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8e6557e007ef6/!ПроектыЛичное/"/>
    </mc:Choice>
  </mc:AlternateContent>
  <xr:revisionPtr revIDLastSave="9182" documentId="13_ncr:1_{93AF438F-2898-4435-9374-FC07D347DF3C}" xr6:coauthVersionLast="47" xr6:coauthVersionMax="47" xr10:uidLastSave="{6BBC842A-0BE5-40FE-A600-3F8DF980BC08}"/>
  <bookViews>
    <workbookView xWindow="-28920" yWindow="-120" windowWidth="29040" windowHeight="15720" tabRatio="510" firstSheet="3" activeTab="9" xr2:uid="{00000000-000D-0000-FFFF-FFFF00000000}"/>
  </bookViews>
  <sheets>
    <sheet name="Маршрут" sheetId="58" r:id="rId1"/>
    <sheet name="Доставка" sheetId="57" r:id="rId2"/>
    <sheet name="Clients" sheetId="54" r:id="rId3"/>
    <sheet name="Адреса" sheetId="59" r:id="rId4"/>
    <sheet name="Карта ESSENS" sheetId="52" r:id="rId5"/>
    <sheet name="СводнаяДоходы" sheetId="48" r:id="rId6"/>
    <sheet name="Лист1" sheetId="60" r:id="rId7"/>
    <sheet name="Лист2" sheetId="61" r:id="rId8"/>
    <sheet name="Journal" sheetId="6" r:id="rId9"/>
    <sheet name="HeadJournal" sheetId="14" r:id="rId10"/>
    <sheet name="Forever" sheetId="41" state="hidden" r:id="rId11"/>
  </sheets>
  <externalReferences>
    <externalReference r:id="rId12"/>
  </externalReferences>
  <definedNames>
    <definedName name="_xlnm._FilterDatabase" localSheetId="9" hidden="1">HeadJournal!$A$2:$R$889</definedName>
    <definedName name="_xlnm._FilterDatabase" localSheetId="8" hidden="1">Journal!$A$2:$AF$6343</definedName>
    <definedName name="_xlnm._FilterDatabase" localSheetId="1" hidden="1">Доставка!$A$1:$K$886</definedName>
    <definedName name="_xlnm._FilterDatabase" localSheetId="4" hidden="1">'Карта ESSENS'!$A$3:$J$82</definedName>
    <definedName name="Клиенты" localSheetId="1">[1]!ТабКлиенты[name]</definedName>
    <definedName name="Клиенты" localSheetId="0">[1]!ТабКлиенты[name]</definedName>
    <definedName name="Клиенты">ТабКлиенты[name]</definedName>
  </definedNames>
  <calcPr calcId="181029" refMode="R1C1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30" i="14" l="1"/>
  <c r="I829" i="14"/>
  <c r="H829" i="14"/>
  <c r="I828" i="14"/>
  <c r="H828" i="14"/>
  <c r="V6119" i="6"/>
  <c r="T6119" i="6"/>
  <c r="O6119" i="6"/>
  <c r="N6119" i="6"/>
  <c r="M6119" i="6"/>
  <c r="E6119" i="6"/>
  <c r="F6119" i="6" s="1"/>
  <c r="D6119" i="6"/>
  <c r="C6119" i="6"/>
  <c r="B6119" i="6"/>
  <c r="V6118" i="6"/>
  <c r="T6118" i="6"/>
  <c r="O6118" i="6"/>
  <c r="N6118" i="6"/>
  <c r="M6118" i="6"/>
  <c r="E6118" i="6"/>
  <c r="F6118" i="6" s="1"/>
  <c r="D6118" i="6"/>
  <c r="C6118" i="6"/>
  <c r="B6118" i="6"/>
  <c r="V6117" i="6"/>
  <c r="T6117" i="6"/>
  <c r="O6117" i="6"/>
  <c r="N6117" i="6"/>
  <c r="M6117" i="6"/>
  <c r="E6117" i="6"/>
  <c r="F6117" i="6" s="1"/>
  <c r="D6117" i="6"/>
  <c r="C6117" i="6"/>
  <c r="B6117" i="6"/>
  <c r="V6116" i="6"/>
  <c r="T6116" i="6"/>
  <c r="O6116" i="6"/>
  <c r="N6116" i="6"/>
  <c r="M6116" i="6"/>
  <c r="E6116" i="6"/>
  <c r="F6116" i="6" s="1"/>
  <c r="D6116" i="6"/>
  <c r="C6116" i="6"/>
  <c r="B6116" i="6"/>
  <c r="V6115" i="6"/>
  <c r="T6115" i="6"/>
  <c r="O6115" i="6"/>
  <c r="N6115" i="6"/>
  <c r="M6115" i="6"/>
  <c r="E6115" i="6"/>
  <c r="F6115" i="6" s="1"/>
  <c r="D6115" i="6"/>
  <c r="C6115" i="6"/>
  <c r="B6115" i="6"/>
  <c r="V6114" i="6"/>
  <c r="T6114" i="6"/>
  <c r="O6114" i="6"/>
  <c r="N6114" i="6"/>
  <c r="M6114" i="6"/>
  <c r="E6114" i="6"/>
  <c r="F6114" i="6" s="1"/>
  <c r="D6114" i="6"/>
  <c r="C6114" i="6"/>
  <c r="B6114" i="6"/>
  <c r="V6113" i="6"/>
  <c r="T6113" i="6"/>
  <c r="O6113" i="6"/>
  <c r="N6113" i="6"/>
  <c r="M6113" i="6"/>
  <c r="E6113" i="6"/>
  <c r="F6113" i="6" s="1"/>
  <c r="D6113" i="6"/>
  <c r="C6113" i="6"/>
  <c r="B6113" i="6"/>
  <c r="V6112" i="6"/>
  <c r="T6112" i="6"/>
  <c r="O6112" i="6"/>
  <c r="N6112" i="6"/>
  <c r="M6112" i="6"/>
  <c r="E6112" i="6"/>
  <c r="F6112" i="6" s="1"/>
  <c r="D6112" i="6"/>
  <c r="C6112" i="6"/>
  <c r="B6112" i="6"/>
  <c r="V6111" i="6"/>
  <c r="T6111" i="6"/>
  <c r="O6111" i="6"/>
  <c r="N6111" i="6"/>
  <c r="M6111" i="6"/>
  <c r="E6111" i="6"/>
  <c r="F6111" i="6" s="1"/>
  <c r="D6111" i="6"/>
  <c r="C6111" i="6"/>
  <c r="B6111" i="6"/>
  <c r="V6110" i="6"/>
  <c r="T6110" i="6"/>
  <c r="O6110" i="6"/>
  <c r="N6110" i="6"/>
  <c r="M6110" i="6"/>
  <c r="E6110" i="6"/>
  <c r="F6110" i="6" s="1"/>
  <c r="D6110" i="6"/>
  <c r="C6110" i="6"/>
  <c r="B6110" i="6"/>
  <c r="V6109" i="6"/>
  <c r="T6109" i="6"/>
  <c r="O6109" i="6"/>
  <c r="N6109" i="6"/>
  <c r="M6109" i="6"/>
  <c r="E6109" i="6"/>
  <c r="F6109" i="6" s="1"/>
  <c r="D6109" i="6"/>
  <c r="C6109" i="6"/>
  <c r="B6109" i="6"/>
  <c r="V6108" i="6"/>
  <c r="T6108" i="6"/>
  <c r="O6108" i="6"/>
  <c r="N6108" i="6"/>
  <c r="M6108" i="6"/>
  <c r="E6108" i="6"/>
  <c r="F6108" i="6" s="1"/>
  <c r="D6108" i="6"/>
  <c r="C6108" i="6"/>
  <c r="B6108" i="6"/>
  <c r="V6107" i="6"/>
  <c r="T6107" i="6"/>
  <c r="O6107" i="6"/>
  <c r="N6107" i="6"/>
  <c r="M6107" i="6"/>
  <c r="E6107" i="6"/>
  <c r="F6107" i="6" s="1"/>
  <c r="D6107" i="6"/>
  <c r="C6107" i="6"/>
  <c r="B6107" i="6"/>
  <c r="V6106" i="6"/>
  <c r="T6106" i="6"/>
  <c r="O6106" i="6"/>
  <c r="N6106" i="6"/>
  <c r="M6106" i="6"/>
  <c r="E6106" i="6"/>
  <c r="F6106" i="6" s="1"/>
  <c r="D6106" i="6"/>
  <c r="C6106" i="6"/>
  <c r="B6106" i="6"/>
  <c r="V6105" i="6"/>
  <c r="T6105" i="6"/>
  <c r="O6105" i="6"/>
  <c r="N6105" i="6"/>
  <c r="M6105" i="6"/>
  <c r="E6105" i="6"/>
  <c r="F6105" i="6"/>
  <c r="D6105" i="6"/>
  <c r="C6105" i="6"/>
  <c r="B6105" i="6"/>
  <c r="V6104" i="6"/>
  <c r="T6104" i="6"/>
  <c r="O6104" i="6"/>
  <c r="N6104" i="6"/>
  <c r="M6104" i="6"/>
  <c r="E6104" i="6"/>
  <c r="F6104" i="6" s="1"/>
  <c r="D6104" i="6"/>
  <c r="C6104" i="6"/>
  <c r="B6104" i="6"/>
  <c r="V6103" i="6"/>
  <c r="T6103" i="6"/>
  <c r="O6103" i="6"/>
  <c r="N6103" i="6"/>
  <c r="M6103" i="6"/>
  <c r="E6103" i="6"/>
  <c r="F6103" i="6" s="1"/>
  <c r="D6103" i="6"/>
  <c r="C6103" i="6"/>
  <c r="B6103" i="6"/>
  <c r="V6102" i="6"/>
  <c r="T6102" i="6"/>
  <c r="O6102" i="6"/>
  <c r="N6102" i="6"/>
  <c r="M6102" i="6"/>
  <c r="E6102" i="6"/>
  <c r="F6102" i="6"/>
  <c r="D6102" i="6"/>
  <c r="C6102" i="6"/>
  <c r="B6102" i="6"/>
  <c r="V6101" i="6"/>
  <c r="T6101" i="6"/>
  <c r="O6101" i="6"/>
  <c r="N6101" i="6"/>
  <c r="M6101" i="6"/>
  <c r="E6101" i="6"/>
  <c r="F6101" i="6" s="1"/>
  <c r="D6101" i="6"/>
  <c r="C6101" i="6"/>
  <c r="B6101" i="6"/>
  <c r="V6100" i="6"/>
  <c r="T6100" i="6"/>
  <c r="O6100" i="6"/>
  <c r="N6100" i="6"/>
  <c r="M6100" i="6"/>
  <c r="E6100" i="6"/>
  <c r="F6100" i="6" s="1"/>
  <c r="D6100" i="6"/>
  <c r="C6100" i="6"/>
  <c r="B6100" i="6"/>
  <c r="V6099" i="6"/>
  <c r="T6099" i="6"/>
  <c r="O6099" i="6"/>
  <c r="N6099" i="6"/>
  <c r="M6099" i="6"/>
  <c r="E6099" i="6"/>
  <c r="F6099" i="6"/>
  <c r="D6099" i="6"/>
  <c r="C6099" i="6"/>
  <c r="B6099" i="6"/>
  <c r="V6098" i="6"/>
  <c r="T6098" i="6"/>
  <c r="O6098" i="6"/>
  <c r="N6098" i="6"/>
  <c r="M6098" i="6"/>
  <c r="E6098" i="6"/>
  <c r="F6098" i="6" s="1"/>
  <c r="D6098" i="6"/>
  <c r="C6098" i="6"/>
  <c r="B6098" i="6"/>
  <c r="V6097" i="6"/>
  <c r="T6097" i="6"/>
  <c r="O6097" i="6"/>
  <c r="N6097" i="6"/>
  <c r="M6097" i="6"/>
  <c r="E6097" i="6"/>
  <c r="F6097" i="6"/>
  <c r="D6097" i="6"/>
  <c r="C6097" i="6"/>
  <c r="B6097" i="6"/>
  <c r="V6096" i="6"/>
  <c r="T6096" i="6"/>
  <c r="O6096" i="6"/>
  <c r="N6096" i="6"/>
  <c r="M6096" i="6"/>
  <c r="E6096" i="6"/>
  <c r="F6096" i="6"/>
  <c r="D6096" i="6"/>
  <c r="C6096" i="6"/>
  <c r="B6096" i="6"/>
  <c r="V6095" i="6"/>
  <c r="T6095" i="6"/>
  <c r="O6095" i="6"/>
  <c r="N6095" i="6"/>
  <c r="M6095" i="6"/>
  <c r="E6095" i="6"/>
  <c r="F6095" i="6" s="1"/>
  <c r="D6095" i="6"/>
  <c r="C6095" i="6"/>
  <c r="B6095" i="6"/>
  <c r="V6094" i="6"/>
  <c r="T6094" i="6"/>
  <c r="O6094" i="6"/>
  <c r="N6094" i="6"/>
  <c r="M6094" i="6"/>
  <c r="E6094" i="6"/>
  <c r="F6094" i="6"/>
  <c r="D6094" i="6"/>
  <c r="C6094" i="6"/>
  <c r="B6094" i="6"/>
  <c r="V6093" i="6"/>
  <c r="T6093" i="6"/>
  <c r="O6093" i="6"/>
  <c r="N6093" i="6"/>
  <c r="M6093" i="6"/>
  <c r="E6093" i="6"/>
  <c r="F6093" i="6"/>
  <c r="D6093" i="6"/>
  <c r="C6093" i="6"/>
  <c r="B6093" i="6"/>
  <c r="V6092" i="6"/>
  <c r="T6092" i="6"/>
  <c r="O6092" i="6"/>
  <c r="N6092" i="6"/>
  <c r="M6092" i="6"/>
  <c r="E6092" i="6"/>
  <c r="F6092" i="6"/>
  <c r="D6092" i="6"/>
  <c r="C6092" i="6"/>
  <c r="B6092" i="6"/>
  <c r="V6091" i="6"/>
  <c r="T6091" i="6"/>
  <c r="O6091" i="6"/>
  <c r="N6091" i="6"/>
  <c r="M6091" i="6"/>
  <c r="E6091" i="6"/>
  <c r="F6091" i="6"/>
  <c r="D6091" i="6"/>
  <c r="C6091" i="6"/>
  <c r="B6091" i="6"/>
  <c r="V6090" i="6"/>
  <c r="T6090" i="6"/>
  <c r="O6090" i="6"/>
  <c r="N6090" i="6"/>
  <c r="M6090" i="6"/>
  <c r="E6090" i="6"/>
  <c r="F6090" i="6"/>
  <c r="D6090" i="6"/>
  <c r="C6090" i="6"/>
  <c r="B6090" i="6"/>
  <c r="V6089" i="6"/>
  <c r="T6089" i="6"/>
  <c r="O6089" i="6"/>
  <c r="N6089" i="6"/>
  <c r="M6089" i="6"/>
  <c r="E6089" i="6"/>
  <c r="F6089" i="6"/>
  <c r="D6089" i="6"/>
  <c r="C6089" i="6"/>
  <c r="B6089" i="6"/>
  <c r="V6088" i="6"/>
  <c r="T6088" i="6"/>
  <c r="O6088" i="6"/>
  <c r="N6088" i="6"/>
  <c r="M6088" i="6"/>
  <c r="E6088" i="6"/>
  <c r="F6088" i="6"/>
  <c r="D6088" i="6"/>
  <c r="C6088" i="6"/>
  <c r="B6088" i="6"/>
  <c r="V6087" i="6"/>
  <c r="T6087" i="6"/>
  <c r="O6087" i="6"/>
  <c r="N6087" i="6"/>
  <c r="M6087" i="6"/>
  <c r="E6087" i="6"/>
  <c r="F6087" i="6"/>
  <c r="D6087" i="6"/>
  <c r="C6087" i="6"/>
  <c r="B6087" i="6"/>
  <c r="V6086" i="6"/>
  <c r="T6086" i="6"/>
  <c r="O6086" i="6"/>
  <c r="N6086" i="6"/>
  <c r="M6086" i="6"/>
  <c r="E6086" i="6"/>
  <c r="F6086" i="6" s="1"/>
  <c r="D6086" i="6"/>
  <c r="C6086" i="6"/>
  <c r="B6086" i="6"/>
  <c r="V6085" i="6"/>
  <c r="T6085" i="6"/>
  <c r="O6085" i="6"/>
  <c r="N6085" i="6"/>
  <c r="M6085" i="6"/>
  <c r="E6085" i="6"/>
  <c r="F6085" i="6" s="1"/>
  <c r="D6085" i="6"/>
  <c r="C6085" i="6"/>
  <c r="B6085" i="6"/>
  <c r="V6084" i="6"/>
  <c r="T6084" i="6"/>
  <c r="O6084" i="6"/>
  <c r="N6084" i="6"/>
  <c r="M6084" i="6"/>
  <c r="E6084" i="6"/>
  <c r="F6084" i="6" s="1"/>
  <c r="D6084" i="6"/>
  <c r="C6084" i="6"/>
  <c r="B6084" i="6"/>
  <c r="V6083" i="6"/>
  <c r="T6083" i="6"/>
  <c r="O6083" i="6"/>
  <c r="N6083" i="6"/>
  <c r="M6083" i="6"/>
  <c r="E6083" i="6"/>
  <c r="F6083" i="6" s="1"/>
  <c r="D6083" i="6"/>
  <c r="C6083" i="6"/>
  <c r="B6083" i="6"/>
  <c r="V6082" i="6"/>
  <c r="T6082" i="6"/>
  <c r="O6082" i="6"/>
  <c r="N6082" i="6"/>
  <c r="M6082" i="6"/>
  <c r="E6082" i="6"/>
  <c r="F6082" i="6" s="1"/>
  <c r="D6082" i="6"/>
  <c r="C6082" i="6"/>
  <c r="B6082" i="6"/>
  <c r="V6081" i="6"/>
  <c r="T6081" i="6"/>
  <c r="O6081" i="6"/>
  <c r="N6081" i="6"/>
  <c r="M6081" i="6"/>
  <c r="E6081" i="6"/>
  <c r="F6081" i="6" s="1"/>
  <c r="D6081" i="6"/>
  <c r="C6081" i="6"/>
  <c r="B6081" i="6"/>
  <c r="V6080" i="6"/>
  <c r="T6080" i="6"/>
  <c r="O6080" i="6"/>
  <c r="N6080" i="6"/>
  <c r="M6080" i="6"/>
  <c r="P6080" i="6" s="1"/>
  <c r="U6080" i="6" s="1"/>
  <c r="E6080" i="6"/>
  <c r="F6080" i="6" s="1"/>
  <c r="D6080" i="6"/>
  <c r="C6080" i="6"/>
  <c r="B6080" i="6"/>
  <c r="V6079" i="6"/>
  <c r="T6079" i="6"/>
  <c r="O6079" i="6"/>
  <c r="N6079" i="6"/>
  <c r="M6079" i="6"/>
  <c r="E6079" i="6"/>
  <c r="F6079" i="6" s="1"/>
  <c r="D6079" i="6"/>
  <c r="C6079" i="6"/>
  <c r="B6079" i="6"/>
  <c r="V6078" i="6"/>
  <c r="T6078" i="6"/>
  <c r="O6078" i="6"/>
  <c r="N6078" i="6"/>
  <c r="M6078" i="6"/>
  <c r="E6078" i="6"/>
  <c r="F6078" i="6" s="1"/>
  <c r="D6078" i="6"/>
  <c r="C6078" i="6"/>
  <c r="B6078" i="6"/>
  <c r="V6077" i="6"/>
  <c r="T6077" i="6"/>
  <c r="O6077" i="6"/>
  <c r="N6077" i="6"/>
  <c r="M6077" i="6"/>
  <c r="E6077" i="6"/>
  <c r="F6077" i="6" s="1"/>
  <c r="D6077" i="6"/>
  <c r="C6077" i="6"/>
  <c r="B6077" i="6"/>
  <c r="V6076" i="6"/>
  <c r="T6076" i="6"/>
  <c r="O6076" i="6"/>
  <c r="N6076" i="6"/>
  <c r="M6076" i="6"/>
  <c r="E6076" i="6"/>
  <c r="F6076" i="6" s="1"/>
  <c r="D6076" i="6"/>
  <c r="C6076" i="6"/>
  <c r="B6076" i="6"/>
  <c r="V6075" i="6"/>
  <c r="T6075" i="6"/>
  <c r="O6075" i="6"/>
  <c r="N6075" i="6"/>
  <c r="M6075" i="6"/>
  <c r="E6075" i="6"/>
  <c r="F6075" i="6" s="1"/>
  <c r="D6075" i="6"/>
  <c r="C6075" i="6"/>
  <c r="B6075" i="6"/>
  <c r="V6074" i="6"/>
  <c r="T6074" i="6"/>
  <c r="O6074" i="6"/>
  <c r="N6074" i="6"/>
  <c r="M6074" i="6"/>
  <c r="E6074" i="6"/>
  <c r="F6074" i="6" s="1"/>
  <c r="D6074" i="6"/>
  <c r="C6074" i="6"/>
  <c r="B6074" i="6"/>
  <c r="V6073" i="6"/>
  <c r="T6073" i="6"/>
  <c r="O6073" i="6"/>
  <c r="N6073" i="6"/>
  <c r="M6073" i="6"/>
  <c r="E6073" i="6"/>
  <c r="F6073" i="6" s="1"/>
  <c r="D6073" i="6"/>
  <c r="C6073" i="6"/>
  <c r="B6073" i="6"/>
  <c r="V6072" i="6"/>
  <c r="T6072" i="6"/>
  <c r="O6072" i="6"/>
  <c r="N6072" i="6"/>
  <c r="M6072" i="6"/>
  <c r="E6072" i="6"/>
  <c r="F6072" i="6"/>
  <c r="D6072" i="6"/>
  <c r="C6072" i="6"/>
  <c r="B6072" i="6"/>
  <c r="V6071" i="6"/>
  <c r="T6071" i="6"/>
  <c r="O6071" i="6"/>
  <c r="N6071" i="6"/>
  <c r="M6071" i="6"/>
  <c r="E6071" i="6"/>
  <c r="F6071" i="6"/>
  <c r="D6071" i="6"/>
  <c r="C6071" i="6"/>
  <c r="B6071" i="6"/>
  <c r="V6070" i="6"/>
  <c r="T6070" i="6"/>
  <c r="O6070" i="6"/>
  <c r="N6070" i="6"/>
  <c r="M6070" i="6"/>
  <c r="E6070" i="6"/>
  <c r="F6070" i="6" s="1"/>
  <c r="D6070" i="6"/>
  <c r="C6070" i="6"/>
  <c r="B6070" i="6"/>
  <c r="V6069" i="6"/>
  <c r="T6069" i="6"/>
  <c r="O6069" i="6"/>
  <c r="N6069" i="6"/>
  <c r="M6069" i="6"/>
  <c r="E6069" i="6"/>
  <c r="F6069" i="6" s="1"/>
  <c r="D6069" i="6"/>
  <c r="C6069" i="6"/>
  <c r="B6069" i="6"/>
  <c r="V6068" i="6"/>
  <c r="T6068" i="6"/>
  <c r="O6068" i="6"/>
  <c r="N6068" i="6"/>
  <c r="M6068" i="6"/>
  <c r="E6068" i="6"/>
  <c r="F6068" i="6"/>
  <c r="D6068" i="6"/>
  <c r="C6068" i="6"/>
  <c r="B6068" i="6"/>
  <c r="V6067" i="6"/>
  <c r="T6067" i="6"/>
  <c r="O6067" i="6"/>
  <c r="N6067" i="6"/>
  <c r="M6067" i="6"/>
  <c r="E6067" i="6"/>
  <c r="F6067" i="6"/>
  <c r="D6067" i="6"/>
  <c r="C6067" i="6"/>
  <c r="B6067" i="6"/>
  <c r="V6066" i="6"/>
  <c r="T6066" i="6"/>
  <c r="O6066" i="6"/>
  <c r="N6066" i="6"/>
  <c r="M6066" i="6"/>
  <c r="E6066" i="6"/>
  <c r="F6066" i="6" s="1"/>
  <c r="D6066" i="6"/>
  <c r="C6066" i="6"/>
  <c r="B6066" i="6"/>
  <c r="V6065" i="6"/>
  <c r="T6065" i="6"/>
  <c r="O6065" i="6"/>
  <c r="N6065" i="6"/>
  <c r="M6065" i="6"/>
  <c r="E6065" i="6"/>
  <c r="F6065" i="6" s="1"/>
  <c r="D6065" i="6"/>
  <c r="C6065" i="6"/>
  <c r="B6065" i="6"/>
  <c r="V6064" i="6"/>
  <c r="T6064" i="6"/>
  <c r="O6064" i="6"/>
  <c r="N6064" i="6"/>
  <c r="M6064" i="6"/>
  <c r="E6064" i="6"/>
  <c r="F6064" i="6"/>
  <c r="D6064" i="6"/>
  <c r="C6064" i="6"/>
  <c r="B6064" i="6"/>
  <c r="V6063" i="6"/>
  <c r="T6063" i="6"/>
  <c r="O6063" i="6"/>
  <c r="N6063" i="6"/>
  <c r="M6063" i="6"/>
  <c r="E6063" i="6"/>
  <c r="F6063" i="6"/>
  <c r="D6063" i="6"/>
  <c r="C6063" i="6"/>
  <c r="B6063" i="6"/>
  <c r="V6062" i="6"/>
  <c r="T6062" i="6"/>
  <c r="O6062" i="6"/>
  <c r="N6062" i="6"/>
  <c r="M6062" i="6"/>
  <c r="P6062" i="6" s="1"/>
  <c r="U6062" i="6" s="1"/>
  <c r="E6062" i="6"/>
  <c r="F6062" i="6" s="1"/>
  <c r="D6062" i="6"/>
  <c r="C6062" i="6"/>
  <c r="B6062" i="6"/>
  <c r="V6061" i="6"/>
  <c r="T6061" i="6"/>
  <c r="O6061" i="6"/>
  <c r="N6061" i="6"/>
  <c r="M6061" i="6"/>
  <c r="E6061" i="6"/>
  <c r="F6061" i="6" s="1"/>
  <c r="D6061" i="6"/>
  <c r="C6061" i="6"/>
  <c r="B6061" i="6"/>
  <c r="V6060" i="6"/>
  <c r="T6060" i="6"/>
  <c r="O6060" i="6"/>
  <c r="N6060" i="6"/>
  <c r="M6060" i="6"/>
  <c r="E6060" i="6"/>
  <c r="F6060" i="6"/>
  <c r="D6060" i="6"/>
  <c r="C6060" i="6"/>
  <c r="B6060" i="6"/>
  <c r="V6059" i="6"/>
  <c r="T6059" i="6"/>
  <c r="O6059" i="6"/>
  <c r="N6059" i="6"/>
  <c r="M6059" i="6"/>
  <c r="E6059" i="6"/>
  <c r="F6059" i="6"/>
  <c r="D6059" i="6"/>
  <c r="C6059" i="6"/>
  <c r="B6059" i="6"/>
  <c r="V6058" i="6"/>
  <c r="T6058" i="6"/>
  <c r="O6058" i="6"/>
  <c r="N6058" i="6"/>
  <c r="M6058" i="6"/>
  <c r="E6058" i="6"/>
  <c r="F6058" i="6" s="1"/>
  <c r="D6058" i="6"/>
  <c r="C6058" i="6"/>
  <c r="B6058" i="6"/>
  <c r="V6057" i="6"/>
  <c r="T6057" i="6"/>
  <c r="O6057" i="6"/>
  <c r="N6057" i="6"/>
  <c r="M6057" i="6"/>
  <c r="E6057" i="6"/>
  <c r="F6057" i="6" s="1"/>
  <c r="D6057" i="6"/>
  <c r="C6057" i="6"/>
  <c r="B6057" i="6"/>
  <c r="V6056" i="6"/>
  <c r="T6056" i="6"/>
  <c r="O6056" i="6"/>
  <c r="N6056" i="6"/>
  <c r="M6056" i="6"/>
  <c r="E6056" i="6"/>
  <c r="F6056" i="6" s="1"/>
  <c r="D6056" i="6"/>
  <c r="C6056" i="6"/>
  <c r="B6056" i="6"/>
  <c r="V6055" i="6"/>
  <c r="T6055" i="6"/>
  <c r="O6055" i="6"/>
  <c r="N6055" i="6"/>
  <c r="M6055" i="6"/>
  <c r="E6055" i="6"/>
  <c r="F6055" i="6" s="1"/>
  <c r="D6055" i="6"/>
  <c r="C6055" i="6"/>
  <c r="B6055" i="6"/>
  <c r="V6054" i="6"/>
  <c r="T6054" i="6"/>
  <c r="O6054" i="6"/>
  <c r="N6054" i="6"/>
  <c r="M6054" i="6"/>
  <c r="E6054" i="6"/>
  <c r="F6054" i="6" s="1"/>
  <c r="D6054" i="6"/>
  <c r="C6054" i="6"/>
  <c r="B6054" i="6"/>
  <c r="V6053" i="6"/>
  <c r="T6053" i="6"/>
  <c r="O6053" i="6"/>
  <c r="N6053" i="6"/>
  <c r="M6053" i="6"/>
  <c r="E6053" i="6"/>
  <c r="F6053" i="6" s="1"/>
  <c r="D6053" i="6"/>
  <c r="C6053" i="6"/>
  <c r="B6053" i="6"/>
  <c r="V6052" i="6"/>
  <c r="T6052" i="6"/>
  <c r="O6052" i="6"/>
  <c r="N6052" i="6"/>
  <c r="M6052" i="6"/>
  <c r="E6052" i="6"/>
  <c r="F6052" i="6" s="1"/>
  <c r="D6052" i="6"/>
  <c r="C6052" i="6"/>
  <c r="B6052" i="6"/>
  <c r="V6051" i="6"/>
  <c r="T6051" i="6"/>
  <c r="O6051" i="6"/>
  <c r="N6051" i="6"/>
  <c r="M6051" i="6"/>
  <c r="E6051" i="6"/>
  <c r="F6051" i="6" s="1"/>
  <c r="D6051" i="6"/>
  <c r="C6051" i="6"/>
  <c r="B6051" i="6"/>
  <c r="V6050" i="6"/>
  <c r="T6050" i="6"/>
  <c r="O6050" i="6"/>
  <c r="N6050" i="6"/>
  <c r="M6050" i="6"/>
  <c r="E6050" i="6"/>
  <c r="F6050" i="6" s="1"/>
  <c r="D6050" i="6"/>
  <c r="C6050" i="6"/>
  <c r="B6050" i="6"/>
  <c r="V6049" i="6"/>
  <c r="T6049" i="6"/>
  <c r="O6049" i="6"/>
  <c r="N6049" i="6"/>
  <c r="M6049" i="6"/>
  <c r="E6049" i="6"/>
  <c r="F6049" i="6" s="1"/>
  <c r="D6049" i="6"/>
  <c r="C6049" i="6"/>
  <c r="B6049" i="6"/>
  <c r="V6048" i="6"/>
  <c r="T6048" i="6"/>
  <c r="O6048" i="6"/>
  <c r="N6048" i="6"/>
  <c r="M6048" i="6"/>
  <c r="E6048" i="6"/>
  <c r="F6048" i="6" s="1"/>
  <c r="D6048" i="6"/>
  <c r="C6048" i="6"/>
  <c r="B6048" i="6"/>
  <c r="V6047" i="6"/>
  <c r="T6047" i="6"/>
  <c r="O6047" i="6"/>
  <c r="N6047" i="6"/>
  <c r="M6047" i="6"/>
  <c r="E6047" i="6"/>
  <c r="F6047" i="6" s="1"/>
  <c r="D6047" i="6"/>
  <c r="C6047" i="6"/>
  <c r="B6047" i="6"/>
  <c r="V6046" i="6"/>
  <c r="T6046" i="6"/>
  <c r="O6046" i="6"/>
  <c r="N6046" i="6"/>
  <c r="M6046" i="6"/>
  <c r="E6046" i="6"/>
  <c r="F6046" i="6" s="1"/>
  <c r="D6046" i="6"/>
  <c r="C6046" i="6"/>
  <c r="B6046" i="6"/>
  <c r="V6045" i="6"/>
  <c r="T6045" i="6"/>
  <c r="O6045" i="6"/>
  <c r="N6045" i="6"/>
  <c r="M6045" i="6"/>
  <c r="E6045" i="6"/>
  <c r="F6045" i="6" s="1"/>
  <c r="D6045" i="6"/>
  <c r="C6045" i="6"/>
  <c r="B6045" i="6"/>
  <c r="V6044" i="6"/>
  <c r="T6044" i="6"/>
  <c r="O6044" i="6"/>
  <c r="N6044" i="6"/>
  <c r="M6044" i="6"/>
  <c r="P6044" i="6" s="1"/>
  <c r="U6044" i="6" s="1"/>
  <c r="E6044" i="6"/>
  <c r="F6044" i="6" s="1"/>
  <c r="D6044" i="6"/>
  <c r="C6044" i="6"/>
  <c r="B6044" i="6"/>
  <c r="V6043" i="6"/>
  <c r="T6043" i="6"/>
  <c r="O6043" i="6"/>
  <c r="N6043" i="6"/>
  <c r="M6043" i="6"/>
  <c r="E6043" i="6"/>
  <c r="F6043" i="6" s="1"/>
  <c r="D6043" i="6"/>
  <c r="C6043" i="6"/>
  <c r="B6043" i="6"/>
  <c r="V6042" i="6"/>
  <c r="T6042" i="6"/>
  <c r="O6042" i="6"/>
  <c r="N6042" i="6"/>
  <c r="M6042" i="6"/>
  <c r="E6042" i="6"/>
  <c r="F6042" i="6" s="1"/>
  <c r="D6042" i="6"/>
  <c r="C6042" i="6"/>
  <c r="B6042" i="6"/>
  <c r="V6041" i="6"/>
  <c r="T6041" i="6"/>
  <c r="O6041" i="6"/>
  <c r="N6041" i="6"/>
  <c r="M6041" i="6"/>
  <c r="E6041" i="6"/>
  <c r="F6041" i="6" s="1"/>
  <c r="D6041" i="6"/>
  <c r="C6041" i="6"/>
  <c r="B6041" i="6"/>
  <c r="V6040" i="6"/>
  <c r="T6040" i="6"/>
  <c r="O6040" i="6"/>
  <c r="N6040" i="6"/>
  <c r="M6040" i="6"/>
  <c r="E6040" i="6"/>
  <c r="F6040" i="6" s="1"/>
  <c r="D6040" i="6"/>
  <c r="C6040" i="6"/>
  <c r="B6040" i="6"/>
  <c r="V6039" i="6"/>
  <c r="T6039" i="6"/>
  <c r="O6039" i="6"/>
  <c r="N6039" i="6"/>
  <c r="M6039" i="6"/>
  <c r="E6039" i="6"/>
  <c r="F6039" i="6" s="1"/>
  <c r="D6039" i="6"/>
  <c r="C6039" i="6"/>
  <c r="B6039" i="6"/>
  <c r="V6038" i="6"/>
  <c r="T6038" i="6"/>
  <c r="O6038" i="6"/>
  <c r="N6038" i="6"/>
  <c r="M6038" i="6"/>
  <c r="E6038" i="6"/>
  <c r="F6038" i="6" s="1"/>
  <c r="D6038" i="6"/>
  <c r="C6038" i="6"/>
  <c r="B6038" i="6"/>
  <c r="V6037" i="6"/>
  <c r="T6037" i="6"/>
  <c r="O6037" i="6"/>
  <c r="N6037" i="6"/>
  <c r="M6037" i="6"/>
  <c r="E6037" i="6"/>
  <c r="F6037" i="6" s="1"/>
  <c r="D6037" i="6"/>
  <c r="C6037" i="6"/>
  <c r="B6037" i="6"/>
  <c r="V6036" i="6"/>
  <c r="T6036" i="6"/>
  <c r="O6036" i="6"/>
  <c r="N6036" i="6"/>
  <c r="M6036" i="6"/>
  <c r="E6036" i="6"/>
  <c r="F6036" i="6" s="1"/>
  <c r="D6036" i="6"/>
  <c r="C6036" i="6"/>
  <c r="B6036" i="6"/>
  <c r="V6035" i="6"/>
  <c r="T6035" i="6"/>
  <c r="O6035" i="6"/>
  <c r="N6035" i="6"/>
  <c r="M6035" i="6"/>
  <c r="E6035" i="6"/>
  <c r="F6035" i="6" s="1"/>
  <c r="D6035" i="6"/>
  <c r="C6035" i="6"/>
  <c r="B6035" i="6"/>
  <c r="V6034" i="6"/>
  <c r="T6034" i="6"/>
  <c r="O6034" i="6"/>
  <c r="N6034" i="6"/>
  <c r="M6034" i="6"/>
  <c r="E6034" i="6"/>
  <c r="F6034" i="6" s="1"/>
  <c r="D6034" i="6"/>
  <c r="C6034" i="6"/>
  <c r="B6034" i="6"/>
  <c r="V6033" i="6"/>
  <c r="T6033" i="6"/>
  <c r="O6033" i="6"/>
  <c r="N6033" i="6"/>
  <c r="M6033" i="6"/>
  <c r="E6033" i="6"/>
  <c r="F6033" i="6" s="1"/>
  <c r="D6033" i="6"/>
  <c r="C6033" i="6"/>
  <c r="B6033" i="6"/>
  <c r="V6032" i="6"/>
  <c r="T6032" i="6"/>
  <c r="O6032" i="6"/>
  <c r="N6032" i="6"/>
  <c r="M6032" i="6"/>
  <c r="E6032" i="6"/>
  <c r="F6032" i="6" s="1"/>
  <c r="D6032" i="6"/>
  <c r="C6032" i="6"/>
  <c r="B6032" i="6"/>
  <c r="V6031" i="6"/>
  <c r="T6031" i="6"/>
  <c r="O6031" i="6"/>
  <c r="N6031" i="6"/>
  <c r="M6031" i="6"/>
  <c r="E6031" i="6"/>
  <c r="F6031" i="6" s="1"/>
  <c r="D6031" i="6"/>
  <c r="C6031" i="6"/>
  <c r="B6031" i="6"/>
  <c r="V6030" i="6"/>
  <c r="T6030" i="6"/>
  <c r="O6030" i="6"/>
  <c r="N6030" i="6"/>
  <c r="M6030" i="6"/>
  <c r="E6030" i="6"/>
  <c r="F6030" i="6" s="1"/>
  <c r="D6030" i="6"/>
  <c r="C6030" i="6"/>
  <c r="B6030" i="6"/>
  <c r="V6029" i="6"/>
  <c r="T6029" i="6"/>
  <c r="O6029" i="6"/>
  <c r="N6029" i="6"/>
  <c r="M6029" i="6"/>
  <c r="E6029" i="6"/>
  <c r="F6029" i="6" s="1"/>
  <c r="D6029" i="6"/>
  <c r="C6029" i="6"/>
  <c r="B6029" i="6"/>
  <c r="V6028" i="6"/>
  <c r="T6028" i="6"/>
  <c r="O6028" i="6"/>
  <c r="N6028" i="6"/>
  <c r="M6028" i="6"/>
  <c r="E6028" i="6"/>
  <c r="F6028" i="6" s="1"/>
  <c r="D6028" i="6"/>
  <c r="C6028" i="6"/>
  <c r="B6028" i="6"/>
  <c r="V6027" i="6"/>
  <c r="T6027" i="6"/>
  <c r="O6027" i="6"/>
  <c r="N6027" i="6"/>
  <c r="M6027" i="6"/>
  <c r="E6027" i="6"/>
  <c r="F6027" i="6" s="1"/>
  <c r="D6027" i="6"/>
  <c r="C6027" i="6"/>
  <c r="B6027" i="6"/>
  <c r="V6026" i="6"/>
  <c r="T6026" i="6"/>
  <c r="O6026" i="6"/>
  <c r="N6026" i="6"/>
  <c r="M6026" i="6"/>
  <c r="E6026" i="6"/>
  <c r="F6026" i="6" s="1"/>
  <c r="D6026" i="6"/>
  <c r="C6026" i="6"/>
  <c r="B6026" i="6"/>
  <c r="V6025" i="6"/>
  <c r="T6025" i="6"/>
  <c r="O6025" i="6"/>
  <c r="N6025" i="6"/>
  <c r="M6025" i="6"/>
  <c r="E6025" i="6"/>
  <c r="F6025" i="6" s="1"/>
  <c r="D6025" i="6"/>
  <c r="C6025" i="6"/>
  <c r="B6025" i="6"/>
  <c r="V6024" i="6"/>
  <c r="T6024" i="6"/>
  <c r="O6024" i="6"/>
  <c r="N6024" i="6"/>
  <c r="M6024" i="6"/>
  <c r="E6024" i="6"/>
  <c r="F6024" i="6" s="1"/>
  <c r="D6024" i="6"/>
  <c r="C6024" i="6"/>
  <c r="B6024" i="6"/>
  <c r="V6023" i="6"/>
  <c r="T6023" i="6"/>
  <c r="O6023" i="6"/>
  <c r="N6023" i="6"/>
  <c r="M6023" i="6"/>
  <c r="E6023" i="6"/>
  <c r="F6023" i="6" s="1"/>
  <c r="D6023" i="6"/>
  <c r="C6023" i="6"/>
  <c r="B6023" i="6"/>
  <c r="V6022" i="6"/>
  <c r="T6022" i="6"/>
  <c r="O6022" i="6"/>
  <c r="N6022" i="6"/>
  <c r="M6022" i="6"/>
  <c r="E6022" i="6"/>
  <c r="F6022" i="6" s="1"/>
  <c r="D6022" i="6"/>
  <c r="C6022" i="6"/>
  <c r="B6022" i="6"/>
  <c r="V6021" i="6"/>
  <c r="T6021" i="6"/>
  <c r="O6021" i="6"/>
  <c r="N6021" i="6"/>
  <c r="M6021" i="6"/>
  <c r="E6021" i="6"/>
  <c r="F6021" i="6" s="1"/>
  <c r="D6021" i="6"/>
  <c r="C6021" i="6"/>
  <c r="B6021" i="6"/>
  <c r="V6020" i="6"/>
  <c r="T6020" i="6"/>
  <c r="O6020" i="6"/>
  <c r="N6020" i="6"/>
  <c r="M6020" i="6"/>
  <c r="E6020" i="6"/>
  <c r="F6020" i="6" s="1"/>
  <c r="D6020" i="6"/>
  <c r="C6020" i="6"/>
  <c r="B6020" i="6"/>
  <c r="V6019" i="6"/>
  <c r="T6019" i="6"/>
  <c r="O6019" i="6"/>
  <c r="N6019" i="6"/>
  <c r="M6019" i="6"/>
  <c r="E6019" i="6"/>
  <c r="F6019" i="6" s="1"/>
  <c r="D6019" i="6"/>
  <c r="C6019" i="6"/>
  <c r="B6019" i="6"/>
  <c r="V6018" i="6"/>
  <c r="T6018" i="6"/>
  <c r="O6018" i="6"/>
  <c r="N6018" i="6"/>
  <c r="M6018" i="6"/>
  <c r="E6018" i="6"/>
  <c r="F6018" i="6" s="1"/>
  <c r="D6018" i="6"/>
  <c r="C6018" i="6"/>
  <c r="B6018" i="6"/>
  <c r="V6017" i="6"/>
  <c r="T6017" i="6"/>
  <c r="O6017" i="6"/>
  <c r="N6017" i="6"/>
  <c r="M6017" i="6"/>
  <c r="E6017" i="6"/>
  <c r="F6017" i="6" s="1"/>
  <c r="D6017" i="6"/>
  <c r="C6017" i="6"/>
  <c r="B6017" i="6"/>
  <c r="V6016" i="6"/>
  <c r="T6016" i="6"/>
  <c r="O6016" i="6"/>
  <c r="N6016" i="6"/>
  <c r="M6016" i="6"/>
  <c r="E6016" i="6"/>
  <c r="F6016" i="6" s="1"/>
  <c r="D6016" i="6"/>
  <c r="C6016" i="6"/>
  <c r="B6016" i="6"/>
  <c r="V6015" i="6"/>
  <c r="T6015" i="6"/>
  <c r="O6015" i="6"/>
  <c r="N6015" i="6"/>
  <c r="M6015" i="6"/>
  <c r="E6015" i="6"/>
  <c r="F6015" i="6" s="1"/>
  <c r="D6015" i="6"/>
  <c r="C6015" i="6"/>
  <c r="B6015" i="6"/>
  <c r="V6014" i="6"/>
  <c r="T6014" i="6"/>
  <c r="O6014" i="6"/>
  <c r="N6014" i="6"/>
  <c r="M6014" i="6"/>
  <c r="E6014" i="6"/>
  <c r="F6014" i="6" s="1"/>
  <c r="D6014" i="6"/>
  <c r="C6014" i="6"/>
  <c r="B6014" i="6"/>
  <c r="V6013" i="6"/>
  <c r="T6013" i="6"/>
  <c r="O6013" i="6"/>
  <c r="N6013" i="6"/>
  <c r="M6013" i="6"/>
  <c r="E6013" i="6"/>
  <c r="F6013" i="6" s="1"/>
  <c r="D6013" i="6"/>
  <c r="C6013" i="6"/>
  <c r="B6013" i="6"/>
  <c r="V6012" i="6"/>
  <c r="T6012" i="6"/>
  <c r="O6012" i="6"/>
  <c r="N6012" i="6"/>
  <c r="M6012" i="6"/>
  <c r="E6012" i="6"/>
  <c r="F6012" i="6" s="1"/>
  <c r="D6012" i="6"/>
  <c r="C6012" i="6"/>
  <c r="B6012" i="6"/>
  <c r="V6011" i="6"/>
  <c r="T6011" i="6"/>
  <c r="O6011" i="6"/>
  <c r="N6011" i="6"/>
  <c r="M6011" i="6"/>
  <c r="E6011" i="6"/>
  <c r="F6011" i="6" s="1"/>
  <c r="D6011" i="6"/>
  <c r="C6011" i="6"/>
  <c r="B6011" i="6"/>
  <c r="V6010" i="6"/>
  <c r="T6010" i="6"/>
  <c r="O6010" i="6"/>
  <c r="N6010" i="6"/>
  <c r="M6010" i="6"/>
  <c r="E6010" i="6"/>
  <c r="F6010" i="6"/>
  <c r="D6010" i="6"/>
  <c r="C6010" i="6"/>
  <c r="B6010" i="6"/>
  <c r="V6009" i="6"/>
  <c r="T6009" i="6"/>
  <c r="O6009" i="6"/>
  <c r="N6009" i="6"/>
  <c r="M6009" i="6"/>
  <c r="E6009" i="6"/>
  <c r="F6009" i="6"/>
  <c r="D6009" i="6"/>
  <c r="C6009" i="6"/>
  <c r="B6009" i="6"/>
  <c r="V6008" i="6"/>
  <c r="T6008" i="6"/>
  <c r="O6008" i="6"/>
  <c r="N6008" i="6"/>
  <c r="M6008" i="6"/>
  <c r="E6008" i="6"/>
  <c r="F6008" i="6"/>
  <c r="D6008" i="6"/>
  <c r="C6008" i="6"/>
  <c r="B6008" i="6"/>
  <c r="V6007" i="6"/>
  <c r="T6007" i="6"/>
  <c r="O6007" i="6"/>
  <c r="N6007" i="6"/>
  <c r="M6007" i="6"/>
  <c r="E6007" i="6"/>
  <c r="F6007" i="6" s="1"/>
  <c r="D6007" i="6"/>
  <c r="C6007" i="6"/>
  <c r="B6007" i="6"/>
  <c r="V6006" i="6"/>
  <c r="T6006" i="6"/>
  <c r="O6006" i="6"/>
  <c r="N6006" i="6"/>
  <c r="M6006" i="6"/>
  <c r="E6006" i="6"/>
  <c r="F6006" i="6" s="1"/>
  <c r="D6006" i="6"/>
  <c r="C6006" i="6"/>
  <c r="B6006" i="6"/>
  <c r="V6005" i="6"/>
  <c r="T6005" i="6"/>
  <c r="O6005" i="6"/>
  <c r="N6005" i="6"/>
  <c r="M6005" i="6"/>
  <c r="E6005" i="6"/>
  <c r="F6005" i="6" s="1"/>
  <c r="D6005" i="6"/>
  <c r="C6005" i="6"/>
  <c r="B6005" i="6"/>
  <c r="V6004" i="6"/>
  <c r="T6004" i="6"/>
  <c r="O6004" i="6"/>
  <c r="N6004" i="6"/>
  <c r="P6004" i="6" s="1"/>
  <c r="U6004" i="6" s="1"/>
  <c r="M6004" i="6"/>
  <c r="E6004" i="6"/>
  <c r="F6004" i="6" s="1"/>
  <c r="D6004" i="6"/>
  <c r="C6004" i="6"/>
  <c r="B6004" i="6"/>
  <c r="V6003" i="6"/>
  <c r="T6003" i="6"/>
  <c r="O6003" i="6"/>
  <c r="N6003" i="6"/>
  <c r="M6003" i="6"/>
  <c r="E6003" i="6"/>
  <c r="F6003" i="6" s="1"/>
  <c r="D6003" i="6"/>
  <c r="C6003" i="6"/>
  <c r="B6003" i="6"/>
  <c r="V6002" i="6"/>
  <c r="T6002" i="6"/>
  <c r="O6002" i="6"/>
  <c r="N6002" i="6"/>
  <c r="M6002" i="6"/>
  <c r="E6002" i="6"/>
  <c r="F6002" i="6" s="1"/>
  <c r="D6002" i="6"/>
  <c r="C6002" i="6"/>
  <c r="B6002" i="6"/>
  <c r="V6001" i="6"/>
  <c r="T6001" i="6"/>
  <c r="O6001" i="6"/>
  <c r="N6001" i="6"/>
  <c r="M6001" i="6"/>
  <c r="E6001" i="6"/>
  <c r="F6001" i="6" s="1"/>
  <c r="D6001" i="6"/>
  <c r="C6001" i="6"/>
  <c r="B6001" i="6"/>
  <c r="V6000" i="6"/>
  <c r="T6000" i="6"/>
  <c r="O6000" i="6"/>
  <c r="N6000" i="6"/>
  <c r="M6000" i="6"/>
  <c r="E6000" i="6"/>
  <c r="F6000" i="6" s="1"/>
  <c r="D6000" i="6"/>
  <c r="C6000" i="6"/>
  <c r="B6000" i="6"/>
  <c r="V5999" i="6"/>
  <c r="T5999" i="6"/>
  <c r="O5999" i="6"/>
  <c r="N5999" i="6"/>
  <c r="M5999" i="6"/>
  <c r="E5999" i="6"/>
  <c r="F5999" i="6" s="1"/>
  <c r="D5999" i="6"/>
  <c r="C5999" i="6"/>
  <c r="B5999" i="6"/>
  <c r="V5998" i="6"/>
  <c r="T5998" i="6"/>
  <c r="O5998" i="6"/>
  <c r="N5998" i="6"/>
  <c r="M5998" i="6"/>
  <c r="E5998" i="6"/>
  <c r="F5998" i="6" s="1"/>
  <c r="D5998" i="6"/>
  <c r="C5998" i="6"/>
  <c r="B5998" i="6"/>
  <c r="V5997" i="6"/>
  <c r="T5997" i="6"/>
  <c r="O5997" i="6"/>
  <c r="N5997" i="6"/>
  <c r="M5997" i="6"/>
  <c r="E5997" i="6"/>
  <c r="F5997" i="6" s="1"/>
  <c r="D5997" i="6"/>
  <c r="C5997" i="6"/>
  <c r="B5997" i="6"/>
  <c r="V5996" i="6"/>
  <c r="T5996" i="6"/>
  <c r="O5996" i="6"/>
  <c r="N5996" i="6"/>
  <c r="M5996" i="6"/>
  <c r="E5996" i="6"/>
  <c r="F5996" i="6" s="1"/>
  <c r="D5996" i="6"/>
  <c r="C5996" i="6"/>
  <c r="B5996" i="6"/>
  <c r="V5995" i="6"/>
  <c r="T5995" i="6"/>
  <c r="O5995" i="6"/>
  <c r="N5995" i="6"/>
  <c r="M5995" i="6"/>
  <c r="E5995" i="6"/>
  <c r="F5995" i="6" s="1"/>
  <c r="D5995" i="6"/>
  <c r="C5995" i="6"/>
  <c r="B5995" i="6"/>
  <c r="V5994" i="6"/>
  <c r="T5994" i="6"/>
  <c r="O5994" i="6"/>
  <c r="N5994" i="6"/>
  <c r="M5994" i="6"/>
  <c r="E5994" i="6"/>
  <c r="F5994" i="6" s="1"/>
  <c r="D5994" i="6"/>
  <c r="C5994" i="6"/>
  <c r="B5994" i="6"/>
  <c r="V5993" i="6"/>
  <c r="T5993" i="6"/>
  <c r="O5993" i="6"/>
  <c r="N5993" i="6"/>
  <c r="M5993" i="6"/>
  <c r="E5993" i="6"/>
  <c r="F5993" i="6" s="1"/>
  <c r="D5993" i="6"/>
  <c r="C5993" i="6"/>
  <c r="B5993" i="6"/>
  <c r="V5992" i="6"/>
  <c r="T5992" i="6"/>
  <c r="O5992" i="6"/>
  <c r="N5992" i="6"/>
  <c r="M5992" i="6"/>
  <c r="E5992" i="6"/>
  <c r="F5992" i="6" s="1"/>
  <c r="D5992" i="6"/>
  <c r="C5992" i="6"/>
  <c r="B5992" i="6"/>
  <c r="V5991" i="6"/>
  <c r="T5991" i="6"/>
  <c r="O5991" i="6"/>
  <c r="N5991" i="6"/>
  <c r="M5991" i="6"/>
  <c r="E5991" i="6"/>
  <c r="F5991" i="6" s="1"/>
  <c r="D5991" i="6"/>
  <c r="C5991" i="6"/>
  <c r="B5991" i="6"/>
  <c r="V5990" i="6"/>
  <c r="T5990" i="6"/>
  <c r="O5990" i="6"/>
  <c r="N5990" i="6"/>
  <c r="M5990" i="6"/>
  <c r="E5990" i="6"/>
  <c r="F5990" i="6" s="1"/>
  <c r="D5990" i="6"/>
  <c r="C5990" i="6"/>
  <c r="B5990" i="6"/>
  <c r="V5989" i="6"/>
  <c r="T5989" i="6"/>
  <c r="O5989" i="6"/>
  <c r="N5989" i="6"/>
  <c r="M5989" i="6"/>
  <c r="E5989" i="6"/>
  <c r="F5989" i="6" s="1"/>
  <c r="D5989" i="6"/>
  <c r="C5989" i="6"/>
  <c r="B5989" i="6"/>
  <c r="V5988" i="6"/>
  <c r="T5988" i="6"/>
  <c r="O5988" i="6"/>
  <c r="N5988" i="6"/>
  <c r="M5988" i="6"/>
  <c r="E5988" i="6"/>
  <c r="F5988" i="6" s="1"/>
  <c r="D5988" i="6"/>
  <c r="C5988" i="6"/>
  <c r="B5988" i="6"/>
  <c r="V5987" i="6"/>
  <c r="T5987" i="6"/>
  <c r="O5987" i="6"/>
  <c r="N5987" i="6"/>
  <c r="M5987" i="6"/>
  <c r="E5987" i="6"/>
  <c r="F5987" i="6" s="1"/>
  <c r="D5987" i="6"/>
  <c r="C5987" i="6"/>
  <c r="B5987" i="6"/>
  <c r="V5986" i="6"/>
  <c r="T5986" i="6"/>
  <c r="O5986" i="6"/>
  <c r="N5986" i="6"/>
  <c r="M5986" i="6"/>
  <c r="E5986" i="6"/>
  <c r="F5986" i="6" s="1"/>
  <c r="D5986" i="6"/>
  <c r="C5986" i="6"/>
  <c r="B5986" i="6"/>
  <c r="V5985" i="6"/>
  <c r="T5985" i="6"/>
  <c r="O5985" i="6"/>
  <c r="N5985" i="6"/>
  <c r="M5985" i="6"/>
  <c r="E5985" i="6"/>
  <c r="F5985" i="6" s="1"/>
  <c r="D5985" i="6"/>
  <c r="C5985" i="6"/>
  <c r="B5985" i="6"/>
  <c r="V5984" i="6"/>
  <c r="T5984" i="6"/>
  <c r="O5984" i="6"/>
  <c r="N5984" i="6"/>
  <c r="M5984" i="6"/>
  <c r="E5984" i="6"/>
  <c r="F5984" i="6" s="1"/>
  <c r="D5984" i="6"/>
  <c r="C5984" i="6"/>
  <c r="B5984" i="6"/>
  <c r="V5983" i="6"/>
  <c r="T5983" i="6"/>
  <c r="O5983" i="6"/>
  <c r="N5983" i="6"/>
  <c r="M5983" i="6"/>
  <c r="E5983" i="6"/>
  <c r="F5983" i="6" s="1"/>
  <c r="D5983" i="6"/>
  <c r="C5983" i="6"/>
  <c r="B5983" i="6"/>
  <c r="V5982" i="6"/>
  <c r="T5982" i="6"/>
  <c r="O5982" i="6"/>
  <c r="N5982" i="6"/>
  <c r="M5982" i="6"/>
  <c r="E5982" i="6"/>
  <c r="F5982" i="6" s="1"/>
  <c r="D5982" i="6"/>
  <c r="C5982" i="6"/>
  <c r="B5982" i="6"/>
  <c r="V5981" i="6"/>
  <c r="T5981" i="6"/>
  <c r="O5981" i="6"/>
  <c r="N5981" i="6"/>
  <c r="M5981" i="6"/>
  <c r="E5981" i="6"/>
  <c r="F5981" i="6" s="1"/>
  <c r="D5981" i="6"/>
  <c r="C5981" i="6"/>
  <c r="B5981" i="6"/>
  <c r="V5980" i="6"/>
  <c r="T5980" i="6"/>
  <c r="O5980" i="6"/>
  <c r="N5980" i="6"/>
  <c r="M5980" i="6"/>
  <c r="E5980" i="6"/>
  <c r="F5980" i="6" s="1"/>
  <c r="D5980" i="6"/>
  <c r="C5980" i="6"/>
  <c r="B5980" i="6"/>
  <c r="V5979" i="6"/>
  <c r="T5979" i="6"/>
  <c r="O5979" i="6"/>
  <c r="N5979" i="6"/>
  <c r="M5979" i="6"/>
  <c r="E5979" i="6"/>
  <c r="F5979" i="6" s="1"/>
  <c r="D5979" i="6"/>
  <c r="C5979" i="6"/>
  <c r="B5979" i="6"/>
  <c r="V5978" i="6"/>
  <c r="T5978" i="6"/>
  <c r="O5978" i="6"/>
  <c r="N5978" i="6"/>
  <c r="M5978" i="6"/>
  <c r="E5978" i="6"/>
  <c r="F5978" i="6" s="1"/>
  <c r="D5978" i="6"/>
  <c r="C5978" i="6"/>
  <c r="B5978" i="6"/>
  <c r="V5977" i="6"/>
  <c r="T5977" i="6"/>
  <c r="O5977" i="6"/>
  <c r="N5977" i="6"/>
  <c r="M5977" i="6"/>
  <c r="E5977" i="6"/>
  <c r="F5977" i="6" s="1"/>
  <c r="D5977" i="6"/>
  <c r="C5977" i="6"/>
  <c r="B5977" i="6"/>
  <c r="V5976" i="6"/>
  <c r="T5976" i="6"/>
  <c r="O5976" i="6"/>
  <c r="N5976" i="6"/>
  <c r="M5976" i="6"/>
  <c r="E5976" i="6"/>
  <c r="F5976" i="6" s="1"/>
  <c r="D5976" i="6"/>
  <c r="C5976" i="6"/>
  <c r="B5976" i="6"/>
  <c r="V5975" i="6"/>
  <c r="T5975" i="6"/>
  <c r="O5975" i="6"/>
  <c r="N5975" i="6"/>
  <c r="M5975" i="6"/>
  <c r="E5975" i="6"/>
  <c r="F5975" i="6" s="1"/>
  <c r="D5975" i="6"/>
  <c r="C5975" i="6"/>
  <c r="B5975" i="6"/>
  <c r="V5974" i="6"/>
  <c r="T5974" i="6"/>
  <c r="O5974" i="6"/>
  <c r="N5974" i="6"/>
  <c r="M5974" i="6"/>
  <c r="E5974" i="6"/>
  <c r="F5974" i="6" s="1"/>
  <c r="D5974" i="6"/>
  <c r="C5974" i="6"/>
  <c r="B5974" i="6"/>
  <c r="V5973" i="6"/>
  <c r="T5973" i="6"/>
  <c r="O5973" i="6"/>
  <c r="N5973" i="6"/>
  <c r="M5973" i="6"/>
  <c r="E5973" i="6"/>
  <c r="F5973" i="6" s="1"/>
  <c r="D5973" i="6"/>
  <c r="C5973" i="6"/>
  <c r="B5973" i="6"/>
  <c r="V5972" i="6"/>
  <c r="T5972" i="6"/>
  <c r="O5972" i="6"/>
  <c r="N5972" i="6"/>
  <c r="M5972" i="6"/>
  <c r="E5972" i="6"/>
  <c r="F5972" i="6" s="1"/>
  <c r="D5972" i="6"/>
  <c r="C5972" i="6"/>
  <c r="B5972" i="6"/>
  <c r="V5971" i="6"/>
  <c r="T5971" i="6"/>
  <c r="O5971" i="6"/>
  <c r="N5971" i="6"/>
  <c r="M5971" i="6"/>
  <c r="E5971" i="6"/>
  <c r="F5971" i="6"/>
  <c r="D5971" i="6"/>
  <c r="C5971" i="6"/>
  <c r="B5971" i="6"/>
  <c r="V5970" i="6"/>
  <c r="T5970" i="6"/>
  <c r="O5970" i="6"/>
  <c r="N5970" i="6"/>
  <c r="M5970" i="6"/>
  <c r="E5970" i="6"/>
  <c r="F5970" i="6"/>
  <c r="D5970" i="6"/>
  <c r="C5970" i="6"/>
  <c r="B5970" i="6"/>
  <c r="V5969" i="6"/>
  <c r="T5969" i="6"/>
  <c r="O5969" i="6"/>
  <c r="N5969" i="6"/>
  <c r="M5969" i="6"/>
  <c r="E5969" i="6"/>
  <c r="F5969" i="6" s="1"/>
  <c r="D5969" i="6"/>
  <c r="C5969" i="6"/>
  <c r="B5969" i="6"/>
  <c r="V5968" i="6"/>
  <c r="T5968" i="6"/>
  <c r="O5968" i="6"/>
  <c r="N5968" i="6"/>
  <c r="M5968" i="6"/>
  <c r="E5968" i="6"/>
  <c r="F5968" i="6" s="1"/>
  <c r="D5968" i="6"/>
  <c r="C5968" i="6"/>
  <c r="B5968" i="6"/>
  <c r="V5967" i="6"/>
  <c r="T5967" i="6"/>
  <c r="O5967" i="6"/>
  <c r="N5967" i="6"/>
  <c r="M5967" i="6"/>
  <c r="E5967" i="6"/>
  <c r="F5967" i="6" s="1"/>
  <c r="D5967" i="6"/>
  <c r="C5967" i="6"/>
  <c r="B5967" i="6"/>
  <c r="V5966" i="6"/>
  <c r="T5966" i="6"/>
  <c r="O5966" i="6"/>
  <c r="N5966" i="6"/>
  <c r="M5966" i="6"/>
  <c r="E5966" i="6"/>
  <c r="F5966" i="6" s="1"/>
  <c r="D5966" i="6"/>
  <c r="C5966" i="6"/>
  <c r="B5966" i="6"/>
  <c r="V5965" i="6"/>
  <c r="T5965" i="6"/>
  <c r="O5965" i="6"/>
  <c r="N5965" i="6"/>
  <c r="M5965" i="6"/>
  <c r="E5965" i="6"/>
  <c r="F5965" i="6"/>
  <c r="D5965" i="6"/>
  <c r="C5965" i="6"/>
  <c r="B5965" i="6"/>
  <c r="V5964" i="6"/>
  <c r="T5964" i="6"/>
  <c r="O5964" i="6"/>
  <c r="N5964" i="6"/>
  <c r="M5964" i="6"/>
  <c r="E5964" i="6"/>
  <c r="F5964" i="6"/>
  <c r="D5964" i="6"/>
  <c r="C5964" i="6"/>
  <c r="B5964" i="6"/>
  <c r="V5963" i="6"/>
  <c r="T5963" i="6"/>
  <c r="O5963" i="6"/>
  <c r="N5963" i="6"/>
  <c r="M5963" i="6"/>
  <c r="E5963" i="6"/>
  <c r="F5963" i="6" s="1"/>
  <c r="D5963" i="6"/>
  <c r="C5963" i="6"/>
  <c r="B5963" i="6"/>
  <c r="V5962" i="6"/>
  <c r="T5962" i="6"/>
  <c r="O5962" i="6"/>
  <c r="N5962" i="6"/>
  <c r="M5962" i="6"/>
  <c r="E5962" i="6"/>
  <c r="F5962" i="6" s="1"/>
  <c r="D5962" i="6"/>
  <c r="C5962" i="6"/>
  <c r="B5962" i="6"/>
  <c r="V5961" i="6"/>
  <c r="T5961" i="6"/>
  <c r="O5961" i="6"/>
  <c r="N5961" i="6"/>
  <c r="M5961" i="6"/>
  <c r="E5961" i="6"/>
  <c r="F5961" i="6" s="1"/>
  <c r="D5961" i="6"/>
  <c r="C5961" i="6"/>
  <c r="B5961" i="6"/>
  <c r="V5960" i="6"/>
  <c r="T5960" i="6"/>
  <c r="O5960" i="6"/>
  <c r="N5960" i="6"/>
  <c r="M5960" i="6"/>
  <c r="E5960" i="6"/>
  <c r="F5960" i="6" s="1"/>
  <c r="D5960" i="6"/>
  <c r="C5960" i="6"/>
  <c r="B5960" i="6"/>
  <c r="V5959" i="6"/>
  <c r="T5959" i="6"/>
  <c r="O5959" i="6"/>
  <c r="N5959" i="6"/>
  <c r="M5959" i="6"/>
  <c r="E5959" i="6"/>
  <c r="F5959" i="6"/>
  <c r="D5959" i="6"/>
  <c r="C5959" i="6"/>
  <c r="B5959" i="6"/>
  <c r="V5958" i="6"/>
  <c r="T5958" i="6"/>
  <c r="O5958" i="6"/>
  <c r="N5958" i="6"/>
  <c r="M5958" i="6"/>
  <c r="E5958" i="6"/>
  <c r="F5958" i="6"/>
  <c r="D5958" i="6"/>
  <c r="C5958" i="6"/>
  <c r="B5958" i="6"/>
  <c r="V5957" i="6"/>
  <c r="T5957" i="6"/>
  <c r="O5957" i="6"/>
  <c r="N5957" i="6"/>
  <c r="M5957" i="6"/>
  <c r="E5957" i="6"/>
  <c r="F5957" i="6" s="1"/>
  <c r="D5957" i="6"/>
  <c r="C5957" i="6"/>
  <c r="B5957" i="6"/>
  <c r="V5956" i="6"/>
  <c r="T5956" i="6"/>
  <c r="O5956" i="6"/>
  <c r="N5956" i="6"/>
  <c r="M5956" i="6"/>
  <c r="E5956" i="6"/>
  <c r="F5956" i="6" s="1"/>
  <c r="D5956" i="6"/>
  <c r="C5956" i="6"/>
  <c r="B5956" i="6"/>
  <c r="V5955" i="6"/>
  <c r="T5955" i="6"/>
  <c r="O5955" i="6"/>
  <c r="N5955" i="6"/>
  <c r="M5955" i="6"/>
  <c r="E5955" i="6"/>
  <c r="F5955" i="6" s="1"/>
  <c r="D5955" i="6"/>
  <c r="C5955" i="6"/>
  <c r="B5955" i="6"/>
  <c r="V5954" i="6"/>
  <c r="T5954" i="6"/>
  <c r="O5954" i="6"/>
  <c r="N5954" i="6"/>
  <c r="M5954" i="6"/>
  <c r="E5954" i="6"/>
  <c r="F5954" i="6" s="1"/>
  <c r="D5954" i="6"/>
  <c r="C5954" i="6"/>
  <c r="B5954" i="6"/>
  <c r="V5953" i="6"/>
  <c r="T5953" i="6"/>
  <c r="M5953" i="6"/>
  <c r="N5953" i="6"/>
  <c r="O5953" i="6"/>
  <c r="E5953" i="6"/>
  <c r="F5953" i="6"/>
  <c r="D5953" i="6"/>
  <c r="C5953" i="6"/>
  <c r="B5953" i="6"/>
  <c r="V5952" i="6"/>
  <c r="T5952" i="6"/>
  <c r="O5952" i="6"/>
  <c r="N5952" i="6"/>
  <c r="M5952" i="6"/>
  <c r="E5952" i="6"/>
  <c r="F5952" i="6"/>
  <c r="D5952" i="6"/>
  <c r="C5952" i="6"/>
  <c r="B5952" i="6"/>
  <c r="V5951" i="6"/>
  <c r="T5951" i="6"/>
  <c r="O5951" i="6"/>
  <c r="N5951" i="6"/>
  <c r="M5951" i="6"/>
  <c r="E5951" i="6"/>
  <c r="F5951" i="6" s="1"/>
  <c r="D5951" i="6"/>
  <c r="C5951" i="6"/>
  <c r="B5951" i="6"/>
  <c r="V5950" i="6"/>
  <c r="T5950" i="6"/>
  <c r="O5950" i="6"/>
  <c r="N5950" i="6"/>
  <c r="M5950" i="6"/>
  <c r="E5950" i="6"/>
  <c r="F5950" i="6" s="1"/>
  <c r="D5950" i="6"/>
  <c r="C5950" i="6"/>
  <c r="B5950" i="6"/>
  <c r="V5949" i="6"/>
  <c r="T5949" i="6"/>
  <c r="O5949" i="6"/>
  <c r="N5949" i="6"/>
  <c r="M5949" i="6"/>
  <c r="E5949" i="6"/>
  <c r="F5949" i="6" s="1"/>
  <c r="D5949" i="6"/>
  <c r="C5949" i="6"/>
  <c r="B5949" i="6"/>
  <c r="V5948" i="6"/>
  <c r="T5948" i="6"/>
  <c r="O5948" i="6"/>
  <c r="N5948" i="6"/>
  <c r="M5948" i="6"/>
  <c r="E5948" i="6"/>
  <c r="F5948" i="6" s="1"/>
  <c r="D5948" i="6"/>
  <c r="C5948" i="6"/>
  <c r="B5948" i="6"/>
  <c r="V5947" i="6"/>
  <c r="T5947" i="6"/>
  <c r="M5947" i="6"/>
  <c r="N5947" i="6"/>
  <c r="O5947" i="6"/>
  <c r="E5947" i="6"/>
  <c r="F5947" i="6"/>
  <c r="D5947" i="6"/>
  <c r="C5947" i="6"/>
  <c r="B5947" i="6"/>
  <c r="V5946" i="6"/>
  <c r="T5946" i="6"/>
  <c r="O5946" i="6"/>
  <c r="N5946" i="6"/>
  <c r="M5946" i="6"/>
  <c r="E5946" i="6"/>
  <c r="F5946" i="6"/>
  <c r="D5946" i="6"/>
  <c r="C5946" i="6"/>
  <c r="B5946" i="6"/>
  <c r="V5945" i="6"/>
  <c r="T5945" i="6"/>
  <c r="O5945" i="6"/>
  <c r="N5945" i="6"/>
  <c r="M5945" i="6"/>
  <c r="E5945" i="6"/>
  <c r="F5945" i="6" s="1"/>
  <c r="D5945" i="6"/>
  <c r="C5945" i="6"/>
  <c r="B5945" i="6"/>
  <c r="V5944" i="6"/>
  <c r="T5944" i="6"/>
  <c r="O5944" i="6"/>
  <c r="N5944" i="6"/>
  <c r="M5944" i="6"/>
  <c r="E5944" i="6"/>
  <c r="F5944" i="6" s="1"/>
  <c r="D5944" i="6"/>
  <c r="C5944" i="6"/>
  <c r="B5944" i="6"/>
  <c r="V5943" i="6"/>
  <c r="T5943" i="6"/>
  <c r="O5943" i="6"/>
  <c r="N5943" i="6"/>
  <c r="M5943" i="6"/>
  <c r="E5943" i="6"/>
  <c r="F5943" i="6" s="1"/>
  <c r="D5943" i="6"/>
  <c r="C5943" i="6"/>
  <c r="B5943" i="6"/>
  <c r="V5942" i="6"/>
  <c r="T5942" i="6"/>
  <c r="O5942" i="6"/>
  <c r="N5942" i="6"/>
  <c r="M5942" i="6"/>
  <c r="E5942" i="6"/>
  <c r="F5942" i="6" s="1"/>
  <c r="D5942" i="6"/>
  <c r="C5942" i="6"/>
  <c r="B5942" i="6"/>
  <c r="V5941" i="6"/>
  <c r="T5941" i="6"/>
  <c r="M5941" i="6"/>
  <c r="N5941" i="6"/>
  <c r="O5941" i="6"/>
  <c r="E5941" i="6"/>
  <c r="F5941" i="6"/>
  <c r="D5941" i="6"/>
  <c r="C5941" i="6"/>
  <c r="B5941" i="6"/>
  <c r="V5940" i="6"/>
  <c r="T5940" i="6"/>
  <c r="O5940" i="6"/>
  <c r="N5940" i="6"/>
  <c r="M5940" i="6"/>
  <c r="E5940" i="6"/>
  <c r="F5940" i="6"/>
  <c r="D5940" i="6"/>
  <c r="C5940" i="6"/>
  <c r="B5940" i="6"/>
  <c r="V5939" i="6"/>
  <c r="T5939" i="6"/>
  <c r="O5939" i="6"/>
  <c r="N5939" i="6"/>
  <c r="M5939" i="6"/>
  <c r="E5939" i="6"/>
  <c r="F5939" i="6" s="1"/>
  <c r="D5939" i="6"/>
  <c r="C5939" i="6"/>
  <c r="B5939" i="6"/>
  <c r="V5938" i="6"/>
  <c r="T5938" i="6"/>
  <c r="O5938" i="6"/>
  <c r="N5938" i="6"/>
  <c r="M5938" i="6"/>
  <c r="E5938" i="6"/>
  <c r="F5938" i="6" s="1"/>
  <c r="D5938" i="6"/>
  <c r="C5938" i="6"/>
  <c r="B5938" i="6"/>
  <c r="V5937" i="6"/>
  <c r="T5937" i="6"/>
  <c r="O5937" i="6"/>
  <c r="M5937" i="6"/>
  <c r="E5937" i="6"/>
  <c r="F5937" i="6" s="1"/>
  <c r="D5937" i="6"/>
  <c r="C5937" i="6"/>
  <c r="B5937" i="6"/>
  <c r="V5936" i="6"/>
  <c r="T5936" i="6"/>
  <c r="O5936" i="6"/>
  <c r="M5936" i="6"/>
  <c r="E5936" i="6"/>
  <c r="F5936" i="6" s="1"/>
  <c r="D5936" i="6"/>
  <c r="C5936" i="6"/>
  <c r="B5936" i="6"/>
  <c r="V5935" i="6"/>
  <c r="T5935" i="6"/>
  <c r="M5935" i="6"/>
  <c r="O5935" i="6"/>
  <c r="E5935" i="6"/>
  <c r="F5935" i="6"/>
  <c r="D5935" i="6"/>
  <c r="C5935" i="6"/>
  <c r="B5935" i="6"/>
  <c r="V5934" i="6"/>
  <c r="T5934" i="6"/>
  <c r="O5934" i="6"/>
  <c r="M5934" i="6"/>
  <c r="E5934" i="6"/>
  <c r="F5934" i="6"/>
  <c r="D5934" i="6"/>
  <c r="C5934" i="6"/>
  <c r="B5934" i="6"/>
  <c r="V5933" i="6"/>
  <c r="T5933" i="6"/>
  <c r="O5933" i="6"/>
  <c r="M5933" i="6"/>
  <c r="E5933" i="6"/>
  <c r="F5933" i="6" s="1"/>
  <c r="D5933" i="6"/>
  <c r="C5933" i="6"/>
  <c r="B5933" i="6"/>
  <c r="V5932" i="6"/>
  <c r="T5932" i="6"/>
  <c r="O5932" i="6"/>
  <c r="M5932" i="6"/>
  <c r="E5932" i="6"/>
  <c r="F5932" i="6" s="1"/>
  <c r="D5932" i="6"/>
  <c r="C5932" i="6"/>
  <c r="B5932" i="6"/>
  <c r="V5931" i="6"/>
  <c r="T5931" i="6"/>
  <c r="O5931" i="6"/>
  <c r="M5931" i="6"/>
  <c r="E5931" i="6"/>
  <c r="F5931" i="6" s="1"/>
  <c r="D5931" i="6"/>
  <c r="C5931" i="6"/>
  <c r="B5931" i="6"/>
  <c r="V5930" i="6"/>
  <c r="T5930" i="6"/>
  <c r="O5930" i="6"/>
  <c r="M5930" i="6"/>
  <c r="E5930" i="6"/>
  <c r="F5930" i="6" s="1"/>
  <c r="D5930" i="6"/>
  <c r="C5930" i="6"/>
  <c r="B5930" i="6"/>
  <c r="V5929" i="6"/>
  <c r="T5929" i="6"/>
  <c r="M5929" i="6"/>
  <c r="O5929" i="6"/>
  <c r="E5929" i="6"/>
  <c r="F5929" i="6"/>
  <c r="D5929" i="6"/>
  <c r="C5929" i="6"/>
  <c r="B5929" i="6"/>
  <c r="V5928" i="6"/>
  <c r="T5928" i="6"/>
  <c r="O5928" i="6"/>
  <c r="M5928" i="6"/>
  <c r="E5928" i="6"/>
  <c r="F5928" i="6"/>
  <c r="D5928" i="6"/>
  <c r="C5928" i="6"/>
  <c r="B5928" i="6"/>
  <c r="V5927" i="6"/>
  <c r="T5927" i="6"/>
  <c r="O5927" i="6"/>
  <c r="M5927" i="6"/>
  <c r="E5927" i="6"/>
  <c r="F5927" i="6" s="1"/>
  <c r="D5927" i="6"/>
  <c r="C5927" i="6"/>
  <c r="B5927" i="6"/>
  <c r="V5926" i="6"/>
  <c r="T5926" i="6"/>
  <c r="O5926" i="6"/>
  <c r="M5926" i="6"/>
  <c r="E5926" i="6"/>
  <c r="F5926" i="6" s="1"/>
  <c r="D5926" i="6"/>
  <c r="C5926" i="6"/>
  <c r="B5926" i="6"/>
  <c r="V5925" i="6"/>
  <c r="T5925" i="6"/>
  <c r="O5925" i="6"/>
  <c r="M5925" i="6"/>
  <c r="E5925" i="6"/>
  <c r="F5925" i="6" s="1"/>
  <c r="D5925" i="6"/>
  <c r="C5925" i="6"/>
  <c r="B5925" i="6"/>
  <c r="V5924" i="6"/>
  <c r="T5924" i="6"/>
  <c r="O5924" i="6"/>
  <c r="M5924" i="6"/>
  <c r="E5924" i="6"/>
  <c r="F5924" i="6" s="1"/>
  <c r="D5924" i="6"/>
  <c r="C5924" i="6"/>
  <c r="B5924" i="6"/>
  <c r="V5923" i="6"/>
  <c r="T5923" i="6"/>
  <c r="M5923" i="6"/>
  <c r="O5923" i="6"/>
  <c r="E5923" i="6"/>
  <c r="F5923" i="6" s="1"/>
  <c r="D5923" i="6"/>
  <c r="C5923" i="6"/>
  <c r="B5923" i="6"/>
  <c r="V5922" i="6"/>
  <c r="T5922" i="6"/>
  <c r="O5922" i="6"/>
  <c r="M5922" i="6"/>
  <c r="E5922" i="6"/>
  <c r="F5922" i="6" s="1"/>
  <c r="D5922" i="6"/>
  <c r="C5922" i="6"/>
  <c r="B5922" i="6"/>
  <c r="V5921" i="6"/>
  <c r="T5921" i="6"/>
  <c r="O5921" i="6"/>
  <c r="M5921" i="6"/>
  <c r="E5921" i="6"/>
  <c r="F5921" i="6" s="1"/>
  <c r="D5921" i="6"/>
  <c r="C5921" i="6"/>
  <c r="B5921" i="6"/>
  <c r="V5920" i="6"/>
  <c r="T5920" i="6"/>
  <c r="O5920" i="6"/>
  <c r="M5920" i="6"/>
  <c r="E5920" i="6"/>
  <c r="F5920" i="6" s="1"/>
  <c r="D5920" i="6"/>
  <c r="C5920" i="6"/>
  <c r="B5920" i="6"/>
  <c r="V5919" i="6"/>
  <c r="T5919" i="6"/>
  <c r="O5919" i="6"/>
  <c r="M5919" i="6"/>
  <c r="E5919" i="6"/>
  <c r="F5919" i="6" s="1"/>
  <c r="D5919" i="6"/>
  <c r="C5919" i="6"/>
  <c r="B5919" i="6"/>
  <c r="V5918" i="6"/>
  <c r="T5918" i="6"/>
  <c r="O5918" i="6"/>
  <c r="M5918" i="6"/>
  <c r="E5918" i="6"/>
  <c r="F5918" i="6" s="1"/>
  <c r="D5918" i="6"/>
  <c r="C5918" i="6"/>
  <c r="B5918" i="6"/>
  <c r="V5917" i="6"/>
  <c r="T5917" i="6"/>
  <c r="M5917" i="6"/>
  <c r="O5917" i="6"/>
  <c r="E5917" i="6"/>
  <c r="F5917" i="6" s="1"/>
  <c r="D5917" i="6"/>
  <c r="C5917" i="6"/>
  <c r="B5917" i="6"/>
  <c r="V5916" i="6"/>
  <c r="T5916" i="6"/>
  <c r="O5916" i="6"/>
  <c r="M5916" i="6"/>
  <c r="E5916" i="6"/>
  <c r="F5916" i="6"/>
  <c r="D5916" i="6"/>
  <c r="C5916" i="6"/>
  <c r="B5916" i="6"/>
  <c r="V5915" i="6"/>
  <c r="T5915" i="6"/>
  <c r="O5915" i="6"/>
  <c r="M5915" i="6"/>
  <c r="E5915" i="6"/>
  <c r="F5915" i="6" s="1"/>
  <c r="D5915" i="6"/>
  <c r="C5915" i="6"/>
  <c r="B5915" i="6"/>
  <c r="V5914" i="6"/>
  <c r="T5914" i="6"/>
  <c r="O5914" i="6"/>
  <c r="M5914" i="6"/>
  <c r="E5914" i="6"/>
  <c r="F5914" i="6" s="1"/>
  <c r="D5914" i="6"/>
  <c r="C5914" i="6"/>
  <c r="B5914" i="6"/>
  <c r="V5913" i="6"/>
  <c r="T5913" i="6"/>
  <c r="O5913" i="6"/>
  <c r="M5913" i="6"/>
  <c r="E5913" i="6"/>
  <c r="F5913" i="6" s="1"/>
  <c r="D5913" i="6"/>
  <c r="C5913" i="6"/>
  <c r="B5913" i="6"/>
  <c r="V5912" i="6"/>
  <c r="T5912" i="6"/>
  <c r="O5912" i="6"/>
  <c r="M5912" i="6"/>
  <c r="E5912" i="6"/>
  <c r="F5912" i="6" s="1"/>
  <c r="D5912" i="6"/>
  <c r="C5912" i="6"/>
  <c r="B5912" i="6"/>
  <c r="V5911" i="6"/>
  <c r="T5911" i="6"/>
  <c r="M5911" i="6"/>
  <c r="O5911" i="6"/>
  <c r="E5911" i="6"/>
  <c r="F5911" i="6" s="1"/>
  <c r="D5911" i="6"/>
  <c r="C5911" i="6"/>
  <c r="B5911" i="6"/>
  <c r="V5910" i="6"/>
  <c r="T5910" i="6"/>
  <c r="O5910" i="6"/>
  <c r="M5910" i="6"/>
  <c r="E5910" i="6"/>
  <c r="F5910" i="6" s="1"/>
  <c r="D5910" i="6"/>
  <c r="C5910" i="6"/>
  <c r="B5910" i="6"/>
  <c r="V5909" i="6"/>
  <c r="T5909" i="6"/>
  <c r="O5909" i="6"/>
  <c r="M5909" i="6"/>
  <c r="E5909" i="6"/>
  <c r="F5909" i="6" s="1"/>
  <c r="D5909" i="6"/>
  <c r="C5909" i="6"/>
  <c r="B5909" i="6"/>
  <c r="V5908" i="6"/>
  <c r="T5908" i="6"/>
  <c r="O5908" i="6"/>
  <c r="M5908" i="6"/>
  <c r="E5908" i="6"/>
  <c r="F5908" i="6" s="1"/>
  <c r="D5908" i="6"/>
  <c r="C5908" i="6"/>
  <c r="B5908" i="6"/>
  <c r="V5907" i="6"/>
  <c r="T5907" i="6"/>
  <c r="O5907" i="6"/>
  <c r="M5907" i="6"/>
  <c r="E5907" i="6"/>
  <c r="F5907" i="6" s="1"/>
  <c r="D5907" i="6"/>
  <c r="C5907" i="6"/>
  <c r="B5907" i="6"/>
  <c r="V5906" i="6"/>
  <c r="T5906" i="6"/>
  <c r="O5906" i="6"/>
  <c r="M5906" i="6"/>
  <c r="E5906" i="6"/>
  <c r="F5906" i="6" s="1"/>
  <c r="D5906" i="6"/>
  <c r="C5906" i="6"/>
  <c r="B5906" i="6"/>
  <c r="V5905" i="6"/>
  <c r="T5905" i="6"/>
  <c r="M5905" i="6"/>
  <c r="O5905" i="6"/>
  <c r="E5905" i="6"/>
  <c r="F5905" i="6" s="1"/>
  <c r="D5905" i="6"/>
  <c r="C5905" i="6"/>
  <c r="B5905" i="6"/>
  <c r="V5904" i="6"/>
  <c r="T5904" i="6"/>
  <c r="H827" i="14"/>
  <c r="O5904" i="6"/>
  <c r="M5904" i="6"/>
  <c r="E5904" i="6"/>
  <c r="F5904" i="6" s="1"/>
  <c r="D5904" i="6"/>
  <c r="C5904" i="6"/>
  <c r="B5904" i="6"/>
  <c r="V5903" i="6"/>
  <c r="T5903" i="6"/>
  <c r="O5903" i="6"/>
  <c r="M5903" i="6"/>
  <c r="E5903" i="6"/>
  <c r="F5903" i="6" s="1"/>
  <c r="D5903" i="6"/>
  <c r="C5903" i="6"/>
  <c r="B5903" i="6"/>
  <c r="V5902" i="6"/>
  <c r="T5902" i="6"/>
  <c r="O5902" i="6"/>
  <c r="M5902" i="6"/>
  <c r="E5902" i="6"/>
  <c r="F5902" i="6" s="1"/>
  <c r="D5902" i="6"/>
  <c r="C5902" i="6"/>
  <c r="B5902" i="6"/>
  <c r="V5901" i="6"/>
  <c r="T5901" i="6"/>
  <c r="O5901" i="6"/>
  <c r="M5901" i="6"/>
  <c r="E5901" i="6"/>
  <c r="F5901" i="6" s="1"/>
  <c r="D5901" i="6"/>
  <c r="C5901" i="6"/>
  <c r="B5901" i="6"/>
  <c r="V5900" i="6"/>
  <c r="T5900" i="6"/>
  <c r="O5900" i="6"/>
  <c r="M5900" i="6"/>
  <c r="E5900" i="6"/>
  <c r="F5900" i="6" s="1"/>
  <c r="D5900" i="6"/>
  <c r="C5900" i="6"/>
  <c r="B5900" i="6"/>
  <c r="V5899" i="6"/>
  <c r="T5899" i="6"/>
  <c r="O5899" i="6"/>
  <c r="M5899" i="6"/>
  <c r="E5899" i="6"/>
  <c r="F5899" i="6" s="1"/>
  <c r="D5899" i="6"/>
  <c r="C5899" i="6"/>
  <c r="B5899" i="6"/>
  <c r="V5898" i="6"/>
  <c r="T5898" i="6"/>
  <c r="O5898" i="6"/>
  <c r="M5898" i="6"/>
  <c r="E5898" i="6"/>
  <c r="F5898" i="6" s="1"/>
  <c r="D5898" i="6"/>
  <c r="C5898" i="6"/>
  <c r="B5898" i="6"/>
  <c r="V5897" i="6"/>
  <c r="T5897" i="6"/>
  <c r="O5897" i="6"/>
  <c r="M5897" i="6"/>
  <c r="E5897" i="6"/>
  <c r="F5897" i="6" s="1"/>
  <c r="D5897" i="6"/>
  <c r="C5897" i="6"/>
  <c r="B5897" i="6"/>
  <c r="V5896" i="6"/>
  <c r="T5896" i="6"/>
  <c r="O5896" i="6"/>
  <c r="M5896" i="6"/>
  <c r="E5896" i="6"/>
  <c r="F5896" i="6" s="1"/>
  <c r="D5896" i="6"/>
  <c r="C5896" i="6"/>
  <c r="B5896" i="6"/>
  <c r="V6231" i="6"/>
  <c r="T6231" i="6"/>
  <c r="O6231" i="6"/>
  <c r="N6231" i="6"/>
  <c r="M6231" i="6"/>
  <c r="E6231" i="6"/>
  <c r="F6231" i="6" s="1"/>
  <c r="D6231" i="6"/>
  <c r="C6231" i="6"/>
  <c r="B6231" i="6"/>
  <c r="V6230" i="6"/>
  <c r="T6230" i="6"/>
  <c r="O6230" i="6"/>
  <c r="N6230" i="6"/>
  <c r="M6230" i="6"/>
  <c r="E6230" i="6"/>
  <c r="F6230" i="6" s="1"/>
  <c r="D6230" i="6"/>
  <c r="C6230" i="6"/>
  <c r="B6230" i="6"/>
  <c r="V6229" i="6"/>
  <c r="T6229" i="6"/>
  <c r="O6229" i="6"/>
  <c r="N6229" i="6"/>
  <c r="M6229" i="6"/>
  <c r="E6229" i="6"/>
  <c r="F6229" i="6" s="1"/>
  <c r="D6229" i="6"/>
  <c r="C6229" i="6"/>
  <c r="B6229" i="6"/>
  <c r="V6228" i="6"/>
  <c r="T6228" i="6"/>
  <c r="O6228" i="6"/>
  <c r="N6228" i="6"/>
  <c r="M6228" i="6"/>
  <c r="E6228" i="6"/>
  <c r="F6228" i="6" s="1"/>
  <c r="D6228" i="6"/>
  <c r="C6228" i="6"/>
  <c r="B6228" i="6"/>
  <c r="V6227" i="6"/>
  <c r="T6227" i="6"/>
  <c r="O6227" i="6"/>
  <c r="N6227" i="6"/>
  <c r="M6227" i="6"/>
  <c r="E6227" i="6"/>
  <c r="F6227" i="6" s="1"/>
  <c r="D6227" i="6"/>
  <c r="C6227" i="6"/>
  <c r="B6227" i="6"/>
  <c r="V6226" i="6"/>
  <c r="T6226" i="6"/>
  <c r="O6226" i="6"/>
  <c r="N6226" i="6"/>
  <c r="M6226" i="6"/>
  <c r="E6226" i="6"/>
  <c r="F6226" i="6" s="1"/>
  <c r="D6226" i="6"/>
  <c r="C6226" i="6"/>
  <c r="B6226" i="6"/>
  <c r="V6225" i="6"/>
  <c r="T6225" i="6"/>
  <c r="O6225" i="6"/>
  <c r="N6225" i="6"/>
  <c r="M6225" i="6"/>
  <c r="E6225" i="6"/>
  <c r="F6225" i="6" s="1"/>
  <c r="D6225" i="6"/>
  <c r="C6225" i="6"/>
  <c r="B6225" i="6"/>
  <c r="V6224" i="6"/>
  <c r="T6224" i="6"/>
  <c r="O6224" i="6"/>
  <c r="N6224" i="6"/>
  <c r="M6224" i="6"/>
  <c r="E6224" i="6"/>
  <c r="F6224" i="6" s="1"/>
  <c r="D6224" i="6"/>
  <c r="C6224" i="6"/>
  <c r="B6224" i="6"/>
  <c r="V6223" i="6"/>
  <c r="T6223" i="6"/>
  <c r="O6223" i="6"/>
  <c r="N6223" i="6"/>
  <c r="M6223" i="6"/>
  <c r="E6223" i="6"/>
  <c r="F6223" i="6" s="1"/>
  <c r="D6223" i="6"/>
  <c r="C6223" i="6"/>
  <c r="B6223" i="6"/>
  <c r="V6222" i="6"/>
  <c r="T6222" i="6"/>
  <c r="O6222" i="6"/>
  <c r="N6222" i="6"/>
  <c r="M6222" i="6"/>
  <c r="E6222" i="6"/>
  <c r="F6222" i="6" s="1"/>
  <c r="D6222" i="6"/>
  <c r="C6222" i="6"/>
  <c r="B6222" i="6"/>
  <c r="V6221" i="6"/>
  <c r="T6221" i="6"/>
  <c r="O6221" i="6"/>
  <c r="N6221" i="6"/>
  <c r="M6221" i="6"/>
  <c r="E6221" i="6"/>
  <c r="F6221" i="6" s="1"/>
  <c r="D6221" i="6"/>
  <c r="C6221" i="6"/>
  <c r="B6221" i="6"/>
  <c r="V6220" i="6"/>
  <c r="T6220" i="6"/>
  <c r="O6220" i="6"/>
  <c r="N6220" i="6"/>
  <c r="M6220" i="6"/>
  <c r="E6220" i="6"/>
  <c r="F6220" i="6" s="1"/>
  <c r="D6220" i="6"/>
  <c r="C6220" i="6"/>
  <c r="B6220" i="6"/>
  <c r="V6219" i="6"/>
  <c r="T6219" i="6"/>
  <c r="O6219" i="6"/>
  <c r="N6219" i="6"/>
  <c r="M6219" i="6"/>
  <c r="E6219" i="6"/>
  <c r="F6219" i="6" s="1"/>
  <c r="D6219" i="6"/>
  <c r="C6219" i="6"/>
  <c r="B6219" i="6"/>
  <c r="V6218" i="6"/>
  <c r="T6218" i="6"/>
  <c r="O6218" i="6"/>
  <c r="N6218" i="6"/>
  <c r="M6218" i="6"/>
  <c r="E6218" i="6"/>
  <c r="F6218" i="6" s="1"/>
  <c r="D6218" i="6"/>
  <c r="C6218" i="6"/>
  <c r="B6218" i="6"/>
  <c r="V6217" i="6"/>
  <c r="T6217" i="6"/>
  <c r="O6217" i="6"/>
  <c r="N6217" i="6"/>
  <c r="M6217" i="6"/>
  <c r="E6217" i="6"/>
  <c r="F6217" i="6" s="1"/>
  <c r="D6217" i="6"/>
  <c r="C6217" i="6"/>
  <c r="B6217" i="6"/>
  <c r="V6216" i="6"/>
  <c r="T6216" i="6"/>
  <c r="O6216" i="6"/>
  <c r="N6216" i="6"/>
  <c r="M6216" i="6"/>
  <c r="E6216" i="6"/>
  <c r="F6216" i="6" s="1"/>
  <c r="D6216" i="6"/>
  <c r="C6216" i="6"/>
  <c r="B6216" i="6"/>
  <c r="V6215" i="6"/>
  <c r="T6215" i="6"/>
  <c r="O6215" i="6"/>
  <c r="N6215" i="6"/>
  <c r="M6215" i="6"/>
  <c r="E6215" i="6"/>
  <c r="F6215" i="6" s="1"/>
  <c r="D6215" i="6"/>
  <c r="C6215" i="6"/>
  <c r="B6215" i="6"/>
  <c r="V6214" i="6"/>
  <c r="T6214" i="6"/>
  <c r="O6214" i="6"/>
  <c r="N6214" i="6"/>
  <c r="M6214" i="6"/>
  <c r="E6214" i="6"/>
  <c r="F6214" i="6" s="1"/>
  <c r="D6214" i="6"/>
  <c r="C6214" i="6"/>
  <c r="B6214" i="6"/>
  <c r="V6213" i="6"/>
  <c r="T6213" i="6"/>
  <c r="O6213" i="6"/>
  <c r="N6213" i="6"/>
  <c r="M6213" i="6"/>
  <c r="E6213" i="6"/>
  <c r="F6213" i="6" s="1"/>
  <c r="D6213" i="6"/>
  <c r="C6213" i="6"/>
  <c r="B6213" i="6"/>
  <c r="V6212" i="6"/>
  <c r="T6212" i="6"/>
  <c r="O6212" i="6"/>
  <c r="N6212" i="6"/>
  <c r="M6212" i="6"/>
  <c r="E6212" i="6"/>
  <c r="F6212" i="6" s="1"/>
  <c r="D6212" i="6"/>
  <c r="C6212" i="6"/>
  <c r="B6212" i="6"/>
  <c r="V6211" i="6"/>
  <c r="T6211" i="6"/>
  <c r="O6211" i="6"/>
  <c r="N6211" i="6"/>
  <c r="M6211" i="6"/>
  <c r="E6211" i="6"/>
  <c r="F6211" i="6" s="1"/>
  <c r="D6211" i="6"/>
  <c r="C6211" i="6"/>
  <c r="B6211" i="6"/>
  <c r="V6210" i="6"/>
  <c r="T6210" i="6"/>
  <c r="O6210" i="6"/>
  <c r="N6210" i="6"/>
  <c r="M6210" i="6"/>
  <c r="E6210" i="6"/>
  <c r="F6210" i="6" s="1"/>
  <c r="D6210" i="6"/>
  <c r="C6210" i="6"/>
  <c r="B6210" i="6"/>
  <c r="V6209" i="6"/>
  <c r="T6209" i="6"/>
  <c r="O6209" i="6"/>
  <c r="N6209" i="6"/>
  <c r="M6209" i="6"/>
  <c r="E6209" i="6"/>
  <c r="F6209" i="6" s="1"/>
  <c r="D6209" i="6"/>
  <c r="C6209" i="6"/>
  <c r="B6209" i="6"/>
  <c r="V6208" i="6"/>
  <c r="T6208" i="6"/>
  <c r="O6208" i="6"/>
  <c r="N6208" i="6"/>
  <c r="M6208" i="6"/>
  <c r="E6208" i="6"/>
  <c r="F6208" i="6" s="1"/>
  <c r="D6208" i="6"/>
  <c r="C6208" i="6"/>
  <c r="B6208" i="6"/>
  <c r="V6207" i="6"/>
  <c r="T6207" i="6"/>
  <c r="O6207" i="6"/>
  <c r="N6207" i="6"/>
  <c r="M6207" i="6"/>
  <c r="E6207" i="6"/>
  <c r="F6207" i="6" s="1"/>
  <c r="D6207" i="6"/>
  <c r="C6207" i="6"/>
  <c r="B6207" i="6"/>
  <c r="V6206" i="6"/>
  <c r="T6206" i="6"/>
  <c r="O6206" i="6"/>
  <c r="N6206" i="6"/>
  <c r="M6206" i="6"/>
  <c r="E6206" i="6"/>
  <c r="F6206" i="6" s="1"/>
  <c r="D6206" i="6"/>
  <c r="C6206" i="6"/>
  <c r="B6206" i="6"/>
  <c r="V6205" i="6"/>
  <c r="T6205" i="6"/>
  <c r="O6205" i="6"/>
  <c r="N6205" i="6"/>
  <c r="M6205" i="6"/>
  <c r="E6205" i="6"/>
  <c r="F6205" i="6" s="1"/>
  <c r="D6205" i="6"/>
  <c r="C6205" i="6"/>
  <c r="B6205" i="6"/>
  <c r="V6204" i="6"/>
  <c r="T6204" i="6"/>
  <c r="O6204" i="6"/>
  <c r="N6204" i="6"/>
  <c r="M6204" i="6"/>
  <c r="E6204" i="6"/>
  <c r="F6204" i="6" s="1"/>
  <c r="D6204" i="6"/>
  <c r="C6204" i="6"/>
  <c r="B6204" i="6"/>
  <c r="V6203" i="6"/>
  <c r="T6203" i="6"/>
  <c r="O6203" i="6"/>
  <c r="N6203" i="6"/>
  <c r="M6203" i="6"/>
  <c r="E6203" i="6"/>
  <c r="F6203" i="6" s="1"/>
  <c r="D6203" i="6"/>
  <c r="C6203" i="6"/>
  <c r="B6203" i="6"/>
  <c r="V6202" i="6"/>
  <c r="T6202" i="6"/>
  <c r="O6202" i="6"/>
  <c r="N6202" i="6"/>
  <c r="M6202" i="6"/>
  <c r="E6202" i="6"/>
  <c r="F6202" i="6" s="1"/>
  <c r="D6202" i="6"/>
  <c r="C6202" i="6"/>
  <c r="B6202" i="6"/>
  <c r="V6201" i="6"/>
  <c r="T6201" i="6"/>
  <c r="O6201" i="6"/>
  <c r="N6201" i="6"/>
  <c r="M6201" i="6"/>
  <c r="E6201" i="6"/>
  <c r="F6201" i="6" s="1"/>
  <c r="D6201" i="6"/>
  <c r="C6201" i="6"/>
  <c r="B6201" i="6"/>
  <c r="V6200" i="6"/>
  <c r="T6200" i="6"/>
  <c r="O6200" i="6"/>
  <c r="N6200" i="6"/>
  <c r="M6200" i="6"/>
  <c r="E6200" i="6"/>
  <c r="F6200" i="6" s="1"/>
  <c r="D6200" i="6"/>
  <c r="C6200" i="6"/>
  <c r="B6200" i="6"/>
  <c r="V6199" i="6"/>
  <c r="T6199" i="6"/>
  <c r="O6199" i="6"/>
  <c r="N6199" i="6"/>
  <c r="M6199" i="6"/>
  <c r="E6199" i="6"/>
  <c r="F6199" i="6" s="1"/>
  <c r="D6199" i="6"/>
  <c r="C6199" i="6"/>
  <c r="B6199" i="6"/>
  <c r="V6198" i="6"/>
  <c r="T6198" i="6"/>
  <c r="O6198" i="6"/>
  <c r="N6198" i="6"/>
  <c r="M6198" i="6"/>
  <c r="E6198" i="6"/>
  <c r="F6198" i="6" s="1"/>
  <c r="D6198" i="6"/>
  <c r="C6198" i="6"/>
  <c r="B6198" i="6"/>
  <c r="V6197" i="6"/>
  <c r="T6197" i="6"/>
  <c r="O6197" i="6"/>
  <c r="N6197" i="6"/>
  <c r="M6197" i="6"/>
  <c r="E6197" i="6"/>
  <c r="F6197" i="6" s="1"/>
  <c r="D6197" i="6"/>
  <c r="C6197" i="6"/>
  <c r="B6197" i="6"/>
  <c r="V6196" i="6"/>
  <c r="T6196" i="6"/>
  <c r="O6196" i="6"/>
  <c r="N6196" i="6"/>
  <c r="M6196" i="6"/>
  <c r="E6196" i="6"/>
  <c r="F6196" i="6" s="1"/>
  <c r="D6196" i="6"/>
  <c r="C6196" i="6"/>
  <c r="B6196" i="6"/>
  <c r="V6195" i="6"/>
  <c r="T6195" i="6"/>
  <c r="O6195" i="6"/>
  <c r="N6195" i="6"/>
  <c r="M6195" i="6"/>
  <c r="E6195" i="6"/>
  <c r="F6195" i="6" s="1"/>
  <c r="D6195" i="6"/>
  <c r="C6195" i="6"/>
  <c r="B6195" i="6"/>
  <c r="V6194" i="6"/>
  <c r="T6194" i="6"/>
  <c r="O6194" i="6"/>
  <c r="N6194" i="6"/>
  <c r="M6194" i="6"/>
  <c r="E6194" i="6"/>
  <c r="F6194" i="6" s="1"/>
  <c r="D6194" i="6"/>
  <c r="C6194" i="6"/>
  <c r="B6194" i="6"/>
  <c r="V6193" i="6"/>
  <c r="T6193" i="6"/>
  <c r="O6193" i="6"/>
  <c r="N6193" i="6"/>
  <c r="M6193" i="6"/>
  <c r="E6193" i="6"/>
  <c r="F6193" i="6" s="1"/>
  <c r="D6193" i="6"/>
  <c r="C6193" i="6"/>
  <c r="B6193" i="6"/>
  <c r="V6192" i="6"/>
  <c r="T6192" i="6"/>
  <c r="O6192" i="6"/>
  <c r="N6192" i="6"/>
  <c r="M6192" i="6"/>
  <c r="E6192" i="6"/>
  <c r="F6192" i="6" s="1"/>
  <c r="D6192" i="6"/>
  <c r="C6192" i="6"/>
  <c r="B6192" i="6"/>
  <c r="V6191" i="6"/>
  <c r="T6191" i="6"/>
  <c r="O6191" i="6"/>
  <c r="N6191" i="6"/>
  <c r="M6191" i="6"/>
  <c r="E6191" i="6"/>
  <c r="F6191" i="6" s="1"/>
  <c r="D6191" i="6"/>
  <c r="C6191" i="6"/>
  <c r="B6191" i="6"/>
  <c r="V6190" i="6"/>
  <c r="T6190" i="6"/>
  <c r="O6190" i="6"/>
  <c r="N6190" i="6"/>
  <c r="M6190" i="6"/>
  <c r="E6190" i="6"/>
  <c r="F6190" i="6" s="1"/>
  <c r="D6190" i="6"/>
  <c r="C6190" i="6"/>
  <c r="B6190" i="6"/>
  <c r="V6189" i="6"/>
  <c r="T6189" i="6"/>
  <c r="O6189" i="6"/>
  <c r="N6189" i="6"/>
  <c r="M6189" i="6"/>
  <c r="E6189" i="6"/>
  <c r="F6189" i="6" s="1"/>
  <c r="D6189" i="6"/>
  <c r="C6189" i="6"/>
  <c r="B6189" i="6"/>
  <c r="V6188" i="6"/>
  <c r="T6188" i="6"/>
  <c r="O6188" i="6"/>
  <c r="M6188" i="6"/>
  <c r="N6188" i="6"/>
  <c r="E6188" i="6"/>
  <c r="F6188" i="6" s="1"/>
  <c r="D6188" i="6"/>
  <c r="C6188" i="6"/>
  <c r="B6188" i="6"/>
  <c r="V6187" i="6"/>
  <c r="T6187" i="6"/>
  <c r="O6187" i="6"/>
  <c r="N6187" i="6"/>
  <c r="M6187" i="6"/>
  <c r="E6187" i="6"/>
  <c r="F6187" i="6" s="1"/>
  <c r="D6187" i="6"/>
  <c r="C6187" i="6"/>
  <c r="B6187" i="6"/>
  <c r="V6186" i="6"/>
  <c r="T6186" i="6"/>
  <c r="O6186" i="6"/>
  <c r="N6186" i="6"/>
  <c r="M6186" i="6"/>
  <c r="E6186" i="6"/>
  <c r="F6186" i="6" s="1"/>
  <c r="D6186" i="6"/>
  <c r="C6186" i="6"/>
  <c r="B6186" i="6"/>
  <c r="V6185" i="6"/>
  <c r="T6185" i="6"/>
  <c r="O6185" i="6"/>
  <c r="M6185" i="6"/>
  <c r="N6185" i="6"/>
  <c r="E6185" i="6"/>
  <c r="F6185" i="6" s="1"/>
  <c r="D6185" i="6"/>
  <c r="C6185" i="6"/>
  <c r="B6185" i="6"/>
  <c r="V6184" i="6"/>
  <c r="T6184" i="6"/>
  <c r="O6184" i="6"/>
  <c r="N6184" i="6"/>
  <c r="M6184" i="6"/>
  <c r="E6184" i="6"/>
  <c r="F6184" i="6" s="1"/>
  <c r="D6184" i="6"/>
  <c r="C6184" i="6"/>
  <c r="B6184" i="6"/>
  <c r="V6183" i="6"/>
  <c r="T6183" i="6"/>
  <c r="O6183" i="6"/>
  <c r="N6183" i="6"/>
  <c r="M6183" i="6"/>
  <c r="E6183" i="6"/>
  <c r="F6183" i="6" s="1"/>
  <c r="D6183" i="6"/>
  <c r="C6183" i="6"/>
  <c r="B6183" i="6"/>
  <c r="V6182" i="6"/>
  <c r="T6182" i="6"/>
  <c r="O6182" i="6"/>
  <c r="M6182" i="6"/>
  <c r="N6182" i="6"/>
  <c r="E6182" i="6"/>
  <c r="F6182" i="6" s="1"/>
  <c r="D6182" i="6"/>
  <c r="C6182" i="6"/>
  <c r="B6182" i="6"/>
  <c r="V6181" i="6"/>
  <c r="T6181" i="6"/>
  <c r="O6181" i="6"/>
  <c r="N6181" i="6"/>
  <c r="M6181" i="6"/>
  <c r="E6181" i="6"/>
  <c r="F6181" i="6" s="1"/>
  <c r="D6181" i="6"/>
  <c r="C6181" i="6"/>
  <c r="B6181" i="6"/>
  <c r="V6180" i="6"/>
  <c r="T6180" i="6"/>
  <c r="O6180" i="6"/>
  <c r="N6180" i="6"/>
  <c r="M6180" i="6"/>
  <c r="E6180" i="6"/>
  <c r="F6180" i="6" s="1"/>
  <c r="D6180" i="6"/>
  <c r="C6180" i="6"/>
  <c r="B6180" i="6"/>
  <c r="V6179" i="6"/>
  <c r="T6179" i="6"/>
  <c r="O6179" i="6"/>
  <c r="M6179" i="6"/>
  <c r="N6179" i="6"/>
  <c r="E6179" i="6"/>
  <c r="F6179" i="6" s="1"/>
  <c r="D6179" i="6"/>
  <c r="C6179" i="6"/>
  <c r="B6179" i="6"/>
  <c r="V6178" i="6"/>
  <c r="T6178" i="6"/>
  <c r="O6178" i="6"/>
  <c r="N6178" i="6"/>
  <c r="M6178" i="6"/>
  <c r="E6178" i="6"/>
  <c r="F6178" i="6" s="1"/>
  <c r="D6178" i="6"/>
  <c r="C6178" i="6"/>
  <c r="B6178" i="6"/>
  <c r="V6177" i="6"/>
  <c r="T6177" i="6"/>
  <c r="O6177" i="6"/>
  <c r="N6177" i="6"/>
  <c r="M6177" i="6"/>
  <c r="E6177" i="6"/>
  <c r="F6177" i="6" s="1"/>
  <c r="D6177" i="6"/>
  <c r="C6177" i="6"/>
  <c r="B6177" i="6"/>
  <c r="V6176" i="6"/>
  <c r="T6176" i="6"/>
  <c r="O6176" i="6"/>
  <c r="N6176" i="6"/>
  <c r="M6176" i="6"/>
  <c r="E6176" i="6"/>
  <c r="F6176" i="6" s="1"/>
  <c r="D6176" i="6"/>
  <c r="C6176" i="6"/>
  <c r="B6176" i="6"/>
  <c r="V6175" i="6"/>
  <c r="T6175" i="6"/>
  <c r="O6175" i="6"/>
  <c r="N6175" i="6"/>
  <c r="M6175" i="6"/>
  <c r="E6175" i="6"/>
  <c r="F6175" i="6" s="1"/>
  <c r="D6175" i="6"/>
  <c r="C6175" i="6"/>
  <c r="B6175" i="6"/>
  <c r="V6174" i="6"/>
  <c r="T6174" i="6"/>
  <c r="O6174" i="6"/>
  <c r="N6174" i="6"/>
  <c r="M6174" i="6"/>
  <c r="E6174" i="6"/>
  <c r="F6174" i="6" s="1"/>
  <c r="D6174" i="6"/>
  <c r="C6174" i="6"/>
  <c r="B6174" i="6"/>
  <c r="V6173" i="6"/>
  <c r="T6173" i="6"/>
  <c r="O6173" i="6"/>
  <c r="N6173" i="6"/>
  <c r="M6173" i="6"/>
  <c r="E6173" i="6"/>
  <c r="F6173" i="6" s="1"/>
  <c r="D6173" i="6"/>
  <c r="C6173" i="6"/>
  <c r="B6173" i="6"/>
  <c r="V6172" i="6"/>
  <c r="T6172" i="6"/>
  <c r="O6172" i="6"/>
  <c r="N6172" i="6"/>
  <c r="M6172" i="6"/>
  <c r="E6172" i="6"/>
  <c r="F6172" i="6" s="1"/>
  <c r="D6172" i="6"/>
  <c r="C6172" i="6"/>
  <c r="B6172" i="6"/>
  <c r="V6171" i="6"/>
  <c r="T6171" i="6"/>
  <c r="O6171" i="6"/>
  <c r="N6171" i="6"/>
  <c r="M6171" i="6"/>
  <c r="E6171" i="6"/>
  <c r="F6171" i="6" s="1"/>
  <c r="D6171" i="6"/>
  <c r="C6171" i="6"/>
  <c r="B6171" i="6"/>
  <c r="V6170" i="6"/>
  <c r="T6170" i="6"/>
  <c r="O6170" i="6"/>
  <c r="N6170" i="6"/>
  <c r="M6170" i="6"/>
  <c r="E6170" i="6"/>
  <c r="F6170" i="6" s="1"/>
  <c r="D6170" i="6"/>
  <c r="C6170" i="6"/>
  <c r="B6170" i="6"/>
  <c r="V6169" i="6"/>
  <c r="T6169" i="6"/>
  <c r="O6169" i="6"/>
  <c r="N6169" i="6"/>
  <c r="M6169" i="6"/>
  <c r="E6169" i="6"/>
  <c r="F6169" i="6" s="1"/>
  <c r="D6169" i="6"/>
  <c r="C6169" i="6"/>
  <c r="B6169" i="6"/>
  <c r="V6168" i="6"/>
  <c r="T6168" i="6"/>
  <c r="O6168" i="6"/>
  <c r="N6168" i="6"/>
  <c r="M6168" i="6"/>
  <c r="E6168" i="6"/>
  <c r="F6168" i="6" s="1"/>
  <c r="D6168" i="6"/>
  <c r="C6168" i="6"/>
  <c r="B6168" i="6"/>
  <c r="V6167" i="6"/>
  <c r="T6167" i="6"/>
  <c r="O6167" i="6"/>
  <c r="N6167" i="6"/>
  <c r="M6167" i="6"/>
  <c r="E6167" i="6"/>
  <c r="F6167" i="6" s="1"/>
  <c r="D6167" i="6"/>
  <c r="C6167" i="6"/>
  <c r="B6167" i="6"/>
  <c r="V6166" i="6"/>
  <c r="T6166" i="6"/>
  <c r="O6166" i="6"/>
  <c r="N6166" i="6"/>
  <c r="M6166" i="6"/>
  <c r="E6166" i="6"/>
  <c r="F6166" i="6" s="1"/>
  <c r="D6166" i="6"/>
  <c r="C6166" i="6"/>
  <c r="B6166" i="6"/>
  <c r="V6165" i="6"/>
  <c r="T6165" i="6"/>
  <c r="O6165" i="6"/>
  <c r="N6165" i="6"/>
  <c r="M6165" i="6"/>
  <c r="E6165" i="6"/>
  <c r="F6165" i="6" s="1"/>
  <c r="D6165" i="6"/>
  <c r="C6165" i="6"/>
  <c r="B6165" i="6"/>
  <c r="V6164" i="6"/>
  <c r="T6164" i="6"/>
  <c r="O6164" i="6"/>
  <c r="N6164" i="6"/>
  <c r="M6164" i="6"/>
  <c r="E6164" i="6"/>
  <c r="F6164" i="6" s="1"/>
  <c r="D6164" i="6"/>
  <c r="C6164" i="6"/>
  <c r="B6164" i="6"/>
  <c r="V6163" i="6"/>
  <c r="T6163" i="6"/>
  <c r="O6163" i="6"/>
  <c r="N6163" i="6"/>
  <c r="M6163" i="6"/>
  <c r="E6163" i="6"/>
  <c r="F6163" i="6" s="1"/>
  <c r="D6163" i="6"/>
  <c r="C6163" i="6"/>
  <c r="B6163" i="6"/>
  <c r="V6162" i="6"/>
  <c r="T6162" i="6"/>
  <c r="O6162" i="6"/>
  <c r="N6162" i="6"/>
  <c r="M6162" i="6"/>
  <c r="E6162" i="6"/>
  <c r="F6162" i="6" s="1"/>
  <c r="D6162" i="6"/>
  <c r="C6162" i="6"/>
  <c r="B6162" i="6"/>
  <c r="V6161" i="6"/>
  <c r="T6161" i="6"/>
  <c r="O6161" i="6"/>
  <c r="N6161" i="6"/>
  <c r="M6161" i="6"/>
  <c r="E6161" i="6"/>
  <c r="F6161" i="6" s="1"/>
  <c r="D6161" i="6"/>
  <c r="C6161" i="6"/>
  <c r="B6161" i="6"/>
  <c r="V6160" i="6"/>
  <c r="T6160" i="6"/>
  <c r="O6160" i="6"/>
  <c r="N6160" i="6"/>
  <c r="M6160" i="6"/>
  <c r="E6160" i="6"/>
  <c r="F6160" i="6" s="1"/>
  <c r="D6160" i="6"/>
  <c r="C6160" i="6"/>
  <c r="B6160" i="6"/>
  <c r="V6159" i="6"/>
  <c r="T6159" i="6"/>
  <c r="O6159" i="6"/>
  <c r="N6159" i="6"/>
  <c r="M6159" i="6"/>
  <c r="E6159" i="6"/>
  <c r="F6159" i="6" s="1"/>
  <c r="D6159" i="6"/>
  <c r="C6159" i="6"/>
  <c r="B6159" i="6"/>
  <c r="V6158" i="6"/>
  <c r="T6158" i="6"/>
  <c r="O6158" i="6"/>
  <c r="N6158" i="6"/>
  <c r="M6158" i="6"/>
  <c r="E6158" i="6"/>
  <c r="F6158" i="6" s="1"/>
  <c r="D6158" i="6"/>
  <c r="C6158" i="6"/>
  <c r="B6158" i="6"/>
  <c r="V6157" i="6"/>
  <c r="T6157" i="6"/>
  <c r="O6157" i="6"/>
  <c r="N6157" i="6"/>
  <c r="M6157" i="6"/>
  <c r="E6157" i="6"/>
  <c r="F6157" i="6" s="1"/>
  <c r="D6157" i="6"/>
  <c r="C6157" i="6"/>
  <c r="B6157" i="6"/>
  <c r="V6156" i="6"/>
  <c r="T6156" i="6"/>
  <c r="O6156" i="6"/>
  <c r="N6156" i="6"/>
  <c r="M6156" i="6"/>
  <c r="E6156" i="6"/>
  <c r="F6156" i="6" s="1"/>
  <c r="D6156" i="6"/>
  <c r="C6156" i="6"/>
  <c r="B6156" i="6"/>
  <c r="V6155" i="6"/>
  <c r="T6155" i="6"/>
  <c r="O6155" i="6"/>
  <c r="N6155" i="6"/>
  <c r="M6155" i="6"/>
  <c r="E6155" i="6"/>
  <c r="F6155" i="6" s="1"/>
  <c r="D6155" i="6"/>
  <c r="C6155" i="6"/>
  <c r="B6155" i="6"/>
  <c r="V6154" i="6"/>
  <c r="T6154" i="6"/>
  <c r="O6154" i="6"/>
  <c r="N6154" i="6"/>
  <c r="M6154" i="6"/>
  <c r="E6154" i="6"/>
  <c r="F6154" i="6" s="1"/>
  <c r="D6154" i="6"/>
  <c r="C6154" i="6"/>
  <c r="B6154" i="6"/>
  <c r="V6153" i="6"/>
  <c r="T6153" i="6"/>
  <c r="O6153" i="6"/>
  <c r="N6153" i="6"/>
  <c r="M6153" i="6"/>
  <c r="E6153" i="6"/>
  <c r="F6153" i="6" s="1"/>
  <c r="D6153" i="6"/>
  <c r="C6153" i="6"/>
  <c r="B6153" i="6"/>
  <c r="V6152" i="6"/>
  <c r="T6152" i="6"/>
  <c r="O6152" i="6"/>
  <c r="N6152" i="6"/>
  <c r="M6152" i="6"/>
  <c r="E6152" i="6"/>
  <c r="F6152" i="6" s="1"/>
  <c r="D6152" i="6"/>
  <c r="C6152" i="6"/>
  <c r="B6152" i="6"/>
  <c r="V6151" i="6"/>
  <c r="T6151" i="6"/>
  <c r="O6151" i="6"/>
  <c r="N6151" i="6"/>
  <c r="M6151" i="6"/>
  <c r="E6151" i="6"/>
  <c r="F6151" i="6" s="1"/>
  <c r="D6151" i="6"/>
  <c r="C6151" i="6"/>
  <c r="B6151" i="6"/>
  <c r="V6150" i="6"/>
  <c r="T6150" i="6"/>
  <c r="O6150" i="6"/>
  <c r="N6150" i="6"/>
  <c r="M6150" i="6"/>
  <c r="E6150" i="6"/>
  <c r="F6150" i="6" s="1"/>
  <c r="D6150" i="6"/>
  <c r="C6150" i="6"/>
  <c r="B6150" i="6"/>
  <c r="V6149" i="6"/>
  <c r="M6149" i="6"/>
  <c r="N6149" i="6"/>
  <c r="O6149" i="6"/>
  <c r="T6149" i="6"/>
  <c r="E6149" i="6"/>
  <c r="F6149" i="6" s="1"/>
  <c r="D6149" i="6"/>
  <c r="C6149" i="6"/>
  <c r="B6149" i="6"/>
  <c r="V6148" i="6"/>
  <c r="T6148" i="6"/>
  <c r="O6148" i="6"/>
  <c r="N6148" i="6"/>
  <c r="M6148" i="6"/>
  <c r="E6148" i="6"/>
  <c r="F6148" i="6" s="1"/>
  <c r="D6148" i="6"/>
  <c r="C6148" i="6"/>
  <c r="B6148" i="6"/>
  <c r="V6147" i="6"/>
  <c r="T6147" i="6"/>
  <c r="O6147" i="6"/>
  <c r="N6147" i="6"/>
  <c r="M6147" i="6"/>
  <c r="E6147" i="6"/>
  <c r="F6147" i="6" s="1"/>
  <c r="D6147" i="6"/>
  <c r="C6147" i="6"/>
  <c r="B6147" i="6"/>
  <c r="V6146" i="6"/>
  <c r="T6146" i="6"/>
  <c r="O6146" i="6"/>
  <c r="N6146" i="6"/>
  <c r="M6146" i="6"/>
  <c r="E6146" i="6"/>
  <c r="F6146" i="6" s="1"/>
  <c r="D6146" i="6"/>
  <c r="C6146" i="6"/>
  <c r="B6146" i="6"/>
  <c r="V6145" i="6"/>
  <c r="T6145" i="6"/>
  <c r="O6145" i="6"/>
  <c r="N6145" i="6"/>
  <c r="M6145" i="6"/>
  <c r="E6145" i="6"/>
  <c r="F6145" i="6" s="1"/>
  <c r="D6145" i="6"/>
  <c r="C6145" i="6"/>
  <c r="B6145" i="6"/>
  <c r="V6144" i="6"/>
  <c r="T6144" i="6"/>
  <c r="O6144" i="6"/>
  <c r="N6144" i="6"/>
  <c r="M6144" i="6"/>
  <c r="E6144" i="6"/>
  <c r="F6144" i="6" s="1"/>
  <c r="D6144" i="6"/>
  <c r="C6144" i="6"/>
  <c r="B6144" i="6"/>
  <c r="V6143" i="6"/>
  <c r="T6143" i="6"/>
  <c r="O6143" i="6"/>
  <c r="N6143" i="6"/>
  <c r="M6143" i="6"/>
  <c r="E6143" i="6"/>
  <c r="F6143" i="6" s="1"/>
  <c r="D6143" i="6"/>
  <c r="C6143" i="6"/>
  <c r="B6143" i="6"/>
  <c r="V6142" i="6"/>
  <c r="T6142" i="6"/>
  <c r="O6142" i="6"/>
  <c r="N6142" i="6"/>
  <c r="M6142" i="6"/>
  <c r="E6142" i="6"/>
  <c r="F6142" i="6" s="1"/>
  <c r="D6142" i="6"/>
  <c r="C6142" i="6"/>
  <c r="B6142" i="6"/>
  <c r="V6141" i="6"/>
  <c r="T6141" i="6"/>
  <c r="O6141" i="6"/>
  <c r="N6141" i="6"/>
  <c r="M6141" i="6"/>
  <c r="E6141" i="6"/>
  <c r="F6141" i="6" s="1"/>
  <c r="D6141" i="6"/>
  <c r="C6141" i="6"/>
  <c r="B6141" i="6"/>
  <c r="V6140" i="6"/>
  <c r="T6140" i="6"/>
  <c r="O6140" i="6"/>
  <c r="N6140" i="6"/>
  <c r="M6140" i="6"/>
  <c r="E6140" i="6"/>
  <c r="F6140" i="6" s="1"/>
  <c r="D6140" i="6"/>
  <c r="C6140" i="6"/>
  <c r="B6140" i="6"/>
  <c r="V6139" i="6"/>
  <c r="T6139" i="6"/>
  <c r="O6139" i="6"/>
  <c r="N6139" i="6"/>
  <c r="M6139" i="6"/>
  <c r="E6139" i="6"/>
  <c r="F6139" i="6" s="1"/>
  <c r="D6139" i="6"/>
  <c r="C6139" i="6"/>
  <c r="B6139" i="6"/>
  <c r="V6138" i="6"/>
  <c r="T6138" i="6"/>
  <c r="O6138" i="6"/>
  <c r="N6138" i="6"/>
  <c r="M6138" i="6"/>
  <c r="E6138" i="6"/>
  <c r="F6138" i="6" s="1"/>
  <c r="D6138" i="6"/>
  <c r="C6138" i="6"/>
  <c r="B6138" i="6"/>
  <c r="V6137" i="6"/>
  <c r="T6137" i="6"/>
  <c r="O6137" i="6"/>
  <c r="N6137" i="6"/>
  <c r="M6137" i="6"/>
  <c r="E6137" i="6"/>
  <c r="F6137" i="6" s="1"/>
  <c r="D6137" i="6"/>
  <c r="C6137" i="6"/>
  <c r="B6137" i="6"/>
  <c r="V6136" i="6"/>
  <c r="T6136" i="6"/>
  <c r="O6136" i="6"/>
  <c r="N6136" i="6"/>
  <c r="M6136" i="6"/>
  <c r="E6136" i="6"/>
  <c r="F6136" i="6" s="1"/>
  <c r="D6136" i="6"/>
  <c r="C6136" i="6"/>
  <c r="B6136" i="6"/>
  <c r="V6135" i="6"/>
  <c r="T6135" i="6"/>
  <c r="O6135" i="6"/>
  <c r="N6135" i="6"/>
  <c r="M6135" i="6"/>
  <c r="E6135" i="6"/>
  <c r="F6135" i="6" s="1"/>
  <c r="D6135" i="6"/>
  <c r="C6135" i="6"/>
  <c r="B6135" i="6"/>
  <c r="V6134" i="6"/>
  <c r="T6134" i="6"/>
  <c r="O6134" i="6"/>
  <c r="N6134" i="6"/>
  <c r="M6134" i="6"/>
  <c r="E6134" i="6"/>
  <c r="F6134" i="6" s="1"/>
  <c r="D6134" i="6"/>
  <c r="C6134" i="6"/>
  <c r="B6134" i="6"/>
  <c r="V6133" i="6"/>
  <c r="T6133" i="6"/>
  <c r="O6133" i="6"/>
  <c r="N6133" i="6"/>
  <c r="M6133" i="6"/>
  <c r="E6133" i="6"/>
  <c r="F6133" i="6" s="1"/>
  <c r="D6133" i="6"/>
  <c r="C6133" i="6"/>
  <c r="B6133" i="6"/>
  <c r="V6132" i="6"/>
  <c r="T6132" i="6"/>
  <c r="M6132" i="6"/>
  <c r="N6132" i="6"/>
  <c r="O6132" i="6"/>
  <c r="E6132" i="6"/>
  <c r="F6132" i="6" s="1"/>
  <c r="D6132" i="6"/>
  <c r="C6132" i="6"/>
  <c r="B6132" i="6"/>
  <c r="V6131" i="6"/>
  <c r="T6131" i="6"/>
  <c r="O6131" i="6"/>
  <c r="M6131" i="6"/>
  <c r="N6131" i="6"/>
  <c r="E6131" i="6"/>
  <c r="F6131" i="6" s="1"/>
  <c r="D6131" i="6"/>
  <c r="C6131" i="6"/>
  <c r="B6131" i="6"/>
  <c r="V6130" i="6"/>
  <c r="T6130" i="6"/>
  <c r="O6130" i="6"/>
  <c r="M6130" i="6"/>
  <c r="N6130" i="6"/>
  <c r="E6130" i="6"/>
  <c r="F6130" i="6" s="1"/>
  <c r="D6130" i="6"/>
  <c r="C6130" i="6"/>
  <c r="B6130" i="6"/>
  <c r="V6129" i="6"/>
  <c r="T6129" i="6"/>
  <c r="O6129" i="6"/>
  <c r="N6129" i="6"/>
  <c r="M6129" i="6"/>
  <c r="E6129" i="6"/>
  <c r="F6129" i="6" s="1"/>
  <c r="D6129" i="6"/>
  <c r="C6129" i="6"/>
  <c r="B6129" i="6"/>
  <c r="V6128" i="6"/>
  <c r="T6128" i="6"/>
  <c r="O6128" i="6"/>
  <c r="N6128" i="6"/>
  <c r="M6128" i="6"/>
  <c r="E6128" i="6"/>
  <c r="F6128" i="6" s="1"/>
  <c r="D6128" i="6"/>
  <c r="C6128" i="6"/>
  <c r="B6128" i="6"/>
  <c r="V6127" i="6"/>
  <c r="T6127" i="6"/>
  <c r="O6127" i="6"/>
  <c r="N6127" i="6"/>
  <c r="M6127" i="6"/>
  <c r="E6127" i="6"/>
  <c r="F6127" i="6" s="1"/>
  <c r="D6127" i="6"/>
  <c r="C6127" i="6"/>
  <c r="B6127" i="6"/>
  <c r="V6126" i="6"/>
  <c r="T6126" i="6"/>
  <c r="M6126" i="6"/>
  <c r="N6126" i="6"/>
  <c r="O6126" i="6"/>
  <c r="E6126" i="6"/>
  <c r="F6126" i="6" s="1"/>
  <c r="D6126" i="6"/>
  <c r="C6126" i="6"/>
  <c r="B6126" i="6"/>
  <c r="V6125" i="6"/>
  <c r="T6125" i="6"/>
  <c r="O6125" i="6"/>
  <c r="M6125" i="6"/>
  <c r="N6125" i="6"/>
  <c r="E6125" i="6"/>
  <c r="F6125" i="6" s="1"/>
  <c r="D6125" i="6"/>
  <c r="C6125" i="6"/>
  <c r="B6125" i="6"/>
  <c r="V6124" i="6"/>
  <c r="T6124" i="6"/>
  <c r="O6124" i="6"/>
  <c r="N6124" i="6"/>
  <c r="M6124" i="6"/>
  <c r="E6124" i="6"/>
  <c r="F6124" i="6" s="1"/>
  <c r="D6124" i="6"/>
  <c r="C6124" i="6"/>
  <c r="B6124" i="6"/>
  <c r="V6123" i="6"/>
  <c r="T6123" i="6"/>
  <c r="O6123" i="6"/>
  <c r="N6123" i="6"/>
  <c r="M6123" i="6"/>
  <c r="E6123" i="6"/>
  <c r="F6123" i="6" s="1"/>
  <c r="D6123" i="6"/>
  <c r="C6123" i="6"/>
  <c r="B6123" i="6"/>
  <c r="V6122" i="6"/>
  <c r="T6122" i="6"/>
  <c r="O6122" i="6"/>
  <c r="N6122" i="6"/>
  <c r="M6122" i="6"/>
  <c r="E6122" i="6"/>
  <c r="F6122" i="6" s="1"/>
  <c r="D6122" i="6"/>
  <c r="C6122" i="6"/>
  <c r="B6122" i="6"/>
  <c r="V6121" i="6"/>
  <c r="T6121" i="6"/>
  <c r="O6121" i="6"/>
  <c r="N6121" i="6"/>
  <c r="M6121" i="6"/>
  <c r="E6121" i="6"/>
  <c r="F6121" i="6" s="1"/>
  <c r="D6121" i="6"/>
  <c r="C6121" i="6"/>
  <c r="B6121" i="6"/>
  <c r="V6120" i="6"/>
  <c r="T6120" i="6"/>
  <c r="O6120" i="6"/>
  <c r="N6120" i="6"/>
  <c r="M6120" i="6"/>
  <c r="E6120" i="6"/>
  <c r="F6120" i="6" s="1"/>
  <c r="D6120" i="6"/>
  <c r="C6120" i="6"/>
  <c r="B6120" i="6"/>
  <c r="V6287" i="6"/>
  <c r="T6287" i="6"/>
  <c r="O6287" i="6"/>
  <c r="N6287" i="6"/>
  <c r="M6287" i="6"/>
  <c r="E6287" i="6"/>
  <c r="F6287" i="6" s="1"/>
  <c r="D6287" i="6"/>
  <c r="C6287" i="6"/>
  <c r="B6287" i="6"/>
  <c r="V6286" i="6"/>
  <c r="T6286" i="6"/>
  <c r="M6286" i="6"/>
  <c r="N6286" i="6"/>
  <c r="O6286" i="6"/>
  <c r="E6286" i="6"/>
  <c r="F6286" i="6" s="1"/>
  <c r="D6286" i="6"/>
  <c r="C6286" i="6"/>
  <c r="B6286" i="6"/>
  <c r="V6285" i="6"/>
  <c r="T6285" i="6"/>
  <c r="O6285" i="6"/>
  <c r="N6285" i="6"/>
  <c r="M6285" i="6"/>
  <c r="E6285" i="6"/>
  <c r="F6285" i="6" s="1"/>
  <c r="D6285" i="6"/>
  <c r="C6285" i="6"/>
  <c r="B6285" i="6"/>
  <c r="V6284" i="6"/>
  <c r="T6284" i="6"/>
  <c r="O6284" i="6"/>
  <c r="N6284" i="6"/>
  <c r="M6284" i="6"/>
  <c r="E6284" i="6"/>
  <c r="F6284" i="6" s="1"/>
  <c r="D6284" i="6"/>
  <c r="C6284" i="6"/>
  <c r="B6284" i="6"/>
  <c r="V6283" i="6"/>
  <c r="T6283" i="6"/>
  <c r="M6283" i="6"/>
  <c r="N6283" i="6"/>
  <c r="O6283" i="6"/>
  <c r="E6283" i="6"/>
  <c r="F6283" i="6" s="1"/>
  <c r="D6283" i="6"/>
  <c r="C6283" i="6"/>
  <c r="B6283" i="6"/>
  <c r="V6282" i="6"/>
  <c r="T6282" i="6"/>
  <c r="O6282" i="6"/>
  <c r="N6282" i="6"/>
  <c r="M6282" i="6"/>
  <c r="E6282" i="6"/>
  <c r="F6282" i="6" s="1"/>
  <c r="D6282" i="6"/>
  <c r="C6282" i="6"/>
  <c r="B6282" i="6"/>
  <c r="V6281" i="6"/>
  <c r="T6281" i="6"/>
  <c r="O6281" i="6"/>
  <c r="N6281" i="6"/>
  <c r="M6281" i="6"/>
  <c r="E6281" i="6"/>
  <c r="F6281" i="6" s="1"/>
  <c r="D6281" i="6"/>
  <c r="C6281" i="6"/>
  <c r="B6281" i="6"/>
  <c r="V6280" i="6"/>
  <c r="T6280" i="6"/>
  <c r="O6280" i="6"/>
  <c r="M6280" i="6"/>
  <c r="N6280" i="6"/>
  <c r="E6280" i="6"/>
  <c r="F6280" i="6" s="1"/>
  <c r="D6280" i="6"/>
  <c r="C6280" i="6"/>
  <c r="B6280" i="6"/>
  <c r="V6279" i="6"/>
  <c r="T6279" i="6"/>
  <c r="O6279" i="6"/>
  <c r="N6279" i="6"/>
  <c r="M6279" i="6"/>
  <c r="E6279" i="6"/>
  <c r="F6279" i="6" s="1"/>
  <c r="D6279" i="6"/>
  <c r="C6279" i="6"/>
  <c r="B6279" i="6"/>
  <c r="V6278" i="6"/>
  <c r="T6278" i="6"/>
  <c r="O6278" i="6"/>
  <c r="N6278" i="6"/>
  <c r="M6278" i="6"/>
  <c r="E6278" i="6"/>
  <c r="F6278" i="6" s="1"/>
  <c r="D6278" i="6"/>
  <c r="C6278" i="6"/>
  <c r="B6278" i="6"/>
  <c r="V6277" i="6"/>
  <c r="T6277" i="6"/>
  <c r="O6277" i="6"/>
  <c r="M6277" i="6"/>
  <c r="N6277" i="6"/>
  <c r="E6277" i="6"/>
  <c r="F6277" i="6" s="1"/>
  <c r="D6277" i="6"/>
  <c r="C6277" i="6"/>
  <c r="B6277" i="6"/>
  <c r="V6276" i="6"/>
  <c r="T6276" i="6"/>
  <c r="O6276" i="6"/>
  <c r="N6276" i="6"/>
  <c r="M6276" i="6"/>
  <c r="E6276" i="6"/>
  <c r="F6276" i="6" s="1"/>
  <c r="D6276" i="6"/>
  <c r="C6276" i="6"/>
  <c r="B6276" i="6"/>
  <c r="V6275" i="6"/>
  <c r="T6275" i="6"/>
  <c r="O6275" i="6"/>
  <c r="N6275" i="6"/>
  <c r="M6275" i="6"/>
  <c r="E6275" i="6"/>
  <c r="F6275" i="6" s="1"/>
  <c r="D6275" i="6"/>
  <c r="C6275" i="6"/>
  <c r="B6275" i="6"/>
  <c r="V6274" i="6"/>
  <c r="T6274" i="6"/>
  <c r="O6274" i="6"/>
  <c r="N6274" i="6"/>
  <c r="M6274" i="6"/>
  <c r="E6274" i="6"/>
  <c r="F6274" i="6" s="1"/>
  <c r="D6274" i="6"/>
  <c r="C6274" i="6"/>
  <c r="B6274" i="6"/>
  <c r="V6273" i="6"/>
  <c r="T6273" i="6"/>
  <c r="O6273" i="6"/>
  <c r="N6273" i="6"/>
  <c r="M6273" i="6"/>
  <c r="E6273" i="6"/>
  <c r="F6273" i="6" s="1"/>
  <c r="D6273" i="6"/>
  <c r="C6273" i="6"/>
  <c r="B6273" i="6"/>
  <c r="V6272" i="6"/>
  <c r="T6272" i="6"/>
  <c r="O6272" i="6"/>
  <c r="N6272" i="6"/>
  <c r="M6272" i="6"/>
  <c r="E6272" i="6"/>
  <c r="F6272" i="6" s="1"/>
  <c r="D6272" i="6"/>
  <c r="C6272" i="6"/>
  <c r="B6272" i="6"/>
  <c r="V6271" i="6"/>
  <c r="T6271" i="6"/>
  <c r="O6271" i="6"/>
  <c r="N6271" i="6"/>
  <c r="M6271" i="6"/>
  <c r="E6271" i="6"/>
  <c r="F6271" i="6" s="1"/>
  <c r="D6271" i="6"/>
  <c r="C6271" i="6"/>
  <c r="B6271" i="6"/>
  <c r="V6270" i="6"/>
  <c r="T6270" i="6"/>
  <c r="O6270" i="6"/>
  <c r="N6270" i="6"/>
  <c r="M6270" i="6"/>
  <c r="E6270" i="6"/>
  <c r="F6270" i="6" s="1"/>
  <c r="D6270" i="6"/>
  <c r="C6270" i="6"/>
  <c r="B6270" i="6"/>
  <c r="V6269" i="6"/>
  <c r="T6269" i="6"/>
  <c r="O6269" i="6"/>
  <c r="N6269" i="6"/>
  <c r="M6269" i="6"/>
  <c r="E6269" i="6"/>
  <c r="F6269" i="6" s="1"/>
  <c r="D6269" i="6"/>
  <c r="C6269" i="6"/>
  <c r="B6269" i="6"/>
  <c r="V6268" i="6"/>
  <c r="T6268" i="6"/>
  <c r="O6268" i="6"/>
  <c r="N6268" i="6"/>
  <c r="M6268" i="6"/>
  <c r="E6268" i="6"/>
  <c r="F6268" i="6" s="1"/>
  <c r="D6268" i="6"/>
  <c r="C6268" i="6"/>
  <c r="B6268" i="6"/>
  <c r="V6267" i="6"/>
  <c r="T6267" i="6"/>
  <c r="O6267" i="6"/>
  <c r="N6267" i="6"/>
  <c r="M6267" i="6"/>
  <c r="E6267" i="6"/>
  <c r="F6267" i="6" s="1"/>
  <c r="D6267" i="6"/>
  <c r="C6267" i="6"/>
  <c r="B6267" i="6"/>
  <c r="V6266" i="6"/>
  <c r="T6266" i="6"/>
  <c r="O6266" i="6"/>
  <c r="N6266" i="6"/>
  <c r="M6266" i="6"/>
  <c r="E6266" i="6"/>
  <c r="F6266" i="6" s="1"/>
  <c r="D6266" i="6"/>
  <c r="C6266" i="6"/>
  <c r="B6266" i="6"/>
  <c r="V6265" i="6"/>
  <c r="T6265" i="6"/>
  <c r="O6265" i="6"/>
  <c r="N6265" i="6"/>
  <c r="M6265" i="6"/>
  <c r="E6265" i="6"/>
  <c r="F6265" i="6" s="1"/>
  <c r="D6265" i="6"/>
  <c r="C6265" i="6"/>
  <c r="B6265" i="6"/>
  <c r="V6264" i="6"/>
  <c r="T6264" i="6"/>
  <c r="O6264" i="6"/>
  <c r="N6264" i="6"/>
  <c r="M6264" i="6"/>
  <c r="E6264" i="6"/>
  <c r="F6264" i="6" s="1"/>
  <c r="D6264" i="6"/>
  <c r="C6264" i="6"/>
  <c r="B6264" i="6"/>
  <c r="V6263" i="6"/>
  <c r="T6263" i="6"/>
  <c r="O6263" i="6"/>
  <c r="N6263" i="6"/>
  <c r="M6263" i="6"/>
  <c r="E6263" i="6"/>
  <c r="F6263" i="6" s="1"/>
  <c r="D6263" i="6"/>
  <c r="C6263" i="6"/>
  <c r="B6263" i="6"/>
  <c r="V6262" i="6"/>
  <c r="T6262" i="6"/>
  <c r="O6262" i="6"/>
  <c r="N6262" i="6"/>
  <c r="M6262" i="6"/>
  <c r="E6262" i="6"/>
  <c r="F6262" i="6" s="1"/>
  <c r="D6262" i="6"/>
  <c r="C6262" i="6"/>
  <c r="B6262" i="6"/>
  <c r="V6261" i="6"/>
  <c r="T6261" i="6"/>
  <c r="O6261" i="6"/>
  <c r="N6261" i="6"/>
  <c r="M6261" i="6"/>
  <c r="E6261" i="6"/>
  <c r="F6261" i="6" s="1"/>
  <c r="D6261" i="6"/>
  <c r="C6261" i="6"/>
  <c r="B6261" i="6"/>
  <c r="V6260" i="6"/>
  <c r="T6260" i="6"/>
  <c r="O6260" i="6"/>
  <c r="N6260" i="6"/>
  <c r="M6260" i="6"/>
  <c r="E6260" i="6"/>
  <c r="F6260" i="6" s="1"/>
  <c r="D6260" i="6"/>
  <c r="C6260" i="6"/>
  <c r="B6260" i="6"/>
  <c r="V6259" i="6"/>
  <c r="T6259" i="6"/>
  <c r="O6259" i="6"/>
  <c r="N6259" i="6"/>
  <c r="M6259" i="6"/>
  <c r="E6259" i="6"/>
  <c r="F6259" i="6" s="1"/>
  <c r="D6259" i="6"/>
  <c r="C6259" i="6"/>
  <c r="B6259" i="6"/>
  <c r="V6258" i="6"/>
  <c r="T6258" i="6"/>
  <c r="O6258" i="6"/>
  <c r="N6258" i="6"/>
  <c r="M6258" i="6"/>
  <c r="E6258" i="6"/>
  <c r="F6258" i="6" s="1"/>
  <c r="D6258" i="6"/>
  <c r="C6258" i="6"/>
  <c r="B6258" i="6"/>
  <c r="V6257" i="6"/>
  <c r="T6257" i="6"/>
  <c r="O6257" i="6"/>
  <c r="N6257" i="6"/>
  <c r="M6257" i="6"/>
  <c r="E6257" i="6"/>
  <c r="F6257" i="6" s="1"/>
  <c r="D6257" i="6"/>
  <c r="C6257" i="6"/>
  <c r="B6257" i="6"/>
  <c r="V6256" i="6"/>
  <c r="T6256" i="6"/>
  <c r="O6256" i="6"/>
  <c r="N6256" i="6"/>
  <c r="M6256" i="6"/>
  <c r="E6256" i="6"/>
  <c r="F6256" i="6" s="1"/>
  <c r="D6256" i="6"/>
  <c r="C6256" i="6"/>
  <c r="B6256" i="6"/>
  <c r="V6255" i="6"/>
  <c r="T6255" i="6"/>
  <c r="O6255" i="6"/>
  <c r="N6255" i="6"/>
  <c r="M6255" i="6"/>
  <c r="E6255" i="6"/>
  <c r="F6255" i="6" s="1"/>
  <c r="D6255" i="6"/>
  <c r="C6255" i="6"/>
  <c r="B6255" i="6"/>
  <c r="V6254" i="6"/>
  <c r="T6254" i="6"/>
  <c r="O6254" i="6"/>
  <c r="N6254" i="6"/>
  <c r="M6254" i="6"/>
  <c r="E6254" i="6"/>
  <c r="F6254" i="6" s="1"/>
  <c r="D6254" i="6"/>
  <c r="C6254" i="6"/>
  <c r="B6254" i="6"/>
  <c r="V6253" i="6"/>
  <c r="T6253" i="6"/>
  <c r="O6253" i="6"/>
  <c r="N6253" i="6"/>
  <c r="M6253" i="6"/>
  <c r="E6253" i="6"/>
  <c r="F6253" i="6" s="1"/>
  <c r="D6253" i="6"/>
  <c r="C6253" i="6"/>
  <c r="B6253" i="6"/>
  <c r="V6252" i="6"/>
  <c r="T6252" i="6"/>
  <c r="O6252" i="6"/>
  <c r="N6252" i="6"/>
  <c r="M6252" i="6"/>
  <c r="E6252" i="6"/>
  <c r="F6252" i="6" s="1"/>
  <c r="D6252" i="6"/>
  <c r="C6252" i="6"/>
  <c r="B6252" i="6"/>
  <c r="V6251" i="6"/>
  <c r="T6251" i="6"/>
  <c r="O6251" i="6"/>
  <c r="N6251" i="6"/>
  <c r="M6251" i="6"/>
  <c r="E6251" i="6"/>
  <c r="F6251" i="6" s="1"/>
  <c r="D6251" i="6"/>
  <c r="C6251" i="6"/>
  <c r="B6251" i="6"/>
  <c r="V6250" i="6"/>
  <c r="T6250" i="6"/>
  <c r="O6250" i="6"/>
  <c r="N6250" i="6"/>
  <c r="M6250" i="6"/>
  <c r="E6250" i="6"/>
  <c r="F6250" i="6" s="1"/>
  <c r="D6250" i="6"/>
  <c r="C6250" i="6"/>
  <c r="B6250" i="6"/>
  <c r="V6249" i="6"/>
  <c r="T6249" i="6"/>
  <c r="O6249" i="6"/>
  <c r="N6249" i="6"/>
  <c r="M6249" i="6"/>
  <c r="E6249" i="6"/>
  <c r="F6249" i="6" s="1"/>
  <c r="D6249" i="6"/>
  <c r="C6249" i="6"/>
  <c r="B6249" i="6"/>
  <c r="V6248" i="6"/>
  <c r="T6248" i="6"/>
  <c r="O6248" i="6"/>
  <c r="N6248" i="6"/>
  <c r="M6248" i="6"/>
  <c r="E6248" i="6"/>
  <c r="F6248" i="6" s="1"/>
  <c r="D6248" i="6"/>
  <c r="C6248" i="6"/>
  <c r="B6248" i="6"/>
  <c r="V6247" i="6"/>
  <c r="T6247" i="6"/>
  <c r="O6247" i="6"/>
  <c r="N6247" i="6"/>
  <c r="M6247" i="6"/>
  <c r="E6247" i="6"/>
  <c r="F6247" i="6" s="1"/>
  <c r="D6247" i="6"/>
  <c r="C6247" i="6"/>
  <c r="B6247" i="6"/>
  <c r="V6246" i="6"/>
  <c r="T6246" i="6"/>
  <c r="O6246" i="6"/>
  <c r="N6246" i="6"/>
  <c r="M6246" i="6"/>
  <c r="E6246" i="6"/>
  <c r="F6246" i="6" s="1"/>
  <c r="D6246" i="6"/>
  <c r="C6246" i="6"/>
  <c r="B6246" i="6"/>
  <c r="V6245" i="6"/>
  <c r="T6245" i="6"/>
  <c r="O6245" i="6"/>
  <c r="N6245" i="6"/>
  <c r="M6245" i="6"/>
  <c r="E6245" i="6"/>
  <c r="F6245" i="6" s="1"/>
  <c r="D6245" i="6"/>
  <c r="C6245" i="6"/>
  <c r="B6245" i="6"/>
  <c r="V6244" i="6"/>
  <c r="T6244" i="6"/>
  <c r="O6244" i="6"/>
  <c r="N6244" i="6"/>
  <c r="M6244" i="6"/>
  <c r="E6244" i="6"/>
  <c r="F6244" i="6" s="1"/>
  <c r="D6244" i="6"/>
  <c r="C6244" i="6"/>
  <c r="B6244" i="6"/>
  <c r="V6243" i="6"/>
  <c r="T6243" i="6"/>
  <c r="M6243" i="6"/>
  <c r="N6243" i="6"/>
  <c r="O6243" i="6"/>
  <c r="E6243" i="6"/>
  <c r="F6243" i="6" s="1"/>
  <c r="D6243" i="6"/>
  <c r="C6243" i="6"/>
  <c r="B6243" i="6"/>
  <c r="V6242" i="6"/>
  <c r="T6242" i="6"/>
  <c r="O6242" i="6"/>
  <c r="N6242" i="6"/>
  <c r="M6242" i="6"/>
  <c r="E6242" i="6"/>
  <c r="F6242" i="6" s="1"/>
  <c r="D6242" i="6"/>
  <c r="C6242" i="6"/>
  <c r="B6242" i="6"/>
  <c r="V6241" i="6"/>
  <c r="T6241" i="6"/>
  <c r="O6241" i="6"/>
  <c r="N6241" i="6"/>
  <c r="M6241" i="6"/>
  <c r="E6241" i="6"/>
  <c r="F6241" i="6" s="1"/>
  <c r="D6241" i="6"/>
  <c r="C6241" i="6"/>
  <c r="B6241" i="6"/>
  <c r="V6240" i="6"/>
  <c r="T6240" i="6"/>
  <c r="O6240" i="6"/>
  <c r="N6240" i="6"/>
  <c r="M6240" i="6"/>
  <c r="E6240" i="6"/>
  <c r="F6240" i="6" s="1"/>
  <c r="D6240" i="6"/>
  <c r="C6240" i="6"/>
  <c r="B6240" i="6"/>
  <c r="V6239" i="6"/>
  <c r="T6239" i="6"/>
  <c r="M6239" i="6"/>
  <c r="N6239" i="6"/>
  <c r="O6239" i="6"/>
  <c r="E6239" i="6"/>
  <c r="F6239" i="6" s="1"/>
  <c r="D6239" i="6"/>
  <c r="C6239" i="6"/>
  <c r="B6239" i="6"/>
  <c r="V6238" i="6"/>
  <c r="T6238" i="6"/>
  <c r="O6238" i="6"/>
  <c r="N6238" i="6"/>
  <c r="M6238" i="6"/>
  <c r="E6238" i="6"/>
  <c r="F6238" i="6" s="1"/>
  <c r="D6238" i="6"/>
  <c r="C6238" i="6"/>
  <c r="B6238" i="6"/>
  <c r="V6237" i="6"/>
  <c r="T6237" i="6"/>
  <c r="M6237" i="6"/>
  <c r="N6237" i="6"/>
  <c r="O6237" i="6"/>
  <c r="E6237" i="6"/>
  <c r="F6237" i="6" s="1"/>
  <c r="D6237" i="6"/>
  <c r="C6237" i="6"/>
  <c r="B6237" i="6"/>
  <c r="V6236" i="6"/>
  <c r="T6236" i="6"/>
  <c r="O6236" i="6"/>
  <c r="N6236" i="6"/>
  <c r="M6236" i="6"/>
  <c r="E6236" i="6"/>
  <c r="F6236" i="6" s="1"/>
  <c r="D6236" i="6"/>
  <c r="C6236" i="6"/>
  <c r="B6236" i="6"/>
  <c r="V6235" i="6"/>
  <c r="T6235" i="6"/>
  <c r="O6235" i="6"/>
  <c r="N6235" i="6"/>
  <c r="M6235" i="6"/>
  <c r="E6235" i="6"/>
  <c r="F6235" i="6" s="1"/>
  <c r="D6235" i="6"/>
  <c r="C6235" i="6"/>
  <c r="B6235" i="6"/>
  <c r="V6234" i="6"/>
  <c r="T6234" i="6"/>
  <c r="O6234" i="6"/>
  <c r="N6234" i="6"/>
  <c r="M6234" i="6"/>
  <c r="E6234" i="6"/>
  <c r="F6234" i="6" s="1"/>
  <c r="D6234" i="6"/>
  <c r="C6234" i="6"/>
  <c r="B6234" i="6"/>
  <c r="V6233" i="6"/>
  <c r="T6233" i="6"/>
  <c r="M6233" i="6"/>
  <c r="N6233" i="6"/>
  <c r="O6233" i="6"/>
  <c r="E6233" i="6"/>
  <c r="F6233" i="6" s="1"/>
  <c r="D6233" i="6"/>
  <c r="C6233" i="6"/>
  <c r="B6233" i="6"/>
  <c r="V6232" i="6"/>
  <c r="T6232" i="6"/>
  <c r="O6232" i="6"/>
  <c r="N6232" i="6"/>
  <c r="M6232" i="6"/>
  <c r="E6232" i="6"/>
  <c r="F6232" i="6" s="1"/>
  <c r="D6232" i="6"/>
  <c r="C6232" i="6"/>
  <c r="B6232" i="6"/>
  <c r="V6315" i="6"/>
  <c r="T6315" i="6"/>
  <c r="O6315" i="6"/>
  <c r="N6315" i="6"/>
  <c r="M6315" i="6"/>
  <c r="E6315" i="6"/>
  <c r="F6315" i="6" s="1"/>
  <c r="D6315" i="6"/>
  <c r="C6315" i="6"/>
  <c r="B6315" i="6"/>
  <c r="V6314" i="6"/>
  <c r="T6314" i="6"/>
  <c r="O6314" i="6"/>
  <c r="N6314" i="6"/>
  <c r="M6314" i="6"/>
  <c r="E6314" i="6"/>
  <c r="F6314" i="6" s="1"/>
  <c r="D6314" i="6"/>
  <c r="C6314" i="6"/>
  <c r="B6314" i="6"/>
  <c r="V6313" i="6"/>
  <c r="T6313" i="6"/>
  <c r="O6313" i="6"/>
  <c r="N6313" i="6"/>
  <c r="M6313" i="6"/>
  <c r="E6313" i="6"/>
  <c r="F6313" i="6" s="1"/>
  <c r="D6313" i="6"/>
  <c r="C6313" i="6"/>
  <c r="B6313" i="6"/>
  <c r="V6312" i="6"/>
  <c r="T6312" i="6"/>
  <c r="O6312" i="6"/>
  <c r="N6312" i="6"/>
  <c r="M6312" i="6"/>
  <c r="E6312" i="6"/>
  <c r="F6312" i="6" s="1"/>
  <c r="D6312" i="6"/>
  <c r="C6312" i="6"/>
  <c r="B6312" i="6"/>
  <c r="V6311" i="6"/>
  <c r="T6311" i="6"/>
  <c r="O6311" i="6"/>
  <c r="N6311" i="6"/>
  <c r="M6311" i="6"/>
  <c r="E6311" i="6"/>
  <c r="F6311" i="6" s="1"/>
  <c r="D6311" i="6"/>
  <c r="C6311" i="6"/>
  <c r="B6311" i="6"/>
  <c r="V6310" i="6"/>
  <c r="T6310" i="6"/>
  <c r="O6310" i="6"/>
  <c r="N6310" i="6"/>
  <c r="M6310" i="6"/>
  <c r="E6310" i="6"/>
  <c r="F6310" i="6" s="1"/>
  <c r="D6310" i="6"/>
  <c r="C6310" i="6"/>
  <c r="B6310" i="6"/>
  <c r="V6309" i="6"/>
  <c r="T6309" i="6"/>
  <c r="O6309" i="6"/>
  <c r="N6309" i="6"/>
  <c r="M6309" i="6"/>
  <c r="E6309" i="6"/>
  <c r="F6309" i="6" s="1"/>
  <c r="D6309" i="6"/>
  <c r="C6309" i="6"/>
  <c r="B6309" i="6"/>
  <c r="V6308" i="6"/>
  <c r="T6308" i="6"/>
  <c r="O6308" i="6"/>
  <c r="N6308" i="6"/>
  <c r="M6308" i="6"/>
  <c r="E6308" i="6"/>
  <c r="F6308" i="6" s="1"/>
  <c r="D6308" i="6"/>
  <c r="C6308" i="6"/>
  <c r="B6308" i="6"/>
  <c r="V6307" i="6"/>
  <c r="T6307" i="6"/>
  <c r="O6307" i="6"/>
  <c r="N6307" i="6"/>
  <c r="M6307" i="6"/>
  <c r="E6307" i="6"/>
  <c r="F6307" i="6" s="1"/>
  <c r="D6307" i="6"/>
  <c r="C6307" i="6"/>
  <c r="B6307" i="6"/>
  <c r="V6306" i="6"/>
  <c r="T6306" i="6"/>
  <c r="O6306" i="6"/>
  <c r="N6306" i="6"/>
  <c r="M6306" i="6"/>
  <c r="E6306" i="6"/>
  <c r="F6306" i="6" s="1"/>
  <c r="D6306" i="6"/>
  <c r="C6306" i="6"/>
  <c r="B6306" i="6"/>
  <c r="V6305" i="6"/>
  <c r="T6305" i="6"/>
  <c r="O6305" i="6"/>
  <c r="N6305" i="6"/>
  <c r="M6305" i="6"/>
  <c r="E6305" i="6"/>
  <c r="F6305" i="6" s="1"/>
  <c r="D6305" i="6"/>
  <c r="C6305" i="6"/>
  <c r="B6305" i="6"/>
  <c r="V6304" i="6"/>
  <c r="T6304" i="6"/>
  <c r="O6304" i="6"/>
  <c r="N6304" i="6"/>
  <c r="M6304" i="6"/>
  <c r="E6304" i="6"/>
  <c r="F6304" i="6" s="1"/>
  <c r="D6304" i="6"/>
  <c r="C6304" i="6"/>
  <c r="B6304" i="6"/>
  <c r="V6303" i="6"/>
  <c r="T6303" i="6"/>
  <c r="O6303" i="6"/>
  <c r="N6303" i="6"/>
  <c r="M6303" i="6"/>
  <c r="E6303" i="6"/>
  <c r="F6303" i="6" s="1"/>
  <c r="D6303" i="6"/>
  <c r="C6303" i="6"/>
  <c r="B6303" i="6"/>
  <c r="V6302" i="6"/>
  <c r="T6302" i="6"/>
  <c r="O6302" i="6"/>
  <c r="N6302" i="6"/>
  <c r="M6302" i="6"/>
  <c r="E6302" i="6"/>
  <c r="F6302" i="6" s="1"/>
  <c r="D6302" i="6"/>
  <c r="C6302" i="6"/>
  <c r="B6302" i="6"/>
  <c r="V6301" i="6"/>
  <c r="T6301" i="6"/>
  <c r="O6301" i="6"/>
  <c r="N6301" i="6"/>
  <c r="M6301" i="6"/>
  <c r="E6301" i="6"/>
  <c r="F6301" i="6" s="1"/>
  <c r="D6301" i="6"/>
  <c r="C6301" i="6"/>
  <c r="B6301" i="6"/>
  <c r="V6300" i="6"/>
  <c r="T6300" i="6"/>
  <c r="O6300" i="6"/>
  <c r="N6300" i="6"/>
  <c r="M6300" i="6"/>
  <c r="E6300" i="6"/>
  <c r="F6300" i="6" s="1"/>
  <c r="D6300" i="6"/>
  <c r="C6300" i="6"/>
  <c r="B6300" i="6"/>
  <c r="V6299" i="6"/>
  <c r="T6299" i="6"/>
  <c r="O6299" i="6"/>
  <c r="N6299" i="6"/>
  <c r="M6299" i="6"/>
  <c r="E6299" i="6"/>
  <c r="F6299" i="6" s="1"/>
  <c r="D6299" i="6"/>
  <c r="C6299" i="6"/>
  <c r="B6299" i="6"/>
  <c r="V6298" i="6"/>
  <c r="T6298" i="6"/>
  <c r="O6298" i="6"/>
  <c r="N6298" i="6"/>
  <c r="M6298" i="6"/>
  <c r="E6298" i="6"/>
  <c r="F6298" i="6" s="1"/>
  <c r="D6298" i="6"/>
  <c r="C6298" i="6"/>
  <c r="B6298" i="6"/>
  <c r="V6297" i="6"/>
  <c r="T6297" i="6"/>
  <c r="O6297" i="6"/>
  <c r="N6297" i="6"/>
  <c r="M6297" i="6"/>
  <c r="E6297" i="6"/>
  <c r="F6297" i="6" s="1"/>
  <c r="D6297" i="6"/>
  <c r="C6297" i="6"/>
  <c r="B6297" i="6"/>
  <c r="V6296" i="6"/>
  <c r="T6296" i="6"/>
  <c r="O6296" i="6"/>
  <c r="N6296" i="6"/>
  <c r="M6296" i="6"/>
  <c r="E6296" i="6"/>
  <c r="F6296" i="6" s="1"/>
  <c r="D6296" i="6"/>
  <c r="C6296" i="6"/>
  <c r="B6296" i="6"/>
  <c r="V6295" i="6"/>
  <c r="T6295" i="6"/>
  <c r="O6295" i="6"/>
  <c r="N6295" i="6"/>
  <c r="M6295" i="6"/>
  <c r="E6295" i="6"/>
  <c r="F6295" i="6" s="1"/>
  <c r="D6295" i="6"/>
  <c r="C6295" i="6"/>
  <c r="B6295" i="6"/>
  <c r="V6294" i="6"/>
  <c r="T6294" i="6"/>
  <c r="O6294" i="6"/>
  <c r="N6294" i="6"/>
  <c r="M6294" i="6"/>
  <c r="E6294" i="6"/>
  <c r="F6294" i="6" s="1"/>
  <c r="D6294" i="6"/>
  <c r="C6294" i="6"/>
  <c r="B6294" i="6"/>
  <c r="V6293" i="6"/>
  <c r="T6293" i="6"/>
  <c r="O6293" i="6"/>
  <c r="N6293" i="6"/>
  <c r="M6293" i="6"/>
  <c r="E6293" i="6"/>
  <c r="F6293" i="6" s="1"/>
  <c r="D6293" i="6"/>
  <c r="C6293" i="6"/>
  <c r="B6293" i="6"/>
  <c r="V6292" i="6"/>
  <c r="T6292" i="6"/>
  <c r="O6292" i="6"/>
  <c r="N6292" i="6"/>
  <c r="M6292" i="6"/>
  <c r="E6292" i="6"/>
  <c r="F6292" i="6" s="1"/>
  <c r="D6292" i="6"/>
  <c r="C6292" i="6"/>
  <c r="B6292" i="6"/>
  <c r="V6291" i="6"/>
  <c r="T6291" i="6"/>
  <c r="O6291" i="6"/>
  <c r="N6291" i="6"/>
  <c r="M6291" i="6"/>
  <c r="E6291" i="6"/>
  <c r="F6291" i="6" s="1"/>
  <c r="D6291" i="6"/>
  <c r="C6291" i="6"/>
  <c r="B6291" i="6"/>
  <c r="V6290" i="6"/>
  <c r="T6290" i="6"/>
  <c r="O6290" i="6"/>
  <c r="N6290" i="6"/>
  <c r="M6290" i="6"/>
  <c r="E6290" i="6"/>
  <c r="F6290" i="6" s="1"/>
  <c r="D6290" i="6"/>
  <c r="C6290" i="6"/>
  <c r="B6290" i="6"/>
  <c r="V6289" i="6"/>
  <c r="T6289" i="6"/>
  <c r="O6289" i="6"/>
  <c r="N6289" i="6"/>
  <c r="M6289" i="6"/>
  <c r="E6289" i="6"/>
  <c r="F6289" i="6" s="1"/>
  <c r="D6289" i="6"/>
  <c r="C6289" i="6"/>
  <c r="B6289" i="6"/>
  <c r="V6288" i="6"/>
  <c r="T6288" i="6"/>
  <c r="O6288" i="6"/>
  <c r="N6288" i="6"/>
  <c r="M6288" i="6"/>
  <c r="E6288" i="6"/>
  <c r="F6288" i="6" s="1"/>
  <c r="D6288" i="6"/>
  <c r="C6288" i="6"/>
  <c r="B6288" i="6"/>
  <c r="V6329" i="6"/>
  <c r="T6329" i="6"/>
  <c r="O6329" i="6"/>
  <c r="N6329" i="6"/>
  <c r="M6329" i="6"/>
  <c r="E6329" i="6"/>
  <c r="F6329" i="6" s="1"/>
  <c r="D6329" i="6"/>
  <c r="C6329" i="6"/>
  <c r="B6329" i="6"/>
  <c r="V6328" i="6"/>
  <c r="T6328" i="6"/>
  <c r="O6328" i="6"/>
  <c r="N6328" i="6"/>
  <c r="M6328" i="6"/>
  <c r="E6328" i="6"/>
  <c r="F6328" i="6" s="1"/>
  <c r="D6328" i="6"/>
  <c r="C6328" i="6"/>
  <c r="B6328" i="6"/>
  <c r="V6327" i="6"/>
  <c r="T6327" i="6"/>
  <c r="O6327" i="6"/>
  <c r="N6327" i="6"/>
  <c r="M6327" i="6"/>
  <c r="E6327" i="6"/>
  <c r="F6327" i="6" s="1"/>
  <c r="D6327" i="6"/>
  <c r="C6327" i="6"/>
  <c r="B6327" i="6"/>
  <c r="V6326" i="6"/>
  <c r="T6326" i="6"/>
  <c r="O6326" i="6"/>
  <c r="N6326" i="6"/>
  <c r="M6326" i="6"/>
  <c r="E6326" i="6"/>
  <c r="F6326" i="6" s="1"/>
  <c r="D6326" i="6"/>
  <c r="C6326" i="6"/>
  <c r="B6326" i="6"/>
  <c r="V6325" i="6"/>
  <c r="T6325" i="6"/>
  <c r="O6325" i="6"/>
  <c r="N6325" i="6"/>
  <c r="M6325" i="6"/>
  <c r="E6325" i="6"/>
  <c r="F6325" i="6" s="1"/>
  <c r="D6325" i="6"/>
  <c r="C6325" i="6"/>
  <c r="B6325" i="6"/>
  <c r="V6324" i="6"/>
  <c r="T6324" i="6"/>
  <c r="O6324" i="6"/>
  <c r="N6324" i="6"/>
  <c r="M6324" i="6"/>
  <c r="E6324" i="6"/>
  <c r="F6324" i="6" s="1"/>
  <c r="D6324" i="6"/>
  <c r="C6324" i="6"/>
  <c r="B6324" i="6"/>
  <c r="V6323" i="6"/>
  <c r="T6323" i="6"/>
  <c r="O6323" i="6"/>
  <c r="N6323" i="6"/>
  <c r="M6323" i="6"/>
  <c r="E6323" i="6"/>
  <c r="F6323" i="6" s="1"/>
  <c r="D6323" i="6"/>
  <c r="C6323" i="6"/>
  <c r="B6323" i="6"/>
  <c r="V6322" i="6"/>
  <c r="T6322" i="6"/>
  <c r="O6322" i="6"/>
  <c r="N6322" i="6"/>
  <c r="M6322" i="6"/>
  <c r="E6322" i="6"/>
  <c r="F6322" i="6" s="1"/>
  <c r="D6322" i="6"/>
  <c r="C6322" i="6"/>
  <c r="B6322" i="6"/>
  <c r="V6321" i="6"/>
  <c r="T6321" i="6"/>
  <c r="O6321" i="6"/>
  <c r="N6321" i="6"/>
  <c r="M6321" i="6"/>
  <c r="E6321" i="6"/>
  <c r="F6321" i="6" s="1"/>
  <c r="D6321" i="6"/>
  <c r="C6321" i="6"/>
  <c r="B6321" i="6"/>
  <c r="V6320" i="6"/>
  <c r="T6320" i="6"/>
  <c r="O6320" i="6"/>
  <c r="N6320" i="6"/>
  <c r="M6320" i="6"/>
  <c r="E6320" i="6"/>
  <c r="F6320" i="6" s="1"/>
  <c r="D6320" i="6"/>
  <c r="C6320" i="6"/>
  <c r="B6320" i="6"/>
  <c r="V6319" i="6"/>
  <c r="T6319" i="6"/>
  <c r="O6319" i="6"/>
  <c r="N6319" i="6"/>
  <c r="M6319" i="6"/>
  <c r="E6319" i="6"/>
  <c r="F6319" i="6" s="1"/>
  <c r="D6319" i="6"/>
  <c r="C6319" i="6"/>
  <c r="B6319" i="6"/>
  <c r="V6318" i="6"/>
  <c r="T6318" i="6"/>
  <c r="O6318" i="6"/>
  <c r="N6318" i="6"/>
  <c r="M6318" i="6"/>
  <c r="E6318" i="6"/>
  <c r="F6318" i="6" s="1"/>
  <c r="D6318" i="6"/>
  <c r="C6318" i="6"/>
  <c r="B6318" i="6"/>
  <c r="V6317" i="6"/>
  <c r="T6317" i="6"/>
  <c r="O6317" i="6"/>
  <c r="N6317" i="6"/>
  <c r="M6317" i="6"/>
  <c r="E6317" i="6"/>
  <c r="F6317" i="6" s="1"/>
  <c r="D6317" i="6"/>
  <c r="C6317" i="6"/>
  <c r="B6317" i="6"/>
  <c r="V6316" i="6"/>
  <c r="T6316" i="6"/>
  <c r="O6316" i="6"/>
  <c r="N6316" i="6"/>
  <c r="M6316" i="6"/>
  <c r="E6316" i="6"/>
  <c r="F6316" i="6" s="1"/>
  <c r="D6316" i="6"/>
  <c r="C6316" i="6"/>
  <c r="B6316" i="6"/>
  <c r="V6336" i="6"/>
  <c r="T6336" i="6"/>
  <c r="O6336" i="6"/>
  <c r="N6336" i="6"/>
  <c r="M6336" i="6"/>
  <c r="E6336" i="6"/>
  <c r="F6336" i="6" s="1"/>
  <c r="D6336" i="6"/>
  <c r="C6336" i="6"/>
  <c r="B6336" i="6"/>
  <c r="V6335" i="6"/>
  <c r="T6335" i="6"/>
  <c r="O6335" i="6"/>
  <c r="N6335" i="6"/>
  <c r="M6335" i="6"/>
  <c r="E6335" i="6"/>
  <c r="F6335" i="6" s="1"/>
  <c r="D6335" i="6"/>
  <c r="C6335" i="6"/>
  <c r="B6335" i="6"/>
  <c r="V6334" i="6"/>
  <c r="T6334" i="6"/>
  <c r="O6334" i="6"/>
  <c r="N6334" i="6"/>
  <c r="M6334" i="6"/>
  <c r="E6334" i="6"/>
  <c r="F6334" i="6" s="1"/>
  <c r="D6334" i="6"/>
  <c r="C6334" i="6"/>
  <c r="B6334" i="6"/>
  <c r="V6333" i="6"/>
  <c r="T6333" i="6"/>
  <c r="O6333" i="6"/>
  <c r="N6333" i="6"/>
  <c r="M6333" i="6"/>
  <c r="E6333" i="6"/>
  <c r="F6333" i="6" s="1"/>
  <c r="D6333" i="6"/>
  <c r="C6333" i="6"/>
  <c r="B6333" i="6"/>
  <c r="V6332" i="6"/>
  <c r="T6332" i="6"/>
  <c r="O6332" i="6"/>
  <c r="N6332" i="6"/>
  <c r="M6332" i="6"/>
  <c r="E6332" i="6"/>
  <c r="F6332" i="6" s="1"/>
  <c r="D6332" i="6"/>
  <c r="C6332" i="6"/>
  <c r="B6332" i="6"/>
  <c r="V6331" i="6"/>
  <c r="T6331" i="6"/>
  <c r="O6331" i="6"/>
  <c r="N6331" i="6"/>
  <c r="M6331" i="6"/>
  <c r="E6331" i="6"/>
  <c r="F6331" i="6" s="1"/>
  <c r="D6331" i="6"/>
  <c r="C6331" i="6"/>
  <c r="B6331" i="6"/>
  <c r="V6330" i="6"/>
  <c r="T6330" i="6"/>
  <c r="O6330" i="6"/>
  <c r="N6330" i="6"/>
  <c r="M6330" i="6"/>
  <c r="E6330" i="6"/>
  <c r="F6330" i="6" s="1"/>
  <c r="D6330" i="6"/>
  <c r="C6330" i="6"/>
  <c r="B6330" i="6"/>
  <c r="H826" i="14"/>
  <c r="L813" i="14"/>
  <c r="L812" i="14"/>
  <c r="L811" i="14"/>
  <c r="L810" i="14"/>
  <c r="L809" i="14"/>
  <c r="H819" i="14"/>
  <c r="H818" i="14"/>
  <c r="H817" i="14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05" i="6"/>
  <c r="T1506" i="6"/>
  <c r="T1507" i="6"/>
  <c r="T1508" i="6"/>
  <c r="T1509" i="6"/>
  <c r="T1510" i="6"/>
  <c r="T1511" i="6"/>
  <c r="T1512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29" i="6"/>
  <c r="T1530" i="6"/>
  <c r="T1531" i="6"/>
  <c r="T1532" i="6"/>
  <c r="T1533" i="6"/>
  <c r="T1534" i="6"/>
  <c r="T1535" i="6"/>
  <c r="T1536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56" i="6"/>
  <c r="T1557" i="6"/>
  <c r="T1558" i="6"/>
  <c r="T1559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48" i="6"/>
  <c r="T1849" i="6"/>
  <c r="T1850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3" i="6"/>
  <c r="T1874" i="6"/>
  <c r="T1875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29" i="6"/>
  <c r="T1930" i="6"/>
  <c r="T1931" i="6"/>
  <c r="T1932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59" i="6"/>
  <c r="T1960" i="6"/>
  <c r="T1961" i="6"/>
  <c r="T1962" i="6"/>
  <c r="T1963" i="6"/>
  <c r="T1964" i="6"/>
  <c r="T1965" i="6"/>
  <c r="T1966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5" i="6"/>
  <c r="T2036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48" i="6"/>
  <c r="T2149" i="6"/>
  <c r="T2150" i="6"/>
  <c r="T2151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2167" i="6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T2202" i="6"/>
  <c r="T2203" i="6"/>
  <c r="T2204" i="6"/>
  <c r="T2205" i="6"/>
  <c r="T2206" i="6"/>
  <c r="T2207" i="6"/>
  <c r="T2208" i="6"/>
  <c r="T2209" i="6"/>
  <c r="T2210" i="6"/>
  <c r="T2211" i="6"/>
  <c r="T2212" i="6"/>
  <c r="T2213" i="6"/>
  <c r="T2214" i="6"/>
  <c r="T2215" i="6"/>
  <c r="T2216" i="6"/>
  <c r="T2217" i="6"/>
  <c r="T2218" i="6"/>
  <c r="T2219" i="6"/>
  <c r="T2220" i="6"/>
  <c r="T2221" i="6"/>
  <c r="T2222" i="6"/>
  <c r="T2223" i="6"/>
  <c r="T2224" i="6"/>
  <c r="T2225" i="6"/>
  <c r="T2226" i="6"/>
  <c r="T2227" i="6"/>
  <c r="T2228" i="6"/>
  <c r="T2229" i="6"/>
  <c r="T2230" i="6"/>
  <c r="T2231" i="6"/>
  <c r="T2232" i="6"/>
  <c r="T2233" i="6"/>
  <c r="T2234" i="6"/>
  <c r="T2235" i="6"/>
  <c r="T2236" i="6"/>
  <c r="T2237" i="6"/>
  <c r="T2238" i="6"/>
  <c r="T2239" i="6"/>
  <c r="T2240" i="6"/>
  <c r="T2241" i="6"/>
  <c r="T2242" i="6"/>
  <c r="T2243" i="6"/>
  <c r="T2244" i="6"/>
  <c r="T2245" i="6"/>
  <c r="T2246" i="6"/>
  <c r="T2247" i="6"/>
  <c r="T2248" i="6"/>
  <c r="T2249" i="6"/>
  <c r="T2250" i="6"/>
  <c r="T2251" i="6"/>
  <c r="T2252" i="6"/>
  <c r="T2253" i="6"/>
  <c r="T2254" i="6"/>
  <c r="T2255" i="6"/>
  <c r="T2256" i="6"/>
  <c r="T2257" i="6"/>
  <c r="T2258" i="6"/>
  <c r="T2259" i="6"/>
  <c r="T2260" i="6"/>
  <c r="T2261" i="6"/>
  <c r="T2262" i="6"/>
  <c r="T2263" i="6"/>
  <c r="T2264" i="6"/>
  <c r="T2265" i="6"/>
  <c r="T2266" i="6"/>
  <c r="T2267" i="6"/>
  <c r="T2268" i="6"/>
  <c r="T2269" i="6"/>
  <c r="T2270" i="6"/>
  <c r="T2271" i="6"/>
  <c r="T2272" i="6"/>
  <c r="T2273" i="6"/>
  <c r="T2274" i="6"/>
  <c r="T2275" i="6"/>
  <c r="T2276" i="6"/>
  <c r="T2277" i="6"/>
  <c r="T2278" i="6"/>
  <c r="T2279" i="6"/>
  <c r="T2280" i="6"/>
  <c r="T2281" i="6"/>
  <c r="T2282" i="6"/>
  <c r="T2283" i="6"/>
  <c r="T2284" i="6"/>
  <c r="T2285" i="6"/>
  <c r="T2286" i="6"/>
  <c r="T2287" i="6"/>
  <c r="T2288" i="6"/>
  <c r="T2289" i="6"/>
  <c r="T2290" i="6"/>
  <c r="T2291" i="6"/>
  <c r="T2292" i="6"/>
  <c r="T2293" i="6"/>
  <c r="T2294" i="6"/>
  <c r="T2295" i="6"/>
  <c r="T2296" i="6"/>
  <c r="T2297" i="6"/>
  <c r="T2298" i="6"/>
  <c r="T2299" i="6"/>
  <c r="T2300" i="6"/>
  <c r="T2301" i="6"/>
  <c r="T2302" i="6"/>
  <c r="T2303" i="6"/>
  <c r="T2304" i="6"/>
  <c r="T2305" i="6"/>
  <c r="T2306" i="6"/>
  <c r="T2307" i="6"/>
  <c r="T2308" i="6"/>
  <c r="T2309" i="6"/>
  <c r="T2310" i="6"/>
  <c r="T2311" i="6"/>
  <c r="T2312" i="6"/>
  <c r="T2313" i="6"/>
  <c r="T2314" i="6"/>
  <c r="T2315" i="6"/>
  <c r="T2316" i="6"/>
  <c r="T2317" i="6"/>
  <c r="T2318" i="6"/>
  <c r="T2319" i="6"/>
  <c r="T2320" i="6"/>
  <c r="T2321" i="6"/>
  <c r="T2322" i="6"/>
  <c r="T2323" i="6"/>
  <c r="T2324" i="6"/>
  <c r="T2325" i="6"/>
  <c r="T2326" i="6"/>
  <c r="T2327" i="6"/>
  <c r="T2328" i="6"/>
  <c r="T2329" i="6"/>
  <c r="T2330" i="6"/>
  <c r="T2331" i="6"/>
  <c r="T2332" i="6"/>
  <c r="T2333" i="6"/>
  <c r="T2334" i="6"/>
  <c r="T2335" i="6"/>
  <c r="T2336" i="6"/>
  <c r="T2337" i="6"/>
  <c r="T2338" i="6"/>
  <c r="T2339" i="6"/>
  <c r="T2340" i="6"/>
  <c r="T2341" i="6"/>
  <c r="T2342" i="6"/>
  <c r="T2343" i="6"/>
  <c r="T2344" i="6"/>
  <c r="T2345" i="6"/>
  <c r="T2346" i="6"/>
  <c r="T2347" i="6"/>
  <c r="T2348" i="6"/>
  <c r="T2349" i="6"/>
  <c r="T2350" i="6"/>
  <c r="T2351" i="6"/>
  <c r="T2352" i="6"/>
  <c r="T2353" i="6"/>
  <c r="T2354" i="6"/>
  <c r="T2355" i="6"/>
  <c r="T2356" i="6"/>
  <c r="T2357" i="6"/>
  <c r="T2358" i="6"/>
  <c r="T2359" i="6"/>
  <c r="T2360" i="6"/>
  <c r="T2361" i="6"/>
  <c r="T2362" i="6"/>
  <c r="T2363" i="6"/>
  <c r="T2364" i="6"/>
  <c r="T2365" i="6"/>
  <c r="T2366" i="6"/>
  <c r="T2367" i="6"/>
  <c r="T2368" i="6"/>
  <c r="T2369" i="6"/>
  <c r="T2370" i="6"/>
  <c r="T2371" i="6"/>
  <c r="T2372" i="6"/>
  <c r="T2373" i="6"/>
  <c r="T2374" i="6"/>
  <c r="T2375" i="6"/>
  <c r="T2376" i="6"/>
  <c r="T2377" i="6"/>
  <c r="T2378" i="6"/>
  <c r="T2379" i="6"/>
  <c r="T2380" i="6"/>
  <c r="T2381" i="6"/>
  <c r="T2382" i="6"/>
  <c r="T2383" i="6"/>
  <c r="T2384" i="6"/>
  <c r="T2385" i="6"/>
  <c r="T2386" i="6"/>
  <c r="T2387" i="6"/>
  <c r="T2388" i="6"/>
  <c r="T2389" i="6"/>
  <c r="T2390" i="6"/>
  <c r="T2391" i="6"/>
  <c r="T2392" i="6"/>
  <c r="T2393" i="6"/>
  <c r="T2394" i="6"/>
  <c r="T2395" i="6"/>
  <c r="T2396" i="6"/>
  <c r="T2397" i="6"/>
  <c r="T2398" i="6"/>
  <c r="T2399" i="6"/>
  <c r="T2400" i="6"/>
  <c r="T2401" i="6"/>
  <c r="T2402" i="6"/>
  <c r="T2403" i="6"/>
  <c r="T2404" i="6"/>
  <c r="T2405" i="6"/>
  <c r="T2406" i="6"/>
  <c r="T2407" i="6"/>
  <c r="T2408" i="6"/>
  <c r="T2409" i="6"/>
  <c r="T2410" i="6"/>
  <c r="T2411" i="6"/>
  <c r="T2412" i="6"/>
  <c r="T2413" i="6"/>
  <c r="T2414" i="6"/>
  <c r="T2415" i="6"/>
  <c r="T2416" i="6"/>
  <c r="T2417" i="6"/>
  <c r="T2418" i="6"/>
  <c r="T2419" i="6"/>
  <c r="T2420" i="6"/>
  <c r="T2421" i="6"/>
  <c r="T2422" i="6"/>
  <c r="T2423" i="6"/>
  <c r="T2424" i="6"/>
  <c r="T2425" i="6"/>
  <c r="T2426" i="6"/>
  <c r="T2427" i="6"/>
  <c r="T2428" i="6"/>
  <c r="T2429" i="6"/>
  <c r="T2430" i="6"/>
  <c r="T2431" i="6"/>
  <c r="T2432" i="6"/>
  <c r="T2433" i="6"/>
  <c r="T2434" i="6"/>
  <c r="T2435" i="6"/>
  <c r="T2436" i="6"/>
  <c r="T2437" i="6"/>
  <c r="T2438" i="6"/>
  <c r="T2439" i="6"/>
  <c r="T2440" i="6"/>
  <c r="T2441" i="6"/>
  <c r="T2442" i="6"/>
  <c r="T2443" i="6"/>
  <c r="T2444" i="6"/>
  <c r="T2445" i="6"/>
  <c r="T2446" i="6"/>
  <c r="T2447" i="6"/>
  <c r="T2448" i="6"/>
  <c r="T2449" i="6"/>
  <c r="T2450" i="6"/>
  <c r="T2451" i="6"/>
  <c r="T2452" i="6"/>
  <c r="T2453" i="6"/>
  <c r="T2454" i="6"/>
  <c r="T2455" i="6"/>
  <c r="T2456" i="6"/>
  <c r="T2457" i="6"/>
  <c r="T2458" i="6"/>
  <c r="T2459" i="6"/>
  <c r="T2460" i="6"/>
  <c r="T2461" i="6"/>
  <c r="T2462" i="6"/>
  <c r="T2463" i="6"/>
  <c r="T2464" i="6"/>
  <c r="T2465" i="6"/>
  <c r="T2466" i="6"/>
  <c r="T2467" i="6"/>
  <c r="T2468" i="6"/>
  <c r="T2469" i="6"/>
  <c r="T2470" i="6"/>
  <c r="T2471" i="6"/>
  <c r="T2472" i="6"/>
  <c r="T2473" i="6"/>
  <c r="T2474" i="6"/>
  <c r="T2475" i="6"/>
  <c r="T2476" i="6"/>
  <c r="T2477" i="6"/>
  <c r="T2478" i="6"/>
  <c r="T2479" i="6"/>
  <c r="T2480" i="6"/>
  <c r="T2481" i="6"/>
  <c r="T2482" i="6"/>
  <c r="T2483" i="6"/>
  <c r="T2484" i="6"/>
  <c r="T2485" i="6"/>
  <c r="T2486" i="6"/>
  <c r="T2487" i="6"/>
  <c r="T2488" i="6"/>
  <c r="T2489" i="6"/>
  <c r="T2490" i="6"/>
  <c r="T2491" i="6"/>
  <c r="T2492" i="6"/>
  <c r="T2493" i="6"/>
  <c r="T2494" i="6"/>
  <c r="T2495" i="6"/>
  <c r="T2496" i="6"/>
  <c r="T2497" i="6"/>
  <c r="T2498" i="6"/>
  <c r="T2499" i="6"/>
  <c r="T2500" i="6"/>
  <c r="T2501" i="6"/>
  <c r="T2502" i="6"/>
  <c r="T2503" i="6"/>
  <c r="T2504" i="6"/>
  <c r="T2505" i="6"/>
  <c r="T2506" i="6"/>
  <c r="T2507" i="6"/>
  <c r="T2508" i="6"/>
  <c r="T2509" i="6"/>
  <c r="T2510" i="6"/>
  <c r="T2511" i="6"/>
  <c r="T2512" i="6"/>
  <c r="T2513" i="6"/>
  <c r="T2514" i="6"/>
  <c r="T2515" i="6"/>
  <c r="T2516" i="6"/>
  <c r="T2517" i="6"/>
  <c r="T2518" i="6"/>
  <c r="T2519" i="6"/>
  <c r="T2520" i="6"/>
  <c r="T2521" i="6"/>
  <c r="T2522" i="6"/>
  <c r="T2523" i="6"/>
  <c r="T2524" i="6"/>
  <c r="T2525" i="6"/>
  <c r="T2526" i="6"/>
  <c r="T2527" i="6"/>
  <c r="T2528" i="6"/>
  <c r="T2529" i="6"/>
  <c r="T2530" i="6"/>
  <c r="T2531" i="6"/>
  <c r="T2532" i="6"/>
  <c r="T2533" i="6"/>
  <c r="T2534" i="6"/>
  <c r="T2535" i="6"/>
  <c r="T2536" i="6"/>
  <c r="T2537" i="6"/>
  <c r="T2538" i="6"/>
  <c r="T2539" i="6"/>
  <c r="T2540" i="6"/>
  <c r="T2541" i="6"/>
  <c r="T2542" i="6"/>
  <c r="T2543" i="6"/>
  <c r="T2544" i="6"/>
  <c r="T2545" i="6"/>
  <c r="T2546" i="6"/>
  <c r="T2547" i="6"/>
  <c r="T2548" i="6"/>
  <c r="T2549" i="6"/>
  <c r="T2550" i="6"/>
  <c r="T2551" i="6"/>
  <c r="T2552" i="6"/>
  <c r="T2553" i="6"/>
  <c r="T2554" i="6"/>
  <c r="T2555" i="6"/>
  <c r="T2556" i="6"/>
  <c r="T2557" i="6"/>
  <c r="T2558" i="6"/>
  <c r="T2559" i="6"/>
  <c r="T2560" i="6"/>
  <c r="T2561" i="6"/>
  <c r="T2562" i="6"/>
  <c r="T2563" i="6"/>
  <c r="T2564" i="6"/>
  <c r="T2565" i="6"/>
  <c r="T2566" i="6"/>
  <c r="T2567" i="6"/>
  <c r="T2568" i="6"/>
  <c r="T2569" i="6"/>
  <c r="T2570" i="6"/>
  <c r="T2571" i="6"/>
  <c r="T2572" i="6"/>
  <c r="T2573" i="6"/>
  <c r="T2574" i="6"/>
  <c r="T2575" i="6"/>
  <c r="T2576" i="6"/>
  <c r="T2577" i="6"/>
  <c r="T2578" i="6"/>
  <c r="T2579" i="6"/>
  <c r="T2580" i="6"/>
  <c r="T2581" i="6"/>
  <c r="T2582" i="6"/>
  <c r="T2583" i="6"/>
  <c r="T2584" i="6"/>
  <c r="T2585" i="6"/>
  <c r="T2586" i="6"/>
  <c r="T2587" i="6"/>
  <c r="T2588" i="6"/>
  <c r="T2589" i="6"/>
  <c r="T2590" i="6"/>
  <c r="T2591" i="6"/>
  <c r="T2592" i="6"/>
  <c r="T2593" i="6"/>
  <c r="T2594" i="6"/>
  <c r="T2595" i="6"/>
  <c r="T2596" i="6"/>
  <c r="T2597" i="6"/>
  <c r="T2598" i="6"/>
  <c r="T2599" i="6"/>
  <c r="T2600" i="6"/>
  <c r="T2601" i="6"/>
  <c r="T2602" i="6"/>
  <c r="T2603" i="6"/>
  <c r="T2604" i="6"/>
  <c r="T2605" i="6"/>
  <c r="T2606" i="6"/>
  <c r="T2607" i="6"/>
  <c r="T2608" i="6"/>
  <c r="T2609" i="6"/>
  <c r="T2610" i="6"/>
  <c r="T2611" i="6"/>
  <c r="T2612" i="6"/>
  <c r="T2613" i="6"/>
  <c r="T2614" i="6"/>
  <c r="T2615" i="6"/>
  <c r="T2616" i="6"/>
  <c r="T2617" i="6"/>
  <c r="T2618" i="6"/>
  <c r="T2619" i="6"/>
  <c r="T2620" i="6"/>
  <c r="T2621" i="6"/>
  <c r="T2622" i="6"/>
  <c r="T2623" i="6"/>
  <c r="T2624" i="6"/>
  <c r="T2625" i="6"/>
  <c r="T2626" i="6"/>
  <c r="T2627" i="6"/>
  <c r="T2628" i="6"/>
  <c r="T2629" i="6"/>
  <c r="T2630" i="6"/>
  <c r="T2631" i="6"/>
  <c r="T2632" i="6"/>
  <c r="T2633" i="6"/>
  <c r="T2634" i="6"/>
  <c r="T2635" i="6"/>
  <c r="T2636" i="6"/>
  <c r="T2637" i="6"/>
  <c r="T2638" i="6"/>
  <c r="T2639" i="6"/>
  <c r="T2640" i="6"/>
  <c r="T2641" i="6"/>
  <c r="T2642" i="6"/>
  <c r="T2643" i="6"/>
  <c r="T2644" i="6"/>
  <c r="T2645" i="6"/>
  <c r="T2646" i="6"/>
  <c r="T2647" i="6"/>
  <c r="T2648" i="6"/>
  <c r="T2649" i="6"/>
  <c r="T2650" i="6"/>
  <c r="T2651" i="6"/>
  <c r="T2652" i="6"/>
  <c r="T2653" i="6"/>
  <c r="T2654" i="6"/>
  <c r="T2655" i="6"/>
  <c r="T2656" i="6"/>
  <c r="T2657" i="6"/>
  <c r="T2658" i="6"/>
  <c r="T2659" i="6"/>
  <c r="T2660" i="6"/>
  <c r="T2661" i="6"/>
  <c r="T2662" i="6"/>
  <c r="T2663" i="6"/>
  <c r="T2664" i="6"/>
  <c r="T2665" i="6"/>
  <c r="T2666" i="6"/>
  <c r="T2667" i="6"/>
  <c r="T2668" i="6"/>
  <c r="T2669" i="6"/>
  <c r="T2670" i="6"/>
  <c r="T2671" i="6"/>
  <c r="T2672" i="6"/>
  <c r="T2673" i="6"/>
  <c r="T2674" i="6"/>
  <c r="T2675" i="6"/>
  <c r="T2676" i="6"/>
  <c r="T2677" i="6"/>
  <c r="T2678" i="6"/>
  <c r="T2679" i="6"/>
  <c r="T2680" i="6"/>
  <c r="T2681" i="6"/>
  <c r="T2682" i="6"/>
  <c r="T2683" i="6"/>
  <c r="T2684" i="6"/>
  <c r="T2685" i="6"/>
  <c r="T2686" i="6"/>
  <c r="T2687" i="6"/>
  <c r="T2688" i="6"/>
  <c r="T2689" i="6"/>
  <c r="T2690" i="6"/>
  <c r="T2691" i="6"/>
  <c r="T2692" i="6"/>
  <c r="T2693" i="6"/>
  <c r="T2694" i="6"/>
  <c r="T2695" i="6"/>
  <c r="T2696" i="6"/>
  <c r="T2697" i="6"/>
  <c r="T2698" i="6"/>
  <c r="T2699" i="6"/>
  <c r="T2700" i="6"/>
  <c r="T2701" i="6"/>
  <c r="T2702" i="6"/>
  <c r="T2703" i="6"/>
  <c r="T2704" i="6"/>
  <c r="T2705" i="6"/>
  <c r="T2706" i="6"/>
  <c r="T2707" i="6"/>
  <c r="T2708" i="6"/>
  <c r="T2709" i="6"/>
  <c r="T2710" i="6"/>
  <c r="T2711" i="6"/>
  <c r="T2712" i="6"/>
  <c r="T2713" i="6"/>
  <c r="T2714" i="6"/>
  <c r="T2715" i="6"/>
  <c r="T2716" i="6"/>
  <c r="T2717" i="6"/>
  <c r="T2718" i="6"/>
  <c r="T2719" i="6"/>
  <c r="T2720" i="6"/>
  <c r="T2721" i="6"/>
  <c r="T2722" i="6"/>
  <c r="T2723" i="6"/>
  <c r="T2724" i="6"/>
  <c r="T2725" i="6"/>
  <c r="T2726" i="6"/>
  <c r="T2727" i="6"/>
  <c r="T2728" i="6"/>
  <c r="T2729" i="6"/>
  <c r="T2730" i="6"/>
  <c r="T2731" i="6"/>
  <c r="T2732" i="6"/>
  <c r="T2733" i="6"/>
  <c r="T2734" i="6"/>
  <c r="T2735" i="6"/>
  <c r="T2736" i="6"/>
  <c r="T2737" i="6"/>
  <c r="T2738" i="6"/>
  <c r="T2739" i="6"/>
  <c r="T2740" i="6"/>
  <c r="T2741" i="6"/>
  <c r="T2742" i="6"/>
  <c r="T2743" i="6"/>
  <c r="T2744" i="6"/>
  <c r="T2745" i="6"/>
  <c r="T2746" i="6"/>
  <c r="T2747" i="6"/>
  <c r="T2748" i="6"/>
  <c r="T2749" i="6"/>
  <c r="T2750" i="6"/>
  <c r="T2751" i="6"/>
  <c r="T2752" i="6"/>
  <c r="T2753" i="6"/>
  <c r="T2754" i="6"/>
  <c r="T2755" i="6"/>
  <c r="T2756" i="6"/>
  <c r="T2757" i="6"/>
  <c r="T2758" i="6"/>
  <c r="T2759" i="6"/>
  <c r="T2760" i="6"/>
  <c r="T2761" i="6"/>
  <c r="T2762" i="6"/>
  <c r="T2763" i="6"/>
  <c r="T2764" i="6"/>
  <c r="T2765" i="6"/>
  <c r="T2766" i="6"/>
  <c r="T2767" i="6"/>
  <c r="T2768" i="6"/>
  <c r="T2769" i="6"/>
  <c r="T2770" i="6"/>
  <c r="T2771" i="6"/>
  <c r="T2772" i="6"/>
  <c r="T2773" i="6"/>
  <c r="T2774" i="6"/>
  <c r="T2775" i="6"/>
  <c r="T2776" i="6"/>
  <c r="T2777" i="6"/>
  <c r="T2778" i="6"/>
  <c r="T2779" i="6"/>
  <c r="T2780" i="6"/>
  <c r="T2781" i="6"/>
  <c r="T2782" i="6"/>
  <c r="T2783" i="6"/>
  <c r="T2784" i="6"/>
  <c r="T2785" i="6"/>
  <c r="T2786" i="6"/>
  <c r="T2787" i="6"/>
  <c r="T2788" i="6"/>
  <c r="T2789" i="6"/>
  <c r="T2790" i="6"/>
  <c r="T2791" i="6"/>
  <c r="T2792" i="6"/>
  <c r="T2793" i="6"/>
  <c r="T2794" i="6"/>
  <c r="T2795" i="6"/>
  <c r="T2796" i="6"/>
  <c r="T2797" i="6"/>
  <c r="T2798" i="6"/>
  <c r="T2799" i="6"/>
  <c r="T2800" i="6"/>
  <c r="T2801" i="6"/>
  <c r="T2802" i="6"/>
  <c r="T2803" i="6"/>
  <c r="T2804" i="6"/>
  <c r="T2805" i="6"/>
  <c r="T2806" i="6"/>
  <c r="T2807" i="6"/>
  <c r="T2808" i="6"/>
  <c r="T2809" i="6"/>
  <c r="T2810" i="6"/>
  <c r="T2811" i="6"/>
  <c r="T2812" i="6"/>
  <c r="T2813" i="6"/>
  <c r="T2814" i="6"/>
  <c r="T2815" i="6"/>
  <c r="T2816" i="6"/>
  <c r="T2817" i="6"/>
  <c r="T2818" i="6"/>
  <c r="T2819" i="6"/>
  <c r="T2820" i="6"/>
  <c r="T2821" i="6"/>
  <c r="T2822" i="6"/>
  <c r="T2823" i="6"/>
  <c r="T2824" i="6"/>
  <c r="T2825" i="6"/>
  <c r="T2826" i="6"/>
  <c r="T2827" i="6"/>
  <c r="T2828" i="6"/>
  <c r="T2829" i="6"/>
  <c r="T2830" i="6"/>
  <c r="T2831" i="6"/>
  <c r="T2832" i="6"/>
  <c r="T2833" i="6"/>
  <c r="T2834" i="6"/>
  <c r="T2835" i="6"/>
  <c r="T2836" i="6"/>
  <c r="T2837" i="6"/>
  <c r="T2838" i="6"/>
  <c r="T2839" i="6"/>
  <c r="T2840" i="6"/>
  <c r="T2841" i="6"/>
  <c r="T2842" i="6"/>
  <c r="T2843" i="6"/>
  <c r="T2844" i="6"/>
  <c r="T2845" i="6"/>
  <c r="T2846" i="6"/>
  <c r="T2847" i="6"/>
  <c r="T2848" i="6"/>
  <c r="T2849" i="6"/>
  <c r="T2850" i="6"/>
  <c r="T2851" i="6"/>
  <c r="T2852" i="6"/>
  <c r="T2853" i="6"/>
  <c r="T2854" i="6"/>
  <c r="T2855" i="6"/>
  <c r="T2856" i="6"/>
  <c r="T2857" i="6"/>
  <c r="T2858" i="6"/>
  <c r="T2859" i="6"/>
  <c r="T2860" i="6"/>
  <c r="T2861" i="6"/>
  <c r="T2862" i="6"/>
  <c r="T2863" i="6"/>
  <c r="T2864" i="6"/>
  <c r="T2865" i="6"/>
  <c r="T2866" i="6"/>
  <c r="T2867" i="6"/>
  <c r="T2868" i="6"/>
  <c r="T2869" i="6"/>
  <c r="T2870" i="6"/>
  <c r="T2871" i="6"/>
  <c r="T2872" i="6"/>
  <c r="T2873" i="6"/>
  <c r="T2874" i="6"/>
  <c r="T2875" i="6"/>
  <c r="T2876" i="6"/>
  <c r="T2877" i="6"/>
  <c r="T2878" i="6"/>
  <c r="T2879" i="6"/>
  <c r="T2880" i="6"/>
  <c r="T2881" i="6"/>
  <c r="T2882" i="6"/>
  <c r="T2883" i="6"/>
  <c r="T2884" i="6"/>
  <c r="T2885" i="6"/>
  <c r="T2886" i="6"/>
  <c r="T2887" i="6"/>
  <c r="T2888" i="6"/>
  <c r="T2889" i="6"/>
  <c r="T2890" i="6"/>
  <c r="T2891" i="6"/>
  <c r="T2892" i="6"/>
  <c r="T2893" i="6"/>
  <c r="T2894" i="6"/>
  <c r="T2895" i="6"/>
  <c r="T2896" i="6"/>
  <c r="T2897" i="6"/>
  <c r="T2898" i="6"/>
  <c r="T2899" i="6"/>
  <c r="T2900" i="6"/>
  <c r="T2901" i="6"/>
  <c r="T2902" i="6"/>
  <c r="T2903" i="6"/>
  <c r="T2904" i="6"/>
  <c r="T2905" i="6"/>
  <c r="T2906" i="6"/>
  <c r="T2907" i="6"/>
  <c r="T2908" i="6"/>
  <c r="T2909" i="6"/>
  <c r="T2910" i="6"/>
  <c r="T2911" i="6"/>
  <c r="T2912" i="6"/>
  <c r="T2913" i="6"/>
  <c r="T2914" i="6"/>
  <c r="T2915" i="6"/>
  <c r="T2916" i="6"/>
  <c r="T2917" i="6"/>
  <c r="T2918" i="6"/>
  <c r="T2919" i="6"/>
  <c r="T2920" i="6"/>
  <c r="T2921" i="6"/>
  <c r="T2922" i="6"/>
  <c r="T2923" i="6"/>
  <c r="T2924" i="6"/>
  <c r="T2925" i="6"/>
  <c r="T2926" i="6"/>
  <c r="T2927" i="6"/>
  <c r="T2928" i="6"/>
  <c r="T2929" i="6"/>
  <c r="T2930" i="6"/>
  <c r="T2931" i="6"/>
  <c r="T2932" i="6"/>
  <c r="T2933" i="6"/>
  <c r="T2934" i="6"/>
  <c r="T2935" i="6"/>
  <c r="T2936" i="6"/>
  <c r="T2937" i="6"/>
  <c r="T2938" i="6"/>
  <c r="T2939" i="6"/>
  <c r="T2940" i="6"/>
  <c r="T2941" i="6"/>
  <c r="T2942" i="6"/>
  <c r="T2943" i="6"/>
  <c r="T2944" i="6"/>
  <c r="T2945" i="6"/>
  <c r="T2946" i="6"/>
  <c r="T2947" i="6"/>
  <c r="T2948" i="6"/>
  <c r="T2949" i="6"/>
  <c r="T2950" i="6"/>
  <c r="T2951" i="6"/>
  <c r="T2952" i="6"/>
  <c r="T2953" i="6"/>
  <c r="T2954" i="6"/>
  <c r="T2955" i="6"/>
  <c r="T2956" i="6"/>
  <c r="T2957" i="6"/>
  <c r="T2958" i="6"/>
  <c r="T2959" i="6"/>
  <c r="T2960" i="6"/>
  <c r="T2961" i="6"/>
  <c r="T2962" i="6"/>
  <c r="T2963" i="6"/>
  <c r="T2964" i="6"/>
  <c r="T2965" i="6"/>
  <c r="T2966" i="6"/>
  <c r="T2967" i="6"/>
  <c r="T2968" i="6"/>
  <c r="T2969" i="6"/>
  <c r="T2970" i="6"/>
  <c r="T2971" i="6"/>
  <c r="T2972" i="6"/>
  <c r="T2973" i="6"/>
  <c r="T2974" i="6"/>
  <c r="T2975" i="6"/>
  <c r="T2976" i="6"/>
  <c r="T2977" i="6"/>
  <c r="T2978" i="6"/>
  <c r="T2979" i="6"/>
  <c r="T2980" i="6"/>
  <c r="T2981" i="6"/>
  <c r="T2982" i="6"/>
  <c r="T2983" i="6"/>
  <c r="T2984" i="6"/>
  <c r="T2985" i="6"/>
  <c r="T2986" i="6"/>
  <c r="T2987" i="6"/>
  <c r="T2988" i="6"/>
  <c r="T2989" i="6"/>
  <c r="T2990" i="6"/>
  <c r="T2991" i="6"/>
  <c r="T2992" i="6"/>
  <c r="T2993" i="6"/>
  <c r="T2994" i="6"/>
  <c r="T2995" i="6"/>
  <c r="T2996" i="6"/>
  <c r="T2997" i="6"/>
  <c r="T2998" i="6"/>
  <c r="T2999" i="6"/>
  <c r="T3000" i="6"/>
  <c r="T3001" i="6"/>
  <c r="T3002" i="6"/>
  <c r="T3003" i="6"/>
  <c r="T3004" i="6"/>
  <c r="T3005" i="6"/>
  <c r="T3006" i="6"/>
  <c r="T3007" i="6"/>
  <c r="T3008" i="6"/>
  <c r="T3009" i="6"/>
  <c r="T3010" i="6"/>
  <c r="T3011" i="6"/>
  <c r="T3012" i="6"/>
  <c r="T3013" i="6"/>
  <c r="T3014" i="6"/>
  <c r="T3015" i="6"/>
  <c r="T3016" i="6"/>
  <c r="T3017" i="6"/>
  <c r="T3018" i="6"/>
  <c r="T3019" i="6"/>
  <c r="T3020" i="6"/>
  <c r="T3021" i="6"/>
  <c r="T3022" i="6"/>
  <c r="T3023" i="6"/>
  <c r="T3024" i="6"/>
  <c r="T3025" i="6"/>
  <c r="T3026" i="6"/>
  <c r="T3027" i="6"/>
  <c r="T3028" i="6"/>
  <c r="T3029" i="6"/>
  <c r="T3030" i="6"/>
  <c r="T3031" i="6"/>
  <c r="T3032" i="6"/>
  <c r="T3033" i="6"/>
  <c r="T3034" i="6"/>
  <c r="T3035" i="6"/>
  <c r="T3036" i="6"/>
  <c r="T3037" i="6"/>
  <c r="T3038" i="6"/>
  <c r="T3039" i="6"/>
  <c r="T3040" i="6"/>
  <c r="T3041" i="6"/>
  <c r="T3042" i="6"/>
  <c r="T3043" i="6"/>
  <c r="T3044" i="6"/>
  <c r="T3045" i="6"/>
  <c r="T3046" i="6"/>
  <c r="T3047" i="6"/>
  <c r="T3048" i="6"/>
  <c r="T3049" i="6"/>
  <c r="T3050" i="6"/>
  <c r="T3051" i="6"/>
  <c r="T3052" i="6"/>
  <c r="T3053" i="6"/>
  <c r="T3054" i="6"/>
  <c r="T3055" i="6"/>
  <c r="T3056" i="6"/>
  <c r="T3057" i="6"/>
  <c r="T3058" i="6"/>
  <c r="T3059" i="6"/>
  <c r="T3060" i="6"/>
  <c r="T3061" i="6"/>
  <c r="T3062" i="6"/>
  <c r="T3063" i="6"/>
  <c r="T3064" i="6"/>
  <c r="T3065" i="6"/>
  <c r="T3066" i="6"/>
  <c r="T3067" i="6"/>
  <c r="T3068" i="6"/>
  <c r="T3069" i="6"/>
  <c r="T3070" i="6"/>
  <c r="T3071" i="6"/>
  <c r="T3072" i="6"/>
  <c r="T3073" i="6"/>
  <c r="T3074" i="6"/>
  <c r="T3075" i="6"/>
  <c r="T3076" i="6"/>
  <c r="T3077" i="6"/>
  <c r="T3078" i="6"/>
  <c r="T3079" i="6"/>
  <c r="T3080" i="6"/>
  <c r="T3081" i="6"/>
  <c r="T3082" i="6"/>
  <c r="T3083" i="6"/>
  <c r="T3084" i="6"/>
  <c r="T3085" i="6"/>
  <c r="T3086" i="6"/>
  <c r="T3087" i="6"/>
  <c r="T3088" i="6"/>
  <c r="T3089" i="6"/>
  <c r="T3090" i="6"/>
  <c r="T3091" i="6"/>
  <c r="T3092" i="6"/>
  <c r="T3093" i="6"/>
  <c r="T3094" i="6"/>
  <c r="T3095" i="6"/>
  <c r="T3096" i="6"/>
  <c r="T3097" i="6"/>
  <c r="T3098" i="6"/>
  <c r="T3099" i="6"/>
  <c r="T3100" i="6"/>
  <c r="T3101" i="6"/>
  <c r="T3102" i="6"/>
  <c r="T3103" i="6"/>
  <c r="T3104" i="6"/>
  <c r="T3105" i="6"/>
  <c r="T3106" i="6"/>
  <c r="T3107" i="6"/>
  <c r="T3108" i="6"/>
  <c r="T3109" i="6"/>
  <c r="T3110" i="6"/>
  <c r="T3111" i="6"/>
  <c r="T3112" i="6"/>
  <c r="T3113" i="6"/>
  <c r="T3114" i="6"/>
  <c r="T3115" i="6"/>
  <c r="T3116" i="6"/>
  <c r="T3117" i="6"/>
  <c r="T3118" i="6"/>
  <c r="T3119" i="6"/>
  <c r="T3120" i="6"/>
  <c r="T3121" i="6"/>
  <c r="T3122" i="6"/>
  <c r="T3123" i="6"/>
  <c r="T3124" i="6"/>
  <c r="T3125" i="6"/>
  <c r="T3126" i="6"/>
  <c r="T3127" i="6"/>
  <c r="T3128" i="6"/>
  <c r="T3129" i="6"/>
  <c r="T3130" i="6"/>
  <c r="T3131" i="6"/>
  <c r="T3132" i="6"/>
  <c r="T3133" i="6"/>
  <c r="T3134" i="6"/>
  <c r="T3135" i="6"/>
  <c r="T3136" i="6"/>
  <c r="T3137" i="6"/>
  <c r="T3138" i="6"/>
  <c r="T3139" i="6"/>
  <c r="T3140" i="6"/>
  <c r="T3141" i="6"/>
  <c r="T3142" i="6"/>
  <c r="T3143" i="6"/>
  <c r="T3144" i="6"/>
  <c r="T3145" i="6"/>
  <c r="T3146" i="6"/>
  <c r="T3147" i="6"/>
  <c r="T3148" i="6"/>
  <c r="T3149" i="6"/>
  <c r="T3150" i="6"/>
  <c r="T3151" i="6"/>
  <c r="T3152" i="6"/>
  <c r="T3153" i="6"/>
  <c r="T3154" i="6"/>
  <c r="T3155" i="6"/>
  <c r="T3156" i="6"/>
  <c r="T3157" i="6"/>
  <c r="T3158" i="6"/>
  <c r="T3159" i="6"/>
  <c r="T3160" i="6"/>
  <c r="T3161" i="6"/>
  <c r="T3162" i="6"/>
  <c r="T3163" i="6"/>
  <c r="T3164" i="6"/>
  <c r="T3165" i="6"/>
  <c r="T3166" i="6"/>
  <c r="T3167" i="6"/>
  <c r="T3168" i="6"/>
  <c r="T3169" i="6"/>
  <c r="T3170" i="6"/>
  <c r="T3171" i="6"/>
  <c r="T3172" i="6"/>
  <c r="T3173" i="6"/>
  <c r="T3174" i="6"/>
  <c r="T3175" i="6"/>
  <c r="T3176" i="6"/>
  <c r="T3177" i="6"/>
  <c r="T3178" i="6"/>
  <c r="T3179" i="6"/>
  <c r="T3180" i="6"/>
  <c r="T3181" i="6"/>
  <c r="T3182" i="6"/>
  <c r="T3183" i="6"/>
  <c r="T3184" i="6"/>
  <c r="T3185" i="6"/>
  <c r="T3186" i="6"/>
  <c r="T3187" i="6"/>
  <c r="T3188" i="6"/>
  <c r="T3189" i="6"/>
  <c r="T3190" i="6"/>
  <c r="T3191" i="6"/>
  <c r="T3192" i="6"/>
  <c r="T3193" i="6"/>
  <c r="T3194" i="6"/>
  <c r="T3195" i="6"/>
  <c r="T3196" i="6"/>
  <c r="T3197" i="6"/>
  <c r="T3198" i="6"/>
  <c r="T3199" i="6"/>
  <c r="T3200" i="6"/>
  <c r="T3201" i="6"/>
  <c r="T3202" i="6"/>
  <c r="T3203" i="6"/>
  <c r="T3204" i="6"/>
  <c r="T3205" i="6"/>
  <c r="T3206" i="6"/>
  <c r="T3207" i="6"/>
  <c r="T3208" i="6"/>
  <c r="T3209" i="6"/>
  <c r="T3210" i="6"/>
  <c r="T3211" i="6"/>
  <c r="T3212" i="6"/>
  <c r="T3213" i="6"/>
  <c r="T3214" i="6"/>
  <c r="T3215" i="6"/>
  <c r="T3216" i="6"/>
  <c r="T3217" i="6"/>
  <c r="T3218" i="6"/>
  <c r="T3219" i="6"/>
  <c r="T3220" i="6"/>
  <c r="T3221" i="6"/>
  <c r="T3222" i="6"/>
  <c r="T3223" i="6"/>
  <c r="T3224" i="6"/>
  <c r="T3225" i="6"/>
  <c r="T3226" i="6"/>
  <c r="T3227" i="6"/>
  <c r="T3228" i="6"/>
  <c r="T3229" i="6"/>
  <c r="T3230" i="6"/>
  <c r="T3231" i="6"/>
  <c r="T3232" i="6"/>
  <c r="T3233" i="6"/>
  <c r="T3234" i="6"/>
  <c r="T3235" i="6"/>
  <c r="T3236" i="6"/>
  <c r="T3237" i="6"/>
  <c r="T3238" i="6"/>
  <c r="T3239" i="6"/>
  <c r="T3240" i="6"/>
  <c r="T3241" i="6"/>
  <c r="T3242" i="6"/>
  <c r="T3243" i="6"/>
  <c r="T3244" i="6"/>
  <c r="T3245" i="6"/>
  <c r="T3246" i="6"/>
  <c r="T3247" i="6"/>
  <c r="T3248" i="6"/>
  <c r="T3249" i="6"/>
  <c r="T3250" i="6"/>
  <c r="T3251" i="6"/>
  <c r="T3252" i="6"/>
  <c r="T3253" i="6"/>
  <c r="T3254" i="6"/>
  <c r="T3255" i="6"/>
  <c r="T3256" i="6"/>
  <c r="T3257" i="6"/>
  <c r="T3258" i="6"/>
  <c r="T3259" i="6"/>
  <c r="T3260" i="6"/>
  <c r="T3261" i="6"/>
  <c r="T3262" i="6"/>
  <c r="T3263" i="6"/>
  <c r="T3264" i="6"/>
  <c r="T3265" i="6"/>
  <c r="T3266" i="6"/>
  <c r="T3267" i="6"/>
  <c r="T3268" i="6"/>
  <c r="T3269" i="6"/>
  <c r="T3270" i="6"/>
  <c r="T3271" i="6"/>
  <c r="T3272" i="6"/>
  <c r="T3273" i="6"/>
  <c r="T3274" i="6"/>
  <c r="T3275" i="6"/>
  <c r="T3276" i="6"/>
  <c r="T3277" i="6"/>
  <c r="T3278" i="6"/>
  <c r="T3279" i="6"/>
  <c r="T3280" i="6"/>
  <c r="T3281" i="6"/>
  <c r="T3282" i="6"/>
  <c r="T3283" i="6"/>
  <c r="T3284" i="6"/>
  <c r="T3285" i="6"/>
  <c r="T3286" i="6"/>
  <c r="T3287" i="6"/>
  <c r="T3288" i="6"/>
  <c r="T3289" i="6"/>
  <c r="T3290" i="6"/>
  <c r="T3291" i="6"/>
  <c r="T3292" i="6"/>
  <c r="T3293" i="6"/>
  <c r="T3294" i="6"/>
  <c r="T3295" i="6"/>
  <c r="T3296" i="6"/>
  <c r="T3297" i="6"/>
  <c r="T3298" i="6"/>
  <c r="T3299" i="6"/>
  <c r="T3300" i="6"/>
  <c r="T3301" i="6"/>
  <c r="T3302" i="6"/>
  <c r="T3303" i="6"/>
  <c r="T3304" i="6"/>
  <c r="T3305" i="6"/>
  <c r="T3306" i="6"/>
  <c r="T3307" i="6"/>
  <c r="T3308" i="6"/>
  <c r="T3309" i="6"/>
  <c r="T3310" i="6"/>
  <c r="T3311" i="6"/>
  <c r="T3312" i="6"/>
  <c r="T3313" i="6"/>
  <c r="T3314" i="6"/>
  <c r="T3315" i="6"/>
  <c r="T3316" i="6"/>
  <c r="T3317" i="6"/>
  <c r="T3318" i="6"/>
  <c r="T3319" i="6"/>
  <c r="T3320" i="6"/>
  <c r="T3321" i="6"/>
  <c r="T3322" i="6"/>
  <c r="T3323" i="6"/>
  <c r="T3324" i="6"/>
  <c r="T3325" i="6"/>
  <c r="T3326" i="6"/>
  <c r="T3327" i="6"/>
  <c r="T3328" i="6"/>
  <c r="T3329" i="6"/>
  <c r="T3330" i="6"/>
  <c r="T3331" i="6"/>
  <c r="T3332" i="6"/>
  <c r="T3333" i="6"/>
  <c r="T3334" i="6"/>
  <c r="T3335" i="6"/>
  <c r="T3336" i="6"/>
  <c r="T3337" i="6"/>
  <c r="T3338" i="6"/>
  <c r="T3339" i="6"/>
  <c r="T3340" i="6"/>
  <c r="T3341" i="6"/>
  <c r="T3342" i="6"/>
  <c r="T3343" i="6"/>
  <c r="T3344" i="6"/>
  <c r="T3345" i="6"/>
  <c r="T3346" i="6"/>
  <c r="T3347" i="6"/>
  <c r="T3348" i="6"/>
  <c r="T3349" i="6"/>
  <c r="T3350" i="6"/>
  <c r="T3351" i="6"/>
  <c r="T3352" i="6"/>
  <c r="T3353" i="6"/>
  <c r="T3354" i="6"/>
  <c r="T3355" i="6"/>
  <c r="T3356" i="6"/>
  <c r="T3357" i="6"/>
  <c r="T3358" i="6"/>
  <c r="T3359" i="6"/>
  <c r="T3360" i="6"/>
  <c r="T3361" i="6"/>
  <c r="T3362" i="6"/>
  <c r="T3363" i="6"/>
  <c r="T3364" i="6"/>
  <c r="T3365" i="6"/>
  <c r="T3366" i="6"/>
  <c r="T3367" i="6"/>
  <c r="T3368" i="6"/>
  <c r="T3369" i="6"/>
  <c r="T3370" i="6"/>
  <c r="T3371" i="6"/>
  <c r="T3372" i="6"/>
  <c r="T3373" i="6"/>
  <c r="T3374" i="6"/>
  <c r="T3375" i="6"/>
  <c r="T3376" i="6"/>
  <c r="T3377" i="6"/>
  <c r="T3378" i="6"/>
  <c r="T3379" i="6"/>
  <c r="T3380" i="6"/>
  <c r="T3381" i="6"/>
  <c r="T3382" i="6"/>
  <c r="T3383" i="6"/>
  <c r="T3384" i="6"/>
  <c r="T3385" i="6"/>
  <c r="T3386" i="6"/>
  <c r="T3387" i="6"/>
  <c r="T3388" i="6"/>
  <c r="T3389" i="6"/>
  <c r="T3390" i="6"/>
  <c r="T3391" i="6"/>
  <c r="T3392" i="6"/>
  <c r="T3393" i="6"/>
  <c r="T3394" i="6"/>
  <c r="T3395" i="6"/>
  <c r="T3396" i="6"/>
  <c r="T3397" i="6"/>
  <c r="T3398" i="6"/>
  <c r="T3399" i="6"/>
  <c r="T3400" i="6"/>
  <c r="T3401" i="6"/>
  <c r="T3402" i="6"/>
  <c r="T3403" i="6"/>
  <c r="T3404" i="6"/>
  <c r="T3405" i="6"/>
  <c r="T3406" i="6"/>
  <c r="T3407" i="6"/>
  <c r="T3408" i="6"/>
  <c r="T3409" i="6"/>
  <c r="T3410" i="6"/>
  <c r="T3411" i="6"/>
  <c r="T3412" i="6"/>
  <c r="T3413" i="6"/>
  <c r="T3414" i="6"/>
  <c r="T3415" i="6"/>
  <c r="T3416" i="6"/>
  <c r="T3417" i="6"/>
  <c r="T3418" i="6"/>
  <c r="T3419" i="6"/>
  <c r="T3420" i="6"/>
  <c r="T3421" i="6"/>
  <c r="T3422" i="6"/>
  <c r="T3423" i="6"/>
  <c r="T3424" i="6"/>
  <c r="T3425" i="6"/>
  <c r="T3426" i="6"/>
  <c r="T3427" i="6"/>
  <c r="T3428" i="6"/>
  <c r="T3429" i="6"/>
  <c r="T3430" i="6"/>
  <c r="T3431" i="6"/>
  <c r="T3432" i="6"/>
  <c r="T3433" i="6"/>
  <c r="T3434" i="6"/>
  <c r="T3435" i="6"/>
  <c r="T3436" i="6"/>
  <c r="T3437" i="6"/>
  <c r="T3438" i="6"/>
  <c r="T3439" i="6"/>
  <c r="T3440" i="6"/>
  <c r="T3441" i="6"/>
  <c r="T3442" i="6"/>
  <c r="T3443" i="6"/>
  <c r="T3444" i="6"/>
  <c r="T3445" i="6"/>
  <c r="T3446" i="6"/>
  <c r="T3447" i="6"/>
  <c r="T3448" i="6"/>
  <c r="T3449" i="6"/>
  <c r="T3450" i="6"/>
  <c r="T3451" i="6"/>
  <c r="T3452" i="6"/>
  <c r="T3453" i="6"/>
  <c r="T3454" i="6"/>
  <c r="T3455" i="6"/>
  <c r="T3456" i="6"/>
  <c r="T3457" i="6"/>
  <c r="T3458" i="6"/>
  <c r="T3459" i="6"/>
  <c r="T3460" i="6"/>
  <c r="T3461" i="6"/>
  <c r="T3462" i="6"/>
  <c r="T3463" i="6"/>
  <c r="T3464" i="6"/>
  <c r="T3465" i="6"/>
  <c r="T3466" i="6"/>
  <c r="T3467" i="6"/>
  <c r="T3468" i="6"/>
  <c r="T3469" i="6"/>
  <c r="T3470" i="6"/>
  <c r="T3471" i="6"/>
  <c r="T3472" i="6"/>
  <c r="T3473" i="6"/>
  <c r="T3474" i="6"/>
  <c r="T3475" i="6"/>
  <c r="T3476" i="6"/>
  <c r="T3477" i="6"/>
  <c r="T3478" i="6"/>
  <c r="T3479" i="6"/>
  <c r="T3480" i="6"/>
  <c r="T3481" i="6"/>
  <c r="T3482" i="6"/>
  <c r="T3483" i="6"/>
  <c r="T3484" i="6"/>
  <c r="T3485" i="6"/>
  <c r="T3486" i="6"/>
  <c r="T3487" i="6"/>
  <c r="T3488" i="6"/>
  <c r="T3489" i="6"/>
  <c r="T3490" i="6"/>
  <c r="T3491" i="6"/>
  <c r="T3492" i="6"/>
  <c r="T3493" i="6"/>
  <c r="T3494" i="6"/>
  <c r="T3495" i="6"/>
  <c r="T3496" i="6"/>
  <c r="T3497" i="6"/>
  <c r="T3498" i="6"/>
  <c r="T3499" i="6"/>
  <c r="T3500" i="6"/>
  <c r="T3501" i="6"/>
  <c r="T3502" i="6"/>
  <c r="T3503" i="6"/>
  <c r="T3504" i="6"/>
  <c r="T3505" i="6"/>
  <c r="T3506" i="6"/>
  <c r="T3507" i="6"/>
  <c r="T3508" i="6"/>
  <c r="T3509" i="6"/>
  <c r="T3510" i="6"/>
  <c r="T3511" i="6"/>
  <c r="T3512" i="6"/>
  <c r="T3513" i="6"/>
  <c r="T3514" i="6"/>
  <c r="T3515" i="6"/>
  <c r="T3516" i="6"/>
  <c r="T3517" i="6"/>
  <c r="T3518" i="6"/>
  <c r="T3519" i="6"/>
  <c r="T3520" i="6"/>
  <c r="T3521" i="6"/>
  <c r="T3522" i="6"/>
  <c r="T3523" i="6"/>
  <c r="T3524" i="6"/>
  <c r="T3525" i="6"/>
  <c r="T3526" i="6"/>
  <c r="T3527" i="6"/>
  <c r="T3528" i="6"/>
  <c r="T3529" i="6"/>
  <c r="T3530" i="6"/>
  <c r="T3531" i="6"/>
  <c r="T3532" i="6"/>
  <c r="T3533" i="6"/>
  <c r="T3534" i="6"/>
  <c r="T3535" i="6"/>
  <c r="T3536" i="6"/>
  <c r="T3537" i="6"/>
  <c r="T3538" i="6"/>
  <c r="T3539" i="6"/>
  <c r="T3540" i="6"/>
  <c r="T3541" i="6"/>
  <c r="T3542" i="6"/>
  <c r="T3543" i="6"/>
  <c r="T3544" i="6"/>
  <c r="T3545" i="6"/>
  <c r="T3546" i="6"/>
  <c r="T3547" i="6"/>
  <c r="T3548" i="6"/>
  <c r="T3549" i="6"/>
  <c r="T3550" i="6"/>
  <c r="T3551" i="6"/>
  <c r="T3552" i="6"/>
  <c r="T3553" i="6"/>
  <c r="T3554" i="6"/>
  <c r="T3555" i="6"/>
  <c r="T3556" i="6"/>
  <c r="T3557" i="6"/>
  <c r="T3558" i="6"/>
  <c r="T3559" i="6"/>
  <c r="T3560" i="6"/>
  <c r="T3561" i="6"/>
  <c r="T3562" i="6"/>
  <c r="T3563" i="6"/>
  <c r="T3564" i="6"/>
  <c r="T3565" i="6"/>
  <c r="T3566" i="6"/>
  <c r="T3567" i="6"/>
  <c r="T3568" i="6"/>
  <c r="T3569" i="6"/>
  <c r="T3570" i="6"/>
  <c r="T3571" i="6"/>
  <c r="T3572" i="6"/>
  <c r="T3573" i="6"/>
  <c r="T3574" i="6"/>
  <c r="T3575" i="6"/>
  <c r="T3576" i="6"/>
  <c r="T3577" i="6"/>
  <c r="T3578" i="6"/>
  <c r="T3579" i="6"/>
  <c r="T3580" i="6"/>
  <c r="T3581" i="6"/>
  <c r="T3582" i="6"/>
  <c r="T3583" i="6"/>
  <c r="T3584" i="6"/>
  <c r="T3585" i="6"/>
  <c r="T3586" i="6"/>
  <c r="T3587" i="6"/>
  <c r="T3588" i="6"/>
  <c r="T3589" i="6"/>
  <c r="T3590" i="6"/>
  <c r="T3591" i="6"/>
  <c r="T3592" i="6"/>
  <c r="T3593" i="6"/>
  <c r="T3594" i="6"/>
  <c r="T3595" i="6"/>
  <c r="T3596" i="6"/>
  <c r="T3597" i="6"/>
  <c r="T3598" i="6"/>
  <c r="T3599" i="6"/>
  <c r="T3600" i="6"/>
  <c r="T3601" i="6"/>
  <c r="T3602" i="6"/>
  <c r="T3603" i="6"/>
  <c r="T3604" i="6"/>
  <c r="T3605" i="6"/>
  <c r="T3606" i="6"/>
  <c r="T3607" i="6"/>
  <c r="T3608" i="6"/>
  <c r="T3609" i="6"/>
  <c r="T3610" i="6"/>
  <c r="T3611" i="6"/>
  <c r="T3612" i="6"/>
  <c r="T3613" i="6"/>
  <c r="T3614" i="6"/>
  <c r="T3615" i="6"/>
  <c r="T3616" i="6"/>
  <c r="T3617" i="6"/>
  <c r="T3618" i="6"/>
  <c r="T3619" i="6"/>
  <c r="T3620" i="6"/>
  <c r="T3621" i="6"/>
  <c r="T3622" i="6"/>
  <c r="T3623" i="6"/>
  <c r="T3624" i="6"/>
  <c r="T3625" i="6"/>
  <c r="T3626" i="6"/>
  <c r="T3627" i="6"/>
  <c r="T3628" i="6"/>
  <c r="T3629" i="6"/>
  <c r="T3630" i="6"/>
  <c r="T3631" i="6"/>
  <c r="T3632" i="6"/>
  <c r="T3633" i="6"/>
  <c r="T3634" i="6"/>
  <c r="T3635" i="6"/>
  <c r="T3636" i="6"/>
  <c r="T3637" i="6"/>
  <c r="T3638" i="6"/>
  <c r="T3639" i="6"/>
  <c r="T3640" i="6"/>
  <c r="T3641" i="6"/>
  <c r="T3642" i="6"/>
  <c r="T3643" i="6"/>
  <c r="T3644" i="6"/>
  <c r="T3645" i="6"/>
  <c r="T3646" i="6"/>
  <c r="T3647" i="6"/>
  <c r="T3648" i="6"/>
  <c r="T3649" i="6"/>
  <c r="T3650" i="6"/>
  <c r="T3651" i="6"/>
  <c r="T3652" i="6"/>
  <c r="T3653" i="6"/>
  <c r="T3654" i="6"/>
  <c r="T3655" i="6"/>
  <c r="T3656" i="6"/>
  <c r="T3657" i="6"/>
  <c r="T3658" i="6"/>
  <c r="T3659" i="6"/>
  <c r="T3660" i="6"/>
  <c r="T3661" i="6"/>
  <c r="T3662" i="6"/>
  <c r="T3663" i="6"/>
  <c r="T3664" i="6"/>
  <c r="T3665" i="6"/>
  <c r="T3666" i="6"/>
  <c r="T3667" i="6"/>
  <c r="T3668" i="6"/>
  <c r="T3669" i="6"/>
  <c r="T3670" i="6"/>
  <c r="T3671" i="6"/>
  <c r="T3672" i="6"/>
  <c r="T3673" i="6"/>
  <c r="T3674" i="6"/>
  <c r="T3675" i="6"/>
  <c r="T3676" i="6"/>
  <c r="T3677" i="6"/>
  <c r="T3678" i="6"/>
  <c r="T3679" i="6"/>
  <c r="T3680" i="6"/>
  <c r="T3681" i="6"/>
  <c r="T3682" i="6"/>
  <c r="T3683" i="6"/>
  <c r="T3684" i="6"/>
  <c r="T3685" i="6"/>
  <c r="T3686" i="6"/>
  <c r="T3687" i="6"/>
  <c r="T3688" i="6"/>
  <c r="T3689" i="6"/>
  <c r="T3690" i="6"/>
  <c r="T3691" i="6"/>
  <c r="T3692" i="6"/>
  <c r="T3693" i="6"/>
  <c r="T3694" i="6"/>
  <c r="T3695" i="6"/>
  <c r="T3696" i="6"/>
  <c r="T3697" i="6"/>
  <c r="T3698" i="6"/>
  <c r="T3699" i="6"/>
  <c r="T3700" i="6"/>
  <c r="T3701" i="6"/>
  <c r="T3702" i="6"/>
  <c r="T3703" i="6"/>
  <c r="T3704" i="6"/>
  <c r="T3705" i="6"/>
  <c r="T3706" i="6"/>
  <c r="T3707" i="6"/>
  <c r="T3708" i="6"/>
  <c r="T3709" i="6"/>
  <c r="T3710" i="6"/>
  <c r="T3711" i="6"/>
  <c r="T3712" i="6"/>
  <c r="T3713" i="6"/>
  <c r="T3714" i="6"/>
  <c r="T3715" i="6"/>
  <c r="T3716" i="6"/>
  <c r="T3717" i="6"/>
  <c r="T3718" i="6"/>
  <c r="T3719" i="6"/>
  <c r="T3720" i="6"/>
  <c r="T3721" i="6"/>
  <c r="T3722" i="6"/>
  <c r="T3723" i="6"/>
  <c r="T3724" i="6"/>
  <c r="T3725" i="6"/>
  <c r="T3726" i="6"/>
  <c r="T3727" i="6"/>
  <c r="T3728" i="6"/>
  <c r="T3729" i="6"/>
  <c r="T3730" i="6"/>
  <c r="T3731" i="6"/>
  <c r="T3732" i="6"/>
  <c r="T3733" i="6"/>
  <c r="T3734" i="6"/>
  <c r="T3735" i="6"/>
  <c r="T3736" i="6"/>
  <c r="T3737" i="6"/>
  <c r="T3738" i="6"/>
  <c r="T3739" i="6"/>
  <c r="T3740" i="6"/>
  <c r="T3741" i="6"/>
  <c r="T3742" i="6"/>
  <c r="T3743" i="6"/>
  <c r="T3744" i="6"/>
  <c r="T3745" i="6"/>
  <c r="T3746" i="6"/>
  <c r="T3747" i="6"/>
  <c r="T3748" i="6"/>
  <c r="T3749" i="6"/>
  <c r="T3750" i="6"/>
  <c r="T3751" i="6"/>
  <c r="T3752" i="6"/>
  <c r="T3753" i="6"/>
  <c r="T3754" i="6"/>
  <c r="T3755" i="6"/>
  <c r="T3756" i="6"/>
  <c r="T3757" i="6"/>
  <c r="T3758" i="6"/>
  <c r="T3759" i="6"/>
  <c r="T3760" i="6"/>
  <c r="T3761" i="6"/>
  <c r="T3762" i="6"/>
  <c r="T3763" i="6"/>
  <c r="T3764" i="6"/>
  <c r="T3765" i="6"/>
  <c r="T3766" i="6"/>
  <c r="T3767" i="6"/>
  <c r="T3768" i="6"/>
  <c r="T3769" i="6"/>
  <c r="T3770" i="6"/>
  <c r="T3771" i="6"/>
  <c r="T3772" i="6"/>
  <c r="T3773" i="6"/>
  <c r="T3774" i="6"/>
  <c r="T3775" i="6"/>
  <c r="T3776" i="6"/>
  <c r="T3777" i="6"/>
  <c r="T3778" i="6"/>
  <c r="T3779" i="6"/>
  <c r="T3780" i="6"/>
  <c r="T3781" i="6"/>
  <c r="T3782" i="6"/>
  <c r="T3783" i="6"/>
  <c r="T3784" i="6"/>
  <c r="T3785" i="6"/>
  <c r="T3786" i="6"/>
  <c r="T3787" i="6"/>
  <c r="T3788" i="6"/>
  <c r="T3789" i="6"/>
  <c r="T3790" i="6"/>
  <c r="T3791" i="6"/>
  <c r="T3792" i="6"/>
  <c r="T3793" i="6"/>
  <c r="T3794" i="6"/>
  <c r="T3795" i="6"/>
  <c r="T3796" i="6"/>
  <c r="T3797" i="6"/>
  <c r="T3798" i="6"/>
  <c r="T3799" i="6"/>
  <c r="T3800" i="6"/>
  <c r="T3801" i="6"/>
  <c r="T3802" i="6"/>
  <c r="T3803" i="6"/>
  <c r="T3804" i="6"/>
  <c r="T3805" i="6"/>
  <c r="T3806" i="6"/>
  <c r="T3807" i="6"/>
  <c r="T3808" i="6"/>
  <c r="T3809" i="6"/>
  <c r="T3810" i="6"/>
  <c r="T3811" i="6"/>
  <c r="T3812" i="6"/>
  <c r="T3813" i="6"/>
  <c r="T3814" i="6"/>
  <c r="T3815" i="6"/>
  <c r="T3816" i="6"/>
  <c r="T3817" i="6"/>
  <c r="T3818" i="6"/>
  <c r="T3819" i="6"/>
  <c r="T3820" i="6"/>
  <c r="T3821" i="6"/>
  <c r="T3822" i="6"/>
  <c r="T3823" i="6"/>
  <c r="T3824" i="6"/>
  <c r="T3825" i="6"/>
  <c r="T3826" i="6"/>
  <c r="T3827" i="6"/>
  <c r="T3828" i="6"/>
  <c r="T3829" i="6"/>
  <c r="T3830" i="6"/>
  <c r="T3831" i="6"/>
  <c r="T3832" i="6"/>
  <c r="T3833" i="6"/>
  <c r="T3834" i="6"/>
  <c r="T3835" i="6"/>
  <c r="T3836" i="6"/>
  <c r="T3837" i="6"/>
  <c r="T3838" i="6"/>
  <c r="T3839" i="6"/>
  <c r="T3840" i="6"/>
  <c r="T3841" i="6"/>
  <c r="T3842" i="6"/>
  <c r="T3843" i="6"/>
  <c r="T3844" i="6"/>
  <c r="T3845" i="6"/>
  <c r="T3846" i="6"/>
  <c r="T3847" i="6"/>
  <c r="T3848" i="6"/>
  <c r="T3849" i="6"/>
  <c r="T3850" i="6"/>
  <c r="T3851" i="6"/>
  <c r="T3852" i="6"/>
  <c r="T3853" i="6"/>
  <c r="T3854" i="6"/>
  <c r="T3855" i="6"/>
  <c r="T3856" i="6"/>
  <c r="T3857" i="6"/>
  <c r="T3858" i="6"/>
  <c r="T3859" i="6"/>
  <c r="T3860" i="6"/>
  <c r="T3861" i="6"/>
  <c r="T3862" i="6"/>
  <c r="T3863" i="6"/>
  <c r="T3864" i="6"/>
  <c r="T3865" i="6"/>
  <c r="T3866" i="6"/>
  <c r="T3867" i="6"/>
  <c r="T3868" i="6"/>
  <c r="T3869" i="6"/>
  <c r="T3870" i="6"/>
  <c r="T3871" i="6"/>
  <c r="T3872" i="6"/>
  <c r="T3873" i="6"/>
  <c r="T3874" i="6"/>
  <c r="T3875" i="6"/>
  <c r="T3876" i="6"/>
  <c r="T3877" i="6"/>
  <c r="T3878" i="6"/>
  <c r="T3879" i="6"/>
  <c r="T3880" i="6"/>
  <c r="T3881" i="6"/>
  <c r="T3882" i="6"/>
  <c r="T3883" i="6"/>
  <c r="T3884" i="6"/>
  <c r="T3885" i="6"/>
  <c r="T3886" i="6"/>
  <c r="T3887" i="6"/>
  <c r="T3888" i="6"/>
  <c r="T3889" i="6"/>
  <c r="T3890" i="6"/>
  <c r="T3891" i="6"/>
  <c r="T3892" i="6"/>
  <c r="T3893" i="6"/>
  <c r="T3894" i="6"/>
  <c r="T3895" i="6"/>
  <c r="T3896" i="6"/>
  <c r="T3897" i="6"/>
  <c r="T3898" i="6"/>
  <c r="T3899" i="6"/>
  <c r="T3900" i="6"/>
  <c r="T3901" i="6"/>
  <c r="T3902" i="6"/>
  <c r="T3903" i="6"/>
  <c r="T3904" i="6"/>
  <c r="T3905" i="6"/>
  <c r="T3906" i="6"/>
  <c r="T3907" i="6"/>
  <c r="T3908" i="6"/>
  <c r="T3909" i="6"/>
  <c r="T3910" i="6"/>
  <c r="T3911" i="6"/>
  <c r="T3912" i="6"/>
  <c r="T3913" i="6"/>
  <c r="T3914" i="6"/>
  <c r="T3915" i="6"/>
  <c r="T3916" i="6"/>
  <c r="T3917" i="6"/>
  <c r="T3918" i="6"/>
  <c r="T3919" i="6"/>
  <c r="T3920" i="6"/>
  <c r="T3921" i="6"/>
  <c r="T3922" i="6"/>
  <c r="T3923" i="6"/>
  <c r="T3924" i="6"/>
  <c r="T3925" i="6"/>
  <c r="T3926" i="6"/>
  <c r="T3927" i="6"/>
  <c r="T3928" i="6"/>
  <c r="T3929" i="6"/>
  <c r="T3930" i="6"/>
  <c r="T3931" i="6"/>
  <c r="T3932" i="6"/>
  <c r="T3933" i="6"/>
  <c r="T3934" i="6"/>
  <c r="T3935" i="6"/>
  <c r="T3936" i="6"/>
  <c r="T3937" i="6"/>
  <c r="T3938" i="6"/>
  <c r="T3939" i="6"/>
  <c r="T3940" i="6"/>
  <c r="T3941" i="6"/>
  <c r="T3942" i="6"/>
  <c r="T3943" i="6"/>
  <c r="T3944" i="6"/>
  <c r="T3945" i="6"/>
  <c r="T3946" i="6"/>
  <c r="T3947" i="6"/>
  <c r="T3948" i="6"/>
  <c r="T3949" i="6"/>
  <c r="T3950" i="6"/>
  <c r="T3951" i="6"/>
  <c r="T3952" i="6"/>
  <c r="T3953" i="6"/>
  <c r="T3954" i="6"/>
  <c r="T3955" i="6"/>
  <c r="T3956" i="6"/>
  <c r="T3957" i="6"/>
  <c r="T3958" i="6"/>
  <c r="T3959" i="6"/>
  <c r="T3960" i="6"/>
  <c r="T3961" i="6"/>
  <c r="T3962" i="6"/>
  <c r="T3963" i="6"/>
  <c r="T3964" i="6"/>
  <c r="T3965" i="6"/>
  <c r="T3966" i="6"/>
  <c r="T3967" i="6"/>
  <c r="T3968" i="6"/>
  <c r="T3969" i="6"/>
  <c r="T3970" i="6"/>
  <c r="T3971" i="6"/>
  <c r="T3972" i="6"/>
  <c r="T3973" i="6"/>
  <c r="T3974" i="6"/>
  <c r="T3975" i="6"/>
  <c r="T3976" i="6"/>
  <c r="T3977" i="6"/>
  <c r="T3978" i="6"/>
  <c r="T3979" i="6"/>
  <c r="T3980" i="6"/>
  <c r="T3981" i="6"/>
  <c r="T3982" i="6"/>
  <c r="T3983" i="6"/>
  <c r="T3984" i="6"/>
  <c r="T3985" i="6"/>
  <c r="T3986" i="6"/>
  <c r="T3987" i="6"/>
  <c r="T3988" i="6"/>
  <c r="T3989" i="6"/>
  <c r="T3990" i="6"/>
  <c r="T3991" i="6"/>
  <c r="T3992" i="6"/>
  <c r="T3993" i="6"/>
  <c r="T3994" i="6"/>
  <c r="T3995" i="6"/>
  <c r="T3996" i="6"/>
  <c r="T3997" i="6"/>
  <c r="T3998" i="6"/>
  <c r="T3999" i="6"/>
  <c r="T4000" i="6"/>
  <c r="T4001" i="6"/>
  <c r="T4002" i="6"/>
  <c r="T4003" i="6"/>
  <c r="T4004" i="6"/>
  <c r="T4005" i="6"/>
  <c r="T4006" i="6"/>
  <c r="T4007" i="6"/>
  <c r="T4008" i="6"/>
  <c r="T4009" i="6"/>
  <c r="T4010" i="6"/>
  <c r="T4011" i="6"/>
  <c r="T4012" i="6"/>
  <c r="T4013" i="6"/>
  <c r="T4014" i="6"/>
  <c r="T4015" i="6"/>
  <c r="T4016" i="6"/>
  <c r="T4017" i="6"/>
  <c r="T4018" i="6"/>
  <c r="T4019" i="6"/>
  <c r="T4020" i="6"/>
  <c r="T4021" i="6"/>
  <c r="T4022" i="6"/>
  <c r="T4023" i="6"/>
  <c r="T4024" i="6"/>
  <c r="T4025" i="6"/>
  <c r="T4026" i="6"/>
  <c r="T4027" i="6"/>
  <c r="T4028" i="6"/>
  <c r="T4029" i="6"/>
  <c r="T4030" i="6"/>
  <c r="T4031" i="6"/>
  <c r="T4032" i="6"/>
  <c r="T4033" i="6"/>
  <c r="T4034" i="6"/>
  <c r="T4035" i="6"/>
  <c r="T4036" i="6"/>
  <c r="T4037" i="6"/>
  <c r="T4038" i="6"/>
  <c r="T4039" i="6"/>
  <c r="T4040" i="6"/>
  <c r="T4041" i="6"/>
  <c r="T4042" i="6"/>
  <c r="T4043" i="6"/>
  <c r="T4044" i="6"/>
  <c r="T4045" i="6"/>
  <c r="T4046" i="6"/>
  <c r="T4047" i="6"/>
  <c r="T4048" i="6"/>
  <c r="T4049" i="6"/>
  <c r="T4050" i="6"/>
  <c r="T4051" i="6"/>
  <c r="T4052" i="6"/>
  <c r="T4053" i="6"/>
  <c r="T4054" i="6"/>
  <c r="T4055" i="6"/>
  <c r="T4056" i="6"/>
  <c r="T4057" i="6"/>
  <c r="T4058" i="6"/>
  <c r="T4059" i="6"/>
  <c r="T4060" i="6"/>
  <c r="T4061" i="6"/>
  <c r="T4062" i="6"/>
  <c r="T4063" i="6"/>
  <c r="T4064" i="6"/>
  <c r="T4065" i="6"/>
  <c r="T4066" i="6"/>
  <c r="T4067" i="6"/>
  <c r="T4068" i="6"/>
  <c r="T4069" i="6"/>
  <c r="T4070" i="6"/>
  <c r="T4071" i="6"/>
  <c r="T4072" i="6"/>
  <c r="T4073" i="6"/>
  <c r="T4074" i="6"/>
  <c r="T4075" i="6"/>
  <c r="T4076" i="6"/>
  <c r="T4077" i="6"/>
  <c r="T4078" i="6"/>
  <c r="T4079" i="6"/>
  <c r="T4080" i="6"/>
  <c r="T4081" i="6"/>
  <c r="T4082" i="6"/>
  <c r="T4083" i="6"/>
  <c r="T4084" i="6"/>
  <c r="T4085" i="6"/>
  <c r="T4086" i="6"/>
  <c r="T4087" i="6"/>
  <c r="T4088" i="6"/>
  <c r="T4089" i="6"/>
  <c r="T4090" i="6"/>
  <c r="T4091" i="6"/>
  <c r="T4092" i="6"/>
  <c r="T4093" i="6"/>
  <c r="T4094" i="6"/>
  <c r="T4095" i="6"/>
  <c r="T4096" i="6"/>
  <c r="T4097" i="6"/>
  <c r="T4098" i="6"/>
  <c r="T4099" i="6"/>
  <c r="T4100" i="6"/>
  <c r="T4101" i="6"/>
  <c r="T4102" i="6"/>
  <c r="T4103" i="6"/>
  <c r="T4104" i="6"/>
  <c r="T4105" i="6"/>
  <c r="T4106" i="6"/>
  <c r="T4107" i="6"/>
  <c r="T4108" i="6"/>
  <c r="T4109" i="6"/>
  <c r="T4110" i="6"/>
  <c r="T4111" i="6"/>
  <c r="T4112" i="6"/>
  <c r="T4113" i="6"/>
  <c r="T4114" i="6"/>
  <c r="T4115" i="6"/>
  <c r="T4116" i="6"/>
  <c r="T4117" i="6"/>
  <c r="T4118" i="6"/>
  <c r="T4119" i="6"/>
  <c r="T4120" i="6"/>
  <c r="T4121" i="6"/>
  <c r="T4122" i="6"/>
  <c r="T4123" i="6"/>
  <c r="T4124" i="6"/>
  <c r="T4125" i="6"/>
  <c r="T4126" i="6"/>
  <c r="T4127" i="6"/>
  <c r="T4128" i="6"/>
  <c r="T4129" i="6"/>
  <c r="T4130" i="6"/>
  <c r="T4131" i="6"/>
  <c r="T4132" i="6"/>
  <c r="T4133" i="6"/>
  <c r="T4134" i="6"/>
  <c r="T4135" i="6"/>
  <c r="T4136" i="6"/>
  <c r="T4137" i="6"/>
  <c r="T4138" i="6"/>
  <c r="T4139" i="6"/>
  <c r="T4140" i="6"/>
  <c r="T4141" i="6"/>
  <c r="T4142" i="6"/>
  <c r="T4143" i="6"/>
  <c r="T4144" i="6"/>
  <c r="T4145" i="6"/>
  <c r="T4146" i="6"/>
  <c r="T4147" i="6"/>
  <c r="T4148" i="6"/>
  <c r="T4149" i="6"/>
  <c r="T4150" i="6"/>
  <c r="T4151" i="6"/>
  <c r="T4152" i="6"/>
  <c r="T4153" i="6"/>
  <c r="T4154" i="6"/>
  <c r="T4155" i="6"/>
  <c r="T4156" i="6"/>
  <c r="T4157" i="6"/>
  <c r="T4158" i="6"/>
  <c r="T4159" i="6"/>
  <c r="T4160" i="6"/>
  <c r="T4161" i="6"/>
  <c r="T4162" i="6"/>
  <c r="T4163" i="6"/>
  <c r="T4164" i="6"/>
  <c r="T4165" i="6"/>
  <c r="T4166" i="6"/>
  <c r="T4167" i="6"/>
  <c r="T4168" i="6"/>
  <c r="T4169" i="6"/>
  <c r="T4170" i="6"/>
  <c r="T4171" i="6"/>
  <c r="T4172" i="6"/>
  <c r="T4173" i="6"/>
  <c r="T4174" i="6"/>
  <c r="T4175" i="6"/>
  <c r="T4176" i="6"/>
  <c r="T4177" i="6"/>
  <c r="T4178" i="6"/>
  <c r="T4179" i="6"/>
  <c r="T4180" i="6"/>
  <c r="T4181" i="6"/>
  <c r="T4182" i="6"/>
  <c r="T4183" i="6"/>
  <c r="T4184" i="6"/>
  <c r="T4185" i="6"/>
  <c r="T4186" i="6"/>
  <c r="T4187" i="6"/>
  <c r="T4188" i="6"/>
  <c r="T4189" i="6"/>
  <c r="T4190" i="6"/>
  <c r="T4191" i="6"/>
  <c r="T4192" i="6"/>
  <c r="T4193" i="6"/>
  <c r="T4194" i="6"/>
  <c r="T4195" i="6"/>
  <c r="T4196" i="6"/>
  <c r="T4197" i="6"/>
  <c r="T4198" i="6"/>
  <c r="T4199" i="6"/>
  <c r="T4200" i="6"/>
  <c r="T4201" i="6"/>
  <c r="T4202" i="6"/>
  <c r="T4203" i="6"/>
  <c r="T4204" i="6"/>
  <c r="T4205" i="6"/>
  <c r="T4206" i="6"/>
  <c r="T4207" i="6"/>
  <c r="T4208" i="6"/>
  <c r="T4209" i="6"/>
  <c r="T4210" i="6"/>
  <c r="T4211" i="6"/>
  <c r="T4212" i="6"/>
  <c r="T4213" i="6"/>
  <c r="T4214" i="6"/>
  <c r="T4215" i="6"/>
  <c r="T4216" i="6"/>
  <c r="T4217" i="6"/>
  <c r="T4218" i="6"/>
  <c r="T4219" i="6"/>
  <c r="T4220" i="6"/>
  <c r="T4221" i="6"/>
  <c r="T4222" i="6"/>
  <c r="T4223" i="6"/>
  <c r="T4224" i="6"/>
  <c r="T4225" i="6"/>
  <c r="T4226" i="6"/>
  <c r="T4227" i="6"/>
  <c r="T4228" i="6"/>
  <c r="T4229" i="6"/>
  <c r="T4230" i="6"/>
  <c r="T4231" i="6"/>
  <c r="T4232" i="6"/>
  <c r="T4233" i="6"/>
  <c r="T4234" i="6"/>
  <c r="T4235" i="6"/>
  <c r="T4236" i="6"/>
  <c r="T4237" i="6"/>
  <c r="T4238" i="6"/>
  <c r="T4239" i="6"/>
  <c r="T4240" i="6"/>
  <c r="T4241" i="6"/>
  <c r="T4242" i="6"/>
  <c r="T4243" i="6"/>
  <c r="T4244" i="6"/>
  <c r="T4245" i="6"/>
  <c r="T4246" i="6"/>
  <c r="T4247" i="6"/>
  <c r="T4248" i="6"/>
  <c r="T4249" i="6"/>
  <c r="T4250" i="6"/>
  <c r="T4251" i="6"/>
  <c r="T4252" i="6"/>
  <c r="T4253" i="6"/>
  <c r="T4254" i="6"/>
  <c r="T4255" i="6"/>
  <c r="T4256" i="6"/>
  <c r="T4257" i="6"/>
  <c r="T4258" i="6"/>
  <c r="T4259" i="6"/>
  <c r="T4260" i="6"/>
  <c r="T4261" i="6"/>
  <c r="T4262" i="6"/>
  <c r="T4263" i="6"/>
  <c r="T4264" i="6"/>
  <c r="T4265" i="6"/>
  <c r="T4266" i="6"/>
  <c r="T4267" i="6"/>
  <c r="T4268" i="6"/>
  <c r="T4269" i="6"/>
  <c r="T4270" i="6"/>
  <c r="T4271" i="6"/>
  <c r="T4272" i="6"/>
  <c r="T4273" i="6"/>
  <c r="T4274" i="6"/>
  <c r="T4275" i="6"/>
  <c r="T4276" i="6"/>
  <c r="T4277" i="6"/>
  <c r="T4278" i="6"/>
  <c r="T4279" i="6"/>
  <c r="T4280" i="6"/>
  <c r="T4281" i="6"/>
  <c r="T4282" i="6"/>
  <c r="T4283" i="6"/>
  <c r="T4284" i="6"/>
  <c r="T4285" i="6"/>
  <c r="T4286" i="6"/>
  <c r="T4287" i="6"/>
  <c r="T4288" i="6"/>
  <c r="T4289" i="6"/>
  <c r="T4290" i="6"/>
  <c r="T4291" i="6"/>
  <c r="T4292" i="6"/>
  <c r="T4293" i="6"/>
  <c r="T4294" i="6"/>
  <c r="T4295" i="6"/>
  <c r="T4296" i="6"/>
  <c r="T4297" i="6"/>
  <c r="T4298" i="6"/>
  <c r="T4299" i="6"/>
  <c r="T4300" i="6"/>
  <c r="T4301" i="6"/>
  <c r="T4302" i="6"/>
  <c r="T4303" i="6"/>
  <c r="T4304" i="6"/>
  <c r="T4305" i="6"/>
  <c r="T4306" i="6"/>
  <c r="T4307" i="6"/>
  <c r="T4308" i="6"/>
  <c r="T4309" i="6"/>
  <c r="T4310" i="6"/>
  <c r="T4311" i="6"/>
  <c r="T4312" i="6"/>
  <c r="T4313" i="6"/>
  <c r="T4314" i="6"/>
  <c r="T4315" i="6"/>
  <c r="T4316" i="6"/>
  <c r="T4317" i="6"/>
  <c r="T4318" i="6"/>
  <c r="T4319" i="6"/>
  <c r="T4320" i="6"/>
  <c r="T4321" i="6"/>
  <c r="T4322" i="6"/>
  <c r="T4323" i="6"/>
  <c r="T4324" i="6"/>
  <c r="T4325" i="6"/>
  <c r="T4326" i="6"/>
  <c r="T4327" i="6"/>
  <c r="T4328" i="6"/>
  <c r="T4329" i="6"/>
  <c r="T4330" i="6"/>
  <c r="T4331" i="6"/>
  <c r="T4332" i="6"/>
  <c r="T4333" i="6"/>
  <c r="T4334" i="6"/>
  <c r="T4335" i="6"/>
  <c r="T4336" i="6"/>
  <c r="T4337" i="6"/>
  <c r="T4338" i="6"/>
  <c r="T4339" i="6"/>
  <c r="T4340" i="6"/>
  <c r="T4341" i="6"/>
  <c r="T4342" i="6"/>
  <c r="T4343" i="6"/>
  <c r="T4344" i="6"/>
  <c r="T4345" i="6"/>
  <c r="T4346" i="6"/>
  <c r="T4347" i="6"/>
  <c r="T4348" i="6"/>
  <c r="T4349" i="6"/>
  <c r="T4350" i="6"/>
  <c r="T4351" i="6"/>
  <c r="T4352" i="6"/>
  <c r="T4353" i="6"/>
  <c r="T4354" i="6"/>
  <c r="T4355" i="6"/>
  <c r="T4356" i="6"/>
  <c r="T4357" i="6"/>
  <c r="T4358" i="6"/>
  <c r="T4359" i="6"/>
  <c r="T4360" i="6"/>
  <c r="T4361" i="6"/>
  <c r="T4362" i="6"/>
  <c r="T4363" i="6"/>
  <c r="T4364" i="6"/>
  <c r="T4365" i="6"/>
  <c r="T4366" i="6"/>
  <c r="T4367" i="6"/>
  <c r="T4368" i="6"/>
  <c r="T4369" i="6"/>
  <c r="T4370" i="6"/>
  <c r="T4371" i="6"/>
  <c r="T4372" i="6"/>
  <c r="T4373" i="6"/>
  <c r="T4374" i="6"/>
  <c r="T4375" i="6"/>
  <c r="T4376" i="6"/>
  <c r="T4377" i="6"/>
  <c r="T4378" i="6"/>
  <c r="T4379" i="6"/>
  <c r="T4380" i="6"/>
  <c r="T4381" i="6"/>
  <c r="T4382" i="6"/>
  <c r="T4383" i="6"/>
  <c r="T4384" i="6"/>
  <c r="T4385" i="6"/>
  <c r="T4386" i="6"/>
  <c r="T4387" i="6"/>
  <c r="T4388" i="6"/>
  <c r="T4389" i="6"/>
  <c r="T4390" i="6"/>
  <c r="T4391" i="6"/>
  <c r="T4392" i="6"/>
  <c r="T4393" i="6"/>
  <c r="T4394" i="6"/>
  <c r="T4395" i="6"/>
  <c r="T4396" i="6"/>
  <c r="T4397" i="6"/>
  <c r="T4398" i="6"/>
  <c r="T4399" i="6"/>
  <c r="T4400" i="6"/>
  <c r="T4401" i="6"/>
  <c r="T4402" i="6"/>
  <c r="T4403" i="6"/>
  <c r="T4404" i="6"/>
  <c r="T4405" i="6"/>
  <c r="T4406" i="6"/>
  <c r="T4407" i="6"/>
  <c r="T4408" i="6"/>
  <c r="T4409" i="6"/>
  <c r="T4410" i="6"/>
  <c r="T4411" i="6"/>
  <c r="T4412" i="6"/>
  <c r="T4413" i="6"/>
  <c r="T4414" i="6"/>
  <c r="T4415" i="6"/>
  <c r="T4416" i="6"/>
  <c r="T4417" i="6"/>
  <c r="T4418" i="6"/>
  <c r="T4419" i="6"/>
  <c r="T4420" i="6"/>
  <c r="T4421" i="6"/>
  <c r="T4422" i="6"/>
  <c r="T4423" i="6"/>
  <c r="T4424" i="6"/>
  <c r="T4425" i="6"/>
  <c r="T4426" i="6"/>
  <c r="T4427" i="6"/>
  <c r="T4428" i="6"/>
  <c r="T4429" i="6"/>
  <c r="T4430" i="6"/>
  <c r="T4431" i="6"/>
  <c r="T4432" i="6"/>
  <c r="T4433" i="6"/>
  <c r="T4434" i="6"/>
  <c r="T4435" i="6"/>
  <c r="T4436" i="6"/>
  <c r="T4437" i="6"/>
  <c r="T4438" i="6"/>
  <c r="T4439" i="6"/>
  <c r="T4440" i="6"/>
  <c r="T4441" i="6"/>
  <c r="T4442" i="6"/>
  <c r="T4443" i="6"/>
  <c r="T4444" i="6"/>
  <c r="T4445" i="6"/>
  <c r="T4446" i="6"/>
  <c r="T4447" i="6"/>
  <c r="T4448" i="6"/>
  <c r="T4449" i="6"/>
  <c r="T4450" i="6"/>
  <c r="T4451" i="6"/>
  <c r="T4452" i="6"/>
  <c r="T4453" i="6"/>
  <c r="T4454" i="6"/>
  <c r="T4455" i="6"/>
  <c r="T4456" i="6"/>
  <c r="T4457" i="6"/>
  <c r="T4458" i="6"/>
  <c r="T4459" i="6"/>
  <c r="T4460" i="6"/>
  <c r="T4461" i="6"/>
  <c r="T4462" i="6"/>
  <c r="T4463" i="6"/>
  <c r="T4464" i="6"/>
  <c r="T4465" i="6"/>
  <c r="T4466" i="6"/>
  <c r="T4467" i="6"/>
  <c r="T4468" i="6"/>
  <c r="T4469" i="6"/>
  <c r="T4470" i="6"/>
  <c r="T4471" i="6"/>
  <c r="T4472" i="6"/>
  <c r="T4473" i="6"/>
  <c r="T4474" i="6"/>
  <c r="T4475" i="6"/>
  <c r="T4476" i="6"/>
  <c r="T4477" i="6"/>
  <c r="T4478" i="6"/>
  <c r="T4479" i="6"/>
  <c r="T4480" i="6"/>
  <c r="T4481" i="6"/>
  <c r="T4482" i="6"/>
  <c r="T4483" i="6"/>
  <c r="T4484" i="6"/>
  <c r="T4485" i="6"/>
  <c r="T4486" i="6"/>
  <c r="T4487" i="6"/>
  <c r="T4488" i="6"/>
  <c r="T4489" i="6"/>
  <c r="T4490" i="6"/>
  <c r="T4491" i="6"/>
  <c r="T4492" i="6"/>
  <c r="T4493" i="6"/>
  <c r="T4494" i="6"/>
  <c r="T4495" i="6"/>
  <c r="T4496" i="6"/>
  <c r="T4497" i="6"/>
  <c r="T4498" i="6"/>
  <c r="T4499" i="6"/>
  <c r="T4500" i="6"/>
  <c r="T4501" i="6"/>
  <c r="T4502" i="6"/>
  <c r="T4503" i="6"/>
  <c r="T4504" i="6"/>
  <c r="T4505" i="6"/>
  <c r="T4506" i="6"/>
  <c r="T4507" i="6"/>
  <c r="T4508" i="6"/>
  <c r="T4509" i="6"/>
  <c r="T4510" i="6"/>
  <c r="T4511" i="6"/>
  <c r="T4512" i="6"/>
  <c r="T4513" i="6"/>
  <c r="T4514" i="6"/>
  <c r="T4515" i="6"/>
  <c r="T4516" i="6"/>
  <c r="T4517" i="6"/>
  <c r="T4518" i="6"/>
  <c r="T4519" i="6"/>
  <c r="T4520" i="6"/>
  <c r="T4521" i="6"/>
  <c r="T4522" i="6"/>
  <c r="T4523" i="6"/>
  <c r="T4524" i="6"/>
  <c r="T4525" i="6"/>
  <c r="T4526" i="6"/>
  <c r="T4527" i="6"/>
  <c r="T4528" i="6"/>
  <c r="T4529" i="6"/>
  <c r="T4530" i="6"/>
  <c r="T4531" i="6"/>
  <c r="T4532" i="6"/>
  <c r="T4533" i="6"/>
  <c r="T4534" i="6"/>
  <c r="T4535" i="6"/>
  <c r="T4536" i="6"/>
  <c r="T4537" i="6"/>
  <c r="T4538" i="6"/>
  <c r="T4539" i="6"/>
  <c r="T4540" i="6"/>
  <c r="T4541" i="6"/>
  <c r="T4542" i="6"/>
  <c r="T4543" i="6"/>
  <c r="T4544" i="6"/>
  <c r="T4545" i="6"/>
  <c r="T4546" i="6"/>
  <c r="T4547" i="6"/>
  <c r="T4548" i="6"/>
  <c r="T4549" i="6"/>
  <c r="T4550" i="6"/>
  <c r="T4551" i="6"/>
  <c r="T4552" i="6"/>
  <c r="T4553" i="6"/>
  <c r="T4554" i="6"/>
  <c r="T4555" i="6"/>
  <c r="T4556" i="6"/>
  <c r="T4557" i="6"/>
  <c r="T4558" i="6"/>
  <c r="T4559" i="6"/>
  <c r="T4560" i="6"/>
  <c r="T4561" i="6"/>
  <c r="T4562" i="6"/>
  <c r="T4563" i="6"/>
  <c r="T4564" i="6"/>
  <c r="T4565" i="6"/>
  <c r="T4566" i="6"/>
  <c r="T4567" i="6"/>
  <c r="T4568" i="6"/>
  <c r="T4569" i="6"/>
  <c r="T4570" i="6"/>
  <c r="T4571" i="6"/>
  <c r="T4572" i="6"/>
  <c r="T4573" i="6"/>
  <c r="T4574" i="6"/>
  <c r="T4575" i="6"/>
  <c r="T4576" i="6"/>
  <c r="T4577" i="6"/>
  <c r="T4578" i="6"/>
  <c r="T4579" i="6"/>
  <c r="T4580" i="6"/>
  <c r="T4581" i="6"/>
  <c r="T4582" i="6"/>
  <c r="T4583" i="6"/>
  <c r="T4584" i="6"/>
  <c r="T4585" i="6"/>
  <c r="T4586" i="6"/>
  <c r="T4587" i="6"/>
  <c r="T4588" i="6"/>
  <c r="T4589" i="6"/>
  <c r="T4590" i="6"/>
  <c r="T4591" i="6"/>
  <c r="T4592" i="6"/>
  <c r="T4593" i="6"/>
  <c r="T4594" i="6"/>
  <c r="T4595" i="6"/>
  <c r="T4596" i="6"/>
  <c r="T4597" i="6"/>
  <c r="T4598" i="6"/>
  <c r="T4599" i="6"/>
  <c r="T4600" i="6"/>
  <c r="T4601" i="6"/>
  <c r="T4602" i="6"/>
  <c r="T4603" i="6"/>
  <c r="T4604" i="6"/>
  <c r="T4605" i="6"/>
  <c r="T4606" i="6"/>
  <c r="T4607" i="6"/>
  <c r="T4608" i="6"/>
  <c r="T4609" i="6"/>
  <c r="T4610" i="6"/>
  <c r="T4611" i="6"/>
  <c r="T4612" i="6"/>
  <c r="T4613" i="6"/>
  <c r="T4614" i="6"/>
  <c r="T4615" i="6"/>
  <c r="T4616" i="6"/>
  <c r="T4617" i="6"/>
  <c r="T4618" i="6"/>
  <c r="T4619" i="6"/>
  <c r="T4620" i="6"/>
  <c r="T4621" i="6"/>
  <c r="T4622" i="6"/>
  <c r="T4623" i="6"/>
  <c r="T4624" i="6"/>
  <c r="T4625" i="6"/>
  <c r="T4626" i="6"/>
  <c r="T4627" i="6"/>
  <c r="T4628" i="6"/>
  <c r="T4629" i="6"/>
  <c r="T4630" i="6"/>
  <c r="T4631" i="6"/>
  <c r="T4632" i="6"/>
  <c r="T4633" i="6"/>
  <c r="T4634" i="6"/>
  <c r="T4635" i="6"/>
  <c r="T4636" i="6"/>
  <c r="T4637" i="6"/>
  <c r="T4638" i="6"/>
  <c r="T4639" i="6"/>
  <c r="T4640" i="6"/>
  <c r="T4641" i="6"/>
  <c r="T4642" i="6"/>
  <c r="T4643" i="6"/>
  <c r="T4644" i="6"/>
  <c r="T4645" i="6"/>
  <c r="T4646" i="6"/>
  <c r="T4647" i="6"/>
  <c r="T4648" i="6"/>
  <c r="T4649" i="6"/>
  <c r="T4650" i="6"/>
  <c r="T4651" i="6"/>
  <c r="T4652" i="6"/>
  <c r="T4653" i="6"/>
  <c r="T4654" i="6"/>
  <c r="T4655" i="6"/>
  <c r="T4656" i="6"/>
  <c r="T4657" i="6"/>
  <c r="T4658" i="6"/>
  <c r="T4659" i="6"/>
  <c r="T4660" i="6"/>
  <c r="T4661" i="6"/>
  <c r="T4662" i="6"/>
  <c r="T4663" i="6"/>
  <c r="T4664" i="6"/>
  <c r="T4665" i="6"/>
  <c r="T4666" i="6"/>
  <c r="T4667" i="6"/>
  <c r="T4668" i="6"/>
  <c r="T4669" i="6"/>
  <c r="T4670" i="6"/>
  <c r="T4671" i="6"/>
  <c r="T4672" i="6"/>
  <c r="T4673" i="6"/>
  <c r="T4674" i="6"/>
  <c r="T4675" i="6"/>
  <c r="T4676" i="6"/>
  <c r="T4677" i="6"/>
  <c r="T4678" i="6"/>
  <c r="T4679" i="6"/>
  <c r="T4680" i="6"/>
  <c r="T4681" i="6"/>
  <c r="T4682" i="6"/>
  <c r="T4683" i="6"/>
  <c r="T4684" i="6"/>
  <c r="T4685" i="6"/>
  <c r="T4686" i="6"/>
  <c r="T4687" i="6"/>
  <c r="T4688" i="6"/>
  <c r="T4689" i="6"/>
  <c r="T4690" i="6"/>
  <c r="T4691" i="6"/>
  <c r="T4692" i="6"/>
  <c r="T4693" i="6"/>
  <c r="T4694" i="6"/>
  <c r="T4695" i="6"/>
  <c r="T4696" i="6"/>
  <c r="T4697" i="6"/>
  <c r="T4698" i="6"/>
  <c r="T4699" i="6"/>
  <c r="T4700" i="6"/>
  <c r="T4701" i="6"/>
  <c r="T4702" i="6"/>
  <c r="T4703" i="6"/>
  <c r="T4704" i="6"/>
  <c r="T4705" i="6"/>
  <c r="T4706" i="6"/>
  <c r="T4707" i="6"/>
  <c r="T4708" i="6"/>
  <c r="T4709" i="6"/>
  <c r="T4710" i="6"/>
  <c r="T4711" i="6"/>
  <c r="T4712" i="6"/>
  <c r="T4713" i="6"/>
  <c r="T4714" i="6"/>
  <c r="T4715" i="6"/>
  <c r="T4716" i="6"/>
  <c r="T4717" i="6"/>
  <c r="T4718" i="6"/>
  <c r="T4719" i="6"/>
  <c r="T4720" i="6"/>
  <c r="T4721" i="6"/>
  <c r="T4722" i="6"/>
  <c r="T4723" i="6"/>
  <c r="T4724" i="6"/>
  <c r="T4725" i="6"/>
  <c r="T4726" i="6"/>
  <c r="T4727" i="6"/>
  <c r="T4728" i="6"/>
  <c r="T4729" i="6"/>
  <c r="T4730" i="6"/>
  <c r="T4731" i="6"/>
  <c r="T4732" i="6"/>
  <c r="T4733" i="6"/>
  <c r="T4734" i="6"/>
  <c r="T4735" i="6"/>
  <c r="T4736" i="6"/>
  <c r="T4737" i="6"/>
  <c r="T4738" i="6"/>
  <c r="T4739" i="6"/>
  <c r="T4740" i="6"/>
  <c r="T4741" i="6"/>
  <c r="T4742" i="6"/>
  <c r="T4743" i="6"/>
  <c r="T4744" i="6"/>
  <c r="T4745" i="6"/>
  <c r="T4746" i="6"/>
  <c r="T4747" i="6"/>
  <c r="T4748" i="6"/>
  <c r="T4749" i="6"/>
  <c r="T4750" i="6"/>
  <c r="T4751" i="6"/>
  <c r="T4752" i="6"/>
  <c r="T4753" i="6"/>
  <c r="T4754" i="6"/>
  <c r="T4755" i="6"/>
  <c r="T4756" i="6"/>
  <c r="T4757" i="6"/>
  <c r="T4758" i="6"/>
  <c r="T4759" i="6"/>
  <c r="T4760" i="6"/>
  <c r="T4761" i="6"/>
  <c r="T4762" i="6"/>
  <c r="T4763" i="6"/>
  <c r="T4764" i="6"/>
  <c r="T4765" i="6"/>
  <c r="T4766" i="6"/>
  <c r="T4767" i="6"/>
  <c r="T4768" i="6"/>
  <c r="T4769" i="6"/>
  <c r="T4770" i="6"/>
  <c r="T4771" i="6"/>
  <c r="T4772" i="6"/>
  <c r="T4773" i="6"/>
  <c r="T4774" i="6"/>
  <c r="T4775" i="6"/>
  <c r="T4776" i="6"/>
  <c r="T4777" i="6"/>
  <c r="T4778" i="6"/>
  <c r="T4779" i="6"/>
  <c r="T4780" i="6"/>
  <c r="T4781" i="6"/>
  <c r="T4782" i="6"/>
  <c r="T4783" i="6"/>
  <c r="T4784" i="6"/>
  <c r="T4785" i="6"/>
  <c r="T4786" i="6"/>
  <c r="T4787" i="6"/>
  <c r="T4788" i="6"/>
  <c r="T4789" i="6"/>
  <c r="T4790" i="6"/>
  <c r="T4791" i="6"/>
  <c r="T4792" i="6"/>
  <c r="T4793" i="6"/>
  <c r="T4794" i="6"/>
  <c r="T4795" i="6"/>
  <c r="T4796" i="6"/>
  <c r="T4797" i="6"/>
  <c r="T4798" i="6"/>
  <c r="T4799" i="6"/>
  <c r="T4800" i="6"/>
  <c r="T4801" i="6"/>
  <c r="T4802" i="6"/>
  <c r="T4803" i="6"/>
  <c r="T4804" i="6"/>
  <c r="T4805" i="6"/>
  <c r="T4806" i="6"/>
  <c r="T4807" i="6"/>
  <c r="T4808" i="6"/>
  <c r="T4809" i="6"/>
  <c r="T4810" i="6"/>
  <c r="T4811" i="6"/>
  <c r="T4812" i="6"/>
  <c r="T4813" i="6"/>
  <c r="T4814" i="6"/>
  <c r="T4815" i="6"/>
  <c r="T4816" i="6"/>
  <c r="T4817" i="6"/>
  <c r="T4818" i="6"/>
  <c r="T4819" i="6"/>
  <c r="T4820" i="6"/>
  <c r="T4821" i="6"/>
  <c r="T4822" i="6"/>
  <c r="T4823" i="6"/>
  <c r="T4824" i="6"/>
  <c r="T4825" i="6"/>
  <c r="T4826" i="6"/>
  <c r="T4827" i="6"/>
  <c r="T4828" i="6"/>
  <c r="T4829" i="6"/>
  <c r="T4830" i="6"/>
  <c r="T4831" i="6"/>
  <c r="T4832" i="6"/>
  <c r="T4833" i="6"/>
  <c r="T4834" i="6"/>
  <c r="T4835" i="6"/>
  <c r="T4836" i="6"/>
  <c r="T4837" i="6"/>
  <c r="T4838" i="6"/>
  <c r="T4839" i="6"/>
  <c r="T4840" i="6"/>
  <c r="T4841" i="6"/>
  <c r="T4842" i="6"/>
  <c r="T4843" i="6"/>
  <c r="T4844" i="6"/>
  <c r="T4845" i="6"/>
  <c r="T4846" i="6"/>
  <c r="T4847" i="6"/>
  <c r="T4848" i="6"/>
  <c r="T4849" i="6"/>
  <c r="T4850" i="6"/>
  <c r="T4851" i="6"/>
  <c r="T4852" i="6"/>
  <c r="T4853" i="6"/>
  <c r="T4854" i="6"/>
  <c r="T4855" i="6"/>
  <c r="T4856" i="6"/>
  <c r="T4857" i="6"/>
  <c r="T4858" i="6"/>
  <c r="T4859" i="6"/>
  <c r="T4860" i="6"/>
  <c r="T4861" i="6"/>
  <c r="T4862" i="6"/>
  <c r="T4863" i="6"/>
  <c r="T4864" i="6"/>
  <c r="T4865" i="6"/>
  <c r="T4866" i="6"/>
  <c r="T4867" i="6"/>
  <c r="T4868" i="6"/>
  <c r="T4869" i="6"/>
  <c r="T4870" i="6"/>
  <c r="T4871" i="6"/>
  <c r="T4872" i="6"/>
  <c r="T4873" i="6"/>
  <c r="T4874" i="6"/>
  <c r="T4875" i="6"/>
  <c r="T4876" i="6"/>
  <c r="T4877" i="6"/>
  <c r="T4878" i="6"/>
  <c r="T4879" i="6"/>
  <c r="T4880" i="6"/>
  <c r="T4881" i="6"/>
  <c r="T4882" i="6"/>
  <c r="T4883" i="6"/>
  <c r="T4884" i="6"/>
  <c r="T4885" i="6"/>
  <c r="T4886" i="6"/>
  <c r="T4887" i="6"/>
  <c r="T4888" i="6"/>
  <c r="T4889" i="6"/>
  <c r="T4890" i="6"/>
  <c r="T4891" i="6"/>
  <c r="T4892" i="6"/>
  <c r="T4893" i="6"/>
  <c r="T4894" i="6"/>
  <c r="T4895" i="6"/>
  <c r="T4896" i="6"/>
  <c r="T4897" i="6"/>
  <c r="T4898" i="6"/>
  <c r="T4899" i="6"/>
  <c r="T4900" i="6"/>
  <c r="T4901" i="6"/>
  <c r="T4902" i="6"/>
  <c r="T4903" i="6"/>
  <c r="T4904" i="6"/>
  <c r="T4905" i="6"/>
  <c r="T4906" i="6"/>
  <c r="T4907" i="6"/>
  <c r="T4908" i="6"/>
  <c r="T4909" i="6"/>
  <c r="T4910" i="6"/>
  <c r="T4911" i="6"/>
  <c r="T4912" i="6"/>
  <c r="T4913" i="6"/>
  <c r="T4914" i="6"/>
  <c r="T4915" i="6"/>
  <c r="T4916" i="6"/>
  <c r="T4917" i="6"/>
  <c r="T4918" i="6"/>
  <c r="T4919" i="6"/>
  <c r="T4920" i="6"/>
  <c r="T4921" i="6"/>
  <c r="T4922" i="6"/>
  <c r="T4923" i="6"/>
  <c r="T4924" i="6"/>
  <c r="T4925" i="6"/>
  <c r="T4926" i="6"/>
  <c r="T4927" i="6"/>
  <c r="T4928" i="6"/>
  <c r="T4929" i="6"/>
  <c r="T4930" i="6"/>
  <c r="T4931" i="6"/>
  <c r="T4932" i="6"/>
  <c r="T4933" i="6"/>
  <c r="T4934" i="6"/>
  <c r="T4935" i="6"/>
  <c r="T4936" i="6"/>
  <c r="T4937" i="6"/>
  <c r="T4938" i="6"/>
  <c r="T4939" i="6"/>
  <c r="T4940" i="6"/>
  <c r="T4941" i="6"/>
  <c r="T4942" i="6"/>
  <c r="T4943" i="6"/>
  <c r="T4944" i="6"/>
  <c r="T4945" i="6"/>
  <c r="T4946" i="6"/>
  <c r="T4947" i="6"/>
  <c r="T4948" i="6"/>
  <c r="T4949" i="6"/>
  <c r="T4950" i="6"/>
  <c r="T4951" i="6"/>
  <c r="T4952" i="6"/>
  <c r="T4953" i="6"/>
  <c r="T4954" i="6"/>
  <c r="T4955" i="6"/>
  <c r="T4956" i="6"/>
  <c r="T4957" i="6"/>
  <c r="T4958" i="6"/>
  <c r="T4959" i="6"/>
  <c r="T4960" i="6"/>
  <c r="T4961" i="6"/>
  <c r="T4962" i="6"/>
  <c r="T4963" i="6"/>
  <c r="T4964" i="6"/>
  <c r="T4965" i="6"/>
  <c r="T4966" i="6"/>
  <c r="T4967" i="6"/>
  <c r="T4968" i="6"/>
  <c r="T4969" i="6"/>
  <c r="T4970" i="6"/>
  <c r="T4971" i="6"/>
  <c r="T4972" i="6"/>
  <c r="T4973" i="6"/>
  <c r="T4974" i="6"/>
  <c r="T4975" i="6"/>
  <c r="T4976" i="6"/>
  <c r="T4977" i="6"/>
  <c r="T4978" i="6"/>
  <c r="T4979" i="6"/>
  <c r="T4980" i="6"/>
  <c r="T4981" i="6"/>
  <c r="T4982" i="6"/>
  <c r="T4983" i="6"/>
  <c r="T4984" i="6"/>
  <c r="T4985" i="6"/>
  <c r="T4986" i="6"/>
  <c r="T4987" i="6"/>
  <c r="T4988" i="6"/>
  <c r="T4989" i="6"/>
  <c r="T4990" i="6"/>
  <c r="T4991" i="6"/>
  <c r="T4992" i="6"/>
  <c r="T4993" i="6"/>
  <c r="T4994" i="6"/>
  <c r="T4995" i="6"/>
  <c r="T4996" i="6"/>
  <c r="T4997" i="6"/>
  <c r="T4998" i="6"/>
  <c r="T4999" i="6"/>
  <c r="T5000" i="6"/>
  <c r="T5001" i="6"/>
  <c r="T5002" i="6"/>
  <c r="T5003" i="6"/>
  <c r="T5004" i="6"/>
  <c r="T5005" i="6"/>
  <c r="T5006" i="6"/>
  <c r="T5007" i="6"/>
  <c r="T5008" i="6"/>
  <c r="T5009" i="6"/>
  <c r="T5010" i="6"/>
  <c r="T5011" i="6"/>
  <c r="T5012" i="6"/>
  <c r="T5013" i="6"/>
  <c r="T5014" i="6"/>
  <c r="T5015" i="6"/>
  <c r="T5016" i="6"/>
  <c r="T5017" i="6"/>
  <c r="T5018" i="6"/>
  <c r="T5019" i="6"/>
  <c r="T5020" i="6"/>
  <c r="T5021" i="6"/>
  <c r="T5022" i="6"/>
  <c r="T5023" i="6"/>
  <c r="T5024" i="6"/>
  <c r="T5025" i="6"/>
  <c r="T5026" i="6"/>
  <c r="T5027" i="6"/>
  <c r="T5028" i="6"/>
  <c r="T5029" i="6"/>
  <c r="T5030" i="6"/>
  <c r="T5031" i="6"/>
  <c r="T5032" i="6"/>
  <c r="T5033" i="6"/>
  <c r="T5034" i="6"/>
  <c r="T5035" i="6"/>
  <c r="T5036" i="6"/>
  <c r="T5037" i="6"/>
  <c r="T5038" i="6"/>
  <c r="T5039" i="6"/>
  <c r="T5040" i="6"/>
  <c r="T5041" i="6"/>
  <c r="T5042" i="6"/>
  <c r="T5043" i="6"/>
  <c r="T5044" i="6"/>
  <c r="T5045" i="6"/>
  <c r="T5046" i="6"/>
  <c r="T5047" i="6"/>
  <c r="T5048" i="6"/>
  <c r="T5049" i="6"/>
  <c r="T5050" i="6"/>
  <c r="T5051" i="6"/>
  <c r="T5052" i="6"/>
  <c r="T5053" i="6"/>
  <c r="T5054" i="6"/>
  <c r="T5055" i="6"/>
  <c r="T5056" i="6"/>
  <c r="T5057" i="6"/>
  <c r="T5058" i="6"/>
  <c r="T5059" i="6"/>
  <c r="T5060" i="6"/>
  <c r="T5061" i="6"/>
  <c r="T5062" i="6"/>
  <c r="T5063" i="6"/>
  <c r="T5064" i="6"/>
  <c r="T5065" i="6"/>
  <c r="T5066" i="6"/>
  <c r="T5067" i="6"/>
  <c r="T5068" i="6"/>
  <c r="T5069" i="6"/>
  <c r="T5070" i="6"/>
  <c r="T5071" i="6"/>
  <c r="T5072" i="6"/>
  <c r="T5073" i="6"/>
  <c r="T5074" i="6"/>
  <c r="T5075" i="6"/>
  <c r="T5076" i="6"/>
  <c r="T5077" i="6"/>
  <c r="T5078" i="6"/>
  <c r="T5079" i="6"/>
  <c r="T5080" i="6"/>
  <c r="T5081" i="6"/>
  <c r="T5082" i="6"/>
  <c r="T5083" i="6"/>
  <c r="T5084" i="6"/>
  <c r="T5085" i="6"/>
  <c r="T5086" i="6"/>
  <c r="T5087" i="6"/>
  <c r="T5088" i="6"/>
  <c r="T5089" i="6"/>
  <c r="T5090" i="6"/>
  <c r="T5091" i="6"/>
  <c r="T5092" i="6"/>
  <c r="T5093" i="6"/>
  <c r="T5094" i="6"/>
  <c r="T5095" i="6"/>
  <c r="T5096" i="6"/>
  <c r="T5097" i="6"/>
  <c r="T5098" i="6"/>
  <c r="T5099" i="6"/>
  <c r="T5100" i="6"/>
  <c r="T5101" i="6"/>
  <c r="T5102" i="6"/>
  <c r="T5103" i="6"/>
  <c r="T5104" i="6"/>
  <c r="T5105" i="6"/>
  <c r="T5106" i="6"/>
  <c r="T5107" i="6"/>
  <c r="T5108" i="6"/>
  <c r="T5109" i="6"/>
  <c r="T5110" i="6"/>
  <c r="T5111" i="6"/>
  <c r="T5112" i="6"/>
  <c r="T5113" i="6"/>
  <c r="T5114" i="6"/>
  <c r="T5115" i="6"/>
  <c r="T5116" i="6"/>
  <c r="T5117" i="6"/>
  <c r="T5118" i="6"/>
  <c r="T5119" i="6"/>
  <c r="T5120" i="6"/>
  <c r="T5121" i="6"/>
  <c r="T5122" i="6"/>
  <c r="T5123" i="6"/>
  <c r="T5124" i="6"/>
  <c r="T5125" i="6"/>
  <c r="T5126" i="6"/>
  <c r="T5127" i="6"/>
  <c r="T5128" i="6"/>
  <c r="T5129" i="6"/>
  <c r="T5130" i="6"/>
  <c r="T5131" i="6"/>
  <c r="T5132" i="6"/>
  <c r="T5133" i="6"/>
  <c r="T5134" i="6"/>
  <c r="T5135" i="6"/>
  <c r="T5136" i="6"/>
  <c r="T5137" i="6"/>
  <c r="T5138" i="6"/>
  <c r="T5139" i="6"/>
  <c r="T5140" i="6"/>
  <c r="T5141" i="6"/>
  <c r="T5142" i="6"/>
  <c r="T5143" i="6"/>
  <c r="T5144" i="6"/>
  <c r="T5145" i="6"/>
  <c r="T5146" i="6"/>
  <c r="T5147" i="6"/>
  <c r="T5148" i="6"/>
  <c r="T5149" i="6"/>
  <c r="T5150" i="6"/>
  <c r="T5151" i="6"/>
  <c r="T5152" i="6"/>
  <c r="T5153" i="6"/>
  <c r="T5154" i="6"/>
  <c r="T5155" i="6"/>
  <c r="T5156" i="6"/>
  <c r="T5157" i="6"/>
  <c r="T5158" i="6"/>
  <c r="T5159" i="6"/>
  <c r="T5160" i="6"/>
  <c r="T5161" i="6"/>
  <c r="T5162" i="6"/>
  <c r="T5163" i="6"/>
  <c r="T5164" i="6"/>
  <c r="T5165" i="6"/>
  <c r="T5166" i="6"/>
  <c r="T5167" i="6"/>
  <c r="T5168" i="6"/>
  <c r="T5169" i="6"/>
  <c r="T5170" i="6"/>
  <c r="T5171" i="6"/>
  <c r="T5172" i="6"/>
  <c r="T5173" i="6"/>
  <c r="T5174" i="6"/>
  <c r="T5175" i="6"/>
  <c r="T5176" i="6"/>
  <c r="T5177" i="6"/>
  <c r="T5178" i="6"/>
  <c r="T5179" i="6"/>
  <c r="T5180" i="6"/>
  <c r="T5181" i="6"/>
  <c r="T5182" i="6"/>
  <c r="T5183" i="6"/>
  <c r="T5184" i="6"/>
  <c r="T5185" i="6"/>
  <c r="T5186" i="6"/>
  <c r="T5187" i="6"/>
  <c r="T5188" i="6"/>
  <c r="T5189" i="6"/>
  <c r="T5190" i="6"/>
  <c r="T5191" i="6"/>
  <c r="T5192" i="6"/>
  <c r="T5193" i="6"/>
  <c r="T5194" i="6"/>
  <c r="T5195" i="6"/>
  <c r="T5196" i="6"/>
  <c r="T5197" i="6"/>
  <c r="T5198" i="6"/>
  <c r="T5199" i="6"/>
  <c r="T5200" i="6"/>
  <c r="T5201" i="6"/>
  <c r="T5202" i="6"/>
  <c r="T5203" i="6"/>
  <c r="T5204" i="6"/>
  <c r="T5205" i="6"/>
  <c r="T5206" i="6"/>
  <c r="T5207" i="6"/>
  <c r="T5208" i="6"/>
  <c r="T5209" i="6"/>
  <c r="T5210" i="6"/>
  <c r="T5211" i="6"/>
  <c r="T5212" i="6"/>
  <c r="T5213" i="6"/>
  <c r="T5214" i="6"/>
  <c r="T5215" i="6"/>
  <c r="T5216" i="6"/>
  <c r="T5217" i="6"/>
  <c r="T5218" i="6"/>
  <c r="T5219" i="6"/>
  <c r="T5220" i="6"/>
  <c r="T5221" i="6"/>
  <c r="T5222" i="6"/>
  <c r="T5223" i="6"/>
  <c r="T5224" i="6"/>
  <c r="T5225" i="6"/>
  <c r="T5226" i="6"/>
  <c r="T5227" i="6"/>
  <c r="T5228" i="6"/>
  <c r="T5229" i="6"/>
  <c r="T5230" i="6"/>
  <c r="T5231" i="6"/>
  <c r="T5232" i="6"/>
  <c r="T5233" i="6"/>
  <c r="T5234" i="6"/>
  <c r="T5235" i="6"/>
  <c r="T5236" i="6"/>
  <c r="T5237" i="6"/>
  <c r="T5238" i="6"/>
  <c r="T5239" i="6"/>
  <c r="T5240" i="6"/>
  <c r="T5241" i="6"/>
  <c r="T5242" i="6"/>
  <c r="T5243" i="6"/>
  <c r="T5244" i="6"/>
  <c r="T5245" i="6"/>
  <c r="T5246" i="6"/>
  <c r="T5247" i="6"/>
  <c r="T5248" i="6"/>
  <c r="T5249" i="6"/>
  <c r="T5250" i="6"/>
  <c r="T5251" i="6"/>
  <c r="T5252" i="6"/>
  <c r="T5253" i="6"/>
  <c r="T5254" i="6"/>
  <c r="T5255" i="6"/>
  <c r="T5256" i="6"/>
  <c r="T5257" i="6"/>
  <c r="T5258" i="6"/>
  <c r="T5259" i="6"/>
  <c r="T5260" i="6"/>
  <c r="T5261" i="6"/>
  <c r="T5262" i="6"/>
  <c r="T5263" i="6"/>
  <c r="T5264" i="6"/>
  <c r="T5265" i="6"/>
  <c r="T5266" i="6"/>
  <c r="T5267" i="6"/>
  <c r="T5268" i="6"/>
  <c r="T5269" i="6"/>
  <c r="T5270" i="6"/>
  <c r="T5271" i="6"/>
  <c r="T5272" i="6"/>
  <c r="T5273" i="6"/>
  <c r="T5274" i="6"/>
  <c r="T5275" i="6"/>
  <c r="T5276" i="6"/>
  <c r="T5277" i="6"/>
  <c r="T5278" i="6"/>
  <c r="T5279" i="6"/>
  <c r="T5280" i="6"/>
  <c r="T5281" i="6"/>
  <c r="T5282" i="6"/>
  <c r="T5283" i="6"/>
  <c r="T5284" i="6"/>
  <c r="T5285" i="6"/>
  <c r="T5286" i="6"/>
  <c r="T5287" i="6"/>
  <c r="T5288" i="6"/>
  <c r="T5289" i="6"/>
  <c r="T5290" i="6"/>
  <c r="T5291" i="6"/>
  <c r="T5292" i="6"/>
  <c r="T5293" i="6"/>
  <c r="T5294" i="6"/>
  <c r="T5295" i="6"/>
  <c r="T5296" i="6"/>
  <c r="T5297" i="6"/>
  <c r="T5298" i="6"/>
  <c r="T5299" i="6"/>
  <c r="T5300" i="6"/>
  <c r="T5301" i="6"/>
  <c r="T5302" i="6"/>
  <c r="T5303" i="6"/>
  <c r="T5304" i="6"/>
  <c r="T5305" i="6"/>
  <c r="T5306" i="6"/>
  <c r="T5307" i="6"/>
  <c r="T5308" i="6"/>
  <c r="T5309" i="6"/>
  <c r="T5310" i="6"/>
  <c r="T5311" i="6"/>
  <c r="T5312" i="6"/>
  <c r="T5313" i="6"/>
  <c r="T5314" i="6"/>
  <c r="T5315" i="6"/>
  <c r="T5316" i="6"/>
  <c r="T5317" i="6"/>
  <c r="T5318" i="6"/>
  <c r="T5319" i="6"/>
  <c r="T5320" i="6"/>
  <c r="T5321" i="6"/>
  <c r="T5322" i="6"/>
  <c r="T5323" i="6"/>
  <c r="T5324" i="6"/>
  <c r="T5325" i="6"/>
  <c r="T5326" i="6"/>
  <c r="T5327" i="6"/>
  <c r="T5328" i="6"/>
  <c r="T5329" i="6"/>
  <c r="T5330" i="6"/>
  <c r="T5331" i="6"/>
  <c r="T5332" i="6"/>
  <c r="T5333" i="6"/>
  <c r="T5334" i="6"/>
  <c r="T5335" i="6"/>
  <c r="T5336" i="6"/>
  <c r="T5337" i="6"/>
  <c r="T5338" i="6"/>
  <c r="T5339" i="6"/>
  <c r="T5340" i="6"/>
  <c r="T5341" i="6"/>
  <c r="T5342" i="6"/>
  <c r="T5343" i="6"/>
  <c r="T5344" i="6"/>
  <c r="T5345" i="6"/>
  <c r="T5346" i="6"/>
  <c r="T5347" i="6"/>
  <c r="T5348" i="6"/>
  <c r="T5349" i="6"/>
  <c r="T5350" i="6"/>
  <c r="T5351" i="6"/>
  <c r="T5352" i="6"/>
  <c r="T5353" i="6"/>
  <c r="T5354" i="6"/>
  <c r="T5355" i="6"/>
  <c r="T5356" i="6"/>
  <c r="T5357" i="6"/>
  <c r="T5358" i="6"/>
  <c r="T5359" i="6"/>
  <c r="T5360" i="6"/>
  <c r="T5361" i="6"/>
  <c r="T5362" i="6"/>
  <c r="T5363" i="6"/>
  <c r="T5364" i="6"/>
  <c r="T5365" i="6"/>
  <c r="T5366" i="6"/>
  <c r="T5367" i="6"/>
  <c r="T5368" i="6"/>
  <c r="T5369" i="6"/>
  <c r="T5370" i="6"/>
  <c r="T5371" i="6"/>
  <c r="T5372" i="6"/>
  <c r="T5373" i="6"/>
  <c r="T5374" i="6"/>
  <c r="T5375" i="6"/>
  <c r="T5376" i="6"/>
  <c r="T5377" i="6"/>
  <c r="T5378" i="6"/>
  <c r="T5379" i="6"/>
  <c r="T5380" i="6"/>
  <c r="T5381" i="6"/>
  <c r="T5382" i="6"/>
  <c r="T5383" i="6"/>
  <c r="T5384" i="6"/>
  <c r="T5385" i="6"/>
  <c r="T5386" i="6"/>
  <c r="T5387" i="6"/>
  <c r="T5388" i="6"/>
  <c r="T5389" i="6"/>
  <c r="T5390" i="6"/>
  <c r="T5391" i="6"/>
  <c r="T5392" i="6"/>
  <c r="T5393" i="6"/>
  <c r="T5394" i="6"/>
  <c r="T5395" i="6"/>
  <c r="T5396" i="6"/>
  <c r="T5397" i="6"/>
  <c r="T5398" i="6"/>
  <c r="T5399" i="6"/>
  <c r="T5400" i="6"/>
  <c r="T5401" i="6"/>
  <c r="T5402" i="6"/>
  <c r="T5403" i="6"/>
  <c r="T5404" i="6"/>
  <c r="T5405" i="6"/>
  <c r="T5406" i="6"/>
  <c r="T5407" i="6"/>
  <c r="T5408" i="6"/>
  <c r="T5409" i="6"/>
  <c r="T5410" i="6"/>
  <c r="T5411" i="6"/>
  <c r="T5412" i="6"/>
  <c r="T5413" i="6"/>
  <c r="T5414" i="6"/>
  <c r="T5415" i="6"/>
  <c r="T5416" i="6"/>
  <c r="T5417" i="6"/>
  <c r="T5418" i="6"/>
  <c r="T5419" i="6"/>
  <c r="T5420" i="6"/>
  <c r="T5421" i="6"/>
  <c r="T5422" i="6"/>
  <c r="T5423" i="6"/>
  <c r="T5424" i="6"/>
  <c r="T5425" i="6"/>
  <c r="T5426" i="6"/>
  <c r="T5427" i="6"/>
  <c r="T5428" i="6"/>
  <c r="T5429" i="6"/>
  <c r="T5430" i="6"/>
  <c r="T5431" i="6"/>
  <c r="T5432" i="6"/>
  <c r="T5433" i="6"/>
  <c r="T5434" i="6"/>
  <c r="T5435" i="6"/>
  <c r="T5436" i="6"/>
  <c r="T5437" i="6"/>
  <c r="T5438" i="6"/>
  <c r="T5439" i="6"/>
  <c r="T5440" i="6"/>
  <c r="T5441" i="6"/>
  <c r="T5442" i="6"/>
  <c r="T5443" i="6"/>
  <c r="T5444" i="6"/>
  <c r="T5445" i="6"/>
  <c r="T5446" i="6"/>
  <c r="T5447" i="6"/>
  <c r="T5448" i="6"/>
  <c r="T5449" i="6"/>
  <c r="T5450" i="6"/>
  <c r="T5451" i="6"/>
  <c r="T5452" i="6"/>
  <c r="T5453" i="6"/>
  <c r="T5454" i="6"/>
  <c r="T5455" i="6"/>
  <c r="T5456" i="6"/>
  <c r="T5457" i="6"/>
  <c r="T5458" i="6"/>
  <c r="T5459" i="6"/>
  <c r="T5460" i="6"/>
  <c r="T5461" i="6"/>
  <c r="T5462" i="6"/>
  <c r="T5463" i="6"/>
  <c r="T5464" i="6"/>
  <c r="T5465" i="6"/>
  <c r="T5466" i="6"/>
  <c r="T5467" i="6"/>
  <c r="T5468" i="6"/>
  <c r="T5469" i="6"/>
  <c r="T5470" i="6"/>
  <c r="T5471" i="6"/>
  <c r="T5472" i="6"/>
  <c r="T5473" i="6"/>
  <c r="T5474" i="6"/>
  <c r="T5475" i="6"/>
  <c r="T5476" i="6"/>
  <c r="T5477" i="6"/>
  <c r="T5478" i="6"/>
  <c r="T5479" i="6"/>
  <c r="T5480" i="6"/>
  <c r="T5481" i="6"/>
  <c r="T5482" i="6"/>
  <c r="T5483" i="6"/>
  <c r="T5484" i="6"/>
  <c r="T5485" i="6"/>
  <c r="T5486" i="6"/>
  <c r="T5487" i="6"/>
  <c r="T5488" i="6"/>
  <c r="T5489" i="6"/>
  <c r="T5490" i="6"/>
  <c r="T5491" i="6"/>
  <c r="T5492" i="6"/>
  <c r="T5493" i="6"/>
  <c r="T5494" i="6"/>
  <c r="T5495" i="6"/>
  <c r="T5496" i="6"/>
  <c r="T5497" i="6"/>
  <c r="T5498" i="6"/>
  <c r="T5499" i="6"/>
  <c r="T5500" i="6"/>
  <c r="T5501" i="6"/>
  <c r="T5502" i="6"/>
  <c r="T5503" i="6"/>
  <c r="T5504" i="6"/>
  <c r="T5505" i="6"/>
  <c r="T5506" i="6"/>
  <c r="T5507" i="6"/>
  <c r="T5508" i="6"/>
  <c r="T5509" i="6"/>
  <c r="T5510" i="6"/>
  <c r="T5511" i="6"/>
  <c r="T5512" i="6"/>
  <c r="T5513" i="6"/>
  <c r="T5514" i="6"/>
  <c r="T5515" i="6"/>
  <c r="T5516" i="6"/>
  <c r="T5517" i="6"/>
  <c r="T5518" i="6"/>
  <c r="T5519" i="6"/>
  <c r="T5520" i="6"/>
  <c r="T5521" i="6"/>
  <c r="T5522" i="6"/>
  <c r="T5523" i="6"/>
  <c r="T5524" i="6"/>
  <c r="T5525" i="6"/>
  <c r="T5526" i="6"/>
  <c r="T5527" i="6"/>
  <c r="T5528" i="6"/>
  <c r="T5529" i="6"/>
  <c r="T5530" i="6"/>
  <c r="T5531" i="6"/>
  <c r="T5532" i="6"/>
  <c r="T5533" i="6"/>
  <c r="T5534" i="6"/>
  <c r="T5535" i="6"/>
  <c r="T5536" i="6"/>
  <c r="T5537" i="6"/>
  <c r="T5538" i="6"/>
  <c r="T5539" i="6"/>
  <c r="T5540" i="6"/>
  <c r="T5541" i="6"/>
  <c r="T5542" i="6"/>
  <c r="T5543" i="6"/>
  <c r="T5544" i="6"/>
  <c r="T5545" i="6"/>
  <c r="T5546" i="6"/>
  <c r="T5547" i="6"/>
  <c r="T5548" i="6"/>
  <c r="T5549" i="6"/>
  <c r="T5550" i="6"/>
  <c r="T5551" i="6"/>
  <c r="T5552" i="6"/>
  <c r="T5553" i="6"/>
  <c r="T5554" i="6"/>
  <c r="T5555" i="6"/>
  <c r="T5556" i="6"/>
  <c r="T5557" i="6"/>
  <c r="T5558" i="6"/>
  <c r="T5559" i="6"/>
  <c r="T5560" i="6"/>
  <c r="T5561" i="6"/>
  <c r="T5562" i="6"/>
  <c r="T5563" i="6"/>
  <c r="T5564" i="6"/>
  <c r="T5565" i="6"/>
  <c r="T5566" i="6"/>
  <c r="T5567" i="6"/>
  <c r="T5568" i="6"/>
  <c r="T5569" i="6"/>
  <c r="T5570" i="6"/>
  <c r="T5571" i="6"/>
  <c r="T5572" i="6"/>
  <c r="T5573" i="6"/>
  <c r="T5574" i="6"/>
  <c r="T5575" i="6"/>
  <c r="T5576" i="6"/>
  <c r="T5577" i="6"/>
  <c r="T5578" i="6"/>
  <c r="T5579" i="6"/>
  <c r="T5580" i="6"/>
  <c r="T5581" i="6"/>
  <c r="T5582" i="6"/>
  <c r="T5583" i="6"/>
  <c r="T5584" i="6"/>
  <c r="T5585" i="6"/>
  <c r="T5586" i="6"/>
  <c r="T5587" i="6"/>
  <c r="T5588" i="6"/>
  <c r="T5589" i="6"/>
  <c r="T5590" i="6"/>
  <c r="T5591" i="6"/>
  <c r="T5592" i="6"/>
  <c r="T5593" i="6"/>
  <c r="T5594" i="6"/>
  <c r="T5595" i="6"/>
  <c r="T5596" i="6"/>
  <c r="T5597" i="6"/>
  <c r="T5598" i="6"/>
  <c r="T5599" i="6"/>
  <c r="T5600" i="6"/>
  <c r="T5601" i="6"/>
  <c r="T5602" i="6"/>
  <c r="T5603" i="6"/>
  <c r="T5604" i="6"/>
  <c r="T5605" i="6"/>
  <c r="T5606" i="6"/>
  <c r="T5607" i="6"/>
  <c r="T5608" i="6"/>
  <c r="T5609" i="6"/>
  <c r="T5610" i="6"/>
  <c r="T5611" i="6"/>
  <c r="T5612" i="6"/>
  <c r="T5613" i="6"/>
  <c r="T5614" i="6"/>
  <c r="T5615" i="6"/>
  <c r="T5616" i="6"/>
  <c r="T5617" i="6"/>
  <c r="T5618" i="6"/>
  <c r="T5619" i="6"/>
  <c r="T5620" i="6"/>
  <c r="T5621" i="6"/>
  <c r="T5622" i="6"/>
  <c r="T5623" i="6"/>
  <c r="T5624" i="6"/>
  <c r="T5625" i="6"/>
  <c r="T5626" i="6"/>
  <c r="T5627" i="6"/>
  <c r="T5628" i="6"/>
  <c r="T5629" i="6"/>
  <c r="T5630" i="6"/>
  <c r="T5631" i="6"/>
  <c r="T5632" i="6"/>
  <c r="T5633" i="6"/>
  <c r="T5634" i="6"/>
  <c r="T5635" i="6"/>
  <c r="T5636" i="6"/>
  <c r="T5637" i="6"/>
  <c r="T5638" i="6"/>
  <c r="T5639" i="6"/>
  <c r="T5640" i="6"/>
  <c r="T5641" i="6"/>
  <c r="T5642" i="6"/>
  <c r="T5643" i="6"/>
  <c r="T5644" i="6"/>
  <c r="T5645" i="6"/>
  <c r="T5646" i="6"/>
  <c r="T5647" i="6"/>
  <c r="T5648" i="6"/>
  <c r="T5649" i="6"/>
  <c r="T5650" i="6"/>
  <c r="T5651" i="6"/>
  <c r="T5652" i="6"/>
  <c r="T5653" i="6"/>
  <c r="T5654" i="6"/>
  <c r="T5655" i="6"/>
  <c r="T5656" i="6"/>
  <c r="T5657" i="6"/>
  <c r="T5658" i="6"/>
  <c r="T5659" i="6"/>
  <c r="T5660" i="6"/>
  <c r="T5661" i="6"/>
  <c r="T5662" i="6"/>
  <c r="T5663" i="6"/>
  <c r="T5664" i="6"/>
  <c r="T5665" i="6"/>
  <c r="T5666" i="6"/>
  <c r="T5667" i="6"/>
  <c r="T5668" i="6"/>
  <c r="T5669" i="6"/>
  <c r="T5670" i="6"/>
  <c r="T5671" i="6"/>
  <c r="T5672" i="6"/>
  <c r="T5673" i="6"/>
  <c r="T5674" i="6"/>
  <c r="T5675" i="6"/>
  <c r="T5676" i="6"/>
  <c r="T5677" i="6"/>
  <c r="T5678" i="6"/>
  <c r="T5679" i="6"/>
  <c r="T5680" i="6"/>
  <c r="T5681" i="6"/>
  <c r="T5682" i="6"/>
  <c r="T5683" i="6"/>
  <c r="T5684" i="6"/>
  <c r="T5685" i="6"/>
  <c r="T5686" i="6"/>
  <c r="T5687" i="6"/>
  <c r="T5688" i="6"/>
  <c r="T5689" i="6"/>
  <c r="T5690" i="6"/>
  <c r="T5691" i="6"/>
  <c r="T5692" i="6"/>
  <c r="T5693" i="6"/>
  <c r="T5694" i="6"/>
  <c r="T5695" i="6"/>
  <c r="T5696" i="6"/>
  <c r="T5697" i="6"/>
  <c r="T5698" i="6"/>
  <c r="T5699" i="6"/>
  <c r="T5700" i="6"/>
  <c r="T5701" i="6"/>
  <c r="T5702" i="6"/>
  <c r="T5703" i="6"/>
  <c r="T5704" i="6"/>
  <c r="T5705" i="6"/>
  <c r="T5706" i="6"/>
  <c r="T5707" i="6"/>
  <c r="T5708" i="6"/>
  <c r="T5709" i="6"/>
  <c r="T5710" i="6"/>
  <c r="T5711" i="6"/>
  <c r="T5712" i="6"/>
  <c r="T5713" i="6"/>
  <c r="T5714" i="6"/>
  <c r="T5715" i="6"/>
  <c r="T5716" i="6"/>
  <c r="T5717" i="6"/>
  <c r="T5718" i="6"/>
  <c r="T5719" i="6"/>
  <c r="T5720" i="6"/>
  <c r="T5721" i="6"/>
  <c r="T5722" i="6"/>
  <c r="T5723" i="6"/>
  <c r="T5724" i="6"/>
  <c r="T5725" i="6"/>
  <c r="T5726" i="6"/>
  <c r="T5727" i="6"/>
  <c r="T5728" i="6"/>
  <c r="T5729" i="6"/>
  <c r="T5730" i="6"/>
  <c r="T5731" i="6"/>
  <c r="T5732" i="6"/>
  <c r="T5733" i="6"/>
  <c r="T5734" i="6"/>
  <c r="T5735" i="6"/>
  <c r="T5736" i="6"/>
  <c r="T5737" i="6"/>
  <c r="T5738" i="6"/>
  <c r="T5739" i="6"/>
  <c r="T5740" i="6"/>
  <c r="T5741" i="6"/>
  <c r="T5742" i="6"/>
  <c r="T5743" i="6"/>
  <c r="T5744" i="6"/>
  <c r="T5745" i="6"/>
  <c r="T5746" i="6"/>
  <c r="T5747" i="6"/>
  <c r="T5748" i="6"/>
  <c r="T5749" i="6"/>
  <c r="T5750" i="6"/>
  <c r="T5751" i="6"/>
  <c r="T5752" i="6"/>
  <c r="T5753" i="6"/>
  <c r="T5754" i="6"/>
  <c r="T5755" i="6"/>
  <c r="T5756" i="6"/>
  <c r="T5757" i="6"/>
  <c r="T5758" i="6"/>
  <c r="T5759" i="6"/>
  <c r="T5760" i="6"/>
  <c r="T5761" i="6"/>
  <c r="T5762" i="6"/>
  <c r="T5763" i="6"/>
  <c r="T5764" i="6"/>
  <c r="T5765" i="6"/>
  <c r="T5766" i="6"/>
  <c r="T5767" i="6"/>
  <c r="T5768" i="6"/>
  <c r="T5769" i="6"/>
  <c r="T5770" i="6"/>
  <c r="T5771" i="6"/>
  <c r="T5772" i="6"/>
  <c r="T5773" i="6"/>
  <c r="T5774" i="6"/>
  <c r="T5775" i="6"/>
  <c r="T5776" i="6"/>
  <c r="T5777" i="6"/>
  <c r="T5778" i="6"/>
  <c r="T5779" i="6"/>
  <c r="T5780" i="6"/>
  <c r="T5781" i="6"/>
  <c r="T5782" i="6"/>
  <c r="T5783" i="6"/>
  <c r="T5784" i="6"/>
  <c r="T5785" i="6"/>
  <c r="T5786" i="6"/>
  <c r="T5787" i="6"/>
  <c r="T5788" i="6"/>
  <c r="T5789" i="6"/>
  <c r="T5790" i="6"/>
  <c r="T5791" i="6"/>
  <c r="T5792" i="6"/>
  <c r="T5793" i="6"/>
  <c r="T5794" i="6"/>
  <c r="T5795" i="6"/>
  <c r="T5796" i="6"/>
  <c r="T5797" i="6"/>
  <c r="T5798" i="6"/>
  <c r="T5799" i="6"/>
  <c r="T5800" i="6"/>
  <c r="T5801" i="6"/>
  <c r="T5802" i="6"/>
  <c r="T5803" i="6"/>
  <c r="T5804" i="6"/>
  <c r="T5805" i="6"/>
  <c r="T5806" i="6"/>
  <c r="T5807" i="6"/>
  <c r="T5808" i="6"/>
  <c r="T5809" i="6"/>
  <c r="T5810" i="6"/>
  <c r="T5811" i="6"/>
  <c r="T5812" i="6"/>
  <c r="T5813" i="6"/>
  <c r="T5814" i="6"/>
  <c r="T5815" i="6"/>
  <c r="T5816" i="6"/>
  <c r="T5817" i="6"/>
  <c r="T5818" i="6"/>
  <c r="T5819" i="6"/>
  <c r="T5820" i="6"/>
  <c r="T5821" i="6"/>
  <c r="T5822" i="6"/>
  <c r="T5823" i="6"/>
  <c r="T5824" i="6"/>
  <c r="T5825" i="6"/>
  <c r="T5826" i="6"/>
  <c r="T5827" i="6"/>
  <c r="T5828" i="6"/>
  <c r="T5829" i="6"/>
  <c r="T5830" i="6"/>
  <c r="T5831" i="6"/>
  <c r="T5832" i="6"/>
  <c r="T5833" i="6"/>
  <c r="T5834" i="6"/>
  <c r="T5835" i="6"/>
  <c r="T5836" i="6"/>
  <c r="T5837" i="6"/>
  <c r="T5838" i="6"/>
  <c r="T5839" i="6"/>
  <c r="T5840" i="6"/>
  <c r="T5841" i="6"/>
  <c r="T5842" i="6"/>
  <c r="T5843" i="6"/>
  <c r="T5844" i="6"/>
  <c r="T5845" i="6"/>
  <c r="T5846" i="6"/>
  <c r="T5847" i="6"/>
  <c r="T5848" i="6"/>
  <c r="T5849" i="6"/>
  <c r="T5850" i="6"/>
  <c r="T5851" i="6"/>
  <c r="T5852" i="6"/>
  <c r="T5853" i="6"/>
  <c r="T5854" i="6"/>
  <c r="T5855" i="6"/>
  <c r="T5856" i="6"/>
  <c r="T5857" i="6"/>
  <c r="T5858" i="6"/>
  <c r="T5859" i="6"/>
  <c r="T5860" i="6"/>
  <c r="T5861" i="6"/>
  <c r="T5862" i="6"/>
  <c r="T5863" i="6"/>
  <c r="T5864" i="6"/>
  <c r="T5865" i="6"/>
  <c r="T5866" i="6"/>
  <c r="T5867" i="6"/>
  <c r="T5868" i="6"/>
  <c r="T5869" i="6"/>
  <c r="T5870" i="6"/>
  <c r="T5871" i="6"/>
  <c r="T5872" i="6"/>
  <c r="T5873" i="6"/>
  <c r="T5874" i="6"/>
  <c r="T5875" i="6"/>
  <c r="T5876" i="6"/>
  <c r="T5877" i="6"/>
  <c r="T5878" i="6"/>
  <c r="T5879" i="6"/>
  <c r="T5880" i="6"/>
  <c r="T5881" i="6"/>
  <c r="T5882" i="6"/>
  <c r="T5883" i="6"/>
  <c r="T5884" i="6"/>
  <c r="T5885" i="6"/>
  <c r="T5886" i="6"/>
  <c r="T5887" i="6"/>
  <c r="T5888" i="6"/>
  <c r="T5889" i="6"/>
  <c r="T5890" i="6"/>
  <c r="T5891" i="6"/>
  <c r="T5892" i="6"/>
  <c r="T5893" i="6"/>
  <c r="T5894" i="6"/>
  <c r="T5895" i="6"/>
  <c r="T6337" i="6"/>
  <c r="T6338" i="6"/>
  <c r="T6339" i="6"/>
  <c r="T6340" i="6"/>
  <c r="T6341" i="6"/>
  <c r="T6342" i="6"/>
  <c r="T6343" i="6"/>
  <c r="M3849" i="6"/>
  <c r="M3843" i="6"/>
  <c r="M3844" i="6"/>
  <c r="M3845" i="6"/>
  <c r="M384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I11" i="14"/>
  <c r="M77" i="6"/>
  <c r="M79" i="6"/>
  <c r="M81" i="6"/>
  <c r="M82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I101" i="14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I120" i="14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I128" i="14"/>
  <c r="M1008" i="6"/>
  <c r="M1009" i="6"/>
  <c r="M1015" i="6"/>
  <c r="I129" i="14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I117" i="14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I140" i="14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I142" i="14"/>
  <c r="M1115" i="6"/>
  <c r="M1116" i="6"/>
  <c r="M1117" i="6"/>
  <c r="M1118" i="6"/>
  <c r="M1119" i="6"/>
  <c r="M1120" i="6"/>
  <c r="M1122" i="6"/>
  <c r="M1123" i="6"/>
  <c r="M1124" i="6"/>
  <c r="M1125" i="6"/>
  <c r="M1126" i="6"/>
  <c r="M1128" i="6"/>
  <c r="I143" i="14"/>
  <c r="M1131" i="6"/>
  <c r="M1129" i="6"/>
  <c r="M1130" i="6"/>
  <c r="M1134" i="6"/>
  <c r="M1135" i="6"/>
  <c r="M1136" i="6"/>
  <c r="M1140" i="6"/>
  <c r="M1141" i="6"/>
  <c r="M1142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I159" i="14"/>
  <c r="M1202" i="6"/>
  <c r="M1201" i="6"/>
  <c r="M1206" i="6"/>
  <c r="M1207" i="6"/>
  <c r="M1212" i="6"/>
  <c r="M1213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I168" i="14"/>
  <c r="M1243" i="6"/>
  <c r="M1240" i="6"/>
  <c r="M1241" i="6"/>
  <c r="M1242" i="6"/>
  <c r="M1245" i="6"/>
  <c r="M1246" i="6"/>
  <c r="M1247" i="6"/>
  <c r="M1248" i="6"/>
  <c r="M1251" i="6"/>
  <c r="M1252" i="6"/>
  <c r="M1253" i="6"/>
  <c r="M1254" i="6"/>
  <c r="I169" i="14"/>
  <c r="M1260" i="6"/>
  <c r="M1257" i="6"/>
  <c r="M1258" i="6"/>
  <c r="M1259" i="6"/>
  <c r="M1262" i="6"/>
  <c r="M1263" i="6"/>
  <c r="M1264" i="6"/>
  <c r="M1265" i="6"/>
  <c r="M1268" i="6"/>
  <c r="I170" i="14"/>
  <c r="M1271" i="6"/>
  <c r="M1269" i="6"/>
  <c r="M1270" i="6"/>
  <c r="M1274" i="6"/>
  <c r="M1275" i="6"/>
  <c r="M1276" i="6"/>
  <c r="M1280" i="6"/>
  <c r="M1281" i="6"/>
  <c r="M1282" i="6"/>
  <c r="M1286" i="6"/>
  <c r="I171" i="14"/>
  <c r="M1288" i="6"/>
  <c r="M1287" i="6"/>
  <c r="M1292" i="6"/>
  <c r="M1293" i="6"/>
  <c r="M1298" i="6"/>
  <c r="M1299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I184" i="14"/>
  <c r="M1351" i="6"/>
  <c r="M1352" i="6"/>
  <c r="M1358" i="6"/>
  <c r="I185" i="14"/>
  <c r="M1364" i="6"/>
  <c r="M1361" i="6"/>
  <c r="M1362" i="6"/>
  <c r="M1363" i="6"/>
  <c r="M1366" i="6"/>
  <c r="M1367" i="6"/>
  <c r="M1368" i="6"/>
  <c r="M1369" i="6"/>
  <c r="M1372" i="6"/>
  <c r="M1373" i="6"/>
  <c r="M1374" i="6"/>
  <c r="M1375" i="6"/>
  <c r="M1378" i="6"/>
  <c r="M1379" i="6"/>
  <c r="M1380" i="6"/>
  <c r="M1381" i="6"/>
  <c r="I186" i="14"/>
  <c r="M1382" i="6"/>
  <c r="M1383" i="6"/>
  <c r="M1384" i="6"/>
  <c r="M1385" i="6"/>
  <c r="M1386" i="6"/>
  <c r="M1387" i="6"/>
  <c r="M1389" i="6"/>
  <c r="M1390" i="6"/>
  <c r="M1391" i="6"/>
  <c r="M1392" i="6"/>
  <c r="M1393" i="6"/>
  <c r="M1395" i="6"/>
  <c r="M1396" i="6"/>
  <c r="M1397" i="6"/>
  <c r="M1398" i="6"/>
  <c r="M1399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I197" i="14"/>
  <c r="M1428" i="6"/>
  <c r="M1427" i="6"/>
  <c r="M1432" i="6"/>
  <c r="M1433" i="6"/>
  <c r="M1438" i="6"/>
  <c r="M1439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I199" i="14"/>
  <c r="M1485" i="6"/>
  <c r="M1486" i="6"/>
  <c r="M1492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I207" i="14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I206" i="14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I205" i="14"/>
  <c r="M1550" i="6"/>
  <c r="M1547" i="6"/>
  <c r="M1548" i="6"/>
  <c r="M1549" i="6"/>
  <c r="M1552" i="6"/>
  <c r="M1553" i="6"/>
  <c r="M1554" i="6"/>
  <c r="M1555" i="6"/>
  <c r="M1558" i="6"/>
  <c r="M1559" i="6"/>
  <c r="M1560" i="6"/>
  <c r="M1561" i="6"/>
  <c r="M1564" i="6"/>
  <c r="M1565" i="6"/>
  <c r="M1566" i="6"/>
  <c r="M1567" i="6"/>
  <c r="I204" i="14"/>
  <c r="M1568" i="6"/>
  <c r="M1569" i="6"/>
  <c r="M1570" i="6"/>
  <c r="M1571" i="6"/>
  <c r="M1572" i="6"/>
  <c r="M1573" i="6"/>
  <c r="M1575" i="6"/>
  <c r="M1576" i="6"/>
  <c r="M1577" i="6"/>
  <c r="M1578" i="6"/>
  <c r="M1579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I216" i="14"/>
  <c r="M1602" i="6"/>
  <c r="M1601" i="6"/>
  <c r="M1606" i="6"/>
  <c r="M1607" i="6"/>
  <c r="I218" i="14"/>
  <c r="M1608" i="6"/>
  <c r="M1609" i="6"/>
  <c r="M1610" i="6"/>
  <c r="M1611" i="6"/>
  <c r="M1612" i="6"/>
  <c r="M1613" i="6"/>
  <c r="M1615" i="6"/>
  <c r="M1616" i="6"/>
  <c r="M1617" i="6"/>
  <c r="M1618" i="6"/>
  <c r="M1619" i="6"/>
  <c r="M1621" i="6"/>
  <c r="M1622" i="6"/>
  <c r="M1623" i="6"/>
  <c r="M1624" i="6"/>
  <c r="M1625" i="6"/>
  <c r="I219" i="14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I225" i="14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I226" i="14"/>
  <c r="M1670" i="6"/>
  <c r="M1669" i="6"/>
  <c r="M1674" i="6"/>
  <c r="M1675" i="6"/>
  <c r="M1680" i="6"/>
  <c r="M1681" i="6"/>
  <c r="I227" i="14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I231" i="14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I236" i="14"/>
  <c r="M1745" i="6"/>
  <c r="M1743" i="6"/>
  <c r="M1744" i="6"/>
  <c r="M1748" i="6"/>
  <c r="M1749" i="6"/>
  <c r="M1750" i="6"/>
  <c r="I237" i="14"/>
  <c r="M1756" i="6"/>
  <c r="M1753" i="6"/>
  <c r="M1754" i="6"/>
  <c r="M1755" i="6"/>
  <c r="M1758" i="6"/>
  <c r="M1759" i="6"/>
  <c r="M1760" i="6"/>
  <c r="M1761" i="6"/>
  <c r="M1764" i="6"/>
  <c r="M1765" i="6"/>
  <c r="M1766" i="6"/>
  <c r="I238" i="14"/>
  <c r="M1771" i="6"/>
  <c r="M1772" i="6"/>
  <c r="M1778" i="6"/>
  <c r="M1779" i="6"/>
  <c r="M1780" i="6"/>
  <c r="M1781" i="6"/>
  <c r="M1782" i="6"/>
  <c r="M1783" i="6"/>
  <c r="M1784" i="6"/>
  <c r="M1785" i="6"/>
  <c r="M1786" i="6"/>
  <c r="I241" i="14"/>
  <c r="M1790" i="6"/>
  <c r="M1787" i="6"/>
  <c r="M1788" i="6"/>
  <c r="M1789" i="6"/>
  <c r="M1792" i="6"/>
  <c r="M1793" i="6"/>
  <c r="M1794" i="6"/>
  <c r="M1795" i="6"/>
  <c r="M1798" i="6"/>
  <c r="M1799" i="6"/>
  <c r="M1800" i="6"/>
  <c r="M1801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I253" i="14"/>
  <c r="M1826" i="6"/>
  <c r="M1827" i="6"/>
  <c r="M1828" i="6"/>
  <c r="M1829" i="6"/>
  <c r="M1830" i="6"/>
  <c r="M1831" i="6"/>
  <c r="M1833" i="6"/>
  <c r="M1834" i="6"/>
  <c r="M1835" i="6"/>
  <c r="M1836" i="6"/>
  <c r="M1837" i="6"/>
  <c r="M1839" i="6"/>
  <c r="M1840" i="6"/>
  <c r="M1841" i="6"/>
  <c r="I254" i="14"/>
  <c r="M1846" i="6"/>
  <c r="M1847" i="6"/>
  <c r="M1853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3428" i="6"/>
  <c r="M3429" i="6"/>
  <c r="M3430" i="6"/>
  <c r="M3431" i="6"/>
  <c r="M3432" i="6"/>
  <c r="M3433" i="6"/>
  <c r="M3434" i="6"/>
  <c r="M3435" i="6"/>
  <c r="M3436" i="6"/>
  <c r="M3437" i="6"/>
  <c r="M3438" i="6"/>
  <c r="M3439" i="6"/>
  <c r="M3440" i="6"/>
  <c r="M3441" i="6"/>
  <c r="M3442" i="6"/>
  <c r="M3443" i="6"/>
  <c r="M3444" i="6"/>
  <c r="M3445" i="6"/>
  <c r="M3446" i="6"/>
  <c r="M3447" i="6"/>
  <c r="M3448" i="6"/>
  <c r="M3449" i="6"/>
  <c r="M3450" i="6"/>
  <c r="M3451" i="6"/>
  <c r="M3452" i="6"/>
  <c r="M3453" i="6"/>
  <c r="M3454" i="6"/>
  <c r="M3455" i="6"/>
  <c r="M3456" i="6"/>
  <c r="M3457" i="6"/>
  <c r="M3458" i="6"/>
  <c r="M3459" i="6"/>
  <c r="M3460" i="6"/>
  <c r="M3461" i="6"/>
  <c r="M3462" i="6"/>
  <c r="M3463" i="6"/>
  <c r="M3464" i="6"/>
  <c r="M3465" i="6"/>
  <c r="M3466" i="6"/>
  <c r="M3467" i="6"/>
  <c r="M3468" i="6"/>
  <c r="M3469" i="6"/>
  <c r="M3470" i="6"/>
  <c r="M3471" i="6"/>
  <c r="M3472" i="6"/>
  <c r="M3473" i="6"/>
  <c r="M3474" i="6"/>
  <c r="M3475" i="6"/>
  <c r="M3476" i="6"/>
  <c r="M3477" i="6"/>
  <c r="M3478" i="6"/>
  <c r="M3479" i="6"/>
  <c r="M3480" i="6"/>
  <c r="M3481" i="6"/>
  <c r="M3482" i="6"/>
  <c r="M3483" i="6"/>
  <c r="M3484" i="6"/>
  <c r="M3485" i="6"/>
  <c r="M3486" i="6"/>
  <c r="M3487" i="6"/>
  <c r="M3488" i="6"/>
  <c r="M3489" i="6"/>
  <c r="M3490" i="6"/>
  <c r="M3491" i="6"/>
  <c r="M3492" i="6"/>
  <c r="M3493" i="6"/>
  <c r="M3494" i="6"/>
  <c r="M3495" i="6"/>
  <c r="M3496" i="6"/>
  <c r="M3497" i="6"/>
  <c r="M3498" i="6"/>
  <c r="M3499" i="6"/>
  <c r="M3500" i="6"/>
  <c r="M3501" i="6"/>
  <c r="M3502" i="6"/>
  <c r="M3503" i="6"/>
  <c r="M3504" i="6"/>
  <c r="M3505" i="6"/>
  <c r="M3506" i="6"/>
  <c r="M3507" i="6"/>
  <c r="M3508" i="6"/>
  <c r="M3509" i="6"/>
  <c r="M3510" i="6"/>
  <c r="M3511" i="6"/>
  <c r="M3512" i="6"/>
  <c r="M3513" i="6"/>
  <c r="M3514" i="6"/>
  <c r="M3515" i="6"/>
  <c r="M3516" i="6"/>
  <c r="M3517" i="6"/>
  <c r="M3518" i="6"/>
  <c r="M3519" i="6"/>
  <c r="M3520" i="6"/>
  <c r="M3521" i="6"/>
  <c r="M3522" i="6"/>
  <c r="M3523" i="6"/>
  <c r="M3524" i="6"/>
  <c r="M3525" i="6"/>
  <c r="M3526" i="6"/>
  <c r="M3527" i="6"/>
  <c r="M3528" i="6"/>
  <c r="M3529" i="6"/>
  <c r="M3530" i="6"/>
  <c r="M3531" i="6"/>
  <c r="M3532" i="6"/>
  <c r="M3533" i="6"/>
  <c r="M3534" i="6"/>
  <c r="M3535" i="6"/>
  <c r="M3536" i="6"/>
  <c r="M3537" i="6"/>
  <c r="M3538" i="6"/>
  <c r="M3539" i="6"/>
  <c r="M3540" i="6"/>
  <c r="M3541" i="6"/>
  <c r="M3542" i="6"/>
  <c r="M3543" i="6"/>
  <c r="M3544" i="6"/>
  <c r="M3545" i="6"/>
  <c r="M3546" i="6"/>
  <c r="M3547" i="6"/>
  <c r="M3548" i="6"/>
  <c r="M3549" i="6"/>
  <c r="M3550" i="6"/>
  <c r="M3551" i="6"/>
  <c r="M3552" i="6"/>
  <c r="M3553" i="6"/>
  <c r="M3554" i="6"/>
  <c r="M3555" i="6"/>
  <c r="M3556" i="6"/>
  <c r="M3557" i="6"/>
  <c r="M3558" i="6"/>
  <c r="M3559" i="6"/>
  <c r="M3560" i="6"/>
  <c r="M3561" i="6"/>
  <c r="M3562" i="6"/>
  <c r="M3563" i="6"/>
  <c r="M3564" i="6"/>
  <c r="M3565" i="6"/>
  <c r="M3566" i="6"/>
  <c r="M3567" i="6"/>
  <c r="M3568" i="6"/>
  <c r="M3569" i="6"/>
  <c r="M3570" i="6"/>
  <c r="M3571" i="6"/>
  <c r="M3572" i="6"/>
  <c r="M3573" i="6"/>
  <c r="M3574" i="6"/>
  <c r="M3575" i="6"/>
  <c r="M3576" i="6"/>
  <c r="M3577" i="6"/>
  <c r="M3578" i="6"/>
  <c r="M3579" i="6"/>
  <c r="M3580" i="6"/>
  <c r="M3581" i="6"/>
  <c r="M3582" i="6"/>
  <c r="M3583" i="6"/>
  <c r="M3584" i="6"/>
  <c r="M3585" i="6"/>
  <c r="M3586" i="6"/>
  <c r="M3587" i="6"/>
  <c r="M3588" i="6"/>
  <c r="M3589" i="6"/>
  <c r="M3590" i="6"/>
  <c r="M3591" i="6"/>
  <c r="M3592" i="6"/>
  <c r="M3593" i="6"/>
  <c r="M3594" i="6"/>
  <c r="M3595" i="6"/>
  <c r="M3596" i="6"/>
  <c r="M3597" i="6"/>
  <c r="M3598" i="6"/>
  <c r="M3599" i="6"/>
  <c r="M3600" i="6"/>
  <c r="M3601" i="6"/>
  <c r="M3602" i="6"/>
  <c r="M3603" i="6"/>
  <c r="M3604" i="6"/>
  <c r="M3605" i="6"/>
  <c r="M3606" i="6"/>
  <c r="M3607" i="6"/>
  <c r="M3608" i="6"/>
  <c r="M3609" i="6"/>
  <c r="M3610" i="6"/>
  <c r="M3611" i="6"/>
  <c r="M3612" i="6"/>
  <c r="M3613" i="6"/>
  <c r="M3614" i="6"/>
  <c r="M3615" i="6"/>
  <c r="M3616" i="6"/>
  <c r="M3617" i="6"/>
  <c r="M3618" i="6"/>
  <c r="M3619" i="6"/>
  <c r="M3620" i="6"/>
  <c r="M3621" i="6"/>
  <c r="M3622" i="6"/>
  <c r="M3623" i="6"/>
  <c r="M3624" i="6"/>
  <c r="M3625" i="6"/>
  <c r="M3626" i="6"/>
  <c r="M3627" i="6"/>
  <c r="M3628" i="6"/>
  <c r="M3629" i="6"/>
  <c r="M3630" i="6"/>
  <c r="M3631" i="6"/>
  <c r="M3632" i="6"/>
  <c r="M3633" i="6"/>
  <c r="M3634" i="6"/>
  <c r="M3635" i="6"/>
  <c r="M3636" i="6"/>
  <c r="M3637" i="6"/>
  <c r="M3638" i="6"/>
  <c r="M3639" i="6"/>
  <c r="M3640" i="6"/>
  <c r="M3641" i="6"/>
  <c r="M3642" i="6"/>
  <c r="M3643" i="6"/>
  <c r="M3644" i="6"/>
  <c r="M3645" i="6"/>
  <c r="M3646" i="6"/>
  <c r="M3647" i="6"/>
  <c r="M3648" i="6"/>
  <c r="M3649" i="6"/>
  <c r="M3650" i="6"/>
  <c r="M3651" i="6"/>
  <c r="M3652" i="6"/>
  <c r="M3653" i="6"/>
  <c r="M3654" i="6"/>
  <c r="M3655" i="6"/>
  <c r="M3656" i="6"/>
  <c r="M3657" i="6"/>
  <c r="M3658" i="6"/>
  <c r="M3659" i="6"/>
  <c r="M3660" i="6"/>
  <c r="M3661" i="6"/>
  <c r="M3662" i="6"/>
  <c r="M3663" i="6"/>
  <c r="M3664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3" i="6"/>
  <c r="M3684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763" i="6"/>
  <c r="M3764" i="6"/>
  <c r="M3765" i="6"/>
  <c r="M3766" i="6"/>
  <c r="M3767" i="6"/>
  <c r="M3768" i="6"/>
  <c r="M3769" i="6"/>
  <c r="M3770" i="6"/>
  <c r="M3771" i="6"/>
  <c r="M3772" i="6"/>
  <c r="M3773" i="6"/>
  <c r="M3774" i="6"/>
  <c r="M3775" i="6"/>
  <c r="M3776" i="6"/>
  <c r="M3777" i="6"/>
  <c r="M3778" i="6"/>
  <c r="M3779" i="6"/>
  <c r="M3780" i="6"/>
  <c r="M3781" i="6"/>
  <c r="M3782" i="6"/>
  <c r="M3783" i="6"/>
  <c r="M3784" i="6"/>
  <c r="M3785" i="6"/>
  <c r="M3786" i="6"/>
  <c r="M3787" i="6"/>
  <c r="M3788" i="6"/>
  <c r="M3789" i="6"/>
  <c r="M3790" i="6"/>
  <c r="M3791" i="6"/>
  <c r="M3792" i="6"/>
  <c r="M3793" i="6"/>
  <c r="M3794" i="6"/>
  <c r="M3795" i="6"/>
  <c r="M3796" i="6"/>
  <c r="M3797" i="6"/>
  <c r="M3798" i="6"/>
  <c r="M3799" i="6"/>
  <c r="M3800" i="6"/>
  <c r="M3801" i="6"/>
  <c r="M3802" i="6"/>
  <c r="M3803" i="6"/>
  <c r="M3804" i="6"/>
  <c r="M3805" i="6"/>
  <c r="M3806" i="6"/>
  <c r="M3807" i="6"/>
  <c r="M3808" i="6"/>
  <c r="M3809" i="6"/>
  <c r="M3810" i="6"/>
  <c r="M3811" i="6"/>
  <c r="M3812" i="6"/>
  <c r="M3813" i="6"/>
  <c r="M3814" i="6"/>
  <c r="M3815" i="6"/>
  <c r="M3816" i="6"/>
  <c r="M3817" i="6"/>
  <c r="M3818" i="6"/>
  <c r="M3819" i="6"/>
  <c r="M3820" i="6"/>
  <c r="M3821" i="6"/>
  <c r="M3822" i="6"/>
  <c r="M3823" i="6"/>
  <c r="M3824" i="6"/>
  <c r="M3825" i="6"/>
  <c r="M3826" i="6"/>
  <c r="M3827" i="6"/>
  <c r="M3828" i="6"/>
  <c r="M3829" i="6"/>
  <c r="M3830" i="6"/>
  <c r="M3831" i="6"/>
  <c r="M3832" i="6"/>
  <c r="M3833" i="6"/>
  <c r="M3834" i="6"/>
  <c r="M3835" i="6"/>
  <c r="M3836" i="6"/>
  <c r="M3837" i="6"/>
  <c r="M3838" i="6"/>
  <c r="M3839" i="6"/>
  <c r="M3840" i="6"/>
  <c r="M3841" i="6"/>
  <c r="M3842" i="6"/>
  <c r="M3847" i="6"/>
  <c r="M3848" i="6"/>
  <c r="M3850" i="6"/>
  <c r="M3851" i="6"/>
  <c r="M3852" i="6"/>
  <c r="M3853" i="6"/>
  <c r="M3854" i="6"/>
  <c r="M3855" i="6"/>
  <c r="M3856" i="6"/>
  <c r="M3857" i="6"/>
  <c r="M3858" i="6"/>
  <c r="M3859" i="6"/>
  <c r="M3860" i="6"/>
  <c r="M3861" i="6"/>
  <c r="M3862" i="6"/>
  <c r="M3863" i="6"/>
  <c r="M3864" i="6"/>
  <c r="M3865" i="6"/>
  <c r="M3866" i="6"/>
  <c r="M3867" i="6"/>
  <c r="M3868" i="6"/>
  <c r="M3869" i="6"/>
  <c r="M3870" i="6"/>
  <c r="M3871" i="6"/>
  <c r="M3872" i="6"/>
  <c r="M3873" i="6"/>
  <c r="M3874" i="6"/>
  <c r="M3875" i="6"/>
  <c r="M3876" i="6"/>
  <c r="M3877" i="6"/>
  <c r="M3878" i="6"/>
  <c r="M3879" i="6"/>
  <c r="M3880" i="6"/>
  <c r="M3881" i="6"/>
  <c r="M3882" i="6"/>
  <c r="M3883" i="6"/>
  <c r="M3884" i="6"/>
  <c r="M3885" i="6"/>
  <c r="M3886" i="6"/>
  <c r="M3887" i="6"/>
  <c r="M3888" i="6"/>
  <c r="M3889" i="6"/>
  <c r="M3890" i="6"/>
  <c r="M3891" i="6"/>
  <c r="M3892" i="6"/>
  <c r="M3893" i="6"/>
  <c r="M3894" i="6"/>
  <c r="M3895" i="6"/>
  <c r="M3896" i="6"/>
  <c r="M3897" i="6"/>
  <c r="M3898" i="6"/>
  <c r="M3899" i="6"/>
  <c r="M3900" i="6"/>
  <c r="M3901" i="6"/>
  <c r="M3902" i="6"/>
  <c r="M3903" i="6"/>
  <c r="M3904" i="6"/>
  <c r="M3905" i="6"/>
  <c r="M3906" i="6"/>
  <c r="M3907" i="6"/>
  <c r="M3908" i="6"/>
  <c r="M3909" i="6"/>
  <c r="M3910" i="6"/>
  <c r="M3911" i="6"/>
  <c r="M3912" i="6"/>
  <c r="M3913" i="6"/>
  <c r="M3914" i="6"/>
  <c r="M3915" i="6"/>
  <c r="M3916" i="6"/>
  <c r="M3917" i="6"/>
  <c r="M3918" i="6"/>
  <c r="M3919" i="6"/>
  <c r="M3920" i="6"/>
  <c r="M3921" i="6"/>
  <c r="M3922" i="6"/>
  <c r="M3923" i="6"/>
  <c r="M3924" i="6"/>
  <c r="M3925" i="6"/>
  <c r="M3926" i="6"/>
  <c r="M3927" i="6"/>
  <c r="M3928" i="6"/>
  <c r="M3929" i="6"/>
  <c r="I550" i="14"/>
  <c r="M3930" i="6"/>
  <c r="M3931" i="6"/>
  <c r="M3932" i="6"/>
  <c r="M3933" i="6"/>
  <c r="M3934" i="6"/>
  <c r="M3935" i="6"/>
  <c r="M3936" i="6"/>
  <c r="M3937" i="6"/>
  <c r="M3938" i="6"/>
  <c r="M3939" i="6"/>
  <c r="M3940" i="6"/>
  <c r="M3941" i="6"/>
  <c r="M3942" i="6"/>
  <c r="M3943" i="6"/>
  <c r="M3944" i="6"/>
  <c r="M3945" i="6"/>
  <c r="M3946" i="6"/>
  <c r="M3947" i="6"/>
  <c r="M3948" i="6"/>
  <c r="M3949" i="6"/>
  <c r="M3950" i="6"/>
  <c r="M3951" i="6"/>
  <c r="M3952" i="6"/>
  <c r="M3953" i="6"/>
  <c r="M3954" i="6"/>
  <c r="M3955" i="6"/>
  <c r="M3956" i="6"/>
  <c r="M3957" i="6"/>
  <c r="M3958" i="6"/>
  <c r="M3959" i="6"/>
  <c r="M3960" i="6"/>
  <c r="M3961" i="6"/>
  <c r="M3962" i="6"/>
  <c r="M3963" i="6"/>
  <c r="M3964" i="6"/>
  <c r="M3965" i="6"/>
  <c r="M3966" i="6"/>
  <c r="M3967" i="6"/>
  <c r="M3968" i="6"/>
  <c r="M3969" i="6"/>
  <c r="M3970" i="6"/>
  <c r="M3971" i="6"/>
  <c r="M3972" i="6"/>
  <c r="M3973" i="6"/>
  <c r="M3974" i="6"/>
  <c r="M3975" i="6"/>
  <c r="M3976" i="6"/>
  <c r="M3977" i="6"/>
  <c r="M3978" i="6"/>
  <c r="M3979" i="6"/>
  <c r="M3980" i="6"/>
  <c r="M3981" i="6"/>
  <c r="M3982" i="6"/>
  <c r="M3983" i="6"/>
  <c r="M3984" i="6"/>
  <c r="M3985" i="6"/>
  <c r="M3986" i="6"/>
  <c r="M3987" i="6"/>
  <c r="M3988" i="6"/>
  <c r="M3989" i="6"/>
  <c r="M3990" i="6"/>
  <c r="M3991" i="6"/>
  <c r="M3992" i="6"/>
  <c r="M3993" i="6"/>
  <c r="M3994" i="6"/>
  <c r="M3995" i="6"/>
  <c r="M3996" i="6"/>
  <c r="M3997" i="6"/>
  <c r="M3998" i="6"/>
  <c r="M3999" i="6"/>
  <c r="M4000" i="6"/>
  <c r="M4001" i="6"/>
  <c r="M4002" i="6"/>
  <c r="M4003" i="6"/>
  <c r="M4004" i="6"/>
  <c r="M4005" i="6"/>
  <c r="M4006" i="6"/>
  <c r="M4007" i="6"/>
  <c r="M4008" i="6"/>
  <c r="M4009" i="6"/>
  <c r="M4010" i="6"/>
  <c r="M4011" i="6"/>
  <c r="M4012" i="6"/>
  <c r="M4013" i="6"/>
  <c r="M4014" i="6"/>
  <c r="M4015" i="6"/>
  <c r="M4016" i="6"/>
  <c r="M4017" i="6"/>
  <c r="M4018" i="6"/>
  <c r="M4019" i="6"/>
  <c r="M4020" i="6"/>
  <c r="M4021" i="6"/>
  <c r="M4022" i="6"/>
  <c r="M4023" i="6"/>
  <c r="M4024" i="6"/>
  <c r="M4025" i="6"/>
  <c r="M4026" i="6"/>
  <c r="M4027" i="6"/>
  <c r="M4028" i="6"/>
  <c r="M4029" i="6"/>
  <c r="M4030" i="6"/>
  <c r="M4031" i="6"/>
  <c r="M4032" i="6"/>
  <c r="M4033" i="6"/>
  <c r="M4034" i="6"/>
  <c r="M4035" i="6"/>
  <c r="M4036" i="6"/>
  <c r="M4037" i="6"/>
  <c r="M4038" i="6"/>
  <c r="M4039" i="6"/>
  <c r="M4040" i="6"/>
  <c r="M4041" i="6"/>
  <c r="M4042" i="6"/>
  <c r="M4043" i="6"/>
  <c r="M4044" i="6"/>
  <c r="M4045" i="6"/>
  <c r="M4046" i="6"/>
  <c r="M4047" i="6"/>
  <c r="M4048" i="6"/>
  <c r="M4049" i="6"/>
  <c r="M4050" i="6"/>
  <c r="M4051" i="6"/>
  <c r="M4052" i="6"/>
  <c r="M4053" i="6"/>
  <c r="M4054" i="6"/>
  <c r="M4055" i="6"/>
  <c r="M4056" i="6"/>
  <c r="M4057" i="6"/>
  <c r="M4058" i="6"/>
  <c r="M4059" i="6"/>
  <c r="M4060" i="6"/>
  <c r="M4061" i="6"/>
  <c r="M4062" i="6"/>
  <c r="M4063" i="6"/>
  <c r="M4064" i="6"/>
  <c r="M4065" i="6"/>
  <c r="M4066" i="6"/>
  <c r="M4067" i="6"/>
  <c r="M4068" i="6"/>
  <c r="M4069" i="6"/>
  <c r="M4070" i="6"/>
  <c r="M4071" i="6"/>
  <c r="M4072" i="6"/>
  <c r="M4073" i="6"/>
  <c r="M4074" i="6"/>
  <c r="M4075" i="6"/>
  <c r="M4076" i="6"/>
  <c r="M4077" i="6"/>
  <c r="M4078" i="6"/>
  <c r="M4079" i="6"/>
  <c r="M4080" i="6"/>
  <c r="M4081" i="6"/>
  <c r="M4082" i="6"/>
  <c r="M4083" i="6"/>
  <c r="M4084" i="6"/>
  <c r="M4085" i="6"/>
  <c r="M4086" i="6"/>
  <c r="M4087" i="6"/>
  <c r="M4088" i="6"/>
  <c r="M4089" i="6"/>
  <c r="M4090" i="6"/>
  <c r="M4091" i="6"/>
  <c r="M4092" i="6"/>
  <c r="M4093" i="6"/>
  <c r="M4094" i="6"/>
  <c r="M4095" i="6"/>
  <c r="M4096" i="6"/>
  <c r="M4097" i="6"/>
  <c r="I577" i="14"/>
  <c r="M4101" i="6"/>
  <c r="M4098" i="6"/>
  <c r="M4099" i="6"/>
  <c r="M4100" i="6"/>
  <c r="M4102" i="6"/>
  <c r="M4103" i="6"/>
  <c r="M4104" i="6"/>
  <c r="M4105" i="6"/>
  <c r="M4106" i="6"/>
  <c r="M4107" i="6"/>
  <c r="M4108" i="6"/>
  <c r="M4109" i="6"/>
  <c r="M4110" i="6"/>
  <c r="M4111" i="6"/>
  <c r="M4112" i="6"/>
  <c r="M4113" i="6"/>
  <c r="M4114" i="6"/>
  <c r="M4115" i="6"/>
  <c r="M4116" i="6"/>
  <c r="M4117" i="6"/>
  <c r="M4118" i="6"/>
  <c r="M4119" i="6"/>
  <c r="M4120" i="6"/>
  <c r="M4121" i="6"/>
  <c r="M4122" i="6"/>
  <c r="M4123" i="6"/>
  <c r="M4124" i="6"/>
  <c r="M4125" i="6"/>
  <c r="M4126" i="6"/>
  <c r="M4127" i="6"/>
  <c r="M4128" i="6"/>
  <c r="M4129" i="6"/>
  <c r="M4130" i="6"/>
  <c r="M4131" i="6"/>
  <c r="M4132" i="6"/>
  <c r="M4133" i="6"/>
  <c r="M4134" i="6"/>
  <c r="M4135" i="6"/>
  <c r="M4136" i="6"/>
  <c r="M4137" i="6"/>
  <c r="M4138" i="6"/>
  <c r="M4139" i="6"/>
  <c r="M4140" i="6"/>
  <c r="M4141" i="6"/>
  <c r="M4142" i="6"/>
  <c r="M4143" i="6"/>
  <c r="M4144" i="6"/>
  <c r="M4145" i="6"/>
  <c r="M4146" i="6"/>
  <c r="M4147" i="6"/>
  <c r="M4148" i="6"/>
  <c r="M4149" i="6"/>
  <c r="M4150" i="6"/>
  <c r="M4151" i="6"/>
  <c r="M4152" i="6"/>
  <c r="M4153" i="6"/>
  <c r="M4154" i="6"/>
  <c r="M4155" i="6"/>
  <c r="M4156" i="6"/>
  <c r="M4157" i="6"/>
  <c r="M4158" i="6"/>
  <c r="M4159" i="6"/>
  <c r="M4160" i="6"/>
  <c r="M4161" i="6"/>
  <c r="M4162" i="6"/>
  <c r="M4163" i="6"/>
  <c r="M4164" i="6"/>
  <c r="M4165" i="6"/>
  <c r="M4166" i="6"/>
  <c r="M4167" i="6"/>
  <c r="M4168" i="6"/>
  <c r="M4169" i="6"/>
  <c r="M4170" i="6"/>
  <c r="M4171" i="6"/>
  <c r="M4172" i="6"/>
  <c r="M4173" i="6"/>
  <c r="M4174" i="6"/>
  <c r="M4175" i="6"/>
  <c r="M4176" i="6"/>
  <c r="M4177" i="6"/>
  <c r="M4178" i="6"/>
  <c r="M4179" i="6"/>
  <c r="M4180" i="6"/>
  <c r="M4181" i="6"/>
  <c r="M4182" i="6"/>
  <c r="M4183" i="6"/>
  <c r="M4184" i="6"/>
  <c r="M4185" i="6"/>
  <c r="M4186" i="6"/>
  <c r="M4187" i="6"/>
  <c r="M4188" i="6"/>
  <c r="M4189" i="6"/>
  <c r="M4190" i="6"/>
  <c r="M4191" i="6"/>
  <c r="M4192" i="6"/>
  <c r="M4193" i="6"/>
  <c r="M4194" i="6"/>
  <c r="M4195" i="6"/>
  <c r="M4196" i="6"/>
  <c r="M4197" i="6"/>
  <c r="M4198" i="6"/>
  <c r="M4199" i="6"/>
  <c r="M4200" i="6"/>
  <c r="M4201" i="6"/>
  <c r="M4202" i="6"/>
  <c r="M4203" i="6"/>
  <c r="M4204" i="6"/>
  <c r="M4205" i="6"/>
  <c r="M4206" i="6"/>
  <c r="M4207" i="6"/>
  <c r="M4208" i="6"/>
  <c r="M4209" i="6"/>
  <c r="M4210" i="6"/>
  <c r="M4211" i="6"/>
  <c r="M4212" i="6"/>
  <c r="M4213" i="6"/>
  <c r="M4214" i="6"/>
  <c r="M4215" i="6"/>
  <c r="M4216" i="6"/>
  <c r="M4217" i="6"/>
  <c r="M4218" i="6"/>
  <c r="M4219" i="6"/>
  <c r="M4220" i="6"/>
  <c r="M4221" i="6"/>
  <c r="M4222" i="6"/>
  <c r="M4223" i="6"/>
  <c r="M4224" i="6"/>
  <c r="M4225" i="6"/>
  <c r="M4226" i="6"/>
  <c r="M4227" i="6"/>
  <c r="M4228" i="6"/>
  <c r="M4229" i="6"/>
  <c r="M4230" i="6"/>
  <c r="M4231" i="6"/>
  <c r="M4232" i="6"/>
  <c r="M4233" i="6"/>
  <c r="M4234" i="6"/>
  <c r="M4235" i="6"/>
  <c r="M4236" i="6"/>
  <c r="M4237" i="6"/>
  <c r="M4238" i="6"/>
  <c r="M4239" i="6"/>
  <c r="M4240" i="6"/>
  <c r="M4241" i="6"/>
  <c r="M4242" i="6"/>
  <c r="M4243" i="6"/>
  <c r="M4244" i="6"/>
  <c r="M4245" i="6"/>
  <c r="M4246" i="6"/>
  <c r="M4247" i="6"/>
  <c r="M4248" i="6"/>
  <c r="M4249" i="6"/>
  <c r="M4250" i="6"/>
  <c r="M4251" i="6"/>
  <c r="M4252" i="6"/>
  <c r="M4253" i="6"/>
  <c r="M4254" i="6"/>
  <c r="M4255" i="6"/>
  <c r="M4256" i="6"/>
  <c r="M4257" i="6"/>
  <c r="M4258" i="6"/>
  <c r="M4259" i="6"/>
  <c r="M4260" i="6"/>
  <c r="M4261" i="6"/>
  <c r="M4262" i="6"/>
  <c r="M4263" i="6"/>
  <c r="M4264" i="6"/>
  <c r="M4265" i="6"/>
  <c r="M4266" i="6"/>
  <c r="M4267" i="6"/>
  <c r="M4268" i="6"/>
  <c r="M4269" i="6"/>
  <c r="M4270" i="6"/>
  <c r="M4271" i="6"/>
  <c r="M4272" i="6"/>
  <c r="M4273" i="6"/>
  <c r="M4274" i="6"/>
  <c r="M4275" i="6"/>
  <c r="M4276" i="6"/>
  <c r="M4277" i="6"/>
  <c r="M4278" i="6"/>
  <c r="M4279" i="6"/>
  <c r="M4280" i="6"/>
  <c r="M4281" i="6"/>
  <c r="M4282" i="6"/>
  <c r="M4283" i="6"/>
  <c r="M4284" i="6"/>
  <c r="M4285" i="6"/>
  <c r="M4286" i="6"/>
  <c r="M4287" i="6"/>
  <c r="M4288" i="6"/>
  <c r="M4289" i="6"/>
  <c r="M4290" i="6"/>
  <c r="M4291" i="6"/>
  <c r="M4292" i="6"/>
  <c r="M4293" i="6"/>
  <c r="M4294" i="6"/>
  <c r="M4295" i="6"/>
  <c r="M4296" i="6"/>
  <c r="M4297" i="6"/>
  <c r="M4298" i="6"/>
  <c r="M4299" i="6"/>
  <c r="M4300" i="6"/>
  <c r="M4301" i="6"/>
  <c r="M4302" i="6"/>
  <c r="M4303" i="6"/>
  <c r="M4304" i="6"/>
  <c r="M4305" i="6"/>
  <c r="M4306" i="6"/>
  <c r="M4307" i="6"/>
  <c r="M4308" i="6"/>
  <c r="M4309" i="6"/>
  <c r="M4310" i="6"/>
  <c r="M4311" i="6"/>
  <c r="M4312" i="6"/>
  <c r="M4313" i="6"/>
  <c r="M4314" i="6"/>
  <c r="M4315" i="6"/>
  <c r="M4316" i="6"/>
  <c r="M4317" i="6"/>
  <c r="M4318" i="6"/>
  <c r="M4319" i="6"/>
  <c r="M4320" i="6"/>
  <c r="M4321" i="6"/>
  <c r="M4322" i="6"/>
  <c r="M4323" i="6"/>
  <c r="M4324" i="6"/>
  <c r="M4325" i="6"/>
  <c r="M4326" i="6"/>
  <c r="M4327" i="6"/>
  <c r="M4328" i="6"/>
  <c r="M4329" i="6"/>
  <c r="M4330" i="6"/>
  <c r="M4331" i="6"/>
  <c r="M4332" i="6"/>
  <c r="M4333" i="6"/>
  <c r="M4334" i="6"/>
  <c r="M4335" i="6"/>
  <c r="M4336" i="6"/>
  <c r="M4337" i="6"/>
  <c r="M4338" i="6"/>
  <c r="M4339" i="6"/>
  <c r="M4340" i="6"/>
  <c r="M4341" i="6"/>
  <c r="M4342" i="6"/>
  <c r="M4343" i="6"/>
  <c r="M4344" i="6"/>
  <c r="M4345" i="6"/>
  <c r="M4346" i="6"/>
  <c r="M4347" i="6"/>
  <c r="M4348" i="6"/>
  <c r="M4349" i="6"/>
  <c r="M4350" i="6"/>
  <c r="M4351" i="6"/>
  <c r="M4352" i="6"/>
  <c r="M4353" i="6"/>
  <c r="M4354" i="6"/>
  <c r="M4355" i="6"/>
  <c r="M4356" i="6"/>
  <c r="M4357" i="6"/>
  <c r="M4358" i="6"/>
  <c r="M4359" i="6"/>
  <c r="M4360" i="6"/>
  <c r="M4361" i="6"/>
  <c r="M4362" i="6"/>
  <c r="M4363" i="6"/>
  <c r="M4364" i="6"/>
  <c r="M4365" i="6"/>
  <c r="M4366" i="6"/>
  <c r="M4367" i="6"/>
  <c r="M4368" i="6"/>
  <c r="M4369" i="6"/>
  <c r="M4370" i="6"/>
  <c r="M4371" i="6"/>
  <c r="M4372" i="6"/>
  <c r="M4373" i="6"/>
  <c r="M4374" i="6"/>
  <c r="M4375" i="6"/>
  <c r="M4376" i="6"/>
  <c r="M4377" i="6"/>
  <c r="M4378" i="6"/>
  <c r="M4379" i="6"/>
  <c r="M4380" i="6"/>
  <c r="M4381" i="6"/>
  <c r="M4382" i="6"/>
  <c r="M4383" i="6"/>
  <c r="M4384" i="6"/>
  <c r="M4385" i="6"/>
  <c r="M4386" i="6"/>
  <c r="M4387" i="6"/>
  <c r="M4388" i="6"/>
  <c r="M4389" i="6"/>
  <c r="M4390" i="6"/>
  <c r="M4391" i="6"/>
  <c r="M4392" i="6"/>
  <c r="M4393" i="6"/>
  <c r="M4394" i="6"/>
  <c r="M4395" i="6"/>
  <c r="M4396" i="6"/>
  <c r="M4397" i="6"/>
  <c r="M4398" i="6"/>
  <c r="M4399" i="6"/>
  <c r="M4400" i="6"/>
  <c r="M4401" i="6"/>
  <c r="M4402" i="6"/>
  <c r="M4403" i="6"/>
  <c r="M4404" i="6"/>
  <c r="M4405" i="6"/>
  <c r="M4406" i="6"/>
  <c r="M4407" i="6"/>
  <c r="M4408" i="6"/>
  <c r="M4409" i="6"/>
  <c r="M4410" i="6"/>
  <c r="M4411" i="6"/>
  <c r="M4412" i="6"/>
  <c r="M4413" i="6"/>
  <c r="M4414" i="6"/>
  <c r="M4415" i="6"/>
  <c r="M4416" i="6"/>
  <c r="M4417" i="6"/>
  <c r="M4418" i="6"/>
  <c r="M4419" i="6"/>
  <c r="M4420" i="6"/>
  <c r="M4421" i="6"/>
  <c r="M4422" i="6"/>
  <c r="M4423" i="6"/>
  <c r="M4424" i="6"/>
  <c r="M4425" i="6"/>
  <c r="M4426" i="6"/>
  <c r="M4427" i="6"/>
  <c r="M4428" i="6"/>
  <c r="M4429" i="6"/>
  <c r="M4430" i="6"/>
  <c r="M4431" i="6"/>
  <c r="M4432" i="6"/>
  <c r="M4433" i="6"/>
  <c r="M4434" i="6"/>
  <c r="M4435" i="6"/>
  <c r="M4436" i="6"/>
  <c r="M4437" i="6"/>
  <c r="M4438" i="6"/>
  <c r="M4439" i="6"/>
  <c r="M4440" i="6"/>
  <c r="M4441" i="6"/>
  <c r="M4442" i="6"/>
  <c r="M4443" i="6"/>
  <c r="M4444" i="6"/>
  <c r="M4445" i="6"/>
  <c r="M4446" i="6"/>
  <c r="M4447" i="6"/>
  <c r="M4448" i="6"/>
  <c r="M4449" i="6"/>
  <c r="M4450" i="6"/>
  <c r="M4451" i="6"/>
  <c r="M4452" i="6"/>
  <c r="M4453" i="6"/>
  <c r="M4454" i="6"/>
  <c r="M4455" i="6"/>
  <c r="M4456" i="6"/>
  <c r="M4457" i="6"/>
  <c r="M4458" i="6"/>
  <c r="M4459" i="6"/>
  <c r="M4460" i="6"/>
  <c r="M4461" i="6"/>
  <c r="M4462" i="6"/>
  <c r="M4463" i="6"/>
  <c r="M4464" i="6"/>
  <c r="M4465" i="6"/>
  <c r="M4466" i="6"/>
  <c r="M4467" i="6"/>
  <c r="M4468" i="6"/>
  <c r="M4469" i="6"/>
  <c r="M4470" i="6"/>
  <c r="M4471" i="6"/>
  <c r="M4472" i="6"/>
  <c r="M4473" i="6"/>
  <c r="M4474" i="6"/>
  <c r="M4475" i="6"/>
  <c r="M4476" i="6"/>
  <c r="M4477" i="6"/>
  <c r="M4478" i="6"/>
  <c r="M4479" i="6"/>
  <c r="M4480" i="6"/>
  <c r="M4481" i="6"/>
  <c r="M4482" i="6"/>
  <c r="M4483" i="6"/>
  <c r="M4484" i="6"/>
  <c r="M4485" i="6"/>
  <c r="M4486" i="6"/>
  <c r="M4487" i="6"/>
  <c r="M4488" i="6"/>
  <c r="M4489" i="6"/>
  <c r="M4490" i="6"/>
  <c r="M4491" i="6"/>
  <c r="M4492" i="6"/>
  <c r="M4493" i="6"/>
  <c r="M4494" i="6"/>
  <c r="M4495" i="6"/>
  <c r="M4496" i="6"/>
  <c r="M4497" i="6"/>
  <c r="M4498" i="6"/>
  <c r="M4499" i="6"/>
  <c r="M4500" i="6"/>
  <c r="M4501" i="6"/>
  <c r="M4502" i="6"/>
  <c r="M4503" i="6"/>
  <c r="M4504" i="6"/>
  <c r="M4505" i="6"/>
  <c r="M4506" i="6"/>
  <c r="M4507" i="6"/>
  <c r="M4508" i="6"/>
  <c r="M4509" i="6"/>
  <c r="M4510" i="6"/>
  <c r="M4511" i="6"/>
  <c r="M4512" i="6"/>
  <c r="M4513" i="6"/>
  <c r="M4514" i="6"/>
  <c r="M4515" i="6"/>
  <c r="M4516" i="6"/>
  <c r="M4517" i="6"/>
  <c r="M4518" i="6"/>
  <c r="M4519" i="6"/>
  <c r="M4520" i="6"/>
  <c r="M4521" i="6"/>
  <c r="M4522" i="6"/>
  <c r="M4523" i="6"/>
  <c r="M4524" i="6"/>
  <c r="M4525" i="6"/>
  <c r="M4526" i="6"/>
  <c r="M4527" i="6"/>
  <c r="M4528" i="6"/>
  <c r="M4529" i="6"/>
  <c r="M4530" i="6"/>
  <c r="M4531" i="6"/>
  <c r="M4532" i="6"/>
  <c r="M4533" i="6"/>
  <c r="M4534" i="6"/>
  <c r="M4535" i="6"/>
  <c r="M4536" i="6"/>
  <c r="M4537" i="6"/>
  <c r="M4538" i="6"/>
  <c r="M4539" i="6"/>
  <c r="M4540" i="6"/>
  <c r="M4541" i="6"/>
  <c r="M4542" i="6"/>
  <c r="M4543" i="6"/>
  <c r="M4544" i="6"/>
  <c r="M4545" i="6"/>
  <c r="M4546" i="6"/>
  <c r="M4547" i="6"/>
  <c r="M4548" i="6"/>
  <c r="M4549" i="6"/>
  <c r="M4550" i="6"/>
  <c r="M4551" i="6"/>
  <c r="M4552" i="6"/>
  <c r="M4553" i="6"/>
  <c r="M4554" i="6"/>
  <c r="M4555" i="6"/>
  <c r="M4556" i="6"/>
  <c r="M4557" i="6"/>
  <c r="M4558" i="6"/>
  <c r="M4559" i="6"/>
  <c r="M4560" i="6"/>
  <c r="M4561" i="6"/>
  <c r="M4562" i="6"/>
  <c r="M4563" i="6"/>
  <c r="M4564" i="6"/>
  <c r="M4565" i="6"/>
  <c r="M4566" i="6"/>
  <c r="M4567" i="6"/>
  <c r="M4568" i="6"/>
  <c r="M4569" i="6"/>
  <c r="M4570" i="6"/>
  <c r="M4571" i="6"/>
  <c r="M4572" i="6"/>
  <c r="M4573" i="6"/>
  <c r="M4574" i="6"/>
  <c r="M4575" i="6"/>
  <c r="M4576" i="6"/>
  <c r="M4577" i="6"/>
  <c r="M4578" i="6"/>
  <c r="M4579" i="6"/>
  <c r="M4580" i="6"/>
  <c r="M4581" i="6"/>
  <c r="M4582" i="6"/>
  <c r="M4583" i="6"/>
  <c r="M4584" i="6"/>
  <c r="M4585" i="6"/>
  <c r="M4586" i="6"/>
  <c r="M4587" i="6"/>
  <c r="M4588" i="6"/>
  <c r="M4589" i="6"/>
  <c r="M4590" i="6"/>
  <c r="M4591" i="6"/>
  <c r="M4592" i="6"/>
  <c r="M4593" i="6"/>
  <c r="M4594" i="6"/>
  <c r="M4595" i="6"/>
  <c r="M4596" i="6"/>
  <c r="M4597" i="6"/>
  <c r="M4598" i="6"/>
  <c r="M4599" i="6"/>
  <c r="M4600" i="6"/>
  <c r="M4601" i="6"/>
  <c r="M4602" i="6"/>
  <c r="M4603" i="6"/>
  <c r="M4604" i="6"/>
  <c r="M4605" i="6"/>
  <c r="M4606" i="6"/>
  <c r="M4607" i="6"/>
  <c r="M4608" i="6"/>
  <c r="M4609" i="6"/>
  <c r="M4610" i="6"/>
  <c r="M4611" i="6"/>
  <c r="M4612" i="6"/>
  <c r="M4613" i="6"/>
  <c r="M4614" i="6"/>
  <c r="M4615" i="6"/>
  <c r="M4616" i="6"/>
  <c r="M4617" i="6"/>
  <c r="M4618" i="6"/>
  <c r="M4619" i="6"/>
  <c r="M4620" i="6"/>
  <c r="M4621" i="6"/>
  <c r="M4622" i="6"/>
  <c r="M4623" i="6"/>
  <c r="M4624" i="6"/>
  <c r="M4625" i="6"/>
  <c r="M4626" i="6"/>
  <c r="M4627" i="6"/>
  <c r="M4628" i="6"/>
  <c r="M4629" i="6"/>
  <c r="M4630" i="6"/>
  <c r="M4631" i="6"/>
  <c r="M4632" i="6"/>
  <c r="M4633" i="6"/>
  <c r="M4634" i="6"/>
  <c r="M4635" i="6"/>
  <c r="M4636" i="6"/>
  <c r="M4637" i="6"/>
  <c r="M4638" i="6"/>
  <c r="M4639" i="6"/>
  <c r="M4640" i="6"/>
  <c r="M4641" i="6"/>
  <c r="M4642" i="6"/>
  <c r="M4643" i="6"/>
  <c r="M4644" i="6"/>
  <c r="M4645" i="6"/>
  <c r="M4646" i="6"/>
  <c r="M4647" i="6"/>
  <c r="M4648" i="6"/>
  <c r="M4649" i="6"/>
  <c r="M4650" i="6"/>
  <c r="M4651" i="6"/>
  <c r="M4652" i="6"/>
  <c r="M4653" i="6"/>
  <c r="M4654" i="6"/>
  <c r="M4655" i="6"/>
  <c r="M4656" i="6"/>
  <c r="M4657" i="6"/>
  <c r="M4658" i="6"/>
  <c r="M4659" i="6"/>
  <c r="M4660" i="6"/>
  <c r="M4661" i="6"/>
  <c r="M4662" i="6"/>
  <c r="M4663" i="6"/>
  <c r="M4664" i="6"/>
  <c r="M4665" i="6"/>
  <c r="M4666" i="6"/>
  <c r="M4667" i="6"/>
  <c r="M4668" i="6"/>
  <c r="M4669" i="6"/>
  <c r="M4670" i="6"/>
  <c r="M4671" i="6"/>
  <c r="M4672" i="6"/>
  <c r="M4673" i="6"/>
  <c r="M4674" i="6"/>
  <c r="M4675" i="6"/>
  <c r="M4676" i="6"/>
  <c r="M4677" i="6"/>
  <c r="M4678" i="6"/>
  <c r="M4679" i="6"/>
  <c r="M4680" i="6"/>
  <c r="M4681" i="6"/>
  <c r="M4682" i="6"/>
  <c r="M4683" i="6"/>
  <c r="M4684" i="6"/>
  <c r="M4685" i="6"/>
  <c r="M4686" i="6"/>
  <c r="M4687" i="6"/>
  <c r="M4688" i="6"/>
  <c r="M4689" i="6"/>
  <c r="M4690" i="6"/>
  <c r="M4691" i="6"/>
  <c r="M4692" i="6"/>
  <c r="M4693" i="6"/>
  <c r="M4694" i="6"/>
  <c r="M4695" i="6"/>
  <c r="M4696" i="6"/>
  <c r="M4697" i="6"/>
  <c r="M4698" i="6"/>
  <c r="M4699" i="6"/>
  <c r="M4700" i="6"/>
  <c r="M4701" i="6"/>
  <c r="M4702" i="6"/>
  <c r="M4703" i="6"/>
  <c r="M4704" i="6"/>
  <c r="M4705" i="6"/>
  <c r="M4706" i="6"/>
  <c r="M4707" i="6"/>
  <c r="M4708" i="6"/>
  <c r="M4709" i="6"/>
  <c r="M4710" i="6"/>
  <c r="M4711" i="6"/>
  <c r="M4712" i="6"/>
  <c r="M4713" i="6"/>
  <c r="M4714" i="6"/>
  <c r="M4715" i="6"/>
  <c r="M4716" i="6"/>
  <c r="M4717" i="6"/>
  <c r="M4718" i="6"/>
  <c r="M4719" i="6"/>
  <c r="M4720" i="6"/>
  <c r="M4721" i="6"/>
  <c r="M4722" i="6"/>
  <c r="M4723" i="6"/>
  <c r="M4724" i="6"/>
  <c r="M4725" i="6"/>
  <c r="M4726" i="6"/>
  <c r="M4727" i="6"/>
  <c r="M4728" i="6"/>
  <c r="M4729" i="6"/>
  <c r="M4730" i="6"/>
  <c r="M4731" i="6"/>
  <c r="M4732" i="6"/>
  <c r="M4733" i="6"/>
  <c r="M4734" i="6"/>
  <c r="M4735" i="6"/>
  <c r="M4736" i="6"/>
  <c r="M4737" i="6"/>
  <c r="M4738" i="6"/>
  <c r="M4739" i="6"/>
  <c r="M4740" i="6"/>
  <c r="M4741" i="6"/>
  <c r="M4742" i="6"/>
  <c r="M4743" i="6"/>
  <c r="M4744" i="6"/>
  <c r="M4745" i="6"/>
  <c r="M4746" i="6"/>
  <c r="M4747" i="6"/>
  <c r="M4748" i="6"/>
  <c r="M4749" i="6"/>
  <c r="M4750" i="6"/>
  <c r="M4751" i="6"/>
  <c r="M4752" i="6"/>
  <c r="M4753" i="6"/>
  <c r="M4754" i="6"/>
  <c r="M4755" i="6"/>
  <c r="M4756" i="6"/>
  <c r="M4757" i="6"/>
  <c r="M4758" i="6"/>
  <c r="M4759" i="6"/>
  <c r="M4760" i="6"/>
  <c r="M4761" i="6"/>
  <c r="M4762" i="6"/>
  <c r="M4763" i="6"/>
  <c r="M4764" i="6"/>
  <c r="I663" i="14"/>
  <c r="M4766" i="6"/>
  <c r="M4765" i="6"/>
  <c r="M4770" i="6"/>
  <c r="M4771" i="6"/>
  <c r="M4776" i="6"/>
  <c r="M4777" i="6"/>
  <c r="M4778" i="6"/>
  <c r="M4779" i="6"/>
  <c r="M4780" i="6"/>
  <c r="M4781" i="6"/>
  <c r="M4782" i="6"/>
  <c r="M4783" i="6"/>
  <c r="M4784" i="6"/>
  <c r="M4785" i="6"/>
  <c r="M4786" i="6"/>
  <c r="M4787" i="6"/>
  <c r="M4788" i="6"/>
  <c r="M4789" i="6"/>
  <c r="M4790" i="6"/>
  <c r="M4791" i="6"/>
  <c r="M4792" i="6"/>
  <c r="M4793" i="6"/>
  <c r="M4794" i="6"/>
  <c r="M4795" i="6"/>
  <c r="M4796" i="6"/>
  <c r="M4797" i="6"/>
  <c r="M4798" i="6"/>
  <c r="M4799" i="6"/>
  <c r="M4800" i="6"/>
  <c r="M4801" i="6"/>
  <c r="M4802" i="6"/>
  <c r="M4803" i="6"/>
  <c r="M4804" i="6"/>
  <c r="M4805" i="6"/>
  <c r="M4806" i="6"/>
  <c r="M4807" i="6"/>
  <c r="M4808" i="6"/>
  <c r="M4809" i="6"/>
  <c r="M4810" i="6"/>
  <c r="M4811" i="6"/>
  <c r="M4812" i="6"/>
  <c r="M4813" i="6"/>
  <c r="M4814" i="6"/>
  <c r="M4815" i="6"/>
  <c r="M4816" i="6"/>
  <c r="M4817" i="6"/>
  <c r="M4818" i="6"/>
  <c r="M4819" i="6"/>
  <c r="M4820" i="6"/>
  <c r="M4821" i="6"/>
  <c r="M4822" i="6"/>
  <c r="M4823" i="6"/>
  <c r="M4824" i="6"/>
  <c r="M4825" i="6"/>
  <c r="M4826" i="6"/>
  <c r="M4827" i="6"/>
  <c r="K4828" i="6"/>
  <c r="K4832" i="6"/>
  <c r="K4829" i="6"/>
  <c r="K4830" i="6"/>
  <c r="K4831" i="6"/>
  <c r="K4833" i="6"/>
  <c r="K4834" i="6"/>
  <c r="K4835" i="6"/>
  <c r="K4836" i="6"/>
  <c r="K4837" i="6"/>
  <c r="K2" i="6"/>
  <c r="M4832" i="6"/>
  <c r="M4829" i="6"/>
  <c r="M4831" i="6"/>
  <c r="M4833" i="6"/>
  <c r="M4835" i="6"/>
  <c r="M4837" i="6"/>
  <c r="M4828" i="6"/>
  <c r="M4834" i="6"/>
  <c r="M4838" i="6"/>
  <c r="M4839" i="6"/>
  <c r="M4840" i="6"/>
  <c r="M4841" i="6"/>
  <c r="M4842" i="6"/>
  <c r="M4843" i="6"/>
  <c r="M4844" i="6"/>
  <c r="M4845" i="6"/>
  <c r="M4846" i="6"/>
  <c r="M4847" i="6"/>
  <c r="M4848" i="6"/>
  <c r="M4849" i="6"/>
  <c r="M4850" i="6"/>
  <c r="M4851" i="6"/>
  <c r="M4852" i="6"/>
  <c r="M4853" i="6"/>
  <c r="M4854" i="6"/>
  <c r="M4855" i="6"/>
  <c r="M4856" i="6"/>
  <c r="M4857" i="6"/>
  <c r="M4858" i="6"/>
  <c r="M4859" i="6"/>
  <c r="M4860" i="6"/>
  <c r="M4861" i="6"/>
  <c r="M4862" i="6"/>
  <c r="M4863" i="6"/>
  <c r="M4864" i="6"/>
  <c r="M4865" i="6"/>
  <c r="M4866" i="6"/>
  <c r="M4867" i="6"/>
  <c r="M4868" i="6"/>
  <c r="M4869" i="6"/>
  <c r="M4870" i="6"/>
  <c r="M4871" i="6"/>
  <c r="M4872" i="6"/>
  <c r="M4873" i="6"/>
  <c r="M4874" i="6"/>
  <c r="M4875" i="6"/>
  <c r="M4876" i="6"/>
  <c r="M4877" i="6"/>
  <c r="M4878" i="6"/>
  <c r="M4879" i="6"/>
  <c r="M4880" i="6"/>
  <c r="M4881" i="6"/>
  <c r="M4882" i="6"/>
  <c r="M4883" i="6"/>
  <c r="M4884" i="6"/>
  <c r="M4885" i="6"/>
  <c r="M4886" i="6"/>
  <c r="M4887" i="6"/>
  <c r="M4888" i="6"/>
  <c r="M4889" i="6"/>
  <c r="M4890" i="6"/>
  <c r="M4891" i="6"/>
  <c r="M4892" i="6"/>
  <c r="M4893" i="6"/>
  <c r="M4894" i="6"/>
  <c r="M4895" i="6"/>
  <c r="M4896" i="6"/>
  <c r="M4897" i="6"/>
  <c r="M4898" i="6"/>
  <c r="M4899" i="6"/>
  <c r="M4900" i="6"/>
  <c r="M4901" i="6"/>
  <c r="M4902" i="6"/>
  <c r="M4903" i="6"/>
  <c r="M4904" i="6"/>
  <c r="M4905" i="6"/>
  <c r="M4906" i="6"/>
  <c r="M4907" i="6"/>
  <c r="M4908" i="6"/>
  <c r="M4909" i="6"/>
  <c r="M4910" i="6"/>
  <c r="M4911" i="6"/>
  <c r="M4912" i="6"/>
  <c r="M4913" i="6"/>
  <c r="M4914" i="6"/>
  <c r="M4915" i="6"/>
  <c r="M4916" i="6"/>
  <c r="M4917" i="6"/>
  <c r="M4918" i="6"/>
  <c r="M4919" i="6"/>
  <c r="M4920" i="6"/>
  <c r="M4921" i="6"/>
  <c r="M4922" i="6"/>
  <c r="M4923" i="6"/>
  <c r="M4924" i="6"/>
  <c r="M4925" i="6"/>
  <c r="M4926" i="6"/>
  <c r="M4927" i="6"/>
  <c r="M4928" i="6"/>
  <c r="M4929" i="6"/>
  <c r="M4930" i="6"/>
  <c r="M4931" i="6"/>
  <c r="M4932" i="6"/>
  <c r="M4933" i="6"/>
  <c r="M4934" i="6"/>
  <c r="M4935" i="6"/>
  <c r="M4936" i="6"/>
  <c r="M4937" i="6"/>
  <c r="M4938" i="6"/>
  <c r="M4939" i="6"/>
  <c r="M4940" i="6"/>
  <c r="M4941" i="6"/>
  <c r="M4942" i="6"/>
  <c r="M4943" i="6"/>
  <c r="M4944" i="6"/>
  <c r="M4945" i="6"/>
  <c r="M4946" i="6"/>
  <c r="M4947" i="6"/>
  <c r="M4948" i="6"/>
  <c r="M4949" i="6"/>
  <c r="M4950" i="6"/>
  <c r="M4951" i="6"/>
  <c r="M4952" i="6"/>
  <c r="M4953" i="6"/>
  <c r="M4954" i="6"/>
  <c r="M4955" i="6"/>
  <c r="M4956" i="6"/>
  <c r="M4957" i="6"/>
  <c r="M4958" i="6"/>
  <c r="M4959" i="6"/>
  <c r="M4960" i="6"/>
  <c r="M4961" i="6"/>
  <c r="M4962" i="6"/>
  <c r="M4963" i="6"/>
  <c r="M4964" i="6"/>
  <c r="M4965" i="6"/>
  <c r="M4966" i="6"/>
  <c r="M4967" i="6"/>
  <c r="M4968" i="6"/>
  <c r="M4969" i="6"/>
  <c r="M4970" i="6"/>
  <c r="M4971" i="6"/>
  <c r="M4972" i="6"/>
  <c r="M4973" i="6"/>
  <c r="M4974" i="6"/>
  <c r="M4975" i="6"/>
  <c r="M4976" i="6"/>
  <c r="M4977" i="6"/>
  <c r="M4978" i="6"/>
  <c r="M4979" i="6"/>
  <c r="M4980" i="6"/>
  <c r="M4981" i="6"/>
  <c r="M4982" i="6"/>
  <c r="M4983" i="6"/>
  <c r="M4984" i="6"/>
  <c r="M4985" i="6"/>
  <c r="M4986" i="6"/>
  <c r="M4987" i="6"/>
  <c r="M4988" i="6"/>
  <c r="M4989" i="6"/>
  <c r="M4990" i="6"/>
  <c r="M4991" i="6"/>
  <c r="M4992" i="6"/>
  <c r="M4993" i="6"/>
  <c r="M4994" i="6"/>
  <c r="M4995" i="6"/>
  <c r="M4996" i="6"/>
  <c r="M4997" i="6"/>
  <c r="M4998" i="6"/>
  <c r="M4999" i="6"/>
  <c r="M5000" i="6"/>
  <c r="M5001" i="6"/>
  <c r="M5002" i="6"/>
  <c r="M5003" i="6"/>
  <c r="M5004" i="6"/>
  <c r="M5005" i="6"/>
  <c r="M5006" i="6"/>
  <c r="M5007" i="6"/>
  <c r="M5008" i="6"/>
  <c r="M5009" i="6"/>
  <c r="M5010" i="6"/>
  <c r="M5011" i="6"/>
  <c r="M5012" i="6"/>
  <c r="M5013" i="6"/>
  <c r="M5014" i="6"/>
  <c r="M5015" i="6"/>
  <c r="M5016" i="6"/>
  <c r="M5017" i="6"/>
  <c r="M5018" i="6"/>
  <c r="M5019" i="6"/>
  <c r="M5020" i="6"/>
  <c r="M5021" i="6"/>
  <c r="M5022" i="6"/>
  <c r="M5023" i="6"/>
  <c r="M5024" i="6"/>
  <c r="M5025" i="6"/>
  <c r="M5026" i="6"/>
  <c r="M5027" i="6"/>
  <c r="M5028" i="6"/>
  <c r="M5029" i="6"/>
  <c r="M5030" i="6"/>
  <c r="M5031" i="6"/>
  <c r="M5032" i="6"/>
  <c r="M5033" i="6"/>
  <c r="M5034" i="6"/>
  <c r="M5035" i="6"/>
  <c r="M5036" i="6"/>
  <c r="M5037" i="6"/>
  <c r="M5038" i="6"/>
  <c r="M5039" i="6"/>
  <c r="M5040" i="6"/>
  <c r="M5041" i="6"/>
  <c r="M5042" i="6"/>
  <c r="M5043" i="6"/>
  <c r="M5044" i="6"/>
  <c r="M5045" i="6"/>
  <c r="M5046" i="6"/>
  <c r="M5047" i="6"/>
  <c r="M5048" i="6"/>
  <c r="M5049" i="6"/>
  <c r="M5050" i="6"/>
  <c r="M5051" i="6"/>
  <c r="M5052" i="6"/>
  <c r="M5053" i="6"/>
  <c r="M5054" i="6"/>
  <c r="M5055" i="6"/>
  <c r="M5056" i="6"/>
  <c r="M5057" i="6"/>
  <c r="M5058" i="6"/>
  <c r="M5059" i="6"/>
  <c r="M5060" i="6"/>
  <c r="M5061" i="6"/>
  <c r="M5062" i="6"/>
  <c r="M5063" i="6"/>
  <c r="M5064" i="6"/>
  <c r="M5065" i="6"/>
  <c r="M5066" i="6"/>
  <c r="M5067" i="6"/>
  <c r="M5068" i="6"/>
  <c r="M5069" i="6"/>
  <c r="M5070" i="6"/>
  <c r="M5071" i="6"/>
  <c r="M5072" i="6"/>
  <c r="M5073" i="6"/>
  <c r="M5074" i="6"/>
  <c r="M5075" i="6"/>
  <c r="M5076" i="6"/>
  <c r="M5077" i="6"/>
  <c r="M5078" i="6"/>
  <c r="M5079" i="6"/>
  <c r="M5080" i="6"/>
  <c r="M5081" i="6"/>
  <c r="M5082" i="6"/>
  <c r="M5083" i="6"/>
  <c r="M5084" i="6"/>
  <c r="M5085" i="6"/>
  <c r="M5086" i="6"/>
  <c r="M5087" i="6"/>
  <c r="M5088" i="6"/>
  <c r="M5089" i="6"/>
  <c r="M5090" i="6"/>
  <c r="M5091" i="6"/>
  <c r="M5092" i="6"/>
  <c r="M5093" i="6"/>
  <c r="M5094" i="6"/>
  <c r="M5095" i="6"/>
  <c r="M5096" i="6"/>
  <c r="M5097" i="6"/>
  <c r="M5098" i="6"/>
  <c r="M5099" i="6"/>
  <c r="M5100" i="6"/>
  <c r="M5101" i="6"/>
  <c r="M5102" i="6"/>
  <c r="M5103" i="6"/>
  <c r="M5104" i="6"/>
  <c r="M5105" i="6"/>
  <c r="M5106" i="6"/>
  <c r="M5107" i="6"/>
  <c r="M5108" i="6"/>
  <c r="M5109" i="6"/>
  <c r="M5110" i="6"/>
  <c r="M5111" i="6"/>
  <c r="M5112" i="6"/>
  <c r="M5113" i="6"/>
  <c r="M5114" i="6"/>
  <c r="M5115" i="6"/>
  <c r="M5116" i="6"/>
  <c r="M5117" i="6"/>
  <c r="M5118" i="6"/>
  <c r="M5119" i="6"/>
  <c r="M5120" i="6"/>
  <c r="M5121" i="6"/>
  <c r="M5122" i="6"/>
  <c r="M5123" i="6"/>
  <c r="M5124" i="6"/>
  <c r="M5125" i="6"/>
  <c r="M5126" i="6"/>
  <c r="M5127" i="6"/>
  <c r="M5128" i="6"/>
  <c r="M5129" i="6"/>
  <c r="M5130" i="6"/>
  <c r="M5131" i="6"/>
  <c r="M5132" i="6"/>
  <c r="M5133" i="6"/>
  <c r="M5134" i="6"/>
  <c r="M5135" i="6"/>
  <c r="M5136" i="6"/>
  <c r="M5137" i="6"/>
  <c r="M5138" i="6"/>
  <c r="M5139" i="6"/>
  <c r="M5140" i="6"/>
  <c r="M5141" i="6"/>
  <c r="M5142" i="6"/>
  <c r="M5143" i="6"/>
  <c r="M5144" i="6"/>
  <c r="M5145" i="6"/>
  <c r="M5146" i="6"/>
  <c r="M5147" i="6"/>
  <c r="M5148" i="6"/>
  <c r="M5149" i="6"/>
  <c r="M5150" i="6"/>
  <c r="M5151" i="6"/>
  <c r="M5152" i="6"/>
  <c r="M5153" i="6"/>
  <c r="M5154" i="6"/>
  <c r="M5155" i="6"/>
  <c r="M5156" i="6"/>
  <c r="M5157" i="6"/>
  <c r="M5158" i="6"/>
  <c r="M5159" i="6"/>
  <c r="M5160" i="6"/>
  <c r="M5161" i="6"/>
  <c r="M5162" i="6"/>
  <c r="M5163" i="6"/>
  <c r="M5164" i="6"/>
  <c r="M5165" i="6"/>
  <c r="M5166" i="6"/>
  <c r="M5167" i="6"/>
  <c r="I707" i="14"/>
  <c r="M5172" i="6"/>
  <c r="M5173" i="6"/>
  <c r="M5174" i="6"/>
  <c r="M5175" i="6"/>
  <c r="M5176" i="6"/>
  <c r="M5177" i="6"/>
  <c r="M5178" i="6"/>
  <c r="M5179" i="6"/>
  <c r="M5180" i="6"/>
  <c r="M5181" i="6"/>
  <c r="M5182" i="6"/>
  <c r="M5183" i="6"/>
  <c r="M5184" i="6"/>
  <c r="M5185" i="6"/>
  <c r="M5186" i="6"/>
  <c r="M5187" i="6"/>
  <c r="M5188" i="6"/>
  <c r="M5189" i="6"/>
  <c r="M5190" i="6"/>
  <c r="M5191" i="6"/>
  <c r="M5192" i="6"/>
  <c r="M5193" i="6"/>
  <c r="M5194" i="6"/>
  <c r="M5195" i="6"/>
  <c r="M5196" i="6"/>
  <c r="M5197" i="6"/>
  <c r="M5198" i="6"/>
  <c r="M5199" i="6"/>
  <c r="M5200" i="6"/>
  <c r="M5201" i="6"/>
  <c r="M5202" i="6"/>
  <c r="M5203" i="6"/>
  <c r="M5204" i="6"/>
  <c r="M5205" i="6"/>
  <c r="M5206" i="6"/>
  <c r="M5207" i="6"/>
  <c r="M5208" i="6"/>
  <c r="M5209" i="6"/>
  <c r="M5210" i="6"/>
  <c r="M5211" i="6"/>
  <c r="M5212" i="6"/>
  <c r="M5213" i="6"/>
  <c r="M5214" i="6"/>
  <c r="M5215" i="6"/>
  <c r="M5216" i="6"/>
  <c r="M5217" i="6"/>
  <c r="M5218" i="6"/>
  <c r="M5219" i="6"/>
  <c r="M5220" i="6"/>
  <c r="M5221" i="6"/>
  <c r="M5222" i="6"/>
  <c r="M5223" i="6"/>
  <c r="M5224" i="6"/>
  <c r="M5225" i="6"/>
  <c r="M5226" i="6"/>
  <c r="M5227" i="6"/>
  <c r="M5228" i="6"/>
  <c r="M5229" i="6"/>
  <c r="M5230" i="6"/>
  <c r="M5231" i="6"/>
  <c r="M5232" i="6"/>
  <c r="M5233" i="6"/>
  <c r="M5234" i="6"/>
  <c r="M5235" i="6"/>
  <c r="M5236" i="6"/>
  <c r="M5237" i="6"/>
  <c r="M5238" i="6"/>
  <c r="M5239" i="6"/>
  <c r="M5240" i="6"/>
  <c r="M5241" i="6"/>
  <c r="M5242" i="6"/>
  <c r="M5243" i="6"/>
  <c r="M5244" i="6"/>
  <c r="M5245" i="6"/>
  <c r="M5246" i="6"/>
  <c r="M5247" i="6"/>
  <c r="M5248" i="6"/>
  <c r="M5249" i="6"/>
  <c r="M5250" i="6"/>
  <c r="M5251" i="6"/>
  <c r="M5252" i="6"/>
  <c r="M5253" i="6"/>
  <c r="M5254" i="6"/>
  <c r="M5255" i="6"/>
  <c r="M5256" i="6"/>
  <c r="M5257" i="6"/>
  <c r="M5258" i="6"/>
  <c r="M5259" i="6"/>
  <c r="M5260" i="6"/>
  <c r="M5261" i="6"/>
  <c r="M5262" i="6"/>
  <c r="M5263" i="6"/>
  <c r="M5264" i="6"/>
  <c r="M5265" i="6"/>
  <c r="M5266" i="6"/>
  <c r="M5267" i="6"/>
  <c r="M5268" i="6"/>
  <c r="M5269" i="6"/>
  <c r="M5270" i="6"/>
  <c r="M5271" i="6"/>
  <c r="M5272" i="6"/>
  <c r="M5273" i="6"/>
  <c r="M5274" i="6"/>
  <c r="M5275" i="6"/>
  <c r="M5276" i="6"/>
  <c r="M5277" i="6"/>
  <c r="M5278" i="6"/>
  <c r="M5279" i="6"/>
  <c r="M5280" i="6"/>
  <c r="M5281" i="6"/>
  <c r="M5282" i="6"/>
  <c r="M5283" i="6"/>
  <c r="M5284" i="6"/>
  <c r="M5285" i="6"/>
  <c r="M5286" i="6"/>
  <c r="M5287" i="6"/>
  <c r="M5288" i="6"/>
  <c r="M5289" i="6"/>
  <c r="M5290" i="6"/>
  <c r="M5291" i="6"/>
  <c r="M5292" i="6"/>
  <c r="M5293" i="6"/>
  <c r="M5294" i="6"/>
  <c r="M5295" i="6"/>
  <c r="M5296" i="6"/>
  <c r="M5297" i="6"/>
  <c r="M5298" i="6"/>
  <c r="M5299" i="6"/>
  <c r="M5300" i="6"/>
  <c r="M5301" i="6"/>
  <c r="M5302" i="6"/>
  <c r="M5303" i="6"/>
  <c r="M5304" i="6"/>
  <c r="M5305" i="6"/>
  <c r="M5306" i="6"/>
  <c r="M5307" i="6"/>
  <c r="M5308" i="6"/>
  <c r="M5309" i="6"/>
  <c r="M5310" i="6"/>
  <c r="M5311" i="6"/>
  <c r="M5312" i="6"/>
  <c r="M5313" i="6"/>
  <c r="M5314" i="6"/>
  <c r="M5315" i="6"/>
  <c r="M5316" i="6"/>
  <c r="M5317" i="6"/>
  <c r="M5318" i="6"/>
  <c r="M5319" i="6"/>
  <c r="M5320" i="6"/>
  <c r="M5321" i="6"/>
  <c r="M5322" i="6"/>
  <c r="M5323" i="6"/>
  <c r="M5324" i="6"/>
  <c r="M5325" i="6"/>
  <c r="M5326" i="6"/>
  <c r="M5327" i="6"/>
  <c r="M5328" i="6"/>
  <c r="M5329" i="6"/>
  <c r="M5330" i="6"/>
  <c r="M5331" i="6"/>
  <c r="M5332" i="6"/>
  <c r="M5333" i="6"/>
  <c r="M5334" i="6"/>
  <c r="M5335" i="6"/>
  <c r="M5336" i="6"/>
  <c r="M5337" i="6"/>
  <c r="M5338" i="6"/>
  <c r="M5339" i="6"/>
  <c r="M5340" i="6"/>
  <c r="M5341" i="6"/>
  <c r="M5342" i="6"/>
  <c r="M5343" i="6"/>
  <c r="M5344" i="6"/>
  <c r="M5345" i="6"/>
  <c r="M5346" i="6"/>
  <c r="M5347" i="6"/>
  <c r="M5348" i="6"/>
  <c r="M5349" i="6"/>
  <c r="M5350" i="6"/>
  <c r="M5351" i="6"/>
  <c r="M5352" i="6"/>
  <c r="M5353" i="6"/>
  <c r="M5354" i="6"/>
  <c r="M5355" i="6"/>
  <c r="M5356" i="6"/>
  <c r="M5357" i="6"/>
  <c r="M5358" i="6"/>
  <c r="M5359" i="6"/>
  <c r="M5360" i="6"/>
  <c r="M5361" i="6"/>
  <c r="M5362" i="6"/>
  <c r="M5363" i="6"/>
  <c r="M5364" i="6"/>
  <c r="M5365" i="6"/>
  <c r="M5366" i="6"/>
  <c r="M5367" i="6"/>
  <c r="M5368" i="6"/>
  <c r="M5369" i="6"/>
  <c r="M5370" i="6"/>
  <c r="M5371" i="6"/>
  <c r="M5372" i="6"/>
  <c r="M5373" i="6"/>
  <c r="M5374" i="6"/>
  <c r="M5375" i="6"/>
  <c r="M5376" i="6"/>
  <c r="M5377" i="6"/>
  <c r="M5378" i="6"/>
  <c r="M5379" i="6"/>
  <c r="M5380" i="6"/>
  <c r="M5381" i="6"/>
  <c r="M5382" i="6"/>
  <c r="M5383" i="6"/>
  <c r="M5384" i="6"/>
  <c r="M5385" i="6"/>
  <c r="M5386" i="6"/>
  <c r="M5387" i="6"/>
  <c r="M5388" i="6"/>
  <c r="M5389" i="6"/>
  <c r="M5390" i="6"/>
  <c r="M5391" i="6"/>
  <c r="M5392" i="6"/>
  <c r="M5393" i="6"/>
  <c r="M5394" i="6"/>
  <c r="M5395" i="6"/>
  <c r="M5396" i="6"/>
  <c r="M5397" i="6"/>
  <c r="M5398" i="6"/>
  <c r="M5399" i="6"/>
  <c r="M5400" i="6"/>
  <c r="M5401" i="6"/>
  <c r="M5402" i="6"/>
  <c r="M5403" i="6"/>
  <c r="M5404" i="6"/>
  <c r="M5405" i="6"/>
  <c r="M5406" i="6"/>
  <c r="M5407" i="6"/>
  <c r="M5408" i="6"/>
  <c r="M5409" i="6"/>
  <c r="M5410" i="6"/>
  <c r="M5411" i="6"/>
  <c r="M5412" i="6"/>
  <c r="M5413" i="6"/>
  <c r="M5414" i="6"/>
  <c r="M5415" i="6"/>
  <c r="M5416" i="6"/>
  <c r="M5417" i="6"/>
  <c r="M5418" i="6"/>
  <c r="M5419" i="6"/>
  <c r="M5420" i="6"/>
  <c r="M5421" i="6"/>
  <c r="M5422" i="6"/>
  <c r="M5423" i="6"/>
  <c r="M5424" i="6"/>
  <c r="M5425" i="6"/>
  <c r="M5426" i="6"/>
  <c r="M5427" i="6"/>
  <c r="M5428" i="6"/>
  <c r="M5429" i="6"/>
  <c r="M5430" i="6"/>
  <c r="M5431" i="6"/>
  <c r="M5432" i="6"/>
  <c r="M5433" i="6"/>
  <c r="M5434" i="6"/>
  <c r="M5435" i="6"/>
  <c r="M5436" i="6"/>
  <c r="M5437" i="6"/>
  <c r="M5438" i="6"/>
  <c r="M5439" i="6"/>
  <c r="M5440" i="6"/>
  <c r="M5441" i="6"/>
  <c r="M5442" i="6"/>
  <c r="M5443" i="6"/>
  <c r="M5444" i="6"/>
  <c r="M5445" i="6"/>
  <c r="M5446" i="6"/>
  <c r="M5447" i="6"/>
  <c r="M5448" i="6"/>
  <c r="M5449" i="6"/>
  <c r="M5450" i="6"/>
  <c r="M5451" i="6"/>
  <c r="M5452" i="6"/>
  <c r="M5453" i="6"/>
  <c r="M5454" i="6"/>
  <c r="M5455" i="6"/>
  <c r="M5456" i="6"/>
  <c r="M5457" i="6"/>
  <c r="M5458" i="6"/>
  <c r="M5459" i="6"/>
  <c r="M5460" i="6"/>
  <c r="M5461" i="6"/>
  <c r="M5462" i="6"/>
  <c r="M5463" i="6"/>
  <c r="M5464" i="6"/>
  <c r="M5465" i="6"/>
  <c r="M5466" i="6"/>
  <c r="M5467" i="6"/>
  <c r="M5468" i="6"/>
  <c r="M5469" i="6"/>
  <c r="M5470" i="6"/>
  <c r="M5471" i="6"/>
  <c r="M5472" i="6"/>
  <c r="M5473" i="6"/>
  <c r="M5474" i="6"/>
  <c r="M5475" i="6"/>
  <c r="M5476" i="6"/>
  <c r="M5477" i="6"/>
  <c r="M5478" i="6"/>
  <c r="M5479" i="6"/>
  <c r="M5480" i="6"/>
  <c r="M5481" i="6"/>
  <c r="M5482" i="6"/>
  <c r="M5483" i="6"/>
  <c r="M5484" i="6"/>
  <c r="M5485" i="6"/>
  <c r="M5486" i="6"/>
  <c r="M5487" i="6"/>
  <c r="M5488" i="6"/>
  <c r="M5489" i="6"/>
  <c r="M5490" i="6"/>
  <c r="M5491" i="6"/>
  <c r="M5492" i="6"/>
  <c r="M5493" i="6"/>
  <c r="M5494" i="6"/>
  <c r="M5495" i="6"/>
  <c r="M5496" i="6"/>
  <c r="M5497" i="6"/>
  <c r="M5498" i="6"/>
  <c r="M5499" i="6"/>
  <c r="M5500" i="6"/>
  <c r="I755" i="14"/>
  <c r="M5503" i="6"/>
  <c r="M5501" i="6"/>
  <c r="M5502" i="6"/>
  <c r="M5506" i="6"/>
  <c r="M5507" i="6"/>
  <c r="M5508" i="6"/>
  <c r="M5510" i="6"/>
  <c r="M5511" i="6"/>
  <c r="M5512" i="6"/>
  <c r="M5513" i="6"/>
  <c r="M5514" i="6"/>
  <c r="M5515" i="6"/>
  <c r="M5516" i="6"/>
  <c r="M5517" i="6"/>
  <c r="M5518" i="6"/>
  <c r="M5519" i="6"/>
  <c r="M5520" i="6"/>
  <c r="M5521" i="6"/>
  <c r="M5522" i="6"/>
  <c r="M5523" i="6"/>
  <c r="M5524" i="6"/>
  <c r="M5525" i="6"/>
  <c r="M5526" i="6"/>
  <c r="M5527" i="6"/>
  <c r="M5528" i="6"/>
  <c r="M5529" i="6"/>
  <c r="M5530" i="6"/>
  <c r="M5531" i="6"/>
  <c r="M5532" i="6"/>
  <c r="M5533" i="6"/>
  <c r="M5534" i="6"/>
  <c r="M5535" i="6"/>
  <c r="M5536" i="6"/>
  <c r="M5537" i="6"/>
  <c r="M5538" i="6"/>
  <c r="M5539" i="6"/>
  <c r="M5540" i="6"/>
  <c r="M5541" i="6"/>
  <c r="M5542" i="6"/>
  <c r="M5543" i="6"/>
  <c r="M5544" i="6"/>
  <c r="M5545" i="6"/>
  <c r="M5546" i="6"/>
  <c r="M5547" i="6"/>
  <c r="M5548" i="6"/>
  <c r="M5549" i="6"/>
  <c r="M5550" i="6"/>
  <c r="M5551" i="6"/>
  <c r="M5552" i="6"/>
  <c r="M5553" i="6"/>
  <c r="M5554" i="6"/>
  <c r="M5555" i="6"/>
  <c r="M5556" i="6"/>
  <c r="M5557" i="6"/>
  <c r="M5558" i="6"/>
  <c r="M5559" i="6"/>
  <c r="M5560" i="6"/>
  <c r="M5561" i="6"/>
  <c r="M5562" i="6"/>
  <c r="M5563" i="6"/>
  <c r="M5564" i="6"/>
  <c r="M5565" i="6"/>
  <c r="M5566" i="6"/>
  <c r="M5567" i="6"/>
  <c r="M5568" i="6"/>
  <c r="M5569" i="6"/>
  <c r="M5570" i="6"/>
  <c r="M5571" i="6"/>
  <c r="M5572" i="6"/>
  <c r="M5573" i="6"/>
  <c r="M5574" i="6"/>
  <c r="M5575" i="6"/>
  <c r="M5576" i="6"/>
  <c r="M5577" i="6"/>
  <c r="M5578" i="6"/>
  <c r="M5579" i="6"/>
  <c r="M5580" i="6"/>
  <c r="M5581" i="6"/>
  <c r="M5582" i="6"/>
  <c r="M5583" i="6"/>
  <c r="I770" i="14"/>
  <c r="M5586" i="6"/>
  <c r="M5584" i="6"/>
  <c r="M5585" i="6"/>
  <c r="M5589" i="6"/>
  <c r="M5590" i="6"/>
  <c r="M5591" i="6"/>
  <c r="M5595" i="6"/>
  <c r="M5596" i="6"/>
  <c r="M5597" i="6"/>
  <c r="M5598" i="6"/>
  <c r="M5599" i="6"/>
  <c r="M5600" i="6"/>
  <c r="M5601" i="6"/>
  <c r="M5602" i="6"/>
  <c r="M5603" i="6"/>
  <c r="M5604" i="6"/>
  <c r="M5605" i="6"/>
  <c r="M5606" i="6"/>
  <c r="M5607" i="6"/>
  <c r="M5608" i="6"/>
  <c r="M5609" i="6"/>
  <c r="M5610" i="6"/>
  <c r="M5611" i="6"/>
  <c r="M5612" i="6"/>
  <c r="M5613" i="6"/>
  <c r="M5614" i="6"/>
  <c r="M5615" i="6"/>
  <c r="M5616" i="6"/>
  <c r="M5617" i="6"/>
  <c r="M5618" i="6"/>
  <c r="M5619" i="6"/>
  <c r="M5620" i="6"/>
  <c r="M5621" i="6"/>
  <c r="M5622" i="6"/>
  <c r="M5623" i="6"/>
  <c r="M5624" i="6"/>
  <c r="M5625" i="6"/>
  <c r="M5626" i="6"/>
  <c r="M5627" i="6"/>
  <c r="M5628" i="6"/>
  <c r="M5629" i="6"/>
  <c r="M5630" i="6"/>
  <c r="M5631" i="6"/>
  <c r="M5632" i="6"/>
  <c r="M5633" i="6"/>
  <c r="M5634" i="6"/>
  <c r="M5635" i="6"/>
  <c r="M5636" i="6"/>
  <c r="M5637" i="6"/>
  <c r="M5638" i="6"/>
  <c r="M5639" i="6"/>
  <c r="M5640" i="6"/>
  <c r="M5641" i="6"/>
  <c r="M5642" i="6"/>
  <c r="M5643" i="6"/>
  <c r="M5644" i="6"/>
  <c r="M5645" i="6"/>
  <c r="M5646" i="6"/>
  <c r="M5647" i="6"/>
  <c r="M5648" i="6"/>
  <c r="M5649" i="6"/>
  <c r="M5650" i="6"/>
  <c r="M5651" i="6"/>
  <c r="M5652" i="6"/>
  <c r="M5653" i="6"/>
  <c r="M5654" i="6"/>
  <c r="M5655" i="6"/>
  <c r="M5656" i="6"/>
  <c r="M5657" i="6"/>
  <c r="M5658" i="6"/>
  <c r="M5659" i="6"/>
  <c r="M5660" i="6"/>
  <c r="M5661" i="6"/>
  <c r="M5662" i="6"/>
  <c r="M5663" i="6"/>
  <c r="M5664" i="6"/>
  <c r="M5665" i="6"/>
  <c r="M5666" i="6"/>
  <c r="M5667" i="6"/>
  <c r="M5668" i="6"/>
  <c r="M5669" i="6"/>
  <c r="M5670" i="6"/>
  <c r="M5671" i="6"/>
  <c r="M5672" i="6"/>
  <c r="M5673" i="6"/>
  <c r="M5674" i="6"/>
  <c r="M5675" i="6"/>
  <c r="M5676" i="6"/>
  <c r="M5677" i="6"/>
  <c r="M5678" i="6"/>
  <c r="M5679" i="6"/>
  <c r="M5680" i="6"/>
  <c r="M5681" i="6"/>
  <c r="M5682" i="6"/>
  <c r="M5683" i="6"/>
  <c r="M5684" i="6"/>
  <c r="M5685" i="6"/>
  <c r="M5686" i="6"/>
  <c r="M5687" i="6"/>
  <c r="M5688" i="6"/>
  <c r="M5689" i="6"/>
  <c r="M5690" i="6"/>
  <c r="M5691" i="6"/>
  <c r="M5692" i="6"/>
  <c r="M5693" i="6"/>
  <c r="M5694" i="6"/>
  <c r="M5695" i="6"/>
  <c r="M5696" i="6"/>
  <c r="M5697" i="6"/>
  <c r="M5698" i="6"/>
  <c r="M5699" i="6"/>
  <c r="M5700" i="6"/>
  <c r="M5701" i="6"/>
  <c r="M5702" i="6"/>
  <c r="M5703" i="6"/>
  <c r="M5704" i="6"/>
  <c r="M5705" i="6"/>
  <c r="M5706" i="6"/>
  <c r="M5707" i="6"/>
  <c r="M5708" i="6"/>
  <c r="M5709" i="6"/>
  <c r="M5710" i="6"/>
  <c r="M5711" i="6"/>
  <c r="M5712" i="6"/>
  <c r="M5713" i="6"/>
  <c r="M5714" i="6"/>
  <c r="M5715" i="6"/>
  <c r="M5716" i="6"/>
  <c r="M5717" i="6"/>
  <c r="M5718" i="6"/>
  <c r="M5719" i="6"/>
  <c r="M5720" i="6"/>
  <c r="M5721" i="6"/>
  <c r="M5722" i="6"/>
  <c r="M5723" i="6"/>
  <c r="M5724" i="6"/>
  <c r="M5725" i="6"/>
  <c r="M5726" i="6"/>
  <c r="M5727" i="6"/>
  <c r="M5728" i="6"/>
  <c r="M5729" i="6"/>
  <c r="M5730" i="6"/>
  <c r="M5731" i="6"/>
  <c r="M5732" i="6"/>
  <c r="M5733" i="6"/>
  <c r="M5734" i="6"/>
  <c r="M5735" i="6"/>
  <c r="M5736" i="6"/>
  <c r="M5737" i="6"/>
  <c r="M5738" i="6"/>
  <c r="M5739" i="6"/>
  <c r="M5740" i="6"/>
  <c r="M5741" i="6"/>
  <c r="M5742" i="6"/>
  <c r="M5743" i="6"/>
  <c r="M5744" i="6"/>
  <c r="M5745" i="6"/>
  <c r="M5746" i="6"/>
  <c r="M5747" i="6"/>
  <c r="M5748" i="6"/>
  <c r="M5749" i="6"/>
  <c r="M5750" i="6"/>
  <c r="M5751" i="6"/>
  <c r="M5752" i="6"/>
  <c r="M5753" i="6"/>
  <c r="M5754" i="6"/>
  <c r="M5755" i="6"/>
  <c r="M5756" i="6"/>
  <c r="M5757" i="6"/>
  <c r="M5758" i="6"/>
  <c r="M5759" i="6"/>
  <c r="M5760" i="6"/>
  <c r="M5761" i="6"/>
  <c r="M5762" i="6"/>
  <c r="M5763" i="6"/>
  <c r="M5764" i="6"/>
  <c r="M5765" i="6"/>
  <c r="M5766" i="6"/>
  <c r="M5767" i="6"/>
  <c r="M5768" i="6"/>
  <c r="M5769" i="6"/>
  <c r="M5770" i="6"/>
  <c r="M5771" i="6"/>
  <c r="M5772" i="6"/>
  <c r="M5773" i="6"/>
  <c r="M5774" i="6"/>
  <c r="M5775" i="6"/>
  <c r="M5776" i="6"/>
  <c r="M5777" i="6"/>
  <c r="M5778" i="6"/>
  <c r="M5779" i="6"/>
  <c r="M5780" i="6"/>
  <c r="M5781" i="6"/>
  <c r="M5782" i="6"/>
  <c r="M5783" i="6"/>
  <c r="M5784" i="6"/>
  <c r="M5785" i="6"/>
  <c r="M5786" i="6"/>
  <c r="M5787" i="6"/>
  <c r="M5788" i="6"/>
  <c r="M5789" i="6"/>
  <c r="M5790" i="6"/>
  <c r="M5791" i="6"/>
  <c r="M5792" i="6"/>
  <c r="M5793" i="6"/>
  <c r="M5794" i="6"/>
  <c r="M5795" i="6"/>
  <c r="M5796" i="6"/>
  <c r="M5797" i="6"/>
  <c r="M5798" i="6"/>
  <c r="M5799" i="6"/>
  <c r="M5800" i="6"/>
  <c r="M5801" i="6"/>
  <c r="M5802" i="6"/>
  <c r="M5803" i="6"/>
  <c r="M5804" i="6"/>
  <c r="M5805" i="6"/>
  <c r="M5806" i="6"/>
  <c r="M5807" i="6"/>
  <c r="M5808" i="6"/>
  <c r="M5809" i="6"/>
  <c r="M5810" i="6"/>
  <c r="M5811" i="6"/>
  <c r="M5812" i="6"/>
  <c r="M5813" i="6"/>
  <c r="M5814" i="6"/>
  <c r="M5815" i="6"/>
  <c r="M5816" i="6"/>
  <c r="M5817" i="6"/>
  <c r="M5818" i="6"/>
  <c r="M5819" i="6"/>
  <c r="M5820" i="6"/>
  <c r="M5821" i="6"/>
  <c r="M5822" i="6"/>
  <c r="M5823" i="6"/>
  <c r="M5824" i="6"/>
  <c r="M5825" i="6"/>
  <c r="M5826" i="6"/>
  <c r="M5827" i="6"/>
  <c r="M5828" i="6"/>
  <c r="M5829" i="6"/>
  <c r="M5830" i="6"/>
  <c r="M5831" i="6"/>
  <c r="M5832" i="6"/>
  <c r="M5833" i="6"/>
  <c r="M5834" i="6"/>
  <c r="M5835" i="6"/>
  <c r="M5836" i="6"/>
  <c r="M5837" i="6"/>
  <c r="M5838" i="6"/>
  <c r="M5839" i="6"/>
  <c r="M5840" i="6"/>
  <c r="M5841" i="6"/>
  <c r="M5842" i="6"/>
  <c r="M5843" i="6"/>
  <c r="M5844" i="6"/>
  <c r="M5845" i="6"/>
  <c r="M5846" i="6"/>
  <c r="M5847" i="6"/>
  <c r="M5848" i="6"/>
  <c r="M5849" i="6"/>
  <c r="M5850" i="6"/>
  <c r="M5851" i="6"/>
  <c r="M5852" i="6"/>
  <c r="M5853" i="6"/>
  <c r="M5854" i="6"/>
  <c r="M5855" i="6"/>
  <c r="M5856" i="6"/>
  <c r="M5857" i="6"/>
  <c r="M5858" i="6"/>
  <c r="M5859" i="6"/>
  <c r="M5860" i="6"/>
  <c r="M5861" i="6"/>
  <c r="M5862" i="6"/>
  <c r="M5863" i="6"/>
  <c r="M5864" i="6"/>
  <c r="M5865" i="6"/>
  <c r="M5866" i="6"/>
  <c r="M5867" i="6"/>
  <c r="M5868" i="6"/>
  <c r="M5869" i="6"/>
  <c r="M5870" i="6"/>
  <c r="M5871" i="6"/>
  <c r="M5872" i="6"/>
  <c r="M5873" i="6"/>
  <c r="M5874" i="6"/>
  <c r="M5875" i="6"/>
  <c r="M5876" i="6"/>
  <c r="M5877" i="6"/>
  <c r="M5878" i="6"/>
  <c r="M5879" i="6"/>
  <c r="M5880" i="6"/>
  <c r="M5881" i="6"/>
  <c r="M5882" i="6"/>
  <c r="M5883" i="6"/>
  <c r="M5884" i="6"/>
  <c r="M5885" i="6"/>
  <c r="M5886" i="6"/>
  <c r="M5887" i="6"/>
  <c r="M5888" i="6"/>
  <c r="M5889" i="6"/>
  <c r="M5890" i="6"/>
  <c r="M5891" i="6"/>
  <c r="M5892" i="6"/>
  <c r="M5893" i="6"/>
  <c r="M5894" i="6"/>
  <c r="M5895" i="6"/>
  <c r="M6337" i="6"/>
  <c r="M6338" i="6"/>
  <c r="M6339" i="6"/>
  <c r="M6340" i="6"/>
  <c r="M6341" i="6"/>
  <c r="M6342" i="6"/>
  <c r="M6343" i="6"/>
  <c r="J542" i="14"/>
  <c r="N3849" i="6" s="1"/>
  <c r="L542" i="14"/>
  <c r="J588" i="14"/>
  <c r="N4175" i="6" s="1"/>
  <c r="L588" i="14"/>
  <c r="J636" i="14"/>
  <c r="N4547" i="6" s="1"/>
  <c r="L636" i="14"/>
  <c r="H636" i="14"/>
  <c r="O4547" i="6"/>
  <c r="J648" i="14"/>
  <c r="N4684" i="6" s="1"/>
  <c r="L648" i="14"/>
  <c r="H648" i="14"/>
  <c r="O4684" i="6"/>
  <c r="J3" i="14"/>
  <c r="N6" i="6" s="1"/>
  <c r="L3" i="14"/>
  <c r="O7" i="6"/>
  <c r="O5" i="6"/>
  <c r="O6" i="6"/>
  <c r="J4" i="14"/>
  <c r="N13" i="6" s="1"/>
  <c r="L4" i="14"/>
  <c r="O11" i="6"/>
  <c r="O17" i="6"/>
  <c r="J5" i="14"/>
  <c r="N20" i="6" s="1"/>
  <c r="L5" i="14"/>
  <c r="O19" i="6"/>
  <c r="O24" i="6"/>
  <c r="O26" i="6"/>
  <c r="J6" i="14"/>
  <c r="N30" i="6" s="1"/>
  <c r="O29" i="6"/>
  <c r="O30" i="6"/>
  <c r="O31" i="6"/>
  <c r="O32" i="6"/>
  <c r="O33" i="6"/>
  <c r="O34" i="6"/>
  <c r="O35" i="6"/>
  <c r="O36" i="6"/>
  <c r="O37" i="6"/>
  <c r="O38" i="6"/>
  <c r="O39" i="6"/>
  <c r="O40" i="6"/>
  <c r="J7" i="14"/>
  <c r="N42" i="6" s="1"/>
  <c r="O41" i="6"/>
  <c r="O42" i="6"/>
  <c r="O43" i="6"/>
  <c r="O44" i="6"/>
  <c r="O45" i="6"/>
  <c r="O46" i="6"/>
  <c r="O47" i="6"/>
  <c r="O48" i="6"/>
  <c r="O49" i="6"/>
  <c r="O50" i="6"/>
  <c r="O51" i="6"/>
  <c r="J8" i="14"/>
  <c r="N52" i="6" s="1"/>
  <c r="O52" i="6"/>
  <c r="O53" i="6"/>
  <c r="O54" i="6"/>
  <c r="O55" i="6"/>
  <c r="O56" i="6"/>
  <c r="O57" i="6"/>
  <c r="O58" i="6"/>
  <c r="O59" i="6"/>
  <c r="O60" i="6"/>
  <c r="J9" i="14"/>
  <c r="N61" i="6" s="1"/>
  <c r="O61" i="6"/>
  <c r="O62" i="6"/>
  <c r="O63" i="6"/>
  <c r="O64" i="6"/>
  <c r="O65" i="6"/>
  <c r="O66" i="6"/>
  <c r="O67" i="6"/>
  <c r="O68" i="6"/>
  <c r="O69" i="6"/>
  <c r="J10" i="14"/>
  <c r="N71" i="6" s="1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J12" i="14"/>
  <c r="N86" i="6" s="1"/>
  <c r="O84" i="6"/>
  <c r="O85" i="6"/>
  <c r="O86" i="6"/>
  <c r="O87" i="6"/>
  <c r="O88" i="6"/>
  <c r="O89" i="6"/>
  <c r="O90" i="6"/>
  <c r="O91" i="6"/>
  <c r="O92" i="6"/>
  <c r="O93" i="6"/>
  <c r="J13" i="14"/>
  <c r="N101" i="6" s="1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J14" i="14"/>
  <c r="N110" i="6" s="1"/>
  <c r="O110" i="6"/>
  <c r="J15" i="14"/>
  <c r="N111" i="6" s="1"/>
  <c r="O111" i="6"/>
  <c r="J16" i="14"/>
  <c r="N127" i="6" s="1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K17" i="14"/>
  <c r="J17" i="14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K18" i="14"/>
  <c r="J18" i="14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J19" i="14"/>
  <c r="N173" i="6" s="1"/>
  <c r="O172" i="6"/>
  <c r="O173" i="6"/>
  <c r="J20" i="14"/>
  <c r="N175" i="6" s="1"/>
  <c r="O174" i="6"/>
  <c r="O175" i="6"/>
  <c r="O176" i="6"/>
  <c r="O177" i="6"/>
  <c r="O178" i="6"/>
  <c r="O179" i="6"/>
  <c r="O180" i="6"/>
  <c r="O181" i="6"/>
  <c r="O182" i="6"/>
  <c r="O183" i="6"/>
  <c r="K21" i="14"/>
  <c r="J21" i="14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K22" i="14"/>
  <c r="J22" i="14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K23" i="14"/>
  <c r="J23" i="14"/>
  <c r="K24" i="14"/>
  <c r="J24" i="14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K25" i="14"/>
  <c r="J25" i="14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K26" i="14"/>
  <c r="J26" i="14"/>
  <c r="J27" i="14"/>
  <c r="N293" i="6" s="1"/>
  <c r="L27" i="14"/>
  <c r="O295" i="6"/>
  <c r="O292" i="6"/>
  <c r="O293" i="6"/>
  <c r="O294" i="6"/>
  <c r="O296" i="6"/>
  <c r="O298" i="6"/>
  <c r="J29" i="14"/>
  <c r="N299" i="6" s="1"/>
  <c r="L29" i="14"/>
  <c r="O306" i="6"/>
  <c r="J28" i="14"/>
  <c r="N310" i="6" s="1"/>
  <c r="L28" i="14"/>
  <c r="O310" i="6"/>
  <c r="J30" i="14"/>
  <c r="N313" i="6" s="1"/>
  <c r="L30" i="14"/>
  <c r="O314" i="6"/>
  <c r="O319" i="6"/>
  <c r="J31" i="14"/>
  <c r="N332" i="6" s="1"/>
  <c r="L31" i="14"/>
  <c r="O321" i="6"/>
  <c r="O325" i="6"/>
  <c r="O322" i="6"/>
  <c r="O323" i="6"/>
  <c r="O324" i="6"/>
  <c r="O326" i="6"/>
  <c r="O327" i="6"/>
  <c r="O329" i="6"/>
  <c r="O330" i="6"/>
  <c r="O332" i="6"/>
  <c r="O333" i="6"/>
  <c r="O334" i="6"/>
  <c r="O336" i="6"/>
  <c r="J32" i="14"/>
  <c r="N341" i="6" s="1"/>
  <c r="O337" i="6"/>
  <c r="O338" i="6"/>
  <c r="O339" i="6"/>
  <c r="O340" i="6"/>
  <c r="O341" i="6"/>
  <c r="O342" i="6"/>
  <c r="O343" i="6"/>
  <c r="J33" i="14"/>
  <c r="N344" i="6" s="1"/>
  <c r="L33" i="14"/>
  <c r="O347" i="6"/>
  <c r="J34" i="14"/>
  <c r="N354" i="6" s="1"/>
  <c r="L34" i="14"/>
  <c r="O355" i="6"/>
  <c r="K35" i="14"/>
  <c r="J35" i="14"/>
  <c r="N361" i="6" s="1"/>
  <c r="O360" i="6"/>
  <c r="O361" i="6"/>
  <c r="O362" i="6"/>
  <c r="O363" i="6"/>
  <c r="O364" i="6"/>
  <c r="O365" i="6"/>
  <c r="O366" i="6"/>
  <c r="O367" i="6"/>
  <c r="O368" i="6"/>
  <c r="K36" i="14"/>
  <c r="L36" i="14"/>
  <c r="J36" i="14"/>
  <c r="J37" i="14"/>
  <c r="N370" i="6" s="1"/>
  <c r="L37" i="14"/>
  <c r="O370" i="6"/>
  <c r="J38" i="14"/>
  <c r="L38" i="14"/>
  <c r="O374" i="6"/>
  <c r="J39" i="14"/>
  <c r="N380" i="6" s="1"/>
  <c r="L39" i="14"/>
  <c r="O381" i="6"/>
  <c r="O384" i="6"/>
  <c r="O390" i="6"/>
  <c r="K40" i="14"/>
  <c r="J40" i="14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J41" i="14"/>
  <c r="N420" i="6" s="1"/>
  <c r="L41" i="14"/>
  <c r="O425" i="6"/>
  <c r="O424" i="6"/>
  <c r="O429" i="6"/>
  <c r="O434" i="6"/>
  <c r="O435" i="6"/>
  <c r="J42" i="14"/>
  <c r="L42" i="14"/>
  <c r="O440" i="6"/>
  <c r="O437" i="6"/>
  <c r="O438" i="6"/>
  <c r="O439" i="6"/>
  <c r="O441" i="6"/>
  <c r="O443" i="6"/>
  <c r="O444" i="6"/>
  <c r="O445" i="6"/>
  <c r="J43" i="14"/>
  <c r="N448" i="6" s="1"/>
  <c r="O448" i="6"/>
  <c r="J44" i="14"/>
  <c r="N449" i="6" s="1"/>
  <c r="L44" i="14"/>
  <c r="O449" i="6"/>
  <c r="O453" i="6"/>
  <c r="O452" i="6"/>
  <c r="O454" i="6"/>
  <c r="O455" i="6"/>
  <c r="O460" i="6"/>
  <c r="J45" i="14"/>
  <c r="N461" i="6" s="1"/>
  <c r="L45" i="14"/>
  <c r="O461" i="6"/>
  <c r="J46" i="14"/>
  <c r="N463" i="6" s="1"/>
  <c r="L46" i="14"/>
  <c r="O463" i="6"/>
  <c r="J47" i="14"/>
  <c r="N465" i="6" s="1"/>
  <c r="L47" i="14"/>
  <c r="O466" i="6"/>
  <c r="K48" i="14"/>
  <c r="J48" i="14"/>
  <c r="J49" i="14"/>
  <c r="N471" i="6" s="1"/>
  <c r="L49" i="14"/>
  <c r="O471" i="6"/>
  <c r="J50" i="14"/>
  <c r="N473" i="6" s="1"/>
  <c r="L50" i="14"/>
  <c r="O474" i="6"/>
  <c r="J51" i="14"/>
  <c r="N476" i="6" s="1"/>
  <c r="L51" i="14"/>
  <c r="O476" i="6"/>
  <c r="J52" i="14"/>
  <c r="N479" i="6" s="1"/>
  <c r="L52" i="14"/>
  <c r="O481" i="6"/>
  <c r="O477" i="6"/>
  <c r="O479" i="6"/>
  <c r="O480" i="6"/>
  <c r="O483" i="6"/>
  <c r="J53" i="14"/>
  <c r="N485" i="6" s="1"/>
  <c r="L53" i="14"/>
  <c r="O491" i="6"/>
  <c r="J54" i="14"/>
  <c r="N494" i="6" s="1"/>
  <c r="L54" i="14"/>
  <c r="O492" i="6"/>
  <c r="K55" i="14"/>
  <c r="L55" i="14"/>
  <c r="O500" i="6"/>
  <c r="J55" i="14"/>
  <c r="J56" i="14"/>
  <c r="L56" i="14"/>
  <c r="O502" i="6"/>
  <c r="O503" i="6"/>
  <c r="J57" i="14"/>
  <c r="N504" i="6" s="1"/>
  <c r="L57" i="14"/>
  <c r="O504" i="6"/>
  <c r="K58" i="14"/>
  <c r="J58" i="14"/>
  <c r="O505" i="6"/>
  <c r="O506" i="6"/>
  <c r="K59" i="14"/>
  <c r="J59" i="14"/>
  <c r="O507" i="6"/>
  <c r="O508" i="6"/>
  <c r="O509" i="6"/>
  <c r="J60" i="14"/>
  <c r="N510" i="6" s="1"/>
  <c r="L60" i="14"/>
  <c r="O510" i="6"/>
  <c r="J61" i="14"/>
  <c r="N511" i="6" s="1"/>
  <c r="L61" i="14"/>
  <c r="O511" i="6"/>
  <c r="J62" i="14"/>
  <c r="N512" i="6" s="1"/>
  <c r="L62" i="14"/>
  <c r="O512" i="6"/>
  <c r="J63" i="14"/>
  <c r="N514" i="6" s="1"/>
  <c r="L63" i="14"/>
  <c r="O514" i="6"/>
  <c r="J64" i="14"/>
  <c r="N516" i="6" s="1"/>
  <c r="L64" i="14"/>
  <c r="O516" i="6"/>
  <c r="K65" i="14"/>
  <c r="J65" i="14"/>
  <c r="N517" i="6" s="1"/>
  <c r="L65" i="14"/>
  <c r="O519" i="6"/>
  <c r="J66" i="14"/>
  <c r="N521" i="6" s="1"/>
  <c r="O520" i="6"/>
  <c r="O521" i="6"/>
  <c r="O522" i="6"/>
  <c r="J67" i="14"/>
  <c r="N523" i="6" s="1"/>
  <c r="L67" i="14"/>
  <c r="O523" i="6"/>
  <c r="O526" i="6"/>
  <c r="O528" i="6"/>
  <c r="O532" i="6"/>
  <c r="O534" i="6"/>
  <c r="O538" i="6"/>
  <c r="J68" i="14"/>
  <c r="N541" i="6" s="1"/>
  <c r="L68" i="14"/>
  <c r="O541" i="6"/>
  <c r="O540" i="6"/>
  <c r="O542" i="6"/>
  <c r="O544" i="6"/>
  <c r="O545" i="6"/>
  <c r="O546" i="6"/>
  <c r="O547" i="6"/>
  <c r="O550" i="6"/>
  <c r="O551" i="6"/>
  <c r="O552" i="6"/>
  <c r="O553" i="6"/>
  <c r="O554" i="6"/>
  <c r="J69" i="14"/>
  <c r="L69" i="14"/>
  <c r="O575" i="6"/>
  <c r="J70" i="14"/>
  <c r="N581" i="6" s="1"/>
  <c r="L70" i="14"/>
  <c r="O578" i="6"/>
  <c r="O577" i="6"/>
  <c r="O579" i="6"/>
  <c r="O581" i="6"/>
  <c r="O582" i="6"/>
  <c r="O583" i="6"/>
  <c r="O584" i="6"/>
  <c r="O587" i="6"/>
  <c r="O588" i="6"/>
  <c r="O589" i="6"/>
  <c r="O590" i="6"/>
  <c r="O591" i="6"/>
  <c r="J71" i="14"/>
  <c r="N592" i="6" s="1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J72" i="14"/>
  <c r="N627" i="6" s="1"/>
  <c r="L72" i="14"/>
  <c r="J73" i="14"/>
  <c r="N639" i="6" s="1"/>
  <c r="O639" i="6"/>
  <c r="J74" i="14"/>
  <c r="N640" i="6" s="1"/>
  <c r="O640" i="6"/>
  <c r="O641" i="6"/>
  <c r="O642" i="6"/>
  <c r="J75" i="14"/>
  <c r="N658" i="6" s="1"/>
  <c r="L75" i="14"/>
  <c r="O649" i="6"/>
  <c r="O643" i="6"/>
  <c r="J76" i="14"/>
  <c r="N660" i="6" s="1"/>
  <c r="L76" i="14"/>
  <c r="O668" i="6"/>
  <c r="J77" i="14"/>
  <c r="N672" i="6" s="1"/>
  <c r="L77" i="14"/>
  <c r="O672" i="6"/>
  <c r="J78" i="14"/>
  <c r="N675" i="6" s="1"/>
  <c r="L78" i="14"/>
  <c r="O674" i="6"/>
  <c r="J79" i="14"/>
  <c r="N678" i="6" s="1"/>
  <c r="L79" i="14"/>
  <c r="O678" i="6"/>
  <c r="J80" i="14"/>
  <c r="N679" i="6" s="1"/>
  <c r="L80" i="14"/>
  <c r="O680" i="6"/>
  <c r="K81" i="14"/>
  <c r="L81" i="14"/>
  <c r="O682" i="6"/>
  <c r="J81" i="14"/>
  <c r="N681" i="6" s="1"/>
  <c r="K82" i="14"/>
  <c r="L82" i="14"/>
  <c r="O683" i="6"/>
  <c r="J82" i="14"/>
  <c r="J83" i="14"/>
  <c r="N684" i="6" s="1"/>
  <c r="L83" i="14"/>
  <c r="O697" i="6"/>
  <c r="J84" i="14"/>
  <c r="N700" i="6" s="1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K85" i="14"/>
  <c r="J85" i="14"/>
  <c r="J86" i="14"/>
  <c r="N786" i="6" s="1"/>
  <c r="L86" i="14"/>
  <c r="O786" i="6"/>
  <c r="J87" i="14"/>
  <c r="N787" i="6" s="1"/>
  <c r="L87" i="14"/>
  <c r="O787" i="6"/>
  <c r="J88" i="14"/>
  <c r="N788" i="6" s="1"/>
  <c r="L88" i="14"/>
  <c r="O788" i="6"/>
  <c r="J89" i="14"/>
  <c r="N790" i="6" s="1"/>
  <c r="L89" i="14"/>
  <c r="O790" i="6"/>
  <c r="J90" i="14"/>
  <c r="N791" i="6" s="1"/>
  <c r="L90" i="14"/>
  <c r="O791" i="6"/>
  <c r="J91" i="14"/>
  <c r="N793" i="6" s="1"/>
  <c r="L91" i="14"/>
  <c r="O794" i="6"/>
  <c r="O793" i="6"/>
  <c r="J92" i="14"/>
  <c r="N795" i="6" s="1"/>
  <c r="L92" i="14"/>
  <c r="O809" i="6"/>
  <c r="O800" i="6"/>
  <c r="O802" i="6"/>
  <c r="O808" i="6"/>
  <c r="J93" i="14"/>
  <c r="N811" i="6" s="1"/>
  <c r="O810" i="6"/>
  <c r="O811" i="6"/>
  <c r="O812" i="6"/>
  <c r="J94" i="14"/>
  <c r="N815" i="6" s="1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J95" i="14"/>
  <c r="N838" i="6" s="1"/>
  <c r="L95" i="14"/>
  <c r="O837" i="6"/>
  <c r="J96" i="14"/>
  <c r="N840" i="6" s="1"/>
  <c r="L96" i="14"/>
  <c r="O840" i="6"/>
  <c r="J97" i="14"/>
  <c r="N845" i="6" s="1"/>
  <c r="L97" i="14"/>
  <c r="O842" i="6"/>
  <c r="J98" i="14"/>
  <c r="N846" i="6" s="1"/>
  <c r="L98" i="14"/>
  <c r="O846" i="6"/>
  <c r="J99" i="14"/>
  <c r="N849" i="6" s="1"/>
  <c r="O848" i="6"/>
  <c r="O849" i="6"/>
  <c r="O850" i="6"/>
  <c r="O851" i="6"/>
  <c r="O852" i="6"/>
  <c r="J100" i="14"/>
  <c r="N857" i="6" s="1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J101" i="14"/>
  <c r="N871" i="6" s="1"/>
  <c r="L101" i="14"/>
  <c r="O874" i="6"/>
  <c r="O873" i="6"/>
  <c r="O881" i="6"/>
  <c r="J102" i="14"/>
  <c r="N882" i="6" s="1"/>
  <c r="L102" i="14"/>
  <c r="O882" i="6"/>
  <c r="O886" i="6"/>
  <c r="O888" i="6"/>
  <c r="O893" i="6"/>
  <c r="O895" i="6"/>
  <c r="O900" i="6"/>
  <c r="O902" i="6"/>
  <c r="J103" i="14"/>
  <c r="N904" i="6" s="1"/>
  <c r="L103" i="14"/>
  <c r="O904" i="6"/>
  <c r="K104" i="14"/>
  <c r="L104" i="14"/>
  <c r="O943" i="6"/>
  <c r="J104" i="14"/>
  <c r="K105" i="14"/>
  <c r="J105" i="14"/>
  <c r="J106" i="14"/>
  <c r="N908" i="6" s="1"/>
  <c r="L106" i="14"/>
  <c r="O908" i="6"/>
  <c r="J107" i="14"/>
  <c r="N910" i="6" s="1"/>
  <c r="L107" i="14"/>
  <c r="O911" i="6"/>
  <c r="J108" i="14"/>
  <c r="N912" i="6" s="1"/>
  <c r="L108" i="14"/>
  <c r="O912" i="6"/>
  <c r="J109" i="14"/>
  <c r="N913" i="6" s="1"/>
  <c r="L109" i="14"/>
  <c r="O913" i="6"/>
  <c r="J110" i="14"/>
  <c r="N914" i="6" s="1"/>
  <c r="L110" i="14"/>
  <c r="O914" i="6"/>
  <c r="J111" i="14"/>
  <c r="N917" i="6" s="1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J112" i="14"/>
  <c r="N932" i="6" s="1"/>
  <c r="L112" i="14"/>
  <c r="O933" i="6"/>
  <c r="J113" i="14"/>
  <c r="N934" i="6" s="1"/>
  <c r="L113" i="14"/>
  <c r="O935" i="6"/>
  <c r="J114" i="14"/>
  <c r="N936" i="6" s="1"/>
  <c r="L114" i="14"/>
  <c r="O936" i="6"/>
  <c r="J115" i="14"/>
  <c r="N940" i="6" s="1"/>
  <c r="L115" i="14"/>
  <c r="O939" i="6"/>
  <c r="J116" i="14"/>
  <c r="N942" i="6" s="1"/>
  <c r="L116" i="14"/>
  <c r="O942" i="6"/>
  <c r="J118" i="14"/>
  <c r="N947" i="6" s="1"/>
  <c r="L118" i="14"/>
  <c r="O946" i="6"/>
  <c r="O945" i="6"/>
  <c r="O949" i="6"/>
  <c r="O950" i="6"/>
  <c r="O951" i="6"/>
  <c r="J119" i="14"/>
  <c r="N956" i="6" s="1"/>
  <c r="O955" i="6"/>
  <c r="O956" i="6"/>
  <c r="O957" i="6"/>
  <c r="O958" i="6"/>
  <c r="O959" i="6"/>
  <c r="O960" i="6"/>
  <c r="O961" i="6"/>
  <c r="O962" i="6"/>
  <c r="O963" i="6"/>
  <c r="O964" i="6"/>
  <c r="J120" i="14"/>
  <c r="H120" i="14" s="1"/>
  <c r="L120" i="14"/>
  <c r="J121" i="14"/>
  <c r="N979" i="6" s="1"/>
  <c r="L121" i="14"/>
  <c r="O979" i="6"/>
  <c r="K122" i="14"/>
  <c r="J122" i="14"/>
  <c r="L122" i="14"/>
  <c r="O980" i="6"/>
  <c r="K123" i="14"/>
  <c r="L123" i="14"/>
  <c r="O984" i="6"/>
  <c r="J123" i="14"/>
  <c r="O983" i="6"/>
  <c r="J125" i="14"/>
  <c r="N988" i="6" s="1"/>
  <c r="L125" i="14"/>
  <c r="O985" i="6"/>
  <c r="J124" i="14"/>
  <c r="N986" i="6" s="1"/>
  <c r="L124" i="14"/>
  <c r="O986" i="6"/>
  <c r="J126" i="14"/>
  <c r="N990" i="6" s="1"/>
  <c r="L126" i="14"/>
  <c r="O990" i="6"/>
  <c r="O989" i="6"/>
  <c r="J127" i="14"/>
  <c r="N999" i="6" s="1"/>
  <c r="L127" i="14"/>
  <c r="O999" i="6"/>
  <c r="L128" i="14"/>
  <c r="H128" i="14"/>
  <c r="J129" i="14"/>
  <c r="N1020" i="6" s="1"/>
  <c r="L129" i="14"/>
  <c r="H129" i="14"/>
  <c r="O1019" i="6"/>
  <c r="O1020" i="6"/>
  <c r="O1025" i="6"/>
  <c r="O1027" i="6"/>
  <c r="J117" i="14"/>
  <c r="N1036" i="6" s="1"/>
  <c r="L117" i="14"/>
  <c r="J130" i="14"/>
  <c r="N1058" i="6" s="1"/>
  <c r="O1056" i="6"/>
  <c r="O1057" i="6"/>
  <c r="O1058" i="6"/>
  <c r="K131" i="14"/>
  <c r="J131" i="14"/>
  <c r="N1059" i="6" s="1"/>
  <c r="O1059" i="6"/>
  <c r="O1060" i="6"/>
  <c r="O1061" i="6"/>
  <c r="O1062" i="6"/>
  <c r="O1063" i="6"/>
  <c r="O1064" i="6"/>
  <c r="O1065" i="6"/>
  <c r="O1066" i="6"/>
  <c r="O1067" i="6"/>
  <c r="O1068" i="6"/>
  <c r="J132" i="14"/>
  <c r="N1069" i="6" s="1"/>
  <c r="L132" i="14"/>
  <c r="O1070" i="6"/>
  <c r="O1082" i="6"/>
  <c r="J133" i="14"/>
  <c r="N1083" i="6" s="1"/>
  <c r="L133" i="14"/>
  <c r="O1083" i="6"/>
  <c r="J134" i="14"/>
  <c r="N1085" i="6" s="1"/>
  <c r="L134" i="14"/>
  <c r="O1085" i="6"/>
  <c r="J135" i="14"/>
  <c r="N1086" i="6" s="1"/>
  <c r="L135" i="14"/>
  <c r="J136" i="14"/>
  <c r="N1088" i="6" s="1"/>
  <c r="L136" i="14"/>
  <c r="O1089" i="6"/>
  <c r="J137" i="14"/>
  <c r="N1094" i="6" s="1"/>
  <c r="L137" i="14"/>
  <c r="O1094" i="6"/>
  <c r="J138" i="14"/>
  <c r="N1096" i="6" s="1"/>
  <c r="L138" i="14"/>
  <c r="O1096" i="6"/>
  <c r="J139" i="14"/>
  <c r="L139" i="14"/>
  <c r="O1098" i="6"/>
  <c r="O1097" i="6"/>
  <c r="J140" i="14"/>
  <c r="N1105" i="6" s="1"/>
  <c r="L140" i="14"/>
  <c r="H140" i="14"/>
  <c r="O1102" i="6"/>
  <c r="O1107" i="6"/>
  <c r="J141" i="14"/>
  <c r="O1111" i="6"/>
  <c r="O1112" i="6"/>
  <c r="O1113" i="6"/>
  <c r="O1114" i="6"/>
  <c r="L142" i="14"/>
  <c r="L143" i="14"/>
  <c r="J144" i="14"/>
  <c r="N1146" i="6" s="1"/>
  <c r="L144" i="14"/>
  <c r="J145" i="14"/>
  <c r="N1147" i="6" s="1"/>
  <c r="L145" i="14"/>
  <c r="O1147" i="6"/>
  <c r="J146" i="14"/>
  <c r="N1148" i="6" s="1"/>
  <c r="L146" i="14"/>
  <c r="O1148" i="6"/>
  <c r="J147" i="14"/>
  <c r="L147" i="14"/>
  <c r="O1150" i="6"/>
  <c r="K148" i="14"/>
  <c r="L148" i="14"/>
  <c r="J148" i="14"/>
  <c r="N1152" i="6" s="1"/>
  <c r="O1152" i="6"/>
  <c r="K149" i="14"/>
  <c r="L149" i="14"/>
  <c r="O1154" i="6"/>
  <c r="J149" i="14"/>
  <c r="J150" i="14"/>
  <c r="N1157" i="6" s="1"/>
  <c r="L150" i="14"/>
  <c r="J151" i="14"/>
  <c r="H151" i="14" s="1"/>
  <c r="L151" i="14"/>
  <c r="J152" i="14"/>
  <c r="N1172" i="6" s="1"/>
  <c r="L152" i="14"/>
  <c r="O1173" i="6"/>
  <c r="J153" i="14"/>
  <c r="N1175" i="6" s="1"/>
  <c r="O1175" i="6"/>
  <c r="O1176" i="6"/>
  <c r="O1177" i="6"/>
  <c r="O1178" i="6"/>
  <c r="O1179" i="6"/>
  <c r="J154" i="14"/>
  <c r="N1181" i="6" s="1"/>
  <c r="L154" i="14"/>
  <c r="J155" i="14"/>
  <c r="N1182" i="6" s="1"/>
  <c r="L155" i="14"/>
  <c r="O1186" i="6"/>
  <c r="O1185" i="6"/>
  <c r="O1182" i="6"/>
  <c r="O1184" i="6"/>
  <c r="O1188" i="6"/>
  <c r="J156" i="14"/>
  <c r="N1192" i="6" s="1"/>
  <c r="L156" i="14"/>
  <c r="O1190" i="6"/>
  <c r="K157" i="14"/>
  <c r="J157" i="14"/>
  <c r="L157" i="14"/>
  <c r="O1194" i="6"/>
  <c r="K158" i="14"/>
  <c r="L158" i="14"/>
  <c r="O1200" i="6"/>
  <c r="J158" i="14"/>
  <c r="L159" i="14"/>
  <c r="H159" i="14"/>
  <c r="O1212" i="6"/>
  <c r="J160" i="14"/>
  <c r="N1216" i="6" s="1"/>
  <c r="L160" i="14"/>
  <c r="J161" i="14"/>
  <c r="N1219" i="6" s="1"/>
  <c r="O1218" i="6"/>
  <c r="O1219" i="6"/>
  <c r="K162" i="14"/>
  <c r="L162" i="14"/>
  <c r="O1222" i="6"/>
  <c r="J162" i="14"/>
  <c r="J163" i="14"/>
  <c r="N1227" i="6" s="1"/>
  <c r="L163" i="14"/>
  <c r="J164" i="14"/>
  <c r="L164" i="14"/>
  <c r="O1230" i="6"/>
  <c r="J165" i="14"/>
  <c r="N1235" i="6" s="1"/>
  <c r="L165" i="14"/>
  <c r="O1232" i="6"/>
  <c r="K166" i="14"/>
  <c r="J166" i="14"/>
  <c r="O1236" i="6"/>
  <c r="O1237" i="6"/>
  <c r="O1238" i="6"/>
  <c r="K167" i="14"/>
  <c r="J167" i="14"/>
  <c r="O1239" i="6"/>
  <c r="L168" i="14"/>
  <c r="L169" i="14"/>
  <c r="L170" i="14"/>
  <c r="L171" i="14"/>
  <c r="J172" i="14"/>
  <c r="N1311" i="6" s="1"/>
  <c r="O1306" i="6"/>
  <c r="O1307" i="6"/>
  <c r="O1308" i="6"/>
  <c r="O1309" i="6"/>
  <c r="O1310" i="6"/>
  <c r="O1311" i="6"/>
  <c r="O1312" i="6"/>
  <c r="O1313" i="6"/>
  <c r="O1314" i="6"/>
  <c r="O1315" i="6"/>
  <c r="J173" i="14"/>
  <c r="N1317" i="6" s="1"/>
  <c r="O1316" i="6"/>
  <c r="O1317" i="6"/>
  <c r="J174" i="14"/>
  <c r="N1318" i="6" s="1"/>
  <c r="L174" i="14"/>
  <c r="O1318" i="6"/>
  <c r="J175" i="14"/>
  <c r="N1319" i="6" s="1"/>
  <c r="L175" i="14"/>
  <c r="O1319" i="6"/>
  <c r="J176" i="14"/>
  <c r="N1320" i="6" s="1"/>
  <c r="L176" i="14"/>
  <c r="H176" i="14"/>
  <c r="J177" i="14"/>
  <c r="N1330" i="6" s="1"/>
  <c r="L177" i="14"/>
  <c r="O1328" i="6"/>
  <c r="J178" i="14"/>
  <c r="L178" i="14"/>
  <c r="O1336" i="6"/>
  <c r="J179" i="14"/>
  <c r="N1337" i="6" s="1"/>
  <c r="L179" i="14"/>
  <c r="O1337" i="6"/>
  <c r="J180" i="14"/>
  <c r="N1339" i="6" s="1"/>
  <c r="L180" i="14"/>
  <c r="O1340" i="6"/>
  <c r="O1339" i="6"/>
  <c r="J181" i="14"/>
  <c r="N1343" i="6" s="1"/>
  <c r="L181" i="14"/>
  <c r="O1342" i="6"/>
  <c r="J182" i="14"/>
  <c r="N1344" i="6" s="1"/>
  <c r="L182" i="14"/>
  <c r="O1344" i="6"/>
  <c r="J183" i="14"/>
  <c r="N1345" i="6" s="1"/>
  <c r="L183" i="14"/>
  <c r="O1346" i="6"/>
  <c r="L184" i="14"/>
  <c r="O1348" i="6"/>
  <c r="O1350" i="6"/>
  <c r="O1354" i="6"/>
  <c r="O1355" i="6"/>
  <c r="O1360" i="6"/>
  <c r="L185" i="14"/>
  <c r="L186" i="14"/>
  <c r="J187" i="14"/>
  <c r="N1403" i="6" s="1"/>
  <c r="L187" i="14"/>
  <c r="O1403" i="6"/>
  <c r="J188" i="14"/>
  <c r="O1406" i="6"/>
  <c r="O1407" i="6"/>
  <c r="K189" i="14"/>
  <c r="J189" i="14"/>
  <c r="O1408" i="6"/>
  <c r="O1409" i="6"/>
  <c r="J190" i="14"/>
  <c r="N1410" i="6" s="1"/>
  <c r="O1410" i="6"/>
  <c r="J191" i="14"/>
  <c r="N1411" i="6" s="1"/>
  <c r="L191" i="14"/>
  <c r="O1412" i="6"/>
  <c r="J192" i="14"/>
  <c r="N1413" i="6" s="1"/>
  <c r="L192" i="14"/>
  <c r="O1414" i="6"/>
  <c r="J193" i="14"/>
  <c r="N1417" i="6" s="1"/>
  <c r="L193" i="14"/>
  <c r="O1417" i="6"/>
  <c r="J194" i="14"/>
  <c r="N1419" i="6" s="1"/>
  <c r="L194" i="14"/>
  <c r="O1419" i="6"/>
  <c r="J195" i="14"/>
  <c r="L195" i="14"/>
  <c r="O1421" i="6"/>
  <c r="O1422" i="6"/>
  <c r="J196" i="14"/>
  <c r="N1424" i="6" s="1"/>
  <c r="L196" i="14"/>
  <c r="O1426" i="6"/>
  <c r="L197" i="14"/>
  <c r="H197" i="14"/>
  <c r="O1430" i="6"/>
  <c r="J198" i="14"/>
  <c r="N1468" i="6" s="1"/>
  <c r="L198" i="14"/>
  <c r="H198" i="14"/>
  <c r="O1468" i="6"/>
  <c r="L199" i="14"/>
  <c r="H199" i="14"/>
  <c r="O1484" i="6"/>
  <c r="J200" i="14"/>
  <c r="N1500" i="6" s="1"/>
  <c r="O1499" i="6"/>
  <c r="O1500" i="6"/>
  <c r="J201" i="14"/>
  <c r="N1504" i="6" s="1"/>
  <c r="L201" i="14"/>
  <c r="J202" i="14"/>
  <c r="N1509" i="6" s="1"/>
  <c r="L202" i="14"/>
  <c r="O1507" i="6"/>
  <c r="O1509" i="6"/>
  <c r="J203" i="14"/>
  <c r="N1510" i="6" s="1"/>
  <c r="L203" i="14"/>
  <c r="O1510" i="6"/>
  <c r="J207" i="14"/>
  <c r="H207" i="14" s="1"/>
  <c r="L207" i="14"/>
  <c r="J206" i="14"/>
  <c r="N1530" i="6" s="1"/>
  <c r="L206" i="14"/>
  <c r="O1530" i="6"/>
  <c r="O1529" i="6"/>
  <c r="O1531" i="6"/>
  <c r="O1532" i="6"/>
  <c r="O1533" i="6"/>
  <c r="O1534" i="6"/>
  <c r="O1535" i="6"/>
  <c r="O1537" i="6"/>
  <c r="O1538" i="6"/>
  <c r="O1539" i="6"/>
  <c r="O1540" i="6"/>
  <c r="O1541" i="6"/>
  <c r="O1543" i="6"/>
  <c r="O1544" i="6"/>
  <c r="O1545" i="6"/>
  <c r="O1546" i="6"/>
  <c r="L205" i="14"/>
  <c r="L204" i="14"/>
  <c r="J208" i="14"/>
  <c r="N1584" i="6" s="1"/>
  <c r="L208" i="14"/>
  <c r="O1584" i="6"/>
  <c r="J209" i="14"/>
  <c r="N1588" i="6" s="1"/>
  <c r="L209" i="14"/>
  <c r="O1588" i="6"/>
  <c r="J210" i="14"/>
  <c r="N1589" i="6" s="1"/>
  <c r="L210" i="14"/>
  <c r="O1589" i="6"/>
  <c r="J211" i="14"/>
  <c r="N1591" i="6" s="1"/>
  <c r="L211" i="14"/>
  <c r="O1593" i="6"/>
  <c r="O1591" i="6"/>
  <c r="N1594" i="6"/>
  <c r="O1594" i="6"/>
  <c r="J213" i="14"/>
  <c r="O1595" i="6"/>
  <c r="O1596" i="6"/>
  <c r="K214" i="14"/>
  <c r="J214" i="14"/>
  <c r="N1598" i="6" s="1"/>
  <c r="L214" i="14"/>
  <c r="O1597" i="6"/>
  <c r="K215" i="14"/>
  <c r="J215" i="14"/>
  <c r="L215" i="14"/>
  <c r="O1599" i="6"/>
  <c r="O1601" i="6"/>
  <c r="O1602" i="6"/>
  <c r="O1603" i="6"/>
  <c r="O1604" i="6"/>
  <c r="O1605" i="6"/>
  <c r="K217" i="14"/>
  <c r="L217" i="14"/>
  <c r="J217" i="14"/>
  <c r="N1606" i="6" s="1"/>
  <c r="L218" i="14"/>
  <c r="J219" i="14"/>
  <c r="N1626" i="6" s="1"/>
  <c r="L219" i="14"/>
  <c r="H219" i="14"/>
  <c r="O1636" i="6"/>
  <c r="O1639" i="6"/>
  <c r="J220" i="14"/>
  <c r="N1642" i="6" s="1"/>
  <c r="O1640" i="6"/>
  <c r="O1641" i="6"/>
  <c r="O1642" i="6"/>
  <c r="O1643" i="6"/>
  <c r="O1644" i="6"/>
  <c r="O1645" i="6"/>
  <c r="O1646" i="6"/>
  <c r="O1647" i="6"/>
  <c r="J221" i="14"/>
  <c r="N1648" i="6" s="1"/>
  <c r="O1648" i="6"/>
  <c r="J222" i="14"/>
  <c r="N1650" i="6" s="1"/>
  <c r="L222" i="14"/>
  <c r="J223" i="14"/>
  <c r="N1651" i="6" s="1"/>
  <c r="L223" i="14"/>
  <c r="O1651" i="6"/>
  <c r="J224" i="14"/>
  <c r="N1653" i="6" s="1"/>
  <c r="L224" i="14"/>
  <c r="O1654" i="6"/>
  <c r="O1653" i="6"/>
  <c r="J225" i="14"/>
  <c r="N1656" i="6" s="1"/>
  <c r="L225" i="14"/>
  <c r="H225" i="14"/>
  <c r="O1655" i="6"/>
  <c r="O1656" i="6"/>
  <c r="O1660" i="6"/>
  <c r="O1662" i="6"/>
  <c r="O1663" i="6"/>
  <c r="O1667" i="6"/>
  <c r="L226" i="14"/>
  <c r="H226" i="14"/>
  <c r="O1679" i="6"/>
  <c r="J227" i="14"/>
  <c r="N1692" i="6" s="1"/>
  <c r="L227" i="14"/>
  <c r="H227" i="14"/>
  <c r="O1692" i="6"/>
  <c r="J228" i="14"/>
  <c r="N1699" i="6" s="1"/>
  <c r="H228" i="14"/>
  <c r="O1704" i="6"/>
  <c r="J229" i="14"/>
  <c r="N1714" i="6" s="1"/>
  <c r="L229" i="14"/>
  <c r="J230" i="14"/>
  <c r="N1716" i="6" s="1"/>
  <c r="L230" i="14"/>
  <c r="O1716" i="6"/>
  <c r="J231" i="14"/>
  <c r="N1717" i="6" s="1"/>
  <c r="O1717" i="6"/>
  <c r="O1718" i="6"/>
  <c r="O1719" i="6"/>
  <c r="J232" i="14"/>
  <c r="N1720" i="6" s="1"/>
  <c r="L232" i="14"/>
  <c r="O1720" i="6"/>
  <c r="J233" i="14"/>
  <c r="N1724" i="6" s="1"/>
  <c r="L233" i="14"/>
  <c r="H233" i="14"/>
  <c r="O1721" i="6"/>
  <c r="O1724" i="6"/>
  <c r="J234" i="14"/>
  <c r="N1731" i="6" s="1"/>
  <c r="L234" i="14"/>
  <c r="O1733" i="6"/>
  <c r="O1735" i="6"/>
  <c r="O1736" i="6"/>
  <c r="O1739" i="6"/>
  <c r="J235" i="14"/>
  <c r="O1741" i="6"/>
  <c r="O1742" i="6"/>
  <c r="L236" i="14"/>
  <c r="L237" i="14"/>
  <c r="L238" i="14"/>
  <c r="J239" i="14"/>
  <c r="N1781" i="6" s="1"/>
  <c r="L239" i="14"/>
  <c r="O1781" i="6"/>
  <c r="K240" i="14"/>
  <c r="J240" i="14"/>
  <c r="L241" i="14"/>
  <c r="J242" i="14"/>
  <c r="N1803" i="6" s="1"/>
  <c r="L242" i="14"/>
  <c r="O1803" i="6"/>
  <c r="J243" i="14"/>
  <c r="N1804" i="6" s="1"/>
  <c r="L243" i="14"/>
  <c r="O1804" i="6"/>
  <c r="K244" i="14"/>
  <c r="L244" i="14"/>
  <c r="O1805" i="6"/>
  <c r="J244" i="14"/>
  <c r="J245" i="14"/>
  <c r="N1807" i="6" s="1"/>
  <c r="L245" i="14"/>
  <c r="O1807" i="6"/>
  <c r="J246" i="14"/>
  <c r="N1810" i="6" s="1"/>
  <c r="L246" i="14"/>
  <c r="O1809" i="6"/>
  <c r="J247" i="14"/>
  <c r="N1812" i="6" s="1"/>
  <c r="L247" i="14"/>
  <c r="O1812" i="6"/>
  <c r="J248" i="14"/>
  <c r="N1814" i="6" s="1"/>
  <c r="L248" i="14"/>
  <c r="O1814" i="6"/>
  <c r="J249" i="14"/>
  <c r="N1815" i="6" s="1"/>
  <c r="O1815" i="6"/>
  <c r="O1816" i="6"/>
  <c r="O1817" i="6"/>
  <c r="J250" i="14"/>
  <c r="N1818" i="6" s="1"/>
  <c r="O1818" i="6"/>
  <c r="J251" i="14"/>
  <c r="N1819" i="6" s="1"/>
  <c r="L251" i="14"/>
  <c r="O1819" i="6"/>
  <c r="K252" i="14"/>
  <c r="L252" i="14"/>
  <c r="O1820" i="6"/>
  <c r="J252" i="14"/>
  <c r="K253" i="14"/>
  <c r="L253" i="14"/>
  <c r="H253" i="14"/>
  <c r="O1840" i="6"/>
  <c r="O1829" i="6"/>
  <c r="L254" i="14"/>
  <c r="H254" i="14"/>
  <c r="O1852" i="6"/>
  <c r="O1842" i="6"/>
  <c r="O1844" i="6"/>
  <c r="O1848" i="6"/>
  <c r="J255" i="14"/>
  <c r="N1857" i="6" s="1"/>
  <c r="L255" i="14"/>
  <c r="H255" i="14"/>
  <c r="O1863" i="6"/>
  <c r="J256" i="14"/>
  <c r="N1865" i="6" s="1"/>
  <c r="L256" i="14"/>
  <c r="O1864" i="6"/>
  <c r="O1865" i="6"/>
  <c r="O1866" i="6"/>
  <c r="J257" i="14"/>
  <c r="N1867" i="6" s="1"/>
  <c r="L257" i="14"/>
  <c r="O1867" i="6"/>
  <c r="K258" i="14"/>
  <c r="J258" i="14"/>
  <c r="K259" i="14"/>
  <c r="L259" i="14"/>
  <c r="O1872" i="6"/>
  <c r="J259" i="14"/>
  <c r="K260" i="14"/>
  <c r="L260" i="14"/>
  <c r="O1874" i="6"/>
  <c r="J260" i="14"/>
  <c r="J261" i="14"/>
  <c r="N1876" i="6" s="1"/>
  <c r="L261" i="14"/>
  <c r="O1877" i="6"/>
  <c r="J262" i="14"/>
  <c r="N1878" i="6" s="1"/>
  <c r="L262" i="14"/>
  <c r="O1878" i="6"/>
  <c r="O1879" i="6"/>
  <c r="O1880" i="6"/>
  <c r="O1881" i="6"/>
  <c r="J263" i="14"/>
  <c r="N1884" i="6" s="1"/>
  <c r="L263" i="14"/>
  <c r="O1884" i="6"/>
  <c r="J264" i="14"/>
  <c r="N1885" i="6" s="1"/>
  <c r="L264" i="14"/>
  <c r="O1887" i="6"/>
  <c r="J265" i="14"/>
  <c r="N1889" i="6" s="1"/>
  <c r="L265" i="14"/>
  <c r="O1890" i="6"/>
  <c r="J266" i="14"/>
  <c r="N1891" i="6" s="1"/>
  <c r="L266" i="14"/>
  <c r="O1892" i="6"/>
  <c r="O1891" i="6"/>
  <c r="J267" i="14"/>
  <c r="N1894" i="6" s="1"/>
  <c r="L267" i="14"/>
  <c r="O1893" i="6"/>
  <c r="J268" i="14"/>
  <c r="N1895" i="6" s="1"/>
  <c r="L268" i="14"/>
  <c r="O1895" i="6"/>
  <c r="J269" i="14"/>
  <c r="N1899" i="6" s="1"/>
  <c r="L269" i="14"/>
  <c r="O1899" i="6"/>
  <c r="O1898" i="6"/>
  <c r="O1897" i="6"/>
  <c r="O1900" i="6"/>
  <c r="J270" i="14"/>
  <c r="N1901" i="6" s="1"/>
  <c r="L270" i="14"/>
  <c r="O1901" i="6"/>
  <c r="J271" i="14"/>
  <c r="N1904" i="6" s="1"/>
  <c r="L271" i="14"/>
  <c r="O1903" i="6"/>
  <c r="O1904" i="6"/>
  <c r="J272" i="14"/>
  <c r="L272" i="14"/>
  <c r="O1914" i="6"/>
  <c r="J273" i="14"/>
  <c r="N1915" i="6" s="1"/>
  <c r="L273" i="14"/>
  <c r="O1915" i="6"/>
  <c r="J274" i="14"/>
  <c r="N1916" i="6" s="1"/>
  <c r="L274" i="14"/>
  <c r="O1916" i="6"/>
  <c r="J275" i="14"/>
  <c r="N1918" i="6" s="1"/>
  <c r="L275" i="14"/>
  <c r="O1918" i="6"/>
  <c r="J276" i="14"/>
  <c r="N1922" i="6" s="1"/>
  <c r="L276" i="14"/>
  <c r="H276" i="14"/>
  <c r="O1924" i="6"/>
  <c r="O1919" i="6"/>
  <c r="O1922" i="6"/>
  <c r="O1923" i="6"/>
  <c r="O1925" i="6"/>
  <c r="O1927" i="6"/>
  <c r="O1929" i="6"/>
  <c r="O1930" i="6"/>
  <c r="J277" i="14"/>
  <c r="N1935" i="6" s="1"/>
  <c r="L277" i="14"/>
  <c r="J278" i="14"/>
  <c r="N1949" i="6" s="1"/>
  <c r="L278" i="14"/>
  <c r="H278" i="14"/>
  <c r="O1947" i="6"/>
  <c r="J279" i="14"/>
  <c r="N1956" i="6" s="1"/>
  <c r="L279" i="14"/>
  <c r="H279" i="14"/>
  <c r="O1964" i="6"/>
  <c r="O1958" i="6"/>
  <c r="O1961" i="6"/>
  <c r="J280" i="14"/>
  <c r="N1973" i="6" s="1"/>
  <c r="L280" i="14"/>
  <c r="H280" i="14"/>
  <c r="O1971" i="6"/>
  <c r="O1973" i="6"/>
  <c r="O1977" i="6"/>
  <c r="J281" i="14"/>
  <c r="N1982" i="6" s="1"/>
  <c r="O1982" i="6"/>
  <c r="O1983" i="6"/>
  <c r="J282" i="14"/>
  <c r="N1986" i="6" s="1"/>
  <c r="L282" i="14"/>
  <c r="H282" i="14"/>
  <c r="J283" i="14"/>
  <c r="N1994" i="6" s="1"/>
  <c r="L283" i="14"/>
  <c r="H283" i="14"/>
  <c r="O1995" i="6"/>
  <c r="O2000" i="6"/>
  <c r="O1998" i="6"/>
  <c r="O2002" i="6"/>
  <c r="O2010" i="6"/>
  <c r="J284" i="14"/>
  <c r="N2022" i="6" s="1"/>
  <c r="L284" i="14"/>
  <c r="H284" i="14"/>
  <c r="O2014" i="6"/>
  <c r="O2022" i="6"/>
  <c r="J285" i="14"/>
  <c r="N2027" i="6" s="1"/>
  <c r="L285" i="14"/>
  <c r="O2029" i="6"/>
  <c r="O2028" i="6"/>
  <c r="O2027" i="6"/>
  <c r="J286" i="14"/>
  <c r="N2031" i="6" s="1"/>
  <c r="L286" i="14"/>
  <c r="O2032" i="6"/>
  <c r="O2031" i="6"/>
  <c r="O2030" i="6"/>
  <c r="J287" i="14"/>
  <c r="N2035" i="6" s="1"/>
  <c r="L287" i="14"/>
  <c r="O2035" i="6"/>
  <c r="J288" i="14"/>
  <c r="N2037" i="6" s="1"/>
  <c r="O2036" i="6"/>
  <c r="O2037" i="6"/>
  <c r="J289" i="14"/>
  <c r="N2039" i="6" s="1"/>
  <c r="L289" i="14"/>
  <c r="O2038" i="6"/>
  <c r="J290" i="14"/>
  <c r="N2042" i="6" s="1"/>
  <c r="O2040" i="6"/>
  <c r="O2041" i="6"/>
  <c r="O2042" i="6"/>
  <c r="O2043" i="6"/>
  <c r="J291" i="14"/>
  <c r="N2047" i="6" s="1"/>
  <c r="L291" i="14"/>
  <c r="O2047" i="6"/>
  <c r="O2046" i="6"/>
  <c r="J292" i="14"/>
  <c r="N2048" i="6" s="1"/>
  <c r="L292" i="14"/>
  <c r="O2051" i="6"/>
  <c r="O2048" i="6"/>
  <c r="O2053" i="6"/>
  <c r="O2054" i="6"/>
  <c r="O2055" i="6"/>
  <c r="O2056" i="6"/>
  <c r="J293" i="14"/>
  <c r="N2063" i="6" s="1"/>
  <c r="L293" i="14"/>
  <c r="J294" i="14"/>
  <c r="N2077" i="6" s="1"/>
  <c r="L294" i="14"/>
  <c r="O2075" i="6"/>
  <c r="J295" i="14"/>
  <c r="N2079" i="6" s="1"/>
  <c r="L295" i="14"/>
  <c r="O2078" i="6"/>
  <c r="J296" i="14"/>
  <c r="N2082" i="6" s="1"/>
  <c r="L296" i="14"/>
  <c r="O2080" i="6"/>
  <c r="J297" i="14"/>
  <c r="N2083" i="6" s="1"/>
  <c r="L297" i="14"/>
  <c r="O2083" i="6"/>
  <c r="J298" i="14"/>
  <c r="N2085" i="6" s="1"/>
  <c r="L298" i="14"/>
  <c r="O2084" i="6"/>
  <c r="O2085" i="6"/>
  <c r="J299" i="14"/>
  <c r="N2088" i="6" s="1"/>
  <c r="L299" i="14"/>
  <c r="O2087" i="6"/>
  <c r="O2088" i="6"/>
  <c r="J300" i="14"/>
  <c r="N2089" i="6" s="1"/>
  <c r="L300" i="14"/>
  <c r="O2089" i="6"/>
  <c r="J301" i="14"/>
  <c r="N2092" i="6" s="1"/>
  <c r="L301" i="14"/>
  <c r="H301" i="14"/>
  <c r="O2105" i="6"/>
  <c r="J302" i="14"/>
  <c r="L302" i="14"/>
  <c r="H302" i="14"/>
  <c r="O2118" i="6"/>
  <c r="J303" i="14"/>
  <c r="L303" i="14"/>
  <c r="H303" i="14"/>
  <c r="O2120" i="6"/>
  <c r="J304" i="14"/>
  <c r="N2121" i="6" s="1"/>
  <c r="L304" i="14"/>
  <c r="H304" i="14"/>
  <c r="O2125" i="6"/>
  <c r="O2126" i="6"/>
  <c r="O2130" i="6"/>
  <c r="O2132" i="6"/>
  <c r="J305" i="14"/>
  <c r="N2135" i="6" s="1"/>
  <c r="L305" i="14"/>
  <c r="H305" i="14"/>
  <c r="O2135" i="6"/>
  <c r="O2138" i="6"/>
  <c r="J306" i="14"/>
  <c r="N2144" i="6" s="1"/>
  <c r="L306" i="14"/>
  <c r="O2144" i="6"/>
  <c r="J307" i="14"/>
  <c r="L307" i="14"/>
  <c r="J308" i="14"/>
  <c r="N2150" i="6" s="1"/>
  <c r="L308" i="14"/>
  <c r="O2151" i="6"/>
  <c r="O2150" i="6"/>
  <c r="K309" i="14"/>
  <c r="J309" i="14"/>
  <c r="L309" i="14"/>
  <c r="O2153" i="6"/>
  <c r="J310" i="14"/>
  <c r="N2156" i="6" s="1"/>
  <c r="L310" i="14"/>
  <c r="O2156" i="6"/>
  <c r="J311" i="14"/>
  <c r="N2157" i="6" s="1"/>
  <c r="O2157" i="6"/>
  <c r="J312" i="14"/>
  <c r="L312" i="14"/>
  <c r="J313" i="14"/>
  <c r="N2160" i="6" s="1"/>
  <c r="L313" i="14"/>
  <c r="O2160" i="6"/>
  <c r="O2161" i="6"/>
  <c r="J314" i="14"/>
  <c r="L314" i="14"/>
  <c r="J315" i="14"/>
  <c r="N2169" i="6" s="1"/>
  <c r="L315" i="14"/>
  <c r="H315" i="14"/>
  <c r="O2168" i="6"/>
  <c r="O2166" i="6"/>
  <c r="J316" i="14"/>
  <c r="L316" i="14"/>
  <c r="H316" i="14"/>
  <c r="O2176" i="6"/>
  <c r="J317" i="14"/>
  <c r="N2182" i="6" s="1"/>
  <c r="L317" i="14"/>
  <c r="O2179" i="6"/>
  <c r="O2183" i="6"/>
  <c r="O2182" i="6"/>
  <c r="O2184" i="6"/>
  <c r="O2185" i="6"/>
  <c r="O2187" i="6"/>
  <c r="J318" i="14"/>
  <c r="N2189" i="6" s="1"/>
  <c r="L318" i="14"/>
  <c r="H318" i="14"/>
  <c r="O2189" i="6"/>
  <c r="J319" i="14"/>
  <c r="N2200" i="6" s="1"/>
  <c r="L319" i="14"/>
  <c r="H319" i="14"/>
  <c r="O2204" i="6"/>
  <c r="J320" i="14"/>
  <c r="N2218" i="6" s="1"/>
  <c r="L320" i="14"/>
  <c r="O2212" i="6"/>
  <c r="O2218" i="6"/>
  <c r="J321" i="14"/>
  <c r="N2225" i="6" s="1"/>
  <c r="O2225" i="6"/>
  <c r="J322" i="14"/>
  <c r="N2226" i="6" s="1"/>
  <c r="L322" i="14"/>
  <c r="O2226" i="6"/>
  <c r="J323" i="14"/>
  <c r="N2227" i="6" s="1"/>
  <c r="L323" i="14"/>
  <c r="O2227" i="6"/>
  <c r="J324" i="14"/>
  <c r="N2228" i="6" s="1"/>
  <c r="L324" i="14"/>
  <c r="O2228" i="6"/>
  <c r="J325" i="14"/>
  <c r="N2229" i="6" s="1"/>
  <c r="L325" i="14"/>
  <c r="O2229" i="6"/>
  <c r="J326" i="14"/>
  <c r="N2230" i="6" s="1"/>
  <c r="L326" i="14"/>
  <c r="O2230" i="6"/>
  <c r="J327" i="14"/>
  <c r="N2231" i="6" s="1"/>
  <c r="L327" i="14"/>
  <c r="O2231" i="6"/>
  <c r="J328" i="14"/>
  <c r="N2232" i="6" s="1"/>
  <c r="L328" i="14"/>
  <c r="O2232" i="6"/>
  <c r="J329" i="14"/>
  <c r="N2233" i="6" s="1"/>
  <c r="L329" i="14"/>
  <c r="O2233" i="6"/>
  <c r="J330" i="14"/>
  <c r="N2235" i="6" s="1"/>
  <c r="O2234" i="6"/>
  <c r="O2235" i="6"/>
  <c r="O2236" i="6"/>
  <c r="J331" i="14"/>
  <c r="N2238" i="6" s="1"/>
  <c r="O2237" i="6"/>
  <c r="O2238" i="6"/>
  <c r="O2239" i="6"/>
  <c r="J332" i="14"/>
  <c r="N2240" i="6" s="1"/>
  <c r="L332" i="14"/>
  <c r="O2240" i="6"/>
  <c r="J333" i="14"/>
  <c r="N2242" i="6" s="1"/>
  <c r="L333" i="14"/>
  <c r="O2241" i="6"/>
  <c r="J334" i="14"/>
  <c r="L334" i="14"/>
  <c r="O2244" i="6"/>
  <c r="J335" i="14"/>
  <c r="N2245" i="6" s="1"/>
  <c r="L335" i="14"/>
  <c r="O2245" i="6"/>
  <c r="J336" i="14"/>
  <c r="N2246" i="6" s="1"/>
  <c r="L336" i="14"/>
  <c r="O2246" i="6"/>
  <c r="J337" i="14"/>
  <c r="N2247" i="6" s="1"/>
  <c r="L337" i="14"/>
  <c r="O2247" i="6"/>
  <c r="J338" i="14"/>
  <c r="N2249" i="6" s="1"/>
  <c r="L338" i="14"/>
  <c r="O2250" i="6"/>
  <c r="J339" i="14"/>
  <c r="N2251" i="6" s="1"/>
  <c r="L339" i="14"/>
  <c r="O2251" i="6"/>
  <c r="J340" i="14"/>
  <c r="N2252" i="6" s="1"/>
  <c r="L340" i="14"/>
  <c r="O2252" i="6"/>
  <c r="J341" i="14"/>
  <c r="N2253" i="6" s="1"/>
  <c r="L341" i="14"/>
  <c r="H341" i="14"/>
  <c r="O2263" i="6"/>
  <c r="O2268" i="6"/>
  <c r="J342" i="14"/>
  <c r="N2269" i="6" s="1"/>
  <c r="L342" i="14"/>
  <c r="H342" i="14"/>
  <c r="O2272" i="6"/>
  <c r="J343" i="14"/>
  <c r="N2281" i="6" s="1"/>
  <c r="L343" i="14"/>
  <c r="O2281" i="6"/>
  <c r="K344" i="14"/>
  <c r="L344" i="14"/>
  <c r="J344" i="14"/>
  <c r="J345" i="14"/>
  <c r="N2290" i="6" s="1"/>
  <c r="L345" i="14"/>
  <c r="O2290" i="6"/>
  <c r="J346" i="14"/>
  <c r="N2294" i="6" s="1"/>
  <c r="L346" i="14"/>
  <c r="H346" i="14"/>
  <c r="O2304" i="6"/>
  <c r="J347" i="14"/>
  <c r="L347" i="14"/>
  <c r="H347" i="14"/>
  <c r="O2309" i="6"/>
  <c r="O2316" i="6"/>
  <c r="J348" i="14"/>
  <c r="N2329" i="6" s="1"/>
  <c r="L348" i="14"/>
  <c r="O2326" i="6"/>
  <c r="O2327" i="6"/>
  <c r="O2328" i="6"/>
  <c r="O2331" i="6"/>
  <c r="J349" i="14"/>
  <c r="N2332" i="6" s="1"/>
  <c r="L349" i="14"/>
  <c r="O2333" i="6"/>
  <c r="K350" i="14"/>
  <c r="L350" i="14"/>
  <c r="O2335" i="6"/>
  <c r="J350" i="14"/>
  <c r="K351" i="14"/>
  <c r="J351" i="14"/>
  <c r="K352" i="14"/>
  <c r="L352" i="14"/>
  <c r="O2339" i="6"/>
  <c r="J352" i="14"/>
  <c r="J353" i="14"/>
  <c r="N2344" i="6" s="1"/>
  <c r="L353" i="14"/>
  <c r="H353" i="14"/>
  <c r="O2344" i="6"/>
  <c r="O2346" i="6"/>
  <c r="J354" i="14"/>
  <c r="N2362" i="6" s="1"/>
  <c r="O2362" i="6"/>
  <c r="J355" i="14"/>
  <c r="O2363" i="6"/>
  <c r="O2364" i="6"/>
  <c r="J356" i="14"/>
  <c r="N2365" i="6" s="1"/>
  <c r="L356" i="14"/>
  <c r="O2365" i="6"/>
  <c r="J357" i="14"/>
  <c r="N2370" i="6" s="1"/>
  <c r="L357" i="14"/>
  <c r="H357" i="14"/>
  <c r="O2373" i="6"/>
  <c r="O2372" i="6"/>
  <c r="O2378" i="6"/>
  <c r="O2379" i="6"/>
  <c r="O2385" i="6"/>
  <c r="J358" i="14"/>
  <c r="N2393" i="6" s="1"/>
  <c r="L358" i="14"/>
  <c r="H358" i="14"/>
  <c r="O2394" i="6"/>
  <c r="J359" i="14"/>
  <c r="N2406" i="6" s="1"/>
  <c r="L359" i="14"/>
  <c r="H359" i="14"/>
  <c r="O2405" i="6"/>
  <c r="O2412" i="6"/>
  <c r="O2413" i="6"/>
  <c r="K360" i="14"/>
  <c r="J360" i="14"/>
  <c r="N2424" i="6" s="1"/>
  <c r="L360" i="14"/>
  <c r="O2424" i="6"/>
  <c r="J361" i="14"/>
  <c r="N2430" i="6" s="1"/>
  <c r="O2428" i="6"/>
  <c r="O2429" i="6"/>
  <c r="O2430" i="6"/>
  <c r="J362" i="14"/>
  <c r="N2431" i="6" s="1"/>
  <c r="L362" i="14"/>
  <c r="O2431" i="6"/>
  <c r="J363" i="14"/>
  <c r="L363" i="14"/>
  <c r="O2435" i="6"/>
  <c r="J364" i="14"/>
  <c r="L364" i="14"/>
  <c r="O2438" i="6"/>
  <c r="J365" i="14"/>
  <c r="N2439" i="6" s="1"/>
  <c r="O2439" i="6"/>
  <c r="J366" i="14"/>
  <c r="N2442" i="6" s="1"/>
  <c r="O2440" i="6"/>
  <c r="O2441" i="6"/>
  <c r="O2442" i="6"/>
  <c r="O2443" i="6"/>
  <c r="J367" i="14"/>
  <c r="N2445" i="6" s="1"/>
  <c r="O2444" i="6"/>
  <c r="O2445" i="6"/>
  <c r="K368" i="14"/>
  <c r="J368" i="14"/>
  <c r="O2446" i="6"/>
  <c r="O2447" i="6"/>
  <c r="K369" i="14"/>
  <c r="J369" i="14"/>
  <c r="O2448" i="6"/>
  <c r="O2449" i="6"/>
  <c r="J370" i="14"/>
  <c r="N2466" i="6" s="1"/>
  <c r="L370" i="14"/>
  <c r="H370" i="14"/>
  <c r="O2455" i="6"/>
  <c r="O2456" i="6"/>
  <c r="O2462" i="6"/>
  <c r="J371" i="14"/>
  <c r="N2473" i="6" s="1"/>
  <c r="L371" i="14"/>
  <c r="H371" i="14"/>
  <c r="O2476" i="6"/>
  <c r="O2468" i="6"/>
  <c r="O2471" i="6"/>
  <c r="O2477" i="6"/>
  <c r="J372" i="14"/>
  <c r="N2483" i="6" s="1"/>
  <c r="L372" i="14"/>
  <c r="H372" i="14"/>
  <c r="O2482" i="6"/>
  <c r="J373" i="14"/>
  <c r="N2504" i="6" s="1"/>
  <c r="L373" i="14"/>
  <c r="H373" i="14"/>
  <c r="O2497" i="6"/>
  <c r="J374" i="14"/>
  <c r="N2512" i="6" s="1"/>
  <c r="L374" i="14"/>
  <c r="H374" i="14"/>
  <c r="O2510" i="6"/>
  <c r="J375" i="14"/>
  <c r="N2520" i="6" s="1"/>
  <c r="L375" i="14"/>
  <c r="J376" i="14"/>
  <c r="N2533" i="6" s="1"/>
  <c r="L376" i="14"/>
  <c r="O2534" i="6"/>
  <c r="O2533" i="6"/>
  <c r="J377" i="14"/>
  <c r="N2535" i="6" s="1"/>
  <c r="L377" i="14"/>
  <c r="O2535" i="6"/>
  <c r="J378" i="14"/>
  <c r="H378" i="14" s="1"/>
  <c r="L378" i="14"/>
  <c r="J379" i="14"/>
  <c r="N2558" i="6" s="1"/>
  <c r="L379" i="14"/>
  <c r="J380" i="14"/>
  <c r="N2572" i="6" s="1"/>
  <c r="L380" i="14"/>
  <c r="J381" i="14"/>
  <c r="O2586" i="6"/>
  <c r="O2587" i="6"/>
  <c r="J382" i="14"/>
  <c r="N2588" i="6" s="1"/>
  <c r="O2588" i="6"/>
  <c r="O2589" i="6"/>
  <c r="J383" i="14"/>
  <c r="N2590" i="6" s="1"/>
  <c r="O2590" i="6"/>
  <c r="J384" i="14"/>
  <c r="N2592" i="6" s="1"/>
  <c r="O2591" i="6"/>
  <c r="O2592" i="6"/>
  <c r="O2593" i="6"/>
  <c r="J385" i="14"/>
  <c r="N2596" i="6" s="1"/>
  <c r="O2594" i="6"/>
  <c r="O2595" i="6"/>
  <c r="O2596" i="6"/>
  <c r="O2597" i="6"/>
  <c r="O2598" i="6"/>
  <c r="J386" i="14"/>
  <c r="L386" i="14"/>
  <c r="J387" i="14"/>
  <c r="N2613" i="6" s="1"/>
  <c r="L387" i="14"/>
  <c r="J388" i="14"/>
  <c r="L388" i="14"/>
  <c r="J389" i="14"/>
  <c r="N2656" i="6" s="1"/>
  <c r="L389" i="14"/>
  <c r="J390" i="14"/>
  <c r="N2674" i="6" s="1"/>
  <c r="O2672" i="6"/>
  <c r="O2673" i="6"/>
  <c r="O2674" i="6"/>
  <c r="O2675" i="6"/>
  <c r="O2676" i="6"/>
  <c r="O2677" i="6"/>
  <c r="K391" i="14"/>
  <c r="J391" i="14"/>
  <c r="L391" i="14"/>
  <c r="O2678" i="6"/>
  <c r="O2684" i="6"/>
  <c r="J392" i="14"/>
  <c r="N2687" i="6" s="1"/>
  <c r="L392" i="14"/>
  <c r="J393" i="14"/>
  <c r="N2707" i="6" s="1"/>
  <c r="L393" i="14"/>
  <c r="J394" i="14"/>
  <c r="N2720" i="6" s="1"/>
  <c r="L394" i="14"/>
  <c r="H394" i="14"/>
  <c r="O2716" i="6"/>
  <c r="O2723" i="6"/>
  <c r="O2732" i="6"/>
  <c r="J395" i="14"/>
  <c r="L395" i="14"/>
  <c r="H395" i="14"/>
  <c r="O2738" i="6"/>
  <c r="O2733" i="6"/>
  <c r="O2734" i="6"/>
  <c r="O2735" i="6"/>
  <c r="O2737" i="6"/>
  <c r="O2739" i="6"/>
  <c r="O2741" i="6"/>
  <c r="O2743" i="6"/>
  <c r="J396" i="14"/>
  <c r="N2766" i="6" s="1"/>
  <c r="L396" i="14"/>
  <c r="J397" i="14"/>
  <c r="N2772" i="6" s="1"/>
  <c r="L397" i="14"/>
  <c r="H397" i="14"/>
  <c r="O2774" i="6"/>
  <c r="O2770" i="6"/>
  <c r="O2771" i="6"/>
  <c r="O2775" i="6"/>
  <c r="O2776" i="6"/>
  <c r="O2777" i="6"/>
  <c r="O2781" i="6"/>
  <c r="J398" i="14"/>
  <c r="N2782" i="6" s="1"/>
  <c r="L398" i="14"/>
  <c r="O2782" i="6"/>
  <c r="J399" i="14"/>
  <c r="N2783" i="6" s="1"/>
  <c r="K400" i="14"/>
  <c r="K403" i="14"/>
  <c r="L400" i="14"/>
  <c r="J400" i="14"/>
  <c r="J401" i="14"/>
  <c r="N2797" i="6" s="1"/>
  <c r="J402" i="14"/>
  <c r="N2801" i="6" s="1"/>
  <c r="J403" i="14"/>
  <c r="J404" i="14"/>
  <c r="N2809" i="6" s="1"/>
  <c r="O2808" i="6"/>
  <c r="O2809" i="6"/>
  <c r="K405" i="14"/>
  <c r="J405" i="14"/>
  <c r="N2814" i="6" s="1"/>
  <c r="O2810" i="6"/>
  <c r="O2811" i="6"/>
  <c r="O2812" i="6"/>
  <c r="O2813" i="6"/>
  <c r="O2814" i="6"/>
  <c r="J406" i="14"/>
  <c r="N2815" i="6" s="1"/>
  <c r="L406" i="14"/>
  <c r="O2815" i="6"/>
  <c r="J407" i="14"/>
  <c r="N2817" i="6" s="1"/>
  <c r="L407" i="14"/>
  <c r="O2817" i="6"/>
  <c r="J408" i="14"/>
  <c r="N2819" i="6" s="1"/>
  <c r="L408" i="14"/>
  <c r="O2819" i="6"/>
  <c r="K409" i="14"/>
  <c r="J409" i="14"/>
  <c r="L409" i="14"/>
  <c r="O2825" i="6"/>
  <c r="K410" i="14"/>
  <c r="J410" i="14"/>
  <c r="L410" i="14"/>
  <c r="O2830" i="6"/>
  <c r="O2833" i="6"/>
  <c r="O2829" i="6"/>
  <c r="O2834" i="6"/>
  <c r="K411" i="14"/>
  <c r="J411" i="14"/>
  <c r="L411" i="14"/>
  <c r="O2837" i="6"/>
  <c r="J412" i="14"/>
  <c r="N2849" i="6" s="1"/>
  <c r="L412" i="14"/>
  <c r="O2846" i="6"/>
  <c r="O2853" i="6"/>
  <c r="J413" i="14"/>
  <c r="L413" i="14"/>
  <c r="H413" i="14"/>
  <c r="O2859" i="6"/>
  <c r="O2855" i="6"/>
  <c r="O2856" i="6"/>
  <c r="O2860" i="6"/>
  <c r="O2861" i="6"/>
  <c r="O2862" i="6"/>
  <c r="O2867" i="6"/>
  <c r="O2868" i="6"/>
  <c r="O2872" i="6"/>
  <c r="J414" i="14"/>
  <c r="N2873" i="6" s="1"/>
  <c r="L414" i="14"/>
  <c r="H414" i="14"/>
  <c r="O2878" i="6"/>
  <c r="O2877" i="6"/>
  <c r="O2874" i="6"/>
  <c r="O2876" i="6"/>
  <c r="O2881" i="6"/>
  <c r="O2882" i="6"/>
  <c r="O2886" i="6"/>
  <c r="J415" i="14"/>
  <c r="N2891" i="6" s="1"/>
  <c r="L415" i="14"/>
  <c r="H415" i="14"/>
  <c r="O2893" i="6"/>
  <c r="O2894" i="6"/>
  <c r="O2895" i="6"/>
  <c r="O2906" i="6"/>
  <c r="J416" i="14"/>
  <c r="N2912" i="6" s="1"/>
  <c r="L416" i="14"/>
  <c r="H416" i="14"/>
  <c r="O2907" i="6"/>
  <c r="O2911" i="6"/>
  <c r="O2908" i="6"/>
  <c r="O2909" i="6"/>
  <c r="O2910" i="6"/>
  <c r="O2912" i="6"/>
  <c r="O2915" i="6"/>
  <c r="O2916" i="6"/>
  <c r="O2918" i="6"/>
  <c r="O2920" i="6"/>
  <c r="O2921" i="6"/>
  <c r="J417" i="14"/>
  <c r="N2924" i="6" s="1"/>
  <c r="L417" i="14"/>
  <c r="H417" i="14"/>
  <c r="O2935" i="6"/>
  <c r="O2942" i="6"/>
  <c r="J418" i="14"/>
  <c r="N2956" i="6" s="1"/>
  <c r="L418" i="14"/>
  <c r="H418" i="14"/>
  <c r="O2953" i="6"/>
  <c r="O2950" i="6"/>
  <c r="O2955" i="6"/>
  <c r="O2956" i="6"/>
  <c r="O2961" i="6"/>
  <c r="O2962" i="6"/>
  <c r="J419" i="14"/>
  <c r="N2970" i="6" s="1"/>
  <c r="L419" i="14"/>
  <c r="O2967" i="6"/>
  <c r="O2971" i="6"/>
  <c r="O2972" i="6"/>
  <c r="J420" i="14"/>
  <c r="N2975" i="6" s="1"/>
  <c r="L420" i="14"/>
  <c r="O2979" i="6"/>
  <c r="J421" i="14"/>
  <c r="N2986" i="6" s="1"/>
  <c r="O2986" i="6"/>
  <c r="J422" i="14"/>
  <c r="N2987" i="6" s="1"/>
  <c r="O2987" i="6"/>
  <c r="J423" i="14"/>
  <c r="N2989" i="6" s="1"/>
  <c r="O2988" i="6"/>
  <c r="O2989" i="6"/>
  <c r="J424" i="14"/>
  <c r="N2994" i="6" s="1"/>
  <c r="O2990" i="6"/>
  <c r="O2991" i="6"/>
  <c r="O2992" i="6"/>
  <c r="O2993" i="6"/>
  <c r="O2994" i="6"/>
  <c r="K426" i="14"/>
  <c r="J426" i="14"/>
  <c r="L426" i="14"/>
  <c r="O2995" i="6"/>
  <c r="O2997" i="6"/>
  <c r="O2998" i="6"/>
  <c r="O3002" i="6"/>
  <c r="O3006" i="6"/>
  <c r="K425" i="14"/>
  <c r="J425" i="14"/>
  <c r="O3008" i="6"/>
  <c r="O3009" i="6"/>
  <c r="O3010" i="6"/>
  <c r="O3011" i="6"/>
  <c r="O3012" i="6"/>
  <c r="O3013" i="6"/>
  <c r="O3014" i="6"/>
  <c r="O3015" i="6"/>
  <c r="O3016" i="6"/>
  <c r="K427" i="14"/>
  <c r="J427" i="14"/>
  <c r="L427" i="14"/>
  <c r="O3021" i="6"/>
  <c r="J428" i="14"/>
  <c r="N3026" i="6" s="1"/>
  <c r="L428" i="14"/>
  <c r="H428" i="14"/>
  <c r="O3028" i="6"/>
  <c r="O3027" i="6"/>
  <c r="O3024" i="6"/>
  <c r="O3029" i="6"/>
  <c r="O3030" i="6"/>
  <c r="J429" i="14"/>
  <c r="N3044" i="6" s="1"/>
  <c r="L429" i="14"/>
  <c r="H429" i="14"/>
  <c r="O3037" i="6"/>
  <c r="O3038" i="6"/>
  <c r="O3043" i="6"/>
  <c r="O3044" i="6"/>
  <c r="J430" i="14"/>
  <c r="N3053" i="6" s="1"/>
  <c r="L430" i="14"/>
  <c r="H430" i="14"/>
  <c r="O3051" i="6"/>
  <c r="O3050" i="6"/>
  <c r="O3057" i="6"/>
  <c r="J431" i="14"/>
  <c r="N3062" i="6" s="1"/>
  <c r="O3062" i="6"/>
  <c r="O3063" i="6"/>
  <c r="O3064" i="6"/>
  <c r="J432" i="14"/>
  <c r="N3065" i="6" s="1"/>
  <c r="O3065" i="6"/>
  <c r="K433" i="14"/>
  <c r="J433" i="14"/>
  <c r="O3066" i="6"/>
  <c r="O3067" i="6"/>
  <c r="O3068" i="6"/>
  <c r="J434" i="14"/>
  <c r="N3069" i="6" s="1"/>
  <c r="O3069" i="6"/>
  <c r="J435" i="14"/>
  <c r="N3070" i="6" s="1"/>
  <c r="O3070" i="6"/>
  <c r="O3071" i="6"/>
  <c r="K436" i="14"/>
  <c r="J436" i="14"/>
  <c r="O3072" i="6"/>
  <c r="O3073" i="6"/>
  <c r="O3074" i="6"/>
  <c r="J437" i="14"/>
  <c r="N3075" i="6" s="1"/>
  <c r="L437" i="14"/>
  <c r="H437" i="14"/>
  <c r="O3075" i="6"/>
  <c r="O3081" i="6"/>
  <c r="O3086" i="6"/>
  <c r="J438" i="14"/>
  <c r="N3091" i="6" s="1"/>
  <c r="L438" i="14"/>
  <c r="H438" i="14"/>
  <c r="O3095" i="6"/>
  <c r="O3089" i="6"/>
  <c r="O3094" i="6"/>
  <c r="O3100" i="6"/>
  <c r="O3101" i="6"/>
  <c r="O3102" i="6"/>
  <c r="J439" i="14"/>
  <c r="N3109" i="6" s="1"/>
  <c r="L439" i="14"/>
  <c r="H439" i="14"/>
  <c r="O3116" i="6"/>
  <c r="O3109" i="6"/>
  <c r="O3110" i="6"/>
  <c r="O3115" i="6"/>
  <c r="O3121" i="6"/>
  <c r="O3122" i="6"/>
  <c r="J440" i="14"/>
  <c r="N3123" i="6" s="1"/>
  <c r="L440" i="14"/>
  <c r="H440" i="14"/>
  <c r="O3128" i="6"/>
  <c r="O3123" i="6"/>
  <c r="O3124" i="6"/>
  <c r="J441" i="14"/>
  <c r="N3132" i="6" s="1"/>
  <c r="L441" i="14"/>
  <c r="H441" i="14"/>
  <c r="O3132" i="6"/>
  <c r="O3142" i="6"/>
  <c r="O3143" i="6"/>
  <c r="J442" i="14"/>
  <c r="N3150" i="6" s="1"/>
  <c r="O3149" i="6"/>
  <c r="O3150" i="6"/>
  <c r="O3151" i="6"/>
  <c r="O3152" i="6"/>
  <c r="O3153" i="6"/>
  <c r="O3154" i="6"/>
  <c r="O3155" i="6"/>
  <c r="O3156" i="6"/>
  <c r="O3157" i="6"/>
  <c r="O3158" i="6"/>
  <c r="J443" i="14"/>
  <c r="N3160" i="6" s="1"/>
  <c r="O3159" i="6"/>
  <c r="O3160" i="6"/>
  <c r="J444" i="14"/>
  <c r="N3161" i="6" s="1"/>
  <c r="O3161" i="6"/>
  <c r="J445" i="14"/>
  <c r="N3162" i="6" s="1"/>
  <c r="O3162" i="6"/>
  <c r="O3163" i="6"/>
  <c r="J446" i="14"/>
  <c r="N3164" i="6" s="1"/>
  <c r="O3164" i="6"/>
  <c r="O3165" i="6"/>
  <c r="J447" i="14"/>
  <c r="N3166" i="6" s="1"/>
  <c r="O3166" i="6"/>
  <c r="J448" i="14"/>
  <c r="N3168" i="6" s="1"/>
  <c r="O3167" i="6"/>
  <c r="O3168" i="6"/>
  <c r="J449" i="14"/>
  <c r="N3170" i="6" s="1"/>
  <c r="O3169" i="6"/>
  <c r="O3170" i="6"/>
  <c r="J450" i="14"/>
  <c r="N3172" i="6" s="1"/>
  <c r="O3171" i="6"/>
  <c r="O3172" i="6"/>
  <c r="O3173" i="6"/>
  <c r="O3174" i="6"/>
  <c r="O3175" i="6"/>
  <c r="O3176" i="6"/>
  <c r="O3177" i="6"/>
  <c r="O3178" i="6"/>
  <c r="O3179" i="6"/>
  <c r="O3180" i="6"/>
  <c r="J451" i="14"/>
  <c r="N3181" i="6" s="1"/>
  <c r="O3181" i="6"/>
  <c r="J452" i="14"/>
  <c r="N3182" i="6" s="1"/>
  <c r="L452" i="14"/>
  <c r="H452" i="14"/>
  <c r="O3182" i="6"/>
  <c r="O3184" i="6"/>
  <c r="O3185" i="6"/>
  <c r="O3186" i="6"/>
  <c r="O3188" i="6"/>
  <c r="J453" i="14"/>
  <c r="N3192" i="6" s="1"/>
  <c r="L453" i="14"/>
  <c r="H453" i="14"/>
  <c r="O3194" i="6"/>
  <c r="J454" i="14"/>
  <c r="N3208" i="6" s="1"/>
  <c r="L454" i="14"/>
  <c r="O3209" i="6"/>
  <c r="J455" i="14"/>
  <c r="L455" i="14"/>
  <c r="H455" i="14"/>
  <c r="O3214" i="6"/>
  <c r="O3216" i="6"/>
  <c r="O3217" i="6"/>
  <c r="O3218" i="6"/>
  <c r="J456" i="14"/>
  <c r="L456" i="14"/>
  <c r="H456" i="14"/>
  <c r="O3231" i="6"/>
  <c r="O3229" i="6"/>
  <c r="O3221" i="6"/>
  <c r="O3227" i="6"/>
  <c r="J457" i="14"/>
  <c r="N3233" i="6" s="1"/>
  <c r="L457" i="14"/>
  <c r="H457" i="14"/>
  <c r="O3234" i="6"/>
  <c r="J458" i="14"/>
  <c r="N3244" i="6" s="1"/>
  <c r="L458" i="14"/>
  <c r="H458" i="14"/>
  <c r="O3247" i="6"/>
  <c r="J459" i="14"/>
  <c r="N3255" i="6" s="1"/>
  <c r="L459" i="14"/>
  <c r="H459" i="14"/>
  <c r="O3261" i="6"/>
  <c r="O3256" i="6"/>
  <c r="O3259" i="6"/>
  <c r="J460" i="14"/>
  <c r="H460" i="14" s="1"/>
  <c r="L460" i="14"/>
  <c r="J461" i="14"/>
  <c r="N3276" i="6" s="1"/>
  <c r="L461" i="14"/>
  <c r="J462" i="14"/>
  <c r="O3287" i="6"/>
  <c r="O3288" i="6"/>
  <c r="O3289" i="6"/>
  <c r="O3290" i="6"/>
  <c r="J463" i="14"/>
  <c r="N3292" i="6" s="1"/>
  <c r="L463" i="14"/>
  <c r="J464" i="14"/>
  <c r="H464" i="14" s="1"/>
  <c r="L464" i="14"/>
  <c r="J465" i="14"/>
  <c r="N3334" i="6" s="1"/>
  <c r="L465" i="14"/>
  <c r="K466" i="14"/>
  <c r="J466" i="14"/>
  <c r="L466" i="14"/>
  <c r="O3336" i="6"/>
  <c r="O3337" i="6"/>
  <c r="O3338" i="6"/>
  <c r="O3339" i="6"/>
  <c r="O3340" i="6"/>
  <c r="O3341" i="6"/>
  <c r="O3342" i="6"/>
  <c r="L467" i="14"/>
  <c r="O3346" i="6"/>
  <c r="J467" i="14"/>
  <c r="J468" i="14"/>
  <c r="N3350" i="6" s="1"/>
  <c r="O3350" i="6"/>
  <c r="O3351" i="6"/>
  <c r="O3352" i="6"/>
  <c r="O3353" i="6"/>
  <c r="O3354" i="6"/>
  <c r="K469" i="14"/>
  <c r="J469" i="14"/>
  <c r="O3355" i="6"/>
  <c r="O3356" i="6"/>
  <c r="O3357" i="6"/>
  <c r="J470" i="14"/>
  <c r="N3358" i="6" s="1"/>
  <c r="O3358" i="6"/>
  <c r="K471" i="14"/>
  <c r="J471" i="14"/>
  <c r="O3359" i="6"/>
  <c r="O3360" i="6"/>
  <c r="J472" i="14"/>
  <c r="N3361" i="6" s="1"/>
  <c r="L472" i="14"/>
  <c r="J473" i="14"/>
  <c r="N3379" i="6" s="1"/>
  <c r="L473" i="14"/>
  <c r="J474" i="14"/>
  <c r="N3391" i="6" s="1"/>
  <c r="L474" i="14"/>
  <c r="O3396" i="6"/>
  <c r="O3394" i="6"/>
  <c r="O3398" i="6"/>
  <c r="O3399" i="6"/>
  <c r="J475" i="14"/>
  <c r="H475" i="14" s="1"/>
  <c r="L475" i="14"/>
  <c r="K476" i="14"/>
  <c r="J476" i="14"/>
  <c r="O3412" i="6"/>
  <c r="O3413" i="6"/>
  <c r="O3414" i="6"/>
  <c r="J477" i="14"/>
  <c r="L477" i="14"/>
  <c r="J478" i="14"/>
  <c r="N3427" i="6" s="1"/>
  <c r="L478" i="14"/>
  <c r="J479" i="14"/>
  <c r="H479" i="14" s="1"/>
  <c r="L479" i="14"/>
  <c r="J480" i="14"/>
  <c r="N3459" i="6" s="1"/>
  <c r="L480" i="14"/>
  <c r="J481" i="14"/>
  <c r="N3469" i="6" s="1"/>
  <c r="L481" i="14"/>
  <c r="J482" i="14"/>
  <c r="N3486" i="6" s="1"/>
  <c r="L482" i="14"/>
  <c r="J483" i="14"/>
  <c r="N3514" i="6" s="1"/>
  <c r="L483" i="14"/>
  <c r="H483" i="14"/>
  <c r="O3510" i="6"/>
  <c r="O3504" i="6"/>
  <c r="O3506" i="6"/>
  <c r="O3508" i="6"/>
  <c r="O3514" i="6"/>
  <c r="J484" i="14"/>
  <c r="O3515" i="6"/>
  <c r="O3516" i="6"/>
  <c r="O3517" i="6"/>
  <c r="J485" i="14"/>
  <c r="N3518" i="6" s="1"/>
  <c r="O3518" i="6"/>
  <c r="J486" i="14"/>
  <c r="N3519" i="6" s="1"/>
  <c r="O3519" i="6"/>
  <c r="J487" i="14"/>
  <c r="N3520" i="6" s="1"/>
  <c r="O3520" i="6"/>
  <c r="J488" i="14"/>
  <c r="N3522" i="6" s="1"/>
  <c r="O3521" i="6"/>
  <c r="O3522" i="6"/>
  <c r="J489" i="14"/>
  <c r="N3530" i="6" s="1"/>
  <c r="O3523" i="6"/>
  <c r="O3524" i="6"/>
  <c r="J490" i="14"/>
  <c r="N3526" i="6" s="1"/>
  <c r="O3525" i="6"/>
  <c r="O3526" i="6"/>
  <c r="J491" i="14"/>
  <c r="N3528" i="6" s="1"/>
  <c r="O3527" i="6"/>
  <c r="O3528" i="6"/>
  <c r="J492" i="14"/>
  <c r="N3529" i="6" s="1"/>
  <c r="O3529" i="6"/>
  <c r="O3530" i="6"/>
  <c r="J493" i="14"/>
  <c r="N3531" i="6" s="1"/>
  <c r="O3531" i="6"/>
  <c r="J494" i="14"/>
  <c r="N3532" i="6" s="1"/>
  <c r="O3532" i="6"/>
  <c r="J495" i="14"/>
  <c r="L495" i="14"/>
  <c r="J496" i="14"/>
  <c r="N3549" i="6" s="1"/>
  <c r="L496" i="14"/>
  <c r="J497" i="14"/>
  <c r="N3560" i="6" s="1"/>
  <c r="L497" i="14"/>
  <c r="J498" i="14"/>
  <c r="N3574" i="6" s="1"/>
  <c r="O3574" i="6"/>
  <c r="O3575" i="6"/>
  <c r="J499" i="14"/>
  <c r="N3577" i="6" s="1"/>
  <c r="O3576" i="6"/>
  <c r="O3577" i="6"/>
  <c r="O3578" i="6"/>
  <c r="O3579" i="6"/>
  <c r="J501" i="14"/>
  <c r="H501" i="14" s="1"/>
  <c r="L501" i="14"/>
  <c r="J500" i="14"/>
  <c r="L500" i="14"/>
  <c r="J503" i="14"/>
  <c r="N3604" i="6" s="1"/>
  <c r="O3603" i="6"/>
  <c r="O3604" i="6"/>
  <c r="J504" i="14"/>
  <c r="N3605" i="6" s="1"/>
  <c r="O3605" i="6"/>
  <c r="K505" i="14"/>
  <c r="J505" i="14"/>
  <c r="N3606" i="6" s="1"/>
  <c r="O3606" i="6"/>
  <c r="O3607" i="6"/>
  <c r="K506" i="14"/>
  <c r="J506" i="14"/>
  <c r="O3608" i="6"/>
  <c r="O3609" i="6"/>
  <c r="K507" i="14"/>
  <c r="J507" i="14"/>
  <c r="O3610" i="6"/>
  <c r="O3611" i="6"/>
  <c r="O3612" i="6"/>
  <c r="O3613" i="6"/>
  <c r="O3614" i="6"/>
  <c r="O3615" i="6"/>
  <c r="J508" i="14"/>
  <c r="N3616" i="6" s="1"/>
  <c r="O3616" i="6"/>
  <c r="J509" i="14"/>
  <c r="N3617" i="6" s="1"/>
  <c r="O3617" i="6"/>
  <c r="J510" i="14"/>
  <c r="N3618" i="6" s="1"/>
  <c r="O3618" i="6"/>
  <c r="J502" i="14"/>
  <c r="N3624" i="6" s="1"/>
  <c r="L502" i="14"/>
  <c r="J511" i="14"/>
  <c r="N3644" i="6" s="1"/>
  <c r="L511" i="14"/>
  <c r="J512" i="14"/>
  <c r="N3648" i="6" s="1"/>
  <c r="L512" i="14"/>
  <c r="J513" i="14"/>
  <c r="N3658" i="6" s="1"/>
  <c r="L513" i="14"/>
  <c r="J514" i="14"/>
  <c r="N3669" i="6" s="1"/>
  <c r="O3669" i="6"/>
  <c r="J515" i="14"/>
  <c r="N3674" i="6" s="1"/>
  <c r="O3670" i="6"/>
  <c r="O3671" i="6"/>
  <c r="O3672" i="6"/>
  <c r="O3673" i="6"/>
  <c r="O3674" i="6"/>
  <c r="J516" i="14"/>
  <c r="N3677" i="6" s="1"/>
  <c r="O3675" i="6"/>
  <c r="O3676" i="6"/>
  <c r="O3677" i="6"/>
  <c r="J517" i="14"/>
  <c r="N3678" i="6" s="1"/>
  <c r="O3678" i="6"/>
  <c r="J518" i="14"/>
  <c r="N3679" i="6" s="1"/>
  <c r="O3679" i="6"/>
  <c r="J519" i="14"/>
  <c r="L519" i="14"/>
  <c r="J520" i="14"/>
  <c r="N3694" i="6" s="1"/>
  <c r="L520" i="14"/>
  <c r="J521" i="14"/>
  <c r="N3703" i="6" s="1"/>
  <c r="L521" i="14"/>
  <c r="J522" i="14"/>
  <c r="N3721" i="6" s="1"/>
  <c r="L522" i="14"/>
  <c r="J523" i="14"/>
  <c r="N3730" i="6" s="1"/>
  <c r="O3728" i="6"/>
  <c r="O3729" i="6"/>
  <c r="O3730" i="6"/>
  <c r="O3731" i="6"/>
  <c r="O3732" i="6"/>
  <c r="K524" i="14"/>
  <c r="J524" i="14"/>
  <c r="O3733" i="6"/>
  <c r="O3734" i="6"/>
  <c r="O3735" i="6"/>
  <c r="O3736" i="6"/>
  <c r="J525" i="14"/>
  <c r="N3739" i="6" s="1"/>
  <c r="L525" i="14"/>
  <c r="J526" i="14"/>
  <c r="N3748" i="6" s="1"/>
  <c r="L526" i="14"/>
  <c r="J527" i="14"/>
  <c r="L527" i="14"/>
  <c r="J528" i="14"/>
  <c r="N3773" i="6" s="1"/>
  <c r="O3773" i="6"/>
  <c r="O3774" i="6"/>
  <c r="O3775" i="6"/>
  <c r="O3776" i="6"/>
  <c r="O3777" i="6"/>
  <c r="J529" i="14"/>
  <c r="N3778" i="6" s="1"/>
  <c r="O3778" i="6"/>
  <c r="J530" i="14"/>
  <c r="N3779" i="6" s="1"/>
  <c r="O3779" i="6"/>
  <c r="J531" i="14"/>
  <c r="N3782" i="6" s="1"/>
  <c r="O3780" i="6"/>
  <c r="O3781" i="6"/>
  <c r="O3782" i="6"/>
  <c r="J532" i="14"/>
  <c r="N3789" i="6" s="1"/>
  <c r="O3783" i="6"/>
  <c r="O3784" i="6"/>
  <c r="O3785" i="6"/>
  <c r="O3786" i="6"/>
  <c r="O3787" i="6"/>
  <c r="O3788" i="6"/>
  <c r="O3789" i="6"/>
  <c r="J533" i="14"/>
  <c r="N3790" i="6" s="1"/>
  <c r="O3790" i="6"/>
  <c r="O3791" i="6"/>
  <c r="K534" i="14"/>
  <c r="J534" i="14"/>
  <c r="O3792" i="6"/>
  <c r="O3793" i="6"/>
  <c r="O3794" i="6"/>
  <c r="O3795" i="6"/>
  <c r="O3796" i="6"/>
  <c r="O3797" i="6"/>
  <c r="O3798" i="6"/>
  <c r="K535" i="14"/>
  <c r="J535" i="14"/>
  <c r="O3799" i="6"/>
  <c r="O3800" i="6"/>
  <c r="J537" i="14"/>
  <c r="N3801" i="6" s="1"/>
  <c r="O3801" i="6"/>
  <c r="J536" i="14"/>
  <c r="N3802" i="6" s="1"/>
  <c r="O3802" i="6"/>
  <c r="J538" i="14"/>
  <c r="N3807" i="6" s="1"/>
  <c r="L538" i="14"/>
  <c r="J539" i="14"/>
  <c r="N3820" i="6" s="1"/>
  <c r="L539" i="14"/>
  <c r="J540" i="14"/>
  <c r="N3827" i="6" s="1"/>
  <c r="L540" i="14"/>
  <c r="J541" i="14"/>
  <c r="N3838" i="6" s="1"/>
  <c r="L541" i="14"/>
  <c r="N3843" i="6"/>
  <c r="N3844" i="6"/>
  <c r="N3845" i="6"/>
  <c r="N3846" i="6"/>
  <c r="N3847" i="6"/>
  <c r="N3848" i="6"/>
  <c r="N3850" i="6"/>
  <c r="N3851" i="6"/>
  <c r="N3852" i="6"/>
  <c r="N3853" i="6"/>
  <c r="J543" i="14"/>
  <c r="L543" i="14"/>
  <c r="H543" i="14"/>
  <c r="J544" i="14"/>
  <c r="L544" i="14"/>
  <c r="J545" i="14"/>
  <c r="N3873" i="6" s="1"/>
  <c r="L545" i="14"/>
  <c r="J546" i="14"/>
  <c r="N3882" i="6" s="1"/>
  <c r="L546" i="14"/>
  <c r="J547" i="14"/>
  <c r="L547" i="14"/>
  <c r="J548" i="14"/>
  <c r="L548" i="14"/>
  <c r="J549" i="14"/>
  <c r="N3918" i="6" s="1"/>
  <c r="L549" i="14"/>
  <c r="J550" i="14"/>
  <c r="N3934" i="6" s="1"/>
  <c r="L550" i="14"/>
  <c r="H550" i="14"/>
  <c r="O3930" i="6"/>
  <c r="O3931" i="6"/>
  <c r="O3932" i="6"/>
  <c r="O3934" i="6"/>
  <c r="O3935" i="6"/>
  <c r="O3936" i="6"/>
  <c r="O3937" i="6"/>
  <c r="O3938" i="6"/>
  <c r="O3940" i="6"/>
  <c r="O3941" i="6"/>
  <c r="O3942" i="6"/>
  <c r="J551" i="14"/>
  <c r="N3944" i="6" s="1"/>
  <c r="O3943" i="6"/>
  <c r="O3944" i="6"/>
  <c r="J552" i="14"/>
  <c r="N3945" i="6" s="1"/>
  <c r="O3945" i="6"/>
  <c r="K553" i="14"/>
  <c r="J553" i="14"/>
  <c r="N3951" i="6" s="1"/>
  <c r="L553" i="14"/>
  <c r="O3949" i="6"/>
  <c r="L554" i="14"/>
  <c r="O3959" i="6"/>
  <c r="J554" i="14"/>
  <c r="O3954" i="6"/>
  <c r="O3956" i="6"/>
  <c r="O3960" i="6"/>
  <c r="O3961" i="6"/>
  <c r="J555" i="14"/>
  <c r="N3962" i="6" s="1"/>
  <c r="O3962" i="6"/>
  <c r="J556" i="14"/>
  <c r="N3964" i="6" s="1"/>
  <c r="O3963" i="6"/>
  <c r="O3964" i="6"/>
  <c r="K557" i="14"/>
  <c r="J557" i="14"/>
  <c r="O3965" i="6"/>
  <c r="O3966" i="6"/>
  <c r="K558" i="14"/>
  <c r="J558" i="14"/>
  <c r="N3968" i="6" s="1"/>
  <c r="O3967" i="6"/>
  <c r="O3968" i="6"/>
  <c r="J559" i="14"/>
  <c r="N3976" i="6" s="1"/>
  <c r="L559" i="14"/>
  <c r="J560" i="14"/>
  <c r="N3983" i="6" s="1"/>
  <c r="L560" i="14"/>
  <c r="J561" i="14"/>
  <c r="N3993" i="6" s="1"/>
  <c r="L561" i="14"/>
  <c r="J562" i="14"/>
  <c r="N4009" i="6" s="1"/>
  <c r="L562" i="14"/>
  <c r="J563" i="14"/>
  <c r="N4016" i="6" s="1"/>
  <c r="L563" i="14"/>
  <c r="H563" i="14"/>
  <c r="O4012" i="6"/>
  <c r="O4018" i="6"/>
  <c r="O4016" i="6"/>
  <c r="J564" i="14"/>
  <c r="N4019" i="6" s="1"/>
  <c r="L564" i="14"/>
  <c r="H564" i="14"/>
  <c r="O4022" i="6"/>
  <c r="O4024" i="6"/>
  <c r="O4021" i="6"/>
  <c r="O4023" i="6"/>
  <c r="O4026" i="6"/>
  <c r="O4027" i="6"/>
  <c r="O4029" i="6"/>
  <c r="J565" i="14"/>
  <c r="L565" i="14"/>
  <c r="H565" i="14"/>
  <c r="O4032" i="6"/>
  <c r="O4034" i="6"/>
  <c r="O4031" i="6"/>
  <c r="O4033" i="6"/>
  <c r="O4036" i="6"/>
  <c r="O4037" i="6"/>
  <c r="L566" i="14"/>
  <c r="O4041" i="6"/>
  <c r="J566" i="14"/>
  <c r="J567" i="14"/>
  <c r="N4047" i="6" s="1"/>
  <c r="O4046" i="6"/>
  <c r="O4047" i="6"/>
  <c r="J568" i="14"/>
  <c r="N4048" i="6" s="1"/>
  <c r="O4048" i="6"/>
  <c r="O4049" i="6"/>
  <c r="O4050" i="6"/>
  <c r="O4051" i="6"/>
  <c r="O4052" i="6"/>
  <c r="O4053" i="6"/>
  <c r="J569" i="14"/>
  <c r="H569" i="14" s="1"/>
  <c r="L569" i="14"/>
  <c r="J570" i="14"/>
  <c r="N4064" i="6" s="1"/>
  <c r="L570" i="14"/>
  <c r="J571" i="14"/>
  <c r="N4075" i="6" s="1"/>
  <c r="L571" i="14"/>
  <c r="J572" i="14"/>
  <c r="N4081" i="6" s="1"/>
  <c r="L572" i="14"/>
  <c r="J573" i="14"/>
  <c r="O4091" i="6"/>
  <c r="O4092" i="6"/>
  <c r="J574" i="14"/>
  <c r="N4094" i="6" s="1"/>
  <c r="O4093" i="6"/>
  <c r="O4094" i="6"/>
  <c r="J575" i="14"/>
  <c r="N4095" i="6" s="1"/>
  <c r="O4095" i="6"/>
  <c r="J576" i="14"/>
  <c r="N4097" i="6" s="1"/>
  <c r="O4096" i="6"/>
  <c r="O4097" i="6"/>
  <c r="J577" i="14"/>
  <c r="N4099" i="6" s="1"/>
  <c r="O4098" i="6"/>
  <c r="O4099" i="6"/>
  <c r="O4100" i="6"/>
  <c r="O4101" i="6"/>
  <c r="J578" i="14"/>
  <c r="N4102" i="6" s="1"/>
  <c r="O4102" i="6"/>
  <c r="J579" i="14"/>
  <c r="N4103" i="6" s="1"/>
  <c r="O4103" i="6"/>
  <c r="J580" i="14"/>
  <c r="N4104" i="6" s="1"/>
  <c r="O4104" i="6"/>
  <c r="J581" i="14"/>
  <c r="N4105" i="6" s="1"/>
  <c r="O4105" i="6"/>
  <c r="K582" i="14"/>
  <c r="J582" i="14"/>
  <c r="N4107" i="6" s="1"/>
  <c r="O4106" i="6"/>
  <c r="O4107" i="6"/>
  <c r="O4108" i="6"/>
  <c r="O4109" i="6"/>
  <c r="K583" i="14"/>
  <c r="J583" i="14"/>
  <c r="O4110" i="6"/>
  <c r="O4111" i="6"/>
  <c r="J584" i="14"/>
  <c r="L584" i="14"/>
  <c r="J585" i="14"/>
  <c r="N4125" i="6" s="1"/>
  <c r="L585" i="14"/>
  <c r="J586" i="14"/>
  <c r="N4140" i="6" s="1"/>
  <c r="L586" i="14"/>
  <c r="J587" i="14"/>
  <c r="N4154" i="6" s="1"/>
  <c r="L587" i="14"/>
  <c r="N4169" i="6"/>
  <c r="N4170" i="6"/>
  <c r="N4171" i="6"/>
  <c r="N4172" i="6"/>
  <c r="N4173" i="6"/>
  <c r="N4174" i="6"/>
  <c r="N4176" i="6"/>
  <c r="N4177" i="6"/>
  <c r="N4178" i="6"/>
  <c r="J589" i="14"/>
  <c r="N4184" i="6" s="1"/>
  <c r="L589" i="14"/>
  <c r="J590" i="14"/>
  <c r="L590" i="14"/>
  <c r="J591" i="14"/>
  <c r="H591" i="14" s="1"/>
  <c r="L591" i="14"/>
  <c r="J592" i="14"/>
  <c r="N4212" i="6" s="1"/>
  <c r="O4211" i="6"/>
  <c r="O4212" i="6"/>
  <c r="K593" i="14"/>
  <c r="J593" i="14"/>
  <c r="N4214" i="6" s="1"/>
  <c r="L593" i="14"/>
  <c r="O4214" i="6"/>
  <c r="O4213" i="6"/>
  <c r="O4216" i="6"/>
  <c r="O4217" i="6"/>
  <c r="O4218" i="6"/>
  <c r="J594" i="14"/>
  <c r="N4219" i="6" s="1"/>
  <c r="O4219" i="6"/>
  <c r="O4220" i="6"/>
  <c r="J595" i="14"/>
  <c r="N4222" i="6" s="1"/>
  <c r="L595" i="14"/>
  <c r="J596" i="14"/>
  <c r="N4238" i="6" s="1"/>
  <c r="L596" i="14"/>
  <c r="J597" i="14"/>
  <c r="N4255" i="6" s="1"/>
  <c r="L597" i="14"/>
  <c r="J598" i="14"/>
  <c r="N4263" i="6" s="1"/>
  <c r="L598" i="14"/>
  <c r="J599" i="14"/>
  <c r="H599" i="14" s="1"/>
  <c r="L599" i="14"/>
  <c r="J600" i="14"/>
  <c r="H600" i="14" s="1"/>
  <c r="L600" i="14"/>
  <c r="J601" i="14"/>
  <c r="N4310" i="6" s="1"/>
  <c r="L601" i="14"/>
  <c r="H601" i="14"/>
  <c r="J602" i="14"/>
  <c r="N4312" i="6" s="1"/>
  <c r="L602" i="14"/>
  <c r="J603" i="14"/>
  <c r="N4326" i="6" s="1"/>
  <c r="L603" i="14"/>
  <c r="H603" i="14"/>
  <c r="O4325" i="6"/>
  <c r="O4327" i="6"/>
  <c r="O4328" i="6"/>
  <c r="J604" i="14"/>
  <c r="N4332" i="6" s="1"/>
  <c r="L604" i="14"/>
  <c r="J605" i="14"/>
  <c r="N4344" i="6" s="1"/>
  <c r="L605" i="14"/>
  <c r="J606" i="14"/>
  <c r="N4356" i="6" s="1"/>
  <c r="L606" i="14"/>
  <c r="H606" i="14"/>
  <c r="O4366" i="6"/>
  <c r="J607" i="14"/>
  <c r="N4367" i="6" s="1"/>
  <c r="O4367" i="6"/>
  <c r="J608" i="14"/>
  <c r="N4369" i="6" s="1"/>
  <c r="O4368" i="6"/>
  <c r="O4369" i="6"/>
  <c r="O4370" i="6"/>
  <c r="J609" i="14"/>
  <c r="N4371" i="6" s="1"/>
  <c r="O4371" i="6"/>
  <c r="J610" i="14"/>
  <c r="N4373" i="6" s="1"/>
  <c r="O4372" i="6"/>
  <c r="O4373" i="6"/>
  <c r="J611" i="14"/>
  <c r="N4375" i="6" s="1"/>
  <c r="O4374" i="6"/>
  <c r="O4375" i="6"/>
  <c r="J612" i="14"/>
  <c r="H612" i="14" s="1"/>
  <c r="L612" i="14"/>
  <c r="J613" i="14"/>
  <c r="H613" i="14" s="1"/>
  <c r="L613" i="14"/>
  <c r="J614" i="14"/>
  <c r="N4397" i="6" s="1"/>
  <c r="L614" i="14"/>
  <c r="J615" i="14"/>
  <c r="N4405" i="6" s="1"/>
  <c r="L615" i="14"/>
  <c r="J616" i="14"/>
  <c r="N4414" i="6" s="1"/>
  <c r="L616" i="14"/>
  <c r="J617" i="14"/>
  <c r="N4424" i="6" s="1"/>
  <c r="L617" i="14"/>
  <c r="J618" i="14"/>
  <c r="N4429" i="6" s="1"/>
  <c r="O4429" i="6"/>
  <c r="J619" i="14"/>
  <c r="N4431" i="6" s="1"/>
  <c r="O4430" i="6"/>
  <c r="O4431" i="6"/>
  <c r="J620" i="14"/>
  <c r="N4434" i="6" s="1"/>
  <c r="L620" i="14"/>
  <c r="J621" i="14"/>
  <c r="N4443" i="6" s="1"/>
  <c r="L621" i="14"/>
  <c r="J622" i="14"/>
  <c r="N4449" i="6" s="1"/>
  <c r="L622" i="14"/>
  <c r="J623" i="14"/>
  <c r="N4454" i="6" s="1"/>
  <c r="L623" i="14"/>
  <c r="J624" i="14"/>
  <c r="N4464" i="6" s="1"/>
  <c r="L624" i="14"/>
  <c r="J625" i="14"/>
  <c r="N4473" i="6" s="1"/>
  <c r="L625" i="14"/>
  <c r="J626" i="14"/>
  <c r="N4483" i="6" s="1"/>
  <c r="L626" i="14"/>
  <c r="J627" i="14"/>
  <c r="N4490" i="6" s="1"/>
  <c r="O4489" i="6"/>
  <c r="O4490" i="6"/>
  <c r="O4491" i="6"/>
  <c r="J628" i="14"/>
  <c r="N4492" i="6" s="1"/>
  <c r="O4492" i="6"/>
  <c r="O4493" i="6"/>
  <c r="J629" i="14"/>
  <c r="N4494" i="6" s="1"/>
  <c r="O4494" i="6"/>
  <c r="O4495" i="6"/>
  <c r="J630" i="14"/>
  <c r="N4496" i="6" s="1"/>
  <c r="L630" i="14"/>
  <c r="J631" i="14"/>
  <c r="N4512" i="6" s="1"/>
  <c r="L631" i="14"/>
  <c r="J632" i="14"/>
  <c r="N4518" i="6" s="1"/>
  <c r="L632" i="14"/>
  <c r="J633" i="14"/>
  <c r="N4523" i="6" s="1"/>
  <c r="L633" i="14"/>
  <c r="J637" i="14"/>
  <c r="N4536" i="6" s="1"/>
  <c r="L637" i="14"/>
  <c r="H637" i="14"/>
  <c r="O4542" i="6"/>
  <c r="O4534" i="6"/>
  <c r="O4536" i="6"/>
  <c r="O4540" i="6"/>
  <c r="N4543" i="6"/>
  <c r="O4543" i="6"/>
  <c r="N4544" i="6"/>
  <c r="O4544" i="6"/>
  <c r="N4545" i="6"/>
  <c r="O4545" i="6"/>
  <c r="N4546" i="6"/>
  <c r="O4546" i="6"/>
  <c r="N4548" i="6"/>
  <c r="O4548" i="6"/>
  <c r="N4549" i="6"/>
  <c r="O4549" i="6"/>
  <c r="N4550" i="6"/>
  <c r="O4550" i="6"/>
  <c r="N4551" i="6"/>
  <c r="O4551" i="6"/>
  <c r="N4552" i="6"/>
  <c r="O4552" i="6"/>
  <c r="J635" i="14"/>
  <c r="L635" i="14"/>
  <c r="H635" i="14"/>
  <c r="O4558" i="6"/>
  <c r="O4553" i="6"/>
  <c r="J634" i="14"/>
  <c r="N4569" i="6" s="1"/>
  <c r="L634" i="14"/>
  <c r="H634" i="14"/>
  <c r="O4578" i="6"/>
  <c r="O4573" i="6"/>
  <c r="J638" i="14"/>
  <c r="N4582" i="6" s="1"/>
  <c r="L638" i="14"/>
  <c r="H638" i="14"/>
  <c r="O4579" i="6"/>
  <c r="O4580" i="6"/>
  <c r="O4582" i="6"/>
  <c r="O4586" i="6"/>
  <c r="O4587" i="6"/>
  <c r="J639" i="14"/>
  <c r="N4591" i="6" s="1"/>
  <c r="L639" i="14"/>
  <c r="H639" i="14"/>
  <c r="O4595" i="6"/>
  <c r="O4591" i="6"/>
  <c r="O4594" i="6"/>
  <c r="O4599" i="6"/>
  <c r="O4601" i="6"/>
  <c r="J640" i="14"/>
  <c r="N4609" i="6" s="1"/>
  <c r="L640" i="14"/>
  <c r="H640" i="14"/>
  <c r="O4611" i="6"/>
  <c r="O4609" i="6"/>
  <c r="J641" i="14"/>
  <c r="N4617" i="6" s="1"/>
  <c r="L641" i="14"/>
  <c r="O4616" i="6"/>
  <c r="O4618" i="6"/>
  <c r="J642" i="14"/>
  <c r="N4620" i="6" s="1"/>
  <c r="L642" i="14"/>
  <c r="H642" i="14"/>
  <c r="O4622" i="6"/>
  <c r="J643" i="14"/>
  <c r="N4631" i="6" s="1"/>
  <c r="L643" i="14"/>
  <c r="H643" i="14"/>
  <c r="O4633" i="6"/>
  <c r="J644" i="14"/>
  <c r="L644" i="14"/>
  <c r="H644" i="14"/>
  <c r="O4644" i="6"/>
  <c r="J645" i="14"/>
  <c r="N4659" i="6" s="1"/>
  <c r="L645" i="14"/>
  <c r="H645" i="14"/>
  <c r="O4651" i="6"/>
  <c r="O4656" i="6"/>
  <c r="O4657" i="6"/>
  <c r="J646" i="14"/>
  <c r="N4663" i="6" s="1"/>
  <c r="L646" i="14"/>
  <c r="H646" i="14"/>
  <c r="O4661" i="6"/>
  <c r="O4666" i="6"/>
  <c r="O4665" i="6"/>
  <c r="O4667" i="6"/>
  <c r="J647" i="14"/>
  <c r="N4673" i="6" s="1"/>
  <c r="L647" i="14"/>
  <c r="H647" i="14"/>
  <c r="O4675" i="6"/>
  <c r="N4679" i="6"/>
  <c r="O4679" i="6"/>
  <c r="N4680" i="6"/>
  <c r="O4680" i="6"/>
  <c r="N4681" i="6"/>
  <c r="O4681" i="6"/>
  <c r="N4682" i="6"/>
  <c r="O4682" i="6"/>
  <c r="N4683" i="6"/>
  <c r="O4683" i="6"/>
  <c r="N4685" i="6"/>
  <c r="O4685" i="6"/>
  <c r="J649" i="14"/>
  <c r="L649" i="14"/>
  <c r="H649" i="14"/>
  <c r="O4696" i="6"/>
  <c r="O4687" i="6"/>
  <c r="O4693" i="6"/>
  <c r="O4694" i="6"/>
  <c r="J650" i="14"/>
  <c r="N4697" i="6" s="1"/>
  <c r="L650" i="14"/>
  <c r="H650" i="14"/>
  <c r="O4698" i="6"/>
  <c r="O4697" i="6"/>
  <c r="O4699" i="6"/>
  <c r="O4703" i="6"/>
  <c r="O4704" i="6"/>
  <c r="J651" i="14"/>
  <c r="O4705" i="6"/>
  <c r="O4706" i="6"/>
  <c r="J652" i="14"/>
  <c r="N4708" i="6" s="1"/>
  <c r="O4707" i="6"/>
  <c r="O4708" i="6"/>
  <c r="O4709" i="6"/>
  <c r="J653" i="14"/>
  <c r="L653" i="14"/>
  <c r="H653" i="14"/>
  <c r="O4720" i="6"/>
  <c r="O4713" i="6"/>
  <c r="O4717" i="6"/>
  <c r="O4726" i="6"/>
  <c r="J654" i="14"/>
  <c r="N4728" i="6" s="1"/>
  <c r="L654" i="14"/>
  <c r="H654" i="14"/>
  <c r="O4734" i="6"/>
  <c r="J655" i="14"/>
  <c r="L655" i="14"/>
  <c r="H655" i="14"/>
  <c r="O4745" i="6"/>
  <c r="J656" i="14"/>
  <c r="N4752" i="6" s="1"/>
  <c r="O4751" i="6"/>
  <c r="O4752" i="6"/>
  <c r="J657" i="14"/>
  <c r="N4753" i="6" s="1"/>
  <c r="O4753" i="6"/>
  <c r="J658" i="14"/>
  <c r="N4754" i="6" s="1"/>
  <c r="O4754" i="6"/>
  <c r="O4755" i="6"/>
  <c r="J664" i="14"/>
  <c r="N4756" i="6" s="1"/>
  <c r="L664" i="14"/>
  <c r="H664" i="14"/>
  <c r="O4760" i="6"/>
  <c r="O4761" i="6"/>
  <c r="O4757" i="6"/>
  <c r="O4762" i="6"/>
  <c r="O4764" i="6"/>
  <c r="L663" i="14"/>
  <c r="H663" i="14"/>
  <c r="O4769" i="6"/>
  <c r="J662" i="14"/>
  <c r="L662" i="14"/>
  <c r="H662" i="14"/>
  <c r="O4781" i="6"/>
  <c r="O4780" i="6"/>
  <c r="J661" i="14"/>
  <c r="N4786" i="6" s="1"/>
  <c r="L661" i="14"/>
  <c r="H661" i="14"/>
  <c r="O4784" i="6"/>
  <c r="J660" i="14"/>
  <c r="L660" i="14"/>
  <c r="H660" i="14"/>
  <c r="O4797" i="6"/>
  <c r="O4798" i="6"/>
  <c r="O4801" i="6"/>
  <c r="O4799" i="6"/>
  <c r="O4802" i="6"/>
  <c r="O4803" i="6"/>
  <c r="O4805" i="6"/>
  <c r="J659" i="14"/>
  <c r="N4806" i="6" s="1"/>
  <c r="L659" i="14"/>
  <c r="H659" i="14"/>
  <c r="O4806" i="6"/>
  <c r="O4807" i="6"/>
  <c r="O4811" i="6"/>
  <c r="L665" i="14"/>
  <c r="O4817" i="6"/>
  <c r="K665" i="14"/>
  <c r="J665" i="14"/>
  <c r="O4816" i="6"/>
  <c r="L666" i="14"/>
  <c r="O4823" i="6"/>
  <c r="J666" i="14"/>
  <c r="O4822" i="6"/>
  <c r="O4824" i="6"/>
  <c r="K667" i="14"/>
  <c r="J667" i="14"/>
  <c r="O4825" i="6"/>
  <c r="O4826" i="6"/>
  <c r="O4827" i="6"/>
  <c r="O4828" i="6"/>
  <c r="O4829" i="6"/>
  <c r="O4830" i="6"/>
  <c r="O4831" i="6"/>
  <c r="O4832" i="6"/>
  <c r="O4833" i="6"/>
  <c r="O4834" i="6"/>
  <c r="O4835" i="6"/>
  <c r="O4836" i="6"/>
  <c r="O4837" i="6"/>
  <c r="J669" i="14"/>
  <c r="N4838" i="6" s="1"/>
  <c r="L669" i="14"/>
  <c r="H669" i="14"/>
  <c r="O4838" i="6"/>
  <c r="O4839" i="6"/>
  <c r="O4849" i="6"/>
  <c r="J670" i="14"/>
  <c r="N4855" i="6" s="1"/>
  <c r="L670" i="14"/>
  <c r="H670" i="14"/>
  <c r="O4855" i="6"/>
  <c r="O4854" i="6"/>
  <c r="O4851" i="6"/>
  <c r="O4852" i="6"/>
  <c r="O4853" i="6"/>
  <c r="O4856" i="6"/>
  <c r="O4858" i="6"/>
  <c r="O4859" i="6"/>
  <c r="J671" i="14"/>
  <c r="N4865" i="6" s="1"/>
  <c r="L671" i="14"/>
  <c r="H671" i="14"/>
  <c r="O4860" i="6"/>
  <c r="O4861" i="6"/>
  <c r="O4865" i="6"/>
  <c r="J672" i="14"/>
  <c r="N4871" i="6" s="1"/>
  <c r="L672" i="14"/>
  <c r="H672" i="14"/>
  <c r="O4874" i="6"/>
  <c r="O4873" i="6"/>
  <c r="J673" i="14"/>
  <c r="N4883" i="6" s="1"/>
  <c r="L673" i="14"/>
  <c r="H673" i="14"/>
  <c r="O4882" i="6"/>
  <c r="O4878" i="6"/>
  <c r="O4881" i="6"/>
  <c r="O4883" i="6"/>
  <c r="O4887" i="6"/>
  <c r="J674" i="14"/>
  <c r="N4889" i="6" s="1"/>
  <c r="L674" i="14"/>
  <c r="H674" i="14"/>
  <c r="O4893" i="6"/>
  <c r="O4894" i="6"/>
  <c r="J675" i="14"/>
  <c r="L675" i="14"/>
  <c r="O4905" i="6"/>
  <c r="J676" i="14"/>
  <c r="N4914" i="6" s="1"/>
  <c r="L676" i="14"/>
  <c r="H676" i="14"/>
  <c r="O4913" i="6"/>
  <c r="J677" i="14"/>
  <c r="N4916" i="6" s="1"/>
  <c r="L677" i="14"/>
  <c r="H677" i="14"/>
  <c r="O4921" i="6"/>
  <c r="J678" i="14"/>
  <c r="N4925" i="6" s="1"/>
  <c r="L678" i="14"/>
  <c r="H678" i="14"/>
  <c r="O4924" i="6"/>
  <c r="O4922" i="6"/>
  <c r="O4925" i="6"/>
  <c r="O4927" i="6"/>
  <c r="J679" i="14"/>
  <c r="N4933" i="6" s="1"/>
  <c r="L679" i="14"/>
  <c r="H679" i="14"/>
  <c r="O4928" i="6"/>
  <c r="O4932" i="6"/>
  <c r="O4931" i="6"/>
  <c r="O4933" i="6"/>
  <c r="J680" i="14"/>
  <c r="N4937" i="6" s="1"/>
  <c r="L680" i="14"/>
  <c r="H680" i="14"/>
  <c r="O4939" i="6"/>
  <c r="J681" i="14"/>
  <c r="N4947" i="6" s="1"/>
  <c r="L681" i="14"/>
  <c r="H681" i="14"/>
  <c r="O4947" i="6"/>
  <c r="O4955" i="6"/>
  <c r="J682" i="14"/>
  <c r="N4957" i="6" s="1"/>
  <c r="L682" i="14"/>
  <c r="H682" i="14"/>
  <c r="O4961" i="6"/>
  <c r="J683" i="14"/>
  <c r="N4965" i="6" s="1"/>
  <c r="L683" i="14"/>
  <c r="H683" i="14"/>
  <c r="O4967" i="6"/>
  <c r="O4968" i="6"/>
  <c r="J684" i="14"/>
  <c r="N4973" i="6" s="1"/>
  <c r="L684" i="14"/>
  <c r="H684" i="14"/>
  <c r="O4976" i="6"/>
  <c r="O4970" i="6"/>
  <c r="O4973" i="6"/>
  <c r="O4975" i="6"/>
  <c r="O4979" i="6"/>
  <c r="J685" i="14"/>
  <c r="N4983" i="6" s="1"/>
  <c r="L685" i="14"/>
  <c r="H685" i="14"/>
  <c r="O4981" i="6"/>
  <c r="O4987" i="6"/>
  <c r="J686" i="14"/>
  <c r="N4990" i="6" s="1"/>
  <c r="L686" i="14"/>
  <c r="H686" i="14"/>
  <c r="J687" i="14"/>
  <c r="N5001" i="6" s="1"/>
  <c r="L687" i="14"/>
  <c r="H687" i="14"/>
  <c r="O5007" i="6"/>
  <c r="J688" i="14"/>
  <c r="N5015" i="6" s="1"/>
  <c r="L688" i="14"/>
  <c r="H688" i="14"/>
  <c r="O5012" i="6"/>
  <c r="O5014" i="6"/>
  <c r="O5017" i="6"/>
  <c r="J689" i="14"/>
  <c r="N5022" i="6" s="1"/>
  <c r="L689" i="14"/>
  <c r="H689" i="14"/>
  <c r="J690" i="14"/>
  <c r="N5033" i="6" s="1"/>
  <c r="L690" i="14"/>
  <c r="H690" i="14"/>
  <c r="O5031" i="6"/>
  <c r="O5032" i="6"/>
  <c r="O5030" i="6"/>
  <c r="O5033" i="6"/>
  <c r="O5035" i="6"/>
  <c r="O5036" i="6"/>
  <c r="O5037" i="6"/>
  <c r="O5039" i="6"/>
  <c r="J691" i="14"/>
  <c r="N5043" i="6" s="1"/>
  <c r="L691" i="14"/>
  <c r="H691" i="14"/>
  <c r="O5044" i="6"/>
  <c r="J692" i="14"/>
  <c r="N5046" i="6" s="1"/>
  <c r="L692" i="14"/>
  <c r="H692" i="14"/>
  <c r="O5048" i="6"/>
  <c r="O5046" i="6"/>
  <c r="O5047" i="6"/>
  <c r="O5049" i="6"/>
  <c r="O5051" i="6"/>
  <c r="O5052" i="6"/>
  <c r="O5053" i="6"/>
  <c r="O5055" i="6"/>
  <c r="J693" i="14"/>
  <c r="N5058" i="6" s="1"/>
  <c r="L693" i="14"/>
  <c r="H693" i="14"/>
  <c r="O5060" i="6"/>
  <c r="O5057" i="6"/>
  <c r="J694" i="14"/>
  <c r="L694" i="14"/>
  <c r="H694" i="14"/>
  <c r="O5065" i="6"/>
  <c r="O5063" i="6"/>
  <c r="O5066" i="6"/>
  <c r="J695" i="14"/>
  <c r="N5069" i="6" s="1"/>
  <c r="O5068" i="6"/>
  <c r="O5069" i="6"/>
  <c r="J696" i="14"/>
  <c r="N5070" i="6" s="1"/>
  <c r="O5070" i="6"/>
  <c r="J697" i="14"/>
  <c r="N5071" i="6" s="1"/>
  <c r="O5071" i="6"/>
  <c r="J698" i="14"/>
  <c r="N5075" i="6" s="1"/>
  <c r="L698" i="14"/>
  <c r="H698" i="14"/>
  <c r="O5073" i="6"/>
  <c r="O5072" i="6"/>
  <c r="O5074" i="6"/>
  <c r="O5077" i="6"/>
  <c r="O5078" i="6"/>
  <c r="O5080" i="6"/>
  <c r="O5083" i="6"/>
  <c r="J699" i="14"/>
  <c r="N5084" i="6" s="1"/>
  <c r="L699" i="14"/>
  <c r="H699" i="14"/>
  <c r="O5094" i="6"/>
  <c r="O5085" i="6"/>
  <c r="O5091" i="6"/>
  <c r="O5092" i="6"/>
  <c r="O5098" i="6"/>
  <c r="J700" i="14"/>
  <c r="N5107" i="6" s="1"/>
  <c r="L700" i="14"/>
  <c r="H700" i="14"/>
  <c r="O5105" i="6"/>
  <c r="O5100" i="6"/>
  <c r="O5104" i="6"/>
  <c r="O5110" i="6"/>
  <c r="J701" i="14"/>
  <c r="N5111" i="6" s="1"/>
  <c r="L701" i="14"/>
  <c r="H701" i="14"/>
  <c r="O5115" i="6"/>
  <c r="O5113" i="6"/>
  <c r="O5119" i="6"/>
  <c r="J702" i="14"/>
  <c r="N5128" i="6" s="1"/>
  <c r="L702" i="14"/>
  <c r="H702" i="14"/>
  <c r="O5120" i="6"/>
  <c r="O5127" i="6"/>
  <c r="O5126" i="6"/>
  <c r="O5128" i="6"/>
  <c r="J703" i="14"/>
  <c r="L703" i="14"/>
  <c r="H703" i="14"/>
  <c r="O5133" i="6"/>
  <c r="O5135" i="6"/>
  <c r="J704" i="14"/>
  <c r="L704" i="14"/>
  <c r="H704" i="14"/>
  <c r="O5139" i="6"/>
  <c r="O5146" i="6"/>
  <c r="O5144" i="6"/>
  <c r="O5148" i="6"/>
  <c r="J705" i="14"/>
  <c r="N5161" i="6" s="1"/>
  <c r="L705" i="14"/>
  <c r="H705" i="14"/>
  <c r="O5160" i="6"/>
  <c r="J706" i="14"/>
  <c r="N5166" i="6" s="1"/>
  <c r="O5166" i="6"/>
  <c r="O5167" i="6"/>
  <c r="O5168" i="6"/>
  <c r="O5169" i="6"/>
  <c r="O5170" i="6"/>
  <c r="O5171" i="6"/>
  <c r="O5172" i="6"/>
  <c r="J708" i="14"/>
  <c r="N5173" i="6" s="1"/>
  <c r="L708" i="14"/>
  <c r="H708" i="14"/>
  <c r="O5174" i="6"/>
  <c r="O5173" i="6"/>
  <c r="O5175" i="6"/>
  <c r="O5177" i="6"/>
  <c r="O5179" i="6"/>
  <c r="O5180" i="6"/>
  <c r="J709" i="14"/>
  <c r="L709" i="14"/>
  <c r="H709" i="14"/>
  <c r="O5189" i="6"/>
  <c r="J710" i="14"/>
  <c r="N5197" i="6" s="1"/>
  <c r="L710" i="14"/>
  <c r="H710" i="14"/>
  <c r="O5195" i="6"/>
  <c r="O5209" i="6"/>
  <c r="J711" i="14"/>
  <c r="N5211" i="6" s="1"/>
  <c r="L711" i="14"/>
  <c r="H711" i="14"/>
  <c r="O5220" i="6"/>
  <c r="O5213" i="6"/>
  <c r="O5218" i="6"/>
  <c r="J712" i="14"/>
  <c r="N5221" i="6" s="1"/>
  <c r="O5221" i="6"/>
  <c r="J713" i="14"/>
  <c r="N5222" i="6" s="1"/>
  <c r="O5222" i="6"/>
  <c r="J714" i="14"/>
  <c r="N5223" i="6" s="1"/>
  <c r="L714" i="14"/>
  <c r="H714" i="14"/>
  <c r="O5223" i="6"/>
  <c r="O5224" i="6"/>
  <c r="J715" i="14"/>
  <c r="N5227" i="6" s="1"/>
  <c r="L715" i="14"/>
  <c r="H715" i="14"/>
  <c r="O5227" i="6"/>
  <c r="J716" i="14"/>
  <c r="N5232" i="6" s="1"/>
  <c r="L716" i="14"/>
  <c r="H716" i="14"/>
  <c r="O5234" i="6"/>
  <c r="O5231" i="6"/>
  <c r="O5230" i="6"/>
  <c r="J717" i="14"/>
  <c r="N5245" i="6" s="1"/>
  <c r="L717" i="14"/>
  <c r="H717" i="14"/>
  <c r="O5235" i="6"/>
  <c r="O5238" i="6"/>
  <c r="O5240" i="6"/>
  <c r="O5236" i="6"/>
  <c r="O5239" i="6"/>
  <c r="O5241" i="6"/>
  <c r="O5242" i="6"/>
  <c r="O5244" i="6"/>
  <c r="J718" i="14"/>
  <c r="L718" i="14"/>
  <c r="H718" i="14"/>
  <c r="O5251" i="6"/>
  <c r="O5250" i="6"/>
  <c r="J719" i="14"/>
  <c r="N5256" i="6" s="1"/>
  <c r="L719" i="14"/>
  <c r="H719" i="14"/>
  <c r="O5255" i="6"/>
  <c r="J720" i="14"/>
  <c r="N5265" i="6" s="1"/>
  <c r="L720" i="14"/>
  <c r="H720" i="14"/>
  <c r="O5261" i="6"/>
  <c r="J721" i="14"/>
  <c r="N5274" i="6" s="1"/>
  <c r="L721" i="14"/>
  <c r="H721" i="14"/>
  <c r="O5273" i="6"/>
  <c r="O5276" i="6"/>
  <c r="J722" i="14"/>
  <c r="N5280" i="6" s="1"/>
  <c r="L722" i="14"/>
  <c r="H722" i="14"/>
  <c r="O5281" i="6"/>
  <c r="J723" i="14"/>
  <c r="N5287" i="6" s="1"/>
  <c r="L723" i="14"/>
  <c r="H723" i="14"/>
  <c r="O5287" i="6"/>
  <c r="O5293" i="6"/>
  <c r="J724" i="14"/>
  <c r="N5298" i="6" s="1"/>
  <c r="L724" i="14"/>
  <c r="H724" i="14"/>
  <c r="O5301" i="6"/>
  <c r="O5295" i="6"/>
  <c r="O5297" i="6"/>
  <c r="O5300" i="6"/>
  <c r="O5303" i="6"/>
  <c r="J725" i="14"/>
  <c r="N5306" i="6" s="1"/>
  <c r="L725" i="14"/>
  <c r="H725" i="14"/>
  <c r="O5306" i="6"/>
  <c r="O5308" i="6"/>
  <c r="J726" i="14"/>
  <c r="N5309" i="6" s="1"/>
  <c r="L726" i="14"/>
  <c r="H726" i="14"/>
  <c r="O5316" i="6"/>
  <c r="O5310" i="6"/>
  <c r="O5313" i="6"/>
  <c r="J727" i="14"/>
  <c r="N5320" i="6" s="1"/>
  <c r="L727" i="14"/>
  <c r="H727" i="14"/>
  <c r="O5325" i="6"/>
  <c r="O5322" i="6"/>
  <c r="O5321" i="6"/>
  <c r="O5324" i="6"/>
  <c r="O5326" i="6"/>
  <c r="O5327" i="6"/>
  <c r="J728" i="14"/>
  <c r="N5330" i="6" s="1"/>
  <c r="L728" i="14"/>
  <c r="H728" i="14"/>
  <c r="O5335" i="6"/>
  <c r="O5334" i="6"/>
  <c r="J729" i="14"/>
  <c r="N5338" i="6" s="1"/>
  <c r="O5336" i="6"/>
  <c r="O5337" i="6"/>
  <c r="O5338" i="6"/>
  <c r="J730" i="14"/>
  <c r="N5339" i="6" s="1"/>
  <c r="O5339" i="6"/>
  <c r="J731" i="14"/>
  <c r="N5344" i="6" s="1"/>
  <c r="L731" i="14"/>
  <c r="H731" i="14"/>
  <c r="O5340" i="6"/>
  <c r="J732" i="14"/>
  <c r="N5354" i="6" s="1"/>
  <c r="O5353" i="6"/>
  <c r="O5354" i="6"/>
  <c r="J733" i="14"/>
  <c r="N5362" i="6" s="1"/>
  <c r="L733" i="14"/>
  <c r="H733" i="14"/>
  <c r="O5361" i="6"/>
  <c r="O5359" i="6"/>
  <c r="O5355" i="6"/>
  <c r="O5356" i="6"/>
  <c r="O5357" i="6"/>
  <c r="O5360" i="6"/>
  <c r="O5362" i="6"/>
  <c r="O5363" i="6"/>
  <c r="J734" i="14"/>
  <c r="N5369" i="6" s="1"/>
  <c r="L734" i="14"/>
  <c r="H734" i="14"/>
  <c r="O5364" i="6"/>
  <c r="O5370" i="6"/>
  <c r="J735" i="14"/>
  <c r="N5371" i="6" s="1"/>
  <c r="O5371" i="6"/>
  <c r="O5372" i="6"/>
  <c r="J736" i="14"/>
  <c r="N5373" i="6" s="1"/>
  <c r="L736" i="14"/>
  <c r="H736" i="14"/>
  <c r="O5376" i="6"/>
  <c r="O5378" i="6"/>
  <c r="O5374" i="6"/>
  <c r="O5375" i="6"/>
  <c r="O5377" i="6"/>
  <c r="J737" i="14"/>
  <c r="N5380" i="6" s="1"/>
  <c r="L737" i="14"/>
  <c r="H737" i="14"/>
  <c r="O5380" i="6"/>
  <c r="O5386" i="6"/>
  <c r="O5388" i="6"/>
  <c r="J738" i="14"/>
  <c r="N5395" i="6" s="1"/>
  <c r="L738" i="14"/>
  <c r="H738" i="14"/>
  <c r="O5395" i="6"/>
  <c r="O5394" i="6"/>
  <c r="K739" i="14"/>
  <c r="J739" i="14"/>
  <c r="L739" i="14"/>
  <c r="H739" i="14"/>
  <c r="O5409" i="6"/>
  <c r="O5398" i="6"/>
  <c r="O5403" i="6"/>
  <c r="O5405" i="6"/>
  <c r="J740" i="14"/>
  <c r="N5411" i="6" s="1"/>
  <c r="O5411" i="6"/>
  <c r="J741" i="14"/>
  <c r="N5412" i="6" s="1"/>
  <c r="O5412" i="6"/>
  <c r="J742" i="14"/>
  <c r="N5413" i="6" s="1"/>
  <c r="O5413" i="6"/>
  <c r="J743" i="14"/>
  <c r="N5417" i="6" s="1"/>
  <c r="L743" i="14"/>
  <c r="H743" i="14"/>
  <c r="O5414" i="6"/>
  <c r="O5420" i="6"/>
  <c r="O5421" i="6"/>
  <c r="J744" i="14"/>
  <c r="N5428" i="6" s="1"/>
  <c r="L744" i="14"/>
  <c r="H744" i="14"/>
  <c r="O5423" i="6"/>
  <c r="O5425" i="6"/>
  <c r="J745" i="14"/>
  <c r="N5431" i="6" s="1"/>
  <c r="L745" i="14"/>
  <c r="H745" i="14"/>
  <c r="O5436" i="6"/>
  <c r="O5435" i="6"/>
  <c r="O5431" i="6"/>
  <c r="O5434" i="6"/>
  <c r="O5439" i="6"/>
  <c r="J746" i="14"/>
  <c r="N5449" i="6" s="1"/>
  <c r="L746" i="14"/>
  <c r="H746" i="14"/>
  <c r="O5446" i="6"/>
  <c r="O5443" i="6"/>
  <c r="O5450" i="6"/>
  <c r="J747" i="14"/>
  <c r="N5452" i="6" s="1"/>
  <c r="L747" i="14"/>
  <c r="H747" i="14"/>
  <c r="O5454" i="6"/>
  <c r="O5452" i="6"/>
  <c r="O5457" i="6"/>
  <c r="J748" i="14"/>
  <c r="N5459" i="6" s="1"/>
  <c r="O5459" i="6"/>
  <c r="J749" i="14"/>
  <c r="N5460" i="6" s="1"/>
  <c r="O5460" i="6"/>
  <c r="J750" i="14"/>
  <c r="N5463" i="6" s="1"/>
  <c r="L750" i="14"/>
  <c r="H750" i="14"/>
  <c r="O5466" i="6"/>
  <c r="J751" i="14"/>
  <c r="N5473" i="6" s="1"/>
  <c r="L751" i="14"/>
  <c r="H751" i="14"/>
  <c r="O5475" i="6"/>
  <c r="J752" i="14"/>
  <c r="N5480" i="6" s="1"/>
  <c r="L752" i="14"/>
  <c r="H752" i="14"/>
  <c r="O5484" i="6"/>
  <c r="J753" i="14"/>
  <c r="N5491" i="6" s="1"/>
  <c r="L753" i="14"/>
  <c r="H753" i="14"/>
  <c r="O5488" i="6"/>
  <c r="O5489" i="6"/>
  <c r="O5490" i="6"/>
  <c r="O5491" i="6"/>
  <c r="O5492" i="6"/>
  <c r="J754" i="14"/>
  <c r="N5493" i="6" s="1"/>
  <c r="L754" i="14"/>
  <c r="H754" i="14"/>
  <c r="O5494" i="6"/>
  <c r="O5498" i="6"/>
  <c r="O5493" i="6"/>
  <c r="O5496" i="6"/>
  <c r="O5499" i="6"/>
  <c r="O5500" i="6"/>
  <c r="L755" i="14"/>
  <c r="H755" i="14"/>
  <c r="O5506" i="6"/>
  <c r="J756" i="14"/>
  <c r="N5515" i="6" s="1"/>
  <c r="L756" i="14"/>
  <c r="H756" i="14"/>
  <c r="O5514" i="6"/>
  <c r="O5516" i="6"/>
  <c r="L757" i="14"/>
  <c r="O5519" i="6"/>
  <c r="J757" i="14"/>
  <c r="O5521" i="6"/>
  <c r="O5522" i="6"/>
  <c r="J758" i="14"/>
  <c r="N5527" i="6" s="1"/>
  <c r="L758" i="14"/>
  <c r="H758" i="14"/>
  <c r="O5528" i="6"/>
  <c r="J759" i="14"/>
  <c r="N5538" i="6" s="1"/>
  <c r="O5538" i="6"/>
  <c r="J760" i="14"/>
  <c r="N5539" i="6" s="1"/>
  <c r="O5539" i="6"/>
  <c r="J761" i="14"/>
  <c r="N5540" i="6" s="1"/>
  <c r="O5540" i="6"/>
  <c r="J762" i="14"/>
  <c r="N5541" i="6" s="1"/>
  <c r="O5541" i="6"/>
  <c r="J763" i="14"/>
  <c r="N5542" i="6" s="1"/>
  <c r="O5542" i="6"/>
  <c r="J764" i="14"/>
  <c r="N5543" i="6" s="1"/>
  <c r="O5543" i="6"/>
  <c r="O5544" i="6"/>
  <c r="J765" i="14"/>
  <c r="N5548" i="6" s="1"/>
  <c r="L765" i="14"/>
  <c r="H765" i="14"/>
  <c r="O5545" i="6"/>
  <c r="O5549" i="6"/>
  <c r="J766" i="14"/>
  <c r="N5557" i="6" s="1"/>
  <c r="L766" i="14"/>
  <c r="H766" i="14"/>
  <c r="O5561" i="6"/>
  <c r="O5560" i="6"/>
  <c r="O5559" i="6"/>
  <c r="O5562" i="6"/>
  <c r="O5563" i="6"/>
  <c r="O5565" i="6"/>
  <c r="J767" i="14"/>
  <c r="N5572" i="6" s="1"/>
  <c r="L767" i="14"/>
  <c r="H767" i="14"/>
  <c r="O5573" i="6"/>
  <c r="J768" i="14"/>
  <c r="N5581" i="6" s="1"/>
  <c r="O5581" i="6"/>
  <c r="J769" i="14"/>
  <c r="O5582" i="6"/>
  <c r="O5583" i="6"/>
  <c r="L770" i="14"/>
  <c r="H770" i="14"/>
  <c r="O5584" i="6"/>
  <c r="O5588" i="6"/>
  <c r="O5590" i="6"/>
  <c r="O5594" i="6"/>
  <c r="J771" i="14"/>
  <c r="N5596" i="6" s="1"/>
  <c r="L771" i="14"/>
  <c r="H771" i="14"/>
  <c r="O5599" i="6"/>
  <c r="O5600" i="6"/>
  <c r="O5596" i="6"/>
  <c r="O5598" i="6"/>
  <c r="O5601" i="6"/>
  <c r="O5602" i="6"/>
  <c r="J772" i="14"/>
  <c r="L772" i="14"/>
  <c r="H772" i="14"/>
  <c r="O5612" i="6"/>
  <c r="O5607" i="6"/>
  <c r="O5604" i="6"/>
  <c r="O5606" i="6"/>
  <c r="O5608" i="6"/>
  <c r="O5609" i="6"/>
  <c r="O5611" i="6"/>
  <c r="J773" i="14"/>
  <c r="N5614" i="6" s="1"/>
  <c r="O5614" i="6"/>
  <c r="J774" i="14"/>
  <c r="L774" i="14"/>
  <c r="H774" i="14"/>
  <c r="O5616" i="6"/>
  <c r="O5618" i="6"/>
  <c r="O5617" i="6"/>
  <c r="J775" i="14"/>
  <c r="N5623" i="6" s="1"/>
  <c r="L775" i="14"/>
  <c r="H775" i="14"/>
  <c r="O5626" i="6"/>
  <c r="O5623" i="6"/>
  <c r="O5625" i="6"/>
  <c r="O5621" i="6"/>
  <c r="O5622" i="6"/>
  <c r="O5624" i="6"/>
  <c r="O5627" i="6"/>
  <c r="O5628" i="6"/>
  <c r="O5630" i="6"/>
  <c r="J776" i="14"/>
  <c r="N5632" i="6" s="1"/>
  <c r="L776" i="14"/>
  <c r="H776" i="14"/>
  <c r="O5635" i="6"/>
  <c r="O5632" i="6"/>
  <c r="O5638" i="6"/>
  <c r="J777" i="14"/>
  <c r="N5645" i="6" s="1"/>
  <c r="L777" i="14"/>
  <c r="H777" i="14"/>
  <c r="J778" i="14"/>
  <c r="L778" i="14"/>
  <c r="H778" i="14"/>
  <c r="O5652" i="6"/>
  <c r="O5649" i="6"/>
  <c r="J779" i="14"/>
  <c r="N5654" i="6" s="1"/>
  <c r="O5654" i="6"/>
  <c r="J780" i="14"/>
  <c r="N5655" i="6" s="1"/>
  <c r="O5655" i="6"/>
  <c r="J781" i="14"/>
  <c r="N5656" i="6" s="1"/>
  <c r="O5656" i="6"/>
  <c r="J782" i="14"/>
  <c r="N5657" i="6" s="1"/>
  <c r="O5657" i="6"/>
  <c r="J783" i="14"/>
  <c r="N5658" i="6" s="1"/>
  <c r="O5658" i="6"/>
  <c r="K784" i="14"/>
  <c r="J784" i="14"/>
  <c r="O5659" i="6"/>
  <c r="O5660" i="6"/>
  <c r="J785" i="14"/>
  <c r="N5661" i="6" s="1"/>
  <c r="O5661" i="6"/>
  <c r="J786" i="14"/>
  <c r="N5662" i="6" s="1"/>
  <c r="O5662" i="6"/>
  <c r="J787" i="14"/>
  <c r="N5665" i="6" s="1"/>
  <c r="L787" i="14"/>
  <c r="H787" i="14"/>
  <c r="O5664" i="6"/>
  <c r="O5668" i="6"/>
  <c r="J788" i="14"/>
  <c r="N5674" i="6" s="1"/>
  <c r="L788" i="14"/>
  <c r="H788" i="14"/>
  <c r="O5681" i="6"/>
  <c r="O5672" i="6"/>
  <c r="J789" i="14"/>
  <c r="N5688" i="6" s="1"/>
  <c r="L789" i="14"/>
  <c r="H789" i="14"/>
  <c r="O5687" i="6"/>
  <c r="O5685" i="6"/>
  <c r="O5684" i="6"/>
  <c r="O5686" i="6"/>
  <c r="O5688" i="6"/>
  <c r="O5689" i="6"/>
  <c r="J790" i="14"/>
  <c r="N5695" i="6" s="1"/>
  <c r="L790" i="14"/>
  <c r="H790" i="14"/>
  <c r="O5694" i="6"/>
  <c r="O5700" i="6"/>
  <c r="J791" i="14"/>
  <c r="N5709" i="6" s="1"/>
  <c r="L791" i="14"/>
  <c r="H791" i="14"/>
  <c r="O5708" i="6"/>
  <c r="O5705" i="6"/>
  <c r="O5712" i="6"/>
  <c r="J792" i="14"/>
  <c r="N5716" i="6" s="1"/>
  <c r="L792" i="14"/>
  <c r="H792" i="14"/>
  <c r="O5717" i="6"/>
  <c r="O5718" i="6"/>
  <c r="O5722" i="6"/>
  <c r="J793" i="14"/>
  <c r="N5723" i="6" s="1"/>
  <c r="O5723" i="6"/>
  <c r="J794" i="14"/>
  <c r="N5728" i="6" s="1"/>
  <c r="L794" i="14"/>
  <c r="H794" i="14"/>
  <c r="O5726" i="6"/>
  <c r="J795" i="14"/>
  <c r="L795" i="14"/>
  <c r="H795" i="14"/>
  <c r="O5731" i="6"/>
  <c r="O5737" i="6"/>
  <c r="O5739" i="6"/>
  <c r="J796" i="14"/>
  <c r="N5742" i="6" s="1"/>
  <c r="O5742" i="6"/>
  <c r="J797" i="14"/>
  <c r="N5743" i="6" s="1"/>
  <c r="O5743" i="6"/>
  <c r="J798" i="14"/>
  <c r="N5745" i="6" s="1"/>
  <c r="O5744" i="6"/>
  <c r="O5745" i="6"/>
  <c r="K799" i="14"/>
  <c r="J799" i="14"/>
  <c r="O5746" i="6"/>
  <c r="O5747" i="6"/>
  <c r="J800" i="14"/>
  <c r="N5757" i="6" s="1"/>
  <c r="L800" i="14"/>
  <c r="H800" i="14"/>
  <c r="O5756" i="6"/>
  <c r="O5748" i="6"/>
  <c r="O5750" i="6"/>
  <c r="O5751" i="6"/>
  <c r="O5752" i="6"/>
  <c r="O5754" i="6"/>
  <c r="O5757" i="6"/>
  <c r="J801" i="14"/>
  <c r="L801" i="14"/>
  <c r="H801" i="14"/>
  <c r="O5759" i="6"/>
  <c r="J802" i="14"/>
  <c r="L802" i="14"/>
  <c r="H802" i="14"/>
  <c r="O5765" i="6"/>
  <c r="O5767" i="6"/>
  <c r="O5768" i="6"/>
  <c r="O5770" i="6"/>
  <c r="O5772" i="6"/>
  <c r="O5773" i="6"/>
  <c r="O5774" i="6"/>
  <c r="J803" i="14"/>
  <c r="Q803" i="14" s="1"/>
  <c r="L803" i="14"/>
  <c r="H803" i="14"/>
  <c r="O5780" i="6"/>
  <c r="O5781" i="6"/>
  <c r="O5782" i="6"/>
  <c r="J804" i="14"/>
  <c r="N5786" i="6" s="1"/>
  <c r="O5784" i="6"/>
  <c r="O5785" i="6"/>
  <c r="O5786" i="6"/>
  <c r="O5787" i="6"/>
  <c r="O5788" i="6"/>
  <c r="O5789" i="6"/>
  <c r="J805" i="14"/>
  <c r="N5790" i="6" s="1"/>
  <c r="O5790" i="6"/>
  <c r="J806" i="14"/>
  <c r="N5791" i="6" s="1"/>
  <c r="O5791" i="6"/>
  <c r="J807" i="14"/>
  <c r="N5792" i="6" s="1"/>
  <c r="O5792" i="6"/>
  <c r="J808" i="14"/>
  <c r="N5793" i="6" s="1"/>
  <c r="O5793" i="6"/>
  <c r="J809" i="14"/>
  <c r="N5800" i="6" s="1"/>
  <c r="H809" i="14"/>
  <c r="O5795" i="6"/>
  <c r="O5797" i="6"/>
  <c r="J810" i="14"/>
  <c r="N5806" i="6" s="1"/>
  <c r="H810" i="14"/>
  <c r="O5803" i="6"/>
  <c r="O5807" i="6"/>
  <c r="O5809" i="6"/>
  <c r="O5811" i="6"/>
  <c r="J811" i="14"/>
  <c r="H811" i="14"/>
  <c r="O5813" i="6"/>
  <c r="O5814" i="6"/>
  <c r="O5815" i="6"/>
  <c r="O5816" i="6"/>
  <c r="J812" i="14"/>
  <c r="N5818" i="6" s="1"/>
  <c r="H812" i="14"/>
  <c r="O5820" i="6"/>
  <c r="O5817" i="6"/>
  <c r="O5818" i="6"/>
  <c r="O5819" i="6"/>
  <c r="O5821" i="6"/>
  <c r="O5822" i="6"/>
  <c r="O5823" i="6"/>
  <c r="O5824" i="6"/>
  <c r="O5825" i="6"/>
  <c r="J813" i="14"/>
  <c r="H813" i="14"/>
  <c r="O5827" i="6"/>
  <c r="O5828" i="6"/>
  <c r="O5830" i="6"/>
  <c r="O5832" i="6"/>
  <c r="O5833" i="6"/>
  <c r="O5834" i="6"/>
  <c r="O5836" i="6"/>
  <c r="O5838" i="6"/>
  <c r="J814" i="14"/>
  <c r="N5839" i="6" s="1"/>
  <c r="O5839" i="6"/>
  <c r="J815" i="14"/>
  <c r="N5840" i="6" s="1"/>
  <c r="O5840" i="6"/>
  <c r="J816" i="14"/>
  <c r="N5841" i="6" s="1"/>
  <c r="O5841" i="6"/>
  <c r="O5842" i="6"/>
  <c r="O5843" i="6"/>
  <c r="O5844" i="6"/>
  <c r="O5845" i="6"/>
  <c r="O5846" i="6"/>
  <c r="O5847" i="6"/>
  <c r="O5848" i="6"/>
  <c r="O5849" i="6"/>
  <c r="O5850" i="6"/>
  <c r="O5851" i="6"/>
  <c r="O5852" i="6"/>
  <c r="O5853" i="6"/>
  <c r="O5854" i="6"/>
  <c r="O5855" i="6"/>
  <c r="O5856" i="6"/>
  <c r="O5857" i="6"/>
  <c r="O5858" i="6"/>
  <c r="O5859" i="6"/>
  <c r="O5860" i="6"/>
  <c r="J819" i="14"/>
  <c r="Q819" i="14" s="1"/>
  <c r="O5861" i="6"/>
  <c r="O5862" i="6"/>
  <c r="O5863" i="6"/>
  <c r="O5864" i="6"/>
  <c r="O5865" i="6"/>
  <c r="O5866" i="6"/>
  <c r="O5867" i="6"/>
  <c r="O5868" i="6"/>
  <c r="O5869" i="6"/>
  <c r="O5870" i="6"/>
  <c r="O5871" i="6"/>
  <c r="O5872" i="6"/>
  <c r="O5873" i="6"/>
  <c r="O5874" i="6"/>
  <c r="O5875" i="6"/>
  <c r="O5876" i="6"/>
  <c r="O5877" i="6"/>
  <c r="O5878" i="6"/>
  <c r="O5879" i="6"/>
  <c r="O5880" i="6"/>
  <c r="O5881" i="6"/>
  <c r="O5882" i="6"/>
  <c r="O5883" i="6"/>
  <c r="O5884" i="6"/>
  <c r="O5885" i="6"/>
  <c r="O5886" i="6"/>
  <c r="O5887" i="6"/>
  <c r="O5888" i="6"/>
  <c r="O5889" i="6"/>
  <c r="O5890" i="6"/>
  <c r="O5891" i="6"/>
  <c r="O5892" i="6"/>
  <c r="O5893" i="6"/>
  <c r="O5894" i="6"/>
  <c r="O5895" i="6"/>
  <c r="N6337" i="6"/>
  <c r="O6337" i="6"/>
  <c r="N6338" i="6"/>
  <c r="O6338" i="6"/>
  <c r="N6339" i="6"/>
  <c r="O6339" i="6"/>
  <c r="N6340" i="6"/>
  <c r="O6340" i="6"/>
  <c r="N6341" i="6"/>
  <c r="O6341" i="6"/>
  <c r="N6342" i="6"/>
  <c r="O6342" i="6"/>
  <c r="N6343" i="6"/>
  <c r="O6343" i="6"/>
  <c r="J822" i="14"/>
  <c r="N5878" i="6" s="1"/>
  <c r="J823" i="14"/>
  <c r="N5879" i="6" s="1"/>
  <c r="E5659" i="6"/>
  <c r="F5659" i="6" s="1"/>
  <c r="D5659" i="6"/>
  <c r="C5659" i="6"/>
  <c r="B5659" i="6"/>
  <c r="E5778" i="6"/>
  <c r="F5778" i="6" s="1"/>
  <c r="D5778" i="6"/>
  <c r="C5778" i="6"/>
  <c r="B5778" i="6"/>
  <c r="E5777" i="6"/>
  <c r="F5777" i="6" s="1"/>
  <c r="D5777" i="6"/>
  <c r="C5777" i="6"/>
  <c r="B5777" i="6"/>
  <c r="E5776" i="6"/>
  <c r="F5776" i="6" s="1"/>
  <c r="D5776" i="6"/>
  <c r="C5776" i="6"/>
  <c r="B5776" i="6"/>
  <c r="E5775" i="6"/>
  <c r="F5775" i="6" s="1"/>
  <c r="D5775" i="6"/>
  <c r="C5775" i="6"/>
  <c r="B5775" i="6"/>
  <c r="E5774" i="6"/>
  <c r="F5774" i="6" s="1"/>
  <c r="D5774" i="6"/>
  <c r="C5774" i="6"/>
  <c r="B5774" i="6"/>
  <c r="E5773" i="6"/>
  <c r="F5773" i="6" s="1"/>
  <c r="D5773" i="6"/>
  <c r="C5773" i="6"/>
  <c r="B5773" i="6"/>
  <c r="E5772" i="6"/>
  <c r="F5772" i="6" s="1"/>
  <c r="D5772" i="6"/>
  <c r="C5772" i="6"/>
  <c r="B5772" i="6"/>
  <c r="E5771" i="6"/>
  <c r="F5771" i="6" s="1"/>
  <c r="D5771" i="6"/>
  <c r="C5771" i="6"/>
  <c r="B5771" i="6"/>
  <c r="E5770" i="6"/>
  <c r="F5770" i="6" s="1"/>
  <c r="D5770" i="6"/>
  <c r="C5770" i="6"/>
  <c r="B5770" i="6"/>
  <c r="E5769" i="6"/>
  <c r="F5769" i="6" s="1"/>
  <c r="D5769" i="6"/>
  <c r="C5769" i="6"/>
  <c r="B5769" i="6"/>
  <c r="E5768" i="6"/>
  <c r="F5768" i="6" s="1"/>
  <c r="D5768" i="6"/>
  <c r="C5768" i="6"/>
  <c r="B5768" i="6"/>
  <c r="E5767" i="6"/>
  <c r="F5767" i="6" s="1"/>
  <c r="D5767" i="6"/>
  <c r="C5767" i="6"/>
  <c r="B5767" i="6"/>
  <c r="E5766" i="6"/>
  <c r="F5766" i="6" s="1"/>
  <c r="D5766" i="6"/>
  <c r="C5766" i="6"/>
  <c r="B5766" i="6"/>
  <c r="V5765" i="6"/>
  <c r="E5765" i="6"/>
  <c r="F5765" i="6" s="1"/>
  <c r="D5765" i="6"/>
  <c r="C5765" i="6"/>
  <c r="B5765" i="6"/>
  <c r="E5764" i="6"/>
  <c r="F5764" i="6" s="1"/>
  <c r="D5764" i="6"/>
  <c r="C5764" i="6"/>
  <c r="B5764" i="6"/>
  <c r="O5763" i="6"/>
  <c r="E5763" i="6"/>
  <c r="F5763" i="6" s="1"/>
  <c r="D5763" i="6"/>
  <c r="C5763" i="6"/>
  <c r="B5763" i="6"/>
  <c r="E5762" i="6"/>
  <c r="F5762" i="6" s="1"/>
  <c r="D5762" i="6"/>
  <c r="C5762" i="6"/>
  <c r="B5762" i="6"/>
  <c r="E5761" i="6"/>
  <c r="F5761" i="6" s="1"/>
  <c r="D5761" i="6"/>
  <c r="C5761" i="6"/>
  <c r="B5761" i="6"/>
  <c r="V5760" i="6"/>
  <c r="E5760" i="6"/>
  <c r="F5760" i="6" s="1"/>
  <c r="D5760" i="6"/>
  <c r="C5760" i="6"/>
  <c r="B5760" i="6"/>
  <c r="E5759" i="6"/>
  <c r="F5759" i="6" s="1"/>
  <c r="D5759" i="6"/>
  <c r="C5759" i="6"/>
  <c r="B5759" i="6"/>
  <c r="E5758" i="6"/>
  <c r="F5758" i="6" s="1"/>
  <c r="D5758" i="6"/>
  <c r="C5758" i="6"/>
  <c r="B5758" i="6"/>
  <c r="E5757" i="6"/>
  <c r="F5757" i="6" s="1"/>
  <c r="D5757" i="6"/>
  <c r="C5757" i="6"/>
  <c r="B5757" i="6"/>
  <c r="E5756" i="6"/>
  <c r="F5756" i="6" s="1"/>
  <c r="D5756" i="6"/>
  <c r="C5756" i="6"/>
  <c r="B5756" i="6"/>
  <c r="V5755" i="6"/>
  <c r="E5755" i="6"/>
  <c r="F5755" i="6" s="1"/>
  <c r="D5755" i="6"/>
  <c r="C5755" i="6"/>
  <c r="B5755" i="6"/>
  <c r="V5754" i="6"/>
  <c r="E5754" i="6"/>
  <c r="F5754" i="6" s="1"/>
  <c r="D5754" i="6"/>
  <c r="C5754" i="6"/>
  <c r="B5754" i="6"/>
  <c r="V5753" i="6"/>
  <c r="E5753" i="6"/>
  <c r="F5753" i="6" s="1"/>
  <c r="D5753" i="6"/>
  <c r="C5753" i="6"/>
  <c r="B5753" i="6"/>
  <c r="V5752" i="6"/>
  <c r="E5752" i="6"/>
  <c r="F5752" i="6" s="1"/>
  <c r="D5752" i="6"/>
  <c r="C5752" i="6"/>
  <c r="B5752" i="6"/>
  <c r="E5751" i="6"/>
  <c r="F5751" i="6" s="1"/>
  <c r="D5751" i="6"/>
  <c r="C5751" i="6"/>
  <c r="B5751" i="6"/>
  <c r="E5750" i="6"/>
  <c r="F5750" i="6" s="1"/>
  <c r="D5750" i="6"/>
  <c r="C5750" i="6"/>
  <c r="B5750" i="6"/>
  <c r="E5749" i="6"/>
  <c r="F5749" i="6" s="1"/>
  <c r="D5749" i="6"/>
  <c r="C5749" i="6"/>
  <c r="B5749" i="6"/>
  <c r="E5748" i="6"/>
  <c r="F5748" i="6" s="1"/>
  <c r="D5748" i="6"/>
  <c r="C5748" i="6"/>
  <c r="B5748" i="6"/>
  <c r="E5747" i="6"/>
  <c r="F5747" i="6" s="1"/>
  <c r="D5747" i="6"/>
  <c r="C5747" i="6"/>
  <c r="B5747" i="6"/>
  <c r="E5746" i="6"/>
  <c r="F5746" i="6" s="1"/>
  <c r="D5746" i="6"/>
  <c r="C5746" i="6"/>
  <c r="B5746" i="6"/>
  <c r="E5745" i="6"/>
  <c r="F5745" i="6" s="1"/>
  <c r="D5745" i="6"/>
  <c r="C5745" i="6"/>
  <c r="B5745" i="6"/>
  <c r="E5744" i="6"/>
  <c r="F5744" i="6" s="1"/>
  <c r="D5744" i="6"/>
  <c r="C5744" i="6"/>
  <c r="B5744" i="6"/>
  <c r="E5743" i="6"/>
  <c r="F5743" i="6" s="1"/>
  <c r="D5743" i="6"/>
  <c r="C5743" i="6"/>
  <c r="B5743" i="6"/>
  <c r="E5742" i="6"/>
  <c r="F5742" i="6" s="1"/>
  <c r="D5742" i="6"/>
  <c r="C5742" i="6"/>
  <c r="B5742" i="6"/>
  <c r="E5741" i="6"/>
  <c r="F5741" i="6" s="1"/>
  <c r="D5741" i="6"/>
  <c r="C5741" i="6"/>
  <c r="B5741" i="6"/>
  <c r="E5740" i="6"/>
  <c r="F5740" i="6" s="1"/>
  <c r="D5740" i="6"/>
  <c r="C5740" i="6"/>
  <c r="B5740" i="6"/>
  <c r="V5739" i="6"/>
  <c r="E5739" i="6"/>
  <c r="F5739" i="6" s="1"/>
  <c r="D5739" i="6"/>
  <c r="C5739" i="6"/>
  <c r="B5739" i="6"/>
  <c r="E5738" i="6"/>
  <c r="F5738" i="6" s="1"/>
  <c r="D5738" i="6"/>
  <c r="C5738" i="6"/>
  <c r="B5738" i="6"/>
  <c r="E5737" i="6"/>
  <c r="F5737" i="6" s="1"/>
  <c r="D5737" i="6"/>
  <c r="C5737" i="6"/>
  <c r="B5737" i="6"/>
  <c r="E5736" i="6"/>
  <c r="F5736" i="6" s="1"/>
  <c r="D5736" i="6"/>
  <c r="C5736" i="6"/>
  <c r="B5736" i="6"/>
  <c r="E5735" i="6"/>
  <c r="F5735" i="6" s="1"/>
  <c r="D5735" i="6"/>
  <c r="C5735" i="6"/>
  <c r="B5735" i="6"/>
  <c r="V5734" i="6"/>
  <c r="E5734" i="6"/>
  <c r="F5734" i="6" s="1"/>
  <c r="D5734" i="6"/>
  <c r="C5734" i="6"/>
  <c r="B5734" i="6"/>
  <c r="V5733" i="6"/>
  <c r="E5733" i="6"/>
  <c r="F5733" i="6" s="1"/>
  <c r="D5733" i="6"/>
  <c r="C5733" i="6"/>
  <c r="B5733" i="6"/>
  <c r="V5732" i="6"/>
  <c r="E5732" i="6"/>
  <c r="F5732" i="6" s="1"/>
  <c r="D5732" i="6"/>
  <c r="C5732" i="6"/>
  <c r="B5732" i="6"/>
  <c r="V5731" i="6"/>
  <c r="E5731" i="6"/>
  <c r="F5731" i="6" s="1"/>
  <c r="D5731" i="6"/>
  <c r="C5731" i="6"/>
  <c r="B5731" i="6"/>
  <c r="E5730" i="6"/>
  <c r="F5730" i="6" s="1"/>
  <c r="D5730" i="6"/>
  <c r="C5730" i="6"/>
  <c r="B5730" i="6"/>
  <c r="E5729" i="6"/>
  <c r="F5729" i="6" s="1"/>
  <c r="D5729" i="6"/>
  <c r="C5729" i="6"/>
  <c r="B5729" i="6"/>
  <c r="E5728" i="6"/>
  <c r="F5728" i="6" s="1"/>
  <c r="D5728" i="6"/>
  <c r="C5728" i="6"/>
  <c r="B5728" i="6"/>
  <c r="E5727" i="6"/>
  <c r="F5727" i="6" s="1"/>
  <c r="D5727" i="6"/>
  <c r="C5727" i="6"/>
  <c r="B5727" i="6"/>
  <c r="E5726" i="6"/>
  <c r="F5726" i="6" s="1"/>
  <c r="D5726" i="6"/>
  <c r="C5726" i="6"/>
  <c r="B5726" i="6"/>
  <c r="E5725" i="6"/>
  <c r="F5725" i="6" s="1"/>
  <c r="D5725" i="6"/>
  <c r="C5725" i="6"/>
  <c r="B5725" i="6"/>
  <c r="E5724" i="6"/>
  <c r="F5724" i="6" s="1"/>
  <c r="D5724" i="6"/>
  <c r="C5724" i="6"/>
  <c r="B5724" i="6"/>
  <c r="E5723" i="6"/>
  <c r="F5723" i="6" s="1"/>
  <c r="D5723" i="6"/>
  <c r="C5723" i="6"/>
  <c r="B5723" i="6"/>
  <c r="V5722" i="6"/>
  <c r="E5722" i="6"/>
  <c r="F5722" i="6" s="1"/>
  <c r="D5722" i="6"/>
  <c r="C5722" i="6"/>
  <c r="B5722" i="6"/>
  <c r="V5721" i="6"/>
  <c r="E5721" i="6"/>
  <c r="F5721" i="6" s="1"/>
  <c r="D5721" i="6"/>
  <c r="C5721" i="6"/>
  <c r="B5721" i="6"/>
  <c r="E5720" i="6"/>
  <c r="F5720" i="6" s="1"/>
  <c r="D5720" i="6"/>
  <c r="C5720" i="6"/>
  <c r="B5720" i="6"/>
  <c r="V5719" i="6"/>
  <c r="E5719" i="6"/>
  <c r="F5719" i="6" s="1"/>
  <c r="D5719" i="6"/>
  <c r="C5719" i="6"/>
  <c r="B5719" i="6"/>
  <c r="V5718" i="6"/>
  <c r="E5718" i="6"/>
  <c r="F5718" i="6" s="1"/>
  <c r="D5718" i="6"/>
  <c r="C5718" i="6"/>
  <c r="B5718" i="6"/>
  <c r="V5717" i="6"/>
  <c r="E5717" i="6"/>
  <c r="F5717" i="6" s="1"/>
  <c r="D5717" i="6"/>
  <c r="C5717" i="6"/>
  <c r="B5717" i="6"/>
  <c r="E5716" i="6"/>
  <c r="F5716" i="6" s="1"/>
  <c r="D5716" i="6"/>
  <c r="C5716" i="6"/>
  <c r="B5716" i="6"/>
  <c r="E5715" i="6"/>
  <c r="F5715" i="6" s="1"/>
  <c r="D5715" i="6"/>
  <c r="C5715" i="6"/>
  <c r="B5715" i="6"/>
  <c r="V5714" i="6"/>
  <c r="E5714" i="6"/>
  <c r="F5714" i="6" s="1"/>
  <c r="D5714" i="6"/>
  <c r="C5714" i="6"/>
  <c r="B5714" i="6"/>
  <c r="E5713" i="6"/>
  <c r="F5713" i="6" s="1"/>
  <c r="D5713" i="6"/>
  <c r="C5713" i="6"/>
  <c r="B5713" i="6"/>
  <c r="E5712" i="6"/>
  <c r="F5712" i="6" s="1"/>
  <c r="D5712" i="6"/>
  <c r="C5712" i="6"/>
  <c r="B5712" i="6"/>
  <c r="E5711" i="6"/>
  <c r="F5711" i="6" s="1"/>
  <c r="D5711" i="6"/>
  <c r="C5711" i="6"/>
  <c r="B5711" i="6"/>
  <c r="E5710" i="6"/>
  <c r="F5710" i="6" s="1"/>
  <c r="D5710" i="6"/>
  <c r="C5710" i="6"/>
  <c r="B5710" i="6"/>
  <c r="E5709" i="6"/>
  <c r="F5709" i="6" s="1"/>
  <c r="D5709" i="6"/>
  <c r="C5709" i="6"/>
  <c r="B5709" i="6"/>
  <c r="E5708" i="6"/>
  <c r="F5708" i="6" s="1"/>
  <c r="D5708" i="6"/>
  <c r="C5708" i="6"/>
  <c r="B5708" i="6"/>
  <c r="E5707" i="6"/>
  <c r="F5707" i="6" s="1"/>
  <c r="D5707" i="6"/>
  <c r="C5707" i="6"/>
  <c r="B5707" i="6"/>
  <c r="E5706" i="6"/>
  <c r="F5706" i="6" s="1"/>
  <c r="D5706" i="6"/>
  <c r="C5706" i="6"/>
  <c r="B5706" i="6"/>
  <c r="E5705" i="6"/>
  <c r="F5705" i="6" s="1"/>
  <c r="D5705" i="6"/>
  <c r="C5705" i="6"/>
  <c r="B5705" i="6"/>
  <c r="E5704" i="6"/>
  <c r="F5704" i="6" s="1"/>
  <c r="D5704" i="6"/>
  <c r="C5704" i="6"/>
  <c r="B5704" i="6"/>
  <c r="V5703" i="6"/>
  <c r="E5703" i="6"/>
  <c r="F5703" i="6" s="1"/>
  <c r="D5703" i="6"/>
  <c r="C5703" i="6"/>
  <c r="B5703" i="6"/>
  <c r="V5702" i="6"/>
  <c r="E5702" i="6"/>
  <c r="F5702" i="6" s="1"/>
  <c r="D5702" i="6"/>
  <c r="C5702" i="6"/>
  <c r="B5702" i="6"/>
  <c r="E5701" i="6"/>
  <c r="F5701" i="6" s="1"/>
  <c r="D5701" i="6"/>
  <c r="C5701" i="6"/>
  <c r="B5701" i="6"/>
  <c r="E5700" i="6"/>
  <c r="F5700" i="6" s="1"/>
  <c r="D5700" i="6"/>
  <c r="C5700" i="6"/>
  <c r="B5700" i="6"/>
  <c r="E5699" i="6"/>
  <c r="F5699" i="6" s="1"/>
  <c r="D5699" i="6"/>
  <c r="C5699" i="6"/>
  <c r="B5699" i="6"/>
  <c r="V5698" i="6"/>
  <c r="E5698" i="6"/>
  <c r="F5698" i="6" s="1"/>
  <c r="D5698" i="6"/>
  <c r="C5698" i="6"/>
  <c r="B5698" i="6"/>
  <c r="V5697" i="6"/>
  <c r="E5697" i="6"/>
  <c r="F5697" i="6" s="1"/>
  <c r="D5697" i="6"/>
  <c r="C5697" i="6"/>
  <c r="B5697" i="6"/>
  <c r="V5696" i="6"/>
  <c r="E5696" i="6"/>
  <c r="F5696" i="6" s="1"/>
  <c r="D5696" i="6"/>
  <c r="C5696" i="6"/>
  <c r="B5696" i="6"/>
  <c r="V5695" i="6"/>
  <c r="E5695" i="6"/>
  <c r="F5695" i="6" s="1"/>
  <c r="D5695" i="6"/>
  <c r="C5695" i="6"/>
  <c r="B5695" i="6"/>
  <c r="E5694" i="6"/>
  <c r="F5694" i="6" s="1"/>
  <c r="D5694" i="6"/>
  <c r="C5694" i="6"/>
  <c r="B5694" i="6"/>
  <c r="E5693" i="6"/>
  <c r="F5693" i="6" s="1"/>
  <c r="D5693" i="6"/>
  <c r="C5693" i="6"/>
  <c r="B5693" i="6"/>
  <c r="V5692" i="6"/>
  <c r="E5692" i="6"/>
  <c r="F5692" i="6" s="1"/>
  <c r="D5692" i="6"/>
  <c r="C5692" i="6"/>
  <c r="B5692" i="6"/>
  <c r="E5691" i="6"/>
  <c r="F5691" i="6" s="1"/>
  <c r="D5691" i="6"/>
  <c r="C5691" i="6"/>
  <c r="B5691" i="6"/>
  <c r="E5690" i="6"/>
  <c r="F5690" i="6" s="1"/>
  <c r="D5690" i="6"/>
  <c r="C5690" i="6"/>
  <c r="B5690" i="6"/>
  <c r="E5689" i="6"/>
  <c r="F5689" i="6" s="1"/>
  <c r="D5689" i="6"/>
  <c r="C5689" i="6"/>
  <c r="B5689" i="6"/>
  <c r="E5688" i="6"/>
  <c r="F5688" i="6" s="1"/>
  <c r="D5688" i="6"/>
  <c r="C5688" i="6"/>
  <c r="B5688" i="6"/>
  <c r="E5687" i="6"/>
  <c r="F5687" i="6" s="1"/>
  <c r="D5687" i="6"/>
  <c r="C5687" i="6"/>
  <c r="B5687" i="6"/>
  <c r="E5686" i="6"/>
  <c r="F5686" i="6" s="1"/>
  <c r="D5686" i="6"/>
  <c r="C5686" i="6"/>
  <c r="B5686" i="6"/>
  <c r="E5685" i="6"/>
  <c r="F5685" i="6" s="1"/>
  <c r="D5685" i="6"/>
  <c r="C5685" i="6"/>
  <c r="B5685" i="6"/>
  <c r="E5684" i="6"/>
  <c r="F5684" i="6" s="1"/>
  <c r="D5684" i="6"/>
  <c r="C5684" i="6"/>
  <c r="B5684" i="6"/>
  <c r="E5683" i="6"/>
  <c r="F5683" i="6" s="1"/>
  <c r="D5683" i="6"/>
  <c r="C5683" i="6"/>
  <c r="B5683" i="6"/>
  <c r="V5682" i="6"/>
  <c r="E5682" i="6"/>
  <c r="F5682" i="6" s="1"/>
  <c r="D5682" i="6"/>
  <c r="C5682" i="6"/>
  <c r="B5682" i="6"/>
  <c r="V5681" i="6"/>
  <c r="E5681" i="6"/>
  <c r="F5681" i="6" s="1"/>
  <c r="D5681" i="6"/>
  <c r="C5681" i="6"/>
  <c r="B5681" i="6"/>
  <c r="V5680" i="6"/>
  <c r="E5680" i="6"/>
  <c r="F5680" i="6" s="1"/>
  <c r="D5680" i="6"/>
  <c r="C5680" i="6"/>
  <c r="B5680" i="6"/>
  <c r="V5679" i="6"/>
  <c r="E5679" i="6"/>
  <c r="F5679" i="6" s="1"/>
  <c r="D5679" i="6"/>
  <c r="C5679" i="6"/>
  <c r="B5679" i="6"/>
  <c r="V5678" i="6"/>
  <c r="E5678" i="6"/>
  <c r="F5678" i="6" s="1"/>
  <c r="D5678" i="6"/>
  <c r="C5678" i="6"/>
  <c r="B5678" i="6"/>
  <c r="V5677" i="6"/>
  <c r="E5677" i="6"/>
  <c r="F5677" i="6" s="1"/>
  <c r="D5677" i="6"/>
  <c r="C5677" i="6"/>
  <c r="B5677" i="6"/>
  <c r="V5676" i="6"/>
  <c r="E5676" i="6"/>
  <c r="F5676" i="6" s="1"/>
  <c r="D5676" i="6"/>
  <c r="C5676" i="6"/>
  <c r="B5676" i="6"/>
  <c r="E5675" i="6"/>
  <c r="F5675" i="6" s="1"/>
  <c r="D5675" i="6"/>
  <c r="C5675" i="6"/>
  <c r="B5675" i="6"/>
  <c r="E5674" i="6"/>
  <c r="F5674" i="6" s="1"/>
  <c r="D5674" i="6"/>
  <c r="C5674" i="6"/>
  <c r="B5674" i="6"/>
  <c r="V5673" i="6"/>
  <c r="E5673" i="6"/>
  <c r="F5673" i="6" s="1"/>
  <c r="D5673" i="6"/>
  <c r="C5673" i="6"/>
  <c r="B5673" i="6"/>
  <c r="E5672" i="6"/>
  <c r="F5672" i="6" s="1"/>
  <c r="D5672" i="6"/>
  <c r="C5672" i="6"/>
  <c r="B5672" i="6"/>
  <c r="V5671" i="6"/>
  <c r="E5671" i="6"/>
  <c r="F5671" i="6" s="1"/>
  <c r="D5671" i="6"/>
  <c r="C5671" i="6"/>
  <c r="B5671" i="6"/>
  <c r="E5670" i="6"/>
  <c r="F5670" i="6" s="1"/>
  <c r="D5670" i="6"/>
  <c r="C5670" i="6"/>
  <c r="B5670" i="6"/>
  <c r="E5669" i="6"/>
  <c r="F5669" i="6" s="1"/>
  <c r="D5669" i="6"/>
  <c r="C5669" i="6"/>
  <c r="B5669" i="6"/>
  <c r="E5668" i="6"/>
  <c r="F5668" i="6" s="1"/>
  <c r="D5668" i="6"/>
  <c r="C5668" i="6"/>
  <c r="B5668" i="6"/>
  <c r="E5667" i="6"/>
  <c r="F5667" i="6" s="1"/>
  <c r="D5667" i="6"/>
  <c r="C5667" i="6"/>
  <c r="B5667" i="6"/>
  <c r="E5666" i="6"/>
  <c r="F5666" i="6" s="1"/>
  <c r="D5666" i="6"/>
  <c r="C5666" i="6"/>
  <c r="B5666" i="6"/>
  <c r="E5665" i="6"/>
  <c r="F5665" i="6" s="1"/>
  <c r="D5665" i="6"/>
  <c r="C5665" i="6"/>
  <c r="B5665" i="6"/>
  <c r="E5664" i="6"/>
  <c r="F5664" i="6" s="1"/>
  <c r="D5664" i="6"/>
  <c r="C5664" i="6"/>
  <c r="B5664" i="6"/>
  <c r="E5663" i="6"/>
  <c r="F5663" i="6" s="1"/>
  <c r="D5663" i="6"/>
  <c r="C5663" i="6"/>
  <c r="B5663" i="6"/>
  <c r="E5662" i="6"/>
  <c r="F5662" i="6" s="1"/>
  <c r="D5662" i="6"/>
  <c r="C5662" i="6"/>
  <c r="B5662" i="6"/>
  <c r="E5661" i="6"/>
  <c r="F5661" i="6" s="1"/>
  <c r="D5661" i="6"/>
  <c r="C5661" i="6"/>
  <c r="B5661" i="6"/>
  <c r="E5660" i="6"/>
  <c r="F5660" i="6" s="1"/>
  <c r="D5660" i="6"/>
  <c r="C5660" i="6"/>
  <c r="B5660" i="6"/>
  <c r="E5658" i="6"/>
  <c r="F5658" i="6" s="1"/>
  <c r="D5658" i="6"/>
  <c r="C5658" i="6"/>
  <c r="B5658" i="6"/>
  <c r="E5657" i="6"/>
  <c r="F5657" i="6" s="1"/>
  <c r="D5657" i="6"/>
  <c r="C5657" i="6"/>
  <c r="B5657" i="6"/>
  <c r="E5656" i="6"/>
  <c r="F5656" i="6" s="1"/>
  <c r="D5656" i="6"/>
  <c r="C5656" i="6"/>
  <c r="B5656" i="6"/>
  <c r="E5655" i="6"/>
  <c r="F5655" i="6" s="1"/>
  <c r="D5655" i="6"/>
  <c r="C5655" i="6"/>
  <c r="B5655" i="6"/>
  <c r="E5654" i="6"/>
  <c r="F5654" i="6" s="1"/>
  <c r="D5654" i="6"/>
  <c r="C5654" i="6"/>
  <c r="B5654" i="6"/>
  <c r="E5840" i="6"/>
  <c r="F5840" i="6" s="1"/>
  <c r="D5840" i="6"/>
  <c r="C5840" i="6"/>
  <c r="B5840" i="6"/>
  <c r="V5839" i="6"/>
  <c r="E5839" i="6"/>
  <c r="F5839" i="6" s="1"/>
  <c r="D5839" i="6"/>
  <c r="C5839" i="6"/>
  <c r="B5839" i="6"/>
  <c r="V5838" i="6"/>
  <c r="E5838" i="6"/>
  <c r="F5838" i="6" s="1"/>
  <c r="D5838" i="6"/>
  <c r="C5838" i="6"/>
  <c r="B5838" i="6"/>
  <c r="V5837" i="6"/>
  <c r="E5837" i="6"/>
  <c r="F5837" i="6" s="1"/>
  <c r="D5837" i="6"/>
  <c r="C5837" i="6"/>
  <c r="B5837" i="6"/>
  <c r="V5836" i="6"/>
  <c r="E5836" i="6"/>
  <c r="F5836" i="6" s="1"/>
  <c r="D5836" i="6"/>
  <c r="C5836" i="6"/>
  <c r="B5836" i="6"/>
  <c r="V5835" i="6"/>
  <c r="E5835" i="6"/>
  <c r="F5835" i="6" s="1"/>
  <c r="D5835" i="6"/>
  <c r="C5835" i="6"/>
  <c r="B5835" i="6"/>
  <c r="V5834" i="6"/>
  <c r="E5834" i="6"/>
  <c r="F5834" i="6" s="1"/>
  <c r="D5834" i="6"/>
  <c r="C5834" i="6"/>
  <c r="B5834" i="6"/>
  <c r="V5833" i="6"/>
  <c r="E5833" i="6"/>
  <c r="F5833" i="6" s="1"/>
  <c r="D5833" i="6"/>
  <c r="C5833" i="6"/>
  <c r="B5833" i="6"/>
  <c r="V5832" i="6"/>
  <c r="E5832" i="6"/>
  <c r="F5832" i="6" s="1"/>
  <c r="D5832" i="6"/>
  <c r="C5832" i="6"/>
  <c r="B5832" i="6"/>
  <c r="O5831" i="6"/>
  <c r="E5831" i="6"/>
  <c r="F5831" i="6" s="1"/>
  <c r="D5831" i="6"/>
  <c r="C5831" i="6"/>
  <c r="B5831" i="6"/>
  <c r="E5830" i="6"/>
  <c r="F5830" i="6" s="1"/>
  <c r="D5830" i="6"/>
  <c r="C5830" i="6"/>
  <c r="B5830" i="6"/>
  <c r="V5829" i="6"/>
  <c r="E5829" i="6"/>
  <c r="F5829" i="6" s="1"/>
  <c r="D5829" i="6"/>
  <c r="C5829" i="6"/>
  <c r="B5829" i="6"/>
  <c r="V5828" i="6"/>
  <c r="E5828" i="6"/>
  <c r="F5828" i="6" s="1"/>
  <c r="D5828" i="6"/>
  <c r="C5828" i="6"/>
  <c r="B5828" i="6"/>
  <c r="V5827" i="6"/>
  <c r="E5827" i="6"/>
  <c r="F5827" i="6" s="1"/>
  <c r="D5827" i="6"/>
  <c r="C5827" i="6"/>
  <c r="B5827" i="6"/>
  <c r="V5826" i="6"/>
  <c r="E5826" i="6"/>
  <c r="F5826" i="6" s="1"/>
  <c r="D5826" i="6"/>
  <c r="C5826" i="6"/>
  <c r="B5826" i="6"/>
  <c r="E5825" i="6"/>
  <c r="F5825" i="6" s="1"/>
  <c r="D5825" i="6"/>
  <c r="C5825" i="6"/>
  <c r="B5825" i="6"/>
  <c r="E5824" i="6"/>
  <c r="F5824" i="6" s="1"/>
  <c r="D5824" i="6"/>
  <c r="C5824" i="6"/>
  <c r="B5824" i="6"/>
  <c r="E5823" i="6"/>
  <c r="F5823" i="6" s="1"/>
  <c r="D5823" i="6"/>
  <c r="C5823" i="6"/>
  <c r="B5823" i="6"/>
  <c r="V5822" i="6"/>
  <c r="E5822" i="6"/>
  <c r="F5822" i="6" s="1"/>
  <c r="D5822" i="6"/>
  <c r="C5822" i="6"/>
  <c r="B5822" i="6"/>
  <c r="E5821" i="6"/>
  <c r="F5821" i="6" s="1"/>
  <c r="D5821" i="6"/>
  <c r="C5821" i="6"/>
  <c r="B5821" i="6"/>
  <c r="V5820" i="6"/>
  <c r="E5820" i="6"/>
  <c r="F5820" i="6" s="1"/>
  <c r="D5820" i="6"/>
  <c r="C5820" i="6"/>
  <c r="B5820" i="6"/>
  <c r="V5819" i="6"/>
  <c r="E5819" i="6"/>
  <c r="F5819" i="6" s="1"/>
  <c r="D5819" i="6"/>
  <c r="C5819" i="6"/>
  <c r="B5819" i="6"/>
  <c r="E5818" i="6"/>
  <c r="F5818" i="6" s="1"/>
  <c r="D5818" i="6"/>
  <c r="C5818" i="6"/>
  <c r="B5818" i="6"/>
  <c r="V5817" i="6"/>
  <c r="E5817" i="6"/>
  <c r="F5817" i="6" s="1"/>
  <c r="D5817" i="6"/>
  <c r="C5817" i="6"/>
  <c r="B5817" i="6"/>
  <c r="E5816" i="6"/>
  <c r="F5816" i="6" s="1"/>
  <c r="D5816" i="6"/>
  <c r="C5816" i="6"/>
  <c r="B5816" i="6"/>
  <c r="E5815" i="6"/>
  <c r="F5815" i="6" s="1"/>
  <c r="D5815" i="6"/>
  <c r="C5815" i="6"/>
  <c r="B5815" i="6"/>
  <c r="E5814" i="6"/>
  <c r="F5814" i="6" s="1"/>
  <c r="D5814" i="6"/>
  <c r="C5814" i="6"/>
  <c r="B5814" i="6"/>
  <c r="E5813" i="6"/>
  <c r="F5813" i="6" s="1"/>
  <c r="D5813" i="6"/>
  <c r="C5813" i="6"/>
  <c r="B5813" i="6"/>
  <c r="V5812" i="6"/>
  <c r="E5812" i="6"/>
  <c r="F5812" i="6" s="1"/>
  <c r="D5812" i="6"/>
  <c r="C5812" i="6"/>
  <c r="B5812" i="6"/>
  <c r="V5811" i="6"/>
  <c r="E5811" i="6"/>
  <c r="F5811" i="6" s="1"/>
  <c r="D5811" i="6"/>
  <c r="C5811" i="6"/>
  <c r="B5811" i="6"/>
  <c r="V5810" i="6"/>
  <c r="E5810" i="6"/>
  <c r="F5810" i="6" s="1"/>
  <c r="D5810" i="6"/>
  <c r="C5810" i="6"/>
  <c r="B5810" i="6"/>
  <c r="E5809" i="6"/>
  <c r="F5809" i="6" s="1"/>
  <c r="D5809" i="6"/>
  <c r="C5809" i="6"/>
  <c r="B5809" i="6"/>
  <c r="O5808" i="6"/>
  <c r="E5808" i="6"/>
  <c r="F5808" i="6" s="1"/>
  <c r="D5808" i="6"/>
  <c r="C5808" i="6"/>
  <c r="B5808" i="6"/>
  <c r="V5807" i="6"/>
  <c r="E5807" i="6"/>
  <c r="F5807" i="6" s="1"/>
  <c r="D5807" i="6"/>
  <c r="C5807" i="6"/>
  <c r="B5807" i="6"/>
  <c r="O5806" i="6"/>
  <c r="E5806" i="6"/>
  <c r="F5806" i="6" s="1"/>
  <c r="D5806" i="6"/>
  <c r="C5806" i="6"/>
  <c r="B5806" i="6"/>
  <c r="O5805" i="6"/>
  <c r="E5805" i="6"/>
  <c r="F5805" i="6" s="1"/>
  <c r="D5805" i="6"/>
  <c r="C5805" i="6"/>
  <c r="B5805" i="6"/>
  <c r="O5804" i="6"/>
  <c r="E5804" i="6"/>
  <c r="F5804" i="6" s="1"/>
  <c r="D5804" i="6"/>
  <c r="C5804" i="6"/>
  <c r="B5804" i="6"/>
  <c r="E5803" i="6"/>
  <c r="F5803" i="6" s="1"/>
  <c r="D5803" i="6"/>
  <c r="C5803" i="6"/>
  <c r="B5803" i="6"/>
  <c r="O5802" i="6"/>
  <c r="E5802" i="6"/>
  <c r="F5802" i="6" s="1"/>
  <c r="D5802" i="6"/>
  <c r="C5802" i="6"/>
  <c r="B5802" i="6"/>
  <c r="O5801" i="6"/>
  <c r="E5801" i="6"/>
  <c r="F5801" i="6" s="1"/>
  <c r="D5801" i="6"/>
  <c r="C5801" i="6"/>
  <c r="B5801" i="6"/>
  <c r="O5800" i="6"/>
  <c r="E5800" i="6"/>
  <c r="F5800" i="6" s="1"/>
  <c r="D5800" i="6"/>
  <c r="C5800" i="6"/>
  <c r="B5800" i="6"/>
  <c r="O5799" i="6"/>
  <c r="E5799" i="6"/>
  <c r="F5799" i="6" s="1"/>
  <c r="D5799" i="6"/>
  <c r="C5799" i="6"/>
  <c r="B5799" i="6"/>
  <c r="O5798" i="6"/>
  <c r="E5798" i="6"/>
  <c r="F5798" i="6" s="1"/>
  <c r="D5798" i="6"/>
  <c r="C5798" i="6"/>
  <c r="B5798" i="6"/>
  <c r="E5797" i="6"/>
  <c r="F5797" i="6" s="1"/>
  <c r="D5797" i="6"/>
  <c r="C5797" i="6"/>
  <c r="B5797" i="6"/>
  <c r="O5796" i="6"/>
  <c r="E5796" i="6"/>
  <c r="F5796" i="6" s="1"/>
  <c r="D5796" i="6"/>
  <c r="C5796" i="6"/>
  <c r="B5796" i="6"/>
  <c r="E5795" i="6"/>
  <c r="F5795" i="6" s="1"/>
  <c r="D5795" i="6"/>
  <c r="C5795" i="6"/>
  <c r="B5795" i="6"/>
  <c r="O5794" i="6"/>
  <c r="E5794" i="6"/>
  <c r="F5794" i="6" s="1"/>
  <c r="D5794" i="6"/>
  <c r="C5794" i="6"/>
  <c r="B5794" i="6"/>
  <c r="E5793" i="6"/>
  <c r="F5793" i="6" s="1"/>
  <c r="D5793" i="6"/>
  <c r="C5793" i="6"/>
  <c r="B5793" i="6"/>
  <c r="E5792" i="6"/>
  <c r="F5792" i="6" s="1"/>
  <c r="D5792" i="6"/>
  <c r="C5792" i="6"/>
  <c r="B5792" i="6"/>
  <c r="E5791" i="6"/>
  <c r="F5791" i="6" s="1"/>
  <c r="D5791" i="6"/>
  <c r="C5791" i="6"/>
  <c r="B5791" i="6"/>
  <c r="E5790" i="6"/>
  <c r="F5790" i="6" s="1"/>
  <c r="D5790" i="6"/>
  <c r="C5790" i="6"/>
  <c r="B5790" i="6"/>
  <c r="V5789" i="6"/>
  <c r="E5789" i="6"/>
  <c r="F5789" i="6" s="1"/>
  <c r="D5789" i="6"/>
  <c r="C5789" i="6"/>
  <c r="B5789" i="6"/>
  <c r="V5788" i="6"/>
  <c r="E5788" i="6"/>
  <c r="F5788" i="6" s="1"/>
  <c r="D5788" i="6"/>
  <c r="C5788" i="6"/>
  <c r="B5788" i="6"/>
  <c r="V5787" i="6"/>
  <c r="E5787" i="6"/>
  <c r="F5787" i="6" s="1"/>
  <c r="D5787" i="6"/>
  <c r="C5787" i="6"/>
  <c r="B5787" i="6"/>
  <c r="V5786" i="6"/>
  <c r="E5786" i="6"/>
  <c r="F5786" i="6" s="1"/>
  <c r="D5786" i="6"/>
  <c r="C5786" i="6"/>
  <c r="B5786" i="6"/>
  <c r="V5785" i="6"/>
  <c r="E5785" i="6"/>
  <c r="F5785" i="6" s="1"/>
  <c r="D5785" i="6"/>
  <c r="C5785" i="6"/>
  <c r="B5785" i="6"/>
  <c r="V5784" i="6"/>
  <c r="E5784" i="6"/>
  <c r="F5784" i="6" s="1"/>
  <c r="D5784" i="6"/>
  <c r="C5784" i="6"/>
  <c r="B5784" i="6"/>
  <c r="V5783" i="6"/>
  <c r="E5783" i="6"/>
  <c r="F5783" i="6" s="1"/>
  <c r="D5783" i="6"/>
  <c r="C5783" i="6"/>
  <c r="B5783" i="6"/>
  <c r="V5782" i="6"/>
  <c r="E5782" i="6"/>
  <c r="F5782" i="6" s="1"/>
  <c r="D5782" i="6"/>
  <c r="C5782" i="6"/>
  <c r="B5782" i="6"/>
  <c r="E5781" i="6"/>
  <c r="F5781" i="6" s="1"/>
  <c r="D5781" i="6"/>
  <c r="C5781" i="6"/>
  <c r="B5781" i="6"/>
  <c r="E5780" i="6"/>
  <c r="F5780" i="6" s="1"/>
  <c r="D5780" i="6"/>
  <c r="C5780" i="6"/>
  <c r="B5780" i="6"/>
  <c r="V5779" i="6"/>
  <c r="E5779" i="6"/>
  <c r="F5779" i="6" s="1"/>
  <c r="D5779" i="6"/>
  <c r="C5779" i="6"/>
  <c r="B5779" i="6"/>
  <c r="V5871" i="6"/>
  <c r="E5871" i="6"/>
  <c r="F5871" i="6" s="1"/>
  <c r="D5871" i="6"/>
  <c r="C5871" i="6"/>
  <c r="B5871" i="6"/>
  <c r="V5870" i="6"/>
  <c r="E5870" i="6"/>
  <c r="F5870" i="6" s="1"/>
  <c r="D5870" i="6"/>
  <c r="C5870" i="6"/>
  <c r="B5870" i="6"/>
  <c r="V5869" i="6"/>
  <c r="E5869" i="6"/>
  <c r="F5869" i="6" s="1"/>
  <c r="D5869" i="6"/>
  <c r="C5869" i="6"/>
  <c r="B5869" i="6"/>
  <c r="V5868" i="6"/>
  <c r="E5868" i="6"/>
  <c r="F5868" i="6" s="1"/>
  <c r="D5868" i="6"/>
  <c r="C5868" i="6"/>
  <c r="B5868" i="6"/>
  <c r="V5867" i="6"/>
  <c r="E5867" i="6"/>
  <c r="F5867" i="6" s="1"/>
  <c r="D5867" i="6"/>
  <c r="C5867" i="6"/>
  <c r="B5867" i="6"/>
  <c r="V5866" i="6"/>
  <c r="E5866" i="6"/>
  <c r="F5866" i="6" s="1"/>
  <c r="D5866" i="6"/>
  <c r="C5866" i="6"/>
  <c r="B5866" i="6"/>
  <c r="V5865" i="6"/>
  <c r="E5865" i="6"/>
  <c r="F5865" i="6" s="1"/>
  <c r="D5865" i="6"/>
  <c r="C5865" i="6"/>
  <c r="B5865" i="6"/>
  <c r="V5864" i="6"/>
  <c r="E5864" i="6"/>
  <c r="F5864" i="6" s="1"/>
  <c r="D5864" i="6"/>
  <c r="C5864" i="6"/>
  <c r="B5864" i="6"/>
  <c r="V5863" i="6"/>
  <c r="E5863" i="6"/>
  <c r="F5863" i="6" s="1"/>
  <c r="D5863" i="6"/>
  <c r="C5863" i="6"/>
  <c r="B5863" i="6"/>
  <c r="V5862" i="6"/>
  <c r="E5862" i="6"/>
  <c r="F5862" i="6" s="1"/>
  <c r="D5862" i="6"/>
  <c r="C5862" i="6"/>
  <c r="B5862" i="6"/>
  <c r="V5861" i="6"/>
  <c r="E5861" i="6"/>
  <c r="F5861" i="6" s="1"/>
  <c r="D5861" i="6"/>
  <c r="C5861" i="6"/>
  <c r="B5861" i="6"/>
  <c r="V5860" i="6"/>
  <c r="E5860" i="6"/>
  <c r="F5860" i="6" s="1"/>
  <c r="D5860" i="6"/>
  <c r="C5860" i="6"/>
  <c r="B5860" i="6"/>
  <c r="V5859" i="6"/>
  <c r="E5859" i="6"/>
  <c r="F5859" i="6" s="1"/>
  <c r="D5859" i="6"/>
  <c r="C5859" i="6"/>
  <c r="B5859" i="6"/>
  <c r="V5858" i="6"/>
  <c r="E5858" i="6"/>
  <c r="F5858" i="6" s="1"/>
  <c r="D5858" i="6"/>
  <c r="C5858" i="6"/>
  <c r="B5858" i="6"/>
  <c r="V5857" i="6"/>
  <c r="E5857" i="6"/>
  <c r="F5857" i="6" s="1"/>
  <c r="D5857" i="6"/>
  <c r="C5857" i="6"/>
  <c r="B5857" i="6"/>
  <c r="V5856" i="6"/>
  <c r="E5856" i="6"/>
  <c r="F5856" i="6" s="1"/>
  <c r="D5856" i="6"/>
  <c r="C5856" i="6"/>
  <c r="B5856" i="6"/>
  <c r="V5855" i="6"/>
  <c r="E5855" i="6"/>
  <c r="F5855" i="6" s="1"/>
  <c r="D5855" i="6"/>
  <c r="C5855" i="6"/>
  <c r="B5855" i="6"/>
  <c r="V5854" i="6"/>
  <c r="E5854" i="6"/>
  <c r="F5854" i="6" s="1"/>
  <c r="D5854" i="6"/>
  <c r="C5854" i="6"/>
  <c r="B5854" i="6"/>
  <c r="V5853" i="6"/>
  <c r="E5853" i="6"/>
  <c r="F5853" i="6" s="1"/>
  <c r="D5853" i="6"/>
  <c r="C5853" i="6"/>
  <c r="B5853" i="6"/>
  <c r="V5852" i="6"/>
  <c r="E5852" i="6"/>
  <c r="F5852" i="6" s="1"/>
  <c r="D5852" i="6"/>
  <c r="C5852" i="6"/>
  <c r="B5852" i="6"/>
  <c r="V5851" i="6"/>
  <c r="E5851" i="6"/>
  <c r="F5851" i="6" s="1"/>
  <c r="D5851" i="6"/>
  <c r="C5851" i="6"/>
  <c r="B5851" i="6"/>
  <c r="V5850" i="6"/>
  <c r="E5850" i="6"/>
  <c r="F5850" i="6" s="1"/>
  <c r="D5850" i="6"/>
  <c r="C5850" i="6"/>
  <c r="B5850" i="6"/>
  <c r="V5849" i="6"/>
  <c r="E5849" i="6"/>
  <c r="F5849" i="6" s="1"/>
  <c r="D5849" i="6"/>
  <c r="C5849" i="6"/>
  <c r="B5849" i="6"/>
  <c r="V5848" i="6"/>
  <c r="E5848" i="6"/>
  <c r="F5848" i="6" s="1"/>
  <c r="D5848" i="6"/>
  <c r="C5848" i="6"/>
  <c r="B5848" i="6"/>
  <c r="V5847" i="6"/>
  <c r="E5847" i="6"/>
  <c r="F5847" i="6" s="1"/>
  <c r="D5847" i="6"/>
  <c r="C5847" i="6"/>
  <c r="B5847" i="6"/>
  <c r="V5846" i="6"/>
  <c r="E5846" i="6"/>
  <c r="F5846" i="6" s="1"/>
  <c r="D5846" i="6"/>
  <c r="C5846" i="6"/>
  <c r="B5846" i="6"/>
  <c r="V5845" i="6"/>
  <c r="E5845" i="6"/>
  <c r="F5845" i="6" s="1"/>
  <c r="D5845" i="6"/>
  <c r="C5845" i="6"/>
  <c r="B5845" i="6"/>
  <c r="V5844" i="6"/>
  <c r="E5844" i="6"/>
  <c r="F5844" i="6" s="1"/>
  <c r="D5844" i="6"/>
  <c r="C5844" i="6"/>
  <c r="B5844" i="6"/>
  <c r="V5843" i="6"/>
  <c r="E5843" i="6"/>
  <c r="F5843" i="6" s="1"/>
  <c r="D5843" i="6"/>
  <c r="C5843" i="6"/>
  <c r="B5843" i="6"/>
  <c r="V5842" i="6"/>
  <c r="E5842" i="6"/>
  <c r="F5842" i="6" s="1"/>
  <c r="D5842" i="6"/>
  <c r="C5842" i="6"/>
  <c r="B5842" i="6"/>
  <c r="E5841" i="6"/>
  <c r="F5841" i="6" s="1"/>
  <c r="D5841" i="6"/>
  <c r="C5841" i="6"/>
  <c r="B5841" i="6"/>
  <c r="V5886" i="6"/>
  <c r="E5886" i="6"/>
  <c r="F5886" i="6" s="1"/>
  <c r="D5886" i="6"/>
  <c r="C5886" i="6"/>
  <c r="B5886" i="6"/>
  <c r="V5885" i="6"/>
  <c r="E5885" i="6"/>
  <c r="F5885" i="6" s="1"/>
  <c r="D5885" i="6"/>
  <c r="C5885" i="6"/>
  <c r="B5885" i="6"/>
  <c r="V5884" i="6"/>
  <c r="E5884" i="6"/>
  <c r="F5884" i="6" s="1"/>
  <c r="D5884" i="6"/>
  <c r="C5884" i="6"/>
  <c r="B5884" i="6"/>
  <c r="V5883" i="6"/>
  <c r="E5883" i="6"/>
  <c r="F5883" i="6" s="1"/>
  <c r="D5883" i="6"/>
  <c r="C5883" i="6"/>
  <c r="B5883" i="6"/>
  <c r="V5882" i="6"/>
  <c r="E5882" i="6"/>
  <c r="F5882" i="6" s="1"/>
  <c r="D5882" i="6"/>
  <c r="C5882" i="6"/>
  <c r="B5882" i="6"/>
  <c r="V5881" i="6"/>
  <c r="E5881" i="6"/>
  <c r="F5881" i="6" s="1"/>
  <c r="D5881" i="6"/>
  <c r="C5881" i="6"/>
  <c r="B5881" i="6"/>
  <c r="V5880" i="6"/>
  <c r="E5880" i="6"/>
  <c r="F5880" i="6" s="1"/>
  <c r="D5880" i="6"/>
  <c r="C5880" i="6"/>
  <c r="B5880" i="6"/>
  <c r="E5879" i="6"/>
  <c r="F5879" i="6" s="1"/>
  <c r="D5879" i="6"/>
  <c r="C5879" i="6"/>
  <c r="B5879" i="6"/>
  <c r="E5878" i="6"/>
  <c r="F5878" i="6" s="1"/>
  <c r="D5878" i="6"/>
  <c r="C5878" i="6"/>
  <c r="B5878" i="6"/>
  <c r="J821" i="14"/>
  <c r="N5877" i="6" s="1"/>
  <c r="E5877" i="6"/>
  <c r="F5877" i="6" s="1"/>
  <c r="D5877" i="6"/>
  <c r="C5877" i="6"/>
  <c r="B5877" i="6"/>
  <c r="V5876" i="6"/>
  <c r="E5876" i="6"/>
  <c r="F5876" i="6" s="1"/>
  <c r="D5876" i="6"/>
  <c r="C5876" i="6"/>
  <c r="B5876" i="6"/>
  <c r="V5875" i="6"/>
  <c r="E5875" i="6"/>
  <c r="F5875" i="6" s="1"/>
  <c r="D5875" i="6"/>
  <c r="C5875" i="6"/>
  <c r="B5875" i="6"/>
  <c r="V5874" i="6"/>
  <c r="E5874" i="6"/>
  <c r="F5874" i="6" s="1"/>
  <c r="D5874" i="6"/>
  <c r="C5874" i="6"/>
  <c r="B5874" i="6"/>
  <c r="V5873" i="6"/>
  <c r="E5873" i="6"/>
  <c r="F5873" i="6" s="1"/>
  <c r="D5873" i="6"/>
  <c r="C5873" i="6"/>
  <c r="B5873" i="6"/>
  <c r="V5872" i="6"/>
  <c r="E5872" i="6"/>
  <c r="F5872" i="6" s="1"/>
  <c r="D5872" i="6"/>
  <c r="C5872" i="6"/>
  <c r="B5872" i="6"/>
  <c r="V5894" i="6"/>
  <c r="E5894" i="6"/>
  <c r="F5894" i="6" s="1"/>
  <c r="D5894" i="6"/>
  <c r="C5894" i="6"/>
  <c r="B5894" i="6"/>
  <c r="V5893" i="6"/>
  <c r="E5893" i="6"/>
  <c r="F5893" i="6" s="1"/>
  <c r="D5893" i="6"/>
  <c r="C5893" i="6"/>
  <c r="B5893" i="6"/>
  <c r="V5892" i="6"/>
  <c r="E5892" i="6"/>
  <c r="F5892" i="6" s="1"/>
  <c r="D5892" i="6"/>
  <c r="C5892" i="6"/>
  <c r="B5892" i="6"/>
  <c r="V5891" i="6"/>
  <c r="E5891" i="6"/>
  <c r="F5891" i="6" s="1"/>
  <c r="D5891" i="6"/>
  <c r="C5891" i="6"/>
  <c r="B5891" i="6"/>
  <c r="V5890" i="6"/>
  <c r="E5890" i="6"/>
  <c r="F5890" i="6" s="1"/>
  <c r="D5890" i="6"/>
  <c r="C5890" i="6"/>
  <c r="B5890" i="6"/>
  <c r="V5889" i="6"/>
  <c r="E5889" i="6"/>
  <c r="F5889" i="6" s="1"/>
  <c r="D5889" i="6"/>
  <c r="C5889" i="6"/>
  <c r="B5889" i="6"/>
  <c r="V5888" i="6"/>
  <c r="E5888" i="6"/>
  <c r="F5888" i="6" s="1"/>
  <c r="D5888" i="6"/>
  <c r="C5888" i="6"/>
  <c r="B5888" i="6"/>
  <c r="V5887" i="6"/>
  <c r="E5887" i="6"/>
  <c r="F5887" i="6" s="1"/>
  <c r="D5887" i="6"/>
  <c r="C5887" i="6"/>
  <c r="B5887" i="6"/>
  <c r="V6339" i="6"/>
  <c r="E6339" i="6"/>
  <c r="F6339" i="6" s="1"/>
  <c r="D6339" i="6"/>
  <c r="C6339" i="6"/>
  <c r="B6339" i="6"/>
  <c r="V6338" i="6"/>
  <c r="E6338" i="6"/>
  <c r="F6338" i="6" s="1"/>
  <c r="D6338" i="6"/>
  <c r="C6338" i="6"/>
  <c r="B6338" i="6"/>
  <c r="V6337" i="6"/>
  <c r="E6337" i="6"/>
  <c r="F6337" i="6" s="1"/>
  <c r="D6337" i="6"/>
  <c r="C6337" i="6"/>
  <c r="B6337" i="6"/>
  <c r="V5895" i="6"/>
  <c r="E5895" i="6"/>
  <c r="F5895" i="6" s="1"/>
  <c r="D5895" i="6"/>
  <c r="C5895" i="6"/>
  <c r="B5895" i="6"/>
  <c r="V6341" i="6"/>
  <c r="E6341" i="6"/>
  <c r="F6341" i="6" s="1"/>
  <c r="D6341" i="6"/>
  <c r="C6341" i="6"/>
  <c r="B6341" i="6"/>
  <c r="V6340" i="6"/>
  <c r="E6340" i="6"/>
  <c r="F6340" i="6" s="1"/>
  <c r="D6340" i="6"/>
  <c r="C6340" i="6"/>
  <c r="B6340" i="6"/>
  <c r="B6342" i="6"/>
  <c r="C6342" i="6"/>
  <c r="D6342" i="6"/>
  <c r="E6342" i="6"/>
  <c r="F6342" i="6" s="1"/>
  <c r="V6342" i="6"/>
  <c r="B6343" i="6"/>
  <c r="C6343" i="6"/>
  <c r="D6343" i="6"/>
  <c r="E6343" i="6"/>
  <c r="F6343" i="6" s="1"/>
  <c r="V6343" i="6"/>
  <c r="E5653" i="6"/>
  <c r="F5653" i="6" s="1"/>
  <c r="E5652" i="6"/>
  <c r="F5652" i="6" s="1"/>
  <c r="E5651" i="6"/>
  <c r="F5651" i="6" s="1"/>
  <c r="E5650" i="6"/>
  <c r="F5650" i="6" s="1"/>
  <c r="E5649" i="6"/>
  <c r="F5649" i="6" s="1"/>
  <c r="E5648" i="6"/>
  <c r="F5648" i="6" s="1"/>
  <c r="E5647" i="6"/>
  <c r="F5647" i="6" s="1"/>
  <c r="E5646" i="6"/>
  <c r="F5646" i="6" s="1"/>
  <c r="E5645" i="6"/>
  <c r="F5645" i="6" s="1"/>
  <c r="E5644" i="6"/>
  <c r="F5644" i="6" s="1"/>
  <c r="E5643" i="6"/>
  <c r="F5643" i="6" s="1"/>
  <c r="E5642" i="6"/>
  <c r="F5642" i="6" s="1"/>
  <c r="E5641" i="6"/>
  <c r="F5641" i="6" s="1"/>
  <c r="E5640" i="6"/>
  <c r="F5640" i="6" s="1"/>
  <c r="E5639" i="6"/>
  <c r="F5639" i="6" s="1"/>
  <c r="E5638" i="6"/>
  <c r="F5638" i="6" s="1"/>
  <c r="E5637" i="6"/>
  <c r="F5637" i="6" s="1"/>
  <c r="E5636" i="6"/>
  <c r="F5636" i="6" s="1"/>
  <c r="E5635" i="6"/>
  <c r="F5635" i="6" s="1"/>
  <c r="E5634" i="6"/>
  <c r="F5634" i="6" s="1"/>
  <c r="E5633" i="6"/>
  <c r="F5633" i="6" s="1"/>
  <c r="E5632" i="6"/>
  <c r="F5632" i="6" s="1"/>
  <c r="E5631" i="6"/>
  <c r="F5631" i="6" s="1"/>
  <c r="E5630" i="6"/>
  <c r="F5630" i="6" s="1"/>
  <c r="E5629" i="6"/>
  <c r="F5629" i="6" s="1"/>
  <c r="E5628" i="6"/>
  <c r="F5628" i="6" s="1"/>
  <c r="E5627" i="6"/>
  <c r="F5627" i="6" s="1"/>
  <c r="E5626" i="6"/>
  <c r="F5626" i="6" s="1"/>
  <c r="E5625" i="6"/>
  <c r="F5625" i="6" s="1"/>
  <c r="E5624" i="6"/>
  <c r="F5624" i="6" s="1"/>
  <c r="E5623" i="6"/>
  <c r="F5623" i="6" s="1"/>
  <c r="E5622" i="6"/>
  <c r="F5622" i="6" s="1"/>
  <c r="E5621" i="6"/>
  <c r="F5621" i="6" s="1"/>
  <c r="E5620" i="6"/>
  <c r="F5620" i="6" s="1"/>
  <c r="E5619" i="6"/>
  <c r="F5619" i="6" s="1"/>
  <c r="E5618" i="6"/>
  <c r="F5618" i="6" s="1"/>
  <c r="E5617" i="6"/>
  <c r="F5617" i="6" s="1"/>
  <c r="E5616" i="6"/>
  <c r="F5616" i="6" s="1"/>
  <c r="E5615" i="6"/>
  <c r="F5615" i="6" s="1"/>
  <c r="E5614" i="6"/>
  <c r="F5614" i="6" s="1"/>
  <c r="E5613" i="6"/>
  <c r="F5613" i="6" s="1"/>
  <c r="E5612" i="6"/>
  <c r="F5612" i="6" s="1"/>
  <c r="E5611" i="6"/>
  <c r="F5611" i="6" s="1"/>
  <c r="E5610" i="6"/>
  <c r="F5610" i="6" s="1"/>
  <c r="E5609" i="6"/>
  <c r="F5609" i="6" s="1"/>
  <c r="E5608" i="6"/>
  <c r="F5608" i="6" s="1"/>
  <c r="E5607" i="6"/>
  <c r="F5607" i="6" s="1"/>
  <c r="E5606" i="6"/>
  <c r="F5606" i="6" s="1"/>
  <c r="E5605" i="6"/>
  <c r="F5605" i="6" s="1"/>
  <c r="E5604" i="6"/>
  <c r="F5604" i="6" s="1"/>
  <c r="E5603" i="6"/>
  <c r="F5603" i="6" s="1"/>
  <c r="E5602" i="6"/>
  <c r="F5602" i="6" s="1"/>
  <c r="E5601" i="6"/>
  <c r="F5601" i="6" s="1"/>
  <c r="E5600" i="6"/>
  <c r="F5600" i="6" s="1"/>
  <c r="E5599" i="6"/>
  <c r="F5599" i="6" s="1"/>
  <c r="E5598" i="6"/>
  <c r="F5598" i="6" s="1"/>
  <c r="E5597" i="6"/>
  <c r="F5597" i="6" s="1"/>
  <c r="E5596" i="6"/>
  <c r="F5596" i="6" s="1"/>
  <c r="E5595" i="6"/>
  <c r="F5595" i="6" s="1"/>
  <c r="E5594" i="6"/>
  <c r="F5594" i="6" s="1"/>
  <c r="E5593" i="6"/>
  <c r="F5593" i="6" s="1"/>
  <c r="E5592" i="6"/>
  <c r="F5592" i="6" s="1"/>
  <c r="E5591" i="6"/>
  <c r="F5591" i="6" s="1"/>
  <c r="E5590" i="6"/>
  <c r="F5590" i="6" s="1"/>
  <c r="E5589" i="6"/>
  <c r="F5589" i="6" s="1"/>
  <c r="E5588" i="6"/>
  <c r="F5588" i="6" s="1"/>
  <c r="E5587" i="6"/>
  <c r="F5587" i="6" s="1"/>
  <c r="E5586" i="6"/>
  <c r="F5586" i="6" s="1"/>
  <c r="E5585" i="6"/>
  <c r="F5585" i="6" s="1"/>
  <c r="E5584" i="6"/>
  <c r="F5584" i="6" s="1"/>
  <c r="E5583" i="6"/>
  <c r="F5583" i="6" s="1"/>
  <c r="E5582" i="6"/>
  <c r="F5582" i="6" s="1"/>
  <c r="E5581" i="6"/>
  <c r="F5581" i="6" s="1"/>
  <c r="E5580" i="6"/>
  <c r="F5580" i="6" s="1"/>
  <c r="E5579" i="6"/>
  <c r="F5579" i="6" s="1"/>
  <c r="E5578" i="6"/>
  <c r="F5578" i="6" s="1"/>
  <c r="E5577" i="6"/>
  <c r="F5577" i="6" s="1"/>
  <c r="E5576" i="6"/>
  <c r="F5576" i="6" s="1"/>
  <c r="E5575" i="6"/>
  <c r="F5575" i="6" s="1"/>
  <c r="E5574" i="6"/>
  <c r="F5574" i="6" s="1"/>
  <c r="E5573" i="6"/>
  <c r="F5573" i="6" s="1"/>
  <c r="E5572" i="6"/>
  <c r="F5572" i="6" s="1"/>
  <c r="E5571" i="6"/>
  <c r="F5571" i="6" s="1"/>
  <c r="E5570" i="6"/>
  <c r="F5570" i="6" s="1"/>
  <c r="E5569" i="6"/>
  <c r="F5569" i="6" s="1"/>
  <c r="E5568" i="6"/>
  <c r="F5568" i="6" s="1"/>
  <c r="E5567" i="6"/>
  <c r="F5567" i="6" s="1"/>
  <c r="E5566" i="6"/>
  <c r="F5566" i="6" s="1"/>
  <c r="E5565" i="6"/>
  <c r="F5565" i="6" s="1"/>
  <c r="E5564" i="6"/>
  <c r="F5564" i="6" s="1"/>
  <c r="E5563" i="6"/>
  <c r="F5563" i="6" s="1"/>
  <c r="E5562" i="6"/>
  <c r="F5562" i="6" s="1"/>
  <c r="E5561" i="6"/>
  <c r="F5561" i="6" s="1"/>
  <c r="E5560" i="6"/>
  <c r="F5560" i="6" s="1"/>
  <c r="E5559" i="6"/>
  <c r="F5559" i="6" s="1"/>
  <c r="E5558" i="6"/>
  <c r="F5558" i="6" s="1"/>
  <c r="E5557" i="6"/>
  <c r="F5557" i="6" s="1"/>
  <c r="E5556" i="6"/>
  <c r="F5556" i="6" s="1"/>
  <c r="E5555" i="6"/>
  <c r="F5555" i="6" s="1"/>
  <c r="E5554" i="6"/>
  <c r="F5554" i="6" s="1"/>
  <c r="E5553" i="6"/>
  <c r="F5553" i="6" s="1"/>
  <c r="E5552" i="6"/>
  <c r="F5552" i="6" s="1"/>
  <c r="E5551" i="6"/>
  <c r="F5551" i="6" s="1"/>
  <c r="E5550" i="6"/>
  <c r="F5550" i="6" s="1"/>
  <c r="E5549" i="6"/>
  <c r="F5549" i="6" s="1"/>
  <c r="E5548" i="6"/>
  <c r="F5548" i="6" s="1"/>
  <c r="E5547" i="6"/>
  <c r="F5547" i="6" s="1"/>
  <c r="E5546" i="6"/>
  <c r="F5546" i="6" s="1"/>
  <c r="E5545" i="6"/>
  <c r="F5545" i="6" s="1"/>
  <c r="E5544" i="6"/>
  <c r="F5544" i="6" s="1"/>
  <c r="E5543" i="6"/>
  <c r="F5543" i="6" s="1"/>
  <c r="E5542" i="6"/>
  <c r="F5542" i="6" s="1"/>
  <c r="E5541" i="6"/>
  <c r="F5541" i="6" s="1"/>
  <c r="E5540" i="6"/>
  <c r="F5540" i="6" s="1"/>
  <c r="E5539" i="6"/>
  <c r="F5539" i="6" s="1"/>
  <c r="E5538" i="6"/>
  <c r="F5538" i="6" s="1"/>
  <c r="E5537" i="6"/>
  <c r="F5537" i="6" s="1"/>
  <c r="E5536" i="6"/>
  <c r="F5536" i="6" s="1"/>
  <c r="E5535" i="6"/>
  <c r="F5535" i="6" s="1"/>
  <c r="E5534" i="6"/>
  <c r="F5534" i="6" s="1"/>
  <c r="E5533" i="6"/>
  <c r="F5533" i="6" s="1"/>
  <c r="E5532" i="6"/>
  <c r="F5532" i="6" s="1"/>
  <c r="E5531" i="6"/>
  <c r="F5531" i="6" s="1"/>
  <c r="E5530" i="6"/>
  <c r="F5530" i="6" s="1"/>
  <c r="E5529" i="6"/>
  <c r="F5529" i="6" s="1"/>
  <c r="E5528" i="6"/>
  <c r="F5528" i="6" s="1"/>
  <c r="E5527" i="6"/>
  <c r="F5527" i="6" s="1"/>
  <c r="E5526" i="6"/>
  <c r="F5526" i="6" s="1"/>
  <c r="E5525" i="6"/>
  <c r="F5525" i="6" s="1"/>
  <c r="E5524" i="6"/>
  <c r="F5524" i="6" s="1"/>
  <c r="E5523" i="6"/>
  <c r="F5523" i="6" s="1"/>
  <c r="E5522" i="6"/>
  <c r="F5522" i="6" s="1"/>
  <c r="E5521" i="6"/>
  <c r="F5521" i="6" s="1"/>
  <c r="E5520" i="6"/>
  <c r="F5520" i="6" s="1"/>
  <c r="E5519" i="6"/>
  <c r="F5519" i="6" s="1"/>
  <c r="E5518" i="6"/>
  <c r="F5518" i="6" s="1"/>
  <c r="E5517" i="6"/>
  <c r="F5517" i="6" s="1"/>
  <c r="E5516" i="6"/>
  <c r="F5516" i="6" s="1"/>
  <c r="E5515" i="6"/>
  <c r="F5515" i="6" s="1"/>
  <c r="E5514" i="6"/>
  <c r="F5514" i="6" s="1"/>
  <c r="E5513" i="6"/>
  <c r="F5513" i="6" s="1"/>
  <c r="E5512" i="6"/>
  <c r="F5512" i="6" s="1"/>
  <c r="E5511" i="6"/>
  <c r="F5511" i="6" s="1"/>
  <c r="E5510" i="6"/>
  <c r="F5510" i="6" s="1"/>
  <c r="E5509" i="6"/>
  <c r="F5509" i="6" s="1"/>
  <c r="E5508" i="6"/>
  <c r="F5508" i="6" s="1"/>
  <c r="E5507" i="6"/>
  <c r="F5507" i="6" s="1"/>
  <c r="E5506" i="6"/>
  <c r="F5506" i="6" s="1"/>
  <c r="E5505" i="6"/>
  <c r="F5505" i="6" s="1"/>
  <c r="E5504" i="6"/>
  <c r="F5504" i="6" s="1"/>
  <c r="E5503" i="6"/>
  <c r="F5503" i="6" s="1"/>
  <c r="E5502" i="6"/>
  <c r="F5502" i="6" s="1"/>
  <c r="E5501" i="6"/>
  <c r="F5501" i="6" s="1"/>
  <c r="E5500" i="6"/>
  <c r="F5500" i="6" s="1"/>
  <c r="E5499" i="6"/>
  <c r="F5499" i="6" s="1"/>
  <c r="E5498" i="6"/>
  <c r="F5498" i="6" s="1"/>
  <c r="E5497" i="6"/>
  <c r="F5497" i="6" s="1"/>
  <c r="E5496" i="6"/>
  <c r="F5496" i="6" s="1"/>
  <c r="E5495" i="6"/>
  <c r="F5495" i="6" s="1"/>
  <c r="E5494" i="6"/>
  <c r="F5494" i="6" s="1"/>
  <c r="E5493" i="6"/>
  <c r="F5493" i="6" s="1"/>
  <c r="E5492" i="6"/>
  <c r="F5492" i="6" s="1"/>
  <c r="E5491" i="6"/>
  <c r="F5491" i="6" s="1"/>
  <c r="E5490" i="6"/>
  <c r="F5490" i="6" s="1"/>
  <c r="E5489" i="6"/>
  <c r="F5489" i="6" s="1"/>
  <c r="E5488" i="6"/>
  <c r="F5488" i="6" s="1"/>
  <c r="E5487" i="6"/>
  <c r="F5487" i="6" s="1"/>
  <c r="E5486" i="6"/>
  <c r="F5486" i="6" s="1"/>
  <c r="E5485" i="6"/>
  <c r="F5485" i="6" s="1"/>
  <c r="E5484" i="6"/>
  <c r="F5484" i="6" s="1"/>
  <c r="E5483" i="6"/>
  <c r="F5483" i="6" s="1"/>
  <c r="E5482" i="6"/>
  <c r="F5482" i="6" s="1"/>
  <c r="E5481" i="6"/>
  <c r="F5481" i="6" s="1"/>
  <c r="E5480" i="6"/>
  <c r="F5480" i="6" s="1"/>
  <c r="E5479" i="6"/>
  <c r="F5479" i="6" s="1"/>
  <c r="E5478" i="6"/>
  <c r="F5478" i="6" s="1"/>
  <c r="E5477" i="6"/>
  <c r="F5477" i="6" s="1"/>
  <c r="E5476" i="6"/>
  <c r="F5476" i="6" s="1"/>
  <c r="E5475" i="6"/>
  <c r="F5475" i="6" s="1"/>
  <c r="E5474" i="6"/>
  <c r="F5474" i="6" s="1"/>
  <c r="E5473" i="6"/>
  <c r="F5473" i="6" s="1"/>
  <c r="E5472" i="6"/>
  <c r="F5472" i="6" s="1"/>
  <c r="E5471" i="6"/>
  <c r="F5471" i="6" s="1"/>
  <c r="E5470" i="6"/>
  <c r="F5470" i="6" s="1"/>
  <c r="E5469" i="6"/>
  <c r="F5469" i="6" s="1"/>
  <c r="E5468" i="6"/>
  <c r="F5468" i="6" s="1"/>
  <c r="E5467" i="6"/>
  <c r="F5467" i="6" s="1"/>
  <c r="E5466" i="6"/>
  <c r="F5466" i="6" s="1"/>
  <c r="E5465" i="6"/>
  <c r="F5465" i="6" s="1"/>
  <c r="E5464" i="6"/>
  <c r="F5464" i="6" s="1"/>
  <c r="E5463" i="6"/>
  <c r="F5463" i="6" s="1"/>
  <c r="E5462" i="6"/>
  <c r="F5462" i="6" s="1"/>
  <c r="E5461" i="6"/>
  <c r="F5461" i="6" s="1"/>
  <c r="E5460" i="6"/>
  <c r="F5460" i="6" s="1"/>
  <c r="E5459" i="6"/>
  <c r="F5459" i="6" s="1"/>
  <c r="E5458" i="6"/>
  <c r="F5458" i="6" s="1"/>
  <c r="E5457" i="6"/>
  <c r="F5457" i="6" s="1"/>
  <c r="E5456" i="6"/>
  <c r="F5456" i="6" s="1"/>
  <c r="E5455" i="6"/>
  <c r="F5455" i="6" s="1"/>
  <c r="E5454" i="6"/>
  <c r="F5454" i="6" s="1"/>
  <c r="E5453" i="6"/>
  <c r="F5453" i="6" s="1"/>
  <c r="E5452" i="6"/>
  <c r="F5452" i="6" s="1"/>
  <c r="E5451" i="6"/>
  <c r="F5451" i="6" s="1"/>
  <c r="E5450" i="6"/>
  <c r="F5450" i="6" s="1"/>
  <c r="E5449" i="6"/>
  <c r="F5449" i="6" s="1"/>
  <c r="E5448" i="6"/>
  <c r="F5448" i="6" s="1"/>
  <c r="E5447" i="6"/>
  <c r="F5447" i="6" s="1"/>
  <c r="E5446" i="6"/>
  <c r="F5446" i="6" s="1"/>
  <c r="E5445" i="6"/>
  <c r="F5445" i="6" s="1"/>
  <c r="E5444" i="6"/>
  <c r="F5444" i="6" s="1"/>
  <c r="E5443" i="6"/>
  <c r="F5443" i="6" s="1"/>
  <c r="E5442" i="6"/>
  <c r="F5442" i="6" s="1"/>
  <c r="E5441" i="6"/>
  <c r="F5441" i="6" s="1"/>
  <c r="E5440" i="6"/>
  <c r="F5440" i="6" s="1"/>
  <c r="E5439" i="6"/>
  <c r="F5439" i="6" s="1"/>
  <c r="E5438" i="6"/>
  <c r="F5438" i="6" s="1"/>
  <c r="E5437" i="6"/>
  <c r="F5437" i="6" s="1"/>
  <c r="E5436" i="6"/>
  <c r="F5436" i="6" s="1"/>
  <c r="E5435" i="6"/>
  <c r="F5435" i="6" s="1"/>
  <c r="E5434" i="6"/>
  <c r="F5434" i="6" s="1"/>
  <c r="E5433" i="6"/>
  <c r="F5433" i="6" s="1"/>
  <c r="E5432" i="6"/>
  <c r="F5432" i="6" s="1"/>
  <c r="E5431" i="6"/>
  <c r="F5431" i="6" s="1"/>
  <c r="E5430" i="6"/>
  <c r="F5430" i="6" s="1"/>
  <c r="E5429" i="6"/>
  <c r="F5429" i="6" s="1"/>
  <c r="E5428" i="6"/>
  <c r="F5428" i="6" s="1"/>
  <c r="E5427" i="6"/>
  <c r="F5427" i="6" s="1"/>
  <c r="E5426" i="6"/>
  <c r="F5426" i="6" s="1"/>
  <c r="E5425" i="6"/>
  <c r="F5425" i="6" s="1"/>
  <c r="E5424" i="6"/>
  <c r="F5424" i="6" s="1"/>
  <c r="E5423" i="6"/>
  <c r="F5423" i="6" s="1"/>
  <c r="E5422" i="6"/>
  <c r="F5422" i="6" s="1"/>
  <c r="E5421" i="6"/>
  <c r="F5421" i="6" s="1"/>
  <c r="E5420" i="6"/>
  <c r="F5420" i="6" s="1"/>
  <c r="E5419" i="6"/>
  <c r="F5419" i="6" s="1"/>
  <c r="E5418" i="6"/>
  <c r="F5418" i="6" s="1"/>
  <c r="E5417" i="6"/>
  <c r="F5417" i="6" s="1"/>
  <c r="E5416" i="6"/>
  <c r="F5416" i="6" s="1"/>
  <c r="E5415" i="6"/>
  <c r="F5415" i="6" s="1"/>
  <c r="E5414" i="6"/>
  <c r="F5414" i="6" s="1"/>
  <c r="E5413" i="6"/>
  <c r="F5413" i="6" s="1"/>
  <c r="E5412" i="6"/>
  <c r="F5412" i="6" s="1"/>
  <c r="E5411" i="6"/>
  <c r="F5411" i="6" s="1"/>
  <c r="E5410" i="6"/>
  <c r="F5410" i="6" s="1"/>
  <c r="E5409" i="6"/>
  <c r="F5409" i="6" s="1"/>
  <c r="E5408" i="6"/>
  <c r="F5408" i="6" s="1"/>
  <c r="E5407" i="6"/>
  <c r="F5407" i="6" s="1"/>
  <c r="E5406" i="6"/>
  <c r="F5406" i="6" s="1"/>
  <c r="E5405" i="6"/>
  <c r="F5405" i="6" s="1"/>
  <c r="E5404" i="6"/>
  <c r="F5404" i="6" s="1"/>
  <c r="E5403" i="6"/>
  <c r="F5403" i="6" s="1"/>
  <c r="E5402" i="6"/>
  <c r="F5402" i="6" s="1"/>
  <c r="E5401" i="6"/>
  <c r="F5401" i="6" s="1"/>
  <c r="E5400" i="6"/>
  <c r="F5400" i="6" s="1"/>
  <c r="E5399" i="6"/>
  <c r="F5399" i="6" s="1"/>
  <c r="E5398" i="6"/>
  <c r="F5398" i="6" s="1"/>
  <c r="E5397" i="6"/>
  <c r="F5397" i="6" s="1"/>
  <c r="E5396" i="6"/>
  <c r="F5396" i="6" s="1"/>
  <c r="E5395" i="6"/>
  <c r="F5395" i="6" s="1"/>
  <c r="E5394" i="6"/>
  <c r="F5394" i="6" s="1"/>
  <c r="E5393" i="6"/>
  <c r="F5393" i="6" s="1"/>
  <c r="E5392" i="6"/>
  <c r="F5392" i="6" s="1"/>
  <c r="E5391" i="6"/>
  <c r="F5391" i="6" s="1"/>
  <c r="E5390" i="6"/>
  <c r="F5390" i="6" s="1"/>
  <c r="E5389" i="6"/>
  <c r="F5389" i="6" s="1"/>
  <c r="E5388" i="6"/>
  <c r="F5388" i="6" s="1"/>
  <c r="E5387" i="6"/>
  <c r="F5387" i="6" s="1"/>
  <c r="E5386" i="6"/>
  <c r="F5386" i="6" s="1"/>
  <c r="E5385" i="6"/>
  <c r="F5385" i="6" s="1"/>
  <c r="E5384" i="6"/>
  <c r="F5384" i="6" s="1"/>
  <c r="E5383" i="6"/>
  <c r="F5383" i="6" s="1"/>
  <c r="E5382" i="6"/>
  <c r="F5382" i="6" s="1"/>
  <c r="E5381" i="6"/>
  <c r="F5381" i="6" s="1"/>
  <c r="E5380" i="6"/>
  <c r="F5380" i="6" s="1"/>
  <c r="E5379" i="6"/>
  <c r="F5379" i="6" s="1"/>
  <c r="E5378" i="6"/>
  <c r="F5378" i="6" s="1"/>
  <c r="E5377" i="6"/>
  <c r="F5377" i="6" s="1"/>
  <c r="E5376" i="6"/>
  <c r="F5376" i="6" s="1"/>
  <c r="E5375" i="6"/>
  <c r="F5375" i="6" s="1"/>
  <c r="E5374" i="6"/>
  <c r="F5374" i="6" s="1"/>
  <c r="E5373" i="6"/>
  <c r="F5373" i="6" s="1"/>
  <c r="E5372" i="6"/>
  <c r="F5372" i="6" s="1"/>
  <c r="E5371" i="6"/>
  <c r="F5371" i="6" s="1"/>
  <c r="E5370" i="6"/>
  <c r="F5370" i="6" s="1"/>
  <c r="E5369" i="6"/>
  <c r="F5369" i="6" s="1"/>
  <c r="E5368" i="6"/>
  <c r="F5368" i="6" s="1"/>
  <c r="E5367" i="6"/>
  <c r="F5367" i="6" s="1"/>
  <c r="E5366" i="6"/>
  <c r="F5366" i="6" s="1"/>
  <c r="E5365" i="6"/>
  <c r="F5365" i="6" s="1"/>
  <c r="E5364" i="6"/>
  <c r="F5364" i="6" s="1"/>
  <c r="E5363" i="6"/>
  <c r="F5363" i="6" s="1"/>
  <c r="E5362" i="6"/>
  <c r="F5362" i="6" s="1"/>
  <c r="E5361" i="6"/>
  <c r="F5361" i="6" s="1"/>
  <c r="E5360" i="6"/>
  <c r="F5360" i="6" s="1"/>
  <c r="E5359" i="6"/>
  <c r="F5359" i="6" s="1"/>
  <c r="E5358" i="6"/>
  <c r="F5358" i="6" s="1"/>
  <c r="E5357" i="6"/>
  <c r="F5357" i="6" s="1"/>
  <c r="E5356" i="6"/>
  <c r="F5356" i="6" s="1"/>
  <c r="E5355" i="6"/>
  <c r="F5355" i="6" s="1"/>
  <c r="E5354" i="6"/>
  <c r="F5354" i="6" s="1"/>
  <c r="E5353" i="6"/>
  <c r="F5353" i="6" s="1"/>
  <c r="E5352" i="6"/>
  <c r="F5352" i="6" s="1"/>
  <c r="E5351" i="6"/>
  <c r="F5351" i="6" s="1"/>
  <c r="E5350" i="6"/>
  <c r="F5350" i="6" s="1"/>
  <c r="E5349" i="6"/>
  <c r="F5349" i="6" s="1"/>
  <c r="E5348" i="6"/>
  <c r="F5348" i="6" s="1"/>
  <c r="E5347" i="6"/>
  <c r="F5347" i="6" s="1"/>
  <c r="E5346" i="6"/>
  <c r="F5346" i="6" s="1"/>
  <c r="E5345" i="6"/>
  <c r="F5345" i="6" s="1"/>
  <c r="E5344" i="6"/>
  <c r="F5344" i="6" s="1"/>
  <c r="E5343" i="6"/>
  <c r="F5343" i="6" s="1"/>
  <c r="E5342" i="6"/>
  <c r="F5342" i="6" s="1"/>
  <c r="E5341" i="6"/>
  <c r="F5341" i="6" s="1"/>
  <c r="E5340" i="6"/>
  <c r="F5340" i="6" s="1"/>
  <c r="E5339" i="6"/>
  <c r="F5339" i="6" s="1"/>
  <c r="E5338" i="6"/>
  <c r="F5338" i="6" s="1"/>
  <c r="E5337" i="6"/>
  <c r="F5337" i="6" s="1"/>
  <c r="E5336" i="6"/>
  <c r="F5336" i="6" s="1"/>
  <c r="E5335" i="6"/>
  <c r="F5335" i="6" s="1"/>
  <c r="E5334" i="6"/>
  <c r="F5334" i="6" s="1"/>
  <c r="E5333" i="6"/>
  <c r="F5333" i="6" s="1"/>
  <c r="E5332" i="6"/>
  <c r="F5332" i="6" s="1"/>
  <c r="E5331" i="6"/>
  <c r="F5331" i="6" s="1"/>
  <c r="E5330" i="6"/>
  <c r="F5330" i="6" s="1"/>
  <c r="E5329" i="6"/>
  <c r="F5329" i="6" s="1"/>
  <c r="E5328" i="6"/>
  <c r="F5328" i="6" s="1"/>
  <c r="E5327" i="6"/>
  <c r="F5327" i="6" s="1"/>
  <c r="E5326" i="6"/>
  <c r="F5326" i="6" s="1"/>
  <c r="E5325" i="6"/>
  <c r="F5325" i="6" s="1"/>
  <c r="E5324" i="6"/>
  <c r="F5324" i="6" s="1"/>
  <c r="E5323" i="6"/>
  <c r="F5323" i="6" s="1"/>
  <c r="E5322" i="6"/>
  <c r="F5322" i="6" s="1"/>
  <c r="E5321" i="6"/>
  <c r="F5321" i="6" s="1"/>
  <c r="E5320" i="6"/>
  <c r="F5320" i="6" s="1"/>
  <c r="E5319" i="6"/>
  <c r="F5319" i="6" s="1"/>
  <c r="E5318" i="6"/>
  <c r="F5318" i="6" s="1"/>
  <c r="E5317" i="6"/>
  <c r="F5317" i="6" s="1"/>
  <c r="E5316" i="6"/>
  <c r="F5316" i="6" s="1"/>
  <c r="E5315" i="6"/>
  <c r="F5315" i="6" s="1"/>
  <c r="E5314" i="6"/>
  <c r="F5314" i="6" s="1"/>
  <c r="E5313" i="6"/>
  <c r="F5313" i="6" s="1"/>
  <c r="E5312" i="6"/>
  <c r="F5312" i="6" s="1"/>
  <c r="E5311" i="6"/>
  <c r="F5311" i="6" s="1"/>
  <c r="E5310" i="6"/>
  <c r="F5310" i="6" s="1"/>
  <c r="E5309" i="6"/>
  <c r="F5309" i="6" s="1"/>
  <c r="E5308" i="6"/>
  <c r="F5308" i="6" s="1"/>
  <c r="E5307" i="6"/>
  <c r="F5307" i="6" s="1"/>
  <c r="E5306" i="6"/>
  <c r="F5306" i="6" s="1"/>
  <c r="E5305" i="6"/>
  <c r="F5305" i="6" s="1"/>
  <c r="E5304" i="6"/>
  <c r="F5304" i="6" s="1"/>
  <c r="E5303" i="6"/>
  <c r="F5303" i="6" s="1"/>
  <c r="E5302" i="6"/>
  <c r="F5302" i="6" s="1"/>
  <c r="E5301" i="6"/>
  <c r="F5301" i="6" s="1"/>
  <c r="E5300" i="6"/>
  <c r="F5300" i="6" s="1"/>
  <c r="E5299" i="6"/>
  <c r="F5299" i="6" s="1"/>
  <c r="E5298" i="6"/>
  <c r="F5298" i="6" s="1"/>
  <c r="E5297" i="6"/>
  <c r="F5297" i="6" s="1"/>
  <c r="E5296" i="6"/>
  <c r="F5296" i="6" s="1"/>
  <c r="E5295" i="6"/>
  <c r="F5295" i="6" s="1"/>
  <c r="E5294" i="6"/>
  <c r="F5294" i="6" s="1"/>
  <c r="E5293" i="6"/>
  <c r="F5293" i="6" s="1"/>
  <c r="E5292" i="6"/>
  <c r="F5292" i="6" s="1"/>
  <c r="E5291" i="6"/>
  <c r="F5291" i="6" s="1"/>
  <c r="E5290" i="6"/>
  <c r="F5290" i="6" s="1"/>
  <c r="E5289" i="6"/>
  <c r="F5289" i="6" s="1"/>
  <c r="E5288" i="6"/>
  <c r="F5288" i="6" s="1"/>
  <c r="E5287" i="6"/>
  <c r="F5287" i="6" s="1"/>
  <c r="E5286" i="6"/>
  <c r="F5286" i="6" s="1"/>
  <c r="E5285" i="6"/>
  <c r="F5285" i="6" s="1"/>
  <c r="E5284" i="6"/>
  <c r="F5284" i="6" s="1"/>
  <c r="E5283" i="6"/>
  <c r="F5283" i="6" s="1"/>
  <c r="E5282" i="6"/>
  <c r="F5282" i="6" s="1"/>
  <c r="E5281" i="6"/>
  <c r="F5281" i="6" s="1"/>
  <c r="E5280" i="6"/>
  <c r="F5280" i="6" s="1"/>
  <c r="E5279" i="6"/>
  <c r="F5279" i="6" s="1"/>
  <c r="E5278" i="6"/>
  <c r="F5278" i="6" s="1"/>
  <c r="E5277" i="6"/>
  <c r="F5277" i="6" s="1"/>
  <c r="E5276" i="6"/>
  <c r="F5276" i="6" s="1"/>
  <c r="E5275" i="6"/>
  <c r="F5275" i="6" s="1"/>
  <c r="E5274" i="6"/>
  <c r="F5274" i="6" s="1"/>
  <c r="E5273" i="6"/>
  <c r="F5273" i="6" s="1"/>
  <c r="E5272" i="6"/>
  <c r="F5272" i="6" s="1"/>
  <c r="E5271" i="6"/>
  <c r="F5271" i="6" s="1"/>
  <c r="E5270" i="6"/>
  <c r="F5270" i="6" s="1"/>
  <c r="E5269" i="6"/>
  <c r="F5269" i="6" s="1"/>
  <c r="E5268" i="6"/>
  <c r="F5268" i="6" s="1"/>
  <c r="E5267" i="6"/>
  <c r="F5267" i="6" s="1"/>
  <c r="E5266" i="6"/>
  <c r="F5266" i="6" s="1"/>
  <c r="E5265" i="6"/>
  <c r="F5265" i="6" s="1"/>
  <c r="E5264" i="6"/>
  <c r="F5264" i="6" s="1"/>
  <c r="E5263" i="6"/>
  <c r="F5263" i="6" s="1"/>
  <c r="E5262" i="6"/>
  <c r="F5262" i="6" s="1"/>
  <c r="E5261" i="6"/>
  <c r="F5261" i="6" s="1"/>
  <c r="E5260" i="6"/>
  <c r="F5260" i="6" s="1"/>
  <c r="E5259" i="6"/>
  <c r="F5259" i="6" s="1"/>
  <c r="E5258" i="6"/>
  <c r="F5258" i="6" s="1"/>
  <c r="E5257" i="6"/>
  <c r="F5257" i="6" s="1"/>
  <c r="E5256" i="6"/>
  <c r="F5256" i="6" s="1"/>
  <c r="E5255" i="6"/>
  <c r="F5255" i="6" s="1"/>
  <c r="E5254" i="6"/>
  <c r="F5254" i="6" s="1"/>
  <c r="E5253" i="6"/>
  <c r="F5253" i="6" s="1"/>
  <c r="E5252" i="6"/>
  <c r="F5252" i="6" s="1"/>
  <c r="E5251" i="6"/>
  <c r="F5251" i="6" s="1"/>
  <c r="E5250" i="6"/>
  <c r="F5250" i="6" s="1"/>
  <c r="E5249" i="6"/>
  <c r="F5249" i="6" s="1"/>
  <c r="E5248" i="6"/>
  <c r="F5248" i="6" s="1"/>
  <c r="E5247" i="6"/>
  <c r="F5247" i="6" s="1"/>
  <c r="E5246" i="6"/>
  <c r="F5246" i="6" s="1"/>
  <c r="E5245" i="6"/>
  <c r="F5245" i="6" s="1"/>
  <c r="E5244" i="6"/>
  <c r="F5244" i="6" s="1"/>
  <c r="E5243" i="6"/>
  <c r="F5243" i="6" s="1"/>
  <c r="E5242" i="6"/>
  <c r="F5242" i="6" s="1"/>
  <c r="E5241" i="6"/>
  <c r="F5241" i="6" s="1"/>
  <c r="E5240" i="6"/>
  <c r="F5240" i="6" s="1"/>
  <c r="E5239" i="6"/>
  <c r="F5239" i="6" s="1"/>
  <c r="E5238" i="6"/>
  <c r="F5238" i="6" s="1"/>
  <c r="E5237" i="6"/>
  <c r="F5237" i="6" s="1"/>
  <c r="E5236" i="6"/>
  <c r="F5236" i="6" s="1"/>
  <c r="E5235" i="6"/>
  <c r="F5235" i="6" s="1"/>
  <c r="E5234" i="6"/>
  <c r="F5234" i="6" s="1"/>
  <c r="E5233" i="6"/>
  <c r="F5233" i="6" s="1"/>
  <c r="E5232" i="6"/>
  <c r="F5232" i="6" s="1"/>
  <c r="E5231" i="6"/>
  <c r="F5231" i="6" s="1"/>
  <c r="E5230" i="6"/>
  <c r="F5230" i="6" s="1"/>
  <c r="E5229" i="6"/>
  <c r="F5229" i="6" s="1"/>
  <c r="E5228" i="6"/>
  <c r="F5228" i="6" s="1"/>
  <c r="E5227" i="6"/>
  <c r="F5227" i="6" s="1"/>
  <c r="E5226" i="6"/>
  <c r="F5226" i="6" s="1"/>
  <c r="E5225" i="6"/>
  <c r="F5225" i="6" s="1"/>
  <c r="E5224" i="6"/>
  <c r="F5224" i="6" s="1"/>
  <c r="E5223" i="6"/>
  <c r="F5223" i="6" s="1"/>
  <c r="E5222" i="6"/>
  <c r="F5222" i="6" s="1"/>
  <c r="E5221" i="6"/>
  <c r="F5221" i="6" s="1"/>
  <c r="E5220" i="6"/>
  <c r="F5220" i="6" s="1"/>
  <c r="E5219" i="6"/>
  <c r="F5219" i="6" s="1"/>
  <c r="E5218" i="6"/>
  <c r="F5218" i="6" s="1"/>
  <c r="E5217" i="6"/>
  <c r="F5217" i="6" s="1"/>
  <c r="E5216" i="6"/>
  <c r="F5216" i="6" s="1"/>
  <c r="E5215" i="6"/>
  <c r="F5215" i="6" s="1"/>
  <c r="E5214" i="6"/>
  <c r="F5214" i="6" s="1"/>
  <c r="E5213" i="6"/>
  <c r="F5213" i="6" s="1"/>
  <c r="E5212" i="6"/>
  <c r="F5212" i="6" s="1"/>
  <c r="E5211" i="6"/>
  <c r="F5211" i="6" s="1"/>
  <c r="E5210" i="6"/>
  <c r="F5210" i="6" s="1"/>
  <c r="E5209" i="6"/>
  <c r="F5209" i="6" s="1"/>
  <c r="E5208" i="6"/>
  <c r="F5208" i="6" s="1"/>
  <c r="E5207" i="6"/>
  <c r="F5207" i="6" s="1"/>
  <c r="E5206" i="6"/>
  <c r="F5206" i="6" s="1"/>
  <c r="E5205" i="6"/>
  <c r="F5205" i="6" s="1"/>
  <c r="E5204" i="6"/>
  <c r="F5204" i="6" s="1"/>
  <c r="E5203" i="6"/>
  <c r="F5203" i="6" s="1"/>
  <c r="E5202" i="6"/>
  <c r="F5202" i="6" s="1"/>
  <c r="E5201" i="6"/>
  <c r="F5201" i="6" s="1"/>
  <c r="E5200" i="6"/>
  <c r="F5200" i="6" s="1"/>
  <c r="E5199" i="6"/>
  <c r="F5199" i="6" s="1"/>
  <c r="E5198" i="6"/>
  <c r="F5198" i="6" s="1"/>
  <c r="E5197" i="6"/>
  <c r="F5197" i="6" s="1"/>
  <c r="E5196" i="6"/>
  <c r="F5196" i="6" s="1"/>
  <c r="E5195" i="6"/>
  <c r="F5195" i="6" s="1"/>
  <c r="E5194" i="6"/>
  <c r="F5194" i="6" s="1"/>
  <c r="E5193" i="6"/>
  <c r="F5193" i="6" s="1"/>
  <c r="E5192" i="6"/>
  <c r="F5192" i="6" s="1"/>
  <c r="E5191" i="6"/>
  <c r="F5191" i="6" s="1"/>
  <c r="E5190" i="6"/>
  <c r="F5190" i="6" s="1"/>
  <c r="E5189" i="6"/>
  <c r="F5189" i="6" s="1"/>
  <c r="E5188" i="6"/>
  <c r="F5188" i="6" s="1"/>
  <c r="E5187" i="6"/>
  <c r="F5187" i="6" s="1"/>
  <c r="E5186" i="6"/>
  <c r="F5186" i="6" s="1"/>
  <c r="E5185" i="6"/>
  <c r="F5185" i="6" s="1"/>
  <c r="E5184" i="6"/>
  <c r="F5184" i="6" s="1"/>
  <c r="E5183" i="6"/>
  <c r="F5183" i="6" s="1"/>
  <c r="E5182" i="6"/>
  <c r="F5182" i="6" s="1"/>
  <c r="E5181" i="6"/>
  <c r="F5181" i="6" s="1"/>
  <c r="E5180" i="6"/>
  <c r="F5180" i="6" s="1"/>
  <c r="E5179" i="6"/>
  <c r="F5179" i="6" s="1"/>
  <c r="E5178" i="6"/>
  <c r="F5178" i="6" s="1"/>
  <c r="E5177" i="6"/>
  <c r="F5177" i="6" s="1"/>
  <c r="E5176" i="6"/>
  <c r="F5176" i="6" s="1"/>
  <c r="E5175" i="6"/>
  <c r="F5175" i="6" s="1"/>
  <c r="E5174" i="6"/>
  <c r="F5174" i="6" s="1"/>
  <c r="E5173" i="6"/>
  <c r="F5173" i="6" s="1"/>
  <c r="E5172" i="6"/>
  <c r="F5172" i="6" s="1"/>
  <c r="E5171" i="6"/>
  <c r="F5171" i="6" s="1"/>
  <c r="E5170" i="6"/>
  <c r="F5170" i="6" s="1"/>
  <c r="E5169" i="6"/>
  <c r="F5169" i="6" s="1"/>
  <c r="E5168" i="6"/>
  <c r="F5168" i="6" s="1"/>
  <c r="E5167" i="6"/>
  <c r="F5167" i="6" s="1"/>
  <c r="E5166" i="6"/>
  <c r="F5166" i="6" s="1"/>
  <c r="E5165" i="6"/>
  <c r="F5165" i="6" s="1"/>
  <c r="E5164" i="6"/>
  <c r="F5164" i="6" s="1"/>
  <c r="E5163" i="6"/>
  <c r="F5163" i="6" s="1"/>
  <c r="E5162" i="6"/>
  <c r="F5162" i="6" s="1"/>
  <c r="E5161" i="6"/>
  <c r="F5161" i="6" s="1"/>
  <c r="E5160" i="6"/>
  <c r="F5160" i="6" s="1"/>
  <c r="E5159" i="6"/>
  <c r="F5159" i="6" s="1"/>
  <c r="E5158" i="6"/>
  <c r="F5158" i="6" s="1"/>
  <c r="E5157" i="6"/>
  <c r="F5157" i="6" s="1"/>
  <c r="E5156" i="6"/>
  <c r="F5156" i="6" s="1"/>
  <c r="E5155" i="6"/>
  <c r="F5155" i="6" s="1"/>
  <c r="E5154" i="6"/>
  <c r="F5154" i="6" s="1"/>
  <c r="E5153" i="6"/>
  <c r="F5153" i="6" s="1"/>
  <c r="E5152" i="6"/>
  <c r="F5152" i="6" s="1"/>
  <c r="E5151" i="6"/>
  <c r="F5151" i="6" s="1"/>
  <c r="E5150" i="6"/>
  <c r="F5150" i="6" s="1"/>
  <c r="E5149" i="6"/>
  <c r="F5149" i="6" s="1"/>
  <c r="E5148" i="6"/>
  <c r="F5148" i="6" s="1"/>
  <c r="E5147" i="6"/>
  <c r="F5147" i="6" s="1"/>
  <c r="E5146" i="6"/>
  <c r="F5146" i="6" s="1"/>
  <c r="E5145" i="6"/>
  <c r="F5145" i="6" s="1"/>
  <c r="E5144" i="6"/>
  <c r="F5144" i="6" s="1"/>
  <c r="E5143" i="6"/>
  <c r="F5143" i="6" s="1"/>
  <c r="E5142" i="6"/>
  <c r="F5142" i="6" s="1"/>
  <c r="E5141" i="6"/>
  <c r="F5141" i="6" s="1"/>
  <c r="E5140" i="6"/>
  <c r="F5140" i="6" s="1"/>
  <c r="E5139" i="6"/>
  <c r="F5139" i="6" s="1"/>
  <c r="E5138" i="6"/>
  <c r="F5138" i="6" s="1"/>
  <c r="E5137" i="6"/>
  <c r="F5137" i="6" s="1"/>
  <c r="E5136" i="6"/>
  <c r="F5136" i="6" s="1"/>
  <c r="E5135" i="6"/>
  <c r="F5135" i="6" s="1"/>
  <c r="E5134" i="6"/>
  <c r="F5134" i="6" s="1"/>
  <c r="E5133" i="6"/>
  <c r="F5133" i="6" s="1"/>
  <c r="E5132" i="6"/>
  <c r="F5132" i="6" s="1"/>
  <c r="E5131" i="6"/>
  <c r="F5131" i="6" s="1"/>
  <c r="E5130" i="6"/>
  <c r="F5130" i="6" s="1"/>
  <c r="E5129" i="6"/>
  <c r="F5129" i="6" s="1"/>
  <c r="E5128" i="6"/>
  <c r="F5128" i="6" s="1"/>
  <c r="E5127" i="6"/>
  <c r="F5127" i="6" s="1"/>
  <c r="E5126" i="6"/>
  <c r="F5126" i="6" s="1"/>
  <c r="E5125" i="6"/>
  <c r="F5125" i="6" s="1"/>
  <c r="E5124" i="6"/>
  <c r="F5124" i="6" s="1"/>
  <c r="E5123" i="6"/>
  <c r="F5123" i="6" s="1"/>
  <c r="E5122" i="6"/>
  <c r="F5122" i="6" s="1"/>
  <c r="E5121" i="6"/>
  <c r="F5121" i="6" s="1"/>
  <c r="E5120" i="6"/>
  <c r="F5120" i="6" s="1"/>
  <c r="E5119" i="6"/>
  <c r="F5119" i="6" s="1"/>
  <c r="E5118" i="6"/>
  <c r="F5118" i="6" s="1"/>
  <c r="E5117" i="6"/>
  <c r="F5117" i="6" s="1"/>
  <c r="E5116" i="6"/>
  <c r="F5116" i="6" s="1"/>
  <c r="E5115" i="6"/>
  <c r="F5115" i="6" s="1"/>
  <c r="E5114" i="6"/>
  <c r="F5114" i="6" s="1"/>
  <c r="E5113" i="6"/>
  <c r="F5113" i="6" s="1"/>
  <c r="E5112" i="6"/>
  <c r="F5112" i="6" s="1"/>
  <c r="E5111" i="6"/>
  <c r="F5111" i="6" s="1"/>
  <c r="E5110" i="6"/>
  <c r="F5110" i="6" s="1"/>
  <c r="E5109" i="6"/>
  <c r="F5109" i="6" s="1"/>
  <c r="E5108" i="6"/>
  <c r="F5108" i="6" s="1"/>
  <c r="E5107" i="6"/>
  <c r="F5107" i="6" s="1"/>
  <c r="E5106" i="6"/>
  <c r="F5106" i="6" s="1"/>
  <c r="E5105" i="6"/>
  <c r="F5105" i="6" s="1"/>
  <c r="E5104" i="6"/>
  <c r="F5104" i="6" s="1"/>
  <c r="E5103" i="6"/>
  <c r="F5103" i="6" s="1"/>
  <c r="E5102" i="6"/>
  <c r="F5102" i="6" s="1"/>
  <c r="E5101" i="6"/>
  <c r="F5101" i="6" s="1"/>
  <c r="E5100" i="6"/>
  <c r="F5100" i="6" s="1"/>
  <c r="E5099" i="6"/>
  <c r="F5099" i="6" s="1"/>
  <c r="E5098" i="6"/>
  <c r="F5098" i="6" s="1"/>
  <c r="E5097" i="6"/>
  <c r="F5097" i="6" s="1"/>
  <c r="E5096" i="6"/>
  <c r="F5096" i="6" s="1"/>
  <c r="E5095" i="6"/>
  <c r="F5095" i="6" s="1"/>
  <c r="E5094" i="6"/>
  <c r="F5094" i="6" s="1"/>
  <c r="E5093" i="6"/>
  <c r="F5093" i="6" s="1"/>
  <c r="E5092" i="6"/>
  <c r="F5092" i="6" s="1"/>
  <c r="E5091" i="6"/>
  <c r="F5091" i="6" s="1"/>
  <c r="E5090" i="6"/>
  <c r="F5090" i="6" s="1"/>
  <c r="E5089" i="6"/>
  <c r="F5089" i="6" s="1"/>
  <c r="E5088" i="6"/>
  <c r="F5088" i="6" s="1"/>
  <c r="E5087" i="6"/>
  <c r="F5087" i="6" s="1"/>
  <c r="E5086" i="6"/>
  <c r="F5086" i="6" s="1"/>
  <c r="E5085" i="6"/>
  <c r="F5085" i="6" s="1"/>
  <c r="E5084" i="6"/>
  <c r="F5084" i="6" s="1"/>
  <c r="E5083" i="6"/>
  <c r="F5083" i="6" s="1"/>
  <c r="E5082" i="6"/>
  <c r="F5082" i="6" s="1"/>
  <c r="E5081" i="6"/>
  <c r="F5081" i="6" s="1"/>
  <c r="E5080" i="6"/>
  <c r="F5080" i="6" s="1"/>
  <c r="E5079" i="6"/>
  <c r="F5079" i="6" s="1"/>
  <c r="E5078" i="6"/>
  <c r="F5078" i="6" s="1"/>
  <c r="E5077" i="6"/>
  <c r="F5077" i="6" s="1"/>
  <c r="E5076" i="6"/>
  <c r="F5076" i="6" s="1"/>
  <c r="E5075" i="6"/>
  <c r="F5075" i="6" s="1"/>
  <c r="E5074" i="6"/>
  <c r="F5074" i="6" s="1"/>
  <c r="E5073" i="6"/>
  <c r="F5073" i="6" s="1"/>
  <c r="E5072" i="6"/>
  <c r="F5072" i="6" s="1"/>
  <c r="E5071" i="6"/>
  <c r="F5071" i="6" s="1"/>
  <c r="E5070" i="6"/>
  <c r="F5070" i="6" s="1"/>
  <c r="E5069" i="6"/>
  <c r="F5069" i="6" s="1"/>
  <c r="E5068" i="6"/>
  <c r="F5068" i="6" s="1"/>
  <c r="E5067" i="6"/>
  <c r="F5067" i="6" s="1"/>
  <c r="E5066" i="6"/>
  <c r="F5066" i="6" s="1"/>
  <c r="E5065" i="6"/>
  <c r="F5065" i="6" s="1"/>
  <c r="E5064" i="6"/>
  <c r="F5064" i="6" s="1"/>
  <c r="E5063" i="6"/>
  <c r="F5063" i="6" s="1"/>
  <c r="E5062" i="6"/>
  <c r="F5062" i="6" s="1"/>
  <c r="E5061" i="6"/>
  <c r="F5061" i="6" s="1"/>
  <c r="E5060" i="6"/>
  <c r="F5060" i="6" s="1"/>
  <c r="E5059" i="6"/>
  <c r="F5059" i="6" s="1"/>
  <c r="E5058" i="6"/>
  <c r="F5058" i="6" s="1"/>
  <c r="E5057" i="6"/>
  <c r="F5057" i="6" s="1"/>
  <c r="E5056" i="6"/>
  <c r="F5056" i="6" s="1"/>
  <c r="E5055" i="6"/>
  <c r="F5055" i="6" s="1"/>
  <c r="E5054" i="6"/>
  <c r="F5054" i="6" s="1"/>
  <c r="E5053" i="6"/>
  <c r="F5053" i="6" s="1"/>
  <c r="E5052" i="6"/>
  <c r="F5052" i="6" s="1"/>
  <c r="E5051" i="6"/>
  <c r="F5051" i="6" s="1"/>
  <c r="E5050" i="6"/>
  <c r="F5050" i="6" s="1"/>
  <c r="E5049" i="6"/>
  <c r="F5049" i="6" s="1"/>
  <c r="E5048" i="6"/>
  <c r="F5048" i="6" s="1"/>
  <c r="E5047" i="6"/>
  <c r="F5047" i="6" s="1"/>
  <c r="E5046" i="6"/>
  <c r="F5046" i="6" s="1"/>
  <c r="E5045" i="6"/>
  <c r="F5045" i="6" s="1"/>
  <c r="E5044" i="6"/>
  <c r="F5044" i="6" s="1"/>
  <c r="E5043" i="6"/>
  <c r="F5043" i="6" s="1"/>
  <c r="E5042" i="6"/>
  <c r="F5042" i="6" s="1"/>
  <c r="E5041" i="6"/>
  <c r="F5041" i="6" s="1"/>
  <c r="E5040" i="6"/>
  <c r="F5040" i="6" s="1"/>
  <c r="E5039" i="6"/>
  <c r="F5039" i="6" s="1"/>
  <c r="E5038" i="6"/>
  <c r="F5038" i="6" s="1"/>
  <c r="E5037" i="6"/>
  <c r="F5037" i="6" s="1"/>
  <c r="E5036" i="6"/>
  <c r="F5036" i="6" s="1"/>
  <c r="E5035" i="6"/>
  <c r="F5035" i="6" s="1"/>
  <c r="E5034" i="6"/>
  <c r="F5034" i="6" s="1"/>
  <c r="E5033" i="6"/>
  <c r="F5033" i="6" s="1"/>
  <c r="E5032" i="6"/>
  <c r="F5032" i="6" s="1"/>
  <c r="E5031" i="6"/>
  <c r="F5031" i="6" s="1"/>
  <c r="E5030" i="6"/>
  <c r="F5030" i="6" s="1"/>
  <c r="E5029" i="6"/>
  <c r="F5029" i="6" s="1"/>
  <c r="E5028" i="6"/>
  <c r="F5028" i="6" s="1"/>
  <c r="E5027" i="6"/>
  <c r="F5027" i="6" s="1"/>
  <c r="E5026" i="6"/>
  <c r="F5026" i="6" s="1"/>
  <c r="E5025" i="6"/>
  <c r="F5025" i="6" s="1"/>
  <c r="E5024" i="6"/>
  <c r="F5024" i="6" s="1"/>
  <c r="E5023" i="6"/>
  <c r="F5023" i="6" s="1"/>
  <c r="E5022" i="6"/>
  <c r="F5022" i="6" s="1"/>
  <c r="E5021" i="6"/>
  <c r="F5021" i="6" s="1"/>
  <c r="E5020" i="6"/>
  <c r="F5020" i="6" s="1"/>
  <c r="E5019" i="6"/>
  <c r="F5019" i="6" s="1"/>
  <c r="E5018" i="6"/>
  <c r="F5018" i="6" s="1"/>
  <c r="E5017" i="6"/>
  <c r="F5017" i="6" s="1"/>
  <c r="E5016" i="6"/>
  <c r="F5016" i="6" s="1"/>
  <c r="E5015" i="6"/>
  <c r="F5015" i="6" s="1"/>
  <c r="E5014" i="6"/>
  <c r="F5014" i="6" s="1"/>
  <c r="E5013" i="6"/>
  <c r="F5013" i="6" s="1"/>
  <c r="E5012" i="6"/>
  <c r="F5012" i="6" s="1"/>
  <c r="E5011" i="6"/>
  <c r="F5011" i="6" s="1"/>
  <c r="E5010" i="6"/>
  <c r="F5010" i="6" s="1"/>
  <c r="E5009" i="6"/>
  <c r="F5009" i="6" s="1"/>
  <c r="E5008" i="6"/>
  <c r="F5008" i="6" s="1"/>
  <c r="E5007" i="6"/>
  <c r="F5007" i="6" s="1"/>
  <c r="E5006" i="6"/>
  <c r="F5006" i="6" s="1"/>
  <c r="E5005" i="6"/>
  <c r="F5005" i="6" s="1"/>
  <c r="E5004" i="6"/>
  <c r="F5004" i="6" s="1"/>
  <c r="E5003" i="6"/>
  <c r="F5003" i="6" s="1"/>
  <c r="E5002" i="6"/>
  <c r="F5002" i="6" s="1"/>
  <c r="E5001" i="6"/>
  <c r="F5001" i="6" s="1"/>
  <c r="E5000" i="6"/>
  <c r="F5000" i="6" s="1"/>
  <c r="E4999" i="6"/>
  <c r="F4999" i="6" s="1"/>
  <c r="E4998" i="6"/>
  <c r="F4998" i="6" s="1"/>
  <c r="E4997" i="6"/>
  <c r="F4997" i="6" s="1"/>
  <c r="E4996" i="6"/>
  <c r="F4996" i="6" s="1"/>
  <c r="E4995" i="6"/>
  <c r="F4995" i="6" s="1"/>
  <c r="E4994" i="6"/>
  <c r="F4994" i="6" s="1"/>
  <c r="E4993" i="6"/>
  <c r="F4993" i="6" s="1"/>
  <c r="E4992" i="6"/>
  <c r="F4992" i="6" s="1"/>
  <c r="E4991" i="6"/>
  <c r="F4991" i="6" s="1"/>
  <c r="E4990" i="6"/>
  <c r="F4990" i="6" s="1"/>
  <c r="E4989" i="6"/>
  <c r="F4989" i="6" s="1"/>
  <c r="E4988" i="6"/>
  <c r="F4988" i="6" s="1"/>
  <c r="E4987" i="6"/>
  <c r="F4987" i="6" s="1"/>
  <c r="E4986" i="6"/>
  <c r="F4986" i="6" s="1"/>
  <c r="E4985" i="6"/>
  <c r="F4985" i="6" s="1"/>
  <c r="E4984" i="6"/>
  <c r="F4984" i="6" s="1"/>
  <c r="E4983" i="6"/>
  <c r="F4983" i="6" s="1"/>
  <c r="E4982" i="6"/>
  <c r="F4982" i="6" s="1"/>
  <c r="E4981" i="6"/>
  <c r="F4981" i="6" s="1"/>
  <c r="E4980" i="6"/>
  <c r="F4980" i="6" s="1"/>
  <c r="E4979" i="6"/>
  <c r="F4979" i="6" s="1"/>
  <c r="E4978" i="6"/>
  <c r="F4978" i="6" s="1"/>
  <c r="E4977" i="6"/>
  <c r="F4977" i="6" s="1"/>
  <c r="E4976" i="6"/>
  <c r="F4976" i="6" s="1"/>
  <c r="E4975" i="6"/>
  <c r="F4975" i="6" s="1"/>
  <c r="E4974" i="6"/>
  <c r="F4974" i="6" s="1"/>
  <c r="E4973" i="6"/>
  <c r="F4973" i="6" s="1"/>
  <c r="E4972" i="6"/>
  <c r="F4972" i="6" s="1"/>
  <c r="E4971" i="6"/>
  <c r="F4971" i="6" s="1"/>
  <c r="E4970" i="6"/>
  <c r="F4970" i="6" s="1"/>
  <c r="E4969" i="6"/>
  <c r="F4969" i="6" s="1"/>
  <c r="E4968" i="6"/>
  <c r="F4968" i="6" s="1"/>
  <c r="E4967" i="6"/>
  <c r="F4967" i="6" s="1"/>
  <c r="E4966" i="6"/>
  <c r="F4966" i="6" s="1"/>
  <c r="E4965" i="6"/>
  <c r="F4965" i="6" s="1"/>
  <c r="E4964" i="6"/>
  <c r="F4964" i="6" s="1"/>
  <c r="E4963" i="6"/>
  <c r="F4963" i="6" s="1"/>
  <c r="E4962" i="6"/>
  <c r="F4962" i="6" s="1"/>
  <c r="E4961" i="6"/>
  <c r="F4961" i="6" s="1"/>
  <c r="E4960" i="6"/>
  <c r="F4960" i="6" s="1"/>
  <c r="E4959" i="6"/>
  <c r="F4959" i="6" s="1"/>
  <c r="E4958" i="6"/>
  <c r="F4958" i="6" s="1"/>
  <c r="E4957" i="6"/>
  <c r="F4957" i="6" s="1"/>
  <c r="E4956" i="6"/>
  <c r="F4956" i="6" s="1"/>
  <c r="E4955" i="6"/>
  <c r="F4955" i="6" s="1"/>
  <c r="E4954" i="6"/>
  <c r="F4954" i="6" s="1"/>
  <c r="E4953" i="6"/>
  <c r="F4953" i="6" s="1"/>
  <c r="E4952" i="6"/>
  <c r="F4952" i="6" s="1"/>
  <c r="E4951" i="6"/>
  <c r="F4951" i="6" s="1"/>
  <c r="E4950" i="6"/>
  <c r="F4950" i="6" s="1"/>
  <c r="E4949" i="6"/>
  <c r="F4949" i="6" s="1"/>
  <c r="E4948" i="6"/>
  <c r="F4948" i="6" s="1"/>
  <c r="E4947" i="6"/>
  <c r="F4947" i="6" s="1"/>
  <c r="E4946" i="6"/>
  <c r="F4946" i="6" s="1"/>
  <c r="E4945" i="6"/>
  <c r="F4945" i="6" s="1"/>
  <c r="E4944" i="6"/>
  <c r="F4944" i="6" s="1"/>
  <c r="E4943" i="6"/>
  <c r="F4943" i="6" s="1"/>
  <c r="E4942" i="6"/>
  <c r="F4942" i="6" s="1"/>
  <c r="E4941" i="6"/>
  <c r="F4941" i="6" s="1"/>
  <c r="E4940" i="6"/>
  <c r="F4940" i="6" s="1"/>
  <c r="E4939" i="6"/>
  <c r="F4939" i="6" s="1"/>
  <c r="E4938" i="6"/>
  <c r="F4938" i="6" s="1"/>
  <c r="E4937" i="6"/>
  <c r="F4937" i="6" s="1"/>
  <c r="E4936" i="6"/>
  <c r="F4936" i="6" s="1"/>
  <c r="E4935" i="6"/>
  <c r="F4935" i="6" s="1"/>
  <c r="E4934" i="6"/>
  <c r="F4934" i="6" s="1"/>
  <c r="E4933" i="6"/>
  <c r="F4933" i="6" s="1"/>
  <c r="E4932" i="6"/>
  <c r="F4932" i="6" s="1"/>
  <c r="E4931" i="6"/>
  <c r="F4931" i="6" s="1"/>
  <c r="E4930" i="6"/>
  <c r="F4930" i="6" s="1"/>
  <c r="E4929" i="6"/>
  <c r="F4929" i="6" s="1"/>
  <c r="E4928" i="6"/>
  <c r="F4928" i="6" s="1"/>
  <c r="E4927" i="6"/>
  <c r="F4927" i="6" s="1"/>
  <c r="E4926" i="6"/>
  <c r="F4926" i="6" s="1"/>
  <c r="E4925" i="6"/>
  <c r="F4925" i="6" s="1"/>
  <c r="E4924" i="6"/>
  <c r="F4924" i="6" s="1"/>
  <c r="E4923" i="6"/>
  <c r="F4923" i="6" s="1"/>
  <c r="E4922" i="6"/>
  <c r="F4922" i="6" s="1"/>
  <c r="E4921" i="6"/>
  <c r="F4921" i="6" s="1"/>
  <c r="E4920" i="6"/>
  <c r="F4920" i="6" s="1"/>
  <c r="E4919" i="6"/>
  <c r="F4919" i="6" s="1"/>
  <c r="E4918" i="6"/>
  <c r="F4918" i="6" s="1"/>
  <c r="E4917" i="6"/>
  <c r="F4917" i="6" s="1"/>
  <c r="E4916" i="6"/>
  <c r="F4916" i="6" s="1"/>
  <c r="E4915" i="6"/>
  <c r="F4915" i="6" s="1"/>
  <c r="E4914" i="6"/>
  <c r="F4914" i="6" s="1"/>
  <c r="E4913" i="6"/>
  <c r="F4913" i="6" s="1"/>
  <c r="E4912" i="6"/>
  <c r="F4912" i="6" s="1"/>
  <c r="E4911" i="6"/>
  <c r="F4911" i="6" s="1"/>
  <c r="E4910" i="6"/>
  <c r="F4910" i="6" s="1"/>
  <c r="E4909" i="6"/>
  <c r="F4909" i="6" s="1"/>
  <c r="E4908" i="6"/>
  <c r="F4908" i="6" s="1"/>
  <c r="E4907" i="6"/>
  <c r="F4907" i="6" s="1"/>
  <c r="E4906" i="6"/>
  <c r="F4906" i="6" s="1"/>
  <c r="E4905" i="6"/>
  <c r="F4905" i="6" s="1"/>
  <c r="E4904" i="6"/>
  <c r="F4904" i="6" s="1"/>
  <c r="E4903" i="6"/>
  <c r="F4903" i="6" s="1"/>
  <c r="E4902" i="6"/>
  <c r="F4902" i="6" s="1"/>
  <c r="E4901" i="6"/>
  <c r="F4901" i="6" s="1"/>
  <c r="E4900" i="6"/>
  <c r="F4900" i="6" s="1"/>
  <c r="E4899" i="6"/>
  <c r="F4899" i="6" s="1"/>
  <c r="E4898" i="6"/>
  <c r="F4898" i="6" s="1"/>
  <c r="E4897" i="6"/>
  <c r="F4897" i="6" s="1"/>
  <c r="E4896" i="6"/>
  <c r="F4896" i="6" s="1"/>
  <c r="E4895" i="6"/>
  <c r="F4895" i="6" s="1"/>
  <c r="E4894" i="6"/>
  <c r="F4894" i="6" s="1"/>
  <c r="E4893" i="6"/>
  <c r="F4893" i="6" s="1"/>
  <c r="E4892" i="6"/>
  <c r="F4892" i="6" s="1"/>
  <c r="E4891" i="6"/>
  <c r="F4891" i="6" s="1"/>
  <c r="E4890" i="6"/>
  <c r="F4890" i="6" s="1"/>
  <c r="E4889" i="6"/>
  <c r="F4889" i="6" s="1"/>
  <c r="E4888" i="6"/>
  <c r="F4888" i="6" s="1"/>
  <c r="E4887" i="6"/>
  <c r="F4887" i="6" s="1"/>
  <c r="E4886" i="6"/>
  <c r="F4886" i="6" s="1"/>
  <c r="E4885" i="6"/>
  <c r="F4885" i="6" s="1"/>
  <c r="E4884" i="6"/>
  <c r="F4884" i="6" s="1"/>
  <c r="E4883" i="6"/>
  <c r="F4883" i="6" s="1"/>
  <c r="E4882" i="6"/>
  <c r="F4882" i="6" s="1"/>
  <c r="E4881" i="6"/>
  <c r="F4881" i="6" s="1"/>
  <c r="E4880" i="6"/>
  <c r="F4880" i="6" s="1"/>
  <c r="E4879" i="6"/>
  <c r="F4879" i="6" s="1"/>
  <c r="E4878" i="6"/>
  <c r="F4878" i="6" s="1"/>
  <c r="E4877" i="6"/>
  <c r="F4877" i="6" s="1"/>
  <c r="E4876" i="6"/>
  <c r="F4876" i="6" s="1"/>
  <c r="E4875" i="6"/>
  <c r="F4875" i="6" s="1"/>
  <c r="E4874" i="6"/>
  <c r="F4874" i="6" s="1"/>
  <c r="E4873" i="6"/>
  <c r="F4873" i="6" s="1"/>
  <c r="E4872" i="6"/>
  <c r="F4872" i="6" s="1"/>
  <c r="E4871" i="6"/>
  <c r="F4871" i="6" s="1"/>
  <c r="E4870" i="6"/>
  <c r="F4870" i="6" s="1"/>
  <c r="E4869" i="6"/>
  <c r="F4869" i="6" s="1"/>
  <c r="E4868" i="6"/>
  <c r="F4868" i="6" s="1"/>
  <c r="E4867" i="6"/>
  <c r="F4867" i="6" s="1"/>
  <c r="E4866" i="6"/>
  <c r="F4866" i="6" s="1"/>
  <c r="E4865" i="6"/>
  <c r="F4865" i="6" s="1"/>
  <c r="E4864" i="6"/>
  <c r="F4864" i="6" s="1"/>
  <c r="E4863" i="6"/>
  <c r="F4863" i="6" s="1"/>
  <c r="E4862" i="6"/>
  <c r="F4862" i="6" s="1"/>
  <c r="E4861" i="6"/>
  <c r="F4861" i="6" s="1"/>
  <c r="E4860" i="6"/>
  <c r="F4860" i="6" s="1"/>
  <c r="E4859" i="6"/>
  <c r="F4859" i="6" s="1"/>
  <c r="E4858" i="6"/>
  <c r="F4858" i="6" s="1"/>
  <c r="E4857" i="6"/>
  <c r="F4857" i="6" s="1"/>
  <c r="E4856" i="6"/>
  <c r="F4856" i="6" s="1"/>
  <c r="E4855" i="6"/>
  <c r="F4855" i="6" s="1"/>
  <c r="E4854" i="6"/>
  <c r="F4854" i="6" s="1"/>
  <c r="E4853" i="6"/>
  <c r="F4853" i="6" s="1"/>
  <c r="E4852" i="6"/>
  <c r="F4852" i="6" s="1"/>
  <c r="E4851" i="6"/>
  <c r="F4851" i="6" s="1"/>
  <c r="E4850" i="6"/>
  <c r="F4850" i="6" s="1"/>
  <c r="E4849" i="6"/>
  <c r="F4849" i="6" s="1"/>
  <c r="E4848" i="6"/>
  <c r="F4848" i="6" s="1"/>
  <c r="E4847" i="6"/>
  <c r="F4847" i="6" s="1"/>
  <c r="E4846" i="6"/>
  <c r="F4846" i="6" s="1"/>
  <c r="E4845" i="6"/>
  <c r="F4845" i="6" s="1"/>
  <c r="E4844" i="6"/>
  <c r="F4844" i="6" s="1"/>
  <c r="E4843" i="6"/>
  <c r="F4843" i="6" s="1"/>
  <c r="E4842" i="6"/>
  <c r="F4842" i="6" s="1"/>
  <c r="E4841" i="6"/>
  <c r="F4841" i="6" s="1"/>
  <c r="E4840" i="6"/>
  <c r="F4840" i="6" s="1"/>
  <c r="E4839" i="6"/>
  <c r="F4839" i="6" s="1"/>
  <c r="E4838" i="6"/>
  <c r="F4838" i="6" s="1"/>
  <c r="E4837" i="6"/>
  <c r="F4837" i="6" s="1"/>
  <c r="E4836" i="6"/>
  <c r="F4836" i="6" s="1"/>
  <c r="E4835" i="6"/>
  <c r="F4835" i="6" s="1"/>
  <c r="E4834" i="6"/>
  <c r="F4834" i="6" s="1"/>
  <c r="E4833" i="6"/>
  <c r="F4833" i="6" s="1"/>
  <c r="E4832" i="6"/>
  <c r="F4832" i="6" s="1"/>
  <c r="E4831" i="6"/>
  <c r="F4831" i="6" s="1"/>
  <c r="E4830" i="6"/>
  <c r="F4830" i="6" s="1"/>
  <c r="E4829" i="6"/>
  <c r="F4829" i="6" s="1"/>
  <c r="E4828" i="6"/>
  <c r="F4828" i="6" s="1"/>
  <c r="E4827" i="6"/>
  <c r="F4827" i="6" s="1"/>
  <c r="E4826" i="6"/>
  <c r="F4826" i="6" s="1"/>
  <c r="E4825" i="6"/>
  <c r="F4825" i="6" s="1"/>
  <c r="E4824" i="6"/>
  <c r="F4824" i="6" s="1"/>
  <c r="E4823" i="6"/>
  <c r="F4823" i="6" s="1"/>
  <c r="E4822" i="6"/>
  <c r="F4822" i="6" s="1"/>
  <c r="E4821" i="6"/>
  <c r="F4821" i="6" s="1"/>
  <c r="E4820" i="6"/>
  <c r="F4820" i="6" s="1"/>
  <c r="E4819" i="6"/>
  <c r="F4819" i="6" s="1"/>
  <c r="E4818" i="6"/>
  <c r="F4818" i="6" s="1"/>
  <c r="E4817" i="6"/>
  <c r="F4817" i="6" s="1"/>
  <c r="E4816" i="6"/>
  <c r="F4816" i="6" s="1"/>
  <c r="E4815" i="6"/>
  <c r="F4815" i="6" s="1"/>
  <c r="E4814" i="6"/>
  <c r="F4814" i="6" s="1"/>
  <c r="E4813" i="6"/>
  <c r="F4813" i="6" s="1"/>
  <c r="E4812" i="6"/>
  <c r="F4812" i="6" s="1"/>
  <c r="E4811" i="6"/>
  <c r="F4811" i="6" s="1"/>
  <c r="E4810" i="6"/>
  <c r="F4810" i="6" s="1"/>
  <c r="E4809" i="6"/>
  <c r="F4809" i="6" s="1"/>
  <c r="E4808" i="6"/>
  <c r="F4808" i="6" s="1"/>
  <c r="E4807" i="6"/>
  <c r="F4807" i="6" s="1"/>
  <c r="E4806" i="6"/>
  <c r="F4806" i="6" s="1"/>
  <c r="E4805" i="6"/>
  <c r="F4805" i="6" s="1"/>
  <c r="E4804" i="6"/>
  <c r="F4804" i="6" s="1"/>
  <c r="E4803" i="6"/>
  <c r="F4803" i="6" s="1"/>
  <c r="E4802" i="6"/>
  <c r="F4802" i="6" s="1"/>
  <c r="E4801" i="6"/>
  <c r="F4801" i="6" s="1"/>
  <c r="E4800" i="6"/>
  <c r="F4800" i="6" s="1"/>
  <c r="E4799" i="6"/>
  <c r="F4799" i="6" s="1"/>
  <c r="E4798" i="6"/>
  <c r="F4798" i="6" s="1"/>
  <c r="E4797" i="6"/>
  <c r="F4797" i="6" s="1"/>
  <c r="E4796" i="6"/>
  <c r="F4796" i="6" s="1"/>
  <c r="E4795" i="6"/>
  <c r="F4795" i="6" s="1"/>
  <c r="E4794" i="6"/>
  <c r="F4794" i="6" s="1"/>
  <c r="E4793" i="6"/>
  <c r="F4793" i="6" s="1"/>
  <c r="E4792" i="6"/>
  <c r="F4792" i="6" s="1"/>
  <c r="E4791" i="6"/>
  <c r="F4791" i="6" s="1"/>
  <c r="E4790" i="6"/>
  <c r="F4790" i="6" s="1"/>
  <c r="E4789" i="6"/>
  <c r="F4789" i="6" s="1"/>
  <c r="E4788" i="6"/>
  <c r="F4788" i="6" s="1"/>
  <c r="E4787" i="6"/>
  <c r="F4787" i="6" s="1"/>
  <c r="E4786" i="6"/>
  <c r="F4786" i="6" s="1"/>
  <c r="E4785" i="6"/>
  <c r="F4785" i="6" s="1"/>
  <c r="E4784" i="6"/>
  <c r="F4784" i="6" s="1"/>
  <c r="E4783" i="6"/>
  <c r="F4783" i="6" s="1"/>
  <c r="E4782" i="6"/>
  <c r="F4782" i="6" s="1"/>
  <c r="E4781" i="6"/>
  <c r="F4781" i="6" s="1"/>
  <c r="E4780" i="6"/>
  <c r="F4780" i="6" s="1"/>
  <c r="E4779" i="6"/>
  <c r="F4779" i="6" s="1"/>
  <c r="E4778" i="6"/>
  <c r="F4778" i="6" s="1"/>
  <c r="E4777" i="6"/>
  <c r="F4777" i="6" s="1"/>
  <c r="E4776" i="6"/>
  <c r="F4776" i="6" s="1"/>
  <c r="E4775" i="6"/>
  <c r="F4775" i="6" s="1"/>
  <c r="E4774" i="6"/>
  <c r="F4774" i="6" s="1"/>
  <c r="E4773" i="6"/>
  <c r="F4773" i="6" s="1"/>
  <c r="E4772" i="6"/>
  <c r="F4772" i="6" s="1"/>
  <c r="E4771" i="6"/>
  <c r="F4771" i="6" s="1"/>
  <c r="E4770" i="6"/>
  <c r="F4770" i="6" s="1"/>
  <c r="E4769" i="6"/>
  <c r="F4769" i="6" s="1"/>
  <c r="E4768" i="6"/>
  <c r="F4768" i="6" s="1"/>
  <c r="E4767" i="6"/>
  <c r="F4767" i="6" s="1"/>
  <c r="E4766" i="6"/>
  <c r="F4766" i="6" s="1"/>
  <c r="E4765" i="6"/>
  <c r="F4765" i="6" s="1"/>
  <c r="E4764" i="6"/>
  <c r="F4764" i="6" s="1"/>
  <c r="E4763" i="6"/>
  <c r="F4763" i="6" s="1"/>
  <c r="E4762" i="6"/>
  <c r="F4762" i="6" s="1"/>
  <c r="E4761" i="6"/>
  <c r="F4761" i="6" s="1"/>
  <c r="E4760" i="6"/>
  <c r="F4760" i="6" s="1"/>
  <c r="E4759" i="6"/>
  <c r="F4759" i="6" s="1"/>
  <c r="E4758" i="6"/>
  <c r="F4758" i="6" s="1"/>
  <c r="E4757" i="6"/>
  <c r="F4757" i="6" s="1"/>
  <c r="E4756" i="6"/>
  <c r="F4756" i="6" s="1"/>
  <c r="E4755" i="6"/>
  <c r="F4755" i="6" s="1"/>
  <c r="E4754" i="6"/>
  <c r="F4754" i="6" s="1"/>
  <c r="E4753" i="6"/>
  <c r="F4753" i="6" s="1"/>
  <c r="E4752" i="6"/>
  <c r="F4752" i="6" s="1"/>
  <c r="E4751" i="6"/>
  <c r="F4751" i="6" s="1"/>
  <c r="E4750" i="6"/>
  <c r="F4750" i="6" s="1"/>
  <c r="E4749" i="6"/>
  <c r="F4749" i="6" s="1"/>
  <c r="E4748" i="6"/>
  <c r="F4748" i="6" s="1"/>
  <c r="E4747" i="6"/>
  <c r="F4747" i="6" s="1"/>
  <c r="E4746" i="6"/>
  <c r="F4746" i="6" s="1"/>
  <c r="E4745" i="6"/>
  <c r="F4745" i="6" s="1"/>
  <c r="E4744" i="6"/>
  <c r="F4744" i="6" s="1"/>
  <c r="E4743" i="6"/>
  <c r="F4743" i="6" s="1"/>
  <c r="E4742" i="6"/>
  <c r="F4742" i="6" s="1"/>
  <c r="E4741" i="6"/>
  <c r="F4741" i="6" s="1"/>
  <c r="E4740" i="6"/>
  <c r="F4740" i="6" s="1"/>
  <c r="E4739" i="6"/>
  <c r="F4739" i="6" s="1"/>
  <c r="E4738" i="6"/>
  <c r="F4738" i="6" s="1"/>
  <c r="E4737" i="6"/>
  <c r="F4737" i="6" s="1"/>
  <c r="E4736" i="6"/>
  <c r="F4736" i="6" s="1"/>
  <c r="E4735" i="6"/>
  <c r="F4735" i="6" s="1"/>
  <c r="E4734" i="6"/>
  <c r="F4734" i="6" s="1"/>
  <c r="E4733" i="6"/>
  <c r="F4733" i="6" s="1"/>
  <c r="E4732" i="6"/>
  <c r="F4732" i="6" s="1"/>
  <c r="E4731" i="6"/>
  <c r="F4731" i="6" s="1"/>
  <c r="E4730" i="6"/>
  <c r="F4730" i="6" s="1"/>
  <c r="E4729" i="6"/>
  <c r="F4729" i="6" s="1"/>
  <c r="E4728" i="6"/>
  <c r="F4728" i="6" s="1"/>
  <c r="E4727" i="6"/>
  <c r="F4727" i="6" s="1"/>
  <c r="E4726" i="6"/>
  <c r="F4726" i="6" s="1"/>
  <c r="E4725" i="6"/>
  <c r="F4725" i="6" s="1"/>
  <c r="E4724" i="6"/>
  <c r="F4724" i="6" s="1"/>
  <c r="E4723" i="6"/>
  <c r="F4723" i="6" s="1"/>
  <c r="E4722" i="6"/>
  <c r="F4722" i="6" s="1"/>
  <c r="E4721" i="6"/>
  <c r="F4721" i="6" s="1"/>
  <c r="E4720" i="6"/>
  <c r="F4720" i="6" s="1"/>
  <c r="E4719" i="6"/>
  <c r="F4719" i="6" s="1"/>
  <c r="E4718" i="6"/>
  <c r="F4718" i="6" s="1"/>
  <c r="E4717" i="6"/>
  <c r="F4717" i="6" s="1"/>
  <c r="E4716" i="6"/>
  <c r="F4716" i="6" s="1"/>
  <c r="E4715" i="6"/>
  <c r="F4715" i="6" s="1"/>
  <c r="E4714" i="6"/>
  <c r="F4714" i="6" s="1"/>
  <c r="E4713" i="6"/>
  <c r="F4713" i="6" s="1"/>
  <c r="E4712" i="6"/>
  <c r="F4712" i="6" s="1"/>
  <c r="E4711" i="6"/>
  <c r="F4711" i="6" s="1"/>
  <c r="E4710" i="6"/>
  <c r="F4710" i="6" s="1"/>
  <c r="E4709" i="6"/>
  <c r="F4709" i="6" s="1"/>
  <c r="E4708" i="6"/>
  <c r="F4708" i="6" s="1"/>
  <c r="E4707" i="6"/>
  <c r="F4707" i="6" s="1"/>
  <c r="E4706" i="6"/>
  <c r="F4706" i="6" s="1"/>
  <c r="E4705" i="6"/>
  <c r="F4705" i="6" s="1"/>
  <c r="E4704" i="6"/>
  <c r="F4704" i="6" s="1"/>
  <c r="E4703" i="6"/>
  <c r="F4703" i="6" s="1"/>
  <c r="E4702" i="6"/>
  <c r="F4702" i="6" s="1"/>
  <c r="E4701" i="6"/>
  <c r="F4701" i="6" s="1"/>
  <c r="E4700" i="6"/>
  <c r="F4700" i="6" s="1"/>
  <c r="E4699" i="6"/>
  <c r="F4699" i="6" s="1"/>
  <c r="E4698" i="6"/>
  <c r="F4698" i="6" s="1"/>
  <c r="E4697" i="6"/>
  <c r="F4697" i="6" s="1"/>
  <c r="E4696" i="6"/>
  <c r="F4696" i="6" s="1"/>
  <c r="E4695" i="6"/>
  <c r="F4695" i="6" s="1"/>
  <c r="E4694" i="6"/>
  <c r="F4694" i="6" s="1"/>
  <c r="E4693" i="6"/>
  <c r="F4693" i="6" s="1"/>
  <c r="E4692" i="6"/>
  <c r="F4692" i="6" s="1"/>
  <c r="E4691" i="6"/>
  <c r="F4691" i="6" s="1"/>
  <c r="E4690" i="6"/>
  <c r="F4690" i="6" s="1"/>
  <c r="E4689" i="6"/>
  <c r="F4689" i="6" s="1"/>
  <c r="E4688" i="6"/>
  <c r="F4688" i="6" s="1"/>
  <c r="E4687" i="6"/>
  <c r="F4687" i="6" s="1"/>
  <c r="E4686" i="6"/>
  <c r="F4686" i="6" s="1"/>
  <c r="E4685" i="6"/>
  <c r="F4685" i="6" s="1"/>
  <c r="E4684" i="6"/>
  <c r="F4684" i="6" s="1"/>
  <c r="E4683" i="6"/>
  <c r="F4683" i="6" s="1"/>
  <c r="E4682" i="6"/>
  <c r="F4682" i="6" s="1"/>
  <c r="E4681" i="6"/>
  <c r="F4681" i="6" s="1"/>
  <c r="E4680" i="6"/>
  <c r="F4680" i="6" s="1"/>
  <c r="E4679" i="6"/>
  <c r="F4679" i="6" s="1"/>
  <c r="E4678" i="6"/>
  <c r="F4678" i="6" s="1"/>
  <c r="E4677" i="6"/>
  <c r="F4677" i="6" s="1"/>
  <c r="E4676" i="6"/>
  <c r="F4676" i="6" s="1"/>
  <c r="E4675" i="6"/>
  <c r="F4675" i="6" s="1"/>
  <c r="E4674" i="6"/>
  <c r="F4674" i="6" s="1"/>
  <c r="E4673" i="6"/>
  <c r="F4673" i="6" s="1"/>
  <c r="E4672" i="6"/>
  <c r="F4672" i="6" s="1"/>
  <c r="E4671" i="6"/>
  <c r="F4671" i="6" s="1"/>
  <c r="E4670" i="6"/>
  <c r="F4670" i="6" s="1"/>
  <c r="E4669" i="6"/>
  <c r="F4669" i="6" s="1"/>
  <c r="E4668" i="6"/>
  <c r="F4668" i="6" s="1"/>
  <c r="E4667" i="6"/>
  <c r="F4667" i="6" s="1"/>
  <c r="E4666" i="6"/>
  <c r="F4666" i="6" s="1"/>
  <c r="E4665" i="6"/>
  <c r="F4665" i="6" s="1"/>
  <c r="E4664" i="6"/>
  <c r="F4664" i="6" s="1"/>
  <c r="E4663" i="6"/>
  <c r="F4663" i="6" s="1"/>
  <c r="E4662" i="6"/>
  <c r="F4662" i="6" s="1"/>
  <c r="E4661" i="6"/>
  <c r="F4661" i="6" s="1"/>
  <c r="E4660" i="6"/>
  <c r="F4660" i="6" s="1"/>
  <c r="E4659" i="6"/>
  <c r="F4659" i="6" s="1"/>
  <c r="E4658" i="6"/>
  <c r="F4658" i="6" s="1"/>
  <c r="E4657" i="6"/>
  <c r="F4657" i="6" s="1"/>
  <c r="E4656" i="6"/>
  <c r="F4656" i="6" s="1"/>
  <c r="E4655" i="6"/>
  <c r="F4655" i="6" s="1"/>
  <c r="E4654" i="6"/>
  <c r="F4654" i="6" s="1"/>
  <c r="E4653" i="6"/>
  <c r="F4653" i="6" s="1"/>
  <c r="E4652" i="6"/>
  <c r="F4652" i="6" s="1"/>
  <c r="E4651" i="6"/>
  <c r="F4651" i="6" s="1"/>
  <c r="E4650" i="6"/>
  <c r="F4650" i="6" s="1"/>
  <c r="E4649" i="6"/>
  <c r="F4649" i="6" s="1"/>
  <c r="E4648" i="6"/>
  <c r="F4648" i="6" s="1"/>
  <c r="E4647" i="6"/>
  <c r="F4647" i="6" s="1"/>
  <c r="E4646" i="6"/>
  <c r="F4646" i="6" s="1"/>
  <c r="E4645" i="6"/>
  <c r="F4645" i="6" s="1"/>
  <c r="E4644" i="6"/>
  <c r="F4644" i="6" s="1"/>
  <c r="E4643" i="6"/>
  <c r="F4643" i="6" s="1"/>
  <c r="E4642" i="6"/>
  <c r="F4642" i="6" s="1"/>
  <c r="E4641" i="6"/>
  <c r="F4641" i="6" s="1"/>
  <c r="E4640" i="6"/>
  <c r="F4640" i="6" s="1"/>
  <c r="E4639" i="6"/>
  <c r="F4639" i="6" s="1"/>
  <c r="E4638" i="6"/>
  <c r="F4638" i="6" s="1"/>
  <c r="E4637" i="6"/>
  <c r="F4637" i="6" s="1"/>
  <c r="E4636" i="6"/>
  <c r="F4636" i="6" s="1"/>
  <c r="E4635" i="6"/>
  <c r="F4635" i="6" s="1"/>
  <c r="E4634" i="6"/>
  <c r="F4634" i="6" s="1"/>
  <c r="E4633" i="6"/>
  <c r="F4633" i="6" s="1"/>
  <c r="E4632" i="6"/>
  <c r="F4632" i="6" s="1"/>
  <c r="E4631" i="6"/>
  <c r="F4631" i="6" s="1"/>
  <c r="E4630" i="6"/>
  <c r="F4630" i="6" s="1"/>
  <c r="E4629" i="6"/>
  <c r="F4629" i="6" s="1"/>
  <c r="E4628" i="6"/>
  <c r="F4628" i="6" s="1"/>
  <c r="E4627" i="6"/>
  <c r="F4627" i="6" s="1"/>
  <c r="E4626" i="6"/>
  <c r="F4626" i="6" s="1"/>
  <c r="E4625" i="6"/>
  <c r="F4625" i="6" s="1"/>
  <c r="E4624" i="6"/>
  <c r="F4624" i="6" s="1"/>
  <c r="E4623" i="6"/>
  <c r="F4623" i="6" s="1"/>
  <c r="E4622" i="6"/>
  <c r="F4622" i="6" s="1"/>
  <c r="E4621" i="6"/>
  <c r="F4621" i="6" s="1"/>
  <c r="E4620" i="6"/>
  <c r="F4620" i="6" s="1"/>
  <c r="E4619" i="6"/>
  <c r="F4619" i="6" s="1"/>
  <c r="E4618" i="6"/>
  <c r="F4618" i="6" s="1"/>
  <c r="E4617" i="6"/>
  <c r="F4617" i="6" s="1"/>
  <c r="E4616" i="6"/>
  <c r="F4616" i="6" s="1"/>
  <c r="E4615" i="6"/>
  <c r="F4615" i="6" s="1"/>
  <c r="E4614" i="6"/>
  <c r="F4614" i="6" s="1"/>
  <c r="E4613" i="6"/>
  <c r="F4613" i="6" s="1"/>
  <c r="E4612" i="6"/>
  <c r="F4612" i="6" s="1"/>
  <c r="E4611" i="6"/>
  <c r="F4611" i="6" s="1"/>
  <c r="E4610" i="6"/>
  <c r="F4610" i="6" s="1"/>
  <c r="E4609" i="6"/>
  <c r="F4609" i="6" s="1"/>
  <c r="E4608" i="6"/>
  <c r="F4608" i="6" s="1"/>
  <c r="E4607" i="6"/>
  <c r="F4607" i="6" s="1"/>
  <c r="E4606" i="6"/>
  <c r="F4606" i="6" s="1"/>
  <c r="E4605" i="6"/>
  <c r="F4605" i="6" s="1"/>
  <c r="E4604" i="6"/>
  <c r="F4604" i="6" s="1"/>
  <c r="E4603" i="6"/>
  <c r="F4603" i="6" s="1"/>
  <c r="E4602" i="6"/>
  <c r="F4602" i="6" s="1"/>
  <c r="E4601" i="6"/>
  <c r="F4601" i="6" s="1"/>
  <c r="E4600" i="6"/>
  <c r="F4600" i="6" s="1"/>
  <c r="E4599" i="6"/>
  <c r="F4599" i="6" s="1"/>
  <c r="E4598" i="6"/>
  <c r="F4598" i="6" s="1"/>
  <c r="E4597" i="6"/>
  <c r="F4597" i="6" s="1"/>
  <c r="E4596" i="6"/>
  <c r="F4596" i="6" s="1"/>
  <c r="E4595" i="6"/>
  <c r="F4595" i="6" s="1"/>
  <c r="E4594" i="6"/>
  <c r="F4594" i="6" s="1"/>
  <c r="E4593" i="6"/>
  <c r="F4593" i="6" s="1"/>
  <c r="E4592" i="6"/>
  <c r="F4592" i="6" s="1"/>
  <c r="E4591" i="6"/>
  <c r="F4591" i="6" s="1"/>
  <c r="E4590" i="6"/>
  <c r="F4590" i="6" s="1"/>
  <c r="E4589" i="6"/>
  <c r="F4589" i="6" s="1"/>
  <c r="E4588" i="6"/>
  <c r="F4588" i="6" s="1"/>
  <c r="E4587" i="6"/>
  <c r="F4587" i="6" s="1"/>
  <c r="E4586" i="6"/>
  <c r="F4586" i="6" s="1"/>
  <c r="E4585" i="6"/>
  <c r="F4585" i="6" s="1"/>
  <c r="E4584" i="6"/>
  <c r="F4584" i="6" s="1"/>
  <c r="E4583" i="6"/>
  <c r="F4583" i="6" s="1"/>
  <c r="E4582" i="6"/>
  <c r="F4582" i="6" s="1"/>
  <c r="E4581" i="6"/>
  <c r="F4581" i="6" s="1"/>
  <c r="E4580" i="6"/>
  <c r="F4580" i="6" s="1"/>
  <c r="E4579" i="6"/>
  <c r="F4579" i="6" s="1"/>
  <c r="E4578" i="6"/>
  <c r="F4578" i="6" s="1"/>
  <c r="E4577" i="6"/>
  <c r="F4577" i="6" s="1"/>
  <c r="E4576" i="6"/>
  <c r="F4576" i="6" s="1"/>
  <c r="E4575" i="6"/>
  <c r="F4575" i="6" s="1"/>
  <c r="E4574" i="6"/>
  <c r="F4574" i="6" s="1"/>
  <c r="E4573" i="6"/>
  <c r="F4573" i="6" s="1"/>
  <c r="E4572" i="6"/>
  <c r="F4572" i="6" s="1"/>
  <c r="E4571" i="6"/>
  <c r="F4571" i="6" s="1"/>
  <c r="E4570" i="6"/>
  <c r="F4570" i="6" s="1"/>
  <c r="E4569" i="6"/>
  <c r="F4569" i="6" s="1"/>
  <c r="E4568" i="6"/>
  <c r="F4568" i="6" s="1"/>
  <c r="E4567" i="6"/>
  <c r="F4567" i="6" s="1"/>
  <c r="E4566" i="6"/>
  <c r="F4566" i="6" s="1"/>
  <c r="E4565" i="6"/>
  <c r="F4565" i="6" s="1"/>
  <c r="E4564" i="6"/>
  <c r="F4564" i="6" s="1"/>
  <c r="E4563" i="6"/>
  <c r="F4563" i="6" s="1"/>
  <c r="E4562" i="6"/>
  <c r="F4562" i="6" s="1"/>
  <c r="E4561" i="6"/>
  <c r="F4561" i="6" s="1"/>
  <c r="E4560" i="6"/>
  <c r="F4560" i="6" s="1"/>
  <c r="E4559" i="6"/>
  <c r="F4559" i="6" s="1"/>
  <c r="E4558" i="6"/>
  <c r="F4558" i="6" s="1"/>
  <c r="E4557" i="6"/>
  <c r="F4557" i="6" s="1"/>
  <c r="E4556" i="6"/>
  <c r="F4556" i="6" s="1"/>
  <c r="E4555" i="6"/>
  <c r="F4555" i="6" s="1"/>
  <c r="E4554" i="6"/>
  <c r="F4554" i="6" s="1"/>
  <c r="E4553" i="6"/>
  <c r="F4553" i="6" s="1"/>
  <c r="E4552" i="6"/>
  <c r="F4552" i="6" s="1"/>
  <c r="E4551" i="6"/>
  <c r="F4551" i="6" s="1"/>
  <c r="E4550" i="6"/>
  <c r="F4550" i="6" s="1"/>
  <c r="E4549" i="6"/>
  <c r="F4549" i="6" s="1"/>
  <c r="E4548" i="6"/>
  <c r="F4548" i="6" s="1"/>
  <c r="E4547" i="6"/>
  <c r="F4547" i="6" s="1"/>
  <c r="E4546" i="6"/>
  <c r="F4546" i="6" s="1"/>
  <c r="E4545" i="6"/>
  <c r="F4545" i="6" s="1"/>
  <c r="E4544" i="6"/>
  <c r="F4544" i="6" s="1"/>
  <c r="E4543" i="6"/>
  <c r="F4543" i="6" s="1"/>
  <c r="E4542" i="6"/>
  <c r="F4542" i="6" s="1"/>
  <c r="E4541" i="6"/>
  <c r="F4541" i="6" s="1"/>
  <c r="E4540" i="6"/>
  <c r="F4540" i="6" s="1"/>
  <c r="E4539" i="6"/>
  <c r="F4539" i="6" s="1"/>
  <c r="E4538" i="6"/>
  <c r="F4538" i="6" s="1"/>
  <c r="E4537" i="6"/>
  <c r="F4537" i="6" s="1"/>
  <c r="E4536" i="6"/>
  <c r="F4536" i="6" s="1"/>
  <c r="E4535" i="6"/>
  <c r="F4535" i="6" s="1"/>
  <c r="E4534" i="6"/>
  <c r="F4534" i="6" s="1"/>
  <c r="E4533" i="6"/>
  <c r="F4533" i="6" s="1"/>
  <c r="E4532" i="6"/>
  <c r="F4532" i="6" s="1"/>
  <c r="E4531" i="6"/>
  <c r="F4531" i="6" s="1"/>
  <c r="E4530" i="6"/>
  <c r="F4530" i="6" s="1"/>
  <c r="E4529" i="6"/>
  <c r="F4529" i="6" s="1"/>
  <c r="E4528" i="6"/>
  <c r="F4528" i="6" s="1"/>
  <c r="E4527" i="6"/>
  <c r="F4527" i="6" s="1"/>
  <c r="E4526" i="6"/>
  <c r="F4526" i="6" s="1"/>
  <c r="E4525" i="6"/>
  <c r="F4525" i="6" s="1"/>
  <c r="E4524" i="6"/>
  <c r="F4524" i="6" s="1"/>
  <c r="E4523" i="6"/>
  <c r="F4523" i="6" s="1"/>
  <c r="E4522" i="6"/>
  <c r="F4522" i="6" s="1"/>
  <c r="E4521" i="6"/>
  <c r="F4521" i="6" s="1"/>
  <c r="E4520" i="6"/>
  <c r="F4520" i="6" s="1"/>
  <c r="E4519" i="6"/>
  <c r="F4519" i="6" s="1"/>
  <c r="E4518" i="6"/>
  <c r="F4518" i="6" s="1"/>
  <c r="E4517" i="6"/>
  <c r="F4517" i="6" s="1"/>
  <c r="E4516" i="6"/>
  <c r="F4516" i="6" s="1"/>
  <c r="E4515" i="6"/>
  <c r="F4515" i="6" s="1"/>
  <c r="E4514" i="6"/>
  <c r="F4514" i="6" s="1"/>
  <c r="E4513" i="6"/>
  <c r="F4513" i="6" s="1"/>
  <c r="E4512" i="6"/>
  <c r="F4512" i="6" s="1"/>
  <c r="E4511" i="6"/>
  <c r="F4511" i="6" s="1"/>
  <c r="E4510" i="6"/>
  <c r="F4510" i="6" s="1"/>
  <c r="E4509" i="6"/>
  <c r="F4509" i="6" s="1"/>
  <c r="E4508" i="6"/>
  <c r="F4508" i="6" s="1"/>
  <c r="E4507" i="6"/>
  <c r="F4507" i="6" s="1"/>
  <c r="E4506" i="6"/>
  <c r="F4506" i="6" s="1"/>
  <c r="E4505" i="6"/>
  <c r="F4505" i="6" s="1"/>
  <c r="E4504" i="6"/>
  <c r="F4504" i="6" s="1"/>
  <c r="E4503" i="6"/>
  <c r="F4503" i="6" s="1"/>
  <c r="E4502" i="6"/>
  <c r="F4502" i="6" s="1"/>
  <c r="E4501" i="6"/>
  <c r="F4501" i="6" s="1"/>
  <c r="E4500" i="6"/>
  <c r="F4500" i="6" s="1"/>
  <c r="E4499" i="6"/>
  <c r="F4499" i="6" s="1"/>
  <c r="E4498" i="6"/>
  <c r="F4498" i="6" s="1"/>
  <c r="E4497" i="6"/>
  <c r="F4497" i="6" s="1"/>
  <c r="E4496" i="6"/>
  <c r="F4496" i="6" s="1"/>
  <c r="E4495" i="6"/>
  <c r="F4495" i="6" s="1"/>
  <c r="E4494" i="6"/>
  <c r="F4494" i="6" s="1"/>
  <c r="E4493" i="6"/>
  <c r="F4493" i="6" s="1"/>
  <c r="E4492" i="6"/>
  <c r="F4492" i="6" s="1"/>
  <c r="E4491" i="6"/>
  <c r="F4491" i="6" s="1"/>
  <c r="E4490" i="6"/>
  <c r="F4490" i="6" s="1"/>
  <c r="E4489" i="6"/>
  <c r="F4489" i="6" s="1"/>
  <c r="E4488" i="6"/>
  <c r="F4488" i="6" s="1"/>
  <c r="E4487" i="6"/>
  <c r="F4487" i="6" s="1"/>
  <c r="E4486" i="6"/>
  <c r="F4486" i="6" s="1"/>
  <c r="E4485" i="6"/>
  <c r="F4485" i="6" s="1"/>
  <c r="E4484" i="6"/>
  <c r="F4484" i="6" s="1"/>
  <c r="E4483" i="6"/>
  <c r="F4483" i="6" s="1"/>
  <c r="E4482" i="6"/>
  <c r="F4482" i="6" s="1"/>
  <c r="E4481" i="6"/>
  <c r="F4481" i="6" s="1"/>
  <c r="E4480" i="6"/>
  <c r="F4480" i="6" s="1"/>
  <c r="E4479" i="6"/>
  <c r="F4479" i="6" s="1"/>
  <c r="E4478" i="6"/>
  <c r="F4478" i="6" s="1"/>
  <c r="E4477" i="6"/>
  <c r="F4477" i="6" s="1"/>
  <c r="E4476" i="6"/>
  <c r="F4476" i="6" s="1"/>
  <c r="E4475" i="6"/>
  <c r="F4475" i="6" s="1"/>
  <c r="E4474" i="6"/>
  <c r="F4474" i="6" s="1"/>
  <c r="E4473" i="6"/>
  <c r="F4473" i="6" s="1"/>
  <c r="E4472" i="6"/>
  <c r="F4472" i="6" s="1"/>
  <c r="E4471" i="6"/>
  <c r="F4471" i="6" s="1"/>
  <c r="E4470" i="6"/>
  <c r="F4470" i="6" s="1"/>
  <c r="E4469" i="6"/>
  <c r="F4469" i="6" s="1"/>
  <c r="E4468" i="6"/>
  <c r="F4468" i="6" s="1"/>
  <c r="E4467" i="6"/>
  <c r="F4467" i="6" s="1"/>
  <c r="E4466" i="6"/>
  <c r="F4466" i="6" s="1"/>
  <c r="E4465" i="6"/>
  <c r="F4465" i="6" s="1"/>
  <c r="E4464" i="6"/>
  <c r="F4464" i="6" s="1"/>
  <c r="E4463" i="6"/>
  <c r="F4463" i="6" s="1"/>
  <c r="E4462" i="6"/>
  <c r="F4462" i="6" s="1"/>
  <c r="E4461" i="6"/>
  <c r="F4461" i="6" s="1"/>
  <c r="E4460" i="6"/>
  <c r="F4460" i="6" s="1"/>
  <c r="E4459" i="6"/>
  <c r="F4459" i="6" s="1"/>
  <c r="E4458" i="6"/>
  <c r="F4458" i="6" s="1"/>
  <c r="E4457" i="6"/>
  <c r="F4457" i="6" s="1"/>
  <c r="E4456" i="6"/>
  <c r="F4456" i="6" s="1"/>
  <c r="E4455" i="6"/>
  <c r="F4455" i="6" s="1"/>
  <c r="E4454" i="6"/>
  <c r="F4454" i="6" s="1"/>
  <c r="E4453" i="6"/>
  <c r="F4453" i="6" s="1"/>
  <c r="E4452" i="6"/>
  <c r="F4452" i="6" s="1"/>
  <c r="E4451" i="6"/>
  <c r="F4451" i="6" s="1"/>
  <c r="E4450" i="6"/>
  <c r="F4450" i="6" s="1"/>
  <c r="E4449" i="6"/>
  <c r="F4449" i="6" s="1"/>
  <c r="E4448" i="6"/>
  <c r="F4448" i="6" s="1"/>
  <c r="E4447" i="6"/>
  <c r="F4447" i="6" s="1"/>
  <c r="E4446" i="6"/>
  <c r="F4446" i="6" s="1"/>
  <c r="E4445" i="6"/>
  <c r="F4445" i="6" s="1"/>
  <c r="E4444" i="6"/>
  <c r="F4444" i="6" s="1"/>
  <c r="E4443" i="6"/>
  <c r="F4443" i="6" s="1"/>
  <c r="E4442" i="6"/>
  <c r="F4442" i="6" s="1"/>
  <c r="E4441" i="6"/>
  <c r="F4441" i="6" s="1"/>
  <c r="E4440" i="6"/>
  <c r="F4440" i="6" s="1"/>
  <c r="E4439" i="6"/>
  <c r="F4439" i="6" s="1"/>
  <c r="E4438" i="6"/>
  <c r="F4438" i="6" s="1"/>
  <c r="E4437" i="6"/>
  <c r="F4437" i="6" s="1"/>
  <c r="E4436" i="6"/>
  <c r="F4436" i="6" s="1"/>
  <c r="E4435" i="6"/>
  <c r="F4435" i="6" s="1"/>
  <c r="E4434" i="6"/>
  <c r="F4434" i="6" s="1"/>
  <c r="E4433" i="6"/>
  <c r="F4433" i="6" s="1"/>
  <c r="E4432" i="6"/>
  <c r="F4432" i="6" s="1"/>
  <c r="E4431" i="6"/>
  <c r="F4431" i="6" s="1"/>
  <c r="E4430" i="6"/>
  <c r="F4430" i="6" s="1"/>
  <c r="E4429" i="6"/>
  <c r="F4429" i="6" s="1"/>
  <c r="E4428" i="6"/>
  <c r="F4428" i="6" s="1"/>
  <c r="E4427" i="6"/>
  <c r="F4427" i="6" s="1"/>
  <c r="E4426" i="6"/>
  <c r="F4426" i="6" s="1"/>
  <c r="E4425" i="6"/>
  <c r="F4425" i="6" s="1"/>
  <c r="E4424" i="6"/>
  <c r="F4424" i="6" s="1"/>
  <c r="E4423" i="6"/>
  <c r="F4423" i="6" s="1"/>
  <c r="E4422" i="6"/>
  <c r="F4422" i="6" s="1"/>
  <c r="E4421" i="6"/>
  <c r="F4421" i="6" s="1"/>
  <c r="E4420" i="6"/>
  <c r="F4420" i="6" s="1"/>
  <c r="E4419" i="6"/>
  <c r="F4419" i="6" s="1"/>
  <c r="E4418" i="6"/>
  <c r="F4418" i="6" s="1"/>
  <c r="E4417" i="6"/>
  <c r="F4417" i="6" s="1"/>
  <c r="E4416" i="6"/>
  <c r="F4416" i="6" s="1"/>
  <c r="E4415" i="6"/>
  <c r="F4415" i="6" s="1"/>
  <c r="E4414" i="6"/>
  <c r="F4414" i="6" s="1"/>
  <c r="E4413" i="6"/>
  <c r="F4413" i="6" s="1"/>
  <c r="E4412" i="6"/>
  <c r="F4412" i="6" s="1"/>
  <c r="E4411" i="6"/>
  <c r="F4411" i="6" s="1"/>
  <c r="E4410" i="6"/>
  <c r="F4410" i="6" s="1"/>
  <c r="E4409" i="6"/>
  <c r="F4409" i="6" s="1"/>
  <c r="E4408" i="6"/>
  <c r="F4408" i="6" s="1"/>
  <c r="E4407" i="6"/>
  <c r="F4407" i="6" s="1"/>
  <c r="E4406" i="6"/>
  <c r="F4406" i="6" s="1"/>
  <c r="E4405" i="6"/>
  <c r="F4405" i="6" s="1"/>
  <c r="E4404" i="6"/>
  <c r="F4404" i="6" s="1"/>
  <c r="E4403" i="6"/>
  <c r="F4403" i="6" s="1"/>
  <c r="E4402" i="6"/>
  <c r="F4402" i="6" s="1"/>
  <c r="E4401" i="6"/>
  <c r="F4401" i="6" s="1"/>
  <c r="E4400" i="6"/>
  <c r="F4400" i="6" s="1"/>
  <c r="E4399" i="6"/>
  <c r="F4399" i="6" s="1"/>
  <c r="E4398" i="6"/>
  <c r="F4398" i="6" s="1"/>
  <c r="E4397" i="6"/>
  <c r="F4397" i="6" s="1"/>
  <c r="E4396" i="6"/>
  <c r="F4396" i="6" s="1"/>
  <c r="E4395" i="6"/>
  <c r="F4395" i="6" s="1"/>
  <c r="E4394" i="6"/>
  <c r="F4394" i="6" s="1"/>
  <c r="E4393" i="6"/>
  <c r="F4393" i="6" s="1"/>
  <c r="E4392" i="6"/>
  <c r="F4392" i="6" s="1"/>
  <c r="E4391" i="6"/>
  <c r="F4391" i="6" s="1"/>
  <c r="E4390" i="6"/>
  <c r="F4390" i="6" s="1"/>
  <c r="E4389" i="6"/>
  <c r="F4389" i="6" s="1"/>
  <c r="E4388" i="6"/>
  <c r="F4388" i="6" s="1"/>
  <c r="E4387" i="6"/>
  <c r="F4387" i="6" s="1"/>
  <c r="E4386" i="6"/>
  <c r="F4386" i="6" s="1"/>
  <c r="E4385" i="6"/>
  <c r="F4385" i="6" s="1"/>
  <c r="E4384" i="6"/>
  <c r="F4384" i="6" s="1"/>
  <c r="E4383" i="6"/>
  <c r="F4383" i="6" s="1"/>
  <c r="E4382" i="6"/>
  <c r="F4382" i="6" s="1"/>
  <c r="E4381" i="6"/>
  <c r="F4381" i="6" s="1"/>
  <c r="E4380" i="6"/>
  <c r="F4380" i="6" s="1"/>
  <c r="E4379" i="6"/>
  <c r="F4379" i="6" s="1"/>
  <c r="E4378" i="6"/>
  <c r="F4378" i="6" s="1"/>
  <c r="E4377" i="6"/>
  <c r="F4377" i="6" s="1"/>
  <c r="E4376" i="6"/>
  <c r="F4376" i="6" s="1"/>
  <c r="E4375" i="6"/>
  <c r="F4375" i="6" s="1"/>
  <c r="E4374" i="6"/>
  <c r="F4374" i="6" s="1"/>
  <c r="E4373" i="6"/>
  <c r="F4373" i="6" s="1"/>
  <c r="E4372" i="6"/>
  <c r="F4372" i="6" s="1"/>
  <c r="E4371" i="6"/>
  <c r="F4371" i="6" s="1"/>
  <c r="E4370" i="6"/>
  <c r="F4370" i="6" s="1"/>
  <c r="E4369" i="6"/>
  <c r="F4369" i="6" s="1"/>
  <c r="E4368" i="6"/>
  <c r="F4368" i="6" s="1"/>
  <c r="E4367" i="6"/>
  <c r="F4367" i="6" s="1"/>
  <c r="E4366" i="6"/>
  <c r="F4366" i="6" s="1"/>
  <c r="E4365" i="6"/>
  <c r="F4365" i="6" s="1"/>
  <c r="E4364" i="6"/>
  <c r="F4364" i="6" s="1"/>
  <c r="E4363" i="6"/>
  <c r="F4363" i="6" s="1"/>
  <c r="E4362" i="6"/>
  <c r="F4362" i="6" s="1"/>
  <c r="E4361" i="6"/>
  <c r="F4361" i="6" s="1"/>
  <c r="E4360" i="6"/>
  <c r="F4360" i="6" s="1"/>
  <c r="E4359" i="6"/>
  <c r="F4359" i="6" s="1"/>
  <c r="E4358" i="6"/>
  <c r="F4358" i="6" s="1"/>
  <c r="E4357" i="6"/>
  <c r="F4357" i="6" s="1"/>
  <c r="E4356" i="6"/>
  <c r="F4356" i="6" s="1"/>
  <c r="E4355" i="6"/>
  <c r="F4355" i="6" s="1"/>
  <c r="E4354" i="6"/>
  <c r="F4354" i="6" s="1"/>
  <c r="E4353" i="6"/>
  <c r="F4353" i="6" s="1"/>
  <c r="E4352" i="6"/>
  <c r="F4352" i="6" s="1"/>
  <c r="E4351" i="6"/>
  <c r="F4351" i="6" s="1"/>
  <c r="E4350" i="6"/>
  <c r="F4350" i="6" s="1"/>
  <c r="E4349" i="6"/>
  <c r="F4349" i="6" s="1"/>
  <c r="E4348" i="6"/>
  <c r="F4348" i="6" s="1"/>
  <c r="E4347" i="6"/>
  <c r="F4347" i="6" s="1"/>
  <c r="E4346" i="6"/>
  <c r="F4346" i="6" s="1"/>
  <c r="E4345" i="6"/>
  <c r="F4345" i="6" s="1"/>
  <c r="E4344" i="6"/>
  <c r="F4344" i="6" s="1"/>
  <c r="E4343" i="6"/>
  <c r="F4343" i="6" s="1"/>
  <c r="E4342" i="6"/>
  <c r="F4342" i="6" s="1"/>
  <c r="E4341" i="6"/>
  <c r="F4341" i="6" s="1"/>
  <c r="E4340" i="6"/>
  <c r="F4340" i="6" s="1"/>
  <c r="E4339" i="6"/>
  <c r="F4339" i="6" s="1"/>
  <c r="E4338" i="6"/>
  <c r="F4338" i="6" s="1"/>
  <c r="E4337" i="6"/>
  <c r="F4337" i="6" s="1"/>
  <c r="E4336" i="6"/>
  <c r="F4336" i="6" s="1"/>
  <c r="E4335" i="6"/>
  <c r="F4335" i="6" s="1"/>
  <c r="E4334" i="6"/>
  <c r="F4334" i="6" s="1"/>
  <c r="E4333" i="6"/>
  <c r="F4333" i="6" s="1"/>
  <c r="E4332" i="6"/>
  <c r="F4332" i="6" s="1"/>
  <c r="E4331" i="6"/>
  <c r="F4331" i="6" s="1"/>
  <c r="E4330" i="6"/>
  <c r="F4330" i="6" s="1"/>
  <c r="E4329" i="6"/>
  <c r="F4329" i="6" s="1"/>
  <c r="E4328" i="6"/>
  <c r="F4328" i="6" s="1"/>
  <c r="E4327" i="6"/>
  <c r="F4327" i="6" s="1"/>
  <c r="E4326" i="6"/>
  <c r="F4326" i="6" s="1"/>
  <c r="E4325" i="6"/>
  <c r="F4325" i="6" s="1"/>
  <c r="E4324" i="6"/>
  <c r="F4324" i="6" s="1"/>
  <c r="E4323" i="6"/>
  <c r="F4323" i="6" s="1"/>
  <c r="E4322" i="6"/>
  <c r="F4322" i="6" s="1"/>
  <c r="E4321" i="6"/>
  <c r="F4321" i="6" s="1"/>
  <c r="E4320" i="6"/>
  <c r="F4320" i="6" s="1"/>
  <c r="E4319" i="6"/>
  <c r="F4319" i="6" s="1"/>
  <c r="E4318" i="6"/>
  <c r="F4318" i="6" s="1"/>
  <c r="E4317" i="6"/>
  <c r="F4317" i="6" s="1"/>
  <c r="E4316" i="6"/>
  <c r="F4316" i="6" s="1"/>
  <c r="E4315" i="6"/>
  <c r="F4315" i="6" s="1"/>
  <c r="E4314" i="6"/>
  <c r="F4314" i="6" s="1"/>
  <c r="E4313" i="6"/>
  <c r="F4313" i="6" s="1"/>
  <c r="E4312" i="6"/>
  <c r="F4312" i="6" s="1"/>
  <c r="E4311" i="6"/>
  <c r="F4311" i="6" s="1"/>
  <c r="E4310" i="6"/>
  <c r="F4310" i="6" s="1"/>
  <c r="E4309" i="6"/>
  <c r="F4309" i="6" s="1"/>
  <c r="E4308" i="6"/>
  <c r="F4308" i="6" s="1"/>
  <c r="E4307" i="6"/>
  <c r="F4307" i="6" s="1"/>
  <c r="E4306" i="6"/>
  <c r="F4306" i="6" s="1"/>
  <c r="E4305" i="6"/>
  <c r="F4305" i="6" s="1"/>
  <c r="E4304" i="6"/>
  <c r="F4304" i="6" s="1"/>
  <c r="E4303" i="6"/>
  <c r="F4303" i="6" s="1"/>
  <c r="E4302" i="6"/>
  <c r="F4302" i="6" s="1"/>
  <c r="E4301" i="6"/>
  <c r="F4301" i="6" s="1"/>
  <c r="E4300" i="6"/>
  <c r="F4300" i="6" s="1"/>
  <c r="E4299" i="6"/>
  <c r="F4299" i="6" s="1"/>
  <c r="E4298" i="6"/>
  <c r="F4298" i="6" s="1"/>
  <c r="E4297" i="6"/>
  <c r="F4297" i="6" s="1"/>
  <c r="E4296" i="6"/>
  <c r="F4296" i="6" s="1"/>
  <c r="E4295" i="6"/>
  <c r="F4295" i="6" s="1"/>
  <c r="E4294" i="6"/>
  <c r="F4294" i="6" s="1"/>
  <c r="E4293" i="6"/>
  <c r="F4293" i="6" s="1"/>
  <c r="E4292" i="6"/>
  <c r="F4292" i="6" s="1"/>
  <c r="E4291" i="6"/>
  <c r="F4291" i="6" s="1"/>
  <c r="E4290" i="6"/>
  <c r="F4290" i="6" s="1"/>
  <c r="E4289" i="6"/>
  <c r="F4289" i="6" s="1"/>
  <c r="E4288" i="6"/>
  <c r="F4288" i="6" s="1"/>
  <c r="E4287" i="6"/>
  <c r="F4287" i="6" s="1"/>
  <c r="E4286" i="6"/>
  <c r="F4286" i="6" s="1"/>
  <c r="E4285" i="6"/>
  <c r="F4285" i="6" s="1"/>
  <c r="E4284" i="6"/>
  <c r="F4284" i="6" s="1"/>
  <c r="E4283" i="6"/>
  <c r="F4283" i="6" s="1"/>
  <c r="E4282" i="6"/>
  <c r="F4282" i="6" s="1"/>
  <c r="E4281" i="6"/>
  <c r="F4281" i="6" s="1"/>
  <c r="E4280" i="6"/>
  <c r="F4280" i="6" s="1"/>
  <c r="E4279" i="6"/>
  <c r="F4279" i="6" s="1"/>
  <c r="E4278" i="6"/>
  <c r="F4278" i="6" s="1"/>
  <c r="E4277" i="6"/>
  <c r="F4277" i="6" s="1"/>
  <c r="E4276" i="6"/>
  <c r="F4276" i="6" s="1"/>
  <c r="E4275" i="6"/>
  <c r="F4275" i="6" s="1"/>
  <c r="E4274" i="6"/>
  <c r="F4274" i="6" s="1"/>
  <c r="E4273" i="6"/>
  <c r="F4273" i="6" s="1"/>
  <c r="E4272" i="6"/>
  <c r="F4272" i="6" s="1"/>
  <c r="E4271" i="6"/>
  <c r="F4271" i="6" s="1"/>
  <c r="E4270" i="6"/>
  <c r="F4270" i="6" s="1"/>
  <c r="E4269" i="6"/>
  <c r="F4269" i="6" s="1"/>
  <c r="E4268" i="6"/>
  <c r="F4268" i="6" s="1"/>
  <c r="E4267" i="6"/>
  <c r="F4267" i="6" s="1"/>
  <c r="E4266" i="6"/>
  <c r="F4266" i="6" s="1"/>
  <c r="E4265" i="6"/>
  <c r="F4265" i="6" s="1"/>
  <c r="E4264" i="6"/>
  <c r="F4264" i="6" s="1"/>
  <c r="E4263" i="6"/>
  <c r="F4263" i="6" s="1"/>
  <c r="E4262" i="6"/>
  <c r="F4262" i="6" s="1"/>
  <c r="E4261" i="6"/>
  <c r="F4261" i="6" s="1"/>
  <c r="E4260" i="6"/>
  <c r="F4260" i="6" s="1"/>
  <c r="E4259" i="6"/>
  <c r="F4259" i="6" s="1"/>
  <c r="E4258" i="6"/>
  <c r="F4258" i="6" s="1"/>
  <c r="E4257" i="6"/>
  <c r="F4257" i="6" s="1"/>
  <c r="E4256" i="6"/>
  <c r="F4256" i="6" s="1"/>
  <c r="E4255" i="6"/>
  <c r="F4255" i="6" s="1"/>
  <c r="E4254" i="6"/>
  <c r="F4254" i="6" s="1"/>
  <c r="E4253" i="6"/>
  <c r="F4253" i="6" s="1"/>
  <c r="E4252" i="6"/>
  <c r="F4252" i="6" s="1"/>
  <c r="E4251" i="6"/>
  <c r="F4251" i="6" s="1"/>
  <c r="E4250" i="6"/>
  <c r="F4250" i="6" s="1"/>
  <c r="E4249" i="6"/>
  <c r="F4249" i="6" s="1"/>
  <c r="E4248" i="6"/>
  <c r="F4248" i="6" s="1"/>
  <c r="E4247" i="6"/>
  <c r="F4247" i="6" s="1"/>
  <c r="E4246" i="6"/>
  <c r="F4246" i="6" s="1"/>
  <c r="E4245" i="6"/>
  <c r="F4245" i="6" s="1"/>
  <c r="E4244" i="6"/>
  <c r="F4244" i="6" s="1"/>
  <c r="E4243" i="6"/>
  <c r="F4243" i="6" s="1"/>
  <c r="E4242" i="6"/>
  <c r="F4242" i="6" s="1"/>
  <c r="E4241" i="6"/>
  <c r="F4241" i="6" s="1"/>
  <c r="E4240" i="6"/>
  <c r="F4240" i="6" s="1"/>
  <c r="E4239" i="6"/>
  <c r="F4239" i="6" s="1"/>
  <c r="E4238" i="6"/>
  <c r="F4238" i="6" s="1"/>
  <c r="E4237" i="6"/>
  <c r="F4237" i="6" s="1"/>
  <c r="E4236" i="6"/>
  <c r="F4236" i="6" s="1"/>
  <c r="E4235" i="6"/>
  <c r="F4235" i="6" s="1"/>
  <c r="E4234" i="6"/>
  <c r="F4234" i="6" s="1"/>
  <c r="E4233" i="6"/>
  <c r="F4233" i="6" s="1"/>
  <c r="E4232" i="6"/>
  <c r="F4232" i="6" s="1"/>
  <c r="E4231" i="6"/>
  <c r="F4231" i="6" s="1"/>
  <c r="E4230" i="6"/>
  <c r="F4230" i="6" s="1"/>
  <c r="E4229" i="6"/>
  <c r="F4229" i="6" s="1"/>
  <c r="E4228" i="6"/>
  <c r="F4228" i="6" s="1"/>
  <c r="E4227" i="6"/>
  <c r="F4227" i="6" s="1"/>
  <c r="E4226" i="6"/>
  <c r="F4226" i="6" s="1"/>
  <c r="E4225" i="6"/>
  <c r="F4225" i="6" s="1"/>
  <c r="E4224" i="6"/>
  <c r="F4224" i="6" s="1"/>
  <c r="E4223" i="6"/>
  <c r="F4223" i="6" s="1"/>
  <c r="E4222" i="6"/>
  <c r="F4222" i="6" s="1"/>
  <c r="E4221" i="6"/>
  <c r="F4221" i="6" s="1"/>
  <c r="E4220" i="6"/>
  <c r="F4220" i="6" s="1"/>
  <c r="E4219" i="6"/>
  <c r="F4219" i="6" s="1"/>
  <c r="E4218" i="6"/>
  <c r="F4218" i="6" s="1"/>
  <c r="E4217" i="6"/>
  <c r="F4217" i="6" s="1"/>
  <c r="E4216" i="6"/>
  <c r="F4216" i="6" s="1"/>
  <c r="E4215" i="6"/>
  <c r="F4215" i="6" s="1"/>
  <c r="E4214" i="6"/>
  <c r="F4214" i="6" s="1"/>
  <c r="E4213" i="6"/>
  <c r="F4213" i="6" s="1"/>
  <c r="E4212" i="6"/>
  <c r="F4212" i="6" s="1"/>
  <c r="E4211" i="6"/>
  <c r="F4211" i="6" s="1"/>
  <c r="E4210" i="6"/>
  <c r="F4210" i="6" s="1"/>
  <c r="E4209" i="6"/>
  <c r="F4209" i="6" s="1"/>
  <c r="E4208" i="6"/>
  <c r="F4208" i="6" s="1"/>
  <c r="E4207" i="6"/>
  <c r="F4207" i="6" s="1"/>
  <c r="E4206" i="6"/>
  <c r="F4206" i="6" s="1"/>
  <c r="E4205" i="6"/>
  <c r="F4205" i="6" s="1"/>
  <c r="E4204" i="6"/>
  <c r="F4204" i="6" s="1"/>
  <c r="E4203" i="6"/>
  <c r="F4203" i="6" s="1"/>
  <c r="E4202" i="6"/>
  <c r="F4202" i="6" s="1"/>
  <c r="E4201" i="6"/>
  <c r="F4201" i="6" s="1"/>
  <c r="E4200" i="6"/>
  <c r="F4200" i="6" s="1"/>
  <c r="E4199" i="6"/>
  <c r="F4199" i="6" s="1"/>
  <c r="E4198" i="6"/>
  <c r="F4198" i="6" s="1"/>
  <c r="E4197" i="6"/>
  <c r="F4197" i="6" s="1"/>
  <c r="E4196" i="6"/>
  <c r="F4196" i="6" s="1"/>
  <c r="E4195" i="6"/>
  <c r="F4195" i="6" s="1"/>
  <c r="E4194" i="6"/>
  <c r="F4194" i="6" s="1"/>
  <c r="E4193" i="6"/>
  <c r="F4193" i="6" s="1"/>
  <c r="E4192" i="6"/>
  <c r="F4192" i="6" s="1"/>
  <c r="E4191" i="6"/>
  <c r="F4191" i="6" s="1"/>
  <c r="E4190" i="6"/>
  <c r="F4190" i="6" s="1"/>
  <c r="E4189" i="6"/>
  <c r="F4189" i="6" s="1"/>
  <c r="E4188" i="6"/>
  <c r="F4188" i="6" s="1"/>
  <c r="E4187" i="6"/>
  <c r="F4187" i="6" s="1"/>
  <c r="E4186" i="6"/>
  <c r="F4186" i="6" s="1"/>
  <c r="E4185" i="6"/>
  <c r="F4185" i="6" s="1"/>
  <c r="E4184" i="6"/>
  <c r="F4184" i="6" s="1"/>
  <c r="E4183" i="6"/>
  <c r="F4183" i="6" s="1"/>
  <c r="E4182" i="6"/>
  <c r="F4182" i="6" s="1"/>
  <c r="E4181" i="6"/>
  <c r="F4181" i="6" s="1"/>
  <c r="E4180" i="6"/>
  <c r="F4180" i="6" s="1"/>
  <c r="E4179" i="6"/>
  <c r="F4179" i="6" s="1"/>
  <c r="E4178" i="6"/>
  <c r="F4178" i="6" s="1"/>
  <c r="E4177" i="6"/>
  <c r="F4177" i="6" s="1"/>
  <c r="E4176" i="6"/>
  <c r="F4176" i="6" s="1"/>
  <c r="E4175" i="6"/>
  <c r="F4175" i="6" s="1"/>
  <c r="E4174" i="6"/>
  <c r="F4174" i="6" s="1"/>
  <c r="E4173" i="6"/>
  <c r="F4173" i="6" s="1"/>
  <c r="E4172" i="6"/>
  <c r="F4172" i="6" s="1"/>
  <c r="E4171" i="6"/>
  <c r="F4171" i="6" s="1"/>
  <c r="E4170" i="6"/>
  <c r="F4170" i="6" s="1"/>
  <c r="E4169" i="6"/>
  <c r="F4169" i="6" s="1"/>
  <c r="E4168" i="6"/>
  <c r="F4168" i="6" s="1"/>
  <c r="E4167" i="6"/>
  <c r="F4167" i="6" s="1"/>
  <c r="E4166" i="6"/>
  <c r="F4166" i="6" s="1"/>
  <c r="E4165" i="6"/>
  <c r="F4165" i="6" s="1"/>
  <c r="E4164" i="6"/>
  <c r="F4164" i="6" s="1"/>
  <c r="E4163" i="6"/>
  <c r="F4163" i="6" s="1"/>
  <c r="E4162" i="6"/>
  <c r="F4162" i="6" s="1"/>
  <c r="E4161" i="6"/>
  <c r="F4161" i="6" s="1"/>
  <c r="E4160" i="6"/>
  <c r="F4160" i="6" s="1"/>
  <c r="E4159" i="6"/>
  <c r="F4159" i="6" s="1"/>
  <c r="E4158" i="6"/>
  <c r="F4158" i="6" s="1"/>
  <c r="E4157" i="6"/>
  <c r="F4157" i="6" s="1"/>
  <c r="E4156" i="6"/>
  <c r="F4156" i="6" s="1"/>
  <c r="E4155" i="6"/>
  <c r="F4155" i="6" s="1"/>
  <c r="E4154" i="6"/>
  <c r="F4154" i="6" s="1"/>
  <c r="E4153" i="6"/>
  <c r="F4153" i="6" s="1"/>
  <c r="E4152" i="6"/>
  <c r="F4152" i="6" s="1"/>
  <c r="E4151" i="6"/>
  <c r="F4151" i="6" s="1"/>
  <c r="E4150" i="6"/>
  <c r="F4150" i="6" s="1"/>
  <c r="E4149" i="6"/>
  <c r="F4149" i="6" s="1"/>
  <c r="E4148" i="6"/>
  <c r="F4148" i="6" s="1"/>
  <c r="E4147" i="6"/>
  <c r="F4147" i="6" s="1"/>
  <c r="E4146" i="6"/>
  <c r="F4146" i="6" s="1"/>
  <c r="E4145" i="6"/>
  <c r="F4145" i="6" s="1"/>
  <c r="E4144" i="6"/>
  <c r="F4144" i="6" s="1"/>
  <c r="E4143" i="6"/>
  <c r="F4143" i="6" s="1"/>
  <c r="E4142" i="6"/>
  <c r="F4142" i="6" s="1"/>
  <c r="E4141" i="6"/>
  <c r="F4141" i="6" s="1"/>
  <c r="E4140" i="6"/>
  <c r="F4140" i="6" s="1"/>
  <c r="E4139" i="6"/>
  <c r="F4139" i="6" s="1"/>
  <c r="E4138" i="6"/>
  <c r="F4138" i="6" s="1"/>
  <c r="E4137" i="6"/>
  <c r="F4137" i="6" s="1"/>
  <c r="E4136" i="6"/>
  <c r="F4136" i="6" s="1"/>
  <c r="E4135" i="6"/>
  <c r="F4135" i="6" s="1"/>
  <c r="E4134" i="6"/>
  <c r="F4134" i="6" s="1"/>
  <c r="E4133" i="6"/>
  <c r="F4133" i="6" s="1"/>
  <c r="E4132" i="6"/>
  <c r="F4132" i="6" s="1"/>
  <c r="E4131" i="6"/>
  <c r="F4131" i="6" s="1"/>
  <c r="E4130" i="6"/>
  <c r="F4130" i="6" s="1"/>
  <c r="E4129" i="6"/>
  <c r="F4129" i="6" s="1"/>
  <c r="E4128" i="6"/>
  <c r="F4128" i="6" s="1"/>
  <c r="E4127" i="6"/>
  <c r="F4127" i="6" s="1"/>
  <c r="E4126" i="6"/>
  <c r="F4126" i="6" s="1"/>
  <c r="E4125" i="6"/>
  <c r="F4125" i="6" s="1"/>
  <c r="E4124" i="6"/>
  <c r="F4124" i="6" s="1"/>
  <c r="E4123" i="6"/>
  <c r="F4123" i="6" s="1"/>
  <c r="E4122" i="6"/>
  <c r="F4122" i="6" s="1"/>
  <c r="E4121" i="6"/>
  <c r="F4121" i="6" s="1"/>
  <c r="E4120" i="6"/>
  <c r="F4120" i="6" s="1"/>
  <c r="E4119" i="6"/>
  <c r="F4119" i="6" s="1"/>
  <c r="E4118" i="6"/>
  <c r="F4118" i="6" s="1"/>
  <c r="E4117" i="6"/>
  <c r="F4117" i="6" s="1"/>
  <c r="E4116" i="6"/>
  <c r="F4116" i="6" s="1"/>
  <c r="E4115" i="6"/>
  <c r="F4115" i="6" s="1"/>
  <c r="E4114" i="6"/>
  <c r="F4114" i="6" s="1"/>
  <c r="E4113" i="6"/>
  <c r="F4113" i="6" s="1"/>
  <c r="E4112" i="6"/>
  <c r="F4112" i="6" s="1"/>
  <c r="E4111" i="6"/>
  <c r="F4111" i="6" s="1"/>
  <c r="E4110" i="6"/>
  <c r="F4110" i="6" s="1"/>
  <c r="E4109" i="6"/>
  <c r="F4109" i="6" s="1"/>
  <c r="E4108" i="6"/>
  <c r="F4108" i="6" s="1"/>
  <c r="E4107" i="6"/>
  <c r="F4107" i="6" s="1"/>
  <c r="E4106" i="6"/>
  <c r="F4106" i="6" s="1"/>
  <c r="E4105" i="6"/>
  <c r="F4105" i="6" s="1"/>
  <c r="E4104" i="6"/>
  <c r="F4104" i="6" s="1"/>
  <c r="E4103" i="6"/>
  <c r="F4103" i="6" s="1"/>
  <c r="E4102" i="6"/>
  <c r="F4102" i="6" s="1"/>
  <c r="E4101" i="6"/>
  <c r="F4101" i="6" s="1"/>
  <c r="E4100" i="6"/>
  <c r="F4100" i="6" s="1"/>
  <c r="E4099" i="6"/>
  <c r="F4099" i="6" s="1"/>
  <c r="E4098" i="6"/>
  <c r="F4098" i="6" s="1"/>
  <c r="E4097" i="6"/>
  <c r="F4097" i="6" s="1"/>
  <c r="E4096" i="6"/>
  <c r="F4096" i="6" s="1"/>
  <c r="E4095" i="6"/>
  <c r="F4095" i="6" s="1"/>
  <c r="E4094" i="6"/>
  <c r="F4094" i="6" s="1"/>
  <c r="E4093" i="6"/>
  <c r="F4093" i="6" s="1"/>
  <c r="E4092" i="6"/>
  <c r="F4092" i="6" s="1"/>
  <c r="E4091" i="6"/>
  <c r="F4091" i="6" s="1"/>
  <c r="E4090" i="6"/>
  <c r="F4090" i="6" s="1"/>
  <c r="E4089" i="6"/>
  <c r="F4089" i="6" s="1"/>
  <c r="E4088" i="6"/>
  <c r="F4088" i="6" s="1"/>
  <c r="E4087" i="6"/>
  <c r="F4087" i="6" s="1"/>
  <c r="E4086" i="6"/>
  <c r="F4086" i="6" s="1"/>
  <c r="E4085" i="6"/>
  <c r="F4085" i="6" s="1"/>
  <c r="E4084" i="6"/>
  <c r="F4084" i="6" s="1"/>
  <c r="E4083" i="6"/>
  <c r="F4083" i="6" s="1"/>
  <c r="E4082" i="6"/>
  <c r="F4082" i="6" s="1"/>
  <c r="E4081" i="6"/>
  <c r="F4081" i="6" s="1"/>
  <c r="E4080" i="6"/>
  <c r="F4080" i="6" s="1"/>
  <c r="E4079" i="6"/>
  <c r="F4079" i="6" s="1"/>
  <c r="E4078" i="6"/>
  <c r="F4078" i="6" s="1"/>
  <c r="E4077" i="6"/>
  <c r="F4077" i="6" s="1"/>
  <c r="E4076" i="6"/>
  <c r="F4076" i="6" s="1"/>
  <c r="E4075" i="6"/>
  <c r="F4075" i="6" s="1"/>
  <c r="E4074" i="6"/>
  <c r="F4074" i="6" s="1"/>
  <c r="E4073" i="6"/>
  <c r="F4073" i="6" s="1"/>
  <c r="E4072" i="6"/>
  <c r="F4072" i="6" s="1"/>
  <c r="E4071" i="6"/>
  <c r="F4071" i="6" s="1"/>
  <c r="E4070" i="6"/>
  <c r="F4070" i="6" s="1"/>
  <c r="E4069" i="6"/>
  <c r="F4069" i="6" s="1"/>
  <c r="E4068" i="6"/>
  <c r="F4068" i="6" s="1"/>
  <c r="E4067" i="6"/>
  <c r="F4067" i="6" s="1"/>
  <c r="E4066" i="6"/>
  <c r="F4066" i="6" s="1"/>
  <c r="E4065" i="6"/>
  <c r="F4065" i="6" s="1"/>
  <c r="E4064" i="6"/>
  <c r="F4064" i="6" s="1"/>
  <c r="E4063" i="6"/>
  <c r="F4063" i="6" s="1"/>
  <c r="E4062" i="6"/>
  <c r="F4062" i="6" s="1"/>
  <c r="E4061" i="6"/>
  <c r="F4061" i="6" s="1"/>
  <c r="E4060" i="6"/>
  <c r="F4060" i="6" s="1"/>
  <c r="E4059" i="6"/>
  <c r="F4059" i="6" s="1"/>
  <c r="E4058" i="6"/>
  <c r="F4058" i="6" s="1"/>
  <c r="E4057" i="6"/>
  <c r="F4057" i="6" s="1"/>
  <c r="E4056" i="6"/>
  <c r="F4056" i="6" s="1"/>
  <c r="E4055" i="6"/>
  <c r="F4055" i="6" s="1"/>
  <c r="E4054" i="6"/>
  <c r="F4054" i="6" s="1"/>
  <c r="E4053" i="6"/>
  <c r="F4053" i="6" s="1"/>
  <c r="E4052" i="6"/>
  <c r="F4052" i="6" s="1"/>
  <c r="E4051" i="6"/>
  <c r="F4051" i="6" s="1"/>
  <c r="E4050" i="6"/>
  <c r="F4050" i="6" s="1"/>
  <c r="E4049" i="6"/>
  <c r="F4049" i="6" s="1"/>
  <c r="E4048" i="6"/>
  <c r="F4048" i="6" s="1"/>
  <c r="E4047" i="6"/>
  <c r="F4047" i="6" s="1"/>
  <c r="E4046" i="6"/>
  <c r="F4046" i="6" s="1"/>
  <c r="E4045" i="6"/>
  <c r="F4045" i="6" s="1"/>
  <c r="E4044" i="6"/>
  <c r="F4044" i="6" s="1"/>
  <c r="E4043" i="6"/>
  <c r="F4043" i="6" s="1"/>
  <c r="E4042" i="6"/>
  <c r="F4042" i="6" s="1"/>
  <c r="E4041" i="6"/>
  <c r="F4041" i="6" s="1"/>
  <c r="E4040" i="6"/>
  <c r="F4040" i="6" s="1"/>
  <c r="E4039" i="6"/>
  <c r="F4039" i="6" s="1"/>
  <c r="E4038" i="6"/>
  <c r="F4038" i="6" s="1"/>
  <c r="E4037" i="6"/>
  <c r="F4037" i="6" s="1"/>
  <c r="E4036" i="6"/>
  <c r="F4036" i="6" s="1"/>
  <c r="E4035" i="6"/>
  <c r="F4035" i="6" s="1"/>
  <c r="E4034" i="6"/>
  <c r="F4034" i="6" s="1"/>
  <c r="E4033" i="6"/>
  <c r="F4033" i="6" s="1"/>
  <c r="E4032" i="6"/>
  <c r="F4032" i="6" s="1"/>
  <c r="E4031" i="6"/>
  <c r="F4031" i="6" s="1"/>
  <c r="E4030" i="6"/>
  <c r="F4030" i="6" s="1"/>
  <c r="E4029" i="6"/>
  <c r="F4029" i="6" s="1"/>
  <c r="E4028" i="6"/>
  <c r="F4028" i="6" s="1"/>
  <c r="E4027" i="6"/>
  <c r="F4027" i="6" s="1"/>
  <c r="E4026" i="6"/>
  <c r="F4026" i="6" s="1"/>
  <c r="E4025" i="6"/>
  <c r="F4025" i="6" s="1"/>
  <c r="E4024" i="6"/>
  <c r="F4024" i="6" s="1"/>
  <c r="E4023" i="6"/>
  <c r="F4023" i="6" s="1"/>
  <c r="E4022" i="6"/>
  <c r="F4022" i="6" s="1"/>
  <c r="E4021" i="6"/>
  <c r="F4021" i="6" s="1"/>
  <c r="E4020" i="6"/>
  <c r="F4020" i="6" s="1"/>
  <c r="E4019" i="6"/>
  <c r="F4019" i="6" s="1"/>
  <c r="E4018" i="6"/>
  <c r="F4018" i="6" s="1"/>
  <c r="E4017" i="6"/>
  <c r="F4017" i="6" s="1"/>
  <c r="E4016" i="6"/>
  <c r="F4016" i="6" s="1"/>
  <c r="E4015" i="6"/>
  <c r="F4015" i="6" s="1"/>
  <c r="E4014" i="6"/>
  <c r="F4014" i="6" s="1"/>
  <c r="E4013" i="6"/>
  <c r="F4013" i="6" s="1"/>
  <c r="E4012" i="6"/>
  <c r="F4012" i="6" s="1"/>
  <c r="E4011" i="6"/>
  <c r="F4011" i="6" s="1"/>
  <c r="E4010" i="6"/>
  <c r="F4010" i="6" s="1"/>
  <c r="E4009" i="6"/>
  <c r="F4009" i="6" s="1"/>
  <c r="E4008" i="6"/>
  <c r="F4008" i="6" s="1"/>
  <c r="E4007" i="6"/>
  <c r="F4007" i="6" s="1"/>
  <c r="E4006" i="6"/>
  <c r="F4006" i="6" s="1"/>
  <c r="E4005" i="6"/>
  <c r="F4005" i="6" s="1"/>
  <c r="E4004" i="6"/>
  <c r="F4004" i="6" s="1"/>
  <c r="E4003" i="6"/>
  <c r="F4003" i="6" s="1"/>
  <c r="E4002" i="6"/>
  <c r="F4002" i="6" s="1"/>
  <c r="E4001" i="6"/>
  <c r="F4001" i="6" s="1"/>
  <c r="E4000" i="6"/>
  <c r="F4000" i="6" s="1"/>
  <c r="E3999" i="6"/>
  <c r="F3999" i="6" s="1"/>
  <c r="E3998" i="6"/>
  <c r="F3998" i="6" s="1"/>
  <c r="E3997" i="6"/>
  <c r="F3997" i="6" s="1"/>
  <c r="E3996" i="6"/>
  <c r="F3996" i="6" s="1"/>
  <c r="E3995" i="6"/>
  <c r="F3995" i="6" s="1"/>
  <c r="E3994" i="6"/>
  <c r="F3994" i="6" s="1"/>
  <c r="E3993" i="6"/>
  <c r="F3993" i="6" s="1"/>
  <c r="E3992" i="6"/>
  <c r="F3992" i="6" s="1"/>
  <c r="E3991" i="6"/>
  <c r="F3991" i="6" s="1"/>
  <c r="E3990" i="6"/>
  <c r="F3990" i="6" s="1"/>
  <c r="E3989" i="6"/>
  <c r="F3989" i="6" s="1"/>
  <c r="E3988" i="6"/>
  <c r="F3988" i="6" s="1"/>
  <c r="E3987" i="6"/>
  <c r="F3987" i="6" s="1"/>
  <c r="E3986" i="6"/>
  <c r="F3986" i="6" s="1"/>
  <c r="E3985" i="6"/>
  <c r="F3985" i="6" s="1"/>
  <c r="E3984" i="6"/>
  <c r="F3984" i="6" s="1"/>
  <c r="E3983" i="6"/>
  <c r="F3983" i="6" s="1"/>
  <c r="E3982" i="6"/>
  <c r="F3982" i="6" s="1"/>
  <c r="E3981" i="6"/>
  <c r="F3981" i="6" s="1"/>
  <c r="E3980" i="6"/>
  <c r="F3980" i="6" s="1"/>
  <c r="E3979" i="6"/>
  <c r="F3979" i="6" s="1"/>
  <c r="E3978" i="6"/>
  <c r="F3978" i="6" s="1"/>
  <c r="E3977" i="6"/>
  <c r="F3977" i="6" s="1"/>
  <c r="E3976" i="6"/>
  <c r="F3976" i="6" s="1"/>
  <c r="E3975" i="6"/>
  <c r="F3975" i="6" s="1"/>
  <c r="E3974" i="6"/>
  <c r="F3974" i="6" s="1"/>
  <c r="E3973" i="6"/>
  <c r="F3973" i="6" s="1"/>
  <c r="E3972" i="6"/>
  <c r="F3972" i="6" s="1"/>
  <c r="E3971" i="6"/>
  <c r="F3971" i="6" s="1"/>
  <c r="E3970" i="6"/>
  <c r="F3970" i="6" s="1"/>
  <c r="E3969" i="6"/>
  <c r="F3969" i="6" s="1"/>
  <c r="E3968" i="6"/>
  <c r="F3968" i="6" s="1"/>
  <c r="E3967" i="6"/>
  <c r="F3967" i="6" s="1"/>
  <c r="E3966" i="6"/>
  <c r="F3966" i="6" s="1"/>
  <c r="E3965" i="6"/>
  <c r="F3965" i="6" s="1"/>
  <c r="E3964" i="6"/>
  <c r="F3964" i="6" s="1"/>
  <c r="E3963" i="6"/>
  <c r="F3963" i="6" s="1"/>
  <c r="E3962" i="6"/>
  <c r="F3962" i="6" s="1"/>
  <c r="E3961" i="6"/>
  <c r="F3961" i="6" s="1"/>
  <c r="E3960" i="6"/>
  <c r="F3960" i="6" s="1"/>
  <c r="E3959" i="6"/>
  <c r="F3959" i="6" s="1"/>
  <c r="E3958" i="6"/>
  <c r="F3958" i="6" s="1"/>
  <c r="E3957" i="6"/>
  <c r="F3957" i="6" s="1"/>
  <c r="E3956" i="6"/>
  <c r="F3956" i="6" s="1"/>
  <c r="E3955" i="6"/>
  <c r="F3955" i="6" s="1"/>
  <c r="E3954" i="6"/>
  <c r="F3954" i="6" s="1"/>
  <c r="E3953" i="6"/>
  <c r="F3953" i="6" s="1"/>
  <c r="E3952" i="6"/>
  <c r="F3952" i="6" s="1"/>
  <c r="E3951" i="6"/>
  <c r="F3951" i="6" s="1"/>
  <c r="E3950" i="6"/>
  <c r="F3950" i="6" s="1"/>
  <c r="E3949" i="6"/>
  <c r="F3949" i="6" s="1"/>
  <c r="E3948" i="6"/>
  <c r="F3948" i="6" s="1"/>
  <c r="E3947" i="6"/>
  <c r="F3947" i="6" s="1"/>
  <c r="E3946" i="6"/>
  <c r="F3946" i="6" s="1"/>
  <c r="E3945" i="6"/>
  <c r="F3945" i="6" s="1"/>
  <c r="E3944" i="6"/>
  <c r="F3944" i="6" s="1"/>
  <c r="E3943" i="6"/>
  <c r="F3943" i="6" s="1"/>
  <c r="E3942" i="6"/>
  <c r="F3942" i="6" s="1"/>
  <c r="E3941" i="6"/>
  <c r="F3941" i="6" s="1"/>
  <c r="E3940" i="6"/>
  <c r="F3940" i="6" s="1"/>
  <c r="E3939" i="6"/>
  <c r="F3939" i="6" s="1"/>
  <c r="E3938" i="6"/>
  <c r="F3938" i="6" s="1"/>
  <c r="E3937" i="6"/>
  <c r="F3937" i="6" s="1"/>
  <c r="E3936" i="6"/>
  <c r="F3936" i="6" s="1"/>
  <c r="E3935" i="6"/>
  <c r="F3935" i="6" s="1"/>
  <c r="E3934" i="6"/>
  <c r="F3934" i="6" s="1"/>
  <c r="E3933" i="6"/>
  <c r="F3933" i="6" s="1"/>
  <c r="E3932" i="6"/>
  <c r="F3932" i="6" s="1"/>
  <c r="E3931" i="6"/>
  <c r="F3931" i="6" s="1"/>
  <c r="E3930" i="6"/>
  <c r="F3930" i="6" s="1"/>
  <c r="E3929" i="6"/>
  <c r="F3929" i="6" s="1"/>
  <c r="E3928" i="6"/>
  <c r="F3928" i="6" s="1"/>
  <c r="E3927" i="6"/>
  <c r="F3927" i="6" s="1"/>
  <c r="E3926" i="6"/>
  <c r="F3926" i="6" s="1"/>
  <c r="E3925" i="6"/>
  <c r="F3925" i="6" s="1"/>
  <c r="E3924" i="6"/>
  <c r="F3924" i="6" s="1"/>
  <c r="E3923" i="6"/>
  <c r="F3923" i="6" s="1"/>
  <c r="E3922" i="6"/>
  <c r="F3922" i="6" s="1"/>
  <c r="E3921" i="6"/>
  <c r="F3921" i="6" s="1"/>
  <c r="E3920" i="6"/>
  <c r="F3920" i="6" s="1"/>
  <c r="E3919" i="6"/>
  <c r="F3919" i="6" s="1"/>
  <c r="E3918" i="6"/>
  <c r="F3918" i="6" s="1"/>
  <c r="E3917" i="6"/>
  <c r="F3917" i="6" s="1"/>
  <c r="E3916" i="6"/>
  <c r="F3916" i="6" s="1"/>
  <c r="E3915" i="6"/>
  <c r="F3915" i="6" s="1"/>
  <c r="E3914" i="6"/>
  <c r="F3914" i="6" s="1"/>
  <c r="E3913" i="6"/>
  <c r="F3913" i="6" s="1"/>
  <c r="E3912" i="6"/>
  <c r="F3912" i="6" s="1"/>
  <c r="E3911" i="6"/>
  <c r="F3911" i="6" s="1"/>
  <c r="E3910" i="6"/>
  <c r="F3910" i="6" s="1"/>
  <c r="E3909" i="6"/>
  <c r="F3909" i="6" s="1"/>
  <c r="E3908" i="6"/>
  <c r="F3908" i="6" s="1"/>
  <c r="E3907" i="6"/>
  <c r="F3907" i="6" s="1"/>
  <c r="E3906" i="6"/>
  <c r="F3906" i="6" s="1"/>
  <c r="E3905" i="6"/>
  <c r="F3905" i="6" s="1"/>
  <c r="E3904" i="6"/>
  <c r="F3904" i="6" s="1"/>
  <c r="E3903" i="6"/>
  <c r="F3903" i="6" s="1"/>
  <c r="E3902" i="6"/>
  <c r="F3902" i="6" s="1"/>
  <c r="E3901" i="6"/>
  <c r="F3901" i="6" s="1"/>
  <c r="E3900" i="6"/>
  <c r="F3900" i="6" s="1"/>
  <c r="E3899" i="6"/>
  <c r="F3899" i="6" s="1"/>
  <c r="E3898" i="6"/>
  <c r="F3898" i="6" s="1"/>
  <c r="E3897" i="6"/>
  <c r="F3897" i="6" s="1"/>
  <c r="E3896" i="6"/>
  <c r="F3896" i="6" s="1"/>
  <c r="E3895" i="6"/>
  <c r="F3895" i="6" s="1"/>
  <c r="E3894" i="6"/>
  <c r="F3894" i="6" s="1"/>
  <c r="E3893" i="6"/>
  <c r="F3893" i="6" s="1"/>
  <c r="E3892" i="6"/>
  <c r="F3892" i="6" s="1"/>
  <c r="E3891" i="6"/>
  <c r="F3891" i="6" s="1"/>
  <c r="E3890" i="6"/>
  <c r="F3890" i="6" s="1"/>
  <c r="E3889" i="6"/>
  <c r="F3889" i="6" s="1"/>
  <c r="E3888" i="6"/>
  <c r="F3888" i="6" s="1"/>
  <c r="E3887" i="6"/>
  <c r="F3887" i="6" s="1"/>
  <c r="E3886" i="6"/>
  <c r="F3886" i="6" s="1"/>
  <c r="E3885" i="6"/>
  <c r="F3885" i="6" s="1"/>
  <c r="E3884" i="6"/>
  <c r="F3884" i="6" s="1"/>
  <c r="E3883" i="6"/>
  <c r="F3883" i="6" s="1"/>
  <c r="E3882" i="6"/>
  <c r="F3882" i="6" s="1"/>
  <c r="E3881" i="6"/>
  <c r="F3881" i="6" s="1"/>
  <c r="E3880" i="6"/>
  <c r="F3880" i="6" s="1"/>
  <c r="E3879" i="6"/>
  <c r="F3879" i="6" s="1"/>
  <c r="E3878" i="6"/>
  <c r="F3878" i="6" s="1"/>
  <c r="E3877" i="6"/>
  <c r="F3877" i="6" s="1"/>
  <c r="E3876" i="6"/>
  <c r="F3876" i="6" s="1"/>
  <c r="E3875" i="6"/>
  <c r="F3875" i="6" s="1"/>
  <c r="E3874" i="6"/>
  <c r="F3874" i="6" s="1"/>
  <c r="E3873" i="6"/>
  <c r="F3873" i="6" s="1"/>
  <c r="E3872" i="6"/>
  <c r="F3872" i="6" s="1"/>
  <c r="E3871" i="6"/>
  <c r="F3871" i="6" s="1"/>
  <c r="E3870" i="6"/>
  <c r="F3870" i="6" s="1"/>
  <c r="E3869" i="6"/>
  <c r="F3869" i="6" s="1"/>
  <c r="E3868" i="6"/>
  <c r="F3868" i="6" s="1"/>
  <c r="E3867" i="6"/>
  <c r="F3867" i="6" s="1"/>
  <c r="E3866" i="6"/>
  <c r="F3866" i="6" s="1"/>
  <c r="E3865" i="6"/>
  <c r="F3865" i="6" s="1"/>
  <c r="E3864" i="6"/>
  <c r="F3864" i="6" s="1"/>
  <c r="E3863" i="6"/>
  <c r="F3863" i="6" s="1"/>
  <c r="E3862" i="6"/>
  <c r="F3862" i="6" s="1"/>
  <c r="E3861" i="6"/>
  <c r="F3861" i="6" s="1"/>
  <c r="E3860" i="6"/>
  <c r="F3860" i="6" s="1"/>
  <c r="E3859" i="6"/>
  <c r="F3859" i="6" s="1"/>
  <c r="E3858" i="6"/>
  <c r="F3858" i="6" s="1"/>
  <c r="E3857" i="6"/>
  <c r="F3857" i="6" s="1"/>
  <c r="E3856" i="6"/>
  <c r="F3856" i="6" s="1"/>
  <c r="E3855" i="6"/>
  <c r="F3855" i="6" s="1"/>
  <c r="E3854" i="6"/>
  <c r="F3854" i="6" s="1"/>
  <c r="E3853" i="6"/>
  <c r="F3853" i="6" s="1"/>
  <c r="E3852" i="6"/>
  <c r="F3852" i="6" s="1"/>
  <c r="E3851" i="6"/>
  <c r="F3851" i="6" s="1"/>
  <c r="E3850" i="6"/>
  <c r="F3850" i="6" s="1"/>
  <c r="E3849" i="6"/>
  <c r="F3849" i="6" s="1"/>
  <c r="E3848" i="6"/>
  <c r="F3848" i="6" s="1"/>
  <c r="E3847" i="6"/>
  <c r="F3847" i="6" s="1"/>
  <c r="E3846" i="6"/>
  <c r="F3846" i="6" s="1"/>
  <c r="E3845" i="6"/>
  <c r="F3845" i="6" s="1"/>
  <c r="E3844" i="6"/>
  <c r="F3844" i="6" s="1"/>
  <c r="E3843" i="6"/>
  <c r="F3843" i="6" s="1"/>
  <c r="E3842" i="6"/>
  <c r="F3842" i="6" s="1"/>
  <c r="E3841" i="6"/>
  <c r="F3841" i="6" s="1"/>
  <c r="E3840" i="6"/>
  <c r="F3840" i="6" s="1"/>
  <c r="E3839" i="6"/>
  <c r="F3839" i="6" s="1"/>
  <c r="E3838" i="6"/>
  <c r="F3838" i="6" s="1"/>
  <c r="E3837" i="6"/>
  <c r="F3837" i="6" s="1"/>
  <c r="E3836" i="6"/>
  <c r="F3836" i="6" s="1"/>
  <c r="E3835" i="6"/>
  <c r="F3835" i="6" s="1"/>
  <c r="E3834" i="6"/>
  <c r="F3834" i="6" s="1"/>
  <c r="E3833" i="6"/>
  <c r="F3833" i="6" s="1"/>
  <c r="E3832" i="6"/>
  <c r="F3832" i="6" s="1"/>
  <c r="E3831" i="6"/>
  <c r="F3831" i="6" s="1"/>
  <c r="E3830" i="6"/>
  <c r="F3830" i="6" s="1"/>
  <c r="E3829" i="6"/>
  <c r="F3829" i="6" s="1"/>
  <c r="E3828" i="6"/>
  <c r="F3828" i="6" s="1"/>
  <c r="E3827" i="6"/>
  <c r="F3827" i="6" s="1"/>
  <c r="E3826" i="6"/>
  <c r="F3826" i="6" s="1"/>
  <c r="E3825" i="6"/>
  <c r="F3825" i="6" s="1"/>
  <c r="E3824" i="6"/>
  <c r="F3824" i="6" s="1"/>
  <c r="E3823" i="6"/>
  <c r="F3823" i="6" s="1"/>
  <c r="E3822" i="6"/>
  <c r="F3822" i="6" s="1"/>
  <c r="E3821" i="6"/>
  <c r="F3821" i="6" s="1"/>
  <c r="E3820" i="6"/>
  <c r="F3820" i="6" s="1"/>
  <c r="E3819" i="6"/>
  <c r="F3819" i="6" s="1"/>
  <c r="E3818" i="6"/>
  <c r="F3818" i="6" s="1"/>
  <c r="E3817" i="6"/>
  <c r="F3817" i="6" s="1"/>
  <c r="E3816" i="6"/>
  <c r="F3816" i="6" s="1"/>
  <c r="E3815" i="6"/>
  <c r="F3815" i="6" s="1"/>
  <c r="E3814" i="6"/>
  <c r="F3814" i="6" s="1"/>
  <c r="E3813" i="6"/>
  <c r="F3813" i="6" s="1"/>
  <c r="E3812" i="6"/>
  <c r="F3812" i="6" s="1"/>
  <c r="E3811" i="6"/>
  <c r="F3811" i="6" s="1"/>
  <c r="E3810" i="6"/>
  <c r="F3810" i="6" s="1"/>
  <c r="E3809" i="6"/>
  <c r="F3809" i="6" s="1"/>
  <c r="E3808" i="6"/>
  <c r="F3808" i="6" s="1"/>
  <c r="E3807" i="6"/>
  <c r="F3807" i="6" s="1"/>
  <c r="E3806" i="6"/>
  <c r="F3806" i="6" s="1"/>
  <c r="E3805" i="6"/>
  <c r="F3805" i="6" s="1"/>
  <c r="E3804" i="6"/>
  <c r="F3804" i="6" s="1"/>
  <c r="E3803" i="6"/>
  <c r="F3803" i="6" s="1"/>
  <c r="E3802" i="6"/>
  <c r="F3802" i="6" s="1"/>
  <c r="E3801" i="6"/>
  <c r="F3801" i="6" s="1"/>
  <c r="E3800" i="6"/>
  <c r="F3800" i="6" s="1"/>
  <c r="E3799" i="6"/>
  <c r="F3799" i="6" s="1"/>
  <c r="E3798" i="6"/>
  <c r="F3798" i="6" s="1"/>
  <c r="E3797" i="6"/>
  <c r="F3797" i="6" s="1"/>
  <c r="E3796" i="6"/>
  <c r="F3796" i="6" s="1"/>
  <c r="E3795" i="6"/>
  <c r="F3795" i="6" s="1"/>
  <c r="E3794" i="6"/>
  <c r="F3794" i="6" s="1"/>
  <c r="E3793" i="6"/>
  <c r="F3793" i="6" s="1"/>
  <c r="E3792" i="6"/>
  <c r="F3792" i="6" s="1"/>
  <c r="E3791" i="6"/>
  <c r="F3791" i="6" s="1"/>
  <c r="E3790" i="6"/>
  <c r="F3790" i="6" s="1"/>
  <c r="E3789" i="6"/>
  <c r="F3789" i="6" s="1"/>
  <c r="E3788" i="6"/>
  <c r="F3788" i="6" s="1"/>
  <c r="E3787" i="6"/>
  <c r="F3787" i="6" s="1"/>
  <c r="E3786" i="6"/>
  <c r="F3786" i="6" s="1"/>
  <c r="E3785" i="6"/>
  <c r="F3785" i="6" s="1"/>
  <c r="E3784" i="6"/>
  <c r="F3784" i="6" s="1"/>
  <c r="E3783" i="6"/>
  <c r="F3783" i="6" s="1"/>
  <c r="E3782" i="6"/>
  <c r="F3782" i="6" s="1"/>
  <c r="E3781" i="6"/>
  <c r="F3781" i="6" s="1"/>
  <c r="E3780" i="6"/>
  <c r="F3780" i="6" s="1"/>
  <c r="E3779" i="6"/>
  <c r="F3779" i="6" s="1"/>
  <c r="E3778" i="6"/>
  <c r="F3778" i="6" s="1"/>
  <c r="E3777" i="6"/>
  <c r="F3777" i="6" s="1"/>
  <c r="E3776" i="6"/>
  <c r="F3776" i="6" s="1"/>
  <c r="E3775" i="6"/>
  <c r="F3775" i="6" s="1"/>
  <c r="E3774" i="6"/>
  <c r="F3774" i="6" s="1"/>
  <c r="E3773" i="6"/>
  <c r="F3773" i="6" s="1"/>
  <c r="E3772" i="6"/>
  <c r="F3772" i="6" s="1"/>
  <c r="E3771" i="6"/>
  <c r="F3771" i="6" s="1"/>
  <c r="E3770" i="6"/>
  <c r="F3770" i="6" s="1"/>
  <c r="E3769" i="6"/>
  <c r="F3769" i="6" s="1"/>
  <c r="E3768" i="6"/>
  <c r="F3768" i="6" s="1"/>
  <c r="E3767" i="6"/>
  <c r="F3767" i="6" s="1"/>
  <c r="E3766" i="6"/>
  <c r="F3766" i="6" s="1"/>
  <c r="E3765" i="6"/>
  <c r="F3765" i="6" s="1"/>
  <c r="E3764" i="6"/>
  <c r="F3764" i="6" s="1"/>
  <c r="E3763" i="6"/>
  <c r="F3763" i="6" s="1"/>
  <c r="E3762" i="6"/>
  <c r="F3762" i="6" s="1"/>
  <c r="E3761" i="6"/>
  <c r="F3761" i="6" s="1"/>
  <c r="E3760" i="6"/>
  <c r="F3760" i="6" s="1"/>
  <c r="E3759" i="6"/>
  <c r="F3759" i="6" s="1"/>
  <c r="E3758" i="6"/>
  <c r="F3758" i="6" s="1"/>
  <c r="E3757" i="6"/>
  <c r="F3757" i="6" s="1"/>
  <c r="E3756" i="6"/>
  <c r="F3756" i="6" s="1"/>
  <c r="E3755" i="6"/>
  <c r="F3755" i="6" s="1"/>
  <c r="E3754" i="6"/>
  <c r="F3754" i="6" s="1"/>
  <c r="E3753" i="6"/>
  <c r="F3753" i="6" s="1"/>
  <c r="E3752" i="6"/>
  <c r="F3752" i="6" s="1"/>
  <c r="E3751" i="6"/>
  <c r="F3751" i="6" s="1"/>
  <c r="E3750" i="6"/>
  <c r="F3750" i="6" s="1"/>
  <c r="E3749" i="6"/>
  <c r="F3749" i="6" s="1"/>
  <c r="E3748" i="6"/>
  <c r="F3748" i="6" s="1"/>
  <c r="E3747" i="6"/>
  <c r="F3747" i="6" s="1"/>
  <c r="E3746" i="6"/>
  <c r="F3746" i="6" s="1"/>
  <c r="E3745" i="6"/>
  <c r="F3745" i="6" s="1"/>
  <c r="E3744" i="6"/>
  <c r="F3744" i="6" s="1"/>
  <c r="E3743" i="6"/>
  <c r="F3743" i="6" s="1"/>
  <c r="E3742" i="6"/>
  <c r="F3742" i="6" s="1"/>
  <c r="E3741" i="6"/>
  <c r="F3741" i="6" s="1"/>
  <c r="E3740" i="6"/>
  <c r="F3740" i="6" s="1"/>
  <c r="E3739" i="6"/>
  <c r="F3739" i="6" s="1"/>
  <c r="E3738" i="6"/>
  <c r="F3738" i="6" s="1"/>
  <c r="E3737" i="6"/>
  <c r="F3737" i="6" s="1"/>
  <c r="E3736" i="6"/>
  <c r="F3736" i="6" s="1"/>
  <c r="E3735" i="6"/>
  <c r="F3735" i="6" s="1"/>
  <c r="E3734" i="6"/>
  <c r="F3734" i="6" s="1"/>
  <c r="E3733" i="6"/>
  <c r="F3733" i="6" s="1"/>
  <c r="E3732" i="6"/>
  <c r="F3732" i="6" s="1"/>
  <c r="E3731" i="6"/>
  <c r="F3731" i="6" s="1"/>
  <c r="E3730" i="6"/>
  <c r="F3730" i="6" s="1"/>
  <c r="E3729" i="6"/>
  <c r="F3729" i="6" s="1"/>
  <c r="E3728" i="6"/>
  <c r="F3728" i="6" s="1"/>
  <c r="E3727" i="6"/>
  <c r="F3727" i="6" s="1"/>
  <c r="E3726" i="6"/>
  <c r="F3726" i="6" s="1"/>
  <c r="E3725" i="6"/>
  <c r="F3725" i="6" s="1"/>
  <c r="E3724" i="6"/>
  <c r="F3724" i="6" s="1"/>
  <c r="E3723" i="6"/>
  <c r="F3723" i="6" s="1"/>
  <c r="E3722" i="6"/>
  <c r="F3722" i="6" s="1"/>
  <c r="E3721" i="6"/>
  <c r="F3721" i="6" s="1"/>
  <c r="E3720" i="6"/>
  <c r="F3720" i="6" s="1"/>
  <c r="E3719" i="6"/>
  <c r="F3719" i="6" s="1"/>
  <c r="E3718" i="6"/>
  <c r="F3718" i="6" s="1"/>
  <c r="E3717" i="6"/>
  <c r="F3717" i="6" s="1"/>
  <c r="E3716" i="6"/>
  <c r="F3716" i="6" s="1"/>
  <c r="E3715" i="6"/>
  <c r="F3715" i="6" s="1"/>
  <c r="E3714" i="6"/>
  <c r="F3714" i="6" s="1"/>
  <c r="E3713" i="6"/>
  <c r="F3713" i="6" s="1"/>
  <c r="E3712" i="6"/>
  <c r="F3712" i="6" s="1"/>
  <c r="E3711" i="6"/>
  <c r="F3711" i="6" s="1"/>
  <c r="E3710" i="6"/>
  <c r="F3710" i="6" s="1"/>
  <c r="E3709" i="6"/>
  <c r="F3709" i="6" s="1"/>
  <c r="E3708" i="6"/>
  <c r="F3708" i="6" s="1"/>
  <c r="E3707" i="6"/>
  <c r="F3707" i="6" s="1"/>
  <c r="E3706" i="6"/>
  <c r="F3706" i="6" s="1"/>
  <c r="E3705" i="6"/>
  <c r="F3705" i="6" s="1"/>
  <c r="E3704" i="6"/>
  <c r="F3704" i="6" s="1"/>
  <c r="E3703" i="6"/>
  <c r="F3703" i="6" s="1"/>
  <c r="E3702" i="6"/>
  <c r="F3702" i="6" s="1"/>
  <c r="E3701" i="6"/>
  <c r="F3701" i="6" s="1"/>
  <c r="E3700" i="6"/>
  <c r="F3700" i="6" s="1"/>
  <c r="E3699" i="6"/>
  <c r="F3699" i="6" s="1"/>
  <c r="E3698" i="6"/>
  <c r="F3698" i="6" s="1"/>
  <c r="E3697" i="6"/>
  <c r="F3697" i="6" s="1"/>
  <c r="E3696" i="6"/>
  <c r="F3696" i="6" s="1"/>
  <c r="E3695" i="6"/>
  <c r="F3695" i="6" s="1"/>
  <c r="E3694" i="6"/>
  <c r="F3694" i="6" s="1"/>
  <c r="E3693" i="6"/>
  <c r="F3693" i="6" s="1"/>
  <c r="E3692" i="6"/>
  <c r="F3692" i="6" s="1"/>
  <c r="E3691" i="6"/>
  <c r="F3691" i="6" s="1"/>
  <c r="E3690" i="6"/>
  <c r="F3690" i="6" s="1"/>
  <c r="E3689" i="6"/>
  <c r="F3689" i="6" s="1"/>
  <c r="E3688" i="6"/>
  <c r="F3688" i="6" s="1"/>
  <c r="E3687" i="6"/>
  <c r="F3687" i="6" s="1"/>
  <c r="E3686" i="6"/>
  <c r="F3686" i="6" s="1"/>
  <c r="E3685" i="6"/>
  <c r="F3685" i="6" s="1"/>
  <c r="E3684" i="6"/>
  <c r="F3684" i="6" s="1"/>
  <c r="E3683" i="6"/>
  <c r="F3683" i="6" s="1"/>
  <c r="E3682" i="6"/>
  <c r="F3682" i="6" s="1"/>
  <c r="E3681" i="6"/>
  <c r="F3681" i="6" s="1"/>
  <c r="E3680" i="6"/>
  <c r="F3680" i="6" s="1"/>
  <c r="E3679" i="6"/>
  <c r="F3679" i="6" s="1"/>
  <c r="E3678" i="6"/>
  <c r="F3678" i="6" s="1"/>
  <c r="E3677" i="6"/>
  <c r="F3677" i="6" s="1"/>
  <c r="E3676" i="6"/>
  <c r="F3676" i="6" s="1"/>
  <c r="E3675" i="6"/>
  <c r="F3675" i="6" s="1"/>
  <c r="E3674" i="6"/>
  <c r="F3674" i="6" s="1"/>
  <c r="E3673" i="6"/>
  <c r="F3673" i="6" s="1"/>
  <c r="E3672" i="6"/>
  <c r="F3672" i="6" s="1"/>
  <c r="E3671" i="6"/>
  <c r="F3671" i="6" s="1"/>
  <c r="E3670" i="6"/>
  <c r="F3670" i="6" s="1"/>
  <c r="E3669" i="6"/>
  <c r="F3669" i="6" s="1"/>
  <c r="E3668" i="6"/>
  <c r="F3668" i="6" s="1"/>
  <c r="E3667" i="6"/>
  <c r="F3667" i="6" s="1"/>
  <c r="E3666" i="6"/>
  <c r="F3666" i="6" s="1"/>
  <c r="E3665" i="6"/>
  <c r="F3665" i="6" s="1"/>
  <c r="E3664" i="6"/>
  <c r="F3664" i="6" s="1"/>
  <c r="E3663" i="6"/>
  <c r="F3663" i="6" s="1"/>
  <c r="E3662" i="6"/>
  <c r="F3662" i="6" s="1"/>
  <c r="E3661" i="6"/>
  <c r="F3661" i="6" s="1"/>
  <c r="E3660" i="6"/>
  <c r="F3660" i="6" s="1"/>
  <c r="E3659" i="6"/>
  <c r="F3659" i="6" s="1"/>
  <c r="E3658" i="6"/>
  <c r="F3658" i="6" s="1"/>
  <c r="E3657" i="6"/>
  <c r="F3657" i="6" s="1"/>
  <c r="E3656" i="6"/>
  <c r="F3656" i="6" s="1"/>
  <c r="E3655" i="6"/>
  <c r="F3655" i="6" s="1"/>
  <c r="E3654" i="6"/>
  <c r="F3654" i="6" s="1"/>
  <c r="E3653" i="6"/>
  <c r="F3653" i="6" s="1"/>
  <c r="E3652" i="6"/>
  <c r="F3652" i="6" s="1"/>
  <c r="E3651" i="6"/>
  <c r="F3651" i="6" s="1"/>
  <c r="E3650" i="6"/>
  <c r="F3650" i="6" s="1"/>
  <c r="E3649" i="6"/>
  <c r="F3649" i="6" s="1"/>
  <c r="E3648" i="6"/>
  <c r="F3648" i="6" s="1"/>
  <c r="E3647" i="6"/>
  <c r="F3647" i="6" s="1"/>
  <c r="E3646" i="6"/>
  <c r="F3646" i="6" s="1"/>
  <c r="E3645" i="6"/>
  <c r="F3645" i="6" s="1"/>
  <c r="E3644" i="6"/>
  <c r="F3644" i="6" s="1"/>
  <c r="E3643" i="6"/>
  <c r="F3643" i="6" s="1"/>
  <c r="E3642" i="6"/>
  <c r="F3642" i="6" s="1"/>
  <c r="E3641" i="6"/>
  <c r="F3641" i="6" s="1"/>
  <c r="E3640" i="6"/>
  <c r="F3640" i="6" s="1"/>
  <c r="E3639" i="6"/>
  <c r="F3639" i="6" s="1"/>
  <c r="E3638" i="6"/>
  <c r="F3638" i="6" s="1"/>
  <c r="E3637" i="6"/>
  <c r="F3637" i="6" s="1"/>
  <c r="E3636" i="6"/>
  <c r="F3636" i="6" s="1"/>
  <c r="E3635" i="6"/>
  <c r="F3635" i="6" s="1"/>
  <c r="E3634" i="6"/>
  <c r="F3634" i="6" s="1"/>
  <c r="E3633" i="6"/>
  <c r="F3633" i="6" s="1"/>
  <c r="E3632" i="6"/>
  <c r="F3632" i="6" s="1"/>
  <c r="E3631" i="6"/>
  <c r="F3631" i="6" s="1"/>
  <c r="E3630" i="6"/>
  <c r="F3630" i="6" s="1"/>
  <c r="E3629" i="6"/>
  <c r="F3629" i="6" s="1"/>
  <c r="E3628" i="6"/>
  <c r="F3628" i="6" s="1"/>
  <c r="E3627" i="6"/>
  <c r="F3627" i="6" s="1"/>
  <c r="E3626" i="6"/>
  <c r="F3626" i="6" s="1"/>
  <c r="E3625" i="6"/>
  <c r="F3625" i="6" s="1"/>
  <c r="E3624" i="6"/>
  <c r="F3624" i="6" s="1"/>
  <c r="E3623" i="6"/>
  <c r="F3623" i="6" s="1"/>
  <c r="E3622" i="6"/>
  <c r="F3622" i="6" s="1"/>
  <c r="E3621" i="6"/>
  <c r="F3621" i="6" s="1"/>
  <c r="E3620" i="6"/>
  <c r="F3620" i="6" s="1"/>
  <c r="E3619" i="6"/>
  <c r="F3619" i="6" s="1"/>
  <c r="E3618" i="6"/>
  <c r="F3618" i="6" s="1"/>
  <c r="E3617" i="6"/>
  <c r="F3617" i="6" s="1"/>
  <c r="E3616" i="6"/>
  <c r="F3616" i="6" s="1"/>
  <c r="E3615" i="6"/>
  <c r="F3615" i="6" s="1"/>
  <c r="E3614" i="6"/>
  <c r="F3614" i="6" s="1"/>
  <c r="E3613" i="6"/>
  <c r="F3613" i="6" s="1"/>
  <c r="E3612" i="6"/>
  <c r="F3612" i="6" s="1"/>
  <c r="E3611" i="6"/>
  <c r="F3611" i="6" s="1"/>
  <c r="E3610" i="6"/>
  <c r="F3610" i="6" s="1"/>
  <c r="E3609" i="6"/>
  <c r="F3609" i="6" s="1"/>
  <c r="E3608" i="6"/>
  <c r="F3608" i="6" s="1"/>
  <c r="E3607" i="6"/>
  <c r="F3607" i="6" s="1"/>
  <c r="E3606" i="6"/>
  <c r="F3606" i="6" s="1"/>
  <c r="E3605" i="6"/>
  <c r="F3605" i="6" s="1"/>
  <c r="E3604" i="6"/>
  <c r="F3604" i="6" s="1"/>
  <c r="E3603" i="6"/>
  <c r="F3603" i="6" s="1"/>
  <c r="E3602" i="6"/>
  <c r="F3602" i="6" s="1"/>
  <c r="E3601" i="6"/>
  <c r="F3601" i="6" s="1"/>
  <c r="E3600" i="6"/>
  <c r="F3600" i="6" s="1"/>
  <c r="E3599" i="6"/>
  <c r="F3599" i="6" s="1"/>
  <c r="E3598" i="6"/>
  <c r="F3598" i="6" s="1"/>
  <c r="E3597" i="6"/>
  <c r="F3597" i="6" s="1"/>
  <c r="E3596" i="6"/>
  <c r="F3596" i="6" s="1"/>
  <c r="E3595" i="6"/>
  <c r="F3595" i="6" s="1"/>
  <c r="E3594" i="6"/>
  <c r="F3594" i="6" s="1"/>
  <c r="E3593" i="6"/>
  <c r="F3593" i="6" s="1"/>
  <c r="E3592" i="6"/>
  <c r="F3592" i="6" s="1"/>
  <c r="E3591" i="6"/>
  <c r="F3591" i="6" s="1"/>
  <c r="E3590" i="6"/>
  <c r="F3590" i="6" s="1"/>
  <c r="E3589" i="6"/>
  <c r="F3589" i="6" s="1"/>
  <c r="E3588" i="6"/>
  <c r="F3588" i="6" s="1"/>
  <c r="E3587" i="6"/>
  <c r="F3587" i="6" s="1"/>
  <c r="E3586" i="6"/>
  <c r="F3586" i="6" s="1"/>
  <c r="E3585" i="6"/>
  <c r="F3585" i="6" s="1"/>
  <c r="E3584" i="6"/>
  <c r="F3584" i="6" s="1"/>
  <c r="E3583" i="6"/>
  <c r="F3583" i="6" s="1"/>
  <c r="E3582" i="6"/>
  <c r="F3582" i="6" s="1"/>
  <c r="E3581" i="6"/>
  <c r="F3581" i="6" s="1"/>
  <c r="E3580" i="6"/>
  <c r="F3580" i="6" s="1"/>
  <c r="E3579" i="6"/>
  <c r="F3579" i="6" s="1"/>
  <c r="E3578" i="6"/>
  <c r="F3578" i="6" s="1"/>
  <c r="E3577" i="6"/>
  <c r="F3577" i="6" s="1"/>
  <c r="E3576" i="6"/>
  <c r="F3576" i="6" s="1"/>
  <c r="E3575" i="6"/>
  <c r="F3575" i="6" s="1"/>
  <c r="E3574" i="6"/>
  <c r="F3574" i="6" s="1"/>
  <c r="E3573" i="6"/>
  <c r="F3573" i="6" s="1"/>
  <c r="E3572" i="6"/>
  <c r="F3572" i="6" s="1"/>
  <c r="E3571" i="6"/>
  <c r="F3571" i="6" s="1"/>
  <c r="E3570" i="6"/>
  <c r="F3570" i="6" s="1"/>
  <c r="E3569" i="6"/>
  <c r="F3569" i="6" s="1"/>
  <c r="E3568" i="6"/>
  <c r="F3568" i="6" s="1"/>
  <c r="E3567" i="6"/>
  <c r="F3567" i="6" s="1"/>
  <c r="E3566" i="6"/>
  <c r="F3566" i="6" s="1"/>
  <c r="E3565" i="6"/>
  <c r="F3565" i="6" s="1"/>
  <c r="E3564" i="6"/>
  <c r="F3564" i="6" s="1"/>
  <c r="E3563" i="6"/>
  <c r="F3563" i="6" s="1"/>
  <c r="E3562" i="6"/>
  <c r="F3562" i="6" s="1"/>
  <c r="E3561" i="6"/>
  <c r="F3561" i="6" s="1"/>
  <c r="E3560" i="6"/>
  <c r="F3560" i="6" s="1"/>
  <c r="E3559" i="6"/>
  <c r="F3559" i="6" s="1"/>
  <c r="E3558" i="6"/>
  <c r="F3558" i="6" s="1"/>
  <c r="E3557" i="6"/>
  <c r="F3557" i="6" s="1"/>
  <c r="E3556" i="6"/>
  <c r="F3556" i="6" s="1"/>
  <c r="E3555" i="6"/>
  <c r="F3555" i="6" s="1"/>
  <c r="E3554" i="6"/>
  <c r="F3554" i="6" s="1"/>
  <c r="E3553" i="6"/>
  <c r="F3553" i="6" s="1"/>
  <c r="E3552" i="6"/>
  <c r="F3552" i="6" s="1"/>
  <c r="E3551" i="6"/>
  <c r="F3551" i="6" s="1"/>
  <c r="E3550" i="6"/>
  <c r="F3550" i="6" s="1"/>
  <c r="E3549" i="6"/>
  <c r="F3549" i="6" s="1"/>
  <c r="E3548" i="6"/>
  <c r="F3548" i="6" s="1"/>
  <c r="E3547" i="6"/>
  <c r="F3547" i="6" s="1"/>
  <c r="E3546" i="6"/>
  <c r="F3546" i="6" s="1"/>
  <c r="E3545" i="6"/>
  <c r="F3545" i="6" s="1"/>
  <c r="E3544" i="6"/>
  <c r="F3544" i="6" s="1"/>
  <c r="E3543" i="6"/>
  <c r="F3543" i="6" s="1"/>
  <c r="E3542" i="6"/>
  <c r="F3542" i="6" s="1"/>
  <c r="E3541" i="6"/>
  <c r="F3541" i="6" s="1"/>
  <c r="E3540" i="6"/>
  <c r="F3540" i="6" s="1"/>
  <c r="E3539" i="6"/>
  <c r="F3539" i="6" s="1"/>
  <c r="E3538" i="6"/>
  <c r="F3538" i="6" s="1"/>
  <c r="E3537" i="6"/>
  <c r="F3537" i="6" s="1"/>
  <c r="E3536" i="6"/>
  <c r="F3536" i="6" s="1"/>
  <c r="E3535" i="6"/>
  <c r="F3535" i="6" s="1"/>
  <c r="E3534" i="6"/>
  <c r="F3534" i="6" s="1"/>
  <c r="E3533" i="6"/>
  <c r="F3533" i="6" s="1"/>
  <c r="E3532" i="6"/>
  <c r="F3532" i="6" s="1"/>
  <c r="E3531" i="6"/>
  <c r="F3531" i="6" s="1"/>
  <c r="E3530" i="6"/>
  <c r="F3530" i="6" s="1"/>
  <c r="E3529" i="6"/>
  <c r="F3529" i="6" s="1"/>
  <c r="E3528" i="6"/>
  <c r="F3528" i="6" s="1"/>
  <c r="E3527" i="6"/>
  <c r="F3527" i="6" s="1"/>
  <c r="E3526" i="6"/>
  <c r="F3526" i="6" s="1"/>
  <c r="E3525" i="6"/>
  <c r="F3525" i="6" s="1"/>
  <c r="E3524" i="6"/>
  <c r="F3524" i="6" s="1"/>
  <c r="E3523" i="6"/>
  <c r="F3523" i="6" s="1"/>
  <c r="E3522" i="6"/>
  <c r="F3522" i="6" s="1"/>
  <c r="E3521" i="6"/>
  <c r="F3521" i="6" s="1"/>
  <c r="E3520" i="6"/>
  <c r="F3520" i="6" s="1"/>
  <c r="E3519" i="6"/>
  <c r="F3519" i="6" s="1"/>
  <c r="E3518" i="6"/>
  <c r="F3518" i="6" s="1"/>
  <c r="E3517" i="6"/>
  <c r="F3517" i="6" s="1"/>
  <c r="E3516" i="6"/>
  <c r="F3516" i="6" s="1"/>
  <c r="E3515" i="6"/>
  <c r="F3515" i="6" s="1"/>
  <c r="E3514" i="6"/>
  <c r="F3514" i="6" s="1"/>
  <c r="E3513" i="6"/>
  <c r="F3513" i="6" s="1"/>
  <c r="E3512" i="6"/>
  <c r="F3512" i="6" s="1"/>
  <c r="E3511" i="6"/>
  <c r="F3511" i="6" s="1"/>
  <c r="E3510" i="6"/>
  <c r="F3510" i="6" s="1"/>
  <c r="E3509" i="6"/>
  <c r="F3509" i="6" s="1"/>
  <c r="E3508" i="6"/>
  <c r="F3508" i="6" s="1"/>
  <c r="E3507" i="6"/>
  <c r="F3507" i="6" s="1"/>
  <c r="E3506" i="6"/>
  <c r="F3506" i="6" s="1"/>
  <c r="E3505" i="6"/>
  <c r="F3505" i="6" s="1"/>
  <c r="E3504" i="6"/>
  <c r="F3504" i="6" s="1"/>
  <c r="E3503" i="6"/>
  <c r="F3503" i="6" s="1"/>
  <c r="E3502" i="6"/>
  <c r="F3502" i="6" s="1"/>
  <c r="E3501" i="6"/>
  <c r="F3501" i="6" s="1"/>
  <c r="E3500" i="6"/>
  <c r="F3500" i="6" s="1"/>
  <c r="E3499" i="6"/>
  <c r="F3499" i="6" s="1"/>
  <c r="E3498" i="6"/>
  <c r="F3498" i="6" s="1"/>
  <c r="E3497" i="6"/>
  <c r="F3497" i="6" s="1"/>
  <c r="E3496" i="6"/>
  <c r="F3496" i="6" s="1"/>
  <c r="E3495" i="6"/>
  <c r="F3495" i="6" s="1"/>
  <c r="E3494" i="6"/>
  <c r="F3494" i="6" s="1"/>
  <c r="E3493" i="6"/>
  <c r="F3493" i="6" s="1"/>
  <c r="E3492" i="6"/>
  <c r="F3492" i="6" s="1"/>
  <c r="E3491" i="6"/>
  <c r="F3491" i="6" s="1"/>
  <c r="E3490" i="6"/>
  <c r="F3490" i="6" s="1"/>
  <c r="E3489" i="6"/>
  <c r="F3489" i="6" s="1"/>
  <c r="E3488" i="6"/>
  <c r="F3488" i="6" s="1"/>
  <c r="E3487" i="6"/>
  <c r="F3487" i="6" s="1"/>
  <c r="E3486" i="6"/>
  <c r="F3486" i="6" s="1"/>
  <c r="E3485" i="6"/>
  <c r="F3485" i="6" s="1"/>
  <c r="E3484" i="6"/>
  <c r="F3484" i="6" s="1"/>
  <c r="E3483" i="6"/>
  <c r="F3483" i="6" s="1"/>
  <c r="E3482" i="6"/>
  <c r="F3482" i="6" s="1"/>
  <c r="E3481" i="6"/>
  <c r="F3481" i="6" s="1"/>
  <c r="E3480" i="6"/>
  <c r="F3480" i="6" s="1"/>
  <c r="E3479" i="6"/>
  <c r="F3479" i="6" s="1"/>
  <c r="E3478" i="6"/>
  <c r="F3478" i="6" s="1"/>
  <c r="E3477" i="6"/>
  <c r="F3477" i="6" s="1"/>
  <c r="E3476" i="6"/>
  <c r="F3476" i="6" s="1"/>
  <c r="E3475" i="6"/>
  <c r="F3475" i="6" s="1"/>
  <c r="E3474" i="6"/>
  <c r="F3474" i="6" s="1"/>
  <c r="E3473" i="6"/>
  <c r="F3473" i="6" s="1"/>
  <c r="E3472" i="6"/>
  <c r="F3472" i="6" s="1"/>
  <c r="E3471" i="6"/>
  <c r="F3471" i="6" s="1"/>
  <c r="E3470" i="6"/>
  <c r="F3470" i="6" s="1"/>
  <c r="E3469" i="6"/>
  <c r="F3469" i="6" s="1"/>
  <c r="E3468" i="6"/>
  <c r="F3468" i="6" s="1"/>
  <c r="E3467" i="6"/>
  <c r="F3467" i="6" s="1"/>
  <c r="E3466" i="6"/>
  <c r="F3466" i="6" s="1"/>
  <c r="E3465" i="6"/>
  <c r="F3465" i="6" s="1"/>
  <c r="E3464" i="6"/>
  <c r="F3464" i="6" s="1"/>
  <c r="E3463" i="6"/>
  <c r="F3463" i="6" s="1"/>
  <c r="E3462" i="6"/>
  <c r="F3462" i="6" s="1"/>
  <c r="E3461" i="6"/>
  <c r="F3461" i="6" s="1"/>
  <c r="E3460" i="6"/>
  <c r="F3460" i="6" s="1"/>
  <c r="E3459" i="6"/>
  <c r="F3459" i="6" s="1"/>
  <c r="E3458" i="6"/>
  <c r="F3458" i="6" s="1"/>
  <c r="E3457" i="6"/>
  <c r="F3457" i="6" s="1"/>
  <c r="E3456" i="6"/>
  <c r="F3456" i="6" s="1"/>
  <c r="E3455" i="6"/>
  <c r="F3455" i="6" s="1"/>
  <c r="E3454" i="6"/>
  <c r="F3454" i="6" s="1"/>
  <c r="E3453" i="6"/>
  <c r="F3453" i="6" s="1"/>
  <c r="E3452" i="6"/>
  <c r="F3452" i="6" s="1"/>
  <c r="E3451" i="6"/>
  <c r="F3451" i="6" s="1"/>
  <c r="E3450" i="6"/>
  <c r="F3450" i="6" s="1"/>
  <c r="E3449" i="6"/>
  <c r="F3449" i="6" s="1"/>
  <c r="E3448" i="6"/>
  <c r="F3448" i="6" s="1"/>
  <c r="E3447" i="6"/>
  <c r="F3447" i="6" s="1"/>
  <c r="E3446" i="6"/>
  <c r="F3446" i="6" s="1"/>
  <c r="E3445" i="6"/>
  <c r="F3445" i="6" s="1"/>
  <c r="E3444" i="6"/>
  <c r="F3444" i="6" s="1"/>
  <c r="E3443" i="6"/>
  <c r="F3443" i="6" s="1"/>
  <c r="E3442" i="6"/>
  <c r="F3442" i="6" s="1"/>
  <c r="E3441" i="6"/>
  <c r="F3441" i="6" s="1"/>
  <c r="E3440" i="6"/>
  <c r="F3440" i="6" s="1"/>
  <c r="E3439" i="6"/>
  <c r="F3439" i="6" s="1"/>
  <c r="E3438" i="6"/>
  <c r="F3438" i="6" s="1"/>
  <c r="E3437" i="6"/>
  <c r="F3437" i="6" s="1"/>
  <c r="E3436" i="6"/>
  <c r="F3436" i="6" s="1"/>
  <c r="E3435" i="6"/>
  <c r="F3435" i="6" s="1"/>
  <c r="E3434" i="6"/>
  <c r="F3434" i="6" s="1"/>
  <c r="E3433" i="6"/>
  <c r="F3433" i="6" s="1"/>
  <c r="E3432" i="6"/>
  <c r="F3432" i="6" s="1"/>
  <c r="E3431" i="6"/>
  <c r="F3431" i="6" s="1"/>
  <c r="E3430" i="6"/>
  <c r="F3430" i="6" s="1"/>
  <c r="E3429" i="6"/>
  <c r="F3429" i="6" s="1"/>
  <c r="E3428" i="6"/>
  <c r="F3428" i="6" s="1"/>
  <c r="E3427" i="6"/>
  <c r="F3427" i="6" s="1"/>
  <c r="E3426" i="6"/>
  <c r="F3426" i="6" s="1"/>
  <c r="E3425" i="6"/>
  <c r="F3425" i="6" s="1"/>
  <c r="E3424" i="6"/>
  <c r="F3424" i="6" s="1"/>
  <c r="E3423" i="6"/>
  <c r="F3423" i="6" s="1"/>
  <c r="E3422" i="6"/>
  <c r="F3422" i="6" s="1"/>
  <c r="E3421" i="6"/>
  <c r="F3421" i="6" s="1"/>
  <c r="E3420" i="6"/>
  <c r="F3420" i="6" s="1"/>
  <c r="E3419" i="6"/>
  <c r="F3419" i="6" s="1"/>
  <c r="E3418" i="6"/>
  <c r="F3418" i="6" s="1"/>
  <c r="E3417" i="6"/>
  <c r="F3417" i="6" s="1"/>
  <c r="E3416" i="6"/>
  <c r="F3416" i="6" s="1"/>
  <c r="E3415" i="6"/>
  <c r="F3415" i="6" s="1"/>
  <c r="E3414" i="6"/>
  <c r="F3414" i="6" s="1"/>
  <c r="E3413" i="6"/>
  <c r="F3413" i="6" s="1"/>
  <c r="E3412" i="6"/>
  <c r="F3412" i="6" s="1"/>
  <c r="E3411" i="6"/>
  <c r="F3411" i="6" s="1"/>
  <c r="E3410" i="6"/>
  <c r="F3410" i="6" s="1"/>
  <c r="E3409" i="6"/>
  <c r="F3409" i="6" s="1"/>
  <c r="E3408" i="6"/>
  <c r="F3408" i="6" s="1"/>
  <c r="E3407" i="6"/>
  <c r="F3407" i="6" s="1"/>
  <c r="E3406" i="6"/>
  <c r="F3406" i="6" s="1"/>
  <c r="E3405" i="6"/>
  <c r="F3405" i="6" s="1"/>
  <c r="E3404" i="6"/>
  <c r="F3404" i="6" s="1"/>
  <c r="E3403" i="6"/>
  <c r="F3403" i="6" s="1"/>
  <c r="E3402" i="6"/>
  <c r="F3402" i="6" s="1"/>
  <c r="E3401" i="6"/>
  <c r="F3401" i="6" s="1"/>
  <c r="E3400" i="6"/>
  <c r="F3400" i="6" s="1"/>
  <c r="E3399" i="6"/>
  <c r="F3399" i="6" s="1"/>
  <c r="E3398" i="6"/>
  <c r="F3398" i="6" s="1"/>
  <c r="E3397" i="6"/>
  <c r="F3397" i="6" s="1"/>
  <c r="E3396" i="6"/>
  <c r="F3396" i="6" s="1"/>
  <c r="E3395" i="6"/>
  <c r="F3395" i="6" s="1"/>
  <c r="E3394" i="6"/>
  <c r="F3394" i="6" s="1"/>
  <c r="E3393" i="6"/>
  <c r="F3393" i="6" s="1"/>
  <c r="E3392" i="6"/>
  <c r="F3392" i="6" s="1"/>
  <c r="E3391" i="6"/>
  <c r="F3391" i="6" s="1"/>
  <c r="E3390" i="6"/>
  <c r="F3390" i="6" s="1"/>
  <c r="E3389" i="6"/>
  <c r="F3389" i="6" s="1"/>
  <c r="E3388" i="6"/>
  <c r="F3388" i="6" s="1"/>
  <c r="E3387" i="6"/>
  <c r="F3387" i="6" s="1"/>
  <c r="E3386" i="6"/>
  <c r="F3386" i="6" s="1"/>
  <c r="E3385" i="6"/>
  <c r="F3385" i="6" s="1"/>
  <c r="E3384" i="6"/>
  <c r="F3384" i="6" s="1"/>
  <c r="E3383" i="6"/>
  <c r="F3383" i="6" s="1"/>
  <c r="E3382" i="6"/>
  <c r="F3382" i="6" s="1"/>
  <c r="E3381" i="6"/>
  <c r="F3381" i="6" s="1"/>
  <c r="E3380" i="6"/>
  <c r="F3380" i="6" s="1"/>
  <c r="E3379" i="6"/>
  <c r="F3379" i="6" s="1"/>
  <c r="E3378" i="6"/>
  <c r="F3378" i="6" s="1"/>
  <c r="E3377" i="6"/>
  <c r="F3377" i="6" s="1"/>
  <c r="E3376" i="6"/>
  <c r="F3376" i="6" s="1"/>
  <c r="E3375" i="6"/>
  <c r="F3375" i="6" s="1"/>
  <c r="E3374" i="6"/>
  <c r="F3374" i="6" s="1"/>
  <c r="E3373" i="6"/>
  <c r="F3373" i="6" s="1"/>
  <c r="E3372" i="6"/>
  <c r="F3372" i="6" s="1"/>
  <c r="E3371" i="6"/>
  <c r="F3371" i="6" s="1"/>
  <c r="E3370" i="6"/>
  <c r="F3370" i="6" s="1"/>
  <c r="E3369" i="6"/>
  <c r="F3369" i="6" s="1"/>
  <c r="E3368" i="6"/>
  <c r="F3368" i="6" s="1"/>
  <c r="E3367" i="6"/>
  <c r="F3367" i="6" s="1"/>
  <c r="E3366" i="6"/>
  <c r="F3366" i="6" s="1"/>
  <c r="E3365" i="6"/>
  <c r="F3365" i="6" s="1"/>
  <c r="E3364" i="6"/>
  <c r="F3364" i="6" s="1"/>
  <c r="E3363" i="6"/>
  <c r="F3363" i="6" s="1"/>
  <c r="E3362" i="6"/>
  <c r="F3362" i="6" s="1"/>
  <c r="E3361" i="6"/>
  <c r="F3361" i="6" s="1"/>
  <c r="E3360" i="6"/>
  <c r="F3360" i="6" s="1"/>
  <c r="E3359" i="6"/>
  <c r="F3359" i="6" s="1"/>
  <c r="E3358" i="6"/>
  <c r="F3358" i="6" s="1"/>
  <c r="E3357" i="6"/>
  <c r="F3357" i="6" s="1"/>
  <c r="E3356" i="6"/>
  <c r="F3356" i="6" s="1"/>
  <c r="E3355" i="6"/>
  <c r="F3355" i="6" s="1"/>
  <c r="E3354" i="6"/>
  <c r="F3354" i="6" s="1"/>
  <c r="E3353" i="6"/>
  <c r="F3353" i="6" s="1"/>
  <c r="E3352" i="6"/>
  <c r="F3352" i="6" s="1"/>
  <c r="E3351" i="6"/>
  <c r="F3351" i="6" s="1"/>
  <c r="E3350" i="6"/>
  <c r="F3350" i="6" s="1"/>
  <c r="E3349" i="6"/>
  <c r="F3349" i="6" s="1"/>
  <c r="E3348" i="6"/>
  <c r="F3348" i="6" s="1"/>
  <c r="E3347" i="6"/>
  <c r="F3347" i="6" s="1"/>
  <c r="E3346" i="6"/>
  <c r="F3346" i="6" s="1"/>
  <c r="E3345" i="6"/>
  <c r="F3345" i="6" s="1"/>
  <c r="E3344" i="6"/>
  <c r="F3344" i="6" s="1"/>
  <c r="E3343" i="6"/>
  <c r="F3343" i="6" s="1"/>
  <c r="E3342" i="6"/>
  <c r="F3342" i="6" s="1"/>
  <c r="E3341" i="6"/>
  <c r="F3341" i="6" s="1"/>
  <c r="E3340" i="6"/>
  <c r="F3340" i="6" s="1"/>
  <c r="E3339" i="6"/>
  <c r="F3339" i="6" s="1"/>
  <c r="E3338" i="6"/>
  <c r="F3338" i="6" s="1"/>
  <c r="E3337" i="6"/>
  <c r="F3337" i="6" s="1"/>
  <c r="E3336" i="6"/>
  <c r="F3336" i="6" s="1"/>
  <c r="E3335" i="6"/>
  <c r="F3335" i="6" s="1"/>
  <c r="E3334" i="6"/>
  <c r="F3334" i="6" s="1"/>
  <c r="E3333" i="6"/>
  <c r="F3333" i="6" s="1"/>
  <c r="E3332" i="6"/>
  <c r="F3332" i="6" s="1"/>
  <c r="E3331" i="6"/>
  <c r="F3331" i="6" s="1"/>
  <c r="E3330" i="6"/>
  <c r="F3330" i="6" s="1"/>
  <c r="E3329" i="6"/>
  <c r="F3329" i="6" s="1"/>
  <c r="E3328" i="6"/>
  <c r="F3328" i="6" s="1"/>
  <c r="E3327" i="6"/>
  <c r="F3327" i="6" s="1"/>
  <c r="E3326" i="6"/>
  <c r="F3326" i="6" s="1"/>
  <c r="E3325" i="6"/>
  <c r="F3325" i="6" s="1"/>
  <c r="E3324" i="6"/>
  <c r="F3324" i="6" s="1"/>
  <c r="E3323" i="6"/>
  <c r="F3323" i="6" s="1"/>
  <c r="E3322" i="6"/>
  <c r="F3322" i="6" s="1"/>
  <c r="E3321" i="6"/>
  <c r="F3321" i="6" s="1"/>
  <c r="E3320" i="6"/>
  <c r="F3320" i="6" s="1"/>
  <c r="E3319" i="6"/>
  <c r="F3319" i="6" s="1"/>
  <c r="E3318" i="6"/>
  <c r="F3318" i="6" s="1"/>
  <c r="E3317" i="6"/>
  <c r="F3317" i="6" s="1"/>
  <c r="E3316" i="6"/>
  <c r="F3316" i="6" s="1"/>
  <c r="E3315" i="6"/>
  <c r="F3315" i="6" s="1"/>
  <c r="E3314" i="6"/>
  <c r="F3314" i="6" s="1"/>
  <c r="E3313" i="6"/>
  <c r="F3313" i="6" s="1"/>
  <c r="E3312" i="6"/>
  <c r="F3312" i="6" s="1"/>
  <c r="E3311" i="6"/>
  <c r="F3311" i="6" s="1"/>
  <c r="E3310" i="6"/>
  <c r="F3310" i="6" s="1"/>
  <c r="E3309" i="6"/>
  <c r="F3309" i="6" s="1"/>
  <c r="E3308" i="6"/>
  <c r="F3308" i="6" s="1"/>
  <c r="E3307" i="6"/>
  <c r="F3307" i="6" s="1"/>
  <c r="E3306" i="6"/>
  <c r="F3306" i="6" s="1"/>
  <c r="E3305" i="6"/>
  <c r="F3305" i="6" s="1"/>
  <c r="E3304" i="6"/>
  <c r="F3304" i="6" s="1"/>
  <c r="E3303" i="6"/>
  <c r="F3303" i="6" s="1"/>
  <c r="E3302" i="6"/>
  <c r="F3302" i="6" s="1"/>
  <c r="E3301" i="6"/>
  <c r="F3301" i="6" s="1"/>
  <c r="E3300" i="6"/>
  <c r="F3300" i="6" s="1"/>
  <c r="E3299" i="6"/>
  <c r="F3299" i="6" s="1"/>
  <c r="E3298" i="6"/>
  <c r="F3298" i="6" s="1"/>
  <c r="E3297" i="6"/>
  <c r="F3297" i="6" s="1"/>
  <c r="E3296" i="6"/>
  <c r="F3296" i="6" s="1"/>
  <c r="E3295" i="6"/>
  <c r="F3295" i="6" s="1"/>
  <c r="E3294" i="6"/>
  <c r="F3294" i="6" s="1"/>
  <c r="E3293" i="6"/>
  <c r="F3293" i="6" s="1"/>
  <c r="E3292" i="6"/>
  <c r="F3292" i="6" s="1"/>
  <c r="E3291" i="6"/>
  <c r="F3291" i="6" s="1"/>
  <c r="E3290" i="6"/>
  <c r="F3290" i="6" s="1"/>
  <c r="E3289" i="6"/>
  <c r="F3289" i="6" s="1"/>
  <c r="E3288" i="6"/>
  <c r="F3288" i="6" s="1"/>
  <c r="E3287" i="6"/>
  <c r="F3287" i="6" s="1"/>
  <c r="E3286" i="6"/>
  <c r="F3286" i="6" s="1"/>
  <c r="E3285" i="6"/>
  <c r="F3285" i="6" s="1"/>
  <c r="E3284" i="6"/>
  <c r="F3284" i="6" s="1"/>
  <c r="E3283" i="6"/>
  <c r="F3283" i="6" s="1"/>
  <c r="E3282" i="6"/>
  <c r="F3282" i="6" s="1"/>
  <c r="E3281" i="6"/>
  <c r="F3281" i="6" s="1"/>
  <c r="E3280" i="6"/>
  <c r="F3280" i="6" s="1"/>
  <c r="E3279" i="6"/>
  <c r="F3279" i="6" s="1"/>
  <c r="E3278" i="6"/>
  <c r="F3278" i="6" s="1"/>
  <c r="E3277" i="6"/>
  <c r="F3277" i="6" s="1"/>
  <c r="E3276" i="6"/>
  <c r="F3276" i="6" s="1"/>
  <c r="E3275" i="6"/>
  <c r="F3275" i="6" s="1"/>
  <c r="E3274" i="6"/>
  <c r="F3274" i="6" s="1"/>
  <c r="E3273" i="6"/>
  <c r="F3273" i="6" s="1"/>
  <c r="E3272" i="6"/>
  <c r="F3272" i="6" s="1"/>
  <c r="E3271" i="6"/>
  <c r="F3271" i="6" s="1"/>
  <c r="E3270" i="6"/>
  <c r="F3270" i="6" s="1"/>
  <c r="E3269" i="6"/>
  <c r="F3269" i="6" s="1"/>
  <c r="E3268" i="6"/>
  <c r="F3268" i="6" s="1"/>
  <c r="E3267" i="6"/>
  <c r="F3267" i="6" s="1"/>
  <c r="E3266" i="6"/>
  <c r="F3266" i="6" s="1"/>
  <c r="E3265" i="6"/>
  <c r="F3265" i="6" s="1"/>
  <c r="E3264" i="6"/>
  <c r="F3264" i="6" s="1"/>
  <c r="E3263" i="6"/>
  <c r="F3263" i="6" s="1"/>
  <c r="E3262" i="6"/>
  <c r="F3262" i="6" s="1"/>
  <c r="E3261" i="6"/>
  <c r="F3261" i="6" s="1"/>
  <c r="E3260" i="6"/>
  <c r="F3260" i="6" s="1"/>
  <c r="E3259" i="6"/>
  <c r="F3259" i="6" s="1"/>
  <c r="E3258" i="6"/>
  <c r="F3258" i="6" s="1"/>
  <c r="E3257" i="6"/>
  <c r="F3257" i="6" s="1"/>
  <c r="E3256" i="6"/>
  <c r="F3256" i="6" s="1"/>
  <c r="E3255" i="6"/>
  <c r="F3255" i="6" s="1"/>
  <c r="E3254" i="6"/>
  <c r="F3254" i="6" s="1"/>
  <c r="E3253" i="6"/>
  <c r="F3253" i="6" s="1"/>
  <c r="E3252" i="6"/>
  <c r="F3252" i="6" s="1"/>
  <c r="E3251" i="6"/>
  <c r="F3251" i="6" s="1"/>
  <c r="E3250" i="6"/>
  <c r="F3250" i="6" s="1"/>
  <c r="E3249" i="6"/>
  <c r="F3249" i="6" s="1"/>
  <c r="E3248" i="6"/>
  <c r="F3248" i="6" s="1"/>
  <c r="E3247" i="6"/>
  <c r="F3247" i="6" s="1"/>
  <c r="E3246" i="6"/>
  <c r="F3246" i="6" s="1"/>
  <c r="E3245" i="6"/>
  <c r="F3245" i="6" s="1"/>
  <c r="E3244" i="6"/>
  <c r="F3244" i="6" s="1"/>
  <c r="E3243" i="6"/>
  <c r="F3243" i="6" s="1"/>
  <c r="E3242" i="6"/>
  <c r="F3242" i="6" s="1"/>
  <c r="E3241" i="6"/>
  <c r="F3241" i="6" s="1"/>
  <c r="E3240" i="6"/>
  <c r="F3240" i="6" s="1"/>
  <c r="E3239" i="6"/>
  <c r="F3239" i="6" s="1"/>
  <c r="E3238" i="6"/>
  <c r="F3238" i="6" s="1"/>
  <c r="E3237" i="6"/>
  <c r="F3237" i="6" s="1"/>
  <c r="E3236" i="6"/>
  <c r="F3236" i="6" s="1"/>
  <c r="E3235" i="6"/>
  <c r="F3235" i="6" s="1"/>
  <c r="E3234" i="6"/>
  <c r="F3234" i="6" s="1"/>
  <c r="E3233" i="6"/>
  <c r="F3233" i="6" s="1"/>
  <c r="E3232" i="6"/>
  <c r="F3232" i="6" s="1"/>
  <c r="E3231" i="6"/>
  <c r="F3231" i="6" s="1"/>
  <c r="E3230" i="6"/>
  <c r="F3230" i="6" s="1"/>
  <c r="E3229" i="6"/>
  <c r="F3229" i="6" s="1"/>
  <c r="E3228" i="6"/>
  <c r="F3228" i="6" s="1"/>
  <c r="E3227" i="6"/>
  <c r="F3227" i="6" s="1"/>
  <c r="E3226" i="6"/>
  <c r="F3226" i="6" s="1"/>
  <c r="E3225" i="6"/>
  <c r="F3225" i="6" s="1"/>
  <c r="E3224" i="6"/>
  <c r="F3224" i="6" s="1"/>
  <c r="E3223" i="6"/>
  <c r="F3223" i="6" s="1"/>
  <c r="E3222" i="6"/>
  <c r="F3222" i="6" s="1"/>
  <c r="E3221" i="6"/>
  <c r="F3221" i="6" s="1"/>
  <c r="E3220" i="6"/>
  <c r="F3220" i="6" s="1"/>
  <c r="E3219" i="6"/>
  <c r="F3219" i="6" s="1"/>
  <c r="E3218" i="6"/>
  <c r="F3218" i="6" s="1"/>
  <c r="E3217" i="6"/>
  <c r="F3217" i="6" s="1"/>
  <c r="E3216" i="6"/>
  <c r="F3216" i="6" s="1"/>
  <c r="E3215" i="6"/>
  <c r="F3215" i="6" s="1"/>
  <c r="E3214" i="6"/>
  <c r="F3214" i="6" s="1"/>
  <c r="E3213" i="6"/>
  <c r="F3213" i="6" s="1"/>
  <c r="E3212" i="6"/>
  <c r="F3212" i="6" s="1"/>
  <c r="E3211" i="6"/>
  <c r="F3211" i="6" s="1"/>
  <c r="E3210" i="6"/>
  <c r="F3210" i="6" s="1"/>
  <c r="E3209" i="6"/>
  <c r="F3209" i="6" s="1"/>
  <c r="E3208" i="6"/>
  <c r="F3208" i="6" s="1"/>
  <c r="E3207" i="6"/>
  <c r="F3207" i="6" s="1"/>
  <c r="E3206" i="6"/>
  <c r="F3206" i="6" s="1"/>
  <c r="E3205" i="6"/>
  <c r="F3205" i="6" s="1"/>
  <c r="E3204" i="6"/>
  <c r="F3204" i="6" s="1"/>
  <c r="E3203" i="6"/>
  <c r="F3203" i="6" s="1"/>
  <c r="E3202" i="6"/>
  <c r="F3202" i="6" s="1"/>
  <c r="E3201" i="6"/>
  <c r="F3201" i="6" s="1"/>
  <c r="E3200" i="6"/>
  <c r="F3200" i="6" s="1"/>
  <c r="E3199" i="6"/>
  <c r="F3199" i="6" s="1"/>
  <c r="E3198" i="6"/>
  <c r="F3198" i="6" s="1"/>
  <c r="E3197" i="6"/>
  <c r="F3197" i="6" s="1"/>
  <c r="E3196" i="6"/>
  <c r="F3196" i="6" s="1"/>
  <c r="E3195" i="6"/>
  <c r="F3195" i="6" s="1"/>
  <c r="E3194" i="6"/>
  <c r="F3194" i="6" s="1"/>
  <c r="E3193" i="6"/>
  <c r="F3193" i="6" s="1"/>
  <c r="E3192" i="6"/>
  <c r="F3192" i="6" s="1"/>
  <c r="E3191" i="6"/>
  <c r="F3191" i="6" s="1"/>
  <c r="E3190" i="6"/>
  <c r="F3190" i="6" s="1"/>
  <c r="E3189" i="6"/>
  <c r="F3189" i="6" s="1"/>
  <c r="E3188" i="6"/>
  <c r="F3188" i="6" s="1"/>
  <c r="E3187" i="6"/>
  <c r="F3187" i="6" s="1"/>
  <c r="E3186" i="6"/>
  <c r="F3186" i="6" s="1"/>
  <c r="E3185" i="6"/>
  <c r="F3185" i="6" s="1"/>
  <c r="E3184" i="6"/>
  <c r="F3184" i="6" s="1"/>
  <c r="E3183" i="6"/>
  <c r="F3183" i="6" s="1"/>
  <c r="E3182" i="6"/>
  <c r="F3182" i="6" s="1"/>
  <c r="E3181" i="6"/>
  <c r="F3181" i="6" s="1"/>
  <c r="E3180" i="6"/>
  <c r="F3180" i="6" s="1"/>
  <c r="E3179" i="6"/>
  <c r="F3179" i="6" s="1"/>
  <c r="E3178" i="6"/>
  <c r="F3178" i="6" s="1"/>
  <c r="E3177" i="6"/>
  <c r="F3177" i="6" s="1"/>
  <c r="E3176" i="6"/>
  <c r="F3176" i="6" s="1"/>
  <c r="E3175" i="6"/>
  <c r="F3175" i="6" s="1"/>
  <c r="E3174" i="6"/>
  <c r="F3174" i="6" s="1"/>
  <c r="E3173" i="6"/>
  <c r="F3173" i="6" s="1"/>
  <c r="E3172" i="6"/>
  <c r="F3172" i="6" s="1"/>
  <c r="E3171" i="6"/>
  <c r="F3171" i="6" s="1"/>
  <c r="E3170" i="6"/>
  <c r="F3170" i="6" s="1"/>
  <c r="E3169" i="6"/>
  <c r="F3169" i="6" s="1"/>
  <c r="E3168" i="6"/>
  <c r="F3168" i="6" s="1"/>
  <c r="E3167" i="6"/>
  <c r="F3167" i="6" s="1"/>
  <c r="E3166" i="6"/>
  <c r="F3166" i="6" s="1"/>
  <c r="E3165" i="6"/>
  <c r="F3165" i="6" s="1"/>
  <c r="E3164" i="6"/>
  <c r="F3164" i="6" s="1"/>
  <c r="E3163" i="6"/>
  <c r="F3163" i="6" s="1"/>
  <c r="E3162" i="6"/>
  <c r="F3162" i="6" s="1"/>
  <c r="E3161" i="6"/>
  <c r="F3161" i="6" s="1"/>
  <c r="E3160" i="6"/>
  <c r="F3160" i="6" s="1"/>
  <c r="E3159" i="6"/>
  <c r="F3159" i="6" s="1"/>
  <c r="E3158" i="6"/>
  <c r="F3158" i="6" s="1"/>
  <c r="E3157" i="6"/>
  <c r="F3157" i="6" s="1"/>
  <c r="E3156" i="6"/>
  <c r="F3156" i="6" s="1"/>
  <c r="E3155" i="6"/>
  <c r="F3155" i="6" s="1"/>
  <c r="E3154" i="6"/>
  <c r="F3154" i="6" s="1"/>
  <c r="E3153" i="6"/>
  <c r="F3153" i="6" s="1"/>
  <c r="E3152" i="6"/>
  <c r="F3152" i="6" s="1"/>
  <c r="E3151" i="6"/>
  <c r="F3151" i="6" s="1"/>
  <c r="E3150" i="6"/>
  <c r="F3150" i="6" s="1"/>
  <c r="E3149" i="6"/>
  <c r="F3149" i="6" s="1"/>
  <c r="E3148" i="6"/>
  <c r="F3148" i="6" s="1"/>
  <c r="E3147" i="6"/>
  <c r="F3147" i="6" s="1"/>
  <c r="E3146" i="6"/>
  <c r="F3146" i="6" s="1"/>
  <c r="E3145" i="6"/>
  <c r="F3145" i="6" s="1"/>
  <c r="E3144" i="6"/>
  <c r="F3144" i="6" s="1"/>
  <c r="E3143" i="6"/>
  <c r="F3143" i="6" s="1"/>
  <c r="E3142" i="6"/>
  <c r="F3142" i="6" s="1"/>
  <c r="E3141" i="6"/>
  <c r="F3141" i="6" s="1"/>
  <c r="E3140" i="6"/>
  <c r="F3140" i="6" s="1"/>
  <c r="E3139" i="6"/>
  <c r="F3139" i="6" s="1"/>
  <c r="E3138" i="6"/>
  <c r="F3138" i="6" s="1"/>
  <c r="E3137" i="6"/>
  <c r="F3137" i="6" s="1"/>
  <c r="E3136" i="6"/>
  <c r="F3136" i="6" s="1"/>
  <c r="E3135" i="6"/>
  <c r="F3135" i="6" s="1"/>
  <c r="E3134" i="6"/>
  <c r="F3134" i="6" s="1"/>
  <c r="E3133" i="6"/>
  <c r="F3133" i="6" s="1"/>
  <c r="E3132" i="6"/>
  <c r="F3132" i="6" s="1"/>
  <c r="E3131" i="6"/>
  <c r="F3131" i="6" s="1"/>
  <c r="E3130" i="6"/>
  <c r="F3130" i="6" s="1"/>
  <c r="E3129" i="6"/>
  <c r="F3129" i="6" s="1"/>
  <c r="E3128" i="6"/>
  <c r="F3128" i="6" s="1"/>
  <c r="E3127" i="6"/>
  <c r="F3127" i="6" s="1"/>
  <c r="E3126" i="6"/>
  <c r="F3126" i="6" s="1"/>
  <c r="E3125" i="6"/>
  <c r="F3125" i="6" s="1"/>
  <c r="E3124" i="6"/>
  <c r="F3124" i="6" s="1"/>
  <c r="E3123" i="6"/>
  <c r="F3123" i="6" s="1"/>
  <c r="E3122" i="6"/>
  <c r="F3122" i="6" s="1"/>
  <c r="E3121" i="6"/>
  <c r="F3121" i="6" s="1"/>
  <c r="E3120" i="6"/>
  <c r="F3120" i="6" s="1"/>
  <c r="E3119" i="6"/>
  <c r="F3119" i="6" s="1"/>
  <c r="E3118" i="6"/>
  <c r="F3118" i="6" s="1"/>
  <c r="E3117" i="6"/>
  <c r="F3117" i="6" s="1"/>
  <c r="E3116" i="6"/>
  <c r="F3116" i="6" s="1"/>
  <c r="E3115" i="6"/>
  <c r="F3115" i="6" s="1"/>
  <c r="E3114" i="6"/>
  <c r="F3114" i="6" s="1"/>
  <c r="E3113" i="6"/>
  <c r="F3113" i="6" s="1"/>
  <c r="E3112" i="6"/>
  <c r="F3112" i="6" s="1"/>
  <c r="E3111" i="6"/>
  <c r="F3111" i="6" s="1"/>
  <c r="E3110" i="6"/>
  <c r="F3110" i="6" s="1"/>
  <c r="E3109" i="6"/>
  <c r="F3109" i="6" s="1"/>
  <c r="E3108" i="6"/>
  <c r="F3108" i="6" s="1"/>
  <c r="E3107" i="6"/>
  <c r="F3107" i="6" s="1"/>
  <c r="E3106" i="6"/>
  <c r="F3106" i="6" s="1"/>
  <c r="E3105" i="6"/>
  <c r="F3105" i="6" s="1"/>
  <c r="E3104" i="6"/>
  <c r="F3104" i="6" s="1"/>
  <c r="E3103" i="6"/>
  <c r="F3103" i="6" s="1"/>
  <c r="E3102" i="6"/>
  <c r="F3102" i="6" s="1"/>
  <c r="E3101" i="6"/>
  <c r="F3101" i="6" s="1"/>
  <c r="E3100" i="6"/>
  <c r="F3100" i="6" s="1"/>
  <c r="E3099" i="6"/>
  <c r="F3099" i="6" s="1"/>
  <c r="E3098" i="6"/>
  <c r="F3098" i="6" s="1"/>
  <c r="E3097" i="6"/>
  <c r="F3097" i="6" s="1"/>
  <c r="E3096" i="6"/>
  <c r="F3096" i="6" s="1"/>
  <c r="E3095" i="6"/>
  <c r="F3095" i="6" s="1"/>
  <c r="E3094" i="6"/>
  <c r="F3094" i="6" s="1"/>
  <c r="E3093" i="6"/>
  <c r="F3093" i="6" s="1"/>
  <c r="E3092" i="6"/>
  <c r="F3092" i="6" s="1"/>
  <c r="E3091" i="6"/>
  <c r="F3091" i="6" s="1"/>
  <c r="E3090" i="6"/>
  <c r="F3090" i="6" s="1"/>
  <c r="E3089" i="6"/>
  <c r="F3089" i="6" s="1"/>
  <c r="E3088" i="6"/>
  <c r="F3088" i="6" s="1"/>
  <c r="E3087" i="6"/>
  <c r="F3087" i="6" s="1"/>
  <c r="E3086" i="6"/>
  <c r="F3086" i="6" s="1"/>
  <c r="E3085" i="6"/>
  <c r="F3085" i="6" s="1"/>
  <c r="E3084" i="6"/>
  <c r="F3084" i="6" s="1"/>
  <c r="E3083" i="6"/>
  <c r="F3083" i="6" s="1"/>
  <c r="E3082" i="6"/>
  <c r="F3082" i="6" s="1"/>
  <c r="E3081" i="6"/>
  <c r="F3081" i="6" s="1"/>
  <c r="E3080" i="6"/>
  <c r="F3080" i="6" s="1"/>
  <c r="E3079" i="6"/>
  <c r="F3079" i="6" s="1"/>
  <c r="E3078" i="6"/>
  <c r="F3078" i="6" s="1"/>
  <c r="E3077" i="6"/>
  <c r="F3077" i="6" s="1"/>
  <c r="E3076" i="6"/>
  <c r="F3076" i="6" s="1"/>
  <c r="E3075" i="6"/>
  <c r="F3075" i="6" s="1"/>
  <c r="E3074" i="6"/>
  <c r="F3074" i="6" s="1"/>
  <c r="E3073" i="6"/>
  <c r="F3073" i="6" s="1"/>
  <c r="E3072" i="6"/>
  <c r="F3072" i="6" s="1"/>
  <c r="E3071" i="6"/>
  <c r="F3071" i="6" s="1"/>
  <c r="E3070" i="6"/>
  <c r="F3070" i="6" s="1"/>
  <c r="E3069" i="6"/>
  <c r="F3069" i="6" s="1"/>
  <c r="E3068" i="6"/>
  <c r="F3068" i="6" s="1"/>
  <c r="E3067" i="6"/>
  <c r="F3067" i="6" s="1"/>
  <c r="E3066" i="6"/>
  <c r="F3066" i="6" s="1"/>
  <c r="E3065" i="6"/>
  <c r="F3065" i="6" s="1"/>
  <c r="E3064" i="6"/>
  <c r="F3064" i="6" s="1"/>
  <c r="E3063" i="6"/>
  <c r="F3063" i="6" s="1"/>
  <c r="E3062" i="6"/>
  <c r="F3062" i="6" s="1"/>
  <c r="E3061" i="6"/>
  <c r="F3061" i="6" s="1"/>
  <c r="E3060" i="6"/>
  <c r="F3060" i="6" s="1"/>
  <c r="E3059" i="6"/>
  <c r="F3059" i="6" s="1"/>
  <c r="E3058" i="6"/>
  <c r="F3058" i="6" s="1"/>
  <c r="E3057" i="6"/>
  <c r="F3057" i="6" s="1"/>
  <c r="E3056" i="6"/>
  <c r="F3056" i="6" s="1"/>
  <c r="E3055" i="6"/>
  <c r="F3055" i="6" s="1"/>
  <c r="E3054" i="6"/>
  <c r="F3054" i="6" s="1"/>
  <c r="E3053" i="6"/>
  <c r="F3053" i="6" s="1"/>
  <c r="E3052" i="6"/>
  <c r="F3052" i="6" s="1"/>
  <c r="E3051" i="6"/>
  <c r="F3051" i="6" s="1"/>
  <c r="E3050" i="6"/>
  <c r="F3050" i="6" s="1"/>
  <c r="E3049" i="6"/>
  <c r="F3049" i="6" s="1"/>
  <c r="E3048" i="6"/>
  <c r="F3048" i="6" s="1"/>
  <c r="E3047" i="6"/>
  <c r="F3047" i="6" s="1"/>
  <c r="E3046" i="6"/>
  <c r="F3046" i="6" s="1"/>
  <c r="E3045" i="6"/>
  <c r="F3045" i="6" s="1"/>
  <c r="E3044" i="6"/>
  <c r="F3044" i="6" s="1"/>
  <c r="E3043" i="6"/>
  <c r="F3043" i="6" s="1"/>
  <c r="E3042" i="6"/>
  <c r="F3042" i="6" s="1"/>
  <c r="E3041" i="6"/>
  <c r="F3041" i="6" s="1"/>
  <c r="E3040" i="6"/>
  <c r="F3040" i="6" s="1"/>
  <c r="E3039" i="6"/>
  <c r="F3039" i="6" s="1"/>
  <c r="E3038" i="6"/>
  <c r="F3038" i="6" s="1"/>
  <c r="E3037" i="6"/>
  <c r="F3037" i="6" s="1"/>
  <c r="E3036" i="6"/>
  <c r="F3036" i="6" s="1"/>
  <c r="E3035" i="6"/>
  <c r="F3035" i="6" s="1"/>
  <c r="E3034" i="6"/>
  <c r="F3034" i="6" s="1"/>
  <c r="E3033" i="6"/>
  <c r="F3033" i="6" s="1"/>
  <c r="E3032" i="6"/>
  <c r="F3032" i="6" s="1"/>
  <c r="E3031" i="6"/>
  <c r="F3031" i="6" s="1"/>
  <c r="E3030" i="6"/>
  <c r="F3030" i="6" s="1"/>
  <c r="E3029" i="6"/>
  <c r="F3029" i="6" s="1"/>
  <c r="E3028" i="6"/>
  <c r="F3028" i="6" s="1"/>
  <c r="E3027" i="6"/>
  <c r="F3027" i="6" s="1"/>
  <c r="E3026" i="6"/>
  <c r="F3026" i="6" s="1"/>
  <c r="E3025" i="6"/>
  <c r="F3025" i="6" s="1"/>
  <c r="E3024" i="6"/>
  <c r="F3024" i="6" s="1"/>
  <c r="E3023" i="6"/>
  <c r="F3023" i="6" s="1"/>
  <c r="E3022" i="6"/>
  <c r="F3022" i="6" s="1"/>
  <c r="E3021" i="6"/>
  <c r="F3021" i="6" s="1"/>
  <c r="E3020" i="6"/>
  <c r="F3020" i="6" s="1"/>
  <c r="E3019" i="6"/>
  <c r="F3019" i="6" s="1"/>
  <c r="E3018" i="6"/>
  <c r="F3018" i="6" s="1"/>
  <c r="E3017" i="6"/>
  <c r="F3017" i="6" s="1"/>
  <c r="E3016" i="6"/>
  <c r="F3016" i="6" s="1"/>
  <c r="E3015" i="6"/>
  <c r="F3015" i="6" s="1"/>
  <c r="E3014" i="6"/>
  <c r="F3014" i="6" s="1"/>
  <c r="E3013" i="6"/>
  <c r="F3013" i="6" s="1"/>
  <c r="E3012" i="6"/>
  <c r="F3012" i="6" s="1"/>
  <c r="E3011" i="6"/>
  <c r="F3011" i="6" s="1"/>
  <c r="E3010" i="6"/>
  <c r="F3010" i="6" s="1"/>
  <c r="E3009" i="6"/>
  <c r="F3009" i="6" s="1"/>
  <c r="E3008" i="6"/>
  <c r="F3008" i="6" s="1"/>
  <c r="E3007" i="6"/>
  <c r="F3007" i="6" s="1"/>
  <c r="E3006" i="6"/>
  <c r="F3006" i="6" s="1"/>
  <c r="E3005" i="6"/>
  <c r="F3005" i="6" s="1"/>
  <c r="E3004" i="6"/>
  <c r="F3004" i="6" s="1"/>
  <c r="E3003" i="6"/>
  <c r="F3003" i="6" s="1"/>
  <c r="E3002" i="6"/>
  <c r="F3002" i="6" s="1"/>
  <c r="E3001" i="6"/>
  <c r="F3001" i="6" s="1"/>
  <c r="E3000" i="6"/>
  <c r="F3000" i="6" s="1"/>
  <c r="E2999" i="6"/>
  <c r="F2999" i="6" s="1"/>
  <c r="E2998" i="6"/>
  <c r="F2998" i="6" s="1"/>
  <c r="E2997" i="6"/>
  <c r="F2997" i="6" s="1"/>
  <c r="E2996" i="6"/>
  <c r="F2996" i="6" s="1"/>
  <c r="E2995" i="6"/>
  <c r="F2995" i="6" s="1"/>
  <c r="E2994" i="6"/>
  <c r="F2994" i="6" s="1"/>
  <c r="E2993" i="6"/>
  <c r="F2993" i="6" s="1"/>
  <c r="E2992" i="6"/>
  <c r="F2992" i="6" s="1"/>
  <c r="E2991" i="6"/>
  <c r="F2991" i="6" s="1"/>
  <c r="E2990" i="6"/>
  <c r="F2990" i="6" s="1"/>
  <c r="E2989" i="6"/>
  <c r="F2989" i="6" s="1"/>
  <c r="E2988" i="6"/>
  <c r="F2988" i="6" s="1"/>
  <c r="E2987" i="6"/>
  <c r="F2987" i="6" s="1"/>
  <c r="E2986" i="6"/>
  <c r="F2986" i="6" s="1"/>
  <c r="E2985" i="6"/>
  <c r="F2985" i="6" s="1"/>
  <c r="E2984" i="6"/>
  <c r="F2984" i="6" s="1"/>
  <c r="E2983" i="6"/>
  <c r="F2983" i="6" s="1"/>
  <c r="E2982" i="6"/>
  <c r="F2982" i="6" s="1"/>
  <c r="E2981" i="6"/>
  <c r="F2981" i="6" s="1"/>
  <c r="E2980" i="6"/>
  <c r="F2980" i="6" s="1"/>
  <c r="E2979" i="6"/>
  <c r="F2979" i="6" s="1"/>
  <c r="E2978" i="6"/>
  <c r="F2978" i="6" s="1"/>
  <c r="E2977" i="6"/>
  <c r="F2977" i="6" s="1"/>
  <c r="E2976" i="6"/>
  <c r="F2976" i="6" s="1"/>
  <c r="E2975" i="6"/>
  <c r="F2975" i="6" s="1"/>
  <c r="E2974" i="6"/>
  <c r="F2974" i="6" s="1"/>
  <c r="E2973" i="6"/>
  <c r="F2973" i="6" s="1"/>
  <c r="E2972" i="6"/>
  <c r="F2972" i="6" s="1"/>
  <c r="E2971" i="6"/>
  <c r="F2971" i="6" s="1"/>
  <c r="E2970" i="6"/>
  <c r="F2970" i="6" s="1"/>
  <c r="E2969" i="6"/>
  <c r="F2969" i="6" s="1"/>
  <c r="E2968" i="6"/>
  <c r="F2968" i="6" s="1"/>
  <c r="E2967" i="6"/>
  <c r="F2967" i="6" s="1"/>
  <c r="E2966" i="6"/>
  <c r="F2966" i="6" s="1"/>
  <c r="E2965" i="6"/>
  <c r="F2965" i="6" s="1"/>
  <c r="E2964" i="6"/>
  <c r="F2964" i="6" s="1"/>
  <c r="E2963" i="6"/>
  <c r="F2963" i="6" s="1"/>
  <c r="E2962" i="6"/>
  <c r="F2962" i="6" s="1"/>
  <c r="E2961" i="6"/>
  <c r="F2961" i="6" s="1"/>
  <c r="E2960" i="6"/>
  <c r="F2960" i="6" s="1"/>
  <c r="E2959" i="6"/>
  <c r="F2959" i="6" s="1"/>
  <c r="E2958" i="6"/>
  <c r="F2958" i="6" s="1"/>
  <c r="E2957" i="6"/>
  <c r="F2957" i="6" s="1"/>
  <c r="E2956" i="6"/>
  <c r="F2956" i="6" s="1"/>
  <c r="E2955" i="6"/>
  <c r="F2955" i="6" s="1"/>
  <c r="E2954" i="6"/>
  <c r="F2954" i="6" s="1"/>
  <c r="E2953" i="6"/>
  <c r="F2953" i="6" s="1"/>
  <c r="E2952" i="6"/>
  <c r="F2952" i="6" s="1"/>
  <c r="E2951" i="6"/>
  <c r="F2951" i="6" s="1"/>
  <c r="E2950" i="6"/>
  <c r="F2950" i="6" s="1"/>
  <c r="E2949" i="6"/>
  <c r="F2949" i="6" s="1"/>
  <c r="E2948" i="6"/>
  <c r="F2948" i="6" s="1"/>
  <c r="E2947" i="6"/>
  <c r="F2947" i="6" s="1"/>
  <c r="E2946" i="6"/>
  <c r="F2946" i="6" s="1"/>
  <c r="E2945" i="6"/>
  <c r="F2945" i="6" s="1"/>
  <c r="E2944" i="6"/>
  <c r="F2944" i="6" s="1"/>
  <c r="E2943" i="6"/>
  <c r="F2943" i="6" s="1"/>
  <c r="E2942" i="6"/>
  <c r="F2942" i="6" s="1"/>
  <c r="E2941" i="6"/>
  <c r="F2941" i="6" s="1"/>
  <c r="E2940" i="6"/>
  <c r="F2940" i="6" s="1"/>
  <c r="E2939" i="6"/>
  <c r="F2939" i="6" s="1"/>
  <c r="E2938" i="6"/>
  <c r="F2938" i="6" s="1"/>
  <c r="E2937" i="6"/>
  <c r="F2937" i="6" s="1"/>
  <c r="E2936" i="6"/>
  <c r="F2936" i="6" s="1"/>
  <c r="E2935" i="6"/>
  <c r="F2935" i="6" s="1"/>
  <c r="E2934" i="6"/>
  <c r="F2934" i="6" s="1"/>
  <c r="E2933" i="6"/>
  <c r="F2933" i="6" s="1"/>
  <c r="E2932" i="6"/>
  <c r="F2932" i="6" s="1"/>
  <c r="E2931" i="6"/>
  <c r="F2931" i="6" s="1"/>
  <c r="E2930" i="6"/>
  <c r="F2930" i="6" s="1"/>
  <c r="E2929" i="6"/>
  <c r="F2929" i="6" s="1"/>
  <c r="E2928" i="6"/>
  <c r="F2928" i="6" s="1"/>
  <c r="E2927" i="6"/>
  <c r="F2927" i="6" s="1"/>
  <c r="E2926" i="6"/>
  <c r="F2926" i="6" s="1"/>
  <c r="E2925" i="6"/>
  <c r="F2925" i="6" s="1"/>
  <c r="E2924" i="6"/>
  <c r="F2924" i="6" s="1"/>
  <c r="E2923" i="6"/>
  <c r="F2923" i="6" s="1"/>
  <c r="E2922" i="6"/>
  <c r="F2922" i="6" s="1"/>
  <c r="E2921" i="6"/>
  <c r="F2921" i="6" s="1"/>
  <c r="E2920" i="6"/>
  <c r="F2920" i="6" s="1"/>
  <c r="E2919" i="6"/>
  <c r="F2919" i="6" s="1"/>
  <c r="E2918" i="6"/>
  <c r="F2918" i="6" s="1"/>
  <c r="E2917" i="6"/>
  <c r="F2917" i="6" s="1"/>
  <c r="E2916" i="6"/>
  <c r="F2916" i="6" s="1"/>
  <c r="E2915" i="6"/>
  <c r="F2915" i="6" s="1"/>
  <c r="E2914" i="6"/>
  <c r="F2914" i="6" s="1"/>
  <c r="E2913" i="6"/>
  <c r="F2913" i="6" s="1"/>
  <c r="E2912" i="6"/>
  <c r="F2912" i="6" s="1"/>
  <c r="E2911" i="6"/>
  <c r="F2911" i="6" s="1"/>
  <c r="E2910" i="6"/>
  <c r="F2910" i="6" s="1"/>
  <c r="E2909" i="6"/>
  <c r="F2909" i="6" s="1"/>
  <c r="E2908" i="6"/>
  <c r="F2908" i="6" s="1"/>
  <c r="E2907" i="6"/>
  <c r="F2907" i="6" s="1"/>
  <c r="E2906" i="6"/>
  <c r="F2906" i="6" s="1"/>
  <c r="E2905" i="6"/>
  <c r="F2905" i="6" s="1"/>
  <c r="E2904" i="6"/>
  <c r="F2904" i="6" s="1"/>
  <c r="E2903" i="6"/>
  <c r="F2903" i="6" s="1"/>
  <c r="E2902" i="6"/>
  <c r="F2902" i="6" s="1"/>
  <c r="E2901" i="6"/>
  <c r="F2901" i="6" s="1"/>
  <c r="E2900" i="6"/>
  <c r="F2900" i="6" s="1"/>
  <c r="E2899" i="6"/>
  <c r="F2899" i="6" s="1"/>
  <c r="E2898" i="6"/>
  <c r="F2898" i="6" s="1"/>
  <c r="E2897" i="6"/>
  <c r="F2897" i="6" s="1"/>
  <c r="E2896" i="6"/>
  <c r="F2896" i="6" s="1"/>
  <c r="E2895" i="6"/>
  <c r="F2895" i="6" s="1"/>
  <c r="E2894" i="6"/>
  <c r="F2894" i="6" s="1"/>
  <c r="E2893" i="6"/>
  <c r="F2893" i="6" s="1"/>
  <c r="E2892" i="6"/>
  <c r="F2892" i="6" s="1"/>
  <c r="E2891" i="6"/>
  <c r="F2891" i="6" s="1"/>
  <c r="E2890" i="6"/>
  <c r="F2890" i="6" s="1"/>
  <c r="E2889" i="6"/>
  <c r="F2889" i="6" s="1"/>
  <c r="E2888" i="6"/>
  <c r="F2888" i="6" s="1"/>
  <c r="E2887" i="6"/>
  <c r="F2887" i="6" s="1"/>
  <c r="E2886" i="6"/>
  <c r="F2886" i="6" s="1"/>
  <c r="E2885" i="6"/>
  <c r="F2885" i="6" s="1"/>
  <c r="E2884" i="6"/>
  <c r="F2884" i="6" s="1"/>
  <c r="E2883" i="6"/>
  <c r="F2883" i="6" s="1"/>
  <c r="E2882" i="6"/>
  <c r="F2882" i="6" s="1"/>
  <c r="E2881" i="6"/>
  <c r="F2881" i="6" s="1"/>
  <c r="E2880" i="6"/>
  <c r="F2880" i="6" s="1"/>
  <c r="E2879" i="6"/>
  <c r="F2879" i="6" s="1"/>
  <c r="E2878" i="6"/>
  <c r="F2878" i="6" s="1"/>
  <c r="E2877" i="6"/>
  <c r="F2877" i="6" s="1"/>
  <c r="E2876" i="6"/>
  <c r="F2876" i="6" s="1"/>
  <c r="E2875" i="6"/>
  <c r="F2875" i="6" s="1"/>
  <c r="E2874" i="6"/>
  <c r="F2874" i="6" s="1"/>
  <c r="E2873" i="6"/>
  <c r="F2873" i="6" s="1"/>
  <c r="E2872" i="6"/>
  <c r="F2872" i="6" s="1"/>
  <c r="E2871" i="6"/>
  <c r="F2871" i="6" s="1"/>
  <c r="E2870" i="6"/>
  <c r="F2870" i="6" s="1"/>
  <c r="E2869" i="6"/>
  <c r="F2869" i="6" s="1"/>
  <c r="E2868" i="6"/>
  <c r="F2868" i="6" s="1"/>
  <c r="E2867" i="6"/>
  <c r="F2867" i="6" s="1"/>
  <c r="E2866" i="6"/>
  <c r="F2866" i="6" s="1"/>
  <c r="E2865" i="6"/>
  <c r="F2865" i="6" s="1"/>
  <c r="E2864" i="6"/>
  <c r="F2864" i="6" s="1"/>
  <c r="E2863" i="6"/>
  <c r="F2863" i="6" s="1"/>
  <c r="E2862" i="6"/>
  <c r="F2862" i="6" s="1"/>
  <c r="E2861" i="6"/>
  <c r="F2861" i="6" s="1"/>
  <c r="E2860" i="6"/>
  <c r="F2860" i="6" s="1"/>
  <c r="E2859" i="6"/>
  <c r="F2859" i="6" s="1"/>
  <c r="E2858" i="6"/>
  <c r="F2858" i="6" s="1"/>
  <c r="E2857" i="6"/>
  <c r="F2857" i="6" s="1"/>
  <c r="E2856" i="6"/>
  <c r="F2856" i="6" s="1"/>
  <c r="E2855" i="6"/>
  <c r="F2855" i="6" s="1"/>
  <c r="E2854" i="6"/>
  <c r="F2854" i="6" s="1"/>
  <c r="E2853" i="6"/>
  <c r="F2853" i="6" s="1"/>
  <c r="E2852" i="6"/>
  <c r="F2852" i="6" s="1"/>
  <c r="E2851" i="6"/>
  <c r="F2851" i="6" s="1"/>
  <c r="E2850" i="6"/>
  <c r="F2850" i="6" s="1"/>
  <c r="E2849" i="6"/>
  <c r="F2849" i="6" s="1"/>
  <c r="E2848" i="6"/>
  <c r="F2848" i="6" s="1"/>
  <c r="E2847" i="6"/>
  <c r="F2847" i="6" s="1"/>
  <c r="E2846" i="6"/>
  <c r="F2846" i="6" s="1"/>
  <c r="E2845" i="6"/>
  <c r="F2845" i="6" s="1"/>
  <c r="E2844" i="6"/>
  <c r="F2844" i="6" s="1"/>
  <c r="E2843" i="6"/>
  <c r="F2843" i="6" s="1"/>
  <c r="E2842" i="6"/>
  <c r="F2842" i="6" s="1"/>
  <c r="E2841" i="6"/>
  <c r="F2841" i="6" s="1"/>
  <c r="E2840" i="6"/>
  <c r="F2840" i="6" s="1"/>
  <c r="E2839" i="6"/>
  <c r="F2839" i="6" s="1"/>
  <c r="E2838" i="6"/>
  <c r="F2838" i="6" s="1"/>
  <c r="E2837" i="6"/>
  <c r="F2837" i="6" s="1"/>
  <c r="E2836" i="6"/>
  <c r="F2836" i="6" s="1"/>
  <c r="E2835" i="6"/>
  <c r="F2835" i="6" s="1"/>
  <c r="E2834" i="6"/>
  <c r="F2834" i="6" s="1"/>
  <c r="E2833" i="6"/>
  <c r="F2833" i="6" s="1"/>
  <c r="E2832" i="6"/>
  <c r="F2832" i="6" s="1"/>
  <c r="E2831" i="6"/>
  <c r="F2831" i="6" s="1"/>
  <c r="E2830" i="6"/>
  <c r="F2830" i="6" s="1"/>
  <c r="E2829" i="6"/>
  <c r="F2829" i="6" s="1"/>
  <c r="E2828" i="6"/>
  <c r="F2828" i="6" s="1"/>
  <c r="E2827" i="6"/>
  <c r="F2827" i="6" s="1"/>
  <c r="E2826" i="6"/>
  <c r="F2826" i="6" s="1"/>
  <c r="E2825" i="6"/>
  <c r="F2825" i="6" s="1"/>
  <c r="E2824" i="6"/>
  <c r="F2824" i="6" s="1"/>
  <c r="E2823" i="6"/>
  <c r="F2823" i="6" s="1"/>
  <c r="E2822" i="6"/>
  <c r="F2822" i="6" s="1"/>
  <c r="E2821" i="6"/>
  <c r="F2821" i="6" s="1"/>
  <c r="E2820" i="6"/>
  <c r="F2820" i="6" s="1"/>
  <c r="E2819" i="6"/>
  <c r="F2819" i="6" s="1"/>
  <c r="E2818" i="6"/>
  <c r="F2818" i="6" s="1"/>
  <c r="E2817" i="6"/>
  <c r="F2817" i="6" s="1"/>
  <c r="E2816" i="6"/>
  <c r="F2816" i="6" s="1"/>
  <c r="E2815" i="6"/>
  <c r="F2815" i="6" s="1"/>
  <c r="E2814" i="6"/>
  <c r="F2814" i="6" s="1"/>
  <c r="E2813" i="6"/>
  <c r="F2813" i="6" s="1"/>
  <c r="E2812" i="6"/>
  <c r="F2812" i="6" s="1"/>
  <c r="E2811" i="6"/>
  <c r="F2811" i="6" s="1"/>
  <c r="E2810" i="6"/>
  <c r="F2810" i="6" s="1"/>
  <c r="E2809" i="6"/>
  <c r="F2809" i="6" s="1"/>
  <c r="E2808" i="6"/>
  <c r="F2808" i="6" s="1"/>
  <c r="E2807" i="6"/>
  <c r="F2807" i="6" s="1"/>
  <c r="E2806" i="6"/>
  <c r="F2806" i="6" s="1"/>
  <c r="E2805" i="6"/>
  <c r="F2805" i="6" s="1"/>
  <c r="E2804" i="6"/>
  <c r="F2804" i="6" s="1"/>
  <c r="E2803" i="6"/>
  <c r="F2803" i="6" s="1"/>
  <c r="E2802" i="6"/>
  <c r="F2802" i="6" s="1"/>
  <c r="E2801" i="6"/>
  <c r="F2801" i="6" s="1"/>
  <c r="E2800" i="6"/>
  <c r="F2800" i="6" s="1"/>
  <c r="E2799" i="6"/>
  <c r="F2799" i="6" s="1"/>
  <c r="E2798" i="6"/>
  <c r="F2798" i="6" s="1"/>
  <c r="E2797" i="6"/>
  <c r="F2797" i="6" s="1"/>
  <c r="E2796" i="6"/>
  <c r="F2796" i="6" s="1"/>
  <c r="E2795" i="6"/>
  <c r="F2795" i="6" s="1"/>
  <c r="E2794" i="6"/>
  <c r="F2794" i="6" s="1"/>
  <c r="E2793" i="6"/>
  <c r="F2793" i="6" s="1"/>
  <c r="E2792" i="6"/>
  <c r="F2792" i="6" s="1"/>
  <c r="E2791" i="6"/>
  <c r="F2791" i="6" s="1"/>
  <c r="E2790" i="6"/>
  <c r="F2790" i="6" s="1"/>
  <c r="E2789" i="6"/>
  <c r="F2789" i="6" s="1"/>
  <c r="E2788" i="6"/>
  <c r="F2788" i="6" s="1"/>
  <c r="E2787" i="6"/>
  <c r="F2787" i="6" s="1"/>
  <c r="E2786" i="6"/>
  <c r="F2786" i="6" s="1"/>
  <c r="E2785" i="6"/>
  <c r="F2785" i="6" s="1"/>
  <c r="E2784" i="6"/>
  <c r="F2784" i="6" s="1"/>
  <c r="E2783" i="6"/>
  <c r="F2783" i="6" s="1"/>
  <c r="E2782" i="6"/>
  <c r="F2782" i="6" s="1"/>
  <c r="E2781" i="6"/>
  <c r="F2781" i="6" s="1"/>
  <c r="E2780" i="6"/>
  <c r="F2780" i="6" s="1"/>
  <c r="E2779" i="6"/>
  <c r="F2779" i="6" s="1"/>
  <c r="E2778" i="6"/>
  <c r="F2778" i="6" s="1"/>
  <c r="E2777" i="6"/>
  <c r="F2777" i="6" s="1"/>
  <c r="E2776" i="6"/>
  <c r="F2776" i="6" s="1"/>
  <c r="E2775" i="6"/>
  <c r="F2775" i="6" s="1"/>
  <c r="E2774" i="6"/>
  <c r="F2774" i="6" s="1"/>
  <c r="E2773" i="6"/>
  <c r="F2773" i="6" s="1"/>
  <c r="E2772" i="6"/>
  <c r="F2772" i="6" s="1"/>
  <c r="E2771" i="6"/>
  <c r="F2771" i="6" s="1"/>
  <c r="E2770" i="6"/>
  <c r="F2770" i="6" s="1"/>
  <c r="E2769" i="6"/>
  <c r="F2769" i="6" s="1"/>
  <c r="E2768" i="6"/>
  <c r="F2768" i="6" s="1"/>
  <c r="E2767" i="6"/>
  <c r="F2767" i="6" s="1"/>
  <c r="E2766" i="6"/>
  <c r="F2766" i="6" s="1"/>
  <c r="E2765" i="6"/>
  <c r="F2765" i="6" s="1"/>
  <c r="E2764" i="6"/>
  <c r="F2764" i="6" s="1"/>
  <c r="E2763" i="6"/>
  <c r="F2763" i="6" s="1"/>
  <c r="E2762" i="6"/>
  <c r="F2762" i="6" s="1"/>
  <c r="E2761" i="6"/>
  <c r="F2761" i="6" s="1"/>
  <c r="E2760" i="6"/>
  <c r="F2760" i="6" s="1"/>
  <c r="E2759" i="6"/>
  <c r="F2759" i="6" s="1"/>
  <c r="E2758" i="6"/>
  <c r="F2758" i="6" s="1"/>
  <c r="E2757" i="6"/>
  <c r="F2757" i="6" s="1"/>
  <c r="E2756" i="6"/>
  <c r="F2756" i="6" s="1"/>
  <c r="E2755" i="6"/>
  <c r="F2755" i="6" s="1"/>
  <c r="E2754" i="6"/>
  <c r="F2754" i="6" s="1"/>
  <c r="E2753" i="6"/>
  <c r="F2753" i="6" s="1"/>
  <c r="E2752" i="6"/>
  <c r="F2752" i="6" s="1"/>
  <c r="E2751" i="6"/>
  <c r="F2751" i="6" s="1"/>
  <c r="E2750" i="6"/>
  <c r="F2750" i="6" s="1"/>
  <c r="E2749" i="6"/>
  <c r="F2749" i="6" s="1"/>
  <c r="E2748" i="6"/>
  <c r="F2748" i="6" s="1"/>
  <c r="E2747" i="6"/>
  <c r="F2747" i="6" s="1"/>
  <c r="E2746" i="6"/>
  <c r="F2746" i="6" s="1"/>
  <c r="E2745" i="6"/>
  <c r="F2745" i="6" s="1"/>
  <c r="E2744" i="6"/>
  <c r="F2744" i="6" s="1"/>
  <c r="E2743" i="6"/>
  <c r="F2743" i="6" s="1"/>
  <c r="E2742" i="6"/>
  <c r="F2742" i="6" s="1"/>
  <c r="E2741" i="6"/>
  <c r="F2741" i="6" s="1"/>
  <c r="E2740" i="6"/>
  <c r="F2740" i="6" s="1"/>
  <c r="E2739" i="6"/>
  <c r="F2739" i="6" s="1"/>
  <c r="E2738" i="6"/>
  <c r="F2738" i="6" s="1"/>
  <c r="E2737" i="6"/>
  <c r="F2737" i="6" s="1"/>
  <c r="E2736" i="6"/>
  <c r="F2736" i="6" s="1"/>
  <c r="E2735" i="6"/>
  <c r="F2735" i="6" s="1"/>
  <c r="E2734" i="6"/>
  <c r="F2734" i="6" s="1"/>
  <c r="E2733" i="6"/>
  <c r="F2733" i="6" s="1"/>
  <c r="E2732" i="6"/>
  <c r="F2732" i="6" s="1"/>
  <c r="E2731" i="6"/>
  <c r="F2731" i="6" s="1"/>
  <c r="E2730" i="6"/>
  <c r="F2730" i="6" s="1"/>
  <c r="E2729" i="6"/>
  <c r="F2729" i="6" s="1"/>
  <c r="E2728" i="6"/>
  <c r="F2728" i="6" s="1"/>
  <c r="E2727" i="6"/>
  <c r="F2727" i="6" s="1"/>
  <c r="E2726" i="6"/>
  <c r="F2726" i="6" s="1"/>
  <c r="E2725" i="6"/>
  <c r="F2725" i="6" s="1"/>
  <c r="E2724" i="6"/>
  <c r="F2724" i="6" s="1"/>
  <c r="E2723" i="6"/>
  <c r="F2723" i="6" s="1"/>
  <c r="E2722" i="6"/>
  <c r="F2722" i="6" s="1"/>
  <c r="E2721" i="6"/>
  <c r="F2721" i="6" s="1"/>
  <c r="E2720" i="6"/>
  <c r="F2720" i="6" s="1"/>
  <c r="E2719" i="6"/>
  <c r="F2719" i="6" s="1"/>
  <c r="E2718" i="6"/>
  <c r="F2718" i="6" s="1"/>
  <c r="E2717" i="6"/>
  <c r="F2717" i="6" s="1"/>
  <c r="E2716" i="6"/>
  <c r="F2716" i="6" s="1"/>
  <c r="E2715" i="6"/>
  <c r="F2715" i="6" s="1"/>
  <c r="E2714" i="6"/>
  <c r="F2714" i="6" s="1"/>
  <c r="E2713" i="6"/>
  <c r="F2713" i="6" s="1"/>
  <c r="E2712" i="6"/>
  <c r="F2712" i="6" s="1"/>
  <c r="E2711" i="6"/>
  <c r="F2711" i="6" s="1"/>
  <c r="E2710" i="6"/>
  <c r="F2710" i="6" s="1"/>
  <c r="E2709" i="6"/>
  <c r="F2709" i="6" s="1"/>
  <c r="E2708" i="6"/>
  <c r="F2708" i="6" s="1"/>
  <c r="E2707" i="6"/>
  <c r="F2707" i="6" s="1"/>
  <c r="E2706" i="6"/>
  <c r="F2706" i="6" s="1"/>
  <c r="E2705" i="6"/>
  <c r="F2705" i="6" s="1"/>
  <c r="E2704" i="6"/>
  <c r="F2704" i="6" s="1"/>
  <c r="E2703" i="6"/>
  <c r="F2703" i="6" s="1"/>
  <c r="E2702" i="6"/>
  <c r="F2702" i="6" s="1"/>
  <c r="E2701" i="6"/>
  <c r="F2701" i="6" s="1"/>
  <c r="E2700" i="6"/>
  <c r="F2700" i="6" s="1"/>
  <c r="E2699" i="6"/>
  <c r="F2699" i="6" s="1"/>
  <c r="E2698" i="6"/>
  <c r="F2698" i="6" s="1"/>
  <c r="E2697" i="6"/>
  <c r="F2697" i="6" s="1"/>
  <c r="E2696" i="6"/>
  <c r="F2696" i="6" s="1"/>
  <c r="E2695" i="6"/>
  <c r="F2695" i="6" s="1"/>
  <c r="E2694" i="6"/>
  <c r="F2694" i="6" s="1"/>
  <c r="E2693" i="6"/>
  <c r="F2693" i="6" s="1"/>
  <c r="E2692" i="6"/>
  <c r="F2692" i="6" s="1"/>
  <c r="E2691" i="6"/>
  <c r="F2691" i="6" s="1"/>
  <c r="E2690" i="6"/>
  <c r="F2690" i="6" s="1"/>
  <c r="E2689" i="6"/>
  <c r="F2689" i="6" s="1"/>
  <c r="E2688" i="6"/>
  <c r="F2688" i="6" s="1"/>
  <c r="E2687" i="6"/>
  <c r="F2687" i="6" s="1"/>
  <c r="E2686" i="6"/>
  <c r="F2686" i="6" s="1"/>
  <c r="E2685" i="6"/>
  <c r="F2685" i="6" s="1"/>
  <c r="E2684" i="6"/>
  <c r="F2684" i="6" s="1"/>
  <c r="E2683" i="6"/>
  <c r="F2683" i="6" s="1"/>
  <c r="E2682" i="6"/>
  <c r="F2682" i="6" s="1"/>
  <c r="E2681" i="6"/>
  <c r="F2681" i="6" s="1"/>
  <c r="E2680" i="6"/>
  <c r="F2680" i="6" s="1"/>
  <c r="E2679" i="6"/>
  <c r="F2679" i="6" s="1"/>
  <c r="E2678" i="6"/>
  <c r="F2678" i="6" s="1"/>
  <c r="E2677" i="6"/>
  <c r="F2677" i="6" s="1"/>
  <c r="E2676" i="6"/>
  <c r="F2676" i="6" s="1"/>
  <c r="E2675" i="6"/>
  <c r="F2675" i="6" s="1"/>
  <c r="E2674" i="6"/>
  <c r="F2674" i="6" s="1"/>
  <c r="E2673" i="6"/>
  <c r="F2673" i="6" s="1"/>
  <c r="E2672" i="6"/>
  <c r="F2672" i="6" s="1"/>
  <c r="E2671" i="6"/>
  <c r="F2671" i="6" s="1"/>
  <c r="E2670" i="6"/>
  <c r="F2670" i="6" s="1"/>
  <c r="E2669" i="6"/>
  <c r="F2669" i="6" s="1"/>
  <c r="E2668" i="6"/>
  <c r="F2668" i="6" s="1"/>
  <c r="E2667" i="6"/>
  <c r="F2667" i="6" s="1"/>
  <c r="E2666" i="6"/>
  <c r="F2666" i="6" s="1"/>
  <c r="E2665" i="6"/>
  <c r="F2665" i="6" s="1"/>
  <c r="E2664" i="6"/>
  <c r="F2664" i="6" s="1"/>
  <c r="E2663" i="6"/>
  <c r="F2663" i="6" s="1"/>
  <c r="E2662" i="6"/>
  <c r="F2662" i="6" s="1"/>
  <c r="E2661" i="6"/>
  <c r="F2661" i="6" s="1"/>
  <c r="E2660" i="6"/>
  <c r="F2660" i="6" s="1"/>
  <c r="E2659" i="6"/>
  <c r="F2659" i="6" s="1"/>
  <c r="E2658" i="6"/>
  <c r="F2658" i="6" s="1"/>
  <c r="E2657" i="6"/>
  <c r="F2657" i="6" s="1"/>
  <c r="E2656" i="6"/>
  <c r="F2656" i="6" s="1"/>
  <c r="E2655" i="6"/>
  <c r="F2655" i="6" s="1"/>
  <c r="E2654" i="6"/>
  <c r="F2654" i="6" s="1"/>
  <c r="E2653" i="6"/>
  <c r="F2653" i="6" s="1"/>
  <c r="E2652" i="6"/>
  <c r="F2652" i="6" s="1"/>
  <c r="E2651" i="6"/>
  <c r="F2651" i="6" s="1"/>
  <c r="E2650" i="6"/>
  <c r="F2650" i="6" s="1"/>
  <c r="E2649" i="6"/>
  <c r="F2649" i="6" s="1"/>
  <c r="E2648" i="6"/>
  <c r="F2648" i="6" s="1"/>
  <c r="E2647" i="6"/>
  <c r="F2647" i="6" s="1"/>
  <c r="E2646" i="6"/>
  <c r="F2646" i="6" s="1"/>
  <c r="E2645" i="6"/>
  <c r="F2645" i="6" s="1"/>
  <c r="E2644" i="6"/>
  <c r="F2644" i="6" s="1"/>
  <c r="E2643" i="6"/>
  <c r="F2643" i="6" s="1"/>
  <c r="E2642" i="6"/>
  <c r="F2642" i="6" s="1"/>
  <c r="E2641" i="6"/>
  <c r="F2641" i="6" s="1"/>
  <c r="E2640" i="6"/>
  <c r="F2640" i="6" s="1"/>
  <c r="E2639" i="6"/>
  <c r="F2639" i="6" s="1"/>
  <c r="E2638" i="6"/>
  <c r="F2638" i="6" s="1"/>
  <c r="E2637" i="6"/>
  <c r="F2637" i="6" s="1"/>
  <c r="E2636" i="6"/>
  <c r="F2636" i="6" s="1"/>
  <c r="E2635" i="6"/>
  <c r="F2635" i="6" s="1"/>
  <c r="E2634" i="6"/>
  <c r="F2634" i="6" s="1"/>
  <c r="E2633" i="6"/>
  <c r="F2633" i="6" s="1"/>
  <c r="E2632" i="6"/>
  <c r="F2632" i="6" s="1"/>
  <c r="E2631" i="6"/>
  <c r="F2631" i="6" s="1"/>
  <c r="E2630" i="6"/>
  <c r="F2630" i="6" s="1"/>
  <c r="E2629" i="6"/>
  <c r="F2629" i="6" s="1"/>
  <c r="E2628" i="6"/>
  <c r="F2628" i="6" s="1"/>
  <c r="E2627" i="6"/>
  <c r="F2627" i="6" s="1"/>
  <c r="E2626" i="6"/>
  <c r="F2626" i="6" s="1"/>
  <c r="E2625" i="6"/>
  <c r="F2625" i="6" s="1"/>
  <c r="E2624" i="6"/>
  <c r="F2624" i="6" s="1"/>
  <c r="E2623" i="6"/>
  <c r="F2623" i="6" s="1"/>
  <c r="E2622" i="6"/>
  <c r="F2622" i="6" s="1"/>
  <c r="E2621" i="6"/>
  <c r="F2621" i="6" s="1"/>
  <c r="E2620" i="6"/>
  <c r="F2620" i="6" s="1"/>
  <c r="E2619" i="6"/>
  <c r="F2619" i="6" s="1"/>
  <c r="E2618" i="6"/>
  <c r="F2618" i="6" s="1"/>
  <c r="E2617" i="6"/>
  <c r="F2617" i="6" s="1"/>
  <c r="E2616" i="6"/>
  <c r="F2616" i="6" s="1"/>
  <c r="E2615" i="6"/>
  <c r="F2615" i="6" s="1"/>
  <c r="E2614" i="6"/>
  <c r="F2614" i="6" s="1"/>
  <c r="E2613" i="6"/>
  <c r="F2613" i="6" s="1"/>
  <c r="E2612" i="6"/>
  <c r="F2612" i="6" s="1"/>
  <c r="E2611" i="6"/>
  <c r="F2611" i="6" s="1"/>
  <c r="E2610" i="6"/>
  <c r="F2610" i="6" s="1"/>
  <c r="E2609" i="6"/>
  <c r="F2609" i="6" s="1"/>
  <c r="E2608" i="6"/>
  <c r="F2608" i="6" s="1"/>
  <c r="E2607" i="6"/>
  <c r="F2607" i="6" s="1"/>
  <c r="E2606" i="6"/>
  <c r="F2606" i="6" s="1"/>
  <c r="E2605" i="6"/>
  <c r="F2605" i="6" s="1"/>
  <c r="E2604" i="6"/>
  <c r="F2604" i="6" s="1"/>
  <c r="E2603" i="6"/>
  <c r="F2603" i="6" s="1"/>
  <c r="E2602" i="6"/>
  <c r="F2602" i="6" s="1"/>
  <c r="E2601" i="6"/>
  <c r="F2601" i="6" s="1"/>
  <c r="E2600" i="6"/>
  <c r="F2600" i="6" s="1"/>
  <c r="E2599" i="6"/>
  <c r="F2599" i="6" s="1"/>
  <c r="E2598" i="6"/>
  <c r="F2598" i="6" s="1"/>
  <c r="E2597" i="6"/>
  <c r="F2597" i="6" s="1"/>
  <c r="E2596" i="6"/>
  <c r="F2596" i="6" s="1"/>
  <c r="E2595" i="6"/>
  <c r="F2595" i="6" s="1"/>
  <c r="E2594" i="6"/>
  <c r="F2594" i="6" s="1"/>
  <c r="E2593" i="6"/>
  <c r="F2593" i="6" s="1"/>
  <c r="E2592" i="6"/>
  <c r="F2592" i="6" s="1"/>
  <c r="E2591" i="6"/>
  <c r="F2591" i="6" s="1"/>
  <c r="E2590" i="6"/>
  <c r="F2590" i="6" s="1"/>
  <c r="E2589" i="6"/>
  <c r="F2589" i="6" s="1"/>
  <c r="E2588" i="6"/>
  <c r="F2588" i="6" s="1"/>
  <c r="E2587" i="6"/>
  <c r="F2587" i="6" s="1"/>
  <c r="E2586" i="6"/>
  <c r="F2586" i="6" s="1"/>
  <c r="E2585" i="6"/>
  <c r="F2585" i="6" s="1"/>
  <c r="E2584" i="6"/>
  <c r="F2584" i="6" s="1"/>
  <c r="E2583" i="6"/>
  <c r="F2583" i="6" s="1"/>
  <c r="E2582" i="6"/>
  <c r="F2582" i="6" s="1"/>
  <c r="E2581" i="6"/>
  <c r="F2581" i="6" s="1"/>
  <c r="E2580" i="6"/>
  <c r="F2580" i="6" s="1"/>
  <c r="E2579" i="6"/>
  <c r="F2579" i="6" s="1"/>
  <c r="E2578" i="6"/>
  <c r="F2578" i="6" s="1"/>
  <c r="E2577" i="6"/>
  <c r="F2577" i="6" s="1"/>
  <c r="E2576" i="6"/>
  <c r="F2576" i="6" s="1"/>
  <c r="E2575" i="6"/>
  <c r="F2575" i="6" s="1"/>
  <c r="E2574" i="6"/>
  <c r="F2574" i="6" s="1"/>
  <c r="E2573" i="6"/>
  <c r="F2573" i="6" s="1"/>
  <c r="E2572" i="6"/>
  <c r="F2572" i="6" s="1"/>
  <c r="E2571" i="6"/>
  <c r="F2571" i="6" s="1"/>
  <c r="E2570" i="6"/>
  <c r="F2570" i="6" s="1"/>
  <c r="E2569" i="6"/>
  <c r="F2569" i="6" s="1"/>
  <c r="E2568" i="6"/>
  <c r="F2568" i="6" s="1"/>
  <c r="E2567" i="6"/>
  <c r="F2567" i="6" s="1"/>
  <c r="E2566" i="6"/>
  <c r="F2566" i="6" s="1"/>
  <c r="E2565" i="6"/>
  <c r="F2565" i="6" s="1"/>
  <c r="E2564" i="6"/>
  <c r="F2564" i="6" s="1"/>
  <c r="E2563" i="6"/>
  <c r="F2563" i="6" s="1"/>
  <c r="E2562" i="6"/>
  <c r="F2562" i="6" s="1"/>
  <c r="E2561" i="6"/>
  <c r="F2561" i="6" s="1"/>
  <c r="E2560" i="6"/>
  <c r="F2560" i="6" s="1"/>
  <c r="E2559" i="6"/>
  <c r="F2559" i="6" s="1"/>
  <c r="E2558" i="6"/>
  <c r="F2558" i="6" s="1"/>
  <c r="E2557" i="6"/>
  <c r="F2557" i="6" s="1"/>
  <c r="E2556" i="6"/>
  <c r="F2556" i="6" s="1"/>
  <c r="E2555" i="6"/>
  <c r="F2555" i="6" s="1"/>
  <c r="E2554" i="6"/>
  <c r="F2554" i="6" s="1"/>
  <c r="E2553" i="6"/>
  <c r="F2553" i="6" s="1"/>
  <c r="E2552" i="6"/>
  <c r="F2552" i="6" s="1"/>
  <c r="E2551" i="6"/>
  <c r="F2551" i="6" s="1"/>
  <c r="E2550" i="6"/>
  <c r="F2550" i="6" s="1"/>
  <c r="E2549" i="6"/>
  <c r="F2549" i="6" s="1"/>
  <c r="E2548" i="6"/>
  <c r="F2548" i="6" s="1"/>
  <c r="E2547" i="6"/>
  <c r="F2547" i="6" s="1"/>
  <c r="E2546" i="6"/>
  <c r="F2546" i="6" s="1"/>
  <c r="E2545" i="6"/>
  <c r="F2545" i="6" s="1"/>
  <c r="E2544" i="6"/>
  <c r="F2544" i="6" s="1"/>
  <c r="E2543" i="6"/>
  <c r="F2543" i="6" s="1"/>
  <c r="E2542" i="6"/>
  <c r="F2542" i="6" s="1"/>
  <c r="E2541" i="6"/>
  <c r="F2541" i="6" s="1"/>
  <c r="E2540" i="6"/>
  <c r="F2540" i="6" s="1"/>
  <c r="E2539" i="6"/>
  <c r="F2539" i="6" s="1"/>
  <c r="E2538" i="6"/>
  <c r="F2538" i="6" s="1"/>
  <c r="E2537" i="6"/>
  <c r="F2537" i="6" s="1"/>
  <c r="E2536" i="6"/>
  <c r="F2536" i="6" s="1"/>
  <c r="E2535" i="6"/>
  <c r="F2535" i="6" s="1"/>
  <c r="E2534" i="6"/>
  <c r="F2534" i="6" s="1"/>
  <c r="E2533" i="6"/>
  <c r="F2533" i="6" s="1"/>
  <c r="E2532" i="6"/>
  <c r="F2532" i="6" s="1"/>
  <c r="E2531" i="6"/>
  <c r="F2531" i="6" s="1"/>
  <c r="E2530" i="6"/>
  <c r="F2530" i="6" s="1"/>
  <c r="E2529" i="6"/>
  <c r="F2529" i="6" s="1"/>
  <c r="E2528" i="6"/>
  <c r="F2528" i="6" s="1"/>
  <c r="E2527" i="6"/>
  <c r="F2527" i="6" s="1"/>
  <c r="E2526" i="6"/>
  <c r="F2526" i="6" s="1"/>
  <c r="E2525" i="6"/>
  <c r="F2525" i="6" s="1"/>
  <c r="E2524" i="6"/>
  <c r="F2524" i="6" s="1"/>
  <c r="E2523" i="6"/>
  <c r="F2523" i="6" s="1"/>
  <c r="E2522" i="6"/>
  <c r="F2522" i="6" s="1"/>
  <c r="E2521" i="6"/>
  <c r="F2521" i="6" s="1"/>
  <c r="E2520" i="6"/>
  <c r="F2520" i="6" s="1"/>
  <c r="E2519" i="6"/>
  <c r="F2519" i="6" s="1"/>
  <c r="E2518" i="6"/>
  <c r="F2518" i="6" s="1"/>
  <c r="E2517" i="6"/>
  <c r="F2517" i="6" s="1"/>
  <c r="E2516" i="6"/>
  <c r="F2516" i="6" s="1"/>
  <c r="E2515" i="6"/>
  <c r="F2515" i="6" s="1"/>
  <c r="E2514" i="6"/>
  <c r="F2514" i="6" s="1"/>
  <c r="E2513" i="6"/>
  <c r="F2513" i="6" s="1"/>
  <c r="E2512" i="6"/>
  <c r="F2512" i="6" s="1"/>
  <c r="E2511" i="6"/>
  <c r="F2511" i="6" s="1"/>
  <c r="E2510" i="6"/>
  <c r="F2510" i="6" s="1"/>
  <c r="E2509" i="6"/>
  <c r="F2509" i="6" s="1"/>
  <c r="E2508" i="6"/>
  <c r="F2508" i="6" s="1"/>
  <c r="E2507" i="6"/>
  <c r="F2507" i="6" s="1"/>
  <c r="E2506" i="6"/>
  <c r="F2506" i="6" s="1"/>
  <c r="E2505" i="6"/>
  <c r="F2505" i="6" s="1"/>
  <c r="E2504" i="6"/>
  <c r="F2504" i="6" s="1"/>
  <c r="E2503" i="6"/>
  <c r="F2503" i="6" s="1"/>
  <c r="E2502" i="6"/>
  <c r="F2502" i="6" s="1"/>
  <c r="E2501" i="6"/>
  <c r="F2501" i="6" s="1"/>
  <c r="E2500" i="6"/>
  <c r="F2500" i="6" s="1"/>
  <c r="E2499" i="6"/>
  <c r="F2499" i="6" s="1"/>
  <c r="E2498" i="6"/>
  <c r="F2498" i="6" s="1"/>
  <c r="E2497" i="6"/>
  <c r="F2497" i="6" s="1"/>
  <c r="E2496" i="6"/>
  <c r="F2496" i="6" s="1"/>
  <c r="E2495" i="6"/>
  <c r="F2495" i="6" s="1"/>
  <c r="E2494" i="6"/>
  <c r="F2494" i="6" s="1"/>
  <c r="E2493" i="6"/>
  <c r="F2493" i="6" s="1"/>
  <c r="E2492" i="6"/>
  <c r="F2492" i="6" s="1"/>
  <c r="E2491" i="6"/>
  <c r="F2491" i="6" s="1"/>
  <c r="E2490" i="6"/>
  <c r="F2490" i="6" s="1"/>
  <c r="E2489" i="6"/>
  <c r="F2489" i="6" s="1"/>
  <c r="E2488" i="6"/>
  <c r="F2488" i="6" s="1"/>
  <c r="E2487" i="6"/>
  <c r="F2487" i="6" s="1"/>
  <c r="E2486" i="6"/>
  <c r="F2486" i="6" s="1"/>
  <c r="E2485" i="6"/>
  <c r="F2485" i="6" s="1"/>
  <c r="E2484" i="6"/>
  <c r="F2484" i="6" s="1"/>
  <c r="E2483" i="6"/>
  <c r="F2483" i="6" s="1"/>
  <c r="E2482" i="6"/>
  <c r="F2482" i="6" s="1"/>
  <c r="E2481" i="6"/>
  <c r="F2481" i="6" s="1"/>
  <c r="E2480" i="6"/>
  <c r="F2480" i="6" s="1"/>
  <c r="E2479" i="6"/>
  <c r="F2479" i="6" s="1"/>
  <c r="E2478" i="6"/>
  <c r="F2478" i="6" s="1"/>
  <c r="E2477" i="6"/>
  <c r="F2477" i="6" s="1"/>
  <c r="E2476" i="6"/>
  <c r="F2476" i="6" s="1"/>
  <c r="E2475" i="6"/>
  <c r="F2475" i="6" s="1"/>
  <c r="E2474" i="6"/>
  <c r="F2474" i="6" s="1"/>
  <c r="E2473" i="6"/>
  <c r="F2473" i="6" s="1"/>
  <c r="E2472" i="6"/>
  <c r="F2472" i="6" s="1"/>
  <c r="E2471" i="6"/>
  <c r="F2471" i="6" s="1"/>
  <c r="E2470" i="6"/>
  <c r="F2470" i="6" s="1"/>
  <c r="E2469" i="6"/>
  <c r="F2469" i="6" s="1"/>
  <c r="E2468" i="6"/>
  <c r="F2468" i="6" s="1"/>
  <c r="E2467" i="6"/>
  <c r="F2467" i="6" s="1"/>
  <c r="E2466" i="6"/>
  <c r="F2466" i="6" s="1"/>
  <c r="E2465" i="6"/>
  <c r="F2465" i="6" s="1"/>
  <c r="E2464" i="6"/>
  <c r="F2464" i="6" s="1"/>
  <c r="E2463" i="6"/>
  <c r="F2463" i="6" s="1"/>
  <c r="E2462" i="6"/>
  <c r="F2462" i="6" s="1"/>
  <c r="E2461" i="6"/>
  <c r="F2461" i="6" s="1"/>
  <c r="E2460" i="6"/>
  <c r="F2460" i="6" s="1"/>
  <c r="E2459" i="6"/>
  <c r="F2459" i="6" s="1"/>
  <c r="E2458" i="6"/>
  <c r="F2458" i="6" s="1"/>
  <c r="E2457" i="6"/>
  <c r="F2457" i="6" s="1"/>
  <c r="E2456" i="6"/>
  <c r="F2456" i="6" s="1"/>
  <c r="E2455" i="6"/>
  <c r="F2455" i="6" s="1"/>
  <c r="E2454" i="6"/>
  <c r="F2454" i="6" s="1"/>
  <c r="E2453" i="6"/>
  <c r="F2453" i="6" s="1"/>
  <c r="E2452" i="6"/>
  <c r="F2452" i="6" s="1"/>
  <c r="E2451" i="6"/>
  <c r="F2451" i="6" s="1"/>
  <c r="E2450" i="6"/>
  <c r="F2450" i="6" s="1"/>
  <c r="E2449" i="6"/>
  <c r="F2449" i="6" s="1"/>
  <c r="E2448" i="6"/>
  <c r="F2448" i="6" s="1"/>
  <c r="E2447" i="6"/>
  <c r="F2447" i="6" s="1"/>
  <c r="E2446" i="6"/>
  <c r="F2446" i="6" s="1"/>
  <c r="E2445" i="6"/>
  <c r="F2445" i="6" s="1"/>
  <c r="E2444" i="6"/>
  <c r="F2444" i="6" s="1"/>
  <c r="E2443" i="6"/>
  <c r="F2443" i="6" s="1"/>
  <c r="E2442" i="6"/>
  <c r="F2442" i="6" s="1"/>
  <c r="E2441" i="6"/>
  <c r="F2441" i="6" s="1"/>
  <c r="E2440" i="6"/>
  <c r="F2440" i="6" s="1"/>
  <c r="E2439" i="6"/>
  <c r="F2439" i="6" s="1"/>
  <c r="E2438" i="6"/>
  <c r="F2438" i="6" s="1"/>
  <c r="E2437" i="6"/>
  <c r="F2437" i="6" s="1"/>
  <c r="E2436" i="6"/>
  <c r="F2436" i="6" s="1"/>
  <c r="E2435" i="6"/>
  <c r="F2435" i="6" s="1"/>
  <c r="E2434" i="6"/>
  <c r="F2434" i="6" s="1"/>
  <c r="E2433" i="6"/>
  <c r="F2433" i="6" s="1"/>
  <c r="E2432" i="6"/>
  <c r="F2432" i="6" s="1"/>
  <c r="E2431" i="6"/>
  <c r="F2431" i="6" s="1"/>
  <c r="E2430" i="6"/>
  <c r="F2430" i="6" s="1"/>
  <c r="E2429" i="6"/>
  <c r="F2429" i="6" s="1"/>
  <c r="E2428" i="6"/>
  <c r="F2428" i="6" s="1"/>
  <c r="E2427" i="6"/>
  <c r="F2427" i="6" s="1"/>
  <c r="E2426" i="6"/>
  <c r="F2426" i="6" s="1"/>
  <c r="E2425" i="6"/>
  <c r="F2425" i="6" s="1"/>
  <c r="E2424" i="6"/>
  <c r="F2424" i="6" s="1"/>
  <c r="E2423" i="6"/>
  <c r="F2423" i="6" s="1"/>
  <c r="E2422" i="6"/>
  <c r="F2422" i="6" s="1"/>
  <c r="E2421" i="6"/>
  <c r="F2421" i="6" s="1"/>
  <c r="E2420" i="6"/>
  <c r="F2420" i="6" s="1"/>
  <c r="E2419" i="6"/>
  <c r="F2419" i="6" s="1"/>
  <c r="E2418" i="6"/>
  <c r="F2418" i="6" s="1"/>
  <c r="E2417" i="6"/>
  <c r="F2417" i="6" s="1"/>
  <c r="E2416" i="6"/>
  <c r="F2416" i="6" s="1"/>
  <c r="E2415" i="6"/>
  <c r="F2415" i="6" s="1"/>
  <c r="E2414" i="6"/>
  <c r="F2414" i="6" s="1"/>
  <c r="E2413" i="6"/>
  <c r="F2413" i="6" s="1"/>
  <c r="E2412" i="6"/>
  <c r="F2412" i="6" s="1"/>
  <c r="E2411" i="6"/>
  <c r="F2411" i="6" s="1"/>
  <c r="E2410" i="6"/>
  <c r="F2410" i="6" s="1"/>
  <c r="E2409" i="6"/>
  <c r="F2409" i="6" s="1"/>
  <c r="E2408" i="6"/>
  <c r="F2408" i="6" s="1"/>
  <c r="E2407" i="6"/>
  <c r="F2407" i="6" s="1"/>
  <c r="E2406" i="6"/>
  <c r="F2406" i="6" s="1"/>
  <c r="E2405" i="6"/>
  <c r="F2405" i="6" s="1"/>
  <c r="E2404" i="6"/>
  <c r="F2404" i="6" s="1"/>
  <c r="E2403" i="6"/>
  <c r="F2403" i="6" s="1"/>
  <c r="E2402" i="6"/>
  <c r="F2402" i="6" s="1"/>
  <c r="E2401" i="6"/>
  <c r="F2401" i="6" s="1"/>
  <c r="E2400" i="6"/>
  <c r="F2400" i="6" s="1"/>
  <c r="E2399" i="6"/>
  <c r="F2399" i="6" s="1"/>
  <c r="E2398" i="6"/>
  <c r="F2398" i="6" s="1"/>
  <c r="E2397" i="6"/>
  <c r="F2397" i="6" s="1"/>
  <c r="E2396" i="6"/>
  <c r="F2396" i="6" s="1"/>
  <c r="E2395" i="6"/>
  <c r="F2395" i="6" s="1"/>
  <c r="E2394" i="6"/>
  <c r="F2394" i="6" s="1"/>
  <c r="E2393" i="6"/>
  <c r="F2393" i="6" s="1"/>
  <c r="E2392" i="6"/>
  <c r="F2392" i="6" s="1"/>
  <c r="E2391" i="6"/>
  <c r="F2391" i="6" s="1"/>
  <c r="E2390" i="6"/>
  <c r="F2390" i="6" s="1"/>
  <c r="E2389" i="6"/>
  <c r="F2389" i="6" s="1"/>
  <c r="E2388" i="6"/>
  <c r="F2388" i="6" s="1"/>
  <c r="E2387" i="6"/>
  <c r="F2387" i="6" s="1"/>
  <c r="E2386" i="6"/>
  <c r="F2386" i="6" s="1"/>
  <c r="E2385" i="6"/>
  <c r="F2385" i="6" s="1"/>
  <c r="E2384" i="6"/>
  <c r="F2384" i="6" s="1"/>
  <c r="E2383" i="6"/>
  <c r="F2383" i="6" s="1"/>
  <c r="E2382" i="6"/>
  <c r="F2382" i="6" s="1"/>
  <c r="E2381" i="6"/>
  <c r="F2381" i="6" s="1"/>
  <c r="E2380" i="6"/>
  <c r="F2380" i="6" s="1"/>
  <c r="E2379" i="6"/>
  <c r="F2379" i="6" s="1"/>
  <c r="E2378" i="6"/>
  <c r="F2378" i="6" s="1"/>
  <c r="E2377" i="6"/>
  <c r="F2377" i="6" s="1"/>
  <c r="E2376" i="6"/>
  <c r="F2376" i="6" s="1"/>
  <c r="E2375" i="6"/>
  <c r="F2375" i="6" s="1"/>
  <c r="E2374" i="6"/>
  <c r="F2374" i="6" s="1"/>
  <c r="E2373" i="6"/>
  <c r="F2373" i="6" s="1"/>
  <c r="E2372" i="6"/>
  <c r="F2372" i="6" s="1"/>
  <c r="E2371" i="6"/>
  <c r="F2371" i="6" s="1"/>
  <c r="E2370" i="6"/>
  <c r="F2370" i="6" s="1"/>
  <c r="E2369" i="6"/>
  <c r="F2369" i="6" s="1"/>
  <c r="E2368" i="6"/>
  <c r="F2368" i="6" s="1"/>
  <c r="E2367" i="6"/>
  <c r="F2367" i="6" s="1"/>
  <c r="E2366" i="6"/>
  <c r="F2366" i="6" s="1"/>
  <c r="E2365" i="6"/>
  <c r="F2365" i="6" s="1"/>
  <c r="E2364" i="6"/>
  <c r="F2364" i="6" s="1"/>
  <c r="E2363" i="6"/>
  <c r="F2363" i="6" s="1"/>
  <c r="E2362" i="6"/>
  <c r="F2362" i="6" s="1"/>
  <c r="E2361" i="6"/>
  <c r="F2361" i="6" s="1"/>
  <c r="E2360" i="6"/>
  <c r="F2360" i="6" s="1"/>
  <c r="E2359" i="6"/>
  <c r="F2359" i="6" s="1"/>
  <c r="E2358" i="6"/>
  <c r="F2358" i="6" s="1"/>
  <c r="E2357" i="6"/>
  <c r="F2357" i="6" s="1"/>
  <c r="E2356" i="6"/>
  <c r="F2356" i="6" s="1"/>
  <c r="E2355" i="6"/>
  <c r="F2355" i="6" s="1"/>
  <c r="E2354" i="6"/>
  <c r="F2354" i="6" s="1"/>
  <c r="E2353" i="6"/>
  <c r="F2353" i="6" s="1"/>
  <c r="E2352" i="6"/>
  <c r="F2352" i="6" s="1"/>
  <c r="E2351" i="6"/>
  <c r="F2351" i="6" s="1"/>
  <c r="E2350" i="6"/>
  <c r="F2350" i="6" s="1"/>
  <c r="E2349" i="6"/>
  <c r="F2349" i="6" s="1"/>
  <c r="E2348" i="6"/>
  <c r="F2348" i="6" s="1"/>
  <c r="E2347" i="6"/>
  <c r="F2347" i="6" s="1"/>
  <c r="E2346" i="6"/>
  <c r="F2346" i="6" s="1"/>
  <c r="E2345" i="6"/>
  <c r="F2345" i="6" s="1"/>
  <c r="E2344" i="6"/>
  <c r="F2344" i="6" s="1"/>
  <c r="E2343" i="6"/>
  <c r="F2343" i="6" s="1"/>
  <c r="E2342" i="6"/>
  <c r="F2342" i="6" s="1"/>
  <c r="E2341" i="6"/>
  <c r="F2341" i="6" s="1"/>
  <c r="E2340" i="6"/>
  <c r="F2340" i="6" s="1"/>
  <c r="E2339" i="6"/>
  <c r="F2339" i="6" s="1"/>
  <c r="E2338" i="6"/>
  <c r="F2338" i="6" s="1"/>
  <c r="E2337" i="6"/>
  <c r="F2337" i="6" s="1"/>
  <c r="E2336" i="6"/>
  <c r="F2336" i="6" s="1"/>
  <c r="E2335" i="6"/>
  <c r="F2335" i="6" s="1"/>
  <c r="E2334" i="6"/>
  <c r="F2334" i="6" s="1"/>
  <c r="E2333" i="6"/>
  <c r="F2333" i="6" s="1"/>
  <c r="E2332" i="6"/>
  <c r="F2332" i="6" s="1"/>
  <c r="E2331" i="6"/>
  <c r="F2331" i="6" s="1"/>
  <c r="E2330" i="6"/>
  <c r="F2330" i="6" s="1"/>
  <c r="E2329" i="6"/>
  <c r="F2329" i="6" s="1"/>
  <c r="E2328" i="6"/>
  <c r="F2328" i="6" s="1"/>
  <c r="E2327" i="6"/>
  <c r="F2327" i="6" s="1"/>
  <c r="E2326" i="6"/>
  <c r="F2326" i="6" s="1"/>
  <c r="E2325" i="6"/>
  <c r="F2325" i="6" s="1"/>
  <c r="E2324" i="6"/>
  <c r="F2324" i="6" s="1"/>
  <c r="E2323" i="6"/>
  <c r="F2323" i="6" s="1"/>
  <c r="E2322" i="6"/>
  <c r="F2322" i="6" s="1"/>
  <c r="E2321" i="6"/>
  <c r="F2321" i="6" s="1"/>
  <c r="E2320" i="6"/>
  <c r="F2320" i="6" s="1"/>
  <c r="E2319" i="6"/>
  <c r="F2319" i="6" s="1"/>
  <c r="E2318" i="6"/>
  <c r="F2318" i="6" s="1"/>
  <c r="E2317" i="6"/>
  <c r="F2317" i="6" s="1"/>
  <c r="E2316" i="6"/>
  <c r="F2316" i="6" s="1"/>
  <c r="E2315" i="6"/>
  <c r="F2315" i="6" s="1"/>
  <c r="E2314" i="6"/>
  <c r="F2314" i="6" s="1"/>
  <c r="E2313" i="6"/>
  <c r="F2313" i="6" s="1"/>
  <c r="E2312" i="6"/>
  <c r="F2312" i="6" s="1"/>
  <c r="E2311" i="6"/>
  <c r="F2311" i="6" s="1"/>
  <c r="E2310" i="6"/>
  <c r="F2310" i="6" s="1"/>
  <c r="E2309" i="6"/>
  <c r="F2309" i="6" s="1"/>
  <c r="E2308" i="6"/>
  <c r="F2308" i="6" s="1"/>
  <c r="E2307" i="6"/>
  <c r="F2307" i="6" s="1"/>
  <c r="E2306" i="6"/>
  <c r="F2306" i="6" s="1"/>
  <c r="E2305" i="6"/>
  <c r="F2305" i="6" s="1"/>
  <c r="E2304" i="6"/>
  <c r="F2304" i="6" s="1"/>
  <c r="E2303" i="6"/>
  <c r="F2303" i="6" s="1"/>
  <c r="E2302" i="6"/>
  <c r="F2302" i="6" s="1"/>
  <c r="E2301" i="6"/>
  <c r="F2301" i="6" s="1"/>
  <c r="E2300" i="6"/>
  <c r="F2300" i="6" s="1"/>
  <c r="E2299" i="6"/>
  <c r="F2299" i="6" s="1"/>
  <c r="E2298" i="6"/>
  <c r="F2298" i="6" s="1"/>
  <c r="E2297" i="6"/>
  <c r="F2297" i="6" s="1"/>
  <c r="E2296" i="6"/>
  <c r="F2296" i="6" s="1"/>
  <c r="E2295" i="6"/>
  <c r="F2295" i="6" s="1"/>
  <c r="E2294" i="6"/>
  <c r="F2294" i="6" s="1"/>
  <c r="E2293" i="6"/>
  <c r="F2293" i="6" s="1"/>
  <c r="E2292" i="6"/>
  <c r="F2292" i="6" s="1"/>
  <c r="E2291" i="6"/>
  <c r="F2291" i="6" s="1"/>
  <c r="E2290" i="6"/>
  <c r="F2290" i="6" s="1"/>
  <c r="E2289" i="6"/>
  <c r="F2289" i="6" s="1"/>
  <c r="E2288" i="6"/>
  <c r="F2288" i="6" s="1"/>
  <c r="E2287" i="6"/>
  <c r="F2287" i="6" s="1"/>
  <c r="E2286" i="6"/>
  <c r="F2286" i="6" s="1"/>
  <c r="E2285" i="6"/>
  <c r="F2285" i="6" s="1"/>
  <c r="E2284" i="6"/>
  <c r="F2284" i="6" s="1"/>
  <c r="E2283" i="6"/>
  <c r="F2283" i="6" s="1"/>
  <c r="E2282" i="6"/>
  <c r="F2282" i="6" s="1"/>
  <c r="E2281" i="6"/>
  <c r="F2281" i="6" s="1"/>
  <c r="E2280" i="6"/>
  <c r="F2280" i="6" s="1"/>
  <c r="E2279" i="6"/>
  <c r="F2279" i="6" s="1"/>
  <c r="E2278" i="6"/>
  <c r="F2278" i="6" s="1"/>
  <c r="E2277" i="6"/>
  <c r="F2277" i="6" s="1"/>
  <c r="E2276" i="6"/>
  <c r="F2276" i="6" s="1"/>
  <c r="E2275" i="6"/>
  <c r="F2275" i="6" s="1"/>
  <c r="E2274" i="6"/>
  <c r="F2274" i="6" s="1"/>
  <c r="E2273" i="6"/>
  <c r="F2273" i="6" s="1"/>
  <c r="E2272" i="6"/>
  <c r="F2272" i="6" s="1"/>
  <c r="E2271" i="6"/>
  <c r="F2271" i="6" s="1"/>
  <c r="E2270" i="6"/>
  <c r="F2270" i="6" s="1"/>
  <c r="E2269" i="6"/>
  <c r="F2269" i="6" s="1"/>
  <c r="E2268" i="6"/>
  <c r="F2268" i="6" s="1"/>
  <c r="E2267" i="6"/>
  <c r="F2267" i="6" s="1"/>
  <c r="E2266" i="6"/>
  <c r="F2266" i="6" s="1"/>
  <c r="E2265" i="6"/>
  <c r="F2265" i="6" s="1"/>
  <c r="E2264" i="6"/>
  <c r="F2264" i="6" s="1"/>
  <c r="E2263" i="6"/>
  <c r="F2263" i="6" s="1"/>
  <c r="E2262" i="6"/>
  <c r="F2262" i="6" s="1"/>
  <c r="E2261" i="6"/>
  <c r="F2261" i="6" s="1"/>
  <c r="E2260" i="6"/>
  <c r="F2260" i="6" s="1"/>
  <c r="E2259" i="6"/>
  <c r="F2259" i="6" s="1"/>
  <c r="E2258" i="6"/>
  <c r="F2258" i="6" s="1"/>
  <c r="E2257" i="6"/>
  <c r="F2257" i="6" s="1"/>
  <c r="E2256" i="6"/>
  <c r="F2256" i="6" s="1"/>
  <c r="E2255" i="6"/>
  <c r="F2255" i="6" s="1"/>
  <c r="E2254" i="6"/>
  <c r="F2254" i="6" s="1"/>
  <c r="E2253" i="6"/>
  <c r="F2253" i="6" s="1"/>
  <c r="E2252" i="6"/>
  <c r="F2252" i="6" s="1"/>
  <c r="E2251" i="6"/>
  <c r="F2251" i="6" s="1"/>
  <c r="E2250" i="6"/>
  <c r="F2250" i="6" s="1"/>
  <c r="E2249" i="6"/>
  <c r="F2249" i="6" s="1"/>
  <c r="E2248" i="6"/>
  <c r="F2248" i="6" s="1"/>
  <c r="E2247" i="6"/>
  <c r="F2247" i="6" s="1"/>
  <c r="E2246" i="6"/>
  <c r="F2246" i="6" s="1"/>
  <c r="E2245" i="6"/>
  <c r="F2245" i="6" s="1"/>
  <c r="E2244" i="6"/>
  <c r="F2244" i="6" s="1"/>
  <c r="E2243" i="6"/>
  <c r="F2243" i="6" s="1"/>
  <c r="E2242" i="6"/>
  <c r="F2242" i="6" s="1"/>
  <c r="E2241" i="6"/>
  <c r="F2241" i="6" s="1"/>
  <c r="E2240" i="6"/>
  <c r="F2240" i="6" s="1"/>
  <c r="E2239" i="6"/>
  <c r="F2239" i="6" s="1"/>
  <c r="E2238" i="6"/>
  <c r="F2238" i="6" s="1"/>
  <c r="E2237" i="6"/>
  <c r="F2237" i="6" s="1"/>
  <c r="E2236" i="6"/>
  <c r="F2236" i="6" s="1"/>
  <c r="E2235" i="6"/>
  <c r="F2235" i="6" s="1"/>
  <c r="E2234" i="6"/>
  <c r="F2234" i="6" s="1"/>
  <c r="E2233" i="6"/>
  <c r="F2233" i="6" s="1"/>
  <c r="E2232" i="6"/>
  <c r="F2232" i="6" s="1"/>
  <c r="E2231" i="6"/>
  <c r="F2231" i="6" s="1"/>
  <c r="E2230" i="6"/>
  <c r="F2230" i="6" s="1"/>
  <c r="E2229" i="6"/>
  <c r="F2229" i="6" s="1"/>
  <c r="E2228" i="6"/>
  <c r="F2228" i="6" s="1"/>
  <c r="E2227" i="6"/>
  <c r="F2227" i="6" s="1"/>
  <c r="E2226" i="6"/>
  <c r="F2226" i="6" s="1"/>
  <c r="E2225" i="6"/>
  <c r="F2225" i="6" s="1"/>
  <c r="E2224" i="6"/>
  <c r="F2224" i="6" s="1"/>
  <c r="E2223" i="6"/>
  <c r="F2223" i="6" s="1"/>
  <c r="E2222" i="6"/>
  <c r="F2222" i="6" s="1"/>
  <c r="E2221" i="6"/>
  <c r="F2221" i="6" s="1"/>
  <c r="E2220" i="6"/>
  <c r="F2220" i="6" s="1"/>
  <c r="E2219" i="6"/>
  <c r="F2219" i="6" s="1"/>
  <c r="E2218" i="6"/>
  <c r="F2218" i="6" s="1"/>
  <c r="E2217" i="6"/>
  <c r="F2217" i="6" s="1"/>
  <c r="E2216" i="6"/>
  <c r="F2216" i="6" s="1"/>
  <c r="E2215" i="6"/>
  <c r="F2215" i="6" s="1"/>
  <c r="E2214" i="6"/>
  <c r="F2214" i="6" s="1"/>
  <c r="E2213" i="6"/>
  <c r="F2213" i="6" s="1"/>
  <c r="E2212" i="6"/>
  <c r="F2212" i="6" s="1"/>
  <c r="E2211" i="6"/>
  <c r="F2211" i="6" s="1"/>
  <c r="E2210" i="6"/>
  <c r="F2210" i="6" s="1"/>
  <c r="E2209" i="6"/>
  <c r="F2209" i="6" s="1"/>
  <c r="E2208" i="6"/>
  <c r="F2208" i="6" s="1"/>
  <c r="E2207" i="6"/>
  <c r="F2207" i="6" s="1"/>
  <c r="E2206" i="6"/>
  <c r="F2206" i="6" s="1"/>
  <c r="E2205" i="6"/>
  <c r="F2205" i="6" s="1"/>
  <c r="E2204" i="6"/>
  <c r="F2204" i="6" s="1"/>
  <c r="E2203" i="6"/>
  <c r="F2203" i="6" s="1"/>
  <c r="E2202" i="6"/>
  <c r="F2202" i="6" s="1"/>
  <c r="E2201" i="6"/>
  <c r="F2201" i="6" s="1"/>
  <c r="E2200" i="6"/>
  <c r="F2200" i="6" s="1"/>
  <c r="E2199" i="6"/>
  <c r="F2199" i="6" s="1"/>
  <c r="E2198" i="6"/>
  <c r="F2198" i="6" s="1"/>
  <c r="E2197" i="6"/>
  <c r="F2197" i="6" s="1"/>
  <c r="E2196" i="6"/>
  <c r="F2196" i="6" s="1"/>
  <c r="E2195" i="6"/>
  <c r="F2195" i="6" s="1"/>
  <c r="E2194" i="6"/>
  <c r="F2194" i="6" s="1"/>
  <c r="E2193" i="6"/>
  <c r="F2193" i="6" s="1"/>
  <c r="E2192" i="6"/>
  <c r="F2192" i="6" s="1"/>
  <c r="E2191" i="6"/>
  <c r="F2191" i="6" s="1"/>
  <c r="E2190" i="6"/>
  <c r="F2190" i="6" s="1"/>
  <c r="E2189" i="6"/>
  <c r="F2189" i="6" s="1"/>
  <c r="E2188" i="6"/>
  <c r="F2188" i="6" s="1"/>
  <c r="E2187" i="6"/>
  <c r="F2187" i="6" s="1"/>
  <c r="E2186" i="6"/>
  <c r="F2186" i="6" s="1"/>
  <c r="E2185" i="6"/>
  <c r="F2185" i="6" s="1"/>
  <c r="E2184" i="6"/>
  <c r="F2184" i="6" s="1"/>
  <c r="E2183" i="6"/>
  <c r="F2183" i="6" s="1"/>
  <c r="E2182" i="6"/>
  <c r="F2182" i="6" s="1"/>
  <c r="E2181" i="6"/>
  <c r="F2181" i="6" s="1"/>
  <c r="E2180" i="6"/>
  <c r="F2180" i="6" s="1"/>
  <c r="E2179" i="6"/>
  <c r="F2179" i="6" s="1"/>
  <c r="E2178" i="6"/>
  <c r="F2178" i="6" s="1"/>
  <c r="E2177" i="6"/>
  <c r="F2177" i="6" s="1"/>
  <c r="E2176" i="6"/>
  <c r="F2176" i="6" s="1"/>
  <c r="E2175" i="6"/>
  <c r="F2175" i="6" s="1"/>
  <c r="E2174" i="6"/>
  <c r="F2174" i="6" s="1"/>
  <c r="E2173" i="6"/>
  <c r="F2173" i="6" s="1"/>
  <c r="E2172" i="6"/>
  <c r="F2172" i="6" s="1"/>
  <c r="E2171" i="6"/>
  <c r="F2171" i="6" s="1"/>
  <c r="E2170" i="6"/>
  <c r="F2170" i="6" s="1"/>
  <c r="E2169" i="6"/>
  <c r="F2169" i="6" s="1"/>
  <c r="E2168" i="6"/>
  <c r="F2168" i="6" s="1"/>
  <c r="E2167" i="6"/>
  <c r="F2167" i="6" s="1"/>
  <c r="E2166" i="6"/>
  <c r="F2166" i="6" s="1"/>
  <c r="E2165" i="6"/>
  <c r="F2165" i="6" s="1"/>
  <c r="E2164" i="6"/>
  <c r="F2164" i="6" s="1"/>
  <c r="E2163" i="6"/>
  <c r="F2163" i="6" s="1"/>
  <c r="E2162" i="6"/>
  <c r="F2162" i="6" s="1"/>
  <c r="E2161" i="6"/>
  <c r="F2161" i="6" s="1"/>
  <c r="E2160" i="6"/>
  <c r="F2160" i="6" s="1"/>
  <c r="E2159" i="6"/>
  <c r="F2159" i="6" s="1"/>
  <c r="E2158" i="6"/>
  <c r="F2158" i="6" s="1"/>
  <c r="E2157" i="6"/>
  <c r="F2157" i="6" s="1"/>
  <c r="E2156" i="6"/>
  <c r="F2156" i="6" s="1"/>
  <c r="E2155" i="6"/>
  <c r="F2155" i="6" s="1"/>
  <c r="E2154" i="6"/>
  <c r="F2154" i="6" s="1"/>
  <c r="E2153" i="6"/>
  <c r="F2153" i="6" s="1"/>
  <c r="E2152" i="6"/>
  <c r="F2152" i="6" s="1"/>
  <c r="E2151" i="6"/>
  <c r="F2151" i="6" s="1"/>
  <c r="E2150" i="6"/>
  <c r="F2150" i="6" s="1"/>
  <c r="E2149" i="6"/>
  <c r="F2149" i="6" s="1"/>
  <c r="E2148" i="6"/>
  <c r="F2148" i="6" s="1"/>
  <c r="E2147" i="6"/>
  <c r="F2147" i="6" s="1"/>
  <c r="E2146" i="6"/>
  <c r="F2146" i="6" s="1"/>
  <c r="E2145" i="6"/>
  <c r="F2145" i="6" s="1"/>
  <c r="E2144" i="6"/>
  <c r="F2144" i="6" s="1"/>
  <c r="E2143" i="6"/>
  <c r="F2143" i="6" s="1"/>
  <c r="E2142" i="6"/>
  <c r="F2142" i="6" s="1"/>
  <c r="E2141" i="6"/>
  <c r="F2141" i="6" s="1"/>
  <c r="E2140" i="6"/>
  <c r="F2140" i="6" s="1"/>
  <c r="E2139" i="6"/>
  <c r="F2139" i="6" s="1"/>
  <c r="E2138" i="6"/>
  <c r="F2138" i="6" s="1"/>
  <c r="E2137" i="6"/>
  <c r="F2137" i="6" s="1"/>
  <c r="E2136" i="6"/>
  <c r="F2136" i="6" s="1"/>
  <c r="E2135" i="6"/>
  <c r="F2135" i="6" s="1"/>
  <c r="E2134" i="6"/>
  <c r="F2134" i="6" s="1"/>
  <c r="E2133" i="6"/>
  <c r="F2133" i="6" s="1"/>
  <c r="E2132" i="6"/>
  <c r="F2132" i="6" s="1"/>
  <c r="E2131" i="6"/>
  <c r="F2131" i="6" s="1"/>
  <c r="E2130" i="6"/>
  <c r="F2130" i="6" s="1"/>
  <c r="E2129" i="6"/>
  <c r="F2129" i="6" s="1"/>
  <c r="E2128" i="6"/>
  <c r="F2128" i="6" s="1"/>
  <c r="E2127" i="6"/>
  <c r="F2127" i="6" s="1"/>
  <c r="E2126" i="6"/>
  <c r="F2126" i="6" s="1"/>
  <c r="E2125" i="6"/>
  <c r="F2125" i="6" s="1"/>
  <c r="E2124" i="6"/>
  <c r="F2124" i="6" s="1"/>
  <c r="E2123" i="6"/>
  <c r="F2123" i="6" s="1"/>
  <c r="E2122" i="6"/>
  <c r="F2122" i="6" s="1"/>
  <c r="E2121" i="6"/>
  <c r="F2121" i="6" s="1"/>
  <c r="E2120" i="6"/>
  <c r="F2120" i="6" s="1"/>
  <c r="E2119" i="6"/>
  <c r="F2119" i="6" s="1"/>
  <c r="E2118" i="6"/>
  <c r="F2118" i="6" s="1"/>
  <c r="E2117" i="6"/>
  <c r="F2117" i="6" s="1"/>
  <c r="E2116" i="6"/>
  <c r="F2116" i="6" s="1"/>
  <c r="E2115" i="6"/>
  <c r="F2115" i="6" s="1"/>
  <c r="E2114" i="6"/>
  <c r="F2114" i="6" s="1"/>
  <c r="E2113" i="6"/>
  <c r="F2113" i="6" s="1"/>
  <c r="E2112" i="6"/>
  <c r="F2112" i="6" s="1"/>
  <c r="E2111" i="6"/>
  <c r="F2111" i="6" s="1"/>
  <c r="E2110" i="6"/>
  <c r="F2110" i="6" s="1"/>
  <c r="E2109" i="6"/>
  <c r="F2109" i="6" s="1"/>
  <c r="E2108" i="6"/>
  <c r="F2108" i="6" s="1"/>
  <c r="E2107" i="6"/>
  <c r="F2107" i="6" s="1"/>
  <c r="E2106" i="6"/>
  <c r="F2106" i="6" s="1"/>
  <c r="E2105" i="6"/>
  <c r="F2105" i="6" s="1"/>
  <c r="E2104" i="6"/>
  <c r="F2104" i="6" s="1"/>
  <c r="E2103" i="6"/>
  <c r="F2103" i="6" s="1"/>
  <c r="E2102" i="6"/>
  <c r="F2102" i="6" s="1"/>
  <c r="E2101" i="6"/>
  <c r="F2101" i="6" s="1"/>
  <c r="E2100" i="6"/>
  <c r="F2100" i="6" s="1"/>
  <c r="E2099" i="6"/>
  <c r="F2099" i="6" s="1"/>
  <c r="E2098" i="6"/>
  <c r="F2098" i="6" s="1"/>
  <c r="E2097" i="6"/>
  <c r="F2097" i="6" s="1"/>
  <c r="E2096" i="6"/>
  <c r="F2096" i="6" s="1"/>
  <c r="E2095" i="6"/>
  <c r="F2095" i="6" s="1"/>
  <c r="E2094" i="6"/>
  <c r="F2094" i="6" s="1"/>
  <c r="E2093" i="6"/>
  <c r="F2093" i="6" s="1"/>
  <c r="E2092" i="6"/>
  <c r="F2092" i="6" s="1"/>
  <c r="E2091" i="6"/>
  <c r="F2091" i="6" s="1"/>
  <c r="E2090" i="6"/>
  <c r="F2090" i="6" s="1"/>
  <c r="E2089" i="6"/>
  <c r="F2089" i="6" s="1"/>
  <c r="E2088" i="6"/>
  <c r="F2088" i="6" s="1"/>
  <c r="E2087" i="6"/>
  <c r="F2087" i="6" s="1"/>
  <c r="E2086" i="6"/>
  <c r="F2086" i="6" s="1"/>
  <c r="E2085" i="6"/>
  <c r="F2085" i="6" s="1"/>
  <c r="E2084" i="6"/>
  <c r="F2084" i="6" s="1"/>
  <c r="E2083" i="6"/>
  <c r="F2083" i="6" s="1"/>
  <c r="E2082" i="6"/>
  <c r="F2082" i="6" s="1"/>
  <c r="E2081" i="6"/>
  <c r="F2081" i="6" s="1"/>
  <c r="E2080" i="6"/>
  <c r="F2080" i="6" s="1"/>
  <c r="E2079" i="6"/>
  <c r="F2079" i="6" s="1"/>
  <c r="E2078" i="6"/>
  <c r="F2078" i="6" s="1"/>
  <c r="E2077" i="6"/>
  <c r="F2077" i="6" s="1"/>
  <c r="E2076" i="6"/>
  <c r="F2076" i="6" s="1"/>
  <c r="E2075" i="6"/>
  <c r="F2075" i="6" s="1"/>
  <c r="E2074" i="6"/>
  <c r="F2074" i="6" s="1"/>
  <c r="E2073" i="6"/>
  <c r="F2073" i="6" s="1"/>
  <c r="E2072" i="6"/>
  <c r="F2072" i="6" s="1"/>
  <c r="E2071" i="6"/>
  <c r="F2071" i="6" s="1"/>
  <c r="E2070" i="6"/>
  <c r="F2070" i="6" s="1"/>
  <c r="E2069" i="6"/>
  <c r="F2069" i="6" s="1"/>
  <c r="E2068" i="6"/>
  <c r="F2068" i="6" s="1"/>
  <c r="E2067" i="6"/>
  <c r="F2067" i="6" s="1"/>
  <c r="E2066" i="6"/>
  <c r="F2066" i="6" s="1"/>
  <c r="E2065" i="6"/>
  <c r="F2065" i="6" s="1"/>
  <c r="E2064" i="6"/>
  <c r="F2064" i="6" s="1"/>
  <c r="E2063" i="6"/>
  <c r="F2063" i="6" s="1"/>
  <c r="E2062" i="6"/>
  <c r="F2062" i="6" s="1"/>
  <c r="E2061" i="6"/>
  <c r="F2061" i="6" s="1"/>
  <c r="E2060" i="6"/>
  <c r="F2060" i="6" s="1"/>
  <c r="E2059" i="6"/>
  <c r="F2059" i="6" s="1"/>
  <c r="E2058" i="6"/>
  <c r="F2058" i="6" s="1"/>
  <c r="E2057" i="6"/>
  <c r="F2057" i="6" s="1"/>
  <c r="E2056" i="6"/>
  <c r="F2056" i="6" s="1"/>
  <c r="E2055" i="6"/>
  <c r="F2055" i="6" s="1"/>
  <c r="E2054" i="6"/>
  <c r="F2054" i="6" s="1"/>
  <c r="E2053" i="6"/>
  <c r="F2053" i="6" s="1"/>
  <c r="E2052" i="6"/>
  <c r="F2052" i="6" s="1"/>
  <c r="E2051" i="6"/>
  <c r="F2051" i="6" s="1"/>
  <c r="E2050" i="6"/>
  <c r="F2050" i="6" s="1"/>
  <c r="E2049" i="6"/>
  <c r="F2049" i="6" s="1"/>
  <c r="E2048" i="6"/>
  <c r="F2048" i="6" s="1"/>
  <c r="E2047" i="6"/>
  <c r="F2047" i="6" s="1"/>
  <c r="E2046" i="6"/>
  <c r="F2046" i="6" s="1"/>
  <c r="E2045" i="6"/>
  <c r="F2045" i="6" s="1"/>
  <c r="E2044" i="6"/>
  <c r="F2044" i="6" s="1"/>
  <c r="E2043" i="6"/>
  <c r="F2043" i="6" s="1"/>
  <c r="E2042" i="6"/>
  <c r="F2042" i="6" s="1"/>
  <c r="E2041" i="6"/>
  <c r="F2041" i="6" s="1"/>
  <c r="E2040" i="6"/>
  <c r="F2040" i="6" s="1"/>
  <c r="E2039" i="6"/>
  <c r="F2039" i="6" s="1"/>
  <c r="E2038" i="6"/>
  <c r="F2038" i="6" s="1"/>
  <c r="E2037" i="6"/>
  <c r="F2037" i="6" s="1"/>
  <c r="E2036" i="6"/>
  <c r="F2036" i="6" s="1"/>
  <c r="E2035" i="6"/>
  <c r="F2035" i="6" s="1"/>
  <c r="E2034" i="6"/>
  <c r="F2034" i="6" s="1"/>
  <c r="E2033" i="6"/>
  <c r="F2033" i="6" s="1"/>
  <c r="E2032" i="6"/>
  <c r="F2032" i="6" s="1"/>
  <c r="E2031" i="6"/>
  <c r="F2031" i="6" s="1"/>
  <c r="E2030" i="6"/>
  <c r="F2030" i="6" s="1"/>
  <c r="E2029" i="6"/>
  <c r="F2029" i="6" s="1"/>
  <c r="E2028" i="6"/>
  <c r="F2028" i="6" s="1"/>
  <c r="E2027" i="6"/>
  <c r="F2027" i="6" s="1"/>
  <c r="E2026" i="6"/>
  <c r="F2026" i="6" s="1"/>
  <c r="E2025" i="6"/>
  <c r="F2025" i="6" s="1"/>
  <c r="E2024" i="6"/>
  <c r="F2024" i="6" s="1"/>
  <c r="E2023" i="6"/>
  <c r="F2023" i="6" s="1"/>
  <c r="E2022" i="6"/>
  <c r="F2022" i="6" s="1"/>
  <c r="E2021" i="6"/>
  <c r="F2021" i="6" s="1"/>
  <c r="E2020" i="6"/>
  <c r="F2020" i="6" s="1"/>
  <c r="E2019" i="6"/>
  <c r="F2019" i="6" s="1"/>
  <c r="E2018" i="6"/>
  <c r="F2018" i="6" s="1"/>
  <c r="E2017" i="6"/>
  <c r="F2017" i="6" s="1"/>
  <c r="E2016" i="6"/>
  <c r="F2016" i="6" s="1"/>
  <c r="E2015" i="6"/>
  <c r="F2015" i="6" s="1"/>
  <c r="E2014" i="6"/>
  <c r="F2014" i="6" s="1"/>
  <c r="E2013" i="6"/>
  <c r="F2013" i="6" s="1"/>
  <c r="E2012" i="6"/>
  <c r="F2012" i="6" s="1"/>
  <c r="E2011" i="6"/>
  <c r="F2011" i="6" s="1"/>
  <c r="E2010" i="6"/>
  <c r="F2010" i="6" s="1"/>
  <c r="E2009" i="6"/>
  <c r="F2009" i="6" s="1"/>
  <c r="E2008" i="6"/>
  <c r="F2008" i="6" s="1"/>
  <c r="E2007" i="6"/>
  <c r="F2007" i="6" s="1"/>
  <c r="E2006" i="6"/>
  <c r="F2006" i="6" s="1"/>
  <c r="E2005" i="6"/>
  <c r="F2005" i="6" s="1"/>
  <c r="E2004" i="6"/>
  <c r="F2004" i="6" s="1"/>
  <c r="E2003" i="6"/>
  <c r="F2003" i="6" s="1"/>
  <c r="E2002" i="6"/>
  <c r="F2002" i="6" s="1"/>
  <c r="E2001" i="6"/>
  <c r="F2001" i="6" s="1"/>
  <c r="E2000" i="6"/>
  <c r="F2000" i="6" s="1"/>
  <c r="E1999" i="6"/>
  <c r="F1999" i="6" s="1"/>
  <c r="E1998" i="6"/>
  <c r="F1998" i="6" s="1"/>
  <c r="E1997" i="6"/>
  <c r="F1997" i="6" s="1"/>
  <c r="E1996" i="6"/>
  <c r="F1996" i="6" s="1"/>
  <c r="E1995" i="6"/>
  <c r="F1995" i="6" s="1"/>
  <c r="E1994" i="6"/>
  <c r="F1994" i="6" s="1"/>
  <c r="E1993" i="6"/>
  <c r="F1993" i="6" s="1"/>
  <c r="E1992" i="6"/>
  <c r="F1992" i="6" s="1"/>
  <c r="E1991" i="6"/>
  <c r="F1991" i="6" s="1"/>
  <c r="E1990" i="6"/>
  <c r="F1990" i="6" s="1"/>
  <c r="E1989" i="6"/>
  <c r="F1989" i="6" s="1"/>
  <c r="E1988" i="6"/>
  <c r="F1988" i="6" s="1"/>
  <c r="E1987" i="6"/>
  <c r="F1987" i="6" s="1"/>
  <c r="E1986" i="6"/>
  <c r="F1986" i="6" s="1"/>
  <c r="E1985" i="6"/>
  <c r="F1985" i="6" s="1"/>
  <c r="E1984" i="6"/>
  <c r="F1984" i="6" s="1"/>
  <c r="E1983" i="6"/>
  <c r="F1983" i="6" s="1"/>
  <c r="E1982" i="6"/>
  <c r="F1982" i="6" s="1"/>
  <c r="E1981" i="6"/>
  <c r="F1981" i="6" s="1"/>
  <c r="E1980" i="6"/>
  <c r="F1980" i="6" s="1"/>
  <c r="E1979" i="6"/>
  <c r="F1979" i="6" s="1"/>
  <c r="E1978" i="6"/>
  <c r="F1978" i="6" s="1"/>
  <c r="E1977" i="6"/>
  <c r="F1977" i="6" s="1"/>
  <c r="E1976" i="6"/>
  <c r="F1976" i="6" s="1"/>
  <c r="E1975" i="6"/>
  <c r="F1975" i="6" s="1"/>
  <c r="E1974" i="6"/>
  <c r="F1974" i="6" s="1"/>
  <c r="E1973" i="6"/>
  <c r="F1973" i="6" s="1"/>
  <c r="E1972" i="6"/>
  <c r="F1972" i="6" s="1"/>
  <c r="E1971" i="6"/>
  <c r="F1971" i="6" s="1"/>
  <c r="E1970" i="6"/>
  <c r="F1970" i="6" s="1"/>
  <c r="E1969" i="6"/>
  <c r="F1969" i="6" s="1"/>
  <c r="E1968" i="6"/>
  <c r="F1968" i="6" s="1"/>
  <c r="E1967" i="6"/>
  <c r="F1967" i="6" s="1"/>
  <c r="E1966" i="6"/>
  <c r="F1966" i="6" s="1"/>
  <c r="E1965" i="6"/>
  <c r="F1965" i="6" s="1"/>
  <c r="E1964" i="6"/>
  <c r="F1964" i="6" s="1"/>
  <c r="E1963" i="6"/>
  <c r="F1963" i="6" s="1"/>
  <c r="E1962" i="6"/>
  <c r="F1962" i="6" s="1"/>
  <c r="E1961" i="6"/>
  <c r="F1961" i="6" s="1"/>
  <c r="E1960" i="6"/>
  <c r="F1960" i="6" s="1"/>
  <c r="E1959" i="6"/>
  <c r="F1959" i="6" s="1"/>
  <c r="E1958" i="6"/>
  <c r="F1958" i="6" s="1"/>
  <c r="E1957" i="6"/>
  <c r="F1957" i="6" s="1"/>
  <c r="E1956" i="6"/>
  <c r="F1956" i="6" s="1"/>
  <c r="E1955" i="6"/>
  <c r="F1955" i="6" s="1"/>
  <c r="E1954" i="6"/>
  <c r="F1954" i="6" s="1"/>
  <c r="E1953" i="6"/>
  <c r="F1953" i="6" s="1"/>
  <c r="E1952" i="6"/>
  <c r="F1952" i="6" s="1"/>
  <c r="E1951" i="6"/>
  <c r="F1951" i="6" s="1"/>
  <c r="E1950" i="6"/>
  <c r="F1950" i="6" s="1"/>
  <c r="E1949" i="6"/>
  <c r="F1949" i="6" s="1"/>
  <c r="E1948" i="6"/>
  <c r="F1948" i="6" s="1"/>
  <c r="E1947" i="6"/>
  <c r="F1947" i="6" s="1"/>
  <c r="E1946" i="6"/>
  <c r="F1946" i="6" s="1"/>
  <c r="E1945" i="6"/>
  <c r="F1945" i="6" s="1"/>
  <c r="E1944" i="6"/>
  <c r="F1944" i="6" s="1"/>
  <c r="E1943" i="6"/>
  <c r="F1943" i="6" s="1"/>
  <c r="E1942" i="6"/>
  <c r="F1942" i="6" s="1"/>
  <c r="E1941" i="6"/>
  <c r="F1941" i="6" s="1"/>
  <c r="E1940" i="6"/>
  <c r="F1940" i="6" s="1"/>
  <c r="E1939" i="6"/>
  <c r="F1939" i="6" s="1"/>
  <c r="E1938" i="6"/>
  <c r="F1938" i="6" s="1"/>
  <c r="E1937" i="6"/>
  <c r="F1937" i="6" s="1"/>
  <c r="E1936" i="6"/>
  <c r="F1936" i="6" s="1"/>
  <c r="E1935" i="6"/>
  <c r="F1935" i="6" s="1"/>
  <c r="E1934" i="6"/>
  <c r="F1934" i="6" s="1"/>
  <c r="E1933" i="6"/>
  <c r="F1933" i="6" s="1"/>
  <c r="E1932" i="6"/>
  <c r="F1932" i="6" s="1"/>
  <c r="E1931" i="6"/>
  <c r="F1931" i="6" s="1"/>
  <c r="E1930" i="6"/>
  <c r="F1930" i="6" s="1"/>
  <c r="E1929" i="6"/>
  <c r="F1929" i="6" s="1"/>
  <c r="E1928" i="6"/>
  <c r="F1928" i="6" s="1"/>
  <c r="E1927" i="6"/>
  <c r="F1927" i="6" s="1"/>
  <c r="E1926" i="6"/>
  <c r="F1926" i="6" s="1"/>
  <c r="E1925" i="6"/>
  <c r="F1925" i="6" s="1"/>
  <c r="E1924" i="6"/>
  <c r="F1924" i="6" s="1"/>
  <c r="E1923" i="6"/>
  <c r="F1923" i="6" s="1"/>
  <c r="E1922" i="6"/>
  <c r="F1922" i="6" s="1"/>
  <c r="E1921" i="6"/>
  <c r="F1921" i="6" s="1"/>
  <c r="E1920" i="6"/>
  <c r="F1920" i="6" s="1"/>
  <c r="E1919" i="6"/>
  <c r="F1919" i="6" s="1"/>
  <c r="E1918" i="6"/>
  <c r="F1918" i="6" s="1"/>
  <c r="E1917" i="6"/>
  <c r="F1917" i="6" s="1"/>
  <c r="E1916" i="6"/>
  <c r="F1916" i="6" s="1"/>
  <c r="E1915" i="6"/>
  <c r="F1915" i="6" s="1"/>
  <c r="E1914" i="6"/>
  <c r="F1914" i="6" s="1"/>
  <c r="E1913" i="6"/>
  <c r="F1913" i="6" s="1"/>
  <c r="E1912" i="6"/>
  <c r="F1912" i="6" s="1"/>
  <c r="E1911" i="6"/>
  <c r="F1911" i="6" s="1"/>
  <c r="E1910" i="6"/>
  <c r="F1910" i="6" s="1"/>
  <c r="E1909" i="6"/>
  <c r="F1909" i="6" s="1"/>
  <c r="E1908" i="6"/>
  <c r="F1908" i="6" s="1"/>
  <c r="E1907" i="6"/>
  <c r="F1907" i="6" s="1"/>
  <c r="E1906" i="6"/>
  <c r="F1906" i="6" s="1"/>
  <c r="E1905" i="6"/>
  <c r="F1905" i="6" s="1"/>
  <c r="E1904" i="6"/>
  <c r="F1904" i="6" s="1"/>
  <c r="E1903" i="6"/>
  <c r="F1903" i="6" s="1"/>
  <c r="E1902" i="6"/>
  <c r="F1902" i="6" s="1"/>
  <c r="E1901" i="6"/>
  <c r="F1901" i="6" s="1"/>
  <c r="E1900" i="6"/>
  <c r="F1900" i="6" s="1"/>
  <c r="E1899" i="6"/>
  <c r="F1899" i="6" s="1"/>
  <c r="E1898" i="6"/>
  <c r="F1898" i="6" s="1"/>
  <c r="E1897" i="6"/>
  <c r="F1897" i="6" s="1"/>
  <c r="E1896" i="6"/>
  <c r="F1896" i="6" s="1"/>
  <c r="E1895" i="6"/>
  <c r="F1895" i="6" s="1"/>
  <c r="E1894" i="6"/>
  <c r="F1894" i="6" s="1"/>
  <c r="E1893" i="6"/>
  <c r="F1893" i="6" s="1"/>
  <c r="E1892" i="6"/>
  <c r="F1892" i="6" s="1"/>
  <c r="E1891" i="6"/>
  <c r="F1891" i="6" s="1"/>
  <c r="E1890" i="6"/>
  <c r="F1890" i="6" s="1"/>
  <c r="E1889" i="6"/>
  <c r="F1889" i="6" s="1"/>
  <c r="E1888" i="6"/>
  <c r="F1888" i="6" s="1"/>
  <c r="E1887" i="6"/>
  <c r="F1887" i="6" s="1"/>
  <c r="E1886" i="6"/>
  <c r="F1886" i="6" s="1"/>
  <c r="E1885" i="6"/>
  <c r="F1885" i="6" s="1"/>
  <c r="E1884" i="6"/>
  <c r="F1884" i="6" s="1"/>
  <c r="E1883" i="6"/>
  <c r="F1883" i="6" s="1"/>
  <c r="E1882" i="6"/>
  <c r="F1882" i="6" s="1"/>
  <c r="E1881" i="6"/>
  <c r="F1881" i="6" s="1"/>
  <c r="E1880" i="6"/>
  <c r="F1880" i="6" s="1"/>
  <c r="E1879" i="6"/>
  <c r="F1879" i="6" s="1"/>
  <c r="E1878" i="6"/>
  <c r="F1878" i="6" s="1"/>
  <c r="E1877" i="6"/>
  <c r="F1877" i="6" s="1"/>
  <c r="E1876" i="6"/>
  <c r="F1876" i="6" s="1"/>
  <c r="E1875" i="6"/>
  <c r="F1875" i="6" s="1"/>
  <c r="E1874" i="6"/>
  <c r="F1874" i="6" s="1"/>
  <c r="E1873" i="6"/>
  <c r="F1873" i="6" s="1"/>
  <c r="E1872" i="6"/>
  <c r="F1872" i="6" s="1"/>
  <c r="E1871" i="6"/>
  <c r="F1871" i="6" s="1"/>
  <c r="E1870" i="6"/>
  <c r="F1870" i="6" s="1"/>
  <c r="E1869" i="6"/>
  <c r="F1869" i="6" s="1"/>
  <c r="E1868" i="6"/>
  <c r="F1868" i="6" s="1"/>
  <c r="E1867" i="6"/>
  <c r="F1867" i="6" s="1"/>
  <c r="E1866" i="6"/>
  <c r="F1866" i="6" s="1"/>
  <c r="E1865" i="6"/>
  <c r="F1865" i="6" s="1"/>
  <c r="E1864" i="6"/>
  <c r="F1864" i="6" s="1"/>
  <c r="E1863" i="6"/>
  <c r="F1863" i="6" s="1"/>
  <c r="E1862" i="6"/>
  <c r="F1862" i="6" s="1"/>
  <c r="E1861" i="6"/>
  <c r="F1861" i="6" s="1"/>
  <c r="E1860" i="6"/>
  <c r="F1860" i="6" s="1"/>
  <c r="E1859" i="6"/>
  <c r="F1859" i="6" s="1"/>
  <c r="E1858" i="6"/>
  <c r="F1858" i="6" s="1"/>
  <c r="E1857" i="6"/>
  <c r="F1857" i="6" s="1"/>
  <c r="E1856" i="6"/>
  <c r="F1856" i="6" s="1"/>
  <c r="E1855" i="6"/>
  <c r="F1855" i="6" s="1"/>
  <c r="E1854" i="6"/>
  <c r="F1854" i="6" s="1"/>
  <c r="E1853" i="6"/>
  <c r="F1853" i="6" s="1"/>
  <c r="E1852" i="6"/>
  <c r="F1852" i="6" s="1"/>
  <c r="E1851" i="6"/>
  <c r="F1851" i="6" s="1"/>
  <c r="E1850" i="6"/>
  <c r="F1850" i="6" s="1"/>
  <c r="E1849" i="6"/>
  <c r="F1849" i="6" s="1"/>
  <c r="E1848" i="6"/>
  <c r="F1848" i="6" s="1"/>
  <c r="E1847" i="6"/>
  <c r="F1847" i="6" s="1"/>
  <c r="E1846" i="6"/>
  <c r="F1846" i="6" s="1"/>
  <c r="E1845" i="6"/>
  <c r="F1845" i="6" s="1"/>
  <c r="E1844" i="6"/>
  <c r="F1844" i="6" s="1"/>
  <c r="E1843" i="6"/>
  <c r="F1843" i="6" s="1"/>
  <c r="E1842" i="6"/>
  <c r="F1842" i="6" s="1"/>
  <c r="E1841" i="6"/>
  <c r="F1841" i="6" s="1"/>
  <c r="E1840" i="6"/>
  <c r="F1840" i="6" s="1"/>
  <c r="E1839" i="6"/>
  <c r="F1839" i="6" s="1"/>
  <c r="E1838" i="6"/>
  <c r="F1838" i="6" s="1"/>
  <c r="E1837" i="6"/>
  <c r="F1837" i="6" s="1"/>
  <c r="E1836" i="6"/>
  <c r="F1836" i="6" s="1"/>
  <c r="E1835" i="6"/>
  <c r="F1835" i="6" s="1"/>
  <c r="E1834" i="6"/>
  <c r="F1834" i="6" s="1"/>
  <c r="E1833" i="6"/>
  <c r="F1833" i="6" s="1"/>
  <c r="E1832" i="6"/>
  <c r="F1832" i="6" s="1"/>
  <c r="E1831" i="6"/>
  <c r="F1831" i="6" s="1"/>
  <c r="E1830" i="6"/>
  <c r="F1830" i="6" s="1"/>
  <c r="E1829" i="6"/>
  <c r="F1829" i="6" s="1"/>
  <c r="E1828" i="6"/>
  <c r="F1828" i="6" s="1"/>
  <c r="E1827" i="6"/>
  <c r="F1827" i="6" s="1"/>
  <c r="E1826" i="6"/>
  <c r="F1826" i="6" s="1"/>
  <c r="E1825" i="6"/>
  <c r="F1825" i="6" s="1"/>
  <c r="E1824" i="6"/>
  <c r="F1824" i="6" s="1"/>
  <c r="E1823" i="6"/>
  <c r="F1823" i="6" s="1"/>
  <c r="E1822" i="6"/>
  <c r="F1822" i="6" s="1"/>
  <c r="E1821" i="6"/>
  <c r="F1821" i="6" s="1"/>
  <c r="E1820" i="6"/>
  <c r="F1820" i="6" s="1"/>
  <c r="E1819" i="6"/>
  <c r="F1819" i="6" s="1"/>
  <c r="E1818" i="6"/>
  <c r="F1818" i="6" s="1"/>
  <c r="E1817" i="6"/>
  <c r="F1817" i="6" s="1"/>
  <c r="E1816" i="6"/>
  <c r="F1816" i="6" s="1"/>
  <c r="E1815" i="6"/>
  <c r="F1815" i="6" s="1"/>
  <c r="E1814" i="6"/>
  <c r="F1814" i="6" s="1"/>
  <c r="E1813" i="6"/>
  <c r="F1813" i="6" s="1"/>
  <c r="E1812" i="6"/>
  <c r="F1812" i="6" s="1"/>
  <c r="E1811" i="6"/>
  <c r="F1811" i="6" s="1"/>
  <c r="E1810" i="6"/>
  <c r="F1810" i="6" s="1"/>
  <c r="E1809" i="6"/>
  <c r="F1809" i="6" s="1"/>
  <c r="E1808" i="6"/>
  <c r="F1808" i="6" s="1"/>
  <c r="E1807" i="6"/>
  <c r="F1807" i="6" s="1"/>
  <c r="E1806" i="6"/>
  <c r="F1806" i="6" s="1"/>
  <c r="E1805" i="6"/>
  <c r="F1805" i="6" s="1"/>
  <c r="E1804" i="6"/>
  <c r="F1804" i="6" s="1"/>
  <c r="E1803" i="6"/>
  <c r="F1803" i="6" s="1"/>
  <c r="E1802" i="6"/>
  <c r="F1802" i="6" s="1"/>
  <c r="E1801" i="6"/>
  <c r="F1801" i="6" s="1"/>
  <c r="E1800" i="6"/>
  <c r="F1800" i="6" s="1"/>
  <c r="E1799" i="6"/>
  <c r="F1799" i="6" s="1"/>
  <c r="E1798" i="6"/>
  <c r="F1798" i="6" s="1"/>
  <c r="E1797" i="6"/>
  <c r="F1797" i="6" s="1"/>
  <c r="E1796" i="6"/>
  <c r="F1796" i="6" s="1"/>
  <c r="E1795" i="6"/>
  <c r="F1795" i="6" s="1"/>
  <c r="E1794" i="6"/>
  <c r="F1794" i="6" s="1"/>
  <c r="E1793" i="6"/>
  <c r="F1793" i="6" s="1"/>
  <c r="E1792" i="6"/>
  <c r="F1792" i="6" s="1"/>
  <c r="E1791" i="6"/>
  <c r="F1791" i="6" s="1"/>
  <c r="E1790" i="6"/>
  <c r="F1790" i="6" s="1"/>
  <c r="E1789" i="6"/>
  <c r="F1789" i="6" s="1"/>
  <c r="E1788" i="6"/>
  <c r="F1788" i="6" s="1"/>
  <c r="E1787" i="6"/>
  <c r="F1787" i="6" s="1"/>
  <c r="E1786" i="6"/>
  <c r="F1786" i="6" s="1"/>
  <c r="E1785" i="6"/>
  <c r="F1785" i="6" s="1"/>
  <c r="E1784" i="6"/>
  <c r="F1784" i="6" s="1"/>
  <c r="E1783" i="6"/>
  <c r="F1783" i="6" s="1"/>
  <c r="E1782" i="6"/>
  <c r="F1782" i="6" s="1"/>
  <c r="E1781" i="6"/>
  <c r="F1781" i="6" s="1"/>
  <c r="E1780" i="6"/>
  <c r="F1780" i="6" s="1"/>
  <c r="E1779" i="6"/>
  <c r="F1779" i="6" s="1"/>
  <c r="E1778" i="6"/>
  <c r="F1778" i="6" s="1"/>
  <c r="E1777" i="6"/>
  <c r="F1777" i="6" s="1"/>
  <c r="E1776" i="6"/>
  <c r="F1776" i="6" s="1"/>
  <c r="E1775" i="6"/>
  <c r="F1775" i="6" s="1"/>
  <c r="E1774" i="6"/>
  <c r="F1774" i="6" s="1"/>
  <c r="E1773" i="6"/>
  <c r="F1773" i="6" s="1"/>
  <c r="E1772" i="6"/>
  <c r="F1772" i="6" s="1"/>
  <c r="E1771" i="6"/>
  <c r="F1771" i="6" s="1"/>
  <c r="E1770" i="6"/>
  <c r="F1770" i="6" s="1"/>
  <c r="E1769" i="6"/>
  <c r="F1769" i="6" s="1"/>
  <c r="E1768" i="6"/>
  <c r="F1768" i="6" s="1"/>
  <c r="E1767" i="6"/>
  <c r="F1767" i="6" s="1"/>
  <c r="E1766" i="6"/>
  <c r="F1766" i="6" s="1"/>
  <c r="E1765" i="6"/>
  <c r="F1765" i="6" s="1"/>
  <c r="E1764" i="6"/>
  <c r="F1764" i="6" s="1"/>
  <c r="E1763" i="6"/>
  <c r="F1763" i="6" s="1"/>
  <c r="E1762" i="6"/>
  <c r="F1762" i="6" s="1"/>
  <c r="E1761" i="6"/>
  <c r="F1761" i="6" s="1"/>
  <c r="E1760" i="6"/>
  <c r="F1760" i="6" s="1"/>
  <c r="E1759" i="6"/>
  <c r="F1759" i="6" s="1"/>
  <c r="E1758" i="6"/>
  <c r="F1758" i="6" s="1"/>
  <c r="E1757" i="6"/>
  <c r="F1757" i="6" s="1"/>
  <c r="E1756" i="6"/>
  <c r="F1756" i="6" s="1"/>
  <c r="E1755" i="6"/>
  <c r="F1755" i="6" s="1"/>
  <c r="E1754" i="6"/>
  <c r="F1754" i="6" s="1"/>
  <c r="E1753" i="6"/>
  <c r="F1753" i="6" s="1"/>
  <c r="E1752" i="6"/>
  <c r="F1752" i="6" s="1"/>
  <c r="E1751" i="6"/>
  <c r="F1751" i="6" s="1"/>
  <c r="E1750" i="6"/>
  <c r="F1750" i="6" s="1"/>
  <c r="E1749" i="6"/>
  <c r="F1749" i="6" s="1"/>
  <c r="E1748" i="6"/>
  <c r="F1748" i="6" s="1"/>
  <c r="E1747" i="6"/>
  <c r="F1747" i="6" s="1"/>
  <c r="E1746" i="6"/>
  <c r="F1746" i="6" s="1"/>
  <c r="E1745" i="6"/>
  <c r="F1745" i="6" s="1"/>
  <c r="E1744" i="6"/>
  <c r="F1744" i="6" s="1"/>
  <c r="E1743" i="6"/>
  <c r="F1743" i="6" s="1"/>
  <c r="E1742" i="6"/>
  <c r="F1742" i="6" s="1"/>
  <c r="E1741" i="6"/>
  <c r="F1741" i="6" s="1"/>
  <c r="E1740" i="6"/>
  <c r="F1740" i="6" s="1"/>
  <c r="E1739" i="6"/>
  <c r="F1739" i="6" s="1"/>
  <c r="E1738" i="6"/>
  <c r="F1738" i="6" s="1"/>
  <c r="E1737" i="6"/>
  <c r="F1737" i="6" s="1"/>
  <c r="E1736" i="6"/>
  <c r="F1736" i="6" s="1"/>
  <c r="E1735" i="6"/>
  <c r="F1735" i="6" s="1"/>
  <c r="E1734" i="6"/>
  <c r="F1734" i="6" s="1"/>
  <c r="E1733" i="6"/>
  <c r="F1733" i="6" s="1"/>
  <c r="E1732" i="6"/>
  <c r="F1732" i="6" s="1"/>
  <c r="E1731" i="6"/>
  <c r="F1731" i="6" s="1"/>
  <c r="E1730" i="6"/>
  <c r="F1730" i="6" s="1"/>
  <c r="E1729" i="6"/>
  <c r="F1729" i="6" s="1"/>
  <c r="E1728" i="6"/>
  <c r="F1728" i="6" s="1"/>
  <c r="E1727" i="6"/>
  <c r="F1727" i="6" s="1"/>
  <c r="E1726" i="6"/>
  <c r="F1726" i="6" s="1"/>
  <c r="E1725" i="6"/>
  <c r="F1725" i="6" s="1"/>
  <c r="E1724" i="6"/>
  <c r="F1724" i="6" s="1"/>
  <c r="E1723" i="6"/>
  <c r="F1723" i="6" s="1"/>
  <c r="E1722" i="6"/>
  <c r="F1722" i="6" s="1"/>
  <c r="E1721" i="6"/>
  <c r="F1721" i="6" s="1"/>
  <c r="E1720" i="6"/>
  <c r="F1720" i="6" s="1"/>
  <c r="E1719" i="6"/>
  <c r="F1719" i="6" s="1"/>
  <c r="E1718" i="6"/>
  <c r="F1718" i="6" s="1"/>
  <c r="E1717" i="6"/>
  <c r="F1717" i="6" s="1"/>
  <c r="E1716" i="6"/>
  <c r="F1716" i="6" s="1"/>
  <c r="E1715" i="6"/>
  <c r="F1715" i="6" s="1"/>
  <c r="E1714" i="6"/>
  <c r="F1714" i="6" s="1"/>
  <c r="E1713" i="6"/>
  <c r="F1713" i="6" s="1"/>
  <c r="E1712" i="6"/>
  <c r="F1712" i="6" s="1"/>
  <c r="E1711" i="6"/>
  <c r="F1711" i="6" s="1"/>
  <c r="E1710" i="6"/>
  <c r="F1710" i="6" s="1"/>
  <c r="E1709" i="6"/>
  <c r="F1709" i="6" s="1"/>
  <c r="E1708" i="6"/>
  <c r="F1708" i="6" s="1"/>
  <c r="E1707" i="6"/>
  <c r="F1707" i="6" s="1"/>
  <c r="E1706" i="6"/>
  <c r="F1706" i="6" s="1"/>
  <c r="E1705" i="6"/>
  <c r="F1705" i="6" s="1"/>
  <c r="E1704" i="6"/>
  <c r="F1704" i="6" s="1"/>
  <c r="E1703" i="6"/>
  <c r="F1703" i="6" s="1"/>
  <c r="E1702" i="6"/>
  <c r="F1702" i="6" s="1"/>
  <c r="E1701" i="6"/>
  <c r="F1701" i="6" s="1"/>
  <c r="E1700" i="6"/>
  <c r="F1700" i="6" s="1"/>
  <c r="E1699" i="6"/>
  <c r="F1699" i="6" s="1"/>
  <c r="E1698" i="6"/>
  <c r="F1698" i="6" s="1"/>
  <c r="E1697" i="6"/>
  <c r="F1697" i="6" s="1"/>
  <c r="E1696" i="6"/>
  <c r="F1696" i="6" s="1"/>
  <c r="E1695" i="6"/>
  <c r="F1695" i="6" s="1"/>
  <c r="E1694" i="6"/>
  <c r="F1694" i="6" s="1"/>
  <c r="E1693" i="6"/>
  <c r="F1693" i="6" s="1"/>
  <c r="E1692" i="6"/>
  <c r="F1692" i="6" s="1"/>
  <c r="E1691" i="6"/>
  <c r="F1691" i="6" s="1"/>
  <c r="E1690" i="6"/>
  <c r="F1690" i="6" s="1"/>
  <c r="E1689" i="6"/>
  <c r="F1689" i="6" s="1"/>
  <c r="E1688" i="6"/>
  <c r="F1688" i="6" s="1"/>
  <c r="E1687" i="6"/>
  <c r="F1687" i="6" s="1"/>
  <c r="E1686" i="6"/>
  <c r="F1686" i="6" s="1"/>
  <c r="E1685" i="6"/>
  <c r="F1685" i="6" s="1"/>
  <c r="E1684" i="6"/>
  <c r="F1684" i="6" s="1"/>
  <c r="E1683" i="6"/>
  <c r="F1683" i="6" s="1"/>
  <c r="E1682" i="6"/>
  <c r="F1682" i="6" s="1"/>
  <c r="E1681" i="6"/>
  <c r="F1681" i="6" s="1"/>
  <c r="E1680" i="6"/>
  <c r="F1680" i="6" s="1"/>
  <c r="E1679" i="6"/>
  <c r="F1679" i="6" s="1"/>
  <c r="E1678" i="6"/>
  <c r="F1678" i="6" s="1"/>
  <c r="E1677" i="6"/>
  <c r="F1677" i="6" s="1"/>
  <c r="E1676" i="6"/>
  <c r="F1676" i="6" s="1"/>
  <c r="E1675" i="6"/>
  <c r="F1675" i="6" s="1"/>
  <c r="E1674" i="6"/>
  <c r="F1674" i="6" s="1"/>
  <c r="E1673" i="6"/>
  <c r="F1673" i="6" s="1"/>
  <c r="E1672" i="6"/>
  <c r="F1672" i="6" s="1"/>
  <c r="E1671" i="6"/>
  <c r="F1671" i="6" s="1"/>
  <c r="E1670" i="6"/>
  <c r="F1670" i="6" s="1"/>
  <c r="E1669" i="6"/>
  <c r="F1669" i="6" s="1"/>
  <c r="E1668" i="6"/>
  <c r="F1668" i="6" s="1"/>
  <c r="E1667" i="6"/>
  <c r="F1667" i="6" s="1"/>
  <c r="E1666" i="6"/>
  <c r="F1666" i="6" s="1"/>
  <c r="E1665" i="6"/>
  <c r="F1665" i="6" s="1"/>
  <c r="E1664" i="6"/>
  <c r="F1664" i="6" s="1"/>
  <c r="E1663" i="6"/>
  <c r="F1663" i="6" s="1"/>
  <c r="E1662" i="6"/>
  <c r="F1662" i="6" s="1"/>
  <c r="E1661" i="6"/>
  <c r="F1661" i="6" s="1"/>
  <c r="E1660" i="6"/>
  <c r="F1660" i="6" s="1"/>
  <c r="E1659" i="6"/>
  <c r="F1659" i="6" s="1"/>
  <c r="E1658" i="6"/>
  <c r="F1658" i="6" s="1"/>
  <c r="E1657" i="6"/>
  <c r="F1657" i="6" s="1"/>
  <c r="E1656" i="6"/>
  <c r="F1656" i="6" s="1"/>
  <c r="E1655" i="6"/>
  <c r="F1655" i="6" s="1"/>
  <c r="E1654" i="6"/>
  <c r="F1654" i="6" s="1"/>
  <c r="E1653" i="6"/>
  <c r="F1653" i="6" s="1"/>
  <c r="E1652" i="6"/>
  <c r="F1652" i="6" s="1"/>
  <c r="E1651" i="6"/>
  <c r="F1651" i="6" s="1"/>
  <c r="E1650" i="6"/>
  <c r="F1650" i="6" s="1"/>
  <c r="E1649" i="6"/>
  <c r="F1649" i="6" s="1"/>
  <c r="E1648" i="6"/>
  <c r="F1648" i="6" s="1"/>
  <c r="E1647" i="6"/>
  <c r="F1647" i="6" s="1"/>
  <c r="E1646" i="6"/>
  <c r="F1646" i="6" s="1"/>
  <c r="E1645" i="6"/>
  <c r="F1645" i="6" s="1"/>
  <c r="E1644" i="6"/>
  <c r="F1644" i="6" s="1"/>
  <c r="E1643" i="6"/>
  <c r="F1643" i="6" s="1"/>
  <c r="E1642" i="6"/>
  <c r="F1642" i="6" s="1"/>
  <c r="E1641" i="6"/>
  <c r="F1641" i="6" s="1"/>
  <c r="E1640" i="6"/>
  <c r="F1640" i="6" s="1"/>
  <c r="E1639" i="6"/>
  <c r="F1639" i="6" s="1"/>
  <c r="E1638" i="6"/>
  <c r="F1638" i="6" s="1"/>
  <c r="E1637" i="6"/>
  <c r="F1637" i="6" s="1"/>
  <c r="E1636" i="6"/>
  <c r="F1636" i="6" s="1"/>
  <c r="E1635" i="6"/>
  <c r="F1635" i="6" s="1"/>
  <c r="E1634" i="6"/>
  <c r="F1634" i="6" s="1"/>
  <c r="E1633" i="6"/>
  <c r="F1633" i="6" s="1"/>
  <c r="E1632" i="6"/>
  <c r="F1632" i="6" s="1"/>
  <c r="E1631" i="6"/>
  <c r="F1631" i="6" s="1"/>
  <c r="E1630" i="6"/>
  <c r="F1630" i="6" s="1"/>
  <c r="E1629" i="6"/>
  <c r="F1629" i="6" s="1"/>
  <c r="E1628" i="6"/>
  <c r="F1628" i="6" s="1"/>
  <c r="E1627" i="6"/>
  <c r="F1627" i="6" s="1"/>
  <c r="E1626" i="6"/>
  <c r="F1626" i="6" s="1"/>
  <c r="E1625" i="6"/>
  <c r="F1625" i="6" s="1"/>
  <c r="E1624" i="6"/>
  <c r="F1624" i="6" s="1"/>
  <c r="E1623" i="6"/>
  <c r="F1623" i="6" s="1"/>
  <c r="E1622" i="6"/>
  <c r="F1622" i="6" s="1"/>
  <c r="E1621" i="6"/>
  <c r="F1621" i="6" s="1"/>
  <c r="E1620" i="6"/>
  <c r="F1620" i="6" s="1"/>
  <c r="E1619" i="6"/>
  <c r="F1619" i="6" s="1"/>
  <c r="E1618" i="6"/>
  <c r="F1618" i="6" s="1"/>
  <c r="E1617" i="6"/>
  <c r="F1617" i="6" s="1"/>
  <c r="E1616" i="6"/>
  <c r="F1616" i="6" s="1"/>
  <c r="E1615" i="6"/>
  <c r="F1615" i="6" s="1"/>
  <c r="E1614" i="6"/>
  <c r="F1614" i="6" s="1"/>
  <c r="E1613" i="6"/>
  <c r="F1613" i="6" s="1"/>
  <c r="E1612" i="6"/>
  <c r="F1612" i="6" s="1"/>
  <c r="E1611" i="6"/>
  <c r="F1611" i="6" s="1"/>
  <c r="E1610" i="6"/>
  <c r="F1610" i="6" s="1"/>
  <c r="E1609" i="6"/>
  <c r="F1609" i="6" s="1"/>
  <c r="E1608" i="6"/>
  <c r="F1608" i="6" s="1"/>
  <c r="E1607" i="6"/>
  <c r="F1607" i="6" s="1"/>
  <c r="E1606" i="6"/>
  <c r="F1606" i="6" s="1"/>
  <c r="E1605" i="6"/>
  <c r="F1605" i="6" s="1"/>
  <c r="E1604" i="6"/>
  <c r="F1604" i="6" s="1"/>
  <c r="E1603" i="6"/>
  <c r="F1603" i="6" s="1"/>
  <c r="E1602" i="6"/>
  <c r="F1602" i="6" s="1"/>
  <c r="E1601" i="6"/>
  <c r="F1601" i="6" s="1"/>
  <c r="E1600" i="6"/>
  <c r="F1600" i="6" s="1"/>
  <c r="E1599" i="6"/>
  <c r="F1599" i="6" s="1"/>
  <c r="E1598" i="6"/>
  <c r="F1598" i="6" s="1"/>
  <c r="E1597" i="6"/>
  <c r="F1597" i="6" s="1"/>
  <c r="E1596" i="6"/>
  <c r="F1596" i="6" s="1"/>
  <c r="E1595" i="6"/>
  <c r="F1595" i="6" s="1"/>
  <c r="E1594" i="6"/>
  <c r="F1594" i="6" s="1"/>
  <c r="E1593" i="6"/>
  <c r="F1593" i="6" s="1"/>
  <c r="E1592" i="6"/>
  <c r="F1592" i="6" s="1"/>
  <c r="E1591" i="6"/>
  <c r="F1591" i="6" s="1"/>
  <c r="E1590" i="6"/>
  <c r="F1590" i="6" s="1"/>
  <c r="E1589" i="6"/>
  <c r="F1589" i="6" s="1"/>
  <c r="E1588" i="6"/>
  <c r="F1588" i="6" s="1"/>
  <c r="E1587" i="6"/>
  <c r="F1587" i="6" s="1"/>
  <c r="E1586" i="6"/>
  <c r="F1586" i="6" s="1"/>
  <c r="E1585" i="6"/>
  <c r="F1585" i="6" s="1"/>
  <c r="E1584" i="6"/>
  <c r="F1584" i="6" s="1"/>
  <c r="E1583" i="6"/>
  <c r="F1583" i="6" s="1"/>
  <c r="E1582" i="6"/>
  <c r="F1582" i="6" s="1"/>
  <c r="E1581" i="6"/>
  <c r="F1581" i="6" s="1"/>
  <c r="E1580" i="6"/>
  <c r="F1580" i="6" s="1"/>
  <c r="E1579" i="6"/>
  <c r="F1579" i="6" s="1"/>
  <c r="E1578" i="6"/>
  <c r="F1578" i="6" s="1"/>
  <c r="E1577" i="6"/>
  <c r="F1577" i="6" s="1"/>
  <c r="E1576" i="6"/>
  <c r="F1576" i="6" s="1"/>
  <c r="E1575" i="6"/>
  <c r="F1575" i="6" s="1"/>
  <c r="E1574" i="6"/>
  <c r="F1574" i="6" s="1"/>
  <c r="E1573" i="6"/>
  <c r="F1573" i="6" s="1"/>
  <c r="E1572" i="6"/>
  <c r="F1572" i="6" s="1"/>
  <c r="E1571" i="6"/>
  <c r="F1571" i="6" s="1"/>
  <c r="E1570" i="6"/>
  <c r="F1570" i="6" s="1"/>
  <c r="E1569" i="6"/>
  <c r="F1569" i="6" s="1"/>
  <c r="E1568" i="6"/>
  <c r="F1568" i="6" s="1"/>
  <c r="E1567" i="6"/>
  <c r="F1567" i="6" s="1"/>
  <c r="E1566" i="6"/>
  <c r="F1566" i="6" s="1"/>
  <c r="E1565" i="6"/>
  <c r="F1565" i="6" s="1"/>
  <c r="E1564" i="6"/>
  <c r="F1564" i="6" s="1"/>
  <c r="E1563" i="6"/>
  <c r="F1563" i="6" s="1"/>
  <c r="E1562" i="6"/>
  <c r="F1562" i="6" s="1"/>
  <c r="E1561" i="6"/>
  <c r="F1561" i="6" s="1"/>
  <c r="E1560" i="6"/>
  <c r="F1560" i="6" s="1"/>
  <c r="E1559" i="6"/>
  <c r="F1559" i="6" s="1"/>
  <c r="E1558" i="6"/>
  <c r="F1558" i="6" s="1"/>
  <c r="E1557" i="6"/>
  <c r="F1557" i="6" s="1"/>
  <c r="E1556" i="6"/>
  <c r="F1556" i="6" s="1"/>
  <c r="E1555" i="6"/>
  <c r="F1555" i="6" s="1"/>
  <c r="E1554" i="6"/>
  <c r="F1554" i="6" s="1"/>
  <c r="E1553" i="6"/>
  <c r="F1553" i="6" s="1"/>
  <c r="E1552" i="6"/>
  <c r="F1552" i="6" s="1"/>
  <c r="E1551" i="6"/>
  <c r="F1551" i="6" s="1"/>
  <c r="E1550" i="6"/>
  <c r="F1550" i="6" s="1"/>
  <c r="E1549" i="6"/>
  <c r="F1549" i="6" s="1"/>
  <c r="E1548" i="6"/>
  <c r="F1548" i="6" s="1"/>
  <c r="E1547" i="6"/>
  <c r="F1547" i="6" s="1"/>
  <c r="E1546" i="6"/>
  <c r="F1546" i="6" s="1"/>
  <c r="E1545" i="6"/>
  <c r="F1545" i="6" s="1"/>
  <c r="E1544" i="6"/>
  <c r="F1544" i="6" s="1"/>
  <c r="E1543" i="6"/>
  <c r="F1543" i="6" s="1"/>
  <c r="E1542" i="6"/>
  <c r="F1542" i="6" s="1"/>
  <c r="E1541" i="6"/>
  <c r="F1541" i="6" s="1"/>
  <c r="E1540" i="6"/>
  <c r="F1540" i="6" s="1"/>
  <c r="E1539" i="6"/>
  <c r="F1539" i="6" s="1"/>
  <c r="E1538" i="6"/>
  <c r="F1538" i="6" s="1"/>
  <c r="E1537" i="6"/>
  <c r="F1537" i="6" s="1"/>
  <c r="E1536" i="6"/>
  <c r="F1536" i="6" s="1"/>
  <c r="E1535" i="6"/>
  <c r="F1535" i="6" s="1"/>
  <c r="E1534" i="6"/>
  <c r="F1534" i="6" s="1"/>
  <c r="E1533" i="6"/>
  <c r="F1533" i="6" s="1"/>
  <c r="E1532" i="6"/>
  <c r="F1532" i="6" s="1"/>
  <c r="E1531" i="6"/>
  <c r="F1531" i="6" s="1"/>
  <c r="E1530" i="6"/>
  <c r="F1530" i="6" s="1"/>
  <c r="E1529" i="6"/>
  <c r="F1529" i="6" s="1"/>
  <c r="E1528" i="6"/>
  <c r="F1528" i="6" s="1"/>
  <c r="E1527" i="6"/>
  <c r="F1527" i="6" s="1"/>
  <c r="E1526" i="6"/>
  <c r="F1526" i="6" s="1"/>
  <c r="E1525" i="6"/>
  <c r="F1525" i="6" s="1"/>
  <c r="E1524" i="6"/>
  <c r="F1524" i="6" s="1"/>
  <c r="E1523" i="6"/>
  <c r="F1523" i="6" s="1"/>
  <c r="E1522" i="6"/>
  <c r="F1522" i="6" s="1"/>
  <c r="E1521" i="6"/>
  <c r="F1521" i="6" s="1"/>
  <c r="E1520" i="6"/>
  <c r="F1520" i="6" s="1"/>
  <c r="E1519" i="6"/>
  <c r="F1519" i="6" s="1"/>
  <c r="E1518" i="6"/>
  <c r="F1518" i="6" s="1"/>
  <c r="E1517" i="6"/>
  <c r="F1517" i="6" s="1"/>
  <c r="E1516" i="6"/>
  <c r="F1516" i="6" s="1"/>
  <c r="E1515" i="6"/>
  <c r="F1515" i="6" s="1"/>
  <c r="E1514" i="6"/>
  <c r="F1514" i="6" s="1"/>
  <c r="E1513" i="6"/>
  <c r="F1513" i="6" s="1"/>
  <c r="E1512" i="6"/>
  <c r="F1512" i="6" s="1"/>
  <c r="E1511" i="6"/>
  <c r="F1511" i="6" s="1"/>
  <c r="E1510" i="6"/>
  <c r="F1510" i="6" s="1"/>
  <c r="E1509" i="6"/>
  <c r="F1509" i="6" s="1"/>
  <c r="E1508" i="6"/>
  <c r="F1508" i="6" s="1"/>
  <c r="E1507" i="6"/>
  <c r="F1507" i="6" s="1"/>
  <c r="E1506" i="6"/>
  <c r="F1506" i="6" s="1"/>
  <c r="E1505" i="6"/>
  <c r="F1505" i="6" s="1"/>
  <c r="E1504" i="6"/>
  <c r="F1504" i="6" s="1"/>
  <c r="E1503" i="6"/>
  <c r="F1503" i="6" s="1"/>
  <c r="E1502" i="6"/>
  <c r="F1502" i="6" s="1"/>
  <c r="E1501" i="6"/>
  <c r="F1501" i="6" s="1"/>
  <c r="E1500" i="6"/>
  <c r="F1500" i="6" s="1"/>
  <c r="E1499" i="6"/>
  <c r="F1499" i="6" s="1"/>
  <c r="E1498" i="6"/>
  <c r="F1498" i="6" s="1"/>
  <c r="E1497" i="6"/>
  <c r="F1497" i="6" s="1"/>
  <c r="E1496" i="6"/>
  <c r="F1496" i="6" s="1"/>
  <c r="E1495" i="6"/>
  <c r="F1495" i="6" s="1"/>
  <c r="E1494" i="6"/>
  <c r="F1494" i="6" s="1"/>
  <c r="E1493" i="6"/>
  <c r="F1493" i="6" s="1"/>
  <c r="E1492" i="6"/>
  <c r="F1492" i="6" s="1"/>
  <c r="E1491" i="6"/>
  <c r="F1491" i="6" s="1"/>
  <c r="E1490" i="6"/>
  <c r="F1490" i="6" s="1"/>
  <c r="E1489" i="6"/>
  <c r="F1489" i="6" s="1"/>
  <c r="E1488" i="6"/>
  <c r="F1488" i="6" s="1"/>
  <c r="E1487" i="6"/>
  <c r="F1487" i="6" s="1"/>
  <c r="E1486" i="6"/>
  <c r="F1486" i="6" s="1"/>
  <c r="E1485" i="6"/>
  <c r="F1485" i="6" s="1"/>
  <c r="E1484" i="6"/>
  <c r="F1484" i="6" s="1"/>
  <c r="E1483" i="6"/>
  <c r="F1483" i="6" s="1"/>
  <c r="E1482" i="6"/>
  <c r="F1482" i="6" s="1"/>
  <c r="E1481" i="6"/>
  <c r="F1481" i="6" s="1"/>
  <c r="E1480" i="6"/>
  <c r="F1480" i="6" s="1"/>
  <c r="E1479" i="6"/>
  <c r="F1479" i="6" s="1"/>
  <c r="E1478" i="6"/>
  <c r="F1478" i="6" s="1"/>
  <c r="E1477" i="6"/>
  <c r="F1477" i="6" s="1"/>
  <c r="E1476" i="6"/>
  <c r="F1476" i="6" s="1"/>
  <c r="E1475" i="6"/>
  <c r="F1475" i="6" s="1"/>
  <c r="E1474" i="6"/>
  <c r="F1474" i="6" s="1"/>
  <c r="E1473" i="6"/>
  <c r="F1473" i="6" s="1"/>
  <c r="E1472" i="6"/>
  <c r="F1472" i="6" s="1"/>
  <c r="E1471" i="6"/>
  <c r="F1471" i="6" s="1"/>
  <c r="E1470" i="6"/>
  <c r="F1470" i="6" s="1"/>
  <c r="E1469" i="6"/>
  <c r="F1469" i="6" s="1"/>
  <c r="E1468" i="6"/>
  <c r="F1468" i="6" s="1"/>
  <c r="E1467" i="6"/>
  <c r="F1467" i="6" s="1"/>
  <c r="E1466" i="6"/>
  <c r="F1466" i="6" s="1"/>
  <c r="E1465" i="6"/>
  <c r="F1465" i="6" s="1"/>
  <c r="E1464" i="6"/>
  <c r="F1464" i="6" s="1"/>
  <c r="E1463" i="6"/>
  <c r="F1463" i="6" s="1"/>
  <c r="E1462" i="6"/>
  <c r="F1462" i="6" s="1"/>
  <c r="E1461" i="6"/>
  <c r="F1461" i="6" s="1"/>
  <c r="E1460" i="6"/>
  <c r="F1460" i="6" s="1"/>
  <c r="E1459" i="6"/>
  <c r="F1459" i="6" s="1"/>
  <c r="E1458" i="6"/>
  <c r="F1458" i="6" s="1"/>
  <c r="E1457" i="6"/>
  <c r="F1457" i="6" s="1"/>
  <c r="E1456" i="6"/>
  <c r="F1456" i="6" s="1"/>
  <c r="E1455" i="6"/>
  <c r="F1455" i="6" s="1"/>
  <c r="E1454" i="6"/>
  <c r="F1454" i="6" s="1"/>
  <c r="E1453" i="6"/>
  <c r="F1453" i="6" s="1"/>
  <c r="E1452" i="6"/>
  <c r="F1452" i="6" s="1"/>
  <c r="E1451" i="6"/>
  <c r="F1451" i="6" s="1"/>
  <c r="E1450" i="6"/>
  <c r="F1450" i="6" s="1"/>
  <c r="E1449" i="6"/>
  <c r="F1449" i="6" s="1"/>
  <c r="E1448" i="6"/>
  <c r="F1448" i="6" s="1"/>
  <c r="E1447" i="6"/>
  <c r="F1447" i="6" s="1"/>
  <c r="E1446" i="6"/>
  <c r="F1446" i="6" s="1"/>
  <c r="E1445" i="6"/>
  <c r="F1445" i="6" s="1"/>
  <c r="E1444" i="6"/>
  <c r="F1444" i="6" s="1"/>
  <c r="E1443" i="6"/>
  <c r="F1443" i="6" s="1"/>
  <c r="E1442" i="6"/>
  <c r="F1442" i="6" s="1"/>
  <c r="E1441" i="6"/>
  <c r="F1441" i="6" s="1"/>
  <c r="E1440" i="6"/>
  <c r="F1440" i="6" s="1"/>
  <c r="E1439" i="6"/>
  <c r="F1439" i="6" s="1"/>
  <c r="E1438" i="6"/>
  <c r="F1438" i="6" s="1"/>
  <c r="E1437" i="6"/>
  <c r="F1437" i="6" s="1"/>
  <c r="E1436" i="6"/>
  <c r="F1436" i="6" s="1"/>
  <c r="E1435" i="6"/>
  <c r="F1435" i="6" s="1"/>
  <c r="E1434" i="6"/>
  <c r="F1434" i="6" s="1"/>
  <c r="E1433" i="6"/>
  <c r="F1433" i="6" s="1"/>
  <c r="E1432" i="6"/>
  <c r="F1432" i="6" s="1"/>
  <c r="E1431" i="6"/>
  <c r="F1431" i="6" s="1"/>
  <c r="E1430" i="6"/>
  <c r="F1430" i="6" s="1"/>
  <c r="E1429" i="6"/>
  <c r="F1429" i="6" s="1"/>
  <c r="E1428" i="6"/>
  <c r="F1428" i="6" s="1"/>
  <c r="E1427" i="6"/>
  <c r="F1427" i="6" s="1"/>
  <c r="E1426" i="6"/>
  <c r="F1426" i="6" s="1"/>
  <c r="E1425" i="6"/>
  <c r="F1425" i="6" s="1"/>
  <c r="E1424" i="6"/>
  <c r="F1424" i="6" s="1"/>
  <c r="E1423" i="6"/>
  <c r="F1423" i="6" s="1"/>
  <c r="E1422" i="6"/>
  <c r="F1422" i="6" s="1"/>
  <c r="E1421" i="6"/>
  <c r="F1421" i="6" s="1"/>
  <c r="E1420" i="6"/>
  <c r="F1420" i="6" s="1"/>
  <c r="E1419" i="6"/>
  <c r="F1419" i="6" s="1"/>
  <c r="E1418" i="6"/>
  <c r="F1418" i="6" s="1"/>
  <c r="E1417" i="6"/>
  <c r="F1417" i="6" s="1"/>
  <c r="E1416" i="6"/>
  <c r="F1416" i="6" s="1"/>
  <c r="E1415" i="6"/>
  <c r="F1415" i="6" s="1"/>
  <c r="E1414" i="6"/>
  <c r="F1414" i="6" s="1"/>
  <c r="E1413" i="6"/>
  <c r="F1413" i="6" s="1"/>
  <c r="E1412" i="6"/>
  <c r="F1412" i="6" s="1"/>
  <c r="E1411" i="6"/>
  <c r="F1411" i="6" s="1"/>
  <c r="E1410" i="6"/>
  <c r="F1410" i="6" s="1"/>
  <c r="E1409" i="6"/>
  <c r="F1409" i="6" s="1"/>
  <c r="E1408" i="6"/>
  <c r="F1408" i="6" s="1"/>
  <c r="E1407" i="6"/>
  <c r="F1407" i="6" s="1"/>
  <c r="E1406" i="6"/>
  <c r="F1406" i="6" s="1"/>
  <c r="E1405" i="6"/>
  <c r="F1405" i="6" s="1"/>
  <c r="E1404" i="6"/>
  <c r="F1404" i="6" s="1"/>
  <c r="E1403" i="6"/>
  <c r="F1403" i="6" s="1"/>
  <c r="E1402" i="6"/>
  <c r="F1402" i="6" s="1"/>
  <c r="E1401" i="6"/>
  <c r="F1401" i="6" s="1"/>
  <c r="E1400" i="6"/>
  <c r="F1400" i="6" s="1"/>
  <c r="E1399" i="6"/>
  <c r="F1399" i="6" s="1"/>
  <c r="E1398" i="6"/>
  <c r="F1398" i="6" s="1"/>
  <c r="E1397" i="6"/>
  <c r="F1397" i="6" s="1"/>
  <c r="E1396" i="6"/>
  <c r="F1396" i="6" s="1"/>
  <c r="E1395" i="6"/>
  <c r="F1395" i="6" s="1"/>
  <c r="E1394" i="6"/>
  <c r="F1394" i="6" s="1"/>
  <c r="E1393" i="6"/>
  <c r="F1393" i="6" s="1"/>
  <c r="E1392" i="6"/>
  <c r="F1392" i="6" s="1"/>
  <c r="E1391" i="6"/>
  <c r="F1391" i="6" s="1"/>
  <c r="E1390" i="6"/>
  <c r="F1390" i="6" s="1"/>
  <c r="E1389" i="6"/>
  <c r="F1389" i="6" s="1"/>
  <c r="E1388" i="6"/>
  <c r="F1388" i="6" s="1"/>
  <c r="E1387" i="6"/>
  <c r="F1387" i="6" s="1"/>
  <c r="E1386" i="6"/>
  <c r="F1386" i="6" s="1"/>
  <c r="E1385" i="6"/>
  <c r="F1385" i="6" s="1"/>
  <c r="E1384" i="6"/>
  <c r="F1384" i="6" s="1"/>
  <c r="E1383" i="6"/>
  <c r="F1383" i="6" s="1"/>
  <c r="E1382" i="6"/>
  <c r="F1382" i="6" s="1"/>
  <c r="E1381" i="6"/>
  <c r="F1381" i="6" s="1"/>
  <c r="E1380" i="6"/>
  <c r="F1380" i="6" s="1"/>
  <c r="E1379" i="6"/>
  <c r="F1379" i="6" s="1"/>
  <c r="E1378" i="6"/>
  <c r="F1378" i="6" s="1"/>
  <c r="E1377" i="6"/>
  <c r="F1377" i="6" s="1"/>
  <c r="E1376" i="6"/>
  <c r="F1376" i="6" s="1"/>
  <c r="E1375" i="6"/>
  <c r="F1375" i="6" s="1"/>
  <c r="E1374" i="6"/>
  <c r="F1374" i="6" s="1"/>
  <c r="E1373" i="6"/>
  <c r="F1373" i="6" s="1"/>
  <c r="E1372" i="6"/>
  <c r="F1372" i="6" s="1"/>
  <c r="E1371" i="6"/>
  <c r="F1371" i="6" s="1"/>
  <c r="E1370" i="6"/>
  <c r="F1370" i="6" s="1"/>
  <c r="E1369" i="6"/>
  <c r="F1369" i="6" s="1"/>
  <c r="E1368" i="6"/>
  <c r="F1368" i="6" s="1"/>
  <c r="E1367" i="6"/>
  <c r="F1367" i="6" s="1"/>
  <c r="E1366" i="6"/>
  <c r="F1366" i="6" s="1"/>
  <c r="E1365" i="6"/>
  <c r="F1365" i="6" s="1"/>
  <c r="E1364" i="6"/>
  <c r="F1364" i="6" s="1"/>
  <c r="E1363" i="6"/>
  <c r="F1363" i="6" s="1"/>
  <c r="E1362" i="6"/>
  <c r="F1362" i="6" s="1"/>
  <c r="E1361" i="6"/>
  <c r="F1361" i="6" s="1"/>
  <c r="E1360" i="6"/>
  <c r="F1360" i="6" s="1"/>
  <c r="E1359" i="6"/>
  <c r="F1359" i="6" s="1"/>
  <c r="E1358" i="6"/>
  <c r="F1358" i="6" s="1"/>
  <c r="E1357" i="6"/>
  <c r="F1357" i="6" s="1"/>
  <c r="E1356" i="6"/>
  <c r="F1356" i="6" s="1"/>
  <c r="E1355" i="6"/>
  <c r="F1355" i="6" s="1"/>
  <c r="E1354" i="6"/>
  <c r="F1354" i="6" s="1"/>
  <c r="E1353" i="6"/>
  <c r="F1353" i="6" s="1"/>
  <c r="E1352" i="6"/>
  <c r="F1352" i="6" s="1"/>
  <c r="E1351" i="6"/>
  <c r="F1351" i="6" s="1"/>
  <c r="E1350" i="6"/>
  <c r="F1350" i="6" s="1"/>
  <c r="E1349" i="6"/>
  <c r="F1349" i="6" s="1"/>
  <c r="E1348" i="6"/>
  <c r="F1348" i="6" s="1"/>
  <c r="E1347" i="6"/>
  <c r="F1347" i="6" s="1"/>
  <c r="E1346" i="6"/>
  <c r="F1346" i="6" s="1"/>
  <c r="E1345" i="6"/>
  <c r="F1345" i="6" s="1"/>
  <c r="E1344" i="6"/>
  <c r="F1344" i="6" s="1"/>
  <c r="E1343" i="6"/>
  <c r="F1343" i="6" s="1"/>
  <c r="E1342" i="6"/>
  <c r="F1342" i="6" s="1"/>
  <c r="E1341" i="6"/>
  <c r="F1341" i="6" s="1"/>
  <c r="E1340" i="6"/>
  <c r="F1340" i="6" s="1"/>
  <c r="E1339" i="6"/>
  <c r="F1339" i="6" s="1"/>
  <c r="E1338" i="6"/>
  <c r="F1338" i="6" s="1"/>
  <c r="E1337" i="6"/>
  <c r="F1337" i="6" s="1"/>
  <c r="E1336" i="6"/>
  <c r="F1336" i="6" s="1"/>
  <c r="E1335" i="6"/>
  <c r="F1335" i="6" s="1"/>
  <c r="E1334" i="6"/>
  <c r="F1334" i="6" s="1"/>
  <c r="E1333" i="6"/>
  <c r="F1333" i="6" s="1"/>
  <c r="E1332" i="6"/>
  <c r="F1332" i="6" s="1"/>
  <c r="E1331" i="6"/>
  <c r="F1331" i="6" s="1"/>
  <c r="E1330" i="6"/>
  <c r="F1330" i="6" s="1"/>
  <c r="E1329" i="6"/>
  <c r="F1329" i="6" s="1"/>
  <c r="E1328" i="6"/>
  <c r="F1328" i="6" s="1"/>
  <c r="E1327" i="6"/>
  <c r="F1327" i="6" s="1"/>
  <c r="E1326" i="6"/>
  <c r="F1326" i="6" s="1"/>
  <c r="E1325" i="6"/>
  <c r="F1325" i="6" s="1"/>
  <c r="E1324" i="6"/>
  <c r="F1324" i="6" s="1"/>
  <c r="E1323" i="6"/>
  <c r="F1323" i="6" s="1"/>
  <c r="E1322" i="6"/>
  <c r="F1322" i="6" s="1"/>
  <c r="E1321" i="6"/>
  <c r="F1321" i="6" s="1"/>
  <c r="E1320" i="6"/>
  <c r="F1320" i="6" s="1"/>
  <c r="E1319" i="6"/>
  <c r="F1319" i="6" s="1"/>
  <c r="E1318" i="6"/>
  <c r="F1318" i="6" s="1"/>
  <c r="E1317" i="6"/>
  <c r="F1317" i="6" s="1"/>
  <c r="E1316" i="6"/>
  <c r="F1316" i="6" s="1"/>
  <c r="E1315" i="6"/>
  <c r="F1315" i="6" s="1"/>
  <c r="E1314" i="6"/>
  <c r="F1314" i="6" s="1"/>
  <c r="E1313" i="6"/>
  <c r="F1313" i="6" s="1"/>
  <c r="E1312" i="6"/>
  <c r="F1312" i="6" s="1"/>
  <c r="E1311" i="6"/>
  <c r="F1311" i="6" s="1"/>
  <c r="E1310" i="6"/>
  <c r="F1310" i="6" s="1"/>
  <c r="E1309" i="6"/>
  <c r="F1309" i="6" s="1"/>
  <c r="E1308" i="6"/>
  <c r="F1308" i="6" s="1"/>
  <c r="E1307" i="6"/>
  <c r="F1307" i="6" s="1"/>
  <c r="E1306" i="6"/>
  <c r="F1306" i="6" s="1"/>
  <c r="E1305" i="6"/>
  <c r="F1305" i="6" s="1"/>
  <c r="E1304" i="6"/>
  <c r="F1304" i="6" s="1"/>
  <c r="E1303" i="6"/>
  <c r="F1303" i="6" s="1"/>
  <c r="E1302" i="6"/>
  <c r="F1302" i="6" s="1"/>
  <c r="E1301" i="6"/>
  <c r="F1301" i="6" s="1"/>
  <c r="E1300" i="6"/>
  <c r="F1300" i="6" s="1"/>
  <c r="E1299" i="6"/>
  <c r="F1299" i="6" s="1"/>
  <c r="E1298" i="6"/>
  <c r="F1298" i="6" s="1"/>
  <c r="E1297" i="6"/>
  <c r="F1297" i="6" s="1"/>
  <c r="E1296" i="6"/>
  <c r="F1296" i="6" s="1"/>
  <c r="E1295" i="6"/>
  <c r="F1295" i="6" s="1"/>
  <c r="E1294" i="6"/>
  <c r="F1294" i="6" s="1"/>
  <c r="E1293" i="6"/>
  <c r="F1293" i="6" s="1"/>
  <c r="E1292" i="6"/>
  <c r="F1292" i="6" s="1"/>
  <c r="E1291" i="6"/>
  <c r="F1291" i="6" s="1"/>
  <c r="E1290" i="6"/>
  <c r="F1290" i="6" s="1"/>
  <c r="E1289" i="6"/>
  <c r="F1289" i="6" s="1"/>
  <c r="E1288" i="6"/>
  <c r="F1288" i="6" s="1"/>
  <c r="E1287" i="6"/>
  <c r="F1287" i="6" s="1"/>
  <c r="E1286" i="6"/>
  <c r="F1286" i="6" s="1"/>
  <c r="E1285" i="6"/>
  <c r="F1285" i="6" s="1"/>
  <c r="E1284" i="6"/>
  <c r="F1284" i="6" s="1"/>
  <c r="E1283" i="6"/>
  <c r="F1283" i="6" s="1"/>
  <c r="E1282" i="6"/>
  <c r="F1282" i="6" s="1"/>
  <c r="E1281" i="6"/>
  <c r="F1281" i="6" s="1"/>
  <c r="E1280" i="6"/>
  <c r="F1280" i="6" s="1"/>
  <c r="E1279" i="6"/>
  <c r="F1279" i="6" s="1"/>
  <c r="E1278" i="6"/>
  <c r="F1278" i="6" s="1"/>
  <c r="E1277" i="6"/>
  <c r="F1277" i="6" s="1"/>
  <c r="E1276" i="6"/>
  <c r="F1276" i="6" s="1"/>
  <c r="E1275" i="6"/>
  <c r="F1275" i="6" s="1"/>
  <c r="E1274" i="6"/>
  <c r="F1274" i="6" s="1"/>
  <c r="E1273" i="6"/>
  <c r="F1273" i="6" s="1"/>
  <c r="E1272" i="6"/>
  <c r="F1272" i="6" s="1"/>
  <c r="E1271" i="6"/>
  <c r="F1271" i="6" s="1"/>
  <c r="E1270" i="6"/>
  <c r="F1270" i="6" s="1"/>
  <c r="E1269" i="6"/>
  <c r="F1269" i="6" s="1"/>
  <c r="E1268" i="6"/>
  <c r="F1268" i="6" s="1"/>
  <c r="E1267" i="6"/>
  <c r="F1267" i="6" s="1"/>
  <c r="E1266" i="6"/>
  <c r="F1266" i="6" s="1"/>
  <c r="E1265" i="6"/>
  <c r="F1265" i="6" s="1"/>
  <c r="E1264" i="6"/>
  <c r="F1264" i="6" s="1"/>
  <c r="E1263" i="6"/>
  <c r="F1263" i="6" s="1"/>
  <c r="E1262" i="6"/>
  <c r="F1262" i="6" s="1"/>
  <c r="E1261" i="6"/>
  <c r="F1261" i="6" s="1"/>
  <c r="E1260" i="6"/>
  <c r="F1260" i="6" s="1"/>
  <c r="E1259" i="6"/>
  <c r="F1259" i="6" s="1"/>
  <c r="E1258" i="6"/>
  <c r="F1258" i="6" s="1"/>
  <c r="E1257" i="6"/>
  <c r="F1257" i="6" s="1"/>
  <c r="E1256" i="6"/>
  <c r="F1256" i="6" s="1"/>
  <c r="E1255" i="6"/>
  <c r="F1255" i="6" s="1"/>
  <c r="E1254" i="6"/>
  <c r="F1254" i="6" s="1"/>
  <c r="E1253" i="6"/>
  <c r="F1253" i="6" s="1"/>
  <c r="E1252" i="6"/>
  <c r="F1252" i="6" s="1"/>
  <c r="E1251" i="6"/>
  <c r="F1251" i="6" s="1"/>
  <c r="E1250" i="6"/>
  <c r="F1250" i="6" s="1"/>
  <c r="E1249" i="6"/>
  <c r="F1249" i="6" s="1"/>
  <c r="E1248" i="6"/>
  <c r="F1248" i="6" s="1"/>
  <c r="E1247" i="6"/>
  <c r="F1247" i="6" s="1"/>
  <c r="E1246" i="6"/>
  <c r="F1246" i="6" s="1"/>
  <c r="E1245" i="6"/>
  <c r="F1245" i="6" s="1"/>
  <c r="E1244" i="6"/>
  <c r="F1244" i="6" s="1"/>
  <c r="E1243" i="6"/>
  <c r="F1243" i="6" s="1"/>
  <c r="E1242" i="6"/>
  <c r="F1242" i="6" s="1"/>
  <c r="E1241" i="6"/>
  <c r="F1241" i="6" s="1"/>
  <c r="E1240" i="6"/>
  <c r="F1240" i="6" s="1"/>
  <c r="E1239" i="6"/>
  <c r="F1239" i="6" s="1"/>
  <c r="E1238" i="6"/>
  <c r="F1238" i="6" s="1"/>
  <c r="E1237" i="6"/>
  <c r="F1237" i="6" s="1"/>
  <c r="E1236" i="6"/>
  <c r="F1236" i="6" s="1"/>
  <c r="E1235" i="6"/>
  <c r="F1235" i="6" s="1"/>
  <c r="E1234" i="6"/>
  <c r="F1234" i="6" s="1"/>
  <c r="E1233" i="6"/>
  <c r="F1233" i="6" s="1"/>
  <c r="E1232" i="6"/>
  <c r="F1232" i="6" s="1"/>
  <c r="E1231" i="6"/>
  <c r="F1231" i="6" s="1"/>
  <c r="E1230" i="6"/>
  <c r="F1230" i="6" s="1"/>
  <c r="E1229" i="6"/>
  <c r="F1229" i="6" s="1"/>
  <c r="E1228" i="6"/>
  <c r="F1228" i="6" s="1"/>
  <c r="E1227" i="6"/>
  <c r="F1227" i="6" s="1"/>
  <c r="E1226" i="6"/>
  <c r="F1226" i="6" s="1"/>
  <c r="E1225" i="6"/>
  <c r="F1225" i="6" s="1"/>
  <c r="E1224" i="6"/>
  <c r="F1224" i="6" s="1"/>
  <c r="E1223" i="6"/>
  <c r="F1223" i="6" s="1"/>
  <c r="E1222" i="6"/>
  <c r="F1222" i="6" s="1"/>
  <c r="E1221" i="6"/>
  <c r="F1221" i="6" s="1"/>
  <c r="E1220" i="6"/>
  <c r="F1220" i="6" s="1"/>
  <c r="E1219" i="6"/>
  <c r="F1219" i="6" s="1"/>
  <c r="E1218" i="6"/>
  <c r="F1218" i="6" s="1"/>
  <c r="E1217" i="6"/>
  <c r="F1217" i="6" s="1"/>
  <c r="E1216" i="6"/>
  <c r="F1216" i="6" s="1"/>
  <c r="E1215" i="6"/>
  <c r="F1215" i="6" s="1"/>
  <c r="E1214" i="6"/>
  <c r="F1214" i="6" s="1"/>
  <c r="E1213" i="6"/>
  <c r="F1213" i="6" s="1"/>
  <c r="E1212" i="6"/>
  <c r="F1212" i="6" s="1"/>
  <c r="E1211" i="6"/>
  <c r="F1211" i="6" s="1"/>
  <c r="E1210" i="6"/>
  <c r="F1210" i="6" s="1"/>
  <c r="E1209" i="6"/>
  <c r="F1209" i="6" s="1"/>
  <c r="E1208" i="6"/>
  <c r="F1208" i="6" s="1"/>
  <c r="E1207" i="6"/>
  <c r="F1207" i="6" s="1"/>
  <c r="E1206" i="6"/>
  <c r="F1206" i="6" s="1"/>
  <c r="E1205" i="6"/>
  <c r="F1205" i="6" s="1"/>
  <c r="E1204" i="6"/>
  <c r="F1204" i="6" s="1"/>
  <c r="E1203" i="6"/>
  <c r="F1203" i="6" s="1"/>
  <c r="E1202" i="6"/>
  <c r="F1202" i="6" s="1"/>
  <c r="E1201" i="6"/>
  <c r="F1201" i="6" s="1"/>
  <c r="E1200" i="6"/>
  <c r="F1200" i="6" s="1"/>
  <c r="E1199" i="6"/>
  <c r="F1199" i="6" s="1"/>
  <c r="E1198" i="6"/>
  <c r="F1198" i="6" s="1"/>
  <c r="E1197" i="6"/>
  <c r="F1197" i="6" s="1"/>
  <c r="E1196" i="6"/>
  <c r="F1196" i="6" s="1"/>
  <c r="E1195" i="6"/>
  <c r="F1195" i="6" s="1"/>
  <c r="E1194" i="6"/>
  <c r="F1194" i="6" s="1"/>
  <c r="E1193" i="6"/>
  <c r="F1193" i="6" s="1"/>
  <c r="E1192" i="6"/>
  <c r="F1192" i="6" s="1"/>
  <c r="E1191" i="6"/>
  <c r="F1191" i="6" s="1"/>
  <c r="E1190" i="6"/>
  <c r="F1190" i="6" s="1"/>
  <c r="E1189" i="6"/>
  <c r="F1189" i="6" s="1"/>
  <c r="E1188" i="6"/>
  <c r="F1188" i="6" s="1"/>
  <c r="E1187" i="6"/>
  <c r="F1187" i="6" s="1"/>
  <c r="E1186" i="6"/>
  <c r="F1186" i="6" s="1"/>
  <c r="E1185" i="6"/>
  <c r="F1185" i="6" s="1"/>
  <c r="E1184" i="6"/>
  <c r="F1184" i="6" s="1"/>
  <c r="E1183" i="6"/>
  <c r="F1183" i="6" s="1"/>
  <c r="E1182" i="6"/>
  <c r="F1182" i="6" s="1"/>
  <c r="E1181" i="6"/>
  <c r="F1181" i="6" s="1"/>
  <c r="E1180" i="6"/>
  <c r="F1180" i="6" s="1"/>
  <c r="E1179" i="6"/>
  <c r="F1179" i="6" s="1"/>
  <c r="E1178" i="6"/>
  <c r="F1178" i="6" s="1"/>
  <c r="E1177" i="6"/>
  <c r="F1177" i="6" s="1"/>
  <c r="E1176" i="6"/>
  <c r="F1176" i="6" s="1"/>
  <c r="E1175" i="6"/>
  <c r="F1175" i="6" s="1"/>
  <c r="E1174" i="6"/>
  <c r="F1174" i="6" s="1"/>
  <c r="E1173" i="6"/>
  <c r="F1173" i="6" s="1"/>
  <c r="E1172" i="6"/>
  <c r="F1172" i="6" s="1"/>
  <c r="E1171" i="6"/>
  <c r="F1171" i="6" s="1"/>
  <c r="E1170" i="6"/>
  <c r="F1170" i="6" s="1"/>
  <c r="E1169" i="6"/>
  <c r="F1169" i="6" s="1"/>
  <c r="E1168" i="6"/>
  <c r="F1168" i="6" s="1"/>
  <c r="E1167" i="6"/>
  <c r="F1167" i="6" s="1"/>
  <c r="E1166" i="6"/>
  <c r="F1166" i="6" s="1"/>
  <c r="E1165" i="6"/>
  <c r="F1165" i="6" s="1"/>
  <c r="E1164" i="6"/>
  <c r="F1164" i="6" s="1"/>
  <c r="E1163" i="6"/>
  <c r="F1163" i="6" s="1"/>
  <c r="E1162" i="6"/>
  <c r="F1162" i="6" s="1"/>
  <c r="E1161" i="6"/>
  <c r="F1161" i="6" s="1"/>
  <c r="E1160" i="6"/>
  <c r="F1160" i="6" s="1"/>
  <c r="E1159" i="6"/>
  <c r="F1159" i="6" s="1"/>
  <c r="E1158" i="6"/>
  <c r="F1158" i="6" s="1"/>
  <c r="E1157" i="6"/>
  <c r="F1157" i="6" s="1"/>
  <c r="E1156" i="6"/>
  <c r="F1156" i="6" s="1"/>
  <c r="E1155" i="6"/>
  <c r="F1155" i="6" s="1"/>
  <c r="E1154" i="6"/>
  <c r="F1154" i="6" s="1"/>
  <c r="E1153" i="6"/>
  <c r="F1153" i="6" s="1"/>
  <c r="E1152" i="6"/>
  <c r="F1152" i="6" s="1"/>
  <c r="E1151" i="6"/>
  <c r="F1151" i="6" s="1"/>
  <c r="E1150" i="6"/>
  <c r="F1150" i="6" s="1"/>
  <c r="E1149" i="6"/>
  <c r="F1149" i="6" s="1"/>
  <c r="E1148" i="6"/>
  <c r="F1148" i="6" s="1"/>
  <c r="E1147" i="6"/>
  <c r="F1147" i="6" s="1"/>
  <c r="E1146" i="6"/>
  <c r="F1146" i="6" s="1"/>
  <c r="E1145" i="6"/>
  <c r="F1145" i="6" s="1"/>
  <c r="E1144" i="6"/>
  <c r="F1144" i="6" s="1"/>
  <c r="E1143" i="6"/>
  <c r="F1143" i="6" s="1"/>
  <c r="E1142" i="6"/>
  <c r="F1142" i="6" s="1"/>
  <c r="E1141" i="6"/>
  <c r="F1141" i="6" s="1"/>
  <c r="E1140" i="6"/>
  <c r="F1140" i="6" s="1"/>
  <c r="E1139" i="6"/>
  <c r="F1139" i="6" s="1"/>
  <c r="E1138" i="6"/>
  <c r="F1138" i="6" s="1"/>
  <c r="E1137" i="6"/>
  <c r="F1137" i="6" s="1"/>
  <c r="E1136" i="6"/>
  <c r="F1136" i="6" s="1"/>
  <c r="E1135" i="6"/>
  <c r="F1135" i="6" s="1"/>
  <c r="E1134" i="6"/>
  <c r="F1134" i="6" s="1"/>
  <c r="E1133" i="6"/>
  <c r="F1133" i="6" s="1"/>
  <c r="E1132" i="6"/>
  <c r="F1132" i="6" s="1"/>
  <c r="E1131" i="6"/>
  <c r="F1131" i="6" s="1"/>
  <c r="E1130" i="6"/>
  <c r="F1130" i="6" s="1"/>
  <c r="E1129" i="6"/>
  <c r="F1129" i="6" s="1"/>
  <c r="E1128" i="6"/>
  <c r="F1128" i="6" s="1"/>
  <c r="E1127" i="6"/>
  <c r="F1127" i="6" s="1"/>
  <c r="E1126" i="6"/>
  <c r="F1126" i="6" s="1"/>
  <c r="E1125" i="6"/>
  <c r="F1125" i="6" s="1"/>
  <c r="E1124" i="6"/>
  <c r="F1124" i="6" s="1"/>
  <c r="E1123" i="6"/>
  <c r="F1123" i="6" s="1"/>
  <c r="E1122" i="6"/>
  <c r="F1122" i="6" s="1"/>
  <c r="E1121" i="6"/>
  <c r="F1121" i="6" s="1"/>
  <c r="E1120" i="6"/>
  <c r="F1120" i="6" s="1"/>
  <c r="E1119" i="6"/>
  <c r="F1119" i="6" s="1"/>
  <c r="E1118" i="6"/>
  <c r="F1118" i="6" s="1"/>
  <c r="E1117" i="6"/>
  <c r="F1117" i="6" s="1"/>
  <c r="E1116" i="6"/>
  <c r="F1116" i="6" s="1"/>
  <c r="E1115" i="6"/>
  <c r="F1115" i="6" s="1"/>
  <c r="E1114" i="6"/>
  <c r="F1114" i="6" s="1"/>
  <c r="E1113" i="6"/>
  <c r="F1113" i="6" s="1"/>
  <c r="E1112" i="6"/>
  <c r="F1112" i="6" s="1"/>
  <c r="E1111" i="6"/>
  <c r="F1111" i="6" s="1"/>
  <c r="E1110" i="6"/>
  <c r="F1110" i="6" s="1"/>
  <c r="E1109" i="6"/>
  <c r="F1109" i="6" s="1"/>
  <c r="E1108" i="6"/>
  <c r="F1108" i="6" s="1"/>
  <c r="E1107" i="6"/>
  <c r="F1107" i="6" s="1"/>
  <c r="E1106" i="6"/>
  <c r="F1106" i="6" s="1"/>
  <c r="E1105" i="6"/>
  <c r="F1105" i="6" s="1"/>
  <c r="E1104" i="6"/>
  <c r="F1104" i="6" s="1"/>
  <c r="E1103" i="6"/>
  <c r="F1103" i="6" s="1"/>
  <c r="E1102" i="6"/>
  <c r="F1102" i="6" s="1"/>
  <c r="E1101" i="6"/>
  <c r="F1101" i="6" s="1"/>
  <c r="E1100" i="6"/>
  <c r="F1100" i="6" s="1"/>
  <c r="E1099" i="6"/>
  <c r="F1099" i="6" s="1"/>
  <c r="E1098" i="6"/>
  <c r="F1098" i="6" s="1"/>
  <c r="E1097" i="6"/>
  <c r="F1097" i="6" s="1"/>
  <c r="E1096" i="6"/>
  <c r="F1096" i="6" s="1"/>
  <c r="E1095" i="6"/>
  <c r="F1095" i="6" s="1"/>
  <c r="E1094" i="6"/>
  <c r="F1094" i="6" s="1"/>
  <c r="E1093" i="6"/>
  <c r="F1093" i="6" s="1"/>
  <c r="E1092" i="6"/>
  <c r="F1092" i="6" s="1"/>
  <c r="E1091" i="6"/>
  <c r="F1091" i="6" s="1"/>
  <c r="E1090" i="6"/>
  <c r="F1090" i="6" s="1"/>
  <c r="E1089" i="6"/>
  <c r="F1089" i="6" s="1"/>
  <c r="E1088" i="6"/>
  <c r="F1088" i="6" s="1"/>
  <c r="E1087" i="6"/>
  <c r="F1087" i="6" s="1"/>
  <c r="E1086" i="6"/>
  <c r="F1086" i="6" s="1"/>
  <c r="E1085" i="6"/>
  <c r="F1085" i="6" s="1"/>
  <c r="E1084" i="6"/>
  <c r="F1084" i="6" s="1"/>
  <c r="E1083" i="6"/>
  <c r="F1083" i="6" s="1"/>
  <c r="E1082" i="6"/>
  <c r="F1082" i="6" s="1"/>
  <c r="E1081" i="6"/>
  <c r="F1081" i="6" s="1"/>
  <c r="E1080" i="6"/>
  <c r="F1080" i="6" s="1"/>
  <c r="E1079" i="6"/>
  <c r="F1079" i="6" s="1"/>
  <c r="E1078" i="6"/>
  <c r="F1078" i="6" s="1"/>
  <c r="E1077" i="6"/>
  <c r="F1077" i="6" s="1"/>
  <c r="E1076" i="6"/>
  <c r="F1076" i="6" s="1"/>
  <c r="E1075" i="6"/>
  <c r="F1075" i="6" s="1"/>
  <c r="E1074" i="6"/>
  <c r="F1074" i="6" s="1"/>
  <c r="E1073" i="6"/>
  <c r="F1073" i="6" s="1"/>
  <c r="E1072" i="6"/>
  <c r="F1072" i="6" s="1"/>
  <c r="E1071" i="6"/>
  <c r="F1071" i="6" s="1"/>
  <c r="E1070" i="6"/>
  <c r="F1070" i="6" s="1"/>
  <c r="E1069" i="6"/>
  <c r="F1069" i="6" s="1"/>
  <c r="E1068" i="6"/>
  <c r="F1068" i="6" s="1"/>
  <c r="E1067" i="6"/>
  <c r="F1067" i="6" s="1"/>
  <c r="E1066" i="6"/>
  <c r="F1066" i="6" s="1"/>
  <c r="E1065" i="6"/>
  <c r="F1065" i="6" s="1"/>
  <c r="E1064" i="6"/>
  <c r="F1064" i="6" s="1"/>
  <c r="E1063" i="6"/>
  <c r="F1063" i="6" s="1"/>
  <c r="E1062" i="6"/>
  <c r="F1062" i="6" s="1"/>
  <c r="E1061" i="6"/>
  <c r="F1061" i="6" s="1"/>
  <c r="E1060" i="6"/>
  <c r="F1060" i="6" s="1"/>
  <c r="E1059" i="6"/>
  <c r="F1059" i="6" s="1"/>
  <c r="E1058" i="6"/>
  <c r="F1058" i="6" s="1"/>
  <c r="E1057" i="6"/>
  <c r="F1057" i="6" s="1"/>
  <c r="E1056" i="6"/>
  <c r="F1056" i="6" s="1"/>
  <c r="E1055" i="6"/>
  <c r="F1055" i="6" s="1"/>
  <c r="E1054" i="6"/>
  <c r="F1054" i="6" s="1"/>
  <c r="E1053" i="6"/>
  <c r="F1053" i="6" s="1"/>
  <c r="E1052" i="6"/>
  <c r="F1052" i="6" s="1"/>
  <c r="E1051" i="6"/>
  <c r="F1051" i="6" s="1"/>
  <c r="E1050" i="6"/>
  <c r="F1050" i="6" s="1"/>
  <c r="E1049" i="6"/>
  <c r="F1049" i="6" s="1"/>
  <c r="E1048" i="6"/>
  <c r="F1048" i="6" s="1"/>
  <c r="E1047" i="6"/>
  <c r="F1047" i="6" s="1"/>
  <c r="E1046" i="6"/>
  <c r="F1046" i="6" s="1"/>
  <c r="E1045" i="6"/>
  <c r="F1045" i="6" s="1"/>
  <c r="E1044" i="6"/>
  <c r="F1044" i="6" s="1"/>
  <c r="E1043" i="6"/>
  <c r="F1043" i="6" s="1"/>
  <c r="E1042" i="6"/>
  <c r="F1042" i="6" s="1"/>
  <c r="E1041" i="6"/>
  <c r="F1041" i="6" s="1"/>
  <c r="E1040" i="6"/>
  <c r="F1040" i="6" s="1"/>
  <c r="E1039" i="6"/>
  <c r="F1039" i="6" s="1"/>
  <c r="E1038" i="6"/>
  <c r="F1038" i="6" s="1"/>
  <c r="E1037" i="6"/>
  <c r="F1037" i="6" s="1"/>
  <c r="E1036" i="6"/>
  <c r="F1036" i="6" s="1"/>
  <c r="E1035" i="6"/>
  <c r="F1035" i="6" s="1"/>
  <c r="E1034" i="6"/>
  <c r="F1034" i="6" s="1"/>
  <c r="E1033" i="6"/>
  <c r="F1033" i="6" s="1"/>
  <c r="E1032" i="6"/>
  <c r="F1032" i="6" s="1"/>
  <c r="E1031" i="6"/>
  <c r="F1031" i="6" s="1"/>
  <c r="E1030" i="6"/>
  <c r="F1030" i="6" s="1"/>
  <c r="E1029" i="6"/>
  <c r="F1029" i="6" s="1"/>
  <c r="E1028" i="6"/>
  <c r="F1028" i="6" s="1"/>
  <c r="E1027" i="6"/>
  <c r="F1027" i="6" s="1"/>
  <c r="E1026" i="6"/>
  <c r="F1026" i="6" s="1"/>
  <c r="E1025" i="6"/>
  <c r="F1025" i="6" s="1"/>
  <c r="E1024" i="6"/>
  <c r="F1024" i="6" s="1"/>
  <c r="E1023" i="6"/>
  <c r="F1023" i="6" s="1"/>
  <c r="E1022" i="6"/>
  <c r="F1022" i="6" s="1"/>
  <c r="E1021" i="6"/>
  <c r="F1021" i="6" s="1"/>
  <c r="E1020" i="6"/>
  <c r="F1020" i="6" s="1"/>
  <c r="E1019" i="6"/>
  <c r="F1019" i="6" s="1"/>
  <c r="E1018" i="6"/>
  <c r="F1018" i="6" s="1"/>
  <c r="E1017" i="6"/>
  <c r="F1017" i="6" s="1"/>
  <c r="E1016" i="6"/>
  <c r="F1016" i="6" s="1"/>
  <c r="E1015" i="6"/>
  <c r="F1015" i="6" s="1"/>
  <c r="E1014" i="6"/>
  <c r="F1014" i="6" s="1"/>
  <c r="E1013" i="6"/>
  <c r="F1013" i="6" s="1"/>
  <c r="E1012" i="6"/>
  <c r="F1012" i="6" s="1"/>
  <c r="E1011" i="6"/>
  <c r="F1011" i="6" s="1"/>
  <c r="E1010" i="6"/>
  <c r="F1010" i="6" s="1"/>
  <c r="E1009" i="6"/>
  <c r="F1009" i="6" s="1"/>
  <c r="E1008" i="6"/>
  <c r="F1008" i="6" s="1"/>
  <c r="E1007" i="6"/>
  <c r="F1007" i="6" s="1"/>
  <c r="E1006" i="6"/>
  <c r="F1006" i="6" s="1"/>
  <c r="E1005" i="6"/>
  <c r="F1005" i="6" s="1"/>
  <c r="E1004" i="6"/>
  <c r="F1004" i="6" s="1"/>
  <c r="E1003" i="6"/>
  <c r="F1003" i="6" s="1"/>
  <c r="E1002" i="6"/>
  <c r="F1002" i="6" s="1"/>
  <c r="E1001" i="6"/>
  <c r="F1001" i="6" s="1"/>
  <c r="E1000" i="6"/>
  <c r="F1000" i="6" s="1"/>
  <c r="E999" i="6"/>
  <c r="F999" i="6" s="1"/>
  <c r="E998" i="6"/>
  <c r="F998" i="6" s="1"/>
  <c r="E997" i="6"/>
  <c r="F997" i="6" s="1"/>
  <c r="E996" i="6"/>
  <c r="F996" i="6" s="1"/>
  <c r="E995" i="6"/>
  <c r="F995" i="6" s="1"/>
  <c r="E994" i="6"/>
  <c r="F994" i="6" s="1"/>
  <c r="E993" i="6"/>
  <c r="F993" i="6" s="1"/>
  <c r="E992" i="6"/>
  <c r="F992" i="6" s="1"/>
  <c r="E991" i="6"/>
  <c r="F991" i="6" s="1"/>
  <c r="E990" i="6"/>
  <c r="F990" i="6" s="1"/>
  <c r="E989" i="6"/>
  <c r="F989" i="6" s="1"/>
  <c r="E988" i="6"/>
  <c r="F988" i="6" s="1"/>
  <c r="E987" i="6"/>
  <c r="F987" i="6" s="1"/>
  <c r="E986" i="6"/>
  <c r="F986" i="6" s="1"/>
  <c r="E985" i="6"/>
  <c r="F985" i="6" s="1"/>
  <c r="E984" i="6"/>
  <c r="F984" i="6" s="1"/>
  <c r="E983" i="6"/>
  <c r="F983" i="6" s="1"/>
  <c r="E982" i="6"/>
  <c r="F982" i="6" s="1"/>
  <c r="E981" i="6"/>
  <c r="F981" i="6" s="1"/>
  <c r="E980" i="6"/>
  <c r="F980" i="6" s="1"/>
  <c r="E979" i="6"/>
  <c r="F979" i="6" s="1"/>
  <c r="E978" i="6"/>
  <c r="F978" i="6" s="1"/>
  <c r="E977" i="6"/>
  <c r="F977" i="6" s="1"/>
  <c r="E976" i="6"/>
  <c r="F976" i="6" s="1"/>
  <c r="E975" i="6"/>
  <c r="F975" i="6" s="1"/>
  <c r="E974" i="6"/>
  <c r="F974" i="6" s="1"/>
  <c r="E973" i="6"/>
  <c r="F973" i="6" s="1"/>
  <c r="E972" i="6"/>
  <c r="F972" i="6" s="1"/>
  <c r="E971" i="6"/>
  <c r="F971" i="6" s="1"/>
  <c r="E970" i="6"/>
  <c r="F970" i="6" s="1"/>
  <c r="E969" i="6"/>
  <c r="F969" i="6" s="1"/>
  <c r="E968" i="6"/>
  <c r="F968" i="6" s="1"/>
  <c r="E967" i="6"/>
  <c r="F967" i="6" s="1"/>
  <c r="E966" i="6"/>
  <c r="F966" i="6" s="1"/>
  <c r="E965" i="6"/>
  <c r="F965" i="6" s="1"/>
  <c r="E964" i="6"/>
  <c r="F964" i="6" s="1"/>
  <c r="E963" i="6"/>
  <c r="F963" i="6" s="1"/>
  <c r="E962" i="6"/>
  <c r="F962" i="6" s="1"/>
  <c r="E961" i="6"/>
  <c r="F961" i="6" s="1"/>
  <c r="E960" i="6"/>
  <c r="F960" i="6" s="1"/>
  <c r="E959" i="6"/>
  <c r="F959" i="6" s="1"/>
  <c r="E958" i="6"/>
  <c r="F958" i="6" s="1"/>
  <c r="E957" i="6"/>
  <c r="F957" i="6" s="1"/>
  <c r="E956" i="6"/>
  <c r="F956" i="6" s="1"/>
  <c r="E955" i="6"/>
  <c r="F955" i="6" s="1"/>
  <c r="E954" i="6"/>
  <c r="F954" i="6" s="1"/>
  <c r="E953" i="6"/>
  <c r="F953" i="6" s="1"/>
  <c r="E952" i="6"/>
  <c r="F952" i="6" s="1"/>
  <c r="E951" i="6"/>
  <c r="F951" i="6" s="1"/>
  <c r="E950" i="6"/>
  <c r="F950" i="6" s="1"/>
  <c r="E949" i="6"/>
  <c r="F949" i="6" s="1"/>
  <c r="E948" i="6"/>
  <c r="F948" i="6" s="1"/>
  <c r="E947" i="6"/>
  <c r="F947" i="6" s="1"/>
  <c r="E946" i="6"/>
  <c r="F946" i="6" s="1"/>
  <c r="E945" i="6"/>
  <c r="F945" i="6" s="1"/>
  <c r="E944" i="6"/>
  <c r="F944" i="6" s="1"/>
  <c r="E943" i="6"/>
  <c r="F943" i="6" s="1"/>
  <c r="E942" i="6"/>
  <c r="F942" i="6" s="1"/>
  <c r="E941" i="6"/>
  <c r="F941" i="6" s="1"/>
  <c r="E940" i="6"/>
  <c r="F940" i="6" s="1"/>
  <c r="E939" i="6"/>
  <c r="F939" i="6" s="1"/>
  <c r="E938" i="6"/>
  <c r="F938" i="6" s="1"/>
  <c r="E937" i="6"/>
  <c r="F937" i="6" s="1"/>
  <c r="E936" i="6"/>
  <c r="F936" i="6" s="1"/>
  <c r="E935" i="6"/>
  <c r="F935" i="6" s="1"/>
  <c r="E934" i="6"/>
  <c r="F934" i="6" s="1"/>
  <c r="E933" i="6"/>
  <c r="F933" i="6" s="1"/>
  <c r="E932" i="6"/>
  <c r="F932" i="6" s="1"/>
  <c r="E931" i="6"/>
  <c r="F931" i="6" s="1"/>
  <c r="E930" i="6"/>
  <c r="F930" i="6" s="1"/>
  <c r="E929" i="6"/>
  <c r="F929" i="6" s="1"/>
  <c r="E928" i="6"/>
  <c r="F928" i="6" s="1"/>
  <c r="E927" i="6"/>
  <c r="F927" i="6" s="1"/>
  <c r="E926" i="6"/>
  <c r="F926" i="6" s="1"/>
  <c r="E925" i="6"/>
  <c r="F925" i="6" s="1"/>
  <c r="E924" i="6"/>
  <c r="F924" i="6" s="1"/>
  <c r="E923" i="6"/>
  <c r="F923" i="6" s="1"/>
  <c r="E922" i="6"/>
  <c r="F922" i="6" s="1"/>
  <c r="E921" i="6"/>
  <c r="F921" i="6" s="1"/>
  <c r="E920" i="6"/>
  <c r="F920" i="6" s="1"/>
  <c r="E919" i="6"/>
  <c r="F919" i="6" s="1"/>
  <c r="E918" i="6"/>
  <c r="F918" i="6" s="1"/>
  <c r="E917" i="6"/>
  <c r="F917" i="6" s="1"/>
  <c r="E916" i="6"/>
  <c r="F916" i="6" s="1"/>
  <c r="E915" i="6"/>
  <c r="F915" i="6" s="1"/>
  <c r="E914" i="6"/>
  <c r="F914" i="6" s="1"/>
  <c r="E913" i="6"/>
  <c r="F913" i="6" s="1"/>
  <c r="E912" i="6"/>
  <c r="F912" i="6" s="1"/>
  <c r="E911" i="6"/>
  <c r="F911" i="6" s="1"/>
  <c r="E910" i="6"/>
  <c r="F910" i="6" s="1"/>
  <c r="E909" i="6"/>
  <c r="F909" i="6" s="1"/>
  <c r="E908" i="6"/>
  <c r="F908" i="6" s="1"/>
  <c r="E907" i="6"/>
  <c r="F907" i="6" s="1"/>
  <c r="E906" i="6"/>
  <c r="F906" i="6" s="1"/>
  <c r="E905" i="6"/>
  <c r="F905" i="6" s="1"/>
  <c r="E904" i="6"/>
  <c r="F904" i="6" s="1"/>
  <c r="E903" i="6"/>
  <c r="F903" i="6" s="1"/>
  <c r="E902" i="6"/>
  <c r="F902" i="6" s="1"/>
  <c r="E901" i="6"/>
  <c r="F901" i="6" s="1"/>
  <c r="E900" i="6"/>
  <c r="F900" i="6" s="1"/>
  <c r="E899" i="6"/>
  <c r="F899" i="6" s="1"/>
  <c r="E898" i="6"/>
  <c r="F898" i="6" s="1"/>
  <c r="E897" i="6"/>
  <c r="F897" i="6" s="1"/>
  <c r="E896" i="6"/>
  <c r="F896" i="6" s="1"/>
  <c r="E895" i="6"/>
  <c r="F895" i="6" s="1"/>
  <c r="E894" i="6"/>
  <c r="F894" i="6" s="1"/>
  <c r="E893" i="6"/>
  <c r="F893" i="6" s="1"/>
  <c r="E892" i="6"/>
  <c r="F892" i="6" s="1"/>
  <c r="E891" i="6"/>
  <c r="F891" i="6" s="1"/>
  <c r="E890" i="6"/>
  <c r="F890" i="6" s="1"/>
  <c r="E889" i="6"/>
  <c r="F889" i="6" s="1"/>
  <c r="E888" i="6"/>
  <c r="F888" i="6" s="1"/>
  <c r="E887" i="6"/>
  <c r="F887" i="6" s="1"/>
  <c r="E886" i="6"/>
  <c r="F886" i="6" s="1"/>
  <c r="E885" i="6"/>
  <c r="F885" i="6" s="1"/>
  <c r="E884" i="6"/>
  <c r="F884" i="6" s="1"/>
  <c r="E883" i="6"/>
  <c r="F883" i="6" s="1"/>
  <c r="E882" i="6"/>
  <c r="F882" i="6" s="1"/>
  <c r="E881" i="6"/>
  <c r="F881" i="6" s="1"/>
  <c r="E880" i="6"/>
  <c r="F880" i="6" s="1"/>
  <c r="E879" i="6"/>
  <c r="F879" i="6" s="1"/>
  <c r="E878" i="6"/>
  <c r="F878" i="6" s="1"/>
  <c r="E877" i="6"/>
  <c r="F877" i="6" s="1"/>
  <c r="E876" i="6"/>
  <c r="F876" i="6" s="1"/>
  <c r="E875" i="6"/>
  <c r="F875" i="6" s="1"/>
  <c r="E874" i="6"/>
  <c r="F874" i="6" s="1"/>
  <c r="E873" i="6"/>
  <c r="F873" i="6" s="1"/>
  <c r="E872" i="6"/>
  <c r="F872" i="6" s="1"/>
  <c r="E871" i="6"/>
  <c r="F871" i="6" s="1"/>
  <c r="E870" i="6"/>
  <c r="F870" i="6" s="1"/>
  <c r="E869" i="6"/>
  <c r="F869" i="6" s="1"/>
  <c r="E868" i="6"/>
  <c r="F868" i="6" s="1"/>
  <c r="E867" i="6"/>
  <c r="F867" i="6" s="1"/>
  <c r="E866" i="6"/>
  <c r="F866" i="6" s="1"/>
  <c r="E865" i="6"/>
  <c r="F865" i="6" s="1"/>
  <c r="E864" i="6"/>
  <c r="F864" i="6" s="1"/>
  <c r="E863" i="6"/>
  <c r="F863" i="6" s="1"/>
  <c r="E862" i="6"/>
  <c r="F862" i="6" s="1"/>
  <c r="E861" i="6"/>
  <c r="F861" i="6" s="1"/>
  <c r="E860" i="6"/>
  <c r="F860" i="6" s="1"/>
  <c r="E859" i="6"/>
  <c r="F859" i="6" s="1"/>
  <c r="E858" i="6"/>
  <c r="F858" i="6" s="1"/>
  <c r="E857" i="6"/>
  <c r="F857" i="6" s="1"/>
  <c r="E856" i="6"/>
  <c r="F856" i="6" s="1"/>
  <c r="E855" i="6"/>
  <c r="F855" i="6" s="1"/>
  <c r="E854" i="6"/>
  <c r="F854" i="6" s="1"/>
  <c r="E853" i="6"/>
  <c r="F853" i="6" s="1"/>
  <c r="E852" i="6"/>
  <c r="F852" i="6" s="1"/>
  <c r="E851" i="6"/>
  <c r="F851" i="6" s="1"/>
  <c r="E850" i="6"/>
  <c r="F850" i="6" s="1"/>
  <c r="E849" i="6"/>
  <c r="F849" i="6" s="1"/>
  <c r="E848" i="6"/>
  <c r="F848" i="6" s="1"/>
  <c r="E847" i="6"/>
  <c r="F847" i="6" s="1"/>
  <c r="E846" i="6"/>
  <c r="F846" i="6" s="1"/>
  <c r="E845" i="6"/>
  <c r="F845" i="6" s="1"/>
  <c r="E844" i="6"/>
  <c r="F844" i="6" s="1"/>
  <c r="E843" i="6"/>
  <c r="F843" i="6" s="1"/>
  <c r="E842" i="6"/>
  <c r="F842" i="6" s="1"/>
  <c r="E841" i="6"/>
  <c r="F841" i="6" s="1"/>
  <c r="E840" i="6"/>
  <c r="F840" i="6" s="1"/>
  <c r="E839" i="6"/>
  <c r="F839" i="6" s="1"/>
  <c r="E838" i="6"/>
  <c r="F838" i="6" s="1"/>
  <c r="E837" i="6"/>
  <c r="F837" i="6" s="1"/>
  <c r="E836" i="6"/>
  <c r="F836" i="6" s="1"/>
  <c r="E835" i="6"/>
  <c r="F835" i="6" s="1"/>
  <c r="E834" i="6"/>
  <c r="F834" i="6" s="1"/>
  <c r="E833" i="6"/>
  <c r="F833" i="6" s="1"/>
  <c r="E832" i="6"/>
  <c r="F832" i="6" s="1"/>
  <c r="E831" i="6"/>
  <c r="F831" i="6" s="1"/>
  <c r="E830" i="6"/>
  <c r="F830" i="6" s="1"/>
  <c r="E829" i="6"/>
  <c r="F829" i="6" s="1"/>
  <c r="E828" i="6"/>
  <c r="F828" i="6" s="1"/>
  <c r="E827" i="6"/>
  <c r="F827" i="6" s="1"/>
  <c r="E826" i="6"/>
  <c r="F826" i="6" s="1"/>
  <c r="E825" i="6"/>
  <c r="F825" i="6" s="1"/>
  <c r="E824" i="6"/>
  <c r="F824" i="6" s="1"/>
  <c r="E823" i="6"/>
  <c r="F823" i="6" s="1"/>
  <c r="E822" i="6"/>
  <c r="F822" i="6" s="1"/>
  <c r="E821" i="6"/>
  <c r="F821" i="6" s="1"/>
  <c r="E820" i="6"/>
  <c r="F820" i="6" s="1"/>
  <c r="E819" i="6"/>
  <c r="F819" i="6" s="1"/>
  <c r="E818" i="6"/>
  <c r="F818" i="6" s="1"/>
  <c r="E817" i="6"/>
  <c r="F817" i="6" s="1"/>
  <c r="E816" i="6"/>
  <c r="F816" i="6" s="1"/>
  <c r="E815" i="6"/>
  <c r="F815" i="6" s="1"/>
  <c r="E814" i="6"/>
  <c r="F814" i="6" s="1"/>
  <c r="E813" i="6"/>
  <c r="F813" i="6" s="1"/>
  <c r="E812" i="6"/>
  <c r="F812" i="6" s="1"/>
  <c r="E811" i="6"/>
  <c r="F811" i="6" s="1"/>
  <c r="E810" i="6"/>
  <c r="F810" i="6" s="1"/>
  <c r="E809" i="6"/>
  <c r="F809" i="6" s="1"/>
  <c r="E808" i="6"/>
  <c r="F808" i="6" s="1"/>
  <c r="E807" i="6"/>
  <c r="F807" i="6" s="1"/>
  <c r="E806" i="6"/>
  <c r="F806" i="6" s="1"/>
  <c r="E805" i="6"/>
  <c r="F805" i="6" s="1"/>
  <c r="E804" i="6"/>
  <c r="F804" i="6" s="1"/>
  <c r="E803" i="6"/>
  <c r="F803" i="6" s="1"/>
  <c r="E802" i="6"/>
  <c r="F802" i="6" s="1"/>
  <c r="E801" i="6"/>
  <c r="F801" i="6" s="1"/>
  <c r="E800" i="6"/>
  <c r="F800" i="6" s="1"/>
  <c r="E799" i="6"/>
  <c r="F799" i="6" s="1"/>
  <c r="E798" i="6"/>
  <c r="F798" i="6" s="1"/>
  <c r="E797" i="6"/>
  <c r="F797" i="6" s="1"/>
  <c r="E796" i="6"/>
  <c r="F796" i="6" s="1"/>
  <c r="E795" i="6"/>
  <c r="F795" i="6" s="1"/>
  <c r="E794" i="6"/>
  <c r="F794" i="6" s="1"/>
  <c r="E793" i="6"/>
  <c r="F793" i="6" s="1"/>
  <c r="E792" i="6"/>
  <c r="F792" i="6" s="1"/>
  <c r="E791" i="6"/>
  <c r="F791" i="6" s="1"/>
  <c r="E790" i="6"/>
  <c r="F790" i="6" s="1"/>
  <c r="E789" i="6"/>
  <c r="F789" i="6" s="1"/>
  <c r="E788" i="6"/>
  <c r="F788" i="6" s="1"/>
  <c r="E787" i="6"/>
  <c r="F787" i="6" s="1"/>
  <c r="E786" i="6"/>
  <c r="F786" i="6" s="1"/>
  <c r="E785" i="6"/>
  <c r="F785" i="6" s="1"/>
  <c r="E784" i="6"/>
  <c r="F784" i="6" s="1"/>
  <c r="E783" i="6"/>
  <c r="F783" i="6" s="1"/>
  <c r="E782" i="6"/>
  <c r="F782" i="6" s="1"/>
  <c r="E781" i="6"/>
  <c r="F781" i="6" s="1"/>
  <c r="E780" i="6"/>
  <c r="F780" i="6" s="1"/>
  <c r="E779" i="6"/>
  <c r="F779" i="6" s="1"/>
  <c r="E778" i="6"/>
  <c r="F778" i="6" s="1"/>
  <c r="E777" i="6"/>
  <c r="F777" i="6" s="1"/>
  <c r="E776" i="6"/>
  <c r="F776" i="6" s="1"/>
  <c r="E775" i="6"/>
  <c r="F775" i="6" s="1"/>
  <c r="E774" i="6"/>
  <c r="F774" i="6" s="1"/>
  <c r="E773" i="6"/>
  <c r="F773" i="6" s="1"/>
  <c r="E772" i="6"/>
  <c r="F772" i="6" s="1"/>
  <c r="E771" i="6"/>
  <c r="F771" i="6" s="1"/>
  <c r="E770" i="6"/>
  <c r="F770" i="6" s="1"/>
  <c r="E769" i="6"/>
  <c r="F769" i="6" s="1"/>
  <c r="E768" i="6"/>
  <c r="F768" i="6" s="1"/>
  <c r="E767" i="6"/>
  <c r="F767" i="6" s="1"/>
  <c r="E766" i="6"/>
  <c r="F766" i="6" s="1"/>
  <c r="E765" i="6"/>
  <c r="F765" i="6" s="1"/>
  <c r="E764" i="6"/>
  <c r="F764" i="6" s="1"/>
  <c r="E763" i="6"/>
  <c r="F763" i="6" s="1"/>
  <c r="E762" i="6"/>
  <c r="F762" i="6" s="1"/>
  <c r="E761" i="6"/>
  <c r="F761" i="6" s="1"/>
  <c r="E760" i="6"/>
  <c r="F760" i="6" s="1"/>
  <c r="E759" i="6"/>
  <c r="F759" i="6" s="1"/>
  <c r="E758" i="6"/>
  <c r="F758" i="6" s="1"/>
  <c r="E757" i="6"/>
  <c r="F757" i="6" s="1"/>
  <c r="E756" i="6"/>
  <c r="F756" i="6" s="1"/>
  <c r="E755" i="6"/>
  <c r="F755" i="6" s="1"/>
  <c r="E754" i="6"/>
  <c r="F754" i="6" s="1"/>
  <c r="E753" i="6"/>
  <c r="F753" i="6" s="1"/>
  <c r="E752" i="6"/>
  <c r="F752" i="6" s="1"/>
  <c r="E751" i="6"/>
  <c r="F751" i="6" s="1"/>
  <c r="E750" i="6"/>
  <c r="F750" i="6" s="1"/>
  <c r="E749" i="6"/>
  <c r="F749" i="6" s="1"/>
  <c r="E748" i="6"/>
  <c r="F748" i="6" s="1"/>
  <c r="E747" i="6"/>
  <c r="F747" i="6" s="1"/>
  <c r="E746" i="6"/>
  <c r="F746" i="6" s="1"/>
  <c r="E745" i="6"/>
  <c r="F745" i="6" s="1"/>
  <c r="E744" i="6"/>
  <c r="F744" i="6" s="1"/>
  <c r="E743" i="6"/>
  <c r="F743" i="6" s="1"/>
  <c r="E742" i="6"/>
  <c r="F742" i="6" s="1"/>
  <c r="E741" i="6"/>
  <c r="F741" i="6" s="1"/>
  <c r="E740" i="6"/>
  <c r="F740" i="6" s="1"/>
  <c r="E739" i="6"/>
  <c r="F739" i="6" s="1"/>
  <c r="E738" i="6"/>
  <c r="F738" i="6" s="1"/>
  <c r="E737" i="6"/>
  <c r="F737" i="6" s="1"/>
  <c r="E736" i="6"/>
  <c r="F736" i="6" s="1"/>
  <c r="E735" i="6"/>
  <c r="F735" i="6" s="1"/>
  <c r="E734" i="6"/>
  <c r="F734" i="6" s="1"/>
  <c r="E733" i="6"/>
  <c r="F733" i="6" s="1"/>
  <c r="E732" i="6"/>
  <c r="F732" i="6" s="1"/>
  <c r="E731" i="6"/>
  <c r="F731" i="6" s="1"/>
  <c r="E730" i="6"/>
  <c r="F730" i="6" s="1"/>
  <c r="E729" i="6"/>
  <c r="F729" i="6" s="1"/>
  <c r="E728" i="6"/>
  <c r="F728" i="6" s="1"/>
  <c r="E727" i="6"/>
  <c r="F727" i="6" s="1"/>
  <c r="E726" i="6"/>
  <c r="F726" i="6" s="1"/>
  <c r="E725" i="6"/>
  <c r="F725" i="6" s="1"/>
  <c r="E724" i="6"/>
  <c r="F724" i="6" s="1"/>
  <c r="E723" i="6"/>
  <c r="F723" i="6" s="1"/>
  <c r="E722" i="6"/>
  <c r="F722" i="6" s="1"/>
  <c r="E721" i="6"/>
  <c r="F721" i="6" s="1"/>
  <c r="E720" i="6"/>
  <c r="F720" i="6" s="1"/>
  <c r="E719" i="6"/>
  <c r="F719" i="6" s="1"/>
  <c r="E718" i="6"/>
  <c r="F718" i="6" s="1"/>
  <c r="E717" i="6"/>
  <c r="F717" i="6" s="1"/>
  <c r="E716" i="6"/>
  <c r="F716" i="6" s="1"/>
  <c r="E715" i="6"/>
  <c r="F715" i="6" s="1"/>
  <c r="E714" i="6"/>
  <c r="F714" i="6" s="1"/>
  <c r="E713" i="6"/>
  <c r="F713" i="6" s="1"/>
  <c r="E712" i="6"/>
  <c r="F712" i="6" s="1"/>
  <c r="E711" i="6"/>
  <c r="F711" i="6" s="1"/>
  <c r="E710" i="6"/>
  <c r="F710" i="6" s="1"/>
  <c r="E709" i="6"/>
  <c r="F709" i="6" s="1"/>
  <c r="E708" i="6"/>
  <c r="F708" i="6" s="1"/>
  <c r="E707" i="6"/>
  <c r="F707" i="6" s="1"/>
  <c r="E706" i="6"/>
  <c r="F706" i="6" s="1"/>
  <c r="E705" i="6"/>
  <c r="F705" i="6" s="1"/>
  <c r="E704" i="6"/>
  <c r="F704" i="6" s="1"/>
  <c r="E703" i="6"/>
  <c r="F703" i="6" s="1"/>
  <c r="E702" i="6"/>
  <c r="F702" i="6" s="1"/>
  <c r="E701" i="6"/>
  <c r="F701" i="6" s="1"/>
  <c r="E700" i="6"/>
  <c r="F700" i="6" s="1"/>
  <c r="E699" i="6"/>
  <c r="F699" i="6" s="1"/>
  <c r="E698" i="6"/>
  <c r="F698" i="6" s="1"/>
  <c r="E697" i="6"/>
  <c r="F697" i="6" s="1"/>
  <c r="E696" i="6"/>
  <c r="F696" i="6" s="1"/>
  <c r="E695" i="6"/>
  <c r="F695" i="6" s="1"/>
  <c r="E694" i="6"/>
  <c r="F694" i="6" s="1"/>
  <c r="E693" i="6"/>
  <c r="F693" i="6" s="1"/>
  <c r="E692" i="6"/>
  <c r="F692" i="6" s="1"/>
  <c r="E691" i="6"/>
  <c r="F691" i="6" s="1"/>
  <c r="E690" i="6"/>
  <c r="F690" i="6" s="1"/>
  <c r="E689" i="6"/>
  <c r="F689" i="6" s="1"/>
  <c r="E688" i="6"/>
  <c r="F688" i="6" s="1"/>
  <c r="E687" i="6"/>
  <c r="F687" i="6" s="1"/>
  <c r="E686" i="6"/>
  <c r="F686" i="6" s="1"/>
  <c r="E685" i="6"/>
  <c r="F685" i="6" s="1"/>
  <c r="E684" i="6"/>
  <c r="F684" i="6" s="1"/>
  <c r="E683" i="6"/>
  <c r="F683" i="6" s="1"/>
  <c r="E682" i="6"/>
  <c r="F682" i="6" s="1"/>
  <c r="E681" i="6"/>
  <c r="F681" i="6" s="1"/>
  <c r="E680" i="6"/>
  <c r="F680" i="6" s="1"/>
  <c r="E679" i="6"/>
  <c r="F679" i="6" s="1"/>
  <c r="E678" i="6"/>
  <c r="F678" i="6" s="1"/>
  <c r="E677" i="6"/>
  <c r="F677" i="6" s="1"/>
  <c r="E676" i="6"/>
  <c r="F676" i="6" s="1"/>
  <c r="E675" i="6"/>
  <c r="F675" i="6" s="1"/>
  <c r="E674" i="6"/>
  <c r="F674" i="6" s="1"/>
  <c r="E673" i="6"/>
  <c r="F673" i="6" s="1"/>
  <c r="E672" i="6"/>
  <c r="F672" i="6" s="1"/>
  <c r="E671" i="6"/>
  <c r="F671" i="6" s="1"/>
  <c r="E670" i="6"/>
  <c r="F670" i="6" s="1"/>
  <c r="E669" i="6"/>
  <c r="F669" i="6" s="1"/>
  <c r="E668" i="6"/>
  <c r="F668" i="6" s="1"/>
  <c r="E667" i="6"/>
  <c r="F667" i="6" s="1"/>
  <c r="E666" i="6"/>
  <c r="F666" i="6" s="1"/>
  <c r="E665" i="6"/>
  <c r="F665" i="6" s="1"/>
  <c r="E664" i="6"/>
  <c r="F664" i="6" s="1"/>
  <c r="E663" i="6"/>
  <c r="F663" i="6" s="1"/>
  <c r="E662" i="6"/>
  <c r="F662" i="6" s="1"/>
  <c r="E661" i="6"/>
  <c r="F661" i="6" s="1"/>
  <c r="E660" i="6"/>
  <c r="F660" i="6" s="1"/>
  <c r="E659" i="6"/>
  <c r="F659" i="6" s="1"/>
  <c r="E658" i="6"/>
  <c r="F658" i="6" s="1"/>
  <c r="E657" i="6"/>
  <c r="F657" i="6" s="1"/>
  <c r="E656" i="6"/>
  <c r="F656" i="6" s="1"/>
  <c r="E655" i="6"/>
  <c r="F655" i="6" s="1"/>
  <c r="E654" i="6"/>
  <c r="F654" i="6" s="1"/>
  <c r="E653" i="6"/>
  <c r="F653" i="6" s="1"/>
  <c r="E652" i="6"/>
  <c r="F652" i="6" s="1"/>
  <c r="E651" i="6"/>
  <c r="F651" i="6" s="1"/>
  <c r="E650" i="6"/>
  <c r="F650" i="6" s="1"/>
  <c r="E649" i="6"/>
  <c r="F649" i="6" s="1"/>
  <c r="E648" i="6"/>
  <c r="F648" i="6" s="1"/>
  <c r="E647" i="6"/>
  <c r="F647" i="6" s="1"/>
  <c r="E646" i="6"/>
  <c r="F646" i="6" s="1"/>
  <c r="E645" i="6"/>
  <c r="F645" i="6" s="1"/>
  <c r="E644" i="6"/>
  <c r="F644" i="6" s="1"/>
  <c r="E643" i="6"/>
  <c r="F643" i="6" s="1"/>
  <c r="E642" i="6"/>
  <c r="F642" i="6" s="1"/>
  <c r="E641" i="6"/>
  <c r="F641" i="6" s="1"/>
  <c r="E640" i="6"/>
  <c r="F640" i="6" s="1"/>
  <c r="E639" i="6"/>
  <c r="F639" i="6" s="1"/>
  <c r="E638" i="6"/>
  <c r="F638" i="6" s="1"/>
  <c r="E637" i="6"/>
  <c r="F637" i="6" s="1"/>
  <c r="E636" i="6"/>
  <c r="F636" i="6" s="1"/>
  <c r="E635" i="6"/>
  <c r="F635" i="6" s="1"/>
  <c r="E634" i="6"/>
  <c r="F634" i="6" s="1"/>
  <c r="E633" i="6"/>
  <c r="F633" i="6" s="1"/>
  <c r="E632" i="6"/>
  <c r="F632" i="6" s="1"/>
  <c r="E631" i="6"/>
  <c r="F631" i="6" s="1"/>
  <c r="E630" i="6"/>
  <c r="F630" i="6" s="1"/>
  <c r="E629" i="6"/>
  <c r="F629" i="6" s="1"/>
  <c r="E628" i="6"/>
  <c r="F628" i="6" s="1"/>
  <c r="E627" i="6"/>
  <c r="F627" i="6" s="1"/>
  <c r="E626" i="6"/>
  <c r="F626" i="6" s="1"/>
  <c r="E625" i="6"/>
  <c r="F625" i="6" s="1"/>
  <c r="E624" i="6"/>
  <c r="F624" i="6" s="1"/>
  <c r="E623" i="6"/>
  <c r="F623" i="6" s="1"/>
  <c r="E622" i="6"/>
  <c r="F622" i="6" s="1"/>
  <c r="E621" i="6"/>
  <c r="F621" i="6" s="1"/>
  <c r="E620" i="6"/>
  <c r="F620" i="6" s="1"/>
  <c r="E619" i="6"/>
  <c r="F619" i="6" s="1"/>
  <c r="E618" i="6"/>
  <c r="F618" i="6" s="1"/>
  <c r="E617" i="6"/>
  <c r="F617" i="6" s="1"/>
  <c r="E616" i="6"/>
  <c r="F616" i="6" s="1"/>
  <c r="E615" i="6"/>
  <c r="F615" i="6" s="1"/>
  <c r="E614" i="6"/>
  <c r="F614" i="6" s="1"/>
  <c r="E613" i="6"/>
  <c r="F613" i="6" s="1"/>
  <c r="E612" i="6"/>
  <c r="F612" i="6" s="1"/>
  <c r="E611" i="6"/>
  <c r="F611" i="6" s="1"/>
  <c r="E610" i="6"/>
  <c r="F610" i="6" s="1"/>
  <c r="E609" i="6"/>
  <c r="F609" i="6" s="1"/>
  <c r="E608" i="6"/>
  <c r="F608" i="6" s="1"/>
  <c r="E607" i="6"/>
  <c r="F607" i="6" s="1"/>
  <c r="E606" i="6"/>
  <c r="F606" i="6" s="1"/>
  <c r="E605" i="6"/>
  <c r="F605" i="6" s="1"/>
  <c r="E604" i="6"/>
  <c r="F604" i="6" s="1"/>
  <c r="E603" i="6"/>
  <c r="F603" i="6" s="1"/>
  <c r="E602" i="6"/>
  <c r="F602" i="6" s="1"/>
  <c r="E601" i="6"/>
  <c r="F601" i="6" s="1"/>
  <c r="E600" i="6"/>
  <c r="F600" i="6" s="1"/>
  <c r="E599" i="6"/>
  <c r="F599" i="6" s="1"/>
  <c r="E598" i="6"/>
  <c r="F598" i="6" s="1"/>
  <c r="E597" i="6"/>
  <c r="F597" i="6" s="1"/>
  <c r="E596" i="6"/>
  <c r="F596" i="6" s="1"/>
  <c r="E595" i="6"/>
  <c r="F595" i="6" s="1"/>
  <c r="E594" i="6"/>
  <c r="F594" i="6" s="1"/>
  <c r="E593" i="6"/>
  <c r="F593" i="6" s="1"/>
  <c r="E592" i="6"/>
  <c r="F592" i="6" s="1"/>
  <c r="E591" i="6"/>
  <c r="F591" i="6" s="1"/>
  <c r="E590" i="6"/>
  <c r="F590" i="6" s="1"/>
  <c r="E589" i="6"/>
  <c r="F589" i="6" s="1"/>
  <c r="E588" i="6"/>
  <c r="F588" i="6" s="1"/>
  <c r="E587" i="6"/>
  <c r="F587" i="6" s="1"/>
  <c r="E586" i="6"/>
  <c r="F586" i="6" s="1"/>
  <c r="E585" i="6"/>
  <c r="F585" i="6" s="1"/>
  <c r="E584" i="6"/>
  <c r="F584" i="6" s="1"/>
  <c r="E583" i="6"/>
  <c r="F583" i="6" s="1"/>
  <c r="E582" i="6"/>
  <c r="F582" i="6" s="1"/>
  <c r="E581" i="6"/>
  <c r="F581" i="6" s="1"/>
  <c r="E580" i="6"/>
  <c r="F580" i="6" s="1"/>
  <c r="E579" i="6"/>
  <c r="F579" i="6" s="1"/>
  <c r="E578" i="6"/>
  <c r="F578" i="6" s="1"/>
  <c r="E577" i="6"/>
  <c r="F577" i="6" s="1"/>
  <c r="E576" i="6"/>
  <c r="F576" i="6" s="1"/>
  <c r="E575" i="6"/>
  <c r="F575" i="6" s="1"/>
  <c r="E574" i="6"/>
  <c r="F574" i="6" s="1"/>
  <c r="E573" i="6"/>
  <c r="F573" i="6" s="1"/>
  <c r="E572" i="6"/>
  <c r="F572" i="6" s="1"/>
  <c r="E571" i="6"/>
  <c r="F571" i="6" s="1"/>
  <c r="E570" i="6"/>
  <c r="F570" i="6" s="1"/>
  <c r="E569" i="6"/>
  <c r="F569" i="6" s="1"/>
  <c r="E568" i="6"/>
  <c r="F568" i="6" s="1"/>
  <c r="E567" i="6"/>
  <c r="F567" i="6" s="1"/>
  <c r="E566" i="6"/>
  <c r="F566" i="6" s="1"/>
  <c r="E565" i="6"/>
  <c r="F565" i="6" s="1"/>
  <c r="E564" i="6"/>
  <c r="F564" i="6" s="1"/>
  <c r="E563" i="6"/>
  <c r="F563" i="6" s="1"/>
  <c r="E562" i="6"/>
  <c r="F562" i="6" s="1"/>
  <c r="E561" i="6"/>
  <c r="F561" i="6" s="1"/>
  <c r="E560" i="6"/>
  <c r="F560" i="6" s="1"/>
  <c r="E559" i="6"/>
  <c r="F559" i="6" s="1"/>
  <c r="E558" i="6"/>
  <c r="F558" i="6" s="1"/>
  <c r="E557" i="6"/>
  <c r="F557" i="6" s="1"/>
  <c r="E556" i="6"/>
  <c r="F556" i="6" s="1"/>
  <c r="E555" i="6"/>
  <c r="F555" i="6" s="1"/>
  <c r="E554" i="6"/>
  <c r="F554" i="6" s="1"/>
  <c r="E553" i="6"/>
  <c r="F553" i="6" s="1"/>
  <c r="E552" i="6"/>
  <c r="F552" i="6" s="1"/>
  <c r="E551" i="6"/>
  <c r="F551" i="6" s="1"/>
  <c r="E550" i="6"/>
  <c r="F550" i="6" s="1"/>
  <c r="E549" i="6"/>
  <c r="F549" i="6" s="1"/>
  <c r="E548" i="6"/>
  <c r="F548" i="6" s="1"/>
  <c r="E547" i="6"/>
  <c r="F547" i="6" s="1"/>
  <c r="E546" i="6"/>
  <c r="F546" i="6" s="1"/>
  <c r="E545" i="6"/>
  <c r="F545" i="6" s="1"/>
  <c r="E544" i="6"/>
  <c r="F544" i="6" s="1"/>
  <c r="E543" i="6"/>
  <c r="F543" i="6" s="1"/>
  <c r="E542" i="6"/>
  <c r="F542" i="6" s="1"/>
  <c r="E541" i="6"/>
  <c r="F541" i="6" s="1"/>
  <c r="E540" i="6"/>
  <c r="F540" i="6" s="1"/>
  <c r="E539" i="6"/>
  <c r="F539" i="6" s="1"/>
  <c r="E538" i="6"/>
  <c r="F538" i="6" s="1"/>
  <c r="E537" i="6"/>
  <c r="F537" i="6" s="1"/>
  <c r="E536" i="6"/>
  <c r="F536" i="6" s="1"/>
  <c r="E535" i="6"/>
  <c r="F535" i="6" s="1"/>
  <c r="E534" i="6"/>
  <c r="F534" i="6" s="1"/>
  <c r="E533" i="6"/>
  <c r="F533" i="6" s="1"/>
  <c r="E532" i="6"/>
  <c r="F532" i="6" s="1"/>
  <c r="E531" i="6"/>
  <c r="F531" i="6" s="1"/>
  <c r="E530" i="6"/>
  <c r="F530" i="6" s="1"/>
  <c r="E529" i="6"/>
  <c r="F529" i="6" s="1"/>
  <c r="E528" i="6"/>
  <c r="F528" i="6" s="1"/>
  <c r="E527" i="6"/>
  <c r="F527" i="6" s="1"/>
  <c r="E526" i="6"/>
  <c r="F526" i="6" s="1"/>
  <c r="E525" i="6"/>
  <c r="F525" i="6" s="1"/>
  <c r="E524" i="6"/>
  <c r="F524" i="6" s="1"/>
  <c r="E523" i="6"/>
  <c r="F523" i="6" s="1"/>
  <c r="E522" i="6"/>
  <c r="F522" i="6" s="1"/>
  <c r="E521" i="6"/>
  <c r="F521" i="6" s="1"/>
  <c r="E520" i="6"/>
  <c r="F520" i="6" s="1"/>
  <c r="E519" i="6"/>
  <c r="F519" i="6" s="1"/>
  <c r="E518" i="6"/>
  <c r="F518" i="6" s="1"/>
  <c r="E517" i="6"/>
  <c r="F517" i="6" s="1"/>
  <c r="E516" i="6"/>
  <c r="F516" i="6" s="1"/>
  <c r="E515" i="6"/>
  <c r="F515" i="6" s="1"/>
  <c r="E514" i="6"/>
  <c r="F514" i="6" s="1"/>
  <c r="E513" i="6"/>
  <c r="F513" i="6" s="1"/>
  <c r="E512" i="6"/>
  <c r="F512" i="6" s="1"/>
  <c r="E511" i="6"/>
  <c r="F511" i="6" s="1"/>
  <c r="E510" i="6"/>
  <c r="F510" i="6" s="1"/>
  <c r="E509" i="6"/>
  <c r="F509" i="6" s="1"/>
  <c r="E508" i="6"/>
  <c r="F508" i="6" s="1"/>
  <c r="E507" i="6"/>
  <c r="F507" i="6" s="1"/>
  <c r="E506" i="6"/>
  <c r="F506" i="6" s="1"/>
  <c r="E505" i="6"/>
  <c r="F505" i="6" s="1"/>
  <c r="E504" i="6"/>
  <c r="F504" i="6" s="1"/>
  <c r="E503" i="6"/>
  <c r="F503" i="6" s="1"/>
  <c r="E502" i="6"/>
  <c r="F502" i="6" s="1"/>
  <c r="E501" i="6"/>
  <c r="F501" i="6" s="1"/>
  <c r="E500" i="6"/>
  <c r="F500" i="6" s="1"/>
  <c r="E499" i="6"/>
  <c r="F499" i="6" s="1"/>
  <c r="E498" i="6"/>
  <c r="F498" i="6" s="1"/>
  <c r="E497" i="6"/>
  <c r="F497" i="6" s="1"/>
  <c r="E496" i="6"/>
  <c r="F496" i="6" s="1"/>
  <c r="E495" i="6"/>
  <c r="F495" i="6" s="1"/>
  <c r="E494" i="6"/>
  <c r="F494" i="6" s="1"/>
  <c r="E493" i="6"/>
  <c r="F493" i="6" s="1"/>
  <c r="E492" i="6"/>
  <c r="F492" i="6" s="1"/>
  <c r="E491" i="6"/>
  <c r="F491" i="6" s="1"/>
  <c r="E490" i="6"/>
  <c r="F490" i="6" s="1"/>
  <c r="E489" i="6"/>
  <c r="F489" i="6" s="1"/>
  <c r="E488" i="6"/>
  <c r="F488" i="6" s="1"/>
  <c r="E487" i="6"/>
  <c r="F487" i="6" s="1"/>
  <c r="E486" i="6"/>
  <c r="F486" i="6" s="1"/>
  <c r="E485" i="6"/>
  <c r="F485" i="6" s="1"/>
  <c r="E484" i="6"/>
  <c r="F484" i="6" s="1"/>
  <c r="E483" i="6"/>
  <c r="F483" i="6" s="1"/>
  <c r="E482" i="6"/>
  <c r="F482" i="6" s="1"/>
  <c r="E481" i="6"/>
  <c r="F481" i="6" s="1"/>
  <c r="E480" i="6"/>
  <c r="F480" i="6" s="1"/>
  <c r="E479" i="6"/>
  <c r="F479" i="6" s="1"/>
  <c r="E478" i="6"/>
  <c r="F478" i="6" s="1"/>
  <c r="E477" i="6"/>
  <c r="F477" i="6" s="1"/>
  <c r="E476" i="6"/>
  <c r="F476" i="6" s="1"/>
  <c r="E475" i="6"/>
  <c r="F475" i="6" s="1"/>
  <c r="E474" i="6"/>
  <c r="F474" i="6" s="1"/>
  <c r="E473" i="6"/>
  <c r="F473" i="6" s="1"/>
  <c r="E472" i="6"/>
  <c r="F472" i="6" s="1"/>
  <c r="E471" i="6"/>
  <c r="F471" i="6" s="1"/>
  <c r="E470" i="6"/>
  <c r="F470" i="6" s="1"/>
  <c r="E469" i="6"/>
  <c r="F469" i="6" s="1"/>
  <c r="E468" i="6"/>
  <c r="F468" i="6" s="1"/>
  <c r="E467" i="6"/>
  <c r="F467" i="6" s="1"/>
  <c r="E466" i="6"/>
  <c r="F466" i="6" s="1"/>
  <c r="E465" i="6"/>
  <c r="F465" i="6" s="1"/>
  <c r="E464" i="6"/>
  <c r="F464" i="6" s="1"/>
  <c r="E463" i="6"/>
  <c r="F463" i="6" s="1"/>
  <c r="E462" i="6"/>
  <c r="F462" i="6" s="1"/>
  <c r="E461" i="6"/>
  <c r="F461" i="6" s="1"/>
  <c r="E460" i="6"/>
  <c r="F460" i="6" s="1"/>
  <c r="E459" i="6"/>
  <c r="F459" i="6" s="1"/>
  <c r="E458" i="6"/>
  <c r="F458" i="6" s="1"/>
  <c r="E457" i="6"/>
  <c r="F457" i="6" s="1"/>
  <c r="E456" i="6"/>
  <c r="F456" i="6" s="1"/>
  <c r="E455" i="6"/>
  <c r="F455" i="6" s="1"/>
  <c r="E454" i="6"/>
  <c r="F454" i="6" s="1"/>
  <c r="E453" i="6"/>
  <c r="F453" i="6" s="1"/>
  <c r="E452" i="6"/>
  <c r="F452" i="6" s="1"/>
  <c r="E451" i="6"/>
  <c r="F451" i="6" s="1"/>
  <c r="E450" i="6"/>
  <c r="F450" i="6" s="1"/>
  <c r="E449" i="6"/>
  <c r="F449" i="6" s="1"/>
  <c r="E448" i="6"/>
  <c r="F448" i="6" s="1"/>
  <c r="E447" i="6"/>
  <c r="F447" i="6" s="1"/>
  <c r="E446" i="6"/>
  <c r="F446" i="6" s="1"/>
  <c r="E445" i="6"/>
  <c r="F445" i="6" s="1"/>
  <c r="E444" i="6"/>
  <c r="F444" i="6" s="1"/>
  <c r="E443" i="6"/>
  <c r="F443" i="6" s="1"/>
  <c r="E442" i="6"/>
  <c r="F442" i="6" s="1"/>
  <c r="E441" i="6"/>
  <c r="F441" i="6" s="1"/>
  <c r="E440" i="6"/>
  <c r="F440" i="6" s="1"/>
  <c r="E439" i="6"/>
  <c r="F439" i="6" s="1"/>
  <c r="E438" i="6"/>
  <c r="F438" i="6" s="1"/>
  <c r="E437" i="6"/>
  <c r="F437" i="6" s="1"/>
  <c r="E436" i="6"/>
  <c r="F436" i="6" s="1"/>
  <c r="E435" i="6"/>
  <c r="F435" i="6" s="1"/>
  <c r="E434" i="6"/>
  <c r="F434" i="6" s="1"/>
  <c r="E433" i="6"/>
  <c r="F433" i="6" s="1"/>
  <c r="E432" i="6"/>
  <c r="F432" i="6" s="1"/>
  <c r="E431" i="6"/>
  <c r="F431" i="6" s="1"/>
  <c r="E430" i="6"/>
  <c r="F430" i="6" s="1"/>
  <c r="E429" i="6"/>
  <c r="F429" i="6" s="1"/>
  <c r="E428" i="6"/>
  <c r="F428" i="6" s="1"/>
  <c r="E427" i="6"/>
  <c r="F427" i="6" s="1"/>
  <c r="E426" i="6"/>
  <c r="F426" i="6" s="1"/>
  <c r="E425" i="6"/>
  <c r="F425" i="6" s="1"/>
  <c r="E424" i="6"/>
  <c r="F424" i="6" s="1"/>
  <c r="E423" i="6"/>
  <c r="F423" i="6" s="1"/>
  <c r="E422" i="6"/>
  <c r="F422" i="6" s="1"/>
  <c r="E421" i="6"/>
  <c r="F421" i="6" s="1"/>
  <c r="E420" i="6"/>
  <c r="F420" i="6" s="1"/>
  <c r="E419" i="6"/>
  <c r="F419" i="6" s="1"/>
  <c r="E418" i="6"/>
  <c r="F418" i="6" s="1"/>
  <c r="E417" i="6"/>
  <c r="F417" i="6" s="1"/>
  <c r="E416" i="6"/>
  <c r="F416" i="6" s="1"/>
  <c r="E415" i="6"/>
  <c r="F415" i="6" s="1"/>
  <c r="E414" i="6"/>
  <c r="F414" i="6" s="1"/>
  <c r="E413" i="6"/>
  <c r="F413" i="6" s="1"/>
  <c r="E412" i="6"/>
  <c r="F412" i="6" s="1"/>
  <c r="E411" i="6"/>
  <c r="F411" i="6" s="1"/>
  <c r="E410" i="6"/>
  <c r="F410" i="6" s="1"/>
  <c r="E409" i="6"/>
  <c r="F409" i="6" s="1"/>
  <c r="E408" i="6"/>
  <c r="F408" i="6" s="1"/>
  <c r="E407" i="6"/>
  <c r="F407" i="6" s="1"/>
  <c r="E406" i="6"/>
  <c r="F406" i="6" s="1"/>
  <c r="E405" i="6"/>
  <c r="F405" i="6" s="1"/>
  <c r="E404" i="6"/>
  <c r="F404" i="6" s="1"/>
  <c r="E403" i="6"/>
  <c r="F403" i="6" s="1"/>
  <c r="E402" i="6"/>
  <c r="F402" i="6" s="1"/>
  <c r="E401" i="6"/>
  <c r="F401" i="6" s="1"/>
  <c r="E400" i="6"/>
  <c r="F400" i="6" s="1"/>
  <c r="E399" i="6"/>
  <c r="F399" i="6" s="1"/>
  <c r="E398" i="6"/>
  <c r="F398" i="6" s="1"/>
  <c r="E397" i="6"/>
  <c r="F397" i="6" s="1"/>
  <c r="E396" i="6"/>
  <c r="F396" i="6" s="1"/>
  <c r="E395" i="6"/>
  <c r="F395" i="6" s="1"/>
  <c r="E394" i="6"/>
  <c r="F394" i="6" s="1"/>
  <c r="E393" i="6"/>
  <c r="F393" i="6" s="1"/>
  <c r="E392" i="6"/>
  <c r="F392" i="6" s="1"/>
  <c r="E391" i="6"/>
  <c r="F391" i="6" s="1"/>
  <c r="E390" i="6"/>
  <c r="F390" i="6" s="1"/>
  <c r="E389" i="6"/>
  <c r="F389" i="6" s="1"/>
  <c r="E388" i="6"/>
  <c r="F388" i="6" s="1"/>
  <c r="E387" i="6"/>
  <c r="F387" i="6" s="1"/>
  <c r="E386" i="6"/>
  <c r="F386" i="6" s="1"/>
  <c r="E385" i="6"/>
  <c r="F385" i="6" s="1"/>
  <c r="E384" i="6"/>
  <c r="F384" i="6" s="1"/>
  <c r="E383" i="6"/>
  <c r="F383" i="6" s="1"/>
  <c r="E382" i="6"/>
  <c r="F382" i="6" s="1"/>
  <c r="E381" i="6"/>
  <c r="F381" i="6" s="1"/>
  <c r="E380" i="6"/>
  <c r="F380" i="6" s="1"/>
  <c r="E379" i="6"/>
  <c r="F379" i="6" s="1"/>
  <c r="E378" i="6"/>
  <c r="F378" i="6" s="1"/>
  <c r="E377" i="6"/>
  <c r="F377" i="6" s="1"/>
  <c r="E376" i="6"/>
  <c r="F376" i="6" s="1"/>
  <c r="E375" i="6"/>
  <c r="F375" i="6" s="1"/>
  <c r="E374" i="6"/>
  <c r="F374" i="6" s="1"/>
  <c r="E373" i="6"/>
  <c r="F373" i="6" s="1"/>
  <c r="E372" i="6"/>
  <c r="F372" i="6" s="1"/>
  <c r="E371" i="6"/>
  <c r="F371" i="6" s="1"/>
  <c r="E370" i="6"/>
  <c r="F370" i="6" s="1"/>
  <c r="E369" i="6"/>
  <c r="F369" i="6" s="1"/>
  <c r="E368" i="6"/>
  <c r="F368" i="6" s="1"/>
  <c r="E367" i="6"/>
  <c r="F367" i="6" s="1"/>
  <c r="E366" i="6"/>
  <c r="F366" i="6" s="1"/>
  <c r="E365" i="6"/>
  <c r="F365" i="6" s="1"/>
  <c r="E364" i="6"/>
  <c r="F364" i="6" s="1"/>
  <c r="E363" i="6"/>
  <c r="F363" i="6" s="1"/>
  <c r="E362" i="6"/>
  <c r="F362" i="6" s="1"/>
  <c r="E361" i="6"/>
  <c r="F361" i="6" s="1"/>
  <c r="E360" i="6"/>
  <c r="F360" i="6" s="1"/>
  <c r="E359" i="6"/>
  <c r="F359" i="6" s="1"/>
  <c r="E358" i="6"/>
  <c r="F358" i="6" s="1"/>
  <c r="E357" i="6"/>
  <c r="F357" i="6" s="1"/>
  <c r="E356" i="6"/>
  <c r="F356" i="6" s="1"/>
  <c r="E355" i="6"/>
  <c r="F355" i="6" s="1"/>
  <c r="E354" i="6"/>
  <c r="F354" i="6" s="1"/>
  <c r="E353" i="6"/>
  <c r="F353" i="6" s="1"/>
  <c r="E352" i="6"/>
  <c r="F352" i="6" s="1"/>
  <c r="E351" i="6"/>
  <c r="F351" i="6" s="1"/>
  <c r="E350" i="6"/>
  <c r="F350" i="6" s="1"/>
  <c r="E349" i="6"/>
  <c r="F349" i="6" s="1"/>
  <c r="E348" i="6"/>
  <c r="F348" i="6" s="1"/>
  <c r="E347" i="6"/>
  <c r="F347" i="6" s="1"/>
  <c r="E346" i="6"/>
  <c r="F346" i="6" s="1"/>
  <c r="E345" i="6"/>
  <c r="F345" i="6" s="1"/>
  <c r="E344" i="6"/>
  <c r="F344" i="6" s="1"/>
  <c r="E343" i="6"/>
  <c r="F343" i="6" s="1"/>
  <c r="E342" i="6"/>
  <c r="F342" i="6" s="1"/>
  <c r="E341" i="6"/>
  <c r="F341" i="6" s="1"/>
  <c r="E340" i="6"/>
  <c r="F340" i="6" s="1"/>
  <c r="E339" i="6"/>
  <c r="F339" i="6" s="1"/>
  <c r="E338" i="6"/>
  <c r="F338" i="6" s="1"/>
  <c r="E337" i="6"/>
  <c r="F337" i="6" s="1"/>
  <c r="E336" i="6"/>
  <c r="F336" i="6" s="1"/>
  <c r="E335" i="6"/>
  <c r="F335" i="6" s="1"/>
  <c r="E334" i="6"/>
  <c r="F334" i="6" s="1"/>
  <c r="E333" i="6"/>
  <c r="F333" i="6" s="1"/>
  <c r="E332" i="6"/>
  <c r="F332" i="6" s="1"/>
  <c r="E331" i="6"/>
  <c r="F331" i="6" s="1"/>
  <c r="E330" i="6"/>
  <c r="F330" i="6" s="1"/>
  <c r="E329" i="6"/>
  <c r="F329" i="6" s="1"/>
  <c r="E328" i="6"/>
  <c r="F328" i="6" s="1"/>
  <c r="E327" i="6"/>
  <c r="F327" i="6" s="1"/>
  <c r="E326" i="6"/>
  <c r="F326" i="6" s="1"/>
  <c r="E325" i="6"/>
  <c r="F325" i="6" s="1"/>
  <c r="E324" i="6"/>
  <c r="F324" i="6" s="1"/>
  <c r="E323" i="6"/>
  <c r="F323" i="6" s="1"/>
  <c r="E322" i="6"/>
  <c r="F322" i="6" s="1"/>
  <c r="E321" i="6"/>
  <c r="F321" i="6" s="1"/>
  <c r="E320" i="6"/>
  <c r="F320" i="6" s="1"/>
  <c r="E319" i="6"/>
  <c r="F319" i="6" s="1"/>
  <c r="E318" i="6"/>
  <c r="F318" i="6" s="1"/>
  <c r="E317" i="6"/>
  <c r="F317" i="6" s="1"/>
  <c r="E316" i="6"/>
  <c r="F316" i="6" s="1"/>
  <c r="E315" i="6"/>
  <c r="F315" i="6" s="1"/>
  <c r="E314" i="6"/>
  <c r="F314" i="6" s="1"/>
  <c r="E313" i="6"/>
  <c r="F313" i="6" s="1"/>
  <c r="E312" i="6"/>
  <c r="F312" i="6" s="1"/>
  <c r="E311" i="6"/>
  <c r="F311" i="6" s="1"/>
  <c r="E310" i="6"/>
  <c r="F310" i="6" s="1"/>
  <c r="E309" i="6"/>
  <c r="F309" i="6" s="1"/>
  <c r="E308" i="6"/>
  <c r="F308" i="6" s="1"/>
  <c r="E307" i="6"/>
  <c r="F307" i="6" s="1"/>
  <c r="E306" i="6"/>
  <c r="F306" i="6" s="1"/>
  <c r="E305" i="6"/>
  <c r="F305" i="6" s="1"/>
  <c r="E304" i="6"/>
  <c r="F304" i="6" s="1"/>
  <c r="E303" i="6"/>
  <c r="F303" i="6" s="1"/>
  <c r="E302" i="6"/>
  <c r="F302" i="6" s="1"/>
  <c r="E301" i="6"/>
  <c r="F301" i="6" s="1"/>
  <c r="E300" i="6"/>
  <c r="F300" i="6" s="1"/>
  <c r="E299" i="6"/>
  <c r="F299" i="6" s="1"/>
  <c r="E298" i="6"/>
  <c r="F298" i="6" s="1"/>
  <c r="E297" i="6"/>
  <c r="F297" i="6" s="1"/>
  <c r="E296" i="6"/>
  <c r="F296" i="6" s="1"/>
  <c r="E295" i="6"/>
  <c r="F295" i="6" s="1"/>
  <c r="E294" i="6"/>
  <c r="F294" i="6" s="1"/>
  <c r="E293" i="6"/>
  <c r="F293" i="6" s="1"/>
  <c r="E292" i="6"/>
  <c r="F292" i="6" s="1"/>
  <c r="E291" i="6"/>
  <c r="F291" i="6" s="1"/>
  <c r="E290" i="6"/>
  <c r="F290" i="6" s="1"/>
  <c r="E289" i="6"/>
  <c r="F289" i="6" s="1"/>
  <c r="E288" i="6"/>
  <c r="F288" i="6" s="1"/>
  <c r="E287" i="6"/>
  <c r="F287" i="6" s="1"/>
  <c r="E286" i="6"/>
  <c r="F286" i="6" s="1"/>
  <c r="E285" i="6"/>
  <c r="F285" i="6" s="1"/>
  <c r="E284" i="6"/>
  <c r="F284" i="6" s="1"/>
  <c r="E283" i="6"/>
  <c r="F283" i="6" s="1"/>
  <c r="E282" i="6"/>
  <c r="F282" i="6" s="1"/>
  <c r="E281" i="6"/>
  <c r="F281" i="6" s="1"/>
  <c r="E280" i="6"/>
  <c r="F280" i="6" s="1"/>
  <c r="E279" i="6"/>
  <c r="F279" i="6" s="1"/>
  <c r="E278" i="6"/>
  <c r="F278" i="6" s="1"/>
  <c r="E277" i="6"/>
  <c r="F277" i="6" s="1"/>
  <c r="E276" i="6"/>
  <c r="F276" i="6" s="1"/>
  <c r="E275" i="6"/>
  <c r="F275" i="6" s="1"/>
  <c r="E274" i="6"/>
  <c r="F274" i="6" s="1"/>
  <c r="E273" i="6"/>
  <c r="F273" i="6" s="1"/>
  <c r="E272" i="6"/>
  <c r="F272" i="6" s="1"/>
  <c r="E271" i="6"/>
  <c r="F271" i="6" s="1"/>
  <c r="E270" i="6"/>
  <c r="F270" i="6" s="1"/>
  <c r="E269" i="6"/>
  <c r="F269" i="6" s="1"/>
  <c r="E268" i="6"/>
  <c r="F268" i="6" s="1"/>
  <c r="E267" i="6"/>
  <c r="F267" i="6" s="1"/>
  <c r="E266" i="6"/>
  <c r="F266" i="6" s="1"/>
  <c r="E265" i="6"/>
  <c r="F265" i="6" s="1"/>
  <c r="E264" i="6"/>
  <c r="F264" i="6" s="1"/>
  <c r="E263" i="6"/>
  <c r="F263" i="6" s="1"/>
  <c r="E262" i="6"/>
  <c r="F262" i="6" s="1"/>
  <c r="E261" i="6"/>
  <c r="F261" i="6" s="1"/>
  <c r="E260" i="6"/>
  <c r="F260" i="6" s="1"/>
  <c r="E259" i="6"/>
  <c r="F259" i="6" s="1"/>
  <c r="E258" i="6"/>
  <c r="F258" i="6" s="1"/>
  <c r="E257" i="6"/>
  <c r="F257" i="6" s="1"/>
  <c r="E256" i="6"/>
  <c r="F256" i="6" s="1"/>
  <c r="E255" i="6"/>
  <c r="F255" i="6" s="1"/>
  <c r="E254" i="6"/>
  <c r="F254" i="6" s="1"/>
  <c r="E253" i="6"/>
  <c r="F253" i="6" s="1"/>
  <c r="E252" i="6"/>
  <c r="F252" i="6" s="1"/>
  <c r="E251" i="6"/>
  <c r="F251" i="6" s="1"/>
  <c r="E250" i="6"/>
  <c r="F250" i="6" s="1"/>
  <c r="E249" i="6"/>
  <c r="F249" i="6" s="1"/>
  <c r="E248" i="6"/>
  <c r="F248" i="6" s="1"/>
  <c r="E247" i="6"/>
  <c r="F247" i="6" s="1"/>
  <c r="E246" i="6"/>
  <c r="F246" i="6" s="1"/>
  <c r="E245" i="6"/>
  <c r="F245" i="6" s="1"/>
  <c r="E244" i="6"/>
  <c r="F244" i="6" s="1"/>
  <c r="E243" i="6"/>
  <c r="F243" i="6" s="1"/>
  <c r="E242" i="6"/>
  <c r="F242" i="6" s="1"/>
  <c r="E241" i="6"/>
  <c r="F241" i="6" s="1"/>
  <c r="E240" i="6"/>
  <c r="F240" i="6" s="1"/>
  <c r="E239" i="6"/>
  <c r="F239" i="6" s="1"/>
  <c r="E238" i="6"/>
  <c r="F238" i="6" s="1"/>
  <c r="E237" i="6"/>
  <c r="F237" i="6" s="1"/>
  <c r="E236" i="6"/>
  <c r="F236" i="6" s="1"/>
  <c r="E235" i="6"/>
  <c r="F235" i="6" s="1"/>
  <c r="E234" i="6"/>
  <c r="F234" i="6" s="1"/>
  <c r="E233" i="6"/>
  <c r="F233" i="6" s="1"/>
  <c r="E232" i="6"/>
  <c r="F232" i="6" s="1"/>
  <c r="E231" i="6"/>
  <c r="F231" i="6" s="1"/>
  <c r="E230" i="6"/>
  <c r="F230" i="6" s="1"/>
  <c r="E229" i="6"/>
  <c r="F229" i="6" s="1"/>
  <c r="E228" i="6"/>
  <c r="F228" i="6" s="1"/>
  <c r="E227" i="6"/>
  <c r="F227" i="6" s="1"/>
  <c r="E226" i="6"/>
  <c r="F226" i="6" s="1"/>
  <c r="E225" i="6"/>
  <c r="F225" i="6" s="1"/>
  <c r="E224" i="6"/>
  <c r="F224" i="6" s="1"/>
  <c r="E223" i="6"/>
  <c r="F223" i="6" s="1"/>
  <c r="E222" i="6"/>
  <c r="F222" i="6" s="1"/>
  <c r="E221" i="6"/>
  <c r="F221" i="6" s="1"/>
  <c r="E220" i="6"/>
  <c r="F220" i="6" s="1"/>
  <c r="E219" i="6"/>
  <c r="F219" i="6" s="1"/>
  <c r="E218" i="6"/>
  <c r="F218" i="6" s="1"/>
  <c r="E217" i="6"/>
  <c r="F217" i="6" s="1"/>
  <c r="E216" i="6"/>
  <c r="F216" i="6" s="1"/>
  <c r="E215" i="6"/>
  <c r="F215" i="6" s="1"/>
  <c r="E214" i="6"/>
  <c r="F214" i="6" s="1"/>
  <c r="E213" i="6"/>
  <c r="F213" i="6" s="1"/>
  <c r="E212" i="6"/>
  <c r="F212" i="6" s="1"/>
  <c r="E211" i="6"/>
  <c r="F211" i="6" s="1"/>
  <c r="E210" i="6"/>
  <c r="F210" i="6" s="1"/>
  <c r="E209" i="6"/>
  <c r="F209" i="6" s="1"/>
  <c r="E208" i="6"/>
  <c r="F208" i="6" s="1"/>
  <c r="E207" i="6"/>
  <c r="F207" i="6" s="1"/>
  <c r="E206" i="6"/>
  <c r="F206" i="6" s="1"/>
  <c r="E205" i="6"/>
  <c r="F205" i="6" s="1"/>
  <c r="E204" i="6"/>
  <c r="F204" i="6" s="1"/>
  <c r="E203" i="6"/>
  <c r="F203" i="6" s="1"/>
  <c r="E202" i="6"/>
  <c r="F202" i="6" s="1"/>
  <c r="E201" i="6"/>
  <c r="F201" i="6" s="1"/>
  <c r="E200" i="6"/>
  <c r="F200" i="6" s="1"/>
  <c r="E199" i="6"/>
  <c r="F199" i="6" s="1"/>
  <c r="E198" i="6"/>
  <c r="F198" i="6" s="1"/>
  <c r="E197" i="6"/>
  <c r="F197" i="6" s="1"/>
  <c r="E196" i="6"/>
  <c r="F196" i="6" s="1"/>
  <c r="E195" i="6"/>
  <c r="F195" i="6" s="1"/>
  <c r="E194" i="6"/>
  <c r="F194" i="6" s="1"/>
  <c r="E193" i="6"/>
  <c r="F193" i="6" s="1"/>
  <c r="E192" i="6"/>
  <c r="F192" i="6" s="1"/>
  <c r="E191" i="6"/>
  <c r="F191" i="6" s="1"/>
  <c r="E190" i="6"/>
  <c r="F190" i="6" s="1"/>
  <c r="E189" i="6"/>
  <c r="F189" i="6" s="1"/>
  <c r="E188" i="6"/>
  <c r="F188" i="6" s="1"/>
  <c r="E187" i="6"/>
  <c r="F187" i="6" s="1"/>
  <c r="E186" i="6"/>
  <c r="F186" i="6" s="1"/>
  <c r="E185" i="6"/>
  <c r="F185" i="6" s="1"/>
  <c r="E184" i="6"/>
  <c r="F184" i="6" s="1"/>
  <c r="E183" i="6"/>
  <c r="F183" i="6" s="1"/>
  <c r="E182" i="6"/>
  <c r="F182" i="6" s="1"/>
  <c r="E181" i="6"/>
  <c r="F181" i="6" s="1"/>
  <c r="E180" i="6"/>
  <c r="F180" i="6" s="1"/>
  <c r="E179" i="6"/>
  <c r="F179" i="6" s="1"/>
  <c r="E178" i="6"/>
  <c r="F178" i="6" s="1"/>
  <c r="E177" i="6"/>
  <c r="F177" i="6" s="1"/>
  <c r="E176" i="6"/>
  <c r="F176" i="6" s="1"/>
  <c r="E175" i="6"/>
  <c r="F175" i="6" s="1"/>
  <c r="E174" i="6"/>
  <c r="F174" i="6" s="1"/>
  <c r="E173" i="6"/>
  <c r="F173" i="6" s="1"/>
  <c r="E172" i="6"/>
  <c r="F172" i="6" s="1"/>
  <c r="E171" i="6"/>
  <c r="F171" i="6" s="1"/>
  <c r="E170" i="6"/>
  <c r="F170" i="6" s="1"/>
  <c r="E169" i="6"/>
  <c r="F169" i="6" s="1"/>
  <c r="E168" i="6"/>
  <c r="F168" i="6" s="1"/>
  <c r="E167" i="6"/>
  <c r="F167" i="6" s="1"/>
  <c r="E166" i="6"/>
  <c r="F166" i="6" s="1"/>
  <c r="E165" i="6"/>
  <c r="F165" i="6" s="1"/>
  <c r="E164" i="6"/>
  <c r="F164" i="6" s="1"/>
  <c r="E163" i="6"/>
  <c r="F163" i="6" s="1"/>
  <c r="E162" i="6"/>
  <c r="F162" i="6" s="1"/>
  <c r="E161" i="6"/>
  <c r="F161" i="6" s="1"/>
  <c r="E160" i="6"/>
  <c r="F160" i="6" s="1"/>
  <c r="E159" i="6"/>
  <c r="F159" i="6" s="1"/>
  <c r="E158" i="6"/>
  <c r="F158" i="6" s="1"/>
  <c r="E157" i="6"/>
  <c r="F157" i="6" s="1"/>
  <c r="E156" i="6"/>
  <c r="F156" i="6" s="1"/>
  <c r="E155" i="6"/>
  <c r="F155" i="6" s="1"/>
  <c r="E154" i="6"/>
  <c r="F154" i="6" s="1"/>
  <c r="E153" i="6"/>
  <c r="F153" i="6" s="1"/>
  <c r="E152" i="6"/>
  <c r="F152" i="6" s="1"/>
  <c r="E151" i="6"/>
  <c r="F151" i="6" s="1"/>
  <c r="E150" i="6"/>
  <c r="F150" i="6" s="1"/>
  <c r="E149" i="6"/>
  <c r="F149" i="6" s="1"/>
  <c r="E148" i="6"/>
  <c r="F148" i="6" s="1"/>
  <c r="E147" i="6"/>
  <c r="F147" i="6" s="1"/>
  <c r="E146" i="6"/>
  <c r="F146" i="6" s="1"/>
  <c r="E145" i="6"/>
  <c r="F145" i="6" s="1"/>
  <c r="E144" i="6"/>
  <c r="F144" i="6" s="1"/>
  <c r="E143" i="6"/>
  <c r="F143" i="6" s="1"/>
  <c r="E142" i="6"/>
  <c r="F142" i="6" s="1"/>
  <c r="E141" i="6"/>
  <c r="F141" i="6" s="1"/>
  <c r="E140" i="6"/>
  <c r="F140" i="6" s="1"/>
  <c r="E139" i="6"/>
  <c r="F139" i="6" s="1"/>
  <c r="E138" i="6"/>
  <c r="F138" i="6" s="1"/>
  <c r="E137" i="6"/>
  <c r="F137" i="6" s="1"/>
  <c r="E136" i="6"/>
  <c r="F136" i="6" s="1"/>
  <c r="E135" i="6"/>
  <c r="F135" i="6" s="1"/>
  <c r="E134" i="6"/>
  <c r="F134" i="6" s="1"/>
  <c r="E133" i="6"/>
  <c r="F133" i="6" s="1"/>
  <c r="E132" i="6"/>
  <c r="F132" i="6" s="1"/>
  <c r="E131" i="6"/>
  <c r="F131" i="6" s="1"/>
  <c r="E130" i="6"/>
  <c r="F130" i="6" s="1"/>
  <c r="E129" i="6"/>
  <c r="F129" i="6" s="1"/>
  <c r="E128" i="6"/>
  <c r="F128" i="6" s="1"/>
  <c r="E127" i="6"/>
  <c r="F127" i="6" s="1"/>
  <c r="E126" i="6"/>
  <c r="F126" i="6" s="1"/>
  <c r="E125" i="6"/>
  <c r="F125" i="6" s="1"/>
  <c r="E124" i="6"/>
  <c r="F124" i="6" s="1"/>
  <c r="E123" i="6"/>
  <c r="F123" i="6" s="1"/>
  <c r="E122" i="6"/>
  <c r="F122" i="6" s="1"/>
  <c r="E121" i="6"/>
  <c r="F121" i="6" s="1"/>
  <c r="E120" i="6"/>
  <c r="F120" i="6" s="1"/>
  <c r="E119" i="6"/>
  <c r="F119" i="6" s="1"/>
  <c r="E118" i="6"/>
  <c r="F118" i="6" s="1"/>
  <c r="E117" i="6"/>
  <c r="F117" i="6" s="1"/>
  <c r="E116" i="6"/>
  <c r="F116" i="6" s="1"/>
  <c r="E115" i="6"/>
  <c r="F115" i="6" s="1"/>
  <c r="E114" i="6"/>
  <c r="F114" i="6" s="1"/>
  <c r="E113" i="6"/>
  <c r="F113" i="6" s="1"/>
  <c r="E112" i="6"/>
  <c r="F112" i="6" s="1"/>
  <c r="E111" i="6"/>
  <c r="F111" i="6" s="1"/>
  <c r="E110" i="6"/>
  <c r="F110" i="6" s="1"/>
  <c r="E109" i="6"/>
  <c r="F109" i="6" s="1"/>
  <c r="E108" i="6"/>
  <c r="F108" i="6" s="1"/>
  <c r="E107" i="6"/>
  <c r="F107" i="6" s="1"/>
  <c r="E106" i="6"/>
  <c r="F106" i="6" s="1"/>
  <c r="E105" i="6"/>
  <c r="F105" i="6" s="1"/>
  <c r="E104" i="6"/>
  <c r="F104" i="6" s="1"/>
  <c r="E103" i="6"/>
  <c r="F103" i="6" s="1"/>
  <c r="E102" i="6"/>
  <c r="F102" i="6" s="1"/>
  <c r="E101" i="6"/>
  <c r="F101" i="6" s="1"/>
  <c r="E100" i="6"/>
  <c r="F100" i="6" s="1"/>
  <c r="E99" i="6"/>
  <c r="F99" i="6" s="1"/>
  <c r="E98" i="6"/>
  <c r="F98" i="6" s="1"/>
  <c r="E97" i="6"/>
  <c r="F97" i="6" s="1"/>
  <c r="E96" i="6"/>
  <c r="F96" i="6" s="1"/>
  <c r="E95" i="6"/>
  <c r="F95" i="6" s="1"/>
  <c r="E94" i="6"/>
  <c r="F94" i="6" s="1"/>
  <c r="E93" i="6"/>
  <c r="F93" i="6" s="1"/>
  <c r="E92" i="6"/>
  <c r="F92" i="6" s="1"/>
  <c r="E91" i="6"/>
  <c r="F91" i="6" s="1"/>
  <c r="E90" i="6"/>
  <c r="F90" i="6" s="1"/>
  <c r="E89" i="6"/>
  <c r="F89" i="6" s="1"/>
  <c r="E88" i="6"/>
  <c r="F88" i="6" s="1"/>
  <c r="E87" i="6"/>
  <c r="F87" i="6" s="1"/>
  <c r="E86" i="6"/>
  <c r="F86" i="6" s="1"/>
  <c r="E85" i="6"/>
  <c r="F85" i="6" s="1"/>
  <c r="E84" i="6"/>
  <c r="F84" i="6" s="1"/>
  <c r="E83" i="6"/>
  <c r="F83" i="6" s="1"/>
  <c r="E82" i="6"/>
  <c r="F82" i="6" s="1"/>
  <c r="E81" i="6"/>
  <c r="F81" i="6" s="1"/>
  <c r="E80" i="6"/>
  <c r="F80" i="6" s="1"/>
  <c r="E79" i="6"/>
  <c r="F79" i="6" s="1"/>
  <c r="E78" i="6"/>
  <c r="F78" i="6" s="1"/>
  <c r="E77" i="6"/>
  <c r="F77" i="6" s="1"/>
  <c r="E76" i="6"/>
  <c r="F76" i="6" s="1"/>
  <c r="E75" i="6"/>
  <c r="F75" i="6" s="1"/>
  <c r="E74" i="6"/>
  <c r="F74" i="6" s="1"/>
  <c r="E73" i="6"/>
  <c r="F73" i="6" s="1"/>
  <c r="E72" i="6"/>
  <c r="F72" i="6" s="1"/>
  <c r="E71" i="6"/>
  <c r="F71" i="6" s="1"/>
  <c r="E70" i="6"/>
  <c r="F70" i="6" s="1"/>
  <c r="E69" i="6"/>
  <c r="F69" i="6" s="1"/>
  <c r="E68" i="6"/>
  <c r="F68" i="6" s="1"/>
  <c r="E67" i="6"/>
  <c r="F67" i="6" s="1"/>
  <c r="E66" i="6"/>
  <c r="F66" i="6" s="1"/>
  <c r="E65" i="6"/>
  <c r="F65" i="6" s="1"/>
  <c r="E64" i="6"/>
  <c r="F64" i="6" s="1"/>
  <c r="E63" i="6"/>
  <c r="F63" i="6" s="1"/>
  <c r="E62" i="6"/>
  <c r="F62" i="6" s="1"/>
  <c r="E61" i="6"/>
  <c r="F61" i="6" s="1"/>
  <c r="E60" i="6"/>
  <c r="F60" i="6" s="1"/>
  <c r="E59" i="6"/>
  <c r="F59" i="6" s="1"/>
  <c r="E58" i="6"/>
  <c r="F58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51" i="6"/>
  <c r="F51" i="6" s="1"/>
  <c r="E50" i="6"/>
  <c r="F50" i="6" s="1"/>
  <c r="E49" i="6"/>
  <c r="F49" i="6" s="1"/>
  <c r="E48" i="6"/>
  <c r="F48" i="6" s="1"/>
  <c r="E47" i="6"/>
  <c r="F47" i="6" s="1"/>
  <c r="E46" i="6"/>
  <c r="F46" i="6" s="1"/>
  <c r="E45" i="6"/>
  <c r="F45" i="6" s="1"/>
  <c r="E44" i="6"/>
  <c r="F44" i="6" s="1"/>
  <c r="E43" i="6"/>
  <c r="F43" i="6" s="1"/>
  <c r="E42" i="6"/>
  <c r="F42" i="6" s="1"/>
  <c r="E41" i="6"/>
  <c r="F41" i="6" s="1"/>
  <c r="E40" i="6"/>
  <c r="F40" i="6" s="1"/>
  <c r="E39" i="6"/>
  <c r="F39" i="6" s="1"/>
  <c r="E38" i="6"/>
  <c r="F38" i="6" s="1"/>
  <c r="E37" i="6"/>
  <c r="F37" i="6" s="1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A132" i="59"/>
  <c r="A131" i="59"/>
  <c r="A130" i="59"/>
  <c r="A129" i="59"/>
  <c r="A128" i="59"/>
  <c r="A127" i="59"/>
  <c r="N809" i="14"/>
  <c r="N3" i="6"/>
  <c r="O3" i="6"/>
  <c r="N4" i="6"/>
  <c r="O4" i="6"/>
  <c r="N5" i="6"/>
  <c r="P5" i="6" s="1"/>
  <c r="U5" i="6" s="1"/>
  <c r="P6" i="6"/>
  <c r="U6" i="6" s="1"/>
  <c r="N7" i="6"/>
  <c r="P7" i="6" s="1"/>
  <c r="U7" i="6" s="1"/>
  <c r="N8" i="6"/>
  <c r="O8" i="6"/>
  <c r="N9" i="6"/>
  <c r="O9" i="6"/>
  <c r="N10" i="6"/>
  <c r="O10" i="6"/>
  <c r="N11" i="6"/>
  <c r="P11" i="6" s="1"/>
  <c r="U11" i="6" s="1"/>
  <c r="N12" i="6"/>
  <c r="O12" i="6"/>
  <c r="O13" i="6"/>
  <c r="P13" i="6" s="1"/>
  <c r="U13" i="6" s="1"/>
  <c r="N14" i="6"/>
  <c r="O14" i="6"/>
  <c r="N15" i="6"/>
  <c r="O15" i="6"/>
  <c r="N16" i="6"/>
  <c r="O16" i="6"/>
  <c r="N17" i="6"/>
  <c r="P17" i="6" s="1"/>
  <c r="U17" i="6" s="1"/>
  <c r="N18" i="6"/>
  <c r="O18" i="6"/>
  <c r="N19" i="6"/>
  <c r="P19" i="6" s="1"/>
  <c r="U19" i="6" s="1"/>
  <c r="N21" i="6"/>
  <c r="O21" i="6"/>
  <c r="N22" i="6"/>
  <c r="O22" i="6"/>
  <c r="N23" i="6"/>
  <c r="N24" i="6"/>
  <c r="P24" i="6" s="1"/>
  <c r="U24" i="6" s="1"/>
  <c r="N25" i="6"/>
  <c r="N26" i="6"/>
  <c r="P26" i="6" s="1"/>
  <c r="U26" i="6" s="1"/>
  <c r="N27" i="6"/>
  <c r="O27" i="6"/>
  <c r="N28" i="6"/>
  <c r="O28" i="6"/>
  <c r="N29" i="6"/>
  <c r="P29" i="6" s="1"/>
  <c r="U29" i="6" s="1"/>
  <c r="P30" i="6"/>
  <c r="U30" i="6" s="1"/>
  <c r="N31" i="6"/>
  <c r="P31" i="6" s="1"/>
  <c r="U31" i="6" s="1"/>
  <c r="N32" i="6"/>
  <c r="P32" i="6" s="1"/>
  <c r="U32" i="6" s="1"/>
  <c r="N33" i="6"/>
  <c r="P33" i="6" s="1"/>
  <c r="U33" i="6" s="1"/>
  <c r="N34" i="6"/>
  <c r="P34" i="6" s="1"/>
  <c r="U34" i="6" s="1"/>
  <c r="N35" i="6"/>
  <c r="P35" i="6" s="1"/>
  <c r="U35" i="6" s="1"/>
  <c r="N36" i="6"/>
  <c r="P36" i="6" s="1"/>
  <c r="U36" i="6" s="1"/>
  <c r="N37" i="6"/>
  <c r="P37" i="6" s="1"/>
  <c r="U37" i="6" s="1"/>
  <c r="N38" i="6"/>
  <c r="P38" i="6" s="1"/>
  <c r="U38" i="6" s="1"/>
  <c r="N39" i="6"/>
  <c r="P39" i="6" s="1"/>
  <c r="U39" i="6" s="1"/>
  <c r="N40" i="6"/>
  <c r="P40" i="6" s="1"/>
  <c r="U40" i="6" s="1"/>
  <c r="N41" i="6"/>
  <c r="P41" i="6" s="1"/>
  <c r="U41" i="6" s="1"/>
  <c r="P42" i="6"/>
  <c r="U42" i="6" s="1"/>
  <c r="N43" i="6"/>
  <c r="P43" i="6" s="1"/>
  <c r="U43" i="6" s="1"/>
  <c r="N44" i="6"/>
  <c r="P44" i="6" s="1"/>
  <c r="U44" i="6" s="1"/>
  <c r="N45" i="6"/>
  <c r="P45" i="6" s="1"/>
  <c r="U45" i="6" s="1"/>
  <c r="N46" i="6"/>
  <c r="P46" i="6" s="1"/>
  <c r="U46" i="6" s="1"/>
  <c r="N47" i="6"/>
  <c r="P47" i="6" s="1"/>
  <c r="U47" i="6" s="1"/>
  <c r="N48" i="6"/>
  <c r="P48" i="6" s="1"/>
  <c r="U48" i="6" s="1"/>
  <c r="N49" i="6"/>
  <c r="P49" i="6" s="1"/>
  <c r="U49" i="6" s="1"/>
  <c r="N50" i="6"/>
  <c r="P50" i="6" s="1"/>
  <c r="U50" i="6" s="1"/>
  <c r="N51" i="6"/>
  <c r="P51" i="6" s="1"/>
  <c r="U51" i="6" s="1"/>
  <c r="P52" i="6"/>
  <c r="U52" i="6" s="1"/>
  <c r="N53" i="6"/>
  <c r="P53" i="6" s="1"/>
  <c r="U53" i="6" s="1"/>
  <c r="N54" i="6"/>
  <c r="P54" i="6" s="1"/>
  <c r="U54" i="6" s="1"/>
  <c r="N55" i="6"/>
  <c r="P55" i="6" s="1"/>
  <c r="U55" i="6" s="1"/>
  <c r="N56" i="6"/>
  <c r="P56" i="6" s="1"/>
  <c r="U56" i="6" s="1"/>
  <c r="N57" i="6"/>
  <c r="P57" i="6" s="1"/>
  <c r="U57" i="6" s="1"/>
  <c r="N58" i="6"/>
  <c r="P58" i="6" s="1"/>
  <c r="U58" i="6" s="1"/>
  <c r="N59" i="6"/>
  <c r="P59" i="6" s="1"/>
  <c r="U59" i="6" s="1"/>
  <c r="N60" i="6"/>
  <c r="P60" i="6" s="1"/>
  <c r="U60" i="6" s="1"/>
  <c r="P61" i="6"/>
  <c r="U61" i="6" s="1"/>
  <c r="N62" i="6"/>
  <c r="P62" i="6" s="1"/>
  <c r="U62" i="6" s="1"/>
  <c r="N63" i="6"/>
  <c r="P63" i="6" s="1"/>
  <c r="U63" i="6" s="1"/>
  <c r="N64" i="6"/>
  <c r="P64" i="6" s="1"/>
  <c r="U64" i="6" s="1"/>
  <c r="N65" i="6"/>
  <c r="P65" i="6" s="1"/>
  <c r="U65" i="6" s="1"/>
  <c r="N66" i="6"/>
  <c r="P66" i="6" s="1"/>
  <c r="U66" i="6" s="1"/>
  <c r="N67" i="6"/>
  <c r="P67" i="6" s="1"/>
  <c r="U67" i="6" s="1"/>
  <c r="N68" i="6"/>
  <c r="P68" i="6" s="1"/>
  <c r="U68" i="6" s="1"/>
  <c r="N69" i="6"/>
  <c r="P69" i="6" s="1"/>
  <c r="U69" i="6" s="1"/>
  <c r="N70" i="6"/>
  <c r="P70" i="6" s="1"/>
  <c r="U70" i="6" s="1"/>
  <c r="P71" i="6"/>
  <c r="U71" i="6" s="1"/>
  <c r="N72" i="6"/>
  <c r="P72" i="6" s="1"/>
  <c r="U72" i="6" s="1"/>
  <c r="N73" i="6"/>
  <c r="P73" i="6" s="1"/>
  <c r="U73" i="6" s="1"/>
  <c r="N74" i="6"/>
  <c r="P74" i="6" s="1"/>
  <c r="U74" i="6" s="1"/>
  <c r="N75" i="6"/>
  <c r="P75" i="6" s="1"/>
  <c r="U75" i="6" s="1"/>
  <c r="N76" i="6"/>
  <c r="P76" i="6" s="1"/>
  <c r="U76" i="6" s="1"/>
  <c r="M78" i="6"/>
  <c r="M80" i="6"/>
  <c r="M83" i="6"/>
  <c r="N84" i="6"/>
  <c r="P84" i="6" s="1"/>
  <c r="U84" i="6" s="1"/>
  <c r="N85" i="6"/>
  <c r="P85" i="6" s="1"/>
  <c r="U85" i="6" s="1"/>
  <c r="P86" i="6"/>
  <c r="U86" i="6" s="1"/>
  <c r="N87" i="6"/>
  <c r="P87" i="6" s="1"/>
  <c r="U87" i="6" s="1"/>
  <c r="N88" i="6"/>
  <c r="P88" i="6" s="1"/>
  <c r="U88" i="6" s="1"/>
  <c r="N89" i="6"/>
  <c r="P89" i="6" s="1"/>
  <c r="U89" i="6" s="1"/>
  <c r="N90" i="6"/>
  <c r="P90" i="6" s="1"/>
  <c r="U90" i="6" s="1"/>
  <c r="N91" i="6"/>
  <c r="P91" i="6" s="1"/>
  <c r="U91" i="6" s="1"/>
  <c r="N92" i="6"/>
  <c r="P92" i="6" s="1"/>
  <c r="U92" i="6" s="1"/>
  <c r="N93" i="6"/>
  <c r="P93" i="6" s="1"/>
  <c r="U93" i="6" s="1"/>
  <c r="N94" i="6"/>
  <c r="P94" i="6" s="1"/>
  <c r="U94" i="6" s="1"/>
  <c r="N95" i="6"/>
  <c r="P95" i="6" s="1"/>
  <c r="U95" i="6" s="1"/>
  <c r="N96" i="6"/>
  <c r="P96" i="6" s="1"/>
  <c r="U96" i="6" s="1"/>
  <c r="N97" i="6"/>
  <c r="P97" i="6" s="1"/>
  <c r="U97" i="6" s="1"/>
  <c r="N98" i="6"/>
  <c r="P98" i="6" s="1"/>
  <c r="U98" i="6" s="1"/>
  <c r="N99" i="6"/>
  <c r="P99" i="6" s="1"/>
  <c r="U99" i="6" s="1"/>
  <c r="N100" i="6"/>
  <c r="P100" i="6" s="1"/>
  <c r="U100" i="6" s="1"/>
  <c r="P101" i="6"/>
  <c r="U101" i="6" s="1"/>
  <c r="N102" i="6"/>
  <c r="P102" i="6" s="1"/>
  <c r="U102" i="6" s="1"/>
  <c r="N103" i="6"/>
  <c r="P103" i="6" s="1"/>
  <c r="U103" i="6" s="1"/>
  <c r="N104" i="6"/>
  <c r="P104" i="6" s="1"/>
  <c r="U104" i="6" s="1"/>
  <c r="N105" i="6"/>
  <c r="P105" i="6" s="1"/>
  <c r="U105" i="6" s="1"/>
  <c r="N106" i="6"/>
  <c r="P106" i="6" s="1"/>
  <c r="U106" i="6" s="1"/>
  <c r="N107" i="6"/>
  <c r="P107" i="6" s="1"/>
  <c r="U107" i="6" s="1"/>
  <c r="N108" i="6"/>
  <c r="P108" i="6" s="1"/>
  <c r="U108" i="6" s="1"/>
  <c r="N109" i="6"/>
  <c r="P109" i="6" s="1"/>
  <c r="U109" i="6" s="1"/>
  <c r="P110" i="6"/>
  <c r="U110" i="6" s="1"/>
  <c r="P111" i="6"/>
  <c r="U111" i="6" s="1"/>
  <c r="N112" i="6"/>
  <c r="P112" i="6" s="1"/>
  <c r="U112" i="6" s="1"/>
  <c r="N113" i="6"/>
  <c r="P113" i="6" s="1"/>
  <c r="U113" i="6" s="1"/>
  <c r="N114" i="6"/>
  <c r="P114" i="6" s="1"/>
  <c r="U114" i="6" s="1"/>
  <c r="N115" i="6"/>
  <c r="P115" i="6" s="1"/>
  <c r="U115" i="6" s="1"/>
  <c r="N116" i="6"/>
  <c r="P116" i="6" s="1"/>
  <c r="U116" i="6" s="1"/>
  <c r="N117" i="6"/>
  <c r="P117" i="6" s="1"/>
  <c r="U117" i="6" s="1"/>
  <c r="N118" i="6"/>
  <c r="P118" i="6" s="1"/>
  <c r="U118" i="6" s="1"/>
  <c r="N119" i="6"/>
  <c r="P119" i="6" s="1"/>
  <c r="U119" i="6" s="1"/>
  <c r="N120" i="6"/>
  <c r="P120" i="6" s="1"/>
  <c r="U120" i="6" s="1"/>
  <c r="N121" i="6"/>
  <c r="P121" i="6" s="1"/>
  <c r="U121" i="6" s="1"/>
  <c r="N122" i="6"/>
  <c r="P122" i="6" s="1"/>
  <c r="U122" i="6" s="1"/>
  <c r="N123" i="6"/>
  <c r="P123" i="6" s="1"/>
  <c r="U123" i="6" s="1"/>
  <c r="N124" i="6"/>
  <c r="P124" i="6" s="1"/>
  <c r="U124" i="6" s="1"/>
  <c r="N125" i="6"/>
  <c r="P125" i="6" s="1"/>
  <c r="U125" i="6" s="1"/>
  <c r="N126" i="6"/>
  <c r="P126" i="6" s="1"/>
  <c r="U126" i="6" s="1"/>
  <c r="P127" i="6"/>
  <c r="U127" i="6" s="1"/>
  <c r="N128" i="6"/>
  <c r="P128" i="6" s="1"/>
  <c r="U128" i="6" s="1"/>
  <c r="N129" i="6"/>
  <c r="P129" i="6" s="1"/>
  <c r="U129" i="6" s="1"/>
  <c r="N130" i="6"/>
  <c r="P130" i="6" s="1"/>
  <c r="U130" i="6" s="1"/>
  <c r="N131" i="6"/>
  <c r="P131" i="6" s="1"/>
  <c r="U131" i="6" s="1"/>
  <c r="N132" i="6"/>
  <c r="P132" i="6" s="1"/>
  <c r="U132" i="6" s="1"/>
  <c r="N133" i="6"/>
  <c r="P133" i="6" s="1"/>
  <c r="U133" i="6" s="1"/>
  <c r="N134" i="6"/>
  <c r="P134" i="6" s="1"/>
  <c r="U134" i="6" s="1"/>
  <c r="N135" i="6"/>
  <c r="P135" i="6" s="1"/>
  <c r="U135" i="6" s="1"/>
  <c r="N136" i="6"/>
  <c r="P136" i="6" s="1"/>
  <c r="U136" i="6" s="1"/>
  <c r="N137" i="6"/>
  <c r="P137" i="6" s="1"/>
  <c r="U137" i="6" s="1"/>
  <c r="N138" i="6"/>
  <c r="P138" i="6" s="1"/>
  <c r="U138" i="6" s="1"/>
  <c r="N139" i="6"/>
  <c r="P139" i="6" s="1"/>
  <c r="U139" i="6" s="1"/>
  <c r="N140" i="6"/>
  <c r="P140" i="6" s="1"/>
  <c r="U140" i="6" s="1"/>
  <c r="N141" i="6"/>
  <c r="P141" i="6" s="1"/>
  <c r="U141" i="6" s="1"/>
  <c r="N142" i="6"/>
  <c r="P142" i="6" s="1"/>
  <c r="U142" i="6" s="1"/>
  <c r="N143" i="6"/>
  <c r="P143" i="6" s="1"/>
  <c r="U143" i="6" s="1"/>
  <c r="N144" i="6"/>
  <c r="P144" i="6" s="1"/>
  <c r="U144" i="6" s="1"/>
  <c r="N145" i="6"/>
  <c r="P145" i="6" s="1"/>
  <c r="U145" i="6" s="1"/>
  <c r="N146" i="6"/>
  <c r="P146" i="6" s="1"/>
  <c r="N147" i="6"/>
  <c r="P147" i="6" s="1"/>
  <c r="U147" i="6" s="1"/>
  <c r="N148" i="6"/>
  <c r="P148" i="6" s="1"/>
  <c r="U148" i="6" s="1"/>
  <c r="N149" i="6"/>
  <c r="P149" i="6" s="1"/>
  <c r="U149" i="6" s="1"/>
  <c r="N150" i="6"/>
  <c r="P150" i="6" s="1"/>
  <c r="U150" i="6" s="1"/>
  <c r="N151" i="6"/>
  <c r="P151" i="6" s="1"/>
  <c r="U151" i="6" s="1"/>
  <c r="N152" i="6"/>
  <c r="P152" i="6" s="1"/>
  <c r="U152" i="6" s="1"/>
  <c r="N153" i="6"/>
  <c r="P153" i="6" s="1"/>
  <c r="U153" i="6" s="1"/>
  <c r="N154" i="6"/>
  <c r="P154" i="6" s="1"/>
  <c r="U154" i="6" s="1"/>
  <c r="N155" i="6"/>
  <c r="P155" i="6" s="1"/>
  <c r="U155" i="6" s="1"/>
  <c r="N156" i="6"/>
  <c r="P156" i="6" s="1"/>
  <c r="U156" i="6" s="1"/>
  <c r="N157" i="6"/>
  <c r="P157" i="6" s="1"/>
  <c r="U157" i="6" s="1"/>
  <c r="N158" i="6"/>
  <c r="P158" i="6" s="1"/>
  <c r="U158" i="6" s="1"/>
  <c r="N159" i="6"/>
  <c r="P159" i="6" s="1"/>
  <c r="U159" i="6" s="1"/>
  <c r="V159" i="6" s="1"/>
  <c r="N160" i="6"/>
  <c r="P160" i="6" s="1"/>
  <c r="U160" i="6" s="1"/>
  <c r="N161" i="6"/>
  <c r="P161" i="6" s="1"/>
  <c r="U161" i="6" s="1"/>
  <c r="N162" i="6"/>
  <c r="P162" i="6" s="1"/>
  <c r="U162" i="6" s="1"/>
  <c r="N163" i="6"/>
  <c r="P163" i="6" s="1"/>
  <c r="U163" i="6" s="1"/>
  <c r="N164" i="6"/>
  <c r="P164" i="6" s="1"/>
  <c r="U164" i="6" s="1"/>
  <c r="N165" i="6"/>
  <c r="P165" i="6" s="1"/>
  <c r="N166" i="6"/>
  <c r="P166" i="6" s="1"/>
  <c r="U166" i="6" s="1"/>
  <c r="N167" i="6"/>
  <c r="P167" i="6" s="1"/>
  <c r="U167" i="6" s="1"/>
  <c r="N168" i="6"/>
  <c r="P168" i="6" s="1"/>
  <c r="U168" i="6" s="1"/>
  <c r="N169" i="6"/>
  <c r="P169" i="6" s="1"/>
  <c r="U169" i="6" s="1"/>
  <c r="V169" i="6" s="1"/>
  <c r="N170" i="6"/>
  <c r="P170" i="6" s="1"/>
  <c r="U170" i="6" s="1"/>
  <c r="N171" i="6"/>
  <c r="P171" i="6" s="1"/>
  <c r="U171" i="6" s="1"/>
  <c r="N172" i="6"/>
  <c r="P172" i="6" s="1"/>
  <c r="U172" i="6" s="1"/>
  <c r="P173" i="6"/>
  <c r="U173" i="6" s="1"/>
  <c r="N174" i="6"/>
  <c r="P174" i="6" s="1"/>
  <c r="U174" i="6" s="1"/>
  <c r="P175" i="6"/>
  <c r="U175" i="6" s="1"/>
  <c r="V175" i="6" s="1"/>
  <c r="N176" i="6"/>
  <c r="P176" i="6" s="1"/>
  <c r="U176" i="6" s="1"/>
  <c r="N177" i="6"/>
  <c r="P177" i="6" s="1"/>
  <c r="U177" i="6" s="1"/>
  <c r="N178" i="6"/>
  <c r="P178" i="6" s="1"/>
  <c r="U178" i="6" s="1"/>
  <c r="N179" i="6"/>
  <c r="P179" i="6" s="1"/>
  <c r="U179" i="6" s="1"/>
  <c r="N180" i="6"/>
  <c r="P180" i="6" s="1"/>
  <c r="U180" i="6" s="1"/>
  <c r="N181" i="6"/>
  <c r="P181" i="6" s="1"/>
  <c r="U181" i="6" s="1"/>
  <c r="N182" i="6"/>
  <c r="P182" i="6" s="1"/>
  <c r="U182" i="6" s="1"/>
  <c r="N183" i="6"/>
  <c r="P183" i="6" s="1"/>
  <c r="U183" i="6" s="1"/>
  <c r="N184" i="6"/>
  <c r="P184" i="6" s="1"/>
  <c r="U184" i="6" s="1"/>
  <c r="N185" i="6"/>
  <c r="P185" i="6" s="1"/>
  <c r="U185" i="6" s="1"/>
  <c r="N186" i="6"/>
  <c r="P186" i="6" s="1"/>
  <c r="U186" i="6" s="1"/>
  <c r="N187" i="6"/>
  <c r="P187" i="6" s="1"/>
  <c r="U187" i="6" s="1"/>
  <c r="N188" i="6"/>
  <c r="P188" i="6" s="1"/>
  <c r="U188" i="6" s="1"/>
  <c r="N189" i="6"/>
  <c r="P189" i="6" s="1"/>
  <c r="U189" i="6" s="1"/>
  <c r="N190" i="6"/>
  <c r="P190" i="6" s="1"/>
  <c r="U190" i="6" s="1"/>
  <c r="N191" i="6"/>
  <c r="P191" i="6" s="1"/>
  <c r="U191" i="6" s="1"/>
  <c r="N192" i="6"/>
  <c r="P192" i="6" s="1"/>
  <c r="U192" i="6" s="1"/>
  <c r="N193" i="6"/>
  <c r="P193" i="6" s="1"/>
  <c r="U193" i="6" s="1"/>
  <c r="N194" i="6"/>
  <c r="P194" i="6" s="1"/>
  <c r="U194" i="6" s="1"/>
  <c r="N195" i="6"/>
  <c r="P195" i="6" s="1"/>
  <c r="U195" i="6" s="1"/>
  <c r="N196" i="6"/>
  <c r="P196" i="6" s="1"/>
  <c r="U196" i="6" s="1"/>
  <c r="N197" i="6"/>
  <c r="P197" i="6" s="1"/>
  <c r="U197" i="6" s="1"/>
  <c r="N198" i="6"/>
  <c r="P198" i="6" s="1"/>
  <c r="U198" i="6" s="1"/>
  <c r="N199" i="6"/>
  <c r="P199" i="6" s="1"/>
  <c r="U199" i="6" s="1"/>
  <c r="N200" i="6"/>
  <c r="P200" i="6" s="1"/>
  <c r="U200" i="6" s="1"/>
  <c r="N201" i="6"/>
  <c r="P201" i="6" s="1"/>
  <c r="U201" i="6" s="1"/>
  <c r="N202" i="6"/>
  <c r="P202" i="6" s="1"/>
  <c r="U202" i="6" s="1"/>
  <c r="N203" i="6"/>
  <c r="P203" i="6" s="1"/>
  <c r="U203" i="6" s="1"/>
  <c r="N204" i="6"/>
  <c r="P204" i="6" s="1"/>
  <c r="U204" i="6" s="1"/>
  <c r="N205" i="6"/>
  <c r="P205" i="6" s="1"/>
  <c r="U205" i="6" s="1"/>
  <c r="N206" i="6"/>
  <c r="P206" i="6" s="1"/>
  <c r="U206" i="6" s="1"/>
  <c r="N207" i="6"/>
  <c r="P207" i="6" s="1"/>
  <c r="U207" i="6" s="1"/>
  <c r="N209" i="6"/>
  <c r="P209" i="6" s="1"/>
  <c r="U209" i="6" s="1"/>
  <c r="N210" i="6"/>
  <c r="P210" i="6" s="1"/>
  <c r="U210" i="6" s="1"/>
  <c r="N211" i="6"/>
  <c r="P211" i="6" s="1"/>
  <c r="U211" i="6" s="1"/>
  <c r="N212" i="6"/>
  <c r="P212" i="6" s="1"/>
  <c r="U212" i="6" s="1"/>
  <c r="N213" i="6"/>
  <c r="P213" i="6" s="1"/>
  <c r="U213" i="6" s="1"/>
  <c r="N214" i="6"/>
  <c r="P214" i="6" s="1"/>
  <c r="U214" i="6" s="1"/>
  <c r="N215" i="6"/>
  <c r="P215" i="6" s="1"/>
  <c r="U215" i="6" s="1"/>
  <c r="N216" i="6"/>
  <c r="P216" i="6" s="1"/>
  <c r="U216" i="6" s="1"/>
  <c r="N217" i="6"/>
  <c r="P217" i="6" s="1"/>
  <c r="U217" i="6" s="1"/>
  <c r="N218" i="6"/>
  <c r="P218" i="6" s="1"/>
  <c r="U218" i="6" s="1"/>
  <c r="N219" i="6"/>
  <c r="P219" i="6" s="1"/>
  <c r="U219" i="6" s="1"/>
  <c r="N220" i="6"/>
  <c r="P220" i="6" s="1"/>
  <c r="U220" i="6" s="1"/>
  <c r="N221" i="6"/>
  <c r="P221" i="6" s="1"/>
  <c r="U221" i="6" s="1"/>
  <c r="N222" i="6"/>
  <c r="P222" i="6" s="1"/>
  <c r="U222" i="6" s="1"/>
  <c r="N223" i="6"/>
  <c r="P223" i="6" s="1"/>
  <c r="U223" i="6" s="1"/>
  <c r="N224" i="6"/>
  <c r="P224" i="6" s="1"/>
  <c r="U224" i="6" s="1"/>
  <c r="N225" i="6"/>
  <c r="P225" i="6" s="1"/>
  <c r="U225" i="6" s="1"/>
  <c r="N226" i="6"/>
  <c r="P226" i="6" s="1"/>
  <c r="U226" i="6" s="1"/>
  <c r="N227" i="6"/>
  <c r="P227" i="6" s="1"/>
  <c r="U227" i="6" s="1"/>
  <c r="N228" i="6"/>
  <c r="P228" i="6" s="1"/>
  <c r="U228" i="6" s="1"/>
  <c r="N229" i="6"/>
  <c r="P229" i="6" s="1"/>
  <c r="U229" i="6" s="1"/>
  <c r="N230" i="6"/>
  <c r="P230" i="6" s="1"/>
  <c r="U230" i="6" s="1"/>
  <c r="N231" i="6"/>
  <c r="P231" i="6" s="1"/>
  <c r="U231" i="6" s="1"/>
  <c r="N232" i="6"/>
  <c r="P232" i="6" s="1"/>
  <c r="U232" i="6" s="1"/>
  <c r="N233" i="6"/>
  <c r="P233" i="6" s="1"/>
  <c r="U233" i="6" s="1"/>
  <c r="N234" i="6"/>
  <c r="N235" i="6"/>
  <c r="P235" i="6" s="1"/>
  <c r="U235" i="6" s="1"/>
  <c r="N236" i="6"/>
  <c r="P236" i="6" s="1"/>
  <c r="U236" i="6" s="1"/>
  <c r="N237" i="6"/>
  <c r="P237" i="6" s="1"/>
  <c r="U237" i="6" s="1"/>
  <c r="N238" i="6"/>
  <c r="P238" i="6" s="1"/>
  <c r="U238" i="6" s="1"/>
  <c r="N239" i="6"/>
  <c r="P239" i="6" s="1"/>
  <c r="U239" i="6" s="1"/>
  <c r="N240" i="6"/>
  <c r="P240" i="6" s="1"/>
  <c r="U240" i="6" s="1"/>
  <c r="N241" i="6"/>
  <c r="P241" i="6" s="1"/>
  <c r="U241" i="6" s="1"/>
  <c r="N242" i="6"/>
  <c r="P242" i="6" s="1"/>
  <c r="U242" i="6" s="1"/>
  <c r="N243" i="6"/>
  <c r="P243" i="6" s="1"/>
  <c r="U243" i="6" s="1"/>
  <c r="N244" i="6"/>
  <c r="P244" i="6" s="1"/>
  <c r="U244" i="6" s="1"/>
  <c r="N245" i="6"/>
  <c r="P245" i="6" s="1"/>
  <c r="U245" i="6" s="1"/>
  <c r="N246" i="6"/>
  <c r="P246" i="6" s="1"/>
  <c r="U246" i="6" s="1"/>
  <c r="N247" i="6"/>
  <c r="P247" i="6" s="1"/>
  <c r="U247" i="6" s="1"/>
  <c r="N248" i="6"/>
  <c r="P248" i="6" s="1"/>
  <c r="U248" i="6" s="1"/>
  <c r="N249" i="6"/>
  <c r="P249" i="6" s="1"/>
  <c r="U249" i="6" s="1"/>
  <c r="N250" i="6"/>
  <c r="P250" i="6" s="1"/>
  <c r="U250" i="6" s="1"/>
  <c r="N251" i="6"/>
  <c r="P251" i="6" s="1"/>
  <c r="U251" i="6" s="1"/>
  <c r="N252" i="6"/>
  <c r="P252" i="6" s="1"/>
  <c r="U252" i="6" s="1"/>
  <c r="N253" i="6"/>
  <c r="P253" i="6" s="1"/>
  <c r="N254" i="6"/>
  <c r="P254" i="6" s="1"/>
  <c r="U254" i="6" s="1"/>
  <c r="N255" i="6"/>
  <c r="P255" i="6" s="1"/>
  <c r="U255" i="6" s="1"/>
  <c r="N256" i="6"/>
  <c r="P256" i="6" s="1"/>
  <c r="U256" i="6" s="1"/>
  <c r="N257" i="6"/>
  <c r="P257" i="6" s="1"/>
  <c r="U257" i="6" s="1"/>
  <c r="N258" i="6"/>
  <c r="P258" i="6" s="1"/>
  <c r="U258" i="6" s="1"/>
  <c r="N259" i="6"/>
  <c r="P259" i="6" s="1"/>
  <c r="U259" i="6" s="1"/>
  <c r="N260" i="6"/>
  <c r="P260" i="6" s="1"/>
  <c r="U260" i="6" s="1"/>
  <c r="N261" i="6"/>
  <c r="P261" i="6" s="1"/>
  <c r="U261" i="6" s="1"/>
  <c r="N262" i="6"/>
  <c r="P262" i="6" s="1"/>
  <c r="U262" i="6" s="1"/>
  <c r="N263" i="6"/>
  <c r="P263" i="6" s="1"/>
  <c r="U263" i="6" s="1"/>
  <c r="N264" i="6"/>
  <c r="P264" i="6" s="1"/>
  <c r="U264" i="6" s="1"/>
  <c r="N265" i="6"/>
  <c r="P265" i="6" s="1"/>
  <c r="U265" i="6" s="1"/>
  <c r="N266" i="6"/>
  <c r="P266" i="6" s="1"/>
  <c r="U266" i="6" s="1"/>
  <c r="N267" i="6"/>
  <c r="P267" i="6" s="1"/>
  <c r="N268" i="6"/>
  <c r="P268" i="6" s="1"/>
  <c r="U268" i="6" s="1"/>
  <c r="N269" i="6"/>
  <c r="P269" i="6" s="1"/>
  <c r="U269" i="6" s="1"/>
  <c r="N270" i="6"/>
  <c r="P270" i="6" s="1"/>
  <c r="U270" i="6" s="1"/>
  <c r="N271" i="6"/>
  <c r="P271" i="6" s="1"/>
  <c r="U271" i="6" s="1"/>
  <c r="N272" i="6"/>
  <c r="P272" i="6" s="1"/>
  <c r="U272" i="6" s="1"/>
  <c r="N273" i="6"/>
  <c r="P273" i="6" s="1"/>
  <c r="U273" i="6" s="1"/>
  <c r="N274" i="6"/>
  <c r="P274" i="6" s="1"/>
  <c r="U274" i="6" s="1"/>
  <c r="N275" i="6"/>
  <c r="P275" i="6" s="1"/>
  <c r="U275" i="6" s="1"/>
  <c r="N276" i="6"/>
  <c r="P276" i="6" s="1"/>
  <c r="U276" i="6" s="1"/>
  <c r="N277" i="6"/>
  <c r="P277" i="6" s="1"/>
  <c r="U277" i="6" s="1"/>
  <c r="N278" i="6"/>
  <c r="P278" i="6" s="1"/>
  <c r="U278" i="6" s="1"/>
  <c r="N279" i="6"/>
  <c r="P279" i="6" s="1"/>
  <c r="U279" i="6" s="1"/>
  <c r="N280" i="6"/>
  <c r="P280" i="6" s="1"/>
  <c r="U280" i="6" s="1"/>
  <c r="N281" i="6"/>
  <c r="P281" i="6" s="1"/>
  <c r="U281" i="6" s="1"/>
  <c r="N282" i="6"/>
  <c r="P282" i="6" s="1"/>
  <c r="U282" i="6" s="1"/>
  <c r="N283" i="6"/>
  <c r="P283" i="6" s="1"/>
  <c r="U283" i="6" s="1"/>
  <c r="N284" i="6"/>
  <c r="P284" i="6" s="1"/>
  <c r="U284" i="6" s="1"/>
  <c r="N285" i="6"/>
  <c r="P285" i="6" s="1"/>
  <c r="U285" i="6" s="1"/>
  <c r="N286" i="6"/>
  <c r="P286" i="6" s="1"/>
  <c r="U286" i="6" s="1"/>
  <c r="N287" i="6"/>
  <c r="P287" i="6" s="1"/>
  <c r="U287" i="6" s="1"/>
  <c r="N288" i="6"/>
  <c r="P288" i="6" s="1"/>
  <c r="U288" i="6" s="1"/>
  <c r="N289" i="6"/>
  <c r="P289" i="6" s="1"/>
  <c r="U289" i="6" s="1"/>
  <c r="N290" i="6"/>
  <c r="N291" i="6"/>
  <c r="N292" i="6"/>
  <c r="P292" i="6" s="1"/>
  <c r="U292" i="6" s="1"/>
  <c r="P293" i="6"/>
  <c r="U293" i="6" s="1"/>
  <c r="N294" i="6"/>
  <c r="P294" i="6" s="1"/>
  <c r="U294" i="6" s="1"/>
  <c r="N295" i="6"/>
  <c r="P295" i="6" s="1"/>
  <c r="U295" i="6" s="1"/>
  <c r="N296" i="6"/>
  <c r="P296" i="6" s="1"/>
  <c r="U296" i="6" s="1"/>
  <c r="N297" i="6"/>
  <c r="N298" i="6"/>
  <c r="P298" i="6" s="1"/>
  <c r="U298" i="6" s="1"/>
  <c r="O299" i="6"/>
  <c r="P299" i="6" s="1"/>
  <c r="U299" i="6" s="1"/>
  <c r="N300" i="6"/>
  <c r="O300" i="6"/>
  <c r="N301" i="6"/>
  <c r="O301" i="6"/>
  <c r="N302" i="6"/>
  <c r="O302" i="6"/>
  <c r="N303" i="6"/>
  <c r="O303" i="6"/>
  <c r="N304" i="6"/>
  <c r="O304" i="6"/>
  <c r="N305" i="6"/>
  <c r="O305" i="6"/>
  <c r="N306" i="6"/>
  <c r="P306" i="6" s="1"/>
  <c r="U306" i="6" s="1"/>
  <c r="N307" i="6"/>
  <c r="N308" i="6"/>
  <c r="N309" i="6"/>
  <c r="P310" i="6"/>
  <c r="U310" i="6" s="1"/>
  <c r="N311" i="6"/>
  <c r="N312" i="6"/>
  <c r="O312" i="6"/>
  <c r="N314" i="6"/>
  <c r="P314" i="6" s="1"/>
  <c r="U314" i="6" s="1"/>
  <c r="N315" i="6"/>
  <c r="N316" i="6"/>
  <c r="N317" i="6"/>
  <c r="O317" i="6"/>
  <c r="N318" i="6"/>
  <c r="N319" i="6"/>
  <c r="P319" i="6" s="1"/>
  <c r="U319" i="6" s="1"/>
  <c r="N320" i="6"/>
  <c r="N321" i="6"/>
  <c r="P321" i="6" s="1"/>
  <c r="U321" i="6" s="1"/>
  <c r="N322" i="6"/>
  <c r="P322" i="6" s="1"/>
  <c r="U322" i="6" s="1"/>
  <c r="N323" i="6"/>
  <c r="P323" i="6" s="1"/>
  <c r="U323" i="6" s="1"/>
  <c r="N324" i="6"/>
  <c r="P324" i="6" s="1"/>
  <c r="U324" i="6" s="1"/>
  <c r="N325" i="6"/>
  <c r="P325" i="6" s="1"/>
  <c r="U325" i="6" s="1"/>
  <c r="N326" i="6"/>
  <c r="P326" i="6" s="1"/>
  <c r="U326" i="6" s="1"/>
  <c r="N327" i="6"/>
  <c r="P327" i="6" s="1"/>
  <c r="U327" i="6" s="1"/>
  <c r="N328" i="6"/>
  <c r="N329" i="6"/>
  <c r="P329" i="6" s="1"/>
  <c r="U329" i="6" s="1"/>
  <c r="N330" i="6"/>
  <c r="P330" i="6" s="1"/>
  <c r="U330" i="6" s="1"/>
  <c r="N331" i="6"/>
  <c r="O331" i="6"/>
  <c r="P332" i="6"/>
  <c r="U332" i="6" s="1"/>
  <c r="N333" i="6"/>
  <c r="P333" i="6" s="1"/>
  <c r="U333" i="6" s="1"/>
  <c r="N334" i="6"/>
  <c r="P334" i="6" s="1"/>
  <c r="U334" i="6" s="1"/>
  <c r="N335" i="6"/>
  <c r="N336" i="6"/>
  <c r="P336" i="6" s="1"/>
  <c r="U336" i="6" s="1"/>
  <c r="N337" i="6"/>
  <c r="P337" i="6" s="1"/>
  <c r="U337" i="6" s="1"/>
  <c r="N338" i="6"/>
  <c r="P338" i="6" s="1"/>
  <c r="U338" i="6" s="1"/>
  <c r="N339" i="6"/>
  <c r="P339" i="6" s="1"/>
  <c r="U339" i="6" s="1"/>
  <c r="N340" i="6"/>
  <c r="P340" i="6" s="1"/>
  <c r="U340" i="6" s="1"/>
  <c r="P341" i="6"/>
  <c r="U341" i="6" s="1"/>
  <c r="N342" i="6"/>
  <c r="P342" i="6" s="1"/>
  <c r="U342" i="6" s="1"/>
  <c r="N343" i="6"/>
  <c r="P343" i="6" s="1"/>
  <c r="U343" i="6" s="1"/>
  <c r="O344" i="6"/>
  <c r="P344" i="6" s="1"/>
  <c r="U344" i="6" s="1"/>
  <c r="N345" i="6"/>
  <c r="O345" i="6"/>
  <c r="N346" i="6"/>
  <c r="O346" i="6"/>
  <c r="N347" i="6"/>
  <c r="P347" i="6" s="1"/>
  <c r="U347" i="6" s="1"/>
  <c r="N348" i="6"/>
  <c r="O348" i="6"/>
  <c r="N349" i="6"/>
  <c r="O349" i="6"/>
  <c r="N350" i="6"/>
  <c r="O350" i="6"/>
  <c r="N351" i="6"/>
  <c r="O351" i="6"/>
  <c r="N352" i="6"/>
  <c r="O352" i="6"/>
  <c r="N353" i="6"/>
  <c r="O353" i="6"/>
  <c r="O354" i="6"/>
  <c r="P354" i="6" s="1"/>
  <c r="U354" i="6" s="1"/>
  <c r="N355" i="6"/>
  <c r="P355" i="6" s="1"/>
  <c r="U355" i="6" s="1"/>
  <c r="N356" i="6"/>
  <c r="O356" i="6"/>
  <c r="N357" i="6"/>
  <c r="O357" i="6"/>
  <c r="N358" i="6"/>
  <c r="O358" i="6"/>
  <c r="N359" i="6"/>
  <c r="O359" i="6"/>
  <c r="N360" i="6"/>
  <c r="P360" i="6" s="1"/>
  <c r="P361" i="6"/>
  <c r="U361" i="6" s="1"/>
  <c r="N362" i="6"/>
  <c r="P362" i="6" s="1"/>
  <c r="U362" i="6" s="1"/>
  <c r="N363" i="6"/>
  <c r="P363" i="6" s="1"/>
  <c r="U363" i="6" s="1"/>
  <c r="N364" i="6"/>
  <c r="P364" i="6" s="1"/>
  <c r="U364" i="6" s="1"/>
  <c r="N365" i="6"/>
  <c r="P365" i="6" s="1"/>
  <c r="U365" i="6" s="1"/>
  <c r="N366" i="6"/>
  <c r="P366" i="6" s="1"/>
  <c r="U366" i="6" s="1"/>
  <c r="N367" i="6"/>
  <c r="P367" i="6" s="1"/>
  <c r="U367" i="6" s="1"/>
  <c r="N368" i="6"/>
  <c r="P368" i="6" s="1"/>
  <c r="U368" i="6" s="1"/>
  <c r="N369" i="6"/>
  <c r="O369" i="6"/>
  <c r="P370" i="6"/>
  <c r="U370" i="6" s="1"/>
  <c r="O371" i="6"/>
  <c r="N372" i="6"/>
  <c r="O372" i="6"/>
  <c r="N373" i="6"/>
  <c r="O373" i="6"/>
  <c r="N374" i="6"/>
  <c r="P374" i="6" s="1"/>
  <c r="U374" i="6" s="1"/>
  <c r="N375" i="6"/>
  <c r="O375" i="6"/>
  <c r="N376" i="6"/>
  <c r="O376" i="6"/>
  <c r="N377" i="6"/>
  <c r="O377" i="6"/>
  <c r="N378" i="6"/>
  <c r="O378" i="6"/>
  <c r="N379" i="6"/>
  <c r="N381" i="6"/>
  <c r="P381" i="6" s="1"/>
  <c r="U381" i="6" s="1"/>
  <c r="N382" i="6"/>
  <c r="N383" i="6"/>
  <c r="N384" i="6"/>
  <c r="P384" i="6" s="1"/>
  <c r="U384" i="6" s="1"/>
  <c r="N385" i="6"/>
  <c r="N386" i="6"/>
  <c r="N387" i="6"/>
  <c r="N388" i="6"/>
  <c r="N389" i="6"/>
  <c r="N390" i="6"/>
  <c r="P390" i="6" s="1"/>
  <c r="U390" i="6" s="1"/>
  <c r="N391" i="6"/>
  <c r="N392" i="6"/>
  <c r="N393" i="6"/>
  <c r="N394" i="6"/>
  <c r="P394" i="6" s="1"/>
  <c r="U394" i="6" s="1"/>
  <c r="N395" i="6"/>
  <c r="P395" i="6" s="1"/>
  <c r="U395" i="6" s="1"/>
  <c r="N396" i="6"/>
  <c r="P396" i="6" s="1"/>
  <c r="U396" i="6" s="1"/>
  <c r="N397" i="6"/>
  <c r="P397" i="6" s="1"/>
  <c r="N398" i="6"/>
  <c r="P398" i="6" s="1"/>
  <c r="U398" i="6" s="1"/>
  <c r="N399" i="6"/>
  <c r="P399" i="6" s="1"/>
  <c r="U399" i="6" s="1"/>
  <c r="N400" i="6"/>
  <c r="P400" i="6" s="1"/>
  <c r="U400" i="6" s="1"/>
  <c r="N401" i="6"/>
  <c r="P401" i="6" s="1"/>
  <c r="U401" i="6" s="1"/>
  <c r="N402" i="6"/>
  <c r="P402" i="6" s="1"/>
  <c r="U402" i="6" s="1"/>
  <c r="N403" i="6"/>
  <c r="P403" i="6" s="1"/>
  <c r="U403" i="6" s="1"/>
  <c r="N404" i="6"/>
  <c r="P404" i="6" s="1"/>
  <c r="U404" i="6" s="1"/>
  <c r="N405" i="6"/>
  <c r="P405" i="6" s="1"/>
  <c r="U405" i="6" s="1"/>
  <c r="N406" i="6"/>
  <c r="P406" i="6" s="1"/>
  <c r="U406" i="6" s="1"/>
  <c r="N407" i="6"/>
  <c r="P407" i="6" s="1"/>
  <c r="U407" i="6" s="1"/>
  <c r="N408" i="6"/>
  <c r="P408" i="6" s="1"/>
  <c r="U408" i="6" s="1"/>
  <c r="N409" i="6"/>
  <c r="P409" i="6" s="1"/>
  <c r="U409" i="6" s="1"/>
  <c r="N410" i="6"/>
  <c r="P410" i="6" s="1"/>
  <c r="U410" i="6" s="1"/>
  <c r="N411" i="6"/>
  <c r="P411" i="6" s="1"/>
  <c r="U411" i="6" s="1"/>
  <c r="N412" i="6"/>
  <c r="P412" i="6" s="1"/>
  <c r="U412" i="6" s="1"/>
  <c r="N413" i="6"/>
  <c r="P413" i="6" s="1"/>
  <c r="U413" i="6" s="1"/>
  <c r="N414" i="6"/>
  <c r="P414" i="6" s="1"/>
  <c r="U414" i="6" s="1"/>
  <c r="N415" i="6"/>
  <c r="P415" i="6" s="1"/>
  <c r="U415" i="6" s="1"/>
  <c r="N416" i="6"/>
  <c r="P416" i="6" s="1"/>
  <c r="U416" i="6" s="1"/>
  <c r="N417" i="6"/>
  <c r="P417" i="6" s="1"/>
  <c r="U417" i="6" s="1"/>
  <c r="N418" i="6"/>
  <c r="P418" i="6" s="1"/>
  <c r="U418" i="6" s="1"/>
  <c r="N419" i="6"/>
  <c r="P419" i="6" s="1"/>
  <c r="U419" i="6" s="1"/>
  <c r="O420" i="6"/>
  <c r="P420" i="6" s="1"/>
  <c r="U420" i="6" s="1"/>
  <c r="N421" i="6"/>
  <c r="O421" i="6"/>
  <c r="N422" i="6"/>
  <c r="O422" i="6"/>
  <c r="N423" i="6"/>
  <c r="O423" i="6"/>
  <c r="N424" i="6"/>
  <c r="P424" i="6" s="1"/>
  <c r="U424" i="6" s="1"/>
  <c r="N425" i="6"/>
  <c r="P425" i="6" s="1"/>
  <c r="U425" i="6" s="1"/>
  <c r="N426" i="6"/>
  <c r="O426" i="6"/>
  <c r="N427" i="6"/>
  <c r="O427" i="6"/>
  <c r="N428" i="6"/>
  <c r="O428" i="6"/>
  <c r="N429" i="6"/>
  <c r="P429" i="6" s="1"/>
  <c r="U429" i="6" s="1"/>
  <c r="N430" i="6"/>
  <c r="O430" i="6"/>
  <c r="N431" i="6"/>
  <c r="O431" i="6"/>
  <c r="N432" i="6"/>
  <c r="O432" i="6"/>
  <c r="N433" i="6"/>
  <c r="O433" i="6"/>
  <c r="N434" i="6"/>
  <c r="P434" i="6" s="1"/>
  <c r="U434" i="6" s="1"/>
  <c r="N435" i="6"/>
  <c r="P435" i="6" s="1"/>
  <c r="U435" i="6" s="1"/>
  <c r="N436" i="6"/>
  <c r="O436" i="6"/>
  <c r="N437" i="6"/>
  <c r="P437" i="6" s="1"/>
  <c r="U437" i="6" s="1"/>
  <c r="N438" i="6"/>
  <c r="P438" i="6" s="1"/>
  <c r="U438" i="6" s="1"/>
  <c r="N439" i="6"/>
  <c r="P439" i="6" s="1"/>
  <c r="U439" i="6" s="1"/>
  <c r="N440" i="6"/>
  <c r="P440" i="6" s="1"/>
  <c r="U440" i="6" s="1"/>
  <c r="N441" i="6"/>
  <c r="P441" i="6" s="1"/>
  <c r="U441" i="6" s="1"/>
  <c r="N442" i="6"/>
  <c r="N443" i="6"/>
  <c r="P443" i="6" s="1"/>
  <c r="U443" i="6" s="1"/>
  <c r="N444" i="6"/>
  <c r="P444" i="6" s="1"/>
  <c r="U444" i="6" s="1"/>
  <c r="N445" i="6"/>
  <c r="P445" i="6" s="1"/>
  <c r="U445" i="6" s="1"/>
  <c r="N446" i="6"/>
  <c r="N447" i="6"/>
  <c r="P448" i="6"/>
  <c r="U448" i="6" s="1"/>
  <c r="P449" i="6"/>
  <c r="U449" i="6" s="1"/>
  <c r="N450" i="6"/>
  <c r="N451" i="6"/>
  <c r="N452" i="6"/>
  <c r="P452" i="6" s="1"/>
  <c r="U452" i="6" s="1"/>
  <c r="N453" i="6"/>
  <c r="P453" i="6" s="1"/>
  <c r="U453" i="6" s="1"/>
  <c r="N454" i="6"/>
  <c r="P454" i="6" s="1"/>
  <c r="U454" i="6" s="1"/>
  <c r="N455" i="6"/>
  <c r="P455" i="6" s="1"/>
  <c r="U455" i="6" s="1"/>
  <c r="N456" i="6"/>
  <c r="N457" i="6"/>
  <c r="N458" i="6"/>
  <c r="N459" i="6"/>
  <c r="O459" i="6"/>
  <c r="N460" i="6"/>
  <c r="P460" i="6" s="1"/>
  <c r="U460" i="6" s="1"/>
  <c r="P461" i="6"/>
  <c r="U461" i="6" s="1"/>
  <c r="N462" i="6"/>
  <c r="O462" i="6"/>
  <c r="P463" i="6"/>
  <c r="U463" i="6" s="1"/>
  <c r="N464" i="6"/>
  <c r="O464" i="6"/>
  <c r="O465" i="6"/>
  <c r="P465" i="6" s="1"/>
  <c r="U465" i="6" s="1"/>
  <c r="N466" i="6"/>
  <c r="P466" i="6" s="1"/>
  <c r="U466" i="6" s="1"/>
  <c r="N467" i="6"/>
  <c r="N468" i="6"/>
  <c r="N469" i="6"/>
  <c r="N470" i="6"/>
  <c r="P471" i="6"/>
  <c r="U471" i="6" s="1"/>
  <c r="N472" i="6"/>
  <c r="O472" i="6"/>
  <c r="O473" i="6"/>
  <c r="P473" i="6" s="1"/>
  <c r="N474" i="6"/>
  <c r="P474" i="6" s="1"/>
  <c r="U474" i="6" s="1"/>
  <c r="N475" i="6"/>
  <c r="O475" i="6"/>
  <c r="P476" i="6"/>
  <c r="U476" i="6" s="1"/>
  <c r="N477" i="6"/>
  <c r="P477" i="6" s="1"/>
  <c r="U477" i="6" s="1"/>
  <c r="V477" i="6" s="1"/>
  <c r="N478" i="6"/>
  <c r="P479" i="6"/>
  <c r="U479" i="6" s="1"/>
  <c r="N480" i="6"/>
  <c r="P480" i="6" s="1"/>
  <c r="U480" i="6" s="1"/>
  <c r="N481" i="6"/>
  <c r="P481" i="6" s="1"/>
  <c r="U481" i="6" s="1"/>
  <c r="N482" i="6"/>
  <c r="O482" i="6"/>
  <c r="N483" i="6"/>
  <c r="P483" i="6" s="1"/>
  <c r="U483" i="6" s="1"/>
  <c r="N484" i="6"/>
  <c r="O484" i="6"/>
  <c r="O485" i="6"/>
  <c r="P485" i="6" s="1"/>
  <c r="U485" i="6" s="1"/>
  <c r="N486" i="6"/>
  <c r="N487" i="6"/>
  <c r="O487" i="6"/>
  <c r="N488" i="6"/>
  <c r="O488" i="6"/>
  <c r="N489" i="6"/>
  <c r="O489" i="6"/>
  <c r="N490" i="6"/>
  <c r="O490" i="6"/>
  <c r="N491" i="6"/>
  <c r="P491" i="6" s="1"/>
  <c r="U491" i="6" s="1"/>
  <c r="N492" i="6"/>
  <c r="P492" i="6" s="1"/>
  <c r="U492" i="6" s="1"/>
  <c r="N493" i="6"/>
  <c r="O493" i="6"/>
  <c r="O494" i="6"/>
  <c r="N495" i="6"/>
  <c r="O495" i="6"/>
  <c r="N496" i="6"/>
  <c r="O496" i="6"/>
  <c r="N497" i="6"/>
  <c r="O497" i="6"/>
  <c r="N498" i="6"/>
  <c r="O498" i="6"/>
  <c r="N499" i="6"/>
  <c r="O499" i="6"/>
  <c r="N501" i="6"/>
  <c r="O501" i="6"/>
  <c r="N502" i="6"/>
  <c r="P502" i="6" s="1"/>
  <c r="U502" i="6" s="1"/>
  <c r="N503" i="6"/>
  <c r="P503" i="6" s="1"/>
  <c r="U503" i="6" s="1"/>
  <c r="N505" i="6"/>
  <c r="P505" i="6" s="1"/>
  <c r="U505" i="6" s="1"/>
  <c r="N506" i="6"/>
  <c r="P506" i="6" s="1"/>
  <c r="U506" i="6" s="1"/>
  <c r="N507" i="6"/>
  <c r="P507" i="6" s="1"/>
  <c r="U507" i="6" s="1"/>
  <c r="N508" i="6"/>
  <c r="P508" i="6" s="1"/>
  <c r="U508" i="6" s="1"/>
  <c r="N509" i="6"/>
  <c r="P509" i="6" s="1"/>
  <c r="U509" i="6" s="1"/>
  <c r="P510" i="6"/>
  <c r="U510" i="6" s="1"/>
  <c r="P512" i="6"/>
  <c r="U512" i="6" s="1"/>
  <c r="N513" i="6"/>
  <c r="O513" i="6"/>
  <c r="P514" i="6"/>
  <c r="U514" i="6" s="1"/>
  <c r="N515" i="6"/>
  <c r="O515" i="6"/>
  <c r="P516" i="6"/>
  <c r="U516" i="6" s="1"/>
  <c r="O517" i="6"/>
  <c r="P517" i="6" s="1"/>
  <c r="U517" i="6" s="1"/>
  <c r="N518" i="6"/>
  <c r="O518" i="6"/>
  <c r="N519" i="6"/>
  <c r="P519" i="6" s="1"/>
  <c r="U519" i="6" s="1"/>
  <c r="N520" i="6"/>
  <c r="P520" i="6" s="1"/>
  <c r="U520" i="6" s="1"/>
  <c r="P521" i="6"/>
  <c r="U521" i="6" s="1"/>
  <c r="N522" i="6"/>
  <c r="P522" i="6" s="1"/>
  <c r="U522" i="6" s="1"/>
  <c r="P523" i="6"/>
  <c r="U523" i="6" s="1"/>
  <c r="N524" i="6"/>
  <c r="N525" i="6"/>
  <c r="N526" i="6"/>
  <c r="P526" i="6" s="1"/>
  <c r="U526" i="6" s="1"/>
  <c r="N527" i="6"/>
  <c r="N528" i="6"/>
  <c r="P528" i="6" s="1"/>
  <c r="U528" i="6" s="1"/>
  <c r="N529" i="6"/>
  <c r="N530" i="6"/>
  <c r="N531" i="6"/>
  <c r="N532" i="6"/>
  <c r="P532" i="6" s="1"/>
  <c r="U532" i="6" s="1"/>
  <c r="N533" i="6"/>
  <c r="N534" i="6"/>
  <c r="P534" i="6" s="1"/>
  <c r="U534" i="6" s="1"/>
  <c r="N535" i="6"/>
  <c r="N536" i="6"/>
  <c r="N537" i="6"/>
  <c r="N538" i="6"/>
  <c r="P538" i="6" s="1"/>
  <c r="U538" i="6" s="1"/>
  <c r="N539" i="6"/>
  <c r="N540" i="6"/>
  <c r="P540" i="6" s="1"/>
  <c r="U540" i="6" s="1"/>
  <c r="P541" i="6"/>
  <c r="U541" i="6" s="1"/>
  <c r="N542" i="6"/>
  <c r="P542" i="6" s="1"/>
  <c r="U542" i="6" s="1"/>
  <c r="N543" i="6"/>
  <c r="O543" i="6"/>
  <c r="N544" i="6"/>
  <c r="P544" i="6" s="1"/>
  <c r="U544" i="6" s="1"/>
  <c r="N545" i="6"/>
  <c r="P545" i="6" s="1"/>
  <c r="U545" i="6" s="1"/>
  <c r="N546" i="6"/>
  <c r="P546" i="6" s="1"/>
  <c r="U546" i="6" s="1"/>
  <c r="N547" i="6"/>
  <c r="P547" i="6" s="1"/>
  <c r="U547" i="6" s="1"/>
  <c r="N548" i="6"/>
  <c r="N549" i="6"/>
  <c r="O549" i="6"/>
  <c r="N550" i="6"/>
  <c r="P550" i="6" s="1"/>
  <c r="U550" i="6" s="1"/>
  <c r="N551" i="6"/>
  <c r="P551" i="6" s="1"/>
  <c r="U551" i="6" s="1"/>
  <c r="N552" i="6"/>
  <c r="P552" i="6" s="1"/>
  <c r="U552" i="6" s="1"/>
  <c r="N553" i="6"/>
  <c r="P553" i="6" s="1"/>
  <c r="U553" i="6" s="1"/>
  <c r="N554" i="6"/>
  <c r="P554" i="6" s="1"/>
  <c r="U554" i="6" s="1"/>
  <c r="N555" i="6"/>
  <c r="O555" i="6"/>
  <c r="N556" i="6"/>
  <c r="N557" i="6"/>
  <c r="O557" i="6"/>
  <c r="N558" i="6"/>
  <c r="O558" i="6"/>
  <c r="N559" i="6"/>
  <c r="O559" i="6"/>
  <c r="N560" i="6"/>
  <c r="O560" i="6"/>
  <c r="N561" i="6"/>
  <c r="N562" i="6"/>
  <c r="N563" i="6"/>
  <c r="O563" i="6"/>
  <c r="N564" i="6"/>
  <c r="O564" i="6"/>
  <c r="N565" i="6"/>
  <c r="O565" i="6"/>
  <c r="N566" i="6"/>
  <c r="O566" i="6"/>
  <c r="N567" i="6"/>
  <c r="O567" i="6"/>
  <c r="N568" i="6"/>
  <c r="N569" i="6"/>
  <c r="N570" i="6"/>
  <c r="O570" i="6"/>
  <c r="N571" i="6"/>
  <c r="O571" i="6"/>
  <c r="N572" i="6"/>
  <c r="O572" i="6"/>
  <c r="N573" i="6"/>
  <c r="O573" i="6"/>
  <c r="N574" i="6"/>
  <c r="O574" i="6"/>
  <c r="N575" i="6"/>
  <c r="P575" i="6" s="1"/>
  <c r="U575" i="6" s="1"/>
  <c r="N576" i="6"/>
  <c r="N577" i="6"/>
  <c r="P577" i="6" s="1"/>
  <c r="U577" i="6" s="1"/>
  <c r="N578" i="6"/>
  <c r="P578" i="6" s="1"/>
  <c r="U578" i="6" s="1"/>
  <c r="N579" i="6"/>
  <c r="P579" i="6" s="1"/>
  <c r="U579" i="6" s="1"/>
  <c r="N580" i="6"/>
  <c r="O580" i="6"/>
  <c r="P581" i="6"/>
  <c r="U581" i="6" s="1"/>
  <c r="N582" i="6"/>
  <c r="P582" i="6" s="1"/>
  <c r="U582" i="6" s="1"/>
  <c r="N583" i="6"/>
  <c r="P583" i="6" s="1"/>
  <c r="U583" i="6" s="1"/>
  <c r="N584" i="6"/>
  <c r="P584" i="6" s="1"/>
  <c r="U584" i="6" s="1"/>
  <c r="N585" i="6"/>
  <c r="N586" i="6"/>
  <c r="O586" i="6"/>
  <c r="N587" i="6"/>
  <c r="P587" i="6" s="1"/>
  <c r="U587" i="6" s="1"/>
  <c r="N588" i="6"/>
  <c r="P588" i="6" s="1"/>
  <c r="U588" i="6" s="1"/>
  <c r="N589" i="6"/>
  <c r="P589" i="6" s="1"/>
  <c r="U589" i="6" s="1"/>
  <c r="N590" i="6"/>
  <c r="P590" i="6" s="1"/>
  <c r="U590" i="6" s="1"/>
  <c r="N591" i="6"/>
  <c r="P591" i="6" s="1"/>
  <c r="U591" i="6" s="1"/>
  <c r="P592" i="6"/>
  <c r="U592" i="6" s="1"/>
  <c r="N593" i="6"/>
  <c r="P593" i="6" s="1"/>
  <c r="U593" i="6" s="1"/>
  <c r="N594" i="6"/>
  <c r="P594" i="6" s="1"/>
  <c r="U594" i="6" s="1"/>
  <c r="N595" i="6"/>
  <c r="P595" i="6" s="1"/>
  <c r="U595" i="6" s="1"/>
  <c r="N596" i="6"/>
  <c r="P596" i="6" s="1"/>
  <c r="U596" i="6" s="1"/>
  <c r="N597" i="6"/>
  <c r="P597" i="6" s="1"/>
  <c r="U597" i="6" s="1"/>
  <c r="N598" i="6"/>
  <c r="P598" i="6" s="1"/>
  <c r="U598" i="6" s="1"/>
  <c r="N599" i="6"/>
  <c r="P599" i="6" s="1"/>
  <c r="U599" i="6" s="1"/>
  <c r="N600" i="6"/>
  <c r="P600" i="6" s="1"/>
  <c r="U600" i="6" s="1"/>
  <c r="N601" i="6"/>
  <c r="P601" i="6" s="1"/>
  <c r="U601" i="6" s="1"/>
  <c r="N602" i="6"/>
  <c r="P602" i="6" s="1"/>
  <c r="U602" i="6" s="1"/>
  <c r="N603" i="6"/>
  <c r="P603" i="6" s="1"/>
  <c r="U603" i="6" s="1"/>
  <c r="N604" i="6"/>
  <c r="P604" i="6" s="1"/>
  <c r="U604" i="6" s="1"/>
  <c r="N605" i="6"/>
  <c r="P605" i="6" s="1"/>
  <c r="U605" i="6" s="1"/>
  <c r="N606" i="6"/>
  <c r="P606" i="6" s="1"/>
  <c r="U606" i="6" s="1"/>
  <c r="N607" i="6"/>
  <c r="P607" i="6" s="1"/>
  <c r="U607" i="6" s="1"/>
  <c r="N608" i="6"/>
  <c r="P608" i="6" s="1"/>
  <c r="U608" i="6" s="1"/>
  <c r="N609" i="6"/>
  <c r="P609" i="6" s="1"/>
  <c r="U609" i="6" s="1"/>
  <c r="N610" i="6"/>
  <c r="P610" i="6" s="1"/>
  <c r="U610" i="6" s="1"/>
  <c r="N611" i="6"/>
  <c r="P611" i="6" s="1"/>
  <c r="U611" i="6" s="1"/>
  <c r="N612" i="6"/>
  <c r="P612" i="6" s="1"/>
  <c r="U612" i="6" s="1"/>
  <c r="N613" i="6"/>
  <c r="P613" i="6" s="1"/>
  <c r="U613" i="6" s="1"/>
  <c r="N614" i="6"/>
  <c r="P614" i="6" s="1"/>
  <c r="U614" i="6" s="1"/>
  <c r="N615" i="6"/>
  <c r="P615" i="6" s="1"/>
  <c r="U615" i="6" s="1"/>
  <c r="N616" i="6"/>
  <c r="P616" i="6" s="1"/>
  <c r="U616" i="6" s="1"/>
  <c r="N617" i="6"/>
  <c r="P617" i="6" s="1"/>
  <c r="U617" i="6" s="1"/>
  <c r="N618" i="6"/>
  <c r="P618" i="6" s="1"/>
  <c r="U618" i="6" s="1"/>
  <c r="N619" i="6"/>
  <c r="P619" i="6" s="1"/>
  <c r="U619" i="6" s="1"/>
  <c r="N620" i="6"/>
  <c r="P620" i="6" s="1"/>
  <c r="U620" i="6" s="1"/>
  <c r="N621" i="6"/>
  <c r="P621" i="6" s="1"/>
  <c r="U621" i="6" s="1"/>
  <c r="N622" i="6"/>
  <c r="P622" i="6" s="1"/>
  <c r="U622" i="6" s="1"/>
  <c r="N623" i="6"/>
  <c r="P623" i="6" s="1"/>
  <c r="U623" i="6" s="1"/>
  <c r="N624" i="6"/>
  <c r="P624" i="6" s="1"/>
  <c r="U624" i="6" s="1"/>
  <c r="N625" i="6"/>
  <c r="P625" i="6" s="1"/>
  <c r="U625" i="6" s="1"/>
  <c r="N626" i="6"/>
  <c r="P626" i="6" s="1"/>
  <c r="U626" i="6" s="1"/>
  <c r="O627" i="6"/>
  <c r="P627" i="6" s="1"/>
  <c r="U627" i="6" s="1"/>
  <c r="N628" i="6"/>
  <c r="O628" i="6"/>
  <c r="N629" i="6"/>
  <c r="O629" i="6"/>
  <c r="N630" i="6"/>
  <c r="N631" i="6"/>
  <c r="N632" i="6"/>
  <c r="O632" i="6"/>
  <c r="N633" i="6"/>
  <c r="N634" i="6"/>
  <c r="O634" i="6"/>
  <c r="N635" i="6"/>
  <c r="O635" i="6"/>
  <c r="N636" i="6"/>
  <c r="O636" i="6"/>
  <c r="N637" i="6"/>
  <c r="N638" i="6"/>
  <c r="P639" i="6"/>
  <c r="U639" i="6" s="1"/>
  <c r="P640" i="6"/>
  <c r="U640" i="6" s="1"/>
  <c r="N641" i="6"/>
  <c r="P641" i="6" s="1"/>
  <c r="U641" i="6" s="1"/>
  <c r="N642" i="6"/>
  <c r="P642" i="6" s="1"/>
  <c r="U642" i="6" s="1"/>
  <c r="N643" i="6"/>
  <c r="P643" i="6" s="1"/>
  <c r="U643" i="6" s="1"/>
  <c r="N644" i="6"/>
  <c r="O644" i="6"/>
  <c r="N645" i="6"/>
  <c r="O645" i="6"/>
  <c r="N646" i="6"/>
  <c r="O646" i="6"/>
  <c r="N647" i="6"/>
  <c r="O647" i="6"/>
  <c r="N648" i="6"/>
  <c r="O648" i="6"/>
  <c r="N649" i="6"/>
  <c r="P649" i="6" s="1"/>
  <c r="U649" i="6" s="1"/>
  <c r="N650" i="6"/>
  <c r="O650" i="6"/>
  <c r="N651" i="6"/>
  <c r="O651" i="6"/>
  <c r="N652" i="6"/>
  <c r="O652" i="6"/>
  <c r="N653" i="6"/>
  <c r="O653" i="6"/>
  <c r="N654" i="6"/>
  <c r="O654" i="6"/>
  <c r="N655" i="6"/>
  <c r="O655" i="6"/>
  <c r="N656" i="6"/>
  <c r="N657" i="6"/>
  <c r="O657" i="6"/>
  <c r="O658" i="6"/>
  <c r="P658" i="6" s="1"/>
  <c r="U658" i="6" s="1"/>
  <c r="N659" i="6"/>
  <c r="O659" i="6"/>
  <c r="N661" i="6"/>
  <c r="O661" i="6"/>
  <c r="N662" i="6"/>
  <c r="N663" i="6"/>
  <c r="N664" i="6"/>
  <c r="N665" i="6"/>
  <c r="O665" i="6"/>
  <c r="N666" i="6"/>
  <c r="N667" i="6"/>
  <c r="O667" i="6"/>
  <c r="N668" i="6"/>
  <c r="P668" i="6" s="1"/>
  <c r="U668" i="6" s="1"/>
  <c r="N669" i="6"/>
  <c r="N670" i="6"/>
  <c r="O670" i="6"/>
  <c r="N671" i="6"/>
  <c r="P672" i="6"/>
  <c r="U672" i="6" s="1"/>
  <c r="N673" i="6"/>
  <c r="O673" i="6"/>
  <c r="N674" i="6"/>
  <c r="P674" i="6" s="1"/>
  <c r="U674" i="6" s="1"/>
  <c r="O675" i="6"/>
  <c r="P675" i="6" s="1"/>
  <c r="U675" i="6" s="1"/>
  <c r="N676" i="6"/>
  <c r="O676" i="6"/>
  <c r="N677" i="6"/>
  <c r="O677" i="6"/>
  <c r="P678" i="6"/>
  <c r="U678" i="6" s="1"/>
  <c r="O679" i="6"/>
  <c r="P679" i="6" s="1"/>
  <c r="U679" i="6" s="1"/>
  <c r="N680" i="6"/>
  <c r="P680" i="6" s="1"/>
  <c r="U680" i="6" s="1"/>
  <c r="O681" i="6"/>
  <c r="P681" i="6" s="1"/>
  <c r="U681" i="6" s="1"/>
  <c r="N682" i="6"/>
  <c r="P682" i="6" s="1"/>
  <c r="U682" i="6" s="1"/>
  <c r="N683" i="6"/>
  <c r="P683" i="6" s="1"/>
  <c r="U683" i="6" s="1"/>
  <c r="O684" i="6"/>
  <c r="P684" i="6" s="1"/>
  <c r="U684" i="6" s="1"/>
  <c r="N685" i="6"/>
  <c r="O685" i="6"/>
  <c r="N686" i="6"/>
  <c r="O686" i="6"/>
  <c r="N687" i="6"/>
  <c r="N688" i="6"/>
  <c r="N689" i="6"/>
  <c r="O689" i="6"/>
  <c r="N690" i="6"/>
  <c r="N691" i="6"/>
  <c r="O691" i="6"/>
  <c r="N692" i="6"/>
  <c r="O692" i="6"/>
  <c r="N693" i="6"/>
  <c r="O693" i="6"/>
  <c r="N694" i="6"/>
  <c r="N695" i="6"/>
  <c r="N696" i="6"/>
  <c r="O696" i="6"/>
  <c r="N697" i="6"/>
  <c r="P697" i="6" s="1"/>
  <c r="U697" i="6" s="1"/>
  <c r="N698" i="6"/>
  <c r="O698" i="6"/>
  <c r="N699" i="6"/>
  <c r="O699" i="6"/>
  <c r="P700" i="6"/>
  <c r="U700" i="6" s="1"/>
  <c r="N701" i="6"/>
  <c r="P701" i="6" s="1"/>
  <c r="U701" i="6" s="1"/>
  <c r="V701" i="6" s="1"/>
  <c r="N702" i="6"/>
  <c r="P702" i="6" s="1"/>
  <c r="U702" i="6" s="1"/>
  <c r="N703" i="6"/>
  <c r="P703" i="6" s="1"/>
  <c r="U703" i="6" s="1"/>
  <c r="N704" i="6"/>
  <c r="P704" i="6" s="1"/>
  <c r="U704" i="6" s="1"/>
  <c r="N705" i="6"/>
  <c r="P705" i="6" s="1"/>
  <c r="U705" i="6" s="1"/>
  <c r="N706" i="6"/>
  <c r="P706" i="6" s="1"/>
  <c r="U706" i="6" s="1"/>
  <c r="V706" i="6" s="1"/>
  <c r="N707" i="6"/>
  <c r="P707" i="6" s="1"/>
  <c r="U707" i="6" s="1"/>
  <c r="N708" i="6"/>
  <c r="P708" i="6" s="1"/>
  <c r="U708" i="6" s="1"/>
  <c r="N709" i="6"/>
  <c r="P709" i="6" s="1"/>
  <c r="U709" i="6" s="1"/>
  <c r="N710" i="6"/>
  <c r="P710" i="6" s="1"/>
  <c r="U710" i="6" s="1"/>
  <c r="N711" i="6"/>
  <c r="P711" i="6" s="1"/>
  <c r="U711" i="6" s="1"/>
  <c r="N712" i="6"/>
  <c r="P712" i="6" s="1"/>
  <c r="U712" i="6" s="1"/>
  <c r="N713" i="6"/>
  <c r="P713" i="6" s="1"/>
  <c r="U713" i="6" s="1"/>
  <c r="N714" i="6"/>
  <c r="P714" i="6" s="1"/>
  <c r="U714" i="6" s="1"/>
  <c r="N715" i="6"/>
  <c r="P715" i="6" s="1"/>
  <c r="U715" i="6" s="1"/>
  <c r="N716" i="6"/>
  <c r="P716" i="6" s="1"/>
  <c r="U716" i="6" s="1"/>
  <c r="N717" i="6"/>
  <c r="P717" i="6" s="1"/>
  <c r="U717" i="6" s="1"/>
  <c r="N718" i="6"/>
  <c r="P718" i="6" s="1"/>
  <c r="U718" i="6" s="1"/>
  <c r="N719" i="6"/>
  <c r="P719" i="6" s="1"/>
  <c r="U719" i="6" s="1"/>
  <c r="N720" i="6"/>
  <c r="P720" i="6" s="1"/>
  <c r="U720" i="6" s="1"/>
  <c r="N721" i="6"/>
  <c r="P721" i="6" s="1"/>
  <c r="U721" i="6" s="1"/>
  <c r="N722" i="6"/>
  <c r="P722" i="6" s="1"/>
  <c r="U722" i="6" s="1"/>
  <c r="N723" i="6"/>
  <c r="P723" i="6" s="1"/>
  <c r="U723" i="6" s="1"/>
  <c r="N724" i="6"/>
  <c r="P724" i="6" s="1"/>
  <c r="U724" i="6" s="1"/>
  <c r="N725" i="6"/>
  <c r="P725" i="6" s="1"/>
  <c r="U725" i="6" s="1"/>
  <c r="N726" i="6"/>
  <c r="P726" i="6" s="1"/>
  <c r="U726" i="6" s="1"/>
  <c r="N727" i="6"/>
  <c r="P727" i="6" s="1"/>
  <c r="U727" i="6" s="1"/>
  <c r="N728" i="6"/>
  <c r="P728" i="6" s="1"/>
  <c r="U728" i="6" s="1"/>
  <c r="N730" i="6"/>
  <c r="P730" i="6" s="1"/>
  <c r="U730" i="6" s="1"/>
  <c r="N731" i="6"/>
  <c r="P731" i="6" s="1"/>
  <c r="U731" i="6" s="1"/>
  <c r="N732" i="6"/>
  <c r="P732" i="6" s="1"/>
  <c r="U732" i="6" s="1"/>
  <c r="N733" i="6"/>
  <c r="P733" i="6" s="1"/>
  <c r="U733" i="6" s="1"/>
  <c r="N734" i="6"/>
  <c r="P734" i="6" s="1"/>
  <c r="U734" i="6" s="1"/>
  <c r="N735" i="6"/>
  <c r="P735" i="6" s="1"/>
  <c r="U735" i="6" s="1"/>
  <c r="N736" i="6"/>
  <c r="P736" i="6" s="1"/>
  <c r="U736" i="6" s="1"/>
  <c r="N737" i="6"/>
  <c r="P737" i="6" s="1"/>
  <c r="U737" i="6" s="1"/>
  <c r="N738" i="6"/>
  <c r="P738" i="6" s="1"/>
  <c r="U738" i="6" s="1"/>
  <c r="N739" i="6"/>
  <c r="P739" i="6" s="1"/>
  <c r="U739" i="6" s="1"/>
  <c r="N740" i="6"/>
  <c r="P740" i="6" s="1"/>
  <c r="U740" i="6" s="1"/>
  <c r="N741" i="6"/>
  <c r="P741" i="6" s="1"/>
  <c r="U741" i="6" s="1"/>
  <c r="N742" i="6"/>
  <c r="P742" i="6" s="1"/>
  <c r="U742" i="6" s="1"/>
  <c r="N743" i="6"/>
  <c r="P743" i="6" s="1"/>
  <c r="U743" i="6" s="1"/>
  <c r="N744" i="6"/>
  <c r="P744" i="6" s="1"/>
  <c r="U744" i="6" s="1"/>
  <c r="N745" i="6"/>
  <c r="P745" i="6" s="1"/>
  <c r="U745" i="6" s="1"/>
  <c r="N746" i="6"/>
  <c r="P746" i="6" s="1"/>
  <c r="U746" i="6" s="1"/>
  <c r="N747" i="6"/>
  <c r="P747" i="6" s="1"/>
  <c r="U747" i="6" s="1"/>
  <c r="N748" i="6"/>
  <c r="P748" i="6" s="1"/>
  <c r="U748" i="6" s="1"/>
  <c r="N749" i="6"/>
  <c r="P749" i="6" s="1"/>
  <c r="U749" i="6" s="1"/>
  <c r="V749" i="6" s="1"/>
  <c r="N750" i="6"/>
  <c r="P750" i="6" s="1"/>
  <c r="U750" i="6" s="1"/>
  <c r="N751" i="6"/>
  <c r="P751" i="6" s="1"/>
  <c r="U751" i="6" s="1"/>
  <c r="N752" i="6"/>
  <c r="P752" i="6" s="1"/>
  <c r="U752" i="6" s="1"/>
  <c r="N753" i="6"/>
  <c r="P753" i="6" s="1"/>
  <c r="U753" i="6" s="1"/>
  <c r="N754" i="6"/>
  <c r="P754" i="6" s="1"/>
  <c r="U754" i="6" s="1"/>
  <c r="N755" i="6"/>
  <c r="P755" i="6" s="1"/>
  <c r="U755" i="6" s="1"/>
  <c r="N756" i="6"/>
  <c r="P756" i="6" s="1"/>
  <c r="U756" i="6" s="1"/>
  <c r="N757" i="6"/>
  <c r="P757" i="6" s="1"/>
  <c r="U757" i="6" s="1"/>
  <c r="N758" i="6"/>
  <c r="P758" i="6" s="1"/>
  <c r="U758" i="6" s="1"/>
  <c r="N759" i="6"/>
  <c r="P759" i="6" s="1"/>
  <c r="U759" i="6" s="1"/>
  <c r="N760" i="6"/>
  <c r="P760" i="6" s="1"/>
  <c r="U760" i="6" s="1"/>
  <c r="V760" i="6" s="1"/>
  <c r="N761" i="6"/>
  <c r="P761" i="6" s="1"/>
  <c r="U761" i="6" s="1"/>
  <c r="N762" i="6"/>
  <c r="P762" i="6" s="1"/>
  <c r="U762" i="6" s="1"/>
  <c r="N763" i="6"/>
  <c r="P763" i="6" s="1"/>
  <c r="U763" i="6" s="1"/>
  <c r="N764" i="6"/>
  <c r="P764" i="6" s="1"/>
  <c r="U764" i="6" s="1"/>
  <c r="N765" i="6"/>
  <c r="P765" i="6" s="1"/>
  <c r="U765" i="6" s="1"/>
  <c r="N766" i="6"/>
  <c r="P766" i="6" s="1"/>
  <c r="U766" i="6" s="1"/>
  <c r="N767" i="6"/>
  <c r="P767" i="6" s="1"/>
  <c r="U767" i="6" s="1"/>
  <c r="N768" i="6"/>
  <c r="P768" i="6" s="1"/>
  <c r="U768" i="6" s="1"/>
  <c r="N769" i="6"/>
  <c r="P769" i="6" s="1"/>
  <c r="U769" i="6" s="1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P786" i="6"/>
  <c r="U786" i="6" s="1"/>
  <c r="P787" i="6"/>
  <c r="U787" i="6" s="1"/>
  <c r="P788" i="6"/>
  <c r="U788" i="6" s="1"/>
  <c r="N789" i="6"/>
  <c r="O789" i="6"/>
  <c r="P790" i="6"/>
  <c r="U790" i="6" s="1"/>
  <c r="P791" i="6"/>
  <c r="U791" i="6" s="1"/>
  <c r="N792" i="6"/>
  <c r="O792" i="6"/>
  <c r="P793" i="6"/>
  <c r="U793" i="6" s="1"/>
  <c r="N794" i="6"/>
  <c r="P794" i="6" s="1"/>
  <c r="U794" i="6" s="1"/>
  <c r="O795" i="6"/>
  <c r="P795" i="6" s="1"/>
  <c r="U795" i="6" s="1"/>
  <c r="N796" i="6"/>
  <c r="N797" i="6"/>
  <c r="O797" i="6"/>
  <c r="N798" i="6"/>
  <c r="O798" i="6"/>
  <c r="N799" i="6"/>
  <c r="O799" i="6"/>
  <c r="N800" i="6"/>
  <c r="P800" i="6" s="1"/>
  <c r="U800" i="6" s="1"/>
  <c r="N801" i="6"/>
  <c r="O801" i="6"/>
  <c r="N802" i="6"/>
  <c r="P802" i="6" s="1"/>
  <c r="U802" i="6" s="1"/>
  <c r="N803" i="6"/>
  <c r="O803" i="6"/>
  <c r="N804" i="6"/>
  <c r="O804" i="6"/>
  <c r="N805" i="6"/>
  <c r="O805" i="6"/>
  <c r="N806" i="6"/>
  <c r="O806" i="6"/>
  <c r="N807" i="6"/>
  <c r="O807" i="6"/>
  <c r="N808" i="6"/>
  <c r="P808" i="6" s="1"/>
  <c r="U808" i="6" s="1"/>
  <c r="N809" i="6"/>
  <c r="P809" i="6" s="1"/>
  <c r="U809" i="6" s="1"/>
  <c r="N810" i="6"/>
  <c r="P810" i="6" s="1"/>
  <c r="U810" i="6" s="1"/>
  <c r="P811" i="6"/>
  <c r="U811" i="6" s="1"/>
  <c r="N812" i="6"/>
  <c r="P812" i="6" s="1"/>
  <c r="U812" i="6" s="1"/>
  <c r="N813" i="6"/>
  <c r="P813" i="6" s="1"/>
  <c r="U813" i="6" s="1"/>
  <c r="N814" i="6"/>
  <c r="P814" i="6" s="1"/>
  <c r="U814" i="6" s="1"/>
  <c r="P815" i="6"/>
  <c r="U815" i="6" s="1"/>
  <c r="N816" i="6"/>
  <c r="P816" i="6" s="1"/>
  <c r="U816" i="6" s="1"/>
  <c r="N817" i="6"/>
  <c r="P817" i="6" s="1"/>
  <c r="U817" i="6" s="1"/>
  <c r="N818" i="6"/>
  <c r="P818" i="6" s="1"/>
  <c r="U818" i="6" s="1"/>
  <c r="N819" i="6"/>
  <c r="P819" i="6" s="1"/>
  <c r="U819" i="6" s="1"/>
  <c r="N820" i="6"/>
  <c r="P820" i="6" s="1"/>
  <c r="U820" i="6" s="1"/>
  <c r="N821" i="6"/>
  <c r="P821" i="6" s="1"/>
  <c r="U821" i="6" s="1"/>
  <c r="N822" i="6"/>
  <c r="P822" i="6" s="1"/>
  <c r="U822" i="6" s="1"/>
  <c r="N823" i="6"/>
  <c r="P823" i="6" s="1"/>
  <c r="U823" i="6" s="1"/>
  <c r="N824" i="6"/>
  <c r="P824" i="6" s="1"/>
  <c r="U824" i="6" s="1"/>
  <c r="N825" i="6"/>
  <c r="P825" i="6" s="1"/>
  <c r="U825" i="6" s="1"/>
  <c r="N826" i="6"/>
  <c r="P826" i="6" s="1"/>
  <c r="U826" i="6" s="1"/>
  <c r="N827" i="6"/>
  <c r="P827" i="6" s="1"/>
  <c r="U827" i="6" s="1"/>
  <c r="N828" i="6"/>
  <c r="P828" i="6" s="1"/>
  <c r="U828" i="6" s="1"/>
  <c r="N829" i="6"/>
  <c r="P829" i="6" s="1"/>
  <c r="U829" i="6" s="1"/>
  <c r="N830" i="6"/>
  <c r="P830" i="6" s="1"/>
  <c r="U830" i="6" s="1"/>
  <c r="N831" i="6"/>
  <c r="P831" i="6" s="1"/>
  <c r="U831" i="6" s="1"/>
  <c r="N832" i="6"/>
  <c r="P832" i="6" s="1"/>
  <c r="U832" i="6" s="1"/>
  <c r="N833" i="6"/>
  <c r="P833" i="6" s="1"/>
  <c r="U833" i="6" s="1"/>
  <c r="N834" i="6"/>
  <c r="O834" i="6"/>
  <c r="N835" i="6"/>
  <c r="O835" i="6"/>
  <c r="N836" i="6"/>
  <c r="O836" i="6"/>
  <c r="N837" i="6"/>
  <c r="P837" i="6" s="1"/>
  <c r="U837" i="6" s="1"/>
  <c r="O838" i="6"/>
  <c r="P838" i="6" s="1"/>
  <c r="U838" i="6" s="1"/>
  <c r="N839" i="6"/>
  <c r="O839" i="6"/>
  <c r="P840" i="6"/>
  <c r="U840" i="6" s="1"/>
  <c r="N841" i="6"/>
  <c r="O841" i="6"/>
  <c r="N842" i="6"/>
  <c r="P842" i="6" s="1"/>
  <c r="U842" i="6" s="1"/>
  <c r="N843" i="6"/>
  <c r="O843" i="6"/>
  <c r="N844" i="6"/>
  <c r="O844" i="6"/>
  <c r="O845" i="6"/>
  <c r="P845" i="6" s="1"/>
  <c r="U845" i="6" s="1"/>
  <c r="P846" i="6"/>
  <c r="U846" i="6" s="1"/>
  <c r="V846" i="6" s="1"/>
  <c r="N847" i="6"/>
  <c r="O847" i="6"/>
  <c r="N848" i="6"/>
  <c r="P848" i="6" s="1"/>
  <c r="P849" i="6"/>
  <c r="U849" i="6" s="1"/>
  <c r="N850" i="6"/>
  <c r="P850" i="6" s="1"/>
  <c r="U850" i="6" s="1"/>
  <c r="N851" i="6"/>
  <c r="P851" i="6" s="1"/>
  <c r="U851" i="6" s="1"/>
  <c r="N852" i="6"/>
  <c r="P852" i="6" s="1"/>
  <c r="U852" i="6" s="1"/>
  <c r="N853" i="6"/>
  <c r="P853" i="6" s="1"/>
  <c r="U853" i="6" s="1"/>
  <c r="N854" i="6"/>
  <c r="P854" i="6" s="1"/>
  <c r="U854" i="6" s="1"/>
  <c r="N855" i="6"/>
  <c r="P855" i="6" s="1"/>
  <c r="U855" i="6" s="1"/>
  <c r="N856" i="6"/>
  <c r="P856" i="6" s="1"/>
  <c r="U856" i="6" s="1"/>
  <c r="P857" i="6"/>
  <c r="U857" i="6" s="1"/>
  <c r="N858" i="6"/>
  <c r="P858" i="6" s="1"/>
  <c r="U858" i="6" s="1"/>
  <c r="N859" i="6"/>
  <c r="P859" i="6" s="1"/>
  <c r="U859" i="6" s="1"/>
  <c r="N860" i="6"/>
  <c r="P860" i="6" s="1"/>
  <c r="U860" i="6" s="1"/>
  <c r="N861" i="6"/>
  <c r="P861" i="6" s="1"/>
  <c r="U861" i="6" s="1"/>
  <c r="N862" i="6"/>
  <c r="P862" i="6" s="1"/>
  <c r="U862" i="6" s="1"/>
  <c r="N863" i="6"/>
  <c r="P863" i="6" s="1"/>
  <c r="U863" i="6" s="1"/>
  <c r="N864" i="6"/>
  <c r="P864" i="6" s="1"/>
  <c r="U864" i="6" s="1"/>
  <c r="N865" i="6"/>
  <c r="P865" i="6" s="1"/>
  <c r="U865" i="6" s="1"/>
  <c r="N866" i="6"/>
  <c r="P866" i="6" s="1"/>
  <c r="U866" i="6" s="1"/>
  <c r="N867" i="6"/>
  <c r="P867" i="6" s="1"/>
  <c r="U867" i="6" s="1"/>
  <c r="N868" i="6"/>
  <c r="P868" i="6" s="1"/>
  <c r="U868" i="6" s="1"/>
  <c r="N869" i="6"/>
  <c r="P869" i="6" s="1"/>
  <c r="U869" i="6" s="1"/>
  <c r="N870" i="6"/>
  <c r="O870" i="6"/>
  <c r="O871" i="6"/>
  <c r="P871" i="6" s="1"/>
  <c r="U871" i="6" s="1"/>
  <c r="V871" i="6" s="1"/>
  <c r="N872" i="6"/>
  <c r="O872" i="6"/>
  <c r="N873" i="6"/>
  <c r="P873" i="6" s="1"/>
  <c r="U873" i="6" s="1"/>
  <c r="N874" i="6"/>
  <c r="P874" i="6" s="1"/>
  <c r="U874" i="6" s="1"/>
  <c r="N875" i="6"/>
  <c r="O875" i="6"/>
  <c r="N876" i="6"/>
  <c r="O876" i="6"/>
  <c r="N877" i="6"/>
  <c r="N878" i="6"/>
  <c r="O878" i="6"/>
  <c r="N879" i="6"/>
  <c r="O879" i="6"/>
  <c r="N880" i="6"/>
  <c r="N881" i="6"/>
  <c r="P881" i="6" s="1"/>
  <c r="U881" i="6" s="1"/>
  <c r="P882" i="6"/>
  <c r="U882" i="6" s="1"/>
  <c r="N883" i="6"/>
  <c r="N884" i="6"/>
  <c r="N885" i="6"/>
  <c r="O885" i="6"/>
  <c r="N886" i="6"/>
  <c r="P886" i="6" s="1"/>
  <c r="U886" i="6" s="1"/>
  <c r="N887" i="6"/>
  <c r="N888" i="6"/>
  <c r="P888" i="6" s="1"/>
  <c r="U888" i="6" s="1"/>
  <c r="N889" i="6"/>
  <c r="N890" i="6"/>
  <c r="N891" i="6"/>
  <c r="O891" i="6"/>
  <c r="N892" i="6"/>
  <c r="N893" i="6"/>
  <c r="P893" i="6" s="1"/>
  <c r="U893" i="6" s="1"/>
  <c r="N894" i="6"/>
  <c r="N895" i="6"/>
  <c r="P895" i="6" s="1"/>
  <c r="U895" i="6" s="1"/>
  <c r="N896" i="6"/>
  <c r="N897" i="6"/>
  <c r="O897" i="6"/>
  <c r="N898" i="6"/>
  <c r="N899" i="6"/>
  <c r="N900" i="6"/>
  <c r="P900" i="6" s="1"/>
  <c r="U900" i="6" s="1"/>
  <c r="N901" i="6"/>
  <c r="N902" i="6"/>
  <c r="P902" i="6" s="1"/>
  <c r="U902" i="6" s="1"/>
  <c r="N903" i="6"/>
  <c r="O903" i="6"/>
  <c r="P904" i="6"/>
  <c r="U904" i="6" s="1"/>
  <c r="N905" i="6"/>
  <c r="O905" i="6"/>
  <c r="N906" i="6"/>
  <c r="N907" i="6"/>
  <c r="P908" i="6"/>
  <c r="U908" i="6" s="1"/>
  <c r="N909" i="6"/>
  <c r="O909" i="6"/>
  <c r="O910" i="6"/>
  <c r="P910" i="6" s="1"/>
  <c r="U910" i="6" s="1"/>
  <c r="N911" i="6"/>
  <c r="P911" i="6" s="1"/>
  <c r="U911" i="6" s="1"/>
  <c r="P912" i="6"/>
  <c r="U912" i="6" s="1"/>
  <c r="P913" i="6"/>
  <c r="U913" i="6" s="1"/>
  <c r="P914" i="6"/>
  <c r="U914" i="6" s="1"/>
  <c r="N915" i="6"/>
  <c r="P915" i="6" s="1"/>
  <c r="U915" i="6" s="1"/>
  <c r="N916" i="6"/>
  <c r="P916" i="6" s="1"/>
  <c r="U916" i="6" s="1"/>
  <c r="P917" i="6"/>
  <c r="U917" i="6" s="1"/>
  <c r="N918" i="6"/>
  <c r="P918" i="6" s="1"/>
  <c r="U918" i="6" s="1"/>
  <c r="N919" i="6"/>
  <c r="P919" i="6" s="1"/>
  <c r="U919" i="6" s="1"/>
  <c r="N920" i="6"/>
  <c r="P920" i="6" s="1"/>
  <c r="U920" i="6" s="1"/>
  <c r="N921" i="6"/>
  <c r="P921" i="6" s="1"/>
  <c r="U921" i="6" s="1"/>
  <c r="N922" i="6"/>
  <c r="P922" i="6" s="1"/>
  <c r="U922" i="6" s="1"/>
  <c r="N923" i="6"/>
  <c r="P923" i="6" s="1"/>
  <c r="U923" i="6" s="1"/>
  <c r="N924" i="6"/>
  <c r="P924" i="6" s="1"/>
  <c r="N925" i="6"/>
  <c r="P925" i="6" s="1"/>
  <c r="U925" i="6" s="1"/>
  <c r="N926" i="6"/>
  <c r="P926" i="6" s="1"/>
  <c r="U926" i="6" s="1"/>
  <c r="N927" i="6"/>
  <c r="P927" i="6" s="1"/>
  <c r="U927" i="6" s="1"/>
  <c r="N928" i="6"/>
  <c r="P928" i="6" s="1"/>
  <c r="U928" i="6" s="1"/>
  <c r="N929" i="6"/>
  <c r="P929" i="6" s="1"/>
  <c r="U929" i="6" s="1"/>
  <c r="N930" i="6"/>
  <c r="P930" i="6" s="1"/>
  <c r="U930" i="6" s="1"/>
  <c r="N931" i="6"/>
  <c r="P931" i="6" s="1"/>
  <c r="U931" i="6" s="1"/>
  <c r="O932" i="6"/>
  <c r="P932" i="6" s="1"/>
  <c r="U932" i="6" s="1"/>
  <c r="N933" i="6"/>
  <c r="P933" i="6" s="1"/>
  <c r="O934" i="6"/>
  <c r="P934" i="6" s="1"/>
  <c r="U934" i="6" s="1"/>
  <c r="N935" i="6"/>
  <c r="P935" i="6" s="1"/>
  <c r="U935" i="6" s="1"/>
  <c r="P936" i="6"/>
  <c r="U936" i="6" s="1"/>
  <c r="N937" i="6"/>
  <c r="O937" i="6"/>
  <c r="N938" i="6"/>
  <c r="O938" i="6"/>
  <c r="N939" i="6"/>
  <c r="P939" i="6" s="1"/>
  <c r="U939" i="6" s="1"/>
  <c r="O940" i="6"/>
  <c r="P940" i="6" s="1"/>
  <c r="U940" i="6" s="1"/>
  <c r="N941" i="6"/>
  <c r="O941" i="6"/>
  <c r="P942" i="6"/>
  <c r="U942" i="6" s="1"/>
  <c r="N943" i="6"/>
  <c r="P943" i="6" s="1"/>
  <c r="U943" i="6" s="1"/>
  <c r="N944" i="6"/>
  <c r="O944" i="6"/>
  <c r="N945" i="6"/>
  <c r="P945" i="6" s="1"/>
  <c r="U945" i="6" s="1"/>
  <c r="N946" i="6"/>
  <c r="P946" i="6" s="1"/>
  <c r="U946" i="6" s="1"/>
  <c r="V946" i="6" s="1"/>
  <c r="N948" i="6"/>
  <c r="N949" i="6"/>
  <c r="P949" i="6" s="1"/>
  <c r="U949" i="6" s="1"/>
  <c r="N950" i="6"/>
  <c r="P950" i="6" s="1"/>
  <c r="U950" i="6" s="1"/>
  <c r="N951" i="6"/>
  <c r="P951" i="6" s="1"/>
  <c r="U951" i="6" s="1"/>
  <c r="N952" i="6"/>
  <c r="N953" i="6"/>
  <c r="N954" i="6"/>
  <c r="N955" i="6"/>
  <c r="P955" i="6" s="1"/>
  <c r="U955" i="6" s="1"/>
  <c r="P956" i="6"/>
  <c r="U956" i="6" s="1"/>
  <c r="N957" i="6"/>
  <c r="P957" i="6" s="1"/>
  <c r="U957" i="6" s="1"/>
  <c r="N958" i="6"/>
  <c r="P958" i="6" s="1"/>
  <c r="U958" i="6" s="1"/>
  <c r="N959" i="6"/>
  <c r="P959" i="6" s="1"/>
  <c r="U959" i="6" s="1"/>
  <c r="N960" i="6"/>
  <c r="P960" i="6" s="1"/>
  <c r="U960" i="6" s="1"/>
  <c r="N961" i="6"/>
  <c r="P961" i="6" s="1"/>
  <c r="U961" i="6" s="1"/>
  <c r="N962" i="6"/>
  <c r="P962" i="6" s="1"/>
  <c r="N963" i="6"/>
  <c r="P963" i="6" s="1"/>
  <c r="U963" i="6" s="1"/>
  <c r="N964" i="6"/>
  <c r="P964" i="6" s="1"/>
  <c r="U964" i="6" s="1"/>
  <c r="N965" i="6"/>
  <c r="O965" i="6"/>
  <c r="N966" i="6"/>
  <c r="O966" i="6"/>
  <c r="N967" i="6"/>
  <c r="O967" i="6"/>
  <c r="N968" i="6"/>
  <c r="O968" i="6"/>
  <c r="N969" i="6"/>
  <c r="O969" i="6"/>
  <c r="N970" i="6"/>
  <c r="O970" i="6"/>
  <c r="N971" i="6"/>
  <c r="O971" i="6"/>
  <c r="N972" i="6"/>
  <c r="O972" i="6"/>
  <c r="N973" i="6"/>
  <c r="O973" i="6"/>
  <c r="N974" i="6"/>
  <c r="O974" i="6"/>
  <c r="N975" i="6"/>
  <c r="O975" i="6"/>
  <c r="N976" i="6"/>
  <c r="O976" i="6"/>
  <c r="N977" i="6"/>
  <c r="O977" i="6"/>
  <c r="N978" i="6"/>
  <c r="O978" i="6"/>
  <c r="P979" i="6"/>
  <c r="U979" i="6" s="1"/>
  <c r="N980" i="6"/>
  <c r="P980" i="6" s="1"/>
  <c r="U980" i="6" s="1"/>
  <c r="O981" i="6"/>
  <c r="N982" i="6"/>
  <c r="O982" i="6"/>
  <c r="N983" i="6"/>
  <c r="P983" i="6" s="1"/>
  <c r="U983" i="6" s="1"/>
  <c r="N985" i="6"/>
  <c r="P985" i="6" s="1"/>
  <c r="U985" i="6" s="1"/>
  <c r="P986" i="6"/>
  <c r="U986" i="6" s="1"/>
  <c r="N987" i="6"/>
  <c r="O987" i="6"/>
  <c r="O988" i="6"/>
  <c r="P988" i="6" s="1"/>
  <c r="U988" i="6" s="1"/>
  <c r="N989" i="6"/>
  <c r="P989" i="6" s="1"/>
  <c r="U989" i="6" s="1"/>
  <c r="P990" i="6"/>
  <c r="U990" i="6" s="1"/>
  <c r="N991" i="6"/>
  <c r="O991" i="6"/>
  <c r="N992" i="6"/>
  <c r="O992" i="6"/>
  <c r="N993" i="6"/>
  <c r="N994" i="6"/>
  <c r="O994" i="6"/>
  <c r="N995" i="6"/>
  <c r="O995" i="6"/>
  <c r="N996" i="6"/>
  <c r="O996" i="6"/>
  <c r="N997" i="6"/>
  <c r="O997" i="6"/>
  <c r="N998" i="6"/>
  <c r="O998" i="6"/>
  <c r="P999" i="6"/>
  <c r="U999" i="6" s="1"/>
  <c r="N1000" i="6"/>
  <c r="O1000" i="6"/>
  <c r="N1001" i="6"/>
  <c r="O1001" i="6"/>
  <c r="N1002" i="6"/>
  <c r="O1002" i="6"/>
  <c r="N1003" i="6"/>
  <c r="M1004" i="6"/>
  <c r="M1005" i="6"/>
  <c r="M1006" i="6"/>
  <c r="M1007" i="6"/>
  <c r="M1010" i="6"/>
  <c r="M1011" i="6"/>
  <c r="M1012" i="6"/>
  <c r="M1013" i="6"/>
  <c r="M1014" i="6"/>
  <c r="M1016" i="6"/>
  <c r="M1121" i="6"/>
  <c r="M1127" i="6"/>
  <c r="M1132" i="6"/>
  <c r="M1133" i="6"/>
  <c r="M1137" i="6"/>
  <c r="M1138" i="6"/>
  <c r="M1139" i="6"/>
  <c r="M1143" i="6"/>
  <c r="M1144" i="6"/>
  <c r="M1203" i="6"/>
  <c r="M1204" i="6"/>
  <c r="M1205" i="6"/>
  <c r="M1208" i="6"/>
  <c r="M1209" i="6"/>
  <c r="M1210" i="6"/>
  <c r="M1211" i="6"/>
  <c r="M1214" i="6"/>
  <c r="M1215" i="6"/>
  <c r="M1244" i="6"/>
  <c r="M1249" i="6"/>
  <c r="M1250" i="6"/>
  <c r="M1255" i="6"/>
  <c r="M1256" i="6"/>
  <c r="M1261" i="6"/>
  <c r="M1266" i="6"/>
  <c r="M1267" i="6"/>
  <c r="M1272" i="6"/>
  <c r="M1273" i="6"/>
  <c r="M1277" i="6"/>
  <c r="M1278" i="6"/>
  <c r="M1279" i="6"/>
  <c r="M1283" i="6"/>
  <c r="M1284" i="6"/>
  <c r="M1285" i="6"/>
  <c r="M1289" i="6"/>
  <c r="M1290" i="6"/>
  <c r="M1291" i="6"/>
  <c r="M1294" i="6"/>
  <c r="M1295" i="6"/>
  <c r="M1296" i="6"/>
  <c r="M1297" i="6"/>
  <c r="M1300" i="6"/>
  <c r="M1301" i="6"/>
  <c r="M1302" i="6"/>
  <c r="M1303" i="6"/>
  <c r="M1347" i="6"/>
  <c r="M1348" i="6"/>
  <c r="M1349" i="6"/>
  <c r="M1350" i="6"/>
  <c r="M1353" i="6"/>
  <c r="M1354" i="6"/>
  <c r="M1355" i="6"/>
  <c r="M1356" i="6"/>
  <c r="M1357" i="6"/>
  <c r="M1359" i="6"/>
  <c r="M1360" i="6"/>
  <c r="M1365" i="6"/>
  <c r="M1370" i="6"/>
  <c r="M1371" i="6"/>
  <c r="M1376" i="6"/>
  <c r="M1377" i="6"/>
  <c r="M1388" i="6"/>
  <c r="M1394" i="6"/>
  <c r="M1400" i="6"/>
  <c r="M1429" i="6"/>
  <c r="M1430" i="6"/>
  <c r="M1431" i="6"/>
  <c r="M1434" i="6"/>
  <c r="M1435" i="6"/>
  <c r="M1436" i="6"/>
  <c r="M1437" i="6"/>
  <c r="M1440" i="6"/>
  <c r="M1441" i="6"/>
  <c r="M1481" i="6"/>
  <c r="M1482" i="6"/>
  <c r="M1483" i="6"/>
  <c r="M1484" i="6"/>
  <c r="M1487" i="6"/>
  <c r="M1488" i="6"/>
  <c r="M1489" i="6"/>
  <c r="M1490" i="6"/>
  <c r="M1491" i="6"/>
  <c r="M1493" i="6"/>
  <c r="M1494" i="6"/>
  <c r="M1495" i="6"/>
  <c r="M1496" i="6"/>
  <c r="M1497" i="6"/>
  <c r="M1551" i="6"/>
  <c r="M1556" i="6"/>
  <c r="M1557" i="6"/>
  <c r="M1562" i="6"/>
  <c r="M1563" i="6"/>
  <c r="M1574" i="6"/>
  <c r="M1580" i="6"/>
  <c r="M1603" i="6"/>
  <c r="M1604" i="6"/>
  <c r="M1605" i="6"/>
  <c r="M1614" i="6"/>
  <c r="M1620" i="6"/>
  <c r="M1671" i="6"/>
  <c r="M1672" i="6"/>
  <c r="M1673" i="6"/>
  <c r="M1676" i="6"/>
  <c r="M1677" i="6"/>
  <c r="M1678" i="6"/>
  <c r="M1679" i="6"/>
  <c r="M1682" i="6"/>
  <c r="M1746" i="6"/>
  <c r="M1747" i="6"/>
  <c r="M1751" i="6"/>
  <c r="M1752" i="6"/>
  <c r="M1757" i="6"/>
  <c r="M1762" i="6"/>
  <c r="M1763" i="6"/>
  <c r="M1767" i="6"/>
  <c r="M1768" i="6"/>
  <c r="M1769" i="6"/>
  <c r="M1770" i="6"/>
  <c r="M1773" i="6"/>
  <c r="M1774" i="6"/>
  <c r="M1775" i="6"/>
  <c r="M1776" i="6"/>
  <c r="M1777" i="6"/>
  <c r="M1791" i="6"/>
  <c r="M1796" i="6"/>
  <c r="M1797" i="6"/>
  <c r="M1802" i="6"/>
  <c r="M1832" i="6"/>
  <c r="M1838" i="6"/>
  <c r="M1842" i="6"/>
  <c r="M1843" i="6"/>
  <c r="M1844" i="6"/>
  <c r="M1845" i="6"/>
  <c r="M1848" i="6"/>
  <c r="M1849" i="6"/>
  <c r="M1850" i="6"/>
  <c r="M1851" i="6"/>
  <c r="M1852" i="6"/>
  <c r="M1854" i="6"/>
  <c r="M4767" i="6"/>
  <c r="M4768" i="6"/>
  <c r="M4769" i="6"/>
  <c r="M4772" i="6"/>
  <c r="M4773" i="6"/>
  <c r="M4774" i="6"/>
  <c r="M4775" i="6"/>
  <c r="M5168" i="6"/>
  <c r="M5169" i="6"/>
  <c r="M5170" i="6"/>
  <c r="M5171" i="6"/>
  <c r="M5504" i="6"/>
  <c r="M5505" i="6"/>
  <c r="M5509" i="6"/>
  <c r="M5587" i="6"/>
  <c r="M5588" i="6"/>
  <c r="M5592" i="6"/>
  <c r="M5593" i="6"/>
  <c r="M5594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N1017" i="6"/>
  <c r="O1017" i="6"/>
  <c r="N1018" i="6"/>
  <c r="N1019" i="6"/>
  <c r="P1019" i="6" s="1"/>
  <c r="U1019" i="6" s="1"/>
  <c r="P1020" i="6"/>
  <c r="U1020" i="6" s="1"/>
  <c r="N1021" i="6"/>
  <c r="O1021" i="6"/>
  <c r="N1022" i="6"/>
  <c r="O1022" i="6"/>
  <c r="N1023" i="6"/>
  <c r="O1023" i="6"/>
  <c r="N1024" i="6"/>
  <c r="N1025" i="6"/>
  <c r="P1025" i="6" s="1"/>
  <c r="U1025" i="6" s="1"/>
  <c r="N1026" i="6"/>
  <c r="O1026" i="6"/>
  <c r="N1027" i="6"/>
  <c r="P1027" i="6" s="1"/>
  <c r="U1027" i="6" s="1"/>
  <c r="N1028" i="6"/>
  <c r="O1028" i="6"/>
  <c r="N1029" i="6"/>
  <c r="O1029" i="6"/>
  <c r="N1030" i="6"/>
  <c r="O1030" i="6"/>
  <c r="N1031" i="6"/>
  <c r="N1032" i="6"/>
  <c r="N1033" i="6"/>
  <c r="O1033" i="6"/>
  <c r="N1034" i="6"/>
  <c r="H117" i="14"/>
  <c r="O1036" i="6" s="1"/>
  <c r="P1036" i="6" s="1"/>
  <c r="U1036" i="6" s="1"/>
  <c r="N1035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P1056" i="6" s="1"/>
  <c r="U1056" i="6" s="1"/>
  <c r="N1057" i="6"/>
  <c r="P1057" i="6" s="1"/>
  <c r="U1057" i="6" s="1"/>
  <c r="P1058" i="6"/>
  <c r="U1058" i="6" s="1"/>
  <c r="P1059" i="6"/>
  <c r="U1059" i="6" s="1"/>
  <c r="N1060" i="6"/>
  <c r="P1060" i="6" s="1"/>
  <c r="U1060" i="6" s="1"/>
  <c r="N1061" i="6"/>
  <c r="P1061" i="6" s="1"/>
  <c r="U1061" i="6" s="1"/>
  <c r="N1062" i="6"/>
  <c r="P1062" i="6" s="1"/>
  <c r="U1062" i="6" s="1"/>
  <c r="N1063" i="6"/>
  <c r="P1063" i="6" s="1"/>
  <c r="N1064" i="6"/>
  <c r="P1064" i="6" s="1"/>
  <c r="U1064" i="6" s="1"/>
  <c r="N1065" i="6"/>
  <c r="P1065" i="6" s="1"/>
  <c r="U1065" i="6" s="1"/>
  <c r="N1066" i="6"/>
  <c r="P1066" i="6" s="1"/>
  <c r="U1066" i="6" s="1"/>
  <c r="N1067" i="6"/>
  <c r="P1067" i="6" s="1"/>
  <c r="U1067" i="6" s="1"/>
  <c r="N1068" i="6"/>
  <c r="P1068" i="6" s="1"/>
  <c r="U1068" i="6" s="1"/>
  <c r="O1069" i="6"/>
  <c r="P1069" i="6" s="1"/>
  <c r="U1069" i="6" s="1"/>
  <c r="N1070" i="6"/>
  <c r="P1070" i="6" s="1"/>
  <c r="U1070" i="6" s="1"/>
  <c r="N1071" i="6"/>
  <c r="O1071" i="6"/>
  <c r="N1072" i="6"/>
  <c r="O1072" i="6"/>
  <c r="N1073" i="6"/>
  <c r="N1074" i="6"/>
  <c r="N1075" i="6"/>
  <c r="O1075" i="6"/>
  <c r="N1076" i="6"/>
  <c r="O1076" i="6"/>
  <c r="N1077" i="6"/>
  <c r="O1077" i="6"/>
  <c r="N1078" i="6"/>
  <c r="O1078" i="6"/>
  <c r="N1079" i="6"/>
  <c r="N1080" i="6"/>
  <c r="N1081" i="6"/>
  <c r="O1081" i="6"/>
  <c r="N1082" i="6"/>
  <c r="P1082" i="6" s="1"/>
  <c r="U1082" i="6" s="1"/>
  <c r="V1082" i="6" s="1"/>
  <c r="P1083" i="6"/>
  <c r="U1083" i="6" s="1"/>
  <c r="N1084" i="6"/>
  <c r="O1084" i="6"/>
  <c r="P1085" i="6"/>
  <c r="U1085" i="6" s="1"/>
  <c r="O1086" i="6"/>
  <c r="P1086" i="6" s="1"/>
  <c r="U1086" i="6" s="1"/>
  <c r="N1087" i="6"/>
  <c r="O1087" i="6"/>
  <c r="O1088" i="6"/>
  <c r="P1088" i="6" s="1"/>
  <c r="U1088" i="6" s="1"/>
  <c r="N1089" i="6"/>
  <c r="P1089" i="6" s="1"/>
  <c r="U1089" i="6" s="1"/>
  <c r="N1090" i="6"/>
  <c r="O1090" i="6"/>
  <c r="N1091" i="6"/>
  <c r="O1091" i="6"/>
  <c r="N1092" i="6"/>
  <c r="O1092" i="6"/>
  <c r="N1093" i="6"/>
  <c r="O1093" i="6"/>
  <c r="P1094" i="6"/>
  <c r="U1094" i="6" s="1"/>
  <c r="N1095" i="6"/>
  <c r="O1095" i="6"/>
  <c r="P1096" i="6"/>
  <c r="U1096" i="6" s="1"/>
  <c r="N1097" i="6"/>
  <c r="P1097" i="6" s="1"/>
  <c r="U1097" i="6" s="1"/>
  <c r="N1098" i="6"/>
  <c r="P1098" i="6" s="1"/>
  <c r="U1098" i="6" s="1"/>
  <c r="N1099" i="6"/>
  <c r="O1099" i="6"/>
  <c r="N1100" i="6"/>
  <c r="O1100" i="6"/>
  <c r="N1101" i="6"/>
  <c r="O1101" i="6"/>
  <c r="N1102" i="6"/>
  <c r="P1102" i="6" s="1"/>
  <c r="U1102" i="6" s="1"/>
  <c r="N1103" i="6"/>
  <c r="O1103" i="6"/>
  <c r="N1104" i="6"/>
  <c r="O1104" i="6"/>
  <c r="O1105" i="6"/>
  <c r="P1105" i="6" s="1"/>
  <c r="U1105" i="6" s="1"/>
  <c r="N1106" i="6"/>
  <c r="O1106" i="6"/>
  <c r="N1107" i="6"/>
  <c r="P1107" i="6" s="1"/>
  <c r="U1107" i="6" s="1"/>
  <c r="N1108" i="6"/>
  <c r="O1108" i="6"/>
  <c r="N1109" i="6"/>
  <c r="O1109" i="6"/>
  <c r="N1110" i="6"/>
  <c r="O1110" i="6"/>
  <c r="N1111" i="6"/>
  <c r="P1111" i="6" s="1"/>
  <c r="U1111" i="6" s="1"/>
  <c r="N1112" i="6"/>
  <c r="P1112" i="6" s="1"/>
  <c r="U1112" i="6" s="1"/>
  <c r="N1113" i="6"/>
  <c r="P1113" i="6" s="1"/>
  <c r="U1113" i="6" s="1"/>
  <c r="N1114" i="6"/>
  <c r="P1114" i="6" s="1"/>
  <c r="U1114" i="6" s="1"/>
  <c r="N1145" i="6"/>
  <c r="O1145" i="6"/>
  <c r="O1146" i="6"/>
  <c r="P1146" i="6" s="1"/>
  <c r="U1146" i="6" s="1"/>
  <c r="P1147" i="6"/>
  <c r="U1147" i="6" s="1"/>
  <c r="N1149" i="6"/>
  <c r="O1149" i="6"/>
  <c r="N1150" i="6"/>
  <c r="P1150" i="6" s="1"/>
  <c r="U1150" i="6" s="1"/>
  <c r="N1151" i="6"/>
  <c r="O1151" i="6"/>
  <c r="P1152" i="6"/>
  <c r="U1152" i="6" s="1"/>
  <c r="N1153" i="6"/>
  <c r="O1153" i="6"/>
  <c r="N1154" i="6"/>
  <c r="P1154" i="6" s="1"/>
  <c r="U1154" i="6" s="1"/>
  <c r="O1155" i="6"/>
  <c r="N1156" i="6"/>
  <c r="O1156" i="6"/>
  <c r="O1157" i="6"/>
  <c r="P1157" i="6" s="1"/>
  <c r="U1157" i="6" s="1"/>
  <c r="N1158" i="6"/>
  <c r="O1158" i="6"/>
  <c r="N1159" i="6"/>
  <c r="O1159" i="6"/>
  <c r="N1160" i="6"/>
  <c r="O1160" i="6"/>
  <c r="N1161" i="6"/>
  <c r="O1161" i="6"/>
  <c r="N1162" i="6"/>
  <c r="O1162" i="6"/>
  <c r="N1163" i="6"/>
  <c r="O1163" i="6"/>
  <c r="N1164" i="6"/>
  <c r="O1164" i="6"/>
  <c r="N1165" i="6"/>
  <c r="O1165" i="6"/>
  <c r="N1166" i="6"/>
  <c r="O1166" i="6"/>
  <c r="N1167" i="6"/>
  <c r="O1167" i="6"/>
  <c r="N1168" i="6"/>
  <c r="O1168" i="6"/>
  <c r="N1169" i="6"/>
  <c r="O1169" i="6"/>
  <c r="N1170" i="6"/>
  <c r="O1170" i="6"/>
  <c r="N1171" i="6"/>
  <c r="O1171" i="6"/>
  <c r="O1172" i="6"/>
  <c r="P1172" i="6" s="1"/>
  <c r="U1172" i="6" s="1"/>
  <c r="N1173" i="6"/>
  <c r="P1173" i="6" s="1"/>
  <c r="U1173" i="6" s="1"/>
  <c r="N1174" i="6"/>
  <c r="O1174" i="6"/>
  <c r="P1175" i="6"/>
  <c r="U1175" i="6" s="1"/>
  <c r="N1176" i="6"/>
  <c r="P1176" i="6" s="1"/>
  <c r="U1176" i="6" s="1"/>
  <c r="N1177" i="6"/>
  <c r="P1177" i="6" s="1"/>
  <c r="U1177" i="6" s="1"/>
  <c r="N1178" i="6"/>
  <c r="P1178" i="6" s="1"/>
  <c r="U1178" i="6" s="1"/>
  <c r="N1179" i="6"/>
  <c r="P1179" i="6" s="1"/>
  <c r="U1179" i="6" s="1"/>
  <c r="N1180" i="6"/>
  <c r="O1180" i="6"/>
  <c r="O1181" i="6"/>
  <c r="P1181" i="6" s="1"/>
  <c r="U1181" i="6" s="1"/>
  <c r="P1182" i="6"/>
  <c r="U1182" i="6" s="1"/>
  <c r="N1183" i="6"/>
  <c r="O1183" i="6"/>
  <c r="N1184" i="6"/>
  <c r="P1184" i="6" s="1"/>
  <c r="U1184" i="6" s="1"/>
  <c r="N1185" i="6"/>
  <c r="P1185" i="6" s="1"/>
  <c r="U1185" i="6" s="1"/>
  <c r="N1186" i="6"/>
  <c r="P1186" i="6" s="1"/>
  <c r="U1186" i="6" s="1"/>
  <c r="N1187" i="6"/>
  <c r="O1187" i="6"/>
  <c r="N1188" i="6"/>
  <c r="P1188" i="6" s="1"/>
  <c r="U1188" i="6" s="1"/>
  <c r="N1189" i="6"/>
  <c r="O1189" i="6"/>
  <c r="N1190" i="6"/>
  <c r="P1190" i="6" s="1"/>
  <c r="U1190" i="6" s="1"/>
  <c r="N1191" i="6"/>
  <c r="O1191" i="6"/>
  <c r="O1192" i="6"/>
  <c r="P1192" i="6" s="1"/>
  <c r="U1192" i="6" s="1"/>
  <c r="N1193" i="6"/>
  <c r="O1193" i="6"/>
  <c r="N1195" i="6"/>
  <c r="O1195" i="6"/>
  <c r="N1196" i="6"/>
  <c r="O1196" i="6"/>
  <c r="N1197" i="6"/>
  <c r="O1197" i="6"/>
  <c r="N1198" i="6"/>
  <c r="O1198" i="6"/>
  <c r="N1199" i="6"/>
  <c r="O1199" i="6"/>
  <c r="N1200" i="6"/>
  <c r="P1200" i="6" s="1"/>
  <c r="U1200" i="6" s="1"/>
  <c r="O1201" i="6"/>
  <c r="O1202" i="6"/>
  <c r="O1203" i="6"/>
  <c r="O1205" i="6"/>
  <c r="O1207" i="6"/>
  <c r="O1208" i="6"/>
  <c r="O1209" i="6"/>
  <c r="O1210" i="6"/>
  <c r="O1211" i="6"/>
  <c r="O1213" i="6"/>
  <c r="O1214" i="6"/>
  <c r="O1215" i="6"/>
  <c r="N1217" i="6"/>
  <c r="N1218" i="6"/>
  <c r="P1218" i="6" s="1"/>
  <c r="U1218" i="6" s="1"/>
  <c r="P1219" i="6"/>
  <c r="U1219" i="6" s="1"/>
  <c r="N1220" i="6"/>
  <c r="O1220" i="6"/>
  <c r="N1221" i="6"/>
  <c r="O1221" i="6"/>
  <c r="N1223" i="6"/>
  <c r="O1223" i="6"/>
  <c r="N1224" i="6"/>
  <c r="O1224" i="6"/>
  <c r="N1225" i="6"/>
  <c r="O1225" i="6"/>
  <c r="N1226" i="6"/>
  <c r="O1226" i="6"/>
  <c r="O1227" i="6"/>
  <c r="P1227" i="6" s="1"/>
  <c r="U1227" i="6" s="1"/>
  <c r="V1227" i="6" s="1"/>
  <c r="N1228" i="6"/>
  <c r="O1228" i="6"/>
  <c r="N1229" i="6"/>
  <c r="O1229" i="6"/>
  <c r="N1230" i="6"/>
  <c r="P1230" i="6" s="1"/>
  <c r="U1230" i="6" s="1"/>
  <c r="N1231" i="6"/>
  <c r="O1231" i="6"/>
  <c r="N1232" i="6"/>
  <c r="P1232" i="6" s="1"/>
  <c r="U1232" i="6" s="1"/>
  <c r="N1233" i="6"/>
  <c r="O1233" i="6"/>
  <c r="N1234" i="6"/>
  <c r="O1234" i="6"/>
  <c r="O1235" i="6"/>
  <c r="P1235" i="6" s="1"/>
  <c r="U1235" i="6" s="1"/>
  <c r="N1236" i="6"/>
  <c r="P1236" i="6" s="1"/>
  <c r="U1236" i="6" s="1"/>
  <c r="N1238" i="6"/>
  <c r="P1238" i="6" s="1"/>
  <c r="U1238" i="6" s="1"/>
  <c r="N1306" i="6"/>
  <c r="P1306" i="6" s="1"/>
  <c r="U1306" i="6" s="1"/>
  <c r="N1307" i="6"/>
  <c r="P1307" i="6" s="1"/>
  <c r="U1307" i="6" s="1"/>
  <c r="N1308" i="6"/>
  <c r="P1308" i="6" s="1"/>
  <c r="U1308" i="6" s="1"/>
  <c r="N1309" i="6"/>
  <c r="P1309" i="6" s="1"/>
  <c r="U1309" i="6" s="1"/>
  <c r="N1310" i="6"/>
  <c r="P1310" i="6" s="1"/>
  <c r="U1310" i="6" s="1"/>
  <c r="P1311" i="6"/>
  <c r="U1311" i="6" s="1"/>
  <c r="N1312" i="6"/>
  <c r="P1312" i="6" s="1"/>
  <c r="U1312" i="6" s="1"/>
  <c r="N1313" i="6"/>
  <c r="P1313" i="6" s="1"/>
  <c r="U1313" i="6" s="1"/>
  <c r="N1314" i="6"/>
  <c r="P1314" i="6" s="1"/>
  <c r="U1314" i="6" s="1"/>
  <c r="N1315" i="6"/>
  <c r="P1315" i="6" s="1"/>
  <c r="U1315" i="6" s="1"/>
  <c r="N1316" i="6"/>
  <c r="P1316" i="6" s="1"/>
  <c r="U1316" i="6" s="1"/>
  <c r="P1317" i="6"/>
  <c r="U1317" i="6" s="1"/>
  <c r="P1318" i="6"/>
  <c r="U1318" i="6" s="1"/>
  <c r="O1320" i="6"/>
  <c r="P1320" i="6" s="1"/>
  <c r="U1320" i="6" s="1"/>
  <c r="N1321" i="6"/>
  <c r="O1321" i="6"/>
  <c r="N1322" i="6"/>
  <c r="O1322" i="6"/>
  <c r="N1323" i="6"/>
  <c r="O1323" i="6"/>
  <c r="N1324" i="6"/>
  <c r="O1324" i="6"/>
  <c r="N1325" i="6"/>
  <c r="O1325" i="6"/>
  <c r="N1326" i="6"/>
  <c r="O1326" i="6"/>
  <c r="N1327" i="6"/>
  <c r="O1327" i="6"/>
  <c r="N1328" i="6"/>
  <c r="P1328" i="6" s="1"/>
  <c r="U1328" i="6" s="1"/>
  <c r="N1329" i="6"/>
  <c r="O1329" i="6"/>
  <c r="O1330" i="6"/>
  <c r="P1330" i="6" s="1"/>
  <c r="U1330" i="6" s="1"/>
  <c r="N1331" i="6"/>
  <c r="O1331" i="6"/>
  <c r="N1332" i="6"/>
  <c r="O1332" i="6"/>
  <c r="N1333" i="6"/>
  <c r="O1333" i="6"/>
  <c r="N1334" i="6"/>
  <c r="O1334" i="6"/>
  <c r="N1335" i="6"/>
  <c r="O1335" i="6"/>
  <c r="N1336" i="6"/>
  <c r="P1336" i="6" s="1"/>
  <c r="U1336" i="6" s="1"/>
  <c r="P1337" i="6"/>
  <c r="U1337" i="6" s="1"/>
  <c r="N1338" i="6"/>
  <c r="O1338" i="6"/>
  <c r="P1339" i="6"/>
  <c r="U1339" i="6" s="1"/>
  <c r="N1340" i="6"/>
  <c r="P1340" i="6" s="1"/>
  <c r="U1340" i="6" s="1"/>
  <c r="N1341" i="6"/>
  <c r="O1341" i="6"/>
  <c r="N1342" i="6"/>
  <c r="P1342" i="6" s="1"/>
  <c r="U1342" i="6" s="1"/>
  <c r="O1343" i="6"/>
  <c r="P1343" i="6" s="1"/>
  <c r="U1343" i="6" s="1"/>
  <c r="P1344" i="6"/>
  <c r="U1344" i="6" s="1"/>
  <c r="O1345" i="6"/>
  <c r="P1345" i="6" s="1"/>
  <c r="U1345" i="6" s="1"/>
  <c r="N1346" i="6"/>
  <c r="P1346" i="6" s="1"/>
  <c r="U1346" i="6" s="1"/>
  <c r="O1347" i="6"/>
  <c r="O1349" i="6"/>
  <c r="O1351" i="6"/>
  <c r="O1352" i="6"/>
  <c r="O1353" i="6"/>
  <c r="O1356" i="6"/>
  <c r="O1357" i="6"/>
  <c r="O1358" i="6"/>
  <c r="O1359" i="6"/>
  <c r="P1403" i="6"/>
  <c r="U1403" i="6" s="1"/>
  <c r="N1404" i="6"/>
  <c r="O1404" i="6"/>
  <c r="N1405" i="6"/>
  <c r="O1405" i="6"/>
  <c r="N1406" i="6"/>
  <c r="P1406" i="6" s="1"/>
  <c r="U1406" i="6" s="1"/>
  <c r="N1407" i="6"/>
  <c r="P1407" i="6" s="1"/>
  <c r="U1407" i="6" s="1"/>
  <c r="N1408" i="6"/>
  <c r="P1408" i="6" s="1"/>
  <c r="U1408" i="6" s="1"/>
  <c r="N1409" i="6"/>
  <c r="P1409" i="6" s="1"/>
  <c r="U1409" i="6" s="1"/>
  <c r="P1410" i="6"/>
  <c r="U1410" i="6" s="1"/>
  <c r="O1411" i="6"/>
  <c r="P1411" i="6" s="1"/>
  <c r="U1411" i="6" s="1"/>
  <c r="N1412" i="6"/>
  <c r="P1412" i="6" s="1"/>
  <c r="U1412" i="6" s="1"/>
  <c r="O1413" i="6"/>
  <c r="P1413" i="6" s="1"/>
  <c r="U1413" i="6" s="1"/>
  <c r="N1414" i="6"/>
  <c r="P1414" i="6" s="1"/>
  <c r="U1414" i="6" s="1"/>
  <c r="N1415" i="6"/>
  <c r="O1415" i="6"/>
  <c r="N1416" i="6"/>
  <c r="O1416" i="6"/>
  <c r="P1417" i="6"/>
  <c r="U1417" i="6" s="1"/>
  <c r="N1418" i="6"/>
  <c r="O1418" i="6"/>
  <c r="P1419" i="6"/>
  <c r="U1419" i="6" s="1"/>
  <c r="N1420" i="6"/>
  <c r="O1420" i="6"/>
  <c r="N1421" i="6"/>
  <c r="P1421" i="6" s="1"/>
  <c r="U1421" i="6" s="1"/>
  <c r="N1422" i="6"/>
  <c r="P1422" i="6" s="1"/>
  <c r="U1422" i="6" s="1"/>
  <c r="N1423" i="6"/>
  <c r="O1423" i="6"/>
  <c r="O1424" i="6"/>
  <c r="P1424" i="6" s="1"/>
  <c r="U1424" i="6" s="1"/>
  <c r="N1425" i="6"/>
  <c r="O1425" i="6"/>
  <c r="N1426" i="6"/>
  <c r="P1426" i="6" s="1"/>
  <c r="U1426" i="6" s="1"/>
  <c r="O1428" i="6"/>
  <c r="O1429" i="6"/>
  <c r="O1432" i="6"/>
  <c r="O1433" i="6"/>
  <c r="O1434" i="6"/>
  <c r="O1436" i="6"/>
  <c r="O1437" i="6"/>
  <c r="O1438" i="6"/>
  <c r="O1440" i="6"/>
  <c r="O1441" i="6"/>
  <c r="N1442" i="6"/>
  <c r="O1442" i="6"/>
  <c r="N1443" i="6"/>
  <c r="O1443" i="6"/>
  <c r="N1444" i="6"/>
  <c r="O1444" i="6"/>
  <c r="N1445" i="6"/>
  <c r="O1445" i="6"/>
  <c r="N1446" i="6"/>
  <c r="O1446" i="6"/>
  <c r="N1447" i="6"/>
  <c r="O1447" i="6"/>
  <c r="N1448" i="6"/>
  <c r="O1448" i="6"/>
  <c r="N1449" i="6"/>
  <c r="O1449" i="6"/>
  <c r="N1450" i="6"/>
  <c r="O1450" i="6"/>
  <c r="N1451" i="6"/>
  <c r="O1451" i="6"/>
  <c r="N1452" i="6"/>
  <c r="O1452" i="6"/>
  <c r="N1453" i="6"/>
  <c r="O1453" i="6"/>
  <c r="N1454" i="6"/>
  <c r="O1454" i="6"/>
  <c r="N1455" i="6"/>
  <c r="O1455" i="6"/>
  <c r="N1456" i="6"/>
  <c r="O1456" i="6"/>
  <c r="N1457" i="6"/>
  <c r="O1457" i="6"/>
  <c r="N1458" i="6"/>
  <c r="O1458" i="6"/>
  <c r="N1459" i="6"/>
  <c r="O1459" i="6"/>
  <c r="N1460" i="6"/>
  <c r="O1460" i="6"/>
  <c r="N1461" i="6"/>
  <c r="O1461" i="6"/>
  <c r="N1462" i="6"/>
  <c r="O1462" i="6"/>
  <c r="N1463" i="6"/>
  <c r="O1463" i="6"/>
  <c r="N1464" i="6"/>
  <c r="O1464" i="6"/>
  <c r="N1465" i="6"/>
  <c r="O1465" i="6"/>
  <c r="N1466" i="6"/>
  <c r="O1466" i="6"/>
  <c r="N1467" i="6"/>
  <c r="O1467" i="6"/>
  <c r="P1468" i="6"/>
  <c r="U1468" i="6" s="1"/>
  <c r="V1468" i="6" s="1"/>
  <c r="N1469" i="6"/>
  <c r="O1469" i="6"/>
  <c r="N1470" i="6"/>
  <c r="O1470" i="6"/>
  <c r="N1471" i="6"/>
  <c r="O1471" i="6"/>
  <c r="N1472" i="6"/>
  <c r="O1472" i="6"/>
  <c r="N1473" i="6"/>
  <c r="O1473" i="6"/>
  <c r="N1474" i="6"/>
  <c r="O1474" i="6"/>
  <c r="N1475" i="6"/>
  <c r="O1475" i="6"/>
  <c r="N1476" i="6"/>
  <c r="O1476" i="6"/>
  <c r="N1477" i="6"/>
  <c r="O1477" i="6"/>
  <c r="N1478" i="6"/>
  <c r="O1478" i="6"/>
  <c r="N1479" i="6"/>
  <c r="O1479" i="6"/>
  <c r="N1480" i="6"/>
  <c r="O1480" i="6"/>
  <c r="O1481" i="6"/>
  <c r="O1482" i="6"/>
  <c r="O1483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N1499" i="6"/>
  <c r="P1499" i="6" s="1"/>
  <c r="U1499" i="6" s="1"/>
  <c r="P1500" i="6"/>
  <c r="U1500" i="6" s="1"/>
  <c r="N1501" i="6"/>
  <c r="O1501" i="6"/>
  <c r="N1502" i="6"/>
  <c r="O1502" i="6"/>
  <c r="N1503" i="6"/>
  <c r="N1505" i="6"/>
  <c r="O1505" i="6"/>
  <c r="N1506" i="6"/>
  <c r="O1506" i="6"/>
  <c r="N1507" i="6"/>
  <c r="P1507" i="6" s="1"/>
  <c r="U1507" i="6" s="1"/>
  <c r="N1508" i="6"/>
  <c r="O1508" i="6"/>
  <c r="P1509" i="6"/>
  <c r="U1509" i="6" s="1"/>
  <c r="P1510" i="6"/>
  <c r="U1510" i="6" s="1"/>
  <c r="N1511" i="6"/>
  <c r="O1511" i="6"/>
  <c r="N1512" i="6"/>
  <c r="O1512" i="6"/>
  <c r="N1513" i="6"/>
  <c r="O1513" i="6"/>
  <c r="N1514" i="6"/>
  <c r="O1514" i="6"/>
  <c r="N1515" i="6"/>
  <c r="O1515" i="6"/>
  <c r="N1516" i="6"/>
  <c r="O1516" i="6"/>
  <c r="N1517" i="6"/>
  <c r="O1517" i="6"/>
  <c r="N1518" i="6"/>
  <c r="O1518" i="6"/>
  <c r="N1519" i="6"/>
  <c r="O1519" i="6"/>
  <c r="N1520" i="6"/>
  <c r="O1520" i="6"/>
  <c r="N1521" i="6"/>
  <c r="O1521" i="6"/>
  <c r="N1522" i="6"/>
  <c r="O1522" i="6"/>
  <c r="N1523" i="6"/>
  <c r="O1523" i="6"/>
  <c r="N1524" i="6"/>
  <c r="O1524" i="6"/>
  <c r="N1525" i="6"/>
  <c r="O1525" i="6"/>
  <c r="N1526" i="6"/>
  <c r="O1526" i="6"/>
  <c r="N1527" i="6"/>
  <c r="O1527" i="6"/>
  <c r="N1528" i="6"/>
  <c r="O1528" i="6"/>
  <c r="N1529" i="6"/>
  <c r="P1529" i="6" s="1"/>
  <c r="U1529" i="6" s="1"/>
  <c r="P1530" i="6"/>
  <c r="U1530" i="6" s="1"/>
  <c r="N1531" i="6"/>
  <c r="P1531" i="6" s="1"/>
  <c r="U1531" i="6" s="1"/>
  <c r="N1532" i="6"/>
  <c r="P1532" i="6" s="1"/>
  <c r="U1532" i="6" s="1"/>
  <c r="N1533" i="6"/>
  <c r="P1533" i="6" s="1"/>
  <c r="U1533" i="6" s="1"/>
  <c r="N1534" i="6"/>
  <c r="P1534" i="6" s="1"/>
  <c r="U1534" i="6" s="1"/>
  <c r="N1535" i="6"/>
  <c r="P1535" i="6" s="1"/>
  <c r="U1535" i="6" s="1"/>
  <c r="N1536" i="6"/>
  <c r="N1537" i="6"/>
  <c r="P1537" i="6" s="1"/>
  <c r="U1537" i="6" s="1"/>
  <c r="N1538" i="6"/>
  <c r="P1538" i="6" s="1"/>
  <c r="U1538" i="6" s="1"/>
  <c r="N1539" i="6"/>
  <c r="P1539" i="6" s="1"/>
  <c r="U1539" i="6" s="1"/>
  <c r="N1540" i="6"/>
  <c r="P1540" i="6" s="1"/>
  <c r="U1540" i="6" s="1"/>
  <c r="N1541" i="6"/>
  <c r="P1541" i="6" s="1"/>
  <c r="U1541" i="6" s="1"/>
  <c r="N1542" i="6"/>
  <c r="N1543" i="6"/>
  <c r="P1543" i="6" s="1"/>
  <c r="U1543" i="6" s="1"/>
  <c r="N1544" i="6"/>
  <c r="P1544" i="6" s="1"/>
  <c r="U1544" i="6" s="1"/>
  <c r="N1545" i="6"/>
  <c r="P1545" i="6" s="1"/>
  <c r="U1545" i="6" s="1"/>
  <c r="N1546" i="6"/>
  <c r="P1546" i="6" s="1"/>
  <c r="U1546" i="6" s="1"/>
  <c r="P1584" i="6"/>
  <c r="U1584" i="6" s="1"/>
  <c r="N1585" i="6"/>
  <c r="O1585" i="6"/>
  <c r="N1586" i="6"/>
  <c r="O1586" i="6"/>
  <c r="N1587" i="6"/>
  <c r="O1587" i="6"/>
  <c r="P1588" i="6"/>
  <c r="U1588" i="6" s="1"/>
  <c r="P1589" i="6"/>
  <c r="U1589" i="6" s="1"/>
  <c r="N1590" i="6"/>
  <c r="O1590" i="6"/>
  <c r="P1591" i="6"/>
  <c r="U1591" i="6" s="1"/>
  <c r="N1592" i="6"/>
  <c r="O1592" i="6"/>
  <c r="N1593" i="6"/>
  <c r="P1593" i="6" s="1"/>
  <c r="U1593" i="6" s="1"/>
  <c r="P1594" i="6"/>
  <c r="U1594" i="6" s="1"/>
  <c r="N1595" i="6"/>
  <c r="P1595" i="6" s="1"/>
  <c r="U1595" i="6" s="1"/>
  <c r="N1596" i="6"/>
  <c r="P1596" i="6" s="1"/>
  <c r="U1596" i="6" s="1"/>
  <c r="N1597" i="6"/>
  <c r="P1597" i="6" s="1"/>
  <c r="U1597" i="6" s="1"/>
  <c r="O1598" i="6"/>
  <c r="P1598" i="6" s="1"/>
  <c r="U1598" i="6" s="1"/>
  <c r="N1600" i="6"/>
  <c r="O1600" i="6"/>
  <c r="N1607" i="6"/>
  <c r="O1626" i="6"/>
  <c r="P1626" i="6" s="1"/>
  <c r="U1626" i="6" s="1"/>
  <c r="N1627" i="6"/>
  <c r="O1627" i="6"/>
  <c r="N1628" i="6"/>
  <c r="O1628" i="6"/>
  <c r="N1629" i="6"/>
  <c r="N1630" i="6"/>
  <c r="O1630" i="6"/>
  <c r="N1631" i="6"/>
  <c r="O1631" i="6"/>
  <c r="N1632" i="6"/>
  <c r="O1632" i="6"/>
  <c r="N1633" i="6"/>
  <c r="N1634" i="6"/>
  <c r="O1634" i="6"/>
  <c r="N1635" i="6"/>
  <c r="O1635" i="6"/>
  <c r="N1636" i="6"/>
  <c r="P1636" i="6" s="1"/>
  <c r="U1636" i="6" s="1"/>
  <c r="N1637" i="6"/>
  <c r="O1637" i="6"/>
  <c r="N1638" i="6"/>
  <c r="O1638" i="6"/>
  <c r="N1639" i="6"/>
  <c r="P1639" i="6" s="1"/>
  <c r="U1639" i="6" s="1"/>
  <c r="N1640" i="6"/>
  <c r="P1640" i="6" s="1"/>
  <c r="U1640" i="6" s="1"/>
  <c r="N1641" i="6"/>
  <c r="P1641" i="6" s="1"/>
  <c r="U1641" i="6" s="1"/>
  <c r="P1642" i="6"/>
  <c r="U1642" i="6" s="1"/>
  <c r="N1643" i="6"/>
  <c r="P1643" i="6" s="1"/>
  <c r="U1643" i="6" s="1"/>
  <c r="N1644" i="6"/>
  <c r="P1644" i="6" s="1"/>
  <c r="U1644" i="6" s="1"/>
  <c r="N1645" i="6"/>
  <c r="P1645" i="6" s="1"/>
  <c r="U1645" i="6" s="1"/>
  <c r="N1646" i="6"/>
  <c r="P1646" i="6" s="1"/>
  <c r="U1646" i="6" s="1"/>
  <c r="N1647" i="6"/>
  <c r="P1647" i="6" s="1"/>
  <c r="U1647" i="6" s="1"/>
  <c r="P1648" i="6"/>
  <c r="U1648" i="6" s="1"/>
  <c r="N1649" i="6"/>
  <c r="O1649" i="6"/>
  <c r="O1650" i="6"/>
  <c r="P1650" i="6" s="1"/>
  <c r="U1650" i="6" s="1"/>
  <c r="P1651" i="6"/>
  <c r="U1651" i="6" s="1"/>
  <c r="N1652" i="6"/>
  <c r="O1652" i="6"/>
  <c r="P1653" i="6"/>
  <c r="U1653" i="6" s="1"/>
  <c r="N1654" i="6"/>
  <c r="P1654" i="6" s="1"/>
  <c r="U1654" i="6" s="1"/>
  <c r="V1654" i="6" s="1"/>
  <c r="N1655" i="6"/>
  <c r="P1655" i="6" s="1"/>
  <c r="U1655" i="6" s="1"/>
  <c r="P1656" i="6"/>
  <c r="U1656" i="6" s="1"/>
  <c r="N1657" i="6"/>
  <c r="O1657" i="6"/>
  <c r="N1658" i="6"/>
  <c r="O1658" i="6"/>
  <c r="N1659" i="6"/>
  <c r="O1659" i="6"/>
  <c r="N1660" i="6"/>
  <c r="P1660" i="6" s="1"/>
  <c r="U1660" i="6" s="1"/>
  <c r="N1661" i="6"/>
  <c r="O1661" i="6"/>
  <c r="N1662" i="6"/>
  <c r="P1662" i="6" s="1"/>
  <c r="U1662" i="6" s="1"/>
  <c r="N1663" i="6"/>
  <c r="P1663" i="6" s="1"/>
  <c r="U1663" i="6" s="1"/>
  <c r="N1664" i="6"/>
  <c r="O1664" i="6"/>
  <c r="N1665" i="6"/>
  <c r="O1665" i="6"/>
  <c r="N1666" i="6"/>
  <c r="O1666" i="6"/>
  <c r="N1667" i="6"/>
  <c r="P1667" i="6" s="1"/>
  <c r="U1667" i="6" s="1"/>
  <c r="N1668" i="6"/>
  <c r="O1668" i="6"/>
  <c r="O1669" i="6"/>
  <c r="O1671" i="6"/>
  <c r="O1672" i="6"/>
  <c r="O1674" i="6"/>
  <c r="O1675" i="6"/>
  <c r="O1676" i="6"/>
  <c r="O1677" i="6"/>
  <c r="O1680" i="6"/>
  <c r="O1681" i="6"/>
  <c r="O1682" i="6"/>
  <c r="N1683" i="6"/>
  <c r="O1683" i="6"/>
  <c r="N1684" i="6"/>
  <c r="N1685" i="6"/>
  <c r="O1685" i="6"/>
  <c r="N1686" i="6"/>
  <c r="N1687" i="6"/>
  <c r="N1688" i="6"/>
  <c r="O1688" i="6"/>
  <c r="N1689" i="6"/>
  <c r="O1689" i="6"/>
  <c r="N1690" i="6"/>
  <c r="N1691" i="6"/>
  <c r="O1691" i="6"/>
  <c r="P1692" i="6"/>
  <c r="U1692" i="6" s="1"/>
  <c r="N1693" i="6"/>
  <c r="N1694" i="6"/>
  <c r="O1694" i="6"/>
  <c r="N1695" i="6"/>
  <c r="O1695" i="6"/>
  <c r="N1696" i="6"/>
  <c r="N1697" i="6"/>
  <c r="O1697" i="6"/>
  <c r="N1698" i="6"/>
  <c r="O1699" i="6"/>
  <c r="P1699" i="6" s="1"/>
  <c r="U1699" i="6" s="1"/>
  <c r="N1700" i="6"/>
  <c r="O1700" i="6"/>
  <c r="N1701" i="6"/>
  <c r="O1701" i="6"/>
  <c r="N1702" i="6"/>
  <c r="O1702" i="6"/>
  <c r="N1703" i="6"/>
  <c r="O1703" i="6"/>
  <c r="N1704" i="6"/>
  <c r="P1704" i="6" s="1"/>
  <c r="U1704" i="6" s="1"/>
  <c r="N1705" i="6"/>
  <c r="O1705" i="6"/>
  <c r="N1706" i="6"/>
  <c r="O1706" i="6"/>
  <c r="N1707" i="6"/>
  <c r="O1707" i="6"/>
  <c r="N1708" i="6"/>
  <c r="O1708" i="6"/>
  <c r="N1709" i="6"/>
  <c r="O1709" i="6"/>
  <c r="N1710" i="6"/>
  <c r="O1710" i="6"/>
  <c r="N1711" i="6"/>
  <c r="O1711" i="6"/>
  <c r="N1712" i="6"/>
  <c r="O1712" i="6"/>
  <c r="N1713" i="6"/>
  <c r="O1713" i="6"/>
  <c r="O1714" i="6"/>
  <c r="P1714" i="6" s="1"/>
  <c r="U1714" i="6" s="1"/>
  <c r="N1715" i="6"/>
  <c r="O1715" i="6"/>
  <c r="P1716" i="6"/>
  <c r="U1716" i="6" s="1"/>
  <c r="P1717" i="6"/>
  <c r="U1717" i="6" s="1"/>
  <c r="N1718" i="6"/>
  <c r="P1718" i="6" s="1"/>
  <c r="U1718" i="6" s="1"/>
  <c r="N1719" i="6"/>
  <c r="P1719" i="6" s="1"/>
  <c r="U1719" i="6" s="1"/>
  <c r="P1720" i="6"/>
  <c r="U1720" i="6" s="1"/>
  <c r="N1721" i="6"/>
  <c r="P1721" i="6" s="1"/>
  <c r="U1721" i="6" s="1"/>
  <c r="N1722" i="6"/>
  <c r="O1722" i="6"/>
  <c r="N1723" i="6"/>
  <c r="O1723" i="6"/>
  <c r="P1724" i="6"/>
  <c r="U1724" i="6" s="1"/>
  <c r="N1725" i="6"/>
  <c r="O1725" i="6"/>
  <c r="N1726" i="6"/>
  <c r="O1726" i="6"/>
  <c r="N1727" i="6"/>
  <c r="O1727" i="6"/>
  <c r="N1728" i="6"/>
  <c r="O1728" i="6"/>
  <c r="N1729" i="6"/>
  <c r="O1729" i="6"/>
  <c r="N1730" i="6"/>
  <c r="O1730" i="6"/>
  <c r="O1731" i="6"/>
  <c r="P1731" i="6" s="1"/>
  <c r="U1731" i="6" s="1"/>
  <c r="N1732" i="6"/>
  <c r="O1732" i="6"/>
  <c r="N1733" i="6"/>
  <c r="P1733" i="6" s="1"/>
  <c r="U1733" i="6" s="1"/>
  <c r="N1734" i="6"/>
  <c r="O1734" i="6"/>
  <c r="N1735" i="6"/>
  <c r="P1735" i="6" s="1"/>
  <c r="U1735" i="6" s="1"/>
  <c r="N1736" i="6"/>
  <c r="P1736" i="6" s="1"/>
  <c r="U1736" i="6" s="1"/>
  <c r="N1737" i="6"/>
  <c r="O1737" i="6"/>
  <c r="N1738" i="6"/>
  <c r="O1738" i="6"/>
  <c r="N1739" i="6"/>
  <c r="P1739" i="6" s="1"/>
  <c r="U1739" i="6" s="1"/>
  <c r="N1740" i="6"/>
  <c r="O1740" i="6"/>
  <c r="N1741" i="6"/>
  <c r="P1741" i="6" s="1"/>
  <c r="U1741" i="6" s="1"/>
  <c r="N1742" i="6"/>
  <c r="P1742" i="6" s="1"/>
  <c r="U1742" i="6" s="1"/>
  <c r="N1779" i="6"/>
  <c r="O1779" i="6"/>
  <c r="N1780" i="6"/>
  <c r="O1780" i="6"/>
  <c r="P1781" i="6"/>
  <c r="U1781" i="6" s="1"/>
  <c r="N1782" i="6"/>
  <c r="O1782" i="6"/>
  <c r="N1783" i="6"/>
  <c r="O1783" i="6"/>
  <c r="N1784" i="6"/>
  <c r="O1784" i="6"/>
  <c r="N1785" i="6"/>
  <c r="N1786" i="6"/>
  <c r="P1803" i="6"/>
  <c r="U1803" i="6" s="1"/>
  <c r="P1804" i="6"/>
  <c r="U1804" i="6" s="1"/>
  <c r="N1806" i="6"/>
  <c r="P1807" i="6"/>
  <c r="U1807" i="6" s="1"/>
  <c r="N1808" i="6"/>
  <c r="O1808" i="6"/>
  <c r="N1809" i="6"/>
  <c r="P1809" i="6" s="1"/>
  <c r="U1809" i="6" s="1"/>
  <c r="O1810" i="6"/>
  <c r="P1810" i="6" s="1"/>
  <c r="U1810" i="6" s="1"/>
  <c r="N1811" i="6"/>
  <c r="O1811" i="6"/>
  <c r="P1812" i="6"/>
  <c r="U1812" i="6" s="1"/>
  <c r="V1812" i="6" s="1"/>
  <c r="N1813" i="6"/>
  <c r="O1813" i="6"/>
  <c r="P1814" i="6"/>
  <c r="U1814" i="6" s="1"/>
  <c r="P1815" i="6"/>
  <c r="U1815" i="6" s="1"/>
  <c r="N1816" i="6"/>
  <c r="P1816" i="6" s="1"/>
  <c r="U1816" i="6" s="1"/>
  <c r="N1817" i="6"/>
  <c r="P1817" i="6" s="1"/>
  <c r="U1817" i="6" s="1"/>
  <c r="P1818" i="6"/>
  <c r="U1818" i="6" s="1"/>
  <c r="P1819" i="6"/>
  <c r="U1819" i="6" s="1"/>
  <c r="N1820" i="6"/>
  <c r="P1820" i="6" s="1"/>
  <c r="U1820" i="6" s="1"/>
  <c r="N1821" i="6"/>
  <c r="O1821" i="6"/>
  <c r="N1822" i="6"/>
  <c r="O1822" i="6"/>
  <c r="N1823" i="6"/>
  <c r="O1823" i="6"/>
  <c r="N1824" i="6"/>
  <c r="O1824" i="6"/>
  <c r="N1825" i="6"/>
  <c r="O1825" i="6"/>
  <c r="O1826" i="6"/>
  <c r="O1827" i="6"/>
  <c r="O1828" i="6"/>
  <c r="O1831" i="6"/>
  <c r="O1832" i="6"/>
  <c r="O1833" i="6"/>
  <c r="O1835" i="6"/>
  <c r="O1837" i="6"/>
  <c r="O1838" i="6"/>
  <c r="O1839" i="6"/>
  <c r="O1841" i="6"/>
  <c r="O1843" i="6"/>
  <c r="O1845" i="6"/>
  <c r="O1846" i="6"/>
  <c r="O1849" i="6"/>
  <c r="O1850" i="6"/>
  <c r="O1851" i="6"/>
  <c r="O1854" i="6"/>
  <c r="N1855" i="6"/>
  <c r="O1855" i="6"/>
  <c r="N1856" i="6"/>
  <c r="O1856" i="6"/>
  <c r="O1857" i="6"/>
  <c r="P1857" i="6" s="1"/>
  <c r="U1857" i="6" s="1"/>
  <c r="N1858" i="6"/>
  <c r="O1858" i="6"/>
  <c r="N1859" i="6"/>
  <c r="O1859" i="6"/>
  <c r="N1860" i="6"/>
  <c r="O1860" i="6"/>
  <c r="N1861" i="6"/>
  <c r="O1861" i="6"/>
  <c r="N1862" i="6"/>
  <c r="O1862" i="6"/>
  <c r="N1863" i="6"/>
  <c r="P1863" i="6" s="1"/>
  <c r="U1863" i="6" s="1"/>
  <c r="V1863" i="6" s="1"/>
  <c r="N1864" i="6"/>
  <c r="P1864" i="6" s="1"/>
  <c r="P1865" i="6"/>
  <c r="U1865" i="6" s="1"/>
  <c r="N1866" i="6"/>
  <c r="P1866" i="6" s="1"/>
  <c r="U1866" i="6" s="1"/>
  <c r="P1867" i="6"/>
  <c r="U1867" i="6" s="1"/>
  <c r="N1868" i="6"/>
  <c r="N1869" i="6"/>
  <c r="N1870" i="6"/>
  <c r="N1871" i="6"/>
  <c r="N1872" i="6"/>
  <c r="P1872" i="6" s="1"/>
  <c r="U1872" i="6" s="1"/>
  <c r="N1873" i="6"/>
  <c r="O1873" i="6"/>
  <c r="N1875" i="6"/>
  <c r="O1875" i="6"/>
  <c r="O1876" i="6"/>
  <c r="P1876" i="6" s="1"/>
  <c r="U1876" i="6" s="1"/>
  <c r="N1877" i="6"/>
  <c r="P1877" i="6" s="1"/>
  <c r="U1877" i="6" s="1"/>
  <c r="P1878" i="6"/>
  <c r="U1878" i="6" s="1"/>
  <c r="N1879" i="6"/>
  <c r="P1879" i="6" s="1"/>
  <c r="U1879" i="6" s="1"/>
  <c r="N1880" i="6"/>
  <c r="P1880" i="6" s="1"/>
  <c r="U1880" i="6" s="1"/>
  <c r="N1881" i="6"/>
  <c r="P1881" i="6" s="1"/>
  <c r="U1881" i="6" s="1"/>
  <c r="N1882" i="6"/>
  <c r="O1882" i="6"/>
  <c r="N1883" i="6"/>
  <c r="O1883" i="6"/>
  <c r="P1884" i="6"/>
  <c r="U1884" i="6" s="1"/>
  <c r="O1885" i="6"/>
  <c r="P1885" i="6" s="1"/>
  <c r="U1885" i="6" s="1"/>
  <c r="N1886" i="6"/>
  <c r="O1886" i="6"/>
  <c r="N1887" i="6"/>
  <c r="P1887" i="6" s="1"/>
  <c r="U1887" i="6" s="1"/>
  <c r="N1888" i="6"/>
  <c r="O1888" i="6"/>
  <c r="O1889" i="6"/>
  <c r="P1889" i="6" s="1"/>
  <c r="U1889" i="6" s="1"/>
  <c r="N1890" i="6"/>
  <c r="P1890" i="6" s="1"/>
  <c r="U1890" i="6" s="1"/>
  <c r="P1891" i="6"/>
  <c r="U1891" i="6" s="1"/>
  <c r="N1892" i="6"/>
  <c r="P1892" i="6" s="1"/>
  <c r="U1892" i="6" s="1"/>
  <c r="N1893" i="6"/>
  <c r="P1893" i="6" s="1"/>
  <c r="U1893" i="6" s="1"/>
  <c r="O1894" i="6"/>
  <c r="P1894" i="6" s="1"/>
  <c r="U1894" i="6" s="1"/>
  <c r="P1895" i="6"/>
  <c r="U1895" i="6" s="1"/>
  <c r="N1896" i="6"/>
  <c r="O1896" i="6"/>
  <c r="N1897" i="6"/>
  <c r="P1897" i="6" s="1"/>
  <c r="U1897" i="6" s="1"/>
  <c r="N1898" i="6"/>
  <c r="P1898" i="6" s="1"/>
  <c r="U1898" i="6" s="1"/>
  <c r="P1899" i="6"/>
  <c r="U1899" i="6" s="1"/>
  <c r="N1900" i="6"/>
  <c r="P1900" i="6" s="1"/>
  <c r="U1900" i="6" s="1"/>
  <c r="P1901" i="6"/>
  <c r="U1901" i="6" s="1"/>
  <c r="N1902" i="6"/>
  <c r="O1902" i="6"/>
  <c r="N1903" i="6"/>
  <c r="P1903" i="6" s="1"/>
  <c r="U1903" i="6" s="1"/>
  <c r="P1904" i="6"/>
  <c r="U1904" i="6" s="1"/>
  <c r="N1905" i="6"/>
  <c r="O1905" i="6"/>
  <c r="N1906" i="6"/>
  <c r="O1906" i="6"/>
  <c r="N1907" i="6"/>
  <c r="O1907" i="6"/>
  <c r="N1908" i="6"/>
  <c r="O1908" i="6"/>
  <c r="N1909" i="6"/>
  <c r="O1909" i="6"/>
  <c r="N1910" i="6"/>
  <c r="N1911" i="6"/>
  <c r="O1911" i="6"/>
  <c r="N1912" i="6"/>
  <c r="O1912" i="6"/>
  <c r="N1913" i="6"/>
  <c r="O1913" i="6"/>
  <c r="N1914" i="6"/>
  <c r="P1914" i="6" s="1"/>
  <c r="U1914" i="6" s="1"/>
  <c r="P1915" i="6"/>
  <c r="U1915" i="6" s="1"/>
  <c r="N1917" i="6"/>
  <c r="O1917" i="6"/>
  <c r="P1918" i="6"/>
  <c r="U1918" i="6" s="1"/>
  <c r="N1919" i="6"/>
  <c r="P1919" i="6" s="1"/>
  <c r="U1919" i="6" s="1"/>
  <c r="N1920" i="6"/>
  <c r="O1920" i="6"/>
  <c r="N1921" i="6"/>
  <c r="O1921" i="6"/>
  <c r="P1922" i="6"/>
  <c r="U1922" i="6" s="1"/>
  <c r="N1923" i="6"/>
  <c r="P1923" i="6" s="1"/>
  <c r="U1923" i="6" s="1"/>
  <c r="V1923" i="6" s="1"/>
  <c r="N1924" i="6"/>
  <c r="P1924" i="6" s="1"/>
  <c r="U1924" i="6" s="1"/>
  <c r="N1925" i="6"/>
  <c r="P1925" i="6" s="1"/>
  <c r="U1925" i="6" s="1"/>
  <c r="N1926" i="6"/>
  <c r="O1926" i="6"/>
  <c r="N1927" i="6"/>
  <c r="P1927" i="6" s="1"/>
  <c r="U1927" i="6" s="1"/>
  <c r="N1928" i="6"/>
  <c r="O1928" i="6"/>
  <c r="N1929" i="6"/>
  <c r="P1929" i="6" s="1"/>
  <c r="U1929" i="6" s="1"/>
  <c r="N1930" i="6"/>
  <c r="P1930" i="6" s="1"/>
  <c r="U1930" i="6" s="1"/>
  <c r="N1931" i="6"/>
  <c r="O1931" i="6"/>
  <c r="N1932" i="6"/>
  <c r="H277" i="14"/>
  <c r="O1932" i="6" s="1"/>
  <c r="N1933" i="6"/>
  <c r="N1934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P1947" i="6" s="1"/>
  <c r="U1947" i="6" s="1"/>
  <c r="N1948" i="6"/>
  <c r="O1948" i="6"/>
  <c r="O1949" i="6"/>
  <c r="P1949" i="6" s="1"/>
  <c r="U1949" i="6" s="1"/>
  <c r="N1950" i="6"/>
  <c r="O1950" i="6"/>
  <c r="N1951" i="6"/>
  <c r="O1951" i="6"/>
  <c r="N1952" i="6"/>
  <c r="O1952" i="6"/>
  <c r="N1953" i="6"/>
  <c r="O1953" i="6"/>
  <c r="N1954" i="6"/>
  <c r="O1954" i="6"/>
  <c r="N1955" i="6"/>
  <c r="O1955" i="6"/>
  <c r="O1956" i="6"/>
  <c r="P1956" i="6" s="1"/>
  <c r="U1956" i="6" s="1"/>
  <c r="N1957" i="6"/>
  <c r="O1957" i="6"/>
  <c r="N1958" i="6"/>
  <c r="P1958" i="6" s="1"/>
  <c r="U1958" i="6" s="1"/>
  <c r="N1959" i="6"/>
  <c r="O1959" i="6"/>
  <c r="N1960" i="6"/>
  <c r="O1960" i="6"/>
  <c r="N1961" i="6"/>
  <c r="P1961" i="6" s="1"/>
  <c r="U1961" i="6" s="1"/>
  <c r="N1962" i="6"/>
  <c r="O1962" i="6"/>
  <c r="N1963" i="6"/>
  <c r="O1963" i="6"/>
  <c r="N1964" i="6"/>
  <c r="P1964" i="6" s="1"/>
  <c r="U1964" i="6" s="1"/>
  <c r="N1965" i="6"/>
  <c r="O1965" i="6"/>
  <c r="N1966" i="6"/>
  <c r="N1967" i="6"/>
  <c r="O1967" i="6"/>
  <c r="N1968" i="6"/>
  <c r="O1968" i="6"/>
  <c r="N1969" i="6"/>
  <c r="O1969" i="6"/>
  <c r="N1970" i="6"/>
  <c r="O1970" i="6"/>
  <c r="N1971" i="6"/>
  <c r="P1971" i="6" s="1"/>
  <c r="U1971" i="6" s="1"/>
  <c r="N1972" i="6"/>
  <c r="O1972" i="6"/>
  <c r="P1973" i="6"/>
  <c r="U1973" i="6" s="1"/>
  <c r="N1974" i="6"/>
  <c r="O1974" i="6"/>
  <c r="N1975" i="6"/>
  <c r="O1975" i="6"/>
  <c r="N1976" i="6"/>
  <c r="O1976" i="6"/>
  <c r="N1977" i="6"/>
  <c r="P1977" i="6" s="1"/>
  <c r="U1977" i="6" s="1"/>
  <c r="N1978" i="6"/>
  <c r="O1978" i="6"/>
  <c r="N1979" i="6"/>
  <c r="O1979" i="6"/>
  <c r="N1980" i="6"/>
  <c r="O1980" i="6"/>
  <c r="N1981" i="6"/>
  <c r="O1981" i="6"/>
  <c r="P1982" i="6"/>
  <c r="U1982" i="6" s="1"/>
  <c r="N1983" i="6"/>
  <c r="P1983" i="6" s="1"/>
  <c r="N1984" i="6"/>
  <c r="O1984" i="6"/>
  <c r="N1985" i="6"/>
  <c r="O1985" i="6"/>
  <c r="O1986" i="6"/>
  <c r="P1986" i="6" s="1"/>
  <c r="U1986" i="6" s="1"/>
  <c r="N1987" i="6"/>
  <c r="O1987" i="6"/>
  <c r="N1988" i="6"/>
  <c r="O1988" i="6"/>
  <c r="N1989" i="6"/>
  <c r="O1989" i="6"/>
  <c r="N1990" i="6"/>
  <c r="O1990" i="6"/>
  <c r="N1991" i="6"/>
  <c r="O1991" i="6"/>
  <c r="N1992" i="6"/>
  <c r="O1992" i="6"/>
  <c r="N1993" i="6"/>
  <c r="O1993" i="6"/>
  <c r="O1994" i="6"/>
  <c r="P1994" i="6" s="1"/>
  <c r="U1994" i="6" s="1"/>
  <c r="N1995" i="6"/>
  <c r="P1995" i="6" s="1"/>
  <c r="U1995" i="6" s="1"/>
  <c r="N1996" i="6"/>
  <c r="O1996" i="6"/>
  <c r="N1997" i="6"/>
  <c r="O1997" i="6"/>
  <c r="N1998" i="6"/>
  <c r="P1998" i="6" s="1"/>
  <c r="U1998" i="6" s="1"/>
  <c r="N1999" i="6"/>
  <c r="O1999" i="6"/>
  <c r="N2000" i="6"/>
  <c r="P2000" i="6" s="1"/>
  <c r="U2000" i="6" s="1"/>
  <c r="N2001" i="6"/>
  <c r="O2001" i="6"/>
  <c r="N2002" i="6"/>
  <c r="P2002" i="6" s="1"/>
  <c r="U2002" i="6" s="1"/>
  <c r="N2003" i="6"/>
  <c r="O2003" i="6"/>
  <c r="N2004" i="6"/>
  <c r="O2004" i="6"/>
  <c r="N2005" i="6"/>
  <c r="O2005" i="6"/>
  <c r="N2006" i="6"/>
  <c r="O2006" i="6"/>
  <c r="N2007" i="6"/>
  <c r="O2007" i="6"/>
  <c r="N2008" i="6"/>
  <c r="O2008" i="6"/>
  <c r="N2009" i="6"/>
  <c r="O2009" i="6"/>
  <c r="N2010" i="6"/>
  <c r="P2010" i="6" s="1"/>
  <c r="U2010" i="6" s="1"/>
  <c r="N2011" i="6"/>
  <c r="O2011" i="6"/>
  <c r="N2012" i="6"/>
  <c r="N2013" i="6"/>
  <c r="N2014" i="6"/>
  <c r="P2014" i="6" s="1"/>
  <c r="U2014" i="6" s="1"/>
  <c r="N2015" i="6"/>
  <c r="O2015" i="6"/>
  <c r="N2016" i="6"/>
  <c r="N2017" i="6"/>
  <c r="O2017" i="6"/>
  <c r="N2018" i="6"/>
  <c r="O2018" i="6"/>
  <c r="N2019" i="6"/>
  <c r="O2019" i="6"/>
  <c r="N2020" i="6"/>
  <c r="N2021" i="6"/>
  <c r="O2021" i="6"/>
  <c r="P2022" i="6"/>
  <c r="U2022" i="6" s="1"/>
  <c r="N2023" i="6"/>
  <c r="N2024" i="6"/>
  <c r="N2025" i="6"/>
  <c r="O2025" i="6"/>
  <c r="N2026" i="6"/>
  <c r="O2026" i="6"/>
  <c r="P2027" i="6"/>
  <c r="U2027" i="6" s="1"/>
  <c r="N2028" i="6"/>
  <c r="P2028" i="6" s="1"/>
  <c r="U2028" i="6" s="1"/>
  <c r="N2029" i="6"/>
  <c r="P2029" i="6" s="1"/>
  <c r="U2029" i="6" s="1"/>
  <c r="N2030" i="6"/>
  <c r="P2030" i="6" s="1"/>
  <c r="U2030" i="6" s="1"/>
  <c r="P2031" i="6"/>
  <c r="U2031" i="6" s="1"/>
  <c r="N2032" i="6"/>
  <c r="P2032" i="6" s="1"/>
  <c r="U2032" i="6" s="1"/>
  <c r="N2033" i="6"/>
  <c r="O2033" i="6"/>
  <c r="N2034" i="6"/>
  <c r="O2034" i="6"/>
  <c r="P2035" i="6"/>
  <c r="U2035" i="6" s="1"/>
  <c r="N2036" i="6"/>
  <c r="P2036" i="6" s="1"/>
  <c r="U2036" i="6" s="1"/>
  <c r="P2037" i="6"/>
  <c r="U2037" i="6" s="1"/>
  <c r="N2038" i="6"/>
  <c r="P2038" i="6" s="1"/>
  <c r="U2038" i="6" s="1"/>
  <c r="N2040" i="6"/>
  <c r="P2040" i="6" s="1"/>
  <c r="U2040" i="6" s="1"/>
  <c r="N2041" i="6"/>
  <c r="P2041" i="6" s="1"/>
  <c r="U2041" i="6" s="1"/>
  <c r="P2042" i="6"/>
  <c r="U2042" i="6" s="1"/>
  <c r="N2043" i="6"/>
  <c r="P2043" i="6" s="1"/>
  <c r="U2043" i="6" s="1"/>
  <c r="N2044" i="6"/>
  <c r="N2045" i="6"/>
  <c r="N2046" i="6"/>
  <c r="P2046" i="6" s="1"/>
  <c r="U2046" i="6" s="1"/>
  <c r="P2047" i="6"/>
  <c r="U2047" i="6" s="1"/>
  <c r="P2048" i="6"/>
  <c r="U2048" i="6" s="1"/>
  <c r="N2049" i="6"/>
  <c r="N2050" i="6"/>
  <c r="N2051" i="6"/>
  <c r="P2051" i="6" s="1"/>
  <c r="U2051" i="6" s="1"/>
  <c r="N2052" i="6"/>
  <c r="O2052" i="6"/>
  <c r="N2053" i="6"/>
  <c r="P2053" i="6" s="1"/>
  <c r="U2053" i="6" s="1"/>
  <c r="N2054" i="6"/>
  <c r="P2054" i="6" s="1"/>
  <c r="U2054" i="6" s="1"/>
  <c r="N2055" i="6"/>
  <c r="P2055" i="6" s="1"/>
  <c r="U2055" i="6" s="1"/>
  <c r="N2056" i="6"/>
  <c r="P2056" i="6" s="1"/>
  <c r="U2056" i="6" s="1"/>
  <c r="N2057" i="6"/>
  <c r="N2058" i="6"/>
  <c r="O2058" i="6"/>
  <c r="N2059" i="6"/>
  <c r="H293" i="14"/>
  <c r="O2062" i="6" s="1"/>
  <c r="N2060" i="6"/>
  <c r="N2061" i="6"/>
  <c r="N2062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P2075" i="6" s="1"/>
  <c r="U2075" i="6" s="1"/>
  <c r="N2076" i="6"/>
  <c r="O2076" i="6"/>
  <c r="O2077" i="6"/>
  <c r="P2077" i="6" s="1"/>
  <c r="U2077" i="6" s="1"/>
  <c r="N2078" i="6"/>
  <c r="P2078" i="6" s="1"/>
  <c r="U2078" i="6" s="1"/>
  <c r="O2079" i="6"/>
  <c r="P2079" i="6" s="1"/>
  <c r="U2079" i="6" s="1"/>
  <c r="N2080" i="6"/>
  <c r="P2080" i="6" s="1"/>
  <c r="U2080" i="6" s="1"/>
  <c r="N2081" i="6"/>
  <c r="O2081" i="6"/>
  <c r="O2082" i="6"/>
  <c r="P2082" i="6" s="1"/>
  <c r="U2082" i="6" s="1"/>
  <c r="P2083" i="6"/>
  <c r="U2083" i="6" s="1"/>
  <c r="N2084" i="6"/>
  <c r="P2084" i="6" s="1"/>
  <c r="U2084" i="6" s="1"/>
  <c r="P2085" i="6"/>
  <c r="U2085" i="6" s="1"/>
  <c r="N2086" i="6"/>
  <c r="O2086" i="6"/>
  <c r="N2087" i="6"/>
  <c r="P2087" i="6" s="1"/>
  <c r="U2087" i="6" s="1"/>
  <c r="P2088" i="6"/>
  <c r="U2088" i="6" s="1"/>
  <c r="P2089" i="6"/>
  <c r="U2089" i="6" s="1"/>
  <c r="N2090" i="6"/>
  <c r="O2090" i="6"/>
  <c r="N2091" i="6"/>
  <c r="N2093" i="6"/>
  <c r="O2093" i="6"/>
  <c r="N2094" i="6"/>
  <c r="O2094" i="6"/>
  <c r="N2095" i="6"/>
  <c r="O2095" i="6"/>
  <c r="N2096" i="6"/>
  <c r="O2096" i="6"/>
  <c r="N2097" i="6"/>
  <c r="O2097" i="6"/>
  <c r="N2098" i="6"/>
  <c r="O2098" i="6"/>
  <c r="N2099" i="6"/>
  <c r="O2099" i="6"/>
  <c r="N2100" i="6"/>
  <c r="O2100" i="6"/>
  <c r="N2101" i="6"/>
  <c r="O2101" i="6"/>
  <c r="N2102" i="6"/>
  <c r="O2102" i="6"/>
  <c r="N2103" i="6"/>
  <c r="O2103" i="6"/>
  <c r="N2104" i="6"/>
  <c r="O2104" i="6"/>
  <c r="N2105" i="6"/>
  <c r="P2105" i="6" s="1"/>
  <c r="U2105" i="6" s="1"/>
  <c r="N2106" i="6"/>
  <c r="O2106" i="6"/>
  <c r="N2107" i="6"/>
  <c r="O2107" i="6"/>
  <c r="N2108" i="6"/>
  <c r="O2108" i="6"/>
  <c r="N2109" i="6"/>
  <c r="O2109" i="6"/>
  <c r="N2110" i="6"/>
  <c r="O2110" i="6"/>
  <c r="N2111" i="6"/>
  <c r="O2111" i="6"/>
  <c r="N2112" i="6"/>
  <c r="N2113" i="6"/>
  <c r="O2113" i="6"/>
  <c r="N2114" i="6"/>
  <c r="O2114" i="6"/>
  <c r="N2115" i="6"/>
  <c r="N2116" i="6"/>
  <c r="O2116" i="6"/>
  <c r="N2117" i="6"/>
  <c r="O2117" i="6"/>
  <c r="N2118" i="6"/>
  <c r="P2118" i="6" s="1"/>
  <c r="U2118" i="6" s="1"/>
  <c r="N2119" i="6"/>
  <c r="O2119" i="6"/>
  <c r="N2120" i="6"/>
  <c r="P2120" i="6" s="1"/>
  <c r="U2120" i="6" s="1"/>
  <c r="V2120" i="6" s="1"/>
  <c r="O2121" i="6"/>
  <c r="P2121" i="6" s="1"/>
  <c r="U2121" i="6" s="1"/>
  <c r="N2122" i="6"/>
  <c r="O2122" i="6"/>
  <c r="N2123" i="6"/>
  <c r="O2123" i="6"/>
  <c r="N2124" i="6"/>
  <c r="O2124" i="6"/>
  <c r="N2125" i="6"/>
  <c r="P2125" i="6" s="1"/>
  <c r="U2125" i="6" s="1"/>
  <c r="N2126" i="6"/>
  <c r="P2126" i="6" s="1"/>
  <c r="U2126" i="6" s="1"/>
  <c r="N2127" i="6"/>
  <c r="O2127" i="6"/>
  <c r="N2128" i="6"/>
  <c r="O2128" i="6"/>
  <c r="N2129" i="6"/>
  <c r="O2129" i="6"/>
  <c r="N2130" i="6"/>
  <c r="P2130" i="6" s="1"/>
  <c r="U2130" i="6" s="1"/>
  <c r="N2131" i="6"/>
  <c r="O2131" i="6"/>
  <c r="N2132" i="6"/>
  <c r="P2132" i="6" s="1"/>
  <c r="U2132" i="6" s="1"/>
  <c r="N2133" i="6"/>
  <c r="O2133" i="6"/>
  <c r="N2134" i="6"/>
  <c r="O2134" i="6"/>
  <c r="P2135" i="6"/>
  <c r="U2135" i="6" s="1"/>
  <c r="N2136" i="6"/>
  <c r="O2136" i="6"/>
  <c r="N2137" i="6"/>
  <c r="O2137" i="6"/>
  <c r="N2138" i="6"/>
  <c r="P2138" i="6" s="1"/>
  <c r="U2138" i="6" s="1"/>
  <c r="N2139" i="6"/>
  <c r="O2139" i="6"/>
  <c r="N2140" i="6"/>
  <c r="O2140" i="6"/>
  <c r="N2141" i="6"/>
  <c r="O2141" i="6"/>
  <c r="N2142" i="6"/>
  <c r="O2142" i="6"/>
  <c r="N2143" i="6"/>
  <c r="O2143" i="6"/>
  <c r="P2144" i="6"/>
  <c r="U2144" i="6" s="1"/>
  <c r="N2145" i="6"/>
  <c r="O2145" i="6"/>
  <c r="N2146" i="6"/>
  <c r="O2146" i="6"/>
  <c r="N2147" i="6"/>
  <c r="O2147" i="6"/>
  <c r="N2148" i="6"/>
  <c r="O2148" i="6"/>
  <c r="N2149" i="6"/>
  <c r="O2149" i="6"/>
  <c r="P2150" i="6"/>
  <c r="U2150" i="6" s="1"/>
  <c r="N2151" i="6"/>
  <c r="P2151" i="6" s="1"/>
  <c r="U2151" i="6" s="1"/>
  <c r="N2152" i="6"/>
  <c r="N2153" i="6"/>
  <c r="P2153" i="6" s="1"/>
  <c r="U2153" i="6" s="1"/>
  <c r="N2154" i="6"/>
  <c r="O2155" i="6"/>
  <c r="P2156" i="6"/>
  <c r="U2156" i="6" s="1"/>
  <c r="P2157" i="6"/>
  <c r="U2157" i="6" s="1"/>
  <c r="N2158" i="6"/>
  <c r="O2158" i="6"/>
  <c r="N2159" i="6"/>
  <c r="O2159" i="6"/>
  <c r="P2160" i="6"/>
  <c r="U2160" i="6" s="1"/>
  <c r="N2161" i="6"/>
  <c r="P2161" i="6" s="1"/>
  <c r="U2161" i="6" s="1"/>
  <c r="N2162" i="6"/>
  <c r="O2162" i="6"/>
  <c r="N2163" i="6"/>
  <c r="O2163" i="6"/>
  <c r="N2164" i="6"/>
  <c r="O2164" i="6"/>
  <c r="N2165" i="6"/>
  <c r="O2165" i="6"/>
  <c r="N2166" i="6"/>
  <c r="P2166" i="6" s="1"/>
  <c r="U2166" i="6" s="1"/>
  <c r="N2167" i="6"/>
  <c r="O2167" i="6"/>
  <c r="N2168" i="6"/>
  <c r="P2168" i="6" s="1"/>
  <c r="U2168" i="6" s="1"/>
  <c r="O2169" i="6"/>
  <c r="P2169" i="6" s="1"/>
  <c r="U2169" i="6" s="1"/>
  <c r="N2170" i="6"/>
  <c r="O2170" i="6"/>
  <c r="N2171" i="6"/>
  <c r="O2171" i="6"/>
  <c r="N2172" i="6"/>
  <c r="O2172" i="6"/>
  <c r="N2173" i="6"/>
  <c r="O2173" i="6"/>
  <c r="N2174" i="6"/>
  <c r="O2174" i="6"/>
  <c r="N2175" i="6"/>
  <c r="O2175" i="6"/>
  <c r="N2176" i="6"/>
  <c r="P2176" i="6" s="1"/>
  <c r="U2176" i="6" s="1"/>
  <c r="N2177" i="6"/>
  <c r="O2177" i="6"/>
  <c r="N2178" i="6"/>
  <c r="O2178" i="6"/>
  <c r="N2179" i="6"/>
  <c r="P2179" i="6" s="1"/>
  <c r="U2179" i="6" s="1"/>
  <c r="N2180" i="6"/>
  <c r="O2180" i="6"/>
  <c r="N2181" i="6"/>
  <c r="P2182" i="6"/>
  <c r="U2182" i="6" s="1"/>
  <c r="N2183" i="6"/>
  <c r="P2183" i="6" s="1"/>
  <c r="U2183" i="6" s="1"/>
  <c r="N2184" i="6"/>
  <c r="P2184" i="6" s="1"/>
  <c r="U2184" i="6" s="1"/>
  <c r="N2185" i="6"/>
  <c r="P2185" i="6" s="1"/>
  <c r="U2185" i="6" s="1"/>
  <c r="N2186" i="6"/>
  <c r="O2186" i="6"/>
  <c r="N2187" i="6"/>
  <c r="P2187" i="6" s="1"/>
  <c r="U2187" i="6" s="1"/>
  <c r="N2188" i="6"/>
  <c r="P2189" i="6"/>
  <c r="U2189" i="6" s="1"/>
  <c r="N2190" i="6"/>
  <c r="O2190" i="6"/>
  <c r="N2191" i="6"/>
  <c r="O2191" i="6"/>
  <c r="N2192" i="6"/>
  <c r="N2193" i="6"/>
  <c r="N2194" i="6"/>
  <c r="O2194" i="6"/>
  <c r="N2195" i="6"/>
  <c r="N2196" i="6"/>
  <c r="O2196" i="6"/>
  <c r="N2197" i="6"/>
  <c r="O2197" i="6"/>
  <c r="N2198" i="6"/>
  <c r="O2198" i="6"/>
  <c r="N2199" i="6"/>
  <c r="O2199" i="6"/>
  <c r="O2200" i="6"/>
  <c r="P2200" i="6" s="1"/>
  <c r="U2200" i="6" s="1"/>
  <c r="N2201" i="6"/>
  <c r="O2201" i="6"/>
  <c r="N2202" i="6"/>
  <c r="O2202" i="6"/>
  <c r="N2203" i="6"/>
  <c r="O2203" i="6"/>
  <c r="N2204" i="6"/>
  <c r="P2204" i="6" s="1"/>
  <c r="U2204" i="6" s="1"/>
  <c r="N2205" i="6"/>
  <c r="N2206" i="6"/>
  <c r="O2206" i="6"/>
  <c r="N2207" i="6"/>
  <c r="O2207" i="6"/>
  <c r="N2208" i="6"/>
  <c r="O2208" i="6"/>
  <c r="N2209" i="6"/>
  <c r="N2210" i="6"/>
  <c r="N2211" i="6"/>
  <c r="O2211" i="6"/>
  <c r="N2212" i="6"/>
  <c r="P2212" i="6" s="1"/>
  <c r="U2212" i="6" s="1"/>
  <c r="N2213" i="6"/>
  <c r="N2214" i="6"/>
  <c r="O2214" i="6"/>
  <c r="N2215" i="6"/>
  <c r="O2215" i="6"/>
  <c r="N2216" i="6"/>
  <c r="N2217" i="6"/>
  <c r="O2217" i="6"/>
  <c r="P2218" i="6"/>
  <c r="U2218" i="6" s="1"/>
  <c r="N2219" i="6"/>
  <c r="N2220" i="6"/>
  <c r="O2220" i="6"/>
  <c r="N2221" i="6"/>
  <c r="N2222" i="6"/>
  <c r="N2223" i="6"/>
  <c r="O2223" i="6"/>
  <c r="N2224" i="6"/>
  <c r="O2224" i="6"/>
  <c r="P2225" i="6"/>
  <c r="U2225" i="6" s="1"/>
  <c r="P2226" i="6"/>
  <c r="U2226" i="6" s="1"/>
  <c r="P2227" i="6"/>
  <c r="U2227" i="6" s="1"/>
  <c r="P2228" i="6"/>
  <c r="U2228" i="6" s="1"/>
  <c r="P2229" i="6"/>
  <c r="U2229" i="6" s="1"/>
  <c r="P2230" i="6"/>
  <c r="U2230" i="6" s="1"/>
  <c r="P2231" i="6"/>
  <c r="U2231" i="6" s="1"/>
  <c r="P2232" i="6"/>
  <c r="U2232" i="6" s="1"/>
  <c r="P2233" i="6"/>
  <c r="U2233" i="6" s="1"/>
  <c r="N2234" i="6"/>
  <c r="P2234" i="6" s="1"/>
  <c r="U2234" i="6" s="1"/>
  <c r="P2235" i="6"/>
  <c r="U2235" i="6" s="1"/>
  <c r="N2236" i="6"/>
  <c r="P2236" i="6" s="1"/>
  <c r="U2236" i="6" s="1"/>
  <c r="N2237" i="6"/>
  <c r="P2237" i="6" s="1"/>
  <c r="U2237" i="6" s="1"/>
  <c r="P2238" i="6"/>
  <c r="U2238" i="6" s="1"/>
  <c r="N2239" i="6"/>
  <c r="P2239" i="6" s="1"/>
  <c r="U2239" i="6" s="1"/>
  <c r="P2240" i="6"/>
  <c r="U2240" i="6" s="1"/>
  <c r="N2241" i="6"/>
  <c r="P2241" i="6" s="1"/>
  <c r="U2241" i="6" s="1"/>
  <c r="O2242" i="6"/>
  <c r="P2242" i="6" s="1"/>
  <c r="U2242" i="6" s="1"/>
  <c r="N2243" i="6"/>
  <c r="O2243" i="6"/>
  <c r="N2244" i="6"/>
  <c r="P2244" i="6" s="1"/>
  <c r="U2244" i="6" s="1"/>
  <c r="P2245" i="6"/>
  <c r="U2245" i="6" s="1"/>
  <c r="P2246" i="6"/>
  <c r="U2246" i="6" s="1"/>
  <c r="P2247" i="6"/>
  <c r="U2247" i="6" s="1"/>
  <c r="N2248" i="6"/>
  <c r="O2248" i="6"/>
  <c r="O2249" i="6"/>
  <c r="P2249" i="6" s="1"/>
  <c r="U2249" i="6" s="1"/>
  <c r="N2250" i="6"/>
  <c r="P2250" i="6" s="1"/>
  <c r="U2250" i="6" s="1"/>
  <c r="P2251" i="6"/>
  <c r="U2251" i="6" s="1"/>
  <c r="P2252" i="6"/>
  <c r="U2252" i="6" s="1"/>
  <c r="N2254" i="6"/>
  <c r="O2254" i="6"/>
  <c r="N2255" i="6"/>
  <c r="O2255" i="6"/>
  <c r="N2256" i="6"/>
  <c r="O2256" i="6"/>
  <c r="N2257" i="6"/>
  <c r="O2257" i="6"/>
  <c r="N2258" i="6"/>
  <c r="N2259" i="6"/>
  <c r="O2259" i="6"/>
  <c r="N2260" i="6"/>
  <c r="O2260" i="6"/>
  <c r="N2261" i="6"/>
  <c r="O2261" i="6"/>
  <c r="N2262" i="6"/>
  <c r="N2263" i="6"/>
  <c r="P2263" i="6" s="1"/>
  <c r="U2263" i="6" s="1"/>
  <c r="N2264" i="6"/>
  <c r="O2264" i="6"/>
  <c r="N2265" i="6"/>
  <c r="O2265" i="6"/>
  <c r="N2266" i="6"/>
  <c r="O2266" i="6"/>
  <c r="N2267" i="6"/>
  <c r="O2267" i="6"/>
  <c r="N2268" i="6"/>
  <c r="P2268" i="6" s="1"/>
  <c r="U2268" i="6" s="1"/>
  <c r="O2269" i="6"/>
  <c r="P2269" i="6" s="1"/>
  <c r="U2269" i="6" s="1"/>
  <c r="N2270" i="6"/>
  <c r="O2270" i="6"/>
  <c r="N2271" i="6"/>
  <c r="O2271" i="6"/>
  <c r="N2272" i="6"/>
  <c r="P2272" i="6" s="1"/>
  <c r="U2272" i="6" s="1"/>
  <c r="V2272" i="6" s="1"/>
  <c r="N2273" i="6"/>
  <c r="O2273" i="6"/>
  <c r="N2274" i="6"/>
  <c r="N2275" i="6"/>
  <c r="O2275" i="6"/>
  <c r="N2276" i="6"/>
  <c r="O2276" i="6"/>
  <c r="N2277" i="6"/>
  <c r="O2277" i="6"/>
  <c r="N2278" i="6"/>
  <c r="O2278" i="6"/>
  <c r="N2279" i="6"/>
  <c r="O2279" i="6"/>
  <c r="N2280" i="6"/>
  <c r="O2280" i="6"/>
  <c r="P2281" i="6"/>
  <c r="U2281" i="6" s="1"/>
  <c r="N2282" i="6"/>
  <c r="O2282" i="6"/>
  <c r="N2283" i="6"/>
  <c r="O2283" i="6"/>
  <c r="N2284" i="6"/>
  <c r="O2284" i="6"/>
  <c r="N2285" i="6"/>
  <c r="O2285" i="6"/>
  <c r="O2286" i="6"/>
  <c r="N2287" i="6"/>
  <c r="O2287" i="6"/>
  <c r="N2288" i="6"/>
  <c r="N2289" i="6"/>
  <c r="P2290" i="6"/>
  <c r="U2290" i="6" s="1"/>
  <c r="N2291" i="6"/>
  <c r="O2291" i="6"/>
  <c r="N2292" i="6"/>
  <c r="O2292" i="6"/>
  <c r="N2293" i="6"/>
  <c r="O2293" i="6"/>
  <c r="O2294" i="6"/>
  <c r="N2295" i="6"/>
  <c r="O2295" i="6"/>
  <c r="N2296" i="6"/>
  <c r="N2297" i="6"/>
  <c r="O2297" i="6"/>
  <c r="N2298" i="6"/>
  <c r="O2298" i="6"/>
  <c r="N2299" i="6"/>
  <c r="O2299" i="6"/>
  <c r="N2300" i="6"/>
  <c r="O2300" i="6"/>
  <c r="N2301" i="6"/>
  <c r="O2301" i="6"/>
  <c r="N2302" i="6"/>
  <c r="O2302" i="6"/>
  <c r="N2303" i="6"/>
  <c r="O2303" i="6"/>
  <c r="N2304" i="6"/>
  <c r="P2304" i="6" s="1"/>
  <c r="U2304" i="6" s="1"/>
  <c r="N2305" i="6"/>
  <c r="N2306" i="6"/>
  <c r="O2306" i="6"/>
  <c r="N2307" i="6"/>
  <c r="O2307" i="6"/>
  <c r="N2308" i="6"/>
  <c r="N2309" i="6"/>
  <c r="P2309" i="6" s="1"/>
  <c r="U2309" i="6" s="1"/>
  <c r="N2310" i="6"/>
  <c r="O2310" i="6"/>
  <c r="N2311" i="6"/>
  <c r="N2312" i="6"/>
  <c r="O2312" i="6"/>
  <c r="N2313" i="6"/>
  <c r="O2313" i="6"/>
  <c r="N2314" i="6"/>
  <c r="O2314" i="6"/>
  <c r="N2315" i="6"/>
  <c r="N2316" i="6"/>
  <c r="P2316" i="6" s="1"/>
  <c r="U2316" i="6" s="1"/>
  <c r="N2317" i="6"/>
  <c r="O2317" i="6"/>
  <c r="N2318" i="6"/>
  <c r="O2318" i="6"/>
  <c r="N2319" i="6"/>
  <c r="N2320" i="6"/>
  <c r="O2320" i="6"/>
  <c r="N2321" i="6"/>
  <c r="O2321" i="6"/>
  <c r="N2322" i="6"/>
  <c r="N2323" i="6"/>
  <c r="N2324" i="6"/>
  <c r="O2324" i="6"/>
  <c r="N2325" i="6"/>
  <c r="O2325" i="6"/>
  <c r="N2326" i="6"/>
  <c r="P2326" i="6" s="1"/>
  <c r="U2326" i="6" s="1"/>
  <c r="N2327" i="6"/>
  <c r="P2327" i="6" s="1"/>
  <c r="U2327" i="6" s="1"/>
  <c r="N2328" i="6"/>
  <c r="P2328" i="6" s="1"/>
  <c r="U2328" i="6" s="1"/>
  <c r="O2329" i="6"/>
  <c r="P2329" i="6" s="1"/>
  <c r="U2329" i="6" s="1"/>
  <c r="V2329" i="6" s="1"/>
  <c r="N2330" i="6"/>
  <c r="O2330" i="6"/>
  <c r="N2331" i="6"/>
  <c r="P2331" i="6" s="1"/>
  <c r="U2331" i="6" s="1"/>
  <c r="O2332" i="6"/>
  <c r="P2332" i="6" s="1"/>
  <c r="U2332" i="6" s="1"/>
  <c r="N2333" i="6"/>
  <c r="P2333" i="6" s="1"/>
  <c r="U2333" i="6" s="1"/>
  <c r="N2334" i="6"/>
  <c r="O2334" i="6"/>
  <c r="N2335" i="6"/>
  <c r="P2335" i="6" s="1"/>
  <c r="U2335" i="6" s="1"/>
  <c r="N2336" i="6"/>
  <c r="N2337" i="6"/>
  <c r="N2338" i="6"/>
  <c r="O2338" i="6"/>
  <c r="N2340" i="6"/>
  <c r="O2340" i="6"/>
  <c r="N2341" i="6"/>
  <c r="N2342" i="6"/>
  <c r="N2343" i="6"/>
  <c r="O2343" i="6"/>
  <c r="P2344" i="6"/>
  <c r="U2344" i="6" s="1"/>
  <c r="V2344" i="6" s="1"/>
  <c r="N2345" i="6"/>
  <c r="N2346" i="6"/>
  <c r="P2346" i="6" s="1"/>
  <c r="U2346" i="6" s="1"/>
  <c r="N2347" i="6"/>
  <c r="O2347" i="6"/>
  <c r="N2348" i="6"/>
  <c r="O2348" i="6"/>
  <c r="N2349" i="6"/>
  <c r="O2349" i="6"/>
  <c r="N2350" i="6"/>
  <c r="O2350" i="6"/>
  <c r="N2351" i="6"/>
  <c r="O2351" i="6"/>
  <c r="N2352" i="6"/>
  <c r="N2353" i="6"/>
  <c r="N2354" i="6"/>
  <c r="O2354" i="6"/>
  <c r="N2355" i="6"/>
  <c r="O2355" i="6"/>
  <c r="N2356" i="6"/>
  <c r="O2356" i="6"/>
  <c r="N2357" i="6"/>
  <c r="O2357" i="6"/>
  <c r="N2358" i="6"/>
  <c r="O2358" i="6"/>
  <c r="N2359" i="6"/>
  <c r="N2360" i="6"/>
  <c r="N2361" i="6"/>
  <c r="O2361" i="6"/>
  <c r="P2362" i="6"/>
  <c r="U2362" i="6" s="1"/>
  <c r="N2363" i="6"/>
  <c r="P2363" i="6" s="1"/>
  <c r="U2363" i="6" s="1"/>
  <c r="N2364" i="6"/>
  <c r="P2364" i="6" s="1"/>
  <c r="U2364" i="6" s="1"/>
  <c r="P2365" i="6"/>
  <c r="U2365" i="6" s="1"/>
  <c r="N2366" i="6"/>
  <c r="O2366" i="6"/>
  <c r="N2367" i="6"/>
  <c r="O2367" i="6"/>
  <c r="N2368" i="6"/>
  <c r="O2368" i="6"/>
  <c r="N2369" i="6"/>
  <c r="O2369" i="6"/>
  <c r="O2370" i="6"/>
  <c r="P2370" i="6" s="1"/>
  <c r="U2370" i="6" s="1"/>
  <c r="N2371" i="6"/>
  <c r="N2372" i="6"/>
  <c r="P2372" i="6" s="1"/>
  <c r="U2372" i="6" s="1"/>
  <c r="N2373" i="6"/>
  <c r="P2373" i="6" s="1"/>
  <c r="U2373" i="6" s="1"/>
  <c r="N2374" i="6"/>
  <c r="O2374" i="6"/>
  <c r="N2375" i="6"/>
  <c r="O2375" i="6"/>
  <c r="N2376" i="6"/>
  <c r="O2376" i="6"/>
  <c r="N2377" i="6"/>
  <c r="O2377" i="6"/>
  <c r="N2378" i="6"/>
  <c r="P2378" i="6" s="1"/>
  <c r="U2378" i="6" s="1"/>
  <c r="V2378" i="6" s="1"/>
  <c r="N2379" i="6"/>
  <c r="P2379" i="6" s="1"/>
  <c r="U2379" i="6" s="1"/>
  <c r="N2380" i="6"/>
  <c r="O2380" i="6"/>
  <c r="N2381" i="6"/>
  <c r="O2381" i="6"/>
  <c r="N2382" i="6"/>
  <c r="O2382" i="6"/>
  <c r="N2383" i="6"/>
  <c r="O2383" i="6"/>
  <c r="N2384" i="6"/>
  <c r="O2384" i="6"/>
  <c r="N2385" i="6"/>
  <c r="P2385" i="6" s="1"/>
  <c r="U2385" i="6" s="1"/>
  <c r="N2386" i="6"/>
  <c r="N2387" i="6"/>
  <c r="O2387" i="6"/>
  <c r="N2388" i="6"/>
  <c r="O2388" i="6"/>
  <c r="N2389" i="6"/>
  <c r="O2389" i="6"/>
  <c r="N2390" i="6"/>
  <c r="O2390" i="6"/>
  <c r="N2391" i="6"/>
  <c r="O2391" i="6"/>
  <c r="N2392" i="6"/>
  <c r="O2392" i="6"/>
  <c r="O2393" i="6"/>
  <c r="P2393" i="6" s="1"/>
  <c r="U2393" i="6" s="1"/>
  <c r="N2394" i="6"/>
  <c r="P2394" i="6" s="1"/>
  <c r="U2394" i="6" s="1"/>
  <c r="N2395" i="6"/>
  <c r="N2396" i="6"/>
  <c r="O2396" i="6"/>
  <c r="N2397" i="6"/>
  <c r="N2398" i="6"/>
  <c r="O2398" i="6"/>
  <c r="N2399" i="6"/>
  <c r="O2399" i="6"/>
  <c r="N2400" i="6"/>
  <c r="O2400" i="6"/>
  <c r="N2401" i="6"/>
  <c r="N2402" i="6"/>
  <c r="O2402" i="6"/>
  <c r="N2403" i="6"/>
  <c r="O2403" i="6"/>
  <c r="N2404" i="6"/>
  <c r="O2404" i="6"/>
  <c r="N2405" i="6"/>
  <c r="P2405" i="6" s="1"/>
  <c r="U2405" i="6" s="1"/>
  <c r="N2407" i="6"/>
  <c r="O2407" i="6"/>
  <c r="N2408" i="6"/>
  <c r="N2409" i="6"/>
  <c r="O2409" i="6"/>
  <c r="N2410" i="6"/>
  <c r="O2410" i="6"/>
  <c r="N2411" i="6"/>
  <c r="O2411" i="6"/>
  <c r="N2412" i="6"/>
  <c r="P2412" i="6" s="1"/>
  <c r="U2412" i="6" s="1"/>
  <c r="N2413" i="6"/>
  <c r="P2413" i="6" s="1"/>
  <c r="U2413" i="6" s="1"/>
  <c r="N2414" i="6"/>
  <c r="O2414" i="6"/>
  <c r="N2415" i="6"/>
  <c r="N2416" i="6"/>
  <c r="O2416" i="6"/>
  <c r="N2417" i="6"/>
  <c r="O2417" i="6"/>
  <c r="N2418" i="6"/>
  <c r="O2418" i="6"/>
  <c r="N2419" i="6"/>
  <c r="N2420" i="6"/>
  <c r="N2421" i="6"/>
  <c r="O2421" i="6"/>
  <c r="N2422" i="6"/>
  <c r="O2422" i="6"/>
  <c r="N2423" i="6"/>
  <c r="O2423" i="6"/>
  <c r="P2424" i="6"/>
  <c r="U2424" i="6" s="1"/>
  <c r="N2425" i="6"/>
  <c r="O2425" i="6"/>
  <c r="N2426" i="6"/>
  <c r="O2426" i="6"/>
  <c r="N2427" i="6"/>
  <c r="O2427" i="6"/>
  <c r="N2428" i="6"/>
  <c r="P2428" i="6" s="1"/>
  <c r="U2428" i="6" s="1"/>
  <c r="N2429" i="6"/>
  <c r="P2429" i="6" s="1"/>
  <c r="U2429" i="6" s="1"/>
  <c r="P2430" i="6"/>
  <c r="U2430" i="6" s="1"/>
  <c r="P2431" i="6"/>
  <c r="U2431" i="6" s="1"/>
  <c r="N2432" i="6"/>
  <c r="O2432" i="6"/>
  <c r="N2433" i="6"/>
  <c r="O2433" i="6"/>
  <c r="N2434" i="6"/>
  <c r="O2434" i="6"/>
  <c r="N2435" i="6"/>
  <c r="P2435" i="6" s="1"/>
  <c r="U2435" i="6" s="1"/>
  <c r="N2436" i="6"/>
  <c r="O2436" i="6"/>
  <c r="N2437" i="6"/>
  <c r="O2437" i="6"/>
  <c r="N2438" i="6"/>
  <c r="P2438" i="6" s="1"/>
  <c r="U2438" i="6" s="1"/>
  <c r="P2439" i="6"/>
  <c r="U2439" i="6" s="1"/>
  <c r="N2440" i="6"/>
  <c r="P2440" i="6" s="1"/>
  <c r="U2440" i="6" s="1"/>
  <c r="N2441" i="6"/>
  <c r="P2441" i="6" s="1"/>
  <c r="U2441" i="6" s="1"/>
  <c r="P2442" i="6"/>
  <c r="U2442" i="6" s="1"/>
  <c r="N2443" i="6"/>
  <c r="P2443" i="6" s="1"/>
  <c r="U2443" i="6" s="1"/>
  <c r="N2444" i="6"/>
  <c r="P2444" i="6" s="1"/>
  <c r="U2444" i="6" s="1"/>
  <c r="P2445" i="6"/>
  <c r="U2445" i="6" s="1"/>
  <c r="N2446" i="6"/>
  <c r="P2446" i="6" s="1"/>
  <c r="U2446" i="6" s="1"/>
  <c r="N2447" i="6"/>
  <c r="P2447" i="6" s="1"/>
  <c r="U2447" i="6" s="1"/>
  <c r="N2449" i="6"/>
  <c r="P2449" i="6" s="1"/>
  <c r="U2449" i="6" s="1"/>
  <c r="N2450" i="6"/>
  <c r="O2450" i="6"/>
  <c r="N2451" i="6"/>
  <c r="O2451" i="6"/>
  <c r="N2452" i="6"/>
  <c r="O2452" i="6"/>
  <c r="N2453" i="6"/>
  <c r="O2453" i="6"/>
  <c r="N2454" i="6"/>
  <c r="O2454" i="6"/>
  <c r="N2455" i="6"/>
  <c r="P2455" i="6" s="1"/>
  <c r="U2455" i="6" s="1"/>
  <c r="N2456" i="6"/>
  <c r="P2456" i="6" s="1"/>
  <c r="U2456" i="6" s="1"/>
  <c r="N2457" i="6"/>
  <c r="O2457" i="6"/>
  <c r="N2458" i="6"/>
  <c r="O2458" i="6"/>
  <c r="N2459" i="6"/>
  <c r="O2459" i="6"/>
  <c r="N2460" i="6"/>
  <c r="O2460" i="6"/>
  <c r="N2461" i="6"/>
  <c r="O2461" i="6"/>
  <c r="N2462" i="6"/>
  <c r="P2462" i="6" s="1"/>
  <c r="U2462" i="6" s="1"/>
  <c r="N2463" i="6"/>
  <c r="O2463" i="6"/>
  <c r="N2464" i="6"/>
  <c r="O2464" i="6"/>
  <c r="N2465" i="6"/>
  <c r="O2465" i="6"/>
  <c r="O2466" i="6"/>
  <c r="P2466" i="6" s="1"/>
  <c r="U2466" i="6" s="1"/>
  <c r="N2467" i="6"/>
  <c r="O2467" i="6"/>
  <c r="N2468" i="6"/>
  <c r="P2468" i="6" s="1"/>
  <c r="U2468" i="6" s="1"/>
  <c r="V2468" i="6" s="1"/>
  <c r="N2469" i="6"/>
  <c r="O2469" i="6"/>
  <c r="N2470" i="6"/>
  <c r="N2471" i="6"/>
  <c r="P2471" i="6" s="1"/>
  <c r="U2471" i="6" s="1"/>
  <c r="N2472" i="6"/>
  <c r="O2472" i="6"/>
  <c r="O2473" i="6"/>
  <c r="P2473" i="6" s="1"/>
  <c r="U2473" i="6" s="1"/>
  <c r="N2474" i="6"/>
  <c r="O2474" i="6"/>
  <c r="N2475" i="6"/>
  <c r="O2475" i="6"/>
  <c r="N2476" i="6"/>
  <c r="P2476" i="6" s="1"/>
  <c r="U2476" i="6" s="1"/>
  <c r="N2477" i="6"/>
  <c r="P2477" i="6" s="1"/>
  <c r="U2477" i="6" s="1"/>
  <c r="N2478" i="6"/>
  <c r="O2478" i="6"/>
  <c r="N2479" i="6"/>
  <c r="O2479" i="6"/>
  <c r="N2480" i="6"/>
  <c r="O2480" i="6"/>
  <c r="N2481" i="6"/>
  <c r="O2481" i="6"/>
  <c r="N2482" i="6"/>
  <c r="P2482" i="6" s="1"/>
  <c r="U2482" i="6" s="1"/>
  <c r="O2483" i="6"/>
  <c r="P2483" i="6" s="1"/>
  <c r="U2483" i="6" s="1"/>
  <c r="N2484" i="6"/>
  <c r="N2485" i="6"/>
  <c r="O2485" i="6"/>
  <c r="N2486" i="6"/>
  <c r="O2486" i="6"/>
  <c r="N2487" i="6"/>
  <c r="O2487" i="6"/>
  <c r="N2488" i="6"/>
  <c r="O2488" i="6"/>
  <c r="N2489" i="6"/>
  <c r="O2489" i="6"/>
  <c r="N2490" i="6"/>
  <c r="N2491" i="6"/>
  <c r="O2491" i="6"/>
  <c r="N2492" i="6"/>
  <c r="O2492" i="6"/>
  <c r="N2493" i="6"/>
  <c r="O2493" i="6"/>
  <c r="N2494" i="6"/>
  <c r="O2494" i="6"/>
  <c r="N2495" i="6"/>
  <c r="O2495" i="6"/>
  <c r="N2496" i="6"/>
  <c r="O2496" i="6"/>
  <c r="N2497" i="6"/>
  <c r="P2497" i="6" s="1"/>
  <c r="U2497" i="6" s="1"/>
  <c r="V2497" i="6" s="1"/>
  <c r="N2498" i="6"/>
  <c r="O2498" i="6"/>
  <c r="N2499" i="6"/>
  <c r="N2500" i="6"/>
  <c r="O2500" i="6"/>
  <c r="N2501" i="6"/>
  <c r="O2501" i="6"/>
  <c r="N2502" i="6"/>
  <c r="O2502" i="6"/>
  <c r="N2503" i="6"/>
  <c r="O2503" i="6"/>
  <c r="N2505" i="6"/>
  <c r="O2505" i="6"/>
  <c r="N2506" i="6"/>
  <c r="O2506" i="6"/>
  <c r="N2507" i="6"/>
  <c r="O2507" i="6"/>
  <c r="N2508" i="6"/>
  <c r="O2508" i="6"/>
  <c r="N2509" i="6"/>
  <c r="O2509" i="6"/>
  <c r="N2510" i="6"/>
  <c r="P2510" i="6" s="1"/>
  <c r="U2510" i="6" s="1"/>
  <c r="N2511" i="6"/>
  <c r="O2511" i="6"/>
  <c r="N2513" i="6"/>
  <c r="O2513" i="6"/>
  <c r="N2514" i="6"/>
  <c r="O2514" i="6"/>
  <c r="N2515" i="6"/>
  <c r="O2515" i="6"/>
  <c r="N2516" i="6"/>
  <c r="O2516" i="6"/>
  <c r="N2517" i="6"/>
  <c r="O2517" i="6"/>
  <c r="N2518" i="6"/>
  <c r="H375" i="14"/>
  <c r="O2523" i="6" s="1"/>
  <c r="N2519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P2533" i="6"/>
  <c r="U2533" i="6" s="1"/>
  <c r="N2534" i="6"/>
  <c r="P2534" i="6" s="1"/>
  <c r="U2534" i="6" s="1"/>
  <c r="P2535" i="6"/>
  <c r="U2535" i="6" s="1"/>
  <c r="N2536" i="6"/>
  <c r="O2536" i="6"/>
  <c r="N2537" i="6"/>
  <c r="O2537" i="6"/>
  <c r="N2538" i="6"/>
  <c r="O2538" i="6"/>
  <c r="N2539" i="6"/>
  <c r="O2539" i="6"/>
  <c r="N2540" i="6"/>
  <c r="N2541" i="6"/>
  <c r="O2541" i="6"/>
  <c r="N2542" i="6"/>
  <c r="O2542" i="6"/>
  <c r="N2543" i="6"/>
  <c r="O2543" i="6"/>
  <c r="N2544" i="6"/>
  <c r="O2544" i="6"/>
  <c r="N2545" i="6"/>
  <c r="O2545" i="6"/>
  <c r="N2546" i="6"/>
  <c r="O2546" i="6"/>
  <c r="N2547" i="6"/>
  <c r="O2547" i="6"/>
  <c r="N2548" i="6"/>
  <c r="O2548" i="6"/>
  <c r="N2549" i="6"/>
  <c r="O2549" i="6"/>
  <c r="N2550" i="6"/>
  <c r="O2550" i="6"/>
  <c r="N2551" i="6"/>
  <c r="O2551" i="6"/>
  <c r="N2552" i="6"/>
  <c r="O2552" i="6"/>
  <c r="N2553" i="6"/>
  <c r="O2553" i="6"/>
  <c r="N2554" i="6"/>
  <c r="O2554" i="6"/>
  <c r="N2555" i="6"/>
  <c r="O2555" i="6"/>
  <c r="N2556" i="6"/>
  <c r="O2556" i="6"/>
  <c r="N2557" i="6"/>
  <c r="O2557" i="6"/>
  <c r="H379" i="14"/>
  <c r="O2559" i="6" s="1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H380" i="14"/>
  <c r="O2574" i="6" s="1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P2586" i="6" s="1"/>
  <c r="U2586" i="6" s="1"/>
  <c r="N2587" i="6"/>
  <c r="P2587" i="6" s="1"/>
  <c r="U2587" i="6" s="1"/>
  <c r="P2588" i="6"/>
  <c r="U2588" i="6" s="1"/>
  <c r="N2589" i="6"/>
  <c r="P2589" i="6" s="1"/>
  <c r="U2589" i="6" s="1"/>
  <c r="P2590" i="6"/>
  <c r="U2590" i="6" s="1"/>
  <c r="N2591" i="6"/>
  <c r="P2591" i="6" s="1"/>
  <c r="U2591" i="6" s="1"/>
  <c r="P2592" i="6"/>
  <c r="U2592" i="6" s="1"/>
  <c r="N2593" i="6"/>
  <c r="P2593" i="6" s="1"/>
  <c r="U2593" i="6" s="1"/>
  <c r="N2594" i="6"/>
  <c r="P2594" i="6" s="1"/>
  <c r="U2594" i="6" s="1"/>
  <c r="N2595" i="6"/>
  <c r="P2595" i="6" s="1"/>
  <c r="U2595" i="6" s="1"/>
  <c r="P2596" i="6"/>
  <c r="U2596" i="6" s="1"/>
  <c r="N2597" i="6"/>
  <c r="P2597" i="6" s="1"/>
  <c r="U2597" i="6" s="1"/>
  <c r="N2598" i="6"/>
  <c r="P2598" i="6" s="1"/>
  <c r="U2598" i="6" s="1"/>
  <c r="N2599" i="6"/>
  <c r="H386" i="14"/>
  <c r="O2600" i="6" s="1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H387" i="14"/>
  <c r="O2615" i="6" s="1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H388" i="14"/>
  <c r="O2653" i="6" s="1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H389" i="14"/>
  <c r="O2656" i="6" s="1"/>
  <c r="P2656" i="6" s="1"/>
  <c r="U2656" i="6" s="1"/>
  <c r="N2657" i="6"/>
  <c r="N2658" i="6"/>
  <c r="N2659" i="6"/>
  <c r="N2660" i="6"/>
  <c r="N2661" i="6"/>
  <c r="O2661" i="6"/>
  <c r="N2662" i="6"/>
  <c r="N2663" i="6"/>
  <c r="N2664" i="6"/>
  <c r="N2665" i="6"/>
  <c r="N2666" i="6"/>
  <c r="N2667" i="6"/>
  <c r="N2668" i="6"/>
  <c r="N2669" i="6"/>
  <c r="N2670" i="6"/>
  <c r="N2671" i="6"/>
  <c r="N2672" i="6"/>
  <c r="P2672" i="6" s="1"/>
  <c r="U2672" i="6" s="1"/>
  <c r="N2673" i="6"/>
  <c r="P2673" i="6" s="1"/>
  <c r="U2673" i="6" s="1"/>
  <c r="P2674" i="6"/>
  <c r="U2674" i="6" s="1"/>
  <c r="N2675" i="6"/>
  <c r="P2675" i="6" s="1"/>
  <c r="N2676" i="6"/>
  <c r="P2676" i="6" s="1"/>
  <c r="U2676" i="6" s="1"/>
  <c r="N2677" i="6"/>
  <c r="P2677" i="6" s="1"/>
  <c r="U2677" i="6" s="1"/>
  <c r="N2678" i="6"/>
  <c r="P2678" i="6" s="1"/>
  <c r="U2678" i="6" s="1"/>
  <c r="N2679" i="6"/>
  <c r="N2680" i="6"/>
  <c r="O2680" i="6"/>
  <c r="N2681" i="6"/>
  <c r="O2681" i="6"/>
  <c r="N2682" i="6"/>
  <c r="N2683" i="6"/>
  <c r="N2684" i="6"/>
  <c r="P2684" i="6" s="1"/>
  <c r="U2684" i="6" s="1"/>
  <c r="N2685" i="6"/>
  <c r="H392" i="14"/>
  <c r="O2694" i="6" s="1"/>
  <c r="N2686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H393" i="14"/>
  <c r="O2707" i="6" s="1"/>
  <c r="N2704" i="6"/>
  <c r="N2705" i="6"/>
  <c r="N2706" i="6"/>
  <c r="N2708" i="6"/>
  <c r="N2709" i="6"/>
  <c r="N2710" i="6"/>
  <c r="N2711" i="6"/>
  <c r="N2712" i="6"/>
  <c r="N2713" i="6"/>
  <c r="N2714" i="6"/>
  <c r="N2715" i="6"/>
  <c r="O2715" i="6"/>
  <c r="N2716" i="6"/>
  <c r="P2716" i="6" s="1"/>
  <c r="U2716" i="6" s="1"/>
  <c r="N2717" i="6"/>
  <c r="N2718" i="6"/>
  <c r="O2718" i="6"/>
  <c r="N2719" i="6"/>
  <c r="N2721" i="6"/>
  <c r="O2721" i="6"/>
  <c r="N2722" i="6"/>
  <c r="O2722" i="6"/>
  <c r="N2723" i="6"/>
  <c r="P2723" i="6" s="1"/>
  <c r="U2723" i="6" s="1"/>
  <c r="N2724" i="6"/>
  <c r="N2725" i="6"/>
  <c r="N2726" i="6"/>
  <c r="O2726" i="6"/>
  <c r="N2727" i="6"/>
  <c r="O2727" i="6"/>
  <c r="N2728" i="6"/>
  <c r="N2729" i="6"/>
  <c r="O2729" i="6"/>
  <c r="N2730" i="6"/>
  <c r="N2731" i="6"/>
  <c r="N2732" i="6"/>
  <c r="P2732" i="6" s="1"/>
  <c r="U2732" i="6" s="1"/>
  <c r="N2733" i="6"/>
  <c r="P2733" i="6" s="1"/>
  <c r="U2733" i="6" s="1"/>
  <c r="N2734" i="6"/>
  <c r="P2734" i="6" s="1"/>
  <c r="U2734" i="6" s="1"/>
  <c r="N2735" i="6"/>
  <c r="P2735" i="6" s="1"/>
  <c r="U2735" i="6" s="1"/>
  <c r="N2736" i="6"/>
  <c r="O2736" i="6"/>
  <c r="N2737" i="6"/>
  <c r="P2737" i="6" s="1"/>
  <c r="U2737" i="6" s="1"/>
  <c r="N2738" i="6"/>
  <c r="P2738" i="6" s="1"/>
  <c r="U2738" i="6" s="1"/>
  <c r="N2739" i="6"/>
  <c r="P2739" i="6" s="1"/>
  <c r="U2739" i="6" s="1"/>
  <c r="N2740" i="6"/>
  <c r="N2741" i="6"/>
  <c r="P2741" i="6" s="1"/>
  <c r="U2741" i="6" s="1"/>
  <c r="N2742" i="6"/>
  <c r="O2742" i="6"/>
  <c r="N2743" i="6"/>
  <c r="P2743" i="6" s="1"/>
  <c r="U2743" i="6" s="1"/>
  <c r="N2744" i="6"/>
  <c r="O2744" i="6"/>
  <c r="N2745" i="6"/>
  <c r="H396" i="14"/>
  <c r="O2763" i="6" s="1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7" i="6"/>
  <c r="N2768" i="6"/>
  <c r="N2769" i="6"/>
  <c r="N2770" i="6"/>
  <c r="P2770" i="6" s="1"/>
  <c r="U2770" i="6" s="1"/>
  <c r="N2771" i="6"/>
  <c r="P2771" i="6" s="1"/>
  <c r="U2771" i="6" s="1"/>
  <c r="O2772" i="6"/>
  <c r="P2772" i="6" s="1"/>
  <c r="U2772" i="6" s="1"/>
  <c r="N2773" i="6"/>
  <c r="O2773" i="6"/>
  <c r="N2774" i="6"/>
  <c r="P2774" i="6" s="1"/>
  <c r="U2774" i="6" s="1"/>
  <c r="N2775" i="6"/>
  <c r="P2775" i="6" s="1"/>
  <c r="U2775" i="6" s="1"/>
  <c r="N2776" i="6"/>
  <c r="P2776" i="6" s="1"/>
  <c r="U2776" i="6" s="1"/>
  <c r="N2777" i="6"/>
  <c r="P2777" i="6" s="1"/>
  <c r="U2777" i="6" s="1"/>
  <c r="N2778" i="6"/>
  <c r="O2778" i="6"/>
  <c r="N2779" i="6"/>
  <c r="O2779" i="6"/>
  <c r="N2780" i="6"/>
  <c r="O2780" i="6"/>
  <c r="N2781" i="6"/>
  <c r="P2781" i="6" s="1"/>
  <c r="U2781" i="6" s="1"/>
  <c r="P2782" i="6"/>
  <c r="U2782" i="6" s="1"/>
  <c r="N2784" i="6"/>
  <c r="O2784" i="6"/>
  <c r="N2785" i="6"/>
  <c r="O2785" i="6"/>
  <c r="N2786" i="6"/>
  <c r="O2786" i="6"/>
  <c r="N2787" i="6"/>
  <c r="O2787" i="6"/>
  <c r="N2788" i="6"/>
  <c r="N2789" i="6"/>
  <c r="O2789" i="6"/>
  <c r="N2790" i="6"/>
  <c r="N2791" i="6"/>
  <c r="O2791" i="6"/>
  <c r="N2792" i="6"/>
  <c r="O2792" i="6"/>
  <c r="N2793" i="6"/>
  <c r="O2793" i="6"/>
  <c r="N2794" i="6"/>
  <c r="O2794" i="6"/>
  <c r="N2795" i="6"/>
  <c r="O2795" i="6"/>
  <c r="N2796" i="6"/>
  <c r="O2796" i="6"/>
  <c r="N2798" i="6"/>
  <c r="N2799" i="6"/>
  <c r="N2800" i="6"/>
  <c r="N2802" i="6"/>
  <c r="N2803" i="6"/>
  <c r="N2804" i="6"/>
  <c r="N2805" i="6"/>
  <c r="N2806" i="6"/>
  <c r="N2807" i="6"/>
  <c r="N2808" i="6"/>
  <c r="P2808" i="6" s="1"/>
  <c r="U2808" i="6" s="1"/>
  <c r="P2809" i="6"/>
  <c r="U2809" i="6" s="1"/>
  <c r="N2810" i="6"/>
  <c r="P2810" i="6" s="1"/>
  <c r="U2810" i="6" s="1"/>
  <c r="N2811" i="6"/>
  <c r="P2811" i="6" s="1"/>
  <c r="U2811" i="6" s="1"/>
  <c r="N2812" i="6"/>
  <c r="P2812" i="6" s="1"/>
  <c r="U2812" i="6" s="1"/>
  <c r="N2813" i="6"/>
  <c r="P2813" i="6" s="1"/>
  <c r="U2813" i="6" s="1"/>
  <c r="P2814" i="6"/>
  <c r="U2814" i="6" s="1"/>
  <c r="P2815" i="6"/>
  <c r="U2815" i="6" s="1"/>
  <c r="N2816" i="6"/>
  <c r="P2817" i="6"/>
  <c r="U2817" i="6" s="1"/>
  <c r="N2818" i="6"/>
  <c r="O2818" i="6"/>
  <c r="P2819" i="6"/>
  <c r="U2819" i="6" s="1"/>
  <c r="N2820" i="6"/>
  <c r="O2820" i="6"/>
  <c r="N2821" i="6"/>
  <c r="O2821" i="6"/>
  <c r="N2822" i="6"/>
  <c r="O2822" i="6"/>
  <c r="N2823" i="6"/>
  <c r="O2823" i="6"/>
  <c r="N2824" i="6"/>
  <c r="O2824" i="6"/>
  <c r="N2825" i="6"/>
  <c r="P2825" i="6" s="1"/>
  <c r="U2825" i="6" s="1"/>
  <c r="N2826" i="6"/>
  <c r="O2826" i="6"/>
  <c r="N2827" i="6"/>
  <c r="N2828" i="6"/>
  <c r="O2828" i="6"/>
  <c r="N2829" i="6"/>
  <c r="P2829" i="6" s="1"/>
  <c r="U2829" i="6" s="1"/>
  <c r="N2830" i="6"/>
  <c r="P2830" i="6" s="1"/>
  <c r="U2830" i="6" s="1"/>
  <c r="N2831" i="6"/>
  <c r="O2831" i="6"/>
  <c r="N2832" i="6"/>
  <c r="O2832" i="6"/>
  <c r="N2833" i="6"/>
  <c r="P2833" i="6" s="1"/>
  <c r="U2833" i="6" s="1"/>
  <c r="N2834" i="6"/>
  <c r="P2834" i="6" s="1"/>
  <c r="U2834" i="6" s="1"/>
  <c r="N2835" i="6"/>
  <c r="N2836" i="6"/>
  <c r="N2837" i="6"/>
  <c r="P2837" i="6" s="1"/>
  <c r="U2837" i="6" s="1"/>
  <c r="N2838" i="6"/>
  <c r="N2839" i="6"/>
  <c r="O2839" i="6"/>
  <c r="N2840" i="6"/>
  <c r="N2841" i="6"/>
  <c r="O2841" i="6"/>
  <c r="N2842" i="6"/>
  <c r="O2842" i="6"/>
  <c r="N2843" i="6"/>
  <c r="O2843" i="6"/>
  <c r="N2844" i="6"/>
  <c r="N2845" i="6"/>
  <c r="O2845" i="6"/>
  <c r="N2846" i="6"/>
  <c r="P2846" i="6" s="1"/>
  <c r="U2846" i="6" s="1"/>
  <c r="N2847" i="6"/>
  <c r="N2848" i="6"/>
  <c r="O2848" i="6"/>
  <c r="O2849" i="6"/>
  <c r="P2849" i="6" s="1"/>
  <c r="U2849" i="6" s="1"/>
  <c r="N2850" i="6"/>
  <c r="O2850" i="6"/>
  <c r="N2851" i="6"/>
  <c r="O2851" i="6"/>
  <c r="N2852" i="6"/>
  <c r="N2853" i="6"/>
  <c r="P2853" i="6" s="1"/>
  <c r="U2853" i="6" s="1"/>
  <c r="N2854" i="6"/>
  <c r="O2854" i="6"/>
  <c r="N2855" i="6"/>
  <c r="P2855" i="6" s="1"/>
  <c r="U2855" i="6" s="1"/>
  <c r="N2856" i="6"/>
  <c r="P2856" i="6" s="1"/>
  <c r="U2856" i="6" s="1"/>
  <c r="N2857" i="6"/>
  <c r="O2857" i="6"/>
  <c r="N2858" i="6"/>
  <c r="O2858" i="6"/>
  <c r="N2859" i="6"/>
  <c r="P2859" i="6" s="1"/>
  <c r="U2859" i="6" s="1"/>
  <c r="N2860" i="6"/>
  <c r="P2860" i="6" s="1"/>
  <c r="U2860" i="6" s="1"/>
  <c r="N2861" i="6"/>
  <c r="P2861" i="6" s="1"/>
  <c r="U2861" i="6" s="1"/>
  <c r="N2862" i="6"/>
  <c r="P2862" i="6" s="1"/>
  <c r="U2862" i="6" s="1"/>
  <c r="N2863" i="6"/>
  <c r="O2863" i="6"/>
  <c r="N2864" i="6"/>
  <c r="O2864" i="6"/>
  <c r="N2865" i="6"/>
  <c r="O2865" i="6"/>
  <c r="N2866" i="6"/>
  <c r="N2867" i="6"/>
  <c r="P2867" i="6" s="1"/>
  <c r="U2867" i="6" s="1"/>
  <c r="N2868" i="6"/>
  <c r="P2868" i="6" s="1"/>
  <c r="U2868" i="6" s="1"/>
  <c r="N2869" i="6"/>
  <c r="O2869" i="6"/>
  <c r="N2870" i="6"/>
  <c r="O2870" i="6"/>
  <c r="N2871" i="6"/>
  <c r="O2871" i="6"/>
  <c r="N2872" i="6"/>
  <c r="P2872" i="6" s="1"/>
  <c r="U2872" i="6" s="1"/>
  <c r="N2874" i="6"/>
  <c r="P2874" i="6" s="1"/>
  <c r="U2874" i="6" s="1"/>
  <c r="N2875" i="6"/>
  <c r="N2876" i="6"/>
  <c r="P2876" i="6" s="1"/>
  <c r="U2876" i="6" s="1"/>
  <c r="N2877" i="6"/>
  <c r="P2877" i="6" s="1"/>
  <c r="U2877" i="6" s="1"/>
  <c r="N2878" i="6"/>
  <c r="P2878" i="6" s="1"/>
  <c r="U2878" i="6" s="1"/>
  <c r="N2879" i="6"/>
  <c r="O2879" i="6"/>
  <c r="N2880" i="6"/>
  <c r="N2881" i="6"/>
  <c r="P2881" i="6" s="1"/>
  <c r="U2881" i="6" s="1"/>
  <c r="N2882" i="6"/>
  <c r="P2882" i="6" s="1"/>
  <c r="U2882" i="6" s="1"/>
  <c r="N2883" i="6"/>
  <c r="O2883" i="6"/>
  <c r="N2884" i="6"/>
  <c r="N2885" i="6"/>
  <c r="O2885" i="6"/>
  <c r="N2886" i="6"/>
  <c r="P2886" i="6" s="1"/>
  <c r="U2886" i="6" s="1"/>
  <c r="N2887" i="6"/>
  <c r="N2888" i="6"/>
  <c r="N2889" i="6"/>
  <c r="N2890" i="6"/>
  <c r="O2891" i="6"/>
  <c r="P2891" i="6" s="1"/>
  <c r="U2891" i="6" s="1"/>
  <c r="N2892" i="6"/>
  <c r="O2892" i="6"/>
  <c r="N2893" i="6"/>
  <c r="P2893" i="6" s="1"/>
  <c r="U2893" i="6" s="1"/>
  <c r="N2894" i="6"/>
  <c r="P2894" i="6" s="1"/>
  <c r="U2894" i="6" s="1"/>
  <c r="N2895" i="6"/>
  <c r="P2895" i="6" s="1"/>
  <c r="U2895" i="6" s="1"/>
  <c r="N2896" i="6"/>
  <c r="N2897" i="6"/>
  <c r="O2897" i="6"/>
  <c r="N2898" i="6"/>
  <c r="O2898" i="6"/>
  <c r="N2899" i="6"/>
  <c r="O2899" i="6"/>
  <c r="N2900" i="6"/>
  <c r="N2901" i="6"/>
  <c r="N2902" i="6"/>
  <c r="N2903" i="6"/>
  <c r="O2903" i="6"/>
  <c r="N2904" i="6"/>
  <c r="O2904" i="6"/>
  <c r="N2905" i="6"/>
  <c r="O2905" i="6"/>
  <c r="N2906" i="6"/>
  <c r="P2906" i="6" s="1"/>
  <c r="U2906" i="6" s="1"/>
  <c r="N2907" i="6"/>
  <c r="P2907" i="6" s="1"/>
  <c r="U2907" i="6" s="1"/>
  <c r="N2908" i="6"/>
  <c r="P2908" i="6" s="1"/>
  <c r="U2908" i="6" s="1"/>
  <c r="N2909" i="6"/>
  <c r="P2909" i="6" s="1"/>
  <c r="U2909" i="6" s="1"/>
  <c r="N2910" i="6"/>
  <c r="P2910" i="6" s="1"/>
  <c r="U2910" i="6" s="1"/>
  <c r="N2911" i="6"/>
  <c r="P2911" i="6" s="1"/>
  <c r="U2911" i="6" s="1"/>
  <c r="P2912" i="6"/>
  <c r="U2912" i="6" s="1"/>
  <c r="N2913" i="6"/>
  <c r="O2913" i="6"/>
  <c r="N2914" i="6"/>
  <c r="N2915" i="6"/>
  <c r="P2915" i="6" s="1"/>
  <c r="U2915" i="6" s="1"/>
  <c r="N2916" i="6"/>
  <c r="P2916" i="6" s="1"/>
  <c r="U2916" i="6" s="1"/>
  <c r="N2917" i="6"/>
  <c r="O2917" i="6"/>
  <c r="N2918" i="6"/>
  <c r="P2918" i="6" s="1"/>
  <c r="U2918" i="6" s="1"/>
  <c r="N2919" i="6"/>
  <c r="O2919" i="6"/>
  <c r="N2920" i="6"/>
  <c r="P2920" i="6" s="1"/>
  <c r="U2920" i="6" s="1"/>
  <c r="N2921" i="6"/>
  <c r="P2921" i="6" s="1"/>
  <c r="U2921" i="6" s="1"/>
  <c r="N2922" i="6"/>
  <c r="N2923" i="6"/>
  <c r="O2923" i="6"/>
  <c r="O2924" i="6"/>
  <c r="P2924" i="6" s="1"/>
  <c r="U2924" i="6" s="1"/>
  <c r="N2925" i="6"/>
  <c r="O2925" i="6"/>
  <c r="N2926" i="6"/>
  <c r="O2926" i="6"/>
  <c r="N2927" i="6"/>
  <c r="N2928" i="6"/>
  <c r="O2928" i="6"/>
  <c r="N2929" i="6"/>
  <c r="O2929" i="6"/>
  <c r="N2930" i="6"/>
  <c r="O2930" i="6"/>
  <c r="N2931" i="6"/>
  <c r="O2931" i="6"/>
  <c r="N2932" i="6"/>
  <c r="O2932" i="6"/>
  <c r="N2933" i="6"/>
  <c r="O2933" i="6"/>
  <c r="N2934" i="6"/>
  <c r="O2934" i="6"/>
  <c r="N2935" i="6"/>
  <c r="P2935" i="6" s="1"/>
  <c r="U2935" i="6" s="1"/>
  <c r="N2936" i="6"/>
  <c r="N2937" i="6"/>
  <c r="O2937" i="6"/>
  <c r="N2938" i="6"/>
  <c r="O2938" i="6"/>
  <c r="N2939" i="6"/>
  <c r="O2939" i="6"/>
  <c r="N2940" i="6"/>
  <c r="O2940" i="6"/>
  <c r="N2941" i="6"/>
  <c r="N2942" i="6"/>
  <c r="P2942" i="6" s="1"/>
  <c r="U2942" i="6" s="1"/>
  <c r="N2943" i="6"/>
  <c r="O2943" i="6"/>
  <c r="N2944" i="6"/>
  <c r="O2944" i="6"/>
  <c r="N2945" i="6"/>
  <c r="O2945" i="6"/>
  <c r="N2946" i="6"/>
  <c r="O2946" i="6"/>
  <c r="N2947" i="6"/>
  <c r="N2948" i="6"/>
  <c r="N2949" i="6"/>
  <c r="O2949" i="6"/>
  <c r="N2950" i="6"/>
  <c r="P2950" i="6" s="1"/>
  <c r="U2950" i="6" s="1"/>
  <c r="N2951" i="6"/>
  <c r="O2951" i="6"/>
  <c r="N2952" i="6"/>
  <c r="O2952" i="6"/>
  <c r="N2953" i="6"/>
  <c r="P2953" i="6" s="1"/>
  <c r="U2953" i="6" s="1"/>
  <c r="N2954" i="6"/>
  <c r="O2954" i="6"/>
  <c r="N2955" i="6"/>
  <c r="P2955" i="6" s="1"/>
  <c r="U2955" i="6" s="1"/>
  <c r="P2956" i="6"/>
  <c r="U2956" i="6" s="1"/>
  <c r="N2957" i="6"/>
  <c r="O2957" i="6"/>
  <c r="N2958" i="6"/>
  <c r="O2958" i="6"/>
  <c r="N2959" i="6"/>
  <c r="O2959" i="6"/>
  <c r="N2960" i="6"/>
  <c r="O2960" i="6"/>
  <c r="N2961" i="6"/>
  <c r="P2961" i="6" s="1"/>
  <c r="U2961" i="6" s="1"/>
  <c r="V2961" i="6" s="1"/>
  <c r="N2962" i="6"/>
  <c r="P2962" i="6" s="1"/>
  <c r="U2962" i="6" s="1"/>
  <c r="N2963" i="6"/>
  <c r="O2963" i="6"/>
  <c r="N2964" i="6"/>
  <c r="O2964" i="6"/>
  <c r="N2965" i="6"/>
  <c r="O2965" i="6"/>
  <c r="N2966" i="6"/>
  <c r="O2966" i="6"/>
  <c r="N2967" i="6"/>
  <c r="P2967" i="6" s="1"/>
  <c r="U2967" i="6" s="1"/>
  <c r="N2968" i="6"/>
  <c r="N2969" i="6"/>
  <c r="N2971" i="6"/>
  <c r="P2971" i="6" s="1"/>
  <c r="U2971" i="6" s="1"/>
  <c r="N2972" i="6"/>
  <c r="P2972" i="6" s="1"/>
  <c r="U2972" i="6" s="1"/>
  <c r="N2973" i="6"/>
  <c r="N2974" i="6"/>
  <c r="O2974" i="6"/>
  <c r="O2975" i="6"/>
  <c r="P2975" i="6" s="1"/>
  <c r="U2975" i="6" s="1"/>
  <c r="N2976" i="6"/>
  <c r="O2976" i="6"/>
  <c r="N2977" i="6"/>
  <c r="O2977" i="6"/>
  <c r="N2978" i="6"/>
  <c r="O2978" i="6"/>
  <c r="N2979" i="6"/>
  <c r="P2979" i="6" s="1"/>
  <c r="U2979" i="6" s="1"/>
  <c r="N2980" i="6"/>
  <c r="O2980" i="6"/>
  <c r="N2981" i="6"/>
  <c r="O2981" i="6"/>
  <c r="N2982" i="6"/>
  <c r="O2982" i="6"/>
  <c r="N2983" i="6"/>
  <c r="O2983" i="6"/>
  <c r="N2984" i="6"/>
  <c r="O2984" i="6"/>
  <c r="N2985" i="6"/>
  <c r="O2985" i="6"/>
  <c r="P2986" i="6"/>
  <c r="U2986" i="6" s="1"/>
  <c r="P2987" i="6"/>
  <c r="U2987" i="6" s="1"/>
  <c r="N2988" i="6"/>
  <c r="P2988" i="6" s="1"/>
  <c r="U2988" i="6" s="1"/>
  <c r="P2989" i="6"/>
  <c r="U2989" i="6" s="1"/>
  <c r="N2990" i="6"/>
  <c r="P2990" i="6" s="1"/>
  <c r="U2990" i="6" s="1"/>
  <c r="N2991" i="6"/>
  <c r="P2991" i="6" s="1"/>
  <c r="U2991" i="6" s="1"/>
  <c r="N2992" i="6"/>
  <c r="P2992" i="6" s="1"/>
  <c r="U2992" i="6" s="1"/>
  <c r="N2993" i="6"/>
  <c r="P2993" i="6" s="1"/>
  <c r="U2993" i="6" s="1"/>
  <c r="P2994" i="6"/>
  <c r="U2994" i="6" s="1"/>
  <c r="N2995" i="6"/>
  <c r="P2995" i="6" s="1"/>
  <c r="U2995" i="6" s="1"/>
  <c r="N2996" i="6"/>
  <c r="N2997" i="6"/>
  <c r="P2997" i="6" s="1"/>
  <c r="U2997" i="6" s="1"/>
  <c r="N2998" i="6"/>
  <c r="P2998" i="6" s="1"/>
  <c r="U2998" i="6" s="1"/>
  <c r="N2999" i="6"/>
  <c r="O2999" i="6"/>
  <c r="N3000" i="6"/>
  <c r="N3001" i="6"/>
  <c r="O3001" i="6"/>
  <c r="N3002" i="6"/>
  <c r="P3002" i="6" s="1"/>
  <c r="U3002" i="6" s="1"/>
  <c r="N3003" i="6"/>
  <c r="N3004" i="6"/>
  <c r="N3005" i="6"/>
  <c r="O3005" i="6"/>
  <c r="N3006" i="6"/>
  <c r="P3006" i="6" s="1"/>
  <c r="U3006" i="6" s="1"/>
  <c r="N3007" i="6"/>
  <c r="O3007" i="6"/>
  <c r="N3009" i="6"/>
  <c r="P3009" i="6" s="1"/>
  <c r="U3009" i="6" s="1"/>
  <c r="N3010" i="6"/>
  <c r="P3010" i="6" s="1"/>
  <c r="U3010" i="6" s="1"/>
  <c r="N3011" i="6"/>
  <c r="P3011" i="6" s="1"/>
  <c r="U3011" i="6" s="1"/>
  <c r="N3012" i="6"/>
  <c r="P3012" i="6" s="1"/>
  <c r="U3012" i="6" s="1"/>
  <c r="N3013" i="6"/>
  <c r="P3013" i="6" s="1"/>
  <c r="U3013" i="6" s="1"/>
  <c r="N3014" i="6"/>
  <c r="P3014" i="6" s="1"/>
  <c r="U3014" i="6" s="1"/>
  <c r="N3015" i="6"/>
  <c r="P3015" i="6" s="1"/>
  <c r="U3015" i="6" s="1"/>
  <c r="N3016" i="6"/>
  <c r="P3016" i="6" s="1"/>
  <c r="U3016" i="6" s="1"/>
  <c r="N3017" i="6"/>
  <c r="O3017" i="6"/>
  <c r="N3018" i="6"/>
  <c r="O3018" i="6"/>
  <c r="N3019" i="6"/>
  <c r="O3019" i="6"/>
  <c r="N3020" i="6"/>
  <c r="O3020" i="6"/>
  <c r="N3021" i="6"/>
  <c r="P3021" i="6" s="1"/>
  <c r="U3021" i="6" s="1"/>
  <c r="N3022" i="6"/>
  <c r="O3022" i="6"/>
  <c r="N3023" i="6"/>
  <c r="N3024" i="6"/>
  <c r="P3024" i="6" s="1"/>
  <c r="U3024" i="6" s="1"/>
  <c r="N3025" i="6"/>
  <c r="O3025" i="6"/>
  <c r="O3026" i="6"/>
  <c r="P3026" i="6" s="1"/>
  <c r="U3026" i="6" s="1"/>
  <c r="N3027" i="6"/>
  <c r="P3027" i="6" s="1"/>
  <c r="U3027" i="6" s="1"/>
  <c r="N3028" i="6"/>
  <c r="P3028" i="6" s="1"/>
  <c r="U3028" i="6" s="1"/>
  <c r="N3029" i="6"/>
  <c r="P3029" i="6" s="1"/>
  <c r="U3029" i="6" s="1"/>
  <c r="N3030" i="6"/>
  <c r="P3030" i="6" s="1"/>
  <c r="U3030" i="6" s="1"/>
  <c r="N3031" i="6"/>
  <c r="O3031" i="6"/>
  <c r="N3032" i="6"/>
  <c r="O3032" i="6"/>
  <c r="N3033" i="6"/>
  <c r="O3033" i="6"/>
  <c r="N3034" i="6"/>
  <c r="O3034" i="6"/>
  <c r="N3035" i="6"/>
  <c r="O3035" i="6"/>
  <c r="N3036" i="6"/>
  <c r="O3036" i="6"/>
  <c r="N3037" i="6"/>
  <c r="P3037" i="6" s="1"/>
  <c r="U3037" i="6" s="1"/>
  <c r="N3038" i="6"/>
  <c r="P3038" i="6" s="1"/>
  <c r="U3038" i="6" s="1"/>
  <c r="N3039" i="6"/>
  <c r="O3039" i="6"/>
  <c r="N3040" i="6"/>
  <c r="O3040" i="6"/>
  <c r="N3041" i="6"/>
  <c r="O3041" i="6"/>
  <c r="N3042" i="6"/>
  <c r="O3042" i="6"/>
  <c r="N3043" i="6"/>
  <c r="P3043" i="6" s="1"/>
  <c r="U3043" i="6" s="1"/>
  <c r="P3044" i="6"/>
  <c r="U3044" i="6" s="1"/>
  <c r="N3045" i="6"/>
  <c r="O3045" i="6"/>
  <c r="N3046" i="6"/>
  <c r="O3046" i="6"/>
  <c r="N3047" i="6"/>
  <c r="O3047" i="6"/>
  <c r="N3048" i="6"/>
  <c r="O3048" i="6"/>
  <c r="N3049" i="6"/>
  <c r="O3049" i="6"/>
  <c r="N3050" i="6"/>
  <c r="P3050" i="6" s="1"/>
  <c r="U3050" i="6" s="1"/>
  <c r="N3051" i="6"/>
  <c r="P3051" i="6" s="1"/>
  <c r="U3051" i="6" s="1"/>
  <c r="N3052" i="6"/>
  <c r="O3052" i="6"/>
  <c r="O3053" i="6"/>
  <c r="P3053" i="6" s="1"/>
  <c r="U3053" i="6" s="1"/>
  <c r="N3054" i="6"/>
  <c r="O3054" i="6"/>
  <c r="N3055" i="6"/>
  <c r="O3055" i="6"/>
  <c r="N3056" i="6"/>
  <c r="O3056" i="6"/>
  <c r="N3057" i="6"/>
  <c r="P3057" i="6" s="1"/>
  <c r="U3057" i="6" s="1"/>
  <c r="N3058" i="6"/>
  <c r="N3059" i="6"/>
  <c r="O3059" i="6"/>
  <c r="N3060" i="6"/>
  <c r="O3060" i="6"/>
  <c r="N3061" i="6"/>
  <c r="O3061" i="6"/>
  <c r="P3062" i="6"/>
  <c r="U3062" i="6" s="1"/>
  <c r="N3063" i="6"/>
  <c r="P3063" i="6" s="1"/>
  <c r="N3064" i="6"/>
  <c r="P3064" i="6" s="1"/>
  <c r="U3064" i="6" s="1"/>
  <c r="P3065" i="6"/>
  <c r="U3065" i="6" s="1"/>
  <c r="N3066" i="6"/>
  <c r="P3066" i="6" s="1"/>
  <c r="U3066" i="6" s="1"/>
  <c r="N3067" i="6"/>
  <c r="P3067" i="6" s="1"/>
  <c r="N3068" i="6"/>
  <c r="P3068" i="6" s="1"/>
  <c r="U3068" i="6" s="1"/>
  <c r="P3069" i="6"/>
  <c r="U3069" i="6" s="1"/>
  <c r="P3070" i="6"/>
  <c r="U3070" i="6" s="1"/>
  <c r="N3071" i="6"/>
  <c r="P3071" i="6" s="1"/>
  <c r="U3071" i="6" s="1"/>
  <c r="N3072" i="6"/>
  <c r="P3072" i="6" s="1"/>
  <c r="U3072" i="6" s="1"/>
  <c r="N3073" i="6"/>
  <c r="P3073" i="6" s="1"/>
  <c r="U3073" i="6" s="1"/>
  <c r="V3073" i="6" s="1"/>
  <c r="N3074" i="6"/>
  <c r="P3074" i="6" s="1"/>
  <c r="U3074" i="6" s="1"/>
  <c r="P3075" i="6"/>
  <c r="U3075" i="6" s="1"/>
  <c r="N3076" i="6"/>
  <c r="N3077" i="6"/>
  <c r="O3077" i="6"/>
  <c r="N3078" i="6"/>
  <c r="O3078" i="6"/>
  <c r="N3079" i="6"/>
  <c r="O3079" i="6"/>
  <c r="N3080" i="6"/>
  <c r="N3081" i="6"/>
  <c r="P3081" i="6" s="1"/>
  <c r="U3081" i="6" s="1"/>
  <c r="N3082" i="6"/>
  <c r="O3082" i="6"/>
  <c r="N3083" i="6"/>
  <c r="O3083" i="6"/>
  <c r="N3084" i="6"/>
  <c r="O3084" i="6"/>
  <c r="N3085" i="6"/>
  <c r="O3085" i="6"/>
  <c r="N3086" i="6"/>
  <c r="P3086" i="6" s="1"/>
  <c r="U3086" i="6" s="1"/>
  <c r="N3087" i="6"/>
  <c r="N3088" i="6"/>
  <c r="N3089" i="6"/>
  <c r="P3089" i="6" s="1"/>
  <c r="U3089" i="6" s="1"/>
  <c r="N3090" i="6"/>
  <c r="O3091" i="6"/>
  <c r="P3091" i="6" s="1"/>
  <c r="U3091" i="6" s="1"/>
  <c r="N3092" i="6"/>
  <c r="O3092" i="6"/>
  <c r="N3093" i="6"/>
  <c r="O3093" i="6"/>
  <c r="N3094" i="6"/>
  <c r="P3094" i="6" s="1"/>
  <c r="U3094" i="6" s="1"/>
  <c r="V3094" i="6" s="1"/>
  <c r="N3095" i="6"/>
  <c r="P3095" i="6" s="1"/>
  <c r="U3095" i="6" s="1"/>
  <c r="N3096" i="6"/>
  <c r="O3096" i="6"/>
  <c r="N3097" i="6"/>
  <c r="O3097" i="6"/>
  <c r="N3098" i="6"/>
  <c r="O3098" i="6"/>
  <c r="N3099" i="6"/>
  <c r="O3099" i="6"/>
  <c r="N3100" i="6"/>
  <c r="P3100" i="6" s="1"/>
  <c r="U3100" i="6" s="1"/>
  <c r="N3101" i="6"/>
  <c r="P3101" i="6" s="1"/>
  <c r="U3101" i="6" s="1"/>
  <c r="N3102" i="6"/>
  <c r="P3102" i="6" s="1"/>
  <c r="U3102" i="6" s="1"/>
  <c r="V3102" i="6" s="1"/>
  <c r="N3103" i="6"/>
  <c r="O3103" i="6"/>
  <c r="N3104" i="6"/>
  <c r="O3104" i="6"/>
  <c r="N3105" i="6"/>
  <c r="O3105" i="6"/>
  <c r="N3106" i="6"/>
  <c r="O3106" i="6"/>
  <c r="N3107" i="6"/>
  <c r="O3107" i="6"/>
  <c r="N3108" i="6"/>
  <c r="P3109" i="6"/>
  <c r="U3109" i="6" s="1"/>
  <c r="N3110" i="6"/>
  <c r="P3110" i="6" s="1"/>
  <c r="U3110" i="6" s="1"/>
  <c r="N3111" i="6"/>
  <c r="O3111" i="6"/>
  <c r="N3112" i="6"/>
  <c r="O3112" i="6"/>
  <c r="N3113" i="6"/>
  <c r="O3113" i="6"/>
  <c r="N3114" i="6"/>
  <c r="N3115" i="6"/>
  <c r="P3115" i="6" s="1"/>
  <c r="U3115" i="6" s="1"/>
  <c r="N3116" i="6"/>
  <c r="P3116" i="6" s="1"/>
  <c r="U3116" i="6" s="1"/>
  <c r="N3117" i="6"/>
  <c r="O3117" i="6"/>
  <c r="N3118" i="6"/>
  <c r="O3118" i="6"/>
  <c r="N3119" i="6"/>
  <c r="O3119" i="6"/>
  <c r="N3120" i="6"/>
  <c r="N3121" i="6"/>
  <c r="P3121" i="6" s="1"/>
  <c r="U3121" i="6" s="1"/>
  <c r="N3122" i="6"/>
  <c r="P3122" i="6" s="1"/>
  <c r="U3122" i="6" s="1"/>
  <c r="P3123" i="6"/>
  <c r="U3123" i="6" s="1"/>
  <c r="N3124" i="6"/>
  <c r="P3124" i="6" s="1"/>
  <c r="U3124" i="6" s="1"/>
  <c r="N3125" i="6"/>
  <c r="O3125" i="6"/>
  <c r="N3126" i="6"/>
  <c r="O3126" i="6"/>
  <c r="N3127" i="6"/>
  <c r="O3127" i="6"/>
  <c r="N3128" i="6"/>
  <c r="P3128" i="6" s="1"/>
  <c r="U3128" i="6" s="1"/>
  <c r="N3129" i="6"/>
  <c r="O3129" i="6"/>
  <c r="N3130" i="6"/>
  <c r="O3130" i="6"/>
  <c r="N3131" i="6"/>
  <c r="O3131" i="6"/>
  <c r="P3132" i="6"/>
  <c r="U3132" i="6" s="1"/>
  <c r="N3133" i="6"/>
  <c r="O3133" i="6"/>
  <c r="N3134" i="6"/>
  <c r="O3134" i="6"/>
  <c r="N3135" i="6"/>
  <c r="O3135" i="6"/>
  <c r="N3136" i="6"/>
  <c r="O3136" i="6"/>
  <c r="N3137" i="6"/>
  <c r="O3137" i="6"/>
  <c r="N3138" i="6"/>
  <c r="O3138" i="6"/>
  <c r="N3139" i="6"/>
  <c r="O3139" i="6"/>
  <c r="N3140" i="6"/>
  <c r="O3140" i="6"/>
  <c r="N3141" i="6"/>
  <c r="O3141" i="6"/>
  <c r="N3142" i="6"/>
  <c r="P3142" i="6" s="1"/>
  <c r="U3142" i="6" s="1"/>
  <c r="N3143" i="6"/>
  <c r="P3143" i="6" s="1"/>
  <c r="U3143" i="6" s="1"/>
  <c r="N3144" i="6"/>
  <c r="O3144" i="6"/>
  <c r="N3145" i="6"/>
  <c r="O3145" i="6"/>
  <c r="N3146" i="6"/>
  <c r="O3146" i="6"/>
  <c r="N3147" i="6"/>
  <c r="O3147" i="6"/>
  <c r="N3148" i="6"/>
  <c r="O3148" i="6"/>
  <c r="N3149" i="6"/>
  <c r="P3149" i="6" s="1"/>
  <c r="U3149" i="6" s="1"/>
  <c r="P3150" i="6"/>
  <c r="U3150" i="6" s="1"/>
  <c r="N3151" i="6"/>
  <c r="P3151" i="6" s="1"/>
  <c r="U3151" i="6" s="1"/>
  <c r="N3152" i="6"/>
  <c r="P3152" i="6" s="1"/>
  <c r="U3152" i="6" s="1"/>
  <c r="N3153" i="6"/>
  <c r="P3153" i="6" s="1"/>
  <c r="U3153" i="6" s="1"/>
  <c r="N3154" i="6"/>
  <c r="P3154" i="6" s="1"/>
  <c r="U3154" i="6" s="1"/>
  <c r="N3155" i="6"/>
  <c r="P3155" i="6" s="1"/>
  <c r="U3155" i="6" s="1"/>
  <c r="N3156" i="6"/>
  <c r="P3156" i="6" s="1"/>
  <c r="U3156" i="6" s="1"/>
  <c r="N3157" i="6"/>
  <c r="P3157" i="6" s="1"/>
  <c r="U3157" i="6" s="1"/>
  <c r="N3158" i="6"/>
  <c r="P3158" i="6" s="1"/>
  <c r="U3158" i="6" s="1"/>
  <c r="N3159" i="6"/>
  <c r="P3159" i="6" s="1"/>
  <c r="U3159" i="6" s="1"/>
  <c r="P3160" i="6"/>
  <c r="U3160" i="6" s="1"/>
  <c r="P3161" i="6"/>
  <c r="U3161" i="6" s="1"/>
  <c r="O444" i="14" s="1"/>
  <c r="P3162" i="6"/>
  <c r="U3162" i="6" s="1"/>
  <c r="N3163" i="6"/>
  <c r="P3163" i="6" s="1"/>
  <c r="U3163" i="6" s="1"/>
  <c r="P3164" i="6"/>
  <c r="U3164" i="6" s="1"/>
  <c r="N3165" i="6"/>
  <c r="P3165" i="6" s="1"/>
  <c r="U3165" i="6" s="1"/>
  <c r="P3166" i="6"/>
  <c r="U3166" i="6" s="1"/>
  <c r="N3167" i="6"/>
  <c r="P3167" i="6" s="1"/>
  <c r="U3167" i="6" s="1"/>
  <c r="P3168" i="6"/>
  <c r="U3168" i="6" s="1"/>
  <c r="N3169" i="6"/>
  <c r="P3169" i="6" s="1"/>
  <c r="U3169" i="6" s="1"/>
  <c r="P3170" i="6"/>
  <c r="U3170" i="6" s="1"/>
  <c r="N3171" i="6"/>
  <c r="P3171" i="6" s="1"/>
  <c r="U3171" i="6" s="1"/>
  <c r="P3172" i="6"/>
  <c r="U3172" i="6" s="1"/>
  <c r="N3173" i="6"/>
  <c r="P3173" i="6" s="1"/>
  <c r="U3173" i="6" s="1"/>
  <c r="N3174" i="6"/>
  <c r="P3174" i="6" s="1"/>
  <c r="U3174" i="6" s="1"/>
  <c r="N3175" i="6"/>
  <c r="P3175" i="6" s="1"/>
  <c r="U3175" i="6" s="1"/>
  <c r="N3176" i="6"/>
  <c r="P3176" i="6" s="1"/>
  <c r="U3176" i="6" s="1"/>
  <c r="N3177" i="6"/>
  <c r="P3177" i="6" s="1"/>
  <c r="U3177" i="6" s="1"/>
  <c r="N3178" i="6"/>
  <c r="P3178" i="6" s="1"/>
  <c r="U3178" i="6" s="1"/>
  <c r="N3179" i="6"/>
  <c r="P3179" i="6" s="1"/>
  <c r="U3179" i="6" s="1"/>
  <c r="N3180" i="6"/>
  <c r="P3180" i="6" s="1"/>
  <c r="U3180" i="6" s="1"/>
  <c r="P3181" i="6"/>
  <c r="U3181" i="6" s="1"/>
  <c r="N3183" i="6"/>
  <c r="O3183" i="6"/>
  <c r="N3184" i="6"/>
  <c r="P3184" i="6" s="1"/>
  <c r="U3184" i="6" s="1"/>
  <c r="N3185" i="6"/>
  <c r="P3185" i="6" s="1"/>
  <c r="U3185" i="6" s="1"/>
  <c r="V3185" i="6" s="1"/>
  <c r="N3186" i="6"/>
  <c r="P3186" i="6" s="1"/>
  <c r="U3186" i="6" s="1"/>
  <c r="N3187" i="6"/>
  <c r="O3187" i="6"/>
  <c r="N3188" i="6"/>
  <c r="P3188" i="6" s="1"/>
  <c r="U3188" i="6" s="1"/>
  <c r="N3189" i="6"/>
  <c r="O3189" i="6"/>
  <c r="N3190" i="6"/>
  <c r="N3191" i="6"/>
  <c r="O3191" i="6"/>
  <c r="O3192" i="6"/>
  <c r="P3192" i="6" s="1"/>
  <c r="U3192" i="6" s="1"/>
  <c r="N3193" i="6"/>
  <c r="O3193" i="6"/>
  <c r="N3194" i="6"/>
  <c r="P3194" i="6" s="1"/>
  <c r="U3194" i="6" s="1"/>
  <c r="N3195" i="6"/>
  <c r="O3195" i="6"/>
  <c r="N3196" i="6"/>
  <c r="O3196" i="6"/>
  <c r="N3197" i="6"/>
  <c r="O3197" i="6"/>
  <c r="N3198" i="6"/>
  <c r="N3199" i="6"/>
  <c r="O3199" i="6"/>
  <c r="N3200" i="6"/>
  <c r="O3200" i="6"/>
  <c r="N3201" i="6"/>
  <c r="O3201" i="6"/>
  <c r="N3202" i="6"/>
  <c r="O3202" i="6"/>
  <c r="N3203" i="6"/>
  <c r="O3203" i="6"/>
  <c r="N3204" i="6"/>
  <c r="O3204" i="6"/>
  <c r="N3205" i="6"/>
  <c r="O3205" i="6"/>
  <c r="N3206" i="6"/>
  <c r="O3206" i="6"/>
  <c r="N3207" i="6"/>
  <c r="O3207" i="6"/>
  <c r="O3208" i="6"/>
  <c r="P3208" i="6" s="1"/>
  <c r="U3208" i="6" s="1"/>
  <c r="N3209" i="6"/>
  <c r="P3209" i="6" s="1"/>
  <c r="U3209" i="6" s="1"/>
  <c r="N3210" i="6"/>
  <c r="O3210" i="6"/>
  <c r="N3211" i="6"/>
  <c r="N3212" i="6"/>
  <c r="O3212" i="6"/>
  <c r="N3213" i="6"/>
  <c r="O3213" i="6"/>
  <c r="N3214" i="6"/>
  <c r="P3214" i="6" s="1"/>
  <c r="U3214" i="6" s="1"/>
  <c r="V3214" i="6" s="1"/>
  <c r="N3215" i="6"/>
  <c r="O3215" i="6"/>
  <c r="N3216" i="6"/>
  <c r="P3216" i="6" s="1"/>
  <c r="U3216" i="6" s="1"/>
  <c r="N3217" i="6"/>
  <c r="P3217" i="6" s="1"/>
  <c r="U3217" i="6" s="1"/>
  <c r="N3218" i="6"/>
  <c r="P3218" i="6" s="1"/>
  <c r="U3218" i="6" s="1"/>
  <c r="N3219" i="6"/>
  <c r="O3219" i="6"/>
  <c r="N3220" i="6"/>
  <c r="O3220" i="6"/>
  <c r="N3221" i="6"/>
  <c r="P3221" i="6" s="1"/>
  <c r="U3221" i="6" s="1"/>
  <c r="N3222" i="6"/>
  <c r="O3222" i="6"/>
  <c r="N3223" i="6"/>
  <c r="O3223" i="6"/>
  <c r="N3224" i="6"/>
  <c r="O3224" i="6"/>
  <c r="N3225" i="6"/>
  <c r="O3225" i="6"/>
  <c r="N3226" i="6"/>
  <c r="O3226" i="6"/>
  <c r="N3227" i="6"/>
  <c r="P3227" i="6" s="1"/>
  <c r="U3227" i="6" s="1"/>
  <c r="N3228" i="6"/>
  <c r="O3228" i="6"/>
  <c r="N3229" i="6"/>
  <c r="P3229" i="6" s="1"/>
  <c r="U3229" i="6" s="1"/>
  <c r="N3230" i="6"/>
  <c r="O3230" i="6"/>
  <c r="N3231" i="6"/>
  <c r="P3231" i="6" s="1"/>
  <c r="U3231" i="6" s="1"/>
  <c r="N3232" i="6"/>
  <c r="O3232" i="6"/>
  <c r="O3233" i="6"/>
  <c r="P3233" i="6" s="1"/>
  <c r="U3233" i="6" s="1"/>
  <c r="V3233" i="6" s="1"/>
  <c r="N3234" i="6"/>
  <c r="P3234" i="6" s="1"/>
  <c r="U3234" i="6" s="1"/>
  <c r="N3235" i="6"/>
  <c r="O3235" i="6"/>
  <c r="N3236" i="6"/>
  <c r="N3237" i="6"/>
  <c r="O3237" i="6"/>
  <c r="N3238" i="6"/>
  <c r="O3238" i="6"/>
  <c r="N3239" i="6"/>
  <c r="O3239" i="6"/>
  <c r="N3240" i="6"/>
  <c r="N3241" i="6"/>
  <c r="O3241" i="6"/>
  <c r="N3242" i="6"/>
  <c r="O3242" i="6"/>
  <c r="N3243" i="6"/>
  <c r="O3243" i="6"/>
  <c r="O3244" i="6"/>
  <c r="P3244" i="6" s="1"/>
  <c r="U3244" i="6" s="1"/>
  <c r="N3245" i="6"/>
  <c r="O3245" i="6"/>
  <c r="N3246" i="6"/>
  <c r="O3246" i="6"/>
  <c r="N3247" i="6"/>
  <c r="P3247" i="6" s="1"/>
  <c r="U3247" i="6" s="1"/>
  <c r="N3248" i="6"/>
  <c r="N3249" i="6"/>
  <c r="O3249" i="6"/>
  <c r="N3250" i="6"/>
  <c r="O3250" i="6"/>
  <c r="N3251" i="6"/>
  <c r="O3251" i="6"/>
  <c r="N3252" i="6"/>
  <c r="O3252" i="6"/>
  <c r="N3253" i="6"/>
  <c r="O3253" i="6"/>
  <c r="N3254" i="6"/>
  <c r="O3254" i="6"/>
  <c r="O3255" i="6"/>
  <c r="P3255" i="6" s="1"/>
  <c r="U3255" i="6" s="1"/>
  <c r="N3256" i="6"/>
  <c r="P3256" i="6" s="1"/>
  <c r="U3256" i="6" s="1"/>
  <c r="N3257" i="6"/>
  <c r="N3258" i="6"/>
  <c r="O3258" i="6"/>
  <c r="N3259" i="6"/>
  <c r="P3259" i="6" s="1"/>
  <c r="U3259" i="6" s="1"/>
  <c r="N3260" i="6"/>
  <c r="O3260" i="6"/>
  <c r="N3261" i="6"/>
  <c r="P3261" i="6" s="1"/>
  <c r="U3261" i="6" s="1"/>
  <c r="N3262" i="6"/>
  <c r="O3262" i="6"/>
  <c r="N3263" i="6"/>
  <c r="O3263" i="6"/>
  <c r="N3264" i="6"/>
  <c r="O3264" i="6"/>
  <c r="N3265" i="6"/>
  <c r="O3265" i="6"/>
  <c r="N3266" i="6"/>
  <c r="O3266" i="6"/>
  <c r="N3267" i="6"/>
  <c r="O3267" i="6"/>
  <c r="N3268" i="6"/>
  <c r="O3268" i="6"/>
  <c r="N3269" i="6"/>
  <c r="O3269" i="6"/>
  <c r="N3270" i="6"/>
  <c r="O3270" i="6"/>
  <c r="N3271" i="6"/>
  <c r="N3272" i="6"/>
  <c r="O3272" i="6"/>
  <c r="N3273" i="6"/>
  <c r="O3273" i="6"/>
  <c r="N3274" i="6"/>
  <c r="O3274" i="6"/>
  <c r="N3275" i="6"/>
  <c r="O3275" i="6"/>
  <c r="H461" i="14"/>
  <c r="O3276" i="6" s="1"/>
  <c r="P3276" i="6" s="1"/>
  <c r="U3276" i="6" s="1"/>
  <c r="N3277" i="6"/>
  <c r="N3278" i="6"/>
  <c r="N3279" i="6"/>
  <c r="N3280" i="6"/>
  <c r="N3281" i="6"/>
  <c r="N3282" i="6"/>
  <c r="N3283" i="6"/>
  <c r="N3284" i="6"/>
  <c r="N3285" i="6"/>
  <c r="N3286" i="6"/>
  <c r="N3287" i="6"/>
  <c r="P3287" i="6" s="1"/>
  <c r="U3287" i="6" s="1"/>
  <c r="N3288" i="6"/>
  <c r="P3288" i="6" s="1"/>
  <c r="U3288" i="6" s="1"/>
  <c r="N3289" i="6"/>
  <c r="P3289" i="6" s="1"/>
  <c r="U3289" i="6" s="1"/>
  <c r="N3290" i="6"/>
  <c r="P3290" i="6" s="1"/>
  <c r="U3290" i="6" s="1"/>
  <c r="N3291" i="6"/>
  <c r="H463" i="14"/>
  <c r="O3292" i="6" s="1"/>
  <c r="P3292" i="6" s="1"/>
  <c r="U3292" i="6" s="1"/>
  <c r="N3293" i="6"/>
  <c r="N3294" i="6"/>
  <c r="N3295" i="6"/>
  <c r="N3296" i="6"/>
  <c r="N3297" i="6"/>
  <c r="N3298" i="6"/>
  <c r="N3299" i="6"/>
  <c r="N3300" i="6"/>
  <c r="N3301" i="6"/>
  <c r="N3302" i="6"/>
  <c r="N3303" i="6"/>
  <c r="O3303" i="6"/>
  <c r="N3304" i="6"/>
  <c r="O3304" i="6"/>
  <c r="N3305" i="6"/>
  <c r="O3305" i="6"/>
  <c r="N3306" i="6"/>
  <c r="O3306" i="6"/>
  <c r="N3307" i="6"/>
  <c r="O3307" i="6"/>
  <c r="N3308" i="6"/>
  <c r="O3308" i="6"/>
  <c r="N3309" i="6"/>
  <c r="O3309" i="6"/>
  <c r="N3310" i="6"/>
  <c r="O3310" i="6"/>
  <c r="N3311" i="6"/>
  <c r="O3311" i="6"/>
  <c r="N3312" i="6"/>
  <c r="O3312" i="6"/>
  <c r="N3313" i="6"/>
  <c r="O3313" i="6"/>
  <c r="N3314" i="6"/>
  <c r="O3314" i="6"/>
  <c r="N3315" i="6"/>
  <c r="N3316" i="6"/>
  <c r="O3316" i="6"/>
  <c r="N3317" i="6"/>
  <c r="H465" i="14"/>
  <c r="O3319" i="6" s="1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5" i="6"/>
  <c r="N3336" i="6"/>
  <c r="P3336" i="6" s="1"/>
  <c r="U3336" i="6" s="1"/>
  <c r="N3337" i="6"/>
  <c r="P3337" i="6" s="1"/>
  <c r="U3337" i="6" s="1"/>
  <c r="N3338" i="6"/>
  <c r="P3338" i="6" s="1"/>
  <c r="U3338" i="6" s="1"/>
  <c r="N3339" i="6"/>
  <c r="P3339" i="6" s="1"/>
  <c r="U3339" i="6" s="1"/>
  <c r="N3340" i="6"/>
  <c r="P3340" i="6" s="1"/>
  <c r="N3341" i="6"/>
  <c r="P3341" i="6" s="1"/>
  <c r="N3342" i="6"/>
  <c r="P3342" i="6" s="1"/>
  <c r="U3342" i="6" s="1"/>
  <c r="O3343" i="6"/>
  <c r="O3344" i="6"/>
  <c r="O3345" i="6"/>
  <c r="O3347" i="6"/>
  <c r="O3348" i="6"/>
  <c r="O3349" i="6"/>
  <c r="P3350" i="6"/>
  <c r="U3350" i="6" s="1"/>
  <c r="N3351" i="6"/>
  <c r="P3351" i="6" s="1"/>
  <c r="U3351" i="6" s="1"/>
  <c r="N3352" i="6"/>
  <c r="P3352" i="6" s="1"/>
  <c r="U3352" i="6" s="1"/>
  <c r="N3353" i="6"/>
  <c r="P3353" i="6" s="1"/>
  <c r="U3353" i="6" s="1"/>
  <c r="N3354" i="6"/>
  <c r="P3354" i="6" s="1"/>
  <c r="U3354" i="6" s="1"/>
  <c r="N3355" i="6"/>
  <c r="P3355" i="6" s="1"/>
  <c r="U3355" i="6" s="1"/>
  <c r="N3356" i="6"/>
  <c r="P3356" i="6" s="1"/>
  <c r="U3356" i="6" s="1"/>
  <c r="N3357" i="6"/>
  <c r="P3357" i="6" s="1"/>
  <c r="U3357" i="6" s="1"/>
  <c r="P3358" i="6"/>
  <c r="U3358" i="6" s="1"/>
  <c r="N3359" i="6"/>
  <c r="P3359" i="6" s="1"/>
  <c r="U3359" i="6" s="1"/>
  <c r="N3360" i="6"/>
  <c r="P3360" i="6" s="1"/>
  <c r="U3360" i="6" s="1"/>
  <c r="H472" i="14"/>
  <c r="O3362" i="6" s="1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H473" i="14"/>
  <c r="O3380" i="6" s="1"/>
  <c r="N3380" i="6"/>
  <c r="N3381" i="6"/>
  <c r="N3382" i="6"/>
  <c r="N3383" i="6"/>
  <c r="N3384" i="6"/>
  <c r="N3385" i="6"/>
  <c r="N3386" i="6"/>
  <c r="N3387" i="6"/>
  <c r="N3388" i="6"/>
  <c r="N3389" i="6"/>
  <c r="N3390" i="6"/>
  <c r="O3390" i="6"/>
  <c r="O3391" i="6"/>
  <c r="P3391" i="6" s="1"/>
  <c r="U3391" i="6" s="1"/>
  <c r="N3392" i="6"/>
  <c r="O3392" i="6"/>
  <c r="N3393" i="6"/>
  <c r="O3393" i="6"/>
  <c r="N3394" i="6"/>
  <c r="P3394" i="6" s="1"/>
  <c r="U3394" i="6" s="1"/>
  <c r="N3395" i="6"/>
  <c r="O3395" i="6"/>
  <c r="N3396" i="6"/>
  <c r="P3396" i="6" s="1"/>
  <c r="U3396" i="6" s="1"/>
  <c r="V3396" i="6" s="1"/>
  <c r="N3397" i="6"/>
  <c r="O3397" i="6"/>
  <c r="N3398" i="6"/>
  <c r="P3398" i="6" s="1"/>
  <c r="U3398" i="6" s="1"/>
  <c r="N3399" i="6"/>
  <c r="P3399" i="6" s="1"/>
  <c r="U3399" i="6" s="1"/>
  <c r="N3400" i="6"/>
  <c r="O3400" i="6"/>
  <c r="N3401" i="6"/>
  <c r="O3401" i="6"/>
  <c r="N3402" i="6"/>
  <c r="O3402" i="6"/>
  <c r="N3403" i="6"/>
  <c r="O3403" i="6"/>
  <c r="N3404" i="6"/>
  <c r="O3404" i="6"/>
  <c r="N3405" i="6"/>
  <c r="O3405" i="6"/>
  <c r="N3406" i="6"/>
  <c r="O3406" i="6"/>
  <c r="N3407" i="6"/>
  <c r="O3407" i="6"/>
  <c r="N3408" i="6"/>
  <c r="O3408" i="6"/>
  <c r="N3409" i="6"/>
  <c r="O3409" i="6"/>
  <c r="N3410" i="6"/>
  <c r="O3410" i="6"/>
  <c r="N3411" i="6"/>
  <c r="O3411" i="6"/>
  <c r="N3412" i="6"/>
  <c r="P3412" i="6" s="1"/>
  <c r="U3412" i="6" s="1"/>
  <c r="N3414" i="6"/>
  <c r="P3414" i="6" s="1"/>
  <c r="U3414" i="6" s="1"/>
  <c r="N3415" i="6"/>
  <c r="H477" i="14"/>
  <c r="O3415" i="6" s="1"/>
  <c r="N3416" i="6"/>
  <c r="N3417" i="6"/>
  <c r="N3418" i="6"/>
  <c r="N3419" i="6"/>
  <c r="N3420" i="6"/>
  <c r="N3421" i="6"/>
  <c r="N3422" i="6"/>
  <c r="N3423" i="6"/>
  <c r="N3424" i="6"/>
  <c r="N3425" i="6"/>
  <c r="N3426" i="6"/>
  <c r="H478" i="14"/>
  <c r="O3427" i="6" s="1"/>
  <c r="P3427" i="6" s="1"/>
  <c r="U3427" i="6" s="1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O3442" i="6"/>
  <c r="N3443" i="6"/>
  <c r="O3443" i="6"/>
  <c r="N3444" i="6"/>
  <c r="O3444" i="6"/>
  <c r="N3445" i="6"/>
  <c r="O3445" i="6"/>
  <c r="N3446" i="6"/>
  <c r="O3446" i="6"/>
  <c r="N3447" i="6"/>
  <c r="O3447" i="6"/>
  <c r="N3448" i="6"/>
  <c r="O3448" i="6"/>
  <c r="N3449" i="6"/>
  <c r="O3449" i="6"/>
  <c r="N3450" i="6"/>
  <c r="O3450" i="6"/>
  <c r="N3451" i="6"/>
  <c r="O3451" i="6"/>
  <c r="N3452" i="6"/>
  <c r="O3452" i="6"/>
  <c r="N3453" i="6"/>
  <c r="O3453" i="6"/>
  <c r="N3454" i="6"/>
  <c r="H480" i="14"/>
  <c r="O3462" i="6" s="1"/>
  <c r="N3455" i="6"/>
  <c r="N3456" i="6"/>
  <c r="N3457" i="6"/>
  <c r="N3458" i="6"/>
  <c r="N3460" i="6"/>
  <c r="N3461" i="6"/>
  <c r="N3462" i="6"/>
  <c r="N3463" i="6"/>
  <c r="N3464" i="6"/>
  <c r="N3465" i="6"/>
  <c r="N3466" i="6"/>
  <c r="N3467" i="6"/>
  <c r="H481" i="14"/>
  <c r="O3467" i="6" s="1"/>
  <c r="N3468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H482" i="14"/>
  <c r="O3486" i="6" s="1"/>
  <c r="P3486" i="6" s="1"/>
  <c r="U3486" i="6" s="1"/>
  <c r="N3482" i="6"/>
  <c r="N3483" i="6"/>
  <c r="N3484" i="6"/>
  <c r="N3485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O3503" i="6"/>
  <c r="N3504" i="6"/>
  <c r="P3504" i="6" s="1"/>
  <c r="U3504" i="6" s="1"/>
  <c r="N3505" i="6"/>
  <c r="O3505" i="6"/>
  <c r="N3506" i="6"/>
  <c r="P3506" i="6" s="1"/>
  <c r="U3506" i="6" s="1"/>
  <c r="V3506" i="6" s="1"/>
  <c r="N3507" i="6"/>
  <c r="N3508" i="6"/>
  <c r="P3508" i="6" s="1"/>
  <c r="U3508" i="6" s="1"/>
  <c r="N3509" i="6"/>
  <c r="O3509" i="6"/>
  <c r="N3510" i="6"/>
  <c r="P3510" i="6" s="1"/>
  <c r="U3510" i="6" s="1"/>
  <c r="N3511" i="6"/>
  <c r="O3511" i="6"/>
  <c r="N3512" i="6"/>
  <c r="N3513" i="6"/>
  <c r="P3514" i="6"/>
  <c r="U3514" i="6" s="1"/>
  <c r="N3515" i="6"/>
  <c r="P3515" i="6" s="1"/>
  <c r="U3515" i="6" s="1"/>
  <c r="N3516" i="6"/>
  <c r="P3516" i="6" s="1"/>
  <c r="U3516" i="6" s="1"/>
  <c r="V3516" i="6" s="1"/>
  <c r="N3517" i="6"/>
  <c r="P3517" i="6" s="1"/>
  <c r="U3517" i="6" s="1"/>
  <c r="P3518" i="6"/>
  <c r="U3518" i="6" s="1"/>
  <c r="P3519" i="6"/>
  <c r="U3519" i="6" s="1"/>
  <c r="P3520" i="6"/>
  <c r="U3520" i="6" s="1"/>
  <c r="N3521" i="6"/>
  <c r="P3521" i="6" s="1"/>
  <c r="U3521" i="6" s="1"/>
  <c r="N3523" i="6"/>
  <c r="P3523" i="6" s="1"/>
  <c r="N3524" i="6"/>
  <c r="P3524" i="6" s="1"/>
  <c r="U3524" i="6" s="1"/>
  <c r="N3525" i="6"/>
  <c r="P3525" i="6" s="1"/>
  <c r="U3525" i="6" s="1"/>
  <c r="P3526" i="6"/>
  <c r="U3526" i="6" s="1"/>
  <c r="N3527" i="6"/>
  <c r="P3527" i="6" s="1"/>
  <c r="U3527" i="6" s="1"/>
  <c r="P3528" i="6"/>
  <c r="U3528" i="6" s="1"/>
  <c r="P3529" i="6"/>
  <c r="U3529" i="6" s="1"/>
  <c r="P3530" i="6"/>
  <c r="U3530" i="6" s="1"/>
  <c r="P3531" i="6"/>
  <c r="U3531" i="6" s="1"/>
  <c r="P3532" i="6"/>
  <c r="U3532" i="6" s="1"/>
  <c r="N3533" i="6"/>
  <c r="H495" i="14"/>
  <c r="O3542" i="6" s="1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H496" i="14"/>
  <c r="O3549" i="6" s="1"/>
  <c r="P3549" i="6" s="1"/>
  <c r="U3549" i="6" s="1"/>
  <c r="N3550" i="6"/>
  <c r="N3551" i="6"/>
  <c r="N3552" i="6"/>
  <c r="N3553" i="6"/>
  <c r="N3554" i="6"/>
  <c r="N3555" i="6"/>
  <c r="N3556" i="6"/>
  <c r="N3557" i="6"/>
  <c r="N3558" i="6"/>
  <c r="N3559" i="6"/>
  <c r="H497" i="14"/>
  <c r="O3562" i="6" s="1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P3574" i="6"/>
  <c r="U3574" i="6" s="1"/>
  <c r="N3575" i="6"/>
  <c r="P3575" i="6" s="1"/>
  <c r="U3575" i="6" s="1"/>
  <c r="V3575" i="6" s="1"/>
  <c r="N3576" i="6"/>
  <c r="P3576" i="6" s="1"/>
  <c r="U3576" i="6" s="1"/>
  <c r="N3578" i="6"/>
  <c r="P3578" i="6" s="1"/>
  <c r="U3578" i="6" s="1"/>
  <c r="N3579" i="6"/>
  <c r="P3579" i="6" s="1"/>
  <c r="U3579" i="6" s="1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H500" i="14"/>
  <c r="O3596" i="6" s="1"/>
  <c r="N3595" i="6"/>
  <c r="N3596" i="6"/>
  <c r="N3597" i="6"/>
  <c r="N3598" i="6"/>
  <c r="N3599" i="6"/>
  <c r="N3600" i="6"/>
  <c r="N3601" i="6"/>
  <c r="N3602" i="6"/>
  <c r="N3603" i="6"/>
  <c r="P3603" i="6" s="1"/>
  <c r="U3603" i="6" s="1"/>
  <c r="P3604" i="6"/>
  <c r="U3604" i="6" s="1"/>
  <c r="P3605" i="6"/>
  <c r="U3605" i="6" s="1"/>
  <c r="P3606" i="6"/>
  <c r="U3606" i="6" s="1"/>
  <c r="N3607" i="6"/>
  <c r="P3607" i="6" s="1"/>
  <c r="U3607" i="6" s="1"/>
  <c r="N3608" i="6"/>
  <c r="P3608" i="6" s="1"/>
  <c r="N3610" i="6"/>
  <c r="P3610" i="6" s="1"/>
  <c r="U3610" i="6" s="1"/>
  <c r="N3611" i="6"/>
  <c r="P3611" i="6" s="1"/>
  <c r="U3611" i="6" s="1"/>
  <c r="N3612" i="6"/>
  <c r="P3612" i="6" s="1"/>
  <c r="N3613" i="6"/>
  <c r="P3613" i="6" s="1"/>
  <c r="U3613" i="6" s="1"/>
  <c r="V3613" i="6" s="1"/>
  <c r="N3614" i="6"/>
  <c r="P3614" i="6" s="1"/>
  <c r="U3614" i="6" s="1"/>
  <c r="N3615" i="6"/>
  <c r="P3615" i="6" s="1"/>
  <c r="U3615" i="6" s="1"/>
  <c r="P3616" i="6"/>
  <c r="U3616" i="6" s="1"/>
  <c r="P3617" i="6"/>
  <c r="U3617" i="6" s="1"/>
  <c r="P3618" i="6"/>
  <c r="U3618" i="6" s="1"/>
  <c r="O510" i="14" s="1"/>
  <c r="N3619" i="6"/>
  <c r="H502" i="14"/>
  <c r="O3621" i="6" s="1"/>
  <c r="N3620" i="6"/>
  <c r="N3621" i="6"/>
  <c r="N3622" i="6"/>
  <c r="N3623" i="6"/>
  <c r="N3625" i="6"/>
  <c r="N3626" i="6"/>
  <c r="N3627" i="6"/>
  <c r="N3628" i="6"/>
  <c r="N3629" i="6"/>
  <c r="H511" i="14"/>
  <c r="O3630" i="6" s="1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5" i="6"/>
  <c r="N3646" i="6"/>
  <c r="H512" i="14"/>
  <c r="O3647" i="6" s="1"/>
  <c r="N3647" i="6"/>
  <c r="N3649" i="6"/>
  <c r="N3650" i="6"/>
  <c r="N3651" i="6"/>
  <c r="N3652" i="6"/>
  <c r="N3653" i="6"/>
  <c r="N3654" i="6"/>
  <c r="N3655" i="6"/>
  <c r="H513" i="14"/>
  <c r="O3657" i="6" s="1"/>
  <c r="N3656" i="6"/>
  <c r="N3657" i="6"/>
  <c r="N3659" i="6"/>
  <c r="N3660" i="6"/>
  <c r="N3661" i="6"/>
  <c r="N3662" i="6"/>
  <c r="N3663" i="6"/>
  <c r="N3664" i="6"/>
  <c r="N3665" i="6"/>
  <c r="N3666" i="6"/>
  <c r="N3667" i="6"/>
  <c r="N3668" i="6"/>
  <c r="P3669" i="6"/>
  <c r="U3669" i="6" s="1"/>
  <c r="N3670" i="6"/>
  <c r="P3670" i="6" s="1"/>
  <c r="U3670" i="6" s="1"/>
  <c r="N3671" i="6"/>
  <c r="P3671" i="6" s="1"/>
  <c r="U3671" i="6" s="1"/>
  <c r="N3672" i="6"/>
  <c r="P3672" i="6" s="1"/>
  <c r="U3672" i="6" s="1"/>
  <c r="V3672" i="6" s="1"/>
  <c r="N3673" i="6"/>
  <c r="P3673" i="6" s="1"/>
  <c r="U3673" i="6" s="1"/>
  <c r="P3674" i="6"/>
  <c r="U3674" i="6" s="1"/>
  <c r="N3675" i="6"/>
  <c r="P3675" i="6" s="1"/>
  <c r="U3675" i="6" s="1"/>
  <c r="N3676" i="6"/>
  <c r="P3676" i="6" s="1"/>
  <c r="U3676" i="6" s="1"/>
  <c r="P3677" i="6"/>
  <c r="U3677" i="6" s="1"/>
  <c r="P3678" i="6"/>
  <c r="U3678" i="6" s="1"/>
  <c r="N3680" i="6"/>
  <c r="H519" i="14"/>
  <c r="O3682" i="6" s="1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H520" i="14"/>
  <c r="O3692" i="6" s="1"/>
  <c r="N3693" i="6"/>
  <c r="N3695" i="6"/>
  <c r="N3696" i="6"/>
  <c r="N3697" i="6"/>
  <c r="N3698" i="6"/>
  <c r="N3699" i="6"/>
  <c r="N3700" i="6"/>
  <c r="N3701" i="6"/>
  <c r="N3702" i="6"/>
  <c r="H521" i="14"/>
  <c r="O3703" i="6" s="1"/>
  <c r="P3703" i="6" s="1"/>
  <c r="U3703" i="6" s="1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H522" i="14"/>
  <c r="O3716" i="6" s="1"/>
  <c r="N3717" i="6"/>
  <c r="N3718" i="6"/>
  <c r="N3719" i="6"/>
  <c r="N3720" i="6"/>
  <c r="N3722" i="6"/>
  <c r="N3723" i="6"/>
  <c r="N3724" i="6"/>
  <c r="N3725" i="6"/>
  <c r="N3726" i="6"/>
  <c r="N3727" i="6"/>
  <c r="N3728" i="6"/>
  <c r="P3728" i="6" s="1"/>
  <c r="U3728" i="6" s="1"/>
  <c r="N3729" i="6"/>
  <c r="P3729" i="6" s="1"/>
  <c r="U3729" i="6" s="1"/>
  <c r="P3730" i="6"/>
  <c r="U3730" i="6" s="1"/>
  <c r="V3730" i="6" s="1"/>
  <c r="N3731" i="6"/>
  <c r="P3731" i="6" s="1"/>
  <c r="U3731" i="6" s="1"/>
  <c r="N3732" i="6"/>
  <c r="P3732" i="6" s="1"/>
  <c r="U3732" i="6" s="1"/>
  <c r="N3733" i="6"/>
  <c r="P3733" i="6" s="1"/>
  <c r="U3733" i="6" s="1"/>
  <c r="N3734" i="6"/>
  <c r="P3734" i="6" s="1"/>
  <c r="U3734" i="6" s="1"/>
  <c r="N3735" i="6"/>
  <c r="P3735" i="6" s="1"/>
  <c r="N3736" i="6"/>
  <c r="P3736" i="6" s="1"/>
  <c r="U3736" i="6" s="1"/>
  <c r="V3736" i="6" s="1"/>
  <c r="N3737" i="6"/>
  <c r="H525" i="14"/>
  <c r="O3741" i="6" s="1"/>
  <c r="N3738" i="6"/>
  <c r="N3740" i="6"/>
  <c r="N3741" i="6"/>
  <c r="N3742" i="6"/>
  <c r="N3743" i="6"/>
  <c r="N3744" i="6"/>
  <c r="N3745" i="6"/>
  <c r="N3746" i="6"/>
  <c r="H526" i="14"/>
  <c r="O3750" i="6" s="1"/>
  <c r="N3747" i="6"/>
  <c r="N3749" i="6"/>
  <c r="N3750" i="6"/>
  <c r="N3751" i="6"/>
  <c r="N3752" i="6"/>
  <c r="N3753" i="6"/>
  <c r="N3754" i="6"/>
  <c r="N3755" i="6"/>
  <c r="N3756" i="6"/>
  <c r="N3757" i="6"/>
  <c r="N3758" i="6"/>
  <c r="H527" i="14"/>
  <c r="O3758" i="6" s="1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P3773" i="6"/>
  <c r="U3773" i="6" s="1"/>
  <c r="N3774" i="6"/>
  <c r="P3774" i="6" s="1"/>
  <c r="U3774" i="6" s="1"/>
  <c r="N3775" i="6"/>
  <c r="P3775" i="6" s="1"/>
  <c r="U3775" i="6" s="1"/>
  <c r="N3776" i="6"/>
  <c r="P3776" i="6" s="1"/>
  <c r="U3776" i="6" s="1"/>
  <c r="V3776" i="6" s="1"/>
  <c r="N3777" i="6"/>
  <c r="P3777" i="6" s="1"/>
  <c r="U3777" i="6" s="1"/>
  <c r="V3777" i="6" s="1"/>
  <c r="P3778" i="6"/>
  <c r="U3778" i="6" s="1"/>
  <c r="P3779" i="6"/>
  <c r="U3779" i="6" s="1"/>
  <c r="N3780" i="6"/>
  <c r="P3780" i="6" s="1"/>
  <c r="U3780" i="6" s="1"/>
  <c r="N3781" i="6"/>
  <c r="P3781" i="6" s="1"/>
  <c r="U3781" i="6" s="1"/>
  <c r="P3782" i="6"/>
  <c r="U3782" i="6" s="1"/>
  <c r="N3783" i="6"/>
  <c r="P3783" i="6" s="1"/>
  <c r="U3783" i="6" s="1"/>
  <c r="V3783" i="6" s="1"/>
  <c r="N3784" i="6"/>
  <c r="P3784" i="6" s="1"/>
  <c r="U3784" i="6" s="1"/>
  <c r="N3785" i="6"/>
  <c r="P3785" i="6" s="1"/>
  <c r="U3785" i="6" s="1"/>
  <c r="N3786" i="6"/>
  <c r="P3786" i="6" s="1"/>
  <c r="N3787" i="6"/>
  <c r="P3787" i="6" s="1"/>
  <c r="U3787" i="6" s="1"/>
  <c r="N3788" i="6"/>
  <c r="P3788" i="6" s="1"/>
  <c r="U3788" i="6" s="1"/>
  <c r="V3788" i="6" s="1"/>
  <c r="P3789" i="6"/>
  <c r="U3789" i="6" s="1"/>
  <c r="V3789" i="6" s="1"/>
  <c r="P3790" i="6"/>
  <c r="U3790" i="6" s="1"/>
  <c r="N3791" i="6"/>
  <c r="P3791" i="6" s="1"/>
  <c r="U3791" i="6" s="1"/>
  <c r="N3792" i="6"/>
  <c r="P3792" i="6" s="1"/>
  <c r="U3792" i="6" s="1"/>
  <c r="N3793" i="6"/>
  <c r="P3793" i="6" s="1"/>
  <c r="U3793" i="6" s="1"/>
  <c r="N3794" i="6"/>
  <c r="P3794" i="6" s="1"/>
  <c r="U3794" i="6" s="1"/>
  <c r="V3794" i="6" s="1"/>
  <c r="N3795" i="6"/>
  <c r="P3795" i="6" s="1"/>
  <c r="U3795" i="6" s="1"/>
  <c r="V3795" i="6" s="1"/>
  <c r="N3796" i="6"/>
  <c r="P3796" i="6" s="1"/>
  <c r="U3796" i="6" s="1"/>
  <c r="N3798" i="6"/>
  <c r="P3798" i="6" s="1"/>
  <c r="U3798" i="6" s="1"/>
  <c r="N3799" i="6"/>
  <c r="P3799" i="6" s="1"/>
  <c r="U3799" i="6" s="1"/>
  <c r="N3800" i="6"/>
  <c r="P3800" i="6" s="1"/>
  <c r="U3800" i="6" s="1"/>
  <c r="V3800" i="6" s="1"/>
  <c r="P3801" i="6"/>
  <c r="U3801" i="6" s="1"/>
  <c r="O537" i="14" s="1"/>
  <c r="P3802" i="6"/>
  <c r="U3802" i="6" s="1"/>
  <c r="N3803" i="6"/>
  <c r="H538" i="14"/>
  <c r="O3808" i="6" s="1"/>
  <c r="N3804" i="6"/>
  <c r="N3805" i="6"/>
  <c r="N3806" i="6"/>
  <c r="N3808" i="6"/>
  <c r="N3809" i="6"/>
  <c r="N3810" i="6"/>
  <c r="N3811" i="6"/>
  <c r="N3812" i="6"/>
  <c r="N3813" i="6"/>
  <c r="N3814" i="6"/>
  <c r="N3815" i="6"/>
  <c r="N3816" i="6"/>
  <c r="N3817" i="6"/>
  <c r="H539" i="14"/>
  <c r="O3821" i="6" s="1"/>
  <c r="N3818" i="6"/>
  <c r="N3819" i="6"/>
  <c r="N3821" i="6"/>
  <c r="N3822" i="6"/>
  <c r="N3823" i="6"/>
  <c r="N3824" i="6"/>
  <c r="N3825" i="6"/>
  <c r="N3826" i="6"/>
  <c r="H540" i="14"/>
  <c r="O3829" i="6" s="1"/>
  <c r="N3828" i="6"/>
  <c r="N3829" i="6"/>
  <c r="N3830" i="6"/>
  <c r="N3831" i="6"/>
  <c r="N3832" i="6"/>
  <c r="N3833" i="6"/>
  <c r="H541" i="14"/>
  <c r="O3838" i="6" s="1"/>
  <c r="P3838" i="6" s="1"/>
  <c r="U3838" i="6" s="1"/>
  <c r="N3834" i="6"/>
  <c r="N3835" i="6"/>
  <c r="N3836" i="6"/>
  <c r="N3837" i="6"/>
  <c r="N3839" i="6"/>
  <c r="N3840" i="6"/>
  <c r="N3841" i="6"/>
  <c r="N3842" i="6"/>
  <c r="H542" i="14"/>
  <c r="O3844" i="6" s="1"/>
  <c r="P3844" i="6" s="1"/>
  <c r="U3844" i="6" s="1"/>
  <c r="V3844" i="6" s="1"/>
  <c r="N3854" i="6"/>
  <c r="O3854" i="6"/>
  <c r="N3855" i="6"/>
  <c r="O3855" i="6"/>
  <c r="N3856" i="6"/>
  <c r="O3856" i="6"/>
  <c r="N3857" i="6"/>
  <c r="O3857" i="6"/>
  <c r="N3858" i="6"/>
  <c r="H544" i="14"/>
  <c r="O3859" i="6" s="1"/>
  <c r="N3859" i="6"/>
  <c r="N3860" i="6"/>
  <c r="N3861" i="6"/>
  <c r="N3862" i="6"/>
  <c r="N3863" i="6"/>
  <c r="N3864" i="6"/>
  <c r="N3865" i="6"/>
  <c r="N3866" i="6"/>
  <c r="N3867" i="6"/>
  <c r="N3868" i="6"/>
  <c r="H545" i="14"/>
  <c r="O3870" i="6" s="1"/>
  <c r="N3869" i="6"/>
  <c r="N3870" i="6"/>
  <c r="N3871" i="6"/>
  <c r="N3872" i="6"/>
  <c r="N3874" i="6"/>
  <c r="N3875" i="6"/>
  <c r="H546" i="14"/>
  <c r="O3888" i="6" s="1"/>
  <c r="N3876" i="6"/>
  <c r="N3877" i="6"/>
  <c r="N3878" i="6"/>
  <c r="N3879" i="6"/>
  <c r="N3880" i="6"/>
  <c r="N3881" i="6"/>
  <c r="N3883" i="6"/>
  <c r="N3884" i="6"/>
  <c r="N3885" i="6"/>
  <c r="N3886" i="6"/>
  <c r="N3887" i="6"/>
  <c r="N3888" i="6"/>
  <c r="N3889" i="6"/>
  <c r="H547" i="14"/>
  <c r="O3889" i="6" s="1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H548" i="14"/>
  <c r="O3903" i="6" s="1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H549" i="14"/>
  <c r="O3918" i="6" s="1"/>
  <c r="P3918" i="6" s="1"/>
  <c r="U3918" i="6" s="1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P3930" i="6" s="1"/>
  <c r="U3930" i="6" s="1"/>
  <c r="N3931" i="6"/>
  <c r="P3931" i="6" s="1"/>
  <c r="U3931" i="6" s="1"/>
  <c r="N3932" i="6"/>
  <c r="P3932" i="6" s="1"/>
  <c r="U3932" i="6" s="1"/>
  <c r="N3933" i="6"/>
  <c r="O3933" i="6"/>
  <c r="P3934" i="6"/>
  <c r="U3934" i="6" s="1"/>
  <c r="V3934" i="6" s="1"/>
  <c r="N3935" i="6"/>
  <c r="P3935" i="6" s="1"/>
  <c r="U3935" i="6" s="1"/>
  <c r="N3936" i="6"/>
  <c r="P3936" i="6" s="1"/>
  <c r="U3936" i="6" s="1"/>
  <c r="N3937" i="6"/>
  <c r="P3937" i="6" s="1"/>
  <c r="U3937" i="6" s="1"/>
  <c r="N3938" i="6"/>
  <c r="P3938" i="6" s="1"/>
  <c r="U3938" i="6" s="1"/>
  <c r="N3939" i="6"/>
  <c r="O3939" i="6"/>
  <c r="N3940" i="6"/>
  <c r="P3940" i="6" s="1"/>
  <c r="U3940" i="6" s="1"/>
  <c r="N3941" i="6"/>
  <c r="P3941" i="6" s="1"/>
  <c r="U3941" i="6" s="1"/>
  <c r="V3941" i="6" s="1"/>
  <c r="N3942" i="6"/>
  <c r="P3942" i="6" s="1"/>
  <c r="U3942" i="6" s="1"/>
  <c r="N3943" i="6"/>
  <c r="P3943" i="6" s="1"/>
  <c r="P3944" i="6"/>
  <c r="U3944" i="6" s="1"/>
  <c r="V3944" i="6" s="1"/>
  <c r="P3945" i="6"/>
  <c r="U3945" i="6" s="1"/>
  <c r="O552" i="14" s="1"/>
  <c r="N3946" i="6"/>
  <c r="O3946" i="6"/>
  <c r="N3947" i="6"/>
  <c r="O3947" i="6"/>
  <c r="N3948" i="6"/>
  <c r="N3949" i="6"/>
  <c r="P3949" i="6" s="1"/>
  <c r="U3949" i="6" s="1"/>
  <c r="N3950" i="6"/>
  <c r="O3950" i="6"/>
  <c r="N3952" i="6"/>
  <c r="N3953" i="6"/>
  <c r="O3953" i="6"/>
  <c r="O3957" i="6"/>
  <c r="O3958" i="6"/>
  <c r="P3962" i="6"/>
  <c r="U3962" i="6" s="1"/>
  <c r="V3962" i="6" s="1"/>
  <c r="N3963" i="6"/>
  <c r="P3963" i="6" s="1"/>
  <c r="U3963" i="6" s="1"/>
  <c r="V3963" i="6" s="1"/>
  <c r="P3964" i="6"/>
  <c r="U3964" i="6" s="1"/>
  <c r="N3965" i="6"/>
  <c r="P3965" i="6" s="1"/>
  <c r="U3965" i="6" s="1"/>
  <c r="N3966" i="6"/>
  <c r="P3966" i="6" s="1"/>
  <c r="U3966" i="6" s="1"/>
  <c r="N3967" i="6"/>
  <c r="P3967" i="6" s="1"/>
  <c r="U3967" i="6" s="1"/>
  <c r="P3968" i="6"/>
  <c r="U3968" i="6" s="1"/>
  <c r="V3968" i="6" s="1"/>
  <c r="N3969" i="6"/>
  <c r="H559" i="14"/>
  <c r="O3977" i="6" s="1"/>
  <c r="N3970" i="6"/>
  <c r="N3971" i="6"/>
  <c r="N3972" i="6"/>
  <c r="N3973" i="6"/>
  <c r="N3974" i="6"/>
  <c r="N3975" i="6"/>
  <c r="N3977" i="6"/>
  <c r="N3978" i="6"/>
  <c r="N3979" i="6"/>
  <c r="N3980" i="6"/>
  <c r="N3981" i="6"/>
  <c r="N3982" i="6"/>
  <c r="H560" i="14"/>
  <c r="O3982" i="6" s="1"/>
  <c r="N3984" i="6"/>
  <c r="N3985" i="6"/>
  <c r="N3986" i="6"/>
  <c r="N3987" i="6"/>
  <c r="N3988" i="6"/>
  <c r="N3989" i="6"/>
  <c r="H561" i="14"/>
  <c r="O3990" i="6" s="1"/>
  <c r="N3990" i="6"/>
  <c r="N3991" i="6"/>
  <c r="N3992" i="6"/>
  <c r="N3994" i="6"/>
  <c r="N3995" i="6"/>
  <c r="N3996" i="6"/>
  <c r="N3997" i="6"/>
  <c r="N3998" i="6"/>
  <c r="N3999" i="6"/>
  <c r="N4000" i="6"/>
  <c r="N4001" i="6"/>
  <c r="H562" i="14"/>
  <c r="O4001" i="6" s="1"/>
  <c r="N4002" i="6"/>
  <c r="N4003" i="6"/>
  <c r="N4004" i="6"/>
  <c r="N4005" i="6"/>
  <c r="N4006" i="6"/>
  <c r="N4007" i="6"/>
  <c r="N4008" i="6"/>
  <c r="N4010" i="6"/>
  <c r="N4011" i="6"/>
  <c r="O4011" i="6"/>
  <c r="N4012" i="6"/>
  <c r="P4012" i="6" s="1"/>
  <c r="U4012" i="6" s="1"/>
  <c r="N4013" i="6"/>
  <c r="O4013" i="6"/>
  <c r="N4014" i="6"/>
  <c r="O4014" i="6"/>
  <c r="N4015" i="6"/>
  <c r="O4015" i="6"/>
  <c r="P4016" i="6"/>
  <c r="U4016" i="6" s="1"/>
  <c r="N4017" i="6"/>
  <c r="O4017" i="6"/>
  <c r="N4018" i="6"/>
  <c r="P4018" i="6" s="1"/>
  <c r="U4018" i="6" s="1"/>
  <c r="V4018" i="6" s="1"/>
  <c r="O4019" i="6"/>
  <c r="P4019" i="6" s="1"/>
  <c r="U4019" i="6" s="1"/>
  <c r="N4020" i="6"/>
  <c r="N4021" i="6"/>
  <c r="P4021" i="6" s="1"/>
  <c r="U4021" i="6" s="1"/>
  <c r="N4022" i="6"/>
  <c r="P4022" i="6" s="1"/>
  <c r="U4022" i="6" s="1"/>
  <c r="V4022" i="6" s="1"/>
  <c r="N4023" i="6"/>
  <c r="P4023" i="6" s="1"/>
  <c r="U4023" i="6" s="1"/>
  <c r="V4023" i="6" s="1"/>
  <c r="N4024" i="6"/>
  <c r="P4024" i="6" s="1"/>
  <c r="U4024" i="6" s="1"/>
  <c r="V4024" i="6" s="1"/>
  <c r="N4025" i="6"/>
  <c r="O4025" i="6"/>
  <c r="N4026" i="6"/>
  <c r="P4026" i="6" s="1"/>
  <c r="U4026" i="6" s="1"/>
  <c r="N4027" i="6"/>
  <c r="P4027" i="6" s="1"/>
  <c r="U4027" i="6" s="1"/>
  <c r="N4028" i="6"/>
  <c r="N4029" i="6"/>
  <c r="P4029" i="6" s="1"/>
  <c r="U4029" i="6" s="1"/>
  <c r="V4029" i="6" s="1"/>
  <c r="N4030" i="6"/>
  <c r="N4031" i="6"/>
  <c r="P4031" i="6" s="1"/>
  <c r="U4031" i="6" s="1"/>
  <c r="N4032" i="6"/>
  <c r="P4032" i="6" s="1"/>
  <c r="U4032" i="6" s="1"/>
  <c r="N4033" i="6"/>
  <c r="P4033" i="6" s="1"/>
  <c r="U4033" i="6" s="1"/>
  <c r="V4033" i="6" s="1"/>
  <c r="N4034" i="6"/>
  <c r="P4034" i="6" s="1"/>
  <c r="U4034" i="6" s="1"/>
  <c r="V4034" i="6" s="1"/>
  <c r="N4035" i="6"/>
  <c r="O4035" i="6"/>
  <c r="N4036" i="6"/>
  <c r="P4036" i="6" s="1"/>
  <c r="U4036" i="6" s="1"/>
  <c r="N4037" i="6"/>
  <c r="P4037" i="6" s="1"/>
  <c r="U4037" i="6" s="1"/>
  <c r="N4038" i="6"/>
  <c r="O4039" i="6"/>
  <c r="O4040" i="6"/>
  <c r="O4042" i="6"/>
  <c r="O4043" i="6"/>
  <c r="O4044" i="6"/>
  <c r="O4045" i="6"/>
  <c r="N4046" i="6"/>
  <c r="P4046" i="6" s="1"/>
  <c r="P4047" i="6"/>
  <c r="U4047" i="6" s="1"/>
  <c r="P4048" i="6"/>
  <c r="U4048" i="6" s="1"/>
  <c r="N4049" i="6"/>
  <c r="P4049" i="6" s="1"/>
  <c r="U4049" i="6" s="1"/>
  <c r="N4050" i="6"/>
  <c r="P4050" i="6" s="1"/>
  <c r="N4051" i="6"/>
  <c r="P4051" i="6" s="1"/>
  <c r="U4051" i="6" s="1"/>
  <c r="N4052" i="6"/>
  <c r="P4052" i="6" s="1"/>
  <c r="U4052" i="6" s="1"/>
  <c r="V4052" i="6" s="1"/>
  <c r="N4053" i="6"/>
  <c r="P4053" i="6" s="1"/>
  <c r="U4053" i="6" s="1"/>
  <c r="N4054" i="6"/>
  <c r="O4054" i="6"/>
  <c r="N4055" i="6"/>
  <c r="O4055" i="6"/>
  <c r="N4056" i="6"/>
  <c r="O4056" i="6"/>
  <c r="N4057" i="6"/>
  <c r="O4057" i="6"/>
  <c r="N4058" i="6"/>
  <c r="O4058" i="6"/>
  <c r="N4059" i="6"/>
  <c r="O4059" i="6"/>
  <c r="N4060" i="6"/>
  <c r="O4060" i="6"/>
  <c r="N4061" i="6"/>
  <c r="O4061" i="6"/>
  <c r="N4062" i="6"/>
  <c r="H570" i="14"/>
  <c r="O4064" i="6" s="1"/>
  <c r="P4064" i="6" s="1"/>
  <c r="U4064" i="6" s="1"/>
  <c r="N4063" i="6"/>
  <c r="N4065" i="6"/>
  <c r="N4066" i="6"/>
  <c r="N4067" i="6"/>
  <c r="N4068" i="6"/>
  <c r="N4069" i="6"/>
  <c r="N4070" i="6"/>
  <c r="N4071" i="6"/>
  <c r="N4072" i="6"/>
  <c r="N4073" i="6"/>
  <c r="N4074" i="6"/>
  <c r="H571" i="14"/>
  <c r="O4076" i="6" s="1"/>
  <c r="N4076" i="6"/>
  <c r="N4077" i="6"/>
  <c r="N4078" i="6"/>
  <c r="N4079" i="6"/>
  <c r="N4080" i="6"/>
  <c r="H572" i="14"/>
  <c r="O4082" i="6" s="1"/>
  <c r="N4082" i="6"/>
  <c r="N4083" i="6"/>
  <c r="N4084" i="6"/>
  <c r="N4085" i="6"/>
  <c r="N4086" i="6"/>
  <c r="N4087" i="6"/>
  <c r="N4088" i="6"/>
  <c r="N4089" i="6"/>
  <c r="N4090" i="6"/>
  <c r="N4091" i="6"/>
  <c r="P4091" i="6" s="1"/>
  <c r="N4092" i="6"/>
  <c r="P4092" i="6" s="1"/>
  <c r="U4092" i="6" s="1"/>
  <c r="V4092" i="6" s="1"/>
  <c r="N4093" i="6"/>
  <c r="P4093" i="6" s="1"/>
  <c r="U4093" i="6" s="1"/>
  <c r="P4094" i="6"/>
  <c r="U4094" i="6" s="1"/>
  <c r="P4095" i="6"/>
  <c r="U4095" i="6" s="1"/>
  <c r="N4096" i="6"/>
  <c r="P4096" i="6" s="1"/>
  <c r="P4097" i="6"/>
  <c r="U4097" i="6" s="1"/>
  <c r="N4098" i="6"/>
  <c r="P4098" i="6" s="1"/>
  <c r="P4099" i="6"/>
  <c r="U4099" i="6" s="1"/>
  <c r="N4100" i="6"/>
  <c r="P4100" i="6" s="1"/>
  <c r="U4100" i="6" s="1"/>
  <c r="N4101" i="6"/>
  <c r="P4101" i="6" s="1"/>
  <c r="U4101" i="6" s="1"/>
  <c r="P4102" i="6"/>
  <c r="U4102" i="6" s="1"/>
  <c r="V4102" i="6" s="1"/>
  <c r="P4103" i="6"/>
  <c r="U4103" i="6" s="1"/>
  <c r="V4103" i="6" s="1"/>
  <c r="P4104" i="6"/>
  <c r="U4104" i="6" s="1"/>
  <c r="V4104" i="6" s="1"/>
  <c r="P4105" i="6"/>
  <c r="U4105" i="6" s="1"/>
  <c r="N4106" i="6"/>
  <c r="P4106" i="6" s="1"/>
  <c r="U4106" i="6" s="1"/>
  <c r="P4107" i="6"/>
  <c r="U4107" i="6" s="1"/>
  <c r="N4108" i="6"/>
  <c r="P4108" i="6" s="1"/>
  <c r="U4108" i="6" s="1"/>
  <c r="N4109" i="6"/>
  <c r="P4109" i="6" s="1"/>
  <c r="U4109" i="6" s="1"/>
  <c r="N4110" i="6"/>
  <c r="P4110" i="6" s="1"/>
  <c r="U4110" i="6" s="1"/>
  <c r="V4110" i="6" s="1"/>
  <c r="N4111" i="6"/>
  <c r="P4111" i="6" s="1"/>
  <c r="U4111" i="6" s="1"/>
  <c r="N4112" i="6"/>
  <c r="H584" i="14"/>
  <c r="O4114" i="6" s="1"/>
  <c r="N4113" i="6"/>
  <c r="N4114" i="6"/>
  <c r="N4115" i="6"/>
  <c r="N4116" i="6"/>
  <c r="N4117" i="6"/>
  <c r="N4118" i="6"/>
  <c r="N4119" i="6"/>
  <c r="N4120" i="6"/>
  <c r="N4121" i="6"/>
  <c r="N4122" i="6"/>
  <c r="N4123" i="6"/>
  <c r="N4124" i="6"/>
  <c r="H585" i="14"/>
  <c r="O4139" i="6" s="1"/>
  <c r="N4126" i="6"/>
  <c r="N4127" i="6"/>
  <c r="N4128" i="6"/>
  <c r="N4129" i="6"/>
  <c r="N4130" i="6"/>
  <c r="N4131" i="6"/>
  <c r="N4132" i="6"/>
  <c r="N4133" i="6"/>
  <c r="N4134" i="6"/>
  <c r="N4135" i="6"/>
  <c r="N4136" i="6"/>
  <c r="N4137" i="6"/>
  <c r="N4138" i="6"/>
  <c r="N4139" i="6"/>
  <c r="H586" i="14"/>
  <c r="N4141" i="6"/>
  <c r="N4142" i="6"/>
  <c r="N4143" i="6"/>
  <c r="N4144" i="6"/>
  <c r="N4145" i="6"/>
  <c r="N4146" i="6"/>
  <c r="N4147" i="6"/>
  <c r="N4148" i="6"/>
  <c r="N4149" i="6"/>
  <c r="N4150" i="6"/>
  <c r="N4151" i="6"/>
  <c r="O4151" i="6"/>
  <c r="N4152" i="6"/>
  <c r="N4153" i="6"/>
  <c r="H587" i="14"/>
  <c r="O4156" i="6" s="1"/>
  <c r="N4155" i="6"/>
  <c r="N4156" i="6"/>
  <c r="N4157" i="6"/>
  <c r="N4158" i="6"/>
  <c r="N4159" i="6"/>
  <c r="N4160" i="6"/>
  <c r="N4161" i="6"/>
  <c r="N4162" i="6"/>
  <c r="N4163" i="6"/>
  <c r="N4164" i="6"/>
  <c r="N4165" i="6"/>
  <c r="N4166" i="6"/>
  <c r="N4167" i="6"/>
  <c r="N4168" i="6"/>
  <c r="H588" i="14"/>
  <c r="O4169" i="6" s="1"/>
  <c r="P4169" i="6" s="1"/>
  <c r="U4169" i="6" s="1"/>
  <c r="N4179" i="6"/>
  <c r="H589" i="14"/>
  <c r="O4186" i="6" s="1"/>
  <c r="N4180" i="6"/>
  <c r="N4181" i="6"/>
  <c r="N4182" i="6"/>
  <c r="N4183" i="6"/>
  <c r="N4185" i="6"/>
  <c r="N4186" i="6"/>
  <c r="N4187" i="6"/>
  <c r="N4188" i="6"/>
  <c r="N4189" i="6"/>
  <c r="N4190" i="6"/>
  <c r="N4191" i="6"/>
  <c r="H590" i="14"/>
  <c r="N4192" i="6"/>
  <c r="N4193" i="6"/>
  <c r="N4194" i="6"/>
  <c r="N4195" i="6"/>
  <c r="N4196" i="6"/>
  <c r="O4196" i="6"/>
  <c r="N4197" i="6"/>
  <c r="N4198" i="6"/>
  <c r="N4199" i="6"/>
  <c r="N4200" i="6"/>
  <c r="O4200" i="6"/>
  <c r="N4201" i="6"/>
  <c r="O4201" i="6"/>
  <c r="N4202" i="6"/>
  <c r="O4202" i="6"/>
  <c r="N4203" i="6"/>
  <c r="O4203" i="6"/>
  <c r="N4204" i="6"/>
  <c r="O4204" i="6"/>
  <c r="N4205" i="6"/>
  <c r="O4205" i="6"/>
  <c r="N4206" i="6"/>
  <c r="O4206" i="6"/>
  <c r="N4207" i="6"/>
  <c r="O4207" i="6"/>
  <c r="N4208" i="6"/>
  <c r="O4208" i="6"/>
  <c r="N4209" i="6"/>
  <c r="O4209" i="6"/>
  <c r="N4210" i="6"/>
  <c r="O4210" i="6"/>
  <c r="N4211" i="6"/>
  <c r="P4211" i="6" s="1"/>
  <c r="P4212" i="6"/>
  <c r="U4212" i="6" s="1"/>
  <c r="N4213" i="6"/>
  <c r="P4213" i="6" s="1"/>
  <c r="U4213" i="6" s="1"/>
  <c r="P4214" i="6"/>
  <c r="U4214" i="6" s="1"/>
  <c r="N4215" i="6"/>
  <c r="N4216" i="6"/>
  <c r="P4216" i="6" s="1"/>
  <c r="N4217" i="6"/>
  <c r="P4217" i="6" s="1"/>
  <c r="U4217" i="6" s="1"/>
  <c r="N4218" i="6"/>
  <c r="P4218" i="6" s="1"/>
  <c r="U4218" i="6" s="1"/>
  <c r="P4219" i="6"/>
  <c r="U4219" i="6" s="1"/>
  <c r="N4220" i="6"/>
  <c r="P4220" i="6" s="1"/>
  <c r="U4220" i="6" s="1"/>
  <c r="N4221" i="6"/>
  <c r="H595" i="14"/>
  <c r="O4222" i="6" s="1"/>
  <c r="P4222" i="6" s="1"/>
  <c r="U4222" i="6" s="1"/>
  <c r="N4223" i="6"/>
  <c r="N4224" i="6"/>
  <c r="N4225" i="6"/>
  <c r="N4226" i="6"/>
  <c r="N4227" i="6"/>
  <c r="N4228" i="6"/>
  <c r="N4229" i="6"/>
  <c r="N4230" i="6"/>
  <c r="N4231" i="6"/>
  <c r="N4232" i="6"/>
  <c r="N4233" i="6"/>
  <c r="O4233" i="6"/>
  <c r="N4234" i="6"/>
  <c r="H596" i="14"/>
  <c r="O4235" i="6" s="1"/>
  <c r="N4235" i="6"/>
  <c r="N4236" i="6"/>
  <c r="N4237" i="6"/>
  <c r="N4239" i="6"/>
  <c r="N4240" i="6"/>
  <c r="N4241" i="6"/>
  <c r="N4242" i="6"/>
  <c r="N4243" i="6"/>
  <c r="N4244" i="6"/>
  <c r="N4245" i="6"/>
  <c r="N4246" i="6"/>
  <c r="N4247" i="6"/>
  <c r="N4248" i="6"/>
  <c r="N4249" i="6"/>
  <c r="N4250" i="6"/>
  <c r="H597" i="14"/>
  <c r="O4258" i="6" s="1"/>
  <c r="N4251" i="6"/>
  <c r="N4252" i="6"/>
  <c r="N4253" i="6"/>
  <c r="N4254" i="6"/>
  <c r="N4256" i="6"/>
  <c r="N4257" i="6"/>
  <c r="N4258" i="6"/>
  <c r="N4259" i="6"/>
  <c r="N4260" i="6"/>
  <c r="N4261" i="6"/>
  <c r="N4262" i="6"/>
  <c r="H598" i="14"/>
  <c r="O4268" i="6" s="1"/>
  <c r="N4264" i="6"/>
  <c r="N4265" i="6"/>
  <c r="N4266" i="6"/>
  <c r="N4267" i="6"/>
  <c r="N4268" i="6"/>
  <c r="N4269" i="6"/>
  <c r="N4270" i="6"/>
  <c r="N4271" i="6"/>
  <c r="N4272" i="6"/>
  <c r="N4273" i="6"/>
  <c r="N4274" i="6"/>
  <c r="N4275" i="6"/>
  <c r="N4276" i="6"/>
  <c r="O4276" i="6"/>
  <c r="N4277" i="6"/>
  <c r="O4277" i="6"/>
  <c r="N4278" i="6"/>
  <c r="O4278" i="6"/>
  <c r="N4279" i="6"/>
  <c r="O4279" i="6"/>
  <c r="N4280" i="6"/>
  <c r="O4280" i="6"/>
  <c r="N4281" i="6"/>
  <c r="O4281" i="6"/>
  <c r="N4282" i="6"/>
  <c r="O4282" i="6"/>
  <c r="N4283" i="6"/>
  <c r="O4283" i="6"/>
  <c r="N4284" i="6"/>
  <c r="O4284" i="6"/>
  <c r="N4285" i="6"/>
  <c r="O4285" i="6"/>
  <c r="N4286" i="6"/>
  <c r="O4286" i="6"/>
  <c r="N4287" i="6"/>
  <c r="O4287" i="6"/>
  <c r="N4288" i="6"/>
  <c r="O4288" i="6"/>
  <c r="N4289" i="6"/>
  <c r="O4289" i="6"/>
  <c r="N4290" i="6"/>
  <c r="O4290" i="6"/>
  <c r="N4291" i="6"/>
  <c r="O4291" i="6"/>
  <c r="N4292" i="6"/>
  <c r="O4292" i="6"/>
  <c r="N4293" i="6"/>
  <c r="O4293" i="6"/>
  <c r="N4294" i="6"/>
  <c r="O4294" i="6"/>
  <c r="N4295" i="6"/>
  <c r="O4295" i="6"/>
  <c r="N4296" i="6"/>
  <c r="O4296" i="6"/>
  <c r="N4297" i="6"/>
  <c r="O4297" i="6"/>
  <c r="N4298" i="6"/>
  <c r="N4299" i="6"/>
  <c r="O4299" i="6"/>
  <c r="N4300" i="6"/>
  <c r="O4300" i="6"/>
  <c r="N4301" i="6"/>
  <c r="O4301" i="6"/>
  <c r="N4302" i="6"/>
  <c r="N4303" i="6"/>
  <c r="O4303" i="6"/>
  <c r="N4304" i="6"/>
  <c r="O4304" i="6"/>
  <c r="N4305" i="6"/>
  <c r="O4305" i="6"/>
  <c r="N4306" i="6"/>
  <c r="O4306" i="6"/>
  <c r="N4307" i="6"/>
  <c r="O4307" i="6"/>
  <c r="N4308" i="6"/>
  <c r="O4308" i="6"/>
  <c r="N4309" i="6"/>
  <c r="O4309" i="6"/>
  <c r="N4311" i="6"/>
  <c r="O4311" i="6"/>
  <c r="H602" i="14"/>
  <c r="O4320" i="6" s="1"/>
  <c r="N4313" i="6"/>
  <c r="N4314" i="6"/>
  <c r="N4315" i="6"/>
  <c r="N4316" i="6"/>
  <c r="N4317" i="6"/>
  <c r="N4318" i="6"/>
  <c r="N4319" i="6"/>
  <c r="N4320" i="6"/>
  <c r="N4321" i="6"/>
  <c r="N4322" i="6"/>
  <c r="O4323" i="6"/>
  <c r="N4324" i="6"/>
  <c r="O4324" i="6"/>
  <c r="N4325" i="6"/>
  <c r="P4325" i="6" s="1"/>
  <c r="U4325" i="6" s="1"/>
  <c r="V4325" i="6" s="1"/>
  <c r="O4326" i="6"/>
  <c r="P4326" i="6" s="1"/>
  <c r="U4326" i="6" s="1"/>
  <c r="N4327" i="6"/>
  <c r="P4327" i="6" s="1"/>
  <c r="U4327" i="6" s="1"/>
  <c r="N4328" i="6"/>
  <c r="P4328" i="6" s="1"/>
  <c r="U4328" i="6" s="1"/>
  <c r="N4329" i="6"/>
  <c r="O4329" i="6"/>
  <c r="N4330" i="6"/>
  <c r="O4330" i="6"/>
  <c r="N4331" i="6"/>
  <c r="O4331" i="6"/>
  <c r="H604" i="14"/>
  <c r="O4334" i="6" s="1"/>
  <c r="N4333" i="6"/>
  <c r="N4334" i="6"/>
  <c r="N4335" i="6"/>
  <c r="N4336" i="6"/>
  <c r="N4337" i="6"/>
  <c r="N4338" i="6"/>
  <c r="N4339" i="6"/>
  <c r="N4340" i="6"/>
  <c r="N4341" i="6"/>
  <c r="N4342" i="6"/>
  <c r="N4343" i="6"/>
  <c r="H605" i="14"/>
  <c r="O4345" i="6" s="1"/>
  <c r="N4345" i="6"/>
  <c r="N4346" i="6"/>
  <c r="N4347" i="6"/>
  <c r="N4348" i="6"/>
  <c r="N4349" i="6"/>
  <c r="N4350" i="6"/>
  <c r="N4351" i="6"/>
  <c r="N4352" i="6"/>
  <c r="N4353" i="6"/>
  <c r="N4354" i="6"/>
  <c r="N4355" i="6"/>
  <c r="N4357" i="6"/>
  <c r="O4357" i="6"/>
  <c r="N4358" i="6"/>
  <c r="O4358" i="6"/>
  <c r="N4359" i="6"/>
  <c r="O4359" i="6"/>
  <c r="N4360" i="6"/>
  <c r="N4361" i="6"/>
  <c r="O4361" i="6"/>
  <c r="N4362" i="6"/>
  <c r="N4363" i="6"/>
  <c r="O4363" i="6"/>
  <c r="N4364" i="6"/>
  <c r="O4364" i="6"/>
  <c r="N4365" i="6"/>
  <c r="O4365" i="6"/>
  <c r="N4366" i="6"/>
  <c r="P4366" i="6" s="1"/>
  <c r="U4366" i="6" s="1"/>
  <c r="P4367" i="6"/>
  <c r="U4367" i="6" s="1"/>
  <c r="V4367" i="6" s="1"/>
  <c r="N4368" i="6"/>
  <c r="P4368" i="6" s="1"/>
  <c r="U4368" i="6" s="1"/>
  <c r="V4368" i="6" s="1"/>
  <c r="P4369" i="6"/>
  <c r="U4369" i="6" s="1"/>
  <c r="N4370" i="6"/>
  <c r="P4370" i="6" s="1"/>
  <c r="U4370" i="6" s="1"/>
  <c r="P4371" i="6"/>
  <c r="U4371" i="6" s="1"/>
  <c r="N4372" i="6"/>
  <c r="P4372" i="6" s="1"/>
  <c r="U4372" i="6" s="1"/>
  <c r="P4373" i="6"/>
  <c r="U4373" i="6" s="1"/>
  <c r="V4373" i="6" s="1"/>
  <c r="N4374" i="6"/>
  <c r="P4374" i="6" s="1"/>
  <c r="U4374" i="6" s="1"/>
  <c r="P4375" i="6"/>
  <c r="U4375" i="6" s="1"/>
  <c r="N4376" i="6"/>
  <c r="O4376" i="6"/>
  <c r="N4377" i="6"/>
  <c r="O4377" i="6"/>
  <c r="N4378" i="6"/>
  <c r="O4378" i="6"/>
  <c r="N4379" i="6"/>
  <c r="O4379" i="6"/>
  <c r="N4380" i="6"/>
  <c r="O4380" i="6"/>
  <c r="N4381" i="6"/>
  <c r="O4381" i="6"/>
  <c r="N4382" i="6"/>
  <c r="O4382" i="6"/>
  <c r="N4383" i="6"/>
  <c r="O4383" i="6"/>
  <c r="N4384" i="6"/>
  <c r="O4384" i="6"/>
  <c r="N4385" i="6"/>
  <c r="O4385" i="6"/>
  <c r="N4386" i="6"/>
  <c r="O4386" i="6"/>
  <c r="N4387" i="6"/>
  <c r="O4387" i="6"/>
  <c r="N4388" i="6"/>
  <c r="O4388" i="6"/>
  <c r="N4389" i="6"/>
  <c r="O4389" i="6"/>
  <c r="N4390" i="6"/>
  <c r="O4390" i="6"/>
  <c r="N4391" i="6"/>
  <c r="O4391" i="6"/>
  <c r="N4392" i="6"/>
  <c r="O4392" i="6"/>
  <c r="N4393" i="6"/>
  <c r="O4393" i="6"/>
  <c r="N4394" i="6"/>
  <c r="O4394" i="6"/>
  <c r="N4395" i="6"/>
  <c r="H614" i="14"/>
  <c r="O4395" i="6" s="1"/>
  <c r="N4396" i="6"/>
  <c r="N4398" i="6"/>
  <c r="N4399" i="6"/>
  <c r="N4400" i="6"/>
  <c r="N4401" i="6"/>
  <c r="N4402" i="6"/>
  <c r="N4403" i="6"/>
  <c r="N4404" i="6"/>
  <c r="H615" i="14"/>
  <c r="O4409" i="6" s="1"/>
  <c r="N4406" i="6"/>
  <c r="N4407" i="6"/>
  <c r="N4408" i="6"/>
  <c r="N4409" i="6"/>
  <c r="N4410" i="6"/>
  <c r="N4411" i="6"/>
  <c r="N4412" i="6"/>
  <c r="N4413" i="6"/>
  <c r="H616" i="14"/>
  <c r="O4417" i="6" s="1"/>
  <c r="N4415" i="6"/>
  <c r="N4416" i="6"/>
  <c r="N4417" i="6"/>
  <c r="N4418" i="6"/>
  <c r="N4419" i="6"/>
  <c r="N4420" i="6"/>
  <c r="N4421" i="6"/>
  <c r="N4422" i="6"/>
  <c r="H617" i="14"/>
  <c r="O4422" i="6" s="1"/>
  <c r="N4423" i="6"/>
  <c r="N4425" i="6"/>
  <c r="N4426" i="6"/>
  <c r="N4427" i="6"/>
  <c r="N4428" i="6"/>
  <c r="P4429" i="6"/>
  <c r="U4429" i="6" s="1"/>
  <c r="N4430" i="6"/>
  <c r="P4430" i="6" s="1"/>
  <c r="U4430" i="6" s="1"/>
  <c r="P4431" i="6"/>
  <c r="U4431" i="6" s="1"/>
  <c r="N4432" i="6"/>
  <c r="H620" i="14"/>
  <c r="O4436" i="6" s="1"/>
  <c r="N4433" i="6"/>
  <c r="N4435" i="6"/>
  <c r="N4436" i="6"/>
  <c r="N4437" i="6"/>
  <c r="N4438" i="6"/>
  <c r="O4438" i="6"/>
  <c r="N4439" i="6"/>
  <c r="N4440" i="6"/>
  <c r="N4441" i="6"/>
  <c r="H621" i="14"/>
  <c r="O4445" i="6" s="1"/>
  <c r="N4442" i="6"/>
  <c r="N4444" i="6"/>
  <c r="N4445" i="6"/>
  <c r="N4446" i="6"/>
  <c r="N4447" i="6"/>
  <c r="N4448" i="6"/>
  <c r="H622" i="14"/>
  <c r="O4451" i="6" s="1"/>
  <c r="N4450" i="6"/>
  <c r="N4451" i="6"/>
  <c r="N4452" i="6"/>
  <c r="N4453" i="6"/>
  <c r="H623" i="14"/>
  <c r="O4454" i="6" s="1"/>
  <c r="P4454" i="6" s="1"/>
  <c r="U4454" i="6" s="1"/>
  <c r="V4454" i="6" s="1"/>
  <c r="N4455" i="6"/>
  <c r="N4456" i="6"/>
  <c r="N4457" i="6"/>
  <c r="N4458" i="6"/>
  <c r="N4459" i="6"/>
  <c r="N4460" i="6"/>
  <c r="N4461" i="6"/>
  <c r="N4462" i="6"/>
  <c r="H624" i="14"/>
  <c r="O4466" i="6" s="1"/>
  <c r="N4463" i="6"/>
  <c r="N4465" i="6"/>
  <c r="N4466" i="6"/>
  <c r="N4467" i="6"/>
  <c r="N4468" i="6"/>
  <c r="N4469" i="6"/>
  <c r="N4470" i="6"/>
  <c r="N4471" i="6"/>
  <c r="H625" i="14"/>
  <c r="O4475" i="6" s="1"/>
  <c r="N4472" i="6"/>
  <c r="N4474" i="6"/>
  <c r="N4475" i="6"/>
  <c r="N4476" i="6"/>
  <c r="N4477" i="6"/>
  <c r="N4478" i="6"/>
  <c r="N4479" i="6"/>
  <c r="N4480" i="6"/>
  <c r="N4481" i="6"/>
  <c r="N4482" i="6"/>
  <c r="H626" i="14"/>
  <c r="O4484" i="6" s="1"/>
  <c r="N4484" i="6"/>
  <c r="N4485" i="6"/>
  <c r="N4486" i="6"/>
  <c r="N4487" i="6"/>
  <c r="N4488" i="6"/>
  <c r="N4489" i="6"/>
  <c r="P4489" i="6" s="1"/>
  <c r="U4489" i="6" s="1"/>
  <c r="P4490" i="6"/>
  <c r="U4490" i="6" s="1"/>
  <c r="N4491" i="6"/>
  <c r="P4491" i="6" s="1"/>
  <c r="P4492" i="6"/>
  <c r="N4493" i="6"/>
  <c r="P4493" i="6" s="1"/>
  <c r="U4493" i="6" s="1"/>
  <c r="P4494" i="6"/>
  <c r="U4494" i="6" s="1"/>
  <c r="N4495" i="6"/>
  <c r="P4495" i="6" s="1"/>
  <c r="U4495" i="6" s="1"/>
  <c r="H630" i="14"/>
  <c r="O4497" i="6" s="1"/>
  <c r="N4497" i="6"/>
  <c r="N4498" i="6"/>
  <c r="N4499" i="6"/>
  <c r="N4500" i="6"/>
  <c r="N4501" i="6"/>
  <c r="N4502" i="6"/>
  <c r="N4503" i="6"/>
  <c r="N4504" i="6"/>
  <c r="N4505" i="6"/>
  <c r="N4506" i="6"/>
  <c r="N4507" i="6"/>
  <c r="N4508" i="6"/>
  <c r="N4509" i="6"/>
  <c r="N4510" i="6"/>
  <c r="H631" i="14"/>
  <c r="O4512" i="6" s="1"/>
  <c r="P4512" i="6" s="1"/>
  <c r="U4512" i="6" s="1"/>
  <c r="N4511" i="6"/>
  <c r="N4513" i="6"/>
  <c r="N4514" i="6"/>
  <c r="N4515" i="6"/>
  <c r="N4516" i="6"/>
  <c r="H632" i="14"/>
  <c r="O4517" i="6" s="1"/>
  <c r="N4517" i="6"/>
  <c r="N4519" i="6"/>
  <c r="N4520" i="6"/>
  <c r="N4521" i="6"/>
  <c r="N4522" i="6"/>
  <c r="H633" i="14"/>
  <c r="O4532" i="6" s="1"/>
  <c r="N4524" i="6"/>
  <c r="N4525" i="6"/>
  <c r="N4526" i="6"/>
  <c r="N4527" i="6"/>
  <c r="N4528" i="6"/>
  <c r="N4529" i="6"/>
  <c r="N4530" i="6"/>
  <c r="N4531" i="6"/>
  <c r="N4532" i="6"/>
  <c r="N4533" i="6"/>
  <c r="O4533" i="6"/>
  <c r="N4534" i="6"/>
  <c r="P4534" i="6" s="1"/>
  <c r="U4534" i="6" s="1"/>
  <c r="N4535" i="6"/>
  <c r="O4535" i="6"/>
  <c r="P4536" i="6"/>
  <c r="U4536" i="6" s="1"/>
  <c r="V4536" i="6" s="1"/>
  <c r="N4537" i="6"/>
  <c r="O4537" i="6"/>
  <c r="N4538" i="6"/>
  <c r="O4538" i="6"/>
  <c r="N4539" i="6"/>
  <c r="O4539" i="6"/>
  <c r="N4540" i="6"/>
  <c r="P4540" i="6" s="1"/>
  <c r="U4540" i="6" s="1"/>
  <c r="V4540" i="6" s="1"/>
  <c r="N4541" i="6"/>
  <c r="O4541" i="6"/>
  <c r="N4542" i="6"/>
  <c r="P4542" i="6" s="1"/>
  <c r="U4542" i="6" s="1"/>
  <c r="P4543" i="6"/>
  <c r="U4543" i="6" s="1"/>
  <c r="P4544" i="6"/>
  <c r="P4545" i="6"/>
  <c r="U4545" i="6" s="1"/>
  <c r="V4545" i="6" s="1"/>
  <c r="P4546" i="6"/>
  <c r="U4546" i="6" s="1"/>
  <c r="V4546" i="6" s="1"/>
  <c r="P4547" i="6"/>
  <c r="U4547" i="6" s="1"/>
  <c r="V4547" i="6" s="1"/>
  <c r="P4548" i="6"/>
  <c r="U4548" i="6" s="1"/>
  <c r="P4549" i="6"/>
  <c r="U4549" i="6" s="1"/>
  <c r="P4550" i="6"/>
  <c r="U4550" i="6" s="1"/>
  <c r="P4551" i="6"/>
  <c r="U4551" i="6" s="1"/>
  <c r="V4551" i="6" s="1"/>
  <c r="P4552" i="6"/>
  <c r="U4552" i="6" s="1"/>
  <c r="V4552" i="6" s="1"/>
  <c r="N4553" i="6"/>
  <c r="P4553" i="6" s="1"/>
  <c r="U4553" i="6" s="1"/>
  <c r="N4554" i="6"/>
  <c r="O4554" i="6"/>
  <c r="N4555" i="6"/>
  <c r="O4555" i="6"/>
  <c r="N4556" i="6"/>
  <c r="O4556" i="6"/>
  <c r="N4557" i="6"/>
  <c r="O4557" i="6"/>
  <c r="N4558" i="6"/>
  <c r="P4558" i="6" s="1"/>
  <c r="U4558" i="6" s="1"/>
  <c r="N4559" i="6"/>
  <c r="O4559" i="6"/>
  <c r="N4560" i="6"/>
  <c r="N4561" i="6"/>
  <c r="O4561" i="6"/>
  <c r="N4562" i="6"/>
  <c r="O4562" i="6"/>
  <c r="N4563" i="6"/>
  <c r="O4563" i="6"/>
  <c r="N4564" i="6"/>
  <c r="O4564" i="6"/>
  <c r="N4565" i="6"/>
  <c r="N4566" i="6"/>
  <c r="O4566" i="6"/>
  <c r="N4567" i="6"/>
  <c r="O4567" i="6"/>
  <c r="N4568" i="6"/>
  <c r="O4568" i="6"/>
  <c r="O4569" i="6"/>
  <c r="P4569" i="6" s="1"/>
  <c r="U4569" i="6" s="1"/>
  <c r="V4569" i="6" s="1"/>
  <c r="N4570" i="6"/>
  <c r="O4570" i="6"/>
  <c r="N4571" i="6"/>
  <c r="N4572" i="6"/>
  <c r="N4573" i="6"/>
  <c r="P4573" i="6" s="1"/>
  <c r="U4573" i="6" s="1"/>
  <c r="V4573" i="6" s="1"/>
  <c r="N4574" i="6"/>
  <c r="O4574" i="6"/>
  <c r="N4575" i="6"/>
  <c r="O4575" i="6"/>
  <c r="N4576" i="6"/>
  <c r="O4576" i="6"/>
  <c r="N4577" i="6"/>
  <c r="N4578" i="6"/>
  <c r="P4578" i="6" s="1"/>
  <c r="U4578" i="6" s="1"/>
  <c r="N4579" i="6"/>
  <c r="P4579" i="6" s="1"/>
  <c r="U4579" i="6" s="1"/>
  <c r="V4579" i="6" s="1"/>
  <c r="N4580" i="6"/>
  <c r="P4580" i="6" s="1"/>
  <c r="U4580" i="6" s="1"/>
  <c r="V4580" i="6" s="1"/>
  <c r="N4581" i="6"/>
  <c r="P4582" i="6"/>
  <c r="U4582" i="6" s="1"/>
  <c r="N4583" i="6"/>
  <c r="N4584" i="6"/>
  <c r="N4585" i="6"/>
  <c r="N4586" i="6"/>
  <c r="P4586" i="6" s="1"/>
  <c r="U4586" i="6" s="1"/>
  <c r="N4587" i="6"/>
  <c r="P4587" i="6" s="1"/>
  <c r="U4587" i="6" s="1"/>
  <c r="N4588" i="6"/>
  <c r="N4589" i="6"/>
  <c r="O4589" i="6"/>
  <c r="N4590" i="6"/>
  <c r="O4590" i="6"/>
  <c r="P4591" i="6"/>
  <c r="U4591" i="6" s="1"/>
  <c r="V4591" i="6" s="1"/>
  <c r="N4592" i="6"/>
  <c r="O4592" i="6"/>
  <c r="N4593" i="6"/>
  <c r="O4593" i="6"/>
  <c r="N4594" i="6"/>
  <c r="P4594" i="6" s="1"/>
  <c r="U4594" i="6" s="1"/>
  <c r="N4595" i="6"/>
  <c r="P4595" i="6" s="1"/>
  <c r="U4595" i="6" s="1"/>
  <c r="V4595" i="6" s="1"/>
  <c r="N4596" i="6"/>
  <c r="O4596" i="6"/>
  <c r="N4597" i="6"/>
  <c r="O4597" i="6"/>
  <c r="N4598" i="6"/>
  <c r="O4598" i="6"/>
  <c r="N4599" i="6"/>
  <c r="P4599" i="6" s="1"/>
  <c r="U4599" i="6" s="1"/>
  <c r="N4600" i="6"/>
  <c r="O4600" i="6"/>
  <c r="N4601" i="6"/>
  <c r="P4601" i="6" s="1"/>
  <c r="U4601" i="6" s="1"/>
  <c r="N4602" i="6"/>
  <c r="O4602" i="6"/>
  <c r="N4603" i="6"/>
  <c r="O4603" i="6"/>
  <c r="N4604" i="6"/>
  <c r="O4604" i="6"/>
  <c r="N4605" i="6"/>
  <c r="O4605" i="6"/>
  <c r="N4606" i="6"/>
  <c r="O4606" i="6"/>
  <c r="N4607" i="6"/>
  <c r="N4608" i="6"/>
  <c r="O4608" i="6"/>
  <c r="P4609" i="6"/>
  <c r="U4609" i="6" s="1"/>
  <c r="V4609" i="6" s="1"/>
  <c r="N4610" i="6"/>
  <c r="O4610" i="6"/>
  <c r="N4611" i="6"/>
  <c r="P4611" i="6" s="1"/>
  <c r="U4611" i="6" s="1"/>
  <c r="N4612" i="6"/>
  <c r="O4612" i="6"/>
  <c r="N4613" i="6"/>
  <c r="N4614" i="6"/>
  <c r="N4615" i="6"/>
  <c r="N4616" i="6"/>
  <c r="P4616" i="6" s="1"/>
  <c r="U4616" i="6" s="1"/>
  <c r="V4616" i="6" s="1"/>
  <c r="O4617" i="6"/>
  <c r="P4617" i="6" s="1"/>
  <c r="U4617" i="6" s="1"/>
  <c r="N4618" i="6"/>
  <c r="P4618" i="6" s="1"/>
  <c r="U4618" i="6" s="1"/>
  <c r="N4619" i="6"/>
  <c r="O4619" i="6"/>
  <c r="O4620" i="6"/>
  <c r="P4620" i="6" s="1"/>
  <c r="U4620" i="6" s="1"/>
  <c r="V4620" i="6" s="1"/>
  <c r="N4621" i="6"/>
  <c r="O4621" i="6"/>
  <c r="N4622" i="6"/>
  <c r="P4622" i="6" s="1"/>
  <c r="U4622" i="6" s="1"/>
  <c r="N4623" i="6"/>
  <c r="N4624" i="6"/>
  <c r="O4624" i="6"/>
  <c r="N4625" i="6"/>
  <c r="N4626" i="6"/>
  <c r="O4626" i="6"/>
  <c r="N4627" i="6"/>
  <c r="O4627" i="6"/>
  <c r="N4628" i="6"/>
  <c r="O4628" i="6"/>
  <c r="N4629" i="6"/>
  <c r="O4629" i="6"/>
  <c r="N4630" i="6"/>
  <c r="O4630" i="6"/>
  <c r="O4631" i="6"/>
  <c r="P4631" i="6" s="1"/>
  <c r="U4631" i="6" s="1"/>
  <c r="V4631" i="6" s="1"/>
  <c r="N4632" i="6"/>
  <c r="O4632" i="6"/>
  <c r="N4633" i="6"/>
  <c r="P4633" i="6" s="1"/>
  <c r="U4633" i="6" s="1"/>
  <c r="N4634" i="6"/>
  <c r="O4634" i="6"/>
  <c r="N4635" i="6"/>
  <c r="O4635" i="6"/>
  <c r="N4636" i="6"/>
  <c r="O4636" i="6"/>
  <c r="N4637" i="6"/>
  <c r="O4637" i="6"/>
  <c r="N4638" i="6"/>
  <c r="O4638" i="6"/>
  <c r="N4639" i="6"/>
  <c r="O4639" i="6"/>
  <c r="N4640" i="6"/>
  <c r="O4640" i="6"/>
  <c r="N4641" i="6"/>
  <c r="O4641" i="6"/>
  <c r="N4642" i="6"/>
  <c r="O4642" i="6"/>
  <c r="N4643" i="6"/>
  <c r="O4643" i="6"/>
  <c r="N4644" i="6"/>
  <c r="P4644" i="6" s="1"/>
  <c r="U4644" i="6" s="1"/>
  <c r="V4644" i="6" s="1"/>
  <c r="N4645" i="6"/>
  <c r="O4645" i="6"/>
  <c r="N4646" i="6"/>
  <c r="O4646" i="6"/>
  <c r="N4647" i="6"/>
  <c r="O4647" i="6"/>
  <c r="N4648" i="6"/>
  <c r="O4648" i="6"/>
  <c r="N4649" i="6"/>
  <c r="O4649" i="6"/>
  <c r="N4650" i="6"/>
  <c r="O4650" i="6"/>
  <c r="N4651" i="6"/>
  <c r="P4651" i="6" s="1"/>
  <c r="U4651" i="6" s="1"/>
  <c r="V4651" i="6" s="1"/>
  <c r="N4652" i="6"/>
  <c r="O4652" i="6"/>
  <c r="N4653" i="6"/>
  <c r="O4653" i="6"/>
  <c r="N4654" i="6"/>
  <c r="O4654" i="6"/>
  <c r="N4655" i="6"/>
  <c r="N4656" i="6"/>
  <c r="P4656" i="6" s="1"/>
  <c r="U4656" i="6" s="1"/>
  <c r="N4657" i="6"/>
  <c r="P4657" i="6" s="1"/>
  <c r="U4657" i="6" s="1"/>
  <c r="N4658" i="6"/>
  <c r="O4658" i="6"/>
  <c r="O4659" i="6"/>
  <c r="P4659" i="6" s="1"/>
  <c r="U4659" i="6" s="1"/>
  <c r="V4659" i="6" s="1"/>
  <c r="N4660" i="6"/>
  <c r="O4660" i="6"/>
  <c r="N4661" i="6"/>
  <c r="P4661" i="6" s="1"/>
  <c r="U4661" i="6" s="1"/>
  <c r="V4661" i="6" s="1"/>
  <c r="N4662" i="6"/>
  <c r="O4662" i="6"/>
  <c r="O4663" i="6"/>
  <c r="N4664" i="6"/>
  <c r="O4664" i="6"/>
  <c r="N4665" i="6"/>
  <c r="P4665" i="6" s="1"/>
  <c r="U4665" i="6" s="1"/>
  <c r="N4666" i="6"/>
  <c r="P4666" i="6" s="1"/>
  <c r="U4666" i="6" s="1"/>
  <c r="V4666" i="6" s="1"/>
  <c r="N4667" i="6"/>
  <c r="P4667" i="6" s="1"/>
  <c r="U4667" i="6" s="1"/>
  <c r="V4667" i="6" s="1"/>
  <c r="N4668" i="6"/>
  <c r="O4668" i="6"/>
  <c r="N4669" i="6"/>
  <c r="O4669" i="6"/>
  <c r="N4670" i="6"/>
  <c r="O4670" i="6"/>
  <c r="N4671" i="6"/>
  <c r="O4671" i="6"/>
  <c r="N4672" i="6"/>
  <c r="O4672" i="6"/>
  <c r="O4673" i="6"/>
  <c r="P4673" i="6" s="1"/>
  <c r="U4673" i="6" s="1"/>
  <c r="V4673" i="6" s="1"/>
  <c r="N4674" i="6"/>
  <c r="O4674" i="6"/>
  <c r="N4675" i="6"/>
  <c r="P4675" i="6" s="1"/>
  <c r="U4675" i="6" s="1"/>
  <c r="N4676" i="6"/>
  <c r="O4676" i="6"/>
  <c r="N4677" i="6"/>
  <c r="O4677" i="6"/>
  <c r="N4678" i="6"/>
  <c r="O4678" i="6"/>
  <c r="P4679" i="6"/>
  <c r="U4679" i="6" s="1"/>
  <c r="P4680" i="6"/>
  <c r="U4680" i="6" s="1"/>
  <c r="P4681" i="6"/>
  <c r="U4681" i="6" s="1"/>
  <c r="V4681" i="6" s="1"/>
  <c r="P4682" i="6"/>
  <c r="U4682" i="6" s="1"/>
  <c r="V4682" i="6" s="1"/>
  <c r="P4683" i="6"/>
  <c r="U4683" i="6" s="1"/>
  <c r="V4683" i="6" s="1"/>
  <c r="P4684" i="6"/>
  <c r="U4684" i="6" s="1"/>
  <c r="P4685" i="6"/>
  <c r="U4685" i="6" s="1"/>
  <c r="N4686" i="6"/>
  <c r="O4686" i="6"/>
  <c r="N4687" i="6"/>
  <c r="P4687" i="6" s="1"/>
  <c r="U4687" i="6" s="1"/>
  <c r="N4688" i="6"/>
  <c r="N4689" i="6"/>
  <c r="N4690" i="6"/>
  <c r="O4690" i="6"/>
  <c r="N4691" i="6"/>
  <c r="O4691" i="6"/>
  <c r="N4692" i="6"/>
  <c r="O4692" i="6"/>
  <c r="N4693" i="6"/>
  <c r="P4693" i="6" s="1"/>
  <c r="U4693" i="6" s="1"/>
  <c r="V4693" i="6" s="1"/>
  <c r="N4694" i="6"/>
  <c r="P4694" i="6" s="1"/>
  <c r="U4694" i="6" s="1"/>
  <c r="V4694" i="6" s="1"/>
  <c r="N4695" i="6"/>
  <c r="O4695" i="6"/>
  <c r="N4696" i="6"/>
  <c r="P4696" i="6" s="1"/>
  <c r="U4696" i="6" s="1"/>
  <c r="V4696" i="6" s="1"/>
  <c r="P4697" i="6"/>
  <c r="U4697" i="6" s="1"/>
  <c r="N4698" i="6"/>
  <c r="P4698" i="6" s="1"/>
  <c r="U4698" i="6" s="1"/>
  <c r="N4699" i="6"/>
  <c r="P4699" i="6" s="1"/>
  <c r="U4699" i="6" s="1"/>
  <c r="N4700" i="6"/>
  <c r="O4700" i="6"/>
  <c r="N4701" i="6"/>
  <c r="O4701" i="6"/>
  <c r="N4702" i="6"/>
  <c r="O4702" i="6"/>
  <c r="N4703" i="6"/>
  <c r="P4703" i="6" s="1"/>
  <c r="U4703" i="6" s="1"/>
  <c r="V4703" i="6" s="1"/>
  <c r="N4704" i="6"/>
  <c r="P4704" i="6" s="1"/>
  <c r="U4704" i="6" s="1"/>
  <c r="V4704" i="6" s="1"/>
  <c r="N4705" i="6"/>
  <c r="P4705" i="6" s="1"/>
  <c r="N4706" i="6"/>
  <c r="P4706" i="6" s="1"/>
  <c r="U4706" i="6" s="1"/>
  <c r="N4707" i="6"/>
  <c r="P4707" i="6" s="1"/>
  <c r="U4707" i="6" s="1"/>
  <c r="V4707" i="6" s="1"/>
  <c r="P4708" i="6"/>
  <c r="U4708" i="6" s="1"/>
  <c r="N4709" i="6"/>
  <c r="P4709" i="6" s="1"/>
  <c r="U4709" i="6" s="1"/>
  <c r="V4709" i="6" s="1"/>
  <c r="N4710" i="6"/>
  <c r="N4711" i="6"/>
  <c r="N4712" i="6"/>
  <c r="O4712" i="6"/>
  <c r="N4713" i="6"/>
  <c r="P4713" i="6" s="1"/>
  <c r="U4713" i="6" s="1"/>
  <c r="V4713" i="6" s="1"/>
  <c r="N4714" i="6"/>
  <c r="O4714" i="6"/>
  <c r="N4715" i="6"/>
  <c r="O4715" i="6"/>
  <c r="N4716" i="6"/>
  <c r="N4717" i="6"/>
  <c r="P4717" i="6" s="1"/>
  <c r="U4717" i="6" s="1"/>
  <c r="V4717" i="6" s="1"/>
  <c r="N4718" i="6"/>
  <c r="O4718" i="6"/>
  <c r="N4719" i="6"/>
  <c r="O4719" i="6"/>
  <c r="N4720" i="6"/>
  <c r="P4720" i="6" s="1"/>
  <c r="U4720" i="6" s="1"/>
  <c r="V4720" i="6" s="1"/>
  <c r="N4721" i="6"/>
  <c r="O4721" i="6"/>
  <c r="N4722" i="6"/>
  <c r="O4722" i="6"/>
  <c r="N4723" i="6"/>
  <c r="N4724" i="6"/>
  <c r="O4724" i="6"/>
  <c r="N4725" i="6"/>
  <c r="N4726" i="6"/>
  <c r="P4726" i="6" s="1"/>
  <c r="U4726" i="6" s="1"/>
  <c r="V4726" i="6" s="1"/>
  <c r="N4727" i="6"/>
  <c r="O4728" i="6"/>
  <c r="P4728" i="6" s="1"/>
  <c r="U4728" i="6" s="1"/>
  <c r="N4729" i="6"/>
  <c r="O4729" i="6"/>
  <c r="N4730" i="6"/>
  <c r="O4730" i="6"/>
  <c r="N4731" i="6"/>
  <c r="O4731" i="6"/>
  <c r="N4732" i="6"/>
  <c r="O4732" i="6"/>
  <c r="N4733" i="6"/>
  <c r="O4733" i="6"/>
  <c r="N4734" i="6"/>
  <c r="P4734" i="6" s="1"/>
  <c r="U4734" i="6" s="1"/>
  <c r="V4734" i="6" s="1"/>
  <c r="N4735" i="6"/>
  <c r="O4735" i="6"/>
  <c r="N4736" i="6"/>
  <c r="O4736" i="6"/>
  <c r="N4737" i="6"/>
  <c r="O4737" i="6"/>
  <c r="N4738" i="6"/>
  <c r="O4738" i="6"/>
  <c r="N4739" i="6"/>
  <c r="O4739" i="6"/>
  <c r="N4740" i="6"/>
  <c r="O4740" i="6"/>
  <c r="N4741" i="6"/>
  <c r="O4741" i="6"/>
  <c r="N4742" i="6"/>
  <c r="O4742" i="6"/>
  <c r="N4743" i="6"/>
  <c r="O4743" i="6"/>
  <c r="N4744" i="6"/>
  <c r="O4744" i="6"/>
  <c r="N4745" i="6"/>
  <c r="P4745" i="6" s="1"/>
  <c r="U4745" i="6" s="1"/>
  <c r="N4746" i="6"/>
  <c r="O4746" i="6"/>
  <c r="N4747" i="6"/>
  <c r="O4747" i="6"/>
  <c r="N4748" i="6"/>
  <c r="O4748" i="6"/>
  <c r="N4749" i="6"/>
  <c r="O4749" i="6"/>
  <c r="N4750" i="6"/>
  <c r="O4750" i="6"/>
  <c r="N4751" i="6"/>
  <c r="P4751" i="6" s="1"/>
  <c r="P4752" i="6"/>
  <c r="U4752" i="6" s="1"/>
  <c r="V4752" i="6" s="1"/>
  <c r="P4753" i="6"/>
  <c r="U4753" i="6" s="1"/>
  <c r="V4753" i="6" s="1"/>
  <c r="P4754" i="6"/>
  <c r="U4754" i="6" s="1"/>
  <c r="V4754" i="6" s="1"/>
  <c r="N4755" i="6"/>
  <c r="P4755" i="6" s="1"/>
  <c r="U4755" i="6" s="1"/>
  <c r="V4755" i="6" s="1"/>
  <c r="O4756" i="6"/>
  <c r="P4756" i="6" s="1"/>
  <c r="U4756" i="6" s="1"/>
  <c r="V4756" i="6" s="1"/>
  <c r="N4757" i="6"/>
  <c r="P4757" i="6" s="1"/>
  <c r="U4757" i="6" s="1"/>
  <c r="N4758" i="6"/>
  <c r="O4758" i="6"/>
  <c r="N4759" i="6"/>
  <c r="O4759" i="6"/>
  <c r="N4760" i="6"/>
  <c r="P4760" i="6" s="1"/>
  <c r="U4760" i="6" s="1"/>
  <c r="V4760" i="6" s="1"/>
  <c r="N4761" i="6"/>
  <c r="P4761" i="6" s="1"/>
  <c r="U4761" i="6" s="1"/>
  <c r="N4762" i="6"/>
  <c r="P4762" i="6" s="1"/>
  <c r="U4762" i="6" s="1"/>
  <c r="N4763" i="6"/>
  <c r="O4763" i="6"/>
  <c r="N4764" i="6"/>
  <c r="P4764" i="6" s="1"/>
  <c r="U4764" i="6" s="1"/>
  <c r="V4764" i="6" s="1"/>
  <c r="J663" i="14"/>
  <c r="O4765" i="6"/>
  <c r="O4766" i="6"/>
  <c r="O4767" i="6"/>
  <c r="O4768" i="6"/>
  <c r="O4770" i="6"/>
  <c r="O4772" i="6"/>
  <c r="O4773" i="6"/>
  <c r="O4774" i="6"/>
  <c r="O4775" i="6"/>
  <c r="N4776" i="6"/>
  <c r="O4776" i="6"/>
  <c r="N4777" i="6"/>
  <c r="O4777" i="6"/>
  <c r="N4778" i="6"/>
  <c r="O4778" i="6"/>
  <c r="N4779" i="6"/>
  <c r="O4779" i="6"/>
  <c r="N4780" i="6"/>
  <c r="P4780" i="6" s="1"/>
  <c r="U4780" i="6" s="1"/>
  <c r="V4780" i="6" s="1"/>
  <c r="N4781" i="6"/>
  <c r="P4781" i="6" s="1"/>
  <c r="U4781" i="6" s="1"/>
  <c r="V4781" i="6" s="1"/>
  <c r="N4782" i="6"/>
  <c r="O4782" i="6"/>
  <c r="N4783" i="6"/>
  <c r="N4784" i="6"/>
  <c r="P4784" i="6" s="1"/>
  <c r="U4784" i="6" s="1"/>
  <c r="N4785" i="6"/>
  <c r="O4785" i="6"/>
  <c r="O4786" i="6"/>
  <c r="P4786" i="6" s="1"/>
  <c r="U4786" i="6" s="1"/>
  <c r="V4786" i="6" s="1"/>
  <c r="N4787" i="6"/>
  <c r="O4787" i="6"/>
  <c r="N4788" i="6"/>
  <c r="N4789" i="6"/>
  <c r="O4789" i="6"/>
  <c r="N4790" i="6"/>
  <c r="O4790" i="6"/>
  <c r="N4791" i="6"/>
  <c r="O4791" i="6"/>
  <c r="N4792" i="6"/>
  <c r="O4792" i="6"/>
  <c r="N4793" i="6"/>
  <c r="O4793" i="6"/>
  <c r="N4794" i="6"/>
  <c r="N4795" i="6"/>
  <c r="O4795" i="6"/>
  <c r="N4796" i="6"/>
  <c r="O4796" i="6"/>
  <c r="N4797" i="6"/>
  <c r="P4797" i="6" s="1"/>
  <c r="U4797" i="6" s="1"/>
  <c r="V4797" i="6" s="1"/>
  <c r="N4798" i="6"/>
  <c r="P4798" i="6" s="1"/>
  <c r="U4798" i="6" s="1"/>
  <c r="V4798" i="6" s="1"/>
  <c r="N4799" i="6"/>
  <c r="P4799" i="6" s="1"/>
  <c r="U4799" i="6" s="1"/>
  <c r="N4800" i="6"/>
  <c r="O4800" i="6"/>
  <c r="N4801" i="6"/>
  <c r="P4801" i="6" s="1"/>
  <c r="U4801" i="6" s="1"/>
  <c r="V4801" i="6" s="1"/>
  <c r="N4802" i="6"/>
  <c r="P4802" i="6" s="1"/>
  <c r="U4802" i="6" s="1"/>
  <c r="N4803" i="6"/>
  <c r="P4803" i="6" s="1"/>
  <c r="U4803" i="6" s="1"/>
  <c r="V4803" i="6" s="1"/>
  <c r="N4804" i="6"/>
  <c r="O4804" i="6"/>
  <c r="N4805" i="6"/>
  <c r="P4805" i="6" s="1"/>
  <c r="U4805" i="6" s="1"/>
  <c r="P4806" i="6"/>
  <c r="U4806" i="6" s="1"/>
  <c r="V4806" i="6" s="1"/>
  <c r="N4807" i="6"/>
  <c r="P4807" i="6" s="1"/>
  <c r="U4807" i="6" s="1"/>
  <c r="V4807" i="6" s="1"/>
  <c r="N4808" i="6"/>
  <c r="O4808" i="6"/>
  <c r="N4809" i="6"/>
  <c r="O4809" i="6"/>
  <c r="N4810" i="6"/>
  <c r="O4810" i="6"/>
  <c r="N4811" i="6"/>
  <c r="P4811" i="6" s="1"/>
  <c r="U4811" i="6" s="1"/>
  <c r="V4811" i="6" s="1"/>
  <c r="N4812" i="6"/>
  <c r="O4812" i="6"/>
  <c r="N4813" i="6"/>
  <c r="O4813" i="6"/>
  <c r="N4814" i="6"/>
  <c r="O4814" i="6"/>
  <c r="N4815" i="6"/>
  <c r="O4815" i="6"/>
  <c r="N4816" i="6"/>
  <c r="P4816" i="6" s="1"/>
  <c r="U4816" i="6" s="1"/>
  <c r="N4817" i="6"/>
  <c r="P4817" i="6" s="1"/>
  <c r="U4817" i="6" s="1"/>
  <c r="N4818" i="6"/>
  <c r="O4818" i="6"/>
  <c r="O4819" i="6"/>
  <c r="O4820" i="6"/>
  <c r="N4825" i="6"/>
  <c r="P4825" i="6" s="1"/>
  <c r="U4825" i="6" s="1"/>
  <c r="N4827" i="6"/>
  <c r="P4827" i="6" s="1"/>
  <c r="U4827" i="6" s="1"/>
  <c r="P4838" i="6"/>
  <c r="U4838" i="6" s="1"/>
  <c r="V4838" i="6" s="1"/>
  <c r="N4839" i="6"/>
  <c r="P4839" i="6" s="1"/>
  <c r="U4839" i="6" s="1"/>
  <c r="V4839" i="6" s="1"/>
  <c r="N4840" i="6"/>
  <c r="O4840" i="6"/>
  <c r="N4841" i="6"/>
  <c r="O4841" i="6"/>
  <c r="N4842" i="6"/>
  <c r="O4842" i="6"/>
  <c r="N4843" i="6"/>
  <c r="N4844" i="6"/>
  <c r="O4844" i="6"/>
  <c r="N4845" i="6"/>
  <c r="O4845" i="6"/>
  <c r="N4846" i="6"/>
  <c r="O4846" i="6"/>
  <c r="N4847" i="6"/>
  <c r="O4847" i="6"/>
  <c r="N4848" i="6"/>
  <c r="O4848" i="6"/>
  <c r="N4849" i="6"/>
  <c r="P4849" i="6" s="1"/>
  <c r="U4849" i="6" s="1"/>
  <c r="V4849" i="6" s="1"/>
  <c r="N4850" i="6"/>
  <c r="N4851" i="6"/>
  <c r="P4851" i="6" s="1"/>
  <c r="N4852" i="6"/>
  <c r="P4852" i="6" s="1"/>
  <c r="U4852" i="6" s="1"/>
  <c r="N4853" i="6"/>
  <c r="P4853" i="6" s="1"/>
  <c r="U4853" i="6" s="1"/>
  <c r="N4854" i="6"/>
  <c r="P4854" i="6" s="1"/>
  <c r="U4854" i="6" s="1"/>
  <c r="V4854" i="6" s="1"/>
  <c r="P4855" i="6"/>
  <c r="U4855" i="6" s="1"/>
  <c r="V4855" i="6" s="1"/>
  <c r="N4856" i="6"/>
  <c r="P4856" i="6" s="1"/>
  <c r="U4856" i="6" s="1"/>
  <c r="V4856" i="6" s="1"/>
  <c r="N4857" i="6"/>
  <c r="N4858" i="6"/>
  <c r="P4858" i="6" s="1"/>
  <c r="U4858" i="6" s="1"/>
  <c r="N4859" i="6"/>
  <c r="P4859" i="6" s="1"/>
  <c r="U4859" i="6" s="1"/>
  <c r="V4859" i="6" s="1"/>
  <c r="N4860" i="6"/>
  <c r="P4860" i="6" s="1"/>
  <c r="U4860" i="6" s="1"/>
  <c r="V4860" i="6" s="1"/>
  <c r="N4861" i="6"/>
  <c r="P4861" i="6" s="1"/>
  <c r="U4861" i="6" s="1"/>
  <c r="V4861" i="6" s="1"/>
  <c r="N4862" i="6"/>
  <c r="O4862" i="6"/>
  <c r="N4863" i="6"/>
  <c r="O4863" i="6"/>
  <c r="N4864" i="6"/>
  <c r="O4864" i="6"/>
  <c r="P4865" i="6"/>
  <c r="U4865" i="6" s="1"/>
  <c r="V4865" i="6" s="1"/>
  <c r="N4866" i="6"/>
  <c r="O4866" i="6"/>
  <c r="N4867" i="6"/>
  <c r="O4867" i="6"/>
  <c r="N4868" i="6"/>
  <c r="O4868" i="6"/>
  <c r="N4869" i="6"/>
  <c r="O4869" i="6"/>
  <c r="N4870" i="6"/>
  <c r="O4870" i="6"/>
  <c r="O4871" i="6"/>
  <c r="P4871" i="6" s="1"/>
  <c r="U4871" i="6" s="1"/>
  <c r="V4871" i="6" s="1"/>
  <c r="N4872" i="6"/>
  <c r="O4872" i="6"/>
  <c r="N4873" i="6"/>
  <c r="P4873" i="6" s="1"/>
  <c r="U4873" i="6" s="1"/>
  <c r="V4873" i="6" s="1"/>
  <c r="N4874" i="6"/>
  <c r="P4874" i="6" s="1"/>
  <c r="U4874" i="6" s="1"/>
  <c r="V4874" i="6" s="1"/>
  <c r="N4875" i="6"/>
  <c r="O4875" i="6"/>
  <c r="N4876" i="6"/>
  <c r="O4876" i="6"/>
  <c r="N4877" i="6"/>
  <c r="O4877" i="6"/>
  <c r="N4878" i="6"/>
  <c r="P4878" i="6" s="1"/>
  <c r="U4878" i="6" s="1"/>
  <c r="V4878" i="6" s="1"/>
  <c r="N4879" i="6"/>
  <c r="O4879" i="6"/>
  <c r="N4880" i="6"/>
  <c r="O4880" i="6"/>
  <c r="N4881" i="6"/>
  <c r="P4881" i="6" s="1"/>
  <c r="U4881" i="6" s="1"/>
  <c r="N4882" i="6"/>
  <c r="P4882" i="6" s="1"/>
  <c r="U4882" i="6" s="1"/>
  <c r="V4882" i="6" s="1"/>
  <c r="P4883" i="6"/>
  <c r="U4883" i="6" s="1"/>
  <c r="V4883" i="6" s="1"/>
  <c r="N4884" i="6"/>
  <c r="O4884" i="6"/>
  <c r="N4885" i="6"/>
  <c r="O4885" i="6"/>
  <c r="N4886" i="6"/>
  <c r="O4886" i="6"/>
  <c r="N4887" i="6"/>
  <c r="P4887" i="6" s="1"/>
  <c r="U4887" i="6" s="1"/>
  <c r="V4887" i="6" s="1"/>
  <c r="N4888" i="6"/>
  <c r="O4888" i="6"/>
  <c r="N4890" i="6"/>
  <c r="N4891" i="6"/>
  <c r="N4892" i="6"/>
  <c r="O4892" i="6"/>
  <c r="N4893" i="6"/>
  <c r="P4893" i="6" s="1"/>
  <c r="U4893" i="6" s="1"/>
  <c r="N4894" i="6"/>
  <c r="P4894" i="6" s="1"/>
  <c r="U4894" i="6" s="1"/>
  <c r="V4894" i="6" s="1"/>
  <c r="N4895" i="6"/>
  <c r="N4896" i="6"/>
  <c r="O4896" i="6"/>
  <c r="N4897" i="6"/>
  <c r="N4898" i="6"/>
  <c r="O4898" i="6"/>
  <c r="N4899" i="6"/>
  <c r="O4899" i="6"/>
  <c r="N4900" i="6"/>
  <c r="O4900" i="6"/>
  <c r="N4901" i="6"/>
  <c r="O4901" i="6"/>
  <c r="N4902" i="6"/>
  <c r="O4902" i="6"/>
  <c r="N4903" i="6"/>
  <c r="O4903" i="6"/>
  <c r="N4904" i="6"/>
  <c r="O4904" i="6"/>
  <c r="N4905" i="6"/>
  <c r="P4905" i="6" s="1"/>
  <c r="U4905" i="6" s="1"/>
  <c r="V4905" i="6" s="1"/>
  <c r="N4906" i="6"/>
  <c r="O4906" i="6"/>
  <c r="N4907" i="6"/>
  <c r="O4907" i="6"/>
  <c r="N4908" i="6"/>
  <c r="O4908" i="6"/>
  <c r="N4909" i="6"/>
  <c r="O4909" i="6"/>
  <c r="N4910" i="6"/>
  <c r="O4910" i="6"/>
  <c r="N4911" i="6"/>
  <c r="O4911" i="6"/>
  <c r="N4912" i="6"/>
  <c r="O4912" i="6"/>
  <c r="N4913" i="6"/>
  <c r="P4913" i="6" s="1"/>
  <c r="U4913" i="6" s="1"/>
  <c r="O4914" i="6"/>
  <c r="P4914" i="6" s="1"/>
  <c r="U4914" i="6" s="1"/>
  <c r="N4915" i="6"/>
  <c r="O4915" i="6"/>
  <c r="O4916" i="6"/>
  <c r="P4916" i="6" s="1"/>
  <c r="U4916" i="6" s="1"/>
  <c r="V4916" i="6" s="1"/>
  <c r="N4917" i="6"/>
  <c r="O4917" i="6"/>
  <c r="N4918" i="6"/>
  <c r="O4918" i="6"/>
  <c r="N4919" i="6"/>
  <c r="O4919" i="6"/>
  <c r="N4920" i="6"/>
  <c r="O4920" i="6"/>
  <c r="N4921" i="6"/>
  <c r="P4921" i="6" s="1"/>
  <c r="U4921" i="6" s="1"/>
  <c r="V4921" i="6" s="1"/>
  <c r="N4922" i="6"/>
  <c r="P4922" i="6" s="1"/>
  <c r="U4922" i="6" s="1"/>
  <c r="N4923" i="6"/>
  <c r="N4924" i="6"/>
  <c r="P4924" i="6" s="1"/>
  <c r="U4924" i="6" s="1"/>
  <c r="V4924" i="6" s="1"/>
  <c r="P4925" i="6"/>
  <c r="U4925" i="6" s="1"/>
  <c r="V4925" i="6" s="1"/>
  <c r="N4926" i="6"/>
  <c r="O4926" i="6"/>
  <c r="N4927" i="6"/>
  <c r="P4927" i="6" s="1"/>
  <c r="U4927" i="6" s="1"/>
  <c r="V4927" i="6" s="1"/>
  <c r="N4928" i="6"/>
  <c r="P4928" i="6" s="1"/>
  <c r="U4928" i="6" s="1"/>
  <c r="V4928" i="6" s="1"/>
  <c r="N4929" i="6"/>
  <c r="O4929" i="6"/>
  <c r="N4930" i="6"/>
  <c r="O4930" i="6"/>
  <c r="N4931" i="6"/>
  <c r="P4931" i="6" s="1"/>
  <c r="U4931" i="6" s="1"/>
  <c r="V4931" i="6" s="1"/>
  <c r="N4932" i="6"/>
  <c r="P4932" i="6" s="1"/>
  <c r="U4932" i="6" s="1"/>
  <c r="V4932" i="6" s="1"/>
  <c r="P4933" i="6"/>
  <c r="U4933" i="6" s="1"/>
  <c r="V4933" i="6" s="1"/>
  <c r="N4934" i="6"/>
  <c r="O4934" i="6"/>
  <c r="N4935" i="6"/>
  <c r="O4935" i="6"/>
  <c r="N4936" i="6"/>
  <c r="O4936" i="6"/>
  <c r="O4937" i="6"/>
  <c r="P4937" i="6" s="1"/>
  <c r="U4937" i="6" s="1"/>
  <c r="V4937" i="6" s="1"/>
  <c r="N4938" i="6"/>
  <c r="O4938" i="6"/>
  <c r="N4939" i="6"/>
  <c r="P4939" i="6" s="1"/>
  <c r="U4939" i="6" s="1"/>
  <c r="V4939" i="6" s="1"/>
  <c r="N4940" i="6"/>
  <c r="N4941" i="6"/>
  <c r="N4942" i="6"/>
  <c r="O4942" i="6"/>
  <c r="N4943" i="6"/>
  <c r="O4943" i="6"/>
  <c r="N4944" i="6"/>
  <c r="O4944" i="6"/>
  <c r="N4945" i="6"/>
  <c r="O4945" i="6"/>
  <c r="N4946" i="6"/>
  <c r="O4946" i="6"/>
  <c r="P4947" i="6"/>
  <c r="U4947" i="6" s="1"/>
  <c r="V4947" i="6" s="1"/>
  <c r="N4948" i="6"/>
  <c r="N4949" i="6"/>
  <c r="N4950" i="6"/>
  <c r="O4950" i="6"/>
  <c r="N4951" i="6"/>
  <c r="O4951" i="6"/>
  <c r="N4952" i="6"/>
  <c r="O4952" i="6"/>
  <c r="N4953" i="6"/>
  <c r="N4954" i="6"/>
  <c r="O4954" i="6"/>
  <c r="N4955" i="6"/>
  <c r="P4955" i="6" s="1"/>
  <c r="U4955" i="6" s="1"/>
  <c r="V4955" i="6" s="1"/>
  <c r="N4956" i="6"/>
  <c r="O4956" i="6"/>
  <c r="O4957" i="6"/>
  <c r="P4957" i="6" s="1"/>
  <c r="U4957" i="6" s="1"/>
  <c r="N4958" i="6"/>
  <c r="O4958" i="6"/>
  <c r="N4959" i="6"/>
  <c r="O4959" i="6"/>
  <c r="N4960" i="6"/>
  <c r="O4960" i="6"/>
  <c r="N4961" i="6"/>
  <c r="P4961" i="6" s="1"/>
  <c r="U4961" i="6" s="1"/>
  <c r="N4962" i="6"/>
  <c r="O4962" i="6"/>
  <c r="N4963" i="6"/>
  <c r="N4964" i="6"/>
  <c r="N4966" i="6"/>
  <c r="O4966" i="6"/>
  <c r="N4967" i="6"/>
  <c r="P4967" i="6" s="1"/>
  <c r="U4967" i="6" s="1"/>
  <c r="N4968" i="6"/>
  <c r="P4968" i="6" s="1"/>
  <c r="U4968" i="6" s="1"/>
  <c r="V4968" i="6" s="1"/>
  <c r="N4969" i="6"/>
  <c r="N4970" i="6"/>
  <c r="P4970" i="6" s="1"/>
  <c r="U4970" i="6" s="1"/>
  <c r="V4970" i="6" s="1"/>
  <c r="N4971" i="6"/>
  <c r="N4972" i="6"/>
  <c r="P4973" i="6"/>
  <c r="U4973" i="6" s="1"/>
  <c r="V4973" i="6" s="1"/>
  <c r="N4974" i="6"/>
  <c r="O4974" i="6"/>
  <c r="N4975" i="6"/>
  <c r="P4975" i="6" s="1"/>
  <c r="U4975" i="6" s="1"/>
  <c r="V4975" i="6" s="1"/>
  <c r="N4976" i="6"/>
  <c r="P4976" i="6" s="1"/>
  <c r="U4976" i="6" s="1"/>
  <c r="N4977" i="6"/>
  <c r="N4978" i="6"/>
  <c r="O4978" i="6"/>
  <c r="N4979" i="6"/>
  <c r="P4979" i="6" s="1"/>
  <c r="U4979" i="6" s="1"/>
  <c r="V4979" i="6" s="1"/>
  <c r="N4980" i="6"/>
  <c r="O4980" i="6"/>
  <c r="N4981" i="6"/>
  <c r="P4981" i="6" s="1"/>
  <c r="U4981" i="6" s="1"/>
  <c r="N4982" i="6"/>
  <c r="O4982" i="6"/>
  <c r="O4983" i="6"/>
  <c r="P4983" i="6" s="1"/>
  <c r="U4983" i="6" s="1"/>
  <c r="V4983" i="6" s="1"/>
  <c r="N4984" i="6"/>
  <c r="O4984" i="6"/>
  <c r="N4985" i="6"/>
  <c r="N4986" i="6"/>
  <c r="O4986" i="6"/>
  <c r="N4987" i="6"/>
  <c r="P4987" i="6" s="1"/>
  <c r="U4987" i="6" s="1"/>
  <c r="V4987" i="6" s="1"/>
  <c r="N4988" i="6"/>
  <c r="O4988" i="6"/>
  <c r="N4989" i="6"/>
  <c r="O4989" i="6"/>
  <c r="O4990" i="6"/>
  <c r="P4990" i="6" s="1"/>
  <c r="U4990" i="6" s="1"/>
  <c r="V4990" i="6" s="1"/>
  <c r="N4991" i="6"/>
  <c r="O4991" i="6"/>
  <c r="N4992" i="6"/>
  <c r="O4992" i="6"/>
  <c r="N4993" i="6"/>
  <c r="O4993" i="6"/>
  <c r="N4994" i="6"/>
  <c r="O4994" i="6"/>
  <c r="N4995" i="6"/>
  <c r="O4995" i="6"/>
  <c r="N4996" i="6"/>
  <c r="O4996" i="6"/>
  <c r="N4997" i="6"/>
  <c r="O4997" i="6"/>
  <c r="N4998" i="6"/>
  <c r="O4998" i="6"/>
  <c r="N4999" i="6"/>
  <c r="O4999" i="6"/>
  <c r="N5000" i="6"/>
  <c r="O5000" i="6"/>
  <c r="O5001" i="6"/>
  <c r="P5001" i="6" s="1"/>
  <c r="U5001" i="6" s="1"/>
  <c r="V5001" i="6" s="1"/>
  <c r="N5002" i="6"/>
  <c r="O5002" i="6"/>
  <c r="N5003" i="6"/>
  <c r="O5003" i="6"/>
  <c r="N5004" i="6"/>
  <c r="O5004" i="6"/>
  <c r="N5005" i="6"/>
  <c r="O5005" i="6"/>
  <c r="N5006" i="6"/>
  <c r="O5006" i="6"/>
  <c r="N5007" i="6"/>
  <c r="P5007" i="6" s="1"/>
  <c r="U5007" i="6" s="1"/>
  <c r="V5007" i="6" s="1"/>
  <c r="N5008" i="6"/>
  <c r="O5008" i="6"/>
  <c r="N5009" i="6"/>
  <c r="O5009" i="6"/>
  <c r="N5010" i="6"/>
  <c r="O5010" i="6"/>
  <c r="N5011" i="6"/>
  <c r="O5011" i="6"/>
  <c r="N5012" i="6"/>
  <c r="P5012" i="6" s="1"/>
  <c r="U5012" i="6" s="1"/>
  <c r="V5012" i="6" s="1"/>
  <c r="N5013" i="6"/>
  <c r="O5013" i="6"/>
  <c r="N5014" i="6"/>
  <c r="P5014" i="6" s="1"/>
  <c r="U5014" i="6" s="1"/>
  <c r="V5014" i="6" s="1"/>
  <c r="N5016" i="6"/>
  <c r="O5016" i="6"/>
  <c r="N5017" i="6"/>
  <c r="P5017" i="6" s="1"/>
  <c r="U5017" i="6" s="1"/>
  <c r="V5017" i="6" s="1"/>
  <c r="N5018" i="6"/>
  <c r="O5018" i="6"/>
  <c r="N5019" i="6"/>
  <c r="O5019" i="6"/>
  <c r="N5020" i="6"/>
  <c r="O5020" i="6"/>
  <c r="N5021" i="6"/>
  <c r="O5021" i="6"/>
  <c r="O5022" i="6"/>
  <c r="P5022" i="6" s="1"/>
  <c r="U5022" i="6" s="1"/>
  <c r="V5022" i="6" s="1"/>
  <c r="N5023" i="6"/>
  <c r="O5023" i="6"/>
  <c r="N5024" i="6"/>
  <c r="O5024" i="6"/>
  <c r="N5025" i="6"/>
  <c r="O5025" i="6"/>
  <c r="N5026" i="6"/>
  <c r="O5026" i="6"/>
  <c r="N5027" i="6"/>
  <c r="O5027" i="6"/>
  <c r="N5028" i="6"/>
  <c r="O5028" i="6"/>
  <c r="N5029" i="6"/>
  <c r="O5029" i="6"/>
  <c r="N5030" i="6"/>
  <c r="P5030" i="6" s="1"/>
  <c r="U5030" i="6" s="1"/>
  <c r="V5030" i="6" s="1"/>
  <c r="N5031" i="6"/>
  <c r="P5031" i="6" s="1"/>
  <c r="U5031" i="6" s="1"/>
  <c r="V5031" i="6" s="1"/>
  <c r="N5032" i="6"/>
  <c r="P5032" i="6" s="1"/>
  <c r="U5032" i="6" s="1"/>
  <c r="V5032" i="6" s="1"/>
  <c r="P5033" i="6"/>
  <c r="U5033" i="6" s="1"/>
  <c r="V5033" i="6" s="1"/>
  <c r="N5034" i="6"/>
  <c r="O5034" i="6"/>
  <c r="N5035" i="6"/>
  <c r="P5035" i="6" s="1"/>
  <c r="U5035" i="6" s="1"/>
  <c r="V5035" i="6" s="1"/>
  <c r="N5036" i="6"/>
  <c r="P5036" i="6" s="1"/>
  <c r="U5036" i="6" s="1"/>
  <c r="V5036" i="6" s="1"/>
  <c r="N5037" i="6"/>
  <c r="P5037" i="6" s="1"/>
  <c r="U5037" i="6" s="1"/>
  <c r="V5037" i="6" s="1"/>
  <c r="N5038" i="6"/>
  <c r="O5038" i="6"/>
  <c r="N5039" i="6"/>
  <c r="P5039" i="6" s="1"/>
  <c r="U5039" i="6" s="1"/>
  <c r="N5040" i="6"/>
  <c r="O5040" i="6"/>
  <c r="N5041" i="6"/>
  <c r="N5042" i="6"/>
  <c r="O5042" i="6"/>
  <c r="O5043" i="6"/>
  <c r="P5043" i="6" s="1"/>
  <c r="U5043" i="6" s="1"/>
  <c r="N5044" i="6"/>
  <c r="P5044" i="6" s="1"/>
  <c r="U5044" i="6" s="1"/>
  <c r="V5044" i="6" s="1"/>
  <c r="N5045" i="6"/>
  <c r="O5045" i="6"/>
  <c r="P5046" i="6"/>
  <c r="U5046" i="6" s="1"/>
  <c r="N5047" i="6"/>
  <c r="P5047" i="6" s="1"/>
  <c r="U5047" i="6" s="1"/>
  <c r="N5048" i="6"/>
  <c r="P5048" i="6" s="1"/>
  <c r="U5048" i="6" s="1"/>
  <c r="N5049" i="6"/>
  <c r="P5049" i="6" s="1"/>
  <c r="U5049" i="6" s="1"/>
  <c r="N5050" i="6"/>
  <c r="O5050" i="6"/>
  <c r="N5051" i="6"/>
  <c r="P5051" i="6" s="1"/>
  <c r="U5051" i="6" s="1"/>
  <c r="V5051" i="6" s="1"/>
  <c r="N5052" i="6"/>
  <c r="P5052" i="6" s="1"/>
  <c r="U5052" i="6" s="1"/>
  <c r="V5052" i="6" s="1"/>
  <c r="N5053" i="6"/>
  <c r="P5053" i="6" s="1"/>
  <c r="U5053" i="6" s="1"/>
  <c r="V5053" i="6" s="1"/>
  <c r="N5054" i="6"/>
  <c r="O5054" i="6"/>
  <c r="N5055" i="6"/>
  <c r="P5055" i="6" s="1"/>
  <c r="U5055" i="6" s="1"/>
  <c r="V5055" i="6" s="1"/>
  <c r="N5056" i="6"/>
  <c r="O5056" i="6"/>
  <c r="N5057" i="6"/>
  <c r="P5057" i="6" s="1"/>
  <c r="U5057" i="6" s="1"/>
  <c r="V5057" i="6" s="1"/>
  <c r="O5058" i="6"/>
  <c r="P5058" i="6" s="1"/>
  <c r="U5058" i="6" s="1"/>
  <c r="V5058" i="6" s="1"/>
  <c r="N5059" i="6"/>
  <c r="O5059" i="6"/>
  <c r="N5060" i="6"/>
  <c r="P5060" i="6" s="1"/>
  <c r="U5060" i="6" s="1"/>
  <c r="V5060" i="6" s="1"/>
  <c r="N5061" i="6"/>
  <c r="O5061" i="6"/>
  <c r="N5062" i="6"/>
  <c r="O5062" i="6"/>
  <c r="N5063" i="6"/>
  <c r="P5063" i="6" s="1"/>
  <c r="U5063" i="6" s="1"/>
  <c r="V5063" i="6" s="1"/>
  <c r="N5064" i="6"/>
  <c r="N5065" i="6"/>
  <c r="P5065" i="6" s="1"/>
  <c r="U5065" i="6" s="1"/>
  <c r="V5065" i="6" s="1"/>
  <c r="N5066" i="6"/>
  <c r="P5066" i="6" s="1"/>
  <c r="U5066" i="6" s="1"/>
  <c r="N5067" i="6"/>
  <c r="O5067" i="6"/>
  <c r="N5068" i="6"/>
  <c r="P5068" i="6" s="1"/>
  <c r="U5068" i="6" s="1"/>
  <c r="V5068" i="6" s="1"/>
  <c r="P5069" i="6"/>
  <c r="U5069" i="6" s="1"/>
  <c r="V5069" i="6" s="1"/>
  <c r="P5070" i="6"/>
  <c r="U5070" i="6" s="1"/>
  <c r="P5071" i="6"/>
  <c r="U5071" i="6" s="1"/>
  <c r="V5071" i="6" s="1"/>
  <c r="N5072" i="6"/>
  <c r="P5072" i="6" s="1"/>
  <c r="U5072" i="6" s="1"/>
  <c r="V5072" i="6" s="1"/>
  <c r="N5073" i="6"/>
  <c r="P5073" i="6" s="1"/>
  <c r="U5073" i="6" s="1"/>
  <c r="V5073" i="6" s="1"/>
  <c r="N5074" i="6"/>
  <c r="P5074" i="6" s="1"/>
  <c r="U5074" i="6" s="1"/>
  <c r="V5074" i="6" s="1"/>
  <c r="O5075" i="6"/>
  <c r="P5075" i="6" s="1"/>
  <c r="U5075" i="6" s="1"/>
  <c r="V5075" i="6" s="1"/>
  <c r="N5076" i="6"/>
  <c r="O5076" i="6"/>
  <c r="N5077" i="6"/>
  <c r="P5077" i="6" s="1"/>
  <c r="U5077" i="6" s="1"/>
  <c r="N5078" i="6"/>
  <c r="P5078" i="6" s="1"/>
  <c r="U5078" i="6" s="1"/>
  <c r="V5078" i="6" s="1"/>
  <c r="N5079" i="6"/>
  <c r="O5079" i="6"/>
  <c r="N5080" i="6"/>
  <c r="P5080" i="6" s="1"/>
  <c r="U5080" i="6" s="1"/>
  <c r="N5081" i="6"/>
  <c r="O5081" i="6"/>
  <c r="N5082" i="6"/>
  <c r="O5082" i="6"/>
  <c r="N5083" i="6"/>
  <c r="P5083" i="6" s="1"/>
  <c r="U5083" i="6" s="1"/>
  <c r="V5083" i="6" s="1"/>
  <c r="O5084" i="6"/>
  <c r="P5084" i="6" s="1"/>
  <c r="U5084" i="6" s="1"/>
  <c r="N5085" i="6"/>
  <c r="P5085" i="6" s="1"/>
  <c r="U5085" i="6" s="1"/>
  <c r="V5085" i="6" s="1"/>
  <c r="N5086" i="6"/>
  <c r="N5087" i="6"/>
  <c r="O5087" i="6"/>
  <c r="N5088" i="6"/>
  <c r="N5089" i="6"/>
  <c r="O5089" i="6"/>
  <c r="N5090" i="6"/>
  <c r="O5090" i="6"/>
  <c r="N5091" i="6"/>
  <c r="P5091" i="6" s="1"/>
  <c r="U5091" i="6" s="1"/>
  <c r="V5091" i="6" s="1"/>
  <c r="N5092" i="6"/>
  <c r="P5092" i="6" s="1"/>
  <c r="U5092" i="6" s="1"/>
  <c r="V5092" i="6" s="1"/>
  <c r="N5093" i="6"/>
  <c r="O5093" i="6"/>
  <c r="N5094" i="6"/>
  <c r="P5094" i="6" s="1"/>
  <c r="U5094" i="6" s="1"/>
  <c r="V5094" i="6" s="1"/>
  <c r="N5095" i="6"/>
  <c r="O5095" i="6"/>
  <c r="N5096" i="6"/>
  <c r="O5096" i="6"/>
  <c r="N5097" i="6"/>
  <c r="N5098" i="6"/>
  <c r="P5098" i="6" s="1"/>
  <c r="U5098" i="6" s="1"/>
  <c r="V5098" i="6" s="1"/>
  <c r="N5099" i="6"/>
  <c r="N5100" i="6"/>
  <c r="P5100" i="6" s="1"/>
  <c r="U5100" i="6" s="1"/>
  <c r="V5100" i="6" s="1"/>
  <c r="N5101" i="6"/>
  <c r="N5102" i="6"/>
  <c r="N5103" i="6"/>
  <c r="O5103" i="6"/>
  <c r="N5104" i="6"/>
  <c r="P5104" i="6" s="1"/>
  <c r="U5104" i="6" s="1"/>
  <c r="V5104" i="6" s="1"/>
  <c r="N5105" i="6"/>
  <c r="P5105" i="6" s="1"/>
  <c r="U5105" i="6" s="1"/>
  <c r="V5105" i="6" s="1"/>
  <c r="N5106" i="6"/>
  <c r="O5107" i="6"/>
  <c r="P5107" i="6" s="1"/>
  <c r="U5107" i="6" s="1"/>
  <c r="N5108" i="6"/>
  <c r="N5109" i="6"/>
  <c r="O5109" i="6"/>
  <c r="N5110" i="6"/>
  <c r="P5110" i="6" s="1"/>
  <c r="U5110" i="6" s="1"/>
  <c r="V5110" i="6" s="1"/>
  <c r="O5111" i="6"/>
  <c r="P5111" i="6" s="1"/>
  <c r="U5111" i="6" s="1"/>
  <c r="N5112" i="6"/>
  <c r="N5113" i="6"/>
  <c r="P5113" i="6" s="1"/>
  <c r="U5113" i="6" s="1"/>
  <c r="V5113" i="6" s="1"/>
  <c r="N5114" i="6"/>
  <c r="O5114" i="6"/>
  <c r="N5115" i="6"/>
  <c r="P5115" i="6" s="1"/>
  <c r="U5115" i="6" s="1"/>
  <c r="V5115" i="6" s="1"/>
  <c r="N5116" i="6"/>
  <c r="N5117" i="6"/>
  <c r="O5117" i="6"/>
  <c r="N5118" i="6"/>
  <c r="O5118" i="6"/>
  <c r="N5119" i="6"/>
  <c r="P5119" i="6" s="1"/>
  <c r="U5119" i="6" s="1"/>
  <c r="V5119" i="6" s="1"/>
  <c r="N5120" i="6"/>
  <c r="P5120" i="6" s="1"/>
  <c r="U5120" i="6" s="1"/>
  <c r="N5121" i="6"/>
  <c r="O5121" i="6"/>
  <c r="N5122" i="6"/>
  <c r="O5122" i="6"/>
  <c r="N5123" i="6"/>
  <c r="O5123" i="6"/>
  <c r="N5124" i="6"/>
  <c r="O5124" i="6"/>
  <c r="N5125" i="6"/>
  <c r="O5125" i="6"/>
  <c r="N5126" i="6"/>
  <c r="P5126" i="6" s="1"/>
  <c r="U5126" i="6" s="1"/>
  <c r="V5126" i="6" s="1"/>
  <c r="N5127" i="6"/>
  <c r="P5127" i="6" s="1"/>
  <c r="U5127" i="6" s="1"/>
  <c r="P5128" i="6"/>
  <c r="U5128" i="6" s="1"/>
  <c r="N5129" i="6"/>
  <c r="O5129" i="6"/>
  <c r="N5130" i="6"/>
  <c r="O5130" i="6"/>
  <c r="N5131" i="6"/>
  <c r="O5131" i="6"/>
  <c r="N5132" i="6"/>
  <c r="O5132" i="6"/>
  <c r="N5133" i="6"/>
  <c r="P5133" i="6" s="1"/>
  <c r="U5133" i="6" s="1"/>
  <c r="V5133" i="6" s="1"/>
  <c r="N5134" i="6"/>
  <c r="O5134" i="6"/>
  <c r="N5135" i="6"/>
  <c r="P5135" i="6" s="1"/>
  <c r="U5135" i="6" s="1"/>
  <c r="V5135" i="6" s="1"/>
  <c r="N5136" i="6"/>
  <c r="O5136" i="6"/>
  <c r="N5137" i="6"/>
  <c r="O5137" i="6"/>
  <c r="N5138" i="6"/>
  <c r="O5138" i="6"/>
  <c r="N5139" i="6"/>
  <c r="P5139" i="6" s="1"/>
  <c r="U5139" i="6" s="1"/>
  <c r="V5139" i="6" s="1"/>
  <c r="N5140" i="6"/>
  <c r="O5140" i="6"/>
  <c r="N5141" i="6"/>
  <c r="O5141" i="6"/>
  <c r="N5142" i="6"/>
  <c r="O5142" i="6"/>
  <c r="N5143" i="6"/>
  <c r="O5143" i="6"/>
  <c r="N5144" i="6"/>
  <c r="P5144" i="6" s="1"/>
  <c r="U5144" i="6" s="1"/>
  <c r="V5144" i="6" s="1"/>
  <c r="N5145" i="6"/>
  <c r="O5145" i="6"/>
  <c r="N5146" i="6"/>
  <c r="P5146" i="6" s="1"/>
  <c r="U5146" i="6" s="1"/>
  <c r="N5147" i="6"/>
  <c r="O5147" i="6"/>
  <c r="N5148" i="6"/>
  <c r="P5148" i="6" s="1"/>
  <c r="U5148" i="6" s="1"/>
  <c r="V5148" i="6" s="1"/>
  <c r="N5149" i="6"/>
  <c r="O5149" i="6"/>
  <c r="N5150" i="6"/>
  <c r="O5150" i="6"/>
  <c r="N5151" i="6"/>
  <c r="O5151" i="6"/>
  <c r="N5152" i="6"/>
  <c r="O5152" i="6"/>
  <c r="N5153" i="6"/>
  <c r="O5153" i="6"/>
  <c r="N5154" i="6"/>
  <c r="O5154" i="6"/>
  <c r="N5155" i="6"/>
  <c r="O5155" i="6"/>
  <c r="N5156" i="6"/>
  <c r="O5156" i="6"/>
  <c r="N5157" i="6"/>
  <c r="O5157" i="6"/>
  <c r="N5158" i="6"/>
  <c r="O5158" i="6"/>
  <c r="N5159" i="6"/>
  <c r="O5159" i="6"/>
  <c r="N5160" i="6"/>
  <c r="P5160" i="6" s="1"/>
  <c r="U5160" i="6" s="1"/>
  <c r="V5160" i="6" s="1"/>
  <c r="O5161" i="6"/>
  <c r="P5161" i="6" s="1"/>
  <c r="U5161" i="6" s="1"/>
  <c r="V5161" i="6" s="1"/>
  <c r="N5162" i="6"/>
  <c r="O5162" i="6"/>
  <c r="N5163" i="6"/>
  <c r="O5163" i="6"/>
  <c r="N5164" i="6"/>
  <c r="O5164" i="6"/>
  <c r="N5165" i="6"/>
  <c r="O5165" i="6"/>
  <c r="P5166" i="6"/>
  <c r="U5166" i="6" s="1"/>
  <c r="V5166" i="6" s="1"/>
  <c r="N5167" i="6"/>
  <c r="P5167" i="6" s="1"/>
  <c r="J707" i="14"/>
  <c r="N5169" i="6" s="1"/>
  <c r="P5169" i="6" s="1"/>
  <c r="U5169" i="6" s="1"/>
  <c r="P5173" i="6"/>
  <c r="U5173" i="6" s="1"/>
  <c r="V5173" i="6" s="1"/>
  <c r="N5174" i="6"/>
  <c r="P5174" i="6" s="1"/>
  <c r="U5174" i="6" s="1"/>
  <c r="V5174" i="6" s="1"/>
  <c r="N5175" i="6"/>
  <c r="P5175" i="6" s="1"/>
  <c r="U5175" i="6" s="1"/>
  <c r="V5175" i="6" s="1"/>
  <c r="N5176" i="6"/>
  <c r="O5176" i="6"/>
  <c r="N5177" i="6"/>
  <c r="P5177" i="6" s="1"/>
  <c r="U5177" i="6" s="1"/>
  <c r="N5178" i="6"/>
  <c r="O5178" i="6"/>
  <c r="N5179" i="6"/>
  <c r="P5179" i="6" s="1"/>
  <c r="U5179" i="6" s="1"/>
  <c r="V5179" i="6" s="1"/>
  <c r="N5180" i="6"/>
  <c r="P5180" i="6" s="1"/>
  <c r="U5180" i="6" s="1"/>
  <c r="N5181" i="6"/>
  <c r="O5181" i="6"/>
  <c r="N5182" i="6"/>
  <c r="O5182" i="6"/>
  <c r="N5183" i="6"/>
  <c r="O5183" i="6"/>
  <c r="N5184" i="6"/>
  <c r="O5184" i="6"/>
  <c r="N5185" i="6"/>
  <c r="O5185" i="6"/>
  <c r="N5186" i="6"/>
  <c r="O5186" i="6"/>
  <c r="N5187" i="6"/>
  <c r="O5187" i="6"/>
  <c r="N5188" i="6"/>
  <c r="O5188" i="6"/>
  <c r="N5189" i="6"/>
  <c r="P5189" i="6" s="1"/>
  <c r="U5189" i="6" s="1"/>
  <c r="N5190" i="6"/>
  <c r="O5190" i="6"/>
  <c r="N5191" i="6"/>
  <c r="O5191" i="6"/>
  <c r="N5192" i="6"/>
  <c r="O5192" i="6"/>
  <c r="N5193" i="6"/>
  <c r="O5193" i="6"/>
  <c r="N5194" i="6"/>
  <c r="O5194" i="6"/>
  <c r="N5195" i="6"/>
  <c r="P5195" i="6" s="1"/>
  <c r="U5195" i="6" s="1"/>
  <c r="N5196" i="6"/>
  <c r="O5196" i="6"/>
  <c r="O5197" i="6"/>
  <c r="P5197" i="6" s="1"/>
  <c r="U5197" i="6" s="1"/>
  <c r="V5197" i="6" s="1"/>
  <c r="N5198" i="6"/>
  <c r="O5198" i="6"/>
  <c r="N5199" i="6"/>
  <c r="O5199" i="6"/>
  <c r="N5200" i="6"/>
  <c r="N5201" i="6"/>
  <c r="O5201" i="6"/>
  <c r="N5202" i="6"/>
  <c r="N5203" i="6"/>
  <c r="N5204" i="6"/>
  <c r="O5204" i="6"/>
  <c r="N5205" i="6"/>
  <c r="O5205" i="6"/>
  <c r="N5206" i="6"/>
  <c r="O5206" i="6"/>
  <c r="N5207" i="6"/>
  <c r="O5207" i="6"/>
  <c r="N5208" i="6"/>
  <c r="O5208" i="6"/>
  <c r="N5209" i="6"/>
  <c r="P5209" i="6" s="1"/>
  <c r="U5209" i="6" s="1"/>
  <c r="V5209" i="6" s="1"/>
  <c r="N5210" i="6"/>
  <c r="O5210" i="6"/>
  <c r="N5212" i="6"/>
  <c r="O5212" i="6"/>
  <c r="N5213" i="6"/>
  <c r="P5213" i="6" s="1"/>
  <c r="U5213" i="6" s="1"/>
  <c r="V5213" i="6" s="1"/>
  <c r="N5214" i="6"/>
  <c r="O5214" i="6"/>
  <c r="N5215" i="6"/>
  <c r="N5216" i="6"/>
  <c r="O5216" i="6"/>
  <c r="N5217" i="6"/>
  <c r="N5218" i="6"/>
  <c r="P5218" i="6" s="1"/>
  <c r="U5218" i="6" s="1"/>
  <c r="V5218" i="6" s="1"/>
  <c r="N5219" i="6"/>
  <c r="O5219" i="6"/>
  <c r="N5220" i="6"/>
  <c r="P5220" i="6" s="1"/>
  <c r="U5220" i="6" s="1"/>
  <c r="P5221" i="6"/>
  <c r="U5221" i="6" s="1"/>
  <c r="V5221" i="6" s="1"/>
  <c r="P5222" i="6"/>
  <c r="U5222" i="6" s="1"/>
  <c r="P5223" i="6"/>
  <c r="U5223" i="6" s="1"/>
  <c r="V5223" i="6" s="1"/>
  <c r="N5224" i="6"/>
  <c r="P5224" i="6" s="1"/>
  <c r="U5224" i="6" s="1"/>
  <c r="V5224" i="6" s="1"/>
  <c r="N5225" i="6"/>
  <c r="O5225" i="6"/>
  <c r="N5226" i="6"/>
  <c r="O5226" i="6"/>
  <c r="P5227" i="6"/>
  <c r="U5227" i="6" s="1"/>
  <c r="V5227" i="6" s="1"/>
  <c r="N5228" i="6"/>
  <c r="N5229" i="6"/>
  <c r="O5229" i="6"/>
  <c r="N5230" i="6"/>
  <c r="P5230" i="6" s="1"/>
  <c r="U5230" i="6" s="1"/>
  <c r="V5230" i="6" s="1"/>
  <c r="N5231" i="6"/>
  <c r="P5231" i="6" s="1"/>
  <c r="U5231" i="6" s="1"/>
  <c r="V5231" i="6" s="1"/>
  <c r="O5232" i="6"/>
  <c r="P5232" i="6" s="1"/>
  <c r="U5232" i="6" s="1"/>
  <c r="N5233" i="6"/>
  <c r="O5233" i="6"/>
  <c r="N5234" i="6"/>
  <c r="P5234" i="6" s="1"/>
  <c r="U5234" i="6" s="1"/>
  <c r="N5235" i="6"/>
  <c r="P5235" i="6" s="1"/>
  <c r="U5235" i="6" s="1"/>
  <c r="V5235" i="6" s="1"/>
  <c r="N5236" i="6"/>
  <c r="P5236" i="6" s="1"/>
  <c r="U5236" i="6" s="1"/>
  <c r="V5236" i="6" s="1"/>
  <c r="N5237" i="6"/>
  <c r="O5237" i="6"/>
  <c r="N5238" i="6"/>
  <c r="P5238" i="6" s="1"/>
  <c r="U5238" i="6" s="1"/>
  <c r="V5238" i="6" s="1"/>
  <c r="N5239" i="6"/>
  <c r="P5239" i="6" s="1"/>
  <c r="U5239" i="6" s="1"/>
  <c r="V5239" i="6" s="1"/>
  <c r="N5240" i="6"/>
  <c r="P5240" i="6" s="1"/>
  <c r="U5240" i="6" s="1"/>
  <c r="V5240" i="6" s="1"/>
  <c r="N5241" i="6"/>
  <c r="P5241" i="6" s="1"/>
  <c r="U5241" i="6" s="1"/>
  <c r="V5241" i="6" s="1"/>
  <c r="N5242" i="6"/>
  <c r="P5242" i="6" s="1"/>
  <c r="U5242" i="6" s="1"/>
  <c r="V5242" i="6" s="1"/>
  <c r="N5243" i="6"/>
  <c r="O5243" i="6"/>
  <c r="N5244" i="6"/>
  <c r="P5244" i="6" s="1"/>
  <c r="U5244" i="6" s="1"/>
  <c r="V5244" i="6" s="1"/>
  <c r="O5245" i="6"/>
  <c r="N5246" i="6"/>
  <c r="O5246" i="6"/>
  <c r="N5247" i="6"/>
  <c r="N5248" i="6"/>
  <c r="N5249" i="6"/>
  <c r="N5250" i="6"/>
  <c r="P5250" i="6" s="1"/>
  <c r="U5250" i="6" s="1"/>
  <c r="V5250" i="6" s="1"/>
  <c r="N5251" i="6"/>
  <c r="P5251" i="6" s="1"/>
  <c r="U5251" i="6" s="1"/>
  <c r="N5252" i="6"/>
  <c r="O5252" i="6"/>
  <c r="N5253" i="6"/>
  <c r="N5254" i="6"/>
  <c r="N5255" i="6"/>
  <c r="P5255" i="6" s="1"/>
  <c r="U5255" i="6" s="1"/>
  <c r="O5256" i="6"/>
  <c r="P5256" i="6" s="1"/>
  <c r="U5256" i="6" s="1"/>
  <c r="V5256" i="6" s="1"/>
  <c r="N5257" i="6"/>
  <c r="O5257" i="6"/>
  <c r="N5258" i="6"/>
  <c r="O5258" i="6"/>
  <c r="N5259" i="6"/>
  <c r="O5259" i="6"/>
  <c r="N5260" i="6"/>
  <c r="O5260" i="6"/>
  <c r="N5261" i="6"/>
  <c r="P5261" i="6" s="1"/>
  <c r="U5261" i="6" s="1"/>
  <c r="V5261" i="6" s="1"/>
  <c r="N5262" i="6"/>
  <c r="O5262" i="6"/>
  <c r="N5263" i="6"/>
  <c r="O5263" i="6"/>
  <c r="N5264" i="6"/>
  <c r="O5264" i="6"/>
  <c r="O5265" i="6"/>
  <c r="P5265" i="6" s="1"/>
  <c r="U5265" i="6" s="1"/>
  <c r="N5266" i="6"/>
  <c r="O5266" i="6"/>
  <c r="N5267" i="6"/>
  <c r="O5267" i="6"/>
  <c r="N5268" i="6"/>
  <c r="O5268" i="6"/>
  <c r="N5269" i="6"/>
  <c r="N5270" i="6"/>
  <c r="O5270" i="6"/>
  <c r="N5271" i="6"/>
  <c r="N5272" i="6"/>
  <c r="O5272" i="6"/>
  <c r="N5273" i="6"/>
  <c r="P5273" i="6" s="1"/>
  <c r="U5273" i="6" s="1"/>
  <c r="V5273" i="6" s="1"/>
  <c r="N5275" i="6"/>
  <c r="O5275" i="6"/>
  <c r="N5276" i="6"/>
  <c r="P5276" i="6" s="1"/>
  <c r="U5276" i="6" s="1"/>
  <c r="V5276" i="6" s="1"/>
  <c r="N5277" i="6"/>
  <c r="O5277" i="6"/>
  <c r="N5278" i="6"/>
  <c r="O5278" i="6"/>
  <c r="N5279" i="6"/>
  <c r="O5279" i="6"/>
  <c r="O5280" i="6"/>
  <c r="P5280" i="6" s="1"/>
  <c r="U5280" i="6" s="1"/>
  <c r="V5280" i="6" s="1"/>
  <c r="N5281" i="6"/>
  <c r="P5281" i="6" s="1"/>
  <c r="U5281" i="6" s="1"/>
  <c r="V5281" i="6" s="1"/>
  <c r="N5282" i="6"/>
  <c r="O5282" i="6"/>
  <c r="N5283" i="6"/>
  <c r="O5283" i="6"/>
  <c r="N5284" i="6"/>
  <c r="O5284" i="6"/>
  <c r="N5285" i="6"/>
  <c r="O5285" i="6"/>
  <c r="N5286" i="6"/>
  <c r="O5286" i="6"/>
  <c r="P5287" i="6"/>
  <c r="U5287" i="6" s="1"/>
  <c r="V5287" i="6" s="1"/>
  <c r="N5288" i="6"/>
  <c r="N5289" i="6"/>
  <c r="O5289" i="6"/>
  <c r="N5290" i="6"/>
  <c r="N5291" i="6"/>
  <c r="N5292" i="6"/>
  <c r="O5292" i="6"/>
  <c r="N5293" i="6"/>
  <c r="P5293" i="6" s="1"/>
  <c r="U5293" i="6" s="1"/>
  <c r="N5294" i="6"/>
  <c r="N5295" i="6"/>
  <c r="P5295" i="6" s="1"/>
  <c r="U5295" i="6" s="1"/>
  <c r="N5296" i="6"/>
  <c r="N5297" i="6"/>
  <c r="P5297" i="6" s="1"/>
  <c r="U5297" i="6" s="1"/>
  <c r="V5297" i="6" s="1"/>
  <c r="N5299" i="6"/>
  <c r="O5299" i="6"/>
  <c r="N5300" i="6"/>
  <c r="P5300" i="6" s="1"/>
  <c r="U5300" i="6" s="1"/>
  <c r="V5300" i="6" s="1"/>
  <c r="N5301" i="6"/>
  <c r="P5301" i="6" s="1"/>
  <c r="U5301" i="6" s="1"/>
  <c r="V5301" i="6" s="1"/>
  <c r="N5302" i="6"/>
  <c r="N5303" i="6"/>
  <c r="P5303" i="6" s="1"/>
  <c r="U5303" i="6" s="1"/>
  <c r="V5303" i="6" s="1"/>
  <c r="N5304" i="6"/>
  <c r="N5305" i="6"/>
  <c r="O5305" i="6"/>
  <c r="P5306" i="6"/>
  <c r="U5306" i="6" s="1"/>
  <c r="V5306" i="6" s="1"/>
  <c r="N5307" i="6"/>
  <c r="O5307" i="6"/>
  <c r="N5308" i="6"/>
  <c r="P5308" i="6" s="1"/>
  <c r="U5308" i="6" s="1"/>
  <c r="V5308" i="6" s="1"/>
  <c r="O5309" i="6"/>
  <c r="P5309" i="6" s="1"/>
  <c r="U5309" i="6" s="1"/>
  <c r="V5309" i="6" s="1"/>
  <c r="N5310" i="6"/>
  <c r="P5310" i="6" s="1"/>
  <c r="U5310" i="6" s="1"/>
  <c r="V5310" i="6" s="1"/>
  <c r="N5311" i="6"/>
  <c r="N5312" i="6"/>
  <c r="N5313" i="6"/>
  <c r="P5313" i="6" s="1"/>
  <c r="U5313" i="6" s="1"/>
  <c r="N5314" i="6"/>
  <c r="N5315" i="6"/>
  <c r="O5315" i="6"/>
  <c r="N5316" i="6"/>
  <c r="P5316" i="6" s="1"/>
  <c r="U5316" i="6" s="1"/>
  <c r="V5316" i="6" s="1"/>
  <c r="N5317" i="6"/>
  <c r="N5318" i="6"/>
  <c r="N5319" i="6"/>
  <c r="O5319" i="6"/>
  <c r="N5321" i="6"/>
  <c r="P5321" i="6" s="1"/>
  <c r="U5321" i="6" s="1"/>
  <c r="N5322" i="6"/>
  <c r="P5322" i="6" s="1"/>
  <c r="U5322" i="6" s="1"/>
  <c r="V5322" i="6" s="1"/>
  <c r="N5323" i="6"/>
  <c r="O5323" i="6"/>
  <c r="N5324" i="6"/>
  <c r="P5324" i="6" s="1"/>
  <c r="U5324" i="6" s="1"/>
  <c r="V5324" i="6" s="1"/>
  <c r="N5325" i="6"/>
  <c r="P5325" i="6" s="1"/>
  <c r="U5325" i="6" s="1"/>
  <c r="V5325" i="6" s="1"/>
  <c r="N5326" i="6"/>
  <c r="P5326" i="6" s="1"/>
  <c r="U5326" i="6" s="1"/>
  <c r="V5326" i="6" s="1"/>
  <c r="N5327" i="6"/>
  <c r="P5327" i="6" s="1"/>
  <c r="U5327" i="6" s="1"/>
  <c r="V5327" i="6" s="1"/>
  <c r="N5328" i="6"/>
  <c r="N5329" i="6"/>
  <c r="O5329" i="6"/>
  <c r="N5331" i="6"/>
  <c r="O5331" i="6"/>
  <c r="N5332" i="6"/>
  <c r="N5333" i="6"/>
  <c r="N5334" i="6"/>
  <c r="P5334" i="6" s="1"/>
  <c r="U5334" i="6" s="1"/>
  <c r="V5334" i="6" s="1"/>
  <c r="N5335" i="6"/>
  <c r="P5335" i="6" s="1"/>
  <c r="U5335" i="6" s="1"/>
  <c r="N5336" i="6"/>
  <c r="P5336" i="6" s="1"/>
  <c r="N5337" i="6"/>
  <c r="P5337" i="6" s="1"/>
  <c r="U5337" i="6" s="1"/>
  <c r="V5337" i="6" s="1"/>
  <c r="P5338" i="6"/>
  <c r="U5338" i="6" s="1"/>
  <c r="P5339" i="6"/>
  <c r="U5339" i="6" s="1"/>
  <c r="O730" i="14" s="1"/>
  <c r="N5340" i="6"/>
  <c r="P5340" i="6" s="1"/>
  <c r="U5340" i="6" s="1"/>
  <c r="V5340" i="6" s="1"/>
  <c r="N5341" i="6"/>
  <c r="O5341" i="6"/>
  <c r="N5342" i="6"/>
  <c r="O5342" i="6"/>
  <c r="N5343" i="6"/>
  <c r="O5343" i="6"/>
  <c r="O5344" i="6"/>
  <c r="P5344" i="6" s="1"/>
  <c r="U5344" i="6" s="1"/>
  <c r="N5345" i="6"/>
  <c r="O5345" i="6"/>
  <c r="N5346" i="6"/>
  <c r="N5347" i="6"/>
  <c r="O5347" i="6"/>
  <c r="N5348" i="6"/>
  <c r="O5348" i="6"/>
  <c r="N5349" i="6"/>
  <c r="O5349" i="6"/>
  <c r="N5350" i="6"/>
  <c r="O5350" i="6"/>
  <c r="N5351" i="6"/>
  <c r="O5351" i="6"/>
  <c r="N5352" i="6"/>
  <c r="O5352" i="6"/>
  <c r="N5353" i="6"/>
  <c r="P5353" i="6" s="1"/>
  <c r="U5353" i="6" s="1"/>
  <c r="P5354" i="6"/>
  <c r="U5354" i="6" s="1"/>
  <c r="V5354" i="6" s="1"/>
  <c r="N5355" i="6"/>
  <c r="P5355" i="6" s="1"/>
  <c r="U5355" i="6" s="1"/>
  <c r="N5356" i="6"/>
  <c r="P5356" i="6" s="1"/>
  <c r="U5356" i="6" s="1"/>
  <c r="V5356" i="6" s="1"/>
  <c r="N5357" i="6"/>
  <c r="P5357" i="6" s="1"/>
  <c r="U5357" i="6" s="1"/>
  <c r="V5357" i="6" s="1"/>
  <c r="N5358" i="6"/>
  <c r="O5358" i="6"/>
  <c r="N5359" i="6"/>
  <c r="P5359" i="6" s="1"/>
  <c r="U5359" i="6" s="1"/>
  <c r="V5359" i="6" s="1"/>
  <c r="N5360" i="6"/>
  <c r="P5360" i="6" s="1"/>
  <c r="U5360" i="6" s="1"/>
  <c r="V5360" i="6" s="1"/>
  <c r="N5361" i="6"/>
  <c r="P5361" i="6" s="1"/>
  <c r="U5361" i="6" s="1"/>
  <c r="V5361" i="6" s="1"/>
  <c r="P5362" i="6"/>
  <c r="U5362" i="6" s="1"/>
  <c r="V5362" i="6" s="1"/>
  <c r="N5363" i="6"/>
  <c r="P5363" i="6" s="1"/>
  <c r="U5363" i="6" s="1"/>
  <c r="V5363" i="6" s="1"/>
  <c r="N5364" i="6"/>
  <c r="P5364" i="6" s="1"/>
  <c r="U5364" i="6" s="1"/>
  <c r="V5364" i="6" s="1"/>
  <c r="N5365" i="6"/>
  <c r="O5365" i="6"/>
  <c r="N5366" i="6"/>
  <c r="O5366" i="6"/>
  <c r="N5367" i="6"/>
  <c r="O5367" i="6"/>
  <c r="N5368" i="6"/>
  <c r="O5368" i="6"/>
  <c r="O5369" i="6"/>
  <c r="P5369" i="6" s="1"/>
  <c r="U5369" i="6" s="1"/>
  <c r="V5369" i="6" s="1"/>
  <c r="N5370" i="6"/>
  <c r="P5370" i="6" s="1"/>
  <c r="U5370" i="6" s="1"/>
  <c r="V5370" i="6" s="1"/>
  <c r="P5371" i="6"/>
  <c r="U5371" i="6" s="1"/>
  <c r="V5371" i="6" s="1"/>
  <c r="N5372" i="6"/>
  <c r="P5372" i="6" s="1"/>
  <c r="U5372" i="6" s="1"/>
  <c r="V5372" i="6" s="1"/>
  <c r="O5373" i="6"/>
  <c r="P5373" i="6" s="1"/>
  <c r="U5373" i="6" s="1"/>
  <c r="V5373" i="6" s="1"/>
  <c r="N5374" i="6"/>
  <c r="P5374" i="6" s="1"/>
  <c r="U5374" i="6" s="1"/>
  <c r="V5374" i="6" s="1"/>
  <c r="N5375" i="6"/>
  <c r="P5375" i="6" s="1"/>
  <c r="U5375" i="6" s="1"/>
  <c r="V5375" i="6" s="1"/>
  <c r="N5376" i="6"/>
  <c r="P5376" i="6" s="1"/>
  <c r="U5376" i="6" s="1"/>
  <c r="V5376" i="6" s="1"/>
  <c r="N5377" i="6"/>
  <c r="P5377" i="6" s="1"/>
  <c r="U5377" i="6" s="1"/>
  <c r="V5377" i="6" s="1"/>
  <c r="N5378" i="6"/>
  <c r="P5378" i="6" s="1"/>
  <c r="U5378" i="6" s="1"/>
  <c r="V5378" i="6" s="1"/>
  <c r="N5379" i="6"/>
  <c r="O5379" i="6"/>
  <c r="P5380" i="6"/>
  <c r="U5380" i="6" s="1"/>
  <c r="V5380" i="6" s="1"/>
  <c r="N5381" i="6"/>
  <c r="O5381" i="6"/>
  <c r="N5382" i="6"/>
  <c r="O5382" i="6"/>
  <c r="N5383" i="6"/>
  <c r="O5383" i="6"/>
  <c r="N5384" i="6"/>
  <c r="O5384" i="6"/>
  <c r="N5385" i="6"/>
  <c r="N5386" i="6"/>
  <c r="P5386" i="6" s="1"/>
  <c r="U5386" i="6" s="1"/>
  <c r="V5386" i="6" s="1"/>
  <c r="N5387" i="6"/>
  <c r="O5387" i="6"/>
  <c r="N5388" i="6"/>
  <c r="P5388" i="6" s="1"/>
  <c r="U5388" i="6" s="1"/>
  <c r="V5388" i="6" s="1"/>
  <c r="N5389" i="6"/>
  <c r="O5389" i="6"/>
  <c r="N5390" i="6"/>
  <c r="N5391" i="6"/>
  <c r="O5391" i="6"/>
  <c r="N5392" i="6"/>
  <c r="O5392" i="6"/>
  <c r="N5393" i="6"/>
  <c r="O5393" i="6"/>
  <c r="N5394" i="6"/>
  <c r="P5394" i="6" s="1"/>
  <c r="U5394" i="6" s="1"/>
  <c r="V5394" i="6" s="1"/>
  <c r="P5395" i="6"/>
  <c r="U5395" i="6" s="1"/>
  <c r="V5395" i="6" s="1"/>
  <c r="N5396" i="6"/>
  <c r="O5396" i="6"/>
  <c r="N5397" i="6"/>
  <c r="N5398" i="6"/>
  <c r="P5398" i="6" s="1"/>
  <c r="U5398" i="6" s="1"/>
  <c r="V5398" i="6" s="1"/>
  <c r="N5399" i="6"/>
  <c r="O5399" i="6"/>
  <c r="N5400" i="6"/>
  <c r="O5400" i="6"/>
  <c r="N5401" i="6"/>
  <c r="N5402" i="6"/>
  <c r="O5402" i="6"/>
  <c r="N5403" i="6"/>
  <c r="P5403" i="6" s="1"/>
  <c r="U5403" i="6" s="1"/>
  <c r="V5403" i="6" s="1"/>
  <c r="N5404" i="6"/>
  <c r="O5404" i="6"/>
  <c r="N5405" i="6"/>
  <c r="P5405" i="6" s="1"/>
  <c r="U5405" i="6" s="1"/>
  <c r="V5405" i="6" s="1"/>
  <c r="N5406" i="6"/>
  <c r="O5406" i="6"/>
  <c r="N5407" i="6"/>
  <c r="O5407" i="6"/>
  <c r="N5408" i="6"/>
  <c r="O5408" i="6"/>
  <c r="N5409" i="6"/>
  <c r="P5409" i="6" s="1"/>
  <c r="U5409" i="6" s="1"/>
  <c r="V5409" i="6" s="1"/>
  <c r="N5410" i="6"/>
  <c r="P5411" i="6"/>
  <c r="P5412" i="6"/>
  <c r="U5412" i="6" s="1"/>
  <c r="P5413" i="6"/>
  <c r="N5414" i="6"/>
  <c r="P5414" i="6" s="1"/>
  <c r="U5414" i="6" s="1"/>
  <c r="V5414" i="6" s="1"/>
  <c r="N5415" i="6"/>
  <c r="O5415" i="6"/>
  <c r="N5416" i="6"/>
  <c r="O5416" i="6"/>
  <c r="O5417" i="6"/>
  <c r="P5417" i="6" s="1"/>
  <c r="U5417" i="6" s="1"/>
  <c r="V5417" i="6" s="1"/>
  <c r="N5418" i="6"/>
  <c r="O5418" i="6"/>
  <c r="N5419" i="6"/>
  <c r="N5420" i="6"/>
  <c r="P5420" i="6" s="1"/>
  <c r="U5420" i="6" s="1"/>
  <c r="V5420" i="6" s="1"/>
  <c r="N5421" i="6"/>
  <c r="P5421" i="6" s="1"/>
  <c r="U5421" i="6" s="1"/>
  <c r="V5421" i="6" s="1"/>
  <c r="N5422" i="6"/>
  <c r="O5422" i="6"/>
  <c r="N5423" i="6"/>
  <c r="P5423" i="6" s="1"/>
  <c r="U5423" i="6" s="1"/>
  <c r="N5424" i="6"/>
  <c r="O5424" i="6"/>
  <c r="N5425" i="6"/>
  <c r="P5425" i="6" s="1"/>
  <c r="U5425" i="6" s="1"/>
  <c r="V5425" i="6" s="1"/>
  <c r="N5426" i="6"/>
  <c r="O5426" i="6"/>
  <c r="N5427" i="6"/>
  <c r="O5427" i="6"/>
  <c r="N5429" i="6"/>
  <c r="N5430" i="6"/>
  <c r="P5431" i="6"/>
  <c r="U5431" i="6" s="1"/>
  <c r="N5432" i="6"/>
  <c r="O5432" i="6"/>
  <c r="N5433" i="6"/>
  <c r="N5434" i="6"/>
  <c r="P5434" i="6" s="1"/>
  <c r="U5434" i="6" s="1"/>
  <c r="V5434" i="6" s="1"/>
  <c r="N5435" i="6"/>
  <c r="P5435" i="6" s="1"/>
  <c r="U5435" i="6" s="1"/>
  <c r="V5435" i="6" s="1"/>
  <c r="N5436" i="6"/>
  <c r="P5436" i="6" s="1"/>
  <c r="U5436" i="6" s="1"/>
  <c r="V5436" i="6" s="1"/>
  <c r="N5437" i="6"/>
  <c r="N5438" i="6"/>
  <c r="O5438" i="6"/>
  <c r="N5439" i="6"/>
  <c r="P5439" i="6" s="1"/>
  <c r="U5439" i="6" s="1"/>
  <c r="V5439" i="6" s="1"/>
  <c r="N5440" i="6"/>
  <c r="O5440" i="6"/>
  <c r="N5441" i="6"/>
  <c r="N5442" i="6"/>
  <c r="O5442" i="6"/>
  <c r="N5443" i="6"/>
  <c r="P5443" i="6" s="1"/>
  <c r="U5443" i="6" s="1"/>
  <c r="V5443" i="6" s="1"/>
  <c r="N5444" i="6"/>
  <c r="O5444" i="6"/>
  <c r="N5445" i="6"/>
  <c r="O5445" i="6"/>
  <c r="N5446" i="6"/>
  <c r="P5446" i="6" s="1"/>
  <c r="U5446" i="6" s="1"/>
  <c r="N5447" i="6"/>
  <c r="O5447" i="6"/>
  <c r="N5448" i="6"/>
  <c r="O5449" i="6"/>
  <c r="P5449" i="6" s="1"/>
  <c r="U5449" i="6" s="1"/>
  <c r="V5449" i="6" s="1"/>
  <c r="N5450" i="6"/>
  <c r="P5450" i="6" s="1"/>
  <c r="U5450" i="6" s="1"/>
  <c r="N5451" i="6"/>
  <c r="O5451" i="6"/>
  <c r="P5452" i="6"/>
  <c r="U5452" i="6" s="1"/>
  <c r="V5452" i="6" s="1"/>
  <c r="N5453" i="6"/>
  <c r="O5453" i="6"/>
  <c r="N5454" i="6"/>
  <c r="P5454" i="6" s="1"/>
  <c r="U5454" i="6" s="1"/>
  <c r="N5455" i="6"/>
  <c r="O5455" i="6"/>
  <c r="N5456" i="6"/>
  <c r="O5456" i="6"/>
  <c r="N5457" i="6"/>
  <c r="P5457" i="6" s="1"/>
  <c r="U5457" i="6" s="1"/>
  <c r="V5457" i="6" s="1"/>
  <c r="N5458" i="6"/>
  <c r="O5458" i="6"/>
  <c r="P5459" i="6"/>
  <c r="U5459" i="6" s="1"/>
  <c r="O748" i="14" s="1"/>
  <c r="P5460" i="6"/>
  <c r="N5461" i="6"/>
  <c r="O5461" i="6"/>
  <c r="N5462" i="6"/>
  <c r="O5462" i="6"/>
  <c r="O5463" i="6"/>
  <c r="P5463" i="6" s="1"/>
  <c r="U5463" i="6" s="1"/>
  <c r="N5464" i="6"/>
  <c r="O5464" i="6"/>
  <c r="N5465" i="6"/>
  <c r="O5465" i="6"/>
  <c r="N5466" i="6"/>
  <c r="P5466" i="6" s="1"/>
  <c r="U5466" i="6" s="1"/>
  <c r="V5466" i="6" s="1"/>
  <c r="N5467" i="6"/>
  <c r="O5467" i="6"/>
  <c r="N5468" i="6"/>
  <c r="O5468" i="6"/>
  <c r="N5469" i="6"/>
  <c r="O5469" i="6"/>
  <c r="N5470" i="6"/>
  <c r="O5470" i="6"/>
  <c r="N5471" i="6"/>
  <c r="O5471" i="6"/>
  <c r="N5472" i="6"/>
  <c r="O5472" i="6"/>
  <c r="O5473" i="6"/>
  <c r="P5473" i="6" s="1"/>
  <c r="U5473" i="6" s="1"/>
  <c r="V5473" i="6" s="1"/>
  <c r="N5474" i="6"/>
  <c r="O5474" i="6"/>
  <c r="N5475" i="6"/>
  <c r="P5475" i="6" s="1"/>
  <c r="U5475" i="6" s="1"/>
  <c r="V5475" i="6" s="1"/>
  <c r="N5476" i="6"/>
  <c r="O5476" i="6"/>
  <c r="N5477" i="6"/>
  <c r="O5477" i="6"/>
  <c r="N5478" i="6"/>
  <c r="O5478" i="6"/>
  <c r="N5479" i="6"/>
  <c r="O5479" i="6"/>
  <c r="O5480" i="6"/>
  <c r="P5480" i="6" s="1"/>
  <c r="U5480" i="6" s="1"/>
  <c r="V5480" i="6" s="1"/>
  <c r="N5481" i="6"/>
  <c r="O5481" i="6"/>
  <c r="N5482" i="6"/>
  <c r="O5482" i="6"/>
  <c r="N5483" i="6"/>
  <c r="O5483" i="6"/>
  <c r="N5484" i="6"/>
  <c r="P5484" i="6" s="1"/>
  <c r="U5484" i="6" s="1"/>
  <c r="V5484" i="6" s="1"/>
  <c r="N5485" i="6"/>
  <c r="O5485" i="6"/>
  <c r="N5486" i="6"/>
  <c r="O5486" i="6"/>
  <c r="N5487" i="6"/>
  <c r="O5487" i="6"/>
  <c r="N5488" i="6"/>
  <c r="P5488" i="6" s="1"/>
  <c r="N5489" i="6"/>
  <c r="P5489" i="6" s="1"/>
  <c r="N5490" i="6"/>
  <c r="P5490" i="6" s="1"/>
  <c r="U5490" i="6" s="1"/>
  <c r="V5490" i="6" s="1"/>
  <c r="P5491" i="6"/>
  <c r="U5491" i="6" s="1"/>
  <c r="V5491" i="6" s="1"/>
  <c r="N5492" i="6"/>
  <c r="P5492" i="6" s="1"/>
  <c r="U5492" i="6" s="1"/>
  <c r="V5492" i="6" s="1"/>
  <c r="P5493" i="6"/>
  <c r="U5493" i="6" s="1"/>
  <c r="V5493" i="6" s="1"/>
  <c r="N5494" i="6"/>
  <c r="P5494" i="6" s="1"/>
  <c r="U5494" i="6" s="1"/>
  <c r="V5494" i="6" s="1"/>
  <c r="N5495" i="6"/>
  <c r="O5495" i="6"/>
  <c r="N5496" i="6"/>
  <c r="P5496" i="6" s="1"/>
  <c r="U5496" i="6" s="1"/>
  <c r="V5496" i="6" s="1"/>
  <c r="N5497" i="6"/>
  <c r="O5497" i="6"/>
  <c r="N5498" i="6"/>
  <c r="P5498" i="6" s="1"/>
  <c r="U5498" i="6" s="1"/>
  <c r="V5498" i="6" s="1"/>
  <c r="N5499" i="6"/>
  <c r="P5499" i="6" s="1"/>
  <c r="U5499" i="6" s="1"/>
  <c r="V5499" i="6" s="1"/>
  <c r="N5500" i="6"/>
  <c r="P5500" i="6" s="1"/>
  <c r="U5500" i="6" s="1"/>
  <c r="V5500" i="6" s="1"/>
  <c r="J755" i="14"/>
  <c r="N5509" i="6" s="1"/>
  <c r="O5501" i="6"/>
  <c r="O5502" i="6"/>
  <c r="O5503" i="6"/>
  <c r="O5505" i="6"/>
  <c r="O5507" i="6"/>
  <c r="O5508" i="6"/>
  <c r="O5509" i="6"/>
  <c r="N5510" i="6"/>
  <c r="O5510" i="6"/>
  <c r="N5511" i="6"/>
  <c r="O5511" i="6"/>
  <c r="N5512" i="6"/>
  <c r="O5512" i="6"/>
  <c r="N5513" i="6"/>
  <c r="O5513" i="6"/>
  <c r="N5514" i="6"/>
  <c r="P5514" i="6" s="1"/>
  <c r="U5514" i="6" s="1"/>
  <c r="V5514" i="6" s="1"/>
  <c r="O5515" i="6"/>
  <c r="P5515" i="6" s="1"/>
  <c r="U5515" i="6" s="1"/>
  <c r="V5515" i="6" s="1"/>
  <c r="N5516" i="6"/>
  <c r="P5516" i="6" s="1"/>
  <c r="U5516" i="6" s="1"/>
  <c r="V5516" i="6" s="1"/>
  <c r="N5517" i="6"/>
  <c r="O5517" i="6"/>
  <c r="O5518" i="6"/>
  <c r="N5524" i="6"/>
  <c r="O5524" i="6"/>
  <c r="N5525" i="6"/>
  <c r="O5525" i="6"/>
  <c r="N5526" i="6"/>
  <c r="O5526" i="6"/>
  <c r="O5527" i="6"/>
  <c r="P5527" i="6" s="1"/>
  <c r="U5527" i="6" s="1"/>
  <c r="N5528" i="6"/>
  <c r="P5528" i="6" s="1"/>
  <c r="U5528" i="6" s="1"/>
  <c r="V5528" i="6" s="1"/>
  <c r="N5529" i="6"/>
  <c r="O5529" i="6"/>
  <c r="N5530" i="6"/>
  <c r="N5531" i="6"/>
  <c r="O5531" i="6"/>
  <c r="N5532" i="6"/>
  <c r="O5532" i="6"/>
  <c r="N5533" i="6"/>
  <c r="O5533" i="6"/>
  <c r="N5534" i="6"/>
  <c r="O5534" i="6"/>
  <c r="N5535" i="6"/>
  <c r="O5535" i="6"/>
  <c r="N5536" i="6"/>
  <c r="O5536" i="6"/>
  <c r="N5537" i="6"/>
  <c r="P5538" i="6"/>
  <c r="U5538" i="6" s="1"/>
  <c r="V5538" i="6" s="1"/>
  <c r="P5539" i="6"/>
  <c r="U5539" i="6" s="1"/>
  <c r="P5540" i="6"/>
  <c r="P5541" i="6"/>
  <c r="M762" i="14" s="1"/>
  <c r="R762" i="14" s="1"/>
  <c r="P5542" i="6"/>
  <c r="U5542" i="6" s="1"/>
  <c r="P5543" i="6"/>
  <c r="U5543" i="6" s="1"/>
  <c r="N5544" i="6"/>
  <c r="P5544" i="6" s="1"/>
  <c r="U5544" i="6" s="1"/>
  <c r="V5544" i="6" s="1"/>
  <c r="N5545" i="6"/>
  <c r="P5545" i="6" s="1"/>
  <c r="U5545" i="6" s="1"/>
  <c r="N5546" i="6"/>
  <c r="O5546" i="6"/>
  <c r="N5547" i="6"/>
  <c r="O5547" i="6"/>
  <c r="O5548" i="6"/>
  <c r="P5548" i="6" s="1"/>
  <c r="U5548" i="6" s="1"/>
  <c r="V5548" i="6" s="1"/>
  <c r="N5549" i="6"/>
  <c r="P5549" i="6" s="1"/>
  <c r="U5549" i="6" s="1"/>
  <c r="V5549" i="6" s="1"/>
  <c r="N5550" i="6"/>
  <c r="O5550" i="6"/>
  <c r="N5551" i="6"/>
  <c r="O5551" i="6"/>
  <c r="N5552" i="6"/>
  <c r="O5552" i="6"/>
  <c r="N5553" i="6"/>
  <c r="O5553" i="6"/>
  <c r="N5554" i="6"/>
  <c r="O5554" i="6"/>
  <c r="N5555" i="6"/>
  <c r="N5556" i="6"/>
  <c r="O5556" i="6"/>
  <c r="N5558" i="6"/>
  <c r="O5558" i="6"/>
  <c r="N5559" i="6"/>
  <c r="P5559" i="6" s="1"/>
  <c r="U5559" i="6" s="1"/>
  <c r="N5560" i="6"/>
  <c r="P5560" i="6" s="1"/>
  <c r="U5560" i="6" s="1"/>
  <c r="N5561" i="6"/>
  <c r="P5561" i="6" s="1"/>
  <c r="U5561" i="6" s="1"/>
  <c r="V5561" i="6" s="1"/>
  <c r="N5562" i="6"/>
  <c r="P5562" i="6" s="1"/>
  <c r="U5562" i="6" s="1"/>
  <c r="N5563" i="6"/>
  <c r="P5563" i="6" s="1"/>
  <c r="U5563" i="6" s="1"/>
  <c r="V5563" i="6" s="1"/>
  <c r="N5564" i="6"/>
  <c r="O5564" i="6"/>
  <c r="N5565" i="6"/>
  <c r="P5565" i="6" s="1"/>
  <c r="U5565" i="6" s="1"/>
  <c r="V5565" i="6" s="1"/>
  <c r="N5566" i="6"/>
  <c r="O5566" i="6"/>
  <c r="N5567" i="6"/>
  <c r="O5567" i="6"/>
  <c r="N5568" i="6"/>
  <c r="N5569" i="6"/>
  <c r="O5569" i="6"/>
  <c r="N5570" i="6"/>
  <c r="O5570" i="6"/>
  <c r="N5571" i="6"/>
  <c r="O5572" i="6"/>
  <c r="P5572" i="6" s="1"/>
  <c r="U5572" i="6" s="1"/>
  <c r="V5572" i="6" s="1"/>
  <c r="N5573" i="6"/>
  <c r="P5573" i="6" s="1"/>
  <c r="U5573" i="6" s="1"/>
  <c r="V5573" i="6" s="1"/>
  <c r="N5574" i="6"/>
  <c r="O5574" i="6"/>
  <c r="N5575" i="6"/>
  <c r="O5575" i="6"/>
  <c r="N5576" i="6"/>
  <c r="O5576" i="6"/>
  <c r="N5577" i="6"/>
  <c r="N5578" i="6"/>
  <c r="O5578" i="6"/>
  <c r="N5579" i="6"/>
  <c r="N5580" i="6"/>
  <c r="O5580" i="6"/>
  <c r="P5581" i="6"/>
  <c r="N5582" i="6"/>
  <c r="P5582" i="6" s="1"/>
  <c r="U5582" i="6" s="1"/>
  <c r="V5582" i="6" s="1"/>
  <c r="N5583" i="6"/>
  <c r="P5583" i="6" s="1"/>
  <c r="J770" i="14"/>
  <c r="N5584" i="6" s="1"/>
  <c r="P5584" i="6" s="1"/>
  <c r="U5584" i="6" s="1"/>
  <c r="V5584" i="6" s="1"/>
  <c r="O5585" i="6"/>
  <c r="O5586" i="6"/>
  <c r="O5587" i="6"/>
  <c r="O5589" i="6"/>
  <c r="O5591" i="6"/>
  <c r="O5592" i="6"/>
  <c r="O5593" i="6"/>
  <c r="O5595" i="6"/>
  <c r="P5596" i="6"/>
  <c r="U5596" i="6" s="1"/>
  <c r="V5596" i="6" s="1"/>
  <c r="N5597" i="6"/>
  <c r="O5597" i="6"/>
  <c r="N5598" i="6"/>
  <c r="P5598" i="6" s="1"/>
  <c r="U5598" i="6" s="1"/>
  <c r="V5598" i="6" s="1"/>
  <c r="N5599" i="6"/>
  <c r="P5599" i="6" s="1"/>
  <c r="U5599" i="6" s="1"/>
  <c r="V5599" i="6" s="1"/>
  <c r="N5600" i="6"/>
  <c r="P5600" i="6" s="1"/>
  <c r="U5600" i="6" s="1"/>
  <c r="N5601" i="6"/>
  <c r="P5601" i="6" s="1"/>
  <c r="U5601" i="6" s="1"/>
  <c r="N5602" i="6"/>
  <c r="P5602" i="6" s="1"/>
  <c r="U5602" i="6" s="1"/>
  <c r="V5602" i="6" s="1"/>
  <c r="N5603" i="6"/>
  <c r="O5603" i="6"/>
  <c r="N5604" i="6"/>
  <c r="P5604" i="6" s="1"/>
  <c r="U5604" i="6" s="1"/>
  <c r="V5604" i="6" s="1"/>
  <c r="N5605" i="6"/>
  <c r="O5605" i="6"/>
  <c r="N5606" i="6"/>
  <c r="P5606" i="6" s="1"/>
  <c r="U5606" i="6" s="1"/>
  <c r="N5607" i="6"/>
  <c r="P5607" i="6" s="1"/>
  <c r="U5607" i="6" s="1"/>
  <c r="V5607" i="6" s="1"/>
  <c r="N5608" i="6"/>
  <c r="P5608" i="6" s="1"/>
  <c r="U5608" i="6" s="1"/>
  <c r="V5608" i="6" s="1"/>
  <c r="N5609" i="6"/>
  <c r="P5609" i="6" s="1"/>
  <c r="U5609" i="6" s="1"/>
  <c r="N5610" i="6"/>
  <c r="O5610" i="6"/>
  <c r="N5611" i="6"/>
  <c r="P5611" i="6" s="1"/>
  <c r="U5611" i="6" s="1"/>
  <c r="N5612" i="6"/>
  <c r="P5612" i="6" s="1"/>
  <c r="U5612" i="6" s="1"/>
  <c r="N5613" i="6"/>
  <c r="O5613" i="6"/>
  <c r="P5614" i="6"/>
  <c r="U5614" i="6" s="1"/>
  <c r="N5615" i="6"/>
  <c r="N5616" i="6"/>
  <c r="P5616" i="6" s="1"/>
  <c r="U5616" i="6" s="1"/>
  <c r="V5616" i="6" s="1"/>
  <c r="N5617" i="6"/>
  <c r="P5617" i="6" s="1"/>
  <c r="U5617" i="6" s="1"/>
  <c r="V5617" i="6" s="1"/>
  <c r="N5618" i="6"/>
  <c r="P5618" i="6" s="1"/>
  <c r="U5618" i="6" s="1"/>
  <c r="N5619" i="6"/>
  <c r="O5619" i="6"/>
  <c r="N5620" i="6"/>
  <c r="O5620" i="6"/>
  <c r="N5621" i="6"/>
  <c r="P5621" i="6" s="1"/>
  <c r="U5621" i="6" s="1"/>
  <c r="N5622" i="6"/>
  <c r="P5622" i="6" s="1"/>
  <c r="U5622" i="6" s="1"/>
  <c r="P5623" i="6"/>
  <c r="U5623" i="6" s="1"/>
  <c r="V5623" i="6" s="1"/>
  <c r="N5624" i="6"/>
  <c r="P5624" i="6" s="1"/>
  <c r="U5624" i="6" s="1"/>
  <c r="V5624" i="6" s="1"/>
  <c r="N5625" i="6"/>
  <c r="P5625" i="6" s="1"/>
  <c r="U5625" i="6" s="1"/>
  <c r="V5625" i="6" s="1"/>
  <c r="N5626" i="6"/>
  <c r="P5626" i="6" s="1"/>
  <c r="U5626" i="6" s="1"/>
  <c r="N5627" i="6"/>
  <c r="P5627" i="6" s="1"/>
  <c r="U5627" i="6" s="1"/>
  <c r="N5628" i="6"/>
  <c r="P5628" i="6" s="1"/>
  <c r="U5628" i="6" s="1"/>
  <c r="V5628" i="6" s="1"/>
  <c r="N5629" i="6"/>
  <c r="O5629" i="6"/>
  <c r="N5630" i="6"/>
  <c r="P5630" i="6" s="1"/>
  <c r="U5630" i="6" s="1"/>
  <c r="V5630" i="6" s="1"/>
  <c r="N5631" i="6"/>
  <c r="O5631" i="6"/>
  <c r="P5632" i="6"/>
  <c r="U5632" i="6" s="1"/>
  <c r="V5632" i="6" s="1"/>
  <c r="N5633" i="6"/>
  <c r="O5633" i="6"/>
  <c r="N5634" i="6"/>
  <c r="O5634" i="6"/>
  <c r="N5635" i="6"/>
  <c r="P5635" i="6" s="1"/>
  <c r="U5635" i="6" s="1"/>
  <c r="N5636" i="6"/>
  <c r="O5636" i="6"/>
  <c r="N5637" i="6"/>
  <c r="O5637" i="6"/>
  <c r="N5638" i="6"/>
  <c r="P5638" i="6" s="1"/>
  <c r="U5638" i="6" s="1"/>
  <c r="V5638" i="6" s="1"/>
  <c r="N5639" i="6"/>
  <c r="O5639" i="6"/>
  <c r="N5640" i="6"/>
  <c r="O5640" i="6"/>
  <c r="N5641" i="6"/>
  <c r="O5641" i="6"/>
  <c r="N5642" i="6"/>
  <c r="O5642" i="6"/>
  <c r="N5643" i="6"/>
  <c r="O5643" i="6"/>
  <c r="N5644" i="6"/>
  <c r="O5644" i="6"/>
  <c r="O5645" i="6"/>
  <c r="P5645" i="6" s="1"/>
  <c r="U5645" i="6" s="1"/>
  <c r="V5645" i="6" s="1"/>
  <c r="N5646" i="6"/>
  <c r="O5646" i="6"/>
  <c r="N5647" i="6"/>
  <c r="O5647" i="6"/>
  <c r="N5648" i="6"/>
  <c r="O5648" i="6"/>
  <c r="N5649" i="6"/>
  <c r="P5649" i="6" s="1"/>
  <c r="U5649" i="6" s="1"/>
  <c r="V5649" i="6" s="1"/>
  <c r="N5650" i="6"/>
  <c r="O5650" i="6"/>
  <c r="N5651" i="6"/>
  <c r="O5651" i="6"/>
  <c r="N5652" i="6"/>
  <c r="P5652" i="6" s="1"/>
  <c r="U5652" i="6" s="1"/>
  <c r="V5652" i="6" s="1"/>
  <c r="N5653" i="6"/>
  <c r="P5654" i="6"/>
  <c r="U5654" i="6" s="1"/>
  <c r="V5654" i="6" s="1"/>
  <c r="P5655" i="6"/>
  <c r="U5655" i="6" s="1"/>
  <c r="P5656" i="6"/>
  <c r="P5657" i="6"/>
  <c r="U5657" i="6" s="1"/>
  <c r="V5657" i="6" s="1"/>
  <c r="P5658" i="6"/>
  <c r="N5659" i="6"/>
  <c r="P5659" i="6" s="1"/>
  <c r="P5661" i="6"/>
  <c r="U5661" i="6" s="1"/>
  <c r="P5662" i="6"/>
  <c r="U5662" i="6" s="1"/>
  <c r="O786" i="14" s="1"/>
  <c r="N5663" i="6"/>
  <c r="O5663" i="6"/>
  <c r="N5664" i="6"/>
  <c r="P5664" i="6" s="1"/>
  <c r="U5664" i="6" s="1"/>
  <c r="V5664" i="6" s="1"/>
  <c r="O5665" i="6"/>
  <c r="P5665" i="6" s="1"/>
  <c r="U5665" i="6" s="1"/>
  <c r="V5665" i="6" s="1"/>
  <c r="N5666" i="6"/>
  <c r="O5666" i="6"/>
  <c r="N5667" i="6"/>
  <c r="N5668" i="6"/>
  <c r="P5668" i="6" s="1"/>
  <c r="U5668" i="6" s="1"/>
  <c r="V5668" i="6" s="1"/>
  <c r="N5669" i="6"/>
  <c r="O5669" i="6"/>
  <c r="N5670" i="6"/>
  <c r="O5670" i="6"/>
  <c r="N5671" i="6"/>
  <c r="O5671" i="6"/>
  <c r="N5672" i="6"/>
  <c r="P5672" i="6" s="1"/>
  <c r="U5672" i="6" s="1"/>
  <c r="V5672" i="6" s="1"/>
  <c r="N5673" i="6"/>
  <c r="O5673" i="6"/>
  <c r="O5674" i="6"/>
  <c r="P5674" i="6" s="1"/>
  <c r="U5674" i="6" s="1"/>
  <c r="V5674" i="6" s="1"/>
  <c r="N5676" i="6"/>
  <c r="O5676" i="6"/>
  <c r="N5677" i="6"/>
  <c r="O5677" i="6"/>
  <c r="N5678" i="6"/>
  <c r="O5678" i="6"/>
  <c r="N5679" i="6"/>
  <c r="O5679" i="6"/>
  <c r="N5680" i="6"/>
  <c r="O5680" i="6"/>
  <c r="N5681" i="6"/>
  <c r="P5681" i="6" s="1"/>
  <c r="U5681" i="6" s="1"/>
  <c r="N5682" i="6"/>
  <c r="N5683" i="6"/>
  <c r="N5684" i="6"/>
  <c r="P5684" i="6" s="1"/>
  <c r="U5684" i="6" s="1"/>
  <c r="V5684" i="6" s="1"/>
  <c r="N5685" i="6"/>
  <c r="P5685" i="6" s="1"/>
  <c r="U5685" i="6" s="1"/>
  <c r="V5685" i="6" s="1"/>
  <c r="N5690" i="6"/>
  <c r="N5691" i="6"/>
  <c r="O5691" i="6"/>
  <c r="N5692" i="6"/>
  <c r="O5692" i="6"/>
  <c r="N5693" i="6"/>
  <c r="O5693" i="6"/>
  <c r="N5694" i="6"/>
  <c r="P5694" i="6" s="1"/>
  <c r="U5694" i="6" s="1"/>
  <c r="V5694" i="6" s="1"/>
  <c r="N5696" i="6"/>
  <c r="O5696" i="6"/>
  <c r="N5697" i="6"/>
  <c r="N5698" i="6"/>
  <c r="N5699" i="6"/>
  <c r="O5699" i="6"/>
  <c r="N5700" i="6"/>
  <c r="P5700" i="6" s="1"/>
  <c r="U5700" i="6" s="1"/>
  <c r="V5700" i="6" s="1"/>
  <c r="N5701" i="6"/>
  <c r="O5701" i="6"/>
  <c r="N5702" i="6"/>
  <c r="O5702" i="6"/>
  <c r="N5703" i="6"/>
  <c r="N5704" i="6"/>
  <c r="O5704" i="6"/>
  <c r="N5705" i="6"/>
  <c r="P5705" i="6" s="1"/>
  <c r="U5705" i="6" s="1"/>
  <c r="V5705" i="6" s="1"/>
  <c r="N5706" i="6"/>
  <c r="N5707" i="6"/>
  <c r="O5707" i="6"/>
  <c r="N5708" i="6"/>
  <c r="P5708" i="6" s="1"/>
  <c r="U5708" i="6" s="1"/>
  <c r="V5708" i="6" s="1"/>
  <c r="O5709" i="6"/>
  <c r="P5709" i="6" s="1"/>
  <c r="U5709" i="6" s="1"/>
  <c r="V5709" i="6" s="1"/>
  <c r="N5710" i="6"/>
  <c r="O5710" i="6"/>
  <c r="N5711" i="6"/>
  <c r="O5711" i="6"/>
  <c r="N5712" i="6"/>
  <c r="P5712" i="6" s="1"/>
  <c r="U5712" i="6" s="1"/>
  <c r="V5712" i="6" s="1"/>
  <c r="N5713" i="6"/>
  <c r="O5713" i="6"/>
  <c r="N5714" i="6"/>
  <c r="O5714" i="6"/>
  <c r="N5715" i="6"/>
  <c r="O5715" i="6"/>
  <c r="O5716" i="6"/>
  <c r="P5716" i="6" s="1"/>
  <c r="U5716" i="6" s="1"/>
  <c r="V5716" i="6" s="1"/>
  <c r="N5717" i="6"/>
  <c r="P5717" i="6" s="1"/>
  <c r="U5717" i="6" s="1"/>
  <c r="N5718" i="6"/>
  <c r="P5718" i="6" s="1"/>
  <c r="U5718" i="6" s="1"/>
  <c r="N5719" i="6"/>
  <c r="O5719" i="6"/>
  <c r="N5720" i="6"/>
  <c r="O5720" i="6"/>
  <c r="N5721" i="6"/>
  <c r="O5721" i="6"/>
  <c r="N5722" i="6"/>
  <c r="P5722" i="6" s="1"/>
  <c r="U5722" i="6" s="1"/>
  <c r="P5723" i="6"/>
  <c r="U5723" i="6" s="1"/>
  <c r="N5724" i="6"/>
  <c r="O5724" i="6"/>
  <c r="N5725" i="6"/>
  <c r="O5725" i="6"/>
  <c r="N5726" i="6"/>
  <c r="P5726" i="6" s="1"/>
  <c r="U5726" i="6" s="1"/>
  <c r="V5726" i="6" s="1"/>
  <c r="N5727" i="6"/>
  <c r="O5728" i="6"/>
  <c r="P5728" i="6" s="1"/>
  <c r="U5728" i="6" s="1"/>
  <c r="V5728" i="6" s="1"/>
  <c r="N5729" i="6"/>
  <c r="O5729" i="6"/>
  <c r="N5730" i="6"/>
  <c r="O5730" i="6"/>
  <c r="N5731" i="6"/>
  <c r="P5731" i="6" s="1"/>
  <c r="U5731" i="6" s="1"/>
  <c r="N5732" i="6"/>
  <c r="O5732" i="6"/>
  <c r="N5733" i="6"/>
  <c r="O5733" i="6"/>
  <c r="N5734" i="6"/>
  <c r="O5734" i="6"/>
  <c r="N5735" i="6"/>
  <c r="O5735" i="6"/>
  <c r="N5736" i="6"/>
  <c r="O5736" i="6"/>
  <c r="N5738" i="6"/>
  <c r="O5738" i="6"/>
  <c r="N5740" i="6"/>
  <c r="O5740" i="6"/>
  <c r="N5741" i="6"/>
  <c r="O5741" i="6"/>
  <c r="P5742" i="6"/>
  <c r="P5743" i="6"/>
  <c r="N5744" i="6"/>
  <c r="P5744" i="6" s="1"/>
  <c r="P5745" i="6"/>
  <c r="U5745" i="6" s="1"/>
  <c r="V5745" i="6" s="1"/>
  <c r="N5746" i="6"/>
  <c r="P5746" i="6" s="1"/>
  <c r="N5747" i="6"/>
  <c r="P5747" i="6" s="1"/>
  <c r="U5747" i="6" s="1"/>
  <c r="V5747" i="6" s="1"/>
  <c r="N5748" i="6"/>
  <c r="P5748" i="6" s="1"/>
  <c r="U5748" i="6" s="1"/>
  <c r="V5748" i="6" s="1"/>
  <c r="N5749" i="6"/>
  <c r="O5749" i="6"/>
  <c r="N5750" i="6"/>
  <c r="P5750" i="6" s="1"/>
  <c r="U5750" i="6" s="1"/>
  <c r="V5750" i="6" s="1"/>
  <c r="N5752" i="6"/>
  <c r="P5752" i="6" s="1"/>
  <c r="U5752" i="6" s="1"/>
  <c r="N5753" i="6"/>
  <c r="O5753" i="6"/>
  <c r="N5754" i="6"/>
  <c r="P5754" i="6" s="1"/>
  <c r="U5754" i="6" s="1"/>
  <c r="N5755" i="6"/>
  <c r="O5755" i="6"/>
  <c r="N5756" i="6"/>
  <c r="P5756" i="6" s="1"/>
  <c r="U5756" i="6" s="1"/>
  <c r="V5756" i="6" s="1"/>
  <c r="N5758" i="6"/>
  <c r="O5758" i="6"/>
  <c r="N5759" i="6"/>
  <c r="P5759" i="6" s="1"/>
  <c r="U5759" i="6" s="1"/>
  <c r="V5759" i="6" s="1"/>
  <c r="N5760" i="6"/>
  <c r="O5760" i="6"/>
  <c r="O5761" i="6"/>
  <c r="N5762" i="6"/>
  <c r="O5762" i="6"/>
  <c r="N5764" i="6"/>
  <c r="O5764" i="6"/>
  <c r="N5765" i="6"/>
  <c r="P5765" i="6" s="1"/>
  <c r="U5765" i="6" s="1"/>
  <c r="N5766" i="6"/>
  <c r="O5766" i="6"/>
  <c r="N5767" i="6"/>
  <c r="P5767" i="6" s="1"/>
  <c r="U5767" i="6" s="1"/>
  <c r="V5767" i="6" s="1"/>
  <c r="N5768" i="6"/>
  <c r="P5768" i="6" s="1"/>
  <c r="U5768" i="6" s="1"/>
  <c r="V5768" i="6" s="1"/>
  <c r="N5769" i="6"/>
  <c r="O5769" i="6"/>
  <c r="N5770" i="6"/>
  <c r="P5770" i="6" s="1"/>
  <c r="U5770" i="6" s="1"/>
  <c r="V5770" i="6" s="1"/>
  <c r="N5771" i="6"/>
  <c r="O5771" i="6"/>
  <c r="N5772" i="6"/>
  <c r="P5772" i="6" s="1"/>
  <c r="U5772" i="6" s="1"/>
  <c r="V5772" i="6" s="1"/>
  <c r="N5773" i="6"/>
  <c r="P5773" i="6" s="1"/>
  <c r="U5773" i="6" s="1"/>
  <c r="V5773" i="6" s="1"/>
  <c r="N5774" i="6"/>
  <c r="P5774" i="6" s="1"/>
  <c r="U5774" i="6" s="1"/>
  <c r="V5774" i="6" s="1"/>
  <c r="N5775" i="6"/>
  <c r="O5775" i="6"/>
  <c r="N5776" i="6"/>
  <c r="O5776" i="6"/>
  <c r="N5777" i="6"/>
  <c r="O5777" i="6"/>
  <c r="N5778" i="6"/>
  <c r="O5778" i="6"/>
  <c r="N5779" i="6"/>
  <c r="O5779" i="6"/>
  <c r="N5780" i="6"/>
  <c r="P5780" i="6" s="1"/>
  <c r="U5780" i="6" s="1"/>
  <c r="V5780" i="6" s="1"/>
  <c r="N5781" i="6"/>
  <c r="P5781" i="6" s="1"/>
  <c r="U5781" i="6" s="1"/>
  <c r="V5781" i="6" s="1"/>
  <c r="N5782" i="6"/>
  <c r="P5782" i="6" s="1"/>
  <c r="U5782" i="6" s="1"/>
  <c r="N5783" i="6"/>
  <c r="O5783" i="6"/>
  <c r="N5784" i="6"/>
  <c r="P5784" i="6" s="1"/>
  <c r="N5785" i="6"/>
  <c r="P5785" i="6" s="1"/>
  <c r="U5785" i="6" s="1"/>
  <c r="P5786" i="6"/>
  <c r="U5786" i="6" s="1"/>
  <c r="N5787" i="6"/>
  <c r="P5787" i="6" s="1"/>
  <c r="U5787" i="6" s="1"/>
  <c r="N5788" i="6"/>
  <c r="P5788" i="6" s="1"/>
  <c r="U5788" i="6" s="1"/>
  <c r="N5789" i="6"/>
  <c r="P5789" i="6" s="1"/>
  <c r="U5789" i="6" s="1"/>
  <c r="P5790" i="6"/>
  <c r="U5790" i="6" s="1"/>
  <c r="P5791" i="6"/>
  <c r="U5791" i="6" s="1"/>
  <c r="V5791" i="6" s="1"/>
  <c r="P5792" i="6"/>
  <c r="N5807" i="6"/>
  <c r="P5807" i="6" s="1"/>
  <c r="U5807" i="6" s="1"/>
  <c r="N5810" i="6"/>
  <c r="O5810" i="6"/>
  <c r="N5811" i="6"/>
  <c r="P5811" i="6" s="1"/>
  <c r="U5811" i="6" s="1"/>
  <c r="N5812" i="6"/>
  <c r="O5812" i="6"/>
  <c r="N5817" i="6"/>
  <c r="P5817" i="6" s="1"/>
  <c r="N5819" i="6"/>
  <c r="P5819" i="6" s="1"/>
  <c r="U5819" i="6" s="1"/>
  <c r="N5822" i="6"/>
  <c r="P5822" i="6" s="1"/>
  <c r="U5822" i="6" s="1"/>
  <c r="N5826" i="6"/>
  <c r="O5826" i="6"/>
  <c r="N5827" i="6"/>
  <c r="P5827" i="6" s="1"/>
  <c r="N5828" i="6"/>
  <c r="P5828" i="6" s="1"/>
  <c r="U5828" i="6" s="1"/>
  <c r="N5829" i="6"/>
  <c r="O5829" i="6"/>
  <c r="N5832" i="6"/>
  <c r="P5832" i="6" s="1"/>
  <c r="U5832" i="6" s="1"/>
  <c r="N5833" i="6"/>
  <c r="P5833" i="6" s="1"/>
  <c r="U5833" i="6" s="1"/>
  <c r="N5834" i="6"/>
  <c r="P5834" i="6" s="1"/>
  <c r="U5834" i="6" s="1"/>
  <c r="N5835" i="6"/>
  <c r="O5835" i="6"/>
  <c r="N5836" i="6"/>
  <c r="P5836" i="6" s="1"/>
  <c r="U5836" i="6" s="1"/>
  <c r="N5837" i="6"/>
  <c r="O5837" i="6"/>
  <c r="N5838" i="6"/>
  <c r="P5838" i="6" s="1"/>
  <c r="U5838" i="6" s="1"/>
  <c r="P5839" i="6"/>
  <c r="P5841" i="6"/>
  <c r="J817" i="14"/>
  <c r="N5843" i="6" s="1"/>
  <c r="P5843" i="6" s="1"/>
  <c r="U5843" i="6" s="1"/>
  <c r="J818" i="14"/>
  <c r="N5861" i="6"/>
  <c r="P5861" i="6" s="1"/>
  <c r="U5861" i="6" s="1"/>
  <c r="N5862" i="6"/>
  <c r="P5862" i="6" s="1"/>
  <c r="U5862" i="6" s="1"/>
  <c r="N5863" i="6"/>
  <c r="P5863" i="6" s="1"/>
  <c r="U5863" i="6" s="1"/>
  <c r="N5864" i="6"/>
  <c r="P5864" i="6" s="1"/>
  <c r="U5864" i="6" s="1"/>
  <c r="N5865" i="6"/>
  <c r="P5865" i="6" s="1"/>
  <c r="U5865" i="6" s="1"/>
  <c r="N5866" i="6"/>
  <c r="P5866" i="6" s="1"/>
  <c r="U5866" i="6" s="1"/>
  <c r="N5867" i="6"/>
  <c r="P5867" i="6" s="1"/>
  <c r="U5867" i="6" s="1"/>
  <c r="N5868" i="6"/>
  <c r="P5868" i="6" s="1"/>
  <c r="U5868" i="6" s="1"/>
  <c r="N5869" i="6"/>
  <c r="P5869" i="6" s="1"/>
  <c r="N5870" i="6"/>
  <c r="P5870" i="6" s="1"/>
  <c r="U5870" i="6" s="1"/>
  <c r="N5871" i="6"/>
  <c r="P5871" i="6" s="1"/>
  <c r="U5871" i="6" s="1"/>
  <c r="N5872" i="6"/>
  <c r="P5872" i="6" s="1"/>
  <c r="U5872" i="6" s="1"/>
  <c r="J820" i="14"/>
  <c r="N5874" i="6" s="1"/>
  <c r="P5874" i="6" s="1"/>
  <c r="U5874" i="6" s="1"/>
  <c r="P6337" i="6"/>
  <c r="U6337" i="6" s="1"/>
  <c r="P6338" i="6"/>
  <c r="U6338" i="6" s="1"/>
  <c r="P6339" i="6"/>
  <c r="U6339" i="6" s="1"/>
  <c r="P6340" i="6"/>
  <c r="U6340" i="6" s="1"/>
  <c r="P6341" i="6"/>
  <c r="U6341" i="6" s="1"/>
  <c r="P6342" i="6"/>
  <c r="U6342" i="6" s="1"/>
  <c r="P6343" i="6"/>
  <c r="U6343" i="6" s="1"/>
  <c r="N808" i="14"/>
  <c r="N807" i="14"/>
  <c r="N806" i="14"/>
  <c r="N805" i="14"/>
  <c r="N804" i="14"/>
  <c r="P804" i="14" s="1"/>
  <c r="N803" i="14"/>
  <c r="N802" i="14"/>
  <c r="N801" i="14"/>
  <c r="N800" i="14"/>
  <c r="Q800" i="14"/>
  <c r="N799" i="14"/>
  <c r="N798" i="14"/>
  <c r="N797" i="14"/>
  <c r="N796" i="14"/>
  <c r="N795" i="14"/>
  <c r="N794" i="14"/>
  <c r="N793" i="14"/>
  <c r="N792" i="14"/>
  <c r="N791" i="14"/>
  <c r="N790" i="14"/>
  <c r="N789" i="14"/>
  <c r="N788" i="14"/>
  <c r="N787" i="14"/>
  <c r="N786" i="14"/>
  <c r="N785" i="14"/>
  <c r="N784" i="14"/>
  <c r="N783" i="14"/>
  <c r="N782" i="14"/>
  <c r="N781" i="14"/>
  <c r="N780" i="14"/>
  <c r="N779" i="14"/>
  <c r="N778" i="14"/>
  <c r="N777" i="14"/>
  <c r="N776" i="14"/>
  <c r="N775" i="14"/>
  <c r="Q775" i="14"/>
  <c r="N774" i="14"/>
  <c r="N773" i="14"/>
  <c r="N772" i="14"/>
  <c r="N771" i="14"/>
  <c r="N770" i="14"/>
  <c r="N769" i="14"/>
  <c r="N768" i="14"/>
  <c r="N767" i="14"/>
  <c r="N766" i="14"/>
  <c r="N765" i="14"/>
  <c r="N764" i="14"/>
  <c r="N763" i="14"/>
  <c r="N762" i="14"/>
  <c r="N761" i="14"/>
  <c r="P761" i="14" s="1"/>
  <c r="Q761" i="14"/>
  <c r="N760" i="14"/>
  <c r="Q759" i="14"/>
  <c r="N759" i="14"/>
  <c r="N758" i="14"/>
  <c r="N757" i="14"/>
  <c r="N756" i="14"/>
  <c r="N755" i="14"/>
  <c r="N754" i="14"/>
  <c r="N753" i="14"/>
  <c r="N752" i="14"/>
  <c r="N751" i="14"/>
  <c r="N750" i="14"/>
  <c r="N749" i="14"/>
  <c r="N748" i="14"/>
  <c r="N747" i="14"/>
  <c r="N746" i="14"/>
  <c r="N745" i="14"/>
  <c r="N744" i="14"/>
  <c r="N743" i="14"/>
  <c r="N742" i="14"/>
  <c r="N741" i="14"/>
  <c r="N740" i="14"/>
  <c r="N739" i="14"/>
  <c r="N738" i="14"/>
  <c r="N737" i="14"/>
  <c r="N648" i="14"/>
  <c r="N736" i="14"/>
  <c r="N735" i="14"/>
  <c r="N734" i="14"/>
  <c r="N733" i="14"/>
  <c r="N732" i="14"/>
  <c r="N731" i="14"/>
  <c r="N730" i="14"/>
  <c r="J849" i="14"/>
  <c r="Q849" i="14" s="1"/>
  <c r="O849" i="14"/>
  <c r="N849" i="14"/>
  <c r="P849" i="14" s="1"/>
  <c r="M849" i="14"/>
  <c r="R849" i="14" s="1"/>
  <c r="M848" i="14"/>
  <c r="R848" i="14" s="1"/>
  <c r="O848" i="14"/>
  <c r="N848" i="14"/>
  <c r="P848" i="14" s="1"/>
  <c r="J848" i="14"/>
  <c r="Q848" i="14" s="1"/>
  <c r="N847" i="14"/>
  <c r="P847" i="14" s="1"/>
  <c r="O847" i="14"/>
  <c r="M847" i="14"/>
  <c r="R847" i="14" s="1"/>
  <c r="J847" i="14"/>
  <c r="Q847" i="14" s="1"/>
  <c r="J846" i="14"/>
  <c r="Q846" i="14" s="1"/>
  <c r="N846" i="14"/>
  <c r="P846" i="14" s="1"/>
  <c r="O846" i="14"/>
  <c r="M846" i="14"/>
  <c r="R846" i="14" s="1"/>
  <c r="O845" i="14"/>
  <c r="N845" i="14"/>
  <c r="P845" i="14" s="1"/>
  <c r="M845" i="14"/>
  <c r="R845" i="14" s="1"/>
  <c r="J845" i="14"/>
  <c r="Q845" i="14" s="1"/>
  <c r="N844" i="14"/>
  <c r="P844" i="14" s="1"/>
  <c r="O844" i="14"/>
  <c r="M844" i="14"/>
  <c r="R844" i="14" s="1"/>
  <c r="J844" i="14"/>
  <c r="Q844" i="14" s="1"/>
  <c r="J843" i="14"/>
  <c r="Q843" i="14" s="1"/>
  <c r="O843" i="14"/>
  <c r="N843" i="14"/>
  <c r="P843" i="14" s="1"/>
  <c r="M843" i="14"/>
  <c r="R843" i="14" s="1"/>
  <c r="M842" i="14"/>
  <c r="R842" i="14" s="1"/>
  <c r="O842" i="14"/>
  <c r="N842" i="14"/>
  <c r="P842" i="14" s="1"/>
  <c r="J842" i="14"/>
  <c r="Q842" i="14" s="1"/>
  <c r="N841" i="14"/>
  <c r="P841" i="14" s="1"/>
  <c r="O841" i="14"/>
  <c r="M841" i="14"/>
  <c r="R841" i="14" s="1"/>
  <c r="J841" i="14"/>
  <c r="Q841" i="14" s="1"/>
  <c r="J840" i="14"/>
  <c r="Q840" i="14" s="1"/>
  <c r="N840" i="14"/>
  <c r="P840" i="14" s="1"/>
  <c r="O840" i="14"/>
  <c r="M840" i="14"/>
  <c r="R840" i="14" s="1"/>
  <c r="M839" i="14"/>
  <c r="R839" i="14" s="1"/>
  <c r="O839" i="14"/>
  <c r="N839" i="14"/>
  <c r="P839" i="14" s="1"/>
  <c r="J839" i="14"/>
  <c r="Q839" i="14" s="1"/>
  <c r="N838" i="14"/>
  <c r="P838" i="14" s="1"/>
  <c r="O838" i="14"/>
  <c r="M838" i="14"/>
  <c r="R838" i="14" s="1"/>
  <c r="J838" i="14"/>
  <c r="Q838" i="14" s="1"/>
  <c r="J837" i="14"/>
  <c r="Q837" i="14" s="1"/>
  <c r="O837" i="14"/>
  <c r="N837" i="14"/>
  <c r="P837" i="14" s="1"/>
  <c r="M837" i="14"/>
  <c r="R837" i="14" s="1"/>
  <c r="M836" i="14"/>
  <c r="R836" i="14" s="1"/>
  <c r="O836" i="14"/>
  <c r="N836" i="14"/>
  <c r="P836" i="14" s="1"/>
  <c r="J836" i="14"/>
  <c r="Q836" i="14" s="1"/>
  <c r="N835" i="14"/>
  <c r="P835" i="14" s="1"/>
  <c r="O835" i="14"/>
  <c r="M835" i="14"/>
  <c r="R835" i="14" s="1"/>
  <c r="J835" i="14"/>
  <c r="Q835" i="14" s="1"/>
  <c r="J834" i="14"/>
  <c r="Q834" i="14" s="1"/>
  <c r="N834" i="14"/>
  <c r="P834" i="14" s="1"/>
  <c r="O834" i="14"/>
  <c r="M834" i="14"/>
  <c r="R834" i="14" s="1"/>
  <c r="M833" i="14"/>
  <c r="R833" i="14" s="1"/>
  <c r="O833" i="14"/>
  <c r="N833" i="14"/>
  <c r="P833" i="14" s="1"/>
  <c r="J833" i="14"/>
  <c r="Q833" i="14" s="1"/>
  <c r="N832" i="14"/>
  <c r="P832" i="14" s="1"/>
  <c r="J832" i="14"/>
  <c r="Q832" i="14" s="1"/>
  <c r="J831" i="14"/>
  <c r="Q831" i="14" s="1"/>
  <c r="N831" i="14"/>
  <c r="P831" i="14" s="1"/>
  <c r="N830" i="14"/>
  <c r="P830" i="14" s="1"/>
  <c r="J830" i="14"/>
  <c r="Q830" i="14" s="1"/>
  <c r="J829" i="14"/>
  <c r="Q829" i="14" s="1"/>
  <c r="N829" i="14"/>
  <c r="P829" i="14" s="1"/>
  <c r="J828" i="14"/>
  <c r="N828" i="14"/>
  <c r="P828" i="14" s="1"/>
  <c r="N827" i="14"/>
  <c r="P827" i="14" s="1"/>
  <c r="J827" i="14"/>
  <c r="N826" i="14"/>
  <c r="P826" i="14" s="1"/>
  <c r="J826" i="14"/>
  <c r="N5893" i="6" s="1"/>
  <c r="P5893" i="6" s="1"/>
  <c r="U5893" i="6" s="1"/>
  <c r="J825" i="14"/>
  <c r="Q825" i="14" s="1"/>
  <c r="N825" i="14"/>
  <c r="P825" i="14" s="1"/>
  <c r="N824" i="14"/>
  <c r="P824" i="14" s="1"/>
  <c r="J824" i="14"/>
  <c r="Q824" i="14" s="1"/>
  <c r="Q823" i="14"/>
  <c r="N823" i="14"/>
  <c r="N822" i="14"/>
  <c r="N821" i="14"/>
  <c r="Q821" i="14"/>
  <c r="N820" i="14"/>
  <c r="P820" i="14" s="1"/>
  <c r="N819" i="14"/>
  <c r="P819" i="14" s="1"/>
  <c r="N818" i="14"/>
  <c r="P818" i="14" s="1"/>
  <c r="N817" i="14"/>
  <c r="P817" i="14" s="1"/>
  <c r="N816" i="14"/>
  <c r="N815" i="14"/>
  <c r="N814" i="14"/>
  <c r="P814" i="14" s="1"/>
  <c r="N813" i="14"/>
  <c r="N812" i="14"/>
  <c r="N811" i="14"/>
  <c r="Q810" i="14"/>
  <c r="N810" i="14"/>
  <c r="M869" i="14"/>
  <c r="R869" i="14" s="1"/>
  <c r="N869" i="14"/>
  <c r="P869" i="14" s="1"/>
  <c r="O869" i="14"/>
  <c r="J869" i="14"/>
  <c r="Q869" i="14" s="1"/>
  <c r="N868" i="14"/>
  <c r="P868" i="14" s="1"/>
  <c r="O868" i="14"/>
  <c r="M868" i="14"/>
  <c r="R868" i="14" s="1"/>
  <c r="J868" i="14"/>
  <c r="Q868" i="14" s="1"/>
  <c r="O867" i="14"/>
  <c r="N867" i="14"/>
  <c r="P867" i="14" s="1"/>
  <c r="M867" i="14"/>
  <c r="R867" i="14" s="1"/>
  <c r="J867" i="14"/>
  <c r="Q867" i="14" s="1"/>
  <c r="O866" i="14"/>
  <c r="N866" i="14"/>
  <c r="P866" i="14" s="1"/>
  <c r="M866" i="14"/>
  <c r="R866" i="14" s="1"/>
  <c r="J866" i="14"/>
  <c r="Q866" i="14" s="1"/>
  <c r="J865" i="14"/>
  <c r="Q865" i="14" s="1"/>
  <c r="N865" i="14"/>
  <c r="P865" i="14" s="1"/>
  <c r="O865" i="14"/>
  <c r="M865" i="14"/>
  <c r="R865" i="14" s="1"/>
  <c r="J864" i="14"/>
  <c r="Q864" i="14" s="1"/>
  <c r="N864" i="14"/>
  <c r="P864" i="14" s="1"/>
  <c r="O864" i="14"/>
  <c r="M864" i="14"/>
  <c r="R864" i="14" s="1"/>
  <c r="M863" i="14"/>
  <c r="R863" i="14" s="1"/>
  <c r="N863" i="14"/>
  <c r="P863" i="14" s="1"/>
  <c r="O863" i="14"/>
  <c r="J863" i="14"/>
  <c r="Q863" i="14" s="1"/>
  <c r="N862" i="14"/>
  <c r="P862" i="14" s="1"/>
  <c r="O862" i="14"/>
  <c r="M862" i="14"/>
  <c r="R862" i="14" s="1"/>
  <c r="J862" i="14"/>
  <c r="Q862" i="14" s="1"/>
  <c r="O861" i="14"/>
  <c r="N861" i="14"/>
  <c r="P861" i="14" s="1"/>
  <c r="M861" i="14"/>
  <c r="R861" i="14" s="1"/>
  <c r="J861" i="14"/>
  <c r="Q861" i="14" s="1"/>
  <c r="O860" i="14"/>
  <c r="N860" i="14"/>
  <c r="P860" i="14" s="1"/>
  <c r="M860" i="14"/>
  <c r="R860" i="14" s="1"/>
  <c r="J860" i="14"/>
  <c r="Q860" i="14" s="1"/>
  <c r="J859" i="14"/>
  <c r="Q859" i="14" s="1"/>
  <c r="N859" i="14"/>
  <c r="P859" i="14" s="1"/>
  <c r="O859" i="14"/>
  <c r="M859" i="14"/>
  <c r="R859" i="14" s="1"/>
  <c r="J858" i="14"/>
  <c r="Q858" i="14" s="1"/>
  <c r="O858" i="14"/>
  <c r="N858" i="14"/>
  <c r="P858" i="14" s="1"/>
  <c r="M858" i="14"/>
  <c r="R858" i="14" s="1"/>
  <c r="M857" i="14"/>
  <c r="R857" i="14" s="1"/>
  <c r="N857" i="14"/>
  <c r="P857" i="14" s="1"/>
  <c r="O857" i="14"/>
  <c r="J857" i="14"/>
  <c r="Q857" i="14" s="1"/>
  <c r="O856" i="14"/>
  <c r="N856" i="14"/>
  <c r="P856" i="14" s="1"/>
  <c r="M856" i="14"/>
  <c r="R856" i="14" s="1"/>
  <c r="J856" i="14"/>
  <c r="Q856" i="14" s="1"/>
  <c r="J855" i="14"/>
  <c r="Q855" i="14" s="1"/>
  <c r="O855" i="14"/>
  <c r="N855" i="14"/>
  <c r="P855" i="14" s="1"/>
  <c r="M855" i="14"/>
  <c r="R855" i="14" s="1"/>
  <c r="O854" i="14"/>
  <c r="N854" i="14"/>
  <c r="P854" i="14" s="1"/>
  <c r="M854" i="14"/>
  <c r="R854" i="14" s="1"/>
  <c r="J854" i="14"/>
  <c r="Q854" i="14" s="1"/>
  <c r="J853" i="14"/>
  <c r="Q853" i="14" s="1"/>
  <c r="N853" i="14"/>
  <c r="P853" i="14" s="1"/>
  <c r="O853" i="14"/>
  <c r="M853" i="14"/>
  <c r="R853" i="14" s="1"/>
  <c r="M852" i="14"/>
  <c r="R852" i="14" s="1"/>
  <c r="J852" i="14"/>
  <c r="Q852" i="14" s="1"/>
  <c r="O852" i="14"/>
  <c r="N852" i="14"/>
  <c r="P852" i="14" s="1"/>
  <c r="M851" i="14"/>
  <c r="R851" i="14" s="1"/>
  <c r="N851" i="14"/>
  <c r="P851" i="14" s="1"/>
  <c r="O851" i="14"/>
  <c r="J851" i="14"/>
  <c r="Q851" i="14" s="1"/>
  <c r="O850" i="14"/>
  <c r="N850" i="14"/>
  <c r="P850" i="14" s="1"/>
  <c r="M850" i="14"/>
  <c r="R850" i="14" s="1"/>
  <c r="J850" i="14"/>
  <c r="Q850" i="14" s="1"/>
  <c r="J879" i="14"/>
  <c r="Q879" i="14" s="1"/>
  <c r="O879" i="14"/>
  <c r="N879" i="14"/>
  <c r="P879" i="14" s="1"/>
  <c r="M879" i="14"/>
  <c r="R879" i="14" s="1"/>
  <c r="O878" i="14"/>
  <c r="N878" i="14"/>
  <c r="P878" i="14" s="1"/>
  <c r="M878" i="14"/>
  <c r="R878" i="14" s="1"/>
  <c r="J878" i="14"/>
  <c r="Q878" i="14" s="1"/>
  <c r="J877" i="14"/>
  <c r="Q877" i="14" s="1"/>
  <c r="N877" i="14"/>
  <c r="P877" i="14" s="1"/>
  <c r="O877" i="14"/>
  <c r="M877" i="14"/>
  <c r="R877" i="14" s="1"/>
  <c r="M876" i="14"/>
  <c r="R876" i="14" s="1"/>
  <c r="J876" i="14"/>
  <c r="Q876" i="14" s="1"/>
  <c r="N876" i="14"/>
  <c r="P876" i="14" s="1"/>
  <c r="O876" i="14"/>
  <c r="M875" i="14"/>
  <c r="R875" i="14" s="1"/>
  <c r="N875" i="14"/>
  <c r="P875" i="14" s="1"/>
  <c r="O875" i="14"/>
  <c r="J875" i="14"/>
  <c r="Q875" i="14" s="1"/>
  <c r="O874" i="14"/>
  <c r="N874" i="14"/>
  <c r="P874" i="14" s="1"/>
  <c r="M874" i="14"/>
  <c r="R874" i="14" s="1"/>
  <c r="J874" i="14"/>
  <c r="Q874" i="14" s="1"/>
  <c r="O873" i="14"/>
  <c r="N873" i="14"/>
  <c r="P873" i="14" s="1"/>
  <c r="M873" i="14"/>
  <c r="R873" i="14" s="1"/>
  <c r="J873" i="14"/>
  <c r="Q873" i="14" s="1"/>
  <c r="O872" i="14"/>
  <c r="N872" i="14"/>
  <c r="P872" i="14" s="1"/>
  <c r="M872" i="14"/>
  <c r="R872" i="14" s="1"/>
  <c r="J872" i="14"/>
  <c r="Q872" i="14" s="1"/>
  <c r="J871" i="14"/>
  <c r="Q871" i="14" s="1"/>
  <c r="N871" i="14"/>
  <c r="P871" i="14" s="1"/>
  <c r="O871" i="14"/>
  <c r="M871" i="14"/>
  <c r="R871" i="14" s="1"/>
  <c r="M870" i="14"/>
  <c r="R870" i="14" s="1"/>
  <c r="J870" i="14"/>
  <c r="Q870" i="14" s="1"/>
  <c r="N870" i="14"/>
  <c r="P870" i="14" s="1"/>
  <c r="O870" i="14"/>
  <c r="M884" i="14"/>
  <c r="R884" i="14" s="1"/>
  <c r="N884" i="14"/>
  <c r="P884" i="14" s="1"/>
  <c r="O884" i="14"/>
  <c r="J884" i="14"/>
  <c r="Q884" i="14" s="1"/>
  <c r="O883" i="14"/>
  <c r="N883" i="14"/>
  <c r="P883" i="14" s="1"/>
  <c r="M883" i="14"/>
  <c r="R883" i="14" s="1"/>
  <c r="J883" i="14"/>
  <c r="Q883" i="14" s="1"/>
  <c r="J882" i="14"/>
  <c r="Q882" i="14" s="1"/>
  <c r="O882" i="14"/>
  <c r="N882" i="14"/>
  <c r="P882" i="14" s="1"/>
  <c r="M882" i="14"/>
  <c r="R882" i="14" s="1"/>
  <c r="O881" i="14"/>
  <c r="N881" i="14"/>
  <c r="P881" i="14" s="1"/>
  <c r="M881" i="14"/>
  <c r="R881" i="14" s="1"/>
  <c r="J881" i="14"/>
  <c r="Q881" i="14" s="1"/>
  <c r="J880" i="14"/>
  <c r="Q880" i="14" s="1"/>
  <c r="N880" i="14"/>
  <c r="P880" i="14" s="1"/>
  <c r="O880" i="14"/>
  <c r="M880" i="14"/>
  <c r="R880" i="14" s="1"/>
  <c r="D5495" i="6"/>
  <c r="C5495" i="6"/>
  <c r="B5495" i="6"/>
  <c r="D5494" i="6"/>
  <c r="C5494" i="6"/>
  <c r="B5494" i="6"/>
  <c r="D5493" i="6"/>
  <c r="C5493" i="6"/>
  <c r="B5493" i="6"/>
  <c r="D5492" i="6"/>
  <c r="C5492" i="6"/>
  <c r="B5492" i="6"/>
  <c r="D5491" i="6"/>
  <c r="C5491" i="6"/>
  <c r="B5491" i="6"/>
  <c r="D5490" i="6"/>
  <c r="C5490" i="6"/>
  <c r="B5490" i="6"/>
  <c r="D5489" i="6"/>
  <c r="C5489" i="6"/>
  <c r="B5489" i="6"/>
  <c r="D5488" i="6"/>
  <c r="C5488" i="6"/>
  <c r="B5488" i="6"/>
  <c r="D5487" i="6"/>
  <c r="C5487" i="6"/>
  <c r="B5487" i="6"/>
  <c r="D5486" i="6"/>
  <c r="C5486" i="6"/>
  <c r="B5486" i="6"/>
  <c r="D5485" i="6"/>
  <c r="C5485" i="6"/>
  <c r="B5485" i="6"/>
  <c r="D5484" i="6"/>
  <c r="C5484" i="6"/>
  <c r="B5484" i="6"/>
  <c r="D5483" i="6"/>
  <c r="C5483" i="6"/>
  <c r="B5483" i="6"/>
  <c r="D5482" i="6"/>
  <c r="C5482" i="6"/>
  <c r="B5482" i="6"/>
  <c r="V5481" i="6"/>
  <c r="D5481" i="6"/>
  <c r="C5481" i="6"/>
  <c r="B5481" i="6"/>
  <c r="D5480" i="6"/>
  <c r="C5480" i="6"/>
  <c r="B5480" i="6"/>
  <c r="D5479" i="6"/>
  <c r="C5479" i="6"/>
  <c r="B5479" i="6"/>
  <c r="D5478" i="6"/>
  <c r="C5478" i="6"/>
  <c r="B5478" i="6"/>
  <c r="D5477" i="6"/>
  <c r="C5477" i="6"/>
  <c r="B5477" i="6"/>
  <c r="D5476" i="6"/>
  <c r="C5476" i="6"/>
  <c r="B5476" i="6"/>
  <c r="D5475" i="6"/>
  <c r="C5475" i="6"/>
  <c r="B5475" i="6"/>
  <c r="D5474" i="6"/>
  <c r="C5474" i="6"/>
  <c r="B5474" i="6"/>
  <c r="D5473" i="6"/>
  <c r="C5473" i="6"/>
  <c r="B5473" i="6"/>
  <c r="D5472" i="6"/>
  <c r="C5472" i="6"/>
  <c r="B5472" i="6"/>
  <c r="D5471" i="6"/>
  <c r="C5471" i="6"/>
  <c r="B5471" i="6"/>
  <c r="D5470" i="6"/>
  <c r="C5470" i="6"/>
  <c r="B5470" i="6"/>
  <c r="D5469" i="6"/>
  <c r="C5469" i="6"/>
  <c r="B5469" i="6"/>
  <c r="D5468" i="6"/>
  <c r="C5468" i="6"/>
  <c r="B5468" i="6"/>
  <c r="D5467" i="6"/>
  <c r="C5467" i="6"/>
  <c r="B5467" i="6"/>
  <c r="D5466" i="6"/>
  <c r="C5466" i="6"/>
  <c r="B5466" i="6"/>
  <c r="D5465" i="6"/>
  <c r="C5465" i="6"/>
  <c r="B5465" i="6"/>
  <c r="D5464" i="6"/>
  <c r="C5464" i="6"/>
  <c r="B5464" i="6"/>
  <c r="V5463" i="6"/>
  <c r="D5463" i="6"/>
  <c r="C5463" i="6"/>
  <c r="B5463" i="6"/>
  <c r="V5462" i="6"/>
  <c r="D5462" i="6"/>
  <c r="C5462" i="6"/>
  <c r="B5462" i="6"/>
  <c r="D5461" i="6"/>
  <c r="C5461" i="6"/>
  <c r="B5461" i="6"/>
  <c r="D5460" i="6"/>
  <c r="C5460" i="6"/>
  <c r="B5460" i="6"/>
  <c r="D5459" i="6"/>
  <c r="C5459" i="6"/>
  <c r="B5459" i="6"/>
  <c r="D5458" i="6"/>
  <c r="C5458" i="6"/>
  <c r="B5458" i="6"/>
  <c r="D5457" i="6"/>
  <c r="C5457" i="6"/>
  <c r="B5457" i="6"/>
  <c r="D5456" i="6"/>
  <c r="C5456" i="6"/>
  <c r="B5456" i="6"/>
  <c r="D5455" i="6"/>
  <c r="C5455" i="6"/>
  <c r="B5455" i="6"/>
  <c r="V5454" i="6"/>
  <c r="D5454" i="6"/>
  <c r="C5454" i="6"/>
  <c r="B5454" i="6"/>
  <c r="D5453" i="6"/>
  <c r="C5453" i="6"/>
  <c r="B5453" i="6"/>
  <c r="D5452" i="6"/>
  <c r="C5452" i="6"/>
  <c r="B5452" i="6"/>
  <c r="D5451" i="6"/>
  <c r="C5451" i="6"/>
  <c r="B5451" i="6"/>
  <c r="V5450" i="6"/>
  <c r="D5450" i="6"/>
  <c r="C5450" i="6"/>
  <c r="B5450" i="6"/>
  <c r="D5449" i="6"/>
  <c r="C5449" i="6"/>
  <c r="B5449" i="6"/>
  <c r="V5448" i="6"/>
  <c r="D5448" i="6"/>
  <c r="C5448" i="6"/>
  <c r="B5448" i="6"/>
  <c r="D5447" i="6"/>
  <c r="C5447" i="6"/>
  <c r="B5447" i="6"/>
  <c r="V5446" i="6"/>
  <c r="D5446" i="6"/>
  <c r="C5446" i="6"/>
  <c r="B5446" i="6"/>
  <c r="D5445" i="6"/>
  <c r="C5445" i="6"/>
  <c r="B5445" i="6"/>
  <c r="D5444" i="6"/>
  <c r="C5444" i="6"/>
  <c r="B5444" i="6"/>
  <c r="D5443" i="6"/>
  <c r="C5443" i="6"/>
  <c r="B5443" i="6"/>
  <c r="D5442" i="6"/>
  <c r="C5442" i="6"/>
  <c r="B5442" i="6"/>
  <c r="D5441" i="6"/>
  <c r="C5441" i="6"/>
  <c r="B5441" i="6"/>
  <c r="D5440" i="6"/>
  <c r="C5440" i="6"/>
  <c r="B5440" i="6"/>
  <c r="D5439" i="6"/>
  <c r="C5439" i="6"/>
  <c r="B5439" i="6"/>
  <c r="D5438" i="6"/>
  <c r="C5438" i="6"/>
  <c r="B5438" i="6"/>
  <c r="D5437" i="6"/>
  <c r="C5437" i="6"/>
  <c r="B5437" i="6"/>
  <c r="D5436" i="6"/>
  <c r="C5436" i="6"/>
  <c r="B5436" i="6"/>
  <c r="D5435" i="6"/>
  <c r="C5435" i="6"/>
  <c r="B5435" i="6"/>
  <c r="D5434" i="6"/>
  <c r="C5434" i="6"/>
  <c r="B5434" i="6"/>
  <c r="V5433" i="6"/>
  <c r="D5433" i="6"/>
  <c r="C5433" i="6"/>
  <c r="B5433" i="6"/>
  <c r="D5432" i="6"/>
  <c r="C5432" i="6"/>
  <c r="B5432" i="6"/>
  <c r="V5431" i="6"/>
  <c r="D5431" i="6"/>
  <c r="C5431" i="6"/>
  <c r="B5431" i="6"/>
  <c r="D5430" i="6"/>
  <c r="C5430" i="6"/>
  <c r="B5430" i="6"/>
  <c r="D5429" i="6"/>
  <c r="C5429" i="6"/>
  <c r="B5429" i="6"/>
  <c r="D5428" i="6"/>
  <c r="C5428" i="6"/>
  <c r="B5428" i="6"/>
  <c r="D5427" i="6"/>
  <c r="C5427" i="6"/>
  <c r="B5427" i="6"/>
  <c r="D5426" i="6"/>
  <c r="C5426" i="6"/>
  <c r="B5426" i="6"/>
  <c r="D5425" i="6"/>
  <c r="C5425" i="6"/>
  <c r="B5425" i="6"/>
  <c r="V5424" i="6"/>
  <c r="D5424" i="6"/>
  <c r="C5424" i="6"/>
  <c r="B5424" i="6"/>
  <c r="D5423" i="6"/>
  <c r="C5423" i="6"/>
  <c r="B5423" i="6"/>
  <c r="D5422" i="6"/>
  <c r="C5422" i="6"/>
  <c r="B5422" i="6"/>
  <c r="D5421" i="6"/>
  <c r="C5421" i="6"/>
  <c r="B5421" i="6"/>
  <c r="D5420" i="6"/>
  <c r="C5420" i="6"/>
  <c r="B5420" i="6"/>
  <c r="D5419" i="6"/>
  <c r="C5419" i="6"/>
  <c r="B5419" i="6"/>
  <c r="D5418" i="6"/>
  <c r="C5418" i="6"/>
  <c r="B5418" i="6"/>
  <c r="D5417" i="6"/>
  <c r="C5417" i="6"/>
  <c r="B5417" i="6"/>
  <c r="D5416" i="6"/>
  <c r="C5416" i="6"/>
  <c r="B5416" i="6"/>
  <c r="D5415" i="6"/>
  <c r="C5415" i="6"/>
  <c r="B5415" i="6"/>
  <c r="D5414" i="6"/>
  <c r="C5414" i="6"/>
  <c r="B5414" i="6"/>
  <c r="D5413" i="6"/>
  <c r="C5413" i="6"/>
  <c r="B5413" i="6"/>
  <c r="D5412" i="6"/>
  <c r="C5412" i="6"/>
  <c r="B5412" i="6"/>
  <c r="D5411" i="6"/>
  <c r="C5411" i="6"/>
  <c r="B5411" i="6"/>
  <c r="D5410" i="6"/>
  <c r="C5410" i="6"/>
  <c r="B5410" i="6"/>
  <c r="D5409" i="6"/>
  <c r="C5409" i="6"/>
  <c r="B5409" i="6"/>
  <c r="V5408" i="6"/>
  <c r="D5408" i="6"/>
  <c r="C5408" i="6"/>
  <c r="B5408" i="6"/>
  <c r="V5407" i="6"/>
  <c r="D5407" i="6"/>
  <c r="C5407" i="6"/>
  <c r="B5407" i="6"/>
  <c r="V5406" i="6"/>
  <c r="D5406" i="6"/>
  <c r="C5406" i="6"/>
  <c r="B5406" i="6"/>
  <c r="D5405" i="6"/>
  <c r="C5405" i="6"/>
  <c r="B5405" i="6"/>
  <c r="D5404" i="6"/>
  <c r="C5404" i="6"/>
  <c r="B5404" i="6"/>
  <c r="D5403" i="6"/>
  <c r="C5403" i="6"/>
  <c r="B5403" i="6"/>
  <c r="D5402" i="6"/>
  <c r="C5402" i="6"/>
  <c r="B5402" i="6"/>
  <c r="D5401" i="6"/>
  <c r="C5401" i="6"/>
  <c r="B5401" i="6"/>
  <c r="D5400" i="6"/>
  <c r="C5400" i="6"/>
  <c r="B5400" i="6"/>
  <c r="D5399" i="6"/>
  <c r="C5399" i="6"/>
  <c r="B5399" i="6"/>
  <c r="D5398" i="6"/>
  <c r="C5398" i="6"/>
  <c r="B5398" i="6"/>
  <c r="D5397" i="6"/>
  <c r="C5397" i="6"/>
  <c r="B5397" i="6"/>
  <c r="D5396" i="6"/>
  <c r="C5396" i="6"/>
  <c r="B5396" i="6"/>
  <c r="D5395" i="6"/>
  <c r="C5395" i="6"/>
  <c r="B5395" i="6"/>
  <c r="D5394" i="6"/>
  <c r="C5394" i="6"/>
  <c r="B5394" i="6"/>
  <c r="V5393" i="6"/>
  <c r="D5393" i="6"/>
  <c r="C5393" i="6"/>
  <c r="B5393" i="6"/>
  <c r="D5392" i="6"/>
  <c r="C5392" i="6"/>
  <c r="B5392" i="6"/>
  <c r="D5391" i="6"/>
  <c r="C5391" i="6"/>
  <c r="B5391" i="6"/>
  <c r="D5390" i="6"/>
  <c r="C5390" i="6"/>
  <c r="B5390" i="6"/>
  <c r="V5389" i="6"/>
  <c r="D5389" i="6"/>
  <c r="C5389" i="6"/>
  <c r="B5389" i="6"/>
  <c r="D5388" i="6"/>
  <c r="C5388" i="6"/>
  <c r="B5388" i="6"/>
  <c r="D5387" i="6"/>
  <c r="C5387" i="6"/>
  <c r="B5387" i="6"/>
  <c r="D5386" i="6"/>
  <c r="C5386" i="6"/>
  <c r="B5386" i="6"/>
  <c r="D5385" i="6"/>
  <c r="C5385" i="6"/>
  <c r="B5385" i="6"/>
  <c r="D5384" i="6"/>
  <c r="C5384" i="6"/>
  <c r="B5384" i="6"/>
  <c r="D5383" i="6"/>
  <c r="C5383" i="6"/>
  <c r="B5383" i="6"/>
  <c r="D5382" i="6"/>
  <c r="C5382" i="6"/>
  <c r="B5382" i="6"/>
  <c r="D5381" i="6"/>
  <c r="C5381" i="6"/>
  <c r="B5381" i="6"/>
  <c r="D5380" i="6"/>
  <c r="C5380" i="6"/>
  <c r="B5380" i="6"/>
  <c r="V5379" i="6"/>
  <c r="D5379" i="6"/>
  <c r="C5379" i="6"/>
  <c r="B5379" i="6"/>
  <c r="D5378" i="6"/>
  <c r="C5378" i="6"/>
  <c r="B5378" i="6"/>
  <c r="D5377" i="6"/>
  <c r="C5377" i="6"/>
  <c r="B5377" i="6"/>
  <c r="D5376" i="6"/>
  <c r="C5376" i="6"/>
  <c r="B5376" i="6"/>
  <c r="D5375" i="6"/>
  <c r="C5375" i="6"/>
  <c r="B5375" i="6"/>
  <c r="D5374" i="6"/>
  <c r="C5374" i="6"/>
  <c r="B5374" i="6"/>
  <c r="D5373" i="6"/>
  <c r="C5373" i="6"/>
  <c r="B5373" i="6"/>
  <c r="D5372" i="6"/>
  <c r="C5372" i="6"/>
  <c r="B5372" i="6"/>
  <c r="D5371" i="6"/>
  <c r="C5371" i="6"/>
  <c r="B5371" i="6"/>
  <c r="D5370" i="6"/>
  <c r="C5370" i="6"/>
  <c r="B5370" i="6"/>
  <c r="D5369" i="6"/>
  <c r="C5369" i="6"/>
  <c r="B5369" i="6"/>
  <c r="D5368" i="6"/>
  <c r="C5368" i="6"/>
  <c r="B5368" i="6"/>
  <c r="D5367" i="6"/>
  <c r="C5367" i="6"/>
  <c r="B5367" i="6"/>
  <c r="D5366" i="6"/>
  <c r="C5366" i="6"/>
  <c r="B5366" i="6"/>
  <c r="D5365" i="6"/>
  <c r="C5365" i="6"/>
  <c r="B5365" i="6"/>
  <c r="D5364" i="6"/>
  <c r="C5364" i="6"/>
  <c r="B5364" i="6"/>
  <c r="D5363" i="6"/>
  <c r="C5363" i="6"/>
  <c r="B5363" i="6"/>
  <c r="D5362" i="6"/>
  <c r="C5362" i="6"/>
  <c r="B5362" i="6"/>
  <c r="D5361" i="6"/>
  <c r="C5361" i="6"/>
  <c r="B5361" i="6"/>
  <c r="D5360" i="6"/>
  <c r="C5360" i="6"/>
  <c r="B5360" i="6"/>
  <c r="D5359" i="6"/>
  <c r="C5359" i="6"/>
  <c r="B5359" i="6"/>
  <c r="D5358" i="6"/>
  <c r="C5358" i="6"/>
  <c r="B5358" i="6"/>
  <c r="D5357" i="6"/>
  <c r="C5357" i="6"/>
  <c r="B5357" i="6"/>
  <c r="D5356" i="6"/>
  <c r="C5356" i="6"/>
  <c r="B5356" i="6"/>
  <c r="D5355" i="6"/>
  <c r="C5355" i="6"/>
  <c r="B5355" i="6"/>
  <c r="D5354" i="6"/>
  <c r="C5354" i="6"/>
  <c r="B5354" i="6"/>
  <c r="D5353" i="6"/>
  <c r="C5353" i="6"/>
  <c r="B5353" i="6"/>
  <c r="V5352" i="6"/>
  <c r="D5352" i="6"/>
  <c r="C5352" i="6"/>
  <c r="B5352" i="6"/>
  <c r="D5351" i="6"/>
  <c r="C5351" i="6"/>
  <c r="B5351" i="6"/>
  <c r="D5350" i="6"/>
  <c r="C5350" i="6"/>
  <c r="B5350" i="6"/>
  <c r="D5349" i="6"/>
  <c r="C5349" i="6"/>
  <c r="B5349" i="6"/>
  <c r="D5348" i="6"/>
  <c r="C5348" i="6"/>
  <c r="B5348" i="6"/>
  <c r="D5347" i="6"/>
  <c r="C5347" i="6"/>
  <c r="B5347" i="6"/>
  <c r="D5346" i="6"/>
  <c r="C5346" i="6"/>
  <c r="B5346" i="6"/>
  <c r="D5345" i="6"/>
  <c r="C5345" i="6"/>
  <c r="B5345" i="6"/>
  <c r="D5344" i="6"/>
  <c r="C5344" i="6"/>
  <c r="B5344" i="6"/>
  <c r="D5343" i="6"/>
  <c r="C5343" i="6"/>
  <c r="B5343" i="6"/>
  <c r="V5342" i="6"/>
  <c r="D5342" i="6"/>
  <c r="C5342" i="6"/>
  <c r="B5342" i="6"/>
  <c r="D5341" i="6"/>
  <c r="C5341" i="6"/>
  <c r="B5341" i="6"/>
  <c r="D5340" i="6"/>
  <c r="C5340" i="6"/>
  <c r="B5340" i="6"/>
  <c r="V5339" i="6"/>
  <c r="D5339" i="6"/>
  <c r="C5339" i="6"/>
  <c r="B5339" i="6"/>
  <c r="D5338" i="6"/>
  <c r="C5338" i="6"/>
  <c r="B5338" i="6"/>
  <c r="D5337" i="6"/>
  <c r="C5337" i="6"/>
  <c r="B5337" i="6"/>
  <c r="D5336" i="6"/>
  <c r="C5336" i="6"/>
  <c r="B5336" i="6"/>
  <c r="D5575" i="6"/>
  <c r="C5575" i="6"/>
  <c r="B5575" i="6"/>
  <c r="D5574" i="6"/>
  <c r="C5574" i="6"/>
  <c r="B5574" i="6"/>
  <c r="D5573" i="6"/>
  <c r="C5573" i="6"/>
  <c r="B5573" i="6"/>
  <c r="D5572" i="6"/>
  <c r="C5572" i="6"/>
  <c r="B5572" i="6"/>
  <c r="D5571" i="6"/>
  <c r="C5571" i="6"/>
  <c r="B5571" i="6"/>
  <c r="D5570" i="6"/>
  <c r="C5570" i="6"/>
  <c r="B5570" i="6"/>
  <c r="D5569" i="6"/>
  <c r="C5569" i="6"/>
  <c r="B5569" i="6"/>
  <c r="V5568" i="6"/>
  <c r="D5568" i="6"/>
  <c r="C5568" i="6"/>
  <c r="B5568" i="6"/>
  <c r="V5567" i="6"/>
  <c r="D5567" i="6"/>
  <c r="C5567" i="6"/>
  <c r="B5567" i="6"/>
  <c r="V5566" i="6"/>
  <c r="D5566" i="6"/>
  <c r="C5566" i="6"/>
  <c r="B5566" i="6"/>
  <c r="D5565" i="6"/>
  <c r="C5565" i="6"/>
  <c r="B5565" i="6"/>
  <c r="D5564" i="6"/>
  <c r="C5564" i="6"/>
  <c r="B5564" i="6"/>
  <c r="D5563" i="6"/>
  <c r="C5563" i="6"/>
  <c r="B5563" i="6"/>
  <c r="V5562" i="6"/>
  <c r="D5562" i="6"/>
  <c r="C5562" i="6"/>
  <c r="B5562" i="6"/>
  <c r="D5561" i="6"/>
  <c r="C5561" i="6"/>
  <c r="B5561" i="6"/>
  <c r="V5560" i="6"/>
  <c r="D5560" i="6"/>
  <c r="C5560" i="6"/>
  <c r="B5560" i="6"/>
  <c r="V5559" i="6"/>
  <c r="D5559" i="6"/>
  <c r="C5559" i="6"/>
  <c r="B5559" i="6"/>
  <c r="D5558" i="6"/>
  <c r="C5558" i="6"/>
  <c r="B5558" i="6"/>
  <c r="D5557" i="6"/>
  <c r="C5557" i="6"/>
  <c r="B5557" i="6"/>
  <c r="V5556" i="6"/>
  <c r="D5556" i="6"/>
  <c r="C5556" i="6"/>
  <c r="B5556" i="6"/>
  <c r="D5555" i="6"/>
  <c r="C5555" i="6"/>
  <c r="B5555" i="6"/>
  <c r="V5554" i="6"/>
  <c r="D5554" i="6"/>
  <c r="C5554" i="6"/>
  <c r="B5554" i="6"/>
  <c r="D5553" i="6"/>
  <c r="C5553" i="6"/>
  <c r="B5553" i="6"/>
  <c r="D5552" i="6"/>
  <c r="C5552" i="6"/>
  <c r="B5552" i="6"/>
  <c r="D5551" i="6"/>
  <c r="C5551" i="6"/>
  <c r="B5551" i="6"/>
  <c r="D5550" i="6"/>
  <c r="C5550" i="6"/>
  <c r="B5550" i="6"/>
  <c r="D5549" i="6"/>
  <c r="C5549" i="6"/>
  <c r="B5549" i="6"/>
  <c r="D5548" i="6"/>
  <c r="C5548" i="6"/>
  <c r="B5548" i="6"/>
  <c r="D5547" i="6"/>
  <c r="C5547" i="6"/>
  <c r="B5547" i="6"/>
  <c r="V5546" i="6"/>
  <c r="D5546" i="6"/>
  <c r="C5546" i="6"/>
  <c r="B5546" i="6"/>
  <c r="V5545" i="6"/>
  <c r="D5545" i="6"/>
  <c r="C5545" i="6"/>
  <c r="B5545" i="6"/>
  <c r="D5544" i="6"/>
  <c r="C5544" i="6"/>
  <c r="B5544" i="6"/>
  <c r="D5543" i="6"/>
  <c r="C5543" i="6"/>
  <c r="B5543" i="6"/>
  <c r="D5542" i="6"/>
  <c r="C5542" i="6"/>
  <c r="B5542" i="6"/>
  <c r="D5541" i="6"/>
  <c r="C5541" i="6"/>
  <c r="B5541" i="6"/>
  <c r="V5540" i="6"/>
  <c r="D5540" i="6"/>
  <c r="C5540" i="6"/>
  <c r="B5540" i="6"/>
  <c r="D5539" i="6"/>
  <c r="C5539" i="6"/>
  <c r="B5539" i="6"/>
  <c r="D5538" i="6"/>
  <c r="C5538" i="6"/>
  <c r="B5538" i="6"/>
  <c r="V5537" i="6"/>
  <c r="D5537" i="6"/>
  <c r="C5537" i="6"/>
  <c r="B5537" i="6"/>
  <c r="V5536" i="6"/>
  <c r="D5536" i="6"/>
  <c r="C5536" i="6"/>
  <c r="B5536" i="6"/>
  <c r="V5535" i="6"/>
  <c r="D5535" i="6"/>
  <c r="C5535" i="6"/>
  <c r="B5535" i="6"/>
  <c r="D5534" i="6"/>
  <c r="C5534" i="6"/>
  <c r="B5534" i="6"/>
  <c r="D5533" i="6"/>
  <c r="C5533" i="6"/>
  <c r="B5533" i="6"/>
  <c r="V5532" i="6"/>
  <c r="D5532" i="6"/>
  <c r="C5532" i="6"/>
  <c r="B5532" i="6"/>
  <c r="D5531" i="6"/>
  <c r="C5531" i="6"/>
  <c r="B5531" i="6"/>
  <c r="D5530" i="6"/>
  <c r="C5530" i="6"/>
  <c r="B5530" i="6"/>
  <c r="D5529" i="6"/>
  <c r="C5529" i="6"/>
  <c r="B5529" i="6"/>
  <c r="D5528" i="6"/>
  <c r="C5528" i="6"/>
  <c r="B5528" i="6"/>
  <c r="V5527" i="6"/>
  <c r="D5527" i="6"/>
  <c r="C5527" i="6"/>
  <c r="B5527" i="6"/>
  <c r="V5526" i="6"/>
  <c r="D5526" i="6"/>
  <c r="C5526" i="6"/>
  <c r="B5526" i="6"/>
  <c r="V5525" i="6"/>
  <c r="D5525" i="6"/>
  <c r="C5525" i="6"/>
  <c r="B5525" i="6"/>
  <c r="D5524" i="6"/>
  <c r="C5524" i="6"/>
  <c r="B5524" i="6"/>
  <c r="V5523" i="6"/>
  <c r="D5523" i="6"/>
  <c r="C5523" i="6"/>
  <c r="B5523" i="6"/>
  <c r="V5522" i="6"/>
  <c r="D5522" i="6"/>
  <c r="C5522" i="6"/>
  <c r="B5522" i="6"/>
  <c r="D5521" i="6"/>
  <c r="C5521" i="6"/>
  <c r="B5521" i="6"/>
  <c r="D5520" i="6"/>
  <c r="C5520" i="6"/>
  <c r="B5520" i="6"/>
  <c r="V5519" i="6"/>
  <c r="D5519" i="6"/>
  <c r="C5519" i="6"/>
  <c r="B5519" i="6"/>
  <c r="V5518" i="6"/>
  <c r="D5518" i="6"/>
  <c r="C5518" i="6"/>
  <c r="B5518" i="6"/>
  <c r="D5517" i="6"/>
  <c r="C5517" i="6"/>
  <c r="B5517" i="6"/>
  <c r="D5516" i="6"/>
  <c r="C5516" i="6"/>
  <c r="B5516" i="6"/>
  <c r="D5515" i="6"/>
  <c r="C5515" i="6"/>
  <c r="B5515" i="6"/>
  <c r="D5514" i="6"/>
  <c r="C5514" i="6"/>
  <c r="B5514" i="6"/>
  <c r="D5513" i="6"/>
  <c r="C5513" i="6"/>
  <c r="B5513" i="6"/>
  <c r="D5512" i="6"/>
  <c r="C5512" i="6"/>
  <c r="B5512" i="6"/>
  <c r="D5511" i="6"/>
  <c r="C5511" i="6"/>
  <c r="B5511" i="6"/>
  <c r="D5510" i="6"/>
  <c r="C5510" i="6"/>
  <c r="B5510" i="6"/>
  <c r="D5509" i="6"/>
  <c r="C5509" i="6"/>
  <c r="B5509" i="6"/>
  <c r="D5508" i="6"/>
  <c r="C5508" i="6"/>
  <c r="B5508" i="6"/>
  <c r="D5507" i="6"/>
  <c r="C5507" i="6"/>
  <c r="B5507" i="6"/>
  <c r="D5506" i="6"/>
  <c r="C5506" i="6"/>
  <c r="B5506" i="6"/>
  <c r="D5505" i="6"/>
  <c r="C5505" i="6"/>
  <c r="B5505" i="6"/>
  <c r="D5504" i="6"/>
  <c r="C5504" i="6"/>
  <c r="B5504" i="6"/>
  <c r="D5503" i="6"/>
  <c r="C5503" i="6"/>
  <c r="B5503" i="6"/>
  <c r="D5502" i="6"/>
  <c r="C5502" i="6"/>
  <c r="B5502" i="6"/>
  <c r="D5501" i="6"/>
  <c r="C5501" i="6"/>
  <c r="B5501" i="6"/>
  <c r="D5500" i="6"/>
  <c r="C5500" i="6"/>
  <c r="B5500" i="6"/>
  <c r="D5499" i="6"/>
  <c r="C5499" i="6"/>
  <c r="B5499" i="6"/>
  <c r="D5498" i="6"/>
  <c r="C5498" i="6"/>
  <c r="B5498" i="6"/>
  <c r="D5497" i="6"/>
  <c r="C5497" i="6"/>
  <c r="B5497" i="6"/>
  <c r="D5496" i="6"/>
  <c r="C5496" i="6"/>
  <c r="B5496" i="6"/>
  <c r="D5615" i="6"/>
  <c r="C5615" i="6"/>
  <c r="B5615" i="6"/>
  <c r="D5614" i="6"/>
  <c r="C5614" i="6"/>
  <c r="B5614" i="6"/>
  <c r="D5613" i="6"/>
  <c r="C5613" i="6"/>
  <c r="B5613" i="6"/>
  <c r="V5612" i="6"/>
  <c r="D5612" i="6"/>
  <c r="C5612" i="6"/>
  <c r="B5612" i="6"/>
  <c r="V5611" i="6"/>
  <c r="D5611" i="6"/>
  <c r="C5611" i="6"/>
  <c r="B5611" i="6"/>
  <c r="D5610" i="6"/>
  <c r="C5610" i="6"/>
  <c r="B5610" i="6"/>
  <c r="V5609" i="6"/>
  <c r="D5609" i="6"/>
  <c r="C5609" i="6"/>
  <c r="B5609" i="6"/>
  <c r="D5608" i="6"/>
  <c r="C5608" i="6"/>
  <c r="B5608" i="6"/>
  <c r="D5607" i="6"/>
  <c r="C5607" i="6"/>
  <c r="B5607" i="6"/>
  <c r="V5606" i="6"/>
  <c r="D5606" i="6"/>
  <c r="C5606" i="6"/>
  <c r="B5606" i="6"/>
  <c r="D5605" i="6"/>
  <c r="C5605" i="6"/>
  <c r="B5605" i="6"/>
  <c r="D5604" i="6"/>
  <c r="C5604" i="6"/>
  <c r="B5604" i="6"/>
  <c r="D5603" i="6"/>
  <c r="C5603" i="6"/>
  <c r="B5603" i="6"/>
  <c r="D5602" i="6"/>
  <c r="C5602" i="6"/>
  <c r="B5602" i="6"/>
  <c r="V5601" i="6"/>
  <c r="D5601" i="6"/>
  <c r="C5601" i="6"/>
  <c r="B5601" i="6"/>
  <c r="V5600" i="6"/>
  <c r="D5600" i="6"/>
  <c r="C5600" i="6"/>
  <c r="B5600" i="6"/>
  <c r="D5599" i="6"/>
  <c r="C5599" i="6"/>
  <c r="B5599" i="6"/>
  <c r="D5598" i="6"/>
  <c r="C5598" i="6"/>
  <c r="B5598" i="6"/>
  <c r="D5597" i="6"/>
  <c r="C5597" i="6"/>
  <c r="B5597" i="6"/>
  <c r="D5596" i="6"/>
  <c r="C5596" i="6"/>
  <c r="B5596" i="6"/>
  <c r="D5595" i="6"/>
  <c r="C5595" i="6"/>
  <c r="B5595" i="6"/>
  <c r="V5594" i="6"/>
  <c r="D5594" i="6"/>
  <c r="C5594" i="6"/>
  <c r="B5594" i="6"/>
  <c r="D5593" i="6"/>
  <c r="C5593" i="6"/>
  <c r="B5593" i="6"/>
  <c r="D5592" i="6"/>
  <c r="C5592" i="6"/>
  <c r="B5592" i="6"/>
  <c r="D5591" i="6"/>
  <c r="C5591" i="6"/>
  <c r="B5591" i="6"/>
  <c r="D5590" i="6"/>
  <c r="C5590" i="6"/>
  <c r="B5590" i="6"/>
  <c r="D5589" i="6"/>
  <c r="C5589" i="6"/>
  <c r="B5589" i="6"/>
  <c r="D5588" i="6"/>
  <c r="C5588" i="6"/>
  <c r="B5588" i="6"/>
  <c r="D5587" i="6"/>
  <c r="C5587" i="6"/>
  <c r="B5587" i="6"/>
  <c r="D5586" i="6"/>
  <c r="C5586" i="6"/>
  <c r="B5586" i="6"/>
  <c r="D5585" i="6"/>
  <c r="C5585" i="6"/>
  <c r="B5585" i="6"/>
  <c r="D5584" i="6"/>
  <c r="C5584" i="6"/>
  <c r="B5584" i="6"/>
  <c r="D5583" i="6"/>
  <c r="C5583" i="6"/>
  <c r="B5583" i="6"/>
  <c r="D5582" i="6"/>
  <c r="C5582" i="6"/>
  <c r="B5582" i="6"/>
  <c r="D5581" i="6"/>
  <c r="C5581" i="6"/>
  <c r="B5581" i="6"/>
  <c r="D5580" i="6"/>
  <c r="C5580" i="6"/>
  <c r="B5580" i="6"/>
  <c r="V5579" i="6"/>
  <c r="D5579" i="6"/>
  <c r="C5579" i="6"/>
  <c r="B5579" i="6"/>
  <c r="D5578" i="6"/>
  <c r="C5578" i="6"/>
  <c r="B5578" i="6"/>
  <c r="V5577" i="6"/>
  <c r="D5577" i="6"/>
  <c r="C5577" i="6"/>
  <c r="B5577" i="6"/>
  <c r="D5576" i="6"/>
  <c r="C5576" i="6"/>
  <c r="B5576" i="6"/>
  <c r="V5635" i="6"/>
  <c r="D5635" i="6"/>
  <c r="C5635" i="6"/>
  <c r="B5635" i="6"/>
  <c r="D5634" i="6"/>
  <c r="C5634" i="6"/>
  <c r="B5634" i="6"/>
  <c r="D5633" i="6"/>
  <c r="C5633" i="6"/>
  <c r="B5633" i="6"/>
  <c r="D5632" i="6"/>
  <c r="C5632" i="6"/>
  <c r="B5632" i="6"/>
  <c r="D5631" i="6"/>
  <c r="C5631" i="6"/>
  <c r="B5631" i="6"/>
  <c r="D5630" i="6"/>
  <c r="C5630" i="6"/>
  <c r="B5630" i="6"/>
  <c r="D5629" i="6"/>
  <c r="C5629" i="6"/>
  <c r="B5629" i="6"/>
  <c r="D5628" i="6"/>
  <c r="C5628" i="6"/>
  <c r="B5628" i="6"/>
  <c r="V5627" i="6"/>
  <c r="D5627" i="6"/>
  <c r="C5627" i="6"/>
  <c r="B5627" i="6"/>
  <c r="V5626" i="6"/>
  <c r="D5626" i="6"/>
  <c r="C5626" i="6"/>
  <c r="B5626" i="6"/>
  <c r="D5625" i="6"/>
  <c r="C5625" i="6"/>
  <c r="B5625" i="6"/>
  <c r="D5624" i="6"/>
  <c r="C5624" i="6"/>
  <c r="B5624" i="6"/>
  <c r="D5623" i="6"/>
  <c r="C5623" i="6"/>
  <c r="B5623" i="6"/>
  <c r="V5622" i="6"/>
  <c r="D5622" i="6"/>
  <c r="C5622" i="6"/>
  <c r="B5622" i="6"/>
  <c r="V5621" i="6"/>
  <c r="D5621" i="6"/>
  <c r="C5621" i="6"/>
  <c r="B5621" i="6"/>
  <c r="D5620" i="6"/>
  <c r="C5620" i="6"/>
  <c r="B5620" i="6"/>
  <c r="D5619" i="6"/>
  <c r="C5619" i="6"/>
  <c r="B5619" i="6"/>
  <c r="V5618" i="6"/>
  <c r="D5618" i="6"/>
  <c r="C5618" i="6"/>
  <c r="B5618" i="6"/>
  <c r="D5617" i="6"/>
  <c r="C5617" i="6"/>
  <c r="B5617" i="6"/>
  <c r="D5616" i="6"/>
  <c r="C5616" i="6"/>
  <c r="B5616" i="6"/>
  <c r="D5645" i="6"/>
  <c r="C5645" i="6"/>
  <c r="B5645" i="6"/>
  <c r="D5644" i="6"/>
  <c r="C5644" i="6"/>
  <c r="B5644" i="6"/>
  <c r="D5643" i="6"/>
  <c r="C5643" i="6"/>
  <c r="B5643" i="6"/>
  <c r="D5642" i="6"/>
  <c r="C5642" i="6"/>
  <c r="B5642" i="6"/>
  <c r="V5641" i="6"/>
  <c r="D5641" i="6"/>
  <c r="C5641" i="6"/>
  <c r="B5641" i="6"/>
  <c r="V5640" i="6"/>
  <c r="D5640" i="6"/>
  <c r="C5640" i="6"/>
  <c r="B5640" i="6"/>
  <c r="V5639" i="6"/>
  <c r="D5639" i="6"/>
  <c r="C5639" i="6"/>
  <c r="B5639" i="6"/>
  <c r="D5638" i="6"/>
  <c r="C5638" i="6"/>
  <c r="B5638" i="6"/>
  <c r="V5637" i="6"/>
  <c r="D5637" i="6"/>
  <c r="C5637" i="6"/>
  <c r="B5637" i="6"/>
  <c r="D5636" i="6"/>
  <c r="C5636" i="6"/>
  <c r="B5636" i="6"/>
  <c r="D5650" i="6"/>
  <c r="C5650" i="6"/>
  <c r="B5650" i="6"/>
  <c r="D5649" i="6"/>
  <c r="C5649" i="6"/>
  <c r="B5649" i="6"/>
  <c r="D5648" i="6"/>
  <c r="C5648" i="6"/>
  <c r="B5648" i="6"/>
  <c r="V5647" i="6"/>
  <c r="D5647" i="6"/>
  <c r="C5647" i="6"/>
  <c r="B5647" i="6"/>
  <c r="D5646" i="6"/>
  <c r="C5646" i="6"/>
  <c r="B5646" i="6"/>
  <c r="A2" i="59"/>
  <c r="F86" i="57"/>
  <c r="A3" i="59"/>
  <c r="A4" i="59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23" i="59"/>
  <c r="A24" i="59"/>
  <c r="A25" i="59"/>
  <c r="A26" i="59"/>
  <c r="A27" i="59"/>
  <c r="A28" i="59"/>
  <c r="A29" i="59"/>
  <c r="A30" i="59"/>
  <c r="A31" i="59"/>
  <c r="A32" i="59"/>
  <c r="A33" i="59"/>
  <c r="A34" i="59"/>
  <c r="A35" i="59"/>
  <c r="A36" i="59"/>
  <c r="A37" i="59"/>
  <c r="A38" i="59"/>
  <c r="A39" i="59"/>
  <c r="A40" i="59"/>
  <c r="A41" i="59"/>
  <c r="A42" i="59"/>
  <c r="A43" i="59"/>
  <c r="A44" i="59"/>
  <c r="A45" i="59"/>
  <c r="A46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64" i="59"/>
  <c r="A65" i="59"/>
  <c r="A66" i="59"/>
  <c r="A67" i="59"/>
  <c r="A68" i="59"/>
  <c r="A69" i="59"/>
  <c r="A70" i="59"/>
  <c r="A71" i="59"/>
  <c r="A72" i="59"/>
  <c r="A73" i="59"/>
  <c r="A74" i="59"/>
  <c r="A75" i="59"/>
  <c r="A76" i="59"/>
  <c r="A77" i="59"/>
  <c r="A78" i="59"/>
  <c r="A79" i="59"/>
  <c r="A80" i="59"/>
  <c r="A81" i="59"/>
  <c r="A82" i="59"/>
  <c r="A83" i="59"/>
  <c r="A84" i="59"/>
  <c r="A85" i="59"/>
  <c r="A86" i="59"/>
  <c r="A87" i="59"/>
  <c r="A88" i="59"/>
  <c r="A89" i="59"/>
  <c r="A90" i="59"/>
  <c r="A91" i="59"/>
  <c r="A92" i="59"/>
  <c r="A93" i="59"/>
  <c r="A94" i="59"/>
  <c r="A95" i="59"/>
  <c r="A96" i="59"/>
  <c r="A97" i="59"/>
  <c r="A98" i="59"/>
  <c r="A99" i="59"/>
  <c r="A100" i="59"/>
  <c r="A101" i="59"/>
  <c r="A102" i="59"/>
  <c r="A103" i="59"/>
  <c r="A104" i="59"/>
  <c r="A105" i="59"/>
  <c r="A106" i="59"/>
  <c r="A107" i="59"/>
  <c r="A108" i="59"/>
  <c r="A109" i="59"/>
  <c r="A110" i="59"/>
  <c r="A111" i="59"/>
  <c r="A112" i="59"/>
  <c r="A113" i="59"/>
  <c r="A114" i="59"/>
  <c r="A115" i="59"/>
  <c r="A116" i="59"/>
  <c r="A117" i="59"/>
  <c r="A118" i="59"/>
  <c r="A119" i="59"/>
  <c r="A120" i="59"/>
  <c r="A121" i="59"/>
  <c r="A122" i="59"/>
  <c r="A123" i="59"/>
  <c r="A124" i="59"/>
  <c r="A125" i="59"/>
  <c r="A126" i="59"/>
  <c r="F183" i="57"/>
  <c r="F150" i="57"/>
  <c r="H797" i="57"/>
  <c r="H805" i="57"/>
  <c r="N722" i="14"/>
  <c r="N721" i="14"/>
  <c r="N720" i="14"/>
  <c r="N719" i="14"/>
  <c r="N718" i="14"/>
  <c r="N717" i="14"/>
  <c r="N716" i="14"/>
  <c r="N715" i="14"/>
  <c r="N714" i="14"/>
  <c r="N713" i="14"/>
  <c r="N712" i="14"/>
  <c r="N711" i="14"/>
  <c r="N728" i="14"/>
  <c r="Q728" i="14"/>
  <c r="N727" i="14"/>
  <c r="Q727" i="14"/>
  <c r="N726" i="14"/>
  <c r="N725" i="14"/>
  <c r="N724" i="14"/>
  <c r="N723" i="14"/>
  <c r="H2562" i="6"/>
  <c r="I2562" i="6"/>
  <c r="D886" i="57"/>
  <c r="D885" i="57"/>
  <c r="D884" i="57"/>
  <c r="D883" i="57"/>
  <c r="D882" i="57"/>
  <c r="D881" i="57"/>
  <c r="D880" i="57"/>
  <c r="D879" i="57"/>
  <c r="D878" i="57"/>
  <c r="D877" i="57"/>
  <c r="D876" i="57"/>
  <c r="D875" i="57"/>
  <c r="D874" i="57"/>
  <c r="D873" i="57"/>
  <c r="D872" i="57"/>
  <c r="D871" i="57"/>
  <c r="D870" i="57"/>
  <c r="D869" i="57"/>
  <c r="D868" i="57"/>
  <c r="D867" i="57"/>
  <c r="D866" i="57"/>
  <c r="D865" i="57"/>
  <c r="D864" i="57"/>
  <c r="D863" i="57"/>
  <c r="D862" i="57"/>
  <c r="D861" i="57"/>
  <c r="D860" i="57"/>
  <c r="D859" i="57"/>
  <c r="D858" i="57"/>
  <c r="D857" i="57"/>
  <c r="D856" i="57"/>
  <c r="D855" i="57"/>
  <c r="D854" i="57"/>
  <c r="D853" i="57"/>
  <c r="D852" i="57"/>
  <c r="D851" i="57"/>
  <c r="D850" i="57"/>
  <c r="D849" i="57"/>
  <c r="D848" i="57"/>
  <c r="D847" i="57"/>
  <c r="D846" i="57"/>
  <c r="D845" i="57"/>
  <c r="D844" i="57"/>
  <c r="D843" i="57"/>
  <c r="D842" i="57"/>
  <c r="D841" i="57"/>
  <c r="D840" i="57"/>
  <c r="D839" i="57"/>
  <c r="D838" i="57"/>
  <c r="D837" i="57"/>
  <c r="D836" i="57"/>
  <c r="D835" i="57"/>
  <c r="D834" i="57"/>
  <c r="D833" i="57"/>
  <c r="D832" i="57"/>
  <c r="D831" i="57"/>
  <c r="D830" i="57"/>
  <c r="D829" i="57"/>
  <c r="D828" i="57"/>
  <c r="D827" i="57"/>
  <c r="D826" i="57"/>
  <c r="D825" i="57"/>
  <c r="D824" i="57"/>
  <c r="D823" i="57"/>
  <c r="D822" i="57"/>
  <c r="D821" i="57"/>
  <c r="D820" i="57"/>
  <c r="D819" i="57"/>
  <c r="K819" i="57"/>
  <c r="D818" i="57"/>
  <c r="D816" i="57"/>
  <c r="D817" i="57"/>
  <c r="D815" i="57"/>
  <c r="D814" i="57"/>
  <c r="D813" i="57"/>
  <c r="D812" i="57"/>
  <c r="D811" i="57"/>
  <c r="D810" i="57"/>
  <c r="D809" i="57"/>
  <c r="D808" i="57"/>
  <c r="D798" i="57"/>
  <c r="D800" i="57"/>
  <c r="D797" i="57"/>
  <c r="D804" i="57"/>
  <c r="D806" i="57"/>
  <c r="D802" i="57"/>
  <c r="D805" i="57"/>
  <c r="D801" i="57"/>
  <c r="D799" i="57"/>
  <c r="D803" i="57"/>
  <c r="D807" i="57"/>
  <c r="D790" i="57"/>
  <c r="D789" i="57"/>
  <c r="D794" i="57"/>
  <c r="D788" i="57"/>
  <c r="D791" i="57"/>
  <c r="D792" i="57"/>
  <c r="D796" i="57"/>
  <c r="D795" i="57"/>
  <c r="D793" i="57"/>
  <c r="D786" i="57"/>
  <c r="D785" i="57"/>
  <c r="D784" i="57"/>
  <c r="D783" i="57"/>
  <c r="D782" i="57"/>
  <c r="D781" i="57"/>
  <c r="D780" i="57"/>
  <c r="D779" i="57"/>
  <c r="D778" i="57"/>
  <c r="D777" i="57"/>
  <c r="D776" i="57"/>
  <c r="D775" i="57"/>
  <c r="D774" i="57"/>
  <c r="D773" i="57"/>
  <c r="D772" i="57"/>
  <c r="D771" i="57"/>
  <c r="D770" i="57"/>
  <c r="D769" i="57"/>
  <c r="D768" i="57"/>
  <c r="D767" i="57"/>
  <c r="D766" i="57"/>
  <c r="D765" i="57"/>
  <c r="D764" i="57"/>
  <c r="D763" i="57"/>
  <c r="D762" i="57"/>
  <c r="D761" i="57"/>
  <c r="D760" i="57"/>
  <c r="D759" i="57"/>
  <c r="D758" i="57"/>
  <c r="D757" i="57"/>
  <c r="D756" i="57"/>
  <c r="D755" i="57"/>
  <c r="D754" i="57"/>
  <c r="D753" i="57"/>
  <c r="D752" i="57"/>
  <c r="D751" i="57"/>
  <c r="D750" i="57"/>
  <c r="D749" i="57"/>
  <c r="D748" i="57"/>
  <c r="D747" i="57"/>
  <c r="D746" i="57"/>
  <c r="D745" i="57"/>
  <c r="D744" i="57"/>
  <c r="D743" i="57"/>
  <c r="D742" i="57"/>
  <c r="D741" i="57"/>
  <c r="D740" i="57"/>
  <c r="D739" i="57"/>
  <c r="D738" i="57"/>
  <c r="D737" i="57"/>
  <c r="D736" i="57"/>
  <c r="D735" i="57"/>
  <c r="D734" i="57"/>
  <c r="D733" i="57"/>
  <c r="D732" i="57"/>
  <c r="D731" i="57"/>
  <c r="D730" i="57"/>
  <c r="D729" i="57"/>
  <c r="D728" i="57"/>
  <c r="D727" i="57"/>
  <c r="D726" i="57"/>
  <c r="D725" i="57"/>
  <c r="D724" i="57"/>
  <c r="D723" i="57"/>
  <c r="D722" i="57"/>
  <c r="D721" i="57"/>
  <c r="D720" i="57"/>
  <c r="D719" i="57"/>
  <c r="D718" i="57"/>
  <c r="D717" i="57"/>
  <c r="D716" i="57"/>
  <c r="D715" i="57"/>
  <c r="D714" i="57"/>
  <c r="D713" i="57"/>
  <c r="D712" i="57"/>
  <c r="D711" i="57"/>
  <c r="D710" i="57"/>
  <c r="D709" i="57"/>
  <c r="D708" i="57"/>
  <c r="D707" i="57"/>
  <c r="D706" i="57"/>
  <c r="D705" i="57"/>
  <c r="D704" i="57"/>
  <c r="D703" i="57"/>
  <c r="D702" i="57"/>
  <c r="D701" i="57"/>
  <c r="D700" i="57"/>
  <c r="D699" i="57"/>
  <c r="D698" i="57"/>
  <c r="D697" i="57"/>
  <c r="D696" i="57"/>
  <c r="D695" i="57"/>
  <c r="D694" i="57"/>
  <c r="D693" i="57"/>
  <c r="D692" i="57"/>
  <c r="D691" i="57"/>
  <c r="D690" i="57"/>
  <c r="D689" i="57"/>
  <c r="D688" i="57"/>
  <c r="D687" i="57"/>
  <c r="D686" i="57"/>
  <c r="D685" i="57"/>
  <c r="D684" i="57"/>
  <c r="D683" i="57"/>
  <c r="D682" i="57"/>
  <c r="D681" i="57"/>
  <c r="D680" i="57"/>
  <c r="D679" i="57"/>
  <c r="D678" i="57"/>
  <c r="D677" i="57"/>
  <c r="D676" i="57"/>
  <c r="D675" i="57"/>
  <c r="D674" i="57"/>
  <c r="D673" i="57"/>
  <c r="D672" i="57"/>
  <c r="D671" i="57"/>
  <c r="D670" i="57"/>
  <c r="D669" i="57"/>
  <c r="D668" i="57"/>
  <c r="D667" i="57"/>
  <c r="D666" i="57"/>
  <c r="D665" i="57"/>
  <c r="D664" i="57"/>
  <c r="D663" i="57"/>
  <c r="D662" i="57"/>
  <c r="D661" i="57"/>
  <c r="D660" i="57"/>
  <c r="D659" i="57"/>
  <c r="D658" i="57"/>
  <c r="D657" i="57"/>
  <c r="D656" i="57"/>
  <c r="D655" i="57"/>
  <c r="D654" i="57"/>
  <c r="D653" i="57"/>
  <c r="D652" i="57"/>
  <c r="D651" i="57"/>
  <c r="D650" i="57"/>
  <c r="D649" i="57"/>
  <c r="D648" i="57"/>
  <c r="D647" i="57"/>
  <c r="D646" i="57"/>
  <c r="D645" i="57"/>
  <c r="D644" i="57"/>
  <c r="D643" i="57"/>
  <c r="D642" i="57"/>
  <c r="D641" i="57"/>
  <c r="D640" i="57"/>
  <c r="D639" i="57"/>
  <c r="D638" i="57"/>
  <c r="D637" i="57"/>
  <c r="D636" i="57"/>
  <c r="D635" i="57"/>
  <c r="D634" i="57"/>
  <c r="D633" i="57"/>
  <c r="D632" i="57"/>
  <c r="D631" i="57"/>
  <c r="D630" i="57"/>
  <c r="D629" i="57"/>
  <c r="D628" i="57"/>
  <c r="D627" i="57"/>
  <c r="D626" i="57"/>
  <c r="D625" i="57"/>
  <c r="D624" i="57"/>
  <c r="D623" i="57"/>
  <c r="D622" i="57"/>
  <c r="D621" i="57"/>
  <c r="D620" i="57"/>
  <c r="D619" i="57"/>
  <c r="D618" i="57"/>
  <c r="D617" i="57"/>
  <c r="D616" i="57"/>
  <c r="D615" i="57"/>
  <c r="D614" i="57"/>
  <c r="D613" i="57"/>
  <c r="D612" i="57"/>
  <c r="D611" i="57"/>
  <c r="D610" i="57"/>
  <c r="D609" i="57"/>
  <c r="D608" i="57"/>
  <c r="D607" i="57"/>
  <c r="D606" i="57"/>
  <c r="D605" i="57"/>
  <c r="D604" i="57"/>
  <c r="D603" i="57"/>
  <c r="D602" i="57"/>
  <c r="D601" i="57"/>
  <c r="D600" i="57"/>
  <c r="D599" i="57"/>
  <c r="D598" i="57"/>
  <c r="D597" i="57"/>
  <c r="D596" i="57"/>
  <c r="D595" i="57"/>
  <c r="D594" i="57"/>
  <c r="D593" i="57"/>
  <c r="D592" i="57"/>
  <c r="D591" i="57"/>
  <c r="D590" i="57"/>
  <c r="D589" i="57"/>
  <c r="D588" i="57"/>
  <c r="D587" i="57"/>
  <c r="D586" i="57"/>
  <c r="D585" i="57"/>
  <c r="D584" i="57"/>
  <c r="D583" i="57"/>
  <c r="D582" i="57"/>
  <c r="D581" i="57"/>
  <c r="D580" i="57"/>
  <c r="D579" i="57"/>
  <c r="D578" i="57"/>
  <c r="D577" i="57"/>
  <c r="D576" i="57"/>
  <c r="D575" i="57"/>
  <c r="D574" i="57"/>
  <c r="D573" i="57"/>
  <c r="D572" i="57"/>
  <c r="D571" i="57"/>
  <c r="D570" i="57"/>
  <c r="D569" i="57"/>
  <c r="D568" i="57"/>
  <c r="D567" i="57"/>
  <c r="D566" i="57"/>
  <c r="D565" i="57"/>
  <c r="D564" i="57"/>
  <c r="D563" i="57"/>
  <c r="D562" i="57"/>
  <c r="D561" i="57"/>
  <c r="D560" i="57"/>
  <c r="D559" i="57"/>
  <c r="D558" i="57"/>
  <c r="D557" i="57"/>
  <c r="D556" i="57"/>
  <c r="D555" i="57"/>
  <c r="D554" i="57"/>
  <c r="D553" i="57"/>
  <c r="D552" i="57"/>
  <c r="D551" i="57"/>
  <c r="D550" i="57"/>
  <c r="D549" i="57"/>
  <c r="D548" i="57"/>
  <c r="D547" i="57"/>
  <c r="D546" i="57"/>
  <c r="D545" i="57"/>
  <c r="D544" i="57"/>
  <c r="D543" i="57"/>
  <c r="D542" i="57"/>
  <c r="D541" i="57"/>
  <c r="D540" i="57"/>
  <c r="D539" i="57"/>
  <c r="D538" i="57"/>
  <c r="D537" i="57"/>
  <c r="D536" i="57"/>
  <c r="D535" i="57"/>
  <c r="D534" i="57"/>
  <c r="D533" i="57"/>
  <c r="D532" i="57"/>
  <c r="D531" i="57"/>
  <c r="D530" i="57"/>
  <c r="D529" i="57"/>
  <c r="D528" i="57"/>
  <c r="D527" i="57"/>
  <c r="D526" i="57"/>
  <c r="D525" i="57"/>
  <c r="D524" i="57"/>
  <c r="D523" i="57"/>
  <c r="D522" i="57"/>
  <c r="D521" i="57"/>
  <c r="D520" i="57"/>
  <c r="D519" i="57"/>
  <c r="D518" i="57"/>
  <c r="D517" i="57"/>
  <c r="D516" i="57"/>
  <c r="D515" i="57"/>
  <c r="D514" i="57"/>
  <c r="D513" i="57"/>
  <c r="D512" i="57"/>
  <c r="D511" i="57"/>
  <c r="D510" i="57"/>
  <c r="D509" i="57"/>
  <c r="D508" i="57"/>
  <c r="D507" i="57"/>
  <c r="D506" i="57"/>
  <c r="D505" i="57"/>
  <c r="D504" i="57"/>
  <c r="D503" i="57"/>
  <c r="D502" i="57"/>
  <c r="D501" i="57"/>
  <c r="D500" i="57"/>
  <c r="D499" i="57"/>
  <c r="D498" i="57"/>
  <c r="D497" i="57"/>
  <c r="D496" i="57"/>
  <c r="D495" i="57"/>
  <c r="D494" i="57"/>
  <c r="D493" i="57"/>
  <c r="D492" i="57"/>
  <c r="D491" i="57"/>
  <c r="D490" i="57"/>
  <c r="D489" i="57"/>
  <c r="D488" i="57"/>
  <c r="D487" i="57"/>
  <c r="D486" i="57"/>
  <c r="D485" i="57"/>
  <c r="D484" i="57"/>
  <c r="D483" i="57"/>
  <c r="D482" i="57"/>
  <c r="D481" i="57"/>
  <c r="D480" i="57"/>
  <c r="D479" i="57"/>
  <c r="D478" i="57"/>
  <c r="D477" i="57"/>
  <c r="D476" i="57"/>
  <c r="D475" i="57"/>
  <c r="D474" i="57"/>
  <c r="D473" i="57"/>
  <c r="D472" i="57"/>
  <c r="D471" i="57"/>
  <c r="D470" i="57"/>
  <c r="D469" i="57"/>
  <c r="D468" i="57"/>
  <c r="D467" i="57"/>
  <c r="D466" i="57"/>
  <c r="D465" i="57"/>
  <c r="D464" i="57"/>
  <c r="D463" i="57"/>
  <c r="D462" i="57"/>
  <c r="D461" i="57"/>
  <c r="D460" i="57"/>
  <c r="D459" i="57"/>
  <c r="D458" i="57"/>
  <c r="D457" i="57"/>
  <c r="D456" i="57"/>
  <c r="D455" i="57"/>
  <c r="D454" i="57"/>
  <c r="D453" i="57"/>
  <c r="D452" i="57"/>
  <c r="D451" i="57"/>
  <c r="D450" i="57"/>
  <c r="D449" i="57"/>
  <c r="D448" i="57"/>
  <c r="D447" i="57"/>
  <c r="D446" i="57"/>
  <c r="D445" i="57"/>
  <c r="D444" i="57"/>
  <c r="D443" i="57"/>
  <c r="D442" i="57"/>
  <c r="D441" i="57"/>
  <c r="D440" i="57"/>
  <c r="D439" i="57"/>
  <c r="D438" i="57"/>
  <c r="D437" i="57"/>
  <c r="D436" i="57"/>
  <c r="D435" i="57"/>
  <c r="D434" i="57"/>
  <c r="D433" i="57"/>
  <c r="D432" i="57"/>
  <c r="D431" i="57"/>
  <c r="D430" i="57"/>
  <c r="D429" i="57"/>
  <c r="D428" i="57"/>
  <c r="D427" i="57"/>
  <c r="D426" i="57"/>
  <c r="D425" i="57"/>
  <c r="D424" i="57"/>
  <c r="D423" i="57"/>
  <c r="D422" i="57"/>
  <c r="D421" i="57"/>
  <c r="D420" i="57"/>
  <c r="D419" i="57"/>
  <c r="D418" i="57"/>
  <c r="D417" i="57"/>
  <c r="D416" i="57"/>
  <c r="D415" i="57"/>
  <c r="D414" i="57"/>
  <c r="D413" i="57"/>
  <c r="D412" i="57"/>
  <c r="D411" i="57"/>
  <c r="D410" i="57"/>
  <c r="D409" i="57"/>
  <c r="D408" i="57"/>
  <c r="D407" i="57"/>
  <c r="D406" i="57"/>
  <c r="D405" i="57"/>
  <c r="D404" i="57"/>
  <c r="D403" i="57"/>
  <c r="D402" i="57"/>
  <c r="D401" i="57"/>
  <c r="D400" i="57"/>
  <c r="D399" i="57"/>
  <c r="D398" i="57"/>
  <c r="D397" i="57"/>
  <c r="D396" i="57"/>
  <c r="D395" i="57"/>
  <c r="D394" i="57"/>
  <c r="D393" i="57"/>
  <c r="D392" i="57"/>
  <c r="D391" i="57"/>
  <c r="D390" i="57"/>
  <c r="D389" i="57"/>
  <c r="D388" i="57"/>
  <c r="D387" i="57"/>
  <c r="D386" i="57"/>
  <c r="D385" i="57"/>
  <c r="D384" i="57"/>
  <c r="D383" i="57"/>
  <c r="D382" i="57"/>
  <c r="D381" i="57"/>
  <c r="D380" i="57"/>
  <c r="D379" i="57"/>
  <c r="D378" i="57"/>
  <c r="D377" i="57"/>
  <c r="D376" i="57"/>
  <c r="D375" i="57"/>
  <c r="D374" i="57"/>
  <c r="D373" i="57"/>
  <c r="D372" i="57"/>
  <c r="D371" i="57"/>
  <c r="D370" i="57"/>
  <c r="D369" i="57"/>
  <c r="D368" i="57"/>
  <c r="D367" i="57"/>
  <c r="D366" i="57"/>
  <c r="D365" i="57"/>
  <c r="D364" i="57"/>
  <c r="D363" i="57"/>
  <c r="D362" i="57"/>
  <c r="D361" i="57"/>
  <c r="D360" i="57"/>
  <c r="D359" i="57"/>
  <c r="D358" i="57"/>
  <c r="D357" i="57"/>
  <c r="D356" i="57"/>
  <c r="D355" i="57"/>
  <c r="D354" i="57"/>
  <c r="D353" i="57"/>
  <c r="D352" i="57"/>
  <c r="D351" i="57"/>
  <c r="D350" i="57"/>
  <c r="D349" i="57"/>
  <c r="D348" i="57"/>
  <c r="D347" i="57"/>
  <c r="D346" i="57"/>
  <c r="D345" i="57"/>
  <c r="D344" i="57"/>
  <c r="D343" i="57"/>
  <c r="D342" i="57"/>
  <c r="D341" i="57"/>
  <c r="D340" i="57"/>
  <c r="D339" i="57"/>
  <c r="D338" i="57"/>
  <c r="D337" i="57"/>
  <c r="D336" i="57"/>
  <c r="D335" i="57"/>
  <c r="D334" i="57"/>
  <c r="D333" i="57"/>
  <c r="D332" i="57"/>
  <c r="D331" i="57"/>
  <c r="D330" i="57"/>
  <c r="D329" i="57"/>
  <c r="D328" i="57"/>
  <c r="D327" i="57"/>
  <c r="D326" i="57"/>
  <c r="D325" i="57"/>
  <c r="D324" i="57"/>
  <c r="D323" i="57"/>
  <c r="D322" i="57"/>
  <c r="D321" i="57"/>
  <c r="D320" i="57"/>
  <c r="D319" i="57"/>
  <c r="D318" i="57"/>
  <c r="D317" i="57"/>
  <c r="D316" i="57"/>
  <c r="D315" i="57"/>
  <c r="D314" i="57"/>
  <c r="D313" i="57"/>
  <c r="D312" i="57"/>
  <c r="D311" i="57"/>
  <c r="D310" i="57"/>
  <c r="D309" i="57"/>
  <c r="D308" i="57"/>
  <c r="D307" i="57"/>
  <c r="D306" i="57"/>
  <c r="D305" i="57"/>
  <c r="D304" i="57"/>
  <c r="D303" i="57"/>
  <c r="D302" i="57"/>
  <c r="D301" i="57"/>
  <c r="D300" i="57"/>
  <c r="D299" i="57"/>
  <c r="D298" i="57"/>
  <c r="D297" i="57"/>
  <c r="D296" i="57"/>
  <c r="D295" i="57"/>
  <c r="D294" i="57"/>
  <c r="D293" i="57"/>
  <c r="D292" i="57"/>
  <c r="D291" i="57"/>
  <c r="D290" i="57"/>
  <c r="D289" i="57"/>
  <c r="D288" i="57"/>
  <c r="D287" i="57"/>
  <c r="D286" i="57"/>
  <c r="D285" i="57"/>
  <c r="D284" i="57"/>
  <c r="D283" i="57"/>
  <c r="D282" i="57"/>
  <c r="D281" i="57"/>
  <c r="D280" i="57"/>
  <c r="D279" i="57"/>
  <c r="D278" i="57"/>
  <c r="D277" i="57"/>
  <c r="D276" i="57"/>
  <c r="D275" i="57"/>
  <c r="D274" i="57"/>
  <c r="D273" i="57"/>
  <c r="D272" i="57"/>
  <c r="D271" i="57"/>
  <c r="D270" i="57"/>
  <c r="D269" i="57"/>
  <c r="D268" i="57"/>
  <c r="D267" i="57"/>
  <c r="D266" i="57"/>
  <c r="D265" i="57"/>
  <c r="D264" i="57"/>
  <c r="D263" i="57"/>
  <c r="D262" i="57"/>
  <c r="D261" i="57"/>
  <c r="D260" i="57"/>
  <c r="D259" i="57"/>
  <c r="D258" i="57"/>
  <c r="D257" i="57"/>
  <c r="D256" i="57"/>
  <c r="D255" i="57"/>
  <c r="D254" i="57"/>
  <c r="D253" i="57"/>
  <c r="D252" i="57"/>
  <c r="D251" i="57"/>
  <c r="D250" i="57"/>
  <c r="D249" i="57"/>
  <c r="D248" i="57"/>
  <c r="D247" i="57"/>
  <c r="D246" i="57"/>
  <c r="D245" i="57"/>
  <c r="D244" i="57"/>
  <c r="D243" i="57"/>
  <c r="D242" i="57"/>
  <c r="D241" i="57"/>
  <c r="D240" i="57"/>
  <c r="D239" i="57"/>
  <c r="D238" i="57"/>
  <c r="D237" i="57"/>
  <c r="D236" i="57"/>
  <c r="D235" i="57"/>
  <c r="D234" i="57"/>
  <c r="D233" i="57"/>
  <c r="D232" i="57"/>
  <c r="D231" i="57"/>
  <c r="D230" i="57"/>
  <c r="D229" i="57"/>
  <c r="D228" i="57"/>
  <c r="D227" i="57"/>
  <c r="D226" i="57"/>
  <c r="D225" i="57"/>
  <c r="D224" i="57"/>
  <c r="D223" i="57"/>
  <c r="D222" i="57"/>
  <c r="D221" i="57"/>
  <c r="D220" i="57"/>
  <c r="D219" i="57"/>
  <c r="D218" i="57"/>
  <c r="D217" i="57"/>
  <c r="D216" i="57"/>
  <c r="D215" i="57"/>
  <c r="D214" i="57"/>
  <c r="D213" i="57"/>
  <c r="D212" i="57"/>
  <c r="D211" i="57"/>
  <c r="D210" i="57"/>
  <c r="D209" i="57"/>
  <c r="D208" i="57"/>
  <c r="D207" i="57"/>
  <c r="D206" i="57"/>
  <c r="D205" i="57"/>
  <c r="D204" i="57"/>
  <c r="D203" i="57"/>
  <c r="D202" i="57"/>
  <c r="D201" i="57"/>
  <c r="D200" i="57"/>
  <c r="D199" i="57"/>
  <c r="D198" i="57"/>
  <c r="D197" i="57"/>
  <c r="D196" i="57"/>
  <c r="D195" i="57"/>
  <c r="D194" i="57"/>
  <c r="D193" i="57"/>
  <c r="D192" i="57"/>
  <c r="D191" i="57"/>
  <c r="D190" i="57"/>
  <c r="D189" i="57"/>
  <c r="D188" i="57"/>
  <c r="D187" i="57"/>
  <c r="D186" i="57"/>
  <c r="D185" i="57"/>
  <c r="D184" i="57"/>
  <c r="D183" i="57"/>
  <c r="D182" i="57"/>
  <c r="D181" i="57"/>
  <c r="D180" i="57"/>
  <c r="D179" i="57"/>
  <c r="D178" i="57"/>
  <c r="D177" i="57"/>
  <c r="D176" i="57"/>
  <c r="D175" i="57"/>
  <c r="D174" i="57"/>
  <c r="D173" i="57"/>
  <c r="D172" i="57"/>
  <c r="D171" i="57"/>
  <c r="D170" i="57"/>
  <c r="D169" i="57"/>
  <c r="D168" i="57"/>
  <c r="D167" i="57"/>
  <c r="D166" i="57"/>
  <c r="D165" i="57"/>
  <c r="D164" i="57"/>
  <c r="D163" i="57"/>
  <c r="D162" i="57"/>
  <c r="D161" i="57"/>
  <c r="D160" i="57"/>
  <c r="D159" i="57"/>
  <c r="D158" i="57"/>
  <c r="D157" i="57"/>
  <c r="D156" i="57"/>
  <c r="D155" i="57"/>
  <c r="D154" i="57"/>
  <c r="D153" i="57"/>
  <c r="D152" i="57"/>
  <c r="D151" i="57"/>
  <c r="D150" i="57"/>
  <c r="D149" i="57"/>
  <c r="D148" i="57"/>
  <c r="D147" i="57"/>
  <c r="D146" i="57"/>
  <c r="D145" i="57"/>
  <c r="D144" i="57"/>
  <c r="D143" i="57"/>
  <c r="D142" i="57"/>
  <c r="D141" i="57"/>
  <c r="D140" i="57"/>
  <c r="D139" i="57"/>
  <c r="D138" i="57"/>
  <c r="D137" i="57"/>
  <c r="D136" i="57"/>
  <c r="D135" i="57"/>
  <c r="D134" i="57"/>
  <c r="D133" i="57"/>
  <c r="D132" i="57"/>
  <c r="D131" i="57"/>
  <c r="D130" i="57"/>
  <c r="D129" i="57"/>
  <c r="D128" i="57"/>
  <c r="D127" i="57"/>
  <c r="D126" i="57"/>
  <c r="D125" i="57"/>
  <c r="D124" i="57"/>
  <c r="D123" i="57"/>
  <c r="D122" i="57"/>
  <c r="D121" i="57"/>
  <c r="D120" i="57"/>
  <c r="D119" i="57"/>
  <c r="D118" i="57"/>
  <c r="D117" i="57"/>
  <c r="D116" i="57"/>
  <c r="D115" i="57"/>
  <c r="D114" i="57"/>
  <c r="D113" i="57"/>
  <c r="D112" i="57"/>
  <c r="D111" i="57"/>
  <c r="D110" i="57"/>
  <c r="D109" i="57"/>
  <c r="D108" i="57"/>
  <c r="D107" i="57"/>
  <c r="D106" i="57"/>
  <c r="D105" i="57"/>
  <c r="D104" i="57"/>
  <c r="D103" i="57"/>
  <c r="D102" i="57"/>
  <c r="D101" i="57"/>
  <c r="D100" i="57"/>
  <c r="D99" i="57"/>
  <c r="D98" i="57"/>
  <c r="D97" i="57"/>
  <c r="D96" i="57"/>
  <c r="D95" i="57"/>
  <c r="D9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D80" i="57"/>
  <c r="D79" i="57"/>
  <c r="D78" i="57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4" i="57"/>
  <c r="D3" i="57"/>
  <c r="D2" i="57"/>
  <c r="D787" i="57"/>
  <c r="D5260" i="6"/>
  <c r="C5260" i="6"/>
  <c r="B5260" i="6"/>
  <c r="D5259" i="6"/>
  <c r="C5259" i="6"/>
  <c r="B5259" i="6"/>
  <c r="D5258" i="6"/>
  <c r="C5258" i="6"/>
  <c r="B5258" i="6"/>
  <c r="V5257" i="6"/>
  <c r="D5257" i="6"/>
  <c r="C5257" i="6"/>
  <c r="B5257" i="6"/>
  <c r="D5256" i="6"/>
  <c r="C5256" i="6"/>
  <c r="B5256" i="6"/>
  <c r="D5255" i="6"/>
  <c r="C5255" i="6"/>
  <c r="B5255" i="6"/>
  <c r="V5254" i="6"/>
  <c r="D5254" i="6"/>
  <c r="C5254" i="6"/>
  <c r="B5254" i="6"/>
  <c r="D5253" i="6"/>
  <c r="C5253" i="6"/>
  <c r="B5253" i="6"/>
  <c r="D5252" i="6"/>
  <c r="C5252" i="6"/>
  <c r="B5252" i="6"/>
  <c r="V5251" i="6"/>
  <c r="D5251" i="6"/>
  <c r="C5251" i="6"/>
  <c r="B5251" i="6"/>
  <c r="D5250" i="6"/>
  <c r="C5250" i="6"/>
  <c r="B5250" i="6"/>
  <c r="D5249" i="6"/>
  <c r="C5249" i="6"/>
  <c r="B5249" i="6"/>
  <c r="D5248" i="6"/>
  <c r="C5248" i="6"/>
  <c r="B5248" i="6"/>
  <c r="D5247" i="6"/>
  <c r="C5247" i="6"/>
  <c r="B5247" i="6"/>
  <c r="V5246" i="6"/>
  <c r="D5246" i="6"/>
  <c r="C5246" i="6"/>
  <c r="B5246" i="6"/>
  <c r="D5245" i="6"/>
  <c r="C5245" i="6"/>
  <c r="B5245" i="6"/>
  <c r="D5244" i="6"/>
  <c r="C5244" i="6"/>
  <c r="B5244" i="6"/>
  <c r="D5243" i="6"/>
  <c r="C5243" i="6"/>
  <c r="B5243" i="6"/>
  <c r="D5242" i="6"/>
  <c r="C5242" i="6"/>
  <c r="B5242" i="6"/>
  <c r="D5241" i="6"/>
  <c r="C5241" i="6"/>
  <c r="B5241" i="6"/>
  <c r="D5240" i="6"/>
  <c r="C5240" i="6"/>
  <c r="B5240" i="6"/>
  <c r="D5239" i="6"/>
  <c r="C5239" i="6"/>
  <c r="B5239" i="6"/>
  <c r="D5238" i="6"/>
  <c r="C5238" i="6"/>
  <c r="B5238" i="6"/>
  <c r="D5237" i="6"/>
  <c r="C5237" i="6"/>
  <c r="B5237" i="6"/>
  <c r="D5236" i="6"/>
  <c r="C5236" i="6"/>
  <c r="B5236" i="6"/>
  <c r="D5235" i="6"/>
  <c r="C5235" i="6"/>
  <c r="B5235" i="6"/>
  <c r="V5234" i="6"/>
  <c r="D5234" i="6"/>
  <c r="C5234" i="6"/>
  <c r="B5234" i="6"/>
  <c r="D5233" i="6"/>
  <c r="C5233" i="6"/>
  <c r="B5233" i="6"/>
  <c r="V5232" i="6"/>
  <c r="D5232" i="6"/>
  <c r="C5232" i="6"/>
  <c r="B5232" i="6"/>
  <c r="D5231" i="6"/>
  <c r="C5231" i="6"/>
  <c r="B5231" i="6"/>
  <c r="D5230" i="6"/>
  <c r="C5230" i="6"/>
  <c r="B5230" i="6"/>
  <c r="D5229" i="6"/>
  <c r="C5229" i="6"/>
  <c r="B5229" i="6"/>
  <c r="D5228" i="6"/>
  <c r="C5228" i="6"/>
  <c r="B5228" i="6"/>
  <c r="D5227" i="6"/>
  <c r="C5227" i="6"/>
  <c r="B5227" i="6"/>
  <c r="D5226" i="6"/>
  <c r="C5226" i="6"/>
  <c r="B5226" i="6"/>
  <c r="D5225" i="6"/>
  <c r="C5225" i="6"/>
  <c r="B5225" i="6"/>
  <c r="D5224" i="6"/>
  <c r="C5224" i="6"/>
  <c r="B5224" i="6"/>
  <c r="D5223" i="6"/>
  <c r="C5223" i="6"/>
  <c r="B5223" i="6"/>
  <c r="D5222" i="6"/>
  <c r="C5222" i="6"/>
  <c r="B5222" i="6"/>
  <c r="D5221" i="6"/>
  <c r="C5221" i="6"/>
  <c r="B5221" i="6"/>
  <c r="V5220" i="6"/>
  <c r="D5220" i="6"/>
  <c r="C5220" i="6"/>
  <c r="B5220" i="6"/>
  <c r="D5219" i="6"/>
  <c r="C5219" i="6"/>
  <c r="B5219" i="6"/>
  <c r="D5218" i="6"/>
  <c r="C5218" i="6"/>
  <c r="B5218" i="6"/>
  <c r="D5217" i="6"/>
  <c r="C5217" i="6"/>
  <c r="B5217" i="6"/>
  <c r="D5216" i="6"/>
  <c r="C5216" i="6"/>
  <c r="B5216" i="6"/>
  <c r="D5215" i="6"/>
  <c r="C5215" i="6"/>
  <c r="B5215" i="6"/>
  <c r="D5214" i="6"/>
  <c r="C5214" i="6"/>
  <c r="B5214" i="6"/>
  <c r="D5213" i="6"/>
  <c r="C5213" i="6"/>
  <c r="B5213" i="6"/>
  <c r="D5212" i="6"/>
  <c r="C5212" i="6"/>
  <c r="B5212" i="6"/>
  <c r="D5211" i="6"/>
  <c r="C5211" i="6"/>
  <c r="B5211" i="6"/>
  <c r="V5210" i="6"/>
  <c r="D5210" i="6"/>
  <c r="C5210" i="6"/>
  <c r="B5210" i="6"/>
  <c r="D5209" i="6"/>
  <c r="C5209" i="6"/>
  <c r="B5209" i="6"/>
  <c r="D5208" i="6"/>
  <c r="C5208" i="6"/>
  <c r="B5208" i="6"/>
  <c r="D5207" i="6"/>
  <c r="C5207" i="6"/>
  <c r="B5207" i="6"/>
  <c r="D5206" i="6"/>
  <c r="C5206" i="6"/>
  <c r="B5206" i="6"/>
  <c r="D5205" i="6"/>
  <c r="C5205" i="6"/>
  <c r="B5205" i="6"/>
  <c r="D5204" i="6"/>
  <c r="C5204" i="6"/>
  <c r="B5204" i="6"/>
  <c r="V5203" i="6"/>
  <c r="D5203" i="6"/>
  <c r="C5203" i="6"/>
  <c r="B5203" i="6"/>
  <c r="V5202" i="6"/>
  <c r="D5202" i="6"/>
  <c r="C5202" i="6"/>
  <c r="B5202" i="6"/>
  <c r="D5201" i="6"/>
  <c r="C5201" i="6"/>
  <c r="B5201" i="6"/>
  <c r="V5200" i="6"/>
  <c r="D5200" i="6"/>
  <c r="C5200" i="6"/>
  <c r="B5200" i="6"/>
  <c r="D5199" i="6"/>
  <c r="C5199" i="6"/>
  <c r="B5199" i="6"/>
  <c r="D5198" i="6"/>
  <c r="C5198" i="6"/>
  <c r="B5198" i="6"/>
  <c r="D5197" i="6"/>
  <c r="C5197" i="6"/>
  <c r="B5197" i="6"/>
  <c r="V5196" i="6"/>
  <c r="D5196" i="6"/>
  <c r="C5196" i="6"/>
  <c r="B5196" i="6"/>
  <c r="V5195" i="6"/>
  <c r="D5195" i="6"/>
  <c r="C5195" i="6"/>
  <c r="B5195" i="6"/>
  <c r="V5194" i="6"/>
  <c r="D5194" i="6"/>
  <c r="C5194" i="6"/>
  <c r="B5194" i="6"/>
  <c r="D5193" i="6"/>
  <c r="C5193" i="6"/>
  <c r="B5193" i="6"/>
  <c r="D5192" i="6"/>
  <c r="C5192" i="6"/>
  <c r="B5192" i="6"/>
  <c r="D5191" i="6"/>
  <c r="C5191" i="6"/>
  <c r="B5191" i="6"/>
  <c r="D5190" i="6"/>
  <c r="C5190" i="6"/>
  <c r="B5190" i="6"/>
  <c r="V5189" i="6"/>
  <c r="D5189" i="6"/>
  <c r="C5189" i="6"/>
  <c r="B5189" i="6"/>
  <c r="V5188" i="6"/>
  <c r="D5188" i="6"/>
  <c r="C5188" i="6"/>
  <c r="B5188" i="6"/>
  <c r="D5187" i="6"/>
  <c r="C5187" i="6"/>
  <c r="B5187" i="6"/>
  <c r="D5186" i="6"/>
  <c r="C5186" i="6"/>
  <c r="B5186" i="6"/>
  <c r="D5185" i="6"/>
  <c r="C5185" i="6"/>
  <c r="B5185" i="6"/>
  <c r="D5184" i="6"/>
  <c r="C5184" i="6"/>
  <c r="B5184" i="6"/>
  <c r="D5183" i="6"/>
  <c r="C5183" i="6"/>
  <c r="B5183" i="6"/>
  <c r="D5182" i="6"/>
  <c r="C5182" i="6"/>
  <c r="B5182" i="6"/>
  <c r="D5181" i="6"/>
  <c r="C5181" i="6"/>
  <c r="B5181" i="6"/>
  <c r="D5300" i="6"/>
  <c r="C5300" i="6"/>
  <c r="B5300" i="6"/>
  <c r="D5299" i="6"/>
  <c r="C5299" i="6"/>
  <c r="B5299" i="6"/>
  <c r="D5298" i="6"/>
  <c r="C5298" i="6"/>
  <c r="B5298" i="6"/>
  <c r="D5297" i="6"/>
  <c r="C5297" i="6"/>
  <c r="B5297" i="6"/>
  <c r="V5296" i="6"/>
  <c r="D5296" i="6"/>
  <c r="C5296" i="6"/>
  <c r="B5296" i="6"/>
  <c r="V5295" i="6"/>
  <c r="D5295" i="6"/>
  <c r="C5295" i="6"/>
  <c r="B5295" i="6"/>
  <c r="V5294" i="6"/>
  <c r="D5294" i="6"/>
  <c r="C5294" i="6"/>
  <c r="B5294" i="6"/>
  <c r="V5293" i="6"/>
  <c r="D5293" i="6"/>
  <c r="C5293" i="6"/>
  <c r="B5293" i="6"/>
  <c r="D5292" i="6"/>
  <c r="C5292" i="6"/>
  <c r="B5292" i="6"/>
  <c r="D5291" i="6"/>
  <c r="C5291" i="6"/>
  <c r="B5291" i="6"/>
  <c r="D5290" i="6"/>
  <c r="C5290" i="6"/>
  <c r="B5290" i="6"/>
  <c r="V5289" i="6"/>
  <c r="D5289" i="6"/>
  <c r="C5289" i="6"/>
  <c r="B5289" i="6"/>
  <c r="D5288" i="6"/>
  <c r="C5288" i="6"/>
  <c r="B5288" i="6"/>
  <c r="D5287" i="6"/>
  <c r="C5287" i="6"/>
  <c r="B5287" i="6"/>
  <c r="V5286" i="6"/>
  <c r="D5286" i="6"/>
  <c r="C5286" i="6"/>
  <c r="B5286" i="6"/>
  <c r="D5285" i="6"/>
  <c r="C5285" i="6"/>
  <c r="B5285" i="6"/>
  <c r="D5284" i="6"/>
  <c r="C5284" i="6"/>
  <c r="B5284" i="6"/>
  <c r="D5283" i="6"/>
  <c r="C5283" i="6"/>
  <c r="B5283" i="6"/>
  <c r="D5282" i="6"/>
  <c r="C5282" i="6"/>
  <c r="B5282" i="6"/>
  <c r="D5281" i="6"/>
  <c r="C5281" i="6"/>
  <c r="B5281" i="6"/>
  <c r="D5280" i="6"/>
  <c r="C5280" i="6"/>
  <c r="B5280" i="6"/>
  <c r="D5279" i="6"/>
  <c r="C5279" i="6"/>
  <c r="B5279" i="6"/>
  <c r="D5278" i="6"/>
  <c r="C5278" i="6"/>
  <c r="B5278" i="6"/>
  <c r="D5277" i="6"/>
  <c r="C5277" i="6"/>
  <c r="B5277" i="6"/>
  <c r="D5276" i="6"/>
  <c r="C5276" i="6"/>
  <c r="B5276" i="6"/>
  <c r="D5275" i="6"/>
  <c r="C5275" i="6"/>
  <c r="B5275" i="6"/>
  <c r="D5274" i="6"/>
  <c r="C5274" i="6"/>
  <c r="B5274" i="6"/>
  <c r="D5273" i="6"/>
  <c r="C5273" i="6"/>
  <c r="B5273" i="6"/>
  <c r="D5272" i="6"/>
  <c r="C5272" i="6"/>
  <c r="B5272" i="6"/>
  <c r="D5271" i="6"/>
  <c r="C5271" i="6"/>
  <c r="B5271" i="6"/>
  <c r="D5270" i="6"/>
  <c r="C5270" i="6"/>
  <c r="B5270" i="6"/>
  <c r="D5269" i="6"/>
  <c r="C5269" i="6"/>
  <c r="B5269" i="6"/>
  <c r="V5268" i="6"/>
  <c r="D5268" i="6"/>
  <c r="C5268" i="6"/>
  <c r="B5268" i="6"/>
  <c r="V5267" i="6"/>
  <c r="D5267" i="6"/>
  <c r="C5267" i="6"/>
  <c r="B5267" i="6"/>
  <c r="D5266" i="6"/>
  <c r="C5266" i="6"/>
  <c r="B5266" i="6"/>
  <c r="D5265" i="6"/>
  <c r="C5265" i="6"/>
  <c r="B5265" i="6"/>
  <c r="D5264" i="6"/>
  <c r="C5264" i="6"/>
  <c r="B5264" i="6"/>
  <c r="D5263" i="6"/>
  <c r="C5263" i="6"/>
  <c r="B5263" i="6"/>
  <c r="D5262" i="6"/>
  <c r="C5262" i="6"/>
  <c r="B5262" i="6"/>
  <c r="D5261" i="6"/>
  <c r="C5261" i="6"/>
  <c r="B5261" i="6"/>
  <c r="D5320" i="6"/>
  <c r="C5320" i="6"/>
  <c r="B5320" i="6"/>
  <c r="D5319" i="6"/>
  <c r="C5319" i="6"/>
  <c r="B5319" i="6"/>
  <c r="D5318" i="6"/>
  <c r="C5318" i="6"/>
  <c r="B5318" i="6"/>
  <c r="D5317" i="6"/>
  <c r="C5317" i="6"/>
  <c r="B5317" i="6"/>
  <c r="D5316" i="6"/>
  <c r="C5316" i="6"/>
  <c r="B5316" i="6"/>
  <c r="D5315" i="6"/>
  <c r="C5315" i="6"/>
  <c r="B5315" i="6"/>
  <c r="D5314" i="6"/>
  <c r="C5314" i="6"/>
  <c r="B5314" i="6"/>
  <c r="V5313" i="6"/>
  <c r="D5313" i="6"/>
  <c r="C5313" i="6"/>
  <c r="B5313" i="6"/>
  <c r="D5312" i="6"/>
  <c r="C5312" i="6"/>
  <c r="B5312" i="6"/>
  <c r="V5311" i="6"/>
  <c r="D5311" i="6"/>
  <c r="C5311" i="6"/>
  <c r="B5311" i="6"/>
  <c r="D5310" i="6"/>
  <c r="C5310" i="6"/>
  <c r="B5310" i="6"/>
  <c r="D5309" i="6"/>
  <c r="C5309" i="6"/>
  <c r="B5309" i="6"/>
  <c r="D5308" i="6"/>
  <c r="C5308" i="6"/>
  <c r="B5308" i="6"/>
  <c r="D5307" i="6"/>
  <c r="C5307" i="6"/>
  <c r="B5307" i="6"/>
  <c r="D5306" i="6"/>
  <c r="C5306" i="6"/>
  <c r="B5306" i="6"/>
  <c r="D5305" i="6"/>
  <c r="C5305" i="6"/>
  <c r="B5305" i="6"/>
  <c r="D5304" i="6"/>
  <c r="C5304" i="6"/>
  <c r="B5304" i="6"/>
  <c r="D5303" i="6"/>
  <c r="C5303" i="6"/>
  <c r="B5303" i="6"/>
  <c r="D5302" i="6"/>
  <c r="C5302" i="6"/>
  <c r="B5302" i="6"/>
  <c r="D5301" i="6"/>
  <c r="C5301" i="6"/>
  <c r="B5301" i="6"/>
  <c r="D5330" i="6"/>
  <c r="C5330" i="6"/>
  <c r="B5330" i="6"/>
  <c r="D5329" i="6"/>
  <c r="C5329" i="6"/>
  <c r="B5329" i="6"/>
  <c r="D5328" i="6"/>
  <c r="C5328" i="6"/>
  <c r="B5328" i="6"/>
  <c r="D5327" i="6"/>
  <c r="C5327" i="6"/>
  <c r="B5327" i="6"/>
  <c r="D5326" i="6"/>
  <c r="C5326" i="6"/>
  <c r="B5326" i="6"/>
  <c r="D5325" i="6"/>
  <c r="C5325" i="6"/>
  <c r="B5325" i="6"/>
  <c r="D5324" i="6"/>
  <c r="C5324" i="6"/>
  <c r="B5324" i="6"/>
  <c r="D5323" i="6"/>
  <c r="C5323" i="6"/>
  <c r="B5323" i="6"/>
  <c r="D5322" i="6"/>
  <c r="C5322" i="6"/>
  <c r="B5322" i="6"/>
  <c r="V5321" i="6"/>
  <c r="D5321" i="6"/>
  <c r="C5321" i="6"/>
  <c r="B5321" i="6"/>
  <c r="D5335" i="6"/>
  <c r="C5335" i="6"/>
  <c r="B5335" i="6"/>
  <c r="D5334" i="6"/>
  <c r="C5334" i="6"/>
  <c r="B5334" i="6"/>
  <c r="D5333" i="6"/>
  <c r="C5333" i="6"/>
  <c r="B5333" i="6"/>
  <c r="D5332" i="6"/>
  <c r="C5332" i="6"/>
  <c r="B5332" i="6"/>
  <c r="D5331" i="6"/>
  <c r="C5331" i="6"/>
  <c r="B5331" i="6"/>
  <c r="Q212" i="14"/>
  <c r="N707" i="14"/>
  <c r="Q632" i="14"/>
  <c r="Q688" i="14"/>
  <c r="Q693" i="14"/>
  <c r="Q695" i="14"/>
  <c r="Q701" i="14"/>
  <c r="Q706" i="14"/>
  <c r="N706" i="14"/>
  <c r="N705" i="14"/>
  <c r="Q708" i="14"/>
  <c r="Q709" i="14"/>
  <c r="N704" i="14"/>
  <c r="N703" i="14"/>
  <c r="N702" i="14"/>
  <c r="N701" i="14"/>
  <c r="N700" i="14"/>
  <c r="N699" i="14"/>
  <c r="N729" i="14"/>
  <c r="N710" i="14"/>
  <c r="N709" i="14"/>
  <c r="Q711" i="14"/>
  <c r="Q714" i="14"/>
  <c r="Q715" i="14"/>
  <c r="Q717" i="14"/>
  <c r="N708" i="14"/>
  <c r="I744" i="57"/>
  <c r="I745" i="57"/>
  <c r="I746" i="57"/>
  <c r="I747" i="57"/>
  <c r="I748" i="57"/>
  <c r="I749" i="57"/>
  <c r="I750" i="57"/>
  <c r="I751" i="57"/>
  <c r="I752" i="57"/>
  <c r="H358" i="57"/>
  <c r="C21" i="58"/>
  <c r="C20" i="58"/>
  <c r="C19" i="58"/>
  <c r="C18" i="58"/>
  <c r="C17" i="58"/>
  <c r="C16" i="58"/>
  <c r="C15" i="58"/>
  <c r="C14" i="58"/>
  <c r="C13" i="58"/>
  <c r="C12" i="58"/>
  <c r="C11" i="58"/>
  <c r="C10" i="58"/>
  <c r="C9" i="58"/>
  <c r="C8" i="58"/>
  <c r="C7" i="58"/>
  <c r="C6" i="58"/>
  <c r="C5" i="58"/>
  <c r="C1" i="58"/>
  <c r="C2" i="58"/>
  <c r="C3" i="58"/>
  <c r="C4" i="58"/>
  <c r="D15" i="58"/>
  <c r="H707" i="57"/>
  <c r="H570" i="57"/>
  <c r="H257" i="57"/>
  <c r="H252" i="57"/>
  <c r="H710" i="57"/>
  <c r="H284" i="57"/>
  <c r="H205" i="57"/>
  <c r="H753" i="57"/>
  <c r="H44" i="57"/>
  <c r="H27" i="57"/>
  <c r="N689" i="14"/>
  <c r="Q18" i="14"/>
  <c r="Q22" i="14"/>
  <c r="Q23" i="14"/>
  <c r="Q24" i="14"/>
  <c r="Q25" i="14"/>
  <c r="Q35" i="14"/>
  <c r="Q36" i="14"/>
  <c r="Q40" i="14"/>
  <c r="Q45" i="14"/>
  <c r="Q48" i="14"/>
  <c r="Q55" i="14"/>
  <c r="Q58" i="14"/>
  <c r="Q59" i="14"/>
  <c r="Q65" i="14"/>
  <c r="Q66" i="14"/>
  <c r="Q81" i="14"/>
  <c r="Q82" i="14"/>
  <c r="Q85" i="14"/>
  <c r="Q94" i="14"/>
  <c r="Q96" i="14"/>
  <c r="Q98" i="14"/>
  <c r="Q100" i="14"/>
  <c r="Q104" i="14"/>
  <c r="Q105" i="14"/>
  <c r="Q123" i="14"/>
  <c r="Q131" i="14"/>
  <c r="Q137" i="14"/>
  <c r="Q148" i="14"/>
  <c r="Q149" i="14"/>
  <c r="Q150" i="14"/>
  <c r="Q155" i="14"/>
  <c r="Q157" i="14"/>
  <c r="Q161" i="14"/>
  <c r="Q165" i="14"/>
  <c r="Q166" i="14"/>
  <c r="Q167" i="14"/>
  <c r="V189" i="14"/>
  <c r="Q203" i="14"/>
  <c r="Q213" i="14"/>
  <c r="Q214" i="14"/>
  <c r="Q215" i="14"/>
  <c r="Q217" i="14"/>
  <c r="Q224" i="14"/>
  <c r="Q234" i="14"/>
  <c r="Q244" i="14"/>
  <c r="Q252" i="14"/>
  <c r="Q259" i="14"/>
  <c r="Q274" i="14"/>
  <c r="Q309" i="14"/>
  <c r="Q313" i="14"/>
  <c r="Q344" i="14"/>
  <c r="Q350" i="14"/>
  <c r="Q355" i="14"/>
  <c r="Q360" i="14"/>
  <c r="Q368" i="14"/>
  <c r="Q369" i="14"/>
  <c r="Q400" i="14"/>
  <c r="Q402" i="14"/>
  <c r="Q403" i="14"/>
  <c r="Q404" i="14"/>
  <c r="Q405" i="14"/>
  <c r="Q406" i="14"/>
  <c r="Q408" i="14"/>
  <c r="Q409" i="14"/>
  <c r="Q410" i="14"/>
  <c r="Q411" i="14"/>
  <c r="Q412" i="14"/>
  <c r="Q426" i="14"/>
  <c r="Q425" i="14"/>
  <c r="Q427" i="14"/>
  <c r="Q433" i="14"/>
  <c r="Q436" i="14"/>
  <c r="Q466" i="14"/>
  <c r="Q469" i="14"/>
  <c r="Q471" i="14"/>
  <c r="Q476" i="14"/>
  <c r="Q505" i="14"/>
  <c r="Q506" i="14"/>
  <c r="Q507" i="14"/>
  <c r="Q524" i="14"/>
  <c r="Q531" i="14"/>
  <c r="Q534" i="14"/>
  <c r="Q535" i="14"/>
  <c r="Q544" i="14"/>
  <c r="Q557" i="14"/>
  <c r="Q558" i="14"/>
  <c r="Q582" i="14"/>
  <c r="Q583" i="14"/>
  <c r="Q593" i="14"/>
  <c r="Q594" i="14"/>
  <c r="Q650" i="14"/>
  <c r="Q656" i="14"/>
  <c r="N688" i="14"/>
  <c r="N687" i="14"/>
  <c r="N686" i="14"/>
  <c r="N685" i="14"/>
  <c r="N684" i="14"/>
  <c r="N683" i="14"/>
  <c r="N682" i="14"/>
  <c r="N681" i="14"/>
  <c r="N680" i="14"/>
  <c r="N679" i="14"/>
  <c r="Q667" i="14"/>
  <c r="N678" i="14"/>
  <c r="N677" i="14"/>
  <c r="N676" i="14"/>
  <c r="N696" i="14"/>
  <c r="N695" i="14"/>
  <c r="N694" i="14"/>
  <c r="N693" i="14"/>
  <c r="N692" i="14"/>
  <c r="N691" i="14"/>
  <c r="N690" i="14"/>
  <c r="B4797" i="6"/>
  <c r="C4797" i="6"/>
  <c r="D4797" i="6"/>
  <c r="B4798" i="6"/>
  <c r="C4798" i="6"/>
  <c r="D4798" i="6"/>
  <c r="B4799" i="6"/>
  <c r="C4799" i="6"/>
  <c r="D4799" i="6"/>
  <c r="B4800" i="6"/>
  <c r="C4800" i="6"/>
  <c r="D4800" i="6"/>
  <c r="B4801" i="6"/>
  <c r="C4801" i="6"/>
  <c r="D4801" i="6"/>
  <c r="B4802" i="6"/>
  <c r="C4802" i="6"/>
  <c r="D4802" i="6"/>
  <c r="B4803" i="6"/>
  <c r="C4803" i="6"/>
  <c r="D4803" i="6"/>
  <c r="B4804" i="6"/>
  <c r="C4804" i="6"/>
  <c r="D4804" i="6"/>
  <c r="B4805" i="6"/>
  <c r="C4805" i="6"/>
  <c r="D4805" i="6"/>
  <c r="Q2" i="6"/>
  <c r="L2" i="6"/>
  <c r="D4913" i="6"/>
  <c r="C4913" i="6"/>
  <c r="B4913" i="6"/>
  <c r="D4912" i="6"/>
  <c r="C4912" i="6"/>
  <c r="B4912" i="6"/>
  <c r="D4911" i="6"/>
  <c r="C4911" i="6"/>
  <c r="B4911" i="6"/>
  <c r="D4910" i="6"/>
  <c r="C4910" i="6"/>
  <c r="B4910" i="6"/>
  <c r="D4909" i="6"/>
  <c r="C4909" i="6"/>
  <c r="B4909" i="6"/>
  <c r="D4908" i="6"/>
  <c r="C4908" i="6"/>
  <c r="B4908" i="6"/>
  <c r="D4907" i="6"/>
  <c r="C4907" i="6"/>
  <c r="B4907" i="6"/>
  <c r="D4906" i="6"/>
  <c r="C4906" i="6"/>
  <c r="B4906" i="6"/>
  <c r="D4905" i="6"/>
  <c r="C4905" i="6"/>
  <c r="B4905" i="6"/>
  <c r="D4904" i="6"/>
  <c r="C4904" i="6"/>
  <c r="B4904" i="6"/>
  <c r="D4903" i="6"/>
  <c r="C4903" i="6"/>
  <c r="B4903" i="6"/>
  <c r="D4902" i="6"/>
  <c r="C4902" i="6"/>
  <c r="B4902" i="6"/>
  <c r="D4901" i="6"/>
  <c r="C4901" i="6"/>
  <c r="B4901" i="6"/>
  <c r="D4900" i="6"/>
  <c r="C4900" i="6"/>
  <c r="B4900" i="6"/>
  <c r="D4899" i="6"/>
  <c r="C4899" i="6"/>
  <c r="B4899" i="6"/>
  <c r="D4898" i="6"/>
  <c r="C4898" i="6"/>
  <c r="B4898" i="6"/>
  <c r="D4897" i="6"/>
  <c r="C4897" i="6"/>
  <c r="B4897" i="6"/>
  <c r="D4896" i="6"/>
  <c r="C4896" i="6"/>
  <c r="B4896" i="6"/>
  <c r="D4895" i="6"/>
  <c r="C4895" i="6"/>
  <c r="B4895" i="6"/>
  <c r="D4894" i="6"/>
  <c r="C4894" i="6"/>
  <c r="B4894" i="6"/>
  <c r="D4893" i="6"/>
  <c r="C4893" i="6"/>
  <c r="B4893" i="6"/>
  <c r="D4892" i="6"/>
  <c r="C4892" i="6"/>
  <c r="B4892" i="6"/>
  <c r="D4891" i="6"/>
  <c r="C4891" i="6"/>
  <c r="B4891" i="6"/>
  <c r="D4890" i="6"/>
  <c r="C4890" i="6"/>
  <c r="B4890" i="6"/>
  <c r="D4889" i="6"/>
  <c r="C4889" i="6"/>
  <c r="B4889" i="6"/>
  <c r="D4888" i="6"/>
  <c r="C4888" i="6"/>
  <c r="B4888" i="6"/>
  <c r="D4887" i="6"/>
  <c r="C4887" i="6"/>
  <c r="B4887" i="6"/>
  <c r="D4886" i="6"/>
  <c r="C4886" i="6"/>
  <c r="B4886" i="6"/>
  <c r="D4885" i="6"/>
  <c r="C4885" i="6"/>
  <c r="B4885" i="6"/>
  <c r="D4884" i="6"/>
  <c r="C4884" i="6"/>
  <c r="B4884" i="6"/>
  <c r="D4883" i="6"/>
  <c r="C4883" i="6"/>
  <c r="B4883" i="6"/>
  <c r="D4882" i="6"/>
  <c r="C4882" i="6"/>
  <c r="B4882" i="6"/>
  <c r="D4881" i="6"/>
  <c r="C4881" i="6"/>
  <c r="B4881" i="6"/>
  <c r="D4880" i="6"/>
  <c r="C4880" i="6"/>
  <c r="B4880" i="6"/>
  <c r="D4879" i="6"/>
  <c r="C4879" i="6"/>
  <c r="B4879" i="6"/>
  <c r="D4878" i="6"/>
  <c r="C4878" i="6"/>
  <c r="B4878" i="6"/>
  <c r="D4877" i="6"/>
  <c r="C4877" i="6"/>
  <c r="B4877" i="6"/>
  <c r="D4876" i="6"/>
  <c r="C4876" i="6"/>
  <c r="B4876" i="6"/>
  <c r="D4875" i="6"/>
  <c r="C4875" i="6"/>
  <c r="B4875" i="6"/>
  <c r="D4874" i="6"/>
  <c r="C4874" i="6"/>
  <c r="B4874" i="6"/>
  <c r="D4873" i="6"/>
  <c r="C4873" i="6"/>
  <c r="B4873" i="6"/>
  <c r="D4872" i="6"/>
  <c r="C4872" i="6"/>
  <c r="B4872" i="6"/>
  <c r="D4871" i="6"/>
  <c r="C4871" i="6"/>
  <c r="B4871" i="6"/>
  <c r="V4870" i="6"/>
  <c r="D4870" i="6"/>
  <c r="C4870" i="6"/>
  <c r="B4870" i="6"/>
  <c r="D4869" i="6"/>
  <c r="C4869" i="6"/>
  <c r="B4869" i="6"/>
  <c r="D4868" i="6"/>
  <c r="C4868" i="6"/>
  <c r="B4868" i="6"/>
  <c r="D4867" i="6"/>
  <c r="C4867" i="6"/>
  <c r="B4867" i="6"/>
  <c r="D4866" i="6"/>
  <c r="C4866" i="6"/>
  <c r="B4866" i="6"/>
  <c r="D4865" i="6"/>
  <c r="C4865" i="6"/>
  <c r="B4865" i="6"/>
  <c r="D4864" i="6"/>
  <c r="C4864" i="6"/>
  <c r="B4864" i="6"/>
  <c r="D4863" i="6"/>
  <c r="C4863" i="6"/>
  <c r="B4863" i="6"/>
  <c r="D4862" i="6"/>
  <c r="C4862" i="6"/>
  <c r="B4862" i="6"/>
  <c r="D4861" i="6"/>
  <c r="C4861" i="6"/>
  <c r="B4861" i="6"/>
  <c r="D4860" i="6"/>
  <c r="C4860" i="6"/>
  <c r="B4860" i="6"/>
  <c r="D4859" i="6"/>
  <c r="C4859" i="6"/>
  <c r="B4859" i="6"/>
  <c r="D4858" i="6"/>
  <c r="C4858" i="6"/>
  <c r="B4858" i="6"/>
  <c r="D4857" i="6"/>
  <c r="C4857" i="6"/>
  <c r="B4857" i="6"/>
  <c r="D4856" i="6"/>
  <c r="C4856" i="6"/>
  <c r="B4856" i="6"/>
  <c r="D4855" i="6"/>
  <c r="C4855" i="6"/>
  <c r="B4855" i="6"/>
  <c r="D4854" i="6"/>
  <c r="C4854" i="6"/>
  <c r="B4854" i="6"/>
  <c r="D4853" i="6"/>
  <c r="C4853" i="6"/>
  <c r="B4853" i="6"/>
  <c r="D4852" i="6"/>
  <c r="C4852" i="6"/>
  <c r="B4852" i="6"/>
  <c r="D4851" i="6"/>
  <c r="C4851" i="6"/>
  <c r="B4851" i="6"/>
  <c r="D4850" i="6"/>
  <c r="C4850" i="6"/>
  <c r="B4850" i="6"/>
  <c r="D4849" i="6"/>
  <c r="C4849" i="6"/>
  <c r="B4849" i="6"/>
  <c r="D4848" i="6"/>
  <c r="C4848" i="6"/>
  <c r="B4848" i="6"/>
  <c r="D4847" i="6"/>
  <c r="C4847" i="6"/>
  <c r="B4847" i="6"/>
  <c r="D4846" i="6"/>
  <c r="C4846" i="6"/>
  <c r="B4846" i="6"/>
  <c r="D4845" i="6"/>
  <c r="C4845" i="6"/>
  <c r="B4845" i="6"/>
  <c r="V4844" i="6"/>
  <c r="D4844" i="6"/>
  <c r="C4844" i="6"/>
  <c r="B4844" i="6"/>
  <c r="V4843" i="6"/>
  <c r="D4843" i="6"/>
  <c r="C4843" i="6"/>
  <c r="B4843" i="6"/>
  <c r="D4842" i="6"/>
  <c r="C4842" i="6"/>
  <c r="B4842" i="6"/>
  <c r="D4841" i="6"/>
  <c r="C4841" i="6"/>
  <c r="B4841" i="6"/>
  <c r="D4840" i="6"/>
  <c r="C4840" i="6"/>
  <c r="B4840" i="6"/>
  <c r="D4839" i="6"/>
  <c r="C4839" i="6"/>
  <c r="B4839" i="6"/>
  <c r="D4838" i="6"/>
  <c r="C4838" i="6"/>
  <c r="B4838" i="6"/>
  <c r="D4837" i="6"/>
  <c r="C4837" i="6"/>
  <c r="B4837" i="6"/>
  <c r="D4836" i="6"/>
  <c r="C4836" i="6"/>
  <c r="B4836" i="6"/>
  <c r="D4835" i="6"/>
  <c r="C4835" i="6"/>
  <c r="B4835" i="6"/>
  <c r="D4834" i="6"/>
  <c r="C4834" i="6"/>
  <c r="B4834" i="6"/>
  <c r="D4833" i="6"/>
  <c r="C4833" i="6"/>
  <c r="B4833" i="6"/>
  <c r="D4832" i="6"/>
  <c r="C4832" i="6"/>
  <c r="B4832" i="6"/>
  <c r="D4831" i="6"/>
  <c r="C4831" i="6"/>
  <c r="B4831" i="6"/>
  <c r="D4830" i="6"/>
  <c r="C4830" i="6"/>
  <c r="B4830" i="6"/>
  <c r="D4829" i="6"/>
  <c r="C4829" i="6"/>
  <c r="B4829" i="6"/>
  <c r="D4828" i="6"/>
  <c r="C4828" i="6"/>
  <c r="B4828" i="6"/>
  <c r="V4827" i="6"/>
  <c r="D4827" i="6"/>
  <c r="C4827" i="6"/>
  <c r="B4827" i="6"/>
  <c r="D4826" i="6"/>
  <c r="C4826" i="6"/>
  <c r="B4826" i="6"/>
  <c r="V4825" i="6"/>
  <c r="D4825" i="6"/>
  <c r="C4825" i="6"/>
  <c r="B4825" i="6"/>
  <c r="V4824" i="6"/>
  <c r="D4824" i="6"/>
  <c r="C4824" i="6"/>
  <c r="B4824" i="6"/>
  <c r="V4823" i="6"/>
  <c r="D4823" i="6"/>
  <c r="C4823" i="6"/>
  <c r="B4823" i="6"/>
  <c r="D4822" i="6"/>
  <c r="C4822" i="6"/>
  <c r="B4822" i="6"/>
  <c r="V4821" i="6"/>
  <c r="D4821" i="6"/>
  <c r="C4821" i="6"/>
  <c r="B4821" i="6"/>
  <c r="V4820" i="6"/>
  <c r="D4820" i="6"/>
  <c r="C4820" i="6"/>
  <c r="B4820" i="6"/>
  <c r="V4819" i="6"/>
  <c r="D4819" i="6"/>
  <c r="C4819" i="6"/>
  <c r="B4819" i="6"/>
  <c r="V4818" i="6"/>
  <c r="D4818" i="6"/>
  <c r="C4818" i="6"/>
  <c r="B4818" i="6"/>
  <c r="V4817" i="6"/>
  <c r="D4817" i="6"/>
  <c r="C4817" i="6"/>
  <c r="B4817" i="6"/>
  <c r="D4816" i="6"/>
  <c r="C4816" i="6"/>
  <c r="B4816" i="6"/>
  <c r="D4815" i="6"/>
  <c r="C4815" i="6"/>
  <c r="B4815" i="6"/>
  <c r="D4814" i="6"/>
  <c r="C4814" i="6"/>
  <c r="B4814" i="6"/>
  <c r="D4813" i="6"/>
  <c r="C4813" i="6"/>
  <c r="B4813" i="6"/>
  <c r="D4812" i="6"/>
  <c r="C4812" i="6"/>
  <c r="B4812" i="6"/>
  <c r="D4811" i="6"/>
  <c r="C4811" i="6"/>
  <c r="B4811" i="6"/>
  <c r="D4810" i="6"/>
  <c r="C4810" i="6"/>
  <c r="B4810" i="6"/>
  <c r="D4809" i="6"/>
  <c r="C4809" i="6"/>
  <c r="B4809" i="6"/>
  <c r="D4808" i="6"/>
  <c r="C4808" i="6"/>
  <c r="B4808" i="6"/>
  <c r="D4807" i="6"/>
  <c r="C4807" i="6"/>
  <c r="B4807" i="6"/>
  <c r="D4806" i="6"/>
  <c r="C4806" i="6"/>
  <c r="B4806" i="6"/>
  <c r="V4805" i="6"/>
  <c r="V4796" i="6"/>
  <c r="D4796" i="6"/>
  <c r="C4796" i="6"/>
  <c r="B4796" i="6"/>
  <c r="D4795" i="6"/>
  <c r="C4795" i="6"/>
  <c r="B4795" i="6"/>
  <c r="D4794" i="6"/>
  <c r="C4794" i="6"/>
  <c r="B4794" i="6"/>
  <c r="D4793" i="6"/>
  <c r="C4793" i="6"/>
  <c r="B4793" i="6"/>
  <c r="D4792" i="6"/>
  <c r="C4792" i="6"/>
  <c r="B4792" i="6"/>
  <c r="D4791" i="6"/>
  <c r="C4791" i="6"/>
  <c r="B4791" i="6"/>
  <c r="D4790" i="6"/>
  <c r="C4790" i="6"/>
  <c r="B4790" i="6"/>
  <c r="D4789" i="6"/>
  <c r="C4789" i="6"/>
  <c r="B4789" i="6"/>
  <c r="D4788" i="6"/>
  <c r="C4788" i="6"/>
  <c r="B4788" i="6"/>
  <c r="D4787" i="6"/>
  <c r="C4787" i="6"/>
  <c r="B4787" i="6"/>
  <c r="D4786" i="6"/>
  <c r="C4786" i="6"/>
  <c r="B4786" i="6"/>
  <c r="D4785" i="6"/>
  <c r="C4785" i="6"/>
  <c r="B4785" i="6"/>
  <c r="D4784" i="6"/>
  <c r="C4784" i="6"/>
  <c r="B4784" i="6"/>
  <c r="D4783" i="6"/>
  <c r="C4783" i="6"/>
  <c r="B4783" i="6"/>
  <c r="V4782" i="6"/>
  <c r="D4782" i="6"/>
  <c r="C4782" i="6"/>
  <c r="B4782" i="6"/>
  <c r="D4781" i="6"/>
  <c r="C4781" i="6"/>
  <c r="B4781" i="6"/>
  <c r="D4780" i="6"/>
  <c r="C4780" i="6"/>
  <c r="B4780" i="6"/>
  <c r="D4779" i="6"/>
  <c r="C4779" i="6"/>
  <c r="B4779" i="6"/>
  <c r="V4778" i="6"/>
  <c r="D4778" i="6"/>
  <c r="C4778" i="6"/>
  <c r="B4778" i="6"/>
  <c r="D4777" i="6"/>
  <c r="C4777" i="6"/>
  <c r="B4777" i="6"/>
  <c r="D4776" i="6"/>
  <c r="C4776" i="6"/>
  <c r="B4776" i="6"/>
  <c r="D4775" i="6"/>
  <c r="C4775" i="6"/>
  <c r="B4775" i="6"/>
  <c r="D4774" i="6"/>
  <c r="C4774" i="6"/>
  <c r="B4774" i="6"/>
  <c r="D4773" i="6"/>
  <c r="C4773" i="6"/>
  <c r="B4773" i="6"/>
  <c r="D4772" i="6"/>
  <c r="C4772" i="6"/>
  <c r="B4772" i="6"/>
  <c r="D4771" i="6"/>
  <c r="C4771" i="6"/>
  <c r="B4771" i="6"/>
  <c r="D4770" i="6"/>
  <c r="C4770" i="6"/>
  <c r="B4770" i="6"/>
  <c r="D4769" i="6"/>
  <c r="C4769" i="6"/>
  <c r="B4769" i="6"/>
  <c r="D4768" i="6"/>
  <c r="C4768" i="6"/>
  <c r="B4768" i="6"/>
  <c r="D4767" i="6"/>
  <c r="C4767" i="6"/>
  <c r="B4767" i="6"/>
  <c r="D4766" i="6"/>
  <c r="C4766" i="6"/>
  <c r="B4766" i="6"/>
  <c r="D4765" i="6"/>
  <c r="C4765" i="6"/>
  <c r="B4765" i="6"/>
  <c r="D4764" i="6"/>
  <c r="C4764" i="6"/>
  <c r="B4764" i="6"/>
  <c r="D4763" i="6"/>
  <c r="C4763" i="6"/>
  <c r="B4763" i="6"/>
  <c r="D4762" i="6"/>
  <c r="C4762" i="6"/>
  <c r="B4762" i="6"/>
  <c r="D4761" i="6"/>
  <c r="C4761" i="6"/>
  <c r="B4761" i="6"/>
  <c r="D4760" i="6"/>
  <c r="C4760" i="6"/>
  <c r="B4760" i="6"/>
  <c r="D4759" i="6"/>
  <c r="C4759" i="6"/>
  <c r="B4759" i="6"/>
  <c r="D4758" i="6"/>
  <c r="C4758" i="6"/>
  <c r="B4758" i="6"/>
  <c r="D4757" i="6"/>
  <c r="C4757" i="6"/>
  <c r="B4757" i="6"/>
  <c r="D4756" i="6"/>
  <c r="C4756" i="6"/>
  <c r="B4756" i="6"/>
  <c r="D4755" i="6"/>
  <c r="C4755" i="6"/>
  <c r="B4755" i="6"/>
  <c r="D4754" i="6"/>
  <c r="C4754" i="6"/>
  <c r="B4754" i="6"/>
  <c r="D4753" i="6"/>
  <c r="C4753" i="6"/>
  <c r="B4753" i="6"/>
  <c r="D4752" i="6"/>
  <c r="C4752" i="6"/>
  <c r="B4752" i="6"/>
  <c r="D4751" i="6"/>
  <c r="C4751" i="6"/>
  <c r="B4751" i="6"/>
  <c r="D4750" i="6"/>
  <c r="C4750" i="6"/>
  <c r="B4750" i="6"/>
  <c r="V4749" i="6"/>
  <c r="D4749" i="6"/>
  <c r="C4749" i="6"/>
  <c r="B4749" i="6"/>
  <c r="D4748" i="6"/>
  <c r="C4748" i="6"/>
  <c r="B4748" i="6"/>
  <c r="D4747" i="6"/>
  <c r="C4747" i="6"/>
  <c r="B4747" i="6"/>
  <c r="D4746" i="6"/>
  <c r="C4746" i="6"/>
  <c r="B4746" i="6"/>
  <c r="D4745" i="6"/>
  <c r="C4745" i="6"/>
  <c r="B4745" i="6"/>
  <c r="D4744" i="6"/>
  <c r="C4744" i="6"/>
  <c r="B4744" i="6"/>
  <c r="D4743" i="6"/>
  <c r="C4743" i="6"/>
  <c r="B4743" i="6"/>
  <c r="D4742" i="6"/>
  <c r="C4742" i="6"/>
  <c r="B4742" i="6"/>
  <c r="D4741" i="6"/>
  <c r="C4741" i="6"/>
  <c r="B4741" i="6"/>
  <c r="D4740" i="6"/>
  <c r="C4740" i="6"/>
  <c r="B4740" i="6"/>
  <c r="D4739" i="6"/>
  <c r="C4739" i="6"/>
  <c r="B4739" i="6"/>
  <c r="D4738" i="6"/>
  <c r="C4738" i="6"/>
  <c r="B4738" i="6"/>
  <c r="V4737" i="6"/>
  <c r="D4737" i="6"/>
  <c r="C4737" i="6"/>
  <c r="B4737" i="6"/>
  <c r="D4736" i="6"/>
  <c r="C4736" i="6"/>
  <c r="B4736" i="6"/>
  <c r="D4735" i="6"/>
  <c r="C4735" i="6"/>
  <c r="B4735" i="6"/>
  <c r="D4734" i="6"/>
  <c r="C4734" i="6"/>
  <c r="B4734" i="6"/>
  <c r="D4733" i="6"/>
  <c r="C4733" i="6"/>
  <c r="B4733" i="6"/>
  <c r="D4732" i="6"/>
  <c r="C4732" i="6"/>
  <c r="B4732" i="6"/>
  <c r="D4731" i="6"/>
  <c r="C4731" i="6"/>
  <c r="B4731" i="6"/>
  <c r="D4730" i="6"/>
  <c r="C4730" i="6"/>
  <c r="B4730" i="6"/>
  <c r="D4729" i="6"/>
  <c r="C4729" i="6"/>
  <c r="B4729" i="6"/>
  <c r="D4728" i="6"/>
  <c r="C4728" i="6"/>
  <c r="B4728" i="6"/>
  <c r="D4727" i="6"/>
  <c r="C4727" i="6"/>
  <c r="B4727" i="6"/>
  <c r="D4726" i="6"/>
  <c r="C4726" i="6"/>
  <c r="B4726" i="6"/>
  <c r="D4725" i="6"/>
  <c r="C4725" i="6"/>
  <c r="B4725" i="6"/>
  <c r="D4724" i="6"/>
  <c r="C4724" i="6"/>
  <c r="B4724" i="6"/>
  <c r="D4723" i="6"/>
  <c r="C4723" i="6"/>
  <c r="B4723" i="6"/>
  <c r="D4722" i="6"/>
  <c r="C4722" i="6"/>
  <c r="B4722" i="6"/>
  <c r="D4721" i="6"/>
  <c r="C4721" i="6"/>
  <c r="B4721" i="6"/>
  <c r="D4720" i="6"/>
  <c r="C4720" i="6"/>
  <c r="B4720" i="6"/>
  <c r="D4719" i="6"/>
  <c r="C4719" i="6"/>
  <c r="B4719" i="6"/>
  <c r="D4718" i="6"/>
  <c r="C4718" i="6"/>
  <c r="B4718" i="6"/>
  <c r="D4717" i="6"/>
  <c r="C4717" i="6"/>
  <c r="B4717" i="6"/>
  <c r="D4716" i="6"/>
  <c r="C4716" i="6"/>
  <c r="B4716" i="6"/>
  <c r="D4715" i="6"/>
  <c r="C4715" i="6"/>
  <c r="B4715" i="6"/>
  <c r="D4714" i="6"/>
  <c r="C4714" i="6"/>
  <c r="B4714" i="6"/>
  <c r="D4713" i="6"/>
  <c r="C4713" i="6"/>
  <c r="B4713" i="6"/>
  <c r="V4712" i="6"/>
  <c r="D4712" i="6"/>
  <c r="C4712" i="6"/>
  <c r="B4712" i="6"/>
  <c r="V4711" i="6"/>
  <c r="D4711" i="6"/>
  <c r="C4711" i="6"/>
  <c r="B4711" i="6"/>
  <c r="D4710" i="6"/>
  <c r="C4710" i="6"/>
  <c r="B4710" i="6"/>
  <c r="D4709" i="6"/>
  <c r="C4709" i="6"/>
  <c r="B4709" i="6"/>
  <c r="D4708" i="6"/>
  <c r="C4708" i="6"/>
  <c r="B4708" i="6"/>
  <c r="D4707" i="6"/>
  <c r="C4707" i="6"/>
  <c r="B4707" i="6"/>
  <c r="D4706" i="6"/>
  <c r="C4706" i="6"/>
  <c r="B4706" i="6"/>
  <c r="D4705" i="6"/>
  <c r="C4705" i="6"/>
  <c r="B4705" i="6"/>
  <c r="D4704" i="6"/>
  <c r="C4704" i="6"/>
  <c r="B4704" i="6"/>
  <c r="D4703" i="6"/>
  <c r="C4703" i="6"/>
  <c r="B4703" i="6"/>
  <c r="D4702" i="6"/>
  <c r="C4702" i="6"/>
  <c r="B4702" i="6"/>
  <c r="D4701" i="6"/>
  <c r="C4701" i="6"/>
  <c r="B4701" i="6"/>
  <c r="D4700" i="6"/>
  <c r="C4700" i="6"/>
  <c r="B4700" i="6"/>
  <c r="D4699" i="6"/>
  <c r="C4699" i="6"/>
  <c r="B4699" i="6"/>
  <c r="D4698" i="6"/>
  <c r="C4698" i="6"/>
  <c r="B4698" i="6"/>
  <c r="D4697" i="6"/>
  <c r="C4697" i="6"/>
  <c r="B4697" i="6"/>
  <c r="D4696" i="6"/>
  <c r="C4696" i="6"/>
  <c r="B4696" i="6"/>
  <c r="D4695" i="6"/>
  <c r="C4695" i="6"/>
  <c r="B4695" i="6"/>
  <c r="D4694" i="6"/>
  <c r="C4694" i="6"/>
  <c r="B4694" i="6"/>
  <c r="D4693" i="6"/>
  <c r="C4693" i="6"/>
  <c r="B4693" i="6"/>
  <c r="D4692" i="6"/>
  <c r="C4692" i="6"/>
  <c r="B4692" i="6"/>
  <c r="D4691" i="6"/>
  <c r="C4691" i="6"/>
  <c r="B4691" i="6"/>
  <c r="D4690" i="6"/>
  <c r="C4690" i="6"/>
  <c r="B4690" i="6"/>
  <c r="D4689" i="6"/>
  <c r="C4689" i="6"/>
  <c r="B4689" i="6"/>
  <c r="D4688" i="6"/>
  <c r="C4688" i="6"/>
  <c r="B4688" i="6"/>
  <c r="D4687" i="6"/>
  <c r="C4687" i="6"/>
  <c r="B4687" i="6"/>
  <c r="D4686" i="6"/>
  <c r="C4686" i="6"/>
  <c r="B4686" i="6"/>
  <c r="D4685" i="6"/>
  <c r="C4685" i="6"/>
  <c r="B4685" i="6"/>
  <c r="D4684" i="6"/>
  <c r="C4684" i="6"/>
  <c r="B4684" i="6"/>
  <c r="D4683" i="6"/>
  <c r="C4683" i="6"/>
  <c r="B4683" i="6"/>
  <c r="D4682" i="6"/>
  <c r="C4682" i="6"/>
  <c r="B4682" i="6"/>
  <c r="D4681" i="6"/>
  <c r="C4681" i="6"/>
  <c r="B4681" i="6"/>
  <c r="D4680" i="6"/>
  <c r="C4680" i="6"/>
  <c r="B4680" i="6"/>
  <c r="D4679" i="6"/>
  <c r="C4679" i="6"/>
  <c r="B4679" i="6"/>
  <c r="D4678" i="6"/>
  <c r="C4678" i="6"/>
  <c r="B4678" i="6"/>
  <c r="D4677" i="6"/>
  <c r="C4677" i="6"/>
  <c r="B4677" i="6"/>
  <c r="D4676" i="6"/>
  <c r="C4676" i="6"/>
  <c r="B4676" i="6"/>
  <c r="D4675" i="6"/>
  <c r="C4675" i="6"/>
  <c r="B4675" i="6"/>
  <c r="D4674" i="6"/>
  <c r="C4674" i="6"/>
  <c r="B4674" i="6"/>
  <c r="D4673" i="6"/>
  <c r="C4673" i="6"/>
  <c r="B4673" i="6"/>
  <c r="D4672" i="6"/>
  <c r="C4672" i="6"/>
  <c r="B4672" i="6"/>
  <c r="D4671" i="6"/>
  <c r="C4671" i="6"/>
  <c r="B4671" i="6"/>
  <c r="D4670" i="6"/>
  <c r="C4670" i="6"/>
  <c r="B4670" i="6"/>
  <c r="D4669" i="6"/>
  <c r="C4669" i="6"/>
  <c r="B4669" i="6"/>
  <c r="D4668" i="6"/>
  <c r="C4668" i="6"/>
  <c r="B4668" i="6"/>
  <c r="D4667" i="6"/>
  <c r="C4667" i="6"/>
  <c r="B4667" i="6"/>
  <c r="D4666" i="6"/>
  <c r="C4666" i="6"/>
  <c r="B4666" i="6"/>
  <c r="D4665" i="6"/>
  <c r="C4665" i="6"/>
  <c r="B4665" i="6"/>
  <c r="D4664" i="6"/>
  <c r="C4664" i="6"/>
  <c r="B4664" i="6"/>
  <c r="D4663" i="6"/>
  <c r="C4663" i="6"/>
  <c r="B4663" i="6"/>
  <c r="D4662" i="6"/>
  <c r="C4662" i="6"/>
  <c r="B4662" i="6"/>
  <c r="D4661" i="6"/>
  <c r="C4661" i="6"/>
  <c r="B4661" i="6"/>
  <c r="D4660" i="6"/>
  <c r="C4660" i="6"/>
  <c r="B4660" i="6"/>
  <c r="D4659" i="6"/>
  <c r="C4659" i="6"/>
  <c r="B4659" i="6"/>
  <c r="D4658" i="6"/>
  <c r="C4658" i="6"/>
  <c r="B4658" i="6"/>
  <c r="V4657" i="6"/>
  <c r="D4657" i="6"/>
  <c r="C4657" i="6"/>
  <c r="B4657" i="6"/>
  <c r="D4656" i="6"/>
  <c r="C4656" i="6"/>
  <c r="B4656" i="6"/>
  <c r="D4655" i="6"/>
  <c r="C4655" i="6"/>
  <c r="B4655" i="6"/>
  <c r="D4654" i="6"/>
  <c r="C4654" i="6"/>
  <c r="B4654" i="6"/>
  <c r="D4653" i="6"/>
  <c r="C4653" i="6"/>
  <c r="B4653" i="6"/>
  <c r="D4652" i="6"/>
  <c r="C4652" i="6"/>
  <c r="B4652" i="6"/>
  <c r="D4651" i="6"/>
  <c r="C4651" i="6"/>
  <c r="B4651" i="6"/>
  <c r="V4650" i="6"/>
  <c r="D4650" i="6"/>
  <c r="C4650" i="6"/>
  <c r="B4650" i="6"/>
  <c r="D4649" i="6"/>
  <c r="C4649" i="6"/>
  <c r="B4649" i="6"/>
  <c r="D4648" i="6"/>
  <c r="C4648" i="6"/>
  <c r="B4648" i="6"/>
  <c r="D4647" i="6"/>
  <c r="C4647" i="6"/>
  <c r="B4647" i="6"/>
  <c r="D4646" i="6"/>
  <c r="C4646" i="6"/>
  <c r="B4646" i="6"/>
  <c r="D4645" i="6"/>
  <c r="C4645" i="6"/>
  <c r="B4645" i="6"/>
  <c r="D4644" i="6"/>
  <c r="C4644" i="6"/>
  <c r="B4644" i="6"/>
  <c r="D4643" i="6"/>
  <c r="C4643" i="6"/>
  <c r="B4643" i="6"/>
  <c r="D4642" i="6"/>
  <c r="C4642" i="6"/>
  <c r="B4642" i="6"/>
  <c r="D5049" i="6"/>
  <c r="C5049" i="6"/>
  <c r="B5049" i="6"/>
  <c r="D5048" i="6"/>
  <c r="C5048" i="6"/>
  <c r="B5048" i="6"/>
  <c r="D5047" i="6"/>
  <c r="C5047" i="6"/>
  <c r="B5047" i="6"/>
  <c r="D5046" i="6"/>
  <c r="C5046" i="6"/>
  <c r="B5046" i="6"/>
  <c r="D5045" i="6"/>
  <c r="C5045" i="6"/>
  <c r="B5045" i="6"/>
  <c r="D5044" i="6"/>
  <c r="C5044" i="6"/>
  <c r="B5044" i="6"/>
  <c r="D5043" i="6"/>
  <c r="C5043" i="6"/>
  <c r="B5043" i="6"/>
  <c r="D5042" i="6"/>
  <c r="C5042" i="6"/>
  <c r="B5042" i="6"/>
  <c r="D5041" i="6"/>
  <c r="C5041" i="6"/>
  <c r="B5041" i="6"/>
  <c r="D5040" i="6"/>
  <c r="C5040" i="6"/>
  <c r="B5040" i="6"/>
  <c r="D5039" i="6"/>
  <c r="C5039" i="6"/>
  <c r="B5039" i="6"/>
  <c r="D5038" i="6"/>
  <c r="C5038" i="6"/>
  <c r="B5038" i="6"/>
  <c r="D5037" i="6"/>
  <c r="C5037" i="6"/>
  <c r="B5037" i="6"/>
  <c r="D5036" i="6"/>
  <c r="C5036" i="6"/>
  <c r="B5036" i="6"/>
  <c r="D5035" i="6"/>
  <c r="C5035" i="6"/>
  <c r="B5035" i="6"/>
  <c r="D5034" i="6"/>
  <c r="C5034" i="6"/>
  <c r="B5034" i="6"/>
  <c r="D5033" i="6"/>
  <c r="C5033" i="6"/>
  <c r="B5033" i="6"/>
  <c r="D5032" i="6"/>
  <c r="C5032" i="6"/>
  <c r="B5032" i="6"/>
  <c r="D5031" i="6"/>
  <c r="C5031" i="6"/>
  <c r="B5031" i="6"/>
  <c r="D5030" i="6"/>
  <c r="C5030" i="6"/>
  <c r="B5030" i="6"/>
  <c r="D5029" i="6"/>
  <c r="C5029" i="6"/>
  <c r="B5029" i="6"/>
  <c r="D5028" i="6"/>
  <c r="C5028" i="6"/>
  <c r="B5028" i="6"/>
  <c r="D5027" i="6"/>
  <c r="C5027" i="6"/>
  <c r="B5027" i="6"/>
  <c r="D5026" i="6"/>
  <c r="C5026" i="6"/>
  <c r="B5026" i="6"/>
  <c r="D5025" i="6"/>
  <c r="C5025" i="6"/>
  <c r="B5025" i="6"/>
  <c r="D5024" i="6"/>
  <c r="C5024" i="6"/>
  <c r="B5024" i="6"/>
  <c r="D5023" i="6"/>
  <c r="C5023" i="6"/>
  <c r="B5023" i="6"/>
  <c r="D5022" i="6"/>
  <c r="C5022" i="6"/>
  <c r="B5022" i="6"/>
  <c r="D5021" i="6"/>
  <c r="C5021" i="6"/>
  <c r="B5021" i="6"/>
  <c r="D5020" i="6"/>
  <c r="C5020" i="6"/>
  <c r="B5020" i="6"/>
  <c r="D5019" i="6"/>
  <c r="C5019" i="6"/>
  <c r="B5019" i="6"/>
  <c r="D5018" i="6"/>
  <c r="C5018" i="6"/>
  <c r="B5018" i="6"/>
  <c r="D5017" i="6"/>
  <c r="C5017" i="6"/>
  <c r="B5017" i="6"/>
  <c r="D5016" i="6"/>
  <c r="C5016" i="6"/>
  <c r="B5016" i="6"/>
  <c r="D5015" i="6"/>
  <c r="C5015" i="6"/>
  <c r="B5015" i="6"/>
  <c r="D5014" i="6"/>
  <c r="C5014" i="6"/>
  <c r="B5014" i="6"/>
  <c r="D5013" i="6"/>
  <c r="C5013" i="6"/>
  <c r="B5013" i="6"/>
  <c r="D5012" i="6"/>
  <c r="C5012" i="6"/>
  <c r="B5012" i="6"/>
  <c r="D5011" i="6"/>
  <c r="C5011" i="6"/>
  <c r="B5011" i="6"/>
  <c r="D5010" i="6"/>
  <c r="C5010" i="6"/>
  <c r="B5010" i="6"/>
  <c r="D5009" i="6"/>
  <c r="C5009" i="6"/>
  <c r="B5009" i="6"/>
  <c r="D5008" i="6"/>
  <c r="C5008" i="6"/>
  <c r="B5008" i="6"/>
  <c r="D5007" i="6"/>
  <c r="C5007" i="6"/>
  <c r="B5007" i="6"/>
  <c r="D5006" i="6"/>
  <c r="C5006" i="6"/>
  <c r="B5006" i="6"/>
  <c r="D5005" i="6"/>
  <c r="C5005" i="6"/>
  <c r="B5005" i="6"/>
  <c r="D5004" i="6"/>
  <c r="C5004" i="6"/>
  <c r="B5004" i="6"/>
  <c r="D5003" i="6"/>
  <c r="C5003" i="6"/>
  <c r="B5003" i="6"/>
  <c r="D5002" i="6"/>
  <c r="C5002" i="6"/>
  <c r="B5002" i="6"/>
  <c r="D5001" i="6"/>
  <c r="C5001" i="6"/>
  <c r="B5001" i="6"/>
  <c r="D5000" i="6"/>
  <c r="C5000" i="6"/>
  <c r="B5000" i="6"/>
  <c r="D4999" i="6"/>
  <c r="C4999" i="6"/>
  <c r="B4999" i="6"/>
  <c r="D4998" i="6"/>
  <c r="C4998" i="6"/>
  <c r="B4998" i="6"/>
  <c r="D4997" i="6"/>
  <c r="C4997" i="6"/>
  <c r="B4997" i="6"/>
  <c r="D4996" i="6"/>
  <c r="C4996" i="6"/>
  <c r="B4996" i="6"/>
  <c r="D4995" i="6"/>
  <c r="C4995" i="6"/>
  <c r="B4995" i="6"/>
  <c r="V4994" i="6"/>
  <c r="D4994" i="6"/>
  <c r="C4994" i="6"/>
  <c r="B4994" i="6"/>
  <c r="D4993" i="6"/>
  <c r="C4993" i="6"/>
  <c r="B4993" i="6"/>
  <c r="D4992" i="6"/>
  <c r="C4992" i="6"/>
  <c r="B4992" i="6"/>
  <c r="D4991" i="6"/>
  <c r="C4991" i="6"/>
  <c r="B4991" i="6"/>
  <c r="D4990" i="6"/>
  <c r="C4990" i="6"/>
  <c r="B4990" i="6"/>
  <c r="D4989" i="6"/>
  <c r="C4989" i="6"/>
  <c r="B4989" i="6"/>
  <c r="V4988" i="6"/>
  <c r="D4988" i="6"/>
  <c r="C4988" i="6"/>
  <c r="B4988" i="6"/>
  <c r="D4987" i="6"/>
  <c r="C4987" i="6"/>
  <c r="B4987" i="6"/>
  <c r="D4986" i="6"/>
  <c r="C4986" i="6"/>
  <c r="B4986" i="6"/>
  <c r="D4985" i="6"/>
  <c r="C4985" i="6"/>
  <c r="B4985" i="6"/>
  <c r="D4984" i="6"/>
  <c r="C4984" i="6"/>
  <c r="B4984" i="6"/>
  <c r="D4983" i="6"/>
  <c r="C4983" i="6"/>
  <c r="B4983" i="6"/>
  <c r="D4982" i="6"/>
  <c r="C4982" i="6"/>
  <c r="B4982" i="6"/>
  <c r="D4981" i="6"/>
  <c r="C4981" i="6"/>
  <c r="B4981" i="6"/>
  <c r="V4980" i="6"/>
  <c r="D4980" i="6"/>
  <c r="C4980" i="6"/>
  <c r="B4980" i="6"/>
  <c r="D4979" i="6"/>
  <c r="C4979" i="6"/>
  <c r="B4979" i="6"/>
  <c r="D4978" i="6"/>
  <c r="C4978" i="6"/>
  <c r="B4978" i="6"/>
  <c r="D4977" i="6"/>
  <c r="C4977" i="6"/>
  <c r="B4977" i="6"/>
  <c r="V4976" i="6"/>
  <c r="D4976" i="6"/>
  <c r="C4976" i="6"/>
  <c r="B4976" i="6"/>
  <c r="D4975" i="6"/>
  <c r="C4975" i="6"/>
  <c r="B4975" i="6"/>
  <c r="D4974" i="6"/>
  <c r="C4974" i="6"/>
  <c r="B4974" i="6"/>
  <c r="D4973" i="6"/>
  <c r="C4973" i="6"/>
  <c r="B4973" i="6"/>
  <c r="D4972" i="6"/>
  <c r="C4972" i="6"/>
  <c r="B4972" i="6"/>
  <c r="D4971" i="6"/>
  <c r="C4971" i="6"/>
  <c r="B4971" i="6"/>
  <c r="D4970" i="6"/>
  <c r="C4970" i="6"/>
  <c r="B4970" i="6"/>
  <c r="D4969" i="6"/>
  <c r="C4969" i="6"/>
  <c r="B4969" i="6"/>
  <c r="D4968" i="6"/>
  <c r="C4968" i="6"/>
  <c r="B4968" i="6"/>
  <c r="D4967" i="6"/>
  <c r="C4967" i="6"/>
  <c r="B4967" i="6"/>
  <c r="D4966" i="6"/>
  <c r="C4966" i="6"/>
  <c r="B4966" i="6"/>
  <c r="D4965" i="6"/>
  <c r="C4965" i="6"/>
  <c r="B4965" i="6"/>
  <c r="D4964" i="6"/>
  <c r="C4964" i="6"/>
  <c r="B4964" i="6"/>
  <c r="D4963" i="6"/>
  <c r="C4963" i="6"/>
  <c r="B4963" i="6"/>
  <c r="D4962" i="6"/>
  <c r="C4962" i="6"/>
  <c r="B4962" i="6"/>
  <c r="D4961" i="6"/>
  <c r="C4961" i="6"/>
  <c r="B4961" i="6"/>
  <c r="D4960" i="6"/>
  <c r="C4960" i="6"/>
  <c r="B4960" i="6"/>
  <c r="D4959" i="6"/>
  <c r="C4959" i="6"/>
  <c r="B4959" i="6"/>
  <c r="D4958" i="6"/>
  <c r="C4958" i="6"/>
  <c r="B4958" i="6"/>
  <c r="D4957" i="6"/>
  <c r="C4957" i="6"/>
  <c r="B4957" i="6"/>
  <c r="D4956" i="6"/>
  <c r="C4956" i="6"/>
  <c r="B4956" i="6"/>
  <c r="D4955" i="6"/>
  <c r="C4955" i="6"/>
  <c r="B4955" i="6"/>
  <c r="D4954" i="6"/>
  <c r="C4954" i="6"/>
  <c r="B4954" i="6"/>
  <c r="D4953" i="6"/>
  <c r="C4953" i="6"/>
  <c r="B4953" i="6"/>
  <c r="D4952" i="6"/>
  <c r="C4952" i="6"/>
  <c r="B4952" i="6"/>
  <c r="D4951" i="6"/>
  <c r="C4951" i="6"/>
  <c r="B4951" i="6"/>
  <c r="D4950" i="6"/>
  <c r="C4950" i="6"/>
  <c r="B4950" i="6"/>
  <c r="D4949" i="6"/>
  <c r="C4949" i="6"/>
  <c r="B4949" i="6"/>
  <c r="D4948" i="6"/>
  <c r="C4948" i="6"/>
  <c r="B4948" i="6"/>
  <c r="D4947" i="6"/>
  <c r="C4947" i="6"/>
  <c r="B4947" i="6"/>
  <c r="D4946" i="6"/>
  <c r="C4946" i="6"/>
  <c r="B4946" i="6"/>
  <c r="D4945" i="6"/>
  <c r="C4945" i="6"/>
  <c r="B4945" i="6"/>
  <c r="D4944" i="6"/>
  <c r="C4944" i="6"/>
  <c r="B4944" i="6"/>
  <c r="D4943" i="6"/>
  <c r="C4943" i="6"/>
  <c r="B4943" i="6"/>
  <c r="D4942" i="6"/>
  <c r="C4942" i="6"/>
  <c r="B4942" i="6"/>
  <c r="D4941" i="6"/>
  <c r="C4941" i="6"/>
  <c r="B4941" i="6"/>
  <c r="D4940" i="6"/>
  <c r="C4940" i="6"/>
  <c r="B4940" i="6"/>
  <c r="D4939" i="6"/>
  <c r="C4939" i="6"/>
  <c r="B4939" i="6"/>
  <c r="D4938" i="6"/>
  <c r="C4938" i="6"/>
  <c r="B4938" i="6"/>
  <c r="D4937" i="6"/>
  <c r="C4937" i="6"/>
  <c r="B4937" i="6"/>
  <c r="D4936" i="6"/>
  <c r="C4936" i="6"/>
  <c r="B4936" i="6"/>
  <c r="D4935" i="6"/>
  <c r="C4935" i="6"/>
  <c r="B4935" i="6"/>
  <c r="D4934" i="6"/>
  <c r="C4934" i="6"/>
  <c r="B4934" i="6"/>
  <c r="D4933" i="6"/>
  <c r="C4933" i="6"/>
  <c r="B4933" i="6"/>
  <c r="D4932" i="6"/>
  <c r="C4932" i="6"/>
  <c r="B4932" i="6"/>
  <c r="D4931" i="6"/>
  <c r="C4931" i="6"/>
  <c r="B4931" i="6"/>
  <c r="D4930" i="6"/>
  <c r="C4930" i="6"/>
  <c r="B4930" i="6"/>
  <c r="D4929" i="6"/>
  <c r="C4929" i="6"/>
  <c r="B4929" i="6"/>
  <c r="D4928" i="6"/>
  <c r="C4928" i="6"/>
  <c r="B4928" i="6"/>
  <c r="D4927" i="6"/>
  <c r="C4927" i="6"/>
  <c r="B4927" i="6"/>
  <c r="D4926" i="6"/>
  <c r="C4926" i="6"/>
  <c r="B4926" i="6"/>
  <c r="D4925" i="6"/>
  <c r="C4925" i="6"/>
  <c r="B4925" i="6"/>
  <c r="D4924" i="6"/>
  <c r="C4924" i="6"/>
  <c r="B4924" i="6"/>
  <c r="D4923" i="6"/>
  <c r="C4923" i="6"/>
  <c r="B4923" i="6"/>
  <c r="D4922" i="6"/>
  <c r="C4922" i="6"/>
  <c r="B4922" i="6"/>
  <c r="D4921" i="6"/>
  <c r="C4921" i="6"/>
  <c r="B4921" i="6"/>
  <c r="D4920" i="6"/>
  <c r="C4920" i="6"/>
  <c r="B4920" i="6"/>
  <c r="D4919" i="6"/>
  <c r="C4919" i="6"/>
  <c r="B4919" i="6"/>
  <c r="D4918" i="6"/>
  <c r="C4918" i="6"/>
  <c r="B4918" i="6"/>
  <c r="D4917" i="6"/>
  <c r="C4917" i="6"/>
  <c r="B4917" i="6"/>
  <c r="D4916" i="6"/>
  <c r="C4916" i="6"/>
  <c r="B4916" i="6"/>
  <c r="D4915" i="6"/>
  <c r="C4915" i="6"/>
  <c r="B4915" i="6"/>
  <c r="D4914" i="6"/>
  <c r="C4914" i="6"/>
  <c r="B4914" i="6"/>
  <c r="D5117" i="6"/>
  <c r="C5117" i="6"/>
  <c r="B5117" i="6"/>
  <c r="D5116" i="6"/>
  <c r="C5116" i="6"/>
  <c r="B5116" i="6"/>
  <c r="D5115" i="6"/>
  <c r="C5115" i="6"/>
  <c r="B5115" i="6"/>
  <c r="V5114" i="6"/>
  <c r="D5114" i="6"/>
  <c r="C5114" i="6"/>
  <c r="B5114" i="6"/>
  <c r="D5113" i="6"/>
  <c r="C5113" i="6"/>
  <c r="B5113" i="6"/>
  <c r="D5112" i="6"/>
  <c r="C5112" i="6"/>
  <c r="B5112" i="6"/>
  <c r="D5111" i="6"/>
  <c r="C5111" i="6"/>
  <c r="B5111" i="6"/>
  <c r="D5110" i="6"/>
  <c r="C5110" i="6"/>
  <c r="B5110" i="6"/>
  <c r="D5109" i="6"/>
  <c r="C5109" i="6"/>
  <c r="B5109" i="6"/>
  <c r="D5108" i="6"/>
  <c r="C5108" i="6"/>
  <c r="B5108" i="6"/>
  <c r="D5107" i="6"/>
  <c r="C5107" i="6"/>
  <c r="B5107" i="6"/>
  <c r="V5106" i="6"/>
  <c r="D5106" i="6"/>
  <c r="C5106" i="6"/>
  <c r="B5106" i="6"/>
  <c r="D5105" i="6"/>
  <c r="C5105" i="6"/>
  <c r="B5105" i="6"/>
  <c r="D5104" i="6"/>
  <c r="C5104" i="6"/>
  <c r="B5104" i="6"/>
  <c r="D5103" i="6"/>
  <c r="C5103" i="6"/>
  <c r="B5103" i="6"/>
  <c r="D5102" i="6"/>
  <c r="C5102" i="6"/>
  <c r="B5102" i="6"/>
  <c r="V5101" i="6"/>
  <c r="D5101" i="6"/>
  <c r="C5101" i="6"/>
  <c r="B5101" i="6"/>
  <c r="D5100" i="6"/>
  <c r="C5100" i="6"/>
  <c r="B5100" i="6"/>
  <c r="D5099" i="6"/>
  <c r="C5099" i="6"/>
  <c r="B5099" i="6"/>
  <c r="D5098" i="6"/>
  <c r="C5098" i="6"/>
  <c r="B5098" i="6"/>
  <c r="V5097" i="6"/>
  <c r="D5097" i="6"/>
  <c r="C5097" i="6"/>
  <c r="B5097" i="6"/>
  <c r="D5096" i="6"/>
  <c r="C5096" i="6"/>
  <c r="B5096" i="6"/>
  <c r="D5095" i="6"/>
  <c r="C5095" i="6"/>
  <c r="B5095" i="6"/>
  <c r="D5094" i="6"/>
  <c r="C5094" i="6"/>
  <c r="B5094" i="6"/>
  <c r="D5093" i="6"/>
  <c r="C5093" i="6"/>
  <c r="B5093" i="6"/>
  <c r="D5092" i="6"/>
  <c r="C5092" i="6"/>
  <c r="B5092" i="6"/>
  <c r="D5091" i="6"/>
  <c r="C5091" i="6"/>
  <c r="B5091" i="6"/>
  <c r="D5090" i="6"/>
  <c r="C5090" i="6"/>
  <c r="B5090" i="6"/>
  <c r="V5089" i="6"/>
  <c r="D5089" i="6"/>
  <c r="C5089" i="6"/>
  <c r="B5089" i="6"/>
  <c r="D5088" i="6"/>
  <c r="C5088" i="6"/>
  <c r="B5088" i="6"/>
  <c r="D5087" i="6"/>
  <c r="C5087" i="6"/>
  <c r="B5087" i="6"/>
  <c r="D5086" i="6"/>
  <c r="C5086" i="6"/>
  <c r="B5086" i="6"/>
  <c r="D5085" i="6"/>
  <c r="C5085" i="6"/>
  <c r="B5085" i="6"/>
  <c r="D5084" i="6"/>
  <c r="C5084" i="6"/>
  <c r="B5084" i="6"/>
  <c r="D5083" i="6"/>
  <c r="C5083" i="6"/>
  <c r="B5083" i="6"/>
  <c r="D5082" i="6"/>
  <c r="C5082" i="6"/>
  <c r="B5082" i="6"/>
  <c r="D5081" i="6"/>
  <c r="C5081" i="6"/>
  <c r="B5081" i="6"/>
  <c r="D5080" i="6"/>
  <c r="C5080" i="6"/>
  <c r="B5080" i="6"/>
  <c r="D5079" i="6"/>
  <c r="C5079" i="6"/>
  <c r="B5079" i="6"/>
  <c r="D5078" i="6"/>
  <c r="C5078" i="6"/>
  <c r="B5078" i="6"/>
  <c r="V5077" i="6"/>
  <c r="D5077" i="6"/>
  <c r="C5077" i="6"/>
  <c r="B5077" i="6"/>
  <c r="V5076" i="6"/>
  <c r="D5076" i="6"/>
  <c r="C5076" i="6"/>
  <c r="B5076" i="6"/>
  <c r="D5075" i="6"/>
  <c r="C5075" i="6"/>
  <c r="B5075" i="6"/>
  <c r="D5074" i="6"/>
  <c r="C5074" i="6"/>
  <c r="B5074" i="6"/>
  <c r="D5073" i="6"/>
  <c r="C5073" i="6"/>
  <c r="B5073" i="6"/>
  <c r="D5072" i="6"/>
  <c r="C5072" i="6"/>
  <c r="B5072" i="6"/>
  <c r="D5071" i="6"/>
  <c r="C5071" i="6"/>
  <c r="B5071" i="6"/>
  <c r="D5070" i="6"/>
  <c r="C5070" i="6"/>
  <c r="B5070" i="6"/>
  <c r="D5069" i="6"/>
  <c r="C5069" i="6"/>
  <c r="B5069" i="6"/>
  <c r="D5068" i="6"/>
  <c r="C5068" i="6"/>
  <c r="B5068" i="6"/>
  <c r="D5067" i="6"/>
  <c r="C5067" i="6"/>
  <c r="B5067" i="6"/>
  <c r="D5066" i="6"/>
  <c r="C5066" i="6"/>
  <c r="B5066" i="6"/>
  <c r="D5065" i="6"/>
  <c r="C5065" i="6"/>
  <c r="B5065" i="6"/>
  <c r="D5064" i="6"/>
  <c r="C5064" i="6"/>
  <c r="B5064" i="6"/>
  <c r="D5063" i="6"/>
  <c r="C5063" i="6"/>
  <c r="B5063" i="6"/>
  <c r="D5062" i="6"/>
  <c r="C5062" i="6"/>
  <c r="B5062" i="6"/>
  <c r="D5061" i="6"/>
  <c r="C5061" i="6"/>
  <c r="B5061" i="6"/>
  <c r="D5060" i="6"/>
  <c r="C5060" i="6"/>
  <c r="B5060" i="6"/>
  <c r="D5059" i="6"/>
  <c r="C5059" i="6"/>
  <c r="B5059" i="6"/>
  <c r="D5058" i="6"/>
  <c r="C5058" i="6"/>
  <c r="B5058" i="6"/>
  <c r="D5057" i="6"/>
  <c r="C5057" i="6"/>
  <c r="B5057" i="6"/>
  <c r="D5056" i="6"/>
  <c r="C5056" i="6"/>
  <c r="B5056" i="6"/>
  <c r="D5055" i="6"/>
  <c r="C5055" i="6"/>
  <c r="B5055" i="6"/>
  <c r="D5054" i="6"/>
  <c r="C5054" i="6"/>
  <c r="B5054" i="6"/>
  <c r="D5053" i="6"/>
  <c r="C5053" i="6"/>
  <c r="B5053" i="6"/>
  <c r="D5052" i="6"/>
  <c r="C5052" i="6"/>
  <c r="B5052" i="6"/>
  <c r="D5051" i="6"/>
  <c r="C5051" i="6"/>
  <c r="B5051" i="6"/>
  <c r="D5050" i="6"/>
  <c r="C5050" i="6"/>
  <c r="B5050" i="6"/>
  <c r="D5151" i="6"/>
  <c r="C5151" i="6"/>
  <c r="B5151" i="6"/>
  <c r="D5150" i="6"/>
  <c r="C5150" i="6"/>
  <c r="B5150" i="6"/>
  <c r="V5149" i="6"/>
  <c r="D5149" i="6"/>
  <c r="C5149" i="6"/>
  <c r="B5149" i="6"/>
  <c r="D5148" i="6"/>
  <c r="C5148" i="6"/>
  <c r="B5148" i="6"/>
  <c r="D5147" i="6"/>
  <c r="C5147" i="6"/>
  <c r="B5147" i="6"/>
  <c r="V5146" i="6"/>
  <c r="D5146" i="6"/>
  <c r="C5146" i="6"/>
  <c r="B5146" i="6"/>
  <c r="D5145" i="6"/>
  <c r="C5145" i="6"/>
  <c r="B5145" i="6"/>
  <c r="D5144" i="6"/>
  <c r="C5144" i="6"/>
  <c r="B5144" i="6"/>
  <c r="V5143" i="6"/>
  <c r="D5143" i="6"/>
  <c r="C5143" i="6"/>
  <c r="B5143" i="6"/>
  <c r="D5142" i="6"/>
  <c r="C5142" i="6"/>
  <c r="B5142" i="6"/>
  <c r="D5141" i="6"/>
  <c r="C5141" i="6"/>
  <c r="B5141" i="6"/>
  <c r="D5140" i="6"/>
  <c r="C5140" i="6"/>
  <c r="B5140" i="6"/>
  <c r="D5139" i="6"/>
  <c r="C5139" i="6"/>
  <c r="B5139" i="6"/>
  <c r="D5138" i="6"/>
  <c r="C5138" i="6"/>
  <c r="B5138" i="6"/>
  <c r="D5137" i="6"/>
  <c r="C5137" i="6"/>
  <c r="B5137" i="6"/>
  <c r="V5136" i="6"/>
  <c r="D5136" i="6"/>
  <c r="C5136" i="6"/>
  <c r="B5136" i="6"/>
  <c r="D5135" i="6"/>
  <c r="C5135" i="6"/>
  <c r="B5135" i="6"/>
  <c r="D5134" i="6"/>
  <c r="C5134" i="6"/>
  <c r="B5134" i="6"/>
  <c r="D5133" i="6"/>
  <c r="C5133" i="6"/>
  <c r="B5133" i="6"/>
  <c r="D5132" i="6"/>
  <c r="C5132" i="6"/>
  <c r="B5132" i="6"/>
  <c r="D5131" i="6"/>
  <c r="C5131" i="6"/>
  <c r="B5131" i="6"/>
  <c r="D5130" i="6"/>
  <c r="C5130" i="6"/>
  <c r="B5130" i="6"/>
  <c r="D5129" i="6"/>
  <c r="C5129" i="6"/>
  <c r="B5129" i="6"/>
  <c r="V5128" i="6"/>
  <c r="D5128" i="6"/>
  <c r="C5128" i="6"/>
  <c r="B5128" i="6"/>
  <c r="D5127" i="6"/>
  <c r="C5127" i="6"/>
  <c r="B5127" i="6"/>
  <c r="D5126" i="6"/>
  <c r="C5126" i="6"/>
  <c r="B5126" i="6"/>
  <c r="D5125" i="6"/>
  <c r="C5125" i="6"/>
  <c r="B5125" i="6"/>
  <c r="D5124" i="6"/>
  <c r="C5124" i="6"/>
  <c r="B5124" i="6"/>
  <c r="D5123" i="6"/>
  <c r="C5123" i="6"/>
  <c r="B5123" i="6"/>
  <c r="D5122" i="6"/>
  <c r="C5122" i="6"/>
  <c r="B5122" i="6"/>
  <c r="V5121" i="6"/>
  <c r="D5121" i="6"/>
  <c r="C5121" i="6"/>
  <c r="B5121" i="6"/>
  <c r="V5120" i="6"/>
  <c r="D5120" i="6"/>
  <c r="C5120" i="6"/>
  <c r="B5120" i="6"/>
  <c r="D5119" i="6"/>
  <c r="C5119" i="6"/>
  <c r="B5119" i="6"/>
  <c r="D5118" i="6"/>
  <c r="C5118" i="6"/>
  <c r="B5118" i="6"/>
  <c r="D5168" i="6"/>
  <c r="C5168" i="6"/>
  <c r="B5168" i="6"/>
  <c r="D5167" i="6"/>
  <c r="C5167" i="6"/>
  <c r="B5167" i="6"/>
  <c r="D5166" i="6"/>
  <c r="C5166" i="6"/>
  <c r="B5166" i="6"/>
  <c r="D5165" i="6"/>
  <c r="C5165" i="6"/>
  <c r="B5165" i="6"/>
  <c r="D5164" i="6"/>
  <c r="C5164" i="6"/>
  <c r="B5164" i="6"/>
  <c r="D5163" i="6"/>
  <c r="C5163" i="6"/>
  <c r="B5163" i="6"/>
  <c r="D5162" i="6"/>
  <c r="C5162" i="6"/>
  <c r="B5162" i="6"/>
  <c r="D5161" i="6"/>
  <c r="C5161" i="6"/>
  <c r="B5161" i="6"/>
  <c r="D5160" i="6"/>
  <c r="C5160" i="6"/>
  <c r="B5160" i="6"/>
  <c r="D5159" i="6"/>
  <c r="C5159" i="6"/>
  <c r="B5159" i="6"/>
  <c r="D5158" i="6"/>
  <c r="C5158" i="6"/>
  <c r="B5158" i="6"/>
  <c r="D5157" i="6"/>
  <c r="C5157" i="6"/>
  <c r="B5157" i="6"/>
  <c r="D5156" i="6"/>
  <c r="C5156" i="6"/>
  <c r="B5156" i="6"/>
  <c r="D5155" i="6"/>
  <c r="C5155" i="6"/>
  <c r="B5155" i="6"/>
  <c r="D5154" i="6"/>
  <c r="C5154" i="6"/>
  <c r="B5154" i="6"/>
  <c r="D5153" i="6"/>
  <c r="C5153" i="6"/>
  <c r="B5153" i="6"/>
  <c r="D5152" i="6"/>
  <c r="C5152" i="6"/>
  <c r="B5152" i="6"/>
  <c r="H769" i="6"/>
  <c r="H1998" i="6"/>
  <c r="I1998" i="6"/>
  <c r="H1999" i="6"/>
  <c r="I1999" i="6"/>
  <c r="H2001" i="6"/>
  <c r="I2001" i="6"/>
  <c r="H2003" i="6"/>
  <c r="I2003" i="6"/>
  <c r="H2004" i="6"/>
  <c r="I2004" i="6"/>
  <c r="H2006" i="6"/>
  <c r="I2006" i="6"/>
  <c r="H2007" i="6"/>
  <c r="I2007" i="6"/>
  <c r="H2008" i="6"/>
  <c r="I2008" i="6"/>
  <c r="H2010" i="6"/>
  <c r="I2010" i="6"/>
  <c r="H2011" i="6"/>
  <c r="I2011" i="6"/>
  <c r="H2015" i="6"/>
  <c r="I2015" i="6"/>
  <c r="H2016" i="6"/>
  <c r="I2016" i="6"/>
  <c r="H2022" i="6"/>
  <c r="I2022" i="6"/>
  <c r="H2027" i="6"/>
  <c r="I2027" i="6"/>
  <c r="H2028" i="6"/>
  <c r="I2028" i="6"/>
  <c r="H2029" i="6"/>
  <c r="I2029" i="6"/>
  <c r="H2030" i="6"/>
  <c r="I2030" i="6"/>
  <c r="H2031" i="6"/>
  <c r="I2031" i="6"/>
  <c r="H2032" i="6"/>
  <c r="I2032" i="6"/>
  <c r="H2033" i="6"/>
  <c r="I2033" i="6"/>
  <c r="H2034" i="6"/>
  <c r="I2034" i="6"/>
  <c r="H2035" i="6"/>
  <c r="I2035" i="6"/>
  <c r="H2036" i="6"/>
  <c r="I2036" i="6"/>
  <c r="H2037" i="6"/>
  <c r="I2037" i="6"/>
  <c r="H2038" i="6"/>
  <c r="I2038" i="6"/>
  <c r="H2039" i="6"/>
  <c r="I2039" i="6"/>
  <c r="H2040" i="6"/>
  <c r="I2040" i="6"/>
  <c r="H2041" i="6"/>
  <c r="I2041" i="6"/>
  <c r="H2042" i="6"/>
  <c r="I2042" i="6"/>
  <c r="H2043" i="6"/>
  <c r="I2043" i="6"/>
  <c r="H2044" i="6"/>
  <c r="I2044" i="6"/>
  <c r="H2045" i="6"/>
  <c r="I2045" i="6"/>
  <c r="H2046" i="6"/>
  <c r="I2046" i="6"/>
  <c r="H2047" i="6"/>
  <c r="I2047" i="6"/>
  <c r="H2055" i="6"/>
  <c r="I2055" i="6"/>
  <c r="H2056" i="6"/>
  <c r="I2056" i="6"/>
  <c r="H2057" i="6"/>
  <c r="I2057" i="6"/>
  <c r="H2058" i="6"/>
  <c r="I2058" i="6"/>
  <c r="H2060" i="6"/>
  <c r="I2060" i="6"/>
  <c r="H2061" i="6"/>
  <c r="I2061" i="6"/>
  <c r="H2065" i="6"/>
  <c r="I2065" i="6"/>
  <c r="H2066" i="6"/>
  <c r="I2066" i="6"/>
  <c r="H2072" i="6"/>
  <c r="I2072" i="6"/>
  <c r="H2073" i="6"/>
  <c r="I2073" i="6"/>
  <c r="H2074" i="6"/>
  <c r="I2074" i="6"/>
  <c r="H2075" i="6"/>
  <c r="I2075" i="6"/>
  <c r="H2076" i="6"/>
  <c r="I2076" i="6"/>
  <c r="H2077" i="6"/>
  <c r="I2077" i="6"/>
  <c r="H2078" i="6"/>
  <c r="I2078" i="6"/>
  <c r="H2079" i="6"/>
  <c r="I2079" i="6"/>
  <c r="H2080" i="6"/>
  <c r="I2080" i="6"/>
  <c r="H2081" i="6"/>
  <c r="I2081" i="6"/>
  <c r="H2082" i="6"/>
  <c r="I2082" i="6"/>
  <c r="H2083" i="6"/>
  <c r="I2083" i="6"/>
  <c r="H2084" i="6"/>
  <c r="I2084" i="6"/>
  <c r="H2085" i="6"/>
  <c r="I2085" i="6"/>
  <c r="H2086" i="6"/>
  <c r="I2086" i="6"/>
  <c r="H2087" i="6"/>
  <c r="I2087" i="6"/>
  <c r="H2088" i="6"/>
  <c r="I2088" i="6"/>
  <c r="H2089" i="6"/>
  <c r="I2089" i="6"/>
  <c r="H2095" i="6"/>
  <c r="I2095" i="6"/>
  <c r="H2106" i="6"/>
  <c r="I2106" i="6"/>
  <c r="H2107" i="6"/>
  <c r="I2107" i="6"/>
  <c r="H2108" i="6"/>
  <c r="I2108" i="6"/>
  <c r="H2109" i="6"/>
  <c r="I2109" i="6"/>
  <c r="H2110" i="6"/>
  <c r="I2110" i="6"/>
  <c r="H2114" i="6"/>
  <c r="I2114" i="6"/>
  <c r="H2115" i="6"/>
  <c r="I2115" i="6"/>
  <c r="H2116" i="6"/>
  <c r="I2116" i="6"/>
  <c r="H2117" i="6"/>
  <c r="I2117" i="6"/>
  <c r="H2118" i="6"/>
  <c r="I2118" i="6"/>
  <c r="H2119" i="6"/>
  <c r="I2119" i="6"/>
  <c r="H2120" i="6"/>
  <c r="I2120" i="6"/>
  <c r="H2121" i="6"/>
  <c r="I2121" i="6"/>
  <c r="H2127" i="6"/>
  <c r="I2127" i="6"/>
  <c r="H2128" i="6"/>
  <c r="I2128" i="6"/>
  <c r="H2129" i="6"/>
  <c r="I2129" i="6"/>
  <c r="H2130" i="6"/>
  <c r="I2130" i="6"/>
  <c r="H2131" i="6"/>
  <c r="I2131" i="6"/>
  <c r="H2132" i="6"/>
  <c r="I2132" i="6"/>
  <c r="H2135" i="6"/>
  <c r="I2135" i="6"/>
  <c r="H2136" i="6"/>
  <c r="I2136" i="6"/>
  <c r="H2137" i="6"/>
  <c r="I2137" i="6"/>
  <c r="H2138" i="6"/>
  <c r="I2138" i="6"/>
  <c r="H2139" i="6"/>
  <c r="I2139" i="6"/>
  <c r="H2140" i="6"/>
  <c r="I2140" i="6"/>
  <c r="H2141" i="6"/>
  <c r="I2141" i="6"/>
  <c r="H2142" i="6"/>
  <c r="I2142" i="6"/>
  <c r="H2143" i="6"/>
  <c r="I2143" i="6"/>
  <c r="H2144" i="6"/>
  <c r="I2144" i="6"/>
  <c r="H2145" i="6"/>
  <c r="I2145" i="6"/>
  <c r="H2146" i="6"/>
  <c r="I2146" i="6"/>
  <c r="H2147" i="6"/>
  <c r="I2147" i="6"/>
  <c r="H2148" i="6"/>
  <c r="I2148" i="6"/>
  <c r="H2149" i="6"/>
  <c r="I2149" i="6"/>
  <c r="H2150" i="6"/>
  <c r="I2150" i="6"/>
  <c r="H2151" i="6"/>
  <c r="I2151" i="6"/>
  <c r="H2152" i="6"/>
  <c r="I2152" i="6"/>
  <c r="H2153" i="6"/>
  <c r="I2153" i="6"/>
  <c r="H2154" i="6"/>
  <c r="I2154" i="6"/>
  <c r="H2155" i="6"/>
  <c r="I2155" i="6"/>
  <c r="H2156" i="6"/>
  <c r="I2156" i="6"/>
  <c r="H2157" i="6"/>
  <c r="I2157" i="6"/>
  <c r="I2158" i="6"/>
  <c r="I2159" i="6"/>
  <c r="H2160" i="6"/>
  <c r="I2160" i="6"/>
  <c r="H2161" i="6"/>
  <c r="I2161" i="6"/>
  <c r="I2162" i="6"/>
  <c r="I2163" i="6"/>
  <c r="I2164" i="6"/>
  <c r="H2165" i="6"/>
  <c r="I2165" i="6"/>
  <c r="H2167" i="6"/>
  <c r="I2167" i="6"/>
  <c r="H2168" i="6"/>
  <c r="I2168" i="6"/>
  <c r="H2169" i="6"/>
  <c r="I2169" i="6"/>
  <c r="H2170" i="6"/>
  <c r="I2170" i="6"/>
  <c r="H2171" i="6"/>
  <c r="I2171" i="6"/>
  <c r="H2172" i="6"/>
  <c r="I2172" i="6"/>
  <c r="H2182" i="6"/>
  <c r="I2182" i="6"/>
  <c r="H2183" i="6"/>
  <c r="I2183" i="6"/>
  <c r="H2184" i="6"/>
  <c r="I2184" i="6"/>
  <c r="H2189" i="6"/>
  <c r="I2189" i="6"/>
  <c r="H2190" i="6"/>
  <c r="I2190" i="6"/>
  <c r="H2193" i="6"/>
  <c r="I2193" i="6"/>
  <c r="H2195" i="6"/>
  <c r="I2195" i="6"/>
  <c r="H2196" i="6"/>
  <c r="I2196" i="6"/>
  <c r="H2197" i="6"/>
  <c r="I2197" i="6"/>
  <c r="H2204" i="6"/>
  <c r="I2204" i="6"/>
  <c r="H2205" i="6"/>
  <c r="I2205" i="6"/>
  <c r="H2215" i="6"/>
  <c r="I2215" i="6"/>
  <c r="H2216" i="6"/>
  <c r="I2216" i="6"/>
  <c r="H2217" i="6"/>
  <c r="I2217" i="6"/>
  <c r="H2219" i="6"/>
  <c r="I2219" i="6"/>
  <c r="H2221" i="6"/>
  <c r="I2221" i="6"/>
  <c r="H2222" i="6"/>
  <c r="I2222" i="6"/>
  <c r="H2223" i="6"/>
  <c r="I2223" i="6"/>
  <c r="H2224" i="6"/>
  <c r="I2224" i="6"/>
  <c r="H2225" i="6"/>
  <c r="I2225" i="6"/>
  <c r="H2226" i="6"/>
  <c r="I2226" i="6"/>
  <c r="H2227" i="6"/>
  <c r="I2227" i="6"/>
  <c r="H2228" i="6"/>
  <c r="I2228" i="6"/>
  <c r="H2229" i="6"/>
  <c r="I2229" i="6"/>
  <c r="H2230" i="6"/>
  <c r="I2230" i="6"/>
  <c r="H2231" i="6"/>
  <c r="I2231" i="6"/>
  <c r="H2233" i="6"/>
  <c r="I2233" i="6"/>
  <c r="H2234" i="6"/>
  <c r="I2234" i="6"/>
  <c r="H2235" i="6"/>
  <c r="I2235" i="6"/>
  <c r="H2236" i="6"/>
  <c r="I2236" i="6"/>
  <c r="H2237" i="6"/>
  <c r="I2237" i="6"/>
  <c r="H2238" i="6"/>
  <c r="I2238" i="6"/>
  <c r="H2239" i="6"/>
  <c r="I2239" i="6"/>
  <c r="H2241" i="6"/>
  <c r="I2241" i="6"/>
  <c r="H2242" i="6"/>
  <c r="I2242" i="6"/>
  <c r="H2243" i="6"/>
  <c r="I2243" i="6"/>
  <c r="H2244" i="6"/>
  <c r="I2244" i="6"/>
  <c r="H2245" i="6"/>
  <c r="I2245" i="6"/>
  <c r="H2246" i="6"/>
  <c r="I2246" i="6"/>
  <c r="H2247" i="6"/>
  <c r="I2247" i="6"/>
  <c r="H2248" i="6"/>
  <c r="I2248" i="6"/>
  <c r="H2249" i="6"/>
  <c r="I2249" i="6"/>
  <c r="H2250" i="6"/>
  <c r="I2250" i="6"/>
  <c r="H2251" i="6"/>
  <c r="I2251" i="6"/>
  <c r="H2252" i="6"/>
  <c r="I2252" i="6"/>
  <c r="H2253" i="6"/>
  <c r="I2253" i="6"/>
  <c r="H2254" i="6"/>
  <c r="I2254" i="6"/>
  <c r="H2255" i="6"/>
  <c r="I2255" i="6"/>
  <c r="H2256" i="6"/>
  <c r="I2256" i="6"/>
  <c r="H2258" i="6"/>
  <c r="I2258" i="6"/>
  <c r="H2260" i="6"/>
  <c r="I2260" i="6"/>
  <c r="H2265" i="6"/>
  <c r="I2265" i="6"/>
  <c r="D4368" i="6"/>
  <c r="C4368" i="6"/>
  <c r="B4368" i="6"/>
  <c r="D4369" i="6"/>
  <c r="C4369" i="6"/>
  <c r="B4369" i="6"/>
  <c r="N657" i="14"/>
  <c r="N656" i="14"/>
  <c r="N655" i="14"/>
  <c r="N654" i="14"/>
  <c r="N653" i="14"/>
  <c r="N652" i="14"/>
  <c r="N651" i="14"/>
  <c r="N650" i="14"/>
  <c r="N8" i="14"/>
  <c r="N649" i="14"/>
  <c r="N647" i="14"/>
  <c r="N646" i="14"/>
  <c r="N645" i="14"/>
  <c r="N644" i="14"/>
  <c r="N643" i="14"/>
  <c r="N642" i="14"/>
  <c r="N641" i="14"/>
  <c r="N640" i="14"/>
  <c r="N639" i="14"/>
  <c r="N638" i="14"/>
  <c r="N637" i="14"/>
  <c r="N636" i="14"/>
  <c r="N635" i="14"/>
  <c r="N634" i="14"/>
  <c r="N669" i="14"/>
  <c r="N668" i="14"/>
  <c r="N667" i="14"/>
  <c r="N666" i="14"/>
  <c r="N665" i="14"/>
  <c r="N664" i="14"/>
  <c r="N663" i="14"/>
  <c r="N662" i="14"/>
  <c r="N661" i="14"/>
  <c r="N660" i="14"/>
  <c r="N659" i="14"/>
  <c r="N658" i="14"/>
  <c r="N632" i="14"/>
  <c r="N631" i="14"/>
  <c r="N630" i="14"/>
  <c r="N629" i="14"/>
  <c r="N628" i="14"/>
  <c r="N627" i="14"/>
  <c r="N626" i="14"/>
  <c r="N625" i="14"/>
  <c r="N624" i="14"/>
  <c r="N623" i="14"/>
  <c r="N622" i="14"/>
  <c r="N621" i="14"/>
  <c r="N620" i="14"/>
  <c r="N619" i="14"/>
  <c r="N675" i="14"/>
  <c r="N674" i="14"/>
  <c r="N673" i="14"/>
  <c r="N672" i="14"/>
  <c r="N671" i="14"/>
  <c r="N670" i="14"/>
  <c r="N633" i="14"/>
  <c r="O885" i="14"/>
  <c r="N885" i="14"/>
  <c r="P885" i="14" s="1"/>
  <c r="M885" i="14"/>
  <c r="R885" i="14" s="1"/>
  <c r="J885" i="14"/>
  <c r="Q885" i="14" s="1"/>
  <c r="N698" i="14"/>
  <c r="N697" i="14"/>
  <c r="C561" i="6"/>
  <c r="D4275" i="6"/>
  <c r="C4275" i="6"/>
  <c r="B4275" i="6"/>
  <c r="D4274" i="6"/>
  <c r="C4274" i="6"/>
  <c r="B4274" i="6"/>
  <c r="D4273" i="6"/>
  <c r="C4273" i="6"/>
  <c r="B4273" i="6"/>
  <c r="D4272" i="6"/>
  <c r="C4272" i="6"/>
  <c r="B4272" i="6"/>
  <c r="D4271" i="6"/>
  <c r="C4271" i="6"/>
  <c r="B4271" i="6"/>
  <c r="D4270" i="6"/>
  <c r="C4270" i="6"/>
  <c r="B4270" i="6"/>
  <c r="D4269" i="6"/>
  <c r="C4269" i="6"/>
  <c r="B4269" i="6"/>
  <c r="D4268" i="6"/>
  <c r="C4268" i="6"/>
  <c r="B4268" i="6"/>
  <c r="D4267" i="6"/>
  <c r="C4267" i="6"/>
  <c r="B4267" i="6"/>
  <c r="D4266" i="6"/>
  <c r="C4266" i="6"/>
  <c r="B4266" i="6"/>
  <c r="D4265" i="6"/>
  <c r="C4265" i="6"/>
  <c r="B4265" i="6"/>
  <c r="D4264" i="6"/>
  <c r="C4264" i="6"/>
  <c r="B4264" i="6"/>
  <c r="N598" i="14"/>
  <c r="N597" i="14"/>
  <c r="N596" i="14"/>
  <c r="N595" i="14"/>
  <c r="N594" i="14"/>
  <c r="N593" i="14"/>
  <c r="N592" i="14"/>
  <c r="N591" i="14"/>
  <c r="N590" i="14"/>
  <c r="N589" i="14"/>
  <c r="N588" i="14"/>
  <c r="N587" i="14"/>
  <c r="N586" i="14"/>
  <c r="N585" i="14"/>
  <c r="N584" i="14"/>
  <c r="N583" i="14"/>
  <c r="N582" i="14"/>
  <c r="N581" i="14"/>
  <c r="N580" i="14"/>
  <c r="N579" i="14"/>
  <c r="N578" i="14"/>
  <c r="N577" i="14"/>
  <c r="N576" i="14"/>
  <c r="N575" i="14"/>
  <c r="N610" i="14"/>
  <c r="N609" i="14"/>
  <c r="N608" i="14"/>
  <c r="N607" i="14"/>
  <c r="N606" i="14"/>
  <c r="N605" i="14"/>
  <c r="N604" i="14"/>
  <c r="N603" i="14"/>
  <c r="N602" i="14"/>
  <c r="N601" i="14"/>
  <c r="N600" i="14"/>
  <c r="N599" i="14"/>
  <c r="N616" i="14"/>
  <c r="N615" i="14"/>
  <c r="N614" i="14"/>
  <c r="N613" i="14"/>
  <c r="N612" i="14"/>
  <c r="N611" i="14"/>
  <c r="D4370" i="6"/>
  <c r="C4370" i="6"/>
  <c r="B4370" i="6"/>
  <c r="D4367" i="6"/>
  <c r="C4367" i="6"/>
  <c r="B4367" i="6"/>
  <c r="D4366" i="6"/>
  <c r="C4366" i="6"/>
  <c r="B4366" i="6"/>
  <c r="D4365" i="6"/>
  <c r="C4365" i="6"/>
  <c r="B4365" i="6"/>
  <c r="V4364" i="6"/>
  <c r="D4364" i="6"/>
  <c r="C4364" i="6"/>
  <c r="B4364" i="6"/>
  <c r="D4363" i="6"/>
  <c r="C4363" i="6"/>
  <c r="B4363" i="6"/>
  <c r="D4362" i="6"/>
  <c r="C4362" i="6"/>
  <c r="B4362" i="6"/>
  <c r="V4361" i="6"/>
  <c r="D4361" i="6"/>
  <c r="C4361" i="6"/>
  <c r="B4361" i="6"/>
  <c r="D4360" i="6"/>
  <c r="C4360" i="6"/>
  <c r="B4360" i="6"/>
  <c r="D4359" i="6"/>
  <c r="C4359" i="6"/>
  <c r="B4359" i="6"/>
  <c r="D4358" i="6"/>
  <c r="C4358" i="6"/>
  <c r="B4358" i="6"/>
  <c r="D4357" i="6"/>
  <c r="C4357" i="6"/>
  <c r="B4357" i="6"/>
  <c r="D4356" i="6"/>
  <c r="C4356" i="6"/>
  <c r="B4356" i="6"/>
  <c r="D4355" i="6"/>
  <c r="C4355" i="6"/>
  <c r="B4355" i="6"/>
  <c r="D4354" i="6"/>
  <c r="C4354" i="6"/>
  <c r="B4354" i="6"/>
  <c r="D4353" i="6"/>
  <c r="C4353" i="6"/>
  <c r="B4353" i="6"/>
  <c r="D4352" i="6"/>
  <c r="C4352" i="6"/>
  <c r="B4352" i="6"/>
  <c r="D4351" i="6"/>
  <c r="C4351" i="6"/>
  <c r="B4351" i="6"/>
  <c r="D4350" i="6"/>
  <c r="C4350" i="6"/>
  <c r="B4350" i="6"/>
  <c r="D4349" i="6"/>
  <c r="C4349" i="6"/>
  <c r="B4349" i="6"/>
  <c r="D4348" i="6"/>
  <c r="C4348" i="6"/>
  <c r="B4348" i="6"/>
  <c r="D4347" i="6"/>
  <c r="C4347" i="6"/>
  <c r="B4347" i="6"/>
  <c r="D4346" i="6"/>
  <c r="C4346" i="6"/>
  <c r="B4346" i="6"/>
  <c r="D4345" i="6"/>
  <c r="C4345" i="6"/>
  <c r="B4345" i="6"/>
  <c r="D4344" i="6"/>
  <c r="C4344" i="6"/>
  <c r="B4344" i="6"/>
  <c r="D4343" i="6"/>
  <c r="C4343" i="6"/>
  <c r="B4343" i="6"/>
  <c r="D4342" i="6"/>
  <c r="C4342" i="6"/>
  <c r="B4342" i="6"/>
  <c r="D4341" i="6"/>
  <c r="C4341" i="6"/>
  <c r="B4341" i="6"/>
  <c r="D4340" i="6"/>
  <c r="C4340" i="6"/>
  <c r="B4340" i="6"/>
  <c r="D4339" i="6"/>
  <c r="C4339" i="6"/>
  <c r="B4339" i="6"/>
  <c r="D4338" i="6"/>
  <c r="C4338" i="6"/>
  <c r="B4338" i="6"/>
  <c r="D4337" i="6"/>
  <c r="C4337" i="6"/>
  <c r="B4337" i="6"/>
  <c r="D4336" i="6"/>
  <c r="C4336" i="6"/>
  <c r="B4336" i="6"/>
  <c r="D4335" i="6"/>
  <c r="C4335" i="6"/>
  <c r="B4335" i="6"/>
  <c r="D4334" i="6"/>
  <c r="C4334" i="6"/>
  <c r="B4334" i="6"/>
  <c r="D4333" i="6"/>
  <c r="C4333" i="6"/>
  <c r="B4333" i="6"/>
  <c r="D4332" i="6"/>
  <c r="C4332" i="6"/>
  <c r="B4332" i="6"/>
  <c r="D4331" i="6"/>
  <c r="C4331" i="6"/>
  <c r="B4331" i="6"/>
  <c r="D4330" i="6"/>
  <c r="C4330" i="6"/>
  <c r="B4330" i="6"/>
  <c r="D4329" i="6"/>
  <c r="C4329" i="6"/>
  <c r="B4329" i="6"/>
  <c r="D4328" i="6"/>
  <c r="C4328" i="6"/>
  <c r="B4328" i="6"/>
  <c r="D4327" i="6"/>
  <c r="C4327" i="6"/>
  <c r="B4327" i="6"/>
  <c r="D4326" i="6"/>
  <c r="C4326" i="6"/>
  <c r="B4326" i="6"/>
  <c r="D4325" i="6"/>
  <c r="C4325" i="6"/>
  <c r="B4325" i="6"/>
  <c r="D4324" i="6"/>
  <c r="C4324" i="6"/>
  <c r="B4324" i="6"/>
  <c r="D4323" i="6"/>
  <c r="C4323" i="6"/>
  <c r="B4323" i="6"/>
  <c r="D4322" i="6"/>
  <c r="C4322" i="6"/>
  <c r="B4322" i="6"/>
  <c r="D4321" i="6"/>
  <c r="C4321" i="6"/>
  <c r="B4321" i="6"/>
  <c r="D4320" i="6"/>
  <c r="C4320" i="6"/>
  <c r="B4320" i="6"/>
  <c r="V4319" i="6"/>
  <c r="D4319" i="6"/>
  <c r="C4319" i="6"/>
  <c r="B4319" i="6"/>
  <c r="D4318" i="6"/>
  <c r="C4318" i="6"/>
  <c r="B4318" i="6"/>
  <c r="D4317" i="6"/>
  <c r="C4317" i="6"/>
  <c r="B4317" i="6"/>
  <c r="D4316" i="6"/>
  <c r="C4316" i="6"/>
  <c r="B4316" i="6"/>
  <c r="D4315" i="6"/>
  <c r="C4315" i="6"/>
  <c r="B4315" i="6"/>
  <c r="D4314" i="6"/>
  <c r="C4314" i="6"/>
  <c r="B4314" i="6"/>
  <c r="D4313" i="6"/>
  <c r="C4313" i="6"/>
  <c r="B4313" i="6"/>
  <c r="D4312" i="6"/>
  <c r="C4312" i="6"/>
  <c r="B4312" i="6"/>
  <c r="D4311" i="6"/>
  <c r="C4311" i="6"/>
  <c r="B4311" i="6"/>
  <c r="D4310" i="6"/>
  <c r="C4310" i="6"/>
  <c r="B4310" i="6"/>
  <c r="D4309" i="6"/>
  <c r="C4309" i="6"/>
  <c r="B4309" i="6"/>
  <c r="D4308" i="6"/>
  <c r="C4308" i="6"/>
  <c r="B4308" i="6"/>
  <c r="V4307" i="6"/>
  <c r="D4307" i="6"/>
  <c r="C4307" i="6"/>
  <c r="B4307" i="6"/>
  <c r="D4306" i="6"/>
  <c r="C4306" i="6"/>
  <c r="B4306" i="6"/>
  <c r="D4305" i="6"/>
  <c r="C4305" i="6"/>
  <c r="B4305" i="6"/>
  <c r="D4304" i="6"/>
  <c r="C4304" i="6"/>
  <c r="B4304" i="6"/>
  <c r="D4303" i="6"/>
  <c r="C4303" i="6"/>
  <c r="B4303" i="6"/>
  <c r="D4302" i="6"/>
  <c r="C4302" i="6"/>
  <c r="B4302" i="6"/>
  <c r="D4301" i="6"/>
  <c r="C4301" i="6"/>
  <c r="B4301" i="6"/>
  <c r="D4300" i="6"/>
  <c r="C4300" i="6"/>
  <c r="B4300" i="6"/>
  <c r="D4299" i="6"/>
  <c r="C4299" i="6"/>
  <c r="B4299" i="6"/>
  <c r="D4298" i="6"/>
  <c r="C4298" i="6"/>
  <c r="B4298" i="6"/>
  <c r="D4297" i="6"/>
  <c r="C4297" i="6"/>
  <c r="B4297" i="6"/>
  <c r="D4296" i="6"/>
  <c r="C4296" i="6"/>
  <c r="B4296" i="6"/>
  <c r="D4295" i="6"/>
  <c r="C4295" i="6"/>
  <c r="B4295" i="6"/>
  <c r="D4294" i="6"/>
  <c r="C4294" i="6"/>
  <c r="B4294" i="6"/>
  <c r="V4293" i="6"/>
  <c r="D4293" i="6"/>
  <c r="C4293" i="6"/>
  <c r="B4293" i="6"/>
  <c r="D4292" i="6"/>
  <c r="C4292" i="6"/>
  <c r="B4292" i="6"/>
  <c r="D4291" i="6"/>
  <c r="C4291" i="6"/>
  <c r="B4291" i="6"/>
  <c r="D4290" i="6"/>
  <c r="C4290" i="6"/>
  <c r="B4290" i="6"/>
  <c r="D4289" i="6"/>
  <c r="C4289" i="6"/>
  <c r="B4289" i="6"/>
  <c r="D4288" i="6"/>
  <c r="C4288" i="6"/>
  <c r="B4288" i="6"/>
  <c r="V4287" i="6"/>
  <c r="D4287" i="6"/>
  <c r="C4287" i="6"/>
  <c r="B4287" i="6"/>
  <c r="D4286" i="6"/>
  <c r="C4286" i="6"/>
  <c r="B4286" i="6"/>
  <c r="D4285" i="6"/>
  <c r="C4285" i="6"/>
  <c r="B4285" i="6"/>
  <c r="D4284" i="6"/>
  <c r="C4284" i="6"/>
  <c r="B4284" i="6"/>
  <c r="D4283" i="6"/>
  <c r="C4283" i="6"/>
  <c r="B4283" i="6"/>
  <c r="D4282" i="6"/>
  <c r="C4282" i="6"/>
  <c r="B4282" i="6"/>
  <c r="D4281" i="6"/>
  <c r="C4281" i="6"/>
  <c r="B4281" i="6"/>
  <c r="D4280" i="6"/>
  <c r="C4280" i="6"/>
  <c r="B4280" i="6"/>
  <c r="D4279" i="6"/>
  <c r="C4279" i="6"/>
  <c r="B4279" i="6"/>
  <c r="D4278" i="6"/>
  <c r="C4278" i="6"/>
  <c r="B4278" i="6"/>
  <c r="D4277" i="6"/>
  <c r="C4277" i="6"/>
  <c r="B4277" i="6"/>
  <c r="D4276" i="6"/>
  <c r="C4276" i="6"/>
  <c r="B4276" i="6"/>
  <c r="V4266" i="6"/>
  <c r="D4263" i="6"/>
  <c r="C4263" i="6"/>
  <c r="B4263" i="6"/>
  <c r="D4262" i="6"/>
  <c r="C4262" i="6"/>
  <c r="B4262" i="6"/>
  <c r="D4261" i="6"/>
  <c r="C4261" i="6"/>
  <c r="B4261" i="6"/>
  <c r="V4260" i="6"/>
  <c r="D4260" i="6"/>
  <c r="C4260" i="6"/>
  <c r="B4260" i="6"/>
  <c r="D4259" i="6"/>
  <c r="C4259" i="6"/>
  <c r="B4259" i="6"/>
  <c r="D4258" i="6"/>
  <c r="C4258" i="6"/>
  <c r="B4258" i="6"/>
  <c r="D4257" i="6"/>
  <c r="C4257" i="6"/>
  <c r="B4257" i="6"/>
  <c r="D4256" i="6"/>
  <c r="C4256" i="6"/>
  <c r="B4256" i="6"/>
  <c r="D4255" i="6"/>
  <c r="C4255" i="6"/>
  <c r="B4255" i="6"/>
  <c r="D4254" i="6"/>
  <c r="C4254" i="6"/>
  <c r="B4254" i="6"/>
  <c r="D4253" i="6"/>
  <c r="C4253" i="6"/>
  <c r="B4253" i="6"/>
  <c r="D4252" i="6"/>
  <c r="C4252" i="6"/>
  <c r="B4252" i="6"/>
  <c r="D4251" i="6"/>
  <c r="C4251" i="6"/>
  <c r="B4251" i="6"/>
  <c r="D4250" i="6"/>
  <c r="C4250" i="6"/>
  <c r="B4250" i="6"/>
  <c r="D4249" i="6"/>
  <c r="C4249" i="6"/>
  <c r="B4249" i="6"/>
  <c r="D4248" i="6"/>
  <c r="C4248" i="6"/>
  <c r="B4248" i="6"/>
  <c r="D4247" i="6"/>
  <c r="C4247" i="6"/>
  <c r="B4247" i="6"/>
  <c r="D4246" i="6"/>
  <c r="C4246" i="6"/>
  <c r="B4246" i="6"/>
  <c r="V4245" i="6"/>
  <c r="D4245" i="6"/>
  <c r="C4245" i="6"/>
  <c r="B4245" i="6"/>
  <c r="D4244" i="6"/>
  <c r="C4244" i="6"/>
  <c r="B4244" i="6"/>
  <c r="D4243" i="6"/>
  <c r="C4243" i="6"/>
  <c r="B4243" i="6"/>
  <c r="D4242" i="6"/>
  <c r="C4242" i="6"/>
  <c r="B4242" i="6"/>
  <c r="D4241" i="6"/>
  <c r="C4241" i="6"/>
  <c r="B4241" i="6"/>
  <c r="D4240" i="6"/>
  <c r="C4240" i="6"/>
  <c r="B4240" i="6"/>
  <c r="D4239" i="6"/>
  <c r="C4239" i="6"/>
  <c r="B4239" i="6"/>
  <c r="D4238" i="6"/>
  <c r="C4238" i="6"/>
  <c r="B4238" i="6"/>
  <c r="D4237" i="6"/>
  <c r="C4237" i="6"/>
  <c r="B4237" i="6"/>
  <c r="D4236" i="6"/>
  <c r="C4236" i="6"/>
  <c r="B4236" i="6"/>
  <c r="D4235" i="6"/>
  <c r="C4235" i="6"/>
  <c r="B4235" i="6"/>
  <c r="D4234" i="6"/>
  <c r="C4234" i="6"/>
  <c r="B4234" i="6"/>
  <c r="V4233" i="6"/>
  <c r="D4233" i="6"/>
  <c r="C4233" i="6"/>
  <c r="B4233" i="6"/>
  <c r="V4232" i="6"/>
  <c r="D4232" i="6"/>
  <c r="C4232" i="6"/>
  <c r="B4232" i="6"/>
  <c r="V4231" i="6"/>
  <c r="D4231" i="6"/>
  <c r="C4231" i="6"/>
  <c r="B4231" i="6"/>
  <c r="V4230" i="6"/>
  <c r="D4230" i="6"/>
  <c r="C4230" i="6"/>
  <c r="B4230" i="6"/>
  <c r="D4229" i="6"/>
  <c r="C4229" i="6"/>
  <c r="B4229" i="6"/>
  <c r="D4228" i="6"/>
  <c r="C4228" i="6"/>
  <c r="B4228" i="6"/>
  <c r="D4227" i="6"/>
  <c r="C4227" i="6"/>
  <c r="B4227" i="6"/>
  <c r="D4226" i="6"/>
  <c r="C4226" i="6"/>
  <c r="B4226" i="6"/>
  <c r="D4225" i="6"/>
  <c r="C4225" i="6"/>
  <c r="B4225" i="6"/>
  <c r="D4224" i="6"/>
  <c r="C4224" i="6"/>
  <c r="B4224" i="6"/>
  <c r="V4223" i="6"/>
  <c r="D4223" i="6"/>
  <c r="C4223" i="6"/>
  <c r="B4223" i="6"/>
  <c r="V4222" i="6"/>
  <c r="D4222" i="6"/>
  <c r="C4222" i="6"/>
  <c r="B4222" i="6"/>
  <c r="D4221" i="6"/>
  <c r="C4221" i="6"/>
  <c r="B4221" i="6"/>
  <c r="D4220" i="6"/>
  <c r="C4220" i="6"/>
  <c r="B4220" i="6"/>
  <c r="D4219" i="6"/>
  <c r="C4219" i="6"/>
  <c r="B4219" i="6"/>
  <c r="V4218" i="6"/>
  <c r="D4218" i="6"/>
  <c r="C4218" i="6"/>
  <c r="B4218" i="6"/>
  <c r="V4217" i="6"/>
  <c r="D4217" i="6"/>
  <c r="C4217" i="6"/>
  <c r="B4217" i="6"/>
  <c r="V4216" i="6"/>
  <c r="D4216" i="6"/>
  <c r="C4216" i="6"/>
  <c r="B4216" i="6"/>
  <c r="D4215" i="6"/>
  <c r="C4215" i="6"/>
  <c r="B4215" i="6"/>
  <c r="D4214" i="6"/>
  <c r="C4214" i="6"/>
  <c r="B4214" i="6"/>
  <c r="V4213" i="6"/>
  <c r="D4213" i="6"/>
  <c r="C4213" i="6"/>
  <c r="B4213" i="6"/>
  <c r="D4212" i="6"/>
  <c r="C4212" i="6"/>
  <c r="B4212" i="6"/>
  <c r="D4211" i="6"/>
  <c r="C4211" i="6"/>
  <c r="B4211" i="6"/>
  <c r="D4210" i="6"/>
  <c r="C4210" i="6"/>
  <c r="B4210" i="6"/>
  <c r="D4209" i="6"/>
  <c r="C4209" i="6"/>
  <c r="B4209" i="6"/>
  <c r="D4208" i="6"/>
  <c r="C4208" i="6"/>
  <c r="B4208" i="6"/>
  <c r="D4207" i="6"/>
  <c r="C4207" i="6"/>
  <c r="B4207" i="6"/>
  <c r="D4206" i="6"/>
  <c r="C4206" i="6"/>
  <c r="B4206" i="6"/>
  <c r="D4205" i="6"/>
  <c r="C4205" i="6"/>
  <c r="B4205" i="6"/>
  <c r="D4204" i="6"/>
  <c r="C4204" i="6"/>
  <c r="B4204" i="6"/>
  <c r="D4203" i="6"/>
  <c r="C4203" i="6"/>
  <c r="B4203" i="6"/>
  <c r="D4202" i="6"/>
  <c r="C4202" i="6"/>
  <c r="B4202" i="6"/>
  <c r="D4201" i="6"/>
  <c r="C4201" i="6"/>
  <c r="B4201" i="6"/>
  <c r="D4200" i="6"/>
  <c r="C4200" i="6"/>
  <c r="B4200" i="6"/>
  <c r="D4199" i="6"/>
  <c r="C4199" i="6"/>
  <c r="B4199" i="6"/>
  <c r="D4198" i="6"/>
  <c r="C4198" i="6"/>
  <c r="B4198" i="6"/>
  <c r="D4197" i="6"/>
  <c r="C4197" i="6"/>
  <c r="B4197" i="6"/>
  <c r="D4196" i="6"/>
  <c r="C4196" i="6"/>
  <c r="B4196" i="6"/>
  <c r="D4195" i="6"/>
  <c r="C4195" i="6"/>
  <c r="B4195" i="6"/>
  <c r="D4194" i="6"/>
  <c r="C4194" i="6"/>
  <c r="B4194" i="6"/>
  <c r="D4193" i="6"/>
  <c r="C4193" i="6"/>
  <c r="B4193" i="6"/>
  <c r="D4192" i="6"/>
  <c r="C4192" i="6"/>
  <c r="B4192" i="6"/>
  <c r="D4191" i="6"/>
  <c r="C4191" i="6"/>
  <c r="B4191" i="6"/>
  <c r="D4190" i="6"/>
  <c r="C4190" i="6"/>
  <c r="B4190" i="6"/>
  <c r="V4189" i="6"/>
  <c r="D4189" i="6"/>
  <c r="C4189" i="6"/>
  <c r="B4189" i="6"/>
  <c r="D4188" i="6"/>
  <c r="C4188" i="6"/>
  <c r="B4188" i="6"/>
  <c r="V4187" i="6"/>
  <c r="D4187" i="6"/>
  <c r="C4187" i="6"/>
  <c r="B4187" i="6"/>
  <c r="V4186" i="6"/>
  <c r="D4186" i="6"/>
  <c r="C4186" i="6"/>
  <c r="B4186" i="6"/>
  <c r="D4185" i="6"/>
  <c r="C4185" i="6"/>
  <c r="B4185" i="6"/>
  <c r="D4184" i="6"/>
  <c r="C4184" i="6"/>
  <c r="B4184" i="6"/>
  <c r="D4183" i="6"/>
  <c r="C4183" i="6"/>
  <c r="B4183" i="6"/>
  <c r="D4182" i="6"/>
  <c r="C4182" i="6"/>
  <c r="B4182" i="6"/>
  <c r="D4181" i="6"/>
  <c r="C4181" i="6"/>
  <c r="B4181" i="6"/>
  <c r="D4180" i="6"/>
  <c r="C4180" i="6"/>
  <c r="B4180" i="6"/>
  <c r="D4179" i="6"/>
  <c r="C4179" i="6"/>
  <c r="B4179" i="6"/>
  <c r="D4178" i="6"/>
  <c r="C4178" i="6"/>
  <c r="B4178" i="6"/>
  <c r="D4177" i="6"/>
  <c r="C4177" i="6"/>
  <c r="B4177" i="6"/>
  <c r="D4176" i="6"/>
  <c r="C4176" i="6"/>
  <c r="B4176" i="6"/>
  <c r="D4175" i="6"/>
  <c r="C4175" i="6"/>
  <c r="B4175" i="6"/>
  <c r="V4174" i="6"/>
  <c r="D4174" i="6"/>
  <c r="C4174" i="6"/>
  <c r="B4174" i="6"/>
  <c r="D4173" i="6"/>
  <c r="C4173" i="6"/>
  <c r="B4173" i="6"/>
  <c r="D4172" i="6"/>
  <c r="C4172" i="6"/>
  <c r="B4172" i="6"/>
  <c r="D4171" i="6"/>
  <c r="C4171" i="6"/>
  <c r="B4171" i="6"/>
  <c r="V4170" i="6"/>
  <c r="D4170" i="6"/>
  <c r="C4170" i="6"/>
  <c r="B4170" i="6"/>
  <c r="D4169" i="6"/>
  <c r="C4169" i="6"/>
  <c r="B4169" i="6"/>
  <c r="D4168" i="6"/>
  <c r="C4168" i="6"/>
  <c r="B4168" i="6"/>
  <c r="D4167" i="6"/>
  <c r="C4167" i="6"/>
  <c r="B4167" i="6"/>
  <c r="D4166" i="6"/>
  <c r="C4166" i="6"/>
  <c r="B4166" i="6"/>
  <c r="D4165" i="6"/>
  <c r="C4165" i="6"/>
  <c r="B4165" i="6"/>
  <c r="D4164" i="6"/>
  <c r="C4164" i="6"/>
  <c r="B4164" i="6"/>
  <c r="D4163" i="6"/>
  <c r="C4163" i="6"/>
  <c r="B4163" i="6"/>
  <c r="D4162" i="6"/>
  <c r="C4162" i="6"/>
  <c r="B4162" i="6"/>
  <c r="D4161" i="6"/>
  <c r="C4161" i="6"/>
  <c r="B4161" i="6"/>
  <c r="V4160" i="6"/>
  <c r="D4160" i="6"/>
  <c r="C4160" i="6"/>
  <c r="B4160" i="6"/>
  <c r="D4159" i="6"/>
  <c r="C4159" i="6"/>
  <c r="B4159" i="6"/>
  <c r="V4158" i="6"/>
  <c r="D4158" i="6"/>
  <c r="C4158" i="6"/>
  <c r="B4158" i="6"/>
  <c r="D4157" i="6"/>
  <c r="C4157" i="6"/>
  <c r="B4157" i="6"/>
  <c r="D4156" i="6"/>
  <c r="C4156" i="6"/>
  <c r="B4156" i="6"/>
  <c r="D4155" i="6"/>
  <c r="C4155" i="6"/>
  <c r="B4155" i="6"/>
  <c r="D4154" i="6"/>
  <c r="C4154" i="6"/>
  <c r="B4154" i="6"/>
  <c r="D4153" i="6"/>
  <c r="C4153" i="6"/>
  <c r="B4153" i="6"/>
  <c r="D4152" i="6"/>
  <c r="C4152" i="6"/>
  <c r="B4152" i="6"/>
  <c r="D4151" i="6"/>
  <c r="C4151" i="6"/>
  <c r="B4151" i="6"/>
  <c r="D4150" i="6"/>
  <c r="C4150" i="6"/>
  <c r="B4150" i="6"/>
  <c r="D4149" i="6"/>
  <c r="C4149" i="6"/>
  <c r="B4149" i="6"/>
  <c r="D4148" i="6"/>
  <c r="C4148" i="6"/>
  <c r="B4148" i="6"/>
  <c r="D4147" i="6"/>
  <c r="C4147" i="6"/>
  <c r="B4147" i="6"/>
  <c r="D4146" i="6"/>
  <c r="C4146" i="6"/>
  <c r="B4146" i="6"/>
  <c r="D4145" i="6"/>
  <c r="C4145" i="6"/>
  <c r="B4145" i="6"/>
  <c r="D4144" i="6"/>
  <c r="C4144" i="6"/>
  <c r="B4144" i="6"/>
  <c r="D4143" i="6"/>
  <c r="C4143" i="6"/>
  <c r="B4143" i="6"/>
  <c r="D4142" i="6"/>
  <c r="C4142" i="6"/>
  <c r="B4142" i="6"/>
  <c r="D4141" i="6"/>
  <c r="C4141" i="6"/>
  <c r="B4141" i="6"/>
  <c r="D4140" i="6"/>
  <c r="C4140" i="6"/>
  <c r="B4140" i="6"/>
  <c r="D4139" i="6"/>
  <c r="C4139" i="6"/>
  <c r="B4139" i="6"/>
  <c r="D4138" i="6"/>
  <c r="C4138" i="6"/>
  <c r="B4138" i="6"/>
  <c r="D4137" i="6"/>
  <c r="C4137" i="6"/>
  <c r="B4137" i="6"/>
  <c r="V4136" i="6"/>
  <c r="D4136" i="6"/>
  <c r="C4136" i="6"/>
  <c r="B4136" i="6"/>
  <c r="D4135" i="6"/>
  <c r="C4135" i="6"/>
  <c r="B4135" i="6"/>
  <c r="D4134" i="6"/>
  <c r="C4134" i="6"/>
  <c r="B4134" i="6"/>
  <c r="D4133" i="6"/>
  <c r="C4133" i="6"/>
  <c r="B4133" i="6"/>
  <c r="D4132" i="6"/>
  <c r="C4132" i="6"/>
  <c r="B4132" i="6"/>
  <c r="D4131" i="6"/>
  <c r="C4131" i="6"/>
  <c r="B4131" i="6"/>
  <c r="D4130" i="6"/>
  <c r="C4130" i="6"/>
  <c r="B4130" i="6"/>
  <c r="D4129" i="6"/>
  <c r="C4129" i="6"/>
  <c r="B4129" i="6"/>
  <c r="D4128" i="6"/>
  <c r="C4128" i="6"/>
  <c r="B4128" i="6"/>
  <c r="D4127" i="6"/>
  <c r="C4127" i="6"/>
  <c r="B4127" i="6"/>
  <c r="D4126" i="6"/>
  <c r="C4126" i="6"/>
  <c r="B4126" i="6"/>
  <c r="D4125" i="6"/>
  <c r="C4125" i="6"/>
  <c r="B4125" i="6"/>
  <c r="D4124" i="6"/>
  <c r="C4124" i="6"/>
  <c r="B4124" i="6"/>
  <c r="V4123" i="6"/>
  <c r="D4123" i="6"/>
  <c r="C4123" i="6"/>
  <c r="B4123" i="6"/>
  <c r="D4122" i="6"/>
  <c r="C4122" i="6"/>
  <c r="B4122" i="6"/>
  <c r="D4121" i="6"/>
  <c r="C4121" i="6"/>
  <c r="B4121" i="6"/>
  <c r="D4120" i="6"/>
  <c r="C4120" i="6"/>
  <c r="B4120" i="6"/>
  <c r="D4119" i="6"/>
  <c r="C4119" i="6"/>
  <c r="B4119" i="6"/>
  <c r="D4118" i="6"/>
  <c r="C4118" i="6"/>
  <c r="B4118" i="6"/>
  <c r="D4117" i="6"/>
  <c r="C4117" i="6"/>
  <c r="B4117" i="6"/>
  <c r="D4116" i="6"/>
  <c r="C4116" i="6"/>
  <c r="B4116" i="6"/>
  <c r="D4115" i="6"/>
  <c r="C4115" i="6"/>
  <c r="B4115" i="6"/>
  <c r="D4114" i="6"/>
  <c r="C4114" i="6"/>
  <c r="B4114" i="6"/>
  <c r="D4113" i="6"/>
  <c r="C4113" i="6"/>
  <c r="B4113" i="6"/>
  <c r="D4112" i="6"/>
  <c r="C4112" i="6"/>
  <c r="B4112" i="6"/>
  <c r="D4111" i="6"/>
  <c r="C4111" i="6"/>
  <c r="B4111" i="6"/>
  <c r="D4110" i="6"/>
  <c r="C4110" i="6"/>
  <c r="B4110" i="6"/>
  <c r="V4109" i="6"/>
  <c r="D4109" i="6"/>
  <c r="C4109" i="6"/>
  <c r="B4109" i="6"/>
  <c r="D4108" i="6"/>
  <c r="C4108" i="6"/>
  <c r="B4108" i="6"/>
  <c r="D4107" i="6"/>
  <c r="C4107" i="6"/>
  <c r="B4107" i="6"/>
  <c r="D4106" i="6"/>
  <c r="C4106" i="6"/>
  <c r="B4106" i="6"/>
  <c r="D4105" i="6"/>
  <c r="C4105" i="6"/>
  <c r="B4105" i="6"/>
  <c r="D4104" i="6"/>
  <c r="C4104" i="6"/>
  <c r="B4104" i="6"/>
  <c r="D4103" i="6"/>
  <c r="C4103" i="6"/>
  <c r="B4103" i="6"/>
  <c r="D4102" i="6"/>
  <c r="C4102" i="6"/>
  <c r="B4102" i="6"/>
  <c r="D4101" i="6"/>
  <c r="C4101" i="6"/>
  <c r="B4101" i="6"/>
  <c r="D4100" i="6"/>
  <c r="C4100" i="6"/>
  <c r="B4100" i="6"/>
  <c r="D4099" i="6"/>
  <c r="C4099" i="6"/>
  <c r="B4099" i="6"/>
  <c r="D4098" i="6"/>
  <c r="C4098" i="6"/>
  <c r="B4098" i="6"/>
  <c r="D4097" i="6"/>
  <c r="C4097" i="6"/>
  <c r="B4097" i="6"/>
  <c r="D4096" i="6"/>
  <c r="C4096" i="6"/>
  <c r="B4096" i="6"/>
  <c r="D4095" i="6"/>
  <c r="C4095" i="6"/>
  <c r="B4095" i="6"/>
  <c r="D4094" i="6"/>
  <c r="C4094" i="6"/>
  <c r="B4094" i="6"/>
  <c r="D4093" i="6"/>
  <c r="C4093" i="6"/>
  <c r="B4093" i="6"/>
  <c r="D4092" i="6"/>
  <c r="C4092" i="6"/>
  <c r="B4092" i="6"/>
  <c r="D4091" i="6"/>
  <c r="C4091" i="6"/>
  <c r="B4091" i="6"/>
  <c r="D4090" i="6"/>
  <c r="C4090" i="6"/>
  <c r="B4090" i="6"/>
  <c r="V4089" i="6"/>
  <c r="D4089" i="6"/>
  <c r="C4089" i="6"/>
  <c r="B4089" i="6"/>
  <c r="D4088" i="6"/>
  <c r="C4088" i="6"/>
  <c r="B4088" i="6"/>
  <c r="D4087" i="6"/>
  <c r="C4087" i="6"/>
  <c r="B4087" i="6"/>
  <c r="D4086" i="6"/>
  <c r="C4086" i="6"/>
  <c r="B4086" i="6"/>
  <c r="D4085" i="6"/>
  <c r="C4085" i="6"/>
  <c r="B4085" i="6"/>
  <c r="D4084" i="6"/>
  <c r="C4084" i="6"/>
  <c r="B4084" i="6"/>
  <c r="D4083" i="6"/>
  <c r="C4083" i="6"/>
  <c r="B4083" i="6"/>
  <c r="D4082" i="6"/>
  <c r="C4082" i="6"/>
  <c r="B4082" i="6"/>
  <c r="D4081" i="6"/>
  <c r="C4081" i="6"/>
  <c r="B4081" i="6"/>
  <c r="D4514" i="6"/>
  <c r="C4514" i="6"/>
  <c r="B4514" i="6"/>
  <c r="D4513" i="6"/>
  <c r="C4513" i="6"/>
  <c r="B4513" i="6"/>
  <c r="D4512" i="6"/>
  <c r="C4512" i="6"/>
  <c r="B4512" i="6"/>
  <c r="D4511" i="6"/>
  <c r="C4511" i="6"/>
  <c r="B4511" i="6"/>
  <c r="D4510" i="6"/>
  <c r="C4510" i="6"/>
  <c r="B4510" i="6"/>
  <c r="D4509" i="6"/>
  <c r="C4509" i="6"/>
  <c r="B4509" i="6"/>
  <c r="V4508" i="6"/>
  <c r="D4508" i="6"/>
  <c r="C4508" i="6"/>
  <c r="B4508" i="6"/>
  <c r="D4507" i="6"/>
  <c r="C4507" i="6"/>
  <c r="B4507" i="6"/>
  <c r="D4506" i="6"/>
  <c r="C4506" i="6"/>
  <c r="B4506" i="6"/>
  <c r="D4505" i="6"/>
  <c r="C4505" i="6"/>
  <c r="B4505" i="6"/>
  <c r="D4504" i="6"/>
  <c r="C4504" i="6"/>
  <c r="B4504" i="6"/>
  <c r="V4503" i="6"/>
  <c r="D4503" i="6"/>
  <c r="C4503" i="6"/>
  <c r="B4503" i="6"/>
  <c r="V4502" i="6"/>
  <c r="D4502" i="6"/>
  <c r="C4502" i="6"/>
  <c r="B4502" i="6"/>
  <c r="D4501" i="6"/>
  <c r="C4501" i="6"/>
  <c r="B4501" i="6"/>
  <c r="D4500" i="6"/>
  <c r="C4500" i="6"/>
  <c r="B4500" i="6"/>
  <c r="D4499" i="6"/>
  <c r="C4499" i="6"/>
  <c r="B4499" i="6"/>
  <c r="D4498" i="6"/>
  <c r="C4498" i="6"/>
  <c r="B4498" i="6"/>
  <c r="D4497" i="6"/>
  <c r="C4497" i="6"/>
  <c r="B4497" i="6"/>
  <c r="D4496" i="6"/>
  <c r="C4496" i="6"/>
  <c r="B4496" i="6"/>
  <c r="D4495" i="6"/>
  <c r="C4495" i="6"/>
  <c r="B4495" i="6"/>
  <c r="D4494" i="6"/>
  <c r="C4494" i="6"/>
  <c r="B4494" i="6"/>
  <c r="D4493" i="6"/>
  <c r="C4493" i="6"/>
  <c r="B4493" i="6"/>
  <c r="D4492" i="6"/>
  <c r="C4492" i="6"/>
  <c r="B4492" i="6"/>
  <c r="D4491" i="6"/>
  <c r="C4491" i="6"/>
  <c r="B4491" i="6"/>
  <c r="D4490" i="6"/>
  <c r="C4490" i="6"/>
  <c r="B4490" i="6"/>
  <c r="D4489" i="6"/>
  <c r="C4489" i="6"/>
  <c r="B4489" i="6"/>
  <c r="D4488" i="6"/>
  <c r="C4488" i="6"/>
  <c r="B4488" i="6"/>
  <c r="D4487" i="6"/>
  <c r="C4487" i="6"/>
  <c r="B4487" i="6"/>
  <c r="D4486" i="6"/>
  <c r="C4486" i="6"/>
  <c r="B4486" i="6"/>
  <c r="D4485" i="6"/>
  <c r="C4485" i="6"/>
  <c r="B4485" i="6"/>
  <c r="D4484" i="6"/>
  <c r="C4484" i="6"/>
  <c r="B4484" i="6"/>
  <c r="D4483" i="6"/>
  <c r="C4483" i="6"/>
  <c r="B4483" i="6"/>
  <c r="D4482" i="6"/>
  <c r="C4482" i="6"/>
  <c r="B4482" i="6"/>
  <c r="D4481" i="6"/>
  <c r="C4481" i="6"/>
  <c r="B4481" i="6"/>
  <c r="D4480" i="6"/>
  <c r="C4480" i="6"/>
  <c r="B4480" i="6"/>
  <c r="D4479" i="6"/>
  <c r="C4479" i="6"/>
  <c r="B4479" i="6"/>
  <c r="D4478" i="6"/>
  <c r="C4478" i="6"/>
  <c r="B4478" i="6"/>
  <c r="D4477" i="6"/>
  <c r="C4477" i="6"/>
  <c r="B4477" i="6"/>
  <c r="D4476" i="6"/>
  <c r="C4476" i="6"/>
  <c r="B4476" i="6"/>
  <c r="D4475" i="6"/>
  <c r="C4475" i="6"/>
  <c r="B4475" i="6"/>
  <c r="D4474" i="6"/>
  <c r="C4474" i="6"/>
  <c r="B4474" i="6"/>
  <c r="D4473" i="6"/>
  <c r="C4473" i="6"/>
  <c r="B4473" i="6"/>
  <c r="D4472" i="6"/>
  <c r="C4472" i="6"/>
  <c r="B4472" i="6"/>
  <c r="D4471" i="6"/>
  <c r="C4471" i="6"/>
  <c r="B4471" i="6"/>
  <c r="D4470" i="6"/>
  <c r="C4470" i="6"/>
  <c r="B4470" i="6"/>
  <c r="D4469" i="6"/>
  <c r="C4469" i="6"/>
  <c r="B4469" i="6"/>
  <c r="D4468" i="6"/>
  <c r="C4468" i="6"/>
  <c r="B4468" i="6"/>
  <c r="D4467" i="6"/>
  <c r="C4467" i="6"/>
  <c r="B4467" i="6"/>
  <c r="D4466" i="6"/>
  <c r="C4466" i="6"/>
  <c r="B4466" i="6"/>
  <c r="V4465" i="6"/>
  <c r="D4465" i="6"/>
  <c r="C4465" i="6"/>
  <c r="B4465" i="6"/>
  <c r="D4464" i="6"/>
  <c r="C4464" i="6"/>
  <c r="B4464" i="6"/>
  <c r="D4463" i="6"/>
  <c r="C4463" i="6"/>
  <c r="B4463" i="6"/>
  <c r="D4462" i="6"/>
  <c r="C4462" i="6"/>
  <c r="B4462" i="6"/>
  <c r="D4461" i="6"/>
  <c r="C4461" i="6"/>
  <c r="B4461" i="6"/>
  <c r="D4460" i="6"/>
  <c r="C4460" i="6"/>
  <c r="B4460" i="6"/>
  <c r="D4459" i="6"/>
  <c r="C4459" i="6"/>
  <c r="B4459" i="6"/>
  <c r="D4458" i="6"/>
  <c r="C4458" i="6"/>
  <c r="B4458" i="6"/>
  <c r="D4457" i="6"/>
  <c r="C4457" i="6"/>
  <c r="B4457" i="6"/>
  <c r="D4456" i="6"/>
  <c r="C4456" i="6"/>
  <c r="B4456" i="6"/>
  <c r="D4455" i="6"/>
  <c r="C4455" i="6"/>
  <c r="B4455" i="6"/>
  <c r="D4454" i="6"/>
  <c r="C4454" i="6"/>
  <c r="B4454" i="6"/>
  <c r="D4453" i="6"/>
  <c r="C4453" i="6"/>
  <c r="B4453" i="6"/>
  <c r="V4452" i="6"/>
  <c r="D4452" i="6"/>
  <c r="C4452" i="6"/>
  <c r="B4452" i="6"/>
  <c r="D4451" i="6"/>
  <c r="C4451" i="6"/>
  <c r="B4451" i="6"/>
  <c r="D4450" i="6"/>
  <c r="C4450" i="6"/>
  <c r="B4450" i="6"/>
  <c r="D4449" i="6"/>
  <c r="C4449" i="6"/>
  <c r="B4449" i="6"/>
  <c r="D4448" i="6"/>
  <c r="C4448" i="6"/>
  <c r="B4448" i="6"/>
  <c r="D4447" i="6"/>
  <c r="C4447" i="6"/>
  <c r="B4447" i="6"/>
  <c r="D4446" i="6"/>
  <c r="C4446" i="6"/>
  <c r="B4446" i="6"/>
  <c r="D4445" i="6"/>
  <c r="C4445" i="6"/>
  <c r="B4445" i="6"/>
  <c r="V4444" i="6"/>
  <c r="D4444" i="6"/>
  <c r="C4444" i="6"/>
  <c r="B4444" i="6"/>
  <c r="V4443" i="6"/>
  <c r="D4443" i="6"/>
  <c r="C4443" i="6"/>
  <c r="B4443" i="6"/>
  <c r="D4442" i="6"/>
  <c r="C4442" i="6"/>
  <c r="B4442" i="6"/>
  <c r="D4441" i="6"/>
  <c r="C4441" i="6"/>
  <c r="B4441" i="6"/>
  <c r="D4440" i="6"/>
  <c r="C4440" i="6"/>
  <c r="B4440" i="6"/>
  <c r="D4439" i="6"/>
  <c r="C4439" i="6"/>
  <c r="B4439" i="6"/>
  <c r="D4438" i="6"/>
  <c r="C4438" i="6"/>
  <c r="B4438" i="6"/>
  <c r="D4437" i="6"/>
  <c r="C4437" i="6"/>
  <c r="B4437" i="6"/>
  <c r="D4436" i="6"/>
  <c r="C4436" i="6"/>
  <c r="B4436" i="6"/>
  <c r="V4435" i="6"/>
  <c r="D4435" i="6"/>
  <c r="C4435" i="6"/>
  <c r="B4435" i="6"/>
  <c r="D4434" i="6"/>
  <c r="C4434" i="6"/>
  <c r="B4434" i="6"/>
  <c r="D4433" i="6"/>
  <c r="C4433" i="6"/>
  <c r="B4433" i="6"/>
  <c r="D4432" i="6"/>
  <c r="C4432" i="6"/>
  <c r="B4432" i="6"/>
  <c r="D4431" i="6"/>
  <c r="C4431" i="6"/>
  <c r="B4431" i="6"/>
  <c r="D4430" i="6"/>
  <c r="C4430" i="6"/>
  <c r="B4430" i="6"/>
  <c r="D4429" i="6"/>
  <c r="C4429" i="6"/>
  <c r="B4429" i="6"/>
  <c r="D4428" i="6"/>
  <c r="C4428" i="6"/>
  <c r="B4428" i="6"/>
  <c r="D4427" i="6"/>
  <c r="C4427" i="6"/>
  <c r="B4427" i="6"/>
  <c r="D4426" i="6"/>
  <c r="C4426" i="6"/>
  <c r="B4426" i="6"/>
  <c r="D4425" i="6"/>
  <c r="C4425" i="6"/>
  <c r="B4425" i="6"/>
  <c r="D4424" i="6"/>
  <c r="C4424" i="6"/>
  <c r="B4424" i="6"/>
  <c r="D4423" i="6"/>
  <c r="C4423" i="6"/>
  <c r="B4423" i="6"/>
  <c r="D4422" i="6"/>
  <c r="C4422" i="6"/>
  <c r="B4422" i="6"/>
  <c r="D4421" i="6"/>
  <c r="C4421" i="6"/>
  <c r="B4421" i="6"/>
  <c r="D4420" i="6"/>
  <c r="C4420" i="6"/>
  <c r="B4420" i="6"/>
  <c r="D4419" i="6"/>
  <c r="C4419" i="6"/>
  <c r="B4419" i="6"/>
  <c r="D4418" i="6"/>
  <c r="C4418" i="6"/>
  <c r="B4418" i="6"/>
  <c r="D4417" i="6"/>
  <c r="C4417" i="6"/>
  <c r="B4417" i="6"/>
  <c r="D4416" i="6"/>
  <c r="C4416" i="6"/>
  <c r="B4416" i="6"/>
  <c r="D4415" i="6"/>
  <c r="C4415" i="6"/>
  <c r="B4415" i="6"/>
  <c r="D4414" i="6"/>
  <c r="C4414" i="6"/>
  <c r="B4414" i="6"/>
  <c r="D4413" i="6"/>
  <c r="C4413" i="6"/>
  <c r="B4413" i="6"/>
  <c r="D4412" i="6"/>
  <c r="C4412" i="6"/>
  <c r="B4412" i="6"/>
  <c r="D4411" i="6"/>
  <c r="C4411" i="6"/>
  <c r="B4411" i="6"/>
  <c r="D4410" i="6"/>
  <c r="C4410" i="6"/>
  <c r="B4410" i="6"/>
  <c r="D4409" i="6"/>
  <c r="C4409" i="6"/>
  <c r="B4409" i="6"/>
  <c r="D4408" i="6"/>
  <c r="C4408" i="6"/>
  <c r="B4408" i="6"/>
  <c r="D4407" i="6"/>
  <c r="C4407" i="6"/>
  <c r="B4407" i="6"/>
  <c r="D4406" i="6"/>
  <c r="C4406" i="6"/>
  <c r="B4406" i="6"/>
  <c r="D4405" i="6"/>
  <c r="C4405" i="6"/>
  <c r="B4405" i="6"/>
  <c r="V4404" i="6"/>
  <c r="D4404" i="6"/>
  <c r="C4404" i="6"/>
  <c r="B4404" i="6"/>
  <c r="D4403" i="6"/>
  <c r="C4403" i="6"/>
  <c r="B4403" i="6"/>
  <c r="D4402" i="6"/>
  <c r="C4402" i="6"/>
  <c r="B4402" i="6"/>
  <c r="D4401" i="6"/>
  <c r="C4401" i="6"/>
  <c r="B4401" i="6"/>
  <c r="D4400" i="6"/>
  <c r="C4400" i="6"/>
  <c r="B4400" i="6"/>
  <c r="D4399" i="6"/>
  <c r="C4399" i="6"/>
  <c r="B4399" i="6"/>
  <c r="D4398" i="6"/>
  <c r="C4398" i="6"/>
  <c r="B4398" i="6"/>
  <c r="D4397" i="6"/>
  <c r="C4397" i="6"/>
  <c r="B4397" i="6"/>
  <c r="D4396" i="6"/>
  <c r="C4396" i="6"/>
  <c r="B4396" i="6"/>
  <c r="D4395" i="6"/>
  <c r="C4395" i="6"/>
  <c r="B4395" i="6"/>
  <c r="D4394" i="6"/>
  <c r="C4394" i="6"/>
  <c r="B4394" i="6"/>
  <c r="D4393" i="6"/>
  <c r="C4393" i="6"/>
  <c r="B4393" i="6"/>
  <c r="D4392" i="6"/>
  <c r="C4392" i="6"/>
  <c r="B4392" i="6"/>
  <c r="D4391" i="6"/>
  <c r="C4391" i="6"/>
  <c r="B4391" i="6"/>
  <c r="D4390" i="6"/>
  <c r="C4390" i="6"/>
  <c r="B4390" i="6"/>
  <c r="D4389" i="6"/>
  <c r="C4389" i="6"/>
  <c r="B4389" i="6"/>
  <c r="D4388" i="6"/>
  <c r="C4388" i="6"/>
  <c r="B4388" i="6"/>
  <c r="V4387" i="6"/>
  <c r="D4387" i="6"/>
  <c r="C4387" i="6"/>
  <c r="B4387" i="6"/>
  <c r="D4386" i="6"/>
  <c r="C4386" i="6"/>
  <c r="B4386" i="6"/>
  <c r="D4385" i="6"/>
  <c r="C4385" i="6"/>
  <c r="B4385" i="6"/>
  <c r="D4384" i="6"/>
  <c r="C4384" i="6"/>
  <c r="B4384" i="6"/>
  <c r="D4383" i="6"/>
  <c r="C4383" i="6"/>
  <c r="B4383" i="6"/>
  <c r="D4382" i="6"/>
  <c r="C4382" i="6"/>
  <c r="B4382" i="6"/>
  <c r="D4381" i="6"/>
  <c r="C4381" i="6"/>
  <c r="B4381" i="6"/>
  <c r="D4380" i="6"/>
  <c r="C4380" i="6"/>
  <c r="B4380" i="6"/>
  <c r="D4379" i="6"/>
  <c r="C4379" i="6"/>
  <c r="B4379" i="6"/>
  <c r="D4378" i="6"/>
  <c r="C4378" i="6"/>
  <c r="B4378" i="6"/>
  <c r="D4377" i="6"/>
  <c r="C4377" i="6"/>
  <c r="B4377" i="6"/>
  <c r="D4376" i="6"/>
  <c r="C4376" i="6"/>
  <c r="B4376" i="6"/>
  <c r="V4375" i="6"/>
  <c r="D4375" i="6"/>
  <c r="C4375" i="6"/>
  <c r="B4375" i="6"/>
  <c r="D4374" i="6"/>
  <c r="C4374" i="6"/>
  <c r="B4374" i="6"/>
  <c r="D4373" i="6"/>
  <c r="C4373" i="6"/>
  <c r="B4373" i="6"/>
  <c r="D4372" i="6"/>
  <c r="C4372" i="6"/>
  <c r="B4372" i="6"/>
  <c r="D4371" i="6"/>
  <c r="C4371" i="6"/>
  <c r="B4371" i="6"/>
  <c r="D4586" i="6"/>
  <c r="C4586" i="6"/>
  <c r="B4586" i="6"/>
  <c r="D4585" i="6"/>
  <c r="C4585" i="6"/>
  <c r="B4585" i="6"/>
  <c r="D4584" i="6"/>
  <c r="C4584" i="6"/>
  <c r="B4584" i="6"/>
  <c r="D4583" i="6"/>
  <c r="C4583" i="6"/>
  <c r="B4583" i="6"/>
  <c r="D4582" i="6"/>
  <c r="C4582" i="6"/>
  <c r="B4582" i="6"/>
  <c r="D4581" i="6"/>
  <c r="C4581" i="6"/>
  <c r="B4581" i="6"/>
  <c r="D4580" i="6"/>
  <c r="C4580" i="6"/>
  <c r="B4580" i="6"/>
  <c r="D4579" i="6"/>
  <c r="C4579" i="6"/>
  <c r="B4579" i="6"/>
  <c r="V4578" i="6"/>
  <c r="D4578" i="6"/>
  <c r="C4578" i="6"/>
  <c r="B4578" i="6"/>
  <c r="D4577" i="6"/>
  <c r="C4577" i="6"/>
  <c r="B4577" i="6"/>
  <c r="D4576" i="6"/>
  <c r="C4576" i="6"/>
  <c r="B4576" i="6"/>
  <c r="D4575" i="6"/>
  <c r="C4575" i="6"/>
  <c r="B4575" i="6"/>
  <c r="D4574" i="6"/>
  <c r="C4574" i="6"/>
  <c r="B4574" i="6"/>
  <c r="D4573" i="6"/>
  <c r="C4573" i="6"/>
  <c r="B4573" i="6"/>
  <c r="D4572" i="6"/>
  <c r="C4572" i="6"/>
  <c r="B4572" i="6"/>
  <c r="D4571" i="6"/>
  <c r="C4571" i="6"/>
  <c r="B4571" i="6"/>
  <c r="D4570" i="6"/>
  <c r="C4570" i="6"/>
  <c r="B4570" i="6"/>
  <c r="D4569" i="6"/>
  <c r="C4569" i="6"/>
  <c r="B4569" i="6"/>
  <c r="D4568" i="6"/>
  <c r="C4568" i="6"/>
  <c r="B4568" i="6"/>
  <c r="D4567" i="6"/>
  <c r="C4567" i="6"/>
  <c r="B4567" i="6"/>
  <c r="D4566" i="6"/>
  <c r="C4566" i="6"/>
  <c r="B4566" i="6"/>
  <c r="D4565" i="6"/>
  <c r="C4565" i="6"/>
  <c r="B4565" i="6"/>
  <c r="D4564" i="6"/>
  <c r="C4564" i="6"/>
  <c r="B4564" i="6"/>
  <c r="D4563" i="6"/>
  <c r="C4563" i="6"/>
  <c r="B4563" i="6"/>
  <c r="D4562" i="6"/>
  <c r="C4562" i="6"/>
  <c r="B4562" i="6"/>
  <c r="D4561" i="6"/>
  <c r="C4561" i="6"/>
  <c r="B4561" i="6"/>
  <c r="D4560" i="6"/>
  <c r="C4560" i="6"/>
  <c r="B4560" i="6"/>
  <c r="D4559" i="6"/>
  <c r="C4559" i="6"/>
  <c r="B4559" i="6"/>
  <c r="D4558" i="6"/>
  <c r="C4558" i="6"/>
  <c r="B4558" i="6"/>
  <c r="D4557" i="6"/>
  <c r="C4557" i="6"/>
  <c r="B4557" i="6"/>
  <c r="D4556" i="6"/>
  <c r="C4556" i="6"/>
  <c r="B4556" i="6"/>
  <c r="D4555" i="6"/>
  <c r="C4555" i="6"/>
  <c r="B4555" i="6"/>
  <c r="D4554" i="6"/>
  <c r="C4554" i="6"/>
  <c r="B4554" i="6"/>
  <c r="D4553" i="6"/>
  <c r="C4553" i="6"/>
  <c r="B4553" i="6"/>
  <c r="D4552" i="6"/>
  <c r="C4552" i="6"/>
  <c r="B4552" i="6"/>
  <c r="D4551" i="6"/>
  <c r="C4551" i="6"/>
  <c r="B4551" i="6"/>
  <c r="D4550" i="6"/>
  <c r="C4550" i="6"/>
  <c r="B4550" i="6"/>
  <c r="D4549" i="6"/>
  <c r="C4549" i="6"/>
  <c r="B4549" i="6"/>
  <c r="D4548" i="6"/>
  <c r="C4548" i="6"/>
  <c r="B4548" i="6"/>
  <c r="D4547" i="6"/>
  <c r="C4547" i="6"/>
  <c r="B4547" i="6"/>
  <c r="D4546" i="6"/>
  <c r="C4546" i="6"/>
  <c r="B4546" i="6"/>
  <c r="D4545" i="6"/>
  <c r="C4545" i="6"/>
  <c r="B4545" i="6"/>
  <c r="D4544" i="6"/>
  <c r="C4544" i="6"/>
  <c r="B4544" i="6"/>
  <c r="D4543" i="6"/>
  <c r="C4543" i="6"/>
  <c r="B4543" i="6"/>
  <c r="D4542" i="6"/>
  <c r="C4542" i="6"/>
  <c r="B4542" i="6"/>
  <c r="D4541" i="6"/>
  <c r="C4541" i="6"/>
  <c r="B4541" i="6"/>
  <c r="D4540" i="6"/>
  <c r="C4540" i="6"/>
  <c r="B4540" i="6"/>
  <c r="D4539" i="6"/>
  <c r="C4539" i="6"/>
  <c r="B4539" i="6"/>
  <c r="D4538" i="6"/>
  <c r="C4538" i="6"/>
  <c r="B4538" i="6"/>
  <c r="D4537" i="6"/>
  <c r="C4537" i="6"/>
  <c r="B4537" i="6"/>
  <c r="D4536" i="6"/>
  <c r="C4536" i="6"/>
  <c r="B4536" i="6"/>
  <c r="D4535" i="6"/>
  <c r="C4535" i="6"/>
  <c r="B4535" i="6"/>
  <c r="D4534" i="6"/>
  <c r="C4534" i="6"/>
  <c r="B4534" i="6"/>
  <c r="D4533" i="6"/>
  <c r="C4533" i="6"/>
  <c r="B4533" i="6"/>
  <c r="D4532" i="6"/>
  <c r="C4532" i="6"/>
  <c r="B4532" i="6"/>
  <c r="D4531" i="6"/>
  <c r="C4531" i="6"/>
  <c r="B4531" i="6"/>
  <c r="V4530" i="6"/>
  <c r="D4530" i="6"/>
  <c r="C4530" i="6"/>
  <c r="B4530" i="6"/>
  <c r="D4529" i="6"/>
  <c r="C4529" i="6"/>
  <c r="B4529" i="6"/>
  <c r="D4528" i="6"/>
  <c r="C4528" i="6"/>
  <c r="B4528" i="6"/>
  <c r="D4527" i="6"/>
  <c r="C4527" i="6"/>
  <c r="B4527" i="6"/>
  <c r="D4526" i="6"/>
  <c r="C4526" i="6"/>
  <c r="B4526" i="6"/>
  <c r="D4525" i="6"/>
  <c r="C4525" i="6"/>
  <c r="B4525" i="6"/>
  <c r="D4524" i="6"/>
  <c r="C4524" i="6"/>
  <c r="B4524" i="6"/>
  <c r="D4523" i="6"/>
  <c r="C4523" i="6"/>
  <c r="B4523" i="6"/>
  <c r="D4522" i="6"/>
  <c r="C4522" i="6"/>
  <c r="B4522" i="6"/>
  <c r="D4521" i="6"/>
  <c r="C4521" i="6"/>
  <c r="B4521" i="6"/>
  <c r="D4520" i="6"/>
  <c r="C4520" i="6"/>
  <c r="B4520" i="6"/>
  <c r="D4519" i="6"/>
  <c r="C4519" i="6"/>
  <c r="B4519" i="6"/>
  <c r="D4518" i="6"/>
  <c r="C4518" i="6"/>
  <c r="B4518" i="6"/>
  <c r="D4517" i="6"/>
  <c r="C4517" i="6"/>
  <c r="B4517" i="6"/>
  <c r="D4516" i="6"/>
  <c r="C4516" i="6"/>
  <c r="B4516" i="6"/>
  <c r="D4515" i="6"/>
  <c r="C4515" i="6"/>
  <c r="B4515" i="6"/>
  <c r="D4622" i="6"/>
  <c r="C4622" i="6"/>
  <c r="B4622" i="6"/>
  <c r="D4621" i="6"/>
  <c r="C4621" i="6"/>
  <c r="B4621" i="6"/>
  <c r="D4620" i="6"/>
  <c r="C4620" i="6"/>
  <c r="B4620" i="6"/>
  <c r="D4619" i="6"/>
  <c r="C4619" i="6"/>
  <c r="B4619" i="6"/>
  <c r="V4618" i="6"/>
  <c r="D4618" i="6"/>
  <c r="C4618" i="6"/>
  <c r="B4618" i="6"/>
  <c r="V4617" i="6"/>
  <c r="D4617" i="6"/>
  <c r="C4617" i="6"/>
  <c r="B4617" i="6"/>
  <c r="D4616" i="6"/>
  <c r="C4616" i="6"/>
  <c r="B4616" i="6"/>
  <c r="D4615" i="6"/>
  <c r="C4615" i="6"/>
  <c r="B4615" i="6"/>
  <c r="D4614" i="6"/>
  <c r="C4614" i="6"/>
  <c r="B4614" i="6"/>
  <c r="D4613" i="6"/>
  <c r="C4613" i="6"/>
  <c r="B4613" i="6"/>
  <c r="D4612" i="6"/>
  <c r="C4612" i="6"/>
  <c r="B4612" i="6"/>
  <c r="D4611" i="6"/>
  <c r="C4611" i="6"/>
  <c r="B4611" i="6"/>
  <c r="D4610" i="6"/>
  <c r="C4610" i="6"/>
  <c r="B4610" i="6"/>
  <c r="D4609" i="6"/>
  <c r="C4609" i="6"/>
  <c r="B4609" i="6"/>
  <c r="D4608" i="6"/>
  <c r="C4608" i="6"/>
  <c r="B4608" i="6"/>
  <c r="D4607" i="6"/>
  <c r="C4607" i="6"/>
  <c r="B4607" i="6"/>
  <c r="D4606" i="6"/>
  <c r="C4606" i="6"/>
  <c r="B4606" i="6"/>
  <c r="V4605" i="6"/>
  <c r="D4605" i="6"/>
  <c r="C4605" i="6"/>
  <c r="B4605" i="6"/>
  <c r="D4604" i="6"/>
  <c r="C4604" i="6"/>
  <c r="B4604" i="6"/>
  <c r="V4603" i="6"/>
  <c r="D4603" i="6"/>
  <c r="C4603" i="6"/>
  <c r="B4603" i="6"/>
  <c r="D4602" i="6"/>
  <c r="C4602" i="6"/>
  <c r="B4602" i="6"/>
  <c r="D4601" i="6"/>
  <c r="C4601" i="6"/>
  <c r="B4601" i="6"/>
  <c r="V4600" i="6"/>
  <c r="D4600" i="6"/>
  <c r="C4600" i="6"/>
  <c r="B4600" i="6"/>
  <c r="V4599" i="6"/>
  <c r="D4599" i="6"/>
  <c r="C4599" i="6"/>
  <c r="B4599" i="6"/>
  <c r="D4598" i="6"/>
  <c r="C4598" i="6"/>
  <c r="B4598" i="6"/>
  <c r="D4597" i="6"/>
  <c r="C4597" i="6"/>
  <c r="B4597" i="6"/>
  <c r="D4596" i="6"/>
  <c r="C4596" i="6"/>
  <c r="B4596" i="6"/>
  <c r="D4595" i="6"/>
  <c r="C4595" i="6"/>
  <c r="B4595" i="6"/>
  <c r="D4594" i="6"/>
  <c r="C4594" i="6"/>
  <c r="B4594" i="6"/>
  <c r="D4593" i="6"/>
  <c r="C4593" i="6"/>
  <c r="B4593" i="6"/>
  <c r="D4592" i="6"/>
  <c r="C4592" i="6"/>
  <c r="B4592" i="6"/>
  <c r="D4591" i="6"/>
  <c r="C4591" i="6"/>
  <c r="B4591" i="6"/>
  <c r="D4590" i="6"/>
  <c r="C4590" i="6"/>
  <c r="B4590" i="6"/>
  <c r="D4589" i="6"/>
  <c r="C4589" i="6"/>
  <c r="B4589" i="6"/>
  <c r="D4588" i="6"/>
  <c r="C4588" i="6"/>
  <c r="B4588" i="6"/>
  <c r="D4587" i="6"/>
  <c r="C4587" i="6"/>
  <c r="B4587" i="6"/>
  <c r="V4640" i="6"/>
  <c r="D4640" i="6"/>
  <c r="C4640" i="6"/>
  <c r="B4640" i="6"/>
  <c r="D4639" i="6"/>
  <c r="C4639" i="6"/>
  <c r="B4639" i="6"/>
  <c r="D4638" i="6"/>
  <c r="C4638" i="6"/>
  <c r="B4638" i="6"/>
  <c r="D4637" i="6"/>
  <c r="C4637" i="6"/>
  <c r="B4637" i="6"/>
  <c r="D4636" i="6"/>
  <c r="C4636" i="6"/>
  <c r="B4636" i="6"/>
  <c r="D4635" i="6"/>
  <c r="C4635" i="6"/>
  <c r="B4635" i="6"/>
  <c r="D4634" i="6"/>
  <c r="C4634" i="6"/>
  <c r="B4634" i="6"/>
  <c r="D4633" i="6"/>
  <c r="C4633" i="6"/>
  <c r="B4633" i="6"/>
  <c r="D4632" i="6"/>
  <c r="C4632" i="6"/>
  <c r="B4632" i="6"/>
  <c r="D4631" i="6"/>
  <c r="C4631" i="6"/>
  <c r="B4631" i="6"/>
  <c r="D4630" i="6"/>
  <c r="C4630" i="6"/>
  <c r="B4630" i="6"/>
  <c r="D4629" i="6"/>
  <c r="C4629" i="6"/>
  <c r="B4629" i="6"/>
  <c r="D4628" i="6"/>
  <c r="C4628" i="6"/>
  <c r="B4628" i="6"/>
  <c r="D4627" i="6"/>
  <c r="C4627" i="6"/>
  <c r="B4627" i="6"/>
  <c r="D4626" i="6"/>
  <c r="C4626" i="6"/>
  <c r="B4626" i="6"/>
  <c r="D4625" i="6"/>
  <c r="C4625" i="6"/>
  <c r="B4625" i="6"/>
  <c r="D4624" i="6"/>
  <c r="C4624" i="6"/>
  <c r="B4624" i="6"/>
  <c r="D4623" i="6"/>
  <c r="C4623" i="6"/>
  <c r="B4623" i="6"/>
  <c r="D5176" i="6"/>
  <c r="C5176" i="6"/>
  <c r="B5176" i="6"/>
  <c r="D5175" i="6"/>
  <c r="C5175" i="6"/>
  <c r="B5175" i="6"/>
  <c r="D5174" i="6"/>
  <c r="C5174" i="6"/>
  <c r="B5174" i="6"/>
  <c r="D5173" i="6"/>
  <c r="C5173" i="6"/>
  <c r="B5173" i="6"/>
  <c r="D5172" i="6"/>
  <c r="C5172" i="6"/>
  <c r="B5172" i="6"/>
  <c r="D5171" i="6"/>
  <c r="C5171" i="6"/>
  <c r="B5171" i="6"/>
  <c r="V5170" i="6"/>
  <c r="D5170" i="6"/>
  <c r="C5170" i="6"/>
  <c r="B5170" i="6"/>
  <c r="V5169" i="6"/>
  <c r="D5169" i="6"/>
  <c r="C5169" i="6"/>
  <c r="B5169" i="6"/>
  <c r="D4641" i="6"/>
  <c r="C4641" i="6"/>
  <c r="B4641" i="6"/>
  <c r="D4043" i="6"/>
  <c r="C4043" i="6"/>
  <c r="B4043" i="6"/>
  <c r="D78" i="6"/>
  <c r="D115" i="6"/>
  <c r="D12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6" i="6"/>
  <c r="D117" i="6"/>
  <c r="D118" i="6"/>
  <c r="D119" i="6"/>
  <c r="D120" i="6"/>
  <c r="D121" i="6"/>
  <c r="D122" i="6"/>
  <c r="D123" i="6"/>
  <c r="D124" i="6"/>
  <c r="D125" i="6"/>
  <c r="D126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56" i="6"/>
  <c r="D1412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7" i="6"/>
  <c r="D2852" i="6"/>
  <c r="D2853" i="6"/>
  <c r="D2999" i="6"/>
  <c r="D2846" i="6"/>
  <c r="D2848" i="6"/>
  <c r="D2849" i="6"/>
  <c r="D2850" i="6"/>
  <c r="D2851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49" i="6"/>
  <c r="D3550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5177" i="6"/>
  <c r="D5178" i="6"/>
  <c r="D5179" i="6"/>
  <c r="D5180" i="6"/>
  <c r="D5651" i="6"/>
  <c r="D5652" i="6"/>
  <c r="D5653" i="6"/>
  <c r="V3961" i="6"/>
  <c r="C3961" i="6"/>
  <c r="B3961" i="6"/>
  <c r="V3960" i="6"/>
  <c r="C3960" i="6"/>
  <c r="B3960" i="6"/>
  <c r="V3959" i="6"/>
  <c r="C3959" i="6"/>
  <c r="B3959" i="6"/>
  <c r="V3958" i="6"/>
  <c r="C3958" i="6"/>
  <c r="B3958" i="6"/>
  <c r="V3957" i="6"/>
  <c r="C3957" i="6"/>
  <c r="B3957" i="6"/>
  <c r="C3956" i="6"/>
  <c r="B3956" i="6"/>
  <c r="C3955" i="6"/>
  <c r="B3955" i="6"/>
  <c r="C3954" i="6"/>
  <c r="B3954" i="6"/>
  <c r="V3953" i="6"/>
  <c r="C3953" i="6"/>
  <c r="B3953" i="6"/>
  <c r="V3952" i="6"/>
  <c r="C3952" i="6"/>
  <c r="B3952" i="6"/>
  <c r="V3951" i="6"/>
  <c r="C3951" i="6"/>
  <c r="B3951" i="6"/>
  <c r="V3950" i="6"/>
  <c r="C3950" i="6"/>
  <c r="B3950" i="6"/>
  <c r="V3949" i="6"/>
  <c r="C3949" i="6"/>
  <c r="B3949" i="6"/>
  <c r="V3948" i="6"/>
  <c r="C3948" i="6"/>
  <c r="B3948" i="6"/>
  <c r="C3947" i="6"/>
  <c r="B3947" i="6"/>
  <c r="C3946" i="6"/>
  <c r="B3946" i="6"/>
  <c r="C3945" i="6"/>
  <c r="B3945" i="6"/>
  <c r="C3944" i="6"/>
  <c r="B3944" i="6"/>
  <c r="C3943" i="6"/>
  <c r="B3943" i="6"/>
  <c r="C3942" i="6"/>
  <c r="B3942" i="6"/>
  <c r="C3941" i="6"/>
  <c r="B3941" i="6"/>
  <c r="C3940" i="6"/>
  <c r="B3940" i="6"/>
  <c r="C3939" i="6"/>
  <c r="B3939" i="6"/>
  <c r="C3938" i="6"/>
  <c r="B3938" i="6"/>
  <c r="C3937" i="6"/>
  <c r="B3937" i="6"/>
  <c r="C3936" i="6"/>
  <c r="B3936" i="6"/>
  <c r="C3935" i="6"/>
  <c r="B3935" i="6"/>
  <c r="C3934" i="6"/>
  <c r="B3934" i="6"/>
  <c r="C3933" i="6"/>
  <c r="B3933" i="6"/>
  <c r="V3932" i="6"/>
  <c r="C3932" i="6"/>
  <c r="B3932" i="6"/>
  <c r="C3931" i="6"/>
  <c r="B3931" i="6"/>
  <c r="C3930" i="6"/>
  <c r="B3930" i="6"/>
  <c r="C3929" i="6"/>
  <c r="B3929" i="6"/>
  <c r="C3928" i="6"/>
  <c r="B3928" i="6"/>
  <c r="C3927" i="6"/>
  <c r="B3927" i="6"/>
  <c r="C3926" i="6"/>
  <c r="B3926" i="6"/>
  <c r="C3925" i="6"/>
  <c r="B3925" i="6"/>
  <c r="C3924" i="6"/>
  <c r="B3924" i="6"/>
  <c r="C3923" i="6"/>
  <c r="B3923" i="6"/>
  <c r="C3922" i="6"/>
  <c r="B3922" i="6"/>
  <c r="C3921" i="6"/>
  <c r="B3921" i="6"/>
  <c r="C3920" i="6"/>
  <c r="B3920" i="6"/>
  <c r="C3919" i="6"/>
  <c r="B3919" i="6"/>
  <c r="C3918" i="6"/>
  <c r="B3918" i="6"/>
  <c r="C3917" i="6"/>
  <c r="B3917" i="6"/>
  <c r="C3916" i="6"/>
  <c r="B3916" i="6"/>
  <c r="C3915" i="6"/>
  <c r="B3915" i="6"/>
  <c r="V3914" i="6"/>
  <c r="C3914" i="6"/>
  <c r="B3914" i="6"/>
  <c r="C3913" i="6"/>
  <c r="B3913" i="6"/>
  <c r="C3912" i="6"/>
  <c r="B3912" i="6"/>
  <c r="C3911" i="6"/>
  <c r="B3911" i="6"/>
  <c r="C3910" i="6"/>
  <c r="B3910" i="6"/>
  <c r="C3909" i="6"/>
  <c r="B3909" i="6"/>
  <c r="C3908" i="6"/>
  <c r="B3908" i="6"/>
  <c r="C3907" i="6"/>
  <c r="B3907" i="6"/>
  <c r="C3906" i="6"/>
  <c r="B3906" i="6"/>
  <c r="C3905" i="6"/>
  <c r="B3905" i="6"/>
  <c r="C3904" i="6"/>
  <c r="B3904" i="6"/>
  <c r="C3903" i="6"/>
  <c r="B3903" i="6"/>
  <c r="V3902" i="6"/>
  <c r="C3902" i="6"/>
  <c r="B3902" i="6"/>
  <c r="C3901" i="6"/>
  <c r="B3901" i="6"/>
  <c r="C3900" i="6"/>
  <c r="B3900" i="6"/>
  <c r="C3899" i="6"/>
  <c r="B3899" i="6"/>
  <c r="C3898" i="6"/>
  <c r="B3898" i="6"/>
  <c r="C3897" i="6"/>
  <c r="B3897" i="6"/>
  <c r="C3896" i="6"/>
  <c r="B3896" i="6"/>
  <c r="C3895" i="6"/>
  <c r="B3895" i="6"/>
  <c r="V3894" i="6"/>
  <c r="C3894" i="6"/>
  <c r="B3894" i="6"/>
  <c r="V3893" i="6"/>
  <c r="C3893" i="6"/>
  <c r="B3893" i="6"/>
  <c r="V3892" i="6"/>
  <c r="C3892" i="6"/>
  <c r="B3892" i="6"/>
  <c r="V3891" i="6"/>
  <c r="C3891" i="6"/>
  <c r="B3891" i="6"/>
  <c r="C3890" i="6"/>
  <c r="B3890" i="6"/>
  <c r="C3889" i="6"/>
  <c r="B3889" i="6"/>
  <c r="V3888" i="6"/>
  <c r="C3888" i="6"/>
  <c r="B3888" i="6"/>
  <c r="C3887" i="6"/>
  <c r="B3887" i="6"/>
  <c r="C3886" i="6"/>
  <c r="B3886" i="6"/>
  <c r="C3885" i="6"/>
  <c r="B3885" i="6"/>
  <c r="V3884" i="6"/>
  <c r="C3884" i="6"/>
  <c r="B3884" i="6"/>
  <c r="C3883" i="6"/>
  <c r="B3883" i="6"/>
  <c r="C3882" i="6"/>
  <c r="B3882" i="6"/>
  <c r="C3881" i="6"/>
  <c r="B3881" i="6"/>
  <c r="V3880" i="6"/>
  <c r="C3880" i="6"/>
  <c r="B3880" i="6"/>
  <c r="C3879" i="6"/>
  <c r="B3879" i="6"/>
  <c r="C3878" i="6"/>
  <c r="B3878" i="6"/>
  <c r="V3877" i="6"/>
  <c r="C3877" i="6"/>
  <c r="B3877" i="6"/>
  <c r="V3876" i="6"/>
  <c r="C3876" i="6"/>
  <c r="B3876" i="6"/>
  <c r="V3875" i="6"/>
  <c r="C3875" i="6"/>
  <c r="B3875" i="6"/>
  <c r="V3874" i="6"/>
  <c r="C3874" i="6"/>
  <c r="B3874" i="6"/>
  <c r="C3873" i="6"/>
  <c r="B3873" i="6"/>
  <c r="C3872" i="6"/>
  <c r="B3872" i="6"/>
  <c r="C3871" i="6"/>
  <c r="B3871" i="6"/>
  <c r="C3870" i="6"/>
  <c r="B3870" i="6"/>
  <c r="C3869" i="6"/>
  <c r="B3869" i="6"/>
  <c r="C3868" i="6"/>
  <c r="B3868" i="6"/>
  <c r="C3867" i="6"/>
  <c r="B3867" i="6"/>
  <c r="C3866" i="6"/>
  <c r="B3866" i="6"/>
  <c r="C3865" i="6"/>
  <c r="B3865" i="6"/>
  <c r="C3864" i="6"/>
  <c r="B3864" i="6"/>
  <c r="C3863" i="6"/>
  <c r="B3863" i="6"/>
  <c r="C3862" i="6"/>
  <c r="B3862" i="6"/>
  <c r="C3861" i="6"/>
  <c r="B3861" i="6"/>
  <c r="C3860" i="6"/>
  <c r="B3860" i="6"/>
  <c r="C3859" i="6"/>
  <c r="B3859" i="6"/>
  <c r="C3858" i="6"/>
  <c r="B3858" i="6"/>
  <c r="C3857" i="6"/>
  <c r="B3857" i="6"/>
  <c r="V3856" i="6"/>
  <c r="C3856" i="6"/>
  <c r="B3856" i="6"/>
  <c r="C3855" i="6"/>
  <c r="B3855" i="6"/>
  <c r="C3854" i="6"/>
  <c r="B3854" i="6"/>
  <c r="C3853" i="6"/>
  <c r="B3853" i="6"/>
  <c r="C3852" i="6"/>
  <c r="B3852" i="6"/>
  <c r="C3851" i="6"/>
  <c r="B3851" i="6"/>
  <c r="C3850" i="6"/>
  <c r="B3850" i="6"/>
  <c r="C3849" i="6"/>
  <c r="B3849" i="6"/>
  <c r="C3848" i="6"/>
  <c r="B3848" i="6"/>
  <c r="C3847" i="6"/>
  <c r="B3847" i="6"/>
  <c r="C3846" i="6"/>
  <c r="B3846" i="6"/>
  <c r="C3845" i="6"/>
  <c r="B3845" i="6"/>
  <c r="C3844" i="6"/>
  <c r="B3844" i="6"/>
  <c r="C3843" i="6"/>
  <c r="B3843" i="6"/>
  <c r="C3842" i="6"/>
  <c r="B3842" i="6"/>
  <c r="C3841" i="6"/>
  <c r="B3841" i="6"/>
  <c r="C3840" i="6"/>
  <c r="B3840" i="6"/>
  <c r="C3839" i="6"/>
  <c r="B3839" i="6"/>
  <c r="C3838" i="6"/>
  <c r="B3838" i="6"/>
  <c r="C3837" i="6"/>
  <c r="B3837" i="6"/>
  <c r="C3836" i="6"/>
  <c r="B3836" i="6"/>
  <c r="C3835" i="6"/>
  <c r="B3835" i="6"/>
  <c r="V3834" i="6"/>
  <c r="C3834" i="6"/>
  <c r="B3834" i="6"/>
  <c r="C4024" i="6"/>
  <c r="B4024" i="6"/>
  <c r="C4023" i="6"/>
  <c r="B4023" i="6"/>
  <c r="C4022" i="6"/>
  <c r="B4022" i="6"/>
  <c r="C4021" i="6"/>
  <c r="B4021" i="6"/>
  <c r="C4020" i="6"/>
  <c r="B4020" i="6"/>
  <c r="C4019" i="6"/>
  <c r="B4019" i="6"/>
  <c r="C4018" i="6"/>
  <c r="B4018" i="6"/>
  <c r="C4017" i="6"/>
  <c r="B4017" i="6"/>
  <c r="C4016" i="6"/>
  <c r="B4016" i="6"/>
  <c r="C4015" i="6"/>
  <c r="B4015" i="6"/>
  <c r="C4014" i="6"/>
  <c r="B4014" i="6"/>
  <c r="C4013" i="6"/>
  <c r="B4013" i="6"/>
  <c r="C4012" i="6"/>
  <c r="B4012" i="6"/>
  <c r="C4011" i="6"/>
  <c r="B4011" i="6"/>
  <c r="C4010" i="6"/>
  <c r="B4010" i="6"/>
  <c r="C4009" i="6"/>
  <c r="B4009" i="6"/>
  <c r="C4008" i="6"/>
  <c r="B4008" i="6"/>
  <c r="C4007" i="6"/>
  <c r="B4007" i="6"/>
  <c r="C4006" i="6"/>
  <c r="B4006" i="6"/>
  <c r="C4005" i="6"/>
  <c r="B4005" i="6"/>
  <c r="C4004" i="6"/>
  <c r="B4004" i="6"/>
  <c r="C4003" i="6"/>
  <c r="B4003" i="6"/>
  <c r="C4002" i="6"/>
  <c r="B4002" i="6"/>
  <c r="C4001" i="6"/>
  <c r="B4001" i="6"/>
  <c r="C4000" i="6"/>
  <c r="B4000" i="6"/>
  <c r="C3999" i="6"/>
  <c r="B3999" i="6"/>
  <c r="C3998" i="6"/>
  <c r="B3998" i="6"/>
  <c r="C3997" i="6"/>
  <c r="B3997" i="6"/>
  <c r="C3996" i="6"/>
  <c r="B3996" i="6"/>
  <c r="C3995" i="6"/>
  <c r="B3995" i="6"/>
  <c r="C3994" i="6"/>
  <c r="B3994" i="6"/>
  <c r="C3993" i="6"/>
  <c r="B3993" i="6"/>
  <c r="C3992" i="6"/>
  <c r="B3992" i="6"/>
  <c r="C3991" i="6"/>
  <c r="B3991" i="6"/>
  <c r="C3990" i="6"/>
  <c r="B3990" i="6"/>
  <c r="C3989" i="6"/>
  <c r="B3989" i="6"/>
  <c r="C3988" i="6"/>
  <c r="B3988" i="6"/>
  <c r="C3987" i="6"/>
  <c r="B3987" i="6"/>
  <c r="C3986" i="6"/>
  <c r="B3986" i="6"/>
  <c r="C3985" i="6"/>
  <c r="B3985" i="6"/>
  <c r="C3984" i="6"/>
  <c r="B3984" i="6"/>
  <c r="C3983" i="6"/>
  <c r="B3983" i="6"/>
  <c r="C3982" i="6"/>
  <c r="B3982" i="6"/>
  <c r="C3981" i="6"/>
  <c r="B3981" i="6"/>
  <c r="V3980" i="6"/>
  <c r="C3980" i="6"/>
  <c r="B3980" i="6"/>
  <c r="C3979" i="6"/>
  <c r="B3979" i="6"/>
  <c r="C3978" i="6"/>
  <c r="B3978" i="6"/>
  <c r="C3977" i="6"/>
  <c r="B3977" i="6"/>
  <c r="C3976" i="6"/>
  <c r="B3976" i="6"/>
  <c r="C3975" i="6"/>
  <c r="B3975" i="6"/>
  <c r="C3974" i="6"/>
  <c r="B3974" i="6"/>
  <c r="C3973" i="6"/>
  <c r="B3973" i="6"/>
  <c r="C3972" i="6"/>
  <c r="B3972" i="6"/>
  <c r="C3971" i="6"/>
  <c r="B3971" i="6"/>
  <c r="C3970" i="6"/>
  <c r="B3970" i="6"/>
  <c r="C3969" i="6"/>
  <c r="B3969" i="6"/>
  <c r="C3968" i="6"/>
  <c r="B3968" i="6"/>
  <c r="C3967" i="6"/>
  <c r="B3967" i="6"/>
  <c r="C3966" i="6"/>
  <c r="B3966" i="6"/>
  <c r="C3965" i="6"/>
  <c r="B3965" i="6"/>
  <c r="C3964" i="6"/>
  <c r="B3964" i="6"/>
  <c r="C3963" i="6"/>
  <c r="B3963" i="6"/>
  <c r="C3962" i="6"/>
  <c r="B3962" i="6"/>
  <c r="V4057" i="6"/>
  <c r="C4057" i="6"/>
  <c r="B4057" i="6"/>
  <c r="V4056" i="6"/>
  <c r="C4056" i="6"/>
  <c r="B4056" i="6"/>
  <c r="C4055" i="6"/>
  <c r="B4055" i="6"/>
  <c r="C4054" i="6"/>
  <c r="B4054" i="6"/>
  <c r="C4053" i="6"/>
  <c r="B4053" i="6"/>
  <c r="C4052" i="6"/>
  <c r="B4052" i="6"/>
  <c r="C4051" i="6"/>
  <c r="B4051" i="6"/>
  <c r="C4050" i="6"/>
  <c r="B4050" i="6"/>
  <c r="C4049" i="6"/>
  <c r="B4049" i="6"/>
  <c r="C4048" i="6"/>
  <c r="B4048" i="6"/>
  <c r="C4047" i="6"/>
  <c r="B4047" i="6"/>
  <c r="C4046" i="6"/>
  <c r="B4046" i="6"/>
  <c r="V4045" i="6"/>
  <c r="C4045" i="6"/>
  <c r="B4045" i="6"/>
  <c r="V4044" i="6"/>
  <c r="C4044" i="6"/>
  <c r="B4044" i="6"/>
  <c r="V4042" i="6"/>
  <c r="C4042" i="6"/>
  <c r="B4042" i="6"/>
  <c r="V4041" i="6"/>
  <c r="C4041" i="6"/>
  <c r="B4041" i="6"/>
  <c r="V4040" i="6"/>
  <c r="C4040" i="6"/>
  <c r="B4040" i="6"/>
  <c r="V4039" i="6"/>
  <c r="C4039" i="6"/>
  <c r="B4039" i="6"/>
  <c r="C4038" i="6"/>
  <c r="B4038" i="6"/>
  <c r="C4037" i="6"/>
  <c r="B4037" i="6"/>
  <c r="C4036" i="6"/>
  <c r="B4036" i="6"/>
  <c r="C4035" i="6"/>
  <c r="B4035" i="6"/>
  <c r="C4034" i="6"/>
  <c r="B4034" i="6"/>
  <c r="C4033" i="6"/>
  <c r="B4033" i="6"/>
  <c r="C4032" i="6"/>
  <c r="B4032" i="6"/>
  <c r="C4031" i="6"/>
  <c r="B4031" i="6"/>
  <c r="C4030" i="6"/>
  <c r="B4030" i="6"/>
  <c r="C4029" i="6"/>
  <c r="B4029" i="6"/>
  <c r="C4028" i="6"/>
  <c r="B4028" i="6"/>
  <c r="V4027" i="6"/>
  <c r="C4027" i="6"/>
  <c r="B4027" i="6"/>
  <c r="C4026" i="6"/>
  <c r="B4026" i="6"/>
  <c r="C4025" i="6"/>
  <c r="B4025" i="6"/>
  <c r="C4073" i="6"/>
  <c r="B4073" i="6"/>
  <c r="C4072" i="6"/>
  <c r="B4072" i="6"/>
  <c r="C4071" i="6"/>
  <c r="B4071" i="6"/>
  <c r="C4070" i="6"/>
  <c r="B4070" i="6"/>
  <c r="V4069" i="6"/>
  <c r="C4069" i="6"/>
  <c r="B4069" i="6"/>
  <c r="C4068" i="6"/>
  <c r="B4068" i="6"/>
  <c r="C4067" i="6"/>
  <c r="B4067" i="6"/>
  <c r="C4066" i="6"/>
  <c r="B4066" i="6"/>
  <c r="C4065" i="6"/>
  <c r="B4065" i="6"/>
  <c r="C4064" i="6"/>
  <c r="B4064" i="6"/>
  <c r="C4063" i="6"/>
  <c r="B4063" i="6"/>
  <c r="C4062" i="6"/>
  <c r="B4062" i="6"/>
  <c r="C4061" i="6"/>
  <c r="B4061" i="6"/>
  <c r="C4060" i="6"/>
  <c r="B4060" i="6"/>
  <c r="C4059" i="6"/>
  <c r="B4059" i="6"/>
  <c r="C4058" i="6"/>
  <c r="B4058" i="6"/>
  <c r="I3676" i="6"/>
  <c r="C3676" i="6"/>
  <c r="B3676" i="6"/>
  <c r="N532" i="14"/>
  <c r="N531" i="14"/>
  <c r="N530" i="14"/>
  <c r="N529" i="14"/>
  <c r="N528" i="14"/>
  <c r="N527" i="14"/>
  <c r="N526" i="14"/>
  <c r="N525" i="14"/>
  <c r="N524" i="14"/>
  <c r="N523" i="14"/>
  <c r="N522" i="14"/>
  <c r="N521" i="14"/>
  <c r="N520" i="14"/>
  <c r="N519" i="14"/>
  <c r="N518" i="14"/>
  <c r="N517" i="14"/>
  <c r="N516" i="14"/>
  <c r="N515" i="14"/>
  <c r="N514" i="14"/>
  <c r="N513" i="14"/>
  <c r="N512" i="14"/>
  <c r="N511" i="14"/>
  <c r="N510" i="14"/>
  <c r="P510" i="14" s="1"/>
  <c r="N509" i="14"/>
  <c r="N508" i="14"/>
  <c r="N507" i="14"/>
  <c r="N506" i="14"/>
  <c r="N505" i="14"/>
  <c r="N504" i="14"/>
  <c r="P504" i="14" s="1"/>
  <c r="N503" i="14"/>
  <c r="N502" i="14"/>
  <c r="N501" i="14"/>
  <c r="N500" i="14"/>
  <c r="N499" i="14"/>
  <c r="N498" i="14"/>
  <c r="N497" i="14"/>
  <c r="N496" i="14"/>
  <c r="N495" i="14"/>
  <c r="N494" i="14"/>
  <c r="N493" i="14"/>
  <c r="N492" i="14"/>
  <c r="N491" i="14"/>
  <c r="N490" i="14"/>
  <c r="N489" i="14"/>
  <c r="N488" i="14"/>
  <c r="N487" i="14"/>
  <c r="N486" i="14"/>
  <c r="N485" i="14"/>
  <c r="N556" i="14"/>
  <c r="N555" i="14"/>
  <c r="N554" i="14"/>
  <c r="N553" i="14"/>
  <c r="N552" i="14"/>
  <c r="N551" i="14"/>
  <c r="N550" i="14"/>
  <c r="N549" i="14"/>
  <c r="N548" i="14"/>
  <c r="N547" i="14"/>
  <c r="N546" i="14"/>
  <c r="N545" i="14"/>
  <c r="N544" i="14"/>
  <c r="N543" i="14"/>
  <c r="N542" i="14"/>
  <c r="N541" i="14"/>
  <c r="N540" i="14"/>
  <c r="N539" i="14"/>
  <c r="N538" i="14"/>
  <c r="N537" i="14"/>
  <c r="N536" i="14"/>
  <c r="N535" i="14"/>
  <c r="N534" i="14"/>
  <c r="N533" i="14"/>
  <c r="N568" i="14"/>
  <c r="N567" i="14"/>
  <c r="N566" i="14"/>
  <c r="N565" i="14"/>
  <c r="N564" i="14"/>
  <c r="N563" i="14"/>
  <c r="N562" i="14"/>
  <c r="N561" i="14"/>
  <c r="N560" i="14"/>
  <c r="N559" i="14"/>
  <c r="N558" i="14"/>
  <c r="N557" i="14"/>
  <c r="B3332" i="6"/>
  <c r="C3332" i="6"/>
  <c r="B3416" i="6"/>
  <c r="C3416" i="6"/>
  <c r="C3225" i="6"/>
  <c r="B3225" i="6"/>
  <c r="N483" i="14"/>
  <c r="N482" i="14"/>
  <c r="N481" i="14"/>
  <c r="N480" i="14"/>
  <c r="N479" i="14"/>
  <c r="N478" i="14"/>
  <c r="N477" i="14"/>
  <c r="N476" i="14"/>
  <c r="N475" i="14"/>
  <c r="N474" i="14"/>
  <c r="N473" i="14"/>
  <c r="N472" i="14"/>
  <c r="N471" i="14"/>
  <c r="N573" i="14"/>
  <c r="N572" i="14"/>
  <c r="N571" i="14"/>
  <c r="N570" i="14"/>
  <c r="N569" i="14"/>
  <c r="N484" i="14"/>
  <c r="N470" i="14"/>
  <c r="C3338" i="6"/>
  <c r="B3338" i="6"/>
  <c r="I3334" i="6"/>
  <c r="H3334" i="6"/>
  <c r="C3334" i="6"/>
  <c r="B3334" i="6"/>
  <c r="I3215" i="6"/>
  <c r="H3215" i="6"/>
  <c r="C3215" i="6"/>
  <c r="B3215" i="6"/>
  <c r="C3207" i="6"/>
  <c r="B3207" i="6"/>
  <c r="C3201" i="6"/>
  <c r="B3201" i="6"/>
  <c r="C3197" i="6"/>
  <c r="B3197" i="6"/>
  <c r="C3198" i="6"/>
  <c r="B3198" i="6"/>
  <c r="C3191" i="6"/>
  <c r="B3191" i="6"/>
  <c r="C3193" i="6"/>
  <c r="B3193" i="6"/>
  <c r="C3192" i="6"/>
  <c r="B3192" i="6"/>
  <c r="C3194" i="6"/>
  <c r="B3194" i="6"/>
  <c r="V3189" i="6"/>
  <c r="I3189" i="6"/>
  <c r="H3189" i="6"/>
  <c r="C3189" i="6"/>
  <c r="B3189" i="6"/>
  <c r="I3185" i="6"/>
  <c r="H3185" i="6"/>
  <c r="C3185" i="6"/>
  <c r="B3185" i="6"/>
  <c r="C3145" i="6"/>
  <c r="B3145" i="6"/>
  <c r="I3142" i="6"/>
  <c r="H3142" i="6"/>
  <c r="C3142" i="6"/>
  <c r="B3142" i="6"/>
  <c r="I3143" i="6"/>
  <c r="H3143" i="6"/>
  <c r="C3143" i="6"/>
  <c r="B3143" i="6"/>
  <c r="C3140" i="6"/>
  <c r="B3140" i="6"/>
  <c r="C3136" i="6"/>
  <c r="B3136" i="6"/>
  <c r="C3133" i="6"/>
  <c r="B3133" i="6"/>
  <c r="C3134" i="6"/>
  <c r="B3134" i="6"/>
  <c r="C3126" i="6"/>
  <c r="B3126" i="6"/>
  <c r="C3123" i="6"/>
  <c r="B3123" i="6"/>
  <c r="C3119" i="6"/>
  <c r="B3119" i="6"/>
  <c r="I3116" i="6"/>
  <c r="H3116" i="6"/>
  <c r="C3116" i="6"/>
  <c r="B3116" i="6"/>
  <c r="C3114" i="6"/>
  <c r="B3114" i="6"/>
  <c r="C3112" i="6"/>
  <c r="B3112" i="6"/>
  <c r="C3107" i="6"/>
  <c r="B3107" i="6"/>
  <c r="I3102" i="6"/>
  <c r="H3102" i="6"/>
  <c r="C3102" i="6"/>
  <c r="B3102" i="6"/>
  <c r="I3099" i="6"/>
  <c r="H3099" i="6"/>
  <c r="C3099" i="6"/>
  <c r="B3099" i="6"/>
  <c r="I3095" i="6"/>
  <c r="H3095" i="6"/>
  <c r="C3095" i="6"/>
  <c r="B3095" i="6"/>
  <c r="C3092" i="6"/>
  <c r="B3092" i="6"/>
  <c r="C3085" i="6"/>
  <c r="B3085" i="6"/>
  <c r="C3078" i="6"/>
  <c r="B3078" i="6"/>
  <c r="I3075" i="6"/>
  <c r="H3075" i="6"/>
  <c r="C3075" i="6"/>
  <c r="B3075" i="6"/>
  <c r="I3057" i="6"/>
  <c r="H3057" i="6"/>
  <c r="C3057" i="6"/>
  <c r="B3057" i="6"/>
  <c r="C3051" i="6"/>
  <c r="B3051" i="6"/>
  <c r="C3053" i="6"/>
  <c r="B3053" i="6"/>
  <c r="C3052" i="6"/>
  <c r="B3052" i="6"/>
  <c r="C3054" i="6"/>
  <c r="B3054" i="6"/>
  <c r="C3042" i="6"/>
  <c r="B3042" i="6"/>
  <c r="I3040" i="6"/>
  <c r="H3040" i="6"/>
  <c r="C3040" i="6"/>
  <c r="B3040" i="6"/>
  <c r="I3036" i="6"/>
  <c r="H3036" i="6"/>
  <c r="C3036" i="6"/>
  <c r="B3036" i="6"/>
  <c r="C3023" i="6"/>
  <c r="B3023" i="6"/>
  <c r="C3011" i="6"/>
  <c r="B3011" i="6"/>
  <c r="V3003" i="6"/>
  <c r="C3003" i="6"/>
  <c r="B3003" i="6"/>
  <c r="V3006" i="6"/>
  <c r="C3006" i="6"/>
  <c r="B3006" i="6"/>
  <c r="C3001" i="6"/>
  <c r="B3001" i="6"/>
  <c r="C2813" i="6"/>
  <c r="B2813" i="6"/>
  <c r="C2904" i="6"/>
  <c r="B2904" i="6"/>
  <c r="I2898" i="6"/>
  <c r="H2898" i="6"/>
  <c r="C2898" i="6"/>
  <c r="B2898" i="6"/>
  <c r="I2894" i="6"/>
  <c r="H2894" i="6"/>
  <c r="C2894" i="6"/>
  <c r="B2894" i="6"/>
  <c r="I2892" i="6"/>
  <c r="H2892" i="6"/>
  <c r="C2892" i="6"/>
  <c r="B2892" i="6"/>
  <c r="C2890" i="6"/>
  <c r="B2890" i="6"/>
  <c r="I2881" i="6"/>
  <c r="H2881" i="6"/>
  <c r="C2881" i="6"/>
  <c r="B2881" i="6"/>
  <c r="C2879" i="6"/>
  <c r="B2879" i="6"/>
  <c r="C2876" i="6"/>
  <c r="B2876" i="6"/>
  <c r="C2873" i="6"/>
  <c r="B2873" i="6"/>
  <c r="C2874" i="6"/>
  <c r="B2874" i="6"/>
  <c r="C2868" i="6"/>
  <c r="B2868" i="6"/>
  <c r="C2862" i="6"/>
  <c r="B2862" i="6"/>
  <c r="C2864" i="6"/>
  <c r="B2864" i="6"/>
  <c r="C2863" i="6"/>
  <c r="B2863" i="6"/>
  <c r="C2865" i="6"/>
  <c r="B2865" i="6"/>
  <c r="N444" i="14"/>
  <c r="P444" i="14" s="1"/>
  <c r="N443" i="14"/>
  <c r="P443" i="14" s="1"/>
  <c r="N442" i="14"/>
  <c r="N441" i="14"/>
  <c r="N440" i="14"/>
  <c r="N439" i="14"/>
  <c r="N438" i="14"/>
  <c r="N437" i="14"/>
  <c r="N436" i="14"/>
  <c r="N435" i="14"/>
  <c r="N434" i="14"/>
  <c r="N433" i="14"/>
  <c r="N432" i="14"/>
  <c r="N431" i="14"/>
  <c r="N430" i="14"/>
  <c r="N429" i="14"/>
  <c r="N428" i="14"/>
  <c r="N427" i="14"/>
  <c r="N426" i="14"/>
  <c r="N425" i="14"/>
  <c r="N424" i="14"/>
  <c r="N423" i="14"/>
  <c r="N422" i="14"/>
  <c r="N421" i="14"/>
  <c r="P421" i="14" s="1"/>
  <c r="N420" i="14"/>
  <c r="N419" i="14"/>
  <c r="N418" i="14"/>
  <c r="N417" i="14"/>
  <c r="N416" i="14"/>
  <c r="N415" i="14"/>
  <c r="N414" i="14"/>
  <c r="N413" i="14"/>
  <c r="N460" i="14"/>
  <c r="N459" i="14"/>
  <c r="N458" i="14"/>
  <c r="N457" i="14"/>
  <c r="N456" i="14"/>
  <c r="N455" i="14"/>
  <c r="N454" i="14"/>
  <c r="N453" i="14"/>
  <c r="N452" i="14"/>
  <c r="N451" i="14"/>
  <c r="N450" i="14"/>
  <c r="P450" i="14" s="1"/>
  <c r="N449" i="14"/>
  <c r="N448" i="14"/>
  <c r="N447" i="14"/>
  <c r="N446" i="14"/>
  <c r="N445" i="14"/>
  <c r="N468" i="14"/>
  <c r="N467" i="14"/>
  <c r="N466" i="14"/>
  <c r="N465" i="14"/>
  <c r="N464" i="14"/>
  <c r="N463" i="14"/>
  <c r="N462" i="14"/>
  <c r="N461" i="14"/>
  <c r="I3371" i="6"/>
  <c r="H3371" i="6"/>
  <c r="C3371" i="6"/>
  <c r="B3371" i="6"/>
  <c r="V3370" i="6"/>
  <c r="I3370" i="6"/>
  <c r="H3370" i="6"/>
  <c r="C3370" i="6"/>
  <c r="B3370" i="6"/>
  <c r="I3369" i="6"/>
  <c r="H3369" i="6"/>
  <c r="C3369" i="6"/>
  <c r="B3369" i="6"/>
  <c r="I3368" i="6"/>
  <c r="H3368" i="6"/>
  <c r="C3368" i="6"/>
  <c r="B3368" i="6"/>
  <c r="I3367" i="6"/>
  <c r="H3367" i="6"/>
  <c r="C3367" i="6"/>
  <c r="B3367" i="6"/>
  <c r="I3366" i="6"/>
  <c r="H3366" i="6"/>
  <c r="C3366" i="6"/>
  <c r="B3366" i="6"/>
  <c r="I3365" i="6"/>
  <c r="H3365" i="6"/>
  <c r="C3365" i="6"/>
  <c r="B3365" i="6"/>
  <c r="C3364" i="6"/>
  <c r="B3364" i="6"/>
  <c r="C3363" i="6"/>
  <c r="B3363" i="6"/>
  <c r="C3362" i="6"/>
  <c r="B3362" i="6"/>
  <c r="I3361" i="6"/>
  <c r="H3361" i="6"/>
  <c r="C3361" i="6"/>
  <c r="B3361" i="6"/>
  <c r="I3360" i="6"/>
  <c r="C3360" i="6"/>
  <c r="B3360" i="6"/>
  <c r="I3359" i="6"/>
  <c r="H3359" i="6"/>
  <c r="C3359" i="6"/>
  <c r="B3359" i="6"/>
  <c r="C3358" i="6"/>
  <c r="B3358" i="6"/>
  <c r="V3357" i="6"/>
  <c r="I3357" i="6"/>
  <c r="H3357" i="6"/>
  <c r="C3357" i="6"/>
  <c r="B3357" i="6"/>
  <c r="I3356" i="6"/>
  <c r="H3356" i="6"/>
  <c r="C3356" i="6"/>
  <c r="B3356" i="6"/>
  <c r="I3355" i="6"/>
  <c r="H3355" i="6"/>
  <c r="C3355" i="6"/>
  <c r="B3355" i="6"/>
  <c r="I3354" i="6"/>
  <c r="H3354" i="6"/>
  <c r="C3354" i="6"/>
  <c r="B3354" i="6"/>
  <c r="I3353" i="6"/>
  <c r="H3353" i="6"/>
  <c r="C3353" i="6"/>
  <c r="B3353" i="6"/>
  <c r="I3352" i="6"/>
  <c r="H3352" i="6"/>
  <c r="C3352" i="6"/>
  <c r="B3352" i="6"/>
  <c r="I3351" i="6"/>
  <c r="H3351" i="6"/>
  <c r="C3351" i="6"/>
  <c r="B3351" i="6"/>
  <c r="I3350" i="6"/>
  <c r="H3350" i="6"/>
  <c r="C3350" i="6"/>
  <c r="B3350" i="6"/>
  <c r="V3349" i="6"/>
  <c r="C3349" i="6"/>
  <c r="B3349" i="6"/>
  <c r="C3348" i="6"/>
  <c r="B3348" i="6"/>
  <c r="V3347" i="6"/>
  <c r="C3347" i="6"/>
  <c r="B3347" i="6"/>
  <c r="C3346" i="6"/>
  <c r="B3346" i="6"/>
  <c r="V3345" i="6"/>
  <c r="C3345" i="6"/>
  <c r="B3345" i="6"/>
  <c r="V3344" i="6"/>
  <c r="C3344" i="6"/>
  <c r="B3344" i="6"/>
  <c r="V3343" i="6"/>
  <c r="C3343" i="6"/>
  <c r="B3343" i="6"/>
  <c r="V3342" i="6"/>
  <c r="C3342" i="6"/>
  <c r="B3342" i="6"/>
  <c r="V3341" i="6"/>
  <c r="C3341" i="6"/>
  <c r="B3341" i="6"/>
  <c r="V3340" i="6"/>
  <c r="C3340" i="6"/>
  <c r="B3340" i="6"/>
  <c r="V3339" i="6"/>
  <c r="C3339" i="6"/>
  <c r="B3339" i="6"/>
  <c r="V3337" i="6"/>
  <c r="C3337" i="6"/>
  <c r="B3337" i="6"/>
  <c r="C3336" i="6"/>
  <c r="B3336" i="6"/>
  <c r="I3335" i="6"/>
  <c r="H3335" i="6"/>
  <c r="C3335" i="6"/>
  <c r="B3335" i="6"/>
  <c r="C3333" i="6"/>
  <c r="B3333" i="6"/>
  <c r="C3331" i="6"/>
  <c r="B3331" i="6"/>
  <c r="C3330" i="6"/>
  <c r="B3330" i="6"/>
  <c r="C3329" i="6"/>
  <c r="B3329" i="6"/>
  <c r="C3328" i="6"/>
  <c r="B3328" i="6"/>
  <c r="C3327" i="6"/>
  <c r="B3327" i="6"/>
  <c r="I3326" i="6"/>
  <c r="H3326" i="6"/>
  <c r="C3326" i="6"/>
  <c r="B3326" i="6"/>
  <c r="C3325" i="6"/>
  <c r="B3325" i="6"/>
  <c r="C3324" i="6"/>
  <c r="B3324" i="6"/>
  <c r="C3323" i="6"/>
  <c r="B3323" i="6"/>
  <c r="C3322" i="6"/>
  <c r="B3322" i="6"/>
  <c r="C3321" i="6"/>
  <c r="B3321" i="6"/>
  <c r="C3320" i="6"/>
  <c r="B3320" i="6"/>
  <c r="I3319" i="6"/>
  <c r="H3319" i="6"/>
  <c r="C3319" i="6"/>
  <c r="B3319" i="6"/>
  <c r="I3318" i="6"/>
  <c r="H3318" i="6"/>
  <c r="C3318" i="6"/>
  <c r="B3318" i="6"/>
  <c r="I3317" i="6"/>
  <c r="H3317" i="6"/>
  <c r="C3317" i="6"/>
  <c r="B3317" i="6"/>
  <c r="C3316" i="6"/>
  <c r="B3316" i="6"/>
  <c r="C3315" i="6"/>
  <c r="B3315" i="6"/>
  <c r="C3314" i="6"/>
  <c r="B3314" i="6"/>
  <c r="V3313" i="6"/>
  <c r="I3313" i="6"/>
  <c r="H3313" i="6"/>
  <c r="C3313" i="6"/>
  <c r="B3313" i="6"/>
  <c r="C3312" i="6"/>
  <c r="B3312" i="6"/>
  <c r="C3311" i="6"/>
  <c r="B3311" i="6"/>
  <c r="I3310" i="6"/>
  <c r="H3310" i="6"/>
  <c r="C3310" i="6"/>
  <c r="B3310" i="6"/>
  <c r="C3309" i="6"/>
  <c r="B3309" i="6"/>
  <c r="C3308" i="6"/>
  <c r="B3308" i="6"/>
  <c r="C3307" i="6"/>
  <c r="B3307" i="6"/>
  <c r="C3306" i="6"/>
  <c r="B3306" i="6"/>
  <c r="C3305" i="6"/>
  <c r="B3305" i="6"/>
  <c r="C3304" i="6"/>
  <c r="B3304" i="6"/>
  <c r="C3303" i="6"/>
  <c r="B3303" i="6"/>
  <c r="C3302" i="6"/>
  <c r="B3302" i="6"/>
  <c r="C3301" i="6"/>
  <c r="B3301" i="6"/>
  <c r="C3300" i="6"/>
  <c r="B3300" i="6"/>
  <c r="C3299" i="6"/>
  <c r="B3299" i="6"/>
  <c r="V3298" i="6"/>
  <c r="I3298" i="6"/>
  <c r="H3298" i="6"/>
  <c r="C3298" i="6"/>
  <c r="B3298" i="6"/>
  <c r="V3297" i="6"/>
  <c r="I3297" i="6"/>
  <c r="H3297" i="6"/>
  <c r="C3297" i="6"/>
  <c r="B3297" i="6"/>
  <c r="V3296" i="6"/>
  <c r="I3296" i="6"/>
  <c r="H3296" i="6"/>
  <c r="C3296" i="6"/>
  <c r="B3296" i="6"/>
  <c r="V3295" i="6"/>
  <c r="C3295" i="6"/>
  <c r="B3295" i="6"/>
  <c r="V3294" i="6"/>
  <c r="I3294" i="6"/>
  <c r="H3294" i="6"/>
  <c r="C3294" i="6"/>
  <c r="B3294" i="6"/>
  <c r="C3293" i="6"/>
  <c r="B3293" i="6"/>
  <c r="I3292" i="6"/>
  <c r="H3292" i="6"/>
  <c r="C3292" i="6"/>
  <c r="B3292" i="6"/>
  <c r="C3291" i="6"/>
  <c r="B3291" i="6"/>
  <c r="V3290" i="6"/>
  <c r="C3290" i="6"/>
  <c r="B3290" i="6"/>
  <c r="C3289" i="6"/>
  <c r="B3289" i="6"/>
  <c r="C3288" i="6"/>
  <c r="B3288" i="6"/>
  <c r="V3287" i="6"/>
  <c r="C3287" i="6"/>
  <c r="B3287" i="6"/>
  <c r="C3286" i="6"/>
  <c r="B3286" i="6"/>
  <c r="C3285" i="6"/>
  <c r="B3285" i="6"/>
  <c r="C3284" i="6"/>
  <c r="B3284" i="6"/>
  <c r="C3283" i="6"/>
  <c r="B3283" i="6"/>
  <c r="V3282" i="6"/>
  <c r="I3282" i="6"/>
  <c r="H3282" i="6"/>
  <c r="C3282" i="6"/>
  <c r="B3282" i="6"/>
  <c r="C3281" i="6"/>
  <c r="B3281" i="6"/>
  <c r="C3280" i="6"/>
  <c r="B3280" i="6"/>
  <c r="I3279" i="6"/>
  <c r="H3279" i="6"/>
  <c r="C3279" i="6"/>
  <c r="B3279" i="6"/>
  <c r="I3278" i="6"/>
  <c r="H3278" i="6"/>
  <c r="C3278" i="6"/>
  <c r="B3278" i="6"/>
  <c r="I3277" i="6"/>
  <c r="H3277" i="6"/>
  <c r="C3277" i="6"/>
  <c r="B3277" i="6"/>
  <c r="C3276" i="6"/>
  <c r="B3276" i="6"/>
  <c r="V3275" i="6"/>
  <c r="I3275" i="6"/>
  <c r="H3275" i="6"/>
  <c r="C3275" i="6"/>
  <c r="B3275" i="6"/>
  <c r="I3274" i="6"/>
  <c r="H3274" i="6"/>
  <c r="C3274" i="6"/>
  <c r="B3274" i="6"/>
  <c r="V3273" i="6"/>
  <c r="I3273" i="6"/>
  <c r="H3273" i="6"/>
  <c r="C3273" i="6"/>
  <c r="B3273" i="6"/>
  <c r="I3272" i="6"/>
  <c r="H3272" i="6"/>
  <c r="C3272" i="6"/>
  <c r="B3272" i="6"/>
  <c r="I3271" i="6"/>
  <c r="H3271" i="6"/>
  <c r="C3271" i="6"/>
  <c r="B3271" i="6"/>
  <c r="C3270" i="6"/>
  <c r="B3270" i="6"/>
  <c r="C3269" i="6"/>
  <c r="B3269" i="6"/>
  <c r="C3268" i="6"/>
  <c r="B3268" i="6"/>
  <c r="C3267" i="6"/>
  <c r="B3267" i="6"/>
  <c r="C3266" i="6"/>
  <c r="B3266" i="6"/>
  <c r="C3265" i="6"/>
  <c r="B3265" i="6"/>
  <c r="I3264" i="6"/>
  <c r="H3264" i="6"/>
  <c r="C3264" i="6"/>
  <c r="B3264" i="6"/>
  <c r="C3263" i="6"/>
  <c r="B3263" i="6"/>
  <c r="C3262" i="6"/>
  <c r="B3262" i="6"/>
  <c r="I3261" i="6"/>
  <c r="H3261" i="6"/>
  <c r="C3261" i="6"/>
  <c r="B3261" i="6"/>
  <c r="C3260" i="6"/>
  <c r="B3260" i="6"/>
  <c r="C3259" i="6"/>
  <c r="B3259" i="6"/>
  <c r="C3258" i="6"/>
  <c r="B3258" i="6"/>
  <c r="I3257" i="6"/>
  <c r="H3257" i="6"/>
  <c r="C3257" i="6"/>
  <c r="B3257" i="6"/>
  <c r="C3256" i="6"/>
  <c r="B3256" i="6"/>
  <c r="C3255" i="6"/>
  <c r="B3255" i="6"/>
  <c r="V3254" i="6"/>
  <c r="I3254" i="6"/>
  <c r="H3254" i="6"/>
  <c r="C3254" i="6"/>
  <c r="B3254" i="6"/>
  <c r="C3253" i="6"/>
  <c r="B3253" i="6"/>
  <c r="C3252" i="6"/>
  <c r="B3252" i="6"/>
  <c r="I3251" i="6"/>
  <c r="H3251" i="6"/>
  <c r="C3251" i="6"/>
  <c r="B3251" i="6"/>
  <c r="C3250" i="6"/>
  <c r="B3250" i="6"/>
  <c r="C3249" i="6"/>
  <c r="B3249" i="6"/>
  <c r="I3248" i="6"/>
  <c r="H3248" i="6"/>
  <c r="C3248" i="6"/>
  <c r="B3248" i="6"/>
  <c r="I3247" i="6"/>
  <c r="H3247" i="6"/>
  <c r="C3247" i="6"/>
  <c r="B3247" i="6"/>
  <c r="I3246" i="6"/>
  <c r="H3246" i="6"/>
  <c r="C3246" i="6"/>
  <c r="B3246" i="6"/>
  <c r="C3245" i="6"/>
  <c r="B3245" i="6"/>
  <c r="C3244" i="6"/>
  <c r="B3244" i="6"/>
  <c r="C3243" i="6"/>
  <c r="B3243" i="6"/>
  <c r="C3242" i="6"/>
  <c r="B3242" i="6"/>
  <c r="I3241" i="6"/>
  <c r="H3241" i="6"/>
  <c r="C3241" i="6"/>
  <c r="B3241" i="6"/>
  <c r="C3240" i="6"/>
  <c r="B3240" i="6"/>
  <c r="I3239" i="6"/>
  <c r="H3239" i="6"/>
  <c r="C3239" i="6"/>
  <c r="B3239" i="6"/>
  <c r="C3238" i="6"/>
  <c r="B3238" i="6"/>
  <c r="C3237" i="6"/>
  <c r="B3237" i="6"/>
  <c r="C3236" i="6"/>
  <c r="B3236" i="6"/>
  <c r="C3235" i="6"/>
  <c r="B3235" i="6"/>
  <c r="C3234" i="6"/>
  <c r="B3234" i="6"/>
  <c r="C3233" i="6"/>
  <c r="B3233" i="6"/>
  <c r="C3232" i="6"/>
  <c r="B3232" i="6"/>
  <c r="I3231" i="6"/>
  <c r="H3231" i="6"/>
  <c r="C3231" i="6"/>
  <c r="B3231" i="6"/>
  <c r="I3230" i="6"/>
  <c r="H3230" i="6"/>
  <c r="C3230" i="6"/>
  <c r="B3230" i="6"/>
  <c r="I3229" i="6"/>
  <c r="H3229" i="6"/>
  <c r="C3229" i="6"/>
  <c r="B3229" i="6"/>
  <c r="I3228" i="6"/>
  <c r="H3228" i="6"/>
  <c r="C3228" i="6"/>
  <c r="B3228" i="6"/>
  <c r="I3227" i="6"/>
  <c r="H3227" i="6"/>
  <c r="C3227" i="6"/>
  <c r="B3227" i="6"/>
  <c r="V3226" i="6"/>
  <c r="C3226" i="6"/>
  <c r="B3226" i="6"/>
  <c r="C3224" i="6"/>
  <c r="B3224" i="6"/>
  <c r="C3223" i="6"/>
  <c r="B3223" i="6"/>
  <c r="C3222" i="6"/>
  <c r="B3222" i="6"/>
  <c r="I3221" i="6"/>
  <c r="H3221" i="6"/>
  <c r="C3221" i="6"/>
  <c r="B3221" i="6"/>
  <c r="I3220" i="6"/>
  <c r="H3220" i="6"/>
  <c r="C3220" i="6"/>
  <c r="B3220" i="6"/>
  <c r="I3219" i="6"/>
  <c r="H3219" i="6"/>
  <c r="C3219" i="6"/>
  <c r="B3219" i="6"/>
  <c r="I3218" i="6"/>
  <c r="H3218" i="6"/>
  <c r="C3218" i="6"/>
  <c r="B3218" i="6"/>
  <c r="I3217" i="6"/>
  <c r="H3217" i="6"/>
  <c r="C3217" i="6"/>
  <c r="B3217" i="6"/>
  <c r="I3216" i="6"/>
  <c r="H3216" i="6"/>
  <c r="C3216" i="6"/>
  <c r="B3216" i="6"/>
  <c r="I3214" i="6"/>
  <c r="H3214" i="6"/>
  <c r="C3214" i="6"/>
  <c r="B3214" i="6"/>
  <c r="C3213" i="6"/>
  <c r="B3213" i="6"/>
  <c r="I3212" i="6"/>
  <c r="H3212" i="6"/>
  <c r="C3212" i="6"/>
  <c r="B3212" i="6"/>
  <c r="C3211" i="6"/>
  <c r="B3211" i="6"/>
  <c r="V3210" i="6"/>
  <c r="C3210" i="6"/>
  <c r="B3210" i="6"/>
  <c r="V3209" i="6"/>
  <c r="C3209" i="6"/>
  <c r="B3209" i="6"/>
  <c r="V3208" i="6"/>
  <c r="C3208" i="6"/>
  <c r="B3208" i="6"/>
  <c r="V3206" i="6"/>
  <c r="C3206" i="6"/>
  <c r="B3206" i="6"/>
  <c r="C3205" i="6"/>
  <c r="B3205" i="6"/>
  <c r="C3204" i="6"/>
  <c r="B3204" i="6"/>
  <c r="C3203" i="6"/>
  <c r="B3203" i="6"/>
  <c r="C3202" i="6"/>
  <c r="B3202" i="6"/>
  <c r="C3200" i="6"/>
  <c r="B3200" i="6"/>
  <c r="C3199" i="6"/>
  <c r="B3199" i="6"/>
  <c r="C3196" i="6"/>
  <c r="B3196" i="6"/>
  <c r="C3195" i="6"/>
  <c r="B3195" i="6"/>
  <c r="V3190" i="6"/>
  <c r="I3190" i="6"/>
  <c r="H3190" i="6"/>
  <c r="C3190" i="6"/>
  <c r="B3190" i="6"/>
  <c r="V3188" i="6"/>
  <c r="I3188" i="6"/>
  <c r="H3188" i="6"/>
  <c r="C3188" i="6"/>
  <c r="B3188" i="6"/>
  <c r="C3187" i="6"/>
  <c r="B3187" i="6"/>
  <c r="I3186" i="6"/>
  <c r="H3186" i="6"/>
  <c r="C3186" i="6"/>
  <c r="B3186" i="6"/>
  <c r="V3184" i="6"/>
  <c r="I3184" i="6"/>
  <c r="H3184" i="6"/>
  <c r="C3184" i="6"/>
  <c r="B3184" i="6"/>
  <c r="V3183" i="6"/>
  <c r="I3183" i="6"/>
  <c r="H3183" i="6"/>
  <c r="C3183" i="6"/>
  <c r="B3183" i="6"/>
  <c r="I3182" i="6"/>
  <c r="H3182" i="6"/>
  <c r="C3182" i="6"/>
  <c r="B3182" i="6"/>
  <c r="I3181" i="6"/>
  <c r="H3181" i="6"/>
  <c r="C3181" i="6"/>
  <c r="B3181" i="6"/>
  <c r="V3180" i="6"/>
  <c r="I3180" i="6"/>
  <c r="H3180" i="6"/>
  <c r="C3180" i="6"/>
  <c r="B3180" i="6"/>
  <c r="V3179" i="6"/>
  <c r="I3179" i="6"/>
  <c r="H3179" i="6"/>
  <c r="C3179" i="6"/>
  <c r="B3179" i="6"/>
  <c r="V3178" i="6"/>
  <c r="I3178" i="6"/>
  <c r="H3178" i="6"/>
  <c r="C3178" i="6"/>
  <c r="B3178" i="6"/>
  <c r="V3177" i="6"/>
  <c r="I3177" i="6"/>
  <c r="H3177" i="6"/>
  <c r="C3177" i="6"/>
  <c r="B3177" i="6"/>
  <c r="V3176" i="6"/>
  <c r="I3176" i="6"/>
  <c r="H3176" i="6"/>
  <c r="C3176" i="6"/>
  <c r="B3176" i="6"/>
  <c r="V3175" i="6"/>
  <c r="I3175" i="6"/>
  <c r="H3175" i="6"/>
  <c r="C3175" i="6"/>
  <c r="B3175" i="6"/>
  <c r="V3174" i="6"/>
  <c r="I3174" i="6"/>
  <c r="H3174" i="6"/>
  <c r="C3174" i="6"/>
  <c r="B3174" i="6"/>
  <c r="V3173" i="6"/>
  <c r="I3173" i="6"/>
  <c r="H3173" i="6"/>
  <c r="C3173" i="6"/>
  <c r="B3173" i="6"/>
  <c r="V3172" i="6"/>
  <c r="I3172" i="6"/>
  <c r="H3172" i="6"/>
  <c r="C3172" i="6"/>
  <c r="B3172" i="6"/>
  <c r="V3171" i="6"/>
  <c r="I3171" i="6"/>
  <c r="H3171" i="6"/>
  <c r="C3171" i="6"/>
  <c r="B3171" i="6"/>
  <c r="V3170" i="6"/>
  <c r="I3170" i="6"/>
  <c r="H3170" i="6"/>
  <c r="C3170" i="6"/>
  <c r="B3170" i="6"/>
  <c r="I3169" i="6"/>
  <c r="H3169" i="6"/>
  <c r="C3169" i="6"/>
  <c r="B3169" i="6"/>
  <c r="I3168" i="6"/>
  <c r="H3168" i="6"/>
  <c r="C3168" i="6"/>
  <c r="B3168" i="6"/>
  <c r="I3167" i="6"/>
  <c r="H3167" i="6"/>
  <c r="C3167" i="6"/>
  <c r="B3167" i="6"/>
  <c r="I3166" i="6"/>
  <c r="H3166" i="6"/>
  <c r="C3166" i="6"/>
  <c r="B3166" i="6"/>
  <c r="I3165" i="6"/>
  <c r="H3165" i="6"/>
  <c r="C3165" i="6"/>
  <c r="B3165" i="6"/>
  <c r="I3164" i="6"/>
  <c r="H3164" i="6"/>
  <c r="C3164" i="6"/>
  <c r="B3164" i="6"/>
  <c r="C3163" i="6"/>
  <c r="B3163" i="6"/>
  <c r="C3162" i="6"/>
  <c r="B3162" i="6"/>
  <c r="V3161" i="6"/>
  <c r="I3161" i="6"/>
  <c r="H3161" i="6"/>
  <c r="C3161" i="6"/>
  <c r="B3161" i="6"/>
  <c r="V3160" i="6"/>
  <c r="C3160" i="6"/>
  <c r="B3160" i="6"/>
  <c r="V3159" i="6"/>
  <c r="C3159" i="6"/>
  <c r="B3159" i="6"/>
  <c r="I3158" i="6"/>
  <c r="H3158" i="6"/>
  <c r="C3158" i="6"/>
  <c r="B3158" i="6"/>
  <c r="V3157" i="6"/>
  <c r="I3157" i="6"/>
  <c r="H3157" i="6"/>
  <c r="C3157" i="6"/>
  <c r="B3157" i="6"/>
  <c r="V3156" i="6"/>
  <c r="I3156" i="6"/>
  <c r="H3156" i="6"/>
  <c r="C3156" i="6"/>
  <c r="B3156" i="6"/>
  <c r="V3155" i="6"/>
  <c r="I3155" i="6"/>
  <c r="H3155" i="6"/>
  <c r="C3155" i="6"/>
  <c r="B3155" i="6"/>
  <c r="I3154" i="6"/>
  <c r="H3154" i="6"/>
  <c r="C3154" i="6"/>
  <c r="B3154" i="6"/>
  <c r="C3153" i="6"/>
  <c r="B3153" i="6"/>
  <c r="C3152" i="6"/>
  <c r="B3152" i="6"/>
  <c r="C3151" i="6"/>
  <c r="B3151" i="6"/>
  <c r="C3150" i="6"/>
  <c r="B3150" i="6"/>
  <c r="I3149" i="6"/>
  <c r="H3149" i="6"/>
  <c r="C3149" i="6"/>
  <c r="B3149" i="6"/>
  <c r="V3148" i="6"/>
  <c r="I3148" i="6"/>
  <c r="H3148" i="6"/>
  <c r="C3148" i="6"/>
  <c r="B3148" i="6"/>
  <c r="I3147" i="6"/>
  <c r="H3147" i="6"/>
  <c r="C3147" i="6"/>
  <c r="B3147" i="6"/>
  <c r="C3146" i="6"/>
  <c r="B3146" i="6"/>
  <c r="I3144" i="6"/>
  <c r="H3144" i="6"/>
  <c r="C3144" i="6"/>
  <c r="B3144" i="6"/>
  <c r="C3141" i="6"/>
  <c r="B3141" i="6"/>
  <c r="I3139" i="6"/>
  <c r="H3139" i="6"/>
  <c r="C3139" i="6"/>
  <c r="B3139" i="6"/>
  <c r="C3138" i="6"/>
  <c r="B3138" i="6"/>
  <c r="C3137" i="6"/>
  <c r="B3137" i="6"/>
  <c r="C3135" i="6"/>
  <c r="B3135" i="6"/>
  <c r="C3132" i="6"/>
  <c r="B3132" i="6"/>
  <c r="C3131" i="6"/>
  <c r="B3131" i="6"/>
  <c r="C3130" i="6"/>
  <c r="B3130" i="6"/>
  <c r="I3129" i="6"/>
  <c r="H3129" i="6"/>
  <c r="C3129" i="6"/>
  <c r="B3129" i="6"/>
  <c r="C3128" i="6"/>
  <c r="B3128" i="6"/>
  <c r="C3127" i="6"/>
  <c r="B3127" i="6"/>
  <c r="I3125" i="6"/>
  <c r="H3125" i="6"/>
  <c r="C3125" i="6"/>
  <c r="B3125" i="6"/>
  <c r="C3124" i="6"/>
  <c r="B3124" i="6"/>
  <c r="C3122" i="6"/>
  <c r="B3122" i="6"/>
  <c r="I3121" i="6"/>
  <c r="H3121" i="6"/>
  <c r="C3121" i="6"/>
  <c r="B3121" i="6"/>
  <c r="C3120" i="6"/>
  <c r="B3120" i="6"/>
  <c r="V3118" i="6"/>
  <c r="I3118" i="6"/>
  <c r="H3118" i="6"/>
  <c r="C3118" i="6"/>
  <c r="B3118" i="6"/>
  <c r="I3117" i="6"/>
  <c r="H3117" i="6"/>
  <c r="C3117" i="6"/>
  <c r="B3117" i="6"/>
  <c r="C3115" i="6"/>
  <c r="B3115" i="6"/>
  <c r="C3113" i="6"/>
  <c r="B3113" i="6"/>
  <c r="I3111" i="6"/>
  <c r="H3111" i="6"/>
  <c r="C3111" i="6"/>
  <c r="B3111" i="6"/>
  <c r="I3110" i="6"/>
  <c r="H3110" i="6"/>
  <c r="C3110" i="6"/>
  <c r="B3110" i="6"/>
  <c r="C3109" i="6"/>
  <c r="B3109" i="6"/>
  <c r="C3108" i="6"/>
  <c r="B3108" i="6"/>
  <c r="I3106" i="6"/>
  <c r="H3106" i="6"/>
  <c r="C3106" i="6"/>
  <c r="B3106" i="6"/>
  <c r="I3105" i="6"/>
  <c r="H3105" i="6"/>
  <c r="C3105" i="6"/>
  <c r="B3105" i="6"/>
  <c r="I3104" i="6"/>
  <c r="H3104" i="6"/>
  <c r="C3104" i="6"/>
  <c r="B3104" i="6"/>
  <c r="I3103" i="6"/>
  <c r="H3103" i="6"/>
  <c r="C3103" i="6"/>
  <c r="B3103" i="6"/>
  <c r="V3101" i="6"/>
  <c r="I3101" i="6"/>
  <c r="H3101" i="6"/>
  <c r="C3101" i="6"/>
  <c r="B3101" i="6"/>
  <c r="I3100" i="6"/>
  <c r="H3100" i="6"/>
  <c r="C3100" i="6"/>
  <c r="B3100" i="6"/>
  <c r="C3098" i="6"/>
  <c r="B3098" i="6"/>
  <c r="I3097" i="6"/>
  <c r="H3097" i="6"/>
  <c r="C3097" i="6"/>
  <c r="B3097" i="6"/>
  <c r="I3096" i="6"/>
  <c r="H3096" i="6"/>
  <c r="C3096" i="6"/>
  <c r="B3096" i="6"/>
  <c r="C3094" i="6"/>
  <c r="B3094" i="6"/>
  <c r="C3093" i="6"/>
  <c r="B3093" i="6"/>
  <c r="I3091" i="6"/>
  <c r="H3091" i="6"/>
  <c r="C3091" i="6"/>
  <c r="B3091" i="6"/>
  <c r="V3090" i="6"/>
  <c r="I3090" i="6"/>
  <c r="H3090" i="6"/>
  <c r="C3090" i="6"/>
  <c r="B3090" i="6"/>
  <c r="I3089" i="6"/>
  <c r="H3089" i="6"/>
  <c r="C3089" i="6"/>
  <c r="B3089" i="6"/>
  <c r="C3088" i="6"/>
  <c r="B3088" i="6"/>
  <c r="C3087" i="6"/>
  <c r="B3087" i="6"/>
  <c r="C3086" i="6"/>
  <c r="B3086" i="6"/>
  <c r="I3084" i="6"/>
  <c r="H3084" i="6"/>
  <c r="C3084" i="6"/>
  <c r="B3084" i="6"/>
  <c r="I3083" i="6"/>
  <c r="H3083" i="6"/>
  <c r="C3083" i="6"/>
  <c r="B3083" i="6"/>
  <c r="I3082" i="6"/>
  <c r="H3082" i="6"/>
  <c r="C3082" i="6"/>
  <c r="B3082" i="6"/>
  <c r="I3081" i="6"/>
  <c r="H3081" i="6"/>
  <c r="C3081" i="6"/>
  <c r="B3081" i="6"/>
  <c r="I3080" i="6"/>
  <c r="H3080" i="6"/>
  <c r="C3080" i="6"/>
  <c r="B3080" i="6"/>
  <c r="C3079" i="6"/>
  <c r="B3079" i="6"/>
  <c r="V3077" i="6"/>
  <c r="I3077" i="6"/>
  <c r="H3077" i="6"/>
  <c r="C3077" i="6"/>
  <c r="B3077" i="6"/>
  <c r="I3076" i="6"/>
  <c r="H3076" i="6"/>
  <c r="C3076" i="6"/>
  <c r="B3076" i="6"/>
  <c r="I3074" i="6"/>
  <c r="H3074" i="6"/>
  <c r="C3074" i="6"/>
  <c r="B3074" i="6"/>
  <c r="I3073" i="6"/>
  <c r="H3073" i="6"/>
  <c r="C3073" i="6"/>
  <c r="B3073" i="6"/>
  <c r="I3072" i="6"/>
  <c r="H3072" i="6"/>
  <c r="C3072" i="6"/>
  <c r="B3072" i="6"/>
  <c r="I3071" i="6"/>
  <c r="H3071" i="6"/>
  <c r="C3071" i="6"/>
  <c r="B3071" i="6"/>
  <c r="I3070" i="6"/>
  <c r="H3070" i="6"/>
  <c r="C3070" i="6"/>
  <c r="B3070" i="6"/>
  <c r="I3069" i="6"/>
  <c r="H3069" i="6"/>
  <c r="C3069" i="6"/>
  <c r="B3069" i="6"/>
  <c r="I3068" i="6"/>
  <c r="H3068" i="6"/>
  <c r="C3068" i="6"/>
  <c r="B3068" i="6"/>
  <c r="I3067" i="6"/>
  <c r="H3067" i="6"/>
  <c r="C3067" i="6"/>
  <c r="B3067" i="6"/>
  <c r="I3066" i="6"/>
  <c r="H3066" i="6"/>
  <c r="C3066" i="6"/>
  <c r="B3066" i="6"/>
  <c r="I3065" i="6"/>
  <c r="H3065" i="6"/>
  <c r="C3065" i="6"/>
  <c r="B3065" i="6"/>
  <c r="C3064" i="6"/>
  <c r="B3064" i="6"/>
  <c r="C3063" i="6"/>
  <c r="B3063" i="6"/>
  <c r="C3062" i="6"/>
  <c r="B3062" i="6"/>
  <c r="I3061" i="6"/>
  <c r="H3061" i="6"/>
  <c r="C3061" i="6"/>
  <c r="B3061" i="6"/>
  <c r="C3060" i="6"/>
  <c r="B3060" i="6"/>
  <c r="C3059" i="6"/>
  <c r="B3059" i="6"/>
  <c r="I3058" i="6"/>
  <c r="H3058" i="6"/>
  <c r="C3058" i="6"/>
  <c r="B3058" i="6"/>
  <c r="C3056" i="6"/>
  <c r="B3056" i="6"/>
  <c r="C3055" i="6"/>
  <c r="B3055" i="6"/>
  <c r="C3050" i="6"/>
  <c r="B3050" i="6"/>
  <c r="C3049" i="6"/>
  <c r="B3049" i="6"/>
  <c r="C3048" i="6"/>
  <c r="B3048" i="6"/>
  <c r="C3047" i="6"/>
  <c r="B3047" i="6"/>
  <c r="C3046" i="6"/>
  <c r="B3046" i="6"/>
  <c r="C3045" i="6"/>
  <c r="B3045" i="6"/>
  <c r="I3044" i="6"/>
  <c r="H3044" i="6"/>
  <c r="C3044" i="6"/>
  <c r="B3044" i="6"/>
  <c r="C3043" i="6"/>
  <c r="B3043" i="6"/>
  <c r="I3041" i="6"/>
  <c r="H3041" i="6"/>
  <c r="C3041" i="6"/>
  <c r="B3041" i="6"/>
  <c r="C3039" i="6"/>
  <c r="B3039" i="6"/>
  <c r="I3038" i="6"/>
  <c r="H3038" i="6"/>
  <c r="C3038" i="6"/>
  <c r="B3038" i="6"/>
  <c r="I3037" i="6"/>
  <c r="H3037" i="6"/>
  <c r="C3037" i="6"/>
  <c r="B3037" i="6"/>
  <c r="I3035" i="6"/>
  <c r="H3035" i="6"/>
  <c r="C3035" i="6"/>
  <c r="B3035" i="6"/>
  <c r="V3034" i="6"/>
  <c r="I3034" i="6"/>
  <c r="H3034" i="6"/>
  <c r="C3034" i="6"/>
  <c r="B3034" i="6"/>
  <c r="I3033" i="6"/>
  <c r="H3033" i="6"/>
  <c r="C3033" i="6"/>
  <c r="B3033" i="6"/>
  <c r="I3032" i="6"/>
  <c r="H3032" i="6"/>
  <c r="C3032" i="6"/>
  <c r="B3032" i="6"/>
  <c r="C3031" i="6"/>
  <c r="B3031" i="6"/>
  <c r="V3030" i="6"/>
  <c r="I3030" i="6"/>
  <c r="H3030" i="6"/>
  <c r="C3030" i="6"/>
  <c r="B3030" i="6"/>
  <c r="V3029" i="6"/>
  <c r="C3029" i="6"/>
  <c r="B3029" i="6"/>
  <c r="C3028" i="6"/>
  <c r="B3028" i="6"/>
  <c r="C3027" i="6"/>
  <c r="B3027" i="6"/>
  <c r="C3026" i="6"/>
  <c r="B3026" i="6"/>
  <c r="V3025" i="6"/>
  <c r="I3025" i="6"/>
  <c r="H3025" i="6"/>
  <c r="C3025" i="6"/>
  <c r="B3025" i="6"/>
  <c r="C3024" i="6"/>
  <c r="B3024" i="6"/>
  <c r="C3022" i="6"/>
  <c r="B3022" i="6"/>
  <c r="V3021" i="6"/>
  <c r="C3021" i="6"/>
  <c r="B3021" i="6"/>
  <c r="V3020" i="6"/>
  <c r="C3020" i="6"/>
  <c r="B3020" i="6"/>
  <c r="C3019" i="6"/>
  <c r="B3019" i="6"/>
  <c r="V3018" i="6"/>
  <c r="C3018" i="6"/>
  <c r="B3018" i="6"/>
  <c r="C3017" i="6"/>
  <c r="B3017" i="6"/>
  <c r="V3016" i="6"/>
  <c r="C3016" i="6"/>
  <c r="B3016" i="6"/>
  <c r="C3015" i="6"/>
  <c r="B3015" i="6"/>
  <c r="C3014" i="6"/>
  <c r="B3014" i="6"/>
  <c r="C3013" i="6"/>
  <c r="B3013" i="6"/>
  <c r="C3012" i="6"/>
  <c r="B3012" i="6"/>
  <c r="C3010" i="6"/>
  <c r="B3010" i="6"/>
  <c r="V3009" i="6"/>
  <c r="C3009" i="6"/>
  <c r="B3009" i="6"/>
  <c r="V3008" i="6"/>
  <c r="C3008" i="6"/>
  <c r="B3008" i="6"/>
  <c r="C3007" i="6"/>
  <c r="B3007" i="6"/>
  <c r="C3005" i="6"/>
  <c r="B3005" i="6"/>
  <c r="C3004" i="6"/>
  <c r="B3004" i="6"/>
  <c r="C3002" i="6"/>
  <c r="B3002" i="6"/>
  <c r="C3000" i="6"/>
  <c r="B3000" i="6"/>
  <c r="V2999" i="6"/>
  <c r="C2999" i="6"/>
  <c r="B2999" i="6"/>
  <c r="C2998" i="6"/>
  <c r="B2998" i="6"/>
  <c r="C2997" i="6"/>
  <c r="B2997" i="6"/>
  <c r="C2996" i="6"/>
  <c r="B2996" i="6"/>
  <c r="C2995" i="6"/>
  <c r="B2995" i="6"/>
  <c r="I2994" i="6"/>
  <c r="H2994" i="6"/>
  <c r="C2994" i="6"/>
  <c r="B2994" i="6"/>
  <c r="I2993" i="6"/>
  <c r="H2993" i="6"/>
  <c r="C2993" i="6"/>
  <c r="B2993" i="6"/>
  <c r="I2992" i="6"/>
  <c r="H2992" i="6"/>
  <c r="C2992" i="6"/>
  <c r="B2992" i="6"/>
  <c r="I2991" i="6"/>
  <c r="H2991" i="6"/>
  <c r="C2991" i="6"/>
  <c r="B2991" i="6"/>
  <c r="I2990" i="6"/>
  <c r="H2990" i="6"/>
  <c r="C2990" i="6"/>
  <c r="B2990" i="6"/>
  <c r="I2989" i="6"/>
  <c r="H2989" i="6"/>
  <c r="C2989" i="6"/>
  <c r="B2989" i="6"/>
  <c r="I2988" i="6"/>
  <c r="H2988" i="6"/>
  <c r="C2988" i="6"/>
  <c r="B2988" i="6"/>
  <c r="I2987" i="6"/>
  <c r="H2987" i="6"/>
  <c r="C2987" i="6"/>
  <c r="B2987" i="6"/>
  <c r="V2986" i="6"/>
  <c r="I2986" i="6"/>
  <c r="H2986" i="6"/>
  <c r="C2986" i="6"/>
  <c r="B2986" i="6"/>
  <c r="I2985" i="6"/>
  <c r="H2985" i="6"/>
  <c r="C2985" i="6"/>
  <c r="B2985" i="6"/>
  <c r="I2984" i="6"/>
  <c r="H2984" i="6"/>
  <c r="C2984" i="6"/>
  <c r="B2984" i="6"/>
  <c r="V2983" i="6"/>
  <c r="C2983" i="6"/>
  <c r="B2983" i="6"/>
  <c r="C2982" i="6"/>
  <c r="B2982" i="6"/>
  <c r="I2981" i="6"/>
  <c r="H2981" i="6"/>
  <c r="C2981" i="6"/>
  <c r="B2981" i="6"/>
  <c r="I2980" i="6"/>
  <c r="H2980" i="6"/>
  <c r="C2980" i="6"/>
  <c r="B2980" i="6"/>
  <c r="I2979" i="6"/>
  <c r="H2979" i="6"/>
  <c r="C2979" i="6"/>
  <c r="B2979" i="6"/>
  <c r="V2978" i="6"/>
  <c r="I2978" i="6"/>
  <c r="H2978" i="6"/>
  <c r="C2978" i="6"/>
  <c r="B2978" i="6"/>
  <c r="I2977" i="6"/>
  <c r="H2977" i="6"/>
  <c r="C2977" i="6"/>
  <c r="B2977" i="6"/>
  <c r="I2976" i="6"/>
  <c r="H2976" i="6"/>
  <c r="C2976" i="6"/>
  <c r="B2976" i="6"/>
  <c r="I2975" i="6"/>
  <c r="H2975" i="6"/>
  <c r="C2975" i="6"/>
  <c r="B2975" i="6"/>
  <c r="I2974" i="6"/>
  <c r="H2974" i="6"/>
  <c r="C2974" i="6"/>
  <c r="B2974" i="6"/>
  <c r="I2973" i="6"/>
  <c r="H2973" i="6"/>
  <c r="C2973" i="6"/>
  <c r="B2973" i="6"/>
  <c r="I2972" i="6"/>
  <c r="H2972" i="6"/>
  <c r="C2972" i="6"/>
  <c r="B2972" i="6"/>
  <c r="I2971" i="6"/>
  <c r="H2971" i="6"/>
  <c r="C2971" i="6"/>
  <c r="B2971" i="6"/>
  <c r="I2970" i="6"/>
  <c r="H2970" i="6"/>
  <c r="C2970" i="6"/>
  <c r="B2970" i="6"/>
  <c r="I2969" i="6"/>
  <c r="H2969" i="6"/>
  <c r="C2969" i="6"/>
  <c r="B2969" i="6"/>
  <c r="I2968" i="6"/>
  <c r="C2968" i="6"/>
  <c r="B2968" i="6"/>
  <c r="I2967" i="6"/>
  <c r="H2967" i="6"/>
  <c r="C2967" i="6"/>
  <c r="B2967" i="6"/>
  <c r="C2966" i="6"/>
  <c r="B2966" i="6"/>
  <c r="C2965" i="6"/>
  <c r="B2965" i="6"/>
  <c r="C2964" i="6"/>
  <c r="B2964" i="6"/>
  <c r="V2963" i="6"/>
  <c r="I2963" i="6"/>
  <c r="H2963" i="6"/>
  <c r="C2963" i="6"/>
  <c r="B2963" i="6"/>
  <c r="C2962" i="6"/>
  <c r="B2962" i="6"/>
  <c r="C2961" i="6"/>
  <c r="B2961" i="6"/>
  <c r="C2960" i="6"/>
  <c r="B2960" i="6"/>
  <c r="C2959" i="6"/>
  <c r="B2959" i="6"/>
  <c r="C2958" i="6"/>
  <c r="B2958" i="6"/>
  <c r="I2957" i="6"/>
  <c r="H2957" i="6"/>
  <c r="C2957" i="6"/>
  <c r="B2957" i="6"/>
  <c r="I2956" i="6"/>
  <c r="H2956" i="6"/>
  <c r="C2956" i="6"/>
  <c r="B2956" i="6"/>
  <c r="V2955" i="6"/>
  <c r="I2955" i="6"/>
  <c r="H2955" i="6"/>
  <c r="C2955" i="6"/>
  <c r="B2955" i="6"/>
  <c r="C2954" i="6"/>
  <c r="B2954" i="6"/>
  <c r="C2953" i="6"/>
  <c r="B2953" i="6"/>
  <c r="C2952" i="6"/>
  <c r="B2952" i="6"/>
  <c r="C2951" i="6"/>
  <c r="B2951" i="6"/>
  <c r="I2950" i="6"/>
  <c r="H2950" i="6"/>
  <c r="C2950" i="6"/>
  <c r="B2950" i="6"/>
  <c r="I2949" i="6"/>
  <c r="H2949" i="6"/>
  <c r="C2949" i="6"/>
  <c r="B2949" i="6"/>
  <c r="I2948" i="6"/>
  <c r="H2948" i="6"/>
  <c r="C2948" i="6"/>
  <c r="B2948" i="6"/>
  <c r="C2947" i="6"/>
  <c r="B2947" i="6"/>
  <c r="C2946" i="6"/>
  <c r="B2946" i="6"/>
  <c r="C2945" i="6"/>
  <c r="B2945" i="6"/>
  <c r="V2944" i="6"/>
  <c r="I2944" i="6"/>
  <c r="H2944" i="6"/>
  <c r="C2944" i="6"/>
  <c r="B2944" i="6"/>
  <c r="I2943" i="6"/>
  <c r="H2943" i="6"/>
  <c r="C2943" i="6"/>
  <c r="B2943" i="6"/>
  <c r="V2942" i="6"/>
  <c r="I2942" i="6"/>
  <c r="H2942" i="6"/>
  <c r="C2942" i="6"/>
  <c r="B2942" i="6"/>
  <c r="V2941" i="6"/>
  <c r="I2941" i="6"/>
  <c r="H2941" i="6"/>
  <c r="C2941" i="6"/>
  <c r="B2941" i="6"/>
  <c r="I2940" i="6"/>
  <c r="H2940" i="6"/>
  <c r="C2940" i="6"/>
  <c r="B2940" i="6"/>
  <c r="I2939" i="6"/>
  <c r="H2939" i="6"/>
  <c r="C2939" i="6"/>
  <c r="B2939" i="6"/>
  <c r="C2938" i="6"/>
  <c r="B2938" i="6"/>
  <c r="C2937" i="6"/>
  <c r="B2937" i="6"/>
  <c r="C2936" i="6"/>
  <c r="B2936" i="6"/>
  <c r="C2935" i="6"/>
  <c r="B2935" i="6"/>
  <c r="C2934" i="6"/>
  <c r="B2934" i="6"/>
  <c r="I2933" i="6"/>
  <c r="H2933" i="6"/>
  <c r="C2933" i="6"/>
  <c r="B2933" i="6"/>
  <c r="C2932" i="6"/>
  <c r="B2932" i="6"/>
  <c r="C2931" i="6"/>
  <c r="B2931" i="6"/>
  <c r="C2930" i="6"/>
  <c r="B2930" i="6"/>
  <c r="C2929" i="6"/>
  <c r="B2929" i="6"/>
  <c r="C2928" i="6"/>
  <c r="B2928" i="6"/>
  <c r="I2927" i="6"/>
  <c r="H2927" i="6"/>
  <c r="C2927" i="6"/>
  <c r="B2927" i="6"/>
  <c r="C2926" i="6"/>
  <c r="B2926" i="6"/>
  <c r="C2925" i="6"/>
  <c r="B2925" i="6"/>
  <c r="C2924" i="6"/>
  <c r="B2924" i="6"/>
  <c r="I2923" i="6"/>
  <c r="H2923" i="6"/>
  <c r="C2923" i="6"/>
  <c r="B2923" i="6"/>
  <c r="I2922" i="6"/>
  <c r="H2922" i="6"/>
  <c r="C2922" i="6"/>
  <c r="B2922" i="6"/>
  <c r="C2921" i="6"/>
  <c r="B2921" i="6"/>
  <c r="C2920" i="6"/>
  <c r="B2920" i="6"/>
  <c r="C2919" i="6"/>
  <c r="B2919" i="6"/>
  <c r="C2918" i="6"/>
  <c r="B2918" i="6"/>
  <c r="I2917" i="6"/>
  <c r="H2917" i="6"/>
  <c r="C2917" i="6"/>
  <c r="B2917" i="6"/>
  <c r="I2916" i="6"/>
  <c r="H2916" i="6"/>
  <c r="C2916" i="6"/>
  <c r="B2916" i="6"/>
  <c r="I2915" i="6"/>
  <c r="H2915" i="6"/>
  <c r="C2915" i="6"/>
  <c r="B2915" i="6"/>
  <c r="V2914" i="6"/>
  <c r="I2914" i="6"/>
  <c r="H2914" i="6"/>
  <c r="C2914" i="6"/>
  <c r="B2914" i="6"/>
  <c r="I2913" i="6"/>
  <c r="H2913" i="6"/>
  <c r="C2913" i="6"/>
  <c r="B2913" i="6"/>
  <c r="C2912" i="6"/>
  <c r="B2912" i="6"/>
  <c r="C2911" i="6"/>
  <c r="B2911" i="6"/>
  <c r="C2910" i="6"/>
  <c r="B2910" i="6"/>
  <c r="C2909" i="6"/>
  <c r="B2909" i="6"/>
  <c r="C2908" i="6"/>
  <c r="B2908" i="6"/>
  <c r="C2907" i="6"/>
  <c r="B2907" i="6"/>
  <c r="I2906" i="6"/>
  <c r="H2906" i="6"/>
  <c r="C2906" i="6"/>
  <c r="B2906" i="6"/>
  <c r="C2905" i="6"/>
  <c r="B2905" i="6"/>
  <c r="I2903" i="6"/>
  <c r="H2903" i="6"/>
  <c r="C2903" i="6"/>
  <c r="B2903" i="6"/>
  <c r="I2902" i="6"/>
  <c r="H2902" i="6"/>
  <c r="C2902" i="6"/>
  <c r="B2902" i="6"/>
  <c r="V2901" i="6"/>
  <c r="I2901" i="6"/>
  <c r="H2901" i="6"/>
  <c r="C2901" i="6"/>
  <c r="B2901" i="6"/>
  <c r="I2900" i="6"/>
  <c r="H2900" i="6"/>
  <c r="C2900" i="6"/>
  <c r="B2900" i="6"/>
  <c r="I2899" i="6"/>
  <c r="H2899" i="6"/>
  <c r="C2899" i="6"/>
  <c r="B2899" i="6"/>
  <c r="I2897" i="6"/>
  <c r="H2897" i="6"/>
  <c r="C2897" i="6"/>
  <c r="B2897" i="6"/>
  <c r="I2896" i="6"/>
  <c r="H2896" i="6"/>
  <c r="C2896" i="6"/>
  <c r="B2896" i="6"/>
  <c r="I2895" i="6"/>
  <c r="H2895" i="6"/>
  <c r="C2895" i="6"/>
  <c r="B2895" i="6"/>
  <c r="I2893" i="6"/>
  <c r="H2893" i="6"/>
  <c r="C2893" i="6"/>
  <c r="B2893" i="6"/>
  <c r="C2891" i="6"/>
  <c r="B2891" i="6"/>
  <c r="C2889" i="6"/>
  <c r="B2889" i="6"/>
  <c r="C2888" i="6"/>
  <c r="B2888" i="6"/>
  <c r="C2887" i="6"/>
  <c r="B2887" i="6"/>
  <c r="C2886" i="6"/>
  <c r="B2886" i="6"/>
  <c r="C2885" i="6"/>
  <c r="B2885" i="6"/>
  <c r="C2884" i="6"/>
  <c r="B2884" i="6"/>
  <c r="C2883" i="6"/>
  <c r="B2883" i="6"/>
  <c r="I2882" i="6"/>
  <c r="H2882" i="6"/>
  <c r="C2882" i="6"/>
  <c r="B2882" i="6"/>
  <c r="C2880" i="6"/>
  <c r="B2880" i="6"/>
  <c r="V2878" i="6"/>
  <c r="I2878" i="6"/>
  <c r="H2878" i="6"/>
  <c r="C2878" i="6"/>
  <c r="B2878" i="6"/>
  <c r="C2877" i="6"/>
  <c r="B2877" i="6"/>
  <c r="C2875" i="6"/>
  <c r="B2875" i="6"/>
  <c r="I2872" i="6"/>
  <c r="H2872" i="6"/>
  <c r="C2872" i="6"/>
  <c r="B2872" i="6"/>
  <c r="C2871" i="6"/>
  <c r="B2871" i="6"/>
  <c r="I2870" i="6"/>
  <c r="H2870" i="6"/>
  <c r="C2870" i="6"/>
  <c r="B2870" i="6"/>
  <c r="C2869" i="6"/>
  <c r="B2869" i="6"/>
  <c r="I2867" i="6"/>
  <c r="H2867" i="6"/>
  <c r="C2867" i="6"/>
  <c r="B2867" i="6"/>
  <c r="C2866" i="6"/>
  <c r="B2866" i="6"/>
  <c r="I2861" i="6"/>
  <c r="H2861" i="6"/>
  <c r="C2861" i="6"/>
  <c r="B2861" i="6"/>
  <c r="I2860" i="6"/>
  <c r="H2860" i="6"/>
  <c r="C2860" i="6"/>
  <c r="B2860" i="6"/>
  <c r="I2859" i="6"/>
  <c r="H2859" i="6"/>
  <c r="C2859" i="6"/>
  <c r="B2859" i="6"/>
  <c r="I2858" i="6"/>
  <c r="H2858" i="6"/>
  <c r="C2858" i="6"/>
  <c r="B2858" i="6"/>
  <c r="I2857" i="6"/>
  <c r="H2857" i="6"/>
  <c r="C2857" i="6"/>
  <c r="B2857" i="6"/>
  <c r="C2856" i="6"/>
  <c r="B2856" i="6"/>
  <c r="I2855" i="6"/>
  <c r="H2855" i="6"/>
  <c r="C2855" i="6"/>
  <c r="B2855" i="6"/>
  <c r="C2854" i="6"/>
  <c r="B2854" i="6"/>
  <c r="V2853" i="6"/>
  <c r="C2853" i="6"/>
  <c r="B2853" i="6"/>
  <c r="V2852" i="6"/>
  <c r="C2852" i="6"/>
  <c r="B2852" i="6"/>
  <c r="C2851" i="6"/>
  <c r="B2851" i="6"/>
  <c r="C2850" i="6"/>
  <c r="B2850" i="6"/>
  <c r="C2849" i="6"/>
  <c r="B2849" i="6"/>
  <c r="C2848" i="6"/>
  <c r="B2848" i="6"/>
  <c r="V2847" i="6"/>
  <c r="C2847" i="6"/>
  <c r="B2847" i="6"/>
  <c r="C2846" i="6"/>
  <c r="B2846" i="6"/>
  <c r="V2845" i="6"/>
  <c r="C2845" i="6"/>
  <c r="B2845" i="6"/>
  <c r="V2844" i="6"/>
  <c r="C2844" i="6"/>
  <c r="B2844" i="6"/>
  <c r="C2843" i="6"/>
  <c r="B2843" i="6"/>
  <c r="C2842" i="6"/>
  <c r="B2842" i="6"/>
  <c r="V2841" i="6"/>
  <c r="C2841" i="6"/>
  <c r="B2841" i="6"/>
  <c r="V2840" i="6"/>
  <c r="C2840" i="6"/>
  <c r="B2840" i="6"/>
  <c r="C2839" i="6"/>
  <c r="B2839" i="6"/>
  <c r="C2838" i="6"/>
  <c r="B2838" i="6"/>
  <c r="V2837" i="6"/>
  <c r="C2837" i="6"/>
  <c r="B2837" i="6"/>
  <c r="C2836" i="6"/>
  <c r="B2836" i="6"/>
  <c r="C2835" i="6"/>
  <c r="B2835" i="6"/>
  <c r="V2834" i="6"/>
  <c r="C2834" i="6"/>
  <c r="B2834" i="6"/>
  <c r="C2833" i="6"/>
  <c r="B2833" i="6"/>
  <c r="V2832" i="6"/>
  <c r="C2832" i="6"/>
  <c r="B2832" i="6"/>
  <c r="V2831" i="6"/>
  <c r="C2831" i="6"/>
  <c r="B2831" i="6"/>
  <c r="V2830" i="6"/>
  <c r="C2830" i="6"/>
  <c r="B2830" i="6"/>
  <c r="I3611" i="6"/>
  <c r="H3611" i="6"/>
  <c r="C3611" i="6"/>
  <c r="B3611" i="6"/>
  <c r="I3610" i="6"/>
  <c r="H3610" i="6"/>
  <c r="C3610" i="6"/>
  <c r="B3610" i="6"/>
  <c r="I3609" i="6"/>
  <c r="H3609" i="6"/>
  <c r="C3609" i="6"/>
  <c r="B3609" i="6"/>
  <c r="I3608" i="6"/>
  <c r="H3608" i="6"/>
  <c r="C3608" i="6"/>
  <c r="B3608" i="6"/>
  <c r="I3607" i="6"/>
  <c r="H3607" i="6"/>
  <c r="C3607" i="6"/>
  <c r="B3607" i="6"/>
  <c r="I3606" i="6"/>
  <c r="H3606" i="6"/>
  <c r="C3606" i="6"/>
  <c r="B3606" i="6"/>
  <c r="V3605" i="6"/>
  <c r="I3605" i="6"/>
  <c r="H3605" i="6"/>
  <c r="C3605" i="6"/>
  <c r="B3605" i="6"/>
  <c r="I3604" i="6"/>
  <c r="H3604" i="6"/>
  <c r="C3604" i="6"/>
  <c r="B3604" i="6"/>
  <c r="I3603" i="6"/>
  <c r="H3603" i="6"/>
  <c r="C3603" i="6"/>
  <c r="B3603" i="6"/>
  <c r="C3602" i="6"/>
  <c r="B3602" i="6"/>
  <c r="I3601" i="6"/>
  <c r="H3601" i="6"/>
  <c r="C3601" i="6"/>
  <c r="B3601" i="6"/>
  <c r="C3600" i="6"/>
  <c r="B3600" i="6"/>
  <c r="C3599" i="6"/>
  <c r="B3599" i="6"/>
  <c r="C3598" i="6"/>
  <c r="B3598" i="6"/>
  <c r="C3597" i="6"/>
  <c r="B3597" i="6"/>
  <c r="C3596" i="6"/>
  <c r="B3596" i="6"/>
  <c r="C3595" i="6"/>
  <c r="B3595" i="6"/>
  <c r="I3594" i="6"/>
  <c r="H3594" i="6"/>
  <c r="C3594" i="6"/>
  <c r="B3594" i="6"/>
  <c r="C3593" i="6"/>
  <c r="B3593" i="6"/>
  <c r="C3592" i="6"/>
  <c r="B3592" i="6"/>
  <c r="C3591" i="6"/>
  <c r="B3591" i="6"/>
  <c r="C3590" i="6"/>
  <c r="B3590" i="6"/>
  <c r="C3589" i="6"/>
  <c r="B3589" i="6"/>
  <c r="C3588" i="6"/>
  <c r="B3588" i="6"/>
  <c r="I3587" i="6"/>
  <c r="H3587" i="6"/>
  <c r="C3587" i="6"/>
  <c r="B3587" i="6"/>
  <c r="C3586" i="6"/>
  <c r="B3586" i="6"/>
  <c r="C3585" i="6"/>
  <c r="B3585" i="6"/>
  <c r="I3584" i="6"/>
  <c r="H3584" i="6"/>
  <c r="C3584" i="6"/>
  <c r="B3584" i="6"/>
  <c r="I3583" i="6"/>
  <c r="H3583" i="6"/>
  <c r="C3583" i="6"/>
  <c r="B3583" i="6"/>
  <c r="C3582" i="6"/>
  <c r="B3582" i="6"/>
  <c r="C3581" i="6"/>
  <c r="B3581" i="6"/>
  <c r="I3580" i="6"/>
  <c r="H3580" i="6"/>
  <c r="C3580" i="6"/>
  <c r="B3580" i="6"/>
  <c r="I3579" i="6"/>
  <c r="H3579" i="6"/>
  <c r="C3579" i="6"/>
  <c r="B3579" i="6"/>
  <c r="I3578" i="6"/>
  <c r="H3578" i="6"/>
  <c r="C3578" i="6"/>
  <c r="B3578" i="6"/>
  <c r="I3577" i="6"/>
  <c r="H3577" i="6"/>
  <c r="C3577" i="6"/>
  <c r="B3577" i="6"/>
  <c r="I3576" i="6"/>
  <c r="H3576" i="6"/>
  <c r="C3576" i="6"/>
  <c r="B3576" i="6"/>
  <c r="I3575" i="6"/>
  <c r="H3575" i="6"/>
  <c r="C3575" i="6"/>
  <c r="B3575" i="6"/>
  <c r="I3574" i="6"/>
  <c r="H3574" i="6"/>
  <c r="C3574" i="6"/>
  <c r="B3574" i="6"/>
  <c r="C3573" i="6"/>
  <c r="B3573" i="6"/>
  <c r="C3572" i="6"/>
  <c r="B3572" i="6"/>
  <c r="C3571" i="6"/>
  <c r="B3571" i="6"/>
  <c r="I3570" i="6"/>
  <c r="H3570" i="6"/>
  <c r="C3570" i="6"/>
  <c r="B3570" i="6"/>
  <c r="C3569" i="6"/>
  <c r="B3569" i="6"/>
  <c r="C3568" i="6"/>
  <c r="B3568" i="6"/>
  <c r="C3567" i="6"/>
  <c r="B3567" i="6"/>
  <c r="I3566" i="6"/>
  <c r="H3566" i="6"/>
  <c r="C3566" i="6"/>
  <c r="B3566" i="6"/>
  <c r="C3565" i="6"/>
  <c r="B3565" i="6"/>
  <c r="C3564" i="6"/>
  <c r="B3564" i="6"/>
  <c r="I3563" i="6"/>
  <c r="H3563" i="6"/>
  <c r="C3563" i="6"/>
  <c r="B3563" i="6"/>
  <c r="C3562" i="6"/>
  <c r="B3562" i="6"/>
  <c r="C3561" i="6"/>
  <c r="B3561" i="6"/>
  <c r="I3560" i="6"/>
  <c r="H3560" i="6"/>
  <c r="C3560" i="6"/>
  <c r="B3560" i="6"/>
  <c r="I3559" i="6"/>
  <c r="H3559" i="6"/>
  <c r="C3559" i="6"/>
  <c r="B3559" i="6"/>
  <c r="C3558" i="6"/>
  <c r="B3558" i="6"/>
  <c r="V3557" i="6"/>
  <c r="C3557" i="6"/>
  <c r="B3557" i="6"/>
  <c r="C3556" i="6"/>
  <c r="B3556" i="6"/>
  <c r="I3555" i="6"/>
  <c r="H3555" i="6"/>
  <c r="C3555" i="6"/>
  <c r="B3555" i="6"/>
  <c r="I3554" i="6"/>
  <c r="H3554" i="6"/>
  <c r="C3554" i="6"/>
  <c r="B3554" i="6"/>
  <c r="C3553" i="6"/>
  <c r="B3553" i="6"/>
  <c r="C3552" i="6"/>
  <c r="B3552" i="6"/>
  <c r="C3551" i="6"/>
  <c r="B3551" i="6"/>
  <c r="C3550" i="6"/>
  <c r="B3550" i="6"/>
  <c r="C3549" i="6"/>
  <c r="B3549" i="6"/>
  <c r="C3548" i="6"/>
  <c r="B3548" i="6"/>
  <c r="C3547" i="6"/>
  <c r="B3547" i="6"/>
  <c r="C3546" i="6"/>
  <c r="B3546" i="6"/>
  <c r="C3545" i="6"/>
  <c r="B3545" i="6"/>
  <c r="I3544" i="6"/>
  <c r="H3544" i="6"/>
  <c r="C3544" i="6"/>
  <c r="B3544" i="6"/>
  <c r="C3543" i="6"/>
  <c r="B3543" i="6"/>
  <c r="V3542" i="6"/>
  <c r="I3542" i="6"/>
  <c r="H3542" i="6"/>
  <c r="C3542" i="6"/>
  <c r="B3542" i="6"/>
  <c r="C3541" i="6"/>
  <c r="B3541" i="6"/>
  <c r="C3540" i="6"/>
  <c r="B3540" i="6"/>
  <c r="V3539" i="6"/>
  <c r="C3539" i="6"/>
  <c r="B3539" i="6"/>
  <c r="C3538" i="6"/>
  <c r="B3538" i="6"/>
  <c r="C3537" i="6"/>
  <c r="B3537" i="6"/>
  <c r="C3536" i="6"/>
  <c r="B3536" i="6"/>
  <c r="I3535" i="6"/>
  <c r="H3535" i="6"/>
  <c r="C3535" i="6"/>
  <c r="B3535" i="6"/>
  <c r="C3534" i="6"/>
  <c r="B3534" i="6"/>
  <c r="C3533" i="6"/>
  <c r="B3533" i="6"/>
  <c r="I3532" i="6"/>
  <c r="H3532" i="6"/>
  <c r="C3532" i="6"/>
  <c r="B3532" i="6"/>
  <c r="I3531" i="6"/>
  <c r="H3531" i="6"/>
  <c r="C3531" i="6"/>
  <c r="B3531" i="6"/>
  <c r="I3530" i="6"/>
  <c r="H3530" i="6"/>
  <c r="C3530" i="6"/>
  <c r="B3530" i="6"/>
  <c r="I3529" i="6"/>
  <c r="H3529" i="6"/>
  <c r="C3529" i="6"/>
  <c r="B3529" i="6"/>
  <c r="I3528" i="6"/>
  <c r="H3528" i="6"/>
  <c r="C3528" i="6"/>
  <c r="B3528" i="6"/>
  <c r="I3527" i="6"/>
  <c r="H3527" i="6"/>
  <c r="C3527" i="6"/>
  <c r="B3527" i="6"/>
  <c r="C3526" i="6"/>
  <c r="B3526" i="6"/>
  <c r="I3525" i="6"/>
  <c r="H3525" i="6"/>
  <c r="C3525" i="6"/>
  <c r="B3525" i="6"/>
  <c r="I3524" i="6"/>
  <c r="H3524" i="6"/>
  <c r="C3524" i="6"/>
  <c r="B3524" i="6"/>
  <c r="I3523" i="6"/>
  <c r="H3523" i="6"/>
  <c r="C3523" i="6"/>
  <c r="B3523" i="6"/>
  <c r="I3522" i="6"/>
  <c r="H3522" i="6"/>
  <c r="C3522" i="6"/>
  <c r="B3522" i="6"/>
  <c r="I3521" i="6"/>
  <c r="H3521" i="6"/>
  <c r="C3521" i="6"/>
  <c r="B3521" i="6"/>
  <c r="C3520" i="6"/>
  <c r="B3520" i="6"/>
  <c r="I3519" i="6"/>
  <c r="C3519" i="6"/>
  <c r="B3519" i="6"/>
  <c r="I3518" i="6"/>
  <c r="H3518" i="6"/>
  <c r="C3518" i="6"/>
  <c r="B3518" i="6"/>
  <c r="I3517" i="6"/>
  <c r="H3517" i="6"/>
  <c r="C3517" i="6"/>
  <c r="B3517" i="6"/>
  <c r="I3516" i="6"/>
  <c r="H3516" i="6"/>
  <c r="C3516" i="6"/>
  <c r="B3516" i="6"/>
  <c r="I3515" i="6"/>
  <c r="H3515" i="6"/>
  <c r="C3515" i="6"/>
  <c r="B3515" i="6"/>
  <c r="V3514" i="6"/>
  <c r="I3514" i="6"/>
  <c r="H3514" i="6"/>
  <c r="C3514" i="6"/>
  <c r="B3514" i="6"/>
  <c r="C3513" i="6"/>
  <c r="B3513" i="6"/>
  <c r="C3512" i="6"/>
  <c r="B3512" i="6"/>
  <c r="I3511" i="6"/>
  <c r="H3511" i="6"/>
  <c r="C3511" i="6"/>
  <c r="B3511" i="6"/>
  <c r="I3510" i="6"/>
  <c r="H3510" i="6"/>
  <c r="C3510" i="6"/>
  <c r="B3510" i="6"/>
  <c r="I3509" i="6"/>
  <c r="H3509" i="6"/>
  <c r="C3509" i="6"/>
  <c r="B3509" i="6"/>
  <c r="C3508" i="6"/>
  <c r="B3508" i="6"/>
  <c r="C3507" i="6"/>
  <c r="B3507" i="6"/>
  <c r="C3506" i="6"/>
  <c r="B3506" i="6"/>
  <c r="C3505" i="6"/>
  <c r="B3505" i="6"/>
  <c r="I3504" i="6"/>
  <c r="H3504" i="6"/>
  <c r="C3504" i="6"/>
  <c r="B3504" i="6"/>
  <c r="I3503" i="6"/>
  <c r="H3503" i="6"/>
  <c r="C3503" i="6"/>
  <c r="B3503" i="6"/>
  <c r="V3502" i="6"/>
  <c r="I3502" i="6"/>
  <c r="H3502" i="6"/>
  <c r="C3502" i="6"/>
  <c r="B3502" i="6"/>
  <c r="V3501" i="6"/>
  <c r="C3501" i="6"/>
  <c r="B3501" i="6"/>
  <c r="I3500" i="6"/>
  <c r="H3500" i="6"/>
  <c r="C3500" i="6"/>
  <c r="B3500" i="6"/>
  <c r="V3499" i="6"/>
  <c r="I3499" i="6"/>
  <c r="H3499" i="6"/>
  <c r="C3499" i="6"/>
  <c r="B3499" i="6"/>
  <c r="V3498" i="6"/>
  <c r="I3498" i="6"/>
  <c r="H3498" i="6"/>
  <c r="C3498" i="6"/>
  <c r="B3498" i="6"/>
  <c r="V3497" i="6"/>
  <c r="I3497" i="6"/>
  <c r="H3497" i="6"/>
  <c r="C3497" i="6"/>
  <c r="B3497" i="6"/>
  <c r="I3496" i="6"/>
  <c r="H3496" i="6"/>
  <c r="C3496" i="6"/>
  <c r="B3496" i="6"/>
  <c r="I3495" i="6"/>
  <c r="H3495" i="6"/>
  <c r="C3495" i="6"/>
  <c r="B3495" i="6"/>
  <c r="I3494" i="6"/>
  <c r="H3494" i="6"/>
  <c r="C3494" i="6"/>
  <c r="B3494" i="6"/>
  <c r="C3493" i="6"/>
  <c r="B3493" i="6"/>
  <c r="I3492" i="6"/>
  <c r="H3492" i="6"/>
  <c r="C3492" i="6"/>
  <c r="B3492" i="6"/>
  <c r="C3491" i="6"/>
  <c r="B3491" i="6"/>
  <c r="C3490" i="6"/>
  <c r="B3490" i="6"/>
  <c r="V3489" i="6"/>
  <c r="I3489" i="6"/>
  <c r="H3489" i="6"/>
  <c r="C3489" i="6"/>
  <c r="B3489" i="6"/>
  <c r="I3488" i="6"/>
  <c r="H3488" i="6"/>
  <c r="C3488" i="6"/>
  <c r="B3488" i="6"/>
  <c r="I3487" i="6"/>
  <c r="H3487" i="6"/>
  <c r="C3487" i="6"/>
  <c r="B3487" i="6"/>
  <c r="C3486" i="6"/>
  <c r="B3486" i="6"/>
  <c r="C3485" i="6"/>
  <c r="B3485" i="6"/>
  <c r="V3484" i="6"/>
  <c r="I3484" i="6"/>
  <c r="H3484" i="6"/>
  <c r="C3484" i="6"/>
  <c r="B3484" i="6"/>
  <c r="C3483" i="6"/>
  <c r="B3483" i="6"/>
  <c r="C3482" i="6"/>
  <c r="B3482" i="6"/>
  <c r="I3481" i="6"/>
  <c r="H3481" i="6"/>
  <c r="C3481" i="6"/>
  <c r="B3481" i="6"/>
  <c r="C3480" i="6"/>
  <c r="B3480" i="6"/>
  <c r="C3479" i="6"/>
  <c r="B3479" i="6"/>
  <c r="C3478" i="6"/>
  <c r="B3478" i="6"/>
  <c r="C3477" i="6"/>
  <c r="B3477" i="6"/>
  <c r="C3476" i="6"/>
  <c r="B3476" i="6"/>
  <c r="C3475" i="6"/>
  <c r="B3475" i="6"/>
  <c r="I3474" i="6"/>
  <c r="H3474" i="6"/>
  <c r="C3474" i="6"/>
  <c r="B3474" i="6"/>
  <c r="I3473" i="6"/>
  <c r="H3473" i="6"/>
  <c r="C3473" i="6"/>
  <c r="B3473" i="6"/>
  <c r="I3472" i="6"/>
  <c r="H3472" i="6"/>
  <c r="C3472" i="6"/>
  <c r="B3472" i="6"/>
  <c r="C3471" i="6"/>
  <c r="B3471" i="6"/>
  <c r="C3470" i="6"/>
  <c r="B3470" i="6"/>
  <c r="I3469" i="6"/>
  <c r="H3469" i="6"/>
  <c r="C3469" i="6"/>
  <c r="B3469" i="6"/>
  <c r="I3468" i="6"/>
  <c r="H3468" i="6"/>
  <c r="C3468" i="6"/>
  <c r="B3468" i="6"/>
  <c r="I3467" i="6"/>
  <c r="H3467" i="6"/>
  <c r="C3467" i="6"/>
  <c r="B3467" i="6"/>
  <c r="I3466" i="6"/>
  <c r="H3466" i="6"/>
  <c r="C3466" i="6"/>
  <c r="B3466" i="6"/>
  <c r="I3465" i="6"/>
  <c r="H3465" i="6"/>
  <c r="C3465" i="6"/>
  <c r="B3465" i="6"/>
  <c r="C3464" i="6"/>
  <c r="B3464" i="6"/>
  <c r="I3463" i="6"/>
  <c r="H3463" i="6"/>
  <c r="C3463" i="6"/>
  <c r="B3463" i="6"/>
  <c r="I3462" i="6"/>
  <c r="H3462" i="6"/>
  <c r="C3462" i="6"/>
  <c r="B3462" i="6"/>
  <c r="C3461" i="6"/>
  <c r="B3461" i="6"/>
  <c r="C3460" i="6"/>
  <c r="B3460" i="6"/>
  <c r="I3459" i="6"/>
  <c r="H3459" i="6"/>
  <c r="C3459" i="6"/>
  <c r="B3459" i="6"/>
  <c r="V3458" i="6"/>
  <c r="I3458" i="6"/>
  <c r="H3458" i="6"/>
  <c r="C3458" i="6"/>
  <c r="B3458" i="6"/>
  <c r="I3457" i="6"/>
  <c r="H3457" i="6"/>
  <c r="C3457" i="6"/>
  <c r="B3457" i="6"/>
  <c r="C3456" i="6"/>
  <c r="B3456" i="6"/>
  <c r="C3455" i="6"/>
  <c r="B3455" i="6"/>
  <c r="C3454" i="6"/>
  <c r="B3454" i="6"/>
  <c r="V3453" i="6"/>
  <c r="C3453" i="6"/>
  <c r="B3453" i="6"/>
  <c r="I3452" i="6"/>
  <c r="H3452" i="6"/>
  <c r="C3452" i="6"/>
  <c r="B3452" i="6"/>
  <c r="C3451" i="6"/>
  <c r="B3451" i="6"/>
  <c r="C3450" i="6"/>
  <c r="B3450" i="6"/>
  <c r="I3449" i="6"/>
  <c r="H3449" i="6"/>
  <c r="C3449" i="6"/>
  <c r="B3449" i="6"/>
  <c r="V3448" i="6"/>
  <c r="I3448" i="6"/>
  <c r="H3448" i="6"/>
  <c r="C3448" i="6"/>
  <c r="B3448" i="6"/>
  <c r="V3447" i="6"/>
  <c r="I3447" i="6"/>
  <c r="H3447" i="6"/>
  <c r="C3447" i="6"/>
  <c r="B3447" i="6"/>
  <c r="C3446" i="6"/>
  <c r="B3446" i="6"/>
  <c r="C3445" i="6"/>
  <c r="B3445" i="6"/>
  <c r="C3444" i="6"/>
  <c r="B3444" i="6"/>
  <c r="C3443" i="6"/>
  <c r="B3443" i="6"/>
  <c r="C3442" i="6"/>
  <c r="B3442" i="6"/>
  <c r="V3441" i="6"/>
  <c r="I3441" i="6"/>
  <c r="H3441" i="6"/>
  <c r="C3441" i="6"/>
  <c r="B3441" i="6"/>
  <c r="C3440" i="6"/>
  <c r="B3440" i="6"/>
  <c r="I3439" i="6"/>
  <c r="H3439" i="6"/>
  <c r="C3439" i="6"/>
  <c r="B3439" i="6"/>
  <c r="V3438" i="6"/>
  <c r="I3438" i="6"/>
  <c r="H3438" i="6"/>
  <c r="C3438" i="6"/>
  <c r="B3438" i="6"/>
  <c r="I3437" i="6"/>
  <c r="H3437" i="6"/>
  <c r="C3437" i="6"/>
  <c r="B3437" i="6"/>
  <c r="V3436" i="6"/>
  <c r="I3436" i="6"/>
  <c r="H3436" i="6"/>
  <c r="C3436" i="6"/>
  <c r="B3436" i="6"/>
  <c r="V3435" i="6"/>
  <c r="I3435" i="6"/>
  <c r="H3435" i="6"/>
  <c r="C3435" i="6"/>
  <c r="B3435" i="6"/>
  <c r="V3434" i="6"/>
  <c r="C3434" i="6"/>
  <c r="B3434" i="6"/>
  <c r="C3433" i="6"/>
  <c r="B3433" i="6"/>
  <c r="C3432" i="6"/>
  <c r="B3432" i="6"/>
  <c r="I3431" i="6"/>
  <c r="H3431" i="6"/>
  <c r="C3431" i="6"/>
  <c r="B3431" i="6"/>
  <c r="I3430" i="6"/>
  <c r="H3430" i="6"/>
  <c r="C3430" i="6"/>
  <c r="B3430" i="6"/>
  <c r="V3429" i="6"/>
  <c r="I3429" i="6"/>
  <c r="H3429" i="6"/>
  <c r="C3429" i="6"/>
  <c r="B3429" i="6"/>
  <c r="I3428" i="6"/>
  <c r="H3428" i="6"/>
  <c r="C3428" i="6"/>
  <c r="B3428" i="6"/>
  <c r="C3427" i="6"/>
  <c r="B3427" i="6"/>
  <c r="I3426" i="6"/>
  <c r="H3426" i="6"/>
  <c r="C3426" i="6"/>
  <c r="B3426" i="6"/>
  <c r="I3425" i="6"/>
  <c r="H3425" i="6"/>
  <c r="C3425" i="6"/>
  <c r="B3425" i="6"/>
  <c r="C3424" i="6"/>
  <c r="B3424" i="6"/>
  <c r="C3423" i="6"/>
  <c r="B3423" i="6"/>
  <c r="C3422" i="6"/>
  <c r="B3422" i="6"/>
  <c r="C3421" i="6"/>
  <c r="B3421" i="6"/>
  <c r="C3420" i="6"/>
  <c r="B3420" i="6"/>
  <c r="C3419" i="6"/>
  <c r="B3419" i="6"/>
  <c r="C3418" i="6"/>
  <c r="B3418" i="6"/>
  <c r="C3417" i="6"/>
  <c r="B3417" i="6"/>
  <c r="C3415" i="6"/>
  <c r="B3415" i="6"/>
  <c r="V3414" i="6"/>
  <c r="I3414" i="6"/>
  <c r="H3414" i="6"/>
  <c r="C3414" i="6"/>
  <c r="B3414" i="6"/>
  <c r="I3413" i="6"/>
  <c r="H3413" i="6"/>
  <c r="C3413" i="6"/>
  <c r="B3413" i="6"/>
  <c r="I3412" i="6"/>
  <c r="H3412" i="6"/>
  <c r="C3412" i="6"/>
  <c r="B3412" i="6"/>
  <c r="V3411" i="6"/>
  <c r="C3411" i="6"/>
  <c r="B3411" i="6"/>
  <c r="I3410" i="6"/>
  <c r="H3410" i="6"/>
  <c r="C3410" i="6"/>
  <c r="B3410" i="6"/>
  <c r="I3409" i="6"/>
  <c r="H3409" i="6"/>
  <c r="C3409" i="6"/>
  <c r="B3409" i="6"/>
  <c r="I3408" i="6"/>
  <c r="H3408" i="6"/>
  <c r="C3408" i="6"/>
  <c r="B3408" i="6"/>
  <c r="C3407" i="6"/>
  <c r="B3407" i="6"/>
  <c r="C3406" i="6"/>
  <c r="B3406" i="6"/>
  <c r="I3405" i="6"/>
  <c r="H3405" i="6"/>
  <c r="C3405" i="6"/>
  <c r="B3405" i="6"/>
  <c r="C3404" i="6"/>
  <c r="B3404" i="6"/>
  <c r="C3403" i="6"/>
  <c r="B3403" i="6"/>
  <c r="C3402" i="6"/>
  <c r="B3402" i="6"/>
  <c r="I3401" i="6"/>
  <c r="H3401" i="6"/>
  <c r="C3401" i="6"/>
  <c r="B3401" i="6"/>
  <c r="I3400" i="6"/>
  <c r="H3400" i="6"/>
  <c r="C3400" i="6"/>
  <c r="B3400" i="6"/>
  <c r="V3399" i="6"/>
  <c r="I3399" i="6"/>
  <c r="H3399" i="6"/>
  <c r="C3399" i="6"/>
  <c r="B3399" i="6"/>
  <c r="C3398" i="6"/>
  <c r="B3398" i="6"/>
  <c r="I3397" i="6"/>
  <c r="H3397" i="6"/>
  <c r="C3397" i="6"/>
  <c r="B3397" i="6"/>
  <c r="C3396" i="6"/>
  <c r="B3396" i="6"/>
  <c r="C3395" i="6"/>
  <c r="B3395" i="6"/>
  <c r="C3394" i="6"/>
  <c r="B3394" i="6"/>
  <c r="I3393" i="6"/>
  <c r="H3393" i="6"/>
  <c r="C3393" i="6"/>
  <c r="B3393" i="6"/>
  <c r="I3392" i="6"/>
  <c r="H3392" i="6"/>
  <c r="C3392" i="6"/>
  <c r="B3392" i="6"/>
  <c r="I3391" i="6"/>
  <c r="H3391" i="6"/>
  <c r="C3391" i="6"/>
  <c r="B3391" i="6"/>
  <c r="C3390" i="6"/>
  <c r="B3390" i="6"/>
  <c r="I3389" i="6"/>
  <c r="H3389" i="6"/>
  <c r="C3389" i="6"/>
  <c r="B3389" i="6"/>
  <c r="I3388" i="6"/>
  <c r="H3388" i="6"/>
  <c r="C3388" i="6"/>
  <c r="B3388" i="6"/>
  <c r="I3387" i="6"/>
  <c r="H3387" i="6"/>
  <c r="C3387" i="6"/>
  <c r="B3387" i="6"/>
  <c r="I3386" i="6"/>
  <c r="H3386" i="6"/>
  <c r="C3386" i="6"/>
  <c r="B3386" i="6"/>
  <c r="C3385" i="6"/>
  <c r="B3385" i="6"/>
  <c r="C3384" i="6"/>
  <c r="B3384" i="6"/>
  <c r="C3383" i="6"/>
  <c r="B3383" i="6"/>
  <c r="C3382" i="6"/>
  <c r="B3382" i="6"/>
  <c r="C3381" i="6"/>
  <c r="B3381" i="6"/>
  <c r="C3380" i="6"/>
  <c r="B3380" i="6"/>
  <c r="V3379" i="6"/>
  <c r="I3379" i="6"/>
  <c r="H3379" i="6"/>
  <c r="C3379" i="6"/>
  <c r="B3379" i="6"/>
  <c r="I3378" i="6"/>
  <c r="H3378" i="6"/>
  <c r="C3378" i="6"/>
  <c r="B3378" i="6"/>
  <c r="I3377" i="6"/>
  <c r="H3377" i="6"/>
  <c r="C3377" i="6"/>
  <c r="B3377" i="6"/>
  <c r="C3376" i="6"/>
  <c r="B3376" i="6"/>
  <c r="C3375" i="6"/>
  <c r="B3375" i="6"/>
  <c r="C3374" i="6"/>
  <c r="B3374" i="6"/>
  <c r="C3373" i="6"/>
  <c r="B3373" i="6"/>
  <c r="I3372" i="6"/>
  <c r="H3372" i="6"/>
  <c r="C3372" i="6"/>
  <c r="B3372" i="6"/>
  <c r="C3731" i="6"/>
  <c r="B3731" i="6"/>
  <c r="I3730" i="6"/>
  <c r="H3730" i="6"/>
  <c r="C3730" i="6"/>
  <c r="B3730" i="6"/>
  <c r="I3729" i="6"/>
  <c r="H3729" i="6"/>
  <c r="C3729" i="6"/>
  <c r="B3729" i="6"/>
  <c r="I3728" i="6"/>
  <c r="H3728" i="6"/>
  <c r="C3728" i="6"/>
  <c r="B3728" i="6"/>
  <c r="I3727" i="6"/>
  <c r="H3727" i="6"/>
  <c r="C3727" i="6"/>
  <c r="B3727" i="6"/>
  <c r="C3726" i="6"/>
  <c r="B3726" i="6"/>
  <c r="C3725" i="6"/>
  <c r="B3725" i="6"/>
  <c r="V3724" i="6"/>
  <c r="I3724" i="6"/>
  <c r="H3724" i="6"/>
  <c r="C3724" i="6"/>
  <c r="B3724" i="6"/>
  <c r="I3723" i="6"/>
  <c r="H3723" i="6"/>
  <c r="C3723" i="6"/>
  <c r="B3723" i="6"/>
  <c r="C3722" i="6"/>
  <c r="B3722" i="6"/>
  <c r="C3721" i="6"/>
  <c r="B3721" i="6"/>
  <c r="C3720" i="6"/>
  <c r="B3720" i="6"/>
  <c r="C3719" i="6"/>
  <c r="B3719" i="6"/>
  <c r="C3718" i="6"/>
  <c r="B3718" i="6"/>
  <c r="C3717" i="6"/>
  <c r="B3717" i="6"/>
  <c r="C3716" i="6"/>
  <c r="B3716" i="6"/>
  <c r="V3715" i="6"/>
  <c r="I3715" i="6"/>
  <c r="H3715" i="6"/>
  <c r="C3715" i="6"/>
  <c r="B3715" i="6"/>
  <c r="C3714" i="6"/>
  <c r="B3714" i="6"/>
  <c r="C3713" i="6"/>
  <c r="B3713" i="6"/>
  <c r="C3712" i="6"/>
  <c r="B3712" i="6"/>
  <c r="C3711" i="6"/>
  <c r="B3711" i="6"/>
  <c r="I3710" i="6"/>
  <c r="H3710" i="6"/>
  <c r="C3710" i="6"/>
  <c r="B3710" i="6"/>
  <c r="C3709" i="6"/>
  <c r="B3709" i="6"/>
  <c r="C3708" i="6"/>
  <c r="B3708" i="6"/>
  <c r="C3707" i="6"/>
  <c r="B3707" i="6"/>
  <c r="I3706" i="6"/>
  <c r="H3706" i="6"/>
  <c r="C3706" i="6"/>
  <c r="B3706" i="6"/>
  <c r="C3705" i="6"/>
  <c r="B3705" i="6"/>
  <c r="C3704" i="6"/>
  <c r="B3704" i="6"/>
  <c r="C3703" i="6"/>
  <c r="B3703" i="6"/>
  <c r="C3702" i="6"/>
  <c r="B3702" i="6"/>
  <c r="C3701" i="6"/>
  <c r="B3701" i="6"/>
  <c r="C3700" i="6"/>
  <c r="B3700" i="6"/>
  <c r="C3699" i="6"/>
  <c r="B3699" i="6"/>
  <c r="C3698" i="6"/>
  <c r="B3698" i="6"/>
  <c r="C3697" i="6"/>
  <c r="B3697" i="6"/>
  <c r="C3696" i="6"/>
  <c r="B3696" i="6"/>
  <c r="C3695" i="6"/>
  <c r="B3695" i="6"/>
  <c r="C3694" i="6"/>
  <c r="B3694" i="6"/>
  <c r="I3693" i="6"/>
  <c r="H3693" i="6"/>
  <c r="C3693" i="6"/>
  <c r="B3693" i="6"/>
  <c r="I3692" i="6"/>
  <c r="H3692" i="6"/>
  <c r="C3692" i="6"/>
  <c r="B3692" i="6"/>
  <c r="C3691" i="6"/>
  <c r="B3691" i="6"/>
  <c r="C3690" i="6"/>
  <c r="B3690" i="6"/>
  <c r="I3689" i="6"/>
  <c r="H3689" i="6"/>
  <c r="C3689" i="6"/>
  <c r="B3689" i="6"/>
  <c r="I3688" i="6"/>
  <c r="H3688" i="6"/>
  <c r="C3688" i="6"/>
  <c r="B3688" i="6"/>
  <c r="C3687" i="6"/>
  <c r="B3687" i="6"/>
  <c r="C3686" i="6"/>
  <c r="B3686" i="6"/>
  <c r="C3685" i="6"/>
  <c r="B3685" i="6"/>
  <c r="C3684" i="6"/>
  <c r="B3684" i="6"/>
  <c r="C3683" i="6"/>
  <c r="B3683" i="6"/>
  <c r="I3682" i="6"/>
  <c r="H3682" i="6"/>
  <c r="C3682" i="6"/>
  <c r="B3682" i="6"/>
  <c r="C3681" i="6"/>
  <c r="B3681" i="6"/>
  <c r="C3680" i="6"/>
  <c r="B3680" i="6"/>
  <c r="I3679" i="6"/>
  <c r="C3679" i="6"/>
  <c r="B3679" i="6"/>
  <c r="I3678" i="6"/>
  <c r="C3678" i="6"/>
  <c r="B3678" i="6"/>
  <c r="I3677" i="6"/>
  <c r="C3677" i="6"/>
  <c r="B3677" i="6"/>
  <c r="I3675" i="6"/>
  <c r="C3675" i="6"/>
  <c r="B3675" i="6"/>
  <c r="C3674" i="6"/>
  <c r="B3674" i="6"/>
  <c r="C3673" i="6"/>
  <c r="B3673" i="6"/>
  <c r="C3672" i="6"/>
  <c r="B3672" i="6"/>
  <c r="I3671" i="6"/>
  <c r="C3671" i="6"/>
  <c r="B3671" i="6"/>
  <c r="V3670" i="6"/>
  <c r="C3670" i="6"/>
  <c r="B3670" i="6"/>
  <c r="C3669" i="6"/>
  <c r="B3669" i="6"/>
  <c r="C3668" i="6"/>
  <c r="B3668" i="6"/>
  <c r="C3667" i="6"/>
  <c r="B3667" i="6"/>
  <c r="C3666" i="6"/>
  <c r="B3666" i="6"/>
  <c r="C3665" i="6"/>
  <c r="B3665" i="6"/>
  <c r="I3664" i="6"/>
  <c r="H3664" i="6"/>
  <c r="C3664" i="6"/>
  <c r="B3664" i="6"/>
  <c r="C3663" i="6"/>
  <c r="B3663" i="6"/>
  <c r="C3662" i="6"/>
  <c r="B3662" i="6"/>
  <c r="C3661" i="6"/>
  <c r="B3661" i="6"/>
  <c r="I3660" i="6"/>
  <c r="H3660" i="6"/>
  <c r="C3660" i="6"/>
  <c r="B3660" i="6"/>
  <c r="I3659" i="6"/>
  <c r="H3659" i="6"/>
  <c r="C3659" i="6"/>
  <c r="B3659" i="6"/>
  <c r="I3658" i="6"/>
  <c r="H3658" i="6"/>
  <c r="C3658" i="6"/>
  <c r="B3658" i="6"/>
  <c r="C3657" i="6"/>
  <c r="B3657" i="6"/>
  <c r="C3656" i="6"/>
  <c r="B3656" i="6"/>
  <c r="I3655" i="6"/>
  <c r="H3655" i="6"/>
  <c r="C3655" i="6"/>
  <c r="B3655" i="6"/>
  <c r="I3654" i="6"/>
  <c r="H3654" i="6"/>
  <c r="C3654" i="6"/>
  <c r="B3654" i="6"/>
  <c r="I3653" i="6"/>
  <c r="H3653" i="6"/>
  <c r="C3653" i="6"/>
  <c r="B3653" i="6"/>
  <c r="I3652" i="6"/>
  <c r="H3652" i="6"/>
  <c r="C3652" i="6"/>
  <c r="B3652" i="6"/>
  <c r="I3651" i="6"/>
  <c r="H3651" i="6"/>
  <c r="C3651" i="6"/>
  <c r="B3651" i="6"/>
  <c r="I3650" i="6"/>
  <c r="H3650" i="6"/>
  <c r="C3650" i="6"/>
  <c r="B3650" i="6"/>
  <c r="C3649" i="6"/>
  <c r="B3649" i="6"/>
  <c r="C3648" i="6"/>
  <c r="B3648" i="6"/>
  <c r="C3647" i="6"/>
  <c r="B3647" i="6"/>
  <c r="C3646" i="6"/>
  <c r="B3646" i="6"/>
  <c r="C3645" i="6"/>
  <c r="B3645" i="6"/>
  <c r="V3644" i="6"/>
  <c r="I3644" i="6"/>
  <c r="H3644" i="6"/>
  <c r="C3644" i="6"/>
  <c r="B3644" i="6"/>
  <c r="C3643" i="6"/>
  <c r="B3643" i="6"/>
  <c r="C3642" i="6"/>
  <c r="B3642" i="6"/>
  <c r="I3641" i="6"/>
  <c r="H3641" i="6"/>
  <c r="C3641" i="6"/>
  <c r="B3641" i="6"/>
  <c r="V3640" i="6"/>
  <c r="I3640" i="6"/>
  <c r="H3640" i="6"/>
  <c r="C3640" i="6"/>
  <c r="B3640" i="6"/>
  <c r="C3639" i="6"/>
  <c r="B3639" i="6"/>
  <c r="C3638" i="6"/>
  <c r="B3638" i="6"/>
  <c r="C3637" i="6"/>
  <c r="B3637" i="6"/>
  <c r="I3636" i="6"/>
  <c r="H3636" i="6"/>
  <c r="C3636" i="6"/>
  <c r="B3636" i="6"/>
  <c r="I3635" i="6"/>
  <c r="H3635" i="6"/>
  <c r="C3635" i="6"/>
  <c r="B3635" i="6"/>
  <c r="I3634" i="6"/>
  <c r="H3634" i="6"/>
  <c r="C3634" i="6"/>
  <c r="B3634" i="6"/>
  <c r="I3633" i="6"/>
  <c r="H3633" i="6"/>
  <c r="C3633" i="6"/>
  <c r="B3633" i="6"/>
  <c r="C3632" i="6"/>
  <c r="B3632" i="6"/>
  <c r="C3631" i="6"/>
  <c r="B3631" i="6"/>
  <c r="C3630" i="6"/>
  <c r="B3630" i="6"/>
  <c r="I3629" i="6"/>
  <c r="H3629" i="6"/>
  <c r="C3629" i="6"/>
  <c r="B3629" i="6"/>
  <c r="C3628" i="6"/>
  <c r="B3628" i="6"/>
  <c r="C3627" i="6"/>
  <c r="B3627" i="6"/>
  <c r="I3626" i="6"/>
  <c r="H3626" i="6"/>
  <c r="C3626" i="6"/>
  <c r="B3626" i="6"/>
  <c r="I3625" i="6"/>
  <c r="H3625" i="6"/>
  <c r="C3625" i="6"/>
  <c r="B3625" i="6"/>
  <c r="V3624" i="6"/>
  <c r="I3624" i="6"/>
  <c r="H3624" i="6"/>
  <c r="C3624" i="6"/>
  <c r="B3624" i="6"/>
  <c r="C3623" i="6"/>
  <c r="B3623" i="6"/>
  <c r="C3622" i="6"/>
  <c r="B3622" i="6"/>
  <c r="C3621" i="6"/>
  <c r="B3621" i="6"/>
  <c r="V47" i="6"/>
  <c r="V81" i="6"/>
  <c r="V94" i="6"/>
  <c r="V95" i="6"/>
  <c r="V103" i="6"/>
  <c r="V104" i="6"/>
  <c r="V105" i="6"/>
  <c r="V106" i="6"/>
  <c r="V108" i="6"/>
  <c r="V115" i="6"/>
  <c r="V127" i="6"/>
  <c r="V150" i="6"/>
  <c r="V304" i="6"/>
  <c r="V320" i="6"/>
  <c r="V335" i="6"/>
  <c r="V338" i="6"/>
  <c r="V339" i="6"/>
  <c r="V365" i="6"/>
  <c r="V380" i="6"/>
  <c r="V385" i="6"/>
  <c r="V386" i="6"/>
  <c r="V387" i="6"/>
  <c r="V391" i="6"/>
  <c r="V393" i="6"/>
  <c r="V432" i="6"/>
  <c r="V436" i="6"/>
  <c r="V441" i="6"/>
  <c r="V445" i="6"/>
  <c r="V465" i="6"/>
  <c r="V466" i="6"/>
  <c r="V485" i="6"/>
  <c r="V488" i="6"/>
  <c r="V489" i="6"/>
  <c r="V490" i="6"/>
  <c r="V491" i="6"/>
  <c r="V499" i="6"/>
  <c r="V500" i="6"/>
  <c r="V501" i="6"/>
  <c r="V558" i="6"/>
  <c r="V636" i="6"/>
  <c r="V643" i="6"/>
  <c r="V649" i="6"/>
  <c r="V715" i="6"/>
  <c r="V716" i="6"/>
  <c r="V717" i="6"/>
  <c r="V718" i="6"/>
  <c r="V719" i="6"/>
  <c r="V720" i="6"/>
  <c r="V735" i="6"/>
  <c r="V736" i="6"/>
  <c r="V737" i="6"/>
  <c r="V738" i="6"/>
  <c r="V739" i="6"/>
  <c r="V740" i="6"/>
  <c r="V741" i="6"/>
  <c r="V742" i="6"/>
  <c r="V743" i="6"/>
  <c r="V744" i="6"/>
  <c r="V762" i="6"/>
  <c r="V763" i="6"/>
  <c r="V764" i="6"/>
  <c r="V765" i="6"/>
  <c r="V766" i="6"/>
  <c r="V767" i="6"/>
  <c r="V768" i="6"/>
  <c r="V769" i="6"/>
  <c r="V770" i="6"/>
  <c r="V771" i="6"/>
  <c r="V775" i="6"/>
  <c r="V776" i="6"/>
  <c r="V779" i="6"/>
  <c r="V780" i="6"/>
  <c r="V789" i="6"/>
  <c r="V828" i="6"/>
  <c r="V864" i="6"/>
  <c r="V867" i="6"/>
  <c r="V876" i="6"/>
  <c r="V883" i="6"/>
  <c r="V891" i="6"/>
  <c r="V893" i="6"/>
  <c r="V907" i="6"/>
  <c r="V923" i="6"/>
  <c r="V924" i="6"/>
  <c r="V925" i="6"/>
  <c r="V935" i="6"/>
  <c r="V940" i="6"/>
  <c r="V944" i="6"/>
  <c r="V974" i="6"/>
  <c r="V976" i="6"/>
  <c r="V982" i="6"/>
  <c r="V996" i="6"/>
  <c r="V999" i="6"/>
  <c r="V1050" i="6"/>
  <c r="V1057" i="6"/>
  <c r="V1095" i="6"/>
  <c r="V1098" i="6"/>
  <c r="V1129" i="6"/>
  <c r="V1133" i="6"/>
  <c r="V1151" i="6"/>
  <c r="V1155" i="6"/>
  <c r="V1200" i="6"/>
  <c r="V1211" i="6"/>
  <c r="V1212" i="6"/>
  <c r="V1216" i="6"/>
  <c r="V1217" i="6"/>
  <c r="V1234" i="6"/>
  <c r="V1238" i="6"/>
  <c r="V1239" i="6"/>
  <c r="V1256" i="6"/>
  <c r="V1268" i="6"/>
  <c r="V1308" i="6"/>
  <c r="V1309" i="6"/>
  <c r="V1310" i="6"/>
  <c r="V1311" i="6"/>
  <c r="V1313" i="6"/>
  <c r="V1314" i="6"/>
  <c r="V1315" i="6"/>
  <c r="V1336" i="6"/>
  <c r="V1338" i="6"/>
  <c r="V1346" i="6"/>
  <c r="V1400" i="6"/>
  <c r="V1408" i="6"/>
  <c r="V1409" i="6"/>
  <c r="V1412" i="6"/>
  <c r="V1416" i="6"/>
  <c r="V1441" i="6"/>
  <c r="V1471" i="6"/>
  <c r="V1472" i="6"/>
  <c r="V1473" i="6"/>
  <c r="V1474" i="6"/>
  <c r="V1475" i="6"/>
  <c r="V1476" i="6"/>
  <c r="V1477" i="6"/>
  <c r="V1478" i="6"/>
  <c r="V1484" i="6"/>
  <c r="V1485" i="6"/>
  <c r="V1486" i="6"/>
  <c r="V1488" i="6"/>
  <c r="V1527" i="6"/>
  <c r="V1537" i="6"/>
  <c r="V1538" i="6"/>
  <c r="V1546" i="6"/>
  <c r="V1591" i="6"/>
  <c r="V1592" i="6"/>
  <c r="V1613" i="6"/>
  <c r="V1624" i="6"/>
  <c r="V1635" i="6"/>
  <c r="V1639" i="6"/>
  <c r="V1644" i="6"/>
  <c r="V1662" i="6"/>
  <c r="V1678" i="6"/>
  <c r="V1708" i="6"/>
  <c r="V1770" i="6"/>
  <c r="V1771" i="6"/>
  <c r="V1775" i="6"/>
  <c r="V1818" i="6"/>
  <c r="V1849" i="6"/>
  <c r="V1852" i="6"/>
  <c r="V1899" i="6"/>
  <c r="V1900" i="6"/>
  <c r="V1949" i="6"/>
  <c r="V1990" i="6"/>
  <c r="V2004" i="6"/>
  <c r="V2008" i="6"/>
  <c r="V2012" i="6"/>
  <c r="V2040" i="6"/>
  <c r="V2043" i="6"/>
  <c r="V2057" i="6"/>
  <c r="V2133" i="6"/>
  <c r="V2134" i="6"/>
  <c r="V2135" i="6"/>
  <c r="V2136" i="6"/>
  <c r="V2137" i="6"/>
  <c r="V2138" i="6"/>
  <c r="V2147" i="6"/>
  <c r="V2149" i="6"/>
  <c r="V2164" i="6"/>
  <c r="V2254" i="6"/>
  <c r="V2260" i="6"/>
  <c r="V2302" i="6"/>
  <c r="V2362" i="6"/>
  <c r="V2402" i="6"/>
  <c r="V2408" i="6"/>
  <c r="V2453" i="6"/>
  <c r="V2466" i="6"/>
  <c r="V2493" i="6"/>
  <c r="V2507" i="6"/>
  <c r="V2523" i="6"/>
  <c r="V2556" i="6"/>
  <c r="V2575" i="6"/>
  <c r="V2577" i="6"/>
  <c r="V2578" i="6"/>
  <c r="V2582" i="6"/>
  <c r="V2590" i="6"/>
  <c r="V2633" i="6"/>
  <c r="V2634" i="6"/>
  <c r="V2654" i="6"/>
  <c r="V2661" i="6"/>
  <c r="V2674" i="6"/>
  <c r="V2680" i="6"/>
  <c r="V2684" i="6"/>
  <c r="V2685" i="6"/>
  <c r="V2729" i="6"/>
  <c r="V2756" i="6"/>
  <c r="V2764" i="6"/>
  <c r="V2774" i="6"/>
  <c r="V2778" i="6"/>
  <c r="V2802" i="6"/>
  <c r="V2804" i="6"/>
  <c r="V2806" i="6"/>
  <c r="V2828" i="6"/>
  <c r="V3000" i="6"/>
  <c r="V3002" i="6"/>
  <c r="V3004" i="6"/>
  <c r="V3005" i="6"/>
  <c r="V3007" i="6"/>
  <c r="V3618" i="6"/>
  <c r="V3757" i="6"/>
  <c r="V3798" i="6"/>
  <c r="V4079" i="6"/>
  <c r="V5177" i="6"/>
  <c r="V5180" i="6"/>
  <c r="V5651" i="6"/>
  <c r="C3620" i="6"/>
  <c r="B3620" i="6"/>
  <c r="C3619" i="6"/>
  <c r="B3619" i="6"/>
  <c r="I3618" i="6"/>
  <c r="H3618" i="6"/>
  <c r="C3618" i="6"/>
  <c r="B3618" i="6"/>
  <c r="I3617" i="6"/>
  <c r="H3617" i="6"/>
  <c r="C3617" i="6"/>
  <c r="B3617" i="6"/>
  <c r="I3616" i="6"/>
  <c r="H3616" i="6"/>
  <c r="C3616" i="6"/>
  <c r="B3616" i="6"/>
  <c r="I3615" i="6"/>
  <c r="H3615" i="6"/>
  <c r="C3615" i="6"/>
  <c r="B3615" i="6"/>
  <c r="I3614" i="6"/>
  <c r="H3614" i="6"/>
  <c r="C3614" i="6"/>
  <c r="B3614" i="6"/>
  <c r="I3613" i="6"/>
  <c r="H3613" i="6"/>
  <c r="C3613" i="6"/>
  <c r="B3613" i="6"/>
  <c r="I3612" i="6"/>
  <c r="H3612" i="6"/>
  <c r="C3612" i="6"/>
  <c r="B3612" i="6"/>
  <c r="I3791" i="6"/>
  <c r="H3791" i="6"/>
  <c r="C3791" i="6"/>
  <c r="B3791" i="6"/>
  <c r="I3790" i="6"/>
  <c r="H3790" i="6"/>
  <c r="C3790" i="6"/>
  <c r="B3790" i="6"/>
  <c r="I3789" i="6"/>
  <c r="H3789" i="6"/>
  <c r="C3789" i="6"/>
  <c r="B3789" i="6"/>
  <c r="I3788" i="6"/>
  <c r="H3788" i="6"/>
  <c r="C3788" i="6"/>
  <c r="B3788" i="6"/>
  <c r="I3787" i="6"/>
  <c r="H3787" i="6"/>
  <c r="C3787" i="6"/>
  <c r="B3787" i="6"/>
  <c r="C3786" i="6"/>
  <c r="B3786" i="6"/>
  <c r="C3785" i="6"/>
  <c r="B3785" i="6"/>
  <c r="I3784" i="6"/>
  <c r="H3784" i="6"/>
  <c r="C3784" i="6"/>
  <c r="B3784" i="6"/>
  <c r="I3783" i="6"/>
  <c r="H3783" i="6"/>
  <c r="C3783" i="6"/>
  <c r="B3783" i="6"/>
  <c r="I3782" i="6"/>
  <c r="H3782" i="6"/>
  <c r="C3782" i="6"/>
  <c r="B3782" i="6"/>
  <c r="I3781" i="6"/>
  <c r="H3781" i="6"/>
  <c r="C3781" i="6"/>
  <c r="B3781" i="6"/>
  <c r="I3780" i="6"/>
  <c r="H3780" i="6"/>
  <c r="C3780" i="6"/>
  <c r="B3780" i="6"/>
  <c r="C3779" i="6"/>
  <c r="B3779" i="6"/>
  <c r="I3778" i="6"/>
  <c r="H3778" i="6"/>
  <c r="C3778" i="6"/>
  <c r="B3778" i="6"/>
  <c r="C3777" i="6"/>
  <c r="B3777" i="6"/>
  <c r="C3776" i="6"/>
  <c r="B3776" i="6"/>
  <c r="I3775" i="6"/>
  <c r="H3775" i="6"/>
  <c r="C3775" i="6"/>
  <c r="B3775" i="6"/>
  <c r="I3774" i="6"/>
  <c r="H3774" i="6"/>
  <c r="C3774" i="6"/>
  <c r="B3774" i="6"/>
  <c r="I3773" i="6"/>
  <c r="H3773" i="6"/>
  <c r="C3773" i="6"/>
  <c r="B3773" i="6"/>
  <c r="C3772" i="6"/>
  <c r="B3772" i="6"/>
  <c r="C3771" i="6"/>
  <c r="B3771" i="6"/>
  <c r="C3770" i="6"/>
  <c r="B3770" i="6"/>
  <c r="I3769" i="6"/>
  <c r="H3769" i="6"/>
  <c r="C3769" i="6"/>
  <c r="B3769" i="6"/>
  <c r="C3768" i="6"/>
  <c r="B3768" i="6"/>
  <c r="I3767" i="6"/>
  <c r="H3767" i="6"/>
  <c r="C3767" i="6"/>
  <c r="B3767" i="6"/>
  <c r="C3766" i="6"/>
  <c r="B3766" i="6"/>
  <c r="C3765" i="6"/>
  <c r="B3765" i="6"/>
  <c r="C3764" i="6"/>
  <c r="B3764" i="6"/>
  <c r="I3763" i="6"/>
  <c r="H3763" i="6"/>
  <c r="C3763" i="6"/>
  <c r="B3763" i="6"/>
  <c r="C3762" i="6"/>
  <c r="B3762" i="6"/>
  <c r="C3761" i="6"/>
  <c r="B3761" i="6"/>
  <c r="I3760" i="6"/>
  <c r="H3760" i="6"/>
  <c r="C3760" i="6"/>
  <c r="B3760" i="6"/>
  <c r="I3759" i="6"/>
  <c r="H3759" i="6"/>
  <c r="C3759" i="6"/>
  <c r="B3759" i="6"/>
  <c r="I3758" i="6"/>
  <c r="H3758" i="6"/>
  <c r="C3758" i="6"/>
  <c r="B3758" i="6"/>
  <c r="I3757" i="6"/>
  <c r="H3757" i="6"/>
  <c r="C3757" i="6"/>
  <c r="B3757" i="6"/>
  <c r="C3756" i="6"/>
  <c r="B3756" i="6"/>
  <c r="C3755" i="6"/>
  <c r="B3755" i="6"/>
  <c r="I3754" i="6"/>
  <c r="H3754" i="6"/>
  <c r="C3754" i="6"/>
  <c r="B3754" i="6"/>
  <c r="C3753" i="6"/>
  <c r="B3753" i="6"/>
  <c r="C3752" i="6"/>
  <c r="B3752" i="6"/>
  <c r="C3751" i="6"/>
  <c r="B3751" i="6"/>
  <c r="C3750" i="6"/>
  <c r="B3750" i="6"/>
  <c r="C3749" i="6"/>
  <c r="B3749" i="6"/>
  <c r="I3748" i="6"/>
  <c r="H3748" i="6"/>
  <c r="C3748" i="6"/>
  <c r="B3748" i="6"/>
  <c r="I3747" i="6"/>
  <c r="H3747" i="6"/>
  <c r="C3747" i="6"/>
  <c r="B3747" i="6"/>
  <c r="I3746" i="6"/>
  <c r="H3746" i="6"/>
  <c r="C3746" i="6"/>
  <c r="B3746" i="6"/>
  <c r="I3745" i="6"/>
  <c r="H3745" i="6"/>
  <c r="C3745" i="6"/>
  <c r="B3745" i="6"/>
  <c r="I3744" i="6"/>
  <c r="H3744" i="6"/>
  <c r="C3744" i="6"/>
  <c r="B3744" i="6"/>
  <c r="C3743" i="6"/>
  <c r="B3743" i="6"/>
  <c r="C3742" i="6"/>
  <c r="B3742" i="6"/>
  <c r="C3741" i="6"/>
  <c r="B3741" i="6"/>
  <c r="C3740" i="6"/>
  <c r="B3740" i="6"/>
  <c r="C3739" i="6"/>
  <c r="B3739" i="6"/>
  <c r="C3738" i="6"/>
  <c r="B3738" i="6"/>
  <c r="C3737" i="6"/>
  <c r="B3737" i="6"/>
  <c r="C3736" i="6"/>
  <c r="B3736" i="6"/>
  <c r="I3735" i="6"/>
  <c r="H3735" i="6"/>
  <c r="C3735" i="6"/>
  <c r="B3735" i="6"/>
  <c r="I3734" i="6"/>
  <c r="H3734" i="6"/>
  <c r="C3734" i="6"/>
  <c r="B3734" i="6"/>
  <c r="I3733" i="6"/>
  <c r="H3733" i="6"/>
  <c r="C3733" i="6"/>
  <c r="B3733" i="6"/>
  <c r="I3732" i="6"/>
  <c r="H3732" i="6"/>
  <c r="C3732" i="6"/>
  <c r="B3732" i="6"/>
  <c r="C3819" i="6"/>
  <c r="B3819" i="6"/>
  <c r="C3818" i="6"/>
  <c r="B3818" i="6"/>
  <c r="C3817" i="6"/>
  <c r="B3817" i="6"/>
  <c r="C3816" i="6"/>
  <c r="B3816" i="6"/>
  <c r="C3815" i="6"/>
  <c r="B3815" i="6"/>
  <c r="C3814" i="6"/>
  <c r="B3814" i="6"/>
  <c r="C3813" i="6"/>
  <c r="B3813" i="6"/>
  <c r="C3812" i="6"/>
  <c r="B3812" i="6"/>
  <c r="C3811" i="6"/>
  <c r="B3811" i="6"/>
  <c r="C3810" i="6"/>
  <c r="B3810" i="6"/>
  <c r="C3809" i="6"/>
  <c r="B3809" i="6"/>
  <c r="C3808" i="6"/>
  <c r="B3808" i="6"/>
  <c r="C3807" i="6"/>
  <c r="B3807" i="6"/>
  <c r="C3806" i="6"/>
  <c r="B3806" i="6"/>
  <c r="C3805" i="6"/>
  <c r="B3805" i="6"/>
  <c r="C3804" i="6"/>
  <c r="B3804" i="6"/>
  <c r="C3803" i="6"/>
  <c r="B3803" i="6"/>
  <c r="I3802" i="6"/>
  <c r="H3802" i="6"/>
  <c r="C3802" i="6"/>
  <c r="B3802" i="6"/>
  <c r="I3801" i="6"/>
  <c r="H3801" i="6"/>
  <c r="C3801" i="6"/>
  <c r="B3801" i="6"/>
  <c r="C3800" i="6"/>
  <c r="B3800" i="6"/>
  <c r="C3799" i="6"/>
  <c r="B3799" i="6"/>
  <c r="I3798" i="6"/>
  <c r="H3798" i="6"/>
  <c r="C3798" i="6"/>
  <c r="B3798" i="6"/>
  <c r="I3797" i="6"/>
  <c r="H3797" i="6"/>
  <c r="C3797" i="6"/>
  <c r="B3797" i="6"/>
  <c r="I3796" i="6"/>
  <c r="H3796" i="6"/>
  <c r="C3796" i="6"/>
  <c r="B3796" i="6"/>
  <c r="I3795" i="6"/>
  <c r="H3795" i="6"/>
  <c r="C3795" i="6"/>
  <c r="B3795" i="6"/>
  <c r="I3794" i="6"/>
  <c r="H3794" i="6"/>
  <c r="C3794" i="6"/>
  <c r="B3794" i="6"/>
  <c r="I3793" i="6"/>
  <c r="H3793" i="6"/>
  <c r="C3793" i="6"/>
  <c r="B3793" i="6"/>
  <c r="I3792" i="6"/>
  <c r="H3792" i="6"/>
  <c r="C3792" i="6"/>
  <c r="B3792" i="6"/>
  <c r="C4074" i="6"/>
  <c r="B4074" i="6"/>
  <c r="C3833" i="6"/>
  <c r="B3833" i="6"/>
  <c r="C3832" i="6"/>
  <c r="B3832" i="6"/>
  <c r="C3831" i="6"/>
  <c r="B3831" i="6"/>
  <c r="C3830" i="6"/>
  <c r="B3830" i="6"/>
  <c r="C3829" i="6"/>
  <c r="B3829" i="6"/>
  <c r="C3828" i="6"/>
  <c r="B3828" i="6"/>
  <c r="C3827" i="6"/>
  <c r="B3827" i="6"/>
  <c r="C3826" i="6"/>
  <c r="B3826" i="6"/>
  <c r="C3825" i="6"/>
  <c r="B3825" i="6"/>
  <c r="C3824" i="6"/>
  <c r="B3824" i="6"/>
  <c r="C3823" i="6"/>
  <c r="B3823" i="6"/>
  <c r="C3822" i="6"/>
  <c r="B3822" i="6"/>
  <c r="C3821" i="6"/>
  <c r="B3821" i="6"/>
  <c r="C3820" i="6"/>
  <c r="B3820" i="6"/>
  <c r="C2782" i="6"/>
  <c r="C2780" i="6"/>
  <c r="B2780" i="6"/>
  <c r="C2776" i="6"/>
  <c r="B2776" i="6"/>
  <c r="C2768" i="6"/>
  <c r="B2768" i="6"/>
  <c r="C2765" i="6"/>
  <c r="B2765" i="6"/>
  <c r="C2762" i="6"/>
  <c r="B2762" i="6"/>
  <c r="C2760" i="6"/>
  <c r="B2760" i="6"/>
  <c r="C2753" i="6"/>
  <c r="B2753" i="6"/>
  <c r="C2751" i="6"/>
  <c r="B2751" i="6"/>
  <c r="C2748" i="6"/>
  <c r="B2748" i="6"/>
  <c r="I2733" i="6"/>
  <c r="H2733" i="6"/>
  <c r="C2733" i="6"/>
  <c r="B2733" i="6"/>
  <c r="C2738" i="6"/>
  <c r="B2738" i="6"/>
  <c r="I2727" i="6"/>
  <c r="H2727" i="6"/>
  <c r="C2727" i="6"/>
  <c r="B2727" i="6"/>
  <c r="C2716" i="6"/>
  <c r="B2716" i="6"/>
  <c r="C2710" i="6"/>
  <c r="B2710" i="6"/>
  <c r="C2705" i="6"/>
  <c r="B2705" i="6"/>
  <c r="C2707" i="6"/>
  <c r="B2707" i="6"/>
  <c r="C2706" i="6"/>
  <c r="B2706" i="6"/>
  <c r="C2708" i="6"/>
  <c r="B2708" i="6"/>
  <c r="C2703" i="6"/>
  <c r="B2703" i="6"/>
  <c r="I2699" i="6"/>
  <c r="H2699" i="6"/>
  <c r="C2699" i="6"/>
  <c r="B2699" i="6"/>
  <c r="I2695" i="6"/>
  <c r="H2695" i="6"/>
  <c r="C2695" i="6"/>
  <c r="B2695" i="6"/>
  <c r="C2690" i="6"/>
  <c r="B2690" i="6"/>
  <c r="I2773" i="6"/>
  <c r="H2773" i="6"/>
  <c r="C2773" i="6"/>
  <c r="B2773" i="6"/>
  <c r="C2772" i="6"/>
  <c r="B2772" i="6"/>
  <c r="I2771" i="6"/>
  <c r="H2771" i="6"/>
  <c r="C2771" i="6"/>
  <c r="B2771" i="6"/>
  <c r="C2770" i="6"/>
  <c r="B2770" i="6"/>
  <c r="C2769" i="6"/>
  <c r="B2769" i="6"/>
  <c r="I2767" i="6"/>
  <c r="H2767" i="6"/>
  <c r="C2767" i="6"/>
  <c r="B2767" i="6"/>
  <c r="C2766" i="6"/>
  <c r="B2766" i="6"/>
  <c r="I2764" i="6"/>
  <c r="H2764" i="6"/>
  <c r="C2764" i="6"/>
  <c r="B2764" i="6"/>
  <c r="C2763" i="6"/>
  <c r="B2763" i="6"/>
  <c r="C2761" i="6"/>
  <c r="B2761" i="6"/>
  <c r="I2759" i="6"/>
  <c r="H2759" i="6"/>
  <c r="C2759" i="6"/>
  <c r="B2759" i="6"/>
  <c r="I2758" i="6"/>
  <c r="H2758" i="6"/>
  <c r="C2758" i="6"/>
  <c r="B2758" i="6"/>
  <c r="C2757" i="6"/>
  <c r="B2757" i="6"/>
  <c r="I2756" i="6"/>
  <c r="H2756" i="6"/>
  <c r="C2756" i="6"/>
  <c r="B2756" i="6"/>
  <c r="C2755" i="6"/>
  <c r="B2755" i="6"/>
  <c r="C2754" i="6"/>
  <c r="B2754" i="6"/>
  <c r="C2752" i="6"/>
  <c r="B2752" i="6"/>
  <c r="C2750" i="6"/>
  <c r="B2750" i="6"/>
  <c r="C2749" i="6"/>
  <c r="B2749" i="6"/>
  <c r="C2747" i="6"/>
  <c r="B2747" i="6"/>
  <c r="C2746" i="6"/>
  <c r="B2746" i="6"/>
  <c r="C2745" i="6"/>
  <c r="B2745" i="6"/>
  <c r="I2744" i="6"/>
  <c r="H2744" i="6"/>
  <c r="C2744" i="6"/>
  <c r="B2744" i="6"/>
  <c r="I2743" i="6"/>
  <c r="H2743" i="6"/>
  <c r="C2743" i="6"/>
  <c r="B2743" i="6"/>
  <c r="C2742" i="6"/>
  <c r="B2742" i="6"/>
  <c r="I2741" i="6"/>
  <c r="H2741" i="6"/>
  <c r="C2741" i="6"/>
  <c r="B2741" i="6"/>
  <c r="I2740" i="6"/>
  <c r="H2740" i="6"/>
  <c r="C2740" i="6"/>
  <c r="B2740" i="6"/>
  <c r="C2739" i="6"/>
  <c r="B2739" i="6"/>
  <c r="C2737" i="6"/>
  <c r="B2737" i="6"/>
  <c r="I2736" i="6"/>
  <c r="H2736" i="6"/>
  <c r="C2736" i="6"/>
  <c r="B2736" i="6"/>
  <c r="C2735" i="6"/>
  <c r="B2735" i="6"/>
  <c r="I2734" i="6"/>
  <c r="H2734" i="6"/>
  <c r="C2734" i="6"/>
  <c r="B2734" i="6"/>
  <c r="I2732" i="6"/>
  <c r="H2732" i="6"/>
  <c r="C2732" i="6"/>
  <c r="B2732" i="6"/>
  <c r="I2731" i="6"/>
  <c r="H2731" i="6"/>
  <c r="C2731" i="6"/>
  <c r="B2731" i="6"/>
  <c r="C2730" i="6"/>
  <c r="B2730" i="6"/>
  <c r="I2729" i="6"/>
  <c r="H2729" i="6"/>
  <c r="C2729" i="6"/>
  <c r="B2729" i="6"/>
  <c r="I2728" i="6"/>
  <c r="H2728" i="6"/>
  <c r="C2728" i="6"/>
  <c r="B2728" i="6"/>
  <c r="I2726" i="6"/>
  <c r="H2726" i="6"/>
  <c r="C2726" i="6"/>
  <c r="B2726" i="6"/>
  <c r="C2725" i="6"/>
  <c r="B2725" i="6"/>
  <c r="I2724" i="6"/>
  <c r="H2724" i="6"/>
  <c r="C2724" i="6"/>
  <c r="B2724" i="6"/>
  <c r="C2723" i="6"/>
  <c r="B2723" i="6"/>
  <c r="C2722" i="6"/>
  <c r="B2722" i="6"/>
  <c r="I2721" i="6"/>
  <c r="H2721" i="6"/>
  <c r="C2721" i="6"/>
  <c r="B2721" i="6"/>
  <c r="C2720" i="6"/>
  <c r="B2720" i="6"/>
  <c r="C2719" i="6"/>
  <c r="B2719" i="6"/>
  <c r="C2718" i="6"/>
  <c r="B2718" i="6"/>
  <c r="C2717" i="6"/>
  <c r="B2717" i="6"/>
  <c r="C2715" i="6"/>
  <c r="B2715" i="6"/>
  <c r="I2714" i="6"/>
  <c r="H2714" i="6"/>
  <c r="C2714" i="6"/>
  <c r="B2714" i="6"/>
  <c r="I2713" i="6"/>
  <c r="H2713" i="6"/>
  <c r="C2713" i="6"/>
  <c r="B2713" i="6"/>
  <c r="I2712" i="6"/>
  <c r="H2712" i="6"/>
  <c r="C2712" i="6"/>
  <c r="B2712" i="6"/>
  <c r="C2711" i="6"/>
  <c r="B2711" i="6"/>
  <c r="C2709" i="6"/>
  <c r="B2709" i="6"/>
  <c r="C2704" i="6"/>
  <c r="B2704" i="6"/>
  <c r="C2702" i="6"/>
  <c r="B2702" i="6"/>
  <c r="C2701" i="6"/>
  <c r="B2701" i="6"/>
  <c r="I2700" i="6"/>
  <c r="H2700" i="6"/>
  <c r="C2700" i="6"/>
  <c r="B2700" i="6"/>
  <c r="I2698" i="6"/>
  <c r="H2698" i="6"/>
  <c r="C2698" i="6"/>
  <c r="B2698" i="6"/>
  <c r="C2697" i="6"/>
  <c r="B2697" i="6"/>
  <c r="I2696" i="6"/>
  <c r="H2696" i="6"/>
  <c r="C2696" i="6"/>
  <c r="B2696" i="6"/>
  <c r="I2694" i="6"/>
  <c r="H2694" i="6"/>
  <c r="C2694" i="6"/>
  <c r="B2694" i="6"/>
  <c r="I2693" i="6"/>
  <c r="H2693" i="6"/>
  <c r="C2693" i="6"/>
  <c r="B2693" i="6"/>
  <c r="C2692" i="6"/>
  <c r="B2692" i="6"/>
  <c r="C2691" i="6"/>
  <c r="B2691" i="6"/>
  <c r="I2689" i="6"/>
  <c r="H2689" i="6"/>
  <c r="C2689" i="6"/>
  <c r="B2689" i="6"/>
  <c r="C2688" i="6"/>
  <c r="B2688" i="6"/>
  <c r="C2687" i="6"/>
  <c r="B2687" i="6"/>
  <c r="C2686" i="6"/>
  <c r="B2686" i="6"/>
  <c r="I2809" i="6"/>
  <c r="H2809" i="6"/>
  <c r="C2809" i="6"/>
  <c r="B2809" i="6"/>
  <c r="I2808" i="6"/>
  <c r="H2808" i="6"/>
  <c r="C2808" i="6"/>
  <c r="B2808" i="6"/>
  <c r="C2807" i="6"/>
  <c r="B2807" i="6"/>
  <c r="C2806" i="6"/>
  <c r="B2806" i="6"/>
  <c r="C2805" i="6"/>
  <c r="B2805" i="6"/>
  <c r="C2804" i="6"/>
  <c r="B2804" i="6"/>
  <c r="C2803" i="6"/>
  <c r="B2803" i="6"/>
  <c r="C2802" i="6"/>
  <c r="B2802" i="6"/>
  <c r="I2801" i="6"/>
  <c r="H2801" i="6"/>
  <c r="C2801" i="6"/>
  <c r="B2801" i="6"/>
  <c r="I2800" i="6"/>
  <c r="H2800" i="6"/>
  <c r="C2800" i="6"/>
  <c r="B2800" i="6"/>
  <c r="I2799" i="6"/>
  <c r="H2799" i="6"/>
  <c r="C2799" i="6"/>
  <c r="B2799" i="6"/>
  <c r="I2798" i="6"/>
  <c r="H2798" i="6"/>
  <c r="C2798" i="6"/>
  <c r="B2798" i="6"/>
  <c r="I2797" i="6"/>
  <c r="H2797" i="6"/>
  <c r="C2797" i="6"/>
  <c r="B2797" i="6"/>
  <c r="I2796" i="6"/>
  <c r="H2796" i="6"/>
  <c r="C2796" i="6"/>
  <c r="B2796" i="6"/>
  <c r="I2795" i="6"/>
  <c r="H2795" i="6"/>
  <c r="C2795" i="6"/>
  <c r="B2795" i="6"/>
  <c r="I2794" i="6"/>
  <c r="H2794" i="6"/>
  <c r="C2794" i="6"/>
  <c r="B2794" i="6"/>
  <c r="I2793" i="6"/>
  <c r="H2793" i="6"/>
  <c r="C2793" i="6"/>
  <c r="B2793" i="6"/>
  <c r="I2792" i="6"/>
  <c r="H2792" i="6"/>
  <c r="C2792" i="6"/>
  <c r="B2792" i="6"/>
  <c r="I2791" i="6"/>
  <c r="H2791" i="6"/>
  <c r="C2791" i="6"/>
  <c r="B2791" i="6"/>
  <c r="I2790" i="6"/>
  <c r="H2790" i="6"/>
  <c r="C2790" i="6"/>
  <c r="B2790" i="6"/>
  <c r="I2789" i="6"/>
  <c r="H2789" i="6"/>
  <c r="C2789" i="6"/>
  <c r="B2789" i="6"/>
  <c r="I2788" i="6"/>
  <c r="H2788" i="6"/>
  <c r="C2788" i="6"/>
  <c r="B2788" i="6"/>
  <c r="I2787" i="6"/>
  <c r="H2787" i="6"/>
  <c r="C2787" i="6"/>
  <c r="B2787" i="6"/>
  <c r="I2786" i="6"/>
  <c r="H2786" i="6"/>
  <c r="C2786" i="6"/>
  <c r="B2786" i="6"/>
  <c r="I2785" i="6"/>
  <c r="H2785" i="6"/>
  <c r="C2785" i="6"/>
  <c r="B2785" i="6"/>
  <c r="I2784" i="6"/>
  <c r="H2784" i="6"/>
  <c r="C2784" i="6"/>
  <c r="B2784" i="6"/>
  <c r="I2783" i="6"/>
  <c r="H2783" i="6"/>
  <c r="C2783" i="6"/>
  <c r="B2783" i="6"/>
  <c r="B2782" i="6"/>
  <c r="C2781" i="6"/>
  <c r="B2781" i="6"/>
  <c r="I2779" i="6"/>
  <c r="H2779" i="6"/>
  <c r="C2779" i="6"/>
  <c r="B2779" i="6"/>
  <c r="I2778" i="6"/>
  <c r="H2778" i="6"/>
  <c r="C2778" i="6"/>
  <c r="B2778" i="6"/>
  <c r="C2777" i="6"/>
  <c r="B2777" i="6"/>
  <c r="C2775" i="6"/>
  <c r="B2775" i="6"/>
  <c r="I2774" i="6"/>
  <c r="H2774" i="6"/>
  <c r="C2774" i="6"/>
  <c r="B2774" i="6"/>
  <c r="I2827" i="6"/>
  <c r="H2827" i="6"/>
  <c r="C2827" i="6"/>
  <c r="B2827" i="6"/>
  <c r="I2826" i="6"/>
  <c r="H2826" i="6"/>
  <c r="C2826" i="6"/>
  <c r="B2826" i="6"/>
  <c r="I2825" i="6"/>
  <c r="H2825" i="6"/>
  <c r="C2825" i="6"/>
  <c r="B2825" i="6"/>
  <c r="I2824" i="6"/>
  <c r="H2824" i="6"/>
  <c r="C2824" i="6"/>
  <c r="B2824" i="6"/>
  <c r="I2823" i="6"/>
  <c r="H2823" i="6"/>
  <c r="C2823" i="6"/>
  <c r="B2823" i="6"/>
  <c r="I2822" i="6"/>
  <c r="H2822" i="6"/>
  <c r="C2822" i="6"/>
  <c r="B2822" i="6"/>
  <c r="I2821" i="6"/>
  <c r="H2821" i="6"/>
  <c r="C2821" i="6"/>
  <c r="B2821" i="6"/>
  <c r="I2820" i="6"/>
  <c r="H2820" i="6"/>
  <c r="C2820" i="6"/>
  <c r="B2820" i="6"/>
  <c r="I2819" i="6"/>
  <c r="H2819" i="6"/>
  <c r="C2819" i="6"/>
  <c r="B2819" i="6"/>
  <c r="I2818" i="6"/>
  <c r="H2818" i="6"/>
  <c r="C2818" i="6"/>
  <c r="B2818" i="6"/>
  <c r="I2817" i="6"/>
  <c r="H2817" i="6"/>
  <c r="C2817" i="6"/>
  <c r="B2817" i="6"/>
  <c r="I2816" i="6"/>
  <c r="H2816" i="6"/>
  <c r="C2816" i="6"/>
  <c r="B2816" i="6"/>
  <c r="I2815" i="6"/>
  <c r="H2815" i="6"/>
  <c r="C2815" i="6"/>
  <c r="B2815" i="6"/>
  <c r="C2814" i="6"/>
  <c r="B2814" i="6"/>
  <c r="C2812" i="6"/>
  <c r="B2812" i="6"/>
  <c r="C2811" i="6"/>
  <c r="B2811" i="6"/>
  <c r="C2810" i="6"/>
  <c r="B2810" i="6"/>
  <c r="I1818" i="6"/>
  <c r="C2670" i="6"/>
  <c r="B2670" i="6"/>
  <c r="C2667" i="6"/>
  <c r="B2667" i="6"/>
  <c r="C2666" i="6"/>
  <c r="B2666" i="6"/>
  <c r="C2668" i="6"/>
  <c r="B2668" i="6"/>
  <c r="C2659" i="6"/>
  <c r="B2659" i="6"/>
  <c r="C2657" i="6"/>
  <c r="B2657" i="6"/>
  <c r="I2652" i="6"/>
  <c r="H2652" i="6"/>
  <c r="C2652" i="6"/>
  <c r="B2652" i="6"/>
  <c r="C2647" i="6"/>
  <c r="B2647" i="6"/>
  <c r="I2645" i="6"/>
  <c r="H2645" i="6"/>
  <c r="C2645" i="6"/>
  <c r="B2645" i="6"/>
  <c r="I2676" i="6"/>
  <c r="H2676" i="6"/>
  <c r="C2676" i="6"/>
  <c r="B2676" i="6"/>
  <c r="I2675" i="6"/>
  <c r="H2675" i="6"/>
  <c r="C2675" i="6"/>
  <c r="B2675" i="6"/>
  <c r="I2674" i="6"/>
  <c r="H2674" i="6"/>
  <c r="C2674" i="6"/>
  <c r="B2674" i="6"/>
  <c r="I2673" i="6"/>
  <c r="H2673" i="6"/>
  <c r="C2673" i="6"/>
  <c r="B2673" i="6"/>
  <c r="I2672" i="6"/>
  <c r="H2672" i="6"/>
  <c r="C2672" i="6"/>
  <c r="B2672" i="6"/>
  <c r="C2671" i="6"/>
  <c r="B2671" i="6"/>
  <c r="C2669" i="6"/>
  <c r="B2669" i="6"/>
  <c r="I2665" i="6"/>
  <c r="H2665" i="6"/>
  <c r="C2665" i="6"/>
  <c r="B2665" i="6"/>
  <c r="I2664" i="6"/>
  <c r="H2664" i="6"/>
  <c r="C2664" i="6"/>
  <c r="B2664" i="6"/>
  <c r="I2663" i="6"/>
  <c r="H2663" i="6"/>
  <c r="C2663" i="6"/>
  <c r="B2663" i="6"/>
  <c r="I2662" i="6"/>
  <c r="H2662" i="6"/>
  <c r="C2662" i="6"/>
  <c r="B2662" i="6"/>
  <c r="I2661" i="6"/>
  <c r="H2661" i="6"/>
  <c r="C2661" i="6"/>
  <c r="B2661" i="6"/>
  <c r="C2660" i="6"/>
  <c r="B2660" i="6"/>
  <c r="C2658" i="6"/>
  <c r="B2658" i="6"/>
  <c r="C2656" i="6"/>
  <c r="B2656" i="6"/>
  <c r="I2655" i="6"/>
  <c r="H2655" i="6"/>
  <c r="C2655" i="6"/>
  <c r="B2655" i="6"/>
  <c r="C2654" i="6"/>
  <c r="B2654" i="6"/>
  <c r="I2653" i="6"/>
  <c r="H2653" i="6"/>
  <c r="C2653" i="6"/>
  <c r="B2653" i="6"/>
  <c r="I2651" i="6"/>
  <c r="H2651" i="6"/>
  <c r="C2651" i="6"/>
  <c r="B2651" i="6"/>
  <c r="C2650" i="6"/>
  <c r="B2650" i="6"/>
  <c r="I2649" i="6"/>
  <c r="H2649" i="6"/>
  <c r="C2649" i="6"/>
  <c r="B2649" i="6"/>
  <c r="C2648" i="6"/>
  <c r="B2648" i="6"/>
  <c r="I2646" i="6"/>
  <c r="H2646" i="6"/>
  <c r="C2646" i="6"/>
  <c r="B2646" i="6"/>
  <c r="I2644" i="6"/>
  <c r="H2644" i="6"/>
  <c r="C2644" i="6"/>
  <c r="B2644" i="6"/>
  <c r="I2643" i="6"/>
  <c r="H2643" i="6"/>
  <c r="C2643" i="6"/>
  <c r="B2643" i="6"/>
  <c r="I2642" i="6"/>
  <c r="H2642" i="6"/>
  <c r="C2642" i="6"/>
  <c r="B2642" i="6"/>
  <c r="C4076" i="6"/>
  <c r="B4076" i="6"/>
  <c r="C4075" i="6"/>
  <c r="B4075" i="6"/>
  <c r="C2829" i="6"/>
  <c r="B2829" i="6"/>
  <c r="I2828" i="6"/>
  <c r="H2828" i="6"/>
  <c r="C2828" i="6"/>
  <c r="B2828" i="6"/>
  <c r="I2685" i="6"/>
  <c r="H2685" i="6"/>
  <c r="C2685" i="6"/>
  <c r="B2685" i="6"/>
  <c r="C2684" i="6"/>
  <c r="B2684" i="6"/>
  <c r="C2683" i="6"/>
  <c r="B2683" i="6"/>
  <c r="C2682" i="6"/>
  <c r="B2682" i="6"/>
  <c r="C2681" i="6"/>
  <c r="B2681" i="6"/>
  <c r="C2680" i="6"/>
  <c r="B2680" i="6"/>
  <c r="C2679" i="6"/>
  <c r="B2679" i="6"/>
  <c r="C2678" i="6"/>
  <c r="B2678" i="6"/>
  <c r="I2677" i="6"/>
  <c r="H2677" i="6"/>
  <c r="C2677" i="6"/>
  <c r="B2677" i="6"/>
  <c r="I2637" i="6"/>
  <c r="H2637" i="6"/>
  <c r="C2637" i="6"/>
  <c r="B2637" i="6"/>
  <c r="I2635" i="6"/>
  <c r="H2635" i="6"/>
  <c r="C2635" i="6"/>
  <c r="B2635" i="6"/>
  <c r="I2631" i="6"/>
  <c r="H2631" i="6"/>
  <c r="C2631" i="6"/>
  <c r="B2631" i="6"/>
  <c r="C2629" i="6"/>
  <c r="B2629" i="6"/>
  <c r="I2625" i="6"/>
  <c r="H2625" i="6"/>
  <c r="C2625" i="6"/>
  <c r="B2625" i="6"/>
  <c r="I2623" i="6"/>
  <c r="H2623" i="6"/>
  <c r="C2623" i="6"/>
  <c r="B2623" i="6"/>
  <c r="C2620" i="6"/>
  <c r="B2620" i="6"/>
  <c r="C2621" i="6"/>
  <c r="B2621" i="6"/>
  <c r="I2614" i="6"/>
  <c r="H2614" i="6"/>
  <c r="C2614" i="6"/>
  <c r="B2614" i="6"/>
  <c r="I2615" i="6"/>
  <c r="H2615" i="6"/>
  <c r="C2615" i="6"/>
  <c r="B2615" i="6"/>
  <c r="I2602" i="6"/>
  <c r="H2602" i="6"/>
  <c r="C2602" i="6"/>
  <c r="B2602" i="6"/>
  <c r="I2606" i="6"/>
  <c r="H2606" i="6"/>
  <c r="C2606" i="6"/>
  <c r="B2606" i="6"/>
  <c r="C2610" i="6"/>
  <c r="B2610" i="6"/>
  <c r="I2584" i="6"/>
  <c r="H2584" i="6"/>
  <c r="C2584" i="6"/>
  <c r="B2584" i="6"/>
  <c r="I2559" i="6"/>
  <c r="H2559" i="6"/>
  <c r="C2559" i="6"/>
  <c r="B2559" i="6"/>
  <c r="I2552" i="6"/>
  <c r="H2552" i="6"/>
  <c r="C2552" i="6"/>
  <c r="B2552" i="6"/>
  <c r="C2542" i="6"/>
  <c r="B2542" i="6"/>
  <c r="I2540" i="6"/>
  <c r="H2540" i="6"/>
  <c r="C2540" i="6"/>
  <c r="B2540" i="6"/>
  <c r="I2538" i="6"/>
  <c r="H2538" i="6"/>
  <c r="C2538" i="6"/>
  <c r="B2538" i="6"/>
  <c r="I2530" i="6"/>
  <c r="H2530" i="6"/>
  <c r="C2530" i="6"/>
  <c r="B2530" i="6"/>
  <c r="I2527" i="6"/>
  <c r="H2527" i="6"/>
  <c r="C2527" i="6"/>
  <c r="B2527" i="6"/>
  <c r="C2520" i="6"/>
  <c r="B2520" i="6"/>
  <c r="C2518" i="6"/>
  <c r="B2518" i="6"/>
  <c r="C2515" i="6"/>
  <c r="B2515" i="6"/>
  <c r="I2512" i="6"/>
  <c r="H2512" i="6"/>
  <c r="C2512" i="6"/>
  <c r="B2512" i="6"/>
  <c r="C2508" i="6"/>
  <c r="B2508" i="6"/>
  <c r="C2509" i="6"/>
  <c r="B2509" i="6"/>
  <c r="C2503" i="6"/>
  <c r="B2503" i="6"/>
  <c r="C2491" i="6"/>
  <c r="B2491" i="6"/>
  <c r="C2486" i="6"/>
  <c r="B2486" i="6"/>
  <c r="C2484" i="6"/>
  <c r="B2484" i="6"/>
  <c r="C2481" i="6"/>
  <c r="B2481" i="6"/>
  <c r="C2480" i="6"/>
  <c r="B2480" i="6"/>
  <c r="C2482" i="6"/>
  <c r="B2482" i="6"/>
  <c r="C2476" i="6"/>
  <c r="B2476" i="6"/>
  <c r="C2475" i="6"/>
  <c r="B2475" i="6"/>
  <c r="C2477" i="6"/>
  <c r="B2477" i="6"/>
  <c r="I2472" i="6"/>
  <c r="H2472" i="6"/>
  <c r="C2472" i="6"/>
  <c r="B2472" i="6"/>
  <c r="C2469" i="6"/>
  <c r="B2469" i="6"/>
  <c r="C2468" i="6"/>
  <c r="B2468" i="6"/>
  <c r="C2470" i="6"/>
  <c r="B2470" i="6"/>
  <c r="C2458" i="6"/>
  <c r="B2458" i="6"/>
  <c r="I2456" i="6"/>
  <c r="H2456" i="6"/>
  <c r="C2456" i="6"/>
  <c r="B2456" i="6"/>
  <c r="I2454" i="6"/>
  <c r="H2454" i="6"/>
  <c r="C2454" i="6"/>
  <c r="B2454" i="6"/>
  <c r="I2452" i="6"/>
  <c r="H2452" i="6"/>
  <c r="C2452" i="6"/>
  <c r="B2452" i="6"/>
  <c r="I2560" i="6"/>
  <c r="H2560" i="6"/>
  <c r="C2560" i="6"/>
  <c r="B2560" i="6"/>
  <c r="I2558" i="6"/>
  <c r="H2558" i="6"/>
  <c r="C2558" i="6"/>
  <c r="B2558" i="6"/>
  <c r="C2557" i="6"/>
  <c r="B2557" i="6"/>
  <c r="I2556" i="6"/>
  <c r="H2556" i="6"/>
  <c r="C2556" i="6"/>
  <c r="B2556" i="6"/>
  <c r="I2555" i="6"/>
  <c r="H2555" i="6"/>
  <c r="C2555" i="6"/>
  <c r="B2555" i="6"/>
  <c r="I2554" i="6"/>
  <c r="H2554" i="6"/>
  <c r="C2554" i="6"/>
  <c r="B2554" i="6"/>
  <c r="I2553" i="6"/>
  <c r="H2553" i="6"/>
  <c r="C2553" i="6"/>
  <c r="B2553" i="6"/>
  <c r="I2551" i="6"/>
  <c r="H2551" i="6"/>
  <c r="C2551" i="6"/>
  <c r="B2551" i="6"/>
  <c r="I2550" i="6"/>
  <c r="H2550" i="6"/>
  <c r="C2550" i="6"/>
  <c r="B2550" i="6"/>
  <c r="I2549" i="6"/>
  <c r="H2549" i="6"/>
  <c r="C2549" i="6"/>
  <c r="B2549" i="6"/>
  <c r="I2548" i="6"/>
  <c r="H2548" i="6"/>
  <c r="C2548" i="6"/>
  <c r="B2548" i="6"/>
  <c r="I2547" i="6"/>
  <c r="H2547" i="6"/>
  <c r="C2547" i="6"/>
  <c r="B2547" i="6"/>
  <c r="I2546" i="6"/>
  <c r="H2546" i="6"/>
  <c r="C2546" i="6"/>
  <c r="B2546" i="6"/>
  <c r="I2545" i="6"/>
  <c r="H2545" i="6"/>
  <c r="C2545" i="6"/>
  <c r="B2545" i="6"/>
  <c r="I2544" i="6"/>
  <c r="H2544" i="6"/>
  <c r="C2544" i="6"/>
  <c r="B2544" i="6"/>
  <c r="C2543" i="6"/>
  <c r="B2543" i="6"/>
  <c r="I2541" i="6"/>
  <c r="H2541" i="6"/>
  <c r="C2541" i="6"/>
  <c r="B2541" i="6"/>
  <c r="I2539" i="6"/>
  <c r="H2539" i="6"/>
  <c r="C2539" i="6"/>
  <c r="B2539" i="6"/>
  <c r="I2537" i="6"/>
  <c r="H2537" i="6"/>
  <c r="C2537" i="6"/>
  <c r="B2537" i="6"/>
  <c r="I2536" i="6"/>
  <c r="H2536" i="6"/>
  <c r="C2536" i="6"/>
  <c r="B2536" i="6"/>
  <c r="I2535" i="6"/>
  <c r="H2535" i="6"/>
  <c r="C2535" i="6"/>
  <c r="B2535" i="6"/>
  <c r="I2534" i="6"/>
  <c r="H2534" i="6"/>
  <c r="C2534" i="6"/>
  <c r="B2534" i="6"/>
  <c r="I2533" i="6"/>
  <c r="H2533" i="6"/>
  <c r="C2533" i="6"/>
  <c r="B2533" i="6"/>
  <c r="I2532" i="6"/>
  <c r="H2532" i="6"/>
  <c r="C2532" i="6"/>
  <c r="B2532" i="6"/>
  <c r="I2531" i="6"/>
  <c r="H2531" i="6"/>
  <c r="C2531" i="6"/>
  <c r="B2531" i="6"/>
  <c r="I2529" i="6"/>
  <c r="H2529" i="6"/>
  <c r="C2529" i="6"/>
  <c r="B2529" i="6"/>
  <c r="I2528" i="6"/>
  <c r="H2528" i="6"/>
  <c r="C2528" i="6"/>
  <c r="B2528" i="6"/>
  <c r="I2526" i="6"/>
  <c r="H2526" i="6"/>
  <c r="C2526" i="6"/>
  <c r="B2526" i="6"/>
  <c r="I2525" i="6"/>
  <c r="H2525" i="6"/>
  <c r="C2525" i="6"/>
  <c r="B2525" i="6"/>
  <c r="I2524" i="6"/>
  <c r="H2524" i="6"/>
  <c r="C2524" i="6"/>
  <c r="B2524" i="6"/>
  <c r="I2523" i="6"/>
  <c r="H2523" i="6"/>
  <c r="C2523" i="6"/>
  <c r="B2523" i="6"/>
  <c r="C2522" i="6"/>
  <c r="B2522" i="6"/>
  <c r="C2521" i="6"/>
  <c r="B2521" i="6"/>
  <c r="C2519" i="6"/>
  <c r="B2519" i="6"/>
  <c r="I2517" i="6"/>
  <c r="H2517" i="6"/>
  <c r="C2517" i="6"/>
  <c r="B2517" i="6"/>
  <c r="C2516" i="6"/>
  <c r="B2516" i="6"/>
  <c r="C2514" i="6"/>
  <c r="B2514" i="6"/>
  <c r="I2513" i="6"/>
  <c r="H2513" i="6"/>
  <c r="C2513" i="6"/>
  <c r="B2513" i="6"/>
  <c r="C2511" i="6"/>
  <c r="B2511" i="6"/>
  <c r="C2510" i="6"/>
  <c r="B2510" i="6"/>
  <c r="I2507" i="6"/>
  <c r="H2507" i="6"/>
  <c r="C2507" i="6"/>
  <c r="B2507" i="6"/>
  <c r="I2506" i="6"/>
  <c r="H2506" i="6"/>
  <c r="C2506" i="6"/>
  <c r="B2506" i="6"/>
  <c r="I2505" i="6"/>
  <c r="H2505" i="6"/>
  <c r="C2505" i="6"/>
  <c r="B2505" i="6"/>
  <c r="C2504" i="6"/>
  <c r="B2504" i="6"/>
  <c r="C2502" i="6"/>
  <c r="B2502" i="6"/>
  <c r="C2501" i="6"/>
  <c r="B2501" i="6"/>
  <c r="I2500" i="6"/>
  <c r="H2500" i="6"/>
  <c r="C2500" i="6"/>
  <c r="B2500" i="6"/>
  <c r="I2499" i="6"/>
  <c r="H2499" i="6"/>
  <c r="C2499" i="6"/>
  <c r="B2499" i="6"/>
  <c r="I2498" i="6"/>
  <c r="H2498" i="6"/>
  <c r="C2498" i="6"/>
  <c r="B2498" i="6"/>
  <c r="I2497" i="6"/>
  <c r="H2497" i="6"/>
  <c r="C2497" i="6"/>
  <c r="B2497" i="6"/>
  <c r="I2496" i="6"/>
  <c r="H2496" i="6"/>
  <c r="C2496" i="6"/>
  <c r="B2496" i="6"/>
  <c r="I2495" i="6"/>
  <c r="H2495" i="6"/>
  <c r="C2495" i="6"/>
  <c r="B2495" i="6"/>
  <c r="I2494" i="6"/>
  <c r="H2494" i="6"/>
  <c r="C2494" i="6"/>
  <c r="B2494" i="6"/>
  <c r="I2493" i="6"/>
  <c r="H2493" i="6"/>
  <c r="C2493" i="6"/>
  <c r="B2493" i="6"/>
  <c r="C2492" i="6"/>
  <c r="B2492" i="6"/>
  <c r="I2490" i="6"/>
  <c r="H2490" i="6"/>
  <c r="C2490" i="6"/>
  <c r="B2490" i="6"/>
  <c r="I2489" i="6"/>
  <c r="H2489" i="6"/>
  <c r="C2489" i="6"/>
  <c r="B2489" i="6"/>
  <c r="I2488" i="6"/>
  <c r="H2488" i="6"/>
  <c r="C2488" i="6"/>
  <c r="B2488" i="6"/>
  <c r="C2487" i="6"/>
  <c r="B2487" i="6"/>
  <c r="C2485" i="6"/>
  <c r="B2485" i="6"/>
  <c r="C2483" i="6"/>
  <c r="B2483" i="6"/>
  <c r="I2479" i="6"/>
  <c r="H2479" i="6"/>
  <c r="C2479" i="6"/>
  <c r="B2479" i="6"/>
  <c r="C2478" i="6"/>
  <c r="B2478" i="6"/>
  <c r="C2474" i="6"/>
  <c r="B2474" i="6"/>
  <c r="I2473" i="6"/>
  <c r="H2473" i="6"/>
  <c r="C2473" i="6"/>
  <c r="B2473" i="6"/>
  <c r="C2471" i="6"/>
  <c r="B2471" i="6"/>
  <c r="C2467" i="6"/>
  <c r="B2467" i="6"/>
  <c r="I2466" i="6"/>
  <c r="H2466" i="6"/>
  <c r="C2466" i="6"/>
  <c r="B2466" i="6"/>
  <c r="C2465" i="6"/>
  <c r="B2465" i="6"/>
  <c r="C2464" i="6"/>
  <c r="B2464" i="6"/>
  <c r="C2463" i="6"/>
  <c r="B2463" i="6"/>
  <c r="I2462" i="6"/>
  <c r="H2462" i="6"/>
  <c r="C2462" i="6"/>
  <c r="B2462" i="6"/>
  <c r="I2461" i="6"/>
  <c r="H2461" i="6"/>
  <c r="C2461" i="6"/>
  <c r="B2461" i="6"/>
  <c r="I2460" i="6"/>
  <c r="H2460" i="6"/>
  <c r="C2460" i="6"/>
  <c r="B2460" i="6"/>
  <c r="C2459" i="6"/>
  <c r="B2459" i="6"/>
  <c r="I2457" i="6"/>
  <c r="H2457" i="6"/>
  <c r="C2457" i="6"/>
  <c r="B2457" i="6"/>
  <c r="I2455" i="6"/>
  <c r="H2455" i="6"/>
  <c r="C2455" i="6"/>
  <c r="B2455" i="6"/>
  <c r="I2453" i="6"/>
  <c r="H2453" i="6"/>
  <c r="C2453" i="6"/>
  <c r="B2453" i="6"/>
  <c r="I2451" i="6"/>
  <c r="H2451" i="6"/>
  <c r="C2451" i="6"/>
  <c r="B2451" i="6"/>
  <c r="C2450" i="6"/>
  <c r="B2450" i="6"/>
  <c r="C2601" i="6"/>
  <c r="B2601" i="6"/>
  <c r="I2600" i="6"/>
  <c r="H2600" i="6"/>
  <c r="C2600" i="6"/>
  <c r="B2600" i="6"/>
  <c r="I2599" i="6"/>
  <c r="H2599" i="6"/>
  <c r="C2599" i="6"/>
  <c r="B2599" i="6"/>
  <c r="I2598" i="6"/>
  <c r="H2598" i="6"/>
  <c r="C2598" i="6"/>
  <c r="B2598" i="6"/>
  <c r="I2597" i="6"/>
  <c r="H2597" i="6"/>
  <c r="C2597" i="6"/>
  <c r="B2597" i="6"/>
  <c r="I2596" i="6"/>
  <c r="H2596" i="6"/>
  <c r="C2596" i="6"/>
  <c r="B2596" i="6"/>
  <c r="I2595" i="6"/>
  <c r="H2595" i="6"/>
  <c r="C2595" i="6"/>
  <c r="B2595" i="6"/>
  <c r="I2594" i="6"/>
  <c r="H2594" i="6"/>
  <c r="C2594" i="6"/>
  <c r="B2594" i="6"/>
  <c r="I2593" i="6"/>
  <c r="H2593" i="6"/>
  <c r="C2593" i="6"/>
  <c r="B2593" i="6"/>
  <c r="I2592" i="6"/>
  <c r="H2592" i="6"/>
  <c r="C2592" i="6"/>
  <c r="B2592" i="6"/>
  <c r="I2591" i="6"/>
  <c r="H2591" i="6"/>
  <c r="C2591" i="6"/>
  <c r="B2591" i="6"/>
  <c r="I2590" i="6"/>
  <c r="H2590" i="6"/>
  <c r="C2590" i="6"/>
  <c r="B2590" i="6"/>
  <c r="I2589" i="6"/>
  <c r="H2589" i="6"/>
  <c r="C2589" i="6"/>
  <c r="B2589" i="6"/>
  <c r="I2588" i="6"/>
  <c r="H2588" i="6"/>
  <c r="C2588" i="6"/>
  <c r="B2588" i="6"/>
  <c r="I2587" i="6"/>
  <c r="H2587" i="6"/>
  <c r="C2587" i="6"/>
  <c r="B2587" i="6"/>
  <c r="I2586" i="6"/>
  <c r="H2586" i="6"/>
  <c r="C2586" i="6"/>
  <c r="B2586" i="6"/>
  <c r="I2585" i="6"/>
  <c r="H2585" i="6"/>
  <c r="C2585" i="6"/>
  <c r="B2585" i="6"/>
  <c r="I2583" i="6"/>
  <c r="H2583" i="6"/>
  <c r="C2583" i="6"/>
  <c r="B2583" i="6"/>
  <c r="I2582" i="6"/>
  <c r="H2582" i="6"/>
  <c r="C2582" i="6"/>
  <c r="B2582" i="6"/>
  <c r="I2581" i="6"/>
  <c r="H2581" i="6"/>
  <c r="C2581" i="6"/>
  <c r="B2581" i="6"/>
  <c r="I2580" i="6"/>
  <c r="H2580" i="6"/>
  <c r="C2580" i="6"/>
  <c r="B2580" i="6"/>
  <c r="I2579" i="6"/>
  <c r="H2579" i="6"/>
  <c r="C2579" i="6"/>
  <c r="B2579" i="6"/>
  <c r="I2578" i="6"/>
  <c r="H2578" i="6"/>
  <c r="C2578" i="6"/>
  <c r="B2578" i="6"/>
  <c r="I2577" i="6"/>
  <c r="H2577" i="6"/>
  <c r="C2577" i="6"/>
  <c r="B2577" i="6"/>
  <c r="I2576" i="6"/>
  <c r="H2576" i="6"/>
  <c r="C2576" i="6"/>
  <c r="B2576" i="6"/>
  <c r="I2575" i="6"/>
  <c r="H2575" i="6"/>
  <c r="C2575" i="6"/>
  <c r="B2575" i="6"/>
  <c r="I2574" i="6"/>
  <c r="H2574" i="6"/>
  <c r="C2574" i="6"/>
  <c r="B2574" i="6"/>
  <c r="I2573" i="6"/>
  <c r="H2573" i="6"/>
  <c r="C2573" i="6"/>
  <c r="B2573" i="6"/>
  <c r="I2572" i="6"/>
  <c r="H2572" i="6"/>
  <c r="C2572" i="6"/>
  <c r="B2572" i="6"/>
  <c r="I2571" i="6"/>
  <c r="H2571" i="6"/>
  <c r="C2571" i="6"/>
  <c r="B2571" i="6"/>
  <c r="I2570" i="6"/>
  <c r="H2570" i="6"/>
  <c r="C2570" i="6"/>
  <c r="B2570" i="6"/>
  <c r="I2569" i="6"/>
  <c r="H2569" i="6"/>
  <c r="C2569" i="6"/>
  <c r="B2569" i="6"/>
  <c r="I2568" i="6"/>
  <c r="H2568" i="6"/>
  <c r="C2568" i="6"/>
  <c r="B2568" i="6"/>
  <c r="I2567" i="6"/>
  <c r="H2567" i="6"/>
  <c r="C2567" i="6"/>
  <c r="B2567" i="6"/>
  <c r="I2566" i="6"/>
  <c r="H2566" i="6"/>
  <c r="C2566" i="6"/>
  <c r="B2566" i="6"/>
  <c r="I2565" i="6"/>
  <c r="H2565" i="6"/>
  <c r="C2565" i="6"/>
  <c r="B2565" i="6"/>
  <c r="I2564" i="6"/>
  <c r="H2564" i="6"/>
  <c r="C2564" i="6"/>
  <c r="B2564" i="6"/>
  <c r="I2563" i="6"/>
  <c r="H2563" i="6"/>
  <c r="C2563" i="6"/>
  <c r="B2563" i="6"/>
  <c r="C2562" i="6"/>
  <c r="B2562" i="6"/>
  <c r="I2561" i="6"/>
  <c r="H2561" i="6"/>
  <c r="C2561" i="6"/>
  <c r="B2561" i="6"/>
  <c r="I2632" i="6"/>
  <c r="H2632" i="6"/>
  <c r="C2632" i="6"/>
  <c r="B2632" i="6"/>
  <c r="C2630" i="6"/>
  <c r="B2630" i="6"/>
  <c r="I2628" i="6"/>
  <c r="H2628" i="6"/>
  <c r="C2628" i="6"/>
  <c r="B2628" i="6"/>
  <c r="C2627" i="6"/>
  <c r="B2627" i="6"/>
  <c r="I2626" i="6"/>
  <c r="H2626" i="6"/>
  <c r="C2626" i="6"/>
  <c r="B2626" i="6"/>
  <c r="I2624" i="6"/>
  <c r="H2624" i="6"/>
  <c r="C2624" i="6"/>
  <c r="B2624" i="6"/>
  <c r="C2622" i="6"/>
  <c r="B2622" i="6"/>
  <c r="C2619" i="6"/>
  <c r="B2619" i="6"/>
  <c r="I2618" i="6"/>
  <c r="H2618" i="6"/>
  <c r="C2618" i="6"/>
  <c r="B2618" i="6"/>
  <c r="C2617" i="6"/>
  <c r="B2617" i="6"/>
  <c r="I2616" i="6"/>
  <c r="H2616" i="6"/>
  <c r="C2616" i="6"/>
  <c r="B2616" i="6"/>
  <c r="I2613" i="6"/>
  <c r="H2613" i="6"/>
  <c r="C2613" i="6"/>
  <c r="B2613" i="6"/>
  <c r="I2612" i="6"/>
  <c r="H2612" i="6"/>
  <c r="C2612" i="6"/>
  <c r="B2612" i="6"/>
  <c r="C2611" i="6"/>
  <c r="B2611" i="6"/>
  <c r="C2609" i="6"/>
  <c r="B2609" i="6"/>
  <c r="I2608" i="6"/>
  <c r="H2608" i="6"/>
  <c r="C2608" i="6"/>
  <c r="B2608" i="6"/>
  <c r="I2607" i="6"/>
  <c r="H2607" i="6"/>
  <c r="C2607" i="6"/>
  <c r="B2607" i="6"/>
  <c r="C2605" i="6"/>
  <c r="B2605" i="6"/>
  <c r="I2604" i="6"/>
  <c r="H2604" i="6"/>
  <c r="C2604" i="6"/>
  <c r="B2604" i="6"/>
  <c r="I2603" i="6"/>
  <c r="H2603" i="6"/>
  <c r="C2603" i="6"/>
  <c r="B2603" i="6"/>
  <c r="W369" i="14"/>
  <c r="W364" i="14"/>
  <c r="X369" i="14"/>
  <c r="W366" i="14"/>
  <c r="X366" i="14"/>
  <c r="W365" i="14"/>
  <c r="X365" i="14"/>
  <c r="W368" i="14"/>
  <c r="X368" i="14"/>
  <c r="W367" i="14"/>
  <c r="X367" i="14"/>
  <c r="C2419" i="6"/>
  <c r="B2419" i="6"/>
  <c r="I2417" i="6"/>
  <c r="H2417" i="6"/>
  <c r="C2417" i="6"/>
  <c r="B2417" i="6"/>
  <c r="C2414" i="6"/>
  <c r="B2414" i="6"/>
  <c r="C2415" i="6"/>
  <c r="B2415" i="6"/>
  <c r="I2409" i="6"/>
  <c r="H2409" i="6"/>
  <c r="C2409" i="6"/>
  <c r="B2409" i="6"/>
  <c r="C2404" i="6"/>
  <c r="B2404" i="6"/>
  <c r="C2396" i="6"/>
  <c r="B2396" i="6"/>
  <c r="C2394" i="6"/>
  <c r="B2394" i="6"/>
  <c r="I2374" i="6"/>
  <c r="H2374" i="6"/>
  <c r="C2374" i="6"/>
  <c r="B2374" i="6"/>
  <c r="I2381" i="6"/>
  <c r="H2381" i="6"/>
  <c r="C2381" i="6"/>
  <c r="B2381" i="6"/>
  <c r="C2379" i="6"/>
  <c r="B2379" i="6"/>
  <c r="C2371" i="6"/>
  <c r="B2371" i="6"/>
  <c r="I2350" i="6"/>
  <c r="H2350" i="6"/>
  <c r="C2350" i="6"/>
  <c r="B2350" i="6"/>
  <c r="I2347" i="6"/>
  <c r="H2347" i="6"/>
  <c r="C2347" i="6"/>
  <c r="B2347" i="6"/>
  <c r="C2344" i="6"/>
  <c r="B2344" i="6"/>
  <c r="C2345" i="6"/>
  <c r="B2345" i="6"/>
  <c r="I2323" i="6"/>
  <c r="H2323" i="6"/>
  <c r="C2323" i="6"/>
  <c r="B2323" i="6"/>
  <c r="C2321" i="6"/>
  <c r="B2321" i="6"/>
  <c r="C2319" i="6"/>
  <c r="B2319" i="6"/>
  <c r="C2314" i="6"/>
  <c r="B2314" i="6"/>
  <c r="C2303" i="6"/>
  <c r="B2303" i="6"/>
  <c r="C2300" i="6"/>
  <c r="B2300" i="6"/>
  <c r="I2293" i="6"/>
  <c r="H2293" i="6"/>
  <c r="C2293" i="6"/>
  <c r="B2293" i="6"/>
  <c r="C2275" i="6"/>
  <c r="B2275" i="6"/>
  <c r="C2276" i="6"/>
  <c r="B2276" i="6"/>
  <c r="C2269" i="6"/>
  <c r="B2269" i="6"/>
  <c r="C2270" i="6"/>
  <c r="B2270" i="6"/>
  <c r="C2262" i="6"/>
  <c r="B2262" i="6"/>
  <c r="C2253" i="6"/>
  <c r="B2253" i="6"/>
  <c r="N372" i="14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P354" i="14" s="1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96" i="14"/>
  <c r="N395" i="14"/>
  <c r="N394" i="14"/>
  <c r="N393" i="14"/>
  <c r="N392" i="14"/>
  <c r="N391" i="14"/>
  <c r="N390" i="14"/>
  <c r="N389" i="14"/>
  <c r="N388" i="14"/>
  <c r="N387" i="14"/>
  <c r="N386" i="14"/>
  <c r="N385" i="14"/>
  <c r="N384" i="14"/>
  <c r="N383" i="14"/>
  <c r="P383" i="14" s="1"/>
  <c r="N382" i="14"/>
  <c r="N381" i="14"/>
  <c r="N380" i="14"/>
  <c r="N379" i="14"/>
  <c r="N378" i="14"/>
  <c r="N377" i="14"/>
  <c r="N376" i="14"/>
  <c r="N375" i="14"/>
  <c r="N374" i="14"/>
  <c r="N373" i="14"/>
  <c r="N408" i="14"/>
  <c r="N407" i="14"/>
  <c r="N406" i="14"/>
  <c r="N405" i="14"/>
  <c r="N404" i="14"/>
  <c r="N403" i="14"/>
  <c r="N402" i="14"/>
  <c r="N401" i="14"/>
  <c r="N400" i="14"/>
  <c r="N399" i="14"/>
  <c r="N398" i="14"/>
  <c r="N397" i="14"/>
  <c r="N574" i="14"/>
  <c r="N469" i="14"/>
  <c r="N412" i="14"/>
  <c r="N411" i="14"/>
  <c r="N410" i="14"/>
  <c r="N886" i="14"/>
  <c r="P886" i="14" s="1"/>
  <c r="N887" i="14"/>
  <c r="P887" i="14" s="1"/>
  <c r="N888" i="14"/>
  <c r="P888" i="14" s="1"/>
  <c r="N889" i="14"/>
  <c r="P889" i="14" s="1"/>
  <c r="N409" i="14"/>
  <c r="C2213" i="6"/>
  <c r="B2213" i="6"/>
  <c r="C2211" i="6"/>
  <c r="B2211" i="6"/>
  <c r="C2208" i="6"/>
  <c r="B2208" i="6"/>
  <c r="C2209" i="6"/>
  <c r="B2209" i="6"/>
  <c r="C2206" i="6"/>
  <c r="B2206" i="6"/>
  <c r="C2202" i="6"/>
  <c r="B2202" i="6"/>
  <c r="C2200" i="6"/>
  <c r="B2200" i="6"/>
  <c r="C2195" i="6"/>
  <c r="B2195" i="6"/>
  <c r="C2191" i="6"/>
  <c r="B2191" i="6"/>
  <c r="C2187" i="6"/>
  <c r="B2187" i="6"/>
  <c r="C2180" i="6"/>
  <c r="B2180" i="6"/>
  <c r="C2176" i="6"/>
  <c r="B2176" i="6"/>
  <c r="C2174" i="6"/>
  <c r="B2174" i="6"/>
  <c r="C2141" i="6"/>
  <c r="B2141" i="6"/>
  <c r="C2139" i="6"/>
  <c r="B2139" i="6"/>
  <c r="C2133" i="6"/>
  <c r="B2133" i="6"/>
  <c r="C2122" i="6"/>
  <c r="B2122" i="6"/>
  <c r="C2129" i="6"/>
  <c r="B2129" i="6"/>
  <c r="C2125" i="6"/>
  <c r="B2125" i="6"/>
  <c r="C2119" i="6"/>
  <c r="B2119" i="6"/>
  <c r="C2108" i="6"/>
  <c r="B2108" i="6"/>
  <c r="C2117" i="6"/>
  <c r="B2117" i="6"/>
  <c r="C2114" i="6"/>
  <c r="B2114" i="6"/>
  <c r="C2112" i="6"/>
  <c r="B2112" i="6"/>
  <c r="C2106" i="6"/>
  <c r="B2106" i="6"/>
  <c r="C2103" i="6"/>
  <c r="B2103" i="6"/>
  <c r="C2101" i="6"/>
  <c r="B2101" i="6"/>
  <c r="C2099" i="6"/>
  <c r="B2099" i="6"/>
  <c r="C2097" i="6"/>
  <c r="B2097" i="6"/>
  <c r="C2092" i="6"/>
  <c r="B2092" i="6"/>
  <c r="C2093" i="6"/>
  <c r="B2093" i="6"/>
  <c r="I2286" i="6"/>
  <c r="H2286" i="6"/>
  <c r="C2286" i="6"/>
  <c r="B2286" i="6"/>
  <c r="I2285" i="6"/>
  <c r="H2285" i="6"/>
  <c r="C2285" i="6"/>
  <c r="B2285" i="6"/>
  <c r="I2284" i="6"/>
  <c r="H2284" i="6"/>
  <c r="C2284" i="6"/>
  <c r="B2284" i="6"/>
  <c r="I2283" i="6"/>
  <c r="H2283" i="6"/>
  <c r="C2283" i="6"/>
  <c r="B2283" i="6"/>
  <c r="I2282" i="6"/>
  <c r="H2282" i="6"/>
  <c r="C2282" i="6"/>
  <c r="B2282" i="6"/>
  <c r="C2281" i="6"/>
  <c r="B2281" i="6"/>
  <c r="I2280" i="6"/>
  <c r="H2280" i="6"/>
  <c r="C2280" i="6"/>
  <c r="B2280" i="6"/>
  <c r="I2279" i="6"/>
  <c r="H2279" i="6"/>
  <c r="C2279" i="6"/>
  <c r="B2279" i="6"/>
  <c r="C2278" i="6"/>
  <c r="B2278" i="6"/>
  <c r="C2277" i="6"/>
  <c r="B2277" i="6"/>
  <c r="I2274" i="6"/>
  <c r="H2274" i="6"/>
  <c r="C2274" i="6"/>
  <c r="B2274" i="6"/>
  <c r="I2273" i="6"/>
  <c r="H2273" i="6"/>
  <c r="C2273" i="6"/>
  <c r="B2273" i="6"/>
  <c r="I2272" i="6"/>
  <c r="H2272" i="6"/>
  <c r="C2272" i="6"/>
  <c r="B2272" i="6"/>
  <c r="C2271" i="6"/>
  <c r="B2271" i="6"/>
  <c r="C2268" i="6"/>
  <c r="B2268" i="6"/>
  <c r="C2267" i="6"/>
  <c r="B2267" i="6"/>
  <c r="C2266" i="6"/>
  <c r="B2266" i="6"/>
  <c r="C2265" i="6"/>
  <c r="B2265" i="6"/>
  <c r="C2264" i="6"/>
  <c r="B2264" i="6"/>
  <c r="C2263" i="6"/>
  <c r="B2263" i="6"/>
  <c r="C2261" i="6"/>
  <c r="B2261" i="6"/>
  <c r="C2260" i="6"/>
  <c r="B2260" i="6"/>
  <c r="C2259" i="6"/>
  <c r="B2259" i="6"/>
  <c r="C2258" i="6"/>
  <c r="B2258" i="6"/>
  <c r="C2257" i="6"/>
  <c r="B2257" i="6"/>
  <c r="C2256" i="6"/>
  <c r="B2256" i="6"/>
  <c r="C2255" i="6"/>
  <c r="B2255" i="6"/>
  <c r="C2254" i="6"/>
  <c r="B2254" i="6"/>
  <c r="C2252" i="6"/>
  <c r="B2252" i="6"/>
  <c r="C2251" i="6"/>
  <c r="B2251" i="6"/>
  <c r="C2250" i="6"/>
  <c r="B2250" i="6"/>
  <c r="C2249" i="6"/>
  <c r="B2249" i="6"/>
  <c r="C2248" i="6"/>
  <c r="B2248" i="6"/>
  <c r="C2247" i="6"/>
  <c r="B2247" i="6"/>
  <c r="C2246" i="6"/>
  <c r="B2246" i="6"/>
  <c r="C2245" i="6"/>
  <c r="B2245" i="6"/>
  <c r="C2244" i="6"/>
  <c r="B2244" i="6"/>
  <c r="C2243" i="6"/>
  <c r="B2243" i="6"/>
  <c r="C2242" i="6"/>
  <c r="B2242" i="6"/>
  <c r="C2241" i="6"/>
  <c r="B2241" i="6"/>
  <c r="C2240" i="6"/>
  <c r="B2240" i="6"/>
  <c r="C2239" i="6"/>
  <c r="B2239" i="6"/>
  <c r="C2238" i="6"/>
  <c r="B2238" i="6"/>
  <c r="C2237" i="6"/>
  <c r="B2237" i="6"/>
  <c r="C2236" i="6"/>
  <c r="B2236" i="6"/>
  <c r="C2235" i="6"/>
  <c r="B2235" i="6"/>
  <c r="C2234" i="6"/>
  <c r="B2234" i="6"/>
  <c r="C2233" i="6"/>
  <c r="B2233" i="6"/>
  <c r="C2232" i="6"/>
  <c r="B2232" i="6"/>
  <c r="C2231" i="6"/>
  <c r="B2231" i="6"/>
  <c r="C2230" i="6"/>
  <c r="B2230" i="6"/>
  <c r="C2229" i="6"/>
  <c r="B2229" i="6"/>
  <c r="C2228" i="6"/>
  <c r="B2228" i="6"/>
  <c r="C2227" i="6"/>
  <c r="B2227" i="6"/>
  <c r="C2226" i="6"/>
  <c r="B2226" i="6"/>
  <c r="C2225" i="6"/>
  <c r="B2225" i="6"/>
  <c r="C2224" i="6"/>
  <c r="B2224" i="6"/>
  <c r="C2223" i="6"/>
  <c r="B2223" i="6"/>
  <c r="C2222" i="6"/>
  <c r="B2222" i="6"/>
  <c r="C2221" i="6"/>
  <c r="B2221" i="6"/>
  <c r="C2220" i="6"/>
  <c r="B2220" i="6"/>
  <c r="C2219" i="6"/>
  <c r="B2219" i="6"/>
  <c r="C2218" i="6"/>
  <c r="B2218" i="6"/>
  <c r="C2217" i="6"/>
  <c r="B2217" i="6"/>
  <c r="C2216" i="6"/>
  <c r="B2216" i="6"/>
  <c r="C2215" i="6"/>
  <c r="B2215" i="6"/>
  <c r="C2214" i="6"/>
  <c r="B2214" i="6"/>
  <c r="C2212" i="6"/>
  <c r="B2212" i="6"/>
  <c r="C2210" i="6"/>
  <c r="B2210" i="6"/>
  <c r="C2207" i="6"/>
  <c r="B2207" i="6"/>
  <c r="C2205" i="6"/>
  <c r="B2205" i="6"/>
  <c r="C2204" i="6"/>
  <c r="B2204" i="6"/>
  <c r="C2203" i="6"/>
  <c r="B2203" i="6"/>
  <c r="C2201" i="6"/>
  <c r="B2201" i="6"/>
  <c r="C2199" i="6"/>
  <c r="B2199" i="6"/>
  <c r="C2198" i="6"/>
  <c r="B2198" i="6"/>
  <c r="C2197" i="6"/>
  <c r="B2197" i="6"/>
  <c r="C2196" i="6"/>
  <c r="B2196" i="6"/>
  <c r="C2194" i="6"/>
  <c r="B2194" i="6"/>
  <c r="C2193" i="6"/>
  <c r="B2193" i="6"/>
  <c r="C2192" i="6"/>
  <c r="B2192" i="6"/>
  <c r="C2190" i="6"/>
  <c r="B2190" i="6"/>
  <c r="C2189" i="6"/>
  <c r="B2189" i="6"/>
  <c r="C2188" i="6"/>
  <c r="B2188" i="6"/>
  <c r="C2186" i="6"/>
  <c r="B2186" i="6"/>
  <c r="C2185" i="6"/>
  <c r="B2185" i="6"/>
  <c r="C2184" i="6"/>
  <c r="B2184" i="6"/>
  <c r="C2183" i="6"/>
  <c r="B2183" i="6"/>
  <c r="C2182" i="6"/>
  <c r="B2182" i="6"/>
  <c r="C2181" i="6"/>
  <c r="B2181" i="6"/>
  <c r="C2179" i="6"/>
  <c r="B2179" i="6"/>
  <c r="C2178" i="6"/>
  <c r="B2178" i="6"/>
  <c r="C2177" i="6"/>
  <c r="B2177" i="6"/>
  <c r="C2175" i="6"/>
  <c r="B2175" i="6"/>
  <c r="C2173" i="6"/>
  <c r="B2173" i="6"/>
  <c r="C2172" i="6"/>
  <c r="B2172" i="6"/>
  <c r="C2171" i="6"/>
  <c r="B2171" i="6"/>
  <c r="C2170" i="6"/>
  <c r="B2170" i="6"/>
  <c r="C2169" i="6"/>
  <c r="B2169" i="6"/>
  <c r="C2168" i="6"/>
  <c r="B2168" i="6"/>
  <c r="C2167" i="6"/>
  <c r="B2167" i="6"/>
  <c r="C2166" i="6"/>
  <c r="B2166" i="6"/>
  <c r="C2165" i="6"/>
  <c r="B2165" i="6"/>
  <c r="C2164" i="6"/>
  <c r="B2164" i="6"/>
  <c r="C2163" i="6"/>
  <c r="B2163" i="6"/>
  <c r="C2162" i="6"/>
  <c r="B2162" i="6"/>
  <c r="C2161" i="6"/>
  <c r="B2161" i="6"/>
  <c r="C2160" i="6"/>
  <c r="B2160" i="6"/>
  <c r="C2159" i="6"/>
  <c r="B2159" i="6"/>
  <c r="C2158" i="6"/>
  <c r="B2158" i="6"/>
  <c r="C2157" i="6"/>
  <c r="B2157" i="6"/>
  <c r="C2156" i="6"/>
  <c r="B2156" i="6"/>
  <c r="C2155" i="6"/>
  <c r="B2155" i="6"/>
  <c r="C2154" i="6"/>
  <c r="B2154" i="6"/>
  <c r="C2153" i="6"/>
  <c r="B2153" i="6"/>
  <c r="C2152" i="6"/>
  <c r="B2152" i="6"/>
  <c r="C2151" i="6"/>
  <c r="B2151" i="6"/>
  <c r="C2150" i="6"/>
  <c r="B2150" i="6"/>
  <c r="C2149" i="6"/>
  <c r="B2149" i="6"/>
  <c r="C2148" i="6"/>
  <c r="B2148" i="6"/>
  <c r="C2147" i="6"/>
  <c r="B2147" i="6"/>
  <c r="C2146" i="6"/>
  <c r="B2146" i="6"/>
  <c r="C2145" i="6"/>
  <c r="B2145" i="6"/>
  <c r="C2144" i="6"/>
  <c r="B2144" i="6"/>
  <c r="C2143" i="6"/>
  <c r="B2143" i="6"/>
  <c r="C2142" i="6"/>
  <c r="B2142" i="6"/>
  <c r="C2140" i="6"/>
  <c r="B2140" i="6"/>
  <c r="C2138" i="6"/>
  <c r="B2138" i="6"/>
  <c r="C2137" i="6"/>
  <c r="B2137" i="6"/>
  <c r="C2136" i="6"/>
  <c r="B2136" i="6"/>
  <c r="C2135" i="6"/>
  <c r="B2135" i="6"/>
  <c r="C2134" i="6"/>
  <c r="B2134" i="6"/>
  <c r="C2132" i="6"/>
  <c r="B2132" i="6"/>
  <c r="C2131" i="6"/>
  <c r="B2131" i="6"/>
  <c r="C2130" i="6"/>
  <c r="B2130" i="6"/>
  <c r="C2128" i="6"/>
  <c r="B2128" i="6"/>
  <c r="C2127" i="6"/>
  <c r="B2127" i="6"/>
  <c r="C2126" i="6"/>
  <c r="B2126" i="6"/>
  <c r="C2124" i="6"/>
  <c r="B2124" i="6"/>
  <c r="C2123" i="6"/>
  <c r="B2123" i="6"/>
  <c r="C2121" i="6"/>
  <c r="B2121" i="6"/>
  <c r="C2120" i="6"/>
  <c r="B2120" i="6"/>
  <c r="C2118" i="6"/>
  <c r="B2118" i="6"/>
  <c r="C2116" i="6"/>
  <c r="B2116" i="6"/>
  <c r="C2115" i="6"/>
  <c r="B2115" i="6"/>
  <c r="C2113" i="6"/>
  <c r="B2113" i="6"/>
  <c r="C2111" i="6"/>
  <c r="B2111" i="6"/>
  <c r="C2110" i="6"/>
  <c r="B2110" i="6"/>
  <c r="C2109" i="6"/>
  <c r="B2109" i="6"/>
  <c r="C2107" i="6"/>
  <c r="B2107" i="6"/>
  <c r="C2105" i="6"/>
  <c r="B2105" i="6"/>
  <c r="C2104" i="6"/>
  <c r="B2104" i="6"/>
  <c r="C2102" i="6"/>
  <c r="B2102" i="6"/>
  <c r="C2100" i="6"/>
  <c r="B2100" i="6"/>
  <c r="C2098" i="6"/>
  <c r="B2098" i="6"/>
  <c r="C2096" i="6"/>
  <c r="B2096" i="6"/>
  <c r="C2095" i="6"/>
  <c r="B2095" i="6"/>
  <c r="C2094" i="6"/>
  <c r="B2094" i="6"/>
  <c r="C2091" i="6"/>
  <c r="B2091" i="6"/>
  <c r="C2380" i="6"/>
  <c r="B2380" i="6"/>
  <c r="C2378" i="6"/>
  <c r="B2378" i="6"/>
  <c r="I2377" i="6"/>
  <c r="H2377" i="6"/>
  <c r="C2377" i="6"/>
  <c r="B2377" i="6"/>
  <c r="I2376" i="6"/>
  <c r="H2376" i="6"/>
  <c r="C2376" i="6"/>
  <c r="B2376" i="6"/>
  <c r="I2375" i="6"/>
  <c r="H2375" i="6"/>
  <c r="C2375" i="6"/>
  <c r="B2375" i="6"/>
  <c r="C2373" i="6"/>
  <c r="B2373" i="6"/>
  <c r="C2372" i="6"/>
  <c r="B2372" i="6"/>
  <c r="C2370" i="6"/>
  <c r="B2370" i="6"/>
  <c r="I2369" i="6"/>
  <c r="H2369" i="6"/>
  <c r="C2369" i="6"/>
  <c r="B2369" i="6"/>
  <c r="I2368" i="6"/>
  <c r="H2368" i="6"/>
  <c r="C2368" i="6"/>
  <c r="B2368" i="6"/>
  <c r="I2367" i="6"/>
  <c r="H2367" i="6"/>
  <c r="C2367" i="6"/>
  <c r="B2367" i="6"/>
  <c r="I2366" i="6"/>
  <c r="H2366" i="6"/>
  <c r="C2366" i="6"/>
  <c r="B2366" i="6"/>
  <c r="I2365" i="6"/>
  <c r="H2365" i="6"/>
  <c r="C2365" i="6"/>
  <c r="B2365" i="6"/>
  <c r="I2364" i="6"/>
  <c r="H2364" i="6"/>
  <c r="C2364" i="6"/>
  <c r="B2364" i="6"/>
  <c r="I2363" i="6"/>
  <c r="H2363" i="6"/>
  <c r="C2363" i="6"/>
  <c r="B2363" i="6"/>
  <c r="I2362" i="6"/>
  <c r="H2362" i="6"/>
  <c r="C2362" i="6"/>
  <c r="B2362" i="6"/>
  <c r="C2361" i="6"/>
  <c r="B2361" i="6"/>
  <c r="I2360" i="6"/>
  <c r="H2360" i="6"/>
  <c r="C2360" i="6"/>
  <c r="B2360" i="6"/>
  <c r="I2359" i="6"/>
  <c r="H2359" i="6"/>
  <c r="C2359" i="6"/>
  <c r="B2359" i="6"/>
  <c r="C2358" i="6"/>
  <c r="B2358" i="6"/>
  <c r="C2357" i="6"/>
  <c r="B2357" i="6"/>
  <c r="C2356" i="6"/>
  <c r="B2356" i="6"/>
  <c r="C2355" i="6"/>
  <c r="B2355" i="6"/>
  <c r="I2354" i="6"/>
  <c r="H2354" i="6"/>
  <c r="C2354" i="6"/>
  <c r="B2354" i="6"/>
  <c r="C2353" i="6"/>
  <c r="B2353" i="6"/>
  <c r="C2352" i="6"/>
  <c r="B2352" i="6"/>
  <c r="I2351" i="6"/>
  <c r="H2351" i="6"/>
  <c r="C2351" i="6"/>
  <c r="B2351" i="6"/>
  <c r="I2349" i="6"/>
  <c r="H2349" i="6"/>
  <c r="C2349" i="6"/>
  <c r="B2349" i="6"/>
  <c r="I2348" i="6"/>
  <c r="H2348" i="6"/>
  <c r="C2348" i="6"/>
  <c r="B2348" i="6"/>
  <c r="C2346" i="6"/>
  <c r="B2346" i="6"/>
  <c r="I2343" i="6"/>
  <c r="H2343" i="6"/>
  <c r="C2343" i="6"/>
  <c r="B2343" i="6"/>
  <c r="I2342" i="6"/>
  <c r="H2342" i="6"/>
  <c r="C2342" i="6"/>
  <c r="B2342" i="6"/>
  <c r="I2341" i="6"/>
  <c r="H2341" i="6"/>
  <c r="C2341" i="6"/>
  <c r="B2341" i="6"/>
  <c r="I2340" i="6"/>
  <c r="H2340" i="6"/>
  <c r="C2340" i="6"/>
  <c r="B2340" i="6"/>
  <c r="I2339" i="6"/>
  <c r="H2339" i="6"/>
  <c r="C2339" i="6"/>
  <c r="B2339" i="6"/>
  <c r="I2338" i="6"/>
  <c r="H2338" i="6"/>
  <c r="C2338" i="6"/>
  <c r="B2338" i="6"/>
  <c r="I2337" i="6"/>
  <c r="H2337" i="6"/>
  <c r="C2337" i="6"/>
  <c r="B2337" i="6"/>
  <c r="I2336" i="6"/>
  <c r="H2336" i="6"/>
  <c r="C2336" i="6"/>
  <c r="B2336" i="6"/>
  <c r="I2335" i="6"/>
  <c r="H2335" i="6"/>
  <c r="C2335" i="6"/>
  <c r="B2335" i="6"/>
  <c r="I2334" i="6"/>
  <c r="H2334" i="6"/>
  <c r="C2334" i="6"/>
  <c r="B2334" i="6"/>
  <c r="I2333" i="6"/>
  <c r="H2333" i="6"/>
  <c r="C2333" i="6"/>
  <c r="B2333" i="6"/>
  <c r="I2332" i="6"/>
  <c r="H2332" i="6"/>
  <c r="C2332" i="6"/>
  <c r="B2332" i="6"/>
  <c r="I2331" i="6"/>
  <c r="H2331" i="6"/>
  <c r="C2331" i="6"/>
  <c r="B2331" i="6"/>
  <c r="I2330" i="6"/>
  <c r="H2330" i="6"/>
  <c r="C2330" i="6"/>
  <c r="B2330" i="6"/>
  <c r="I2329" i="6"/>
  <c r="H2329" i="6"/>
  <c r="C2329" i="6"/>
  <c r="B2329" i="6"/>
  <c r="I2328" i="6"/>
  <c r="H2328" i="6"/>
  <c r="C2328" i="6"/>
  <c r="B2328" i="6"/>
  <c r="I2327" i="6"/>
  <c r="H2327" i="6"/>
  <c r="C2327" i="6"/>
  <c r="B2327" i="6"/>
  <c r="I2326" i="6"/>
  <c r="H2326" i="6"/>
  <c r="C2326" i="6"/>
  <c r="B2326" i="6"/>
  <c r="C2325" i="6"/>
  <c r="B2325" i="6"/>
  <c r="I2324" i="6"/>
  <c r="H2324" i="6"/>
  <c r="C2324" i="6"/>
  <c r="B2324" i="6"/>
  <c r="C2322" i="6"/>
  <c r="B2322" i="6"/>
  <c r="C2320" i="6"/>
  <c r="B2320" i="6"/>
  <c r="C2318" i="6"/>
  <c r="B2318" i="6"/>
  <c r="C2317" i="6"/>
  <c r="B2317" i="6"/>
  <c r="C2316" i="6"/>
  <c r="B2316" i="6"/>
  <c r="C2315" i="6"/>
  <c r="B2315" i="6"/>
  <c r="I2313" i="6"/>
  <c r="H2313" i="6"/>
  <c r="C2313" i="6"/>
  <c r="B2313" i="6"/>
  <c r="I2312" i="6"/>
  <c r="H2312" i="6"/>
  <c r="C2312" i="6"/>
  <c r="B2312" i="6"/>
  <c r="I2311" i="6"/>
  <c r="H2311" i="6"/>
  <c r="C2311" i="6"/>
  <c r="B2311" i="6"/>
  <c r="I2310" i="6"/>
  <c r="H2310" i="6"/>
  <c r="C2310" i="6"/>
  <c r="B2310" i="6"/>
  <c r="C2309" i="6"/>
  <c r="B2309" i="6"/>
  <c r="C2308" i="6"/>
  <c r="B2308" i="6"/>
  <c r="I2307" i="6"/>
  <c r="H2307" i="6"/>
  <c r="C2307" i="6"/>
  <c r="B2307" i="6"/>
  <c r="I2306" i="6"/>
  <c r="H2306" i="6"/>
  <c r="C2306" i="6"/>
  <c r="B2306" i="6"/>
  <c r="C2305" i="6"/>
  <c r="B2305" i="6"/>
  <c r="C2304" i="6"/>
  <c r="B2304" i="6"/>
  <c r="I2302" i="6"/>
  <c r="H2302" i="6"/>
  <c r="C2302" i="6"/>
  <c r="B2302" i="6"/>
  <c r="C2301" i="6"/>
  <c r="B2301" i="6"/>
  <c r="I2299" i="6"/>
  <c r="H2299" i="6"/>
  <c r="C2299" i="6"/>
  <c r="B2299" i="6"/>
  <c r="C2298" i="6"/>
  <c r="B2298" i="6"/>
  <c r="I2297" i="6"/>
  <c r="H2297" i="6"/>
  <c r="C2297" i="6"/>
  <c r="B2297" i="6"/>
  <c r="I2296" i="6"/>
  <c r="H2296" i="6"/>
  <c r="C2296" i="6"/>
  <c r="B2296" i="6"/>
  <c r="I2295" i="6"/>
  <c r="H2295" i="6"/>
  <c r="C2295" i="6"/>
  <c r="B2295" i="6"/>
  <c r="I2294" i="6"/>
  <c r="H2294" i="6"/>
  <c r="C2294" i="6"/>
  <c r="B2294" i="6"/>
  <c r="I2292" i="6"/>
  <c r="H2292" i="6"/>
  <c r="C2292" i="6"/>
  <c r="B2292" i="6"/>
  <c r="I2291" i="6"/>
  <c r="H2291" i="6"/>
  <c r="C2291" i="6"/>
  <c r="B2291" i="6"/>
  <c r="I2290" i="6"/>
  <c r="H2290" i="6"/>
  <c r="C2290" i="6"/>
  <c r="B2290" i="6"/>
  <c r="I2289" i="6"/>
  <c r="H2289" i="6"/>
  <c r="C2289" i="6"/>
  <c r="B2289" i="6"/>
  <c r="I2288" i="6"/>
  <c r="H2288" i="6"/>
  <c r="C2288" i="6"/>
  <c r="B2288" i="6"/>
  <c r="I2287" i="6"/>
  <c r="H2287" i="6"/>
  <c r="C2287" i="6"/>
  <c r="B2287" i="6"/>
  <c r="I2429" i="6"/>
  <c r="H2429" i="6"/>
  <c r="C2429" i="6"/>
  <c r="B2429" i="6"/>
  <c r="I2428" i="6"/>
  <c r="H2428" i="6"/>
  <c r="C2428" i="6"/>
  <c r="B2428" i="6"/>
  <c r="C2427" i="6"/>
  <c r="B2427" i="6"/>
  <c r="C2426" i="6"/>
  <c r="B2426" i="6"/>
  <c r="I2425" i="6"/>
  <c r="H2425" i="6"/>
  <c r="C2425" i="6"/>
  <c r="B2425" i="6"/>
  <c r="I2424" i="6"/>
  <c r="H2424" i="6"/>
  <c r="C2424" i="6"/>
  <c r="B2424" i="6"/>
  <c r="C2423" i="6"/>
  <c r="B2423" i="6"/>
  <c r="I2422" i="6"/>
  <c r="H2422" i="6"/>
  <c r="C2422" i="6"/>
  <c r="B2422" i="6"/>
  <c r="I2421" i="6"/>
  <c r="H2421" i="6"/>
  <c r="C2421" i="6"/>
  <c r="B2421" i="6"/>
  <c r="C2420" i="6"/>
  <c r="B2420" i="6"/>
  <c r="I2418" i="6"/>
  <c r="H2418" i="6"/>
  <c r="C2418" i="6"/>
  <c r="B2418" i="6"/>
  <c r="C2416" i="6"/>
  <c r="B2416" i="6"/>
  <c r="C2413" i="6"/>
  <c r="B2413" i="6"/>
  <c r="C2412" i="6"/>
  <c r="B2412" i="6"/>
  <c r="I2411" i="6"/>
  <c r="H2411" i="6"/>
  <c r="C2411" i="6"/>
  <c r="B2411" i="6"/>
  <c r="I2410" i="6"/>
  <c r="H2410" i="6"/>
  <c r="C2410" i="6"/>
  <c r="B2410" i="6"/>
  <c r="I2408" i="6"/>
  <c r="H2408" i="6"/>
  <c r="C2408" i="6"/>
  <c r="B2408" i="6"/>
  <c r="I2407" i="6"/>
  <c r="H2407" i="6"/>
  <c r="C2407" i="6"/>
  <c r="B2407" i="6"/>
  <c r="C2406" i="6"/>
  <c r="B2406" i="6"/>
  <c r="C2405" i="6"/>
  <c r="B2405" i="6"/>
  <c r="C2403" i="6"/>
  <c r="B2403" i="6"/>
  <c r="I2402" i="6"/>
  <c r="H2402" i="6"/>
  <c r="C2402" i="6"/>
  <c r="B2402" i="6"/>
  <c r="C2401" i="6"/>
  <c r="B2401" i="6"/>
  <c r="C2400" i="6"/>
  <c r="B2400" i="6"/>
  <c r="I2399" i="6"/>
  <c r="H2399" i="6"/>
  <c r="C2399" i="6"/>
  <c r="B2399" i="6"/>
  <c r="C2398" i="6"/>
  <c r="B2398" i="6"/>
  <c r="C2397" i="6"/>
  <c r="B2397" i="6"/>
  <c r="C2395" i="6"/>
  <c r="B2395" i="6"/>
  <c r="C2393" i="6"/>
  <c r="B2393" i="6"/>
  <c r="I2392" i="6"/>
  <c r="H2392" i="6"/>
  <c r="C2392" i="6"/>
  <c r="B2392" i="6"/>
  <c r="I2391" i="6"/>
  <c r="H2391" i="6"/>
  <c r="C2391" i="6"/>
  <c r="B2391" i="6"/>
  <c r="I2390" i="6"/>
  <c r="H2390" i="6"/>
  <c r="C2390" i="6"/>
  <c r="B2390" i="6"/>
  <c r="I2389" i="6"/>
  <c r="H2389" i="6"/>
  <c r="C2389" i="6"/>
  <c r="B2389" i="6"/>
  <c r="C2388" i="6"/>
  <c r="B2388" i="6"/>
  <c r="I2387" i="6"/>
  <c r="H2387" i="6"/>
  <c r="C2387" i="6"/>
  <c r="B2387" i="6"/>
  <c r="I2386" i="6"/>
  <c r="H2386" i="6"/>
  <c r="C2386" i="6"/>
  <c r="B2386" i="6"/>
  <c r="I2385" i="6"/>
  <c r="H2385" i="6"/>
  <c r="C2385" i="6"/>
  <c r="B2385" i="6"/>
  <c r="I2384" i="6"/>
  <c r="H2384" i="6"/>
  <c r="C2384" i="6"/>
  <c r="B2384" i="6"/>
  <c r="I2383" i="6"/>
  <c r="H2383" i="6"/>
  <c r="C2383" i="6"/>
  <c r="B2383" i="6"/>
  <c r="I2382" i="6"/>
  <c r="H2382" i="6"/>
  <c r="C2382" i="6"/>
  <c r="B2382" i="6"/>
  <c r="I2449" i="6"/>
  <c r="H2449" i="6"/>
  <c r="C2449" i="6"/>
  <c r="B2449" i="6"/>
  <c r="I2448" i="6"/>
  <c r="H2448" i="6"/>
  <c r="C2448" i="6"/>
  <c r="B2448" i="6"/>
  <c r="I2447" i="6"/>
  <c r="H2447" i="6"/>
  <c r="C2447" i="6"/>
  <c r="B2447" i="6"/>
  <c r="I2446" i="6"/>
  <c r="H2446" i="6"/>
  <c r="C2446" i="6"/>
  <c r="B2446" i="6"/>
  <c r="I2445" i="6"/>
  <c r="H2445" i="6"/>
  <c r="C2445" i="6"/>
  <c r="B2445" i="6"/>
  <c r="I2444" i="6"/>
  <c r="H2444" i="6"/>
  <c r="C2444" i="6"/>
  <c r="B2444" i="6"/>
  <c r="I2443" i="6"/>
  <c r="H2443" i="6"/>
  <c r="C2443" i="6"/>
  <c r="B2443" i="6"/>
  <c r="I2442" i="6"/>
  <c r="H2442" i="6"/>
  <c r="C2442" i="6"/>
  <c r="B2442" i="6"/>
  <c r="I2441" i="6"/>
  <c r="H2441" i="6"/>
  <c r="C2441" i="6"/>
  <c r="B2441" i="6"/>
  <c r="I2440" i="6"/>
  <c r="H2440" i="6"/>
  <c r="C2440" i="6"/>
  <c r="B2440" i="6"/>
  <c r="I2439" i="6"/>
  <c r="H2439" i="6"/>
  <c r="C2439" i="6"/>
  <c r="B2439" i="6"/>
  <c r="C2438" i="6"/>
  <c r="B2438" i="6"/>
  <c r="C2437" i="6"/>
  <c r="B2437" i="6"/>
  <c r="C2436" i="6"/>
  <c r="B2436" i="6"/>
  <c r="C2435" i="6"/>
  <c r="B2435" i="6"/>
  <c r="C2434" i="6"/>
  <c r="B2434" i="6"/>
  <c r="I2433" i="6"/>
  <c r="H2433" i="6"/>
  <c r="C2433" i="6"/>
  <c r="B2433" i="6"/>
  <c r="C2432" i="6"/>
  <c r="B2432" i="6"/>
  <c r="I2431" i="6"/>
  <c r="H2431" i="6"/>
  <c r="C2431" i="6"/>
  <c r="B2431" i="6"/>
  <c r="I2430" i="6"/>
  <c r="H2430" i="6"/>
  <c r="C2430" i="6"/>
  <c r="B2430" i="6"/>
  <c r="C2055" i="6"/>
  <c r="B2055" i="6"/>
  <c r="C2053" i="6"/>
  <c r="B2053" i="6"/>
  <c r="C2050" i="6"/>
  <c r="B2050" i="6"/>
  <c r="C2048" i="6"/>
  <c r="B2048" i="6"/>
  <c r="C2059" i="6"/>
  <c r="B2059" i="6"/>
  <c r="C2058" i="6"/>
  <c r="B2058" i="6"/>
  <c r="C2057" i="6"/>
  <c r="B2057" i="6"/>
  <c r="C2056" i="6"/>
  <c r="B2056" i="6"/>
  <c r="C2054" i="6"/>
  <c r="B2054" i="6"/>
  <c r="C2052" i="6"/>
  <c r="B2052" i="6"/>
  <c r="C2051" i="6"/>
  <c r="B2051" i="6"/>
  <c r="C2049" i="6"/>
  <c r="B2049" i="6"/>
  <c r="C2047" i="6"/>
  <c r="B2047" i="6"/>
  <c r="C2046" i="6"/>
  <c r="B2046" i="6"/>
  <c r="C2045" i="6"/>
  <c r="B2045" i="6"/>
  <c r="C2044" i="6"/>
  <c r="B2044" i="6"/>
  <c r="C2043" i="6"/>
  <c r="B2043" i="6"/>
  <c r="C2042" i="6"/>
  <c r="B2042" i="6"/>
  <c r="C2041" i="6"/>
  <c r="B2041" i="6"/>
  <c r="C2040" i="6"/>
  <c r="B2040" i="6"/>
  <c r="C2039" i="6"/>
  <c r="B2039" i="6"/>
  <c r="C2076" i="6"/>
  <c r="B2076" i="6"/>
  <c r="C2075" i="6"/>
  <c r="B2075" i="6"/>
  <c r="C2074" i="6"/>
  <c r="B2074" i="6"/>
  <c r="C2073" i="6"/>
  <c r="B2073" i="6"/>
  <c r="C2072" i="6"/>
  <c r="B2072" i="6"/>
  <c r="C2071" i="6"/>
  <c r="B2071" i="6"/>
  <c r="C2070" i="6"/>
  <c r="B2070" i="6"/>
  <c r="C2069" i="6"/>
  <c r="B2069" i="6"/>
  <c r="C2068" i="6"/>
  <c r="B2068" i="6"/>
  <c r="C2067" i="6"/>
  <c r="B2067" i="6"/>
  <c r="C2066" i="6"/>
  <c r="B2066" i="6"/>
  <c r="C2065" i="6"/>
  <c r="B2065" i="6"/>
  <c r="C2064" i="6"/>
  <c r="B2064" i="6"/>
  <c r="C2063" i="6"/>
  <c r="B2063" i="6"/>
  <c r="C2062" i="6"/>
  <c r="B2062" i="6"/>
  <c r="C2061" i="6"/>
  <c r="B2061" i="6"/>
  <c r="C2060" i="6"/>
  <c r="B2060" i="6"/>
  <c r="I2636" i="6"/>
  <c r="H2636" i="6"/>
  <c r="C2636" i="6"/>
  <c r="B2636" i="6"/>
  <c r="I2634" i="6"/>
  <c r="H2634" i="6"/>
  <c r="C2634" i="6"/>
  <c r="B2634" i="6"/>
  <c r="I2633" i="6"/>
  <c r="H2633" i="6"/>
  <c r="C2633" i="6"/>
  <c r="B2633" i="6"/>
  <c r="C2090" i="6"/>
  <c r="B2090" i="6"/>
  <c r="C2089" i="6"/>
  <c r="B2089" i="6"/>
  <c r="C2088" i="6"/>
  <c r="B2088" i="6"/>
  <c r="C2087" i="6"/>
  <c r="B2087" i="6"/>
  <c r="C2086" i="6"/>
  <c r="B2086" i="6"/>
  <c r="C2085" i="6"/>
  <c r="B2085" i="6"/>
  <c r="C2084" i="6"/>
  <c r="B2084" i="6"/>
  <c r="C2083" i="6"/>
  <c r="B2083" i="6"/>
  <c r="C2082" i="6"/>
  <c r="B2082" i="6"/>
  <c r="C2081" i="6"/>
  <c r="B2081" i="6"/>
  <c r="C2080" i="6"/>
  <c r="B2080" i="6"/>
  <c r="C2079" i="6"/>
  <c r="B2079" i="6"/>
  <c r="C2078" i="6"/>
  <c r="B2078" i="6"/>
  <c r="C2077" i="6"/>
  <c r="B2077" i="6"/>
  <c r="C1977" i="6"/>
  <c r="B1977" i="6"/>
  <c r="C1974" i="6"/>
  <c r="B1974" i="6"/>
  <c r="C1975" i="6"/>
  <c r="B1975" i="6"/>
  <c r="C1971" i="6"/>
  <c r="B1971" i="6"/>
  <c r="C1972" i="6"/>
  <c r="B1972" i="6"/>
  <c r="I1967" i="6"/>
  <c r="H1967" i="6"/>
  <c r="C1967" i="6"/>
  <c r="B1967" i="6"/>
  <c r="I1965" i="6"/>
  <c r="H1965" i="6"/>
  <c r="C1965" i="6"/>
  <c r="B1965" i="6"/>
  <c r="I1961" i="6"/>
  <c r="H1961" i="6"/>
  <c r="C1961" i="6"/>
  <c r="B1961" i="6"/>
  <c r="C1959" i="6"/>
  <c r="B1959" i="6"/>
  <c r="I1957" i="6"/>
  <c r="H1957" i="6"/>
  <c r="C1957" i="6"/>
  <c r="B1957" i="6"/>
  <c r="I1954" i="6"/>
  <c r="H1954" i="6"/>
  <c r="C1954" i="6"/>
  <c r="B1954" i="6"/>
  <c r="C1951" i="6"/>
  <c r="B1951" i="6"/>
  <c r="C1952" i="6"/>
  <c r="B1952" i="6"/>
  <c r="I1942" i="6"/>
  <c r="H1942" i="6"/>
  <c r="C1942" i="6"/>
  <c r="B1942" i="6"/>
  <c r="C1938" i="6"/>
  <c r="B1938" i="6"/>
  <c r="C1936" i="6"/>
  <c r="B1936" i="6"/>
  <c r="C1933" i="6"/>
  <c r="B1933" i="6"/>
  <c r="C1930" i="6"/>
  <c r="B1930" i="6"/>
  <c r="C1927" i="6"/>
  <c r="B1927" i="6"/>
  <c r="C1928" i="6"/>
  <c r="B1928" i="6"/>
  <c r="C1919" i="6"/>
  <c r="B1919" i="6"/>
  <c r="I1897" i="6"/>
  <c r="I1820" i="6"/>
  <c r="H1820" i="6"/>
  <c r="C1820" i="6"/>
  <c r="B1820" i="6"/>
  <c r="I1821" i="6"/>
  <c r="H1821" i="6"/>
  <c r="C1821" i="6"/>
  <c r="B1821" i="6"/>
  <c r="I1822" i="6"/>
  <c r="H1822" i="6"/>
  <c r="C1822" i="6"/>
  <c r="B1822" i="6"/>
  <c r="I1859" i="6"/>
  <c r="H1859" i="6"/>
  <c r="C1859" i="6"/>
  <c r="B1859" i="6"/>
  <c r="C1855" i="6"/>
  <c r="B1855" i="6"/>
  <c r="C1856" i="6"/>
  <c r="B1856" i="6"/>
  <c r="I1853" i="6"/>
  <c r="H1853" i="6"/>
  <c r="C1853" i="6"/>
  <c r="B1853" i="6"/>
  <c r="C1847" i="6"/>
  <c r="B1847" i="6"/>
  <c r="C1848" i="6"/>
  <c r="B1848" i="6"/>
  <c r="C1844" i="6"/>
  <c r="B1844" i="6"/>
  <c r="I1842" i="6"/>
  <c r="H1842" i="6"/>
  <c r="C1842" i="6"/>
  <c r="B1842" i="6"/>
  <c r="I1840" i="6"/>
  <c r="H1840" i="6"/>
  <c r="C1840" i="6"/>
  <c r="B1840" i="6"/>
  <c r="C1838" i="6"/>
  <c r="B1838" i="6"/>
  <c r="C1836" i="6"/>
  <c r="B1836" i="6"/>
  <c r="C1834" i="6"/>
  <c r="B1834" i="6"/>
  <c r="I1831" i="6"/>
  <c r="H1831" i="6"/>
  <c r="C1831" i="6"/>
  <c r="B1831" i="6"/>
  <c r="I1056" i="6"/>
  <c r="H1056" i="6"/>
  <c r="C1056" i="6"/>
  <c r="B1056" i="6"/>
  <c r="I1714" i="6"/>
  <c r="H1714" i="6"/>
  <c r="C1714" i="6"/>
  <c r="B1714" i="6"/>
  <c r="I1812" i="6"/>
  <c r="H1812" i="6"/>
  <c r="C1812" i="6"/>
  <c r="B1812" i="6"/>
  <c r="I1805" i="6"/>
  <c r="H1805" i="6"/>
  <c r="C1805" i="6"/>
  <c r="B1805" i="6"/>
  <c r="I1785" i="6"/>
  <c r="H1785" i="6"/>
  <c r="C1785" i="6"/>
  <c r="B1785" i="6"/>
  <c r="C1763" i="6"/>
  <c r="B1763" i="6"/>
  <c r="C1760" i="6"/>
  <c r="B1760" i="6"/>
  <c r="C1754" i="6"/>
  <c r="B1754" i="6"/>
  <c r="C1753" i="6"/>
  <c r="B1753" i="6"/>
  <c r="C1755" i="6"/>
  <c r="B1755" i="6"/>
  <c r="C1747" i="6"/>
  <c r="B1747" i="6"/>
  <c r="C1748" i="6"/>
  <c r="B1748" i="6"/>
  <c r="C1745" i="6"/>
  <c r="B1745" i="6"/>
  <c r="C1743" i="6"/>
  <c r="B1743" i="6"/>
  <c r="I1717" i="6"/>
  <c r="H1717" i="6"/>
  <c r="C1717" i="6"/>
  <c r="B1717" i="6"/>
  <c r="I1700" i="6"/>
  <c r="H1700" i="6"/>
  <c r="C1700" i="6"/>
  <c r="B1700" i="6"/>
  <c r="I1699" i="6"/>
  <c r="H1699" i="6"/>
  <c r="C1699" i="6"/>
  <c r="B1699" i="6"/>
  <c r="I1702" i="6"/>
  <c r="H1702" i="6"/>
  <c r="C1702" i="6"/>
  <c r="B1702" i="6"/>
  <c r="I1701" i="6"/>
  <c r="H1701" i="6"/>
  <c r="C1701" i="6"/>
  <c r="B1701" i="6"/>
  <c r="I1712" i="6"/>
  <c r="H1712" i="6"/>
  <c r="C1712" i="6"/>
  <c r="B1712" i="6"/>
  <c r="I1706" i="6"/>
  <c r="H1706" i="6"/>
  <c r="C1706" i="6"/>
  <c r="B1706" i="6"/>
  <c r="I1703" i="6"/>
  <c r="H1703" i="6"/>
  <c r="C1703" i="6"/>
  <c r="B1703" i="6"/>
  <c r="G51" i="41"/>
  <c r="G50" i="41"/>
  <c r="G49" i="41"/>
  <c r="G48" i="41"/>
  <c r="G47" i="41"/>
  <c r="G46" i="41"/>
  <c r="G45" i="41"/>
  <c r="G44" i="4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704" i="6"/>
  <c r="C1705" i="6"/>
  <c r="C1707" i="6"/>
  <c r="C1708" i="6"/>
  <c r="C1709" i="6"/>
  <c r="C1710" i="6"/>
  <c r="C1711" i="6"/>
  <c r="C1713" i="6"/>
  <c r="C1715" i="6"/>
  <c r="C1716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4" i="6"/>
  <c r="C1746" i="6"/>
  <c r="C1749" i="6"/>
  <c r="C1750" i="6"/>
  <c r="C1751" i="6"/>
  <c r="C1752" i="6"/>
  <c r="C1756" i="6"/>
  <c r="C1757" i="6"/>
  <c r="C1758" i="6"/>
  <c r="C1759" i="6"/>
  <c r="C1761" i="6"/>
  <c r="C1762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6" i="6"/>
  <c r="C1807" i="6"/>
  <c r="C1808" i="6"/>
  <c r="C1809" i="6"/>
  <c r="C1810" i="6"/>
  <c r="C1811" i="6"/>
  <c r="C1813" i="6"/>
  <c r="C1814" i="6"/>
  <c r="C1815" i="6"/>
  <c r="C1816" i="6"/>
  <c r="C1817" i="6"/>
  <c r="C1818" i="6"/>
  <c r="C1819" i="6"/>
  <c r="C1823" i="6"/>
  <c r="C1824" i="6"/>
  <c r="C1825" i="6"/>
  <c r="C1826" i="6"/>
  <c r="C1827" i="6"/>
  <c r="C1828" i="6"/>
  <c r="C1829" i="6"/>
  <c r="C1830" i="6"/>
  <c r="C1832" i="6"/>
  <c r="C1833" i="6"/>
  <c r="C1835" i="6"/>
  <c r="C1837" i="6"/>
  <c r="C1839" i="6"/>
  <c r="C1841" i="6"/>
  <c r="C1843" i="6"/>
  <c r="C1845" i="6"/>
  <c r="C1846" i="6"/>
  <c r="C1849" i="6"/>
  <c r="C1850" i="6"/>
  <c r="C1851" i="6"/>
  <c r="C1852" i="6"/>
  <c r="C1854" i="6"/>
  <c r="C1857" i="6"/>
  <c r="C1858" i="6"/>
  <c r="C1860" i="6"/>
  <c r="C1861" i="6"/>
  <c r="C1862" i="6"/>
  <c r="C1863" i="6"/>
  <c r="C1864" i="6"/>
  <c r="C1865" i="6"/>
  <c r="C1866" i="6"/>
  <c r="C1867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20" i="6"/>
  <c r="C1921" i="6"/>
  <c r="C1922" i="6"/>
  <c r="C1923" i="6"/>
  <c r="C1924" i="6"/>
  <c r="C1925" i="6"/>
  <c r="C1926" i="6"/>
  <c r="C1929" i="6"/>
  <c r="C1931" i="6"/>
  <c r="C1932" i="6"/>
  <c r="C1934" i="6"/>
  <c r="C1935" i="6"/>
  <c r="C1937" i="6"/>
  <c r="C1939" i="6"/>
  <c r="C1940" i="6"/>
  <c r="C1941" i="6"/>
  <c r="C1943" i="6"/>
  <c r="C1944" i="6"/>
  <c r="C1945" i="6"/>
  <c r="C1946" i="6"/>
  <c r="C1947" i="6"/>
  <c r="C1948" i="6"/>
  <c r="C1949" i="6"/>
  <c r="C1950" i="6"/>
  <c r="C1953" i="6"/>
  <c r="C1955" i="6"/>
  <c r="C1956" i="6"/>
  <c r="C1958" i="6"/>
  <c r="C1960" i="6"/>
  <c r="C1962" i="6"/>
  <c r="C1963" i="6"/>
  <c r="C1964" i="6"/>
  <c r="C1966" i="6"/>
  <c r="C1968" i="6"/>
  <c r="C1969" i="6"/>
  <c r="C1970" i="6"/>
  <c r="C1973" i="6"/>
  <c r="C1976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638" i="6"/>
  <c r="C2639" i="6"/>
  <c r="C2640" i="6"/>
  <c r="C2641" i="6"/>
  <c r="C4077" i="6"/>
  <c r="C4078" i="6"/>
  <c r="C4079" i="6"/>
  <c r="C4080" i="6"/>
  <c r="C5177" i="6"/>
  <c r="C5178" i="6"/>
  <c r="C5179" i="6"/>
  <c r="C5180" i="6"/>
  <c r="C5651" i="6"/>
  <c r="C5652" i="6"/>
  <c r="C5653" i="6"/>
  <c r="C3" i="6"/>
  <c r="I1697" i="6"/>
  <c r="H1697" i="6"/>
  <c r="B1697" i="6"/>
  <c r="B1695" i="6"/>
  <c r="B1692" i="6"/>
  <c r="B1693" i="6"/>
  <c r="I1690" i="6"/>
  <c r="H1690" i="6"/>
  <c r="B1690" i="6"/>
  <c r="B1683" i="6"/>
  <c r="B1685" i="6"/>
  <c r="B1684" i="6"/>
  <c r="B1686" i="6"/>
  <c r="B1673" i="6"/>
  <c r="B1675" i="6"/>
  <c r="B1674" i="6"/>
  <c r="B1676" i="6"/>
  <c r="B1669" i="6"/>
  <c r="B1667" i="6"/>
  <c r="B1665" i="6"/>
  <c r="B1663" i="6"/>
  <c r="I1660" i="6"/>
  <c r="H1660" i="6"/>
  <c r="B1660" i="6"/>
  <c r="B1658" i="6"/>
  <c r="I1655" i="6"/>
  <c r="H1655" i="6"/>
  <c r="B1655" i="6"/>
  <c r="B1634" i="6"/>
  <c r="I1632" i="6"/>
  <c r="H1632" i="6"/>
  <c r="B1632" i="6"/>
  <c r="I1627" i="6"/>
  <c r="H1627" i="6"/>
  <c r="B1627" i="6"/>
  <c r="I1629" i="6"/>
  <c r="H1629" i="6"/>
  <c r="B1629" i="6"/>
  <c r="I1628" i="6"/>
  <c r="H1628" i="6"/>
  <c r="B1628" i="6"/>
  <c r="I1630" i="6"/>
  <c r="H1630" i="6"/>
  <c r="B1630" i="6"/>
  <c r="B1622" i="6"/>
  <c r="B1617" i="6"/>
  <c r="B1610" i="6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P250" i="14" s="1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146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28" i="14"/>
  <c r="N327" i="14"/>
  <c r="N326" i="14"/>
  <c r="N325" i="14"/>
  <c r="N324" i="14"/>
  <c r="N323" i="14"/>
  <c r="N322" i="14"/>
  <c r="N618" i="14"/>
  <c r="N617" i="14"/>
  <c r="N329" i="14"/>
  <c r="I1448" i="6"/>
  <c r="H1448" i="6"/>
  <c r="B1448" i="6"/>
  <c r="I1458" i="6"/>
  <c r="H1458" i="6"/>
  <c r="B1458" i="6"/>
  <c r="I1457" i="6"/>
  <c r="H1457" i="6"/>
  <c r="B1457" i="6"/>
  <c r="I1456" i="6"/>
  <c r="H1456" i="6"/>
  <c r="B1456" i="6"/>
  <c r="I1455" i="6"/>
  <c r="H1455" i="6"/>
  <c r="B1455" i="6"/>
  <c r="I1454" i="6"/>
  <c r="H1454" i="6"/>
  <c r="B1454" i="6"/>
  <c r="I1453" i="6"/>
  <c r="H1453" i="6"/>
  <c r="B1453" i="6"/>
  <c r="I1452" i="6"/>
  <c r="H1452" i="6"/>
  <c r="B1452" i="6"/>
  <c r="I1451" i="6"/>
  <c r="H1451" i="6"/>
  <c r="B1451" i="6"/>
  <c r="I1450" i="6"/>
  <c r="H1450" i="6"/>
  <c r="B1450" i="6"/>
  <c r="I1449" i="6"/>
  <c r="H1449" i="6"/>
  <c r="B1449" i="6"/>
  <c r="I1468" i="6"/>
  <c r="H1468" i="6"/>
  <c r="B1468" i="6"/>
  <c r="I1467" i="6"/>
  <c r="H1467" i="6"/>
  <c r="B1467" i="6"/>
  <c r="I1466" i="6"/>
  <c r="H1466" i="6"/>
  <c r="B1466" i="6"/>
  <c r="I1465" i="6"/>
  <c r="H1465" i="6"/>
  <c r="B1465" i="6"/>
  <c r="I1464" i="6"/>
  <c r="H1464" i="6"/>
  <c r="B1464" i="6"/>
  <c r="I1463" i="6"/>
  <c r="H1463" i="6"/>
  <c r="B1463" i="6"/>
  <c r="I1462" i="6"/>
  <c r="H1462" i="6"/>
  <c r="B1462" i="6"/>
  <c r="I1461" i="6"/>
  <c r="H1461" i="6"/>
  <c r="B1461" i="6"/>
  <c r="I1460" i="6"/>
  <c r="H1460" i="6"/>
  <c r="B1460" i="6"/>
  <c r="I1459" i="6"/>
  <c r="H1459" i="6"/>
  <c r="B1459" i="6"/>
  <c r="I1469" i="6"/>
  <c r="H1469" i="6"/>
  <c r="B1469" i="6"/>
  <c r="I1470" i="6"/>
  <c r="H1470" i="6"/>
  <c r="B1470" i="6"/>
  <c r="I1471" i="6"/>
  <c r="H1471" i="6"/>
  <c r="B1471" i="6"/>
  <c r="I1472" i="6"/>
  <c r="H1472" i="6"/>
  <c r="B1472" i="6"/>
  <c r="I1473" i="6"/>
  <c r="H1473" i="6"/>
  <c r="B1473" i="6"/>
  <c r="I1474" i="6"/>
  <c r="H1474" i="6"/>
  <c r="B1474" i="6"/>
  <c r="I1475" i="6"/>
  <c r="H1475" i="6"/>
  <c r="B1475" i="6"/>
  <c r="I1476" i="6"/>
  <c r="H1476" i="6"/>
  <c r="B1476" i="6"/>
  <c r="I1477" i="6"/>
  <c r="H1477" i="6"/>
  <c r="B1477" i="6"/>
  <c r="B1582" i="6"/>
  <c r="B1580" i="6"/>
  <c r="I1577" i="6"/>
  <c r="H1577" i="6"/>
  <c r="B1577" i="6"/>
  <c r="B1571" i="6"/>
  <c r="B1572" i="6"/>
  <c r="I1561" i="6"/>
  <c r="H1561" i="6"/>
  <c r="B1561" i="6"/>
  <c r="B1558" i="6"/>
  <c r="B1559" i="6"/>
  <c r="B1555" i="6"/>
  <c r="B1556" i="6"/>
  <c r="B1552" i="6"/>
  <c r="B1553" i="6"/>
  <c r="I1550" i="6"/>
  <c r="H1550" i="6"/>
  <c r="B1550" i="6"/>
  <c r="B1544" i="6"/>
  <c r="B1531" i="6"/>
  <c r="B1530" i="6"/>
  <c r="B1532" i="6"/>
  <c r="B1516" i="6"/>
  <c r="R2" i="6"/>
  <c r="I1170" i="6"/>
  <c r="H1170" i="6"/>
  <c r="B1170" i="6"/>
  <c r="I1346" i="6"/>
  <c r="I1345" i="6"/>
  <c r="I1343" i="6"/>
  <c r="I1342" i="6"/>
  <c r="I1341" i="6"/>
  <c r="I1340" i="6"/>
  <c r="I1339" i="6"/>
  <c r="I1197" i="6"/>
  <c r="I1196" i="6"/>
  <c r="I940" i="6"/>
  <c r="I939" i="6"/>
  <c r="I938" i="6"/>
  <c r="I937" i="6"/>
  <c r="I936" i="6"/>
  <c r="I933" i="6"/>
  <c r="I932" i="6"/>
  <c r="I778" i="6"/>
  <c r="B1495" i="6"/>
  <c r="B1493" i="6"/>
  <c r="B1490" i="6"/>
  <c r="B1445" i="6"/>
  <c r="I1566" i="6"/>
  <c r="H1566" i="6"/>
  <c r="B1566" i="6"/>
  <c r="I1565" i="6"/>
  <c r="H1565" i="6"/>
  <c r="B1565" i="6"/>
  <c r="I1564" i="6"/>
  <c r="H1564" i="6"/>
  <c r="B1564" i="6"/>
  <c r="B1563" i="6"/>
  <c r="I1562" i="6"/>
  <c r="H1562" i="6"/>
  <c r="B1562" i="6"/>
  <c r="B1560" i="6"/>
  <c r="B1557" i="6"/>
  <c r="B1554" i="6"/>
  <c r="I1551" i="6"/>
  <c r="H1551" i="6"/>
  <c r="B1551" i="6"/>
  <c r="I1549" i="6"/>
  <c r="H1549" i="6"/>
  <c r="B1549" i="6"/>
  <c r="I1548" i="6"/>
  <c r="H1548" i="6"/>
  <c r="B1548" i="6"/>
  <c r="I1547" i="6"/>
  <c r="H1547" i="6"/>
  <c r="B1547" i="6"/>
  <c r="I1546" i="6"/>
  <c r="H1546" i="6"/>
  <c r="B1546" i="6"/>
  <c r="B1545" i="6"/>
  <c r="B1543" i="6"/>
  <c r="I1542" i="6"/>
  <c r="H1542" i="6"/>
  <c r="B1542" i="6"/>
  <c r="I1541" i="6"/>
  <c r="H1541" i="6"/>
  <c r="B1541" i="6"/>
  <c r="I1540" i="6"/>
  <c r="H1540" i="6"/>
  <c r="B1540" i="6"/>
  <c r="I1539" i="6"/>
  <c r="H1539" i="6"/>
  <c r="B1539" i="6"/>
  <c r="I1538" i="6"/>
  <c r="H1538" i="6"/>
  <c r="B1538" i="6"/>
  <c r="I1537" i="6"/>
  <c r="H1537" i="6"/>
  <c r="B1537" i="6"/>
  <c r="I1536" i="6"/>
  <c r="H1536" i="6"/>
  <c r="B1536" i="6"/>
  <c r="I1535" i="6"/>
  <c r="H1535" i="6"/>
  <c r="B1535" i="6"/>
  <c r="I1534" i="6"/>
  <c r="H1534" i="6"/>
  <c r="B1534" i="6"/>
  <c r="B1533" i="6"/>
  <c r="I1529" i="6"/>
  <c r="H1529" i="6"/>
  <c r="B1529" i="6"/>
  <c r="I1528" i="6"/>
  <c r="H1528" i="6"/>
  <c r="B1528" i="6"/>
  <c r="I1527" i="6"/>
  <c r="H1527" i="6"/>
  <c r="B1527" i="6"/>
  <c r="I1526" i="6"/>
  <c r="H1526" i="6"/>
  <c r="B1526" i="6"/>
  <c r="I1525" i="6"/>
  <c r="H1525" i="6"/>
  <c r="B1525" i="6"/>
  <c r="I1524" i="6"/>
  <c r="H1524" i="6"/>
  <c r="B1524" i="6"/>
  <c r="I1523" i="6"/>
  <c r="H1523" i="6"/>
  <c r="B1523" i="6"/>
  <c r="B1522" i="6"/>
  <c r="B1521" i="6"/>
  <c r="I1520" i="6"/>
  <c r="H1520" i="6"/>
  <c r="B1520" i="6"/>
  <c r="I1519" i="6"/>
  <c r="H1519" i="6"/>
  <c r="B1519" i="6"/>
  <c r="I1518" i="6"/>
  <c r="H1518" i="6"/>
  <c r="B1518" i="6"/>
  <c r="B1517" i="6"/>
  <c r="B1515" i="6"/>
  <c r="B1514" i="6"/>
  <c r="B1513" i="6"/>
  <c r="I1512" i="6"/>
  <c r="H1512" i="6"/>
  <c r="B1512" i="6"/>
  <c r="I1511" i="6"/>
  <c r="H1511" i="6"/>
  <c r="B1511" i="6"/>
  <c r="I1510" i="6"/>
  <c r="H1510" i="6"/>
  <c r="B1510" i="6"/>
  <c r="I1509" i="6"/>
  <c r="H1509" i="6"/>
  <c r="B1509" i="6"/>
  <c r="I1508" i="6"/>
  <c r="H1508" i="6"/>
  <c r="B1508" i="6"/>
  <c r="I1507" i="6"/>
  <c r="H1507" i="6"/>
  <c r="B1507" i="6"/>
  <c r="I1506" i="6"/>
  <c r="H1506" i="6"/>
  <c r="B1506" i="6"/>
  <c r="I1505" i="6"/>
  <c r="H1505" i="6"/>
  <c r="B1505" i="6"/>
  <c r="I1504" i="6"/>
  <c r="H1504" i="6"/>
  <c r="B1504" i="6"/>
  <c r="I1503" i="6"/>
  <c r="H1503" i="6"/>
  <c r="B1503" i="6"/>
  <c r="I1502" i="6"/>
  <c r="H1502" i="6"/>
  <c r="B1502" i="6"/>
  <c r="I1501" i="6"/>
  <c r="H1501" i="6"/>
  <c r="B1501" i="6"/>
  <c r="I1500" i="6"/>
  <c r="H1500" i="6"/>
  <c r="B1500" i="6"/>
  <c r="I1499" i="6"/>
  <c r="H1499" i="6"/>
  <c r="B1499" i="6"/>
  <c r="I1498" i="6"/>
  <c r="H1498" i="6"/>
  <c r="B1498" i="6"/>
  <c r="I1497" i="6"/>
  <c r="H1497" i="6"/>
  <c r="B1497" i="6"/>
  <c r="B1496" i="6"/>
  <c r="B1494" i="6"/>
  <c r="I1492" i="6"/>
  <c r="H1492" i="6"/>
  <c r="B1492" i="6"/>
  <c r="B1491" i="6"/>
  <c r="B1489" i="6"/>
  <c r="I1488" i="6"/>
  <c r="H1488" i="6"/>
  <c r="B1488" i="6"/>
  <c r="B1487" i="6"/>
  <c r="I1486" i="6"/>
  <c r="H1486" i="6"/>
  <c r="B1486" i="6"/>
  <c r="I1485" i="6"/>
  <c r="H1485" i="6"/>
  <c r="B1485" i="6"/>
  <c r="I1484" i="6"/>
  <c r="H1484" i="6"/>
  <c r="B1484" i="6"/>
  <c r="I1483" i="6"/>
  <c r="H1483" i="6"/>
  <c r="B1483" i="6"/>
  <c r="I1482" i="6"/>
  <c r="H1482" i="6"/>
  <c r="B1482" i="6"/>
  <c r="B1481" i="6"/>
  <c r="I1480" i="6"/>
  <c r="H1480" i="6"/>
  <c r="B1480" i="6"/>
  <c r="I1479" i="6"/>
  <c r="H1479" i="6"/>
  <c r="B1479" i="6"/>
  <c r="I1478" i="6"/>
  <c r="H1478" i="6"/>
  <c r="B1478" i="6"/>
  <c r="B1447" i="6"/>
  <c r="B1446" i="6"/>
  <c r="I1444" i="6"/>
  <c r="H1444" i="6"/>
  <c r="B1444" i="6"/>
  <c r="I1443" i="6"/>
  <c r="H1443" i="6"/>
  <c r="B1443" i="6"/>
  <c r="B1659" i="6"/>
  <c r="B1657" i="6"/>
  <c r="I1656" i="6"/>
  <c r="H1656" i="6"/>
  <c r="B1656" i="6"/>
  <c r="I1654" i="6"/>
  <c r="H1654" i="6"/>
  <c r="B1654" i="6"/>
  <c r="I1653" i="6"/>
  <c r="H1653" i="6"/>
  <c r="B1653" i="6"/>
  <c r="I1652" i="6"/>
  <c r="H1652" i="6"/>
  <c r="B1652" i="6"/>
  <c r="I1651" i="6"/>
  <c r="H1651" i="6"/>
  <c r="B1651" i="6"/>
  <c r="I1650" i="6"/>
  <c r="H1650" i="6"/>
  <c r="B1650" i="6"/>
  <c r="I1649" i="6"/>
  <c r="H1649" i="6"/>
  <c r="B1649" i="6"/>
  <c r="I1648" i="6"/>
  <c r="H1648" i="6"/>
  <c r="B1648" i="6"/>
  <c r="I1647" i="6"/>
  <c r="H1647" i="6"/>
  <c r="B1647" i="6"/>
  <c r="I1646" i="6"/>
  <c r="H1646" i="6"/>
  <c r="B1646" i="6"/>
  <c r="I1645" i="6"/>
  <c r="H1645" i="6"/>
  <c r="B1645" i="6"/>
  <c r="I1644" i="6"/>
  <c r="H1644" i="6"/>
  <c r="B1644" i="6"/>
  <c r="I1643" i="6"/>
  <c r="H1643" i="6"/>
  <c r="B1643" i="6"/>
  <c r="I1642" i="6"/>
  <c r="H1642" i="6"/>
  <c r="B1642" i="6"/>
  <c r="I1641" i="6"/>
  <c r="H1641" i="6"/>
  <c r="B1641" i="6"/>
  <c r="I1640" i="6"/>
  <c r="H1640" i="6"/>
  <c r="B1640" i="6"/>
  <c r="I1639" i="6"/>
  <c r="H1639" i="6"/>
  <c r="B1639" i="6"/>
  <c r="B1638" i="6"/>
  <c r="I1637" i="6"/>
  <c r="H1637" i="6"/>
  <c r="B1637" i="6"/>
  <c r="I1636" i="6"/>
  <c r="H1636" i="6"/>
  <c r="B1636" i="6"/>
  <c r="B1635" i="6"/>
  <c r="I1633" i="6"/>
  <c r="H1633" i="6"/>
  <c r="B1633" i="6"/>
  <c r="I1631" i="6"/>
  <c r="H1631" i="6"/>
  <c r="B1631" i="6"/>
  <c r="B1626" i="6"/>
  <c r="I1625" i="6"/>
  <c r="H1625" i="6"/>
  <c r="B1625" i="6"/>
  <c r="I1624" i="6"/>
  <c r="H1624" i="6"/>
  <c r="B1624" i="6"/>
  <c r="B1623" i="6"/>
  <c r="I1621" i="6"/>
  <c r="H1621" i="6"/>
  <c r="B1621" i="6"/>
  <c r="B1620" i="6"/>
  <c r="I1619" i="6"/>
  <c r="H1619" i="6"/>
  <c r="B1619" i="6"/>
  <c r="B1618" i="6"/>
  <c r="B1616" i="6"/>
  <c r="I1615" i="6"/>
  <c r="H1615" i="6"/>
  <c r="B1615" i="6"/>
  <c r="I1614" i="6"/>
  <c r="H1614" i="6"/>
  <c r="B1614" i="6"/>
  <c r="B1613" i="6"/>
  <c r="I1612" i="6"/>
  <c r="H1612" i="6"/>
  <c r="B1612" i="6"/>
  <c r="B1611" i="6"/>
  <c r="I1609" i="6"/>
  <c r="H1609" i="6"/>
  <c r="B1609" i="6"/>
  <c r="I1608" i="6"/>
  <c r="H1608" i="6"/>
  <c r="B1608" i="6"/>
  <c r="I1607" i="6"/>
  <c r="H1607" i="6"/>
  <c r="B1607" i="6"/>
  <c r="I1606" i="6"/>
  <c r="H1606" i="6"/>
  <c r="B1606" i="6"/>
  <c r="I1605" i="6"/>
  <c r="H1605" i="6"/>
  <c r="B1605" i="6"/>
  <c r="I1604" i="6"/>
  <c r="H1604" i="6"/>
  <c r="B1604" i="6"/>
  <c r="I1603" i="6"/>
  <c r="H1603" i="6"/>
  <c r="B1603" i="6"/>
  <c r="I1602" i="6"/>
  <c r="H1602" i="6"/>
  <c r="B1602" i="6"/>
  <c r="I1601" i="6"/>
  <c r="H1601" i="6"/>
  <c r="B1601" i="6"/>
  <c r="I1600" i="6"/>
  <c r="H1600" i="6"/>
  <c r="B1600" i="6"/>
  <c r="I1599" i="6"/>
  <c r="H1599" i="6"/>
  <c r="B1599" i="6"/>
  <c r="I1598" i="6"/>
  <c r="H1598" i="6"/>
  <c r="B1598" i="6"/>
  <c r="I1597" i="6"/>
  <c r="H1597" i="6"/>
  <c r="B1597" i="6"/>
  <c r="I1596" i="6"/>
  <c r="H1596" i="6"/>
  <c r="B1596" i="6"/>
  <c r="I1595" i="6"/>
  <c r="H1595" i="6"/>
  <c r="B1595" i="6"/>
  <c r="I1594" i="6"/>
  <c r="H1594" i="6"/>
  <c r="B1594" i="6"/>
  <c r="I1593" i="6"/>
  <c r="H1593" i="6"/>
  <c r="B1593" i="6"/>
  <c r="I1592" i="6"/>
  <c r="H1592" i="6"/>
  <c r="B1592" i="6"/>
  <c r="I1591" i="6"/>
  <c r="H1591" i="6"/>
  <c r="B1591" i="6"/>
  <c r="I1590" i="6"/>
  <c r="H1590" i="6"/>
  <c r="B1590" i="6"/>
  <c r="I1589" i="6"/>
  <c r="H1589" i="6"/>
  <c r="B1589" i="6"/>
  <c r="I1588" i="6"/>
  <c r="H1588" i="6"/>
  <c r="B1588" i="6"/>
  <c r="I1587" i="6"/>
  <c r="H1587" i="6"/>
  <c r="B1587" i="6"/>
  <c r="I1586" i="6"/>
  <c r="H1586" i="6"/>
  <c r="B1586" i="6"/>
  <c r="I1585" i="6"/>
  <c r="H1585" i="6"/>
  <c r="B1585" i="6"/>
  <c r="I1584" i="6"/>
  <c r="H1584" i="6"/>
  <c r="B1584" i="6"/>
  <c r="B1583" i="6"/>
  <c r="B1581" i="6"/>
  <c r="I1579" i="6"/>
  <c r="H1579" i="6"/>
  <c r="B1579" i="6"/>
  <c r="I1578" i="6"/>
  <c r="H1578" i="6"/>
  <c r="B1578" i="6"/>
  <c r="I1576" i="6"/>
  <c r="H1576" i="6"/>
  <c r="B1576" i="6"/>
  <c r="I1575" i="6"/>
  <c r="H1575" i="6"/>
  <c r="B1575" i="6"/>
  <c r="I1574" i="6"/>
  <c r="H1574" i="6"/>
  <c r="B1574" i="6"/>
  <c r="B1573" i="6"/>
  <c r="B1570" i="6"/>
  <c r="I1569" i="6"/>
  <c r="H1569" i="6"/>
  <c r="B1569" i="6"/>
  <c r="I1568" i="6"/>
  <c r="H1568" i="6"/>
  <c r="B1568" i="6"/>
  <c r="I1567" i="6"/>
  <c r="H1567" i="6"/>
  <c r="B1567" i="6"/>
  <c r="I1771" i="6"/>
  <c r="H1771" i="6"/>
  <c r="B1771" i="6"/>
  <c r="I1770" i="6"/>
  <c r="H1770" i="6"/>
  <c r="B1770" i="6"/>
  <c r="I1769" i="6"/>
  <c r="H1769" i="6"/>
  <c r="B1769" i="6"/>
  <c r="I1768" i="6"/>
  <c r="H1768" i="6"/>
  <c r="B1768" i="6"/>
  <c r="I1767" i="6"/>
  <c r="H1767" i="6"/>
  <c r="B1767" i="6"/>
  <c r="I1766" i="6"/>
  <c r="H1766" i="6"/>
  <c r="B1766" i="6"/>
  <c r="I1765" i="6"/>
  <c r="H1765" i="6"/>
  <c r="B1765" i="6"/>
  <c r="B1764" i="6"/>
  <c r="B1762" i="6"/>
  <c r="B1761" i="6"/>
  <c r="I1759" i="6"/>
  <c r="H1759" i="6"/>
  <c r="B1759" i="6"/>
  <c r="I1758" i="6"/>
  <c r="H1758" i="6"/>
  <c r="B1758" i="6"/>
  <c r="I1757" i="6"/>
  <c r="H1757" i="6"/>
  <c r="B1757" i="6"/>
  <c r="B1756" i="6"/>
  <c r="I1752" i="6"/>
  <c r="H1752" i="6"/>
  <c r="B1752" i="6"/>
  <c r="I1751" i="6"/>
  <c r="H1751" i="6"/>
  <c r="B1751" i="6"/>
  <c r="I1750" i="6"/>
  <c r="H1750" i="6"/>
  <c r="B1750" i="6"/>
  <c r="B1749" i="6"/>
  <c r="B1746" i="6"/>
  <c r="B1744" i="6"/>
  <c r="I1742" i="6"/>
  <c r="H1742" i="6"/>
  <c r="B1742" i="6"/>
  <c r="I1741" i="6"/>
  <c r="H1741" i="6"/>
  <c r="B1741" i="6"/>
  <c r="I1740" i="6"/>
  <c r="H1740" i="6"/>
  <c r="B1740" i="6"/>
  <c r="I1739" i="6"/>
  <c r="H1739" i="6"/>
  <c r="B1739" i="6"/>
  <c r="I1738" i="6"/>
  <c r="H1738" i="6"/>
  <c r="B1738" i="6"/>
  <c r="I1737" i="6"/>
  <c r="H1737" i="6"/>
  <c r="B1737" i="6"/>
  <c r="I1736" i="6"/>
  <c r="H1736" i="6"/>
  <c r="B1736" i="6"/>
  <c r="I1735" i="6"/>
  <c r="H1735" i="6"/>
  <c r="B1735" i="6"/>
  <c r="I1734" i="6"/>
  <c r="H1734" i="6"/>
  <c r="B1734" i="6"/>
  <c r="I1733" i="6"/>
  <c r="H1733" i="6"/>
  <c r="B1733" i="6"/>
  <c r="I1732" i="6"/>
  <c r="H1732" i="6"/>
  <c r="B1732" i="6"/>
  <c r="I1731" i="6"/>
  <c r="H1731" i="6"/>
  <c r="B1731" i="6"/>
  <c r="I1730" i="6"/>
  <c r="H1730" i="6"/>
  <c r="B1730" i="6"/>
  <c r="I1729" i="6"/>
  <c r="H1729" i="6"/>
  <c r="B1729" i="6"/>
  <c r="I1728" i="6"/>
  <c r="H1728" i="6"/>
  <c r="B1728" i="6"/>
  <c r="B1727" i="6"/>
  <c r="B1726" i="6"/>
  <c r="B1725" i="6"/>
  <c r="I1724" i="6"/>
  <c r="H1724" i="6"/>
  <c r="B1724" i="6"/>
  <c r="I1723" i="6"/>
  <c r="H1723" i="6"/>
  <c r="B1723" i="6"/>
  <c r="I1722" i="6"/>
  <c r="H1722" i="6"/>
  <c r="B1722" i="6"/>
  <c r="I1721" i="6"/>
  <c r="H1721" i="6"/>
  <c r="B1721" i="6"/>
  <c r="I1720" i="6"/>
  <c r="H1720" i="6"/>
  <c r="B1720" i="6"/>
  <c r="I1719" i="6"/>
  <c r="H1719" i="6"/>
  <c r="B1719" i="6"/>
  <c r="I1718" i="6"/>
  <c r="H1718" i="6"/>
  <c r="B1718" i="6"/>
  <c r="I1716" i="6"/>
  <c r="H1716" i="6"/>
  <c r="B1716" i="6"/>
  <c r="I1715" i="6"/>
  <c r="H1715" i="6"/>
  <c r="B1715" i="6"/>
  <c r="I1713" i="6"/>
  <c r="H1713" i="6"/>
  <c r="B1713" i="6"/>
  <c r="I1711" i="6"/>
  <c r="H1711" i="6"/>
  <c r="B1711" i="6"/>
  <c r="I1710" i="6"/>
  <c r="H1710" i="6"/>
  <c r="B1710" i="6"/>
  <c r="I1709" i="6"/>
  <c r="H1709" i="6"/>
  <c r="B1709" i="6"/>
  <c r="I1708" i="6"/>
  <c r="H1708" i="6"/>
  <c r="B1708" i="6"/>
  <c r="I1707" i="6"/>
  <c r="H1707" i="6"/>
  <c r="B1707" i="6"/>
  <c r="I1705" i="6"/>
  <c r="H1705" i="6"/>
  <c r="B1705" i="6"/>
  <c r="I1704" i="6"/>
  <c r="H1704" i="6"/>
  <c r="B1704" i="6"/>
  <c r="I1698" i="6"/>
  <c r="H1698" i="6"/>
  <c r="B1698" i="6"/>
  <c r="B1696" i="6"/>
  <c r="B1694" i="6"/>
  <c r="I1691" i="6"/>
  <c r="H1691" i="6"/>
  <c r="B1691" i="6"/>
  <c r="I1689" i="6"/>
  <c r="H1689" i="6"/>
  <c r="B1689" i="6"/>
  <c r="B1688" i="6"/>
  <c r="B1687" i="6"/>
  <c r="B1682" i="6"/>
  <c r="I1681" i="6"/>
  <c r="H1681" i="6"/>
  <c r="B1681" i="6"/>
  <c r="B1680" i="6"/>
  <c r="I1679" i="6"/>
  <c r="H1679" i="6"/>
  <c r="B1679" i="6"/>
  <c r="I1678" i="6"/>
  <c r="H1678" i="6"/>
  <c r="B1678" i="6"/>
  <c r="B1677" i="6"/>
  <c r="I1672" i="6"/>
  <c r="H1672" i="6"/>
  <c r="B1672" i="6"/>
  <c r="I1671" i="6"/>
  <c r="H1671" i="6"/>
  <c r="B1671" i="6"/>
  <c r="B1670" i="6"/>
  <c r="B1668" i="6"/>
  <c r="B1666" i="6"/>
  <c r="B1664" i="6"/>
  <c r="I1662" i="6"/>
  <c r="H1662" i="6"/>
  <c r="B1662" i="6"/>
  <c r="I1661" i="6"/>
  <c r="H1661" i="6"/>
  <c r="B1661" i="6"/>
  <c r="I1865" i="6"/>
  <c r="H1865" i="6"/>
  <c r="B1865" i="6"/>
  <c r="I1864" i="6"/>
  <c r="H1864" i="6"/>
  <c r="B1864" i="6"/>
  <c r="I1863" i="6"/>
  <c r="H1863" i="6"/>
  <c r="B1863" i="6"/>
  <c r="B1862" i="6"/>
  <c r="I1861" i="6"/>
  <c r="H1861" i="6"/>
  <c r="B1861" i="6"/>
  <c r="I1860" i="6"/>
  <c r="H1860" i="6"/>
  <c r="B1860" i="6"/>
  <c r="B1858" i="6"/>
  <c r="B1857" i="6"/>
  <c r="I1854" i="6"/>
  <c r="H1854" i="6"/>
  <c r="B1854" i="6"/>
  <c r="I1852" i="6"/>
  <c r="H1852" i="6"/>
  <c r="B1852" i="6"/>
  <c r="B1851" i="6"/>
  <c r="B1850" i="6"/>
  <c r="B1849" i="6"/>
  <c r="I1846" i="6"/>
  <c r="H1846" i="6"/>
  <c r="B1846" i="6"/>
  <c r="B1845" i="6"/>
  <c r="I1843" i="6"/>
  <c r="H1843" i="6"/>
  <c r="B1843" i="6"/>
  <c r="I1841" i="6"/>
  <c r="H1841" i="6"/>
  <c r="B1841" i="6"/>
  <c r="B1839" i="6"/>
  <c r="B1837" i="6"/>
  <c r="B1835" i="6"/>
  <c r="B1833" i="6"/>
  <c r="I1832" i="6"/>
  <c r="H1832" i="6"/>
  <c r="B1832" i="6"/>
  <c r="B1830" i="6"/>
  <c r="I1829" i="6"/>
  <c r="H1829" i="6"/>
  <c r="B1829" i="6"/>
  <c r="I1828" i="6"/>
  <c r="H1828" i="6"/>
  <c r="B1828" i="6"/>
  <c r="I1827" i="6"/>
  <c r="H1827" i="6"/>
  <c r="B1827" i="6"/>
  <c r="I1826" i="6"/>
  <c r="H1826" i="6"/>
  <c r="B1826" i="6"/>
  <c r="I1825" i="6"/>
  <c r="H1825" i="6"/>
  <c r="B1825" i="6"/>
  <c r="I1824" i="6"/>
  <c r="H1824" i="6"/>
  <c r="B1824" i="6"/>
  <c r="I1823" i="6"/>
  <c r="H1823" i="6"/>
  <c r="B1823" i="6"/>
  <c r="I1819" i="6"/>
  <c r="H1819" i="6"/>
  <c r="B1819" i="6"/>
  <c r="H1818" i="6"/>
  <c r="B1818" i="6"/>
  <c r="I1817" i="6"/>
  <c r="H1817" i="6"/>
  <c r="B1817" i="6"/>
  <c r="I1816" i="6"/>
  <c r="H1816" i="6"/>
  <c r="B1816" i="6"/>
  <c r="I1815" i="6"/>
  <c r="H1815" i="6"/>
  <c r="B1815" i="6"/>
  <c r="I1814" i="6"/>
  <c r="H1814" i="6"/>
  <c r="B1814" i="6"/>
  <c r="I1813" i="6"/>
  <c r="H1813" i="6"/>
  <c r="B1813" i="6"/>
  <c r="I1811" i="6"/>
  <c r="H1811" i="6"/>
  <c r="B1811" i="6"/>
  <c r="I1810" i="6"/>
  <c r="H1810" i="6"/>
  <c r="B1810" i="6"/>
  <c r="I1809" i="6"/>
  <c r="H1809" i="6"/>
  <c r="B1809" i="6"/>
  <c r="I1808" i="6"/>
  <c r="H1808" i="6"/>
  <c r="B1808" i="6"/>
  <c r="I1807" i="6"/>
  <c r="H1807" i="6"/>
  <c r="B1807" i="6"/>
  <c r="I1806" i="6"/>
  <c r="H1806" i="6"/>
  <c r="B1806" i="6"/>
  <c r="I1804" i="6"/>
  <c r="H1804" i="6"/>
  <c r="B1804" i="6"/>
  <c r="I1803" i="6"/>
  <c r="H1803" i="6"/>
  <c r="B1803" i="6"/>
  <c r="I1802" i="6"/>
  <c r="H1802" i="6"/>
  <c r="B1802" i="6"/>
  <c r="I1801" i="6"/>
  <c r="H1801" i="6"/>
  <c r="B1801" i="6"/>
  <c r="I1800" i="6"/>
  <c r="H1800" i="6"/>
  <c r="B1800" i="6"/>
  <c r="I1799" i="6"/>
  <c r="H1799" i="6"/>
  <c r="B1799" i="6"/>
  <c r="I1798" i="6"/>
  <c r="H1798" i="6"/>
  <c r="B1798" i="6"/>
  <c r="B1797" i="6"/>
  <c r="B1796" i="6"/>
  <c r="I1795" i="6"/>
  <c r="H1795" i="6"/>
  <c r="B1795" i="6"/>
  <c r="B1794" i="6"/>
  <c r="B1793" i="6"/>
  <c r="B1792" i="6"/>
  <c r="B1791" i="6"/>
  <c r="B1790" i="6"/>
  <c r="B1789" i="6"/>
  <c r="I1788" i="6"/>
  <c r="H1788" i="6"/>
  <c r="B1788" i="6"/>
  <c r="I1787" i="6"/>
  <c r="H1787" i="6"/>
  <c r="B1787" i="6"/>
  <c r="I1786" i="6"/>
  <c r="H1786" i="6"/>
  <c r="B1786" i="6"/>
  <c r="I1784" i="6"/>
  <c r="H1784" i="6"/>
  <c r="B1784" i="6"/>
  <c r="I1783" i="6"/>
  <c r="H1783" i="6"/>
  <c r="B1783" i="6"/>
  <c r="I1782" i="6"/>
  <c r="H1782" i="6"/>
  <c r="B1782" i="6"/>
  <c r="I1781" i="6"/>
  <c r="H1781" i="6"/>
  <c r="B1781" i="6"/>
  <c r="I1780" i="6"/>
  <c r="H1780" i="6"/>
  <c r="B1780" i="6"/>
  <c r="I1779" i="6"/>
  <c r="H1779" i="6"/>
  <c r="B1779" i="6"/>
  <c r="I1778" i="6"/>
  <c r="H1778" i="6"/>
  <c r="B1778" i="6"/>
  <c r="I1777" i="6"/>
  <c r="H1777" i="6"/>
  <c r="B1777" i="6"/>
  <c r="I1776" i="6"/>
  <c r="H1776" i="6"/>
  <c r="B1776" i="6"/>
  <c r="I1775" i="6"/>
  <c r="H1775" i="6"/>
  <c r="B1775" i="6"/>
  <c r="I1774" i="6"/>
  <c r="H1774" i="6"/>
  <c r="B1774" i="6"/>
  <c r="I1773" i="6"/>
  <c r="H1773" i="6"/>
  <c r="B1773" i="6"/>
  <c r="I1772" i="6"/>
  <c r="H1772" i="6"/>
  <c r="B1772" i="6"/>
  <c r="I1950" i="6"/>
  <c r="H1950" i="6"/>
  <c r="B1950" i="6"/>
  <c r="I1949" i="6"/>
  <c r="H1949" i="6"/>
  <c r="B1949" i="6"/>
  <c r="B1948" i="6"/>
  <c r="I1947" i="6"/>
  <c r="H1947" i="6"/>
  <c r="B1947" i="6"/>
  <c r="I1946" i="6"/>
  <c r="H1946" i="6"/>
  <c r="B1946" i="6"/>
  <c r="B1945" i="6"/>
  <c r="I1944" i="6"/>
  <c r="H1944" i="6"/>
  <c r="B1944" i="6"/>
  <c r="I1943" i="6"/>
  <c r="H1943" i="6"/>
  <c r="B1943" i="6"/>
  <c r="I1941" i="6"/>
  <c r="H1941" i="6"/>
  <c r="B1941" i="6"/>
  <c r="I1940" i="6"/>
  <c r="H1940" i="6"/>
  <c r="B1940" i="6"/>
  <c r="B1939" i="6"/>
  <c r="B1937" i="6"/>
  <c r="B1935" i="6"/>
  <c r="B1934" i="6"/>
  <c r="I1932" i="6"/>
  <c r="H1932" i="6"/>
  <c r="B1932" i="6"/>
  <c r="B1931" i="6"/>
  <c r="B1929" i="6"/>
  <c r="I1926" i="6"/>
  <c r="H1926" i="6"/>
  <c r="B1926" i="6"/>
  <c r="I1925" i="6"/>
  <c r="H1925" i="6"/>
  <c r="B1925" i="6"/>
  <c r="I1924" i="6"/>
  <c r="H1924" i="6"/>
  <c r="B1924" i="6"/>
  <c r="I1923" i="6"/>
  <c r="H1923" i="6"/>
  <c r="B1923" i="6"/>
  <c r="I1922" i="6"/>
  <c r="H1922" i="6"/>
  <c r="B1922" i="6"/>
  <c r="I1921" i="6"/>
  <c r="H1921" i="6"/>
  <c r="B1921" i="6"/>
  <c r="B1920" i="6"/>
  <c r="I1918" i="6"/>
  <c r="H1918" i="6"/>
  <c r="B1918" i="6"/>
  <c r="I1917" i="6"/>
  <c r="H1917" i="6"/>
  <c r="B1917" i="6"/>
  <c r="I1916" i="6"/>
  <c r="H1916" i="6"/>
  <c r="B1916" i="6"/>
  <c r="I1915" i="6"/>
  <c r="H1915" i="6"/>
  <c r="B1915" i="6"/>
  <c r="I1914" i="6"/>
  <c r="H1914" i="6"/>
  <c r="B1914" i="6"/>
  <c r="I1913" i="6"/>
  <c r="H1913" i="6"/>
  <c r="B1913" i="6"/>
  <c r="I1912" i="6"/>
  <c r="H1912" i="6"/>
  <c r="B1912" i="6"/>
  <c r="I1911" i="6"/>
  <c r="H1911" i="6"/>
  <c r="B1911" i="6"/>
  <c r="I1910" i="6"/>
  <c r="H1910" i="6"/>
  <c r="B1910" i="6"/>
  <c r="I1909" i="6"/>
  <c r="H1909" i="6"/>
  <c r="B1909" i="6"/>
  <c r="I1908" i="6"/>
  <c r="H1908" i="6"/>
  <c r="B1908" i="6"/>
  <c r="I1907" i="6"/>
  <c r="H1907" i="6"/>
  <c r="B1907" i="6"/>
  <c r="I1906" i="6"/>
  <c r="H1906" i="6"/>
  <c r="B1906" i="6"/>
  <c r="I1905" i="6"/>
  <c r="H1905" i="6"/>
  <c r="B1905" i="6"/>
  <c r="I1904" i="6"/>
  <c r="H1904" i="6"/>
  <c r="B1904" i="6"/>
  <c r="I1903" i="6"/>
  <c r="H1903" i="6"/>
  <c r="B1903" i="6"/>
  <c r="I1902" i="6"/>
  <c r="H1902" i="6"/>
  <c r="B1902" i="6"/>
  <c r="I1901" i="6"/>
  <c r="H1901" i="6"/>
  <c r="B1901" i="6"/>
  <c r="I1900" i="6"/>
  <c r="H1900" i="6"/>
  <c r="B1900" i="6"/>
  <c r="I1899" i="6"/>
  <c r="H1899" i="6"/>
  <c r="B1899" i="6"/>
  <c r="I1898" i="6"/>
  <c r="H1898" i="6"/>
  <c r="B1898" i="6"/>
  <c r="H1897" i="6"/>
  <c r="B1897" i="6"/>
  <c r="I1896" i="6"/>
  <c r="H1896" i="6"/>
  <c r="B1896" i="6"/>
  <c r="I1895" i="6"/>
  <c r="H1895" i="6"/>
  <c r="B1895" i="6"/>
  <c r="I1894" i="6"/>
  <c r="H1894" i="6"/>
  <c r="B1894" i="6"/>
  <c r="I1893" i="6"/>
  <c r="H1893" i="6"/>
  <c r="B1893" i="6"/>
  <c r="I1892" i="6"/>
  <c r="H1892" i="6"/>
  <c r="B1892" i="6"/>
  <c r="I1891" i="6"/>
  <c r="H1891" i="6"/>
  <c r="B1891" i="6"/>
  <c r="I1890" i="6"/>
  <c r="H1890" i="6"/>
  <c r="B1890" i="6"/>
  <c r="I1889" i="6"/>
  <c r="H1889" i="6"/>
  <c r="B1889" i="6"/>
  <c r="I1888" i="6"/>
  <c r="H1888" i="6"/>
  <c r="B1888" i="6"/>
  <c r="I1887" i="6"/>
  <c r="H1887" i="6"/>
  <c r="B1887" i="6"/>
  <c r="I1886" i="6"/>
  <c r="H1886" i="6"/>
  <c r="B1886" i="6"/>
  <c r="I1885" i="6"/>
  <c r="H1885" i="6"/>
  <c r="B1885" i="6"/>
  <c r="I1884" i="6"/>
  <c r="H1884" i="6"/>
  <c r="B1884" i="6"/>
  <c r="I1883" i="6"/>
  <c r="H1883" i="6"/>
  <c r="B1883" i="6"/>
  <c r="I1882" i="6"/>
  <c r="H1882" i="6"/>
  <c r="B1882" i="6"/>
  <c r="I1881" i="6"/>
  <c r="H1881" i="6"/>
  <c r="B1881" i="6"/>
  <c r="I1880" i="6"/>
  <c r="H1880" i="6"/>
  <c r="B1880" i="6"/>
  <c r="I1879" i="6"/>
  <c r="H1879" i="6"/>
  <c r="B1879" i="6"/>
  <c r="I1878" i="6"/>
  <c r="H1878" i="6"/>
  <c r="B1878" i="6"/>
  <c r="I1877" i="6"/>
  <c r="H1877" i="6"/>
  <c r="B1877" i="6"/>
  <c r="I1876" i="6"/>
  <c r="H1876" i="6"/>
  <c r="B1876" i="6"/>
  <c r="I1875" i="6"/>
  <c r="H1875" i="6"/>
  <c r="B1875" i="6"/>
  <c r="I1874" i="6"/>
  <c r="H1874" i="6"/>
  <c r="B1874" i="6"/>
  <c r="I1873" i="6"/>
  <c r="H1873" i="6"/>
  <c r="B1873" i="6"/>
  <c r="I1872" i="6"/>
  <c r="H1872" i="6"/>
  <c r="B1872" i="6"/>
  <c r="I1871" i="6"/>
  <c r="H1871" i="6"/>
  <c r="B1871" i="6"/>
  <c r="I1870" i="6"/>
  <c r="H1870" i="6"/>
  <c r="B1870" i="6"/>
  <c r="I1869" i="6"/>
  <c r="H1869" i="6"/>
  <c r="B1869" i="6"/>
  <c r="I1868" i="6"/>
  <c r="H1868" i="6"/>
  <c r="B1868" i="6"/>
  <c r="I1867" i="6"/>
  <c r="H1867" i="6"/>
  <c r="B1867" i="6"/>
  <c r="I1866" i="6"/>
  <c r="H1866" i="6"/>
  <c r="B1866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I1990" i="6"/>
  <c r="H1990" i="6"/>
  <c r="B1990" i="6"/>
  <c r="I1989" i="6"/>
  <c r="H1989" i="6"/>
  <c r="B1989" i="6"/>
  <c r="I1988" i="6"/>
  <c r="H1988" i="6"/>
  <c r="B1988" i="6"/>
  <c r="I1987" i="6"/>
  <c r="H1987" i="6"/>
  <c r="B1987" i="6"/>
  <c r="B1986" i="6"/>
  <c r="B1985" i="6"/>
  <c r="B1984" i="6"/>
  <c r="I1983" i="6"/>
  <c r="H1983" i="6"/>
  <c r="B1983" i="6"/>
  <c r="I1982" i="6"/>
  <c r="H1982" i="6"/>
  <c r="B1982" i="6"/>
  <c r="B1981" i="6"/>
  <c r="B1980" i="6"/>
  <c r="I1979" i="6"/>
  <c r="H1979" i="6"/>
  <c r="B1979" i="6"/>
  <c r="B1978" i="6"/>
  <c r="B1976" i="6"/>
  <c r="B1973" i="6"/>
  <c r="I1970" i="6"/>
  <c r="H1970" i="6"/>
  <c r="B1970" i="6"/>
  <c r="I1969" i="6"/>
  <c r="H1969" i="6"/>
  <c r="B1969" i="6"/>
  <c r="I1968" i="6"/>
  <c r="H1968" i="6"/>
  <c r="B1968" i="6"/>
  <c r="I1966" i="6"/>
  <c r="H1966" i="6"/>
  <c r="B1966" i="6"/>
  <c r="I1964" i="6"/>
  <c r="H1964" i="6"/>
  <c r="B1964" i="6"/>
  <c r="B1963" i="6"/>
  <c r="I1962" i="6"/>
  <c r="H1962" i="6"/>
  <c r="B1962" i="6"/>
  <c r="B1960" i="6"/>
  <c r="I1958" i="6"/>
  <c r="H1958" i="6"/>
  <c r="B1958" i="6"/>
  <c r="B1956" i="6"/>
  <c r="I1955" i="6"/>
  <c r="H1955" i="6"/>
  <c r="B1955" i="6"/>
  <c r="B1953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4077" i="6"/>
  <c r="I2641" i="6"/>
  <c r="H2641" i="6"/>
  <c r="B2641" i="6"/>
  <c r="I2640" i="6"/>
  <c r="H2640" i="6"/>
  <c r="B2640" i="6"/>
  <c r="I2639" i="6"/>
  <c r="H2639" i="6"/>
  <c r="B2639" i="6"/>
  <c r="I2638" i="6"/>
  <c r="H2638" i="6"/>
  <c r="B2638" i="6"/>
  <c r="B2038" i="6"/>
  <c r="B2037" i="6"/>
  <c r="B2036" i="6"/>
  <c r="B2035" i="6"/>
  <c r="B2034" i="6"/>
  <c r="B2033" i="6"/>
  <c r="B2032" i="6"/>
  <c r="B5179" i="6"/>
  <c r="B5178" i="6"/>
  <c r="B5177" i="6"/>
  <c r="B4080" i="6"/>
  <c r="B4079" i="6"/>
  <c r="B4078" i="6"/>
  <c r="B5652" i="6"/>
  <c r="B5651" i="6"/>
  <c r="B5180" i="6"/>
  <c r="B1429" i="6"/>
  <c r="B1430" i="6"/>
  <c r="I1427" i="6"/>
  <c r="H1427" i="6"/>
  <c r="B1427" i="6"/>
  <c r="I339" i="6"/>
  <c r="B1398" i="6"/>
  <c r="I1396" i="6"/>
  <c r="H1396" i="6"/>
  <c r="B1396" i="6"/>
  <c r="B1393" i="6"/>
  <c r="B1391" i="6"/>
  <c r="B1389" i="6"/>
  <c r="B1387" i="6"/>
  <c r="B1385" i="6"/>
  <c r="B1383" i="6"/>
  <c r="B1364" i="6"/>
  <c r="B1365" i="6"/>
  <c r="B1361" i="6"/>
  <c r="B1362" i="6"/>
  <c r="I1356" i="6"/>
  <c r="H1356" i="6"/>
  <c r="B1356" i="6"/>
  <c r="B1351" i="6"/>
  <c r="B1352" i="6"/>
  <c r="B1348" i="6"/>
  <c r="B1349" i="6"/>
  <c r="I922" i="6"/>
  <c r="H922" i="6"/>
  <c r="B922" i="6"/>
  <c r="I923" i="6"/>
  <c r="H923" i="6"/>
  <c r="B923" i="6"/>
  <c r="I924" i="6"/>
  <c r="H924" i="6"/>
  <c r="B924" i="6"/>
  <c r="I1330" i="6"/>
  <c r="H1330" i="6"/>
  <c r="B1330" i="6"/>
  <c r="N196" i="14"/>
  <c r="N195" i="14"/>
  <c r="N194" i="14"/>
  <c r="N193" i="14"/>
  <c r="N192" i="14"/>
  <c r="N191" i="14"/>
  <c r="N190" i="14"/>
  <c r="N189" i="14"/>
  <c r="P189" i="14" s="1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205" i="14"/>
  <c r="N204" i="14"/>
  <c r="N203" i="14"/>
  <c r="N202" i="14"/>
  <c r="N201" i="14"/>
  <c r="N200" i="14"/>
  <c r="N199" i="14"/>
  <c r="N198" i="14"/>
  <c r="N197" i="14"/>
  <c r="N210" i="14"/>
  <c r="N209" i="14"/>
  <c r="N208" i="14"/>
  <c r="N207" i="14"/>
  <c r="N206" i="14"/>
  <c r="I1326" i="6"/>
  <c r="H1326" i="6"/>
  <c r="B1326" i="6"/>
  <c r="I1322" i="6"/>
  <c r="H1322" i="6"/>
  <c r="B1322" i="6"/>
  <c r="I1321" i="6"/>
  <c r="H1321" i="6"/>
  <c r="B1321" i="6"/>
  <c r="I1320" i="6"/>
  <c r="H1320" i="6"/>
  <c r="B1320" i="6"/>
  <c r="I1323" i="6"/>
  <c r="H1323" i="6"/>
  <c r="B1323" i="6"/>
  <c r="I1324" i="6"/>
  <c r="H1324" i="6"/>
  <c r="B1324" i="6"/>
  <c r="G40" i="41"/>
  <c r="G39" i="41"/>
  <c r="G38" i="41"/>
  <c r="N211" i="14"/>
  <c r="N176" i="14"/>
  <c r="N175" i="14"/>
  <c r="N174" i="14"/>
  <c r="I1081" i="6"/>
  <c r="H1081" i="6"/>
  <c r="B1081" i="6"/>
  <c r="I1075" i="6"/>
  <c r="H1075" i="6"/>
  <c r="B1075" i="6"/>
  <c r="I1073" i="6"/>
  <c r="H1073" i="6"/>
  <c r="B1073" i="6"/>
  <c r="I1071" i="6"/>
  <c r="H1071" i="6"/>
  <c r="B1071" i="6"/>
  <c r="I1303" i="6"/>
  <c r="H1303" i="6"/>
  <c r="B1303" i="6"/>
  <c r="B1300" i="6"/>
  <c r="B1301" i="6"/>
  <c r="B1297" i="6"/>
  <c r="B1298" i="6"/>
  <c r="B1295" i="6"/>
  <c r="I1293" i="6"/>
  <c r="H1293" i="6"/>
  <c r="B1293" i="6"/>
  <c r="I1290" i="6"/>
  <c r="H1290" i="6"/>
  <c r="B1290" i="6"/>
  <c r="I1291" i="6"/>
  <c r="H1291" i="6"/>
  <c r="B1291" i="6"/>
  <c r="B1277" i="6"/>
  <c r="B1274" i="6"/>
  <c r="B1275" i="6"/>
  <c r="B1272" i="6"/>
  <c r="B1269" i="6"/>
  <c r="B1270" i="6"/>
  <c r="B1266" i="6"/>
  <c r="B1267" i="6"/>
  <c r="B1264" i="6"/>
  <c r="B1262" i="6"/>
  <c r="B1257" i="6"/>
  <c r="B1258" i="6"/>
  <c r="B1259" i="6"/>
  <c r="B1260" i="6"/>
  <c r="I1254" i="6"/>
  <c r="H1254" i="6"/>
  <c r="B1254" i="6"/>
  <c r="B1250" i="6"/>
  <c r="B1248" i="6"/>
  <c r="B1243" i="6"/>
  <c r="B1244" i="6"/>
  <c r="B1240" i="6"/>
  <c r="B1241" i="6"/>
  <c r="I1235" i="6"/>
  <c r="I1234" i="6"/>
  <c r="I1233" i="6"/>
  <c r="I1232" i="6"/>
  <c r="I1153" i="6"/>
  <c r="I1152" i="6"/>
  <c r="I935" i="6"/>
  <c r="I934" i="6"/>
  <c r="I911" i="6"/>
  <c r="I910" i="6"/>
  <c r="I909" i="6"/>
  <c r="I908" i="6"/>
  <c r="I476" i="6"/>
  <c r="I475" i="6"/>
  <c r="I1150" i="6"/>
  <c r="H1150" i="6"/>
  <c r="B1150" i="6"/>
  <c r="I1211" i="6"/>
  <c r="H1211" i="6"/>
  <c r="B1211" i="6"/>
  <c r="B1209" i="6"/>
  <c r="B1205" i="6"/>
  <c r="B1206" i="6"/>
  <c r="I1202" i="6"/>
  <c r="H1202" i="6"/>
  <c r="B1202" i="6"/>
  <c r="N165" i="14"/>
  <c r="N164" i="14"/>
  <c r="N163" i="14"/>
  <c r="N162" i="14"/>
  <c r="N161" i="14"/>
  <c r="N160" i="14"/>
  <c r="P160" i="14" s="1"/>
  <c r="N159" i="14"/>
  <c r="N158" i="14"/>
  <c r="N157" i="14"/>
  <c r="N156" i="14"/>
  <c r="N155" i="14"/>
  <c r="N154" i="14"/>
  <c r="N171" i="14"/>
  <c r="N170" i="14"/>
  <c r="N169" i="14"/>
  <c r="N168" i="14"/>
  <c r="N167" i="14"/>
  <c r="P167" i="14" s="1"/>
  <c r="N166" i="14"/>
  <c r="O886" i="14"/>
  <c r="M886" i="14"/>
  <c r="R886" i="14" s="1"/>
  <c r="J886" i="14"/>
  <c r="Q886" i="14" s="1"/>
  <c r="N173" i="14"/>
  <c r="P173" i="14" s="1"/>
  <c r="N172" i="14"/>
  <c r="N13" i="14"/>
  <c r="I1176" i="6"/>
  <c r="H1176" i="6"/>
  <c r="B1176" i="6"/>
  <c r="I1177" i="6"/>
  <c r="H1177" i="6"/>
  <c r="B1177" i="6"/>
  <c r="B1166" i="6"/>
  <c r="B1142" i="6"/>
  <c r="B1139" i="6"/>
  <c r="I1125" i="6"/>
  <c r="H1125" i="6"/>
  <c r="B1125" i="6"/>
  <c r="B1115" i="6"/>
  <c r="B1116" i="6"/>
  <c r="B1109" i="6"/>
  <c r="I1104" i="6"/>
  <c r="H1104" i="6"/>
  <c r="B1104" i="6"/>
  <c r="I1105" i="6"/>
  <c r="H1105" i="6"/>
  <c r="B1105" i="6"/>
  <c r="I1106" i="6"/>
  <c r="H1106" i="6"/>
  <c r="B1106" i="6"/>
  <c r="I1102" i="6"/>
  <c r="H1102" i="6"/>
  <c r="B1102" i="6"/>
  <c r="B1099" i="6"/>
  <c r="N145" i="14"/>
  <c r="N144" i="14"/>
  <c r="N143" i="14"/>
  <c r="N142" i="14"/>
  <c r="N141" i="14"/>
  <c r="N140" i="14"/>
  <c r="N139" i="14"/>
  <c r="N138" i="14"/>
  <c r="N137" i="14"/>
  <c r="N151" i="14"/>
  <c r="N150" i="14"/>
  <c r="N149" i="14"/>
  <c r="N148" i="14"/>
  <c r="N147" i="14"/>
  <c r="G35" i="41"/>
  <c r="G34" i="41"/>
  <c r="G33" i="41"/>
  <c r="G32" i="41"/>
  <c r="G31" i="41"/>
  <c r="G30" i="41"/>
  <c r="G29" i="41"/>
  <c r="G28" i="41"/>
  <c r="G27" i="41"/>
  <c r="G26" i="41"/>
  <c r="G25" i="41"/>
  <c r="B1051" i="6"/>
  <c r="B1047" i="6"/>
  <c r="B1041" i="6"/>
  <c r="I1039" i="6"/>
  <c r="H1039" i="6"/>
  <c r="B1039" i="6"/>
  <c r="I1028" i="6"/>
  <c r="H1028" i="6"/>
  <c r="B1028" i="6"/>
  <c r="B1026" i="6"/>
  <c r="I1024" i="6"/>
  <c r="H1024" i="6"/>
  <c r="B1024" i="6"/>
  <c r="I1022" i="6"/>
  <c r="H1022" i="6"/>
  <c r="B1022" i="6"/>
  <c r="B1019" i="6"/>
  <c r="B1020" i="6"/>
  <c r="I1017" i="6"/>
  <c r="H1017" i="6"/>
  <c r="B1017" i="6"/>
  <c r="B1013" i="6"/>
  <c r="B1010" i="6"/>
  <c r="B1008" i="6"/>
  <c r="B1006" i="6"/>
  <c r="I1004" i="6"/>
  <c r="H1004" i="6"/>
  <c r="B1004" i="6"/>
  <c r="I998" i="6"/>
  <c r="H998" i="6"/>
  <c r="B998" i="6"/>
  <c r="I1000" i="6"/>
  <c r="H1000" i="6"/>
  <c r="B1000" i="6"/>
  <c r="I1001" i="6"/>
  <c r="H1001" i="6"/>
  <c r="B1001" i="6"/>
  <c r="I1002" i="6"/>
  <c r="H1002" i="6"/>
  <c r="B1002" i="6"/>
  <c r="I993" i="6"/>
  <c r="H993" i="6"/>
  <c r="B993" i="6"/>
  <c r="I994" i="6"/>
  <c r="H994" i="6"/>
  <c r="B994" i="6"/>
  <c r="G22" i="41"/>
  <c r="G21" i="41"/>
  <c r="G20" i="41"/>
  <c r="G19" i="41"/>
  <c r="G18" i="41"/>
  <c r="G17" i="41"/>
  <c r="N133" i="14"/>
  <c r="N132" i="14"/>
  <c r="N131" i="14"/>
  <c r="N130" i="14"/>
  <c r="N129" i="14"/>
  <c r="N128" i="14"/>
  <c r="N127" i="14"/>
  <c r="N126" i="14"/>
  <c r="N152" i="14"/>
  <c r="N136" i="14"/>
  <c r="N135" i="14"/>
  <c r="N134" i="14"/>
  <c r="O887" i="14"/>
  <c r="M887" i="14"/>
  <c r="R887" i="14" s="1"/>
  <c r="J887" i="14"/>
  <c r="Q887" i="14" s="1"/>
  <c r="J888" i="14"/>
  <c r="Q888" i="14" s="1"/>
  <c r="J889" i="14"/>
  <c r="Q889" i="14" s="1"/>
  <c r="N153" i="14"/>
  <c r="B970" i="6"/>
  <c r="B965" i="6"/>
  <c r="B934" i="6"/>
  <c r="H934" i="6"/>
  <c r="B946" i="6"/>
  <c r="B947" i="6"/>
  <c r="O889" i="14"/>
  <c r="M889" i="14"/>
  <c r="R889" i="14" s="1"/>
  <c r="O888" i="14"/>
  <c r="M888" i="14"/>
  <c r="R888" i="14" s="1"/>
  <c r="N125" i="14"/>
  <c r="N124" i="14"/>
  <c r="N123" i="14"/>
  <c r="N122" i="14"/>
  <c r="N121" i="14"/>
  <c r="I898" i="6"/>
  <c r="H898" i="6"/>
  <c r="B898" i="6"/>
  <c r="B902" i="6"/>
  <c r="B900" i="6"/>
  <c r="I892" i="6"/>
  <c r="H892" i="6"/>
  <c r="B892" i="6"/>
  <c r="I890" i="6"/>
  <c r="H890" i="6"/>
  <c r="B890" i="6"/>
  <c r="B884" i="6"/>
  <c r="B885" i="6"/>
  <c r="B872" i="6"/>
  <c r="N110" i="14"/>
  <c r="N109" i="14"/>
  <c r="N108" i="14"/>
  <c r="N107" i="14"/>
  <c r="N106" i="14"/>
  <c r="N105" i="14"/>
  <c r="N104" i="14"/>
  <c r="N103" i="14"/>
  <c r="I807" i="6"/>
  <c r="H807" i="6"/>
  <c r="B807" i="6"/>
  <c r="B660" i="6"/>
  <c r="I631" i="6"/>
  <c r="H631" i="6"/>
  <c r="B631" i="6"/>
  <c r="I627" i="6"/>
  <c r="H627" i="6"/>
  <c r="B627" i="6"/>
  <c r="G12" i="41"/>
  <c r="G11" i="41"/>
  <c r="G10" i="41"/>
  <c r="G9" i="41"/>
  <c r="G8" i="41"/>
  <c r="G7" i="41"/>
  <c r="G6" i="41"/>
  <c r="G5" i="41"/>
  <c r="G4" i="41"/>
  <c r="G3" i="41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114" i="14"/>
  <c r="N113" i="14"/>
  <c r="N112" i="14"/>
  <c r="N111" i="14"/>
  <c r="N102" i="14"/>
  <c r="N101" i="14"/>
  <c r="N117" i="14"/>
  <c r="N116" i="14"/>
  <c r="N115" i="14"/>
  <c r="N52" i="14"/>
  <c r="N51" i="14"/>
  <c r="N50" i="14"/>
  <c r="N49" i="14"/>
  <c r="N48" i="14"/>
  <c r="N57" i="14"/>
  <c r="N56" i="14"/>
  <c r="N55" i="14"/>
  <c r="P55" i="14" s="1"/>
  <c r="N54" i="14"/>
  <c r="N53" i="14"/>
  <c r="N62" i="14"/>
  <c r="N61" i="14"/>
  <c r="N60" i="14"/>
  <c r="N59" i="14"/>
  <c r="N58" i="14"/>
  <c r="I449" i="6"/>
  <c r="H449" i="6"/>
  <c r="B449" i="6"/>
  <c r="I444" i="6"/>
  <c r="H444" i="6"/>
  <c r="B444" i="6"/>
  <c r="B440" i="6"/>
  <c r="N46" i="14"/>
  <c r="N45" i="14"/>
  <c r="N44" i="14"/>
  <c r="N43" i="14"/>
  <c r="N42" i="14"/>
  <c r="N41" i="14"/>
  <c r="N64" i="14"/>
  <c r="N63" i="14"/>
  <c r="N47" i="14"/>
  <c r="P47" i="14" s="1"/>
  <c r="N118" i="14"/>
  <c r="N119" i="14"/>
  <c r="B387" i="6"/>
  <c r="B388" i="6"/>
  <c r="H388" i="6"/>
  <c r="I388" i="6"/>
  <c r="B565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28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7" i="6"/>
  <c r="B1395" i="6"/>
  <c r="B1394" i="6"/>
  <c r="B1392" i="6"/>
  <c r="B1390" i="6"/>
  <c r="B1388" i="6"/>
  <c r="B1386" i="6"/>
  <c r="B1384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3" i="6"/>
  <c r="B1360" i="6"/>
  <c r="B1359" i="6"/>
  <c r="B1358" i="6"/>
  <c r="B1357" i="6"/>
  <c r="B1355" i="6"/>
  <c r="B1354" i="6"/>
  <c r="B1353" i="6"/>
  <c r="B1350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29" i="6"/>
  <c r="B1328" i="6"/>
  <c r="B1327" i="6"/>
  <c r="B1325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2" i="6"/>
  <c r="B1299" i="6"/>
  <c r="B1296" i="6"/>
  <c r="B1294" i="6"/>
  <c r="B1292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6" i="6"/>
  <c r="B1273" i="6"/>
  <c r="B1271" i="6"/>
  <c r="B1268" i="6"/>
  <c r="B1265" i="6"/>
  <c r="B1263" i="6"/>
  <c r="B1261" i="6"/>
  <c r="B1256" i="6"/>
  <c r="B1255" i="6"/>
  <c r="B1253" i="6"/>
  <c r="B1252" i="6"/>
  <c r="B1251" i="6"/>
  <c r="B1249" i="6"/>
  <c r="B1247" i="6"/>
  <c r="B1246" i="6"/>
  <c r="B1245" i="6"/>
  <c r="B1242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0" i="6"/>
  <c r="B1208" i="6"/>
  <c r="B1207" i="6"/>
  <c r="B1204" i="6"/>
  <c r="B1203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5" i="6"/>
  <c r="B1174" i="6"/>
  <c r="B1173" i="6"/>
  <c r="B1172" i="6"/>
  <c r="B1171" i="6"/>
  <c r="B1169" i="6"/>
  <c r="B1168" i="6"/>
  <c r="B1167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49" i="6"/>
  <c r="B1148" i="6"/>
  <c r="B1147" i="6"/>
  <c r="B1146" i="6"/>
  <c r="B1145" i="6"/>
  <c r="B1144" i="6"/>
  <c r="B1143" i="6"/>
  <c r="B1141" i="6"/>
  <c r="B1140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4" i="6"/>
  <c r="B1123" i="6"/>
  <c r="B1122" i="6"/>
  <c r="B1121" i="6"/>
  <c r="B1120" i="6"/>
  <c r="B1119" i="6"/>
  <c r="B1118" i="6"/>
  <c r="B1117" i="6"/>
  <c r="B1114" i="6"/>
  <c r="B1113" i="6"/>
  <c r="B1112" i="6"/>
  <c r="B1111" i="6"/>
  <c r="B1110" i="6"/>
  <c r="B1108" i="6"/>
  <c r="B1107" i="6"/>
  <c r="B1103" i="6"/>
  <c r="B1101" i="6"/>
  <c r="B1100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0" i="6"/>
  <c r="B1079" i="6"/>
  <c r="B1078" i="6"/>
  <c r="B1077" i="6"/>
  <c r="B1076" i="6"/>
  <c r="B1074" i="6"/>
  <c r="B1072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5" i="6"/>
  <c r="B1054" i="6"/>
  <c r="B1053" i="6"/>
  <c r="B1052" i="6"/>
  <c r="B1050" i="6"/>
  <c r="B1049" i="6"/>
  <c r="B1048" i="6"/>
  <c r="B1046" i="6"/>
  <c r="B1045" i="6"/>
  <c r="B1044" i="6"/>
  <c r="B1043" i="6"/>
  <c r="B1042" i="6"/>
  <c r="B1040" i="6"/>
  <c r="B1038" i="6"/>
  <c r="B1037" i="6"/>
  <c r="B1036" i="6"/>
  <c r="B1035" i="6"/>
  <c r="B1034" i="6"/>
  <c r="B1033" i="6"/>
  <c r="B1032" i="6"/>
  <c r="B1031" i="6"/>
  <c r="B1030" i="6"/>
  <c r="B1029" i="6"/>
  <c r="B1027" i="6"/>
  <c r="B1025" i="6"/>
  <c r="B1023" i="6"/>
  <c r="B1021" i="6"/>
  <c r="B1018" i="6"/>
  <c r="B1016" i="6"/>
  <c r="B1015" i="6"/>
  <c r="B1014" i="6"/>
  <c r="B1012" i="6"/>
  <c r="B1011" i="6"/>
  <c r="B1009" i="6"/>
  <c r="B1007" i="6"/>
  <c r="B1005" i="6"/>
  <c r="B1003" i="6"/>
  <c r="B999" i="6"/>
  <c r="B997" i="6"/>
  <c r="B996" i="6"/>
  <c r="B995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69" i="6"/>
  <c r="B968" i="6"/>
  <c r="B967" i="6"/>
  <c r="B966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5" i="6"/>
  <c r="B944" i="6"/>
  <c r="B943" i="6"/>
  <c r="B942" i="6"/>
  <c r="B941" i="6"/>
  <c r="B940" i="6"/>
  <c r="B939" i="6"/>
  <c r="B938" i="6"/>
  <c r="B937" i="6"/>
  <c r="B936" i="6"/>
  <c r="B935" i="6"/>
  <c r="B933" i="6"/>
  <c r="B932" i="6"/>
  <c r="B931" i="6"/>
  <c r="B930" i="6"/>
  <c r="B929" i="6"/>
  <c r="B928" i="6"/>
  <c r="B927" i="6"/>
  <c r="B926" i="6"/>
  <c r="B925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1" i="6"/>
  <c r="B899" i="6"/>
  <c r="B897" i="6"/>
  <c r="B896" i="6"/>
  <c r="B895" i="6"/>
  <c r="B894" i="6"/>
  <c r="B893" i="6"/>
  <c r="B891" i="6"/>
  <c r="B889" i="6"/>
  <c r="B888" i="6"/>
  <c r="B887" i="6"/>
  <c r="B886" i="6"/>
  <c r="B883" i="6"/>
  <c r="B882" i="6"/>
  <c r="B881" i="6"/>
  <c r="B880" i="6"/>
  <c r="B879" i="6"/>
  <c r="B878" i="6"/>
  <c r="B877" i="6"/>
  <c r="B876" i="6"/>
  <c r="B875" i="6"/>
  <c r="B874" i="6"/>
  <c r="B873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0" i="6"/>
  <c r="B629" i="6"/>
  <c r="B628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8" i="6"/>
  <c r="B447" i="6"/>
  <c r="B446" i="6"/>
  <c r="B445" i="6"/>
  <c r="B443" i="6"/>
  <c r="B442" i="6"/>
  <c r="B441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348" i="6"/>
  <c r="I353" i="6"/>
  <c r="H353" i="6"/>
  <c r="N120" i="14"/>
  <c r="N40" i="14"/>
  <c r="N39" i="14"/>
  <c r="N38" i="14"/>
  <c r="N37" i="14"/>
  <c r="N36" i="14"/>
  <c r="N35" i="14"/>
  <c r="N34" i="14"/>
  <c r="N32" i="14"/>
  <c r="I313" i="6"/>
  <c r="H313" i="6"/>
  <c r="I299" i="6"/>
  <c r="H299" i="6"/>
  <c r="I812" i="6"/>
  <c r="H812" i="6"/>
  <c r="I811" i="6"/>
  <c r="H811" i="6"/>
  <c r="I810" i="6"/>
  <c r="H810" i="6"/>
  <c r="I809" i="6"/>
  <c r="H809" i="6"/>
  <c r="I808" i="6"/>
  <c r="H808" i="6"/>
  <c r="I805" i="6"/>
  <c r="H805" i="6"/>
  <c r="I802" i="6"/>
  <c r="H802" i="6"/>
  <c r="I801" i="6"/>
  <c r="H801" i="6"/>
  <c r="I799" i="6"/>
  <c r="H799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58" i="6"/>
  <c r="H758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699" i="6"/>
  <c r="H699" i="6"/>
  <c r="I697" i="6"/>
  <c r="H697" i="6"/>
  <c r="I696" i="6"/>
  <c r="H696" i="6"/>
  <c r="I695" i="6"/>
  <c r="H695" i="6"/>
  <c r="I694" i="6"/>
  <c r="H694" i="6"/>
  <c r="I692" i="6"/>
  <c r="H692" i="6"/>
  <c r="I691" i="6"/>
  <c r="H691" i="6"/>
  <c r="I690" i="6"/>
  <c r="H690" i="6"/>
  <c r="I688" i="6"/>
  <c r="H688" i="6"/>
  <c r="I687" i="6"/>
  <c r="H687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I662" i="6"/>
  <c r="H662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0" i="6"/>
  <c r="H630" i="6"/>
  <c r="I629" i="6"/>
  <c r="H629" i="6"/>
  <c r="I628" i="6"/>
  <c r="H628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1" i="6"/>
  <c r="H601" i="6"/>
  <c r="I591" i="6"/>
  <c r="H591" i="6"/>
  <c r="I588" i="6"/>
  <c r="H588" i="6"/>
  <c r="I577" i="6"/>
  <c r="H577" i="6"/>
  <c r="I576" i="6"/>
  <c r="H576" i="6"/>
  <c r="I574" i="6"/>
  <c r="H574" i="6"/>
  <c r="I572" i="6"/>
  <c r="H572" i="6"/>
  <c r="I571" i="6"/>
  <c r="H571" i="6"/>
  <c r="I570" i="6"/>
  <c r="H570" i="6"/>
  <c r="I569" i="6"/>
  <c r="H569" i="6"/>
  <c r="I568" i="6"/>
  <c r="H568" i="6"/>
  <c r="I563" i="6"/>
  <c r="H563" i="6"/>
  <c r="I562" i="6"/>
  <c r="H562" i="6"/>
  <c r="I559" i="6"/>
  <c r="H559" i="6"/>
  <c r="I555" i="6"/>
  <c r="H555" i="6"/>
  <c r="I554" i="6"/>
  <c r="H554" i="6"/>
  <c r="I552" i="6"/>
  <c r="H552" i="6"/>
  <c r="I551" i="6"/>
  <c r="H551" i="6"/>
  <c r="I550" i="6"/>
  <c r="H550" i="6"/>
  <c r="I547" i="6"/>
  <c r="H547" i="6"/>
  <c r="I545" i="6"/>
  <c r="H545" i="6"/>
  <c r="I544" i="6"/>
  <c r="H544" i="6"/>
  <c r="I543" i="6"/>
  <c r="H543" i="6"/>
  <c r="I542" i="6"/>
  <c r="H542" i="6"/>
  <c r="I540" i="6"/>
  <c r="H540" i="6"/>
  <c r="I539" i="6"/>
  <c r="H539" i="6"/>
  <c r="I538" i="6"/>
  <c r="H538" i="6"/>
  <c r="I537" i="6"/>
  <c r="H537" i="6"/>
  <c r="I535" i="6"/>
  <c r="H535" i="6"/>
  <c r="I529" i="6"/>
  <c r="H529" i="6"/>
  <c r="I528" i="6"/>
  <c r="H528" i="6"/>
  <c r="I527" i="6"/>
  <c r="H527" i="6"/>
  <c r="I526" i="6"/>
  <c r="H526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2" i="6"/>
  <c r="H482" i="6"/>
  <c r="I481" i="6"/>
  <c r="H481" i="6"/>
  <c r="H476" i="6"/>
  <c r="H475" i="6"/>
  <c r="I474" i="6"/>
  <c r="I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I465" i="6"/>
  <c r="I464" i="6"/>
  <c r="I463" i="6"/>
  <c r="I462" i="6"/>
  <c r="I461" i="6"/>
  <c r="I460" i="6"/>
  <c r="H460" i="6"/>
  <c r="I459" i="6"/>
  <c r="H459" i="6"/>
  <c r="I453" i="6"/>
  <c r="H453" i="6"/>
  <c r="I452" i="6"/>
  <c r="H452" i="6"/>
  <c r="I450" i="6"/>
  <c r="H450" i="6"/>
  <c r="I447" i="6"/>
  <c r="H447" i="6"/>
  <c r="I445" i="6"/>
  <c r="H445" i="6"/>
  <c r="I443" i="6"/>
  <c r="H443" i="6"/>
  <c r="I441" i="6"/>
  <c r="H441" i="6"/>
  <c r="I438" i="6"/>
  <c r="H438" i="6"/>
  <c r="I437" i="6"/>
  <c r="H437" i="6"/>
  <c r="I436" i="6"/>
  <c r="H436" i="6"/>
  <c r="I435" i="6"/>
  <c r="H435" i="6"/>
  <c r="I432" i="6"/>
  <c r="H432" i="6"/>
  <c r="I428" i="6"/>
  <c r="H428" i="6"/>
  <c r="I425" i="6"/>
  <c r="H425" i="6"/>
  <c r="I424" i="6"/>
  <c r="H424" i="6"/>
  <c r="I423" i="6"/>
  <c r="H423" i="6"/>
  <c r="I421" i="6"/>
  <c r="H421" i="6"/>
  <c r="I420" i="6"/>
  <c r="H420" i="6"/>
  <c r="I408" i="6"/>
  <c r="H408" i="6"/>
  <c r="I407" i="6"/>
  <c r="H407" i="6"/>
  <c r="I406" i="6"/>
  <c r="H406" i="6"/>
  <c r="I405" i="6"/>
  <c r="H405" i="6"/>
  <c r="I404" i="6"/>
  <c r="H404" i="6"/>
  <c r="I393" i="6"/>
  <c r="H393" i="6"/>
  <c r="I392" i="6"/>
  <c r="H392" i="6"/>
  <c r="I391" i="6"/>
  <c r="H391" i="6"/>
  <c r="I390" i="6"/>
  <c r="H390" i="6"/>
  <c r="I389" i="6"/>
  <c r="H389" i="6"/>
  <c r="I385" i="6"/>
  <c r="H385" i="6"/>
  <c r="I384" i="6"/>
  <c r="H384" i="6"/>
  <c r="I383" i="6"/>
  <c r="H383" i="6"/>
  <c r="I381" i="6"/>
  <c r="H381" i="6"/>
  <c r="I380" i="6"/>
  <c r="H380" i="6"/>
  <c r="I378" i="6"/>
  <c r="H378" i="6"/>
  <c r="I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I366" i="6"/>
  <c r="H366" i="6"/>
  <c r="I365" i="6"/>
  <c r="H365" i="6"/>
  <c r="I364" i="6"/>
  <c r="H364" i="6"/>
  <c r="I362" i="6"/>
  <c r="H362" i="6"/>
  <c r="I360" i="6"/>
  <c r="H360" i="6"/>
  <c r="I357" i="6"/>
  <c r="H357" i="6"/>
  <c r="I356" i="6"/>
  <c r="H356" i="6"/>
  <c r="I355" i="6"/>
  <c r="H355" i="6"/>
  <c r="I354" i="6"/>
  <c r="H354" i="6"/>
  <c r="I352" i="6"/>
  <c r="H352" i="6"/>
  <c r="I350" i="6"/>
  <c r="H350" i="6"/>
  <c r="I349" i="6"/>
  <c r="H349" i="6"/>
  <c r="I348" i="6"/>
  <c r="H348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0" i="6"/>
  <c r="H320" i="6"/>
  <c r="I319" i="6"/>
  <c r="H319" i="6"/>
  <c r="I318" i="6"/>
  <c r="H318" i="6"/>
  <c r="I317" i="6"/>
  <c r="H317" i="6"/>
  <c r="I315" i="6"/>
  <c r="H315" i="6"/>
  <c r="I314" i="6"/>
  <c r="H314" i="6"/>
  <c r="I312" i="6"/>
  <c r="H312" i="6"/>
  <c r="I311" i="6"/>
  <c r="H311" i="6"/>
  <c r="I310" i="6"/>
  <c r="H310" i="6"/>
  <c r="I307" i="6"/>
  <c r="H307" i="6"/>
  <c r="I306" i="6"/>
  <c r="H306" i="6"/>
  <c r="I304" i="6"/>
  <c r="H304" i="6"/>
  <c r="I303" i="6"/>
  <c r="H303" i="6"/>
  <c r="I302" i="6"/>
  <c r="H302" i="6"/>
  <c r="I301" i="6"/>
  <c r="H301" i="6"/>
  <c r="I300" i="6"/>
  <c r="H300" i="6"/>
  <c r="I298" i="6"/>
  <c r="H298" i="6"/>
  <c r="I297" i="6"/>
  <c r="H297" i="6"/>
  <c r="I293" i="6"/>
  <c r="H293" i="6"/>
  <c r="I292" i="6"/>
  <c r="H292" i="6"/>
  <c r="I1120" i="6"/>
  <c r="H1120" i="6"/>
  <c r="I1119" i="6"/>
  <c r="H1119" i="6"/>
  <c r="I1114" i="6"/>
  <c r="H1114" i="6"/>
  <c r="I1113" i="6"/>
  <c r="H1113" i="6"/>
  <c r="I1112" i="6"/>
  <c r="H1112" i="6"/>
  <c r="I1111" i="6"/>
  <c r="H1111" i="6"/>
  <c r="I1107" i="6"/>
  <c r="H1107" i="6"/>
  <c r="I1103" i="6"/>
  <c r="H1103" i="6"/>
  <c r="I1101" i="6"/>
  <c r="H1101" i="6"/>
  <c r="I1098" i="6"/>
  <c r="H1098" i="6"/>
  <c r="I1097" i="6"/>
  <c r="H1097" i="6"/>
  <c r="I1096" i="6"/>
  <c r="H1096" i="6"/>
  <c r="I1095" i="6"/>
  <c r="H1095" i="6"/>
  <c r="I1094" i="6"/>
  <c r="H1094" i="6"/>
  <c r="I1093" i="6"/>
  <c r="H1093" i="6"/>
  <c r="I1092" i="6"/>
  <c r="H1092" i="6"/>
  <c r="I1091" i="6"/>
  <c r="H1091" i="6"/>
  <c r="I1090" i="6"/>
  <c r="H1090" i="6"/>
  <c r="I1089" i="6"/>
  <c r="H1089" i="6"/>
  <c r="I1088" i="6"/>
  <c r="H1088" i="6"/>
  <c r="I1087" i="6"/>
  <c r="H1087" i="6"/>
  <c r="I1086" i="6"/>
  <c r="H1086" i="6"/>
  <c r="I1085" i="6"/>
  <c r="H1085" i="6"/>
  <c r="I1084" i="6"/>
  <c r="H1084" i="6"/>
  <c r="I1083" i="6"/>
  <c r="H1083" i="6"/>
  <c r="I1082" i="6"/>
  <c r="H1082" i="6"/>
  <c r="I1080" i="6"/>
  <c r="H1080" i="6"/>
  <c r="I1079" i="6"/>
  <c r="H1079" i="6"/>
  <c r="I1078" i="6"/>
  <c r="H1078" i="6"/>
  <c r="I1077" i="6"/>
  <c r="H1077" i="6"/>
  <c r="I1076" i="6"/>
  <c r="H1076" i="6"/>
  <c r="I1074" i="6"/>
  <c r="H1074" i="6"/>
  <c r="I1072" i="6"/>
  <c r="H1072" i="6"/>
  <c r="I1070" i="6"/>
  <c r="H1070" i="6"/>
  <c r="I1069" i="6"/>
  <c r="H1069" i="6"/>
  <c r="I1068" i="6"/>
  <c r="H1068" i="6"/>
  <c r="I1067" i="6"/>
  <c r="H1067" i="6"/>
  <c r="I1066" i="6"/>
  <c r="H1066" i="6"/>
  <c r="I1065" i="6"/>
  <c r="H1065" i="6"/>
  <c r="I1058" i="6"/>
  <c r="H1058" i="6"/>
  <c r="I1057" i="6"/>
  <c r="H1057" i="6"/>
  <c r="I1055" i="6"/>
  <c r="H1055" i="6"/>
  <c r="I1054" i="6"/>
  <c r="H1054" i="6"/>
  <c r="I1053" i="6"/>
  <c r="H1053" i="6"/>
  <c r="I1050" i="6"/>
  <c r="H1050" i="6"/>
  <c r="I1049" i="6"/>
  <c r="H1049" i="6"/>
  <c r="I1046" i="6"/>
  <c r="H1046" i="6"/>
  <c r="I1045" i="6"/>
  <c r="H1045" i="6"/>
  <c r="I1044" i="6"/>
  <c r="H1044" i="6"/>
  <c r="I1043" i="6"/>
  <c r="H1043" i="6"/>
  <c r="I1040" i="6"/>
  <c r="H1040" i="6"/>
  <c r="I1037" i="6"/>
  <c r="H1037" i="6"/>
  <c r="I1035" i="6"/>
  <c r="H1035" i="6"/>
  <c r="I1032" i="6"/>
  <c r="H1032" i="6"/>
  <c r="I1031" i="6"/>
  <c r="H1031" i="6"/>
  <c r="I1030" i="6"/>
  <c r="H1030" i="6"/>
  <c r="I1029" i="6"/>
  <c r="H1029" i="6"/>
  <c r="I1025" i="6"/>
  <c r="H1025" i="6"/>
  <c r="I1023" i="6"/>
  <c r="H1023" i="6"/>
  <c r="I1018" i="6"/>
  <c r="H1018" i="6"/>
  <c r="I1016" i="6"/>
  <c r="H1016" i="6"/>
  <c r="I1015" i="6"/>
  <c r="H1015" i="6"/>
  <c r="I1005" i="6"/>
  <c r="H1005" i="6"/>
  <c r="I1003" i="6"/>
  <c r="H1003" i="6"/>
  <c r="I999" i="6"/>
  <c r="H999" i="6"/>
  <c r="I997" i="6"/>
  <c r="H997" i="6"/>
  <c r="I996" i="6"/>
  <c r="H996" i="6"/>
  <c r="I995" i="6"/>
  <c r="H995" i="6"/>
  <c r="I992" i="6"/>
  <c r="H992" i="6"/>
  <c r="I991" i="6"/>
  <c r="H991" i="6"/>
  <c r="I990" i="6"/>
  <c r="H990" i="6"/>
  <c r="I989" i="6"/>
  <c r="H989" i="6"/>
  <c r="I988" i="6"/>
  <c r="H988" i="6"/>
  <c r="I987" i="6"/>
  <c r="H987" i="6"/>
  <c r="I986" i="6"/>
  <c r="H986" i="6"/>
  <c r="I985" i="6"/>
  <c r="H985" i="6"/>
  <c r="I984" i="6"/>
  <c r="H984" i="6"/>
  <c r="I983" i="6"/>
  <c r="H983" i="6"/>
  <c r="I982" i="6"/>
  <c r="H982" i="6"/>
  <c r="I981" i="6"/>
  <c r="H981" i="6"/>
  <c r="I980" i="6"/>
  <c r="H980" i="6"/>
  <c r="I979" i="6"/>
  <c r="H979" i="6"/>
  <c r="I977" i="6"/>
  <c r="H977" i="6"/>
  <c r="I976" i="6"/>
  <c r="H976" i="6"/>
  <c r="I974" i="6"/>
  <c r="H974" i="6"/>
  <c r="I973" i="6"/>
  <c r="H973" i="6"/>
  <c r="I972" i="6"/>
  <c r="H972" i="6"/>
  <c r="I969" i="6"/>
  <c r="H969" i="6"/>
  <c r="I968" i="6"/>
  <c r="H968" i="6"/>
  <c r="I967" i="6"/>
  <c r="H967" i="6"/>
  <c r="I964" i="6"/>
  <c r="H964" i="6"/>
  <c r="I963" i="6"/>
  <c r="H963" i="6"/>
  <c r="I962" i="6"/>
  <c r="H962" i="6"/>
  <c r="I961" i="6"/>
  <c r="H961" i="6"/>
  <c r="I960" i="6"/>
  <c r="H960" i="6"/>
  <c r="I959" i="6"/>
  <c r="H959" i="6"/>
  <c r="I958" i="6"/>
  <c r="H958" i="6"/>
  <c r="I957" i="6"/>
  <c r="H957" i="6"/>
  <c r="I956" i="6"/>
  <c r="H956" i="6"/>
  <c r="I955" i="6"/>
  <c r="H955" i="6"/>
  <c r="I954" i="6"/>
  <c r="H954" i="6"/>
  <c r="I953" i="6"/>
  <c r="H953" i="6"/>
  <c r="I951" i="6"/>
  <c r="H951" i="6"/>
  <c r="I950" i="6"/>
  <c r="H950" i="6"/>
  <c r="I944" i="6"/>
  <c r="H944" i="6"/>
  <c r="I943" i="6"/>
  <c r="H943" i="6"/>
  <c r="I942" i="6"/>
  <c r="H942" i="6"/>
  <c r="I941" i="6"/>
  <c r="H941" i="6"/>
  <c r="H940" i="6"/>
  <c r="H939" i="6"/>
  <c r="H938" i="6"/>
  <c r="H937" i="6"/>
  <c r="H936" i="6"/>
  <c r="H935" i="6"/>
  <c r="H933" i="6"/>
  <c r="H932" i="6"/>
  <c r="I930" i="6"/>
  <c r="H930" i="6"/>
  <c r="I929" i="6"/>
  <c r="H929" i="6"/>
  <c r="I925" i="6"/>
  <c r="H925" i="6"/>
  <c r="I921" i="6"/>
  <c r="H921" i="6"/>
  <c r="I914" i="6"/>
  <c r="H914" i="6"/>
  <c r="I913" i="6"/>
  <c r="H913" i="6"/>
  <c r="I912" i="6"/>
  <c r="H912" i="6"/>
  <c r="H911" i="6"/>
  <c r="H910" i="6"/>
  <c r="H909" i="6"/>
  <c r="H908" i="6"/>
  <c r="I907" i="6"/>
  <c r="H907" i="6"/>
  <c r="I906" i="6"/>
  <c r="H906" i="6"/>
  <c r="I905" i="6"/>
  <c r="H905" i="6"/>
  <c r="I904" i="6"/>
  <c r="H904" i="6"/>
  <c r="I899" i="6"/>
  <c r="H899" i="6"/>
  <c r="I897" i="6"/>
  <c r="H897" i="6"/>
  <c r="I895" i="6"/>
  <c r="H895" i="6"/>
  <c r="I894" i="6"/>
  <c r="H894" i="6"/>
  <c r="I893" i="6"/>
  <c r="H893" i="6"/>
  <c r="I891" i="6"/>
  <c r="H891" i="6"/>
  <c r="I889" i="6"/>
  <c r="H889" i="6"/>
  <c r="I887" i="6"/>
  <c r="H887" i="6"/>
  <c r="I883" i="6"/>
  <c r="H883" i="6"/>
  <c r="I881" i="6"/>
  <c r="H881" i="6"/>
  <c r="I877" i="6"/>
  <c r="H877" i="6"/>
  <c r="I876" i="6"/>
  <c r="H876" i="6"/>
  <c r="I875" i="6"/>
  <c r="H875" i="6"/>
  <c r="I871" i="6"/>
  <c r="H871" i="6"/>
  <c r="I869" i="6"/>
  <c r="H869" i="6"/>
  <c r="I866" i="6"/>
  <c r="H866" i="6"/>
  <c r="I865" i="6"/>
  <c r="H865" i="6"/>
  <c r="I864" i="6"/>
  <c r="H864" i="6"/>
  <c r="I863" i="6"/>
  <c r="H863" i="6"/>
  <c r="I862" i="6"/>
  <c r="H862" i="6"/>
  <c r="I859" i="6"/>
  <c r="H859" i="6"/>
  <c r="I858" i="6"/>
  <c r="H858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1282" i="6"/>
  <c r="H1282" i="6"/>
  <c r="I1281" i="6"/>
  <c r="H1281" i="6"/>
  <c r="I1256" i="6"/>
  <c r="H1256" i="6"/>
  <c r="I1255" i="6"/>
  <c r="H1255" i="6"/>
  <c r="I1239" i="6"/>
  <c r="H1239" i="6"/>
  <c r="I1238" i="6"/>
  <c r="H1238" i="6"/>
  <c r="I1237" i="6"/>
  <c r="H1237" i="6"/>
  <c r="I1236" i="6"/>
  <c r="H1236" i="6"/>
  <c r="H1235" i="6"/>
  <c r="H1234" i="6"/>
  <c r="H1233" i="6"/>
  <c r="H1232" i="6"/>
  <c r="I1231" i="6"/>
  <c r="H1231" i="6"/>
  <c r="I1230" i="6"/>
  <c r="H1230" i="6"/>
  <c r="H1229" i="6"/>
  <c r="H1228" i="6"/>
  <c r="I1227" i="6"/>
  <c r="H1227" i="6"/>
  <c r="I1226" i="6"/>
  <c r="H1226" i="6"/>
  <c r="I1225" i="6"/>
  <c r="H1225" i="6"/>
  <c r="I1224" i="6"/>
  <c r="H1224" i="6"/>
  <c r="I1223" i="6"/>
  <c r="H1223" i="6"/>
  <c r="I1222" i="6"/>
  <c r="H1222" i="6"/>
  <c r="I1221" i="6"/>
  <c r="H1221" i="6"/>
  <c r="I1220" i="6"/>
  <c r="H1220" i="6"/>
  <c r="I1219" i="6"/>
  <c r="H1219" i="6"/>
  <c r="I1218" i="6"/>
  <c r="H1218" i="6"/>
  <c r="I1217" i="6"/>
  <c r="H1217" i="6"/>
  <c r="I1216" i="6"/>
  <c r="H1216" i="6"/>
  <c r="I1214" i="6"/>
  <c r="H1214" i="6"/>
  <c r="I1212" i="6"/>
  <c r="H1212" i="6"/>
  <c r="I1208" i="6"/>
  <c r="H1208" i="6"/>
  <c r="I1204" i="6"/>
  <c r="H1204" i="6"/>
  <c r="I1203" i="6"/>
  <c r="H1203" i="6"/>
  <c r="I1200" i="6"/>
  <c r="H1200" i="6"/>
  <c r="I1199" i="6"/>
  <c r="H1199" i="6"/>
  <c r="I1198" i="6"/>
  <c r="H1198" i="6"/>
  <c r="H1197" i="6"/>
  <c r="H1196" i="6"/>
  <c r="I1195" i="6"/>
  <c r="H1195" i="6"/>
  <c r="I1194" i="6"/>
  <c r="H1194" i="6"/>
  <c r="I1193" i="6"/>
  <c r="H1193" i="6"/>
  <c r="I1192" i="6"/>
  <c r="H1192" i="6"/>
  <c r="I1191" i="6"/>
  <c r="H1191" i="6"/>
  <c r="I1190" i="6"/>
  <c r="H1190" i="6"/>
  <c r="I1189" i="6"/>
  <c r="H1189" i="6"/>
  <c r="I1188" i="6"/>
  <c r="H1188" i="6"/>
  <c r="I1187" i="6"/>
  <c r="H1187" i="6"/>
  <c r="I1186" i="6"/>
  <c r="H1186" i="6"/>
  <c r="I1185" i="6"/>
  <c r="H1185" i="6"/>
  <c r="I1184" i="6"/>
  <c r="H1184" i="6"/>
  <c r="I1183" i="6"/>
  <c r="H1183" i="6"/>
  <c r="I1182" i="6"/>
  <c r="H1182" i="6"/>
  <c r="I1181" i="6"/>
  <c r="H1181" i="6"/>
  <c r="I1180" i="6"/>
  <c r="H1180" i="6"/>
  <c r="I1179" i="6"/>
  <c r="H1179" i="6"/>
  <c r="I1178" i="6"/>
  <c r="H1178" i="6"/>
  <c r="I1175" i="6"/>
  <c r="H1175" i="6"/>
  <c r="I1174" i="6"/>
  <c r="H1174" i="6"/>
  <c r="I1173" i="6"/>
  <c r="I1172" i="6"/>
  <c r="I1171" i="6"/>
  <c r="H1171" i="6"/>
  <c r="I1169" i="6"/>
  <c r="H1169" i="6"/>
  <c r="I1168" i="6"/>
  <c r="H1168" i="6"/>
  <c r="I1162" i="6"/>
  <c r="H1162" i="6"/>
  <c r="I1161" i="6"/>
  <c r="H1161" i="6"/>
  <c r="I1159" i="6"/>
  <c r="H1159" i="6"/>
  <c r="I1158" i="6"/>
  <c r="H1158" i="6"/>
  <c r="I1157" i="6"/>
  <c r="H1157" i="6"/>
  <c r="I1156" i="6"/>
  <c r="H1156" i="6"/>
  <c r="I1155" i="6"/>
  <c r="H1155" i="6"/>
  <c r="I1154" i="6"/>
  <c r="H1154" i="6"/>
  <c r="H1153" i="6"/>
  <c r="H1152" i="6"/>
  <c r="I1151" i="6"/>
  <c r="H1151" i="6"/>
  <c r="I1149" i="6"/>
  <c r="H1149" i="6"/>
  <c r="I1148" i="6"/>
  <c r="H1148" i="6"/>
  <c r="I1147" i="6"/>
  <c r="H1147" i="6"/>
  <c r="I1146" i="6"/>
  <c r="H1146" i="6"/>
  <c r="I1145" i="6"/>
  <c r="H1145" i="6"/>
  <c r="I1138" i="6"/>
  <c r="H1138" i="6"/>
  <c r="I1137" i="6"/>
  <c r="H1137" i="6"/>
  <c r="I1136" i="6"/>
  <c r="H1136" i="6"/>
  <c r="I1134" i="6"/>
  <c r="H1134" i="6"/>
  <c r="I1133" i="6"/>
  <c r="H1133" i="6"/>
  <c r="I1132" i="6"/>
  <c r="H1132" i="6"/>
  <c r="I1129" i="6"/>
  <c r="H1129" i="6"/>
  <c r="I1128" i="6"/>
  <c r="H1128" i="6"/>
  <c r="I1126" i="6"/>
  <c r="H1126" i="6"/>
  <c r="I1124" i="6"/>
  <c r="H1124" i="6"/>
  <c r="I1122" i="6"/>
  <c r="H1122" i="6"/>
  <c r="I1369" i="6"/>
  <c r="H1369" i="6"/>
  <c r="I1368" i="6"/>
  <c r="H1368" i="6"/>
  <c r="I1367" i="6"/>
  <c r="H1367" i="6"/>
  <c r="I1360" i="6"/>
  <c r="H1360" i="6"/>
  <c r="I1358" i="6"/>
  <c r="H1358" i="6"/>
  <c r="I1357" i="6"/>
  <c r="H1357" i="6"/>
  <c r="I1354" i="6"/>
  <c r="H1354" i="6"/>
  <c r="I1347" i="6"/>
  <c r="H1347" i="6"/>
  <c r="H1346" i="6"/>
  <c r="H1345" i="6"/>
  <c r="I1344" i="6"/>
  <c r="H1344" i="6"/>
  <c r="H1343" i="6"/>
  <c r="H1342" i="6"/>
  <c r="H1341" i="6"/>
  <c r="H1340" i="6"/>
  <c r="H1339" i="6"/>
  <c r="I1338" i="6"/>
  <c r="H1338" i="6"/>
  <c r="I1337" i="6"/>
  <c r="H1337" i="6"/>
  <c r="I1336" i="6"/>
  <c r="H1336" i="6"/>
  <c r="I1335" i="6"/>
  <c r="H1335" i="6"/>
  <c r="I1334" i="6"/>
  <c r="H1334" i="6"/>
  <c r="I1333" i="6"/>
  <c r="H1333" i="6"/>
  <c r="I1332" i="6"/>
  <c r="H1332" i="6"/>
  <c r="I1331" i="6"/>
  <c r="H1331" i="6"/>
  <c r="I1329" i="6"/>
  <c r="H1329" i="6"/>
  <c r="I1328" i="6"/>
  <c r="H1328" i="6"/>
  <c r="I1327" i="6"/>
  <c r="H1327" i="6"/>
  <c r="I1325" i="6"/>
  <c r="H1325" i="6"/>
  <c r="I1319" i="6"/>
  <c r="H1319" i="6"/>
  <c r="I1318" i="6"/>
  <c r="H1318" i="6"/>
  <c r="I1317" i="6"/>
  <c r="H1317" i="6"/>
  <c r="I1316" i="6"/>
  <c r="H1316" i="6"/>
  <c r="I1315" i="6"/>
  <c r="H1315" i="6"/>
  <c r="I1314" i="6"/>
  <c r="H1314" i="6"/>
  <c r="I1313" i="6"/>
  <c r="H1313" i="6"/>
  <c r="I1312" i="6"/>
  <c r="H1312" i="6"/>
  <c r="I1311" i="6"/>
  <c r="H1311" i="6"/>
  <c r="I1310" i="6"/>
  <c r="H1310" i="6"/>
  <c r="I1309" i="6"/>
  <c r="H1309" i="6"/>
  <c r="I1308" i="6"/>
  <c r="H1308" i="6"/>
  <c r="I1307" i="6"/>
  <c r="H1307" i="6"/>
  <c r="I1306" i="6"/>
  <c r="H1306" i="6"/>
  <c r="I1304" i="6"/>
  <c r="H1304" i="6"/>
  <c r="I1294" i="6"/>
  <c r="H1294" i="6"/>
  <c r="I1292" i="6"/>
  <c r="H1292" i="6"/>
  <c r="I1289" i="6"/>
  <c r="H1289" i="6"/>
  <c r="I1288" i="6"/>
  <c r="H1288" i="6"/>
  <c r="I1284" i="6"/>
  <c r="H1284" i="6"/>
  <c r="I1283" i="6"/>
  <c r="H1283" i="6"/>
  <c r="I1410" i="6"/>
  <c r="H1410" i="6"/>
  <c r="I1409" i="6"/>
  <c r="H1409" i="6"/>
  <c r="I1408" i="6"/>
  <c r="H1408" i="6"/>
  <c r="I1407" i="6"/>
  <c r="H1407" i="6"/>
  <c r="I1406" i="6"/>
  <c r="H1406" i="6"/>
  <c r="I1405" i="6"/>
  <c r="H1405" i="6"/>
  <c r="I1404" i="6"/>
  <c r="H1404" i="6"/>
  <c r="I1403" i="6"/>
  <c r="H1403" i="6"/>
  <c r="I1402" i="6"/>
  <c r="H1402" i="6"/>
  <c r="I1401" i="6"/>
  <c r="H1401" i="6"/>
  <c r="I1400" i="6"/>
  <c r="H1400" i="6"/>
  <c r="I1397" i="6"/>
  <c r="H1397" i="6"/>
  <c r="I1382" i="6"/>
  <c r="H1382" i="6"/>
  <c r="I1381" i="6"/>
  <c r="H1381" i="6"/>
  <c r="I1380" i="6"/>
  <c r="H1380" i="6"/>
  <c r="I1377" i="6"/>
  <c r="H1377" i="6"/>
  <c r="I1373" i="6"/>
  <c r="H1373" i="6"/>
  <c r="I1372" i="6"/>
  <c r="H1372" i="6"/>
  <c r="I1371" i="6"/>
  <c r="H1371" i="6"/>
  <c r="I1426" i="6"/>
  <c r="H1426" i="6"/>
  <c r="I1425" i="6"/>
  <c r="H1425" i="6"/>
  <c r="I1424" i="6"/>
  <c r="H1424" i="6"/>
  <c r="I1423" i="6"/>
  <c r="H1423" i="6"/>
  <c r="I1422" i="6"/>
  <c r="H1422" i="6"/>
  <c r="I1421" i="6"/>
  <c r="H1421" i="6"/>
  <c r="I1420" i="6"/>
  <c r="H1420" i="6"/>
  <c r="I1419" i="6"/>
  <c r="H1419" i="6"/>
  <c r="I1418" i="6"/>
  <c r="H1418" i="6"/>
  <c r="I1417" i="6"/>
  <c r="H1417" i="6"/>
  <c r="I1416" i="6"/>
  <c r="H1416" i="6"/>
  <c r="I1414" i="6"/>
  <c r="H1414" i="6"/>
  <c r="I1413" i="6"/>
  <c r="H1413" i="6"/>
  <c r="I1412" i="6"/>
  <c r="H1412" i="6"/>
  <c r="I1411" i="6"/>
  <c r="H1411" i="6"/>
  <c r="I1437" i="6"/>
  <c r="H1437" i="6"/>
  <c r="I1436" i="6"/>
  <c r="H1436" i="6"/>
  <c r="I1435" i="6"/>
  <c r="H1435" i="6"/>
  <c r="I1432" i="6"/>
  <c r="H1432" i="6"/>
  <c r="I1428" i="6"/>
  <c r="H1428" i="6"/>
  <c r="I1442" i="6"/>
  <c r="I1441" i="6"/>
  <c r="I1440" i="6"/>
  <c r="I1439" i="6"/>
  <c r="I290" i="6"/>
  <c r="I284" i="6"/>
  <c r="I283" i="6"/>
  <c r="I255" i="6"/>
  <c r="I251" i="6"/>
  <c r="I250" i="6"/>
  <c r="I249" i="6"/>
  <c r="I248" i="6"/>
  <c r="I247" i="6"/>
  <c r="I246" i="6"/>
  <c r="I242" i="6"/>
  <c r="I241" i="6"/>
  <c r="I240" i="6"/>
  <c r="I239" i="6"/>
  <c r="I235" i="6"/>
  <c r="I234" i="6"/>
  <c r="I218" i="6"/>
  <c r="I217" i="6"/>
  <c r="I216" i="6"/>
  <c r="I210" i="6"/>
  <c r="I204" i="6"/>
  <c r="I203" i="6"/>
  <c r="I200" i="6"/>
  <c r="I189" i="6"/>
  <c r="I188" i="6"/>
  <c r="I173" i="6"/>
  <c r="I172" i="6"/>
  <c r="I170" i="6"/>
  <c r="I165" i="6"/>
  <c r="I163" i="6"/>
  <c r="I161" i="6"/>
  <c r="I160" i="6"/>
  <c r="I159" i="6"/>
  <c r="I158" i="6"/>
  <c r="I157" i="6"/>
  <c r="I156" i="6"/>
  <c r="I153" i="6"/>
  <c r="I152" i="6"/>
  <c r="I150" i="6"/>
  <c r="I149" i="6"/>
  <c r="I142" i="6"/>
  <c r="I141" i="6"/>
  <c r="I140" i="6"/>
  <c r="I139" i="6"/>
  <c r="I134" i="6"/>
  <c r="I127" i="6"/>
  <c r="I123" i="6"/>
  <c r="I121" i="6"/>
  <c r="I120" i="6"/>
  <c r="I119" i="6"/>
  <c r="I118" i="6"/>
  <c r="I117" i="6"/>
  <c r="I115" i="6"/>
  <c r="I114" i="6"/>
  <c r="I113" i="6"/>
  <c r="I112" i="6"/>
  <c r="I111" i="6"/>
  <c r="I110" i="6"/>
  <c r="I108" i="6"/>
  <c r="I107" i="6"/>
  <c r="I106" i="6"/>
  <c r="I105" i="6"/>
  <c r="I104" i="6"/>
  <c r="I103" i="6"/>
  <c r="I100" i="6"/>
  <c r="I99" i="6"/>
  <c r="I93" i="6"/>
  <c r="I91" i="6"/>
  <c r="I90" i="6"/>
  <c r="I89" i="6"/>
  <c r="I88" i="6"/>
  <c r="I87" i="6"/>
  <c r="I86" i="6"/>
  <c r="I84" i="6"/>
  <c r="I83" i="6"/>
  <c r="I82" i="6"/>
  <c r="I81" i="6"/>
  <c r="I79" i="6"/>
  <c r="I78" i="6"/>
  <c r="I77" i="6"/>
  <c r="I76" i="6"/>
  <c r="I75" i="6"/>
  <c r="I70" i="6"/>
  <c r="I69" i="6"/>
  <c r="I68" i="6"/>
  <c r="I67" i="6"/>
  <c r="I66" i="6"/>
  <c r="I65" i="6"/>
  <c r="I63" i="6"/>
  <c r="I62" i="6"/>
  <c r="I61" i="6"/>
  <c r="I60" i="6"/>
  <c r="I54" i="6"/>
  <c r="I53" i="6"/>
  <c r="I52" i="6"/>
  <c r="I51" i="6"/>
  <c r="I49" i="6"/>
  <c r="I45" i="6"/>
  <c r="I42" i="6"/>
  <c r="I40" i="6"/>
  <c r="I37" i="6"/>
  <c r="I30" i="6"/>
  <c r="I27" i="6"/>
  <c r="I24" i="6"/>
  <c r="I19" i="6"/>
  <c r="I17" i="6"/>
  <c r="I14" i="6"/>
  <c r="I10" i="6"/>
  <c r="I9" i="6"/>
  <c r="I8" i="6"/>
  <c r="I1438" i="6"/>
  <c r="H140" i="6"/>
  <c r="H118" i="6"/>
  <c r="H114" i="6"/>
  <c r="N9" i="14"/>
  <c r="H8" i="6"/>
  <c r="H9" i="6"/>
  <c r="H10" i="6"/>
  <c r="H14" i="6"/>
  <c r="H17" i="6"/>
  <c r="H19" i="6"/>
  <c r="H24" i="6"/>
  <c r="H27" i="6"/>
  <c r="H30" i="6"/>
  <c r="H37" i="6"/>
  <c r="H40" i="6"/>
  <c r="H42" i="6"/>
  <c r="H45" i="6"/>
  <c r="H49" i="6"/>
  <c r="H51" i="6"/>
  <c r="H52" i="6"/>
  <c r="H53" i="6"/>
  <c r="H54" i="6"/>
  <c r="H60" i="6"/>
  <c r="H61" i="6"/>
  <c r="H62" i="6"/>
  <c r="H63" i="6"/>
  <c r="H65" i="6"/>
  <c r="H66" i="6"/>
  <c r="H67" i="6"/>
  <c r="H68" i="6"/>
  <c r="H69" i="6"/>
  <c r="H70" i="6"/>
  <c r="H75" i="6"/>
  <c r="H76" i="6"/>
  <c r="H77" i="6"/>
  <c r="H78" i="6"/>
  <c r="H79" i="6"/>
  <c r="H81" i="6"/>
  <c r="H82" i="6"/>
  <c r="H83" i="6"/>
  <c r="H84" i="6"/>
  <c r="H86" i="6"/>
  <c r="H87" i="6"/>
  <c r="H88" i="6"/>
  <c r="H89" i="6"/>
  <c r="H90" i="6"/>
  <c r="H91" i="6"/>
  <c r="H93" i="6"/>
  <c r="H99" i="6"/>
  <c r="H100" i="6"/>
  <c r="H103" i="6"/>
  <c r="H104" i="6"/>
  <c r="H105" i="6"/>
  <c r="H106" i="6"/>
  <c r="H107" i="6"/>
  <c r="H108" i="6"/>
  <c r="H112" i="6"/>
  <c r="H113" i="6"/>
  <c r="H115" i="6"/>
  <c r="H117" i="6"/>
  <c r="H119" i="6"/>
  <c r="H120" i="6"/>
  <c r="H121" i="6"/>
  <c r="H123" i="6"/>
  <c r="H127" i="6"/>
  <c r="H134" i="6"/>
  <c r="H139" i="6"/>
  <c r="H141" i="6"/>
  <c r="H142" i="6"/>
  <c r="H149" i="6"/>
  <c r="H150" i="6"/>
  <c r="H152" i="6"/>
  <c r="H153" i="6"/>
  <c r="H156" i="6"/>
  <c r="H157" i="6"/>
  <c r="H158" i="6"/>
  <c r="H159" i="6"/>
  <c r="H160" i="6"/>
  <c r="H161" i="6"/>
  <c r="H163" i="6"/>
  <c r="H165" i="6"/>
  <c r="H170" i="6"/>
  <c r="H172" i="6"/>
  <c r="H173" i="6"/>
  <c r="H188" i="6"/>
  <c r="H189" i="6"/>
  <c r="H200" i="6"/>
  <c r="H203" i="6"/>
  <c r="H204" i="6"/>
  <c r="H210" i="6"/>
  <c r="H216" i="6"/>
  <c r="H217" i="6"/>
  <c r="H218" i="6"/>
  <c r="H235" i="6"/>
  <c r="H239" i="6"/>
  <c r="H240" i="6"/>
  <c r="H241" i="6"/>
  <c r="H242" i="6"/>
  <c r="H246" i="6"/>
  <c r="H247" i="6"/>
  <c r="H248" i="6"/>
  <c r="H249" i="6"/>
  <c r="H250" i="6"/>
  <c r="H251" i="6"/>
  <c r="H255" i="6"/>
  <c r="H283" i="6"/>
  <c r="H284" i="6"/>
  <c r="H290" i="6"/>
  <c r="H1438" i="6"/>
  <c r="H1439" i="6"/>
  <c r="H1440" i="6"/>
  <c r="H1441" i="6"/>
  <c r="H1442" i="6"/>
  <c r="N4" i="14"/>
  <c r="N3" i="14"/>
  <c r="N5" i="14"/>
  <c r="N6" i="14"/>
  <c r="N7" i="14"/>
  <c r="N10" i="14"/>
  <c r="N11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3" i="14"/>
  <c r="I2" i="14"/>
  <c r="Q686" i="14"/>
  <c r="Q624" i="14"/>
  <c r="Q617" i="14"/>
  <c r="Q609" i="14"/>
  <c r="Q581" i="14"/>
  <c r="Q564" i="14"/>
  <c r="Q503" i="14"/>
  <c r="Q494" i="14"/>
  <c r="Q486" i="14"/>
  <c r="Q468" i="14"/>
  <c r="Q446" i="14"/>
  <c r="Q434" i="14"/>
  <c r="Q424" i="14"/>
  <c r="Q380" i="14"/>
  <c r="Q348" i="14"/>
  <c r="Q338" i="14"/>
  <c r="Q326" i="14"/>
  <c r="Q294" i="14"/>
  <c r="Q272" i="14"/>
  <c r="Q262" i="14"/>
  <c r="Q251" i="14"/>
  <c r="Q209" i="14"/>
  <c r="Q194" i="14"/>
  <c r="Q179" i="14"/>
  <c r="Q164" i="14"/>
  <c r="Q154" i="14"/>
  <c r="Q125" i="14"/>
  <c r="Q108" i="14"/>
  <c r="Q90" i="14"/>
  <c r="Q77" i="14"/>
  <c r="Q62" i="14"/>
  <c r="Q685" i="14"/>
  <c r="Q637" i="14"/>
  <c r="Q623" i="14"/>
  <c r="Q608" i="14"/>
  <c r="Q601" i="14"/>
  <c r="Q579" i="14"/>
  <c r="Q563" i="14"/>
  <c r="Q555" i="14"/>
  <c r="Q533" i="14"/>
  <c r="Q525" i="14"/>
  <c r="Q518" i="14"/>
  <c r="Q510" i="14"/>
  <c r="Q493" i="14"/>
  <c r="Q484" i="14"/>
  <c r="Q475" i="14"/>
  <c r="Q443" i="14"/>
  <c r="Q432" i="14"/>
  <c r="Q422" i="14"/>
  <c r="Q401" i="14"/>
  <c r="Q335" i="14"/>
  <c r="Q324" i="14"/>
  <c r="Q314" i="14"/>
  <c r="Q281" i="14"/>
  <c r="Q270" i="14"/>
  <c r="Q250" i="14"/>
  <c r="Q239" i="14"/>
  <c r="Q222" i="14"/>
  <c r="Q208" i="14"/>
  <c r="Q191" i="14"/>
  <c r="Q178" i="14"/>
  <c r="Q152" i="14"/>
  <c r="Q136" i="14"/>
  <c r="Q107" i="14"/>
  <c r="Q89" i="14"/>
  <c r="Q74" i="14"/>
  <c r="Q60" i="14"/>
  <c r="Q47" i="14"/>
  <c r="Q30" i="14"/>
  <c r="Q14" i="14"/>
  <c r="Q684" i="14"/>
  <c r="Q657" i="14"/>
  <c r="Q629" i="14"/>
  <c r="Q607" i="14"/>
  <c r="Q600" i="14"/>
  <c r="Q578" i="14"/>
  <c r="Q517" i="14"/>
  <c r="Q509" i="14"/>
  <c r="Q491" i="14"/>
  <c r="Q442" i="14"/>
  <c r="Q431" i="14"/>
  <c r="Q420" i="14"/>
  <c r="Q398" i="14"/>
  <c r="Q377" i="14"/>
  <c r="Q366" i="14"/>
  <c r="Q356" i="14"/>
  <c r="Q334" i="14"/>
  <c r="Q323" i="14"/>
  <c r="Q312" i="14"/>
  <c r="Q290" i="14"/>
  <c r="Q280" i="14"/>
  <c r="Q269" i="14"/>
  <c r="Q248" i="14"/>
  <c r="Q221" i="14"/>
  <c r="Q190" i="14"/>
  <c r="Q176" i="14"/>
  <c r="Q134" i="14"/>
  <c r="Q119" i="14"/>
  <c r="Q86" i="14"/>
  <c r="Q72" i="14"/>
  <c r="Q642" i="14"/>
  <c r="Q627" i="14"/>
  <c r="Q606" i="14"/>
  <c r="Q584" i="14"/>
  <c r="Q576" i="14"/>
  <c r="Q552" i="14"/>
  <c r="Q545" i="14"/>
  <c r="Q537" i="14"/>
  <c r="Q530" i="14"/>
  <c r="Q523" i="14"/>
  <c r="Q516" i="14"/>
  <c r="Q508" i="14"/>
  <c r="Q498" i="14"/>
  <c r="Q490" i="14"/>
  <c r="Q450" i="14"/>
  <c r="Q440" i="14"/>
  <c r="Q419" i="14"/>
  <c r="Q407" i="14"/>
  <c r="Q376" i="14"/>
  <c r="Q365" i="14"/>
  <c r="Q353" i="14"/>
  <c r="Q332" i="14"/>
  <c r="Q322" i="14"/>
  <c r="Q311" i="14"/>
  <c r="Q299" i="14"/>
  <c r="Q288" i="14"/>
  <c r="Q268" i="14"/>
  <c r="Q257" i="14"/>
  <c r="Q245" i="14"/>
  <c r="Q233" i="14"/>
  <c r="Q200" i="14"/>
  <c r="Q188" i="14"/>
  <c r="Q173" i="14"/>
  <c r="Q160" i="14"/>
  <c r="Q132" i="14"/>
  <c r="Q114" i="14"/>
  <c r="Q84" i="14"/>
  <c r="Q71" i="14"/>
  <c r="Q54" i="14"/>
  <c r="Q641" i="14"/>
  <c r="Q633" i="14"/>
  <c r="Q619" i="14"/>
  <c r="Q575" i="14"/>
  <c r="Q567" i="14"/>
  <c r="Q551" i="14"/>
  <c r="Q543" i="14"/>
  <c r="Q536" i="14"/>
  <c r="Q529" i="14"/>
  <c r="Q522" i="14"/>
  <c r="Q515" i="14"/>
  <c r="Q488" i="14"/>
  <c r="Q480" i="14"/>
  <c r="Q449" i="14"/>
  <c r="Q384" i="14"/>
  <c r="Q362" i="14"/>
  <c r="Q330" i="14"/>
  <c r="Q320" i="14"/>
  <c r="Q308" i="14"/>
  <c r="Q298" i="14"/>
  <c r="Q287" i="14"/>
  <c r="Q266" i="14"/>
  <c r="Q232" i="14"/>
  <c r="Q182" i="14"/>
  <c r="Q172" i="14"/>
  <c r="Q146" i="14"/>
  <c r="Q113" i="14"/>
  <c r="Q53" i="14"/>
  <c r="Q38" i="14"/>
  <c r="Q673" i="14"/>
  <c r="Q625" i="14"/>
  <c r="Q618" i="14"/>
  <c r="Q611" i="14"/>
  <c r="Q573" i="14"/>
  <c r="Q528" i="14"/>
  <c r="Q504" i="14"/>
  <c r="Q487" i="14"/>
  <c r="Q448" i="14"/>
  <c r="Q383" i="14"/>
  <c r="Q340" i="14"/>
  <c r="Q329" i="14"/>
  <c r="Q306" i="14"/>
  <c r="Q296" i="14"/>
  <c r="Q286" i="14"/>
  <c r="Q275" i="14"/>
  <c r="Q263" i="14"/>
  <c r="Q242" i="14"/>
  <c r="Q230" i="14"/>
  <c r="Q196" i="14"/>
  <c r="Q180" i="14"/>
  <c r="Q144" i="14"/>
  <c r="Q126" i="14"/>
  <c r="Q110" i="14"/>
  <c r="Q95" i="14"/>
  <c r="Q78" i="14"/>
  <c r="Q50" i="14"/>
  <c r="Q5" i="14"/>
  <c r="Q658" i="14"/>
  <c r="Q628" i="14"/>
  <c r="Q610" i="14"/>
  <c r="Q592" i="14"/>
  <c r="Q580" i="14"/>
  <c r="Q574" i="14"/>
  <c r="Q568" i="14"/>
  <c r="Q556" i="14"/>
  <c r="Q532" i="14"/>
  <c r="Q514" i="14"/>
  <c r="Q513" i="14"/>
  <c r="Q499" i="14"/>
  <c r="Q492" i="14"/>
  <c r="Q489" i="14"/>
  <c r="Q485" i="14"/>
  <c r="Q477" i="14"/>
  <c r="Q470" i="14"/>
  <c r="Q462" i="14"/>
  <c r="Q454" i="14"/>
  <c r="Q451" i="14"/>
  <c r="Q447" i="14"/>
  <c r="Q445" i="14"/>
  <c r="Q444" i="14"/>
  <c r="Q441" i="14"/>
  <c r="Q435" i="14"/>
  <c r="Q423" i="14"/>
  <c r="Q421" i="14"/>
  <c r="Q418" i="14"/>
  <c r="Q399" i="14"/>
  <c r="Q397" i="14"/>
  <c r="Q390" i="14"/>
  <c r="Q385" i="14"/>
  <c r="Q382" i="14"/>
  <c r="Q381" i="14"/>
  <c r="Q367" i="14"/>
  <c r="Q364" i="14"/>
  <c r="Q363" i="14"/>
  <c r="Q361" i="14"/>
  <c r="Q354" i="14"/>
  <c r="Q349" i="14"/>
  <c r="Q345" i="14"/>
  <c r="Q343" i="14"/>
  <c r="Q339" i="14"/>
  <c r="Q337" i="14"/>
  <c r="Q336" i="14"/>
  <c r="Q333" i="14"/>
  <c r="Q331" i="14"/>
  <c r="Q328" i="14"/>
  <c r="Q327" i="14"/>
  <c r="Q325" i="14"/>
  <c r="Q321" i="14"/>
  <c r="Q319" i="14"/>
  <c r="Q310" i="14"/>
  <c r="Q307" i="14"/>
  <c r="Q301" i="14"/>
  <c r="Q300" i="14"/>
  <c r="Q297" i="14"/>
  <c r="Q295" i="14"/>
  <c r="Q291" i="14"/>
  <c r="Q289" i="14"/>
  <c r="Q285" i="14"/>
  <c r="Q282" i="14"/>
  <c r="Q273" i="14"/>
  <c r="Q271" i="14"/>
  <c r="Q267" i="14"/>
  <c r="Q265" i="14"/>
  <c r="Q264" i="14"/>
  <c r="Q261" i="14"/>
  <c r="Q256" i="14"/>
  <c r="Q249" i="14"/>
  <c r="Q247" i="14"/>
  <c r="Q246" i="14"/>
  <c r="Q243" i="14"/>
  <c r="Q235" i="14"/>
  <c r="Q229" i="14"/>
  <c r="Q228" i="14"/>
  <c r="Q223" i="14"/>
  <c r="Q220" i="14"/>
  <c r="Q211" i="14"/>
  <c r="Q210" i="14"/>
  <c r="Q202" i="14"/>
  <c r="Q201" i="14"/>
  <c r="Q195" i="14"/>
  <c r="Q193" i="14"/>
  <c r="Q192" i="14"/>
  <c r="Q187" i="14"/>
  <c r="Q183" i="14"/>
  <c r="Q181" i="14"/>
  <c r="Q177" i="14"/>
  <c r="Q175" i="14"/>
  <c r="Q174" i="14"/>
  <c r="Q163" i="14"/>
  <c r="Q156" i="14"/>
  <c r="Q153" i="14"/>
  <c r="Q147" i="14"/>
  <c r="Q145" i="14"/>
  <c r="Q141" i="14"/>
  <c r="Q139" i="14"/>
  <c r="Q138" i="14"/>
  <c r="Q135" i="14"/>
  <c r="Q133" i="14"/>
  <c r="Q130" i="14"/>
  <c r="Q127" i="14"/>
  <c r="Q124" i="14"/>
  <c r="Q121" i="14"/>
  <c r="Q116" i="14"/>
  <c r="Q115" i="14"/>
  <c r="Q112" i="14"/>
  <c r="Q111" i="14"/>
  <c r="Q109" i="14"/>
  <c r="Q106" i="14"/>
  <c r="Q103" i="14"/>
  <c r="Q99" i="14"/>
  <c r="Q97" i="14"/>
  <c r="Q93" i="14"/>
  <c r="Q91" i="14"/>
  <c r="Q88" i="14"/>
  <c r="Q87" i="14"/>
  <c r="Q80" i="14"/>
  <c r="Q79" i="14"/>
  <c r="Q73" i="14"/>
  <c r="Q68" i="14"/>
  <c r="Q64" i="14"/>
  <c r="Q63" i="14"/>
  <c r="Q61" i="14"/>
  <c r="Q57" i="14"/>
  <c r="Q56" i="14"/>
  <c r="Q51" i="14"/>
  <c r="Q49" i="14"/>
  <c r="Q46" i="14"/>
  <c r="Q43" i="14"/>
  <c r="Q39" i="14"/>
  <c r="Q37" i="14"/>
  <c r="Q32" i="14"/>
  <c r="Q20" i="14"/>
  <c r="Q19" i="14"/>
  <c r="Q15" i="14"/>
  <c r="Q67" i="14"/>
  <c r="Q52" i="14"/>
  <c r="Q352" i="14"/>
  <c r="Q391" i="14"/>
  <c r="Q26" i="14"/>
  <c r="Q162" i="14"/>
  <c r="Q122" i="14"/>
  <c r="Q21" i="14"/>
  <c r="Q697" i="14"/>
  <c r="Q702" i="14"/>
  <c r="Q687" i="14"/>
  <c r="Q17" i="14"/>
  <c r="Q696" i="14"/>
  <c r="Q651" i="14"/>
  <c r="Q700" i="14"/>
  <c r="Q659" i="14"/>
  <c r="Q240" i="14"/>
  <c r="Q351" i="14"/>
  <c r="Q258" i="14"/>
  <c r="Q189" i="14"/>
  <c r="Q553" i="14"/>
  <c r="Q260" i="14"/>
  <c r="Q158" i="14"/>
  <c r="Q652" i="14"/>
  <c r="Q660" i="14"/>
  <c r="Q231" i="14"/>
  <c r="Q713" i="14"/>
  <c r="Q712" i="14"/>
  <c r="Q710" i="14"/>
  <c r="Q718" i="14"/>
  <c r="Q720" i="14"/>
  <c r="Q716" i="14"/>
  <c r="Q722" i="14"/>
  <c r="Q719" i="14"/>
  <c r="Q723" i="14"/>
  <c r="Q721" i="14"/>
  <c r="Q665" i="14"/>
  <c r="E113" i="57"/>
  <c r="E8" i="57"/>
  <c r="E150" i="57"/>
  <c r="K150" i="57"/>
  <c r="E183" i="57"/>
  <c r="K183" i="57"/>
  <c r="F43" i="57"/>
  <c r="F733" i="57"/>
  <c r="F113" i="57"/>
  <c r="K113" i="57"/>
  <c r="E43" i="57"/>
  <c r="F50" i="57"/>
  <c r="E86" i="57"/>
  <c r="K86" i="57"/>
  <c r="E230" i="57"/>
  <c r="F535" i="57"/>
  <c r="E417" i="57"/>
  <c r="E16" i="57"/>
  <c r="E28" i="57"/>
  <c r="E137" i="57"/>
  <c r="E267" i="57"/>
  <c r="E353" i="57"/>
  <c r="E68" i="57"/>
  <c r="E173" i="57"/>
  <c r="E187" i="57"/>
  <c r="E5" i="57"/>
  <c r="E452" i="57"/>
  <c r="E101" i="57"/>
  <c r="E209" i="57"/>
  <c r="E548" i="57"/>
  <c r="E10" i="57"/>
  <c r="E22" i="57"/>
  <c r="E33" i="57"/>
  <c r="E55" i="57"/>
  <c r="E79" i="57"/>
  <c r="E115" i="57"/>
  <c r="E151" i="57"/>
  <c r="E457" i="57"/>
  <c r="E3" i="57"/>
  <c r="E11" i="57"/>
  <c r="E23" i="57"/>
  <c r="E36" i="57"/>
  <c r="E57" i="57"/>
  <c r="E122" i="57"/>
  <c r="E158" i="57"/>
  <c r="E194" i="57"/>
  <c r="E239" i="57"/>
  <c r="E381" i="57"/>
  <c r="E513" i="57"/>
  <c r="E4" i="57"/>
  <c r="E15" i="57"/>
  <c r="E27" i="57"/>
  <c r="E41" i="57"/>
  <c r="E65" i="57"/>
  <c r="E93" i="57"/>
  <c r="E129" i="57"/>
  <c r="E165" i="57"/>
  <c r="E201" i="57"/>
  <c r="E251" i="57"/>
  <c r="E411" i="57"/>
  <c r="E535" i="57"/>
  <c r="E472" i="57"/>
  <c r="E17" i="57"/>
  <c r="E29" i="57"/>
  <c r="E48" i="57"/>
  <c r="E71" i="57"/>
  <c r="E108" i="57"/>
  <c r="E144" i="57"/>
  <c r="E180" i="57"/>
  <c r="E216" i="57"/>
  <c r="E291" i="57"/>
  <c r="E423" i="57"/>
  <c r="F30" i="57"/>
  <c r="E9" i="57"/>
  <c r="E21" i="57"/>
  <c r="E30" i="57"/>
  <c r="E50" i="57"/>
  <c r="K50" i="57"/>
  <c r="E72" i="57"/>
  <c r="E223" i="57"/>
  <c r="E317" i="57"/>
  <c r="E443" i="57"/>
  <c r="E2" i="57"/>
  <c r="E14" i="57"/>
  <c r="E20" i="57"/>
  <c r="E26" i="57"/>
  <c r="E32" i="57"/>
  <c r="E39" i="57"/>
  <c r="E47" i="57"/>
  <c r="E54" i="57"/>
  <c r="E61" i="57"/>
  <c r="E75" i="57"/>
  <c r="E83" i="57"/>
  <c r="E90" i="57"/>
  <c r="E97" i="57"/>
  <c r="E104" i="57"/>
  <c r="E111" i="57"/>
  <c r="E119" i="57"/>
  <c r="E126" i="57"/>
  <c r="E133" i="57"/>
  <c r="E140" i="57"/>
  <c r="E147" i="57"/>
  <c r="E155" i="57"/>
  <c r="E162" i="57"/>
  <c r="E169" i="57"/>
  <c r="E176" i="57"/>
  <c r="E191" i="57"/>
  <c r="E198" i="57"/>
  <c r="E205" i="57"/>
  <c r="E212" i="57"/>
  <c r="E219" i="57"/>
  <c r="E227" i="57"/>
  <c r="E234" i="57"/>
  <c r="E245" i="57"/>
  <c r="E257" i="57"/>
  <c r="E281" i="57"/>
  <c r="E305" i="57"/>
  <c r="E333" i="57"/>
  <c r="E362" i="57"/>
  <c r="E401" i="57"/>
  <c r="E429" i="57"/>
  <c r="E483" i="57"/>
  <c r="E625" i="57"/>
  <c r="F885" i="57"/>
  <c r="E515" i="57"/>
  <c r="E296" i="57"/>
  <c r="E595" i="57"/>
  <c r="E404" i="57"/>
  <c r="E471" i="57"/>
  <c r="E751" i="57"/>
  <c r="E62" i="57"/>
  <c r="E69" i="57"/>
  <c r="E77" i="57"/>
  <c r="E84" i="57"/>
  <c r="E91" i="57"/>
  <c r="E98" i="57"/>
  <c r="E105" i="57"/>
  <c r="E120" i="57"/>
  <c r="E127" i="57"/>
  <c r="E134" i="57"/>
  <c r="E141" i="57"/>
  <c r="E149" i="57"/>
  <c r="E156" i="57"/>
  <c r="E163" i="57"/>
  <c r="E170" i="57"/>
  <c r="E177" i="57"/>
  <c r="E185" i="57"/>
  <c r="E192" i="57"/>
  <c r="E199" i="57"/>
  <c r="E206" i="57"/>
  <c r="E213" i="57"/>
  <c r="E221" i="57"/>
  <c r="E228" i="57"/>
  <c r="E236" i="57"/>
  <c r="E248" i="57"/>
  <c r="E261" i="57"/>
  <c r="E284" i="57"/>
  <c r="E309" i="57"/>
  <c r="E345" i="57"/>
  <c r="E369" i="57"/>
  <c r="E405" i="57"/>
  <c r="E441" i="57"/>
  <c r="E491" i="57"/>
  <c r="E715" i="57"/>
  <c r="E35" i="57"/>
  <c r="E42" i="57"/>
  <c r="E49" i="57"/>
  <c r="E56" i="57"/>
  <c r="E63" i="57"/>
  <c r="E78" i="57"/>
  <c r="E85" i="57"/>
  <c r="E92" i="57"/>
  <c r="E99" i="57"/>
  <c r="E107" i="57"/>
  <c r="E114" i="57"/>
  <c r="E121" i="57"/>
  <c r="E128" i="57"/>
  <c r="E135" i="57"/>
  <c r="E143" i="57"/>
  <c r="E157" i="57"/>
  <c r="E164" i="57"/>
  <c r="E171" i="57"/>
  <c r="E179" i="57"/>
  <c r="E186" i="57"/>
  <c r="E193" i="57"/>
  <c r="E200" i="57"/>
  <c r="E207" i="57"/>
  <c r="E215" i="57"/>
  <c r="E222" i="57"/>
  <c r="E229" i="57"/>
  <c r="E237" i="57"/>
  <c r="E249" i="57"/>
  <c r="E266" i="57"/>
  <c r="E285" i="57"/>
  <c r="E314" i="57"/>
  <c r="E347" i="57"/>
  <c r="E375" i="57"/>
  <c r="E499" i="57"/>
  <c r="E775" i="57"/>
  <c r="E6" i="57"/>
  <c r="E12" i="57"/>
  <c r="E18" i="57"/>
  <c r="E24" i="57"/>
  <c r="E37" i="57"/>
  <c r="E44" i="57"/>
  <c r="E51" i="57"/>
  <c r="E59" i="57"/>
  <c r="E66" i="57"/>
  <c r="E73" i="57"/>
  <c r="E80" i="57"/>
  <c r="E87" i="57"/>
  <c r="E95" i="57"/>
  <c r="E102" i="57"/>
  <c r="E109" i="57"/>
  <c r="E116" i="57"/>
  <c r="E123" i="57"/>
  <c r="E131" i="57"/>
  <c r="E138" i="57"/>
  <c r="E145" i="57"/>
  <c r="E152" i="57"/>
  <c r="E159" i="57"/>
  <c r="E167" i="57"/>
  <c r="E174" i="57"/>
  <c r="E181" i="57"/>
  <c r="E188" i="57"/>
  <c r="E195" i="57"/>
  <c r="E203" i="57"/>
  <c r="E210" i="57"/>
  <c r="E217" i="57"/>
  <c r="E224" i="57"/>
  <c r="E231" i="57"/>
  <c r="E242" i="57"/>
  <c r="E254" i="57"/>
  <c r="E269" i="57"/>
  <c r="E293" i="57"/>
  <c r="E321" i="57"/>
  <c r="E356" i="57"/>
  <c r="E387" i="57"/>
  <c r="F15" i="57"/>
  <c r="K15" i="57"/>
  <c r="E813" i="57"/>
  <c r="F805" i="57"/>
  <c r="E807" i="57"/>
  <c r="E7" i="57"/>
  <c r="E13" i="57"/>
  <c r="E19" i="57"/>
  <c r="E25" i="57"/>
  <c r="E31" i="57"/>
  <c r="E38" i="57"/>
  <c r="E45" i="57"/>
  <c r="E53" i="57"/>
  <c r="E60" i="57"/>
  <c r="E67" i="57"/>
  <c r="E74" i="57"/>
  <c r="E81" i="57"/>
  <c r="E89" i="57"/>
  <c r="E96" i="57"/>
  <c r="E103" i="57"/>
  <c r="E110" i="57"/>
  <c r="E117" i="57"/>
  <c r="E125" i="57"/>
  <c r="E132" i="57"/>
  <c r="E139" i="57"/>
  <c r="E146" i="57"/>
  <c r="E153" i="57"/>
  <c r="E161" i="57"/>
  <c r="E168" i="57"/>
  <c r="E175" i="57"/>
  <c r="E182" i="57"/>
  <c r="E189" i="57"/>
  <c r="E197" i="57"/>
  <c r="E204" i="57"/>
  <c r="E211" i="57"/>
  <c r="E218" i="57"/>
  <c r="E225" i="57"/>
  <c r="E233" i="57"/>
  <c r="E243" i="57"/>
  <c r="E255" i="57"/>
  <c r="E273" i="57"/>
  <c r="E297" i="57"/>
  <c r="E329" i="57"/>
  <c r="E357" i="57"/>
  <c r="E393" i="57"/>
  <c r="E425" i="57"/>
  <c r="E444" i="57"/>
  <c r="E446" i="57"/>
  <c r="E490" i="57"/>
  <c r="E521" i="57"/>
  <c r="E450" i="57"/>
  <c r="E527" i="57"/>
  <c r="E502" i="57"/>
  <c r="E456" i="57"/>
  <c r="E542" i="57"/>
  <c r="E462" i="57"/>
  <c r="E575" i="57"/>
  <c r="E480" i="57"/>
  <c r="E498" i="57"/>
  <c r="E240" i="57"/>
  <c r="E263" i="57"/>
  <c r="E275" i="57"/>
  <c r="E287" i="57"/>
  <c r="E299" i="57"/>
  <c r="E311" i="57"/>
  <c r="E323" i="57"/>
  <c r="E335" i="57"/>
  <c r="E359" i="57"/>
  <c r="E371" i="57"/>
  <c r="E383" i="57"/>
  <c r="E395" i="57"/>
  <c r="E407" i="57"/>
  <c r="E419" i="57"/>
  <c r="E431" i="57"/>
  <c r="E459" i="57"/>
  <c r="E475" i="57"/>
  <c r="E495" i="57"/>
  <c r="E519" i="57"/>
  <c r="E559" i="57"/>
  <c r="E643" i="57"/>
  <c r="E278" i="57"/>
  <c r="E290" i="57"/>
  <c r="E302" i="57"/>
  <c r="E326" i="57"/>
  <c r="E338" i="57"/>
  <c r="E350" i="57"/>
  <c r="E374" i="57"/>
  <c r="E386" i="57"/>
  <c r="E398" i="57"/>
  <c r="E410" i="57"/>
  <c r="E422" i="57"/>
  <c r="E434" i="57"/>
  <c r="E448" i="57"/>
  <c r="E463" i="57"/>
  <c r="E478" i="57"/>
  <c r="E525" i="57"/>
  <c r="E580" i="57"/>
  <c r="E673" i="57"/>
  <c r="E279" i="57"/>
  <c r="E303" i="57"/>
  <c r="E315" i="57"/>
  <c r="E327" i="57"/>
  <c r="E339" i="57"/>
  <c r="E351" i="57"/>
  <c r="E363" i="57"/>
  <c r="E399" i="57"/>
  <c r="E435" i="57"/>
  <c r="E449" i="57"/>
  <c r="E465" i="57"/>
  <c r="E479" i="57"/>
  <c r="E501" i="57"/>
  <c r="E529" i="57"/>
  <c r="E583" i="57"/>
  <c r="E679" i="57"/>
  <c r="E341" i="57"/>
  <c r="E365" i="57"/>
  <c r="E377" i="57"/>
  <c r="E389" i="57"/>
  <c r="E413" i="57"/>
  <c r="E437" i="57"/>
  <c r="E467" i="57"/>
  <c r="E505" i="57"/>
  <c r="E260" i="57"/>
  <c r="E272" i="57"/>
  <c r="E308" i="57"/>
  <c r="E320" i="57"/>
  <c r="E332" i="57"/>
  <c r="E344" i="57"/>
  <c r="E368" i="57"/>
  <c r="E380" i="57"/>
  <c r="E392" i="57"/>
  <c r="E416" i="57"/>
  <c r="E428" i="57"/>
  <c r="E440" i="57"/>
  <c r="E455" i="57"/>
  <c r="E489" i="57"/>
  <c r="E511" i="57"/>
  <c r="E545" i="57"/>
  <c r="E619" i="57"/>
  <c r="E246" i="57"/>
  <c r="E252" i="57"/>
  <c r="E258" i="57"/>
  <c r="E264" i="57"/>
  <c r="E270" i="57"/>
  <c r="E276" i="57"/>
  <c r="E282" i="57"/>
  <c r="E288" i="57"/>
  <c r="E294" i="57"/>
  <c r="E300" i="57"/>
  <c r="E306" i="57"/>
  <c r="E312" i="57"/>
  <c r="E318" i="57"/>
  <c r="E324" i="57"/>
  <c r="E330" i="57"/>
  <c r="E336" i="57"/>
  <c r="E342" i="57"/>
  <c r="E348" i="57"/>
  <c r="E354" i="57"/>
  <c r="E360" i="57"/>
  <c r="E366" i="57"/>
  <c r="E372" i="57"/>
  <c r="E378" i="57"/>
  <c r="E384" i="57"/>
  <c r="E390" i="57"/>
  <c r="E396" i="57"/>
  <c r="E402" i="57"/>
  <c r="E408" i="57"/>
  <c r="E414" i="57"/>
  <c r="E420" i="57"/>
  <c r="E426" i="57"/>
  <c r="E432" i="57"/>
  <c r="E438" i="57"/>
  <c r="E445" i="57"/>
  <c r="E453" i="57"/>
  <c r="E460" i="57"/>
  <c r="E468" i="57"/>
  <c r="E476" i="57"/>
  <c r="E485" i="57"/>
  <c r="E496" i="57"/>
  <c r="E507" i="57"/>
  <c r="E520" i="57"/>
  <c r="E536" i="57"/>
  <c r="E568" i="57"/>
  <c r="E604" i="57"/>
  <c r="E655" i="57"/>
  <c r="E733" i="57"/>
  <c r="K733" i="57"/>
  <c r="E857" i="57"/>
  <c r="F262" i="57"/>
  <c r="E235" i="57"/>
  <c r="E241" i="57"/>
  <c r="E247" i="57"/>
  <c r="E253" i="57"/>
  <c r="E259" i="57"/>
  <c r="E265" i="57"/>
  <c r="E271" i="57"/>
  <c r="E277" i="57"/>
  <c r="E283" i="57"/>
  <c r="E289" i="57"/>
  <c r="E295" i="57"/>
  <c r="E301" i="57"/>
  <c r="E307" i="57"/>
  <c r="E313" i="57"/>
  <c r="E319" i="57"/>
  <c r="E325" i="57"/>
  <c r="E331" i="57"/>
  <c r="E337" i="57"/>
  <c r="E343" i="57"/>
  <c r="E349" i="57"/>
  <c r="E355" i="57"/>
  <c r="E361" i="57"/>
  <c r="E367" i="57"/>
  <c r="E373" i="57"/>
  <c r="E379" i="57"/>
  <c r="E385" i="57"/>
  <c r="E391" i="57"/>
  <c r="E397" i="57"/>
  <c r="E403" i="57"/>
  <c r="E409" i="57"/>
  <c r="E415" i="57"/>
  <c r="E421" i="57"/>
  <c r="E427" i="57"/>
  <c r="E433" i="57"/>
  <c r="E439" i="57"/>
  <c r="E447" i="57"/>
  <c r="E454" i="57"/>
  <c r="E461" i="57"/>
  <c r="E469" i="57"/>
  <c r="E477" i="57"/>
  <c r="E487" i="57"/>
  <c r="E497" i="57"/>
  <c r="E509" i="57"/>
  <c r="E523" i="57"/>
  <c r="E539" i="57"/>
  <c r="E571" i="57"/>
  <c r="E607" i="57"/>
  <c r="E661" i="57"/>
  <c r="E739" i="57"/>
  <c r="F8" i="57"/>
  <c r="K8" i="57"/>
  <c r="F106" i="57"/>
  <c r="F370" i="57"/>
  <c r="E34" i="57"/>
  <c r="E40" i="57"/>
  <c r="E46" i="57"/>
  <c r="E52" i="57"/>
  <c r="E58" i="57"/>
  <c r="E64" i="57"/>
  <c r="E70" i="57"/>
  <c r="E76" i="57"/>
  <c r="E82" i="57"/>
  <c r="E88" i="57"/>
  <c r="E94" i="57"/>
  <c r="E100" i="57"/>
  <c r="E106" i="57"/>
  <c r="E112" i="57"/>
  <c r="E118" i="57"/>
  <c r="E124" i="57"/>
  <c r="E130" i="57"/>
  <c r="E136" i="57"/>
  <c r="E142" i="57"/>
  <c r="E148" i="57"/>
  <c r="E154" i="57"/>
  <c r="E160" i="57"/>
  <c r="E166" i="57"/>
  <c r="E172" i="57"/>
  <c r="E178" i="57"/>
  <c r="E184" i="57"/>
  <c r="E190" i="57"/>
  <c r="E196" i="57"/>
  <c r="E202" i="57"/>
  <c r="E208" i="57"/>
  <c r="E214" i="57"/>
  <c r="E220" i="57"/>
  <c r="E226" i="57"/>
  <c r="E232" i="57"/>
  <c r="E238" i="57"/>
  <c r="E244" i="57"/>
  <c r="E250" i="57"/>
  <c r="E256" i="57"/>
  <c r="E262" i="57"/>
  <c r="E268" i="57"/>
  <c r="E274" i="57"/>
  <c r="E280" i="57"/>
  <c r="E286" i="57"/>
  <c r="E292" i="57"/>
  <c r="E298" i="57"/>
  <c r="E304" i="57"/>
  <c r="E310" i="57"/>
  <c r="E316" i="57"/>
  <c r="E322" i="57"/>
  <c r="E328" i="57"/>
  <c r="E334" i="57"/>
  <c r="E340" i="57"/>
  <c r="E346" i="57"/>
  <c r="E352" i="57"/>
  <c r="E358" i="57"/>
  <c r="E364" i="57"/>
  <c r="E370" i="57"/>
  <c r="E376" i="57"/>
  <c r="E382" i="57"/>
  <c r="E388" i="57"/>
  <c r="E394" i="57"/>
  <c r="E400" i="57"/>
  <c r="E406" i="57"/>
  <c r="E412" i="57"/>
  <c r="E418" i="57"/>
  <c r="E424" i="57"/>
  <c r="E430" i="57"/>
  <c r="E436" i="57"/>
  <c r="E442" i="57"/>
  <c r="E451" i="57"/>
  <c r="E458" i="57"/>
  <c r="E466" i="57"/>
  <c r="E473" i="57"/>
  <c r="E481" i="57"/>
  <c r="E493" i="57"/>
  <c r="E503" i="57"/>
  <c r="E517" i="57"/>
  <c r="E531" i="57"/>
  <c r="E556" i="57"/>
  <c r="E592" i="57"/>
  <c r="E637" i="57"/>
  <c r="E703" i="57"/>
  <c r="E805" i="57"/>
  <c r="F174" i="57"/>
  <c r="F879" i="57"/>
  <c r="F793" i="57"/>
  <c r="F739" i="57"/>
  <c r="K739" i="57"/>
  <c r="F697" i="57"/>
  <c r="F655" i="57"/>
  <c r="K655" i="57"/>
  <c r="F613" i="57"/>
  <c r="F571" i="57"/>
  <c r="F523" i="57"/>
  <c r="F481" i="57"/>
  <c r="F439" i="57"/>
  <c r="F397" i="57"/>
  <c r="F371" i="57"/>
  <c r="F365" i="57"/>
  <c r="F359" i="57"/>
  <c r="K359" i="57"/>
  <c r="F353" i="57"/>
  <c r="K353" i="57"/>
  <c r="F347" i="57"/>
  <c r="K347" i="57"/>
  <c r="F341" i="57"/>
  <c r="K341" i="57"/>
  <c r="F335" i="57"/>
  <c r="K335" i="57"/>
  <c r="F329" i="57"/>
  <c r="K329" i="57"/>
  <c r="F323" i="57"/>
  <c r="K323" i="57"/>
  <c r="F317" i="57"/>
  <c r="K317" i="57"/>
  <c r="F311" i="57"/>
  <c r="K311" i="57"/>
  <c r="F305" i="57"/>
  <c r="K305" i="57"/>
  <c r="F299" i="57"/>
  <c r="F293" i="57"/>
  <c r="F287" i="57"/>
  <c r="F281" i="57"/>
  <c r="K281" i="57"/>
  <c r="F275" i="57"/>
  <c r="F269" i="57"/>
  <c r="F263" i="57"/>
  <c r="K263" i="57"/>
  <c r="F257" i="57"/>
  <c r="F251" i="57"/>
  <c r="F245" i="57"/>
  <c r="K245" i="57"/>
  <c r="F239" i="57"/>
  <c r="F233" i="57"/>
  <c r="K233" i="57"/>
  <c r="F227" i="57"/>
  <c r="K227" i="57"/>
  <c r="F221" i="57"/>
  <c r="K221" i="57"/>
  <c r="F215" i="57"/>
  <c r="K215" i="57"/>
  <c r="F209" i="57"/>
  <c r="K209" i="57"/>
  <c r="F203" i="57"/>
  <c r="K203" i="57"/>
  <c r="F197" i="57"/>
  <c r="F191" i="57"/>
  <c r="K191" i="57"/>
  <c r="F185" i="57"/>
  <c r="K185" i="57"/>
  <c r="F179" i="57"/>
  <c r="K179" i="57"/>
  <c r="F173" i="57"/>
  <c r="K173" i="57"/>
  <c r="F167" i="57"/>
  <c r="F161" i="57"/>
  <c r="F155" i="57"/>
  <c r="K155" i="57"/>
  <c r="F149" i="57"/>
  <c r="K149" i="57"/>
  <c r="F143" i="57"/>
  <c r="K143" i="57"/>
  <c r="F137" i="57"/>
  <c r="K137" i="57"/>
  <c r="F131" i="57"/>
  <c r="K131" i="57"/>
  <c r="F125" i="57"/>
  <c r="K125" i="57"/>
  <c r="F119" i="57"/>
  <c r="K119" i="57"/>
  <c r="F107" i="57"/>
  <c r="F101" i="57"/>
  <c r="K101" i="57"/>
  <c r="F95" i="57"/>
  <c r="K95" i="57"/>
  <c r="F89" i="57"/>
  <c r="K89" i="57"/>
  <c r="F83" i="57"/>
  <c r="K83" i="57"/>
  <c r="F77" i="57"/>
  <c r="K77" i="57"/>
  <c r="F71" i="57"/>
  <c r="K71" i="57"/>
  <c r="F65" i="57"/>
  <c r="K65" i="57"/>
  <c r="F59" i="57"/>
  <c r="K59" i="57"/>
  <c r="F53" i="57"/>
  <c r="K53" i="57"/>
  <c r="F47" i="57"/>
  <c r="K47" i="57"/>
  <c r="F41" i="57"/>
  <c r="F35" i="57"/>
  <c r="K35" i="57"/>
  <c r="F29" i="57"/>
  <c r="K29" i="57"/>
  <c r="F23" i="57"/>
  <c r="K23" i="57"/>
  <c r="F17" i="57"/>
  <c r="K17" i="57"/>
  <c r="F11" i="57"/>
  <c r="K11" i="57"/>
  <c r="F5" i="57"/>
  <c r="K5" i="57"/>
  <c r="E885" i="57"/>
  <c r="K885" i="57"/>
  <c r="E879" i="57"/>
  <c r="E873" i="57"/>
  <c r="E867" i="57"/>
  <c r="E861" i="57"/>
  <c r="F843" i="57"/>
  <c r="F775" i="57"/>
  <c r="F727" i="57"/>
  <c r="F685" i="57"/>
  <c r="F643" i="57"/>
  <c r="K643" i="57"/>
  <c r="F595" i="57"/>
  <c r="K595" i="57"/>
  <c r="F553" i="57"/>
  <c r="F511" i="57"/>
  <c r="K511" i="57"/>
  <c r="F469" i="57"/>
  <c r="K469" i="57"/>
  <c r="F427" i="57"/>
  <c r="K427" i="57"/>
  <c r="F379" i="57"/>
  <c r="F369" i="57"/>
  <c r="K369" i="57"/>
  <c r="F363" i="57"/>
  <c r="F357" i="57"/>
  <c r="K357" i="57"/>
  <c r="F351" i="57"/>
  <c r="K351" i="57"/>
  <c r="F345" i="57"/>
  <c r="K345" i="57"/>
  <c r="F339" i="57"/>
  <c r="K339" i="57"/>
  <c r="F333" i="57"/>
  <c r="K333" i="57"/>
  <c r="F327" i="57"/>
  <c r="K327" i="57"/>
  <c r="F321" i="57"/>
  <c r="K321" i="57"/>
  <c r="F315" i="57"/>
  <c r="K315" i="57"/>
  <c r="F309" i="57"/>
  <c r="K309" i="57"/>
  <c r="F303" i="57"/>
  <c r="K303" i="57"/>
  <c r="F297" i="57"/>
  <c r="K297" i="57"/>
  <c r="F291" i="57"/>
  <c r="K291" i="57"/>
  <c r="F285" i="57"/>
  <c r="K285" i="57"/>
  <c r="F279" i="57"/>
  <c r="F273" i="57"/>
  <c r="K273" i="57"/>
  <c r="F267" i="57"/>
  <c r="K267" i="57"/>
  <c r="F261" i="57"/>
  <c r="F255" i="57"/>
  <c r="F249" i="57"/>
  <c r="F243" i="57"/>
  <c r="F237" i="57"/>
  <c r="K237" i="57"/>
  <c r="F231" i="57"/>
  <c r="K231" i="57"/>
  <c r="F225" i="57"/>
  <c r="K225" i="57"/>
  <c r="F219" i="57"/>
  <c r="K219" i="57"/>
  <c r="F213" i="57"/>
  <c r="K213" i="57"/>
  <c r="F207" i="57"/>
  <c r="K207" i="57"/>
  <c r="F201" i="57"/>
  <c r="K201" i="57"/>
  <c r="F195" i="57"/>
  <c r="K195" i="57"/>
  <c r="F189" i="57"/>
  <c r="K189" i="57"/>
  <c r="F177" i="57"/>
  <c r="K177" i="57"/>
  <c r="F171" i="57"/>
  <c r="K171" i="57"/>
  <c r="F165" i="57"/>
  <c r="K165" i="57"/>
  <c r="F159" i="57"/>
  <c r="K159" i="57"/>
  <c r="F153" i="57"/>
  <c r="F147" i="57"/>
  <c r="F141" i="57"/>
  <c r="K141" i="57"/>
  <c r="F135" i="57"/>
  <c r="K135" i="57"/>
  <c r="F129" i="57"/>
  <c r="K129" i="57"/>
  <c r="F123" i="57"/>
  <c r="K123" i="57"/>
  <c r="F117" i="57"/>
  <c r="K117" i="57"/>
  <c r="F111" i="57"/>
  <c r="K111" i="57"/>
  <c r="F105" i="57"/>
  <c r="K105" i="57"/>
  <c r="F99" i="57"/>
  <c r="K99" i="57"/>
  <c r="F812" i="57"/>
  <c r="F769" i="57"/>
  <c r="F721" i="57"/>
  <c r="F679" i="57"/>
  <c r="F631" i="57"/>
  <c r="F589" i="57"/>
  <c r="F547" i="57"/>
  <c r="F505" i="57"/>
  <c r="K505" i="57"/>
  <c r="F463" i="57"/>
  <c r="K463" i="57"/>
  <c r="F415" i="57"/>
  <c r="F374" i="57"/>
  <c r="F368" i="57"/>
  <c r="F362" i="57"/>
  <c r="K362" i="57"/>
  <c r="F356" i="57"/>
  <c r="K356" i="57"/>
  <c r="F350" i="57"/>
  <c r="K350" i="57"/>
  <c r="F344" i="57"/>
  <c r="K344" i="57"/>
  <c r="F338" i="57"/>
  <c r="K338" i="57"/>
  <c r="F332" i="57"/>
  <c r="K332" i="57"/>
  <c r="F326" i="57"/>
  <c r="K326" i="57"/>
  <c r="F320" i="57"/>
  <c r="F314" i="57"/>
  <c r="K314" i="57"/>
  <c r="F308" i="57"/>
  <c r="K308" i="57"/>
  <c r="F302" i="57"/>
  <c r="K302" i="57"/>
  <c r="F296" i="57"/>
  <c r="K296" i="57"/>
  <c r="F290" i="57"/>
  <c r="F284" i="57"/>
  <c r="K284" i="57"/>
  <c r="F278" i="57"/>
  <c r="F272" i="57"/>
  <c r="F266" i="57"/>
  <c r="K266" i="57"/>
  <c r="F260" i="57"/>
  <c r="F254" i="57"/>
  <c r="K254" i="57"/>
  <c r="F248" i="57"/>
  <c r="K248" i="57"/>
  <c r="F242" i="57"/>
  <c r="K242" i="57"/>
  <c r="F236" i="57"/>
  <c r="K236" i="57"/>
  <c r="F230" i="57"/>
  <c r="K230" i="57"/>
  <c r="F224" i="57"/>
  <c r="K224" i="57"/>
  <c r="F218" i="57"/>
  <c r="K218" i="57"/>
  <c r="F212" i="57"/>
  <c r="K212" i="57"/>
  <c r="F206" i="57"/>
  <c r="F200" i="57"/>
  <c r="F194" i="57"/>
  <c r="K194" i="57"/>
  <c r="F188" i="57"/>
  <c r="K188" i="57"/>
  <c r="F182" i="57"/>
  <c r="K182" i="57"/>
  <c r="F176" i="57"/>
  <c r="K176" i="57"/>
  <c r="F170" i="57"/>
  <c r="K170" i="57"/>
  <c r="F164" i="57"/>
  <c r="K164" i="57"/>
  <c r="F158" i="57"/>
  <c r="K158" i="57"/>
  <c r="F152" i="57"/>
  <c r="K152" i="57"/>
  <c r="F146" i="57"/>
  <c r="K146" i="57"/>
  <c r="F140" i="57"/>
  <c r="K140" i="57"/>
  <c r="F134" i="57"/>
  <c r="K134" i="57"/>
  <c r="F128" i="57"/>
  <c r="K128" i="57"/>
  <c r="F122" i="57"/>
  <c r="K122" i="57"/>
  <c r="F116" i="57"/>
  <c r="K116" i="57"/>
  <c r="F110" i="57"/>
  <c r="F104" i="57"/>
  <c r="K104" i="57"/>
  <c r="F98" i="57"/>
  <c r="F92" i="57"/>
  <c r="K92" i="57"/>
  <c r="F80" i="57"/>
  <c r="F74" i="57"/>
  <c r="K74" i="57"/>
  <c r="F68" i="57"/>
  <c r="K68" i="57"/>
  <c r="F62" i="57"/>
  <c r="K62" i="57"/>
  <c r="F56" i="57"/>
  <c r="F44" i="57"/>
  <c r="K44" i="57"/>
  <c r="F38" i="57"/>
  <c r="K38" i="57"/>
  <c r="F32" i="57"/>
  <c r="K32" i="57"/>
  <c r="F26" i="57"/>
  <c r="K26" i="57"/>
  <c r="F20" i="57"/>
  <c r="K20" i="57"/>
  <c r="F14" i="57"/>
  <c r="F2" i="57"/>
  <c r="K2" i="57"/>
  <c r="E882" i="57"/>
  <c r="E876" i="57"/>
  <c r="E870" i="57"/>
  <c r="E864" i="57"/>
  <c r="E858" i="57"/>
  <c r="E852" i="57"/>
  <c r="E846" i="57"/>
  <c r="E840" i="57"/>
  <c r="E834" i="57"/>
  <c r="E828" i="57"/>
  <c r="E822" i="57"/>
  <c r="E815" i="57"/>
  <c r="E809" i="57"/>
  <c r="F757" i="57"/>
  <c r="F715" i="57"/>
  <c r="K715" i="57"/>
  <c r="F667" i="57"/>
  <c r="F625" i="57"/>
  <c r="K625" i="57"/>
  <c r="F583" i="57"/>
  <c r="K583" i="57"/>
  <c r="F541" i="57"/>
  <c r="F499" i="57"/>
  <c r="K499" i="57"/>
  <c r="F451" i="57"/>
  <c r="F409" i="57"/>
  <c r="K409" i="57"/>
  <c r="F373" i="57"/>
  <c r="F367" i="57"/>
  <c r="F361" i="57"/>
  <c r="F355" i="57"/>
  <c r="F349" i="57"/>
  <c r="F343" i="57"/>
  <c r="F337" i="57"/>
  <c r="F331" i="57"/>
  <c r="F325" i="57"/>
  <c r="F319" i="57"/>
  <c r="F313" i="57"/>
  <c r="F307" i="57"/>
  <c r="F301" i="57"/>
  <c r="F295" i="57"/>
  <c r="K295" i="57"/>
  <c r="F289" i="57"/>
  <c r="F283" i="57"/>
  <c r="F277" i="57"/>
  <c r="F271" i="57"/>
  <c r="K271" i="57"/>
  <c r="F265" i="57"/>
  <c r="F259" i="57"/>
  <c r="F253" i="57"/>
  <c r="F247" i="57"/>
  <c r="F241" i="57"/>
  <c r="F235" i="57"/>
  <c r="F229" i="57"/>
  <c r="K229" i="57"/>
  <c r="F223" i="57"/>
  <c r="K223" i="57"/>
  <c r="F217" i="57"/>
  <c r="K217" i="57"/>
  <c r="F211" i="57"/>
  <c r="F205" i="57"/>
  <c r="F199" i="57"/>
  <c r="K199" i="57"/>
  <c r="F193" i="57"/>
  <c r="K193" i="57"/>
  <c r="F187" i="57"/>
  <c r="K187" i="57"/>
  <c r="F181" i="57"/>
  <c r="F175" i="57"/>
  <c r="K175" i="57"/>
  <c r="F169" i="57"/>
  <c r="F163" i="57"/>
  <c r="K163" i="57"/>
  <c r="F157" i="57"/>
  <c r="F151" i="57"/>
  <c r="K151" i="57"/>
  <c r="F145" i="57"/>
  <c r="F139" i="57"/>
  <c r="K139" i="57"/>
  <c r="F133" i="57"/>
  <c r="F127" i="57"/>
  <c r="K127" i="57"/>
  <c r="F121" i="57"/>
  <c r="K121" i="57"/>
  <c r="F115" i="57"/>
  <c r="K115" i="57"/>
  <c r="F109" i="57"/>
  <c r="F103" i="57"/>
  <c r="F97" i="57"/>
  <c r="K97" i="57"/>
  <c r="F91" i="57"/>
  <c r="K91" i="57"/>
  <c r="F85" i="57"/>
  <c r="K85" i="57"/>
  <c r="F79" i="57"/>
  <c r="F73" i="57"/>
  <c r="F67" i="57"/>
  <c r="K67" i="57"/>
  <c r="F849" i="57"/>
  <c r="F703" i="57"/>
  <c r="F577" i="57"/>
  <c r="F445" i="57"/>
  <c r="F366" i="57"/>
  <c r="K366" i="57"/>
  <c r="F348" i="57"/>
  <c r="K348" i="57"/>
  <c r="F330" i="57"/>
  <c r="K330" i="57"/>
  <c r="F312" i="57"/>
  <c r="K312" i="57"/>
  <c r="F294" i="57"/>
  <c r="K294" i="57"/>
  <c r="F276" i="57"/>
  <c r="K276" i="57"/>
  <c r="F258" i="57"/>
  <c r="K258" i="57"/>
  <c r="F240" i="57"/>
  <c r="K240" i="57"/>
  <c r="F222" i="57"/>
  <c r="K222" i="57"/>
  <c r="F204" i="57"/>
  <c r="K204" i="57"/>
  <c r="F186" i="57"/>
  <c r="K186" i="57"/>
  <c r="F172" i="57"/>
  <c r="K172" i="57"/>
  <c r="F154" i="57"/>
  <c r="F136" i="57"/>
  <c r="F118" i="57"/>
  <c r="F102" i="57"/>
  <c r="K102" i="57"/>
  <c r="F88" i="57"/>
  <c r="K88" i="57"/>
  <c r="F78" i="57"/>
  <c r="K78" i="57"/>
  <c r="F66" i="57"/>
  <c r="K66" i="57"/>
  <c r="F57" i="57"/>
  <c r="K57" i="57"/>
  <c r="F49" i="57"/>
  <c r="K49" i="57"/>
  <c r="F40" i="57"/>
  <c r="K40" i="57"/>
  <c r="F31" i="57"/>
  <c r="K31" i="57"/>
  <c r="F22" i="57"/>
  <c r="K22" i="57"/>
  <c r="F13" i="57"/>
  <c r="K13" i="57"/>
  <c r="F6" i="57"/>
  <c r="K6" i="57"/>
  <c r="E883" i="57"/>
  <c r="E874" i="57"/>
  <c r="E865" i="57"/>
  <c r="E856" i="57"/>
  <c r="E849" i="57"/>
  <c r="E842" i="57"/>
  <c r="E835" i="57"/>
  <c r="E827" i="57"/>
  <c r="E820" i="57"/>
  <c r="E812" i="57"/>
  <c r="E804" i="57"/>
  <c r="E798" i="57"/>
  <c r="E792" i="57"/>
  <c r="E786" i="57"/>
  <c r="E780" i="57"/>
  <c r="E774" i="57"/>
  <c r="E768" i="57"/>
  <c r="E762" i="57"/>
  <c r="E756" i="57"/>
  <c r="E750" i="57"/>
  <c r="E744" i="57"/>
  <c r="E738" i="57"/>
  <c r="E732" i="57"/>
  <c r="E726" i="57"/>
  <c r="E720" i="57"/>
  <c r="E714" i="57"/>
  <c r="E708" i="57"/>
  <c r="E702" i="57"/>
  <c r="E696" i="57"/>
  <c r="E690" i="57"/>
  <c r="E684" i="57"/>
  <c r="E678" i="57"/>
  <c r="E672" i="57"/>
  <c r="E666" i="57"/>
  <c r="E660" i="57"/>
  <c r="E654" i="57"/>
  <c r="E648" i="57"/>
  <c r="E642" i="57"/>
  <c r="E636" i="57"/>
  <c r="E630" i="57"/>
  <c r="E624" i="57"/>
  <c r="E618" i="57"/>
  <c r="E612" i="57"/>
  <c r="E606" i="57"/>
  <c r="E600" i="57"/>
  <c r="E594" i="57"/>
  <c r="E588" i="57"/>
  <c r="E582" i="57"/>
  <c r="E576" i="57"/>
  <c r="E570" i="57"/>
  <c r="E564" i="57"/>
  <c r="E558" i="57"/>
  <c r="E552" i="57"/>
  <c r="E546" i="57"/>
  <c r="E540" i="57"/>
  <c r="E534" i="57"/>
  <c r="F691" i="57"/>
  <c r="F559" i="57"/>
  <c r="K559" i="57"/>
  <c r="F433" i="57"/>
  <c r="K433" i="57"/>
  <c r="F364" i="57"/>
  <c r="F346" i="57"/>
  <c r="K346" i="57"/>
  <c r="F328" i="57"/>
  <c r="K328" i="57"/>
  <c r="F310" i="57"/>
  <c r="F292" i="57"/>
  <c r="K292" i="57"/>
  <c r="F274" i="57"/>
  <c r="K274" i="57"/>
  <c r="F256" i="57"/>
  <c r="F238" i="57"/>
  <c r="K238" i="57"/>
  <c r="F220" i="57"/>
  <c r="K220" i="57"/>
  <c r="F202" i="57"/>
  <c r="K202" i="57"/>
  <c r="F184" i="57"/>
  <c r="K184" i="57"/>
  <c r="F168" i="57"/>
  <c r="K168" i="57"/>
  <c r="F132" i="57"/>
  <c r="K132" i="57"/>
  <c r="F114" i="57"/>
  <c r="K114" i="57"/>
  <c r="F100" i="57"/>
  <c r="K100" i="57"/>
  <c r="F87" i="57"/>
  <c r="K87" i="57"/>
  <c r="F76" i="57"/>
  <c r="K76" i="57"/>
  <c r="F64" i="57"/>
  <c r="K64" i="57"/>
  <c r="F55" i="57"/>
  <c r="K55" i="57"/>
  <c r="F48" i="57"/>
  <c r="K48" i="57"/>
  <c r="F39" i="57"/>
  <c r="K39" i="57"/>
  <c r="F21" i="57"/>
  <c r="K21" i="57"/>
  <c r="F12" i="57"/>
  <c r="K12" i="57"/>
  <c r="F4" i="57"/>
  <c r="K4" i="57"/>
  <c r="E881" i="57"/>
  <c r="E872" i="57"/>
  <c r="E863" i="57"/>
  <c r="E855" i="57"/>
  <c r="E848" i="57"/>
  <c r="E841" i="57"/>
  <c r="E833" i="57"/>
  <c r="E826" i="57"/>
  <c r="E818" i="57"/>
  <c r="E811" i="57"/>
  <c r="E803" i="57"/>
  <c r="E797" i="57"/>
  <c r="E791" i="57"/>
  <c r="E785" i="57"/>
  <c r="E779" i="57"/>
  <c r="E773" i="57"/>
  <c r="E767" i="57"/>
  <c r="E761" i="57"/>
  <c r="E755" i="57"/>
  <c r="E749" i="57"/>
  <c r="E743" i="57"/>
  <c r="E737" i="57"/>
  <c r="E731" i="57"/>
  <c r="E725" i="57"/>
  <c r="E719" i="57"/>
  <c r="E713" i="57"/>
  <c r="E707" i="57"/>
  <c r="E701" i="57"/>
  <c r="E695" i="57"/>
  <c r="E689" i="57"/>
  <c r="E683" i="57"/>
  <c r="F799" i="57"/>
  <c r="F661" i="57"/>
  <c r="K661" i="57"/>
  <c r="F403" i="57"/>
  <c r="K403" i="57"/>
  <c r="F360" i="57"/>
  <c r="F342" i="57"/>
  <c r="K342" i="57"/>
  <c r="F324" i="57"/>
  <c r="K324" i="57"/>
  <c r="F306" i="57"/>
  <c r="K306" i="57"/>
  <c r="F288" i="57"/>
  <c r="K288" i="57"/>
  <c r="F270" i="57"/>
  <c r="F252" i="57"/>
  <c r="F234" i="57"/>
  <c r="K234" i="57"/>
  <c r="F216" i="57"/>
  <c r="K216" i="57"/>
  <c r="F198" i="57"/>
  <c r="K198" i="57"/>
  <c r="F166" i="57"/>
  <c r="K166" i="57"/>
  <c r="F148" i="57"/>
  <c r="K148" i="57"/>
  <c r="F130" i="57"/>
  <c r="K130" i="57"/>
  <c r="F96" i="57"/>
  <c r="K96" i="57"/>
  <c r="F75" i="57"/>
  <c r="K75" i="57"/>
  <c r="F63" i="57"/>
  <c r="K63" i="57"/>
  <c r="F54" i="57"/>
  <c r="K54" i="57"/>
  <c r="F46" i="57"/>
  <c r="F37" i="57"/>
  <c r="K37" i="57"/>
  <c r="F28" i="57"/>
  <c r="K28" i="57"/>
  <c r="F19" i="57"/>
  <c r="K19" i="57"/>
  <c r="F10" i="57"/>
  <c r="K10" i="57"/>
  <c r="F3" i="57"/>
  <c r="K3" i="57"/>
  <c r="E880" i="57"/>
  <c r="E871" i="57"/>
  <c r="E862" i="57"/>
  <c r="E854" i="57"/>
  <c r="E847" i="57"/>
  <c r="E839" i="57"/>
  <c r="E832" i="57"/>
  <c r="E825" i="57"/>
  <c r="E816" i="57"/>
  <c r="E810" i="57"/>
  <c r="E802" i="57"/>
  <c r="E796" i="57"/>
  <c r="E790" i="57"/>
  <c r="E784" i="57"/>
  <c r="E778" i="57"/>
  <c r="E772" i="57"/>
  <c r="E766" i="57"/>
  <c r="E760" i="57"/>
  <c r="E754" i="57"/>
  <c r="E748" i="57"/>
  <c r="E742" i="57"/>
  <c r="E736" i="57"/>
  <c r="E730" i="57"/>
  <c r="E724" i="57"/>
  <c r="E718" i="57"/>
  <c r="E712" i="57"/>
  <c r="E706" i="57"/>
  <c r="E700" i="57"/>
  <c r="E694" i="57"/>
  <c r="E688" i="57"/>
  <c r="E682" i="57"/>
  <c r="E676" i="57"/>
  <c r="E670" i="57"/>
  <c r="E664" i="57"/>
  <c r="E658" i="57"/>
  <c r="E652" i="57"/>
  <c r="E646" i="57"/>
  <c r="E640" i="57"/>
  <c r="E634" i="57"/>
  <c r="E628" i="57"/>
  <c r="E622" i="57"/>
  <c r="E616" i="57"/>
  <c r="E610" i="57"/>
  <c r="F787" i="57"/>
  <c r="F649" i="57"/>
  <c r="F517" i="57"/>
  <c r="K517" i="57"/>
  <c r="F391" i="57"/>
  <c r="K391" i="57"/>
  <c r="F358" i="57"/>
  <c r="K358" i="57"/>
  <c r="F340" i="57"/>
  <c r="K340" i="57"/>
  <c r="F322" i="57"/>
  <c r="K322" i="57"/>
  <c r="F304" i="57"/>
  <c r="K304" i="57"/>
  <c r="F286" i="57"/>
  <c r="K286" i="57"/>
  <c r="F268" i="57"/>
  <c r="K268" i="57"/>
  <c r="F250" i="57"/>
  <c r="K250" i="57"/>
  <c r="F232" i="57"/>
  <c r="K232" i="57"/>
  <c r="F214" i="57"/>
  <c r="K214" i="57"/>
  <c r="F196" i="57"/>
  <c r="K196" i="57"/>
  <c r="F180" i="57"/>
  <c r="K180" i="57"/>
  <c r="F162" i="57"/>
  <c r="K162" i="57"/>
  <c r="F144" i="57"/>
  <c r="K144" i="57"/>
  <c r="F126" i="57"/>
  <c r="K126" i="57"/>
  <c r="F112" i="57"/>
  <c r="K112" i="57"/>
  <c r="F94" i="57"/>
  <c r="K94" i="57"/>
  <c r="F84" i="57"/>
  <c r="K84" i="57"/>
  <c r="F72" i="57"/>
  <c r="K72" i="57"/>
  <c r="F61" i="57"/>
  <c r="K61" i="57"/>
  <c r="F52" i="57"/>
  <c r="K52" i="57"/>
  <c r="F45" i="57"/>
  <c r="K45" i="57"/>
  <c r="F36" i="57"/>
  <c r="K36" i="57"/>
  <c r="F27" i="57"/>
  <c r="K27" i="57"/>
  <c r="F18" i="57"/>
  <c r="K18" i="57"/>
  <c r="F9" i="57"/>
  <c r="K9" i="57"/>
  <c r="F807" i="57"/>
  <c r="K807" i="57"/>
  <c r="E878" i="57"/>
  <c r="E869" i="57"/>
  <c r="E860" i="57"/>
  <c r="E853" i="57"/>
  <c r="E845" i="57"/>
  <c r="E838" i="57"/>
  <c r="E831" i="57"/>
  <c r="E824" i="57"/>
  <c r="E817" i="57"/>
  <c r="E808" i="57"/>
  <c r="E801" i="57"/>
  <c r="E795" i="57"/>
  <c r="E789" i="57"/>
  <c r="E783" i="57"/>
  <c r="E777" i="57"/>
  <c r="E771" i="57"/>
  <c r="E765" i="57"/>
  <c r="E759" i="57"/>
  <c r="E753" i="57"/>
  <c r="E747" i="57"/>
  <c r="E741" i="57"/>
  <c r="E735" i="57"/>
  <c r="E729" i="57"/>
  <c r="E723" i="57"/>
  <c r="E717" i="57"/>
  <c r="E711" i="57"/>
  <c r="E705" i="57"/>
  <c r="E699" i="57"/>
  <c r="E693" i="57"/>
  <c r="E687" i="57"/>
  <c r="E681" i="57"/>
  <c r="E675" i="57"/>
  <c r="E669" i="57"/>
  <c r="E663" i="57"/>
  <c r="E657" i="57"/>
  <c r="E651" i="57"/>
  <c r="E645" i="57"/>
  <c r="E639" i="57"/>
  <c r="E633" i="57"/>
  <c r="E627" i="57"/>
  <c r="E621" i="57"/>
  <c r="E615" i="57"/>
  <c r="E609" i="57"/>
  <c r="E603" i="57"/>
  <c r="E597" i="57"/>
  <c r="E591" i="57"/>
  <c r="E585" i="57"/>
  <c r="E579" i="57"/>
  <c r="E573" i="57"/>
  <c r="E567" i="57"/>
  <c r="E561" i="57"/>
  <c r="E555" i="57"/>
  <c r="E549" i="57"/>
  <c r="E543" i="57"/>
  <c r="E537" i="57"/>
  <c r="F751" i="57"/>
  <c r="K751" i="57"/>
  <c r="F619" i="57"/>
  <c r="K619" i="57"/>
  <c r="F487" i="57"/>
  <c r="K487" i="57"/>
  <c r="F372" i="57"/>
  <c r="K372" i="57"/>
  <c r="F354" i="57"/>
  <c r="K354" i="57"/>
  <c r="F336" i="57"/>
  <c r="K336" i="57"/>
  <c r="F318" i="57"/>
  <c r="K318" i="57"/>
  <c r="F300" i="57"/>
  <c r="K300" i="57"/>
  <c r="F282" i="57"/>
  <c r="K282" i="57"/>
  <c r="F264" i="57"/>
  <c r="K264" i="57"/>
  <c r="F246" i="57"/>
  <c r="K246" i="57"/>
  <c r="F228" i="57"/>
  <c r="K228" i="57"/>
  <c r="F210" i="57"/>
  <c r="K210" i="57"/>
  <c r="F192" i="57"/>
  <c r="K192" i="57"/>
  <c r="F178" i="57"/>
  <c r="K178" i="57"/>
  <c r="F160" i="57"/>
  <c r="K160" i="57"/>
  <c r="F142" i="57"/>
  <c r="K142" i="57"/>
  <c r="F124" i="57"/>
  <c r="K124" i="57"/>
  <c r="F108" i="57"/>
  <c r="K108" i="57"/>
  <c r="F93" i="57"/>
  <c r="K93" i="57"/>
  <c r="F82" i="57"/>
  <c r="F70" i="57"/>
  <c r="K70" i="57"/>
  <c r="F60" i="57"/>
  <c r="K60" i="57"/>
  <c r="F51" i="57"/>
  <c r="K51" i="57"/>
  <c r="F34" i="57"/>
  <c r="K34" i="57"/>
  <c r="F25" i="57"/>
  <c r="K25" i="57"/>
  <c r="F16" i="57"/>
  <c r="K16" i="57"/>
  <c r="E886" i="57"/>
  <c r="E877" i="57"/>
  <c r="E868" i="57"/>
  <c r="E859" i="57"/>
  <c r="E851" i="57"/>
  <c r="E844" i="57"/>
  <c r="E837" i="57"/>
  <c r="E830" i="57"/>
  <c r="E823" i="57"/>
  <c r="E814" i="57"/>
  <c r="E806" i="57"/>
  <c r="E800" i="57"/>
  <c r="E794" i="57"/>
  <c r="E788" i="57"/>
  <c r="E782" i="57"/>
  <c r="E776" i="57"/>
  <c r="E770" i="57"/>
  <c r="E764" i="57"/>
  <c r="E758" i="57"/>
  <c r="E752" i="57"/>
  <c r="E746" i="57"/>
  <c r="E740" i="57"/>
  <c r="E734" i="57"/>
  <c r="E728" i="57"/>
  <c r="E722" i="57"/>
  <c r="E716" i="57"/>
  <c r="E710" i="57"/>
  <c r="E704" i="57"/>
  <c r="E698" i="57"/>
  <c r="E692" i="57"/>
  <c r="E686" i="57"/>
  <c r="E680" i="57"/>
  <c r="E674" i="57"/>
  <c r="E668" i="57"/>
  <c r="E662" i="57"/>
  <c r="E656" i="57"/>
  <c r="E650" i="57"/>
  <c r="E644" i="57"/>
  <c r="E638" i="57"/>
  <c r="E632" i="57"/>
  <c r="E626" i="57"/>
  <c r="E620" i="57"/>
  <c r="E614" i="57"/>
  <c r="E608" i="57"/>
  <c r="E602" i="57"/>
  <c r="E596" i="57"/>
  <c r="E590" i="57"/>
  <c r="E584" i="57"/>
  <c r="E578" i="57"/>
  <c r="E572" i="57"/>
  <c r="E566" i="57"/>
  <c r="E560" i="57"/>
  <c r="E554" i="57"/>
  <c r="K73" i="57"/>
  <c r="K79" i="57"/>
  <c r="K103" i="57"/>
  <c r="K109" i="57"/>
  <c r="K133" i="57"/>
  <c r="K145" i="57"/>
  <c r="K169" i="57"/>
  <c r="K181" i="57"/>
  <c r="K205" i="57"/>
  <c r="K211" i="57"/>
  <c r="K241" i="57"/>
  <c r="K247" i="57"/>
  <c r="K259" i="57"/>
  <c r="K283" i="57"/>
  <c r="K313" i="57"/>
  <c r="K319" i="57"/>
  <c r="K331" i="57"/>
  <c r="K349" i="57"/>
  <c r="K355" i="57"/>
  <c r="K361" i="57"/>
  <c r="K367" i="57"/>
  <c r="K439" i="57"/>
  <c r="K445" i="57"/>
  <c r="K679" i="57"/>
  <c r="E464" i="57"/>
  <c r="E470" i="57"/>
  <c r="E482" i="57"/>
  <c r="E488" i="57"/>
  <c r="E494" i="57"/>
  <c r="E500" i="57"/>
  <c r="E506" i="57"/>
  <c r="E512" i="57"/>
  <c r="E518" i="57"/>
  <c r="E524" i="57"/>
  <c r="E530" i="57"/>
  <c r="E538" i="57"/>
  <c r="E547" i="57"/>
  <c r="K547" i="57"/>
  <c r="E557" i="57"/>
  <c r="E569" i="57"/>
  <c r="E581" i="57"/>
  <c r="E593" i="57"/>
  <c r="E605" i="57"/>
  <c r="E623" i="57"/>
  <c r="E641" i="57"/>
  <c r="E659" i="57"/>
  <c r="E677" i="57"/>
  <c r="E709" i="57"/>
  <c r="E745" i="57"/>
  <c r="E781" i="57"/>
  <c r="E821" i="57"/>
  <c r="E866" i="57"/>
  <c r="F24" i="57"/>
  <c r="K24" i="57"/>
  <c r="F58" i="57"/>
  <c r="K58" i="57"/>
  <c r="F280" i="57"/>
  <c r="K280" i="57"/>
  <c r="F475" i="57"/>
  <c r="K475" i="57"/>
  <c r="K14" i="57"/>
  <c r="K98" i="57"/>
  <c r="E787" i="57"/>
  <c r="K787" i="57"/>
  <c r="E829" i="57"/>
  <c r="E875" i="57"/>
  <c r="F69" i="57"/>
  <c r="K69" i="57"/>
  <c r="F120" i="57"/>
  <c r="K120" i="57"/>
  <c r="F190" i="57"/>
  <c r="F298" i="57"/>
  <c r="E484" i="57"/>
  <c r="E508" i="57"/>
  <c r="E514" i="57"/>
  <c r="E526" i="57"/>
  <c r="E532" i="57"/>
  <c r="E541" i="57"/>
  <c r="K541" i="57"/>
  <c r="E550" i="57"/>
  <c r="E562" i="57"/>
  <c r="E574" i="57"/>
  <c r="E586" i="57"/>
  <c r="E598" i="57"/>
  <c r="E611" i="57"/>
  <c r="E629" i="57"/>
  <c r="E647" i="57"/>
  <c r="E665" i="57"/>
  <c r="E685" i="57"/>
  <c r="E721" i="57"/>
  <c r="K721" i="57"/>
  <c r="E757" i="57"/>
  <c r="K757" i="57"/>
  <c r="E793" i="57"/>
  <c r="K793" i="57"/>
  <c r="E836" i="57"/>
  <c r="E884" i="57"/>
  <c r="F33" i="57"/>
  <c r="K33" i="57"/>
  <c r="F81" i="57"/>
  <c r="K81" i="57"/>
  <c r="F138" i="57"/>
  <c r="K138" i="57"/>
  <c r="F208" i="57"/>
  <c r="F316" i="57"/>
  <c r="K316" i="57"/>
  <c r="F607" i="57"/>
  <c r="K607" i="57"/>
  <c r="E533" i="57"/>
  <c r="E551" i="57"/>
  <c r="E563" i="57"/>
  <c r="E587" i="57"/>
  <c r="E599" i="57"/>
  <c r="E613" i="57"/>
  <c r="K613" i="57"/>
  <c r="E631" i="57"/>
  <c r="E649" i="57"/>
  <c r="E667" i="57"/>
  <c r="E691" i="57"/>
  <c r="E727" i="57"/>
  <c r="K727" i="57"/>
  <c r="E763" i="57"/>
  <c r="E799" i="57"/>
  <c r="E843" i="57"/>
  <c r="K843" i="57"/>
  <c r="F7" i="57"/>
  <c r="K7" i="57"/>
  <c r="F42" i="57"/>
  <c r="K42" i="57"/>
  <c r="F226" i="57"/>
  <c r="F334" i="57"/>
  <c r="K334" i="57"/>
  <c r="E474" i="57"/>
  <c r="E486" i="57"/>
  <c r="E492" i="57"/>
  <c r="E504" i="57"/>
  <c r="E510" i="57"/>
  <c r="E516" i="57"/>
  <c r="E522" i="57"/>
  <c r="E528" i="57"/>
  <c r="E544" i="57"/>
  <c r="E553" i="57"/>
  <c r="E565" i="57"/>
  <c r="E577" i="57"/>
  <c r="E589" i="57"/>
  <c r="K589" i="57"/>
  <c r="E601" i="57"/>
  <c r="E617" i="57"/>
  <c r="E635" i="57"/>
  <c r="E653" i="57"/>
  <c r="E671" i="57"/>
  <c r="E697" i="57"/>
  <c r="K697" i="57"/>
  <c r="E769" i="57"/>
  <c r="E850" i="57"/>
  <c r="F90" i="57"/>
  <c r="K90" i="57"/>
  <c r="F156" i="57"/>
  <c r="K156" i="57"/>
  <c r="F244" i="57"/>
  <c r="K244" i="57"/>
  <c r="F352" i="57"/>
  <c r="K352" i="57"/>
  <c r="F763" i="57"/>
  <c r="F385" i="57"/>
  <c r="K385" i="57"/>
  <c r="F837" i="57"/>
  <c r="F873" i="57"/>
  <c r="F457" i="57"/>
  <c r="K457" i="57"/>
  <c r="F493" i="57"/>
  <c r="F529" i="57"/>
  <c r="K529" i="57"/>
  <c r="F855" i="57"/>
  <c r="F421" i="57"/>
  <c r="K421" i="57"/>
  <c r="F565" i="57"/>
  <c r="K565" i="57"/>
  <c r="F601" i="57"/>
  <c r="F637" i="57"/>
  <c r="F673" i="57"/>
  <c r="K673" i="57"/>
  <c r="F709" i="57"/>
  <c r="F745" i="57"/>
  <c r="F781" i="57"/>
  <c r="F818" i="57"/>
  <c r="F825" i="57"/>
  <c r="F861" i="57"/>
  <c r="K861" i="57"/>
  <c r="F831" i="57"/>
  <c r="K831" i="57"/>
  <c r="F867" i="57"/>
  <c r="K867" i="57"/>
  <c r="F884" i="57"/>
  <c r="F878" i="57"/>
  <c r="K878" i="57"/>
  <c r="F872" i="57"/>
  <c r="F866" i="57"/>
  <c r="K866" i="57"/>
  <c r="F860" i="57"/>
  <c r="K860" i="57"/>
  <c r="F854" i="57"/>
  <c r="K854" i="57"/>
  <c r="F848" i="57"/>
  <c r="K848" i="57"/>
  <c r="F842" i="57"/>
  <c r="K842" i="57"/>
  <c r="F836" i="57"/>
  <c r="F830" i="57"/>
  <c r="F824" i="57"/>
  <c r="F816" i="57"/>
  <c r="F811" i="57"/>
  <c r="F804" i="57"/>
  <c r="K804" i="57"/>
  <c r="F798" i="57"/>
  <c r="K798" i="57"/>
  <c r="F792" i="57"/>
  <c r="K792" i="57"/>
  <c r="F786" i="57"/>
  <c r="F780" i="57"/>
  <c r="K780" i="57"/>
  <c r="F774" i="57"/>
  <c r="K774" i="57"/>
  <c r="F768" i="57"/>
  <c r="K768" i="57"/>
  <c r="F762" i="57"/>
  <c r="K762" i="57"/>
  <c r="F756" i="57"/>
  <c r="K756" i="57"/>
  <c r="F750" i="57"/>
  <c r="F744" i="57"/>
  <c r="K744" i="57"/>
  <c r="F738" i="57"/>
  <c r="K738" i="57"/>
  <c r="F732" i="57"/>
  <c r="K732" i="57"/>
  <c r="F726" i="57"/>
  <c r="K726" i="57"/>
  <c r="F720" i="57"/>
  <c r="K720" i="57"/>
  <c r="F714" i="57"/>
  <c r="F708" i="57"/>
  <c r="K708" i="57"/>
  <c r="F702" i="57"/>
  <c r="K702" i="57"/>
  <c r="F696" i="57"/>
  <c r="K696" i="57"/>
  <c r="F690" i="57"/>
  <c r="K690" i="57"/>
  <c r="F684" i="57"/>
  <c r="K684" i="57"/>
  <c r="F678" i="57"/>
  <c r="F672" i="57"/>
  <c r="K672" i="57"/>
  <c r="F666" i="57"/>
  <c r="K666" i="57"/>
  <c r="F660" i="57"/>
  <c r="K660" i="57"/>
  <c r="F654" i="57"/>
  <c r="K654" i="57"/>
  <c r="F648" i="57"/>
  <c r="K648" i="57"/>
  <c r="F642" i="57"/>
  <c r="F636" i="57"/>
  <c r="K636" i="57"/>
  <c r="F630" i="57"/>
  <c r="K630" i="57"/>
  <c r="F624" i="57"/>
  <c r="K624" i="57"/>
  <c r="F618" i="57"/>
  <c r="K618" i="57"/>
  <c r="F612" i="57"/>
  <c r="K612" i="57"/>
  <c r="F606" i="57"/>
  <c r="F600" i="57"/>
  <c r="K600" i="57"/>
  <c r="F594" i="57"/>
  <c r="K594" i="57"/>
  <c r="F588" i="57"/>
  <c r="K588" i="57"/>
  <c r="F582" i="57"/>
  <c r="K582" i="57"/>
  <c r="F576" i="57"/>
  <c r="K576" i="57"/>
  <c r="F570" i="57"/>
  <c r="F564" i="57"/>
  <c r="K564" i="57"/>
  <c r="F558" i="57"/>
  <c r="K558" i="57"/>
  <c r="F552" i="57"/>
  <c r="K552" i="57"/>
  <c r="F546" i="57"/>
  <c r="K546" i="57"/>
  <c r="F540" i="57"/>
  <c r="K540" i="57"/>
  <c r="F534" i="57"/>
  <c r="F528" i="57"/>
  <c r="F522" i="57"/>
  <c r="F516" i="57"/>
  <c r="K516" i="57"/>
  <c r="F510" i="57"/>
  <c r="F504" i="57"/>
  <c r="F498" i="57"/>
  <c r="K498" i="57"/>
  <c r="F492" i="57"/>
  <c r="F486" i="57"/>
  <c r="F480" i="57"/>
  <c r="K480" i="57"/>
  <c r="F474" i="57"/>
  <c r="K474" i="57"/>
  <c r="F468" i="57"/>
  <c r="K468" i="57"/>
  <c r="F462" i="57"/>
  <c r="K462" i="57"/>
  <c r="F456" i="57"/>
  <c r="K456" i="57"/>
  <c r="F450" i="57"/>
  <c r="K450" i="57"/>
  <c r="F444" i="57"/>
  <c r="K444" i="57"/>
  <c r="F438" i="57"/>
  <c r="K438" i="57"/>
  <c r="F432" i="57"/>
  <c r="K432" i="57"/>
  <c r="F426" i="57"/>
  <c r="K426" i="57"/>
  <c r="F420" i="57"/>
  <c r="K420" i="57"/>
  <c r="F414" i="57"/>
  <c r="K414" i="57"/>
  <c r="F408" i="57"/>
  <c r="K408" i="57"/>
  <c r="F402" i="57"/>
  <c r="K402" i="57"/>
  <c r="F396" i="57"/>
  <c r="K396" i="57"/>
  <c r="F390" i="57"/>
  <c r="K390" i="57"/>
  <c r="F384" i="57"/>
  <c r="K384" i="57"/>
  <c r="F378" i="57"/>
  <c r="K378" i="57"/>
  <c r="F883" i="57"/>
  <c r="K883" i="57"/>
  <c r="F877" i="57"/>
  <c r="F871" i="57"/>
  <c r="K871" i="57"/>
  <c r="F865" i="57"/>
  <c r="K865" i="57"/>
  <c r="F859" i="57"/>
  <c r="F853" i="57"/>
  <c r="K853" i="57"/>
  <c r="F847" i="57"/>
  <c r="K847" i="57"/>
  <c r="F841" i="57"/>
  <c r="F835" i="57"/>
  <c r="K835" i="57"/>
  <c r="F829" i="57"/>
  <c r="F823" i="57"/>
  <c r="F817" i="57"/>
  <c r="K817" i="57"/>
  <c r="F810" i="57"/>
  <c r="K810" i="57"/>
  <c r="F803" i="57"/>
  <c r="F797" i="57"/>
  <c r="K797" i="57"/>
  <c r="F791" i="57"/>
  <c r="K791" i="57"/>
  <c r="F785" i="57"/>
  <c r="K785" i="57"/>
  <c r="F779" i="57"/>
  <c r="F773" i="57"/>
  <c r="K773" i="57"/>
  <c r="F767" i="57"/>
  <c r="F761" i="57"/>
  <c r="K761" i="57"/>
  <c r="F755" i="57"/>
  <c r="K755" i="57"/>
  <c r="F749" i="57"/>
  <c r="K749" i="57"/>
  <c r="F743" i="57"/>
  <c r="F737" i="57"/>
  <c r="K737" i="57"/>
  <c r="F731" i="57"/>
  <c r="K731" i="57"/>
  <c r="F725" i="57"/>
  <c r="K725" i="57"/>
  <c r="F719" i="57"/>
  <c r="K719" i="57"/>
  <c r="F713" i="57"/>
  <c r="K713" i="57"/>
  <c r="F707" i="57"/>
  <c r="F701" i="57"/>
  <c r="K701" i="57"/>
  <c r="F695" i="57"/>
  <c r="K695" i="57"/>
  <c r="F689" i="57"/>
  <c r="K689" i="57"/>
  <c r="F683" i="57"/>
  <c r="K683" i="57"/>
  <c r="F677" i="57"/>
  <c r="F671" i="57"/>
  <c r="F665" i="57"/>
  <c r="K665" i="57"/>
  <c r="F659" i="57"/>
  <c r="F653" i="57"/>
  <c r="K653" i="57"/>
  <c r="F647" i="57"/>
  <c r="K647" i="57"/>
  <c r="F641" i="57"/>
  <c r="F635" i="57"/>
  <c r="F629" i="57"/>
  <c r="F623" i="57"/>
  <c r="F617" i="57"/>
  <c r="F611" i="57"/>
  <c r="K611" i="57"/>
  <c r="F605" i="57"/>
  <c r="F599" i="57"/>
  <c r="K599" i="57"/>
  <c r="F593" i="57"/>
  <c r="K593" i="57"/>
  <c r="F587" i="57"/>
  <c r="F581" i="57"/>
  <c r="F575" i="57"/>
  <c r="K575" i="57"/>
  <c r="F569" i="57"/>
  <c r="F563" i="57"/>
  <c r="F557" i="57"/>
  <c r="F551" i="57"/>
  <c r="F545" i="57"/>
  <c r="K545" i="57"/>
  <c r="F539" i="57"/>
  <c r="K539" i="57"/>
  <c r="F533" i="57"/>
  <c r="F527" i="57"/>
  <c r="K527" i="57"/>
  <c r="F521" i="57"/>
  <c r="K521" i="57"/>
  <c r="F515" i="57"/>
  <c r="K515" i="57"/>
  <c r="F509" i="57"/>
  <c r="K509" i="57"/>
  <c r="F503" i="57"/>
  <c r="K503" i="57"/>
  <c r="F497" i="57"/>
  <c r="K497" i="57"/>
  <c r="F491" i="57"/>
  <c r="K491" i="57"/>
  <c r="F485" i="57"/>
  <c r="K485" i="57"/>
  <c r="F479" i="57"/>
  <c r="K479" i="57"/>
  <c r="F473" i="57"/>
  <c r="K473" i="57"/>
  <c r="F467" i="57"/>
  <c r="K467" i="57"/>
  <c r="F461" i="57"/>
  <c r="K461" i="57"/>
  <c r="F455" i="57"/>
  <c r="K455" i="57"/>
  <c r="F449" i="57"/>
  <c r="K449" i="57"/>
  <c r="F443" i="57"/>
  <c r="K443" i="57"/>
  <c r="F437" i="57"/>
  <c r="K437" i="57"/>
  <c r="F431" i="57"/>
  <c r="K431" i="57"/>
  <c r="F425" i="57"/>
  <c r="K425" i="57"/>
  <c r="F419" i="57"/>
  <c r="K419" i="57"/>
  <c r="F413" i="57"/>
  <c r="K413" i="57"/>
  <c r="F407" i="57"/>
  <c r="K407" i="57"/>
  <c r="F401" i="57"/>
  <c r="K401" i="57"/>
  <c r="F395" i="57"/>
  <c r="K395" i="57"/>
  <c r="F389" i="57"/>
  <c r="K389" i="57"/>
  <c r="F383" i="57"/>
  <c r="K383" i="57"/>
  <c r="F377" i="57"/>
  <c r="K377" i="57"/>
  <c r="F882" i="57"/>
  <c r="F876" i="57"/>
  <c r="K876" i="57"/>
  <c r="F870" i="57"/>
  <c r="K870" i="57"/>
  <c r="F864" i="57"/>
  <c r="K864" i="57"/>
  <c r="F858" i="57"/>
  <c r="K858" i="57"/>
  <c r="F852" i="57"/>
  <c r="K852" i="57"/>
  <c r="F846" i="57"/>
  <c r="F840" i="57"/>
  <c r="K840" i="57"/>
  <c r="F834" i="57"/>
  <c r="K834" i="57"/>
  <c r="F828" i="57"/>
  <c r="K828" i="57"/>
  <c r="F822" i="57"/>
  <c r="K822" i="57"/>
  <c r="F815" i="57"/>
  <c r="K815" i="57"/>
  <c r="F809" i="57"/>
  <c r="F802" i="57"/>
  <c r="K802" i="57"/>
  <c r="F796" i="57"/>
  <c r="F790" i="57"/>
  <c r="K790" i="57"/>
  <c r="F784" i="57"/>
  <c r="K784" i="57"/>
  <c r="F778" i="57"/>
  <c r="K778" i="57"/>
  <c r="F772" i="57"/>
  <c r="K772" i="57"/>
  <c r="F766" i="57"/>
  <c r="K766" i="57"/>
  <c r="F760" i="57"/>
  <c r="F754" i="57"/>
  <c r="K754" i="57"/>
  <c r="F748" i="57"/>
  <c r="K748" i="57"/>
  <c r="F742" i="57"/>
  <c r="K742" i="57"/>
  <c r="F736" i="57"/>
  <c r="K736" i="57"/>
  <c r="F730" i="57"/>
  <c r="K730" i="57"/>
  <c r="F724" i="57"/>
  <c r="F718" i="57"/>
  <c r="K718" i="57"/>
  <c r="F712" i="57"/>
  <c r="K712" i="57"/>
  <c r="F706" i="57"/>
  <c r="K706" i="57"/>
  <c r="F700" i="57"/>
  <c r="K700" i="57"/>
  <c r="F694" i="57"/>
  <c r="K694" i="57"/>
  <c r="F688" i="57"/>
  <c r="F682" i="57"/>
  <c r="K682" i="57"/>
  <c r="F676" i="57"/>
  <c r="K676" i="57"/>
  <c r="F670" i="57"/>
  <c r="K670" i="57"/>
  <c r="F664" i="57"/>
  <c r="K664" i="57"/>
  <c r="F658" i="57"/>
  <c r="K658" i="57"/>
  <c r="F652" i="57"/>
  <c r="F646" i="57"/>
  <c r="K646" i="57"/>
  <c r="F640" i="57"/>
  <c r="K640" i="57"/>
  <c r="F634" i="57"/>
  <c r="K634" i="57"/>
  <c r="F628" i="57"/>
  <c r="K628" i="57"/>
  <c r="F622" i="57"/>
  <c r="K622" i="57"/>
  <c r="F616" i="57"/>
  <c r="F610" i="57"/>
  <c r="K610" i="57"/>
  <c r="F604" i="57"/>
  <c r="K604" i="57"/>
  <c r="F598" i="57"/>
  <c r="K598" i="57"/>
  <c r="F592" i="57"/>
  <c r="K592" i="57"/>
  <c r="F586" i="57"/>
  <c r="F580" i="57"/>
  <c r="K580" i="57"/>
  <c r="F574" i="57"/>
  <c r="F568" i="57"/>
  <c r="K568" i="57"/>
  <c r="F562" i="57"/>
  <c r="K562" i="57"/>
  <c r="F556" i="57"/>
  <c r="K556" i="57"/>
  <c r="F550" i="57"/>
  <c r="K550" i="57"/>
  <c r="F544" i="57"/>
  <c r="K544" i="57"/>
  <c r="F538" i="57"/>
  <c r="K538" i="57"/>
  <c r="F532" i="57"/>
  <c r="K532" i="57"/>
  <c r="F526" i="57"/>
  <c r="K526" i="57"/>
  <c r="F520" i="57"/>
  <c r="K520" i="57"/>
  <c r="F514" i="57"/>
  <c r="F508" i="57"/>
  <c r="K508" i="57"/>
  <c r="F502" i="57"/>
  <c r="K502" i="57"/>
  <c r="F496" i="57"/>
  <c r="K496" i="57"/>
  <c r="F490" i="57"/>
  <c r="K490" i="57"/>
  <c r="F484" i="57"/>
  <c r="F478" i="57"/>
  <c r="K478" i="57"/>
  <c r="F472" i="57"/>
  <c r="K472" i="57"/>
  <c r="F466" i="57"/>
  <c r="K466" i="57"/>
  <c r="F460" i="57"/>
  <c r="K460" i="57"/>
  <c r="F454" i="57"/>
  <c r="K454" i="57"/>
  <c r="F448" i="57"/>
  <c r="K448" i="57"/>
  <c r="F442" i="57"/>
  <c r="K442" i="57"/>
  <c r="F436" i="57"/>
  <c r="K436" i="57"/>
  <c r="F430" i="57"/>
  <c r="K430" i="57"/>
  <c r="F424" i="57"/>
  <c r="K424" i="57"/>
  <c r="F418" i="57"/>
  <c r="K418" i="57"/>
  <c r="F412" i="57"/>
  <c r="K412" i="57"/>
  <c r="F406" i="57"/>
  <c r="K406" i="57"/>
  <c r="F400" i="57"/>
  <c r="K400" i="57"/>
  <c r="F394" i="57"/>
  <c r="K394" i="57"/>
  <c r="F388" i="57"/>
  <c r="K388" i="57"/>
  <c r="F382" i="57"/>
  <c r="K382" i="57"/>
  <c r="F376" i="57"/>
  <c r="K376" i="57"/>
  <c r="F881" i="57"/>
  <c r="K881" i="57"/>
  <c r="F875" i="57"/>
  <c r="K875" i="57"/>
  <c r="F869" i="57"/>
  <c r="F863" i="57"/>
  <c r="F857" i="57"/>
  <c r="K857" i="57"/>
  <c r="F851" i="57"/>
  <c r="K851" i="57"/>
  <c r="F845" i="57"/>
  <c r="F839" i="57"/>
  <c r="F833" i="57"/>
  <c r="K833" i="57"/>
  <c r="F827" i="57"/>
  <c r="F821" i="57"/>
  <c r="K821" i="57"/>
  <c r="F814" i="57"/>
  <c r="F808" i="57"/>
  <c r="K808" i="57"/>
  <c r="F801" i="57"/>
  <c r="F795" i="57"/>
  <c r="K795" i="57"/>
  <c r="F789" i="57"/>
  <c r="K789" i="57"/>
  <c r="F783" i="57"/>
  <c r="K783" i="57"/>
  <c r="F777" i="57"/>
  <c r="K777" i="57"/>
  <c r="F771" i="57"/>
  <c r="K771" i="57"/>
  <c r="F765" i="57"/>
  <c r="F759" i="57"/>
  <c r="K759" i="57"/>
  <c r="F753" i="57"/>
  <c r="K753" i="57"/>
  <c r="F747" i="57"/>
  <c r="K747" i="57"/>
  <c r="F741" i="57"/>
  <c r="K741" i="57"/>
  <c r="F735" i="57"/>
  <c r="K735" i="57"/>
  <c r="F729" i="57"/>
  <c r="F723" i="57"/>
  <c r="K723" i="57"/>
  <c r="F717" i="57"/>
  <c r="K717" i="57"/>
  <c r="F711" i="57"/>
  <c r="K711" i="57"/>
  <c r="F705" i="57"/>
  <c r="K705" i="57"/>
  <c r="F699" i="57"/>
  <c r="K699" i="57"/>
  <c r="F693" i="57"/>
  <c r="F687" i="57"/>
  <c r="K687" i="57"/>
  <c r="F681" i="57"/>
  <c r="K681" i="57"/>
  <c r="F675" i="57"/>
  <c r="K675" i="57"/>
  <c r="F669" i="57"/>
  <c r="K669" i="57"/>
  <c r="F663" i="57"/>
  <c r="K663" i="57"/>
  <c r="F657" i="57"/>
  <c r="F651" i="57"/>
  <c r="K651" i="57"/>
  <c r="F645" i="57"/>
  <c r="K645" i="57"/>
  <c r="F639" i="57"/>
  <c r="K639" i="57"/>
  <c r="F633" i="57"/>
  <c r="K633" i="57"/>
  <c r="F627" i="57"/>
  <c r="K627" i="57"/>
  <c r="F621" i="57"/>
  <c r="F615" i="57"/>
  <c r="K615" i="57"/>
  <c r="F609" i="57"/>
  <c r="K609" i="57"/>
  <c r="F603" i="57"/>
  <c r="K603" i="57"/>
  <c r="F597" i="57"/>
  <c r="K597" i="57"/>
  <c r="F591" i="57"/>
  <c r="K591" i="57"/>
  <c r="F585" i="57"/>
  <c r="F579" i="57"/>
  <c r="K579" i="57"/>
  <c r="F573" i="57"/>
  <c r="K573" i="57"/>
  <c r="F567" i="57"/>
  <c r="K567" i="57"/>
  <c r="F561" i="57"/>
  <c r="K561" i="57"/>
  <c r="F555" i="57"/>
  <c r="K555" i="57"/>
  <c r="F549" i="57"/>
  <c r="F543" i="57"/>
  <c r="K543" i="57"/>
  <c r="F537" i="57"/>
  <c r="K537" i="57"/>
  <c r="F531" i="57"/>
  <c r="K531" i="57"/>
  <c r="F525" i="57"/>
  <c r="K525" i="57"/>
  <c r="F519" i="57"/>
  <c r="K519" i="57"/>
  <c r="F513" i="57"/>
  <c r="K513" i="57"/>
  <c r="F507" i="57"/>
  <c r="K507" i="57"/>
  <c r="F501" i="57"/>
  <c r="K501" i="57"/>
  <c r="F495" i="57"/>
  <c r="K495" i="57"/>
  <c r="F489" i="57"/>
  <c r="K489" i="57"/>
  <c r="F483" i="57"/>
  <c r="K483" i="57"/>
  <c r="F477" i="57"/>
  <c r="K477" i="57"/>
  <c r="F471" i="57"/>
  <c r="K471" i="57"/>
  <c r="F465" i="57"/>
  <c r="K465" i="57"/>
  <c r="F459" i="57"/>
  <c r="K459" i="57"/>
  <c r="F453" i="57"/>
  <c r="K453" i="57"/>
  <c r="F447" i="57"/>
  <c r="K447" i="57"/>
  <c r="F441" i="57"/>
  <c r="K441" i="57"/>
  <c r="F435" i="57"/>
  <c r="K435" i="57"/>
  <c r="F429" i="57"/>
  <c r="K429" i="57"/>
  <c r="F423" i="57"/>
  <c r="K423" i="57"/>
  <c r="F417" i="57"/>
  <c r="K417" i="57"/>
  <c r="F411" i="57"/>
  <c r="K411" i="57"/>
  <c r="F405" i="57"/>
  <c r="K405" i="57"/>
  <c r="F399" i="57"/>
  <c r="K399" i="57"/>
  <c r="F393" i="57"/>
  <c r="K393" i="57"/>
  <c r="F387" i="57"/>
  <c r="K387" i="57"/>
  <c r="F381" i="57"/>
  <c r="K381" i="57"/>
  <c r="F375" i="57"/>
  <c r="K375" i="57"/>
  <c r="F886" i="57"/>
  <c r="F880" i="57"/>
  <c r="K880" i="57"/>
  <c r="F874" i="57"/>
  <c r="F868" i="57"/>
  <c r="K868" i="57"/>
  <c r="F862" i="57"/>
  <c r="F856" i="57"/>
  <c r="K856" i="57"/>
  <c r="F850" i="57"/>
  <c r="K850" i="57"/>
  <c r="F844" i="57"/>
  <c r="K844" i="57"/>
  <c r="F838" i="57"/>
  <c r="K838" i="57"/>
  <c r="F832" i="57"/>
  <c r="K832" i="57"/>
  <c r="F826" i="57"/>
  <c r="K826" i="57"/>
  <c r="F820" i="57"/>
  <c r="K820" i="57"/>
  <c r="F813" i="57"/>
  <c r="K813" i="57"/>
  <c r="F806" i="57"/>
  <c r="K806" i="57"/>
  <c r="F800" i="57"/>
  <c r="K800" i="57"/>
  <c r="F794" i="57"/>
  <c r="K794" i="57"/>
  <c r="F788" i="57"/>
  <c r="K788" i="57"/>
  <c r="F782" i="57"/>
  <c r="K782" i="57"/>
  <c r="F776" i="57"/>
  <c r="F770" i="57"/>
  <c r="K770" i="57"/>
  <c r="F764" i="57"/>
  <c r="K764" i="57"/>
  <c r="F758" i="57"/>
  <c r="K758" i="57"/>
  <c r="F752" i="57"/>
  <c r="K752" i="57"/>
  <c r="F746" i="57"/>
  <c r="K746" i="57"/>
  <c r="F740" i="57"/>
  <c r="F734" i="57"/>
  <c r="K734" i="57"/>
  <c r="F728" i="57"/>
  <c r="K728" i="57"/>
  <c r="F722" i="57"/>
  <c r="K722" i="57"/>
  <c r="F716" i="57"/>
  <c r="K716" i="57"/>
  <c r="F710" i="57"/>
  <c r="K710" i="57"/>
  <c r="F704" i="57"/>
  <c r="F698" i="57"/>
  <c r="K698" i="57"/>
  <c r="F692" i="57"/>
  <c r="K692" i="57"/>
  <c r="F686" i="57"/>
  <c r="K686" i="57"/>
  <c r="F680" i="57"/>
  <c r="K680" i="57"/>
  <c r="F674" i="57"/>
  <c r="K674" i="57"/>
  <c r="F668" i="57"/>
  <c r="F662" i="57"/>
  <c r="K662" i="57"/>
  <c r="F656" i="57"/>
  <c r="K656" i="57"/>
  <c r="F650" i="57"/>
  <c r="K650" i="57"/>
  <c r="F644" i="57"/>
  <c r="K644" i="57"/>
  <c r="F638" i="57"/>
  <c r="K638" i="57"/>
  <c r="F632" i="57"/>
  <c r="F626" i="57"/>
  <c r="K626" i="57"/>
  <c r="F620" i="57"/>
  <c r="K620" i="57"/>
  <c r="F614" i="57"/>
  <c r="K614" i="57"/>
  <c r="F608" i="57"/>
  <c r="K608" i="57"/>
  <c r="F602" i="57"/>
  <c r="K602" i="57"/>
  <c r="F596" i="57"/>
  <c r="F590" i="57"/>
  <c r="K590" i="57"/>
  <c r="F584" i="57"/>
  <c r="K584" i="57"/>
  <c r="F578" i="57"/>
  <c r="K578" i="57"/>
  <c r="F572" i="57"/>
  <c r="K572" i="57"/>
  <c r="F566" i="57"/>
  <c r="K566" i="57"/>
  <c r="F560" i="57"/>
  <c r="F554" i="57"/>
  <c r="K554" i="57"/>
  <c r="F548" i="57"/>
  <c r="K548" i="57"/>
  <c r="F542" i="57"/>
  <c r="K542" i="57"/>
  <c r="F536" i="57"/>
  <c r="K536" i="57"/>
  <c r="F530" i="57"/>
  <c r="K530" i="57"/>
  <c r="F524" i="57"/>
  <c r="K524" i="57"/>
  <c r="F518" i="57"/>
  <c r="K518" i="57"/>
  <c r="F512" i="57"/>
  <c r="K512" i="57"/>
  <c r="F506" i="57"/>
  <c r="K506" i="57"/>
  <c r="F500" i="57"/>
  <c r="K500" i="57"/>
  <c r="F494" i="57"/>
  <c r="K494" i="57"/>
  <c r="F488" i="57"/>
  <c r="K488" i="57"/>
  <c r="F482" i="57"/>
  <c r="K482" i="57"/>
  <c r="F476" i="57"/>
  <c r="K476" i="57"/>
  <c r="F470" i="57"/>
  <c r="K470" i="57"/>
  <c r="F464" i="57"/>
  <c r="F458" i="57"/>
  <c r="K458" i="57"/>
  <c r="F452" i="57"/>
  <c r="K452" i="57"/>
  <c r="F446" i="57"/>
  <c r="K446" i="57"/>
  <c r="F440" i="57"/>
  <c r="K440" i="57"/>
  <c r="F434" i="57"/>
  <c r="K434" i="57"/>
  <c r="F428" i="57"/>
  <c r="K428" i="57"/>
  <c r="F422" i="57"/>
  <c r="K422" i="57"/>
  <c r="F416" i="57"/>
  <c r="K416" i="57"/>
  <c r="F410" i="57"/>
  <c r="K410" i="57"/>
  <c r="F404" i="57"/>
  <c r="K404" i="57"/>
  <c r="F398" i="57"/>
  <c r="K398" i="57"/>
  <c r="F392" i="57"/>
  <c r="K392" i="57"/>
  <c r="F386" i="57"/>
  <c r="K386" i="57"/>
  <c r="F380" i="57"/>
  <c r="K380" i="57"/>
  <c r="Q101" i="14"/>
  <c r="Q733" i="14"/>
  <c r="Q729" i="14"/>
  <c r="Q726" i="14"/>
  <c r="Q725" i="14"/>
  <c r="Q577" i="14"/>
  <c r="Q207" i="14"/>
  <c r="K818" i="57"/>
  <c r="K571" i="57"/>
  <c r="K397" i="57"/>
  <c r="K325" i="57"/>
  <c r="K289" i="57"/>
  <c r="K253" i="57"/>
  <c r="K862" i="57"/>
  <c r="K809" i="57"/>
  <c r="K846" i="57"/>
  <c r="K882" i="57"/>
  <c r="K551" i="57"/>
  <c r="K659" i="57"/>
  <c r="K767" i="57"/>
  <c r="K803" i="57"/>
  <c r="K841" i="57"/>
  <c r="K510" i="57"/>
  <c r="K872" i="57"/>
  <c r="K825" i="57"/>
  <c r="K799" i="57"/>
  <c r="K631" i="57"/>
  <c r="K256" i="57"/>
  <c r="K364" i="57"/>
  <c r="K136" i="57"/>
  <c r="K569" i="57"/>
  <c r="K605" i="57"/>
  <c r="K823" i="57"/>
  <c r="K816" i="57"/>
  <c r="K745" i="57"/>
  <c r="K553" i="57"/>
  <c r="K208" i="57"/>
  <c r="K270" i="57"/>
  <c r="K310" i="57"/>
  <c r="K265" i="57"/>
  <c r="K301" i="57"/>
  <c r="K337" i="57"/>
  <c r="K373" i="57"/>
  <c r="K275" i="57"/>
  <c r="K365" i="57"/>
  <c r="K812" i="57"/>
  <c r="K528" i="57"/>
  <c r="K320" i="57"/>
  <c r="K535" i="57"/>
  <c r="K262" i="57"/>
  <c r="K481" i="57"/>
  <c r="K370" i="57"/>
  <c r="K629" i="57"/>
  <c r="K486" i="57"/>
  <c r="K581" i="57"/>
  <c r="K677" i="57"/>
  <c r="K859" i="57"/>
  <c r="K560" i="57"/>
  <c r="K596" i="57"/>
  <c r="K632" i="57"/>
  <c r="K668" i="57"/>
  <c r="K704" i="57"/>
  <c r="K740" i="57"/>
  <c r="K776" i="57"/>
  <c r="K824" i="57"/>
  <c r="K649" i="57"/>
  <c r="K814" i="57"/>
  <c r="K484" i="57"/>
  <c r="K877" i="57"/>
  <c r="K869" i="57"/>
  <c r="K563" i="57"/>
  <c r="K343" i="57"/>
  <c r="K307" i="57"/>
  <c r="K235" i="57"/>
  <c r="K617" i="57"/>
  <c r="K836" i="57"/>
  <c r="K492" i="57"/>
  <c r="K874" i="57"/>
  <c r="K827" i="57"/>
  <c r="K863" i="57"/>
  <c r="K635" i="57"/>
  <c r="K707" i="57"/>
  <c r="K743" i="57"/>
  <c r="K779" i="57"/>
  <c r="K226" i="57"/>
  <c r="K82" i="57"/>
  <c r="K118" i="57"/>
  <c r="K110" i="57"/>
  <c r="K243" i="57"/>
  <c r="K279" i="57"/>
  <c r="K251" i="57"/>
  <c r="K574" i="57"/>
  <c r="K260" i="57"/>
  <c r="K368" i="57"/>
  <c r="K249" i="57"/>
  <c r="K107" i="57"/>
  <c r="K886" i="57"/>
  <c r="K549" i="57"/>
  <c r="K585" i="57"/>
  <c r="K621" i="57"/>
  <c r="K657" i="57"/>
  <c r="K693" i="57"/>
  <c r="K729" i="57"/>
  <c r="K765" i="57"/>
  <c r="K801" i="57"/>
  <c r="K839" i="57"/>
  <c r="K616" i="57"/>
  <c r="K652" i="57"/>
  <c r="K688" i="57"/>
  <c r="K724" i="57"/>
  <c r="K760" i="57"/>
  <c r="K796" i="57"/>
  <c r="K829" i="57"/>
  <c r="K534" i="57"/>
  <c r="K570" i="57"/>
  <c r="K606" i="57"/>
  <c r="K642" i="57"/>
  <c r="K678" i="57"/>
  <c r="K714" i="57"/>
  <c r="K750" i="57"/>
  <c r="K786" i="57"/>
  <c r="K667" i="57"/>
  <c r="K298" i="57"/>
  <c r="K154" i="57"/>
  <c r="K80" i="57"/>
  <c r="K374" i="57"/>
  <c r="K363" i="57"/>
  <c r="K41" i="57"/>
  <c r="K845" i="57"/>
  <c r="K514" i="57"/>
  <c r="K769" i="57"/>
  <c r="K190" i="57"/>
  <c r="K252" i="57"/>
  <c r="K360" i="57"/>
  <c r="K200" i="57"/>
  <c r="K415" i="57"/>
  <c r="K147" i="57"/>
  <c r="K261" i="57"/>
  <c r="K197" i="57"/>
  <c r="K269" i="57"/>
  <c r="K464" i="57"/>
  <c r="K587" i="57"/>
  <c r="K623" i="57"/>
  <c r="K637" i="57"/>
  <c r="K493" i="57"/>
  <c r="K685" i="57"/>
  <c r="K46" i="57"/>
  <c r="K157" i="57"/>
  <c r="K56" i="57"/>
  <c r="K206" i="57"/>
  <c r="K278" i="57"/>
  <c r="K153" i="57"/>
  <c r="K167" i="57"/>
  <c r="K239" i="57"/>
  <c r="K557" i="57"/>
  <c r="K577" i="57"/>
  <c r="K703" i="57"/>
  <c r="K811" i="57"/>
  <c r="K277" i="57"/>
  <c r="K451" i="57"/>
  <c r="K290" i="57"/>
  <c r="K523" i="57"/>
  <c r="K533" i="57"/>
  <c r="K641" i="57"/>
  <c r="K691" i="57"/>
  <c r="K775" i="57"/>
  <c r="K257" i="57"/>
  <c r="K293" i="57"/>
  <c r="K255" i="57"/>
  <c r="K299" i="57"/>
  <c r="K174" i="57"/>
  <c r="K586" i="57"/>
  <c r="K830" i="57"/>
  <c r="K272" i="57"/>
  <c r="K161" i="57"/>
  <c r="K805" i="57"/>
  <c r="K522" i="57"/>
  <c r="K43" i="57"/>
  <c r="K106" i="57"/>
  <c r="K671" i="57"/>
  <c r="K884" i="57"/>
  <c r="K781" i="57"/>
  <c r="K287" i="57"/>
  <c r="K30" i="57"/>
  <c r="K371" i="57"/>
  <c r="K379" i="57"/>
  <c r="K879" i="57"/>
  <c r="K709" i="57"/>
  <c r="K504" i="57"/>
  <c r="K855" i="57"/>
  <c r="K837" i="57"/>
  <c r="K873" i="57"/>
  <c r="K601" i="57"/>
  <c r="K763" i="57"/>
  <c r="K849" i="57"/>
  <c r="Q731" i="14"/>
  <c r="Q732" i="14"/>
  <c r="Q737" i="14"/>
  <c r="Q736" i="14"/>
  <c r="Q735" i="14"/>
  <c r="Q730" i="14"/>
  <c r="Q734" i="14"/>
  <c r="Q744" i="14"/>
  <c r="Q750" i="14"/>
  <c r="Q738" i="14"/>
  <c r="Q763" i="14"/>
  <c r="Q762" i="14"/>
  <c r="Q760" i="14"/>
  <c r="Q764" i="14"/>
  <c r="Q751" i="14"/>
  <c r="Q741" i="14"/>
  <c r="Q742" i="14"/>
  <c r="Q753" i="14"/>
  <c r="Q747" i="14"/>
  <c r="Q754" i="14"/>
  <c r="Q740" i="14"/>
  <c r="Q743" i="14"/>
  <c r="Q739" i="14"/>
  <c r="Q752" i="14"/>
  <c r="Q746" i="14"/>
  <c r="Q749" i="14"/>
  <c r="Q769" i="14"/>
  <c r="P730" i="14"/>
  <c r="Q748" i="14"/>
  <c r="Q768" i="14"/>
  <c r="Q771" i="14"/>
  <c r="Q773" i="14"/>
  <c r="Q772" i="14"/>
  <c r="Q774" i="14"/>
  <c r="Q777" i="14"/>
  <c r="Q758" i="14"/>
  <c r="Q782" i="14"/>
  <c r="Q778" i="14"/>
  <c r="Q724" i="14"/>
  <c r="Q784" i="14"/>
  <c r="Q804" i="14"/>
  <c r="Q805" i="14"/>
  <c r="Q765" i="14"/>
  <c r="Q806" i="14"/>
  <c r="Q799" i="14"/>
  <c r="Q779" i="14"/>
  <c r="Q796" i="14"/>
  <c r="Q780" i="14"/>
  <c r="Q808" i="14"/>
  <c r="Q783" i="14"/>
  <c r="Q785" i="14"/>
  <c r="Q798" i="14"/>
  <c r="Q789" i="14"/>
  <c r="Q766" i="14"/>
  <c r="Q756" i="14"/>
  <c r="Q793" i="14"/>
  <c r="Q788" i="14"/>
  <c r="Q767" i="14"/>
  <c r="Q745" i="14"/>
  <c r="Q787" i="14"/>
  <c r="Q792" i="14"/>
  <c r="Q794" i="14"/>
  <c r="Q795" i="14"/>
  <c r="Q790" i="14"/>
  <c r="Q791" i="14"/>
  <c r="Q815" i="14"/>
  <c r="Q801" i="14"/>
  <c r="Q802" i="14"/>
  <c r="Q813" i="14"/>
  <c r="V2424" i="6"/>
  <c r="V2596" i="6"/>
  <c r="Q811" i="14"/>
  <c r="V942" i="6"/>
  <c r="V592" i="6"/>
  <c r="V1895" i="6"/>
  <c r="V173" i="6"/>
  <c r="V1085" i="6"/>
  <c r="V2533" i="6"/>
  <c r="M324" i="14"/>
  <c r="R324" i="14" s="1"/>
  <c r="V2238" i="6"/>
  <c r="V1417" i="6"/>
  <c r="Q781" i="14"/>
  <c r="V3081" i="6"/>
  <c r="V2327" i="6"/>
  <c r="V86" i="6"/>
  <c r="V2882" i="6"/>
  <c r="V1781" i="6"/>
  <c r="V1656" i="6"/>
  <c r="Q814" i="14"/>
  <c r="Q797" i="14"/>
  <c r="Q786" i="14"/>
  <c r="Q807" i="14"/>
  <c r="Q776" i="14"/>
  <c r="V4699" i="6"/>
  <c r="V1154" i="6"/>
  <c r="V31" i="6"/>
  <c r="V5047" i="6"/>
  <c r="V4679" i="6"/>
  <c r="V5046" i="6"/>
  <c r="V1998" i="6"/>
  <c r="V963" i="6"/>
  <c r="V868" i="6"/>
  <c r="V700" i="6"/>
  <c r="V3398" i="6"/>
  <c r="V1152" i="6"/>
  <c r="V232" i="6"/>
  <c r="V216" i="6"/>
  <c r="V4697" i="6"/>
  <c r="V4214" i="6"/>
  <c r="V3674" i="6"/>
  <c r="V3527" i="6"/>
  <c r="V2428" i="6"/>
  <c r="V4107" i="6"/>
  <c r="V4101" i="6"/>
  <c r="V4047" i="6"/>
  <c r="V2912" i="6"/>
  <c r="V2431" i="6"/>
  <c r="V231" i="6"/>
  <c r="V4633" i="6"/>
  <c r="V2078" i="6"/>
  <c r="V1865" i="6"/>
  <c r="V361" i="6"/>
  <c r="V124" i="6"/>
  <c r="V4097" i="6"/>
  <c r="V4049" i="6"/>
  <c r="V4100" i="6"/>
  <c r="V3937" i="6"/>
  <c r="V3611" i="6"/>
  <c r="V3168" i="6"/>
  <c r="V3109" i="6"/>
  <c r="V3075" i="6"/>
  <c r="V2886" i="6"/>
  <c r="V4494" i="6"/>
  <c r="V3143" i="6"/>
  <c r="V2989" i="6"/>
  <c r="V2814" i="6"/>
  <c r="V2775" i="6"/>
  <c r="V3234" i="6"/>
  <c r="V2993" i="6"/>
  <c r="V2877" i="6"/>
  <c r="V3530" i="6"/>
  <c r="V3014" i="6"/>
  <c r="V2333" i="6"/>
  <c r="V2048" i="6"/>
  <c r="V2047" i="6"/>
  <c r="V1891" i="6"/>
  <c r="V1588" i="6"/>
  <c r="V961" i="6"/>
  <c r="V166" i="6"/>
  <c r="V2002" i="6"/>
  <c r="V1307" i="6"/>
  <c r="V1182" i="6"/>
  <c r="V957" i="6"/>
  <c r="V902" i="6"/>
  <c r="V753" i="6"/>
  <c r="V640" i="6"/>
  <c r="V192" i="6"/>
  <c r="V187" i="6"/>
  <c r="V71" i="6"/>
  <c r="V40" i="6"/>
  <c r="V1878" i="6"/>
  <c r="V1816" i="6"/>
  <c r="V1717" i="6"/>
  <c r="V1660" i="6"/>
  <c r="V1219" i="6"/>
  <c r="V986" i="6"/>
  <c r="V960" i="6"/>
  <c r="V857" i="6"/>
  <c r="V849" i="6"/>
  <c r="V747" i="6"/>
  <c r="V708" i="6"/>
  <c r="V323" i="6"/>
  <c r="V252" i="6"/>
  <c r="V158" i="6"/>
  <c r="V34" i="6"/>
  <c r="V6" i="6"/>
  <c r="V756" i="6"/>
  <c r="V702" i="6"/>
  <c r="V167" i="6"/>
  <c r="V60" i="6"/>
  <c r="V53" i="6"/>
  <c r="V2182" i="6"/>
  <c r="V2160" i="6"/>
  <c r="V2042" i="6"/>
  <c r="V958" i="6"/>
  <c r="V955" i="6"/>
  <c r="V900" i="6"/>
  <c r="V726" i="6"/>
  <c r="V711" i="6"/>
  <c r="V408" i="6"/>
  <c r="V102" i="6"/>
  <c r="V92" i="6"/>
  <c r="V5066" i="6"/>
  <c r="V4219" i="6"/>
  <c r="V3603" i="6"/>
  <c r="V5080" i="6"/>
  <c r="V4784" i="6"/>
  <c r="V4761" i="6"/>
  <c r="V4587" i="6"/>
  <c r="V4549" i="6"/>
  <c r="V4430" i="6"/>
  <c r="V3965" i="6"/>
  <c r="V4012" i="6"/>
  <c r="V3967" i="6"/>
  <c r="V3510" i="6"/>
  <c r="V4489" i="6"/>
  <c r="V3787" i="6"/>
  <c r="V4708" i="6"/>
  <c r="V4553" i="6"/>
  <c r="V4550" i="6"/>
  <c r="V4543" i="6"/>
  <c r="V4048" i="6"/>
  <c r="V3733" i="6"/>
  <c r="V3607" i="6"/>
  <c r="V3517" i="6"/>
  <c r="V3350" i="6"/>
  <c r="V3070" i="6"/>
  <c r="V2972" i="6"/>
  <c r="V2591" i="6"/>
  <c r="V2588" i="6"/>
  <c r="V2819" i="6"/>
  <c r="V2771" i="6"/>
  <c r="V2733" i="6"/>
  <c r="V2743" i="6"/>
  <c r="V3194" i="6"/>
  <c r="V2673" i="6"/>
  <c r="V2510" i="6"/>
  <c r="V3526" i="6"/>
  <c r="V3044" i="6"/>
  <c r="V3015" i="6"/>
  <c r="V2918" i="6"/>
  <c r="V2893" i="6"/>
  <c r="V2881" i="6"/>
  <c r="V2781" i="6"/>
  <c r="V2676" i="6"/>
  <c r="V3123" i="6"/>
  <c r="V2874" i="6"/>
  <c r="V2476" i="6"/>
  <c r="V2956" i="6"/>
  <c r="V2776" i="6"/>
  <c r="V2335" i="6"/>
  <c r="V2304" i="6"/>
  <c r="V2151" i="6"/>
  <c r="V1995" i="6"/>
  <c r="V1927" i="6"/>
  <c r="V1663" i="6"/>
  <c r="V1499" i="6"/>
  <c r="V1973" i="6"/>
  <c r="V2281" i="6"/>
  <c r="V2088" i="6"/>
  <c r="V2036" i="6"/>
  <c r="V2031" i="6"/>
  <c r="V1880" i="6"/>
  <c r="V1877" i="6"/>
  <c r="V2444" i="6"/>
  <c r="V2442" i="6"/>
  <c r="V2365" i="6"/>
  <c r="V2234" i="6"/>
  <c r="V2084" i="6"/>
  <c r="V2027" i="6"/>
  <c r="V1982" i="6"/>
  <c r="V1964" i="6"/>
  <c r="V1904" i="6"/>
  <c r="V1655" i="6"/>
  <c r="V1539" i="6"/>
  <c r="V2592" i="6"/>
  <c r="V2455" i="6"/>
  <c r="V2326" i="6"/>
  <c r="V2250" i="6"/>
  <c r="V2235" i="6"/>
  <c r="V2000" i="6"/>
  <c r="V1961" i="6"/>
  <c r="V1958" i="6"/>
  <c r="V1924" i="6"/>
  <c r="V1817" i="6"/>
  <c r="V1736" i="6"/>
  <c r="V1530" i="6"/>
  <c r="V1414" i="6"/>
  <c r="V1724" i="6"/>
  <c r="V1317" i="6"/>
  <c r="V936" i="6"/>
  <c r="V882" i="6"/>
  <c r="V861" i="6"/>
  <c r="V859" i="6"/>
  <c r="V856" i="6"/>
  <c r="V853" i="6"/>
  <c r="V815" i="6"/>
  <c r="V697" i="6"/>
  <c r="V587" i="6"/>
  <c r="V546" i="6"/>
  <c r="V522" i="6"/>
  <c r="V449" i="6"/>
  <c r="V404" i="6"/>
  <c r="V237" i="6"/>
  <c r="V230" i="6"/>
  <c r="V223" i="6"/>
  <c r="V211" i="6"/>
  <c r="V207" i="6"/>
  <c r="V202" i="6"/>
  <c r="V171" i="6"/>
  <c r="V68" i="6"/>
  <c r="V64" i="6"/>
  <c r="V911" i="6"/>
  <c r="V858" i="6"/>
  <c r="V481" i="6"/>
  <c r="V437" i="6"/>
  <c r="V329" i="6"/>
  <c r="V322" i="6"/>
  <c r="V255" i="6"/>
  <c r="V229" i="6"/>
  <c r="V225" i="6"/>
  <c r="V220" i="6"/>
  <c r="V218" i="6"/>
  <c r="V203" i="6"/>
  <c r="V67" i="6"/>
  <c r="V57" i="6"/>
  <c r="V215" i="6"/>
  <c r="V177" i="6"/>
  <c r="V943" i="6"/>
  <c r="V874" i="6"/>
  <c r="V854" i="6"/>
  <c r="V851" i="6"/>
  <c r="V810" i="6"/>
  <c r="V521" i="6"/>
  <c r="V415" i="6"/>
  <c r="V221" i="6"/>
  <c r="V219" i="6"/>
  <c r="V217" i="6"/>
  <c r="V212" i="6"/>
  <c r="V205" i="6"/>
  <c r="V181" i="6"/>
  <c r="V101" i="6"/>
  <c r="V19" i="6"/>
  <c r="V1312" i="6"/>
  <c r="V1175" i="6"/>
  <c r="V1059" i="6"/>
  <c r="V956" i="6"/>
  <c r="V869" i="6"/>
  <c r="V866" i="6"/>
  <c r="V793" i="6"/>
  <c r="V759" i="6"/>
  <c r="V750" i="6"/>
  <c r="V732" i="6"/>
  <c r="V723" i="6"/>
  <c r="V714" i="6"/>
  <c r="V705" i="6"/>
  <c r="V474" i="6"/>
  <c r="V438" i="6"/>
  <c r="V409" i="6"/>
  <c r="V384" i="6"/>
  <c r="V246" i="6"/>
  <c r="V233" i="6"/>
  <c r="V214" i="6"/>
  <c r="V162" i="6"/>
  <c r="V156" i="6"/>
  <c r="V121" i="6"/>
  <c r="V72" i="6"/>
  <c r="V65" i="6"/>
  <c r="V62" i="6"/>
  <c r="V37" i="6"/>
  <c r="V5049" i="6"/>
  <c r="V4893" i="6"/>
  <c r="V4757" i="6"/>
  <c r="V4675" i="6"/>
  <c r="V4611" i="6"/>
  <c r="V4548" i="6"/>
  <c r="V3940" i="6"/>
  <c r="V3931" i="6"/>
  <c r="V3793" i="6"/>
  <c r="V3792" i="6"/>
  <c r="V3796" i="6"/>
  <c r="V3729" i="6"/>
  <c r="V3728" i="6"/>
  <c r="V3731" i="6"/>
  <c r="V5335" i="6"/>
  <c r="V4685" i="6"/>
  <c r="V4534" i="6"/>
  <c r="V4370" i="6"/>
  <c r="V4016" i="6"/>
  <c r="V4762" i="6"/>
  <c r="V4665" i="6"/>
  <c r="V4656" i="6"/>
  <c r="V4586" i="6"/>
  <c r="V4328" i="6"/>
  <c r="V4108" i="6"/>
  <c r="V5355" i="6"/>
  <c r="V4542" i="6"/>
  <c r="V3936" i="6"/>
  <c r="V3930" i="6"/>
  <c r="V3964" i="6"/>
  <c r="V3578" i="6"/>
  <c r="V3549" i="6"/>
  <c r="V3356" i="6"/>
  <c r="V3150" i="6"/>
  <c r="V3095" i="6"/>
  <c r="V2907" i="6"/>
  <c r="V2909" i="6"/>
  <c r="V2920" i="6"/>
  <c r="V2921" i="6"/>
  <c r="V2908" i="6"/>
  <c r="V2915" i="6"/>
  <c r="V4021" i="6"/>
  <c r="V3615" i="6"/>
  <c r="V3354" i="6"/>
  <c r="V3351" i="6"/>
  <c r="V3165" i="6"/>
  <c r="V3043" i="6"/>
  <c r="V3038" i="6"/>
  <c r="V3024" i="6"/>
  <c r="V2995" i="6"/>
  <c r="V2998" i="6"/>
  <c r="V3151" i="6"/>
  <c r="V3064" i="6"/>
  <c r="V3027" i="6"/>
  <c r="V3579" i="6"/>
  <c r="V3508" i="6"/>
  <c r="V3218" i="6"/>
  <c r="V3122" i="6"/>
  <c r="V3116" i="6"/>
  <c r="V3110" i="6"/>
  <c r="V3037" i="6"/>
  <c r="V2971" i="6"/>
  <c r="V2950" i="6"/>
  <c r="V2962" i="6"/>
  <c r="V3791" i="6"/>
  <c r="V3773" i="6"/>
  <c r="V3614" i="6"/>
  <c r="V3574" i="6"/>
  <c r="V3352" i="6"/>
  <c r="V3163" i="6"/>
  <c r="V3154" i="6"/>
  <c r="V3132" i="6"/>
  <c r="V3128" i="6"/>
  <c r="V3086" i="6"/>
  <c r="V3011" i="6"/>
  <c r="V2991" i="6"/>
  <c r="V2911" i="6"/>
  <c r="V2935" i="6"/>
  <c r="V2811" i="6"/>
  <c r="V2777" i="6"/>
  <c r="V2735" i="6"/>
  <c r="V2438" i="6"/>
  <c r="V2430" i="6"/>
  <c r="V2263" i="6"/>
  <c r="V2118" i="6"/>
  <c r="V3012" i="6"/>
  <c r="V2994" i="6"/>
  <c r="V2244" i="6"/>
  <c r="V2239" i="6"/>
  <c r="V2737" i="6"/>
  <c r="V2364" i="6"/>
  <c r="V2166" i="6"/>
  <c r="V2992" i="6"/>
  <c r="V2809" i="6"/>
  <c r="V2331" i="6"/>
  <c r="V2316" i="6"/>
  <c r="V2185" i="6"/>
  <c r="V2482" i="6"/>
  <c r="V2179" i="6"/>
  <c r="V2183" i="6"/>
  <c r="V1596" i="6"/>
  <c r="V1421" i="6"/>
  <c r="V2030" i="6"/>
  <c r="V1809" i="6"/>
  <c r="V1704" i="6"/>
  <c r="V1545" i="6"/>
  <c r="V1507" i="6"/>
  <c r="V2053" i="6"/>
  <c r="V1884" i="6"/>
  <c r="V2010" i="6"/>
  <c r="V1922" i="6"/>
  <c r="V1692" i="6"/>
  <c r="V1642" i="6"/>
  <c r="V2105" i="6"/>
  <c r="V1930" i="6"/>
  <c r="V1881" i="6"/>
  <c r="V1718" i="6"/>
  <c r="V1667" i="6"/>
  <c r="V1653" i="6"/>
  <c r="V1529" i="6"/>
  <c r="V1533" i="6"/>
  <c r="V1509" i="6"/>
  <c r="V2189" i="6"/>
  <c r="V2035" i="6"/>
  <c r="V1898" i="6"/>
  <c r="V1232" i="6"/>
  <c r="V1593" i="6"/>
  <c r="V1584" i="6"/>
  <c r="V1403" i="6"/>
  <c r="V1342" i="6"/>
  <c r="V1190" i="6"/>
  <c r="V1173" i="6"/>
  <c r="V1020" i="6"/>
  <c r="V964" i="6"/>
  <c r="V800" i="6"/>
  <c r="V579" i="6"/>
  <c r="V508" i="6"/>
  <c r="V895" i="6"/>
  <c r="V881" i="6"/>
  <c r="V863" i="6"/>
  <c r="V860" i="6"/>
  <c r="V811" i="6"/>
  <c r="V680" i="6"/>
  <c r="V619" i="6"/>
  <c r="V610" i="6"/>
  <c r="V601" i="6"/>
  <c r="V589" i="6"/>
  <c r="V582" i="6"/>
  <c r="V578" i="6"/>
  <c r="V594" i="6"/>
  <c r="V593" i="6"/>
  <c r="V596" i="6"/>
  <c r="V599" i="6"/>
  <c r="V602" i="6"/>
  <c r="V605" i="6"/>
  <c r="V608" i="6"/>
  <c r="V611" i="6"/>
  <c r="V614" i="6"/>
  <c r="V617" i="6"/>
  <c r="V620" i="6"/>
  <c r="V623" i="6"/>
  <c r="V626" i="6"/>
  <c r="V581" i="6"/>
  <c r="V1058" i="6"/>
  <c r="V990" i="6"/>
  <c r="V949" i="6"/>
  <c r="V917" i="6"/>
  <c r="V865" i="6"/>
  <c r="V862" i="6"/>
  <c r="V809" i="6"/>
  <c r="V802" i="6"/>
  <c r="V622" i="6"/>
  <c r="V613" i="6"/>
  <c r="V604" i="6"/>
  <c r="V595" i="6"/>
  <c r="V588" i="6"/>
  <c r="V584" i="6"/>
  <c r="V553" i="6"/>
  <c r="V945" i="6"/>
  <c r="V503" i="6"/>
  <c r="V808" i="6"/>
  <c r="V642" i="6"/>
  <c r="V625" i="6"/>
  <c r="V616" i="6"/>
  <c r="V607" i="6"/>
  <c r="V598" i="6"/>
  <c r="V583" i="6"/>
  <c r="V591" i="6"/>
  <c r="V577" i="6"/>
  <c r="V590" i="6"/>
  <c r="V326" i="6"/>
  <c r="V227" i="6"/>
  <c r="V209" i="6"/>
  <c r="V164" i="6"/>
  <c r="V76" i="6"/>
  <c r="V73" i="6"/>
  <c r="V70" i="6"/>
  <c r="V7" i="6"/>
  <c r="V4684" i="6"/>
  <c r="V306" i="6"/>
  <c r="V294" i="6"/>
  <c r="V163" i="6"/>
  <c r="V310" i="6"/>
  <c r="V293" i="6"/>
  <c r="V403" i="6"/>
  <c r="V396" i="6"/>
  <c r="V390" i="6"/>
  <c r="V341" i="6"/>
  <c r="V243" i="6"/>
  <c r="V224" i="6"/>
  <c r="V222" i="6"/>
  <c r="V206" i="6"/>
  <c r="V168" i="6"/>
  <c r="V143" i="6"/>
  <c r="V134" i="6"/>
  <c r="V120" i="6"/>
  <c r="V97" i="6"/>
  <c r="V59" i="6"/>
  <c r="V56" i="6"/>
  <c r="V24" i="6"/>
  <c r="V5" i="6"/>
  <c r="V547" i="6"/>
  <c r="V541" i="6"/>
  <c r="V479" i="6"/>
  <c r="V444" i="6"/>
  <c r="V414" i="6"/>
  <c r="V410" i="6"/>
  <c r="V363" i="6"/>
  <c r="V332" i="6"/>
  <c r="V319" i="6"/>
  <c r="V228" i="6"/>
  <c r="V226" i="6"/>
  <c r="V210" i="6"/>
  <c r="V200" i="6"/>
  <c r="V176" i="6"/>
  <c r="V170" i="6"/>
  <c r="V153" i="6"/>
  <c r="V149" i="6"/>
  <c r="V140" i="6"/>
  <c r="V137" i="6"/>
  <c r="V131" i="6"/>
  <c r="V66" i="6"/>
  <c r="V52" i="6"/>
  <c r="V38" i="6"/>
  <c r="V35" i="6"/>
  <c r="V32" i="6"/>
  <c r="V29" i="6"/>
  <c r="V11" i="6"/>
  <c r="V523" i="6"/>
  <c r="V519" i="6"/>
  <c r="V492" i="6"/>
  <c r="V476" i="6"/>
  <c r="V453" i="6"/>
  <c r="V416" i="6"/>
  <c r="V402" i="6"/>
  <c r="V398" i="6"/>
  <c r="V366" i="6"/>
  <c r="V298" i="6"/>
  <c r="V295" i="6"/>
  <c r="V292" i="6"/>
  <c r="V182" i="6"/>
  <c r="V100" i="6"/>
  <c r="V30" i="6"/>
  <c r="V26" i="6"/>
  <c r="V4858" i="6"/>
  <c r="V5127" i="6"/>
  <c r="V4853" i="6"/>
  <c r="V4967" i="6"/>
  <c r="V4706" i="6"/>
  <c r="V4799" i="6"/>
  <c r="V4802" i="6"/>
  <c r="V5039" i="6"/>
  <c r="V4961" i="6"/>
  <c r="V4913" i="6"/>
  <c r="V4745" i="6"/>
  <c r="V4031" i="6"/>
  <c r="V4037" i="6"/>
  <c r="V4036" i="6"/>
  <c r="V4032" i="6"/>
  <c r="V4601" i="6"/>
  <c r="V4512" i="6"/>
  <c r="V4327" i="6"/>
  <c r="V4594" i="6"/>
  <c r="V4366" i="6"/>
  <c r="V4053" i="6"/>
  <c r="V3785" i="6"/>
  <c r="V3781" i="6"/>
  <c r="V4051" i="6"/>
  <c r="V4026" i="6"/>
  <c r="V3938" i="6"/>
  <c r="V3774" i="6"/>
  <c r="V3288" i="6"/>
  <c r="V3229" i="6"/>
  <c r="V3231" i="6"/>
  <c r="V3227" i="6"/>
  <c r="V3676" i="6"/>
  <c r="V3427" i="6"/>
  <c r="V3360" i="6"/>
  <c r="V3394" i="6"/>
  <c r="V3261" i="6"/>
  <c r="V3216" i="6"/>
  <c r="V3158" i="6"/>
  <c r="V3050" i="6"/>
  <c r="V2997" i="6"/>
  <c r="V2846" i="6"/>
  <c r="V2812" i="6"/>
  <c r="V3259" i="6"/>
  <c r="V3217" i="6"/>
  <c r="V3100" i="6"/>
  <c r="V3057" i="6"/>
  <c r="V3028" i="6"/>
  <c r="V2825" i="6"/>
  <c r="V3068" i="6"/>
  <c r="V3010" i="6"/>
  <c r="V3013" i="6"/>
  <c r="V2979" i="6"/>
  <c r="V2895" i="6"/>
  <c r="V2861" i="6"/>
  <c r="V2867" i="6"/>
  <c r="V2860" i="6"/>
  <c r="V2872" i="6"/>
  <c r="V2856" i="6"/>
  <c r="V2859" i="6"/>
  <c r="V2862" i="6"/>
  <c r="V2868" i="6"/>
  <c r="V3142" i="6"/>
  <c r="V3121" i="6"/>
  <c r="V3115" i="6"/>
  <c r="V2916" i="6"/>
  <c r="V2656" i="6"/>
  <c r="V2587" i="6"/>
  <c r="V2716" i="6"/>
  <c r="V2738" i="6"/>
  <c r="V2732" i="6"/>
  <c r="V2723" i="6"/>
  <c r="V2595" i="6"/>
  <c r="V2598" i="6"/>
  <c r="V2597" i="6"/>
  <c r="V2813" i="6"/>
  <c r="V2741" i="6"/>
  <c r="V2906" i="6"/>
  <c r="V2894" i="6"/>
  <c r="V2833" i="6"/>
  <c r="V2739" i="6"/>
  <c r="V2677" i="6"/>
  <c r="V2462" i="6"/>
  <c r="V2443" i="6"/>
  <c r="V2413" i="6"/>
  <c r="V2309" i="6"/>
  <c r="V2441" i="6"/>
  <c r="V2405" i="6"/>
  <c r="V2372" i="6"/>
  <c r="V2268" i="6"/>
  <c r="V2184" i="6"/>
  <c r="V2176" i="6"/>
  <c r="V2477" i="6"/>
  <c r="V2471" i="6"/>
  <c r="V2218" i="6"/>
  <c r="V2412" i="6"/>
  <c r="V2385" i="6"/>
  <c r="V2379" i="6"/>
  <c r="V2373" i="6"/>
  <c r="V2346" i="6"/>
  <c r="V2212" i="6"/>
  <c r="V2204" i="6"/>
  <c r="V2187" i="6"/>
  <c r="V2051" i="6"/>
  <c r="V2054" i="6"/>
  <c r="V2022" i="6"/>
  <c r="V2014" i="6"/>
  <c r="V2132" i="6"/>
  <c r="V2126" i="6"/>
  <c r="V2056" i="6"/>
  <c r="V2046" i="6"/>
  <c r="V2041" i="6"/>
  <c r="V2055" i="6"/>
  <c r="V2125" i="6"/>
  <c r="V1977" i="6"/>
  <c r="V1971" i="6"/>
  <c r="V1929" i="6"/>
  <c r="V1645" i="6"/>
  <c r="V1820" i="6"/>
  <c r="V1742" i="6"/>
  <c r="V1739" i="6"/>
  <c r="V1914" i="6"/>
  <c r="V1925" i="6"/>
  <c r="V1735" i="6"/>
  <c r="V1733" i="6"/>
  <c r="V1641" i="6"/>
  <c r="V1647" i="6"/>
  <c r="V1643" i="6"/>
  <c r="V1646" i="6"/>
  <c r="V1543" i="6"/>
  <c r="V1540" i="6"/>
  <c r="V1534" i="6"/>
  <c r="V1544" i="6"/>
  <c r="V1541" i="6"/>
  <c r="V1535" i="6"/>
  <c r="V1532" i="6"/>
  <c r="V1407" i="6"/>
  <c r="V1636" i="6"/>
  <c r="V1186" i="6"/>
  <c r="V1114" i="6"/>
  <c r="V1113" i="6"/>
  <c r="V1112" i="6"/>
  <c r="V1094" i="6"/>
  <c r="V1184" i="6"/>
  <c r="V1185" i="6"/>
  <c r="V1188" i="6"/>
  <c r="V1177" i="6"/>
  <c r="V1178" i="6"/>
  <c r="V1066" i="6"/>
  <c r="V1027" i="6"/>
  <c r="V951" i="6"/>
  <c r="V930" i="6"/>
  <c r="V927" i="6"/>
  <c r="V921" i="6"/>
  <c r="V918" i="6"/>
  <c r="V888" i="6"/>
  <c r="V1067" i="6"/>
  <c r="V1064" i="6"/>
  <c r="V1061" i="6"/>
  <c r="V1036" i="6"/>
  <c r="V1025" i="6"/>
  <c r="V1019" i="6"/>
  <c r="V928" i="6"/>
  <c r="V922" i="6"/>
  <c r="V919" i="6"/>
  <c r="V916" i="6"/>
  <c r="V1107" i="6"/>
  <c r="V1068" i="6"/>
  <c r="V1062" i="6"/>
  <c r="V950" i="6"/>
  <c r="V929" i="6"/>
  <c r="V926" i="6"/>
  <c r="V920" i="6"/>
  <c r="V761" i="6"/>
  <c r="V758" i="6"/>
  <c r="V755" i="6"/>
  <c r="V752" i="6"/>
  <c r="V746" i="6"/>
  <c r="V734" i="6"/>
  <c r="V731" i="6"/>
  <c r="V728" i="6"/>
  <c r="V725" i="6"/>
  <c r="V722" i="6"/>
  <c r="V713" i="6"/>
  <c r="V710" i="6"/>
  <c r="V707" i="6"/>
  <c r="V704" i="6"/>
  <c r="V831" i="6"/>
  <c r="V825" i="6"/>
  <c r="V822" i="6"/>
  <c r="V819" i="6"/>
  <c r="V816" i="6"/>
  <c r="V674" i="6"/>
  <c r="V668" i="6"/>
  <c r="V832" i="6"/>
  <c r="V823" i="6"/>
  <c r="V820" i="6"/>
  <c r="V817" i="6"/>
  <c r="V814" i="6"/>
  <c r="V852" i="6"/>
  <c r="V757" i="6"/>
  <c r="V754" i="6"/>
  <c r="V751" i="6"/>
  <c r="V748" i="6"/>
  <c r="V745" i="6"/>
  <c r="V733" i="6"/>
  <c r="V730" i="6"/>
  <c r="V727" i="6"/>
  <c r="V724" i="6"/>
  <c r="V721" i="6"/>
  <c r="V709" i="6"/>
  <c r="V703" i="6"/>
  <c r="V833" i="6"/>
  <c r="V830" i="6"/>
  <c r="V827" i="6"/>
  <c r="V824" i="6"/>
  <c r="V821" i="6"/>
  <c r="V818" i="6"/>
  <c r="V528" i="6"/>
  <c r="V621" i="6"/>
  <c r="V618" i="6"/>
  <c r="V615" i="6"/>
  <c r="V612" i="6"/>
  <c r="V609" i="6"/>
  <c r="V606" i="6"/>
  <c r="V603" i="6"/>
  <c r="V600" i="6"/>
  <c r="V552" i="6"/>
  <c r="V550" i="6"/>
  <c r="V575" i="6"/>
  <c r="V534" i="6"/>
  <c r="V506" i="6"/>
  <c r="V526" i="6"/>
  <c r="V532" i="6"/>
  <c r="V538" i="6"/>
  <c r="V542" i="6"/>
  <c r="V554" i="6"/>
  <c r="V483" i="6"/>
  <c r="V480" i="6"/>
  <c r="V443" i="6"/>
  <c r="V424" i="6"/>
  <c r="V418" i="6"/>
  <c r="V413" i="6"/>
  <c r="V405" i="6"/>
  <c r="V400" i="6"/>
  <c r="V395" i="6"/>
  <c r="V381" i="6"/>
  <c r="V334" i="6"/>
  <c r="V460" i="6"/>
  <c r="V454" i="6"/>
  <c r="V434" i="6"/>
  <c r="V425" i="6"/>
  <c r="V419" i="6"/>
  <c r="V411" i="6"/>
  <c r="V406" i="6"/>
  <c r="V401" i="6"/>
  <c r="V455" i="6"/>
  <c r="V452" i="6"/>
  <c r="V324" i="6"/>
  <c r="V327" i="6"/>
  <c r="V330" i="6"/>
  <c r="V333" i="6"/>
  <c r="V336" i="6"/>
  <c r="V429" i="6"/>
  <c r="V417" i="6"/>
  <c r="V412" i="6"/>
  <c r="V407" i="6"/>
  <c r="V368" i="6"/>
  <c r="V355" i="6"/>
  <c r="V342" i="6"/>
  <c r="V343" i="6"/>
  <c r="V325" i="6"/>
  <c r="V347" i="6"/>
  <c r="V364" i="6"/>
  <c r="V288" i="6"/>
  <c r="V285" i="6"/>
  <c r="V282" i="6"/>
  <c r="V279" i="6"/>
  <c r="V276" i="6"/>
  <c r="V273" i="6"/>
  <c r="V270" i="6"/>
  <c r="V264" i="6"/>
  <c r="V254" i="6"/>
  <c r="V245" i="6"/>
  <c r="V197" i="6"/>
  <c r="V189" i="6"/>
  <c r="V184" i="6"/>
  <c r="V183" i="6"/>
  <c r="V178" i="6"/>
  <c r="V148" i="6"/>
  <c r="V139" i="6"/>
  <c r="V130" i="6"/>
  <c r="V118" i="6"/>
  <c r="V260" i="6"/>
  <c r="V289" i="6"/>
  <c r="V286" i="6"/>
  <c r="V283" i="6"/>
  <c r="V280" i="6"/>
  <c r="V277" i="6"/>
  <c r="V274" i="6"/>
  <c r="V271" i="6"/>
  <c r="V268" i="6"/>
  <c r="V265" i="6"/>
  <c r="V262" i="6"/>
  <c r="V248" i="6"/>
  <c r="V239" i="6"/>
  <c r="V195" i="6"/>
  <c r="V190" i="6"/>
  <c r="V185" i="6"/>
  <c r="V258" i="6"/>
  <c r="V198" i="6"/>
  <c r="V193" i="6"/>
  <c r="V188" i="6"/>
  <c r="V179" i="6"/>
  <c r="V287" i="6"/>
  <c r="V284" i="6"/>
  <c r="V281" i="6"/>
  <c r="V278" i="6"/>
  <c r="V275" i="6"/>
  <c r="V272" i="6"/>
  <c r="V269" i="6"/>
  <c r="V266" i="6"/>
  <c r="V263" i="6"/>
  <c r="V251" i="6"/>
  <c r="V242" i="6"/>
  <c r="V238" i="6"/>
  <c r="V241" i="6"/>
  <c r="V244" i="6"/>
  <c r="V247" i="6"/>
  <c r="V250" i="6"/>
  <c r="V256" i="6"/>
  <c r="V196" i="6"/>
  <c r="V191" i="6"/>
  <c r="V261" i="6"/>
  <c r="V249" i="6"/>
  <c r="V240" i="6"/>
  <c r="V199" i="6"/>
  <c r="V194" i="6"/>
  <c r="V154" i="6"/>
  <c r="V157" i="6"/>
  <c r="V160" i="6"/>
  <c r="V145" i="6"/>
  <c r="V136" i="6"/>
  <c r="V126" i="6"/>
  <c r="V117" i="6"/>
  <c r="V116" i="6"/>
  <c r="V119" i="6"/>
  <c r="V125" i="6"/>
  <c r="V109" i="6"/>
  <c r="V96" i="6"/>
  <c r="V91" i="6"/>
  <c r="V87" i="6"/>
  <c r="V90" i="6"/>
  <c r="V93" i="6"/>
  <c r="V69" i="6"/>
  <c r="V99" i="6"/>
  <c r="V89" i="6"/>
  <c r="V85" i="6"/>
  <c r="V42" i="6"/>
  <c r="V142" i="6"/>
  <c r="V132" i="6"/>
  <c r="V135" i="6"/>
  <c r="V138" i="6"/>
  <c r="V141" i="6"/>
  <c r="V144" i="6"/>
  <c r="V147" i="6"/>
  <c r="V123" i="6"/>
  <c r="V114" i="6"/>
  <c r="V88" i="6"/>
  <c r="V74" i="6"/>
  <c r="V55" i="6"/>
  <c r="V39" i="6"/>
  <c r="V49" i="6"/>
  <c r="V17" i="6"/>
  <c r="V50" i="6"/>
  <c r="V41" i="6"/>
  <c r="V51" i="6"/>
  <c r="V48" i="6"/>
  <c r="V45" i="6"/>
  <c r="M311" i="14"/>
  <c r="R311" i="14" s="1"/>
  <c r="M297" i="14"/>
  <c r="R297" i="14" s="1"/>
  <c r="M103" i="14"/>
  <c r="R103" i="14" s="1"/>
  <c r="M609" i="14"/>
  <c r="R609" i="14" s="1"/>
  <c r="M581" i="14"/>
  <c r="M326" i="14"/>
  <c r="R326" i="14" s="1"/>
  <c r="V510" i="6"/>
  <c r="O60" i="14"/>
  <c r="M257" i="14"/>
  <c r="R257" i="14" s="1"/>
  <c r="M43" i="14"/>
  <c r="R43" i="14" s="1"/>
  <c r="M529" i="14"/>
  <c r="R529" i="14" s="1"/>
  <c r="M575" i="14"/>
  <c r="R575" i="14" s="1"/>
  <c r="M248" i="14"/>
  <c r="R248" i="14" s="1"/>
  <c r="M339" i="14"/>
  <c r="R339" i="14" s="1"/>
  <c r="M422" i="14"/>
  <c r="M190" i="14"/>
  <c r="R190" i="14" s="1"/>
  <c r="M242" i="14"/>
  <c r="R242" i="14" s="1"/>
  <c r="M37" i="14"/>
  <c r="R37" i="14" s="1"/>
  <c r="M332" i="14"/>
  <c r="M340" i="14"/>
  <c r="R340" i="14" s="1"/>
  <c r="O383" i="14"/>
  <c r="M383" i="14"/>
  <c r="R383" i="14" s="1"/>
  <c r="M579" i="14"/>
  <c r="R579" i="14" s="1"/>
  <c r="M322" i="14"/>
  <c r="R322" i="14" s="1"/>
  <c r="M432" i="14"/>
  <c r="R432" i="14" s="1"/>
  <c r="M530" i="14"/>
  <c r="R530" i="14" s="1"/>
  <c r="M194" i="14"/>
  <c r="M536" i="14"/>
  <c r="R536" i="14" s="1"/>
  <c r="M243" i="14"/>
  <c r="R243" i="14" s="1"/>
  <c r="M491" i="14"/>
  <c r="R491" i="14" s="1"/>
  <c r="M486" i="14"/>
  <c r="R486" i="14" s="1"/>
  <c r="M398" i="14"/>
  <c r="R398" i="14" s="1"/>
  <c r="V54" i="6"/>
  <c r="M493" i="14"/>
  <c r="R493" i="14" s="1"/>
  <c r="M451" i="14"/>
  <c r="R451" i="14" s="1"/>
  <c r="M121" i="14"/>
  <c r="R121" i="14" s="1"/>
  <c r="M138" i="14"/>
  <c r="R138" i="14" s="1"/>
  <c r="M15" i="14"/>
  <c r="R15" i="14" s="1"/>
  <c r="M64" i="14"/>
  <c r="R64" i="14" s="1"/>
  <c r="M79" i="14"/>
  <c r="R79" i="14" s="1"/>
  <c r="M230" i="14"/>
  <c r="R230" i="14" s="1"/>
  <c r="M266" i="14"/>
  <c r="M328" i="14"/>
  <c r="R328" i="14" s="1"/>
  <c r="M335" i="14"/>
  <c r="R335" i="14" s="1"/>
  <c r="M221" i="14"/>
  <c r="R221" i="14" s="1"/>
  <c r="M249" i="14"/>
  <c r="R249" i="14" s="1"/>
  <c r="M275" i="14"/>
  <c r="M300" i="14"/>
  <c r="R300" i="14" s="1"/>
  <c r="M323" i="14"/>
  <c r="M336" i="14"/>
  <c r="R336" i="14" s="1"/>
  <c r="M345" i="14"/>
  <c r="R345" i="14" s="1"/>
  <c r="O354" i="14"/>
  <c r="M354" i="14"/>
  <c r="R354" i="14" s="1"/>
  <c r="M212" i="14"/>
  <c r="M232" i="14"/>
  <c r="R232" i="14" s="1"/>
  <c r="M325" i="14"/>
  <c r="R325" i="14" s="1"/>
  <c r="M174" i="14"/>
  <c r="R174" i="14" s="1"/>
  <c r="M377" i="14"/>
  <c r="R377" i="14" s="1"/>
  <c r="M423" i="14"/>
  <c r="R423" i="14" s="1"/>
  <c r="M508" i="14"/>
  <c r="R508" i="14" s="1"/>
  <c r="O421" i="14"/>
  <c r="M421" i="14"/>
  <c r="R421" i="14" s="1"/>
  <c r="M470" i="14"/>
  <c r="M487" i="14"/>
  <c r="R487" i="14" s="1"/>
  <c r="M509" i="14"/>
  <c r="R509" i="14" s="1"/>
  <c r="M618" i="14"/>
  <c r="R618" i="14" s="1"/>
  <c r="M607" i="14"/>
  <c r="R607" i="14" s="1"/>
  <c r="M492" i="14"/>
  <c r="R492" i="14" s="1"/>
  <c r="M514" i="14"/>
  <c r="R514" i="14" s="1"/>
  <c r="M91" i="14"/>
  <c r="R91" i="14" s="1"/>
  <c r="M108" i="14"/>
  <c r="R108" i="14" s="1"/>
  <c r="M133" i="14"/>
  <c r="R133" i="14" s="1"/>
  <c r="M172" i="14"/>
  <c r="R172" i="14" s="1"/>
  <c r="M180" i="14"/>
  <c r="M245" i="14"/>
  <c r="R245" i="14" s="1"/>
  <c r="M308" i="14"/>
  <c r="R308" i="14" s="1"/>
  <c r="M365" i="14"/>
  <c r="R365" i="14" s="1"/>
  <c r="M321" i="14"/>
  <c r="R321" i="14" s="1"/>
  <c r="M447" i="14"/>
  <c r="M537" i="14"/>
  <c r="R537" i="14" s="1"/>
  <c r="M87" i="14"/>
  <c r="R87" i="14" s="1"/>
  <c r="M89" i="14"/>
  <c r="R89" i="14" s="1"/>
  <c r="M110" i="14"/>
  <c r="R110" i="14" s="1"/>
  <c r="V1340" i="6"/>
  <c r="M251" i="14"/>
  <c r="R251" i="14" s="1"/>
  <c r="M271" i="14"/>
  <c r="R271" i="14" s="1"/>
  <c r="M273" i="14"/>
  <c r="R273" i="14" s="1"/>
  <c r="M299" i="14"/>
  <c r="R299" i="14" s="1"/>
  <c r="M505" i="14"/>
  <c r="R505" i="14" s="1"/>
  <c r="M446" i="14"/>
  <c r="R446" i="14" s="1"/>
  <c r="M494" i="14"/>
  <c r="R494" i="14" s="1"/>
  <c r="O504" i="14"/>
  <c r="M504" i="14"/>
  <c r="R504" i="14" s="1"/>
  <c r="M580" i="14"/>
  <c r="R580" i="14" s="1"/>
  <c r="M14" i="14"/>
  <c r="M86" i="14"/>
  <c r="R86" i="14" s="1"/>
  <c r="M100" i="14"/>
  <c r="R100" i="14" s="1"/>
  <c r="M145" i="14"/>
  <c r="R145" i="14" s="1"/>
  <c r="M182" i="14"/>
  <c r="R182" i="14" s="1"/>
  <c r="M262" i="14"/>
  <c r="R262" i="14" s="1"/>
  <c r="V2130" i="6"/>
  <c r="M213" i="14"/>
  <c r="R213" i="14" s="1"/>
  <c r="M306" i="14"/>
  <c r="R306" i="14" s="1"/>
  <c r="M367" i="14"/>
  <c r="R367" i="14" s="1"/>
  <c r="V3671" i="6"/>
  <c r="M558" i="14"/>
  <c r="R558" i="14" s="1"/>
  <c r="V3942" i="6"/>
  <c r="M557" i="14"/>
  <c r="M594" i="14"/>
  <c r="M74" i="14"/>
  <c r="R74" i="14" s="1"/>
  <c r="M223" i="14"/>
  <c r="R223" i="14" s="1"/>
  <c r="M200" i="14"/>
  <c r="R200" i="14" s="1"/>
  <c r="O250" i="14"/>
  <c r="M250" i="14"/>
  <c r="R250" i="14" s="1"/>
  <c r="M331" i="14"/>
  <c r="R331" i="14" s="1"/>
  <c r="M355" i="14"/>
  <c r="R355" i="14" s="1"/>
  <c r="M503" i="14"/>
  <c r="R503" i="14" s="1"/>
  <c r="M517" i="14"/>
  <c r="R517" i="14" s="1"/>
  <c r="M445" i="14"/>
  <c r="R445" i="14" s="1"/>
  <c r="M533" i="14"/>
  <c r="R533" i="14" s="1"/>
  <c r="V4094" i="6"/>
  <c r="M73" i="14"/>
  <c r="R73" i="14" s="1"/>
  <c r="M19" i="14"/>
  <c r="R19" i="14" s="1"/>
  <c r="M56" i="14"/>
  <c r="R56" i="14" s="1"/>
  <c r="M77" i="14"/>
  <c r="R77" i="14" s="1"/>
  <c r="M288" i="14"/>
  <c r="R288" i="14" s="1"/>
  <c r="M327" i="14"/>
  <c r="R327" i="14" s="1"/>
  <c r="M361" i="14"/>
  <c r="R361" i="14" s="1"/>
  <c r="M376" i="14"/>
  <c r="R376" i="14" s="1"/>
  <c r="M404" i="14"/>
  <c r="R404" i="14" s="1"/>
  <c r="M434" i="14"/>
  <c r="R434" i="14" s="1"/>
  <c r="M485" i="14"/>
  <c r="R485" i="14" s="1"/>
  <c r="M510" i="14"/>
  <c r="R510" i="14" s="1"/>
  <c r="M652" i="14"/>
  <c r="R652" i="14" s="1"/>
  <c r="M697" i="14"/>
  <c r="R697" i="14" s="1"/>
  <c r="M109" i="14"/>
  <c r="R109" i="14" s="1"/>
  <c r="M139" i="14"/>
  <c r="R139" i="14" s="1"/>
  <c r="M313" i="14"/>
  <c r="R313" i="14" s="1"/>
  <c r="M329" i="14"/>
  <c r="R329" i="14" s="1"/>
  <c r="M310" i="14"/>
  <c r="R310" i="14" s="1"/>
  <c r="O443" i="14"/>
  <c r="M443" i="14"/>
  <c r="R443" i="14" s="1"/>
  <c r="V3292" i="6"/>
  <c r="M629" i="14"/>
  <c r="R629" i="14" s="1"/>
  <c r="M161" i="14"/>
  <c r="R161" i="14" s="1"/>
  <c r="M173" i="14"/>
  <c r="R173" i="14" s="1"/>
  <c r="M220" i="14"/>
  <c r="R220" i="14" s="1"/>
  <c r="V3152" i="6"/>
  <c r="M285" i="14"/>
  <c r="R285" i="14" s="1"/>
  <c r="M381" i="14"/>
  <c r="R381" i="14" s="1"/>
  <c r="V3486" i="6"/>
  <c r="V4064" i="6"/>
  <c r="V551" i="6"/>
  <c r="M330" i="14"/>
  <c r="R330" i="14" s="1"/>
  <c r="M366" i="14"/>
  <c r="R366" i="14" s="1"/>
  <c r="M405" i="14"/>
  <c r="R405" i="14" s="1"/>
  <c r="M435" i="14"/>
  <c r="R435" i="14" s="1"/>
  <c r="M531" i="14"/>
  <c r="M58" i="14"/>
  <c r="R58" i="14" s="1"/>
  <c r="M66" i="14"/>
  <c r="R66" i="14" s="1"/>
  <c r="M93" i="14"/>
  <c r="R93" i="14" s="1"/>
  <c r="M141" i="14"/>
  <c r="R141" i="14" s="1"/>
  <c r="M231" i="14"/>
  <c r="R231" i="14" s="1"/>
  <c r="V2029" i="6"/>
  <c r="M382" i="14"/>
  <c r="V3186" i="6"/>
  <c r="M448" i="14"/>
  <c r="R448" i="14" s="1"/>
  <c r="M516" i="14"/>
  <c r="R516" i="14" s="1"/>
  <c r="V545" i="6"/>
  <c r="M235" i="14"/>
  <c r="R235" i="14" s="1"/>
  <c r="M286" i="14"/>
  <c r="R286" i="14" s="1"/>
  <c r="M384" i="14"/>
  <c r="R384" i="14" s="1"/>
  <c r="M385" i="14"/>
  <c r="R385" i="14" s="1"/>
  <c r="V3153" i="6"/>
  <c r="M490" i="14"/>
  <c r="M515" i="14"/>
  <c r="R515" i="14" s="1"/>
  <c r="V4922" i="6"/>
  <c r="O189" i="14"/>
  <c r="M189" i="14"/>
  <c r="R189" i="14" s="1"/>
  <c r="M269" i="14"/>
  <c r="R269" i="14" s="1"/>
  <c r="M442" i="14"/>
  <c r="R442" i="14" s="1"/>
  <c r="M471" i="14"/>
  <c r="R471" i="14" s="1"/>
  <c r="M574" i="14"/>
  <c r="R574" i="14" s="1"/>
  <c r="O311" i="14"/>
  <c r="V2157" i="6"/>
  <c r="V2083" i="6"/>
  <c r="O297" i="14"/>
  <c r="O103" i="14"/>
  <c r="V904" i="6"/>
  <c r="O326" i="14"/>
  <c r="V2230" i="6"/>
  <c r="V4105" i="6"/>
  <c r="O581" i="14"/>
  <c r="O43" i="14"/>
  <c r="V448" i="6"/>
  <c r="V1867" i="6"/>
  <c r="O257" i="14"/>
  <c r="V3778" i="6"/>
  <c r="O529" i="14"/>
  <c r="V2251" i="6"/>
  <c r="O339" i="14"/>
  <c r="V370" i="6"/>
  <c r="O37" i="14"/>
  <c r="V2987" i="6"/>
  <c r="O422" i="14"/>
  <c r="V1181" i="6"/>
  <c r="V1345" i="6"/>
  <c r="M214" i="14"/>
  <c r="V1857" i="6"/>
  <c r="M261" i="14"/>
  <c r="R261" i="14" s="1"/>
  <c r="V1885" i="6"/>
  <c r="V1986" i="6"/>
  <c r="V1994" i="6"/>
  <c r="V2077" i="6"/>
  <c r="V2200" i="6"/>
  <c r="M338" i="14"/>
  <c r="R338" i="14" s="1"/>
  <c r="V2269" i="6"/>
  <c r="V1814" i="6"/>
  <c r="O248" i="14"/>
  <c r="O575" i="14"/>
  <c r="V4095" i="6"/>
  <c r="V1803" i="6"/>
  <c r="O242" i="14"/>
  <c r="V1410" i="6"/>
  <c r="O190" i="14"/>
  <c r="V3802" i="6"/>
  <c r="O536" i="14"/>
  <c r="O530" i="14"/>
  <c r="V3779" i="6"/>
  <c r="O579" i="14"/>
  <c r="O486" i="14"/>
  <c r="V3519" i="6"/>
  <c r="O194" i="14"/>
  <c r="V1419" i="6"/>
  <c r="O432" i="14"/>
  <c r="V3065" i="6"/>
  <c r="V3181" i="6"/>
  <c r="O451" i="14"/>
  <c r="V2782" i="6"/>
  <c r="O398" i="14"/>
  <c r="V3528" i="6"/>
  <c r="O491" i="14"/>
  <c r="O696" i="14"/>
  <c r="V5070" i="6"/>
  <c r="O340" i="14"/>
  <c r="V2252" i="6"/>
  <c r="O493" i="14"/>
  <c r="V3531" i="6"/>
  <c r="V1804" i="6"/>
  <c r="O243" i="14"/>
  <c r="V2226" i="6"/>
  <c r="O322" i="14"/>
  <c r="P322" i="14" s="1"/>
  <c r="O332" i="14"/>
  <c r="V2240" i="6"/>
  <c r="O658" i="14"/>
  <c r="O514" i="14"/>
  <c r="V3669" i="6"/>
  <c r="O492" i="14"/>
  <c r="V3529" i="6"/>
  <c r="V4429" i="6"/>
  <c r="O618" i="14"/>
  <c r="V3617" i="6"/>
  <c r="O509" i="14"/>
  <c r="V3520" i="6"/>
  <c r="O487" i="14"/>
  <c r="O470" i="14"/>
  <c r="V3358" i="6"/>
  <c r="V3616" i="6"/>
  <c r="O508" i="14"/>
  <c r="V2988" i="6"/>
  <c r="O423" i="14"/>
  <c r="V2817" i="6"/>
  <c r="V1893" i="6"/>
  <c r="V1318" i="6"/>
  <c r="O174" i="14"/>
  <c r="O325" i="14"/>
  <c r="V2229" i="6"/>
  <c r="V1866" i="6"/>
  <c r="O232" i="14"/>
  <c r="V1720" i="6"/>
  <c r="O212" i="14"/>
  <c r="V1594" i="6"/>
  <c r="V1589" i="6"/>
  <c r="V2290" i="6"/>
  <c r="O345" i="14"/>
  <c r="V2246" i="6"/>
  <c r="O336" i="14"/>
  <c r="V2241" i="6"/>
  <c r="O323" i="14"/>
  <c r="V2227" i="6"/>
  <c r="V2089" i="6"/>
  <c r="O300" i="14"/>
  <c r="V1918" i="6"/>
  <c r="O275" i="14"/>
  <c r="V1815" i="6"/>
  <c r="O249" i="14"/>
  <c r="V1648" i="6"/>
  <c r="O221" i="14"/>
  <c r="V1510" i="6"/>
  <c r="O335" i="14"/>
  <c r="V2245" i="6"/>
  <c r="O328" i="14"/>
  <c r="V2232" i="6"/>
  <c r="V1892" i="6"/>
  <c r="O266" i="14"/>
  <c r="V1716" i="6"/>
  <c r="O230" i="14"/>
  <c r="V1150" i="6"/>
  <c r="O79" i="14"/>
  <c r="V678" i="6"/>
  <c r="O64" i="14"/>
  <c r="V516" i="6"/>
  <c r="O15" i="14"/>
  <c r="V111" i="6"/>
  <c r="V1096" i="6"/>
  <c r="O138" i="14"/>
  <c r="O121" i="14"/>
  <c r="V979" i="6"/>
  <c r="V908" i="6"/>
  <c r="V791" i="6"/>
  <c r="V980" i="6"/>
  <c r="V461" i="6"/>
  <c r="O109" i="14"/>
  <c r="V913" i="6"/>
  <c r="O19" i="14"/>
  <c r="V172" i="6"/>
  <c r="V3576" i="6"/>
  <c r="V3521" i="6"/>
  <c r="O503" i="14"/>
  <c r="V3604" i="6"/>
  <c r="O355" i="14"/>
  <c r="V2363" i="6"/>
  <c r="V4680" i="6"/>
  <c r="O648" i="14"/>
  <c r="V1595" i="6"/>
  <c r="O213" i="14"/>
  <c r="O100" i="14"/>
  <c r="V855" i="6"/>
  <c r="V873" i="6"/>
  <c r="O14" i="14"/>
  <c r="V110" i="6"/>
  <c r="V3355" i="6"/>
  <c r="V1903" i="6"/>
  <c r="O271" i="14"/>
  <c r="V2085" i="6"/>
  <c r="O321" i="14"/>
  <c r="V2225" i="6"/>
  <c r="V2247" i="6"/>
  <c r="V4490" i="6"/>
  <c r="V2808" i="6"/>
  <c r="O404" i="14"/>
  <c r="V2429" i="6"/>
  <c r="O361" i="14"/>
  <c r="V1426" i="6"/>
  <c r="V1070" i="6"/>
  <c r="V788" i="6"/>
  <c r="V512" i="6"/>
  <c r="V2435" i="6"/>
  <c r="V914" i="6"/>
  <c r="O110" i="14"/>
  <c r="V4099" i="6"/>
  <c r="O172" i="14"/>
  <c r="V1306" i="6"/>
  <c r="V939" i="6"/>
  <c r="V5048" i="6"/>
  <c r="V3504" i="6"/>
  <c r="V3062" i="6"/>
  <c r="O77" i="14"/>
  <c r="V672" i="6"/>
  <c r="V639" i="6"/>
  <c r="O73" i="14"/>
  <c r="O445" i="14"/>
  <c r="V3162" i="6"/>
  <c r="V2770" i="6"/>
  <c r="V1890" i="6"/>
  <c r="V2445" i="6"/>
  <c r="O367" i="14"/>
  <c r="O306" i="14"/>
  <c r="V2144" i="6"/>
  <c r="V2153" i="6"/>
  <c r="V786" i="6"/>
  <c r="O86" i="14"/>
  <c r="V204" i="6"/>
  <c r="V1915" i="6"/>
  <c r="O273" i="14"/>
  <c r="V1819" i="6"/>
  <c r="O251" i="14"/>
  <c r="V2150" i="6"/>
  <c r="O308" i="14"/>
  <c r="V1597" i="6"/>
  <c r="V4372" i="6"/>
  <c r="O610" i="14"/>
  <c r="O556" i="14"/>
  <c r="V2156" i="6"/>
  <c r="O310" i="14"/>
  <c r="V3069" i="6"/>
  <c r="O434" i="14"/>
  <c r="V2328" i="6"/>
  <c r="V2037" i="6"/>
  <c r="O288" i="14"/>
  <c r="V4374" i="6"/>
  <c r="O611" i="14"/>
  <c r="V1651" i="6"/>
  <c r="O223" i="14"/>
  <c r="O74" i="14"/>
  <c r="V641" i="6"/>
  <c r="V463" i="6"/>
  <c r="V3515" i="6"/>
  <c r="V1879" i="6"/>
  <c r="O262" i="14"/>
  <c r="V790" i="6"/>
  <c r="O89" i="14"/>
  <c r="V3524" i="6"/>
  <c r="O133" i="14"/>
  <c r="V1083" i="6"/>
  <c r="V794" i="6"/>
  <c r="O91" i="14"/>
  <c r="V1337" i="6"/>
  <c r="V1097" i="6"/>
  <c r="O139" i="14"/>
  <c r="V989" i="6"/>
  <c r="O56" i="14"/>
  <c r="V502" i="6"/>
  <c r="V314" i="6"/>
  <c r="V3790" i="6"/>
  <c r="O533" i="14"/>
  <c r="V2967" i="6"/>
  <c r="V3678" i="6"/>
  <c r="O517" i="14"/>
  <c r="V2449" i="6"/>
  <c r="V2237" i="6"/>
  <c r="O331" i="14"/>
  <c r="O594" i="14"/>
  <c r="V4220" i="6"/>
  <c r="V1344" i="6"/>
  <c r="O182" i="14"/>
  <c r="V1147" i="6"/>
  <c r="O145" i="14"/>
  <c r="V985" i="6"/>
  <c r="V507" i="6"/>
  <c r="V4106" i="6"/>
  <c r="O494" i="14"/>
  <c r="V3532" i="6"/>
  <c r="V3606" i="6"/>
  <c r="O505" i="14"/>
  <c r="V3799" i="6"/>
  <c r="O447" i="14"/>
  <c r="V3166" i="6"/>
  <c r="O365" i="14"/>
  <c r="V2439" i="6"/>
  <c r="V1807" i="6"/>
  <c r="O245" i="14"/>
  <c r="V4495" i="6"/>
  <c r="O629" i="14"/>
  <c r="V2161" i="6"/>
  <c r="O313" i="14"/>
  <c r="V2534" i="6"/>
  <c r="O376" i="14"/>
  <c r="V2231" i="6"/>
  <c r="O327" i="14"/>
  <c r="V1500" i="6"/>
  <c r="O200" i="14"/>
  <c r="V1901" i="6"/>
  <c r="V3966" i="6"/>
  <c r="O557" i="14"/>
  <c r="O578" i="14"/>
  <c r="O299" i="14"/>
  <c r="V2087" i="6"/>
  <c r="V983" i="6"/>
  <c r="O657" i="14"/>
  <c r="V1339" i="6"/>
  <c r="O108" i="14"/>
  <c r="V912" i="6"/>
  <c r="V1089" i="6"/>
  <c r="V1897" i="6"/>
  <c r="O269" i="14"/>
  <c r="O490" i="14"/>
  <c r="V3525" i="6"/>
  <c r="V4687" i="6"/>
  <c r="V3675" i="6"/>
  <c r="V2734" i="6"/>
  <c r="V812" i="6"/>
  <c r="O93" i="14"/>
  <c r="V597" i="6"/>
  <c r="V4558" i="6"/>
  <c r="V3071" i="6"/>
  <c r="O435" i="14"/>
  <c r="O330" i="14"/>
  <c r="V2236" i="6"/>
  <c r="V886" i="6"/>
  <c r="V2028" i="6"/>
  <c r="O285" i="14"/>
  <c r="V2080" i="6"/>
  <c r="V4981" i="6"/>
  <c r="V4093" i="6"/>
  <c r="O574" i="14"/>
  <c r="O471" i="14"/>
  <c r="V3359" i="6"/>
  <c r="V2075" i="6"/>
  <c r="V813" i="6"/>
  <c r="V374" i="6"/>
  <c r="V235" i="6"/>
  <c r="V129" i="6"/>
  <c r="V4852" i="6"/>
  <c r="V3673" i="6"/>
  <c r="O515" i="14"/>
  <c r="V2594" i="6"/>
  <c r="O385" i="14"/>
  <c r="V1422" i="6"/>
  <c r="V4698" i="6"/>
  <c r="V1328" i="6"/>
  <c r="V3247" i="6"/>
  <c r="V1230" i="6"/>
  <c r="V471" i="6"/>
  <c r="O161" i="14"/>
  <c r="V1218" i="6"/>
  <c r="V362" i="6"/>
  <c r="V63" i="6"/>
  <c r="V915" i="6"/>
  <c r="V3918" i="6"/>
  <c r="V3221" i="6"/>
  <c r="V2672" i="6"/>
  <c r="O384" i="14"/>
  <c r="V2593" i="6"/>
  <c r="O235" i="14"/>
  <c r="V1741" i="6"/>
  <c r="V151" i="6"/>
  <c r="V3167" i="6"/>
  <c r="O448" i="14"/>
  <c r="O382" i="14"/>
  <c r="V2589" i="6"/>
  <c r="V2446" i="6"/>
  <c r="V440" i="6"/>
  <c r="V3732" i="6"/>
  <c r="O523" i="14"/>
  <c r="V3089" i="6"/>
  <c r="O468" i="14"/>
  <c r="V3353" i="6"/>
  <c r="V2910" i="6"/>
  <c r="V2810" i="6"/>
  <c r="O405" i="14"/>
  <c r="V514" i="6"/>
  <c r="V113" i="6"/>
  <c r="V2829" i="6"/>
  <c r="V4622" i="6"/>
  <c r="V3149" i="6"/>
  <c r="O442" i="14"/>
  <c r="V2038" i="6"/>
  <c r="V321" i="6"/>
  <c r="V257" i="6"/>
  <c r="V84" i="6"/>
  <c r="V3336" i="6"/>
  <c r="V1060" i="6"/>
  <c r="V3412" i="6"/>
  <c r="V1719" i="6"/>
  <c r="O231" i="14"/>
  <c r="O141" i="14"/>
  <c r="V1111" i="6"/>
  <c r="V1056" i="6"/>
  <c r="V1887" i="6"/>
  <c r="V1236" i="6"/>
  <c r="V5423" i="6"/>
  <c r="V3256" i="6"/>
  <c r="O381" i="14"/>
  <c r="V2586" i="6"/>
  <c r="V840" i="6"/>
  <c r="V337" i="6"/>
  <c r="V2855" i="6"/>
  <c r="V1919" i="6"/>
  <c r="V1640" i="6"/>
  <c r="O220" i="14"/>
  <c r="V1316" i="6"/>
  <c r="O173" i="14"/>
  <c r="V2678" i="6"/>
  <c r="V2456" i="6"/>
  <c r="V2032" i="6"/>
  <c r="O286" i="14"/>
  <c r="V2815" i="6"/>
  <c r="V520" i="6"/>
  <c r="O66" i="14"/>
  <c r="O58" i="14"/>
  <c r="V505" i="6"/>
  <c r="V2440" i="6"/>
  <c r="O366" i="14"/>
  <c r="V1531" i="6"/>
  <c r="V959" i="6"/>
  <c r="V3784" i="6"/>
  <c r="V2168" i="6"/>
  <c r="V842" i="6"/>
  <c r="V174" i="6"/>
  <c r="V1176" i="6"/>
  <c r="V3935" i="6"/>
  <c r="V3780" i="6"/>
  <c r="V1947" i="6"/>
  <c r="V3124" i="6"/>
  <c r="V4493" i="6"/>
  <c r="V3072" i="6"/>
  <c r="V1721" i="6"/>
  <c r="V540" i="6"/>
  <c r="V3276" i="6"/>
  <c r="V155" i="6"/>
  <c r="V1235" i="6"/>
  <c r="M265" i="14"/>
  <c r="R265" i="14" s="1"/>
  <c r="V679" i="6"/>
  <c r="V517" i="6"/>
  <c r="M47" i="14"/>
  <c r="R47" i="14" s="1"/>
  <c r="V43" i="6"/>
  <c r="V98" i="6"/>
  <c r="V152" i="6"/>
  <c r="O20" i="14"/>
  <c r="M20" i="14"/>
  <c r="R20" i="14" s="1"/>
  <c r="V201" i="6"/>
  <c r="V161" i="6"/>
  <c r="V122" i="6"/>
  <c r="V399" i="6"/>
  <c r="V435" i="6"/>
  <c r="M12" i="14"/>
  <c r="R12" i="14" s="1"/>
  <c r="V33" i="6"/>
  <c r="V2228" i="6"/>
  <c r="M60" i="14"/>
  <c r="V4881" i="6"/>
  <c r="V1699" i="6"/>
  <c r="V3051" i="6"/>
  <c r="M295" i="14"/>
  <c r="R295" i="14" s="1"/>
  <c r="V2394" i="6"/>
  <c r="V2953" i="6"/>
  <c r="V1320" i="6"/>
  <c r="V1105" i="6"/>
  <c r="V1192" i="6"/>
  <c r="V838" i="6"/>
  <c r="V213" i="6"/>
  <c r="V1413" i="6"/>
  <c r="V1086" i="6"/>
  <c r="V988" i="6"/>
  <c r="O115" i="14"/>
  <c r="V2249" i="6"/>
  <c r="O324" i="14"/>
  <c r="O12" i="14"/>
  <c r="Q812" i="14"/>
  <c r="Q816" i="14"/>
  <c r="M191" i="14"/>
  <c r="R191" i="14" s="1"/>
  <c r="O338" i="14"/>
  <c r="O80" i="14"/>
  <c r="O47" i="14"/>
  <c r="V3703" i="6"/>
  <c r="V1889" i="6"/>
  <c r="M80" i="14"/>
  <c r="R80" i="14" s="1"/>
  <c r="V1598" i="6"/>
  <c r="M183" i="14"/>
  <c r="R183" i="14" s="1"/>
  <c r="V296" i="6"/>
  <c r="M153" i="14"/>
  <c r="R153" i="14" s="1"/>
  <c r="O290" i="14"/>
  <c r="M290" i="14"/>
  <c r="R290" i="14" s="1"/>
  <c r="V682" i="6"/>
  <c r="M81" i="14"/>
  <c r="R81" i="14" s="1"/>
  <c r="V3289" i="6"/>
  <c r="M462" i="14"/>
  <c r="R462" i="14" s="1"/>
  <c r="M450" i="14"/>
  <c r="R450" i="14" s="1"/>
  <c r="V107" i="6"/>
  <c r="M13" i="14"/>
  <c r="R13" i="14" s="1"/>
  <c r="M528" i="14"/>
  <c r="R528" i="14" s="1"/>
  <c r="V826" i="6"/>
  <c r="M94" i="14"/>
  <c r="V1065" i="6"/>
  <c r="M115" i="14"/>
  <c r="R115" i="14" s="1"/>
  <c r="O261" i="14"/>
  <c r="O265" i="14"/>
  <c r="O462" i="14"/>
  <c r="M349" i="14"/>
  <c r="R349" i="14" s="1"/>
  <c r="V4169" i="6"/>
  <c r="M71" i="14"/>
  <c r="R71" i="14" s="1"/>
  <c r="M188" i="14"/>
  <c r="R188" i="14" s="1"/>
  <c r="V1172" i="6"/>
  <c r="O191" i="14"/>
  <c r="V1411" i="6"/>
  <c r="M107" i="14"/>
  <c r="R107" i="14" s="1"/>
  <c r="V180" i="6"/>
  <c r="M267" i="14"/>
  <c r="R267" i="14" s="1"/>
  <c r="V2242" i="6"/>
  <c r="M333" i="14"/>
  <c r="R333" i="14" s="1"/>
  <c r="M7" i="14"/>
  <c r="R7" i="14" s="1"/>
  <c r="O214" i="14"/>
  <c r="V829" i="6"/>
  <c r="O94" i="14"/>
  <c r="V128" i="6"/>
  <c r="V2079" i="6"/>
  <c r="O183" i="14"/>
  <c r="M424" i="14"/>
  <c r="R424" i="14" s="1"/>
  <c r="O130" i="14"/>
  <c r="M130" i="14"/>
  <c r="M449" i="14"/>
  <c r="R449" i="14" s="1"/>
  <c r="M9" i="14"/>
  <c r="V932" i="6"/>
  <c r="V3838" i="6"/>
  <c r="M125" i="14"/>
  <c r="R125" i="14" s="1"/>
  <c r="M8" i="14"/>
  <c r="O107" i="14"/>
  <c r="V910" i="6"/>
  <c r="V1876" i="6"/>
  <c r="V36" i="6"/>
  <c r="M6" i="14"/>
  <c r="M32" i="14"/>
  <c r="R32" i="14" s="1"/>
  <c r="Q809" i="14"/>
  <c r="V837" i="6"/>
  <c r="V1157" i="6"/>
  <c r="V1810" i="6"/>
  <c r="V1088" i="6"/>
  <c r="V2082" i="6"/>
  <c r="M10" i="14"/>
  <c r="R10" i="14" s="1"/>
  <c r="V544" i="6"/>
  <c r="V1343" i="6"/>
  <c r="V675" i="6"/>
  <c r="V1146" i="6"/>
  <c r="V681" i="6"/>
  <c r="O81" i="14"/>
  <c r="O125" i="14"/>
  <c r="O333" i="14"/>
  <c r="V4914" i="6"/>
  <c r="V5344" i="6"/>
  <c r="V5265" i="6"/>
  <c r="V5043" i="6"/>
  <c r="K566" i="14"/>
  <c r="V5107" i="6"/>
  <c r="V3244" i="6"/>
  <c r="V3053" i="6"/>
  <c r="K554" i="14"/>
  <c r="V3192" i="6"/>
  <c r="V3026" i="6"/>
  <c r="V2849" i="6"/>
  <c r="L403" i="14"/>
  <c r="V2473" i="6"/>
  <c r="L351" i="14"/>
  <c r="L399" i="14"/>
  <c r="O2783" i="6"/>
  <c r="P2783" i="6" s="1"/>
  <c r="M399" i="14" s="1"/>
  <c r="R399" i="14" s="1"/>
  <c r="L401" i="14"/>
  <c r="V2370" i="6"/>
  <c r="L402" i="14"/>
  <c r="V2483" i="6"/>
  <c r="V2393" i="6"/>
  <c r="L258" i="14"/>
  <c r="V1650" i="6"/>
  <c r="L240" i="14"/>
  <c r="V1330" i="6"/>
  <c r="L85" i="14"/>
  <c r="L48" i="14"/>
  <c r="V354" i="6"/>
  <c r="V658" i="6"/>
  <c r="L26" i="14"/>
  <c r="O290" i="6"/>
  <c r="P290" i="6" s="1"/>
  <c r="L105" i="14"/>
  <c r="L23" i="14"/>
  <c r="O234" i="6"/>
  <c r="V4431" i="6"/>
  <c r="O619" i="14"/>
  <c r="O188" i="14"/>
  <c r="V1406" i="6"/>
  <c r="O13" i="14"/>
  <c r="V3775" i="6"/>
  <c r="O528" i="14"/>
  <c r="V712" i="6"/>
  <c r="V624" i="6"/>
  <c r="O71" i="14"/>
  <c r="V2332" i="6"/>
  <c r="O349" i="14"/>
  <c r="V1179" i="6"/>
  <c r="V931" i="6"/>
  <c r="O267" i="14"/>
  <c r="V1894" i="6"/>
  <c r="V44" i="6"/>
  <c r="O7" i="14"/>
  <c r="O469" i="14"/>
  <c r="M469" i="14"/>
  <c r="V3169" i="6"/>
  <c r="O449" i="14"/>
  <c r="V2990" i="6"/>
  <c r="O424" i="14"/>
  <c r="V3338" i="6"/>
  <c r="M368" i="14"/>
  <c r="R368" i="14" s="1"/>
  <c r="M16" i="14"/>
  <c r="R16" i="14" s="1"/>
  <c r="V367" i="6"/>
  <c r="M21" i="14"/>
  <c r="R21" i="14" s="1"/>
  <c r="M436" i="14"/>
  <c r="R436" i="14" s="1"/>
  <c r="M82" i="14"/>
  <c r="R82" i="14" s="1"/>
  <c r="V340" i="6"/>
  <c r="O32" i="14"/>
  <c r="O6" i="14"/>
  <c r="V58" i="6"/>
  <c r="O8" i="14"/>
  <c r="V1424" i="6"/>
  <c r="M59" i="14"/>
  <c r="R59" i="14" s="1"/>
  <c r="L2" i="14"/>
  <c r="V2876" i="6"/>
  <c r="Q566" i="14"/>
  <c r="V850" i="6"/>
  <c r="V845" i="6"/>
  <c r="V75" i="6"/>
  <c r="O10" i="14"/>
  <c r="V13" i="6"/>
  <c r="V1102" i="6"/>
  <c r="M113" i="14"/>
  <c r="R113" i="14" s="1"/>
  <c r="Q554" i="14"/>
  <c r="V133" i="6"/>
  <c r="V3610" i="6"/>
  <c r="V3066" i="6"/>
  <c r="V259" i="6"/>
  <c r="O82" i="14"/>
  <c r="V683" i="6"/>
  <c r="V2447" i="6"/>
  <c r="O368" i="14"/>
  <c r="V236" i="6"/>
  <c r="V3074" i="6"/>
  <c r="O436" i="14"/>
  <c r="P436" i="14" s="1"/>
  <c r="V394" i="6"/>
  <c r="V186" i="6"/>
  <c r="O21" i="14"/>
  <c r="V112" i="6"/>
  <c r="O16" i="14"/>
  <c r="V4111" i="6"/>
  <c r="O583" i="14"/>
  <c r="Q707" i="14"/>
  <c r="V934" i="6"/>
  <c r="O113" i="14"/>
  <c r="V4019" i="6"/>
  <c r="V2169" i="6"/>
  <c r="V3391" i="6"/>
  <c r="V3255" i="6"/>
  <c r="V1956" i="6"/>
  <c r="V299" i="6"/>
  <c r="V684" i="6"/>
  <c r="V1069" i="6"/>
  <c r="V5084" i="6"/>
  <c r="V4728" i="6"/>
  <c r="V2772" i="6"/>
  <c r="V4326" i="6"/>
  <c r="V1731" i="6"/>
  <c r="V1626" i="6"/>
  <c r="V627" i="6"/>
  <c r="V5111" i="6"/>
  <c r="V2891" i="6"/>
  <c r="V3734" i="6"/>
  <c r="V3091" i="6"/>
  <c r="V2121" i="6"/>
  <c r="V4957" i="6"/>
  <c r="V439" i="6"/>
  <c r="V795" i="6"/>
  <c r="V2924" i="6"/>
  <c r="V344" i="6"/>
  <c r="V2975" i="6"/>
  <c r="V1872" i="6"/>
  <c r="V1714" i="6"/>
  <c r="V420" i="6"/>
  <c r="V509" i="6"/>
  <c r="O59" i="14"/>
  <c r="P6332" i="6"/>
  <c r="U6332" i="6" s="1"/>
  <c r="P6334" i="6"/>
  <c r="U6334" i="6" s="1"/>
  <c r="P6336" i="6"/>
  <c r="U6336" i="6" s="1"/>
  <c r="P6317" i="6"/>
  <c r="U6317" i="6" s="1"/>
  <c r="P6319" i="6"/>
  <c r="U6319" i="6" s="1"/>
  <c r="P6321" i="6"/>
  <c r="U6321" i="6" s="1"/>
  <c r="P6323" i="6"/>
  <c r="U6323" i="6" s="1"/>
  <c r="P6325" i="6"/>
  <c r="U6325" i="6" s="1"/>
  <c r="P6327" i="6"/>
  <c r="U6327" i="6" s="1"/>
  <c r="P6329" i="6"/>
  <c r="U6329" i="6" s="1"/>
  <c r="P6121" i="6"/>
  <c r="U6121" i="6" s="1"/>
  <c r="P6136" i="6"/>
  <c r="U6136" i="6" s="1"/>
  <c r="P6142" i="6"/>
  <c r="U6142" i="6" s="1"/>
  <c r="P6128" i="6"/>
  <c r="U6128" i="6" s="1"/>
  <c r="P6141" i="6"/>
  <c r="U6141" i="6" s="1"/>
  <c r="P6147" i="6"/>
  <c r="U6147" i="6" s="1"/>
  <c r="P6161" i="6"/>
  <c r="U6161" i="6" s="1"/>
  <c r="P6167" i="6"/>
  <c r="U6167" i="6" s="1"/>
  <c r="P6139" i="6"/>
  <c r="U6139" i="6" s="1"/>
  <c r="P6145" i="6"/>
  <c r="U6145" i="6" s="1"/>
  <c r="N3797" i="6"/>
  <c r="P3797" i="6" s="1"/>
  <c r="P6315" i="6"/>
  <c r="U6315" i="6" s="1"/>
  <c r="P6158" i="6"/>
  <c r="U6158" i="6" s="1"/>
  <c r="P6191" i="6"/>
  <c r="U6191" i="6" s="1"/>
  <c r="P6193" i="6"/>
  <c r="U6193" i="6" s="1"/>
  <c r="P6195" i="6"/>
  <c r="U6195" i="6" s="1"/>
  <c r="P6197" i="6"/>
  <c r="U6197" i="6" s="1"/>
  <c r="P6199" i="6"/>
  <c r="U6199" i="6" s="1"/>
  <c r="P6201" i="6"/>
  <c r="U6201" i="6" s="1"/>
  <c r="P6203" i="6"/>
  <c r="U6203" i="6" s="1"/>
  <c r="P6205" i="6"/>
  <c r="U6205" i="6" s="1"/>
  <c r="P6207" i="6"/>
  <c r="U6207" i="6" s="1"/>
  <c r="P6209" i="6"/>
  <c r="U6209" i="6" s="1"/>
  <c r="P6211" i="6"/>
  <c r="U6211" i="6" s="1"/>
  <c r="P6213" i="6"/>
  <c r="U6213" i="6" s="1"/>
  <c r="P6215" i="6"/>
  <c r="U6215" i="6" s="1"/>
  <c r="P6217" i="6"/>
  <c r="U6217" i="6" s="1"/>
  <c r="P6219" i="6"/>
  <c r="U6219" i="6" s="1"/>
  <c r="P6221" i="6"/>
  <c r="U6221" i="6" s="1"/>
  <c r="P6223" i="6"/>
  <c r="U6223" i="6" s="1"/>
  <c r="P6225" i="6"/>
  <c r="U6225" i="6" s="1"/>
  <c r="P6227" i="6"/>
  <c r="U6227" i="6" s="1"/>
  <c r="P6229" i="6"/>
  <c r="U6229" i="6" s="1"/>
  <c r="P5963" i="6"/>
  <c r="U5963" i="6" s="1"/>
  <c r="P5977" i="6"/>
  <c r="U5977" i="6" s="1"/>
  <c r="P5980" i="6"/>
  <c r="U5980" i="6" s="1"/>
  <c r="P5990" i="6"/>
  <c r="U5990" i="6" s="1"/>
  <c r="P5993" i="6"/>
  <c r="U5993" i="6" s="1"/>
  <c r="P6033" i="6"/>
  <c r="U6033" i="6" s="1"/>
  <c r="P6036" i="6"/>
  <c r="U6036" i="6" s="1"/>
  <c r="P6039" i="6"/>
  <c r="U6039" i="6" s="1"/>
  <c r="P5966" i="6"/>
  <c r="U5966" i="6" s="1"/>
  <c r="P5983" i="6"/>
  <c r="U5983" i="6" s="1"/>
  <c r="P5986" i="6"/>
  <c r="U5986" i="6" s="1"/>
  <c r="P5999" i="6"/>
  <c r="U5999" i="6" s="1"/>
  <c r="P6002" i="6"/>
  <c r="U6002" i="6" s="1"/>
  <c r="P6005" i="6"/>
  <c r="U6005" i="6" s="1"/>
  <c r="P6008" i="6"/>
  <c r="U6008" i="6" s="1"/>
  <c r="P6011" i="6"/>
  <c r="U6011" i="6" s="1"/>
  <c r="P6014" i="6"/>
  <c r="U6014" i="6" s="1"/>
  <c r="P6017" i="6"/>
  <c r="U6017" i="6" s="1"/>
  <c r="P6020" i="6"/>
  <c r="U6020" i="6" s="1"/>
  <c r="P6023" i="6"/>
  <c r="U6023" i="6" s="1"/>
  <c r="P6026" i="6"/>
  <c r="U6026" i="6" s="1"/>
  <c r="P6029" i="6"/>
  <c r="U6029" i="6" s="1"/>
  <c r="P6047" i="6"/>
  <c r="U6047" i="6" s="1"/>
  <c r="P6051" i="6"/>
  <c r="U6051" i="6" s="1"/>
  <c r="P6053" i="6"/>
  <c r="U6053" i="6" s="1"/>
  <c r="P6057" i="6"/>
  <c r="U6057" i="6" s="1"/>
  <c r="P6059" i="6"/>
  <c r="U6059" i="6" s="1"/>
  <c r="P6061" i="6"/>
  <c r="U6061" i="6" s="1"/>
  <c r="P6063" i="6"/>
  <c r="U6063" i="6" s="1"/>
  <c r="P6065" i="6"/>
  <c r="U6065" i="6" s="1"/>
  <c r="P6067" i="6"/>
  <c r="U6067" i="6" s="1"/>
  <c r="P6069" i="6"/>
  <c r="U6069" i="6" s="1"/>
  <c r="P6071" i="6"/>
  <c r="U6071" i="6" s="1"/>
  <c r="P6073" i="6"/>
  <c r="U6073" i="6" s="1"/>
  <c r="P6075" i="6"/>
  <c r="U6075" i="6" s="1"/>
  <c r="P6077" i="6"/>
  <c r="U6077" i="6" s="1"/>
  <c r="P6097" i="6"/>
  <c r="U6097" i="6" s="1"/>
  <c r="P6099" i="6"/>
  <c r="U6099" i="6" s="1"/>
  <c r="P6101" i="6"/>
  <c r="U6101" i="6" s="1"/>
  <c r="P6103" i="6"/>
  <c r="U6103" i="6" s="1"/>
  <c r="P6105" i="6"/>
  <c r="U6105" i="6" s="1"/>
  <c r="P6107" i="6"/>
  <c r="U6107" i="6" s="1"/>
  <c r="P6109" i="6"/>
  <c r="U6109" i="6" s="1"/>
  <c r="P6111" i="6"/>
  <c r="U6111" i="6" s="1"/>
  <c r="P6117" i="6"/>
  <c r="U6117" i="6" s="1"/>
  <c r="P6287" i="6"/>
  <c r="U6287" i="6" s="1"/>
  <c r="P5957" i="6"/>
  <c r="U5957" i="6" s="1"/>
  <c r="P5962" i="6"/>
  <c r="U5962" i="6" s="1"/>
  <c r="P5969" i="6"/>
  <c r="U5969" i="6" s="1"/>
  <c r="P5989" i="6"/>
  <c r="U5989" i="6" s="1"/>
  <c r="P5992" i="6"/>
  <c r="U5992" i="6" s="1"/>
  <c r="P6032" i="6"/>
  <c r="U6032" i="6" s="1"/>
  <c r="P6035" i="6"/>
  <c r="U6035" i="6" s="1"/>
  <c r="P6038" i="6"/>
  <c r="U6038" i="6" s="1"/>
  <c r="P6041" i="6"/>
  <c r="U6041" i="6" s="1"/>
  <c r="P5960" i="6"/>
  <c r="U5960" i="6" s="1"/>
  <c r="P5968" i="6"/>
  <c r="U5968" i="6" s="1"/>
  <c r="P5981" i="6"/>
  <c r="U5981" i="6" s="1"/>
  <c r="P6040" i="6"/>
  <c r="U6040" i="6" s="1"/>
  <c r="P6088" i="6"/>
  <c r="U6088" i="6" s="1"/>
  <c r="P6090" i="6"/>
  <c r="U6090" i="6" s="1"/>
  <c r="P6092" i="6"/>
  <c r="U6092" i="6" s="1"/>
  <c r="P6094" i="6"/>
  <c r="U6094" i="6" s="1"/>
  <c r="P6096" i="6"/>
  <c r="U6096" i="6" s="1"/>
  <c r="P6098" i="6"/>
  <c r="U6098" i="6" s="1"/>
  <c r="P6100" i="6"/>
  <c r="U6100" i="6" s="1"/>
  <c r="P6102" i="6"/>
  <c r="U6102" i="6" s="1"/>
  <c r="P6104" i="6"/>
  <c r="U6104" i="6" s="1"/>
  <c r="P6106" i="6"/>
  <c r="U6106" i="6" s="1"/>
  <c r="P6108" i="6"/>
  <c r="U6108" i="6" s="1"/>
  <c r="P6110" i="6"/>
  <c r="U6110" i="6" s="1"/>
  <c r="P6112" i="6"/>
  <c r="U6112" i="6" s="1"/>
  <c r="P6114" i="6"/>
  <c r="U6114" i="6" s="1"/>
  <c r="P6116" i="6"/>
  <c r="U6116" i="6" s="1"/>
  <c r="P5959" i="6"/>
  <c r="U5959" i="6" s="1"/>
  <c r="P5971" i="6"/>
  <c r="U5971" i="6" s="1"/>
  <c r="P5974" i="6"/>
  <c r="U5974" i="6" s="1"/>
  <c r="P5987" i="6"/>
  <c r="U5987" i="6" s="1"/>
  <c r="O1868" i="6"/>
  <c r="P1868" i="6" s="1"/>
  <c r="U1868" i="6" s="1"/>
  <c r="V1868" i="6" s="1"/>
  <c r="O1871" i="6"/>
  <c r="O1869" i="6"/>
  <c r="O1870" i="6"/>
  <c r="O467" i="6"/>
  <c r="P467" i="6" s="1"/>
  <c r="O470" i="6"/>
  <c r="P470" i="6" s="1"/>
  <c r="U470" i="6" s="1"/>
  <c r="V470" i="6" s="1"/>
  <c r="O468" i="6"/>
  <c r="P468" i="6" s="1"/>
  <c r="U468" i="6" s="1"/>
  <c r="O469" i="6"/>
  <c r="O2337" i="6"/>
  <c r="O2336" i="6"/>
  <c r="N3956" i="6"/>
  <c r="P3956" i="6" s="1"/>
  <c r="U3956" i="6" s="1"/>
  <c r="V3956" i="6" s="1"/>
  <c r="N3960" i="6"/>
  <c r="P3960" i="6" s="1"/>
  <c r="U3960" i="6" s="1"/>
  <c r="N3957" i="6"/>
  <c r="P3957" i="6" s="1"/>
  <c r="N3961" i="6"/>
  <c r="P3961" i="6" s="1"/>
  <c r="U3961" i="6" s="1"/>
  <c r="N3958" i="6"/>
  <c r="N3954" i="6"/>
  <c r="P3954" i="6" s="1"/>
  <c r="U3954" i="6" s="1"/>
  <c r="V3954" i="6" s="1"/>
  <c r="N3955" i="6"/>
  <c r="N3959" i="6"/>
  <c r="P3959" i="6" s="1"/>
  <c r="U3959" i="6" s="1"/>
  <c r="O770" i="6"/>
  <c r="O773" i="6"/>
  <c r="O776" i="6"/>
  <c r="O779" i="6"/>
  <c r="O782" i="6"/>
  <c r="P782" i="6" s="1"/>
  <c r="U782" i="6" s="1"/>
  <c r="V782" i="6" s="1"/>
  <c r="O785" i="6"/>
  <c r="P785" i="6" s="1"/>
  <c r="U785" i="6" s="1"/>
  <c r="V785" i="6" s="1"/>
  <c r="O771" i="6"/>
  <c r="P771" i="6" s="1"/>
  <c r="O774" i="6"/>
  <c r="O777" i="6"/>
  <c r="P777" i="6" s="1"/>
  <c r="U777" i="6" s="1"/>
  <c r="V777" i="6" s="1"/>
  <c r="O780" i="6"/>
  <c r="O783" i="6"/>
  <c r="O772" i="6"/>
  <c r="O775" i="6"/>
  <c r="P775" i="6" s="1"/>
  <c r="U775" i="6" s="1"/>
  <c r="O778" i="6"/>
  <c r="O781" i="6"/>
  <c r="O784" i="6"/>
  <c r="O906" i="6"/>
  <c r="P906" i="6" s="1"/>
  <c r="O907" i="6"/>
  <c r="P907" i="6" s="1"/>
  <c r="U907" i="6" s="1"/>
  <c r="O2800" i="6"/>
  <c r="P2800" i="6" s="1"/>
  <c r="O2801" i="6"/>
  <c r="P2801" i="6" s="1"/>
  <c r="U2801" i="6" s="1"/>
  <c r="V2801" i="6" s="1"/>
  <c r="O2804" i="6"/>
  <c r="O2807" i="6"/>
  <c r="O2802" i="6"/>
  <c r="O2805" i="6"/>
  <c r="O2806" i="6"/>
  <c r="O2803" i="6"/>
  <c r="O2797" i="6"/>
  <c r="O2798" i="6"/>
  <c r="P2798" i="6" s="1"/>
  <c r="U2798" i="6" s="1"/>
  <c r="V2798" i="6" s="1"/>
  <c r="O2799" i="6"/>
  <c r="N4041" i="6"/>
  <c r="P4041" i="6" s="1"/>
  <c r="U4041" i="6" s="1"/>
  <c r="N4042" i="6"/>
  <c r="P4042" i="6" s="1"/>
  <c r="U4042" i="6" s="1"/>
  <c r="N4045" i="6"/>
  <c r="N4039" i="6"/>
  <c r="N4043" i="6"/>
  <c r="N4040" i="6"/>
  <c r="N4044" i="6"/>
  <c r="O1786" i="6"/>
  <c r="O1785" i="6"/>
  <c r="O582" i="14"/>
  <c r="J238" i="14"/>
  <c r="N1770" i="6" s="1"/>
  <c r="O5727" i="6"/>
  <c r="O5695" i="6"/>
  <c r="P5695" i="6" s="1"/>
  <c r="U5695" i="6" s="1"/>
  <c r="O5571" i="6"/>
  <c r="O5530" i="6"/>
  <c r="O5504" i="6"/>
  <c r="O5333" i="6"/>
  <c r="P5333" i="6" s="1"/>
  <c r="U5333" i="6" s="1"/>
  <c r="V5333" i="6" s="1"/>
  <c r="O5291" i="6"/>
  <c r="P5291" i="6" s="1"/>
  <c r="U5291" i="6" s="1"/>
  <c r="V5291" i="6" s="1"/>
  <c r="O5271" i="6"/>
  <c r="P5271" i="6" s="1"/>
  <c r="U5271" i="6" s="1"/>
  <c r="V5271" i="6" s="1"/>
  <c r="O5254" i="6"/>
  <c r="P5254" i="6" s="1"/>
  <c r="U5254" i="6" s="1"/>
  <c r="O5249" i="6"/>
  <c r="P5249" i="6" s="1"/>
  <c r="U5249" i="6" s="1"/>
  <c r="V5249" i="6" s="1"/>
  <c r="O5202" i="6"/>
  <c r="O5041" i="6"/>
  <c r="O4964" i="6"/>
  <c r="P4964" i="6" s="1"/>
  <c r="U4964" i="6" s="1"/>
  <c r="V4964" i="6" s="1"/>
  <c r="O4948" i="6"/>
  <c r="P4948" i="6" s="1"/>
  <c r="U4948" i="6" s="1"/>
  <c r="V4948" i="6" s="1"/>
  <c r="O4940" i="6"/>
  <c r="P4940" i="6" s="1"/>
  <c r="U4940" i="6" s="1"/>
  <c r="V4940" i="6" s="1"/>
  <c r="O4897" i="6"/>
  <c r="P4897" i="6" s="1"/>
  <c r="U4897" i="6" s="1"/>
  <c r="V4897" i="6" s="1"/>
  <c r="O4890" i="6"/>
  <c r="P4890" i="6" s="1"/>
  <c r="U4890" i="6" s="1"/>
  <c r="V4890" i="6" s="1"/>
  <c r="O4783" i="6"/>
  <c r="P4783" i="6" s="1"/>
  <c r="U4783" i="6" s="1"/>
  <c r="V4783" i="6" s="1"/>
  <c r="O5706" i="6"/>
  <c r="O5703" i="6"/>
  <c r="O5615" i="6"/>
  <c r="O5520" i="6"/>
  <c r="O5448" i="6"/>
  <c r="O5441" i="6"/>
  <c r="O5430" i="6"/>
  <c r="O5429" i="6"/>
  <c r="O5401" i="6"/>
  <c r="O5311" i="6"/>
  <c r="O5304" i="6"/>
  <c r="P5304" i="6" s="1"/>
  <c r="U5304" i="6" s="1"/>
  <c r="V5304" i="6" s="1"/>
  <c r="O5296" i="6"/>
  <c r="P5296" i="6" s="1"/>
  <c r="U5296" i="6" s="1"/>
  <c r="O5294" i="6"/>
  <c r="P5294" i="6" s="1"/>
  <c r="U5294" i="6" s="1"/>
  <c r="O5253" i="6"/>
  <c r="P5253" i="6" s="1"/>
  <c r="U5253" i="6" s="1"/>
  <c r="V5253" i="6" s="1"/>
  <c r="O5217" i="6"/>
  <c r="P5217" i="6" s="1"/>
  <c r="U5217" i="6" s="1"/>
  <c r="V5217" i="6" s="1"/>
  <c r="O5116" i="6"/>
  <c r="O5102" i="6"/>
  <c r="P5102" i="6" s="1"/>
  <c r="U5102" i="6" s="1"/>
  <c r="V5102" i="6" s="1"/>
  <c r="O5086" i="6"/>
  <c r="O5064" i="6"/>
  <c r="P5064" i="6" s="1"/>
  <c r="U5064" i="6" s="1"/>
  <c r="V5064" i="6" s="1"/>
  <c r="O5015" i="6"/>
  <c r="P5015" i="6" s="1"/>
  <c r="U5015" i="6" s="1"/>
  <c r="V5015" i="6" s="1"/>
  <c r="O4971" i="6"/>
  <c r="P4971" i="6" s="1"/>
  <c r="U4971" i="6" s="1"/>
  <c r="V4971" i="6" s="1"/>
  <c r="O4969" i="6"/>
  <c r="O4923" i="6"/>
  <c r="O4895" i="6"/>
  <c r="P4895" i="6" s="1"/>
  <c r="U4895" i="6" s="1"/>
  <c r="V4895" i="6" s="1"/>
  <c r="O4857" i="6"/>
  <c r="P4857" i="6" s="1"/>
  <c r="U4857" i="6" s="1"/>
  <c r="V4857" i="6" s="1"/>
  <c r="O4850" i="6"/>
  <c r="P4850" i="6" s="1"/>
  <c r="O4843" i="6"/>
  <c r="P4843" i="6" s="1"/>
  <c r="U4843" i="6" s="1"/>
  <c r="O4821" i="6"/>
  <c r="O4727" i="6"/>
  <c r="P4727" i="6" s="1"/>
  <c r="U4727" i="6" s="1"/>
  <c r="V4727" i="6" s="1"/>
  <c r="O4716" i="6"/>
  <c r="P4716" i="6" s="1"/>
  <c r="U4716" i="6" s="1"/>
  <c r="V4716" i="6" s="1"/>
  <c r="O4689" i="6"/>
  <c r="P4689" i="6" s="1"/>
  <c r="U4689" i="6" s="1"/>
  <c r="V4689" i="6" s="1"/>
  <c r="O4655" i="6"/>
  <c r="P4655" i="6" s="1"/>
  <c r="U4655" i="6" s="1"/>
  <c r="V4655" i="6" s="1"/>
  <c r="O4581" i="6"/>
  <c r="P4581" i="6" s="1"/>
  <c r="O4577" i="6"/>
  <c r="P4577" i="6" s="1"/>
  <c r="U4577" i="6" s="1"/>
  <c r="V4577" i="6" s="1"/>
  <c r="O4302" i="6"/>
  <c r="P4302" i="6" s="1"/>
  <c r="U4302" i="6" s="1"/>
  <c r="V4302" i="6" s="1"/>
  <c r="O4298" i="6"/>
  <c r="P4298" i="6" s="1"/>
  <c r="U4298" i="6" s="1"/>
  <c r="V4298" i="6" s="1"/>
  <c r="O4310" i="6"/>
  <c r="P4310" i="6" s="1"/>
  <c r="U4310" i="6" s="1"/>
  <c r="V4310" i="6" s="1"/>
  <c r="O5675" i="6"/>
  <c r="O5698" i="6"/>
  <c r="O5683" i="6"/>
  <c r="P5683" i="6" s="1"/>
  <c r="U5683" i="6" s="1"/>
  <c r="V5683" i="6" s="1"/>
  <c r="O5682" i="6"/>
  <c r="P5682" i="6" s="1"/>
  <c r="U5682" i="6" s="1"/>
  <c r="O5667" i="6"/>
  <c r="P5667" i="6" s="1"/>
  <c r="U5667" i="6" s="1"/>
  <c r="V5667" i="6" s="1"/>
  <c r="N5660" i="6"/>
  <c r="P5660" i="6" s="1"/>
  <c r="U5660" i="6" s="1"/>
  <c r="V5660" i="6" s="1"/>
  <c r="O5653" i="6"/>
  <c r="O5579" i="6"/>
  <c r="O5557" i="6"/>
  <c r="P5557" i="6" s="1"/>
  <c r="U5557" i="6" s="1"/>
  <c r="V5557" i="6" s="1"/>
  <c r="O5555" i="6"/>
  <c r="K757" i="14"/>
  <c r="O5437" i="6"/>
  <c r="O5433" i="6"/>
  <c r="P5433" i="6" s="1"/>
  <c r="U5433" i="6" s="1"/>
  <c r="O5428" i="6"/>
  <c r="P5428" i="6" s="1"/>
  <c r="U5428" i="6" s="1"/>
  <c r="V5428" i="6" s="1"/>
  <c r="O5419" i="6"/>
  <c r="P5419" i="6" s="1"/>
  <c r="U5419" i="6" s="1"/>
  <c r="V5419" i="6" s="1"/>
  <c r="O5410" i="6"/>
  <c r="P5410" i="6" s="1"/>
  <c r="U5410" i="6" s="1"/>
  <c r="V5410" i="6" s="1"/>
  <c r="O5397" i="6"/>
  <c r="O5390" i="6"/>
  <c r="O5385" i="6"/>
  <c r="O5346" i="6"/>
  <c r="O5332" i="6"/>
  <c r="O5320" i="6"/>
  <c r="P5320" i="6" s="1"/>
  <c r="U5320" i="6" s="1"/>
  <c r="V5320" i="6" s="1"/>
  <c r="O5318" i="6"/>
  <c r="P5318" i="6" s="1"/>
  <c r="U5318" i="6" s="1"/>
  <c r="V5318" i="6" s="1"/>
  <c r="O5314" i="6"/>
  <c r="P5314" i="6" s="1"/>
  <c r="U5314" i="6" s="1"/>
  <c r="V5314" i="6" s="1"/>
  <c r="O5302" i="6"/>
  <c r="O5298" i="6"/>
  <c r="P5298" i="6" s="1"/>
  <c r="U5298" i="6" s="1"/>
  <c r="V5298" i="6" s="1"/>
  <c r="O5290" i="6"/>
  <c r="O5274" i="6"/>
  <c r="P5274" i="6" s="1"/>
  <c r="U5274" i="6" s="1"/>
  <c r="V5274" i="6" s="1"/>
  <c r="O5248" i="6"/>
  <c r="P5248" i="6" s="1"/>
  <c r="U5248" i="6" s="1"/>
  <c r="V5248" i="6" s="1"/>
  <c r="O5228" i="6"/>
  <c r="O5211" i="6"/>
  <c r="P5211" i="6" s="1"/>
  <c r="U5211" i="6" s="1"/>
  <c r="V5211" i="6" s="1"/>
  <c r="O5203" i="6"/>
  <c r="P5203" i="6" s="1"/>
  <c r="U5203" i="6" s="1"/>
  <c r="O5112" i="6"/>
  <c r="P5112" i="6" s="1"/>
  <c r="U5112" i="6" s="1"/>
  <c r="V5112" i="6" s="1"/>
  <c r="O5108" i="6"/>
  <c r="P5108" i="6" s="1"/>
  <c r="U5108" i="6" s="1"/>
  <c r="V5108" i="6" s="1"/>
  <c r="O5099" i="6"/>
  <c r="P5099" i="6" s="1"/>
  <c r="U5099" i="6" s="1"/>
  <c r="V5099" i="6" s="1"/>
  <c r="O5097" i="6"/>
  <c r="P5097" i="6" s="1"/>
  <c r="U5097" i="6" s="1"/>
  <c r="O5088" i="6"/>
  <c r="O4985" i="6"/>
  <c r="P4985" i="6" s="1"/>
  <c r="U4985" i="6" s="1"/>
  <c r="V4985" i="6" s="1"/>
  <c r="O4977" i="6"/>
  <c r="P4977" i="6" s="1"/>
  <c r="U4977" i="6" s="1"/>
  <c r="V4977" i="6" s="1"/>
  <c r="O4972" i="6"/>
  <c r="P4972" i="6" s="1"/>
  <c r="U4972" i="6" s="1"/>
  <c r="V4972" i="6" s="1"/>
  <c r="O4965" i="6"/>
  <c r="P4965" i="6" s="1"/>
  <c r="U4965" i="6" s="1"/>
  <c r="V4965" i="6" s="1"/>
  <c r="O4953" i="6"/>
  <c r="P4953" i="6" s="1"/>
  <c r="O4891" i="6"/>
  <c r="P4891" i="6" s="1"/>
  <c r="U4891" i="6" s="1"/>
  <c r="V4891" i="6" s="1"/>
  <c r="N4826" i="6"/>
  <c r="P4826" i="6" s="1"/>
  <c r="K666" i="14"/>
  <c r="O4794" i="6"/>
  <c r="P4794" i="6" s="1"/>
  <c r="U4794" i="6" s="1"/>
  <c r="V4794" i="6" s="1"/>
  <c r="O4771" i="6"/>
  <c r="O4725" i="6"/>
  <c r="P4725" i="6" s="1"/>
  <c r="U4725" i="6" s="1"/>
  <c r="V4725" i="6" s="1"/>
  <c r="O4710" i="6"/>
  <c r="P4710" i="6" s="1"/>
  <c r="U4710" i="6" s="1"/>
  <c r="V4710" i="6" s="1"/>
  <c r="O4688" i="6"/>
  <c r="P4688" i="6" s="1"/>
  <c r="U4688" i="6" s="1"/>
  <c r="V4688" i="6" s="1"/>
  <c r="O4625" i="6"/>
  <c r="P4625" i="6" s="1"/>
  <c r="U4625" i="6" s="1"/>
  <c r="V4625" i="6" s="1"/>
  <c r="O4614" i="6"/>
  <c r="P4614" i="6" s="1"/>
  <c r="U4614" i="6" s="1"/>
  <c r="V4614" i="6" s="1"/>
  <c r="O4607" i="6"/>
  <c r="P4607" i="6" s="1"/>
  <c r="U4607" i="6" s="1"/>
  <c r="V4607" i="6" s="1"/>
  <c r="O4588" i="6"/>
  <c r="P4588" i="6" s="1"/>
  <c r="U4588" i="6" s="1"/>
  <c r="V4588" i="6" s="1"/>
  <c r="J226" i="14"/>
  <c r="J205" i="14"/>
  <c r="J199" i="14"/>
  <c r="N1482" i="6" s="1"/>
  <c r="J185" i="14"/>
  <c r="N1375" i="6" s="1"/>
  <c r="O5697" i="6"/>
  <c r="O5690" i="6"/>
  <c r="O5577" i="6"/>
  <c r="O5568" i="6"/>
  <c r="O5537" i="6"/>
  <c r="O5523" i="6"/>
  <c r="O5330" i="6"/>
  <c r="P5330" i="6" s="1"/>
  <c r="U5330" i="6" s="1"/>
  <c r="V5330" i="6" s="1"/>
  <c r="O5328" i="6"/>
  <c r="O5317" i="6"/>
  <c r="O5312" i="6"/>
  <c r="P5312" i="6" s="1"/>
  <c r="U5312" i="6" s="1"/>
  <c r="V5312" i="6" s="1"/>
  <c r="O5288" i="6"/>
  <c r="P5288" i="6" s="1"/>
  <c r="U5288" i="6" s="1"/>
  <c r="V5288" i="6" s="1"/>
  <c r="O5269" i="6"/>
  <c r="O5247" i="6"/>
  <c r="O5215" i="6"/>
  <c r="O5200" i="6"/>
  <c r="P5200" i="6" s="1"/>
  <c r="U5200" i="6" s="1"/>
  <c r="O5106" i="6"/>
  <c r="P5106" i="6" s="1"/>
  <c r="U5106" i="6" s="1"/>
  <c r="O5101" i="6"/>
  <c r="P5101" i="6" s="1"/>
  <c r="U5101" i="6" s="1"/>
  <c r="O4963" i="6"/>
  <c r="O4949" i="6"/>
  <c r="P4949" i="6" s="1"/>
  <c r="U4949" i="6" s="1"/>
  <c r="V4949" i="6" s="1"/>
  <c r="O4941" i="6"/>
  <c r="P4941" i="6" s="1"/>
  <c r="U4941" i="6" s="1"/>
  <c r="V4941" i="6" s="1"/>
  <c r="O4889" i="6"/>
  <c r="P4889" i="6" s="1"/>
  <c r="U4889" i="6" s="1"/>
  <c r="V4889" i="6" s="1"/>
  <c r="O4788" i="6"/>
  <c r="P4788" i="6" s="1"/>
  <c r="U4788" i="6" s="1"/>
  <c r="V4788" i="6" s="1"/>
  <c r="O4723" i="6"/>
  <c r="P4723" i="6" s="1"/>
  <c r="U4723" i="6" s="1"/>
  <c r="V4723" i="6" s="1"/>
  <c r="O4711" i="6"/>
  <c r="P4711" i="6" s="1"/>
  <c r="U4711" i="6" s="1"/>
  <c r="O4623" i="6"/>
  <c r="P4623" i="6" s="1"/>
  <c r="U4623" i="6" s="1"/>
  <c r="V4623" i="6" s="1"/>
  <c r="O4613" i="6"/>
  <c r="P4613" i="6" s="1"/>
  <c r="O4560" i="6"/>
  <c r="P4560" i="6" s="1"/>
  <c r="U4560" i="6" s="1"/>
  <c r="V4560" i="6" s="1"/>
  <c r="O4565" i="6"/>
  <c r="P4565" i="6" s="1"/>
  <c r="U4565" i="6" s="1"/>
  <c r="V4565" i="6" s="1"/>
  <c r="O4615" i="6"/>
  <c r="P4615" i="6" s="1"/>
  <c r="U4615" i="6" s="1"/>
  <c r="V4615" i="6" s="1"/>
  <c r="O4583" i="6"/>
  <c r="P4583" i="6" s="1"/>
  <c r="U4583" i="6" s="1"/>
  <c r="V4583" i="6" s="1"/>
  <c r="O4584" i="6"/>
  <c r="P4584" i="6" s="1"/>
  <c r="U4584" i="6" s="1"/>
  <c r="V4584" i="6" s="1"/>
  <c r="O4585" i="6"/>
  <c r="P4585" i="6" s="1"/>
  <c r="U4585" i="6" s="1"/>
  <c r="V4585" i="6" s="1"/>
  <c r="O4571" i="6"/>
  <c r="P4571" i="6" s="1"/>
  <c r="U4571" i="6" s="1"/>
  <c r="V4571" i="6" s="1"/>
  <c r="O4572" i="6"/>
  <c r="P4572" i="6" s="1"/>
  <c r="U4572" i="6" s="1"/>
  <c r="V4572" i="6" s="1"/>
  <c r="O4356" i="6"/>
  <c r="P4356" i="6" s="1"/>
  <c r="U4356" i="6" s="1"/>
  <c r="V4356" i="6" s="1"/>
  <c r="O4360" i="6"/>
  <c r="P4360" i="6" s="1"/>
  <c r="U4360" i="6" s="1"/>
  <c r="V4360" i="6" s="1"/>
  <c r="O4362" i="6"/>
  <c r="P4362" i="6" s="1"/>
  <c r="U4362" i="6" s="1"/>
  <c r="V4362" i="6" s="1"/>
  <c r="O3951" i="6"/>
  <c r="P3951" i="6" s="1"/>
  <c r="U3951" i="6" s="1"/>
  <c r="O3952" i="6"/>
  <c r="P3952" i="6" s="1"/>
  <c r="U3952" i="6" s="1"/>
  <c r="O3948" i="6"/>
  <c r="P3948" i="6" s="1"/>
  <c r="U3948" i="6" s="1"/>
  <c r="O2788" i="6"/>
  <c r="P2788" i="6" s="1"/>
  <c r="U2788" i="6" s="1"/>
  <c r="V2788" i="6" s="1"/>
  <c r="O2790" i="6"/>
  <c r="P2790" i="6" s="1"/>
  <c r="U2790" i="6" s="1"/>
  <c r="V2790" i="6" s="1"/>
  <c r="O2288" i="6"/>
  <c r="P2288" i="6" s="1"/>
  <c r="U2288" i="6" s="1"/>
  <c r="V2288" i="6" s="1"/>
  <c r="O2289" i="6"/>
  <c r="P2289" i="6" s="1"/>
  <c r="U2289" i="6" s="1"/>
  <c r="V2289" i="6" s="1"/>
  <c r="O4038" i="6"/>
  <c r="P4038" i="6" s="1"/>
  <c r="U4038" i="6" s="1"/>
  <c r="V4038" i="6" s="1"/>
  <c r="O4030" i="6"/>
  <c r="P4030" i="6" s="1"/>
  <c r="U4030" i="6" s="1"/>
  <c r="V4030" i="6" s="1"/>
  <c r="O4028" i="6"/>
  <c r="P4028" i="6" s="1"/>
  <c r="U4028" i="6" s="1"/>
  <c r="V4028" i="6" s="1"/>
  <c r="O4020" i="6"/>
  <c r="P4020" i="6" s="1"/>
  <c r="U4020" i="6" s="1"/>
  <c r="V4020" i="6" s="1"/>
  <c r="O3955" i="6"/>
  <c r="O3507" i="6"/>
  <c r="P3507" i="6" s="1"/>
  <c r="U3507" i="6" s="1"/>
  <c r="V3507" i="6" s="1"/>
  <c r="O3257" i="6"/>
  <c r="P3257" i="6" s="1"/>
  <c r="U3257" i="6" s="1"/>
  <c r="V3257" i="6" s="1"/>
  <c r="O3248" i="6"/>
  <c r="P3248" i="6" s="1"/>
  <c r="U3248" i="6" s="1"/>
  <c r="V3248" i="6" s="1"/>
  <c r="O3236" i="6"/>
  <c r="P3236" i="6" s="1"/>
  <c r="U3236" i="6" s="1"/>
  <c r="V3236" i="6" s="1"/>
  <c r="O3211" i="6"/>
  <c r="P3211" i="6" s="1"/>
  <c r="U3211" i="6" s="1"/>
  <c r="V3211" i="6" s="1"/>
  <c r="O3190" i="6"/>
  <c r="P3190" i="6" s="1"/>
  <c r="U3190" i="6" s="1"/>
  <c r="O3114" i="6"/>
  <c r="P3114" i="6" s="1"/>
  <c r="U3114" i="6" s="1"/>
  <c r="V3114" i="6" s="1"/>
  <c r="O3090" i="6"/>
  <c r="P3090" i="6" s="1"/>
  <c r="U3090" i="6" s="1"/>
  <c r="O3087" i="6"/>
  <c r="P3087" i="6" s="1"/>
  <c r="U3087" i="6" s="1"/>
  <c r="V3087" i="6" s="1"/>
  <c r="O3058" i="6"/>
  <c r="P3058" i="6" s="1"/>
  <c r="U3058" i="6" s="1"/>
  <c r="V3058" i="6" s="1"/>
  <c r="O3023" i="6"/>
  <c r="P3023" i="6" s="1"/>
  <c r="U3023" i="6" s="1"/>
  <c r="V3023" i="6" s="1"/>
  <c r="N3008" i="6"/>
  <c r="P3008" i="6" s="1"/>
  <c r="O3000" i="6"/>
  <c r="P3000" i="6" s="1"/>
  <c r="U3000" i="6" s="1"/>
  <c r="O2973" i="6"/>
  <c r="P2973" i="6" s="1"/>
  <c r="U2973" i="6" s="1"/>
  <c r="V2973" i="6" s="1"/>
  <c r="O2968" i="6"/>
  <c r="P2968" i="6" s="1"/>
  <c r="U2968" i="6" s="1"/>
  <c r="V2968" i="6" s="1"/>
  <c r="O2948" i="6"/>
  <c r="P2948" i="6" s="1"/>
  <c r="U2948" i="6" s="1"/>
  <c r="V2948" i="6" s="1"/>
  <c r="O2927" i="6"/>
  <c r="P2927" i="6" s="1"/>
  <c r="U2927" i="6" s="1"/>
  <c r="V2927" i="6" s="1"/>
  <c r="O2896" i="6"/>
  <c r="P2896" i="6" s="1"/>
  <c r="U2896" i="6" s="1"/>
  <c r="V2896" i="6" s="1"/>
  <c r="O2884" i="6"/>
  <c r="P2884" i="6" s="1"/>
  <c r="U2884" i="6" s="1"/>
  <c r="V2884" i="6" s="1"/>
  <c r="O2875" i="6"/>
  <c r="P2875" i="6" s="1"/>
  <c r="U2875" i="6" s="1"/>
  <c r="V2875" i="6" s="1"/>
  <c r="O2844" i="6"/>
  <c r="P2844" i="6" s="1"/>
  <c r="O2836" i="6"/>
  <c r="P2836" i="6" s="1"/>
  <c r="U2836" i="6" s="1"/>
  <c r="V2836" i="6" s="1"/>
  <c r="O2827" i="6"/>
  <c r="P2827" i="6" s="1"/>
  <c r="U2827" i="6" s="1"/>
  <c r="V2827" i="6" s="1"/>
  <c r="O2816" i="6"/>
  <c r="P2816" i="6" s="1"/>
  <c r="O2725" i="6"/>
  <c r="P2725" i="6" s="1"/>
  <c r="U2725" i="6" s="1"/>
  <c r="V2725" i="6" s="1"/>
  <c r="O2720" i="6"/>
  <c r="P2720" i="6" s="1"/>
  <c r="U2720" i="6" s="1"/>
  <c r="V2720" i="6" s="1"/>
  <c r="O2682" i="6"/>
  <c r="P2682" i="6" s="1"/>
  <c r="U2682" i="6" s="1"/>
  <c r="O2540" i="6"/>
  <c r="P2540" i="6" s="1"/>
  <c r="U2540" i="6" s="1"/>
  <c r="V2540" i="6" s="1"/>
  <c r="O2470" i="6"/>
  <c r="P2470" i="6" s="1"/>
  <c r="U2470" i="6" s="1"/>
  <c r="V2470" i="6" s="1"/>
  <c r="O2415" i="6"/>
  <c r="P2415" i="6" s="1"/>
  <c r="U2415" i="6" s="1"/>
  <c r="V2415" i="6" s="1"/>
  <c r="O2397" i="6"/>
  <c r="P2397" i="6" s="1"/>
  <c r="U2397" i="6" s="1"/>
  <c r="V2397" i="6" s="1"/>
  <c r="O2353" i="6"/>
  <c r="P2353" i="6" s="1"/>
  <c r="U2353" i="6" s="1"/>
  <c r="V2353" i="6" s="1"/>
  <c r="O2342" i="6"/>
  <c r="P2342" i="6" s="1"/>
  <c r="U2342" i="6" s="1"/>
  <c r="V2342" i="6" s="1"/>
  <c r="O2322" i="6"/>
  <c r="P2322" i="6" s="1"/>
  <c r="U2322" i="6" s="1"/>
  <c r="V2322" i="6" s="1"/>
  <c r="O2308" i="6"/>
  <c r="P2308" i="6" s="1"/>
  <c r="U2308" i="6" s="1"/>
  <c r="V2308" i="6" s="1"/>
  <c r="O2296" i="6"/>
  <c r="P2296" i="6" s="1"/>
  <c r="U2296" i="6" s="1"/>
  <c r="V2296" i="6" s="1"/>
  <c r="O2258" i="6"/>
  <c r="P2258" i="6" s="1"/>
  <c r="U2258" i="6" s="1"/>
  <c r="V2258" i="6" s="1"/>
  <c r="O2221" i="6"/>
  <c r="P2221" i="6" s="1"/>
  <c r="U2221" i="6" s="1"/>
  <c r="V2221" i="6" s="1"/>
  <c r="O2210" i="6"/>
  <c r="P2210" i="6" s="1"/>
  <c r="U2210" i="6" s="1"/>
  <c r="V2210" i="6" s="1"/>
  <c r="O2195" i="6"/>
  <c r="P2195" i="6" s="1"/>
  <c r="U2195" i="6" s="1"/>
  <c r="V2195" i="6" s="1"/>
  <c r="O2193" i="6"/>
  <c r="P2193" i="6" s="1"/>
  <c r="U2193" i="6" s="1"/>
  <c r="V2193" i="6" s="1"/>
  <c r="O2152" i="6"/>
  <c r="P2152" i="6" s="1"/>
  <c r="O2112" i="6"/>
  <c r="P2112" i="6" s="1"/>
  <c r="U2112" i="6" s="1"/>
  <c r="V2112" i="6" s="1"/>
  <c r="O2039" i="6"/>
  <c r="P2039" i="6" s="1"/>
  <c r="O2024" i="6"/>
  <c r="P2024" i="6" s="1"/>
  <c r="U2024" i="6" s="1"/>
  <c r="V2024" i="6" s="1"/>
  <c r="O2013" i="6"/>
  <c r="P2013" i="6" s="1"/>
  <c r="U2013" i="6" s="1"/>
  <c r="V2013" i="6" s="1"/>
  <c r="O1966" i="6"/>
  <c r="P1966" i="6" s="1"/>
  <c r="U1966" i="6" s="1"/>
  <c r="V1966" i="6" s="1"/>
  <c r="O1830" i="6"/>
  <c r="O1693" i="6"/>
  <c r="P1693" i="6" s="1"/>
  <c r="O1684" i="6"/>
  <c r="P1684" i="6" s="1"/>
  <c r="U1684" i="6" s="1"/>
  <c r="V1684" i="6" s="1"/>
  <c r="O1696" i="6"/>
  <c r="P1696" i="6" s="1"/>
  <c r="U1696" i="6" s="1"/>
  <c r="V1696" i="6" s="1"/>
  <c r="O1686" i="6"/>
  <c r="P1686" i="6" s="1"/>
  <c r="U1686" i="6" s="1"/>
  <c r="V1686" i="6" s="1"/>
  <c r="O1698" i="6"/>
  <c r="P1698" i="6" s="1"/>
  <c r="U1698" i="6" s="1"/>
  <c r="V1698" i="6" s="1"/>
  <c r="N1239" i="6"/>
  <c r="P1239" i="6" s="1"/>
  <c r="O1204" i="6"/>
  <c r="O1206" i="6"/>
  <c r="O562" i="6"/>
  <c r="P562" i="6" s="1"/>
  <c r="U562" i="6" s="1"/>
  <c r="V562" i="6" s="1"/>
  <c r="O568" i="6"/>
  <c r="P568" i="6" s="1"/>
  <c r="U568" i="6" s="1"/>
  <c r="V568" i="6" s="1"/>
  <c r="O569" i="6"/>
  <c r="P569" i="6" s="1"/>
  <c r="U569" i="6" s="1"/>
  <c r="V569" i="6" s="1"/>
  <c r="O556" i="6"/>
  <c r="P556" i="6" s="1"/>
  <c r="U556" i="6" s="1"/>
  <c r="V556" i="6" s="1"/>
  <c r="O576" i="6"/>
  <c r="P576" i="6" s="1"/>
  <c r="U576" i="6" s="1"/>
  <c r="V576" i="6" s="1"/>
  <c r="O561" i="6"/>
  <c r="P561" i="6" s="1"/>
  <c r="U561" i="6" s="1"/>
  <c r="V561" i="6" s="1"/>
  <c r="K467" i="14"/>
  <c r="O2947" i="6"/>
  <c r="P2947" i="6" s="1"/>
  <c r="U2947" i="6" s="1"/>
  <c r="V2947" i="6" s="1"/>
  <c r="O2835" i="6"/>
  <c r="P2835" i="6" s="1"/>
  <c r="U2835" i="6" s="1"/>
  <c r="V2835" i="6" s="1"/>
  <c r="O2724" i="6"/>
  <c r="P2724" i="6" s="1"/>
  <c r="U2724" i="6" s="1"/>
  <c r="V2724" i="6" s="1"/>
  <c r="N2448" i="6"/>
  <c r="P2448" i="6" s="1"/>
  <c r="O2352" i="6"/>
  <c r="P2352" i="6" s="1"/>
  <c r="U2352" i="6" s="1"/>
  <c r="V2352" i="6" s="1"/>
  <c r="O2319" i="6"/>
  <c r="P2319" i="6" s="1"/>
  <c r="U2319" i="6" s="1"/>
  <c r="V2319" i="6" s="1"/>
  <c r="O2219" i="6"/>
  <c r="P2219" i="6" s="1"/>
  <c r="U2219" i="6" s="1"/>
  <c r="V2219" i="6" s="1"/>
  <c r="O2209" i="6"/>
  <c r="P2209" i="6" s="1"/>
  <c r="U2209" i="6" s="1"/>
  <c r="V2209" i="6" s="1"/>
  <c r="O2154" i="6"/>
  <c r="P2154" i="6" s="1"/>
  <c r="U2154" i="6" s="1"/>
  <c r="V2154" i="6" s="1"/>
  <c r="O2023" i="6"/>
  <c r="P2023" i="6" s="1"/>
  <c r="U2023" i="6" s="1"/>
  <c r="V2023" i="6" s="1"/>
  <c r="O1910" i="6"/>
  <c r="P1910" i="6" s="1"/>
  <c r="U1910" i="6" s="1"/>
  <c r="V1910" i="6" s="1"/>
  <c r="O690" i="6"/>
  <c r="P690" i="6" s="1"/>
  <c r="U690" i="6" s="1"/>
  <c r="V690" i="6" s="1"/>
  <c r="O694" i="6"/>
  <c r="P694" i="6" s="1"/>
  <c r="U694" i="6" s="1"/>
  <c r="V694" i="6" s="1"/>
  <c r="O695" i="6"/>
  <c r="P695" i="6" s="1"/>
  <c r="U695" i="6" s="1"/>
  <c r="V695" i="6" s="1"/>
  <c r="O687" i="6"/>
  <c r="P687" i="6" s="1"/>
  <c r="U687" i="6" s="1"/>
  <c r="V687" i="6" s="1"/>
  <c r="O688" i="6"/>
  <c r="P688" i="6" s="1"/>
  <c r="U688" i="6" s="1"/>
  <c r="V688" i="6" s="1"/>
  <c r="O1427" i="6"/>
  <c r="O1431" i="6"/>
  <c r="O1217" i="6"/>
  <c r="P1217" i="6" s="1"/>
  <c r="U1217" i="6" s="1"/>
  <c r="O1216" i="6"/>
  <c r="P1216" i="6" s="1"/>
  <c r="O1003" i="6"/>
  <c r="P1003" i="6" s="1"/>
  <c r="U1003" i="6" s="1"/>
  <c r="V1003" i="6" s="1"/>
  <c r="O993" i="6"/>
  <c r="P993" i="6" s="1"/>
  <c r="U993" i="6" s="1"/>
  <c r="V993" i="6" s="1"/>
  <c r="O633" i="6"/>
  <c r="P633" i="6" s="1"/>
  <c r="U633" i="6" s="1"/>
  <c r="V633" i="6" s="1"/>
  <c r="O637" i="6"/>
  <c r="P637" i="6" s="1"/>
  <c r="U637" i="6" s="1"/>
  <c r="V637" i="6" s="1"/>
  <c r="O638" i="6"/>
  <c r="P638" i="6" s="1"/>
  <c r="U638" i="6" s="1"/>
  <c r="V638" i="6" s="1"/>
  <c r="O630" i="6"/>
  <c r="P630" i="6" s="1"/>
  <c r="U630" i="6" s="1"/>
  <c r="V630" i="6" s="1"/>
  <c r="O631" i="6"/>
  <c r="P631" i="6" s="1"/>
  <c r="U631" i="6" s="1"/>
  <c r="V631" i="6" s="1"/>
  <c r="O4215" i="6"/>
  <c r="P4215" i="6" s="1"/>
  <c r="O3513" i="6"/>
  <c r="P3513" i="6" s="1"/>
  <c r="U3513" i="6" s="1"/>
  <c r="V3513" i="6" s="1"/>
  <c r="O3512" i="6"/>
  <c r="P3512" i="6" s="1"/>
  <c r="U3512" i="6" s="1"/>
  <c r="V3512" i="6" s="1"/>
  <c r="O3271" i="6"/>
  <c r="P3271" i="6" s="1"/>
  <c r="U3271" i="6" s="1"/>
  <c r="V3271" i="6" s="1"/>
  <c r="O3120" i="6"/>
  <c r="P3120" i="6" s="1"/>
  <c r="U3120" i="6" s="1"/>
  <c r="V3120" i="6" s="1"/>
  <c r="O3108" i="6"/>
  <c r="P3108" i="6" s="1"/>
  <c r="U3108" i="6" s="1"/>
  <c r="V3108" i="6" s="1"/>
  <c r="O3080" i="6"/>
  <c r="P3080" i="6" s="1"/>
  <c r="U3080" i="6" s="1"/>
  <c r="V3080" i="6" s="1"/>
  <c r="O3004" i="6"/>
  <c r="P3004" i="6" s="1"/>
  <c r="U3004" i="6" s="1"/>
  <c r="O2996" i="6"/>
  <c r="P2996" i="6" s="1"/>
  <c r="U2996" i="6" s="1"/>
  <c r="V2996" i="6" s="1"/>
  <c r="O2970" i="6"/>
  <c r="P2970" i="6" s="1"/>
  <c r="U2970" i="6" s="1"/>
  <c r="V2970" i="6" s="1"/>
  <c r="O2941" i="6"/>
  <c r="P2941" i="6" s="1"/>
  <c r="U2941" i="6" s="1"/>
  <c r="O2902" i="6"/>
  <c r="P2902" i="6" s="1"/>
  <c r="O2890" i="6"/>
  <c r="P2890" i="6" s="1"/>
  <c r="U2890" i="6" s="1"/>
  <c r="V2890" i="6" s="1"/>
  <c r="O2888" i="6"/>
  <c r="P2888" i="6" s="1"/>
  <c r="U2888" i="6" s="1"/>
  <c r="V2888" i="6" s="1"/>
  <c r="O2880" i="6"/>
  <c r="P2880" i="6" s="1"/>
  <c r="O2873" i="6"/>
  <c r="P2873" i="6" s="1"/>
  <c r="U2873" i="6" s="1"/>
  <c r="V2873" i="6" s="1"/>
  <c r="O2852" i="6"/>
  <c r="P2852" i="6" s="1"/>
  <c r="U2852" i="6" s="1"/>
  <c r="O2840" i="6"/>
  <c r="P2840" i="6" s="1"/>
  <c r="U2840" i="6" s="1"/>
  <c r="O2731" i="6"/>
  <c r="P2731" i="6" s="1"/>
  <c r="U2731" i="6" s="1"/>
  <c r="V2731" i="6" s="1"/>
  <c r="O2719" i="6"/>
  <c r="P2719" i="6" s="1"/>
  <c r="U2719" i="6" s="1"/>
  <c r="V2719" i="6" s="1"/>
  <c r="O2683" i="6"/>
  <c r="P2683" i="6" s="1"/>
  <c r="U2683" i="6" s="1"/>
  <c r="V2683" i="6" s="1"/>
  <c r="O2504" i="6"/>
  <c r="P2504" i="6" s="1"/>
  <c r="U2504" i="6" s="1"/>
  <c r="V2504" i="6" s="1"/>
  <c r="O2490" i="6"/>
  <c r="P2490" i="6" s="1"/>
  <c r="U2490" i="6" s="1"/>
  <c r="V2490" i="6" s="1"/>
  <c r="O2408" i="6"/>
  <c r="P2408" i="6" s="1"/>
  <c r="U2408" i="6" s="1"/>
  <c r="O2401" i="6"/>
  <c r="P2401" i="6" s="1"/>
  <c r="O2371" i="6"/>
  <c r="P2371" i="6" s="1"/>
  <c r="U2371" i="6" s="1"/>
  <c r="V2371" i="6" s="1"/>
  <c r="O2345" i="6"/>
  <c r="P2345" i="6" s="1"/>
  <c r="U2345" i="6" s="1"/>
  <c r="V2345" i="6" s="1"/>
  <c r="O2315" i="6"/>
  <c r="P2315" i="6" s="1"/>
  <c r="U2315" i="6" s="1"/>
  <c r="V2315" i="6" s="1"/>
  <c r="O2274" i="6"/>
  <c r="P2274" i="6" s="1"/>
  <c r="U2274" i="6" s="1"/>
  <c r="V2274" i="6" s="1"/>
  <c r="O2262" i="6"/>
  <c r="P2262" i="6" s="1"/>
  <c r="U2262" i="6" s="1"/>
  <c r="V2262" i="6" s="1"/>
  <c r="O2216" i="6"/>
  <c r="P2216" i="6" s="1"/>
  <c r="U2216" i="6" s="1"/>
  <c r="V2216" i="6" s="1"/>
  <c r="O2181" i="6"/>
  <c r="P2181" i="6" s="1"/>
  <c r="U2181" i="6" s="1"/>
  <c r="V2181" i="6" s="1"/>
  <c r="N2155" i="6"/>
  <c r="P2155" i="6" s="1"/>
  <c r="U2155" i="6" s="1"/>
  <c r="V2155" i="6" s="1"/>
  <c r="O2050" i="6"/>
  <c r="P2050" i="6" s="1"/>
  <c r="U2050" i="6" s="1"/>
  <c r="V2050" i="6" s="1"/>
  <c r="O2045" i="6"/>
  <c r="P2045" i="6" s="1"/>
  <c r="U2045" i="6" s="1"/>
  <c r="V2045" i="6" s="1"/>
  <c r="O2020" i="6"/>
  <c r="P2020" i="6" s="1"/>
  <c r="U2020" i="6" s="1"/>
  <c r="V2020" i="6" s="1"/>
  <c r="O1836" i="6"/>
  <c r="O1690" i="6"/>
  <c r="P1690" i="6" s="1"/>
  <c r="U1690" i="6" s="1"/>
  <c r="V1690" i="6" s="1"/>
  <c r="O1607" i="6"/>
  <c r="P1607" i="6" s="1"/>
  <c r="U1607" i="6" s="1"/>
  <c r="V1607" i="6" s="1"/>
  <c r="O1606" i="6"/>
  <c r="P1606" i="6" s="1"/>
  <c r="O1073" i="6"/>
  <c r="P1073" i="6" s="1"/>
  <c r="U1073" i="6" s="1"/>
  <c r="V1073" i="6" s="1"/>
  <c r="O1079" i="6"/>
  <c r="P1079" i="6" s="1"/>
  <c r="U1079" i="6" s="1"/>
  <c r="V1079" i="6" s="1"/>
  <c r="O1080" i="6"/>
  <c r="P1080" i="6" s="1"/>
  <c r="U1080" i="6" s="1"/>
  <c r="V1080" i="6" s="1"/>
  <c r="O1074" i="6"/>
  <c r="P1074" i="6" s="1"/>
  <c r="U1074" i="6" s="1"/>
  <c r="V1074" i="6" s="1"/>
  <c r="O662" i="6"/>
  <c r="P662" i="6" s="1"/>
  <c r="U662" i="6" s="1"/>
  <c r="V662" i="6" s="1"/>
  <c r="O664" i="6"/>
  <c r="P664" i="6" s="1"/>
  <c r="U664" i="6" s="1"/>
  <c r="V664" i="6" s="1"/>
  <c r="O666" i="6"/>
  <c r="P666" i="6" s="1"/>
  <c r="U666" i="6" s="1"/>
  <c r="O663" i="6"/>
  <c r="P663" i="6" s="1"/>
  <c r="U663" i="6" s="1"/>
  <c r="V663" i="6" s="1"/>
  <c r="O669" i="6"/>
  <c r="P669" i="6" s="1"/>
  <c r="U669" i="6" s="1"/>
  <c r="V669" i="6" s="1"/>
  <c r="O660" i="6"/>
  <c r="P660" i="6" s="1"/>
  <c r="U660" i="6" s="1"/>
  <c r="V660" i="6" s="1"/>
  <c r="O671" i="6"/>
  <c r="P671" i="6" s="1"/>
  <c r="N3609" i="6"/>
  <c r="P3609" i="6" s="1"/>
  <c r="U3609" i="6" s="1"/>
  <c r="V3609" i="6" s="1"/>
  <c r="N3413" i="6"/>
  <c r="P3413" i="6" s="1"/>
  <c r="O3315" i="6"/>
  <c r="P3315" i="6" s="1"/>
  <c r="U3315" i="6" s="1"/>
  <c r="V3315" i="6" s="1"/>
  <c r="O3240" i="6"/>
  <c r="P3240" i="6" s="1"/>
  <c r="U3240" i="6" s="1"/>
  <c r="V3240" i="6" s="1"/>
  <c r="O3198" i="6"/>
  <c r="P3198" i="6" s="1"/>
  <c r="U3198" i="6" s="1"/>
  <c r="V3198" i="6" s="1"/>
  <c r="O3076" i="6"/>
  <c r="P3076" i="6" s="1"/>
  <c r="U3076" i="6" s="1"/>
  <c r="V3076" i="6" s="1"/>
  <c r="O3003" i="6"/>
  <c r="P3003" i="6" s="1"/>
  <c r="U3003" i="6" s="1"/>
  <c r="O2969" i="6"/>
  <c r="P2969" i="6" s="1"/>
  <c r="U2969" i="6" s="1"/>
  <c r="V2969" i="6" s="1"/>
  <c r="O2936" i="6"/>
  <c r="P2936" i="6" s="1"/>
  <c r="U2936" i="6" s="1"/>
  <c r="V2936" i="6" s="1"/>
  <c r="O2922" i="6"/>
  <c r="P2922" i="6" s="1"/>
  <c r="U2922" i="6" s="1"/>
  <c r="V2922" i="6" s="1"/>
  <c r="O2914" i="6"/>
  <c r="P2914" i="6" s="1"/>
  <c r="U2914" i="6" s="1"/>
  <c r="O2901" i="6"/>
  <c r="P2901" i="6" s="1"/>
  <c r="U2901" i="6" s="1"/>
  <c r="O2889" i="6"/>
  <c r="P2889" i="6" s="1"/>
  <c r="U2889" i="6" s="1"/>
  <c r="V2889" i="6" s="1"/>
  <c r="O2887" i="6"/>
  <c r="P2887" i="6" s="1"/>
  <c r="U2887" i="6" s="1"/>
  <c r="V2887" i="6" s="1"/>
  <c r="O2866" i="6"/>
  <c r="P2866" i="6" s="1"/>
  <c r="U2866" i="6" s="1"/>
  <c r="V2866" i="6" s="1"/>
  <c r="O2847" i="6"/>
  <c r="P2847" i="6" s="1"/>
  <c r="U2847" i="6" s="1"/>
  <c r="O2838" i="6"/>
  <c r="P2838" i="6" s="1"/>
  <c r="U2838" i="6" s="1"/>
  <c r="V2838" i="6" s="1"/>
  <c r="O2740" i="6"/>
  <c r="P2740" i="6" s="1"/>
  <c r="U2740" i="6" s="1"/>
  <c r="V2740" i="6" s="1"/>
  <c r="O2730" i="6"/>
  <c r="P2730" i="6" s="1"/>
  <c r="U2730" i="6" s="1"/>
  <c r="V2730" i="6" s="1"/>
  <c r="O2717" i="6"/>
  <c r="P2717" i="6" s="1"/>
  <c r="U2717" i="6" s="1"/>
  <c r="V2717" i="6" s="1"/>
  <c r="O2679" i="6"/>
  <c r="P2679" i="6" s="1"/>
  <c r="U2679" i="6" s="1"/>
  <c r="V2679" i="6" s="1"/>
  <c r="O2512" i="6"/>
  <c r="P2512" i="6" s="1"/>
  <c r="U2512" i="6" s="1"/>
  <c r="V2512" i="6" s="1"/>
  <c r="O2499" i="6"/>
  <c r="P2499" i="6" s="1"/>
  <c r="U2499" i="6" s="1"/>
  <c r="V2499" i="6" s="1"/>
  <c r="O2484" i="6"/>
  <c r="P2484" i="6" s="1"/>
  <c r="O2420" i="6"/>
  <c r="P2420" i="6" s="1"/>
  <c r="U2420" i="6" s="1"/>
  <c r="V2420" i="6" s="1"/>
  <c r="O2406" i="6"/>
  <c r="P2406" i="6" s="1"/>
  <c r="U2406" i="6" s="1"/>
  <c r="V2406" i="6" s="1"/>
  <c r="O2395" i="6"/>
  <c r="P2395" i="6" s="1"/>
  <c r="U2395" i="6" s="1"/>
  <c r="V2395" i="6" s="1"/>
  <c r="O2386" i="6"/>
  <c r="P2386" i="6" s="1"/>
  <c r="U2386" i="6" s="1"/>
  <c r="V2386" i="6" s="1"/>
  <c r="O2360" i="6"/>
  <c r="P2360" i="6" s="1"/>
  <c r="U2360" i="6" s="1"/>
  <c r="V2360" i="6" s="1"/>
  <c r="O2341" i="6"/>
  <c r="P2341" i="6" s="1"/>
  <c r="U2341" i="6" s="1"/>
  <c r="V2341" i="6" s="1"/>
  <c r="N2339" i="6"/>
  <c r="P2339" i="6" s="1"/>
  <c r="U2339" i="6" s="1"/>
  <c r="V2339" i="6" s="1"/>
  <c r="O2311" i="6"/>
  <c r="P2311" i="6" s="1"/>
  <c r="U2311" i="6" s="1"/>
  <c r="V2311" i="6" s="1"/>
  <c r="O2305" i="6"/>
  <c r="P2305" i="6" s="1"/>
  <c r="U2305" i="6" s="1"/>
  <c r="V2305" i="6" s="1"/>
  <c r="N2286" i="6"/>
  <c r="P2286" i="6" s="1"/>
  <c r="U2286" i="6" s="1"/>
  <c r="V2286" i="6" s="1"/>
  <c r="O2253" i="6"/>
  <c r="P2253" i="6" s="1"/>
  <c r="U2253" i="6" s="1"/>
  <c r="V2253" i="6" s="1"/>
  <c r="O2213" i="6"/>
  <c r="P2213" i="6" s="1"/>
  <c r="U2213" i="6" s="1"/>
  <c r="V2213" i="6" s="1"/>
  <c r="O2205" i="6"/>
  <c r="P2205" i="6" s="1"/>
  <c r="U2205" i="6" s="1"/>
  <c r="V2205" i="6" s="1"/>
  <c r="O2192" i="6"/>
  <c r="P2192" i="6" s="1"/>
  <c r="U2192" i="6" s="1"/>
  <c r="V2192" i="6" s="1"/>
  <c r="O2188" i="6"/>
  <c r="P2188" i="6" s="1"/>
  <c r="U2188" i="6" s="1"/>
  <c r="V2188" i="6" s="1"/>
  <c r="O2092" i="6"/>
  <c r="P2092" i="6" s="1"/>
  <c r="U2092" i="6" s="1"/>
  <c r="V2092" i="6" s="1"/>
  <c r="O2057" i="6"/>
  <c r="P2057" i="6" s="1"/>
  <c r="U2057" i="6" s="1"/>
  <c r="O2049" i="6"/>
  <c r="P2049" i="6" s="1"/>
  <c r="U2049" i="6" s="1"/>
  <c r="V2049" i="6" s="1"/>
  <c r="O2044" i="6"/>
  <c r="P2044" i="6" s="1"/>
  <c r="O2016" i="6"/>
  <c r="P2016" i="6" s="1"/>
  <c r="U2016" i="6" s="1"/>
  <c r="V2016" i="6" s="1"/>
  <c r="O1847" i="6"/>
  <c r="O1853" i="6"/>
  <c r="O1806" i="6"/>
  <c r="P1806" i="6" s="1"/>
  <c r="U1806" i="6" s="1"/>
  <c r="V1806" i="6" s="1"/>
  <c r="O1687" i="6"/>
  <c r="P1687" i="6" s="1"/>
  <c r="U1687" i="6" s="1"/>
  <c r="V1687" i="6" s="1"/>
  <c r="O1670" i="6"/>
  <c r="O1673" i="6"/>
  <c r="O1678" i="6"/>
  <c r="O1439" i="6"/>
  <c r="O3088" i="6"/>
  <c r="P3088" i="6" s="1"/>
  <c r="U3088" i="6" s="1"/>
  <c r="V3088" i="6" s="1"/>
  <c r="O2900" i="6"/>
  <c r="P2900" i="6" s="1"/>
  <c r="U2900" i="6" s="1"/>
  <c r="V2900" i="6" s="1"/>
  <c r="O2728" i="6"/>
  <c r="P2728" i="6" s="1"/>
  <c r="U2728" i="6" s="1"/>
  <c r="V2728" i="6" s="1"/>
  <c r="O2419" i="6"/>
  <c r="P2419" i="6" s="1"/>
  <c r="U2419" i="6" s="1"/>
  <c r="V2419" i="6" s="1"/>
  <c r="O2359" i="6"/>
  <c r="P2359" i="6" s="1"/>
  <c r="U2359" i="6" s="1"/>
  <c r="V2359" i="6" s="1"/>
  <c r="O2323" i="6"/>
  <c r="P2323" i="6" s="1"/>
  <c r="U2323" i="6" s="1"/>
  <c r="V2323" i="6" s="1"/>
  <c r="O2222" i="6"/>
  <c r="P2222" i="6" s="1"/>
  <c r="U2222" i="6" s="1"/>
  <c r="V2222" i="6" s="1"/>
  <c r="O2115" i="6"/>
  <c r="P2115" i="6" s="1"/>
  <c r="U2115" i="6" s="1"/>
  <c r="V2115" i="6" s="1"/>
  <c r="O2091" i="6"/>
  <c r="P2091" i="6" s="1"/>
  <c r="O2012" i="6"/>
  <c r="P2012" i="6" s="1"/>
  <c r="U2012" i="6" s="1"/>
  <c r="O1834" i="6"/>
  <c r="O1629" i="6"/>
  <c r="P1629" i="6" s="1"/>
  <c r="U1629" i="6" s="1"/>
  <c r="V1629" i="6" s="1"/>
  <c r="O1633" i="6"/>
  <c r="P1633" i="6" s="1"/>
  <c r="U1633" i="6" s="1"/>
  <c r="V1633" i="6" s="1"/>
  <c r="O1504" i="6"/>
  <c r="P1504" i="6" s="1"/>
  <c r="U1504" i="6" s="1"/>
  <c r="V1504" i="6" s="1"/>
  <c r="O1503" i="6"/>
  <c r="P1503" i="6" s="1"/>
  <c r="U1503" i="6" s="1"/>
  <c r="V1503" i="6" s="1"/>
  <c r="O1435" i="6"/>
  <c r="O486" i="6"/>
  <c r="P486" i="6" s="1"/>
  <c r="U486" i="6" s="1"/>
  <c r="V486" i="6" s="1"/>
  <c r="O392" i="6"/>
  <c r="P392" i="6" s="1"/>
  <c r="U392" i="6" s="1"/>
  <c r="V392" i="6" s="1"/>
  <c r="O386" i="6"/>
  <c r="P386" i="6" s="1"/>
  <c r="U386" i="6" s="1"/>
  <c r="O380" i="6"/>
  <c r="P380" i="6" s="1"/>
  <c r="U380" i="6" s="1"/>
  <c r="O313" i="6"/>
  <c r="P313" i="6" s="1"/>
  <c r="U313" i="6" s="1"/>
  <c r="V313" i="6" s="1"/>
  <c r="O309" i="6"/>
  <c r="P309" i="6" s="1"/>
  <c r="U309" i="6" s="1"/>
  <c r="V309" i="6" s="1"/>
  <c r="M4836" i="6"/>
  <c r="M4830" i="6"/>
  <c r="N1194" i="6"/>
  <c r="P1194" i="6" s="1"/>
  <c r="O901" i="6"/>
  <c r="P901" i="6" s="1"/>
  <c r="U901" i="6" s="1"/>
  <c r="V901" i="6" s="1"/>
  <c r="O894" i="6"/>
  <c r="P894" i="6" s="1"/>
  <c r="U894" i="6" s="1"/>
  <c r="V894" i="6" s="1"/>
  <c r="O887" i="6"/>
  <c r="P887" i="6" s="1"/>
  <c r="U887" i="6" s="1"/>
  <c r="V887" i="6" s="1"/>
  <c r="O539" i="6"/>
  <c r="P539" i="6" s="1"/>
  <c r="U539" i="6" s="1"/>
  <c r="V539" i="6" s="1"/>
  <c r="O533" i="6"/>
  <c r="P533" i="6" s="1"/>
  <c r="U533" i="6" s="1"/>
  <c r="V533" i="6" s="1"/>
  <c r="O527" i="6"/>
  <c r="P527" i="6" s="1"/>
  <c r="U527" i="6" s="1"/>
  <c r="V527" i="6" s="1"/>
  <c r="N500" i="6"/>
  <c r="P500" i="6" s="1"/>
  <c r="U500" i="6" s="1"/>
  <c r="O391" i="6"/>
  <c r="P391" i="6" s="1"/>
  <c r="U391" i="6" s="1"/>
  <c r="O385" i="6"/>
  <c r="P385" i="6" s="1"/>
  <c r="U385" i="6" s="1"/>
  <c r="O379" i="6"/>
  <c r="P379" i="6" s="1"/>
  <c r="O320" i="6"/>
  <c r="P320" i="6" s="1"/>
  <c r="U320" i="6" s="1"/>
  <c r="O316" i="6"/>
  <c r="P316" i="6" s="1"/>
  <c r="U316" i="6" s="1"/>
  <c r="V316" i="6" s="1"/>
  <c r="O308" i="6"/>
  <c r="P308" i="6" s="1"/>
  <c r="U308" i="6" s="1"/>
  <c r="V308" i="6" s="1"/>
  <c r="O25" i="6"/>
  <c r="P25" i="6" s="1"/>
  <c r="U25" i="6" s="1"/>
  <c r="V25" i="6" s="1"/>
  <c r="N1599" i="6"/>
  <c r="P1599" i="6" s="1"/>
  <c r="U1599" i="6" s="1"/>
  <c r="V1599" i="6" s="1"/>
  <c r="O1542" i="6"/>
  <c r="P1542" i="6" s="1"/>
  <c r="U1542" i="6" s="1"/>
  <c r="V1542" i="6" s="1"/>
  <c r="O1536" i="6"/>
  <c r="P1536" i="6" s="1"/>
  <c r="O1018" i="6"/>
  <c r="P1018" i="6" s="1"/>
  <c r="U1018" i="6" s="1"/>
  <c r="V1018" i="6" s="1"/>
  <c r="N984" i="6"/>
  <c r="P984" i="6" s="1"/>
  <c r="N981" i="6"/>
  <c r="P981" i="6" s="1"/>
  <c r="O954" i="6"/>
  <c r="P954" i="6" s="1"/>
  <c r="U954" i="6" s="1"/>
  <c r="V954" i="6" s="1"/>
  <c r="O948" i="6"/>
  <c r="P948" i="6" s="1"/>
  <c r="U948" i="6" s="1"/>
  <c r="V948" i="6" s="1"/>
  <c r="O899" i="6"/>
  <c r="P899" i="6" s="1"/>
  <c r="U899" i="6" s="1"/>
  <c r="V899" i="6" s="1"/>
  <c r="O892" i="6"/>
  <c r="P892" i="6" s="1"/>
  <c r="U892" i="6" s="1"/>
  <c r="V892" i="6" s="1"/>
  <c r="O884" i="6"/>
  <c r="P884" i="6" s="1"/>
  <c r="U884" i="6" s="1"/>
  <c r="V884" i="6" s="1"/>
  <c r="O880" i="6"/>
  <c r="P880" i="6" s="1"/>
  <c r="U880" i="6" s="1"/>
  <c r="V880" i="6" s="1"/>
  <c r="O796" i="6"/>
  <c r="P796" i="6" s="1"/>
  <c r="U796" i="6" s="1"/>
  <c r="V796" i="6" s="1"/>
  <c r="O585" i="6"/>
  <c r="P585" i="6" s="1"/>
  <c r="U585" i="6" s="1"/>
  <c r="V585" i="6" s="1"/>
  <c r="O548" i="6"/>
  <c r="P548" i="6" s="1"/>
  <c r="U548" i="6" s="1"/>
  <c r="V548" i="6" s="1"/>
  <c r="O537" i="6"/>
  <c r="P537" i="6" s="1"/>
  <c r="U537" i="6" s="1"/>
  <c r="V537" i="6" s="1"/>
  <c r="O531" i="6"/>
  <c r="P531" i="6" s="1"/>
  <c r="U531" i="6" s="1"/>
  <c r="V531" i="6" s="1"/>
  <c r="O525" i="6"/>
  <c r="P525" i="6" s="1"/>
  <c r="U525" i="6" s="1"/>
  <c r="V525" i="6" s="1"/>
  <c r="O478" i="6"/>
  <c r="P478" i="6" s="1"/>
  <c r="U478" i="6" s="1"/>
  <c r="V478" i="6" s="1"/>
  <c r="O458" i="6"/>
  <c r="P458" i="6" s="1"/>
  <c r="U458" i="6" s="1"/>
  <c r="V458" i="6" s="1"/>
  <c r="O451" i="6"/>
  <c r="P451" i="6" s="1"/>
  <c r="U451" i="6" s="1"/>
  <c r="V451" i="6" s="1"/>
  <c r="O442" i="6"/>
  <c r="P442" i="6" s="1"/>
  <c r="O446" i="6"/>
  <c r="P446" i="6" s="1"/>
  <c r="U446" i="6" s="1"/>
  <c r="V446" i="6" s="1"/>
  <c r="O389" i="6"/>
  <c r="P389" i="6" s="1"/>
  <c r="U389" i="6" s="1"/>
  <c r="V389" i="6" s="1"/>
  <c r="O383" i="6"/>
  <c r="P383" i="6" s="1"/>
  <c r="U383" i="6" s="1"/>
  <c r="V383" i="6" s="1"/>
  <c r="O335" i="6"/>
  <c r="P335" i="6" s="1"/>
  <c r="U335" i="6" s="1"/>
  <c r="O328" i="6"/>
  <c r="P328" i="6" s="1"/>
  <c r="U328" i="6" s="1"/>
  <c r="V328" i="6" s="1"/>
  <c r="O318" i="6"/>
  <c r="P318" i="6" s="1"/>
  <c r="U318" i="6" s="1"/>
  <c r="V318" i="6" s="1"/>
  <c r="O297" i="6"/>
  <c r="P297" i="6" s="1"/>
  <c r="U297" i="6" s="1"/>
  <c r="V297" i="6" s="1"/>
  <c r="O291" i="6"/>
  <c r="P291" i="6" s="1"/>
  <c r="O23" i="6"/>
  <c r="P23" i="6" s="1"/>
  <c r="N1155" i="6"/>
  <c r="P1155" i="6" s="1"/>
  <c r="O1032" i="6"/>
  <c r="P1032" i="6" s="1"/>
  <c r="U1032" i="6" s="1"/>
  <c r="V1032" i="6" s="1"/>
  <c r="O1024" i="6"/>
  <c r="P1024" i="6" s="1"/>
  <c r="U1024" i="6" s="1"/>
  <c r="V1024" i="6" s="1"/>
  <c r="O953" i="6"/>
  <c r="P953" i="6" s="1"/>
  <c r="U953" i="6" s="1"/>
  <c r="V953" i="6" s="1"/>
  <c r="O947" i="6"/>
  <c r="P947" i="6" s="1"/>
  <c r="O898" i="6"/>
  <c r="P898" i="6" s="1"/>
  <c r="U898" i="6" s="1"/>
  <c r="V898" i="6" s="1"/>
  <c r="O890" i="6"/>
  <c r="P890" i="6" s="1"/>
  <c r="O883" i="6"/>
  <c r="P883" i="6" s="1"/>
  <c r="U883" i="6" s="1"/>
  <c r="O877" i="6"/>
  <c r="P877" i="6" s="1"/>
  <c r="U877" i="6" s="1"/>
  <c r="V877" i="6" s="1"/>
  <c r="O656" i="6"/>
  <c r="P656" i="6" s="1"/>
  <c r="U656" i="6" s="1"/>
  <c r="V656" i="6" s="1"/>
  <c r="O536" i="6"/>
  <c r="P536" i="6" s="1"/>
  <c r="U536" i="6" s="1"/>
  <c r="V536" i="6" s="1"/>
  <c r="O530" i="6"/>
  <c r="P530" i="6" s="1"/>
  <c r="U530" i="6" s="1"/>
  <c r="V530" i="6" s="1"/>
  <c r="O524" i="6"/>
  <c r="P524" i="6" s="1"/>
  <c r="O457" i="6"/>
  <c r="P457" i="6" s="1"/>
  <c r="U457" i="6" s="1"/>
  <c r="V457" i="6" s="1"/>
  <c r="O450" i="6"/>
  <c r="P450" i="6" s="1"/>
  <c r="U450" i="6" s="1"/>
  <c r="V450" i="6" s="1"/>
  <c r="O388" i="6"/>
  <c r="P388" i="6" s="1"/>
  <c r="U388" i="6" s="1"/>
  <c r="V388" i="6" s="1"/>
  <c r="O382" i="6"/>
  <c r="P382" i="6" s="1"/>
  <c r="U382" i="6" s="1"/>
  <c r="V382" i="6" s="1"/>
  <c r="N371" i="6"/>
  <c r="P371" i="6" s="1"/>
  <c r="U371" i="6" s="1"/>
  <c r="V371" i="6" s="1"/>
  <c r="O315" i="6"/>
  <c r="P315" i="6" s="1"/>
  <c r="U315" i="6" s="1"/>
  <c r="V315" i="6" s="1"/>
  <c r="O311" i="6"/>
  <c r="P311" i="6" s="1"/>
  <c r="U311" i="6" s="1"/>
  <c r="V311" i="6" s="1"/>
  <c r="O307" i="6"/>
  <c r="P307" i="6" s="1"/>
  <c r="U307" i="6" s="1"/>
  <c r="V307" i="6" s="1"/>
  <c r="O20" i="6"/>
  <c r="P20" i="6" s="1"/>
  <c r="U20" i="6" s="1"/>
  <c r="V20" i="6" s="1"/>
  <c r="N1874" i="6"/>
  <c r="P1874" i="6" s="1"/>
  <c r="U1874" i="6" s="1"/>
  <c r="V1874" i="6" s="1"/>
  <c r="N1805" i="6"/>
  <c r="P1805" i="6" s="1"/>
  <c r="N1237" i="6"/>
  <c r="P1237" i="6" s="1"/>
  <c r="N1222" i="6"/>
  <c r="P1222" i="6" s="1"/>
  <c r="U1222" i="6" s="1"/>
  <c r="V1222" i="6" s="1"/>
  <c r="O1031" i="6"/>
  <c r="P1031" i="6" s="1"/>
  <c r="U1031" i="6" s="1"/>
  <c r="V1031" i="6" s="1"/>
  <c r="O952" i="6"/>
  <c r="P952" i="6" s="1"/>
  <c r="U952" i="6" s="1"/>
  <c r="V952" i="6" s="1"/>
  <c r="O896" i="6"/>
  <c r="P896" i="6" s="1"/>
  <c r="U896" i="6" s="1"/>
  <c r="V896" i="6" s="1"/>
  <c r="O889" i="6"/>
  <c r="P889" i="6" s="1"/>
  <c r="U889" i="6" s="1"/>
  <c r="V889" i="6" s="1"/>
  <c r="O535" i="6"/>
  <c r="P535" i="6" s="1"/>
  <c r="U535" i="6" s="1"/>
  <c r="V535" i="6" s="1"/>
  <c r="O529" i="6"/>
  <c r="P529" i="6" s="1"/>
  <c r="U529" i="6" s="1"/>
  <c r="V529" i="6" s="1"/>
  <c r="O456" i="6"/>
  <c r="P456" i="6" s="1"/>
  <c r="U456" i="6" s="1"/>
  <c r="V456" i="6" s="1"/>
  <c r="O447" i="6"/>
  <c r="P447" i="6" s="1"/>
  <c r="U447" i="6" s="1"/>
  <c r="V447" i="6" s="1"/>
  <c r="O393" i="6"/>
  <c r="P393" i="6" s="1"/>
  <c r="U393" i="6" s="1"/>
  <c r="O387" i="6"/>
  <c r="P387" i="6" s="1"/>
  <c r="U387" i="6" s="1"/>
  <c r="N208" i="6"/>
  <c r="P208" i="6" s="1"/>
  <c r="P6043" i="6"/>
  <c r="U6043" i="6" s="1"/>
  <c r="P6045" i="6"/>
  <c r="U6045" i="6" s="1"/>
  <c r="P6049" i="6"/>
  <c r="U6049" i="6" s="1"/>
  <c r="P6055" i="6"/>
  <c r="U6055" i="6" s="1"/>
  <c r="P5967" i="6"/>
  <c r="U5967" i="6" s="1"/>
  <c r="P5973" i="6"/>
  <c r="U5973" i="6" s="1"/>
  <c r="P5979" i="6"/>
  <c r="U5979" i="6" s="1"/>
  <c r="P5985" i="6"/>
  <c r="U5985" i="6" s="1"/>
  <c r="P5991" i="6"/>
  <c r="U5991" i="6" s="1"/>
  <c r="P5997" i="6"/>
  <c r="U5997" i="6" s="1"/>
  <c r="P6003" i="6"/>
  <c r="U6003" i="6" s="1"/>
  <c r="P6009" i="6"/>
  <c r="U6009" i="6" s="1"/>
  <c r="P6015" i="6"/>
  <c r="U6015" i="6" s="1"/>
  <c r="P6021" i="6"/>
  <c r="U6021" i="6" s="1"/>
  <c r="P6027" i="6"/>
  <c r="U6027" i="6" s="1"/>
  <c r="P6034" i="6"/>
  <c r="U6034" i="6" s="1"/>
  <c r="P5978" i="6"/>
  <c r="U5978" i="6" s="1"/>
  <c r="P5984" i="6"/>
  <c r="U5984" i="6" s="1"/>
  <c r="P5996" i="6"/>
  <c r="U5996" i="6" s="1"/>
  <c r="P6046" i="6"/>
  <c r="U6046" i="6" s="1"/>
  <c r="P6052" i="6"/>
  <c r="U6052" i="6" s="1"/>
  <c r="P5958" i="6"/>
  <c r="U5958" i="6" s="1"/>
  <c r="P5964" i="6"/>
  <c r="U5964" i="6" s="1"/>
  <c r="P5970" i="6"/>
  <c r="U5970" i="6" s="1"/>
  <c r="P5976" i="6"/>
  <c r="U5976" i="6" s="1"/>
  <c r="P5982" i="6"/>
  <c r="U5982" i="6" s="1"/>
  <c r="P5988" i="6"/>
  <c r="U5988" i="6" s="1"/>
  <c r="P5994" i="6"/>
  <c r="U5994" i="6" s="1"/>
  <c r="P6000" i="6"/>
  <c r="U6000" i="6" s="1"/>
  <c r="P6006" i="6"/>
  <c r="U6006" i="6" s="1"/>
  <c r="P6012" i="6"/>
  <c r="U6012" i="6" s="1"/>
  <c r="P6018" i="6"/>
  <c r="U6018" i="6" s="1"/>
  <c r="P6024" i="6"/>
  <c r="U6024" i="6" s="1"/>
  <c r="P6030" i="6"/>
  <c r="U6030" i="6" s="1"/>
  <c r="P6031" i="6"/>
  <c r="U6031" i="6" s="1"/>
  <c r="P6037" i="6"/>
  <c r="U6037" i="6" s="1"/>
  <c r="P6079" i="6"/>
  <c r="U6079" i="6" s="1"/>
  <c r="P6081" i="6"/>
  <c r="U6081" i="6" s="1"/>
  <c r="P6083" i="6"/>
  <c r="U6083" i="6" s="1"/>
  <c r="P6085" i="6"/>
  <c r="U6085" i="6" s="1"/>
  <c r="P6087" i="6"/>
  <c r="U6087" i="6" s="1"/>
  <c r="P6089" i="6"/>
  <c r="U6089" i="6" s="1"/>
  <c r="P6091" i="6"/>
  <c r="U6091" i="6" s="1"/>
  <c r="P6093" i="6"/>
  <c r="U6093" i="6" s="1"/>
  <c r="P6095" i="6"/>
  <c r="U6095" i="6" s="1"/>
  <c r="P6119" i="6"/>
  <c r="U6119" i="6" s="1"/>
  <c r="P6118" i="6"/>
  <c r="U6118" i="6" s="1"/>
  <c r="P6231" i="6"/>
  <c r="U6231" i="6" s="1"/>
  <c r="U4211" i="6"/>
  <c r="M592" i="14"/>
  <c r="R592" i="14" s="1"/>
  <c r="U4098" i="6"/>
  <c r="M577" i="14"/>
  <c r="R577" i="14" s="1"/>
  <c r="U4046" i="6"/>
  <c r="M567" i="14"/>
  <c r="R567" i="14" s="1"/>
  <c r="U3340" i="6"/>
  <c r="O450" i="14"/>
  <c r="U3067" i="6"/>
  <c r="M433" i="14"/>
  <c r="R433" i="14" s="1"/>
  <c r="U4492" i="6"/>
  <c r="M628" i="14"/>
  <c r="R628" i="14" s="1"/>
  <c r="U4091" i="6"/>
  <c r="M573" i="14"/>
  <c r="R573" i="14" s="1"/>
  <c r="U3735" i="6"/>
  <c r="M524" i="14"/>
  <c r="R524" i="14" s="1"/>
  <c r="M611" i="14"/>
  <c r="R611" i="14" s="1"/>
  <c r="U5411" i="6"/>
  <c r="M740" i="14"/>
  <c r="R740" i="14" s="1"/>
  <c r="U4050" i="6"/>
  <c r="M568" i="14"/>
  <c r="R568" i="14" s="1"/>
  <c r="O558" i="14"/>
  <c r="P558" i="14" s="1"/>
  <c r="U3943" i="6"/>
  <c r="M551" i="14"/>
  <c r="R551" i="14" s="1"/>
  <c r="V4369" i="6"/>
  <c r="O608" i="14"/>
  <c r="V5662" i="6"/>
  <c r="U4096" i="6"/>
  <c r="M576" i="14"/>
  <c r="R576" i="14" s="1"/>
  <c r="O535" i="14"/>
  <c r="V3945" i="6"/>
  <c r="V3801" i="6"/>
  <c r="M523" i="14"/>
  <c r="M648" i="14"/>
  <c r="M578" i="14"/>
  <c r="P578" i="14" s="1"/>
  <c r="M782" i="14"/>
  <c r="R782" i="14" s="1"/>
  <c r="M552" i="14"/>
  <c r="R552" i="14" s="1"/>
  <c r="V4582" i="6"/>
  <c r="U4544" i="6"/>
  <c r="M636" i="14"/>
  <c r="R636" i="14" s="1"/>
  <c r="M535" i="14"/>
  <c r="R535" i="14" s="1"/>
  <c r="Q755" i="14"/>
  <c r="M498" i="14"/>
  <c r="R498" i="14" s="1"/>
  <c r="O555" i="14"/>
  <c r="M444" i="14"/>
  <c r="R444" i="14" s="1"/>
  <c r="M608" i="14"/>
  <c r="R608" i="14" s="1"/>
  <c r="M658" i="14"/>
  <c r="R658" i="14" s="1"/>
  <c r="O580" i="14"/>
  <c r="U5540" i="6"/>
  <c r="O761" i="14" s="1"/>
  <c r="M761" i="14"/>
  <c r="R761" i="14" s="1"/>
  <c r="M719" i="14"/>
  <c r="R719" i="14" s="1"/>
  <c r="M583" i="14"/>
  <c r="P583" i="14" s="1"/>
  <c r="O498" i="14"/>
  <c r="O484" i="14"/>
  <c r="O697" i="14"/>
  <c r="O607" i="14"/>
  <c r="M468" i="14"/>
  <c r="R468" i="14" s="1"/>
  <c r="M610" i="14"/>
  <c r="R610" i="14" s="1"/>
  <c r="M556" i="14"/>
  <c r="M582" i="14"/>
  <c r="R582" i="14" s="1"/>
  <c r="M555" i="14"/>
  <c r="R555" i="14" s="1"/>
  <c r="M484" i="14"/>
  <c r="J253" i="14"/>
  <c r="J218" i="14"/>
  <c r="H218" i="14" s="1"/>
  <c r="O1608" i="6" s="1"/>
  <c r="N5888" i="6"/>
  <c r="P5888" i="6" s="1"/>
  <c r="U5888" i="6" s="1"/>
  <c r="J171" i="14"/>
  <c r="N1291" i="6" s="1"/>
  <c r="O4190" i="6"/>
  <c r="P4190" i="6" s="1"/>
  <c r="U4190" i="6" s="1"/>
  <c r="V4190" i="6" s="1"/>
  <c r="O4398" i="6"/>
  <c r="P4398" i="6" s="1"/>
  <c r="U4398" i="6" s="1"/>
  <c r="V4398" i="6" s="1"/>
  <c r="O4005" i="6"/>
  <c r="P4005" i="6" s="1"/>
  <c r="U4005" i="6" s="1"/>
  <c r="J236" i="14"/>
  <c r="Q236" i="14" s="1"/>
  <c r="O4187" i="6"/>
  <c r="P4187" i="6" s="1"/>
  <c r="U4187" i="6" s="1"/>
  <c r="P2202" i="6"/>
  <c r="U2202" i="6" s="1"/>
  <c r="V2202" i="6" s="1"/>
  <c r="J254" i="14"/>
  <c r="J237" i="14"/>
  <c r="N1757" i="6" s="1"/>
  <c r="J143" i="14"/>
  <c r="J128" i="14"/>
  <c r="N1006" i="6" s="1"/>
  <c r="P511" i="6"/>
  <c r="O3300" i="6"/>
  <c r="P3300" i="6" s="1"/>
  <c r="U3300" i="6" s="1"/>
  <c r="V3300" i="6" s="1"/>
  <c r="P2081" i="6"/>
  <c r="P2224" i="6"/>
  <c r="U2224" i="6" s="1"/>
  <c r="V2224" i="6" s="1"/>
  <c r="N5751" i="6"/>
  <c r="P5751" i="6" s="1"/>
  <c r="U5751" i="6" s="1"/>
  <c r="V5751" i="6" s="1"/>
  <c r="V4212" i="6"/>
  <c r="O4342" i="6"/>
  <c r="P4342" i="6" s="1"/>
  <c r="U4342" i="6" s="1"/>
  <c r="V4342" i="6" s="1"/>
  <c r="O3370" i="6"/>
  <c r="P3370" i="6" s="1"/>
  <c r="U3370" i="6" s="1"/>
  <c r="P4919" i="6"/>
  <c r="U4919" i="6" s="1"/>
  <c r="V4919" i="6" s="1"/>
  <c r="P4864" i="6"/>
  <c r="U4864" i="6" s="1"/>
  <c r="V4864" i="6" s="1"/>
  <c r="P4842" i="6"/>
  <c r="U4842" i="6" s="1"/>
  <c r="V4842" i="6" s="1"/>
  <c r="P4624" i="6"/>
  <c r="U4624" i="6" s="1"/>
  <c r="V4624" i="6" s="1"/>
  <c r="O4520" i="6"/>
  <c r="P4520" i="6" s="1"/>
  <c r="U4520" i="6" s="1"/>
  <c r="V4520" i="6" s="1"/>
  <c r="P3182" i="6"/>
  <c r="U3182" i="6" s="1"/>
  <c r="V3182" i="6" s="1"/>
  <c r="P2381" i="6"/>
  <c r="U2381" i="6" s="1"/>
  <c r="V2381" i="6" s="1"/>
  <c r="P2354" i="6"/>
  <c r="U2354" i="6" s="1"/>
  <c r="V2354" i="6" s="1"/>
  <c r="V3164" i="6"/>
  <c r="O446" i="14"/>
  <c r="O735" i="14"/>
  <c r="P2111" i="6"/>
  <c r="U2111" i="6" s="1"/>
  <c r="V2111" i="6" s="1"/>
  <c r="O2073" i="6"/>
  <c r="P2073" i="6" s="1"/>
  <c r="U2073" i="6" s="1"/>
  <c r="V2073" i="6" s="1"/>
  <c r="P2174" i="6"/>
  <c r="U2174" i="6" s="1"/>
  <c r="V2174" i="6" s="1"/>
  <c r="P2143" i="6"/>
  <c r="U2143" i="6" s="1"/>
  <c r="V2143" i="6" s="1"/>
  <c r="J168" i="14"/>
  <c r="N1240" i="6" s="1"/>
  <c r="J142" i="14"/>
  <c r="P2387" i="6"/>
  <c r="U2387" i="6" s="1"/>
  <c r="V2387" i="6" s="1"/>
  <c r="P2383" i="6"/>
  <c r="U2383" i="6" s="1"/>
  <c r="V2383" i="6" s="1"/>
  <c r="P5365" i="6"/>
  <c r="U5365" i="6" s="1"/>
  <c r="V5365" i="6" s="1"/>
  <c r="O3598" i="6"/>
  <c r="P3598" i="6" s="1"/>
  <c r="U3598" i="6" s="1"/>
  <c r="V3598" i="6" s="1"/>
  <c r="O3373" i="6"/>
  <c r="P3055" i="6"/>
  <c r="U3055" i="6" s="1"/>
  <c r="V3055" i="6" s="1"/>
  <c r="O2670" i="6"/>
  <c r="P2670" i="6" s="1"/>
  <c r="U2670" i="6" s="1"/>
  <c r="V2670" i="6" s="1"/>
  <c r="P1108" i="6"/>
  <c r="U1108" i="6" s="1"/>
  <c r="V1108" i="6" s="1"/>
  <c r="P847" i="6"/>
  <c r="P5477" i="6"/>
  <c r="U5477" i="6" s="1"/>
  <c r="V5477" i="6" s="1"/>
  <c r="P5408" i="6"/>
  <c r="U5408" i="6" s="1"/>
  <c r="P5319" i="6"/>
  <c r="U5319" i="6" s="1"/>
  <c r="V5319" i="6" s="1"/>
  <c r="P4306" i="6"/>
  <c r="U4306" i="6" s="1"/>
  <c r="V4306" i="6" s="1"/>
  <c r="P4296" i="6"/>
  <c r="U4296" i="6" s="1"/>
  <c r="V4296" i="6" s="1"/>
  <c r="P4293" i="6"/>
  <c r="U4293" i="6" s="1"/>
  <c r="P4287" i="6"/>
  <c r="U4287" i="6" s="1"/>
  <c r="P4284" i="6"/>
  <c r="U4284" i="6" s="1"/>
  <c r="V4284" i="6" s="1"/>
  <c r="P4281" i="6"/>
  <c r="U4281" i="6" s="1"/>
  <c r="V4281" i="6" s="1"/>
  <c r="P4278" i="6"/>
  <c r="U4278" i="6" s="1"/>
  <c r="V4278" i="6" s="1"/>
  <c r="O4244" i="6"/>
  <c r="P4244" i="6" s="1"/>
  <c r="U4244" i="6" s="1"/>
  <c r="V4244" i="6" s="1"/>
  <c r="O4183" i="6"/>
  <c r="P4183" i="6" s="1"/>
  <c r="U4183" i="6" s="1"/>
  <c r="V4183" i="6" s="1"/>
  <c r="O4002" i="6"/>
  <c r="P4002" i="6" s="1"/>
  <c r="U4002" i="6" s="1"/>
  <c r="V4002" i="6" s="1"/>
  <c r="O3998" i="6"/>
  <c r="P3998" i="6" s="1"/>
  <c r="U3998" i="6" s="1"/>
  <c r="V3998" i="6" s="1"/>
  <c r="O3690" i="6"/>
  <c r="P3690" i="6" s="1"/>
  <c r="U3690" i="6" s="1"/>
  <c r="V3690" i="6" s="1"/>
  <c r="P2537" i="6"/>
  <c r="U2537" i="6" s="1"/>
  <c r="V2537" i="6" s="1"/>
  <c r="P1072" i="6"/>
  <c r="U1072" i="6" s="1"/>
  <c r="V1072" i="6" s="1"/>
  <c r="J241" i="14"/>
  <c r="N1791" i="6" s="1"/>
  <c r="J159" i="14"/>
  <c r="P651" i="6"/>
  <c r="U651" i="6" s="1"/>
  <c r="V651" i="6" s="1"/>
  <c r="N5882" i="6"/>
  <c r="P5882" i="6" s="1"/>
  <c r="U5882" i="6" s="1"/>
  <c r="O485" i="14"/>
  <c r="P485" i="14" s="1"/>
  <c r="V3518" i="6"/>
  <c r="U3523" i="6"/>
  <c r="M489" i="14"/>
  <c r="R489" i="14" s="1"/>
  <c r="U2675" i="6"/>
  <c r="M390" i="14"/>
  <c r="R390" i="14" s="1"/>
  <c r="O377" i="14"/>
  <c r="V2535" i="6"/>
  <c r="U1983" i="6"/>
  <c r="M281" i="14"/>
  <c r="R281" i="14" s="1"/>
  <c r="U360" i="6"/>
  <c r="M35" i="14"/>
  <c r="R35" i="14" s="1"/>
  <c r="O782" i="14"/>
  <c r="M773" i="14"/>
  <c r="R773" i="14" s="1"/>
  <c r="P4663" i="6"/>
  <c r="U4663" i="6" s="1"/>
  <c r="V4663" i="6" s="1"/>
  <c r="P4139" i="6"/>
  <c r="U4139" i="6" s="1"/>
  <c r="V4139" i="6" s="1"/>
  <c r="O3533" i="6"/>
  <c r="P3533" i="6" s="1"/>
  <c r="O3381" i="6"/>
  <c r="P3381" i="6" s="1"/>
  <c r="U3381" i="6" s="1"/>
  <c r="V3381" i="6" s="1"/>
  <c r="O2671" i="6"/>
  <c r="P2671" i="6" s="1"/>
  <c r="O2668" i="6"/>
  <c r="P2668" i="6" s="1"/>
  <c r="U2668" i="6" s="1"/>
  <c r="V2668" i="6" s="1"/>
  <c r="P2472" i="6"/>
  <c r="U2472" i="6" s="1"/>
  <c r="V2472" i="6" s="1"/>
  <c r="P1451" i="6"/>
  <c r="U1451" i="6" s="1"/>
  <c r="V1451" i="6" s="1"/>
  <c r="P1445" i="6"/>
  <c r="U1445" i="6" s="1"/>
  <c r="V1445" i="6" s="1"/>
  <c r="P1442" i="6"/>
  <c r="U1442" i="6" s="1"/>
  <c r="V1442" i="6" s="1"/>
  <c r="N5689" i="6"/>
  <c r="P5689" i="6" s="1"/>
  <c r="U5689" i="6" s="1"/>
  <c r="V5689" i="6" s="1"/>
  <c r="O3686" i="6"/>
  <c r="P3686" i="6" s="1"/>
  <c r="U3686" i="6" s="1"/>
  <c r="V3686" i="6" s="1"/>
  <c r="P2858" i="6"/>
  <c r="U2858" i="6" s="1"/>
  <c r="V2858" i="6" s="1"/>
  <c r="P2842" i="6"/>
  <c r="U2842" i="6" s="1"/>
  <c r="V2842" i="6" s="1"/>
  <c r="P2797" i="6"/>
  <c r="U2797" i="6" s="1"/>
  <c r="V2797" i="6" s="1"/>
  <c r="P5620" i="6"/>
  <c r="U5620" i="6" s="1"/>
  <c r="V5620" i="6" s="1"/>
  <c r="M786" i="14"/>
  <c r="R786" i="14" s="1"/>
  <c r="P5019" i="6"/>
  <c r="U5019" i="6" s="1"/>
  <c r="V5019" i="6" s="1"/>
  <c r="P4946" i="6"/>
  <c r="U4946" i="6" s="1"/>
  <c r="V4946" i="6" s="1"/>
  <c r="P4640" i="6"/>
  <c r="U4640" i="6" s="1"/>
  <c r="P4630" i="6"/>
  <c r="U4630" i="6" s="1"/>
  <c r="V4630" i="6" s="1"/>
  <c r="P4627" i="6"/>
  <c r="U4627" i="6" s="1"/>
  <c r="V4627" i="6" s="1"/>
  <c r="O4514" i="6"/>
  <c r="P4514" i="6" s="1"/>
  <c r="U4514" i="6" s="1"/>
  <c r="V4514" i="6" s="1"/>
  <c r="O3547" i="6"/>
  <c r="P3547" i="6" s="1"/>
  <c r="U3547" i="6" s="1"/>
  <c r="V3547" i="6" s="1"/>
  <c r="O3333" i="6"/>
  <c r="P3333" i="6" s="1"/>
  <c r="U3333" i="6" s="1"/>
  <c r="V3333" i="6" s="1"/>
  <c r="P2516" i="6"/>
  <c r="U2516" i="6" s="1"/>
  <c r="V2516" i="6" s="1"/>
  <c r="P2489" i="6"/>
  <c r="U2489" i="6" s="1"/>
  <c r="V2489" i="6" s="1"/>
  <c r="P2460" i="6"/>
  <c r="U2460" i="6" s="1"/>
  <c r="V2460" i="6" s="1"/>
  <c r="P2450" i="6"/>
  <c r="U2450" i="6" s="1"/>
  <c r="V2450" i="6" s="1"/>
  <c r="P1920" i="6"/>
  <c r="U1920" i="6" s="1"/>
  <c r="V1920" i="6" s="1"/>
  <c r="J186" i="14"/>
  <c r="N1392" i="6" s="1"/>
  <c r="J184" i="14"/>
  <c r="P976" i="6"/>
  <c r="U976" i="6" s="1"/>
  <c r="P876" i="6"/>
  <c r="U876" i="6" s="1"/>
  <c r="M732" i="14"/>
  <c r="R732" i="14" s="1"/>
  <c r="M780" i="14"/>
  <c r="R780" i="14" s="1"/>
  <c r="M741" i="14"/>
  <c r="R741" i="14" s="1"/>
  <c r="M806" i="14"/>
  <c r="R806" i="14" s="1"/>
  <c r="O4180" i="6"/>
  <c r="P4180" i="6" s="1"/>
  <c r="U4180" i="6" s="1"/>
  <c r="V4180" i="6" s="1"/>
  <c r="O3477" i="6"/>
  <c r="P3477" i="6" s="1"/>
  <c r="U3477" i="6" s="1"/>
  <c r="V3477" i="6" s="1"/>
  <c r="O2669" i="6"/>
  <c r="P2669" i="6" s="1"/>
  <c r="U2669" i="6" s="1"/>
  <c r="V2669" i="6" s="1"/>
  <c r="P2661" i="6"/>
  <c r="U2661" i="6" s="1"/>
  <c r="P2536" i="6"/>
  <c r="U2536" i="6" s="1"/>
  <c r="V2536" i="6" s="1"/>
  <c r="P2334" i="6"/>
  <c r="P629" i="6"/>
  <c r="U629" i="6" s="1"/>
  <c r="V629" i="6" s="1"/>
  <c r="P404" i="14"/>
  <c r="M760" i="14"/>
  <c r="R760" i="14" s="1"/>
  <c r="M793" i="14"/>
  <c r="R793" i="14" s="1"/>
  <c r="P5062" i="6"/>
  <c r="U5062" i="6" s="1"/>
  <c r="V5062" i="6" s="1"/>
  <c r="O3878" i="6"/>
  <c r="P3878" i="6" s="1"/>
  <c r="U3878" i="6" s="1"/>
  <c r="V3878" i="6" s="1"/>
  <c r="O3387" i="6"/>
  <c r="O3367" i="6"/>
  <c r="P3367" i="6" s="1"/>
  <c r="U3367" i="6" s="1"/>
  <c r="V3367" i="6" s="1"/>
  <c r="O2664" i="6"/>
  <c r="P2664" i="6" s="1"/>
  <c r="U2664" i="6" s="1"/>
  <c r="V2664" i="6" s="1"/>
  <c r="O2608" i="6"/>
  <c r="P2608" i="6" s="1"/>
  <c r="U2608" i="6" s="1"/>
  <c r="V2608" i="6" s="1"/>
  <c r="P2007" i="6"/>
  <c r="U2007" i="6" s="1"/>
  <c r="V2007" i="6" s="1"/>
  <c r="P1708" i="6"/>
  <c r="U1708" i="6" s="1"/>
  <c r="P1705" i="6"/>
  <c r="U1705" i="6" s="1"/>
  <c r="V1705" i="6" s="1"/>
  <c r="P357" i="6"/>
  <c r="U357" i="6" s="1"/>
  <c r="V357" i="6" s="1"/>
  <c r="U4216" i="6"/>
  <c r="O609" i="14"/>
  <c r="P609" i="14" s="1"/>
  <c r="V4371" i="6"/>
  <c r="V2233" i="6"/>
  <c r="O329" i="14"/>
  <c r="U146" i="6"/>
  <c r="M17" i="14"/>
  <c r="R17" i="14" s="1"/>
  <c r="O531" i="14"/>
  <c r="V3782" i="6"/>
  <c r="U473" i="6"/>
  <c r="M50" i="14"/>
  <c r="R50" i="14" s="1"/>
  <c r="O3739" i="6"/>
  <c r="P3739" i="6" s="1"/>
  <c r="U3739" i="6" s="1"/>
  <c r="V3739" i="6" s="1"/>
  <c r="P3136" i="6"/>
  <c r="U3136" i="6" s="1"/>
  <c r="V3136" i="6" s="1"/>
  <c r="P2434" i="6"/>
  <c r="U2434" i="6" s="1"/>
  <c r="V2434" i="6" s="1"/>
  <c r="P2330" i="6"/>
  <c r="P5114" i="6"/>
  <c r="U5114" i="6" s="1"/>
  <c r="O4508" i="6"/>
  <c r="O4336" i="6"/>
  <c r="P4336" i="6" s="1"/>
  <c r="U4336" i="6" s="1"/>
  <c r="V4336" i="6" s="1"/>
  <c r="O4176" i="6"/>
  <c r="P4176" i="6" s="1"/>
  <c r="U4176" i="6" s="1"/>
  <c r="V4176" i="6" s="1"/>
  <c r="O3743" i="6"/>
  <c r="P3743" i="6" s="1"/>
  <c r="U3743" i="6" s="1"/>
  <c r="V3743" i="6" s="1"/>
  <c r="P2437" i="6"/>
  <c r="P2299" i="6"/>
  <c r="U2299" i="6" s="1"/>
  <c r="V2299" i="6" s="1"/>
  <c r="O2070" i="6"/>
  <c r="O2066" i="6"/>
  <c r="P2066" i="6" s="1"/>
  <c r="U2066" i="6" s="1"/>
  <c r="V2066" i="6" s="1"/>
  <c r="P1228" i="6"/>
  <c r="U1228" i="6" s="1"/>
  <c r="V1228" i="6" s="1"/>
  <c r="P5000" i="6"/>
  <c r="U5000" i="6" s="1"/>
  <c r="V5000" i="6" s="1"/>
  <c r="P4997" i="6"/>
  <c r="U4997" i="6" s="1"/>
  <c r="V4997" i="6" s="1"/>
  <c r="P4994" i="6"/>
  <c r="U4994" i="6" s="1"/>
  <c r="P4991" i="6"/>
  <c r="U4991" i="6" s="1"/>
  <c r="V4991" i="6" s="1"/>
  <c r="P4960" i="6"/>
  <c r="U4960" i="6" s="1"/>
  <c r="V4960" i="6" s="1"/>
  <c r="P4938" i="6"/>
  <c r="U4938" i="6" s="1"/>
  <c r="V4938" i="6" s="1"/>
  <c r="P4930" i="6"/>
  <c r="U4930" i="6" s="1"/>
  <c r="V4930" i="6" s="1"/>
  <c r="P4847" i="6"/>
  <c r="U4847" i="6" s="1"/>
  <c r="V4847" i="6" s="1"/>
  <c r="P4844" i="6"/>
  <c r="U4844" i="6" s="1"/>
  <c r="O4271" i="6"/>
  <c r="P4271" i="6" s="1"/>
  <c r="U4271" i="6" s="1"/>
  <c r="V4271" i="6" s="1"/>
  <c r="O4248" i="6"/>
  <c r="P4248" i="6" s="1"/>
  <c r="U4248" i="6" s="1"/>
  <c r="V4248" i="6" s="1"/>
  <c r="O4239" i="6"/>
  <c r="P4239" i="6" s="1"/>
  <c r="U4239" i="6" s="1"/>
  <c r="V4239" i="6" s="1"/>
  <c r="P4209" i="6"/>
  <c r="U4209" i="6" s="1"/>
  <c r="V4209" i="6" s="1"/>
  <c r="P4206" i="6"/>
  <c r="U4206" i="6" s="1"/>
  <c r="V4206" i="6" s="1"/>
  <c r="O3928" i="6"/>
  <c r="P3928" i="6" s="1"/>
  <c r="U3928" i="6" s="1"/>
  <c r="V3928" i="6" s="1"/>
  <c r="O3820" i="6"/>
  <c r="P3820" i="6" s="1"/>
  <c r="U3820" i="6" s="1"/>
  <c r="V3820" i="6" s="1"/>
  <c r="O3326" i="6"/>
  <c r="P3326" i="6" s="1"/>
  <c r="U3326" i="6" s="1"/>
  <c r="V3326" i="6" s="1"/>
  <c r="P3267" i="6"/>
  <c r="U3267" i="6" s="1"/>
  <c r="V3267" i="6" s="1"/>
  <c r="P3264" i="6"/>
  <c r="U3264" i="6" s="1"/>
  <c r="V3264" i="6" s="1"/>
  <c r="P3212" i="6"/>
  <c r="U3212" i="6" s="1"/>
  <c r="V3212" i="6" s="1"/>
  <c r="O2623" i="6"/>
  <c r="P2623" i="6" s="1"/>
  <c r="U2623" i="6" s="1"/>
  <c r="V2623" i="6" s="1"/>
  <c r="O2607" i="6"/>
  <c r="P2607" i="6" s="1"/>
  <c r="U2607" i="6" s="1"/>
  <c r="V2607" i="6" s="1"/>
  <c r="P2494" i="6"/>
  <c r="U2494" i="6" s="1"/>
  <c r="V2494" i="6" s="1"/>
  <c r="P2433" i="6"/>
  <c r="U2433" i="6" s="1"/>
  <c r="V2433" i="6" s="1"/>
  <c r="P2425" i="6"/>
  <c r="U2425" i="6" s="1"/>
  <c r="V2425" i="6" s="1"/>
  <c r="P2256" i="6"/>
  <c r="U2256" i="6" s="1"/>
  <c r="V2256" i="6" s="1"/>
  <c r="P1987" i="6"/>
  <c r="U1987" i="6" s="1"/>
  <c r="V1987" i="6" s="1"/>
  <c r="P1980" i="6"/>
  <c r="U1980" i="6" s="1"/>
  <c r="V1980" i="6" s="1"/>
  <c r="P1955" i="6"/>
  <c r="U1955" i="6" s="1"/>
  <c r="V1955" i="6" s="1"/>
  <c r="P1875" i="6"/>
  <c r="P1779" i="6"/>
  <c r="U1779" i="6" s="1"/>
  <c r="V1779" i="6" s="1"/>
  <c r="P494" i="14"/>
  <c r="M805" i="14"/>
  <c r="R805" i="14" s="1"/>
  <c r="P5341" i="6"/>
  <c r="U5341" i="6" s="1"/>
  <c r="V5341" i="6" s="1"/>
  <c r="P5219" i="6"/>
  <c r="U5219" i="6" s="1"/>
  <c r="V5219" i="6" s="1"/>
  <c r="P5207" i="6"/>
  <c r="U5207" i="6" s="1"/>
  <c r="V5207" i="6" s="1"/>
  <c r="P4202" i="6"/>
  <c r="U4202" i="6" s="1"/>
  <c r="V4202" i="6" s="1"/>
  <c r="O4121" i="6"/>
  <c r="P4121" i="6" s="1"/>
  <c r="U4121" i="6" s="1"/>
  <c r="V4121" i="6" s="1"/>
  <c r="O3745" i="6"/>
  <c r="P3745" i="6" s="1"/>
  <c r="U3745" i="6" s="1"/>
  <c r="V3745" i="6" s="1"/>
  <c r="O3663" i="6"/>
  <c r="P3663" i="6" s="1"/>
  <c r="U3663" i="6" s="1"/>
  <c r="V3663" i="6" s="1"/>
  <c r="O3563" i="6"/>
  <c r="O3541" i="6"/>
  <c r="P3541" i="6" s="1"/>
  <c r="U3541" i="6" s="1"/>
  <c r="V3541" i="6" s="1"/>
  <c r="O3536" i="6"/>
  <c r="P3536" i="6" s="1"/>
  <c r="U3536" i="6" s="1"/>
  <c r="V3536" i="6" s="1"/>
  <c r="O3299" i="6"/>
  <c r="P3299" i="6" s="1"/>
  <c r="U3299" i="6" s="1"/>
  <c r="V3299" i="6" s="1"/>
  <c r="P2283" i="6"/>
  <c r="U2283" i="6" s="1"/>
  <c r="V2283" i="6" s="1"/>
  <c r="P2104" i="6"/>
  <c r="U2104" i="6" s="1"/>
  <c r="V2104" i="6" s="1"/>
  <c r="P2101" i="6"/>
  <c r="U2101" i="6" s="1"/>
  <c r="V2101" i="6" s="1"/>
  <c r="P2098" i="6"/>
  <c r="U2098" i="6" s="1"/>
  <c r="V2098" i="6" s="1"/>
  <c r="P2095" i="6"/>
  <c r="U2095" i="6" s="1"/>
  <c r="V2095" i="6" s="1"/>
  <c r="O2072" i="6"/>
  <c r="P2072" i="6" s="1"/>
  <c r="U2072" i="6" s="1"/>
  <c r="V2072" i="6" s="1"/>
  <c r="O2068" i="6"/>
  <c r="P2068" i="6" s="1"/>
  <c r="U2068" i="6" s="1"/>
  <c r="V2068" i="6" s="1"/>
  <c r="O1936" i="6"/>
  <c r="P1936" i="6" s="1"/>
  <c r="U1936" i="6" s="1"/>
  <c r="P487" i="14"/>
  <c r="P5605" i="6"/>
  <c r="U5605" i="6" s="1"/>
  <c r="V5605" i="6" s="1"/>
  <c r="P5525" i="6"/>
  <c r="U5525" i="6" s="1"/>
  <c r="O4242" i="6"/>
  <c r="P4242" i="6" s="1"/>
  <c r="U4242" i="6" s="1"/>
  <c r="V4242" i="6" s="1"/>
  <c r="P4156" i="6"/>
  <c r="U4156" i="6" s="1"/>
  <c r="V4156" i="6" s="1"/>
  <c r="O3772" i="6"/>
  <c r="P3772" i="6" s="1"/>
  <c r="U3772" i="6" s="1"/>
  <c r="V3772" i="6" s="1"/>
  <c r="O3573" i="6"/>
  <c r="O3364" i="6"/>
  <c r="P3364" i="6" s="1"/>
  <c r="U3364" i="6" s="1"/>
  <c r="V3364" i="6" s="1"/>
  <c r="O3335" i="6"/>
  <c r="P3335" i="6" s="1"/>
  <c r="U3335" i="6" s="1"/>
  <c r="V3335" i="6" s="1"/>
  <c r="P3306" i="6"/>
  <c r="U3306" i="6" s="1"/>
  <c r="V3306" i="6" s="1"/>
  <c r="P3269" i="6"/>
  <c r="U3269" i="6" s="1"/>
  <c r="V3269" i="6" s="1"/>
  <c r="P3147" i="6"/>
  <c r="U3147" i="6" s="1"/>
  <c r="V3147" i="6" s="1"/>
  <c r="P3144" i="6"/>
  <c r="U3144" i="6" s="1"/>
  <c r="V3144" i="6" s="1"/>
  <c r="P3140" i="6"/>
  <c r="U3140" i="6" s="1"/>
  <c r="V3140" i="6" s="1"/>
  <c r="P3127" i="6"/>
  <c r="U3127" i="6" s="1"/>
  <c r="V3127" i="6" s="1"/>
  <c r="P3052" i="6"/>
  <c r="U3052" i="6" s="1"/>
  <c r="V3052" i="6" s="1"/>
  <c r="P2404" i="6"/>
  <c r="U2404" i="6" s="1"/>
  <c r="V2404" i="6" s="1"/>
  <c r="P2398" i="6"/>
  <c r="U2398" i="6" s="1"/>
  <c r="V2398" i="6" s="1"/>
  <c r="P2086" i="6"/>
  <c r="P1972" i="6"/>
  <c r="U1972" i="6" s="1"/>
  <c r="V1972" i="6" s="1"/>
  <c r="P1965" i="6"/>
  <c r="U1965" i="6" s="1"/>
  <c r="V1965" i="6" s="1"/>
  <c r="P1902" i="6"/>
  <c r="P1657" i="6"/>
  <c r="U1657" i="6" s="1"/>
  <c r="V1657" i="6" s="1"/>
  <c r="P1652" i="6"/>
  <c r="P1637" i="6"/>
  <c r="U1637" i="6" s="1"/>
  <c r="V1637" i="6" s="1"/>
  <c r="O806" i="14"/>
  <c r="U5488" i="6"/>
  <c r="P161" i="14"/>
  <c r="P5603" i="6"/>
  <c r="U5603" i="6" s="1"/>
  <c r="V5603" i="6" s="1"/>
  <c r="P5158" i="6"/>
  <c r="U5158" i="6" s="1"/>
  <c r="V5158" i="6" s="1"/>
  <c r="P5155" i="6"/>
  <c r="U5155" i="6" s="1"/>
  <c r="V5155" i="6" s="1"/>
  <c r="P5152" i="6"/>
  <c r="U5152" i="6" s="1"/>
  <c r="V5152" i="6" s="1"/>
  <c r="P5149" i="6"/>
  <c r="U5149" i="6" s="1"/>
  <c r="P5145" i="6"/>
  <c r="U5145" i="6" s="1"/>
  <c r="V5145" i="6" s="1"/>
  <c r="P5131" i="6"/>
  <c r="U5131" i="6" s="1"/>
  <c r="V5131" i="6" s="1"/>
  <c r="P4980" i="6"/>
  <c r="U4980" i="6" s="1"/>
  <c r="P4898" i="6"/>
  <c r="U4898" i="6" s="1"/>
  <c r="V4898" i="6" s="1"/>
  <c r="P4813" i="6"/>
  <c r="U4813" i="6" s="1"/>
  <c r="V4813" i="6" s="1"/>
  <c r="P4747" i="6"/>
  <c r="U4747" i="6" s="1"/>
  <c r="V4747" i="6" s="1"/>
  <c r="P121" i="14"/>
  <c r="P5486" i="6"/>
  <c r="U5486" i="6" s="1"/>
  <c r="V5486" i="6" s="1"/>
  <c r="P5476" i="6"/>
  <c r="U5476" i="6" s="1"/>
  <c r="V5476" i="6" s="1"/>
  <c r="P5366" i="6"/>
  <c r="U5366" i="6" s="1"/>
  <c r="V5366" i="6" s="1"/>
  <c r="P5352" i="6"/>
  <c r="U5352" i="6" s="1"/>
  <c r="P5349" i="6"/>
  <c r="U5349" i="6" s="1"/>
  <c r="V5349" i="6" s="1"/>
  <c r="P4749" i="6"/>
  <c r="U4749" i="6" s="1"/>
  <c r="P4746" i="6"/>
  <c r="U4746" i="6" s="1"/>
  <c r="V4746" i="6" s="1"/>
  <c r="Q822" i="14"/>
  <c r="P5633" i="6"/>
  <c r="U5633" i="6" s="1"/>
  <c r="V5633" i="6" s="1"/>
  <c r="P5497" i="6"/>
  <c r="U5497" i="6" s="1"/>
  <c r="V5497" i="6" s="1"/>
  <c r="P5368" i="6"/>
  <c r="U5368" i="6" s="1"/>
  <c r="V5368" i="6" s="1"/>
  <c r="P5136" i="6"/>
  <c r="U5136" i="6" s="1"/>
  <c r="P4868" i="6"/>
  <c r="U4868" i="6" s="1"/>
  <c r="V4868" i="6" s="1"/>
  <c r="P4804" i="6"/>
  <c r="U4804" i="6" s="1"/>
  <c r="V4804" i="6" s="1"/>
  <c r="P4800" i="6"/>
  <c r="P4796" i="6"/>
  <c r="U4796" i="6" s="1"/>
  <c r="P5183" i="6"/>
  <c r="U5183" i="6" s="1"/>
  <c r="V5183" i="6" s="1"/>
  <c r="J170" i="14"/>
  <c r="N1269" i="6" s="1"/>
  <c r="P4701" i="6"/>
  <c r="U4701" i="6" s="1"/>
  <c r="V4701" i="6" s="1"/>
  <c r="O4516" i="6"/>
  <c r="P4516" i="6" s="1"/>
  <c r="P4300" i="6"/>
  <c r="U4300" i="6" s="1"/>
  <c r="V4300" i="6" s="1"/>
  <c r="O4266" i="6"/>
  <c r="P4266" i="6" s="1"/>
  <c r="U4266" i="6" s="1"/>
  <c r="O4172" i="6"/>
  <c r="P4172" i="6" s="1"/>
  <c r="U4172" i="6" s="1"/>
  <c r="V4172" i="6" s="1"/>
  <c r="O4081" i="6"/>
  <c r="P4081" i="6" s="1"/>
  <c r="U4081" i="6" s="1"/>
  <c r="V4081" i="6" s="1"/>
  <c r="O3803" i="6"/>
  <c r="P3411" i="6"/>
  <c r="U3411" i="6" s="1"/>
  <c r="P3408" i="6"/>
  <c r="U3408" i="6" s="1"/>
  <c r="V3408" i="6" s="1"/>
  <c r="P3405" i="6"/>
  <c r="U3405" i="6" s="1"/>
  <c r="V3405" i="6" s="1"/>
  <c r="P3390" i="6"/>
  <c r="U3390" i="6" s="1"/>
  <c r="V3390" i="6" s="1"/>
  <c r="O3376" i="6"/>
  <c r="P3376" i="6" s="1"/>
  <c r="U3376" i="6" s="1"/>
  <c r="V3376" i="6" s="1"/>
  <c r="P3316" i="6"/>
  <c r="U3316" i="6" s="1"/>
  <c r="V3316" i="6" s="1"/>
  <c r="O3296" i="6"/>
  <c r="P3296" i="6" s="1"/>
  <c r="U3296" i="6" s="1"/>
  <c r="O3291" i="6"/>
  <c r="P3291" i="6" s="1"/>
  <c r="U3291" i="6" s="1"/>
  <c r="V3291" i="6" s="1"/>
  <c r="P3226" i="6"/>
  <c r="U3226" i="6" s="1"/>
  <c r="P3223" i="6"/>
  <c r="U3223" i="6" s="1"/>
  <c r="V3223" i="6" s="1"/>
  <c r="P3049" i="6"/>
  <c r="U3049" i="6" s="1"/>
  <c r="V3049" i="6" s="1"/>
  <c r="P3046" i="6"/>
  <c r="U3046" i="6" s="1"/>
  <c r="V3046" i="6" s="1"/>
  <c r="P2694" i="6"/>
  <c r="U2694" i="6" s="1"/>
  <c r="V2694" i="6" s="1"/>
  <c r="P2653" i="6"/>
  <c r="U2653" i="6" s="1"/>
  <c r="V2653" i="6" s="1"/>
  <c r="O2637" i="6"/>
  <c r="P2637" i="6" s="1"/>
  <c r="U2637" i="6" s="1"/>
  <c r="V2637" i="6" s="1"/>
  <c r="O2627" i="6"/>
  <c r="O2599" i="6"/>
  <c r="P2574" i="6"/>
  <c r="U2574" i="6" s="1"/>
  <c r="V2574" i="6" s="1"/>
  <c r="P2459" i="6"/>
  <c r="U2459" i="6" s="1"/>
  <c r="V2459" i="6" s="1"/>
  <c r="P2427" i="6"/>
  <c r="U2427" i="6" s="1"/>
  <c r="V2427" i="6" s="1"/>
  <c r="P2388" i="6"/>
  <c r="U2388" i="6" s="1"/>
  <c r="V2388" i="6" s="1"/>
  <c r="P2376" i="6"/>
  <c r="U2376" i="6" s="1"/>
  <c r="V2376" i="6" s="1"/>
  <c r="P2285" i="6"/>
  <c r="U2285" i="6" s="1"/>
  <c r="V2285" i="6" s="1"/>
  <c r="P2255" i="6"/>
  <c r="U2255" i="6" s="1"/>
  <c r="V2255" i="6" s="1"/>
  <c r="P2148" i="6"/>
  <c r="U2148" i="6" s="1"/>
  <c r="V2148" i="6" s="1"/>
  <c r="P2131" i="6"/>
  <c r="U2131" i="6" s="1"/>
  <c r="V2131" i="6" s="1"/>
  <c r="P2109" i="6"/>
  <c r="U2109" i="6" s="1"/>
  <c r="V2109" i="6" s="1"/>
  <c r="P2004" i="6"/>
  <c r="U2004" i="6" s="1"/>
  <c r="P1808" i="6"/>
  <c r="U1808" i="6" s="1"/>
  <c r="V1808" i="6" s="1"/>
  <c r="P1635" i="6"/>
  <c r="U1635" i="6" s="1"/>
  <c r="P1103" i="6"/>
  <c r="U1103" i="6" s="1"/>
  <c r="V1103" i="6" s="1"/>
  <c r="O4270" i="6"/>
  <c r="P4270" i="6" s="1"/>
  <c r="U4270" i="6" s="1"/>
  <c r="V4270" i="6" s="1"/>
  <c r="O4157" i="6"/>
  <c r="P4157" i="6" s="1"/>
  <c r="U4157" i="6" s="1"/>
  <c r="V4157" i="6" s="1"/>
  <c r="O3480" i="6"/>
  <c r="O3369" i="6"/>
  <c r="P3369" i="6" s="1"/>
  <c r="U3369" i="6" s="1"/>
  <c r="V3369" i="6" s="1"/>
  <c r="O3366" i="6"/>
  <c r="P3366" i="6" s="1"/>
  <c r="O3363" i="6"/>
  <c r="P3363" i="6" s="1"/>
  <c r="U3363" i="6" s="1"/>
  <c r="V3363" i="6" s="1"/>
  <c r="J197" i="14"/>
  <c r="N1437" i="6" s="1"/>
  <c r="P1437" i="6" s="1"/>
  <c r="U1437" i="6" s="1"/>
  <c r="V1437" i="6" s="1"/>
  <c r="P4678" i="6"/>
  <c r="U4678" i="6" s="1"/>
  <c r="V4678" i="6" s="1"/>
  <c r="P4671" i="6"/>
  <c r="U4671" i="6" s="1"/>
  <c r="V4671" i="6" s="1"/>
  <c r="P4668" i="6"/>
  <c r="U4668" i="6" s="1"/>
  <c r="V4668" i="6" s="1"/>
  <c r="P4590" i="6"/>
  <c r="U4590" i="6" s="1"/>
  <c r="V4590" i="6" s="1"/>
  <c r="P4393" i="6"/>
  <c r="U4393" i="6" s="1"/>
  <c r="V4393" i="6" s="1"/>
  <c r="P4361" i="6"/>
  <c r="U4361" i="6" s="1"/>
  <c r="O4273" i="6"/>
  <c r="P4273" i="6" s="1"/>
  <c r="U4273" i="6" s="1"/>
  <c r="V4273" i="6" s="1"/>
  <c r="O4260" i="6"/>
  <c r="P4260" i="6" s="1"/>
  <c r="U4260" i="6" s="1"/>
  <c r="O4255" i="6"/>
  <c r="P4255" i="6" s="1"/>
  <c r="U4255" i="6" s="1"/>
  <c r="V4255" i="6" s="1"/>
  <c r="O4245" i="6"/>
  <c r="P4245" i="6" s="1"/>
  <c r="U4245" i="6" s="1"/>
  <c r="P3933" i="6"/>
  <c r="U3933" i="6" s="1"/>
  <c r="V3933" i="6" s="1"/>
  <c r="P3750" i="6"/>
  <c r="U3750" i="6" s="1"/>
  <c r="V3750" i="6" s="1"/>
  <c r="O3651" i="6"/>
  <c r="P3651" i="6" s="1"/>
  <c r="U3651" i="6" s="1"/>
  <c r="V3651" i="6" s="1"/>
  <c r="O3601" i="6"/>
  <c r="P3601" i="6" s="1"/>
  <c r="U3601" i="6" s="1"/>
  <c r="V3601" i="6" s="1"/>
  <c r="O3597" i="6"/>
  <c r="P3597" i="6" s="1"/>
  <c r="U3597" i="6" s="1"/>
  <c r="V3597" i="6" s="1"/>
  <c r="O3566" i="6"/>
  <c r="P3566" i="6" s="1"/>
  <c r="U3566" i="6" s="1"/>
  <c r="V3566" i="6" s="1"/>
  <c r="O3470" i="6"/>
  <c r="P3470" i="6" s="1"/>
  <c r="U3470" i="6" s="1"/>
  <c r="V3470" i="6" s="1"/>
  <c r="O3371" i="6"/>
  <c r="P3371" i="6" s="1"/>
  <c r="U3371" i="6" s="1"/>
  <c r="V3371" i="6" s="1"/>
  <c r="O3302" i="6"/>
  <c r="P3302" i="6" s="1"/>
  <c r="U3302" i="6" s="1"/>
  <c r="V3302" i="6" s="1"/>
  <c r="P3275" i="6"/>
  <c r="U3275" i="6" s="1"/>
  <c r="P3272" i="6"/>
  <c r="U3272" i="6" s="1"/>
  <c r="V3272" i="6" s="1"/>
  <c r="P3251" i="6"/>
  <c r="U3251" i="6" s="1"/>
  <c r="V3251" i="6" s="1"/>
  <c r="P2964" i="6"/>
  <c r="U2964" i="6" s="1"/>
  <c r="V2964" i="6" s="1"/>
  <c r="O2610" i="6"/>
  <c r="P2610" i="6" s="1"/>
  <c r="U2610" i="6" s="1"/>
  <c r="V2610" i="6" s="1"/>
  <c r="O2602" i="6"/>
  <c r="P2602" i="6" s="1"/>
  <c r="U2602" i="6" s="1"/>
  <c r="V2602" i="6" s="1"/>
  <c r="O2527" i="6"/>
  <c r="P2416" i="6"/>
  <c r="U2416" i="6" s="1"/>
  <c r="V2416" i="6" s="1"/>
  <c r="P2310" i="6"/>
  <c r="U2310" i="6" s="1"/>
  <c r="V2310" i="6" s="1"/>
  <c r="P2006" i="6"/>
  <c r="U2006" i="6" s="1"/>
  <c r="V2006" i="6" s="1"/>
  <c r="P1709" i="6"/>
  <c r="U1709" i="6" s="1"/>
  <c r="V1709" i="6" s="1"/>
  <c r="P805" i="6"/>
  <c r="U805" i="6" s="1"/>
  <c r="V805" i="6" s="1"/>
  <c r="P5818" i="6"/>
  <c r="U5818" i="6" s="1"/>
  <c r="V5818" i="6" s="1"/>
  <c r="P4732" i="6"/>
  <c r="U4732" i="6" s="1"/>
  <c r="V4732" i="6" s="1"/>
  <c r="O652" i="14"/>
  <c r="P4638" i="6"/>
  <c r="U4638" i="6" s="1"/>
  <c r="V4638" i="6" s="1"/>
  <c r="P4628" i="6"/>
  <c r="U4628" i="6" s="1"/>
  <c r="V4628" i="6" s="1"/>
  <c r="O4519" i="6"/>
  <c r="P4519" i="6" s="1"/>
  <c r="U4519" i="6" s="1"/>
  <c r="V4519" i="6" s="1"/>
  <c r="O4499" i="6"/>
  <c r="O4418" i="6"/>
  <c r="P4418" i="6" s="1"/>
  <c r="U4418" i="6" s="1"/>
  <c r="V4418" i="6" s="1"/>
  <c r="P4357" i="6"/>
  <c r="U4357" i="6" s="1"/>
  <c r="V4357" i="6" s="1"/>
  <c r="O4321" i="6"/>
  <c r="P4321" i="6" s="1"/>
  <c r="U4321" i="6" s="1"/>
  <c r="V4321" i="6" s="1"/>
  <c r="O4241" i="6"/>
  <c r="P4241" i="6" s="1"/>
  <c r="U4241" i="6" s="1"/>
  <c r="V4241" i="6" s="1"/>
  <c r="O4236" i="6"/>
  <c r="P4236" i="6" s="1"/>
  <c r="O4089" i="6"/>
  <c r="P4089" i="6" s="1"/>
  <c r="U4089" i="6" s="1"/>
  <c r="O3762" i="6"/>
  <c r="O3742" i="6"/>
  <c r="O3737" i="6"/>
  <c r="P3737" i="6" s="1"/>
  <c r="O3544" i="6"/>
  <c r="P3544" i="6" s="1"/>
  <c r="U3544" i="6" s="1"/>
  <c r="V3544" i="6" s="1"/>
  <c r="O3501" i="6"/>
  <c r="O3474" i="6"/>
  <c r="O3457" i="6"/>
  <c r="P3457" i="6" s="1"/>
  <c r="U3457" i="6" s="1"/>
  <c r="V3457" i="6" s="1"/>
  <c r="O3441" i="6"/>
  <c r="O3374" i="6"/>
  <c r="P3374" i="6" s="1"/>
  <c r="U3374" i="6" s="1"/>
  <c r="V3374" i="6" s="1"/>
  <c r="O3368" i="6"/>
  <c r="P3368" i="6" s="1"/>
  <c r="U3368" i="6" s="1"/>
  <c r="V3368" i="6" s="1"/>
  <c r="O3365" i="6"/>
  <c r="P3365" i="6" s="1"/>
  <c r="U3365" i="6" s="1"/>
  <c r="V3365" i="6" s="1"/>
  <c r="P3258" i="6"/>
  <c r="U3258" i="6" s="1"/>
  <c r="V3258" i="6" s="1"/>
  <c r="P2461" i="6"/>
  <c r="U2461" i="6" s="1"/>
  <c r="V2461" i="6" s="1"/>
  <c r="P2454" i="6"/>
  <c r="U2454" i="6" s="1"/>
  <c r="V2454" i="6" s="1"/>
  <c r="P2451" i="6"/>
  <c r="U2451" i="6" s="1"/>
  <c r="V2451" i="6" s="1"/>
  <c r="P2411" i="6"/>
  <c r="U2411" i="6" s="1"/>
  <c r="V2411" i="6" s="1"/>
  <c r="P2324" i="6"/>
  <c r="U2324" i="6" s="1"/>
  <c r="V2324" i="6" s="1"/>
  <c r="P2301" i="6"/>
  <c r="U2301" i="6" s="1"/>
  <c r="V2301" i="6" s="1"/>
  <c r="P2277" i="6"/>
  <c r="U2277" i="6" s="1"/>
  <c r="V2277" i="6" s="1"/>
  <c r="P2017" i="6"/>
  <c r="U2017" i="6" s="1"/>
  <c r="V2017" i="6" s="1"/>
  <c r="P1988" i="6"/>
  <c r="U1988" i="6" s="1"/>
  <c r="V1988" i="6" s="1"/>
  <c r="P1896" i="6"/>
  <c r="P1886" i="6"/>
  <c r="U1886" i="6" s="1"/>
  <c r="V1886" i="6" s="1"/>
  <c r="P1196" i="6"/>
  <c r="U1196" i="6" s="1"/>
  <c r="V1196" i="6" s="1"/>
  <c r="P1093" i="6"/>
  <c r="U1093" i="6" s="1"/>
  <c r="V1093" i="6" s="1"/>
  <c r="P1090" i="6"/>
  <c r="U1090" i="6" s="1"/>
  <c r="V1090" i="6" s="1"/>
  <c r="P488" i="6"/>
  <c r="U488" i="6" s="1"/>
  <c r="P464" i="6"/>
  <c r="N5797" i="6"/>
  <c r="P5797" i="6" s="1"/>
  <c r="U5797" i="6" s="1"/>
  <c r="V5797" i="6" s="1"/>
  <c r="O4522" i="6"/>
  <c r="P4522" i="6" s="1"/>
  <c r="U4522" i="6" s="1"/>
  <c r="V4522" i="6" s="1"/>
  <c r="O4263" i="6"/>
  <c r="P4263" i="6" s="1"/>
  <c r="U4263" i="6" s="1"/>
  <c r="V4263" i="6" s="1"/>
  <c r="P3950" i="6"/>
  <c r="U3950" i="6" s="1"/>
  <c r="O3654" i="6"/>
  <c r="P3654" i="6" s="1"/>
  <c r="U3654" i="6" s="1"/>
  <c r="V3654" i="6" s="1"/>
  <c r="O3377" i="6"/>
  <c r="P3377" i="6" s="1"/>
  <c r="U3377" i="6" s="1"/>
  <c r="V3377" i="6" s="1"/>
  <c r="O3361" i="6"/>
  <c r="P3361" i="6" s="1"/>
  <c r="U3361" i="6" s="1"/>
  <c r="V3361" i="6" s="1"/>
  <c r="O3297" i="6"/>
  <c r="P3297" i="6" s="1"/>
  <c r="U3297" i="6" s="1"/>
  <c r="O3293" i="6"/>
  <c r="P3293" i="6" s="1"/>
  <c r="U3293" i="6" s="1"/>
  <c r="V3293" i="6" s="1"/>
  <c r="O2634" i="6"/>
  <c r="P2634" i="6" s="1"/>
  <c r="U2634" i="6" s="1"/>
  <c r="O2613" i="6"/>
  <c r="P2613" i="6" s="1"/>
  <c r="U2613" i="6" s="1"/>
  <c r="V2613" i="6" s="1"/>
  <c r="O2605" i="6"/>
  <c r="P2033" i="6"/>
  <c r="U2033" i="6" s="1"/>
  <c r="V2033" i="6" s="1"/>
  <c r="P2011" i="6"/>
  <c r="U2011" i="6" s="1"/>
  <c r="V2011" i="6" s="1"/>
  <c r="P1685" i="6"/>
  <c r="U1685" i="6" s="1"/>
  <c r="V1685" i="6" s="1"/>
  <c r="P442" i="14"/>
  <c r="P288" i="14"/>
  <c r="P5720" i="6"/>
  <c r="U5720" i="6" s="1"/>
  <c r="V5720" i="6" s="1"/>
  <c r="P100" i="14"/>
  <c r="P230" i="14"/>
  <c r="P308" i="14"/>
  <c r="P537" i="14"/>
  <c r="R60" i="14"/>
  <c r="P265" i="14"/>
  <c r="P339" i="14"/>
  <c r="U5792" i="6"/>
  <c r="M807" i="14"/>
  <c r="R807" i="14" s="1"/>
  <c r="R594" i="14"/>
  <c r="P113" i="14"/>
  <c r="P5569" i="6"/>
  <c r="U5569" i="6" s="1"/>
  <c r="V5569" i="6" s="1"/>
  <c r="P5479" i="6"/>
  <c r="U5479" i="6" s="1"/>
  <c r="V5479" i="6" s="1"/>
  <c r="P5451" i="6"/>
  <c r="U5451" i="6" s="1"/>
  <c r="V5451" i="6" s="1"/>
  <c r="P145" i="14"/>
  <c r="P340" i="14"/>
  <c r="P5719" i="6"/>
  <c r="U5719" i="6" s="1"/>
  <c r="P5647" i="6"/>
  <c r="U5647" i="6" s="1"/>
  <c r="P5546" i="6"/>
  <c r="U5546" i="6" s="1"/>
  <c r="P5529" i="6"/>
  <c r="U5529" i="6" s="1"/>
  <c r="V5529" i="6" s="1"/>
  <c r="P5458" i="6"/>
  <c r="U5458" i="6" s="1"/>
  <c r="V5458" i="6" s="1"/>
  <c r="P5076" i="6"/>
  <c r="U5076" i="6" s="1"/>
  <c r="P5034" i="6"/>
  <c r="U5034" i="6" s="1"/>
  <c r="V5034" i="6" s="1"/>
  <c r="P4911" i="6"/>
  <c r="U4911" i="6" s="1"/>
  <c r="V4911" i="6" s="1"/>
  <c r="P20" i="14"/>
  <c r="P64" i="14"/>
  <c r="P336" i="14"/>
  <c r="P5671" i="6"/>
  <c r="U5671" i="6" s="1"/>
  <c r="P5575" i="6"/>
  <c r="U5575" i="6" s="1"/>
  <c r="V5575" i="6" s="1"/>
  <c r="P5142" i="6"/>
  <c r="U5142" i="6" s="1"/>
  <c r="V5142" i="6" s="1"/>
  <c r="P5124" i="6"/>
  <c r="U5124" i="6" s="1"/>
  <c r="V5124" i="6" s="1"/>
  <c r="P5121" i="6"/>
  <c r="U5121" i="6" s="1"/>
  <c r="P5103" i="6"/>
  <c r="U5103" i="6" s="1"/>
  <c r="V5103" i="6" s="1"/>
  <c r="P5009" i="6"/>
  <c r="U5009" i="6" s="1"/>
  <c r="V5009" i="6" s="1"/>
  <c r="P4885" i="6"/>
  <c r="U4885" i="6" s="1"/>
  <c r="V4885" i="6" s="1"/>
  <c r="P5812" i="6"/>
  <c r="U5812" i="6" s="1"/>
  <c r="P5758" i="6"/>
  <c r="U5758" i="6" s="1"/>
  <c r="V5758" i="6" s="1"/>
  <c r="P5610" i="6"/>
  <c r="U5610" i="6" s="1"/>
  <c r="V5610" i="6" s="1"/>
  <c r="P5531" i="6"/>
  <c r="U5531" i="6" s="1"/>
  <c r="V5531" i="6" s="1"/>
  <c r="P5444" i="6"/>
  <c r="U5444" i="6" s="1"/>
  <c r="V5444" i="6" s="1"/>
  <c r="P5345" i="6"/>
  <c r="U5345" i="6" s="1"/>
  <c r="V5345" i="6" s="1"/>
  <c r="P5225" i="6"/>
  <c r="U5225" i="6" s="1"/>
  <c r="V5225" i="6" s="1"/>
  <c r="P5205" i="6"/>
  <c r="U5205" i="6" s="1"/>
  <c r="V5205" i="6" s="1"/>
  <c r="P5187" i="6"/>
  <c r="U5187" i="6" s="1"/>
  <c r="V5187" i="6" s="1"/>
  <c r="P5184" i="6"/>
  <c r="U5184" i="6" s="1"/>
  <c r="V5184" i="6" s="1"/>
  <c r="P4910" i="6"/>
  <c r="U4910" i="6" s="1"/>
  <c r="V4910" i="6" s="1"/>
  <c r="P4907" i="6"/>
  <c r="U4907" i="6" s="1"/>
  <c r="V4907" i="6" s="1"/>
  <c r="P4669" i="6"/>
  <c r="U4669" i="6" s="1"/>
  <c r="V4669" i="6" s="1"/>
  <c r="P4576" i="6"/>
  <c r="U4576" i="6" s="1"/>
  <c r="V4576" i="6" s="1"/>
  <c r="P5769" i="6"/>
  <c r="U5769" i="6" s="1"/>
  <c r="V5769" i="6" s="1"/>
  <c r="P5692" i="6"/>
  <c r="U5692" i="6" s="1"/>
  <c r="P5663" i="6"/>
  <c r="U5663" i="6" s="1"/>
  <c r="V5663" i="6" s="1"/>
  <c r="P5639" i="6"/>
  <c r="U5639" i="6" s="1"/>
  <c r="P5619" i="6"/>
  <c r="U5619" i="6" s="1"/>
  <c r="P5558" i="6"/>
  <c r="U5558" i="6" s="1"/>
  <c r="V5558" i="6" s="1"/>
  <c r="P5418" i="6"/>
  <c r="U5418" i="6" s="1"/>
  <c r="V5418" i="6" s="1"/>
  <c r="P5393" i="6"/>
  <c r="U5393" i="6" s="1"/>
  <c r="P5382" i="6"/>
  <c r="U5382" i="6" s="1"/>
  <c r="V5382" i="6" s="1"/>
  <c r="P5259" i="6"/>
  <c r="U5259" i="6" s="1"/>
  <c r="V5259" i="6" s="1"/>
  <c r="P5193" i="6"/>
  <c r="U5193" i="6" s="1"/>
  <c r="V5193" i="6" s="1"/>
  <c r="P5190" i="6"/>
  <c r="U5190" i="6" s="1"/>
  <c r="V5190" i="6" s="1"/>
  <c r="P5181" i="6"/>
  <c r="U5181" i="6" s="1"/>
  <c r="V5181" i="6" s="1"/>
  <c r="P4966" i="6"/>
  <c r="P4900" i="6"/>
  <c r="U4900" i="6" s="1"/>
  <c r="V4900" i="6" s="1"/>
  <c r="P4808" i="6"/>
  <c r="U4808" i="6" s="1"/>
  <c r="V4808" i="6" s="1"/>
  <c r="P4741" i="6"/>
  <c r="U4741" i="6" s="1"/>
  <c r="V4741" i="6" s="1"/>
  <c r="P4738" i="6"/>
  <c r="U4738" i="6" s="1"/>
  <c r="V4738" i="6" s="1"/>
  <c r="P4664" i="6"/>
  <c r="U4664" i="6" s="1"/>
  <c r="V4664" i="6" s="1"/>
  <c r="O4414" i="6"/>
  <c r="P4414" i="6" s="1"/>
  <c r="U4414" i="6" s="1"/>
  <c r="V4414" i="6" s="1"/>
  <c r="P4359" i="6"/>
  <c r="U4359" i="6" s="1"/>
  <c r="V4359" i="6" s="1"/>
  <c r="P4200" i="6"/>
  <c r="U4200" i="6" s="1"/>
  <c r="V4200" i="6" s="1"/>
  <c r="P3243" i="6"/>
  <c r="U3243" i="6" s="1"/>
  <c r="V3243" i="6" s="1"/>
  <c r="P2019" i="6"/>
  <c r="U2019" i="6" s="1"/>
  <c r="V2019" i="6" s="1"/>
  <c r="P2005" i="6"/>
  <c r="U2005" i="6" s="1"/>
  <c r="V2005" i="6" s="1"/>
  <c r="P1912" i="6"/>
  <c r="U1912" i="6" s="1"/>
  <c r="V1912" i="6" s="1"/>
  <c r="P2559" i="6"/>
  <c r="U2559" i="6" s="1"/>
  <c r="V2559" i="6" s="1"/>
  <c r="P2469" i="6"/>
  <c r="U2469" i="6" s="1"/>
  <c r="V2469" i="6" s="1"/>
  <c r="P2407" i="6"/>
  <c r="U2407" i="6" s="1"/>
  <c r="V2407" i="6" s="1"/>
  <c r="P2343" i="6"/>
  <c r="U2343" i="6" s="1"/>
  <c r="V2343" i="6" s="1"/>
  <c r="P2273" i="6"/>
  <c r="U2273" i="6" s="1"/>
  <c r="V2273" i="6" s="1"/>
  <c r="P2270" i="6"/>
  <c r="U2270" i="6" s="1"/>
  <c r="V2270" i="6" s="1"/>
  <c r="P2266" i="6"/>
  <c r="U2266" i="6" s="1"/>
  <c r="V2266" i="6" s="1"/>
  <c r="P2102" i="6"/>
  <c r="U2102" i="6" s="1"/>
  <c r="V2102" i="6" s="1"/>
  <c r="P2093" i="6"/>
  <c r="U2093" i="6" s="1"/>
  <c r="V2093" i="6" s="1"/>
  <c r="P2058" i="6"/>
  <c r="U2058" i="6" s="1"/>
  <c r="V2058" i="6" s="1"/>
  <c r="O1933" i="6"/>
  <c r="O1941" i="6"/>
  <c r="P1941" i="6" s="1"/>
  <c r="U1941" i="6" s="1"/>
  <c r="V1941" i="6" s="1"/>
  <c r="O1944" i="6"/>
  <c r="P1944" i="6" s="1"/>
  <c r="U1944" i="6" s="1"/>
  <c r="V1944" i="6" s="1"/>
  <c r="O1934" i="6"/>
  <c r="O1938" i="6"/>
  <c r="P1938" i="6" s="1"/>
  <c r="U1938" i="6" s="1"/>
  <c r="V1938" i="6" s="1"/>
  <c r="O4453" i="6"/>
  <c r="P4453" i="6" s="1"/>
  <c r="U4453" i="6" s="1"/>
  <c r="V4453" i="6" s="1"/>
  <c r="O4426" i="6"/>
  <c r="P4426" i="6" s="1"/>
  <c r="U4426" i="6" s="1"/>
  <c r="V4426" i="6" s="1"/>
  <c r="O3992" i="6"/>
  <c r="P3992" i="6" s="1"/>
  <c r="U3992" i="6" s="1"/>
  <c r="V3992" i="6" s="1"/>
  <c r="O3546" i="6"/>
  <c r="P3546" i="6" s="1"/>
  <c r="U3546" i="6" s="1"/>
  <c r="V3546" i="6" s="1"/>
  <c r="O3543" i="6"/>
  <c r="P3543" i="6" s="1"/>
  <c r="U3543" i="6" s="1"/>
  <c r="V3543" i="6" s="1"/>
  <c r="O3539" i="6"/>
  <c r="P3539" i="6" s="1"/>
  <c r="U3539" i="6" s="1"/>
  <c r="O3495" i="6"/>
  <c r="O3484" i="6"/>
  <c r="P3484" i="6" s="1"/>
  <c r="U3484" i="6" s="1"/>
  <c r="P3246" i="6"/>
  <c r="U3246" i="6" s="1"/>
  <c r="V3246" i="6" s="1"/>
  <c r="P3207" i="6"/>
  <c r="U3207" i="6" s="1"/>
  <c r="V3207" i="6" s="1"/>
  <c r="P3204" i="6"/>
  <c r="U3204" i="6" s="1"/>
  <c r="V3204" i="6" s="1"/>
  <c r="P3201" i="6"/>
  <c r="U3201" i="6" s="1"/>
  <c r="V3201" i="6" s="1"/>
  <c r="P3085" i="6"/>
  <c r="U3085" i="6" s="1"/>
  <c r="V3085" i="6" s="1"/>
  <c r="P2898" i="6"/>
  <c r="U2898" i="6" s="1"/>
  <c r="V2898" i="6" s="1"/>
  <c r="O2705" i="6"/>
  <c r="P2705" i="6" s="1"/>
  <c r="U2705" i="6" s="1"/>
  <c r="V2705" i="6" s="1"/>
  <c r="P2680" i="6"/>
  <c r="U2680" i="6" s="1"/>
  <c r="P2487" i="6"/>
  <c r="U2487" i="6" s="1"/>
  <c r="V2487" i="6" s="1"/>
  <c r="P2417" i="6"/>
  <c r="U2417" i="6" s="1"/>
  <c r="V2417" i="6" s="1"/>
  <c r="P2414" i="6"/>
  <c r="U2414" i="6" s="1"/>
  <c r="V2414" i="6" s="1"/>
  <c r="P2410" i="6"/>
  <c r="U2410" i="6" s="1"/>
  <c r="V2410" i="6" s="1"/>
  <c r="P2338" i="6"/>
  <c r="U2338" i="6" s="1"/>
  <c r="V2338" i="6" s="1"/>
  <c r="P2248" i="6"/>
  <c r="P2243" i="6"/>
  <c r="P2199" i="6"/>
  <c r="U2199" i="6" s="1"/>
  <c r="V2199" i="6" s="1"/>
  <c r="P2196" i="6"/>
  <c r="U2196" i="6" s="1"/>
  <c r="V2196" i="6" s="1"/>
  <c r="P4641" i="6"/>
  <c r="U4641" i="6" s="1"/>
  <c r="V4641" i="6" s="1"/>
  <c r="P4632" i="6"/>
  <c r="U4632" i="6" s="1"/>
  <c r="V4632" i="6" s="1"/>
  <c r="O4474" i="6"/>
  <c r="P4474" i="6" s="1"/>
  <c r="U4474" i="6" s="1"/>
  <c r="V4474" i="6" s="1"/>
  <c r="O4421" i="6"/>
  <c r="P4421" i="6" s="1"/>
  <c r="U4421" i="6" s="1"/>
  <c r="V4421" i="6" s="1"/>
  <c r="O4407" i="6"/>
  <c r="P4407" i="6" s="1"/>
  <c r="U4407" i="6" s="1"/>
  <c r="V4407" i="6" s="1"/>
  <c r="O4402" i="6"/>
  <c r="P4402" i="6" s="1"/>
  <c r="U4402" i="6" s="1"/>
  <c r="V4402" i="6" s="1"/>
  <c r="P4365" i="6"/>
  <c r="U4365" i="6" s="1"/>
  <c r="V4365" i="6" s="1"/>
  <c r="P4358" i="6"/>
  <c r="U4358" i="6" s="1"/>
  <c r="V4358" i="6" s="1"/>
  <c r="O4353" i="6"/>
  <c r="P4353" i="6" s="1"/>
  <c r="U4353" i="6" s="1"/>
  <c r="V4353" i="6" s="1"/>
  <c r="O4348" i="6"/>
  <c r="P4348" i="6" s="1"/>
  <c r="U4348" i="6" s="1"/>
  <c r="V4348" i="6" s="1"/>
  <c r="P4304" i="6"/>
  <c r="U4304" i="6" s="1"/>
  <c r="V4304" i="6" s="1"/>
  <c r="P4288" i="6"/>
  <c r="U4288" i="6" s="1"/>
  <c r="V4288" i="6" s="1"/>
  <c r="O4247" i="6"/>
  <c r="O4184" i="6"/>
  <c r="P4184" i="6" s="1"/>
  <c r="U4184" i="6" s="1"/>
  <c r="V4184" i="6" s="1"/>
  <c r="P4151" i="6"/>
  <c r="U4151" i="6" s="1"/>
  <c r="V4151" i="6" s="1"/>
  <c r="O4009" i="6"/>
  <c r="P4009" i="6" s="1"/>
  <c r="U4009" i="6" s="1"/>
  <c r="V4009" i="6" s="1"/>
  <c r="O3710" i="6"/>
  <c r="O3667" i="6"/>
  <c r="O3646" i="6"/>
  <c r="P3646" i="6" s="1"/>
  <c r="O3535" i="6"/>
  <c r="P3535" i="6" s="1"/>
  <c r="U3535" i="6" s="1"/>
  <c r="V3535" i="6" s="1"/>
  <c r="O3476" i="6"/>
  <c r="P3476" i="6" s="1"/>
  <c r="U3476" i="6" s="1"/>
  <c r="V3476" i="6" s="1"/>
  <c r="P3449" i="6"/>
  <c r="U3449" i="6" s="1"/>
  <c r="V3449" i="6" s="1"/>
  <c r="P3446" i="6"/>
  <c r="U3446" i="6" s="1"/>
  <c r="V3446" i="6" s="1"/>
  <c r="O3434" i="6"/>
  <c r="O3429" i="6"/>
  <c r="P3429" i="6" s="1"/>
  <c r="U3429" i="6" s="1"/>
  <c r="P3397" i="6"/>
  <c r="U3397" i="6" s="1"/>
  <c r="V3397" i="6" s="1"/>
  <c r="P3393" i="6"/>
  <c r="U3393" i="6" s="1"/>
  <c r="V3393" i="6" s="1"/>
  <c r="O3375" i="6"/>
  <c r="P3375" i="6" s="1"/>
  <c r="U3375" i="6" s="1"/>
  <c r="V3375" i="6" s="1"/>
  <c r="O3372" i="6"/>
  <c r="O3332" i="6"/>
  <c r="O3301" i="6"/>
  <c r="P3301" i="6" s="1"/>
  <c r="U3301" i="6" s="1"/>
  <c r="V3301" i="6" s="1"/>
  <c r="O3294" i="6"/>
  <c r="P3294" i="6" s="1"/>
  <c r="U3294" i="6" s="1"/>
  <c r="O3280" i="6"/>
  <c r="P3280" i="6" s="1"/>
  <c r="U3280" i="6" s="1"/>
  <c r="V3280" i="6" s="1"/>
  <c r="P3273" i="6"/>
  <c r="U3273" i="6" s="1"/>
  <c r="P3270" i="6"/>
  <c r="U3270" i="6" s="1"/>
  <c r="V3270" i="6" s="1"/>
  <c r="P3249" i="6"/>
  <c r="U3249" i="6" s="1"/>
  <c r="V3249" i="6" s="1"/>
  <c r="P3232" i="6"/>
  <c r="U3232" i="6" s="1"/>
  <c r="V3232" i="6" s="1"/>
  <c r="P3228" i="6"/>
  <c r="U3228" i="6" s="1"/>
  <c r="V3228" i="6" s="1"/>
  <c r="P3141" i="6"/>
  <c r="U3141" i="6" s="1"/>
  <c r="V3141" i="6" s="1"/>
  <c r="P2926" i="6"/>
  <c r="U2926" i="6" s="1"/>
  <c r="V2926" i="6" s="1"/>
  <c r="P2865" i="6"/>
  <c r="U2865" i="6" s="1"/>
  <c r="V2865" i="6" s="1"/>
  <c r="O2630" i="6"/>
  <c r="O2611" i="6"/>
  <c r="P2611" i="6" s="1"/>
  <c r="U2611" i="6" s="1"/>
  <c r="V2611" i="6" s="1"/>
  <c r="O2604" i="6"/>
  <c r="P2604" i="6" s="1"/>
  <c r="U2604" i="6" s="1"/>
  <c r="V2604" i="6" s="1"/>
  <c r="P2538" i="6"/>
  <c r="U2538" i="6" s="1"/>
  <c r="V2538" i="6" s="1"/>
  <c r="O2519" i="6"/>
  <c r="P2519" i="6" s="1"/>
  <c r="U2519" i="6" s="1"/>
  <c r="V2519" i="6" s="1"/>
  <c r="P2479" i="6"/>
  <c r="U2479" i="6" s="1"/>
  <c r="V2479" i="6" s="1"/>
  <c r="P2475" i="6"/>
  <c r="U2475" i="6" s="1"/>
  <c r="V2475" i="6" s="1"/>
  <c r="P2458" i="6"/>
  <c r="U2458" i="6" s="1"/>
  <c r="V2458" i="6" s="1"/>
  <c r="P2423" i="6"/>
  <c r="U2423" i="6" s="1"/>
  <c r="V2423" i="6" s="1"/>
  <c r="P2377" i="6"/>
  <c r="U2377" i="6" s="1"/>
  <c r="V2377" i="6" s="1"/>
  <c r="P2374" i="6"/>
  <c r="U2374" i="6" s="1"/>
  <c r="V2374" i="6" s="1"/>
  <c r="P2358" i="6"/>
  <c r="U2358" i="6" s="1"/>
  <c r="V2358" i="6" s="1"/>
  <c r="P2312" i="6"/>
  <c r="U2312" i="6" s="1"/>
  <c r="V2312" i="6" s="1"/>
  <c r="P2278" i="6"/>
  <c r="U2278" i="6" s="1"/>
  <c r="V2278" i="6" s="1"/>
  <c r="P2275" i="6"/>
  <c r="U2275" i="6" s="1"/>
  <c r="V2275" i="6" s="1"/>
  <c r="P2191" i="6"/>
  <c r="U2191" i="6" s="1"/>
  <c r="V2191" i="6" s="1"/>
  <c r="O1943" i="6"/>
  <c r="P1943" i="6" s="1"/>
  <c r="U1943" i="6" s="1"/>
  <c r="V1943" i="6" s="1"/>
  <c r="O1939" i="6"/>
  <c r="O1935" i="6"/>
  <c r="P1935" i="6" s="1"/>
  <c r="U1935" i="6" s="1"/>
  <c r="V1935" i="6" s="1"/>
  <c r="O4510" i="6"/>
  <c r="P4510" i="6" s="1"/>
  <c r="O4425" i="6"/>
  <c r="P4425" i="6" s="1"/>
  <c r="U4425" i="6" s="1"/>
  <c r="V4425" i="6" s="1"/>
  <c r="O4411" i="6"/>
  <c r="P4411" i="6" s="1"/>
  <c r="U4411" i="6" s="1"/>
  <c r="V4411" i="6" s="1"/>
  <c r="O4272" i="6"/>
  <c r="P4272" i="6" s="1"/>
  <c r="U4272" i="6" s="1"/>
  <c r="V4272" i="6" s="1"/>
  <c r="O4265" i="6"/>
  <c r="P4265" i="6" s="1"/>
  <c r="U4265" i="6" s="1"/>
  <c r="V4265" i="6" s="1"/>
  <c r="P4258" i="6"/>
  <c r="U4258" i="6" s="1"/>
  <c r="V4258" i="6" s="1"/>
  <c r="O4230" i="6"/>
  <c r="P4230" i="6" s="1"/>
  <c r="U4230" i="6" s="1"/>
  <c r="O4225" i="6"/>
  <c r="P4225" i="6" s="1"/>
  <c r="U4225" i="6" s="1"/>
  <c r="V4225" i="6" s="1"/>
  <c r="O4008" i="6"/>
  <c r="P4008" i="6" s="1"/>
  <c r="U4008" i="6" s="1"/>
  <c r="V4008" i="6" s="1"/>
  <c r="O4000" i="6"/>
  <c r="P4000" i="6" s="1"/>
  <c r="U4000" i="6" s="1"/>
  <c r="O3991" i="6"/>
  <c r="P3991" i="6" s="1"/>
  <c r="U3991" i="6" s="1"/>
  <c r="V3991" i="6" s="1"/>
  <c r="O3925" i="6"/>
  <c r="P3925" i="6" s="1"/>
  <c r="U3925" i="6" s="1"/>
  <c r="V3925" i="6" s="1"/>
  <c r="O3812" i="6"/>
  <c r="P3812" i="6" s="1"/>
  <c r="U3812" i="6" s="1"/>
  <c r="V3812" i="6" s="1"/>
  <c r="O3714" i="6"/>
  <c r="P3714" i="6" s="1"/>
  <c r="U3714" i="6" s="1"/>
  <c r="V3714" i="6" s="1"/>
  <c r="O3548" i="6"/>
  <c r="P3548" i="6" s="1"/>
  <c r="U3548" i="6" s="1"/>
  <c r="V3548" i="6" s="1"/>
  <c r="O3545" i="6"/>
  <c r="P3545" i="6" s="1"/>
  <c r="U3545" i="6" s="1"/>
  <c r="V3545" i="6" s="1"/>
  <c r="O3538" i="6"/>
  <c r="P3538" i="6" s="1"/>
  <c r="U3538" i="6" s="1"/>
  <c r="V3538" i="6" s="1"/>
  <c r="O3498" i="6"/>
  <c r="O3488" i="6"/>
  <c r="O3479" i="6"/>
  <c r="P3479" i="6" s="1"/>
  <c r="U3479" i="6" s="1"/>
  <c r="V3479" i="6" s="1"/>
  <c r="O3438" i="6"/>
  <c r="P3438" i="6" s="1"/>
  <c r="U3438" i="6" s="1"/>
  <c r="P2946" i="6"/>
  <c r="U2946" i="6" s="1"/>
  <c r="V2946" i="6" s="1"/>
  <c r="P2904" i="6"/>
  <c r="U2904" i="6" s="1"/>
  <c r="V2904" i="6" s="1"/>
  <c r="O2620" i="6"/>
  <c r="P2620" i="6" s="1"/>
  <c r="U2620" i="6" s="1"/>
  <c r="V2620" i="6" s="1"/>
  <c r="P2008" i="6"/>
  <c r="U2008" i="6" s="1"/>
  <c r="O4428" i="6"/>
  <c r="P4428" i="6" s="1"/>
  <c r="U4428" i="6" s="1"/>
  <c r="V4428" i="6" s="1"/>
  <c r="O4275" i="6"/>
  <c r="P4275" i="6" s="1"/>
  <c r="U4275" i="6" s="1"/>
  <c r="V4275" i="6" s="1"/>
  <c r="O3995" i="6"/>
  <c r="P3995" i="6" s="1"/>
  <c r="U3995" i="6" s="1"/>
  <c r="V3995" i="6" s="1"/>
  <c r="O3769" i="6"/>
  <c r="P3205" i="6"/>
  <c r="U3205" i="6" s="1"/>
  <c r="V3205" i="6" s="1"/>
  <c r="P3202" i="6"/>
  <c r="U3202" i="6" s="1"/>
  <c r="V3202" i="6" s="1"/>
  <c r="P3199" i="6"/>
  <c r="U3199" i="6" s="1"/>
  <c r="V3199" i="6" s="1"/>
  <c r="P2495" i="6"/>
  <c r="U2495" i="6" s="1"/>
  <c r="V2495" i="6" s="1"/>
  <c r="P2492" i="6"/>
  <c r="U2492" i="6" s="1"/>
  <c r="V2492" i="6" s="1"/>
  <c r="P2481" i="6"/>
  <c r="U2481" i="6" s="1"/>
  <c r="V2481" i="6" s="1"/>
  <c r="P2422" i="6"/>
  <c r="U2422" i="6" s="1"/>
  <c r="V2422" i="6" s="1"/>
  <c r="P2418" i="6"/>
  <c r="U2418" i="6" s="1"/>
  <c r="V2418" i="6" s="1"/>
  <c r="P2384" i="6"/>
  <c r="U2384" i="6" s="1"/>
  <c r="V2384" i="6" s="1"/>
  <c r="P2264" i="6"/>
  <c r="U2264" i="6" s="1"/>
  <c r="V2264" i="6" s="1"/>
  <c r="P2260" i="6"/>
  <c r="U2260" i="6" s="1"/>
  <c r="P2203" i="6"/>
  <c r="U2203" i="6" s="1"/>
  <c r="V2203" i="6" s="1"/>
  <c r="P2197" i="6"/>
  <c r="U2197" i="6" s="1"/>
  <c r="V2197" i="6" s="1"/>
  <c r="P2173" i="6"/>
  <c r="U2173" i="6" s="1"/>
  <c r="V2173" i="6" s="1"/>
  <c r="O1946" i="6"/>
  <c r="P1946" i="6" s="1"/>
  <c r="U1946" i="6" s="1"/>
  <c r="O1942" i="6"/>
  <c r="P1942" i="6" s="1"/>
  <c r="U1942" i="6" s="1"/>
  <c r="V1942" i="6" s="1"/>
  <c r="P2128" i="6"/>
  <c r="U2128" i="6" s="1"/>
  <c r="V2128" i="6" s="1"/>
  <c r="P2124" i="6"/>
  <c r="U2124" i="6" s="1"/>
  <c r="V2124" i="6" s="1"/>
  <c r="P2116" i="6"/>
  <c r="U2116" i="6" s="1"/>
  <c r="V2116" i="6" s="1"/>
  <c r="P2113" i="6"/>
  <c r="U2113" i="6" s="1"/>
  <c r="V2113" i="6" s="1"/>
  <c r="P2110" i="6"/>
  <c r="U2110" i="6" s="1"/>
  <c r="V2110" i="6" s="1"/>
  <c r="P2107" i="6"/>
  <c r="U2107" i="6" s="1"/>
  <c r="V2107" i="6" s="1"/>
  <c r="P2100" i="6"/>
  <c r="U2100" i="6" s="1"/>
  <c r="V2100" i="6" s="1"/>
  <c r="P2034" i="6"/>
  <c r="P1951" i="6"/>
  <c r="U1951" i="6" s="1"/>
  <c r="V1951" i="6" s="1"/>
  <c r="P1926" i="6"/>
  <c r="U1926" i="6" s="1"/>
  <c r="V1926" i="6" s="1"/>
  <c r="P1907" i="6"/>
  <c r="U1907" i="6" s="1"/>
  <c r="V1907" i="6" s="1"/>
  <c r="P1888" i="6"/>
  <c r="P1725" i="6"/>
  <c r="U1725" i="6" s="1"/>
  <c r="V1725" i="6" s="1"/>
  <c r="P1033" i="6"/>
  <c r="U1033" i="6" s="1"/>
  <c r="V1033" i="6" s="1"/>
  <c r="P982" i="6"/>
  <c r="P783" i="6"/>
  <c r="U783" i="6" s="1"/>
  <c r="V783" i="6" s="1"/>
  <c r="P373" i="6"/>
  <c r="U373" i="6" s="1"/>
  <c r="V373" i="6" s="1"/>
  <c r="P1909" i="6"/>
  <c r="U1909" i="6" s="1"/>
  <c r="V1909" i="6" s="1"/>
  <c r="P1824" i="6"/>
  <c r="U1824" i="6" s="1"/>
  <c r="V1824" i="6" s="1"/>
  <c r="P1463" i="6"/>
  <c r="U1463" i="6" s="1"/>
  <c r="V1463" i="6" s="1"/>
  <c r="P1335" i="6"/>
  <c r="P773" i="6"/>
  <c r="U773" i="6" s="1"/>
  <c r="V773" i="6" s="1"/>
  <c r="P770" i="6"/>
  <c r="U770" i="6" s="1"/>
  <c r="P2136" i="6"/>
  <c r="U2136" i="6" s="1"/>
  <c r="O2060" i="6"/>
  <c r="P2060" i="6" s="1"/>
  <c r="U2060" i="6" s="1"/>
  <c r="V2060" i="6" s="1"/>
  <c r="P2026" i="6"/>
  <c r="U2026" i="6" s="1"/>
  <c r="V2026" i="6" s="1"/>
  <c r="P1823" i="6"/>
  <c r="U1823" i="6" s="1"/>
  <c r="V1823" i="6" s="1"/>
  <c r="P1783" i="6"/>
  <c r="U1783" i="6" s="1"/>
  <c r="V1783" i="6" s="1"/>
  <c r="P1415" i="6"/>
  <c r="U1415" i="6" s="1"/>
  <c r="V1415" i="6" s="1"/>
  <c r="P966" i="6"/>
  <c r="U966" i="6" s="1"/>
  <c r="V966" i="6" s="1"/>
  <c r="P806" i="6"/>
  <c r="U806" i="6" s="1"/>
  <c r="V806" i="6" s="1"/>
  <c r="P513" i="6"/>
  <c r="N5799" i="6"/>
  <c r="P5799" i="6" s="1"/>
  <c r="U5799" i="6" s="1"/>
  <c r="V5799" i="6" s="1"/>
  <c r="N5675" i="6"/>
  <c r="R531" i="14"/>
  <c r="U5839" i="6"/>
  <c r="O814" i="14" s="1"/>
  <c r="M814" i="14"/>
  <c r="R814" i="14" s="1"/>
  <c r="P245" i="14"/>
  <c r="P285" i="14"/>
  <c r="P552" i="14"/>
  <c r="Q818" i="14"/>
  <c r="P5640" i="6"/>
  <c r="P5637" i="6"/>
  <c r="U5637" i="6" s="1"/>
  <c r="P5487" i="6"/>
  <c r="U5487" i="6" s="1"/>
  <c r="V5487" i="6" s="1"/>
  <c r="P5483" i="6"/>
  <c r="U5483" i="6" s="1"/>
  <c r="V5483" i="6" s="1"/>
  <c r="P5467" i="6"/>
  <c r="U5467" i="6" s="1"/>
  <c r="V5467" i="6" s="1"/>
  <c r="P5456" i="6"/>
  <c r="U5456" i="6" s="1"/>
  <c r="P5307" i="6"/>
  <c r="P5299" i="6"/>
  <c r="P5283" i="6"/>
  <c r="U5283" i="6" s="1"/>
  <c r="V5283" i="6" s="1"/>
  <c r="P5279" i="6"/>
  <c r="U5279" i="6" s="1"/>
  <c r="V5279" i="6" s="1"/>
  <c r="P4934" i="6"/>
  <c r="U4934" i="6" s="1"/>
  <c r="V4934" i="6" s="1"/>
  <c r="P4815" i="6"/>
  <c r="U4815" i="6" s="1"/>
  <c r="V4815" i="6" s="1"/>
  <c r="P4750" i="6"/>
  <c r="U4750" i="6" s="1"/>
  <c r="V4750" i="6" s="1"/>
  <c r="P4729" i="6"/>
  <c r="P4670" i="6"/>
  <c r="O4502" i="6"/>
  <c r="P4502" i="6" s="1"/>
  <c r="U4502" i="6" s="1"/>
  <c r="P4484" i="6"/>
  <c r="U4484" i="6" s="1"/>
  <c r="V4484" i="6" s="1"/>
  <c r="P4445" i="6"/>
  <c r="U4445" i="6" s="1"/>
  <c r="V4445" i="6" s="1"/>
  <c r="O4420" i="6"/>
  <c r="P4420" i="6" s="1"/>
  <c r="U4420" i="6" s="1"/>
  <c r="V4420" i="6" s="1"/>
  <c r="O4401" i="6"/>
  <c r="P4401" i="6" s="1"/>
  <c r="U4401" i="6" s="1"/>
  <c r="V4401" i="6" s="1"/>
  <c r="O4355" i="6"/>
  <c r="O4352" i="6"/>
  <c r="P4352" i="6" s="1"/>
  <c r="U4352" i="6" s="1"/>
  <c r="V4352" i="6" s="1"/>
  <c r="P5740" i="6"/>
  <c r="U5740" i="6" s="1"/>
  <c r="V5740" i="6" s="1"/>
  <c r="P5427" i="6"/>
  <c r="U5427" i="6" s="1"/>
  <c r="V5427" i="6" s="1"/>
  <c r="P5415" i="6"/>
  <c r="P5406" i="6"/>
  <c r="U5406" i="6" s="1"/>
  <c r="P5402" i="6"/>
  <c r="U5402" i="6" s="1"/>
  <c r="V5402" i="6" s="1"/>
  <c r="P5367" i="6"/>
  <c r="P5343" i="6"/>
  <c r="U5343" i="6" s="1"/>
  <c r="V5343" i="6" s="1"/>
  <c r="P5331" i="6"/>
  <c r="P5263" i="6"/>
  <c r="U5263" i="6" s="1"/>
  <c r="V5263" i="6" s="1"/>
  <c r="P5216" i="6"/>
  <c r="U5216" i="6" s="1"/>
  <c r="V5216" i="6" s="1"/>
  <c r="P5198" i="6"/>
  <c r="U5198" i="6" s="1"/>
  <c r="V5198" i="6" s="1"/>
  <c r="P5096" i="6"/>
  <c r="U5096" i="6" s="1"/>
  <c r="V5096" i="6" s="1"/>
  <c r="P5024" i="6"/>
  <c r="U5024" i="6" s="1"/>
  <c r="V5024" i="6" s="1"/>
  <c r="P5008" i="6"/>
  <c r="U5008" i="6" s="1"/>
  <c r="V5008" i="6" s="1"/>
  <c r="P4998" i="6"/>
  <c r="U4998" i="6" s="1"/>
  <c r="V4998" i="6" s="1"/>
  <c r="P4995" i="6"/>
  <c r="U4995" i="6" s="1"/>
  <c r="V4995" i="6" s="1"/>
  <c r="P4959" i="6"/>
  <c r="U4959" i="6" s="1"/>
  <c r="V4959" i="6" s="1"/>
  <c r="P4956" i="6"/>
  <c r="U4956" i="6" s="1"/>
  <c r="V4956" i="6" s="1"/>
  <c r="P4950" i="6"/>
  <c r="U4950" i="6" s="1"/>
  <c r="V4950" i="6" s="1"/>
  <c r="P4904" i="6"/>
  <c r="U4904" i="6" s="1"/>
  <c r="V4904" i="6" s="1"/>
  <c r="P4880" i="6"/>
  <c r="U4880" i="6" s="1"/>
  <c r="V4880" i="6" s="1"/>
  <c r="P4877" i="6"/>
  <c r="U4877" i="6" s="1"/>
  <c r="V4877" i="6" s="1"/>
  <c r="P4869" i="6"/>
  <c r="P4718" i="6"/>
  <c r="U4718" i="6" s="1"/>
  <c r="V4718" i="6" s="1"/>
  <c r="P4715" i="6"/>
  <c r="U4715" i="6" s="1"/>
  <c r="V4715" i="6" s="1"/>
  <c r="P4700" i="6"/>
  <c r="P4676" i="6"/>
  <c r="U4676" i="6" s="1"/>
  <c r="V4676" i="6" s="1"/>
  <c r="P4635" i="6"/>
  <c r="U4635" i="6" s="1"/>
  <c r="V4635" i="6" s="1"/>
  <c r="P4626" i="6"/>
  <c r="U4626" i="6" s="1"/>
  <c r="V4626" i="6" s="1"/>
  <c r="P4535" i="6"/>
  <c r="U4535" i="6" s="1"/>
  <c r="V4535" i="6" s="1"/>
  <c r="O4521" i="6"/>
  <c r="P4521" i="6" s="1"/>
  <c r="U4521" i="6" s="1"/>
  <c r="V4521" i="6" s="1"/>
  <c r="O4518" i="6"/>
  <c r="P4518" i="6" s="1"/>
  <c r="U4518" i="6" s="1"/>
  <c r="V4518" i="6" s="1"/>
  <c r="O4416" i="6"/>
  <c r="P4416" i="6" s="1"/>
  <c r="U4416" i="6" s="1"/>
  <c r="V4416" i="6" s="1"/>
  <c r="O4412" i="6"/>
  <c r="P4412" i="6" s="1"/>
  <c r="U4412" i="6" s="1"/>
  <c r="V4412" i="6" s="1"/>
  <c r="O4408" i="6"/>
  <c r="P4408" i="6" s="1"/>
  <c r="U4408" i="6" s="1"/>
  <c r="V4408" i="6" s="1"/>
  <c r="O4396" i="6"/>
  <c r="P4396" i="6" s="1"/>
  <c r="U4396" i="6" s="1"/>
  <c r="V4396" i="6" s="1"/>
  <c r="P5691" i="6"/>
  <c r="U5691" i="6" s="1"/>
  <c r="V5691" i="6" s="1"/>
  <c r="N5592" i="6"/>
  <c r="P5592" i="6" s="1"/>
  <c r="U5592" i="6" s="1"/>
  <c r="V5592" i="6" s="1"/>
  <c r="P5576" i="6"/>
  <c r="U5576" i="6" s="1"/>
  <c r="V5576" i="6" s="1"/>
  <c r="P5087" i="6"/>
  <c r="P4787" i="6"/>
  <c r="U4787" i="6" s="1"/>
  <c r="V4787" i="6" s="1"/>
  <c r="P4538" i="6"/>
  <c r="U4538" i="6" s="1"/>
  <c r="V4538" i="6" s="1"/>
  <c r="O4505" i="6"/>
  <c r="P4505" i="6" s="1"/>
  <c r="U4505" i="6" s="1"/>
  <c r="V4505" i="6" s="1"/>
  <c r="O4496" i="6"/>
  <c r="P4496" i="6" s="1"/>
  <c r="U4496" i="6" s="1"/>
  <c r="O4486" i="6"/>
  <c r="P4486" i="6" s="1"/>
  <c r="U4486" i="6" s="1"/>
  <c r="V4486" i="6" s="1"/>
  <c r="O4465" i="6"/>
  <c r="P4465" i="6" s="1"/>
  <c r="U4465" i="6" s="1"/>
  <c r="O4419" i="6"/>
  <c r="P4419" i="6" s="1"/>
  <c r="U4419" i="6" s="1"/>
  <c r="V4419" i="6" s="1"/>
  <c r="O4403" i="6"/>
  <c r="P4403" i="6" s="1"/>
  <c r="U4403" i="6" s="1"/>
  <c r="V4403" i="6" s="1"/>
  <c r="O4400" i="6"/>
  <c r="P4400" i="6" s="1"/>
  <c r="U4400" i="6" s="1"/>
  <c r="V4400" i="6" s="1"/>
  <c r="P4384" i="6"/>
  <c r="U4384" i="6" s="1"/>
  <c r="V4384" i="6" s="1"/>
  <c r="P4378" i="6"/>
  <c r="U4378" i="6" s="1"/>
  <c r="V4378" i="6" s="1"/>
  <c r="O4354" i="6"/>
  <c r="P4354" i="6" s="1"/>
  <c r="U4354" i="6" s="1"/>
  <c r="V4354" i="6" s="1"/>
  <c r="P5292" i="6"/>
  <c r="U5292" i="6" s="1"/>
  <c r="V5292" i="6" s="1"/>
  <c r="P5277" i="6"/>
  <c r="P5204" i="6"/>
  <c r="U5204" i="6" s="1"/>
  <c r="V5204" i="6" s="1"/>
  <c r="P5141" i="6"/>
  <c r="U5141" i="6" s="1"/>
  <c r="V5141" i="6" s="1"/>
  <c r="P5026" i="6"/>
  <c r="U5026" i="6" s="1"/>
  <c r="V5026" i="6" s="1"/>
  <c r="P4790" i="6"/>
  <c r="U4790" i="6" s="1"/>
  <c r="V4790" i="6" s="1"/>
  <c r="P4779" i="6"/>
  <c r="U4779" i="6" s="1"/>
  <c r="V4779" i="6" s="1"/>
  <c r="P4776" i="6"/>
  <c r="P4730" i="6"/>
  <c r="U4730" i="6" s="1"/>
  <c r="V4730" i="6" s="1"/>
  <c r="P4674" i="6"/>
  <c r="U4674" i="6" s="1"/>
  <c r="V4674" i="6" s="1"/>
  <c r="P5735" i="6"/>
  <c r="U5735" i="6" s="1"/>
  <c r="V5735" i="6" s="1"/>
  <c r="P5631" i="6"/>
  <c r="U5631" i="6" s="1"/>
  <c r="V5631" i="6" s="1"/>
  <c r="P5471" i="6"/>
  <c r="P5468" i="6"/>
  <c r="U5468" i="6" s="1"/>
  <c r="V5468" i="6" s="1"/>
  <c r="P5442" i="6"/>
  <c r="O4313" i="6"/>
  <c r="P4313" i="6" s="1"/>
  <c r="U4313" i="6" s="1"/>
  <c r="V4313" i="6" s="1"/>
  <c r="O4314" i="6"/>
  <c r="P4314" i="6" s="1"/>
  <c r="U4314" i="6" s="1"/>
  <c r="V4314" i="6" s="1"/>
  <c r="P5829" i="6"/>
  <c r="U5829" i="6" s="1"/>
  <c r="P5755" i="6"/>
  <c r="U5755" i="6" s="1"/>
  <c r="P5713" i="6"/>
  <c r="U5713" i="6" s="1"/>
  <c r="V5713" i="6" s="1"/>
  <c r="P5701" i="6"/>
  <c r="U5701" i="6" s="1"/>
  <c r="V5701" i="6" s="1"/>
  <c r="P5676" i="6"/>
  <c r="U5676" i="6" s="1"/>
  <c r="P5651" i="6"/>
  <c r="U5651" i="6" s="1"/>
  <c r="P5644" i="6"/>
  <c r="U5644" i="6" s="1"/>
  <c r="V5644" i="6" s="1"/>
  <c r="P5634" i="6"/>
  <c r="N5589" i="6"/>
  <c r="P5589" i="6" s="1"/>
  <c r="U5589" i="6" s="1"/>
  <c r="V5589" i="6" s="1"/>
  <c r="P5445" i="6"/>
  <c r="U5445" i="6" s="1"/>
  <c r="V5445" i="6" s="1"/>
  <c r="P5407" i="6"/>
  <c r="U5407" i="6" s="1"/>
  <c r="P5396" i="6"/>
  <c r="U5396" i="6" s="1"/>
  <c r="V5396" i="6" s="1"/>
  <c r="P5392" i="6"/>
  <c r="U5392" i="6" s="1"/>
  <c r="V5392" i="6" s="1"/>
  <c r="P5348" i="6"/>
  <c r="U5348" i="6" s="1"/>
  <c r="V5348" i="6" s="1"/>
  <c r="P5323" i="6"/>
  <c r="P5258" i="6"/>
  <c r="U5258" i="6" s="1"/>
  <c r="V5258" i="6" s="1"/>
  <c r="P5214" i="6"/>
  <c r="U5214" i="6" s="1"/>
  <c r="V5214" i="6" s="1"/>
  <c r="P5176" i="6"/>
  <c r="P5163" i="6"/>
  <c r="U5163" i="6" s="1"/>
  <c r="V5163" i="6" s="1"/>
  <c r="P5159" i="6"/>
  <c r="U5159" i="6" s="1"/>
  <c r="V5159" i="6" s="1"/>
  <c r="P5020" i="6"/>
  <c r="P5006" i="6"/>
  <c r="U5006" i="6" s="1"/>
  <c r="V5006" i="6" s="1"/>
  <c r="P4846" i="6"/>
  <c r="U4846" i="6" s="1"/>
  <c r="V4846" i="6" s="1"/>
  <c r="P4841" i="6"/>
  <c r="U4841" i="6" s="1"/>
  <c r="V4841" i="6" s="1"/>
  <c r="P4809" i="6"/>
  <c r="P4759" i="6"/>
  <c r="U4759" i="6" s="1"/>
  <c r="V4759" i="6" s="1"/>
  <c r="P4742" i="6"/>
  <c r="U4742" i="6" s="1"/>
  <c r="V4742" i="6" s="1"/>
  <c r="P4600" i="6"/>
  <c r="U4600" i="6" s="1"/>
  <c r="P4537" i="6"/>
  <c r="U4537" i="6" s="1"/>
  <c r="V4537" i="6" s="1"/>
  <c r="P4392" i="6"/>
  <c r="U4392" i="6" s="1"/>
  <c r="V4392" i="6" s="1"/>
  <c r="P4386" i="6"/>
  <c r="U4386" i="6" s="1"/>
  <c r="V4386" i="6" s="1"/>
  <c r="P4380" i="6"/>
  <c r="U4380" i="6" s="1"/>
  <c r="V4380" i="6" s="1"/>
  <c r="P4377" i="6"/>
  <c r="U4377" i="6" s="1"/>
  <c r="V4377" i="6" s="1"/>
  <c r="O4346" i="6"/>
  <c r="P4346" i="6" s="1"/>
  <c r="U4346" i="6" s="1"/>
  <c r="V4346" i="6" s="1"/>
  <c r="O4351" i="6"/>
  <c r="P4351" i="6" s="1"/>
  <c r="U4351" i="6" s="1"/>
  <c r="V4351" i="6" s="1"/>
  <c r="P4204" i="6"/>
  <c r="U4204" i="6" s="1"/>
  <c r="V4204" i="6" s="1"/>
  <c r="O4188" i="6"/>
  <c r="P4188" i="6" s="1"/>
  <c r="U4188" i="6" s="1"/>
  <c r="V4188" i="6" s="1"/>
  <c r="O4177" i="6"/>
  <c r="P4177" i="6" s="1"/>
  <c r="U4177" i="6" s="1"/>
  <c r="V4177" i="6" s="1"/>
  <c r="O4167" i="6"/>
  <c r="P4167" i="6" s="1"/>
  <c r="U4167" i="6" s="1"/>
  <c r="V4167" i="6" s="1"/>
  <c r="P4045" i="6"/>
  <c r="U4045" i="6" s="1"/>
  <c r="O4010" i="6"/>
  <c r="P4010" i="6" s="1"/>
  <c r="U4010" i="6" s="1"/>
  <c r="V4010" i="6" s="1"/>
  <c r="O4006" i="6"/>
  <c r="P4006" i="6" s="1"/>
  <c r="U4006" i="6" s="1"/>
  <c r="V4006" i="6" s="1"/>
  <c r="P3855" i="6"/>
  <c r="U3855" i="6" s="1"/>
  <c r="V3855" i="6" s="1"/>
  <c r="O3770" i="6"/>
  <c r="P3770" i="6" s="1"/>
  <c r="U3770" i="6" s="1"/>
  <c r="V3770" i="6" s="1"/>
  <c r="O3767" i="6"/>
  <c r="P3767" i="6" s="1"/>
  <c r="U3767" i="6" s="1"/>
  <c r="V3767" i="6" s="1"/>
  <c r="O3707" i="6"/>
  <c r="P3707" i="6" s="1"/>
  <c r="U3707" i="6" s="1"/>
  <c r="V3707" i="6" s="1"/>
  <c r="O3660" i="6"/>
  <c r="P3660" i="6" s="1"/>
  <c r="U3660" i="6" s="1"/>
  <c r="V3660" i="6" s="1"/>
  <c r="O3652" i="6"/>
  <c r="P3652" i="6" s="1"/>
  <c r="U3652" i="6" s="1"/>
  <c r="V3652" i="6" s="1"/>
  <c r="O3564" i="6"/>
  <c r="P3564" i="6" s="1"/>
  <c r="U3564" i="6" s="1"/>
  <c r="V3564" i="6" s="1"/>
  <c r="O3499" i="6"/>
  <c r="P3499" i="6" s="1"/>
  <c r="U3499" i="6" s="1"/>
  <c r="O3496" i="6"/>
  <c r="P3496" i="6" s="1"/>
  <c r="U3496" i="6" s="1"/>
  <c r="V3496" i="6" s="1"/>
  <c r="O3485" i="6"/>
  <c r="P3485" i="6" s="1"/>
  <c r="U3485" i="6" s="1"/>
  <c r="P3462" i="6"/>
  <c r="U3462" i="6" s="1"/>
  <c r="V3462" i="6" s="1"/>
  <c r="O3426" i="6"/>
  <c r="P3426" i="6" s="1"/>
  <c r="U3426" i="6" s="1"/>
  <c r="V3426" i="6" s="1"/>
  <c r="P3409" i="6"/>
  <c r="U3409" i="6" s="1"/>
  <c r="V3409" i="6" s="1"/>
  <c r="P3406" i="6"/>
  <c r="U3406" i="6" s="1"/>
  <c r="V3406" i="6" s="1"/>
  <c r="P3403" i="6"/>
  <c r="U3403" i="6" s="1"/>
  <c r="V3403" i="6" s="1"/>
  <c r="P3400" i="6"/>
  <c r="P3310" i="6"/>
  <c r="U3310" i="6" s="1"/>
  <c r="V3310" i="6" s="1"/>
  <c r="P3304" i="6"/>
  <c r="U3304" i="6" s="1"/>
  <c r="V3304" i="6" s="1"/>
  <c r="P3263" i="6"/>
  <c r="U3263" i="6" s="1"/>
  <c r="V3263" i="6" s="1"/>
  <c r="P3225" i="6"/>
  <c r="U3225" i="6" s="1"/>
  <c r="P3222" i="6"/>
  <c r="P3112" i="6"/>
  <c r="U3112" i="6" s="1"/>
  <c r="V3112" i="6" s="1"/>
  <c r="P3078" i="6"/>
  <c r="U3078" i="6" s="1"/>
  <c r="V3078" i="6" s="1"/>
  <c r="P3060" i="6"/>
  <c r="U3060" i="6" s="1"/>
  <c r="V3060" i="6" s="1"/>
  <c r="P3056" i="6"/>
  <c r="U3056" i="6" s="1"/>
  <c r="V3056" i="6" s="1"/>
  <c r="P3035" i="6"/>
  <c r="U3035" i="6" s="1"/>
  <c r="V3035" i="6" s="1"/>
  <c r="P2985" i="6"/>
  <c r="U2985" i="6" s="1"/>
  <c r="V2985" i="6" s="1"/>
  <c r="P2966" i="6"/>
  <c r="U2966" i="6" s="1"/>
  <c r="V2966" i="6" s="1"/>
  <c r="P2945" i="6"/>
  <c r="U2945" i="6" s="1"/>
  <c r="V2945" i="6" s="1"/>
  <c r="P2917" i="6"/>
  <c r="U2917" i="6" s="1"/>
  <c r="P2903" i="6"/>
  <c r="U2903" i="6" s="1"/>
  <c r="V2903" i="6" s="1"/>
  <c r="P2885" i="6"/>
  <c r="U2885" i="6" s="1"/>
  <c r="V2885" i="6" s="1"/>
  <c r="P2823" i="6"/>
  <c r="U2823" i="6" s="1"/>
  <c r="V2823" i="6" s="1"/>
  <c r="P2820" i="6"/>
  <c r="P2799" i="6"/>
  <c r="P2778" i="6"/>
  <c r="U2778" i="6" s="1"/>
  <c r="P2744" i="6"/>
  <c r="U2744" i="6" s="1"/>
  <c r="V2744" i="6" s="1"/>
  <c r="P2726" i="6"/>
  <c r="U2726" i="6" s="1"/>
  <c r="V2726" i="6" s="1"/>
  <c r="O2616" i="6"/>
  <c r="O2601" i="6"/>
  <c r="P2601" i="6" s="1"/>
  <c r="O2568" i="6"/>
  <c r="P2568" i="6" s="1"/>
  <c r="U2568" i="6" s="1"/>
  <c r="V2568" i="6" s="1"/>
  <c r="O2525" i="6"/>
  <c r="P2525" i="6" s="1"/>
  <c r="U2525" i="6" s="1"/>
  <c r="O2520" i="6"/>
  <c r="P2520" i="6" s="1"/>
  <c r="U2520" i="6" s="1"/>
  <c r="V2520" i="6" s="1"/>
  <c r="P2517" i="6"/>
  <c r="U2517" i="6" s="1"/>
  <c r="V2517" i="6" s="1"/>
  <c r="P2501" i="6"/>
  <c r="U2501" i="6" s="1"/>
  <c r="V2501" i="6" s="1"/>
  <c r="P2498" i="6"/>
  <c r="U2498" i="6" s="1"/>
  <c r="V2498" i="6" s="1"/>
  <c r="P2467" i="6"/>
  <c r="P2463" i="6"/>
  <c r="U2463" i="6" s="1"/>
  <c r="V2463" i="6" s="1"/>
  <c r="P2350" i="6"/>
  <c r="U2350" i="6" s="1"/>
  <c r="V2350" i="6" s="1"/>
  <c r="P2347" i="6"/>
  <c r="P2214" i="6"/>
  <c r="U2214" i="6" s="1"/>
  <c r="V2214" i="6" s="1"/>
  <c r="P2207" i="6"/>
  <c r="U2207" i="6" s="1"/>
  <c r="V2207" i="6" s="1"/>
  <c r="P2146" i="6"/>
  <c r="U2146" i="6" s="1"/>
  <c r="V2146" i="6" s="1"/>
  <c r="P2114" i="6"/>
  <c r="U2114" i="6" s="1"/>
  <c r="V2114" i="6" s="1"/>
  <c r="P2076" i="6"/>
  <c r="P1999" i="6"/>
  <c r="U1999" i="6" s="1"/>
  <c r="O4154" i="6"/>
  <c r="P4154" i="6" s="1"/>
  <c r="U4154" i="6" s="1"/>
  <c r="V4154" i="6" s="1"/>
  <c r="O3988" i="6"/>
  <c r="P3988" i="6" s="1"/>
  <c r="U3988" i="6" s="1"/>
  <c r="V3988" i="6" s="1"/>
  <c r="O3627" i="6"/>
  <c r="O3624" i="6"/>
  <c r="P3624" i="6" s="1"/>
  <c r="U3624" i="6" s="1"/>
  <c r="O3619" i="6"/>
  <c r="P3619" i="6" s="1"/>
  <c r="O3570" i="6"/>
  <c r="O3560" i="6"/>
  <c r="P3560" i="6" s="1"/>
  <c r="O3492" i="6"/>
  <c r="P3492" i="6" s="1"/>
  <c r="U3492" i="6" s="1"/>
  <c r="V3492" i="6" s="1"/>
  <c r="O3481" i="6"/>
  <c r="P3312" i="6"/>
  <c r="U3312" i="6" s="1"/>
  <c r="V3312" i="6" s="1"/>
  <c r="P2984" i="6"/>
  <c r="U2984" i="6" s="1"/>
  <c r="V2984" i="6" s="1"/>
  <c r="P2965" i="6"/>
  <c r="U2965" i="6" s="1"/>
  <c r="V2965" i="6" s="1"/>
  <c r="O2563" i="6"/>
  <c r="P2563" i="6" s="1"/>
  <c r="U2563" i="6" s="1"/>
  <c r="V2563" i="6" s="1"/>
  <c r="O2558" i="6"/>
  <c r="P2558" i="6" s="1"/>
  <c r="P2555" i="6"/>
  <c r="U2555" i="6" s="1"/>
  <c r="V2555" i="6" s="1"/>
  <c r="P2552" i="6"/>
  <c r="U2552" i="6" s="1"/>
  <c r="V2552" i="6" s="1"/>
  <c r="P2549" i="6"/>
  <c r="U2549" i="6" s="1"/>
  <c r="V2549" i="6" s="1"/>
  <c r="P2546" i="6"/>
  <c r="U2546" i="6" s="1"/>
  <c r="V2546" i="6" s="1"/>
  <c r="P2543" i="6"/>
  <c r="U2543" i="6" s="1"/>
  <c r="V2543" i="6" s="1"/>
  <c r="P2513" i="6"/>
  <c r="U2513" i="6" s="1"/>
  <c r="V2513" i="6" s="1"/>
  <c r="P2349" i="6"/>
  <c r="U2349" i="6" s="1"/>
  <c r="V2349" i="6" s="1"/>
  <c r="P2145" i="6"/>
  <c r="P1991" i="6"/>
  <c r="U1991" i="6" s="1"/>
  <c r="V1991" i="6" s="1"/>
  <c r="P1975" i="6"/>
  <c r="U1975" i="6" s="1"/>
  <c r="V1975" i="6" s="1"/>
  <c r="P1968" i="6"/>
  <c r="U1968" i="6" s="1"/>
  <c r="V1968" i="6" s="1"/>
  <c r="P1957" i="6"/>
  <c r="P1953" i="6"/>
  <c r="U1953" i="6" s="1"/>
  <c r="V1953" i="6" s="1"/>
  <c r="O4165" i="6"/>
  <c r="P4165" i="6" s="1"/>
  <c r="U4165" i="6" s="1"/>
  <c r="V4165" i="6" s="1"/>
  <c r="O3899" i="6"/>
  <c r="P3899" i="6" s="1"/>
  <c r="U3899" i="6" s="1"/>
  <c r="V3899" i="6" s="1"/>
  <c r="P3854" i="6"/>
  <c r="U3854" i="6" s="1"/>
  <c r="V3854" i="6" s="1"/>
  <c r="O3765" i="6"/>
  <c r="P3765" i="6" s="1"/>
  <c r="U3765" i="6" s="1"/>
  <c r="V3765" i="6" s="1"/>
  <c r="P3682" i="6"/>
  <c r="U3682" i="6" s="1"/>
  <c r="V3682" i="6" s="1"/>
  <c r="O3662" i="6"/>
  <c r="P3662" i="6" s="1"/>
  <c r="U3662" i="6" s="1"/>
  <c r="V3662" i="6" s="1"/>
  <c r="O3658" i="6"/>
  <c r="P3658" i="6" s="1"/>
  <c r="U3658" i="6" s="1"/>
  <c r="V3658" i="6" s="1"/>
  <c r="P3630" i="6"/>
  <c r="U3630" i="6" s="1"/>
  <c r="V3630" i="6" s="1"/>
  <c r="O3626" i="6"/>
  <c r="P3626" i="6" s="1"/>
  <c r="U3626" i="6" s="1"/>
  <c r="V3626" i="6" s="1"/>
  <c r="O3622" i="6"/>
  <c r="P3622" i="6" s="1"/>
  <c r="O3569" i="6"/>
  <c r="P3569" i="6" s="1"/>
  <c r="U3569" i="6" s="1"/>
  <c r="V3569" i="6" s="1"/>
  <c r="P3505" i="6"/>
  <c r="U3505" i="6" s="1"/>
  <c r="V3505" i="6" s="1"/>
  <c r="O3491" i="6"/>
  <c r="P3491" i="6" s="1"/>
  <c r="U3491" i="6" s="1"/>
  <c r="V3491" i="6" s="1"/>
  <c r="P3453" i="6"/>
  <c r="U3453" i="6" s="1"/>
  <c r="P3450" i="6"/>
  <c r="U3450" i="6" s="1"/>
  <c r="V3450" i="6" s="1"/>
  <c r="P3447" i="6"/>
  <c r="U3447" i="6" s="1"/>
  <c r="P3441" i="6"/>
  <c r="U3441" i="6" s="1"/>
  <c r="O3437" i="6"/>
  <c r="O3419" i="6"/>
  <c r="P3419" i="6" s="1"/>
  <c r="U3419" i="6" s="1"/>
  <c r="V3419" i="6" s="1"/>
  <c r="O3283" i="6"/>
  <c r="P3283" i="6" s="1"/>
  <c r="U3283" i="6" s="1"/>
  <c r="V3283" i="6" s="1"/>
  <c r="P3235" i="6"/>
  <c r="P3224" i="6"/>
  <c r="U3224" i="6" s="1"/>
  <c r="V3224" i="6" s="1"/>
  <c r="P3213" i="6"/>
  <c r="P3197" i="6"/>
  <c r="U3197" i="6" s="1"/>
  <c r="V3197" i="6" s="1"/>
  <c r="P3118" i="6"/>
  <c r="U3118" i="6" s="1"/>
  <c r="P3096" i="6"/>
  <c r="U3096" i="6" s="1"/>
  <c r="V3096" i="6" s="1"/>
  <c r="P3077" i="6"/>
  <c r="P2977" i="6"/>
  <c r="U2977" i="6" s="1"/>
  <c r="P2951" i="6"/>
  <c r="U2951" i="6" s="1"/>
  <c r="V2951" i="6" s="1"/>
  <c r="P2883" i="6"/>
  <c r="U2883" i="6" s="1"/>
  <c r="V2883" i="6" s="1"/>
  <c r="P2863" i="6"/>
  <c r="U2863" i="6" s="1"/>
  <c r="V2863" i="6" s="1"/>
  <c r="P2828" i="6"/>
  <c r="U2828" i="6" s="1"/>
  <c r="O2570" i="6"/>
  <c r="P2570" i="6" s="1"/>
  <c r="U2570" i="6" s="1"/>
  <c r="V2570" i="6" s="1"/>
  <c r="O2566" i="6"/>
  <c r="P2566" i="6" s="1"/>
  <c r="U2566" i="6" s="1"/>
  <c r="V2566" i="6" s="1"/>
  <c r="P2503" i="6"/>
  <c r="U2503" i="6" s="1"/>
  <c r="V2503" i="6" s="1"/>
  <c r="P2500" i="6"/>
  <c r="U2500" i="6" s="1"/>
  <c r="V2500" i="6" s="1"/>
  <c r="P2496" i="6"/>
  <c r="P2485" i="6"/>
  <c r="U2485" i="6" s="1"/>
  <c r="V2485" i="6" s="1"/>
  <c r="P2465" i="6"/>
  <c r="U2465" i="6" s="1"/>
  <c r="V2465" i="6" s="1"/>
  <c r="P2453" i="6"/>
  <c r="U2453" i="6" s="1"/>
  <c r="P2396" i="6"/>
  <c r="U2396" i="6" s="1"/>
  <c r="V2396" i="6" s="1"/>
  <c r="P2366" i="6"/>
  <c r="P2190" i="6"/>
  <c r="P2186" i="6"/>
  <c r="U2186" i="6" s="1"/>
  <c r="V2186" i="6" s="1"/>
  <c r="P2172" i="6"/>
  <c r="P2165" i="6"/>
  <c r="P2162" i="6"/>
  <c r="P2158" i="6"/>
  <c r="P2141" i="6"/>
  <c r="U2141" i="6" s="1"/>
  <c r="V2141" i="6" s="1"/>
  <c r="P2127" i="6"/>
  <c r="U2127" i="6" s="1"/>
  <c r="P2123" i="6"/>
  <c r="U2123" i="6" s="1"/>
  <c r="V2123" i="6" s="1"/>
  <c r="P2094" i="6"/>
  <c r="U2094" i="6" s="1"/>
  <c r="V2094" i="6" s="1"/>
  <c r="P2090" i="6"/>
  <c r="P2018" i="6"/>
  <c r="U2018" i="6" s="1"/>
  <c r="V2018" i="6" s="1"/>
  <c r="P2001" i="6"/>
  <c r="U2001" i="6" s="1"/>
  <c r="V2001" i="6" s="1"/>
  <c r="P1997" i="6"/>
  <c r="U1997" i="6" s="1"/>
  <c r="V1997" i="6" s="1"/>
  <c r="P1990" i="6"/>
  <c r="U1990" i="6" s="1"/>
  <c r="P1984" i="6"/>
  <c r="P1974" i="6"/>
  <c r="U1974" i="6" s="1"/>
  <c r="V1974" i="6" s="1"/>
  <c r="P4329" i="6"/>
  <c r="U4329" i="6" s="1"/>
  <c r="V4329" i="6" s="1"/>
  <c r="P4324" i="6"/>
  <c r="U4324" i="6" s="1"/>
  <c r="V4324" i="6" s="1"/>
  <c r="O4168" i="6"/>
  <c r="P4168" i="6" s="1"/>
  <c r="U4168" i="6" s="1"/>
  <c r="V4168" i="6" s="1"/>
  <c r="O4160" i="6"/>
  <c r="P4160" i="6" s="1"/>
  <c r="U4160" i="6" s="1"/>
  <c r="O4077" i="6"/>
  <c r="P4077" i="6" s="1"/>
  <c r="U4077" i="6" s="1"/>
  <c r="V4077" i="6" s="1"/>
  <c r="P4025" i="6"/>
  <c r="O3997" i="6"/>
  <c r="P3997" i="6" s="1"/>
  <c r="U3997" i="6" s="1"/>
  <c r="V3997" i="6" s="1"/>
  <c r="O3989" i="6"/>
  <c r="P3989" i="6" s="1"/>
  <c r="O3981" i="6"/>
  <c r="P3981" i="6" s="1"/>
  <c r="U3981" i="6" s="1"/>
  <c r="V3981" i="6" s="1"/>
  <c r="O3976" i="6"/>
  <c r="P3976" i="6" s="1"/>
  <c r="U3976" i="6" s="1"/>
  <c r="V3976" i="6" s="1"/>
  <c r="O3771" i="6"/>
  <c r="P3771" i="6" s="1"/>
  <c r="U3771" i="6" s="1"/>
  <c r="V3771" i="6" s="1"/>
  <c r="O3708" i="6"/>
  <c r="P3708" i="6" s="1"/>
  <c r="U3708" i="6" s="1"/>
  <c r="V3708" i="6" s="1"/>
  <c r="O3688" i="6"/>
  <c r="P3688" i="6" s="1"/>
  <c r="U3688" i="6" s="1"/>
  <c r="V3688" i="6" s="1"/>
  <c r="O3684" i="6"/>
  <c r="P3684" i="6" s="1"/>
  <c r="U3684" i="6" s="1"/>
  <c r="V3684" i="6" s="1"/>
  <c r="O3665" i="6"/>
  <c r="P3665" i="6" s="1"/>
  <c r="U3665" i="6" s="1"/>
  <c r="V3665" i="6" s="1"/>
  <c r="O3565" i="6"/>
  <c r="P3565" i="6" s="1"/>
  <c r="P3509" i="6"/>
  <c r="U3509" i="6" s="1"/>
  <c r="V3509" i="6" s="1"/>
  <c r="O3500" i="6"/>
  <c r="P3500" i="6" s="1"/>
  <c r="U3500" i="6" s="1"/>
  <c r="V3500" i="6" s="1"/>
  <c r="O3497" i="6"/>
  <c r="P3497" i="6" s="1"/>
  <c r="U3497" i="6" s="1"/>
  <c r="O3487" i="6"/>
  <c r="P3487" i="6" s="1"/>
  <c r="U3487" i="6" s="1"/>
  <c r="V3487" i="6" s="1"/>
  <c r="O3432" i="6"/>
  <c r="P3432" i="6" s="1"/>
  <c r="U3432" i="6" s="1"/>
  <c r="V3432" i="6" s="1"/>
  <c r="O3428" i="6"/>
  <c r="P3238" i="6"/>
  <c r="U3238" i="6" s="1"/>
  <c r="V3238" i="6" s="1"/>
  <c r="P3061" i="6"/>
  <c r="U3061" i="6" s="1"/>
  <c r="V3061" i="6" s="1"/>
  <c r="P3036" i="6"/>
  <c r="U3036" i="6" s="1"/>
  <c r="V3036" i="6" s="1"/>
  <c r="P3022" i="6"/>
  <c r="U3022" i="6" s="1"/>
  <c r="P2932" i="6"/>
  <c r="U2932" i="6" s="1"/>
  <c r="V2932" i="6" s="1"/>
  <c r="P2557" i="6"/>
  <c r="U2557" i="6" s="1"/>
  <c r="V2557" i="6" s="1"/>
  <c r="P2554" i="6"/>
  <c r="U2554" i="6" s="1"/>
  <c r="V2554" i="6" s="1"/>
  <c r="P2551" i="6"/>
  <c r="U2551" i="6" s="1"/>
  <c r="V2551" i="6" s="1"/>
  <c r="P2548" i="6"/>
  <c r="U2548" i="6" s="1"/>
  <c r="V2548" i="6" s="1"/>
  <c r="P2545" i="6"/>
  <c r="U2545" i="6" s="1"/>
  <c r="V2545" i="6" s="1"/>
  <c r="P2542" i="6"/>
  <c r="U2542" i="6" s="1"/>
  <c r="V2542" i="6" s="1"/>
  <c r="P2515" i="6"/>
  <c r="U2515" i="6" s="1"/>
  <c r="V2515" i="6" s="1"/>
  <c r="P2511" i="6"/>
  <c r="U2511" i="6" s="1"/>
  <c r="V2511" i="6" s="1"/>
  <c r="P2480" i="6"/>
  <c r="P2432" i="6"/>
  <c r="P2361" i="6"/>
  <c r="U2361" i="6" s="1"/>
  <c r="V2361" i="6" s="1"/>
  <c r="P2337" i="6"/>
  <c r="U2337" i="6" s="1"/>
  <c r="V2337" i="6" s="1"/>
  <c r="P2321" i="6"/>
  <c r="U2321" i="6" s="1"/>
  <c r="V2321" i="6" s="1"/>
  <c r="P2292" i="6"/>
  <c r="U2292" i="6" s="1"/>
  <c r="V2292" i="6" s="1"/>
  <c r="P2211" i="6"/>
  <c r="U2211" i="6" s="1"/>
  <c r="P2208" i="6"/>
  <c r="P2147" i="6"/>
  <c r="U2147" i="6" s="1"/>
  <c r="P2137" i="6"/>
  <c r="U2137" i="6" s="1"/>
  <c r="P2106" i="6"/>
  <c r="N1826" i="6"/>
  <c r="P1826" i="6" s="1"/>
  <c r="O4231" i="6"/>
  <c r="P4231" i="6" s="1"/>
  <c r="U4231" i="6" s="1"/>
  <c r="O4227" i="6"/>
  <c r="P4227" i="6" s="1"/>
  <c r="U4227" i="6" s="1"/>
  <c r="V4227" i="6" s="1"/>
  <c r="O4223" i="6"/>
  <c r="O4185" i="6"/>
  <c r="P4185" i="6" s="1"/>
  <c r="U4185" i="6" s="1"/>
  <c r="V4185" i="6" s="1"/>
  <c r="O4181" i="6"/>
  <c r="P4181" i="6" s="1"/>
  <c r="U4181" i="6" s="1"/>
  <c r="V4181" i="6" s="1"/>
  <c r="O4178" i="6"/>
  <c r="P4178" i="6" s="1"/>
  <c r="U4178" i="6" s="1"/>
  <c r="V4178" i="6" s="1"/>
  <c r="P4114" i="6"/>
  <c r="U4114" i="6" s="1"/>
  <c r="V4114" i="6" s="1"/>
  <c r="O4003" i="6"/>
  <c r="P4003" i="6" s="1"/>
  <c r="U4003" i="6" s="1"/>
  <c r="V4003" i="6" s="1"/>
  <c r="O3985" i="6"/>
  <c r="P3985" i="6" s="1"/>
  <c r="U3985" i="6" s="1"/>
  <c r="V3985" i="6" s="1"/>
  <c r="P3977" i="6"/>
  <c r="U3977" i="6" s="1"/>
  <c r="V3977" i="6" s="1"/>
  <c r="O3917" i="6"/>
  <c r="P3917" i="6" s="1"/>
  <c r="U3917" i="6" s="1"/>
  <c r="V3917" i="6" s="1"/>
  <c r="O3912" i="6"/>
  <c r="P3912" i="6" s="1"/>
  <c r="U3912" i="6" s="1"/>
  <c r="V3912" i="6" s="1"/>
  <c r="O3902" i="6"/>
  <c r="P3902" i="6" s="1"/>
  <c r="U3902" i="6" s="1"/>
  <c r="O3764" i="6"/>
  <c r="P3764" i="6" s="1"/>
  <c r="U3764" i="6" s="1"/>
  <c r="V3764" i="6" s="1"/>
  <c r="O3760" i="6"/>
  <c r="P3760" i="6" s="1"/>
  <c r="U3760" i="6" s="1"/>
  <c r="O3668" i="6"/>
  <c r="P3668" i="6" s="1"/>
  <c r="U3668" i="6" s="1"/>
  <c r="V3668" i="6" s="1"/>
  <c r="O3656" i="6"/>
  <c r="P3656" i="6" s="1"/>
  <c r="U3656" i="6" s="1"/>
  <c r="V3656" i="6" s="1"/>
  <c r="O3649" i="6"/>
  <c r="P3649" i="6" s="1"/>
  <c r="U3649" i="6" s="1"/>
  <c r="V3649" i="6" s="1"/>
  <c r="O3628" i="6"/>
  <c r="P3628" i="6" s="1"/>
  <c r="U3628" i="6" s="1"/>
  <c r="V3628" i="6" s="1"/>
  <c r="O3625" i="6"/>
  <c r="P3625" i="6" s="1"/>
  <c r="U3625" i="6" s="1"/>
  <c r="V3625" i="6" s="1"/>
  <c r="O3571" i="6"/>
  <c r="P3571" i="6" s="1"/>
  <c r="U3571" i="6" s="1"/>
  <c r="V3571" i="6" s="1"/>
  <c r="O3568" i="6"/>
  <c r="P3568" i="6" s="1"/>
  <c r="U3568" i="6" s="1"/>
  <c r="V3568" i="6" s="1"/>
  <c r="O3561" i="6"/>
  <c r="P3561" i="6" s="1"/>
  <c r="U3561" i="6" s="1"/>
  <c r="O3557" i="6"/>
  <c r="P3557" i="6" s="1"/>
  <c r="U3557" i="6" s="1"/>
  <c r="O3493" i="6"/>
  <c r="P3493" i="6" s="1"/>
  <c r="U3493" i="6" s="1"/>
  <c r="V3493" i="6" s="1"/>
  <c r="O3490" i="6"/>
  <c r="P3490" i="6" s="1"/>
  <c r="U3490" i="6" s="1"/>
  <c r="V3490" i="6" s="1"/>
  <c r="O3482" i="6"/>
  <c r="P3482" i="6" s="1"/>
  <c r="U3482" i="6" s="1"/>
  <c r="V3482" i="6" s="1"/>
  <c r="O3286" i="6"/>
  <c r="P3286" i="6" s="1"/>
  <c r="U3286" i="6" s="1"/>
  <c r="V3286" i="6" s="1"/>
  <c r="O3277" i="6"/>
  <c r="P3277" i="6" s="1"/>
  <c r="U3277" i="6" s="1"/>
  <c r="V3277" i="6" s="1"/>
  <c r="P2850" i="6"/>
  <c r="U2850" i="6" s="1"/>
  <c r="V2850" i="6" s="1"/>
  <c r="P2803" i="6"/>
  <c r="U2803" i="6" s="1"/>
  <c r="P2796" i="6"/>
  <c r="U2796" i="6" s="1"/>
  <c r="V2796" i="6" s="1"/>
  <c r="P2615" i="6"/>
  <c r="U2615" i="6" s="1"/>
  <c r="V2615" i="6" s="1"/>
  <c r="O2530" i="6"/>
  <c r="P2530" i="6" s="1"/>
  <c r="U2530" i="6" s="1"/>
  <c r="V2530" i="6" s="1"/>
  <c r="P2317" i="6"/>
  <c r="U2317" i="6" s="1"/>
  <c r="V2317" i="6" s="1"/>
  <c r="P2279" i="6"/>
  <c r="U2279" i="6" s="1"/>
  <c r="V2279" i="6" s="1"/>
  <c r="P2140" i="6"/>
  <c r="U2140" i="6" s="1"/>
  <c r="V2140" i="6" s="1"/>
  <c r="P2122" i="6"/>
  <c r="P2025" i="6"/>
  <c r="U2025" i="6" s="1"/>
  <c r="V2025" i="6" s="1"/>
  <c r="P2021" i="6"/>
  <c r="U2021" i="6" s="1"/>
  <c r="V2021" i="6" s="1"/>
  <c r="P2009" i="6"/>
  <c r="U2009" i="6" s="1"/>
  <c r="V2009" i="6" s="1"/>
  <c r="P2003" i="6"/>
  <c r="U2003" i="6" s="1"/>
  <c r="V2003" i="6" s="1"/>
  <c r="P1996" i="6"/>
  <c r="U1996" i="6" s="1"/>
  <c r="V1996" i="6" s="1"/>
  <c r="P1992" i="6"/>
  <c r="U1992" i="6" s="1"/>
  <c r="V1992" i="6" s="1"/>
  <c r="P1976" i="6"/>
  <c r="U1976" i="6" s="1"/>
  <c r="V1976" i="6" s="1"/>
  <c r="P1882" i="6"/>
  <c r="P1921" i="6"/>
  <c r="P1911" i="6"/>
  <c r="U1911" i="6" s="1"/>
  <c r="V1911" i="6" s="1"/>
  <c r="P1908" i="6"/>
  <c r="U1908" i="6" s="1"/>
  <c r="V1908" i="6" s="1"/>
  <c r="P1873" i="6"/>
  <c r="P1856" i="6"/>
  <c r="U1856" i="6" s="1"/>
  <c r="V1856" i="6" s="1"/>
  <c r="P1821" i="6"/>
  <c r="P1738" i="6"/>
  <c r="U1738" i="6" s="1"/>
  <c r="V1738" i="6" s="1"/>
  <c r="P1734" i="6"/>
  <c r="U1734" i="6" s="1"/>
  <c r="V1734" i="6" s="1"/>
  <c r="P1730" i="6"/>
  <c r="U1730" i="6" s="1"/>
  <c r="V1730" i="6" s="1"/>
  <c r="P1480" i="6"/>
  <c r="U1480" i="6" s="1"/>
  <c r="V1480" i="6" s="1"/>
  <c r="P1471" i="6"/>
  <c r="U1471" i="6" s="1"/>
  <c r="P1341" i="6"/>
  <c r="P1198" i="6"/>
  <c r="U1198" i="6" s="1"/>
  <c r="V1198" i="6" s="1"/>
  <c r="P659" i="6"/>
  <c r="U659" i="6" s="1"/>
  <c r="V659" i="6" s="1"/>
  <c r="P567" i="6"/>
  <c r="U567" i="6" s="1"/>
  <c r="V567" i="6" s="1"/>
  <c r="P431" i="6"/>
  <c r="U431" i="6" s="1"/>
  <c r="V431" i="6" s="1"/>
  <c r="P1967" i="6"/>
  <c r="U1967" i="6" s="1"/>
  <c r="V1967" i="6" s="1"/>
  <c r="P1963" i="6"/>
  <c r="U1963" i="6" s="1"/>
  <c r="V1963" i="6" s="1"/>
  <c r="P1959" i="6"/>
  <c r="U1959" i="6" s="1"/>
  <c r="V1959" i="6" s="1"/>
  <c r="P1928" i="6"/>
  <c r="U1928" i="6" s="1"/>
  <c r="V1928" i="6" s="1"/>
  <c r="P1917" i="6"/>
  <c r="N1614" i="6"/>
  <c r="P1326" i="6"/>
  <c r="U1326" i="6" s="1"/>
  <c r="V1326" i="6" s="1"/>
  <c r="O1053" i="6"/>
  <c r="P1053" i="6" s="1"/>
  <c r="U1053" i="6" s="1"/>
  <c r="V1053" i="6" s="1"/>
  <c r="O1049" i="6"/>
  <c r="P1049" i="6" s="1"/>
  <c r="U1049" i="6" s="1"/>
  <c r="V1049" i="6" s="1"/>
  <c r="P1782" i="6"/>
  <c r="U1782" i="6" s="1"/>
  <c r="V1782" i="6" s="1"/>
  <c r="P1740" i="6"/>
  <c r="U1740" i="6" s="1"/>
  <c r="V1740" i="6" s="1"/>
  <c r="P1715" i="6"/>
  <c r="P1683" i="6"/>
  <c r="P994" i="6"/>
  <c r="P801" i="6"/>
  <c r="U801" i="6" s="1"/>
  <c r="P776" i="6"/>
  <c r="U776" i="6" s="1"/>
  <c r="P422" i="6"/>
  <c r="U422" i="6" s="1"/>
  <c r="V422" i="6" s="1"/>
  <c r="P1711" i="6"/>
  <c r="U1711" i="6" s="1"/>
  <c r="V1711" i="6" s="1"/>
  <c r="P1694" i="6"/>
  <c r="U1694" i="6" s="1"/>
  <c r="V1694" i="6" s="1"/>
  <c r="P1460" i="6"/>
  <c r="U1460" i="6" s="1"/>
  <c r="V1460" i="6" s="1"/>
  <c r="P1229" i="6"/>
  <c r="P673" i="6"/>
  <c r="P432" i="6"/>
  <c r="U432" i="6" s="1"/>
  <c r="P1784" i="6"/>
  <c r="U1784" i="6" s="1"/>
  <c r="V1784" i="6" s="1"/>
  <c r="P1728" i="6"/>
  <c r="U1728" i="6" s="1"/>
  <c r="V1728" i="6" s="1"/>
  <c r="P1689" i="6"/>
  <c r="U1689" i="6" s="1"/>
  <c r="V1689" i="6" s="1"/>
  <c r="P1448" i="6"/>
  <c r="U1448" i="6" s="1"/>
  <c r="V1448" i="6" s="1"/>
  <c r="P1164" i="6"/>
  <c r="U1164" i="6" s="1"/>
  <c r="V1164" i="6" s="1"/>
  <c r="O1054" i="6"/>
  <c r="P1054" i="6" s="1"/>
  <c r="U1054" i="6" s="1"/>
  <c r="V1054" i="6" s="1"/>
  <c r="O1050" i="6"/>
  <c r="P1050" i="6" s="1"/>
  <c r="U1050" i="6" s="1"/>
  <c r="P996" i="6"/>
  <c r="U996" i="6" s="1"/>
  <c r="P497" i="6"/>
  <c r="U497" i="6" s="1"/>
  <c r="V497" i="6" s="1"/>
  <c r="P5757" i="6"/>
  <c r="U5757" i="6" s="1"/>
  <c r="V5757" i="6" s="1"/>
  <c r="H238" i="14"/>
  <c r="O1777" i="6" s="1"/>
  <c r="N1773" i="6"/>
  <c r="N1771" i="6"/>
  <c r="N1743" i="6"/>
  <c r="N1681" i="6"/>
  <c r="P1681" i="6" s="1"/>
  <c r="U1681" i="6" s="1"/>
  <c r="V1681" i="6" s="1"/>
  <c r="N5815" i="6"/>
  <c r="P5815" i="6" s="1"/>
  <c r="U5815" i="6" s="1"/>
  <c r="V5815" i="6" s="1"/>
  <c r="N5814" i="6"/>
  <c r="P5814" i="6" s="1"/>
  <c r="U5814" i="6" s="1"/>
  <c r="V5814" i="6" s="1"/>
  <c r="P1780" i="6"/>
  <c r="P1726" i="6"/>
  <c r="U1726" i="6" s="1"/>
  <c r="V1726" i="6" s="1"/>
  <c r="P1722" i="6"/>
  <c r="P1658" i="6"/>
  <c r="P1592" i="6"/>
  <c r="P1473" i="6"/>
  <c r="U1473" i="6" s="1"/>
  <c r="P1466" i="6"/>
  <c r="U1466" i="6" s="1"/>
  <c r="V1466" i="6" s="1"/>
  <c r="P1461" i="6"/>
  <c r="U1461" i="6" s="1"/>
  <c r="V1461" i="6" s="1"/>
  <c r="P1455" i="6"/>
  <c r="U1455" i="6" s="1"/>
  <c r="V1455" i="6" s="1"/>
  <c r="N1430" i="6"/>
  <c r="P1430" i="6" s="1"/>
  <c r="U1430" i="6" s="1"/>
  <c r="V1430" i="6" s="1"/>
  <c r="N1367" i="6"/>
  <c r="P1322" i="6"/>
  <c r="U1322" i="6" s="1"/>
  <c r="V1322" i="6" s="1"/>
  <c r="P1187" i="6"/>
  <c r="U1187" i="6" s="1"/>
  <c r="V1187" i="6" s="1"/>
  <c r="P1149" i="6"/>
  <c r="P1026" i="6"/>
  <c r="U1026" i="6" s="1"/>
  <c r="V1026" i="6" s="1"/>
  <c r="P1002" i="6"/>
  <c r="U1002" i="6" s="1"/>
  <c r="V1002" i="6" s="1"/>
  <c r="P998" i="6"/>
  <c r="U998" i="6" s="1"/>
  <c r="V998" i="6" s="1"/>
  <c r="P992" i="6"/>
  <c r="U992" i="6" s="1"/>
  <c r="V992" i="6" s="1"/>
  <c r="P975" i="6"/>
  <c r="U975" i="6" s="1"/>
  <c r="V975" i="6" s="1"/>
  <c r="P969" i="6"/>
  <c r="U969" i="6" s="1"/>
  <c r="V969" i="6" s="1"/>
  <c r="P698" i="6"/>
  <c r="U698" i="6" s="1"/>
  <c r="V698" i="6" s="1"/>
  <c r="P654" i="6"/>
  <c r="U654" i="6" s="1"/>
  <c r="P549" i="6"/>
  <c r="U549" i="6" s="1"/>
  <c r="V549" i="6" s="1"/>
  <c r="P301" i="6"/>
  <c r="U301" i="6" s="1"/>
  <c r="V301" i="6" s="1"/>
  <c r="P18" i="6"/>
  <c r="U18" i="6" s="1"/>
  <c r="P1702" i="6"/>
  <c r="U1702" i="6" s="1"/>
  <c r="P1691" i="6"/>
  <c r="U1691" i="6" s="1"/>
  <c r="V1691" i="6" s="1"/>
  <c r="P1661" i="6"/>
  <c r="U1661" i="6" s="1"/>
  <c r="P1587" i="6"/>
  <c r="N1497" i="6"/>
  <c r="P1497" i="6" s="1"/>
  <c r="U1497" i="6" s="1"/>
  <c r="V1497" i="6" s="1"/>
  <c r="P1324" i="6"/>
  <c r="U1324" i="6" s="1"/>
  <c r="V1324" i="6" s="1"/>
  <c r="P1321" i="6"/>
  <c r="P1199" i="6"/>
  <c r="U1199" i="6" s="1"/>
  <c r="V1199" i="6" s="1"/>
  <c r="P1156" i="6"/>
  <c r="P1099" i="6"/>
  <c r="P1001" i="6"/>
  <c r="U1001" i="6" s="1"/>
  <c r="V1001" i="6" s="1"/>
  <c r="P991" i="6"/>
  <c r="P968" i="6"/>
  <c r="U968" i="6" s="1"/>
  <c r="V968" i="6" s="1"/>
  <c r="P665" i="6"/>
  <c r="U665" i="6" s="1"/>
  <c r="V665" i="6" s="1"/>
  <c r="P635" i="6"/>
  <c r="U635" i="6" s="1"/>
  <c r="V635" i="6" s="1"/>
  <c r="P515" i="6"/>
  <c r="P462" i="6"/>
  <c r="N1374" i="6"/>
  <c r="P1224" i="6"/>
  <c r="U1224" i="6" s="1"/>
  <c r="V1224" i="6" s="1"/>
  <c r="P1193" i="6"/>
  <c r="U1193" i="6" s="1"/>
  <c r="V1193" i="6" s="1"/>
  <c r="P1151" i="6"/>
  <c r="P1077" i="6"/>
  <c r="U1077" i="6" s="1"/>
  <c r="V1077" i="6" s="1"/>
  <c r="P1071" i="6"/>
  <c r="P1028" i="6"/>
  <c r="U1028" i="6" s="1"/>
  <c r="V1028" i="6" s="1"/>
  <c r="P967" i="6"/>
  <c r="U967" i="6" s="1"/>
  <c r="V967" i="6" s="1"/>
  <c r="P844" i="6"/>
  <c r="U844" i="6" s="1"/>
  <c r="V844" i="6" s="1"/>
  <c r="P689" i="6"/>
  <c r="U689" i="6" s="1"/>
  <c r="V689" i="6" s="1"/>
  <c r="P653" i="6"/>
  <c r="U653" i="6" s="1"/>
  <c r="V653" i="6" s="1"/>
  <c r="P647" i="6"/>
  <c r="U647" i="6" s="1"/>
  <c r="V647" i="6" s="1"/>
  <c r="P644" i="6"/>
  <c r="P428" i="6"/>
  <c r="U428" i="6" s="1"/>
  <c r="V428" i="6" s="1"/>
  <c r="P1474" i="6"/>
  <c r="U1474" i="6" s="1"/>
  <c r="P1405" i="6"/>
  <c r="U1405" i="6" s="1"/>
  <c r="V1405" i="6" s="1"/>
  <c r="P1323" i="6"/>
  <c r="U1323" i="6" s="1"/>
  <c r="V1323" i="6" s="1"/>
  <c r="P1167" i="6"/>
  <c r="U1167" i="6" s="1"/>
  <c r="V1167" i="6" s="1"/>
  <c r="P1158" i="6"/>
  <c r="P839" i="6"/>
  <c r="U839" i="6" s="1"/>
  <c r="V839" i="6" s="1"/>
  <c r="P652" i="6"/>
  <c r="U652" i="6" s="1"/>
  <c r="V652" i="6" s="1"/>
  <c r="P15" i="6"/>
  <c r="U15" i="6" s="1"/>
  <c r="V15" i="6" s="1"/>
  <c r="P5800" i="6"/>
  <c r="U5800" i="6" s="1"/>
  <c r="V5800" i="6" s="1"/>
  <c r="N5796" i="6"/>
  <c r="N5795" i="6"/>
  <c r="P5795" i="6" s="1"/>
  <c r="U5795" i="6" s="1"/>
  <c r="V5795" i="6" s="1"/>
  <c r="P366" i="14"/>
  <c r="U4851" i="6"/>
  <c r="U4705" i="6"/>
  <c r="V4705" i="6" s="1"/>
  <c r="M651" i="14"/>
  <c r="R651" i="14" s="1"/>
  <c r="P174" i="14"/>
  <c r="P491" i="14"/>
  <c r="P248" i="14"/>
  <c r="Q820" i="14"/>
  <c r="N5853" i="6"/>
  <c r="P5853" i="6" s="1"/>
  <c r="U5853" i="6" s="1"/>
  <c r="P5837" i="6"/>
  <c r="U5837" i="6" s="1"/>
  <c r="P5826" i="6"/>
  <c r="U5826" i="6" s="1"/>
  <c r="P5777" i="6"/>
  <c r="P5732" i="6"/>
  <c r="P5725" i="6"/>
  <c r="U5725" i="6" s="1"/>
  <c r="V5725" i="6" s="1"/>
  <c r="P5702" i="6"/>
  <c r="U5702" i="6" s="1"/>
  <c r="P5648" i="6"/>
  <c r="U5648" i="6" s="1"/>
  <c r="V5648" i="6" s="1"/>
  <c r="P5536" i="6"/>
  <c r="U5536" i="6" s="1"/>
  <c r="P5533" i="6"/>
  <c r="U5533" i="6" s="1"/>
  <c r="V5533" i="6" s="1"/>
  <c r="P5524" i="6"/>
  <c r="P5513" i="6"/>
  <c r="U5513" i="6" s="1"/>
  <c r="V5513" i="6" s="1"/>
  <c r="P5482" i="6"/>
  <c r="U5482" i="6" s="1"/>
  <c r="V5482" i="6" s="1"/>
  <c r="P5447" i="6"/>
  <c r="U5447" i="6" s="1"/>
  <c r="V5447" i="6" s="1"/>
  <c r="P5438" i="6"/>
  <c r="U5438" i="6" s="1"/>
  <c r="V5438" i="6" s="1"/>
  <c r="P5432" i="6"/>
  <c r="P5422" i="6"/>
  <c r="U5422" i="6" s="1"/>
  <c r="V5422" i="6" s="1"/>
  <c r="O4524" i="6"/>
  <c r="O4523" i="6"/>
  <c r="P4523" i="6" s="1"/>
  <c r="U4523" i="6" s="1"/>
  <c r="V4523" i="6" s="1"/>
  <c r="P5724" i="6"/>
  <c r="P5580" i="6"/>
  <c r="U5580" i="6" s="1"/>
  <c r="V5580" i="6" s="1"/>
  <c r="P5535" i="6"/>
  <c r="U5535" i="6" s="1"/>
  <c r="P5532" i="6"/>
  <c r="U5532" i="6" s="1"/>
  <c r="P5351" i="6"/>
  <c r="U5351" i="6" s="1"/>
  <c r="V5351" i="6" s="1"/>
  <c r="P5342" i="6"/>
  <c r="P5289" i="6"/>
  <c r="P5260" i="6"/>
  <c r="U5260" i="6" s="1"/>
  <c r="V5260" i="6" s="1"/>
  <c r="P5192" i="6"/>
  <c r="U5192" i="6" s="1"/>
  <c r="V5192" i="6" s="1"/>
  <c r="P5186" i="6"/>
  <c r="U5186" i="6" s="1"/>
  <c r="V5186" i="6" s="1"/>
  <c r="P5157" i="6"/>
  <c r="U5157" i="6" s="1"/>
  <c r="V5157" i="6" s="1"/>
  <c r="P5154" i="6"/>
  <c r="U5154" i="6" s="1"/>
  <c r="V5154" i="6" s="1"/>
  <c r="P5151" i="6"/>
  <c r="U5151" i="6" s="1"/>
  <c r="V5151" i="6" s="1"/>
  <c r="P5123" i="6"/>
  <c r="U5123" i="6" s="1"/>
  <c r="V5123" i="6" s="1"/>
  <c r="P5082" i="6"/>
  <c r="U5082" i="6" s="1"/>
  <c r="V5082" i="6" s="1"/>
  <c r="P5038" i="6"/>
  <c r="P5027" i="6"/>
  <c r="U5027" i="6" s="1"/>
  <c r="V5027" i="6" s="1"/>
  <c r="P4945" i="6"/>
  <c r="U4945" i="6" s="1"/>
  <c r="V4945" i="6" s="1"/>
  <c r="P4903" i="6"/>
  <c r="U4903" i="6" s="1"/>
  <c r="V4903" i="6" s="1"/>
  <c r="P4812" i="6"/>
  <c r="U4812" i="6" s="1"/>
  <c r="V4812" i="6" s="1"/>
  <c r="P4739" i="6"/>
  <c r="U4739" i="6" s="1"/>
  <c r="V4739" i="6" s="1"/>
  <c r="P4736" i="6"/>
  <c r="U4736" i="6" s="1"/>
  <c r="V4736" i="6" s="1"/>
  <c r="P4733" i="6"/>
  <c r="U4733" i="6" s="1"/>
  <c r="V4733" i="6" s="1"/>
  <c r="P4648" i="6"/>
  <c r="U4648" i="6" s="1"/>
  <c r="V4648" i="6" s="1"/>
  <c r="P4645" i="6"/>
  <c r="U4645" i="6" s="1"/>
  <c r="V4645" i="6" s="1"/>
  <c r="P4639" i="6"/>
  <c r="P4634" i="6"/>
  <c r="U4634" i="6" s="1"/>
  <c r="V4634" i="6" s="1"/>
  <c r="P4604" i="6"/>
  <c r="U4604" i="6" s="1"/>
  <c r="V4604" i="6" s="1"/>
  <c r="P4566" i="6"/>
  <c r="U4566" i="6" s="1"/>
  <c r="V4566" i="6" s="1"/>
  <c r="P4533" i="6"/>
  <c r="P4999" i="6"/>
  <c r="U4999" i="6" s="1"/>
  <c r="V4999" i="6" s="1"/>
  <c r="P4986" i="6"/>
  <c r="U4986" i="6" s="1"/>
  <c r="V4986" i="6" s="1"/>
  <c r="P4840" i="6"/>
  <c r="P4793" i="6"/>
  <c r="U4793" i="6" s="1"/>
  <c r="V4793" i="6" s="1"/>
  <c r="P4719" i="6"/>
  <c r="U4719" i="6" s="1"/>
  <c r="V4719" i="6" s="1"/>
  <c r="P5835" i="6"/>
  <c r="U5835" i="6" s="1"/>
  <c r="P5762" i="6"/>
  <c r="P5741" i="6"/>
  <c r="U5741" i="6" s="1"/>
  <c r="V5741" i="6" s="1"/>
  <c r="P5679" i="6"/>
  <c r="U5679" i="6" s="1"/>
  <c r="P5641" i="6"/>
  <c r="U5641" i="6" s="1"/>
  <c r="P5613" i="6"/>
  <c r="N5595" i="6"/>
  <c r="P5595" i="6" s="1"/>
  <c r="U5595" i="6" s="1"/>
  <c r="V5595" i="6" s="1"/>
  <c r="P5566" i="6"/>
  <c r="P5556" i="6"/>
  <c r="U5556" i="6" s="1"/>
  <c r="P5550" i="6"/>
  <c r="U5550" i="6" s="1"/>
  <c r="V5550" i="6" s="1"/>
  <c r="P5512" i="6"/>
  <c r="U5512" i="6" s="1"/>
  <c r="V5512" i="6" s="1"/>
  <c r="P5495" i="6"/>
  <c r="P5485" i="6"/>
  <c r="U5485" i="6" s="1"/>
  <c r="V5485" i="6" s="1"/>
  <c r="P5472" i="6"/>
  <c r="U5472" i="6" s="1"/>
  <c r="V5472" i="6" s="1"/>
  <c r="P5470" i="6"/>
  <c r="U5470" i="6" s="1"/>
  <c r="V5470" i="6" s="1"/>
  <c r="P5462" i="6"/>
  <c r="U5462" i="6" s="1"/>
  <c r="P5453" i="6"/>
  <c r="P5426" i="6"/>
  <c r="U5426" i="6" s="1"/>
  <c r="V5426" i="6" s="1"/>
  <c r="P5379" i="6"/>
  <c r="P5350" i="6"/>
  <c r="U5350" i="6" s="1"/>
  <c r="V5350" i="6" s="1"/>
  <c r="P5329" i="6"/>
  <c r="U5329" i="6" s="1"/>
  <c r="V5329" i="6" s="1"/>
  <c r="P5284" i="6"/>
  <c r="U5284" i="6" s="1"/>
  <c r="V5284" i="6" s="1"/>
  <c r="P5266" i="6"/>
  <c r="U5266" i="6" s="1"/>
  <c r="V5266" i="6" s="1"/>
  <c r="P5233" i="6"/>
  <c r="P5143" i="6"/>
  <c r="U5143" i="6" s="1"/>
  <c r="P5140" i="6"/>
  <c r="P5118" i="6"/>
  <c r="U5118" i="6" s="1"/>
  <c r="V5118" i="6" s="1"/>
  <c r="P5081" i="6"/>
  <c r="U5081" i="6" s="1"/>
  <c r="V5081" i="6" s="1"/>
  <c r="P4989" i="6"/>
  <c r="U4989" i="6" s="1"/>
  <c r="V4989" i="6" s="1"/>
  <c r="P4951" i="6"/>
  <c r="U4951" i="6" s="1"/>
  <c r="V4951" i="6" s="1"/>
  <c r="P4944" i="6"/>
  <c r="U4944" i="6" s="1"/>
  <c r="V4944" i="6" s="1"/>
  <c r="P4915" i="6"/>
  <c r="U4915" i="6" s="1"/>
  <c r="V4915" i="6" s="1"/>
  <c r="P4902" i="6"/>
  <c r="U4902" i="6" s="1"/>
  <c r="V4902" i="6" s="1"/>
  <c r="P4721" i="6"/>
  <c r="U4721" i="6" s="1"/>
  <c r="V4721" i="6" s="1"/>
  <c r="P4692" i="6"/>
  <c r="U4692" i="6" s="1"/>
  <c r="V4692" i="6" s="1"/>
  <c r="P4658" i="6"/>
  <c r="U4658" i="6" s="1"/>
  <c r="V4658" i="6" s="1"/>
  <c r="P4610" i="6"/>
  <c r="U4610" i="6" s="1"/>
  <c r="V4610" i="6" s="1"/>
  <c r="P4593" i="6"/>
  <c r="U4593" i="6" s="1"/>
  <c r="V4593" i="6" s="1"/>
  <c r="N5857" i="6"/>
  <c r="P5857" i="6" s="1"/>
  <c r="U5857" i="6" s="1"/>
  <c r="N5591" i="6"/>
  <c r="P5591" i="6" s="1"/>
  <c r="U5591" i="6" s="1"/>
  <c r="V5591" i="6" s="1"/>
  <c r="P5469" i="6"/>
  <c r="U5469" i="6" s="1"/>
  <c r="V5469" i="6" s="1"/>
  <c r="P5399" i="6"/>
  <c r="P5391" i="6"/>
  <c r="P5384" i="6"/>
  <c r="U5384" i="6" s="1"/>
  <c r="V5384" i="6" s="1"/>
  <c r="P5347" i="6"/>
  <c r="U5347" i="6" s="1"/>
  <c r="V5347" i="6" s="1"/>
  <c r="P5272" i="6"/>
  <c r="P5268" i="6"/>
  <c r="U5268" i="6" s="1"/>
  <c r="P5243" i="6"/>
  <c r="P5206" i="6"/>
  <c r="U5206" i="6" s="1"/>
  <c r="V5206" i="6" s="1"/>
  <c r="P5182" i="6"/>
  <c r="P5090" i="6"/>
  <c r="U5090" i="6" s="1"/>
  <c r="V5090" i="6" s="1"/>
  <c r="P5021" i="6"/>
  <c r="U5021" i="6" s="1"/>
  <c r="V5021" i="6" s="1"/>
  <c r="P5004" i="6"/>
  <c r="U5004" i="6" s="1"/>
  <c r="V5004" i="6" s="1"/>
  <c r="P4954" i="6"/>
  <c r="U4954" i="6" s="1"/>
  <c r="V4954" i="6" s="1"/>
  <c r="P4896" i="6"/>
  <c r="U4896" i="6" s="1"/>
  <c r="V4896" i="6" s="1"/>
  <c r="P4872" i="6"/>
  <c r="U4872" i="6" s="1"/>
  <c r="V4872" i="6" s="1"/>
  <c r="P4863" i="6"/>
  <c r="U4863" i="6" s="1"/>
  <c r="V4863" i="6" s="1"/>
  <c r="P4795" i="6"/>
  <c r="U4795" i="6" s="1"/>
  <c r="V4795" i="6" s="1"/>
  <c r="P4785" i="6"/>
  <c r="P4778" i="6"/>
  <c r="U4778" i="6" s="1"/>
  <c r="P4744" i="6"/>
  <c r="U4744" i="6" s="1"/>
  <c r="V4744" i="6" s="1"/>
  <c r="P4735" i="6"/>
  <c r="U4735" i="6" s="1"/>
  <c r="V4735" i="6" s="1"/>
  <c r="P4691" i="6"/>
  <c r="U4691" i="6" s="1"/>
  <c r="V4691" i="6" s="1"/>
  <c r="P4677" i="6"/>
  <c r="U4677" i="6" s="1"/>
  <c r="V4677" i="6" s="1"/>
  <c r="P4629" i="6"/>
  <c r="P4621" i="6"/>
  <c r="U4621" i="6" s="1"/>
  <c r="V4621" i="6" s="1"/>
  <c r="P4598" i="6"/>
  <c r="U4598" i="6" s="1"/>
  <c r="V4598" i="6" s="1"/>
  <c r="N5855" i="6"/>
  <c r="P5855" i="6" s="1"/>
  <c r="U5855" i="6" s="1"/>
  <c r="P5696" i="6"/>
  <c r="U5696" i="6" s="1"/>
  <c r="N5594" i="6"/>
  <c r="P5594" i="6" s="1"/>
  <c r="U5594" i="6" s="1"/>
  <c r="N5590" i="6"/>
  <c r="P5590" i="6" s="1"/>
  <c r="U5590" i="6" s="1"/>
  <c r="V5590" i="6" s="1"/>
  <c r="P5578" i="6"/>
  <c r="U5578" i="6" s="1"/>
  <c r="V5578" i="6" s="1"/>
  <c r="P5226" i="6"/>
  <c r="P5079" i="6"/>
  <c r="P4791" i="6"/>
  <c r="U4791" i="6" s="1"/>
  <c r="V4791" i="6" s="1"/>
  <c r="P4652" i="6"/>
  <c r="O4515" i="6"/>
  <c r="P4515" i="6" s="1"/>
  <c r="U4515" i="6" s="1"/>
  <c r="V4515" i="6" s="1"/>
  <c r="O4511" i="6"/>
  <c r="P4511" i="6" s="1"/>
  <c r="U4511" i="6" s="1"/>
  <c r="V4511" i="6" s="1"/>
  <c r="P4451" i="6"/>
  <c r="U4451" i="6" s="1"/>
  <c r="V4451" i="6" s="1"/>
  <c r="O4435" i="6"/>
  <c r="P4435" i="6" s="1"/>
  <c r="U4435" i="6" s="1"/>
  <c r="P4394" i="6"/>
  <c r="U4394" i="6" s="1"/>
  <c r="V4394" i="6" s="1"/>
  <c r="O4318" i="6"/>
  <c r="P4318" i="6" s="1"/>
  <c r="U4318" i="6" s="1"/>
  <c r="V4318" i="6" s="1"/>
  <c r="O4315" i="6"/>
  <c r="P4315" i="6" s="1"/>
  <c r="U4315" i="6" s="1"/>
  <c r="V4315" i="6" s="1"/>
  <c r="O4312" i="6"/>
  <c r="P4312" i="6" s="1"/>
  <c r="P4290" i="6"/>
  <c r="U4290" i="6" s="1"/>
  <c r="V4290" i="6" s="1"/>
  <c r="O4118" i="6"/>
  <c r="P4118" i="6" s="1"/>
  <c r="U4118" i="6" s="1"/>
  <c r="V4118" i="6" s="1"/>
  <c r="O3929" i="6"/>
  <c r="P3929" i="6" s="1"/>
  <c r="U3929" i="6" s="1"/>
  <c r="V3929" i="6" s="1"/>
  <c r="O3926" i="6"/>
  <c r="P3926" i="6" s="1"/>
  <c r="U3926" i="6" s="1"/>
  <c r="V3926" i="6" s="1"/>
  <c r="O3923" i="6"/>
  <c r="O3919" i="6"/>
  <c r="P3919" i="6" s="1"/>
  <c r="U3919" i="6" s="1"/>
  <c r="V3919" i="6" s="1"/>
  <c r="O3900" i="6"/>
  <c r="P3900" i="6" s="1"/>
  <c r="U3900" i="6" s="1"/>
  <c r="V3900" i="6" s="1"/>
  <c r="O3896" i="6"/>
  <c r="P3896" i="6" s="1"/>
  <c r="U3896" i="6" s="1"/>
  <c r="V3896" i="6" s="1"/>
  <c r="O3866" i="6"/>
  <c r="P3866" i="6" s="1"/>
  <c r="U3866" i="6" s="1"/>
  <c r="V3866" i="6" s="1"/>
  <c r="O3425" i="6"/>
  <c r="P3425" i="6" s="1"/>
  <c r="U3425" i="6" s="1"/>
  <c r="O3416" i="6"/>
  <c r="P3416" i="6" s="1"/>
  <c r="U3416" i="6" s="1"/>
  <c r="V3416" i="6" s="1"/>
  <c r="O3323" i="6"/>
  <c r="P3323" i="6" s="1"/>
  <c r="U3323" i="6" s="1"/>
  <c r="V3323" i="6" s="1"/>
  <c r="P2983" i="6"/>
  <c r="U2983" i="6" s="1"/>
  <c r="P2980" i="6"/>
  <c r="U2980" i="6" s="1"/>
  <c r="V2980" i="6" s="1"/>
  <c r="P2897" i="6"/>
  <c r="U2897" i="6" s="1"/>
  <c r="V2897" i="6" s="1"/>
  <c r="P2892" i="6"/>
  <c r="U2892" i="6" s="1"/>
  <c r="V2892" i="6" s="1"/>
  <c r="P2870" i="6"/>
  <c r="U2870" i="6" s="1"/>
  <c r="V2870" i="6" s="1"/>
  <c r="O2689" i="6"/>
  <c r="O2686" i="6"/>
  <c r="P2686" i="6" s="1"/>
  <c r="U2686" i="6" s="1"/>
  <c r="V2686" i="6" s="1"/>
  <c r="O2691" i="6"/>
  <c r="P2691" i="6" s="1"/>
  <c r="U2691" i="6" s="1"/>
  <c r="V2691" i="6" s="1"/>
  <c r="P2681" i="6"/>
  <c r="O4450" i="6"/>
  <c r="P4450" i="6" s="1"/>
  <c r="U4450" i="6" s="1"/>
  <c r="V4450" i="6" s="1"/>
  <c r="P4388" i="6"/>
  <c r="U4388" i="6" s="1"/>
  <c r="V4388" i="6" s="1"/>
  <c r="P4376" i="6"/>
  <c r="O4086" i="6"/>
  <c r="P4086" i="6" s="1"/>
  <c r="U4086" i="6" s="1"/>
  <c r="V4086" i="6" s="1"/>
  <c r="O4072" i="6"/>
  <c r="P4072" i="6" s="1"/>
  <c r="U4072" i="6" s="1"/>
  <c r="V4072" i="6" s="1"/>
  <c r="O4068" i="6"/>
  <c r="P4068" i="6" s="1"/>
  <c r="U4068" i="6" s="1"/>
  <c r="V4068" i="6" s="1"/>
  <c r="P4039" i="6"/>
  <c r="P4014" i="6"/>
  <c r="U4014" i="6" s="1"/>
  <c r="V4014" i="6" s="1"/>
  <c r="P3939" i="6"/>
  <c r="P3903" i="6"/>
  <c r="U3903" i="6" s="1"/>
  <c r="V3903" i="6" s="1"/>
  <c r="O3848" i="6"/>
  <c r="P3848" i="6" s="1"/>
  <c r="U3848" i="6" s="1"/>
  <c r="V3848" i="6" s="1"/>
  <c r="O3827" i="6"/>
  <c r="P3827" i="6" s="1"/>
  <c r="U3827" i="6" s="1"/>
  <c r="V3827" i="6" s="1"/>
  <c r="O3824" i="6"/>
  <c r="P3824" i="6" s="1"/>
  <c r="U3824" i="6" s="1"/>
  <c r="V3824" i="6" s="1"/>
  <c r="O3817" i="6"/>
  <c r="P3817" i="6" s="1"/>
  <c r="U3817" i="6" s="1"/>
  <c r="V3817" i="6" s="1"/>
  <c r="O3809" i="6"/>
  <c r="P3809" i="6" s="1"/>
  <c r="U3809" i="6" s="1"/>
  <c r="V3809" i="6" s="1"/>
  <c r="O3711" i="6"/>
  <c r="P3711" i="6" s="1"/>
  <c r="U3711" i="6" s="1"/>
  <c r="V3711" i="6" s="1"/>
  <c r="O3704" i="6"/>
  <c r="P3704" i="6" s="1"/>
  <c r="U3704" i="6" s="1"/>
  <c r="V3704" i="6" s="1"/>
  <c r="O3632" i="6"/>
  <c r="P3632" i="6" s="1"/>
  <c r="U3632" i="6" s="1"/>
  <c r="V3632" i="6" s="1"/>
  <c r="O3473" i="6"/>
  <c r="P3473" i="6" s="1"/>
  <c r="U3473" i="6" s="1"/>
  <c r="V3473" i="6" s="1"/>
  <c r="P3467" i="6"/>
  <c r="U3467" i="6" s="1"/>
  <c r="V3467" i="6" s="1"/>
  <c r="P3437" i="6"/>
  <c r="U3437" i="6" s="1"/>
  <c r="O3329" i="6"/>
  <c r="P3329" i="6" s="1"/>
  <c r="U3329" i="6" s="1"/>
  <c r="V3329" i="6" s="1"/>
  <c r="P3309" i="6"/>
  <c r="U3309" i="6" s="1"/>
  <c r="V3309" i="6" s="1"/>
  <c r="P3303" i="6"/>
  <c r="P3268" i="6"/>
  <c r="U3268" i="6" s="1"/>
  <c r="V3268" i="6" s="1"/>
  <c r="P3252" i="6"/>
  <c r="U3252" i="6" s="1"/>
  <c r="V3252" i="6" s="1"/>
  <c r="P3230" i="6"/>
  <c r="U3230" i="6" s="1"/>
  <c r="V3230" i="6" s="1"/>
  <c r="P3220" i="6"/>
  <c r="U3220" i="6" s="1"/>
  <c r="V3220" i="6" s="1"/>
  <c r="P3215" i="6"/>
  <c r="U3215" i="6" s="1"/>
  <c r="V3215" i="6" s="1"/>
  <c r="P3137" i="6"/>
  <c r="U3137" i="6" s="1"/>
  <c r="V3137" i="6" s="1"/>
  <c r="P3131" i="6"/>
  <c r="U3131" i="6" s="1"/>
  <c r="V3131" i="6" s="1"/>
  <c r="P3125" i="6"/>
  <c r="P3105" i="6"/>
  <c r="U3105" i="6" s="1"/>
  <c r="V3105" i="6" s="1"/>
  <c r="P3083" i="6"/>
  <c r="U3083" i="6" s="1"/>
  <c r="V3083" i="6" s="1"/>
  <c r="P3040" i="6"/>
  <c r="U3040" i="6" s="1"/>
  <c r="V3040" i="6" s="1"/>
  <c r="P3018" i="6"/>
  <c r="U3018" i="6" s="1"/>
  <c r="P2925" i="6"/>
  <c r="U2925" i="6" s="1"/>
  <c r="V2925" i="6" s="1"/>
  <c r="P2763" i="6"/>
  <c r="U2763" i="6" s="1"/>
  <c r="V2763" i="6" s="1"/>
  <c r="O2767" i="6"/>
  <c r="P2767" i="6" s="1"/>
  <c r="U2767" i="6" s="1"/>
  <c r="V2767" i="6" s="1"/>
  <c r="O2752" i="6"/>
  <c r="P2752" i="6" s="1"/>
  <c r="U2752" i="6" s="1"/>
  <c r="V2752" i="6" s="1"/>
  <c r="O2764" i="6"/>
  <c r="P2764" i="6" s="1"/>
  <c r="U2764" i="6" s="1"/>
  <c r="O2761" i="6"/>
  <c r="P2761" i="6" s="1"/>
  <c r="U2761" i="6" s="1"/>
  <c r="V2761" i="6" s="1"/>
  <c r="O2769" i="6"/>
  <c r="P2769" i="6" s="1"/>
  <c r="U2769" i="6" s="1"/>
  <c r="V2769" i="6" s="1"/>
  <c r="O2758" i="6"/>
  <c r="P2758" i="6" s="1"/>
  <c r="U2758" i="6" s="1"/>
  <c r="V2758" i="6" s="1"/>
  <c r="O2765" i="6"/>
  <c r="P2765" i="6" s="1"/>
  <c r="U2765" i="6" s="1"/>
  <c r="V2765" i="6" s="1"/>
  <c r="O2760" i="6"/>
  <c r="P2760" i="6" s="1"/>
  <c r="U2760" i="6" s="1"/>
  <c r="V2760" i="6" s="1"/>
  <c r="P4363" i="6"/>
  <c r="P4331" i="6"/>
  <c r="U4331" i="6" s="1"/>
  <c r="V4331" i="6" s="1"/>
  <c r="P4320" i="6"/>
  <c r="U4320" i="6" s="1"/>
  <c r="V4320" i="6" s="1"/>
  <c r="P4305" i="6"/>
  <c r="U4305" i="6" s="1"/>
  <c r="V4305" i="6" s="1"/>
  <c r="P4292" i="6"/>
  <c r="U4292" i="6" s="1"/>
  <c r="V4292" i="6" s="1"/>
  <c r="P4289" i="6"/>
  <c r="P4233" i="6"/>
  <c r="U4233" i="6" s="1"/>
  <c r="O4071" i="6"/>
  <c r="P4071" i="6" s="1"/>
  <c r="U4071" i="6" s="1"/>
  <c r="V4071" i="6" s="1"/>
  <c r="P3958" i="6"/>
  <c r="U3958" i="6" s="1"/>
  <c r="O3830" i="6"/>
  <c r="P3830" i="6" s="1"/>
  <c r="U3830" i="6" s="1"/>
  <c r="V3830" i="6" s="1"/>
  <c r="O3826" i="6"/>
  <c r="P3826" i="6" s="1"/>
  <c r="U3826" i="6" s="1"/>
  <c r="V3826" i="6" s="1"/>
  <c r="O3823" i="6"/>
  <c r="P3823" i="6" s="1"/>
  <c r="O3819" i="6"/>
  <c r="P3819" i="6" s="1"/>
  <c r="U3819" i="6" s="1"/>
  <c r="V3819" i="6" s="1"/>
  <c r="O3635" i="6"/>
  <c r="P3635" i="6" s="1"/>
  <c r="U3635" i="6" s="1"/>
  <c r="V3635" i="6" s="1"/>
  <c r="P3511" i="6"/>
  <c r="U3511" i="6" s="1"/>
  <c r="V3511" i="6" s="1"/>
  <c r="O3468" i="6"/>
  <c r="P3468" i="6" s="1"/>
  <c r="U3468" i="6" s="1"/>
  <c r="V3468" i="6" s="1"/>
  <c r="P3262" i="6"/>
  <c r="U3262" i="6" s="1"/>
  <c r="V3262" i="6" s="1"/>
  <c r="P3254" i="6"/>
  <c r="U3254" i="6" s="1"/>
  <c r="P3242" i="6"/>
  <c r="U3242" i="6" s="1"/>
  <c r="V3242" i="6" s="1"/>
  <c r="P3239" i="6"/>
  <c r="U3239" i="6" s="1"/>
  <c r="V3239" i="6" s="1"/>
  <c r="P3219" i="6"/>
  <c r="U3219" i="6" s="1"/>
  <c r="V3219" i="6" s="1"/>
  <c r="P3104" i="6"/>
  <c r="U3104" i="6" s="1"/>
  <c r="V3104" i="6" s="1"/>
  <c r="P3093" i="6"/>
  <c r="U3093" i="6" s="1"/>
  <c r="V3093" i="6" s="1"/>
  <c r="P3042" i="6"/>
  <c r="U3042" i="6" s="1"/>
  <c r="V3042" i="6" s="1"/>
  <c r="P3039" i="6"/>
  <c r="U3039" i="6" s="1"/>
  <c r="V3039" i="6" s="1"/>
  <c r="P3032" i="6"/>
  <c r="U3032" i="6" s="1"/>
  <c r="V3032" i="6" s="1"/>
  <c r="P2978" i="6"/>
  <c r="U2978" i="6" s="1"/>
  <c r="P2963" i="6"/>
  <c r="U2963" i="6" s="1"/>
  <c r="P2952" i="6"/>
  <c r="U2952" i="6" s="1"/>
  <c r="V2952" i="6" s="1"/>
  <c r="P2826" i="6"/>
  <c r="U2826" i="6" s="1"/>
  <c r="V2826" i="6" s="1"/>
  <c r="P2736" i="6"/>
  <c r="P2727" i="6"/>
  <c r="U2727" i="6" s="1"/>
  <c r="V2727" i="6" s="1"/>
  <c r="O4513" i="6"/>
  <c r="P4513" i="6" s="1"/>
  <c r="O4427" i="6"/>
  <c r="P4427" i="6" s="1"/>
  <c r="U4427" i="6" s="1"/>
  <c r="V4427" i="6" s="1"/>
  <c r="O4424" i="6"/>
  <c r="P4424" i="6" s="1"/>
  <c r="U4424" i="6" s="1"/>
  <c r="V4424" i="6" s="1"/>
  <c r="P4417" i="6"/>
  <c r="U4417" i="6" s="1"/>
  <c r="V4417" i="6" s="1"/>
  <c r="P4390" i="6"/>
  <c r="U4390" i="6" s="1"/>
  <c r="P4387" i="6"/>
  <c r="U4387" i="6" s="1"/>
  <c r="P4381" i="6"/>
  <c r="U4381" i="6" s="1"/>
  <c r="V4381" i="6" s="1"/>
  <c r="O4322" i="6"/>
  <c r="P4322" i="6" s="1"/>
  <c r="U4322" i="6" s="1"/>
  <c r="V4322" i="6" s="1"/>
  <c r="O4319" i="6"/>
  <c r="P4319" i="6" s="1"/>
  <c r="U4319" i="6" s="1"/>
  <c r="O4316" i="6"/>
  <c r="P4316" i="6" s="1"/>
  <c r="U4316" i="6" s="1"/>
  <c r="V4316" i="6" s="1"/>
  <c r="P4301" i="6"/>
  <c r="U4301" i="6" s="1"/>
  <c r="V4301" i="6" s="1"/>
  <c r="P4286" i="6"/>
  <c r="U4286" i="6" s="1"/>
  <c r="V4286" i="6" s="1"/>
  <c r="P4280" i="6"/>
  <c r="U4280" i="6" s="1"/>
  <c r="V4280" i="6" s="1"/>
  <c r="O4254" i="6"/>
  <c r="P4254" i="6" s="1"/>
  <c r="U4254" i="6" s="1"/>
  <c r="V4254" i="6" s="1"/>
  <c r="O4238" i="6"/>
  <c r="P4238" i="6" s="1"/>
  <c r="U4238" i="6" s="1"/>
  <c r="V4238" i="6" s="1"/>
  <c r="O4232" i="6"/>
  <c r="P4232" i="6" s="1"/>
  <c r="U4232" i="6" s="1"/>
  <c r="O4226" i="6"/>
  <c r="P4226" i="6" s="1"/>
  <c r="U4226" i="6" s="1"/>
  <c r="V4226" i="6" s="1"/>
  <c r="O4163" i="6"/>
  <c r="P4163" i="6" s="1"/>
  <c r="U4163" i="6" s="1"/>
  <c r="V4163" i="6" s="1"/>
  <c r="O4124" i="6"/>
  <c r="P4124" i="6" s="1"/>
  <c r="U4124" i="6" s="1"/>
  <c r="V4124" i="6" s="1"/>
  <c r="O4115" i="6"/>
  <c r="P4115" i="6" s="1"/>
  <c r="U4115" i="6" s="1"/>
  <c r="V4115" i="6" s="1"/>
  <c r="O4088" i="6"/>
  <c r="P4088" i="6" s="1"/>
  <c r="U4088" i="6" s="1"/>
  <c r="P4044" i="6"/>
  <c r="U4044" i="6" s="1"/>
  <c r="P4013" i="6"/>
  <c r="U4013" i="6" s="1"/>
  <c r="V4013" i="6" s="1"/>
  <c r="P3953" i="6"/>
  <c r="U3953" i="6" s="1"/>
  <c r="O3927" i="6"/>
  <c r="P3927" i="6" s="1"/>
  <c r="U3927" i="6" s="1"/>
  <c r="V3927" i="6" s="1"/>
  <c r="O3924" i="6"/>
  <c r="P3924" i="6" s="1"/>
  <c r="U3924" i="6" s="1"/>
  <c r="V3924" i="6" s="1"/>
  <c r="O3920" i="6"/>
  <c r="P3920" i="6" s="1"/>
  <c r="U3920" i="6" s="1"/>
  <c r="V3920" i="6" s="1"/>
  <c r="O3893" i="6"/>
  <c r="P3893" i="6" s="1"/>
  <c r="U3893" i="6" s="1"/>
  <c r="O3806" i="6"/>
  <c r="P3806" i="6" s="1"/>
  <c r="U3806" i="6" s="1"/>
  <c r="V3806" i="6" s="1"/>
  <c r="P3741" i="6"/>
  <c r="U3741" i="6" s="1"/>
  <c r="V3741" i="6" s="1"/>
  <c r="O3713" i="6"/>
  <c r="P3713" i="6" s="1"/>
  <c r="U3713" i="6" s="1"/>
  <c r="V3713" i="6" s="1"/>
  <c r="O3691" i="6"/>
  <c r="P3691" i="6" s="1"/>
  <c r="U3691" i="6" s="1"/>
  <c r="V3691" i="6" s="1"/>
  <c r="O3644" i="6"/>
  <c r="P3644" i="6" s="1"/>
  <c r="U3644" i="6" s="1"/>
  <c r="O3620" i="6"/>
  <c r="P3620" i="6" s="1"/>
  <c r="U3620" i="6" s="1"/>
  <c r="V3620" i="6" s="1"/>
  <c r="O3540" i="6"/>
  <c r="P3540" i="6" s="1"/>
  <c r="U3540" i="6" s="1"/>
  <c r="V3540" i="6" s="1"/>
  <c r="O3537" i="6"/>
  <c r="P3537" i="6" s="1"/>
  <c r="O3534" i="6"/>
  <c r="P3534" i="6" s="1"/>
  <c r="U3534" i="6" s="1"/>
  <c r="V3534" i="6" s="1"/>
  <c r="O3478" i="6"/>
  <c r="P3478" i="6" s="1"/>
  <c r="U3478" i="6" s="1"/>
  <c r="V3478" i="6" s="1"/>
  <c r="O3471" i="6"/>
  <c r="P3471" i="6" s="1"/>
  <c r="U3471" i="6" s="1"/>
  <c r="V3471" i="6" s="1"/>
  <c r="O3464" i="6"/>
  <c r="P3464" i="6" s="1"/>
  <c r="U3464" i="6" s="1"/>
  <c r="V3464" i="6" s="1"/>
  <c r="P3451" i="6"/>
  <c r="U3451" i="6" s="1"/>
  <c r="V3451" i="6" s="1"/>
  <c r="P3448" i="6"/>
  <c r="U3448" i="6" s="1"/>
  <c r="P3442" i="6"/>
  <c r="U3442" i="6" s="1"/>
  <c r="V3442" i="6" s="1"/>
  <c r="O3422" i="6"/>
  <c r="P3422" i="6" s="1"/>
  <c r="U3422" i="6" s="1"/>
  <c r="V3422" i="6" s="1"/>
  <c r="P3410" i="6"/>
  <c r="U3410" i="6" s="1"/>
  <c r="V3410" i="6" s="1"/>
  <c r="P3407" i="6"/>
  <c r="U3407" i="6" s="1"/>
  <c r="V3407" i="6" s="1"/>
  <c r="P3404" i="6"/>
  <c r="U3404" i="6" s="1"/>
  <c r="V3404" i="6" s="1"/>
  <c r="P3401" i="6"/>
  <c r="U3401" i="6" s="1"/>
  <c r="V3401" i="6" s="1"/>
  <c r="P3373" i="6"/>
  <c r="U3373" i="6" s="1"/>
  <c r="V3373" i="6" s="1"/>
  <c r="O3334" i="6"/>
  <c r="P3334" i="6" s="1"/>
  <c r="U3334" i="6" s="1"/>
  <c r="V3334" i="6" s="1"/>
  <c r="O3327" i="6"/>
  <c r="P3327" i="6" s="1"/>
  <c r="U3327" i="6" s="1"/>
  <c r="V3327" i="6" s="1"/>
  <c r="O3324" i="6"/>
  <c r="P3324" i="6" s="1"/>
  <c r="U3324" i="6" s="1"/>
  <c r="V3324" i="6" s="1"/>
  <c r="O3320" i="6"/>
  <c r="P3320" i="6" s="1"/>
  <c r="U3320" i="6" s="1"/>
  <c r="V3320" i="6" s="1"/>
  <c r="P3253" i="6"/>
  <c r="U3253" i="6" s="1"/>
  <c r="V3253" i="6" s="1"/>
  <c r="P3146" i="6"/>
  <c r="U3146" i="6" s="1"/>
  <c r="V3146" i="6" s="1"/>
  <c r="P3139" i="6"/>
  <c r="U3139" i="6" s="1"/>
  <c r="V3139" i="6" s="1"/>
  <c r="P3133" i="6"/>
  <c r="P3111" i="6"/>
  <c r="U3111" i="6" s="1"/>
  <c r="V3111" i="6" s="1"/>
  <c r="P3106" i="6"/>
  <c r="P3103" i="6"/>
  <c r="U3103" i="6" s="1"/>
  <c r="V3103" i="6" s="1"/>
  <c r="P3099" i="6"/>
  <c r="U3099" i="6" s="1"/>
  <c r="P3082" i="6"/>
  <c r="U3082" i="6" s="1"/>
  <c r="P3048" i="6"/>
  <c r="P3041" i="6"/>
  <c r="U3041" i="6" s="1"/>
  <c r="V3041" i="6" s="1"/>
  <c r="O2766" i="6"/>
  <c r="P2766" i="6" s="1"/>
  <c r="U2766" i="6" s="1"/>
  <c r="V2766" i="6" s="1"/>
  <c r="P4564" i="6"/>
  <c r="U4564" i="6" s="1"/>
  <c r="V4564" i="6" s="1"/>
  <c r="P4557" i="6"/>
  <c r="U4557" i="6" s="1"/>
  <c r="V4557" i="6" s="1"/>
  <c r="P4554" i="6"/>
  <c r="P4541" i="6"/>
  <c r="U4541" i="6" s="1"/>
  <c r="V4541" i="6" s="1"/>
  <c r="P4497" i="6"/>
  <c r="U4497" i="6" s="1"/>
  <c r="V4497" i="6" s="1"/>
  <c r="O4483" i="6"/>
  <c r="P4483" i="6" s="1"/>
  <c r="U4483" i="6" s="1"/>
  <c r="V4483" i="6" s="1"/>
  <c r="O4423" i="6"/>
  <c r="P4423" i="6" s="1"/>
  <c r="U4423" i="6" s="1"/>
  <c r="V4423" i="6" s="1"/>
  <c r="O4413" i="6"/>
  <c r="P4413" i="6" s="1"/>
  <c r="U4413" i="6" s="1"/>
  <c r="V4413" i="6" s="1"/>
  <c r="O4406" i="6"/>
  <c r="P4406" i="6" s="1"/>
  <c r="U4406" i="6" s="1"/>
  <c r="V4406" i="6" s="1"/>
  <c r="O4333" i="6"/>
  <c r="P4333" i="6" s="1"/>
  <c r="U4333" i="6" s="1"/>
  <c r="V4333" i="6" s="1"/>
  <c r="P4307" i="6"/>
  <c r="U4307" i="6" s="1"/>
  <c r="P4291" i="6"/>
  <c r="U4291" i="6" s="1"/>
  <c r="V4291" i="6" s="1"/>
  <c r="O4249" i="6"/>
  <c r="P4249" i="6" s="1"/>
  <c r="U4249" i="6" s="1"/>
  <c r="V4249" i="6" s="1"/>
  <c r="O4246" i="6"/>
  <c r="P4246" i="6" s="1"/>
  <c r="U4246" i="6" s="1"/>
  <c r="V4246" i="6" s="1"/>
  <c r="O4243" i="6"/>
  <c r="P4243" i="6" s="1"/>
  <c r="U4243" i="6" s="1"/>
  <c r="V4243" i="6" s="1"/>
  <c r="O4240" i="6"/>
  <c r="P4240" i="6" s="1"/>
  <c r="U4240" i="6" s="1"/>
  <c r="V4240" i="6" s="1"/>
  <c r="O4237" i="6"/>
  <c r="P4237" i="6" s="1"/>
  <c r="U4237" i="6" s="1"/>
  <c r="V4237" i="6" s="1"/>
  <c r="O4234" i="6"/>
  <c r="P4234" i="6" s="1"/>
  <c r="U4234" i="6" s="1"/>
  <c r="V4234" i="6" s="1"/>
  <c r="O4228" i="6"/>
  <c r="P4228" i="6" s="1"/>
  <c r="U4228" i="6" s="1"/>
  <c r="V4228" i="6" s="1"/>
  <c r="O4221" i="6"/>
  <c r="P4221" i="6" s="1"/>
  <c r="P4186" i="6"/>
  <c r="U4186" i="6" s="1"/>
  <c r="O4083" i="6"/>
  <c r="P4083" i="6" s="1"/>
  <c r="U4083" i="6" s="1"/>
  <c r="V4083" i="6" s="1"/>
  <c r="O4065" i="6"/>
  <c r="P4065" i="6" s="1"/>
  <c r="U4065" i="6" s="1"/>
  <c r="V4065" i="6" s="1"/>
  <c r="P4061" i="6"/>
  <c r="U4061" i="6" s="1"/>
  <c r="V4061" i="6" s="1"/>
  <c r="P4058" i="6"/>
  <c r="U4058" i="6" s="1"/>
  <c r="V4058" i="6" s="1"/>
  <c r="P4055" i="6"/>
  <c r="U4055" i="6" s="1"/>
  <c r="V4055" i="6" s="1"/>
  <c r="P4043" i="6"/>
  <c r="U4043" i="6" s="1"/>
  <c r="P4001" i="6"/>
  <c r="O3882" i="6"/>
  <c r="P3882" i="6" s="1"/>
  <c r="U3882" i="6" s="1"/>
  <c r="V3882" i="6" s="1"/>
  <c r="O3825" i="6"/>
  <c r="O3822" i="6"/>
  <c r="P3822" i="6" s="1"/>
  <c r="U3822" i="6" s="1"/>
  <c r="V3822" i="6" s="1"/>
  <c r="O3818" i="6"/>
  <c r="P3818" i="6" s="1"/>
  <c r="U3818" i="6" s="1"/>
  <c r="V3818" i="6" s="1"/>
  <c r="O3815" i="6"/>
  <c r="P3815" i="6" s="1"/>
  <c r="U3815" i="6" s="1"/>
  <c r="V3815" i="6" s="1"/>
  <c r="O3759" i="6"/>
  <c r="P3759" i="6" s="1"/>
  <c r="U3759" i="6" s="1"/>
  <c r="V3759" i="6" s="1"/>
  <c r="O3740" i="6"/>
  <c r="P3740" i="6" s="1"/>
  <c r="U3740" i="6" s="1"/>
  <c r="V3740" i="6" s="1"/>
  <c r="O3705" i="6"/>
  <c r="P3705" i="6" s="1"/>
  <c r="U3705" i="6" s="1"/>
  <c r="V3705" i="6" s="1"/>
  <c r="O3683" i="6"/>
  <c r="P3683" i="6" s="1"/>
  <c r="U3683" i="6" s="1"/>
  <c r="V3683" i="6" s="1"/>
  <c r="O3643" i="6"/>
  <c r="P3643" i="6" s="1"/>
  <c r="U3643" i="6" s="1"/>
  <c r="V3643" i="6" s="1"/>
  <c r="O3629" i="6"/>
  <c r="P3629" i="6" s="1"/>
  <c r="U3629" i="6" s="1"/>
  <c r="V3629" i="6" s="1"/>
  <c r="O3623" i="6"/>
  <c r="P3623" i="6" s="1"/>
  <c r="U3623" i="6" s="1"/>
  <c r="V3623" i="6" s="1"/>
  <c r="P3596" i="6"/>
  <c r="U3596" i="6" s="1"/>
  <c r="V3596" i="6" s="1"/>
  <c r="P3444" i="6"/>
  <c r="U3444" i="6" s="1"/>
  <c r="V3444" i="6" s="1"/>
  <c r="O3330" i="6"/>
  <c r="P3330" i="6" s="1"/>
  <c r="U3330" i="6" s="1"/>
  <c r="V3330" i="6" s="1"/>
  <c r="P3260" i="6"/>
  <c r="P3148" i="6"/>
  <c r="U3148" i="6" s="1"/>
  <c r="P3145" i="6"/>
  <c r="U3145" i="6" s="1"/>
  <c r="V3145" i="6" s="1"/>
  <c r="P3113" i="6"/>
  <c r="U3113" i="6" s="1"/>
  <c r="V3113" i="6" s="1"/>
  <c r="P2854" i="6"/>
  <c r="U2854" i="6" s="1"/>
  <c r="V2854" i="6" s="1"/>
  <c r="P2851" i="6"/>
  <c r="U2851" i="6" s="1"/>
  <c r="V2851" i="6" s="1"/>
  <c r="P2807" i="6"/>
  <c r="U2807" i="6" s="1"/>
  <c r="O2641" i="6"/>
  <c r="P2641" i="6" s="1"/>
  <c r="U2641" i="6" s="1"/>
  <c r="O2654" i="6"/>
  <c r="P2654" i="6" s="1"/>
  <c r="U2654" i="6" s="1"/>
  <c r="O2652" i="6"/>
  <c r="P2652" i="6" s="1"/>
  <c r="U2652" i="6" s="1"/>
  <c r="V2652" i="6" s="1"/>
  <c r="O2643" i="6"/>
  <c r="P2643" i="6" s="1"/>
  <c r="U2643" i="6" s="1"/>
  <c r="V2643" i="6" s="1"/>
  <c r="O2649" i="6"/>
  <c r="P2649" i="6" s="1"/>
  <c r="U2649" i="6" s="1"/>
  <c r="V2649" i="6" s="1"/>
  <c r="P3007" i="6"/>
  <c r="U3007" i="6" s="1"/>
  <c r="P2999" i="6"/>
  <c r="P2957" i="6"/>
  <c r="U2957" i="6" s="1"/>
  <c r="V2957" i="6" s="1"/>
  <c r="P2939" i="6"/>
  <c r="U2939" i="6" s="1"/>
  <c r="V2939" i="6" s="1"/>
  <c r="P2919" i="6"/>
  <c r="U2919" i="6" s="1"/>
  <c r="V2919" i="6" s="1"/>
  <c r="P2879" i="6"/>
  <c r="P2871" i="6"/>
  <c r="U2871" i="6" s="1"/>
  <c r="V2871" i="6" s="1"/>
  <c r="P2793" i="6"/>
  <c r="U2793" i="6" s="1"/>
  <c r="V2793" i="6" s="1"/>
  <c r="P2787" i="6"/>
  <c r="U2787" i="6" s="1"/>
  <c r="V2787" i="6" s="1"/>
  <c r="P2780" i="6"/>
  <c r="U2780" i="6" s="1"/>
  <c r="V2780" i="6" s="1"/>
  <c r="P2721" i="6"/>
  <c r="U2721" i="6" s="1"/>
  <c r="V2721" i="6" s="1"/>
  <c r="O2628" i="6"/>
  <c r="P2628" i="6" s="1"/>
  <c r="U2628" i="6" s="1"/>
  <c r="V2628" i="6" s="1"/>
  <c r="O2571" i="6"/>
  <c r="P2571" i="6" s="1"/>
  <c r="U2571" i="6" s="1"/>
  <c r="V2571" i="6" s="1"/>
  <c r="O2564" i="6"/>
  <c r="P2564" i="6" s="1"/>
  <c r="U2564" i="6" s="1"/>
  <c r="O2561" i="6"/>
  <c r="P2561" i="6" s="1"/>
  <c r="U2561" i="6" s="1"/>
  <c r="V2561" i="6" s="1"/>
  <c r="P2556" i="6"/>
  <c r="U2556" i="6" s="1"/>
  <c r="P2553" i="6"/>
  <c r="U2553" i="6" s="1"/>
  <c r="V2553" i="6" s="1"/>
  <c r="P2550" i="6"/>
  <c r="U2550" i="6" s="1"/>
  <c r="V2550" i="6" s="1"/>
  <c r="P2547" i="6"/>
  <c r="U2547" i="6" s="1"/>
  <c r="V2547" i="6" s="1"/>
  <c r="P2544" i="6"/>
  <c r="U2544" i="6" s="1"/>
  <c r="V2544" i="6" s="1"/>
  <c r="P2541" i="6"/>
  <c r="U2541" i="6" s="1"/>
  <c r="O2531" i="6"/>
  <c r="P2531" i="6" s="1"/>
  <c r="U2531" i="6" s="1"/>
  <c r="V2531" i="6" s="1"/>
  <c r="O2524" i="6"/>
  <c r="P2524" i="6" s="1"/>
  <c r="U2524" i="6" s="1"/>
  <c r="V2524" i="6" s="1"/>
  <c r="P2509" i="6"/>
  <c r="U2509" i="6" s="1"/>
  <c r="V2509" i="6" s="1"/>
  <c r="P2506" i="6"/>
  <c r="U2506" i="6" s="1"/>
  <c r="V2506" i="6" s="1"/>
  <c r="P2486" i="6"/>
  <c r="U2486" i="6" s="1"/>
  <c r="V2486" i="6" s="1"/>
  <c r="P2478" i="6"/>
  <c r="U2478" i="6" s="1"/>
  <c r="V2478" i="6" s="1"/>
  <c r="P2474" i="6"/>
  <c r="U2474" i="6" s="1"/>
  <c r="V2474" i="6" s="1"/>
  <c r="P2464" i="6"/>
  <c r="U2464" i="6" s="1"/>
  <c r="V2464" i="6" s="1"/>
  <c r="P2409" i="6"/>
  <c r="U2409" i="6" s="1"/>
  <c r="V2409" i="6" s="1"/>
  <c r="P2403" i="6"/>
  <c r="P2399" i="6"/>
  <c r="U2399" i="6" s="1"/>
  <c r="V2399" i="6" s="1"/>
  <c r="P2390" i="6"/>
  <c r="U2390" i="6" s="1"/>
  <c r="V2390" i="6" s="1"/>
  <c r="P2369" i="6"/>
  <c r="U2369" i="6" s="1"/>
  <c r="V2369" i="6" s="1"/>
  <c r="P2355" i="6"/>
  <c r="U2355" i="6" s="1"/>
  <c r="V2355" i="6" s="1"/>
  <c r="P2336" i="6"/>
  <c r="P2325" i="6"/>
  <c r="U2325" i="6" s="1"/>
  <c r="V2325" i="6" s="1"/>
  <c r="P2320" i="6"/>
  <c r="U2320" i="6" s="1"/>
  <c r="V2320" i="6" s="1"/>
  <c r="P2314" i="6"/>
  <c r="U2314" i="6" s="1"/>
  <c r="V2314" i="6" s="1"/>
  <c r="P2306" i="6"/>
  <c r="U2306" i="6" s="1"/>
  <c r="V2306" i="6" s="1"/>
  <c r="P2302" i="6"/>
  <c r="U2302" i="6" s="1"/>
  <c r="P2300" i="6"/>
  <c r="U2300" i="6" s="1"/>
  <c r="V2300" i="6" s="1"/>
  <c r="P2298" i="6"/>
  <c r="U2298" i="6" s="1"/>
  <c r="V2298" i="6" s="1"/>
  <c r="P2284" i="6"/>
  <c r="U2284" i="6" s="1"/>
  <c r="V2284" i="6" s="1"/>
  <c r="P2267" i="6"/>
  <c r="U2267" i="6" s="1"/>
  <c r="V2267" i="6" s="1"/>
  <c r="P2257" i="6"/>
  <c r="U2257" i="6" s="1"/>
  <c r="V2257" i="6" s="1"/>
  <c r="P2206" i="6"/>
  <c r="U2206" i="6" s="1"/>
  <c r="V2206" i="6" s="1"/>
  <c r="P2201" i="6"/>
  <c r="U2201" i="6" s="1"/>
  <c r="P2198" i="6"/>
  <c r="U2198" i="6" s="1"/>
  <c r="V2198" i="6" s="1"/>
  <c r="P2178" i="6"/>
  <c r="U2178" i="6" s="1"/>
  <c r="V2178" i="6" s="1"/>
  <c r="P2175" i="6"/>
  <c r="U2175" i="6" s="1"/>
  <c r="V2175" i="6" s="1"/>
  <c r="P2167" i="6"/>
  <c r="U2167" i="6" s="1"/>
  <c r="P2164" i="6"/>
  <c r="U2164" i="6" s="1"/>
  <c r="P2149" i="6"/>
  <c r="U2149" i="6" s="1"/>
  <c r="P2134" i="6"/>
  <c r="U2134" i="6" s="1"/>
  <c r="P2117" i="6"/>
  <c r="U2117" i="6" s="1"/>
  <c r="V2117" i="6" s="1"/>
  <c r="P2103" i="6"/>
  <c r="U2103" i="6" s="1"/>
  <c r="V2103" i="6" s="1"/>
  <c r="P2097" i="6"/>
  <c r="U2097" i="6" s="1"/>
  <c r="V2097" i="6" s="1"/>
  <c r="P2052" i="6"/>
  <c r="P1989" i="6"/>
  <c r="U1989" i="6" s="1"/>
  <c r="V1989" i="6" s="1"/>
  <c r="P1979" i="6"/>
  <c r="U1979" i="6" s="1"/>
  <c r="V1979" i="6" s="1"/>
  <c r="P1970" i="6"/>
  <c r="P1960" i="6"/>
  <c r="U1960" i="6" s="1"/>
  <c r="P1952" i="6"/>
  <c r="U1952" i="6" s="1"/>
  <c r="V1952" i="6" s="1"/>
  <c r="P1950" i="6"/>
  <c r="U1950" i="6" s="1"/>
  <c r="V1950" i="6" s="1"/>
  <c r="P1913" i="6"/>
  <c r="U1913" i="6" s="1"/>
  <c r="V1913" i="6" s="1"/>
  <c r="P1906" i="6"/>
  <c r="U1906" i="6" s="1"/>
  <c r="V1906" i="6" s="1"/>
  <c r="P1883" i="6"/>
  <c r="U1883" i="6" s="1"/>
  <c r="V1883" i="6" s="1"/>
  <c r="P1869" i="6"/>
  <c r="P1860" i="6"/>
  <c r="U1860" i="6" s="1"/>
  <c r="V1860" i="6" s="1"/>
  <c r="N1778" i="6"/>
  <c r="N1748" i="6"/>
  <c r="P1737" i="6"/>
  <c r="U1737" i="6" s="1"/>
  <c r="P1713" i="6"/>
  <c r="U1713" i="6" s="1"/>
  <c r="V1713" i="6" s="1"/>
  <c r="P1695" i="6"/>
  <c r="U1695" i="6" s="1"/>
  <c r="P1688" i="6"/>
  <c r="U1688" i="6" s="1"/>
  <c r="V1688" i="6" s="1"/>
  <c r="P1666" i="6"/>
  <c r="U1666" i="6" s="1"/>
  <c r="V1666" i="6" s="1"/>
  <c r="P1631" i="6"/>
  <c r="U1631" i="6" s="1"/>
  <c r="V1631" i="6" s="1"/>
  <c r="P1627" i="6"/>
  <c r="N1623" i="6"/>
  <c r="P1600" i="6"/>
  <c r="P1501" i="6"/>
  <c r="N1494" i="6"/>
  <c r="P1494" i="6" s="1"/>
  <c r="U1494" i="6" s="1"/>
  <c r="V1494" i="6" s="1"/>
  <c r="N1487" i="6"/>
  <c r="P1487" i="6" s="1"/>
  <c r="U1487" i="6" s="1"/>
  <c r="V1487" i="6" s="1"/>
  <c r="P1479" i="6"/>
  <c r="U1479" i="6" s="1"/>
  <c r="V1479" i="6" s="1"/>
  <c r="P1467" i="6"/>
  <c r="U1467" i="6" s="1"/>
  <c r="V1467" i="6" s="1"/>
  <c r="P1450" i="6"/>
  <c r="U1450" i="6" s="1"/>
  <c r="V1450" i="6" s="1"/>
  <c r="P1334" i="6"/>
  <c r="U1334" i="6" s="1"/>
  <c r="V1334" i="6" s="1"/>
  <c r="N1250" i="6"/>
  <c r="P1234" i="6"/>
  <c r="U1234" i="6" s="1"/>
  <c r="P1195" i="6"/>
  <c r="P1170" i="6"/>
  <c r="U1170" i="6" s="1"/>
  <c r="V1170" i="6" s="1"/>
  <c r="P1095" i="6"/>
  <c r="P1075" i="6"/>
  <c r="U1075" i="6" s="1"/>
  <c r="P1021" i="6"/>
  <c r="U1021" i="6" s="1"/>
  <c r="V1021" i="6" s="1"/>
  <c r="P987" i="6"/>
  <c r="P978" i="6"/>
  <c r="U978" i="6" s="1"/>
  <c r="V978" i="6" s="1"/>
  <c r="P836" i="6"/>
  <c r="U836" i="6" s="1"/>
  <c r="V836" i="6" s="1"/>
  <c r="P772" i="6"/>
  <c r="U772" i="6" s="1"/>
  <c r="V772" i="6" s="1"/>
  <c r="P699" i="6"/>
  <c r="U699" i="6" s="1"/>
  <c r="V699" i="6" s="1"/>
  <c r="P566" i="6"/>
  <c r="U566" i="6" s="1"/>
  <c r="V566" i="6" s="1"/>
  <c r="P543" i="6"/>
  <c r="P493" i="6"/>
  <c r="P436" i="6"/>
  <c r="U436" i="6" s="1"/>
  <c r="P426" i="6"/>
  <c r="U426" i="6" s="1"/>
  <c r="V426" i="6" s="1"/>
  <c r="P2527" i="6"/>
  <c r="U2527" i="6" s="1"/>
  <c r="V2527" i="6" s="1"/>
  <c r="P2491" i="6"/>
  <c r="U2491" i="6" s="1"/>
  <c r="V2491" i="6" s="1"/>
  <c r="P2488" i="6"/>
  <c r="U2488" i="6" s="1"/>
  <c r="V2488" i="6" s="1"/>
  <c r="P2426" i="6"/>
  <c r="P2375" i="6"/>
  <c r="U2375" i="6" s="1"/>
  <c r="V2375" i="6" s="1"/>
  <c r="P2357" i="6"/>
  <c r="U2357" i="6" s="1"/>
  <c r="V2357" i="6" s="1"/>
  <c r="P2351" i="6"/>
  <c r="U2351" i="6" s="1"/>
  <c r="P2348" i="6"/>
  <c r="U2348" i="6" s="1"/>
  <c r="V2348" i="6" s="1"/>
  <c r="P2313" i="6"/>
  <c r="U2313" i="6" s="1"/>
  <c r="V2313" i="6" s="1"/>
  <c r="P2297" i="6"/>
  <c r="U2297" i="6" s="1"/>
  <c r="V2297" i="6" s="1"/>
  <c r="P2280" i="6"/>
  <c r="P2215" i="6"/>
  <c r="U2215" i="6" s="1"/>
  <c r="V2215" i="6" s="1"/>
  <c r="P2194" i="6"/>
  <c r="P2180" i="6"/>
  <c r="P2177" i="6"/>
  <c r="U2177" i="6" s="1"/>
  <c r="V2177" i="6" s="1"/>
  <c r="P2163" i="6"/>
  <c r="U2163" i="6" s="1"/>
  <c r="V2163" i="6" s="1"/>
  <c r="P2142" i="6"/>
  <c r="U2142" i="6" s="1"/>
  <c r="P2133" i="6"/>
  <c r="P2129" i="6"/>
  <c r="U2129" i="6" s="1"/>
  <c r="P2119" i="6"/>
  <c r="P2108" i="6"/>
  <c r="U2108" i="6" s="1"/>
  <c r="V2108" i="6" s="1"/>
  <c r="P2099" i="6"/>
  <c r="U2099" i="6" s="1"/>
  <c r="V2099" i="6" s="1"/>
  <c r="P2015" i="6"/>
  <c r="P1985" i="6"/>
  <c r="U1985" i="6" s="1"/>
  <c r="V1985" i="6" s="1"/>
  <c r="P1969" i="6"/>
  <c r="U1969" i="6" s="1"/>
  <c r="V1969" i="6" s="1"/>
  <c r="P1905" i="6"/>
  <c r="P1862" i="6"/>
  <c r="U1862" i="6" s="1"/>
  <c r="V1862" i="6" s="1"/>
  <c r="P1859" i="6"/>
  <c r="U1859" i="6" s="1"/>
  <c r="V1859" i="6" s="1"/>
  <c r="P1825" i="6"/>
  <c r="U1825" i="6" s="1"/>
  <c r="V1825" i="6" s="1"/>
  <c r="P1811" i="6"/>
  <c r="P1710" i="6"/>
  <c r="U1710" i="6" s="1"/>
  <c r="V1710" i="6" s="1"/>
  <c r="P1585" i="6"/>
  <c r="N1493" i="6"/>
  <c r="P1493" i="6" s="1"/>
  <c r="U1493" i="6" s="1"/>
  <c r="V1493" i="6" s="1"/>
  <c r="P1478" i="6"/>
  <c r="U1478" i="6" s="1"/>
  <c r="P1449" i="6"/>
  <c r="U1449" i="6" s="1"/>
  <c r="V1449" i="6" s="1"/>
  <c r="P1444" i="6"/>
  <c r="U1444" i="6" s="1"/>
  <c r="V1444" i="6" s="1"/>
  <c r="P1161" i="6"/>
  <c r="U1161" i="6" s="1"/>
  <c r="V1161" i="6" s="1"/>
  <c r="P1084" i="6"/>
  <c r="P1081" i="6"/>
  <c r="U1081" i="6" s="1"/>
  <c r="V1081" i="6" s="1"/>
  <c r="P997" i="6"/>
  <c r="U997" i="6" s="1"/>
  <c r="V997" i="6" s="1"/>
  <c r="P941" i="6"/>
  <c r="P835" i="6"/>
  <c r="U835" i="6" s="1"/>
  <c r="P789" i="6"/>
  <c r="P686" i="6"/>
  <c r="U686" i="6" s="1"/>
  <c r="V686" i="6" s="1"/>
  <c r="P650" i="6"/>
  <c r="U650" i="6" s="1"/>
  <c r="V650" i="6" s="1"/>
  <c r="P628" i="6"/>
  <c r="P565" i="6"/>
  <c r="U565" i="6" s="1"/>
  <c r="V565" i="6" s="1"/>
  <c r="P496" i="6"/>
  <c r="U496" i="6" s="1"/>
  <c r="V496" i="6" s="1"/>
  <c r="P482" i="6"/>
  <c r="P459" i="6"/>
  <c r="P421" i="6"/>
  <c r="P3005" i="6"/>
  <c r="U3005" i="6" s="1"/>
  <c r="P3001" i="6"/>
  <c r="U3001" i="6" s="1"/>
  <c r="V3001" i="6" s="1"/>
  <c r="P2959" i="6"/>
  <c r="U2959" i="6" s="1"/>
  <c r="V2959" i="6" s="1"/>
  <c r="P2931" i="6"/>
  <c r="U2931" i="6" s="1"/>
  <c r="V2931" i="6" s="1"/>
  <c r="P2913" i="6"/>
  <c r="P2818" i="6"/>
  <c r="P2795" i="6"/>
  <c r="U2795" i="6" s="1"/>
  <c r="V2795" i="6" s="1"/>
  <c r="P2785" i="6"/>
  <c r="U2785" i="6" s="1"/>
  <c r="V2785" i="6" s="1"/>
  <c r="P2722" i="6"/>
  <c r="U2722" i="6" s="1"/>
  <c r="V2722" i="6" s="1"/>
  <c r="P2715" i="6"/>
  <c r="O2639" i="6"/>
  <c r="P2639" i="6" s="1"/>
  <c r="U2639" i="6" s="1"/>
  <c r="V2639" i="6" s="1"/>
  <c r="O2636" i="6"/>
  <c r="O2633" i="6"/>
  <c r="P2633" i="6" s="1"/>
  <c r="U2633" i="6" s="1"/>
  <c r="O2619" i="6"/>
  <c r="P2619" i="6" s="1"/>
  <c r="U2619" i="6" s="1"/>
  <c r="V2619" i="6" s="1"/>
  <c r="P2616" i="6"/>
  <c r="U2616" i="6" s="1"/>
  <c r="V2616" i="6" s="1"/>
  <c r="O2612" i="6"/>
  <c r="P2612" i="6" s="1"/>
  <c r="U2612" i="6" s="1"/>
  <c r="V2612" i="6" s="1"/>
  <c r="O2609" i="6"/>
  <c r="P2609" i="6" s="1"/>
  <c r="U2609" i="6" s="1"/>
  <c r="V2609" i="6" s="1"/>
  <c r="O2606" i="6"/>
  <c r="P2606" i="6" s="1"/>
  <c r="U2606" i="6" s="1"/>
  <c r="V2606" i="6" s="1"/>
  <c r="O2603" i="6"/>
  <c r="P2603" i="6" s="1"/>
  <c r="U2603" i="6" s="1"/>
  <c r="V2603" i="6" s="1"/>
  <c r="O2565" i="6"/>
  <c r="P2565" i="6" s="1"/>
  <c r="U2565" i="6" s="1"/>
  <c r="V2565" i="6" s="1"/>
  <c r="O2560" i="6"/>
  <c r="P2560" i="6" s="1"/>
  <c r="P2539" i="6"/>
  <c r="O2532" i="6"/>
  <c r="P2532" i="6" s="1"/>
  <c r="U2532" i="6" s="1"/>
  <c r="V2532" i="6" s="1"/>
  <c r="O2522" i="6"/>
  <c r="P2522" i="6" s="1"/>
  <c r="U2522" i="6" s="1"/>
  <c r="V2522" i="6" s="1"/>
  <c r="P2514" i="6"/>
  <c r="U2514" i="6" s="1"/>
  <c r="V2514" i="6" s="1"/>
  <c r="P2508" i="6"/>
  <c r="P2505" i="6"/>
  <c r="U2505" i="6" s="1"/>
  <c r="P2502" i="6"/>
  <c r="U2502" i="6" s="1"/>
  <c r="V2502" i="6" s="1"/>
  <c r="P2493" i="6"/>
  <c r="U2493" i="6" s="1"/>
  <c r="P2452" i="6"/>
  <c r="P2392" i="6"/>
  <c r="U2392" i="6" s="1"/>
  <c r="V2392" i="6" s="1"/>
  <c r="P2382" i="6"/>
  <c r="U2382" i="6" s="1"/>
  <c r="V2382" i="6" s="1"/>
  <c r="P2368" i="6"/>
  <c r="U2368" i="6" s="1"/>
  <c r="V2368" i="6" s="1"/>
  <c r="P2356" i="6"/>
  <c r="U2356" i="6" s="1"/>
  <c r="V2356" i="6" s="1"/>
  <c r="P2318" i="6"/>
  <c r="U2318" i="6" s="1"/>
  <c r="V2318" i="6" s="1"/>
  <c r="P2307" i="6"/>
  <c r="P2291" i="6"/>
  <c r="U2291" i="6" s="1"/>
  <c r="P2261" i="6"/>
  <c r="U2261" i="6" s="1"/>
  <c r="V2261" i="6" s="1"/>
  <c r="P2254" i="6"/>
  <c r="P2220" i="6"/>
  <c r="U2220" i="6" s="1"/>
  <c r="V2220" i="6" s="1"/>
  <c r="P2217" i="6"/>
  <c r="U2217" i="6" s="1"/>
  <c r="V2217" i="6" s="1"/>
  <c r="P2171" i="6"/>
  <c r="U2171" i="6" s="1"/>
  <c r="V2171" i="6" s="1"/>
  <c r="P2159" i="6"/>
  <c r="U2159" i="6" s="1"/>
  <c r="V2159" i="6" s="1"/>
  <c r="P2139" i="6"/>
  <c r="U2139" i="6" s="1"/>
  <c r="V2139" i="6" s="1"/>
  <c r="P2096" i="6"/>
  <c r="U2096" i="6" s="1"/>
  <c r="V2096" i="6" s="1"/>
  <c r="O2074" i="6"/>
  <c r="P2074" i="6" s="1"/>
  <c r="U2074" i="6" s="1"/>
  <c r="V2074" i="6" s="1"/>
  <c r="P1993" i="6"/>
  <c r="P1981" i="6"/>
  <c r="U1981" i="6" s="1"/>
  <c r="V1981" i="6" s="1"/>
  <c r="P1978" i="6"/>
  <c r="U1978" i="6" s="1"/>
  <c r="V1978" i="6" s="1"/>
  <c r="P1962" i="6"/>
  <c r="U1962" i="6" s="1"/>
  <c r="V1962" i="6" s="1"/>
  <c r="P1954" i="6"/>
  <c r="U1954" i="6" s="1"/>
  <c r="V1954" i="6" s="1"/>
  <c r="P1948" i="6"/>
  <c r="O1945" i="6"/>
  <c r="P1945" i="6" s="1"/>
  <c r="U1945" i="6" s="1"/>
  <c r="V1945" i="6" s="1"/>
  <c r="O1937" i="6"/>
  <c r="P1937" i="6" s="1"/>
  <c r="U1937" i="6" s="1"/>
  <c r="V1937" i="6" s="1"/>
  <c r="P1934" i="6"/>
  <c r="U1934" i="6" s="1"/>
  <c r="V1934" i="6" s="1"/>
  <c r="P1931" i="6"/>
  <c r="U1931" i="6" s="1"/>
  <c r="P1870" i="6"/>
  <c r="U1870" i="6" s="1"/>
  <c r="V1870" i="6" s="1"/>
  <c r="P1858" i="6"/>
  <c r="U1858" i="6" s="1"/>
  <c r="V1858" i="6" s="1"/>
  <c r="P1855" i="6"/>
  <c r="N1848" i="6"/>
  <c r="P1848" i="6" s="1"/>
  <c r="U1848" i="6" s="1"/>
  <c r="V1848" i="6" s="1"/>
  <c r="N1840" i="6"/>
  <c r="P1840" i="6" s="1"/>
  <c r="U1840" i="6" s="1"/>
  <c r="V1840" i="6" s="1"/>
  <c r="P1813" i="6"/>
  <c r="P1785" i="6"/>
  <c r="N1744" i="6"/>
  <c r="P1712" i="6"/>
  <c r="U1712" i="6" s="1"/>
  <c r="V1712" i="6" s="1"/>
  <c r="P1707" i="6"/>
  <c r="U1707" i="6" s="1"/>
  <c r="V1707" i="6" s="1"/>
  <c r="P1701" i="6"/>
  <c r="U1701" i="6" s="1"/>
  <c r="V1701" i="6" s="1"/>
  <c r="P1697" i="6"/>
  <c r="U1697" i="6" s="1"/>
  <c r="V1697" i="6" s="1"/>
  <c r="P1664" i="6"/>
  <c r="U1664" i="6" s="1"/>
  <c r="V1664" i="6" s="1"/>
  <c r="P1649" i="6"/>
  <c r="N1620" i="6"/>
  <c r="P1526" i="6"/>
  <c r="U1526" i="6" s="1"/>
  <c r="V1526" i="6" s="1"/>
  <c r="P1523" i="6"/>
  <c r="U1523" i="6" s="1"/>
  <c r="V1523" i="6" s="1"/>
  <c r="P1520" i="6"/>
  <c r="U1520" i="6" s="1"/>
  <c r="V1520" i="6" s="1"/>
  <c r="P1517" i="6"/>
  <c r="U1517" i="6" s="1"/>
  <c r="V1517" i="6" s="1"/>
  <c r="P1514" i="6"/>
  <c r="U1514" i="6" s="1"/>
  <c r="V1514" i="6" s="1"/>
  <c r="P1511" i="6"/>
  <c r="N1485" i="6"/>
  <c r="P1485" i="6" s="1"/>
  <c r="U1485" i="6" s="1"/>
  <c r="P1477" i="6"/>
  <c r="U1477" i="6" s="1"/>
  <c r="P1472" i="6"/>
  <c r="U1472" i="6" s="1"/>
  <c r="P1457" i="6"/>
  <c r="U1457" i="6" s="1"/>
  <c r="V1457" i="6" s="1"/>
  <c r="P1454" i="6"/>
  <c r="U1454" i="6" s="1"/>
  <c r="V1454" i="6" s="1"/>
  <c r="P1425" i="6"/>
  <c r="P1332" i="6"/>
  <c r="U1332" i="6" s="1"/>
  <c r="V1332" i="6" s="1"/>
  <c r="N1279" i="6"/>
  <c r="N1256" i="6"/>
  <c r="H168" i="14"/>
  <c r="O1249" i="6" s="1"/>
  <c r="P1233" i="6"/>
  <c r="P1223" i="6"/>
  <c r="M162" i="14" s="1"/>
  <c r="R162" i="14" s="1"/>
  <c r="P1153" i="6"/>
  <c r="P1091" i="6"/>
  <c r="U1091" i="6" s="1"/>
  <c r="P1022" i="6"/>
  <c r="U1022" i="6" s="1"/>
  <c r="V1022" i="6" s="1"/>
  <c r="P974" i="6"/>
  <c r="U974" i="6" s="1"/>
  <c r="P944" i="6"/>
  <c r="U944" i="6" s="1"/>
  <c r="P937" i="6"/>
  <c r="P897" i="6"/>
  <c r="U897" i="6" s="1"/>
  <c r="V897" i="6" s="1"/>
  <c r="P804" i="6"/>
  <c r="U804" i="6" s="1"/>
  <c r="V804" i="6" s="1"/>
  <c r="P797" i="6"/>
  <c r="P792" i="6"/>
  <c r="P779" i="6"/>
  <c r="U779" i="6" s="1"/>
  <c r="P670" i="6"/>
  <c r="U670" i="6" s="1"/>
  <c r="V670" i="6" s="1"/>
  <c r="P661" i="6"/>
  <c r="P646" i="6"/>
  <c r="U646" i="6" s="1"/>
  <c r="V646" i="6" s="1"/>
  <c r="P636" i="6"/>
  <c r="U636" i="6" s="1"/>
  <c r="P634" i="6"/>
  <c r="U634" i="6" s="1"/>
  <c r="V634" i="6" s="1"/>
  <c r="P574" i="6"/>
  <c r="U574" i="6" s="1"/>
  <c r="V574" i="6" s="1"/>
  <c r="P498" i="6"/>
  <c r="U498" i="6" s="1"/>
  <c r="V498" i="6" s="1"/>
  <c r="P495" i="6"/>
  <c r="U495" i="6" s="1"/>
  <c r="P352" i="6"/>
  <c r="P349" i="6"/>
  <c r="U349" i="6" s="1"/>
  <c r="V349" i="6" s="1"/>
  <c r="O2629" i="6"/>
  <c r="P2629" i="6" s="1"/>
  <c r="U2629" i="6" s="1"/>
  <c r="V2629" i="6" s="1"/>
  <c r="P2600" i="6"/>
  <c r="U2600" i="6" s="1"/>
  <c r="V2600" i="6" s="1"/>
  <c r="O2567" i="6"/>
  <c r="P2567" i="6" s="1"/>
  <c r="U2567" i="6" s="1"/>
  <c r="V2567" i="6" s="1"/>
  <c r="O2562" i="6"/>
  <c r="P2562" i="6" s="1"/>
  <c r="U2562" i="6" s="1"/>
  <c r="P2523" i="6"/>
  <c r="U2523" i="6" s="1"/>
  <c r="P1939" i="6"/>
  <c r="U1939" i="6" s="1"/>
  <c r="V1939" i="6" s="1"/>
  <c r="N1750" i="6"/>
  <c r="P1706" i="6"/>
  <c r="U1706" i="6" s="1"/>
  <c r="V1706" i="6" s="1"/>
  <c r="N1625" i="6"/>
  <c r="N1618" i="6"/>
  <c r="N1488" i="6"/>
  <c r="P1488" i="6" s="1"/>
  <c r="U1488" i="6" s="1"/>
  <c r="P1145" i="6"/>
  <c r="N1129" i="6"/>
  <c r="P1106" i="6"/>
  <c r="U1106" i="6" s="1"/>
  <c r="V1106" i="6" s="1"/>
  <c r="P1076" i="6"/>
  <c r="U1076" i="6" s="1"/>
  <c r="V1076" i="6" s="1"/>
  <c r="P1029" i="6"/>
  <c r="U1029" i="6" s="1"/>
  <c r="V1029" i="6" s="1"/>
  <c r="P2864" i="6"/>
  <c r="U2864" i="6" s="1"/>
  <c r="V2864" i="6" s="1"/>
  <c r="P2824" i="6"/>
  <c r="U2824" i="6" s="1"/>
  <c r="V2824" i="6" s="1"/>
  <c r="P2821" i="6"/>
  <c r="U2821" i="6" s="1"/>
  <c r="P2804" i="6"/>
  <c r="U2804" i="6" s="1"/>
  <c r="P2791" i="6"/>
  <c r="U2791" i="6" s="1"/>
  <c r="V2791" i="6" s="1"/>
  <c r="P2718" i="6"/>
  <c r="U2718" i="6" s="1"/>
  <c r="O2638" i="6"/>
  <c r="P2638" i="6" s="1"/>
  <c r="U2638" i="6" s="1"/>
  <c r="V2638" i="6" s="1"/>
  <c r="O2635" i="6"/>
  <c r="P2635" i="6" s="1"/>
  <c r="U2635" i="6" s="1"/>
  <c r="V2635" i="6" s="1"/>
  <c r="O2632" i="6"/>
  <c r="P2632" i="6" s="1"/>
  <c r="U2632" i="6" s="1"/>
  <c r="V2632" i="6" s="1"/>
  <c r="O2625" i="6"/>
  <c r="P2625" i="6" s="1"/>
  <c r="U2625" i="6" s="1"/>
  <c r="V2625" i="6" s="1"/>
  <c r="O2621" i="6"/>
  <c r="P2621" i="6" s="1"/>
  <c r="U2621" i="6" s="1"/>
  <c r="O2618" i="6"/>
  <c r="P2618" i="6" s="1"/>
  <c r="U2618" i="6" s="1"/>
  <c r="V2618" i="6" s="1"/>
  <c r="O2614" i="6"/>
  <c r="P2614" i="6" s="1"/>
  <c r="U2614" i="6" s="1"/>
  <c r="O2569" i="6"/>
  <c r="P2569" i="6" s="1"/>
  <c r="U2569" i="6" s="1"/>
  <c r="V2569" i="6" s="1"/>
  <c r="O2528" i="6"/>
  <c r="P2528" i="6" s="1"/>
  <c r="U2528" i="6" s="1"/>
  <c r="V2528" i="6" s="1"/>
  <c r="O2521" i="6"/>
  <c r="P2521" i="6" s="1"/>
  <c r="U2521" i="6" s="1"/>
  <c r="V2521" i="6" s="1"/>
  <c r="P2507" i="6"/>
  <c r="U2507" i="6" s="1"/>
  <c r="P2457" i="6"/>
  <c r="U2457" i="6" s="1"/>
  <c r="V2457" i="6" s="1"/>
  <c r="P2400" i="6"/>
  <c r="U2400" i="6" s="1"/>
  <c r="V2400" i="6" s="1"/>
  <c r="P2391" i="6"/>
  <c r="P2367" i="6"/>
  <c r="P2295" i="6"/>
  <c r="U2295" i="6" s="1"/>
  <c r="P2282" i="6"/>
  <c r="U2282" i="6" s="1"/>
  <c r="V2282" i="6" s="1"/>
  <c r="P2271" i="6"/>
  <c r="P2265" i="6"/>
  <c r="U2265" i="6" s="1"/>
  <c r="V2265" i="6" s="1"/>
  <c r="P2223" i="6"/>
  <c r="U2223" i="6" s="1"/>
  <c r="V2223" i="6" s="1"/>
  <c r="P2170" i="6"/>
  <c r="U2170" i="6" s="1"/>
  <c r="P1932" i="6"/>
  <c r="N1617" i="6"/>
  <c r="P1528" i="6"/>
  <c r="U1528" i="6" s="1"/>
  <c r="V1528" i="6" s="1"/>
  <c r="P1525" i="6"/>
  <c r="U1525" i="6" s="1"/>
  <c r="V1525" i="6" s="1"/>
  <c r="P1522" i="6"/>
  <c r="U1522" i="6" s="1"/>
  <c r="V1522" i="6" s="1"/>
  <c r="P1519" i="6"/>
  <c r="U1519" i="6" s="1"/>
  <c r="V1519" i="6" s="1"/>
  <c r="P1516" i="6"/>
  <c r="U1516" i="6" s="1"/>
  <c r="V1516" i="6" s="1"/>
  <c r="P1513" i="6"/>
  <c r="U1513" i="6" s="1"/>
  <c r="V1513" i="6" s="1"/>
  <c r="N1491" i="6"/>
  <c r="P1491" i="6" s="1"/>
  <c r="U1491" i="6" s="1"/>
  <c r="V1491" i="6" s="1"/>
  <c r="P1462" i="6"/>
  <c r="U1462" i="6" s="1"/>
  <c r="V1462" i="6" s="1"/>
  <c r="P1420" i="6"/>
  <c r="P1416" i="6"/>
  <c r="P973" i="6"/>
  <c r="U973" i="6" s="1"/>
  <c r="V973" i="6" s="1"/>
  <c r="P970" i="6"/>
  <c r="U970" i="6" s="1"/>
  <c r="V970" i="6" s="1"/>
  <c r="P905" i="6"/>
  <c r="P799" i="6"/>
  <c r="U799" i="6" s="1"/>
  <c r="V799" i="6" s="1"/>
  <c r="P784" i="6"/>
  <c r="U784" i="6" s="1"/>
  <c r="V784" i="6" s="1"/>
  <c r="P778" i="6"/>
  <c r="U778" i="6" s="1"/>
  <c r="V778" i="6" s="1"/>
  <c r="P696" i="6"/>
  <c r="U696" i="6" s="1"/>
  <c r="V696" i="6" s="1"/>
  <c r="P692" i="6"/>
  <c r="U692" i="6" s="1"/>
  <c r="V692" i="6" s="1"/>
  <c r="P645" i="6"/>
  <c r="U645" i="6" s="1"/>
  <c r="V645" i="6" s="1"/>
  <c r="P573" i="6"/>
  <c r="U573" i="6" s="1"/>
  <c r="V573" i="6" s="1"/>
  <c r="P570" i="6"/>
  <c r="U570" i="6" s="1"/>
  <c r="V570" i="6" s="1"/>
  <c r="P560" i="6"/>
  <c r="U560" i="6" s="1"/>
  <c r="V560" i="6" s="1"/>
  <c r="P557" i="6"/>
  <c r="P472" i="6"/>
  <c r="P469" i="6"/>
  <c r="U469" i="6" s="1"/>
  <c r="V469" i="6" s="1"/>
  <c r="P430" i="6"/>
  <c r="U430" i="6" s="1"/>
  <c r="V430" i="6" s="1"/>
  <c r="P22" i="6"/>
  <c r="U22" i="6" s="1"/>
  <c r="V22" i="6" s="1"/>
  <c r="P5688" i="6"/>
  <c r="U5688" i="6" s="1"/>
  <c r="V5688" i="6" s="1"/>
  <c r="P312" i="6"/>
  <c r="U312" i="6" s="1"/>
  <c r="V312" i="6" s="1"/>
  <c r="P304" i="6"/>
  <c r="U304" i="6" s="1"/>
  <c r="P369" i="6"/>
  <c r="P346" i="6"/>
  <c r="U346" i="6" s="1"/>
  <c r="V346" i="6" s="1"/>
  <c r="P433" i="6"/>
  <c r="U433" i="6" s="1"/>
  <c r="V433" i="6" s="1"/>
  <c r="P427" i="6"/>
  <c r="U427" i="6" s="1"/>
  <c r="V427" i="6" s="1"/>
  <c r="P375" i="6"/>
  <c r="P12" i="6"/>
  <c r="U12" i="6" s="1"/>
  <c r="V12" i="6" s="1"/>
  <c r="P377" i="6"/>
  <c r="U377" i="6" s="1"/>
  <c r="V377" i="6" s="1"/>
  <c r="P358" i="6"/>
  <c r="U358" i="6" s="1"/>
  <c r="P351" i="6"/>
  <c r="U351" i="6" s="1"/>
  <c r="V351" i="6" s="1"/>
  <c r="P348" i="6"/>
  <c r="U348" i="6" s="1"/>
  <c r="P331" i="6"/>
  <c r="P305" i="6"/>
  <c r="U305" i="6" s="1"/>
  <c r="V305" i="6" s="1"/>
  <c r="P21" i="6"/>
  <c r="P4" i="6"/>
  <c r="U4" i="6" s="1"/>
  <c r="V4" i="6" s="1"/>
  <c r="P303" i="6"/>
  <c r="U303" i="6" s="1"/>
  <c r="V303" i="6" s="1"/>
  <c r="P300" i="6"/>
  <c r="U300" i="6" s="1"/>
  <c r="V300" i="6" s="1"/>
  <c r="P10" i="6"/>
  <c r="U10" i="6" s="1"/>
  <c r="V10" i="6" s="1"/>
  <c r="P5806" i="6"/>
  <c r="U5806" i="6" s="1"/>
  <c r="V5806" i="6" s="1"/>
  <c r="N5687" i="6"/>
  <c r="P5687" i="6" s="1"/>
  <c r="U5687" i="6" s="1"/>
  <c r="V5687" i="6" s="1"/>
  <c r="N5686" i="6"/>
  <c r="P5686" i="6" s="1"/>
  <c r="U5686" i="6" s="1"/>
  <c r="V5686" i="6" s="1"/>
  <c r="N4323" i="6"/>
  <c r="P4323" i="6" s="1"/>
  <c r="P5286" i="6"/>
  <c r="U5286" i="6" s="1"/>
  <c r="P5278" i="6"/>
  <c r="U5278" i="6" s="1"/>
  <c r="V5278" i="6" s="1"/>
  <c r="P5257" i="6"/>
  <c r="P4777" i="6"/>
  <c r="U4777" i="6" s="1"/>
  <c r="V4777" i="6" s="1"/>
  <c r="P4763" i="6"/>
  <c r="U4763" i="6" s="1"/>
  <c r="V4763" i="6" s="1"/>
  <c r="P4714" i="6"/>
  <c r="U4714" i="6" s="1"/>
  <c r="P4686" i="6"/>
  <c r="P4650" i="6"/>
  <c r="U4650" i="6" s="1"/>
  <c r="P4647" i="6"/>
  <c r="U4647" i="6" s="1"/>
  <c r="V4647" i="6" s="1"/>
  <c r="P4568" i="6"/>
  <c r="U4568" i="6" s="1"/>
  <c r="V4568" i="6" s="1"/>
  <c r="P4562" i="6"/>
  <c r="U4562" i="6" s="1"/>
  <c r="V4562" i="6" s="1"/>
  <c r="P4559" i="6"/>
  <c r="U4559" i="6" s="1"/>
  <c r="V4559" i="6" s="1"/>
  <c r="P4556" i="6"/>
  <c r="U4556" i="6" s="1"/>
  <c r="V4556" i="6" s="1"/>
  <c r="P3758" i="6"/>
  <c r="P5165" i="6"/>
  <c r="U5165" i="6" s="1"/>
  <c r="V5165" i="6" s="1"/>
  <c r="P5156" i="6"/>
  <c r="U5156" i="6" s="1"/>
  <c r="V5156" i="6" s="1"/>
  <c r="P5042" i="6"/>
  <c r="U5042" i="6" s="1"/>
  <c r="P4996" i="6"/>
  <c r="U4996" i="6" s="1"/>
  <c r="V4996" i="6" s="1"/>
  <c r="P4984" i="6"/>
  <c r="U4984" i="6" s="1"/>
  <c r="V4984" i="6" s="1"/>
  <c r="P4936" i="6"/>
  <c r="U4936" i="6" s="1"/>
  <c r="V4936" i="6" s="1"/>
  <c r="P4917" i="6"/>
  <c r="P4912" i="6"/>
  <c r="U4912" i="6" s="1"/>
  <c r="V4912" i="6" s="1"/>
  <c r="P4892" i="6"/>
  <c r="P4888" i="6"/>
  <c r="U4888" i="6" s="1"/>
  <c r="P4876" i="6"/>
  <c r="U4876" i="6" s="1"/>
  <c r="V4876" i="6" s="1"/>
  <c r="P4870" i="6"/>
  <c r="U4870" i="6" s="1"/>
  <c r="P4862" i="6"/>
  <c r="P4818" i="6"/>
  <c r="M665" i="14" s="1"/>
  <c r="R665" i="14" s="1"/>
  <c r="P4810" i="6"/>
  <c r="U4810" i="6" s="1"/>
  <c r="V4810" i="6" s="1"/>
  <c r="P4792" i="6"/>
  <c r="U4792" i="6" s="1"/>
  <c r="V4792" i="6" s="1"/>
  <c r="P4782" i="6"/>
  <c r="U4782" i="6" s="1"/>
  <c r="P4758" i="6"/>
  <c r="P4743" i="6"/>
  <c r="U4743" i="6" s="1"/>
  <c r="V4743" i="6" s="1"/>
  <c r="P4722" i="6"/>
  <c r="U4722" i="6" s="1"/>
  <c r="V4722" i="6" s="1"/>
  <c r="P4662" i="6"/>
  <c r="P4649" i="6"/>
  <c r="U4649" i="6" s="1"/>
  <c r="V4649" i="6" s="1"/>
  <c r="P4646" i="6"/>
  <c r="U4646" i="6" s="1"/>
  <c r="V4646" i="6" s="1"/>
  <c r="P4643" i="6"/>
  <c r="U4643" i="6" s="1"/>
  <c r="V4643" i="6" s="1"/>
  <c r="P4605" i="6"/>
  <c r="U4605" i="6" s="1"/>
  <c r="P4603" i="6"/>
  <c r="U4603" i="6" s="1"/>
  <c r="P4597" i="6"/>
  <c r="U4597" i="6" s="1"/>
  <c r="V4597" i="6" s="1"/>
  <c r="P4592" i="6"/>
  <c r="U4592" i="6" s="1"/>
  <c r="V4592" i="6" s="1"/>
  <c r="P4589" i="6"/>
  <c r="U4589" i="6" s="1"/>
  <c r="V4589" i="6" s="1"/>
  <c r="P4570" i="6"/>
  <c r="U4570" i="6" s="1"/>
  <c r="V4570" i="6" s="1"/>
  <c r="P4567" i="6"/>
  <c r="U4567" i="6" s="1"/>
  <c r="V4567" i="6" s="1"/>
  <c r="P4555" i="6"/>
  <c r="U4555" i="6" s="1"/>
  <c r="V4555" i="6" s="1"/>
  <c r="O4526" i="6"/>
  <c r="P4526" i="6" s="1"/>
  <c r="U4526" i="6" s="1"/>
  <c r="V4526" i="6" s="1"/>
  <c r="P4517" i="6"/>
  <c r="U4517" i="6" s="1"/>
  <c r="V4517" i="6" s="1"/>
  <c r="P4508" i="6"/>
  <c r="U4508" i="6" s="1"/>
  <c r="P4499" i="6"/>
  <c r="U4499" i="6" s="1"/>
  <c r="V4499" i="6" s="1"/>
  <c r="O4488" i="6"/>
  <c r="P4488" i="6" s="1"/>
  <c r="U4488" i="6" s="1"/>
  <c r="V4488" i="6" s="1"/>
  <c r="O4485" i="6"/>
  <c r="P4485" i="6" s="1"/>
  <c r="U4485" i="6" s="1"/>
  <c r="V4485" i="6" s="1"/>
  <c r="O4477" i="6"/>
  <c r="P4477" i="6" s="1"/>
  <c r="U4477" i="6" s="1"/>
  <c r="V4477" i="6" s="1"/>
  <c r="P4466" i="6"/>
  <c r="U4466" i="6" s="1"/>
  <c r="V4466" i="6" s="1"/>
  <c r="O4444" i="6"/>
  <c r="P4444" i="6" s="1"/>
  <c r="U4444" i="6" s="1"/>
  <c r="O4415" i="6"/>
  <c r="P4415" i="6" s="1"/>
  <c r="O4410" i="6"/>
  <c r="P4410" i="6" s="1"/>
  <c r="U4410" i="6" s="1"/>
  <c r="V4410" i="6" s="1"/>
  <c r="O4405" i="6"/>
  <c r="P4405" i="6" s="1"/>
  <c r="O4397" i="6"/>
  <c r="P4397" i="6" s="1"/>
  <c r="U4397" i="6" s="1"/>
  <c r="V4397" i="6" s="1"/>
  <c r="P4391" i="6"/>
  <c r="U4391" i="6" s="1"/>
  <c r="V4391" i="6" s="1"/>
  <c r="P4389" i="6"/>
  <c r="U4389" i="6" s="1"/>
  <c r="V4389" i="6" s="1"/>
  <c r="P4364" i="6"/>
  <c r="U4364" i="6" s="1"/>
  <c r="P4345" i="6"/>
  <c r="U4345" i="6" s="1"/>
  <c r="V4345" i="6" s="1"/>
  <c r="P4299" i="6"/>
  <c r="U4299" i="6" s="1"/>
  <c r="V4299" i="6" s="1"/>
  <c r="P4285" i="6"/>
  <c r="U4285" i="6" s="1"/>
  <c r="V4285" i="6" s="1"/>
  <c r="P4283" i="6"/>
  <c r="U4283" i="6" s="1"/>
  <c r="V4283" i="6" s="1"/>
  <c r="O4252" i="6"/>
  <c r="P4252" i="6" s="1"/>
  <c r="U4252" i="6" s="1"/>
  <c r="V4252" i="6" s="1"/>
  <c r="O4256" i="6"/>
  <c r="P4256" i="6" s="1"/>
  <c r="U4256" i="6" s="1"/>
  <c r="V4256" i="6" s="1"/>
  <c r="O4261" i="6"/>
  <c r="P4261" i="6" s="1"/>
  <c r="U4261" i="6" s="1"/>
  <c r="V4261" i="6" s="1"/>
  <c r="O4127" i="6"/>
  <c r="P4127" i="6" s="1"/>
  <c r="U4127" i="6" s="1"/>
  <c r="V4127" i="6" s="1"/>
  <c r="O4131" i="6"/>
  <c r="P4131" i="6" s="1"/>
  <c r="U4131" i="6" s="1"/>
  <c r="V4131" i="6" s="1"/>
  <c r="O4128" i="6"/>
  <c r="P4128" i="6" s="1"/>
  <c r="U4128" i="6" s="1"/>
  <c r="V4128" i="6" s="1"/>
  <c r="O4125" i="6"/>
  <c r="P4125" i="6" s="1"/>
  <c r="U4125" i="6" s="1"/>
  <c r="V4125" i="6" s="1"/>
  <c r="O4134" i="6"/>
  <c r="P4134" i="6" s="1"/>
  <c r="U4134" i="6" s="1"/>
  <c r="V4134" i="6" s="1"/>
  <c r="O4137" i="6"/>
  <c r="P4137" i="6" s="1"/>
  <c r="U4137" i="6" s="1"/>
  <c r="V4137" i="6" s="1"/>
  <c r="P5285" i="6"/>
  <c r="U5285" i="6" s="1"/>
  <c r="V5285" i="6" s="1"/>
  <c r="P5210" i="6"/>
  <c r="U5210" i="6" s="1"/>
  <c r="P5196" i="6"/>
  <c r="U5196" i="6" s="1"/>
  <c r="P5188" i="6"/>
  <c r="U5188" i="6" s="1"/>
  <c r="P5162" i="6"/>
  <c r="U5162" i="6" s="1"/>
  <c r="V5162" i="6" s="1"/>
  <c r="P5153" i="6"/>
  <c r="P5132" i="6"/>
  <c r="P5125" i="6"/>
  <c r="U5125" i="6" s="1"/>
  <c r="V5125" i="6" s="1"/>
  <c r="P5117" i="6"/>
  <c r="P5095" i="6"/>
  <c r="U5095" i="6" s="1"/>
  <c r="V5095" i="6" s="1"/>
  <c r="P5089" i="6"/>
  <c r="U5089" i="6" s="1"/>
  <c r="P5059" i="6"/>
  <c r="U5059" i="6" s="1"/>
  <c r="V5059" i="6" s="1"/>
  <c r="P5028" i="6"/>
  <c r="U5028" i="6" s="1"/>
  <c r="V5028" i="6" s="1"/>
  <c r="P5003" i="6"/>
  <c r="U5003" i="6" s="1"/>
  <c r="V5003" i="6" s="1"/>
  <c r="P4993" i="6"/>
  <c r="U4993" i="6" s="1"/>
  <c r="V4993" i="6" s="1"/>
  <c r="P4988" i="6"/>
  <c r="U4988" i="6" s="1"/>
  <c r="P4978" i="6"/>
  <c r="U4978" i="6" s="1"/>
  <c r="P4909" i="6"/>
  <c r="P4901" i="6"/>
  <c r="P4899" i="6"/>
  <c r="U4899" i="6" s="1"/>
  <c r="P4867" i="6"/>
  <c r="U4867" i="6" s="1"/>
  <c r="V4867" i="6" s="1"/>
  <c r="P4845" i="6"/>
  <c r="U4845" i="6" s="1"/>
  <c r="V4845" i="6" s="1"/>
  <c r="P4724" i="6"/>
  <c r="U4724" i="6" s="1"/>
  <c r="V4724" i="6" s="1"/>
  <c r="P4608" i="6"/>
  <c r="U4608" i="6" s="1"/>
  <c r="P4475" i="6"/>
  <c r="U4475" i="6" s="1"/>
  <c r="V4475" i="6" s="1"/>
  <c r="O4193" i="6"/>
  <c r="P4193" i="6" s="1"/>
  <c r="U4193" i="6" s="1"/>
  <c r="V4193" i="6" s="1"/>
  <c r="O4198" i="6"/>
  <c r="P4198" i="6" s="1"/>
  <c r="U4198" i="6" s="1"/>
  <c r="V4198" i="6" s="1"/>
  <c r="O4174" i="6"/>
  <c r="P4174" i="6" s="1"/>
  <c r="U4174" i="6" s="1"/>
  <c r="O4171" i="6"/>
  <c r="P4171" i="6" s="1"/>
  <c r="U4171" i="6" s="1"/>
  <c r="V4171" i="6" s="1"/>
  <c r="O4175" i="6"/>
  <c r="P4175" i="6" s="1"/>
  <c r="U4175" i="6" s="1"/>
  <c r="V4175" i="6" s="1"/>
  <c r="O4170" i="6"/>
  <c r="P4170" i="6" s="1"/>
  <c r="O4173" i="6"/>
  <c r="P4173" i="6" s="1"/>
  <c r="O4142" i="6"/>
  <c r="P4142" i="6" s="1"/>
  <c r="U4142" i="6" s="1"/>
  <c r="V4142" i="6" s="1"/>
  <c r="O4146" i="6"/>
  <c r="P4146" i="6" s="1"/>
  <c r="U4146" i="6" s="1"/>
  <c r="V4146" i="6" s="1"/>
  <c r="O4143" i="6"/>
  <c r="P4143" i="6" s="1"/>
  <c r="U4143" i="6" s="1"/>
  <c r="V4143" i="6" s="1"/>
  <c r="O4140" i="6"/>
  <c r="P4140" i="6" s="1"/>
  <c r="O4149" i="6"/>
  <c r="P4149" i="6" s="1"/>
  <c r="U4149" i="6" s="1"/>
  <c r="V4149" i="6" s="1"/>
  <c r="O4152" i="6"/>
  <c r="P4152" i="6" s="1"/>
  <c r="U4152" i="6" s="1"/>
  <c r="V4152" i="6" s="1"/>
  <c r="P5315" i="6"/>
  <c r="P5305" i="6"/>
  <c r="U5305" i="6" s="1"/>
  <c r="V5305" i="6" s="1"/>
  <c r="P5264" i="6"/>
  <c r="U5264" i="6" s="1"/>
  <c r="V5264" i="6" s="1"/>
  <c r="P5262" i="6"/>
  <c r="U5262" i="6" s="1"/>
  <c r="V5262" i="6" s="1"/>
  <c r="P5229" i="6"/>
  <c r="P5201" i="6"/>
  <c r="U5201" i="6" s="1"/>
  <c r="V5201" i="6" s="1"/>
  <c r="P5185" i="6"/>
  <c r="U5185" i="6" s="1"/>
  <c r="V5185" i="6" s="1"/>
  <c r="P5164" i="6"/>
  <c r="U5164" i="6" s="1"/>
  <c r="P5150" i="6"/>
  <c r="U5150" i="6" s="1"/>
  <c r="V5150" i="6" s="1"/>
  <c r="P5147" i="6"/>
  <c r="U5147" i="6" s="1"/>
  <c r="P5138" i="6"/>
  <c r="U5138" i="6" s="1"/>
  <c r="P5129" i="6"/>
  <c r="U5129" i="6" s="1"/>
  <c r="V5129" i="6" s="1"/>
  <c r="P5122" i="6"/>
  <c r="P5109" i="6"/>
  <c r="U5109" i="6" s="1"/>
  <c r="P5067" i="6"/>
  <c r="P5054" i="6"/>
  <c r="U5054" i="6" s="1"/>
  <c r="V5054" i="6" s="1"/>
  <c r="P5050" i="6"/>
  <c r="P5045" i="6"/>
  <c r="U5045" i="6" s="1"/>
  <c r="V5045" i="6" s="1"/>
  <c r="P5016" i="6"/>
  <c r="U5016" i="6" s="1"/>
  <c r="V5016" i="6" s="1"/>
  <c r="P5010" i="6"/>
  <c r="U5010" i="6" s="1"/>
  <c r="V5010" i="6" s="1"/>
  <c r="P5005" i="6"/>
  <c r="U5005" i="6" s="1"/>
  <c r="V5005" i="6" s="1"/>
  <c r="P4992" i="6"/>
  <c r="P4982" i="6"/>
  <c r="P4943" i="6"/>
  <c r="U4943" i="6" s="1"/>
  <c r="P4935" i="6"/>
  <c r="U4935" i="6" s="1"/>
  <c r="V4935" i="6" s="1"/>
  <c r="P4926" i="6"/>
  <c r="P4908" i="6"/>
  <c r="U4908" i="6" s="1"/>
  <c r="V4908" i="6" s="1"/>
  <c r="P4906" i="6"/>
  <c r="U4906" i="6" s="1"/>
  <c r="V4906" i="6" s="1"/>
  <c r="P4886" i="6"/>
  <c r="U4886" i="6" s="1"/>
  <c r="V4886" i="6" s="1"/>
  <c r="P4884" i="6"/>
  <c r="U4884" i="6" s="1"/>
  <c r="V4884" i="6" s="1"/>
  <c r="P4875" i="6"/>
  <c r="U4875" i="6" s="1"/>
  <c r="P4866" i="6"/>
  <c r="U4866" i="6" s="1"/>
  <c r="V4866" i="6" s="1"/>
  <c r="P4814" i="6"/>
  <c r="U4814" i="6" s="1"/>
  <c r="P4789" i="6"/>
  <c r="U4789" i="6" s="1"/>
  <c r="V4789" i="6" s="1"/>
  <c r="P4737" i="6"/>
  <c r="U4737" i="6" s="1"/>
  <c r="P4731" i="6"/>
  <c r="U4731" i="6" s="1"/>
  <c r="V4731" i="6" s="1"/>
  <c r="P4702" i="6"/>
  <c r="U4702" i="6" s="1"/>
  <c r="V4702" i="6" s="1"/>
  <c r="P4695" i="6"/>
  <c r="U4695" i="6" s="1"/>
  <c r="V4695" i="6" s="1"/>
  <c r="P4690" i="6"/>
  <c r="U4690" i="6" s="1"/>
  <c r="V4690" i="6" s="1"/>
  <c r="P4672" i="6"/>
  <c r="U4672" i="6" s="1"/>
  <c r="V4672" i="6" s="1"/>
  <c r="P4654" i="6"/>
  <c r="U4654" i="6" s="1"/>
  <c r="V4654" i="6" s="1"/>
  <c r="P4642" i="6"/>
  <c r="U4642" i="6" s="1"/>
  <c r="V4642" i="6" s="1"/>
  <c r="P4637" i="6"/>
  <c r="U4637" i="6" s="1"/>
  <c r="P4602" i="6"/>
  <c r="U4602" i="6" s="1"/>
  <c r="V4602" i="6" s="1"/>
  <c r="P4563" i="6"/>
  <c r="U4563" i="6" s="1"/>
  <c r="V4563" i="6" s="1"/>
  <c r="P4561" i="6"/>
  <c r="U4561" i="6" s="1"/>
  <c r="V4561" i="6" s="1"/>
  <c r="P4539" i="6"/>
  <c r="U4539" i="6" s="1"/>
  <c r="O4529" i="6"/>
  <c r="P4529" i="6" s="1"/>
  <c r="U4529" i="6" s="1"/>
  <c r="V4529" i="6" s="1"/>
  <c r="O4480" i="6"/>
  <c r="P4480" i="6" s="1"/>
  <c r="U4480" i="6" s="1"/>
  <c r="V4480" i="6" s="1"/>
  <c r="O4456" i="6"/>
  <c r="P4456" i="6" s="1"/>
  <c r="U4456" i="6" s="1"/>
  <c r="V4456" i="6" s="1"/>
  <c r="O4447" i="6"/>
  <c r="P4447" i="6" s="1"/>
  <c r="U4447" i="6" s="1"/>
  <c r="V4447" i="6" s="1"/>
  <c r="P4438" i="6"/>
  <c r="U4438" i="6" s="1"/>
  <c r="V4438" i="6" s="1"/>
  <c r="O4404" i="6"/>
  <c r="P4404" i="6" s="1"/>
  <c r="U4404" i="6" s="1"/>
  <c r="O4399" i="6"/>
  <c r="P4399" i="6" s="1"/>
  <c r="U4399" i="6" s="1"/>
  <c r="V4399" i="6" s="1"/>
  <c r="P4385" i="6"/>
  <c r="P4383" i="6"/>
  <c r="U4383" i="6" s="1"/>
  <c r="P4355" i="6"/>
  <c r="U4355" i="6" s="1"/>
  <c r="V4355" i="6" s="1"/>
  <c r="P4309" i="6"/>
  <c r="U4309" i="6" s="1"/>
  <c r="P4297" i="6"/>
  <c r="P4295" i="6"/>
  <c r="U4295" i="6" s="1"/>
  <c r="V4295" i="6" s="1"/>
  <c r="O4269" i="6"/>
  <c r="P4269" i="6" s="1"/>
  <c r="O4274" i="6"/>
  <c r="P4274" i="6" s="1"/>
  <c r="U4274" i="6" s="1"/>
  <c r="V4274" i="6" s="1"/>
  <c r="O4257" i="6"/>
  <c r="P4257" i="6" s="1"/>
  <c r="P4247" i="6"/>
  <c r="U4247" i="6" s="1"/>
  <c r="V4247" i="6" s="1"/>
  <c r="P4203" i="6"/>
  <c r="U4203" i="6" s="1"/>
  <c r="V4203" i="6" s="1"/>
  <c r="P4196" i="6"/>
  <c r="U4196" i="6" s="1"/>
  <c r="V4196" i="6" s="1"/>
  <c r="P3888" i="6"/>
  <c r="U3888" i="6" s="1"/>
  <c r="P5194" i="6"/>
  <c r="P4409" i="6"/>
  <c r="U4409" i="6" s="1"/>
  <c r="V4409" i="6" s="1"/>
  <c r="P4382" i="6"/>
  <c r="U4382" i="6" s="1"/>
  <c r="V4382" i="6" s="1"/>
  <c r="O4343" i="6"/>
  <c r="P4343" i="6" s="1"/>
  <c r="U4343" i="6" s="1"/>
  <c r="V4343" i="6" s="1"/>
  <c r="O4339" i="6"/>
  <c r="P4339" i="6" s="1"/>
  <c r="U4339" i="6" s="1"/>
  <c r="V4339" i="6" s="1"/>
  <c r="P4294" i="6"/>
  <c r="U4294" i="6" s="1"/>
  <c r="V4294" i="6" s="1"/>
  <c r="P4276" i="6"/>
  <c r="P4268" i="6"/>
  <c r="U4268" i="6" s="1"/>
  <c r="O4262" i="6"/>
  <c r="P4262" i="6" s="1"/>
  <c r="U4262" i="6" s="1"/>
  <c r="V4262" i="6" s="1"/>
  <c r="O4259" i="6"/>
  <c r="P4259" i="6" s="1"/>
  <c r="U4259" i="6" s="1"/>
  <c r="V4259" i="6" s="1"/>
  <c r="P4223" i="6"/>
  <c r="U4223" i="6" s="1"/>
  <c r="P4208" i="6"/>
  <c r="U4208" i="6" s="1"/>
  <c r="V4208" i="6" s="1"/>
  <c r="P4205" i="6"/>
  <c r="U4205" i="6" s="1"/>
  <c r="V4205" i="6" s="1"/>
  <c r="P3562" i="6"/>
  <c r="U3562" i="6" s="1"/>
  <c r="V3562" i="6" s="1"/>
  <c r="P5212" i="6"/>
  <c r="P5208" i="6"/>
  <c r="U5208" i="6" s="1"/>
  <c r="V5208" i="6" s="1"/>
  <c r="P5199" i="6"/>
  <c r="U5199" i="6" s="1"/>
  <c r="P5191" i="6"/>
  <c r="U5191" i="6" s="1"/>
  <c r="P5137" i="6"/>
  <c r="P5134" i="6"/>
  <c r="U5134" i="6" s="1"/>
  <c r="V5134" i="6" s="1"/>
  <c r="P5093" i="6"/>
  <c r="U5093" i="6" s="1"/>
  <c r="P5061" i="6"/>
  <c r="U5061" i="6" s="1"/>
  <c r="V5061" i="6" s="1"/>
  <c r="P5056" i="6"/>
  <c r="P5040" i="6"/>
  <c r="P5029" i="6"/>
  <c r="U5029" i="6" s="1"/>
  <c r="V5029" i="6" s="1"/>
  <c r="P5025" i="6"/>
  <c r="U5025" i="6" s="1"/>
  <c r="P5023" i="6"/>
  <c r="U5023" i="6" s="1"/>
  <c r="V5023" i="6" s="1"/>
  <c r="P5011" i="6"/>
  <c r="U5011" i="6" s="1"/>
  <c r="V5011" i="6" s="1"/>
  <c r="P4958" i="6"/>
  <c r="U4958" i="6" s="1"/>
  <c r="V4958" i="6" s="1"/>
  <c r="P4942" i="6"/>
  <c r="P4929" i="6"/>
  <c r="P4920" i="6"/>
  <c r="U4920" i="6" s="1"/>
  <c r="V4920" i="6" s="1"/>
  <c r="P4918" i="6"/>
  <c r="U4918" i="6" s="1"/>
  <c r="P4879" i="6"/>
  <c r="P4848" i="6"/>
  <c r="U4848" i="6" s="1"/>
  <c r="V4848" i="6" s="1"/>
  <c r="P4748" i="6"/>
  <c r="U4748" i="6" s="1"/>
  <c r="P4740" i="6"/>
  <c r="P4712" i="6"/>
  <c r="U4712" i="6" s="1"/>
  <c r="P4660" i="6"/>
  <c r="U4660" i="6" s="1"/>
  <c r="V4660" i="6" s="1"/>
  <c r="P4653" i="6"/>
  <c r="U4653" i="6" s="1"/>
  <c r="V4653" i="6" s="1"/>
  <c r="P4636" i="6"/>
  <c r="U4636" i="6" s="1"/>
  <c r="V4636" i="6" s="1"/>
  <c r="P4619" i="6"/>
  <c r="P4612" i="6"/>
  <c r="U4612" i="6" s="1"/>
  <c r="V4612" i="6" s="1"/>
  <c r="P4606" i="6"/>
  <c r="P4574" i="6"/>
  <c r="U4574" i="6" s="1"/>
  <c r="P4532" i="6"/>
  <c r="U4532" i="6" s="1"/>
  <c r="V4532" i="6" s="1"/>
  <c r="O4482" i="6"/>
  <c r="P4482" i="6" s="1"/>
  <c r="O4459" i="6"/>
  <c r="P4459" i="6" s="1"/>
  <c r="U4459" i="6" s="1"/>
  <c r="V4459" i="6" s="1"/>
  <c r="P4379" i="6"/>
  <c r="U4379" i="6" s="1"/>
  <c r="V4379" i="6" s="1"/>
  <c r="P4330" i="6"/>
  <c r="U4330" i="6" s="1"/>
  <c r="V4330" i="6" s="1"/>
  <c r="P4311" i="6"/>
  <c r="U4311" i="6" s="1"/>
  <c r="V4311" i="6" s="1"/>
  <c r="P4308" i="6"/>
  <c r="U4308" i="6" s="1"/>
  <c r="V4308" i="6" s="1"/>
  <c r="P4303" i="6"/>
  <c r="U4303" i="6" s="1"/>
  <c r="V4303" i="6" s="1"/>
  <c r="O4267" i="6"/>
  <c r="P4267" i="6" s="1"/>
  <c r="U4267" i="6" s="1"/>
  <c r="V4267" i="6" s="1"/>
  <c r="O4264" i="6"/>
  <c r="P4264" i="6" s="1"/>
  <c r="O4251" i="6"/>
  <c r="P4251" i="6" s="1"/>
  <c r="U4251" i="6" s="1"/>
  <c r="V4251" i="6" s="1"/>
  <c r="O4155" i="6"/>
  <c r="P4155" i="6" s="1"/>
  <c r="O4122" i="6"/>
  <c r="P4122" i="6" s="1"/>
  <c r="U4122" i="6" s="1"/>
  <c r="V4122" i="6" s="1"/>
  <c r="O4119" i="6"/>
  <c r="P4119" i="6" s="1"/>
  <c r="U4119" i="6" s="1"/>
  <c r="V4119" i="6" s="1"/>
  <c r="O4116" i="6"/>
  <c r="P4116" i="6" s="1"/>
  <c r="U4116" i="6" s="1"/>
  <c r="V4116" i="6" s="1"/>
  <c r="O4113" i="6"/>
  <c r="P4113" i="6" s="1"/>
  <c r="U4113" i="6" s="1"/>
  <c r="V4113" i="6" s="1"/>
  <c r="O4084" i="6"/>
  <c r="P4084" i="6" s="1"/>
  <c r="U4084" i="6" s="1"/>
  <c r="V4084" i="6" s="1"/>
  <c r="P4082" i="6"/>
  <c r="O4074" i="6"/>
  <c r="P4074" i="6" s="1"/>
  <c r="U4074" i="6" s="1"/>
  <c r="V4074" i="6" s="1"/>
  <c r="P4059" i="6"/>
  <c r="U4059" i="6" s="1"/>
  <c r="V4059" i="6" s="1"/>
  <c r="P4056" i="6"/>
  <c r="U4056" i="6" s="1"/>
  <c r="O3993" i="6"/>
  <c r="P3993" i="6" s="1"/>
  <c r="U3993" i="6" s="1"/>
  <c r="V3993" i="6" s="1"/>
  <c r="P3990" i="6"/>
  <c r="U3990" i="6" s="1"/>
  <c r="V3990" i="6" s="1"/>
  <c r="O3979" i="6"/>
  <c r="P3979" i="6" s="1"/>
  <c r="U3979" i="6" s="1"/>
  <c r="V3979" i="6" s="1"/>
  <c r="O3973" i="6"/>
  <c r="P3973" i="6" s="1"/>
  <c r="O3970" i="6"/>
  <c r="P3970" i="6" s="1"/>
  <c r="U3970" i="6" s="1"/>
  <c r="V3970" i="6" s="1"/>
  <c r="O3915" i="6"/>
  <c r="P3915" i="6" s="1"/>
  <c r="U3915" i="6" s="1"/>
  <c r="V3915" i="6" s="1"/>
  <c r="O3907" i="6"/>
  <c r="P3907" i="6" s="1"/>
  <c r="U3907" i="6" s="1"/>
  <c r="V3907" i="6" s="1"/>
  <c r="O3897" i="6"/>
  <c r="P3897" i="6" s="1"/>
  <c r="U3897" i="6" s="1"/>
  <c r="V3897" i="6" s="1"/>
  <c r="O3890" i="6"/>
  <c r="P3890" i="6" s="1"/>
  <c r="O3885" i="6"/>
  <c r="O3875" i="6"/>
  <c r="P3875" i="6" s="1"/>
  <c r="U3875" i="6" s="1"/>
  <c r="O3872" i="6"/>
  <c r="P3872" i="6" s="1"/>
  <c r="U3872" i="6" s="1"/>
  <c r="V3872" i="6" s="1"/>
  <c r="O3869" i="6"/>
  <c r="P3869" i="6" s="1"/>
  <c r="O3861" i="6"/>
  <c r="P3861" i="6" s="1"/>
  <c r="O3858" i="6"/>
  <c r="P3858" i="6" s="1"/>
  <c r="U3858" i="6" s="1"/>
  <c r="V3858" i="6" s="1"/>
  <c r="O3849" i="6"/>
  <c r="P3849" i="6" s="1"/>
  <c r="U3849" i="6" s="1"/>
  <c r="O3843" i="6"/>
  <c r="P3843" i="6" s="1"/>
  <c r="O3840" i="6"/>
  <c r="P3840" i="6" s="1"/>
  <c r="U3840" i="6" s="1"/>
  <c r="V3840" i="6" s="1"/>
  <c r="O3836" i="6"/>
  <c r="O3833" i="6"/>
  <c r="P3833" i="6" s="1"/>
  <c r="U3833" i="6" s="1"/>
  <c r="V3833" i="6" s="1"/>
  <c r="O3816" i="6"/>
  <c r="P3816" i="6" s="1"/>
  <c r="U3816" i="6" s="1"/>
  <c r="V3816" i="6" s="1"/>
  <c r="O3813" i="6"/>
  <c r="P3813" i="6" s="1"/>
  <c r="U3813" i="6" s="1"/>
  <c r="V3813" i="6" s="1"/>
  <c r="O3810" i="6"/>
  <c r="P3810" i="6" s="1"/>
  <c r="U3810" i="6" s="1"/>
  <c r="V3810" i="6" s="1"/>
  <c r="O3807" i="6"/>
  <c r="P3807" i="6" s="1"/>
  <c r="U3807" i="6" s="1"/>
  <c r="V3807" i="6" s="1"/>
  <c r="O3755" i="6"/>
  <c r="P3755" i="6" s="1"/>
  <c r="U3755" i="6" s="1"/>
  <c r="V3755" i="6" s="1"/>
  <c r="O3752" i="6"/>
  <c r="P3752" i="6" s="1"/>
  <c r="U3752" i="6" s="1"/>
  <c r="V3752" i="6" s="1"/>
  <c r="O3749" i="6"/>
  <c r="P3749" i="6" s="1"/>
  <c r="U3749" i="6" s="1"/>
  <c r="V3749" i="6" s="1"/>
  <c r="O3746" i="6"/>
  <c r="P3746" i="6" s="1"/>
  <c r="O3726" i="6"/>
  <c r="P3726" i="6" s="1"/>
  <c r="U3726" i="6" s="1"/>
  <c r="V3726" i="6" s="1"/>
  <c r="O3702" i="6"/>
  <c r="P3702" i="6" s="1"/>
  <c r="U3702" i="6" s="1"/>
  <c r="V3702" i="6" s="1"/>
  <c r="O3695" i="6"/>
  <c r="P3695" i="6" s="1"/>
  <c r="U3695" i="6" s="1"/>
  <c r="V3695" i="6" s="1"/>
  <c r="O3681" i="6"/>
  <c r="P3681" i="6" s="1"/>
  <c r="U3681" i="6" s="1"/>
  <c r="V3681" i="6" s="1"/>
  <c r="P3657" i="6"/>
  <c r="U3657" i="6" s="1"/>
  <c r="V3657" i="6" s="1"/>
  <c r="O3650" i="6"/>
  <c r="P3650" i="6" s="1"/>
  <c r="U3650" i="6" s="1"/>
  <c r="V3650" i="6" s="1"/>
  <c r="P3647" i="6"/>
  <c r="U3647" i="6" s="1"/>
  <c r="O3637" i="6"/>
  <c r="P3637" i="6" s="1"/>
  <c r="O3602" i="6"/>
  <c r="P3602" i="6" s="1"/>
  <c r="U3602" i="6" s="1"/>
  <c r="V3602" i="6" s="1"/>
  <c r="O3595" i="6"/>
  <c r="P3595" i="6" s="1"/>
  <c r="U3595" i="6" s="1"/>
  <c r="V3595" i="6" s="1"/>
  <c r="O3454" i="6"/>
  <c r="P3454" i="6" s="1"/>
  <c r="P3542" i="6"/>
  <c r="U3542" i="6" s="1"/>
  <c r="P3488" i="6"/>
  <c r="U3488" i="6" s="1"/>
  <c r="V3488" i="6" s="1"/>
  <c r="P3480" i="6"/>
  <c r="U3480" i="6" s="1"/>
  <c r="V3480" i="6" s="1"/>
  <c r="P3266" i="6"/>
  <c r="U3266" i="6" s="1"/>
  <c r="O4112" i="6"/>
  <c r="P4112" i="6" s="1"/>
  <c r="P4015" i="6"/>
  <c r="U4015" i="6" s="1"/>
  <c r="V4015" i="6" s="1"/>
  <c r="O3978" i="6"/>
  <c r="P3978" i="6" s="1"/>
  <c r="U3978" i="6" s="1"/>
  <c r="V3978" i="6" s="1"/>
  <c r="O3975" i="6"/>
  <c r="P3975" i="6" s="1"/>
  <c r="U3975" i="6" s="1"/>
  <c r="V3975" i="6" s="1"/>
  <c r="O3972" i="6"/>
  <c r="P3972" i="6" s="1"/>
  <c r="U3972" i="6" s="1"/>
  <c r="O3969" i="6"/>
  <c r="P3969" i="6" s="1"/>
  <c r="P3947" i="6"/>
  <c r="U3947" i="6" s="1"/>
  <c r="O3914" i="6"/>
  <c r="P3914" i="6" s="1"/>
  <c r="U3914" i="6" s="1"/>
  <c r="O3909" i="6"/>
  <c r="P3909" i="6" s="1"/>
  <c r="U3909" i="6" s="1"/>
  <c r="V3909" i="6" s="1"/>
  <c r="O3887" i="6"/>
  <c r="P3887" i="6" s="1"/>
  <c r="U3887" i="6" s="1"/>
  <c r="V3887" i="6" s="1"/>
  <c r="O3884" i="6"/>
  <c r="P3884" i="6" s="1"/>
  <c r="U3884" i="6" s="1"/>
  <c r="O3871" i="6"/>
  <c r="P3871" i="6" s="1"/>
  <c r="U3871" i="6" s="1"/>
  <c r="V3871" i="6" s="1"/>
  <c r="O3868" i="6"/>
  <c r="P3868" i="6" s="1"/>
  <c r="U3868" i="6" s="1"/>
  <c r="V3868" i="6" s="1"/>
  <c r="O3863" i="6"/>
  <c r="P3863" i="6" s="1"/>
  <c r="U3863" i="6" s="1"/>
  <c r="V3863" i="6" s="1"/>
  <c r="O3853" i="6"/>
  <c r="P3853" i="6" s="1"/>
  <c r="U3853" i="6" s="1"/>
  <c r="V3853" i="6" s="1"/>
  <c r="O3847" i="6"/>
  <c r="P3847" i="6" s="1"/>
  <c r="U3847" i="6" s="1"/>
  <c r="V3847" i="6" s="1"/>
  <c r="P3762" i="6"/>
  <c r="U3762" i="6" s="1"/>
  <c r="V3762" i="6" s="1"/>
  <c r="O3757" i="6"/>
  <c r="P3757" i="6" s="1"/>
  <c r="U3757" i="6" s="1"/>
  <c r="O3754" i="6"/>
  <c r="P3754" i="6" s="1"/>
  <c r="U3754" i="6" s="1"/>
  <c r="V3754" i="6" s="1"/>
  <c r="O3751" i="6"/>
  <c r="P3751" i="6" s="1"/>
  <c r="U3751" i="6" s="1"/>
  <c r="V3751" i="6" s="1"/>
  <c r="O3748" i="6"/>
  <c r="P3748" i="6" s="1"/>
  <c r="U3748" i="6" s="1"/>
  <c r="V3748" i="6" s="1"/>
  <c r="O3725" i="6"/>
  <c r="P3725" i="6" s="1"/>
  <c r="U3725" i="6" s="1"/>
  <c r="V3725" i="6" s="1"/>
  <c r="P3716" i="6"/>
  <c r="U3716" i="6" s="1"/>
  <c r="O3701" i="6"/>
  <c r="P3701" i="6" s="1"/>
  <c r="U3701" i="6" s="1"/>
  <c r="V3701" i="6" s="1"/>
  <c r="O3680" i="6"/>
  <c r="P3680" i="6" s="1"/>
  <c r="P3627" i="6"/>
  <c r="U3627" i="6" s="1"/>
  <c r="O3594" i="6"/>
  <c r="P3594" i="6" s="1"/>
  <c r="U3594" i="6" s="1"/>
  <c r="V3594" i="6" s="1"/>
  <c r="P3563" i="6"/>
  <c r="U3563" i="6" s="1"/>
  <c r="V3563" i="6" s="1"/>
  <c r="P3503" i="6"/>
  <c r="P3501" i="6"/>
  <c r="U3501" i="6" s="1"/>
  <c r="P3474" i="6"/>
  <c r="U3474" i="6" s="1"/>
  <c r="V3474" i="6" s="1"/>
  <c r="O3466" i="6"/>
  <c r="P3466" i="6" s="1"/>
  <c r="U3466" i="6" s="1"/>
  <c r="V3466" i="6" s="1"/>
  <c r="O3461" i="6"/>
  <c r="P3461" i="6" s="1"/>
  <c r="U3461" i="6" s="1"/>
  <c r="V3461" i="6" s="1"/>
  <c r="O3459" i="6"/>
  <c r="P3459" i="6" s="1"/>
  <c r="U3459" i="6" s="1"/>
  <c r="V3459" i="6" s="1"/>
  <c r="O3456" i="6"/>
  <c r="P3456" i="6" s="1"/>
  <c r="U3456" i="6" s="1"/>
  <c r="V3456" i="6" s="1"/>
  <c r="P3452" i="6"/>
  <c r="U3452" i="6" s="1"/>
  <c r="V3452" i="6" s="1"/>
  <c r="P3445" i="6"/>
  <c r="U3445" i="6" s="1"/>
  <c r="V3445" i="6" s="1"/>
  <c r="O3440" i="6"/>
  <c r="P3440" i="6" s="1"/>
  <c r="U3440" i="6" s="1"/>
  <c r="V3440" i="6" s="1"/>
  <c r="O3435" i="6"/>
  <c r="P3435" i="6" s="1"/>
  <c r="U3435" i="6" s="1"/>
  <c r="P3313" i="6"/>
  <c r="U3313" i="6" s="1"/>
  <c r="P3311" i="6"/>
  <c r="U3311" i="6" s="1"/>
  <c r="V3311" i="6" s="1"/>
  <c r="O3916" i="6"/>
  <c r="P3916" i="6" s="1"/>
  <c r="U3916" i="6" s="1"/>
  <c r="V3916" i="6" s="1"/>
  <c r="O3911" i="6"/>
  <c r="P3911" i="6" s="1"/>
  <c r="U3911" i="6" s="1"/>
  <c r="V3911" i="6" s="1"/>
  <c r="O3905" i="6"/>
  <c r="P3905" i="6" s="1"/>
  <c r="O3877" i="6"/>
  <c r="P3877" i="6" s="1"/>
  <c r="U3877" i="6" s="1"/>
  <c r="O3865" i="6"/>
  <c r="P3865" i="6" s="1"/>
  <c r="U3865" i="6" s="1"/>
  <c r="V3865" i="6" s="1"/>
  <c r="O3860" i="6"/>
  <c r="P3860" i="6" s="1"/>
  <c r="O3852" i="6"/>
  <c r="P3852" i="6" s="1"/>
  <c r="U3852" i="6" s="1"/>
  <c r="V3852" i="6" s="1"/>
  <c r="O3846" i="6"/>
  <c r="P3846" i="6" s="1"/>
  <c r="U3846" i="6" s="1"/>
  <c r="V3846" i="6" s="1"/>
  <c r="O3842" i="6"/>
  <c r="P3842" i="6" s="1"/>
  <c r="U3842" i="6" s="1"/>
  <c r="V3842" i="6" s="1"/>
  <c r="O3839" i="6"/>
  <c r="P3839" i="6" s="1"/>
  <c r="U3839" i="6" s="1"/>
  <c r="V3839" i="6" s="1"/>
  <c r="O3835" i="6"/>
  <c r="P3835" i="6" s="1"/>
  <c r="P3803" i="6"/>
  <c r="U3803" i="6" s="1"/>
  <c r="V3803" i="6" s="1"/>
  <c r="O3747" i="6"/>
  <c r="P3747" i="6" s="1"/>
  <c r="U3747" i="6" s="1"/>
  <c r="V3747" i="6" s="1"/>
  <c r="P3498" i="6"/>
  <c r="U3498" i="6" s="1"/>
  <c r="O3463" i="6"/>
  <c r="P3463" i="6" s="1"/>
  <c r="U3463" i="6" s="1"/>
  <c r="V3463" i="6" s="1"/>
  <c r="O3458" i="6"/>
  <c r="P3458" i="6" s="1"/>
  <c r="U3458" i="6" s="1"/>
  <c r="P3402" i="6"/>
  <c r="U3402" i="6" s="1"/>
  <c r="P3395" i="6"/>
  <c r="U3395" i="6" s="1"/>
  <c r="P3392" i="6"/>
  <c r="O3384" i="6"/>
  <c r="P3384" i="6" s="1"/>
  <c r="P3380" i="6"/>
  <c r="U3380" i="6" s="1"/>
  <c r="V3380" i="6" s="1"/>
  <c r="P3372" i="6"/>
  <c r="U3372" i="6" s="1"/>
  <c r="V3372" i="6" s="1"/>
  <c r="O3317" i="6"/>
  <c r="P3317" i="6" s="1"/>
  <c r="P3308" i="6"/>
  <c r="U3308" i="6" s="1"/>
  <c r="V3308" i="6" s="1"/>
  <c r="P3265" i="6"/>
  <c r="O4090" i="6"/>
  <c r="P4090" i="6" s="1"/>
  <c r="O4085" i="6"/>
  <c r="P4085" i="6" s="1"/>
  <c r="U4085" i="6" s="1"/>
  <c r="V4085" i="6" s="1"/>
  <c r="O4080" i="6"/>
  <c r="P4080" i="6" s="1"/>
  <c r="U4080" i="6" s="1"/>
  <c r="V4080" i="6" s="1"/>
  <c r="P4040" i="6"/>
  <c r="U4040" i="6" s="1"/>
  <c r="P4035" i="6"/>
  <c r="P4011" i="6"/>
  <c r="O3999" i="6"/>
  <c r="P3999" i="6" s="1"/>
  <c r="U3999" i="6" s="1"/>
  <c r="V3999" i="6" s="1"/>
  <c r="O3994" i="6"/>
  <c r="P3994" i="6" s="1"/>
  <c r="O3980" i="6"/>
  <c r="P3980" i="6" s="1"/>
  <c r="U3980" i="6" s="1"/>
  <c r="O3974" i="6"/>
  <c r="P3974" i="6" s="1"/>
  <c r="U3974" i="6" s="1"/>
  <c r="V3974" i="6" s="1"/>
  <c r="O3971" i="6"/>
  <c r="P3971" i="6" s="1"/>
  <c r="U3971" i="6" s="1"/>
  <c r="V3971" i="6" s="1"/>
  <c r="P3946" i="6"/>
  <c r="P3923" i="6"/>
  <c r="U3923" i="6" s="1"/>
  <c r="V3923" i="6" s="1"/>
  <c r="O3913" i="6"/>
  <c r="P3913" i="6" s="1"/>
  <c r="U3913" i="6" s="1"/>
  <c r="V3913" i="6" s="1"/>
  <c r="O3908" i="6"/>
  <c r="P3908" i="6" s="1"/>
  <c r="U3908" i="6" s="1"/>
  <c r="V3908" i="6" s="1"/>
  <c r="O3891" i="6"/>
  <c r="P3891" i="6" s="1"/>
  <c r="U3891" i="6" s="1"/>
  <c r="O3886" i="6"/>
  <c r="P3886" i="6" s="1"/>
  <c r="U3886" i="6" s="1"/>
  <c r="V3886" i="6" s="1"/>
  <c r="O3883" i="6"/>
  <c r="P3883" i="6" s="1"/>
  <c r="U3883" i="6" s="1"/>
  <c r="V3883" i="6" s="1"/>
  <c r="O3880" i="6"/>
  <c r="P3880" i="6" s="1"/>
  <c r="U3880" i="6" s="1"/>
  <c r="P3870" i="6"/>
  <c r="U3870" i="6" s="1"/>
  <c r="V3870" i="6" s="1"/>
  <c r="O3862" i="6"/>
  <c r="P3862" i="6" s="1"/>
  <c r="U3862" i="6" s="1"/>
  <c r="V3862" i="6" s="1"/>
  <c r="O3851" i="6"/>
  <c r="P3851" i="6" s="1"/>
  <c r="U3851" i="6" s="1"/>
  <c r="V3851" i="6" s="1"/>
  <c r="O3845" i="6"/>
  <c r="P3845" i="6" s="1"/>
  <c r="U3845" i="6" s="1"/>
  <c r="V3845" i="6" s="1"/>
  <c r="O3831" i="6"/>
  <c r="P3831" i="6" s="1"/>
  <c r="U3831" i="6" s="1"/>
  <c r="V3831" i="6" s="1"/>
  <c r="O3828" i="6"/>
  <c r="P3828" i="6" s="1"/>
  <c r="O3805" i="6"/>
  <c r="P3805" i="6" s="1"/>
  <c r="P3769" i="6"/>
  <c r="U3769" i="6" s="1"/>
  <c r="V3769" i="6" s="1"/>
  <c r="O3766" i="6"/>
  <c r="P3766" i="6" s="1"/>
  <c r="U3766" i="6" s="1"/>
  <c r="V3766" i="6" s="1"/>
  <c r="O3761" i="6"/>
  <c r="P3761" i="6" s="1"/>
  <c r="O3756" i="6"/>
  <c r="P3756" i="6" s="1"/>
  <c r="U3756" i="6" s="1"/>
  <c r="V3756" i="6" s="1"/>
  <c r="O3753" i="6"/>
  <c r="P3753" i="6" s="1"/>
  <c r="U3753" i="6" s="1"/>
  <c r="V3753" i="6" s="1"/>
  <c r="P3742" i="6"/>
  <c r="U3742" i="6" s="1"/>
  <c r="V3742" i="6" s="1"/>
  <c r="O3738" i="6"/>
  <c r="P3738" i="6" s="1"/>
  <c r="O3696" i="6"/>
  <c r="P3696" i="6" s="1"/>
  <c r="U3696" i="6" s="1"/>
  <c r="V3696" i="6" s="1"/>
  <c r="P3667" i="6"/>
  <c r="U3667" i="6" s="1"/>
  <c r="V3667" i="6" s="1"/>
  <c r="O3664" i="6"/>
  <c r="P3664" i="6" s="1"/>
  <c r="U3664" i="6" s="1"/>
  <c r="V3664" i="6" s="1"/>
  <c r="O3659" i="6"/>
  <c r="P3659" i="6" s="1"/>
  <c r="U3659" i="6" s="1"/>
  <c r="V3659" i="6" s="1"/>
  <c r="O3648" i="6"/>
  <c r="P3648" i="6" s="1"/>
  <c r="O3645" i="6"/>
  <c r="P3645" i="6" s="1"/>
  <c r="U3645" i="6" s="1"/>
  <c r="V3645" i="6" s="1"/>
  <c r="O3638" i="6"/>
  <c r="P3638" i="6" s="1"/>
  <c r="U3638" i="6" s="1"/>
  <c r="V3638" i="6" s="1"/>
  <c r="O3631" i="6"/>
  <c r="P3631" i="6" s="1"/>
  <c r="U3631" i="6" s="1"/>
  <c r="V3631" i="6" s="1"/>
  <c r="O3600" i="6"/>
  <c r="P3600" i="6" s="1"/>
  <c r="P3573" i="6"/>
  <c r="U3573" i="6" s="1"/>
  <c r="V3573" i="6" s="1"/>
  <c r="P3495" i="6"/>
  <c r="U3495" i="6" s="1"/>
  <c r="V3495" i="6" s="1"/>
  <c r="O3465" i="6"/>
  <c r="P3465" i="6" s="1"/>
  <c r="U3465" i="6" s="1"/>
  <c r="V3465" i="6" s="1"/>
  <c r="O3460" i="6"/>
  <c r="P3460" i="6" s="1"/>
  <c r="U3460" i="6" s="1"/>
  <c r="V3460" i="6" s="1"/>
  <c r="O3455" i="6"/>
  <c r="P3274" i="6"/>
  <c r="U3274" i="6" s="1"/>
  <c r="V3274" i="6" s="1"/>
  <c r="P4282" i="6"/>
  <c r="U4282" i="6" s="1"/>
  <c r="V4282" i="6" s="1"/>
  <c r="P4279" i="6"/>
  <c r="U4279" i="6" s="1"/>
  <c r="V4279" i="6" s="1"/>
  <c r="P4277" i="6"/>
  <c r="U4277" i="6" s="1"/>
  <c r="O4229" i="6"/>
  <c r="P4229" i="6" s="1"/>
  <c r="U4229" i="6" s="1"/>
  <c r="V4229" i="6" s="1"/>
  <c r="O4224" i="6"/>
  <c r="P4224" i="6" s="1"/>
  <c r="U4224" i="6" s="1"/>
  <c r="V4224" i="6" s="1"/>
  <c r="P4210" i="6"/>
  <c r="U4210" i="6" s="1"/>
  <c r="V4210" i="6" s="1"/>
  <c r="P4207" i="6"/>
  <c r="U4207" i="6" s="1"/>
  <c r="V4207" i="6" s="1"/>
  <c r="P4201" i="6"/>
  <c r="O4166" i="6"/>
  <c r="P4166" i="6" s="1"/>
  <c r="U4166" i="6" s="1"/>
  <c r="V4166" i="6" s="1"/>
  <c r="O4164" i="6"/>
  <c r="P4164" i="6" s="1"/>
  <c r="U4164" i="6" s="1"/>
  <c r="V4164" i="6" s="1"/>
  <c r="O4161" i="6"/>
  <c r="P4161" i="6" s="1"/>
  <c r="U4161" i="6" s="1"/>
  <c r="V4161" i="6" s="1"/>
  <c r="O4158" i="6"/>
  <c r="P4158" i="6" s="1"/>
  <c r="O4087" i="6"/>
  <c r="P4087" i="6" s="1"/>
  <c r="U4087" i="6" s="1"/>
  <c r="V4087" i="6" s="1"/>
  <c r="P4076" i="6"/>
  <c r="U4076" i="6" s="1"/>
  <c r="V4076" i="6" s="1"/>
  <c r="O4062" i="6"/>
  <c r="P4062" i="6" s="1"/>
  <c r="U4062" i="6" s="1"/>
  <c r="V4062" i="6" s="1"/>
  <c r="P4060" i="6"/>
  <c r="U4060" i="6" s="1"/>
  <c r="V4060" i="6" s="1"/>
  <c r="P4057" i="6"/>
  <c r="U4057" i="6" s="1"/>
  <c r="P4054" i="6"/>
  <c r="P4017" i="6"/>
  <c r="U4017" i="6" s="1"/>
  <c r="O4007" i="6"/>
  <c r="P4007" i="6" s="1"/>
  <c r="O4004" i="6"/>
  <c r="P4004" i="6" s="1"/>
  <c r="U4004" i="6" s="1"/>
  <c r="V4004" i="6" s="1"/>
  <c r="O3996" i="6"/>
  <c r="P3996" i="6" s="1"/>
  <c r="U3996" i="6" s="1"/>
  <c r="V3996" i="6" s="1"/>
  <c r="O3922" i="6"/>
  <c r="P3922" i="6" s="1"/>
  <c r="U3922" i="6" s="1"/>
  <c r="V3922" i="6" s="1"/>
  <c r="O3910" i="6"/>
  <c r="P3910" i="6" s="1"/>
  <c r="U3910" i="6" s="1"/>
  <c r="V3910" i="6" s="1"/>
  <c r="O3904" i="6"/>
  <c r="P3904" i="6" s="1"/>
  <c r="U3904" i="6" s="1"/>
  <c r="V3904" i="6" s="1"/>
  <c r="O3901" i="6"/>
  <c r="P3901" i="6" s="1"/>
  <c r="U3901" i="6" s="1"/>
  <c r="V3901" i="6" s="1"/>
  <c r="O3894" i="6"/>
  <c r="P3894" i="6" s="1"/>
  <c r="U3894" i="6" s="1"/>
  <c r="O3873" i="6"/>
  <c r="P3873" i="6" s="1"/>
  <c r="U3873" i="6" s="1"/>
  <c r="V3873" i="6" s="1"/>
  <c r="O3867" i="6"/>
  <c r="P3867" i="6" s="1"/>
  <c r="U3867" i="6" s="1"/>
  <c r="V3867" i="6" s="1"/>
  <c r="O3864" i="6"/>
  <c r="P3864" i="6" s="1"/>
  <c r="U3864" i="6" s="1"/>
  <c r="V3864" i="6" s="1"/>
  <c r="P3859" i="6"/>
  <c r="U3859" i="6" s="1"/>
  <c r="V3859" i="6" s="1"/>
  <c r="P3857" i="6"/>
  <c r="U3857" i="6" s="1"/>
  <c r="V3857" i="6" s="1"/>
  <c r="O3850" i="6"/>
  <c r="P3850" i="6" s="1"/>
  <c r="U3850" i="6" s="1"/>
  <c r="V3850" i="6" s="1"/>
  <c r="P3808" i="6"/>
  <c r="U3808" i="6" s="1"/>
  <c r="V3808" i="6" s="1"/>
  <c r="O3768" i="6"/>
  <c r="P3768" i="6" s="1"/>
  <c r="U3768" i="6" s="1"/>
  <c r="V3768" i="6" s="1"/>
  <c r="O3763" i="6"/>
  <c r="P3763" i="6" s="1"/>
  <c r="U3763" i="6" s="1"/>
  <c r="V3763" i="6" s="1"/>
  <c r="O3744" i="6"/>
  <c r="P3744" i="6" s="1"/>
  <c r="U3744" i="6" s="1"/>
  <c r="V3744" i="6" s="1"/>
  <c r="O3723" i="6"/>
  <c r="P3723" i="6" s="1"/>
  <c r="U3723" i="6" s="1"/>
  <c r="V3723" i="6" s="1"/>
  <c r="P3710" i="6"/>
  <c r="U3710" i="6" s="1"/>
  <c r="V3710" i="6" s="1"/>
  <c r="O3699" i="6"/>
  <c r="P3699" i="6" s="1"/>
  <c r="U3699" i="6" s="1"/>
  <c r="V3699" i="6" s="1"/>
  <c r="O3689" i="6"/>
  <c r="P3689" i="6" s="1"/>
  <c r="U3689" i="6" s="1"/>
  <c r="V3689" i="6" s="1"/>
  <c r="O3687" i="6"/>
  <c r="P3687" i="6" s="1"/>
  <c r="U3687" i="6" s="1"/>
  <c r="V3687" i="6" s="1"/>
  <c r="O3685" i="6"/>
  <c r="P3685" i="6" s="1"/>
  <c r="U3685" i="6" s="1"/>
  <c r="V3685" i="6" s="1"/>
  <c r="O3666" i="6"/>
  <c r="P3666" i="6" s="1"/>
  <c r="U3666" i="6" s="1"/>
  <c r="V3666" i="6" s="1"/>
  <c r="O3661" i="6"/>
  <c r="P3661" i="6" s="1"/>
  <c r="U3661" i="6" s="1"/>
  <c r="V3661" i="6" s="1"/>
  <c r="O3655" i="6"/>
  <c r="P3655" i="6" s="1"/>
  <c r="O3653" i="6"/>
  <c r="P3653" i="6" s="1"/>
  <c r="U3653" i="6" s="1"/>
  <c r="V3653" i="6" s="1"/>
  <c r="O3641" i="6"/>
  <c r="P3641" i="6" s="1"/>
  <c r="U3641" i="6" s="1"/>
  <c r="V3641" i="6" s="1"/>
  <c r="O3634" i="6"/>
  <c r="P3634" i="6" s="1"/>
  <c r="U3634" i="6" s="1"/>
  <c r="V3634" i="6" s="1"/>
  <c r="P3621" i="6"/>
  <c r="U3621" i="6" s="1"/>
  <c r="V3621" i="6" s="1"/>
  <c r="O3572" i="6"/>
  <c r="P3572" i="6" s="1"/>
  <c r="U3572" i="6" s="1"/>
  <c r="V3572" i="6" s="1"/>
  <c r="P3570" i="6"/>
  <c r="U3570" i="6" s="1"/>
  <c r="V3570" i="6" s="1"/>
  <c r="O3567" i="6"/>
  <c r="P3567" i="6" s="1"/>
  <c r="U3567" i="6" s="1"/>
  <c r="V3567" i="6" s="1"/>
  <c r="O3502" i="6"/>
  <c r="P3502" i="6" s="1"/>
  <c r="U3502" i="6" s="1"/>
  <c r="O3494" i="6"/>
  <c r="P3494" i="6" s="1"/>
  <c r="U3494" i="6" s="1"/>
  <c r="V3494" i="6" s="1"/>
  <c r="O3489" i="6"/>
  <c r="P3489" i="6" s="1"/>
  <c r="O3483" i="6"/>
  <c r="P3483" i="6" s="1"/>
  <c r="U3483" i="6" s="1"/>
  <c r="V3483" i="6" s="1"/>
  <c r="P3481" i="6"/>
  <c r="O3431" i="6"/>
  <c r="P3431" i="6" s="1"/>
  <c r="U3431" i="6" s="1"/>
  <c r="V3431" i="6" s="1"/>
  <c r="P3387" i="6"/>
  <c r="U3387" i="6" s="1"/>
  <c r="V3387" i="6" s="1"/>
  <c r="P3332" i="6"/>
  <c r="U3332" i="6" s="1"/>
  <c r="V3332" i="6" s="1"/>
  <c r="P3135" i="6"/>
  <c r="U3135" i="6" s="1"/>
  <c r="V3135" i="6" s="1"/>
  <c r="P3098" i="6"/>
  <c r="U3098" i="6" s="1"/>
  <c r="P3059" i="6"/>
  <c r="U3059" i="6" s="1"/>
  <c r="V3059" i="6" s="1"/>
  <c r="P3034" i="6"/>
  <c r="P3020" i="6"/>
  <c r="U3020" i="6" s="1"/>
  <c r="P2857" i="6"/>
  <c r="P2841" i="6"/>
  <c r="U2841" i="6" s="1"/>
  <c r="P2831" i="6"/>
  <c r="P2805" i="6"/>
  <c r="U2805" i="6" s="1"/>
  <c r="V2805" i="6" s="1"/>
  <c r="P2792" i="6"/>
  <c r="U2792" i="6" s="1"/>
  <c r="P2789" i="6"/>
  <c r="U2789" i="6" s="1"/>
  <c r="P2784" i="6"/>
  <c r="O2709" i="6"/>
  <c r="P2709" i="6" s="1"/>
  <c r="P2636" i="6"/>
  <c r="U2636" i="6" s="1"/>
  <c r="V2636" i="6" s="1"/>
  <c r="P2627" i="6"/>
  <c r="U2627" i="6" s="1"/>
  <c r="V2627" i="6" s="1"/>
  <c r="O2585" i="6"/>
  <c r="P2585" i="6" s="1"/>
  <c r="U2585" i="6" s="1"/>
  <c r="V2585" i="6" s="1"/>
  <c r="O2582" i="6"/>
  <c r="P2582" i="6" s="1"/>
  <c r="U2582" i="6" s="1"/>
  <c r="O2579" i="6"/>
  <c r="P2579" i="6" s="1"/>
  <c r="U2579" i="6" s="1"/>
  <c r="V2579" i="6" s="1"/>
  <c r="O2576" i="6"/>
  <c r="P2576" i="6" s="1"/>
  <c r="O2573" i="6"/>
  <c r="P2573" i="6" s="1"/>
  <c r="U2573" i="6" s="1"/>
  <c r="V2573" i="6" s="1"/>
  <c r="P2402" i="6"/>
  <c r="U2402" i="6" s="1"/>
  <c r="P2389" i="6"/>
  <c r="U2389" i="6" s="1"/>
  <c r="V2389" i="6" s="1"/>
  <c r="P2303" i="6"/>
  <c r="U2303" i="6" s="1"/>
  <c r="V2303" i="6" s="1"/>
  <c r="P2287" i="6"/>
  <c r="P1933" i="6"/>
  <c r="U1933" i="6" s="1"/>
  <c r="V1933" i="6" s="1"/>
  <c r="P3314" i="6"/>
  <c r="U3314" i="6" s="1"/>
  <c r="V3314" i="6" s="1"/>
  <c r="P3307" i="6"/>
  <c r="U3307" i="6" s="1"/>
  <c r="V3307" i="6" s="1"/>
  <c r="P3305" i="6"/>
  <c r="U3305" i="6" s="1"/>
  <c r="V3305" i="6" s="1"/>
  <c r="P3250" i="6"/>
  <c r="U3250" i="6" s="1"/>
  <c r="P3245" i="6"/>
  <c r="U3245" i="6" s="1"/>
  <c r="V3245" i="6" s="1"/>
  <c r="P3210" i="6"/>
  <c r="U3210" i="6" s="1"/>
  <c r="P3196" i="6"/>
  <c r="U3196" i="6" s="1"/>
  <c r="V3196" i="6" s="1"/>
  <c r="P3193" i="6"/>
  <c r="U3193" i="6" s="1"/>
  <c r="V3193" i="6" s="1"/>
  <c r="P3189" i="6"/>
  <c r="P3134" i="6"/>
  <c r="P3130" i="6"/>
  <c r="U3130" i="6" s="1"/>
  <c r="V3130" i="6" s="1"/>
  <c r="P3119" i="6"/>
  <c r="U3119" i="6" s="1"/>
  <c r="V3119" i="6" s="1"/>
  <c r="P3117" i="6"/>
  <c r="U3117" i="6" s="1"/>
  <c r="V3117" i="6" s="1"/>
  <c r="P3097" i="6"/>
  <c r="U3097" i="6" s="1"/>
  <c r="V3097" i="6" s="1"/>
  <c r="P3079" i="6"/>
  <c r="U3079" i="6" s="1"/>
  <c r="V3079" i="6" s="1"/>
  <c r="P3033" i="6"/>
  <c r="U3033" i="6" s="1"/>
  <c r="V3033" i="6" s="1"/>
  <c r="P3031" i="6"/>
  <c r="U3031" i="6" s="1"/>
  <c r="V3031" i="6" s="1"/>
  <c r="P3025" i="6"/>
  <c r="P3019" i="6"/>
  <c r="P3017" i="6"/>
  <c r="P2982" i="6"/>
  <c r="U2982" i="6" s="1"/>
  <c r="V2982" i="6" s="1"/>
  <c r="P2976" i="6"/>
  <c r="P2958" i="6"/>
  <c r="U2958" i="6" s="1"/>
  <c r="V2958" i="6" s="1"/>
  <c r="P2940" i="6"/>
  <c r="U2940" i="6" s="1"/>
  <c r="V2940" i="6" s="1"/>
  <c r="P2937" i="6"/>
  <c r="U2937" i="6" s="1"/>
  <c r="V2937" i="6" s="1"/>
  <c r="P2934" i="6"/>
  <c r="U2934" i="6" s="1"/>
  <c r="V2934" i="6" s="1"/>
  <c r="P2929" i="6"/>
  <c r="U2929" i="6" s="1"/>
  <c r="P2923" i="6"/>
  <c r="U2923" i="6" s="1"/>
  <c r="V2923" i="6" s="1"/>
  <c r="P2869" i="6"/>
  <c r="U2869" i="6" s="1"/>
  <c r="P2843" i="6"/>
  <c r="P2822" i="6"/>
  <c r="P2802" i="6"/>
  <c r="M403" i="14" s="1"/>
  <c r="R403" i="14" s="1"/>
  <c r="P2794" i="6"/>
  <c r="U2794" i="6" s="1"/>
  <c r="P2786" i="6"/>
  <c r="U2786" i="6" s="1"/>
  <c r="V2786" i="6" s="1"/>
  <c r="P2773" i="6"/>
  <c r="O2768" i="6"/>
  <c r="P2768" i="6" s="1"/>
  <c r="U2768" i="6" s="1"/>
  <c r="V2768" i="6" s="1"/>
  <c r="O2755" i="6"/>
  <c r="P2755" i="6" s="1"/>
  <c r="U2755" i="6" s="1"/>
  <c r="V2755" i="6" s="1"/>
  <c r="O2712" i="6"/>
  <c r="P2712" i="6" s="1"/>
  <c r="U2712" i="6" s="1"/>
  <c r="V2712" i="6" s="1"/>
  <c r="O2700" i="6"/>
  <c r="P2700" i="6" s="1"/>
  <c r="U2700" i="6" s="1"/>
  <c r="V2700" i="6" s="1"/>
  <c r="O2697" i="6"/>
  <c r="P2697" i="6" s="1"/>
  <c r="U2697" i="6" s="1"/>
  <c r="V2697" i="6" s="1"/>
  <c r="O2667" i="6"/>
  <c r="P2667" i="6" s="1"/>
  <c r="U2667" i="6" s="1"/>
  <c r="V2667" i="6" s="1"/>
  <c r="O2655" i="6"/>
  <c r="P2655" i="6" s="1"/>
  <c r="U2655" i="6" s="1"/>
  <c r="V2655" i="6" s="1"/>
  <c r="O2631" i="6"/>
  <c r="P2631" i="6" s="1"/>
  <c r="U2631" i="6" s="1"/>
  <c r="V2631" i="6" s="1"/>
  <c r="O2626" i="6"/>
  <c r="P2626" i="6" s="1"/>
  <c r="U2626" i="6" s="1"/>
  <c r="V2626" i="6" s="1"/>
  <c r="O2624" i="6"/>
  <c r="P2624" i="6" s="1"/>
  <c r="O2622" i="6"/>
  <c r="P2622" i="6" s="1"/>
  <c r="U2622" i="6" s="1"/>
  <c r="V2622" i="6" s="1"/>
  <c r="O2617" i="6"/>
  <c r="P2617" i="6" s="1"/>
  <c r="U2617" i="6" s="1"/>
  <c r="V2617" i="6" s="1"/>
  <c r="P2605" i="6"/>
  <c r="U2605" i="6" s="1"/>
  <c r="V2605" i="6" s="1"/>
  <c r="O2526" i="6"/>
  <c r="P2526" i="6" s="1"/>
  <c r="O2518" i="6"/>
  <c r="P2518" i="6" s="1"/>
  <c r="P2421" i="6"/>
  <c r="U2421" i="6" s="1"/>
  <c r="V2421" i="6" s="1"/>
  <c r="P2380" i="6"/>
  <c r="U2380" i="6" s="1"/>
  <c r="V2380" i="6" s="1"/>
  <c r="P2340" i="6"/>
  <c r="P3237" i="6"/>
  <c r="U3237" i="6" s="1"/>
  <c r="V3237" i="6" s="1"/>
  <c r="P3195" i="6"/>
  <c r="U3195" i="6" s="1"/>
  <c r="V3195" i="6" s="1"/>
  <c r="P3129" i="6"/>
  <c r="U3129" i="6" s="1"/>
  <c r="V3129" i="6" s="1"/>
  <c r="P2981" i="6"/>
  <c r="U2981" i="6" s="1"/>
  <c r="V2981" i="6" s="1"/>
  <c r="P2960" i="6"/>
  <c r="U2960" i="6" s="1"/>
  <c r="V2960" i="6" s="1"/>
  <c r="P2933" i="6"/>
  <c r="U2933" i="6" s="1"/>
  <c r="V2933" i="6" s="1"/>
  <c r="P2839" i="6"/>
  <c r="U2839" i="6" s="1"/>
  <c r="V2839" i="6" s="1"/>
  <c r="O2704" i="6"/>
  <c r="P2704" i="6" s="1"/>
  <c r="U2704" i="6" s="1"/>
  <c r="V2704" i="6" s="1"/>
  <c r="O2702" i="6"/>
  <c r="P2702" i="6" s="1"/>
  <c r="U2702" i="6" s="1"/>
  <c r="V2702" i="6" s="1"/>
  <c r="O2685" i="6"/>
  <c r="P2685" i="6" s="1"/>
  <c r="U2685" i="6" s="1"/>
  <c r="O2640" i="6"/>
  <c r="P2640" i="6" s="1"/>
  <c r="U2640" i="6" s="1"/>
  <c r="V2640" i="6" s="1"/>
  <c r="O2584" i="6"/>
  <c r="P2584" i="6" s="1"/>
  <c r="U2584" i="6" s="1"/>
  <c r="V2584" i="6" s="1"/>
  <c r="O2581" i="6"/>
  <c r="P2581" i="6" s="1"/>
  <c r="U2581" i="6" s="1"/>
  <c r="V2581" i="6" s="1"/>
  <c r="O2578" i="6"/>
  <c r="P2578" i="6" s="1"/>
  <c r="U2578" i="6" s="1"/>
  <c r="O2575" i="6"/>
  <c r="P2575" i="6" s="1"/>
  <c r="U2575" i="6" s="1"/>
  <c r="O2572" i="6"/>
  <c r="P2572" i="6" s="1"/>
  <c r="U2572" i="6" s="1"/>
  <c r="P3054" i="6"/>
  <c r="U3054" i="6" s="1"/>
  <c r="V3054" i="6" s="1"/>
  <c r="O2706" i="6"/>
  <c r="P2599" i="6"/>
  <c r="U2599" i="6" s="1"/>
  <c r="V2599" i="6" s="1"/>
  <c r="P3241" i="6"/>
  <c r="P3206" i="6"/>
  <c r="P3203" i="6"/>
  <c r="U3203" i="6" s="1"/>
  <c r="V3203" i="6" s="1"/>
  <c r="P3200" i="6"/>
  <c r="U3200" i="6" s="1"/>
  <c r="V3200" i="6" s="1"/>
  <c r="P3191" i="6"/>
  <c r="U3191" i="6" s="1"/>
  <c r="V3191" i="6" s="1"/>
  <c r="P3187" i="6"/>
  <c r="U3187" i="6" s="1"/>
  <c r="V3187" i="6" s="1"/>
  <c r="P3183" i="6"/>
  <c r="P3138" i="6"/>
  <c r="U3138" i="6" s="1"/>
  <c r="V3138" i="6" s="1"/>
  <c r="P3126" i="6"/>
  <c r="U3126" i="6" s="1"/>
  <c r="V3126" i="6" s="1"/>
  <c r="P3107" i="6"/>
  <c r="U3107" i="6" s="1"/>
  <c r="V3107" i="6" s="1"/>
  <c r="P3092" i="6"/>
  <c r="P3084" i="6"/>
  <c r="U3084" i="6" s="1"/>
  <c r="V3084" i="6" s="1"/>
  <c r="P3047" i="6"/>
  <c r="U3047" i="6" s="1"/>
  <c r="V3047" i="6" s="1"/>
  <c r="P3045" i="6"/>
  <c r="U3045" i="6" s="1"/>
  <c r="V3045" i="6" s="1"/>
  <c r="P2974" i="6"/>
  <c r="P2943" i="6"/>
  <c r="U2943" i="6" s="1"/>
  <c r="V2943" i="6" s="1"/>
  <c r="P2938" i="6"/>
  <c r="U2938" i="6" s="1"/>
  <c r="V2938" i="6" s="1"/>
  <c r="P2930" i="6"/>
  <c r="U2930" i="6" s="1"/>
  <c r="V2930" i="6" s="1"/>
  <c r="P2928" i="6"/>
  <c r="U2928" i="6" s="1"/>
  <c r="V2928" i="6" s="1"/>
  <c r="P2899" i="6"/>
  <c r="U2899" i="6" s="1"/>
  <c r="V2899" i="6" s="1"/>
  <c r="P2848" i="6"/>
  <c r="U2848" i="6" s="1"/>
  <c r="P2845" i="6"/>
  <c r="U2845" i="6" s="1"/>
  <c r="P2832" i="6"/>
  <c r="U2832" i="6" s="1"/>
  <c r="P2806" i="6"/>
  <c r="U2806" i="6" s="1"/>
  <c r="P2779" i="6"/>
  <c r="U2779" i="6" s="1"/>
  <c r="V2779" i="6" s="1"/>
  <c r="P2742" i="6"/>
  <c r="U2742" i="6" s="1"/>
  <c r="V2742" i="6" s="1"/>
  <c r="P2729" i="6"/>
  <c r="U2729" i="6" s="1"/>
  <c r="O2713" i="6"/>
  <c r="P2713" i="6" s="1"/>
  <c r="U2713" i="6" s="1"/>
  <c r="V2713" i="6" s="1"/>
  <c r="O2703" i="6"/>
  <c r="P2703" i="6" s="1"/>
  <c r="U2703" i="6" s="1"/>
  <c r="V2703" i="6" s="1"/>
  <c r="O2701" i="6"/>
  <c r="P2701" i="6" s="1"/>
  <c r="U2701" i="6" s="1"/>
  <c r="V2701" i="6" s="1"/>
  <c r="O2698" i="6"/>
  <c r="P2698" i="6" s="1"/>
  <c r="U2698" i="6" s="1"/>
  <c r="V2698" i="6" s="1"/>
  <c r="O2688" i="6"/>
  <c r="P2688" i="6" s="1"/>
  <c r="O2658" i="6"/>
  <c r="P2658" i="6" s="1"/>
  <c r="U2658" i="6" s="1"/>
  <c r="V2658" i="6" s="1"/>
  <c r="O2646" i="6"/>
  <c r="P2646" i="6" s="1"/>
  <c r="P2630" i="6"/>
  <c r="U2630" i="6" s="1"/>
  <c r="V2630" i="6" s="1"/>
  <c r="O2583" i="6"/>
  <c r="P2583" i="6" s="1"/>
  <c r="U2583" i="6" s="1"/>
  <c r="V2583" i="6" s="1"/>
  <c r="O2580" i="6"/>
  <c r="P2580" i="6" s="1"/>
  <c r="U2580" i="6" s="1"/>
  <c r="O2577" i="6"/>
  <c r="P2577" i="6" s="1"/>
  <c r="U2577" i="6" s="1"/>
  <c r="O2529" i="6"/>
  <c r="P2529" i="6" s="1"/>
  <c r="U2529" i="6" s="1"/>
  <c r="V2529" i="6" s="1"/>
  <c r="P2436" i="6"/>
  <c r="P2293" i="6"/>
  <c r="U2293" i="6" s="1"/>
  <c r="V2293" i="6" s="1"/>
  <c r="P2276" i="6"/>
  <c r="U2276" i="6" s="1"/>
  <c r="V2276" i="6" s="1"/>
  <c r="P2259" i="6"/>
  <c r="U2259" i="6" s="1"/>
  <c r="V2259" i="6" s="1"/>
  <c r="P2062" i="6"/>
  <c r="U2062" i="6" s="1"/>
  <c r="V2062" i="6" s="1"/>
  <c r="P1786" i="6"/>
  <c r="U1786" i="6" s="1"/>
  <c r="V1786" i="6" s="1"/>
  <c r="P1727" i="6"/>
  <c r="U1727" i="6" s="1"/>
  <c r="V1727" i="6" s="1"/>
  <c r="O2071" i="6"/>
  <c r="P2071" i="6" s="1"/>
  <c r="U2071" i="6" s="1"/>
  <c r="V2071" i="6" s="1"/>
  <c r="O2069" i="6"/>
  <c r="P2069" i="6" s="1"/>
  <c r="U2069" i="6" s="1"/>
  <c r="V2069" i="6" s="1"/>
  <c r="P1861" i="6"/>
  <c r="U1861" i="6" s="1"/>
  <c r="N1841" i="6"/>
  <c r="P1841" i="6" s="1"/>
  <c r="U1841" i="6" s="1"/>
  <c r="V1841" i="6" s="1"/>
  <c r="N1839" i="6"/>
  <c r="P1839" i="6" s="1"/>
  <c r="U1839" i="6" s="1"/>
  <c r="V1839" i="6" s="1"/>
  <c r="N1762" i="6"/>
  <c r="N1758" i="6"/>
  <c r="P1729" i="6"/>
  <c r="U1729" i="6" s="1"/>
  <c r="V1729" i="6" s="1"/>
  <c r="O2067" i="6"/>
  <c r="P2067" i="6" s="1"/>
  <c r="U2067" i="6" s="1"/>
  <c r="V2067" i="6" s="1"/>
  <c r="O1940" i="6"/>
  <c r="P1940" i="6" s="1"/>
  <c r="N1849" i="6"/>
  <c r="P1849" i="6" s="1"/>
  <c r="U1849" i="6" s="1"/>
  <c r="N1836" i="6"/>
  <c r="P1836" i="6" s="1"/>
  <c r="U1836" i="6" s="1"/>
  <c r="V1836" i="6" s="1"/>
  <c r="N1827" i="6"/>
  <c r="P1827" i="6" s="1"/>
  <c r="U1827" i="6" s="1"/>
  <c r="V1827" i="6" s="1"/>
  <c r="P1822" i="6"/>
  <c r="U1822" i="6" s="1"/>
  <c r="O1776" i="6"/>
  <c r="P2070" i="6"/>
  <c r="U2070" i="6" s="1"/>
  <c r="V2070" i="6" s="1"/>
  <c r="O2065" i="6"/>
  <c r="P2065" i="6" s="1"/>
  <c r="U2065" i="6" s="1"/>
  <c r="V2065" i="6" s="1"/>
  <c r="O2063" i="6"/>
  <c r="P2063" i="6" s="1"/>
  <c r="U2063" i="6" s="1"/>
  <c r="V2063" i="6" s="1"/>
  <c r="O2061" i="6"/>
  <c r="P2061" i="6" s="1"/>
  <c r="U2061" i="6" s="1"/>
  <c r="O2059" i="6"/>
  <c r="P2059" i="6" s="1"/>
  <c r="P1723" i="6"/>
  <c r="U1723" i="6" s="1"/>
  <c r="V1723" i="6" s="1"/>
  <c r="O1621" i="6"/>
  <c r="O1612" i="6"/>
  <c r="O1619" i="6"/>
  <c r="O1624" i="6"/>
  <c r="O1617" i="6"/>
  <c r="O1609" i="6"/>
  <c r="O1620" i="6"/>
  <c r="O1625" i="6"/>
  <c r="O1623" i="6"/>
  <c r="O1615" i="6"/>
  <c r="P1871" i="6"/>
  <c r="U1871" i="6" s="1"/>
  <c r="V1871" i="6" s="1"/>
  <c r="N1842" i="6"/>
  <c r="P1842" i="6" s="1"/>
  <c r="N1845" i="6"/>
  <c r="P1845" i="6" s="1"/>
  <c r="N1759" i="6"/>
  <c r="N1761" i="6"/>
  <c r="N1763" i="6"/>
  <c r="N1765" i="6"/>
  <c r="O2064" i="6"/>
  <c r="P2064" i="6" s="1"/>
  <c r="U2064" i="6" s="1"/>
  <c r="V2064" i="6" s="1"/>
  <c r="N1850" i="6"/>
  <c r="P1850" i="6" s="1"/>
  <c r="U1850" i="6" s="1"/>
  <c r="V1850" i="6" s="1"/>
  <c r="N1847" i="6"/>
  <c r="P1847" i="6" s="1"/>
  <c r="U1847" i="6" s="1"/>
  <c r="V1847" i="6" s="1"/>
  <c r="N1844" i="6"/>
  <c r="P1844" i="6" s="1"/>
  <c r="U1844" i="6" s="1"/>
  <c r="V1844" i="6" s="1"/>
  <c r="N1557" i="6"/>
  <c r="N1384" i="6"/>
  <c r="P1231" i="6"/>
  <c r="U1231" i="6" s="1"/>
  <c r="V1231" i="6" s="1"/>
  <c r="P1174" i="6"/>
  <c r="M152" i="14" s="1"/>
  <c r="R152" i="14" s="1"/>
  <c r="N1130" i="6"/>
  <c r="N1125" i="6"/>
  <c r="P1110" i="6"/>
  <c r="U1110" i="6" s="1"/>
  <c r="V1110" i="6" s="1"/>
  <c r="P1104" i="6"/>
  <c r="U1104" i="6" s="1"/>
  <c r="V1104" i="6" s="1"/>
  <c r="P1092" i="6"/>
  <c r="O1055" i="6"/>
  <c r="P1055" i="6" s="1"/>
  <c r="U1055" i="6" s="1"/>
  <c r="V1055" i="6" s="1"/>
  <c r="O1047" i="6"/>
  <c r="P1047" i="6" s="1"/>
  <c r="U1047" i="6" s="1"/>
  <c r="V1047" i="6" s="1"/>
  <c r="O1044" i="6"/>
  <c r="P1044" i="6" s="1"/>
  <c r="U1044" i="6" s="1"/>
  <c r="V1044" i="6" s="1"/>
  <c r="O1041" i="6"/>
  <c r="P1041" i="6" s="1"/>
  <c r="U1041" i="6" s="1"/>
  <c r="V1041" i="6" s="1"/>
  <c r="O1038" i="6"/>
  <c r="P1038" i="6" s="1"/>
  <c r="U1038" i="6" s="1"/>
  <c r="V1038" i="6" s="1"/>
  <c r="N1752" i="6"/>
  <c r="N1747" i="6"/>
  <c r="P1703" i="6"/>
  <c r="U1703" i="6" s="1"/>
  <c r="V1703" i="6" s="1"/>
  <c r="P1659" i="6"/>
  <c r="U1659" i="6" s="1"/>
  <c r="V1659" i="6" s="1"/>
  <c r="P1628" i="6"/>
  <c r="U1628" i="6" s="1"/>
  <c r="V1628" i="6" s="1"/>
  <c r="P1505" i="6"/>
  <c r="U1505" i="6" s="1"/>
  <c r="V1505" i="6" s="1"/>
  <c r="P1482" i="6"/>
  <c r="U1482" i="6" s="1"/>
  <c r="V1482" i="6" s="1"/>
  <c r="P1476" i="6"/>
  <c r="U1476" i="6" s="1"/>
  <c r="P1465" i="6"/>
  <c r="U1465" i="6" s="1"/>
  <c r="V1465" i="6" s="1"/>
  <c r="P1452" i="6"/>
  <c r="U1452" i="6" s="1"/>
  <c r="V1452" i="6" s="1"/>
  <c r="P1447" i="6"/>
  <c r="U1447" i="6" s="1"/>
  <c r="V1447" i="6" s="1"/>
  <c r="N1383" i="6"/>
  <c r="N1377" i="6"/>
  <c r="N1370" i="6"/>
  <c r="P1338" i="6"/>
  <c r="P1329" i="6"/>
  <c r="U1329" i="6" s="1"/>
  <c r="V1329" i="6" s="1"/>
  <c r="N1253" i="6"/>
  <c r="N1241" i="6"/>
  <c r="P1221" i="6"/>
  <c r="U1221" i="6" s="1"/>
  <c r="V1221" i="6" s="1"/>
  <c r="P1189" i="6"/>
  <c r="U1189" i="6" s="1"/>
  <c r="P1183" i="6"/>
  <c r="P1168" i="6"/>
  <c r="U1168" i="6" s="1"/>
  <c r="V1168" i="6" s="1"/>
  <c r="P1166" i="6"/>
  <c r="U1166" i="6" s="1"/>
  <c r="V1166" i="6" s="1"/>
  <c r="P1159" i="6"/>
  <c r="U1159" i="6" s="1"/>
  <c r="N1143" i="6"/>
  <c r="N1141" i="6"/>
  <c r="H142" i="14"/>
  <c r="P1109" i="6"/>
  <c r="U1109" i="6" s="1"/>
  <c r="V1109" i="6" s="1"/>
  <c r="O1052" i="6"/>
  <c r="P1052" i="6" s="1"/>
  <c r="U1052" i="6" s="1"/>
  <c r="V1052" i="6" s="1"/>
  <c r="O1034" i="6"/>
  <c r="P1034" i="6" s="1"/>
  <c r="P1000" i="6"/>
  <c r="U1000" i="6" s="1"/>
  <c r="P909" i="6"/>
  <c r="M106" i="14" s="1"/>
  <c r="R106" i="14" s="1"/>
  <c r="P872" i="6"/>
  <c r="U872" i="6" s="1"/>
  <c r="V872" i="6" s="1"/>
  <c r="N1551" i="6"/>
  <c r="P1668" i="6"/>
  <c r="U1668" i="6" s="1"/>
  <c r="V1668" i="6" s="1"/>
  <c r="P1634" i="6"/>
  <c r="U1634" i="6" s="1"/>
  <c r="V1634" i="6" s="1"/>
  <c r="N1548" i="6"/>
  <c r="P1527" i="6"/>
  <c r="U1527" i="6" s="1"/>
  <c r="P1524" i="6"/>
  <c r="U1524" i="6" s="1"/>
  <c r="V1524" i="6" s="1"/>
  <c r="P1521" i="6"/>
  <c r="U1521" i="6" s="1"/>
  <c r="P1518" i="6"/>
  <c r="U1518" i="6" s="1"/>
  <c r="V1518" i="6" s="1"/>
  <c r="P1515" i="6"/>
  <c r="U1515" i="6" s="1"/>
  <c r="V1515" i="6" s="1"/>
  <c r="P1512" i="6"/>
  <c r="U1512" i="6" s="1"/>
  <c r="P1475" i="6"/>
  <c r="U1475" i="6" s="1"/>
  <c r="P1470" i="6"/>
  <c r="U1470" i="6" s="1"/>
  <c r="V1470" i="6" s="1"/>
  <c r="P1464" i="6"/>
  <c r="U1464" i="6" s="1"/>
  <c r="V1464" i="6" s="1"/>
  <c r="P1459" i="6"/>
  <c r="U1459" i="6" s="1"/>
  <c r="V1459" i="6" s="1"/>
  <c r="P1446" i="6"/>
  <c r="U1446" i="6" s="1"/>
  <c r="P1404" i="6"/>
  <c r="U1404" i="6" s="1"/>
  <c r="V1404" i="6" s="1"/>
  <c r="N1398" i="6"/>
  <c r="N1389" i="6"/>
  <c r="P1331" i="6"/>
  <c r="U1331" i="6" s="1"/>
  <c r="P1325" i="6"/>
  <c r="U1325" i="6" s="1"/>
  <c r="V1325" i="6" s="1"/>
  <c r="P1226" i="6"/>
  <c r="P1220" i="6"/>
  <c r="U1220" i="6" s="1"/>
  <c r="V1220" i="6" s="1"/>
  <c r="P1197" i="6"/>
  <c r="U1197" i="6" s="1"/>
  <c r="V1197" i="6" s="1"/>
  <c r="P1165" i="6"/>
  <c r="U1165" i="6" s="1"/>
  <c r="V1165" i="6" s="1"/>
  <c r="P1163" i="6"/>
  <c r="U1163" i="6" s="1"/>
  <c r="V1163" i="6" s="1"/>
  <c r="P1101" i="6"/>
  <c r="U1101" i="6" s="1"/>
  <c r="V1101" i="6" s="1"/>
  <c r="P1078" i="6"/>
  <c r="U1078" i="6" s="1"/>
  <c r="V1078" i="6" s="1"/>
  <c r="O1051" i="6"/>
  <c r="P1051" i="6" s="1"/>
  <c r="U1051" i="6" s="1"/>
  <c r="V1051" i="6" s="1"/>
  <c r="O1046" i="6"/>
  <c r="P1046" i="6" s="1"/>
  <c r="U1046" i="6" s="1"/>
  <c r="V1046" i="6" s="1"/>
  <c r="O1043" i="6"/>
  <c r="P1043" i="6" s="1"/>
  <c r="U1043" i="6" s="1"/>
  <c r="O1040" i="6"/>
  <c r="P1040" i="6" s="1"/>
  <c r="U1040" i="6" s="1"/>
  <c r="V1040" i="6" s="1"/>
  <c r="O1037" i="6"/>
  <c r="P1037" i="6" s="1"/>
  <c r="U1037" i="6" s="1"/>
  <c r="V1037" i="6" s="1"/>
  <c r="P1030" i="6"/>
  <c r="U1030" i="6" s="1"/>
  <c r="P1023" i="6"/>
  <c r="U1023" i="6" s="1"/>
  <c r="V1023" i="6" s="1"/>
  <c r="P1017" i="6"/>
  <c r="M129" i="14" s="1"/>
  <c r="R129" i="14" s="1"/>
  <c r="P977" i="6"/>
  <c r="U977" i="6" s="1"/>
  <c r="V977" i="6" s="1"/>
  <c r="P972" i="6"/>
  <c r="U972" i="6" s="1"/>
  <c r="P878" i="6"/>
  <c r="U878" i="6" s="1"/>
  <c r="V878" i="6" s="1"/>
  <c r="P1456" i="6"/>
  <c r="U1456" i="6" s="1"/>
  <c r="V1456" i="6" s="1"/>
  <c r="P1443" i="6"/>
  <c r="U1443" i="6" s="1"/>
  <c r="V1443" i="6" s="1"/>
  <c r="P1423" i="6"/>
  <c r="U1423" i="6" s="1"/>
  <c r="V1423" i="6" s="1"/>
  <c r="N1396" i="6"/>
  <c r="P1327" i="6"/>
  <c r="U1327" i="6" s="1"/>
  <c r="V1327" i="6" s="1"/>
  <c r="N1128" i="6"/>
  <c r="N1119" i="6"/>
  <c r="O1048" i="6"/>
  <c r="P1048" i="6" s="1"/>
  <c r="U1048" i="6" s="1"/>
  <c r="P938" i="6"/>
  <c r="U938" i="6" s="1"/>
  <c r="N1775" i="6"/>
  <c r="P1732" i="6"/>
  <c r="U1732" i="6" s="1"/>
  <c r="V1732" i="6" s="1"/>
  <c r="P1700" i="6"/>
  <c r="P1665" i="6"/>
  <c r="U1665" i="6" s="1"/>
  <c r="P1638" i="6"/>
  <c r="U1638" i="6" s="1"/>
  <c r="V1638" i="6" s="1"/>
  <c r="P1632" i="6"/>
  <c r="U1632" i="6" s="1"/>
  <c r="P1630" i="6"/>
  <c r="U1630" i="6" s="1"/>
  <c r="V1630" i="6" s="1"/>
  <c r="N1619" i="6"/>
  <c r="N1616" i="6"/>
  <c r="N1612" i="6"/>
  <c r="P1590" i="6"/>
  <c r="U1590" i="6" s="1"/>
  <c r="P1586" i="6"/>
  <c r="U1586" i="6" s="1"/>
  <c r="V1586" i="6" s="1"/>
  <c r="N1560" i="6"/>
  <c r="P1508" i="6"/>
  <c r="U1508" i="6" s="1"/>
  <c r="P1506" i="6"/>
  <c r="P1502" i="6"/>
  <c r="U1502" i="6" s="1"/>
  <c r="V1502" i="6" s="1"/>
  <c r="P1469" i="6"/>
  <c r="U1469" i="6" s="1"/>
  <c r="V1469" i="6" s="1"/>
  <c r="P1458" i="6"/>
  <c r="U1458" i="6" s="1"/>
  <c r="V1458" i="6" s="1"/>
  <c r="P1453" i="6"/>
  <c r="U1453" i="6" s="1"/>
  <c r="V1453" i="6" s="1"/>
  <c r="P1418" i="6"/>
  <c r="U1418" i="6" s="1"/>
  <c r="V1418" i="6" s="1"/>
  <c r="N1395" i="6"/>
  <c r="N1386" i="6"/>
  <c r="N1379" i="6"/>
  <c r="N1373" i="6"/>
  <c r="N1364" i="6"/>
  <c r="P1333" i="6"/>
  <c r="U1333" i="6" s="1"/>
  <c r="V1333" i="6" s="1"/>
  <c r="N1255" i="6"/>
  <c r="N1249" i="6"/>
  <c r="N1243" i="6"/>
  <c r="P1225" i="6"/>
  <c r="U1225" i="6" s="1"/>
  <c r="V1225" i="6" s="1"/>
  <c r="P1191" i="6"/>
  <c r="U1191" i="6" s="1"/>
  <c r="P1180" i="6"/>
  <c r="P1171" i="6"/>
  <c r="U1171" i="6" s="1"/>
  <c r="V1171" i="6" s="1"/>
  <c r="P1169" i="6"/>
  <c r="U1169" i="6" s="1"/>
  <c r="V1169" i="6" s="1"/>
  <c r="P1162" i="6"/>
  <c r="U1162" i="6" s="1"/>
  <c r="V1162" i="6" s="1"/>
  <c r="P1160" i="6"/>
  <c r="U1160" i="6" s="1"/>
  <c r="V1160" i="6" s="1"/>
  <c r="N1144" i="6"/>
  <c r="N1139" i="6"/>
  <c r="N1135" i="6"/>
  <c r="P1100" i="6"/>
  <c r="U1100" i="6" s="1"/>
  <c r="V1100" i="6" s="1"/>
  <c r="P1087" i="6"/>
  <c r="U1087" i="6" s="1"/>
  <c r="O135" i="14" s="1"/>
  <c r="O1035" i="6"/>
  <c r="P1035" i="6" s="1"/>
  <c r="U1035" i="6" s="1"/>
  <c r="V1035" i="6" s="1"/>
  <c r="P1006" i="6"/>
  <c r="U1006" i="6" s="1"/>
  <c r="V1006" i="6" s="1"/>
  <c r="P995" i="6"/>
  <c r="U995" i="6" s="1"/>
  <c r="V995" i="6" s="1"/>
  <c r="P971" i="6"/>
  <c r="U971" i="6" s="1"/>
  <c r="V971" i="6" s="1"/>
  <c r="P965" i="6"/>
  <c r="U965" i="6" s="1"/>
  <c r="V965" i="6" s="1"/>
  <c r="P885" i="6"/>
  <c r="U885" i="6" s="1"/>
  <c r="V885" i="6" s="1"/>
  <c r="P870" i="6"/>
  <c r="U870" i="6" s="1"/>
  <c r="V870" i="6" s="1"/>
  <c r="P834" i="6"/>
  <c r="P780" i="6"/>
  <c r="U780" i="6" s="1"/>
  <c r="P667" i="6"/>
  <c r="U667" i="6" s="1"/>
  <c r="V667" i="6" s="1"/>
  <c r="P655" i="6"/>
  <c r="U655" i="6" s="1"/>
  <c r="V655" i="6" s="1"/>
  <c r="P571" i="6"/>
  <c r="U571" i="6" s="1"/>
  <c r="V571" i="6" s="1"/>
  <c r="P563" i="6"/>
  <c r="U563" i="6" s="1"/>
  <c r="V563" i="6" s="1"/>
  <c r="P555" i="6"/>
  <c r="U555" i="6" s="1"/>
  <c r="V555" i="6" s="1"/>
  <c r="P475" i="6"/>
  <c r="P423" i="6"/>
  <c r="U423" i="6" s="1"/>
  <c r="P372" i="6"/>
  <c r="U372" i="6" s="1"/>
  <c r="V372" i="6" s="1"/>
  <c r="P359" i="6"/>
  <c r="U359" i="6" s="1"/>
  <c r="V359" i="6" s="1"/>
  <c r="P356" i="6"/>
  <c r="U356" i="6" s="1"/>
  <c r="V356" i="6" s="1"/>
  <c r="P234" i="6"/>
  <c r="M23" i="14" s="1"/>
  <c r="R23" i="14" s="1"/>
  <c r="P879" i="6"/>
  <c r="U879" i="6" s="1"/>
  <c r="V879" i="6" s="1"/>
  <c r="P843" i="6"/>
  <c r="U843" i="6" s="1"/>
  <c r="V843" i="6" s="1"/>
  <c r="P807" i="6"/>
  <c r="U807" i="6" s="1"/>
  <c r="V807" i="6" s="1"/>
  <c r="P798" i="6"/>
  <c r="U798" i="6" s="1"/>
  <c r="V798" i="6" s="1"/>
  <c r="P774" i="6"/>
  <c r="U774" i="6" s="1"/>
  <c r="V774" i="6" s="1"/>
  <c r="P677" i="6"/>
  <c r="U677" i="6" s="1"/>
  <c r="V677" i="6" s="1"/>
  <c r="P586" i="6"/>
  <c r="U586" i="6" s="1"/>
  <c r="V586" i="6" s="1"/>
  <c r="P559" i="6"/>
  <c r="U559" i="6" s="1"/>
  <c r="V559" i="6" s="1"/>
  <c r="P518" i="6"/>
  <c r="U518" i="6" s="1"/>
  <c r="P499" i="6"/>
  <c r="U499" i="6" s="1"/>
  <c r="P484" i="6"/>
  <c r="U484" i="6" s="1"/>
  <c r="N5820" i="6"/>
  <c r="P5820" i="6" s="1"/>
  <c r="U5820" i="6" s="1"/>
  <c r="N5824" i="6"/>
  <c r="P5824" i="6" s="1"/>
  <c r="U5824" i="6" s="1"/>
  <c r="V5824" i="6" s="1"/>
  <c r="N5825" i="6"/>
  <c r="P5825" i="6" s="1"/>
  <c r="U5825" i="6" s="1"/>
  <c r="V5825" i="6" s="1"/>
  <c r="N5823" i="6"/>
  <c r="P5823" i="6" s="1"/>
  <c r="U5823" i="6" s="1"/>
  <c r="V5823" i="6" s="1"/>
  <c r="N5821" i="6"/>
  <c r="P5821" i="6" s="1"/>
  <c r="N5816" i="6"/>
  <c r="P5816" i="6" s="1"/>
  <c r="N5813" i="6"/>
  <c r="P5813" i="6" s="1"/>
  <c r="U5813" i="6" s="1"/>
  <c r="N5809" i="6"/>
  <c r="P5809" i="6" s="1"/>
  <c r="U5809" i="6" s="1"/>
  <c r="V5809" i="6" s="1"/>
  <c r="N5808" i="6"/>
  <c r="P5808" i="6" s="1"/>
  <c r="U5808" i="6" s="1"/>
  <c r="V5808" i="6" s="1"/>
  <c r="N5802" i="6"/>
  <c r="P5802" i="6" s="1"/>
  <c r="U5802" i="6" s="1"/>
  <c r="V5802" i="6" s="1"/>
  <c r="P8" i="6"/>
  <c r="U8" i="6" s="1"/>
  <c r="V8" i="6" s="1"/>
  <c r="P891" i="6"/>
  <c r="U891" i="6" s="1"/>
  <c r="P841" i="6"/>
  <c r="P803" i="6"/>
  <c r="U803" i="6" s="1"/>
  <c r="V803" i="6" s="1"/>
  <c r="P781" i="6"/>
  <c r="U781" i="6" s="1"/>
  <c r="V781" i="6" s="1"/>
  <c r="P693" i="6"/>
  <c r="U693" i="6" s="1"/>
  <c r="V693" i="6" s="1"/>
  <c r="P691" i="6"/>
  <c r="U691" i="6" s="1"/>
  <c r="V691" i="6" s="1"/>
  <c r="P685" i="6"/>
  <c r="P676" i="6"/>
  <c r="U676" i="6" s="1"/>
  <c r="V676" i="6" s="1"/>
  <c r="P657" i="6"/>
  <c r="U657" i="6" s="1"/>
  <c r="V657" i="6" s="1"/>
  <c r="P648" i="6"/>
  <c r="U648" i="6" s="1"/>
  <c r="V648" i="6" s="1"/>
  <c r="P632" i="6"/>
  <c r="U632" i="6" s="1"/>
  <c r="V632" i="6" s="1"/>
  <c r="P580" i="6"/>
  <c r="U580" i="6" s="1"/>
  <c r="V580" i="6" s="1"/>
  <c r="P572" i="6"/>
  <c r="U572" i="6" s="1"/>
  <c r="V572" i="6" s="1"/>
  <c r="P564" i="6"/>
  <c r="U564" i="6" s="1"/>
  <c r="P558" i="6"/>
  <c r="U558" i="6" s="1"/>
  <c r="P490" i="6"/>
  <c r="U490" i="6" s="1"/>
  <c r="P376" i="6"/>
  <c r="P317" i="6"/>
  <c r="P28" i="6"/>
  <c r="U28" i="6" s="1"/>
  <c r="V28" i="6" s="1"/>
  <c r="P501" i="6"/>
  <c r="U501" i="6" s="1"/>
  <c r="O55" i="14" s="1"/>
  <c r="P489" i="6"/>
  <c r="U489" i="6" s="1"/>
  <c r="P487" i="6"/>
  <c r="U487" i="6" s="1"/>
  <c r="V487" i="6" s="1"/>
  <c r="P378" i="6"/>
  <c r="U378" i="6" s="1"/>
  <c r="V378" i="6" s="1"/>
  <c r="P353" i="6"/>
  <c r="U353" i="6" s="1"/>
  <c r="V353" i="6" s="1"/>
  <c r="P350" i="6"/>
  <c r="U350" i="6" s="1"/>
  <c r="V350" i="6" s="1"/>
  <c r="P3" i="6"/>
  <c r="P9" i="6"/>
  <c r="U9" i="6" s="1"/>
  <c r="P5796" i="6"/>
  <c r="U5796" i="6" s="1"/>
  <c r="V5796" i="6" s="1"/>
  <c r="N5830" i="6"/>
  <c r="P5830" i="6" s="1"/>
  <c r="U5830" i="6" s="1"/>
  <c r="V5830" i="6" s="1"/>
  <c r="N5831" i="6"/>
  <c r="P27" i="6"/>
  <c r="U27" i="6" s="1"/>
  <c r="V27" i="6" s="1"/>
  <c r="P16" i="6"/>
  <c r="U16" i="6" s="1"/>
  <c r="V16" i="6" s="1"/>
  <c r="N5801" i="6"/>
  <c r="P5801" i="6" s="1"/>
  <c r="U5801" i="6" s="1"/>
  <c r="V5801" i="6" s="1"/>
  <c r="U5827" i="6"/>
  <c r="M784" i="14"/>
  <c r="R784" i="14" s="1"/>
  <c r="U5659" i="6"/>
  <c r="U5817" i="6"/>
  <c r="U5583" i="6"/>
  <c r="M769" i="14"/>
  <c r="R769" i="14" s="1"/>
  <c r="N5860" i="6"/>
  <c r="P5860" i="6" s="1"/>
  <c r="U5860" i="6" s="1"/>
  <c r="N5858" i="6"/>
  <c r="P5858" i="6" s="1"/>
  <c r="N5856" i="6"/>
  <c r="P5856" i="6" s="1"/>
  <c r="N5502" i="6"/>
  <c r="P5502" i="6" s="1"/>
  <c r="U5502" i="6" s="1"/>
  <c r="V5502" i="6" s="1"/>
  <c r="N5507" i="6"/>
  <c r="P5507" i="6" s="1"/>
  <c r="U5507" i="6" s="1"/>
  <c r="V5507" i="6" s="1"/>
  <c r="N5506" i="6"/>
  <c r="P5506" i="6" s="1"/>
  <c r="U5506" i="6" s="1"/>
  <c r="V5506" i="6" s="1"/>
  <c r="N5503" i="6"/>
  <c r="P5503" i="6" s="1"/>
  <c r="U5503" i="6" s="1"/>
  <c r="V5503" i="6" s="1"/>
  <c r="N5508" i="6"/>
  <c r="P5508" i="6" s="1"/>
  <c r="U5508" i="6" s="1"/>
  <c r="V5508" i="6" s="1"/>
  <c r="N5852" i="6"/>
  <c r="P5852" i="6" s="1"/>
  <c r="U5852" i="6" s="1"/>
  <c r="N5848" i="6"/>
  <c r="P5848" i="6" s="1"/>
  <c r="U5848" i="6" s="1"/>
  <c r="N5846" i="6"/>
  <c r="P5846" i="6" s="1"/>
  <c r="U5846" i="6" s="1"/>
  <c r="N5844" i="6"/>
  <c r="P5844" i="6" s="1"/>
  <c r="U5844" i="6" s="1"/>
  <c r="N5842" i="6"/>
  <c r="P5842" i="6" s="1"/>
  <c r="N5593" i="6"/>
  <c r="P5593" i="6" s="1"/>
  <c r="U5593" i="6" s="1"/>
  <c r="V5593" i="6" s="1"/>
  <c r="N5588" i="6"/>
  <c r="P5588" i="6" s="1"/>
  <c r="N5585" i="6"/>
  <c r="N5875" i="6"/>
  <c r="P5875" i="6" s="1"/>
  <c r="U5875" i="6" s="1"/>
  <c r="N5873" i="6"/>
  <c r="P5873" i="6" s="1"/>
  <c r="N5586" i="6"/>
  <c r="P5586" i="6" s="1"/>
  <c r="U5586" i="6" s="1"/>
  <c r="V5586" i="6" s="1"/>
  <c r="N5505" i="6"/>
  <c r="P5505" i="6" s="1"/>
  <c r="U5505" i="6" s="1"/>
  <c r="V5505" i="6" s="1"/>
  <c r="N5849" i="6"/>
  <c r="P5849" i="6" s="1"/>
  <c r="U5849" i="6" s="1"/>
  <c r="N5847" i="6"/>
  <c r="P5847" i="6" s="1"/>
  <c r="U5847" i="6" s="1"/>
  <c r="N5845" i="6"/>
  <c r="P5845" i="6" s="1"/>
  <c r="U5845" i="6" s="1"/>
  <c r="N5504" i="6"/>
  <c r="P5504" i="6" s="1"/>
  <c r="U5504" i="6" s="1"/>
  <c r="V5504" i="6" s="1"/>
  <c r="P5481" i="6"/>
  <c r="N5876" i="6"/>
  <c r="P5876" i="6" s="1"/>
  <c r="N5501" i="6"/>
  <c r="P5501" i="6" s="1"/>
  <c r="P5002" i="6"/>
  <c r="M687" i="14" s="1"/>
  <c r="R687" i="14" s="1"/>
  <c r="P4962" i="6"/>
  <c r="N5172" i="6"/>
  <c r="P5172" i="6" s="1"/>
  <c r="U5172" i="6" s="1"/>
  <c r="V5172" i="6" s="1"/>
  <c r="N5170" i="6"/>
  <c r="P5170" i="6" s="1"/>
  <c r="U5170" i="6" s="1"/>
  <c r="N5168" i="6"/>
  <c r="P5168" i="6" s="1"/>
  <c r="N5171" i="6"/>
  <c r="P5171" i="6" s="1"/>
  <c r="U5171" i="6" s="1"/>
  <c r="P5013" i="6"/>
  <c r="U5013" i="6" s="1"/>
  <c r="P4974" i="6"/>
  <c r="P4952" i="6"/>
  <c r="N4774" i="6"/>
  <c r="P4774" i="6" s="1"/>
  <c r="U4774" i="6" s="1"/>
  <c r="V4774" i="6" s="1"/>
  <c r="N4769" i="6"/>
  <c r="P4769" i="6" s="1"/>
  <c r="U4769" i="6" s="1"/>
  <c r="V4769" i="6" s="1"/>
  <c r="N4766" i="6"/>
  <c r="P4766" i="6" s="1"/>
  <c r="P4524" i="6"/>
  <c r="U4524" i="6" s="1"/>
  <c r="V4524" i="6" s="1"/>
  <c r="P4422" i="6"/>
  <c r="N4775" i="6"/>
  <c r="P4775" i="6" s="1"/>
  <c r="U4775" i="6" s="1"/>
  <c r="V4775" i="6" s="1"/>
  <c r="N4772" i="6"/>
  <c r="P4772" i="6" s="1"/>
  <c r="U4772" i="6" s="1"/>
  <c r="V4772" i="6" s="1"/>
  <c r="N4767" i="6"/>
  <c r="P4767" i="6" s="1"/>
  <c r="U4767" i="6" s="1"/>
  <c r="V4767" i="6" s="1"/>
  <c r="P4596" i="6"/>
  <c r="M639" i="14" s="1"/>
  <c r="R639" i="14" s="1"/>
  <c r="P4575" i="6"/>
  <c r="M634" i="14" s="1"/>
  <c r="R634" i="14" s="1"/>
  <c r="P4436" i="6"/>
  <c r="U4436" i="6" s="1"/>
  <c r="V4436" i="6" s="1"/>
  <c r="P4395" i="6"/>
  <c r="P4334" i="6"/>
  <c r="U4334" i="6" s="1"/>
  <c r="V4334" i="6" s="1"/>
  <c r="P4235" i="6"/>
  <c r="U4235" i="6" s="1"/>
  <c r="V4235" i="6" s="1"/>
  <c r="N4770" i="6"/>
  <c r="P4770" i="6" s="1"/>
  <c r="U4770" i="6" s="1"/>
  <c r="V4770" i="6" s="1"/>
  <c r="N4773" i="6"/>
  <c r="P4773" i="6" s="1"/>
  <c r="U4773" i="6" s="1"/>
  <c r="V4773" i="6" s="1"/>
  <c r="N4768" i="6"/>
  <c r="P4768" i="6" s="1"/>
  <c r="U4768" i="6" s="1"/>
  <c r="V4768" i="6" s="1"/>
  <c r="O4531" i="6"/>
  <c r="P4531" i="6" s="1"/>
  <c r="U4531" i="6" s="1"/>
  <c r="V4531" i="6" s="1"/>
  <c r="O4528" i="6"/>
  <c r="P4528" i="6" s="1"/>
  <c r="U4528" i="6" s="1"/>
  <c r="V4528" i="6" s="1"/>
  <c r="O4525" i="6"/>
  <c r="P4525" i="6" s="1"/>
  <c r="O4507" i="6"/>
  <c r="P4507" i="6" s="1"/>
  <c r="U4507" i="6" s="1"/>
  <c r="V4507" i="6" s="1"/>
  <c r="O4504" i="6"/>
  <c r="P4504" i="6" s="1"/>
  <c r="U4504" i="6" s="1"/>
  <c r="V4504" i="6" s="1"/>
  <c r="O4501" i="6"/>
  <c r="P4501" i="6" s="1"/>
  <c r="U4501" i="6" s="1"/>
  <c r="V4501" i="6" s="1"/>
  <c r="O4498" i="6"/>
  <c r="P4498" i="6" s="1"/>
  <c r="U4498" i="6" s="1"/>
  <c r="V4498" i="6" s="1"/>
  <c r="O4479" i="6"/>
  <c r="P4479" i="6" s="1"/>
  <c r="U4479" i="6" s="1"/>
  <c r="V4479" i="6" s="1"/>
  <c r="O4476" i="6"/>
  <c r="P4476" i="6" s="1"/>
  <c r="U4476" i="6" s="1"/>
  <c r="V4476" i="6" s="1"/>
  <c r="O4473" i="6"/>
  <c r="P4473" i="6" s="1"/>
  <c r="U4473" i="6" s="1"/>
  <c r="V4473" i="6" s="1"/>
  <c r="O4470" i="6"/>
  <c r="P4470" i="6" s="1"/>
  <c r="U4470" i="6" s="1"/>
  <c r="V4470" i="6" s="1"/>
  <c r="O4467" i="6"/>
  <c r="P4467" i="6" s="1"/>
  <c r="U4467" i="6" s="1"/>
  <c r="V4467" i="6" s="1"/>
  <c r="O4464" i="6"/>
  <c r="P4464" i="6" s="1"/>
  <c r="U4464" i="6" s="1"/>
  <c r="V4464" i="6" s="1"/>
  <c r="O4461" i="6"/>
  <c r="P4461" i="6" s="1"/>
  <c r="U4461" i="6" s="1"/>
  <c r="V4461" i="6" s="1"/>
  <c r="O4458" i="6"/>
  <c r="P4458" i="6" s="1"/>
  <c r="U4458" i="6" s="1"/>
  <c r="V4458" i="6" s="1"/>
  <c r="O4455" i="6"/>
  <c r="P4455" i="6" s="1"/>
  <c r="O4452" i="6"/>
  <c r="P4452" i="6" s="1"/>
  <c r="U4452" i="6" s="1"/>
  <c r="O4449" i="6"/>
  <c r="P4449" i="6" s="1"/>
  <c r="O4446" i="6"/>
  <c r="P4446" i="6" s="1"/>
  <c r="U4446" i="6" s="1"/>
  <c r="V4446" i="6" s="1"/>
  <c r="O4443" i="6"/>
  <c r="P4443" i="6" s="1"/>
  <c r="U4443" i="6" s="1"/>
  <c r="O4440" i="6"/>
  <c r="P4440" i="6" s="1"/>
  <c r="U4440" i="6" s="1"/>
  <c r="V4440" i="6" s="1"/>
  <c r="O4437" i="6"/>
  <c r="P4437" i="6" s="1"/>
  <c r="U4437" i="6" s="1"/>
  <c r="V4437" i="6" s="1"/>
  <c r="O4434" i="6"/>
  <c r="P4434" i="6" s="1"/>
  <c r="U4434" i="6" s="1"/>
  <c r="V4434" i="6" s="1"/>
  <c r="O4350" i="6"/>
  <c r="P4350" i="6" s="1"/>
  <c r="U4350" i="6" s="1"/>
  <c r="V4350" i="6" s="1"/>
  <c r="O4347" i="6"/>
  <c r="P4347" i="6" s="1"/>
  <c r="U4347" i="6" s="1"/>
  <c r="V4347" i="6" s="1"/>
  <c r="O4344" i="6"/>
  <c r="P4344" i="6" s="1"/>
  <c r="O4341" i="6"/>
  <c r="P4341" i="6" s="1"/>
  <c r="U4341" i="6" s="1"/>
  <c r="V4341" i="6" s="1"/>
  <c r="O4338" i="6"/>
  <c r="P4338" i="6" s="1"/>
  <c r="U4338" i="6" s="1"/>
  <c r="V4338" i="6" s="1"/>
  <c r="O4335" i="6"/>
  <c r="P4335" i="6" s="1"/>
  <c r="U4335" i="6" s="1"/>
  <c r="V4335" i="6" s="1"/>
  <c r="O4332" i="6"/>
  <c r="P4332" i="6" s="1"/>
  <c r="O4253" i="6"/>
  <c r="P4253" i="6" s="1"/>
  <c r="U4253" i="6" s="1"/>
  <c r="V4253" i="6" s="1"/>
  <c r="O4250" i="6"/>
  <c r="P4250" i="6" s="1"/>
  <c r="O4471" i="6"/>
  <c r="P4471" i="6" s="1"/>
  <c r="O4462" i="6"/>
  <c r="P4462" i="6" s="1"/>
  <c r="O4441" i="6"/>
  <c r="P4441" i="6" s="1"/>
  <c r="O4432" i="6"/>
  <c r="P4432" i="6" s="1"/>
  <c r="O4192" i="6"/>
  <c r="P4192" i="6" s="1"/>
  <c r="P3982" i="6"/>
  <c r="O4472" i="6"/>
  <c r="P4472" i="6" s="1"/>
  <c r="U4472" i="6" s="1"/>
  <c r="O4463" i="6"/>
  <c r="P4463" i="6" s="1"/>
  <c r="U4463" i="6" s="1"/>
  <c r="V4463" i="6" s="1"/>
  <c r="O4442" i="6"/>
  <c r="P4442" i="6" s="1"/>
  <c r="U4442" i="6" s="1"/>
  <c r="V4442" i="6" s="1"/>
  <c r="O4433" i="6"/>
  <c r="P4433" i="6" s="1"/>
  <c r="U4433" i="6" s="1"/>
  <c r="V4433" i="6" s="1"/>
  <c r="O4530" i="6"/>
  <c r="P4530" i="6" s="1"/>
  <c r="U4530" i="6" s="1"/>
  <c r="O4527" i="6"/>
  <c r="P4527" i="6" s="1"/>
  <c r="U4527" i="6" s="1"/>
  <c r="V4527" i="6" s="1"/>
  <c r="O4509" i="6"/>
  <c r="P4509" i="6" s="1"/>
  <c r="U4509" i="6" s="1"/>
  <c r="V4509" i="6" s="1"/>
  <c r="O4506" i="6"/>
  <c r="P4506" i="6" s="1"/>
  <c r="U4506" i="6" s="1"/>
  <c r="V4506" i="6" s="1"/>
  <c r="O4503" i="6"/>
  <c r="P4503" i="6" s="1"/>
  <c r="U4503" i="6" s="1"/>
  <c r="O4500" i="6"/>
  <c r="P4500" i="6" s="1"/>
  <c r="O4487" i="6"/>
  <c r="P4487" i="6" s="1"/>
  <c r="U4487" i="6" s="1"/>
  <c r="V4487" i="6" s="1"/>
  <c r="O4481" i="6"/>
  <c r="P4481" i="6" s="1"/>
  <c r="U4481" i="6" s="1"/>
  <c r="V4481" i="6" s="1"/>
  <c r="O4478" i="6"/>
  <c r="P4478" i="6" s="1"/>
  <c r="U4478" i="6" s="1"/>
  <c r="V4478" i="6" s="1"/>
  <c r="O4469" i="6"/>
  <c r="P4469" i="6" s="1"/>
  <c r="U4469" i="6" s="1"/>
  <c r="V4469" i="6" s="1"/>
  <c r="O4460" i="6"/>
  <c r="P4460" i="6" s="1"/>
  <c r="U4460" i="6" s="1"/>
  <c r="V4460" i="6" s="1"/>
  <c r="O4457" i="6"/>
  <c r="P4457" i="6" s="1"/>
  <c r="O4448" i="6"/>
  <c r="P4448" i="6" s="1"/>
  <c r="U4448" i="6" s="1"/>
  <c r="V4448" i="6" s="1"/>
  <c r="O4439" i="6"/>
  <c r="P4439" i="6" s="1"/>
  <c r="U4439" i="6" s="1"/>
  <c r="V4439" i="6" s="1"/>
  <c r="O4349" i="6"/>
  <c r="P4349" i="6" s="1"/>
  <c r="O4340" i="6"/>
  <c r="P4340" i="6" s="1"/>
  <c r="U4340" i="6" s="1"/>
  <c r="V4340" i="6" s="1"/>
  <c r="O4337" i="6"/>
  <c r="P4337" i="6" s="1"/>
  <c r="O4199" i="6"/>
  <c r="P4199" i="6" s="1"/>
  <c r="U4199" i="6" s="1"/>
  <c r="V4199" i="6" s="1"/>
  <c r="O4195" i="6"/>
  <c r="P4195" i="6" s="1"/>
  <c r="U4195" i="6" s="1"/>
  <c r="V4195" i="6" s="1"/>
  <c r="O4191" i="6"/>
  <c r="P4191" i="6" s="1"/>
  <c r="O4194" i="6"/>
  <c r="P4194" i="6" s="1"/>
  <c r="U4194" i="6" s="1"/>
  <c r="V4194" i="6" s="1"/>
  <c r="O4197" i="6"/>
  <c r="P4197" i="6" s="1"/>
  <c r="U4197" i="6" s="1"/>
  <c r="V4197" i="6" s="1"/>
  <c r="P3889" i="6"/>
  <c r="O4182" i="6"/>
  <c r="P4182" i="6" s="1"/>
  <c r="U4182" i="6" s="1"/>
  <c r="V4182" i="6" s="1"/>
  <c r="O4179" i="6"/>
  <c r="P4179" i="6" s="1"/>
  <c r="O4162" i="6"/>
  <c r="P4162" i="6" s="1"/>
  <c r="U4162" i="6" s="1"/>
  <c r="V4162" i="6" s="1"/>
  <c r="O4159" i="6"/>
  <c r="P4159" i="6" s="1"/>
  <c r="U4159" i="6" s="1"/>
  <c r="V4159" i="6" s="1"/>
  <c r="O4153" i="6"/>
  <c r="P4153" i="6" s="1"/>
  <c r="U4153" i="6" s="1"/>
  <c r="V4153" i="6" s="1"/>
  <c r="O4150" i="6"/>
  <c r="P4150" i="6" s="1"/>
  <c r="U4150" i="6" s="1"/>
  <c r="V4150" i="6" s="1"/>
  <c r="O4147" i="6"/>
  <c r="P4147" i="6" s="1"/>
  <c r="U4147" i="6" s="1"/>
  <c r="V4147" i="6" s="1"/>
  <c r="O4144" i="6"/>
  <c r="P4144" i="6" s="1"/>
  <c r="U4144" i="6" s="1"/>
  <c r="V4144" i="6" s="1"/>
  <c r="O4141" i="6"/>
  <c r="P4141" i="6" s="1"/>
  <c r="U4141" i="6" s="1"/>
  <c r="O4138" i="6"/>
  <c r="P4138" i="6" s="1"/>
  <c r="U4138" i="6" s="1"/>
  <c r="V4138" i="6" s="1"/>
  <c r="O4135" i="6"/>
  <c r="P4135" i="6" s="1"/>
  <c r="U4135" i="6" s="1"/>
  <c r="V4135" i="6" s="1"/>
  <c r="O4132" i="6"/>
  <c r="P4132" i="6" s="1"/>
  <c r="U4132" i="6" s="1"/>
  <c r="V4132" i="6" s="1"/>
  <c r="O4129" i="6"/>
  <c r="P4129" i="6" s="1"/>
  <c r="U4129" i="6" s="1"/>
  <c r="V4129" i="6" s="1"/>
  <c r="O4126" i="6"/>
  <c r="P4126" i="6" s="1"/>
  <c r="U4126" i="6" s="1"/>
  <c r="V4126" i="6" s="1"/>
  <c r="O4123" i="6"/>
  <c r="P4123" i="6" s="1"/>
  <c r="U4123" i="6" s="1"/>
  <c r="O4120" i="6"/>
  <c r="P4120" i="6" s="1"/>
  <c r="U4120" i="6" s="1"/>
  <c r="V4120" i="6" s="1"/>
  <c r="O4117" i="6"/>
  <c r="P4117" i="6" s="1"/>
  <c r="U4117" i="6" s="1"/>
  <c r="V4117" i="6" s="1"/>
  <c r="O4063" i="6"/>
  <c r="P4063" i="6" s="1"/>
  <c r="O3986" i="6"/>
  <c r="P3986" i="6" s="1"/>
  <c r="U3986" i="6" s="1"/>
  <c r="V3986" i="6" s="1"/>
  <c r="O3983" i="6"/>
  <c r="P3983" i="6" s="1"/>
  <c r="O3921" i="6"/>
  <c r="P3921" i="6" s="1"/>
  <c r="O3906" i="6"/>
  <c r="P3906" i="6" s="1"/>
  <c r="U3906" i="6" s="1"/>
  <c r="V3906" i="6" s="1"/>
  <c r="O3876" i="6"/>
  <c r="P3876" i="6" s="1"/>
  <c r="O3879" i="6"/>
  <c r="P3879" i="6" s="1"/>
  <c r="U3879" i="6" s="1"/>
  <c r="P3836" i="6"/>
  <c r="U3836" i="6" s="1"/>
  <c r="V3836" i="6" s="1"/>
  <c r="P3692" i="6"/>
  <c r="O4078" i="6"/>
  <c r="P4078" i="6" s="1"/>
  <c r="U4078" i="6" s="1"/>
  <c r="V4078" i="6" s="1"/>
  <c r="O4075" i="6"/>
  <c r="P4075" i="6" s="1"/>
  <c r="U4075" i="6" s="1"/>
  <c r="O4069" i="6"/>
  <c r="P4069" i="6" s="1"/>
  <c r="U4069" i="6" s="1"/>
  <c r="O4066" i="6"/>
  <c r="P4066" i="6" s="1"/>
  <c r="U4066" i="6" s="1"/>
  <c r="V4066" i="6" s="1"/>
  <c r="O4148" i="6"/>
  <c r="P4148" i="6" s="1"/>
  <c r="U4148" i="6" s="1"/>
  <c r="O4145" i="6"/>
  <c r="P4145" i="6" s="1"/>
  <c r="U4145" i="6" s="1"/>
  <c r="V4145" i="6" s="1"/>
  <c r="O4133" i="6"/>
  <c r="P4133" i="6" s="1"/>
  <c r="U4133" i="6" s="1"/>
  <c r="V4133" i="6" s="1"/>
  <c r="O4130" i="6"/>
  <c r="P4130" i="6" s="1"/>
  <c r="U4130" i="6" s="1"/>
  <c r="V4130" i="6" s="1"/>
  <c r="O3987" i="6"/>
  <c r="P3987" i="6" s="1"/>
  <c r="U3987" i="6" s="1"/>
  <c r="V3987" i="6" s="1"/>
  <c r="O3984" i="6"/>
  <c r="P3984" i="6" s="1"/>
  <c r="U3984" i="6" s="1"/>
  <c r="V3984" i="6" s="1"/>
  <c r="P3885" i="6"/>
  <c r="U3885" i="6" s="1"/>
  <c r="V3885" i="6" s="1"/>
  <c r="O4189" i="6"/>
  <c r="P4189" i="6" s="1"/>
  <c r="U4189" i="6" s="1"/>
  <c r="O4079" i="6"/>
  <c r="P4079" i="6" s="1"/>
  <c r="O4073" i="6"/>
  <c r="P4073" i="6" s="1"/>
  <c r="U4073" i="6" s="1"/>
  <c r="V4073" i="6" s="1"/>
  <c r="O4070" i="6"/>
  <c r="P4070" i="6" s="1"/>
  <c r="U4070" i="6" s="1"/>
  <c r="V4070" i="6" s="1"/>
  <c r="O4067" i="6"/>
  <c r="P4067" i="6" s="1"/>
  <c r="U4067" i="6" s="1"/>
  <c r="O3898" i="6"/>
  <c r="P3898" i="6" s="1"/>
  <c r="U3898" i="6" s="1"/>
  <c r="V3898" i="6" s="1"/>
  <c r="O3895" i="6"/>
  <c r="P3895" i="6" s="1"/>
  <c r="U3895" i="6" s="1"/>
  <c r="V3895" i="6" s="1"/>
  <c r="O3892" i="6"/>
  <c r="P3892" i="6" s="1"/>
  <c r="U3892" i="6" s="1"/>
  <c r="O3881" i="6"/>
  <c r="P3881" i="6" s="1"/>
  <c r="U3881" i="6" s="1"/>
  <c r="V3881" i="6" s="1"/>
  <c r="P3856" i="6"/>
  <c r="U3856" i="6" s="1"/>
  <c r="P3825" i="6"/>
  <c r="U3825" i="6" s="1"/>
  <c r="V3825" i="6" s="1"/>
  <c r="P3829" i="6"/>
  <c r="U3829" i="6" s="1"/>
  <c r="V3829" i="6" s="1"/>
  <c r="O3837" i="6"/>
  <c r="P3837" i="6" s="1"/>
  <c r="U3837" i="6" s="1"/>
  <c r="V3837" i="6" s="1"/>
  <c r="O3834" i="6"/>
  <c r="P3834" i="6" s="1"/>
  <c r="U3834" i="6" s="1"/>
  <c r="O3804" i="6"/>
  <c r="P3804" i="6" s="1"/>
  <c r="O3720" i="6"/>
  <c r="P3720" i="6" s="1"/>
  <c r="U3720" i="6" s="1"/>
  <c r="V3720" i="6" s="1"/>
  <c r="O3717" i="6"/>
  <c r="P3717" i="6" s="1"/>
  <c r="U3717" i="6" s="1"/>
  <c r="V3717" i="6" s="1"/>
  <c r="O3693" i="6"/>
  <c r="P3693" i="6" s="1"/>
  <c r="U3693" i="6" s="1"/>
  <c r="V3693" i="6" s="1"/>
  <c r="O3559" i="6"/>
  <c r="P3559" i="6" s="1"/>
  <c r="U3559" i="6" s="1"/>
  <c r="V3559" i="6" s="1"/>
  <c r="O3556" i="6"/>
  <c r="P3556" i="6" s="1"/>
  <c r="U3556" i="6" s="1"/>
  <c r="V3556" i="6" s="1"/>
  <c r="O3553" i="6"/>
  <c r="P3553" i="6" s="1"/>
  <c r="U3553" i="6" s="1"/>
  <c r="V3553" i="6" s="1"/>
  <c r="O3550" i="6"/>
  <c r="P3550" i="6" s="1"/>
  <c r="U3550" i="6" s="1"/>
  <c r="V3550" i="6" s="1"/>
  <c r="P3434" i="6"/>
  <c r="U3434" i="6" s="1"/>
  <c r="P3362" i="6"/>
  <c r="U3362" i="6" s="1"/>
  <c r="P3455" i="6"/>
  <c r="U3455" i="6" s="1"/>
  <c r="V3455" i="6" s="1"/>
  <c r="O3718" i="6"/>
  <c r="P3718" i="6" s="1"/>
  <c r="U3718" i="6" s="1"/>
  <c r="V3718" i="6" s="1"/>
  <c r="O3554" i="6"/>
  <c r="P3554" i="6" s="1"/>
  <c r="U3554" i="6" s="1"/>
  <c r="V3554" i="6" s="1"/>
  <c r="O3551" i="6"/>
  <c r="P3551" i="6" s="1"/>
  <c r="U3551" i="6" s="1"/>
  <c r="V3551" i="6" s="1"/>
  <c r="P3443" i="6"/>
  <c r="U3443" i="6" s="1"/>
  <c r="V3443" i="6" s="1"/>
  <c r="P3428" i="6"/>
  <c r="U3428" i="6" s="1"/>
  <c r="V3428" i="6" s="1"/>
  <c r="O3841" i="6"/>
  <c r="P3841" i="6" s="1"/>
  <c r="U3841" i="6" s="1"/>
  <c r="V3841" i="6" s="1"/>
  <c r="O3832" i="6"/>
  <c r="P3832" i="6" s="1"/>
  <c r="U3832" i="6" s="1"/>
  <c r="V3832" i="6" s="1"/>
  <c r="O3814" i="6"/>
  <c r="P3814" i="6" s="1"/>
  <c r="U3814" i="6" s="1"/>
  <c r="V3814" i="6" s="1"/>
  <c r="O3811" i="6"/>
  <c r="P3811" i="6" s="1"/>
  <c r="U3811" i="6" s="1"/>
  <c r="V3811" i="6" s="1"/>
  <c r="O3727" i="6"/>
  <c r="P3727" i="6" s="1"/>
  <c r="U3727" i="6" s="1"/>
  <c r="V3727" i="6" s="1"/>
  <c r="O3724" i="6"/>
  <c r="P3724" i="6" s="1"/>
  <c r="U3724" i="6" s="1"/>
  <c r="O3721" i="6"/>
  <c r="P3721" i="6" s="1"/>
  <c r="U3721" i="6" s="1"/>
  <c r="V3721" i="6" s="1"/>
  <c r="O3715" i="6"/>
  <c r="P3715" i="6" s="1"/>
  <c r="O3712" i="6"/>
  <c r="P3712" i="6" s="1"/>
  <c r="U3712" i="6" s="1"/>
  <c r="V3712" i="6" s="1"/>
  <c r="O3709" i="6"/>
  <c r="P3709" i="6" s="1"/>
  <c r="U3709" i="6" s="1"/>
  <c r="V3709" i="6" s="1"/>
  <c r="O3706" i="6"/>
  <c r="P3706" i="6" s="1"/>
  <c r="U3706" i="6" s="1"/>
  <c r="V3706" i="6" s="1"/>
  <c r="O3700" i="6"/>
  <c r="P3700" i="6" s="1"/>
  <c r="U3700" i="6" s="1"/>
  <c r="V3700" i="6" s="1"/>
  <c r="O3697" i="6"/>
  <c r="P3697" i="6" s="1"/>
  <c r="U3697" i="6" s="1"/>
  <c r="V3697" i="6" s="1"/>
  <c r="O3694" i="6"/>
  <c r="P3694" i="6" s="1"/>
  <c r="U3694" i="6" s="1"/>
  <c r="V3694" i="6" s="1"/>
  <c r="O3642" i="6"/>
  <c r="P3642" i="6" s="1"/>
  <c r="U3642" i="6" s="1"/>
  <c r="V3642" i="6" s="1"/>
  <c r="O3639" i="6"/>
  <c r="P3639" i="6" s="1"/>
  <c r="U3639" i="6" s="1"/>
  <c r="V3639" i="6" s="1"/>
  <c r="O3636" i="6"/>
  <c r="P3636" i="6" s="1"/>
  <c r="U3636" i="6" s="1"/>
  <c r="V3636" i="6" s="1"/>
  <c r="O3633" i="6"/>
  <c r="P3633" i="6" s="1"/>
  <c r="U3633" i="6" s="1"/>
  <c r="V3633" i="6" s="1"/>
  <c r="O3599" i="6"/>
  <c r="P3599" i="6" s="1"/>
  <c r="U3599" i="6" s="1"/>
  <c r="V3599" i="6" s="1"/>
  <c r="P3319" i="6"/>
  <c r="U3319" i="6" s="1"/>
  <c r="V3319" i="6" s="1"/>
  <c r="O3719" i="6"/>
  <c r="P3719" i="6" s="1"/>
  <c r="O3558" i="6"/>
  <c r="P3558" i="6" s="1"/>
  <c r="U3558" i="6" s="1"/>
  <c r="V3558" i="6" s="1"/>
  <c r="O3555" i="6"/>
  <c r="P3555" i="6" s="1"/>
  <c r="U3555" i="6" s="1"/>
  <c r="V3555" i="6" s="1"/>
  <c r="O3552" i="6"/>
  <c r="P3552" i="6" s="1"/>
  <c r="O3469" i="6"/>
  <c r="P3469" i="6" s="1"/>
  <c r="O3472" i="6"/>
  <c r="P3472" i="6" s="1"/>
  <c r="U3472" i="6" s="1"/>
  <c r="V3472" i="6" s="1"/>
  <c r="O3475" i="6"/>
  <c r="P3475" i="6" s="1"/>
  <c r="U3475" i="6" s="1"/>
  <c r="P3415" i="6"/>
  <c r="U3415" i="6" s="1"/>
  <c r="V3415" i="6" s="1"/>
  <c r="O3378" i="6"/>
  <c r="P3378" i="6" s="1"/>
  <c r="U3378" i="6" s="1"/>
  <c r="V3378" i="6" s="1"/>
  <c r="O3423" i="6"/>
  <c r="P3423" i="6" s="1"/>
  <c r="U3423" i="6" s="1"/>
  <c r="V3423" i="6" s="1"/>
  <c r="O3420" i="6"/>
  <c r="P3420" i="6" s="1"/>
  <c r="U3420" i="6" s="1"/>
  <c r="V3420" i="6" s="1"/>
  <c r="O3417" i="6"/>
  <c r="P3417" i="6" s="1"/>
  <c r="U3417" i="6" s="1"/>
  <c r="V3417" i="6" s="1"/>
  <c r="O3388" i="6"/>
  <c r="P3388" i="6" s="1"/>
  <c r="U3388" i="6" s="1"/>
  <c r="V3388" i="6" s="1"/>
  <c r="O3385" i="6"/>
  <c r="P3385" i="6" s="1"/>
  <c r="U3385" i="6" s="1"/>
  <c r="V3385" i="6" s="1"/>
  <c r="O3382" i="6"/>
  <c r="P3382" i="6" s="1"/>
  <c r="U3382" i="6" s="1"/>
  <c r="V3382" i="6" s="1"/>
  <c r="O3379" i="6"/>
  <c r="P3379" i="6" s="1"/>
  <c r="U3379" i="6" s="1"/>
  <c r="O3321" i="6"/>
  <c r="P3321" i="6" s="1"/>
  <c r="U3321" i="6" s="1"/>
  <c r="V3321" i="6" s="1"/>
  <c r="O3318" i="6"/>
  <c r="P3318" i="6" s="1"/>
  <c r="U3318" i="6" s="1"/>
  <c r="O3284" i="6"/>
  <c r="P3284" i="6" s="1"/>
  <c r="U3284" i="6" s="1"/>
  <c r="V3284" i="6" s="1"/>
  <c r="O3281" i="6"/>
  <c r="P3281" i="6" s="1"/>
  <c r="U3281" i="6" s="1"/>
  <c r="V3281" i="6" s="1"/>
  <c r="O3278" i="6"/>
  <c r="P3278" i="6" s="1"/>
  <c r="O3439" i="6"/>
  <c r="P3439" i="6" s="1"/>
  <c r="U3439" i="6" s="1"/>
  <c r="V3439" i="6" s="1"/>
  <c r="O3436" i="6"/>
  <c r="P3436" i="6" s="1"/>
  <c r="U3436" i="6" s="1"/>
  <c r="O3433" i="6"/>
  <c r="P3433" i="6" s="1"/>
  <c r="O3430" i="6"/>
  <c r="P3430" i="6" s="1"/>
  <c r="U3430" i="6" s="1"/>
  <c r="V3430" i="6" s="1"/>
  <c r="O3424" i="6"/>
  <c r="P3424" i="6" s="1"/>
  <c r="U3424" i="6" s="1"/>
  <c r="V3424" i="6" s="1"/>
  <c r="O3421" i="6"/>
  <c r="P3421" i="6" s="1"/>
  <c r="U3421" i="6" s="1"/>
  <c r="V3421" i="6" s="1"/>
  <c r="O3418" i="6"/>
  <c r="P3418" i="6" s="1"/>
  <c r="U3418" i="6" s="1"/>
  <c r="V3418" i="6" s="1"/>
  <c r="O3389" i="6"/>
  <c r="P3389" i="6" s="1"/>
  <c r="U3389" i="6" s="1"/>
  <c r="V3389" i="6" s="1"/>
  <c r="O3386" i="6"/>
  <c r="P3386" i="6" s="1"/>
  <c r="U3386" i="6" s="1"/>
  <c r="V3386" i="6" s="1"/>
  <c r="O3383" i="6"/>
  <c r="P3383" i="6" s="1"/>
  <c r="U3383" i="6" s="1"/>
  <c r="V3383" i="6" s="1"/>
  <c r="O3331" i="6"/>
  <c r="P3331" i="6" s="1"/>
  <c r="U3331" i="6" s="1"/>
  <c r="V3331" i="6" s="1"/>
  <c r="O3328" i="6"/>
  <c r="P3328" i="6" s="1"/>
  <c r="U3328" i="6" s="1"/>
  <c r="V3328" i="6" s="1"/>
  <c r="O3325" i="6"/>
  <c r="P3325" i="6" s="1"/>
  <c r="U3325" i="6" s="1"/>
  <c r="V3325" i="6" s="1"/>
  <c r="O3322" i="6"/>
  <c r="P3322" i="6" s="1"/>
  <c r="U3322" i="6" s="1"/>
  <c r="V3322" i="6" s="1"/>
  <c r="O3298" i="6"/>
  <c r="P3298" i="6" s="1"/>
  <c r="O3295" i="6"/>
  <c r="P3295" i="6" s="1"/>
  <c r="U3295" i="6" s="1"/>
  <c r="O3285" i="6"/>
  <c r="P3285" i="6" s="1"/>
  <c r="U3285" i="6" s="1"/>
  <c r="V3285" i="6" s="1"/>
  <c r="O3282" i="6"/>
  <c r="P3282" i="6" s="1"/>
  <c r="U3282" i="6" s="1"/>
  <c r="O3279" i="6"/>
  <c r="P3279" i="6" s="1"/>
  <c r="P2954" i="6"/>
  <c r="U2954" i="6" s="1"/>
  <c r="V2954" i="6" s="1"/>
  <c r="P2905" i="6"/>
  <c r="U2905" i="6" s="1"/>
  <c r="V2905" i="6" s="1"/>
  <c r="P2944" i="6"/>
  <c r="P2949" i="6"/>
  <c r="U2949" i="6" s="1"/>
  <c r="O2762" i="6"/>
  <c r="P2762" i="6" s="1"/>
  <c r="U2762" i="6" s="1"/>
  <c r="V2762" i="6" s="1"/>
  <c r="O2759" i="6"/>
  <c r="P2759" i="6" s="1"/>
  <c r="U2759" i="6" s="1"/>
  <c r="V2759" i="6" s="1"/>
  <c r="O2756" i="6"/>
  <c r="P2756" i="6" s="1"/>
  <c r="U2756" i="6" s="1"/>
  <c r="O2753" i="6"/>
  <c r="P2753" i="6" s="1"/>
  <c r="U2753" i="6" s="1"/>
  <c r="V2753" i="6" s="1"/>
  <c r="O2750" i="6"/>
  <c r="P2750" i="6" s="1"/>
  <c r="U2750" i="6" s="1"/>
  <c r="V2750" i="6" s="1"/>
  <c r="O2747" i="6"/>
  <c r="P2747" i="6" s="1"/>
  <c r="P2706" i="6"/>
  <c r="U2706" i="6" s="1"/>
  <c r="V2706" i="6" s="1"/>
  <c r="O2757" i="6"/>
  <c r="P2757" i="6" s="1"/>
  <c r="U2757" i="6" s="1"/>
  <c r="V2757" i="6" s="1"/>
  <c r="O2754" i="6"/>
  <c r="P2754" i="6" s="1"/>
  <c r="U2754" i="6" s="1"/>
  <c r="V2754" i="6" s="1"/>
  <c r="O2751" i="6"/>
  <c r="P2751" i="6" s="1"/>
  <c r="U2751" i="6" s="1"/>
  <c r="V2751" i="6" s="1"/>
  <c r="O2748" i="6"/>
  <c r="P2748" i="6" s="1"/>
  <c r="U2748" i="6" s="1"/>
  <c r="V2748" i="6" s="1"/>
  <c r="O2745" i="6"/>
  <c r="P2745" i="6" s="1"/>
  <c r="U2745" i="6" s="1"/>
  <c r="V2745" i="6" s="1"/>
  <c r="P2689" i="6"/>
  <c r="U2689" i="6" s="1"/>
  <c r="V2689" i="6" s="1"/>
  <c r="O2749" i="6"/>
  <c r="P2749" i="6" s="1"/>
  <c r="U2749" i="6" s="1"/>
  <c r="V2749" i="6" s="1"/>
  <c r="O2746" i="6"/>
  <c r="P2746" i="6" s="1"/>
  <c r="U2746" i="6" s="1"/>
  <c r="V2746" i="6" s="1"/>
  <c r="O2714" i="6"/>
  <c r="P2714" i="6" s="1"/>
  <c r="U2714" i="6" s="1"/>
  <c r="V2714" i="6" s="1"/>
  <c r="O2711" i="6"/>
  <c r="P2711" i="6" s="1"/>
  <c r="U2711" i="6" s="1"/>
  <c r="V2711" i="6" s="1"/>
  <c r="O2708" i="6"/>
  <c r="P2708" i="6" s="1"/>
  <c r="U2708" i="6" s="1"/>
  <c r="V2708" i="6" s="1"/>
  <c r="O2699" i="6"/>
  <c r="P2699" i="6" s="1"/>
  <c r="U2699" i="6" s="1"/>
  <c r="V2699" i="6" s="1"/>
  <c r="O2696" i="6"/>
  <c r="P2696" i="6" s="1"/>
  <c r="U2696" i="6" s="1"/>
  <c r="V2696" i="6" s="1"/>
  <c r="O2693" i="6"/>
  <c r="P2693" i="6" s="1"/>
  <c r="U2693" i="6" s="1"/>
  <c r="V2693" i="6" s="1"/>
  <c r="O2690" i="6"/>
  <c r="P2690" i="6" s="1"/>
  <c r="U2690" i="6" s="1"/>
  <c r="V2690" i="6" s="1"/>
  <c r="O2687" i="6"/>
  <c r="P2687" i="6" s="1"/>
  <c r="U2687" i="6" s="1"/>
  <c r="V2687" i="6" s="1"/>
  <c r="O2666" i="6"/>
  <c r="P2666" i="6" s="1"/>
  <c r="U2666" i="6" s="1"/>
  <c r="V2666" i="6" s="1"/>
  <c r="O2663" i="6"/>
  <c r="P2663" i="6" s="1"/>
  <c r="U2663" i="6" s="1"/>
  <c r="V2663" i="6" s="1"/>
  <c r="O2660" i="6"/>
  <c r="P2660" i="6" s="1"/>
  <c r="U2660" i="6" s="1"/>
  <c r="V2660" i="6" s="1"/>
  <c r="O2657" i="6"/>
  <c r="P2657" i="6" s="1"/>
  <c r="U2657" i="6" s="1"/>
  <c r="V2657" i="6" s="1"/>
  <c r="O2651" i="6"/>
  <c r="P2651" i="6" s="1"/>
  <c r="U2651" i="6" s="1"/>
  <c r="V2651" i="6" s="1"/>
  <c r="O2648" i="6"/>
  <c r="P2648" i="6" s="1"/>
  <c r="U2648" i="6" s="1"/>
  <c r="V2648" i="6" s="1"/>
  <c r="O2645" i="6"/>
  <c r="P2645" i="6" s="1"/>
  <c r="U2645" i="6" s="1"/>
  <c r="V2645" i="6" s="1"/>
  <c r="O2642" i="6"/>
  <c r="P2642" i="6" s="1"/>
  <c r="U2642" i="6" s="1"/>
  <c r="V2642" i="6" s="1"/>
  <c r="O2710" i="6"/>
  <c r="P2710" i="6" s="1"/>
  <c r="U2710" i="6" s="1"/>
  <c r="V2710" i="6" s="1"/>
  <c r="O2695" i="6"/>
  <c r="P2695" i="6" s="1"/>
  <c r="U2695" i="6" s="1"/>
  <c r="V2695" i="6" s="1"/>
  <c r="O2692" i="6"/>
  <c r="P2692" i="6" s="1"/>
  <c r="U2692" i="6" s="1"/>
  <c r="V2692" i="6" s="1"/>
  <c r="O2665" i="6"/>
  <c r="P2665" i="6" s="1"/>
  <c r="U2665" i="6" s="1"/>
  <c r="V2665" i="6" s="1"/>
  <c r="O2662" i="6"/>
  <c r="P2662" i="6" s="1"/>
  <c r="U2662" i="6" s="1"/>
  <c r="V2662" i="6" s="1"/>
  <c r="O2659" i="6"/>
  <c r="P2659" i="6" s="1"/>
  <c r="U2659" i="6" s="1"/>
  <c r="V2659" i="6" s="1"/>
  <c r="O2650" i="6"/>
  <c r="P2650" i="6" s="1"/>
  <c r="U2650" i="6" s="1"/>
  <c r="V2650" i="6" s="1"/>
  <c r="O2647" i="6"/>
  <c r="P2647" i="6" s="1"/>
  <c r="U2647" i="6" s="1"/>
  <c r="V2647" i="6" s="1"/>
  <c r="O2644" i="6"/>
  <c r="P2644" i="6" s="1"/>
  <c r="U2644" i="6" s="1"/>
  <c r="V2644" i="6" s="1"/>
  <c r="O1769" i="6"/>
  <c r="O1770" i="6"/>
  <c r="P1770" i="6" s="1"/>
  <c r="U1770" i="6" s="1"/>
  <c r="N1671" i="6"/>
  <c r="P1671" i="6" s="1"/>
  <c r="U1671" i="6" s="1"/>
  <c r="V1671" i="6" s="1"/>
  <c r="N1679" i="6"/>
  <c r="P1679" i="6" s="1"/>
  <c r="U1679" i="6" s="1"/>
  <c r="V1679" i="6" s="1"/>
  <c r="N1673" i="6"/>
  <c r="P1673" i="6" s="1"/>
  <c r="U1673" i="6" s="1"/>
  <c r="V1673" i="6" s="1"/>
  <c r="N1675" i="6"/>
  <c r="P1675" i="6" s="1"/>
  <c r="U1675" i="6" s="1"/>
  <c r="V1675" i="6" s="1"/>
  <c r="N1678" i="6"/>
  <c r="P1678" i="6" s="1"/>
  <c r="U1678" i="6" s="1"/>
  <c r="N1680" i="6"/>
  <c r="P1680" i="6" s="1"/>
  <c r="U1680" i="6" s="1"/>
  <c r="V1680" i="6" s="1"/>
  <c r="N1669" i="6"/>
  <c r="P1669" i="6" s="1"/>
  <c r="U1669" i="6" s="1"/>
  <c r="V1669" i="6" s="1"/>
  <c r="N1674" i="6"/>
  <c r="P1674" i="6" s="1"/>
  <c r="U1674" i="6" s="1"/>
  <c r="V1674" i="6" s="1"/>
  <c r="N1682" i="6"/>
  <c r="P1682" i="6" s="1"/>
  <c r="U1682" i="6" s="1"/>
  <c r="V1682" i="6" s="1"/>
  <c r="N1567" i="6"/>
  <c r="N1564" i="6"/>
  <c r="N1561" i="6"/>
  <c r="N1558" i="6"/>
  <c r="N1552" i="6"/>
  <c r="N1549" i="6"/>
  <c r="N1351" i="6"/>
  <c r="P1351" i="6" s="1"/>
  <c r="U1351" i="6" s="1"/>
  <c r="V1351" i="6" s="1"/>
  <c r="N1354" i="6"/>
  <c r="P1354" i="6" s="1"/>
  <c r="U1354" i="6" s="1"/>
  <c r="V1354" i="6" s="1"/>
  <c r="N1356" i="6"/>
  <c r="P1356" i="6" s="1"/>
  <c r="U1356" i="6" s="1"/>
  <c r="V1356" i="6" s="1"/>
  <c r="N1287" i="6"/>
  <c r="H171" i="14"/>
  <c r="O1298" i="6" s="1"/>
  <c r="N1290" i="6"/>
  <c r="N1293" i="6"/>
  <c r="N1296" i="6"/>
  <c r="N1299" i="6"/>
  <c r="N1302" i="6"/>
  <c r="N1305" i="6"/>
  <c r="N1289" i="6"/>
  <c r="N1292" i="6"/>
  <c r="N1295" i="6"/>
  <c r="N1298" i="6"/>
  <c r="N1301" i="6"/>
  <c r="N1304" i="6"/>
  <c r="N1483" i="6"/>
  <c r="P1483" i="6" s="1"/>
  <c r="U1483" i="6" s="1"/>
  <c r="V1483" i="6" s="1"/>
  <c r="N1436" i="6"/>
  <c r="P1436" i="6" s="1"/>
  <c r="U1436" i="6" s="1"/>
  <c r="V1436" i="6" s="1"/>
  <c r="N1431" i="6"/>
  <c r="P1431" i="6" s="1"/>
  <c r="U1431" i="6" s="1"/>
  <c r="V1431" i="6" s="1"/>
  <c r="N1365" i="6"/>
  <c r="N1363" i="6"/>
  <c r="N1358" i="6"/>
  <c r="P1358" i="6" s="1"/>
  <c r="U1358" i="6" s="1"/>
  <c r="V1358" i="6" s="1"/>
  <c r="N1352" i="6"/>
  <c r="P1352" i="6" s="1"/>
  <c r="U1352" i="6" s="1"/>
  <c r="V1352" i="6" s="1"/>
  <c r="N1350" i="6"/>
  <c r="P1350" i="6" s="1"/>
  <c r="U1350" i="6" s="1"/>
  <c r="V1350" i="6" s="1"/>
  <c r="N1303" i="6"/>
  <c r="N1300" i="6"/>
  <c r="N1297" i="6"/>
  <c r="N1294" i="6"/>
  <c r="N1565" i="6"/>
  <c r="N1562" i="6"/>
  <c r="N1559" i="6"/>
  <c r="N1553" i="6"/>
  <c r="N1550" i="6"/>
  <c r="H205" i="14"/>
  <c r="O1555" i="6" s="1"/>
  <c r="N1498" i="6"/>
  <c r="P1498" i="6" s="1"/>
  <c r="U1498" i="6" s="1"/>
  <c r="V1498" i="6" s="1"/>
  <c r="N1495" i="6"/>
  <c r="P1495" i="6" s="1"/>
  <c r="U1495" i="6" s="1"/>
  <c r="V1495" i="6" s="1"/>
  <c r="N1492" i="6"/>
  <c r="P1492" i="6" s="1"/>
  <c r="U1492" i="6" s="1"/>
  <c r="V1492" i="6" s="1"/>
  <c r="N1489" i="6"/>
  <c r="P1489" i="6" s="1"/>
  <c r="U1489" i="6" s="1"/>
  <c r="V1489" i="6" s="1"/>
  <c r="N1486" i="6"/>
  <c r="P1486" i="6" s="1"/>
  <c r="U1486" i="6" s="1"/>
  <c r="N1429" i="6"/>
  <c r="P1429" i="6" s="1"/>
  <c r="U1429" i="6" s="1"/>
  <c r="N1400" i="6"/>
  <c r="N1397" i="6"/>
  <c r="N1391" i="6"/>
  <c r="N1388" i="6"/>
  <c r="N1385" i="6"/>
  <c r="H186" i="14"/>
  <c r="O1393" i="6" s="1"/>
  <c r="H185" i="14"/>
  <c r="O1363" i="6" s="1"/>
  <c r="O1616" i="6"/>
  <c r="O1613" i="6"/>
  <c r="O1610" i="6"/>
  <c r="N1484" i="6"/>
  <c r="P1484" i="6" s="1"/>
  <c r="N1481" i="6"/>
  <c r="P1481" i="6" s="1"/>
  <c r="U1481" i="6" s="1"/>
  <c r="V1481" i="6" s="1"/>
  <c r="N1427" i="6"/>
  <c r="P1427" i="6" s="1"/>
  <c r="N1361" i="6"/>
  <c r="N1357" i="6"/>
  <c r="P1357" i="6" s="1"/>
  <c r="U1357" i="6" s="1"/>
  <c r="V1357" i="6" s="1"/>
  <c r="N1355" i="6"/>
  <c r="P1355" i="6" s="1"/>
  <c r="U1355" i="6" s="1"/>
  <c r="V1355" i="6" s="1"/>
  <c r="N1353" i="6"/>
  <c r="P1353" i="6" s="1"/>
  <c r="U1353" i="6" s="1"/>
  <c r="V1353" i="6" s="1"/>
  <c r="N1288" i="6"/>
  <c r="O1614" i="6"/>
  <c r="P1614" i="6" s="1"/>
  <c r="U1614" i="6" s="1"/>
  <c r="V1614" i="6" s="1"/>
  <c r="O1611" i="6"/>
  <c r="N1371" i="6"/>
  <c r="N1369" i="6"/>
  <c r="N1349" i="6"/>
  <c r="P1349" i="6" s="1"/>
  <c r="N1205" i="6"/>
  <c r="P1205" i="6" s="1"/>
  <c r="U1205" i="6" s="1"/>
  <c r="V1205" i="6" s="1"/>
  <c r="O1118" i="6"/>
  <c r="O1045" i="6"/>
  <c r="P1045" i="6" s="1"/>
  <c r="U1045" i="6" s="1"/>
  <c r="V1045" i="6" s="1"/>
  <c r="O1042" i="6"/>
  <c r="P1042" i="6" s="1"/>
  <c r="U1042" i="6" s="1"/>
  <c r="O1039" i="6"/>
  <c r="P1039" i="6" s="1"/>
  <c r="U1039" i="6" s="1"/>
  <c r="V1039" i="6" s="1"/>
  <c r="N1016" i="6"/>
  <c r="P1016" i="6" s="1"/>
  <c r="U1016" i="6" s="1"/>
  <c r="V1016" i="6" s="1"/>
  <c r="N1013" i="6"/>
  <c r="P1013" i="6" s="1"/>
  <c r="U1013" i="6" s="1"/>
  <c r="V1013" i="6" s="1"/>
  <c r="N1010" i="6"/>
  <c r="P1010" i="6" s="1"/>
  <c r="U1010" i="6" s="1"/>
  <c r="V1010" i="6" s="1"/>
  <c r="N1007" i="6"/>
  <c r="P1007" i="6" s="1"/>
  <c r="U1007" i="6" s="1"/>
  <c r="N1004" i="6"/>
  <c r="P1004" i="6" s="1"/>
  <c r="N1286" i="6"/>
  <c r="N1283" i="6"/>
  <c r="N1280" i="6"/>
  <c r="N1277" i="6"/>
  <c r="N1274" i="6"/>
  <c r="N1271" i="6"/>
  <c r="N1254" i="6"/>
  <c r="N1251" i="6"/>
  <c r="N1248" i="6"/>
  <c r="N1245" i="6"/>
  <c r="N1242" i="6"/>
  <c r="N1214" i="6"/>
  <c r="P1214" i="6" s="1"/>
  <c r="U1214" i="6" s="1"/>
  <c r="V1214" i="6" s="1"/>
  <c r="N1206" i="6"/>
  <c r="P1206" i="6" s="1"/>
  <c r="U1206" i="6" s="1"/>
  <c r="V1206" i="6" s="1"/>
  <c r="N1115" i="6"/>
  <c r="N1014" i="6"/>
  <c r="P1014" i="6" s="1"/>
  <c r="U1014" i="6" s="1"/>
  <c r="V1014" i="6" s="1"/>
  <c r="N1011" i="6"/>
  <c r="P1011" i="6" s="1"/>
  <c r="U1011" i="6" s="1"/>
  <c r="V1011" i="6" s="1"/>
  <c r="N1008" i="6"/>
  <c r="P1008" i="6" s="1"/>
  <c r="U1008" i="6" s="1"/>
  <c r="V1008" i="6" s="1"/>
  <c r="N1005" i="6"/>
  <c r="P1005" i="6" s="1"/>
  <c r="U1005" i="6" s="1"/>
  <c r="V1005" i="6" s="1"/>
  <c r="P875" i="6"/>
  <c r="U875" i="6" s="1"/>
  <c r="V875" i="6" s="1"/>
  <c r="O1252" i="6"/>
  <c r="O1246" i="6"/>
  <c r="O1240" i="6"/>
  <c r="P1240" i="6" s="1"/>
  <c r="U1240" i="6" s="1"/>
  <c r="V1240" i="6" s="1"/>
  <c r="N1212" i="6"/>
  <c r="P1212" i="6" s="1"/>
  <c r="U1212" i="6" s="1"/>
  <c r="N1209" i="6"/>
  <c r="P1209" i="6" s="1"/>
  <c r="U1209" i="6" s="1"/>
  <c r="V1209" i="6" s="1"/>
  <c r="N1201" i="6"/>
  <c r="P1201" i="6" s="1"/>
  <c r="U1201" i="6" s="1"/>
  <c r="V1201" i="6" s="1"/>
  <c r="N1015" i="6"/>
  <c r="P1015" i="6" s="1"/>
  <c r="U1015" i="6" s="1"/>
  <c r="V1015" i="6" s="1"/>
  <c r="N1012" i="6"/>
  <c r="P1012" i="6" s="1"/>
  <c r="U1012" i="6" s="1"/>
  <c r="V1012" i="6" s="1"/>
  <c r="N1009" i="6"/>
  <c r="P1009" i="6" s="1"/>
  <c r="U1009" i="6" s="1"/>
  <c r="O1256" i="6"/>
  <c r="P1256" i="6" s="1"/>
  <c r="U1256" i="6" s="1"/>
  <c r="O1253" i="6"/>
  <c r="O1250" i="6"/>
  <c r="P1250" i="6" s="1"/>
  <c r="U1250" i="6" s="1"/>
  <c r="V1250" i="6" s="1"/>
  <c r="N1210" i="6"/>
  <c r="P1210" i="6" s="1"/>
  <c r="U1210" i="6" s="1"/>
  <c r="V1210" i="6" s="1"/>
  <c r="N1207" i="6"/>
  <c r="P1207" i="6" s="1"/>
  <c r="U1207" i="6" s="1"/>
  <c r="N1126" i="6"/>
  <c r="N1123" i="6"/>
  <c r="N1120" i="6"/>
  <c r="P903" i="6"/>
  <c r="U903" i="6" s="1"/>
  <c r="V903" i="6" s="1"/>
  <c r="J11" i="14"/>
  <c r="N79" i="6" s="1"/>
  <c r="P79" i="6" s="1"/>
  <c r="U79" i="6" s="1"/>
  <c r="V79" i="6" s="1"/>
  <c r="P302" i="6"/>
  <c r="U302" i="6" s="1"/>
  <c r="V302" i="6" s="1"/>
  <c r="P345" i="6"/>
  <c r="M33" i="14" s="1"/>
  <c r="R33" i="14" s="1"/>
  <c r="P14" i="6"/>
  <c r="U14" i="6" s="1"/>
  <c r="P5831" i="6"/>
  <c r="U5831" i="6" s="1"/>
  <c r="N5805" i="6"/>
  <c r="P5805" i="6" s="1"/>
  <c r="U5805" i="6" s="1"/>
  <c r="V5805" i="6" s="1"/>
  <c r="N5798" i="6"/>
  <c r="P5798" i="6" s="1"/>
  <c r="U5798" i="6" s="1"/>
  <c r="V5798" i="6" s="1"/>
  <c r="N5794" i="6"/>
  <c r="P5794" i="6" s="1"/>
  <c r="N729" i="6"/>
  <c r="P729" i="6" s="1"/>
  <c r="U729" i="6" s="1"/>
  <c r="U291" i="6"/>
  <c r="O27" i="14" s="1"/>
  <c r="M27" i="14"/>
  <c r="R27" i="14" s="1"/>
  <c r="V2682" i="6"/>
  <c r="U4581" i="6"/>
  <c r="V4581" i="6" s="1"/>
  <c r="M638" i="14"/>
  <c r="R638" i="14" s="1"/>
  <c r="U442" i="6"/>
  <c r="O42" i="14" s="1"/>
  <c r="M42" i="14"/>
  <c r="R42" i="14" s="1"/>
  <c r="U4850" i="6"/>
  <c r="M670" i="14"/>
  <c r="R670" i="14" s="1"/>
  <c r="U524" i="6"/>
  <c r="O67" i="14" s="1"/>
  <c r="M67" i="14"/>
  <c r="R67" i="14" s="1"/>
  <c r="U1155" i="6"/>
  <c r="O149" i="14" s="1"/>
  <c r="M149" i="14"/>
  <c r="R149" i="14" s="1"/>
  <c r="U1536" i="6"/>
  <c r="V1536" i="6" s="1"/>
  <c r="M206" i="14"/>
  <c r="R206" i="14" s="1"/>
  <c r="U4215" i="6"/>
  <c r="O593" i="14" s="1"/>
  <c r="M593" i="14"/>
  <c r="R593" i="14" s="1"/>
  <c r="U4613" i="6"/>
  <c r="V4613" i="6" s="1"/>
  <c r="M641" i="14"/>
  <c r="R641" i="14" s="1"/>
  <c r="U379" i="6"/>
  <c r="M39" i="14"/>
  <c r="R39" i="14" s="1"/>
  <c r="U2152" i="6"/>
  <c r="V2152" i="6" s="1"/>
  <c r="M309" i="14"/>
  <c r="R309" i="14" s="1"/>
  <c r="U2816" i="6"/>
  <c r="V2816" i="6" s="1"/>
  <c r="M406" i="14"/>
  <c r="R406" i="14" s="1"/>
  <c r="U2039" i="6"/>
  <c r="O289" i="14" s="1"/>
  <c r="M289" i="14"/>
  <c r="R289" i="14" s="1"/>
  <c r="U208" i="6"/>
  <c r="V208" i="6" s="1"/>
  <c r="M22" i="14"/>
  <c r="R22" i="14" s="1"/>
  <c r="U1237" i="6"/>
  <c r="O166" i="14" s="1"/>
  <c r="M166" i="14"/>
  <c r="R166" i="14" s="1"/>
  <c r="U2448" i="6"/>
  <c r="M369" i="14"/>
  <c r="R369" i="14" s="1"/>
  <c r="P3955" i="6"/>
  <c r="U3955" i="6" s="1"/>
  <c r="U1805" i="6"/>
  <c r="M244" i="14"/>
  <c r="R244" i="14" s="1"/>
  <c r="U3008" i="6"/>
  <c r="O425" i="14" s="1"/>
  <c r="M425" i="14"/>
  <c r="R425" i="14" s="1"/>
  <c r="N5519" i="6"/>
  <c r="P5519" i="6" s="1"/>
  <c r="U5519" i="6" s="1"/>
  <c r="N5520" i="6"/>
  <c r="P5520" i="6" s="1"/>
  <c r="N5521" i="6"/>
  <c r="P5521" i="6" s="1"/>
  <c r="U5521" i="6" s="1"/>
  <c r="N5522" i="6"/>
  <c r="P5522" i="6" s="1"/>
  <c r="U5522" i="6" s="1"/>
  <c r="N5518" i="6"/>
  <c r="P5518" i="6" s="1"/>
  <c r="U5518" i="6" s="1"/>
  <c r="Q757" i="14"/>
  <c r="U947" i="6"/>
  <c r="V947" i="6" s="1"/>
  <c r="M118" i="14"/>
  <c r="R118" i="14" s="1"/>
  <c r="U3413" i="6"/>
  <c r="V3413" i="6" s="1"/>
  <c r="M476" i="14"/>
  <c r="R476" i="14" s="1"/>
  <c r="U1216" i="6"/>
  <c r="O160" i="14" s="1"/>
  <c r="M160" i="14"/>
  <c r="R160" i="14" s="1"/>
  <c r="N5523" i="6"/>
  <c r="P5523" i="6" s="1"/>
  <c r="U5523" i="6" s="1"/>
  <c r="U1606" i="6"/>
  <c r="O217" i="14" s="1"/>
  <c r="M217" i="14"/>
  <c r="R217" i="14" s="1"/>
  <c r="N4820" i="6"/>
  <c r="P4820" i="6" s="1"/>
  <c r="U4820" i="6" s="1"/>
  <c r="N4821" i="6"/>
  <c r="P4821" i="6" s="1"/>
  <c r="U4821" i="6" s="1"/>
  <c r="N4822" i="6"/>
  <c r="P4822" i="6" s="1"/>
  <c r="U4822" i="6" s="1"/>
  <c r="N4819" i="6"/>
  <c r="P4819" i="6" s="1"/>
  <c r="U4819" i="6" s="1"/>
  <c r="N4823" i="6"/>
  <c r="P4823" i="6" s="1"/>
  <c r="U4823" i="6" s="1"/>
  <c r="N4824" i="6"/>
  <c r="P4824" i="6" s="1"/>
  <c r="U4824" i="6" s="1"/>
  <c r="Q666" i="14"/>
  <c r="U984" i="6"/>
  <c r="M123" i="14"/>
  <c r="R123" i="14" s="1"/>
  <c r="N3343" i="6"/>
  <c r="P3343" i="6" s="1"/>
  <c r="U3343" i="6" s="1"/>
  <c r="N3346" i="6"/>
  <c r="P3346" i="6" s="1"/>
  <c r="N3347" i="6"/>
  <c r="P3347" i="6" s="1"/>
  <c r="U3347" i="6" s="1"/>
  <c r="N3344" i="6"/>
  <c r="P3344" i="6" s="1"/>
  <c r="U3344" i="6" s="1"/>
  <c r="N3348" i="6"/>
  <c r="P3348" i="6" s="1"/>
  <c r="U3348" i="6" s="1"/>
  <c r="V3348" i="6" s="1"/>
  <c r="N3345" i="6"/>
  <c r="P3345" i="6" s="1"/>
  <c r="U3345" i="6" s="1"/>
  <c r="N3349" i="6"/>
  <c r="P3349" i="6" s="1"/>
  <c r="U3349" i="6" s="1"/>
  <c r="K2" i="14"/>
  <c r="Q467" i="14"/>
  <c r="O573" i="14"/>
  <c r="P573" i="14" s="1"/>
  <c r="V4091" i="6"/>
  <c r="V3067" i="6"/>
  <c r="O433" i="14"/>
  <c r="P433" i="14" s="1"/>
  <c r="O568" i="14"/>
  <c r="P568" i="14" s="1"/>
  <c r="V4050" i="6"/>
  <c r="V4046" i="6"/>
  <c r="O567" i="14"/>
  <c r="P567" i="14" s="1"/>
  <c r="O628" i="14"/>
  <c r="P628" i="14" s="1"/>
  <c r="V4492" i="6"/>
  <c r="O740" i="14"/>
  <c r="P740" i="14" s="1"/>
  <c r="V5411" i="6"/>
  <c r="V4098" i="6"/>
  <c r="O577" i="14"/>
  <c r="P577" i="14" s="1"/>
  <c r="O636" i="14"/>
  <c r="P636" i="14" s="1"/>
  <c r="V4544" i="6"/>
  <c r="O551" i="14"/>
  <c r="P551" i="14" s="1"/>
  <c r="V3943" i="6"/>
  <c r="V3735" i="6"/>
  <c r="O524" i="14"/>
  <c r="P524" i="14" s="1"/>
  <c r="V4096" i="6"/>
  <c r="O576" i="14"/>
  <c r="P576" i="14" s="1"/>
  <c r="Q143" i="14"/>
  <c r="U511" i="6"/>
  <c r="V511" i="6" s="1"/>
  <c r="M61" i="14"/>
  <c r="R61" i="14" s="1"/>
  <c r="U2081" i="6"/>
  <c r="O296" i="14" s="1"/>
  <c r="M296" i="14"/>
  <c r="R296" i="14" s="1"/>
  <c r="U847" i="6"/>
  <c r="M98" i="14"/>
  <c r="R98" i="14" s="1"/>
  <c r="N1802" i="6"/>
  <c r="Q186" i="14"/>
  <c r="V2675" i="6"/>
  <c r="O390" i="14"/>
  <c r="P390" i="14" s="1"/>
  <c r="O281" i="14"/>
  <c r="P281" i="14" s="1"/>
  <c r="V1983" i="6"/>
  <c r="V3523" i="6"/>
  <c r="O489" i="14"/>
  <c r="P489" i="14" s="1"/>
  <c r="U2334" i="6"/>
  <c r="O350" i="14" s="1"/>
  <c r="M350" i="14"/>
  <c r="R350" i="14" s="1"/>
  <c r="O35" i="14"/>
  <c r="P35" i="14" s="1"/>
  <c r="V360" i="6"/>
  <c r="U1875" i="6"/>
  <c r="O260" i="14" s="1"/>
  <c r="M260" i="14"/>
  <c r="R260" i="14" s="1"/>
  <c r="U2437" i="6"/>
  <c r="O364" i="14" s="1"/>
  <c r="M364" i="14"/>
  <c r="R364" i="14" s="1"/>
  <c r="U1652" i="6"/>
  <c r="O224" i="14" s="1"/>
  <c r="M224" i="14"/>
  <c r="R224" i="14" s="1"/>
  <c r="U2086" i="6"/>
  <c r="O298" i="14" s="1"/>
  <c r="M298" i="14"/>
  <c r="R298" i="14" s="1"/>
  <c r="U2330" i="6"/>
  <c r="V2330" i="6" s="1"/>
  <c r="M348" i="14"/>
  <c r="R348" i="14" s="1"/>
  <c r="V473" i="6"/>
  <c r="O50" i="14"/>
  <c r="P50" i="14" s="1"/>
  <c r="V146" i="6"/>
  <c r="O17" i="14"/>
  <c r="P17" i="14" s="1"/>
  <c r="U1902" i="6"/>
  <c r="M270" i="14"/>
  <c r="R270" i="14" s="1"/>
  <c r="U464" i="6"/>
  <c r="V464" i="6" s="1"/>
  <c r="M46" i="14"/>
  <c r="R46" i="14" s="1"/>
  <c r="U1896" i="6"/>
  <c r="O268" i="14" s="1"/>
  <c r="M268" i="14"/>
  <c r="R268" i="14" s="1"/>
  <c r="U4800" i="6"/>
  <c r="O660" i="14" s="1"/>
  <c r="M660" i="14"/>
  <c r="R660" i="14" s="1"/>
  <c r="V5488" i="6"/>
  <c r="U1335" i="6"/>
  <c r="V1335" i="6" s="1"/>
  <c r="M178" i="14"/>
  <c r="R178" i="14" s="1"/>
  <c r="U2034" i="6"/>
  <c r="V2034" i="6" s="1"/>
  <c r="M287" i="14"/>
  <c r="R287" i="14" s="1"/>
  <c r="U2243" i="6"/>
  <c r="V2243" i="6" s="1"/>
  <c r="M334" i="14"/>
  <c r="R334" i="14" s="1"/>
  <c r="U4966" i="6"/>
  <c r="V4966" i="6" s="1"/>
  <c r="U982" i="6"/>
  <c r="U1888" i="6"/>
  <c r="M264" i="14"/>
  <c r="R264" i="14" s="1"/>
  <c r="U2248" i="6"/>
  <c r="O337" i="14" s="1"/>
  <c r="M337" i="14"/>
  <c r="R337" i="14" s="1"/>
  <c r="U513" i="6"/>
  <c r="O62" i="14" s="1"/>
  <c r="M62" i="14"/>
  <c r="R62" i="14" s="1"/>
  <c r="O807" i="14"/>
  <c r="P807" i="14" s="1"/>
  <c r="V5792" i="6"/>
  <c r="U4323" i="6"/>
  <c r="O603" i="14" s="1"/>
  <c r="M603" i="14"/>
  <c r="R603" i="14" s="1"/>
  <c r="V2564" i="6"/>
  <c r="M65" i="14"/>
  <c r="R65" i="14" s="1"/>
  <c r="U1226" i="6"/>
  <c r="V1226" i="6" s="1"/>
  <c r="M163" i="14"/>
  <c r="R163" i="14" s="1"/>
  <c r="U1842" i="6"/>
  <c r="V1842" i="6" s="1"/>
  <c r="U3206" i="6"/>
  <c r="U2802" i="6"/>
  <c r="U3017" i="6"/>
  <c r="V3017" i="6" s="1"/>
  <c r="U3265" i="6"/>
  <c r="V3265" i="6" s="1"/>
  <c r="V3947" i="6"/>
  <c r="U5212" i="6"/>
  <c r="U4926" i="6"/>
  <c r="V4926" i="6" s="1"/>
  <c r="M700" i="14"/>
  <c r="R700" i="14" s="1"/>
  <c r="U5117" i="6"/>
  <c r="V5117" i="6" s="1"/>
  <c r="U4818" i="6"/>
  <c r="O665" i="14" s="1"/>
  <c r="P665" i="14" s="1"/>
  <c r="U4686" i="6"/>
  <c r="O649" i="14" s="1"/>
  <c r="M649" i="14"/>
  <c r="R649" i="14" s="1"/>
  <c r="U331" i="6"/>
  <c r="O31" i="14" s="1"/>
  <c r="M31" i="14"/>
  <c r="R31" i="14" s="1"/>
  <c r="U375" i="6"/>
  <c r="V375" i="6" s="1"/>
  <c r="M28" i="14"/>
  <c r="R28" i="14" s="1"/>
  <c r="U905" i="6"/>
  <c r="M104" i="14"/>
  <c r="R104" i="14" s="1"/>
  <c r="U1416" i="6"/>
  <c r="O192" i="14" s="1"/>
  <c r="M192" i="14"/>
  <c r="R192" i="14" s="1"/>
  <c r="U1932" i="6"/>
  <c r="V1932" i="6" s="1"/>
  <c r="U352" i="6"/>
  <c r="V352" i="6" s="1"/>
  <c r="U906" i="6"/>
  <c r="O105" i="14" s="1"/>
  <c r="M105" i="14"/>
  <c r="R105" i="14" s="1"/>
  <c r="U1425" i="6"/>
  <c r="O196" i="14" s="1"/>
  <c r="M196" i="14"/>
  <c r="R196" i="14" s="1"/>
  <c r="U1785" i="6"/>
  <c r="O240" i="14" s="1"/>
  <c r="M240" i="14"/>
  <c r="R240" i="14" s="1"/>
  <c r="U2818" i="6"/>
  <c r="M407" i="14"/>
  <c r="R407" i="14" s="1"/>
  <c r="U421" i="6"/>
  <c r="V421" i="6" s="1"/>
  <c r="U2133" i="6"/>
  <c r="M305" i="14"/>
  <c r="R305" i="14" s="1"/>
  <c r="U2336" i="6"/>
  <c r="V2336" i="6" s="1"/>
  <c r="M351" i="14"/>
  <c r="R351" i="14" s="1"/>
  <c r="U3737" i="6"/>
  <c r="V3737" i="6" s="1"/>
  <c r="U4554" i="6"/>
  <c r="V4554" i="6" s="1"/>
  <c r="U3048" i="6"/>
  <c r="V3048" i="6" s="1"/>
  <c r="U3133" i="6"/>
  <c r="U5272" i="6"/>
  <c r="V5272" i="6" s="1"/>
  <c r="U5379" i="6"/>
  <c r="O736" i="14" s="1"/>
  <c r="M736" i="14"/>
  <c r="R736" i="14" s="1"/>
  <c r="U5762" i="6"/>
  <c r="V5762" i="6" s="1"/>
  <c r="U4840" i="6"/>
  <c r="V4840" i="6" s="1"/>
  <c r="M669" i="14"/>
  <c r="R669" i="14" s="1"/>
  <c r="U5038" i="6"/>
  <c r="O690" i="14" s="1"/>
  <c r="M690" i="14"/>
  <c r="R690" i="14" s="1"/>
  <c r="U5777" i="6"/>
  <c r="V5777" i="6" s="1"/>
  <c r="U1151" i="6"/>
  <c r="O147" i="14" s="1"/>
  <c r="M147" i="14"/>
  <c r="R147" i="14" s="1"/>
  <c r="U1156" i="6"/>
  <c r="O150" i="14" s="1"/>
  <c r="M150" i="14"/>
  <c r="R150" i="14" s="1"/>
  <c r="U1587" i="6"/>
  <c r="V1587" i="6" s="1"/>
  <c r="M209" i="14"/>
  <c r="R209" i="14" s="1"/>
  <c r="U1780" i="6"/>
  <c r="V1780" i="6" s="1"/>
  <c r="M239" i="14"/>
  <c r="R239" i="14" s="1"/>
  <c r="O1775" i="6"/>
  <c r="P1775" i="6" s="1"/>
  <c r="O1774" i="6"/>
  <c r="U1715" i="6"/>
  <c r="O229" i="14" s="1"/>
  <c r="M229" i="14"/>
  <c r="R229" i="14" s="1"/>
  <c r="V1946" i="6"/>
  <c r="U2106" i="6"/>
  <c r="V2106" i="6" s="1"/>
  <c r="M302" i="14"/>
  <c r="R302" i="14" s="1"/>
  <c r="U4025" i="6"/>
  <c r="V4025" i="6" s="1"/>
  <c r="M564" i="14"/>
  <c r="R564" i="14" s="1"/>
  <c r="U2172" i="6"/>
  <c r="O316" i="14" s="1"/>
  <c r="M316" i="14"/>
  <c r="R316" i="14" s="1"/>
  <c r="U3077" i="6"/>
  <c r="U3235" i="6"/>
  <c r="M457" i="14"/>
  <c r="R457" i="14" s="1"/>
  <c r="U2347" i="6"/>
  <c r="V2347" i="6" s="1"/>
  <c r="M353" i="14"/>
  <c r="R353" i="14" s="1"/>
  <c r="U3222" i="6"/>
  <c r="V3222" i="6" s="1"/>
  <c r="M456" i="14"/>
  <c r="R456" i="14" s="1"/>
  <c r="U5176" i="6"/>
  <c r="U5471" i="6"/>
  <c r="V5471" i="6" s="1"/>
  <c r="U4869" i="6"/>
  <c r="V4869" i="6" s="1"/>
  <c r="M672" i="14"/>
  <c r="R672" i="14" s="1"/>
  <c r="U5331" i="6"/>
  <c r="V5331" i="6" s="1"/>
  <c r="U5307" i="6"/>
  <c r="M725" i="14"/>
  <c r="R725" i="14" s="1"/>
  <c r="M97" i="14"/>
  <c r="R97" i="14" s="1"/>
  <c r="M135" i="14"/>
  <c r="R135" i="14" s="1"/>
  <c r="U2436" i="6"/>
  <c r="V2436" i="6" s="1"/>
  <c r="M363" i="14"/>
  <c r="R363" i="14" s="1"/>
  <c r="U3183" i="6"/>
  <c r="O452" i="14" s="1"/>
  <c r="U3241" i="6"/>
  <c r="V3241" i="6" s="1"/>
  <c r="M458" i="14"/>
  <c r="R458" i="14" s="1"/>
  <c r="U2340" i="6"/>
  <c r="V2340" i="6" s="1"/>
  <c r="M352" i="14"/>
  <c r="R352" i="14" s="1"/>
  <c r="U2822" i="6"/>
  <c r="V2822" i="6" s="1"/>
  <c r="M409" i="14"/>
  <c r="R409" i="14" s="1"/>
  <c r="U2831" i="6"/>
  <c r="O410" i="14" s="1"/>
  <c r="U3533" i="6"/>
  <c r="U3503" i="6"/>
  <c r="V3503" i="6" s="1"/>
  <c r="M483" i="14"/>
  <c r="R483" i="14" s="1"/>
  <c r="U3957" i="6"/>
  <c r="U4606" i="6"/>
  <c r="V4606" i="6" s="1"/>
  <c r="M640" i="14"/>
  <c r="R640" i="14" s="1"/>
  <c r="M653" i="14"/>
  <c r="R653" i="14" s="1"/>
  <c r="U5122" i="6"/>
  <c r="U5315" i="6"/>
  <c r="V5315" i="6" s="1"/>
  <c r="U4758" i="6"/>
  <c r="V4758" i="6" s="1"/>
  <c r="M664" i="14"/>
  <c r="R664" i="14" s="1"/>
  <c r="U4862" i="6"/>
  <c r="V4862" i="6" s="1"/>
  <c r="M671" i="14"/>
  <c r="R671" i="14" s="1"/>
  <c r="U4917" i="6"/>
  <c r="V4917" i="6" s="1"/>
  <c r="M677" i="14"/>
  <c r="R677" i="14" s="1"/>
  <c r="U472" i="6"/>
  <c r="V472" i="6" s="1"/>
  <c r="M49" i="14"/>
  <c r="R49" i="14" s="1"/>
  <c r="U1420" i="6"/>
  <c r="U2367" i="6"/>
  <c r="V2367" i="6" s="1"/>
  <c r="M357" i="14"/>
  <c r="R357" i="14" s="1"/>
  <c r="U467" i="6"/>
  <c r="V467" i="6" s="1"/>
  <c r="M48" i="14"/>
  <c r="R48" i="14" s="1"/>
  <c r="U937" i="6"/>
  <c r="V937" i="6" s="1"/>
  <c r="U1511" i="6"/>
  <c r="V1511" i="6" s="1"/>
  <c r="M203" i="14"/>
  <c r="R203" i="14" s="1"/>
  <c r="U2307" i="6"/>
  <c r="O347" i="14" s="1"/>
  <c r="M347" i="14"/>
  <c r="R347" i="14" s="1"/>
  <c r="U2452" i="6"/>
  <c r="O370" i="14" s="1"/>
  <c r="M370" i="14"/>
  <c r="R370" i="14" s="1"/>
  <c r="U2913" i="6"/>
  <c r="V2913" i="6" s="1"/>
  <c r="M416" i="14"/>
  <c r="R416" i="14" s="1"/>
  <c r="U459" i="6"/>
  <c r="O44" i="14" s="1"/>
  <c r="M44" i="14"/>
  <c r="R44" i="14" s="1"/>
  <c r="U1905" i="6"/>
  <c r="M272" i="14"/>
  <c r="R272" i="14" s="1"/>
  <c r="U2280" i="6"/>
  <c r="O343" i="14" s="1"/>
  <c r="M343" i="14"/>
  <c r="R343" i="14" s="1"/>
  <c r="U1095" i="6"/>
  <c r="O137" i="14" s="1"/>
  <c r="M137" i="14"/>
  <c r="R137" i="14" s="1"/>
  <c r="U1600" i="6"/>
  <c r="V1600" i="6" s="1"/>
  <c r="M215" i="14"/>
  <c r="R215" i="14" s="1"/>
  <c r="U1869" i="6"/>
  <c r="O258" i="14" s="1"/>
  <c r="M258" i="14"/>
  <c r="R258" i="14" s="1"/>
  <c r="U2052" i="6"/>
  <c r="M292" i="14"/>
  <c r="R292" i="14" s="1"/>
  <c r="U2800" i="6"/>
  <c r="V2800" i="6" s="1"/>
  <c r="M402" i="14"/>
  <c r="R402" i="14" s="1"/>
  <c r="U2999" i="6"/>
  <c r="O426" i="14" s="1"/>
  <c r="M426" i="14"/>
  <c r="R426" i="14" s="1"/>
  <c r="U4001" i="6"/>
  <c r="V4001" i="6" s="1"/>
  <c r="V3082" i="6"/>
  <c r="U3303" i="6"/>
  <c r="M464" i="14"/>
  <c r="R464" i="14" s="1"/>
  <c r="U3939" i="6"/>
  <c r="V3939" i="6" s="1"/>
  <c r="M550" i="14"/>
  <c r="R550" i="14" s="1"/>
  <c r="U4652" i="6"/>
  <c r="O645" i="14" s="1"/>
  <c r="M645" i="14"/>
  <c r="R645" i="14" s="1"/>
  <c r="U5233" i="6"/>
  <c r="V5233" i="6" s="1"/>
  <c r="M716" i="14"/>
  <c r="R716" i="14" s="1"/>
  <c r="U290" i="6"/>
  <c r="V290" i="6" s="1"/>
  <c r="M26" i="14"/>
  <c r="R26" i="14" s="1"/>
  <c r="V1661" i="6"/>
  <c r="U1592" i="6"/>
  <c r="O211" i="14" s="1"/>
  <c r="M211" i="14"/>
  <c r="R211" i="14" s="1"/>
  <c r="U673" i="6"/>
  <c r="V673" i="6" s="1"/>
  <c r="U1873" i="6"/>
  <c r="V1873" i="6" s="1"/>
  <c r="M259" i="14"/>
  <c r="R259" i="14" s="1"/>
  <c r="V2127" i="6"/>
  <c r="U1957" i="6"/>
  <c r="V1957" i="6" s="1"/>
  <c r="M279" i="14"/>
  <c r="R279" i="14" s="1"/>
  <c r="U2558" i="6"/>
  <c r="V2558" i="6" s="1"/>
  <c r="U3560" i="6"/>
  <c r="V3560" i="6" s="1"/>
  <c r="U2076" i="6"/>
  <c r="M294" i="14"/>
  <c r="R294" i="14" s="1"/>
  <c r="V3225" i="6"/>
  <c r="V4000" i="6"/>
  <c r="U5415" i="6"/>
  <c r="V5415" i="6" s="1"/>
  <c r="U475" i="6"/>
  <c r="O51" i="14" s="1"/>
  <c r="M51" i="14"/>
  <c r="R51" i="14" s="1"/>
  <c r="U1506" i="6"/>
  <c r="V1506" i="6" s="1"/>
  <c r="M202" i="14"/>
  <c r="R202" i="14" s="1"/>
  <c r="M210" i="14"/>
  <c r="R210" i="14" s="1"/>
  <c r="U909" i="6"/>
  <c r="V909" i="6" s="1"/>
  <c r="U2843" i="6"/>
  <c r="V2843" i="6" s="1"/>
  <c r="U3946" i="6"/>
  <c r="V3946" i="6" s="1"/>
  <c r="M553" i="14"/>
  <c r="R553" i="14" s="1"/>
  <c r="U4011" i="6"/>
  <c r="V4011" i="6" s="1"/>
  <c r="M563" i="14"/>
  <c r="R563" i="14" s="1"/>
  <c r="U4740" i="6"/>
  <c r="V4740" i="6" s="1"/>
  <c r="U4929" i="6"/>
  <c r="V4929" i="6" s="1"/>
  <c r="U4901" i="6"/>
  <c r="O675" i="14" s="1"/>
  <c r="M675" i="14"/>
  <c r="R675" i="14" s="1"/>
  <c r="U5132" i="6"/>
  <c r="V5132" i="6" s="1"/>
  <c r="U557" i="6"/>
  <c r="V557" i="6" s="1"/>
  <c r="U2391" i="6"/>
  <c r="V2391" i="6" s="1"/>
  <c r="U1153" i="6"/>
  <c r="O148" i="14" s="1"/>
  <c r="M148" i="14"/>
  <c r="R148" i="14" s="1"/>
  <c r="U1855" i="6"/>
  <c r="V1855" i="6" s="1"/>
  <c r="M255" i="14"/>
  <c r="R255" i="14" s="1"/>
  <c r="U1993" i="6"/>
  <c r="V1993" i="6" s="1"/>
  <c r="M283" i="14"/>
  <c r="R283" i="14" s="1"/>
  <c r="U2715" i="6"/>
  <c r="V2715" i="6" s="1"/>
  <c r="M394" i="14"/>
  <c r="R394" i="14" s="1"/>
  <c r="U482" i="6"/>
  <c r="V482" i="6" s="1"/>
  <c r="M52" i="14"/>
  <c r="R52" i="14" s="1"/>
  <c r="U771" i="6"/>
  <c r="U1084" i="6"/>
  <c r="V1084" i="6" s="1"/>
  <c r="M134" i="14"/>
  <c r="R134" i="14" s="1"/>
  <c r="U2426" i="6"/>
  <c r="O360" i="14" s="1"/>
  <c r="M360" i="14"/>
  <c r="R360" i="14" s="1"/>
  <c r="U4289" i="6"/>
  <c r="V4289" i="6" s="1"/>
  <c r="M600" i="14"/>
  <c r="R600" i="14" s="1"/>
  <c r="U4376" i="6"/>
  <c r="V4376" i="6" s="1"/>
  <c r="M612" i="14"/>
  <c r="R612" i="14" s="1"/>
  <c r="U5182" i="6"/>
  <c r="V5182" i="6" s="1"/>
  <c r="M709" i="14"/>
  <c r="R709" i="14" s="1"/>
  <c r="U4639" i="6"/>
  <c r="V4639" i="6" s="1"/>
  <c r="M644" i="14"/>
  <c r="R644" i="14" s="1"/>
  <c r="U5432" i="6"/>
  <c r="V5432" i="6" s="1"/>
  <c r="U5524" i="6"/>
  <c r="V5524" i="6" s="1"/>
  <c r="U1229" i="6"/>
  <c r="V1229" i="6" s="1"/>
  <c r="M164" i="14"/>
  <c r="R164" i="14" s="1"/>
  <c r="V801" i="6"/>
  <c r="U2122" i="6"/>
  <c r="V2122" i="6" s="1"/>
  <c r="M304" i="14"/>
  <c r="R304" i="14" s="1"/>
  <c r="U2190" i="6"/>
  <c r="O318" i="14" s="1"/>
  <c r="M318" i="14"/>
  <c r="R318" i="14" s="1"/>
  <c r="U2496" i="6"/>
  <c r="V2496" i="6" s="1"/>
  <c r="M373" i="14"/>
  <c r="R373" i="14" s="1"/>
  <c r="U3400" i="6"/>
  <c r="V3400" i="6" s="1"/>
  <c r="M475" i="14"/>
  <c r="R475" i="14" s="1"/>
  <c r="U5020" i="6"/>
  <c r="V5020" i="6" s="1"/>
  <c r="M689" i="14"/>
  <c r="R689" i="14" s="1"/>
  <c r="U4776" i="6"/>
  <c r="V4776" i="6" s="1"/>
  <c r="M662" i="14"/>
  <c r="R662" i="14" s="1"/>
  <c r="U5087" i="6"/>
  <c r="V5087" i="6" s="1"/>
  <c r="U5367" i="6"/>
  <c r="V5367" i="6" s="1"/>
  <c r="M734" i="14"/>
  <c r="R734" i="14" s="1"/>
  <c r="U3" i="6"/>
  <c r="U841" i="6"/>
  <c r="O96" i="14" s="1"/>
  <c r="M96" i="14"/>
  <c r="R96" i="14" s="1"/>
  <c r="U234" i="6"/>
  <c r="V234" i="6" s="1"/>
  <c r="M187" i="14"/>
  <c r="R187" i="14" s="1"/>
  <c r="U3092" i="6"/>
  <c r="V3092" i="6" s="1"/>
  <c r="U2773" i="6"/>
  <c r="V2773" i="6" s="1"/>
  <c r="M397" i="14"/>
  <c r="R397" i="14" s="1"/>
  <c r="U2784" i="6"/>
  <c r="V2784" i="6" s="1"/>
  <c r="M400" i="14"/>
  <c r="R400" i="14" s="1"/>
  <c r="U2857" i="6"/>
  <c r="V2857" i="6" s="1"/>
  <c r="M413" i="14"/>
  <c r="R413" i="14" s="1"/>
  <c r="U3969" i="6"/>
  <c r="V3969" i="6" s="1"/>
  <c r="U4035" i="6"/>
  <c r="V4035" i="6" s="1"/>
  <c r="M565" i="14"/>
  <c r="R565" i="14" s="1"/>
  <c r="U3646" i="6"/>
  <c r="V3646" i="6" s="1"/>
  <c r="U4619" i="6"/>
  <c r="M642" i="14"/>
  <c r="R642" i="14" s="1"/>
  <c r="U4942" i="6"/>
  <c r="V4942" i="6" s="1"/>
  <c r="M680" i="14"/>
  <c r="R680" i="14" s="1"/>
  <c r="U5040" i="6"/>
  <c r="V5040" i="6" s="1"/>
  <c r="U5194" i="6"/>
  <c r="U4297" i="6"/>
  <c r="V4297" i="6" s="1"/>
  <c r="M601" i="14"/>
  <c r="R601" i="14" s="1"/>
  <c r="U4982" i="6"/>
  <c r="V4982" i="6" s="1"/>
  <c r="M685" i="14"/>
  <c r="R685" i="14" s="1"/>
  <c r="U5050" i="6"/>
  <c r="O692" i="14" s="1"/>
  <c r="M692" i="14"/>
  <c r="R692" i="14" s="1"/>
  <c r="V5138" i="6"/>
  <c r="U5229" i="6"/>
  <c r="V5229" i="6" s="1"/>
  <c r="U4170" i="6"/>
  <c r="U4909" i="6"/>
  <c r="O676" i="14" s="1"/>
  <c r="M676" i="14"/>
  <c r="R676" i="14" s="1"/>
  <c r="U5153" i="6"/>
  <c r="V5153" i="6" s="1"/>
  <c r="M705" i="14"/>
  <c r="R705" i="14" s="1"/>
  <c r="V495" i="6"/>
  <c r="U661" i="6"/>
  <c r="V661" i="6" s="1"/>
  <c r="U797" i="6"/>
  <c r="M92" i="14"/>
  <c r="R92" i="14" s="1"/>
  <c r="U1649" i="6"/>
  <c r="V1649" i="6" s="1"/>
  <c r="M222" i="14"/>
  <c r="R222" i="14" s="1"/>
  <c r="U1948" i="6"/>
  <c r="M278" i="14"/>
  <c r="R278" i="14" s="1"/>
  <c r="U789" i="6"/>
  <c r="O88" i="14" s="1"/>
  <c r="M88" i="14"/>
  <c r="R88" i="14" s="1"/>
  <c r="U1811" i="6"/>
  <c r="V1811" i="6" s="1"/>
  <c r="M246" i="14"/>
  <c r="R246" i="14" s="1"/>
  <c r="U493" i="6"/>
  <c r="V493" i="6" s="1"/>
  <c r="U2879" i="6"/>
  <c r="V2879" i="6" s="1"/>
  <c r="U3125" i="6"/>
  <c r="V3125" i="6" s="1"/>
  <c r="M440" i="14"/>
  <c r="R440" i="14" s="1"/>
  <c r="U2681" i="6"/>
  <c r="O391" i="14" s="1"/>
  <c r="M391" i="14"/>
  <c r="R391" i="14" s="1"/>
  <c r="U5391" i="6"/>
  <c r="V5391" i="6" s="1"/>
  <c r="U5566" i="6"/>
  <c r="U5289" i="6"/>
  <c r="U5724" i="6"/>
  <c r="V5724" i="6" s="1"/>
  <c r="U1158" i="6"/>
  <c r="V1158" i="6" s="1"/>
  <c r="U644" i="6"/>
  <c r="M75" i="14"/>
  <c r="R75" i="14" s="1"/>
  <c r="U991" i="6"/>
  <c r="M126" i="14"/>
  <c r="R126" i="14" s="1"/>
  <c r="U1321" i="6"/>
  <c r="M176" i="14"/>
  <c r="R176" i="14" s="1"/>
  <c r="U1658" i="6"/>
  <c r="V1658" i="6" s="1"/>
  <c r="U994" i="6"/>
  <c r="V994" i="6" s="1"/>
  <c r="U1341" i="6"/>
  <c r="O181" i="14" s="1"/>
  <c r="M181" i="14"/>
  <c r="R181" i="14" s="1"/>
  <c r="V2803" i="6"/>
  <c r="U2208" i="6"/>
  <c r="V2208" i="6" s="1"/>
  <c r="M320" i="14"/>
  <c r="R320" i="14" s="1"/>
  <c r="U2432" i="6"/>
  <c r="V2432" i="6" s="1"/>
  <c r="M362" i="14"/>
  <c r="R362" i="14" s="1"/>
  <c r="V3022" i="6"/>
  <c r="U2158" i="6"/>
  <c r="V2158" i="6" s="1"/>
  <c r="M312" i="14"/>
  <c r="R312" i="14" s="1"/>
  <c r="U2366" i="6"/>
  <c r="O356" i="14" s="1"/>
  <c r="M356" i="14"/>
  <c r="R356" i="14" s="1"/>
  <c r="U3619" i="6"/>
  <c r="V3619" i="6" s="1"/>
  <c r="U2467" i="6"/>
  <c r="M371" i="14"/>
  <c r="R371" i="14" s="1"/>
  <c r="U5323" i="6"/>
  <c r="U5277" i="6"/>
  <c r="V5277" i="6" s="1"/>
  <c r="V4496" i="6"/>
  <c r="U4700" i="6"/>
  <c r="U5640" i="6"/>
  <c r="U685" i="6"/>
  <c r="V685" i="6" s="1"/>
  <c r="M53" i="14"/>
  <c r="R53" i="14" s="1"/>
  <c r="U834" i="6"/>
  <c r="O95" i="14" s="1"/>
  <c r="M95" i="14"/>
  <c r="R95" i="14" s="1"/>
  <c r="U1700" i="6"/>
  <c r="V1700" i="6" s="1"/>
  <c r="M198" i="14"/>
  <c r="R198" i="14" s="1"/>
  <c r="U1183" i="6"/>
  <c r="V1183" i="6" s="1"/>
  <c r="M155" i="14"/>
  <c r="R155" i="14" s="1"/>
  <c r="U2518" i="6"/>
  <c r="V2518" i="6" s="1"/>
  <c r="U2976" i="6"/>
  <c r="M420" i="14"/>
  <c r="R420" i="14" s="1"/>
  <c r="V3849" i="6"/>
  <c r="U4082" i="6"/>
  <c r="V4082" i="6" s="1"/>
  <c r="U5056" i="6"/>
  <c r="M693" i="14"/>
  <c r="R693" i="14" s="1"/>
  <c r="U4385" i="6"/>
  <c r="M613" i="14"/>
  <c r="R613" i="14" s="1"/>
  <c r="U4992" i="6"/>
  <c r="V4992" i="6" s="1"/>
  <c r="M686" i="14"/>
  <c r="R686" i="14" s="1"/>
  <c r="U4662" i="6"/>
  <c r="V4662" i="6" s="1"/>
  <c r="M646" i="14"/>
  <c r="R646" i="14" s="1"/>
  <c r="U5257" i="6"/>
  <c r="U21" i="6"/>
  <c r="V21" i="6" s="1"/>
  <c r="U369" i="6"/>
  <c r="V369" i="6" s="1"/>
  <c r="M36" i="14"/>
  <c r="R36" i="14" s="1"/>
  <c r="U2271" i="6"/>
  <c r="V2271" i="6" s="1"/>
  <c r="M342" i="14"/>
  <c r="R342" i="14" s="1"/>
  <c r="U1145" i="6"/>
  <c r="V1145" i="6" s="1"/>
  <c r="M144" i="14"/>
  <c r="R144" i="14" s="1"/>
  <c r="U1223" i="6"/>
  <c r="U1813" i="6"/>
  <c r="O247" i="14" s="1"/>
  <c r="M247" i="14"/>
  <c r="R247" i="14" s="1"/>
  <c r="U2254" i="6"/>
  <c r="O341" i="14" s="1"/>
  <c r="M341" i="14"/>
  <c r="R341" i="14" s="1"/>
  <c r="V2505" i="6"/>
  <c r="U1585" i="6"/>
  <c r="V1585" i="6" s="1"/>
  <c r="U2119" i="6"/>
  <c r="O303" i="14" s="1"/>
  <c r="M303" i="14"/>
  <c r="R303" i="14" s="1"/>
  <c r="U2180" i="6"/>
  <c r="M317" i="14"/>
  <c r="R317" i="14" s="1"/>
  <c r="U543" i="6"/>
  <c r="O68" i="14" s="1"/>
  <c r="U987" i="6"/>
  <c r="M124" i="14"/>
  <c r="R124" i="14" s="1"/>
  <c r="U1970" i="6"/>
  <c r="V1970" i="6" s="1"/>
  <c r="M280" i="14"/>
  <c r="R280" i="14" s="1"/>
  <c r="V2807" i="6"/>
  <c r="U3260" i="6"/>
  <c r="V3260" i="6" s="1"/>
  <c r="M459" i="14"/>
  <c r="R459" i="14" s="1"/>
  <c r="U4516" i="6"/>
  <c r="V4516" i="6" s="1"/>
  <c r="M632" i="14"/>
  <c r="R632" i="14" s="1"/>
  <c r="U3106" i="6"/>
  <c r="V3106" i="6" s="1"/>
  <c r="M439" i="14"/>
  <c r="R439" i="14" s="1"/>
  <c r="U4510" i="6"/>
  <c r="V4510" i="6" s="1"/>
  <c r="U2736" i="6"/>
  <c r="O395" i="14" s="1"/>
  <c r="M395" i="14"/>
  <c r="R395" i="14" s="1"/>
  <c r="U4363" i="6"/>
  <c r="V4363" i="6" s="1"/>
  <c r="M606" i="14"/>
  <c r="R606" i="14" s="1"/>
  <c r="U4039" i="6"/>
  <c r="M566" i="14"/>
  <c r="R566" i="14" s="1"/>
  <c r="U5079" i="6"/>
  <c r="V5079" i="6" s="1"/>
  <c r="M698" i="14"/>
  <c r="R698" i="14" s="1"/>
  <c r="U5243" i="6"/>
  <c r="V5243" i="6" s="1"/>
  <c r="U5399" i="6"/>
  <c r="V5399" i="6" s="1"/>
  <c r="U5453" i="6"/>
  <c r="V5453" i="6" s="1"/>
  <c r="U5495" i="6"/>
  <c r="M754" i="14"/>
  <c r="R754" i="14" s="1"/>
  <c r="U4533" i="6"/>
  <c r="M637" i="14"/>
  <c r="R637" i="14" s="1"/>
  <c r="U5342" i="6"/>
  <c r="U5732" i="6"/>
  <c r="V4851" i="6"/>
  <c r="U1071" i="6"/>
  <c r="V1071" i="6" s="1"/>
  <c r="M132" i="14"/>
  <c r="R132" i="14" s="1"/>
  <c r="U462" i="6"/>
  <c r="V462" i="6" s="1"/>
  <c r="M45" i="14"/>
  <c r="R45" i="14" s="1"/>
  <c r="V18" i="6"/>
  <c r="U1149" i="6"/>
  <c r="U1722" i="6"/>
  <c r="V1722" i="6" s="1"/>
  <c r="M233" i="14"/>
  <c r="R233" i="14" s="1"/>
  <c r="U1917" i="6"/>
  <c r="V1917" i="6" s="1"/>
  <c r="U1921" i="6"/>
  <c r="V1921" i="6" s="1"/>
  <c r="M276" i="14"/>
  <c r="R276" i="14" s="1"/>
  <c r="U1826" i="6"/>
  <c r="U2480" i="6"/>
  <c r="V2480" i="6" s="1"/>
  <c r="U1984" i="6"/>
  <c r="V1984" i="6" s="1"/>
  <c r="M282" i="14"/>
  <c r="R282" i="14" s="1"/>
  <c r="U2090" i="6"/>
  <c r="V2090" i="6" s="1"/>
  <c r="U2162" i="6"/>
  <c r="O314" i="14" s="1"/>
  <c r="M314" i="14"/>
  <c r="R314" i="14" s="1"/>
  <c r="U3213" i="6"/>
  <c r="O455" i="14" s="1"/>
  <c r="M455" i="14"/>
  <c r="R455" i="14" s="1"/>
  <c r="U2799" i="6"/>
  <c r="O401" i="14" s="1"/>
  <c r="M401" i="14"/>
  <c r="R401" i="14" s="1"/>
  <c r="U4809" i="6"/>
  <c r="V4809" i="6" s="1"/>
  <c r="M659" i="14"/>
  <c r="R659" i="14" s="1"/>
  <c r="U5442" i="6"/>
  <c r="V5442" i="6" s="1"/>
  <c r="U4670" i="6"/>
  <c r="O647" i="14" s="1"/>
  <c r="M647" i="14"/>
  <c r="R647" i="14" s="1"/>
  <c r="U317" i="6"/>
  <c r="V317" i="6" s="1"/>
  <c r="M30" i="14"/>
  <c r="R30" i="14" s="1"/>
  <c r="M70" i="14"/>
  <c r="R70" i="14" s="1"/>
  <c r="M234" i="14"/>
  <c r="R234" i="14" s="1"/>
  <c r="U1017" i="6"/>
  <c r="V1017" i="6" s="1"/>
  <c r="V1043" i="6"/>
  <c r="U1174" i="6"/>
  <c r="V1174" i="6" s="1"/>
  <c r="U2974" i="6"/>
  <c r="V2974" i="6" s="1"/>
  <c r="M419" i="14"/>
  <c r="R419" i="14" s="1"/>
  <c r="U3189" i="6"/>
  <c r="U2287" i="6"/>
  <c r="M344" i="14"/>
  <c r="R344" i="14" s="1"/>
  <c r="U3034" i="6"/>
  <c r="U3481" i="6"/>
  <c r="V3481" i="6" s="1"/>
  <c r="U4201" i="6"/>
  <c r="V4201" i="6" s="1"/>
  <c r="M591" i="14"/>
  <c r="R591" i="14" s="1"/>
  <c r="U3392" i="6"/>
  <c r="V3392" i="6" s="1"/>
  <c r="M474" i="14"/>
  <c r="R474" i="14" s="1"/>
  <c r="U4879" i="6"/>
  <c r="V4879" i="6" s="1"/>
  <c r="M673" i="14"/>
  <c r="R673" i="14" s="1"/>
  <c r="U5067" i="6"/>
  <c r="V5067" i="6" s="1"/>
  <c r="M694" i="14"/>
  <c r="R694" i="14" s="1"/>
  <c r="U4892" i="6"/>
  <c r="V4892" i="6" s="1"/>
  <c r="M674" i="14"/>
  <c r="R674" i="14" s="1"/>
  <c r="U3758" i="6"/>
  <c r="V3758" i="6" s="1"/>
  <c r="U1233" i="6"/>
  <c r="V1233" i="6" s="1"/>
  <c r="M165" i="14"/>
  <c r="R165" i="14" s="1"/>
  <c r="U2508" i="6"/>
  <c r="O374" i="14" s="1"/>
  <c r="M374" i="14"/>
  <c r="R374" i="14" s="1"/>
  <c r="U628" i="6"/>
  <c r="M72" i="14"/>
  <c r="R72" i="14" s="1"/>
  <c r="U941" i="6"/>
  <c r="V941" i="6" s="1"/>
  <c r="M116" i="14"/>
  <c r="R116" i="14" s="1"/>
  <c r="U2015" i="6"/>
  <c r="V2015" i="6" s="1"/>
  <c r="M284" i="14"/>
  <c r="R284" i="14" s="1"/>
  <c r="U2194" i="6"/>
  <c r="V2194" i="6" s="1"/>
  <c r="M319" i="14"/>
  <c r="R319" i="14" s="1"/>
  <c r="U1195" i="6"/>
  <c r="V1195" i="6" s="1"/>
  <c r="U1501" i="6"/>
  <c r="O201" i="14" s="1"/>
  <c r="M201" i="14"/>
  <c r="R201" i="14" s="1"/>
  <c r="U1627" i="6"/>
  <c r="V1627" i="6" s="1"/>
  <c r="U2403" i="6"/>
  <c r="V2403" i="6" s="1"/>
  <c r="M359" i="14"/>
  <c r="R359" i="14" s="1"/>
  <c r="U4312" i="6"/>
  <c r="V4312" i="6" s="1"/>
  <c r="U5226" i="6"/>
  <c r="O714" i="14" s="1"/>
  <c r="M714" i="14"/>
  <c r="R714" i="14" s="1"/>
  <c r="U4629" i="6"/>
  <c r="V4629" i="6" s="1"/>
  <c r="M643" i="14"/>
  <c r="R643" i="14" s="1"/>
  <c r="U4785" i="6"/>
  <c r="M661" i="14"/>
  <c r="R661" i="14" s="1"/>
  <c r="U5140" i="6"/>
  <c r="V5140" i="6" s="1"/>
  <c r="M704" i="14"/>
  <c r="R704" i="14" s="1"/>
  <c r="U5613" i="6"/>
  <c r="M772" i="14"/>
  <c r="R772" i="14" s="1"/>
  <c r="U515" i="6"/>
  <c r="M63" i="14"/>
  <c r="R63" i="14" s="1"/>
  <c r="U1099" i="6"/>
  <c r="O140" i="14" s="1"/>
  <c r="M140" i="14"/>
  <c r="R140" i="14" s="1"/>
  <c r="U1683" i="6"/>
  <c r="V1683" i="6" s="1"/>
  <c r="U1821" i="6"/>
  <c r="V1821" i="6" s="1"/>
  <c r="U1882" i="6"/>
  <c r="O263" i="14" s="1"/>
  <c r="M263" i="14"/>
  <c r="R263" i="14" s="1"/>
  <c r="U2165" i="6"/>
  <c r="V2165" i="6" s="1"/>
  <c r="M315" i="14"/>
  <c r="R315" i="14" s="1"/>
  <c r="V2977" i="6"/>
  <c r="U2145" i="6"/>
  <c r="O307" i="14" s="1"/>
  <c r="M307" i="14"/>
  <c r="R307" i="14" s="1"/>
  <c r="U2820" i="6"/>
  <c r="V2820" i="6" s="1"/>
  <c r="M408" i="14"/>
  <c r="R408" i="14" s="1"/>
  <c r="U5634" i="6"/>
  <c r="V5634" i="6" s="1"/>
  <c r="U4729" i="6"/>
  <c r="O654" i="14" s="1"/>
  <c r="M654" i="14"/>
  <c r="R654" i="14" s="1"/>
  <c r="U5299" i="6"/>
  <c r="V5299" i="6" s="1"/>
  <c r="O1768" i="6"/>
  <c r="O1778" i="6"/>
  <c r="P1778" i="6" s="1"/>
  <c r="U1778" i="6" s="1"/>
  <c r="V1778" i="6" s="1"/>
  <c r="U4054" i="6"/>
  <c r="O569" i="14" s="1"/>
  <c r="M569" i="14"/>
  <c r="R569" i="14" s="1"/>
  <c r="U4264" i="6"/>
  <c r="V4264" i="6" s="1"/>
  <c r="U4276" i="6"/>
  <c r="V4276" i="6" s="1"/>
  <c r="M599" i="14"/>
  <c r="R599" i="14" s="1"/>
  <c r="U792" i="6"/>
  <c r="M90" i="14"/>
  <c r="R90" i="14" s="1"/>
  <c r="O1241" i="6"/>
  <c r="O1255" i="6"/>
  <c r="P1255" i="6" s="1"/>
  <c r="U1255" i="6" s="1"/>
  <c r="U2539" i="6"/>
  <c r="M378" i="14"/>
  <c r="R378" i="14" s="1"/>
  <c r="V2641" i="6"/>
  <c r="U3989" i="6"/>
  <c r="V3989" i="6" s="1"/>
  <c r="O651" i="14"/>
  <c r="P651" i="14" s="1"/>
  <c r="U4191" i="6"/>
  <c r="V4191" i="6" s="1"/>
  <c r="U4250" i="6"/>
  <c r="V4250" i="6" s="1"/>
  <c r="U3804" i="6"/>
  <c r="V3804" i="6" s="1"/>
  <c r="U2944" i="6"/>
  <c r="M479" i="14"/>
  <c r="R479" i="14" s="1"/>
  <c r="U3828" i="6"/>
  <c r="O540" i="14" s="1"/>
  <c r="U3692" i="6"/>
  <c r="V3692" i="6" s="1"/>
  <c r="U3982" i="6"/>
  <c r="V3982" i="6" s="1"/>
  <c r="U4455" i="6"/>
  <c r="V4455" i="6" s="1"/>
  <c r="U4766" i="6"/>
  <c r="V4766" i="6" s="1"/>
  <c r="U5002" i="6"/>
  <c r="V5002" i="6" s="1"/>
  <c r="M418" i="14"/>
  <c r="R418" i="14" s="1"/>
  <c r="V5171" i="6"/>
  <c r="U5501" i="6"/>
  <c r="V5501" i="6" s="1"/>
  <c r="V5583" i="6"/>
  <c r="O769" i="14"/>
  <c r="P769" i="14" s="1"/>
  <c r="U3861" i="6"/>
  <c r="V3861" i="6" s="1"/>
  <c r="U4344" i="6"/>
  <c r="V4344" i="6" s="1"/>
  <c r="V2949" i="6"/>
  <c r="U3278" i="6"/>
  <c r="V3278" i="6" s="1"/>
  <c r="V4148" i="6"/>
  <c r="U4575" i="6"/>
  <c r="V4575" i="6" s="1"/>
  <c r="U5481" i="6"/>
  <c r="O752" i="14" s="1"/>
  <c r="M752" i="14"/>
  <c r="R752" i="14" s="1"/>
  <c r="U5856" i="6"/>
  <c r="U3889" i="6"/>
  <c r="V3889" i="6" s="1"/>
  <c r="V4472" i="6"/>
  <c r="U4158" i="6"/>
  <c r="U4332" i="6"/>
  <c r="V4332" i="6" s="1"/>
  <c r="U4449" i="6"/>
  <c r="O622" i="14" s="1"/>
  <c r="U4596" i="6"/>
  <c r="U4422" i="6"/>
  <c r="V4422" i="6" s="1"/>
  <c r="M617" i="14"/>
  <c r="R617" i="14" s="1"/>
  <c r="U4952" i="6"/>
  <c r="V4952" i="6" s="1"/>
  <c r="V5659" i="6"/>
  <c r="O784" i="14"/>
  <c r="P784" i="14" s="1"/>
  <c r="U4395" i="6"/>
  <c r="V4395" i="6" s="1"/>
  <c r="M614" i="14"/>
  <c r="R614" i="14" s="1"/>
  <c r="U4974" i="6"/>
  <c r="M684" i="14"/>
  <c r="R684" i="14" s="1"/>
  <c r="U4962" i="6"/>
  <c r="V4962" i="6" s="1"/>
  <c r="M682" i="14"/>
  <c r="R682" i="14" s="1"/>
  <c r="U5873" i="6"/>
  <c r="O1380" i="6"/>
  <c r="O1386" i="6"/>
  <c r="P1386" i="6" s="1"/>
  <c r="U1386" i="6" s="1"/>
  <c r="V1386" i="6" s="1"/>
  <c r="O1388" i="6"/>
  <c r="P1388" i="6" s="1"/>
  <c r="U1388" i="6" s="1"/>
  <c r="V1388" i="6" s="1"/>
  <c r="O1287" i="6"/>
  <c r="O1299" i="6"/>
  <c r="O1303" i="6"/>
  <c r="O476" i="14"/>
  <c r="V5521" i="6"/>
  <c r="V1237" i="6"/>
  <c r="V1805" i="6"/>
  <c r="O244" i="14"/>
  <c r="P244" i="14" s="1"/>
  <c r="V5619" i="6"/>
  <c r="V3133" i="6"/>
  <c r="V2291" i="6"/>
  <c r="V1091" i="6"/>
  <c r="V1826" i="6"/>
  <c r="O193" i="14"/>
  <c r="V459" i="6"/>
  <c r="V3533" i="6"/>
  <c r="O352" i="14"/>
  <c r="V906" i="6"/>
  <c r="V2539" i="6"/>
  <c r="O698" i="14"/>
  <c r="V4385" i="6"/>
  <c r="V1512" i="6"/>
  <c r="O419" i="14"/>
  <c r="O664" i="14"/>
  <c r="O97" i="14"/>
  <c r="O635" i="14"/>
  <c r="V2572" i="6"/>
  <c r="V2614" i="6"/>
  <c r="V2976" i="6"/>
  <c r="V644" i="6"/>
  <c r="V518" i="6"/>
  <c r="O65" i="14"/>
  <c r="V5813" i="6"/>
  <c r="V4974" i="6"/>
  <c r="V4075" i="6"/>
  <c r="V4141" i="6"/>
  <c r="V4670" i="6" l="1"/>
  <c r="O357" i="14"/>
  <c r="O406" i="14"/>
  <c r="M208" i="14"/>
  <c r="R208" i="14" s="1"/>
  <c r="N1273" i="6"/>
  <c r="N5936" i="6"/>
  <c r="P1299" i="6"/>
  <c r="U1299" i="6" s="1"/>
  <c r="V1299" i="6" s="1"/>
  <c r="M151" i="14"/>
  <c r="R151" i="14" s="1"/>
  <c r="M114" i="14"/>
  <c r="R114" i="14" s="1"/>
  <c r="M195" i="14"/>
  <c r="R195" i="14" s="1"/>
  <c r="M437" i="14"/>
  <c r="R437" i="14" s="1"/>
  <c r="O101" i="14"/>
  <c r="V475" i="6"/>
  <c r="V1087" i="6"/>
  <c r="M417" i="14"/>
  <c r="R417" i="14" s="1"/>
  <c r="M252" i="14"/>
  <c r="R252" i="14" s="1"/>
  <c r="O661" i="14"/>
  <c r="M453" i="14"/>
  <c r="R453" i="14" s="1"/>
  <c r="M650" i="14"/>
  <c r="R650" i="14" s="1"/>
  <c r="M679" i="14"/>
  <c r="R679" i="14" s="1"/>
  <c r="O464" i="14"/>
  <c r="O195" i="14"/>
  <c r="M193" i="14"/>
  <c r="R193" i="14" s="1"/>
  <c r="O437" i="14"/>
  <c r="M430" i="14"/>
  <c r="R430" i="14" s="1"/>
  <c r="O1254" i="6"/>
  <c r="N1281" i="6"/>
  <c r="N1276" i="6"/>
  <c r="N1275" i="6"/>
  <c r="P1619" i="6"/>
  <c r="U1619" i="6" s="1"/>
  <c r="V1619" i="6" s="1"/>
  <c r="P352" i="14"/>
  <c r="O638" i="14"/>
  <c r="P638" i="14" s="1"/>
  <c r="M622" i="14"/>
  <c r="R622" i="14" s="1"/>
  <c r="M219" i="14"/>
  <c r="R219" i="14" s="1"/>
  <c r="M429" i="14"/>
  <c r="R429" i="14" s="1"/>
  <c r="O439" i="14"/>
  <c r="M127" i="14"/>
  <c r="R127" i="14" s="1"/>
  <c r="O92" i="14"/>
  <c r="M120" i="14"/>
  <c r="R120" i="14" s="1"/>
  <c r="N1270" i="6"/>
  <c r="N1282" i="6"/>
  <c r="P32" i="14"/>
  <c r="P618" i="14"/>
  <c r="P531" i="14"/>
  <c r="N5937" i="6"/>
  <c r="V2162" i="6"/>
  <c r="O239" i="14"/>
  <c r="V291" i="6"/>
  <c r="N1746" i="6"/>
  <c r="P5707" i="6"/>
  <c r="U5707" i="6" s="1"/>
  <c r="V5707" i="6" s="1"/>
  <c r="P5699" i="6"/>
  <c r="U5699" i="6" s="1"/>
  <c r="V5699" i="6" s="1"/>
  <c r="P5554" i="6"/>
  <c r="U5554" i="6" s="1"/>
  <c r="P5551" i="6"/>
  <c r="U5551" i="6" s="1"/>
  <c r="V5551" i="6" s="1"/>
  <c r="P5547" i="6"/>
  <c r="U5547" i="6" s="1"/>
  <c r="V5547" i="6" s="1"/>
  <c r="P5526" i="6"/>
  <c r="U5526" i="6" s="1"/>
  <c r="P5510" i="6"/>
  <c r="U5510" i="6" s="1"/>
  <c r="V5510" i="6" s="1"/>
  <c r="P5474" i="6"/>
  <c r="U5474" i="6" s="1"/>
  <c r="V5474" i="6" s="1"/>
  <c r="P5270" i="6"/>
  <c r="U5270" i="6" s="1"/>
  <c r="V5270" i="6" s="1"/>
  <c r="P356" i="14"/>
  <c r="V841" i="6"/>
  <c r="V1785" i="6"/>
  <c r="V797" i="6"/>
  <c r="O669" i="14"/>
  <c r="V1341" i="6"/>
  <c r="P79" i="14"/>
  <c r="U1063" i="6"/>
  <c r="M131" i="14"/>
  <c r="R131" i="14" s="1"/>
  <c r="O134" i="14"/>
  <c r="O26" i="14"/>
  <c r="O1292" i="6"/>
  <c r="O682" i="14"/>
  <c r="O459" i="14"/>
  <c r="V1153" i="6"/>
  <c r="O348" i="14"/>
  <c r="V1606" i="6"/>
  <c r="O1370" i="6"/>
  <c r="P1370" i="6" s="1"/>
  <c r="U1370" i="6" s="1"/>
  <c r="V1370" i="6" s="1"/>
  <c r="F23" i="48"/>
  <c r="P141" i="14"/>
  <c r="P242" i="14"/>
  <c r="P343" i="14"/>
  <c r="O550" i="14"/>
  <c r="V4800" i="6"/>
  <c r="O22" i="14"/>
  <c r="P22" i="14" s="1"/>
  <c r="O1378" i="6"/>
  <c r="V1869" i="6"/>
  <c r="O1289" i="6"/>
  <c r="O1375" i="6"/>
  <c r="P1375" i="6" s="1"/>
  <c r="U1375" i="6" s="1"/>
  <c r="V1375" i="6" s="1"/>
  <c r="O1563" i="6"/>
  <c r="O1361" i="6"/>
  <c r="P1361" i="6" s="1"/>
  <c r="U1361" i="6" s="1"/>
  <c r="V1361" i="6" s="1"/>
  <c r="O1372" i="6"/>
  <c r="E32" i="48"/>
  <c r="M207" i="14"/>
  <c r="R207" i="14" s="1"/>
  <c r="P1625" i="6"/>
  <c r="U1625" i="6" s="1"/>
  <c r="V1625" i="6" s="1"/>
  <c r="O1362" i="6"/>
  <c r="V1425" i="6"/>
  <c r="O209" i="14"/>
  <c r="O287" i="14"/>
  <c r="O1552" i="6"/>
  <c r="P1552" i="6" s="1"/>
  <c r="U1552" i="6" s="1"/>
  <c r="V1552" i="6" s="1"/>
  <c r="O1377" i="6"/>
  <c r="P1377" i="6" s="1"/>
  <c r="U1377" i="6" s="1"/>
  <c r="G53" i="48"/>
  <c r="G51" i="48"/>
  <c r="T2" i="6"/>
  <c r="P65" i="14"/>
  <c r="V2280" i="6"/>
  <c r="O1387" i="6"/>
  <c r="F40" i="48"/>
  <c r="V331" i="6"/>
  <c r="V2145" i="6"/>
  <c r="V2736" i="6"/>
  <c r="O23" i="14"/>
  <c r="O342" i="14"/>
  <c r="P342" i="14" s="1"/>
  <c r="V2799" i="6"/>
  <c r="O61" i="14"/>
  <c r="P217" i="14"/>
  <c r="P67" i="14"/>
  <c r="P647" i="14"/>
  <c r="P660" i="14"/>
  <c r="P27" i="14"/>
  <c r="P464" i="14"/>
  <c r="P62" i="14"/>
  <c r="M452" i="14"/>
  <c r="R452" i="14" s="1"/>
  <c r="P504" i="6"/>
  <c r="O203" i="14"/>
  <c r="V2307" i="6"/>
  <c r="V2366" i="6"/>
  <c r="V2437" i="6"/>
  <c r="M84" i="14"/>
  <c r="R84" i="14" s="1"/>
  <c r="P149" i="14"/>
  <c r="V3828" i="6"/>
  <c r="O646" i="14"/>
  <c r="P646" i="14" s="1"/>
  <c r="V442" i="6"/>
  <c r="P1612" i="6"/>
  <c r="U1612" i="6" s="1"/>
  <c r="P133" i="14"/>
  <c r="N5929" i="6"/>
  <c r="N5931" i="6"/>
  <c r="N5933" i="6"/>
  <c r="O152" i="14"/>
  <c r="P152" i="14" s="1"/>
  <c r="O373" i="14"/>
  <c r="P373" i="14" s="1"/>
  <c r="O83" i="14"/>
  <c r="P419" i="14"/>
  <c r="V1813" i="6"/>
  <c r="V1156" i="6"/>
  <c r="V4054" i="6"/>
  <c r="M228" i="14"/>
  <c r="R228" i="14" s="1"/>
  <c r="P58" i="14"/>
  <c r="P1303" i="6"/>
  <c r="U1303" i="6" s="1"/>
  <c r="V1303" i="6" s="1"/>
  <c r="O397" i="14"/>
  <c r="P397" i="14" s="1"/>
  <c r="V1099" i="6"/>
  <c r="V543" i="6"/>
  <c r="O302" i="14"/>
  <c r="P302" i="14" s="1"/>
  <c r="P193" i="14"/>
  <c r="O233" i="14"/>
  <c r="P348" i="14"/>
  <c r="P1287" i="6"/>
  <c r="O1371" i="6"/>
  <c r="P1371" i="6" s="1"/>
  <c r="U1371" i="6" s="1"/>
  <c r="V1371" i="6" s="1"/>
  <c r="M83" i="14"/>
  <c r="R83" i="14" s="1"/>
  <c r="M69" i="14"/>
  <c r="R69" i="14" s="1"/>
  <c r="P1298" i="6"/>
  <c r="U1298" i="6" s="1"/>
  <c r="V1298" i="6" s="1"/>
  <c r="N5928" i="6"/>
  <c r="N5935" i="6"/>
  <c r="P5935" i="6" s="1"/>
  <c r="U5935" i="6" s="1"/>
  <c r="N5930" i="6"/>
  <c r="N5932" i="6"/>
  <c r="V4729" i="6"/>
  <c r="P391" i="14"/>
  <c r="P649" i="14"/>
  <c r="N5934" i="6"/>
  <c r="U2091" i="6"/>
  <c r="V2091" i="6" s="1"/>
  <c r="M301" i="14"/>
  <c r="R301" i="14" s="1"/>
  <c r="U1194" i="6"/>
  <c r="V1194" i="6" s="1"/>
  <c r="M157" i="14"/>
  <c r="R157" i="14" s="1"/>
  <c r="O553" i="14"/>
  <c r="P553" i="14" s="1"/>
  <c r="P455" i="14"/>
  <c r="V4686" i="6"/>
  <c r="U345" i="6"/>
  <c r="V345" i="6" s="1"/>
  <c r="P669" i="14"/>
  <c r="O409" i="14"/>
  <c r="P409" i="14" s="1"/>
  <c r="O178" i="14"/>
  <c r="P178" i="14" s="1"/>
  <c r="P303" i="14"/>
  <c r="O222" i="14"/>
  <c r="P222" i="14" s="1"/>
  <c r="V2172" i="6"/>
  <c r="V3303" i="6"/>
  <c r="V4323" i="6"/>
  <c r="O600" i="14"/>
  <c r="V2119" i="6"/>
  <c r="V1715" i="6"/>
  <c r="V2081" i="6"/>
  <c r="V524" i="6"/>
  <c r="P1289" i="6"/>
  <c r="U1289" i="6" s="1"/>
  <c r="V1289" i="6" s="1"/>
  <c r="O1374" i="6"/>
  <c r="P1374" i="6" s="1"/>
  <c r="U1374" i="6" s="1"/>
  <c r="V1374" i="6" s="1"/>
  <c r="O1368" i="6"/>
  <c r="O1376" i="6"/>
  <c r="O1369" i="6"/>
  <c r="P1369" i="6" s="1"/>
  <c r="U1369" i="6" s="1"/>
  <c r="P661" i="14"/>
  <c r="P201" i="14"/>
  <c r="M411" i="14"/>
  <c r="R411" i="14" s="1"/>
  <c r="M428" i="14"/>
  <c r="R428" i="14" s="1"/>
  <c r="M2" i="6"/>
  <c r="P262" i="14"/>
  <c r="P514" i="14"/>
  <c r="P5783" i="6"/>
  <c r="U5783" i="6" s="1"/>
  <c r="P5778" i="6"/>
  <c r="U5778" i="6" s="1"/>
  <c r="V5778" i="6" s="1"/>
  <c r="P5775" i="6"/>
  <c r="U5775" i="6" s="1"/>
  <c r="P5730" i="6"/>
  <c r="U5730" i="6" s="1"/>
  <c r="V5730" i="6" s="1"/>
  <c r="P5721" i="6"/>
  <c r="U5721" i="6" s="1"/>
  <c r="P5710" i="6"/>
  <c r="U5710" i="6" s="1"/>
  <c r="V5710" i="6" s="1"/>
  <c r="P5693" i="6"/>
  <c r="U5693" i="6" s="1"/>
  <c r="V5693" i="6" s="1"/>
  <c r="P5677" i="6"/>
  <c r="U5677" i="6" s="1"/>
  <c r="P5669" i="6"/>
  <c r="U5669" i="6" s="1"/>
  <c r="V5669" i="6" s="1"/>
  <c r="P5642" i="6"/>
  <c r="U5642" i="6" s="1"/>
  <c r="V5642" i="6" s="1"/>
  <c r="P5597" i="6"/>
  <c r="P5570" i="6"/>
  <c r="U5570" i="6" s="1"/>
  <c r="V5570" i="6" s="1"/>
  <c r="P5567" i="6"/>
  <c r="U5567" i="6" s="1"/>
  <c r="P5553" i="6"/>
  <c r="U5553" i="6" s="1"/>
  <c r="V5553" i="6" s="1"/>
  <c r="P5517" i="6"/>
  <c r="U5517" i="6" s="1"/>
  <c r="V5517" i="6" s="1"/>
  <c r="P5455" i="6"/>
  <c r="P5424" i="6"/>
  <c r="U5424" i="6" s="1"/>
  <c r="P5416" i="6"/>
  <c r="P5387" i="6"/>
  <c r="U5387" i="6" s="1"/>
  <c r="V5387" i="6" s="1"/>
  <c r="P5282" i="6"/>
  <c r="O280" i="14"/>
  <c r="P280" i="14" s="1"/>
  <c r="O565" i="14"/>
  <c r="P565" i="14" s="1"/>
  <c r="O679" i="14"/>
  <c r="P679" i="14" s="1"/>
  <c r="O1373" i="6"/>
  <c r="P1373" i="6" s="1"/>
  <c r="U1373" i="6" s="1"/>
  <c r="V1373" i="6" s="1"/>
  <c r="O1366" i="6"/>
  <c r="P271" i="14"/>
  <c r="P5953" i="6"/>
  <c r="U5953" i="6" s="1"/>
  <c r="P6113" i="6"/>
  <c r="U6113" i="6" s="1"/>
  <c r="P209" i="14"/>
  <c r="O246" i="14"/>
  <c r="P246" i="14" s="1"/>
  <c r="O30" i="14"/>
  <c r="O716" i="14"/>
  <c r="V1882" i="6"/>
  <c r="O564" i="14"/>
  <c r="P564" i="14" s="1"/>
  <c r="V2452" i="6"/>
  <c r="V513" i="6"/>
  <c r="O309" i="14"/>
  <c r="P309" i="14" s="1"/>
  <c r="P425" i="14"/>
  <c r="O1365" i="6"/>
  <c r="P1365" i="6" s="1"/>
  <c r="U1365" i="6" s="1"/>
  <c r="V1365" i="6" s="1"/>
  <c r="O1367" i="6"/>
  <c r="P1367" i="6" s="1"/>
  <c r="U1367" i="6" s="1"/>
  <c r="P314" i="14"/>
  <c r="P698" i="14"/>
  <c r="P44" i="14"/>
  <c r="P26" i="14"/>
  <c r="V5226" i="6"/>
  <c r="V1896" i="6"/>
  <c r="O1379" i="6"/>
  <c r="P1379" i="6" s="1"/>
  <c r="U1379" i="6" s="1"/>
  <c r="V1379" i="6" s="1"/>
  <c r="O1364" i="6"/>
  <c r="P1364" i="6" s="1"/>
  <c r="U1364" i="6" s="1"/>
  <c r="V1364" i="6" s="1"/>
  <c r="O1381" i="6"/>
  <c r="P328" i="14"/>
  <c r="P6072" i="6"/>
  <c r="U6072" i="6" s="1"/>
  <c r="P5933" i="6"/>
  <c r="U5933" i="6" s="1"/>
  <c r="P5951" i="6"/>
  <c r="U5951" i="6" s="1"/>
  <c r="P603" i="14"/>
  <c r="P364" i="14"/>
  <c r="P350" i="14"/>
  <c r="P296" i="14"/>
  <c r="P188" i="14"/>
  <c r="P5764" i="6"/>
  <c r="U5764" i="6" s="1"/>
  <c r="V5764" i="6" s="1"/>
  <c r="P5715" i="6"/>
  <c r="U5715" i="6" s="1"/>
  <c r="V5715" i="6" s="1"/>
  <c r="P5678" i="6"/>
  <c r="U5678" i="6" s="1"/>
  <c r="P5670" i="6"/>
  <c r="U5670" i="6" s="1"/>
  <c r="P5650" i="6"/>
  <c r="U5650" i="6" s="1"/>
  <c r="V5650" i="6" s="1"/>
  <c r="P5629" i="6"/>
  <c r="P5534" i="6"/>
  <c r="U5534" i="6" s="1"/>
  <c r="V5534" i="6" s="1"/>
  <c r="P5478" i="6"/>
  <c r="P5461" i="6"/>
  <c r="U5461" i="6" s="1"/>
  <c r="V5461" i="6" s="1"/>
  <c r="P5440" i="6"/>
  <c r="U5440" i="6" s="1"/>
  <c r="V5440" i="6" s="1"/>
  <c r="P5404" i="6"/>
  <c r="U5404" i="6" s="1"/>
  <c r="V5404" i="6" s="1"/>
  <c r="P5400" i="6"/>
  <c r="U5400" i="6" s="1"/>
  <c r="V5400" i="6" s="1"/>
  <c r="P5381" i="6"/>
  <c r="U5381" i="6" s="1"/>
  <c r="V5381" i="6" s="1"/>
  <c r="P5358" i="6"/>
  <c r="P5275" i="6"/>
  <c r="U5275" i="6" s="1"/>
  <c r="V5275" i="6" s="1"/>
  <c r="P5267" i="6"/>
  <c r="P5252" i="6"/>
  <c r="U5252" i="6" s="1"/>
  <c r="V5252" i="6" s="1"/>
  <c r="P5237" i="6"/>
  <c r="U5237" i="6" s="1"/>
  <c r="V5237" i="6" s="1"/>
  <c r="P5178" i="6"/>
  <c r="P5130" i="6"/>
  <c r="P5018" i="6"/>
  <c r="V5013" i="6"/>
  <c r="V1191" i="6"/>
  <c r="O156" i="14"/>
  <c r="U3622" i="6"/>
  <c r="V3622" i="6" s="1"/>
  <c r="M502" i="14"/>
  <c r="R502" i="14" s="1"/>
  <c r="O430" i="14"/>
  <c r="P430" i="14" s="1"/>
  <c r="V1905" i="6"/>
  <c r="O1384" i="6"/>
  <c r="P1384" i="6" s="1"/>
  <c r="N1117" i="6"/>
  <c r="N1121" i="6"/>
  <c r="N1127" i="6"/>
  <c r="N1118" i="6"/>
  <c r="N1122" i="6"/>
  <c r="N1547" i="6"/>
  <c r="N1554" i="6"/>
  <c r="N1555" i="6"/>
  <c r="P1555" i="6" s="1"/>
  <c r="U1555" i="6" s="1"/>
  <c r="V1555" i="6" s="1"/>
  <c r="N1556" i="6"/>
  <c r="N1566" i="6"/>
  <c r="R8" i="14"/>
  <c r="P8" i="14"/>
  <c r="P5779" i="6"/>
  <c r="U5779" i="6" s="1"/>
  <c r="P5776" i="6"/>
  <c r="P5738" i="6"/>
  <c r="U5738" i="6" s="1"/>
  <c r="V5738" i="6" s="1"/>
  <c r="P239" i="14"/>
  <c r="O259" i="14"/>
  <c r="P259" i="14" s="1"/>
  <c r="V2508" i="6"/>
  <c r="O1560" i="6"/>
  <c r="P1560" i="6" s="1"/>
  <c r="U1560" i="6" s="1"/>
  <c r="V1560" i="6" s="1"/>
  <c r="V5050" i="6"/>
  <c r="O36" i="14"/>
  <c r="V4533" i="6"/>
  <c r="P233" i="14"/>
  <c r="O215" i="14"/>
  <c r="P215" i="14" s="1"/>
  <c r="O118" i="14"/>
  <c r="P118" i="14" s="1"/>
  <c r="O1562" i="6"/>
  <c r="P1562" i="6" s="1"/>
  <c r="U1562" i="6" s="1"/>
  <c r="O1401" i="6"/>
  <c r="P1118" i="6"/>
  <c r="U1118" i="6" s="1"/>
  <c r="V1118" i="6" s="1"/>
  <c r="N1672" i="6"/>
  <c r="P1672" i="6" s="1"/>
  <c r="U1672" i="6" s="1"/>
  <c r="V1672" i="6" s="1"/>
  <c r="N1670" i="6"/>
  <c r="P1670" i="6" s="1"/>
  <c r="N1677" i="6"/>
  <c r="P1677" i="6" s="1"/>
  <c r="U1677" i="6" s="1"/>
  <c r="V1677" i="6" s="1"/>
  <c r="N1676" i="6"/>
  <c r="P1676" i="6" s="1"/>
  <c r="U1676" i="6" s="1"/>
  <c r="V1676" i="6" s="1"/>
  <c r="R212" i="14"/>
  <c r="P212" i="14"/>
  <c r="V2086" i="6"/>
  <c r="O1549" i="6"/>
  <c r="P1549" i="6" s="1"/>
  <c r="U1549" i="6" s="1"/>
  <c r="V1549" i="6" s="1"/>
  <c r="P196" i="14"/>
  <c r="P337" i="14"/>
  <c r="O284" i="14"/>
  <c r="P284" i="14" s="1"/>
  <c r="O187" i="14"/>
  <c r="O456" i="14"/>
  <c r="P456" i="14" s="1"/>
  <c r="P137" i="14"/>
  <c r="P148" i="14"/>
  <c r="O1291" i="6"/>
  <c r="P1291" i="6" s="1"/>
  <c r="U1291" i="6" s="1"/>
  <c r="O1400" i="6"/>
  <c r="P1400" i="6" s="1"/>
  <c r="U1400" i="6" s="1"/>
  <c r="O312" i="14"/>
  <c r="P312" i="14" s="1"/>
  <c r="V3213" i="6"/>
  <c r="O106" i="14"/>
  <c r="P106" i="14" s="1"/>
  <c r="O164" i="14"/>
  <c r="P164" i="14" s="1"/>
  <c r="O1290" i="6"/>
  <c r="P1290" i="6" s="1"/>
  <c r="U1290" i="6" s="1"/>
  <c r="V1290" i="6" s="1"/>
  <c r="O1559" i="6"/>
  <c r="P1559" i="6" s="1"/>
  <c r="U1559" i="6" s="1"/>
  <c r="V1559" i="6" s="1"/>
  <c r="O1397" i="6"/>
  <c r="P1397" i="6" s="1"/>
  <c r="U1397" i="6" s="1"/>
  <c r="V1397" i="6" s="1"/>
  <c r="O1399" i="6"/>
  <c r="M540" i="14"/>
  <c r="R540" i="14" s="1"/>
  <c r="V4067" i="6"/>
  <c r="P247" i="14"/>
  <c r="M156" i="14"/>
  <c r="R156" i="14" s="1"/>
  <c r="P105" i="14"/>
  <c r="O403" i="14"/>
  <c r="O1119" i="6"/>
  <c r="O1116" i="6"/>
  <c r="N1360" i="6"/>
  <c r="P1360" i="6" s="1"/>
  <c r="U1360" i="6" s="1"/>
  <c r="V1360" i="6" s="1"/>
  <c r="N1359" i="6"/>
  <c r="P1359" i="6" s="1"/>
  <c r="U1359" i="6" s="1"/>
  <c r="V1359" i="6" s="1"/>
  <c r="N1348" i="6"/>
  <c r="P1348" i="6" s="1"/>
  <c r="U1348" i="6" s="1"/>
  <c r="N1347" i="6"/>
  <c r="P1347" i="6" s="1"/>
  <c r="U1347" i="6" s="1"/>
  <c r="V1347" i="6" s="1"/>
  <c r="N1202" i="6"/>
  <c r="P1202" i="6" s="1"/>
  <c r="U1202" i="6" s="1"/>
  <c r="V1202" i="6" s="1"/>
  <c r="N1208" i="6"/>
  <c r="P1208" i="6" s="1"/>
  <c r="U1208" i="6" s="1"/>
  <c r="V1208" i="6" s="1"/>
  <c r="N1204" i="6"/>
  <c r="P1204" i="6" s="1"/>
  <c r="P172" i="14"/>
  <c r="O1382" i="6"/>
  <c r="P134" i="14"/>
  <c r="O1300" i="6"/>
  <c r="P1300" i="6" s="1"/>
  <c r="U1300" i="6" s="1"/>
  <c r="V1300" i="6" s="1"/>
  <c r="O1548" i="6"/>
  <c r="P1548" i="6" s="1"/>
  <c r="U1548" i="6" s="1"/>
  <c r="V1548" i="6" s="1"/>
  <c r="O1402" i="6"/>
  <c r="O614" i="14"/>
  <c r="O163" i="14"/>
  <c r="P163" i="14" s="1"/>
  <c r="V4901" i="6"/>
  <c r="F17" i="48"/>
  <c r="O49" i="14"/>
  <c r="P49" i="14" s="1"/>
  <c r="V1420" i="6"/>
  <c r="O78" i="14"/>
  <c r="V2248" i="6"/>
  <c r="V1875" i="6"/>
  <c r="V2334" i="6"/>
  <c r="O1288" i="6"/>
  <c r="P1288" i="6" s="1"/>
  <c r="U1288" i="6" s="1"/>
  <c r="O1567" i="6"/>
  <c r="O1398" i="6"/>
  <c r="P1398" i="6" s="1"/>
  <c r="U1398" i="6" s="1"/>
  <c r="V1398" i="6" s="1"/>
  <c r="O687" i="14"/>
  <c r="P687" i="14" s="1"/>
  <c r="O479" i="14"/>
  <c r="P479" i="14" s="1"/>
  <c r="O33" i="14"/>
  <c r="V4449" i="6"/>
  <c r="O734" i="14"/>
  <c r="O317" i="14"/>
  <c r="P317" i="14" s="1"/>
  <c r="E38" i="48"/>
  <c r="P97" i="14"/>
  <c r="V1501" i="6"/>
  <c r="O632" i="14"/>
  <c r="P632" i="14" s="1"/>
  <c r="P550" i="14"/>
  <c r="O694" i="14"/>
  <c r="O686" i="14"/>
  <c r="O28" i="14"/>
  <c r="P28" i="14" s="1"/>
  <c r="V5038" i="6"/>
  <c r="O402" i="14"/>
  <c r="P402" i="14" s="1"/>
  <c r="O157" i="14"/>
  <c r="P157" i="14" s="1"/>
  <c r="O46" i="14"/>
  <c r="P46" i="14" s="1"/>
  <c r="V1652" i="6"/>
  <c r="O206" i="14"/>
  <c r="O1305" i="6"/>
  <c r="P1305" i="6" s="1"/>
  <c r="U1305" i="6" s="1"/>
  <c r="V1305" i="6" s="1"/>
  <c r="O1304" i="6"/>
  <c r="P1304" i="6" s="1"/>
  <c r="U1304" i="6" s="1"/>
  <c r="V1304" i="6" s="1"/>
  <c r="O1556" i="6"/>
  <c r="P1556" i="6" s="1"/>
  <c r="U1556" i="6" s="1"/>
  <c r="V1556" i="6" s="1"/>
  <c r="O1564" i="6"/>
  <c r="P1564" i="6" s="1"/>
  <c r="U1564" i="6" s="1"/>
  <c r="V1564" i="6" s="1"/>
  <c r="O1394" i="6"/>
  <c r="O1395" i="6"/>
  <c r="P1395" i="6" s="1"/>
  <c r="U1395" i="6" s="1"/>
  <c r="V1395" i="6" s="1"/>
  <c r="O1396" i="6"/>
  <c r="P1396" i="6" s="1"/>
  <c r="U1396" i="6" s="1"/>
  <c r="V1396" i="6" s="1"/>
  <c r="P1363" i="6"/>
  <c r="U1363" i="6" s="1"/>
  <c r="V1363" i="6" s="1"/>
  <c r="M29" i="14"/>
  <c r="R29" i="14" s="1"/>
  <c r="P1241" i="6"/>
  <c r="M177" i="14"/>
  <c r="R177" i="14" s="1"/>
  <c r="M438" i="14"/>
  <c r="R438" i="14" s="1"/>
  <c r="U3025" i="6"/>
  <c r="M34" i="14"/>
  <c r="R34" i="14" s="1"/>
  <c r="N1124" i="6"/>
  <c r="N1116" i="6"/>
  <c r="N1382" i="6"/>
  <c r="N1390" i="6"/>
  <c r="N1402" i="6"/>
  <c r="N1387" i="6"/>
  <c r="P1387" i="6" s="1"/>
  <c r="U1387" i="6" s="1"/>
  <c r="V1387" i="6" s="1"/>
  <c r="N1394" i="6"/>
  <c r="N1399" i="6"/>
  <c r="N1393" i="6"/>
  <c r="P1393" i="6" s="1"/>
  <c r="U1393" i="6" s="1"/>
  <c r="V1393" i="6" s="1"/>
  <c r="N1401" i="6"/>
  <c r="N1789" i="6"/>
  <c r="N1795" i="6"/>
  <c r="N1796" i="6"/>
  <c r="N1792" i="6"/>
  <c r="N1794" i="6"/>
  <c r="N1797" i="6"/>
  <c r="N1801" i="6"/>
  <c r="N1799" i="6"/>
  <c r="N1131" i="6"/>
  <c r="N1137" i="6"/>
  <c r="N1140" i="6"/>
  <c r="N1138" i="6"/>
  <c r="H143" i="14"/>
  <c r="N1830" i="6"/>
  <c r="N1835" i="6"/>
  <c r="P1835" i="6" s="1"/>
  <c r="U1835" i="6" s="1"/>
  <c r="V1835" i="6" s="1"/>
  <c r="N1831" i="6"/>
  <c r="P1831" i="6" s="1"/>
  <c r="U1831" i="6" s="1"/>
  <c r="N1837" i="6"/>
  <c r="P1837" i="6" s="1"/>
  <c r="P103" i="14"/>
  <c r="O1383" i="6"/>
  <c r="P1383" i="6" s="1"/>
  <c r="U1383" i="6" s="1"/>
  <c r="V1383" i="6" s="1"/>
  <c r="P540" i="14"/>
  <c r="P51" i="14"/>
  <c r="O440" i="14"/>
  <c r="P440" i="14" s="1"/>
  <c r="V2180" i="6"/>
  <c r="O483" i="14"/>
  <c r="P483" i="14" s="1"/>
  <c r="V834" i="6"/>
  <c r="O363" i="14"/>
  <c r="P363" i="14" s="1"/>
  <c r="V2426" i="6"/>
  <c r="V4652" i="6"/>
  <c r="P61" i="14"/>
  <c r="V2039" i="6"/>
  <c r="O1302" i="6"/>
  <c r="P1302" i="6" s="1"/>
  <c r="U1302" i="6" s="1"/>
  <c r="V1302" i="6" s="1"/>
  <c r="O1295" i="6"/>
  <c r="P1295" i="6" s="1"/>
  <c r="U1295" i="6" s="1"/>
  <c r="V1295" i="6" s="1"/>
  <c r="O1566" i="6"/>
  <c r="P1566" i="6" s="1"/>
  <c r="U1566" i="6" s="1"/>
  <c r="O1391" i="6"/>
  <c r="P1391" i="6" s="1"/>
  <c r="U1391" i="6" s="1"/>
  <c r="V1391" i="6" s="1"/>
  <c r="O1392" i="6"/>
  <c r="P1392" i="6" s="1"/>
  <c r="U1392" i="6" s="1"/>
  <c r="V1392" i="6" s="1"/>
  <c r="O1390" i="6"/>
  <c r="P1390" i="6" s="1"/>
  <c r="U1390" i="6" s="1"/>
  <c r="V1390" i="6" s="1"/>
  <c r="P1249" i="6"/>
  <c r="U1249" i="6" s="1"/>
  <c r="V1249" i="6" s="1"/>
  <c r="O1773" i="6"/>
  <c r="O1772" i="6"/>
  <c r="O1771" i="6"/>
  <c r="P1771" i="6" s="1"/>
  <c r="U1771" i="6" s="1"/>
  <c r="N1760" i="6"/>
  <c r="N1753" i="6"/>
  <c r="N1843" i="6"/>
  <c r="P1843" i="6" s="1"/>
  <c r="U1843" i="6" s="1"/>
  <c r="V1843" i="6" s="1"/>
  <c r="N1851" i="6"/>
  <c r="P1851" i="6" s="1"/>
  <c r="U1851" i="6" s="1"/>
  <c r="V1851" i="6" s="1"/>
  <c r="N1853" i="6"/>
  <c r="P1853" i="6" s="1"/>
  <c r="U1853" i="6" s="1"/>
  <c r="V1853" i="6" s="1"/>
  <c r="N1846" i="6"/>
  <c r="P1846" i="6" s="1"/>
  <c r="U1846" i="6" s="1"/>
  <c r="V1846" i="6" s="1"/>
  <c r="N1854" i="6"/>
  <c r="P1854" i="6" s="1"/>
  <c r="U1854" i="6" s="1"/>
  <c r="V1854" i="6" s="1"/>
  <c r="N1852" i="6"/>
  <c r="P1852" i="6" s="1"/>
  <c r="U1852" i="6" s="1"/>
  <c r="R194" i="14"/>
  <c r="P194" i="14"/>
  <c r="R422" i="14"/>
  <c r="P422" i="14"/>
  <c r="N5902" i="6"/>
  <c r="P5902" i="6" s="1"/>
  <c r="U5902" i="6" s="1"/>
  <c r="N5901" i="6"/>
  <c r="P5901" i="6" s="1"/>
  <c r="U5901" i="6" s="1"/>
  <c r="N5854" i="6"/>
  <c r="P5854" i="6" s="1"/>
  <c r="U5854" i="6" s="1"/>
  <c r="N5859" i="6"/>
  <c r="P5859" i="6" s="1"/>
  <c r="U5859" i="6" s="1"/>
  <c r="U5743" i="6"/>
  <c r="M797" i="14"/>
  <c r="R797" i="14" s="1"/>
  <c r="M785" i="14"/>
  <c r="R785" i="14" s="1"/>
  <c r="M763" i="14"/>
  <c r="R763" i="14" s="1"/>
  <c r="P59" i="14"/>
  <c r="P60" i="14"/>
  <c r="P66" i="14"/>
  <c r="P299" i="14"/>
  <c r="P5585" i="6"/>
  <c r="U5585" i="6" s="1"/>
  <c r="V5585" i="6" s="1"/>
  <c r="Q817" i="14"/>
  <c r="P19" i="14"/>
  <c r="U5541" i="6"/>
  <c r="O762" i="14" s="1"/>
  <c r="P4963" i="6"/>
  <c r="U4963" i="6" s="1"/>
  <c r="V4963" i="6" s="1"/>
  <c r="P5269" i="6"/>
  <c r="P89" i="14"/>
  <c r="M713" i="14"/>
  <c r="R713" i="14" s="1"/>
  <c r="N5851" i="6"/>
  <c r="P5851" i="6" s="1"/>
  <c r="U5851" i="6" s="1"/>
  <c r="N5850" i="6"/>
  <c r="P5850" i="6" s="1"/>
  <c r="U5850" i="6" s="1"/>
  <c r="N5587" i="6"/>
  <c r="P5587" i="6" s="1"/>
  <c r="U5587" i="6" s="1"/>
  <c r="V5587" i="6" s="1"/>
  <c r="M748" i="14"/>
  <c r="R748" i="14" s="1"/>
  <c r="P5537" i="6"/>
  <c r="U5537" i="6" s="1"/>
  <c r="P10" i="14"/>
  <c r="V4816" i="6"/>
  <c r="M619" i="14"/>
  <c r="R619" i="14" s="1"/>
  <c r="M657" i="14"/>
  <c r="V4596" i="6"/>
  <c r="O639" i="14"/>
  <c r="O162" i="14"/>
  <c r="V1223" i="6"/>
  <c r="O126" i="14"/>
  <c r="P126" i="14" s="1"/>
  <c r="V991" i="6"/>
  <c r="V4619" i="6"/>
  <c r="O642" i="14"/>
  <c r="P642" i="14" s="1"/>
  <c r="V3" i="6"/>
  <c r="O3" i="14"/>
  <c r="O294" i="14"/>
  <c r="V2076" i="6"/>
  <c r="P150" i="14"/>
  <c r="V792" i="6"/>
  <c r="O90" i="14"/>
  <c r="P90" i="14" s="1"/>
  <c r="V2467" i="6"/>
  <c r="O371" i="14"/>
  <c r="P371" i="14" s="1"/>
  <c r="V2287" i="6"/>
  <c r="O344" i="14"/>
  <c r="P344" i="14" s="1"/>
  <c r="V5613" i="6"/>
  <c r="O772" i="14"/>
  <c r="V379" i="6"/>
  <c r="O39" i="14"/>
  <c r="V4850" i="6"/>
  <c r="O670" i="14"/>
  <c r="P670" i="14" s="1"/>
  <c r="O282" i="14"/>
  <c r="P282" i="14" s="1"/>
  <c r="V4785" i="6"/>
  <c r="N81" i="6"/>
  <c r="P81" i="6" s="1"/>
  <c r="U81" i="6" s="1"/>
  <c r="V5495" i="6"/>
  <c r="O754" i="14"/>
  <c r="P754" i="14" s="1"/>
  <c r="V987" i="6"/>
  <c r="O124" i="14"/>
  <c r="P124" i="14" s="1"/>
  <c r="F16" i="48"/>
  <c r="V484" i="6"/>
  <c r="O53" i="14"/>
  <c r="P53" i="14" s="1"/>
  <c r="V2818" i="6"/>
  <c r="O407" i="14"/>
  <c r="P407" i="14" s="1"/>
  <c r="O264" i="14"/>
  <c r="V1888" i="6"/>
  <c r="V1902" i="6"/>
  <c r="O270" i="14"/>
  <c r="N77" i="6"/>
  <c r="P77" i="6" s="1"/>
  <c r="U77" i="6" s="1"/>
  <c r="V515" i="6"/>
  <c r="O63" i="14"/>
  <c r="V628" i="6"/>
  <c r="O72" i="14"/>
  <c r="P72" i="14" s="1"/>
  <c r="V3235" i="6"/>
  <c r="O457" i="14"/>
  <c r="P457" i="14" s="1"/>
  <c r="P327" i="14"/>
  <c r="P182" i="14"/>
  <c r="P187" i="14"/>
  <c r="O671" i="14"/>
  <c r="O272" i="14"/>
  <c r="O1297" i="6"/>
  <c r="P1297" i="6" s="1"/>
  <c r="U1297" i="6" s="1"/>
  <c r="V1297" i="6" s="1"/>
  <c r="O1296" i="6"/>
  <c r="P1296" i="6" s="1"/>
  <c r="U1296" i="6" s="1"/>
  <c r="V1296" i="6" s="1"/>
  <c r="O1301" i="6"/>
  <c r="P1301" i="6" s="1"/>
  <c r="U1301" i="6" s="1"/>
  <c r="V1301" i="6" s="1"/>
  <c r="P1567" i="6"/>
  <c r="U1567" i="6" s="1"/>
  <c r="V1567" i="6" s="1"/>
  <c r="M477" i="14"/>
  <c r="R477" i="14" s="1"/>
  <c r="M655" i="14"/>
  <c r="R655" i="14" s="1"/>
  <c r="P1773" i="6"/>
  <c r="U1773" i="6" s="1"/>
  <c r="V1773" i="6" s="1"/>
  <c r="P125" i="14"/>
  <c r="P74" i="14"/>
  <c r="P37" i="14"/>
  <c r="P92" i="14"/>
  <c r="P240" i="14"/>
  <c r="P203" i="14"/>
  <c r="O208" i="14"/>
  <c r="P208" i="14" s="1"/>
  <c r="P686" i="14"/>
  <c r="P406" i="14"/>
  <c r="O1294" i="6"/>
  <c r="P1294" i="6" s="1"/>
  <c r="U1294" i="6" s="1"/>
  <c r="V1294" i="6" s="1"/>
  <c r="O1293" i="6"/>
  <c r="P1293" i="6" s="1"/>
  <c r="U1293" i="6" s="1"/>
  <c r="V1293" i="6" s="1"/>
  <c r="M41" i="14"/>
  <c r="R41" i="14" s="1"/>
  <c r="P298" i="14"/>
  <c r="N1745" i="6"/>
  <c r="P462" i="14"/>
  <c r="P223" i="14"/>
  <c r="P77" i="14"/>
  <c r="P138" i="14"/>
  <c r="P300" i="14"/>
  <c r="P243" i="14"/>
  <c r="P451" i="14"/>
  <c r="P220" i="14"/>
  <c r="P3679" i="6"/>
  <c r="P806" i="14"/>
  <c r="P426" i="14"/>
  <c r="P260" i="14"/>
  <c r="M179" i="14"/>
  <c r="R179" i="14" s="1"/>
  <c r="U1338" i="6"/>
  <c r="O179" i="14" s="1"/>
  <c r="P734" i="14"/>
  <c r="P36" i="14"/>
  <c r="P30" i="14"/>
  <c r="V4909" i="6"/>
  <c r="O144" i="14"/>
  <c r="P144" i="14" s="1"/>
  <c r="P694" i="14"/>
  <c r="V2190" i="6"/>
  <c r="O301" i="14"/>
  <c r="P301" i="14" s="1"/>
  <c r="P206" i="14"/>
  <c r="O1385" i="6"/>
  <c r="P1385" i="6" s="1"/>
  <c r="U1385" i="6" s="1"/>
  <c r="V1385" i="6" s="1"/>
  <c r="O1389" i="6"/>
  <c r="P1389" i="6" s="1"/>
  <c r="U1389" i="6" s="1"/>
  <c r="V1389" i="6" s="1"/>
  <c r="U1092" i="6"/>
  <c r="M136" i="14"/>
  <c r="R136" i="14" s="1"/>
  <c r="V2061" i="6"/>
  <c r="E41" i="48"/>
  <c r="U3134" i="6"/>
  <c r="M441" i="14"/>
  <c r="R441" i="14" s="1"/>
  <c r="U5137" i="6"/>
  <c r="M703" i="14"/>
  <c r="R703" i="14" s="1"/>
  <c r="U962" i="6"/>
  <c r="M119" i="14"/>
  <c r="R119" i="14" s="1"/>
  <c r="P1119" i="6"/>
  <c r="M460" i="14"/>
  <c r="R460" i="14" s="1"/>
  <c r="U1180" i="6"/>
  <c r="M154" i="14"/>
  <c r="R154" i="14" s="1"/>
  <c r="O1132" i="6"/>
  <c r="O1137" i="6"/>
  <c r="P1137" i="6" s="1"/>
  <c r="U1137" i="6" s="1"/>
  <c r="V1137" i="6" s="1"/>
  <c r="U504" i="6"/>
  <c r="M57" i="14"/>
  <c r="P509" i="14"/>
  <c r="P529" i="14"/>
  <c r="E16" i="48"/>
  <c r="O454" i="14"/>
  <c r="O1244" i="6"/>
  <c r="P1254" i="6"/>
  <c r="U1254" i="6" s="1"/>
  <c r="V1254" i="6" s="1"/>
  <c r="N1247" i="6"/>
  <c r="P1623" i="6"/>
  <c r="U1623" i="6" s="1"/>
  <c r="V1623" i="6" s="1"/>
  <c r="O1767" i="6"/>
  <c r="N1284" i="6"/>
  <c r="N1609" i="6"/>
  <c r="N1278" i="6"/>
  <c r="H236" i="14"/>
  <c r="N1272" i="6"/>
  <c r="N1751" i="6"/>
  <c r="N1252" i="6"/>
  <c r="P1252" i="6" s="1"/>
  <c r="U1252" i="6" s="1"/>
  <c r="V1252" i="6" s="1"/>
  <c r="N1378" i="6"/>
  <c r="P1378" i="6" s="1"/>
  <c r="U1378" i="6" s="1"/>
  <c r="V1378" i="6" s="1"/>
  <c r="N1563" i="6"/>
  <c r="P1563" i="6" s="1"/>
  <c r="N1755" i="6"/>
  <c r="N1838" i="6"/>
  <c r="P1838" i="6" s="1"/>
  <c r="U1838" i="6" s="1"/>
  <c r="V1838" i="6" s="1"/>
  <c r="N1749" i="6"/>
  <c r="N1246" i="6"/>
  <c r="P1246" i="6" s="1"/>
  <c r="U1246" i="6" s="1"/>
  <c r="P5441" i="6"/>
  <c r="U5441" i="6" s="1"/>
  <c r="V5441" i="6" s="1"/>
  <c r="P505" i="14"/>
  <c r="P434" i="14"/>
  <c r="P486" i="14"/>
  <c r="P231" i="14"/>
  <c r="P405" i="14"/>
  <c r="P381" i="14"/>
  <c r="P355" i="14"/>
  <c r="P361" i="14"/>
  <c r="P367" i="14"/>
  <c r="P423" i="14"/>
  <c r="P530" i="14"/>
  <c r="P5574" i="6"/>
  <c r="U5574" i="6" s="1"/>
  <c r="V5574" i="6" s="1"/>
  <c r="J204" i="14"/>
  <c r="P494" i="6"/>
  <c r="P1253" i="6"/>
  <c r="U1253" i="6" s="1"/>
  <c r="V1253" i="6" s="1"/>
  <c r="P1616" i="6"/>
  <c r="U1616" i="6" s="1"/>
  <c r="V1616" i="6" s="1"/>
  <c r="O543" i="14"/>
  <c r="N1610" i="6"/>
  <c r="P1610" i="6" s="1"/>
  <c r="U1610" i="6" s="1"/>
  <c r="V1610" i="6" s="1"/>
  <c r="N1766" i="6"/>
  <c r="N1285" i="6"/>
  <c r="H170" i="14"/>
  <c r="N1615" i="6"/>
  <c r="P1615" i="6" s="1"/>
  <c r="U1615" i="6" s="1"/>
  <c r="V1615" i="6" s="1"/>
  <c r="N1381" i="6"/>
  <c r="P1381" i="6" s="1"/>
  <c r="U1381" i="6" s="1"/>
  <c r="V1381" i="6" s="1"/>
  <c r="N1244" i="6"/>
  <c r="N1622" i="6"/>
  <c r="N1832" i="6"/>
  <c r="P1832" i="6" s="1"/>
  <c r="U1832" i="6" s="1"/>
  <c r="V1832" i="6" s="1"/>
  <c r="P115" i="14"/>
  <c r="P5675" i="6"/>
  <c r="U5675" i="6" s="1"/>
  <c r="V5675" i="6" s="1"/>
  <c r="P297" i="14"/>
  <c r="P432" i="14"/>
  <c r="N5898" i="6"/>
  <c r="P5898" i="6" s="1"/>
  <c r="U5898" i="6" s="1"/>
  <c r="P385" i="14"/>
  <c r="P574" i="14"/>
  <c r="P191" i="14"/>
  <c r="P5749" i="6"/>
  <c r="U5749" i="6" s="1"/>
  <c r="V5749" i="6" s="1"/>
  <c r="P5734" i="6"/>
  <c r="U5734" i="6" s="1"/>
  <c r="P5673" i="6"/>
  <c r="U5673" i="6" s="1"/>
  <c r="P5666" i="6"/>
  <c r="P5643" i="6"/>
  <c r="U5643" i="6" s="1"/>
  <c r="V5643" i="6" s="1"/>
  <c r="P5636" i="6"/>
  <c r="P5389" i="6"/>
  <c r="U5389" i="6" s="1"/>
  <c r="P368" i="14"/>
  <c r="P5714" i="6"/>
  <c r="P3522" i="6"/>
  <c r="P1319" i="6"/>
  <c r="P1148" i="6"/>
  <c r="U3019" i="6"/>
  <c r="M427" i="14"/>
  <c r="R427" i="14" s="1"/>
  <c r="N1433" i="6"/>
  <c r="P1433" i="6" s="1"/>
  <c r="U1433" i="6" s="1"/>
  <c r="V1433" i="6" s="1"/>
  <c r="N1439" i="6"/>
  <c r="P1439" i="6" s="1"/>
  <c r="U1439" i="6" s="1"/>
  <c r="V1439" i="6" s="1"/>
  <c r="N1434" i="6"/>
  <c r="P1434" i="6" s="1"/>
  <c r="U1434" i="6" s="1"/>
  <c r="V1434" i="6" s="1"/>
  <c r="P135" i="14"/>
  <c r="O427" i="14"/>
  <c r="P439" i="14"/>
  <c r="P374" i="14"/>
  <c r="E33" i="48"/>
  <c r="P614" i="14"/>
  <c r="O165" i="14"/>
  <c r="P165" i="14" s="1"/>
  <c r="O116" i="14"/>
  <c r="P116" i="14" s="1"/>
  <c r="N1211" i="6"/>
  <c r="P1211" i="6" s="1"/>
  <c r="U1211" i="6" s="1"/>
  <c r="N1754" i="6"/>
  <c r="P1609" i="6"/>
  <c r="N1624" i="6"/>
  <c r="P1624" i="6" s="1"/>
  <c r="U1624" i="6" s="1"/>
  <c r="N1496" i="6"/>
  <c r="P1496" i="6" s="1"/>
  <c r="U1496" i="6" s="1"/>
  <c r="V1496" i="6" s="1"/>
  <c r="H241" i="14"/>
  <c r="N1613" i="6"/>
  <c r="P1613" i="6" s="1"/>
  <c r="U1613" i="6" s="1"/>
  <c r="P748" i="14"/>
  <c r="N1215" i="6"/>
  <c r="P1215" i="6" s="1"/>
  <c r="U1215" i="6" s="1"/>
  <c r="V1215" i="6" s="1"/>
  <c r="N1788" i="6"/>
  <c r="P269" i="14"/>
  <c r="P71" i="14"/>
  <c r="P376" i="14"/>
  <c r="N2" i="14"/>
  <c r="P321" i="14"/>
  <c r="N1213" i="6"/>
  <c r="P1213" i="6" s="1"/>
  <c r="U1213" i="6" s="1"/>
  <c r="V1213" i="6" s="1"/>
  <c r="M3" i="14"/>
  <c r="R3" i="14" s="1"/>
  <c r="N1134" i="6"/>
  <c r="N1756" i="6"/>
  <c r="O1618" i="6"/>
  <c r="P1618" i="6" s="1"/>
  <c r="U1618" i="6" s="1"/>
  <c r="V1618" i="6" s="1"/>
  <c r="O1622" i="6"/>
  <c r="H237" i="14"/>
  <c r="N1829" i="6"/>
  <c r="P1829" i="6" s="1"/>
  <c r="U1829" i="6" s="1"/>
  <c r="V1829" i="6" s="1"/>
  <c r="M454" i="14"/>
  <c r="N1764" i="6"/>
  <c r="N1132" i="6"/>
  <c r="P1132" i="6" s="1"/>
  <c r="N1611" i="6"/>
  <c r="P1611" i="6" s="1"/>
  <c r="U1611" i="6" s="1"/>
  <c r="V1611" i="6" s="1"/>
  <c r="N1790" i="6"/>
  <c r="N1621" i="6"/>
  <c r="P1621" i="6" s="1"/>
  <c r="U1621" i="6" s="1"/>
  <c r="V1621" i="6" s="1"/>
  <c r="N1490" i="6"/>
  <c r="P1490" i="6" s="1"/>
  <c r="U1490" i="6" s="1"/>
  <c r="V1490" i="6" s="1"/>
  <c r="N1767" i="6"/>
  <c r="P1767" i="6" s="1"/>
  <c r="U1767" i="6" s="1"/>
  <c r="V1767" i="6" s="1"/>
  <c r="N1787" i="6"/>
  <c r="N1133" i="6"/>
  <c r="N1136" i="6"/>
  <c r="P73" i="14"/>
  <c r="N1800" i="6"/>
  <c r="N1368" i="6"/>
  <c r="P1368" i="6" s="1"/>
  <c r="U1368" i="6" s="1"/>
  <c r="N5881" i="6"/>
  <c r="P5881" i="6" s="1"/>
  <c r="P107" i="14"/>
  <c r="N5885" i="6"/>
  <c r="P5885" i="6" s="1"/>
  <c r="U5885" i="6" s="1"/>
  <c r="P697" i="14"/>
  <c r="P5727" i="6"/>
  <c r="P536" i="14"/>
  <c r="M779" i="14"/>
  <c r="R779" i="14" s="1"/>
  <c r="R557" i="14"/>
  <c r="P557" i="14"/>
  <c r="N1608" i="6"/>
  <c r="P1608" i="6" s="1"/>
  <c r="N1142" i="6"/>
  <c r="N1834" i="6"/>
  <c r="P1834" i="6" s="1"/>
  <c r="U1834" i="6" s="1"/>
  <c r="V1834" i="6" s="1"/>
  <c r="U5656" i="6"/>
  <c r="M781" i="14"/>
  <c r="R781" i="14" s="1"/>
  <c r="O760" i="14"/>
  <c r="P760" i="14" s="1"/>
  <c r="V5539" i="6"/>
  <c r="R323" i="14"/>
  <c r="P323" i="14"/>
  <c r="P5704" i="6"/>
  <c r="U5704" i="6" s="1"/>
  <c r="V5704" i="6" s="1"/>
  <c r="P5552" i="6"/>
  <c r="U5552" i="6" s="1"/>
  <c r="V5552" i="6" s="1"/>
  <c r="P5511" i="6"/>
  <c r="P5465" i="6"/>
  <c r="U5465" i="6" s="1"/>
  <c r="V5465" i="6" s="1"/>
  <c r="P331" i="14"/>
  <c r="P349" i="14"/>
  <c r="O805" i="14"/>
  <c r="P805" i="14" s="1"/>
  <c r="V5790" i="6"/>
  <c r="V5743" i="6"/>
  <c r="O797" i="14"/>
  <c r="P797" i="14" s="1"/>
  <c r="O793" i="14"/>
  <c r="P793" i="14" s="1"/>
  <c r="F55" i="48"/>
  <c r="V5723" i="6"/>
  <c r="U5413" i="6"/>
  <c r="M742" i="14"/>
  <c r="R742" i="14" s="1"/>
  <c r="N1828" i="6"/>
  <c r="P1828" i="6" s="1"/>
  <c r="U1828" i="6" s="1"/>
  <c r="V1828" i="6" s="1"/>
  <c r="P13" i="14"/>
  <c r="P183" i="14"/>
  <c r="P190" i="14"/>
  <c r="U5742" i="6"/>
  <c r="M796" i="14"/>
  <c r="R796" i="14" s="1"/>
  <c r="P5711" i="6"/>
  <c r="U5711" i="6" s="1"/>
  <c r="V5711" i="6" s="1"/>
  <c r="N5916" i="6"/>
  <c r="N5923" i="6"/>
  <c r="N5925" i="6"/>
  <c r="N5927" i="6"/>
  <c r="P6013" i="6"/>
  <c r="U6013" i="6" s="1"/>
  <c r="P6022" i="6"/>
  <c r="U6022" i="6" s="1"/>
  <c r="P6028" i="6"/>
  <c r="U6028" i="6" s="1"/>
  <c r="P6076" i="6"/>
  <c r="U6076" i="6" s="1"/>
  <c r="P6078" i="6"/>
  <c r="U6078" i="6" s="1"/>
  <c r="P5317" i="6"/>
  <c r="U5317" i="6" s="1"/>
  <c r="V5317" i="6" s="1"/>
  <c r="P5577" i="6"/>
  <c r="U5577" i="6" s="1"/>
  <c r="P469" i="14"/>
  <c r="P81" i="14"/>
  <c r="P310" i="14"/>
  <c r="P5810" i="6"/>
  <c r="U5810" i="6" s="1"/>
  <c r="P5771" i="6"/>
  <c r="U5771" i="6" s="1"/>
  <c r="V5771" i="6" s="1"/>
  <c r="P5753" i="6"/>
  <c r="P5646" i="6"/>
  <c r="P5564" i="6"/>
  <c r="U5564" i="6" s="1"/>
  <c r="V5564" i="6" s="1"/>
  <c r="P5464" i="6"/>
  <c r="P5246" i="6"/>
  <c r="N5918" i="6"/>
  <c r="N5920" i="6"/>
  <c r="P652" i="14"/>
  <c r="M735" i="14"/>
  <c r="R735" i="14" s="1"/>
  <c r="P5215" i="6"/>
  <c r="P5328" i="6"/>
  <c r="P5088" i="6"/>
  <c r="U5088" i="6" s="1"/>
  <c r="V5088" i="6" s="1"/>
  <c r="P5302" i="6"/>
  <c r="P5385" i="6"/>
  <c r="U5385" i="6" s="1"/>
  <c r="V5385" i="6" s="1"/>
  <c r="P5116" i="6"/>
  <c r="P5766" i="6"/>
  <c r="P5733" i="6"/>
  <c r="U5733" i="6" s="1"/>
  <c r="P5729" i="6"/>
  <c r="U5729" i="6" s="1"/>
  <c r="V5729" i="6" s="1"/>
  <c r="P5383" i="6"/>
  <c r="P3577" i="6"/>
  <c r="U3577" i="6" s="1"/>
  <c r="P1916" i="6"/>
  <c r="N5922" i="6"/>
  <c r="P6115" i="6"/>
  <c r="U6115" i="6" s="1"/>
  <c r="P377" i="14"/>
  <c r="P5247" i="6"/>
  <c r="U5247" i="6" s="1"/>
  <c r="V5247" i="6" s="1"/>
  <c r="P5228" i="6"/>
  <c r="P5390" i="6"/>
  <c r="P5401" i="6"/>
  <c r="U5401" i="6" s="1"/>
  <c r="V5401" i="6" s="1"/>
  <c r="P424" i="14"/>
  <c r="P335" i="14"/>
  <c r="M696" i="14"/>
  <c r="R696" i="14" s="1"/>
  <c r="P5760" i="6"/>
  <c r="U5760" i="6" s="1"/>
  <c r="O180" i="14"/>
  <c r="N5924" i="6"/>
  <c r="N5926" i="6"/>
  <c r="P5929" i="6"/>
  <c r="U5929" i="6" s="1"/>
  <c r="P5947" i="6"/>
  <c r="U5947" i="6" s="1"/>
  <c r="P6056" i="6"/>
  <c r="U6056" i="6" s="1"/>
  <c r="P6058" i="6"/>
  <c r="U6058" i="6" s="1"/>
  <c r="P6070" i="6"/>
  <c r="U6070" i="6" s="1"/>
  <c r="P6084" i="6"/>
  <c r="U6084" i="6" s="1"/>
  <c r="P6086" i="6"/>
  <c r="U6086" i="6" s="1"/>
  <c r="O295" i="14"/>
  <c r="N5917" i="6"/>
  <c r="N5919" i="6"/>
  <c r="N5921" i="6"/>
  <c r="P5995" i="6"/>
  <c r="U5995" i="6" s="1"/>
  <c r="P6010" i="6"/>
  <c r="U6010" i="6" s="1"/>
  <c r="P6050" i="6"/>
  <c r="U6050" i="6" s="1"/>
  <c r="P5917" i="6"/>
  <c r="U5917" i="6" s="1"/>
  <c r="U376" i="6"/>
  <c r="V376" i="6" s="1"/>
  <c r="M38" i="14"/>
  <c r="R38" i="14" s="1"/>
  <c r="O362" i="14"/>
  <c r="P362" i="14" s="1"/>
  <c r="O45" i="14"/>
  <c r="P45" i="14" s="1"/>
  <c r="O359" i="14"/>
  <c r="P316" i="14"/>
  <c r="P147" i="14"/>
  <c r="O1117" i="6"/>
  <c r="P1117" i="6" s="1"/>
  <c r="U1117" i="6" s="1"/>
  <c r="V1117" i="6" s="1"/>
  <c r="O1115" i="6"/>
  <c r="O1120" i="6"/>
  <c r="P1120" i="6" s="1"/>
  <c r="U1120" i="6" s="1"/>
  <c r="V1120" i="6" s="1"/>
  <c r="O1248" i="6"/>
  <c r="P1248" i="6" s="1"/>
  <c r="U1248" i="6" s="1"/>
  <c r="V1248" i="6" s="1"/>
  <c r="O1251" i="6"/>
  <c r="P1251" i="6" s="1"/>
  <c r="U1251" i="6" s="1"/>
  <c r="V1251" i="6" s="1"/>
  <c r="O1243" i="6"/>
  <c r="P1243" i="6" s="1"/>
  <c r="U1243" i="6" s="1"/>
  <c r="O1247" i="6"/>
  <c r="P1247" i="6" s="1"/>
  <c r="U1247" i="6" s="1"/>
  <c r="O1242" i="6"/>
  <c r="P1242" i="6" s="1"/>
  <c r="O1245" i="6"/>
  <c r="P676" i="14"/>
  <c r="P645" i="14"/>
  <c r="O1745" i="6"/>
  <c r="P1745" i="6" s="1"/>
  <c r="U1745" i="6" s="1"/>
  <c r="V1745" i="6" s="1"/>
  <c r="O1751" i="6"/>
  <c r="P1751" i="6" s="1"/>
  <c r="U1751" i="6" s="1"/>
  <c r="V1751" i="6" s="1"/>
  <c r="O1749" i="6"/>
  <c r="P1749" i="6" s="1"/>
  <c r="U1749" i="6" s="1"/>
  <c r="V1749" i="6" s="1"/>
  <c r="O1748" i="6"/>
  <c r="M635" i="14"/>
  <c r="R635" i="14" s="1"/>
  <c r="N1438" i="6"/>
  <c r="P1438" i="6" s="1"/>
  <c r="U1438" i="6" s="1"/>
  <c r="V1438" i="6" s="1"/>
  <c r="R469" i="14"/>
  <c r="N5880" i="6"/>
  <c r="P5880" i="6" s="1"/>
  <c r="P329" i="14"/>
  <c r="P200" i="14"/>
  <c r="R657" i="14"/>
  <c r="P657" i="14"/>
  <c r="R180" i="14"/>
  <c r="P180" i="14"/>
  <c r="R470" i="14"/>
  <c r="P470" i="14"/>
  <c r="Q826" i="14"/>
  <c r="N5895" i="6"/>
  <c r="P5895" i="6" s="1"/>
  <c r="U5895" i="6" s="1"/>
  <c r="N5889" i="6"/>
  <c r="P5889" i="6" s="1"/>
  <c r="U5889" i="6" s="1"/>
  <c r="U5841" i="6"/>
  <c r="M816" i="14"/>
  <c r="R816" i="14" s="1"/>
  <c r="V5542" i="6"/>
  <c r="O763" i="14"/>
  <c r="U5460" i="6"/>
  <c r="M749" i="14"/>
  <c r="R749" i="14" s="1"/>
  <c r="V5412" i="6"/>
  <c r="O741" i="14"/>
  <c r="P741" i="14" s="1"/>
  <c r="N1362" i="6"/>
  <c r="P1362" i="6" s="1"/>
  <c r="U1362" i="6" s="1"/>
  <c r="V1362" i="6" s="1"/>
  <c r="N1380" i="6"/>
  <c r="P1380" i="6" s="1"/>
  <c r="U1380" i="6" s="1"/>
  <c r="V1380" i="6" s="1"/>
  <c r="R14" i="14"/>
  <c r="P14" i="14"/>
  <c r="P5736" i="6"/>
  <c r="U5736" i="6" s="1"/>
  <c r="V5736" i="6" s="1"/>
  <c r="P5680" i="6"/>
  <c r="U5336" i="6"/>
  <c r="M729" i="14"/>
  <c r="R729" i="14" s="1"/>
  <c r="O719" i="14"/>
  <c r="V61" i="6"/>
  <c r="O9" i="14"/>
  <c r="P9" i="14" s="1"/>
  <c r="M499" i="14"/>
  <c r="R499" i="14" s="1"/>
  <c r="N1435" i="6"/>
  <c r="P1435" i="6" s="1"/>
  <c r="U1435" i="6" s="1"/>
  <c r="V1435" i="6" s="1"/>
  <c r="P295" i="14"/>
  <c r="P325" i="14"/>
  <c r="U933" i="6"/>
  <c r="M112" i="14"/>
  <c r="R112" i="14" s="1"/>
  <c r="O3581" i="6"/>
  <c r="P3581" i="6" s="1"/>
  <c r="U3581" i="6" s="1"/>
  <c r="V3581" i="6" s="1"/>
  <c r="O3584" i="6"/>
  <c r="P3584" i="6" s="1"/>
  <c r="U3584" i="6" s="1"/>
  <c r="V3584" i="6" s="1"/>
  <c r="O3587" i="6"/>
  <c r="P3587" i="6" s="1"/>
  <c r="U3587" i="6" s="1"/>
  <c r="V3587" i="6" s="1"/>
  <c r="O3590" i="6"/>
  <c r="P3590" i="6" s="1"/>
  <c r="U3590" i="6" s="1"/>
  <c r="V3590" i="6" s="1"/>
  <c r="O3593" i="6"/>
  <c r="P3593" i="6" s="1"/>
  <c r="U3593" i="6" s="1"/>
  <c r="V3593" i="6" s="1"/>
  <c r="O3582" i="6"/>
  <c r="P3582" i="6" s="1"/>
  <c r="U3582" i="6" s="1"/>
  <c r="V3582" i="6" s="1"/>
  <c r="O3585" i="6"/>
  <c r="P3585" i="6" s="1"/>
  <c r="U3585" i="6" s="1"/>
  <c r="V3585" i="6" s="1"/>
  <c r="O3588" i="6"/>
  <c r="P3588" i="6" s="1"/>
  <c r="U3588" i="6" s="1"/>
  <c r="O3591" i="6"/>
  <c r="P3591" i="6" s="1"/>
  <c r="U3591" i="6" s="1"/>
  <c r="V3591" i="6" s="1"/>
  <c r="O3580" i="6"/>
  <c r="P3580" i="6" s="1"/>
  <c r="O3583" i="6"/>
  <c r="P3583" i="6" s="1"/>
  <c r="U3583" i="6" s="1"/>
  <c r="V3583" i="6" s="1"/>
  <c r="O3586" i="6"/>
  <c r="P3586" i="6" s="1"/>
  <c r="U3586" i="6" s="1"/>
  <c r="V3586" i="6" s="1"/>
  <c r="O3589" i="6"/>
  <c r="P3589" i="6" s="1"/>
  <c r="U3589" i="6" s="1"/>
  <c r="V3589" i="6" s="1"/>
  <c r="O3592" i="6"/>
  <c r="P3592" i="6" s="1"/>
  <c r="U3592" i="6" s="1"/>
  <c r="V3592" i="6" s="1"/>
  <c r="P86" i="14"/>
  <c r="N1441" i="6"/>
  <c r="P1441" i="6" s="1"/>
  <c r="U1441" i="6" s="1"/>
  <c r="P493" i="14"/>
  <c r="P498" i="14"/>
  <c r="P7" i="14"/>
  <c r="P286" i="14"/>
  <c r="U267" i="6"/>
  <c r="M25" i="14"/>
  <c r="R25" i="14" s="1"/>
  <c r="P1245" i="6"/>
  <c r="U1245" i="6" s="1"/>
  <c r="V1245" i="6" s="1"/>
  <c r="N1372" i="6"/>
  <c r="P1372" i="6" s="1"/>
  <c r="U1372" i="6" s="1"/>
  <c r="V1372" i="6" s="1"/>
  <c r="N1366" i="6"/>
  <c r="P1366" i="6" s="1"/>
  <c r="U1366" i="6" s="1"/>
  <c r="V1366" i="6" s="1"/>
  <c r="N1833" i="6"/>
  <c r="P1833" i="6" s="1"/>
  <c r="U1833" i="6" s="1"/>
  <c r="V1833" i="6" s="1"/>
  <c r="N1440" i="6"/>
  <c r="P1440" i="6" s="1"/>
  <c r="U1440" i="6" s="1"/>
  <c r="P575" i="14"/>
  <c r="P82" i="14"/>
  <c r="P93" i="14"/>
  <c r="N5892" i="6"/>
  <c r="P5892" i="6" s="1"/>
  <c r="U5892" i="6" s="1"/>
  <c r="P786" i="14"/>
  <c r="P517" i="14"/>
  <c r="P213" i="14"/>
  <c r="F12" i="48"/>
  <c r="V46" i="6"/>
  <c r="P5245" i="6"/>
  <c r="P2707" i="6"/>
  <c r="U2707" i="6" s="1"/>
  <c r="V2707" i="6" s="1"/>
  <c r="V5255" i="6"/>
  <c r="P5290" i="6"/>
  <c r="P5332" i="6"/>
  <c r="P4923" i="6"/>
  <c r="P5086" i="6"/>
  <c r="P5041" i="6"/>
  <c r="P528" i="14"/>
  <c r="P130" i="14"/>
  <c r="M712" i="14"/>
  <c r="R712" i="14" s="1"/>
  <c r="P5346" i="6"/>
  <c r="P4969" i="6"/>
  <c r="P5202" i="6"/>
  <c r="P448" i="14"/>
  <c r="P330" i="14"/>
  <c r="P629" i="14"/>
  <c r="O712" i="14"/>
  <c r="P306" i="14"/>
  <c r="P5697" i="6"/>
  <c r="U5697" i="6" s="1"/>
  <c r="P5653" i="6"/>
  <c r="P5311" i="6"/>
  <c r="M695" i="14"/>
  <c r="R695" i="14" s="1"/>
  <c r="P2294" i="6"/>
  <c r="U4090" i="6"/>
  <c r="V4090" i="6" s="1"/>
  <c r="M572" i="14"/>
  <c r="R572" i="14" s="1"/>
  <c r="R490" i="14"/>
  <c r="P490" i="14"/>
  <c r="R382" i="14"/>
  <c r="P382" i="14"/>
  <c r="O662" i="14"/>
  <c r="P662" i="14" s="1"/>
  <c r="P395" i="14"/>
  <c r="P675" i="14"/>
  <c r="P294" i="14"/>
  <c r="P31" i="14"/>
  <c r="P427" i="14"/>
  <c r="P224" i="14"/>
  <c r="P289" i="14"/>
  <c r="M410" i="14"/>
  <c r="R410" i="14" s="1"/>
  <c r="R9" i="14"/>
  <c r="U848" i="6"/>
  <c r="V848" i="6" s="1"/>
  <c r="M99" i="14"/>
  <c r="R99" i="14" s="1"/>
  <c r="P162" i="14"/>
  <c r="P360" i="14"/>
  <c r="P403" i="14"/>
  <c r="P166" i="14"/>
  <c r="P468" i="14"/>
  <c r="P608" i="14"/>
  <c r="R94" i="14"/>
  <c r="P94" i="14"/>
  <c r="R332" i="14"/>
  <c r="P332" i="14"/>
  <c r="N1772" i="6"/>
  <c r="P1772" i="6" s="1"/>
  <c r="U1772" i="6" s="1"/>
  <c r="V1772" i="6" s="1"/>
  <c r="N1768" i="6"/>
  <c r="P1768" i="6" s="1"/>
  <c r="U1768" i="6" s="1"/>
  <c r="V1768" i="6" s="1"/>
  <c r="U1864" i="6"/>
  <c r="M256" i="14"/>
  <c r="R256" i="14" s="1"/>
  <c r="P257" i="14"/>
  <c r="J216" i="14"/>
  <c r="P533" i="14"/>
  <c r="P555" i="14"/>
  <c r="P221" i="14"/>
  <c r="P5509" i="6"/>
  <c r="P3821" i="6"/>
  <c r="U3821" i="6" s="1"/>
  <c r="V3821" i="6" s="1"/>
  <c r="P446" i="14"/>
  <c r="O779" i="14"/>
  <c r="M730" i="14"/>
  <c r="R730" i="14" s="1"/>
  <c r="O153" i="14"/>
  <c r="P153" i="14" s="1"/>
  <c r="P6157" i="6"/>
  <c r="U6157" i="6" s="1"/>
  <c r="V905" i="6"/>
  <c r="O104" i="14"/>
  <c r="P104" i="14" s="1"/>
  <c r="V5212" i="6"/>
  <c r="O351" i="14"/>
  <c r="P351" i="14" s="1"/>
  <c r="E19" i="48"/>
  <c r="V5775" i="6"/>
  <c r="V1948" i="6"/>
  <c r="O278" i="14"/>
  <c r="P278" i="14" s="1"/>
  <c r="P692" i="14"/>
  <c r="P96" i="14"/>
  <c r="P736" i="14"/>
  <c r="P264" i="14"/>
  <c r="U23" i="6"/>
  <c r="M5" i="14"/>
  <c r="R5" i="14" s="1"/>
  <c r="U671" i="6"/>
  <c r="V671" i="6" s="1"/>
  <c r="M76" i="14"/>
  <c r="R76" i="14" s="1"/>
  <c r="V2681" i="6"/>
  <c r="G28" i="48"/>
  <c r="V5176" i="6"/>
  <c r="V5109" i="6"/>
  <c r="O700" i="14"/>
  <c r="P700" i="14" s="1"/>
  <c r="N80" i="6"/>
  <c r="P80" i="6" s="1"/>
  <c r="U80" i="6" s="1"/>
  <c r="V80" i="6" s="1"/>
  <c r="N83" i="6"/>
  <c r="P83" i="6" s="1"/>
  <c r="U83" i="6" s="1"/>
  <c r="N78" i="6"/>
  <c r="P78" i="6" s="1"/>
  <c r="U78" i="6" s="1"/>
  <c r="N82" i="6"/>
  <c r="P82" i="6" s="1"/>
  <c r="U82" i="6" s="1"/>
  <c r="U3366" i="6"/>
  <c r="V3366" i="6" s="1"/>
  <c r="M472" i="14"/>
  <c r="R472" i="14" s="1"/>
  <c r="U2880" i="6"/>
  <c r="M414" i="14"/>
  <c r="R414" i="14" s="1"/>
  <c r="U4953" i="6"/>
  <c r="M681" i="14"/>
  <c r="R681" i="14" s="1"/>
  <c r="P140" i="14"/>
  <c r="V4700" i="6"/>
  <c r="O650" i="14"/>
  <c r="P650" i="14" s="1"/>
  <c r="O176" i="14"/>
  <c r="P176" i="14" s="1"/>
  <c r="V1321" i="6"/>
  <c r="P211" i="14"/>
  <c r="O292" i="14"/>
  <c r="P292" i="14" s="1"/>
  <c r="V2052" i="6"/>
  <c r="V5122" i="6"/>
  <c r="P452" i="14"/>
  <c r="V835" i="6"/>
  <c r="E18" i="48"/>
  <c r="U2844" i="6"/>
  <c r="O412" i="14" s="1"/>
  <c r="M412" i="14"/>
  <c r="R412" i="14" s="1"/>
  <c r="V1149" i="6"/>
  <c r="O70" i="14"/>
  <c r="P70" i="14" s="1"/>
  <c r="O52" i="14"/>
  <c r="P52" i="14" s="1"/>
  <c r="P341" i="14"/>
  <c r="O4" i="14"/>
  <c r="V14" i="6"/>
  <c r="P95" i="14"/>
  <c r="V5323" i="6"/>
  <c r="P181" i="14"/>
  <c r="O210" i="14"/>
  <c r="P210" i="14" s="1"/>
  <c r="V1590" i="6"/>
  <c r="G39" i="48"/>
  <c r="V4043" i="6"/>
  <c r="U2044" i="6"/>
  <c r="M291" i="14"/>
  <c r="R291" i="14" s="1"/>
  <c r="V729" i="6"/>
  <c r="O84" i="14"/>
  <c r="P84" i="14" s="1"/>
  <c r="V5056" i="6"/>
  <c r="O693" i="14"/>
  <c r="P693" i="14" s="1"/>
  <c r="U3298" i="6"/>
  <c r="M463" i="14"/>
  <c r="R463" i="14" s="1"/>
  <c r="V3318" i="6"/>
  <c r="F37" i="48"/>
  <c r="U2484" i="6"/>
  <c r="M372" i="14"/>
  <c r="R372" i="14" s="1"/>
  <c r="U2902" i="6"/>
  <c r="V2902" i="6" s="1"/>
  <c r="M415" i="14"/>
  <c r="R415" i="14" s="1"/>
  <c r="V3362" i="6"/>
  <c r="V5307" i="6"/>
  <c r="O725" i="14"/>
  <c r="P725" i="14" s="1"/>
  <c r="O98" i="14"/>
  <c r="P98" i="14" s="1"/>
  <c r="V847" i="6"/>
  <c r="V984" i="6"/>
  <c r="O123" i="14"/>
  <c r="P123" i="14" s="1"/>
  <c r="V2448" i="6"/>
  <c r="O369" i="14"/>
  <c r="P369" i="14" s="1"/>
  <c r="O1551" i="6"/>
  <c r="P1551" i="6" s="1"/>
  <c r="U1551" i="6" s="1"/>
  <c r="V1551" i="6" s="1"/>
  <c r="O1547" i="6"/>
  <c r="P1547" i="6" s="1"/>
  <c r="O1565" i="6"/>
  <c r="P1565" i="6" s="1"/>
  <c r="U1565" i="6" s="1"/>
  <c r="V1565" i="6" s="1"/>
  <c r="O1550" i="6"/>
  <c r="P1550" i="6" s="1"/>
  <c r="U1550" i="6" s="1"/>
  <c r="V1550" i="6" s="1"/>
  <c r="O1558" i="6"/>
  <c r="P1558" i="6" s="1"/>
  <c r="U1558" i="6" s="1"/>
  <c r="V1558" i="6" s="1"/>
  <c r="O1554" i="6"/>
  <c r="P1554" i="6" s="1"/>
  <c r="U1554" i="6" s="1"/>
  <c r="V1554" i="6" s="1"/>
  <c r="O1561" i="6"/>
  <c r="P1561" i="6" s="1"/>
  <c r="U1561" i="6" s="1"/>
  <c r="O1557" i="6"/>
  <c r="P1557" i="6" s="1"/>
  <c r="U1557" i="6" s="1"/>
  <c r="V1557" i="6" s="1"/>
  <c r="O1553" i="6"/>
  <c r="P1553" i="6" s="1"/>
  <c r="U1553" i="6" s="1"/>
  <c r="V1553" i="6" s="1"/>
  <c r="U3823" i="6"/>
  <c r="V3823" i="6" s="1"/>
  <c r="U890" i="6"/>
  <c r="V890" i="6" s="1"/>
  <c r="M102" i="14"/>
  <c r="R102" i="14" s="1"/>
  <c r="P449" i="14"/>
  <c r="P261" i="14"/>
  <c r="P39" i="14"/>
  <c r="P1292" i="6"/>
  <c r="U1292" i="6" s="1"/>
  <c r="M813" i="14"/>
  <c r="R813" i="14" s="1"/>
  <c r="P654" i="14"/>
  <c r="P714" i="14"/>
  <c r="M55" i="14"/>
  <c r="R55" i="14" s="1"/>
  <c r="M158" i="14"/>
  <c r="R158" i="14" s="1"/>
  <c r="O1123" i="6"/>
  <c r="P1123" i="6" s="1"/>
  <c r="U1123" i="6" s="1"/>
  <c r="O1122" i="6"/>
  <c r="P1122" i="6" s="1"/>
  <c r="U1122" i="6" s="1"/>
  <c r="V1122" i="6" s="1"/>
  <c r="O1121" i="6"/>
  <c r="P1121" i="6" s="1"/>
  <c r="U1121" i="6" s="1"/>
  <c r="V1121" i="6" s="1"/>
  <c r="P1830" i="6"/>
  <c r="U1830" i="6" s="1"/>
  <c r="V1830" i="6" s="1"/>
  <c r="N5899" i="6"/>
  <c r="P5899" i="6" s="1"/>
  <c r="U5899" i="6" s="1"/>
  <c r="P16" i="14"/>
  <c r="P267" i="14"/>
  <c r="P326" i="14"/>
  <c r="P311" i="14"/>
  <c r="Q828" i="14"/>
  <c r="N5914" i="6"/>
  <c r="N5906" i="6"/>
  <c r="N5909" i="6"/>
  <c r="N5912" i="6"/>
  <c r="N5907" i="6"/>
  <c r="N5915" i="6"/>
  <c r="N5910" i="6"/>
  <c r="N5905" i="6"/>
  <c r="P5905" i="6" s="1"/>
  <c r="N5913" i="6"/>
  <c r="N5908" i="6"/>
  <c r="N5911" i="6"/>
  <c r="P5911" i="6" s="1"/>
  <c r="U5911" i="6" s="1"/>
  <c r="P357" i="14"/>
  <c r="P287" i="14"/>
  <c r="M543" i="14"/>
  <c r="R543" i="14" s="1"/>
  <c r="M101" i="14"/>
  <c r="R101" i="14" s="1"/>
  <c r="M225" i="14"/>
  <c r="R225" i="14" s="1"/>
  <c r="M85" i="14"/>
  <c r="R85" i="14" s="1"/>
  <c r="O158" i="14"/>
  <c r="M78" i="14"/>
  <c r="R78" i="14" s="1"/>
  <c r="O1126" i="6"/>
  <c r="P1126" i="6" s="1"/>
  <c r="U1126" i="6" s="1"/>
  <c r="V1126" i="6" s="1"/>
  <c r="O1125" i="6"/>
  <c r="P1125" i="6" s="1"/>
  <c r="U1125" i="6" s="1"/>
  <c r="V1125" i="6" s="1"/>
  <c r="O1124" i="6"/>
  <c r="P1124" i="6" s="1"/>
  <c r="U1124" i="6" s="1"/>
  <c r="V1124" i="6" s="1"/>
  <c r="P1620" i="6"/>
  <c r="U1620" i="6" s="1"/>
  <c r="V1620" i="6" s="1"/>
  <c r="N5897" i="6"/>
  <c r="P5897" i="6" s="1"/>
  <c r="U5897" i="6" s="1"/>
  <c r="N5896" i="6"/>
  <c r="P5896" i="6" s="1"/>
  <c r="P384" i="14"/>
  <c r="P515" i="14"/>
  <c r="P508" i="14"/>
  <c r="P716" i="14"/>
  <c r="P263" i="14"/>
  <c r="P664" i="14"/>
  <c r="P258" i="14"/>
  <c r="P307" i="14"/>
  <c r="O334" i="14"/>
  <c r="P334" i="14" s="1"/>
  <c r="P42" i="14"/>
  <c r="M4" i="14"/>
  <c r="R4" i="14" s="1"/>
  <c r="M68" i="14"/>
  <c r="R68" i="14" s="1"/>
  <c r="P318" i="14"/>
  <c r="O1128" i="6"/>
  <c r="P1128" i="6" s="1"/>
  <c r="U1128" i="6" s="1"/>
  <c r="V1128" i="6" s="1"/>
  <c r="O1127" i="6"/>
  <c r="P1127" i="6" s="1"/>
  <c r="U1127" i="6" s="1"/>
  <c r="V1127" i="6" s="1"/>
  <c r="P1748" i="6"/>
  <c r="U1748" i="6" s="1"/>
  <c r="V1748" i="6" s="1"/>
  <c r="N1203" i="6"/>
  <c r="P1203" i="6" s="1"/>
  <c r="U1203" i="6" s="1"/>
  <c r="V1203" i="6" s="1"/>
  <c r="P582" i="14"/>
  <c r="P763" i="14"/>
  <c r="N5903" i="6"/>
  <c r="P5903" i="6" s="1"/>
  <c r="U5903" i="6" s="1"/>
  <c r="P338" i="14"/>
  <c r="P435" i="14"/>
  <c r="P232" i="14"/>
  <c r="U397" i="6"/>
  <c r="M40" i="14"/>
  <c r="R40" i="14" s="1"/>
  <c r="O418" i="14"/>
  <c r="P418" i="14" s="1"/>
  <c r="O644" i="14"/>
  <c r="P644" i="14" s="1"/>
  <c r="Q827" i="14"/>
  <c r="N5904" i="6"/>
  <c r="P5904" i="6" s="1"/>
  <c r="U5904" i="6" s="1"/>
  <c r="N5900" i="6"/>
  <c r="P5900" i="6" s="1"/>
  <c r="U5900" i="6" s="1"/>
  <c r="U5581" i="6"/>
  <c r="E54" i="48" s="1"/>
  <c r="M768" i="14"/>
  <c r="R768" i="14" s="1"/>
  <c r="P1617" i="6"/>
  <c r="U1617" i="6" s="1"/>
  <c r="V1617" i="6" s="1"/>
  <c r="P535" i="14"/>
  <c r="O99" i="14"/>
  <c r="P99" i="14" s="1"/>
  <c r="P594" i="14"/>
  <c r="P251" i="14"/>
  <c r="P5793" i="6"/>
  <c r="U5793" i="6" s="1"/>
  <c r="P5840" i="6"/>
  <c r="P5936" i="6"/>
  <c r="P5954" i="6"/>
  <c r="U5954" i="6" s="1"/>
  <c r="P5972" i="6"/>
  <c r="U5972" i="6" s="1"/>
  <c r="P6019" i="6"/>
  <c r="U6019" i="6" s="1"/>
  <c r="P6064" i="6"/>
  <c r="U6064" i="6" s="1"/>
  <c r="P6291" i="6"/>
  <c r="U6291" i="6" s="1"/>
  <c r="P5930" i="6"/>
  <c r="U5930" i="6" s="1"/>
  <c r="P5948" i="6"/>
  <c r="U5948" i="6" s="1"/>
  <c r="P6001" i="6"/>
  <c r="U6001" i="6" s="1"/>
  <c r="P6048" i="6"/>
  <c r="U6048" i="6" s="1"/>
  <c r="P6068" i="6"/>
  <c r="U6068" i="6" s="1"/>
  <c r="P5923" i="6"/>
  <c r="U5923" i="6" s="1"/>
  <c r="P5927" i="6"/>
  <c r="U5927" i="6" s="1"/>
  <c r="P5941" i="6"/>
  <c r="U5941" i="6" s="1"/>
  <c r="P5945" i="6"/>
  <c r="U5945" i="6" s="1"/>
  <c r="P6335" i="6"/>
  <c r="U6335" i="6" s="1"/>
  <c r="P6318" i="6"/>
  <c r="U6318" i="6" s="1"/>
  <c r="P6288" i="6"/>
  <c r="U6288" i="6" s="1"/>
  <c r="P6306" i="6"/>
  <c r="U6306" i="6" s="1"/>
  <c r="P6236" i="6"/>
  <c r="U6236" i="6" s="1"/>
  <c r="P6244" i="6"/>
  <c r="U6244" i="6" s="1"/>
  <c r="P5924" i="6"/>
  <c r="U5924" i="6" s="1"/>
  <c r="P5942" i="6"/>
  <c r="U5942" i="6" s="1"/>
  <c r="P6016" i="6"/>
  <c r="U6016" i="6" s="1"/>
  <c r="P6025" i="6"/>
  <c r="U6025" i="6" s="1"/>
  <c r="P6054" i="6"/>
  <c r="U6054" i="6" s="1"/>
  <c r="P6060" i="6"/>
  <c r="U6060" i="6" s="1"/>
  <c r="P6074" i="6"/>
  <c r="U6074" i="6" s="1"/>
  <c r="P6082" i="6"/>
  <c r="U6082" i="6" s="1"/>
  <c r="P5921" i="6"/>
  <c r="U5921" i="6" s="1"/>
  <c r="P5939" i="6"/>
  <c r="U5939" i="6" s="1"/>
  <c r="P5965" i="6"/>
  <c r="U5965" i="6" s="1"/>
  <c r="P6007" i="6"/>
  <c r="U6007" i="6" s="1"/>
  <c r="P6042" i="6"/>
  <c r="U6042" i="6" s="1"/>
  <c r="P6066" i="6"/>
  <c r="U6066" i="6" s="1"/>
  <c r="V2789" i="6"/>
  <c r="O400" i="14"/>
  <c r="P400" i="14" s="1"/>
  <c r="E29" i="48"/>
  <c r="V2917" i="6"/>
  <c r="O416" i="14"/>
  <c r="P416" i="14" s="1"/>
  <c r="V2142" i="6"/>
  <c r="F31" i="48"/>
  <c r="V2541" i="6"/>
  <c r="O378" i="14"/>
  <c r="P378" i="14" s="1"/>
  <c r="V654" i="6"/>
  <c r="O75" i="14"/>
  <c r="P75" i="14" s="1"/>
  <c r="V2211" i="6"/>
  <c r="O320" i="14"/>
  <c r="P320" i="14" s="1"/>
  <c r="U2601" i="6"/>
  <c r="M386" i="14"/>
  <c r="R386" i="14" s="1"/>
  <c r="U2671" i="6"/>
  <c r="M389" i="14"/>
  <c r="R389" i="14" s="1"/>
  <c r="V2869" i="6"/>
  <c r="O413" i="14"/>
  <c r="P413" i="14" s="1"/>
  <c r="V2718" i="6"/>
  <c r="O394" i="14"/>
  <c r="P394" i="14" s="1"/>
  <c r="V938" i="6"/>
  <c r="O114" i="14"/>
  <c r="P114" i="14" s="1"/>
  <c r="V4017" i="6"/>
  <c r="O563" i="14"/>
  <c r="P563" i="14" s="1"/>
  <c r="V1737" i="6"/>
  <c r="O234" i="14"/>
  <c r="P234" i="14" s="1"/>
  <c r="U1693" i="6"/>
  <c r="V1693" i="6" s="1"/>
  <c r="M227" i="14"/>
  <c r="R227" i="14" s="1"/>
  <c r="V1665" i="6"/>
  <c r="O225" i="14"/>
  <c r="V4574" i="6"/>
  <c r="O634" i="14"/>
  <c r="P634" i="14" s="1"/>
  <c r="V1702" i="6"/>
  <c r="O228" i="14"/>
  <c r="P228" i="14" s="1"/>
  <c r="V1999" i="6"/>
  <c r="O283" i="14"/>
  <c r="P283" i="14" s="1"/>
  <c r="V5670" i="6"/>
  <c r="U1239" i="6"/>
  <c r="O167" i="14" s="1"/>
  <c r="M167" i="14"/>
  <c r="R167" i="14" s="1"/>
  <c r="V3588" i="6"/>
  <c r="M122" i="14"/>
  <c r="R122" i="14" s="1"/>
  <c r="U981" i="6"/>
  <c r="V981" i="6" s="1"/>
  <c r="U2401" i="6"/>
  <c r="V2401" i="6" s="1"/>
  <c r="M358" i="14"/>
  <c r="R358" i="14" s="1"/>
  <c r="V2351" i="6"/>
  <c r="O353" i="14"/>
  <c r="P353" i="14" s="1"/>
  <c r="V468" i="6"/>
  <c r="O48" i="14"/>
  <c r="P48" i="14" s="1"/>
  <c r="V5456" i="6"/>
  <c r="U4236" i="6"/>
  <c r="M596" i="14"/>
  <c r="R596" i="14" s="1"/>
  <c r="V666" i="6"/>
  <c r="O76" i="14"/>
  <c r="P76" i="14" s="1"/>
  <c r="O796" i="14"/>
  <c r="P796" i="14" s="1"/>
  <c r="V5742" i="6"/>
  <c r="U4751" i="6"/>
  <c r="M656" i="14"/>
  <c r="R656" i="14" s="1"/>
  <c r="R648" i="14"/>
  <c r="P648" i="14"/>
  <c r="N1769" i="6"/>
  <c r="P1769" i="6" s="1"/>
  <c r="N1774" i="6"/>
  <c r="P1774" i="6" s="1"/>
  <c r="U1774" i="6" s="1"/>
  <c r="V1774" i="6" s="1"/>
  <c r="N1776" i="6"/>
  <c r="P1776" i="6" s="1"/>
  <c r="U1776" i="6" s="1"/>
  <c r="V1776" i="6" s="1"/>
  <c r="N1777" i="6"/>
  <c r="P1777" i="6" s="1"/>
  <c r="U1777" i="6" s="1"/>
  <c r="V1777" i="6" s="1"/>
  <c r="P290" i="14"/>
  <c r="P610" i="14"/>
  <c r="R214" i="14"/>
  <c r="P214" i="14"/>
  <c r="U5746" i="6"/>
  <c r="V5746" i="6" s="1"/>
  <c r="M799" i="14"/>
  <c r="R799" i="14" s="1"/>
  <c r="U165" i="6"/>
  <c r="M18" i="14"/>
  <c r="R18" i="14" s="1"/>
  <c r="P33" i="14"/>
  <c r="O420" i="14"/>
  <c r="P420" i="14" s="1"/>
  <c r="O38" i="14"/>
  <c r="P38" i="14" s="1"/>
  <c r="P671" i="14"/>
  <c r="P347" i="14"/>
  <c r="P600" i="14"/>
  <c r="P83" i="14"/>
  <c r="P401" i="14"/>
  <c r="P690" i="14"/>
  <c r="P229" i="14"/>
  <c r="P370" i="14"/>
  <c r="P772" i="14"/>
  <c r="P270" i="14"/>
  <c r="P476" i="14"/>
  <c r="O1744" i="6"/>
  <c r="P1744" i="6" s="1"/>
  <c r="U1744" i="6" s="1"/>
  <c r="P658" i="14"/>
  <c r="R484" i="14"/>
  <c r="P484" i="14"/>
  <c r="R523" i="14"/>
  <c r="P523" i="14"/>
  <c r="R6" i="14"/>
  <c r="P6" i="14"/>
  <c r="R130" i="14"/>
  <c r="P492" i="14"/>
  <c r="P398" i="14"/>
  <c r="V5338" i="6"/>
  <c r="E52" i="48"/>
  <c r="U3063" i="6"/>
  <c r="M431" i="14"/>
  <c r="R431" i="14" s="1"/>
  <c r="U924" i="6"/>
  <c r="O111" i="14" s="1"/>
  <c r="M111" i="14"/>
  <c r="R111" i="14" s="1"/>
  <c r="U253" i="6"/>
  <c r="M24" i="14"/>
  <c r="R24" i="14" s="1"/>
  <c r="P333" i="14"/>
  <c r="R581" i="14"/>
  <c r="P581" i="14"/>
  <c r="V787" i="6"/>
  <c r="O87" i="14"/>
  <c r="P87" i="14" s="1"/>
  <c r="P682" i="14"/>
  <c r="P639" i="14"/>
  <c r="P569" i="14"/>
  <c r="P23" i="14"/>
  <c r="P459" i="14"/>
  <c r="P195" i="14"/>
  <c r="P272" i="14"/>
  <c r="P78" i="14"/>
  <c r="P63" i="14"/>
  <c r="P268" i="14"/>
  <c r="P622" i="14"/>
  <c r="P543" i="14"/>
  <c r="M554" i="14"/>
  <c r="R554" i="14" s="1"/>
  <c r="P437" i="14"/>
  <c r="R275" i="14"/>
  <c r="P275" i="14"/>
  <c r="O4317" i="6"/>
  <c r="P4317" i="6" s="1"/>
  <c r="N5739" i="6"/>
  <c r="P5739" i="6" s="1"/>
  <c r="U5739" i="6" s="1"/>
  <c r="N5737" i="6"/>
  <c r="P5737" i="6" s="1"/>
  <c r="P110" i="14"/>
  <c r="P607" i="14"/>
  <c r="P80" i="14"/>
  <c r="P249" i="14"/>
  <c r="N5884" i="6"/>
  <c r="P5884" i="6" s="1"/>
  <c r="U5884" i="6" s="1"/>
  <c r="N5891" i="6"/>
  <c r="P5891" i="6" s="1"/>
  <c r="U5891" i="6" s="1"/>
  <c r="O759" i="14"/>
  <c r="M764" i="14"/>
  <c r="R764" i="14" s="1"/>
  <c r="N5883" i="6"/>
  <c r="P5883" i="6" s="1"/>
  <c r="N5887" i="6"/>
  <c r="P5887" i="6" s="1"/>
  <c r="U5887" i="6" s="1"/>
  <c r="N5894" i="6"/>
  <c r="P5894" i="6" s="1"/>
  <c r="U5894" i="6" s="1"/>
  <c r="N5803" i="6"/>
  <c r="P5803" i="6" s="1"/>
  <c r="N5804" i="6"/>
  <c r="P5804" i="6" s="1"/>
  <c r="U5804" i="6" s="1"/>
  <c r="V5804" i="6" s="1"/>
  <c r="N1428" i="6"/>
  <c r="P1428" i="6" s="1"/>
  <c r="U1428" i="6" s="1"/>
  <c r="V1428" i="6" s="1"/>
  <c r="N1798" i="6"/>
  <c r="N1376" i="6"/>
  <c r="P1376" i="6" s="1"/>
  <c r="P313" i="14"/>
  <c r="N5886" i="6"/>
  <c r="P5886" i="6" s="1"/>
  <c r="U5886" i="6" s="1"/>
  <c r="C5" i="48" s="1"/>
  <c r="N5890" i="6"/>
  <c r="P5890" i="6" s="1"/>
  <c r="U5890" i="6" s="1"/>
  <c r="P556" i="14"/>
  <c r="Q770" i="14"/>
  <c r="M759" i="14"/>
  <c r="R759" i="14" s="1"/>
  <c r="O695" i="14"/>
  <c r="P695" i="14" s="1"/>
  <c r="P5975" i="6"/>
  <c r="U5975" i="6" s="1"/>
  <c r="P5998" i="6"/>
  <c r="U5998" i="6" s="1"/>
  <c r="P6324" i="6"/>
  <c r="U6324" i="6" s="1"/>
  <c r="P6249" i="6"/>
  <c r="U6249" i="6" s="1"/>
  <c r="P6251" i="6"/>
  <c r="U6251" i="6" s="1"/>
  <c r="P6149" i="6"/>
  <c r="U6149" i="6" s="1"/>
  <c r="P6303" i="6"/>
  <c r="U6303" i="6" s="1"/>
  <c r="P6232" i="6"/>
  <c r="U6232" i="6" s="1"/>
  <c r="P5932" i="6"/>
  <c r="U5932" i="6" s="1"/>
  <c r="P5938" i="6"/>
  <c r="U5938" i="6" s="1"/>
  <c r="P5944" i="6"/>
  <c r="U5944" i="6" s="1"/>
  <c r="P5950" i="6"/>
  <c r="U5950" i="6" s="1"/>
  <c r="P5956" i="6"/>
  <c r="U5956" i="6" s="1"/>
  <c r="P6300" i="6"/>
  <c r="U6300" i="6" s="1"/>
  <c r="P6297" i="6"/>
  <c r="U6297" i="6" s="1"/>
  <c r="P5931" i="6"/>
  <c r="U5931" i="6" s="1"/>
  <c r="P5934" i="6"/>
  <c r="U5934" i="6" s="1"/>
  <c r="P5937" i="6"/>
  <c r="P5940" i="6"/>
  <c r="U5940" i="6" s="1"/>
  <c r="P5943" i="6"/>
  <c r="U5943" i="6" s="1"/>
  <c r="P5946" i="6"/>
  <c r="U5946" i="6" s="1"/>
  <c r="P5949" i="6"/>
  <c r="U5949" i="6" s="1"/>
  <c r="P5952" i="6"/>
  <c r="U5952" i="6" s="1"/>
  <c r="P5955" i="6"/>
  <c r="U5955" i="6" s="1"/>
  <c r="P5961" i="6"/>
  <c r="U5961" i="6" s="1"/>
  <c r="P6294" i="6"/>
  <c r="U6294" i="6" s="1"/>
  <c r="P6237" i="6"/>
  <c r="U6237" i="6" s="1"/>
  <c r="P6239" i="6"/>
  <c r="U6239" i="6" s="1"/>
  <c r="P6241" i="6"/>
  <c r="U6241" i="6" s="1"/>
  <c r="P6274" i="6"/>
  <c r="U6274" i="6" s="1"/>
  <c r="U3715" i="6"/>
  <c r="O521" i="14" s="1"/>
  <c r="M521" i="14"/>
  <c r="R521" i="14" s="1"/>
  <c r="V423" i="6"/>
  <c r="O41" i="14"/>
  <c r="P41" i="14" s="1"/>
  <c r="U1484" i="6"/>
  <c r="M199" i="14"/>
  <c r="R199" i="14" s="1"/>
  <c r="U5168" i="6"/>
  <c r="M707" i="14"/>
  <c r="R707" i="14" s="1"/>
  <c r="U2747" i="6"/>
  <c r="M396" i="14"/>
  <c r="R396" i="14" s="1"/>
  <c r="V972" i="6"/>
  <c r="O120" i="14"/>
  <c r="P120" i="14" s="1"/>
  <c r="M804" i="14"/>
  <c r="R804" i="14" s="1"/>
  <c r="U5784" i="6"/>
  <c r="P752" i="14"/>
  <c r="V3677" i="6"/>
  <c r="O516" i="14"/>
  <c r="P516" i="14" s="1"/>
  <c r="D15" i="48"/>
  <c r="O641" i="14"/>
  <c r="P641" i="14" s="1"/>
  <c r="U4491" i="6"/>
  <c r="M627" i="14"/>
  <c r="R627" i="14" s="1"/>
  <c r="U3612" i="6"/>
  <c r="M507" i="14"/>
  <c r="U3341" i="6"/>
  <c r="O466" i="14" s="1"/>
  <c r="M466" i="14"/>
  <c r="R466" i="14" s="1"/>
  <c r="P359" i="14"/>
  <c r="P179" i="14"/>
  <c r="U5869" i="6"/>
  <c r="M819" i="14"/>
  <c r="R819" i="14" s="1"/>
  <c r="U3786" i="6"/>
  <c r="M532" i="14"/>
  <c r="R532" i="14" s="1"/>
  <c r="M506" i="14"/>
  <c r="R506" i="14" s="1"/>
  <c r="U3608" i="6"/>
  <c r="P345" i="14"/>
  <c r="O3874" i="6"/>
  <c r="P3874" i="6" s="1"/>
  <c r="U3874" i="6" s="1"/>
  <c r="J668" i="14"/>
  <c r="P12" i="14"/>
  <c r="P5879" i="6"/>
  <c r="P6235" i="6"/>
  <c r="U6235" i="6" s="1"/>
  <c r="P6333" i="6"/>
  <c r="U6333" i="6" s="1"/>
  <c r="P6290" i="6"/>
  <c r="U6290" i="6" s="1"/>
  <c r="P6293" i="6"/>
  <c r="U6293" i="6" s="1"/>
  <c r="P6296" i="6"/>
  <c r="U6296" i="6" s="1"/>
  <c r="P6299" i="6"/>
  <c r="U6299" i="6" s="1"/>
  <c r="P6302" i="6"/>
  <c r="U6302" i="6" s="1"/>
  <c r="P6305" i="6"/>
  <c r="U6305" i="6" s="1"/>
  <c r="P6308" i="6"/>
  <c r="U6308" i="6" s="1"/>
  <c r="P6310" i="6"/>
  <c r="U6310" i="6" s="1"/>
  <c r="P6312" i="6"/>
  <c r="U6312" i="6" s="1"/>
  <c r="P6314" i="6"/>
  <c r="U6314" i="6" s="1"/>
  <c r="P6234" i="6"/>
  <c r="U6234" i="6" s="1"/>
  <c r="P6268" i="6"/>
  <c r="U6268" i="6" s="1"/>
  <c r="P6138" i="6"/>
  <c r="U6138" i="6" s="1"/>
  <c r="P6243" i="6"/>
  <c r="U6243" i="6" s="1"/>
  <c r="P6248" i="6"/>
  <c r="U6248" i="6" s="1"/>
  <c r="P6133" i="6"/>
  <c r="U6133" i="6" s="1"/>
  <c r="P6252" i="6"/>
  <c r="U6252" i="6" s="1"/>
  <c r="V2794" i="6"/>
  <c r="F29" i="48"/>
  <c r="U2560" i="6"/>
  <c r="V2560" i="6" s="1"/>
  <c r="M379" i="14"/>
  <c r="R379" i="14" s="1"/>
  <c r="P88" i="14"/>
  <c r="V3437" i="6"/>
  <c r="F48" i="48"/>
  <c r="U3565" i="6"/>
  <c r="V3565" i="6" s="1"/>
  <c r="M497" i="14"/>
  <c r="R497" i="14" s="1"/>
  <c r="O666" i="14"/>
  <c r="O453" i="14"/>
  <c r="P453" i="14" s="1"/>
  <c r="P192" i="14"/>
  <c r="V5655" i="6"/>
  <c r="O780" i="14"/>
  <c r="P780" i="14" s="1"/>
  <c r="O429" i="14"/>
  <c r="P429" i="14" s="1"/>
  <c r="F15" i="48"/>
  <c r="O685" i="14"/>
  <c r="P685" i="14" s="1"/>
  <c r="O606" i="14"/>
  <c r="P606" i="14" s="1"/>
  <c r="U5744" i="6"/>
  <c r="M798" i="14"/>
  <c r="R798" i="14" s="1"/>
  <c r="O305" i="14"/>
  <c r="P305" i="14" s="1"/>
  <c r="O102" i="14"/>
  <c r="P102" i="14" s="1"/>
  <c r="O411" i="14"/>
  <c r="P411" i="14" s="1"/>
  <c r="U3797" i="6"/>
  <c r="M534" i="14"/>
  <c r="R534" i="14" s="1"/>
  <c r="V5614" i="6"/>
  <c r="O773" i="14"/>
  <c r="P773" i="14" s="1"/>
  <c r="V5459" i="6"/>
  <c r="P762" i="14"/>
  <c r="P579" i="14"/>
  <c r="P365" i="14"/>
  <c r="P782" i="14"/>
  <c r="O4468" i="6"/>
  <c r="P4468" i="6" s="1"/>
  <c r="U4468" i="6" s="1"/>
  <c r="V4468" i="6" s="1"/>
  <c r="J169" i="14"/>
  <c r="O3640" i="6"/>
  <c r="P3640" i="6" s="1"/>
  <c r="U3640" i="6" s="1"/>
  <c r="P5878" i="6"/>
  <c r="P6320" i="6"/>
  <c r="U6320" i="6" s="1"/>
  <c r="P6326" i="6"/>
  <c r="U6326" i="6" s="1"/>
  <c r="P6233" i="6"/>
  <c r="U6233" i="6" s="1"/>
  <c r="P6240" i="6"/>
  <c r="U6240" i="6" s="1"/>
  <c r="P6247" i="6"/>
  <c r="U6247" i="6" s="1"/>
  <c r="P6250" i="6"/>
  <c r="U6250" i="6" s="1"/>
  <c r="P6289" i="6"/>
  <c r="U6289" i="6" s="1"/>
  <c r="P6292" i="6"/>
  <c r="U6292" i="6" s="1"/>
  <c r="P6295" i="6"/>
  <c r="U6295" i="6" s="1"/>
  <c r="P6298" i="6"/>
  <c r="U6298" i="6" s="1"/>
  <c r="P6301" i="6"/>
  <c r="U6301" i="6" s="1"/>
  <c r="P6304" i="6"/>
  <c r="U6304" i="6" s="1"/>
  <c r="P6307" i="6"/>
  <c r="U6307" i="6" s="1"/>
  <c r="P6246" i="6"/>
  <c r="U6246" i="6" s="1"/>
  <c r="P6256" i="6"/>
  <c r="U6256" i="6" s="1"/>
  <c r="P6280" i="6"/>
  <c r="U6280" i="6" s="1"/>
  <c r="P6126" i="6"/>
  <c r="U6126" i="6" s="1"/>
  <c r="P6178" i="6"/>
  <c r="U6178" i="6" s="1"/>
  <c r="P6190" i="6"/>
  <c r="U6190" i="6" s="1"/>
  <c r="P5906" i="6"/>
  <c r="U5906" i="6" s="1"/>
  <c r="P5909" i="6"/>
  <c r="U5909" i="6" s="1"/>
  <c r="P5912" i="6"/>
  <c r="U5912" i="6" s="1"/>
  <c r="P5915" i="6"/>
  <c r="U5915" i="6" s="1"/>
  <c r="P5918" i="6"/>
  <c r="U5918" i="6" s="1"/>
  <c r="P6328" i="6"/>
  <c r="U6328" i="6" s="1"/>
  <c r="P6309" i="6"/>
  <c r="U6309" i="6" s="1"/>
  <c r="P6311" i="6"/>
  <c r="U6311" i="6" s="1"/>
  <c r="P6313" i="6"/>
  <c r="U6313" i="6" s="1"/>
  <c r="P6242" i="6"/>
  <c r="U6242" i="6" s="1"/>
  <c r="P6262" i="6"/>
  <c r="U6262" i="6" s="1"/>
  <c r="P6146" i="6"/>
  <c r="U6146" i="6" s="1"/>
  <c r="P6151" i="6"/>
  <c r="U6151" i="6" s="1"/>
  <c r="P6330" i="6"/>
  <c r="U6330" i="6" s="1"/>
  <c r="P6194" i="6"/>
  <c r="U6194" i="6" s="1"/>
  <c r="P6212" i="6"/>
  <c r="U6212" i="6" s="1"/>
  <c r="P6230" i="6"/>
  <c r="U6230" i="6" s="1"/>
  <c r="P6238" i="6"/>
  <c r="U6238" i="6" s="1"/>
  <c r="P6245" i="6"/>
  <c r="U6245" i="6" s="1"/>
  <c r="P6122" i="6"/>
  <c r="U6122" i="6" s="1"/>
  <c r="P6172" i="6"/>
  <c r="U6172" i="6" s="1"/>
  <c r="P6184" i="6"/>
  <c r="U6184" i="6" s="1"/>
  <c r="V3475" i="6"/>
  <c r="F35" i="48"/>
  <c r="U3719" i="6"/>
  <c r="V3719" i="6" s="1"/>
  <c r="U3921" i="6"/>
  <c r="M549" i="14"/>
  <c r="R549" i="14" s="1"/>
  <c r="M604" i="14"/>
  <c r="R604" i="14" s="1"/>
  <c r="U4337" i="6"/>
  <c r="U4432" i="6"/>
  <c r="M620" i="14"/>
  <c r="R620" i="14" s="1"/>
  <c r="M817" i="14"/>
  <c r="R817" i="14" s="1"/>
  <c r="U5842" i="6"/>
  <c r="V9" i="6"/>
  <c r="D12" i="48"/>
  <c r="V1000" i="6"/>
  <c r="O127" i="14"/>
  <c r="P127" i="14" s="1"/>
  <c r="M393" i="14"/>
  <c r="R393" i="14" s="1"/>
  <c r="U2709" i="6"/>
  <c r="V2792" i="6"/>
  <c r="E30" i="48"/>
  <c r="V3395" i="6"/>
  <c r="O474" i="14"/>
  <c r="P474" i="14" s="1"/>
  <c r="U3973" i="6"/>
  <c r="V3973" i="6" s="1"/>
  <c r="M559" i="14"/>
  <c r="R559" i="14" s="1"/>
  <c r="V5199" i="6"/>
  <c r="V4268" i="6"/>
  <c r="V4943" i="6"/>
  <c r="O680" i="14"/>
  <c r="P680" i="14" s="1"/>
  <c r="V5147" i="6"/>
  <c r="O704" i="14"/>
  <c r="P704" i="14" s="1"/>
  <c r="M615" i="14"/>
  <c r="R615" i="14" s="1"/>
  <c r="U4405" i="6"/>
  <c r="V348" i="6"/>
  <c r="E17" i="48"/>
  <c r="V2821" i="6"/>
  <c r="O408" i="14"/>
  <c r="P408" i="14" s="1"/>
  <c r="V2167" i="6"/>
  <c r="O315" i="14"/>
  <c r="P315" i="14" s="1"/>
  <c r="U3537" i="6"/>
  <c r="M495" i="14"/>
  <c r="R495" i="14" s="1"/>
  <c r="U1670" i="6"/>
  <c r="M226" i="14"/>
  <c r="R226" i="14" s="1"/>
  <c r="U4079" i="6"/>
  <c r="O571" i="14" s="1"/>
  <c r="M571" i="14"/>
  <c r="R571" i="14" s="1"/>
  <c r="U3983" i="6"/>
  <c r="M560" i="14"/>
  <c r="R560" i="14" s="1"/>
  <c r="U4441" i="6"/>
  <c r="M621" i="14"/>
  <c r="R621" i="14" s="1"/>
  <c r="M818" i="14"/>
  <c r="R818" i="14" s="1"/>
  <c r="U5858" i="6"/>
  <c r="O818" i="14" s="1"/>
  <c r="V564" i="6"/>
  <c r="O69" i="14"/>
  <c r="P69" i="14" s="1"/>
  <c r="V1048" i="6"/>
  <c r="F27" i="48"/>
  <c r="V1446" i="6"/>
  <c r="O198" i="14"/>
  <c r="P198" i="14" s="1"/>
  <c r="V1521" i="6"/>
  <c r="O207" i="14"/>
  <c r="P207" i="14" s="1"/>
  <c r="U1034" i="6"/>
  <c r="V1034" i="6" s="1"/>
  <c r="M117" i="14"/>
  <c r="R117" i="14" s="1"/>
  <c r="U1609" i="6"/>
  <c r="V1609" i="6" s="1"/>
  <c r="V1822" i="6"/>
  <c r="O252" i="14"/>
  <c r="P252" i="14" s="1"/>
  <c r="V1861" i="6"/>
  <c r="O255" i="14"/>
  <c r="P255" i="14" s="1"/>
  <c r="U1837" i="6"/>
  <c r="V1837" i="6" s="1"/>
  <c r="M253" i="14"/>
  <c r="R253" i="14" s="1"/>
  <c r="U2688" i="6"/>
  <c r="M392" i="14"/>
  <c r="R392" i="14" s="1"/>
  <c r="V2929" i="6"/>
  <c r="O417" i="14"/>
  <c r="P417" i="14" s="1"/>
  <c r="V4277" i="6"/>
  <c r="O599" i="14"/>
  <c r="P599" i="14" s="1"/>
  <c r="U3600" i="6"/>
  <c r="M500" i="14"/>
  <c r="R500" i="14" s="1"/>
  <c r="U3738" i="6"/>
  <c r="M525" i="14"/>
  <c r="R525" i="14" s="1"/>
  <c r="U3761" i="6"/>
  <c r="V3761" i="6" s="1"/>
  <c r="M527" i="14"/>
  <c r="R527" i="14" s="1"/>
  <c r="V4005" i="6"/>
  <c r="V3402" i="6"/>
  <c r="O475" i="14"/>
  <c r="P475" i="14" s="1"/>
  <c r="U3905" i="6"/>
  <c r="M548" i="14"/>
  <c r="R548" i="14" s="1"/>
  <c r="V3561" i="6"/>
  <c r="V3716" i="6"/>
  <c r="V3485" i="6"/>
  <c r="U3454" i="6"/>
  <c r="M480" i="14"/>
  <c r="R480" i="14" s="1"/>
  <c r="M547" i="14"/>
  <c r="R547" i="14" s="1"/>
  <c r="U3890" i="6"/>
  <c r="V3890" i="6" s="1"/>
  <c r="V4918" i="6"/>
  <c r="O677" i="14"/>
  <c r="P677" i="14" s="1"/>
  <c r="V5093" i="6"/>
  <c r="V4637" i="6"/>
  <c r="O643" i="14"/>
  <c r="P643" i="14" s="1"/>
  <c r="O659" i="14"/>
  <c r="P659" i="14" s="1"/>
  <c r="V4814" i="6"/>
  <c r="V2129" i="6"/>
  <c r="O304" i="14"/>
  <c r="P304" i="14" s="1"/>
  <c r="V1960" i="6"/>
  <c r="O279" i="14"/>
  <c r="P279" i="14" s="1"/>
  <c r="U5520" i="6"/>
  <c r="O757" i="14" s="1"/>
  <c r="M757" i="14"/>
  <c r="R757" i="14" s="1"/>
  <c r="U3433" i="6"/>
  <c r="M478" i="14"/>
  <c r="R478" i="14" s="1"/>
  <c r="U3469" i="6"/>
  <c r="D35" i="48" s="1"/>
  <c r="M481" i="14"/>
  <c r="R481" i="14" s="1"/>
  <c r="U4179" i="6"/>
  <c r="M589" i="14"/>
  <c r="R589" i="14" s="1"/>
  <c r="U4349" i="6"/>
  <c r="M605" i="14"/>
  <c r="R605" i="14" s="1"/>
  <c r="U4462" i="6"/>
  <c r="V1632" i="6"/>
  <c r="O219" i="14"/>
  <c r="P219" i="14" s="1"/>
  <c r="V1331" i="6"/>
  <c r="O177" i="14"/>
  <c r="P177" i="14" s="1"/>
  <c r="V1831" i="6"/>
  <c r="V2580" i="6"/>
  <c r="V2848" i="6"/>
  <c r="G30" i="48"/>
  <c r="U2526" i="6"/>
  <c r="V2526" i="6" s="1"/>
  <c r="M375" i="14"/>
  <c r="R375" i="14" s="1"/>
  <c r="V3098" i="6"/>
  <c r="O438" i="14"/>
  <c r="P438" i="14" s="1"/>
  <c r="U3655" i="6"/>
  <c r="M513" i="14"/>
  <c r="R513" i="14" s="1"/>
  <c r="U3648" i="6"/>
  <c r="V3648" i="6" s="1"/>
  <c r="M512" i="14"/>
  <c r="R512" i="14" s="1"/>
  <c r="U3994" i="6"/>
  <c r="M561" i="14"/>
  <c r="R561" i="14" s="1"/>
  <c r="U3680" i="6"/>
  <c r="M519" i="14"/>
  <c r="R519" i="14" s="1"/>
  <c r="U3637" i="6"/>
  <c r="V5025" i="6"/>
  <c r="O689" i="14"/>
  <c r="P689" i="14" s="1"/>
  <c r="V4309" i="6"/>
  <c r="O601" i="14"/>
  <c r="P601" i="14" s="1"/>
  <c r="O637" i="14"/>
  <c r="P637" i="14" s="1"/>
  <c r="V4539" i="6"/>
  <c r="V5164" i="6"/>
  <c r="O705" i="14"/>
  <c r="P705" i="14" s="1"/>
  <c r="U4140" i="6"/>
  <c r="M586" i="14"/>
  <c r="R586" i="14" s="1"/>
  <c r="V4608" i="6"/>
  <c r="O640" i="14"/>
  <c r="P640" i="14" s="1"/>
  <c r="O674" i="14"/>
  <c r="P674" i="14" s="1"/>
  <c r="V4899" i="6"/>
  <c r="V5042" i="6"/>
  <c r="E45" i="48"/>
  <c r="V2170" i="6"/>
  <c r="V2295" i="6"/>
  <c r="V1936" i="6"/>
  <c r="V3099" i="6"/>
  <c r="F33" i="48"/>
  <c r="U4513" i="6"/>
  <c r="M631" i="14"/>
  <c r="R631" i="14" s="1"/>
  <c r="V3425" i="6"/>
  <c r="O477" i="14"/>
  <c r="P477" i="14" s="1"/>
  <c r="U3552" i="6"/>
  <c r="M496" i="14"/>
  <c r="R496" i="14" s="1"/>
  <c r="V3879" i="6"/>
  <c r="M570" i="14"/>
  <c r="R570" i="14" s="1"/>
  <c r="U4063" i="6"/>
  <c r="U4471" i="6"/>
  <c r="M625" i="14"/>
  <c r="R625" i="14" s="1"/>
  <c r="U5876" i="6"/>
  <c r="O820" i="14" s="1"/>
  <c r="M820" i="14"/>
  <c r="R820" i="14" s="1"/>
  <c r="V1508" i="6"/>
  <c r="O202" i="14"/>
  <c r="P202" i="14" s="1"/>
  <c r="V1030" i="6"/>
  <c r="O129" i="14"/>
  <c r="P129" i="14" s="1"/>
  <c r="U3489" i="6"/>
  <c r="O482" i="14" s="1"/>
  <c r="M482" i="14"/>
  <c r="R482" i="14" s="1"/>
  <c r="U4007" i="6"/>
  <c r="V4007" i="6" s="1"/>
  <c r="M562" i="14"/>
  <c r="R562" i="14" s="1"/>
  <c r="V4088" i="6"/>
  <c r="O572" i="14"/>
  <c r="P572" i="14" s="1"/>
  <c r="U3835" i="6"/>
  <c r="M541" i="14"/>
  <c r="R541" i="14" s="1"/>
  <c r="M544" i="14"/>
  <c r="R544" i="14" s="1"/>
  <c r="U3860" i="6"/>
  <c r="V3627" i="6"/>
  <c r="O502" i="14"/>
  <c r="P502" i="14" s="1"/>
  <c r="U4112" i="6"/>
  <c r="M584" i="14"/>
  <c r="R584" i="14" s="1"/>
  <c r="V3647" i="6"/>
  <c r="U3869" i="6"/>
  <c r="U4155" i="6"/>
  <c r="M587" i="14"/>
  <c r="R587" i="14" s="1"/>
  <c r="U4257" i="6"/>
  <c r="M597" i="14"/>
  <c r="R597" i="14" s="1"/>
  <c r="O672" i="14"/>
  <c r="P672" i="14" s="1"/>
  <c r="V4875" i="6"/>
  <c r="U4173" i="6"/>
  <c r="V4173" i="6" s="1"/>
  <c r="M588" i="14"/>
  <c r="R588" i="14" s="1"/>
  <c r="U4415" i="6"/>
  <c r="M616" i="14"/>
  <c r="R616" i="14" s="1"/>
  <c r="V5831" i="6"/>
  <c r="O813" i="14"/>
  <c r="P813" i="14" s="1"/>
  <c r="U3876" i="6"/>
  <c r="O546" i="14" s="1"/>
  <c r="M546" i="14"/>
  <c r="R546" i="14" s="1"/>
  <c r="U4525" i="6"/>
  <c r="M633" i="14"/>
  <c r="R633" i="14" s="1"/>
  <c r="U5588" i="6"/>
  <c r="M770" i="14"/>
  <c r="R770" i="14" s="1"/>
  <c r="U5816" i="6"/>
  <c r="M811" i="14"/>
  <c r="R811" i="14" s="1"/>
  <c r="V1189" i="6"/>
  <c r="O155" i="14"/>
  <c r="P155" i="14" s="1"/>
  <c r="U1845" i="6"/>
  <c r="M254" i="14"/>
  <c r="R254" i="14" s="1"/>
  <c r="U2059" i="6"/>
  <c r="M293" i="14"/>
  <c r="R293" i="14" s="1"/>
  <c r="V3250" i="6"/>
  <c r="O458" i="14"/>
  <c r="P458" i="14" s="1"/>
  <c r="U3805" i="6"/>
  <c r="M538" i="14"/>
  <c r="R538" i="14" s="1"/>
  <c r="U3317" i="6"/>
  <c r="M465" i="14"/>
  <c r="R465" i="14" s="1"/>
  <c r="U3384" i="6"/>
  <c r="M473" i="14"/>
  <c r="R473" i="14" s="1"/>
  <c r="V3266" i="6"/>
  <c r="O460" i="14"/>
  <c r="P460" i="14" s="1"/>
  <c r="U3746" i="6"/>
  <c r="M526" i="14"/>
  <c r="R526" i="14" s="1"/>
  <c r="O655" i="14"/>
  <c r="P655" i="14" s="1"/>
  <c r="V4748" i="6"/>
  <c r="V5137" i="6"/>
  <c r="O703" i="14"/>
  <c r="P703" i="14" s="1"/>
  <c r="V4383" i="6"/>
  <c r="O612" i="14"/>
  <c r="P612" i="14" s="1"/>
  <c r="O673" i="14"/>
  <c r="P673" i="14" s="1"/>
  <c r="V4888" i="6"/>
  <c r="V358" i="6"/>
  <c r="O34" i="14"/>
  <c r="P34" i="14" s="1"/>
  <c r="V1695" i="6"/>
  <c r="O227" i="14"/>
  <c r="P227" i="14" s="1"/>
  <c r="V2201" i="6"/>
  <c r="O319" i="14"/>
  <c r="P319" i="14" s="1"/>
  <c r="V3760" i="6"/>
  <c r="V4390" i="6"/>
  <c r="O613" i="14"/>
  <c r="P613" i="14" s="1"/>
  <c r="U5794" i="6"/>
  <c r="M809" i="14"/>
  <c r="R809" i="14" s="1"/>
  <c r="U1427" i="6"/>
  <c r="V1427" i="6" s="1"/>
  <c r="U3279" i="6"/>
  <c r="M461" i="14"/>
  <c r="R461" i="14" s="1"/>
  <c r="U4457" i="6"/>
  <c r="M623" i="14"/>
  <c r="R623" i="14" s="1"/>
  <c r="U4500" i="6"/>
  <c r="M630" i="14"/>
  <c r="R630" i="14" s="1"/>
  <c r="U4192" i="6"/>
  <c r="M590" i="14"/>
  <c r="R590" i="14" s="1"/>
  <c r="U5821" i="6"/>
  <c r="V5821" i="6" s="1"/>
  <c r="M812" i="14"/>
  <c r="R812" i="14" s="1"/>
  <c r="V1159" i="6"/>
  <c r="O151" i="14"/>
  <c r="P151" i="14" s="1"/>
  <c r="U1940" i="6"/>
  <c r="V1940" i="6" s="1"/>
  <c r="M277" i="14"/>
  <c r="R277" i="14" s="1"/>
  <c r="O379" i="14"/>
  <c r="V2562" i="6"/>
  <c r="U2646" i="6"/>
  <c r="M388" i="14"/>
  <c r="R388" i="14" s="1"/>
  <c r="M380" i="14"/>
  <c r="R380" i="14" s="1"/>
  <c r="U2576" i="6"/>
  <c r="V3972" i="6"/>
  <c r="U3843" i="6"/>
  <c r="M542" i="14"/>
  <c r="R542" i="14" s="1"/>
  <c r="U4482" i="6"/>
  <c r="M626" i="14"/>
  <c r="R626" i="14" s="1"/>
  <c r="O709" i="14"/>
  <c r="P709" i="14" s="1"/>
  <c r="V5191" i="6"/>
  <c r="M598" i="14"/>
  <c r="R598" i="14" s="1"/>
  <c r="U4269" i="6"/>
  <c r="V4269" i="6" s="1"/>
  <c r="V4978" i="6"/>
  <c r="O684" i="14"/>
  <c r="P684" i="14" s="1"/>
  <c r="V4714" i="6"/>
  <c r="O653" i="14"/>
  <c r="P653" i="14" s="1"/>
  <c r="V2525" i="6"/>
  <c r="V2621" i="6"/>
  <c r="V1931" i="6"/>
  <c r="O276" i="14"/>
  <c r="P276" i="14" s="1"/>
  <c r="V1075" i="6"/>
  <c r="O132" i="14"/>
  <c r="P132" i="14" s="1"/>
  <c r="U4221" i="6"/>
  <c r="M595" i="14"/>
  <c r="R595" i="14" s="1"/>
  <c r="P1115" i="6"/>
  <c r="U1115" i="6" s="1"/>
  <c r="V1115" i="6" s="1"/>
  <c r="O199" i="14"/>
  <c r="P199" i="14" s="1"/>
  <c r="O29" i="14"/>
  <c r="P29" i="14" s="1"/>
  <c r="O591" i="14"/>
  <c r="P591" i="14" s="1"/>
  <c r="O85" i="14"/>
  <c r="P85" i="14" s="1"/>
  <c r="D40" i="48"/>
  <c r="G40" i="48"/>
  <c r="E26" i="48"/>
  <c r="M666" i="14"/>
  <c r="R666" i="14" s="1"/>
  <c r="P410" i="14"/>
  <c r="F19" i="48"/>
  <c r="O566" i="14"/>
  <c r="P566" i="14" s="1"/>
  <c r="O463" i="14"/>
  <c r="P463" i="14" s="1"/>
  <c r="O428" i="14"/>
  <c r="P428" i="14" s="1"/>
  <c r="P447" i="14"/>
  <c r="P56" i="14"/>
  <c r="P324" i="14"/>
  <c r="N1432" i="6"/>
  <c r="P1432" i="6" s="1"/>
  <c r="U1432" i="6" s="1"/>
  <c r="V1432" i="6" s="1"/>
  <c r="V5541" i="6"/>
  <c r="P735" i="14"/>
  <c r="R556" i="14"/>
  <c r="P235" i="14"/>
  <c r="P779" i="14"/>
  <c r="P273" i="14"/>
  <c r="P503" i="14"/>
  <c r="P139" i="14"/>
  <c r="P580" i="14"/>
  <c r="R583" i="14"/>
  <c r="P21" i="14"/>
  <c r="P719" i="14"/>
  <c r="N1793" i="6"/>
  <c r="P43" i="14"/>
  <c r="P108" i="14"/>
  <c r="P5571" i="6"/>
  <c r="U5571" i="6" s="1"/>
  <c r="V5571" i="6" s="1"/>
  <c r="P5555" i="6"/>
  <c r="P91" i="14"/>
  <c r="P5698" i="6"/>
  <c r="U5698" i="6" s="1"/>
  <c r="P5448" i="6"/>
  <c r="P5430" i="6"/>
  <c r="U5430" i="6" s="1"/>
  <c r="V5430" i="6" s="1"/>
  <c r="P5397" i="6"/>
  <c r="P5706" i="6"/>
  <c r="P5615" i="6"/>
  <c r="P5568" i="6"/>
  <c r="O3722" i="6"/>
  <c r="P3722" i="6" s="1"/>
  <c r="U3722" i="6" s="1"/>
  <c r="V3722" i="6" s="1"/>
  <c r="N5761" i="6"/>
  <c r="P5761" i="6" s="1"/>
  <c r="N5763" i="6"/>
  <c r="P5763" i="6" s="1"/>
  <c r="U5763" i="6" s="1"/>
  <c r="V5763" i="6" s="1"/>
  <c r="P5877" i="6"/>
  <c r="P6316" i="6"/>
  <c r="U6316" i="6" s="1"/>
  <c r="P6257" i="6"/>
  <c r="U6257" i="6" s="1"/>
  <c r="P6331" i="6"/>
  <c r="U6331" i="6" s="1"/>
  <c r="P6322" i="6"/>
  <c r="U6322" i="6" s="1"/>
  <c r="P6258" i="6"/>
  <c r="U6258" i="6" s="1"/>
  <c r="P6264" i="6"/>
  <c r="U6264" i="6" s="1"/>
  <c r="P6270" i="6"/>
  <c r="U6270" i="6" s="1"/>
  <c r="P6276" i="6"/>
  <c r="U6276" i="6" s="1"/>
  <c r="P6282" i="6"/>
  <c r="U6282" i="6" s="1"/>
  <c r="P6124" i="6"/>
  <c r="U6124" i="6" s="1"/>
  <c r="P6129" i="6"/>
  <c r="U6129" i="6" s="1"/>
  <c r="P6135" i="6"/>
  <c r="U6135" i="6" s="1"/>
  <c r="P6143" i="6"/>
  <c r="U6143" i="6" s="1"/>
  <c r="P6153" i="6"/>
  <c r="U6153" i="6" s="1"/>
  <c r="P6163" i="6"/>
  <c r="U6163" i="6" s="1"/>
  <c r="P6168" i="6"/>
  <c r="U6168" i="6" s="1"/>
  <c r="P6174" i="6"/>
  <c r="U6174" i="6" s="1"/>
  <c r="P6180" i="6"/>
  <c r="U6180" i="6" s="1"/>
  <c r="P6186" i="6"/>
  <c r="U6186" i="6" s="1"/>
  <c r="P6206" i="6"/>
  <c r="U6206" i="6" s="1"/>
  <c r="P6224" i="6"/>
  <c r="U6224" i="6" s="1"/>
  <c r="P5907" i="6"/>
  <c r="U5907" i="6" s="1"/>
  <c r="P5910" i="6"/>
  <c r="U5910" i="6" s="1"/>
  <c r="P5913" i="6"/>
  <c r="U5913" i="6" s="1"/>
  <c r="P5916" i="6"/>
  <c r="P5919" i="6"/>
  <c r="U5919" i="6" s="1"/>
  <c r="P5922" i="6"/>
  <c r="U5922" i="6" s="1"/>
  <c r="P5925" i="6"/>
  <c r="U5925" i="6" s="1"/>
  <c r="P5928" i="6"/>
  <c r="P6263" i="6"/>
  <c r="U6263" i="6" s="1"/>
  <c r="P6269" i="6"/>
  <c r="U6269" i="6" s="1"/>
  <c r="P6275" i="6"/>
  <c r="U6275" i="6" s="1"/>
  <c r="P6281" i="6"/>
  <c r="U6281" i="6" s="1"/>
  <c r="P6283" i="6"/>
  <c r="U6283" i="6" s="1"/>
  <c r="P6123" i="6"/>
  <c r="U6123" i="6" s="1"/>
  <c r="P6134" i="6"/>
  <c r="U6134" i="6" s="1"/>
  <c r="P6152" i="6"/>
  <c r="U6152" i="6" s="1"/>
  <c r="P6162" i="6"/>
  <c r="U6162" i="6" s="1"/>
  <c r="P6173" i="6"/>
  <c r="U6173" i="6" s="1"/>
  <c r="P6179" i="6"/>
  <c r="U6179" i="6" s="1"/>
  <c r="P6185" i="6"/>
  <c r="U6185" i="6" s="1"/>
  <c r="P6198" i="6"/>
  <c r="U6198" i="6" s="1"/>
  <c r="P6202" i="6"/>
  <c r="U6202" i="6" s="1"/>
  <c r="P6216" i="6"/>
  <c r="U6216" i="6" s="1"/>
  <c r="P6220" i="6"/>
  <c r="U6220" i="6" s="1"/>
  <c r="P6255" i="6"/>
  <c r="U6255" i="6" s="1"/>
  <c r="P6261" i="6"/>
  <c r="U6261" i="6" s="1"/>
  <c r="P6267" i="6"/>
  <c r="U6267" i="6" s="1"/>
  <c r="P6273" i="6"/>
  <c r="U6273" i="6" s="1"/>
  <c r="P6279" i="6"/>
  <c r="U6279" i="6" s="1"/>
  <c r="P6285" i="6"/>
  <c r="U6285" i="6" s="1"/>
  <c r="P6127" i="6"/>
  <c r="U6127" i="6" s="1"/>
  <c r="P6137" i="6"/>
  <c r="U6137" i="6" s="1"/>
  <c r="P6150" i="6"/>
  <c r="U6150" i="6" s="1"/>
  <c r="P6156" i="6"/>
  <c r="U6156" i="6" s="1"/>
  <c r="P6166" i="6"/>
  <c r="U6166" i="6" s="1"/>
  <c r="P6171" i="6"/>
  <c r="U6171" i="6" s="1"/>
  <c r="P6177" i="6"/>
  <c r="U6177" i="6" s="1"/>
  <c r="P6183" i="6"/>
  <c r="U6183" i="6" s="1"/>
  <c r="P6189" i="6"/>
  <c r="U6189" i="6" s="1"/>
  <c r="P6204" i="6"/>
  <c r="U6204" i="6" s="1"/>
  <c r="P6208" i="6"/>
  <c r="U6208" i="6" s="1"/>
  <c r="P6222" i="6"/>
  <c r="U6222" i="6" s="1"/>
  <c r="P6226" i="6"/>
  <c r="U6226" i="6" s="1"/>
  <c r="P6254" i="6"/>
  <c r="U6254" i="6" s="1"/>
  <c r="P6260" i="6"/>
  <c r="U6260" i="6" s="1"/>
  <c r="P6266" i="6"/>
  <c r="U6266" i="6" s="1"/>
  <c r="P6272" i="6"/>
  <c r="U6272" i="6" s="1"/>
  <c r="P6278" i="6"/>
  <c r="U6278" i="6" s="1"/>
  <c r="P6284" i="6"/>
  <c r="U6284" i="6" s="1"/>
  <c r="P6286" i="6"/>
  <c r="U6286" i="6" s="1"/>
  <c r="P6131" i="6"/>
  <c r="U6131" i="6" s="1"/>
  <c r="P6155" i="6"/>
  <c r="U6155" i="6" s="1"/>
  <c r="P6160" i="6"/>
  <c r="U6160" i="6" s="1"/>
  <c r="P6165" i="6"/>
  <c r="U6165" i="6" s="1"/>
  <c r="P6170" i="6"/>
  <c r="U6170" i="6" s="1"/>
  <c r="P6176" i="6"/>
  <c r="U6176" i="6" s="1"/>
  <c r="P6182" i="6"/>
  <c r="U6182" i="6" s="1"/>
  <c r="P6188" i="6"/>
  <c r="U6188" i="6" s="1"/>
  <c r="P6200" i="6"/>
  <c r="U6200" i="6" s="1"/>
  <c r="P6218" i="6"/>
  <c r="U6218" i="6" s="1"/>
  <c r="P5908" i="6"/>
  <c r="U5908" i="6" s="1"/>
  <c r="P5914" i="6"/>
  <c r="U5914" i="6" s="1"/>
  <c r="P5920" i="6"/>
  <c r="U5920" i="6" s="1"/>
  <c r="P5926" i="6"/>
  <c r="U5926" i="6" s="1"/>
  <c r="P6253" i="6"/>
  <c r="U6253" i="6" s="1"/>
  <c r="P6259" i="6"/>
  <c r="U6259" i="6" s="1"/>
  <c r="P6265" i="6"/>
  <c r="U6265" i="6" s="1"/>
  <c r="P6271" i="6"/>
  <c r="U6271" i="6" s="1"/>
  <c r="P6277" i="6"/>
  <c r="U6277" i="6" s="1"/>
  <c r="P6120" i="6"/>
  <c r="U6120" i="6" s="1"/>
  <c r="P6125" i="6"/>
  <c r="U6125" i="6" s="1"/>
  <c r="P6130" i="6"/>
  <c r="U6130" i="6" s="1"/>
  <c r="P6132" i="6"/>
  <c r="U6132" i="6" s="1"/>
  <c r="P6140" i="6"/>
  <c r="U6140" i="6" s="1"/>
  <c r="P6144" i="6"/>
  <c r="U6144" i="6" s="1"/>
  <c r="P6148" i="6"/>
  <c r="U6148" i="6" s="1"/>
  <c r="P6154" i="6"/>
  <c r="U6154" i="6" s="1"/>
  <c r="P6159" i="6"/>
  <c r="U6159" i="6" s="1"/>
  <c r="P6164" i="6"/>
  <c r="U6164" i="6" s="1"/>
  <c r="P6169" i="6"/>
  <c r="U6169" i="6" s="1"/>
  <c r="P6175" i="6"/>
  <c r="U6175" i="6" s="1"/>
  <c r="P6181" i="6"/>
  <c r="U6181" i="6" s="1"/>
  <c r="P6187" i="6"/>
  <c r="U6187" i="6" s="1"/>
  <c r="P6192" i="6"/>
  <c r="U6192" i="6" s="1"/>
  <c r="P6196" i="6"/>
  <c r="U6196" i="6" s="1"/>
  <c r="P6210" i="6"/>
  <c r="U6210" i="6" s="1"/>
  <c r="P6214" i="6"/>
  <c r="U6214" i="6" s="1"/>
  <c r="P6228" i="6"/>
  <c r="U6228" i="6" s="1"/>
  <c r="V1207" i="6"/>
  <c r="V1009" i="6"/>
  <c r="V1291" i="6"/>
  <c r="V1562" i="6"/>
  <c r="E23" i="48"/>
  <c r="V1566" i="6"/>
  <c r="E27" i="48"/>
  <c r="D18" i="48"/>
  <c r="V83" i="6"/>
  <c r="U1004" i="6"/>
  <c r="M128" i="14"/>
  <c r="R128" i="14" s="1"/>
  <c r="U1241" i="6"/>
  <c r="U1119" i="6"/>
  <c r="V1007" i="6"/>
  <c r="V1429" i="6"/>
  <c r="F21" i="48"/>
  <c r="V1369" i="6"/>
  <c r="V78" i="6"/>
  <c r="D13" i="48"/>
  <c r="U1775" i="6"/>
  <c r="V4822" i="6"/>
  <c r="O554" i="14"/>
  <c r="P554" i="14" s="1"/>
  <c r="V3955" i="6"/>
  <c r="G43" i="48"/>
  <c r="V1042" i="6"/>
  <c r="U1349" i="6"/>
  <c r="O184" i="14" s="1"/>
  <c r="M184" i="14"/>
  <c r="R184" i="14" s="1"/>
  <c r="U1287" i="6"/>
  <c r="M171" i="14"/>
  <c r="R171" i="14" s="1"/>
  <c r="U1547" i="6"/>
  <c r="AF2" i="6"/>
  <c r="B6" i="48"/>
  <c r="F20" i="48"/>
  <c r="V1288" i="6"/>
  <c r="V1292" i="6"/>
  <c r="F25" i="48"/>
  <c r="V1377" i="6"/>
  <c r="V82" i="6"/>
  <c r="D17" i="48"/>
  <c r="O11" i="14"/>
  <c r="V77" i="6"/>
  <c r="D16" i="48"/>
  <c r="V1561" i="6"/>
  <c r="E22" i="48"/>
  <c r="V1367" i="6"/>
  <c r="V1255" i="6"/>
  <c r="E25" i="48"/>
  <c r="V1612" i="6"/>
  <c r="M467" i="14"/>
  <c r="R467" i="14" s="1"/>
  <c r="U3346" i="6"/>
  <c r="O467" i="14" s="1"/>
  <c r="V1243" i="6"/>
  <c r="U1384" i="6"/>
  <c r="V1384" i="6" s="1"/>
  <c r="V1247" i="6"/>
  <c r="E28" i="48"/>
  <c r="U1204" i="6"/>
  <c r="M159" i="14"/>
  <c r="R159" i="14" s="1"/>
  <c r="V1348" i="6"/>
  <c r="O539" i="14"/>
  <c r="O547" i="14"/>
  <c r="O617" i="14"/>
  <c r="P617" i="14" s="1"/>
  <c r="V4215" i="6"/>
  <c r="M11" i="14"/>
  <c r="R11" i="14" s="1"/>
  <c r="P593" i="14"/>
  <c r="U2624" i="6"/>
  <c r="M387" i="14"/>
  <c r="R387" i="14" s="1"/>
  <c r="U4826" i="6"/>
  <c r="M667" i="14"/>
  <c r="R667" i="14" s="1"/>
  <c r="P15" i="14"/>
  <c r="R507" i="14"/>
  <c r="R57" i="14"/>
  <c r="P445" i="14"/>
  <c r="P5703" i="6"/>
  <c r="V5661" i="6"/>
  <c r="E56" i="48"/>
  <c r="O785" i="14"/>
  <c r="P785" i="14" s="1"/>
  <c r="P611" i="14"/>
  <c r="R578" i="14"/>
  <c r="U2783" i="6"/>
  <c r="R447" i="14"/>
  <c r="R266" i="14"/>
  <c r="P266" i="14"/>
  <c r="U5489" i="6"/>
  <c r="M753" i="14"/>
  <c r="R753" i="14" s="1"/>
  <c r="O819" i="14"/>
  <c r="P109" i="14"/>
  <c r="V4211" i="6"/>
  <c r="O592" i="14"/>
  <c r="P592" i="14" s="1"/>
  <c r="P471" i="14"/>
  <c r="O804" i="14"/>
  <c r="P5437" i="6"/>
  <c r="P5579" i="6"/>
  <c r="P5429" i="6"/>
  <c r="U5167" i="6"/>
  <c r="M706" i="14"/>
  <c r="R706" i="14" s="1"/>
  <c r="U5658" i="6"/>
  <c r="M783" i="14"/>
  <c r="R783" i="14" s="1"/>
  <c r="V5543" i="6"/>
  <c r="O764" i="14"/>
  <c r="P764" i="14" s="1"/>
  <c r="P5530" i="6"/>
  <c r="V5353" i="6"/>
  <c r="O732" i="14"/>
  <c r="P732" i="14" s="1"/>
  <c r="V5222" i="6"/>
  <c r="E50" i="48"/>
  <c r="O713" i="14"/>
  <c r="P713" i="14" s="1"/>
  <c r="P5690" i="6"/>
  <c r="N4765" i="6"/>
  <c r="N4771" i="6"/>
  <c r="P4771" i="6" s="1"/>
  <c r="U4771" i="6" s="1"/>
  <c r="V4771" i="6" s="1"/>
  <c r="O4136" i="6"/>
  <c r="P4136" i="6" s="1"/>
  <c r="O3698" i="6"/>
  <c r="P3698" i="6" s="1"/>
  <c r="U5937" i="6" l="1"/>
  <c r="O832" i="14" s="1"/>
  <c r="M832" i="14"/>
  <c r="R832" i="14" s="1"/>
  <c r="U5936" i="6"/>
  <c r="M831" i="14"/>
  <c r="R831" i="14" s="1"/>
  <c r="P547" i="14"/>
  <c r="P379" i="14"/>
  <c r="M539" i="14"/>
  <c r="R539" i="14" s="1"/>
  <c r="C57" i="48"/>
  <c r="F52" i="48"/>
  <c r="C14" i="48"/>
  <c r="C20" i="48"/>
  <c r="C26" i="48"/>
  <c r="C32" i="48"/>
  <c r="C38" i="48"/>
  <c r="C44" i="48"/>
  <c r="C50" i="48"/>
  <c r="E11" i="48"/>
  <c r="G35" i="48"/>
  <c r="G19" i="48"/>
  <c r="G37" i="48"/>
  <c r="D11" i="48"/>
  <c r="G46" i="48"/>
  <c r="E34" i="48"/>
  <c r="F53" i="48"/>
  <c r="C15" i="48"/>
  <c r="C21" i="48"/>
  <c r="C27" i="48"/>
  <c r="C33" i="48"/>
  <c r="C39" i="48"/>
  <c r="C45" i="48"/>
  <c r="C51" i="48"/>
  <c r="E12" i="48"/>
  <c r="G25" i="48"/>
  <c r="G48" i="48"/>
  <c r="G23" i="48"/>
  <c r="G42" i="48"/>
  <c r="G24" i="48"/>
  <c r="F39" i="48"/>
  <c r="E44" i="48"/>
  <c r="F42" i="48"/>
  <c r="F54" i="48"/>
  <c r="C16" i="48"/>
  <c r="C22" i="48"/>
  <c r="C28" i="48"/>
  <c r="C34" i="48"/>
  <c r="C40" i="48"/>
  <c r="C46" i="48"/>
  <c r="C52" i="48"/>
  <c r="G55" i="48"/>
  <c r="G34" i="48"/>
  <c r="G22" i="48"/>
  <c r="G27" i="48"/>
  <c r="G15" i="48"/>
  <c r="G12" i="48"/>
  <c r="F43" i="48"/>
  <c r="C6" i="48"/>
  <c r="C56" i="48"/>
  <c r="G57" i="48"/>
  <c r="C11" i="48"/>
  <c r="C17" i="48"/>
  <c r="C23" i="48"/>
  <c r="C29" i="48"/>
  <c r="C35" i="48"/>
  <c r="C41" i="48"/>
  <c r="C47" i="48"/>
  <c r="C53" i="48"/>
  <c r="G45" i="48"/>
  <c r="G18" i="48"/>
  <c r="G36" i="48"/>
  <c r="G52" i="48"/>
  <c r="G21" i="48"/>
  <c r="E13" i="48"/>
  <c r="F36" i="48"/>
  <c r="F51" i="48"/>
  <c r="E14" i="48"/>
  <c r="F11" i="48"/>
  <c r="C12" i="48"/>
  <c r="C18" i="48"/>
  <c r="C24" i="48"/>
  <c r="C30" i="48"/>
  <c r="C36" i="48"/>
  <c r="C42" i="48"/>
  <c r="C48" i="48"/>
  <c r="C54" i="48"/>
  <c r="G41" i="48"/>
  <c r="G13" i="48"/>
  <c r="G50" i="48"/>
  <c r="G20" i="48"/>
  <c r="G26" i="48"/>
  <c r="E48" i="48"/>
  <c r="F14" i="48"/>
  <c r="F32" i="48"/>
  <c r="F24" i="48"/>
  <c r="F45" i="48"/>
  <c r="D14" i="48"/>
  <c r="G32" i="48"/>
  <c r="G31" i="48"/>
  <c r="E15" i="48"/>
  <c r="E46" i="48"/>
  <c r="G56" i="48"/>
  <c r="F47" i="48"/>
  <c r="C13" i="48"/>
  <c r="C19" i="48"/>
  <c r="C25" i="48"/>
  <c r="C31" i="48"/>
  <c r="C37" i="48"/>
  <c r="C43" i="48"/>
  <c r="C49" i="48"/>
  <c r="C55" i="48"/>
  <c r="G49" i="48"/>
  <c r="G17" i="48"/>
  <c r="G16" i="48"/>
  <c r="I16" i="48" s="1"/>
  <c r="H16" i="48" s="1"/>
  <c r="G14" i="48"/>
  <c r="G44" i="48"/>
  <c r="F13" i="48"/>
  <c r="E49" i="48"/>
  <c r="F57" i="48"/>
  <c r="E39" i="48"/>
  <c r="F28" i="48"/>
  <c r="F49" i="48"/>
  <c r="E43" i="48"/>
  <c r="G29" i="48"/>
  <c r="F50" i="48"/>
  <c r="O799" i="14"/>
  <c r="P799" i="14" s="1"/>
  <c r="F26" i="48"/>
  <c r="V1063" i="6"/>
  <c r="O131" i="14"/>
  <c r="P131" i="14" s="1"/>
  <c r="U5928" i="6"/>
  <c r="O830" i="14" s="1"/>
  <c r="M830" i="14"/>
  <c r="R830" i="14" s="1"/>
  <c r="O117" i="14"/>
  <c r="O527" i="14"/>
  <c r="V5581" i="6"/>
  <c r="U5178" i="6"/>
  <c r="M708" i="14"/>
  <c r="R708" i="14" s="1"/>
  <c r="O253" i="14"/>
  <c r="U5629" i="6"/>
  <c r="M775" i="14"/>
  <c r="R775" i="14" s="1"/>
  <c r="U5416" i="6"/>
  <c r="M743" i="14"/>
  <c r="R743" i="14" s="1"/>
  <c r="P527" i="14"/>
  <c r="M545" i="14"/>
  <c r="R545" i="14" s="1"/>
  <c r="M771" i="14"/>
  <c r="R771" i="14" s="1"/>
  <c r="U5597" i="6"/>
  <c r="U5267" i="6"/>
  <c r="O720" i="14" s="1"/>
  <c r="M720" i="14"/>
  <c r="R720" i="14" s="1"/>
  <c r="U5455" i="6"/>
  <c r="M747" i="14"/>
  <c r="R747" i="14" s="1"/>
  <c r="U5018" i="6"/>
  <c r="M688" i="14"/>
  <c r="R688" i="14" s="1"/>
  <c r="U5130" i="6"/>
  <c r="M702" i="14"/>
  <c r="R702" i="14" s="1"/>
  <c r="U5358" i="6"/>
  <c r="M733" i="14"/>
  <c r="R733" i="14" s="1"/>
  <c r="U5478" i="6"/>
  <c r="M751" i="14"/>
  <c r="R751" i="14" s="1"/>
  <c r="U5282" i="6"/>
  <c r="M722" i="14"/>
  <c r="R722" i="14" s="1"/>
  <c r="U5269" i="6"/>
  <c r="M721" i="14"/>
  <c r="R721" i="14" s="1"/>
  <c r="P1394" i="6"/>
  <c r="U1394" i="6" s="1"/>
  <c r="V1394" i="6" s="1"/>
  <c r="D39" i="48"/>
  <c r="P1382" i="6"/>
  <c r="P1399" i="6"/>
  <c r="U1399" i="6" s="1"/>
  <c r="V1399" i="6" s="1"/>
  <c r="P1622" i="6"/>
  <c r="U1622" i="6" s="1"/>
  <c r="V1622" i="6" s="1"/>
  <c r="P156" i="14"/>
  <c r="P619" i="14"/>
  <c r="P1402" i="6"/>
  <c r="U1402" i="6" s="1"/>
  <c r="V1402" i="6" s="1"/>
  <c r="O1140" i="6"/>
  <c r="P1140" i="6" s="1"/>
  <c r="U1140" i="6" s="1"/>
  <c r="V1140" i="6" s="1"/>
  <c r="O1136" i="6"/>
  <c r="P1136" i="6" s="1"/>
  <c r="U1136" i="6" s="1"/>
  <c r="V1136" i="6" s="1"/>
  <c r="O1143" i="6"/>
  <c r="P1143" i="6" s="1"/>
  <c r="U1143" i="6" s="1"/>
  <c r="V1143" i="6" s="1"/>
  <c r="O1134" i="6"/>
  <c r="P1134" i="6" s="1"/>
  <c r="U1134" i="6" s="1"/>
  <c r="O1138" i="6"/>
  <c r="P1138" i="6" s="1"/>
  <c r="U1138" i="6" s="1"/>
  <c r="V1138" i="6" s="1"/>
  <c r="O1142" i="6"/>
  <c r="O1144" i="6"/>
  <c r="P1144" i="6" s="1"/>
  <c r="U1144" i="6" s="1"/>
  <c r="V1144" i="6" s="1"/>
  <c r="O1131" i="6"/>
  <c r="P1131" i="6" s="1"/>
  <c r="U1131" i="6" s="1"/>
  <c r="V1131" i="6" s="1"/>
  <c r="O1135" i="6"/>
  <c r="P1135" i="6" s="1"/>
  <c r="U1135" i="6" s="1"/>
  <c r="V1135" i="6" s="1"/>
  <c r="O1133" i="6"/>
  <c r="P1133" i="6" s="1"/>
  <c r="O1141" i="6"/>
  <c r="P1141" i="6" s="1"/>
  <c r="U1141" i="6" s="1"/>
  <c r="V1141" i="6" s="1"/>
  <c r="O1129" i="6"/>
  <c r="P1129" i="6" s="1"/>
  <c r="U1129" i="6" s="1"/>
  <c r="O1130" i="6"/>
  <c r="P1130" i="6" s="1"/>
  <c r="U1130" i="6" s="1"/>
  <c r="V1130" i="6" s="1"/>
  <c r="O1139" i="6"/>
  <c r="P1139" i="6" s="1"/>
  <c r="U1139" i="6" s="1"/>
  <c r="V1139" i="6" s="1"/>
  <c r="P1401" i="6"/>
  <c r="U1401" i="6" s="1"/>
  <c r="V1401" i="6" s="1"/>
  <c r="P1142" i="6"/>
  <c r="U1142" i="6" s="1"/>
  <c r="V1142" i="6" s="1"/>
  <c r="P1116" i="6"/>
  <c r="U1116" i="6" s="1"/>
  <c r="V1116" i="6" s="1"/>
  <c r="U5776" i="6"/>
  <c r="M803" i="14"/>
  <c r="R803" i="14" s="1"/>
  <c r="U3679" i="6"/>
  <c r="M518" i="14"/>
  <c r="R518" i="14" s="1"/>
  <c r="O358" i="14"/>
  <c r="P358" i="14" s="1"/>
  <c r="V1246" i="6"/>
  <c r="U1563" i="6"/>
  <c r="V1563" i="6" s="1"/>
  <c r="M205" i="14"/>
  <c r="R205" i="14" s="1"/>
  <c r="U5714" i="6"/>
  <c r="O792" i="14" s="1"/>
  <c r="M792" i="14"/>
  <c r="R792" i="14" s="1"/>
  <c r="U494" i="6"/>
  <c r="M54" i="14"/>
  <c r="R54" i="14" s="1"/>
  <c r="O1743" i="6"/>
  <c r="P1743" i="6" s="1"/>
  <c r="U1743" i="6" s="1"/>
  <c r="V1743" i="6" s="1"/>
  <c r="O1752" i="6"/>
  <c r="P1752" i="6" s="1"/>
  <c r="U1752" i="6" s="1"/>
  <c r="V1752" i="6" s="1"/>
  <c r="O1750" i="6"/>
  <c r="P1750" i="6" s="1"/>
  <c r="U1750" i="6" s="1"/>
  <c r="V1750" i="6" s="1"/>
  <c r="O1746" i="6"/>
  <c r="P1746" i="6" s="1"/>
  <c r="U1746" i="6" s="1"/>
  <c r="V1746" i="6" s="1"/>
  <c r="O1747" i="6"/>
  <c r="P1747" i="6" s="1"/>
  <c r="U1747" i="6" s="1"/>
  <c r="V1747" i="6" s="1"/>
  <c r="N1583" i="6"/>
  <c r="N1581" i="6"/>
  <c r="N1576" i="6"/>
  <c r="N1569" i="6"/>
  <c r="N1582" i="6"/>
  <c r="H204" i="14"/>
  <c r="N1568" i="6"/>
  <c r="N1575" i="6"/>
  <c r="N1573" i="6"/>
  <c r="N1571" i="6"/>
  <c r="N1574" i="6"/>
  <c r="N1577" i="6"/>
  <c r="N1579" i="6"/>
  <c r="N1570" i="6"/>
  <c r="N1580" i="6"/>
  <c r="N1572" i="6"/>
  <c r="N1578" i="6"/>
  <c r="O136" i="14"/>
  <c r="P136" i="14" s="1"/>
  <c r="V1092" i="6"/>
  <c r="V3134" i="6"/>
  <c r="O441" i="14"/>
  <c r="P441" i="14" s="1"/>
  <c r="U1148" i="6"/>
  <c r="M146" i="14"/>
  <c r="R146" i="14" s="1"/>
  <c r="U5636" i="6"/>
  <c r="M776" i="14"/>
  <c r="R776" i="14" s="1"/>
  <c r="P1244" i="6"/>
  <c r="U1244" i="6" s="1"/>
  <c r="V1244" i="6" s="1"/>
  <c r="O57" i="14"/>
  <c r="P57" i="14" s="1"/>
  <c r="V504" i="6"/>
  <c r="V1180" i="6"/>
  <c r="O154" i="14"/>
  <c r="P154" i="14" s="1"/>
  <c r="P757" i="14"/>
  <c r="U1319" i="6"/>
  <c r="M175" i="14"/>
  <c r="R175" i="14" s="1"/>
  <c r="O1274" i="6"/>
  <c r="P1274" i="6" s="1"/>
  <c r="U1274" i="6" s="1"/>
  <c r="V1274" i="6" s="1"/>
  <c r="O1269" i="6"/>
  <c r="P1269" i="6" s="1"/>
  <c r="O1285" i="6"/>
  <c r="P1285" i="6" s="1"/>
  <c r="U1285" i="6" s="1"/>
  <c r="V1285" i="6" s="1"/>
  <c r="O1281" i="6"/>
  <c r="P1281" i="6" s="1"/>
  <c r="U1281" i="6" s="1"/>
  <c r="V1281" i="6" s="1"/>
  <c r="O1279" i="6"/>
  <c r="P1279" i="6" s="1"/>
  <c r="U1279" i="6" s="1"/>
  <c r="V1279" i="6" s="1"/>
  <c r="O1273" i="6"/>
  <c r="P1273" i="6" s="1"/>
  <c r="U1273" i="6" s="1"/>
  <c r="V1273" i="6" s="1"/>
  <c r="O1283" i="6"/>
  <c r="P1283" i="6" s="1"/>
  <c r="U1283" i="6" s="1"/>
  <c r="V1283" i="6" s="1"/>
  <c r="O1280" i="6"/>
  <c r="P1280" i="6" s="1"/>
  <c r="U1280" i="6" s="1"/>
  <c r="V1280" i="6" s="1"/>
  <c r="O1270" i="6"/>
  <c r="P1270" i="6" s="1"/>
  <c r="U1270" i="6" s="1"/>
  <c r="V1270" i="6" s="1"/>
  <c r="O1277" i="6"/>
  <c r="P1277" i="6" s="1"/>
  <c r="U1277" i="6" s="1"/>
  <c r="V1277" i="6" s="1"/>
  <c r="O1278" i="6"/>
  <c r="P1278" i="6" s="1"/>
  <c r="U1278" i="6" s="1"/>
  <c r="V1278" i="6" s="1"/>
  <c r="O1271" i="6"/>
  <c r="P1271" i="6" s="1"/>
  <c r="U1271" i="6" s="1"/>
  <c r="V1271" i="6" s="1"/>
  <c r="O1275" i="6"/>
  <c r="P1275" i="6" s="1"/>
  <c r="U1275" i="6" s="1"/>
  <c r="V1275" i="6" s="1"/>
  <c r="O1282" i="6"/>
  <c r="P1282" i="6" s="1"/>
  <c r="U1282" i="6" s="1"/>
  <c r="V1282" i="6" s="1"/>
  <c r="O1284" i="6"/>
  <c r="P1284" i="6" s="1"/>
  <c r="U1284" i="6" s="1"/>
  <c r="V1284" i="6" s="1"/>
  <c r="O1286" i="6"/>
  <c r="P1286" i="6" s="1"/>
  <c r="U1286" i="6" s="1"/>
  <c r="V1286" i="6" s="1"/>
  <c r="O1272" i="6"/>
  <c r="P1272" i="6" s="1"/>
  <c r="U1272" i="6" s="1"/>
  <c r="V1272" i="6" s="1"/>
  <c r="O1276" i="6"/>
  <c r="P1276" i="6" s="1"/>
  <c r="U1276" i="6" s="1"/>
  <c r="V1276" i="6" s="1"/>
  <c r="O119" i="14"/>
  <c r="P119" i="14" s="1"/>
  <c r="V962" i="6"/>
  <c r="U3522" i="6"/>
  <c r="M488" i="14"/>
  <c r="R488" i="14" s="1"/>
  <c r="U5666" i="6"/>
  <c r="M787" i="14"/>
  <c r="R787" i="14" s="1"/>
  <c r="I12" i="48"/>
  <c r="H12" i="48" s="1"/>
  <c r="U1132" i="6"/>
  <c r="V1132" i="6" s="1"/>
  <c r="V1368" i="6"/>
  <c r="F30" i="48"/>
  <c r="U1608" i="6"/>
  <c r="M218" i="14"/>
  <c r="R218" i="14" s="1"/>
  <c r="U5228" i="6"/>
  <c r="M715" i="14"/>
  <c r="R715" i="14" s="1"/>
  <c r="U5116" i="6"/>
  <c r="M701" i="14"/>
  <c r="R701" i="14" s="1"/>
  <c r="U5727" i="6"/>
  <c r="M794" i="14"/>
  <c r="R794" i="14" s="1"/>
  <c r="R454" i="14"/>
  <c r="P454" i="14"/>
  <c r="U5383" i="6"/>
  <c r="M737" i="14"/>
  <c r="R737" i="14" s="1"/>
  <c r="U5646" i="6"/>
  <c r="M777" i="14"/>
  <c r="R777" i="14" s="1"/>
  <c r="O1791" i="6"/>
  <c r="P1791" i="6" s="1"/>
  <c r="U1791" i="6" s="1"/>
  <c r="V1791" i="6" s="1"/>
  <c r="O1796" i="6"/>
  <c r="P1796" i="6" s="1"/>
  <c r="U1796" i="6" s="1"/>
  <c r="V1796" i="6" s="1"/>
  <c r="O1793" i="6"/>
  <c r="P1793" i="6" s="1"/>
  <c r="O1799" i="6"/>
  <c r="P1799" i="6" s="1"/>
  <c r="U1799" i="6" s="1"/>
  <c r="V1799" i="6" s="1"/>
  <c r="O1792" i="6"/>
  <c r="P1792" i="6" s="1"/>
  <c r="U1792" i="6" s="1"/>
  <c r="V1792" i="6" s="1"/>
  <c r="O1795" i="6"/>
  <c r="P1795" i="6" s="1"/>
  <c r="U1795" i="6" s="1"/>
  <c r="V1795" i="6" s="1"/>
  <c r="O1802" i="6"/>
  <c r="P1802" i="6" s="1"/>
  <c r="U1802" i="6" s="1"/>
  <c r="V1802" i="6" s="1"/>
  <c r="O1798" i="6"/>
  <c r="P1798" i="6" s="1"/>
  <c r="U1798" i="6" s="1"/>
  <c r="V1798" i="6" s="1"/>
  <c r="O1788" i="6"/>
  <c r="P1788" i="6" s="1"/>
  <c r="U1788" i="6" s="1"/>
  <c r="V1788" i="6" s="1"/>
  <c r="O1801" i="6"/>
  <c r="P1801" i="6" s="1"/>
  <c r="U1801" i="6" s="1"/>
  <c r="O1794" i="6"/>
  <c r="P1794" i="6" s="1"/>
  <c r="U1794" i="6" s="1"/>
  <c r="V1794" i="6" s="1"/>
  <c r="O1787" i="6"/>
  <c r="P1787" i="6" s="1"/>
  <c r="U1787" i="6" s="1"/>
  <c r="O1797" i="6"/>
  <c r="P1797" i="6" s="1"/>
  <c r="U1797" i="6" s="1"/>
  <c r="V1797" i="6" s="1"/>
  <c r="O1789" i="6"/>
  <c r="P1789" i="6" s="1"/>
  <c r="U1789" i="6" s="1"/>
  <c r="V1789" i="6" s="1"/>
  <c r="O1790" i="6"/>
  <c r="P1790" i="6" s="1"/>
  <c r="U1790" i="6" s="1"/>
  <c r="V1790" i="6" s="1"/>
  <c r="O1800" i="6"/>
  <c r="P1800" i="6" s="1"/>
  <c r="U1800" i="6" s="1"/>
  <c r="V1800" i="6" s="1"/>
  <c r="P3" i="14"/>
  <c r="D38" i="48"/>
  <c r="U5302" i="6"/>
  <c r="M724" i="14"/>
  <c r="R724" i="14" s="1"/>
  <c r="U5753" i="6"/>
  <c r="O800" i="14" s="1"/>
  <c r="M800" i="14"/>
  <c r="R800" i="14" s="1"/>
  <c r="U5511" i="6"/>
  <c r="M756" i="14"/>
  <c r="R756" i="14" s="1"/>
  <c r="O1753" i="6"/>
  <c r="P1753" i="6" s="1"/>
  <c r="O1766" i="6"/>
  <c r="P1766" i="6" s="1"/>
  <c r="U1766" i="6" s="1"/>
  <c r="V1766" i="6" s="1"/>
  <c r="O1765" i="6"/>
  <c r="P1765" i="6" s="1"/>
  <c r="U1765" i="6" s="1"/>
  <c r="V1765" i="6" s="1"/>
  <c r="O1755" i="6"/>
  <c r="P1755" i="6" s="1"/>
  <c r="U1755" i="6" s="1"/>
  <c r="V1755" i="6" s="1"/>
  <c r="O1760" i="6"/>
  <c r="P1760" i="6" s="1"/>
  <c r="U1760" i="6" s="1"/>
  <c r="V1760" i="6" s="1"/>
  <c r="O1757" i="6"/>
  <c r="P1757" i="6" s="1"/>
  <c r="U1757" i="6" s="1"/>
  <c r="V1757" i="6" s="1"/>
  <c r="O1764" i="6"/>
  <c r="P1764" i="6" s="1"/>
  <c r="U1764" i="6" s="1"/>
  <c r="O1759" i="6"/>
  <c r="P1759" i="6" s="1"/>
  <c r="U1759" i="6" s="1"/>
  <c r="V1759" i="6" s="1"/>
  <c r="O1754" i="6"/>
  <c r="P1754" i="6" s="1"/>
  <c r="U1754" i="6" s="1"/>
  <c r="V1754" i="6" s="1"/>
  <c r="O1761" i="6"/>
  <c r="P1761" i="6" s="1"/>
  <c r="U1761" i="6" s="1"/>
  <c r="V1761" i="6" s="1"/>
  <c r="O1758" i="6"/>
  <c r="P1758" i="6" s="1"/>
  <c r="U1758" i="6" s="1"/>
  <c r="V1758" i="6" s="1"/>
  <c r="O1756" i="6"/>
  <c r="P1756" i="6" s="1"/>
  <c r="U1756" i="6" s="1"/>
  <c r="V1756" i="6" s="1"/>
  <c r="O1763" i="6"/>
  <c r="P1763" i="6" s="1"/>
  <c r="U1763" i="6" s="1"/>
  <c r="V1763" i="6" s="1"/>
  <c r="O1762" i="6"/>
  <c r="P1762" i="6" s="1"/>
  <c r="U1762" i="6" s="1"/>
  <c r="P712" i="14"/>
  <c r="O742" i="14"/>
  <c r="P742" i="14" s="1"/>
  <c r="V5413" i="6"/>
  <c r="P696" i="14"/>
  <c r="U5766" i="6"/>
  <c r="M802" i="14"/>
  <c r="R802" i="14" s="1"/>
  <c r="U5328" i="6"/>
  <c r="M727" i="14"/>
  <c r="R727" i="14" s="1"/>
  <c r="U5246" i="6"/>
  <c r="O718" i="14" s="1"/>
  <c r="M718" i="14"/>
  <c r="R718" i="14" s="1"/>
  <c r="O781" i="14"/>
  <c r="P781" i="14" s="1"/>
  <c r="V5656" i="6"/>
  <c r="E55" i="48"/>
  <c r="U5881" i="6"/>
  <c r="O825" i="14" s="1"/>
  <c r="M825" i="14"/>
  <c r="R825" i="14" s="1"/>
  <c r="V3019" i="6"/>
  <c r="G38" i="48"/>
  <c r="U5916" i="6"/>
  <c r="O829" i="14" s="1"/>
  <c r="M829" i="14"/>
  <c r="R829" i="14" s="1"/>
  <c r="U5390" i="6"/>
  <c r="M738" i="14"/>
  <c r="R738" i="14" s="1"/>
  <c r="U1916" i="6"/>
  <c r="M274" i="14"/>
  <c r="R274" i="14" s="1"/>
  <c r="U5215" i="6"/>
  <c r="M711" i="14"/>
  <c r="R711" i="14" s="1"/>
  <c r="U5464" i="6"/>
  <c r="M750" i="14"/>
  <c r="R750" i="14" s="1"/>
  <c r="U1242" i="6"/>
  <c r="V1242" i="6" s="1"/>
  <c r="M168" i="14"/>
  <c r="R168" i="14" s="1"/>
  <c r="U5311" i="6"/>
  <c r="O726" i="14" s="1"/>
  <c r="M726" i="14"/>
  <c r="R726" i="14" s="1"/>
  <c r="U5290" i="6"/>
  <c r="M723" i="14"/>
  <c r="R723" i="14" s="1"/>
  <c r="U5653" i="6"/>
  <c r="M778" i="14"/>
  <c r="R778" i="14" s="1"/>
  <c r="V1440" i="6"/>
  <c r="E21" i="48"/>
  <c r="V5336" i="6"/>
  <c r="O729" i="14"/>
  <c r="P729" i="14" s="1"/>
  <c r="P635" i="14"/>
  <c r="U5202" i="6"/>
  <c r="O710" i="14" s="1"/>
  <c r="M710" i="14"/>
  <c r="R710" i="14" s="1"/>
  <c r="U5041" i="6"/>
  <c r="M691" i="14"/>
  <c r="R691" i="14" s="1"/>
  <c r="O499" i="14"/>
  <c r="P499" i="14" s="1"/>
  <c r="E47" i="48"/>
  <c r="V3577" i="6"/>
  <c r="U5680" i="6"/>
  <c r="O788" i="14" s="1"/>
  <c r="M788" i="14"/>
  <c r="R788" i="14" s="1"/>
  <c r="P117" i="14"/>
  <c r="U4969" i="6"/>
  <c r="M683" i="14"/>
  <c r="R683" i="14" s="1"/>
  <c r="U5086" i="6"/>
  <c r="M699" i="14"/>
  <c r="R699" i="14" s="1"/>
  <c r="U5245" i="6"/>
  <c r="M717" i="14"/>
  <c r="R717" i="14" s="1"/>
  <c r="V933" i="6"/>
  <c r="O112" i="14"/>
  <c r="P112" i="14" s="1"/>
  <c r="V5841" i="6"/>
  <c r="O816" i="14"/>
  <c r="P816" i="14" s="1"/>
  <c r="O375" i="14"/>
  <c r="P225" i="14"/>
  <c r="O472" i="14"/>
  <c r="U2294" i="6"/>
  <c r="M346" i="14"/>
  <c r="R346" i="14" s="1"/>
  <c r="U5346" i="6"/>
  <c r="M731" i="14"/>
  <c r="R731" i="14" s="1"/>
  <c r="U4923" i="6"/>
  <c r="M678" i="14"/>
  <c r="R678" i="14" s="1"/>
  <c r="O25" i="14"/>
  <c r="P25" i="14" s="1"/>
  <c r="V267" i="6"/>
  <c r="U3580" i="6"/>
  <c r="M501" i="14"/>
  <c r="R501" i="14" s="1"/>
  <c r="U5332" i="6"/>
  <c r="M728" i="14"/>
  <c r="R728" i="14" s="1"/>
  <c r="O749" i="14"/>
  <c r="P749" i="14" s="1"/>
  <c r="V5460" i="6"/>
  <c r="E53" i="48"/>
  <c r="M824" i="14"/>
  <c r="R824" i="14" s="1"/>
  <c r="U5880" i="6"/>
  <c r="V1864" i="6"/>
  <c r="O256" i="14"/>
  <c r="P256" i="14" s="1"/>
  <c r="O497" i="14"/>
  <c r="P497" i="14" s="1"/>
  <c r="M236" i="14"/>
  <c r="R236" i="14" s="1"/>
  <c r="I15" i="48"/>
  <c r="H15" i="48" s="1"/>
  <c r="O768" i="14"/>
  <c r="P768" i="14" s="1"/>
  <c r="O122" i="14"/>
  <c r="P122" i="14" s="1"/>
  <c r="P158" i="14"/>
  <c r="N1605" i="6"/>
  <c r="P1605" i="6" s="1"/>
  <c r="U1605" i="6" s="1"/>
  <c r="V1605" i="6" s="1"/>
  <c r="Q216" i="14"/>
  <c r="N1602" i="6"/>
  <c r="P1602" i="6" s="1"/>
  <c r="U1602" i="6" s="1"/>
  <c r="V1602" i="6" s="1"/>
  <c r="N1603" i="6"/>
  <c r="P1603" i="6" s="1"/>
  <c r="U1603" i="6" s="1"/>
  <c r="V1603" i="6" s="1"/>
  <c r="N1601" i="6"/>
  <c r="P1601" i="6" s="1"/>
  <c r="N1604" i="6"/>
  <c r="P1604" i="6" s="1"/>
  <c r="U1604" i="6" s="1"/>
  <c r="V1604" i="6" s="1"/>
  <c r="P759" i="14"/>
  <c r="O559" i="14"/>
  <c r="P559" i="14" s="1"/>
  <c r="U5509" i="6"/>
  <c r="M755" i="14"/>
  <c r="R755" i="14" s="1"/>
  <c r="I17" i="48"/>
  <c r="H17" i="48" s="1"/>
  <c r="I39" i="48"/>
  <c r="H39" i="48" s="1"/>
  <c r="V1123" i="6"/>
  <c r="V5793" i="6"/>
  <c r="O808" i="14"/>
  <c r="M511" i="14"/>
  <c r="R511" i="14" s="1"/>
  <c r="P253" i="14"/>
  <c r="M624" i="14"/>
  <c r="R624" i="14" s="1"/>
  <c r="J2" i="14"/>
  <c r="P111" i="14"/>
  <c r="V397" i="6"/>
  <c r="O40" i="14"/>
  <c r="P40" i="14" s="1"/>
  <c r="P412" i="14"/>
  <c r="V2880" i="6"/>
  <c r="O414" i="14"/>
  <c r="P414" i="14" s="1"/>
  <c r="M808" i="14"/>
  <c r="R808" i="14" s="1"/>
  <c r="V2484" i="6"/>
  <c r="O372" i="14"/>
  <c r="P372" i="14" s="1"/>
  <c r="P546" i="14"/>
  <c r="U5905" i="6"/>
  <c r="O828" i="14" s="1"/>
  <c r="M828" i="14"/>
  <c r="R828" i="14" s="1"/>
  <c r="P472" i="14"/>
  <c r="O415" i="14"/>
  <c r="P415" i="14" s="1"/>
  <c r="U5840" i="6"/>
  <c r="M815" i="14"/>
  <c r="R815" i="14" s="1"/>
  <c r="P101" i="14"/>
  <c r="P466" i="14"/>
  <c r="P4" i="14"/>
  <c r="P68" i="14"/>
  <c r="V4953" i="6"/>
  <c r="O681" i="14"/>
  <c r="P681" i="14" s="1"/>
  <c r="V23" i="6"/>
  <c r="O5" i="14"/>
  <c r="P5" i="14" s="1"/>
  <c r="U5896" i="6"/>
  <c r="O827" i="14" s="1"/>
  <c r="M827" i="14"/>
  <c r="R827" i="14" s="1"/>
  <c r="O291" i="14"/>
  <c r="P291" i="14" s="1"/>
  <c r="V2044" i="6"/>
  <c r="U1769" i="6"/>
  <c r="V1769" i="6" s="1"/>
  <c r="M238" i="14"/>
  <c r="R238" i="14" s="1"/>
  <c r="U1376" i="6"/>
  <c r="M185" i="14"/>
  <c r="R185" i="14" s="1"/>
  <c r="U4317" i="6"/>
  <c r="M602" i="14"/>
  <c r="R602" i="14" s="1"/>
  <c r="V165" i="6"/>
  <c r="O18" i="14"/>
  <c r="P18" i="14" s="1"/>
  <c r="U5883" i="6"/>
  <c r="O826" i="14" s="1"/>
  <c r="M826" i="14"/>
  <c r="R826" i="14" s="1"/>
  <c r="O431" i="14"/>
  <c r="P431" i="14" s="1"/>
  <c r="V3063" i="6"/>
  <c r="E35" i="48"/>
  <c r="I35" i="48" s="1"/>
  <c r="H35" i="48" s="1"/>
  <c r="P521" i="14"/>
  <c r="V2671" i="6"/>
  <c r="O389" i="14"/>
  <c r="P389" i="14" s="1"/>
  <c r="O24" i="14"/>
  <c r="P24" i="14" s="1"/>
  <c r="V253" i="6"/>
  <c r="U5737" i="6"/>
  <c r="M795" i="14"/>
  <c r="R795" i="14" s="1"/>
  <c r="V4751" i="6"/>
  <c r="F46" i="48"/>
  <c r="O656" i="14"/>
  <c r="P656" i="14" s="1"/>
  <c r="V4236" i="6"/>
  <c r="O596" i="14"/>
  <c r="P596" i="14" s="1"/>
  <c r="V2601" i="6"/>
  <c r="O386" i="14"/>
  <c r="P386" i="14" s="1"/>
  <c r="P467" i="14"/>
  <c r="V3612" i="6"/>
  <c r="O507" i="14"/>
  <c r="P507" i="14" s="1"/>
  <c r="D42" i="48"/>
  <c r="N4832" i="6"/>
  <c r="P4832" i="6" s="1"/>
  <c r="U4832" i="6" s="1"/>
  <c r="V4832" i="6" s="1"/>
  <c r="N4836" i="6"/>
  <c r="P4836" i="6" s="1"/>
  <c r="U4836" i="6" s="1"/>
  <c r="V4836" i="6" s="1"/>
  <c r="N4833" i="6"/>
  <c r="P4833" i="6" s="1"/>
  <c r="U4833" i="6" s="1"/>
  <c r="V4833" i="6" s="1"/>
  <c r="Q668" i="14"/>
  <c r="N4834" i="6"/>
  <c r="P4834" i="6" s="1"/>
  <c r="U4834" i="6" s="1"/>
  <c r="N4828" i="6"/>
  <c r="P4828" i="6" s="1"/>
  <c r="N4829" i="6"/>
  <c r="P4829" i="6" s="1"/>
  <c r="U4829" i="6" s="1"/>
  <c r="N4831" i="6"/>
  <c r="P4831" i="6" s="1"/>
  <c r="U4831" i="6" s="1"/>
  <c r="V4831" i="6" s="1"/>
  <c r="N4835" i="6"/>
  <c r="P4835" i="6" s="1"/>
  <c r="U4835" i="6" s="1"/>
  <c r="V4835" i="6" s="1"/>
  <c r="N4837" i="6"/>
  <c r="P4837" i="6" s="1"/>
  <c r="U4837" i="6" s="1"/>
  <c r="V4837" i="6" s="1"/>
  <c r="N4830" i="6"/>
  <c r="P4830" i="6" s="1"/>
  <c r="U4830" i="6" s="1"/>
  <c r="V4830" i="6" s="1"/>
  <c r="O532" i="14"/>
  <c r="P532" i="14" s="1"/>
  <c r="V3786" i="6"/>
  <c r="V4491" i="6"/>
  <c r="O627" i="14"/>
  <c r="P627" i="14" s="1"/>
  <c r="U5879" i="6"/>
  <c r="M823" i="14"/>
  <c r="R823" i="14" s="1"/>
  <c r="V2747" i="6"/>
  <c r="O396" i="14"/>
  <c r="P396" i="14" s="1"/>
  <c r="E24" i="48"/>
  <c r="U5803" i="6"/>
  <c r="M810" i="14"/>
  <c r="R810" i="14" s="1"/>
  <c r="O506" i="14"/>
  <c r="P506" i="14" s="1"/>
  <c r="V3608" i="6"/>
  <c r="E37" i="48"/>
  <c r="V5168" i="6"/>
  <c r="O707" i="14"/>
  <c r="P707" i="14" s="1"/>
  <c r="M197" i="14"/>
  <c r="R197" i="14" s="1"/>
  <c r="O197" i="14"/>
  <c r="P571" i="14"/>
  <c r="D20" i="48"/>
  <c r="O798" i="14"/>
  <c r="P798" i="14" s="1"/>
  <c r="V5744" i="6"/>
  <c r="O588" i="14"/>
  <c r="P588" i="14" s="1"/>
  <c r="U5878" i="6"/>
  <c r="M822" i="14"/>
  <c r="R822" i="14" s="1"/>
  <c r="M142" i="14"/>
  <c r="R142" i="14" s="1"/>
  <c r="P375" i="14"/>
  <c r="P482" i="14"/>
  <c r="N1258" i="6"/>
  <c r="N1264" i="6"/>
  <c r="N1266" i="6"/>
  <c r="N1261" i="6"/>
  <c r="N1263" i="6"/>
  <c r="H169" i="14"/>
  <c r="N1260" i="6"/>
  <c r="N1268" i="6"/>
  <c r="N1257" i="6"/>
  <c r="N1259" i="6"/>
  <c r="N1265" i="6"/>
  <c r="N1262" i="6"/>
  <c r="N1267" i="6"/>
  <c r="V3797" i="6"/>
  <c r="O534" i="14"/>
  <c r="P534" i="14" s="1"/>
  <c r="U5397" i="6"/>
  <c r="M739" i="14"/>
  <c r="R739" i="14" s="1"/>
  <c r="V4457" i="6"/>
  <c r="O623" i="14"/>
  <c r="P623" i="14" s="1"/>
  <c r="V5794" i="6"/>
  <c r="O809" i="14"/>
  <c r="P809" i="14" s="1"/>
  <c r="V5588" i="6"/>
  <c r="O770" i="14"/>
  <c r="P770" i="14" s="1"/>
  <c r="O548" i="14"/>
  <c r="P548" i="14" s="1"/>
  <c r="V3905" i="6"/>
  <c r="O598" i="14"/>
  <c r="P598" i="14" s="1"/>
  <c r="U5761" i="6"/>
  <c r="M801" i="14"/>
  <c r="R801" i="14" s="1"/>
  <c r="D41" i="48"/>
  <c r="V2576" i="6"/>
  <c r="E42" i="48"/>
  <c r="O380" i="14"/>
  <c r="P380" i="14" s="1"/>
  <c r="V3384" i="6"/>
  <c r="O473" i="14"/>
  <c r="P473" i="14" s="1"/>
  <c r="P666" i="14"/>
  <c r="V3869" i="6"/>
  <c r="O545" i="14"/>
  <c r="P545" i="14" s="1"/>
  <c r="O625" i="14"/>
  <c r="P625" i="14" s="1"/>
  <c r="V4471" i="6"/>
  <c r="V3552" i="6"/>
  <c r="O496" i="14"/>
  <c r="P496" i="14" s="1"/>
  <c r="V3637" i="6"/>
  <c r="O511" i="14"/>
  <c r="P511" i="14" s="1"/>
  <c r="O624" i="14"/>
  <c r="V4462" i="6"/>
  <c r="V3469" i="6"/>
  <c r="O481" i="14"/>
  <c r="P481" i="14" s="1"/>
  <c r="O522" i="14"/>
  <c r="V3921" i="6"/>
  <c r="O549" i="14"/>
  <c r="P549" i="14" s="1"/>
  <c r="U5448" i="6"/>
  <c r="O746" i="14" s="1"/>
  <c r="M746" i="14"/>
  <c r="R746" i="14" s="1"/>
  <c r="O812" i="14"/>
  <c r="P812" i="14" s="1"/>
  <c r="V4221" i="6"/>
  <c r="O595" i="14"/>
  <c r="P595" i="14" s="1"/>
  <c r="V4482" i="6"/>
  <c r="O626" i="14"/>
  <c r="P626" i="14" s="1"/>
  <c r="D45" i="48"/>
  <c r="I45" i="48" s="1"/>
  <c r="H45" i="48" s="1"/>
  <c r="V4192" i="6"/>
  <c r="F41" i="48"/>
  <c r="O590" i="14"/>
  <c r="P590" i="14" s="1"/>
  <c r="V3279" i="6"/>
  <c r="O461" i="14"/>
  <c r="P461" i="14" s="1"/>
  <c r="V4525" i="6"/>
  <c r="O633" i="14"/>
  <c r="P633" i="14" s="1"/>
  <c r="O512" i="14"/>
  <c r="P512" i="14" s="1"/>
  <c r="V3860" i="6"/>
  <c r="O544" i="14"/>
  <c r="P544" i="14" s="1"/>
  <c r="V4063" i="6"/>
  <c r="O570" i="14"/>
  <c r="P570" i="14" s="1"/>
  <c r="O277" i="14"/>
  <c r="P277" i="14" s="1"/>
  <c r="V3738" i="6"/>
  <c r="O525" i="14"/>
  <c r="P525" i="14" s="1"/>
  <c r="O621" i="14"/>
  <c r="P621" i="14" s="1"/>
  <c r="V4441" i="6"/>
  <c r="F44" i="48"/>
  <c r="V1670" i="6"/>
  <c r="O226" i="14"/>
  <c r="P226" i="14" s="1"/>
  <c r="V4432" i="6"/>
  <c r="O620" i="14"/>
  <c r="P620" i="14" s="1"/>
  <c r="M522" i="14"/>
  <c r="R522" i="14" s="1"/>
  <c r="U5568" i="6"/>
  <c r="O766" i="14" s="1"/>
  <c r="M766" i="14"/>
  <c r="R766" i="14" s="1"/>
  <c r="O526" i="14"/>
  <c r="P526" i="14" s="1"/>
  <c r="V3746" i="6"/>
  <c r="V3317" i="6"/>
  <c r="O465" i="14"/>
  <c r="P465" i="14" s="1"/>
  <c r="F34" i="48"/>
  <c r="O293" i="14"/>
  <c r="P293" i="14" s="1"/>
  <c r="V2059" i="6"/>
  <c r="V4415" i="6"/>
  <c r="O616" i="14"/>
  <c r="P616" i="14" s="1"/>
  <c r="V4257" i="6"/>
  <c r="O597" i="14"/>
  <c r="P597" i="14" s="1"/>
  <c r="V4140" i="6"/>
  <c r="O586" i="14"/>
  <c r="P586" i="14" s="1"/>
  <c r="V3680" i="6"/>
  <c r="O519" i="14"/>
  <c r="P519" i="14" s="1"/>
  <c r="O513" i="14"/>
  <c r="P513" i="14" s="1"/>
  <c r="V3655" i="6"/>
  <c r="V4349" i="6"/>
  <c r="O605" i="14"/>
  <c r="P605" i="14" s="1"/>
  <c r="V3433" i="6"/>
  <c r="O478" i="14"/>
  <c r="P478" i="14" s="1"/>
  <c r="O562" i="14"/>
  <c r="P562" i="14" s="1"/>
  <c r="V2709" i="6"/>
  <c r="O393" i="14"/>
  <c r="P393" i="14" s="1"/>
  <c r="V4337" i="6"/>
  <c r="O604" i="14"/>
  <c r="P604" i="14" s="1"/>
  <c r="U5615" i="6"/>
  <c r="M774" i="14"/>
  <c r="R774" i="14" s="1"/>
  <c r="V3843" i="6"/>
  <c r="O542" i="14"/>
  <c r="P542" i="14" s="1"/>
  <c r="V2646" i="6"/>
  <c r="O388" i="14"/>
  <c r="P388" i="14" s="1"/>
  <c r="V4500" i="6"/>
  <c r="O630" i="14"/>
  <c r="P630" i="14" s="1"/>
  <c r="D46" i="48"/>
  <c r="I46" i="48" s="1"/>
  <c r="H46" i="48" s="1"/>
  <c r="V5816" i="6"/>
  <c r="O811" i="14"/>
  <c r="P811" i="14" s="1"/>
  <c r="V3454" i="6"/>
  <c r="O480" i="14"/>
  <c r="P480" i="14" s="1"/>
  <c r="D36" i="48"/>
  <c r="V3600" i="6"/>
  <c r="O500" i="14"/>
  <c r="P500" i="14" s="1"/>
  <c r="V2688" i="6"/>
  <c r="O392" i="14"/>
  <c r="P392" i="14" s="1"/>
  <c r="V3983" i="6"/>
  <c r="O560" i="14"/>
  <c r="P560" i="14" s="1"/>
  <c r="V3537" i="6"/>
  <c r="O495" i="14"/>
  <c r="P495" i="14" s="1"/>
  <c r="U5877" i="6"/>
  <c r="M821" i="14"/>
  <c r="R821" i="14" s="1"/>
  <c r="U5706" i="6"/>
  <c r="M791" i="14"/>
  <c r="R791" i="14" s="1"/>
  <c r="U5555" i="6"/>
  <c r="M765" i="14"/>
  <c r="R765" i="14" s="1"/>
  <c r="V3805" i="6"/>
  <c r="O538" i="14"/>
  <c r="P538" i="14" s="1"/>
  <c r="V1845" i="6"/>
  <c r="O254" i="14"/>
  <c r="P254" i="14" s="1"/>
  <c r="V4155" i="6"/>
  <c r="O587" i="14"/>
  <c r="P587" i="14" s="1"/>
  <c r="V4112" i="6"/>
  <c r="O584" i="14"/>
  <c r="P584" i="14" s="1"/>
  <c r="V3835" i="6"/>
  <c r="O541" i="14"/>
  <c r="P541" i="14" s="1"/>
  <c r="V4513" i="6"/>
  <c r="O631" i="14"/>
  <c r="P631" i="14" s="1"/>
  <c r="V3994" i="6"/>
  <c r="O561" i="14"/>
  <c r="P561" i="14" s="1"/>
  <c r="V4179" i="6"/>
  <c r="O589" i="14"/>
  <c r="P589" i="14" s="1"/>
  <c r="G54" i="48"/>
  <c r="V5520" i="6"/>
  <c r="V4405" i="6"/>
  <c r="O615" i="14"/>
  <c r="P615" i="14" s="1"/>
  <c r="V1744" i="6"/>
  <c r="O236" i="14"/>
  <c r="P236" i="14" s="1"/>
  <c r="C3" i="48"/>
  <c r="O817" i="14"/>
  <c r="U5690" i="6"/>
  <c r="M789" i="14"/>
  <c r="R789" i="14" s="1"/>
  <c r="U5530" i="6"/>
  <c r="M758" i="14"/>
  <c r="R758" i="14" s="1"/>
  <c r="V5167" i="6"/>
  <c r="O706" i="14"/>
  <c r="P706" i="14" s="1"/>
  <c r="E51" i="48"/>
  <c r="P4765" i="6"/>
  <c r="N2" i="6"/>
  <c r="V5489" i="6"/>
  <c r="O753" i="14"/>
  <c r="P753" i="14" s="1"/>
  <c r="V4826" i="6"/>
  <c r="O667" i="14"/>
  <c r="P667" i="14" s="1"/>
  <c r="P11" i="14"/>
  <c r="O171" i="14"/>
  <c r="P171" i="14" s="1"/>
  <c r="V1287" i="6"/>
  <c r="U5429" i="6"/>
  <c r="M744" i="14"/>
  <c r="R744" i="14" s="1"/>
  <c r="V2624" i="6"/>
  <c r="O387" i="14"/>
  <c r="P387" i="14" s="1"/>
  <c r="U3698" i="6"/>
  <c r="M520" i="14"/>
  <c r="R520" i="14" s="1"/>
  <c r="U5579" i="6"/>
  <c r="O767" i="14" s="1"/>
  <c r="M767" i="14"/>
  <c r="R767" i="14" s="1"/>
  <c r="P184" i="14"/>
  <c r="I13" i="48"/>
  <c r="O168" i="14"/>
  <c r="P168" i="14" s="1"/>
  <c r="V1241" i="6"/>
  <c r="D54" i="48"/>
  <c r="O205" i="14"/>
  <c r="P205" i="14" s="1"/>
  <c r="V1547" i="6"/>
  <c r="G33" i="48"/>
  <c r="V3346" i="6"/>
  <c r="U4136" i="6"/>
  <c r="M585" i="14"/>
  <c r="R585" i="14" s="1"/>
  <c r="U5437" i="6"/>
  <c r="M745" i="14"/>
  <c r="R745" i="14" s="1"/>
  <c r="O399" i="14"/>
  <c r="P399" i="14" s="1"/>
  <c r="V2783" i="6"/>
  <c r="E40" i="48"/>
  <c r="I40" i="48" s="1"/>
  <c r="H40" i="48" s="1"/>
  <c r="U5703" i="6"/>
  <c r="O790" i="14" s="1"/>
  <c r="M790" i="14"/>
  <c r="R790" i="14" s="1"/>
  <c r="G47" i="48"/>
  <c r="V1119" i="6"/>
  <c r="O142" i="14"/>
  <c r="P142" i="14" s="1"/>
  <c r="V1787" i="6"/>
  <c r="V5658" i="6"/>
  <c r="O783" i="14"/>
  <c r="P783" i="14" s="1"/>
  <c r="V1204" i="6"/>
  <c r="O159" i="14"/>
  <c r="P159" i="14" s="1"/>
  <c r="V1349" i="6"/>
  <c r="V1004" i="6"/>
  <c r="O128" i="14"/>
  <c r="P128" i="14" s="1"/>
  <c r="D19" i="48"/>
  <c r="I19" i="48" s="1"/>
  <c r="H19" i="48" s="1"/>
  <c r="V4834" i="6"/>
  <c r="D52" i="48"/>
  <c r="I52" i="48" s="1"/>
  <c r="H52" i="48" s="1"/>
  <c r="C4" i="48" l="1"/>
  <c r="C7" i="48" s="1"/>
  <c r="O831" i="14"/>
  <c r="I11" i="48"/>
  <c r="P539" i="14"/>
  <c r="I14" i="48"/>
  <c r="H14" i="48" s="1"/>
  <c r="C58" i="48"/>
  <c r="V1134" i="6"/>
  <c r="D25" i="48"/>
  <c r="I25" i="48" s="1"/>
  <c r="H25" i="48" s="1"/>
  <c r="V5597" i="6"/>
  <c r="O771" i="14"/>
  <c r="P771" i="14" s="1"/>
  <c r="V5478" i="6"/>
  <c r="O751" i="14"/>
  <c r="P751" i="14" s="1"/>
  <c r="V5018" i="6"/>
  <c r="O688" i="14"/>
  <c r="P688" i="14" s="1"/>
  <c r="O775" i="14"/>
  <c r="P775" i="14" s="1"/>
  <c r="V5629" i="6"/>
  <c r="O733" i="14"/>
  <c r="P733" i="14" s="1"/>
  <c r="V5358" i="6"/>
  <c r="V5455" i="6"/>
  <c r="O747" i="14"/>
  <c r="P747" i="14" s="1"/>
  <c r="V5178" i="6"/>
  <c r="O708" i="14"/>
  <c r="P708" i="14" s="1"/>
  <c r="P624" i="14"/>
  <c r="V5282" i="6"/>
  <c r="O722" i="14"/>
  <c r="P722" i="14" s="1"/>
  <c r="V5130" i="6"/>
  <c r="O702" i="14"/>
  <c r="P702" i="14" s="1"/>
  <c r="P720" i="14"/>
  <c r="V5416" i="6"/>
  <c r="O743" i="14"/>
  <c r="P743" i="14" s="1"/>
  <c r="U1133" i="6"/>
  <c r="O143" i="14" s="1"/>
  <c r="M143" i="14"/>
  <c r="R143" i="14" s="1"/>
  <c r="U1382" i="6"/>
  <c r="M186" i="14"/>
  <c r="R186" i="14" s="1"/>
  <c r="V5776" i="6"/>
  <c r="O803" i="14"/>
  <c r="P803" i="14" s="1"/>
  <c r="V5269" i="6"/>
  <c r="O721" i="14"/>
  <c r="P721" i="14" s="1"/>
  <c r="V3679" i="6"/>
  <c r="O518" i="14"/>
  <c r="P518" i="14" s="1"/>
  <c r="E36" i="48"/>
  <c r="I36" i="48" s="1"/>
  <c r="H36" i="48" s="1"/>
  <c r="V5666" i="6"/>
  <c r="F56" i="48"/>
  <c r="O787" i="14"/>
  <c r="P787" i="14" s="1"/>
  <c r="V1319" i="6"/>
  <c r="O175" i="14"/>
  <c r="P175" i="14" s="1"/>
  <c r="D33" i="48"/>
  <c r="I33" i="48" s="1"/>
  <c r="H33" i="48" s="1"/>
  <c r="P788" i="14"/>
  <c r="P800" i="14"/>
  <c r="V3522" i="6"/>
  <c r="O488" i="14"/>
  <c r="P488" i="14" s="1"/>
  <c r="V5636" i="6"/>
  <c r="O776" i="14"/>
  <c r="P776" i="14" s="1"/>
  <c r="O1574" i="6"/>
  <c r="P1574" i="6" s="1"/>
  <c r="U1574" i="6" s="1"/>
  <c r="V1574" i="6" s="1"/>
  <c r="O1577" i="6"/>
  <c r="P1577" i="6" s="1"/>
  <c r="U1577" i="6" s="1"/>
  <c r="V1577" i="6" s="1"/>
  <c r="O1575" i="6"/>
  <c r="P1575" i="6" s="1"/>
  <c r="U1575" i="6" s="1"/>
  <c r="V1575" i="6" s="1"/>
  <c r="O1576" i="6"/>
  <c r="P1576" i="6" s="1"/>
  <c r="U1576" i="6" s="1"/>
  <c r="V1576" i="6" s="1"/>
  <c r="O1568" i="6"/>
  <c r="P1568" i="6" s="1"/>
  <c r="O1579" i="6"/>
  <c r="P1579" i="6" s="1"/>
  <c r="U1579" i="6" s="1"/>
  <c r="V1579" i="6" s="1"/>
  <c r="O1573" i="6"/>
  <c r="P1573" i="6" s="1"/>
  <c r="U1573" i="6" s="1"/>
  <c r="O1581" i="6"/>
  <c r="P1581" i="6" s="1"/>
  <c r="U1581" i="6" s="1"/>
  <c r="V1581" i="6" s="1"/>
  <c r="O1583" i="6"/>
  <c r="P1583" i="6" s="1"/>
  <c r="U1583" i="6" s="1"/>
  <c r="V1583" i="6" s="1"/>
  <c r="O1570" i="6"/>
  <c r="P1570" i="6" s="1"/>
  <c r="U1570" i="6" s="1"/>
  <c r="V1570" i="6" s="1"/>
  <c r="O1580" i="6"/>
  <c r="P1580" i="6" s="1"/>
  <c r="U1580" i="6" s="1"/>
  <c r="V1580" i="6" s="1"/>
  <c r="O1569" i="6"/>
  <c r="P1569" i="6" s="1"/>
  <c r="U1569" i="6" s="1"/>
  <c r="V1569" i="6" s="1"/>
  <c r="O1572" i="6"/>
  <c r="O1571" i="6"/>
  <c r="O1578" i="6"/>
  <c r="P1578" i="6" s="1"/>
  <c r="U1578" i="6" s="1"/>
  <c r="O1582" i="6"/>
  <c r="P1582" i="6" s="1"/>
  <c r="U1582" i="6" s="1"/>
  <c r="V1582" i="6" s="1"/>
  <c r="V494" i="6"/>
  <c r="O54" i="14"/>
  <c r="P54" i="14" s="1"/>
  <c r="F18" i="48"/>
  <c r="I18" i="48" s="1"/>
  <c r="H18" i="48" s="1"/>
  <c r="U1269" i="6"/>
  <c r="M170" i="14"/>
  <c r="R170" i="14" s="1"/>
  <c r="E20" i="48"/>
  <c r="I20" i="48" s="1"/>
  <c r="H20" i="48" s="1"/>
  <c r="V1148" i="6"/>
  <c r="O146" i="14"/>
  <c r="P146" i="14" s="1"/>
  <c r="P1572" i="6"/>
  <c r="U1572" i="6" s="1"/>
  <c r="P1571" i="6"/>
  <c r="U1571" i="6" s="1"/>
  <c r="V1571" i="6" s="1"/>
  <c r="P792" i="14"/>
  <c r="U1793" i="6"/>
  <c r="M241" i="14"/>
  <c r="R241" i="14" s="1"/>
  <c r="V5328" i="6"/>
  <c r="O727" i="14"/>
  <c r="P727" i="14" s="1"/>
  <c r="V5383" i="6"/>
  <c r="O737" i="14"/>
  <c r="P737" i="14" s="1"/>
  <c r="P710" i="14"/>
  <c r="V5215" i="6"/>
  <c r="O711" i="14"/>
  <c r="P711" i="14" s="1"/>
  <c r="V1762" i="6"/>
  <c r="D32" i="48"/>
  <c r="I32" i="48" s="1"/>
  <c r="H32" i="48" s="1"/>
  <c r="V5727" i="6"/>
  <c r="O794" i="14"/>
  <c r="P794" i="14" s="1"/>
  <c r="V1608" i="6"/>
  <c r="O218" i="14"/>
  <c r="P218" i="14" s="1"/>
  <c r="V5766" i="6"/>
  <c r="O802" i="14"/>
  <c r="P802" i="14" s="1"/>
  <c r="V1764" i="6"/>
  <c r="D31" i="48"/>
  <c r="M237" i="14"/>
  <c r="R237" i="14" s="1"/>
  <c r="U1753" i="6"/>
  <c r="V5302" i="6"/>
  <c r="O724" i="14"/>
  <c r="P724" i="14" s="1"/>
  <c r="D34" i="48"/>
  <c r="I34" i="48" s="1"/>
  <c r="H34" i="48" s="1"/>
  <c r="V1916" i="6"/>
  <c r="E31" i="48"/>
  <c r="O274" i="14"/>
  <c r="P274" i="14" s="1"/>
  <c r="V5116" i="6"/>
  <c r="O701" i="14"/>
  <c r="P701" i="14" s="1"/>
  <c r="O238" i="14"/>
  <c r="P238" i="14" s="1"/>
  <c r="P718" i="14"/>
  <c r="V5511" i="6"/>
  <c r="O756" i="14"/>
  <c r="P756" i="14" s="1"/>
  <c r="V5646" i="6"/>
  <c r="O777" i="14"/>
  <c r="P777" i="14" s="1"/>
  <c r="V5464" i="6"/>
  <c r="O750" i="14"/>
  <c r="P750" i="14" s="1"/>
  <c r="V5390" i="6"/>
  <c r="O738" i="14"/>
  <c r="P738" i="14" s="1"/>
  <c r="V1801" i="6"/>
  <c r="D43" i="48"/>
  <c r="I43" i="48" s="1"/>
  <c r="H43" i="48" s="1"/>
  <c r="V5228" i="6"/>
  <c r="O715" i="14"/>
  <c r="P715" i="14" s="1"/>
  <c r="O824" i="14"/>
  <c r="AB2" i="6"/>
  <c r="B4" i="48"/>
  <c r="V5332" i="6"/>
  <c r="O728" i="14"/>
  <c r="P728" i="14" s="1"/>
  <c r="V4923" i="6"/>
  <c r="O678" i="14"/>
  <c r="P678" i="14" s="1"/>
  <c r="D48" i="48"/>
  <c r="I48" i="48" s="1"/>
  <c r="H48" i="48" s="1"/>
  <c r="V5290" i="6"/>
  <c r="O723" i="14"/>
  <c r="P723" i="14" s="1"/>
  <c r="V5245" i="6"/>
  <c r="O717" i="14"/>
  <c r="P717" i="14" s="1"/>
  <c r="V5041" i="6"/>
  <c r="D49" i="48"/>
  <c r="I49" i="48" s="1"/>
  <c r="H49" i="48" s="1"/>
  <c r="O691" i="14"/>
  <c r="P691" i="14" s="1"/>
  <c r="D21" i="48"/>
  <c r="I21" i="48" s="1"/>
  <c r="H21" i="48" s="1"/>
  <c r="V3580" i="6"/>
  <c r="O501" i="14"/>
  <c r="P501" i="14" s="1"/>
  <c r="V5346" i="6"/>
  <c r="O731" i="14"/>
  <c r="P731" i="14" s="1"/>
  <c r="P726" i="14"/>
  <c r="V5086" i="6"/>
  <c r="O699" i="14"/>
  <c r="P699" i="14" s="1"/>
  <c r="V2294" i="6"/>
  <c r="O346" i="14"/>
  <c r="P346" i="14" s="1"/>
  <c r="V5653" i="6"/>
  <c r="O778" i="14"/>
  <c r="P778" i="14" s="1"/>
  <c r="V4969" i="6"/>
  <c r="O683" i="14"/>
  <c r="P683" i="14" s="1"/>
  <c r="V5509" i="6"/>
  <c r="O755" i="14"/>
  <c r="P755" i="14" s="1"/>
  <c r="I42" i="48"/>
  <c r="H42" i="48" s="1"/>
  <c r="U1601" i="6"/>
  <c r="M216" i="14"/>
  <c r="R216" i="14" s="1"/>
  <c r="V5840" i="6"/>
  <c r="O815" i="14"/>
  <c r="P815" i="14" s="1"/>
  <c r="P197" i="14"/>
  <c r="P808" i="14"/>
  <c r="V4317" i="6"/>
  <c r="O602" i="14"/>
  <c r="P602" i="14" s="1"/>
  <c r="V5737" i="6"/>
  <c r="O795" i="14"/>
  <c r="P795" i="14" s="1"/>
  <c r="V1376" i="6"/>
  <c r="O185" i="14"/>
  <c r="P185" i="14" s="1"/>
  <c r="U4828" i="6"/>
  <c r="M668" i="14"/>
  <c r="R668" i="14" s="1"/>
  <c r="O668" i="14"/>
  <c r="Z2" i="6"/>
  <c r="V5879" i="6"/>
  <c r="O823" i="14"/>
  <c r="P823" i="14" s="1"/>
  <c r="B3" i="48"/>
  <c r="I54" i="48"/>
  <c r="H54" i="48" s="1"/>
  <c r="V5803" i="6"/>
  <c r="O810" i="14"/>
  <c r="P810" i="14" s="1"/>
  <c r="V4829" i="6"/>
  <c r="D51" i="48"/>
  <c r="I51" i="48" s="1"/>
  <c r="H51" i="48" s="1"/>
  <c r="O822" i="14"/>
  <c r="P822" i="14" s="1"/>
  <c r="E57" i="48"/>
  <c r="E58" i="48" s="1"/>
  <c r="V5878" i="6"/>
  <c r="O1266" i="6"/>
  <c r="P1266" i="6" s="1"/>
  <c r="U1266" i="6" s="1"/>
  <c r="O1263" i="6"/>
  <c r="P1263" i="6" s="1"/>
  <c r="U1263" i="6" s="1"/>
  <c r="V1263" i="6" s="1"/>
  <c r="O1260" i="6"/>
  <c r="P1260" i="6" s="1"/>
  <c r="U1260" i="6" s="1"/>
  <c r="V1260" i="6" s="1"/>
  <c r="O1258" i="6"/>
  <c r="P1258" i="6" s="1"/>
  <c r="U1258" i="6" s="1"/>
  <c r="V1258" i="6" s="1"/>
  <c r="O1259" i="6"/>
  <c r="P1259" i="6" s="1"/>
  <c r="U1259" i="6" s="1"/>
  <c r="O1261" i="6"/>
  <c r="P1261" i="6" s="1"/>
  <c r="U1261" i="6" s="1"/>
  <c r="V1261" i="6" s="1"/>
  <c r="O1262" i="6"/>
  <c r="P1262" i="6" s="1"/>
  <c r="U1262" i="6" s="1"/>
  <c r="O1265" i="6"/>
  <c r="P1265" i="6" s="1"/>
  <c r="U1265" i="6" s="1"/>
  <c r="O1264" i="6"/>
  <c r="P1264" i="6" s="1"/>
  <c r="U1264" i="6" s="1"/>
  <c r="V1264" i="6" s="1"/>
  <c r="O1268" i="6"/>
  <c r="P1268" i="6" s="1"/>
  <c r="U1268" i="6" s="1"/>
  <c r="O1257" i="6"/>
  <c r="O1267" i="6"/>
  <c r="P1267" i="6" s="1"/>
  <c r="U1267" i="6" s="1"/>
  <c r="V5877" i="6"/>
  <c r="O821" i="14"/>
  <c r="P821" i="14" s="1"/>
  <c r="P790" i="14"/>
  <c r="V5555" i="6"/>
  <c r="O765" i="14"/>
  <c r="P765" i="14" s="1"/>
  <c r="V5615" i="6"/>
  <c r="O774" i="14"/>
  <c r="P774" i="14" s="1"/>
  <c r="P766" i="14"/>
  <c r="P522" i="14"/>
  <c r="I41" i="48"/>
  <c r="H41" i="48" s="1"/>
  <c r="V5706" i="6"/>
  <c r="O791" i="14"/>
  <c r="P791" i="14" s="1"/>
  <c r="P746" i="14"/>
  <c r="V5761" i="6"/>
  <c r="O801" i="14"/>
  <c r="P801" i="14" s="1"/>
  <c r="V5397" i="6"/>
  <c r="D53" i="48"/>
  <c r="I53" i="48" s="1"/>
  <c r="H53" i="48" s="1"/>
  <c r="O739" i="14"/>
  <c r="P739" i="14" s="1"/>
  <c r="V5437" i="6"/>
  <c r="O745" i="14"/>
  <c r="P745" i="14" s="1"/>
  <c r="D55" i="48"/>
  <c r="I55" i="48" s="1"/>
  <c r="H55" i="48" s="1"/>
  <c r="V5530" i="6"/>
  <c r="O758" i="14"/>
  <c r="P758" i="14" s="1"/>
  <c r="O585" i="14"/>
  <c r="P585" i="14" s="1"/>
  <c r="P767" i="14"/>
  <c r="V5429" i="6"/>
  <c r="D57" i="48"/>
  <c r="O744" i="14"/>
  <c r="P744" i="14" s="1"/>
  <c r="U4765" i="6"/>
  <c r="M663" i="14"/>
  <c r="R663" i="14" s="1"/>
  <c r="V5690" i="6"/>
  <c r="O789" i="14"/>
  <c r="P789" i="14" s="1"/>
  <c r="D56" i="48"/>
  <c r="I56" i="48" s="1"/>
  <c r="H56" i="48" s="1"/>
  <c r="H13" i="48"/>
  <c r="G58" i="48"/>
  <c r="V3698" i="6"/>
  <c r="O520" i="14"/>
  <c r="P520" i="14" s="1"/>
  <c r="D37" i="48"/>
  <c r="I37" i="48" s="1"/>
  <c r="H37" i="48" s="1"/>
  <c r="P143" i="14" l="1"/>
  <c r="V1382" i="6"/>
  <c r="O186" i="14"/>
  <c r="P186" i="14" s="1"/>
  <c r="V1578" i="6"/>
  <c r="D44" i="48"/>
  <c r="I44" i="48" s="1"/>
  <c r="H44" i="48" s="1"/>
  <c r="V1269" i="6"/>
  <c r="O170" i="14"/>
  <c r="P170" i="14" s="1"/>
  <c r="V1572" i="6"/>
  <c r="D29" i="48"/>
  <c r="I29" i="48" s="1"/>
  <c r="H29" i="48" s="1"/>
  <c r="V1573" i="6"/>
  <c r="D30" i="48"/>
  <c r="I30" i="48" s="1"/>
  <c r="H30" i="48" s="1"/>
  <c r="U1568" i="6"/>
  <c r="M204" i="14"/>
  <c r="R204" i="14" s="1"/>
  <c r="I57" i="48"/>
  <c r="H57" i="48" s="1"/>
  <c r="D23" i="48"/>
  <c r="I23" i="48" s="1"/>
  <c r="H23" i="48" s="1"/>
  <c r="O237" i="14"/>
  <c r="P237" i="14" s="1"/>
  <c r="V1753" i="6"/>
  <c r="I31" i="48"/>
  <c r="H31" i="48" s="1"/>
  <c r="V1793" i="6"/>
  <c r="O241" i="14"/>
  <c r="P241" i="14" s="1"/>
  <c r="O216" i="14"/>
  <c r="P216" i="14" s="1"/>
  <c r="V1601" i="6"/>
  <c r="D22" i="48"/>
  <c r="P668" i="14"/>
  <c r="O2" i="6"/>
  <c r="V4828" i="6"/>
  <c r="D50" i="48"/>
  <c r="I50" i="48" s="1"/>
  <c r="H50" i="48" s="1"/>
  <c r="V1265" i="6"/>
  <c r="D26" i="48"/>
  <c r="I26" i="48" s="1"/>
  <c r="H26" i="48" s="1"/>
  <c r="B5" i="48"/>
  <c r="B7" i="48" s="1"/>
  <c r="AD2" i="6"/>
  <c r="D28" i="48"/>
  <c r="I28" i="48" s="1"/>
  <c r="H28" i="48" s="1"/>
  <c r="V1259" i="6"/>
  <c r="V1262" i="6"/>
  <c r="D24" i="48"/>
  <c r="I24" i="48" s="1"/>
  <c r="H24" i="48" s="1"/>
  <c r="V1266" i="6"/>
  <c r="F22" i="48"/>
  <c r="P1257" i="6"/>
  <c r="V1267" i="6"/>
  <c r="F38" i="48"/>
  <c r="I38" i="48" s="1"/>
  <c r="H38" i="48" s="1"/>
  <c r="V4765" i="6"/>
  <c r="O663" i="14"/>
  <c r="P663" i="14" s="1"/>
  <c r="D47" i="48"/>
  <c r="I47" i="48" s="1"/>
  <c r="H47" i="48" s="1"/>
  <c r="V1568" i="6" l="1"/>
  <c r="O204" i="14"/>
  <c r="P204" i="14" s="1"/>
  <c r="U1257" i="6"/>
  <c r="M169" i="14"/>
  <c r="P2" i="6"/>
  <c r="F58" i="48"/>
  <c r="I22" i="48"/>
  <c r="H22" i="48" s="1"/>
  <c r="V1257" i="6" l="1"/>
  <c r="V2" i="6" s="1"/>
  <c r="D27" i="48"/>
  <c r="O169" i="14"/>
  <c r="U2" i="6"/>
  <c r="R169" i="14"/>
  <c r="M2" i="14"/>
  <c r="I27" i="48" l="1"/>
  <c r="D58" i="48"/>
  <c r="P169" i="14"/>
  <c r="P2" i="14" s="1"/>
  <c r="O2" i="14"/>
  <c r="H27" i="48" l="1"/>
  <c r="I58" i="48"/>
  <c r="H5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 Шурыгин</author>
  </authors>
  <commentList>
    <comment ref="G3" authorId="0" shapeId="0" xr:uid="{DAD038EB-8624-425A-A122-B841730318EA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1Z095EE70248804009</t>
        </r>
      </text>
    </comment>
    <comment ref="L3" authorId="0" shapeId="0" xr:uid="{42035236-9F42-4F83-8AD9-53537E9E9109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СДЭК 1522,86
Андрей 1000,00</t>
        </r>
      </text>
    </comment>
    <comment ref="G4" authorId="0" shapeId="0" xr:uid="{44E4192F-E8F8-4CB0-B269-B321AEDBB307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1LSCXLZ000YQI0M</t>
        </r>
      </text>
    </comment>
    <comment ref="L4" authorId="0" shapeId="0" xr:uid="{A8939C8C-8F0C-49BD-A7E7-DAEEF025CE76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СДЭК 1777,99
Андрей 1000,00</t>
        </r>
      </text>
    </comment>
    <comment ref="G5" authorId="0" shapeId="0" xr:uid="{5D0B3C32-7FE7-40DB-B67C-D86DB1BA505D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1LSCXLZ000Z8LTB</t>
        </r>
      </text>
    </comment>
    <comment ref="L5" authorId="0" shapeId="0" xr:uid="{A89E970F-1B15-4182-8E6F-B598D0F8B25A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СДЭК 1777,99
Андрей 1000,00</t>
        </r>
      </text>
    </comment>
    <comment ref="I11" authorId="0" shapeId="0" xr:uid="{94C4B860-E95A-479A-97C5-8B077304AD2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Скидка   -254,9
Доставка 150,00</t>
        </r>
      </text>
    </comment>
    <comment ref="L30" authorId="0" shapeId="0" xr:uid="{9C9D7159-2F14-4651-BE36-679E7BFEF691}">
      <text>
        <r>
          <rPr>
            <b/>
            <sz val="9"/>
            <color indexed="81"/>
            <rFont val="Tahoma"/>
            <family val="2"/>
            <charset val="204"/>
          </rPr>
          <t>Алексей Шурыгин: 
СДЭК 2295,13</t>
        </r>
      </text>
    </comment>
    <comment ref="A52" authorId="0" shapeId="0" xr:uid="{9AF597A3-2A11-4FDE-A727-201DD8FD5AAB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Для Наташи Ростов</t>
        </r>
      </text>
    </comment>
    <comment ref="I216" authorId="0" shapeId="0" xr:uid="{040309E9-9319-44AC-9811-0F222FA9258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Упаковка -   50,00 
Комиссия - 188,69</t>
        </r>
      </text>
    </comment>
    <comment ref="I221" authorId="0" shapeId="0" xr:uid="{42DFE468-4F2E-4BE2-897D-3688BDAD2896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Оплата бонусами</t>
        </r>
      </text>
    </comment>
    <comment ref="L236" authorId="0" shapeId="0" xr:uid="{F11EAABF-DDA3-47A3-8270-AFA034B9A4DE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4,5 кг</t>
        </r>
      </text>
    </comment>
    <comment ref="L237" authorId="0" shapeId="0" xr:uid="{0B027E17-CCF0-4905-8052-5FC822AE53E0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4,5 кг</t>
        </r>
      </text>
    </comment>
    <comment ref="L241" authorId="0" shapeId="0" xr:uid="{9822A327-0090-4A04-9F0A-FE2ADFC9FFC5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5,9 кг</t>
        </r>
      </text>
    </comment>
    <comment ref="L253" authorId="0" shapeId="0" xr:uid="{670DE052-1F90-493B-9DAE-6361A559C848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5,9 кг</t>
        </r>
      </text>
    </comment>
    <comment ref="L276" authorId="0" shapeId="0" xr:uid="{F6530B19-E956-414B-85D9-5A541D4E40FC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7,9 кг</t>
        </r>
      </text>
    </comment>
    <comment ref="L277" authorId="0" shapeId="0" xr:uid="{DA9B68C7-FC70-4932-87B8-705BC8C8C37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6,6</t>
        </r>
      </text>
    </comment>
    <comment ref="L278" authorId="0" shapeId="0" xr:uid="{C37895D3-876A-475A-827D-63BDCDE1708D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7,9 кг</t>
        </r>
      </text>
    </comment>
    <comment ref="L279" authorId="0" shapeId="0" xr:uid="{40431F02-7051-4081-BF8E-EAC2105F07BB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4,7</t>
        </r>
      </text>
    </comment>
    <comment ref="L280" authorId="0" shapeId="0" xr:uid="{63828396-BFB4-47A0-8B25-06794D286563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6,6</t>
        </r>
      </text>
    </comment>
    <comment ref="L282" authorId="0" shapeId="0" xr:uid="{0E9294A3-1CD8-4E1E-9F78-7D2CBFDB409C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4,4кг</t>
        </r>
      </text>
    </comment>
    <comment ref="L283" authorId="0" shapeId="0" xr:uid="{6DD5FC99-6143-41EC-A863-039BB00DE586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4,4кг</t>
        </r>
      </text>
    </comment>
    <comment ref="L284" authorId="0" shapeId="0" xr:uid="{9D3DB7B7-D33D-4B69-848E-21AFF403D1A5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4,7</t>
        </r>
      </text>
    </comment>
    <comment ref="L292" authorId="0" shapeId="0" xr:uid="{86202EFF-FD56-48E8-97E1-8F7FBAC670F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9,7кг</t>
        </r>
      </text>
    </comment>
    <comment ref="L293" authorId="0" shapeId="0" xr:uid="{58BFC457-B5CB-4317-BBBD-733E2165E4C0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9,7кг</t>
        </r>
      </text>
    </comment>
    <comment ref="L301" authorId="0" shapeId="0" xr:uid="{108D5ACC-D0B7-4241-A97B-40076C99F87B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9,7кг</t>
        </r>
      </text>
    </comment>
    <comment ref="L302" authorId="0" shapeId="0" xr:uid="{FE147A56-7EF5-4B65-8091-D4F63D7FACE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7,9</t>
        </r>
      </text>
    </comment>
    <comment ref="L303" authorId="0" shapeId="0" xr:uid="{7220ABC9-4108-4817-A3D4-E02E07F07A62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9,7кг</t>
        </r>
      </text>
    </comment>
    <comment ref="L304" authorId="0" shapeId="0" xr:uid="{137EC4B9-9575-46DF-BF5F-AB4F49692296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7,9</t>
        </r>
      </text>
    </comment>
    <comment ref="L305" authorId="0" shapeId="0" xr:uid="{F73A2819-2385-459F-858C-E246381BC832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7,2</t>
        </r>
      </text>
    </comment>
    <comment ref="L315" authorId="0" shapeId="0" xr:uid="{5E4E4958-3442-4259-A059-2AAF5705D982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7,2</t>
        </r>
      </text>
    </comment>
    <comment ref="L316" authorId="0" shapeId="0" xr:uid="{E6CCB48A-79D5-49CB-A61F-11D840467C2D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</t>
        </r>
      </text>
    </comment>
    <comment ref="L317" authorId="0" shapeId="0" xr:uid="{77EDE263-3E54-4D07-BFFC-D4BFB1864002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5,9кг</t>
        </r>
      </text>
    </comment>
    <comment ref="L318" authorId="0" shapeId="0" xr:uid="{037651AD-76E8-4242-9899-517629FC369A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</t>
        </r>
      </text>
    </comment>
    <comment ref="L319" authorId="0" shapeId="0" xr:uid="{781484DF-4D75-4AAA-A4D7-84761ED19E2C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</t>
        </r>
      </text>
    </comment>
    <comment ref="L320" authorId="0" shapeId="0" xr:uid="{AF328C10-1DD9-4260-8A29-880C8D65BEEA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6</t>
        </r>
      </text>
    </comment>
    <comment ref="L341" authorId="0" shapeId="0" xr:uid="{A4839199-D529-4911-9323-6A014268069F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5,9кг</t>
        </r>
      </text>
    </comment>
    <comment ref="L342" authorId="0" shapeId="0" xr:uid="{E664D435-A093-40F5-AA73-9F63A814CB4E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4,7</t>
        </r>
      </text>
    </comment>
    <comment ref="L346" authorId="0" shapeId="0" xr:uid="{5A0C6E06-B8AB-4250-888F-89E343657FD6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4,7</t>
        </r>
      </text>
    </comment>
    <comment ref="L365" authorId="0" shapeId="0" xr:uid="{5222CF43-8B09-4BB8-B9E6-9C2C2EB721BC}">
      <text>
        <r>
          <rPr>
            <b/>
            <sz val="9"/>
            <color indexed="81"/>
            <rFont val="Tahoma"/>
            <family val="2"/>
            <charset val="204"/>
          </rPr>
          <t>Алексей Шурыгин:</t>
        </r>
        <r>
          <rPr>
            <sz val="9"/>
            <color indexed="81"/>
            <rFont val="Tahoma"/>
            <family val="2"/>
            <charset val="204"/>
          </rPr>
          <t xml:space="preserve">
Доставка 1300</t>
        </r>
      </text>
    </comment>
  </commentList>
</comments>
</file>

<file path=xl/sharedStrings.xml><?xml version="1.0" encoding="utf-8"?>
<sst xmlns="http://schemas.openxmlformats.org/spreadsheetml/2006/main" count="37590" uniqueCount="5779">
  <si>
    <t>Итого доход</t>
  </si>
  <si>
    <t>Наценка</t>
  </si>
  <si>
    <t>Названия строк</t>
  </si>
  <si>
    <t>Итого затрат RUB</t>
  </si>
  <si>
    <t>Итого продаж</t>
  </si>
  <si>
    <t>Витамины</t>
  </si>
  <si>
    <t>Спортпит</t>
  </si>
  <si>
    <t>Косметика</t>
  </si>
  <si>
    <t>Парфюм</t>
  </si>
  <si>
    <t>Всего</t>
  </si>
  <si>
    <t>Общий итог</t>
  </si>
  <si>
    <t>№ заказа</t>
  </si>
  <si>
    <t>№ отслеживания</t>
  </si>
  <si>
    <t>Поставщик</t>
  </si>
  <si>
    <t>Статус</t>
  </si>
  <si>
    <t>ДатаЗ</t>
  </si>
  <si>
    <t>МесяцЗ</t>
  </si>
  <si>
    <t>Артикул</t>
  </si>
  <si>
    <t>Группа</t>
  </si>
  <si>
    <t>Бренд</t>
  </si>
  <si>
    <t>Наименование</t>
  </si>
  <si>
    <t>Цена закупки</t>
  </si>
  <si>
    <t>Вознаграждение</t>
  </si>
  <si>
    <t>Разница в оплате</t>
  </si>
  <si>
    <t>Логистика</t>
  </si>
  <si>
    <t>Итоговая цена RUB</t>
  </si>
  <si>
    <t>Продажа RUB</t>
  </si>
  <si>
    <t>ДатаП</t>
  </si>
  <si>
    <t>МесяцП</t>
  </si>
  <si>
    <t>Чистая прибыль RUB</t>
  </si>
  <si>
    <t>% наценки</t>
  </si>
  <si>
    <t>920195273</t>
  </si>
  <si>
    <t>21st Century, цитрат цинка, 50 мг, 60 таблеток CEN-28026</t>
  </si>
  <si>
    <t>21st Century, Биотин, 5000 мкг, 110 капсул CEN-27116</t>
  </si>
  <si>
    <t>NOW Foods, жирные кислоты омега-3 в мини-капсулах, 180 ЭПК / 120 ДГК, 180 капсул NOW-01685</t>
  </si>
  <si>
    <t>920406036</t>
  </si>
  <si>
    <t>NOW Foods, жирные кислоты омега-3, 180 ЭПК / 120 ДГК, 100 капсул NOW-01650</t>
  </si>
  <si>
    <t>920538149</t>
  </si>
  <si>
    <t>California Gold Nutrition, витамин D3, 125 мкг (5000 МЕ), 360 капсул из рыбьего желатина CGN-01066</t>
  </si>
  <si>
    <t>Secret Key, Освежающий успокаивающий тоник Tea Tree, 248 мл (8,38 жидк. Унции) SKE-99153</t>
  </si>
  <si>
    <t>21st Century, магний, 250 мг, 110 таблеток CEN-22713</t>
  </si>
  <si>
    <t>920706319</t>
  </si>
  <si>
    <t>Life Extension, таблетки для приема дважды в день, 60 таблеток LEX-23166</t>
  </si>
  <si>
    <t>Solaray, Медь, 2&amp;nbsp;мг, 100&amp;nbsp;вегетарианских капсул SOR-45931</t>
  </si>
  <si>
    <t>NaturesPlus, Hema-Plex, 30 таблеток с длительным высвобождением NAP-03770</t>
  </si>
  <si>
    <t>513638852</t>
  </si>
  <si>
    <t>NOW Foods, МСМ, метил-сульфонил-метан, 1000 мг, 120 капсул в растительной оболочке NOW-02120</t>
  </si>
  <si>
    <t>Life Extension, витамин B12, 500 мкг, 100 вегетарианских пастилок LEX-36110</t>
  </si>
  <si>
    <t>Mild By Nature, африканское черное кусковое мыло, с овсом и подорожником, 141 г (5 унций) MBN-01707</t>
  </si>
  <si>
    <t>NOW Foods, жирные кислоты омега-3, 180 ЭПК / 120 ДГК, 200 капсул из рыбьего желатина NOW-01648</t>
  </si>
  <si>
    <t>513694859</t>
  </si>
  <si>
    <t>Solaray, Iron (Железо), 50 мг, 60 растительных капсул SOR-46105</t>
  </si>
  <si>
    <t>NOW Foods, магний и кальций, 100 таблеток NOW-01277</t>
  </si>
  <si>
    <t>Palmer's, Формула с маслом какао, увлажняющий ночной крем, 2,7 унции (75 г) PAL-04545</t>
  </si>
  <si>
    <t>NOW Foods, силимарин двойной концентрации, 300 мг, 50 вегетарианских капсул NOW-04738</t>
  </si>
  <si>
    <t>513762663</t>
  </si>
  <si>
    <t>One-A-Day, Активный метаболизм для женщин, мультивитаминная / мультиминеральная добавка, 50 таблеток OAD-58701</t>
  </si>
  <si>
    <t>HealthyBiom, пребиотики и пробиотики для пищеварительной и иммунной систем, 12 млрд КОЕ, 30 растительных капсул HBI-02027</t>
  </si>
  <si>
    <t>Solgar, Комплекс незаменимых аминокислот, 90 растительных капсул SOL-00102</t>
  </si>
  <si>
    <t>NOW Foods, цитрат магния, 120 вегетарианских капсул NOW-01294</t>
  </si>
  <si>
    <t>Jarrow Formulas, Zinc Balance, 100 вегетарианских капсул JRW-13008</t>
  </si>
  <si>
    <t>American Health, Ester-C, 500 мг, 90 вегетарианских таблеток AMH-16971</t>
  </si>
  <si>
    <t>Natural Factors, Rx Omega-3, 120 мягких таблеток Enteripure NFS-03549</t>
  </si>
  <si>
    <t>513968611</t>
  </si>
  <si>
    <t>California Gold Nutrition, коэнзим Q10, 200 мг, 120 растительных капсул CGN-01274</t>
  </si>
  <si>
    <t>Sympli Beautiful, сыворотка со стволовыми клетками и витамином C, пробник, 15 мл (0,5 жидк. унции) SYI-02109</t>
  </si>
  <si>
    <t>Doctor's Best, глюкозамин, хондроитин и МСМ с OptiMSM, 240 вегетарианских капсул DRB-00081</t>
  </si>
  <si>
    <t>514043517</t>
  </si>
  <si>
    <t>Nordic Naturals, ДГК для детей, клубника, для детей 3–6 лет, 62.5 мг, 90 желатиновых мини-капсул NOR-01710</t>
  </si>
  <si>
    <t>Nature's Way, Alive! комплекс мультивитаминов для детей, вишня, апельсин и виноград, 60 жевательных конфет NWY-15788</t>
  </si>
  <si>
    <t>Sympli Beautiful, Омолаживающий комплекс с гиалуроновой кислотой, пробный объем, 15 мл (0,5 жидк. Унции) SYI-02110</t>
  </si>
  <si>
    <t>21st Century, добавка для здоровья глаз, лютеин и антиоксиданты, 60 таблеток CEN-27452</t>
  </si>
  <si>
    <t>21st Century, Zoo Friends с добавлением витамина C, апельсин, 60 жевательных таблеток CEN-27313</t>
  </si>
  <si>
    <t>514056164</t>
  </si>
  <si>
    <t>Boiron, Single Remedies, Фосфор, 30C, прибл. 80 гранул BOS-56913</t>
  </si>
  <si>
    <t>21st Century, кальций, магний, цинк и витамин D3, 90 таблеток CEN-22263</t>
  </si>
  <si>
    <t>Nature's Bounty, Кальций, магний и цинк с витамином D3, 100 капсул в оболочке NRT-04290</t>
  </si>
  <si>
    <t>NaturesPlus, Source of Life, Animal Parade, кальций, жевательная добавка для детей, со вкусом ванильного мороженого, 90 таблеток в форме животных NAP-29996</t>
  </si>
  <si>
    <t>21st Century, Комплекс с куркумой, 500 мг, 60 вегетарианских капсул CEN-27844</t>
  </si>
  <si>
    <t>Radiant Seoul, Осветляющий увлажняющий крем, пробный размер, 25 мл (0,85 жидк. Унции) RSE-01956</t>
  </si>
  <si>
    <t>514113876</t>
  </si>
  <si>
    <t>Arm &amp; Hammer, UltraMax, твердый дезодорант-антиперспирант для мужчин, аромат «Active Sport», 73 г (2,6 унции) ARH-19744</t>
  </si>
  <si>
    <t>Arm &amp; Hammer, UltraMax, твердый дезодорант-антиперспирант для женщин, свежий пудровый аромат, 73 г (2,6 унции) ARH-19470</t>
  </si>
  <si>
    <t>I'm From, медовая маска, 30 г (1,05 унции) IMF-05216</t>
  </si>
  <si>
    <t>Cococare, Крем с маслом ши, 110 г (4 унции) COC-09855</t>
  </si>
  <si>
    <t>Cococare, крем с маслом какао, 425 г (15 унций) COC-09015</t>
  </si>
  <si>
    <t>NutriBiotic, дезодорант, без запаха, 75 г (2,6 унции) NBC-01065</t>
  </si>
  <si>
    <t>Nature's Way, комплекс магния, 250 мг, 100 капсул NWY-41051</t>
  </si>
  <si>
    <t>Petitfee, Snow Lotus, увлажняющий и осветляющий крем для лица, 50 мл PTT-85000</t>
  </si>
  <si>
    <t>214675</t>
  </si>
  <si>
    <t>Scitec Nutrition, / Amino 5600 (500 tab)</t>
  </si>
  <si>
    <t>213018</t>
  </si>
  <si>
    <t>Mutant Mass, xXxtreme 2500 (5,45 kg triple chocolate)</t>
  </si>
  <si>
    <t>514200653</t>
  </si>
  <si>
    <t>California Gold Nutrition, Gold C, витамин C класса USP, 500 мг, 240 вегетарианских капсул CGN-00934</t>
  </si>
  <si>
    <t>NOW Foods, гинкго билоба, двойная сила, 120 мг, 50 вегетарианских капсул NOW-04682</t>
  </si>
  <si>
    <t>21st Century, One Daily, комплекс необходимых элементов, 100 таблеток CEN-27303</t>
  </si>
  <si>
    <t>21st Century, One Daily, Maximum, 100 таблеток CEN-27304</t>
  </si>
  <si>
    <t>21st Century, One Daily, мультивитаминная и мультиминеральная добавка для женщин, 100 таблеток CEN-27308</t>
  </si>
  <si>
    <t>21st Century, One Daily, для мужского здоровья, 100 таблеток CEN-27305</t>
  </si>
  <si>
    <t>NOW Foods, CoQ10 с ягодами боярышника, 100 мг, 90 растительных капсул NOW-03212</t>
  </si>
  <si>
    <t>One-A-Day, Energy, мультивитаминная / мультиминеральная добавка, 50 таблеток OAD-58700</t>
  </si>
  <si>
    <t>АН01</t>
  </si>
  <si>
    <t>Natural Factors, коэнзим Q10, 100 мг, 60 мягких таблеток NFS-02071</t>
  </si>
  <si>
    <t>Solaray, Витамины и минералы для детей, в форме жевательных таблеток, с натуральным вкусом ягод черемухи, 120 жевательных таблеток</t>
  </si>
  <si>
    <t>АН02</t>
  </si>
  <si>
    <t>Sports Research, масло примулы вечерней, 1300 мг, 30 мягких  желатиновых капсул SRE-01145</t>
  </si>
  <si>
    <t>Mild By Nature, шампунь для густоты волос с B-комплексом и биотином, розмарин и мята, 473 мл (16 жидк. унций) MBN-01231</t>
  </si>
  <si>
    <t>Avalon Organics, шампунь для густоты волос, с B-комплексом и биотином, 414 мл (14 жидк. унций) AVA-36102</t>
  </si>
  <si>
    <t>NOW Foods, порошок из шелухи семян подорожника, 340 г (12 унций) NOW-05975</t>
  </si>
  <si>
    <t>NOW Foods, Daily Vits, мультивитамины и микроэлементы, 30 вегетарианских капсул NOW-03775</t>
  </si>
  <si>
    <t>NOW Foods, сертифицированная органическая спирулина,500 мг, 100 таблеток NOW-02696</t>
  </si>
  <si>
    <t>Natural Factors, NAC N-ацетил-L цистеин, 500 мг, 90 вегетарианских капсул NFS-02815</t>
  </si>
  <si>
    <t>California Gold Nutrition, AjiPure, L-аргинин, 500 мг, 60 растительных капсул CGN-01126</t>
  </si>
  <si>
    <t>NOW Foods, Solutions, масло ши, 198 мл (7 жидк. унций) NOW-07756</t>
  </si>
  <si>
    <t>Life Extension, Sea-Iodine, 1000 мкг, 60 вегетарианских капсул LEX-17406</t>
  </si>
  <si>
    <t>OZA01</t>
  </si>
  <si>
    <t>BIG, Креатин моногидрат порошок / Creatine для набора мышечной массы / 200 Mesh / без вкуса / 150 г / 30 порций 310130219</t>
  </si>
  <si>
    <t>РО01</t>
  </si>
  <si>
    <t>АН03</t>
  </si>
  <si>
    <t>Natural Factors, цитрат магния, 150 мг, 90 капсул NFS-01652</t>
  </si>
  <si>
    <t>РО02</t>
  </si>
  <si>
    <t>NOW Foods, жирные кислоты омега-3, 180 ЭПК / 120 ДГК, 500 капсул NOW-01653</t>
  </si>
  <si>
    <t>OZA02</t>
  </si>
  <si>
    <t>MoodBooster, Гейнер для набора массы спортивное питание протеин быстрые углеводы порошок 1000гр</t>
  </si>
  <si>
    <t>АН04</t>
  </si>
  <si>
    <t>NOW Foods, витамины D3 и K2, 120 растительных капсул NOW-00369</t>
  </si>
  <si>
    <t>21st Century, биотин, 10 000 мкг, 120 таблеток, CEN-27757</t>
  </si>
  <si>
    <t>Natural Factors, цитрат цинка, 15 мг, 90 таблеток, NFS-01678</t>
  </si>
  <si>
    <t>РО03</t>
  </si>
  <si>
    <t>Life Extension, мультивитамины для приема два раза в день, 120 капсул, LEX-23141</t>
  </si>
  <si>
    <t>OZA03</t>
  </si>
  <si>
    <t>BioTech USA, Л-карнитин с хромом BiotechUSA L-Carnitine + Chrome 60 капс., 267842280</t>
  </si>
  <si>
    <t>514374003</t>
  </si>
  <si>
    <t>Solgar, L-лизин, в свободной форме, 1000 мг, 100 таблеток SOL-01701</t>
  </si>
  <si>
    <t>21st Century, кальций с витамином D3, 1000 мг, 90 таблеток CEN-27070</t>
  </si>
  <si>
    <t>Solgar, комплекс витаминов группы B «50», 100 растительных капсул SOL-01121</t>
  </si>
  <si>
    <t>California Gold Nutrition, AP-BIO, средство для укрепления иммунитета с экстрактом андрографиса, 100 мг, 30 таблеток CGN-02030</t>
  </si>
  <si>
    <t>514944272</t>
  </si>
  <si>
    <t>Doctor's Best, альфа-липоевая кислота, 300 мг, 180 вегетарианских капсул DRB-00277</t>
  </si>
  <si>
    <t>California Gold Nutrition, AP-BIO, средство для укрепления иммунитета с экстрактом андрографиса, 100 мг, 120 таблеток CGN-01819</t>
  </si>
  <si>
    <t>NOW Foods, кальций и магний, 250 таблеток NOW-01272</t>
  </si>
  <si>
    <t>Mason Natural, Масло вечерней примулы, 60 капсул MAV-12845</t>
  </si>
  <si>
    <t>California Gold Nutrition, Immune 4, средство для укрепления иммунитета, 60 вегетарианских капсул CGN-01842</t>
  </si>
  <si>
    <t>514373515</t>
  </si>
  <si>
    <t>California Gold Nutrition, Gold C, витамин C класса USP, 1000 мг, 240 вегетарианских капсул CGN-00932</t>
  </si>
  <si>
    <t>Nature's Way, Alive! суперэффективные, полноценные мультивитамины для взрослых, 60 таблеток NWY-15679</t>
  </si>
  <si>
    <t>514943236</t>
  </si>
  <si>
    <t>Nordic Naturals, Ultimate Омега-D3, со вкусом лимона, 1000 мг, 120 капсул NOR-02794</t>
  </si>
  <si>
    <t>NOW Foods, Калий плюс йод, 180 таблеток NOW-01452</t>
  </si>
  <si>
    <t>Super Nutrition, витамины D3 и К2, 60 растительных капсул SPN-02123</t>
  </si>
  <si>
    <t>922121403</t>
  </si>
  <si>
    <t>21st Century, цитрат кальция и витамин D3, максимальная эффективность, 120 таблеток CEN-27493</t>
  </si>
  <si>
    <t>NOW Foods, ашваганда, стандартизованный экстракт, 450 мг, 90 растительных капсул NOW-04603</t>
  </si>
  <si>
    <t>21st Century, Zoo Friends, мультивитаминные жевательные мармеладки, плюс дополнительный витамин C, фрукты с отличным вкусом, 60 жевательных таблеток CEN-27685</t>
  </si>
  <si>
    <t>W01</t>
  </si>
  <si>
    <t>BIG, Креатин моногидрат порошок Кока-кола 007002143</t>
  </si>
  <si>
    <t>АМИЛ0 ГЕЙНЕР, Амилопектин Гейнер для набора массы энергетик сил натурально, 086821897</t>
  </si>
  <si>
    <t>RusLab, Гейнер/для набора массы GIANT MASS (950 гр),вкус капучино, 026911480</t>
  </si>
  <si>
    <t>Himalaya, Ашваганда, 078518967</t>
  </si>
  <si>
    <t>Himalaya, Трифала (Triphala) БАД для очищения организма, детокс,  капсулы (Трипфала), 073585325</t>
  </si>
  <si>
    <t>922238684</t>
  </si>
  <si>
    <t>MuscleTech, VaporX5, Next Gen, предтренировочный комплекс, со вкусом Blue Razz Freeze, 266 г (9,40 унции) MSC-71092</t>
  </si>
  <si>
    <t>California Gold Nutrition, SPORT, изолят сывороточного протеина, 454 г (1 фунт, 16 унций) CGN-01064</t>
  </si>
  <si>
    <t>Super Nutrition, SimplyOne, мультивитамины и поддерживающие травы для мужчин, 90 таблеток SPN-00215</t>
  </si>
  <si>
    <t>Sierra Fit, предтренировочная добавка в порошке, со вкусом манго, 270 г (9,5 унции) SIE-01683</t>
  </si>
  <si>
    <t>RSP Nutrition, BCAA 5000, водорастворимые аминокислоты с разветвленной цепью, апельсин и манго, 5000 мг, 225 г (7,94 унции) RSP-00733</t>
  </si>
  <si>
    <t>922252583</t>
  </si>
  <si>
    <t>Nutrex Research, Tribulus Black 1300, поддержка уровня тестостерона, 120 капсул NRX-00741</t>
  </si>
  <si>
    <t>YumEarth, органические леденцы, любимое ассорти, 50 леденцов, 310 г (10,9 унции) YUE-00186</t>
  </si>
  <si>
    <t>Six Star, Elite Series, добавка для увеличения выработки тестостерона, 60 капсул MSC-60311</t>
  </si>
  <si>
    <t>АН05</t>
  </si>
  <si>
    <t>SOLARAY, Bio Zinc, 15 мг, 100 растительных капсул, SOR-04705</t>
  </si>
  <si>
    <t>OZA04</t>
  </si>
  <si>
    <t xml:space="preserve">Holy Land, Восстанавливающий крем Alpha-Beta and Retinol Restoring Cream, </t>
  </si>
  <si>
    <t>WB02</t>
  </si>
  <si>
    <t>OZA05</t>
  </si>
  <si>
    <t>BIGSNT, Креатин моногидрат порошок / BIG Creatine для набора мышечной массы / 200 Mesh / без вкуса / 150 г / 30 порций</t>
  </si>
  <si>
    <t>VitaMeal, Протеин, Белковый коктейль для массы Whey Protein порошок, VitaMeal, 900 грамм, Банан-дыня</t>
  </si>
  <si>
    <t>922283901</t>
  </si>
  <si>
    <t>Mild By Nature, увлажняющий лосьон для тела, лаванда и лемонграсс, 236 мл (8 жидк. унций) MBN-02152</t>
  </si>
  <si>
    <t>Eucerin, ночной крем против морщин с коэнзимом Q10 и про-ретинолом, 48 г (1,7 жидк. унции) EUC-02667</t>
  </si>
  <si>
    <t>Blithe, Tundra Chaga, спрессованная сыворотка, 10 мл (0,33 жидк. унции) BLT-66021</t>
  </si>
  <si>
    <t>St. Ives, восстанавливающий увлажняющий крем с коллагеном и эластином, 283 г (10 унций) IVE-10473</t>
  </si>
  <si>
    <t>E.L.F., Пудра-праймер для маскировки пор, универсальная, прозрачная, 21 г (0,74 унции) ELF-85912</t>
  </si>
  <si>
    <t>Nutrex Research, Lipo-6 Black, ультраконцентрат, 30 черных капсул NRX-00764</t>
  </si>
  <si>
    <t>Nutrex Research, LIPO-6 Black для женщин, ультраконцентрат, 60 черных капсул NRX-00072</t>
  </si>
  <si>
    <t>Nobi Nutrition, Премиум средство для сжигания жира в ночное время, 60 капсул NOB-27406</t>
  </si>
  <si>
    <t>Radiant Seoul, увлажняющая тканевая маска, 1 шт., 25 мл (0,85 унции) RSE-01732</t>
  </si>
  <si>
    <t>Missha, M Perfect Cover, BB-крем, SPF 42 PA+++, оттенок 21 светло-бежевый, 50 мл (1,7 унции) MSH-79311</t>
  </si>
  <si>
    <t>Missha, Super Aqua, очищающая пенка с экстрактом секрета улитки для восстановления клеток кожи, 100 мл (3,38 жидк. унции) MSH-45855</t>
  </si>
  <si>
    <t>РО04</t>
  </si>
  <si>
    <t>922332066</t>
  </si>
  <si>
    <t>Nature's Way, Alive! комплекс мультивитаминов премиального качества для детей, вишня, апельсин и виноград, 90 жевательных конфет NWY-15789</t>
  </si>
  <si>
    <t>Oslomega, рыбий жир с омега-3 для детей, натуральный клубничный вкус, 60 капсул из рыбьего желатина OSL-01395</t>
  </si>
  <si>
    <t>Oslomega, Норвежская серия, докозагексаеновая кислота (ДГК) с витамином D3 для детей, 60 мл (2 жидкие унции) OSL-01392</t>
  </si>
  <si>
    <t>NOW Foods, Kid Vits, ягодный взрыв, 120 жевательных таблеток NOW-03882</t>
  </si>
  <si>
    <t>Nature's Way, кора муравьиного дерева, 545 мг, 100 веганских капсул NWY-15450</t>
  </si>
  <si>
    <t>Life Extension, суперубихинол коэнзим Q10 с улучшенной поддержкой митохондрий, 100 мг, 30 мягких таблеток LEX-14373</t>
  </si>
  <si>
    <t>Mild By Nature, кондиционер для густоты волос, с В-комплексом и биотином, цитрусовый, 473 мл (16 жидк. унций) MBN-01260</t>
  </si>
  <si>
    <t>Mild By Nature, кусковое мыло с манго и куркумой, 141 г (5 унций) MBN-01739</t>
  </si>
  <si>
    <t>The Grandpa Soap Co., Мыло для лица, тела и волос, хвойная смола, 120 г GDP-00701</t>
  </si>
  <si>
    <t>922366453</t>
  </si>
  <si>
    <t>EOS, бальзам для губ, со вкусом клубничного сорбета, 7 г (0,25 унции) EOS-00284</t>
  </si>
  <si>
    <t>EOS, смягчающий бальзам для губ с маслом ши, кокосовое молоко, 7 г (0,25 унции) EOS-01004</t>
  </si>
  <si>
    <t>Mason Natural, витамин К2, 100 мкг, 100 таблеток MAV-17681</t>
  </si>
  <si>
    <t>Giovanni, Nutrafix, средство для восстановления сильно поврежденных волос, 200 мл (6,8 жидк. унции) GIO-06008</t>
  </si>
  <si>
    <t>NOW Foods, МСМ, метилсульфонилметан, 1000 мг, 240 вегетарианских капсул NOW-02121</t>
  </si>
  <si>
    <t>АН06</t>
  </si>
  <si>
    <t>922368932</t>
  </si>
  <si>
    <t>Doctor's Best, глюкозамин, хондроитин и МСМ с гиалуроновой кислотой, 150 вегетарианских капсул DRB-00271</t>
  </si>
  <si>
    <t>Youtheory, коллаген для суставов, улучшенная формула с босвеллией, 120 таблеток YOU-00333</t>
  </si>
  <si>
    <t>California Gold Nutrition, витамин D3, 50 мкг (2000 МЕ), 360 рыбно-желатиновых капсул CGN-01180</t>
  </si>
  <si>
    <t>OZA0002</t>
  </si>
  <si>
    <t>OK, Трибулус Террестрис (Tribulus Terrestris) - 500 мг. 90 капсул, 000000000</t>
  </si>
  <si>
    <t>OZA0004</t>
  </si>
  <si>
    <t>LADOR, Маска для волос на травяной основе с аминокислотами, для раздраженной кожи головы, восстановления и питания волос Lador Herbalism Treatment 150 мл, 000000000</t>
  </si>
  <si>
    <t>Incus, Маска для всех типов волос, включая окрашенные, поврежденные, непослушные и вьющиеся волосы (Aroma Hair Pack), Корея, 150ml, 000000000</t>
  </si>
  <si>
    <t>OZA0005</t>
  </si>
  <si>
    <t>Himalaya, Confido 60 таб. / Конфидо Гималая, Индия / Для мужского здоровья. Для восстановления репродуктивных функций мужчин, 000000000</t>
  </si>
  <si>
    <t>OZA0006</t>
  </si>
  <si>
    <t>Patanjali, Чаванпраш Плюс / Chyawanprash Plus / Индия / Аюрведа Джем / Патанджали 1000 г, 026995436</t>
  </si>
  <si>
    <t>OZA0008</t>
  </si>
  <si>
    <t>OZA0007</t>
  </si>
  <si>
    <t>OstroVit, ОстроВит Магний Цинк Витамин B MgZB 90 т., 000000000</t>
  </si>
  <si>
    <t>OstroVit, Мелатонин Melatonin 4000 мкг, 100 таб., 000000000</t>
  </si>
  <si>
    <t>WB0001</t>
  </si>
  <si>
    <t>Himalaya, Ашваганда / Ашвагандха (Ashvagandha) от стресса и тревоги, 60 таб. / Антистресс / Гималая, 017919762</t>
  </si>
  <si>
    <t>922397480</t>
  </si>
  <si>
    <t>NOW Foods, Eve, эффективные мультивитамины для женщин, без железа, 120 растительных капсул NOW-03798</t>
  </si>
  <si>
    <t>NOW Foods, цинк, 50 мг, 250 таблеток NOW-01522</t>
  </si>
  <si>
    <t>OZA0010</t>
  </si>
  <si>
    <t>LADOR, Восстанавливающая экспресс сыворотка-клей против секущихся кончиков волос Keratin Power Glue 2 шт х 15 мл, 000000000</t>
  </si>
  <si>
    <t>LADOR, Восстанавливающая маска для сухих и поврежденных волос с коллагеном и аминокислотным комплексом Hydro LPP Treatment 150 мл, 000000000</t>
  </si>
  <si>
    <t>OZA0011</t>
  </si>
  <si>
    <t>EKEL, Крем для лица с Коллагеном Ампульный Омолаживающий Ampule Cream Collagen, 70 мл, 0000000000</t>
  </si>
  <si>
    <t>EKEL, Увлажняющий крем с гиалуроновой кислотой, 100 гр., 0000000000</t>
  </si>
  <si>
    <t>EKEL, Крем для лица с Гиалуроновой кислотой Ампульный Интенсивно увлажняющий Ampule Cream Hyaluronic Acid, 70 мл, 000000000</t>
  </si>
  <si>
    <t>EKEL, Крем для глаз (век) с Коллагеном Против морщин Eye Cream Collagen, 70 мл, 000000000</t>
  </si>
  <si>
    <t>OZA0014</t>
  </si>
  <si>
    <t>CeraVe, влажняющий очищающий крем-гель для нормальной и сухой кожи лица и тела 236 мл не образует пену/интенсивно увлажняет и питает/повышает упругость кожи, 000000000</t>
  </si>
  <si>
    <t>CeraVe, Лосьон для лица увлажняющий, для нормальной и сухой кожи, 52 мл, 000000000</t>
  </si>
  <si>
    <t>OZA0017</t>
  </si>
  <si>
    <t>OstroVit, Магний + B6 OstroVit Mg + B6, 90 таб., 000000000</t>
  </si>
  <si>
    <t>OZA0020</t>
  </si>
  <si>
    <t>CC708810554</t>
  </si>
  <si>
    <t>CoralClub, Корал Магний, 000091881</t>
  </si>
  <si>
    <t>CoralClub, Кора муравьиного дерева с мате (КМД с мате), 000002125</t>
  </si>
  <si>
    <t>CC708810559</t>
  </si>
  <si>
    <t>CoralClub, Каcкара Саграда (100 таблеток), 000001405</t>
  </si>
  <si>
    <t>CoralClub, ЛимФлоу, 000091865</t>
  </si>
  <si>
    <t>CoralClub, H-500, 000091800</t>
  </si>
  <si>
    <t>OZA0021</t>
  </si>
  <si>
    <t>Ultimate Nutrition, Гейнер Muscle Juice Revolution 2120 гр, Шоколадный Крем, 227237379</t>
  </si>
  <si>
    <t>OZA0022</t>
  </si>
  <si>
    <t>Patanjali, Чаванпраш Плюс / Chyawanprash Plus / Индия / Аюрведа Джем / Патанджали 500 г, 355578901</t>
  </si>
  <si>
    <t>OZA0023</t>
  </si>
  <si>
    <t>OZA0024</t>
  </si>
  <si>
    <t>OZA0025</t>
  </si>
  <si>
    <t>LADOR, Шампунь для волос кератиновый Keratin LPP Shampoo, 530 мл, 155827100</t>
  </si>
  <si>
    <t>WB363</t>
  </si>
  <si>
    <t>CC708858327</t>
  </si>
  <si>
    <t>CoralClub, Кора муравьиного дерева с селеном, 000002153</t>
  </si>
  <si>
    <t>CoralClub, Сильвер-Макс, 000091619</t>
  </si>
  <si>
    <t>922594405</t>
  </si>
  <si>
    <t>Nature's Way, Alive! Once Daily, полный комплекс высокоэффективных мультивитаминов для женщин, 60 таблеток NWY-15686</t>
  </si>
  <si>
    <t>Nature's Way, Alive! комплексная мультивитаминная добавка для женщин, ягодный вкус, 130 жевательных конфет NWY-11536</t>
  </si>
  <si>
    <t>NOW Foods, пробиотик для женщин, 20 млрд КОЕ, 50 растительных капсул NOW-02906</t>
  </si>
  <si>
    <t>21st Century, Sentry Senior, пищевая добавка с комплексом витаминов и минералов для женщин старше 50 лет, 100 таблеток CEN-27542</t>
  </si>
  <si>
    <t>NOW Foods, мелатонин, 3 мг, 60 растительных капсул NOW-03255</t>
  </si>
  <si>
    <t>HealthyBiom, Пребиотик и пробиотик для контроля веса и получения энергии, 12 млрд КОЕ, 60 растительных капсул HBI-02026</t>
  </si>
  <si>
    <t>Sambucol, сироп из черной бузины, оригинальная рецептура, 120 мл (4 жидк. унции) SBL-00110</t>
  </si>
  <si>
    <t>922644036</t>
  </si>
  <si>
    <t>Oslomega, норвежская серия, омега 3-6-9 с маслом бурачника, лимонный вкус, 180 капсул из рыбьего желатина OSL-01393</t>
  </si>
  <si>
    <t>Nature's Way, Completia, комплекс мультивитаминов для диабетиков, без железа, 90 таблеток NWY-14924</t>
  </si>
  <si>
    <t>Vplab, Ultra Men’s, мультивитамины для мужчин для физической активности, 90 капсул VPB-54130</t>
  </si>
  <si>
    <t>Nutrex Research, Vitadapt Complete, мультивитамины для занятий спортом, 90 таблеток NRX-00654</t>
  </si>
  <si>
    <t>NOW Foods, Крушина (Cascara Sagrada), 450 мг, 100 вегетарианских капсул NOW-04620</t>
  </si>
  <si>
    <t>Nature's Way, Alive! комплекс высокоэффективных мультивитаминов для женщин 50 лет и старше, один раз в день, 60 таблеток NWY-15692</t>
  </si>
  <si>
    <t>922582622</t>
  </si>
  <si>
    <t>Natural Factors, коэнзим Q10, 200 мг, 30 капсул NFS-20721</t>
  </si>
  <si>
    <t>NOW Foods, суперомега 3-6-9, 1200 мг, 180 капсул NOW-01841</t>
  </si>
  <si>
    <t>21st Century, Triple Omega Complex 3-6-9, 90 мягких желатиновых капсул с кишечнорастворимой оболочкой CEN-22874</t>
  </si>
  <si>
    <t>21st Century, пищевая добавка с комплексом витаминов и минералов для мужчин старше 50 лет, 100 таблеток CEN-27540</t>
  </si>
  <si>
    <t>Ultamins, мультивитамины для мужчин с коэнзимом Q10, грибами, ферментами, овощами и ягодами, 60 вегетарианских капсул ULM-01270</t>
  </si>
  <si>
    <t>Nature's Way, Alive !, мультивитаминный комплекс для мужчин, 50 таблеток NWY-13660</t>
  </si>
  <si>
    <t>California Gold Nutrition, лютеин с зеаксантином, 20 мг, 60 растительных капсул CGN-01408</t>
  </si>
  <si>
    <t>Natural Factors, MultiFactors, для женщин старше 50 лет, 90 вегетарианских капсул NFS-01587</t>
  </si>
  <si>
    <t>922528147</t>
  </si>
  <si>
    <t>Mason Natural, экстракт гинкго билоба из цельного растения, 60 капсул MAV-17735</t>
  </si>
  <si>
    <t>РО05</t>
  </si>
  <si>
    <t>Life Extension, Taurine, 1,000 mg, 90 Vegetarian Capsules, LEX-18279</t>
  </si>
  <si>
    <t>EYENLIP, Тканевая маска для лица Collagen Moisture Essence Mask, 000000000</t>
  </si>
  <si>
    <t>EYENLIP, Тканевая маска для лица Hyaluronic Acid Moisture Essence Mask, 000000000</t>
  </si>
  <si>
    <t>222221687</t>
  </si>
  <si>
    <t>Forever, Алоэ Вера Гель, 000000015</t>
  </si>
  <si>
    <t>Forever, Форевер Брайт Гель Для Зубов, 000000028</t>
  </si>
  <si>
    <t>Forever, Форевер Натур-Мин, 000000037</t>
  </si>
  <si>
    <t>Forever, Витолайз Для Женщин, 000000375</t>
  </si>
  <si>
    <t>Forever, Алоэ Фёрст, 000000040</t>
  </si>
  <si>
    <t>Forever, Алоэ Прополис Крем, 000000051</t>
  </si>
  <si>
    <t>Forever, Желе Алоэ Вера, 000000061</t>
  </si>
  <si>
    <t>Forever, Алоэ Жидкое Мыло, 000000633</t>
  </si>
  <si>
    <t>Forever, Дезодорант Алоэ Эвер-Шилд, 000000067</t>
  </si>
  <si>
    <t>Forever, Поля Зелени, 000000068</t>
  </si>
  <si>
    <t>CC708908916</t>
  </si>
  <si>
    <t>CC708953564</t>
  </si>
  <si>
    <t>CoralClub, Супер-Флора, 000002150</t>
  </si>
  <si>
    <t>922731615</t>
  </si>
  <si>
    <t>California Gold Nutrition, Immune 4, средство для укрепления иммунитета, 180 растительных капсул CGN-01856</t>
  </si>
  <si>
    <t>Sierra Fit, цинк, магний и витамин B6, 90 растительных капсул SIE-01754</t>
  </si>
  <si>
    <t>FutureBiotics, Detox, ежедневная поддержка печени, 60 вегетарианских капсул FBS-02510</t>
  </si>
  <si>
    <t>One-A-Day, One A Day, мультивитаминный комплекс для женщин, 200 таблеток OAD-59581</t>
  </si>
  <si>
    <t>21st Century, Sentry, мультивитаминная и мультиминеральная добавка для взрослых, 300 таблеток CEN-22702</t>
  </si>
  <si>
    <t>NOW Foods, Мультивитамины EcoGreen, без железа, 180 растительных капсул NOW-03788</t>
  </si>
  <si>
    <t>RSP Nutrition, Active Multi, бодрящие мультивитамины, 45 вегетарианских таблеток RSP-00788</t>
  </si>
  <si>
    <t>Nature's Way, Alive! комплекс мультивитаминов для детей, со вкусом апельсина и ягод, 120 жевательных таблеток NWY-15786</t>
  </si>
  <si>
    <t>Nature's Way, Alive! полноценный мультивитаминный энергетический комплекс для женщин, 50 таблеток NWY-13663</t>
  </si>
  <si>
    <t>922800616</t>
  </si>
  <si>
    <t>California Gold Nutrition, селен, бездрожжевой, 200 мкг, 180 вегетарианских капсул CGN-01352</t>
  </si>
  <si>
    <t>OZA0028</t>
  </si>
  <si>
    <t>CeraVe, Лосьон для лица увлажняющий, для нормальной и сухой кожи, 52 мл + La Roche-Posay Ultra, 000000000</t>
  </si>
  <si>
    <t>OZA0029</t>
  </si>
  <si>
    <t>ТОП100, Гейнер для набора массы спортивное питание протеин быстрые углеводы порошок 1000гр, 626525244</t>
  </si>
  <si>
    <t>ТОП100, Гейнер для набора массы спортивное питание протеин быстрые углеводы порошок 1000гр, 626772971</t>
  </si>
  <si>
    <t>BIG, Creatine для набора мышечной массы / 200 Mesh / вкус Малина / 150 г / 30 порций, 313159974</t>
  </si>
  <si>
    <t>OZA0030</t>
  </si>
  <si>
    <t>1WIN, L-Carnitine, 150 капсул, Л-карнитин жиросжигатель спортивный для похудения для женщин и мужчин, л карнитин элькарнитин l снижение веса капсулы lipo karnitine, 531378517</t>
  </si>
  <si>
    <t>OZA0031</t>
  </si>
  <si>
    <t>PRIMEKRAFT, Протеин сывороточный "Whey Protein" с витаминами и минералами, Малина 500 г, 170918388</t>
  </si>
  <si>
    <t>WB0002</t>
  </si>
  <si>
    <t>WB0003</t>
  </si>
  <si>
    <t>La Miso, Маска моделирующая (альгинатная) с коллагеном, 1000г, 065844364</t>
  </si>
  <si>
    <t>922851458</t>
  </si>
  <si>
    <t>Swanson, Витамин B12, 500 мкг, 260 капсул SWV-01031</t>
  </si>
  <si>
    <t>Nobi Nutrition, Средство для сжигания жира премиум-класса для женщин, 60 капсул NOB-27413</t>
  </si>
  <si>
    <t>Nutrex Research, LIPO-6 Black, ультраконцентрат, 60 черных капсул NRX-00071</t>
  </si>
  <si>
    <t>Swanson, Лютеин и черника, 120 мягких таблеток SWV-02990</t>
  </si>
  <si>
    <t>Lake Avenue Nutrition, лютеин, 20 мг, 120 растительных мягких таблеток LKN-01542</t>
  </si>
  <si>
    <t>Hydroxycut, Pro Clinical Hydroxycut, для похудения, 72 капсулы с быстрым высвобождением HYX-60884</t>
  </si>
  <si>
    <t>21st Century, Пиколинат хрома, 200 мкг, 100 таблеток CEN-21368</t>
  </si>
  <si>
    <t>NOW Foods, лецитин, 1200 мг, 100 мягких таблеток NOW-02210</t>
  </si>
  <si>
    <t>РО06</t>
  </si>
  <si>
    <t>Чайлдлайф, Essentials, эхинацея, со вкусом натурального апельсина, 30 мл (1 жидк. унция), CDL-10100</t>
  </si>
  <si>
    <t>WB0004</t>
  </si>
  <si>
    <t>TAI YAN, Тканевые маски увлажняющая очищающая, 103598182</t>
  </si>
  <si>
    <t>La Agera, Корейская крем сыворотка для лица, 135353079</t>
  </si>
  <si>
    <t>Universal Nutrition, Энимал пак, Animal Pak 44, 115732310</t>
  </si>
  <si>
    <t>be young, Подарочный набор уходовой косметики Beauty box, 141541299</t>
  </si>
  <si>
    <t>Farm Stay, Сыворотка с гиалуроновой кислотой и коллагеном, 139994841</t>
  </si>
  <si>
    <t>La Agera, Корейская крем сыворотка в капсулах уход, 096113224</t>
  </si>
  <si>
    <t>Beauty Box, Подарочный набор 13 предметов, маска для лица, патчи для глаз, крем для рук увлажняющий, 079311586</t>
  </si>
  <si>
    <t>Samyun Wan, таблетки для набора веса Самюн Ван, 137163976</t>
  </si>
  <si>
    <t>LU MINATE, Патчи гидрогелевые омолаживающие для глаз от морщин, 94476361</t>
  </si>
  <si>
    <t>OZA0033</t>
  </si>
  <si>
    <t>BIG, Creatine для набора мышечной массы / 200 Mesh / без вкуса / 400 г / 80 порций, 310161195</t>
  </si>
  <si>
    <t>OZA0034</t>
  </si>
  <si>
    <t>Joyer, Креатин моногидрат порошок для набора мышечной массы со вкусом апельсина / аминокислота, 300 гр., 780474516</t>
  </si>
  <si>
    <t>OZA0035</t>
  </si>
  <si>
    <t>TAI YAN, Подарочный набор для женщин "24 средства", бьюти бокс: маски для лица тканевые 20шт, патчи для глаз, крем для рук., 727936682</t>
  </si>
  <si>
    <t>SANONBEAUTY, Набор для женщин уходовый бьюти бокс, 801989967</t>
  </si>
  <si>
    <t>OZA0037</t>
  </si>
  <si>
    <t>Ostrovit, Креатин Моногидрат Островит, Creatine Monohydrate, 500 г., Арбуз, 771073764</t>
  </si>
  <si>
    <t>OZA0038</t>
  </si>
  <si>
    <t>R-Line, Гейнер LIGHT MASS (пломбир) 3000 г, 311537379</t>
  </si>
  <si>
    <t>OZA0039</t>
  </si>
  <si>
    <t>922965619</t>
  </si>
  <si>
    <t>NOW Foods, кошачий коготь, 500 мг, 100 вегетарианских капсул NOW-04618</t>
  </si>
  <si>
    <t>ALLMAX, L-карнитин и тартрат, 120 капсул AMX-20241</t>
  </si>
  <si>
    <t>NOW Foods, Экстракт расторопши, максимальная эффективность, 750 мг, 90 растительных капсул NOW-04795</t>
  </si>
  <si>
    <t>Nature's Bounty, Двойной спектр, мелатонин, 5 мг, 60 двухслойных таблеток NRT-53098</t>
  </si>
  <si>
    <t>CC709085049</t>
  </si>
  <si>
    <t>РО07</t>
  </si>
  <si>
    <t>Jarrow Formulas, Метилфолат, 400 мкг, 60 растительных капсул, JRW-30006</t>
  </si>
  <si>
    <t>Azelique, Serumdipity, антивозрастная сыворотка для лица с пикногенолом, 1 жидкая унция (30 мл), AZQ-01161</t>
  </si>
  <si>
    <t>OZA0045</t>
  </si>
  <si>
    <t>BIG, Creatine для набора мышечной массы / 200 Mesh / вкус Малина / 400 г / 80 порций, 310155519</t>
  </si>
  <si>
    <t>BIG, Creatine для набора мышечной массы / 200 Mesh / вкус Арбуз / 150 г / 30 порций, 310120188</t>
  </si>
  <si>
    <t>BIG, Creatine для набора мышечной массы / 200 Mesh / вкус Ванильная кола / 400 г / 80 порций, 310148133</t>
  </si>
  <si>
    <t>OZA0047</t>
  </si>
  <si>
    <t>OZA0049</t>
  </si>
  <si>
    <t>RusLab, Протеин сывороточный SUPER POWER WHEY,белково-углеводный коктейль (800 гр),вкус ванильное мороженое, 200508013</t>
  </si>
  <si>
    <t>SOUL WAY, Протеин сывороточный (900 гр), 30 порций, ванильный, 790318217</t>
  </si>
  <si>
    <t>OZA0050</t>
  </si>
  <si>
    <t>TOP100, Гейнер для набора массы спортивное питание протеин быстрые углеводы порошок 1000гр, 688630275</t>
  </si>
  <si>
    <t>CC709125113</t>
  </si>
  <si>
    <t>CoralClub, ПараФайт, 000002124</t>
  </si>
  <si>
    <t>CoralClub, Папайя, 000001130</t>
  </si>
  <si>
    <t>РО08</t>
  </si>
  <si>
    <t>NaturesPlus, исландские бурые водоросли, 300 таблеток, NAP-03950</t>
  </si>
  <si>
    <t>Now Foods, L-карнитин, 500 мг, 60 растительных капсул, NOW-00072</t>
  </si>
  <si>
    <t>Now Foods, Vein Supreme, 90 растительных капсул, NOW-03123</t>
  </si>
  <si>
    <t>Baking Powder, Скраб для лица с содой,</t>
  </si>
  <si>
    <t>516025402</t>
  </si>
  <si>
    <t>L'il Critters, Gummy Vites, полноценный мультивитаминный комплекс, 70 жевательных конфет LIL-00623</t>
  </si>
  <si>
    <t>21st Century, лютеин, 10 мг, 60 таблеток CEN-22408</t>
  </si>
  <si>
    <t>516249415</t>
  </si>
  <si>
    <t>Idealove, Bee Timeless, тоник с улиткой и пчелиным ядом, 150 мл (5,07 жидк. Унции) IDE-01946</t>
  </si>
  <si>
    <t>California Gold Nutrition, BCAA, AjiPure, аминокислоты с разветвленной цепью в порошке, 454 г (16 унций) CGN-01058</t>
  </si>
  <si>
    <t>American Health, Royal Brittany, масло примулы вечерней (EPO), 1300 мг, 120 желатиновых капсул в каждом флаконе AMH-03233</t>
  </si>
  <si>
    <t>OZA0051</t>
  </si>
  <si>
    <t>OZO0001</t>
  </si>
  <si>
    <t>Biotech USA, Аргинин альфа-кетоглутарат AAKG 1000 мг 100 таб., 267850615</t>
  </si>
  <si>
    <t>WB0037</t>
  </si>
  <si>
    <t>La Agera, Питательная маска JOMTAM 2гр*30 шт, 139994740</t>
  </si>
  <si>
    <t>WB0039</t>
  </si>
  <si>
    <t>WB0040</t>
  </si>
  <si>
    <t>WB0041</t>
  </si>
  <si>
    <t>WB0042</t>
  </si>
  <si>
    <t>R-Line, Гейнер Light Mass 1000 гр для набора массы (клубника), 071777843</t>
  </si>
  <si>
    <t>WB0043</t>
  </si>
  <si>
    <t>R-Line, Гейнер Light Mass 1000 гр для набора массы (пломбир), 071777842</t>
  </si>
  <si>
    <t>РО09</t>
  </si>
  <si>
    <t>Now Foods, корень валерианы, 500 мг, 100 растительных капсул, NOW-04770</t>
  </si>
  <si>
    <t>Now Foods, Пассифлора, 350 мг, 90 растительных капсул, NOW-04763</t>
  </si>
  <si>
    <t>WB0045</t>
  </si>
  <si>
    <t>Farm Stay, Сыворотка для лица 24K GOLD &amp; PEPTIDE Корея 250 мл, 139848615</t>
  </si>
  <si>
    <t>WB0046</t>
  </si>
  <si>
    <t>Himalaya, Трифала детокс средство для очищения, 132685147</t>
  </si>
  <si>
    <t>WB0047</t>
  </si>
  <si>
    <t>Farm Stay, Сыворотка с гиалуроновой кислотой и коллагеном, 122309591</t>
  </si>
  <si>
    <t>WB0048</t>
  </si>
  <si>
    <t>Farm Stay, Крем для рук увлажняющий Корея, 142969984</t>
  </si>
  <si>
    <t>OZA0054</t>
  </si>
  <si>
    <t>Biotech USA, Аргинин L-Arginine 90 капс (капсулы массой 1175 мг)., 211617034</t>
  </si>
  <si>
    <t>OK, Трибулус Террестрис + Кордицепс (Tribulus Terrestris with Cordyceps ), капсулы, 500 мг, 90 кап., 739013420</t>
  </si>
  <si>
    <t>923020356</t>
  </si>
  <si>
    <t>Nature's Way, Kids, Cool, Calm &amp; Collected, успокаивающее средство для детей старше 8 лет, виноградный вкус, 40 жевательных конфет NWY-13369</t>
  </si>
  <si>
    <t>Swanson, Куркума полного спектра, 360 мг, 240 капсул SWV-11075</t>
  </si>
  <si>
    <t>CC709263017</t>
  </si>
  <si>
    <t>CoralClub, Экстракт чеснока, 000002151</t>
  </si>
  <si>
    <t>516543714</t>
  </si>
  <si>
    <t>Nature's Bounty, Комплекс витаминов B, Time Released, 125 таблеток в оболочке NRT-00530</t>
  </si>
  <si>
    <t>Solgar, хелатное железо, 100 таблеток SOL-00680</t>
  </si>
  <si>
    <t>Doctor's Best, коэнзим Q10 с высокой степенью всасывания с BioPerine, 100 мг, 120 капсул DRB-00183</t>
  </si>
  <si>
    <t>Nutrex Research, Hemo-Rage, Unleashed, предтренировочный комплекс с высокой стимуляцией, фруктовый пунш, 179,8 г (6,34 унции) NRX-02969</t>
  </si>
  <si>
    <t>WB0049</t>
  </si>
  <si>
    <t>Kirkland, Миноксидил Киркланд рост волос для женщин и мужчин, 138951460</t>
  </si>
  <si>
    <t>WB0050</t>
  </si>
  <si>
    <t>ESEDO, Патчи для глаз, 095594532</t>
  </si>
  <si>
    <t>WB0051</t>
  </si>
  <si>
    <t>OZA0055</t>
  </si>
  <si>
    <t>GLS, Женьшень экстракт корня с таурином, бады / витамины для энергии, настроения и иммунитета, 200 мг, 60 капсул, 523338483</t>
  </si>
  <si>
    <t>OZA0056</t>
  </si>
  <si>
    <t>SOLAB, Аминокислоты BCAA 2:1:1, 240 капсул, 40 порций, 571221608</t>
  </si>
  <si>
    <t>OZA0057</t>
  </si>
  <si>
    <t>OstroVit, Креатин моногидрат порошок Ostrovit - Creatine Monohydrate (300 г) Без вкуса, 833368638</t>
  </si>
  <si>
    <t>PRIMEKRAFT, Протеин сывороточный "Whey Protein" с витаминами и минералами, Дикая вишня, 500 г 170919122</t>
  </si>
  <si>
    <t>223012849</t>
  </si>
  <si>
    <t>Forever, Try Pack Алоэ Вера Гель, 000000153</t>
  </si>
  <si>
    <t>Forever, СИСТЕМА ЕЖЕДНЕВНОГО УХОДА ЗА КОЖЕЙ SONYA ™, 000000609</t>
  </si>
  <si>
    <t>Forever, Try Pack Алоэ Манго, 000007363</t>
  </si>
  <si>
    <t>516601509</t>
  </si>
  <si>
    <t>NOW Foods, цитрат магния, 180 капсул NOW-01298</t>
  </si>
  <si>
    <t>One-A-Day, комплексные мультивитамины для женщин, миникапсулы, 160 штук OAD-54589</t>
  </si>
  <si>
    <t>516602480</t>
  </si>
  <si>
    <t>Super Nutrition, смесь для мужчин, богатые антиоксидантами мультивитамины и цельнопищевая смесь, без железа, 180 таблеток SPN-00168</t>
  </si>
  <si>
    <t>Arm &amp; Hammer, UltraMax, твердый дезодорант-антиперспирант, без запаха, 73 г (2,6 унции) ARH-19460</t>
  </si>
  <si>
    <t>Havasu Nutrition, L-аргинин, повышенная сила действия, 60 капсул HAV-46416</t>
  </si>
  <si>
    <t>516447261</t>
  </si>
  <si>
    <t>Paradise Herbs, мумие, 60 вегетарианских капсул PAR-77818</t>
  </si>
  <si>
    <t>One-A-Day, полный мультивитаминный комплекс для мужчин, 200 таблеток OAD-08014</t>
  </si>
  <si>
    <t>709319468</t>
  </si>
  <si>
    <t>CoralClub, Ассимилятор, 000091118</t>
  </si>
  <si>
    <t>РО10</t>
  </si>
  <si>
    <t>Nature's Way, Zinc Lozenges, Wild Berry Flavored, 60 Vegan Lozenges, NWY-41092</t>
  </si>
  <si>
    <t>223037064</t>
  </si>
  <si>
    <t>Forever, Форевер Альфа-Е Фактор, 000000187</t>
  </si>
  <si>
    <t>Forever, Мсм Гель Алоэ, 000000205</t>
  </si>
  <si>
    <t>Forever, Витолайз Для Мужчин, 000000374</t>
  </si>
  <si>
    <t>Forever, Форевер Терм, 000000463</t>
  </si>
  <si>
    <t>Forever, Форевер АйВижн, 000000624</t>
  </si>
  <si>
    <t>Forever, Алоэ-Жожоба Шампунь для Волос, 000000640</t>
  </si>
  <si>
    <t>Forever, Алоэ-Жожоба Кондиционер для Волос, 000000641</t>
  </si>
  <si>
    <t>WB0052</t>
  </si>
  <si>
    <t>OZA0059</t>
  </si>
  <si>
    <t>Nutrex Research, Lipo-6 Black NightTime, ультраконцентрат, 30 черных капсул, 750610820</t>
  </si>
  <si>
    <t>OZA0062</t>
  </si>
  <si>
    <t>SOUL WAY, Протеин сывороточный (900 гр), 30 порций, Банан, 825959086</t>
  </si>
  <si>
    <t>OZA0064</t>
  </si>
  <si>
    <t>PRIMEKRAFT, Протеин сывороточный "Whey Protein" с витаминами и минералами, Банановый йогурт, 500 г 170918389</t>
  </si>
  <si>
    <t>Maxler, Креатин моногидрат Creatine 100% Monohydrate, 300 гр., 176208973</t>
  </si>
  <si>
    <t>BIG, Creatine для набора мышечной массы / 200 Mesh / вкус Бабл гам / 150 г / 30 порций, 313178264</t>
  </si>
  <si>
    <t>OZA0065</t>
  </si>
  <si>
    <t>Laneige, Ночная маска для губ lip sleeping mask / Бальзам для губ / Блеск для губ, 761430572</t>
  </si>
  <si>
    <t>WB0054</t>
  </si>
  <si>
    <t>AVRANGpro, Сыворотка для лица омолаживающая 24K Goldzan Ampoule 99.9%, 132042820</t>
  </si>
  <si>
    <t>WB0056</t>
  </si>
  <si>
    <t>Zozu, Кушон Ocheal - тональный крем - тон 2, 108772032</t>
  </si>
  <si>
    <t>516765526</t>
  </si>
  <si>
    <t>Solgar, Gentle Iron, 25 мг, 90 растительных капсул SOL-01249</t>
  </si>
  <si>
    <t>Universal Nutrition, Animal Pak, комплекс для физической активности, 44 пакетика UNN-03011</t>
  </si>
  <si>
    <t>709391754</t>
  </si>
  <si>
    <t>CoralClub, Железо, 000002123</t>
  </si>
  <si>
    <t>CoralClub, Корал Келп, 000091805</t>
  </si>
  <si>
    <t>516700575</t>
  </si>
  <si>
    <t>NaturesPlus, Йод, йодид калия, 150 мкг, 100 таблеток NAP-03371</t>
  </si>
  <si>
    <t>21st Century, Цитрат кальция и D3, маленькие таблетки, 200 таблеток, покрытых оболочкой CEN-27709</t>
  </si>
  <si>
    <t>NOW Foods, Mega D-3 и MK-7, 120 капсул NOW-00386</t>
  </si>
  <si>
    <t>NOW Foods, Cod Liver Oil, 650 мг, 250 мягких желатиновых капсул NOW-01742</t>
  </si>
  <si>
    <t>Nobi Nutrition, Жиросжигающие жевательные таблетки с зеленым чаем, 60 жевательных таблеток на основе пектина NOB-27436</t>
  </si>
  <si>
    <t>516839901</t>
  </si>
  <si>
    <t>NOW Foods, метилфолат, 1000 мкг, 90 таблеток NOW-00491</t>
  </si>
  <si>
    <t>Natural Factors, BlueRich, супер эффективность, концентрат черники, 500 мг, 90 мягких таблеток NFS-04516</t>
  </si>
  <si>
    <t>Nature's Secret, Cleanse &amp; Flush, потеря веса за 15 дней, 60 таблеток NTS-25554</t>
  </si>
  <si>
    <t>Flintstones, Complete, мультивитамин для детей, 180 жевательных конфет FLI-55435</t>
  </si>
  <si>
    <t>Applied Nutrition, Состав для уничтожения жира на базе зеленого чая Fat Burner, 90 быстродействующих капсул IRW-26529</t>
  </si>
  <si>
    <t>Flintstones, Gummies, мультивитаминная добавка для детей, 150 жевательных конфет FLI-53728</t>
  </si>
  <si>
    <t>EVLution Nutrition, Мелатонин, 5 мг, 100 таблеток EVL-02434</t>
  </si>
  <si>
    <t>OZA0067</t>
  </si>
  <si>
    <t>SOLAB, Аминокислоты BCAA 2:1:1, L-лейцин, L-изолейцин, L-валин, 30 порций, 301131356</t>
  </si>
  <si>
    <t>OZA0070</t>
  </si>
  <si>
    <t>OZA0072</t>
  </si>
  <si>
    <t>Be First, BCAA 8:1:1 Instantized Powder 250 гр, ананас, 272372912</t>
  </si>
  <si>
    <t>R-Line, Гейнер LIGHT MASS (шоколад) 3000 г, 309538221</t>
  </si>
  <si>
    <t>OZA0073</t>
  </si>
  <si>
    <t>VERIFIQUE, Антивозрастная восстанавливающая сыворотка для лица с центеллой азиатской для кожи с куперозом, 30 мл, 718888801</t>
  </si>
  <si>
    <t>WB0057</t>
  </si>
  <si>
    <t>WB0058</t>
  </si>
  <si>
    <t>WB0059</t>
  </si>
  <si>
    <t>516894181</t>
  </si>
  <si>
    <t>Jarrow Formulas, Magnesium Optimizer, 200 таблеток JRW-13007</t>
  </si>
  <si>
    <t>NOW Foods, жевательная ДГК для детей, фруктовый вкус, 60 мягких таблеток NOW-01607</t>
  </si>
  <si>
    <t>Nordic Naturals, Daily Omega Kids, со вкусом натуральных фруктов, 30 капсул NOR-01817</t>
  </si>
  <si>
    <t>Nature's Bounty, Мелатонин, 10 мг, 60 капсул NRT-19491</t>
  </si>
  <si>
    <t>OZA0063</t>
  </si>
  <si>
    <t>Cloma Pharma, Black Spider 100c Блэк спайдер, 000000000</t>
  </si>
  <si>
    <t>Divya, MUKTA VATI Помощь при высоком давлении, 120 таб., 832770275</t>
  </si>
  <si>
    <t>PVP-321957</t>
  </si>
  <si>
    <t>NSP, Келп (Бурая водоросль), 000000410</t>
  </si>
  <si>
    <t>NSP, Хром Хелат НСП, 000001894</t>
  </si>
  <si>
    <t>NSP, Каскара Саграда НСП, 000000170</t>
  </si>
  <si>
    <t>OZA0074</t>
  </si>
  <si>
    <t>OZA0075</t>
  </si>
  <si>
    <t>Be First, Шейкер для спортивного питания 700 мл, прозрачно-черный (TS 1037-BLACK), 281518094</t>
  </si>
  <si>
    <t>Be First, Шейкер для спортивного питания 700 мл, прозрачно-черный (TS 1037-BLUE), 281518019</t>
  </si>
  <si>
    <t>Be First, Шейкер для спортивного питания 700 мл, прозрачно-черный (TS 1037-RED), 281518154</t>
  </si>
  <si>
    <t>Be First, Шейкер для спортивного питания 700 мл, прозрачно-черный (TS 1037-GREEN), 281516886</t>
  </si>
  <si>
    <t>OZA0076</t>
  </si>
  <si>
    <t>OZA0077</t>
  </si>
  <si>
    <t>Секрет Императора, 8 капсул для мужской потенции, возбуждающий препарат, профилактика простатита, 852644785</t>
  </si>
  <si>
    <t>OZA0080</t>
  </si>
  <si>
    <t>Farm Stay, Солнцезащитный Крем с алое 70 мл Aloevera Perfect Sun Cream SPF50+ PA+++, 179005500</t>
  </si>
  <si>
    <t>Farm Stay, Солнцезащитный Крем для лица с витаминами 70 мл DR-V8 Vita Sun Cream SPF50+ PA+++, 180642802</t>
  </si>
  <si>
    <t>EKEL, Крем солнцезащитный с Улиточным муцином Ekel Soothing &amp; Moisture Sun Block SPF50/PA+++ Snail, 70 мл, 392681875</t>
  </si>
  <si>
    <t>Enough, Солнцезащитный крем с коллагеном Collagen Moisture Sun Cream SPF 50+ PA+++, 536253138</t>
  </si>
  <si>
    <t>517058966</t>
  </si>
  <si>
    <t>NOW Foods, L-карнитин, 1000 мг, 100 таблеток NOW-00068</t>
  </si>
  <si>
    <t>NOW Foods, сертифицированная органическая спирулина,1000 мг, 120 таблеток NOW-02715</t>
  </si>
  <si>
    <t>Neutrogena, Ultra Sheer Dry Touch, солнцезащитное средство, SPF 55, 88 мл (3 жидк. Унции) NGN-68790</t>
  </si>
  <si>
    <t>OZA0078</t>
  </si>
  <si>
    <t>FORTIUS, Эспандер кистевой для рук, 1 шт, 20 кг, 572353524</t>
  </si>
  <si>
    <t>709514966</t>
  </si>
  <si>
    <t>Insane, Лапы Fight прямые, большие, красный/синий, 34х20х4,5 см, 707636546</t>
  </si>
  <si>
    <t>Insane, Перчатки боксерские MARS, ПУ, синий, 10 oz, 879350457</t>
  </si>
  <si>
    <t>OZA0081</t>
  </si>
  <si>
    <t>Sports Element, Шейкер спортивный, с венчиком, 600 мл., черный матовый, черный, 253451797</t>
  </si>
  <si>
    <t>Sports Element, Шейкер спортивный, с венчиком, 600 мл., белый, черный, 653844019</t>
  </si>
  <si>
    <t>OZA0082</t>
  </si>
  <si>
    <t>OZA0084</t>
  </si>
  <si>
    <t>SOUL WAY</t>
  </si>
  <si>
    <t>SOUL WAY, Протеин сывороточный (900 гр), 30 порций, Шоколад, 626914560</t>
  </si>
  <si>
    <t>SOUL WAY, Креатин моногидрат порошок 200 гр 40 порций, 825481466</t>
  </si>
  <si>
    <t>OZA0089</t>
  </si>
  <si>
    <t>Himalaya, Врикшамла (60 таб, 350 мг), Vrikshamla, 818224809</t>
  </si>
  <si>
    <t>709570326</t>
  </si>
  <si>
    <t>CoralClub, АД Фито Контроль, 000091859</t>
  </si>
  <si>
    <t>CoralClub, Корал Черный Орех, 000091643</t>
  </si>
  <si>
    <t>709570306</t>
  </si>
  <si>
    <t>CoralClub, Липостик Фит, 000216904</t>
  </si>
  <si>
    <t>517177468</t>
  </si>
  <si>
    <t>517250093</t>
  </si>
  <si>
    <t>517153116</t>
  </si>
  <si>
    <t>KAL, Dinosaurs, MultiSaurus, витамины и минералы, со вкусом ягод, винограда и апельсина, 180 жевательных таблеток CAL-13463</t>
  </si>
  <si>
    <t>KAL, MultiSaurus, витамины и микроэлементы, со вкусом ягод, винограда и апельсина, 90 жевательных таблеток CAL-13462</t>
  </si>
  <si>
    <t>517249297</t>
  </si>
  <si>
    <t>Arm &amp; Hammer, Essentials с натуральными дезодорирующими компонентами, дезодорант, свежий розмарин и лаванда, 71 г (2,5 унции) ARH-19020</t>
  </si>
  <si>
    <t>NOW Foods, жирные кислоты омега-3, 180 ЭПК и 120 ДГК, 180 капсул NOW-01657</t>
  </si>
  <si>
    <t>709609239</t>
  </si>
  <si>
    <t>CoralClub, ODA Naturals Шампунь восстанавливающий с кератином, 000005501</t>
  </si>
  <si>
    <t>CoralClub, ODA Naturals Бальзам-кондиционер восстанавливающий с кератином и макадамией, 000005551</t>
  </si>
  <si>
    <t>709609254</t>
  </si>
  <si>
    <t>OZA0090</t>
  </si>
  <si>
    <t>Scitec Nutrition, Изолят сывороточного протеина / Изолят белка / 100% Isolate Whey / ШОКОЛАД / 700 гр., 361772752</t>
  </si>
  <si>
    <t>OZA0091</t>
  </si>
  <si>
    <t>223061034</t>
  </si>
  <si>
    <t>OZO0003</t>
  </si>
  <si>
    <t>Maxler, Натуральный протеин сывороточный 100% Golden Whey NATURAL 2 lb (907 гр.) , Шоколад, 486832912</t>
  </si>
  <si>
    <t>PRIMEKRAFT, Протеин сывороточный "Whey Protein" с витаминами и минералами, Клубника-Банан 500 г, 170919156</t>
  </si>
  <si>
    <t>WB0060</t>
  </si>
  <si>
    <t>WB0061</t>
  </si>
  <si>
    <t>Dory_Room, Патчи для глаз от отеков и темных кругов гидрогелевые, 66606944</t>
  </si>
  <si>
    <t>WB0062</t>
  </si>
  <si>
    <t>WB0063</t>
  </si>
  <si>
    <t>Farm Stay, Dimanuel сыворотка для лица 24K Gold&amp;Peptide, 151780792</t>
  </si>
  <si>
    <t>WB0064</t>
  </si>
  <si>
    <t>KIRKLAND, Креативный подход Лосьон Миноксидил 5%, 120239758</t>
  </si>
  <si>
    <t>WB0066</t>
  </si>
  <si>
    <t>Farm Stay, ROzzalia Увлажняющий крем для лица Корея с spf 50, крем для тела, 70мл, 85364831</t>
  </si>
  <si>
    <t>517420121</t>
  </si>
  <si>
    <t>NOW Foods, кальций и магний с витамином D3- и цинком, 240 мягких таблеток NOW-01252</t>
  </si>
  <si>
    <t>Sierra Fit, Порошок электролитов со вкусом ягодного ассорти, 0 калорий, 291 г (10,3 унции) SIE-01490</t>
  </si>
  <si>
    <t>The Smurfs, жевательный пробиотик для пищеварения, для детей от 3 лет, ягодный вкус, 40 жевательных конфет SMS-55697</t>
  </si>
  <si>
    <t>VegLife, Мультивитамины для детей растительного происхождения, вкус ягод, 60 жевательных таблеток VGL-10032</t>
  </si>
  <si>
    <t>MuscleTech, Alpha Test, 120 капсул MSC-60676</t>
  </si>
  <si>
    <t>517369981</t>
  </si>
  <si>
    <t>Arm &amp; Hammer, Essentials, с натуральными дезодорирующими компонентами, дезодорант, без искусственных ароматизаторов, 71 г (2,5 унции) ARH-19792</t>
  </si>
  <si>
    <t>It's Skin, коллаген, питательная эмульсия, 150 мл ISK-73751</t>
  </si>
  <si>
    <t>517494259</t>
  </si>
  <si>
    <t>NOW Foods, L-лизин, 500 мг, 100 таблеток NOW-00100</t>
  </si>
  <si>
    <t>Mizon, крем-лифтинг с коллагеном, 75 мл (2,53 унции) MIZ-54035</t>
  </si>
  <si>
    <t>RSP Nutrition, Quadralean Thermo, 90 капсул RSP-00692</t>
  </si>
  <si>
    <t>OZA0094</t>
  </si>
  <si>
    <t>Maxler, Креатин моногидрат Creatine 100% Monohydrate, 150 гр., 638236196</t>
  </si>
  <si>
    <t>709699293</t>
  </si>
  <si>
    <t>709773280</t>
  </si>
  <si>
    <t>CoralClub, Либидекстра для мужчин, 000002301</t>
  </si>
  <si>
    <t>709773264</t>
  </si>
  <si>
    <t>CoralClub, МСМ, 000002152</t>
  </si>
  <si>
    <t>OZA0098</t>
  </si>
  <si>
    <t>OZA0100</t>
  </si>
  <si>
    <t>OZA0101</t>
  </si>
  <si>
    <t>OZA0103</t>
  </si>
  <si>
    <t>GLS, Бустер тестостерона АРТУРОН, натуральное средство для повышения мужских гормонов, тестобустер, 500мг, 90 капсул, 269076077</t>
  </si>
  <si>
    <t>OZA0104</t>
  </si>
  <si>
    <t>Tree of Life, Протеин сывороточный + изолят 907 грамм, малина, 928502066</t>
  </si>
  <si>
    <t>Tree of Life, Протеин сывороточный + изолят 907 грамм, манго, 928476887</t>
  </si>
  <si>
    <t>Scitec Nutrition, Amino 5600 комплекс аминокислот, 500 таблеток, 470925526</t>
  </si>
  <si>
    <t>Scitec Nutrition, Muscle Pro Протеин Комбинация растительных и животных белков 2500 г. Клубничный йогурт, 898166516</t>
  </si>
  <si>
    <t>WB0071</t>
  </si>
  <si>
    <t>Maxler, Креатин моногидрат Creatine 100% Monohydrate, 150 гр., 113181451</t>
  </si>
  <si>
    <t>517745065</t>
  </si>
  <si>
    <t>California Gold Nutrition, Пирролохинолинхинон, 20 мг, 90 растительных капсул CGN-01504</t>
  </si>
  <si>
    <t>ALLMAX, AllWhey Gold, 100 % сывороточный белок + изолят сывороточного белка премиум-качества, со вкусом шоколада, 907 г (2 фунта) AMX-20047</t>
  </si>
  <si>
    <t>ALLMAX, Igniter, перед тренировкой, с голубой малиной, 320 г (11,28 унции) AMX-22897</t>
  </si>
  <si>
    <t>MuscleTech, Nitro Tech, 100 % Whey Gold, песочное печенье со вкусом клубники, 1,02 кг (2,24 фунта) MSC-71046</t>
  </si>
  <si>
    <t>EVLution Nutrition, L-CARNITINE500, добавка для сжигания жира без стимуляторов, 120 капсул EVL-02018</t>
  </si>
  <si>
    <t>EVLution Nutrition, ENGN, Pre-Workout Enginе, виноград, 243 г (8,6 унции) EVL-55160</t>
  </si>
  <si>
    <t>517550221</t>
  </si>
  <si>
    <t>NOW Foods, L-карнозин, 500 мг, 100 растительных капсул NOW-00079</t>
  </si>
  <si>
    <t>L'il Critters, Gummy Vites, ежедневные мультивитамины, 190 жевательных мармеладок LIL-01629</t>
  </si>
  <si>
    <t>YumEarth, органические леденцы, любимое ассорти, 1928 г (68 унций) YUE-00112</t>
  </si>
  <si>
    <t>NaturesPlus, Source of Life, Animal Parade Gold, добавка для детей с мультивитаминами и микроэлементами, натуральный ароматизатор «Вишня», 120 таблеток в форме животных NAP-29932</t>
  </si>
  <si>
    <t>517656161</t>
  </si>
  <si>
    <t>21st Century, Ресвератрол, экстракт плодов красного винного сорта винограда, 90 капсул CEN-27285</t>
  </si>
  <si>
    <t>NutriBiotic, очищающее средство для кожи, без мыла, без отдушки, 473 мл (16 жидк, унций) NBC-01023</t>
  </si>
  <si>
    <t>DERMA E, Очищающее осветляющее средство с витамином C для ежедневного применения, 175 мл (6 жидк, унций) DME-00603</t>
  </si>
  <si>
    <t>DERMA E, Мягкое увлажняющее средство для очищения кожи с гиалуроновой кислотой, 175 мл (6 жидк, унций) DME-00461</t>
  </si>
  <si>
    <t>Heimish, All Clean, пенка с белой глиной, 150 г HEI-76054</t>
  </si>
  <si>
    <t>Thai Deodorant Stone, Читый и натуральный дезодорант из кристаллических минеральных солей Deodorant Stone от Crystal, 4,25 унции (120 г) TDS-10193</t>
  </si>
  <si>
    <t>NOW Foods, Daily Vits, мультивитамины и микроэлементы, 120 вегетарианских капсул NOW-03776</t>
  </si>
  <si>
    <t>709832013</t>
  </si>
  <si>
    <t>OZA0105</t>
  </si>
  <si>
    <t>OZA0106</t>
  </si>
  <si>
    <t>MACLEN, Скакалка спортивная для фитнеса зеленая, скакалка взрослая скоростная с металлическим шнуром и подшипником, 2,8 м, 650779619</t>
  </si>
  <si>
    <t>Starwind, Весы напольные электронные SSP6031 макс.180кг рисунок/фиолетовый, 628950568</t>
  </si>
  <si>
    <t>WB0073</t>
  </si>
  <si>
    <t>Kirkland, Миноксидил Киркланд рост волос для женщин и мужчин, 66190183</t>
  </si>
  <si>
    <t>517803063</t>
  </si>
  <si>
    <t>NOW Foods, L-аргинин, двойная концентрация, 1000 мг, 120 таблеток NOW-00035</t>
  </si>
  <si>
    <t>Natural Factors, WomenSense, EstroSense, гормональный баланс, 60 вегетарианских капсул NFS-04955</t>
  </si>
  <si>
    <t>Natural Factors, Womensense, PCOSense, 129 г (4,55 унции) NFS-04993</t>
  </si>
  <si>
    <t>Sports Research, комплекс Collagen Beauty, морской коллаген, с нейтральным вкусом, 163 г (5,75 унций) SRE-01347</t>
  </si>
  <si>
    <t>Natural Factors, высокоэффективный комплекс витаминов группы B, 90 капсул NFS-01121</t>
  </si>
  <si>
    <t>California Gold Nutrition, масло антарктического криля, комплекс фосфолипидов из омега-3 с астаксантином, натуральный клубнично-лимонный вкус, 500 мг, 120 капсул из рыбьего желатина CGN-01101</t>
  </si>
  <si>
    <t>Vplab, Ultra Women’s, мультивитамины для женщин, 90 капсул VPB-54131</t>
  </si>
  <si>
    <t>Arm &amp; Hammer, Essentials, дезодорант с натуральными дезодорирующими компонентами, с ароматом можжевельника, 71 г (2,5 унции) ARH-00546</t>
  </si>
  <si>
    <t>Arm &amp; Hammer, UltraMax, твердый дезодорант-антиперспирант для мужчин, аромат «Свежесть», 73 г (2,6 унции) ARH-19724</t>
  </si>
  <si>
    <t>517933605</t>
  </si>
  <si>
    <t>Source Naturals, Daily Essential Enzymes, добавка с незаменимыми ферментами для ежедневного использования, 500 мг, 240 капсул SNS-01303</t>
  </si>
  <si>
    <t>Nature's Way, Alive! добавка с коллагеном и биотином для волос, кожи и ногтей, со вкусом клубники, 60 жевательных таблеток NWY-11534</t>
  </si>
  <si>
    <t>Doctor's Best, чистый коллаген типов 1 и 3 в порошке, 200 г (7,1 унции) DRB-00203</t>
  </si>
  <si>
    <t>EVLution Nutrition, BCAA ENERGY, арбуз, 252 г (8,89 унции) EVL-02017</t>
  </si>
  <si>
    <t>PrescriptSkin, Очищающая пенка с пробиотиками, 160 мл (5,4 жидк, Унции) PSK-01936</t>
  </si>
  <si>
    <t>NOW Foods, гиалуроновая кислота, двойной концентрации, 100 мг, 120 вегетарианских капсул NOW-03151</t>
  </si>
  <si>
    <t>NaturesPlus, Цинк, 50 мг, 90 таблеток NAP-03645</t>
  </si>
  <si>
    <t>EVLution Nutrition, ENGN, предтренировочный комплекс, розовый лимонад, 243 г (8,6 унции) EVL-02045</t>
  </si>
  <si>
    <t>518066368</t>
  </si>
  <si>
    <t>DERMA E, увлажняющий крем для разглаживания морщин с ДМАЭ, 56 г (2 унции) DME-04100</t>
  </si>
  <si>
    <t>DERMA E, Увлажняющий ночной крем, 2 унции (56 г) DME-00466</t>
  </si>
  <si>
    <t>DERMA E, улучшенный крем для глаз с пептидами и коллагеном, 14 г (1/2 унции) DME-00775</t>
  </si>
  <si>
    <t>NOW Foods, Sports, микронизированный моногидрат креатина, 500 г (1,1 фунта) NOW-02038</t>
  </si>
  <si>
    <t>NOW Foods, Sports, Men's Active Sports Multi, комплекс витаминов для мужчин, 180 капсул NOW-03891</t>
  </si>
  <si>
    <t>MuscleTech, Shatter Pre-Workout Ripped, Icy Rocket, 250 г (8,83 унции) MSC-71651</t>
  </si>
  <si>
    <t>Real Health, The Prostate, комплекс для здоровья простаты, с сереноей, 90 таблеток RHS-20001</t>
  </si>
  <si>
    <t>517991436</t>
  </si>
  <si>
    <t>NOW Foods, альфа-липоевая кислота, 250 мг, 120 растительных капсул NOW-03043</t>
  </si>
  <si>
    <t>Source Naturals, Масло черного тмина, 120 мягких таблеток SNS-02757</t>
  </si>
  <si>
    <t>Carlson, Витамин К2, МК-4 (менатетренон), 5 мг, 180 капсул CAR-01001</t>
  </si>
  <si>
    <t>Solaray, цитрат кальция, 250 мг, 240 растительных капсул SOR-45852</t>
  </si>
  <si>
    <t>Life Extension, Магний в капсулах, 500 мг, 100 вегетарианских капсул LEX-14591</t>
  </si>
  <si>
    <t>NOW Foods, Tri-3D Omega, жирные кислоты омега-3, 330 ЭПК / 220 ДГК, 90 капсул NOW-01686</t>
  </si>
  <si>
    <t>WB0076</t>
  </si>
  <si>
    <t>OZA0108</t>
  </si>
  <si>
    <t>OZA0111</t>
  </si>
  <si>
    <t>Tree of Life, Протеин изолят сывороточного белка с комплексом ВСAA, "Банан" спортсменам 907 гр, 2LB 30 порций, 686750940</t>
  </si>
  <si>
    <t>Scitec Nutrition, Anabolic Iso Hydro (920 гр.) Ваниль, 931543942</t>
  </si>
  <si>
    <t>OZO0004</t>
  </si>
  <si>
    <t>Aminofood, Таурин в капсулах, для повышения энергии и выносливости, Taurine, 500мг, 90 капсул, 479516746</t>
  </si>
  <si>
    <t>Aminofood, Креатин Моногидрат 250 гр. порошок для набора массы и роста / без вкуса, 561311513</t>
  </si>
  <si>
    <t>709942523</t>
  </si>
  <si>
    <t>CoralClub, Гриффония, 000091848</t>
  </si>
  <si>
    <t>709942525</t>
  </si>
  <si>
    <t>CoralClub, Готу Кола экстракт, 000002149</t>
  </si>
  <si>
    <t>WB0077</t>
  </si>
  <si>
    <t>Insane Labz, Предтренировочный комплекс Психотик для зала Фруктовый Пунш, 156652333</t>
  </si>
  <si>
    <t>WB0078</t>
  </si>
  <si>
    <t>PVP-329708</t>
  </si>
  <si>
    <t>NSP, Би Пи-Си, 000001881</t>
  </si>
  <si>
    <t>NSP, Гинкго/Готу Кола, 000000907</t>
  </si>
  <si>
    <t>NSP, Вери-Гон, 000000999</t>
  </si>
  <si>
    <t>NSP, По Д’Арко НСП, 000000514</t>
  </si>
  <si>
    <t>NSP, Восьмерка, 000000850</t>
  </si>
  <si>
    <t>OZA0118</t>
  </si>
  <si>
    <t>Доставлен</t>
  </si>
  <si>
    <t>Maxler, Аминокислоты BCAA Powder EU 420 гр, восстановление и набор массы, Клубника-Киви, 190950286</t>
  </si>
  <si>
    <t>518263335</t>
  </si>
  <si>
    <t>California Gold Nutrition, перуанская мака, 500 мг, 240 растительных капсул CGN-00950</t>
  </si>
  <si>
    <t>Solgar, Натуральная клюква с витамином С, 60 растительных капсул SOL-00955</t>
  </si>
  <si>
    <t>Herbs Etc,, Deep Sleep, 120 капсул быстрого действия HEC-50301</t>
  </si>
  <si>
    <t>Nature's Life, бетаина гидрохлорид, 350 мг, 100 таблеток NLI-00117</t>
  </si>
  <si>
    <t>Xenadrine, Xenadrine, средство для максимального снижения веса, 120 капсул MSC-60557</t>
  </si>
  <si>
    <t>Andalou Naturals, Осветление от дня к ночи, набор из 3 предметов ADN-11917</t>
  </si>
  <si>
    <t>Eucerin, Age Defense, легкий солнцезащитный лосьон для лица, SPF 50, без отдушек, 75 мл (2,5 жидк, Унции) EUC-03222</t>
  </si>
  <si>
    <t>EVLution Nutrition, L-CITRULLINE2000, 200 г (7,5 унции) EVL-02221</t>
  </si>
  <si>
    <t>518162180</t>
  </si>
  <si>
    <t>Thorne, Magnesium Citramate, добавка с магнием, 90 капсул THR-27202</t>
  </si>
  <si>
    <t>KAL, Магний с высокой абсорбцией, полностью хелатный, 270 таблеток CAL-21068</t>
  </si>
  <si>
    <t>21st Century, средство для здоровья глаз, лютеин и зеаксантин, 60 капсул CEN-27454</t>
  </si>
  <si>
    <t>Super Nutrition, Simply One, полный комплекс ферментов, 90 капсул SPN-00124</t>
  </si>
  <si>
    <t>710052536</t>
  </si>
  <si>
    <t>CoralClub, Би-Курунга, 000002154</t>
  </si>
  <si>
    <t>CoralClub, Масло чайного дерева, 000005701</t>
  </si>
  <si>
    <t>CoralClub, Корал Детокс, 000080350</t>
  </si>
  <si>
    <t>710038668</t>
  </si>
  <si>
    <t>OZA0120</t>
  </si>
  <si>
    <t>Sumyin Wan Slim, Жиросжигатель в капсулах- 36шт /препарат для стройной фигуры, 983333252</t>
  </si>
  <si>
    <t>FatZorb,  Жиросжигатель, Фатзорб для похудания. Экстракт зеленого чая и L-карнитин, 892721541</t>
  </si>
  <si>
    <t>OZA0121</t>
  </si>
  <si>
    <t>B-Fit, Пищевая добавка капсулы коктейль для похудения Жиросжигатель, 983333197</t>
  </si>
  <si>
    <t>OZA0122</t>
  </si>
  <si>
    <t>Cloma Pharma, Black Spider 100c Блэк спайдер, 769390102</t>
  </si>
  <si>
    <t>518499937</t>
  </si>
  <si>
    <t>Arm &amp; Hammer, Essentials, дезодорант с натуральными дезодорирующими компонентами, розмарин и лаванда, 71 г (2,5 унции) ARH-19793</t>
  </si>
  <si>
    <t>518411918</t>
  </si>
  <si>
    <t>NOW Foods, L-теанин, двойной концентрации, 200 мг, 60 растительных капсул NOW-00147</t>
  </si>
  <si>
    <t>ChildLife Essentials, Essentials, витамин C в жидкой форме, натуральный апельсиновый вкус, 118,5 мл (4 жидк, унции) CDL-10200</t>
  </si>
  <si>
    <t>artnaturals, Набор из трех сывороток, 3 сыворотки, 29,5 мл (1 жидк, унция) каждая RNA-02056</t>
  </si>
  <si>
    <t>Natural Factors, убихинол (активный коэнзим Q10), 100 мг, 60 мягких таблеток NFS-20726</t>
  </si>
  <si>
    <t>518506539</t>
  </si>
  <si>
    <t>Doctor's Best, гинкго с повышенной силой действия, 120 мг, 360 вегетарианских капсул DRB-00273</t>
  </si>
  <si>
    <t>Forever, Алоэ Активатор, 000000612</t>
  </si>
  <si>
    <t>Forever, Алоэ Увлажняющий Крем, 000000063</t>
  </si>
  <si>
    <t>OZA0123</t>
  </si>
  <si>
    <t>Black Panther, Капсулы жиросжигающие для похудения и снижения веса, 909837585</t>
  </si>
  <si>
    <t>OZA0124</t>
  </si>
  <si>
    <t>PVP-332803</t>
  </si>
  <si>
    <t>NSP, Хлорофилл жидкий, 000001580</t>
  </si>
  <si>
    <t>NSP, Грецкий Черный орех, 000000090</t>
  </si>
  <si>
    <t>OZA0125</t>
  </si>
  <si>
    <t>Forever, Форевер Кальций, 000000206</t>
  </si>
  <si>
    <t>PVP-335472</t>
  </si>
  <si>
    <t>NSP, Локло, 000001346</t>
  </si>
  <si>
    <t>NSP, Протеаза Плюс, 000001841</t>
  </si>
  <si>
    <t>NSP, «Витазаврики» жевательные витамины с железом, 000001622</t>
  </si>
  <si>
    <t>NSP, «Бифидозаврики» жевательные таблетки для детей с бифидобактериями, 000003302</t>
  </si>
  <si>
    <t>NSP, Коллоидные минералы с соком Асаи, 000000312</t>
  </si>
  <si>
    <t>710291175</t>
  </si>
  <si>
    <t>518881235</t>
  </si>
  <si>
    <t>Solgar, витамин D3 (холекальциферол), 125 мкг (5000 МЕ), 100 капсул SOL-19377</t>
  </si>
  <si>
    <t>Solgar, Gentle Iron, 25 мг, 180 растительных капсул SOL-01250</t>
  </si>
  <si>
    <t>518834492</t>
  </si>
  <si>
    <t>Source Naturals, Зверобой 450, 450 мг, 180 таблеток SNS-01177</t>
  </si>
  <si>
    <t>NOW Foods, Sports, бета-аланин, выносливость, 750 мг, 120 растительных капсул NOW-02008</t>
  </si>
  <si>
    <t>NOW Foods, Magtein, L-треонат магния, 90 растительных капсул NOW-02390</t>
  </si>
  <si>
    <t>NOW Foods, 5-гидрокситриптофан, 100 мг, 120 вегетарианских капсул NOW-00106</t>
  </si>
  <si>
    <t>518762447</t>
  </si>
  <si>
    <t>Planetary Herbals, Кордицепс 450, полный спектр, 450 мг, 120 таблеток PTF-10433</t>
  </si>
  <si>
    <t>NaturesPlus, Медь, 3 мг, 90 таблеток NAP-03430</t>
  </si>
  <si>
    <t>Jarrow Formulas, фитосомы куркумина, 500 мг, 120 вегетарианских капсул JRW-14093</t>
  </si>
  <si>
    <t>Nature's Truth, Женский пробиотик + клюква, 40 вегетарианских капсул NTH-11212</t>
  </si>
  <si>
    <t>Nature's Way, Probiotic Pearls для женщин, вагинальное здоровье и здоровье кишечника, 30 мягких желатиновых капсул EMT-04213</t>
  </si>
  <si>
    <t>EVLution Nutrition, ежовик гребенчатый, 60 растительных капсул EVL-02739</t>
  </si>
  <si>
    <t>EVLution Nutrition, Женский мультивитамин, 120 таблеток EVL-02067</t>
  </si>
  <si>
    <t>Cococare, Масло макадамии, 4 жидких унций (118 мл) COC-09475</t>
  </si>
  <si>
    <t>California Gold Nutrition, Мультивитамины и минералы, для приема два раза в день, 60 растительных капсул CGN-01990</t>
  </si>
  <si>
    <t>NutriBiotic, Immunity, аскорбиновая кислота с биофлавоноидами, кристаллический порошок, 227 г (8 унций) NBC-00300</t>
  </si>
  <si>
    <t>Force Factor, черная мака, 60 капсул FOA-01488</t>
  </si>
  <si>
    <t>WB0090</t>
  </si>
  <si>
    <t>Workout time, Шейкер спортивный для коктейлей, 600 мл (Белый, черный), 138948952</t>
  </si>
  <si>
    <t>Workout time, Шейкер спортивный для коктейлей, 600 мл (Серый, черный), 143238214</t>
  </si>
  <si>
    <t>Workout time, Шейкер спортивный для коктейлей, 600 мл (Черный), 143233562</t>
  </si>
  <si>
    <t>Workout time, Шейкер спортивный для коктейлей, 600 мл (Черный, зеленый неон), 149869594</t>
  </si>
  <si>
    <t>WB0094</t>
  </si>
  <si>
    <t>MAXLER, Креатин моногидрат Макслер 100% Creatine Monohydrate 150 г, 139631886</t>
  </si>
  <si>
    <t>519053070</t>
  </si>
  <si>
    <t>Natural Factors, WomenSense, MenoSense, формула для приема в период менопаузы, 90 вегетарианских капсул NFS-04950</t>
  </si>
  <si>
    <t>NOW Foods, B1, 100 мг, 100 таблеток NOW-00446</t>
  </si>
  <si>
    <t>21st Century, клюква с добавлением пробиотика, 60 таблеток CEN-27848</t>
  </si>
  <si>
    <t>Natural Factors, лютеин, 20 мг, 60 капсул NFS-01032</t>
  </si>
  <si>
    <t>WB0099</t>
  </si>
  <si>
    <t>Bio Product, Iron Test Айрон Тест тестостерона, 163432814</t>
  </si>
  <si>
    <t>WB0100</t>
  </si>
  <si>
    <t>R-Line, Гейнер LIGHT MASS (шоколад) 3000 г, 072421834</t>
  </si>
  <si>
    <t>WB0101</t>
  </si>
  <si>
    <t>Maxler, Аминокислоты BCAA Powder 420 гр, Клубника-Киви, 158521482</t>
  </si>
  <si>
    <t>WB0102</t>
  </si>
  <si>
    <t>Red Ginseng, Капсулы ред гинсенг для набора веса спортивное питание, 161172556</t>
  </si>
  <si>
    <t>OZO0005</t>
  </si>
  <si>
    <t>PRIMEKRAFT, Протеин сывороточный  Whey Protein, Банановый йогурт 900 г / 30 порций, 152851473</t>
  </si>
  <si>
    <t>PRIMEKRAFT, Протеин сывороточный "Whey Protein" с витаминами и минералами, Клубничный йогурт 500 г, 170919121</t>
  </si>
  <si>
    <t>PRIMEKRAFT, Протеин сывороточный "Whey Protein" с витаминами и минералами, Клубника-банан 900г, 152851475</t>
  </si>
  <si>
    <t>OZO0006</t>
  </si>
  <si>
    <t>Trec Nutrition, Whey 100 Протеин сывороточный натуральный 700 г шоколад-кокос, 864964824</t>
  </si>
  <si>
    <t>OZO0007</t>
  </si>
  <si>
    <t>R-Line, Гейнер Light Mass, клубника, 3000 г, 309534042</t>
  </si>
  <si>
    <t>710442127</t>
  </si>
  <si>
    <t>710396328</t>
  </si>
  <si>
    <t>CoralClub, Программа Коло-Вада Грин, 00120060</t>
  </si>
  <si>
    <t>OZO0009</t>
  </si>
  <si>
    <t>OZO0010</t>
  </si>
  <si>
    <t>Patanjali, Chyawanprash Plus, Чаванпраш Плюс / Индия / Аюрведа Джем / Патанджали 500 г, 857698302</t>
  </si>
  <si>
    <t>518984820</t>
  </si>
  <si>
    <t>Doctor's Best, серрапептаза Best, 40 000 SPU, 90 вегетарианских капсул DRB-00149</t>
  </si>
  <si>
    <t>Ultamins, мультивитаминный комплекс для женщин старше 50 лет с коэнзимом Q10, грибами, ферментами, овощами и ягодами, 60 растительных капсул ULM-01273</t>
  </si>
  <si>
    <t>NOW Foods, каприловая кислота, 600 мг, 100 мягких таблеток NOW-03347</t>
  </si>
  <si>
    <t>California Gold Nutrition, BEVERAGES, HydrationUp, напиток с электролитами, фруктовый пунш, 227 г (8 унций) CGN-01747</t>
  </si>
  <si>
    <t>NOW Foods, Сертифицированная органическая хлорелла, 500 мг, 200 таблеток NOW-02631</t>
  </si>
  <si>
    <t>519192772</t>
  </si>
  <si>
    <t>Herbs Etc,, Снотворное Deep Sleep, 60 быстродействующих мягких таблеток HEC-50306</t>
  </si>
  <si>
    <t>Christopher's Original Formulas, VF Syrup, сироп, 118 мл (4 жидк, унций) CRO-88517</t>
  </si>
  <si>
    <t>Kyolic, Aged Garlic Extract, выдержанный экстракт чеснока с куркумином, 50 капсул WAK-11145</t>
  </si>
  <si>
    <t>California Gold Nutrition, Total Veggie Joint Support Formula, с глюкозамином, хондроитином, МСМ и гиалуроновой кислотой, 90 растительных капсул CGN-01156</t>
  </si>
  <si>
    <t>519308142</t>
  </si>
  <si>
    <t>Swanson, пиколинат хрома, 200 мкг, 100 капсул SWV-01922</t>
  </si>
  <si>
    <t>Swanson, Куркума и черный перец, 60 растительных капсул SWV-11613</t>
  </si>
  <si>
    <t>Optimum Nutrition, Opti-Men, 90 таблеток OPN-05223</t>
  </si>
  <si>
    <t>OZO0011</t>
  </si>
  <si>
    <t>Maxler, Аминокислоты BCAA Powder 420 гр, Апельсин, 190901500</t>
  </si>
  <si>
    <t>Dabur, Трифала Чурна / (Triphala churna) порошок для очищения организма Dabur 500 гр, 487034945</t>
  </si>
  <si>
    <t>WB0103</t>
  </si>
  <si>
    <t>Doctor's Best, Наттокиназа, 2000 FU, 90 nattokinase, 096053915</t>
  </si>
  <si>
    <t>WB0104</t>
  </si>
  <si>
    <t>WBRS</t>
  </si>
  <si>
    <t>MAXLER, Креатин моногидрат Макслер 100% Creatine Monohydrate 300 г, 052838724</t>
  </si>
  <si>
    <t>MAXLER, Креатин моногидрат Макслер 100% Creatine Monohydrate 150 г, 146853513</t>
  </si>
  <si>
    <t>WB0105</t>
  </si>
  <si>
    <t>WB0106</t>
  </si>
  <si>
    <t>MAXLER, Аминокислоты BCAA Powder 420 г Клубника-Киви, 088061892</t>
  </si>
  <si>
    <t>WB0107</t>
  </si>
  <si>
    <t>WB0108</t>
  </si>
  <si>
    <t>Patanjali, Chyawanprash Plus, Чаванпраш Плюс / Индия / Аюрведа Джем / Патанджали 500 г, 062045172</t>
  </si>
  <si>
    <t>OZO0012</t>
  </si>
  <si>
    <t>OZO0013</t>
  </si>
  <si>
    <t>PRIMEKRAFT, Протеин сывороточный  Whey Protein, Дикая вишня 900 г / 30 порций, 155522407</t>
  </si>
  <si>
    <t>WB0109</t>
  </si>
  <si>
    <t>WB0110</t>
  </si>
  <si>
    <t>WB0111</t>
  </si>
  <si>
    <t>Workout time, Шейкер спортивный для коктейлей, 600 мл, (Черный), 030091936</t>
  </si>
  <si>
    <t>WB0112</t>
  </si>
  <si>
    <t>Red ginseng, капсулы для набора веса, 108438397</t>
  </si>
  <si>
    <t>WB0113</t>
  </si>
  <si>
    <t>WB0114</t>
  </si>
  <si>
    <t>WB0115</t>
  </si>
  <si>
    <t>423058412</t>
  </si>
  <si>
    <t>WB0117</t>
  </si>
  <si>
    <t>MAXLER, BCAA Powder 2:1:1 Sugar Free 420 грамм Апельсин, 156083705</t>
  </si>
  <si>
    <t>WB0118</t>
  </si>
  <si>
    <t>WB0119</t>
  </si>
  <si>
    <t>Minoxidil, миноксидил 25 процентный для роста волос и бороды, 168263293</t>
  </si>
  <si>
    <t>519517082</t>
  </si>
  <si>
    <t>Jarrow Formulas, примула вечерняя, 1300 мг, 60 капсул JRW-09002</t>
  </si>
  <si>
    <t>21st Century, комплекс глюкозамина и хондроитина с МСМ, улучшенная тройная сила, 120 таблеток CEN-27438</t>
  </si>
  <si>
    <t>Source Naturals, Prosta-Response, добавка для здоровья простаты, 90 таблеток SNS-01295</t>
  </si>
  <si>
    <t>519689083</t>
  </si>
  <si>
    <t>Terra Origin, добавка для нормализации функций желудочно-кишечного тракта, вкус мяты, 222 г (7,83 унции) TEO-00757</t>
  </si>
  <si>
    <t>NOW Foods, магний расслабляющий инозитол, лимонад, 454 г (16 унций) NOW-01293</t>
  </si>
  <si>
    <t>Natural Factors, Альфа-липоевая кислота, 400 мг, 60 капсул NFS-02101</t>
  </si>
  <si>
    <t>Carlson, Wild Caught Super Omega-3 Gems, высокоэффективная омега-3 из морской рыбы, 600 мг, 100 плюс 30 капсул CAR-01524</t>
  </si>
  <si>
    <t>519498996</t>
  </si>
  <si>
    <t>NOW Foods, калий цитрат, 99 мг, 180 капсул NOW-01448</t>
  </si>
  <si>
    <t>MediNatura, ClearLife, таблетки против аллергии с повышенной силой действия, 60 таблеток HEE-31006</t>
  </si>
  <si>
    <t>519770626</t>
  </si>
  <si>
    <t>BioSil, ch-OSA, улучшенный источник коллагена, 30 мл (1 жидк. унция) NFS-39184</t>
  </si>
  <si>
    <t>Solaray, цинк, 50 мг, 100 растительных капсул SOR-04710</t>
  </si>
  <si>
    <t>KAL, тройной источник магния, 100 таблеток CAL-62827</t>
  </si>
  <si>
    <t>519604300</t>
  </si>
  <si>
    <t>710697208</t>
  </si>
  <si>
    <t>519919363</t>
  </si>
  <si>
    <t>Swanson, Мелатонин тройной силы, 10 мг, 60 капсул SWV-02305</t>
  </si>
  <si>
    <t>520020759</t>
  </si>
  <si>
    <t>Solaray, кора муравьиного дерева, 550 мг, 100 вегетарианских капсул SOR-01440</t>
  </si>
  <si>
    <t>NOW Foods, ДГК-500, двойная сила, 180 капсул NOW-01613</t>
  </si>
  <si>
    <t>Swanson, Габа, высокая эффективность, 500 мг, 100 капсул SWV-01872</t>
  </si>
  <si>
    <t>Swanson, Гуарана полного спектра, 500 мг, 100 капсул SWV-01978</t>
  </si>
  <si>
    <t>EVLution Nutrition, Бета-аланин, без добавок, 200 г (7,05 унции) EVL-02898</t>
  </si>
  <si>
    <t>California Gold Nutrition, Комплекс с гиалуроновой кислотой, 60 растительных капсул CGN-00856</t>
  </si>
  <si>
    <t>NaturesPlus, Мелатонин, 10 мг, 90 таблеток NAP-47627</t>
  </si>
  <si>
    <t>519881230</t>
  </si>
  <si>
    <t>OZO0015</t>
  </si>
  <si>
    <t>OZO0016</t>
  </si>
  <si>
    <t>Smart Bee, Хитозан Антиоксидант, 15 мл, 835689754</t>
  </si>
  <si>
    <t>WB0120</t>
  </si>
  <si>
    <t>AumRa, Isotine Plus глазные капли, 113319452</t>
  </si>
  <si>
    <t>710818556</t>
  </si>
  <si>
    <t>PVP-342188</t>
  </si>
  <si>
    <t>NSP, Грэпайн с протекторами, 000001750</t>
  </si>
  <si>
    <t>NSP, Перец, Чеснок, Петрушка, 000000832</t>
  </si>
  <si>
    <t>PVP-343075</t>
  </si>
  <si>
    <t>NSP, Зубная паста Саншайн Брайт с экстрактом листьев зеленого чая, 000002851</t>
  </si>
  <si>
    <t>NSP, Красный Клевер, 000000550</t>
  </si>
  <si>
    <t>NSP, Брэс Из, 000000775</t>
  </si>
  <si>
    <t>NSP, Брэс Из АКЦИЯ 30%, 000650510</t>
  </si>
  <si>
    <t>PVP-342186</t>
  </si>
  <si>
    <t>520172829</t>
  </si>
  <si>
    <t>Lake Avenue Nutrition, экстракт зверобоя, 300 мг, 90 растительных капсул LKN-01789</t>
  </si>
  <si>
    <t>California Gold Nutrition, AlphaWave, L-теанин, поддерживает расслабление и спокойную концентрацию, 200 мг, 60 растительных капсул CGN-01242</t>
  </si>
  <si>
    <t>520282748</t>
  </si>
  <si>
    <t>Animal, Animal PAK, идеальный базовый пакет для тренировок, 44 удобных пакетика с таблетками UNN-00042</t>
  </si>
  <si>
    <t>Solaray, Kids, жевательные таблетки для поддержки концентрации, натуральный виноград, 60 жевательных таблеток SOR-08378</t>
  </si>
  <si>
    <t>Swanson, Астаксантин, 8 мг, 30 мягких таблеток SWV-02846</t>
  </si>
  <si>
    <t>Himalaya, Босвеллия, 60 вегетарианских капсул HIM-41601</t>
  </si>
  <si>
    <t>OZO0017</t>
  </si>
  <si>
    <t>VitaMeal, L карнитин жидкий, 3000мг, для похудения, 500 мл, Ананас, 425941426</t>
  </si>
  <si>
    <t>WB0125</t>
  </si>
  <si>
    <t>WB0126</t>
  </si>
  <si>
    <t>Mutant mass, Протеин сывороточный Ванильное мороженое, 109762041</t>
  </si>
  <si>
    <t>Mutant mass, Протеин сывороточный Клубничный крем, 109762042</t>
  </si>
  <si>
    <t>Mutant mass, Протеин сывороточный Печенье с Кремом, 109762034</t>
  </si>
  <si>
    <t>WB0127</t>
  </si>
  <si>
    <t>Scitec Nutrition, Протеин сывороточный Whey Protein Professional Клубника, 1000г, 156265513</t>
  </si>
  <si>
    <t>WB0128</t>
  </si>
  <si>
    <t>Maxler, Creatine 100% Monohydrate 500г, 166611795</t>
  </si>
  <si>
    <t>WB0129</t>
  </si>
  <si>
    <t>Scitec Nutrition, Сывороточный изолят 100% Whey Isolate 700 г. Шоколад, 171016083</t>
  </si>
  <si>
    <t>OZO0018</t>
  </si>
  <si>
    <t>520387385</t>
  </si>
  <si>
    <t>520524942</t>
  </si>
  <si>
    <t>Jason Natural, Sea Fresh, укрепляющая зубная паста, со вкусом мяты, 85 г (3 унции) JAS-01569</t>
  </si>
  <si>
    <t>NOW Foods, Sports, моногидрат креатина, 750 мг, 120 растительных капсул NOW-02035</t>
  </si>
  <si>
    <t>520402409</t>
  </si>
  <si>
    <t>BSN, Nitrix 2.0, концентрированный прекурсор оксида азота, 180 таблеток BSN-00521</t>
  </si>
  <si>
    <t>520512627</t>
  </si>
  <si>
    <t>Codeage, Ферментированный мультивитаминный комплекс для подростков, 25+ витаминов, минералы, 60 капсул AGE-00852</t>
  </si>
  <si>
    <t>Planetary Herbals, крем с конским каштаном, 113,4 г (4 унции) PTF-10431</t>
  </si>
  <si>
    <t>Source Naturals, Guarana Energizer, 900 мг, 60 таблеток SNS-01819</t>
  </si>
  <si>
    <t>Planetary Herbals, конский каштан полного спектра, 300 мг, 120 таблеток PTF-10391</t>
  </si>
  <si>
    <t>520475546</t>
  </si>
  <si>
    <t>Maybelline, Консилер Fit Me, оттенок 15 светлый, 6,8 мл MBY-24771</t>
  </si>
  <si>
    <t>L'Oréal, BB-крем Magic Skin Beautifier против покраснений, 30 мл LOE-28371</t>
  </si>
  <si>
    <t>L'Oréal, Voluminous X Fiber, тушь для ресниц, оттенок 213 угольно-черный, 13 мл (0,43 жидк, унции) LOE-36371</t>
  </si>
  <si>
    <t>Maybelline, Instant Age Rewind, ластик, универсальный консилер, 100 оттенков слоновой кости, 6 мл (0,2 жидк, Унции) MBY-54678</t>
  </si>
  <si>
    <t>Advanced Clinicals, коллаген, лосьон для восстановления кожи, 454 г (16 унций) ADC-00639</t>
  </si>
  <si>
    <t>OZO0019</t>
  </si>
  <si>
    <t>Rusco Sport, Боксерские перчатки 10 OZ, черные, 286912637</t>
  </si>
  <si>
    <t>OZO0020</t>
  </si>
  <si>
    <t>VitaMeal, L карнитин жидкий, 3000мг, для похудения, 500 мл, Вишня, 425908558</t>
  </si>
  <si>
    <t>WB0133</t>
  </si>
  <si>
    <t>Dabur, Трифала Чурна / (Triphala churna) порошок для очищения организма Dabur 500 гр, 048748589</t>
  </si>
  <si>
    <t>WB0134</t>
  </si>
  <si>
    <t>WB0135</t>
  </si>
  <si>
    <t>OstroVit, Протеин Гейнер Mass It 3000г.,  Шоколад, 169921021</t>
  </si>
  <si>
    <t>OZD0001</t>
  </si>
  <si>
    <t>Dobro, Боксерский мешок Чемпион 160х38, вес 65-70 кг, ПВХ, черный, 295527532</t>
  </si>
  <si>
    <t xml:space="preserve">289794072 </t>
  </si>
  <si>
    <t>Maxler, Протеин Ultra Whey, 900 гр, ванильное мороженое, 000000000</t>
  </si>
  <si>
    <t>OZO0021</t>
  </si>
  <si>
    <t>FIGHT BALL, Бинты боксерские для бокса. 3м х 5 см. Хлопок. Черные, 980488669</t>
  </si>
  <si>
    <t>294716033</t>
  </si>
  <si>
    <t>PharmaMed, Lady's formula менопауза усиленная формула таб, 30 шт., 000000000</t>
  </si>
  <si>
    <t>520596849</t>
  </si>
  <si>
    <t>Optimum Nutrition, Gold Standard, 100% Whey, двойной шоколад, 2,27 кг (5 фунтов) OPN-02866</t>
  </si>
  <si>
    <t>Optimum Nutrition, Gold Standard, 100% Whey, сыворотка с насыщенным вкусом молочного шоколада, 2,27 кг (5 фунтов) OPN-02414</t>
  </si>
  <si>
    <t>MRM Nutrition, сывороточный протеин, 2 млрд пробиотиков, шоколад, 2270 г (5 фунтов) MRM-72050</t>
  </si>
  <si>
    <t>MuscleTech, Performance Series, Nitro Tech, 100% Whey Gold (100% сыворотка), двойной шоколад, 1,02 кг (2,24 фунта) MSC-71045</t>
  </si>
  <si>
    <t>520749913</t>
  </si>
  <si>
    <t>520877849</t>
  </si>
  <si>
    <t>Source Naturals, Энергетик с гуараной, 900 мг, 200 таблеток SNS-00233</t>
  </si>
  <si>
    <t>520749510</t>
  </si>
  <si>
    <t>Healths Harmony, Экстракт боярышника 4: 1, 120 капсул HRM-50004</t>
  </si>
  <si>
    <t>520705097</t>
  </si>
  <si>
    <t>Life Extension, Цитиколин (ЦДФ-холин), 60 вегетарианских капсул LEX-16596</t>
  </si>
  <si>
    <t>NOW Foods, Холин и инозитол, 100 растительных капсул NOW-00470</t>
  </si>
  <si>
    <t>520811365</t>
  </si>
  <si>
    <t>NutriBiotic, Ушные капли с экстрактом косточек грейпфрута и маслом чайного дерева, 30 мл (1 жидк, унция) NBC-01055</t>
  </si>
  <si>
    <t>NutriBiotic, Maximum GSE, жидкий концентрат, 29,5 мл (1 жидкая унция) NBC-00995</t>
  </si>
  <si>
    <t>Nordic Naturals, Ultimate Omega Junior, для детей от 6 до 12 лет, со вкусом клубники, 340 мг, 90 мини-капсул NOR-01798</t>
  </si>
  <si>
    <t>Carlson, Жевательные таблетки с кальцием для детей, с натуральным ванильным вкусом, 250 мг, 60 таблеток CAR-05083</t>
  </si>
  <si>
    <t>Carlson, Super Daily K2 для детей, 22,5 мкг, 10,16 мл (0,34 жидк, унций) CAR-10330</t>
  </si>
  <si>
    <t>Natural Vitality, CALM, жевательные мармеладки против стресса, апельсин, 60 жевательных таблеток PTG-04309</t>
  </si>
  <si>
    <t>OZD0002</t>
  </si>
  <si>
    <t>Гантели-В-Деле, гантели разборные для фитнеса, общий вес 33 кг + штанга, 2 шт. по 16.5 кг, красный, черный цвет, 960689838</t>
  </si>
  <si>
    <t>WB0136</t>
  </si>
  <si>
    <t>RUSHAKER, Шейкер спортивный с венчиком 700 мл, черный, 43392039</t>
  </si>
  <si>
    <t>WB0137</t>
  </si>
  <si>
    <t>IVEKA SHOP, Шейкер-бутылка спортивная, морская волна, 141847876</t>
  </si>
  <si>
    <t>WB0138</t>
  </si>
  <si>
    <t>RUSHAKER, Шейкер спортивный с венчиком 700 мл, фиолетовый, 018915125</t>
  </si>
  <si>
    <t>WB0139</t>
  </si>
  <si>
    <t>WB0140</t>
  </si>
  <si>
    <t>Space Nutrition, Шейкер спортивный / шейкер 700 мл, черный, 090854722</t>
  </si>
  <si>
    <t>WB0141</t>
  </si>
  <si>
    <t>Elianware, Шейкер для фитнесса 0,7л, фиолетовый, 154871633</t>
  </si>
  <si>
    <t>WB0143</t>
  </si>
  <si>
    <t>WB0144</t>
  </si>
  <si>
    <t>711071160</t>
  </si>
  <si>
    <t>PVP-347644</t>
  </si>
  <si>
    <t>OZO0022</t>
  </si>
  <si>
    <t>OZO0023</t>
  </si>
  <si>
    <t>LOVE SPORT, Скакалка регулируемая BASIC до 300 см, спортивная, для фитнеса, для детей и взрослых, черная, 537270297</t>
  </si>
  <si>
    <t>GOLDEN FIT, Скакалка профессиональная, скоростная для фитнеса, бокса, кроссфита, 300 см. Черная, 972146200</t>
  </si>
  <si>
    <t>WB0148</t>
  </si>
  <si>
    <t>Mutant mass, Протеин сывороточный 2270г, Шоколадный брауни , 174153170</t>
  </si>
  <si>
    <t>Mutant mass, Протеин сывороточный 2270г, Тройной шоколад , 174153168</t>
  </si>
  <si>
    <t>WB0149</t>
  </si>
  <si>
    <t>SOUL WAY, Протеин сывороточный (900 гр), 30 порций, банан, 141171853</t>
  </si>
  <si>
    <t>WB0150</t>
  </si>
  <si>
    <t>WB0151</t>
  </si>
  <si>
    <t>Samyun Wan, Ginseng kianpi pil бады таблетки для набора веса и массы, 168790484</t>
  </si>
  <si>
    <t>WB0153</t>
  </si>
  <si>
    <t>WB0154</t>
  </si>
  <si>
    <t>R-Line, Гейнер LIGHT MASS (моккачино) 3000 г, 008160575</t>
  </si>
  <si>
    <t>WB0155</t>
  </si>
  <si>
    <t>R-Line, Гейнер LIGHT MASS (ваниль) 3000 г, 005586833</t>
  </si>
  <si>
    <t>521024655</t>
  </si>
  <si>
    <t>Sundown Naturals, Комплекс витаминов группы В, 100 таблеток SDN-00601</t>
  </si>
  <si>
    <t>KAL, Глицинат магния с высокой абсорбцией 350, 160 вегетарианских капсул CAL-39022</t>
  </si>
  <si>
    <t>California Gold Nutrition, гидролизованные пептиды морского коллагена, без добавок, 200 г (7,05 унции) CGN-01863</t>
  </si>
  <si>
    <t>Life Extension, керамиды для восстановления кожи, 30 вегетарианских капсул с жидкостью LEX-20963</t>
  </si>
  <si>
    <t>521159821</t>
  </si>
  <si>
    <t>Source Naturals, винпоцетин, 10 мг, 120 таблеток SNS-01399</t>
  </si>
  <si>
    <t>FITCODE, Львиная грива, 500 мг, 60 растительных капсул FCD-02860</t>
  </si>
  <si>
    <t>Carlson, Kids Cod Liver Oil, Natural Green Apple , 550 mg, 8,4 fl oz (250 ml) CAR-13730</t>
  </si>
  <si>
    <t>OZO0025</t>
  </si>
  <si>
    <t>SOUL WAY, Протеин сывороточный (900 гр), 30 порций, бисквит с карамелью, 1070106285</t>
  </si>
  <si>
    <t>Maxler, Креатин моногидрат Creatine 100% Monohydrate, 150 гр., 999025023</t>
  </si>
  <si>
    <t>WB0156</t>
  </si>
  <si>
    <t>Spotlife, Шейкер Movie Needs Daily Body, 800мл., черный, 176044510</t>
  </si>
  <si>
    <t>Spotlife, Шейкер Movie Needs Daily Body, 800мл., морская волна, 176044512</t>
  </si>
  <si>
    <t xml:space="preserve">307110838 </t>
  </si>
  <si>
    <t>Indigo, Эспандер Боевой мяч Fight Ball SM-061 55 см</t>
  </si>
  <si>
    <t>521239062</t>
  </si>
  <si>
    <t>Eclectic Institute, коллинсония канадская, 250 мг, 60 мл (2 жидк, унции) ECL-10239</t>
  </si>
  <si>
    <t>Planetary Herbals, Конский каштан, здоровье вен, 705 мг, 90 таблеток PTF-10393</t>
  </si>
  <si>
    <t>Nordic Naturals, докозагексаеновая кислота (ДГК) с витамином D3 для детей, 1050 мг, 60 мл (2 жидк, унции) NOR-53787</t>
  </si>
  <si>
    <t>NutriBiotic, назальный спрей, 29,5 мл (1 жидк, унция) NBC-01050</t>
  </si>
  <si>
    <t>FITCODE, Energy Code, перед тренировкой, арбуз, 279 г (9,8 унции) FCD-02889</t>
  </si>
  <si>
    <t>NaturesPlus, Source of Life, Animal Parade Gold, жевательные мультивитамины с микроэлементами для детей, ассорти, 120 таблеток в форме животных NAP-29928</t>
  </si>
  <si>
    <t>521320926</t>
  </si>
  <si>
    <t>21st Century, Sentry Senior, мультивитаминная и мультиминеральная добавка, для взрослых от 50 лет, 125 таблеток CEN-22390</t>
  </si>
  <si>
    <t>Boiron, Крем из календулы для первой помощи, 70 г (2,5 унции) BOI-02156</t>
  </si>
  <si>
    <t>Futurebiotics, Передовые мультивитамины для женщин "Энергия Плюс", 120 таблеток FBS-00047</t>
  </si>
  <si>
    <t>OZO0026</t>
  </si>
  <si>
    <t>R-Line, Гейнер LIGHT MASS (шоколад) 3000 г, 1095246917</t>
  </si>
  <si>
    <t>PRIMEKRAFT, Протеин сывороточный "Whey Protein" с витаминами и минералами, Молочный шоколад, 500 г, 170919152</t>
  </si>
  <si>
    <t>R-Line, Гейнер LIGHT MASS (клубника) 3000 г, 555377467</t>
  </si>
  <si>
    <t>OZO0027</t>
  </si>
  <si>
    <t>Dabur, зубная паста Дабур Ред (Dabur Red) 100г, 856532999</t>
  </si>
  <si>
    <t>WB0157</t>
  </si>
  <si>
    <t>Insane Labz, Предтренировочный комплекс Психотик для зала, Арбуз, 175277649</t>
  </si>
  <si>
    <t>WB0158</t>
  </si>
  <si>
    <t>Maxler, Натуральный протеин сывороточный 100% Golden Whey NATURAL 2 lb (907 гр.) , Rke,ybrf, 160688046</t>
  </si>
  <si>
    <t>WB0161</t>
  </si>
  <si>
    <t>Maxler, Creatine 100% Monohydrate 500г, 125798812</t>
  </si>
  <si>
    <t>521435123</t>
  </si>
  <si>
    <t>California Gold Nutrition, экстракт босвеллии с экстрактом куркумы, 250 мг, 120 вегетарианских капсул CGN-01351</t>
  </si>
  <si>
    <t>Nature's Craft, Красный дрожжевой рис + Coq10, 120 капсул NCA-38611</t>
  </si>
  <si>
    <t>NOW Foods, гиалуроновая кислота и МСМ, 50 мг, 120 растительных капсул NOW-03157</t>
  </si>
  <si>
    <t>710770869</t>
  </si>
  <si>
    <t>711187296</t>
  </si>
  <si>
    <t>CoralClub, Лецитин подсолнечный, 000002307</t>
  </si>
  <si>
    <t>WB0166</t>
  </si>
  <si>
    <t>521600677</t>
  </si>
  <si>
    <t>Hobe Labs, Energizer, стимулятор волосяных фолликулов, 59 мл (2 жидк, Унции) HBL-00219</t>
  </si>
  <si>
    <t>Hobe Labs, Energizer, стимулятор роста волос с жожоба и витамином B5, 237 мл (5,8 жидк, унции) HBL-00212</t>
  </si>
  <si>
    <t>Force Factor, Fundamentals, LongJack Tongkat Ali Max, 1200 мг, 60 растительных капсул FOA-01906</t>
  </si>
  <si>
    <t>Doctor's Best, Best, L-тирозин, 500 мг, 120 вегетарианских капсул DRB-00316</t>
  </si>
  <si>
    <t>Bluebonnet Nutrition, магний и витамин B6, 90 вегетарианских капсул BLB-00735</t>
  </si>
  <si>
    <t>21st Century, Wellify, энергетические мультивитамины и мультиминералы для мужчин, 65 таблеток CEN-22439</t>
  </si>
  <si>
    <t>21st Century, Mega Multi, для мужчин, мультивитамины и мультиминералы, 90 таблеток CEN-22658</t>
  </si>
  <si>
    <t>21st Century, Wellify, энергетические мультивитамины и мультиминералы для женщин, 65 таблеток CEN-22443</t>
  </si>
  <si>
    <t>21st Century, Wellify, мультивитамины и мультиминералы для женщин старше 50 лет, 65 таблеток CEN-22460</t>
  </si>
  <si>
    <t>MuscleTech, Nitro Tech, 100% Whey Gold, сывороточный протеин, печенье с кремом, 1,00 кг (2,21 фунта) MSC-71044</t>
  </si>
  <si>
    <t>Nordic Naturals, ДГК для детей от 1 до 6 лет, клубника, 237 мл (8 жидк, Унций) NOR-02723</t>
  </si>
  <si>
    <t>521625537</t>
  </si>
  <si>
    <t>Enzymedica, Candidase, Extra Strength, 42 капсулы ENZ-13010</t>
  </si>
  <si>
    <t>California Gold Nutrition, Цинк-L-карнозин, 30 растительных капсул CGN-02171</t>
  </si>
  <si>
    <t>521522171</t>
  </si>
  <si>
    <t>Futurebiotics, витамины K2 + D3 с витамином K2 в виде MK-7, 120 капсул FBS-50070</t>
  </si>
  <si>
    <t>OZO0029</t>
  </si>
  <si>
    <t>SOUL WAY, Протеин сывороточный (900 гр), 30 порций, Капучино, 1070098908</t>
  </si>
  <si>
    <t>711437825</t>
  </si>
  <si>
    <t>CoralClub, Корал-Майн Сильвер, 000002200</t>
  </si>
  <si>
    <t>OZO0030</t>
  </si>
  <si>
    <t>SOUL WAY, Протеин сывороточный (900 гр), 30 порций, Клубника, 0987465725</t>
  </si>
  <si>
    <t>OZO0031</t>
  </si>
  <si>
    <t>OZO0033</t>
  </si>
  <si>
    <t>OZO0035</t>
  </si>
  <si>
    <t>Iron mass, Iron test / ecdisten / Iron mass набор для набора массы 3 в одном, 1182147728</t>
  </si>
  <si>
    <t>OZO0039</t>
  </si>
  <si>
    <t>R-Line, Гейнер Углеводно-Белковый Коктейль MASS + Creatine, банка, 4000 г., Банан, 1235693361</t>
  </si>
  <si>
    <t>R-Line, Гейнер Углеводно-Белковый Коктейль MASS + Creatine, банка, 4000 г., Клубника, 1235696968</t>
  </si>
  <si>
    <t>50BMG pharm, Набор Real Mass / Реал масс Testo-Rampage, 1158717286</t>
  </si>
  <si>
    <t>OZO0040</t>
  </si>
  <si>
    <t>WB0167</t>
  </si>
  <si>
    <t>SKILLS NUTRITION, Порошковый креатин моногидрат, 015958935</t>
  </si>
  <si>
    <t>WB0168</t>
  </si>
  <si>
    <t>521860465</t>
  </si>
  <si>
    <t>NOW Foods, MK-7, витамин K2, 100 мкг, 120 вегетарианских капсул NOW-00993</t>
  </si>
  <si>
    <t>Nutricost, Гриб львиная грива, 700 мг, 90 капсул NCS-67028</t>
  </si>
  <si>
    <t>NOW Foods, Solutions, Xyli-White, гелевая зубная паста с пищевой содой, без фторида, освежающая мята, 181 г (6,4 унции) NOW-08091</t>
  </si>
  <si>
    <t>EVLution Nutrition, Бета-аланин, 60 растительных капсул EVL-02907</t>
  </si>
  <si>
    <t>522067206</t>
  </si>
  <si>
    <t>Bluebonnet Nutrition, Early Promise, мультивитамин для беременных с мягкой формулой, 120 капсуловидных таблеток BLB-00175</t>
  </si>
  <si>
    <t>521930127</t>
  </si>
  <si>
    <t>Natural Factors, фосфатидилхолин (ФХ), 420 мг, 90 мягких таблеток NFS-02605</t>
  </si>
  <si>
    <t>California Gold Nutrition, Life Boost, 60 растительных капсул CGN-02108</t>
  </si>
  <si>
    <t>NutriBiotic, Essentials, мультивитамины и минералы, 90 капсул без глютена NBC-00120</t>
  </si>
  <si>
    <t>521732791</t>
  </si>
  <si>
    <t>Swanson, L-аргинин, 500 мг, 100 капсул SWV-01852</t>
  </si>
  <si>
    <t>21st Century, Фолиевая кислота, 400 мкг, 250 легко проглатываемых таблеток CEN-21377</t>
  </si>
  <si>
    <t>Life Extension, Витамин D3, 25 мкг (1000 МЕ), 90 мягких таблеток LEX-17539</t>
  </si>
  <si>
    <t>Carlson, норвежская серия, самый лучший рыбий жир, с натуральным лимонным вкусом, 1600 мг, 200 мл (6,7 жидк, унции) CAR-01540</t>
  </si>
  <si>
    <t>NOW Foods, L-триптофан, двойной концентрации, 1000 мг, 60 таблеток NOW-00169</t>
  </si>
  <si>
    <t>Force Factor, Моногидрат креатина, без добавок, 300 г (10,6 унции) FOA-66010</t>
  </si>
  <si>
    <t>Jarrow Formulas, DIM + CDG, улучшенная формула для детоксикации, 30 вегетарианских капсул JRW-29065</t>
  </si>
  <si>
    <t>522016309</t>
  </si>
  <si>
    <t>California Gold Nutrition, LactoBif 5, пробиотики, 5 млрд КОЕ, 60 вегетарианских капсул CGN-00963</t>
  </si>
  <si>
    <t>California Gold Nutrition, L-лизин, 500 мг, 60 растительных капсул CGN-01132</t>
  </si>
  <si>
    <t>522131048</t>
  </si>
  <si>
    <t>Life Extension, прегненолон, 100 мг, 100 капсул LEX-70010</t>
  </si>
  <si>
    <t>NOW Foods, астрагал, 500 мг, 100 растительных капсул NOW-04605</t>
  </si>
  <si>
    <t>RSP Nutrition, якорцы стелющиеся, поддержка тестостерона, 800 мг, 120 капсул RSP-00661</t>
  </si>
  <si>
    <t>Primaforce, Якорцы, 750 мг, 180 капсул PMF-02105</t>
  </si>
  <si>
    <t>Nature's Way, Alive! комплекс мультивитаминов и мультиминералов для ежедневного пополнения запаса энергии, 60 таблеток NWY-60192</t>
  </si>
  <si>
    <t>Nature's Way, Alive! Max3 Daily, мультивитамины, 60 таблеток NWY-14926</t>
  </si>
  <si>
    <t>FITCODE, LeanPre, предтренировочная добавка, измельченная малина, 240 г (8,46 унции) FCD-02890</t>
  </si>
  <si>
    <t>OZO0041</t>
  </si>
  <si>
    <t>XINOXIN, Средство для роста волос, бороды 15%, 60мл, 615982878</t>
  </si>
  <si>
    <t>WB0172</t>
  </si>
  <si>
    <t>Samyun Wan, Для похудения Slim ultra, 187613272</t>
  </si>
  <si>
    <t>522257238</t>
  </si>
  <si>
    <t>NOW Foods, рутин, 450 мг, 100 растительных капсул NOW00735</t>
  </si>
  <si>
    <t>Natural Factors, рутин, 250 мг, 90 капсул NFS01391</t>
  </si>
  <si>
    <t>NOW Foods, ультраомега-3, 600 ЭПК / 300 ДГК, 90 капсул из рыбьего желатина NOW01663</t>
  </si>
  <si>
    <t>NOW Foods, витамин D3, высокоактивный, 50 мкг (2000 МЕ), 120 капсул NOW00367</t>
  </si>
  <si>
    <t>NOW Foods, цитрат магния, 180 капсул NOW01298</t>
  </si>
  <si>
    <t>NOW Foods, цитрат магния, 240 растительных капсул NOW01296</t>
  </si>
  <si>
    <t>Nature's Way, Alive! Once Daily, полный комплекс высокоэффективных мультивитаминов для женщин, 60 таблеток NWY15686</t>
  </si>
  <si>
    <t>NOW Foods, Ева, улучшенные женские мультивитамины, 90 таблеток NOW03796</t>
  </si>
  <si>
    <t>NOW Foods, астрагал, 500 мг, 100 растительных капсул NOW04605</t>
  </si>
  <si>
    <t>Healths Harmony, Экстракт боярышника 4: 1, 120 капсул HRM50004</t>
  </si>
  <si>
    <t>Nature's Way, Alive! комплекс высокоэффективных мультивитаминов для женщин 50 лет и старше, один раз в день, 60 таблеток NWY15692</t>
  </si>
  <si>
    <t>Nature's Way, Alive! комплекс суперэффективных мультивитаминов для мужчин 50+, 60 таблеток NWY15691</t>
  </si>
  <si>
    <t>Nature's Way, DIM-plus, метаболизм эстрогенов, 120 вегетарианских капсул NWY14850</t>
  </si>
  <si>
    <t>NOW Foods, жидкий хлорофилл, аромат натуральной мяты, 473 мл (16 жидк, унций) NOW02644</t>
  </si>
  <si>
    <t>MuscleTech, Alpha Test, 120 капсул MSC60676</t>
  </si>
  <si>
    <t>Trilogy, Увлажняющий спрей-тоник, 20 мл (0,68 жидк, Унции) TGY38090</t>
  </si>
  <si>
    <t>522365280</t>
  </si>
  <si>
    <t>NOW Foods, лецитин, 1200 мг, 100 мягких таблеток NOW02210</t>
  </si>
  <si>
    <t>Garden of Life, Vitamin Code, цельнопищевые мультивитамины для детей, вишня, 60 жевательных мишек GOL11440</t>
  </si>
  <si>
    <t>Life Extension, ДГЭА, 25 мг, 100 капсул LEX33510</t>
  </si>
  <si>
    <t>Life Extension, прегненолон, 50 мг, 100 капсул LEX30210</t>
  </si>
  <si>
    <t>Force Factor, Моногидрат креатина, без добавок, 300 г (10,6 унции) FOA66010</t>
  </si>
  <si>
    <t>Carlson, норвежская серия для детей, самый лучший рыбий жир, натуральный лимонный вкус, 800 мг, 200 мл (6,7 жидк, унции) CAR01543</t>
  </si>
  <si>
    <t>Carlson, Super Daily, витамин D3 для детей, 10 мкг (400 МЕ), 10,3 мл (0,35 жидк, унций) CAR01250</t>
  </si>
  <si>
    <t>Carlson, норвежская серия, самый лучший рыбий жир, натуральный лимонный вкус, 1600 мг, 500 мл (16,9 жидк, унции) CAR01545</t>
  </si>
  <si>
    <t>NOW Foods, ГАМК, 750 мг, 100 растительных капсул NOW00089</t>
  </si>
  <si>
    <t>Life Extension, Мультивитамины для двух приемов в день, 120 таблеток LEX23151</t>
  </si>
  <si>
    <t>Solaray, цинк, 50 мг, 100 растительных капсул SOR04710</t>
  </si>
  <si>
    <t>NOW Foods, Готу кола, 450 мг, 100 растительных капсул NOW04700</t>
  </si>
  <si>
    <t>522268473</t>
  </si>
  <si>
    <t>NOW Foods, Sports, моногидрат креатина, 750 мг, 120 растительных капсул NOW02035</t>
  </si>
  <si>
    <t>Palmer's, Формула какао-масла с витамином E, терапевтическое масло для кожи, 150 мл (5,1 жидк, Унции) PAL04153</t>
  </si>
  <si>
    <t>Sports Research, комплекс Collagen Beauty, морской коллаген, арбуз и юзу, 181 г (6,38 унций) SRE01345</t>
  </si>
  <si>
    <t>FITCODE, L-карнитин, повышенная сила действия, 500 мг, 120 капсул FCD02881</t>
  </si>
  <si>
    <t>Maybelline, Baby Lips, бальзам-блеск для губ, оттенок «розовый» 01, 3,9 г MBY48312</t>
  </si>
  <si>
    <t>Maybelline, Baby Lips Crystal, увлажняющий бальзам для губ, розовый кварц 140, 4,4 г MBY42459</t>
  </si>
  <si>
    <t>NaturesPlus, Advanced Therapeutics Hypertrol для кровяного давления, 60 таблеток NAP04997</t>
  </si>
  <si>
    <t>NOW Foods, Sports, микронизированный моногидрат креатина, 500 г (1,1 фунта) NOW02038</t>
  </si>
  <si>
    <t>Life Extension, DHEA, 50 мг, 60 капсул LEX88206</t>
  </si>
  <si>
    <t>NOW Foods, Высокоэффективный витамин D-3, 250 мкг (10 000 МЕ), 120 мягких таблеток NOW00376</t>
  </si>
  <si>
    <t>OZO0042</t>
  </si>
  <si>
    <t>Dr.M.S.Basu's, Айсотин (капли для глаз) Isotine 10 мл., 814920275</t>
  </si>
  <si>
    <t>Now Foods,  GABA 750 мг 100 капсул, 928190726</t>
  </si>
  <si>
    <t>OZO0044</t>
  </si>
  <si>
    <t>WB0173</t>
  </si>
  <si>
    <t>СОЛОЛЕТО, Фитнес резинки жгут петли эспандер для подтягивания лента, 146995620</t>
  </si>
  <si>
    <t>WB0174</t>
  </si>
  <si>
    <t>711768703</t>
  </si>
  <si>
    <t>CoralClub,  Корал Лецитин, 000091650</t>
  </si>
  <si>
    <t>CoralClub, Цинк Метионин 25 мг, 000002305</t>
  </si>
  <si>
    <t>CoralClub, Селен, 000002111</t>
  </si>
  <si>
    <t>522522423</t>
  </si>
  <si>
    <t>Paradise Herbs, Earth's Blend, биотин, 10 000 мкг, 90 вегетарианских капсул PAR-77870</t>
  </si>
  <si>
    <t>California Gold Nutrition, гидролизованные пептиды морского коллагена, без добавок, 500 г (17,64 унции) CGN-01864</t>
  </si>
  <si>
    <t>Sports Research, комплекс Collagen Beauty, морской коллаген, арбуз и юзу, 181 г (6,38 унций) SRE-01345</t>
  </si>
  <si>
    <t>Vital Proteins, пептиды коллагена, без вкусовых добавок, 567 г (1,25 фунта) VTP-00508</t>
  </si>
  <si>
    <t>522635390</t>
  </si>
  <si>
    <t>Morningstar Minerals, фульвовые и гуминовые минералы, энергичность, 946 мл (32 унции) MOR-00953</t>
  </si>
  <si>
    <t>Life Extension, эстроген для женщин, 30 вегетарианских таблеток LEX-18943</t>
  </si>
  <si>
    <t>Solaray, цинк и медь с бурыми водорослями и тыквенными семечками, 100 капсул VegCap SOR-47105</t>
  </si>
  <si>
    <t>KAL, Цинк 50 хелатных, 90 таблеток CAL-52642</t>
  </si>
  <si>
    <t>Honees, леденцы с медом, ментолом и эвкалиптом, 100 мг (3,5 унции) HNS-00403</t>
  </si>
  <si>
    <t>Honees, леденцы от кашля, мед и лимон, 20 крупных леденцов HNS-00404</t>
  </si>
  <si>
    <t>NOW Foods, ультра омега-3, 500 ЭПК / 250 ДГК, 180 мягких таблеток из рыбьего желатина NOW-01665</t>
  </si>
  <si>
    <t>522767884</t>
  </si>
  <si>
    <t>Ecological Formulas, аллитиамин (витамин В1), 50 мг, 250 капсул CVR-13109</t>
  </si>
  <si>
    <t>Force Factor, Longjack Tongkat Ali, эврикома длиннолистная, 500 мг, 30 капсул FOA-01490</t>
  </si>
  <si>
    <t>Force Factor, йохимбин, 6 мг, 30 капсул FOA-01527</t>
  </si>
  <si>
    <t>Solaray, цитрат магния, 400 мг, 180 вегетарианских капсул (133 мг в 1 капсуле) SOR-37402</t>
  </si>
  <si>
    <t>Real Mushrooms, Lion's Mane, Cognition, 120 капсул RMS-06804</t>
  </si>
  <si>
    <t>NOW Foods, чесночное масло, 1500 мг, 250 капсул NOW-01792</t>
  </si>
  <si>
    <t>522691947</t>
  </si>
  <si>
    <t>wet n wild, Хайлайтер MegaGlo, оттенок When The Nude Strikes, 6 г WNW-58000</t>
  </si>
  <si>
    <t>Ecological Formulas, Уридин-300, 60 капсул CVR-13129</t>
  </si>
  <si>
    <t>Ecological Formulas, Sphingolin, основной белок миелина, 240 капсул CVR-13077</t>
  </si>
  <si>
    <t>Thorne, кора надпочечников, 60 капсул THR-80303</t>
  </si>
  <si>
    <t>Source Naturals, прегненолон, 25 мг, 120 таблеток SNS-00678</t>
  </si>
  <si>
    <t>711837576</t>
  </si>
  <si>
    <t>4395301012</t>
  </si>
  <si>
    <t>522839917</t>
  </si>
  <si>
    <t>NOW Foods, Solutions, укрепляющая сыворотка с гиалуроновой кислотой, 30 мл (1 жидк, унция) NOW-07788</t>
  </si>
  <si>
    <t>21st Century, смесь ацидофильных пробиотиков, 150 капсул CEN-22928</t>
  </si>
  <si>
    <t>NOW Foods, Sports, якорцы, 1000 мг, 180 таблеток NOW-02271</t>
  </si>
  <si>
    <t>Force Factor, Force Factor, якорцы стелющиеся, добавка для повышения уровня тестостерона, 60 капсул FOA-01491</t>
  </si>
  <si>
    <t>NOW Foods, мелатонин усиленного действия, 10 мг, 100 растительных капсул NOW-03557</t>
  </si>
  <si>
    <t>522902213</t>
  </si>
  <si>
    <t>California Gold Nutrition, птеростильбен, 50 мг, 30 растительных капсул CGN-01847</t>
  </si>
  <si>
    <t>523111075</t>
  </si>
  <si>
    <t>NOW Foods, хлорофилл, 100 мг, 90 растительных капсул NOW-02645</t>
  </si>
  <si>
    <t>Advanced Clinicals, Комплексная сыворотка для глаз «5 в 1», мультикоррекция, 59 мл (2 жидк, унции) ADC-00977</t>
  </si>
  <si>
    <t>Elizavecca, Witch Piggy, средство для контроля пор, с 97% гиалуроновой кислоты, 50 мл (1,69 жидк, унции) EZV-75066</t>
  </si>
  <si>
    <t>Carlson, Хром Хелат 300 таблеток CAR-05513</t>
  </si>
  <si>
    <t>523255993</t>
  </si>
  <si>
    <t>BioSchwartz, глюкозамин, МСМ + хондроитин с запатентованным комплексом Fruitex-B, 90 растительных капсул BTZ-75121</t>
  </si>
  <si>
    <t>523185478</t>
  </si>
  <si>
    <t>Zahler, Junior Multi, комплексный мультивитамин для приема по 1 таблетке в день, натуральный вишневый вкус, 90 жевательных таблеток ZAH-08047</t>
  </si>
  <si>
    <t>523309351</t>
  </si>
  <si>
    <t>NaturesPlus, Source of Life, Animal Parade, витамин C, вкус натурального апельсинового сока, 90 таблеток в форме животных NAP-29998</t>
  </si>
  <si>
    <t>NaturesPlus, Source of Life, Animal Parade, Kid Zinc, пастилки с цинком для детей, натуральный вкус мандарина, 90 пастилок в форме животных NAP-29964</t>
  </si>
  <si>
    <t>California Gold Nutrition, стабилизированная R-липоевая кислота, 30 растительных капсул CGN-02006</t>
  </si>
  <si>
    <t>Optimum Nutrition, Opti-Women, 60 капсул OPN-02450</t>
  </si>
  <si>
    <t>PVP-361670</t>
  </si>
  <si>
    <t>OZA0126</t>
  </si>
  <si>
    <t>R-Line, Гейнер Углеводно-Белковый Коктейль MASS + Creatine, банка, 4000 г., Шоколад, 715218620</t>
  </si>
  <si>
    <t>WB0175</t>
  </si>
  <si>
    <t>Red Ginseng, Капсулы ред гинсенг для набора веса спортивное питание, 176330234</t>
  </si>
  <si>
    <t>Mr.Volos, Средство для волос и роста бороды, Ксиноксин + Копексия, 157827858</t>
  </si>
  <si>
    <t>OZO0046</t>
  </si>
  <si>
    <t>OZO0047</t>
  </si>
  <si>
    <t>4495009569</t>
  </si>
  <si>
    <t>712074060</t>
  </si>
  <si>
    <t>CoralClub, Сильвер-Макс, 000091614</t>
  </si>
  <si>
    <t>4395301012/2</t>
  </si>
  <si>
    <t>OZO0049</t>
  </si>
  <si>
    <t>NUTRICIA, Сухая смесь Nutridrink Nutrison Advanced, для энтерального питания, 147011133</t>
  </si>
  <si>
    <t>OZO0050</t>
  </si>
  <si>
    <t>OZO0051</t>
  </si>
  <si>
    <t>JAGAT PHARMA, Капли для глаз Айсотин Плюс (Isotine Plus Eye Drop), 1065206575</t>
  </si>
  <si>
    <t>WB0176</t>
  </si>
  <si>
    <t>MEDI-PEEL, Крем сыворотка для глаз Mezzo Filla Eye Serum, 168204369</t>
  </si>
  <si>
    <t>FIT90, Капсулы для похудения, Таблетки для снижения веса, 169216399</t>
  </si>
  <si>
    <t>4495023459</t>
  </si>
  <si>
    <t>ESSENS, Духи для женщин w162, 000w16250</t>
  </si>
  <si>
    <t>ESSENS, Пробник w162, 000w16201</t>
  </si>
  <si>
    <t>ESSENS, Духи для женщин w172, 000w17250</t>
  </si>
  <si>
    <t>ESSENS, Духи для женщин w173, 000w17350</t>
  </si>
  <si>
    <t>ESSENS, Духи для женщин w176, 000w17650</t>
  </si>
  <si>
    <t>4495024025</t>
  </si>
  <si>
    <t>ESSENS, Духи для мужчин m037, 000m03750</t>
  </si>
  <si>
    <t>ESSENS, Духи для мужчин m038, 000m03850</t>
  </si>
  <si>
    <t>ESSENS, Духи для женщин w180, 000w18050</t>
  </si>
  <si>
    <t>4495023485</t>
  </si>
  <si>
    <t>ESSENS, Духи для мужчин m015, 000m01550</t>
  </si>
  <si>
    <t>ESSENS, Духи для женщин w150, 000w15050</t>
  </si>
  <si>
    <t>ESSENS, Духи для женщин w159n, 000w15950n</t>
  </si>
  <si>
    <t>ESSENS, Духи для женщин w182, 000w18250</t>
  </si>
  <si>
    <t>ESSENS, Духи для мужчин m043, 000m04350</t>
  </si>
  <si>
    <t>ESSENS, Духи для женщин w185, 000w18550</t>
  </si>
  <si>
    <t>ESSENS, Духи для женщин w186, 000w18650</t>
  </si>
  <si>
    <t>ESSENS, Духи для женщин w190, 000w19050</t>
  </si>
  <si>
    <t>523420569</t>
  </si>
  <si>
    <t>Terry Naturally, Биоактивный магниевый комплекс с P-5-P и цинком, 120 капсул EUR-26102</t>
  </si>
  <si>
    <t>Nature's Way, холин, 500 мг, 100 веганских таблеток NWY-40460</t>
  </si>
  <si>
    <t>NaturesPlus, Source of Life, Animal Parade, витамин D3, без сахара, с натуральным вкусом черешни, 12,5 мкг (500 МЕ), 90 таблеток в форме животных NAP-29923</t>
  </si>
  <si>
    <t>Healths Harmony, Для детей, жевательные мармеладки с бузиной, малина`` 90 жевательных таблеток HRM-50013</t>
  </si>
  <si>
    <t>523625388</t>
  </si>
  <si>
    <t>Medi-Peel, Dr, Солнцезащитный крем-эссенция, SPF 50, 50 мл (1,69 жидк, Унции) MPL-34771</t>
  </si>
  <si>
    <t>523553950</t>
  </si>
  <si>
    <t>Natural Factors, лютеин, 40 мг, 60 мягких таблеток NFS-01035</t>
  </si>
  <si>
    <t>Nature's Way, Alive! Мультивитамины для больных диабетом, 60 таблеток NWY-12371</t>
  </si>
  <si>
    <t>Yeouth, дневной/ночной крем, 5 мл YTH-01964</t>
  </si>
  <si>
    <t>Nutricost, магний+, с повышенной силой действия, 420 мг, 240 капсул (210 мг в 1 капсуле) NCS-67209</t>
  </si>
  <si>
    <t xml:space="preserve">  </t>
  </si>
  <si>
    <t>Статус доставки</t>
  </si>
  <si>
    <t>Перевозчик</t>
  </si>
  <si>
    <t>№ отслеживания перевозчика</t>
  </si>
  <si>
    <t>Дата заказа</t>
  </si>
  <si>
    <t>Курс</t>
  </si>
  <si>
    <t>Вознаграждение UAH</t>
  </si>
  <si>
    <t>Общий итог iHerb UAH</t>
  </si>
  <si>
    <t>Сумма оплаты факт USD</t>
  </si>
  <si>
    <t>Логистика RUB</t>
  </si>
  <si>
    <t>Итого закупка RUB</t>
  </si>
  <si>
    <t>Итого продажа RUB</t>
  </si>
  <si>
    <t>1Z095EE70248804009</t>
  </si>
  <si>
    <t>SDEK_OA</t>
  </si>
  <si>
    <t>1350919856</t>
  </si>
  <si>
    <t>1LSCXLZ000YQI0M</t>
  </si>
  <si>
    <t>SDEK_AV</t>
  </si>
  <si>
    <t>1354150269</t>
  </si>
  <si>
    <t>1LSCXLZ000Z8LTB</t>
  </si>
  <si>
    <t>1355694975</t>
  </si>
  <si>
    <t>IHORD0000446652NPG</t>
  </si>
  <si>
    <t>Андрей</t>
  </si>
  <si>
    <t>IHORD0000452586NPG</t>
  </si>
  <si>
    <t>IHORD0000457374NPG</t>
  </si>
  <si>
    <t>IHORD0000461294NPG</t>
  </si>
  <si>
    <t>IHORD0000480207NPG</t>
  </si>
  <si>
    <t>Жанна</t>
  </si>
  <si>
    <t>IHORD0000487784NPG</t>
  </si>
  <si>
    <t>IHORD0000490976NPG</t>
  </si>
  <si>
    <t>IHORD0000495511NPG</t>
  </si>
  <si>
    <t>Protein</t>
  </si>
  <si>
    <t>HORD0000505131NPG</t>
  </si>
  <si>
    <t>Anna</t>
  </si>
  <si>
    <t>Анна</t>
  </si>
  <si>
    <t>OZON_AV</t>
  </si>
  <si>
    <t>OZON</t>
  </si>
  <si>
    <t>Roman</t>
  </si>
  <si>
    <t>Роман</t>
  </si>
  <si>
    <t>1371469533</t>
  </si>
  <si>
    <t>514373515-0</t>
  </si>
  <si>
    <t>514944272-0</t>
  </si>
  <si>
    <t>514943236-0</t>
  </si>
  <si>
    <t>1378820167</t>
  </si>
  <si>
    <t>1Z095EE70250533986</t>
  </si>
  <si>
    <t>PRST_AV</t>
  </si>
  <si>
    <t>PCT000000647437</t>
  </si>
  <si>
    <t>WILDBERRIES</t>
  </si>
  <si>
    <t>922238684-0</t>
  </si>
  <si>
    <t>PCT000000670638</t>
  </si>
  <si>
    <t>1Z095EE70250692180</t>
  </si>
  <si>
    <t>PCT000000671716</t>
  </si>
  <si>
    <t>1Z095EE70250724592</t>
  </si>
  <si>
    <t>1384032712</t>
  </si>
  <si>
    <t>922332066-0</t>
  </si>
  <si>
    <t>PRST_OA</t>
  </si>
  <si>
    <t>PCT000000680747</t>
  </si>
  <si>
    <t>922366453-0</t>
  </si>
  <si>
    <t>1384780916</t>
  </si>
  <si>
    <t>1Z095EE70250818508</t>
  </si>
  <si>
    <t>PCT000000682545</t>
  </si>
  <si>
    <t>Дмитрий</t>
  </si>
  <si>
    <t>922397480-0</t>
  </si>
  <si>
    <t>PCT000000671708</t>
  </si>
  <si>
    <t>CoralClub_OA</t>
  </si>
  <si>
    <t>Елена</t>
  </si>
  <si>
    <t>CoralClub_AV</t>
  </si>
  <si>
    <t>922594405-0</t>
  </si>
  <si>
    <t>PCT000000686444</t>
  </si>
  <si>
    <t>1Z58FA050346012815</t>
  </si>
  <si>
    <t>PCT000000698310</t>
  </si>
  <si>
    <t>922582622-0</t>
  </si>
  <si>
    <t>PCT000000674949</t>
  </si>
  <si>
    <t>922528147-0</t>
  </si>
  <si>
    <t>PCT000000692267</t>
  </si>
  <si>
    <t>Forever</t>
  </si>
  <si>
    <t>Савчук Кристина</t>
  </si>
  <si>
    <t>922731615-0</t>
  </si>
  <si>
    <t>PCT000000697549</t>
  </si>
  <si>
    <t>1Z58FA050346286360</t>
  </si>
  <si>
    <t>PCT000000695385</t>
  </si>
  <si>
    <t>1Z58FA050346373999</t>
  </si>
  <si>
    <t>PCT000000707751</t>
  </si>
  <si>
    <t>922965619-0</t>
  </si>
  <si>
    <t>PCT000000703887</t>
  </si>
  <si>
    <t>710000549542</t>
  </si>
  <si>
    <t>710000579455</t>
  </si>
  <si>
    <t>OZON_OA</t>
  </si>
  <si>
    <t>710000606202</t>
  </si>
  <si>
    <t>BBU16771423519131</t>
  </si>
  <si>
    <t>923020356-0</t>
  </si>
  <si>
    <t>PCT000000699622</t>
  </si>
  <si>
    <t>710000613022</t>
  </si>
  <si>
    <t>710000620367</t>
  </si>
  <si>
    <t>BBU16775150464001</t>
  </si>
  <si>
    <t>710000620079</t>
  </si>
  <si>
    <t>710000638956</t>
  </si>
  <si>
    <t>BBU16781220228683</t>
  </si>
  <si>
    <t>710000630817</t>
  </si>
  <si>
    <t>710000646999</t>
  </si>
  <si>
    <t>BBU16787368106946</t>
  </si>
  <si>
    <t>710000652834</t>
  </si>
  <si>
    <t>NSP</t>
  </si>
  <si>
    <t>710000669496</t>
  </si>
  <si>
    <t>BBU16799841209422</t>
  </si>
  <si>
    <t>710000681685</t>
  </si>
  <si>
    <t>BBU16805937306280</t>
  </si>
  <si>
    <t>710000688854</t>
  </si>
  <si>
    <t>710000677963</t>
  </si>
  <si>
    <t>710000688945</t>
  </si>
  <si>
    <t>710000705343</t>
  </si>
  <si>
    <t>BBU16811141031400</t>
  </si>
  <si>
    <t>710000699962</t>
  </si>
  <si>
    <t>710000713512</t>
  </si>
  <si>
    <t>BBU16820122170642</t>
  </si>
  <si>
    <t>710000741061</t>
  </si>
  <si>
    <t>BBU16825291971257</t>
  </si>
  <si>
    <t>710000721246</t>
  </si>
  <si>
    <t>710000732635</t>
  </si>
  <si>
    <t>710000769553</t>
  </si>
  <si>
    <t>BBU16844253154128</t>
  </si>
  <si>
    <t>710000772381</t>
  </si>
  <si>
    <t>710000760111</t>
  </si>
  <si>
    <t>BBU16835704994788</t>
  </si>
  <si>
    <t>710000746689</t>
  </si>
  <si>
    <t>710000790688</t>
  </si>
  <si>
    <t>BBU16849538786994</t>
  </si>
  <si>
    <t>710000782272</t>
  </si>
  <si>
    <t>710000817994</t>
  </si>
  <si>
    <t>BBU16873491250823</t>
  </si>
  <si>
    <t>710000804444</t>
  </si>
  <si>
    <t>BBU16861264268020</t>
  </si>
  <si>
    <t>710000812893</t>
  </si>
  <si>
    <t>NSP_AV</t>
  </si>
  <si>
    <t>710000844692</t>
  </si>
  <si>
    <t>BBU16883976490438</t>
  </si>
  <si>
    <t>710000841136</t>
  </si>
  <si>
    <t>710000834372</t>
  </si>
  <si>
    <t>710000859578</t>
  </si>
  <si>
    <t>BBU16889171192786</t>
  </si>
  <si>
    <t>710000853782</t>
  </si>
  <si>
    <t>710000870557</t>
  </si>
  <si>
    <t>BBU16903498445619</t>
  </si>
  <si>
    <t>710000879029</t>
  </si>
  <si>
    <t>710000895722</t>
  </si>
  <si>
    <t>BBU16915130606215</t>
  </si>
  <si>
    <t>710000910338</t>
  </si>
  <si>
    <t>BBU16920813495032</t>
  </si>
  <si>
    <t>710000894435</t>
  </si>
  <si>
    <t>710000917468</t>
  </si>
  <si>
    <t>BBU16927992719445</t>
  </si>
  <si>
    <t>710000902643</t>
  </si>
  <si>
    <t>710000931146</t>
  </si>
  <si>
    <t>BBU16937640632403</t>
  </si>
  <si>
    <t>710000939289</t>
  </si>
  <si>
    <t>710000927997</t>
  </si>
  <si>
    <t>NSP_OA</t>
  </si>
  <si>
    <t>710000950997</t>
  </si>
  <si>
    <t>BBU16948030565553</t>
  </si>
  <si>
    <t>710000960871</t>
  </si>
  <si>
    <t>710000971994</t>
  </si>
  <si>
    <t>710000983587</t>
  </si>
  <si>
    <t>BBU16957378959213</t>
  </si>
  <si>
    <t>710002013499</t>
  </si>
  <si>
    <t>710000982348</t>
  </si>
  <si>
    <t>710000978572</t>
  </si>
  <si>
    <t>BBU16957380630616</t>
  </si>
  <si>
    <t>OZON_ДС</t>
  </si>
  <si>
    <t>YAMARKET</t>
  </si>
  <si>
    <t>710000988797</t>
  </si>
  <si>
    <t>700000902322</t>
  </si>
  <si>
    <t>BBU16965286114006</t>
  </si>
  <si>
    <t>700000923063</t>
  </si>
  <si>
    <t>BBU16969631539968</t>
  </si>
  <si>
    <t>700000902116</t>
  </si>
  <si>
    <t>710000994812</t>
  </si>
  <si>
    <t>700000911965</t>
  </si>
  <si>
    <t>700000938962</t>
  </si>
  <si>
    <t>700000951790</t>
  </si>
  <si>
    <t>BBU16979886691188</t>
  </si>
  <si>
    <t>700000955729</t>
  </si>
  <si>
    <t>700000960684</t>
  </si>
  <si>
    <t>КИТ</t>
  </si>
  <si>
    <t>КОСМАР0113786110</t>
  </si>
  <si>
    <t>Самовывоз</t>
  </si>
  <si>
    <t>700000967207</t>
  </si>
  <si>
    <t>700000977560</t>
  </si>
  <si>
    <t>КОСМАР0113875328</t>
  </si>
  <si>
    <t>700000979661</t>
  </si>
  <si>
    <t>700000972885</t>
  </si>
  <si>
    <t>700000994608</t>
  </si>
  <si>
    <t>720000011013</t>
  </si>
  <si>
    <t>700000999293</t>
  </si>
  <si>
    <t>700000985668</t>
  </si>
  <si>
    <t>710002051778</t>
  </si>
  <si>
    <t>720000014985</t>
  </si>
  <si>
    <t>720000024990</t>
  </si>
  <si>
    <t>КОСМАР0114246746</t>
  </si>
  <si>
    <t>720000032862</t>
  </si>
  <si>
    <t>720000026090</t>
  </si>
  <si>
    <t>720000042510</t>
  </si>
  <si>
    <t>КОСМАР0114292330</t>
  </si>
  <si>
    <t>720000049600</t>
  </si>
  <si>
    <t>КОСМАР0114365773</t>
  </si>
  <si>
    <t>720000058933</t>
  </si>
  <si>
    <t>BBU17049102103041</t>
  </si>
  <si>
    <t>720000053678</t>
  </si>
  <si>
    <t>1395905958</t>
  </si>
  <si>
    <t>essens_OA</t>
  </si>
  <si>
    <t>720000066732</t>
  </si>
  <si>
    <t>720000069872</t>
  </si>
  <si>
    <t>720000079409</t>
  </si>
  <si>
    <t>В пути</t>
  </si>
  <si>
    <t>BBU17061075169782</t>
  </si>
  <si>
    <t>720000088921</t>
  </si>
  <si>
    <t>720000084230</t>
  </si>
  <si>
    <t>720000093209</t>
  </si>
  <si>
    <t>1495012412</t>
  </si>
  <si>
    <t>1495030317</t>
  </si>
  <si>
    <t>1495031040</t>
  </si>
  <si>
    <t>1495030348</t>
  </si>
  <si>
    <t>essens_AV</t>
  </si>
  <si>
    <t>720000099498</t>
  </si>
  <si>
    <t>720000111573</t>
  </si>
  <si>
    <t>720000106807</t>
  </si>
  <si>
    <t>Код</t>
  </si>
  <si>
    <t>Кол-во</t>
  </si>
  <si>
    <t>CC</t>
  </si>
  <si>
    <t>Цена</t>
  </si>
  <si>
    <t>#1121N</t>
  </si>
  <si>
    <t>Каталог цветной</t>
  </si>
  <si>
    <t>0.000</t>
  </si>
  <si>
    <t>Алоэ Вера Гель</t>
  </si>
  <si>
    <t>0.101</t>
  </si>
  <si>
    <t>Форевер Брайт Гель Для Зубов</t>
  </si>
  <si>
    <t>0.031</t>
  </si>
  <si>
    <t>Форевер Натур-Мин</t>
  </si>
  <si>
    <t>0.073</t>
  </si>
  <si>
    <t>Витолайз Для Женщин</t>
  </si>
  <si>
    <t>0.127</t>
  </si>
  <si>
    <t>Алоэ Фёрст</t>
  </si>
  <si>
    <t>0.079</t>
  </si>
  <si>
    <t>Алоэ Прополис Крем</t>
  </si>
  <si>
    <t>Желе Алоэ Вера</t>
  </si>
  <si>
    <t>0.060</t>
  </si>
  <si>
    <t>Алоэ Жидкое Мыло</t>
  </si>
  <si>
    <t>0.075</t>
  </si>
  <si>
    <t>Дезодорант Алоэ Эвер-Шилд</t>
  </si>
  <si>
    <t>0.029</t>
  </si>
  <si>
    <t>Поля Зелени</t>
  </si>
  <si>
    <t>0.048</t>
  </si>
  <si>
    <t>Try Pack Алоэ Вера Гель</t>
  </si>
  <si>
    <t>0.333</t>
  </si>
  <si>
    <t>Каталог "Выглядеть лучше Чувствовать себя лучше"</t>
  </si>
  <si>
    <t>СИСТЕМА ЕЖЕДНЕВНОГО УХОДА ЗА КОЖЕЙ SONYA ™</t>
  </si>
  <si>
    <t>0.341</t>
  </si>
  <si>
    <t>Try Pack Алоэ Манго</t>
  </si>
  <si>
    <t>Заказ 223037064</t>
  </si>
  <si>
    <t>Форевер Альфа-Е Фактор</t>
  </si>
  <si>
    <t>0.132</t>
  </si>
  <si>
    <t>Мсм Гель Алоэ</t>
  </si>
  <si>
    <t>0.092</t>
  </si>
  <si>
    <t>Витолайз Для Мужчин</t>
  </si>
  <si>
    <t>0.120</t>
  </si>
  <si>
    <t>Форевер Терм</t>
  </si>
  <si>
    <t>0.139</t>
  </si>
  <si>
    <t>Форевер АйВижн</t>
  </si>
  <si>
    <t>0.140</t>
  </si>
  <si>
    <t>Алоэ-Жожоба Шампунь для Волос</t>
  </si>
  <si>
    <t>0.087</t>
  </si>
  <si>
    <t>Алоэ-Жожоба Кондиционер для Волос</t>
  </si>
  <si>
    <t>0.093</t>
  </si>
  <si>
    <t>Алоэ Активатор</t>
  </si>
  <si>
    <t>0.064</t>
  </si>
  <si>
    <t>Алоэ Увлажняющий Крем</t>
  </si>
  <si>
    <t>BBU17069712342076</t>
  </si>
  <si>
    <t>BBU17077508060252</t>
  </si>
  <si>
    <t>523767481</t>
  </si>
  <si>
    <t>720000119518</t>
  </si>
  <si>
    <t>523824544</t>
  </si>
  <si>
    <t>720000122982</t>
  </si>
  <si>
    <t>523959170</t>
  </si>
  <si>
    <t>720000131191</t>
  </si>
  <si>
    <t>ALLMAX, Vitaform, мультивитамин премиального качества для женщин, 60 таблеток AMX-22880</t>
  </si>
  <si>
    <t>ALLMAX, Vitaform, мультивитамин премиального качества для мужчин, 60 таблеток AMX-20214</t>
  </si>
  <si>
    <t>Force Factor, CoQ10, 100 мг, 60 растительных капсул FOA-66013</t>
  </si>
  <si>
    <t>Fairhaven Health, Milkies, мультивитамины для кормящих женщин, 60 капсул FHH-00039</t>
  </si>
  <si>
    <t>NOW Foods, биотин повышенной силы действия, 10 мг (10 000 мкг), 120 вегетарианских капсул NOW-00479</t>
  </si>
  <si>
    <t>Applied Nutrition, жидкий коллаген, восстановление кожи, со вкусом тропической клубники и киви, 10 пробирок с жидкостью, по 10 мл каждая IRW-57837</t>
  </si>
  <si>
    <t>Force Factor, LeanFire PM, ночной сжигатель жира, 60 вегетарианских капсул FOA-01540</t>
  </si>
  <si>
    <t>Yeouth, чистая гиалуроновая кислота, 5 мл YTH-01969</t>
  </si>
  <si>
    <t>Boiron, Cyclease Menopause, без добавок, 60 таблеток Meltaway BOI-08204</t>
  </si>
  <si>
    <t>Boiron, Лахезис мутус, 30C, прибл, 80 гранул BOS-41413</t>
  </si>
  <si>
    <t>Swanson, Комплекс глиадина SOD, 300 мг, 60 капсул SWV-02675</t>
  </si>
  <si>
    <t>Sambucol, сироп из черной бузины, 230 мл (7,8 жидк, унции) SBL-00111</t>
  </si>
  <si>
    <t>California Gold Nutrition, Ultamins, мультивитаминный комплекс для женщин с коэнзимом Q10, грибами, ферментами, овощами и ягодами, 60 растительных капсул CGN-02189</t>
  </si>
  <si>
    <t>California Gold Nutrition, Ultamins, мультивитаминный комплекс для мужчин с коэнзимом Q10, грибами, ферментами, овощами и ягодами, 60 растительных капсул CGN-02188</t>
  </si>
  <si>
    <t>Sierra Bees, Madre Magic, универсальный бальзам с маточным молочком и прополисом, 57 мл (2 жидк, унции) MBE-01506</t>
  </si>
  <si>
    <t>00224</t>
  </si>
  <si>
    <t>KingMass</t>
  </si>
  <si>
    <t>00203</t>
  </si>
  <si>
    <t>Maxler, Натуральный протеин сывороточный 100% Golden Whey NATURAL 2 lb (907 гр.) , Черничный маффин, 000000150</t>
  </si>
  <si>
    <t>Maxler, Натуральный протеин сывороточный 100% Golden Whey NATURAL 2 lb (907 гр.) , Шоколад, 000001752</t>
  </si>
  <si>
    <t>V-Shape Supps, Creatine 500 грамм, пина колада, 000004854</t>
  </si>
  <si>
    <t>Maxler, 100% Golden Creatine 500 г банка, 000002285</t>
  </si>
  <si>
    <t>Maxler, VitaWomen, 90 таблеток, 000001108</t>
  </si>
  <si>
    <t>Maxler, VitaMen 90 таблеток, 000000993</t>
  </si>
  <si>
    <t>Scitec Nutrition, Euro Vita-Mins 120 таблеток, 000001802</t>
  </si>
  <si>
    <t>Universal Nutrition, Animal Whey 908 грамм, Ваниль, 000004736</t>
  </si>
  <si>
    <t>Tree of Life, LIFE WHEY 907 граммам, Шоколад, 000002098</t>
  </si>
  <si>
    <t>Optimum System, 100% WHEY PROTEIN 900 грамм, Клубника с кусочками клубники, 000004759</t>
  </si>
  <si>
    <t>Optimum System, 100% WHEY PROTEIN 900 грамм, Манго с кусочками манго, 000004760</t>
  </si>
  <si>
    <t>NOW Foods, Sunflower Lecithin 1200 mg 100 капсул, 000003037</t>
  </si>
  <si>
    <t>NOW Foods, Liq Chlorophyll &amp; Mint 473 мл, 000002982</t>
  </si>
  <si>
    <t>OZO0052</t>
  </si>
  <si>
    <t>Eco Energy food, Топинамбур в порошке 500 гр., 701059656</t>
  </si>
  <si>
    <t>OZO0053</t>
  </si>
  <si>
    <t>OZO0057</t>
  </si>
  <si>
    <t>ESSENS, Духи для женщин w111, 000w11150</t>
  </si>
  <si>
    <t>ESSENS, Духи для женщин w142, 000w14250</t>
  </si>
  <si>
    <t>ESSENS, Духи для женщин w151, 000w15150</t>
  </si>
  <si>
    <t>ESSENS, Духи для женщин w116, 000w11650</t>
  </si>
  <si>
    <t>ESSENS, Духи для мужчин m008, 000m00850</t>
  </si>
  <si>
    <t>ESSENS, парфюмированный гель для душа w179, 0000w179ng</t>
  </si>
  <si>
    <t>4495047653</t>
  </si>
  <si>
    <t>1495060911</t>
  </si>
  <si>
    <t>1495071944</t>
  </si>
  <si>
    <t>4495056614</t>
  </si>
  <si>
    <t>ESSENS, Духи для мужчин m044, 000m04450</t>
  </si>
  <si>
    <t>ESSENS, Духи для женщин w192, 000w19250</t>
  </si>
  <si>
    <t>ESSENS, Пробник w185, 000w18501</t>
  </si>
  <si>
    <t>ESSENS, Духи для женщин w124, 000w12450</t>
  </si>
  <si>
    <t>ESSENS, Духи для мужчин m029, 000m02950</t>
  </si>
  <si>
    <t>ESSENS, Пробник w187, 000w18701</t>
  </si>
  <si>
    <t>1495086818</t>
  </si>
  <si>
    <t>4495068394</t>
  </si>
  <si>
    <t>ESSENS, Духи для мужчин m007, 000m00750</t>
  </si>
  <si>
    <t>ESSENS, Духи для женщин w144, 000w14450</t>
  </si>
  <si>
    <t>ESSENS, Духи для женщин w156, 000w15650</t>
  </si>
  <si>
    <t>712382953</t>
  </si>
  <si>
    <t>BBU17085242448984</t>
  </si>
  <si>
    <t>BBU17094515744309</t>
  </si>
  <si>
    <t>MEDIHEAL, N,M,F, интенсивный увлажняющий крем, 50 мл (1,6 жидк, унции) MHL-05089</t>
  </si>
  <si>
    <t>720000136447</t>
  </si>
  <si>
    <t>524043017</t>
  </si>
  <si>
    <t>Nutricost, Экстракт виноградных косточек, 28000 мг, 240 капсул NCS-67339</t>
  </si>
  <si>
    <t>Solgar, Витамин C, 1000 мг, 100 растительных капсул SOL-03280</t>
  </si>
  <si>
    <t>FITCODE, CodeShred`` 60 растительных капсул FCD-02894</t>
  </si>
  <si>
    <t>524258687</t>
  </si>
  <si>
    <t>720000150257</t>
  </si>
  <si>
    <t>Life Extension, активатор метаболизма AMPK, 30 вегетарианских таблеток LEX-22073</t>
  </si>
  <si>
    <t>EVLution Nutrition, LeanMode, добавка для поддержки снижения веса без стимуляторов, 150 растительных капсул EVL-24071</t>
  </si>
  <si>
    <t>Nutricost, гуарана, 1000 мг, 150 капсул (500 мг в 1 капсуле) NCS-67068</t>
  </si>
  <si>
    <t>Force Factor, индол-3-карбинол, 200 мг, 60 вегетарианских капсул FOA-66103</t>
  </si>
  <si>
    <t>NOW Foods, Sports, Amino Complete, аминокислотный комплекс, 120 вегетарианских капсул NOW-00011</t>
  </si>
  <si>
    <t>524169464</t>
  </si>
  <si>
    <t>720000144380</t>
  </si>
  <si>
    <t>NOW Foods, Готу кола, 450 мг, 100 растительных капсул NOW-04700</t>
  </si>
  <si>
    <t>Остатки</t>
  </si>
  <si>
    <t>Итого:</t>
  </si>
  <si>
    <t>OZO0059</t>
  </si>
  <si>
    <t>OZO0060</t>
  </si>
  <si>
    <t>OZO0062</t>
  </si>
  <si>
    <t>ENOUGH, Увлажняющий солнцезащитный крем с коллагеном Collagen Moisture Sun Cream SPF50+ PA+++, 175137049</t>
  </si>
  <si>
    <t>Cloma Pharma, Black Spider 100c Блэк спайдер, 392584827</t>
  </si>
  <si>
    <t>OZO0063</t>
  </si>
  <si>
    <t>R-Line, Titan+Creatine, 1200 г, (Банан), 1032085656</t>
  </si>
  <si>
    <t>OZO0065</t>
  </si>
  <si>
    <t>WB0177</t>
  </si>
  <si>
    <t>ENOUGH, Крем для лица с коллагеном и гиалуроновой кислотой, 154082844</t>
  </si>
  <si>
    <t>ENOUGH, Крем для лица с коллагеном и гиалуроновой кислотой, 142850327</t>
  </si>
  <si>
    <t>Beauty of Joseon, Набор Hanbang Serum Discovery, 4 шт, BOJ-31589</t>
  </si>
  <si>
    <t>524522412</t>
  </si>
  <si>
    <t>720000163398</t>
  </si>
  <si>
    <t>NOW Foods, GTF хром, 200 мкг, 100 таблеток NOW-01430</t>
  </si>
  <si>
    <t>Yeouth, Сыворотка с витаминами С и Е, 30 мл (1 жидкая унция) YTH-01899</t>
  </si>
  <si>
    <t>Arm &amp; Hammer, UltraMax, твердый дезодорант-антиперспирант для мужчин, свежий аромат, 73 г (2,6 унции) ARH-19764</t>
  </si>
  <si>
    <t>BBU17103078718223</t>
  </si>
  <si>
    <t>The Organic Skin Co,, Морская сыворотка с витаминами, 30 мл (1 жидк, Унция) TOC-57170</t>
  </si>
  <si>
    <t>524715774</t>
  </si>
  <si>
    <t>710002129861</t>
  </si>
  <si>
    <t>NOW Foods, экстракт женьшеня, 250 вегетарианских капсул NOW-04014</t>
  </si>
  <si>
    <t>Himalaya, Botanique, отбеливающая зубная паста Simply Mint, 5,29 унций (150 г) HIM-20028</t>
  </si>
  <si>
    <t>Desert Essence, зубная паста с алоэ и маслом чайного дерева, с мятным вкусом, 176 г (6,25 унции) DES-33442</t>
  </si>
  <si>
    <t>Country Life, Комплекс кальция и магния Target-Mins с витамином D3, 90 таблеток CLF-02971</t>
  </si>
  <si>
    <t>Fairhaven Health, Peapod, мультивитаминная добавка для беременных, 60 таблеток FHH-00001</t>
  </si>
  <si>
    <t>NOW Foods, Женьшень и маточное молочко, 90 растительных капсул NOW-04007</t>
  </si>
  <si>
    <t>MEDIHEAL, Мадекассозидные подушечки для устранения пятен, 100 подушечек, 170 мл (5,74 жидк, Унции) MHL-05868</t>
  </si>
  <si>
    <t>Pure Co,, органическая куркума с имбирем и черным перцем, 60 растительных капсул PCT-47707</t>
  </si>
  <si>
    <t>524374442</t>
  </si>
  <si>
    <t>720000157150</t>
  </si>
  <si>
    <t>Cardiovascular Research, Cortol Ace, 60 капсул CVR-03504</t>
  </si>
  <si>
    <t>Doctor's Best, альфа-липоевая кислота 600, 600 мг, 180 вегетарианских капсул DRB-00249</t>
  </si>
  <si>
    <t>524582018</t>
  </si>
  <si>
    <t>720000166156</t>
  </si>
  <si>
    <t>California Gold Nutrition, рыбий жир с омега-3 для детей, натуральный клубничный вкус, 60 капсул из рыбьего желатина CGN-02270</t>
  </si>
  <si>
    <t>California Gold Nutrition, пастилки цинк плюс для детей, натуральный мандариновый вкус, 90 пастилок CGN-02278</t>
  </si>
  <si>
    <t>Nature's Answer, малат и глицинат магния в жидкой форме, 480 мл (16 жидк, унций) NTA-26173</t>
  </si>
  <si>
    <t>Radiant Seoul, Увлажняющий тоник Everlasting Moisture Essence, пробный размер, 30 мл (1 жидк, Унция) RSE-01954</t>
  </si>
  <si>
    <t>524763019</t>
  </si>
  <si>
    <t>720000176291</t>
  </si>
  <si>
    <t>NOW Foods, B-50, 100 таблеток NOW-00426</t>
  </si>
  <si>
    <t>BBU17110243651978</t>
  </si>
  <si>
    <t>WB0178</t>
  </si>
  <si>
    <t>Maxler, 100% Golden Whey 907гр, Ванильное мороженое, 65579476</t>
  </si>
  <si>
    <t>ENOUGH, Крем солнцезащитный Moisture Sun Cream SPF50+ PA+++, 27088804</t>
  </si>
  <si>
    <t>Green Leaf Formula, Пробиотики для женщин, 119141823</t>
  </si>
  <si>
    <t>OZO0067</t>
  </si>
  <si>
    <t>ESSENS, NOIR by ESSENS Lost Cherry 50мл, 1233346389</t>
  </si>
  <si>
    <t>OZO0072</t>
  </si>
  <si>
    <t>OZO0073</t>
  </si>
  <si>
    <t>OZO0074</t>
  </si>
  <si>
    <t>Solgar, Цитрат магния, 60 таблеток, SOL-59204</t>
  </si>
  <si>
    <t>OZO0075</t>
  </si>
  <si>
    <t>OZO0076</t>
  </si>
  <si>
    <t>PRIMEKRAFT, Мицеллярный казеин/Micellar Casein Молочный шоколад, 900 гр / 30 порций, 176349146</t>
  </si>
  <si>
    <t>OZO0077</t>
  </si>
  <si>
    <t>ЛЭТ34301</t>
  </si>
  <si>
    <t>ЛЭТУАЛЬ</t>
  </si>
  <si>
    <t>ECODERMA, Сыворотка для лица с коллагеном укрепляющая Active Botanicals Collagen Serum 30мл, ECD087944</t>
  </si>
  <si>
    <t>LE PETIT OLIVIER, Мыло нежное питательное с ароматом Мёда 250 г, LPO555557</t>
  </si>
  <si>
    <t>LOREN COSMETIC, Крем дневной антивозрастной с протеинами молока 50 МЛ, CLOR50159</t>
  </si>
  <si>
    <t>LE PETIT OLIVIER, Гель для лица очищающий для ежедневного использования Алоэ Вера-Зеленый чай 150 мл, LPO555567</t>
  </si>
  <si>
    <t>LE PETIT OLIVIER, Мыло нежное Лаванда 250 г, LPO373290</t>
  </si>
  <si>
    <t>LE PETIT OLIVIER, Пенка-мусс для лица очищающая с Алоэ Вера и маслом Оливы 150 мл, LPO373319</t>
  </si>
  <si>
    <t>LOREN COSMETIC, Крем ночной от морщин с калиной и воском лесных ягод 50 МЛ, CLOR50111</t>
  </si>
  <si>
    <t>LE PETIT OLIVIER, Паста для лица и тела с зеленой глиной 300 г, LPO555570</t>
  </si>
  <si>
    <t>ECODERMA, Сыворотка для лица с гиалуроновой кислотой увлажняющая Active Botanicals Hyaluronic Serum 30 мл, ECD087943</t>
  </si>
  <si>
    <t>OZO0078</t>
  </si>
  <si>
    <t>524923827</t>
  </si>
  <si>
    <t>710002136226</t>
  </si>
  <si>
    <t>NOW Foods, Ева, улучшенные женские мультивитамины, 90 таблеток NOW-03796</t>
  </si>
  <si>
    <t>Morningstar Minerals, Energy Boost 70, фульвое минералы, 32 жидких унции (946 мл) MOR-00998</t>
  </si>
  <si>
    <t>524849157</t>
  </si>
  <si>
    <t>720000180301</t>
  </si>
  <si>
    <t>BBU17119082975935</t>
  </si>
  <si>
    <t>4495104218</t>
  </si>
  <si>
    <t>1495130567</t>
  </si>
  <si>
    <t>ESSENS, Духи для мужчин m035, 000m03550</t>
  </si>
  <si>
    <t>ESSENS, Noir Духи - №2, 0004eln02s</t>
  </si>
  <si>
    <t>525371552</t>
  </si>
  <si>
    <t>722500146574</t>
  </si>
  <si>
    <t>iHerb_MH DLE7202</t>
  </si>
  <si>
    <t>Force Factor, магний, 500 мг, 90 растительных капсул FOA-66043</t>
  </si>
  <si>
    <t>iHerb_AV CYG0792</t>
  </si>
  <si>
    <t>525229775</t>
  </si>
  <si>
    <t>720000198857</t>
  </si>
  <si>
    <t>Solaray, Total Cleanse для лимфы, 60 вегетарианских капсул SOR-08333</t>
  </si>
  <si>
    <t>Solaray, Vital Extracts, гинкго билоба с готу кола, 120 мг, 60 растительных капсул SOR-03604</t>
  </si>
  <si>
    <t>Force Factor, Мелатонин, 5 мг, 60 растительных капсул FOA-66045</t>
  </si>
  <si>
    <t>525301691</t>
  </si>
  <si>
    <t>720000203344</t>
  </si>
  <si>
    <t>Force Factor, витамин D3, 125 мкг (5000 МЕ), 120 мягких таблеток FOA-66052</t>
  </si>
  <si>
    <t>525077095</t>
  </si>
  <si>
    <t>720000190392</t>
  </si>
  <si>
    <t>Life Extension, витамин D3, 25 мкг (1000 МЕ), 250 капсул LEX-17512</t>
  </si>
  <si>
    <t>Nature's Way, корень солодки, 900 мг, 100 веганских капсул (450 мг в 1 капсуле) NWY-14600</t>
  </si>
  <si>
    <t>EVLution Nutrition, EAA2000, 90 Veggie Capsules EVL-02951</t>
  </si>
  <si>
    <t>iHerb_OA CZN6870</t>
  </si>
  <si>
    <t>iHerb_VP DFD1605</t>
  </si>
  <si>
    <t>BBU17125141781150</t>
  </si>
  <si>
    <t>525560120</t>
  </si>
  <si>
    <t>525528488</t>
  </si>
  <si>
    <t>525507871</t>
  </si>
  <si>
    <t>720000209993</t>
  </si>
  <si>
    <t>720000209360</t>
  </si>
  <si>
    <t>720000208908</t>
  </si>
  <si>
    <t>fitcode, куркумин, 1500 мг, 90 растительных капсул (500 мг в 1 капсуле) FCD-02867</t>
  </si>
  <si>
    <t>Solgar, травяной комплекс для женщин, 50 растительных капсул SOL-04163</t>
  </si>
  <si>
    <t>Solgar, комплекс витаминов B с витамином C, формула для борьбы со стрессом, 250 таблеток SOL-00201</t>
  </si>
  <si>
    <t>iHerb Goods, Ситечко для заваривания чая из нержавеющей стали IHB-00961</t>
  </si>
  <si>
    <t>BBU17136850509296</t>
  </si>
  <si>
    <t>OZO0079</t>
  </si>
  <si>
    <t>ESSENS, Набор парфюмерный женский Chance Eau Tendre №182, 1395837779</t>
  </si>
  <si>
    <t>ESSENS, Набор парфюмерный женский по мотивам J'adore №118, 1271446882</t>
  </si>
  <si>
    <t>Jason Natural, шампунь для ухода за кожей головы, против перхоти, 355 мл (12 жидк, унций) JAS-10030</t>
  </si>
  <si>
    <t>525711041</t>
  </si>
  <si>
    <t>720000218371</t>
  </si>
  <si>
    <t>Axe, антиперспирант, защита от пота на 48 часов, Apollo, 76 г (2,7 унции) AXE-26094</t>
  </si>
  <si>
    <t>Axe, Dark Temptation, дезодорант, темный шоколад, 85 г (3 унции) AXE-04040</t>
  </si>
  <si>
    <t>Yeouth, балансирующий тоник для лица с ромашкой, 5 мл YTH-01970</t>
  </si>
  <si>
    <t>525680010</t>
  </si>
  <si>
    <t>720000216299</t>
  </si>
  <si>
    <t>Yeouth, антивозрастная суперсыворотка, 5 мл YTH-01963</t>
  </si>
  <si>
    <t>525871551</t>
  </si>
  <si>
    <t>720000225185</t>
  </si>
  <si>
    <t>Arm &amp; Hammer, Advance White, высокоэффективная отбеливающая зубная паста, чистый аромат мяты, 4,3 унции (121 г) ARH-18660</t>
  </si>
  <si>
    <t>NOW Foods, ниацин, 500 мг, 100 растительных капсул NOW-00481</t>
  </si>
  <si>
    <t>BBU17144777222780</t>
  </si>
  <si>
    <t>BBU17151884035262</t>
  </si>
  <si>
    <t>1495175557</t>
  </si>
  <si>
    <t>4495141392</t>
  </si>
  <si>
    <t>ESSENS, Духи для женщин w114, 000w11450</t>
  </si>
  <si>
    <t>ESSENS, Духи для женщин w171, 000w17150</t>
  </si>
  <si>
    <t>ESSENS, Духи для женщин w177, 000w17750</t>
  </si>
  <si>
    <t>ESSENS, Духи для женщин w179, 000w17950</t>
  </si>
  <si>
    <t>1495175587</t>
  </si>
  <si>
    <t>4495141416</t>
  </si>
  <si>
    <t>ESSENS, Духи для женщин w183, 000w18350</t>
  </si>
  <si>
    <t>ESSENS, Духи для женщин w188, 000w18850</t>
  </si>
  <si>
    <t>ESSENS, Духи для женщин w191, 000w19150</t>
  </si>
  <si>
    <t>ESSENS, Духи для женщин w193, 000w19350</t>
  </si>
  <si>
    <t>ESSENS, Пробник Niche Ultramarine Blue, 0000nc06s</t>
  </si>
  <si>
    <t>712685253</t>
  </si>
  <si>
    <t>WB0179</t>
  </si>
  <si>
    <t>Lady choice, Эссенция сыворотка для лица увлажняющая с витамином С, 199224842</t>
  </si>
  <si>
    <t>WB0180</t>
  </si>
  <si>
    <t>OZO0082</t>
  </si>
  <si>
    <t>Solgar, Натуральный витамин E, 268 мг (400 МЕ), 50 мягких таблеток, SOL-03540</t>
  </si>
  <si>
    <t>525924025</t>
  </si>
  <si>
    <t>526076822</t>
  </si>
  <si>
    <t>722500168396</t>
  </si>
  <si>
    <t>720000233302</t>
  </si>
  <si>
    <t>NutraBio, Медь, 3 мг, 90 растительных капсул NRB-51365</t>
  </si>
  <si>
    <t>BioSchwartz, Ultra High Purity, пробиотики для женщин в период менопаузы, 30 капсул BTZ-43046</t>
  </si>
  <si>
    <t>BioSchwartz, улучшенное средство для укрепления иммунитета 7 в 1, 120 капсул BTZ-43032</t>
  </si>
  <si>
    <t>Vibrant Health, цинк для мужчин, 60 растительных капсул VBH-80024</t>
  </si>
  <si>
    <t>NOW Foods, Экстракт артишока, 450 мг, 90 растительных капсул NOW-04592</t>
  </si>
  <si>
    <t>California Gold Nutrition, VitaFlavan, экстракт косточек французского винограда, 100 мг, 360 растительных капсул CGN-01737</t>
  </si>
  <si>
    <t>California Gold Nutrition, маточное молочко, сублимированный концентрат, 500 мг, 120 растительных капсул CGN-00954</t>
  </si>
  <si>
    <t>California Gold Nutrition, концентрированное молозиво в порошке, 200 г (7,05 унции) CGN-00912</t>
  </si>
  <si>
    <t>BioSchwartz, пребиотик, 60 растительных капсул BTZ-75130</t>
  </si>
  <si>
    <t>526136992</t>
  </si>
  <si>
    <t>720000237274</t>
  </si>
  <si>
    <t>KAL, гуарана, 800 мг, 120 таблеток CAL-71512</t>
  </si>
  <si>
    <t>NOW Foods, яблочный уксус, 450 мг, 180 растительных капсул NOW-03317</t>
  </si>
  <si>
    <t>Bragg, True Energy, яблочный уксус, 6 витаминов группы B, без кофеина, 90 капсул BRA-09004</t>
  </si>
  <si>
    <t>526075792</t>
  </si>
  <si>
    <t>722500174453</t>
  </si>
  <si>
    <t>Natural Factors, Убихинол, активный коэнзим Q10, 100 мг, 30 мягких таблеток NFS-20727</t>
  </si>
  <si>
    <t>Swanson, Рутин, натуральный биофлавоноид, 250 мг, 250 капсул SWV-01125</t>
  </si>
  <si>
    <t>Nature's Way, Alive! Комплексные мультивитамины для женщин старше 50 лет, 110 таблеток NWY-13901</t>
  </si>
  <si>
    <t>WB0181</t>
  </si>
  <si>
    <t>526345544</t>
  </si>
  <si>
    <t>720000248019</t>
  </si>
  <si>
    <t>Sports Research, органическая бузина, витамин C и цинк, со вкусом натуральных ягод, 60 жевательных мармеладок SRE-01349</t>
  </si>
  <si>
    <t>Christopher's Original Formulas, Формула для печени и желчного пузыря, 59 мл (2 жидк, Унции) CRO-49803</t>
  </si>
  <si>
    <t>Freeman Beauty, увлажняющая гелево-кремовая маска с индийской куркумой, 175 мл (6 жидк, унций) FMN-42380</t>
  </si>
  <si>
    <t>526223461</t>
  </si>
  <si>
    <t>720000242369</t>
  </si>
  <si>
    <t>Christopher's Original Formulas, состав для улучшения кровотока, 475 мг, 100 вегетарианских капсул CRO-89110</t>
  </si>
  <si>
    <t>Christopher's Original Formulas, Средство для нижнего отдела кишечника, 450 мг, 100 вегетарианских капсул CRO-89101</t>
  </si>
  <si>
    <t>Christopher's Original Formulas, V-Vein Formula, 500 мг, 100 вегетарианских капсул CRO-89145</t>
  </si>
  <si>
    <t>California Gold Nutrition, Ultamins, мультивитаминный комплекс для женщин старше 50 лет с коэнзимом Q10, грибами, ферментами, овощами и ягодами, 60 растительных капсул CGN-02190</t>
  </si>
  <si>
    <t>Madre Labs, средство для мытья посуды, тройной концентрации, сменный блок, без запаха, 6 пакетиков по 118 мл (4 жидк, унции) MLI-01686</t>
  </si>
  <si>
    <t>Madre Labs, мыло для рук, тройной концентрации, сменный блок, фрезия, 6 пакетиков по 118 мл (4 жидк, унции) MLI-01688</t>
  </si>
  <si>
    <t>526404451</t>
  </si>
  <si>
    <t>720000250552</t>
  </si>
  <si>
    <t>California Gold Nutrition, органическая спирулина, 500 мг, 720 таблеток CGN-01176</t>
  </si>
  <si>
    <t>Solaray, B-Complex 50, 100 капсул с оболочкой из ингредиентов растительного происхождения SOR-04271</t>
  </si>
  <si>
    <t>BBU17169135157054</t>
  </si>
  <si>
    <t>BBU17161039169970</t>
  </si>
  <si>
    <t>BBU17179571674422</t>
  </si>
  <si>
    <t>Andalou Naturals, аргановые стволовые клетки, интенсивное средство для кожи головы, против выпадения волос, омолаживающий эффект, 62 мл (2,1 жидк, унции) ADN-00240</t>
  </si>
  <si>
    <t>Mild By Nature, шампунь для окрашенных волос, с гранатом и подсолнечником, 473 мл (16 жидк, унций) MBN-02251</t>
  </si>
  <si>
    <t>526713641</t>
  </si>
  <si>
    <t>720000264382</t>
  </si>
  <si>
    <t>Love Beauty and Planet, Шампунь для яркости цвета волос, «Масло мурумуру и роза», 400 мл LBP-00003</t>
  </si>
  <si>
    <t>526689596</t>
  </si>
  <si>
    <t>720000262320</t>
  </si>
  <si>
    <t>526481663</t>
  </si>
  <si>
    <t>720000252407</t>
  </si>
  <si>
    <t>California Gold Nutrition, CollagenUp Plus, пептиды гидролизованного морского коллагена с клетчаткой и незаменимыми аминокислотами, со вкусом арбуза и юдзу, 494 г (1,09 фунта) CGN-02435</t>
  </si>
  <si>
    <t>Super Nutrition, красный ферментированный рис, 600 мг, 120 растительных капсул SPN-02337</t>
  </si>
  <si>
    <t>California Gold Nutrition, Total C, комплекс с витамином C и Capros, цитрусовыми биофлавоноидами и шиповником, 500 мг, 60 растительных капсул CGN-01883</t>
  </si>
  <si>
    <t>Idealove, You Had Me At Aloe, увлажняющий гель с алоэ и прополисом, 100 г (3,5 унции) IDE-01992</t>
  </si>
  <si>
    <t>Zahler, Витамин D3, улучшенная формула D3, 75 мкг (3000 МЕ), 120 мягких таблеток ZAH-00038</t>
  </si>
  <si>
    <t>Alba Botanica, Увлажняющий солнцезащитный бальзам для губ, SPF 25, 4,2 (0,15 унции) ALB-00394</t>
  </si>
  <si>
    <t>Mason Natural, Морской коллаген с зеленым чаем матча, куркумой и биотином, персиком и манго, 5000 мкг, 10 шипучих таблеток MAV-18361</t>
  </si>
  <si>
    <t>526660302</t>
  </si>
  <si>
    <t>720000260354</t>
  </si>
  <si>
    <t>NOW Foods, E-400 со смешанными токоферолами, 268 мг (400 МЕ), 100 мягких таблеток NOW-00892</t>
  </si>
  <si>
    <t>NOW Foods, Dopa Mucuna, 90 растительных капсул NOW-03092</t>
  </si>
  <si>
    <t>OZO0237</t>
  </si>
  <si>
    <t>Scitec Nutrition, Сывороточный изолят 100% Whey Isolate 700 г. Банан, 222137992</t>
  </si>
  <si>
    <t>Scitec Nutrition, Сывороточный изолят 100% Whey Isolate 700 г. Шоколад-Орех, 222313138</t>
  </si>
  <si>
    <t>Scitec Nutrition, Сывороточный изолят 100% Whey Isolate 700 г. Клубника, 334134910</t>
  </si>
  <si>
    <t>OZO0238</t>
  </si>
  <si>
    <t>OZO0231</t>
  </si>
  <si>
    <t>Kulak, Гантели разборные+штанга в кейсе 40кг</t>
  </si>
  <si>
    <t>OZO0094</t>
  </si>
  <si>
    <t>OZO0092</t>
  </si>
  <si>
    <t>Tree of Life, Протеин сывороточный + изолят 907 грамм, Спелый манго, 670139565</t>
  </si>
  <si>
    <t>Tree of Life, Протеин сывороточный + изолят 907 грамм, Шоколад, 672307287</t>
  </si>
  <si>
    <t>OZO0091</t>
  </si>
  <si>
    <t>Scitec Nutrition, Сывороточный изолят 100% Whey Isolate 700 г. Печенье-Крем, 708751425</t>
  </si>
  <si>
    <t>OZO0088</t>
  </si>
  <si>
    <t>Huatuo Zaizao Wan, Китайский травяной сбор, 18 пакетов по 4гр., 1573681702</t>
  </si>
  <si>
    <t>OZO0089</t>
  </si>
  <si>
    <t>OZO0093</t>
  </si>
  <si>
    <t>Dabur, Трифала Чурна / (Triphala churna) порошок для очищения организма Dabur 500 гр, 1553821063</t>
  </si>
  <si>
    <t>WB0182</t>
  </si>
  <si>
    <t>WB0183</t>
  </si>
  <si>
    <t>Kleem Organics, ночная сыворотка, корректирующая темные пятна, 30 мл (1 жидк, унция) KLM-99980</t>
  </si>
  <si>
    <t>Kleem Organics, Booster с ретинолом, 30 мл (1 жидк, унция) KLM-99983</t>
  </si>
  <si>
    <t>527040698</t>
  </si>
  <si>
    <t>720000277361</t>
  </si>
  <si>
    <t>Life Extension, бор, 3 мг, 100 вегетарианских капсул LEX-16611</t>
  </si>
  <si>
    <t>527185708</t>
  </si>
  <si>
    <t>720000282915</t>
  </si>
  <si>
    <t>Nature's Bounty, 5-гидрокситриптофан, 100 мг, 60 капсул NRT-05315</t>
  </si>
  <si>
    <t>Life Extension, витамин B6, 250 мг, 100 вегетарианских капсул LEX-15351</t>
  </si>
  <si>
    <t>527308231</t>
  </si>
  <si>
    <t>720000288230</t>
  </si>
  <si>
    <t>Missha, Airy Pod Pressed Powder, полупрозрачная, 5 г (0,17 унции) MSH-53332</t>
  </si>
  <si>
    <t>NOW Foods, порошок бисглицината магния, 227 г (8 унций) NOW-01299</t>
  </si>
  <si>
    <t>NOW Foods, цитрат калия, чистый порошок, 340 г (12 унций) NOW-01446</t>
  </si>
  <si>
    <t>OZO0098</t>
  </si>
  <si>
    <t>VitaLine, Флора Дофилус + ФОС, 578мг, 753291308</t>
  </si>
  <si>
    <t>OZO0097</t>
  </si>
  <si>
    <t>Tree of Life, Креатин моногидрат порошок, Яблоко, 1161791352</t>
  </si>
  <si>
    <t>Tree of Life, Креатин моногидрат порошок, Апельчин, 1159214945</t>
  </si>
  <si>
    <t>Tree of Life, Шейкер спортивный, 700 мл, 265181116</t>
  </si>
  <si>
    <t>BBU17211564524194</t>
  </si>
  <si>
    <t>BBU17191610502075</t>
  </si>
  <si>
    <t>527439694</t>
  </si>
  <si>
    <t>527475750</t>
  </si>
  <si>
    <t>527598593</t>
  </si>
  <si>
    <t>720000297403</t>
  </si>
  <si>
    <t>Nutricost, Астаксантин, 12 мг, 120 мягких таблеток NCS-93770</t>
  </si>
  <si>
    <t>720000295321</t>
  </si>
  <si>
    <t>petnc NATURAL CARE, добавка для здоровья суставов у собак, со вкусом печени, 90 жевательных таблеток, 180 г (6,3 унции) CEN-27591</t>
  </si>
  <si>
    <t>Carlson, Рыбий жир Q, 120 мягких таблеток CAR-01676</t>
  </si>
  <si>
    <t>OZO0275</t>
  </si>
  <si>
    <t>WB0184</t>
  </si>
  <si>
    <t>WB0185</t>
  </si>
  <si>
    <t>WB0186</t>
  </si>
  <si>
    <t>WB0187</t>
  </si>
  <si>
    <t>OZO0101</t>
  </si>
  <si>
    <t>OZO0100</t>
  </si>
  <si>
    <t>Mutant Mass, Гейнер с аминокислотами BCAA XXXTREME 2500 Тройной Шоколад 2270 гр, 185552102</t>
  </si>
  <si>
    <t>Mutant Mass, Гейнер с аминокислотами BCAA XXXTREME 2500 Печенье и сливки 2270 гр, 185550660</t>
  </si>
  <si>
    <t>Mutant Mass, Гейнер для набора массы 2270 гр с печеньем и кремом, 185549256</t>
  </si>
  <si>
    <t>OZO0103</t>
  </si>
  <si>
    <t>Maxler, Аминокислоты 100% Golden BCAA 420 гр, восстановление и набор массы, Фруктовый пунш, 998396245</t>
  </si>
  <si>
    <t>722500226371</t>
  </si>
  <si>
    <t>I Dew Care, Matcha Mood, успокаивающая смываемая маска с зеленым чаем, 100 г (3,52 унции) IDC-71710</t>
  </si>
  <si>
    <t>Source Naturals, Sleep Science, NightRest с мелатонином, 100 таблеток SNS-00358</t>
  </si>
  <si>
    <t>527831406</t>
  </si>
  <si>
    <t>720000316216</t>
  </si>
  <si>
    <t>Source Naturals, Теломерон 60 таблеток SNS-02622</t>
  </si>
  <si>
    <t>California Gold Nutrition, бета-глюкан 1-3D с Beta-ImmuneShield, 125 мг, 120 растительных капсул CGN-01796</t>
  </si>
  <si>
    <t>California Gold Nutrition, омега 800, ультраконцентрированный рыбий жир с омега-3, в форме триглицеридов KD-Pur, 1000 мг, 30 капсул из рыбьего желатина CGN-01251</t>
  </si>
  <si>
    <t>Davids Natural Toothpaste, Зубная паста премиум-класса, отбеливающая + защита от зубного налета, натуральная перечная мята, 50 г (1,75 унции) DAV-00001</t>
  </si>
  <si>
    <t>527627389</t>
  </si>
  <si>
    <t>720000304255</t>
  </si>
  <si>
    <t>California Gold Nutrition, лютеин с зеаксантином, 20 мг, 120 растительных мягких таблеток CGN-01403</t>
  </si>
  <si>
    <t>527719366</t>
  </si>
  <si>
    <t>720000309980</t>
  </si>
  <si>
    <t>Nutricost, Инозитол в виде мио - инозитол, 500 мг, 240 капсул NCS-67176</t>
  </si>
  <si>
    <t>BBU17219956421630</t>
  </si>
  <si>
    <t>WB0188</t>
  </si>
  <si>
    <t>OZO0104</t>
  </si>
  <si>
    <t>SOUL WAY, Протеин сывороточный (900 гр), 30 порций, Малиновый йогурт</t>
  </si>
  <si>
    <t>SOUL WAY, Протеин сывороточный (900 гр), 30 порций, Банан</t>
  </si>
  <si>
    <t>987464586</t>
  </si>
  <si>
    <t>626914561</t>
  </si>
  <si>
    <t>626943002</t>
  </si>
  <si>
    <t>SOUL WAY, Протеин сывороточный (900 гр), 30 порций, клубника</t>
  </si>
  <si>
    <t>Maxler, Натуральный протеин сывороточный 100% Golden Whey (908 гр.), Молочный Шоколад</t>
  </si>
  <si>
    <t>000000150</t>
  </si>
  <si>
    <t>Maxler, Натуральный протеин сывороточный 100% Golden Whey (907 гр.) , Клубника Банан</t>
  </si>
  <si>
    <t>Maxler, Аминокислоты 100% Golden BCAA 420 гр, восстановление и набор массы, Арбуз</t>
  </si>
  <si>
    <t>505506492</t>
  </si>
  <si>
    <t>505506493</t>
  </si>
  <si>
    <t>505509056</t>
  </si>
  <si>
    <t>BBU17232182315243</t>
  </si>
  <si>
    <t>528314140</t>
  </si>
  <si>
    <t>720000335875</t>
  </si>
  <si>
    <t>California Gold Nutrition, детская жевательная добавка для поддержки иммунитета, натуральный вкус тропических ягод, 90 вегетарианских таблеток CGN-02272</t>
  </si>
  <si>
    <t>528239718</t>
  </si>
  <si>
    <t>722500245507</t>
  </si>
  <si>
    <t>Source Naturals, Помощь при холестерине 60 таблеток SNS-01781</t>
  </si>
  <si>
    <t>Idealove, очищающее масло с древесным углем для восстановления баланса кожи, 145 мл (4,9 жидк, унции) IDE-02281</t>
  </si>
  <si>
    <t>527973340</t>
  </si>
  <si>
    <t>720000322434</t>
  </si>
  <si>
    <t>Swanson, Индол-3-карбинол с ресвератролом, 200 мг, 60 капсул SWV-02315</t>
  </si>
  <si>
    <t>California Gold Nutrition, биотин, 10 000 мкг, 90 вегетарианских капсул CGN-01170</t>
  </si>
  <si>
    <t>Havasu Nutrition, тыквенное масло, капли, 30 мл (1 жидк, унция) HAV-75046</t>
  </si>
  <si>
    <t>528212704</t>
  </si>
  <si>
    <t>720000332521</t>
  </si>
  <si>
    <t>NutriBiotic, Immunity, Hypo-Aller C, витамин C с кальцием, магнием, калием и цинком, 227 г (8 унций) NBC-00500</t>
  </si>
  <si>
    <t>WB0189</t>
  </si>
  <si>
    <t>Forever, Дкйли, 60 таб., 180830573</t>
  </si>
  <si>
    <t>WB0190</t>
  </si>
  <si>
    <t>Forever, Active HA, 000000264</t>
  </si>
  <si>
    <t>Boiron, Camilia, средство для снятия боли при прорезывании зубов, для младенцев от 1 месяца, 30 отмеренных жидких доз, 1 мл (0,034 жидк, унции) каждая BOI-05409</t>
  </si>
  <si>
    <t>528376477</t>
  </si>
  <si>
    <t>720000339938</t>
  </si>
  <si>
    <t>528425423</t>
  </si>
  <si>
    <t>720000342714</t>
  </si>
  <si>
    <t>NOW Foods, E-400, 268 мг (400 МЕ), 100 мягких таблеток NOW-00837</t>
  </si>
  <si>
    <t>Montebello, Organic Spaghetti, 16 oz (454 g) MBL-10101</t>
  </si>
  <si>
    <t>528540845</t>
  </si>
  <si>
    <t>720000349789</t>
  </si>
  <si>
    <t>Country Life, P-5-P, 50 мг, 100 таблеток CLF-06237</t>
  </si>
  <si>
    <t>WB0191</t>
  </si>
  <si>
    <t>OZO0109</t>
  </si>
  <si>
    <t>OZO0107</t>
  </si>
  <si>
    <t>BBU17245958961223</t>
  </si>
  <si>
    <t>BBU17257781403375</t>
  </si>
  <si>
    <t>OZA0308</t>
  </si>
  <si>
    <t>Insane Labz, Предтренировочный комплекс Психотик для зала Манго, 1012785778</t>
  </si>
  <si>
    <t>WB0192</t>
  </si>
  <si>
    <t>Maxler, Протеин Golden 7, 2270г, Шоколад, 238416753</t>
  </si>
  <si>
    <t>Tree of Life, Протеин сывороточный + изолят 907 грамм, Ваниль, 671179174</t>
  </si>
  <si>
    <t>OZO0111</t>
  </si>
  <si>
    <t>WB0193</t>
  </si>
  <si>
    <t>OZO0112</t>
  </si>
  <si>
    <t>OZO0114</t>
  </si>
  <si>
    <t>OZO0113</t>
  </si>
  <si>
    <t>Amazing Nutrition</t>
  </si>
  <si>
    <t>NOW Foods</t>
  </si>
  <si>
    <t>Source Naturals</t>
  </si>
  <si>
    <t>Solumeve</t>
  </si>
  <si>
    <t>Doctor's Best</t>
  </si>
  <si>
    <t>Solaray</t>
  </si>
  <si>
    <t>NOW-03090</t>
  </si>
  <si>
    <t>ДМАЭ, 250 мг, 100 растительных капсул</t>
  </si>
  <si>
    <t>SNS-01214</t>
  </si>
  <si>
    <t>Attentive Child, сладкий и терпкий, 60 жевательных вафель</t>
  </si>
  <si>
    <t>SLM-01315</t>
  </si>
  <si>
    <t>пептиды морского коллагена с витамином C и гиалуроновой кислотой, со вкусом лимона, 30 пакетиков по 5,38 г (0,19 унции)</t>
  </si>
  <si>
    <t>NOW-01662</t>
  </si>
  <si>
    <t>Ultra Omega-3, рыбий жир с омега-3, 180 капсул</t>
  </si>
  <si>
    <t>NOW-03802</t>
  </si>
  <si>
    <t>EVE, превосходные мультивитамины для женщин, 90 мягких таблеток</t>
  </si>
  <si>
    <t>AMN-02786</t>
  </si>
  <si>
    <t>Кальций, магний и цинк + витамин D3, 150 таблеток</t>
  </si>
  <si>
    <t>NOW-03880</t>
  </si>
  <si>
    <t>ADAM, эффективные мультивитамины для мужчин, 90 капсул</t>
  </si>
  <si>
    <t>NOW-04726</t>
  </si>
  <si>
    <t>DRB-00133</t>
  </si>
  <si>
    <t>альфа-липоевая кислота 600, 600 мг, 60 растительных капсул</t>
  </si>
  <si>
    <t>NOW-00372</t>
  </si>
  <si>
    <t>SOR-38584</t>
  </si>
  <si>
    <t>витамины D3 и K2, без сои, 60 растительных капсул</t>
  </si>
  <si>
    <t>AMN-02686</t>
  </si>
  <si>
    <t>Мультивитамины для ежедневного приема, 250 таблеток</t>
  </si>
  <si>
    <t>528691883</t>
  </si>
  <si>
    <t>720000361325</t>
  </si>
  <si>
    <t>DRB-00087</t>
  </si>
  <si>
    <t>PAR-77869</t>
  </si>
  <si>
    <t>Paradise Herbs</t>
  </si>
  <si>
    <t>экстракт берберина, 60 вегетарианских капсул</t>
  </si>
  <si>
    <t>LEX-16280</t>
  </si>
  <si>
    <t>Life Extension</t>
  </si>
  <si>
    <t>Адреналиновая энергетическая формула, 60 вегетарианских капсул</t>
  </si>
  <si>
    <t>NWY-40461</t>
  </si>
  <si>
    <t>Nature's Way</t>
  </si>
  <si>
    <t>инозитол, 500 мг, 100 капсул</t>
  </si>
  <si>
    <t>CAL-67204</t>
  </si>
  <si>
    <t>KAL</t>
  </si>
  <si>
    <t>Регулирование содержания сахара в крови, 60 таблеток</t>
  </si>
  <si>
    <t>LKN-01663</t>
  </si>
  <si>
    <t>Lake Avenue Nutrition</t>
  </si>
  <si>
    <t>LKN-01664</t>
  </si>
  <si>
    <t>Комплекс с ресвератролом, 500 мг, 60 капсул</t>
  </si>
  <si>
    <t>CGN-01033</t>
  </si>
  <si>
    <t>California Gold Nutrition</t>
  </si>
  <si>
    <t>528886482</t>
  </si>
  <si>
    <t>720000375908</t>
  </si>
  <si>
    <t>AGE-12159</t>
  </si>
  <si>
    <t>Codeage</t>
  </si>
  <si>
    <t>липосомальный глутатион, 1000 мг, 60 капсул (500 мг в 1 капсуле)</t>
  </si>
  <si>
    <t>SLM-01828</t>
  </si>
  <si>
    <t>гидролизованные пептиды коллагена с куркумой, МСТ и имбирем, 400 г (14,1 унции)</t>
  </si>
  <si>
    <t>SLM-01316</t>
  </si>
  <si>
    <t>пептиды коллагена с витамином C и гиалуроновой кислотой, со вкусом граната, 30 пакетиков по 5,38 г (0,19 унции)</t>
  </si>
  <si>
    <t>529273518</t>
  </si>
  <si>
    <t>720000391840</t>
  </si>
  <si>
    <t>NOW-00422</t>
  </si>
  <si>
    <t>B-50, 250 растительных капсул</t>
  </si>
  <si>
    <t>AAY-19001</t>
  </si>
  <si>
    <t>Almay</t>
  </si>
  <si>
    <t>тональный крем Ageless Smart Shade, 100 светлый, 30 мл (1 жидк, унция)</t>
  </si>
  <si>
    <t>NOW-03172</t>
  </si>
  <si>
    <t>глюкозамин, хондроитин и МСМ, 180 растительных капсул</t>
  </si>
  <si>
    <t>NOW-03878</t>
  </si>
  <si>
    <t>ADAM, превосходные мультивитамины для мужчин, 90 растительных капсул</t>
  </si>
  <si>
    <t>NOW-03170</t>
  </si>
  <si>
    <t>глюкозамин, хондроитин и МСМ, 90 капсул</t>
  </si>
  <si>
    <t>NOW-04753</t>
  </si>
  <si>
    <t>NOW-04739</t>
  </si>
  <si>
    <t>силимарин двойной силы действия, 300 мг, 100 вегетарианских капсул</t>
  </si>
  <si>
    <t>NOW-02200</t>
  </si>
  <si>
    <t>Sports, ZMA, восстановление после физической активности, 90 капсул</t>
  </si>
  <si>
    <t>528882084</t>
  </si>
  <si>
    <t>NOW-00475</t>
  </si>
  <si>
    <t>инозитол в капсулах, 500 мг, 100 вегетарианских капсул</t>
  </si>
  <si>
    <t>NOW-03349</t>
  </si>
  <si>
    <t>добавка для здоровья предстательной железы, с клинически доказанной эффективностью, 180 капсул</t>
  </si>
  <si>
    <t>NOW-02938</t>
  </si>
  <si>
    <t>гидрохлорид бетаина, 648 мг, 120 растительных капсул</t>
  </si>
  <si>
    <t>NOW-00076</t>
  </si>
  <si>
    <t>Ацетил-L-карнитин, 500 мг, 100 растительных капсул</t>
  </si>
  <si>
    <t>NOW-02644</t>
  </si>
  <si>
    <t>529096396</t>
  </si>
  <si>
    <t>720000386609</t>
  </si>
  <si>
    <t>CGN-01427</t>
  </si>
  <si>
    <t>коэнзим Q10 USP с экстрактом BioPerine, 200 мг, 360 вегетарианских капсул</t>
  </si>
  <si>
    <t>NWY-14008</t>
  </si>
  <si>
    <t>готу кола, 475 мг, 180 вегетарианских капсул</t>
  </si>
  <si>
    <t>BIU-00333</t>
  </si>
  <si>
    <t>Bio Nutrition</t>
  </si>
  <si>
    <t>моринга 5,000, 90 растительных капсул</t>
  </si>
  <si>
    <t>528984276</t>
  </si>
  <si>
    <t>720000383624</t>
  </si>
  <si>
    <t>NFS-35493</t>
  </si>
  <si>
    <t>Natural Factors</t>
  </si>
  <si>
    <t>LEX-30210</t>
  </si>
  <si>
    <t>прегненолон, 50 мг, 100 капсул</t>
  </si>
  <si>
    <t>LEX-33510</t>
  </si>
  <si>
    <t>ДГЭА, 25 мг, 100 капсул</t>
  </si>
  <si>
    <t>SWK-33532</t>
  </si>
  <si>
    <t>Stonewall Kitchen</t>
  </si>
  <si>
    <t>органический кленовый сироп, выдержанный в бочке из-под бурбона, 250 мл (8,5 жидк, унции)</t>
  </si>
  <si>
    <t>DTL-00673</t>
  </si>
  <si>
    <t>Date Lady</t>
  </si>
  <si>
    <t>Копченый кленовый сироп, 362 г (12,8 унции)</t>
  </si>
  <si>
    <t>MDH-21235</t>
  </si>
  <si>
    <t>Madhava Natural Sweeteners</t>
  </si>
  <si>
    <t>органическая янтарная необработанная голубая агава, 667 г (23,5 унции)</t>
  </si>
  <si>
    <t>529384676</t>
  </si>
  <si>
    <t>720000399898</t>
  </si>
  <si>
    <t>NOW-00420</t>
  </si>
  <si>
    <t>B-50, 100 растительных капсул</t>
  </si>
  <si>
    <t>NOW-03770</t>
  </si>
  <si>
    <t>Daily Vits, мультивитамины и минералы, 100 таблеток</t>
  </si>
  <si>
    <t>529605419</t>
  </si>
  <si>
    <t>722500277354</t>
  </si>
  <si>
    <t>NBC-01000</t>
  </si>
  <si>
    <t>NutriBiotic</t>
  </si>
  <si>
    <t>веганский экстракт семян грейпфрута GSE, жидкий концентрат, 59 мл (2 жидк, унции)</t>
  </si>
  <si>
    <t>NBC-01016</t>
  </si>
  <si>
    <t>спрей для горла с экстрактом косточек грейпфрута, цинком и ментолом, 118 мл (4 жидк, унции)</t>
  </si>
  <si>
    <t>NBC-00520</t>
  </si>
  <si>
    <t>Immunity, витамины C + D3 и цинк, 100 капсул</t>
  </si>
  <si>
    <t>NBC-01067</t>
  </si>
  <si>
    <t>дезодорант, дыня с манго, 75 г (2,6 унции)</t>
  </si>
  <si>
    <t>NBC-01066</t>
  </si>
  <si>
    <t>Дезодорант, лаванда, 75 г (2,6 унции)</t>
  </si>
  <si>
    <t>NBC-01015</t>
  </si>
  <si>
    <t>DefensePlus, максимальная эффективность, 90 вегетарианских таблеток</t>
  </si>
  <si>
    <t>NBC-01001</t>
  </si>
  <si>
    <t>веганский экстракт семян грейпфрута GSE, жидкий концентрат, 118 мл (4 жидк, унции)</t>
  </si>
  <si>
    <t>NBC-00586</t>
  </si>
  <si>
    <t>Immunity, витамин C амла, 1000 мг, 60 веганских таблеток</t>
  </si>
  <si>
    <t>RNA-80873</t>
  </si>
  <si>
    <t>artnaturals</t>
  </si>
  <si>
    <t>Масло для волос, биотин и коллагеновое масло, 30 мл (1 жидк, Унция)</t>
  </si>
  <si>
    <t>529323283</t>
  </si>
  <si>
    <t>720000392740</t>
  </si>
  <si>
    <t>SMO-45805</t>
  </si>
  <si>
    <t>SMNutrition</t>
  </si>
  <si>
    <t>Calcium D-Glucarate + BioPerine, 500 mg, 90 Capsules</t>
  </si>
  <si>
    <t>SRE-01080</t>
  </si>
  <si>
    <t>Sports Research</t>
  </si>
  <si>
    <t>масло MCT, 3000 мг, 120 капсул (1000 мг в 1 капсуле)</t>
  </si>
  <si>
    <t>MBY-05089</t>
  </si>
  <si>
    <t>Maybelline</t>
  </si>
  <si>
    <t>MBY-48312</t>
  </si>
  <si>
    <t>Baby Lips, бальзам-блеск для губ, оттенок «розовый» 01, 3,9 г</t>
  </si>
  <si>
    <t>MBY-54140</t>
  </si>
  <si>
    <t>Super Stay, тональная основа для активного ношения, фарфор 110, 30 мл (1 жидк, Унция)</t>
  </si>
  <si>
    <t>NOR-56780</t>
  </si>
  <si>
    <t>Nordic Naturals</t>
  </si>
  <si>
    <t>NOR-01775</t>
  </si>
  <si>
    <t>Complete Omega, омега для детей от 6 до 12 лет, со вкусом лимона, 90 мини-капсул</t>
  </si>
  <si>
    <t>CLF-07210</t>
  </si>
  <si>
    <t>Country Life</t>
  </si>
  <si>
    <t>ацерола в жевательной форме, комплекс витамина C, со вкусом ягод, 500 мг, 90 жевательных таблеток</t>
  </si>
  <si>
    <t>BLB-00699</t>
  </si>
  <si>
    <t>Bluebonnet Nutrition</t>
  </si>
  <si>
    <t>кальций, магний и цинк, 180 капсул</t>
  </si>
  <si>
    <t>SOR-04561</t>
  </si>
  <si>
    <t>кальций, магний и цинк, 250 растительных капсул</t>
  </si>
  <si>
    <t>NFS-01016</t>
  </si>
  <si>
    <t>ликопин, 10 мг, 60 капсул</t>
  </si>
  <si>
    <t>529486871</t>
  </si>
  <si>
    <t>720000415326</t>
  </si>
  <si>
    <t>NOW-01480</t>
  </si>
  <si>
    <t>селен, 100 мкг, 100 таблеток</t>
  </si>
  <si>
    <t>NOW-01486</t>
  </si>
  <si>
    <t>селен, 200 мкг, 180 вегетарианских капсул</t>
  </si>
  <si>
    <t>NOW-00436</t>
  </si>
  <si>
    <t>B-100, 100 растительных капсул</t>
  </si>
  <si>
    <t>NOW-00690</t>
  </si>
  <si>
    <t>C-1000, 100 растительных капсул</t>
  </si>
  <si>
    <t>NOW-02632</t>
  </si>
  <si>
    <t>хлорелла, 1000 мг, 120 таблеток</t>
  </si>
  <si>
    <t>NOW-04632</t>
  </si>
  <si>
    <t>клюква с проантоцианидинами, 90 вегетарианских капсул</t>
  </si>
  <si>
    <t>TGY-38071</t>
  </si>
  <si>
    <t>Trilogy</t>
  </si>
  <si>
    <t>Масло шиповника с антиоксидантами, 5 мл (0,17 жидк, Унции)</t>
  </si>
  <si>
    <t>NOW-01292</t>
  </si>
  <si>
    <t>NOW-01290</t>
  </si>
  <si>
    <t>Цитрат магния, 200 мг, 100 таблеток</t>
  </si>
  <si>
    <t>529375167</t>
  </si>
  <si>
    <t>720000399194</t>
  </si>
  <si>
    <t>BLB-00683</t>
  </si>
  <si>
    <t>хелатный магний, 120 растительных капсул</t>
  </si>
  <si>
    <t>SNS-00803</t>
  </si>
  <si>
    <t>Ultra-Mag, 120 таблеток</t>
  </si>
  <si>
    <t>SOR-11107</t>
  </si>
  <si>
    <t>Суперэкстракт корня родиолы, 500 мг, 60 веганских капсул</t>
  </si>
  <si>
    <t>NOW-00142</t>
  </si>
  <si>
    <t>таурин, двойной концентрации, 1000 мг, 100 растительных капсул</t>
  </si>
  <si>
    <t>NOW-00085</t>
  </si>
  <si>
    <t>BLB-00298</t>
  </si>
  <si>
    <t>NOW-01492</t>
  </si>
  <si>
    <t>Кремниевый комплекс, 180 таблеток</t>
  </si>
  <si>
    <t>CAR-68730</t>
  </si>
  <si>
    <t>Carlson</t>
  </si>
  <si>
    <t>Pro-Rite, L-пролин и L-лизин в свободной форме, 200 вегетарианских капсул</t>
  </si>
  <si>
    <t>529555858</t>
  </si>
  <si>
    <t>720000425262</t>
  </si>
  <si>
    <t>YOU-00316</t>
  </si>
  <si>
    <t>Youtheory</t>
  </si>
  <si>
    <t>ресвератрол, 290 таблеток</t>
  </si>
  <si>
    <t>VBH-80049</t>
  </si>
  <si>
    <t>Vibrant Health</t>
  </si>
  <si>
    <t>растительный витамин C, 60 растительных капсул</t>
  </si>
  <si>
    <t>CEN-27387</t>
  </si>
  <si>
    <t>21st Century</t>
  </si>
  <si>
    <t>глюкозамин, хондроитин, гиалуроновая кислота и МСМ, 120 таблеток</t>
  </si>
  <si>
    <t>FBS-50151</t>
  </si>
  <si>
    <t>Futurebiotics</t>
  </si>
  <si>
    <t>гинкго билоба, 500 мг, 120 вегетарианских капсул (250 мг в 1 капсуле)</t>
  </si>
  <si>
    <t>DRB-00091</t>
  </si>
  <si>
    <t>гинкго с повышенной силой действия, 120 мг, 120 вегетарианских капсул</t>
  </si>
  <si>
    <t>OAD-56862</t>
  </si>
  <si>
    <t>One-A-Day</t>
  </si>
  <si>
    <t>Полный комплекс жевательных таблеток с мультивитаминами, тролли, 180 жевательных таблеток</t>
  </si>
  <si>
    <t>MAV-14757</t>
  </si>
  <si>
    <t>Mason Natural</t>
  </si>
  <si>
    <t>крем с коллагеном премиального качества, 57 г (2 унции)</t>
  </si>
  <si>
    <t>529444628</t>
  </si>
  <si>
    <t>720000409068</t>
  </si>
  <si>
    <t>BBU17278969935224</t>
  </si>
  <si>
    <t>BBU17270917502661</t>
  </si>
  <si>
    <t>BBU17282251435656</t>
  </si>
  <si>
    <t>WB0194</t>
  </si>
  <si>
    <t>OZO0116</t>
  </si>
  <si>
    <t>VPB-54130</t>
  </si>
  <si>
    <t>Vplab</t>
  </si>
  <si>
    <t>Maxler, Креатин моногидрат Creatine 100% Monohydrate, 300 гр., 17620897</t>
  </si>
  <si>
    <t>4495308323</t>
  </si>
  <si>
    <t>m00350</t>
  </si>
  <si>
    <t>ESSENS</t>
  </si>
  <si>
    <t>Духи для мужчин m003</t>
  </si>
  <si>
    <t>w14850</t>
  </si>
  <si>
    <t>m02450</t>
  </si>
  <si>
    <t>m02550</t>
  </si>
  <si>
    <t>w90250</t>
  </si>
  <si>
    <t>w90350</t>
  </si>
  <si>
    <t>w90201</t>
  </si>
  <si>
    <t>w90301</t>
  </si>
  <si>
    <t>Духи для женщин w148</t>
  </si>
  <si>
    <t>Духи для мужчин m024</t>
  </si>
  <si>
    <t>Духи для мужчин m025</t>
  </si>
  <si>
    <t>Духи для женщин w902</t>
  </si>
  <si>
    <t>Духи для женщин w903</t>
  </si>
  <si>
    <t>Пробник w902</t>
  </si>
  <si>
    <t>Пробник w903</t>
  </si>
  <si>
    <t>4495298842</t>
  </si>
  <si>
    <t>w10250</t>
  </si>
  <si>
    <t>w10750</t>
  </si>
  <si>
    <t>w12750</t>
  </si>
  <si>
    <t>w13750</t>
  </si>
  <si>
    <t>w14150</t>
  </si>
  <si>
    <t>4eln06s</t>
  </si>
  <si>
    <t>m90150</t>
  </si>
  <si>
    <t>m90101</t>
  </si>
  <si>
    <t>Духи для женщин w102</t>
  </si>
  <si>
    <t>Духи для женщин w107</t>
  </si>
  <si>
    <t>Духи для женщин w127</t>
  </si>
  <si>
    <t>Духи для женщин w137</t>
  </si>
  <si>
    <t>Духи для женщин w141</t>
  </si>
  <si>
    <t>Духи для мужчин m901</t>
  </si>
  <si>
    <t>Пробник w901</t>
  </si>
  <si>
    <t>Пробник Noir Духи -№6</t>
  </si>
  <si>
    <t>OZO0117</t>
  </si>
  <si>
    <t>NOW-01908</t>
  </si>
  <si>
    <t>Water Out, водный баланс, 100 растительных капсул</t>
  </si>
  <si>
    <t>OZO0118</t>
  </si>
  <si>
    <t>892721541</t>
  </si>
  <si>
    <t>FatZorb</t>
  </si>
  <si>
    <t>WB0195</t>
  </si>
  <si>
    <t>OZA0334</t>
  </si>
  <si>
    <t>Optimum Nutrition</t>
  </si>
  <si>
    <t>Gold Standard, 100% Whey, Банановый крем, 2,27 кг (5 фунтов)</t>
  </si>
  <si>
    <t>Gold Standard, 100% Whey, сыворотка со вкусом аппетитной клубники, 2,27 кг (5 фунтов)</t>
  </si>
  <si>
    <t>OPN-02869</t>
  </si>
  <si>
    <t>OPN-02957</t>
  </si>
  <si>
    <t>NOIR by ESSENS Lost Cherry 50мл</t>
  </si>
  <si>
    <t>Noir Духи - №2</t>
  </si>
  <si>
    <t>Пробник</t>
  </si>
  <si>
    <t>Презентер1</t>
  </si>
  <si>
    <t>m003</t>
  </si>
  <si>
    <t>m007</t>
  </si>
  <si>
    <t>m008</t>
  </si>
  <si>
    <t>m014</t>
  </si>
  <si>
    <t>m015</t>
  </si>
  <si>
    <t>m016</t>
  </si>
  <si>
    <t>m017</t>
  </si>
  <si>
    <t>m018</t>
  </si>
  <si>
    <t>m024</t>
  </si>
  <si>
    <t>m025</t>
  </si>
  <si>
    <t>m027</t>
  </si>
  <si>
    <t>m028</t>
  </si>
  <si>
    <t>m029</t>
  </si>
  <si>
    <t>m034</t>
  </si>
  <si>
    <t>m035</t>
  </si>
  <si>
    <t>m036</t>
  </si>
  <si>
    <t>m037</t>
  </si>
  <si>
    <t>m038</t>
  </si>
  <si>
    <t>m039</t>
  </si>
  <si>
    <t>m040</t>
  </si>
  <si>
    <t>w102</t>
  </si>
  <si>
    <t>w104</t>
  </si>
  <si>
    <t>w105</t>
  </si>
  <si>
    <t>w106</t>
  </si>
  <si>
    <t>w107</t>
  </si>
  <si>
    <t>w111</t>
  </si>
  <si>
    <t>w114</t>
  </si>
  <si>
    <t>w116</t>
  </si>
  <si>
    <t>w117</t>
  </si>
  <si>
    <t>w118</t>
  </si>
  <si>
    <t>w124</t>
  </si>
  <si>
    <t>w127</t>
  </si>
  <si>
    <t>w130</t>
  </si>
  <si>
    <t>w137</t>
  </si>
  <si>
    <t>w141</t>
  </si>
  <si>
    <t>w142</t>
  </si>
  <si>
    <t>w144</t>
  </si>
  <si>
    <t>w148</t>
  </si>
  <si>
    <t>w150</t>
  </si>
  <si>
    <t>w151</t>
  </si>
  <si>
    <t>w153</t>
  </si>
  <si>
    <t>w156</t>
  </si>
  <si>
    <t>w158</t>
  </si>
  <si>
    <t>w159</t>
  </si>
  <si>
    <t>w160</t>
  </si>
  <si>
    <t>w164</t>
  </si>
  <si>
    <t>w166</t>
  </si>
  <si>
    <t>w168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</si>
  <si>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</si>
  <si>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</si>
  <si>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</si>
  <si>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</si>
  <si>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</si>
  <si>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</si>
  <si>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</si>
  <si>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</si>
  <si>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</si>
  <si>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</si>
  <si>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</si>
  <si>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</si>
  <si>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Презентер2</t>
  </si>
  <si>
    <t>w165</t>
  </si>
  <si>
    <t>w101</t>
  </si>
  <si>
    <t>w110</t>
  </si>
  <si>
    <t>w112</t>
  </si>
  <si>
    <t>w113</t>
  </si>
  <si>
    <t>w126</t>
  </si>
  <si>
    <t>w132</t>
  </si>
  <si>
    <t>w146</t>
  </si>
  <si>
    <t>w147</t>
  </si>
  <si>
    <t>w149</t>
  </si>
  <si>
    <t>w152</t>
  </si>
  <si>
    <t>w154</t>
  </si>
  <si>
    <t>w155</t>
  </si>
  <si>
    <t>w157</t>
  </si>
  <si>
    <t>w159n</t>
  </si>
  <si>
    <t>w161</t>
  </si>
  <si>
    <t>w162</t>
  </si>
  <si>
    <t>w163</t>
  </si>
  <si>
    <t>w167</t>
  </si>
  <si>
    <t>w169</t>
  </si>
  <si>
    <t>w170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</si>
  <si>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</si>
  <si>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</si>
  <si>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</si>
  <si>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</si>
  <si>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</si>
  <si>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</si>
  <si>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</si>
  <si>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</si>
  <si>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</si>
  <si>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</si>
  <si>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</si>
  <si>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</si>
  <si>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w901</t>
  </si>
  <si>
    <t>w902</t>
  </si>
  <si>
    <t>w903</t>
  </si>
  <si>
    <t>w904</t>
  </si>
  <si>
    <t>Unique eu05</t>
  </si>
  <si>
    <t>Unique 06</t>
  </si>
  <si>
    <t>w115</t>
  </si>
  <si>
    <t>Petronas</t>
  </si>
  <si>
    <t>m001</t>
  </si>
  <si>
    <t>m013</t>
  </si>
  <si>
    <t>m022</t>
  </si>
  <si>
    <t>m041</t>
  </si>
  <si>
    <t>m042</t>
  </si>
  <si>
    <t>m043</t>
  </si>
  <si>
    <t>m044</t>
  </si>
  <si>
    <t>m045</t>
  </si>
  <si>
    <t>m901</t>
  </si>
  <si>
    <t>m902</t>
  </si>
  <si>
    <t>Unique eu03</t>
  </si>
  <si>
    <t>Unique 08</t>
  </si>
  <si>
    <t>m019</t>
  </si>
  <si>
    <t>m020</t>
  </si>
  <si>
    <t>m021</t>
  </si>
  <si>
    <t>m023</t>
  </si>
  <si>
    <t>m026</t>
  </si>
  <si>
    <t>m030</t>
  </si>
  <si>
    <t>m031</t>
  </si>
  <si>
    <t>m032</t>
  </si>
  <si>
    <t>m033</t>
  </si>
  <si>
    <t>Сайт ESSENS</t>
  </si>
  <si>
    <t>Женские</t>
  </si>
  <si>
    <t>Мужские</t>
  </si>
  <si>
    <t>Пробники</t>
  </si>
  <si>
    <t>w002</t>
  </si>
  <si>
    <t>w006</t>
  </si>
  <si>
    <t>NOW-03876</t>
  </si>
  <si>
    <t>Adam, лучшие мультивитамины для мужчин, 120 таблеток</t>
  </si>
  <si>
    <t>NOW-03797</t>
  </si>
  <si>
    <t>Таблетки Eve, Улучшенный мультивитаминный комплекс для женщин, 180 таблеток</t>
  </si>
  <si>
    <t>NBC-00450</t>
  </si>
  <si>
    <t>Immunity, аскорбат натрия, кристаллический порошок, 227 г (8 унций)</t>
  </si>
  <si>
    <t>NBC-00460</t>
  </si>
  <si>
    <t>Immunity, аскорбат натрия, 100 веганских капсул</t>
  </si>
  <si>
    <t>FBS-20726</t>
  </si>
  <si>
    <t>FBS-00678</t>
  </si>
  <si>
    <t>NOW-01435</t>
  </si>
  <si>
    <t>гарциния, 1000 мг, 120 таблеток</t>
  </si>
  <si>
    <t>TOB-82553</t>
  </si>
  <si>
    <t>Tree To Tub</t>
  </si>
  <si>
    <t>Омолаживающий крем для кожи вокруг глаз с женьшенем и зеленым чаем, 3 мл (0,10 жидк, Унции)</t>
  </si>
  <si>
    <t>529854283</t>
  </si>
  <si>
    <t>720000437026</t>
  </si>
  <si>
    <t>NWY-14850</t>
  </si>
  <si>
    <t>DIM-Plus ™, 120 веганских капсул</t>
  </si>
  <si>
    <t>CDL-10300</t>
  </si>
  <si>
    <t>ChildLife Essentials</t>
  </si>
  <si>
    <t>Мультивитамины и минералы, натуральный апельсин и манго, 237 мл (8 жидк, Унций)</t>
  </si>
  <si>
    <t>530012830</t>
  </si>
  <si>
    <t>722500291418</t>
  </si>
  <si>
    <t>EUR-28806</t>
  </si>
  <si>
    <t>Terry Naturally</t>
  </si>
  <si>
    <t>цинк и селен, 60 веганских капсул</t>
  </si>
  <si>
    <t>MCL-03152</t>
  </si>
  <si>
    <t>PTF-10629</t>
  </si>
  <si>
    <t>Planetary Herbals</t>
  </si>
  <si>
    <t>Ayurvedics, трифала, 1000 мг, 120 таблеток</t>
  </si>
  <si>
    <t>CGN-02377</t>
  </si>
  <si>
    <t>спермидин, экстракт ростков риса, 1 мг, 90 растительных капсул</t>
  </si>
  <si>
    <t>PPV-27020</t>
  </si>
  <si>
    <t>iHerb Gift Set</t>
  </si>
  <si>
    <t>Корейская косметическая сумка для ухода за кожей, 8 предметов</t>
  </si>
  <si>
    <t>529792845</t>
  </si>
  <si>
    <t>720000434082</t>
  </si>
  <si>
    <t>Dr. Mercola</t>
  </si>
  <si>
    <t>цинк и селен, 90 капсул</t>
  </si>
  <si>
    <t>NOW-00140</t>
  </si>
  <si>
    <t>таурин, 500 мг, 100 растительных капсул</t>
  </si>
  <si>
    <t>CGN-02023</t>
  </si>
  <si>
    <t>бенфотиамин, 300 мг, 90 растительных капсул</t>
  </si>
  <si>
    <t>NFS-03543</t>
  </si>
  <si>
    <t>WellBetX, берберин, 500 мг, 120 вегетарианских капсул</t>
  </si>
  <si>
    <t>NOW-01289</t>
  </si>
  <si>
    <t>NOW-00086</t>
  </si>
  <si>
    <t>NAC, 600 мг, 250 капсул</t>
  </si>
  <si>
    <t>LEX-23151</t>
  </si>
  <si>
    <t>Мультивитамины для двух приемов в день, 120 таблеток</t>
  </si>
  <si>
    <t>NOW-02314</t>
  </si>
  <si>
    <t>подсолнечный лецитин, чистый порошок, 454 г (1 фунт)</t>
  </si>
  <si>
    <t>NOW-00107</t>
  </si>
  <si>
    <t>530079451</t>
  </si>
  <si>
    <t>720000447125</t>
  </si>
  <si>
    <t>BBU17288300885037</t>
  </si>
  <si>
    <t>CAR-01802</t>
  </si>
  <si>
    <t>EcoSmart, омега-3, с натуральным лимонным вкусом, 1000 мг, 180 капсул (500 мг в 1 капсуле)</t>
  </si>
  <si>
    <t>NOW-00087</t>
  </si>
  <si>
    <t>ГАМК с витамином B6, 500 мг, 100 вегетарианских капсул</t>
  </si>
  <si>
    <t>MTG-03072</t>
  </si>
  <si>
    <t>Metagenics</t>
  </si>
  <si>
    <t>цинк AG, 60 таблеток</t>
  </si>
  <si>
    <t>530165515</t>
  </si>
  <si>
    <t>720000451444</t>
  </si>
  <si>
    <t>NOW-01661</t>
  </si>
  <si>
    <t>ультра омега-3, рыбий жир, 90 капсул</t>
  </si>
  <si>
    <t>SPN-02360</t>
  </si>
  <si>
    <t>Super Nutrition</t>
  </si>
  <si>
    <t>берберин гидрохлорид, 500 мг, 120 растительных капсул</t>
  </si>
  <si>
    <t>SOR-51812</t>
  </si>
  <si>
    <t>Женские мультивитамины, один раз в день, 90 растительных капсул</t>
  </si>
  <si>
    <t>NFS-01041</t>
  </si>
  <si>
    <t>витамин A, 3000 мкг (10 000 МЕ), 180 капсул</t>
  </si>
  <si>
    <t>BNR-01791</t>
  </si>
  <si>
    <t>Best Naturals</t>
  </si>
  <si>
    <t>TUDCA, 250 мг, 60 капсул</t>
  </si>
  <si>
    <t>530338570</t>
  </si>
  <si>
    <t>720000460806</t>
  </si>
  <si>
    <t>NOW-01663</t>
  </si>
  <si>
    <t>ультраомега-3, 600 ЭПК / 300 ДГК, 90 капсул из рыбьего желатина</t>
  </si>
  <si>
    <t>PAR-77872</t>
  </si>
  <si>
    <t>530260256</t>
  </si>
  <si>
    <t>722500298707</t>
  </si>
  <si>
    <t>1495389645</t>
  </si>
  <si>
    <t>1495377635</t>
  </si>
  <si>
    <t>4495322229</t>
  </si>
  <si>
    <t>1495407237</t>
  </si>
  <si>
    <t>m04150xr</t>
  </si>
  <si>
    <t>w18450xr</t>
  </si>
  <si>
    <t>Духи для женщин w184</t>
  </si>
  <si>
    <t>Духи для мужчин m041</t>
  </si>
  <si>
    <t>Духи для женщин w187</t>
  </si>
  <si>
    <t>Духи для женщин w189</t>
  </si>
  <si>
    <t>Духи для женщин w194</t>
  </si>
  <si>
    <t>Пробник w188</t>
  </si>
  <si>
    <t>w18750xr</t>
  </si>
  <si>
    <t>w18950xr</t>
  </si>
  <si>
    <t>w19450xr</t>
  </si>
  <si>
    <t>w18801</t>
  </si>
  <si>
    <t>OZO0119</t>
  </si>
  <si>
    <t>4230XXXXX</t>
  </si>
  <si>
    <t>000000015</t>
  </si>
  <si>
    <t>000000028</t>
  </si>
  <si>
    <t>BBU17312514359427</t>
  </si>
  <si>
    <t>BBU17300552426782</t>
  </si>
  <si>
    <t>HEI-76187</t>
  </si>
  <si>
    <t>Heimish</t>
  </si>
  <si>
    <t>Moringa Ceramide, прессованный порошок для закрепления, 5 г</t>
  </si>
  <si>
    <t>MBN-01738</t>
  </si>
  <si>
    <t>Mild By Nature</t>
  </si>
  <si>
    <t>кусковое мыло с сырым маслом ши, с витамином E, розмарином, миррой и ладаном, 141 г (5 унций)</t>
  </si>
  <si>
    <t>BLB-00618</t>
  </si>
  <si>
    <t>витамин E, 268 мг (400 МЕ), 100 капсул</t>
  </si>
  <si>
    <t>SPN-02338</t>
  </si>
  <si>
    <t>комплекс с красным ферментированным рисом, 120 растительных капсул</t>
  </si>
  <si>
    <t>NOW-03334</t>
  </si>
  <si>
    <t>Красный дрожжевой рис, 120 растительных капсул</t>
  </si>
  <si>
    <t>530764903</t>
  </si>
  <si>
    <t>720000482757</t>
  </si>
  <si>
    <t>JRW-12026</t>
  </si>
  <si>
    <t>Jarrow Formulas</t>
  </si>
  <si>
    <t>Toco-Sorb, 60 капсул</t>
  </si>
  <si>
    <t>LEX-19456</t>
  </si>
  <si>
    <t>полный биоактивный комплекс витаминов группы B, 60 вегетарианских капсул</t>
  </si>
  <si>
    <t>NOW-01482</t>
  </si>
  <si>
    <t>селен, 100 мкг, 250 таблеток</t>
  </si>
  <si>
    <t>FSY-77000</t>
  </si>
  <si>
    <t>ампульная сыворотка, коллаген и гиалуроновая кислота, 250 мл (8,45 жидк. унции)</t>
  </si>
  <si>
    <t>ENO-46333</t>
  </si>
  <si>
    <t>Enough</t>
  </si>
  <si>
    <t>Увлажняющий крем с коллагеном, 50 г (1,76 унции)</t>
  </si>
  <si>
    <t>IDE-01678</t>
  </si>
  <si>
    <t>Idealove</t>
  </si>
  <si>
    <t>Eye Admire, гидрогелевые патчи для глаз с черным жемчугом, 60 шт.</t>
  </si>
  <si>
    <t>BLB-00208</t>
  </si>
  <si>
    <t>Хелатные мультиминералы, без железа, 120 капсул</t>
  </si>
  <si>
    <t>530575270</t>
  </si>
  <si>
    <t>720000470754</t>
  </si>
  <si>
    <t>CGN-02101</t>
  </si>
  <si>
    <t>CollagenUP®, гидролизованные пептиды морского коллагена с гиалуроновой кислотой и витамином C, с нейтральным вкусом, 1 кг (2,2 фунта)</t>
  </si>
  <si>
    <t>CGN-01378</t>
  </si>
  <si>
    <t>CGN-01266</t>
  </si>
  <si>
    <t>MBN-01522</t>
  </si>
  <si>
    <t>Салфетки для лица с экстрактами алоэ и огурца, биоразлагаемый продукт, 30 влажных салфеток</t>
  </si>
  <si>
    <t>EVL-10010</t>
  </si>
  <si>
    <t>EVLution Nutrition</t>
  </si>
  <si>
    <t>RelaxMode, 45 растительных капсул</t>
  </si>
  <si>
    <t>530860047</t>
  </si>
  <si>
    <t>720000489634</t>
  </si>
  <si>
    <t>SNS-01425</t>
  </si>
  <si>
    <t>Wellness Formula, улучшенная иммунная поддержка, 120 капсул</t>
  </si>
  <si>
    <t>PAR-77797</t>
  </si>
  <si>
    <t>Шатавари, 60 растительных капсул</t>
  </si>
  <si>
    <t>NTW-00763</t>
  </si>
  <si>
    <t>NatureWise</t>
  </si>
  <si>
    <t>омега-3 с витамином E, 180 мягких таблеток</t>
  </si>
  <si>
    <t>FOA-01857</t>
  </si>
  <si>
    <t>Force Factor</t>
  </si>
  <si>
    <t>Fundamentals, NAC, N-ацетил-L цистеин, 600 мг, 200 вегетарианских капсул</t>
  </si>
  <si>
    <t>NOW-02375</t>
  </si>
  <si>
    <t>Ashwagandha Stress Relief`` 60 растительных капсул</t>
  </si>
  <si>
    <t>NLO-49556</t>
  </si>
  <si>
    <t>Natural Outcome</t>
  </si>
  <si>
    <t>Сыворотка с никотинамидом B-Boost, 10 мл (0,33 унции)</t>
  </si>
  <si>
    <t>NOW-03554</t>
  </si>
  <si>
    <t>мелатонин, 5 мг, 120 таблеток</t>
  </si>
  <si>
    <t>531086457</t>
  </si>
  <si>
    <t>720000497681</t>
  </si>
  <si>
    <t>OZO0121</t>
  </si>
  <si>
    <t>OZO0125</t>
  </si>
  <si>
    <t>BSN</t>
  </si>
  <si>
    <t>AminoX, выносливость и восстановление, фруктовый пунш, 435 г (15,3 унции)</t>
  </si>
  <si>
    <t>BSN-00330</t>
  </si>
  <si>
    <t>LEX-24031</t>
  </si>
  <si>
    <t>WB0196</t>
  </si>
  <si>
    <t>714973434</t>
  </si>
  <si>
    <t>000091865</t>
  </si>
  <si>
    <t>CoralClub</t>
  </si>
  <si>
    <t>715153221</t>
  </si>
  <si>
    <t>OZO0127</t>
  </si>
  <si>
    <t>155827100</t>
  </si>
  <si>
    <t>LADOR</t>
  </si>
  <si>
    <t>OZO0126</t>
  </si>
  <si>
    <t>000001108</t>
  </si>
  <si>
    <t>Maxler</t>
  </si>
  <si>
    <t>OZO0128</t>
  </si>
  <si>
    <t>OZO0129</t>
  </si>
  <si>
    <t>NOW-02120</t>
  </si>
  <si>
    <t>WB0197</t>
  </si>
  <si>
    <t>WB0198</t>
  </si>
  <si>
    <t>NOW-00367</t>
  </si>
  <si>
    <t>CGN-02060</t>
  </si>
  <si>
    <t>добавка для поддержки в период менопаузы, 90 растительных капсул</t>
  </si>
  <si>
    <t>SWV-11877</t>
  </si>
  <si>
    <t>Swanson</t>
  </si>
  <si>
    <t>Куркума и черный перец, 90 растительных капсул</t>
  </si>
  <si>
    <t>NCA-63917</t>
  </si>
  <si>
    <t>Nature's Craft</t>
  </si>
  <si>
    <t>Ягоды боярышника, 240 капсул</t>
  </si>
  <si>
    <t>CGN-00931</t>
  </si>
  <si>
    <t>NOW-02313</t>
  </si>
  <si>
    <t>подсолнечный лецитин, 1200 мг, 200 капсул</t>
  </si>
  <si>
    <t>NOW-04754</t>
  </si>
  <si>
    <t>родиола, 500 мг, 60 растительных капсул</t>
  </si>
  <si>
    <t>NOW-03520</t>
  </si>
  <si>
    <t>Gastro Comfort™ с PepZin GI™, 60 растительных капсул</t>
  </si>
  <si>
    <t>CGN-02061</t>
  </si>
  <si>
    <t>добавка для поддержки в период менопаузы, 30 растительных капсул</t>
  </si>
  <si>
    <t>DAV-44302</t>
  </si>
  <si>
    <t>Davids</t>
  </si>
  <si>
    <t>Premium Toothpaste, Sensitive + Whitening, натуральная перечная мята, 50 г (1,75 унции)</t>
  </si>
  <si>
    <t>FOA-66097</t>
  </si>
  <si>
    <t>ашваганда, 600 мг, 60 вегетарианских капсул</t>
  </si>
  <si>
    <t>531510834</t>
  </si>
  <si>
    <t>720000519891</t>
  </si>
  <si>
    <t>NOW-00088</t>
  </si>
  <si>
    <t>ГАМК, 500 мг, 200 растительных капсул</t>
  </si>
  <si>
    <t>витамин D3, высокоактивный, 2000 МЕ, 120 капсул</t>
  </si>
  <si>
    <t>YOU-00303</t>
  </si>
  <si>
    <t>коллаген, 1000 мг, 290 таблеток</t>
  </si>
  <si>
    <t>The Colossal Mascara, 230 Glam Black, 9,2 мл (0,31 жидк. унц.)</t>
  </si>
  <si>
    <t>GOL-11403</t>
  </si>
  <si>
    <t>Garden of Life</t>
  </si>
  <si>
    <t>Vitamin Code, RAW One, мультивитаминная добавка для женщин (для приема 1 раз в день), 75 вегетарианских капсул</t>
  </si>
  <si>
    <t>CEN-27847</t>
  </si>
  <si>
    <t>добавка для волос, кожи и ногтей, повышенная сила действия, 90 таблеток</t>
  </si>
  <si>
    <t>NOW-00105</t>
  </si>
  <si>
    <t>5-гидрокситриптофан, 100 мг, 60 вегетарианских капсул</t>
  </si>
  <si>
    <t>531196686</t>
  </si>
  <si>
    <t>720000501892</t>
  </si>
  <si>
    <t>PTF-10535</t>
  </si>
  <si>
    <t>Full Spectrum, ашваганда, 570 мг, 120 таблеток</t>
  </si>
  <si>
    <t>SMS-55698</t>
  </si>
  <si>
    <t>The Smurfs</t>
  </si>
  <si>
    <t>добавка для спокойного сна, для детей от 3 лет, ягодный вкус, 50 жевательных таблеток</t>
  </si>
  <si>
    <t>CEN-22675</t>
  </si>
  <si>
    <t>Sentry, для женщин, мультивитаминная и мультиминеральная добавка, 120 таблеток</t>
  </si>
  <si>
    <t>NOW-01444</t>
  </si>
  <si>
    <t>железо, двойной концентрации, 36 мг, 90 вегетарианских капсул</t>
  </si>
  <si>
    <t>NOW-00894</t>
  </si>
  <si>
    <t>витамин E-400 со смешанными токоферолами, 268 мг (400 МЕ), 250 капсул</t>
  </si>
  <si>
    <t>NAP-01480</t>
  </si>
  <si>
    <t>NaturesPlus</t>
  </si>
  <si>
    <t>531823795</t>
  </si>
  <si>
    <t>722500340867</t>
  </si>
  <si>
    <t>SOR-01645</t>
  </si>
  <si>
    <t>True Herbs, витекс, 400 мг, 100 растительных капсул</t>
  </si>
  <si>
    <t>EVL-02812</t>
  </si>
  <si>
    <t>Гиалуроновая кислота, 200 мг, 30 растительных капсул</t>
  </si>
  <si>
    <t>GIL-09772</t>
  </si>
  <si>
    <t>Gillette</t>
  </si>
  <si>
    <t>Clear Shield, дезодорант-антиперспирант, Cool Wave, 107 г (3,8 унции)</t>
  </si>
  <si>
    <t>PTF-10422</t>
  </si>
  <si>
    <t>Тыквенное масло с полным спектром активных веществ, 1000 мг, 90 гелевых капсул</t>
  </si>
  <si>
    <t>NOW-04606</t>
  </si>
  <si>
    <t>скорлупа черного ореха, 500 мг, 100 вегетарианских капсул</t>
  </si>
  <si>
    <t>MRM-71301</t>
  </si>
  <si>
    <t>MRM Nutrition</t>
  </si>
  <si>
    <t>NFS-01637</t>
  </si>
  <si>
    <t>Пиколинат хрома, 500 мкг, 90 таблеток</t>
  </si>
  <si>
    <t>BLB-00612</t>
  </si>
  <si>
    <t>Витамин E, 200 МЕ, 100 гелевых капсул</t>
  </si>
  <si>
    <t>BGL-80588</t>
  </si>
  <si>
    <t>Kids Smart</t>
  </si>
  <si>
    <t>Kids Smart® Vita, мультивитамины для придирчивых едоков и 4 вида овощей, для детей от 3 лет, цитрусовые, 30 жевательных мармеладок</t>
  </si>
  <si>
    <t>531400441</t>
  </si>
  <si>
    <t>722500328205</t>
  </si>
  <si>
    <t>CGN-02397</t>
  </si>
  <si>
    <t>Berberine Advanced, берберин с фитосомами Berbevis, 550 мг, 60 растительных капсул</t>
  </si>
  <si>
    <t>HRM-50006</t>
  </si>
  <si>
    <t>Healths Harmony</t>
  </si>
  <si>
    <t>Berberine HCL +, 60 капсул</t>
  </si>
  <si>
    <t>CGN-01034</t>
  </si>
  <si>
    <t>витамин D3 для детей в каплях, 10 мкг (400 МЕ), 10 мл (0,34 жидк. унции)</t>
  </si>
  <si>
    <t>NOW-03881</t>
  </si>
  <si>
    <t>ADAM™, превосходные мультивитамины для мужчин, 180 капсул</t>
  </si>
  <si>
    <t>531586937</t>
  </si>
  <si>
    <t>720000523646</t>
  </si>
  <si>
    <t>BRM-03391</t>
  </si>
  <si>
    <t>Bob's Red Mill</t>
  </si>
  <si>
    <t>пищевая сода, 454 г (1 фунт)</t>
  </si>
  <si>
    <t>FOA-66127</t>
  </si>
  <si>
    <t>глицинат магния, 140 мг, 180 растительных капсул</t>
  </si>
  <si>
    <t>FOA-66169</t>
  </si>
  <si>
    <t>Красный дрожжевой рис + коэнзим Q10, 120 растительных капсул</t>
  </si>
  <si>
    <t>CGN-01353</t>
  </si>
  <si>
    <t>пиколинат цинка, 50 мг, 120 растительных капсул</t>
  </si>
  <si>
    <t>CGN-01195</t>
  </si>
  <si>
    <t>Oligopin, экстракт коры французской приморской сосны, 100 мг, 60 растительных капсул</t>
  </si>
  <si>
    <t>LKN-01691</t>
  </si>
  <si>
    <t>фосфатидилсерин подсолнечника, 100 мг, 120 растительных капсул</t>
  </si>
  <si>
    <t>WNW-55440</t>
  </si>
  <si>
    <t>wet n wild</t>
  </si>
  <si>
    <t>MegaSicks, блеск для губ, оттенок 544 Sinless, 6 мл (0,2 жидк. унции)</t>
  </si>
  <si>
    <t>JAS-10029</t>
  </si>
  <si>
    <t>Jason Natural</t>
  </si>
  <si>
    <t>лечебно-профилактический шампунь и кондиционер «2 в 1» для защиты кожи головы от перхоти, 355 мл (12 жидк. унций)</t>
  </si>
  <si>
    <t>531730172</t>
  </si>
  <si>
    <t>NFS-01380</t>
  </si>
  <si>
    <t>цитрусовые биофлавоноиды с гесперидином, 650 мг, 90 капсул</t>
  </si>
  <si>
    <t>EUC-03226</t>
  </si>
  <si>
    <t>Eucerin</t>
  </si>
  <si>
    <t>Sensitive Mineral, легкий солнцезащитный лосьон, SPF 50, без отдушек, 118 мл (4 жидк. унц.)</t>
  </si>
  <si>
    <t>FBS-50080</t>
  </si>
  <si>
    <t>пробиотики с пребиотиками, 50 млрд КОЕ, 60 вегетарианских капсул (25 млрд КОЕ в 1 капсуле)</t>
  </si>
  <si>
    <t>NOW-03348</t>
  </si>
  <si>
    <t>Clinical Strength, добавка для здоровья предстательной железы, 90 капсул</t>
  </si>
  <si>
    <t>NOW-03340</t>
  </si>
  <si>
    <t>Prostate Support, 90 мягких таблеток</t>
  </si>
  <si>
    <t>EVL-10007</t>
  </si>
  <si>
    <t>VitaTest, комплекс питательных веществ для мужчин`` 90 таблеток</t>
  </si>
  <si>
    <t>SOR-04816</t>
  </si>
  <si>
    <t>гидрохлорид с пепсином, 230 мг, 180 растительных капсул</t>
  </si>
  <si>
    <t>531442035</t>
  </si>
  <si>
    <t>720000515302</t>
  </si>
  <si>
    <t>CGN-02319</t>
  </si>
  <si>
    <t>рыбий жир с омега 3-6-9 и маслом бурачника, норвежский триглицерид, натуральный лимонный вкус, 180 капсул</t>
  </si>
  <si>
    <t>CAR-01731</t>
  </si>
  <si>
    <t>Omega Complete Gems, омега 3-6-9, натуральный лимон, 90 мягких таблеток</t>
  </si>
  <si>
    <t>CGN-01597</t>
  </si>
  <si>
    <t>Холиновый и кремниевый комплекс, биодоступный и стабилизированный кремний (в виде ортокремниевой кислоты, OSA) для поддержки коллагена, 30 мл (1 жидк. унция)</t>
  </si>
  <si>
    <t>CGN-01598</t>
  </si>
  <si>
    <t>холиновый и кремниевый комплекс, биологически доступный коллаген для поддержки волос, кожи и ногтей, 60 мл (2 жидк. унции)</t>
  </si>
  <si>
    <t>CGN-01114</t>
  </si>
  <si>
    <t>EuroHerbs, экстракт женьшеня обыкновенного, качество Euromed, 250 мг, 60 растительных капсул</t>
  </si>
  <si>
    <t>NCS-57276</t>
  </si>
  <si>
    <t>Nutricost</t>
  </si>
  <si>
    <t>якорцы, 1500 мг, 120 капсул (750 мг в 1 капсуле)</t>
  </si>
  <si>
    <t>NTA-00580</t>
  </si>
  <si>
    <t>Nature's Answer</t>
  </si>
  <si>
    <t>скорлупа черного ореха, жидкий экстракт, без спирта, 2000 мг, 30 мл (1 жидк. унция)</t>
  </si>
  <si>
    <t>NOW-01283</t>
  </si>
  <si>
    <t>магний в капсулах, 400 мг, 180 растительных капсул</t>
  </si>
  <si>
    <t>970310289</t>
  </si>
  <si>
    <t>722500331942</t>
  </si>
  <si>
    <t>BBU17342826464967</t>
  </si>
  <si>
    <t>BBU17348977726929</t>
  </si>
  <si>
    <t>BBU17327331875369</t>
  </si>
  <si>
    <t>OZA0397</t>
  </si>
  <si>
    <t>4495369453</t>
  </si>
  <si>
    <t>w11750</t>
  </si>
  <si>
    <t>w13050</t>
  </si>
  <si>
    <t>w15350</t>
  </si>
  <si>
    <t>w15850</t>
  </si>
  <si>
    <t>Дкхи для женщин w117</t>
  </si>
  <si>
    <t>1495467476</t>
  </si>
  <si>
    <t>38129734337</t>
  </si>
  <si>
    <t>MLI-00952</t>
  </si>
  <si>
    <t>California Gold Nutrition, омега-3, рыбий жир премиального качества, 180 мг ЭПК / 120 мг ДГК, 100 капсул из рыбьего желатина MLI-00953</t>
  </si>
  <si>
    <t>NOW-00373</t>
  </si>
  <si>
    <t>Витамин D3, высокая эффективность, 125 мкг (5000 МЕ), 240 мягких таблеток</t>
  </si>
  <si>
    <t>SYI-02373</t>
  </si>
  <si>
    <t>Sympli Beautiful</t>
  </si>
  <si>
    <t>тканевая маска для улучшения цвета кожи, 5 шт. по 25 мл (0,85 унции)</t>
  </si>
  <si>
    <t>MLI-01689</t>
  </si>
  <si>
    <t>Madre Labs</t>
  </si>
  <si>
    <t>средство для стирки тройной концентрации, свежесть хлопка, 1 пакетик и флакон многоразового использования, 118 мл (4 жидк. унции)</t>
  </si>
  <si>
    <t>NMD-00099</t>
  </si>
  <si>
    <t>NeilMed</t>
  </si>
  <si>
    <t>NasoGel® для сухого носа, 28,4 г (1 унция)</t>
  </si>
  <si>
    <t>SPN-02434</t>
  </si>
  <si>
    <t>Ginkgo PS Phytosome, фитосомы гинкго с ФС, 480 мг, 60 растительных капсул</t>
  </si>
  <si>
    <t>532082224</t>
  </si>
  <si>
    <t>720000539796</t>
  </si>
  <si>
    <t>CEN-22673</t>
  </si>
  <si>
    <t>Sentry для мужчин, добавка с комплексом витаминов и микроэлементов, 120 таблеток</t>
  </si>
  <si>
    <t>NAP-29950</t>
  </si>
  <si>
    <t>DRB-00294</t>
  </si>
  <si>
    <t>Натто-Серра, 90 вегетарианских капсул</t>
  </si>
  <si>
    <t>CEN-22380</t>
  </si>
  <si>
    <t>Sentry, мультивитаминная и мультиминеральная добавка для взрослых, 130 таблеток</t>
  </si>
  <si>
    <t>PMF-02111</t>
  </si>
  <si>
    <t>Primaforce</t>
  </si>
  <si>
    <t>Мультивитамины для мужчин, 120 капсул</t>
  </si>
  <si>
    <t>SOR-20055</t>
  </si>
  <si>
    <t>Мультивитамины для мужчин Once Daily Active, 90 растительных капсул</t>
  </si>
  <si>
    <t>CAR-01543</t>
  </si>
  <si>
    <t>норвежская серия для детей, самый лучший рыбий жир, натуральный лимонный вкус, 800 мг, 200 мл (6,7 жидк. унции)</t>
  </si>
  <si>
    <t>532395192</t>
  </si>
  <si>
    <t>720000549498</t>
  </si>
  <si>
    <t>NOW-00376</t>
  </si>
  <si>
    <t>витамин D3, высокоактивный, 10 000 МЕ, 120 капсул</t>
  </si>
  <si>
    <t>SOR-57445</t>
  </si>
  <si>
    <t>витамины D3 и K2, без сои, 120 вегетарианских капсул</t>
  </si>
  <si>
    <t>NOW-03168</t>
  </si>
  <si>
    <t>добавка для энергии с пирролохинолинхиноном, 20 мг, 30 вегетарианских капсул</t>
  </si>
  <si>
    <t>EVL-02760</t>
  </si>
  <si>
    <t>комплекс с эврикомой длиннолистой, 800 мг, 60 растительных капсул (400 мг в 1 капсуле)</t>
  </si>
  <si>
    <t>LOE-38245</t>
  </si>
  <si>
    <t>L'Oréal</t>
  </si>
  <si>
    <t>Infallible, консилер для полного покрытия, ваниль 355, 10 мл (0,33 жидк. унц.)</t>
  </si>
  <si>
    <t>NOW-02811</t>
  </si>
  <si>
    <t>D-манноза, 500 мг, 120 вегетарианских капсул</t>
  </si>
  <si>
    <t>531998441</t>
  </si>
  <si>
    <t>720000537389</t>
  </si>
  <si>
    <t>NWY-64600</t>
  </si>
  <si>
    <t>артишок, 60 веганских капсул</t>
  </si>
  <si>
    <t>MGF-10275</t>
  </si>
  <si>
    <t>MegaFood</t>
  </si>
  <si>
    <t>Комплекс витаминов группы B для детей, 30 таблеток</t>
  </si>
  <si>
    <t>CGN-01175</t>
  </si>
  <si>
    <t>органическая спирулина, 1500 мг, 60 таблеток (500 мг в 1 таблетке)</t>
  </si>
  <si>
    <t>CAR-55940</t>
  </si>
  <si>
    <t>Детские жевательные таблетки с железом, натуральный клубничный ароматизатор, 15 мг, 60 таблеток</t>
  </si>
  <si>
    <t>NTL-04837</t>
  </si>
  <si>
    <t>Natrol</t>
  </si>
  <si>
    <t>мелатонин, медленное высвобождение, 5 мг, 100 таблеток</t>
  </si>
  <si>
    <t>NOW-01552</t>
  </si>
  <si>
    <t>NOW-01652</t>
  </si>
  <si>
    <t>рыбий жир с омега-3, 1000 мг, 180 ЭПК, 120 ДГК, 200 капсул</t>
  </si>
  <si>
    <t>532249288</t>
  </si>
  <si>
    <t>720000543584</t>
  </si>
  <si>
    <t>NOW-00371</t>
  </si>
  <si>
    <t>жидкий витамин D-3 с повышенной силой действия, 1000 МЕ, 30 мл (1 жидк. унция)</t>
  </si>
  <si>
    <t>SOL-00432</t>
  </si>
  <si>
    <t>Solgar</t>
  </si>
  <si>
    <t>цитрат кальция с витамином D3, 240 таблеток</t>
  </si>
  <si>
    <t>SOL-52387</t>
  </si>
  <si>
    <t>Биотин сверхвысокой эффективности, 10 000 мкг, 60 растительных капсул</t>
  </si>
  <si>
    <t>SOL-01721</t>
  </si>
  <si>
    <t>магний с витамином B6, 250 таблеток</t>
  </si>
  <si>
    <t>SOL-01736</t>
  </si>
  <si>
    <t>кожа, ногти и волосы, улучшенная формула с МСМ, 120 таблеток</t>
  </si>
  <si>
    <t>SOL-01735</t>
  </si>
  <si>
    <t>кожа, ногти и волосы, улучшенная рецептура с МСМ, 60 таблеток</t>
  </si>
  <si>
    <t>532547896</t>
  </si>
  <si>
    <t>722500364314</t>
  </si>
  <si>
    <t>NFS-01683</t>
  </si>
  <si>
    <t>Children's DHA, ДГК для детей от 1 до 6 лет, со вкусом клубники, 530 мг, 119 мл (4 жидк. унции) (530 мг в 1/2 ч. л.)</t>
  </si>
  <si>
    <t>NOR-02764</t>
  </si>
  <si>
    <t>Омега-3 со вкусом лимона, 1,560 мг, 473 мл (16 жидк. унций)</t>
  </si>
  <si>
    <t>NRT-16982</t>
  </si>
  <si>
    <t>Nature's Bounty</t>
  </si>
  <si>
    <t>Ester-C, максимальная сила, 1000 мг, 120 вегетарианских таблеток, покрытых оболочкой</t>
  </si>
  <si>
    <t>AMH-16982</t>
  </si>
  <si>
    <t>American Health</t>
  </si>
  <si>
    <t>Ester-C с цитрусовыми биофлавоноидами, 1000 мг, 120 вегетарианских таблеток</t>
  </si>
  <si>
    <t>531911929</t>
  </si>
  <si>
    <t>720000534912</t>
  </si>
  <si>
    <t>MSC-61017</t>
  </si>
  <si>
    <t>MuscleTech</t>
  </si>
  <si>
    <t>Platinum Multivitamin, мультивитамины, 90 таблеток</t>
  </si>
  <si>
    <t>SWV-01058</t>
  </si>
  <si>
    <t>Balance B-50 Complex, 250 капсул</t>
  </si>
  <si>
    <t>SWV-01923</t>
  </si>
  <si>
    <t>Пиколинат хрома, 200 мкг, 200 капсул</t>
  </si>
  <si>
    <t>SWV-01206</t>
  </si>
  <si>
    <t>Глюконат цинка, 50 мг, 250 капсул</t>
  </si>
  <si>
    <t>532156859</t>
  </si>
  <si>
    <t>720000541466</t>
  </si>
  <si>
    <t>BBU17367937190294</t>
  </si>
  <si>
    <t>BBU17361889134879</t>
  </si>
  <si>
    <t>CAR-01655</t>
  </si>
  <si>
    <t>Норвежская серия, самый лучший рыбий жир, натуральный апельсиновый вкус, 1600 мг, 500 мл (16,9 жидких унций)</t>
  </si>
  <si>
    <t>NOW-04750</t>
  </si>
  <si>
    <t>красный вяз, 400 мг, 100 растительных капсул</t>
  </si>
  <si>
    <t>CGN-02300</t>
  </si>
  <si>
    <t>жевательные мультивитамины для детей, фруктовое ассорти, 180 вегетарианских таблеток</t>
  </si>
  <si>
    <t>532856754</t>
  </si>
  <si>
    <t>720000565805</t>
  </si>
  <si>
    <t>SOL-02058</t>
  </si>
  <si>
    <t>омега-3, ЭПК и ДГК, тройной концентрации, 950 мг, 100 капсул</t>
  </si>
  <si>
    <t>SOL-01039</t>
  </si>
  <si>
    <t>Ester-C Plus, витамин C, 500 мг, 100 вегетарианских капсул</t>
  </si>
  <si>
    <t>SOL-01049</t>
  </si>
  <si>
    <t>SOL-03541</t>
  </si>
  <si>
    <t>натуральный витамин E, 268 мг (400 МЕ), 100 капсул</t>
  </si>
  <si>
    <t>SOL-01317</t>
  </si>
  <si>
    <t>глюкозамин, гиалуроновая кислота, хондроитин и МСМ, 120 таблеток</t>
  </si>
  <si>
    <t>533008368</t>
  </si>
  <si>
    <t>720000569982</t>
  </si>
  <si>
    <t>NAP-29942</t>
  </si>
  <si>
    <t>NAP-37691</t>
  </si>
  <si>
    <t>Hema-Plex, комплекс с железом, 60 капсул быстрого действия</t>
  </si>
  <si>
    <t>SPN-00233</t>
  </si>
  <si>
    <t>NWY-11750</t>
  </si>
  <si>
    <t>плоды витекса, 400 мг, 100 веганских капсул</t>
  </si>
  <si>
    <t>934769601</t>
  </si>
  <si>
    <t>720000584737</t>
  </si>
  <si>
    <t>SOL-00314</t>
  </si>
  <si>
    <t>биотин, 5000 мкг, 100 растительных капсул</t>
  </si>
  <si>
    <t>533006679</t>
  </si>
  <si>
    <t>720000571649</t>
  </si>
  <si>
    <t>NOW-02963</t>
  </si>
  <si>
    <t>суперферменты, 90 капсул</t>
  </si>
  <si>
    <t>CAL-74810</t>
  </si>
  <si>
    <t>NAP-29991</t>
  </si>
  <si>
    <t>Source of Life, Power Teen, питательная добавка для подростков, 90 таблеток</t>
  </si>
  <si>
    <t>SNS-01794</t>
  </si>
  <si>
    <t>Mega-Kid, жевательные мультивитамины, для детей от 2 до 10 лет, вкус натуральных ягод, 60 жевательных таблеток</t>
  </si>
  <si>
    <t>ARH-00999</t>
  </si>
  <si>
    <t>Arm &amp; Hammer</t>
  </si>
  <si>
    <t>Essentials с натуральными дезодорантами, дезодорант, розмарин и лаванда, 2 упаковки по 71 г (2,5 унции)</t>
  </si>
  <si>
    <t>CLF-05104</t>
  </si>
  <si>
    <t>гидрохлорид бетаина с пепсином, 600 мг, 250 таблеток</t>
  </si>
  <si>
    <t>CGN-01100</t>
  </si>
  <si>
    <t>Масло антарктического криля, комплекс фосфолипидов омега-3 с астаксантином, натуральной клубникой и лимоном, 500 мг, 30 мягких капсул с рыбьим желатином</t>
  </si>
  <si>
    <t>532742669</t>
  </si>
  <si>
    <t>720000561431</t>
  </si>
  <si>
    <t>WB0199</t>
  </si>
  <si>
    <t>WB0200</t>
  </si>
  <si>
    <t>Himalaya</t>
  </si>
  <si>
    <t>Леденцы от боли в горле 50 штук</t>
  </si>
  <si>
    <t>Бресол Bresol От ринита для носа от насморка 60т</t>
  </si>
  <si>
    <t>OZO0131</t>
  </si>
  <si>
    <t>16486556141</t>
  </si>
  <si>
    <t>Healthis</t>
  </si>
  <si>
    <t>Морской коллаген с гиалуроновой кислотой 90 капсул</t>
  </si>
  <si>
    <t>OZO0132</t>
  </si>
  <si>
    <t>OZO0133</t>
  </si>
  <si>
    <t>FIT90</t>
  </si>
  <si>
    <t>169216399</t>
  </si>
  <si>
    <t>R-Line</t>
  </si>
  <si>
    <t>533358970</t>
  </si>
  <si>
    <t>720000589736</t>
  </si>
  <si>
    <t>КОСМАР0118211521</t>
  </si>
  <si>
    <t>КОСМАР0118384084</t>
  </si>
  <si>
    <t>КОСМАР0118473455</t>
  </si>
  <si>
    <t>магний с высокой степенью усвоения, 200 мг, 240 таблеток (100 мг в 1 таблетке)</t>
  </si>
  <si>
    <t>CAR-01526</t>
  </si>
  <si>
    <t>Super Omega-3 Gems, высокоэффективные омега-3 кислоты из рыбы дикого улова, 1200 мг, 180 капсул (600 мг в 1 капсуле)</t>
  </si>
  <si>
    <t>LAK-00003</t>
  </si>
  <si>
    <t>Lakanto</t>
  </si>
  <si>
    <t>подсластитель из архата с эритритолом, золотой, 235 г (8,29 унции)</t>
  </si>
  <si>
    <t>NOW-03369</t>
  </si>
  <si>
    <t>Thyroid Energy, 180 растительных капсул</t>
  </si>
  <si>
    <t>NOW-02126</t>
  </si>
  <si>
    <t>Порошок МСМ, 454 г (1 фунт)</t>
  </si>
  <si>
    <t>CAL-86331</t>
  </si>
  <si>
    <t>Оротат лития, 5 мг, 120 капсул</t>
  </si>
  <si>
    <t>533847256</t>
  </si>
  <si>
    <t>720000607055</t>
  </si>
  <si>
    <t>ARG-50220</t>
  </si>
  <si>
    <t>Nutricology</t>
  </si>
  <si>
    <t>ButyrAid, 100 вегетарианских капсул с отсроченным высвобождением</t>
  </si>
  <si>
    <t>FPI-03102</t>
  </si>
  <si>
    <t>Host Defense</t>
  </si>
  <si>
    <t>Mushrooms ™, кордицепс, 1 г, 60 капсул</t>
  </si>
  <si>
    <t>YOU-00722</t>
  </si>
  <si>
    <t>споровый пробиотик, 6 млрд КОЕ, 60 вегетарианских капсул</t>
  </si>
  <si>
    <t>AAM-00105</t>
  </si>
  <si>
    <t>Arthur Andrew Medical</t>
  </si>
  <si>
    <t>Syntol AMD, Advanced Microflora Delivery, средство для здоровой микрофлоры, 500 мг, 90 капсул</t>
  </si>
  <si>
    <t>AAM-00176</t>
  </si>
  <si>
    <t>Floraphage, мультипликатор пробиотиков, 30 капсул</t>
  </si>
  <si>
    <t>MIE-73006</t>
  </si>
  <si>
    <t>Mielle</t>
  </si>
  <si>
    <t>очищающий сахарный скраб для кожи головы, розмарин и мята, 170 г (6 унций)</t>
  </si>
  <si>
    <t>533470788</t>
  </si>
  <si>
    <t>722500390938</t>
  </si>
  <si>
    <t>ALG-70220</t>
  </si>
  <si>
    <t>Allergy Research Group</t>
  </si>
  <si>
    <t>ButyrEn, 100 вегетарианских капсул с отсроченным высвобождением</t>
  </si>
  <si>
    <t>NOW-04628</t>
  </si>
  <si>
    <t>Экстракт кошачьего когтя, 334 мг, 120 растительных капсул</t>
  </si>
  <si>
    <t>LEX-13271</t>
  </si>
  <si>
    <t>Винпоцетин, 10 мг, 100 вегетарианских таблеток</t>
  </si>
  <si>
    <t>GSB-68118</t>
  </si>
  <si>
    <t>The Genius Brand</t>
  </si>
  <si>
    <t>ежовик гребенчатый Genius, 1200 мг, 120 растительных капсул (600 мг в 1 капсуле)</t>
  </si>
  <si>
    <t>CEN-22338</t>
  </si>
  <si>
    <t>Витамин C, 500 мг, 250 таблеток</t>
  </si>
  <si>
    <t>NOW-02680</t>
  </si>
  <si>
    <t>бурые водоросли, 150 мкг, 200 таблеток</t>
  </si>
  <si>
    <t>NCS-67202</t>
  </si>
  <si>
    <t>Птеростильбен, 100 мг, 120 капсул</t>
  </si>
  <si>
    <t>533606851</t>
  </si>
  <si>
    <t>722500394950</t>
  </si>
  <si>
    <t>THR-01131</t>
  </si>
  <si>
    <t>Thorne</t>
  </si>
  <si>
    <t>мультивитамины для женщин старше 50 лет, 180 капсул</t>
  </si>
  <si>
    <t>NFS-26841</t>
  </si>
  <si>
    <t>OsteoMove®, добавка для суставов, повышенная сила действия, 240 таблеток</t>
  </si>
  <si>
    <t>NFS-02684</t>
  </si>
  <si>
    <t>OsteoMove, средство для ухода за суставами с повышенной силой действия, 120 таблеток</t>
  </si>
  <si>
    <t>CAR-01270</t>
  </si>
  <si>
    <t>Super Daily® D3, 25 мкг (1000 МЕ), 10,3 мл (0,35 жидк. унции)</t>
  </si>
  <si>
    <t>533939490</t>
  </si>
  <si>
    <t>722500403983</t>
  </si>
  <si>
    <t>BLB-00979</t>
  </si>
  <si>
    <t>кошерный рыбий жир с омега-3, 2000 мг, 120 вегетарианских капсул (1000 мг в одной капсуле)</t>
  </si>
  <si>
    <t>533914036</t>
  </si>
  <si>
    <t>722500403415</t>
  </si>
  <si>
    <t>41967791811</t>
  </si>
  <si>
    <t>570644528</t>
  </si>
  <si>
    <t>NOW-03325</t>
  </si>
  <si>
    <t>Menopause Support, 90 растительных капсул</t>
  </si>
  <si>
    <t>CGN-01065</t>
  </si>
  <si>
    <t>витамин D3, 125 мкг (5000 МЕ), 90 капсул из рыбьего желатина</t>
  </si>
  <si>
    <t>THR-04802</t>
  </si>
  <si>
    <t>добавка для поддержки эмоционального баланса, 120 капсул</t>
  </si>
  <si>
    <t>SPN-02494</t>
  </si>
  <si>
    <t>добавка для поддержки уровня холестерина, 90 растительных капсул</t>
  </si>
  <si>
    <t>534425712</t>
  </si>
  <si>
    <t>HWT-13253</t>
  </si>
  <si>
    <t>Hawaiian Tropic</t>
  </si>
  <si>
    <t>Минеральная полупрозрачная солнцезащитная пудра, SPF 30, 4,25 г (0,15 унции)</t>
  </si>
  <si>
    <t>WSH-95370</t>
  </si>
  <si>
    <t>9Wishes</t>
  </si>
  <si>
    <t>увлажняющий солнцезащитный крем, SPF 50+ PA+++, 50 мл (1,7 жидк. унции)</t>
  </si>
  <si>
    <t>BLB-00204</t>
  </si>
  <si>
    <t>HRM-50088</t>
  </si>
  <si>
    <t>Экстракт боярышника 4: 1, 2660 мг, 180 капсул</t>
  </si>
  <si>
    <t>534617411</t>
  </si>
  <si>
    <t>ADC-00020</t>
  </si>
  <si>
    <t>Advanced Clinicals</t>
  </si>
  <si>
    <t>Подарочный набор iHerb, набор для восстановления волос`` 4 шт.</t>
  </si>
  <si>
    <t>LKN-01573</t>
  </si>
  <si>
    <t>серрапептаза, протеолитический фермент, 40 000 SPU, 30 растительных капсул</t>
  </si>
  <si>
    <t>SLM-01761</t>
  </si>
  <si>
    <t>Ageless Beauty, жидкий морской коллаген с коэнзимом Q10 и растительными веществами, поддержка волос, кожи и ногтей, с персиковым вкусом, 10 флаконов по 50 мл (1,69 жидк. унции)</t>
  </si>
  <si>
    <t>534030484</t>
  </si>
  <si>
    <t>NOW-03354</t>
  </si>
  <si>
    <t>натуральный ресвератрол, 200 мг, 120 растительных капсул</t>
  </si>
  <si>
    <t>NOR-01709</t>
  </si>
  <si>
    <t>Children's DHA, жевательные таблетки с ДГК, для детей от 3 лет, со вкусом тропических фруктов, 600 мг, 30 жевательных таблеток</t>
  </si>
  <si>
    <t>NCS-67081</t>
  </si>
  <si>
    <t>Кордицепс, гриб, 1100 мг, 180 капсул (550 мг в 1 капсуле)</t>
  </si>
  <si>
    <t>NCS-67319</t>
  </si>
  <si>
    <t>астаксантин, 6 мг, 120 капсул</t>
  </si>
  <si>
    <t>534064349</t>
  </si>
  <si>
    <t>SPN-02412</t>
  </si>
  <si>
    <t>SimplyOne®, мультивитамины для мужчин с суперадаптогенами, зеленью, специями и антиоксидантами, без железа, 90 таблеток</t>
  </si>
  <si>
    <t>LFH-91547</t>
  </si>
  <si>
    <t>Life-flo</t>
  </si>
  <si>
    <t>жидкий йод плюс, с йодидом калия и йодом, без добавок, 150 мкг, 59 мл (2 жидк. унции)</t>
  </si>
  <si>
    <t>SNS-02161</t>
  </si>
  <si>
    <t>джимнема, 450 мг, 120 таблеток</t>
  </si>
  <si>
    <t>534288913</t>
  </si>
  <si>
    <t>SOR-04797</t>
  </si>
  <si>
    <t>Витамины и минералы для детей, в форме жевательных таблеток, с натуральным вкусом ягод черемухи, 120 жевательных таблеток</t>
  </si>
  <si>
    <t>SPN-02510</t>
  </si>
  <si>
    <t>добавка для поддержки вен, 90 растительных капсул</t>
  </si>
  <si>
    <t>SNS-01459</t>
  </si>
  <si>
    <t>Поликосанол, с коферментом Q10, 10 мг, 120 таблеток</t>
  </si>
  <si>
    <t>534470127</t>
  </si>
  <si>
    <t>722500415855</t>
  </si>
  <si>
    <t>THR-04809</t>
  </si>
  <si>
    <t>средство для поддержки аппетита и стресса, 60 капсул</t>
  </si>
  <si>
    <t>THR-80402</t>
  </si>
  <si>
    <t>Stress Balance, 60 капсул</t>
  </si>
  <si>
    <t>THR-71103</t>
  </si>
  <si>
    <t>Meta-Balance™, 60 капсул</t>
  </si>
  <si>
    <t>MCL-21045</t>
  </si>
  <si>
    <t>Поддержка сна, 30 капсул</t>
  </si>
  <si>
    <t>THR-00568</t>
  </si>
  <si>
    <t>Изолят сывороточного протеина, ваниль, 837 г (1,84 фунта)</t>
  </si>
  <si>
    <t>534745269</t>
  </si>
  <si>
    <t>722500424884</t>
  </si>
  <si>
    <t>КОСМАР0118834222</t>
  </si>
  <si>
    <t>OZO0142</t>
  </si>
  <si>
    <t>OZO0143</t>
  </si>
  <si>
    <t>769390102</t>
  </si>
  <si>
    <t>Cloma Pharma</t>
  </si>
  <si>
    <t>176208973</t>
  </si>
  <si>
    <t>OZO0144</t>
  </si>
  <si>
    <t>RDB-60023</t>
  </si>
  <si>
    <t>Round Lab</t>
  </si>
  <si>
    <t>Увлажняющее очищающее средство с березовым соком, 150 мл (5,07 жидк. унц.)</t>
  </si>
  <si>
    <t>NFS-01630</t>
  </si>
  <si>
    <t>хелат хрома с фактором толерантности к глюкозе (GTF), 500 мкг, 90 таблеток</t>
  </si>
  <si>
    <t>NOW-06960</t>
  </si>
  <si>
    <t>BetterStevia, Organic Extract Powder, 1 унция (28 г)</t>
  </si>
  <si>
    <t>AUU-73143</t>
  </si>
  <si>
    <t>Anua</t>
  </si>
  <si>
    <t>Heartleaf 77% успокаивающий тоник, 250 мл (8,45 жидк. унции)</t>
  </si>
  <si>
    <t>534850240</t>
  </si>
  <si>
    <t>534888894</t>
  </si>
  <si>
    <t>AGE-00856</t>
  </si>
  <si>
    <t>Meditate Vitamins+, CognatiQ, витамины с ГАМК, DHH-B и ашвагандой, 60 капсул</t>
  </si>
  <si>
    <t>MTC-00015</t>
  </si>
  <si>
    <t>Mt. Capra</t>
  </si>
  <si>
    <t>сухое молозиво из козьего молока, 174 г (6 унций)</t>
  </si>
  <si>
    <t>CollagenUP®, гидролизованные пептиды морского коллагена с гиалуроновой кислотой и витамином C, с нейтральным вкусом, 206 г (7,26 унции)</t>
  </si>
  <si>
    <t>534943306</t>
  </si>
  <si>
    <t>NOW-01757</t>
  </si>
  <si>
    <t>Super Primrose, масло примулы вечерней, 1300 мг, 120 капсул</t>
  </si>
  <si>
    <t>NFS-04512</t>
  </si>
  <si>
    <t>CranRich, Super Strength, концентрат клюквы, 500 мг, 90 капсул</t>
  </si>
  <si>
    <t>NOW-02967</t>
  </si>
  <si>
    <t>растительные ферменты, 240 вегетарианских капсул</t>
  </si>
  <si>
    <t>IRW-41044</t>
  </si>
  <si>
    <t>Irwin Naturals</t>
  </si>
  <si>
    <t>Berberine-Body + сжигатель жира, 56 капсул с жидкостью</t>
  </si>
  <si>
    <t>CGN-01787</t>
  </si>
  <si>
    <t>Sport, органическое масло MCT, 946 мл (32 жидк. унции)</t>
  </si>
  <si>
    <t>535132597</t>
  </si>
  <si>
    <t>КОСМАР0118880424</t>
  </si>
  <si>
    <t>722500427619</t>
  </si>
  <si>
    <t>722500428790</t>
  </si>
  <si>
    <t>720000648074</t>
  </si>
  <si>
    <t>720000653114</t>
  </si>
  <si>
    <t>name</t>
  </si>
  <si>
    <t>phone</t>
  </si>
  <si>
    <t>address</t>
  </si>
  <si>
    <t>gps</t>
  </si>
  <si>
    <t>percent</t>
  </si>
  <si>
    <t>&lt;Клиент не выбран&gt;</t>
  </si>
  <si>
    <t>Полинка</t>
  </si>
  <si>
    <t>Маричка</t>
  </si>
  <si>
    <t>Кристина дет.мир</t>
  </si>
  <si>
    <t>Галина Агабекова(церковь)</t>
  </si>
  <si>
    <t>Алена шмалко</t>
  </si>
  <si>
    <t>григорий(танковый )</t>
  </si>
  <si>
    <t>Елена Гайдар</t>
  </si>
  <si>
    <t>Максим телевизор</t>
  </si>
  <si>
    <t>Вадим</t>
  </si>
  <si>
    <t>Митрофанов Евгений</t>
  </si>
  <si>
    <t>Алексей перфоратор</t>
  </si>
  <si>
    <t>Александр 3 Металлургов</t>
  </si>
  <si>
    <t>Александр 3 База</t>
  </si>
  <si>
    <t>Родион</t>
  </si>
  <si>
    <t>Алена запчасти</t>
  </si>
  <si>
    <t>Олег Федоров</t>
  </si>
  <si>
    <t>Металлургов 92</t>
  </si>
  <si>
    <t>Руденко Юля</t>
  </si>
  <si>
    <t>+79497243297</t>
  </si>
  <si>
    <t>Мариуполь, Митрополитская, 60</t>
  </si>
  <si>
    <t>47.0999, 37.5500</t>
  </si>
  <si>
    <t>Максим рюкзак</t>
  </si>
  <si>
    <t>Наталья 12</t>
  </si>
  <si>
    <t>Пашок</t>
  </si>
  <si>
    <t>Лариса Лавицкого 16</t>
  </si>
  <si>
    <t>Горжовская Ульяна NSP</t>
  </si>
  <si>
    <t>Геннадий Генерал</t>
  </si>
  <si>
    <t>Лариса Кирова</t>
  </si>
  <si>
    <t>Елена пер. Фруктовый</t>
  </si>
  <si>
    <t>+79497190408</t>
  </si>
  <si>
    <t>Проектная 10</t>
  </si>
  <si>
    <t>47.1281, 37.5732</t>
  </si>
  <si>
    <t>Кирилл Урицкого 104</t>
  </si>
  <si>
    <t>Наталья Вельвет</t>
  </si>
  <si>
    <t>+79497385016</t>
  </si>
  <si>
    <t>Шевченко 285А</t>
  </si>
  <si>
    <t>47.1169, 37.5258</t>
  </si>
  <si>
    <t>Константин Маркет</t>
  </si>
  <si>
    <t>Галина Шевченко 248</t>
  </si>
  <si>
    <t>Карина Кравченко 17</t>
  </si>
  <si>
    <t>Макс Куприна</t>
  </si>
  <si>
    <t>Татьяна Торговая 100</t>
  </si>
  <si>
    <t>+79497267699</t>
  </si>
  <si>
    <t>Торговая 100</t>
  </si>
  <si>
    <t>47.1034, 37.5633</t>
  </si>
  <si>
    <t>Александр Каскад</t>
  </si>
  <si>
    <t>Елена Ларисына</t>
  </si>
  <si>
    <t>Людмила Эдельвейс</t>
  </si>
  <si>
    <t>+79496019237</t>
  </si>
  <si>
    <t>47.1053, 37.5483</t>
  </si>
  <si>
    <t>Александр Радин</t>
  </si>
  <si>
    <t>+79497277100</t>
  </si>
  <si>
    <t>Артема 132</t>
  </si>
  <si>
    <t>47.1085, 37.5599</t>
  </si>
  <si>
    <t>ПерксХеарт</t>
  </si>
  <si>
    <t>Наталья Азовстальская</t>
  </si>
  <si>
    <t>+79497246366</t>
  </si>
  <si>
    <t>Азовстальская 91 подъезд 1</t>
  </si>
  <si>
    <t>47.1008, 37.6529</t>
  </si>
  <si>
    <t>Наталья Школа 53</t>
  </si>
  <si>
    <t>+79497106271</t>
  </si>
  <si>
    <t>Урицкого 77</t>
  </si>
  <si>
    <t>47.1228, 37.5167</t>
  </si>
  <si>
    <t>Олег Гагарина 6</t>
  </si>
  <si>
    <t>Наталья Зелинского</t>
  </si>
  <si>
    <t>+79497428404</t>
  </si>
  <si>
    <t>Зелинского 94</t>
  </si>
  <si>
    <t>47.1008, 37.5167</t>
  </si>
  <si>
    <t>Татьяна Олимпийская 65</t>
  </si>
  <si>
    <t>+79497270827</t>
  </si>
  <si>
    <t>Олимпийская 65, кв 28</t>
  </si>
  <si>
    <t>47.1086, 37.6706</t>
  </si>
  <si>
    <t>Александра 50 лет СССР</t>
  </si>
  <si>
    <t>+79497167877</t>
  </si>
  <si>
    <t>50 лет СССР 20 кв 92</t>
  </si>
  <si>
    <t>47.1112, 37.5224</t>
  </si>
  <si>
    <t>Наталья 60 лет СССР</t>
  </si>
  <si>
    <t>+79497094719</t>
  </si>
  <si>
    <t>60 лет СССР 2Б</t>
  </si>
  <si>
    <t>47.1178, 37.5121</t>
  </si>
  <si>
    <t>Александр электростанция</t>
  </si>
  <si>
    <t>Валерий СТО ОРИОН</t>
  </si>
  <si>
    <t>+79497398357</t>
  </si>
  <si>
    <t>Макара Мазая 41</t>
  </si>
  <si>
    <t>Даша Калифорния</t>
  </si>
  <si>
    <t>+79496248226</t>
  </si>
  <si>
    <t>Шевченко 274</t>
  </si>
  <si>
    <t>47.1149, 37.5127</t>
  </si>
  <si>
    <t>Юля Ларисына</t>
  </si>
  <si>
    <t>Анна соседка</t>
  </si>
  <si>
    <t>+79497105263</t>
  </si>
  <si>
    <t>Казанцева 31</t>
  </si>
  <si>
    <t>47.1070, 37.5475</t>
  </si>
  <si>
    <t>Константин СТО Оптима</t>
  </si>
  <si>
    <t>+79496340956</t>
  </si>
  <si>
    <t>47.1361, 37.5817</t>
  </si>
  <si>
    <t>Дмитрий Виноградная 29</t>
  </si>
  <si>
    <t>Игорь свалка</t>
  </si>
  <si>
    <t>Лида корма</t>
  </si>
  <si>
    <t>+79497081831</t>
  </si>
  <si>
    <t>Шевченко 289А</t>
  </si>
  <si>
    <t>47.1168, 37.5229</t>
  </si>
  <si>
    <t>Сергей Кононенко</t>
  </si>
  <si>
    <t>Екатерина Сартана</t>
  </si>
  <si>
    <t>Надежда Витамины</t>
  </si>
  <si>
    <t>+79497169864</t>
  </si>
  <si>
    <t>пер. Ейский 9</t>
  </si>
  <si>
    <t>47.0898, 37.5062</t>
  </si>
  <si>
    <t>Анатолий Правый</t>
  </si>
  <si>
    <t>Татьяна Бригантина</t>
  </si>
  <si>
    <t>+79497336840</t>
  </si>
  <si>
    <t>Бригантина 152</t>
  </si>
  <si>
    <t>47.0779, 37.4879</t>
  </si>
  <si>
    <t>Любовь Виталий</t>
  </si>
  <si>
    <t>+79497386112</t>
  </si>
  <si>
    <t>Шевченко 325</t>
  </si>
  <si>
    <t>47.1193, 37.5172</t>
  </si>
  <si>
    <t>Ольга Македоновка</t>
  </si>
  <si>
    <t>Евгений Пономарев</t>
  </si>
  <si>
    <t>Татьяна Леонидовна</t>
  </si>
  <si>
    <t>+79497064345</t>
  </si>
  <si>
    <t>Шевченко 270</t>
  </si>
  <si>
    <t>47.1157, 37.5138</t>
  </si>
  <si>
    <t>Лакарова Татьяна</t>
  </si>
  <si>
    <t>+79497089129</t>
  </si>
  <si>
    <t>Энгельса 28А</t>
  </si>
  <si>
    <t>47.0964, 37.5459</t>
  </si>
  <si>
    <t>Оксна 17 Цветы</t>
  </si>
  <si>
    <t>Троицкая 46</t>
  </si>
  <si>
    <t>47.1119, 37.5147</t>
  </si>
  <si>
    <t>Аня Мирный</t>
  </si>
  <si>
    <t>+79497115237</t>
  </si>
  <si>
    <t>пер Станционный 8</t>
  </si>
  <si>
    <t>47.1640, 37.5780</t>
  </si>
  <si>
    <t>Светлана Федоровна</t>
  </si>
  <si>
    <t>+79497213168</t>
  </si>
  <si>
    <t>Шопена 92</t>
  </si>
  <si>
    <t>47.1582, 37.6032</t>
  </si>
  <si>
    <t>Светлана от Александра</t>
  </si>
  <si>
    <t>Максим МВД</t>
  </si>
  <si>
    <t>Андрей Кулигин</t>
  </si>
  <si>
    <t>Лана</t>
  </si>
  <si>
    <t>ДонтГиВап</t>
  </si>
  <si>
    <t>Валентина</t>
  </si>
  <si>
    <t>+79497095480</t>
  </si>
  <si>
    <t>Трамвайный 10</t>
  </si>
  <si>
    <t>47.1044, 37.5233</t>
  </si>
  <si>
    <t>Грушевского 2б</t>
  </si>
  <si>
    <t>Елена Шевченко 217</t>
  </si>
  <si>
    <t>+79496334882</t>
  </si>
  <si>
    <t>Шевченко 217</t>
  </si>
  <si>
    <t>47.1130, 37.5406</t>
  </si>
  <si>
    <t>Диана</t>
  </si>
  <si>
    <t>Лиия Живописная</t>
  </si>
  <si>
    <t>+79497097873</t>
  </si>
  <si>
    <t>Живописная 7 зеленая крыша</t>
  </si>
  <si>
    <t>47.1237, 37.5313</t>
  </si>
  <si>
    <t>Аннет</t>
  </si>
  <si>
    <t>Наталья магазин</t>
  </si>
  <si>
    <t>АлисаСофия</t>
  </si>
  <si>
    <t>Лариса Терраспорт</t>
  </si>
  <si>
    <t>+79497054056</t>
  </si>
  <si>
    <t>пер. Новгородский 41</t>
  </si>
  <si>
    <t>47.1100, 37.5242</t>
  </si>
  <si>
    <t>Виктория операционная</t>
  </si>
  <si>
    <t>+79497057045</t>
  </si>
  <si>
    <t>Бахмутская 20</t>
  </si>
  <si>
    <t>47.1157, 37.5479</t>
  </si>
  <si>
    <t>Светлана Кулаки</t>
  </si>
  <si>
    <t>+79497179245</t>
  </si>
  <si>
    <t>Ткаченко Петренко 3</t>
  </si>
  <si>
    <t>47.0853, 37.5071</t>
  </si>
  <si>
    <t>Подруга Ларисы</t>
  </si>
  <si>
    <t>Владимир Зайцев</t>
  </si>
  <si>
    <t>Наталья Молокозавод</t>
  </si>
  <si>
    <t>+79497083587</t>
  </si>
  <si>
    <t>Свободы 7</t>
  </si>
  <si>
    <t>47.1184, 37.5442</t>
  </si>
  <si>
    <t>Евгения Охотник</t>
  </si>
  <si>
    <t>+79497263506</t>
  </si>
  <si>
    <t>Аэродромная 4</t>
  </si>
  <si>
    <t>47.1087, 37.5254</t>
  </si>
  <si>
    <t>Светлана Шота 18</t>
  </si>
  <si>
    <t>+79497251443</t>
  </si>
  <si>
    <t>Шота 18</t>
  </si>
  <si>
    <t>47.1194, 37.5396</t>
  </si>
  <si>
    <t>Жанна Наташина</t>
  </si>
  <si>
    <t>+79495529124</t>
  </si>
  <si>
    <t>Зелинского 98а</t>
  </si>
  <si>
    <t>47.1022, 37.5165</t>
  </si>
  <si>
    <t>Данил Шевченко</t>
  </si>
  <si>
    <t>Людмила Кордицепс</t>
  </si>
  <si>
    <t>+79497095528</t>
  </si>
  <si>
    <t>9 Авиадивизии 28</t>
  </si>
  <si>
    <t>47.1235, 37.5191</t>
  </si>
  <si>
    <t>Наталья Сергеевна</t>
  </si>
  <si>
    <t>+79497369642</t>
  </si>
  <si>
    <t>Ленина 63/2</t>
  </si>
  <si>
    <t>47.0971, 37.5481</t>
  </si>
  <si>
    <t>Валерий Фагот</t>
  </si>
  <si>
    <t>+79497196221</t>
  </si>
  <si>
    <t>Краснофлотская 132</t>
  </si>
  <si>
    <t>47.0917, 37.4968</t>
  </si>
  <si>
    <t>Елена Индол</t>
  </si>
  <si>
    <t>+79497177018</t>
  </si>
  <si>
    <t>Троицка 75, Рынок Юмовила</t>
  </si>
  <si>
    <t>47.1121, 37.5156</t>
  </si>
  <si>
    <t>Елена Трансфер</t>
  </si>
  <si>
    <t>+79497288148</t>
  </si>
  <si>
    <t>Шевченко 317 Грация</t>
  </si>
  <si>
    <t>47.1179, 37.5163</t>
  </si>
  <si>
    <t>Аюр Гармаев Мирный</t>
  </si>
  <si>
    <t>Михаил Куприна</t>
  </si>
  <si>
    <t>Анна Лавицкого</t>
  </si>
  <si>
    <t>Валентин Елена</t>
  </si>
  <si>
    <t>Даня Краснофлотская</t>
  </si>
  <si>
    <t>Кирилл Куприна</t>
  </si>
  <si>
    <t>Алена Зелинского</t>
  </si>
  <si>
    <t>Татьяна Дьяченко</t>
  </si>
  <si>
    <t>+79497084226</t>
  </si>
  <si>
    <t>Халтурина 93</t>
  </si>
  <si>
    <t>47.1148, 37.5300</t>
  </si>
  <si>
    <t>Вера Надеждына</t>
  </si>
  <si>
    <t>+79497169849</t>
  </si>
  <si>
    <t>17 рынок Грация</t>
  </si>
  <si>
    <t>47.1122, 37.5146</t>
  </si>
  <si>
    <t>Наталья Лунина 13</t>
  </si>
  <si>
    <t>Александр экскаваторщик</t>
  </si>
  <si>
    <t>Кирил Креатин</t>
  </si>
  <si>
    <t>Татьяна маг Лидия</t>
  </si>
  <si>
    <t>+79497253811</t>
  </si>
  <si>
    <t>Ленина 91</t>
  </si>
  <si>
    <t>47.0992, 37.5338</t>
  </si>
  <si>
    <t>Светлана Стамбул</t>
  </si>
  <si>
    <t>+79496299684</t>
  </si>
  <si>
    <t>Шевченко 313</t>
  </si>
  <si>
    <t>47.1174, 37.5172</t>
  </si>
  <si>
    <t>Елена от Светланы</t>
  </si>
  <si>
    <t>Валентина от Светланы</t>
  </si>
  <si>
    <t>Елена сахар</t>
  </si>
  <si>
    <t>+79497183446</t>
  </si>
  <si>
    <t>Металлургов 199</t>
  </si>
  <si>
    <t>47.1286, 37.5670</t>
  </si>
  <si>
    <t>Ольга Мелованова</t>
  </si>
  <si>
    <t>+79490023562</t>
  </si>
  <si>
    <t>Ленина 46/54</t>
  </si>
  <si>
    <t>47.0947, 37.5488</t>
  </si>
  <si>
    <t>Виктория Порт Сити</t>
  </si>
  <si>
    <t>+79497271852</t>
  </si>
  <si>
    <t>Запорожское шоссе 2</t>
  </si>
  <si>
    <t>47.1176, 37.5083</t>
  </si>
  <si>
    <t>Ольга ЖД больница</t>
  </si>
  <si>
    <t>+79497178192</t>
  </si>
  <si>
    <t>Новороссийская 28, ЖД Больница</t>
  </si>
  <si>
    <t>47.0718, 37.4881</t>
  </si>
  <si>
    <t>Лидия Цысь</t>
  </si>
  <si>
    <t>Юрий от Вадима</t>
  </si>
  <si>
    <t>Дарья Урицкого</t>
  </si>
  <si>
    <t>Татьяна Тулина</t>
  </si>
  <si>
    <t>+79496057692</t>
  </si>
  <si>
    <t>Ровная 43а подъезд 6</t>
  </si>
  <si>
    <t>47.1500, 37.6147</t>
  </si>
  <si>
    <t>Валентина Сычева</t>
  </si>
  <si>
    <t>+79497388231</t>
  </si>
  <si>
    <t>Леваневского 58</t>
  </si>
  <si>
    <t>47.1007, 37.5310</t>
  </si>
  <si>
    <t>Виктория Урицкого 93а</t>
  </si>
  <si>
    <t>+79497309448</t>
  </si>
  <si>
    <t>Урицкого 93а</t>
  </si>
  <si>
    <t>47.1238, 37.5116</t>
  </si>
  <si>
    <t>Дронго</t>
  </si>
  <si>
    <t>Ольга Родион 17</t>
  </si>
  <si>
    <t>Татьяна Вахтангова</t>
  </si>
  <si>
    <t>+79495228017</t>
  </si>
  <si>
    <t>Вахтангова 15а</t>
  </si>
  <si>
    <t>47.0882, 37.5117</t>
  </si>
  <si>
    <t>SR</t>
  </si>
  <si>
    <t>Оксана Максима Рюкзак</t>
  </si>
  <si>
    <t>Татьяна Курпина 13</t>
  </si>
  <si>
    <t>+79497113447</t>
  </si>
  <si>
    <t>Куприна 13</t>
  </si>
  <si>
    <t>47.1026, 37.5111</t>
  </si>
  <si>
    <t>Олеся Пугачева 23</t>
  </si>
  <si>
    <t>+79497195898</t>
  </si>
  <si>
    <t>Пугачева 23</t>
  </si>
  <si>
    <t>47.1190, 37.5327</t>
  </si>
  <si>
    <t>Косарева Елена</t>
  </si>
  <si>
    <t>Роман Свиридов</t>
  </si>
  <si>
    <t>Оксана Моцная</t>
  </si>
  <si>
    <t>+79495872741</t>
  </si>
  <si>
    <t>Гранитная 148 подъезд 2, кв. 68</t>
  </si>
  <si>
    <t>47.1253, 37.5129</t>
  </si>
  <si>
    <t>Елизавета Водоканал</t>
  </si>
  <si>
    <t>Варганова 7</t>
  </si>
  <si>
    <t>47.0989, 37.5429</t>
  </si>
  <si>
    <t>Коля Чунихин</t>
  </si>
  <si>
    <t>Антон Старокрымский</t>
  </si>
  <si>
    <t>Вита Строителей</t>
  </si>
  <si>
    <t>Ярослав Еременко</t>
  </si>
  <si>
    <t>Наталья Шевченко</t>
  </si>
  <si>
    <t>+79497399662</t>
  </si>
  <si>
    <t>Шевченко 295 подъезд 3</t>
  </si>
  <si>
    <t>47.1179, 37.5217</t>
  </si>
  <si>
    <t>Вячеслав Протонов</t>
  </si>
  <si>
    <t>Власта консалтинг</t>
  </si>
  <si>
    <t>+79497377568</t>
  </si>
  <si>
    <t>Металлургов 33</t>
  </si>
  <si>
    <t>47.0952, 37.5438</t>
  </si>
  <si>
    <t>Лиля Эдельвейс</t>
  </si>
  <si>
    <t>+79497248825</t>
  </si>
  <si>
    <t>Писарева 28</t>
  </si>
  <si>
    <t>47.1067, 37.5486</t>
  </si>
  <si>
    <t>Сергей Гуржи</t>
  </si>
  <si>
    <t>Ренат Строителей 145</t>
  </si>
  <si>
    <t>Аленка 3</t>
  </si>
  <si>
    <t>Юлия АТБ кольцо</t>
  </si>
  <si>
    <t>+79495807738</t>
  </si>
  <si>
    <t>Ленина 85б подъезд 4</t>
  </si>
  <si>
    <t>47.0991, 37.5384</t>
  </si>
  <si>
    <t>Татьяна Писарева 28</t>
  </si>
  <si>
    <t>+79497124527</t>
  </si>
  <si>
    <t>47.1065, 37.5478</t>
  </si>
  <si>
    <t>Оксана Шевченко 240</t>
  </si>
  <si>
    <t>+79497168896</t>
  </si>
  <si>
    <t>Шевченко 240 подъезд 3</t>
  </si>
  <si>
    <t>47.1153, 37.5222</t>
  </si>
  <si>
    <t>Татьяна Лаванда</t>
  </si>
  <si>
    <t>+79498079642</t>
  </si>
  <si>
    <t>26 квартал 3</t>
  </si>
  <si>
    <t>47.1295, 37.5580</t>
  </si>
  <si>
    <t>Михаил Строителей 145</t>
  </si>
  <si>
    <t>Ирина Зелинского 106а</t>
  </si>
  <si>
    <t>+79496433686</t>
  </si>
  <si>
    <t>Зелинского 106а</t>
  </si>
  <si>
    <t>47.1059, 37.5155</t>
  </si>
  <si>
    <t>Лариса Западный</t>
  </si>
  <si>
    <t>+79497185141</t>
  </si>
  <si>
    <t>Урицкого, 118/16</t>
  </si>
  <si>
    <t>47.1223, 37.5125</t>
  </si>
  <si>
    <t>Юлина Мама</t>
  </si>
  <si>
    <t>Людмила Федоровна</t>
  </si>
  <si>
    <t>+79496243970</t>
  </si>
  <si>
    <t>Урицкого 104 подъезд 2 кв. 43</t>
  </si>
  <si>
    <t>47.1212, 37.5174</t>
  </si>
  <si>
    <t>Оксана молокозавод</t>
  </si>
  <si>
    <t>+79497135589</t>
  </si>
  <si>
    <t>47.1164, 37.5459</t>
  </si>
  <si>
    <t>Виталик Металлургов 235</t>
  </si>
  <si>
    <t>Екатерина Металлургов 129</t>
  </si>
  <si>
    <t>+79495256416</t>
  </si>
  <si>
    <t>Металлургов 129</t>
  </si>
  <si>
    <t>47.1123, 37.5582</t>
  </si>
  <si>
    <t>Игорь Рельефная</t>
  </si>
  <si>
    <t>Оксана Черноморская</t>
  </si>
  <si>
    <t>+79497078921</t>
  </si>
  <si>
    <t>Черноморская 17</t>
  </si>
  <si>
    <t>47.0767, 37.5101</t>
  </si>
  <si>
    <t>Ксения Краснофлотская</t>
  </si>
  <si>
    <t>+79497183952</t>
  </si>
  <si>
    <t>Краснофлотская 167</t>
  </si>
  <si>
    <t>47.0910, 37.4981</t>
  </si>
  <si>
    <t>Константин от Наталья</t>
  </si>
  <si>
    <t>Роман Куприна</t>
  </si>
  <si>
    <t>Владимир Миленко</t>
  </si>
  <si>
    <t>Юля Шевченко 305</t>
  </si>
  <si>
    <t>Любовь Металлургов 158</t>
  </si>
  <si>
    <t>+79497379017</t>
  </si>
  <si>
    <t>Металлургов 158</t>
  </si>
  <si>
    <t>47.1266, 37.5631</t>
  </si>
  <si>
    <t>Марина 50 Лет СССР 16</t>
  </si>
  <si>
    <t>+79495600470</t>
  </si>
  <si>
    <t>Виктория Страховка</t>
  </si>
  <si>
    <t>+79497163227</t>
  </si>
  <si>
    <t>Артема 44</t>
  </si>
  <si>
    <t>47.0943, 37.5487</t>
  </si>
  <si>
    <t>Алена Грация</t>
  </si>
  <si>
    <t>+79497049936</t>
  </si>
  <si>
    <t>Лилия Леси Украинки</t>
  </si>
  <si>
    <t>+79497108197</t>
  </si>
  <si>
    <t>Леси Украинки 24</t>
  </si>
  <si>
    <t>47.1035, 37.5324</t>
  </si>
  <si>
    <t>Артем 9 Авиадивизии</t>
  </si>
  <si>
    <t>Елена жена Александра</t>
  </si>
  <si>
    <t>Елена Ленина 87</t>
  </si>
  <si>
    <t>+79495524078</t>
  </si>
  <si>
    <t>Ленина 87</t>
  </si>
  <si>
    <t>47.0980, 37.5374</t>
  </si>
  <si>
    <t>Любовь 17</t>
  </si>
  <si>
    <t>+79493850065</t>
  </si>
  <si>
    <t>Клиент</t>
  </si>
  <si>
    <t>223099994</t>
  </si>
  <si>
    <t>223126748</t>
  </si>
  <si>
    <t>Cult, Гейнер для набора веса, массы, углеводы 100% Pure Mass Gainer 3000 г (3 кг), ваниль, 799989016</t>
  </si>
  <si>
    <t>Cult, Гейнер для набора веса, массы, углеводы 100% Pure Mass Gainer 3000 г (3 кг), ваниль, 139295316</t>
  </si>
  <si>
    <t>Cult, Гейнер для набора веса, массы, углеводы 100% Pure Mass Gainer 3000 г (3 кг), ваниль, 799989625</t>
  </si>
  <si>
    <t>Cult, Гейнер для набора веса, массы, углеводы 100% Pure Mass Gainer 3000 г (3 кг), клубника, 077563285</t>
  </si>
  <si>
    <t>Cult, Гейнер для набора веса, массы, углеводы 100% Pure Mass Gainer 3000 г (3 кг), шоколад, 077562793</t>
  </si>
  <si>
    <t>КОСМАР0119010107</t>
  </si>
  <si>
    <t>PHT-82245</t>
  </si>
  <si>
    <t>Phytoral</t>
  </si>
  <si>
    <t>Экстракт белой фасоли, 1200 мг, 60 капсул (600 мг на капсулу)</t>
  </si>
  <si>
    <t>VMC-47401</t>
  </si>
  <si>
    <t>Vitamatic</t>
  </si>
  <si>
    <t>Малат магния с витамином B6, 2000 мг, 90 вегетарианских таблеток (1000 мг в каждой таблетке)</t>
  </si>
  <si>
    <t>535334117</t>
  </si>
  <si>
    <t>LIF-97802</t>
  </si>
  <si>
    <t>LifeTime Vitamins</t>
  </si>
  <si>
    <t>ресвератрол, асаи и коэнзим Q10, 60 вегетарианских капсул</t>
  </si>
  <si>
    <t>SPN-02508</t>
  </si>
  <si>
    <t>Think Support, с гинкго билоба, тюбетейкой, готу колой, бакопой и ферментами, 60 растительных капсул</t>
  </si>
  <si>
    <t>535305177</t>
  </si>
  <si>
    <t>HRM-50043</t>
  </si>
  <si>
    <t>берберин гидрохлорид, 120 капсул</t>
  </si>
  <si>
    <t>VMC-47227</t>
  </si>
  <si>
    <t>Глицинат магния с витамином B6, 180 вегетарианских таблеток</t>
  </si>
  <si>
    <t>VMC-47067</t>
  </si>
  <si>
    <t>веганский яблочный уксус, со вкусом натурального яблока, 1000 мг, 60 жевательных мармеладок (500 мг в 1 жевательной мармеладке)</t>
  </si>
  <si>
    <t>VMC-47443</t>
  </si>
  <si>
    <t>VMC-47553</t>
  </si>
  <si>
    <t>Мелатонин 10 + ашваганда, 120 таблеток</t>
  </si>
  <si>
    <t>LEX-20406</t>
  </si>
  <si>
    <t>витамины D и К с йодом Sea-Iodine, 60 капсул</t>
  </si>
  <si>
    <t>535495237</t>
  </si>
  <si>
    <t>NOW-04012</t>
  </si>
  <si>
    <t>Женьшень обыкновенный, 500 мг, 100 растительных капсул</t>
  </si>
  <si>
    <t>535412335</t>
  </si>
  <si>
    <t>720000662524</t>
  </si>
  <si>
    <t>720000667044</t>
  </si>
  <si>
    <t>722500437916</t>
  </si>
  <si>
    <t>720000659818</t>
  </si>
  <si>
    <t>535636426</t>
  </si>
  <si>
    <t>720000670392</t>
  </si>
  <si>
    <t>535851641</t>
  </si>
  <si>
    <t>720000675438</t>
  </si>
  <si>
    <t>535717086</t>
  </si>
  <si>
    <t>720000672400</t>
  </si>
  <si>
    <t>HRP-54749</t>
  </si>
  <si>
    <t>Heritage Store</t>
  </si>
  <si>
    <t>перекись водорода, 473 мл (16 жидк. унций)</t>
  </si>
  <si>
    <t>CRO-89318</t>
  </si>
  <si>
    <t>Christopher's Original Formulas</t>
  </si>
  <si>
    <t>травяной порошок для зубов и десен, 56 г (2 унции)</t>
  </si>
  <si>
    <t>THR-71302</t>
  </si>
  <si>
    <t>Комплекс для здоровья сердца с коэнзимом Q10 и боярышником, 90 капсул</t>
  </si>
  <si>
    <t>SNS-00969</t>
  </si>
  <si>
    <t>Daily Essential Enzymes, добавка с незаменимыми ферментами для ежедневного использования, 500 мг, 240 капсул</t>
  </si>
  <si>
    <t>PMF-02029</t>
  </si>
  <si>
    <t>Max CLA, 180 капсул</t>
  </si>
  <si>
    <t>NFS-04508</t>
  </si>
  <si>
    <t>NOW-02698</t>
  </si>
  <si>
    <t>сертифицированная органическая спирулина, 500 мг, 200 таблеток</t>
  </si>
  <si>
    <t>CGN-00956</t>
  </si>
  <si>
    <t>Комплекс силимарина, экстракт расторопши с одуванчиком, артишок, комплекс куркумина C3, имбирь и BioPerine®, 120 растительных капсул</t>
  </si>
  <si>
    <t>CGN-01255</t>
  </si>
  <si>
    <t>Органическая львиная грива, 90 капсул</t>
  </si>
  <si>
    <t>CGN-01168</t>
  </si>
  <si>
    <t>Лютеин с зеаксантином из экстракта бархатцев, 10 мг, 120 растительных капсул</t>
  </si>
  <si>
    <t>NCS-67030</t>
  </si>
  <si>
    <t>Зеаксантин с лютеином, 120 мягких таблеток</t>
  </si>
  <si>
    <t>SimplyOne®, ясность мысли с L-теанином, L-фенилаланином и L-глутамином, 30 таблеток</t>
  </si>
  <si>
    <t>SLN-16524</t>
  </si>
  <si>
    <t>Selsun Blue</t>
  </si>
  <si>
    <t>Шампунь и кондиционер против перхоти 2 в 1, 325 мл (11 жидк. Унций)</t>
  </si>
  <si>
    <t>CGN-01032</t>
  </si>
  <si>
    <t>CollagenUP®, гидролизованные пептиды морского коллагена с гиалуроновой кислотой и витамином C, с нейтральным вкусом, 464 г (1,02 фунта)</t>
  </si>
  <si>
    <t>SMF-64103</t>
  </si>
  <si>
    <t>добавка для спокойного сна, для детей от 3 лет, ягодный вкус, 100 жевательных таблеток</t>
  </si>
  <si>
    <t>EUR-34702</t>
  </si>
  <si>
    <t>CuraMed, средство для снятия боли, 120 жидких гелей</t>
  </si>
  <si>
    <t>225100532</t>
  </si>
  <si>
    <t>СПЗМАР0119113184</t>
  </si>
  <si>
    <t>000000040</t>
  </si>
  <si>
    <t>000000633</t>
  </si>
  <si>
    <t>Beauty of Joseon</t>
  </si>
  <si>
    <t>Солнцезащитный крем 50spf</t>
  </si>
  <si>
    <t>279995519</t>
  </si>
  <si>
    <t>Farm Stay</t>
  </si>
  <si>
    <t>LE PETIT OLIVIER, Средство бифазное для снятия водостойкого макияжа с экстрактом оливкого дерева 125 мл, LPO115173</t>
  </si>
  <si>
    <t>Bio Produkt, Iron Test, Арон Тест для роста естественного тестостерона, 897817701</t>
  </si>
  <si>
    <t>ChildLife Essentials, витамин D3, со вкусом натуральных ягод, 30 мл (1 жидк. унция) CDL-10900</t>
  </si>
  <si>
    <t>Eclectic Herb, экстракт чистотела, 60 мл (2 жидк, унции) ECL-10234</t>
  </si>
  <si>
    <t>Farm Stay, Ампула All-In-One, гранат, 8,45 унции (250 мл) FSY-77289</t>
  </si>
  <si>
    <t>LA, Girl, Консилер Pro Conceal HD Concealer, фарфоровый, 8 г LAG-96969</t>
  </si>
  <si>
    <t>JR, Liggett's, Твердый шампунь в старом стиле, масло чайного дерева и конопляное масло, 99 г (3,5 унции) LGJ10204</t>
  </si>
  <si>
    <t>LADOR, Филлеры для волос PERFECT HAIR FILLER, 734900928</t>
  </si>
  <si>
    <t>LADOR, Беcсульфатный шампунь для волос с кератином Lador Keratin LPP Shampoo, 530 мл, 911242803</t>
  </si>
  <si>
    <t>Missha, Тональный крем MISSHA M Perfect Cover BB Cream SPF42/PA+++ (No.21/Light Beige) 50ml, 72335422</t>
  </si>
  <si>
    <t>Nutrex Research, Жиросжигатели липо 6 нутрекс Lipo 6 Nutrex Black Ultra Concentrate 30 капсул, 750910268</t>
  </si>
  <si>
    <t>Solgar, Skin, Nails &amp; Hair Advanced Msm Formula 60 таблеток, 000001369</t>
  </si>
  <si>
    <t>Bonus</t>
  </si>
  <si>
    <t>Maxler, Креатин моногидрат Creatine 100% Monohydrate, 500 гр., 176208974</t>
  </si>
  <si>
    <t>PRIMEKRAFT, Мицеллярный казеин/Micellar Casein Клубника-Банан , 900 гр / 30 порций, 176349145</t>
  </si>
  <si>
    <t>X</t>
  </si>
  <si>
    <t>XX</t>
  </si>
  <si>
    <t>XXX</t>
  </si>
  <si>
    <t>XXXX</t>
  </si>
  <si>
    <t>XXXXX</t>
  </si>
  <si>
    <t>XINOXIN, Средство для роста волос, бороды 15%, 60мл, набор 6шт, 724807304</t>
  </si>
  <si>
    <t>XXXXXX</t>
  </si>
  <si>
    <t>CEN-21434</t>
  </si>
  <si>
    <t>CEN-27383</t>
  </si>
  <si>
    <t>CEN-22424</t>
  </si>
  <si>
    <t>ADC-00960</t>
  </si>
  <si>
    <t>AMN-02931</t>
  </si>
  <si>
    <t>UNN-03052</t>
  </si>
  <si>
    <t>UNN-03281</t>
  </si>
  <si>
    <t>BTZ-75102</t>
  </si>
  <si>
    <t>CGN-01115</t>
  </si>
  <si>
    <t>CGN-01330</t>
  </si>
  <si>
    <t>CAR-01653</t>
  </si>
  <si>
    <t>DRB-00025</t>
  </si>
  <si>
    <t>DRB-00125</t>
  </si>
  <si>
    <t>FOA-01478</t>
  </si>
  <si>
    <t>IDE-02315</t>
  </si>
  <si>
    <t>141847874</t>
  </si>
  <si>
    <t>LKN-01639</t>
  </si>
  <si>
    <t>LEX-19043</t>
  </si>
  <si>
    <t>LEX-23176</t>
  </si>
  <si>
    <t>MSH-44928</t>
  </si>
  <si>
    <t>MRM-85003</t>
  </si>
  <si>
    <t>MRM-21104</t>
  </si>
  <si>
    <t>NFS-04913</t>
  </si>
  <si>
    <t>NFS-01344</t>
  </si>
  <si>
    <t>NFS-02056</t>
  </si>
  <si>
    <t>NLI-00437</t>
  </si>
  <si>
    <t>NWY-03502</t>
  </si>
  <si>
    <t>NWY-03501</t>
  </si>
  <si>
    <t>NWY-14000</t>
  </si>
  <si>
    <t>NWY-15408</t>
  </si>
  <si>
    <t>NWY-15350</t>
  </si>
  <si>
    <t>NOW-00680</t>
  </si>
  <si>
    <t>NOW-07725</t>
  </si>
  <si>
    <t>NOW-00474</t>
  </si>
  <si>
    <t>NOW-00471</t>
  </si>
  <si>
    <t>NOW-03056</t>
  </si>
  <si>
    <t>NOW-02952</t>
  </si>
  <si>
    <t>NOW-02700</t>
  </si>
  <si>
    <t>NBC-00451</t>
  </si>
  <si>
    <t>SBL-00121</t>
  </si>
  <si>
    <t>SOR-89504</t>
  </si>
  <si>
    <t>THR-50001</t>
  </si>
  <si>
    <t>Волосы, кожа и ногти, усовершенствованная формула, 50 таблеток</t>
  </si>
  <si>
    <t>Корица с хромом, 2000 мг, 120 вегетарианских капсул (500 мг в 1 капсуле)</t>
  </si>
  <si>
    <t>Суперколлаген с витамином C, 6000 мг, 180 таблеток (1000 мг в 1 таблетке)</t>
  </si>
  <si>
    <t>Гиалуроновая кислота, мгновенное увлажнение кожи, 454 г (1 фунт / 16 унций)</t>
  </si>
  <si>
    <t>Amazing Formulas, Кальций, магний, цинк и витамин D3, 300 таблеток</t>
  </si>
  <si>
    <t>Animal</t>
  </si>
  <si>
    <t>Flex, порошок для поддержки суставов, со вкусом апельсина, 339 г (11,96 унции)</t>
  </si>
  <si>
    <t>BioSchwartz</t>
  </si>
  <si>
    <t>Куркумин из куркумы с BioPerine, 1500 мг, 90 капсул (500 мг в 1 капсуле)</t>
  </si>
  <si>
    <t>EuroHerbs, экстракт пассифлоры, качество Euromed, 250 мг, 60 растительных капсул</t>
  </si>
  <si>
    <t>Омега-3, рыбий жир премиального качества, 240 капсул из рыбьего желатина</t>
  </si>
  <si>
    <t>Норвежская серия для детей, самый лучший рыбий жир, натуральный апельсиновый вкус, 200 мл (6,7 жидк, унции)</t>
  </si>
  <si>
    <t>Магний с высокой степенью усвоения, 100 мг, 120 таблеток</t>
  </si>
  <si>
    <t>ProbioSlim, средства для снижения веса, 120 вегетарианских капсул</t>
  </si>
  <si>
    <t>000000196</t>
  </si>
  <si>
    <t>Форевер Фридом 1л</t>
  </si>
  <si>
    <t>Superfood Skin Savior Variety Pack, 7 салфеток Beauty Sheet, 20 мл (0,68 жидк, Унции) каждая</t>
  </si>
  <si>
    <t>Spotlife</t>
  </si>
  <si>
    <t>Шейкер Movie Needs Daily Body, 800мл., черный</t>
  </si>
  <si>
    <t>N-ацетил-L-цистеин, 600 мг, 120 растительных капсул</t>
  </si>
  <si>
    <t>Мультивитамины для приема два раза в день, 60 капсул</t>
  </si>
  <si>
    <t>XXXXXX001</t>
  </si>
  <si>
    <t>Missha</t>
  </si>
  <si>
    <t>Magic Cushion Cover Lasting, No. 21 Светло-бежевый, 0,52 унции (15 г)</t>
  </si>
  <si>
    <t>Nutrition, ацетил-L-карнитин, 60 веганских капсул</t>
  </si>
  <si>
    <t>Nature's Life</t>
  </si>
  <si>
    <t>Sambucol</t>
  </si>
  <si>
    <t>Sierra Bees</t>
  </si>
  <si>
    <t>Глюкозамин с хондроитином и МСМ, 90 капсул</t>
  </si>
  <si>
    <t>NAC (N-ацетилцистеин), 600 мг, 100 растительных капсул</t>
  </si>
  <si>
    <t>WomenSense, RxOmega-3, 120 мягких таблеток Enteripure</t>
  </si>
  <si>
    <t>Витамин C с биофлавоноидами и шиповником, 1000 мг, 90 таблеток</t>
  </si>
  <si>
    <t>Восстанавливающий магний, 500 мг, 100 вегетарианских капсул</t>
  </si>
  <si>
    <t>Chlorofresh, жидкий хлорофилл, без добавок, 480 мл (16 жидк, унций)</t>
  </si>
  <si>
    <t>Chlorofresh, жидкий хлорофилл, со вкусом мяты, 132 мг, 480 мл (16 жидк, унций) (132 мг в 2 ст, л,)</t>
  </si>
  <si>
    <t>Готу кола, цельное растение, 950 мг, 100 веганских капсул (475 мг в 1 капсуле)</t>
  </si>
  <si>
    <t>Кора муравьиного дерева, внутренний слой, 1090 мг, 180 веганских капсул (545 мг в 1 капсуле)</t>
  </si>
  <si>
    <t>Корень дикого ямса, 850 мг, 180 веганских капсул (425 мг в 1 капсуле)</t>
  </si>
  <si>
    <t>C-1000, 100 таблеток</t>
  </si>
  <si>
    <t>Solutions, чистый ланолин, 198 г (7 унций)</t>
  </si>
  <si>
    <t>Биотин, 5000 мкг, 120 вегетарианских капсул</t>
  </si>
  <si>
    <t>Биотин, 5000 мкг, 60 вегетарианских капсул</t>
  </si>
  <si>
    <t>Индол 3-карбинол, 200 мг, 60 растительных капсул</t>
  </si>
  <si>
    <t>Сертифицированная органическая спирулина, 3000 мг, 500 таблеток (500 мг в 1 таблетке)</t>
  </si>
  <si>
    <t>Immunity, аскорбат натрия, кристаллический порошок, 454 г (16 унций)</t>
  </si>
  <si>
    <t>R-Line, Гейнер LIGHT MASS (банан) 3000 г, 1095246884</t>
  </si>
  <si>
    <t>1095246884</t>
  </si>
  <si>
    <t>R-Line, Гейнер Light Mass 1000 гр для набора массы (шоколад), 309523723</t>
  </si>
  <si>
    <t>R-Line, Гейнер Light Mass 1000 гр для набора массы (vмокачино), 504006588</t>
  </si>
  <si>
    <t>Сироп из черной бузины, для детей, ягодный аромат, 230 мл (7,8 жидк, унции)</t>
  </si>
  <si>
    <t>Sierra Bees, органические бальзамы для губ, гранат, 4 штуки по 4,25 г (0,15 унции), MBE-01141</t>
  </si>
  <si>
    <t>Sierra Bees, органические бальзамы для губ, гранат, по 4,25 г (0,15 унции), MBE01141</t>
  </si>
  <si>
    <t>Протеин сывороточный (900 гр), 30 порций, Шоколад</t>
  </si>
  <si>
    <t>XXXXXX002</t>
  </si>
  <si>
    <t>XXXXXX003</t>
  </si>
  <si>
    <t>XXXXXX004</t>
  </si>
  <si>
    <t>XXXXXX005</t>
  </si>
  <si>
    <t>XXXXXX006</t>
  </si>
  <si>
    <t>XXXXXX007</t>
  </si>
  <si>
    <t>XXXXXX008</t>
  </si>
  <si>
    <t>XXXXXX009</t>
  </si>
  <si>
    <t>XXXXXX010</t>
  </si>
  <si>
    <t>XXXXXX011</t>
  </si>
  <si>
    <t>XXXXXX012</t>
  </si>
  <si>
    <t>XXXXXX013</t>
  </si>
  <si>
    <t>XXXXXX014</t>
  </si>
  <si>
    <t>XXXXXX015</t>
  </si>
  <si>
    <t>XXXXXX016</t>
  </si>
  <si>
    <t>XXXXXX017</t>
  </si>
  <si>
    <t>XXXXXX019</t>
  </si>
  <si>
    <t>XXXXXX021</t>
  </si>
  <si>
    <t>XXXXXX022</t>
  </si>
  <si>
    <t>XXXXXX023</t>
  </si>
  <si>
    <t>Витамины D и K2, 25 мкг (1000 МЕ), 30 мл (1 жидк, унция)</t>
  </si>
  <si>
    <t>Литий, 1000 мкг, 100 вегетарианских капсул</t>
  </si>
  <si>
    <t>XXXXXX025</t>
  </si>
  <si>
    <t>Earth's Blend®, витамины D3 и K2, 90 вегетарианских капсул</t>
  </si>
  <si>
    <t>LBY-44295</t>
  </si>
  <si>
    <t>Luseta Beauty</t>
  </si>
  <si>
    <t>iHerb Exclusive, пакетик для ухода за волосами с биотином и кератином, 4 предмета, 320 мл (10,8 жидк. унции)</t>
  </si>
  <si>
    <t>регенератор НАД и клеток, 100 мг, 30 вегетарианских капсул</t>
  </si>
  <si>
    <t>IDE-02311</t>
  </si>
  <si>
    <t>Superfood Skin Savior, маска с суперфудами, асаи, 5 шт. по 20 мл (0,68 жидк. унции)</t>
  </si>
  <si>
    <t>NOW-01840</t>
  </si>
  <si>
    <t>тыквенное масло, 1000 мг, 100 капсул (500 мг в 1 капсуле)</t>
  </si>
  <si>
    <t>NWY-11926</t>
  </si>
  <si>
    <t>корень имбиря, 1100 мг, 240 веганских капсул (550 мг в 1 капсуле)</t>
  </si>
  <si>
    <t>NBG-10298</t>
  </si>
  <si>
    <t>Nutra BioGenesis</t>
  </si>
  <si>
    <t>Diabetone Plus, 90 капсул</t>
  </si>
  <si>
    <t>NOW-03159</t>
  </si>
  <si>
    <t>Жидкая гиалуроновая кислота, со вкусом ягод, 100 мг, 473 мл (16 жидких унций)</t>
  </si>
  <si>
    <t>глицин, 100 вегетарианских капсул (1000 мг в 1 капсуле)</t>
  </si>
  <si>
    <t>CGN-01922</t>
  </si>
  <si>
    <t>комплекс флавоноидов с NMN, апигенином и дигидрокверцетином, 60 растительных капсул</t>
  </si>
  <si>
    <t>PHV-77994</t>
  </si>
  <si>
    <t>ProHealth Longevity</t>
  </si>
  <si>
    <t>Чистый спермидин, 1 мг, 180 капсул</t>
  </si>
  <si>
    <t>BLB-00601</t>
  </si>
  <si>
    <t>Комплекс витамина Е, 60 капсул с жидкостью</t>
  </si>
  <si>
    <t>BLB-01178</t>
  </si>
  <si>
    <t>Растительные стеролы, 90 растительных капсул</t>
  </si>
  <si>
    <t>SWV-10009</t>
  </si>
  <si>
    <t>Alkaline Booster, капли для защиты pH, 37,5 мл (1,25 жидк. унц.)</t>
  </si>
  <si>
    <t>BLB-00856</t>
  </si>
  <si>
    <t>Альфа-липоевая кислота, 600 мг, 60 растительных капсул</t>
  </si>
  <si>
    <t>THR-24002</t>
  </si>
  <si>
    <t>Цитрат калия, 90 капсул (99 мг на капсулу)</t>
  </si>
  <si>
    <t>IDE-02308</t>
  </si>
  <si>
    <t>Superfood Skin Savior, маска для лица с суперфудами, персик, 5 шт. по 20 мл (0,68 жидк. унции)</t>
  </si>
  <si>
    <t>PAR-77868</t>
  </si>
  <si>
    <t>Глицинат магния для лучшего усвоения, 350 мг, 240 вегетарианских капсул</t>
  </si>
  <si>
    <t>ферментированный яблочный уксус, 500 мг, 180 капсул, которые легко глотать</t>
  </si>
  <si>
    <t>NOW-03376</t>
  </si>
  <si>
    <t>Яблочный уксус, повышенная сила действия, 750 мг, 180 таблеток</t>
  </si>
  <si>
    <t>SKH-52061</t>
  </si>
  <si>
    <t>Seeking Health</t>
  </si>
  <si>
    <t>Оротат лития, 5 мг, 100 вегетарианских капсул</t>
  </si>
  <si>
    <t>жидкий хлорофилл, аромат натуральной мяты, 473 мл (16 жидк. унций)</t>
  </si>
  <si>
    <t>NOW-00131</t>
  </si>
  <si>
    <t>Глицин, 250 растительных капсул (1000 мг на капсулу)</t>
  </si>
  <si>
    <t>наттокиназа, 2000 FU, 90 вегетарианских капсул</t>
  </si>
  <si>
    <t>NRT-00696</t>
  </si>
  <si>
    <t>Sleep 3+, поддержка стресса, 56 трехслойных таблеток</t>
  </si>
  <si>
    <t>PAR-77871</t>
  </si>
  <si>
    <t>Сахаромицеты Буларди, 5 млрд КОЕ, 120 вегетарианских капсул</t>
  </si>
  <si>
    <t>VMC-47481</t>
  </si>
  <si>
    <t>Расторопша + корень одуванчика, 180 вегетарианских капсул</t>
  </si>
  <si>
    <t>SUW-92149</t>
  </si>
  <si>
    <t>Sunwarrior</t>
  </si>
  <si>
    <t>Daytime Focus &amp; Balance, 60 веганских капсул</t>
  </si>
  <si>
    <t>SOR-08364</t>
  </si>
  <si>
    <t>Total Cleanse, почки, 60 растительных капсул</t>
  </si>
  <si>
    <t>SOR-35007</t>
  </si>
  <si>
    <t>Total Cleanse, средство для выведения мочевой кислоты, 60 растительных капсул</t>
  </si>
  <si>
    <t>NFS-03544</t>
  </si>
  <si>
    <t>WellBetX®, берберин, 60 вегетарианских капсул (500 мг на капсулу)</t>
  </si>
  <si>
    <t>ORI-00039</t>
  </si>
  <si>
    <t>Organic India</t>
  </si>
  <si>
    <t>Готу кола, 90 вегетарианских капсул (350 мг на капсулу)</t>
  </si>
  <si>
    <t>536015483</t>
  </si>
  <si>
    <t>535979287</t>
  </si>
  <si>
    <t>536271561</t>
  </si>
  <si>
    <t>536398877</t>
  </si>
  <si>
    <t>535938295</t>
  </si>
  <si>
    <t>536180222</t>
  </si>
  <si>
    <t>536432237</t>
  </si>
  <si>
    <t>КОСМАР0119239439</t>
  </si>
  <si>
    <t>720000679446</t>
  </si>
  <si>
    <t>722500450360</t>
  </si>
  <si>
    <t>720000686659</t>
  </si>
  <si>
    <t>720000690733</t>
  </si>
  <si>
    <t>720000677133</t>
  </si>
  <si>
    <t>720000682876</t>
  </si>
  <si>
    <t>720000692746</t>
  </si>
  <si>
    <t>КОСМАР0119364433</t>
  </si>
  <si>
    <t>Ester-C®, добавка с витамином C, 500 мг, 250 растительных капсул</t>
  </si>
  <si>
    <t>SOR-04940</t>
  </si>
  <si>
    <t>L-лизин, 500 мг, 60 вегетарианских капсул</t>
  </si>
  <si>
    <t>SOR-35281</t>
  </si>
  <si>
    <t>L-лизин и монолаурин, в соотношении 1:1, 60 вегетарианских капсул</t>
  </si>
  <si>
    <t>CLG-56025</t>
  </si>
  <si>
    <t>Cliganic</t>
  </si>
  <si>
    <t>Boost of Clarity ™, органическое эфирное масло, чайное дерево, 10 мл (0,34 жидк. Унции)</t>
  </si>
  <si>
    <t>536689521</t>
  </si>
  <si>
    <t>комплекс с ресвератролом с экстрактом виноградных косточек, экстрактом красного вина и транс-ресвератролом, 500 мг, 250 растительных капсул</t>
  </si>
  <si>
    <t>омега 800, ультраконцентрированный рыбий жир с омега-3, в форме триглицеридов KD-Pur, 90 капсул из рыбьего желатина (1000 мг в 1 капсуле)</t>
  </si>
  <si>
    <t>536668666</t>
  </si>
  <si>
    <t>720000700378</t>
  </si>
  <si>
    <t>720000699777</t>
  </si>
  <si>
    <t>WB0201</t>
  </si>
  <si>
    <t>671179174</t>
  </si>
  <si>
    <t>Tree of Life</t>
  </si>
  <si>
    <t>КОСМАР0119482645</t>
  </si>
  <si>
    <t>WB0202</t>
  </si>
  <si>
    <t>XXXX100</t>
  </si>
  <si>
    <t>XXXXXX030</t>
  </si>
  <si>
    <t>239411443</t>
  </si>
  <si>
    <t>242381576</t>
  </si>
  <si>
    <t>1234861962</t>
  </si>
  <si>
    <t>145963903</t>
  </si>
  <si>
    <t>Л-Цитрулин Малат 100% Golden Citrulinee Malate 200г</t>
  </si>
  <si>
    <t>FDI-03511</t>
  </si>
  <si>
    <t>Frudia</t>
  </si>
  <si>
    <t>крем для контроля за порами с зеленым виноградом, 10 г (0,35 унции)</t>
  </si>
  <si>
    <t>SCU-16355</t>
  </si>
  <si>
    <t>Scunci</t>
  </si>
  <si>
    <t>Заколки-крабы для густых волос Effortless Beauty, 2 штуки</t>
  </si>
  <si>
    <t>SNS-02466</t>
  </si>
  <si>
    <t>Sleep Science®, мелатонин, 10 мг, 60 таблеток</t>
  </si>
  <si>
    <t>пиколинат хрома, 100 веганских капсул (200 мкг в 1 капсуле)</t>
  </si>
  <si>
    <t>MagKidz, Animal Parade, жевательный магний для детей, вишня, 90 таблеток в форме животных (50 мг в 1 таблетке)</t>
  </si>
  <si>
    <t>SPN-02507</t>
  </si>
  <si>
    <t>Think Support, с гинкго билоба, тюбетейкой, готу колой, бакопой и ферментами, 180 растительных капсул</t>
  </si>
  <si>
    <t>536827294</t>
  </si>
  <si>
    <t>премиальный рыбий жир с омега-3, 100 капсул из рыбьего желатина (1100 мг в 1 капсуле)</t>
  </si>
  <si>
    <t>силимариновый комплекс с экстрактом расторопши, одуванчиком, артишоком, имбирём и BioPerine, 360 растительных капсул</t>
  </si>
  <si>
    <t>NTW-00611</t>
  </si>
  <si>
    <t>куркумин из органической куркумы, 180 веганских капсул</t>
  </si>
  <si>
    <t>CPI-01184</t>
  </si>
  <si>
    <t>CP-1</t>
  </si>
  <si>
    <t>3 Seconds Hair Fill-Up, филлер для волос, 170 мл (5,74 жидк. унции)</t>
  </si>
  <si>
    <t>TEO-00777</t>
  </si>
  <si>
    <t>Terra Origin</t>
  </si>
  <si>
    <t>Здоровый эстроген и менопауза, 60 капсул</t>
  </si>
  <si>
    <t>BTZ-43162</t>
  </si>
  <si>
    <t>буферизованный витамин C для приёма раз в день, с биофлавоноидами и шиповником, не раздражает желудок, 100 таблеток</t>
  </si>
  <si>
    <t>536963911</t>
  </si>
  <si>
    <t>CEN-22662</t>
  </si>
  <si>
    <t>жевательные таблетки с ферментами папайи, 100 таблеток</t>
  </si>
  <si>
    <t>SSV-23234</t>
  </si>
  <si>
    <t>Sovereign Silver</t>
  </si>
  <si>
    <t>Bio-Active Silver Hydrosol, натуральный назальный спрей, средство для облегчения заложенности носа, 10 част./млн, 59 мл (2 жидк. унции) (10 част./млн в 5 распылениях)</t>
  </si>
  <si>
    <t>FBS-50076</t>
  </si>
  <si>
    <t>Витамин K2 + D3`` 60 капсул</t>
  </si>
  <si>
    <t>экстракт расторопши, двойная сила, 300 мг, 200 растительных капсул</t>
  </si>
  <si>
    <t>IDE-02314</t>
  </si>
  <si>
    <t>Superfood Skin Savior, маска с суперфудами, лайм, 5 шт. по 20 мл (0,68 жидк. унции)</t>
  </si>
  <si>
    <t>DRB-00253</t>
  </si>
  <si>
    <t>наттокиназа, 2000 FU, 270 вегетарианских капсул</t>
  </si>
  <si>
    <t>536847617</t>
  </si>
  <si>
    <t>722500465438</t>
  </si>
  <si>
    <t>720000709614</t>
  </si>
  <si>
    <t>720000707680</t>
  </si>
  <si>
    <t>WB0203</t>
  </si>
  <si>
    <t>Dr. For hair</t>
  </si>
  <si>
    <t>Маска укрепляющая Foligen Treatment 200мл</t>
  </si>
  <si>
    <t>Шампунь для волос бессульфатный от перхоти, Корея</t>
  </si>
  <si>
    <t>92396881</t>
  </si>
  <si>
    <t>166308321</t>
  </si>
  <si>
    <t>OZO0153</t>
  </si>
  <si>
    <t>OZO0154</t>
  </si>
  <si>
    <t>КОСМАР0119547029</t>
  </si>
  <si>
    <t>CGN-01848</t>
  </si>
  <si>
    <t>птеростильбен, 50 мг, 180 растительных капсул</t>
  </si>
  <si>
    <t>FBS-00016</t>
  </si>
  <si>
    <t>Relax &amp; Sleep®, 120 вегетарианских таблеток</t>
  </si>
  <si>
    <t>SPN-02509</t>
  </si>
  <si>
    <t>добавка для поддержки вен с диосмином, иглицей колючей, конским каштаном, биофлавоноидами и ферментами, 250 растительных капсул</t>
  </si>
  <si>
    <t>SPN-02505</t>
  </si>
  <si>
    <t>добавка для борьбы со стрессом с L-теанином, ашвагандой, растительной смесью и ферментами, 180 вегетарианских капсул</t>
  </si>
  <si>
    <t>SOR-04355</t>
  </si>
  <si>
    <t>Инозитол в порошке, 57 г (2 унции)</t>
  </si>
  <si>
    <t>CGN-02273</t>
  </si>
  <si>
    <t>жевательные мультивитамины с пробиотиками, ферментами, витаминами A и C для детей, фруктовое ассорти, 120 вегетарианских таблеток</t>
  </si>
  <si>
    <t>537137716</t>
  </si>
  <si>
    <t>PAR-77882</t>
  </si>
  <si>
    <t>Earth's Blend, комплекс суперфудов и мультивитаминов с железом, для приема один раз в день, 120 вегетарианских капсул</t>
  </si>
  <si>
    <t>пиколинат цинка, 50 мг, 120 растительных капсул</t>
  </si>
  <si>
    <t>537332189</t>
  </si>
  <si>
    <t>FOA-66053</t>
  </si>
  <si>
    <t>Средство для сжигания жира для женщин, 60 растительных капсул</t>
  </si>
  <si>
    <t>Gold C™, витамин C класса USP, 1000 мг, 60 растительных капсул</t>
  </si>
  <si>
    <t>CGN-02332</t>
  </si>
  <si>
    <t>витамины D3 и К2, 60 растительных капсул</t>
  </si>
  <si>
    <t>RAD-00536</t>
  </si>
  <si>
    <t>RADIUS</t>
  </si>
  <si>
    <t>Органическая зубная паста, гвоздика и кардамон, 85 г (3 унции)</t>
  </si>
  <si>
    <t>537093069</t>
  </si>
  <si>
    <t>CGN-02335</t>
  </si>
  <si>
    <t>NMN, 175 мг, 180 растительных капсул</t>
  </si>
  <si>
    <t>CGN-01752</t>
  </si>
  <si>
    <t>комплекс токотриенолов с витамином E, 150 капсул из рыбьего желатина</t>
  </si>
  <si>
    <t>537352737</t>
  </si>
  <si>
    <t>NCS-67580</t>
  </si>
  <si>
    <t>для женщин, витекс с дудником китайским и корнем имбиря, 5000 мг, 120 капсул</t>
  </si>
  <si>
    <t>NCS-67527</t>
  </si>
  <si>
    <t>комплекс витаминов группы B с рисовыми отрубями, 90 таблеток</t>
  </si>
  <si>
    <t>PAR-77891</t>
  </si>
  <si>
    <t>Earth's Blend, цинк, пиколинат, 90 вегетарианских капсул</t>
  </si>
  <si>
    <t>PAR-77812</t>
  </si>
  <si>
    <t>Боярышник, 250 мг, 60 вегетарианских капсул</t>
  </si>
  <si>
    <t>PAR-77720</t>
  </si>
  <si>
    <t>гинкго, повышенная сила действия, 120 мг, 60 вегетарианских капсул</t>
  </si>
  <si>
    <t>537306827</t>
  </si>
  <si>
    <t>NCS-57259</t>
  </si>
  <si>
    <t>Астаксантин, 12 мг, 120 мягких таблеток</t>
  </si>
  <si>
    <t>FOA-66074</t>
  </si>
  <si>
    <t>наттокиназа, 2000 фибринолитических единиц, 90 растительных капсул</t>
  </si>
  <si>
    <t>537315850</t>
  </si>
  <si>
    <t>720000720328</t>
  </si>
  <si>
    <t>720000719857</t>
  </si>
  <si>
    <t>720000722201</t>
  </si>
  <si>
    <t>720000713931</t>
  </si>
  <si>
    <t>722500474002</t>
  </si>
  <si>
    <t>720000716385</t>
  </si>
  <si>
    <t>КОСМАР0119646758</t>
  </si>
  <si>
    <t>4595142843</t>
  </si>
  <si>
    <t>1595032065</t>
  </si>
  <si>
    <t>1595049729</t>
  </si>
  <si>
    <t>1595054059</t>
  </si>
  <si>
    <t>4595125096</t>
  </si>
  <si>
    <t>4595139440</t>
  </si>
  <si>
    <t>w18250</t>
  </si>
  <si>
    <t>Духи для женщин w130</t>
  </si>
  <si>
    <t>Духи для женщин w153</t>
  </si>
  <si>
    <t>Духи для женщин w158</t>
  </si>
  <si>
    <t>Духи для женщин w182</t>
  </si>
  <si>
    <t>Духи для мужчин m045</t>
  </si>
  <si>
    <t>m04550</t>
  </si>
  <si>
    <t>Набор пробнииков - Ароматы 2025</t>
  </si>
  <si>
    <t>sets25</t>
  </si>
  <si>
    <t>w19550</t>
  </si>
  <si>
    <t>Духи для женщин w195</t>
  </si>
  <si>
    <t>w19850</t>
  </si>
  <si>
    <t>Духи для женщин w198</t>
  </si>
  <si>
    <t>w20250</t>
  </si>
  <si>
    <t>Духи для женщин w202</t>
  </si>
  <si>
    <t>w20350</t>
  </si>
  <si>
    <t>Духи для женщин w203</t>
  </si>
  <si>
    <t>m04750</t>
  </si>
  <si>
    <t>Духи для мужчин m047</t>
  </si>
  <si>
    <t>Духи для мужчин m048</t>
  </si>
  <si>
    <t>m04850</t>
  </si>
  <si>
    <t>Духи для женщин w199</t>
  </si>
  <si>
    <t>Духи для женщин w200</t>
  </si>
  <si>
    <t>Духи для мужчин m049</t>
  </si>
  <si>
    <t>w20050</t>
  </si>
  <si>
    <t>w19950</t>
  </si>
  <si>
    <t>m04950</t>
  </si>
  <si>
    <t>937343365</t>
  </si>
  <si>
    <t>AllexPost</t>
  </si>
  <si>
    <t>Почта России</t>
  </si>
  <si>
    <t>80102711332466</t>
  </si>
  <si>
    <t>FOA-66020</t>
  </si>
  <si>
    <t>Ацетил L-карнитин, 500 мг, 100 растительных капсул</t>
  </si>
  <si>
    <t>DAV-00002</t>
  </si>
  <si>
    <t>Отбеливающая зубная паста против зубного налета, натуральная мята и древесный уголь, 149 г (5,25 унции)</t>
  </si>
  <si>
    <t>DGL, глицирризинат солодки (экстракт корня), 90 жевательных таблеток</t>
  </si>
  <si>
    <t>NAP-29982</t>
  </si>
  <si>
    <t>Animal Parade, мультивитаминная добавка для детей, вишня, виноград и апельсин, 180 таблеток в форме животных</t>
  </si>
  <si>
    <t>537834965</t>
  </si>
  <si>
    <t>722500484560</t>
  </si>
  <si>
    <t>PAR-77767</t>
  </si>
  <si>
    <t>Imperial Adaptogen, 60 растительных капсул</t>
  </si>
  <si>
    <t>JRW-33001</t>
  </si>
  <si>
    <t>веганский красный ферментированный рис с коэнзимом Q10, 120 растительных капсул</t>
  </si>
  <si>
    <t>NOW-00143</t>
  </si>
  <si>
    <t>таурин двойной концентрации, 1000 мг, 250 растительных капсул</t>
  </si>
  <si>
    <t>NOW-00042</t>
  </si>
  <si>
    <t>Sports, аргинин и орнитин, 250 растительных капсул</t>
  </si>
  <si>
    <t>NWY-16000</t>
  </si>
  <si>
    <t>красный клевер, цветы и надземная часть растения, 100 веганских капсул (400 мг в 1 капсуле)</t>
  </si>
  <si>
    <t>NFS-01736</t>
  </si>
  <si>
    <t>Бромелаин, 500 мг, 180 капсул</t>
  </si>
  <si>
    <t>537592637</t>
  </si>
  <si>
    <t>722500479387</t>
  </si>
  <si>
    <t>NHP-99906</t>
  </si>
  <si>
    <t>NutraChamps</t>
  </si>
  <si>
    <t>5-HTP, 120 растительных капсул</t>
  </si>
  <si>
    <t>SMO-45847</t>
  </si>
  <si>
    <t>Комплекс из 10 грибов, 90 капсул</t>
  </si>
  <si>
    <t>RxOmega-3, омега-3 повышенной силы действия, 150 капсул (1075 мг в 1 капсуле)</t>
  </si>
  <si>
    <t>CAR-01545</t>
  </si>
  <si>
    <t>норвежская серия, самый лучший рыбий жир, натуральный лимонный вкус, 1600 мг, 500 мл (16,9 жидк. унции)</t>
  </si>
  <si>
    <t>720000735117</t>
  </si>
  <si>
    <t>537765444</t>
  </si>
  <si>
    <t>NOW-00880</t>
  </si>
  <si>
    <t>E-200 со смешанными токоферолами, 134 мг (200 МЕ), 100 мягких таблеток</t>
  </si>
  <si>
    <t>RMS-06829</t>
  </si>
  <si>
    <t>Real Mushrooms</t>
  </si>
  <si>
    <t>ежовик гребенчатый, экстракт грибов в порошке, 300 капсул</t>
  </si>
  <si>
    <t>CRO-89143</t>
  </si>
  <si>
    <t>Средство для очищения кишечника, 625 мг, 180 вегетарианских капсул</t>
  </si>
  <si>
    <t>NOW-00166</t>
  </si>
  <si>
    <t>L-триптофан, 500 мг, 60 растительных капсул</t>
  </si>
  <si>
    <t>720000740761</t>
  </si>
  <si>
    <t>537921452</t>
  </si>
  <si>
    <t>HIM-06043</t>
  </si>
  <si>
    <t>Ашваганда, 90 капсуловидных таблеток</t>
  </si>
  <si>
    <t>537707192</t>
  </si>
  <si>
    <t>720000732422</t>
  </si>
  <si>
    <t>CGN-01269</t>
  </si>
  <si>
    <t>коэнзим Q10 с PQQ, убихинон класса USP, в растительных капсулах из тапиоки с подсолнечным лецитином, 100 мг, 60 растительных капсул</t>
  </si>
  <si>
    <t>NLI-00230</t>
  </si>
  <si>
    <t>исландский келп, 41 мг, 250 таблеток</t>
  </si>
  <si>
    <t>VPB-81400</t>
  </si>
  <si>
    <t>глюкозамин с хондроитином и МСМ, 90 таблеток</t>
  </si>
  <si>
    <t>538115301</t>
  </si>
  <si>
    <t>PAR-77866</t>
  </si>
  <si>
    <t>Earth's Blend, комплекс метилированных витаминов группы B, 60 вегетарианских капсул</t>
  </si>
  <si>
    <t>CLF-07211</t>
  </si>
  <si>
    <t>Жевательная ацерола, комплекс витаминов C, ягоды, 500 мг, 180 вафель</t>
  </si>
  <si>
    <t>SOR-62754</t>
  </si>
  <si>
    <t>монолаурин, 500 мг, 60 вегетарианских капсул</t>
  </si>
  <si>
    <t>538178009</t>
  </si>
  <si>
    <t>722500491160</t>
  </si>
  <si>
    <t>720000745619</t>
  </si>
  <si>
    <t>SWV-02720</t>
  </si>
  <si>
    <t>Диосмин и гесперидин, 60 капсул</t>
  </si>
  <si>
    <t>BLB-01561</t>
  </si>
  <si>
    <t>100 % натуральный изолят сывороточного белка, с натуральным оригинальным вкусом, 992 г (2,2 фунта)</t>
  </si>
  <si>
    <t>SOR-68520</t>
  </si>
  <si>
    <t>Метил B12, метилфолат, натуральная вишня, 60 пастилок</t>
  </si>
  <si>
    <t>FOA-66113</t>
  </si>
  <si>
    <t>бета-аланин, 750 мг, 120 растительных капсул</t>
  </si>
  <si>
    <t>974455959</t>
  </si>
  <si>
    <t>Earth's Blend, магний, 90 вегетарианских капсул</t>
  </si>
  <si>
    <t>THR-54003</t>
  </si>
  <si>
    <t>Glutathione-SR, 60 капсул</t>
  </si>
  <si>
    <t>538289383</t>
  </si>
  <si>
    <t>722500494773</t>
  </si>
  <si>
    <t>720000749692</t>
  </si>
  <si>
    <t>VEM-00003</t>
  </si>
  <si>
    <t>Vital Earth Minerals</t>
  </si>
  <si>
    <t>Смесь фульвовых и гуминовых минералов, 32 жидкие унции (946 мл)</t>
  </si>
  <si>
    <t>HEC-50936</t>
  </si>
  <si>
    <t>Herbs Etc.</t>
  </si>
  <si>
    <t>тоник для почек, 60 мягких таблеток</t>
  </si>
  <si>
    <t>JRW-56001</t>
  </si>
  <si>
    <t>Neuro Optimizer, добавка для нормализации работы мозга, 120 капсул</t>
  </si>
  <si>
    <t>NOW-00078</t>
  </si>
  <si>
    <t>L-карнозин, 500 мг, 50 растительных капсул</t>
  </si>
  <si>
    <t>974444522</t>
  </si>
  <si>
    <t>720000749515</t>
  </si>
  <si>
    <t>CGN-02451</t>
  </si>
  <si>
    <t>коэнзим Q10 с Bioperine® и экстрактом чёрного перца, улучшенная биодоступность, 200 мг, 120 растительных капсул</t>
  </si>
  <si>
    <t>974527795</t>
  </si>
  <si>
    <t>720000750935</t>
  </si>
  <si>
    <t>JAGAT PHARMA</t>
  </si>
  <si>
    <t>Pure Co</t>
  </si>
  <si>
    <t>Scitec Nutrition</t>
  </si>
  <si>
    <t>(пусто)</t>
  </si>
  <si>
    <t>Количество по полю Наименование</t>
  </si>
  <si>
    <t>PCT-95250</t>
  </si>
  <si>
    <t>концентрат органической клюквы, 50 г (1,76 унции)</t>
  </si>
  <si>
    <t>гуперзин А, 250 мкг, 90 растительных капсул</t>
  </si>
  <si>
    <t>CGN-02168</t>
  </si>
  <si>
    <t>NOW-01233</t>
  </si>
  <si>
    <t>Kid Cal, 100 жевательных таблеток</t>
  </si>
  <si>
    <t>SMS-55694</t>
  </si>
  <si>
    <t>жевательные мультивитамины, для детей от 3 лет, ягодный вкус, 60 жевательных конфет</t>
  </si>
  <si>
    <t>альфа-липоевая кислота, 240 вегетарианских капсул (300 мг в 1 капсуле)</t>
  </si>
  <si>
    <t>JIG-00196</t>
  </si>
  <si>
    <t>Jigsaw Health</t>
  </si>
  <si>
    <t>жидкий жир печени аляскинской трески, натуральный лимонный вкус, 240 мл (8,12 жидк. унции)</t>
  </si>
  <si>
    <t>Витамин A, 3000 мкг (10 000 МЕ), 100 мягких таблеток</t>
  </si>
  <si>
    <t>538687140</t>
  </si>
  <si>
    <t>720000754823</t>
  </si>
  <si>
    <t>Enhanced Energy®, мультивитаминная добавка для подростков, 60 растительных таблеток</t>
  </si>
  <si>
    <t>LEX-23036</t>
  </si>
  <si>
    <t>средство для облегчения дискомфорта, с ягодным вкусом, 60 вегетарианских жевательных таблеток</t>
  </si>
  <si>
    <t>NRT-01281</t>
  </si>
  <si>
    <t>Optimal Solutions®, жевательные таблетки для волос, кожи и ногтей, со вкусом тропических цитрусовых, 140 жевательных таблеток</t>
  </si>
  <si>
    <t>NCS-57114</t>
  </si>
  <si>
    <t>лактоферрин, 300 мг, 60 капсул</t>
  </si>
  <si>
    <t>глицинат магния, 180 таблеток (100 мг в 1 таблетке)</t>
  </si>
  <si>
    <t>витамин D3, высокоактивный, 125 мкг (5000 МЕ), 120 мягких таблеток</t>
  </si>
  <si>
    <t>538872408</t>
  </si>
  <si>
    <t>720000760663</t>
  </si>
  <si>
    <t>NFS-04956</t>
  </si>
  <si>
    <t>WomenSense®, EstroSense®, 120 вегетарианских капсул</t>
  </si>
  <si>
    <t>мультиминералы в хелатной форме, 120 капсул</t>
  </si>
  <si>
    <t>538686708</t>
  </si>
  <si>
    <t>722500504671</t>
  </si>
  <si>
    <t>THR-78401</t>
  </si>
  <si>
    <t>Thyrocsin™, кофакторы для щитовидной железы, 120 капсул</t>
  </si>
  <si>
    <t>GOL-13419</t>
  </si>
  <si>
    <t>Herbals, липосомальный берберин, 60 растительных капсул</t>
  </si>
  <si>
    <t>NCS-67246</t>
  </si>
  <si>
    <t>Pantry, пищевая сода, 454 г (16,2 унции)</t>
  </si>
  <si>
    <t>Earth's Blend®, витамин D3, 90 вегетарианских капсул</t>
  </si>
  <si>
    <t>538765172</t>
  </si>
  <si>
    <t>720000756480</t>
  </si>
  <si>
    <t>NOW-00330</t>
  </si>
  <si>
    <t>MSH-50722</t>
  </si>
  <si>
    <t>Super Aqua Ultra Hyalon, очищающая пенка, 200 мл (6,76 жидк. унции)</t>
  </si>
  <si>
    <t>NWY-14162</t>
  </si>
  <si>
    <t>лист розмарина, 100 веганских капсул (350 мг в 1 капсуле)</t>
  </si>
  <si>
    <t>NOW-00825</t>
  </si>
  <si>
    <t>E-200, 134 мг (200 МЕ), 100 мягких таблеток</t>
  </si>
  <si>
    <t>RAL-21032</t>
  </si>
  <si>
    <t>Real Aloe</t>
  </si>
  <si>
    <t>сок алоэ вера, 960 мл (32 жидк. унции)</t>
  </si>
  <si>
    <t>NAP-29978</t>
  </si>
  <si>
    <t>Source of Life, Animal Parade, добавка для укрепления детского иммунитета, вкус натуральных тропических ягод, 90 животных</t>
  </si>
  <si>
    <t>Animal Parade, витамин D3, со вкусом черешни, 12,5 мкг (500 МЕ), 90 таблеток в форме животных</t>
  </si>
  <si>
    <t>кора муравьиного дерева, 500 мг, 250 растительных капсул</t>
  </si>
  <si>
    <t>PIF-15600</t>
  </si>
  <si>
    <t>Pure Indian Foods</t>
  </si>
  <si>
    <t>Luru™, кофе, набор пробных продуктов из цельных зерен, 2 упаковки по 113 г (4 унции)</t>
  </si>
  <si>
    <t>PAR-77892</t>
  </si>
  <si>
    <t>Earth's Blend, кверцетин, 90 вегетарианских капсул</t>
  </si>
  <si>
    <t>538909214</t>
  </si>
  <si>
    <t>720000761904</t>
  </si>
  <si>
    <t>539018105</t>
  </si>
  <si>
    <t>720000766767</t>
  </si>
  <si>
    <t>CLF-06416</t>
  </si>
  <si>
    <t>коэнзимный комплекс витаминов группы B, 240 веганских капсул</t>
  </si>
  <si>
    <t>NTL-00458</t>
  </si>
  <si>
    <t>539169314</t>
  </si>
  <si>
    <t>цитрат магния, 200 мг, 250 таблеток</t>
  </si>
  <si>
    <t>TMR-00890</t>
  </si>
  <si>
    <t>Trace</t>
  </si>
  <si>
    <t>Гималайский мумие, высокая эффективность, 1000 мг, 150 капсул (500 мг на капсулу)</t>
  </si>
  <si>
    <t>NOW-00495</t>
  </si>
  <si>
    <t>Methyl B-12, метилкобаламин, 1000 мкг, 100 таблеток для рассасывания</t>
  </si>
  <si>
    <t>CAL-30686</t>
  </si>
  <si>
    <t>Метилфолат, 400 мкг DFE, 90 таблеток</t>
  </si>
  <si>
    <t>539328620</t>
  </si>
  <si>
    <t>EMT-56445</t>
  </si>
  <si>
    <t>Tart Cherry, ультракапсулы, 90 веганских капсул (400 мг на капсулу)</t>
  </si>
  <si>
    <t>цинк в хелатной форме, 25 мг, 90 таблеток</t>
  </si>
  <si>
    <t>AAM-00101</t>
  </si>
  <si>
    <t>Neprinol AFD, усовершенствованное средство для защиты организма от вредного воздействия фибрина, 15 000 FU, 150 капсул</t>
  </si>
  <si>
    <t>539504266</t>
  </si>
  <si>
    <t>Flex, комплекс для здоровья суставов, 44 пакетика с таблетками</t>
  </si>
  <si>
    <t>LKN-01550</t>
  </si>
  <si>
    <t>витамин K2 (в виде менахинона-7), 120 растительных капсул (50 мкг в каждой капсуле)</t>
  </si>
  <si>
    <t>ATN-02633</t>
  </si>
  <si>
    <t>Ancient Nutrition</t>
  </si>
  <si>
    <t>Women's Vitality, 180 капсул</t>
  </si>
  <si>
    <t>539213511</t>
  </si>
  <si>
    <t>NFS-02619</t>
  </si>
  <si>
    <t>пирролохинолинхинон-10, 60 мягких таблеток</t>
  </si>
  <si>
    <t>539422844</t>
  </si>
  <si>
    <t>CGN-01167</t>
  </si>
  <si>
    <t>Sport, изолят сывороточного протеина, без добавок, 2,27 кг (5 фунтов)</t>
  </si>
  <si>
    <t>NOW-01447</t>
  </si>
  <si>
    <t>жидкая добавка с железом, 18 мг, 237 мл (8 жидк. унций)</t>
  </si>
  <si>
    <t>NCS-57411</t>
  </si>
  <si>
    <t>Витамин K2 MK-7, 100 мкг, 30 мягких таблеток</t>
  </si>
  <si>
    <t>CGN-02546</t>
  </si>
  <si>
    <t>Immune Complex 4, комплекс для укрепления иммунитета, 180 растительных капсул</t>
  </si>
  <si>
    <t>539120411</t>
  </si>
  <si>
    <t>722500515861</t>
  </si>
  <si>
    <t>720000774895</t>
  </si>
  <si>
    <t>722500525193</t>
  </si>
  <si>
    <t>720000770136</t>
  </si>
  <si>
    <t>722500521438</t>
  </si>
  <si>
    <t>722500514603</t>
  </si>
  <si>
    <t>CGN-01243</t>
  </si>
  <si>
    <t>L-теанин, с AlphaWave®, 100 мг, 60 растительных капсул</t>
  </si>
  <si>
    <t>M.V. Teen™, 180 капсул</t>
  </si>
  <si>
    <t>M.V. Teen™, 90 капсул</t>
  </si>
  <si>
    <t>PHV-16104</t>
  </si>
  <si>
    <t>Gaba Calm-Plex, комплекс с железом, 60 капсул</t>
  </si>
  <si>
    <t>MCL-03307</t>
  </si>
  <si>
    <t>органическая ашваганда, 180 капсул (400 мг в 1 капсуле)</t>
  </si>
  <si>
    <t>539936077</t>
  </si>
  <si>
    <t>720000793891</t>
  </si>
  <si>
    <t>WWB-00390</t>
  </si>
  <si>
    <t>Whole World Botanicals</t>
  </si>
  <si>
    <t>Роскошный чай из камнеломки, 4.4 унции (125 г)</t>
  </si>
  <si>
    <t>NFS-04513</t>
  </si>
  <si>
    <t>CranRich, суперсила, концентрат клюквы, 500 мг, 180 капсул</t>
  </si>
  <si>
    <t>539993007</t>
  </si>
  <si>
    <t>722500536535</t>
  </si>
  <si>
    <t>539566149</t>
  </si>
  <si>
    <t>722500530069</t>
  </si>
  <si>
    <t>мелатонин, медленное высвобождение, 3 мг, 100 таблеток</t>
  </si>
  <si>
    <t>_id</t>
  </si>
  <si>
    <t>Оксана Космос цветы</t>
  </si>
  <si>
    <t>Татьяна от Юли</t>
  </si>
  <si>
    <t>Наталия Невский</t>
  </si>
  <si>
    <t>Александр Грация</t>
  </si>
  <si>
    <t>Ирина Нахимова 176</t>
  </si>
  <si>
    <t>Валерия Бригантина 166</t>
  </si>
  <si>
    <t>ДанкНИК</t>
  </si>
  <si>
    <t>Мария Карпинского 69</t>
  </si>
  <si>
    <t>Виктория Цибулько</t>
  </si>
  <si>
    <t>Александр Мазда</t>
  </si>
  <si>
    <t>Надежда Витамины Садик</t>
  </si>
  <si>
    <t>Виталий Садик</t>
  </si>
  <si>
    <t>Светлана АТБ</t>
  </si>
  <si>
    <t>Олег анастезиолог</t>
  </si>
  <si>
    <t>Любовь Шевченко 289</t>
  </si>
  <si>
    <t>Татьяна Матросова</t>
  </si>
  <si>
    <t>Дата</t>
  </si>
  <si>
    <t>Время</t>
  </si>
  <si>
    <t>GPS</t>
  </si>
  <si>
    <t>Summ</t>
  </si>
  <si>
    <t>№ Заказов</t>
  </si>
  <si>
    <t>Мест</t>
  </si>
  <si>
    <t>Шаблон</t>
  </si>
  <si>
    <t>Юля Нептун</t>
  </si>
  <si>
    <t>ОТ Порт сити</t>
  </si>
  <si>
    <t>Оксана 17 цветы</t>
  </si>
  <si>
    <t>Елена 17 рынок</t>
  </si>
  <si>
    <t>Валера Фагот</t>
  </si>
  <si>
    <t>Наталья</t>
  </si>
  <si>
    <t>54, 58, 59</t>
  </si>
  <si>
    <t>Елена от Ани</t>
  </si>
  <si>
    <t>64, 75</t>
  </si>
  <si>
    <t>59, 69</t>
  </si>
  <si>
    <t>Лена Ларисына</t>
  </si>
  <si>
    <t>1, 68</t>
  </si>
  <si>
    <t>79, 86</t>
  </si>
  <si>
    <t>82, 88, 78</t>
  </si>
  <si>
    <t>Наталья Урицкого</t>
  </si>
  <si>
    <t>99, 110</t>
  </si>
  <si>
    <t>97, 105</t>
  </si>
  <si>
    <t>80, 17</t>
  </si>
  <si>
    <t>88, 109, 25</t>
  </si>
  <si>
    <t>97, 20</t>
  </si>
  <si>
    <t>79, 20</t>
  </si>
  <si>
    <t>114,  70</t>
  </si>
  <si>
    <t>25,  119</t>
  </si>
  <si>
    <t>122  124</t>
  </si>
  <si>
    <t>96  110</t>
  </si>
  <si>
    <t>43  121  128</t>
  </si>
  <si>
    <t>115  136</t>
  </si>
  <si>
    <t>129  139</t>
  </si>
  <si>
    <t>137  145</t>
  </si>
  <si>
    <t>Елена гайдар</t>
  </si>
  <si>
    <t>147  160</t>
  </si>
  <si>
    <t>145  152  162</t>
  </si>
  <si>
    <t>142  155</t>
  </si>
  <si>
    <t>158,  165</t>
  </si>
  <si>
    <t>160  164</t>
  </si>
  <si>
    <t>155  169</t>
  </si>
  <si>
    <t>Крендель с Нахимова</t>
  </si>
  <si>
    <t>147  160  172</t>
  </si>
  <si>
    <t>165  175</t>
  </si>
  <si>
    <t>162  177</t>
  </si>
  <si>
    <t>155  179</t>
  </si>
  <si>
    <t>177  178  181</t>
  </si>
  <si>
    <t>160  184</t>
  </si>
  <si>
    <t>Олеся магазин</t>
  </si>
  <si>
    <t>Денис</t>
  </si>
  <si>
    <t>Екатерина</t>
  </si>
  <si>
    <t>192  205  211</t>
  </si>
  <si>
    <t>189  215</t>
  </si>
  <si>
    <t>204  191</t>
  </si>
  <si>
    <t>Почта 37 отделение</t>
  </si>
  <si>
    <t>217  226</t>
  </si>
  <si>
    <t>211  222</t>
  </si>
  <si>
    <t>217  235</t>
  </si>
  <si>
    <t>191  234</t>
  </si>
  <si>
    <t>235  245</t>
  </si>
  <si>
    <t>233  244</t>
  </si>
  <si>
    <t>267  276</t>
  </si>
  <si>
    <t>273  295</t>
  </si>
  <si>
    <t>Ирина Станция крови</t>
  </si>
  <si>
    <t>Татьяна коллаген</t>
  </si>
  <si>
    <t>272  294</t>
  </si>
  <si>
    <t>293  304</t>
  </si>
  <si>
    <t>258  299</t>
  </si>
  <si>
    <t>295  307</t>
  </si>
  <si>
    <t>306  314  317</t>
  </si>
  <si>
    <t>314  317</t>
  </si>
  <si>
    <t>Витамины 1</t>
  </si>
  <si>
    <t>Витамины 2</t>
  </si>
  <si>
    <t>Витамины 3</t>
  </si>
  <si>
    <t>Витамины 4</t>
  </si>
  <si>
    <t>Светлана Ленина 45</t>
  </si>
  <si>
    <t>Витамины 5</t>
  </si>
  <si>
    <t>Витамины 6</t>
  </si>
  <si>
    <t>Витамины 8</t>
  </si>
  <si>
    <t>Витамины 7</t>
  </si>
  <si>
    <t>Витамины 9</t>
  </si>
  <si>
    <t xml:space="preserve">КИТ </t>
  </si>
  <si>
    <t>-</t>
  </si>
  <si>
    <t>Элла маг у дома</t>
  </si>
  <si>
    <t>Виктория ГБСМП</t>
  </si>
  <si>
    <t>Оксана заправка</t>
  </si>
  <si>
    <t>1000 мелочей Сергей водитель</t>
  </si>
  <si>
    <t>Посылка</t>
  </si>
  <si>
    <t>Блокпост Евгений</t>
  </si>
  <si>
    <t>BMW</t>
  </si>
  <si>
    <t>Игорь</t>
  </si>
  <si>
    <t>Лариса</t>
  </si>
  <si>
    <t>Кирилл Строителей</t>
  </si>
  <si>
    <t>Витамины 10</t>
  </si>
  <si>
    <t>Сын Надежды</t>
  </si>
  <si>
    <t>Людмила Наташина</t>
  </si>
  <si>
    <t>Наташа Кока кола</t>
  </si>
  <si>
    <t>Кока кола</t>
  </si>
  <si>
    <t>Юлиана Космос цветы</t>
  </si>
  <si>
    <t>Марина Хмельницкого 168</t>
  </si>
  <si>
    <t>Татьяна Бриг работа</t>
  </si>
  <si>
    <t>Почтовое отделение</t>
  </si>
  <si>
    <t>Отправить посылку</t>
  </si>
  <si>
    <t>Писарева</t>
  </si>
  <si>
    <t>Любовь швея</t>
  </si>
  <si>
    <t>Виктория Солнечная</t>
  </si>
  <si>
    <t>WB0204</t>
  </si>
  <si>
    <t>065206575</t>
  </si>
  <si>
    <t>OZO0160</t>
  </si>
  <si>
    <t>OZO0162</t>
  </si>
  <si>
    <t>Water Out, жидкость для баланса, 100 растительных капсул</t>
  </si>
  <si>
    <t>LEX-01011</t>
  </si>
  <si>
    <t>мультивитамины для приема дважды в день, версия 2, 120 таблеток</t>
  </si>
  <si>
    <t>SOL-02551</t>
  </si>
  <si>
    <t>селен, бездрожжевой, 100 мкг, 100 таблеток</t>
  </si>
  <si>
    <t>DRB-00245</t>
  </si>
  <si>
    <t>Calcium Bone Maker®, комплекс с кальцием для здоровья костей, 180 капсул</t>
  </si>
  <si>
    <t>Omega 800, ультраконцентрированный рыбий жир с омега-3, в форме триглицеридов KD-Pur, 90 капсул из рыбьего желатина (1000 мг в 1 капсуле)</t>
  </si>
  <si>
    <t>WIF-00412</t>
  </si>
  <si>
    <t>Wiley's Finest</t>
  </si>
  <si>
    <t>Жир диких аляскинских рыб, Easy Swallow Minis, 180 мягких таблеток</t>
  </si>
  <si>
    <t>SMT-02678</t>
  </si>
  <si>
    <t>SheaMoisture</t>
  </si>
  <si>
    <t>успокаивающий и очищающий гель для душа, африканское черное мыло, 89 мл (3 жидк. унции)</t>
  </si>
  <si>
    <t>NOW-04603</t>
  </si>
  <si>
    <t>ашваганда, стандартизованный экстракт, 450 мг, 90 растительных капсул</t>
  </si>
  <si>
    <t>экстракт расторопши, 300 мг, 200 растительных капсул</t>
  </si>
  <si>
    <t>инозитол в капсулах, 500 мг, 100 растительных капсул</t>
  </si>
  <si>
    <t>NOW-00185</t>
  </si>
  <si>
    <t>NAC, 1000 мг, 120 таблеток</t>
  </si>
  <si>
    <t>Таурин, 1000 мг, 100 растительных капсул</t>
  </si>
  <si>
    <t>OsteoMove, средство для ухода за суставами, 120 таблеток</t>
  </si>
  <si>
    <t>540196022</t>
  </si>
  <si>
    <t>540306371</t>
  </si>
  <si>
    <t>720000802326</t>
  </si>
  <si>
    <t>720000811064</t>
  </si>
  <si>
    <t>PAR-77721</t>
  </si>
  <si>
    <t>гинкго, 120 мг, 120 вегетарианских капсул</t>
  </si>
  <si>
    <t>Children's DHA™, ДГК для детей от 1 года, с клубничным вкусом, 119 мл (4 жидк. унции)</t>
  </si>
  <si>
    <t>NAP-29980</t>
  </si>
  <si>
    <t>Animal Parade®, жевательные мультивитамины для детей, со вкусом вишни, винограда и апельсина, 90 таблеток в форме животных</t>
  </si>
  <si>
    <t>GABA с витамином B6, 500 мг, 100 растительных капсул</t>
  </si>
  <si>
    <t>BLB-00314</t>
  </si>
  <si>
    <t>витамин D3, 50 мкг (2000 МЕ), 90 растительных капсул</t>
  </si>
  <si>
    <t>540528658</t>
  </si>
  <si>
    <t>720000831595</t>
  </si>
  <si>
    <t>BLB-00376</t>
  </si>
  <si>
    <t>жидкий витамин D3 в каплях, с цитрусовыми, 50 мкг (2000 МЕ), 30 мл (1 жидк. унция)</t>
  </si>
  <si>
    <t>Immunity, аскорбат натрия, кристаллический порошок, 227 г (8 унций)</t>
  </si>
  <si>
    <t>C-1000, витамин C, 100 таблеток</t>
  </si>
  <si>
    <t>AGE-33312</t>
  </si>
  <si>
    <t>добавка для облегчения симптомов синдрома раздражённого кишечника, 60 капсул</t>
  </si>
  <si>
    <t>TEO-00757</t>
  </si>
  <si>
    <t>Healthy Gut™, мята, 222 г (7,83 унции)</t>
  </si>
  <si>
    <t>540856317</t>
  </si>
  <si>
    <t>720000837761</t>
  </si>
  <si>
    <t>CAL-14126</t>
  </si>
  <si>
    <t>цитрат кальция 1000, 180 таблеток (333 мг в 1 таблетке)</t>
  </si>
  <si>
    <t>NOW-03304</t>
  </si>
  <si>
    <t>Brain Elevate, поддержка здоровья мозга, 120 вегетарианских капсул</t>
  </si>
  <si>
    <t>NTA-26180</t>
  </si>
  <si>
    <t>жидкая добавка с жиром из печени норвежской трески, натуральный вкус лимона и лайма, 480 мл (16 жидк. унций)</t>
  </si>
  <si>
    <t>540989429</t>
  </si>
  <si>
    <t>722500547711</t>
  </si>
  <si>
    <t>OsteoMove®, средство для здоровья суставов, 240 таблеток</t>
  </si>
  <si>
    <t>витамины D3 и K2, 120 капсул VegCap</t>
  </si>
  <si>
    <t>PPV-02584</t>
  </si>
  <si>
    <t>iHerb Exclusive</t>
  </si>
  <si>
    <t>всё для спорта, бутылка-шейкер в праздничном наборе из 7 продуктов</t>
  </si>
  <si>
    <t>увлажняющий крем для тела с гиалуроновой кислотой, 454 г (16 унций)</t>
  </si>
  <si>
    <t>540926049</t>
  </si>
  <si>
    <t>720000841107</t>
  </si>
  <si>
    <t>NCS-67327</t>
  </si>
  <si>
    <t>Комплекс электролитов, 120 капсул</t>
  </si>
  <si>
    <t>CAL-74764</t>
  </si>
  <si>
    <t>Цитрат кальция D-3, 180 таблеток</t>
  </si>
  <si>
    <t>SOR-03407</t>
  </si>
  <si>
    <t>Черная бузина с самбуактином, 60 пастилок</t>
  </si>
  <si>
    <t>спрей для горла с экстрактом семян грейпфрута, цинком и ментолом, 118 мл (4 жидк. унции)</t>
  </si>
  <si>
    <t>NBC-01013</t>
  </si>
  <si>
    <t>экстракт косточек грейпфрута, высокая эффективность, 125 мг, 100 таблеток</t>
  </si>
  <si>
    <t>NBC-01031</t>
  </si>
  <si>
    <t>Dental Gel Plus, гель для зубов с отбеливающим эффектом, грушанка, 128 г (4,5 унции)</t>
  </si>
  <si>
    <t>QNL-00106</t>
  </si>
  <si>
    <t>Qunol</t>
  </si>
  <si>
    <t>Убихинол Mega CoQ10, 100 капсул</t>
  </si>
  <si>
    <t>MCL-01052</t>
  </si>
  <si>
    <t>D-манноза и экстракт клюквы, 60 капсул</t>
  </si>
  <si>
    <t>540451015</t>
  </si>
  <si>
    <t>720000831508</t>
  </si>
  <si>
    <t>жидкий йод плюс, с йодидом калия и йодом, с нейтральным вкусом, 59 мл (2 жидк. унции)</t>
  </si>
  <si>
    <t>NOR-01798</t>
  </si>
  <si>
    <t>Ultimate Omega Junior, омега для детей от 6 лет, со вкусом клубники, 90 мини-капсул (340 мг в 1 капсуле)</t>
  </si>
  <si>
    <t>CGN-01362</t>
  </si>
  <si>
    <t>органическая спирулина, 240 таблеток (500 мг в 1 таблетке)</t>
  </si>
  <si>
    <t>индол 3-карбинол, 200 мг, 60 растительных капсул</t>
  </si>
  <si>
    <t>Wellness Formula®, улучшенная поддержка иммунитета, 120 капсул</t>
  </si>
  <si>
    <t>540917987</t>
  </si>
  <si>
    <t>description</t>
  </si>
  <si>
    <t>68d297fb2c15702607657e53</t>
  </si>
  <si>
    <t>68d297fe2c15702607657edd</t>
  </si>
  <si>
    <t>68d297fe2c15702607657ee9</t>
  </si>
  <si>
    <t>68d297fe2c15702607657ef3</t>
  </si>
  <si>
    <t>68d297fe2c15702607657ef7</t>
  </si>
  <si>
    <t>68d297ff2c15702607657f09</t>
  </si>
  <si>
    <t>Духи</t>
  </si>
  <si>
    <t>68d297ff2c15702607657f11</t>
  </si>
  <si>
    <t>68d297ff2c15702607657f13</t>
  </si>
  <si>
    <t>68d297ff2c15702607657f17</t>
  </si>
  <si>
    <t>68d297ff2c15702607657f1b</t>
  </si>
  <si>
    <t>68d297ff2c15702607657f23</t>
  </si>
  <si>
    <t>68d297ff2c15702607657f25</t>
  </si>
  <si>
    <t>68d297ff2c15702607657f2b</t>
  </si>
  <si>
    <t>68d298002c15702607657f2d</t>
  </si>
  <si>
    <t>68d298002c15702607657f33</t>
  </si>
  <si>
    <t>68d298002c15702607657f35</t>
  </si>
  <si>
    <t>68d298002c15702607657f39</t>
  </si>
  <si>
    <t>68d298002c15702607657f3b</t>
  </si>
  <si>
    <t>68d298002c15702607657f41</t>
  </si>
  <si>
    <t>68d298002c15702607657f47</t>
  </si>
  <si>
    <t>68d298002c15702607657f51</t>
  </si>
  <si>
    <t>68d298002c15702607657f53</t>
  </si>
  <si>
    <t>68d298002c15702607657f5b</t>
  </si>
  <si>
    <t>68d298002c15702607657f5d</t>
  </si>
  <si>
    <t>Оксана 17 Цветы</t>
  </si>
  <si>
    <t>68d298012c15702607657f63</t>
  </si>
  <si>
    <t>68d298012c15702607657f65</t>
  </si>
  <si>
    <t>68d298012c15702607657f67</t>
  </si>
  <si>
    <t>68d298012c15702607657f73</t>
  </si>
  <si>
    <t>68d298012c15702607657f77</t>
  </si>
  <si>
    <t>Лидия Живописная</t>
  </si>
  <si>
    <t>68d298012c15702607657f7b</t>
  </si>
  <si>
    <t>68d298012c15702607657f83</t>
  </si>
  <si>
    <t>68d298012c15702607657f87</t>
  </si>
  <si>
    <t>68d298012c15702607657f89</t>
  </si>
  <si>
    <t>68d298012c15702607657f8b</t>
  </si>
  <si>
    <t>Наталья Дерматология</t>
  </si>
  <si>
    <t>68d298022c15702607657f91</t>
  </si>
  <si>
    <t>68d298022c15702607657f93</t>
  </si>
  <si>
    <t>68d298022c15702607657f99</t>
  </si>
  <si>
    <t>68d298022c15702607657f9b</t>
  </si>
  <si>
    <t>68d298022c15702607657f9f</t>
  </si>
  <si>
    <t>68d298022c15702607657fa1</t>
  </si>
  <si>
    <t>68d298022c15702607657fa3</t>
  </si>
  <si>
    <t>68d298022c15702607657fa5</t>
  </si>
  <si>
    <t>68d298022c15702607657fa7</t>
  </si>
  <si>
    <t>68d298022c15702607657fb7</t>
  </si>
  <si>
    <t>68d298022c15702607657fb9</t>
  </si>
  <si>
    <t>68d298032c15702607657fc5</t>
  </si>
  <si>
    <t>68d298032c15702607657fc7</t>
  </si>
  <si>
    <t>Елена сахарный диабет</t>
  </si>
  <si>
    <t>68d298032c15702607657fcf</t>
  </si>
  <si>
    <t>68d298032c15702607657fd1</t>
  </si>
  <si>
    <t>68d298032c15702607657fd3</t>
  </si>
  <si>
    <t>68d298032c15702607657fd7</t>
  </si>
  <si>
    <t>68d298032c15702607657fdf</t>
  </si>
  <si>
    <t>68d298032c15702607657fe1</t>
  </si>
  <si>
    <t>68d298032c15702607657fe3</t>
  </si>
  <si>
    <t>68d298032c15702607657feb</t>
  </si>
  <si>
    <t>Татьяна Куприна 13</t>
  </si>
  <si>
    <t>68d298032c15702607657ff1</t>
  </si>
  <si>
    <t>68d298042c15702607657ff3</t>
  </si>
  <si>
    <t>68d298042c15702607657ff5</t>
  </si>
  <si>
    <t>68d298042c15702607657ffb</t>
  </si>
  <si>
    <t>68d298042c15702607657ffd</t>
  </si>
  <si>
    <t>68d298042c15702607658007</t>
  </si>
  <si>
    <t>68d298042c1570260765800b</t>
  </si>
  <si>
    <t>68d298042c1570260765800d</t>
  </si>
  <si>
    <t>68d298042c15702607658015</t>
  </si>
  <si>
    <t>68d298042c15702607658017</t>
  </si>
  <si>
    <t>68d298042c15702607658019</t>
  </si>
  <si>
    <t>68d298042c1570260765801f</t>
  </si>
  <si>
    <t>68d298042c15702607658023</t>
  </si>
  <si>
    <t>68d298052c15702607658027</t>
  </si>
  <si>
    <t>68d298052c1570260765802b</t>
  </si>
  <si>
    <t>68d298052c1570260765802d</t>
  </si>
  <si>
    <t>68d298052c15702607658033</t>
  </si>
  <si>
    <t>68d298052c15702607658037</t>
  </si>
  <si>
    <t>68d298052c15702607658039</t>
  </si>
  <si>
    <t>68d298052c15702607658049</t>
  </si>
  <si>
    <t>68d298052c1570260765804b</t>
  </si>
  <si>
    <t>50 Лет СССР 16</t>
  </si>
  <si>
    <t>47.1106, 37.5233</t>
  </si>
  <si>
    <t>68d298052c1570260765804d</t>
  </si>
  <si>
    <t>68d298052c1570260765804f</t>
  </si>
  <si>
    <t>68d298052c15702607658051</t>
  </si>
  <si>
    <t>68d298062c15702607658057</t>
  </si>
  <si>
    <t>68d298062c15702607658059</t>
  </si>
  <si>
    <t>Рынок Юмовила</t>
  </si>
  <si>
    <t>47.1143, 37.5157</t>
  </si>
  <si>
    <t>Александр Космос</t>
  </si>
  <si>
    <t>68e24e5bb38906efee33845c</t>
  </si>
  <si>
    <t>+7 949 704-99-29</t>
  </si>
  <si>
    <t>Б-р Шевченко 317 Грация</t>
  </si>
  <si>
    <t>47.117993, 37.516302</t>
  </si>
  <si>
    <t>Вероника стоматолог</t>
  </si>
  <si>
    <t>68e253ebb38906efee338504</t>
  </si>
  <si>
    <t>+7 949 561-96-56</t>
  </si>
  <si>
    <t>Пр. Ленина, 104 стоматология Лекарь</t>
  </si>
  <si>
    <t>47.098132, 37.522480</t>
  </si>
  <si>
    <t>Татьяна Виноград</t>
  </si>
  <si>
    <t>68e2568fb38906efee33855d</t>
  </si>
  <si>
    <t xml:space="preserve"> Шевченко, 309</t>
  </si>
  <si>
    <t>47.117771, 37.517671</t>
  </si>
  <si>
    <t>Олеся</t>
  </si>
  <si>
    <t>68e25c3bb38906efee33859d</t>
  </si>
  <si>
    <t>+79497421716</t>
  </si>
  <si>
    <t>Урицкого, 107, подъезд 2</t>
  </si>
  <si>
    <t>47.124663, 37.508768</t>
  </si>
  <si>
    <t>contactPerson</t>
  </si>
  <si>
    <t>email</t>
  </si>
  <si>
    <t>contactPersonPhone</t>
  </si>
  <si>
    <t>+79497174648</t>
  </si>
  <si>
    <t>Элла</t>
  </si>
  <si>
    <t>68e4a781d41346b9e28f39df</t>
  </si>
  <si>
    <t>+79497184656</t>
  </si>
  <si>
    <t>Пер. Аэродромный, 13</t>
  </si>
  <si>
    <t>47.105879, 37.523645</t>
  </si>
  <si>
    <t>68e4a9f8d41346b9e28f3a3a</t>
  </si>
  <si>
    <t>+79497318244</t>
  </si>
  <si>
    <t>АТБ</t>
  </si>
  <si>
    <t>47.133497, 37.566194</t>
  </si>
  <si>
    <t>Виталий Черемушки</t>
  </si>
  <si>
    <t>68e5ff5fd41346b9e28f3d04</t>
  </si>
  <si>
    <t>+79498311537</t>
  </si>
  <si>
    <t>Цибулько, 37</t>
  </si>
  <si>
    <t>Виктория</t>
  </si>
  <si>
    <t>+7 949 831-15-38</t>
  </si>
  <si>
    <t>68e649edd41346b9e28f3d38</t>
  </si>
  <si>
    <t>Берберин, встречались на Башне</t>
  </si>
  <si>
    <t>Ольга Электромех. Колледж</t>
  </si>
  <si>
    <t>68e7a7f684f8b0568963190a</t>
  </si>
  <si>
    <t>+79497093373</t>
  </si>
  <si>
    <t>Зелинского, 11</t>
  </si>
  <si>
    <t>47.089456, 37.516851</t>
  </si>
  <si>
    <t>Татьяна Константинова</t>
  </si>
  <si>
    <t>68e7ad8c84f8b05689631a5e</t>
  </si>
  <si>
    <t>рынок Калифорния</t>
  </si>
  <si>
    <t>47.105156, 37.539071</t>
  </si>
  <si>
    <t>Виктор</t>
  </si>
  <si>
    <t>Долг 3600</t>
  </si>
  <si>
    <t>OZO0165</t>
  </si>
  <si>
    <t>225190877</t>
  </si>
  <si>
    <t>GAI-14939</t>
  </si>
  <si>
    <t>Gaia Herbs</t>
  </si>
  <si>
    <t>Adrenal Health®, восстановление во время сна, 120 капсул Liquid Phyto-Caps®</t>
  </si>
  <si>
    <t>FPI-03162</t>
  </si>
  <si>
    <t>Mushrooms™, ежовик гребенчатый, 60 капсул (0,5 г в 1 капсуле)</t>
  </si>
  <si>
    <t>BNR-01383</t>
  </si>
  <si>
    <t>экстракт ростков брокколи, 120 капсул (500 мг в 1 капсуле)</t>
  </si>
  <si>
    <t>541385901</t>
  </si>
  <si>
    <t>CAR-02653</t>
  </si>
  <si>
    <t>Фолиевая кислота, 400 мкг, 300 таблеток</t>
  </si>
  <si>
    <t>NCS-67380</t>
  </si>
  <si>
    <t>D-глюкарат кальция, 500 мг, 120 капсул</t>
  </si>
  <si>
    <t>541090287</t>
  </si>
  <si>
    <t>NOW-05981</t>
  </si>
  <si>
    <t>цельная оболочка семян подорожника, 454 г (16 унций)</t>
  </si>
  <si>
    <t>MBY-42459</t>
  </si>
  <si>
    <t>Baby Lips Crystal, увлажняющий бальзам для губ, розовый кварц 140, 4,4 г</t>
  </si>
  <si>
    <t>CEN-22928</t>
  </si>
  <si>
    <t>смесь ацидофильных пробиотиков, 150 капсул</t>
  </si>
  <si>
    <t>NTA-16310</t>
  </si>
  <si>
    <t>кора муравьиного дерева, 90 вегетарианских капсул (500 мг в 1 капсуле)</t>
  </si>
  <si>
    <t>DRB-00613</t>
  </si>
  <si>
    <t>мультивитамины для женщин, 120 таблеток</t>
  </si>
  <si>
    <t>KYY-08912</t>
  </si>
  <si>
    <t>K-Y</t>
  </si>
  <si>
    <t>желе, классическое, 113 г (4 унции)</t>
  </si>
  <si>
    <t>541419262</t>
  </si>
  <si>
    <t>9497243297</t>
  </si>
  <si>
    <t xml:space="preserve">+7949713 8971 </t>
  </si>
  <si>
    <t>Софи</t>
  </si>
  <si>
    <t>68e802f184f8b05689631b30</t>
  </si>
  <si>
    <t>+79497066967</t>
  </si>
  <si>
    <t>пр. Строителей, 125 Обжора</t>
  </si>
  <si>
    <t>47.099672, 37.524508</t>
  </si>
  <si>
    <t>Михаил Икра Кофе</t>
  </si>
  <si>
    <t>68ebb3595c3f2e12447f6566</t>
  </si>
  <si>
    <t>+79497241385</t>
  </si>
  <si>
    <t>Евгения</t>
  </si>
  <si>
    <t>68ecf0d5a46150fa4106fcf4</t>
  </si>
  <si>
    <t>+7 (949) 857-32-40</t>
  </si>
  <si>
    <t>Металлургов 127 А</t>
  </si>
  <si>
    <t>47.111534, 37.558841</t>
  </si>
  <si>
    <t>68ed1a0aa46150fa4106fd24</t>
  </si>
  <si>
    <t>79497094719</t>
  </si>
  <si>
    <t>Апатова, 125</t>
  </si>
  <si>
    <t>Магазин чёрный</t>
  </si>
  <si>
    <t>Юлия рынок на Нептуне</t>
  </si>
  <si>
    <t>68ee73e3a46150fa4106ff04</t>
  </si>
  <si>
    <t>+79497441374</t>
  </si>
  <si>
    <t>Сеченова, 49</t>
  </si>
  <si>
    <t>47.133908, 37.562227</t>
  </si>
  <si>
    <t>Татьяна Индол</t>
  </si>
  <si>
    <t>68f618f8adc63884d7a59be1</t>
  </si>
  <si>
    <t>+79497200848</t>
  </si>
  <si>
    <t>Полина Цветы</t>
  </si>
  <si>
    <t>68f78107adc63884d7a59e06</t>
  </si>
  <si>
    <t>+79497113670</t>
  </si>
  <si>
    <t>Рынок Космос Цветы</t>
  </si>
  <si>
    <t>Алена Бахчик</t>
  </si>
  <si>
    <t>68f781c7adc63884d7a59e1c</t>
  </si>
  <si>
    <t>+79498485492</t>
  </si>
  <si>
    <t>Бахчиванджи</t>
  </si>
  <si>
    <t>Алёна Чайка</t>
  </si>
  <si>
    <t>68f783a8adc63884d7a59eb1</t>
  </si>
  <si>
    <t>+79497200824</t>
  </si>
  <si>
    <t>Татьяна от Елены б-р Шевченко</t>
  </si>
  <si>
    <t>68f7b259adc63884d7a59efd</t>
  </si>
  <si>
    <t>main</t>
  </si>
  <si>
    <t>customerId</t>
  </si>
  <si>
    <t>__v</t>
  </si>
  <si>
    <t>68ee7e5778a38b35c0162bbc</t>
  </si>
  <si>
    <t>true</t>
  </si>
  <si>
    <t>68ee7e5778a38b35c0162bbf</t>
  </si>
  <si>
    <t>68ee7e5778a38b35c0162bc1</t>
  </si>
  <si>
    <t>68ee7e5778a38b35c0162bc3</t>
  </si>
  <si>
    <t>68ee7e5778a38b35c0162bba</t>
  </si>
  <si>
    <t>68ee7e5778a38b35c0162bc5</t>
  </si>
  <si>
    <t>68ee7e5778a38b35c0162bc7</t>
  </si>
  <si>
    <t>68ee7e5778a38b35c0162bc9</t>
  </si>
  <si>
    <t>68ee7e5778a38b35c0162bcb</t>
  </si>
  <si>
    <t>68ee7e5778a38b35c0162bcd</t>
  </si>
  <si>
    <t>68ee7e5778a38b35c0162bcf</t>
  </si>
  <si>
    <t>68ee7e5778a38b35c0162bd1</t>
  </si>
  <si>
    <t>68ee7e5778a38b35c0162bd3</t>
  </si>
  <si>
    <t>68ee7e5778a38b35c0162bd7</t>
  </si>
  <si>
    <t>68ee7e5778a38b35c0162bdb</t>
  </si>
  <si>
    <t>68ee7e5778a38b35c0162bdd</t>
  </si>
  <si>
    <t>68ee7e5778a38b35c0162bd9</t>
  </si>
  <si>
    <t>68ee7e5778a38b35c0162be1</t>
  </si>
  <si>
    <t>68ee7e5778a38b35c0162bdf</t>
  </si>
  <si>
    <t>68ee7e5778a38b35c0162be5</t>
  </si>
  <si>
    <t>68ee7e5778a38b35c0162be7</t>
  </si>
  <si>
    <t>68ee7e5778a38b35c0162be9</t>
  </si>
  <si>
    <t>68ee7e5778a38b35c0162beb</t>
  </si>
  <si>
    <t>68ee7e5778a38b35c0162bed</t>
  </si>
  <si>
    <t>68ee7e5778a38b35c0162bf1</t>
  </si>
  <si>
    <t>68ee7e5778a38b35c0162bf3</t>
  </si>
  <si>
    <t>68ee7e5778a38b35c0162bf7</t>
  </si>
  <si>
    <t>68ee7e5778a38b35c0162bf5</t>
  </si>
  <si>
    <t>68ee7e5778a38b35c0162bf9</t>
  </si>
  <si>
    <t>68ee7e5778a38b35c0162bfb</t>
  </si>
  <si>
    <t>68ee7e5778a38b35c0162c01</t>
  </si>
  <si>
    <t>68ee7e5778a38b35c0162c03</t>
  </si>
  <si>
    <t>68ee7e5778a38b35c0162c05</t>
  </si>
  <si>
    <t>68ee7e5778a38b35c0162bfd</t>
  </si>
  <si>
    <t>68ee7e5778a38b35c0162c07</t>
  </si>
  <si>
    <t>68ee7e5778a38b35c0162c09</t>
  </si>
  <si>
    <t>68ee7e5778a38b35c0162c0b</t>
  </si>
  <si>
    <t>68ee7e5778a38b35c0162c0d</t>
  </si>
  <si>
    <t>68ee7e5778a38b35c0162c0f</t>
  </si>
  <si>
    <t>68ee7e5778a38b35c0162c11</t>
  </si>
  <si>
    <t>68ee7e5778a38b35c0162bb6</t>
  </si>
  <si>
    <t>68ee7e5778a38b35c0162c13</t>
  </si>
  <si>
    <t>68ee7e5778a38b35c0162c17</t>
  </si>
  <si>
    <t>68ee7e5778a38b35c0162c19</t>
  </si>
  <si>
    <t>68ee7e5778a38b35c0162c1b</t>
  </si>
  <si>
    <t>68ee7e5778a38b35c0162c1d</t>
  </si>
  <si>
    <t>68ee7e5778a38b35c0162c1f</t>
  </si>
  <si>
    <t>68ee7e5778a38b35c0162c22</t>
  </si>
  <si>
    <t>68ee7e5778a38b35c0162c24</t>
  </si>
  <si>
    <t>68ee7e5778a38b35c0162c26</t>
  </si>
  <si>
    <t>68ee7e5778a38b35c0162c2a</t>
  </si>
  <si>
    <t>68ee7e5778a38b35c0162c2c</t>
  </si>
  <si>
    <t>68ee7e5778a38b35c0162c28</t>
  </si>
  <si>
    <t>68ee7e5778a38b35c0162c2e</t>
  </si>
  <si>
    <t>68ee7e5778a38b35c0162c32</t>
  </si>
  <si>
    <t>68ee7e5778a38b35c0162c34</t>
  </si>
  <si>
    <t>68ee7e5778a38b35c0162c30</t>
  </si>
  <si>
    <t>68ee7e5778a38b35c0162c36</t>
  </si>
  <si>
    <t>68ee7e5778a38b35c0162c38</t>
  </si>
  <si>
    <t>68ee7e5778a38b35c0162c3a</t>
  </si>
  <si>
    <t>68ee7e5778a38b35c0162c3c</t>
  </si>
  <si>
    <t>68ee7e5778a38b35c0162c3e</t>
  </si>
  <si>
    <t>68ee7e5778a38b35c0162c42</t>
  </si>
  <si>
    <t>68ee7e5778a38b35c0162c40</t>
  </si>
  <si>
    <t>68ee7e5778a38b35c0162c46</t>
  </si>
  <si>
    <t>68ee7e5778a38b35c0162c44</t>
  </si>
  <si>
    <t>68ee7e5778a38b35c0162c48</t>
  </si>
  <si>
    <t>68ee7e5778a38b35c0162c4a</t>
  </si>
  <si>
    <t>68ee7e5778a38b35c0162c4c</t>
  </si>
  <si>
    <t>68ee7e5778a38b35c0162c4e</t>
  </si>
  <si>
    <t>68ee7e5778a38b35c0162c52</t>
  </si>
  <si>
    <t>68ee7e5778a38b35c0162c54</t>
  </si>
  <si>
    <t>68ee7e5778a38b35c0162c50</t>
  </si>
  <si>
    <t>68ee7e5778a38b35c0162c56</t>
  </si>
  <si>
    <t>68ee7e5778a38b35c0162c58</t>
  </si>
  <si>
    <t>68ee7e5778a38b35c0162c5c</t>
  </si>
  <si>
    <t>68ee7e5778a38b35c0162c5a</t>
  </si>
  <si>
    <t>68ee7e5778a38b35c0162c5e</t>
  </si>
  <si>
    <t>68ee7e5778a38b35c0162c60</t>
  </si>
  <si>
    <t>68ee7e5778a38b35c0162c64</t>
  </si>
  <si>
    <t>68ee7e5778a38b35c0162c66</t>
  </si>
  <si>
    <t>68ee7e5778a38b35c0162c68</t>
  </si>
  <si>
    <t>68ee7e5778a38b35c0162c6a</t>
  </si>
  <si>
    <t>68ee7e5778a38b35c0162c6e</t>
  </si>
  <si>
    <t>68ee7e5778a38b35c0162c6c</t>
  </si>
  <si>
    <t>68ee7e5778a38b35c0162bff</t>
  </si>
  <si>
    <t>68ee7e5778a38b35c0162c15</t>
  </si>
  <si>
    <t>68f473d1bfaac217810d635c</t>
  </si>
  <si>
    <t>false</t>
  </si>
  <si>
    <t>Шевченко, 309</t>
  </si>
  <si>
    <t>68ee7e5778a38b35c0162bb8</t>
  </si>
  <si>
    <t>68ee7e5778a38b35c0162be3</t>
  </si>
  <si>
    <t>68f48d1308b99d02255ce3e1</t>
  </si>
  <si>
    <t>Шевченко, 295</t>
  </si>
  <si>
    <t>47.116923, 37.522235</t>
  </si>
  <si>
    <t>Киоск Цветы</t>
  </si>
  <si>
    <t>68f618f9adc63884d7a59be3</t>
  </si>
  <si>
    <t>Энгельса, 53</t>
  </si>
  <si>
    <t>68ee7e5778a38b35c0162bef</t>
  </si>
  <si>
    <t>68f7801aadc63884d7a59d78</t>
  </si>
  <si>
    <t>Лавицкого, 7</t>
  </si>
  <si>
    <t>47.087776, 37.522944</t>
  </si>
  <si>
    <t>Школа №60</t>
  </si>
  <si>
    <t>68f78087adc63884d7a59dd9</t>
  </si>
  <si>
    <t>Строителей, 102</t>
  </si>
  <si>
    <t>47.100776, 37.522477</t>
  </si>
  <si>
    <t>дет. сад. №125</t>
  </si>
  <si>
    <t>68ee7e5778a38b35c0162bd5</t>
  </si>
  <si>
    <t>68f781c7adc63884d7a59e1e</t>
  </si>
  <si>
    <t>Строителей, 60</t>
  </si>
  <si>
    <t>47.091097, 37.521829</t>
  </si>
  <si>
    <t>Иваныч фастфуд</t>
  </si>
  <si>
    <t>68f78107adc63884d7a59e08</t>
  </si>
  <si>
    <t>47.116917, 37.521872</t>
  </si>
  <si>
    <t>Цветы</t>
  </si>
  <si>
    <t>68f7b259adc63884d7a59eff</t>
  </si>
  <si>
    <t>Шевченко, 160</t>
  </si>
  <si>
    <t>47.112856, 37.540032</t>
  </si>
  <si>
    <t>68f783a8adc63884d7a59eb3</t>
  </si>
  <si>
    <t>Металлургов, 81а</t>
  </si>
  <si>
    <t>47.104947, 37.551863</t>
  </si>
  <si>
    <t>Надежда витамины</t>
  </si>
  <si>
    <t>Алена бахчик</t>
  </si>
  <si>
    <t>47.094114, 37.535889</t>
  </si>
  <si>
    <t>Светлана кулаки</t>
  </si>
  <si>
    <t>68f7bacbadc63884d7a5a13c</t>
  </si>
  <si>
    <t>68f8b8836d77f5c8a72f993e</t>
  </si>
  <si>
    <t>Доменная, 42</t>
  </si>
  <si>
    <t>47.137861, 37.592241</t>
  </si>
  <si>
    <t>Проходные</t>
  </si>
  <si>
    <t>68f8b8dc6d77f5c8a72f9990</t>
  </si>
  <si>
    <t>50 лет СССР, 48</t>
  </si>
  <si>
    <t>47.111025, 37.512829</t>
  </si>
  <si>
    <t>Больница. Отделение Эндоскопии</t>
  </si>
  <si>
    <t>68f8b99a6d77f5c8a72f99b3</t>
  </si>
  <si>
    <t>68f8b99a6d77f5c8a72f99b1</t>
  </si>
  <si>
    <t>Омск, Енисейская 1Д</t>
  </si>
  <si>
    <t>54.974153, 73.342727</t>
  </si>
  <si>
    <t>Отделение КИТ</t>
  </si>
  <si>
    <t>68f8b99a6d77f5c8a72f99b5</t>
  </si>
  <si>
    <t>644521, Омский район, село Троицкое, ул. Степная, 27</t>
  </si>
  <si>
    <t>54.884218, 73.309408</t>
  </si>
  <si>
    <t>68f8ba0d6d77f5c8a72f99d8</t>
  </si>
  <si>
    <t>68f8ba0d6d77f5c8a72f99d6</t>
  </si>
  <si>
    <t>47.099518, 37.549309</t>
  </si>
  <si>
    <t>Склад</t>
  </si>
  <si>
    <t>68f8bab16d77f5c8a72f99f2</t>
  </si>
  <si>
    <t>68f8bab16d77f5c8a72f99f0</t>
  </si>
  <si>
    <t>Мариуполь, пер. Целинный, 22</t>
  </si>
  <si>
    <t>47.102818, 37.662461</t>
  </si>
  <si>
    <t>68f8bab16d77f5c8a72f99f4</t>
  </si>
  <si>
    <t>Мариуполь, Ленина, 80</t>
  </si>
  <si>
    <t>47.097046, 37.536338</t>
  </si>
  <si>
    <t>68f8bc256d77f5c8a72f9a16</t>
  </si>
  <si>
    <t>68f8bc256d77f5c8a72f9a14</t>
  </si>
  <si>
    <t>Мариуполь, б. Шевченко, 295А</t>
  </si>
  <si>
    <t>47.116991, 37.521160</t>
  </si>
  <si>
    <t>Р. Космос, маг. Меланж</t>
  </si>
  <si>
    <t>68f8bd366d77f5c8a72f9a90</t>
  </si>
  <si>
    <t>68f8bd366d77f5c8a72f9a8e</t>
  </si>
  <si>
    <t>Мариуполь, Звенигородская, 91</t>
  </si>
  <si>
    <t>47.124859, 37.673933</t>
  </si>
  <si>
    <t>68f8bdd06d77f5c8a72f9aa8</t>
  </si>
  <si>
    <t>68f8bdd06d77f5c8a72f9aa6</t>
  </si>
  <si>
    <t>Мариуполь, 50 лет СССР, 46</t>
  </si>
  <si>
    <t>47.111853, 37.515308</t>
  </si>
  <si>
    <t>маг. Цветы</t>
  </si>
  <si>
    <t>68f8bdd06d77f5c8a72f9aaa</t>
  </si>
  <si>
    <t>47.116900, 37.521949</t>
  </si>
  <si>
    <t>accountManager</t>
  </si>
  <si>
    <t>createdAt</t>
  </si>
  <si>
    <t>updatedAt</t>
  </si>
  <si>
    <t>68d297f82c15702607657e22</t>
  </si>
  <si>
    <t>2025-10-05T07:51:16.285Z</t>
  </si>
  <si>
    <t>2025-10-13T13:03:52.574Z</t>
  </si>
  <si>
    <t>2025-10-14T14:20:24.188Z</t>
  </si>
  <si>
    <t>2025-10-05T07:56:45.863Z</t>
  </si>
  <si>
    <t>2025-10-21T12:45:07.559Z</t>
  </si>
  <si>
    <t>2025-10-22T10:57:46.655Z</t>
  </si>
  <si>
    <t>2025-10-05T08:04:36.584Z</t>
  </si>
  <si>
    <t>2025-10-22T10:55:32.942Z</t>
  </si>
  <si>
    <t>2025-10-05T08:04:11.563Z</t>
  </si>
  <si>
    <t>Наталья магазин (Удалить)</t>
  </si>
  <si>
    <t>2025-10-21T17:11:22.021Z</t>
  </si>
  <si>
    <t>Виктория БСМП</t>
  </si>
  <si>
    <t>2025-10-22T11:13:49.727Z</t>
  </si>
  <si>
    <t>2025-10-21T12:43:45.881Z</t>
  </si>
  <si>
    <t>2025-10-05T08:07:04.559Z</t>
  </si>
  <si>
    <t>2025-10-05T08:15:51.941Z</t>
  </si>
  <si>
    <t>2025-10-05T08:21:41.594Z</t>
  </si>
  <si>
    <t>2025-10-05T10:54:19.203Z</t>
  </si>
  <si>
    <t>2025-10-05T11:18:03.087Z</t>
  </si>
  <si>
    <t>2025-10-05T11:18:03.088Z</t>
  </si>
  <si>
    <t>2025-10-05T11:29:19.078Z</t>
  </si>
  <si>
    <t>2025-10-05T11:53:31.918Z</t>
  </si>
  <si>
    <t>2025-10-07T05:39:13.150Z</t>
  </si>
  <si>
    <t>2025-10-07T05:49:44.434Z</t>
  </si>
  <si>
    <t>2025-10-08T06:06:23.114Z</t>
  </si>
  <si>
    <t>2025-10-08T11:24:29.036Z</t>
  </si>
  <si>
    <t>2025-10-09T12:17:58.353Z</t>
  </si>
  <si>
    <t>2025-10-09T12:41:48.281Z</t>
  </si>
  <si>
    <t>2025-10-09T18:46:09.302Z</t>
  </si>
  <si>
    <t>2025-10-12T13:55:37.595Z</t>
  </si>
  <si>
    <t>2025-10-13T12:30:13.302Z</t>
  </si>
  <si>
    <t>2025-10-13T12:30:13.303Z</t>
  </si>
  <si>
    <t>2025-10-13T15:26:02.461Z</t>
  </si>
  <si>
    <t>2025-10-14T16:01:39.671Z</t>
  </si>
  <si>
    <t>2025-10-20T11:11:52.980Z</t>
  </si>
  <si>
    <t>2025-10-21T12:48:07.833Z</t>
  </si>
  <si>
    <t>2025-10-21T12:48:07.834Z</t>
  </si>
  <si>
    <t>2025-10-21T12:51:19.121Z</t>
  </si>
  <si>
    <t>2025-10-21T12:59:20.822Z</t>
  </si>
  <si>
    <t>2025-10-21T12:59:20.823Z</t>
  </si>
  <si>
    <t>2025-10-21T16:18:33.840Z</t>
  </si>
  <si>
    <t>2025-10-21T16:18:33.841Z</t>
  </si>
  <si>
    <t>Римма Омск</t>
  </si>
  <si>
    <t>+79088017768</t>
  </si>
  <si>
    <t>2025-10-22T11:01:46.430Z</t>
  </si>
  <si>
    <t>Валентина Кострова</t>
  </si>
  <si>
    <t>+79493008466</t>
  </si>
  <si>
    <t>2025-10-22T11:03:41.772Z</t>
  </si>
  <si>
    <t>Олег Алешин</t>
  </si>
  <si>
    <t>+79497149436</t>
  </si>
  <si>
    <t>2025-10-22T11:06:25.630Z</t>
  </si>
  <si>
    <t>Анестезиолог</t>
  </si>
  <si>
    <t>Антонина Космос</t>
  </si>
  <si>
    <t>+7949</t>
  </si>
  <si>
    <t>2025-10-22T11:12:37.496Z</t>
  </si>
  <si>
    <t>Светлана Звенигородская</t>
  </si>
  <si>
    <t>+79497237097</t>
  </si>
  <si>
    <t>2025-10-22T11:17:10.244Z</t>
  </si>
  <si>
    <t>Юлиана Афонина</t>
  </si>
  <si>
    <t>2025-10-22T11:19:44.830Z</t>
  </si>
  <si>
    <t>NOW-00122</t>
  </si>
  <si>
    <t>L-орнитин, 500 мг, 120 растительных капсул</t>
  </si>
  <si>
    <t>BLB-00665</t>
  </si>
  <si>
    <t>Медь в хелатной форме, 90 растительных капсул</t>
  </si>
  <si>
    <t>541605054</t>
  </si>
  <si>
    <t>OZA0516</t>
  </si>
  <si>
    <t>Протеин сывороточный 100% Whey Protein Professional соленая карамель 2350 гр.</t>
  </si>
  <si>
    <t>1480346061</t>
  </si>
  <si>
    <t>WB0205</t>
  </si>
  <si>
    <t>Beauty, добавка для поддержки в период менопаузы, с дудником гигантским (Angelica keiskei), цинанхумой (Cynanchum wilfordii), зопником (Phlomis umbrosa) и L-лейцином, 90 растительных капсул</t>
  </si>
  <si>
    <t>541724208</t>
  </si>
  <si>
    <t>541724412</t>
  </si>
  <si>
    <t>гинкго, 120 мг, 120 растительных капсул</t>
  </si>
  <si>
    <t>541886904</t>
  </si>
  <si>
    <t>NCS-67227</t>
  </si>
  <si>
    <t>корень лопуха, 500 мг, 120 капсул</t>
  </si>
  <si>
    <t>FOA-66103</t>
  </si>
  <si>
    <t>индол-3-карбинол, 200 мг, 60 вегетарианских капсул</t>
  </si>
  <si>
    <t>DRB-00136</t>
  </si>
  <si>
    <t>PepZin GI®, комплекс с цинк-L-карнозином, 120 растительных капсул</t>
  </si>
  <si>
    <t>541856656</t>
  </si>
  <si>
    <t>68fca01e0024359e23617284</t>
  </si>
  <si>
    <t>Виталий Тополиная, 12А</t>
  </si>
  <si>
    <t>+79494997775</t>
  </si>
  <si>
    <t>2025-10-25T10:02:06.347Z</t>
  </si>
  <si>
    <t>6901c6690024359e2361753a</t>
  </si>
  <si>
    <t>Светлана ГАИ</t>
  </si>
  <si>
    <t>+79497274199</t>
  </si>
  <si>
    <t>2025-10-29T07:46:49.492Z</t>
  </si>
  <si>
    <t>2025-10-29T07:46:49.493Z</t>
  </si>
  <si>
    <t>6904df630024359e23617ad7</t>
  </si>
  <si>
    <t>Виктория Бахчиванджи</t>
  </si>
  <si>
    <t>+79490371889</t>
  </si>
  <si>
    <t>2025-10-31T16:10:11.618Z</t>
  </si>
  <si>
    <t>68fca01e0024359e23617286</t>
  </si>
  <si>
    <t>Тополиная, 12А</t>
  </si>
  <si>
    <t>47.134337, 37.534047</t>
  </si>
  <si>
    <t>6901c6d40024359e2361754e</t>
  </si>
  <si>
    <t>б. Приморский, 9</t>
  </si>
  <si>
    <t>47.082438, 37.537185</t>
  </si>
  <si>
    <t>6904df630024359e23617ad9</t>
  </si>
  <si>
    <t>пр. Строителей, 60</t>
  </si>
  <si>
    <t>47.091120, 37.520662</t>
  </si>
  <si>
    <t>Снежнянская колбасная фабрика</t>
  </si>
  <si>
    <t>NAP-04431</t>
  </si>
  <si>
    <t>Bay Yes To Beans®, 60 капсул</t>
  </si>
  <si>
    <t>NCS-57350</t>
  </si>
  <si>
    <t>Хелат железа от Ferrochel®, 18 мг, 240 капсул</t>
  </si>
  <si>
    <t>NCS-67396</t>
  </si>
  <si>
    <t>Лютеолин, 100 мг, 120 капсул</t>
  </si>
  <si>
    <t>NCS-67923</t>
  </si>
  <si>
    <t>Гинкго билоба, 120 мг, 240 капсул</t>
  </si>
  <si>
    <t>Kids, черная бузина, улучшенная формула сиропа для укрепления иммунитета, для детей от 2 лет, 8360 мг, 230 мл (7,8 жидк. унции)</t>
  </si>
  <si>
    <t>Шейкер для коктейлей, набор из 7 предметов</t>
  </si>
  <si>
    <t>542267551</t>
  </si>
  <si>
    <t>WellBetX®, берберин, 120 вегетарианских капсул (500 мг в 1 капсуле)</t>
  </si>
  <si>
    <t>GLH-03271</t>
  </si>
  <si>
    <t>Global Healing</t>
  </si>
  <si>
    <t>улучшенное средство для снятия стресса, 120 капсул</t>
  </si>
  <si>
    <t>D-глюкарат кальция и BioPerine®, 90 капсул</t>
  </si>
  <si>
    <t>NAC с селеном, 100 капсул</t>
  </si>
  <si>
    <t>селен, 200 мкг, 180 растительных капсул</t>
  </si>
  <si>
    <t>МСМ, метил-сульфонил-метан, 1000 мг, 120 капсул в растительной оболочке</t>
  </si>
  <si>
    <t>LEX-21253</t>
  </si>
  <si>
    <t>Florassist®, пробиотик для пищеварения, с фаговой технологией, 30 вегетарианских капсул</t>
  </si>
  <si>
    <t>541936729</t>
  </si>
  <si>
    <t>542191860</t>
  </si>
  <si>
    <t>SOL-59205</t>
  </si>
  <si>
    <t>Цитрат магния, 120 таблеток</t>
  </si>
  <si>
    <t>541966264</t>
  </si>
  <si>
    <t>магний для повышенного усвоения, 240 таблеток (100 мг в 1 таблетке)</t>
  </si>
  <si>
    <t>542487551</t>
  </si>
  <si>
    <t>OsteoMove, средство для поддержки суставов, 120 таблеток</t>
  </si>
  <si>
    <t>наттокиназа, 2000 FU, 90 растительных капсул</t>
  </si>
  <si>
    <t>CLF-02481</t>
  </si>
  <si>
    <t>Target-Mins, комплекс с кальцием и магнием, 180 таблеток</t>
  </si>
  <si>
    <t>глицинат магния, высокая усвояемость, 240 капсул VegCap</t>
  </si>
  <si>
    <t>NOW-01416</t>
  </si>
  <si>
    <t>Берберин гидрохлорид, 500 мг, 90 растительных капсул</t>
  </si>
  <si>
    <t>542485232</t>
  </si>
  <si>
    <t>542709008</t>
  </si>
  <si>
    <t>Елена Строителей, 35</t>
  </si>
  <si>
    <t>2025-11-08T10:49:43.101Z</t>
  </si>
  <si>
    <t>2025-11-08T15:51:17.212Z</t>
  </si>
  <si>
    <t>6910db1e7ab5058720fad84a</t>
  </si>
  <si>
    <t>Светлана Драмтеатр</t>
  </si>
  <si>
    <t>2025-11-09T18:19:10.190Z</t>
  </si>
  <si>
    <t>+79490040746</t>
  </si>
  <si>
    <t>6914b18c7ab5058720fada79</t>
  </si>
  <si>
    <t>Маргарита Мангуш</t>
  </si>
  <si>
    <t>2025-11-12T16:10:52.019Z</t>
  </si>
  <si>
    <t>+79497398225</t>
  </si>
  <si>
    <t>6916cd907ab5058720fadb2f</t>
  </si>
  <si>
    <t>Светлана Ильинична Лиходед</t>
  </si>
  <si>
    <t>2025-11-14T06:34:56.074Z</t>
  </si>
  <si>
    <t>2025-11-14T06:34:56.075Z</t>
  </si>
  <si>
    <t>+7 949 710-40-83</t>
  </si>
  <si>
    <t>691847157ab5058720fadcc7</t>
  </si>
  <si>
    <t>Наталья Балабан</t>
  </si>
  <si>
    <t>2025-11-15T09:25:41.083Z</t>
  </si>
  <si>
    <t>Муж</t>
  </si>
  <si>
    <t>+79497176052</t>
  </si>
  <si>
    <t>691885527ab5058720fadd0d</t>
  </si>
  <si>
    <t>Ольга Лавицкого, 17</t>
  </si>
  <si>
    <t>2025-11-15T13:51:14.587Z</t>
  </si>
  <si>
    <t>+79497320091</t>
  </si>
  <si>
    <t>691c38ab7ab5058720fadf5a</t>
  </si>
  <si>
    <t>Анна Володарское шоссе</t>
  </si>
  <si>
    <t>2025-11-18T09:13:15.507Z</t>
  </si>
  <si>
    <t>2025-11-18T09:13:15.508Z</t>
  </si>
  <si>
    <t>+7 949 437 30 37</t>
  </si>
  <si>
    <t>691c42717ab5058720fadfc1</t>
  </si>
  <si>
    <t>Виктория Башня/Энгельса</t>
  </si>
  <si>
    <t>2025-11-18T09:54:57.525Z</t>
  </si>
  <si>
    <t>+79497220585</t>
  </si>
  <si>
    <t>691ef8c07ab5058720faea1f</t>
  </si>
  <si>
    <t>Надежда Sumbucol</t>
  </si>
  <si>
    <t>2025-11-20T11:17:20.464Z</t>
  </si>
  <si>
    <t>+79497068957</t>
  </si>
  <si>
    <t>690f206f0024359e23618449</t>
  </si>
  <si>
    <t>Строителей, 35</t>
  </si>
  <si>
    <t>47.084475, 37.516449</t>
  </si>
  <si>
    <t>690f670a7ab5058720fad5fa</t>
  </si>
  <si>
    <t>Писарева, 28</t>
  </si>
  <si>
    <t>47.106578, 37.547899</t>
  </si>
  <si>
    <t>691043487ab5058720fad6a0</t>
  </si>
  <si>
    <t>Металлургов, 211, Рынок</t>
  </si>
  <si>
    <t>47.130100, 37.566450</t>
  </si>
  <si>
    <t>6910db1e7ab5058720fad84c</t>
  </si>
  <si>
    <t>Драмтеатр</t>
  </si>
  <si>
    <t>47.096310, 37.547860</t>
  </si>
  <si>
    <t>6916cd907ab5058720fadb31</t>
  </si>
  <si>
    <t>47.107026, 37.547586</t>
  </si>
  <si>
    <t>691847157ab5058720fadcc9</t>
  </si>
  <si>
    <t>Митрополитская, 51</t>
  </si>
  <si>
    <t>47.100674, 37.548795</t>
  </si>
  <si>
    <t>691885527ab5058720fadd0f</t>
  </si>
  <si>
    <t>Лавицкого, 17, подъезд 2, кв. 56, этаж 5</t>
  </si>
  <si>
    <t>47.089911, 37.518821</t>
  </si>
  <si>
    <t>691c38ab7ab5058720fadf5c</t>
  </si>
  <si>
    <t>Володарское шоссе, 8</t>
  </si>
  <si>
    <t>47.119153, 37.505877</t>
  </si>
  <si>
    <t>М. Базар, склады</t>
  </si>
  <si>
    <t>691c42717ab5058720fadfc3</t>
  </si>
  <si>
    <t>Энгельса, 36</t>
  </si>
  <si>
    <t>47.097705, 37.547111</t>
  </si>
  <si>
    <t>691ef910fcbe9ecfd25ad4ec</t>
  </si>
  <si>
    <t>пер. Звенигородский, 21/32</t>
  </si>
  <si>
    <t>47.120465, 37.670966</t>
  </si>
  <si>
    <t>ЗК000194</t>
  </si>
  <si>
    <t>ЗК000146</t>
  </si>
  <si>
    <t>ЗК000161</t>
  </si>
  <si>
    <t>ЗК000195</t>
  </si>
  <si>
    <t>ЗК000162</t>
  </si>
  <si>
    <t>ЗК000151</t>
  </si>
  <si>
    <t>ЗК000148</t>
  </si>
  <si>
    <t>ЗК000199</t>
  </si>
  <si>
    <t>MCL-03069</t>
  </si>
  <si>
    <t>улучшенная добавка с магнием, 270 капсул</t>
  </si>
  <si>
    <t>FPI-03163</t>
  </si>
  <si>
    <t>Mushrooms™, ежовик гребенчатый, 120 капсул (0,5 г в 1 капсуле)</t>
  </si>
  <si>
    <t>542932401</t>
  </si>
  <si>
    <t>Farmstay</t>
  </si>
  <si>
    <t>Коллаген и гиалуроновая кислота, сыворотка в ампуле с эффектом «Все в одном», 8,45 жидких унций (250 мл)</t>
  </si>
  <si>
    <t>инозитол в капсулах, 500 мг, 100 растительных капсул</t>
  </si>
  <si>
    <t>SPN-02501</t>
  </si>
  <si>
    <t>добавка для поддержки в период менопаузы, с фолатом, экстрактом красного клевера, витамином B12 и экстрактом ростков сои, 56 вегетарианских капсул</t>
  </si>
  <si>
    <t>AGE-60921</t>
  </si>
  <si>
    <t>липосомальный никотинамид рибозид+, 60 растительных капсул</t>
  </si>
  <si>
    <t>SMF-64100</t>
  </si>
  <si>
    <t>Kids Gummy, Multi-Vitamin, Ages 3+, Smurf Berry, 100 Gummies</t>
  </si>
  <si>
    <t>542921986</t>
  </si>
  <si>
    <t>543059118</t>
  </si>
  <si>
    <t>LEX-17219</t>
  </si>
  <si>
    <t>оптимизированный триптофан плюс, 90 вегетарианских капсул</t>
  </si>
  <si>
    <t>MCL-01799</t>
  </si>
  <si>
    <t>убихинол, 150 мг, 30 капсул</t>
  </si>
  <si>
    <t>MCL-21350</t>
  </si>
  <si>
    <t>L-теанин с ГАМК, 60 капсул</t>
  </si>
  <si>
    <t>NRT-00526</t>
  </si>
  <si>
    <t>Sleep 3, эффективное средство для улучшения качества сна, без наркотических веществ, 60 трехслойных таблеток</t>
  </si>
  <si>
    <t>MCL-01846</t>
  </si>
  <si>
    <t>MicroPQQ и берберин с улучшенной рецептурой, 30 капсул</t>
  </si>
  <si>
    <t>542930163</t>
  </si>
  <si>
    <t>OZO0174</t>
  </si>
  <si>
    <t>716136424</t>
  </si>
  <si>
    <t>000002200</t>
  </si>
  <si>
    <t>CGN-00963</t>
  </si>
  <si>
    <t>LactoBif® 5, пробиотики, 5 млрд КОЕ, 60 растительных капсул</t>
  </si>
  <si>
    <t>DRB-00316</t>
  </si>
  <si>
    <t>Best, L-тирозин, 500 мг, 120 вегетарианских капсул</t>
  </si>
  <si>
    <t>NOW-03153</t>
  </si>
  <si>
    <t>CoQ10, 60 мг, 60 растительных капсул</t>
  </si>
  <si>
    <t>SOR-59912</t>
  </si>
  <si>
    <t>Метил B-комплекс 50, 60 вегетарианских капсул</t>
  </si>
  <si>
    <t>Animal Parade, витамин D3, черешня, 12,5 мкг (500 МЕ), 90 таблеток в форме животных</t>
  </si>
  <si>
    <t>543135129</t>
  </si>
  <si>
    <t>OZA0517</t>
  </si>
  <si>
    <t>543368851</t>
  </si>
  <si>
    <t>NOW-00102</t>
  </si>
  <si>
    <t>L-лизин, 500 мг, 250 таблеток</t>
  </si>
  <si>
    <t>NOW-03803</t>
  </si>
  <si>
    <t>EVE, превосходные мультивитамины для женщин, 180 капсул</t>
  </si>
  <si>
    <t>CGN-00856</t>
  </si>
  <si>
    <t>комплекс гиалуроновой кислоты с L-пролином, экстрактом косточек французского винограда и коры французской приморской сосны, 60 растительных капсул</t>
  </si>
  <si>
    <t>AGE-60903</t>
  </si>
  <si>
    <t>Sport, Liposomal NAD+ ULTRA, липосомальный НАД, 90 растительных капсул</t>
  </si>
  <si>
    <t>543365028</t>
  </si>
  <si>
    <t>Ольга сестра</t>
  </si>
  <si>
    <t>+79497251168</t>
  </si>
  <si>
    <t>6922f1c27ab5058720faed8a</t>
  </si>
  <si>
    <t>Алина стоматология Лекарь</t>
  </si>
  <si>
    <t>2025-11-23T11:36:34.899Z</t>
  </si>
  <si>
    <t>2025-11-23T11:36:34.900Z</t>
  </si>
  <si>
    <t>+79497141954</t>
  </si>
  <si>
    <t>692943757ab5058720faf3b2</t>
  </si>
  <si>
    <t>Елена казначейство</t>
  </si>
  <si>
    <t>2025-11-28T06:38:45.428Z</t>
  </si>
  <si>
    <t>2025-11-28T06:38:45.429Z</t>
  </si>
  <si>
    <t>+79495149095</t>
  </si>
  <si>
    <t>692981467ab5058720faf45c</t>
  </si>
  <si>
    <t>Лев</t>
  </si>
  <si>
    <t>2025-11-28T11:02:30.544Z</t>
  </si>
  <si>
    <t>+79495251620</t>
  </si>
  <si>
    <t>69298f3210a385bba3c0485e</t>
  </si>
  <si>
    <t>Светлана от Надежды</t>
  </si>
  <si>
    <t>2025-11-28T12:01:54.951Z</t>
  </si>
  <si>
    <t>+79496094703</t>
  </si>
  <si>
    <t>692ab7e17ab5058720faf6eb</t>
  </si>
  <si>
    <t>Алёна Шевченко, 295</t>
  </si>
  <si>
    <t>2025-11-29T09:07:45.082Z</t>
  </si>
  <si>
    <t>2025-11-29T09:07:45.083Z</t>
  </si>
  <si>
    <t>+79498014741</t>
  </si>
  <si>
    <t>692dcde67ab5058720faf9aa</t>
  </si>
  <si>
    <t>Конечный потребитель</t>
  </si>
  <si>
    <t>2025-12-01T17:18:30.259Z</t>
  </si>
  <si>
    <t>2025-12-01T17:18:30.260Z</t>
  </si>
  <si>
    <t>6922f1c27ab5058720faed8c</t>
  </si>
  <si>
    <t>Ленина, 104</t>
  </si>
  <si>
    <t>47.098383, 37.522532</t>
  </si>
  <si>
    <t>Стоматология Лекарь</t>
  </si>
  <si>
    <t>692943757ab5058720faf3b4</t>
  </si>
  <si>
    <t>Казанцева 22а</t>
  </si>
  <si>
    <t>47.098525, 37.538948</t>
  </si>
  <si>
    <t>Казначейство</t>
  </si>
  <si>
    <t>692981467ab5058720faf45e</t>
  </si>
  <si>
    <t>Металлургов, 89</t>
  </si>
  <si>
    <t>47.100559, 37.546649</t>
  </si>
  <si>
    <t>69298f3310a385bba3c04860</t>
  </si>
  <si>
    <t>9-й Авиадивизии, 10, подъезд, 2</t>
  </si>
  <si>
    <t>47.119790, 37.518888</t>
  </si>
  <si>
    <t>692ab7e17ab5058720faf6ed</t>
  </si>
  <si>
    <t>Шевченко, 295, подъезд 3</t>
  </si>
  <si>
    <t>47.117985, 37.521758</t>
  </si>
  <si>
    <t>6932e810e0056d8926405bd9</t>
  </si>
  <si>
    <t>Лавицкого, 16, 16</t>
  </si>
  <si>
    <t>47.087079, 37.519275</t>
  </si>
  <si>
    <t>адрес сестры</t>
  </si>
  <si>
    <t>OZO0175</t>
  </si>
  <si>
    <t>NCS-67866</t>
  </si>
  <si>
    <t>Монолаурин, 240 капсул (500 мг на капсулу)</t>
  </si>
  <si>
    <t>CLF-06419</t>
  </si>
  <si>
    <t>Комплекс коэнзимов группы B, 120 веганских капсул</t>
  </si>
  <si>
    <t>SMS-55697</t>
  </si>
  <si>
    <t>жевательный пробиотик для пищеварения, для детей от 3 лет, ягодный вкус, 40 жевательных конфет</t>
  </si>
  <si>
    <t>CGN-01130</t>
  </si>
  <si>
    <t>L-цистеин, AjiPure®, 500 мг, 60 растительных капсул</t>
  </si>
  <si>
    <t>543575627</t>
  </si>
  <si>
    <t>CDL-10500</t>
  </si>
  <si>
    <t>чистый жир печени арктической трески,со вкусом натуральной клубники, 237 мл (8 жидк. унций)</t>
  </si>
  <si>
    <t>NAP-03770</t>
  </si>
  <si>
    <t>Hema-Plex®, железо, 30 таблеток медленного высвобождения</t>
  </si>
  <si>
    <t>NOW-03086</t>
  </si>
  <si>
    <t>пептиды коллагена в виде порошка, 227 г (8 унций)</t>
  </si>
  <si>
    <t>LEX-17512</t>
  </si>
  <si>
    <t>витамин D3, 25 мкг (1000 МЕ), 250 капсул</t>
  </si>
  <si>
    <t>SWV-02678</t>
  </si>
  <si>
    <t>комплекс незаменимых аминокислот, 60 веганских капсул</t>
  </si>
  <si>
    <t>NOW-00837</t>
  </si>
  <si>
    <t>E-400, 268 мг (400 МЕ), 100 мягких таблеток</t>
  </si>
  <si>
    <t>Beauty, добавка для поддержки во время менопаузы с дудником гигантским, цинанхумом, зопником и L-лейцином, 90 растительных капсул</t>
  </si>
  <si>
    <t>543575869</t>
  </si>
  <si>
    <t>SOR-04802</t>
  </si>
  <si>
    <t>Смесь ферментов Super Digestaway для поддержки пищеварения, 180 растительных капсул</t>
  </si>
  <si>
    <t>поликозанол с коэнзимом Q10, 10 мг, 120 таблеток</t>
  </si>
  <si>
    <t>NAT-78999</t>
  </si>
  <si>
    <t>Ageless Foundation Laboratories</t>
  </si>
  <si>
    <t>NAD + Boost`` 90 растительных капсул</t>
  </si>
  <si>
    <t>543968730</t>
  </si>
  <si>
    <t>NOW-02926</t>
  </si>
  <si>
    <t>Probiotic-10, 25 млрд, 50 вегетарианских капсул</t>
  </si>
  <si>
    <t>543967425</t>
  </si>
  <si>
    <t>OZO0181</t>
  </si>
  <si>
    <t>OZO0182</t>
  </si>
  <si>
    <t>OZO0185</t>
  </si>
  <si>
    <t>000002982</t>
  </si>
  <si>
    <t>DRB-00277</t>
  </si>
  <si>
    <t>альфа-липоевая кислота 300, 300 мг, 180 растительных капсул</t>
  </si>
  <si>
    <t>лизинат магния и глицинат с высокой степенью усвоения, хелатная форма, Albion® TRAACS®, 240 таблеток (100 мг в 1 таблетке)</t>
  </si>
  <si>
    <t>OCB-44903</t>
  </si>
  <si>
    <t>OceanBlue</t>
  </si>
  <si>
    <t>Professional, омега-3 2100®, высокоэффективный продукт, апельсин, 120 капсул (1050 мг в 1 капсуле)</t>
  </si>
  <si>
    <t>544176069</t>
  </si>
  <si>
    <t>куркумин из куркумы ультрапремиального качества с BioPerine®, 90 растительных капсул</t>
  </si>
  <si>
    <t>хелатные мультиминералы, 120 капсуловидных таблеток</t>
  </si>
  <si>
    <t>липосомальный глутатион, 60 растительных капсул (500 мг в 1 капсуле)</t>
  </si>
  <si>
    <t>NCS-57519</t>
  </si>
  <si>
    <t>Комплекс пробиотиков,&gt; 40 млрд КОЕ, 60 капсул</t>
  </si>
  <si>
    <t>Water Out™, 100 растительных капсул</t>
  </si>
  <si>
    <t>544072472</t>
  </si>
  <si>
    <t>Defender 4, с витаминами C, D, цинком и селеном, 180 растительных капсул</t>
  </si>
  <si>
    <t>высокоактивный витамин D3, 125 мкг (5000 МЕ), 120 капсул</t>
  </si>
  <si>
    <t>CGN-01898</t>
  </si>
  <si>
    <t>L-глутатион (восстановленный), 500 мг, 120 растительных капсул</t>
  </si>
  <si>
    <t>544160245</t>
  </si>
  <si>
    <t>544223631</t>
  </si>
  <si>
    <t>SOL-01121</t>
  </si>
  <si>
    <t>комплекс витаминов группы B «50», 100 растительных капсул</t>
  </si>
  <si>
    <t>SOL-03501</t>
  </si>
  <si>
    <t>витамин E, натурального происхождения, 100 капсул</t>
  </si>
  <si>
    <t>SOL-00680</t>
  </si>
  <si>
    <t>хелатное железо, 100 таблеток (25 мг в 1 таблетке)</t>
  </si>
  <si>
    <t>SOL-01182</t>
  </si>
  <si>
    <t>Formula V, VM-75, комплексные витамины с хелатными минералами, 90 таблеток</t>
  </si>
  <si>
    <t>544252242</t>
  </si>
  <si>
    <t>719169362</t>
  </si>
  <si>
    <t>000091848</t>
  </si>
  <si>
    <t>2022 07</t>
  </si>
  <si>
    <t>2022 08</t>
  </si>
  <si>
    <t>2022 09</t>
  </si>
  <si>
    <t>2022 10</t>
  </si>
  <si>
    <t>2022 11</t>
  </si>
  <si>
    <t>2022 12</t>
  </si>
  <si>
    <t>2023 01</t>
  </si>
  <si>
    <t>2023 02</t>
  </si>
  <si>
    <t>2023 03</t>
  </si>
  <si>
    <t>2023 04</t>
  </si>
  <si>
    <t>2023 05</t>
  </si>
  <si>
    <t>2023 06</t>
  </si>
  <si>
    <t>2023 07</t>
  </si>
  <si>
    <t>2023 08</t>
  </si>
  <si>
    <t>2023 09</t>
  </si>
  <si>
    <t>2023 10</t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</si>
  <si>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</si>
  <si>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</si>
  <si>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</si>
  <si>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</si>
  <si>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</si>
  <si>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</si>
  <si>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</si>
  <si>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</si>
  <si>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</si>
  <si>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</si>
  <si>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</si>
  <si>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</si>
  <si>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2024 11</t>
  </si>
  <si>
    <t>2024 12</t>
  </si>
  <si>
    <t>2025 01</t>
  </si>
  <si>
    <t>2025 02</t>
  </si>
  <si>
    <t>2025 03</t>
  </si>
  <si>
    <t>2025 04</t>
  </si>
  <si>
    <t>2025 05</t>
  </si>
  <si>
    <t>2025 06</t>
  </si>
  <si>
    <t>2025 07</t>
  </si>
  <si>
    <t>2025 08</t>
  </si>
  <si>
    <t>2025 09</t>
  </si>
  <si>
    <t>2025 10</t>
  </si>
  <si>
    <t>2025 11</t>
  </si>
  <si>
    <t>2025 12</t>
  </si>
  <si>
    <t>2026 01</t>
  </si>
  <si>
    <t>395837779</t>
  </si>
  <si>
    <t>360051948</t>
  </si>
  <si>
    <t>271446882</t>
  </si>
  <si>
    <t>w10450</t>
  </si>
  <si>
    <t>w11650</t>
  </si>
  <si>
    <t>m00850</t>
  </si>
  <si>
    <t>w17650</t>
  </si>
  <si>
    <t>w18050</t>
  </si>
  <si>
    <t>w179ng</t>
  </si>
  <si>
    <t>w11150</t>
  </si>
  <si>
    <t>w14250</t>
  </si>
  <si>
    <t>w15150</t>
  </si>
  <si>
    <t>w15950n</t>
  </si>
  <si>
    <t>w16850</t>
  </si>
  <si>
    <t>w16450</t>
  </si>
  <si>
    <t>w16250</t>
  </si>
  <si>
    <t>w16201</t>
  </si>
  <si>
    <t>w17250</t>
  </si>
  <si>
    <t>w17350</t>
  </si>
  <si>
    <t>4el04</t>
  </si>
  <si>
    <t>m03750</t>
  </si>
  <si>
    <t>m03850</t>
  </si>
  <si>
    <t>m03950</t>
  </si>
  <si>
    <t>w11850</t>
  </si>
  <si>
    <t>m01550</t>
  </si>
  <si>
    <t>w15050</t>
  </si>
  <si>
    <t>w04150</t>
  </si>
  <si>
    <t>m04350</t>
  </si>
  <si>
    <t>w18450</t>
  </si>
  <si>
    <t>w18550</t>
  </si>
  <si>
    <t>w18650</t>
  </si>
  <si>
    <t>w19050</t>
  </si>
  <si>
    <t>m04450</t>
  </si>
  <si>
    <t>w19250</t>
  </si>
  <si>
    <t>w18501</t>
  </si>
  <si>
    <t>w12450</t>
  </si>
  <si>
    <t>m02950</t>
  </si>
  <si>
    <t>w16650</t>
  </si>
  <si>
    <t>w18750</t>
  </si>
  <si>
    <t>w18701</t>
  </si>
  <si>
    <t>m00750</t>
  </si>
  <si>
    <t>w14450</t>
  </si>
  <si>
    <t>w15650</t>
  </si>
  <si>
    <t>4eln02</t>
  </si>
  <si>
    <t>4eln06</t>
  </si>
  <si>
    <t>m03550</t>
  </si>
  <si>
    <t>4eln02s</t>
  </si>
  <si>
    <t>ave51</t>
  </si>
  <si>
    <t>w10650</t>
  </si>
  <si>
    <t>w11450</t>
  </si>
  <si>
    <t>w17150</t>
  </si>
  <si>
    <t>w17750</t>
  </si>
  <si>
    <t>w17950</t>
  </si>
  <si>
    <t>w18350</t>
  </si>
  <si>
    <t>w18850</t>
  </si>
  <si>
    <t>w19150</t>
  </si>
  <si>
    <t>w19350</t>
  </si>
  <si>
    <t>w19450</t>
  </si>
  <si>
    <t>nc06s</t>
  </si>
  <si>
    <t>Духи для женщин w186</t>
  </si>
  <si>
    <t>Духи для женщин w190</t>
  </si>
  <si>
    <t>Духи для женщин w104</t>
  </si>
  <si>
    <t>Духи для женщин w116</t>
  </si>
  <si>
    <t>Духи для мужчин m008</t>
  </si>
  <si>
    <t>Духи для женщин w176</t>
  </si>
  <si>
    <t>Духи для женщин w180</t>
  </si>
  <si>
    <t>парфюмированный гель для душа w179</t>
  </si>
  <si>
    <t>Духи для женщин w111</t>
  </si>
  <si>
    <t>Духи для женщин w142</t>
  </si>
  <si>
    <t>Духи для женщин w151</t>
  </si>
  <si>
    <t>Духи для женщин w159n</t>
  </si>
  <si>
    <t>Духи для женщин w168</t>
  </si>
  <si>
    <t>Духи для женщин w164</t>
  </si>
  <si>
    <t>Духи для женщин w162</t>
  </si>
  <si>
    <t>Пробник w162</t>
  </si>
  <si>
    <t>Духи для женщин w172</t>
  </si>
  <si>
    <t>Духи для женщин w173</t>
  </si>
  <si>
    <t>Парфюм 4 ELEMENTS - Purple Air 100ml</t>
  </si>
  <si>
    <t>Духи для мужчин m037</t>
  </si>
  <si>
    <t>Духи для мужчин m038</t>
  </si>
  <si>
    <t>Духи для мужчин m039</t>
  </si>
  <si>
    <t>Духи для женщин w118</t>
  </si>
  <si>
    <t>Духи для мужчин m015</t>
  </si>
  <si>
    <t>Духи для женщин w150</t>
  </si>
  <si>
    <t>Парфюм мужской m041</t>
  </si>
  <si>
    <t>Духи для мужчин m043</t>
  </si>
  <si>
    <t>Духи для женщин w185</t>
  </si>
  <si>
    <t>Духи для женщин w117</t>
  </si>
  <si>
    <t>Духи для мужчин m044</t>
  </si>
  <si>
    <t>Духи для женщин w192</t>
  </si>
  <si>
    <t>Пробник w185</t>
  </si>
  <si>
    <t>Духи для женщин w124</t>
  </si>
  <si>
    <t>Духи для мужчин m029</t>
  </si>
  <si>
    <t>Духи для женщин w166</t>
  </si>
  <si>
    <t>Пробник w187</t>
  </si>
  <si>
    <t>Духи для мужчин m007</t>
  </si>
  <si>
    <t>Духи для женщин w144</t>
  </si>
  <si>
    <t>Духи для женщин w156</t>
  </si>
  <si>
    <t>Noir Парфюм - №2</t>
  </si>
  <si>
    <t>Noir Парфюм - № 6</t>
  </si>
  <si>
    <t>Духи для мужчин m035</t>
  </si>
  <si>
    <t>Пробник Noir Духи - №2</t>
  </si>
  <si>
    <t>Noir Духи - №6</t>
  </si>
  <si>
    <t>Aloe Vera Зубная паста</t>
  </si>
  <si>
    <t>Набор парфюмерный женский Chance Eau Tendre №182</t>
  </si>
  <si>
    <t>Духи женские по мотивам Eau de parfum II 50 мл, Парфюмерия для женщин</t>
  </si>
  <si>
    <t>Набор парфюмерный женский по мотивам J'adore №118</t>
  </si>
  <si>
    <t>Духи для женщин w106</t>
  </si>
  <si>
    <t>Духи для женщин w114</t>
  </si>
  <si>
    <t>Духи для женщин w171</t>
  </si>
  <si>
    <t>Духи для женщин w177</t>
  </si>
  <si>
    <t>Духи для женщин w179</t>
  </si>
  <si>
    <t>Духи для женщин w183</t>
  </si>
  <si>
    <t>Духи для женщин w188</t>
  </si>
  <si>
    <t>Духи для женщин w191</t>
  </si>
  <si>
    <t>Духи для женщин w193</t>
  </si>
  <si>
    <t>Пробник Niche Ultramarine Blue</t>
  </si>
  <si>
    <t>Остаток</t>
  </si>
  <si>
    <t>OZO0186</t>
  </si>
  <si>
    <t>NCA-38663</t>
  </si>
  <si>
    <t>красный ферментированный рис и коэнзим Q10, 240 капсул</t>
  </si>
  <si>
    <t>гинкго, 120 мг, 120 вегетарианских капсул</t>
  </si>
  <si>
    <t>комплекс ресвератрола с экстрактом виноградных косточек, экстрактом красного вина и транс-ресвератролом, 250 вегетарианских капсул</t>
  </si>
  <si>
    <t>FOA-66034</t>
  </si>
  <si>
    <t>гиалуроновая кислота, 200 мг, 60 вегетарианских капсул</t>
  </si>
  <si>
    <t>544472292</t>
  </si>
  <si>
    <t>WellBetX®, берберин, 60 вегетарианских капсул (500 мг в 1 капсуле)</t>
  </si>
  <si>
    <t>CGN-01366</t>
  </si>
  <si>
    <t>Superfoods, порошок из органической куркумы, 114 г (4 унции)</t>
  </si>
  <si>
    <t>MII-16734</t>
  </si>
  <si>
    <t>Micro Ingredients</t>
  </si>
  <si>
    <t>подсолнечный лецитин, 300 капсул</t>
  </si>
  <si>
    <t>PHT-94763</t>
  </si>
  <si>
    <t>Экстракт белой фасоли, 120 капсул (600 мг на капсулу)</t>
  </si>
  <si>
    <t>SOL-01016</t>
  </si>
  <si>
    <t>Kangavites, полноценный детский комплекс с витаминами и минералами, со вкусом ягод Bouncin', 120 жевательных таблеток</t>
  </si>
  <si>
    <t>544629534</t>
  </si>
  <si>
    <t>544846061</t>
  </si>
  <si>
    <t>SYN-00439</t>
  </si>
  <si>
    <t>Pure Synergy</t>
  </si>
  <si>
    <t>Immune Health™, 60 капсул</t>
  </si>
  <si>
    <t>TNQ-00738</t>
  </si>
  <si>
    <t>Toniiq</t>
  </si>
  <si>
    <t>Зверобой, 120 капсул (500 мг на капсулу)</t>
  </si>
  <si>
    <t>DFH-00286</t>
  </si>
  <si>
    <t>Designs For Health</t>
  </si>
  <si>
    <t>NeuroCalm ™, 60 вегетарианских капсул</t>
  </si>
  <si>
    <t>544629418</t>
  </si>
  <si>
    <t>NCS-57239</t>
  </si>
  <si>
    <t>Глицинат меди, 3 мг, 120 капсул</t>
  </si>
  <si>
    <t>545077665</t>
  </si>
  <si>
    <t>Total Cleanse™, для здоровья почек, 60 растительных капсул</t>
  </si>
  <si>
    <t>OPN-05227</t>
  </si>
  <si>
    <t>Opti-Men, 150 таблеток</t>
  </si>
  <si>
    <t>OPN-02452</t>
  </si>
  <si>
    <t>Opti-Women®, мультивитаминная добавка для активных женщин, 120 капсул</t>
  </si>
  <si>
    <t>545173129</t>
  </si>
  <si>
    <t>CranRich®, концентрат клюквы, суперсила, 500 мг, 90 капсул</t>
  </si>
  <si>
    <t>NCR-00364</t>
  </si>
  <si>
    <t>New Chapter</t>
  </si>
  <si>
    <t>One Daily Every Woman's Multivitamin™ 40+, мультивитамины для женщин старше 40 лет, 96 вегетарианских таблеток</t>
  </si>
  <si>
    <t>NOW-00892</t>
  </si>
  <si>
    <t>E-400 со смешанными токоферолами, 268 мг (400 МЕ), 100 мягких таблеток</t>
  </si>
  <si>
    <t>545062795</t>
  </si>
  <si>
    <t>1695189134</t>
  </si>
  <si>
    <t>4695003776</t>
  </si>
  <si>
    <t>Духи для женщин w196</t>
  </si>
  <si>
    <t>w19650</t>
  </si>
  <si>
    <t>Духи для женщин w201</t>
  </si>
  <si>
    <t>Духи для женщин w204</t>
  </si>
  <si>
    <t>w20150</t>
  </si>
  <si>
    <t>w20450</t>
  </si>
  <si>
    <t>SOR-00260</t>
  </si>
  <si>
    <t>Kidney Blend SP-6, 100 растительных капсул</t>
  </si>
  <si>
    <t>NOW-00157</t>
  </si>
  <si>
    <t>True Focus, 90 растительных капсул</t>
  </si>
  <si>
    <t>NOW-00470</t>
  </si>
  <si>
    <t>Холин и инозитол, 100 растительных капсул</t>
  </si>
  <si>
    <t>TML-52095</t>
  </si>
  <si>
    <t>Timeless Skin Care</t>
  </si>
  <si>
    <t>HA Matrixyl® 3000+, огурец в спрее, 60 мл (2 жидк. унции)</t>
  </si>
  <si>
    <t>FOA-01527</t>
  </si>
  <si>
    <t>йохимбин, 6 мг, 30 капсул</t>
  </si>
  <si>
    <t>JRW-30006</t>
  </si>
  <si>
    <t>веганский метилфолат, 400 мкг, 60 растительных капсул</t>
  </si>
  <si>
    <t>545354844</t>
  </si>
  <si>
    <t>WB0206</t>
  </si>
  <si>
    <t>WB0207</t>
  </si>
  <si>
    <t>OZO0208</t>
  </si>
  <si>
    <t>OZO0201</t>
  </si>
  <si>
    <t>OZO0202</t>
  </si>
  <si>
    <t>OZO0205</t>
  </si>
  <si>
    <t>Two-Per-Day Multivitamin, 120 Tablets</t>
  </si>
  <si>
    <t>Omega-3 Premium Fish Oil, 100 Fish Gelatin Softgels (1,100 mg per Softgel)</t>
  </si>
  <si>
    <t>Coenzyme B-Complex, 120 Vegan Capsules</t>
  </si>
  <si>
    <t>Marine Collagen Peptides Plus Vitamin C and Hyaluronic Acid, Lemon, 30 Packets, 0.19 oz (5.38 g) Each</t>
  </si>
  <si>
    <t>NAP-03762</t>
  </si>
  <si>
    <t>Hema-Plex®, Iron with Essential Nutrients for Healthy Red Blood Cells, 60 Slow-Release Tablets</t>
  </si>
  <si>
    <t>NAP-03764</t>
  </si>
  <si>
    <t>Hema-Plex®, 60 Slow Release Mini Tabs</t>
  </si>
  <si>
    <t>MAV-14754</t>
  </si>
  <si>
    <t>Collagen Premium Skin Cream, Pear, 4 oz (114 g)</t>
  </si>
  <si>
    <t>FDI-03624</t>
  </si>
  <si>
    <t>Blueberry Hydrating Cream, 0.35 oz (10 g)</t>
  </si>
  <si>
    <t>Inositol, 500 mg, 100 Veg Capsules</t>
  </si>
  <si>
    <t>Glycine, 100 Veg Capsules (1,000 mg per Capsule)</t>
  </si>
  <si>
    <t>545562715</t>
  </si>
  <si>
    <t>Glucosamine &amp; Chondroitin with MSM, 90 Capsules</t>
  </si>
  <si>
    <t>L-Lysine Monolaurin, 1:1 Ratio, 60 VegCaps</t>
  </si>
  <si>
    <t>Calcium Citrate 1000, 180 Tablets (333 mg per Tablet)</t>
  </si>
  <si>
    <t>SOL-30320</t>
  </si>
  <si>
    <t>Sleep &amp; Stress Support, 60 Vegetable Capsules</t>
  </si>
  <si>
    <t>B-Complex "50", 100 Vegetable Capsules</t>
  </si>
  <si>
    <t>NOW-05978</t>
  </si>
  <si>
    <t>Psyllium Husk Powder, 24 oz (680 g)</t>
  </si>
  <si>
    <t>Whole Psyllium Husks, 16 oz (454 g)</t>
  </si>
  <si>
    <t>545837026</t>
  </si>
  <si>
    <t>QNL-00176</t>
  </si>
  <si>
    <t>магний, 120 капсул (210 мг в 1 капсуле)</t>
  </si>
  <si>
    <t>M.V. Teen™, мультивитамины и минералы для подростков, 180 капсул</t>
  </si>
  <si>
    <t>инозитол, 500 мг, 100 растительных капсул</t>
  </si>
  <si>
    <t>SOR-08378</t>
  </si>
  <si>
    <t>Kids Focus, жевательные таблетки, из натурального винограда, 60 жевательных таблеток</t>
  </si>
  <si>
    <t>NCA-38611</t>
  </si>
  <si>
    <t>красный дрожжевой рис с коэнзимом Q10, 120 капсул</t>
  </si>
  <si>
    <t>готу кола, цельное растение, 180 веганских капсул (475 мг в 1 капсуле)</t>
  </si>
  <si>
    <t>545649791</t>
  </si>
  <si>
    <t>OZO0213</t>
  </si>
  <si>
    <t>OZO0209</t>
  </si>
  <si>
    <t>NOW-00358</t>
  </si>
  <si>
    <t>жевательный витамин D3, натуральный мятный вкус, 5000 МЕ, 120 жевательных таблеток</t>
  </si>
  <si>
    <t>MCL-01912</t>
  </si>
  <si>
    <t>Комплексные пробиотики для женщин, 70 млрд КОЕ, 30 капсул</t>
  </si>
  <si>
    <t>пробиотик с пребиотиком, 60 вегетарианских капсул</t>
  </si>
  <si>
    <t>красный клевер, 100 веганских капсул (400 мг в 1 капсуле)</t>
  </si>
  <si>
    <t>NCS-67405</t>
  </si>
  <si>
    <t>изофлавоны сои, 150 мг, 180 капсул</t>
  </si>
  <si>
    <t>MII-02364</t>
  </si>
  <si>
    <t>Liver+, улучшенная формула, 240 вегетарианских капсул</t>
  </si>
  <si>
    <t>Gold C®, витамин C класса USP, 1000 мг, 60 растительных капсул</t>
  </si>
  <si>
    <t>MII-16736</t>
  </si>
  <si>
    <t>комплекс пептидов коллагена нескольких типов, с биотином, витамином C и гиалуроновой кислотой, 240 капсул</t>
  </si>
  <si>
    <t>546121303</t>
  </si>
  <si>
    <t>NLF-18131</t>
  </si>
  <si>
    <t>NutraLife</t>
  </si>
  <si>
    <t>SAMe, 400 мг, 60 таблеток, покрытых кишечнорастворимой оболочкой</t>
  </si>
  <si>
    <t>JRW-01024</t>
  </si>
  <si>
    <t>веганский инозитол, 750 мг, 100 растительных капсул</t>
  </si>
  <si>
    <t>железо, 36 мг, 90 растительных капсул</t>
  </si>
  <si>
    <t>545921350</t>
  </si>
  <si>
    <t>Ultra-Mag™, комплекс магния,120 таблеток</t>
  </si>
  <si>
    <t>SNS-00033</t>
  </si>
  <si>
    <t>Ultra-MAG ™, 240 таблеток</t>
  </si>
  <si>
    <t>LEX-14591</t>
  </si>
  <si>
    <t>Магний в капсулах, 500 мг, 100 вегетарианских капсул</t>
  </si>
  <si>
    <t>545920418</t>
  </si>
  <si>
    <t>2026 02</t>
  </si>
  <si>
    <t>OZO0212</t>
  </si>
  <si>
    <t>глицинат лизинат магния с высокой степенью усвоения, хелатный, Albion® TRAACS®, 240 таблеток (100 мг в 1 таблетке)</t>
  </si>
  <si>
    <t>цитрат магния, 250 таблеток (200 мг в 1 таблетке)</t>
  </si>
  <si>
    <t>546479596</t>
  </si>
  <si>
    <t>куркума и черный перец, 90 веганских капсул</t>
  </si>
  <si>
    <t>CAL-51610</t>
  </si>
  <si>
    <t>комплекс аминокислот 1000, 1000 мг, 100 таблеток</t>
  </si>
  <si>
    <t>546742364</t>
  </si>
  <si>
    <t>экстракт расторопши, 300 мг, 100 растительных капсул</t>
  </si>
  <si>
    <t>добавка для здоровья простаты, клинически подтверждённая эффективность, 180 капсул</t>
  </si>
  <si>
    <t>SIO-26111</t>
  </si>
  <si>
    <t>SKIN1004</t>
  </si>
  <si>
    <t>Легкое очищающее масло из мадагаскарской центеллы, 200 мл (6,76 жидк. унц.)</t>
  </si>
  <si>
    <t>546390101</t>
  </si>
  <si>
    <t>NCS-67322</t>
  </si>
  <si>
    <t>Красный дрожжевой рис, 120 капсул (600 мг на капсулу)</t>
  </si>
  <si>
    <t>SOR-00448</t>
  </si>
  <si>
    <t>Красный дрожжевой рис, 600 мг, 120 вегетарианских капсул</t>
  </si>
  <si>
    <t>VMC-47137</t>
  </si>
  <si>
    <t>Лактоферрин, 250 мг, 60 растительных капсул</t>
  </si>
  <si>
    <t>QNL-00177</t>
  </si>
  <si>
    <t>убихнол, 100 мг, 120 капсул</t>
  </si>
  <si>
    <t>NOW-00670</t>
  </si>
  <si>
    <t>C-500 с шиповником, 100 таблеток</t>
  </si>
  <si>
    <t>546629917</t>
  </si>
  <si>
    <t>жевательная ацерола, комплекс с витамином C, ягодный вкус, 180 жевательных таблеток</t>
  </si>
  <si>
    <t>коэнзим Q10 с экстрактом чёрного перца Bioperine®, 200 мг, 360 растительных капсул</t>
  </si>
  <si>
    <t>комплекс с силимарином с экстрактом расторопши, а также одуванчиком, артишоком, имбирем и BioPerine®, 360 растительных капсул</t>
  </si>
  <si>
    <t>546265030</t>
  </si>
  <si>
    <t>2026 03</t>
  </si>
  <si>
    <t>OZO0221</t>
  </si>
  <si>
    <t>OZO0223</t>
  </si>
  <si>
    <t>OZO0224</t>
  </si>
  <si>
    <t>OZO0230</t>
  </si>
  <si>
    <t>OZO0232</t>
  </si>
  <si>
    <t>OZO0234</t>
  </si>
  <si>
    <t>OZO0236</t>
  </si>
  <si>
    <t>OZA0237</t>
  </si>
  <si>
    <t>NOW-00839</t>
  </si>
  <si>
    <t>натуральный витамин E-400, 268 мг, 250 капсул</t>
  </si>
  <si>
    <t>SOR-01660</t>
  </si>
  <si>
    <t>True Herbs, белая ива, 400 мг, 100 растительных капсул</t>
  </si>
  <si>
    <t>крем с коллагеном премиального качества, груша, 57 г (2 унции)</t>
  </si>
  <si>
    <t>MII-16792</t>
  </si>
  <si>
    <t>глицинат магния, 240 капсул (166 мг в 1 капсуле)</t>
  </si>
  <si>
    <t>FPI-30696</t>
  </si>
  <si>
    <t>Host Defense® Mushrooms™, ежовик гребенчатый, порошок грибного мицелия, 100 г (3,5 унции)</t>
  </si>
  <si>
    <t>547144195</t>
  </si>
  <si>
    <t>EGM-93026</t>
  </si>
  <si>
    <t>Egmont Honey</t>
  </si>
  <si>
    <t>Мед манука, необработанный и непастеризованный, UMF ™ 23+, 1050 MGO +, 250 г (8,8 унции)</t>
  </si>
  <si>
    <t>CGN-02272</t>
  </si>
  <si>
    <t>детская жевательная добавка для укрепления иммунитета с витаминами A, C, E и цинком, с натуральным вкусом тропических ягод, 90 вегетарианских таблеток</t>
  </si>
  <si>
    <t>FOA-66104</t>
  </si>
  <si>
    <t>селен, 200 мкг, 120 растительных капсул</t>
  </si>
  <si>
    <t>CGN-01258</t>
  </si>
  <si>
    <t>Fungiology, MushRex Plus, комплекс из 10 грибов полного спектра с агариком, чагой, кордицепсом и ежовиком гребенчатым, 120 капсул Plantcaps</t>
  </si>
  <si>
    <t>NCS-67068</t>
  </si>
  <si>
    <t>Гуарана, 150 капсул (500 мг в каждой капсуле)</t>
  </si>
  <si>
    <t>WNW-58500</t>
  </si>
  <si>
    <t>PhotoFocus, матовый праймер для лица, 850 Partners in Prime, 25 мл (0,84 жидк. унц.)</t>
  </si>
  <si>
    <t>LAG-35602</t>
  </si>
  <si>
    <t>L.A. Girl</t>
  </si>
  <si>
    <t>прозрачный оттеночный бальзам для губ, GLC602, нюдовый, 2 г (0,07 унции)</t>
  </si>
  <si>
    <t>LAG-35603</t>
  </si>
  <si>
    <t>Бальзам для губ Sheer Tint, GLC603 Sheer Rose, 2 г (0,07 унции)</t>
  </si>
  <si>
    <t>NCS-67842</t>
  </si>
  <si>
    <t>КЛК, 120 капсул (800 мг в каждой капсуле)</t>
  </si>
  <si>
    <t>PIF-48549</t>
  </si>
  <si>
    <t>органическая моринга в таблетках, 120 таблеток (400 мг в 1 таблетке)</t>
  </si>
  <si>
    <t>547196409</t>
  </si>
  <si>
    <t>FBS-02503</t>
  </si>
  <si>
    <t>Cholesterol Balance, 180 вегетарианских капсул</t>
  </si>
  <si>
    <t>AMN-02923</t>
  </si>
  <si>
    <t>куркумин с экстрактом черного перца, 180 вегетарианских капсул</t>
  </si>
  <si>
    <t>цитрат магния, 120 таблеток (200 мг в 1 таблетке)</t>
  </si>
  <si>
    <t>CollagenUP®, гидролизованные пептиды морского коллагена с гиалуроновой кислотой и витамином C, с нейтральным вкусом, 206 г</t>
  </si>
  <si>
    <t>FPI-28123</t>
  </si>
  <si>
    <t>Host Defense Mushroom, MycoBotanicals, энергия, 60 капсул</t>
  </si>
  <si>
    <t>547138039</t>
  </si>
  <si>
    <t>FDI-05091</t>
  </si>
  <si>
    <t>увлажняющий солнцезащитный крем с голубикой, SPF 50 PA++++, 50 г (1,76 унции)</t>
  </si>
  <si>
    <t>SWV-02375</t>
  </si>
  <si>
    <t>Апигенин, 50 мг, 90 капсул</t>
  </si>
  <si>
    <t>RMS-06809</t>
  </si>
  <si>
    <t>рейши, экстракт грибов в порошке, 90 капсул (500 мг в 1 капсуле)</t>
  </si>
  <si>
    <t>NCS-67314</t>
  </si>
  <si>
    <t>мелатонин, ягодное ассорти, 5 мг, 240 таблеток</t>
  </si>
  <si>
    <t>DLM-92341</t>
  </si>
  <si>
    <t>Dairyland Ginseng</t>
  </si>
  <si>
    <t>женьшень красный, 500 мг, 150 капсул</t>
  </si>
  <si>
    <t>DLM-92348</t>
  </si>
  <si>
    <t>сибирский женьшень, 500 мг, 150 капсул</t>
  </si>
  <si>
    <t>THR-10403</t>
  </si>
  <si>
    <t>комплекс основных витаминов группы B, 60 капсул</t>
  </si>
  <si>
    <t>LOE-67294</t>
  </si>
  <si>
    <t>Telescopic Lift, водостойкая тушь для ресниц, 993 черный, 10 мл (0,33 жидк. Унции)</t>
  </si>
  <si>
    <t>гуперзин А, 250 мкг, 90 растительных капсул</t>
  </si>
  <si>
    <t>547375239</t>
  </si>
  <si>
    <t>NCS-67592</t>
  </si>
  <si>
    <t>для женщин, пробиотик,&gt; 60 млрд КОЕ, 60 капсул</t>
  </si>
  <si>
    <t>BTZ-43042</t>
  </si>
  <si>
    <t>пребиотики, пробиотики и цельнопищевые ферменты с повышенной силой действия, 20 млрд КОЕ, 60 растительных капсул</t>
  </si>
  <si>
    <t>Hema-Plex®, 60 мини-таблеток медленного высвобождения</t>
  </si>
  <si>
    <t>подсолнечный лецитин, 200 капсул (1,2 г в 1 капсуле)</t>
  </si>
  <si>
    <t>546987712</t>
  </si>
  <si>
    <t>JRW-18001</t>
  </si>
  <si>
    <t>метил B12, лимон, 1000 мкг, 100 жевательных таблеток</t>
  </si>
  <si>
    <t>JRW-18018</t>
  </si>
  <si>
    <t>веганский метил B12 и метилфолат, лимон, 100 жевательных таблеток</t>
  </si>
  <si>
    <t>MII-02397</t>
  </si>
  <si>
    <t>экстракт виноградных косточек, ресвератрол и экстракт красного вина, 240 капсул</t>
  </si>
  <si>
    <t>547542590</t>
  </si>
  <si>
    <t>WB0208</t>
  </si>
  <si>
    <t>% логистики от закупки</t>
  </si>
  <si>
    <t>ECN-00012</t>
  </si>
  <si>
    <t>Econugenics</t>
  </si>
  <si>
    <t>PectaSol®, модифицированный цитрусовый пектин, 150 г (5,29 унции)</t>
  </si>
  <si>
    <t>PTF-10560</t>
  </si>
  <si>
    <t>Full Spectrum™, пуэрария дольчатая, 120 таблеток</t>
  </si>
  <si>
    <t>DFH-00281</t>
  </si>
  <si>
    <t>Insomnitol™, 60 вегетарианских капсул</t>
  </si>
  <si>
    <t>548124679</t>
  </si>
  <si>
    <t>витамин D3, 2000 МЕ, 120 капсул</t>
  </si>
  <si>
    <t>547708907</t>
  </si>
  <si>
    <t>OZO0239</t>
  </si>
  <si>
    <t>OZO0240</t>
  </si>
  <si>
    <t>OZA0238</t>
  </si>
  <si>
    <t>3457386687</t>
  </si>
  <si>
    <t>Увлажняющий тональный крем с коллагеном 13 тон</t>
  </si>
  <si>
    <t>OZO0241</t>
  </si>
  <si>
    <t>NCS-67142</t>
  </si>
  <si>
    <t>экстракт листьев оливкового дерева, 750 мг, 90 капсул</t>
  </si>
  <si>
    <t>548665732</t>
  </si>
  <si>
    <t>NTW-00765</t>
  </si>
  <si>
    <t>омега-3 с витамином E, 360 мягких таблеток</t>
  </si>
  <si>
    <t>цитрат магния, 200 мг, 250 капсул</t>
  </si>
  <si>
    <t>548542028</t>
  </si>
  <si>
    <t>SOR-45931</t>
  </si>
  <si>
    <t>Медь, 2&amp;nbsp;мг, 100&amp;nbsp;вегетарианских капсул</t>
  </si>
  <si>
    <t>Zinc A.G.™, цинк, 20 мг, 60 таблеток</t>
  </si>
  <si>
    <t>BLB-00654</t>
  </si>
  <si>
    <t>витамины D3 и K2, 60 вегетарианских капсул</t>
  </si>
  <si>
    <t>548633975</t>
  </si>
  <si>
    <t>SOL-01945</t>
  </si>
  <si>
    <t>фолат, 1333 мкг DFE, 100 таблеток</t>
  </si>
  <si>
    <t>NOW-00196</t>
  </si>
  <si>
    <t>глутатион, 250 мг, 120 растительных капсул</t>
  </si>
  <si>
    <t>WEH-08917</t>
  </si>
  <si>
    <t>Wellah</t>
  </si>
  <si>
    <t>The Afterglow, мультиколлагеновый протеин + красота, молочный шоколад, 588 г (1,3 фунта)</t>
  </si>
  <si>
    <t>NOW-01418</t>
  </si>
  <si>
    <t>берберин и глюкоза, 90 капсул</t>
  </si>
  <si>
    <t>548470310</t>
  </si>
  <si>
    <t>PVP-000000</t>
  </si>
  <si>
    <t>Сахова Яна</t>
  </si>
  <si>
    <t>NSP000935</t>
  </si>
  <si>
    <t>NSP004059</t>
  </si>
  <si>
    <t>NSP001784</t>
  </si>
  <si>
    <t>NSP001580</t>
  </si>
  <si>
    <t>NSP001609</t>
  </si>
  <si>
    <t>NSP001750</t>
  </si>
  <si>
    <t>Грэпайн с протекторами, 000001750</t>
  </si>
  <si>
    <t>Эйч Эс Эн (кожа, волосы, ногти)</t>
  </si>
  <si>
    <t>МСМ (Метилсульфонилметан)</t>
  </si>
  <si>
    <t>Железо Хелат</t>
  </si>
  <si>
    <t>Хлорофилл жидкий, 000001580</t>
  </si>
  <si>
    <t>Омега-3 (ПНЖК)</t>
  </si>
  <si>
    <t>WB0209</t>
  </si>
  <si>
    <t>OZO0242</t>
  </si>
  <si>
    <t>OZO0243</t>
  </si>
  <si>
    <t>OZO0244</t>
  </si>
  <si>
    <t>жевательная ацерола, комплекс с витамином C, с ягодным вкусом, 180 жевательных таблеток</t>
  </si>
  <si>
    <t>CGN-01429</t>
  </si>
  <si>
    <t>коэнзим Q10, убихинон класса USP с экстрактом чёрного перца Bioperine®, улучшенная биодоступность, 100 мг, 360 растительных капсул</t>
  </si>
  <si>
    <t>NCS-57165</t>
  </si>
  <si>
    <t>NAC, 600 мг, 240 капсул</t>
  </si>
  <si>
    <t>астаксантин, 12 мг, 120 капсул</t>
  </si>
  <si>
    <t>549048707</t>
  </si>
  <si>
    <t>NOW-02372</t>
  </si>
  <si>
    <t>жидкий лецитин из подсолнечника, 473 мл (16 жидк. унций)</t>
  </si>
  <si>
    <t>витамин K2 (в виде менахинона-7), 50 мкг, 120 растительных капсул</t>
  </si>
  <si>
    <t>LKN-01450</t>
  </si>
  <si>
    <t>коэнзим Q10 с PQQ, 60 растительных капсул</t>
  </si>
  <si>
    <t>CGN-01291</t>
  </si>
  <si>
    <t>пирролохинолинхинон, 20 мг, 30 растительных капсул</t>
  </si>
  <si>
    <t>549585146</t>
  </si>
  <si>
    <t>SOL-02028</t>
  </si>
  <si>
    <t>омега-3-6-9, 120 капсул</t>
  </si>
  <si>
    <t>омега-3, ЭПК и ДГК, тройная сила, 950 мг, 100 капсул</t>
  </si>
  <si>
    <t>NCS-67130</t>
  </si>
  <si>
    <t>Глутатион, 500 мг, 240 капсул</t>
  </si>
  <si>
    <t>549419585</t>
  </si>
  <si>
    <t>TSS-23530</t>
  </si>
  <si>
    <t>True Sea Moss</t>
  </si>
  <si>
    <t>гель с морским мхом, суперфуд, манго и ананас, 473 мл (16 жидк. унций)</t>
  </si>
  <si>
    <t>инозитол, 500 мг, 100 растительных капсул</t>
  </si>
  <si>
    <t>оротат лития, 5 мг, 120 капсул VegCap</t>
  </si>
  <si>
    <t>OsteoMove®, средство для поддержки суставов, 240 таблеток</t>
  </si>
  <si>
    <t>549915801</t>
  </si>
  <si>
    <t>LAG-35723</t>
  </si>
  <si>
    <t>масло для губ, питательный блеск, GLC723, ваниль, 3 мл (0,1 жидк. унции)</t>
  </si>
  <si>
    <t>LAG-35722</t>
  </si>
  <si>
    <t>масло для губ, питательный блеск, GLC722, клубника, 3 мл (0,1 жидк. унции)</t>
  </si>
  <si>
    <t>549485424</t>
  </si>
  <si>
    <t>лев</t>
  </si>
  <si>
    <t>OZO0248</t>
  </si>
  <si>
    <t>OZO0251</t>
  </si>
  <si>
    <t>OZO0250</t>
  </si>
  <si>
    <t>2026 04</t>
  </si>
  <si>
    <t>2026 05</t>
  </si>
  <si>
    <t>NOW-00494</t>
  </si>
  <si>
    <t>ТМГ, 1000 мг, 100 таблеток</t>
  </si>
  <si>
    <t>порошок из шелухи семян подорожника, 680 г (24 унции)</t>
  </si>
  <si>
    <t>YUE-00186</t>
  </si>
  <si>
    <t>YumEarth</t>
  </si>
  <si>
    <t>органические леденцы, ассорти, 50 леденцов в индивидуальной упаковке, 310 г (10,9 унции)</t>
  </si>
  <si>
    <t>глицин, 100 растительных капсул (1000 мг в 1 капсуле)</t>
  </si>
  <si>
    <t>550299959</t>
  </si>
  <si>
    <t>722500700833</t>
  </si>
  <si>
    <t>NOW-06943</t>
  </si>
  <si>
    <t>Better Stevia®, органический экстракт в порошке, 113 г (4 унции)</t>
  </si>
  <si>
    <t>SPS-90030</t>
  </si>
  <si>
    <t>Superior Source</t>
  </si>
  <si>
    <t>Цианокобаламин B12, 1000 мкг, 100 быстрорастворимых таблеток MicroLingual®</t>
  </si>
  <si>
    <t>550725001</t>
  </si>
  <si>
    <t>720001038216</t>
  </si>
  <si>
    <t>WOR-59777</t>
  </si>
  <si>
    <t>World Organic</t>
  </si>
  <si>
    <t>Супер Кремний 90 таблеток</t>
  </si>
  <si>
    <t>550654366</t>
  </si>
  <si>
    <t>720001036170</t>
  </si>
  <si>
    <t>Наташа KZ</t>
  </si>
  <si>
    <t>NKZ001</t>
  </si>
  <si>
    <t>OZO0260</t>
  </si>
  <si>
    <t>OZO0259</t>
  </si>
  <si>
    <t>OZO0257</t>
  </si>
  <si>
    <t>OZO0258</t>
  </si>
  <si>
    <t>OZO0261</t>
  </si>
  <si>
    <t>PLR-83721</t>
  </si>
  <si>
    <t>Plus Ultra</t>
  </si>
  <si>
    <t>премиальный гель для отбеливания зубов, мята, 6 мл</t>
  </si>
  <si>
    <t>CAR-05282</t>
  </si>
  <si>
    <t>селен, 200 мкг, 180 капсул</t>
  </si>
  <si>
    <t>XLR-00012</t>
  </si>
  <si>
    <t>Xlear</t>
  </si>
  <si>
    <t>Spry®, жевательная резинка без сахара, натуральная мята колосистая, 100 шт.</t>
  </si>
  <si>
    <t>крем для кожи с коллагеном премиального качества, груша, 114 г (4 унции)</t>
  </si>
  <si>
    <t>551028773</t>
  </si>
  <si>
    <t>550871165</t>
  </si>
  <si>
    <t>MII-02366</t>
  </si>
  <si>
    <t>альфа-липоевая кислота, 300 капсул (200 мг в 1 капсуле)</t>
  </si>
  <si>
    <t>MII-02373</t>
  </si>
  <si>
    <t>берберин, 240 вегетарианских капсул</t>
  </si>
  <si>
    <t>MII-02378</t>
  </si>
  <si>
    <t>пробиотики для женщин, 120 вегетарианских капсул</t>
  </si>
  <si>
    <t>NCS-67377</t>
  </si>
  <si>
    <t>ликопин, 20 мг, 120 капсул</t>
  </si>
  <si>
    <t>551294339</t>
  </si>
  <si>
    <t>Ultra Men’s, мультивитамины для мужчин для физической активности, 90 капсул</t>
  </si>
  <si>
    <t>FHH-12407</t>
  </si>
  <si>
    <t>Fairhaven Health</t>
  </si>
  <si>
    <t>мио-инозитол, 240 капсул (500 мг в 1 капсуле)</t>
  </si>
  <si>
    <t>551470361</t>
  </si>
  <si>
    <t>NUR-00112</t>
  </si>
  <si>
    <t>Nutrition Now</t>
  </si>
  <si>
    <t>PB 8™, пробиотик, 120 капсул (7 млрд КОЕ на капсулу)</t>
  </si>
  <si>
    <t>FOA-66165</t>
  </si>
  <si>
    <t>TMG бетаин, 180 растительных капсул (500 мг в 1 капсуле)</t>
  </si>
  <si>
    <t>551516843</t>
  </si>
  <si>
    <t>OZO0262</t>
  </si>
  <si>
    <t>OZO0264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</si>
</sst>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 ;[Red]\-0.00\ "/>
    <numFmt numFmtId="165" formatCode="#,##0.00%;[Red]\-#,##0.00%"/>
    <numFmt numFmtId="166" formatCode="000000000"/>
    <numFmt numFmtId="167" formatCode="0.000"/>
    <numFmt numFmtId="168" formatCode="[$-F400]h:mm:ss\ AM/PM"/>
  </numFmts>
  <fonts count="2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  <font>
      <sz val="8"/>
      <color rgb="FF212529"/>
      <name val="Segoe U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u/>
      <sz val="11"/>
      <color rgb="FF00B050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212529"/>
      <name val="Segoe UI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FF99FF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99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/>
    <xf numFmtId="9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1">
    <xf numFmtId="0" fontId="0" fillId="0" borderId="0" xfId="0"/>
    <xf numFmtId="2" fontId="0" fillId="0" borderId="0" xfId="0" applyNumberFormat="1"/>
    <xf numFmtId="0" fontId="4" fillId="0" borderId="0" xfId="0" applyFont="1" applyAlignment="1" applyProtection="1">
      <alignment horizontal="left"/>
      <protection hidden="1"/>
    </xf>
    <xf numFmtId="2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2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2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0" fillId="0" borderId="1" xfId="0" applyNumberFormat="1" applyBorder="1" applyProtection="1">
      <protection hidden="1"/>
    </xf>
    <xf numFmtId="2" fontId="0" fillId="0" borderId="0" xfId="0" applyNumberFormat="1" applyProtection="1">
      <protection hidden="1"/>
    </xf>
    <xf numFmtId="49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2" fontId="0" fillId="3" borderId="1" xfId="0" applyNumberFormat="1" applyFill="1" applyBorder="1" applyProtection="1"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2"/>
    <xf numFmtId="164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0" fillId="0" borderId="1" xfId="0" applyNumberFormat="1" applyBorder="1" applyProtection="1">
      <protection hidden="1"/>
    </xf>
    <xf numFmtId="164" fontId="0" fillId="0" borderId="0" xfId="0" applyNumberFormat="1" applyProtection="1">
      <protection hidden="1"/>
    </xf>
    <xf numFmtId="165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65" fontId="4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49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14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14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2" fontId="4" fillId="3" borderId="1" xfId="0" applyNumberFormat="1" applyFont="1" applyFill="1" applyBorder="1" applyProtection="1">
      <protection locked="0"/>
    </xf>
    <xf numFmtId="2" fontId="4" fillId="0" borderId="1" xfId="0" applyNumberFormat="1" applyFont="1" applyBorder="1" applyProtection="1">
      <protection hidden="1"/>
    </xf>
    <xf numFmtId="14" fontId="4" fillId="3" borderId="1" xfId="0" applyNumberFormat="1" applyFont="1" applyFill="1" applyBorder="1" applyProtection="1">
      <protection locked="0"/>
    </xf>
    <xf numFmtId="164" fontId="4" fillId="0" borderId="1" xfId="0" applyNumberFormat="1" applyFont="1" applyBorder="1" applyProtection="1">
      <protection hidden="1"/>
    </xf>
    <xf numFmtId="0" fontId="4" fillId="0" borderId="0" xfId="0" applyFont="1" applyProtection="1">
      <protection hidden="1"/>
    </xf>
    <xf numFmtId="2" fontId="4" fillId="3" borderId="1" xfId="0" applyNumberFormat="1" applyFont="1" applyFill="1" applyBorder="1" applyProtection="1">
      <protection hidden="1"/>
    </xf>
    <xf numFmtId="1" fontId="4" fillId="0" borderId="0" xfId="0" applyNumberFormat="1" applyFont="1" applyProtection="1">
      <protection hidden="1"/>
    </xf>
    <xf numFmtId="2" fontId="4" fillId="0" borderId="0" xfId="0" applyNumberFormat="1" applyFont="1" applyProtection="1">
      <protection hidden="1"/>
    </xf>
    <xf numFmtId="49" fontId="4" fillId="0" borderId="0" xfId="0" applyNumberFormat="1" applyFont="1" applyProtection="1">
      <protection hidden="1"/>
    </xf>
    <xf numFmtId="14" fontId="4" fillId="0" borderId="0" xfId="0" applyNumberFormat="1" applyFont="1" applyProtection="1">
      <protection hidden="1"/>
    </xf>
    <xf numFmtId="164" fontId="4" fillId="0" borderId="0" xfId="0" applyNumberFormat="1" applyFont="1" applyProtection="1">
      <protection hidden="1"/>
    </xf>
    <xf numFmtId="10" fontId="4" fillId="0" borderId="0" xfId="0" applyNumberFormat="1" applyFont="1" applyProtection="1">
      <protection hidden="1"/>
    </xf>
    <xf numFmtId="49" fontId="7" fillId="3" borderId="1" xfId="2" applyNumberFormat="1" applyFill="1" applyBorder="1" applyProtection="1">
      <protection locked="0"/>
    </xf>
    <xf numFmtId="0" fontId="4" fillId="0" borderId="0" xfId="0" applyFont="1" applyAlignment="1" applyProtection="1">
      <alignment horizontal="center" vertical="center" wrapText="1"/>
      <protection hidden="1"/>
    </xf>
    <xf numFmtId="1" fontId="4" fillId="0" borderId="0" xfId="0" applyNumberFormat="1" applyFont="1" applyAlignment="1" applyProtection="1">
      <alignment horizontal="center" vertical="center" wrapText="1"/>
      <protection hidden="1"/>
    </xf>
    <xf numFmtId="49" fontId="8" fillId="3" borderId="1" xfId="2" applyNumberFormat="1" applyFont="1" applyFill="1" applyBorder="1" applyProtection="1">
      <protection locked="0"/>
    </xf>
    <xf numFmtId="0" fontId="10" fillId="4" borderId="4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center" vertical="top" wrapText="1"/>
    </xf>
    <xf numFmtId="166" fontId="11" fillId="4" borderId="5" xfId="0" applyNumberFormat="1" applyFont="1" applyFill="1" applyBorder="1" applyAlignment="1">
      <alignment horizontal="center" vertical="top" wrapText="1"/>
    </xf>
    <xf numFmtId="49" fontId="0" fillId="2" borderId="2" xfId="0" applyNumberFormat="1" applyFill="1" applyBorder="1" applyAlignment="1" applyProtection="1">
      <alignment horizontal="center" vertical="center" wrapText="1"/>
      <protection hidden="1"/>
    </xf>
    <xf numFmtId="49" fontId="0" fillId="2" borderId="3" xfId="0" applyNumberFormat="1" applyFill="1" applyBorder="1" applyAlignment="1" applyProtection="1">
      <alignment horizontal="center" vertical="center" wrapText="1"/>
      <protection hidden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2" fillId="6" borderId="7" xfId="0" applyNumberFormat="1" applyFont="1" applyFill="1" applyBorder="1"/>
    <xf numFmtId="2" fontId="13" fillId="3" borderId="1" xfId="0" applyNumberFormat="1" applyFont="1" applyFill="1" applyBorder="1" applyProtection="1">
      <protection locked="0"/>
    </xf>
    <xf numFmtId="2" fontId="12" fillId="5" borderId="1" xfId="0" applyNumberFormat="1" applyFont="1" applyFill="1" applyBorder="1" applyProtection="1">
      <protection hidden="1"/>
    </xf>
    <xf numFmtId="49" fontId="14" fillId="3" borderId="1" xfId="2" applyNumberFormat="1" applyFont="1" applyFill="1" applyBorder="1" applyProtection="1">
      <protection locked="0"/>
    </xf>
    <xf numFmtId="49" fontId="12" fillId="3" borderId="1" xfId="0" applyNumberFormat="1" applyFont="1" applyFill="1" applyBorder="1" applyProtection="1">
      <protection locked="0"/>
    </xf>
    <xf numFmtId="49" fontId="15" fillId="3" borderId="1" xfId="0" applyNumberFormat="1" applyFont="1" applyFill="1" applyBorder="1" applyProtection="1">
      <protection locked="0"/>
    </xf>
    <xf numFmtId="49" fontId="16" fillId="3" borderId="1" xfId="0" applyNumberFormat="1" applyFont="1" applyFill="1" applyBorder="1" applyProtection="1">
      <protection locked="0"/>
    </xf>
    <xf numFmtId="49" fontId="17" fillId="3" borderId="1" xfId="0" applyNumberFormat="1" applyFont="1" applyFill="1" applyBorder="1" applyProtection="1">
      <protection locked="0"/>
    </xf>
    <xf numFmtId="0" fontId="2" fillId="7" borderId="0" xfId="0" applyFont="1" applyFill="1"/>
    <xf numFmtId="0" fontId="0" fillId="8" borderId="0" xfId="0" applyFill="1"/>
    <xf numFmtId="0" fontId="0" fillId="9" borderId="0" xfId="0" applyFill="1"/>
    <xf numFmtId="0" fontId="2" fillId="10" borderId="6" xfId="0" applyFont="1" applyFill="1" applyBorder="1"/>
    <xf numFmtId="49" fontId="15" fillId="5" borderId="1" xfId="0" applyNumberFormat="1" applyFont="1" applyFill="1" applyBorder="1" applyProtection="1">
      <protection locked="0"/>
    </xf>
    <xf numFmtId="49" fontId="18" fillId="3" borderId="1" xfId="0" applyNumberFormat="1" applyFont="1" applyFill="1" applyBorder="1" applyProtection="1">
      <protection locked="0"/>
    </xf>
    <xf numFmtId="2" fontId="4" fillId="5" borderId="1" xfId="0" applyNumberFormat="1" applyFont="1" applyFill="1" applyBorder="1" applyProtection="1">
      <protection locked="0"/>
    </xf>
    <xf numFmtId="164" fontId="4" fillId="5" borderId="1" xfId="0" applyNumberFormat="1" applyFont="1" applyFill="1" applyBorder="1" applyProtection="1">
      <protection hidden="1"/>
    </xf>
    <xf numFmtId="2" fontId="9" fillId="5" borderId="1" xfId="0" applyNumberFormat="1" applyFont="1" applyFill="1" applyBorder="1" applyProtection="1">
      <protection locked="0"/>
    </xf>
    <xf numFmtId="166" fontId="19" fillId="4" borderId="0" xfId="0" applyNumberFormat="1" applyFont="1" applyFill="1" applyAlignment="1">
      <alignment horizontal="left" vertical="top"/>
    </xf>
    <xf numFmtId="3" fontId="0" fillId="0" borderId="0" xfId="0" applyNumberFormat="1"/>
    <xf numFmtId="10" fontId="0" fillId="0" borderId="0" xfId="0" applyNumberFormat="1" applyProtection="1">
      <protection hidden="1"/>
    </xf>
    <xf numFmtId="167" fontId="0" fillId="3" borderId="1" xfId="0" applyNumberFormat="1" applyFill="1" applyBorder="1" applyProtection="1">
      <protection locked="0"/>
    </xf>
    <xf numFmtId="2" fontId="4" fillId="11" borderId="1" xfId="0" applyNumberFormat="1" applyFont="1" applyFill="1" applyBorder="1" applyProtection="1">
      <protection locked="0"/>
    </xf>
    <xf numFmtId="49" fontId="13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13" fillId="0" borderId="2" xfId="0" applyNumberFormat="1" applyFont="1" applyBorder="1" applyAlignment="1" applyProtection="1">
      <alignment horizontal="center" vertical="center" wrapText="1"/>
      <protection hidden="1"/>
    </xf>
    <xf numFmtId="14" fontId="13" fillId="0" borderId="2" xfId="0" applyNumberFormat="1" applyFont="1" applyBorder="1" applyAlignment="1" applyProtection="1">
      <alignment horizontal="center" vertical="center" wrapText="1"/>
      <protection hidden="1"/>
    </xf>
    <xf numFmtId="0" fontId="13" fillId="2" borderId="2" xfId="0" applyFont="1" applyFill="1" applyBorder="1" applyAlignment="1" applyProtection="1">
      <alignment horizontal="center" vertical="center" wrapText="1"/>
      <protection hidden="1"/>
    </xf>
    <xf numFmtId="2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10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13" fillId="2" borderId="3" xfId="0" applyNumberFormat="1" applyFont="1" applyFill="1" applyBorder="1" applyAlignment="1" applyProtection="1">
      <alignment vertical="center"/>
      <protection hidden="1"/>
    </xf>
    <xf numFmtId="49" fontId="13" fillId="0" borderId="3" xfId="0" applyNumberFormat="1" applyFont="1" applyBorder="1" applyAlignment="1" applyProtection="1">
      <alignment vertical="center"/>
      <protection hidden="1"/>
    </xf>
    <xf numFmtId="49" fontId="13" fillId="0" borderId="3" xfId="0" applyNumberFormat="1" applyFont="1" applyBorder="1" applyAlignment="1" applyProtection="1">
      <alignment horizontal="center" vertical="center"/>
      <protection hidden="1"/>
    </xf>
    <xf numFmtId="14" fontId="13" fillId="0" borderId="3" xfId="0" applyNumberFormat="1" applyFont="1" applyBorder="1" applyAlignment="1" applyProtection="1">
      <alignment vertical="center"/>
      <protection hidden="1"/>
    </xf>
    <xf numFmtId="0" fontId="13" fillId="2" borderId="3" xfId="0" applyFont="1" applyFill="1" applyBorder="1" applyAlignment="1" applyProtection="1">
      <alignment vertical="center"/>
      <protection hidden="1"/>
    </xf>
    <xf numFmtId="0" fontId="13" fillId="2" borderId="3" xfId="0" applyFont="1" applyFill="1" applyBorder="1" applyAlignment="1" applyProtection="1">
      <alignment horizontal="center" vertical="center"/>
      <protection hidden="1"/>
    </xf>
    <xf numFmtId="2" fontId="13" fillId="2" borderId="1" xfId="0" applyNumberFormat="1" applyFont="1" applyFill="1" applyBorder="1" applyAlignment="1" applyProtection="1">
      <alignment horizontal="center" vertical="center"/>
      <protection hidden="1"/>
    </xf>
    <xf numFmtId="164" fontId="13" fillId="2" borderId="1" xfId="0" applyNumberFormat="1" applyFont="1" applyFill="1" applyBorder="1" applyAlignment="1" applyProtection="1">
      <alignment horizontal="center" vertical="center"/>
      <protection hidden="1"/>
    </xf>
    <xf numFmtId="10" fontId="13" fillId="2" borderId="1" xfId="0" applyNumberFormat="1" applyFont="1" applyFill="1" applyBorder="1" applyAlignment="1" applyProtection="1">
      <alignment horizontal="center" vertical="center"/>
      <protection hidden="1"/>
    </xf>
    <xf numFmtId="49" fontId="4" fillId="3" borderId="1" xfId="0" applyNumberFormat="1" applyFont="1" applyFill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hidden="1"/>
    </xf>
    <xf numFmtId="14" fontId="4" fillId="0" borderId="1" xfId="0" applyNumberFormat="1" applyFont="1" applyBorder="1" applyAlignment="1" applyProtection="1">
      <alignment horizontal="right"/>
      <protection hidden="1"/>
    </xf>
    <xf numFmtId="0" fontId="4" fillId="0" borderId="1" xfId="0" applyFont="1" applyBorder="1" applyAlignment="1" applyProtection="1">
      <alignment horizontal="left"/>
      <protection hidden="1"/>
    </xf>
    <xf numFmtId="0" fontId="4" fillId="3" borderId="1" xfId="0" applyFont="1" applyFill="1" applyBorder="1" applyAlignment="1" applyProtection="1">
      <alignment vertical="center"/>
      <protection locked="0"/>
    </xf>
    <xf numFmtId="49" fontId="4" fillId="3" borderId="1" xfId="0" applyNumberFormat="1" applyFont="1" applyFill="1" applyBorder="1" applyAlignment="1" applyProtection="1">
      <alignment horizontal="right"/>
      <protection hidden="1"/>
    </xf>
    <xf numFmtId="0" fontId="4" fillId="3" borderId="1" xfId="0" applyFont="1" applyFill="1" applyBorder="1" applyAlignment="1" applyProtection="1">
      <alignment vertical="center"/>
      <protection hidden="1"/>
    </xf>
    <xf numFmtId="49" fontId="13" fillId="3" borderId="1" xfId="0" applyNumberFormat="1" applyFont="1" applyFill="1" applyBorder="1" applyAlignment="1" applyProtection="1">
      <alignment horizontal="right"/>
      <protection locked="0"/>
    </xf>
    <xf numFmtId="49" fontId="4" fillId="5" borderId="1" xfId="0" applyNumberFormat="1" applyFont="1" applyFill="1" applyBorder="1" applyAlignment="1" applyProtection="1">
      <alignment horizontal="right"/>
      <protection locked="0"/>
    </xf>
    <xf numFmtId="2" fontId="4" fillId="12" borderId="1" xfId="0" applyNumberFormat="1" applyFont="1" applyFill="1" applyBorder="1" applyProtection="1">
      <protection locked="0"/>
    </xf>
    <xf numFmtId="14" fontId="4" fillId="12" borderId="1" xfId="0" applyNumberFormat="1" applyFont="1" applyFill="1" applyBorder="1" applyProtection="1">
      <protection locked="0"/>
    </xf>
    <xf numFmtId="1" fontId="13" fillId="2" borderId="1" xfId="0" applyNumberFormat="1" applyFont="1" applyFill="1" applyBorder="1" applyAlignment="1" applyProtection="1">
      <alignment horizontal="center" vertical="center"/>
      <protection hidden="1"/>
    </xf>
    <xf numFmtId="2" fontId="0" fillId="12" borderId="1" xfId="0" applyNumberFormat="1" applyFill="1" applyBorder="1" applyProtection="1">
      <protection hidden="1"/>
    </xf>
    <xf numFmtId="10" fontId="0" fillId="0" borderId="0" xfId="0" applyNumberFormat="1"/>
    <xf numFmtId="166" fontId="11" fillId="4" borderId="0" xfId="0" applyNumberFormat="1" applyFont="1" applyFill="1" applyAlignment="1">
      <alignment horizontal="center" vertical="top" wrapText="1"/>
    </xf>
    <xf numFmtId="0" fontId="2" fillId="13" borderId="6" xfId="0" applyFont="1" applyFill="1" applyBorder="1"/>
    <xf numFmtId="0" fontId="2" fillId="14" borderId="6" xfId="0" applyFont="1" applyFill="1" applyBorder="1"/>
    <xf numFmtId="0" fontId="20" fillId="15" borderId="6" xfId="0" applyFont="1" applyFill="1" applyBorder="1"/>
    <xf numFmtId="10" fontId="2" fillId="6" borderId="7" xfId="1" applyNumberFormat="1" applyFont="1" applyFill="1" applyBorder="1"/>
    <xf numFmtId="49" fontId="0" fillId="5" borderId="1" xfId="0" applyNumberFormat="1" applyFill="1" applyBorder="1" applyProtection="1">
      <protection locked="0"/>
    </xf>
    <xf numFmtId="2" fontId="0" fillId="16" borderId="1" xfId="0" applyNumberFormat="1" applyFill="1" applyBorder="1" applyProtection="1">
      <protection locked="0"/>
    </xf>
    <xf numFmtId="49" fontId="7" fillId="3" borderId="1" xfId="2" applyNumberFormat="1" applyFill="1" applyBorder="1" applyProtection="1">
      <protection locked="0"/>
    </xf>
    <xf numFmtId="0" fontId="2" fillId="7" borderId="0" xfId="0" applyFont="1" applyFill="1" applyAlignment="1">
      <alignment horizontal="center"/>
    </xf>
    <xf numFmtId="0" fontId="20" fillId="17" borderId="0" xfId="0" applyFont="1" applyFill="1"/>
    <xf numFmtId="2" fontId="4" fillId="18" borderId="1" xfId="0" applyNumberFormat="1" applyFont="1" applyFill="1" applyBorder="1" applyProtection="1">
      <protection locked="0"/>
    </xf>
    <xf numFmtId="14" fontId="4" fillId="0" borderId="1" xfId="0" applyNumberFormat="1" applyFont="1" applyFill="1" applyBorder="1" applyAlignment="1" applyProtection="1">
      <alignment horizontal="right"/>
      <protection hidden="1"/>
    </xf>
    <xf numFmtId="0" fontId="4" fillId="5" borderId="1" xfId="0" applyFont="1" applyFill="1" applyBorder="1" applyAlignment="1" applyProtection="1">
      <alignment horizontal="right"/>
      <protection hidden="1"/>
    </xf>
    <xf numFmtId="2" fontId="0" fillId="0" borderId="1" xfId="0" applyNumberForma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0" applyFont="1"/>
    <xf numFmtId="49" fontId="7" fillId="3" borderId="1" xfId="2" applyNumberFormat="1" applyFill="1" applyBorder="1" applyProtection="1">
      <protection locked="0"/>
    </xf>
    <xf numFmtId="49" fontId="4" fillId="0" borderId="1" xfId="0" applyNumberFormat="1" applyFont="1" applyBorder="1" applyAlignment="1" applyProtection="1">
      <alignment horizontal="right"/>
      <protection hidden="1"/>
    </xf>
    <xf numFmtId="49" fontId="4" fillId="0" borderId="1" xfId="0" applyNumberFormat="1" applyFont="1" applyFill="1" applyBorder="1" applyAlignment="1" applyProtection="1">
      <alignment horizontal="right"/>
      <protection hidden="1"/>
    </xf>
    <xf numFmtId="0" fontId="4" fillId="0" borderId="1" xfId="0" applyFont="1" applyFill="1" applyBorder="1" applyAlignment="1" applyProtection="1">
      <alignment horizontal="left"/>
      <protection hidden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9" fontId="0" fillId="0" borderId="0" xfId="0" applyNumberFormat="1"/>
    <xf numFmtId="49" fontId="0" fillId="0" borderId="1" xfId="0" applyNumberFormat="1" applyBorder="1" applyAlignment="1">
      <alignment horizontal="right"/>
    </xf>
    <xf numFmtId="49" fontId="0" fillId="19" borderId="1" xfId="0" applyNumberFormat="1" applyFill="1" applyBorder="1" applyAlignment="1">
      <alignment horizontal="right"/>
    </xf>
    <xf numFmtId="0" fontId="0" fillId="19" borderId="1" xfId="0" applyFill="1" applyBorder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18" fillId="0" borderId="1" xfId="0" applyNumberFormat="1" applyFont="1" applyBorder="1"/>
    <xf numFmtId="49" fontId="18" fillId="19" borderId="1" xfId="0" applyNumberFormat="1" applyFont="1" applyFill="1" applyBorder="1"/>
    <xf numFmtId="49" fontId="0" fillId="19" borderId="1" xfId="0" applyNumberFormat="1" applyFill="1" applyBorder="1"/>
    <xf numFmtId="49" fontId="18" fillId="20" borderId="1" xfId="0" applyNumberFormat="1" applyFont="1" applyFill="1" applyBorder="1"/>
    <xf numFmtId="49" fontId="0" fillId="20" borderId="1" xfId="0" applyNumberFormat="1" applyFill="1" applyBorder="1"/>
    <xf numFmtId="0" fontId="2" fillId="21" borderId="1" xfId="0" applyFont="1" applyFill="1" applyBorder="1"/>
    <xf numFmtId="0" fontId="0" fillId="21" borderId="1" xfId="0" applyFill="1" applyBorder="1"/>
    <xf numFmtId="0" fontId="0" fillId="0" borderId="1" xfId="0" applyFill="1" applyBorder="1"/>
    <xf numFmtId="49" fontId="0" fillId="21" borderId="1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0" fontId="0" fillId="20" borderId="1" xfId="0" applyFill="1" applyBorder="1" applyAlignment="1">
      <alignment horizontal="center"/>
    </xf>
    <xf numFmtId="0" fontId="0" fillId="20" borderId="1" xfId="0" applyFill="1" applyBorder="1"/>
    <xf numFmtId="0" fontId="2" fillId="0" borderId="0" xfId="0" applyFont="1" applyBorder="1" applyAlignment="1">
      <alignment horizontal="center" vertical="center"/>
    </xf>
    <xf numFmtId="49" fontId="0" fillId="0" borderId="0" xfId="0" applyNumberFormat="1" applyBorder="1"/>
    <xf numFmtId="49" fontId="0" fillId="0" borderId="1" xfId="0" applyNumberFormat="1" applyFill="1" applyBorder="1"/>
    <xf numFmtId="49" fontId="2" fillId="0" borderId="12" xfId="0" applyNumberFormat="1" applyFont="1" applyBorder="1" applyAlignment="1">
      <alignment horizontal="center"/>
    </xf>
    <xf numFmtId="0" fontId="0" fillId="0" borderId="0" xfId="0" applyBorder="1"/>
    <xf numFmtId="49" fontId="0" fillId="0" borderId="0" xfId="0" applyNumberForma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0" fillId="15" borderId="1" xfId="0" applyFont="1" applyFill="1" applyBorder="1"/>
    <xf numFmtId="0" fontId="20" fillId="17" borderId="1" xfId="0" applyFont="1" applyFill="1" applyBorder="1"/>
    <xf numFmtId="0" fontId="0" fillId="0" borderId="1" xfId="0" applyBorder="1" applyAlignment="1">
      <alignment horizontal="center"/>
    </xf>
    <xf numFmtId="49" fontId="0" fillId="3" borderId="1" xfId="0" applyNumberFormat="1" applyFill="1" applyBorder="1" applyAlignment="1" applyProtection="1">
      <alignment wrapText="1"/>
      <protection locked="0"/>
    </xf>
    <xf numFmtId="49" fontId="4" fillId="0" borderId="1" xfId="0" applyNumberFormat="1" applyFont="1" applyBorder="1" applyAlignment="1" applyProtection="1">
      <alignment horizontal="left"/>
      <protection hidden="1"/>
    </xf>
    <xf numFmtId="49" fontId="4" fillId="3" borderId="1" xfId="0" applyNumberFormat="1" applyFont="1" applyFill="1" applyBorder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left"/>
      <protection hidden="1"/>
    </xf>
    <xf numFmtId="16" fontId="4" fillId="3" borderId="1" xfId="0" applyNumberFormat="1" applyFont="1" applyFill="1" applyBorder="1" applyProtection="1">
      <protection locked="0"/>
    </xf>
    <xf numFmtId="0" fontId="22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8" fillId="0" borderId="0" xfId="0" applyFont="1"/>
    <xf numFmtId="0" fontId="24" fillId="0" borderId="0" xfId="0" applyFont="1"/>
    <xf numFmtId="0" fontId="25" fillId="0" borderId="0" xfId="0" applyFont="1"/>
    <xf numFmtId="49" fontId="25" fillId="0" borderId="0" xfId="0" applyNumberFormat="1" applyFont="1"/>
    <xf numFmtId="0" fontId="25" fillId="0" borderId="0" xfId="0" applyFont="1" applyAlignment="1">
      <alignment horizontal="right"/>
    </xf>
    <xf numFmtId="49" fontId="26" fillId="0" borderId="0" xfId="0" applyNumberFormat="1" applyFont="1"/>
    <xf numFmtId="0" fontId="26" fillId="0" borderId="0" xfId="0" applyFont="1" applyAlignment="1">
      <alignment horizontal="right"/>
    </xf>
    <xf numFmtId="49" fontId="7" fillId="0" borderId="0" xfId="2" applyNumberFormat="1" applyFill="1" applyAlignment="1"/>
    <xf numFmtId="49" fontId="4" fillId="3" borderId="1" xfId="0" applyNumberFormat="1" applyFont="1" applyFill="1" applyBorder="1" applyAlignment="1" applyProtection="1">
      <alignment horizontal="left"/>
      <protection hidden="1"/>
    </xf>
    <xf numFmtId="0" fontId="4" fillId="3" borderId="1" xfId="0" applyFont="1" applyFill="1" applyBorder="1" applyAlignment="1" applyProtection="1">
      <alignment horizontal="left"/>
      <protection hidden="1"/>
    </xf>
    <xf numFmtId="0" fontId="4" fillId="22" borderId="1" xfId="0" applyFont="1" applyFill="1" applyBorder="1" applyAlignment="1" applyProtection="1">
      <alignment vertical="center"/>
      <protection locked="0"/>
    </xf>
    <xf numFmtId="0" fontId="0" fillId="0" borderId="0" xfId="0" applyNumberFormat="1"/>
    <xf numFmtId="14" fontId="0" fillId="0" borderId="0" xfId="0" applyNumberFormat="1"/>
    <xf numFmtId="0" fontId="25" fillId="0" borderId="15" xfId="0" applyFont="1" applyBorder="1"/>
    <xf numFmtId="0" fontId="18" fillId="0" borderId="0" xfId="2" applyFont="1" applyFill="1"/>
    <xf numFmtId="0" fontId="0" fillId="3" borderId="0" xfId="0" applyFill="1"/>
    <xf numFmtId="20" fontId="0" fillId="0" borderId="0" xfId="0" applyNumberFormat="1"/>
    <xf numFmtId="20" fontId="18" fillId="0" borderId="0" xfId="0" applyNumberFormat="1" applyFont="1"/>
    <xf numFmtId="168" fontId="0" fillId="0" borderId="0" xfId="0" applyNumberFormat="1"/>
    <xf numFmtId="20" fontId="0" fillId="0" borderId="0" xfId="0" applyNumberFormat="1" applyAlignment="1">
      <alignment horizontal="left"/>
    </xf>
    <xf numFmtId="0" fontId="25" fillId="0" borderId="0" xfId="2" applyFont="1" applyFill="1" applyBorder="1" applyAlignment="1"/>
    <xf numFmtId="0" fontId="24" fillId="0" borderId="0" xfId="0" applyFont="1" applyFill="1" applyAlignment="1"/>
    <xf numFmtId="49" fontId="25" fillId="0" borderId="0" xfId="0" applyNumberFormat="1" applyFont="1" applyFill="1" applyAlignment="1"/>
    <xf numFmtId="0" fontId="25" fillId="0" borderId="0" xfId="0" applyFont="1" applyFill="1" applyAlignment="1"/>
    <xf numFmtId="0" fontId="25" fillId="0" borderId="0" xfId="0" applyFont="1" applyFill="1" applyAlignment="1">
      <alignment horizontal="right"/>
    </xf>
    <xf numFmtId="49" fontId="7" fillId="3" borderId="1" xfId="3" applyNumberFormat="1" applyFill="1" applyBorder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Fill="1"/>
    <xf numFmtId="0" fontId="25" fillId="0" borderId="1" xfId="0" applyFont="1" applyBorder="1"/>
    <xf numFmtId="0" fontId="25" fillId="0" borderId="0" xfId="0" applyFont="1" applyBorder="1"/>
    <xf numFmtId="11" fontId="0" fillId="0" borderId="0" xfId="0" applyNumberFormat="1"/>
    <xf numFmtId="0" fontId="4" fillId="5" borderId="1" xfId="0" applyFont="1" applyFill="1" applyBorder="1" applyAlignment="1" applyProtection="1">
      <alignment vertical="center"/>
      <protection locked="0"/>
    </xf>
    <xf numFmtId="0" fontId="2" fillId="0" borderId="16" xfId="0" applyFont="1" applyBorder="1"/>
    <xf numFmtId="0" fontId="0" fillId="23" borderId="17" xfId="0" applyFont="1" applyFill="1" applyBorder="1"/>
    <xf numFmtId="0" fontId="0" fillId="0" borderId="17" xfId="0" applyFont="1" applyBorder="1"/>
    <xf numFmtId="20" fontId="4" fillId="3" borderId="1" xfId="0" applyNumberFormat="1" applyFont="1" applyFill="1" applyBorder="1" applyProtection="1">
      <protection locked="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</cellXfs>
  <cellStyles count="4">
    <cellStyle name="Hyperlink" xfId="2" xr:uid="{00000000-000B-0000-0000-000008000000}"/>
    <cellStyle name="Гиперссылка" xfId="3" builtinId="8"/>
    <cellStyle name="Обычный" xfId="0" builtinId="0"/>
    <cellStyle name="Процентный" xfId="1" builtinId="5"/>
  </cellStyles>
  <dxfs count="12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9FF99"/>
        </patternFill>
      </fill>
    </dxf>
    <dxf>
      <fill>
        <patternFill>
          <bgColor rgb="FFFF99FF"/>
        </patternFill>
      </fill>
    </dxf>
    <dxf>
      <fill>
        <patternFill>
          <bgColor rgb="FF66CCFF"/>
        </patternFill>
      </fill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</dxf>
    <dxf>
      <fill>
        <patternFill>
          <bgColor rgb="FF92D050"/>
        </patternFill>
      </fill>
    </dxf>
    <dxf>
      <numFmt numFmtId="4" formatCode="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CC"/>
      <color rgb="FF99FF99"/>
      <color rgb="FFFF99FF"/>
      <color rgb="FF66CCFF"/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0660614686491344E-2"/>
          <c:y val="4.8240622069006478E-2"/>
          <c:w val="0.9302952829788671"/>
          <c:h val="0.9517593779309935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СводнаяДоходы!$D$11:$D$57</c:f>
              <c:numCache>
                <c:formatCode>#,##0.00</c:formatCode>
                <c:ptCount val="47"/>
                <c:pt idx="0">
                  <c:v>0</c:v>
                </c:pt>
                <c:pt idx="1">
                  <c:v>8820.1843614437512</c:v>
                </c:pt>
                <c:pt idx="2">
                  <c:v>20454.989369533323</c:v>
                </c:pt>
                <c:pt idx="3">
                  <c:v>27582.365506384442</c:v>
                </c:pt>
                <c:pt idx="4">
                  <c:v>63310.407444849727</c:v>
                </c:pt>
                <c:pt idx="5">
                  <c:v>47648.290145975894</c:v>
                </c:pt>
                <c:pt idx="6">
                  <c:v>85277.333037182034</c:v>
                </c:pt>
                <c:pt idx="7">
                  <c:v>77435.300731324969</c:v>
                </c:pt>
                <c:pt idx="8">
                  <c:v>147314.42880183985</c:v>
                </c:pt>
                <c:pt idx="9">
                  <c:v>58999.878421745401</c:v>
                </c:pt>
                <c:pt idx="10">
                  <c:v>55273.410209546433</c:v>
                </c:pt>
                <c:pt idx="11">
                  <c:v>65617.326123483057</c:v>
                </c:pt>
                <c:pt idx="12">
                  <c:v>59673.983414574948</c:v>
                </c:pt>
                <c:pt idx="13">
                  <c:v>61473.978623258074</c:v>
                </c:pt>
                <c:pt idx="14">
                  <c:v>86145.129951098046</c:v>
                </c:pt>
                <c:pt idx="15">
                  <c:v>94344.207881834402</c:v>
                </c:pt>
                <c:pt idx="16">
                  <c:v>89608.594983530056</c:v>
                </c:pt>
                <c:pt idx="17">
                  <c:v>98995.193835314072</c:v>
                </c:pt>
                <c:pt idx="18">
                  <c:v>97628.562416079149</c:v>
                </c:pt>
                <c:pt idx="19">
                  <c:v>77595.628318633608</c:v>
                </c:pt>
                <c:pt idx="20">
                  <c:v>79057.056640651543</c:v>
                </c:pt>
                <c:pt idx="21">
                  <c:v>62687.195559299325</c:v>
                </c:pt>
                <c:pt idx="22">
                  <c:v>82453.011478682514</c:v>
                </c:pt>
                <c:pt idx="23">
                  <c:v>56200.302862901168</c:v>
                </c:pt>
                <c:pt idx="24">
                  <c:v>54043.982707034178</c:v>
                </c:pt>
                <c:pt idx="25">
                  <c:v>122114.41648847106</c:v>
                </c:pt>
                <c:pt idx="26">
                  <c:v>89143.063174527575</c:v>
                </c:pt>
                <c:pt idx="27">
                  <c:v>118453.31516183146</c:v>
                </c:pt>
                <c:pt idx="28">
                  <c:v>82238.952369747756</c:v>
                </c:pt>
                <c:pt idx="29">
                  <c:v>92077.409010989024</c:v>
                </c:pt>
                <c:pt idx="30">
                  <c:v>102411.46255877339</c:v>
                </c:pt>
                <c:pt idx="31">
                  <c:v>78098.121723609511</c:v>
                </c:pt>
                <c:pt idx="32">
                  <c:v>67580.589848831863</c:v>
                </c:pt>
                <c:pt idx="33">
                  <c:v>115651.77116786203</c:v>
                </c:pt>
                <c:pt idx="34">
                  <c:v>90443.115764565315</c:v>
                </c:pt>
                <c:pt idx="35">
                  <c:v>67091.244189586141</c:v>
                </c:pt>
                <c:pt idx="36">
                  <c:v>121562.45099598693</c:v>
                </c:pt>
                <c:pt idx="37">
                  <c:v>122562.47164443145</c:v>
                </c:pt>
                <c:pt idx="38">
                  <c:v>110087.14662471188</c:v>
                </c:pt>
                <c:pt idx="39">
                  <c:v>100049.62246128332</c:v>
                </c:pt>
                <c:pt idx="40">
                  <c:v>111995.53871735012</c:v>
                </c:pt>
                <c:pt idx="41">
                  <c:v>112649.70434192845</c:v>
                </c:pt>
                <c:pt idx="42">
                  <c:v>92176.177561208824</c:v>
                </c:pt>
                <c:pt idx="43">
                  <c:v>96985.886861833584</c:v>
                </c:pt>
                <c:pt idx="44">
                  <c:v>97362.026680525669</c:v>
                </c:pt>
                <c:pt idx="45">
                  <c:v>104542.18863975037</c:v>
                </c:pt>
                <c:pt idx="46">
                  <c:v>89358.924610065311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E80-9F3E-CC610251ECA7}"/>
            </c:ext>
          </c:extLst>
        </c:ser>
        <c:ser>
          <c:idx val="1"/>
          <c:order val="1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7B-4EA9-A38E-533ACD61640D}"/>
                </c:ext>
              </c:extLst>
            </c:dLbl>
            <c:dLbl>
              <c:idx val="2"/>
              <c:layout>
                <c:manualLayout>
                  <c:x val="1.7881007382467028E-2"/>
                  <c:y val="0.117228903544553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7B-4EA9-A38E-533ACD61640D}"/>
                </c:ext>
              </c:extLst>
            </c:dLbl>
            <c:dLbl>
              <c:idx val="3"/>
              <c:layout>
                <c:manualLayout>
                  <c:x val="4.0033316111241057E-2"/>
                  <c:y val="0.118758500120744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7B-4EA9-A38E-533ACD61640D}"/>
                </c:ext>
              </c:extLst>
            </c:dLbl>
            <c:dLbl>
              <c:idx val="4"/>
              <c:layout>
                <c:manualLayout>
                  <c:x val="2.8922122117720592E-2"/>
                  <c:y val="0.128030343153427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7B-4EA9-A38E-533ACD61640D}"/>
                </c:ext>
              </c:extLst>
            </c:dLbl>
            <c:dLbl>
              <c:idx val="5"/>
              <c:layout>
                <c:manualLayout>
                  <c:x val="6.3894223898715255E-2"/>
                  <c:y val="4.6256205482933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7B-4EA9-A38E-533ACD616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СводнаяДоходы!$E$11:$E$57</c:f>
              <c:numCache>
                <c:formatCode>#,##0.00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4536</c:v>
                </c:pt>
                <c:pt idx="3">
                  <c:v>1343.2793800931317</c:v>
                </c:pt>
                <c:pt idx="4">
                  <c:v>4271.240915516104</c:v>
                </c:pt>
                <c:pt idx="5">
                  <c:v>1709.2160255279405</c:v>
                </c:pt>
                <c:pt idx="6">
                  <c:v>25338.219619563071</c:v>
                </c:pt>
                <c:pt idx="7">
                  <c:v>24839.476489607463</c:v>
                </c:pt>
                <c:pt idx="8">
                  <c:v>18476.174611389866</c:v>
                </c:pt>
                <c:pt idx="9">
                  <c:v>28237.462840694177</c:v>
                </c:pt>
                <c:pt idx="10">
                  <c:v>15291.583834616056</c:v>
                </c:pt>
                <c:pt idx="11">
                  <c:v>11996.514507537469</c:v>
                </c:pt>
                <c:pt idx="12">
                  <c:v>27240.61869227593</c:v>
                </c:pt>
                <c:pt idx="13">
                  <c:v>11622.159895232122</c:v>
                </c:pt>
                <c:pt idx="14">
                  <c:v>28475.794147340279</c:v>
                </c:pt>
                <c:pt idx="15">
                  <c:v>31322.321706715979</c:v>
                </c:pt>
                <c:pt idx="16">
                  <c:v>24656.637493597296</c:v>
                </c:pt>
                <c:pt idx="17">
                  <c:v>8250.7148477904575</c:v>
                </c:pt>
                <c:pt idx="18">
                  <c:v>20036.981195085831</c:v>
                </c:pt>
                <c:pt idx="19">
                  <c:v>20196.65333883854</c:v>
                </c:pt>
                <c:pt idx="20">
                  <c:v>9733.7277540123578</c:v>
                </c:pt>
                <c:pt idx="21">
                  <c:v>8275.6503302157598</c:v>
                </c:pt>
                <c:pt idx="22">
                  <c:v>5408.0119380588203</c:v>
                </c:pt>
                <c:pt idx="23">
                  <c:v>13984.262160601475</c:v>
                </c:pt>
                <c:pt idx="24">
                  <c:v>9556.0969738231961</c:v>
                </c:pt>
                <c:pt idx="25">
                  <c:v>18828.581586287779</c:v>
                </c:pt>
                <c:pt idx="26">
                  <c:v>15155.596772284094</c:v>
                </c:pt>
                <c:pt idx="27">
                  <c:v>9856.9815830032276</c:v>
                </c:pt>
                <c:pt idx="28">
                  <c:v>3735</c:v>
                </c:pt>
                <c:pt idx="29">
                  <c:v>2731.9085560308481</c:v>
                </c:pt>
                <c:pt idx="30">
                  <c:v>2078.703288171856</c:v>
                </c:pt>
                <c:pt idx="31">
                  <c:v>4514.6884511278204</c:v>
                </c:pt>
                <c:pt idx="32">
                  <c:v>1842.5204099917037</c:v>
                </c:pt>
                <c:pt idx="33">
                  <c:v>4679</c:v>
                </c:pt>
                <c:pt idx="34">
                  <c:v>8604.7779971190812</c:v>
                </c:pt>
                <c:pt idx="35">
                  <c:v>2282.9646211646836</c:v>
                </c:pt>
                <c:pt idx="36">
                  <c:v>3452.6933333333336</c:v>
                </c:pt>
                <c:pt idx="37">
                  <c:v>654</c:v>
                </c:pt>
                <c:pt idx="38">
                  <c:v>2384</c:v>
                </c:pt>
                <c:pt idx="39">
                  <c:v>2676.7000000000003</c:v>
                </c:pt>
                <c:pt idx="40">
                  <c:v>3688.3163986121344</c:v>
                </c:pt>
                <c:pt idx="41">
                  <c:v>9215.8106499429887</c:v>
                </c:pt>
                <c:pt idx="42">
                  <c:v>1736.2922532854338</c:v>
                </c:pt>
                <c:pt idx="43">
                  <c:v>8512</c:v>
                </c:pt>
                <c:pt idx="44">
                  <c:v>6554.0304288574034</c:v>
                </c:pt>
                <c:pt idx="45">
                  <c:v>1062</c:v>
                </c:pt>
                <c:pt idx="46">
                  <c:v>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B-4E80-9F3E-CC610251ECA7}"/>
            </c:ext>
          </c:extLst>
        </c:ser>
        <c:ser>
          <c:idx val="2"/>
          <c:order val="2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СводнаяДоходы!$F$11:$F$57</c:f>
              <c:numCache>
                <c:formatCode>#,##0.00</c:formatCode>
                <c:ptCount val="47"/>
                <c:pt idx="0">
                  <c:v>0</c:v>
                </c:pt>
                <c:pt idx="1">
                  <c:v>546.73281749039529</c:v>
                </c:pt>
                <c:pt idx="2">
                  <c:v>495.37889027128938</c:v>
                </c:pt>
                <c:pt idx="3">
                  <c:v>131.15023838178115</c:v>
                </c:pt>
                <c:pt idx="4">
                  <c:v>4328.7095177458668</c:v>
                </c:pt>
                <c:pt idx="5">
                  <c:v>2311.3848719390708</c:v>
                </c:pt>
                <c:pt idx="6">
                  <c:v>6806.7826706807964</c:v>
                </c:pt>
                <c:pt idx="7">
                  <c:v>3137.033173547105</c:v>
                </c:pt>
                <c:pt idx="8">
                  <c:v>13217.423256846148</c:v>
                </c:pt>
                <c:pt idx="9">
                  <c:v>4980.6626613888247</c:v>
                </c:pt>
                <c:pt idx="10">
                  <c:v>1458.2753724900101</c:v>
                </c:pt>
                <c:pt idx="11">
                  <c:v>3431.8754778021962</c:v>
                </c:pt>
                <c:pt idx="12">
                  <c:v>861.54394644199044</c:v>
                </c:pt>
                <c:pt idx="13">
                  <c:v>970.96821604911042</c:v>
                </c:pt>
                <c:pt idx="14">
                  <c:v>1949.1027809668929</c:v>
                </c:pt>
                <c:pt idx="15">
                  <c:v>2382.8126260368108</c:v>
                </c:pt>
                <c:pt idx="16">
                  <c:v>7503.5125125912091</c:v>
                </c:pt>
                <c:pt idx="17">
                  <c:v>2555.8658289121045</c:v>
                </c:pt>
                <c:pt idx="18">
                  <c:v>1984.639152914951</c:v>
                </c:pt>
                <c:pt idx="19">
                  <c:v>1821.1416488279103</c:v>
                </c:pt>
                <c:pt idx="20">
                  <c:v>4345.7904251587734</c:v>
                </c:pt>
                <c:pt idx="21">
                  <c:v>1743.6066426230709</c:v>
                </c:pt>
                <c:pt idx="22">
                  <c:v>3160.2361355313706</c:v>
                </c:pt>
                <c:pt idx="23">
                  <c:v>3052.7490965917232</c:v>
                </c:pt>
                <c:pt idx="24">
                  <c:v>1965.6715480481153</c:v>
                </c:pt>
                <c:pt idx="25">
                  <c:v>724</c:v>
                </c:pt>
                <c:pt idx="26">
                  <c:v>2480.2268467928693</c:v>
                </c:pt>
                <c:pt idx="27">
                  <c:v>4084.44088651743</c:v>
                </c:pt>
                <c:pt idx="28">
                  <c:v>1000</c:v>
                </c:pt>
                <c:pt idx="29">
                  <c:v>2683.959193358809</c:v>
                </c:pt>
                <c:pt idx="30">
                  <c:v>1687.5561537299218</c:v>
                </c:pt>
                <c:pt idx="31">
                  <c:v>-234.91719156414797</c:v>
                </c:pt>
                <c:pt idx="32">
                  <c:v>688</c:v>
                </c:pt>
                <c:pt idx="33">
                  <c:v>2722.6732469029107</c:v>
                </c:pt>
                <c:pt idx="34">
                  <c:v>2477.5930960275564</c:v>
                </c:pt>
                <c:pt idx="35">
                  <c:v>6932.2002173131968</c:v>
                </c:pt>
                <c:pt idx="36">
                  <c:v>0</c:v>
                </c:pt>
                <c:pt idx="37">
                  <c:v>959.17910769891773</c:v>
                </c:pt>
                <c:pt idx="38">
                  <c:v>351.3846160047467</c:v>
                </c:pt>
                <c:pt idx="39">
                  <c:v>2041.2891867435155</c:v>
                </c:pt>
                <c:pt idx="40">
                  <c:v>850.59851485760157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457</c:v>
                </c:pt>
                <c:pt idx="45">
                  <c:v>1602.3407105391138</c:v>
                </c:pt>
                <c:pt idx="46">
                  <c:v>847.85517276578366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B-4E80-9F3E-CC610251ECA7}"/>
            </c:ext>
          </c:extLst>
        </c:ser>
        <c:ser>
          <c:idx val="3"/>
          <c:order val="3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СводнаяДоходы!$G$11:$G$57</c:f>
              <c:numCache>
                <c:formatCode>#,##0.00</c:formatCode>
                <c:ptCount val="4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1152.3099530391462</c:v>
                </c:pt>
                <c:pt idx="18">
                  <c:v>3236.304709210759</c:v>
                </c:pt>
                <c:pt idx="19">
                  <c:v>10742.059682516116</c:v>
                </c:pt>
                <c:pt idx="20">
                  <c:v>4069.975865554713</c:v>
                </c:pt>
                <c:pt idx="21">
                  <c:v>4309.7653490384637</c:v>
                </c:pt>
                <c:pt idx="22">
                  <c:v>2370.1947374963001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18276.721852650313</c:v>
                </c:pt>
                <c:pt idx="28">
                  <c:v>1175.3572689350187</c:v>
                </c:pt>
                <c:pt idx="29">
                  <c:v>2974.8669205444958</c:v>
                </c:pt>
                <c:pt idx="30">
                  <c:v>0</c:v>
                </c:pt>
                <c:pt idx="31">
                  <c:v>0</c:v>
                </c:pt>
                <c:pt idx="32">
                  <c:v>3270.5828790489409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1956.6666666666667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964.21340617586111</c:v>
                </c:pt>
                <c:pt idx="41">
                  <c:v>0</c:v>
                </c:pt>
                <c:pt idx="42">
                  <c:v>1240</c:v>
                </c:pt>
                <c:pt idx="43">
                  <c:v>1140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F-48EE-8832-123457E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55529440"/>
        <c:axId val="955523616"/>
      </c:barChart>
      <c:catAx>
        <c:axId val="95552944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955523616"/>
        <c:crosses val="autoZero"/>
        <c:auto val="1"/>
        <c:lblAlgn val="ctr"/>
        <c:lblOffset val="100"/>
        <c:noMultiLvlLbl val="0"/>
      </c:catAx>
      <c:valAx>
        <c:axId val="955523616"/>
        <c:scaling>
          <c:orientation val="minMax"/>
          <c:max val="200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5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732</xdr:colOff>
      <xdr:row>8</xdr:row>
      <xdr:rowOff>9524</xdr:rowOff>
    </xdr:from>
    <xdr:to>
      <xdr:col>21</xdr:col>
      <xdr:colOff>276628</xdr:colOff>
      <xdr:row>56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8E5C31-91FA-40CB-B615-B707DB803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2;&#1079;&#1072;OZ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Доставка"/>
      <sheetName val="Маршрут"/>
      <sheetName val="Orders"/>
      <sheetName val="OrderItems"/>
      <sheetName val="Итоги"/>
      <sheetName val="Лист1"/>
      <sheetName val="ПришлоНепришло"/>
      <sheetName val="ПВЗ"/>
      <sheetName val="БазаOZ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й Шурыгин" refreshedDate="46149.745137152779" createdVersion="7" refreshedVersion="7" minRefreshableVersion="3" recordCount="5901" xr:uid="{36465A7D-92D5-412E-8B01-0244C1A65BDA}">
  <cacheSource type="worksheet">
    <worksheetSource ref="A1:V6343" sheet="Journal"/>
  </cacheSource>
  <cacheFields count="22">
    <cacheField name="№ заказа" numFmtId="49">
      <sharedItems containsBlank="1"/>
    </cacheField>
    <cacheField name="№ отслеживания" numFmtId="0">
      <sharedItems containsBlank="1" containsMixedTypes="1" containsNumber="1" containsInteger="1" minValue="0" maxValue="0"/>
    </cacheField>
    <cacheField name="Поставщик" numFmtId="0">
      <sharedItems containsBlank="1"/>
    </cacheField>
    <cacheField name="Статус" numFmtId="49">
      <sharedItems containsBlank="1"/>
    </cacheField>
    <cacheField name="ДатаЗ" numFmtId="14">
      <sharedItems containsDate="1" containsBlank="1" containsMixedTypes="1" minDate="2022-07-12T00:00:00" maxDate="2026-05-02T00:00:00"/>
    </cacheField>
    <cacheField name="МесяцЗ" numFmtId="14">
      <sharedItems containsBlank="1" count="124">
        <m/>
        <s v="2022 07"/>
        <s v="2022 08"/>
        <s v="2022 09"/>
        <s v="2022 10"/>
        <s v="2022 11"/>
        <s v="2022 12"/>
        <s v="2023 01"/>
        <s v="2023 02"/>
        <s v="2023 03"/>
        <s v="2023 04"/>
        <s v="2023 05"/>
        <s v="2023 06"/>
        <s v="2023 07"/>
        <s v="2023 08"/>
        <s v="2023 09"/>
        <s v="2023 10"/>
        <s v="2023 11"/>
        <s v="2023 12"/>
        <s v="2024 01"/>
        <s v="2024 02"/>
        <s v="2024 03"/>
        <s v="2024 04"/>
        <s v="2024 05"/>
        <s v="2024 06"/>
        <s v="2024 07"/>
        <s v="2024 08"/>
        <s v="2024 09"/>
        <s v="2024 10"/>
        <s v="2024 11"/>
        <s v="2024 12"/>
        <s v="2025 01"/>
        <s v="2025 02"/>
        <s v="2025 03"/>
        <s v="2025 04"/>
        <s v="2025 05"/>
        <s v="2025 06"/>
        <s v="2025 07"/>
        <s v="2025 08"/>
        <s v="2025 09"/>
        <s v="2025 10"/>
        <s v="2025 11"/>
        <s v="2025 12"/>
        <s v="2026 01"/>
        <s v="2026 02"/>
        <s v="2026 03"/>
        <s v="2026 04"/>
        <s v="2026 05"/>
        <s v=""/>
        <s v="11 2022" u="1"/>
        <s v="11 2023" u="1"/>
        <s v="11 2024" u="1"/>
        <s v="11 2025" u="1"/>
        <s v="09 2022" u="1"/>
        <s v="8 2025" u="1"/>
        <s v="09 2023" u="1"/>
        <s v="09 2024" u="1"/>
        <s v="4 2025" u="1"/>
        <s v="09 2025" u="1"/>
        <s v="9 2024" u="1"/>
        <s v="02 2023" u="1"/>
        <s v="02 2024" u="1"/>
        <s v="5 2024" u="1"/>
        <s v="02 2025" u="1"/>
        <s v="1 2024" u="1"/>
        <s v="10 2022" u="1"/>
        <s v="10 2023" u="1"/>
        <s v="10 2024" u="1"/>
        <s v="6 2023" u="1"/>
        <s v="10 2025" u="1"/>
        <s v="2 2023" u="1"/>
        <s v="08 2022" u="1"/>
        <s v="08 2023" u="1"/>
        <s v="7 2022" u="1"/>
        <s v="08 2024" u="1"/>
        <s v="08 2025" u="1"/>
        <s v="01 2023" u="1"/>
        <s v="01 2024" u="1"/>
        <s v="01 2025" u="1"/>
        <s v="01 2026" u="1"/>
        <s v="7 2025" u="1"/>
        <s v="3 2025" u="1"/>
        <s v="07 2022" u="1"/>
        <s v="8 2024" u="1"/>
        <s v="07 2023" u="1"/>
        <s v="07 2024" u="1"/>
        <s v="4 2024" u="1"/>
        <s v="07 2025" u="1"/>
        <s v="9 2023" u="1"/>
        <s v="5 2023" u="1"/>
        <s v="1 2023" u="1"/>
        <s v="06 2023" u="1"/>
        <s v="06 2024" u="1"/>
        <s v="06 2025" u="1"/>
        <s v="1 2026" u="1"/>
        <s v="6 2025" u="1"/>
        <s v="2 2025" u="1"/>
        <s v="7 2024" u="1"/>
        <s v="3 2024" u="1"/>
        <s v="8 2023" u="1"/>
        <s v="05 2023" u="1"/>
        <s v="05 2024" u="1"/>
        <s v="4 2023" u="1"/>
        <s v="05 2025" u="1"/>
        <s v="9 2022" u="1"/>
        <s v="9 2025" u="1"/>
        <s v="04 2023" u="1"/>
        <s v="04 2024" u="1"/>
        <s v="5 2025" u="1"/>
        <s v="04 2025" u="1"/>
        <s v="1 2025" u="1"/>
        <s v="12 2022" u="1"/>
        <s v="12 2023" u="1"/>
        <s v="12 2024" u="1"/>
        <s v="6 2024" u="1"/>
        <s v="12 2025" u="1"/>
        <s v="2 2024" u="1"/>
        <s v="12 2026" u="1"/>
        <s v="7 2023" u="1"/>
        <s v="3 2023" u="1"/>
        <s v="8 2022" u="1"/>
        <s v="03 2023" u="1"/>
        <s v="03 2024" u="1"/>
        <s v="03 2025" u="1"/>
      </sharedItems>
    </cacheField>
    <cacheField name="Группа" numFmtId="0">
      <sharedItems containsBlank="1"/>
    </cacheField>
    <cacheField name="Артикул" numFmtId="0">
      <sharedItems containsBlank="1"/>
    </cacheField>
    <cacheField name="Бренд" numFmtId="0">
      <sharedItems containsBlank="1" count="358">
        <m/>
        <s v="California Gold Nutrition"/>
        <s v="21st Century"/>
        <s v="NOW Foods"/>
        <s v="Mason Natural"/>
        <s v="Secret Key"/>
        <s v="Doctor's Best"/>
        <s v="Life Extension"/>
        <s v="NutriBiotic"/>
        <s v="Nordic Naturals"/>
        <s v="Solaray"/>
        <s v="NaturesPlus"/>
        <s v="Sambucol"/>
        <s v="Eucerin"/>
        <s v="Mild By Nature"/>
        <s v="Palmer's"/>
        <s v="Nature's Way"/>
        <s v="One-A-Day"/>
        <s v="HealthyBiom"/>
        <s v="Solgar"/>
        <s v="Futurebiotics"/>
        <s v="Jarrow Formulas"/>
        <s v="American Health"/>
        <s v="Natural Factors"/>
        <s v="Sympli Beautiful"/>
        <s v="ChildLife Essentials"/>
        <s v="Boiron"/>
        <s v="Nature's Bounty"/>
        <s v="Radiant Seoul"/>
        <s v="Arm &amp; Hammer"/>
        <s v="Maybelline"/>
        <s v="I'm From"/>
        <s v="Cococare"/>
        <s v="Petitfee"/>
        <s v="Scitec Nutrition"/>
        <s v="Mutant Mass"/>
        <s v="Sports Research"/>
        <s v="MRM Nutrition"/>
        <s v="Avalon Organics"/>
        <s v="BIG"/>
        <s v="PRIMEKRAFT"/>
        <s v="MoodBooster"/>
        <s v="Missha"/>
        <s v="BioTech USA"/>
        <s v="Paradise Herbs"/>
        <s v="Super Nutrition"/>
        <s v="Sierra Bees"/>
        <s v="АМИЛ0 ГЕЙНЕР"/>
        <s v="RusLab"/>
        <s v="Himalaya"/>
        <s v="MuscleTech"/>
        <s v="Sierra Fit"/>
        <s v="RSP Nutrition"/>
        <s v="Nutrex Research"/>
        <s v="YumEarth"/>
        <s v="Six Star"/>
        <s v="Holy Land"/>
        <s v="Patanjali"/>
        <s v="BIGSNT"/>
        <s v="TOP100"/>
        <s v="VitaMeal"/>
        <s v="9Wishes"/>
        <s v="Blithe"/>
        <s v="St. Ives"/>
        <s v="E.L.F."/>
        <s v="Nobi Nutrition"/>
        <s v="Oslomega"/>
        <s v="Natrol"/>
        <s v="The Grandpa Soap Co."/>
        <s v="EOS"/>
        <s v="Giovanni"/>
        <s v="Youtheory"/>
        <s v="Country Life"/>
        <s v="OK"/>
        <s v="LADOR"/>
        <s v="Incus"/>
        <s v="OstroVit"/>
        <s v="EKEL"/>
        <s v="CeraVe"/>
        <s v="CoralClub"/>
        <s v="Ultimate Nutrition"/>
        <s v="Vplab"/>
        <s v="Thorne"/>
        <s v="Ultamins"/>
        <s v="EYENLIP"/>
        <s v="Forever"/>
        <s v="ТОП100"/>
        <s v="1WIN"/>
        <s v="La Miso"/>
        <s v="Swanson"/>
        <s v="Lake Avenue Nutrition"/>
        <s v="Hydroxycut"/>
        <s v="MegaFood"/>
        <s v="Чайлдлайф"/>
        <s v="TAI YAN"/>
        <s v="La Agera"/>
        <s v="Universal Nutrition"/>
        <s v="be young"/>
        <s v="Farm Stay"/>
        <s v="Beauty Box"/>
        <s v="Samyun Wan"/>
        <s v="LU MINATE"/>
        <s v="Joyer"/>
        <s v="SANONBEAUTY"/>
        <s v="R-Line"/>
        <s v="ALLMAX"/>
        <s v="Azelique"/>
        <s v="Cult"/>
        <s v="SOUL WAY"/>
        <s v="Baking Powder"/>
        <s v="L'il Critters"/>
        <s v="Idealove"/>
        <s v="Kirkland"/>
        <s v="ESEDO"/>
        <s v="GLS"/>
        <s v="SOLAB"/>
        <s v="Havasu Nutrition"/>
        <s v="ENOUGH"/>
        <s v="Maxler"/>
        <s v="Laneige"/>
        <s v="AVRANGpro"/>
        <s v="Zozu"/>
        <s v="Nature's Secret"/>
        <s v="Flintstones"/>
        <s v="Applied Nutrition"/>
        <s v="EVLution Nutrition"/>
        <s v="Bob's Red Mill"/>
        <s v="Be First"/>
        <s v="VERIFIQUE"/>
        <s v="Cloma Pharma"/>
        <s v="Divya"/>
        <s v="NSP"/>
        <s v="Секрет Императора"/>
        <s v="Neutrogena"/>
        <s v="FORTIUS"/>
        <s v="Insane"/>
        <s v="Sports Element"/>
        <s v="Animal"/>
        <s v="KAL"/>
        <s v="Dory_Room"/>
        <s v="The Smurfs"/>
        <s v="VegLife"/>
        <s v="It's Skin"/>
        <s v="Mizon"/>
        <s v="Tree of Life"/>
        <s v="Advanced Clinicals"/>
        <s v="DERMA E"/>
        <s v="Heimish"/>
        <s v="Thai Deodorant Stone"/>
        <s v="MACLEN"/>
        <s v="Starwind"/>
        <s v="Source Naturals"/>
        <s v="PrescriptSkin"/>
        <s v="Real Health"/>
        <s v="Carlson"/>
        <s v="Aminofood"/>
        <s v="Insane Labz"/>
        <s v="Herbs Etc"/>
        <s v="Nature's Life"/>
        <s v="Xenadrine"/>
        <s v="Andalou Naturals"/>
        <s v="Sumyin Wan Slim"/>
        <s v="FatZorb"/>
        <s v="B-Fit"/>
        <s v="Solumeve"/>
        <s v="artnaturals"/>
        <s v="BioSchwartz"/>
        <s v="Black Panther"/>
        <s v="Bio Produkt"/>
        <s v="Planetary Herbals"/>
        <s v="Nature's Truth"/>
        <s v="Force Factor"/>
        <s v="Workout time"/>
        <s v="Bio Product"/>
        <s v="Red Ginseng"/>
        <s v="Trec Nutrition"/>
        <s v="Christopher's Original Formulas"/>
        <s v="Kyolic"/>
        <s v="Optimum Nutrition"/>
        <s v="Dabur"/>
        <s v="Minoxidil"/>
        <s v="Terra Origin"/>
        <s v="MediNatura"/>
        <s v="BioSil"/>
        <s v="Smart Bee"/>
        <s v="AumRa"/>
        <s v="Bluebonnet Nutrition"/>
        <s v="Jason Natural"/>
        <s v="BSN"/>
        <s v="Codeage"/>
        <s v="L'Oréal"/>
        <s v="Rusco Sport"/>
        <s v="Dobro"/>
        <s v="FIGHT BALL"/>
        <s v="PharmaMed"/>
        <s v="Healths Harmony"/>
        <s v="Life-flo"/>
        <s v="Natural Vitality"/>
        <s v="Гантели-В-Деле"/>
        <s v="RUSHAKER"/>
        <s v="IVEKA SHOP"/>
        <s v="Space Nutrition"/>
        <s v="Elianware"/>
        <s v="Spotlife"/>
        <s v="LOVE SPORT"/>
        <s v="GOLDEN FIT"/>
        <s v="Sundown Naturals"/>
        <s v="FITCODE"/>
        <s v="Indigo"/>
        <s v="Eclectic Institute"/>
        <s v="Nature's Craft"/>
        <s v="Hobe Labs"/>
        <s v="Enzymedica"/>
        <s v="XINOXIN"/>
        <s v="Iron mass"/>
        <s v="50BMG pharm"/>
        <s v="SKILLS NUTRITION"/>
        <s v="Nutricost"/>
        <s v="LA"/>
        <s v="Amazing Nutrition"/>
        <s v="Primaforce"/>
        <s v="Trilogy"/>
        <s v="Garden of Life"/>
        <s v="JR"/>
        <s v="Dr.M.S.Basu's"/>
        <s v="СОЛОЛЕТО"/>
        <s v="Vital Proteins"/>
        <s v="Morningstar Minerals"/>
        <s v="Honees"/>
        <s v="Ecological Formulas"/>
        <s v="Real Mushrooms"/>
        <s v="wet n wild"/>
        <s v="ESSENS"/>
        <s v="Elizavecca"/>
        <s v="Zahler"/>
        <s v="Mr.Volos"/>
        <s v="NUTRICIA"/>
        <s v="JAGAT PHARMA"/>
        <s v="MEDI-PEEL"/>
        <s v="FIT90"/>
        <s v="Terry Naturally"/>
        <s v="Yeouth"/>
        <s v="Fairhaven Health"/>
        <s v="V-Shape Supps"/>
        <s v="Optimum System"/>
        <s v="Eco Energy food"/>
        <s v="MEDIHEAL"/>
        <s v="SMNutrition"/>
        <s v="Beauty of Joseon"/>
        <s v="Desert Essence"/>
        <s v="The Organic Skin Co"/>
        <s v="Cardiovascular Research"/>
        <s v="Pure Co"/>
        <s v="Nature's Answer"/>
        <s v="Green Leaf Formula"/>
        <s v="ECODERMA"/>
        <s v="LE PETIT OLIVIER"/>
        <s v="LOREN COSMETIC"/>
        <s v="iHerb Goods"/>
        <s v="Gillette"/>
        <s v="Axe"/>
        <s v="Lady choice"/>
        <s v="NutraBio"/>
        <s v="Vibrant Health"/>
        <s v="Bragg"/>
        <s v="Freeman Beauty"/>
        <s v="Eclectic Herb"/>
        <s v="Madre Labs"/>
        <s v="Love Beauty and Planet"/>
        <s v="Alba Botanica"/>
        <s v="Kulak"/>
        <s v="Huatuo Zaizao Wan"/>
        <s v="Kleem Organics"/>
        <s v="VitaLine"/>
        <s v="Cliganic"/>
        <s v="petnc NATURAL CARE"/>
        <s v="I Dew Care"/>
        <s v="Davids Natural Toothpaste"/>
        <s v="NatureWise"/>
        <s v="Montebello"/>
        <s v="Almay"/>
        <s v="Bio Nutrition"/>
        <s v="Stonewall Kitchen"/>
        <s v="Date Lady"/>
        <s v="Madhava Natural Sweeteners"/>
        <s v="Tree To Tub"/>
        <s v="Dr. Mercola"/>
        <s v="iHerb Gift Set"/>
        <s v="Metagenics"/>
        <s v="Best Naturals"/>
        <s v="Natural Outcome"/>
        <s v="Davids"/>
        <s v="Kids Smart"/>
        <s v="NeilMed"/>
        <s v="Healthis"/>
        <s v="Lakanto"/>
        <s v="Nutricology"/>
        <s v="Host Defense"/>
        <s v="Arthur Andrew Medical"/>
        <s v="Mielle"/>
        <s v="Allergy Research Group"/>
        <s v="The Genius Brand"/>
        <s v="Hawaiian Tropic"/>
        <s v="Round Lab"/>
        <s v="Anua"/>
        <s v="Mt. Capra"/>
        <s v="Irwin Naturals"/>
        <s v="Vitamatic"/>
        <s v="LifeTime Vitamins"/>
        <s v="Phytoral"/>
        <s v="Heritage Store"/>
        <s v="Selsun Blue"/>
        <s v="Organic India"/>
        <s v="Luseta Beauty"/>
        <s v="Nutra BioGenesis"/>
        <s v="ProHealth Longevity"/>
        <s v="Seeking Health"/>
        <s v="Sunwarrior"/>
        <s v="Frudia"/>
        <s v="Scunci"/>
        <s v="CP-1"/>
        <s v="Sovereign Silver"/>
        <s v="Dr. For hair"/>
        <s v="RADIUS"/>
        <s v="NutraChamps"/>
        <s v="Vital Earth Minerals"/>
        <s v="Herbs Etc."/>
        <s v="Jigsaw Health"/>
        <s v="Real Aloe"/>
        <s v="Pure Indian Foods"/>
        <s v="Trace"/>
        <s v="Ancient Nutrition"/>
        <s v="Whole World Botanicals"/>
        <s v="Wiley's Finest"/>
        <s v="SheaMoisture"/>
        <s v="iHerb Exclusive"/>
        <s v="Qunol"/>
        <s v="Gaia Herbs"/>
        <s v="K-Y"/>
        <s v="Global Healing"/>
        <s v="Farmstay"/>
        <s v="Ageless Foundation Laboratories"/>
        <s v="OceanBlue"/>
        <s v="Micro Ingredients"/>
        <s v="Pure Synergy"/>
        <s v="Toniiq"/>
        <s v="Designs For Health"/>
        <s v="New Chapter"/>
        <s v="Timeless Skin Care"/>
        <s v="NutraLife"/>
        <s v="SKIN1004"/>
        <s v="Egmont Honey"/>
        <s v="L.A. Girl"/>
        <s v="Dairyland Ginseng"/>
        <s v="Econugenics"/>
        <s v="Wellah"/>
        <s v="True Sea Moss"/>
        <s v="" u="1"/>
      </sharedItems>
    </cacheField>
    <cacheField name="Наименование" numFmtId="0">
      <sharedItems containsBlank="1" count="2078">
        <m/>
        <s v="CollagenUP®, гидролизованные пептиды морского коллагена с гиалуроновой кислотой и витамином C, с нейтральным вкусом, 206 г (7,26 унции)"/>
        <s v="Sentry, для женщин, мультивитаминная и мультиминеральная добавка, 120 таблеток"/>
        <s v="Sentry для мужчин, добавка с комплексом витаминов и микроэлементов, 120 таблеток"/>
        <s v="21st Century, цитрат цинка, 50 мг, 60 таблеток CEN-28026"/>
        <s v="21st Century, Биотин, 5000 мкг, 110 капсул CEN-27116"/>
        <s v="NOW Foods, жирные кислоты омега-3 в мини-капсулах, 180 ЭПК / 120 ДГК, 180 капсул NOW-01685"/>
        <s v="премиальный рыбий жир с омега-3, 100 капсул из рыбьего желатина (1100 мг в 1 капсуле)"/>
        <s v="California Gold Nutrition, омега-3, рыбий жир премиального качества, 180 мг ЭПК / 120 мг ДГК, 100 капсул из рыбьего желатина MLI-00953"/>
        <s v="NOW Foods, жирные кислоты омега-3, 180 ЭПК / 120 ДГК, 100 капсул NOW-01650"/>
        <s v="крем с коллагеном премиального качества, 57 г (2 унции)"/>
        <s v="California Gold Nutrition, витамин D3, 125 мкг (5000 МЕ), 360 капсул из рыбьего желатина CGN-01066"/>
        <s v="Secret Key, Освежающий успокаивающий тоник Tea Tree, 248 мл (8,38 жидк. Унции) SKE-99153"/>
        <s v="витамин D3, высокоактивный, 125 мкг (5000 МЕ), 120 мягких таблеток"/>
        <s v="витамин D3, 125 мкг (5000 МЕ), 90 капсул из рыбьего желатина"/>
        <s v="21st Century, магний, 250 мг, 110 таблеток CEN-22713"/>
        <s v="гинкго с повышенной силой действия, 120 мг, 120 вегетарианских капсул"/>
        <s v="Мультивитамины для двух приемов в день, 120 таблеток"/>
        <s v="Life Extension, таблетки для приема дважды в день, 60 таблеток LEX-23166"/>
        <s v="Immunity, аскорбат натрия, кристаллический порошок, 227 г (8 унций)"/>
        <s v="Children's DHA, ДГК для детей от 1 до 6 лет, со вкусом клубники, 530 мг, 119 мл (4 жидк. унции) (530 мг в 1/2 ч. л.)"/>
        <s v="жидкий хлорофилл, аромат натуральной мяты, 473 мл (16 жидк. унций)"/>
        <s v="Solaray, Медь, 2&amp;nbsp;мг, 100&amp;nbsp;вегетарианских капсул SOR-45931"/>
        <s v="глюкозамин, хондроитин, гиалуроновая кислота и МСМ, 120 таблеток"/>
        <s v="Gold C™, витамин C класса USP, 1000 мг, 60 растительных капсул"/>
        <s v="NaturesPlus, Hema-Plex, 30 таблеток с длительным высвобождением NAP-03770"/>
        <s v="Сироп из черной бузины, для детей, ягодный аромат, 230 мл (7,8 жидк, унции)"/>
        <s v="NOW Foods, МСМ, метил-сульфонил-метан, 1000 мг, 120 капсул в растительной оболочке NOW-02120"/>
        <s v="Life Extension, витамин B12, 500 мкг, 100 вегетарианских пастилок LEX-36110"/>
        <s v="Sensitive Mineral, легкий солнцезащитный лосьон, SPF 50, без отдушек, 118 мл (4 жидк. унц.)"/>
        <s v="селен, 100 мкг, 250 таблеток"/>
        <s v="Mild By Nature, африканское черное кусковое мыло, с овсом и подорожником, 141 г (5 унций) MBN-01707"/>
        <s v="NOW Foods, жирные кислоты омега-3, 180 ЭПК / 120 ДГК, 200 капсул из рыбьего желатина NOW-01648"/>
        <s v="Solaray, Iron (Железо), 50 мг, 60 растительных капсул SOR-46105"/>
        <s v="NOW Foods, магний и кальций, 100 таблеток NOW-01277"/>
        <s v="Palmer's, Формула с маслом какао, увлажняющий ночной крем, 2,7 унции (75 г) PAL-04545"/>
        <s v="DIM-Plus ™, 120 веганских капсул"/>
        <s v="рыбий жир с омега-3, 1000 мг, 180 ЭПК, 120 ДГК, 200 капсул"/>
        <s v="NOW Foods, силимарин двойной концентрации, 300 мг, 50 вегетарианских капсул NOW-04738"/>
        <s v="One-A-Day, Активный метаболизм для женщин, мультивитаминная / мультиминеральная добавка, 50 таблеток OAD-58701"/>
        <s v="HealthyBiom, пребиотики и пробиотики для пищеварительной и иммунной систем, 12 млрд КОЕ, 30 растительных капсул HBI-02027"/>
        <s v="Solgar, Комплекс незаменимых аминокислот, 90 растительных капсул SOL-00102"/>
        <s v="M.V. Teen™, 90 капсул"/>
        <s v="NOW Foods, цитрат магния, 120 вегетарианских капсул NOW-01294"/>
        <s v="Jarrow Formulas, Zinc Balance, 100 вегетарианских капсул JRW-13008"/>
        <s v="American Health, Ester-C, 500 мг, 90 вегетарианских таблеток AMH-16971"/>
        <s v="Natural Factors, Rx Omega-3, 120 мягких таблеток Enteripure NFS-03549"/>
        <s v="California Gold Nutrition, коэнзим Q10, 200 мг, 120 растительных капсул CGN-01274"/>
        <s v="кора муравьиного дерева, 500 мг, 250 растительных капсул"/>
        <s v="Sympli Beautiful, сыворотка со стволовыми клетками и витамином C, пробник, 15 мл (0,5 жидк. унции) SYI-02109"/>
        <s v="Doctor's Best, глюкозамин, хондроитин и МСМ с OptiMSM, 240 вегетарианских капсул DRB-00081"/>
        <s v="ChildLife Essentials, витамин D3, со вкусом натуральных ягод, 30 мл (1 жидк. унция) CDL-10900"/>
        <s v="Nordic Naturals, ДГК для детей, клубника, для детей 3–6 лет, 62.5 мг, 90 желатиновых мини-капсул NOR-01710"/>
        <s v="Nature's Way, Alive! комплекс мультивитаминов для детей, вишня, апельсин и виноград, 60 жевательных конфет NWY-15788"/>
        <s v="Source of Life, Animal Parade, добавка для укрепления детского иммунитета, вкус натуральных тропических ягод, 90 животных"/>
        <s v="Sympli Beautiful, Омолаживающий комплекс с гиалуроновой кислотой, пробный объем, 15 мл (0,5 жидк. Унции) SYI-02110"/>
        <s v="21st Century, добавка для здоровья глаз, лютеин и антиоксиданты, 60 таблеток CEN-27452"/>
        <s v="21st Century, Zoo Friends с добавлением витамина C, апельсин, 60 жевательных таблеток CEN-27313"/>
        <s v="Boiron, Single Remedies, Фосфор, 30C, прибл. 80 гранул BOS-56913"/>
        <s v="21st Century, кальций, магний, цинк и витамин D3, 90 таблеток CEN-22263"/>
        <s v="Nature's Bounty, Кальций, магний и цинк с витамином D3, 100 капсул в оболочке NRT-04290"/>
        <s v="NaturesPlus, Source of Life, Animal Parade, кальций, жевательная добавка для детей, со вкусом ванильного мороженого, 90 таблеток в форме животных NAP-29996"/>
        <s v="21st Century, Комплекс с куркумой, 500 мг, 60 вегетарианских капсул CEN-27844"/>
        <s v="Суперколлаген с витамином C, 6000 мг, 180 таблеток (1000 мг в 1 таблетке)"/>
        <s v="Radiant Seoul, Осветляющий увлажняющий крем, пробный размер, 25 мл (0,85 жидк. Унции) RSE-01956"/>
        <s v="Arm &amp; Hammer, UltraMax, твердый дезодорант-антиперспирант для мужчин, аромат «Active Sport», 73 г (2,6 унции) ARH-19744"/>
        <s v="Arm &amp; Hammer, UltraMax, твердый дезодорант-антиперспирант для женщин, свежий пудровый аромат, 73 г (2,6 унции) ARH-19470"/>
        <s v="The Colossal Mascara, 230 Glam Black, 9,2 мл (0,31 жидк. унц.)"/>
        <s v="I'm From, медовая маска, 30 г (1,05 унции) IMF-05216"/>
        <s v="Cococare, Крем с маслом ши, 110 г (4 унции) COC-09855"/>
        <s v="Cococare, крем с маслом какао, 425 г (15 унций) COC-09015"/>
        <s v="NutriBiotic, дезодорант, без запаха, 75 г (2,6 унции) NBC-01065"/>
        <s v="Nature's Way, комплекс магния, 250 мг, 100 капсул NWY-41051"/>
        <s v="Petitfee, Snow Lotus, увлажняющий и осветляющий крем для лица, 50 мл PTT-85000"/>
        <s v="Chlorofresh, жидкий хлорофилл, без добавок, 480 мл (16 жидк, унций)"/>
        <s v="Scitec Nutrition, / Amino 5600 (500 tab)"/>
        <s v="Mutant Mass, xXxtreme 2500 (5,45 kg triple chocolate)"/>
        <s v="California Gold Nutrition, Gold C, витамин C класса USP, 500 мг, 240 вегетарианских капсул CGN-00934"/>
        <s v="NOW Foods, гинкго билоба, двойная сила, 120 мг, 50 вегетарианских капсул NOW-04682"/>
        <s v="21st Century, One Daily, комплекс необходимых элементов, 100 таблеток CEN-27303"/>
        <s v="21st Century, One Daily, Maximum, 100 таблеток CEN-27304"/>
        <s v="21st Century, One Daily, мультивитаминная и мультиминеральная добавка для женщин, 100 таблеток CEN-27308"/>
        <s v="21st Century, One Daily, для мужского здоровья, 100 таблеток CEN-27305"/>
        <s v="NOW Foods, CoQ10 с ягодами боярышника, 100 мг, 90 растительных капсул NOW-03212"/>
        <s v="витамин D3 для детей в каплях, 10 мкг (400 МЕ), 10 мл (0,34 жидк. унции)"/>
        <s v="One-A-Day, Energy, мультивитаминная / мультиминеральная добавка, 50 таблеток OAD-58700"/>
        <s v="Chlorofresh, жидкий хлорофилл, со вкусом мяты, 132 мг, 480 мл (16 жидк, унций) (132 мг в 2 ст, л,)"/>
        <s v="подсолнечный лецитин, 1200 мг, 200 капсул"/>
        <s v="C-1000, 100 таблеток"/>
        <s v="Омега-3, рыбий жир премиального качества, 240 капсул из рыбьего желатина"/>
        <s v="Natural Factors, коэнзим Q10, 100 мг, 60 мягких таблеток NFS-02071"/>
        <s v="Solaray, Витамины и минералы для детей, в форме жевательных таблеток, с натуральным вкусом ягод черемухи, 120 жевательных таблеток"/>
        <s v="Индол 3-карбинол, 200 мг, 60 растительных капсул"/>
        <s v="Sports Research, масло примулы вечерней, 1300 мг, 30 мягких  желатиновых капсул SRE-01145"/>
        <s v="Глюкозамин с хондроитином и МСМ, 90 капсул"/>
        <s v="Mild By Nature, шампунь для густоты волос с B-комплексом и биотином, розмарин и мята, 473 мл (16 жидк. унций) MBN-01231"/>
        <s v="Avalon Organics, шампунь для густоты волос, с B-комплексом и биотином, 414 мл (14 жидк. унций) AVA-36102"/>
        <s v="спрей для горла с экстрактом косточек грейпфрута, цинком и ментолом, 118 мл (4 жидк, унции)"/>
        <s v="плоды витекса, 400 мг, 100 веганских капсул"/>
        <s v="NOW Foods, порошок из шелухи семян подорожника, 340 г (12 унций) NOW-05975"/>
        <s v="NOW Foods, Daily Vits, мультивитамины и микроэлементы, 30 вегетарианских капсул NOW-03775"/>
        <s v="NOW Foods, сертифицированная органическая спирулина,500 мг, 100 таблеток NOW-02696"/>
        <s v="Natural Factors, NAC N-ацетил-L цистеин, 500 мг, 90 вегетарианских капсул NFS-02815"/>
        <s v="California Gold Nutrition, AjiPure, L-аргинин, 500 мг, 60 растительных капсул CGN-01126"/>
        <s v="WomenSense, RxOmega-3, 120 мягких таблеток Enteripure"/>
        <s v="NOW Foods, Solutions, масло ши, 198 мл (7 жидк. унций) NOW-07756"/>
        <s v="Life Extension, Sea-Iodine, 1000 мкг, 60 вегетарианских капсул LEX-17406"/>
        <s v="Кора муравьиного дерева, внутренний слой, 1090 мг, 180 веганских капсул (545 мг в 1 капсуле)"/>
        <s v="BIG, Креатин моногидрат порошок / Creatine для набора мышечной массы / 200 Mesh / без вкуса / 150 г / 30 порций 310130219"/>
        <s v="PRIMEKRAFT, Протеин сывороточный &quot;Whey Protein&quot; с витаминами и минералами, Молочный шоколад, 500 г, 170919152"/>
        <s v="Волосы, кожа и ногти, усовершенствованная формула, 50 таблеток"/>
        <s v="цинк в хелатной форме, 25 мг, 90 таблеток"/>
        <s v="Natural Factors, цитрат магния, 150 мг, 90 капсул NFS-01652"/>
        <s v="Магний с высокой степенью усвоения, 100 мг, 120 таблеток"/>
        <s v="Биотин, 5000 мкг, 120 вегетарианских капсул"/>
        <s v="NOW Foods, жирные кислоты омега-3, 180 ЭПК / 120 ДГК, 500 капсул NOW-01653"/>
        <s v="пиколинат хрома, 100 веганских капсул (200 мкг в 1 капсуле)"/>
        <s v="MoodBooster, Гейнер для набора массы спортивное питание протеин быстрые углеводы порошок 1000гр"/>
        <s v="NOW Foods, витамины D3 и K2, 120 растительных капсул NOW-00369"/>
        <s v="21st Century, биотин, 10 000 мкг, 120 таблеток, CEN-27757"/>
        <s v="Natural Factors, цитрат цинка, 15 мг, 90 таблеток, NFS-01678"/>
        <s v="Биотин, 5000 мкг, 60 вегетарианских капсул"/>
        <s v="Ultra Omega-3, рыбий жир с омега-3, 180 капсул"/>
        <s v="Мультивитамины для приема два раза в день, 60 капсул"/>
        <s v="Life Extension, мультивитамины для приема два раза в день, 120 капсул, LEX-23141"/>
        <s v="Magic Cushion Cover Lasting, No. 21 Светло-бежевый, 0,52 унции (15 г)"/>
        <s v="магний с витамином B6, 250 таблеток"/>
        <s v="BioTech USA, Л-карнитин с хромом BiotechUSA L-Carnitine + Chrome 60 капс., 267842280"/>
        <s v="Solgar, L-лизин, в свободной форме, 1000 мг, 100 таблеток SOL-01701"/>
        <s v="21st Century, кальций с витамином D3, 1000 мг, 90 таблеток CEN-27070"/>
        <s v="Solgar, комплекс витаминов группы B «50», 100 растительных капсул SOL-01121"/>
        <s v="California Gold Nutrition, AP-BIO, средство для укрепления иммунитета с экстрактом андрографиса, 100 мг, 30 таблеток CGN-02030"/>
        <s v="Doctor's Best, альфа-липоевая кислота, 300 мг, 180 вегетарианских капсул DRB-00277"/>
        <s v="California Gold Nutrition, AP-BIO, средство для укрепления иммунитета с экстрактом андрографиса, 100 мг, 120 таблеток CGN-01819"/>
        <s v="NOW Foods, кальций и магний, 250 таблеток NOW-01272"/>
        <s v="Mason Natural, Масло вечерней примулы, 60 капсул MAV-12845"/>
        <s v="Earth's Blend, комплекс суперфудов и мультивитаминов с железом, для приема один раз в день, 120 вегетарианских капсул"/>
        <s v="California Gold Nutrition, Immune 4, средство для укрепления иммунитета, 60 вегетарианских капсул CGN-01842"/>
        <s v="биотин, 5000 мкг, 100 растительных капсул"/>
        <s v="кожа, ногти и волосы, улучшенная формула с МСМ, 120 таблеток"/>
        <s v="California Gold Nutrition, Gold C, витамин C класса USP, 1000 мг, 240 вегетарианских капсул CGN-00932"/>
        <s v="Nature's Way, Alive! суперэффективные, полноценные мультивитамины для взрослых, 60 таблеток NWY-15679"/>
        <s v="Nordic Naturals, Ultimate Омега-D3, со вкусом лимона, 1000 мг, 120 капсул NOR-02794"/>
        <s v="NOW Foods, Калий плюс йод, 180 таблеток NOW-01452"/>
        <s v="Super Nutrition, витамины D3 и К2, 60 растительных капсул SPN-02123"/>
        <s v="CollagenUP®, гидролизованные пептиды морского коллагена с гиалуроновой кислотой и витамином C, с нейтральным вкусом, 464 г (1,02 фунта)"/>
        <s v="21st Century, цитрат кальция и витамин D3, максимальная эффективность, 120 таблеток CEN-27493"/>
        <s v="NOW Foods, ашваганда, стандартизованный экстракт, 450 мг, 90 растительных капсул NOW-04603"/>
        <s v="Sierra Bees, органические бальзамы для губ, гранат, 4 штуки по 4,25 г (0,15 унции), MBE-01141"/>
        <s v="21st Century, Zoo Friends, мультивитаминные жевательные мармеладки, плюс дополнительный витамин C, фрукты с отличным вкусом, 60 жевательных таблеток CEN-27685"/>
        <s v="BIG, Креатин моногидрат порошок Кока-кола 007002143"/>
        <s v="АМИЛ0 ГЕЙНЕР, Амилопектин Гейнер для набора массы энергетик сил натурально, 086821897"/>
        <s v="RusLab, Гейнер/для набора массы GIANT MASS (950 гр),вкус капучино, 026911480"/>
        <s v="Himalaya, Ашваганда, 078518967"/>
        <s v="Himalaya, Трифала (Triphala) БАД для очищения организма, детокс,  капсулы (Трипфала), 073585325"/>
        <s v="MuscleTech, VaporX5, Next Gen, предтренировочный комплекс, со вкусом Blue Razz Freeze, 266 г (9,40 унции) MSC-71092"/>
        <s v="California Gold Nutrition, SPORT, изолят сывороточного протеина, 454 г (1 фунт, 16 унций) CGN-01064"/>
        <s v="Super Nutrition, SimplyOne, мультивитамины и поддерживающие травы для мужчин, 90 таблеток SPN-00215"/>
        <s v="Sentry, мультивитаминная и мультиминеральная добавка для взрослых, 130 таблеток"/>
        <s v="Sierra Fit, предтренировочная добавка в порошке, со вкусом манго, 270 г (9,5 унции) SIE-01683"/>
        <s v="RSP Nutrition, BCAA 5000, водорастворимые аминокислоты с разветвленной цепью, апельсин и манго, 5000 мг, 225 г (7,94 унции) RSP-00733"/>
        <s v="Nutrex Research, Tribulus Black 1300, поддержка уровня тестостерона, 120 капсул NRX-00741"/>
        <s v="YumEarth, органические леденцы, любимое ассорти, 50 леденцов, 310 г (10,9 унции) YUE-00186"/>
        <s v="Six Star, Elite Series, добавка для увеличения выработки тестостерона, 60 капсул MSC-60311"/>
        <s v="SOLARAY, Bio Zinc, 15 мг, 100 растительных капсул, SOR-04705"/>
        <s v="селен, 100 мкг, 100 таблеток"/>
        <s v="Holy Land, Восстанавливающий крем Alpha-Beta and Retinol Restoring Cream, "/>
        <s v="Missha, Тональный крем MISSHA M Perfect Cover BB Cream SPF42/PA+++ (No.21/Light Beige) 50ml, 72335422"/>
        <s v="Patanjali, Чаванпраш Плюс / Chyawanprash Plus / Индия / Аюрведа Джем / Патанджали 500 г, 355578901"/>
        <s v="BIGSNT, Креатин моногидрат порошок / BIG Creatine для набора мышечной массы / 200 Mesh / без вкуса / 150 г / 30 порций"/>
        <s v="TOP100, Гейнер для набора массы спортивное питание протеин быстрые углеводы порошок 1000гр, 688630275"/>
        <s v="VitaMeal, Протеин, Белковый коктейль для массы Whey Protein порошок, VitaMeal, 900 грамм, Банан-дыня"/>
        <s v="увлажняющий солнцезащитный крем, SPF 50+ PA+++, 50 мл (1,7 жидк. унции)"/>
        <s v="Mild By Nature, увлажняющий лосьон для тела, лаванда и лемонграсс, 236 мл (8 жидк. унций) MBN-02152"/>
        <s v="Eucerin, ночной крем против морщин с коэнзимом Q10 и про-ретинолом, 48 г (1,7 жидк. унции) EUC-02667"/>
        <s v="Blithe, Tundra Chaga, спрессованная сыворотка, 10 мл (0,33 жидк. унции) BLT-66021"/>
        <s v="St. Ives, восстанавливающий увлажняющий крем с коллагеном и эластином, 283 г (10 унций) IVE-10473"/>
        <s v="E.L.F., Пудра-праймер для маскировки пор, универсальная, прозрачная, 21 г (0,74 унции) ELF-85912"/>
        <s v="Nutrex Research, Lipo-6 Black, ультраконцентрат, 30 черных капсул NRX-00764"/>
        <s v="Nutrex Research, LIPO-6 Black для женщин, ультраконцентрат, 60 черных капсул NRX-00072"/>
        <s v="Nobi Nutrition, Премиум средство для сжигания жира в ночное время, 60 капсул NOB-27406"/>
        <s v="Radiant Seoul, увлажняющая тканевая маска, 1 шт., 25 мл (0,85 унции) RSE-01732"/>
        <s v="Missha, M Perfect Cover, BB-крем, SPF 42 PA+++, оттенок 21 светло-бежевый, 50 мл (1,7 унции) MSH-79311"/>
        <s v="Missha, Super Aqua, очищающая пенка с экстрактом секрета улитки для восстановления клеток кожи, 100 мл (3,38 жидк. унции) MSH-45855"/>
        <s v="Nature's Way, Alive! комплекс мультивитаминов премиального качества для детей, вишня, апельсин и виноград, 90 жевательных конфет NWY-15789"/>
        <s v="Oslomega, рыбий жир с омега-3 для детей, натуральный клубничный вкус, 60 капсул из рыбьего желатина OSL-01395"/>
        <s v="Oslomega, Норвежская серия, докозагексаеновая кислота (ДГК) с витамином D3 для детей, 60 мл (2 жидкие унции) OSL-01392"/>
        <s v="NOW Foods, Kid Vits, ягодный взрыв, 120 жевательных таблеток NOW-03882"/>
        <s v="Nature's Way, кора муравьиного дерева, 545 мг, 100 веганских капсул NWY-15450"/>
        <s v="мелатонин, медленное высвобождение, 5 мг, 100 таблеток"/>
        <s v="Life Extension, суперубихинол коэнзим Q10 с улучшенной поддержкой митохондрий, 100 мг, 30 мягких таблеток LEX-14373"/>
        <s v="силимарин двойной силы действия, 300 мг, 100 вегетарианских капсул"/>
        <s v="Mild By Nature, кондиционер для густоты волос, с В-комплексом и биотином, цитрусовый, 473 мл (16 жидк. унций) MBN-01260"/>
        <s v="Mild By Nature, кусковое мыло с манго и куркумой, 141 г (5 унций) MBN-01739"/>
        <s v="The Grandpa Soap Co., Мыло для лица, тела и волос, хвойная смола, 120 г GDP-00701"/>
        <s v="EOS, бальзам для губ, со вкусом клубничного сорбета, 7 г (0,25 унции) EOS-00284"/>
        <s v="EOS, смягчающий бальзам для губ с маслом ши, кокосовое молоко, 7 г (0,25 унции) EOS-01004"/>
        <s v="Mason Natural, витамин К2, 100 мкг, 100 таблеток MAV-17681"/>
        <s v="Giovanni, Nutrafix, средство для восстановления сильно поврежденных волос, 200 мл (6,8 жидк. унции) GIO-06008"/>
        <s v="NOW Foods, МСМ, метилсульфонилметан, 1000 мг, 240 вегетарианских капсул NOW-02121"/>
        <s v="Doctor's Best, глюкозамин, хондроитин и МСМ с гиалуроновой кислотой, 150 вегетарианских капсул DRB-00271"/>
        <s v="Youtheory, коллаген для суставов, улучшенная формула с босвеллией, 120 таблеток YOU-00333"/>
        <s v="ацерола в жевательной форме, комплекс витамина C, со вкусом ягод, 500 мг, 90 жевательных таблеток"/>
        <s v="California Gold Nutrition, витамин D3, 50 мкг (2000 МЕ), 360 рыбно-желатиновых капсул CGN-01180"/>
        <s v="OK, Трибулус Террестрис (Tribulus Terrestris) - 500 мг. 90 капсул, 000000000"/>
        <s v="LADOR, Маска для волос на травяной основе с аминокислотами, для раздраженной кожи головы, восстановления и питания волос Lador Herbalism Treatment 150 мл, 000000000"/>
        <s v="Incus, Маска для всех типов волос, включая окрашенные, поврежденные, непослушные и вьющиеся волосы (Aroma Hair Pack), Корея, 150ml, 000000000"/>
        <s v="Himalaya, Confido 60 таб. / Конфидо Гималая, Индия / Для мужского здоровья. Для восстановления репродуктивных функций мужчин, 000000000"/>
        <s v="Patanjali, Чаванпраш Плюс / Chyawanprash Plus / Индия / Аюрведа Джем / Патанджали 1000 г, 026995436"/>
        <s v="OstroVit, ОстроВит Магний Цинк Витамин B MgZB 90 т., 000000000"/>
        <s v="OstroVit, Мелатонин Melatonin 4000 мкг, 100 таб., 000000000"/>
        <s v="Himalaya, Ашваганда / Ашвагандха (Ashvagandha) от стресса и тревоги, 60 таб. / Антистресс / Гималая, 017919762"/>
        <s v="NOW Foods, Eve, эффективные мультивитамины для женщин, без железа, 120 растительных капсул NOW-03798"/>
        <s v="NOW Foods, цинк, 50 мг, 250 таблеток NOW-01522"/>
        <s v="глицинат магния, 180 таблеток (100 мг в 1 таблетке)"/>
        <s v="LADOR, Восстанавливающая экспресс сыворотка-клей против секущихся кончиков волос Keratin Power Glue 2 шт х 15 мл, 000000000"/>
        <s v="LADOR, Восстанавливающая маска для сухих и поврежденных волос с коллагеном и аминокислотным комплексом Hydro LPP Treatment 150 мл, 000000000"/>
        <s v="EKEL, Крем для лица с Коллагеном Ампульный Омолаживающий Ampule Cream Collagen, 70 мл, 0000000000"/>
        <s v="EKEL, Увлажняющий крем с гиалуроновой кислотой, 100 гр., 0000000000"/>
        <s v="EKEL, Крем для лица с Гиалуроновой кислотой Ампульный Интенсивно увлажняющий Ampule Cream Hyaluronic Acid, 70 мл, 000000000"/>
        <s v="EKEL, Крем для глаз (век) с Коллагеном Против морщин Eye Cream Collagen, 70 мл, 000000000"/>
        <s v="CeraVe, влажняющий очищающий крем-гель для нормальной и сухой кожи лица и тела 236 мл не образует пену/интенсивно увлажняет и питает/повышает упругость кожи, 000000000"/>
        <s v="CeraVe, Лосьон для лица увлажняющий, для нормальной и сухой кожи, 52 мл, 000000000"/>
        <s v="OstroVit, Магний + B6 OstroVit Mg + B6, 90 таб., 000000000"/>
        <s v="Nutrex Research, Жиросжигатели липо 6 нутрекс Lipo 6 Nutrex Black Ultra Concentrate 30 капсул, 750910268"/>
        <s v="CoralClub, Корал Магний, 000091881"/>
        <s v="CoralClub, Кора муравьиного дерева с мате (КМД с мате), 000002125"/>
        <s v="CoralClub, Каcкара Саграда (100 таблеток), 000001405"/>
        <s v="CoralClub, ЛимФлоу, 000091865"/>
        <s v="CoralClub, H-500, 000091800"/>
        <s v="Ultimate Nutrition, Гейнер Muscle Juice Revolution 2120 гр, Шоколадный Крем, 227237379"/>
        <s v="LADOR, Шампунь для волос кератиновый Keratin LPP Shampoo, 530 мл, 155827100"/>
        <s v="CoralClub, Кора муравьиного дерева с селеном, 000002153"/>
        <s v="CoralClub, Сильвер-Макс, 000091619"/>
        <s v="Nature's Way, Alive! Once Daily, полный комплекс высокоэффективных мультивитаминов для женщин, 60 таблеток NWY-15686"/>
        <s v="Super Primrose, масло примулы вечерней, 1300 мг, 120 капсул"/>
        <s v="Nature's Way, Alive! комплексная мультивитаминная добавка для женщин, ягодный вкус, 130 жевательных конфет NWY-11536"/>
        <s v="NOW Foods, пробиотик для женщин, 20 млрд КОЕ, 50 растительных капсул NOW-02906"/>
        <s v="21st Century, Sentry Senior, пищевая добавка с комплексом витаминов и минералов для женщин старше 50 лет, 100 таблеток CEN-27542"/>
        <s v="Витамин D3, высокая эффективность, 125 мкг (5000 МЕ), 240 мягких таблеток"/>
        <s v="NOW Foods, мелатонин, 3 мг, 60 растительных капсул NOW-03255"/>
        <s v="HealthyBiom, Пребиотик и пробиотик для контроля веса и получения энергии, 12 млрд КОЕ, 60 растительных капсул HBI-02026"/>
        <s v="Sambucol, сироп из черной бузины, оригинальная рецептура, 120 мл (4 жидк. унции) SBL-00110"/>
        <s v="Oslomega, норвежская серия, омега 3-6-9 с маслом бурачника, лимонный вкус, 180 капсул из рыбьего желатина OSL-01393"/>
        <s v="Nature's Way, Completia, комплекс мультивитаминов для диабетиков, без железа, 90 таблеток NWY-14924"/>
        <s v="Vplab, Ultra Men’s, мультивитамины для мужчин для физической активности, 90 капсул VPB-54130"/>
        <s v="Nutrex Research, Vitadapt Complete, мультивитамины для занятий спортом, 90 таблеток NRX-00654"/>
        <s v="Витамины D и K2, 25 мкг (1000 МЕ), 30 мл (1 жидк, унция)"/>
        <s v="NOW Foods, Крушина (Cascara Sagrada), 450 мг, 100 вегетарианских капсул NOW-04620"/>
        <s v="Nature's Way, Alive! комплекс высокоэффективных мультивитаминов для женщин 50 лет и старше, один раз в день, 60 таблеток NWY-15692"/>
        <s v="хелат хрома с фактором толерантности к глюкозе (GTF), 500 мкг, 90 таблеток"/>
        <s v="Natural Factors, коэнзим Q10, 200 мг, 30 капсул NFS-20721"/>
        <s v="NOW Foods, суперомега 3-6-9, 1200 мг, 180 капсул NOW-01841"/>
        <s v="21st Century, Triple Omega Complex 3-6-9, 90 мягких желатиновых капсул с кишечнорастворимой оболочкой CEN-22874"/>
        <s v="21st Century, пищевая добавка с комплексом витаминов и минералов для мужчин старше 50 лет, 100 таблеток CEN-27540"/>
        <s v="Ultamins, мультивитамины для мужчин с коэнзимом Q10, грибами, ферментами, овощами и ягодами, 60 вегетарианских капсул ULM-01270"/>
        <s v="Nature's Way, Alive !, мультивитаминный комплекс для мужчин, 50 таблеток NWY-13660"/>
        <s v="California Gold Nutrition, лютеин с зеаксантином, 20 мг, 60 растительных капсул CGN-01408"/>
        <s v="Natural Factors, MultiFactors, для женщин старше 50 лет, 90 вегетарианских капсул NFS-01587"/>
        <s v="таурин, 500 мг, 100 растительных капсул"/>
        <s v="NAC (N-ацетилцистеин), 600 мг, 100 растительных капсул"/>
        <s v="Mason Natural, экстракт гинкго билоба из цельного растения, 60 капсул MAV-17735"/>
        <s v="Life Extension, Taurine, 1,000 mg, 90 Vegetarian Capsules, LEX-18279"/>
        <s v="EYENLIP, Тканевая маска для лица Collagen Moisture Essence Mask, 000000000"/>
        <s v="EYENLIP, Тканевая маска для лица Hyaluronic Acid Moisture Essence Mask, 000000000"/>
        <s v="Forever, Алоэ Вера Гель, 000000015"/>
        <s v="Forever, Форевер Брайт Гель Для Зубов, 000000028"/>
        <s v="Forever, Форевер Натур-Мин, 000000037"/>
        <s v="Forever, Витолайз Для Женщин, 000000375"/>
        <s v="Forever, Алоэ Фёрст, 000000040"/>
        <s v="Forever, Алоэ Прополис Крем, 000000051"/>
        <s v="Forever, Желе Алоэ Вера, 000000061"/>
        <s v="Forever, Алоэ Жидкое Мыло, 000000633"/>
        <s v="Forever, Дезодорант Алоэ Эвер-Шилд, 000000067"/>
        <s v="Forever, Поля Зелени, 000000068"/>
        <s v="CoralClub, Супер-Флора, 000002150"/>
        <s v="California Gold Nutrition, Immune 4, средство для укрепления иммунитета, 180 растительных капсул CGN-01856"/>
        <s v="Sierra Fit, цинк, магний и витамин B6, 90 растительных капсул SIE-01754"/>
        <s v="FutureBiotics, Detox, ежедневная поддержка печени, 60 вегетарианских капсул FBS-02510"/>
        <s v="One-A-Day, One A Day, мультивитаминный комплекс для женщин, 200 таблеток OAD-59581"/>
        <s v="21st Century, Sentry, мультивитаминная и мультиминеральная добавка для взрослых, 300 таблеток CEN-22702"/>
        <s v="Daily Vits, мультивитамины и минералы, 100 таблеток"/>
        <s v="NOW Foods, Мультивитамины EcoGreen, без железа, 180 растительных капсул NOW-03788"/>
        <s v="RSP Nutrition, Active Multi, бодрящие мультивитамины, 45 вегетарианских таблеток RSP-00788"/>
        <s v="Nature's Way, Alive! комплекс мультивитаминов для детей, со вкусом апельсина и ягод, 120 жевательных таблеток NWY-15786"/>
        <s v="Nature's Way, Alive! полноценный мультивитаминный энергетический комплекс для женщин, 50 таблеток NWY-13663"/>
        <s v="California Gold Nutrition, селен, бездрожжевой, 200 мкг, 180 вегетарианских капсул CGN-01352"/>
        <s v="ADAM, превосходные мультивитамины для мужчин, 90 растительных капсул"/>
        <s v="CeraVe, Лосьон для лица увлажняющий, для нормальной и сухой кожи, 52 мл + La Roche-Posay Ultra, 000000000"/>
        <s v="ТОП100, Гейнер для набора массы спортивное питание протеин быстрые углеводы порошок 1000гр, 626525244"/>
        <s v="ТОП100, Гейнер для набора массы спортивное питание протеин быстрые углеводы порошок 1000гр, 626772971"/>
        <s v="BIG, Creatine для набора мышечной массы / 200 Mesh / вкус Малина / 150 г / 30 порций, 313159974"/>
        <s v="1WIN, L-Carnitine, 150 капсул, Л-карнитин жиросжигатель спортивный для похудения для женщин и мужчин, л карнитин элькарнитин l снижение веса капсулы lipo karnitine, 531378517"/>
        <s v="PRIMEKRAFT, Протеин сывороточный &quot;Whey Protein&quot; с витаминами и минералами, Малина 500 г, 170918388"/>
        <s v="La Miso, Маска моделирующая (альгинатная) с коллагеном, 1000г, 065844364"/>
        <s v="Swanson, Витамин B12, 500 мкг, 260 капсул SWV-01031"/>
        <s v="DGL, глицирризинат солодки (экстракт корня), 90 жевательных таблеток"/>
        <s v="Nobi Nutrition, Средство для сжигания жира премиум-класса для женщин, 60 капсул NOB-27413"/>
        <s v="Nutrex Research, LIPO-6 Black, ультраконцентрат, 60 черных капсул NRX-00071"/>
        <s v="Swanson, Лютеин и черника, 120 мягких таблеток SWV-02990"/>
        <s v="Lake Avenue Nutrition, лютеин, 20 мг, 120 растительных мягких таблеток LKN-01542"/>
        <s v="Hydroxycut, Pro Clinical Hydroxycut, для похудения, 72 капсулы с быстрым высвобождением HYX-60884"/>
        <s v="Пиколинат хрома, 200 мкг, 200 капсул"/>
        <s v="21st Century, Пиколинат хрома, 200 мкг, 100 таблеток CEN-21368"/>
        <s v="NOW Foods, лецитин, 1200 мг, 100 мягких таблеток NOW-02210"/>
        <s v="Комплекс силимарина, экстракт расторопши с одуванчиком, артишок, комплекс куркумина C3, имбирь и BioPerine®, 120 растительных капсул"/>
        <s v="глюкозамин, хондроитин и МСМ, 90 капсул"/>
        <s v="жевательные таблетки с ферментами папайи, 100 таблеток"/>
        <s v="Комплекс витаминов группы B для детей, 30 таблеток"/>
        <s v="Чайлдлайф, Essentials, эхинацея, со вкусом натурального апельсина, 30 мл (1 жидк. унция), CDL-10100"/>
        <s v="Sierra Bees, органические бальзамы для губ, гранат, по 4,25 г (0,15 унции), MBE01141"/>
        <s v="TAI YAN, Тканевые маски увлажняющая очищающая, 103598182"/>
        <s v="La Agera, Корейская крем сыворотка для лица, 135353079"/>
        <s v="Universal Nutrition, Энимал пак, Animal Pak 44, 115732310"/>
        <s v="be young, Подарочный набор уходовой косметики Beauty box, 141541299"/>
        <s v="Farm Stay, Сыворотка с гиалуроновой кислотой и коллагеном, 139994841"/>
        <s v="La Agera, Корейская крем сыворотка в капсулах уход, 096113224"/>
        <s v="Beauty Box, Подарочный набор 13 предметов, маска для лица, патчи для глаз, крем для рук увлажняющий, 079311586"/>
        <s v="Samyun Wan, таблетки для набора веса Самюн Ван, 137163976"/>
        <s v="LU MINATE, Патчи гидрогелевые омолаживающие для глаз от морщин, 94476361"/>
        <s v="BIG, Creatine для набора мышечной массы / 200 Mesh / без вкуса / 400 г / 80 порций, 310161195"/>
        <s v="Joyer, Креатин моногидрат порошок для набора мышечной массы со вкусом апельсина / аминокислота, 300 гр., 780474516"/>
        <s v="TAI YAN, Подарочный набор для женщин &quot;24 средства&quot;, бьюти бокс: маски для лица тканевые 20шт, патчи для глаз, крем для рук., 727936682"/>
        <s v="SANONBEAUTY, Набор для женщин уходовый бьюти бокс, 801989967"/>
        <s v="Ostrovit, Креатин Моногидрат Островит, Creatine Monohydrate, 500 г., Арбуз, 771073764"/>
        <s v="R-Line, Гейнер LIGHT MASS (пломбир) 3000 г, 311537379"/>
        <s v="NOW Foods, кошачий коготь, 500 мг, 100 вегетарианских капсул NOW-04618"/>
        <s v="ALLMAX, L-карнитин и тартрат, 120 капсул AMX-20241"/>
        <s v="NOW Foods, Экстракт расторопши, максимальная эффективность, 750 мг, 90 растительных капсул NOW-04795"/>
        <s v="Nature's Bounty, Двойной спектр, мелатонин, 5 мг, 60 двухслойных таблеток NRT-53098"/>
        <s v="Jarrow Formulas, Метилфолат, 400 мкг, 60 растительных капсул, JRW-30006"/>
        <s v="Azelique, Serumdipity, антивозрастная сыворотка для лица с пикногенолом, 1 жидкая унция (30 мл), AZQ-01161"/>
        <s v="Immunity, аскорбат натрия, кристаллический порошок, 454 г (16 унций)"/>
        <s v="Menopause Support, 90 растительных капсул"/>
        <s v="BIG, Creatine для набора мышечной массы / 200 Mesh / вкус Малина / 400 г / 80 порций, 310155519"/>
        <s v="BIG, Creatine для набора мышечной массы / 200 Mesh / вкус Арбуз / 150 г / 30 порций, 310120188"/>
        <s v="BIG, Creatine для набора мышечной массы / 200 Mesh / вкус Ванильная кола / 400 г / 80 порций, 310148133"/>
        <s v="Cult, Гейнер для набора веса, массы, углеводы 100% Pure Mass Gainer 3000 г (3 кг), ваниль, 799989016"/>
        <s v="RusLab, Протеин сывороточный SUPER POWER WHEY,белково-углеводный коктейль (800 гр),вкус ванильное мороженое, 200508013"/>
        <s v="SOUL WAY, Протеин сывороточный (900 гр), 30 порций, ванильный, 790318217"/>
        <s v="CoralClub, ПараФайт, 000002124"/>
        <s v="CoralClub, Папайя, 000001130"/>
        <s v="NaturesPlus, исландские бурые водоросли, 300 таблеток, NAP-03950"/>
        <s v="магний в капсулах, 400 мг, 180 растительных капсул"/>
        <s v="Витамин C с биофлавоноидами и шиповником, 1000 мг, 90 таблеток"/>
        <s v="Now Foods, L-карнитин, 500 мг, 60 растительных капсул, NOW-00072"/>
        <s v="Now Foods, Vein Supreme, 90 растительных капсул, NOW-03123"/>
        <s v="артишок, 60 веганских капсул"/>
        <s v="Solutions, чистый ланолин, 198 г (7 унций)"/>
        <s v="Baking Powder, Скраб для лица с содой,"/>
        <s v="Animal Parade, витамин D3, со вкусом черешни, 12,5 мкг (500 МЕ), 90 таблеток в форме животных"/>
        <s v="L'il Critters, Gummy Vites, полноценный мультивитаминный комплекс, 70 жевательных конфет LIL-00623"/>
        <s v="Hema-Plex, комплекс с железом, 60 капсул быстрого действия"/>
        <s v="21st Century, лютеин, 10 мг, 60 таблеток CEN-22408"/>
        <s v="WomenSense®, EstroSense®, 120 вегетарианских капсул"/>
        <s v="Idealove, Bee Timeless, тоник с улиткой и пчелиным ядом, 150 мл (5,07 жидк. Унции) IDE-01946"/>
        <s v="California Gold Nutrition, BCAA, AjiPure, аминокислоты с разветвленной цепью в порошке, 454 г (16 унций) CGN-01058"/>
        <s v="Корень дикого ямса, 850 мг, 180 веганских капсул (425 мг в 1 капсуле)"/>
        <s v="American Health, Royal Brittany, масло примулы вечерней (EPO), 1300 мг, 120 желатиновых капсул в каждом флаконе AMH-03233"/>
        <s v="Biotech USA, Аргинин альфа-кетоглутарат AAKG 1000 мг 100 таб., 267850615"/>
        <s v="La Agera, Питательная маска JOMTAM 2гр*30 шт, 139994740"/>
        <s v="R-Line, Гейнер Light Mass 1000 гр для набора массы (шоколад), 309523723"/>
        <s v="R-Line, Гейнер Light Mass 1000 гр для набора массы (клубника), 071777843"/>
        <s v="R-Line, Гейнер Light Mass 1000 гр для набора массы (пломбир), 071777842"/>
        <s v="LADOR, Филлеры для волос PERFECT HAIR FILLER, 734900928"/>
        <s v="витамин D3, высокоактивный, 2000 МЕ, 120 капсул"/>
        <s v="Now Foods, корень валерианы, 500 мг, 100 растительных капсул, NOW-04770"/>
        <s v="Now Foods, Пассифлора, 350 мг, 90 растительных капсул, NOW-04763"/>
        <s v="Nutrition, ацетил-L-карнитин, 60 веганских капсул"/>
        <s v="Farm Stay, Сыворотка для лица 24K GOLD &amp; PEPTIDE Корея 250 мл, 139848615"/>
        <s v="Himalaya, Трифала детокс средство для очищения, 132685147"/>
        <s v="Farm Stay, Сыворотка с гиалуроновой кислотой и коллагеном, 122309591"/>
        <s v="Farm Stay, Крем для рук увлажняющий Корея, 142969984"/>
        <s v="Biotech USA, Аргинин L-Arginine 90 капс (капсулы массой 1175 мг)., 211617034"/>
        <s v="OK, Трибулус Террестрис + Кордицепс (Tribulus Terrestris with Cordyceps ), капсулы, 500 мг, 90 кап., 739013420"/>
        <s v="Nature's Way, Kids, Cool, Calm &amp; Collected, успокаивающее средство для детей старше 8 лет, виноградный вкус, 40 жевательных конфет NWY-13369"/>
        <s v="Swanson, Куркума полного спектра, 360 мг, 240 капсул SWV-11075"/>
        <s v="CoralClub, Экстракт чеснока, 000002151"/>
        <s v="Nature's Bounty, Комплекс витаминов B, Time Released, 125 таблеток в оболочке NRT-00530"/>
        <s v="Solgar, хелатное железо, 100 таблеток SOL-00680"/>
        <s v="Doctor's Best, коэнзим Q10 с высокой степенью всасывания с BioPerine, 100 мг, 120 капсул DRB-00183"/>
        <s v="Nutrex Research, Hemo-Rage, Unleashed, предтренировочный комплекс с высокой стимуляцией, фруктовый пунш, 179,8 г (6,34 унции) NRX-02969"/>
        <s v="Пиколинат хрома, 500 мкг, 90 таблеток"/>
        <s v="Kirkland, Миноксидил Киркланд рост волос для женщин и мужчин, 138951460"/>
        <s v="ESEDO, Патчи для глаз, 095594532"/>
        <s v="GLS, Женьшень экстракт корня с таурином, бады / витамины для энергии, настроения и иммунитета, 200 мг, 60 капсул, 523338483"/>
        <s v="SOLAB, Аминокислоты BCAA 2:1:1, 240 капсул, 40 порций, 571221608"/>
        <s v="OstroVit, Креатин моногидрат порошок Ostrovit - Creatine Monohydrate (300 г) Без вкуса, 833368638"/>
        <s v="PRIMEKRAFT, Протеин сывороточный &quot;Whey Protein&quot; с витаминами и минералами, Дикая вишня, 500 г 170919122"/>
        <s v="Forever, Try Pack Алоэ Вера Гель, 000000153"/>
        <s v="Forever, СИСТЕМА ЕЖЕДНЕВНОГО УХОДА ЗА КОЖЕЙ SONYA ™, 000000609"/>
        <s v="Forever, Try Pack Алоэ Манго, 000007363"/>
        <s v="NOW Foods, цитрат магния, 180 капсул NOW-01298"/>
        <s v="Animal Parade, мультивитаминная добавка для детей, вишня, виноград и апельсин, 180 таблеток в форме животных"/>
        <s v="Полный комплекс жевательных таблеток с мультивитаминами, тролли, 180 жевательных таблеток"/>
        <s v="One-A-Day, комплексные мультивитамины для женщин, миникапсулы, 160 штук OAD-54589"/>
        <s v="Super Nutrition, смесь для мужчин, богатые антиоксидантами мультивитамины и цельнопищевая смесь, без железа, 180 таблеток SPN-00168"/>
        <s v="скорлупа черного ореха, 500 мг, 100 вегетарианских капсул"/>
        <s v="Arm &amp; Hammer, UltraMax, твердый дезодорант-антиперспирант, без запаха, 73 г (2,6 унции) ARH-19460"/>
        <s v="Havasu Nutrition, L-аргинин, повышенная сила действия, 60 капсул HAV-46416"/>
        <s v="Paradise Herbs, мумие, 60 вегетарианских капсул PAR-77818"/>
        <s v="селен, 200 мкг, 180 вегетарианских капсул"/>
        <s v="Лютеин с зеаксантином из экстракта бархатцев, 10 мг, 120 растительных капсул"/>
        <s v="One-A-Day, полный мультивитаминный комплекс для мужчин, 200 таблеток OAD-08014"/>
        <s v="CoralClub, Ассимилятор, 000091118"/>
        <s v="Nature's Way, Zinc Lozenges, Wild Berry Flavored, 60 Vegan Lozenges, NWY-41092"/>
        <s v="Forever, Форевер Альфа-Е Фактор, 000000187"/>
        <s v="Forever, Мсм Гель Алоэ, 000000205"/>
        <s v="Forever, Витолайз Для Мужчин, 000000374"/>
        <s v="Forever, Форевер Терм, 000000463"/>
        <s v="Forever, Форевер АйВижн, 000000624"/>
        <s v="Forever, Алоэ-Жожоба Шампунь для Волос, 000000640"/>
        <s v="Forever, Алоэ-Жожоба Кондиционер для Волос, 000000641"/>
        <s v="ENOUGH, Крем для лица с коллагеном и гиалуроновой кислотой, 142850327"/>
        <s v="Nutrex Research, Lipo-6 Black NightTime, ультраконцентрат, 30 черных капсул, 750610820"/>
        <s v="SOUL WAY, Протеин сывороточный (900 гр), 30 порций, Банан, 825959086"/>
        <s v="PRIMEKRAFT, Протеин сывороточный &quot;Whey Protein&quot; с витаминами и минералами, Банановый йогурт, 500 г 170918389"/>
        <s v="Maxler, Креатин моногидрат Creatine 100% Monohydrate, 300 гр., 176208973"/>
        <s v="BIG, Creatine для набора мышечной массы / 200 Mesh / вкус Бабл гам / 150 г / 30 порций, 313178264"/>
        <s v="Laneige, Ночная маска для губ lip sleeping mask / Бальзам для губ / Блеск для губ, 761430572"/>
        <s v="AVRANGpro, Сыворотка для лица омолаживающая 24K Goldzan Ampoule 99.9%, 132042820"/>
        <s v="Zozu, Кушон Ocheal - тональный крем - тон 2, 108772032"/>
        <s v="коллаген, 1000 мг, 290 таблеток"/>
        <s v="Solgar, Gentle Iron, 25 мг, 90 растительных капсул SOL-01249"/>
        <s v="Universal Nutrition, Animal Pak, комплекс для физической активности, 44 пакетика UNN-03011"/>
        <s v="CoralClub, Железо, 000002123"/>
        <s v="CoralClub, Корал Келп, 000091805"/>
        <s v="NaturesPlus, Йод, йодид калия, 150 мкг, 100 таблеток NAP-03371"/>
        <s v="21st Century, Цитрат кальция и D3, маленькие таблетки, 200 таблеток, покрытых оболочкой CEN-27709"/>
        <s v="NOW Foods, Mega D-3 и MK-7, 120 капсул NOW-00386"/>
        <s v="NOW Foods, Cod Liver Oil, 650 мг, 250 мягких желатиновых капсул NOW-01742"/>
        <s v="Thyroid Energy, 180 растительных капсул"/>
        <s v="Nobi Nutrition, Жиросжигающие жевательные таблетки с зеленым чаем, 60 жевательных таблеток на основе пектина NOB-27436"/>
        <s v="NOW Foods, метилфолат, 1000 мкг, 90 таблеток NOW-00491"/>
        <s v="Ацетил-L-карнитин, 500 мг, 100 растительных капсул"/>
        <s v="Natural Factors, BlueRich, супер эффективность, концентрат черники, 500 мг, 90 мягких таблеток NFS-04516"/>
        <s v="Nature's Secret, Cleanse &amp; Flush, потеря веса за 15 дней, 60 таблеток NTS-25554"/>
        <s v="Flintstones, Complete, мультивитамин для детей, 180 жевательных конфет FLI-55435"/>
        <s v="Applied Nutrition, Состав для уничтожения жира на базе зеленого чая Fat Burner, 90 быстродействующих капсул IRW-26529"/>
        <s v="Flintstones, Gummies, мультивитаминная добавка для детей, 150 жевательных конфет FLI-53728"/>
        <s v="EVLution Nutrition, Мелатонин, 5 мг, 100 таблеток EVL-02434"/>
        <s v="мелатонин, 5 мг, 120 таблеток"/>
        <s v="пищевая сода, 454 г (1 фунт)"/>
        <s v="SOLAB, Аминокислоты BCAA 2:1:1, L-лейцин, L-изолейцин, L-валин, 30 порций, 301131356"/>
        <s v="Be First, BCAA 8:1:1 Instantized Powder 250 гр, ананас, 272372912"/>
        <s v="R-Line, Гейнер LIGHT MASS (шоколад) 3000 г, 309538221"/>
        <s v="VERIFIQUE, Антивозрастная восстанавливающая сыворотка для лица с центеллой азиатской для кожи с куперозом, 30 мл, 718888801"/>
        <s v="Cult, Гейнер для набора веса, массы, углеводы 100% Pure Mass Gainer 3000 г (3 кг), ваниль, 139295316"/>
        <s v="Jarrow Formulas, Magnesium Optimizer, 200 таблеток JRW-13007"/>
        <s v="ультраомега-3, 600 ЭПК / 300 ДГК, 90 капсул из рыбьего желатина"/>
        <s v="NOW Foods, жевательная ДГК для детей, фруктовый вкус, 60 мягких таблеток NOW-01607"/>
        <s v="Nordic Naturals, Daily Omega Kids, со вкусом натуральных фруктов, 30 капсул NOR-01817"/>
        <s v="Nature's Bounty, Мелатонин, 10 мг, 60 капсул NRT-19491"/>
        <s v="Cloma Pharma, Black Spider 100c Блэк спайдер, 000000000"/>
        <s v="Divya, MUKTA VATI Помощь при высоком давлении, 120 таб., 832770275"/>
        <s v="NSP, Келп (Бурая водоросль), 000000410"/>
        <s v="NSP, Хром Хелат НСП, 000001894"/>
        <s v="NSP, Каскара Саграда НСП, 000000170"/>
        <s v="Be First, Шейкер для спортивного питания 700 мл, прозрачно-черный (TS 1037-BLACK), 281518094"/>
        <s v="Be First, Шейкер для спортивного питания 700 мл, прозрачно-черный (TS 1037-BLUE), 281518019"/>
        <s v="Be First, Шейкер для спортивного питания 700 мл, прозрачно-черный (TS 1037-RED), 281518154"/>
        <s v="Be First, Шейкер для спортивного питания 700 мл, прозрачно-черный (TS 1037-GREEN), 281516886"/>
        <s v="Cult, Гейнер для набора веса, массы, углеводы 100% Pure Mass Gainer 3000 г (3 кг), ваниль, 799989625"/>
        <s v="Секрет Императора, 8 капсул для мужской потенции, возбуждающий препарат, профилактика простатита, 852644785"/>
        <s v="Farm Stay, Солнцезащитный Крем с алое 70 мл Aloevera Perfect Sun Cream SPF50+ PA+++, 179005500"/>
        <s v="Farm Stay, Солнцезащитный Крем для лица с витаминами 70 мл DR-V8 Vita Sun Cream SPF50+ PA+++, 180642802"/>
        <s v="EKEL, Крем солнцезащитный с Улиточным муцином Ekel Soothing &amp; Moisture Sun Block SPF50/PA+++ Snail, 70 мл, 392681875"/>
        <s v="Enough, Солнцезащитный крем с коллагеном Collagen Moisture Sun Cream SPF 50+ PA+++, 536253138"/>
        <s v="Adam, лучшие мультивитамины для мужчин, 120 таблеток"/>
        <s v="NOW Foods, L-карнитин, 1000 мг, 100 таблеток NOW-00068"/>
        <s v="NOW Foods, сертифицированная органическая спирулина,1000 мг, 120 таблеток NOW-02715"/>
        <s v="Neutrogena, Ultra Sheer Dry Touch, солнцезащитное средство, SPF 55, 88 мл (3 жидк. Унции) NGN-68790"/>
        <s v="FORTIUS, Эспандер кистевой для рук, 1 шт, 20 кг, 572353524"/>
        <s v="Insane, Лапы Fight прямые, большие, красный/синий, 34х20х4,5 см, 707636546"/>
        <s v="Insane, Перчатки боксерские MARS, ПУ, синий, 10 oz, 879350457"/>
        <s v="Sports Element, Шейкер спортивный, с венчиком, 600 мл., черный матовый, черный, 253451797"/>
        <s v="Sports Element, Шейкер спортивный, с венчиком, 600 мл., белый, черный, 653844019"/>
        <s v="SOUL WAY, Протеин сывороточный (900 гр), 30 порций, Шоколад, 626914560"/>
        <s v="SOUL WAY, Креатин моногидрат порошок 200 гр 40 порций, 825481466"/>
        <s v="Himalaya, Врикшамла (60 таб, 350 мг), Vrikshamla, 818224809"/>
        <s v="CoralClub, АД Фито Контроль, 000091859"/>
        <s v="CoralClub, Корал Черный Орех, 000091643"/>
        <s v="CoralClub, Липостик Фит, 000216904"/>
        <s v="Flex, комплекс для здоровья суставов, 44 пакетика с таблетками"/>
        <s v="Flex, порошок для поддержки суставов, со вкусом апельсина, 339 г (11,96 унции)"/>
        <s v="5-гидрокситриптофан, 100 мг, 60 вегетарианских капсул"/>
        <s v="Methyl B-12, метилкобаламин, 1000 мкг, 100 таблеток для рассасывания"/>
        <s v="омега 800, ультраконцентрированный рыбий жир с омега-3, в форме триглицеридов KD-Pur, 90 капсул из рыбьего желатина (1000 мг в 1 капсуле)"/>
        <s v="комплекс витаминов группы B с рисовыми отрубями, 90 таблеток"/>
        <s v="KAL, Dinosaurs, MultiSaurus, витамины и минералы, со вкусом ягод, винограда и апельсина, 180 жевательных таблеток CAL-13463"/>
        <s v="KAL, MultiSaurus, витамины и микроэлементы, со вкусом ягод, винограда и апельсина, 90 жевательных таблеток CAL-13462"/>
        <s v="Готу кола, цельное растение, 950 мг, 100 веганских капсул (475 мг в 1 капсуле)"/>
        <s v="Arm &amp; Hammer, Essentials с натуральными дезодорирующими компонентами, дезодорант, свежий розмарин и лаванда, 71 г (2,5 унции) ARH-19020"/>
        <s v="NOW Foods, жирные кислоты омега-3, 180 ЭПК и 120 ДГК, 180 капсул NOW-01657"/>
        <s v="CoralClub, ODA Naturals Шампунь восстанавливающий с кератином, 000005501"/>
        <s v="CoralClub, ODA Naturals Бальзам-кондиционер восстанавливающий с кератином и макадамией, 000005551"/>
        <s v="Scitec Nutrition, Изолят сывороточного протеина / Изолят белка / 100% Isolate Whey / ШОКОЛАД / 700 гр., 361772752"/>
        <s v="Maxler, Натуральный протеин сывороточный 100% Golden Whey NATURAL 2 lb (907 гр.) , Шоколад, 486832912"/>
        <s v="PRIMEKRAFT, Протеин сывороточный &quot;Whey Protein&quot; с витаминами и минералами, Клубника-Банан 500 г, 170919156"/>
        <s v="Dory_Room, Патчи для глаз от отеков и темных кругов гидрогелевые, 66606944"/>
        <s v="Farm Stay, Dimanuel сыворотка для лица 24K Gold&amp;Peptide, 151780792"/>
        <s v="KIRKLAND, Креативный подход Лосьон Миноксидил 5%, 120239758"/>
        <s v="Farm Stay, ROzzalia Увлажняющий крем для лица Корея с spf 50, крем для тела, 70мл, 85364831"/>
        <s v="NOW Foods, кальций и магний с витамином D3- и цинком, 240 мягких таблеток NOW-01252"/>
        <s v="Sierra Fit, Порошок электролитов со вкусом ягодного ассорти, 0 калорий, 291 г (10,3 унции) SIE-01490"/>
        <s v="The Smurfs, жевательный пробиотик для пищеварения, для детей от 3 лет, ягодный вкус, 40 жевательных конфет SMS-55697"/>
        <s v="VegLife, Мультивитамины для детей растительного происхождения, вкус ягод, 60 жевательных таблеток VGL-10032"/>
        <s v="добавка для спокойного сна, для детей от 3 лет, ягодный вкус, 50 жевательных таблеток"/>
        <s v="MuscleTech, Alpha Test, 120 капсул MSC-60676"/>
        <s v="жевательные мультивитамины, для детей от 3 лет, ягодный вкус, 60 жевательных конфет"/>
        <s v="Arm &amp; Hammer, Essentials, с натуральными дезодорирующими компонентами, дезодорант, без искусственных ароматизаторов, 71 г (2,5 унции) ARH-19792"/>
        <s v="It's Skin, коллаген, питательная эмульсия, 150 мл ISK-73751"/>
        <s v="Корица с хромом, 2000 мг, 120 вегетарианских капсул (500 мг в 1 капсуле)"/>
        <s v="NOW Foods, L-лизин, 500 мг, 100 таблеток NOW-00100"/>
        <s v="пиколинат цинка, 50 мг, 120 растительных капсул"/>
        <s v="B-50, 100 растительных капсул"/>
        <s v="Mizon, крем-лифтинг с коллагеном, 75 мл (2,53 унции) MIZ-54035"/>
        <s v="RSP Nutrition, Quadralean Thermo, 90 капсул RSP-00692"/>
        <s v="Maxler, Креатин моногидрат Creatine 100% Monohydrate, 150 гр., 638236196"/>
        <s v="CoralClub, Либидекстра для мужчин, 000002301"/>
        <s v="CoralClub, МСМ, 000002152"/>
        <s v="SOUL WAY, Протеин сывороточный (900 гр), 30 порций, клубника"/>
        <s v="Mutant Mass, Гейнер с аминокислотами BCAA XXXTREME 2500 Тройной Шоколад 2270 гр, 185552102"/>
        <s v="Mutant Mass, Гейнер с аминокислотами BCAA XXXTREME 2500 Печенье и сливки 2270 гр, 185550660"/>
        <s v="GLS, Бустер тестостерона АРТУРОН, натуральное средство для повышения мужских гормонов, тестобустер, 500мг, 90 капсул, 269076077"/>
        <s v="Tree of Life, Протеин сывороточный + изолят 907 грамм, малина, 928502066"/>
        <s v="Tree of Life, Протеин сывороточный + изолят 907 грамм, манго, 928476887"/>
        <s v="Scitec Nutrition, Amino 5600 комплекс аминокислот, 500 таблеток, 470925526"/>
        <s v="Scitec Nutrition, Muscle Pro Протеин Комбинация растительных и животных белков 2500 г. Клубничный йогурт, 898166516"/>
        <s v="Maxler, Креатин моногидрат Creatine 100% Monohydrate, 150 гр., 113181451"/>
        <s v="Гиалуроновая кислота, мгновенное увлажнение кожи, 454 г (1 фунт / 16 унций)"/>
        <s v="добавка для энергии с пирролохинолинхиноном, 20 мг, 30 вегетарианских капсул"/>
        <s v="California Gold Nutrition, Пирролохинолинхинон, 20 мг, 90 растительных капсул CGN-01504"/>
        <s v="ALLMAX, AllWhey Gold, 100 % сывороточный белок + изолят сывороточного белка премиум-качества, со вкусом шоколада, 907 г (2 фунта) AMX-20047"/>
        <s v="ALLMAX, Igniter, перед тренировкой, с голубой малиной, 320 г (11,28 унции) AMX-22897"/>
        <s v="MuscleTech, Nitro Tech, 100 % Whey Gold, песочное печенье со вкусом клубники, 1,02 кг (2,24 фунта) MSC-71046"/>
        <s v="EVLution Nutrition, L-CARNITINE500, добавка для сжигания жира без стимуляторов, 120 капсул EVL-02018"/>
        <s v="EVLution Nutrition, ENGN, Pre-Workout Enginе, виноград, 243 г (8,6 унции) EVL-55160"/>
        <s v="NOW Foods, L-карнозин, 500 мг, 100 растительных капсул NOW-00079"/>
        <s v="L'il Critters, Gummy Vites, ежедневные мультивитамины, 190 жевательных мармеладок LIL-01629"/>
        <s v="YumEarth, органические леденцы, любимое ассорти, 1928 г (68 унций) YUE-00112"/>
        <s v="NaturesPlus, Source of Life, Animal Parade Gold, добавка для детей с мультивитаминами и микроэлементами, натуральный ароматизатор «Вишня», 120 таблеток в форме животных NAP-29932"/>
        <s v="M.V. Teen™, 180 капсул"/>
        <s v="21st Century, Ресвератрол, экстракт плодов красного винного сорта винограда, 90 капсул CEN-27285"/>
        <s v="NutriBiotic, очищающее средство для кожи, без мыла, без отдушки, 473 мл (16 жидк, унций) NBC-01023"/>
        <s v="DERMA E, Очищающее осветляющее средство с витамином C для ежедневного применения, 175 мл (6 жидк, унций) DME-00603"/>
        <s v="DERMA E, Мягкое увлажняющее средство для очищения кожи с гиалуроновой кислотой, 175 мл (6 жидк, унций) DME-00461"/>
        <s v="Heimish, All Clean, пенка с белой глиной, 150 г HEI-76054"/>
        <s v="Thai Deodorant Stone, Читый и натуральный дезодорант из кристаллических минеральных солей Deodorant Stone от Crystal, 4,25 унции (120 г) TDS-10193"/>
        <s v="NOW Foods, Daily Vits, мультивитамины и микроэлементы, 120 вегетарианских капсул NOW-03776"/>
        <s v="MACLEN, Скакалка спортивная для фитнеса зеленая, скакалка взрослая скоростная с металлическим шнуром и подшипником, 2,8 м, 650779619"/>
        <s v="Starwind, Весы напольные электронные SSP6031 макс.180кг рисунок/фиолетовый, 628950568"/>
        <s v="Kirkland, Миноксидил Киркланд рост волос для женщин и мужчин, 66190183"/>
        <s v="NOW Foods, L-аргинин, двойная концентрация, 1000 мг, 120 таблеток NOW-00035"/>
        <s v="Natural Factors, WomenSense, EstroSense, гормональный баланс, 60 вегетарианских капсул NFS-04955"/>
        <s v="Natural Factors, Womensense, PCOSense, 129 г (4,55 унции) NFS-04993"/>
        <s v="Sports Research, комплекс Collagen Beauty, морской коллаген, с нейтральным вкусом, 163 г (5,75 унций) SRE-01347"/>
        <s v="цитрат кальция с витамином D3, 240 таблеток"/>
        <s v="полный биоактивный комплекс витаминов группы B, 60 вегетарианских капсул"/>
        <s v="Natural Factors, высокоэффективный комплекс витаминов группы B, 90 капсул NFS-01121"/>
        <s v="California Gold Nutrition, масло антарктического криля, комплекс фосфолипидов из омега-3 с астаксантином, натуральный клубнично-лимонный вкус, 500 мг, 120 капсул из рыбьего желатина CGN-01101"/>
        <s v="Vplab, Ultra Women’s, мультивитамины для женщин, 90 капсул VPB-54131"/>
        <s v="Arm &amp; Hammer, Essentials, дезодорант с натуральными дезодорирующими компонентами, с ароматом можжевельника, 71 г (2,5 унции) ARH-00546"/>
        <s v="Arm &amp; Hammer, UltraMax, твердый дезодорант-антиперспирант для мужчин, аромат «Свежесть», 73 г (2,6 унции) ARH-19724"/>
        <s v="Source Naturals, Daily Essential Enzymes, добавка с незаменимыми ферментами для ежедневного использования, 500 мг, 240 капсул SNS-01303"/>
        <s v="Nature's Way, Alive! добавка с коллагеном и биотином для волос, кожи и ногтей, со вкусом клубники, 60 жевательных таблеток NWY-11534"/>
        <s v="Doctor's Best, чистый коллаген типов 1 и 3 в порошке, 200 г (7,1 унции) DRB-00203"/>
        <s v="EVLution Nutrition, BCAA ENERGY, арбуз, 252 г (8,89 унции) EVL-02017"/>
        <s v="PrescriptSkin, Очищающая пенка с пробиотиками, 160 мл (5,4 жидк, Унции) PSK-01936"/>
        <s v="NOW Foods, гиалуроновая кислота, двойной концентрации, 100 мг, 120 вегетарианских капсул NOW-03151"/>
        <s v="NaturesPlus, Цинк, 50 мг, 90 таблеток NAP-03645"/>
        <s v="EVLution Nutrition, ENGN, предтренировочный комплекс, розовый лимонад, 243 г (8,6 унции) EVL-02045"/>
        <s v="DERMA E, увлажняющий крем для разглаживания морщин с ДМАЭ, 56 г (2 унции) DME-04100"/>
        <s v="DERMA E, Увлажняющий ночной крем, 2 унции (56 г) DME-00466"/>
        <s v="DERMA E, улучшенный крем для глаз с пептидами и коллагеном, 14 г (1/2 унции) DME-00775"/>
        <s v="NOW Foods, Sports, микронизированный моногидрат креатина, 500 г (1,1 фунта) NOW-02038"/>
        <s v="NOW Foods, Sports, Men's Active Sports Multi, комплекс витаминов для мужчин, 180 капсул NOW-03891"/>
        <s v="MuscleTech, Shatter Pre-Workout Ripped, Icy Rocket, 250 г (8,83 унции) MSC-71651"/>
        <s v="Real Health, The Prostate, комплекс для здоровья простаты, с сереноей, 90 таблеток RHS-20001"/>
        <s v="NOW Foods, альфа-липоевая кислота, 250 мг, 120 растительных капсул NOW-03043"/>
        <s v="Source Naturals, Масло черного тмина, 120 мягких таблеток SNS-02757"/>
        <s v="Carlson, Витамин К2, МК-4 (менатетренон), 5 мг, 180 капсул CAR-01001"/>
        <s v="Solaray, цитрат кальция, 250 мг, 240 растительных капсул SOR-45852"/>
        <s v="Life Extension, Магний в капсулах, 500 мг, 100 вегетарианских капсул LEX-14591"/>
        <s v="NOW Foods, Tri-3D Omega, жирные кислоты омега-3, 330 ЭПК / 220 ДГК, 90 капсул NOW-01686"/>
        <s v="глицин, 100 вегетарианских капсул (1000 мг в 1 капсуле)"/>
        <s v="Tree of Life, Протеин изолят сывороточного белка с комплексом ВСAA, &quot;Банан&quot; спортсменам 907 гр, 2LB 30 порций, 686750940"/>
        <s v="Scitec Nutrition, Anabolic Iso Hydro (920 гр.) Ваниль, 931543942"/>
        <s v="Aminofood, Таурин в капсулах, для повышения энергии и выносливости, Taurine, 500мг, 90 капсул, 479516746"/>
        <s v="Aminofood, Креатин Моногидрат 250 гр. порошок для набора массы и роста / без вкуса, 561311513"/>
        <s v="CoralClub, Гриффония, 000091848"/>
        <s v="CoralClub, Готу Кола экстракт, 000002149"/>
        <s v="Insane Labz, Предтренировочный комплекс Психотик для зала Фруктовый Пунш, 156652333"/>
        <s v="Cloma Pharma, Black Spider 100c Блэк спайдер, 769390102"/>
        <s v="NSP, Би Пи-Си, 000001881"/>
        <s v="NSP, Гинкго/Готу Кола, 000000907"/>
        <s v="NSP, Вери-Гон, 000000999"/>
        <s v="NSP, По Д’Арко НСП, 000000514"/>
        <s v="NSP, Восьмерка, 000000850"/>
        <s v="Maxler, Аминокислоты BCAA Powder EU 420 гр, восстановление и набор массы, Клубника-Киви, 190950286"/>
        <s v="California Gold Nutrition, перуанская мака, 500 мг, 240 растительных капсул CGN-00950"/>
        <s v="Solgar, Натуральная клюква с витамином С, 60 растительных капсул SOL-00955"/>
        <s v="Herbs Etc,, Deep Sleep, 120 капсул быстрого действия HEC-50301"/>
        <s v="Nature's Life, бетаина гидрохлорид, 350 мг, 100 таблеток NLI-00117"/>
        <s v="витамины D3 и K2, без сои, 120 вегетарианских капсул"/>
        <s v="Xenadrine, Xenadrine, средство для максимального снижения веса, 120 капсул MSC-60557"/>
        <s v="Andalou Naturals, Осветление от дня к ночи, набор из 3 предметов ADN-11917"/>
        <s v="Eucerin, Age Defense, легкий солнцезащитный лосьон для лица, SPF 50, без отдушек, 75 мл (2,5 жидк, Унции) EUC-03222"/>
        <s v="EVLution Nutrition, L-CITRULLINE2000, 200 г (7,5 унции) EVL-02221"/>
        <s v="веганский экстракт семян грейпфрута GSE, жидкий концентрат, 59 мл (2 жидк, унции)"/>
        <s v="Thorne, Magnesium Citramate, добавка с магнием, 90 капсул THR-27202"/>
        <s v="KAL, Магний с высокой абсорбцией, полностью хелатный, 270 таблеток CAL-21068"/>
        <s v="21st Century, средство для здоровья глаз, лютеин и зеаксантин, 60 капсул CEN-27454"/>
        <s v="Super Nutrition, Simply One, полный комплекс ферментов, 90 капсул SPN-00124"/>
        <s v="CoralClub, Би-Курунга, 000002154"/>
        <s v="CoralClub, Масло чайного дерева, 000005701"/>
        <s v="CoralClub, Корал Детокс, 000080350"/>
        <s v="Sumyin Wan Slim, Жиросжигатель в капсулах- 36шт /препарат для стройной фигуры, 983333252"/>
        <s v="FatZorb,  Жиросжигатель, Фатзорб для похудания. Экстракт зеленого чая и L-карнитин, 892721541"/>
        <s v="B-Fit, Пищевая добавка капсулы коктейль для похудения Жиросжигатель, 983333197"/>
        <s v="Arm &amp; Hammer, Essentials, дезодорант с натуральными дезодорирующими компонентами, розмарин и лаванда, 71 г (2,5 унции) ARH-19793"/>
        <s v="альфа-липоевая кислота 600, 600 мг, 60 растительных капсул"/>
        <s v="Ageless Beauty, жидкий морской коллаген с коэнзимом Q10 и растительными веществами, поддержка волос, кожи и ногтей, с персиковым вкусом, 10 флаконов по 50 мл (1,69 жидк. унции)"/>
        <s v="NOW Foods, L-теанин, двойной концентрации, 200 мг, 60 растительных капсул NOW-00147"/>
        <s v="ChildLife Essentials, Essentials, витамин C в жидкой форме, натуральный апельсиновый вкус, 118,5 мл (4 жидк, унции) CDL-10200"/>
        <s v="artnaturals, Набор из трех сывороток, 3 сыворотки, 29,5 мл (1 жидк, унция) каждая RNA-02056"/>
        <s v="витамины D3 и K2, без сои, 60 растительных капсул"/>
        <s v="Natural Factors, убихинол (активный коэнзим Q10), 100 мг, 60 мягких таблеток NFS-20726"/>
        <s v="Адреналиновая энергетическая формула, 60 вегетарианских капсул"/>
        <s v="Куркумин из куркумы с BioPerine, 1500 мг, 90 капсул (500 мг в 1 капсуле)"/>
        <s v="Doctor's Best, гинкго с повышенной силой действия, 120 мг, 360 вегетарианских капсул DRB-00273"/>
        <s v="Forever, Алоэ Активатор, 000000612"/>
        <s v="Forever, Алоэ Увлажняющий Крем, 000000063"/>
        <s v="Black Panther, Капсулы жиросжигающие для похудения и снижения веса, 909837585"/>
        <s v="Bio Produkt, Iron Test, Арон Тест для роста естественного тестостерона, 897817701"/>
        <s v="NSP, Хлорофилл жидкий, 000001580"/>
        <s v="NSP, Грецкий Черный орех, 000000090"/>
        <s v="Форевер Фридом 1л"/>
        <s v="Forever, Форевер Кальций, 000000206"/>
        <s v="NSP, Локло, 000001346"/>
        <s v="NSP, Протеаза Плюс, 000001841"/>
        <s v="NSP, «Витазаврики» жевательные витамины с железом, 000001622"/>
        <s v="NSP, «Бифидозаврики» жевательные таблетки для детей с бифидобактериями, 000003302"/>
        <s v="NSP, Коллоидные минералы с соком Асаи, 000000312"/>
        <s v="кожа, ногти и волосы, улучшенная рецептура с МСМ, 60 таблеток"/>
        <s v="Solgar, витамин D3 (холекальциферол), 125 мкг (5000 МЕ), 100 капсул SOL-19377"/>
        <s v="Solgar, Gentle Iron, 25 мг, 180 растительных капсул SOL-01250"/>
        <s v="Source Naturals, Зверобой 450, 450 мг, 180 таблеток SNS-01177"/>
        <s v="NOW Foods, Sports, бета-аланин, выносливость, 750 мг, 120 растительных капсул NOW-02008"/>
        <s v="железо, двойной концентрации, 36 мг, 90 вегетарианских капсул"/>
        <s v="NOW Foods, Magtein, L-треонат магния, 90 растительных капсул NOW-02390"/>
        <s v="NOW Foods, 5-гидрокситриптофан, 100 мг, 120 вегетарианских капсул NOW-00106"/>
        <s v="Planetary Herbals, Кордицепс 450, полный спектр, 450 мг, 120 таблеток PTF-10433"/>
        <s v="NaturesPlus, Медь, 3 мг, 90 таблеток NAP-03430"/>
        <s v="Jarrow Formulas, фитосомы куркумина, 500 мг, 120 вегетарианских капсул JRW-14093"/>
        <s v="Nature's Truth, Женский пробиотик + клюква, 40 вегетарианских капсул NTH-11212"/>
        <s v="Nature's Way, Probiotic Pearls для женщин, вагинальное здоровье и здоровье кишечника, 30 мягких желатиновых капсул EMT-04213"/>
        <s v="EVLution Nutrition, ежовик гребенчатый, 60 растительных капсул EVL-02739"/>
        <s v="EVLution Nutrition, Женский мультивитамин, 120 таблеток EVL-02067"/>
        <s v="Cococare, Масло макадамии, 4 жидких унций (118 мл) COC-09475"/>
        <s v="California Gold Nutrition, Мультивитамины и минералы, для приема два раза в день, 60 растительных капсул CGN-01990"/>
        <s v="NutriBiotic, Immunity, аскорбиновая кислота с биофлавоноидами, кристаллический порошок, 227 г (8 унций) NBC-00300"/>
        <s v="Force Factor, черная мака, 60 капсул FOA-01488"/>
        <s v="Workout time, Шейкер спортивный для коктейлей, 600 мл (Белый, черный), 138948952"/>
        <s v="Workout time, Шейкер спортивный для коктейлей, 600 мл (Серый, черный), 143238214"/>
        <s v="Workout time, Шейкер спортивный для коктейлей, 600 мл (Черный), 143233562"/>
        <s v="Workout time, Шейкер спортивный для коктейлей, 600 мл (Черный, зеленый неон), 149869594"/>
        <s v="MAXLER, Креатин моногидрат Макслер 100% Creatine Monohydrate 150 г, 139631886"/>
        <s v="Natural Factors, WomenSense, MenoSense, формула для приема в период менопаузы, 90 вегетарианских капсул NFS-04950"/>
        <s v="NOW Foods, B1, 100 мг, 100 таблеток NOW-00446"/>
        <s v="21st Century, клюква с добавлением пробиотика, 60 таблеток CEN-27848"/>
        <s v="Natural Factors, лютеин, 20 мг, 60 капсул NFS-01032"/>
        <s v="Bio Product, Iron Test Айрон Тест тестостерона, 163432814"/>
        <s v="R-Line, Гейнер LIGHT MASS (шоколад) 3000 г, 072421834"/>
        <s v="Maxler, Аминокислоты BCAA Powder 420 гр, Клубника-Киви, 158521482"/>
        <s v="Red Ginseng, Капсулы ред гинсенг для набора веса спортивное питание, 161172556"/>
        <s v="PRIMEKRAFT, Протеин сывороточный  Whey Protein, Банановый йогурт 900 г / 30 порций, 152851473"/>
        <s v="PRIMEKRAFT, Протеин сывороточный &quot;Whey Protein&quot; с витаминами и минералами, Клубничный йогурт 500 г, 170919121"/>
        <s v="PRIMEKRAFT, Протеин сывороточный &quot;Whey Protein&quot; с витаминами и минералами, Клубника-банан 900г, 152851475"/>
        <s v="Trec Nutrition, Whey 100 Протеин сывороточный натуральный 700 г шоколад-кокос, 864964824"/>
        <s v="R-Line, Гейнер Light Mass, клубника, 3000 г, 309534042"/>
        <s v="CoralClub, Программа Коло-Вада Грин, 00120060"/>
        <s v="Patanjali, Chyawanprash Plus, Чаванпраш Плюс / Индия / Аюрведа Джем / Патанджали 500 г, 857698302"/>
        <s v="Doctor's Best, серрапептаза Best, 40 000 SPU, 90 вегетарианских капсул DRB-00149"/>
        <s v="Ultamins, мультивитаминный комплекс для женщин старше 50 лет с коэнзимом Q10, грибами, ферментами, овощами и ягодами, 60 растительных капсул ULM-01273"/>
        <s v="NOW Foods, каприловая кислота, 600 мг, 100 мягких таблеток NOW-03347"/>
        <s v="California Gold Nutrition, BEVERAGES, HydrationUp, напиток с электролитами, фруктовый пунш, 227 г (8 унций) CGN-01747"/>
        <s v="NOW Foods, Сертифицированная органическая хлорелла, 500 мг, 200 таблеток NOW-02631"/>
        <s v="Herbs Etc,, Снотворное Deep Sleep, 60 быстродействующих мягких таблеток HEC-50306"/>
        <s v="Christopher's Original Formulas, VF Syrup, сироп, 118 мл (4 жидк, унций) CRO-88517"/>
        <s v="CranRich, суперсила, концентрат клюквы, 500 мг, 180 капсул"/>
        <s v="CranRich, Super Strength, концентрат клюквы, 500 мг, 90 капсул"/>
        <s v="Kyolic, Aged Garlic Extract, выдержанный экстракт чеснока с куркумином, 50 капсул WAK-11145"/>
        <s v="California Gold Nutrition, Total Veggie Joint Support Formula, с глюкозамином, хондроитином, МСМ и гиалуроновой кислотой, 90 растительных капсул CGN-01156"/>
        <s v="Swanson, пиколинат хрома, 200 мкг, 100 капсул SWV-01922"/>
        <s v="Swanson, Куркума и черный перец, 60 растительных капсул SWV-11613"/>
        <s v="глюкозамин с хондроитином и МСМ, 90 таблеток"/>
        <s v="Optimum Nutrition, Opti-Men, 90 таблеток OPN-05223"/>
        <s v="Maxler, Аминокислоты BCAA Powder 420 гр, Апельсин, 190901500"/>
        <s v="Dabur, Трифала Чурна / (Triphala churna) порошок для очищения организма Dabur 500 гр, 487034945"/>
        <s v="Doctor's Best, Наттокиназа, 2000 FU, 90 nattokinase, 096053915"/>
        <s v="MAXLER, Креатин моногидрат Макслер 100% Creatine Monohydrate 300 г, 052838724"/>
        <s v="MAXLER, Креатин моногидрат Макслер 100% Creatine Monohydrate 150 г, 146853513"/>
        <s v="MAXLER, Аминокислоты BCAA Powder 420 г Клубника-Киви, 088061892"/>
        <s v="Patanjali, Chyawanprash Plus, Чаванпраш Плюс / Индия / Аюрведа Джем / Патанджали 500 г, 062045172"/>
        <s v="PRIMEKRAFT, Протеин сывороточный  Whey Protein, Дикая вишня 900 г / 30 порций, 155522407"/>
        <s v="Workout time, Шейкер спортивный для коктейлей, 600 мл, (Черный), 030091936"/>
        <s v="Red ginseng, капсулы для набора веса, 108438397"/>
        <s v="MAXLER, BCAA Powder 2:1:1 Sugar Free 420 грамм Апельсин, 156083705"/>
        <s v="Minoxidil, миноксидил 25 процентный для роста волос и бороды, 168263293"/>
        <s v="Jarrow Formulas, примула вечерняя, 1300 мг, 60 капсул JRW-09002"/>
        <s v="21st Century, комплекс глюкозамина и хондроитина с МСМ, улучшенная тройная сила, 120 таблеток CEN-27438"/>
        <s v="Source Naturals, Prosta-Response, добавка для здоровья простаты, 90 таблеток SNS-01295"/>
        <s v="Terra Origin, добавка для нормализации функций желудочно-кишечного тракта, вкус мяты, 222 г (7,83 унции) TEO-00757"/>
        <s v="бурые водоросли, 150 мкг, 200 таблеток"/>
        <s v="NOW Foods, магний расслабляющий инозитол, лимонад, 454 г (16 унций) NOW-01293"/>
        <s v="Natural Factors, Альфа-липоевая кислота, 400 мг, 60 капсул NFS-02101"/>
        <s v="Carlson, Wild Caught Super Omega-3 Gems, высокоэффективная омега-3 из морской рыбы, 600 мг, 100 плюс 30 капсул CAR-01524"/>
        <s v="витамин A, 3000 мкг (10 000 МЕ), 180 капсул"/>
        <s v="NOW Foods, калий цитрат, 99 мг, 180 капсул NOW-01448"/>
        <s v="Сахаромицеты Буларди, 5 млрд КОЕ, 120 вегетарианских капсул"/>
        <s v="MediNatura, ClearLife, таблетки против аллергии с повышенной силой действия, 60 таблеток HEE-31006"/>
        <s v="BioSil, ch-OSA, улучшенный источник коллагена, 30 мл (1 жидк. унция) NFS-39184"/>
        <s v="Solaray, цинк, 50 мг, 100 растительных капсул SOR-04710"/>
        <s v="KAL, тройной источник магния, 100 таблеток CAL-62827"/>
        <s v="Норвежская серия для детей, самый лучший рыбий жир, натуральный апельсиновый вкус, 200 мл (6,7 жидк, унции)"/>
        <s v="Swanson, Мелатонин тройной силы, 10 мг, 60 капсул SWV-02305"/>
        <s v="Масло антарктического криля, комплекс фосфолипидов омега-3 с астаксантином, натуральной клубникой и лимоном, 500 мг, 30 мягких капсул с рыбьим желатином"/>
        <s v="N-ацетил-L-цистеин, 600 мг, 120 растительных капсул"/>
        <s v="Fundamentals, NAC, N-ацетил-L цистеин, 600 мг, 200 вегетарианских капсул"/>
        <s v="Solaray, кора муравьиного дерева, 550 мг, 100 вегетарианских капсул SOR-01440"/>
        <s v="готу кола, 475 мг, 180 вегетарианских капсул"/>
        <s v="NOW Foods, ДГК-500, двойная сила, 180 капсул NOW-01613"/>
        <s v="Immunity, витамины C + D3 и цинк, 100 капсул"/>
        <s v="Гиалуроновая кислота, 200 мг, 30 растительных капсул"/>
        <s v="Swanson, Габа, высокая эффективность, 500 мг, 100 капсул SWV-01872"/>
        <s v="Swanson, Гуарана полного спектра, 500 мг, 100 капсул SWV-01978"/>
        <s v="EVLution Nutrition, Бета-аланин, без добавок, 200 г (7,05 унции) EVL-02898"/>
        <s v="California Gold Nutrition, Комплекс с гиалуроновой кислотой, 60 растительных капсул CGN-00856"/>
        <s v="NaturesPlus, Мелатонин, 10 мг, 90 таблеток NAP-47627"/>
        <s v="Smart Bee, Хитозан Антиоксидант, 15 мл, 835689754"/>
        <s v="AumRa, Isotine Plus глазные капли, 113319452"/>
        <s v="NSP, Грэпайн с протекторами, 000001750"/>
        <s v="NSP, Перец, Чеснок, Петрушка, 000000832"/>
        <s v="NSP, Зубная паста Саншайн Брайт с экстрактом листьев зеленого чая, 000002851"/>
        <s v="NSP, Красный Клевер, 000000550"/>
        <s v="NSP, Брэс Из, 000000775"/>
        <s v="NSP, Брэс Из АКЦИЯ 30%, 000650510"/>
        <s v="Витамин A, 3000 мкг (10 000 МЕ), 100 мягких таблеток"/>
        <s v="прегненолон, 50 мг, 100 капсул"/>
        <s v="ДГЭА, 25 мг, 100 капсул"/>
        <s v="Lake Avenue Nutrition, экстракт зверобоя, 300 мг, 90 растительных капсул LKN-01789"/>
        <s v="California Gold Nutrition, AlphaWave, L-теанин, поддерживает расслабление и спокойную концентрацию, 200 мг, 60 растительных капсул CGN-01242"/>
        <s v="Animal, Animal PAK, идеальный базовый пакет для тренировок, 44 удобных пакетика с таблетками UNN-00042"/>
        <s v="Solaray, Kids, жевательные таблетки для поддержки концентрации, натуральный виноград, 60 жевательных таблеток SOR-08378"/>
        <s v="наттокиназа, 2000 FU, 90 вегетарианских капсул"/>
        <s v="Swanson, Астаксантин, 8 мг, 30 мягких таблеток SWV-02846"/>
        <s v="Himalaya, Босвеллия, 60 вегетарианских капсул HIM-41601"/>
        <s v="VitaMeal, L карнитин жидкий, 3000мг, для похудения, 500 мл, Ананас, 425941426"/>
        <s v="Mutant mass, Протеин сывороточный Ванильное мороженое, 109762041"/>
        <s v="Mutant mass, Протеин сывороточный Клубничный крем, 109762042"/>
        <s v="Mutant mass, Протеин сывороточный Печенье с Кремом, 109762034"/>
        <s v="Scitec Nutrition, Протеин сывороточный Whey Protein Professional Клубника, 1000г, 156265513"/>
        <s v="Maxler, Creatine 100% Monohydrate 500г, 166611795"/>
        <s v="Scitec Nutrition, Сывороточный изолят 100% Whey Isolate 700 г. Шоколад, 171016083"/>
        <s v="L-карнозин, 500 мг, 50 растительных капсул"/>
        <s v="витамин D3, высокоактивный, 10 000 МЕ, 120 капсул"/>
        <s v="Jason Natural, Sea Fresh, укрепляющая зубная паста, со вкусом мяты, 85 г (3 унции) JAS-01569"/>
        <s v="NOW Foods, Sports, моногидрат креатина, 750 мг, 120 растительных капсул NOW-02035"/>
        <s v="BSN, Nitrix 2.0, концентрированный прекурсор оксида азота, 180 таблеток BSN-00521"/>
        <s v="Codeage, Ферментированный мультивитаминный комплекс для подростков, 25+ витаминов, минералы, 60 капсул AGE-00852"/>
        <s v="комплекс с эврикомой длиннолистой, 800 мг, 60 растительных капсул (400 мг в 1 капсуле)"/>
        <s v="Сертифицированная органическая спирулина, 3000 мг, 500 таблеток (500 мг в 1 таблетке)"/>
        <s v="Planetary Herbals, крем с конским каштаном, 113,4 г (4 унции) PTF-10431"/>
        <s v="Source Naturals, Guarana Energizer, 900 мг, 60 таблеток SNS-01819"/>
        <s v="Planetary Herbals, конский каштан полного спектра, 300 мг, 120 таблеток PTF-10391"/>
        <s v="Maybelline, Консилер Fit Me, оттенок 15 светлый, 6,8 мл MBY-24771"/>
        <s v="L'Oréal, BB-крем Magic Skin Beautifier против покраснений, 30 мл LOE-28371"/>
        <s v="L'Oréal, Voluminous X Fiber, тушь для ресниц, оттенок 213 угольно-черный, 13 мл (0,43 жидк, унции) LOE-36371"/>
        <s v="Maybelline, Instant Age Rewind, ластик, универсальный консилер, 100 оттенков слоновой кости, 6 мл (0,2 жидк, Унции) MBY-54678"/>
        <s v="Advanced Clinicals, коллаген, лосьон для восстановления кожи, 454 г (16 унций) ADC-00639"/>
        <s v="Rusco Sport, Боксерские перчатки 10 OZ, черные, 286912637"/>
        <s v="VitaMeal, L карнитин жидкий, 3000мг, для похудения, 500 мл, Вишня, 425908558"/>
        <s v="Dabur, Трифала Чурна / (Triphala churna) порошок для очищения организма Dabur 500 гр, 048748589"/>
        <s v="OstroVit, Протеин Гейнер Mass It 3000г.,  Шоколад, 169921021"/>
        <s v="Dobro, Боксерский мешок Чемпион 160х38, вес 65-70 кг, ПВХ, черный, 295527532"/>
        <s v="Maxler, Протеин Ultra Whey, 900 гр, ванильное мороженое, 000000000"/>
        <s v="FIGHT BALL, Бинты боксерские для бокса. 3м х 5 см. Хлопок. Черные, 980488669"/>
        <s v="PharmaMed, Lady's formula менопауза усиленная формула таб, 30 шт., 000000000"/>
        <s v="Platinum Multivitamin, мультивитамины, 90 таблеток"/>
        <s v="Optimum Nutrition, Gold Standard, 100% Whey, двойной шоколад, 2,27 кг (5 фунтов) OPN-02866"/>
        <s v="Optimum Nutrition, Gold Standard, 100% Whey, сыворотка с насыщенным вкусом молочного шоколада, 2,27 кг (5 фунтов) OPN-02414"/>
        <s v="MRM Nutrition, сывороточный протеин, 2 млрд пробиотиков, шоколад, 2270 г (5 фунтов) MRM-72050"/>
        <s v="MuscleTech, Performance Series, Nitro Tech, 100% Whey Gold (100% сыворотка), двойной шоколад, 1,02 кг (2,24 фунта) MSC-71045"/>
        <s v="норвежская серия для детей, самый лучший рыбий жир, натуральный лимонный вкус, 800 мг, 200 мл (6,7 жидк. унции)"/>
        <s v="Kid Cal, 100 жевательных таблеток"/>
        <s v="монолаурин, 500 мг, 60 вегетарианских капсул"/>
        <s v="Source Naturals, Энергетик с гуараной, 900 мг, 200 таблеток SNS-00233"/>
        <s v="Healths Harmony, Экстракт боярышника 4: 1, 120 капсул HRM-50004"/>
        <s v="Life Extension, Цитиколин (ЦДФ-холин), 60 вегетарианских капсул LEX-16596"/>
        <s v="NOW Foods, Холин и инозитол, 100 растительных капсул NOW-00470"/>
        <s v="NutriBiotic, Ушные капли с экстрактом косточек грейпфрута и маслом чайного дерева, 30 мл (1 жидк, унция) NBC-01055"/>
        <s v="NutriBiotic, Maximum GSE, жидкий концентрат, 29,5 мл (1 жидкая унция) NBC-00995"/>
        <s v="жидкий витамин D-3 с повышенной силой действия, 1000 МЕ, 30 мл (1 жидк. унция)"/>
        <s v="Nordic Naturals, Ultimate Omega Junior, для детей от 6 до 12 лет, со вкусом клубники, 340 мг, 90 мини-капсул NOR-01798"/>
        <s v="жидкий йод плюс, с йодидом калия и йодом, без добавок, 150 мкг, 59 мл (2 жидк. унции)"/>
        <s v="Carlson, Жевательные таблетки с кальцием для детей, с натуральным ванильным вкусом, 250 мг, 60 таблеток CAR-05083"/>
        <s v="Carlson, Super Daily K2 для детей, 22,5 мкг, 10,16 мл (0,34 жидк, унций) CAR-10330"/>
        <s v="Natural Vitality, CALM, жевательные мармеладки против стресса, апельсин, 60 жевательных таблеток PTG-04309"/>
        <s v="Гантели-В-Деле, гантели разборные для фитнеса, общий вес 33 кг + штанга, 2 шт. по 16.5 кг, красный, черный цвет, 960689838"/>
        <s v="RUSHAKER, Шейкер спортивный с венчиком 700 мл, черный, 43392039"/>
        <s v="IVEKA SHOP, Шейкер-бутылка спортивная, морская волна, 141847876"/>
        <s v="RUSHAKER, Шейкер спортивный с венчиком 700 мл, фиолетовый, 018915125"/>
        <s v="Cult, Гейнер для набора веса, массы, углеводы 100% Pure Mass Gainer 3000 г (3 кг), клубника, 077563285"/>
        <s v="Space Nutrition, Шейкер спортивный / шейкер 700 мл, черный, 090854722"/>
        <s v="Elianware, Шейкер для фитнесса 0,7л, фиолетовый, 154871633"/>
        <s v="Шейкер Movie Needs Daily Body, 800мл., черный"/>
        <s v="LOVE SPORT, Скакалка регулируемая BASIC до 300 см, спортивная, для фитнеса, для детей и взрослых, черная, 537270297"/>
        <s v="GOLDEN FIT, Скакалка профессиональная, скоростная для фитнеса, бокса, кроссфита, 300 см. Черная, 972146200"/>
        <s v="Mutant mass, Протеин сывороточный 2270г, Шоколадный брауни , 174153170"/>
        <s v="Mutant mass, Протеин сывороточный 2270г, Тройной шоколад , 174153168"/>
        <s v="SOUL WAY, Протеин сывороточный (900 гр), 30 порций, банан, 141171853"/>
        <s v="R-Line, Гейнер Light Mass 1000 гр для набора массы (vмокачино), 504006588"/>
        <s v="Samyun Wan, Ginseng kianpi pil бады таблетки для набора веса и массы, 168790484"/>
        <s v="Cult, Гейнер для набора веса, массы, углеводы 100% Pure Mass Gainer 3000 г (3 кг), шоколад, 077562793"/>
        <s v="R-Line, Гейнер LIGHT MASS (моккачино) 3000 г, 008160575"/>
        <s v="R-Line, Гейнер LIGHT MASS (ваниль) 3000 г, 005586833"/>
        <s v="Sundown Naturals, Комплекс витаминов группы В, 100 таблеток SDN-00601"/>
        <s v="KAL, Глицинат магния с высокой абсорбцией 350, 160 вегетарианских капсул CAL-39022"/>
        <s v="Витамин C, 500 мг, 250 таблеток"/>
        <s v="California Gold Nutrition, гидролизованные пептиды морского коллагена, без добавок, 200 г (7,05 унции) CGN-01863"/>
        <s v="Life Extension, керамиды для восстановления кожи, 30 вегетарианских капсул с жидкостью LEX-20963"/>
        <s v="регенератор НАД и клеток, 100 мг, 30 вегетарианских капсул"/>
        <s v="Source Naturals, винпоцетин, 10 мг, 120 таблеток SNS-01399"/>
        <s v="FITCODE, Львиная грива, 500 мг, 60 растительных капсул FCD-02860"/>
        <s v="Винпоцетин, 10 мг, 100 вегетарианских таблеток"/>
        <s v="Carlson, Kids Cod Liver Oil, Natural Green Apple , 550 mg, 8,4 fl oz (250 ml) CAR-13730"/>
        <s v="SOUL WAY, Протеин сывороточный (900 гр), 30 порций, бисквит с карамелью, 1070106285"/>
        <s v="Maxler, Креатин моногидрат Creatine 100% Monohydrate, 150 гр., 999025023"/>
        <s v="Spotlife, Шейкер Movie Needs Daily Body, 800мл., черный, 176044510"/>
        <s v="Spotlife, Шейкер Movie Needs Daily Body, 800мл., морская волна, 176044512"/>
        <s v="Indigo, Эспандер Боевой мяч Fight Ball SM-061 55 см"/>
        <s v="Eclectic Institute, коллинсония канадская, 250 мг, 60 мл (2 жидк, унции) ECL-10239"/>
        <s v="Planetary Herbals, Конский каштан, здоровье вен, 705 мг, 90 таблеток PTF-10393"/>
        <s v="Nordic Naturals, докозагексаеновая кислота (ДГК) с витамином D3 для детей, 1050 мг, 60 мл (2 жидк, унции) NOR-53787"/>
        <s v="NutriBiotic, назальный спрей, 29,5 мл (1 жидк, унция) NBC-01050"/>
        <s v="FITCODE, Energy Code, перед тренировкой, арбуз, 279 г (9,8 унции) FCD-02889"/>
        <s v="NaturesPlus, Source of Life, Animal Parade Gold, жевательные мультивитамины с микроэлементами для детей, ассорти, 120 таблеток в форме животных NAP-29928"/>
        <s v="21st Century, Sentry Senior, мультивитаминная и мультиминеральная добавка, для взрослых от 50 лет, 125 таблеток CEN-22390"/>
        <s v="Boiron, Крем из календулы для первой помощи, 70 г (2,5 унции) BOI-02156"/>
        <s v="Futurebiotics, Передовые мультивитамины для женщин &quot;Энергия Плюс&quot;, 120 таблеток FBS-00047"/>
        <s v="Комплекс с ресвератролом, 500 мг, 60 капсул"/>
        <s v="R-Line, Гейнер LIGHT MASS (шоколад) 3000 г, 1095246917"/>
        <s v="R-Line, Гейнер LIGHT MASS (клубника) 3000 г, 555377467"/>
        <s v="Dabur, зубная паста Дабур Ред (Dabur Red) 100г, 856532999"/>
        <s v="Insane Labz, Предтренировочный комплекс Психотик для зала, Арбуз, 175277649"/>
        <s v="Maxler, Натуральный протеин сывороточный 100% Golden Whey NATURAL 2 lb (907 гр.) , Rke,ybrf, 160688046"/>
        <s v="Maxler, Creatine 100% Monohydrate 500г, 125798812"/>
        <s v="California Gold Nutrition, экстракт босвеллии с экстрактом куркумы, 250 мг, 120 вегетарианских капсул CGN-01351"/>
        <s v="Nature's Craft, Красный дрожжевой рис + Coq10, 120 капсул NCA-38611"/>
        <s v="Wellness Formula, улучшенная иммунная поддержка, 120 капсул"/>
        <s v="MagKidz, Animal Parade, жевательный магний для детей, вишня, 90 таблеток в форме животных (50 мг в 1 таблетке)"/>
        <s v="добавка для поддержки в период менопаузы, 90 растительных капсул"/>
        <s v="NOW Foods, гиалуроновая кислота и МСМ, 50 мг, 120 растительных капсул NOW-03157"/>
        <s v="CoralClub, Лецитин подсолнечный, 000002307"/>
        <s v="Hobe Labs, Energizer, стимулятор волосяных фолликулов, 59 мл (2 жидк, Унции) HBL-00219"/>
        <s v="Hobe Labs, Energizer, стимулятор роста волос с жожоба и витамином B5, 237 мл (5,8 жидк, унции) HBL-00212"/>
        <s v="Натто-Серра, 90 вегетарианских капсул"/>
        <s v="Ultra-Mag, 120 таблеток"/>
        <s v="Force Factor, Fundamentals, LongJack Tongkat Ali Max, 1200 мг, 60 растительных капсул FOA-01906"/>
        <s v="Doctor's Best, Best, L-тирозин, 500 мг, 120 вегетарианских капсул DRB-00316"/>
        <s v="Bluebonnet Nutrition, магний и витамин B6, 90 вегетарианских капсул BLB-00735"/>
        <s v="21st Century, Wellify, энергетические мультивитамины и мультиминералы для мужчин, 65 таблеток CEN-22439"/>
        <s v="21st Century, Mega Multi, для мужчин, мультивитамины и мультиминералы, 90 таблеток CEN-22658"/>
        <s v="21st Century, Wellify, энергетические мультивитамины и мультиминералы для женщин, 65 таблеток CEN-22443"/>
        <s v="21st Century, Wellify, мультивитамины и мультиминералы для женщин старше 50 лет, 65 таблеток CEN-22460"/>
        <s v="MuscleTech, Nitro Tech, 100% Whey Gold, сывороточный протеин, печенье с кремом, 1,00 кг (2,21 фунта) MSC-71044"/>
        <s v="Nordic Naturals, ДГК для детей от 1 до 6 лет, клубника, 237 мл (8 жидк, Унций) NOR-02723"/>
        <s v="Enzymedica, Candidase, Extra Strength, 42 капсулы ENZ-13010"/>
        <s v="California Gold Nutrition, Цинк-L-карнозин, 30 растительных капсул CGN-02171"/>
        <s v="Futurebiotics, витамины K2 + D3 с витамином K2 в виде MK-7, 120 капсул FBS-50070"/>
        <s v="SOUL WAY, Протеин сывороточный (900 гр), 30 порций, Капучино, 1070098908"/>
        <s v="SOUL WAY, Протеин сывороточный (900 гр), 30 порций, Банан"/>
        <s v="XINOXIN, Средство для роста волос, бороды 15%, 60мл, набор 6шт, 724807304"/>
        <s v="CoralClub, Корал-Майн Сильвер, 000002200"/>
        <s v="SOUL WAY, Протеин сывороточный (900 гр), 30 порций, Клубника, 0987465725"/>
        <s v="Протеин сывороточный (900 гр), 30 порций, Шоколад"/>
        <s v="Iron mass, Iron test / ecdisten / Iron mass набор для набора массы 3 в одном, 1182147728"/>
        <s v="R-Line, Гейнер Углеводно-Белковый Коктейль MASS + Creatine, банка, 4000 г., Банан, 1235693361"/>
        <s v="R-Line, Гейнер Углеводно-Белковый Коктейль MASS + Creatine, банка, 4000 г., Клубника, 1235696968"/>
        <s v="50BMG pharm, Набор Real Mass / Реал масс Testo-Rampage, 1158717286"/>
        <s v="SKILLS NUTRITION, Порошковый креатин моногидрат, 015958935"/>
        <s v="Toco-Sorb, 60 капсул"/>
        <s v="NOW Foods, MK-7, витамин K2, 100 мкг, 120 вегетарианских капсул NOW-00993"/>
        <s v="Nutricost, Гриб львиная грива, 700 мг, 90 капсул NCS-67028"/>
        <s v="NOW Foods, Solutions, Xyli-White, гелевая зубная паста с пищевой содой, без фторида, освежающая мята, 181 г (6,4 унции) NOW-08091"/>
        <s v="EVLution Nutrition, Бета-аланин, 60 растительных капсул EVL-02907"/>
        <s v="Bluebonnet Nutrition, Early Promise, мультивитамин для беременных с мягкой формулой, 120 капсуловидных таблеток BLB-00175"/>
        <s v="Natural Factors, фосфатидилхолин (ФХ), 420 мг, 90 мягких таблеток NFS-02605"/>
        <s v="California Gold Nutrition, Life Boost, 60 растительных капсул CGN-02108"/>
        <s v="NutriBiotic, Essentials, мультивитамины и минералы, 90 капсул без глютена NBC-00120"/>
        <s v="Swanson, L-аргинин, 500 мг, 100 капсул SWV-01852"/>
        <s v="21st Century, Фолиевая кислота, 400 мкг, 250 легко проглатываемых таблеток CEN-21377"/>
        <s v="Life Extension, Витамин D3, 25 мкг (1000 МЕ), 90 мягких таблеток LEX-17539"/>
        <s v="Carlson, норвежская серия, самый лучший рыбий жир, с натуральным лимонным вкусом, 1600 мг, 200 мл (6,7 жидк, унции) CAR-01540"/>
        <s v="NOW Foods, L-триптофан, двойной концентрации, 1000 мг, 60 таблеток NOW-00169"/>
        <s v="Force Factor, Моногидрат креатина, без добавок, 300 г (10,6 унции) FOA-66010"/>
        <s v="Jarrow Formulas, DIM + CDG, улучшенная формула для детоксикации, 30 вегетарианских капсул JRW-29065"/>
        <s v="LA, Girl, Консилер Pro Conceal HD Concealer, фарфоровый, 8 г LAG-96969"/>
        <s v="холиновый и кремниевый комплекс, биологически доступный коллаген для поддержки волос, кожи и ногтей, 60 мл (2 жидк. унции)"/>
        <s v="Холиновый и кремниевый комплекс, биодоступный и стабилизированный кремний (в виде ортокремниевой кислоты, OSA) для поддержки коллагена, 30 мл (1 жидк. унция)"/>
        <s v="California Gold Nutrition, LactoBif 5, пробиотики, 5 млрд КОЕ, 60 вегетарианских капсул CGN-00963"/>
        <s v="Органическая львиная грива, 90 капсул"/>
        <s v="California Gold Nutrition, L-лизин, 500 мг, 60 растительных капсул CGN-01132"/>
        <s v="Amazing Formulas, Кальций, магний, цинк и витамин D3, 300 таблеток"/>
        <s v="Life Extension, прегненолон, 100 мг, 100 капсул LEX-70010"/>
        <s v="NOW Foods, астрагал, 500 мг, 100 растительных капсул NOW-04605"/>
        <s v="RSP Nutrition, якорцы стелющиеся, поддержка тестостерона, 800 мг, 120 капсул RSP-00661"/>
        <s v="Primaforce, Якорцы, 750 мг, 180 капсул PMF-02105"/>
        <s v="Nature's Way, Alive! комплекс мультивитаминов и мультиминералов для ежедневного пополнения запаса энергии, 60 таблеток NWY-60192"/>
        <s v="Nature's Way, Alive! Max3 Daily, мультивитамины, 60 таблеток NWY-14926"/>
        <s v="FITCODE, LeanPre, предтренировочная добавка, измельченная малина, 240 г (8,46 унции) FCD-02890"/>
        <s v="XINOXIN, Средство для роста волос, бороды 15%, 60мл, 615982878"/>
        <s v="Samyun Wan, Для похудения Slim ultra, 187613272"/>
        <s v="NOW Foods, рутин, 450 мг, 100 растительных капсул NOW00735"/>
        <s v="Natural Factors, рутин, 250 мг, 90 капсул NFS01391"/>
        <s v="NOW Foods, ультраомега-3, 600 ЭПК / 300 ДГК, 90 капсул из рыбьего желатина NOW01663"/>
        <s v="NOW Foods, витамин D3, высокоактивный, 50 мкг (2000 МЕ), 120 капсул NOW00367"/>
        <s v="NOW Foods, цитрат магния, 180 капсул NOW01298"/>
        <s v="NOW Foods, цитрат магния, 240 растительных капсул NOW01296"/>
        <s v="Nature's Way, Alive! Once Daily, полный комплекс высокоэффективных мультивитаминов для женщин, 60 таблеток NWY15686"/>
        <s v="NOW Foods, Ева, улучшенные женские мультивитамины, 90 таблеток NOW03796"/>
        <s v="NOW Foods, астрагал, 500 мг, 100 растительных капсул NOW04605"/>
        <s v="Healths Harmony, Экстракт боярышника 4: 1, 120 капсул HRM50004"/>
        <s v="Nature's Way, Alive! комплекс высокоэффективных мультивитаминов для женщин 50 лет и старше, один раз в день, 60 таблеток NWY15692"/>
        <s v="Nature's Way, Alive! комплекс суперэффективных мультивитаминов для мужчин 50+, 60 таблеток NWY15691"/>
        <s v="Nature's Way, DIM-plus, метаболизм эстрогенов, 120 вегетарианских капсул NWY14850"/>
        <s v="NOW Foods, жидкий хлорофилл, аромат натуральной мяты, 473 мл (16 жидк, унций) NOW02644"/>
        <s v="MuscleTech, Alpha Test, 120 капсул MSC60676"/>
        <s v="Trilogy, Увлажняющий спрей-тоник, 20 мл (0,68 жидк, Унции) TGY38090"/>
        <s v="NOW Foods, лецитин, 1200 мг, 100 мягких таблеток NOW02210"/>
        <s v="Garden of Life, Vitamin Code, цельнопищевые мультивитамины для детей, вишня, 60 жевательных мишек GOL11440"/>
        <s v="Life Extension, ДГЭА, 25 мг, 100 капсул LEX33510"/>
        <s v="Life Extension, прегненолон, 50 мг, 100 капсул LEX30210"/>
        <s v="Force Factor, Моногидрат креатина, без добавок, 300 г (10,6 унции) FOA66010"/>
        <s v="Carlson, норвежская серия для детей, самый лучший рыбий жир, натуральный лимонный вкус, 800 мг, 200 мл (6,7 жидк, унции) CAR01543"/>
        <s v="Carlson, Super Daily, витамин D3 для детей, 10 мкг (400 МЕ), 10,3 мл (0,35 жидк, унций) CAR01250"/>
        <s v="Carlson, норвежская серия, самый лучший рыбий жир, натуральный лимонный вкус, 1600 мг, 500 мл (16,9 жидк, унции) CAR01545"/>
        <s v="NOW Foods, ГАМК, 750 мг, 100 растительных капсул NOW00089"/>
        <s v="Life Extension, Мультивитамины для двух приемов в день, 120 таблеток LEX23151"/>
        <s v="Solaray, цинк, 50 мг, 100 растительных капсул SOR04710"/>
        <s v="NOW Foods, Готу кола, 450 мг, 100 растительных капсул NOW04700"/>
        <s v="NOW Foods, Sports, моногидрат креатина, 750 мг, 120 растительных капсул NOW02035"/>
        <s v="Palmer's, Формула какао-масла с витамином E, терапевтическое масло для кожи, 150 мл (5,1 жидк, Унции) PAL04153"/>
        <s v="Sports Research, комплекс Collagen Beauty, морской коллаген, арбуз и юзу, 181 г (6,38 унций) SRE01345"/>
        <s v="JR, Liggett's, Твердый шампунь в старом стиле, масло чайного дерева и конопляное масло, 99 г (3,5 унции) LGJ10204"/>
        <s v="FITCODE, L-карнитин, повышенная сила действия, 500 мг, 120 капсул FCD02881"/>
        <s v="Maybelline, Baby Lips, бальзам-блеск для губ, оттенок «розовый» 01, 3,9 г MBY48312"/>
        <s v="Maybelline, Baby Lips Crystal, увлажняющий бальзам для губ, розовый кварц 140, 4,4 г MBY42459"/>
        <s v="NaturesPlus, Advanced Therapeutics Hypertrol для кровяного давления, 60 таблеток NAP04997"/>
        <s v="NOW Foods, Sports, микронизированный моногидрат креатина, 500 г (1,1 фунта) NOW02038"/>
        <s v="Life Extension, DHEA, 50 мг, 60 капсул LEX88206"/>
        <s v="NOW Foods, Высокоэффективный витамин D-3, 250 мкг (10 000 МЕ), 120 мягких таблеток NOW00376"/>
        <s v="Dr.M.S.Basu's, Айсотин (капли для глаз) Isotine 10 мл., 814920275"/>
        <s v="Now Foods,  GABA 750 мг 100 капсул, 928190726"/>
        <s v="СОЛОЛЕТО, Фитнес резинки жгут петли эспандер для подтягивания лента, 146995620"/>
        <s v="CoralClub,  Корал Лецитин, 000091650"/>
        <s v="CoralClub, Цинк Метионин 25 мг, 000002305"/>
        <s v="CoralClub, Селен, 000002111"/>
        <s v="Paradise Herbs, Earth's Blend, биотин, 10 000 мкг, 90 вегетарианских капсул PAR-77870"/>
        <s v="California Gold Nutrition, гидролизованные пептиды морского коллагена, без добавок, 500 г (17,64 унции) CGN-01864"/>
        <s v="гидрохлорид бетаина, 648 мг, 120 растительных капсул"/>
        <s v="Sports Research, комплекс Collagen Beauty, морской коллаген, арбуз и юзу, 181 г (6,38 унций) SRE-01345"/>
        <s v="Vital Proteins, пептиды коллагена, без вкусовых добавок, 567 г (1,25 фунта) VTP-00508"/>
        <s v="красный вяз, 400 мг, 100 растительных капсул"/>
        <s v="Morningstar Minerals, фульвовые и гуминовые минералы, энергичность, 946 мл (32 унции) MOR-00953"/>
        <s v="добавка для поддержки в период менопаузы, 30 растительных капсул"/>
        <s v="Life Extension, эстроген для женщин, 30 вегетарианских таблеток LEX-18943"/>
        <s v="Здоровый эстроген и менопауза, 60 капсул"/>
        <s v="Solaray, цинк и медь с бурыми водорослями и тыквенными семечками, 100 капсул VegCap SOR-47105"/>
        <s v="KAL, Цинк 50 хелатных, 90 таблеток CAL-52642"/>
        <s v="Honees, леденцы с медом, ментолом и эвкалиптом, 100 мг (3,5 унции) HNS-00403"/>
        <s v="Honees, леденцы от кашля, мед и лимон, 20 крупных леденцов HNS-00404"/>
        <s v="NOW Foods, ультра омега-3, 500 ЭПК / 250 ДГК, 180 мягких таблеток из рыбьего желатина NOW-01665"/>
        <s v="Ecological Formulas, аллитиамин (витамин В1), 50 мг, 250 капсул CVR-13109"/>
        <s v="Force Factor, Longjack Tongkat Ali, эврикома длиннолистная, 500 мг, 30 капсул FOA-01490"/>
        <s v="Force Factor, йохимбин, 6 мг, 30 капсул FOA-01527"/>
        <s v="Solaray, цитрат магния, 400 мг, 180 вегетарианских капсул (133 мг в 1 капсуле) SOR-37402"/>
        <s v="ProbioSlim, средства для снижения веса, 120 вегетарианских капсул"/>
        <s v="Real Mushrooms, Lion's Mane, Cognition, 120 капсул RMS-06804"/>
        <s v="ресвератрол, 290 таблеток"/>
        <s v="NOW Foods, чесночное масло, 1500 мг, 250 капсул NOW-01792"/>
        <s v="веганский красный ферментированный рис с коэнзимом Q10, 120 растительных капсул"/>
        <s v="wet n wild, Хайлайтер MegaGlo, оттенок When The Nude Strikes, 6 г WNW-58000"/>
        <s v="Ecological Formulas, Уридин-300, 60 капсул CVR-13129"/>
        <s v="Ecological Formulas, Sphingolin, основной белок миелина, 240 капсул CVR-13077"/>
        <s v="Thorne, кора надпочечников, 60 капсул THR-80303"/>
        <s v="Source Naturals, прегненолон, 25 мг, 120 таблеток SNS-00678"/>
        <s v="Духи для женщин w102"/>
        <s v="Духи для женщин w104"/>
        <s v="Духи для женщин w116"/>
        <s v="Духи для мужчин m008"/>
        <s v="Духи для женщин w176"/>
        <s v="Духи для женщин w180"/>
        <s v="парфюмированный гель для душа w179"/>
        <s v="NOW Foods, Solutions, укрепляющая сыворотка с гиалуроновой кислотой, 30 мл (1 жидк, унция) NOW-07788"/>
        <s v="21st Century, смесь ацидофильных пробиотиков, 150 капсул CEN-22928"/>
        <s v="экстракт расторопши, двойная сила, 300 мг, 200 растительных капсул"/>
        <s v="NOW Foods, Sports, якорцы, 1000 мг, 180 таблеток NOW-02271"/>
        <s v="Force Factor, Force Factor, якорцы стелющиеся, добавка для повышения уровня тестостерона, 60 капсул FOA-01491"/>
        <s v="NOW Foods, мелатонин усиленного действия, 10 мг, 100 растительных капсул NOW-03557"/>
        <s v="хлорелла, 1000 мг, 120 таблеток"/>
        <s v="пиколинат цинка, 50 мг, 120 растительных капсул"/>
        <s v="California Gold Nutrition, птеростильбен, 50 мг, 30 растительных капсул CGN-01847"/>
        <s v="цитрат магния, 200 мг, 250 таблеток"/>
        <s v="NOW Foods, хлорофилл, 100 мг, 90 растительных капсул NOW-02645"/>
        <s v="таурин двойной концентрации, 1000 мг, 250 растительных капсул"/>
        <s v="подсолнечный лецитин, чистый порошок, 454 г (1 фунт)"/>
        <s v="Advanced Clinicals, Комплексная сыворотка для глаз «5 в 1», мультикоррекция, 59 мл (2 жидк, унции) ADC-00977"/>
        <s v="Elizavecca, Witch Piggy, средство для контроля пор, с 97% гиалуроновой кислоты, 50 мл (1,69 жидк, унции) EZV-75066"/>
        <s v="Carlson, Хром Хелат 300 таблеток CAR-05513"/>
        <s v="D-манноза, 500 мг, 120 вегетарианских капсул"/>
        <s v="BioSchwartz, глюкозамин, МСМ + хондроитин с запатентованным комплексом Fruitex-B, 90 растительных капсул BTZ-75121"/>
        <s v="EuroHerbs, экстракт пассифлоры, качество Euromed, 250 мг, 60 растительных капсул"/>
        <s v="омега-3, ЭПК и ДГК, тройной концентрации, 950 мг, 100 капсул"/>
        <s v="Ester-C, максимальная сила, 1000 мг, 120 вегетарианских таблеток, покрытых оболочкой"/>
        <s v="Zahler, Junior Multi, комплексный мультивитамин для приема по 1 таблетке в день, натуральный вишневый вкус, 90 жевательных таблеток ZAH-08047"/>
        <s v="Enhanced Energy®, мультивитаминная добавка для подростков, 60 растительных таблеток"/>
        <s v="NaturesPlus, Source of Life, Animal Parade, витамин C, вкус натурального апельсинового сока, 90 таблеток в форме животных NAP-29998"/>
        <s v="NaturesPlus, Source of Life, Animal Parade, Kid Zinc, пастилки с цинком для детей, натуральный вкус мандарина, 90 пастилок в форме животных NAP-29964"/>
        <s v="California Gold Nutrition, стабилизированная R-липоевая кислота, 30 растительных капсул CGN-02006"/>
        <s v="Optimum Nutrition, Opti-Women, 60 капсул OPN-02450"/>
        <s v="Грэпайн с протекторами, 000001750"/>
        <s v="R-Line, Гейнер Углеводно-Белковый Коктейль MASS + Creatine, банка, 4000 г., Шоколад, 715218620"/>
        <s v="Red Ginseng, Капсулы ред гинсенг для набора веса спортивное питание, 176330234"/>
        <s v="Mr.Volos, Средство для волос и роста бороды, Ксиноксин + Копексия, 157827858"/>
        <s v="Духи для женщин w111"/>
        <s v="Духи для мужчин m003"/>
        <s v="Духи для женщин w142"/>
        <s v="Духи для женщин w148"/>
        <s v="Духи для женщин w151"/>
        <s v="Духи для женщин w159n"/>
        <s v="CoralClub, Сильвер-Макс, 000091614"/>
        <s v="Духи для женщин w168"/>
        <s v="Духи для женщин w164"/>
        <s v="Духи для женщин w182"/>
        <s v="Духи для женщин w130"/>
        <s v="NUTRICIA, Сухая смесь Nutridrink Nutrison Advanced, для энтерального питания, 147011133"/>
        <s v="JAGAT PHARMA, Капли для глаз Айсотин Плюс (Isotine Plus Eye Drop), 1065206575"/>
        <s v="MEDI-PEEL, Крем сыворотка для глаз Mezzo Filla Eye Serum, 168204369"/>
        <s v="FIT90, Капсулы для похудения, Таблетки для снижения веса, 169216399"/>
        <s v="Духи для женщин w162"/>
        <s v="Пробник w162"/>
        <s v="Духи для женщин w172"/>
        <s v="Духи для женщин w173"/>
        <s v="Парфюм 4 ELEMENTS - Purple Air 100ml"/>
        <s v="Духи для мужчин m037"/>
        <s v="Духи для мужчин m038"/>
        <s v="Духи для мужчин m039"/>
        <s v="Духи для женщин w118"/>
        <s v="Духи для женщин w127"/>
        <s v="Духи для мужчин m015"/>
        <s v="Духи для женщин w150"/>
        <s v="Духи для женщин w153"/>
        <s v="Парфюм мужской m041"/>
        <s v="Духи для мужчин m043"/>
        <s v="Духи для женщин w184"/>
        <s v="Духи для женщин w185"/>
        <s v="Духи для женщин w186"/>
        <s v="Духи для женщин w190"/>
        <s v="Terry Naturally, Биоактивный магниевый комплекс с P-5-P и цинком, 120 капсул EUR-26102"/>
        <s v="Nature's Way, холин, 500 мг, 100 веганских таблеток NWY-40460"/>
        <s v="NaturesPlus, Source of Life, Animal Parade, витамин D3, без сахара, с натуральным вкусом черешни, 12,5 мкг (500 МЕ), 90 таблеток в форме животных NAP-29923"/>
        <s v="Healths Harmony, Для детей, жевательные мармеладки с бузиной, малина`` 90 жевательных таблеток HRM-50013"/>
        <s v="Medi-Peel, Dr, Солнцезащитный крем-эссенция, SPF 50, 50 мл (1,69 жидк, Унции) MPL-34771"/>
        <s v="Natural Factors, лютеин, 40 мг, 60 мягких таблеток NFS-01035"/>
        <s v="Nature's Way, Alive! Мультивитамины для больных диабетом, 60 таблеток NWY-12371"/>
        <s v="Yeouth, дневной/ночной крем, 5 мл YTH-01964"/>
        <s v="Nutricost, магний+, с повышенной силой действия, 420 мг, 240 капсул (210 мг в 1 капсуле) NCS-67209"/>
        <s v="ALLMAX, Vitaform, мультивитамин премиального качества для женщин, 60 таблеток AMX-22880"/>
        <s v="ALLMAX, Vitaform, мультивитамин премиального качества для мужчин, 60 таблеток AMX-20214"/>
        <s v="Force Factor, CoQ10, 100 мг, 60 растительных капсул FOA-66013"/>
        <s v="Fairhaven Health, Milkies, мультивитамины для кормящих женщин, 60 капсул FHH-00039"/>
        <s v="NOW Foods, биотин повышенной силы действия, 10 мг (10 000 мкг), 120 вегетарианских капсул NOW-00479"/>
        <s v="добавка для волос, кожи и ногтей, повышенная сила действия, 90 таблеток"/>
        <s v="Applied Nutrition, жидкий коллаген, восстановление кожи, со вкусом тропической клубники и киви, 10 пробирок с жидкостью, по 10 мл каждая IRW-57837"/>
        <s v="Force Factor, LeanFire PM, ночной сжигатель жира, 60 вегетарианских капсул FOA-01540"/>
        <s v="Yeouth, чистая гиалуроновая кислота, 5 мл YTH-01969"/>
        <s v="Boiron, Cyclease Menopause, без добавок, 60 таблеток Meltaway BOI-08204"/>
        <s v="Boiron, Лахезис мутус, 30C, прибл, 80 гранул BOS-41413"/>
        <s v="гуперзин А, 250 мкг, 90 растительных капсул"/>
        <s v="Swanson, Комплекс глиадина SOD, 300 мг, 60 капсул SWV-02675"/>
        <s v="Sambucol, сироп из черной бузины, 230 мл (7,8 жидк, унции) SBL-00111"/>
        <s v="California Gold Nutrition, Ultamins, мультивитаминный комплекс для женщин с коэнзимом Q10, грибами, ферментами, овощами и ягодами, 60 растительных капсул CGN-02189"/>
        <s v="California Gold Nutrition, Ultamins, мультивитаминный комплекс для мужчин с коэнзимом Q10, грибами, ферментами, овощами и ягодами, 60 растительных капсул CGN-02188"/>
        <s v="Восстанавливающий магний, 500 мг, 100 вегетарианских капсул"/>
        <s v="Sierra Bees, Madre Magic, универсальный бальзам с маточным молочком и прополисом, 57 мл (2 жидк, унции) MBE-01506"/>
        <s v="Maxler, Натуральный протеин сывороточный 100% Golden Whey NATURAL 2 lb (907 гр.) , Шоколад, 000001752"/>
        <s v="Maxler, Натуральный протеин сывороточный 100% Golden Whey NATURAL 2 lb (907 гр.) , Черничный маффин, 000000150"/>
        <s v="V-Shape Supps, Creatine 500 грамм, пина колада, 000004854"/>
        <s v="Maxler, 100% Golden Creatine 500 г банка, 000002285"/>
        <s v="Maxler, VitaWomen, 90 таблеток, 000001108"/>
        <s v="Maxler, VitaMen 90 таблеток, 000000993"/>
        <s v="Scitec Nutrition, Euro Vita-Mins 120 таблеток, 000001802"/>
        <s v="Solgar, Skin, Nails &amp; Hair Advanced Msm Formula 60 таблеток, 000001369"/>
        <s v="Universal Nutrition, Animal Whey 908 грамм, Ваниль, 000004736"/>
        <s v="Tree of Life, LIFE WHEY 907 граммам, Шоколад, 000002098"/>
        <s v="Optimum System, 100% WHEY PROTEIN 900 грамм, Клубника с кусочками клубники, 000004759"/>
        <s v="Optimum System, 100% WHEY PROTEIN 900 грамм, Манго с кусочками манго, 000004760"/>
        <s v="NOW Foods, Sunflower Lecithin 1200 mg 100 капсул, 000003037"/>
        <s v="NOW Foods, Liq Chlorophyll &amp; Mint 473 мл, 000002982"/>
        <s v="Eco Energy food, Топинамбур в порошке 500 гр., 701059656"/>
        <s v="Духи для женщин w117"/>
        <s v="Духи для мужчин m044"/>
        <s v="Духи для женщин w192"/>
        <s v="Пробник w185"/>
        <s v="Духи для женщин w124"/>
        <s v="Духи для мужчин m029"/>
        <s v="Духи для женщин w166"/>
        <s v="Духи для мужчин m901"/>
        <s v="Духи для женщин w187"/>
        <s v="Пробник w187"/>
        <s v="Духи для мужчин m007"/>
        <s v="Духи для женщин w144"/>
        <s v="Духи для женщин w156"/>
        <s v="Духи для мужчин m025"/>
        <s v="Nutricost, Экстракт виноградных косточек, 28000 мг, 240 капсул NCS-67339"/>
        <s v="лечебно-профилактический шампунь и кондиционер «2 в 1» для защиты кожи головы от перхоти, 355 мл (12 жидк. унций)"/>
        <s v="MEDIHEAL, N,M,F, интенсивный увлажняющий крем, 50 мл (1,6 жидк, унции) MHL-05089"/>
        <s v="Шатавари, 60 растительных капсул"/>
        <s v="Solgar, Витамин C, 1000 мг, 100 растительных капсул SOL-03280"/>
        <s v="FITCODE, CodeShred`` 60 растительных капсул FCD-02894"/>
        <s v="Life Extension, активатор метаболизма AMPK, 30 вегетарианских таблеток LEX-22073"/>
        <s v="EVLution Nutrition, LeanMode, добавка для поддержки снижения веса без стимуляторов, 150 растительных капсул EVL-24071"/>
        <s v="Nutricost, гуарана, 1000 мг, 150 капсул (500 мг в 1 капсуле) NCS-67068"/>
        <s v="Force Factor, индол-3-карбинол, 200 мг, 60 вегетарианских капсул FOA-66103"/>
        <s v="ультра омега-3, рыбий жир, 90 капсул"/>
        <s v="NOW Foods, Sports, Amino Complete, аминокислотный комплекс, 120 вегетарианских капсул NOW-00011"/>
        <s v="пептиды коллагена с витамином C и гиалуроновой кислотой, со вкусом граната, 30 пакетиков по 5,38 г (0,19 унции)"/>
        <s v="пептиды морского коллагена с витамином C и гиалуроновой кислотой, со вкусом лимона, 30 пакетиков по 5,38 г (0,19 унции)"/>
        <s v="Calcium D-Glucarate + BioPerine, 500 mg, 90 Capsules"/>
        <s v="экстракт берберина, 60 вегетарианских капсул"/>
        <s v="Средство для сжигания жира для женщин, 60 растительных капсул"/>
        <s v="NOW Foods, Готу кола, 450 мг, 100 растительных капсул NOW-04700"/>
        <s v="ENOUGH, Увлажняющий солнцезащитный крем с коллагеном Collagen Moisture Sun Cream SPF50+ PA+++, 175137049"/>
        <s v="Cloma Pharma, Black Spider 100c Блэк спайдер, 392584827"/>
        <s v="R-Line, Titan+Creatine, 1200 г, (Банан), 1032085656"/>
        <s v="ENOUGH, Крем для лица с коллагеном и гиалуроновой кислотой, 154082844"/>
        <s v="NOW Foods, GTF хром, 200 мкг, 100 таблеток NOW-01430"/>
        <s v="Beauty of Joseon, Набор Hanbang Serum Discovery, 4 шт, BOJ-31589"/>
        <s v="Yeouth, Сыворотка с витаминами С и Е, 30 мл (1 жидкая унция) YTH-01899"/>
        <s v="Arm &amp; Hammer, UltraMax, твердый дезодорант-антиперспирант для мужчин, свежий аромат, 73 г (2,6 унции) ARH-19764"/>
        <s v="NOW Foods, экстракт женьшеня, 250 вегетарианских капсул NOW-04014"/>
        <s v="Himalaya, Botanique, отбеливающая зубная паста Simply Mint, 5,29 унций (150 г) HIM-20028"/>
        <s v="Desert Essence, зубная паста с алоэ и маслом чайного дерева, с мятным вкусом, 176 г (6,25 унции) DES-33442"/>
        <s v="родиола, 500 мг, 60 растительных капсул"/>
        <s v="Country Life, Комплекс кальция и магния Target-Mins с витамином D3, 90 таблеток CLF-02971"/>
        <s v="Fairhaven Health, Peapod, мультивитаминная добавка для беременных, 60 таблеток FHH-00001"/>
        <s v="The Organic Skin Co,, Морская сыворотка с витаминами, 30 мл (1 жидк, Унция) TOC-57170"/>
        <s v="NOW Foods, Женьшень и маточное молочко, 90 растительных капсул NOW-04007"/>
        <s v="Cardiovascular Research, Cortol Ace, 60 капсул CVR-03504"/>
        <s v="красный клевер, цветы и надземная часть растения, 100 веганских капсул (400 мг в 1 капсуле)"/>
        <s v="Doctor's Best, альфа-липоевая кислота 600, 600 мг, 180 вегетарианских капсул DRB-00249"/>
        <s v="MEDIHEAL, Мадекассозидные подушечки для устранения пятен, 100 подушечек, 170 мл (5,74 жидк, Унции) MHL-05868"/>
        <s v="Pure Co,, органическая куркума с имбирем и черным перцем, 60 растительных капсул PCT-47707"/>
        <s v="California Gold Nutrition, рыбий жир с омега-3 для детей, натуральный клубничный вкус, 60 капсул из рыбьего желатина CGN-02270"/>
        <s v="California Gold Nutrition, пастилки цинк плюс для детей, натуральный мандариновый вкус, 90 пастилок CGN-02278"/>
        <s v="жевательные мультивитамины для детей, фруктовое ассорти, 180 вегетарианских таблеток"/>
        <s v="Nature's Answer, малат и глицинат магния в жидкой форме, 480 мл (16 жидк, унций) NTA-26173"/>
        <s v="NOW Foods, B-50, 100 таблеток NOW-00426"/>
        <s v="Radiant Seoul, Увлажняющий тоник Everlasting Moisture Essence, пробный размер, 30 мл (1 жидк, Унция) RSE-01954"/>
        <s v="Maxler, 100% Golden Whey 907гр, Ванильное мороженое, 65579476"/>
        <s v="ENOUGH, Крем солнцезащитный Moisture Sun Cream SPF50+ PA+++, 27088804"/>
        <s v="Green Leaf Formula, Пробиотики для женщин, 119141823"/>
        <s v="Noir Парфюм - №2"/>
        <s v="Noir Парфюм - № 6"/>
        <s v="Solgar, Цитрат магния, 60 таблеток, SOL-59204"/>
        <s v="LADOR, Беcсульфатный шампунь для волос с кератином Lador Keratin LPP Shampoo, 530 мл, 911242803"/>
        <s v="PRIMEKRAFT, Мицеллярный казеин/Micellar Casein Клубника-Банан , 900 гр / 30 порций, 176349145"/>
        <s v="PRIMEKRAFT, Мицеллярный казеин/Micellar Casein Молочный шоколад, 900 гр / 30 порций, 176349146"/>
        <s v="ECODERMA, Сыворотка для лица с коллагеном укрепляющая Active Botanicals Collagen Serum 30мл, ECD087944"/>
        <s v="LE PETIT OLIVIER, Мыло нежное питательное с ароматом Мёда 250 г, LPO555557"/>
        <s v="LOREN COSMETIC, Крем дневной антивозрастной с протеинами молока 50 МЛ, CLOR50159"/>
        <s v="LE PETIT OLIVIER, Гель для лица очищающий для ежедневного использования Алоэ Вера-Зеленый чай 150 мл, LPO555567"/>
        <s v="LE PETIT OLIVIER, Мыло нежное Лаванда 250 г, LPO373290"/>
        <s v="LE PETIT OLIVIER, Пенка-мусс для лица очищающая с Алоэ Вера и маслом Оливы 150 мл, LPO373319"/>
        <s v="LE PETIT OLIVIER, Средство бифазное для снятия водостойкого макияжа с экстрактом оливкого дерева 125 мл, LPO115173"/>
        <s v="LOREN COSMETIC, Крем ночной от морщин с калиной и воском лесных ягод 50 МЛ, CLOR50111"/>
        <s v="LE PETIT OLIVIER, Паста для лица и тела с зеленой глиной 300 г, LPO555570"/>
        <s v="ECODERMA, Сыворотка для лица с гиалуроновой кислотой увлажняющая Active Botanicals Hyaluronic Serum 30 мл, ECD087943"/>
        <s v="NOW Foods, Ева, улучшенные женские мультивитамины, 90 таблеток NOW-03796"/>
        <s v="Morningstar Minerals, Energy Boost 70, фульвое минералы, 32 жидких унции (946 мл) MOR-00998"/>
        <s v="Gastro Comfort™ с PepZin GI™, 60 растительных капсул"/>
        <s v="Кальций, магний и цинк + витамин D3, 150 таблеток"/>
        <s v="Духи для мужчин m035"/>
        <s v="Пробник Noir Духи - №2"/>
        <s v="Noir Духи - №6"/>
        <s v="Force Factor, магний, 500 мг, 90 растительных капсул FOA-66043"/>
        <s v="Solaray, Total Cleanse для лимфы, 60 вегетарианских капсул SOR-08333"/>
        <s v="Essentials с натуральными дезодорантами, дезодорант, розмарин и лаванда, 2 упаковки по 71 г (2,5 унции)"/>
        <s v="Solaray, Vital Extracts, гинкго билоба с готу кола, 120 мг, 60 растительных капсул SOR-03604"/>
        <s v="Force Factor, Мелатонин, 5 мг, 60 растительных капсул FOA-66045"/>
        <s v="SimplyOne®, ясность мысли с L-теанином, L-фенилаланином и L-глутамином, 30 таблеток"/>
        <s v="Force Factor, витамин D3, 125 мкг (5000 МЕ), 120 мягких таблеток FOA-66052"/>
        <s v="CollagenUP®, гидролизованные пептиды морского коллагена с гиалуроновой кислотой и витамином C, с нейтральным вкусом, 1 кг (2,2 фунта)"/>
        <s v="Life Extension, витамин D3, 25 мкг (1000 МЕ), 250 капсул LEX-17512"/>
        <s v="Nature's Way, корень солодки, 900 мг, 100 веганских капсул (450 мг в 1 капсуле) NWY-14600"/>
        <s v="таурин, двойной концентрации, 1000 мг, 100 растительных капсул"/>
        <s v="EVLution Nutrition, EAA2000, 90 Veggie Capsules EVL-02951"/>
        <s v="fitcode, куркумин, 1500 мг, 90 растительных капсул (500 мг в 1 капсуле) FCD-02867"/>
        <s v="Биотин сверхвысокой эффективности, 10 000 мкг, 60 растительных капсул"/>
        <s v="Solgar, травяной комплекс для женщин, 50 растительных капсул SOL-04163"/>
        <s v="Solgar, комплекс витаминов B с витамином C, формула для борьбы со стрессом, 250 таблеток SOL-00201"/>
        <s v="iHerb Goods, Ситечко для заваривания чая из нержавеющей стали IHB-00961"/>
        <s v="Куркума и черный перец, 90 растительных капсул"/>
        <s v="Aloe Vera Зубная паста"/>
        <s v="Набор парфюмерный женский Chance Eau Tendre №182"/>
        <s v="Духи женские по мотивам Eau de parfum II 50 мл, Парфюмерия для женщин"/>
        <s v="Набор парфюмерный женский по мотивам J'adore №118"/>
        <s v="хелатный магний, 120 растительных капсул"/>
        <s v="Jason Natural, шампунь для ухода за кожей головы, против перхоти, 355 мл (12 жидк, унций) JAS-10030"/>
        <s v="Clear Shield, дезодорант-антиперспирант, Cool Wave, 107 г (3,8 унции)"/>
        <s v="Axe, антиперспирант, защита от пота на 48 часов, Apollo, 76 г (2,7 унции) AXE-26094"/>
        <s v="Axe, Dark Temptation, дезодорант, темный шоколад, 85 г (3 унции) AXE-04040"/>
        <s v="Yeouth, балансирующий тоник для лица с ромашкой, 5 мл YTH-01970"/>
        <s v="EVE, превосходные мультивитамины для женщин, 90 мягких таблеток"/>
        <s v="ADAM, эффективные мультивитамины для мужчин, 90 капсул"/>
        <s v="Yeouth, антивозрастная суперсыворотка, 5 мл YTH-01963"/>
        <s v="Arm &amp; Hammer, Advance White, высокоэффективная отбеливающая зубная паста, чистый аромат мяты, 4,3 унции (121 г) ARH-18660"/>
        <s v="NOW Foods, ниацин, 500 мг, 100 растительных капсул NOW-00481"/>
        <s v="L-лизин и монолаурин, в соотношении 1:1, 60 вегетарианских капсул"/>
        <s v="Духи для женщин w106"/>
        <s v="Духи для женщин w114"/>
        <s v="Духи для женщин w171"/>
        <s v="Духи для женщин w177"/>
        <s v="Духи для женщин w179"/>
        <s v="Духи для женщин w183"/>
        <s v="Духи для женщин w188"/>
        <s v="Духи для женщин w191"/>
        <s v="Духи для женщин w193"/>
        <s v="Духи для женщин w194"/>
        <s v="Пробник Niche Ultramarine Blue"/>
        <s v="Lady choice, Эссенция сыворотка для лица увлажняющая с витамином С, 199224842"/>
        <s v="Solgar, Натуральный витамин E, 268 мг (400 МЕ), 50 мягких таблеток, SOL-03540"/>
        <s v="NutraBio, Медь, 3 мг, 90 растительных капсул NRB-51365"/>
        <s v="BioSchwartz, Ultra High Purity, пробиотики для женщин в период менопаузы, 30 капсул BTZ-43046"/>
        <s v="BioSchwartz, улучшенное средство для укрепления иммунитета 7 в 1, 120 капсул BTZ-43032"/>
        <s v="Vibrant Health, цинк для мужчин, 60 растительных капсул VBH-80024"/>
        <s v="NOW Foods, Экстракт артишока, 450 мг, 90 растительных капсул NOW-04592"/>
        <s v="Средство для очищения кишечника, 625 мг, 180 вегетарианских капсул"/>
        <s v="California Gold Nutrition, VitaFlavan, экстракт косточек французского винограда, 100 мг, 360 растительных капсул CGN-01737"/>
        <s v="California Gold Nutrition, маточное молочко, сублимированный концентрат, 500 мг, 120 растительных капсул CGN-00954"/>
        <s v="California Gold Nutrition, концентрированное молозиво в порошке, 200 г (7,05 унции) CGN-00912"/>
        <s v="инозитол, 500 мг, 100 капсул"/>
        <s v="BioSchwartz, пребиотик, 60 растительных капсул BTZ-75130"/>
        <s v="KAL, гуарана, 800 мг, 120 таблеток CAL-71512"/>
        <s v="NOW Foods, яблочный уксус, 450 мг, 180 растительных капсул NOW-03317"/>
        <s v="ферментированный яблочный уксус, 500 мг, 180 капсул, которые легко глотать"/>
        <s v="Bragg, True Energy, яблочный уксус, 6 витаминов группы B, без кофеина, 90 капсул BRA-09004"/>
        <s v="Natural Factors, Убихинол, активный коэнзим Q10, 100 мг, 30 мягких таблеток NFS-20727"/>
        <s v="Swanson, Рутин, натуральный биофлавоноид, 250 мг, 250 капсул SWV-01125"/>
        <s v="ГАМК, 500 мг, 200 растительных капсул"/>
        <s v="Женские мультивитамины, один раз в день, 90 растительных капсул"/>
        <s v="Nature's Way, Alive! Комплексные мультивитамины для женщин старше 50 лет, 110 таблеток NWY-13901"/>
        <s v="Superfood Skin Savior Variety Pack, 7 салфеток Beauty Sheet, 20 мл (0,68 жидк, Унции) каждая"/>
        <s v="витамины D и К с йодом Sea-Iodine, 60 капсул"/>
        <s v="Sports Research, органическая бузина, витамин C и цинк, со вкусом натуральных ягод, 60 жевательных мармеладок SRE-01349"/>
        <s v="Christopher's Original Formulas, состав для улучшения кровотока, 475 мг, 100 вегетарианских капсул CRO-89110"/>
        <s v="Christopher's Original Formulas, Формула для печени и желчного пузыря, 59 мл (2 жидк, Унции) CRO-49803"/>
        <s v="Christopher's Original Formulas, Средство для нижнего отдела кишечника, 450 мг, 100 вегетарианских капсул CRO-89101"/>
        <s v="Christopher's Original Formulas, V-Vein Formula, 500 мг, 100 вегетарианских капсул CRO-89145"/>
        <s v="Freeman Beauty, увлажняющая гелево-кремовая маска с индийской куркумой, 175 мл (6 жидк, унций) FMN-42380"/>
        <s v="Farm Stay, Ампула All-In-One, гранат, 8,45 унции (250 мл) FSY-77289"/>
        <s v="California Gold Nutrition, Ultamins, мультивитаминный комплекс для женщин старше 50 лет с коэнзимом Q10, грибами, ферментами, овощами и ягодами, 60 растительных капсул CGN-02190"/>
        <s v="Eclectic Herb, экстракт чистотела, 60 мл (2 жидк, унции) ECL-10234"/>
        <s v="Madre Labs, средство для мытья посуды, тройной концентрации, сменный блок, без запаха, 6 пакетиков по 118 мл (4 жидк, унции) MLI-01686"/>
        <s v="Madre Labs, мыло для рук, тройной концентрации, сменный блок, фрезия, 6 пакетиков по 118 мл (4 жидк, унции) MLI-01688"/>
        <s v="California Gold Nutrition, органическая спирулина, 500 мг, 720 таблеток CGN-01176"/>
        <s v="Solaray, B-Complex 50, 100 капсул с оболочкой из ингредиентов растительного происхождения SOR-04271"/>
        <s v="Andalou Naturals, аргановые стволовые клетки, интенсивное средство для кожи головы, против выпадения волос, омолаживающий эффект, 62 мл (2,1 жидк, унции) ADN-00240"/>
        <s v="Mild By Nature, шампунь для окрашенных волос, с гранатом и подсолнечником, 473 мл (16 жидк, унций) MBN-02251"/>
        <s v="Love Beauty and Planet, Шампунь для яркости цвета волос, «Масло мурумуру и роза», 400 мл LBP-00003"/>
        <s v="ГАМК с витамином B6, 500 мг, 100 вегетарианских капсул"/>
        <s v="California Gold Nutrition, CollagenUp Plus, пептиды гидролизованного морского коллагена с клетчаткой и незаменимыми аминокислотами, со вкусом арбуза и юдзу, 494 г (1,09 фунта) CGN-02435"/>
        <s v="гидролизованные пептиды коллагена с куркумой, МСТ и имбирем, 400 г (14,1 унции)"/>
        <s v="Super Nutrition, красный ферментированный рис, 600 мг, 120 растительных капсул SPN-02337"/>
        <s v="California Gold Nutrition, Total C, комплекс с витамином C и Capros, цитрусовыми биофлавоноидами и шиповником, 500 мг, 60 растительных капсул CGN-01883"/>
        <s v="Idealove, You Had Me At Aloe, увлажняющий гель с алоэ и прополисом, 100 г (3,5 унции) IDE-01992"/>
        <s v="для женщин, витекс с дудником китайским и корнем имбиря, 5000 мг, 120 капсул"/>
        <s v="Zahler, Витамин D3, улучшенная формула D3, 75 мкг (3000 МЕ), 120 мягких таблеток ZAH-00038"/>
        <s v="Alba Botanica, Увлажняющий солнцезащитный бальзам для губ, SPF 25, 4,2 (0,15 унции) ALB-00394"/>
        <s v="Mason Natural, Морской коллаген с зеленым чаем матча, куркумой и биотином, персиком и манго, 5000 мкг, 10 шипучих таблеток MAV-18361"/>
        <s v="средство для стирки тройной концентрации, свежесть хлопка, 1 пакетик и флакон многоразового использования, 118 мл (4 жидк. унции)"/>
        <s v="NOW Foods, E-400 со смешанными токоферолами, 268 мг (400 МЕ), 100 мягких таблеток NOW-00892"/>
        <s v="NOW Foods, Dopa Mucuna, 90 растительных капсул NOW-03092"/>
        <s v="Scitec Nutrition, Сывороточный изолят 100% Whey Isolate 700 г. Банан, 222137992"/>
        <s v="Scitec Nutrition, Сывороточный изолят 100% Whey Isolate 700 г. Шоколад-Орех, 222313138"/>
        <s v="Scitec Nutrition, Сывороточный изолят 100% Whey Isolate 700 г. Клубника, 334134910"/>
        <s v="Kulak, Гантели разборные+штанга в кейсе 40кг"/>
        <s v="Tree of Life, Протеин сывороточный + изолят 907 грамм, Спелый манго, 670139565"/>
        <s v="Tree of Life, Протеин сывороточный + изолят 907 грамм, Шоколад, 672307287"/>
        <s v="Scitec Nutrition, Сывороточный изолят 100% Whey Isolate 700 г. Печенье-Крем, 708751425"/>
        <s v="Huatuo Zaizao Wan, Китайский травяной сбор, 18 пакетов по 4гр., 1573681702"/>
        <s v="Dabur, Трифала Чурна / (Triphala churna) порошок для очищения организма Dabur 500 гр, 1553821063"/>
        <s v="Птеростильбен, 100 мг, 120 капсул"/>
        <s v="Глицинат магния для лучшего усвоения, 350 мг, 240 вегетарианских капсул"/>
        <s v="Life Extension, бор, 3 мг, 100 вегетарианских капсул LEX-16611"/>
        <s v="Kleem Organics, ночная сыворотка, корректирующая темные пятна, 30 мл (1 жидк, унция) KLM-99980"/>
        <s v="Kleem Organics, Booster с ретинолом, 30 мл (1 жидк, унция) KLM-99983"/>
        <s v="Nature's Bounty, 5-гидрокситриптофан, 100 мг, 60 капсул NRT-05315"/>
        <s v="комплекс с красным ферментированным рисом, 120 растительных капсул"/>
        <s v="Life Extension, витамин B6, 250 мг, 100 вегетарианских капсул LEX-15351"/>
        <s v="Missha, Airy Pod Pressed Powder, полупрозрачная, 5 г (0,17 унции) MSH-53332"/>
        <s v="NOW Foods, порошок бисглицината магния, 227 г (8 унций) NOW-01299"/>
        <s v="NOW Foods, цитрат калия, чистый порошок, 340 г (12 унций) NOW-01446"/>
        <s v="VitaLine, Флора Дофилус + ФОС, 578мг, 753291308"/>
        <s v="Tree of Life, Креатин моногидрат порошок, Яблоко, 1161791352"/>
        <s v="Tree of Life, Креатин моногидрат порошок, Апельчин, 1159214945"/>
        <s v="Tree of Life, Шейкер спортивный, 700 мл, 265181116"/>
        <s v="Boost of Clarity ™, органическое эфирное масло, чайное дерево, 10 мл (0,34 жидк. Унции)"/>
        <s v="Nutricost, Астаксантин, 12 мг, 120 мягких таблеток NCS-93770"/>
        <s v="Витамин E, 200 МЕ, 100 гелевых капсул"/>
        <s v="масло MCT, 3000 мг, 120 капсул (1000 мг в 1 капсуле)"/>
        <s v="petnc NATURAL CARE, добавка для здоровья суставов у собак, со вкусом печени, 90 жевательных таблеток, 180 г (6,3 унции) CEN-27591"/>
        <s v="Carlson, Рыбий жир Q, 120 мягких таблеток CAR-01676"/>
        <s v="EcoSmart, омега-3, с натуральным лимонным вкусом, 1000 мг, 180 капсул (500 мг в 1 капсуле)"/>
        <s v="Maxler, Креатин моногидрат Creatine 100% Monohydrate, 300 гр., 17620897"/>
        <s v="Mutant Mass, Гейнер для набора массы 2270 гр с печеньем и кремом, 185549256"/>
        <s v="Maxler, Аминокислоты 100% Golden BCAA 420 гр, восстановление и набор массы, Фруктовый пунш, 998396245"/>
        <s v="L-триптофан, 500 мг, 60 растительных капсул"/>
        <s v="I Dew Care, Matcha Mood, успокаивающая смываемая маска с зеленым чаем, 100 г (3,52 унции) IDC-71710"/>
        <s v="Source Naturals, Sleep Science, NightRest с мелатонином, 100 таблеток SNS-00358"/>
        <s v="Source Naturals, Теломерон 60 таблеток SNS-02622"/>
        <s v="California Gold Nutrition, бета-глюкан 1-3D с Beta-ImmuneShield, 125 мг, 120 растительных капсул CGN-01796"/>
        <s v="California Gold Nutrition, омега 800, ультраконцентрированный рыбий жир с омега-3, в форме триглицеридов KD-Pur, 1000 мг, 30 капсул из рыбьего желатина CGN-01251"/>
        <s v="Davids Natural Toothpaste, Зубная паста премиум-класса, отбеливающая + защита от зубного налета, натуральная перечная мята, 50 г (1,75 унции) DAV-00001"/>
        <s v="California Gold Nutrition, лютеин с зеаксантином, 20 мг, 120 растительных мягких таблеток CGN-01403"/>
        <s v="Nutricost, Инозитол в виде мио - инозитол, 500 мг, 240 капсул NCS-67176"/>
        <s v="SOUL WAY, Протеин сывороточный (900 гр), 30 порций, Малиновый йогурт"/>
        <s v="Maxler, Натуральный протеин сывороточный 100% Golden Whey (908 гр.), Молочный Шоколад"/>
        <s v="Maxler, Натуральный протеин сывороточный 100% Golden Whey (907 гр.) , Клубника Банан"/>
        <s v="Maxler, Аминокислоты 100% Golden BCAA 420 гр, восстановление и набор массы, Арбуз"/>
        <s v="California Gold Nutrition, детская жевательная добавка для поддержки иммунитета, натуральный вкус тропических ягод, 90 вегетарианских таблеток CGN-02272"/>
        <s v="омега-3 с витамином E, 180 мягких таблеток"/>
        <s v="Source Naturals, Помощь при холестерине 60 таблеток SNS-01781"/>
        <s v="Кордицепс, гриб, 1100 мг, 180 капсул (550 мг в 1 капсуле)"/>
        <s v="добавка для здоровья предстательной железы, с клинически доказанной эффективностью, 180 капсул"/>
        <s v="Swanson, Индол-3-карбинол с ресвератролом, 200 мг, 60 капсул SWV-02315"/>
        <s v="California Gold Nutrition, биотин, 10 000 мкг, 90 вегетарианских капсул CGN-01170"/>
        <s v="Idealove, очищающее масло с древесным углем для восстановления баланса кожи, 145 мл (4,9 жидк, унции) IDE-02281"/>
        <s v="NutriBiotic, Immunity, Hypo-Aller C, витамин C с кальцием, магнием, калием и цинком, 227 г (8 унций) NBC-00500"/>
        <s v="Havasu Nutrition, тыквенное масло, капли, 30 мл (1 жидк, унция) HAV-75046"/>
        <s v="Forever, Дкйли, 60 таб., 180830573"/>
        <s v="Forever, Active HA, 000000264"/>
        <s v="E-200, 134 мг (200 МЕ), 100 мягких таблеток"/>
        <s v="витамин E-400 со смешанными токоферолами, 268 мг (400 МЕ), 250 капсул"/>
        <s v="Boiron, Camilia, средство для снятия боли при прорезывании зубов, для младенцев от 1 месяца, 30 отмеренных жидких доз, 1 мл (0,034 жидк, унции) каждая BOI-05409"/>
        <s v="NOW Foods, E-400, 268 мг (400 МЕ), 100 мягких таблеток NOW-00837"/>
        <s v="Pro-Rite, L-пролин и L-лизин в свободной форме, 200 вегетарианских капсул"/>
        <s v="Таблетки Eve, Улучшенный мультивитаминный комплекс для женщин, 180 таблеток"/>
        <s v="норвежская серия, самый лучший рыбий жир, натуральный лимонный вкус, 1600 мг, 500 мл (16,9 жидк. унции)"/>
        <s v="Детские жевательные таблетки с железом, натуральный клубничный ароматизатор, 15 мг, 60 таблеток"/>
        <s v="Montebello, Organic Spaghetti, 16 oz (454 g) MBL-10101"/>
        <s v="Country Life, P-5-P, 50 мг, 100 таблеток CLF-06237"/>
        <s v="инозитол в капсулах, 500 мг, 100 вегетарианских капсул"/>
        <s v="Витамины и минералы для детей, в форме жевательных таблеток, с натуральным вкусом ягод черемухи, 120 жевательных таблеток"/>
        <s v="Регулирование содержания сахара в крови, 60 таблеток"/>
        <s v="Maxler, Креатин моногидрат Creatine 100% Monohydrate, 500 гр., 176208974"/>
        <s v="Insane Labz, Предтренировочный комплекс Психотик для зала Манго, 1012785778"/>
        <s v="Maxler, Протеин Golden 7, 2270г, Шоколад, 238416753"/>
        <s v="Tree of Life, Протеин сывороточный + изолят 907 грамм, Ваниль, 671179174"/>
        <s v="Мультивитамины для ежедневного приема, 250 таблеток"/>
        <s v="ДМАЭ, 250 мг, 100 растительных капсул"/>
        <s v="Attentive Child, сладкий и терпкий, 60 жевательных вафель"/>
        <s v="магний с высокой степенью усвоения, 200 мг, 240 таблеток (100 мг в 1 таблетке)"/>
        <s v="комплекс с ресвератролом с экстрактом виноградных косточек, экстрактом красного вина и транс-ресвератролом, 500 мг, 250 растительных капсул"/>
        <s v="липосомальный глутатион, 1000 мг, 60 капсул (500 мг в 1 капсуле)"/>
        <s v="B-50, 250 растительных капсул"/>
        <s v="тональный крем Ageless Smart Shade, 100 светлый, 30 мл (1 жидк, унция)"/>
        <s v="глюкозамин, хондроитин и МСМ, 180 растительных капсул"/>
        <s v="Sports, ZMA, восстановление после физической активности, 90 капсул"/>
        <s v="коэнзим Q10 USP с экстрактом BioPerine, 200 мг, 360 вегетарианских капсул"/>
        <s v="моринга 5,000, 90 растительных капсул"/>
        <s v="RxOmega-3, омега-3 повышенной силы действия, 150 капсул (1075 мг в 1 капсуле)"/>
        <s v="органический кленовый сироп, выдержанный в бочке из-под бурбона, 250 мл (8,5 жидк, унции)"/>
        <s v="Копченый кленовый сироп, 362 г (12,8 унции)"/>
        <s v="органическая янтарная необработанная голубая агава, 667 г (23,5 унции)"/>
        <s v="дезодорант, дыня с манго, 75 г (2,6 унции)"/>
        <s v="Дезодорант, лаванда, 75 г (2,6 унции)"/>
        <s v="DefensePlus, максимальная эффективность, 90 вегетарианских таблеток"/>
        <s v="веганский экстракт семян грейпфрута GSE, жидкий концентрат, 118 мл (4 жидк, унции)"/>
        <s v="Immunity, витамин C амла, 1000 мг, 60 веганских таблеток"/>
        <s v="Масло для волос, биотин и коллагеновое масло, 30 мл (1 жидк, Унция)"/>
        <s v="Baby Lips, бальзам-блеск для губ, оттенок «розовый» 01, 3,9 г"/>
        <s v="Super Stay, тональная основа для активного ношения, фарфор 110, 30 мл (1 жидк, Унция)"/>
        <s v="Complete Omega, омега для детей от 6 до 12 лет, со вкусом лимона, 90 мини-капсул"/>
        <s v="кальций, магний и цинк, 180 капсул"/>
        <s v="кальций, магний и цинк, 250 растительных капсул"/>
        <s v="ликопин, 10 мг, 60 капсул"/>
        <s v="B-100, 100 растительных капсул"/>
        <s v="C-1000, 100 растительных капсул"/>
        <s v="клюква с проантоцианидинами, 90 вегетарианских капсул"/>
        <s v="Масло шиповника с антиоксидантами, 5 мл (0,17 жидк, Унции)"/>
        <s v="Цитрат магния, 200 мг, 100 таблеток"/>
        <s v="Суперэкстракт корня родиолы, 500 мг, 60 веганских капсул"/>
        <s v="Кремниевый комплекс, 180 таблеток"/>
        <s v="растительный витамин C, 60 растительных капсул"/>
        <s v="гинкго билоба, 500 мг, 120 вегетарианских капсул (250 мг в 1 капсуле)"/>
        <s v="Духи для мужчин m024"/>
        <s v="Духи для женщин w902"/>
        <s v="Духи для женщин w903"/>
        <s v="Пробник w902"/>
        <s v="Пробник w903"/>
        <s v="Духи для женщин w107"/>
        <s v="Духи для женщин w137"/>
        <s v="Духи для женщин w141"/>
        <s v="Пробник Noir Духи -№6"/>
        <s v="Пробник w901"/>
        <s v="Water Out, водный баланс, 100 растительных капсул"/>
        <s v="Gold Standard, 100% Whey, сыворотка со вкусом аппетитной клубники, 2,27 кг (5 фунтов)"/>
        <s v="Gold Standard, 100% Whey, Банановый крем, 2,27 кг (5 фунтов)"/>
        <s v="Immunity, аскорбат натрия, 100 веганских капсул"/>
        <s v="гарциния, 1000 мг, 120 таблеток"/>
        <s v="Омолаживающий крем для кожи вокруг глаз с женьшенем и зеленым чаем, 3 мл (0,10 жидк, Унции)"/>
        <s v="Мультивитамины и минералы, натуральный апельсин и манго, 237 мл (8 жидк, Унций)"/>
        <s v="цинк и селен, 60 веганских капсул"/>
        <s v="цинк и селен, 90 капсул"/>
        <s v="Ayurvedics, трифала, 1000 мг, 120 таблеток"/>
        <s v="спермидин, экстракт ростков риса, 1 мг, 90 растительных капсул"/>
        <s v="Корейская косметическая сумка для ухода за кожей, 8 предметов"/>
        <s v="бенфотиамин, 300 мг, 90 растительных капсул"/>
        <s v="WellBetX, берберин, 500 мг, 120 вегетарианских капсул"/>
        <s v="NAC, 600 мг, 250 капсул"/>
        <s v="концентрат органической клюквы, 50 г (1,76 унции)"/>
        <s v="цинк AG, 60 таблеток"/>
        <s v="берберин гидрохлорид, 500 мг, 120 растительных капсул"/>
        <s v="TUDCA, 250 мг, 60 капсул"/>
        <s v="Earth's Blend®, витамины D3 и K2, 90 вегетарианских капсул"/>
        <s v="Духи для мужчин m041"/>
        <s v="Духи для женщин w189"/>
        <s v="Пробник w188"/>
        <s v="Moringa Ceramide, прессованный порошок для закрепления, 5 г"/>
        <s v="кусковое мыло с сырым маслом ши, с витамином E, розмарином, миррой и ладаном, 141 г (5 унций)"/>
        <s v="витамин E, 268 мг (400 МЕ), 100 капсул"/>
        <s v="Красный дрожжевой рис, 120 растительных капсул"/>
        <s v="ампульная сыворотка, коллаген и гиалуроновая кислота, 250 мл (8,45 жидк. унции)"/>
        <s v="Увлажняющий крем с коллагеном, 50 г (1,76 унции)"/>
        <s v="Eye Admire, гидрогелевые патчи для глаз с черным жемчугом, 60 шт."/>
        <s v="Хелатные мультиминералы, без железа, 120 капсул"/>
        <s v="силимариновый комплекс с экстрактом расторопши, одуванчиком, артишоком, имбирём и BioPerine, 360 растительных капсул"/>
        <s v="Салфетки для лица с экстрактами алоэ и огурца, биоразлагаемый продукт, 30 влажных салфеток"/>
        <s v="RelaxMode, 45 растительных капсул"/>
        <s v="Ashwagandha Stress Relief`` 60 растительных капсул"/>
        <s v="Сыворотка с никотинамидом B-Boost, 10 мл (0,33 унции)"/>
        <s v="Литий, 1000 мкг, 100 вегетарианских капсул"/>
        <s v="AminoX, выносливость и восстановление, фруктовый пунш, 435 г (15,3 унции)"/>
        <s v="Ягоды боярышника, 240 капсул"/>
        <s v="Premium Toothpaste, Sensitive + Whitening, натуральная перечная мята, 50 г (1,75 унции)"/>
        <s v="ашваганда, 600 мг, 60 вегетарианских капсул"/>
        <s v="Vitamin Code, RAW One, мультивитаминная добавка для женщин (для приема 1 раз в день), 75 вегетарианских капсул"/>
        <s v="Full Spectrum, ашваганда, 570 мг, 120 таблеток"/>
        <s v="True Herbs, витекс, 400 мг, 100 растительных капсул"/>
        <s v="Тыквенное масло с полным спектром активных веществ, 1000 мг, 90 гелевых капсул"/>
        <s v="Kids Smart® Vita, мультивитамины для придирчивых едоков и 4 вида овощей, для детей от 3 лет, цитрусовые, 30 жевательных мармеладок"/>
        <s v="Berberine Advanced, берберин с фитосомами Berbevis, 550 мг, 60 растительных капсул"/>
        <s v="Berberine HCL +, 60 капсул"/>
        <s v="ADAM™, превосходные мультивитамины для мужчин, 180 капсул"/>
        <s v="глицинат магния, 140 мг, 180 растительных капсул"/>
        <s v="Красный дрожжевой рис + коэнзим Q10, 120 растительных капсул"/>
        <s v="Oligopin, экстракт коры французской приморской сосны, 100 мг, 60 растительных капсул"/>
        <s v="фосфатидилсерин подсолнечника, 100 мг, 120 растительных капсул"/>
        <s v="MegaSicks, блеск для губ, оттенок 544 Sinless, 6 мл (0,2 жидк. унции)"/>
        <s v="цитрусовые биофлавоноиды с гесперидином, 650 мг, 90 капсул"/>
        <s v="пробиотики с пребиотиками, 50 млрд КОЕ, 60 вегетарианских капсул (25 млрд КОЕ в 1 капсуле)"/>
        <s v="Clinical Strength, добавка для здоровья предстательной железы, 90 капсул"/>
        <s v="Prostate Support, 90 мягких таблеток"/>
        <s v="VitaTest, комплекс питательных веществ для мужчин`` 90 таблеток"/>
        <s v="гидрохлорид с пепсином, 230 мг, 180 растительных капсул"/>
        <s v="рыбий жир с омега 3-6-9 и маслом бурачника, норвежский триглицерид, натуральный лимонный вкус, 180 капсул"/>
        <s v="Omega Complete Gems, омега 3-6-9, натуральный лимон, 90 мягких таблеток"/>
        <s v="EuroHerbs, экстракт женьшеня обыкновенного, качество Euromed, 250 мг, 60 растительных капсул"/>
        <s v="якорцы, 1500 мг, 120 капсул (750 мг в 1 капсуле)"/>
        <s v="скорлупа черного ореха, жидкий экстракт, без спирта, 2000 мг, 30 мл (1 жидк. унция)"/>
        <s v="Дкхи для женщин w117"/>
        <s v="Духи для женщин w158"/>
        <s v="тканевая маска для улучшения цвета кожи, 5 шт. по 25 мл (0,85 унции)"/>
        <s v="NasoGel® для сухого носа, 28,4 г (1 унция)"/>
        <s v="Ginkgo PS Phytosome, фитосомы гинкго с ФС, 480 мг, 60 растительных капсул"/>
        <s v="Мультивитамины для мужчин, 120 капсул"/>
        <s v="Мультивитамины для мужчин Once Daily Active, 90 растительных капсул"/>
        <s v="Infallible, консилер для полного покрытия, ваниль 355, 10 мл (0,33 жидк. унц.)"/>
        <s v="органическая спирулина, 1500 мг, 60 таблеток (500 мг в 1 таблетке)"/>
        <s v="Омега-3 со вкусом лимона, 1,560 мг, 473 мл (16 жидк. унций)"/>
        <s v="Ester-C с цитрусовыми биофлавоноидами, 1000 мг, 120 вегетарианских таблеток"/>
        <s v="Balance B-50 Complex, 250 капсул"/>
        <s v="Глюконат цинка, 50 мг, 250 капсул"/>
        <s v="Норвежская серия, самый лучший рыбий жир, натуральный апельсиновый вкус, 1600 мг, 500 мл (16,9 жидких унций)"/>
        <s v="Ester-C Plus, витамин C, 500 мг, 100 вегетарианских капсул"/>
        <s v="Ester-C®, добавка с витамином C, 500 мг, 250 растительных капсул"/>
        <s v="натуральный витамин E, 268 мг (400 МЕ), 100 капсул"/>
        <s v="глюкозамин, гиалуроновая кислота, хондроитин и МСМ, 120 таблеток"/>
        <s v="суперферменты, 90 капсул"/>
        <s v="Source of Life, Power Teen, питательная добавка для подростков, 90 таблеток"/>
        <s v="Mega-Kid, жевательные мультивитамины, для детей от 2 до 10 лет, вкус натуральных ягод, 60 жевательных таблеток"/>
        <s v="гидрохлорид бетаина с пепсином, 600 мг, 250 таблеток"/>
        <s v="Бресол Bresol От ринита для носа от насморка 60т"/>
        <s v="Леденцы от боли в горле 50 штук"/>
        <s v="Солнцезащитный крем 50spf"/>
        <s v="Морской коллаген с гиалуроновой кислотой 90 капсул"/>
        <s v="R-Line, Гейнер LIGHT MASS (банан) 3000 г, 1095246884"/>
        <s v="Super Omega-3 Gems, высокоэффективные омега-3 кислоты из рыбы дикого улова, 1200 мг, 180 капсул (600 мг в 1 капсуле)"/>
        <s v="подсластитель из архата с эритритолом, золотой, 235 г (8,29 унции)"/>
        <s v="Порошок МСМ, 454 г (1 фунт)"/>
        <s v="Оротат лития, 5 мг, 120 капсул"/>
        <s v="ButyrAid, 100 вегетарианских капсул с отсроченным высвобождением"/>
        <s v="Mushrooms ™, кордицепс, 1 г, 60 капсул"/>
        <s v="споровый пробиотик, 6 млрд КОЕ, 60 вегетарианских капсул"/>
        <s v="Syntol AMD, Advanced Microflora Delivery, средство для здоровой микрофлоры, 500 мг, 90 капсул"/>
        <s v="Floraphage, мультипликатор пробиотиков, 30 капсул"/>
        <s v="очищающий сахарный скраб для кожи головы, розмарин и мята, 170 г (6 унций)"/>
        <s v="ButyrEn, 100 вегетарианских капсул с отсроченным высвобождением"/>
        <s v="Экстракт кошачьего когтя, 334 мг, 120 растительных капсул"/>
        <s v="ежовик гребенчатый Genius, 1200 мг, 120 растительных капсул (600 мг в 1 капсуле)"/>
        <s v="мультивитамины для женщин старше 50 лет, 180 капсул"/>
        <s v="OsteoMove®, добавка для суставов, повышенная сила действия, 240 таблеток"/>
        <s v="OsteoMove, средство для ухода за суставами с повышенной силой действия, 120 таблеток"/>
        <s v="Super Daily® D3, 25 мкг (1000 МЕ), 10,3 мл (0,35 жидк. унции)"/>
        <s v="кошерный рыбий жир с омега-3, 2000 мг, 120 вегетарианских капсул (1000 мг в одной капсуле)"/>
        <s v="добавка для поддержки эмоционального баланса, 120 капсул"/>
        <s v="добавка для поддержки уровня холестерина, 90 растительных капсул"/>
        <s v="Минеральная полупрозрачная солнцезащитная пудра, SPF 30, 4,25 г (0,15 унции)"/>
        <s v="мультиминералы в хелатной форме, 120 капсул"/>
        <s v="Экстракт боярышника 4: 1, 2660 мг, 180 капсул"/>
        <s v="Подарочный набор iHerb, набор для восстановления волос`` 4 шт."/>
        <s v="серрапептаза, протеолитический фермент, 40 000 SPU, 30 растительных капсул"/>
        <s v="натуральный ресвератрол, 200 мг, 120 растительных капсул"/>
        <s v="Children's DHA, жевательные таблетки с ДГК, для детей от 3 лет, со вкусом тропических фруктов, 600 мг, 30 жевательных таблеток"/>
        <s v="астаксантин, 6 мг, 120 капсул"/>
        <s v="SimplyOne®, мультивитамины для мужчин с суперадаптогенами, зеленью, специями и антиоксидантами, без железа, 90 таблеток"/>
        <s v="джимнема, 450 мг, 120 таблеток"/>
        <s v="добавка для поддержки вен, 90 растительных капсул"/>
        <s v="Поликосанол, с коферментом Q10, 10 мг, 120 таблеток"/>
        <s v="средство для поддержки аппетита и стресса, 60 капсул"/>
        <s v="Stress Balance, 60 капсул"/>
        <s v="Meta-Balance™, 60 капсул"/>
        <s v="Поддержка сна, 30 капсул"/>
        <s v="Изолят сывороточного протеина, ваниль, 837 г (1,84 фунта)"/>
        <s v="Увлажняющее очищающее средство с березовым соком, 150 мл (5,07 жидк. унц.)"/>
        <s v="BetterStevia, Organic Extract Powder, 1 унция (28 г)"/>
        <s v="Heartleaf 77% успокаивающий тоник, 250 мл (8,45 жидк. унции)"/>
        <s v="Meditate Vitamins+, CognatiQ, витамины с ГАМК, DHH-B и ашвагандой, 60 капсул"/>
        <s v="сухое молозиво из козьего молока, 174 г (6 унций)"/>
        <s v="растительные ферменты, 240 вегетарианских капсул"/>
        <s v="Berberine-Body + сжигатель жира, 56 капсул с жидкостью"/>
        <s v="Sport, органическое масло MCT, 946 мл (32 жидк. унции)"/>
        <s v="Женьшень обыкновенный, 500 мг, 100 растительных капсул"/>
        <s v="берберин гидрохлорид, 120 капсул"/>
        <s v="Глицинат магния с витамином B6, 180 вегетарианских таблеток"/>
        <s v="веганский яблочный уксус, со вкусом натурального яблока, 1000 мг, 60 жевательных мармеладок (500 мг в 1 жевательной мармеладке)"/>
        <s v="альфа-липоевая кислота, 240 вегетарианских капсул (300 мг в 1 капсуле)"/>
        <s v="Мелатонин 10 + ашваганда, 120 таблеток"/>
        <s v="ресвератрол, асаи и коэнзим Q10, 60 вегетарианских капсул"/>
        <s v="Think Support, с гинкго билоба, тюбетейкой, готу колой, бакопой и ферментами, 60 растительных капсул"/>
        <s v="Экстракт белой фасоли, 1200 мг, 60 капсул (600 мг на капсулу)"/>
        <s v="Малат магния с витамином B6, 2000 мг, 90 вегетарианских таблеток (1000 мг в каждой таблетке)"/>
        <s v="перекись водорода, 473 мл (16 жидк. унций)"/>
        <s v="травяной порошок для зубов и десен, 56 г (2 унции)"/>
        <s v="Комплекс для здоровья сердца с коэнзимом Q10 и боярышником, 90 капсул"/>
        <s v="Daily Essential Enzymes, добавка с незаменимыми ферментами для ежедневного использования, 500 мг, 240 капсул"/>
        <s v="Max CLA, 180 капсул"/>
        <s v="сертифицированная органическая спирулина, 500 мг, 200 таблеток"/>
        <s v="Зеаксантин с лютеином, 120 мягких таблеток"/>
        <s v="Шампунь и кондиционер против перхоти 2 в 1, 325 мл (11 жидк. Унций)"/>
        <s v="добавка для спокойного сна, для детей от 3 лет, ягодный вкус, 100 жевательных таблеток"/>
        <s v="CuraMed, средство для снятия боли, 120 жидких гелей"/>
        <s v="Total Cleanse, почки, 60 растительных капсул"/>
        <s v="Total Cleanse, средство для выведения мочевой кислоты, 60 растительных капсул"/>
        <s v="WellBetX®, берберин, 60 вегетарианских капсул (500 мг на капсулу)"/>
        <s v="Жидкая гиалуроновая кислота, со вкусом ягод, 100 мг, 473 мл (16 жидких унций)"/>
        <s v="Готу кола, 90 вегетарианских капсул (350 мг на капсулу)"/>
        <s v="iHerb Exclusive, пакетик для ухода за волосами с биотином и кератином, 4 предмета, 320 мл (10,8 жидк. унции)"/>
        <s v="Superfood Skin Savior, маска с суперфудами, асаи, 5 шт. по 20 мл (0,68 жидк. унции)"/>
        <s v="тыквенное масло, 1000 мг, 100 капсул (500 мг в 1 капсуле)"/>
        <s v="корень имбиря, 1100 мг, 240 веганских капсул (550 мг в 1 капсуле)"/>
        <s v="Diabetone Plus, 90 капсул"/>
        <s v="комплекс флавоноидов с NMN, апигенином и дигидрокверцетином, 60 растительных капсул"/>
        <s v="Чистый спермидин, 1 мг, 180 капсул"/>
        <s v="Комплекс витамина Е, 60 капсул с жидкостью"/>
        <s v="Растительные стеролы, 90 растительных капсул"/>
        <s v="Alkaline Booster, капли для защиты pH, 37,5 мл (1,25 жидк. унц.)"/>
        <s v="Альфа-липоевая кислота, 600 мг, 60 растительных капсул"/>
        <s v="Цитрат калия, 90 капсул (99 мг на капсулу)"/>
        <s v="Superfood Skin Savior, маска для лица с суперфудами, персик, 5 шт. по 20 мл (0,68 жидк. унции)"/>
        <s v="Earth's Blend®, витамин D3, 90 вегетарианских капсул"/>
        <s v="Яблочный уксус, повышенная сила действия, 750 мг, 180 таблеток"/>
        <s v="Оротат лития, 5 мг, 100 вегетарианских капсул"/>
        <s v="Глицин, 250 растительных капсул (1000 мг на капсулу)"/>
        <s v="Sleep 3+, поддержка стресса, 56 трехслойных таблеток"/>
        <s v="Earth's Blend, магний, 90 вегетарианских капсул"/>
        <s v="Расторопша + корень одуванчика, 180 вегетарианских капсул"/>
        <s v="Daytime Focus &amp; Balance, 60 веганских капсул"/>
        <s v="L-лизин, 500 мг, 60 вегетарианских капсул"/>
        <s v="Л-Цитрулин Малат 100% Golden Citrulinee Malate 200г"/>
        <s v="крем для контроля за порами с зеленым виноградом, 10 г (0,35 унции)"/>
        <s v="Заколки-крабы для густых волос Effortless Beauty, 2 штуки"/>
        <s v="Sleep Science®, мелатонин, 10 мг, 60 таблеток"/>
        <s v="Think Support, с гинкго билоба, тюбетейкой, готу колой, бакопой и ферментами, 180 растительных капсул"/>
        <s v="куркумин из органической куркумы, 180 веганских капсул"/>
        <s v="3 Seconds Hair Fill-Up, филлер для волос, 170 мл (5,74 жидк. унции)"/>
        <s v="буферизованный витамин C для приёма раз в день, с биофлавоноидами и шиповником, не раздражает желудок, 100 таблеток"/>
        <s v="Bio-Active Silver Hydrosol, натуральный назальный спрей, средство для облегчения заложенности носа, 10 част./млн, 59 мл (2 жидк. унции) (10 част./млн в 5 распылениях)"/>
        <s v="Витамин K2 + D3`` 60 капсул"/>
        <s v="Superfood Skin Savior, маска с суперфудами, лайм, 5 шт. по 20 мл (0,68 жидк. унции)"/>
        <s v="наттокиназа, 2000 FU, 270 вегетарианских капсул"/>
        <s v="Маска укрепляющая Foligen Treatment 200мл"/>
        <s v="Шампунь для волос бессульфатный от перхоти, Корея"/>
        <s v="Астаксантин, 12 мг, 120 мягких таблеток"/>
        <s v="наттокиназа, 2000 фибринолитических единиц, 90 растительных капсул"/>
        <s v="комплекс токотриенолов с витамином E, 150 капсул из рыбьего желатина"/>
        <s v="Earth's Blend, цинк, пиколинат, 90 вегетарианских капсул"/>
        <s v="Боярышник, 250 мг, 60 вегетарианских капсул"/>
        <s v="гинкго, повышенная сила действия, 120 мг, 60 вегетарианских капсул"/>
        <s v="птеростильбен, 50 мг, 180 растительных капсул"/>
        <s v="NMN, 175 мг, 180 растительных капсул"/>
        <s v="витамины D3 и К2, 60 растительных капсул"/>
        <s v="Органическая зубная паста, гвоздика и кардамон, 85 г (3 унции)"/>
        <s v="Relax &amp; Sleep®, 120 вегетарианских таблеток"/>
        <s v="добавка для поддержки вен с диосмином, иглицей колючей, конским каштаном, биофлавоноидами и ферментами, 250 растительных капсул"/>
        <s v="добавка для борьбы со стрессом с L-теанином, ашвагандой, растительной смесью и ферментами, 180 вегетарианских капсул"/>
        <s v="Инозитол в порошке, 57 г (2 унции)"/>
        <s v="жевательные мультивитамины с пробиотиками, ферментами, витаминами A и C для детей, фруктовое ассорти, 120 вегетарианских таблеток"/>
        <s v="Духи для мужчин m045"/>
        <s v="Набор пробнииков - Ароматы 2025"/>
        <s v="Духи для женщин w195"/>
        <s v="Духи для женщин w198"/>
        <s v="Духи для женщин w202"/>
        <s v="Духи для женщин w203"/>
        <s v="Духи для мужчин m047"/>
        <s v="Духи для мужчин m048"/>
        <s v="Духи для женщин w199"/>
        <s v="Духи для женщин w200"/>
        <s v="Духи для мужчин m049"/>
        <s v="Ацетил L-карнитин, 500 мг, 100 растительных капсул"/>
        <s v="Отбеливающая зубная паста против зубного налета, натуральная мята и древесный уголь, 149 г (5,25 унции)"/>
        <s v="Imperial Adaptogen, 60 растительных капсул"/>
        <s v="Sports, аргинин и орнитин, 250 растительных капсул"/>
        <s v="Бромелаин, 500 мг, 180 капсул"/>
        <s v="5-HTP, 120 растительных капсул"/>
        <s v="Комплекс из 10 грибов, 90 капсул"/>
        <s v="E-200 со смешанными токоферолами, 134 мг (200 МЕ), 100 мягких таблеток"/>
        <s v="ежовик гребенчатый, экстракт грибов в порошке, 300 капсул"/>
        <s v="Ашваганда, 90 капсуловидных таблеток"/>
        <s v="коэнзим Q10 с PQQ, убихинон класса USP, в растительных капсулах из тапиоки с подсолнечным лецитином, 100 мг, 60 растительных капсул"/>
        <s v="исландский келп, 41 мг, 250 таблеток"/>
        <s v="Earth's Blend, комплекс метилированных витаминов группы B, 60 вегетарианских капсул"/>
        <s v="Жевательная ацерола, комплекс витаминов C, ягоды, 500 мг, 180 вафель"/>
        <s v="Диосмин и гесперидин, 60 капсул"/>
        <s v="100 % натуральный изолят сывороточного белка, с натуральным оригинальным вкусом, 992 г (2,2 фунта)"/>
        <s v="Метил B12, метилфолат, натуральная вишня, 60 пастилок"/>
        <s v="бета-аланин, 750 мг, 120 растительных капсул"/>
        <s v="Glutathione-SR, 60 капсул"/>
        <s v="Смесь фульвовых и гуминовых минералов, 32 жидкие унции (946 мл)"/>
        <s v="тоник для почек, 60 мягких таблеток"/>
        <s v="Neuro Optimizer, добавка для нормализации работы мозга, 120 капсул"/>
        <s v="коэнзим Q10 с Bioperine® и экстрактом чёрного перца, улучшенная биодоступность, 200 мг, 120 растительных капсул"/>
        <s v="жидкий жир печени аляскинской трески, натуральный лимонный вкус, 240 мл (8,12 жидк. унции)"/>
        <s v="средство для облегчения дискомфорта, с ягодным вкусом, 60 вегетарианских жевательных таблеток"/>
        <s v="Optimal Solutions®, жевательные таблетки для волос, кожи и ногтей, со вкусом тропических цитрусовых, 140 жевательных таблеток"/>
        <s v="лактоферрин, 300 мг, 60 капсул"/>
        <s v="Thyrocsin™, кофакторы для щитовидной железы, 120 капсул"/>
        <s v="Herbals, липосомальный берберин, 60 растительных капсул"/>
        <s v="Pantry, пищевая сода, 454 г (16,2 унции)"/>
        <s v="Super Aqua Ultra Hyalon, очищающая пенка, 200 мл (6,76 жидк. унции)"/>
        <s v="лист розмарина, 100 веганских капсул (350 мг в 1 капсуле)"/>
        <s v="сок алоэ вера, 960 мл (32 жидк. унции)"/>
        <s v="Luru™, кофе, набор пробных продуктов из цельных зерен, 2 упаковки по 113 г (4 унции)"/>
        <s v="Earth's Blend, кверцетин, 90 вегетарианских капсул"/>
        <s v="коэнзимный комплекс витаминов группы B, 240 веганских капсул"/>
        <s v="мелатонин, медленное высвобождение, 3 мг, 100 таблеток"/>
        <s v="Гималайский мумие, высокая эффективность, 1000 мг, 150 капсул (500 мг на капсулу)"/>
        <s v="Метилфолат, 400 мкг DFE, 90 таблеток"/>
        <s v="Tart Cherry, ультракапсулы, 90 веганских капсул (400 мг на капсулу)"/>
        <s v="Neprinol AFD, усовершенствованное средство для защиты организма от вредного воздействия фибрина, 15 000 FU, 150 капсул"/>
        <s v="витамин K2 (в виде менахинона-7), 120 растительных капсул (50 мкг в каждой капсуле)"/>
        <s v="Women's Vitality, 180 капсул"/>
        <s v="пирролохинолинхинон-10, 60 мягких таблеток"/>
        <s v="Sport, изолят сывороточного протеина, без добавок, 2,27 кг (5 фунтов)"/>
        <s v="жидкая добавка с железом, 18 мг, 237 мл (8 жидк. унций)"/>
        <s v="Витамин K2 MK-7, 100 мкг, 30 мягких таблеток"/>
        <s v="Immune Complex 4, комплекс для укрепления иммунитета, 180 растительных капсул"/>
        <s v="Gaba Calm-Plex, комплекс с железом, 60 капсул"/>
        <s v="органическая ашваганда, 180 капсул (400 мг в 1 капсуле)"/>
        <s v="Роскошный чай из камнеломки, 4.4 унции (125 г)"/>
        <s v="L-теанин, с AlphaWave®, 100 мг, 60 растительных капсул"/>
        <s v="ашваганда, стандартизованный экстракт, 450 мг, 90 растительных капсул"/>
        <s v="экстракт расторопши, 300 мг, 200 растительных капсул"/>
        <s v="инозитол в капсулах, 500 мг, 100 растительных капсул"/>
        <s v="NAC, 1000 мг, 120 таблеток"/>
        <s v="Таурин, 1000 мг, 100 растительных капсул"/>
        <s v="OsteoMove, средство для ухода за суставами, 120 таблеток"/>
        <s v="Water Out, жидкость для баланса, 100 растительных капсул"/>
        <s v="мультивитамины для приема дважды в день, версия 2, 120 таблеток"/>
        <s v="селен, бездрожжевой, 100 мкг, 100 таблеток"/>
        <s v="Calcium Bone Maker®, комплекс с кальцием для здоровья костей, 180 капсул"/>
        <s v="Omega 800, ультраконцентрированный рыбий жир с омега-3, в форме триглицеридов KD-Pur, 90 капсул из рыбьего желатина (1000 мг в 1 капсуле)"/>
        <s v="Жир диких аляскинских рыб, Easy Swallow Minis, 180 мягких таблеток"/>
        <s v="успокаивающий и очищающий гель для душа, африканское черное мыло, 89 мл (3 жидк. унции)"/>
        <s v="гинкго, 120 мг, 120 вегетарианских капсул"/>
        <s v="Children's DHA™, ДГК для детей от 1 года, с клубничным вкусом, 119 мл (4 жидк. унции)"/>
        <s v="Animal Parade®, жевательные мультивитамины для детей, со вкусом вишни, винограда и апельсина, 90 таблеток в форме животных"/>
        <s v="GABA с витамином B6, 500 мг, 100 растительных капсул"/>
        <s v="витамин D3, 50 мкг (2000 МЕ), 90 растительных капсул"/>
        <s v="жидкий витамин D3 в каплях, с цитрусовыми, 50 мкг (2000 МЕ), 30 мл (1 жидк. унция)"/>
        <s v="Immunity, аскорбат натрия, кристаллический порошок, 227 г (8 унций)"/>
        <s v="C-1000, витамин C, 100 таблеток"/>
        <s v="добавка для облегчения симптомов синдрома раздражённого кишечника, 60 капсул"/>
        <s v="Healthy Gut™, мята, 222 г (7,83 унции)"/>
        <s v="цитрат кальция 1000, 180 таблеток (333 мг в 1 таблетке)"/>
        <s v="Brain Elevate, поддержка здоровья мозга, 120 вегетарианских капсул"/>
        <s v="жидкая добавка с жиром из печени норвежской трески, натуральный вкус лимона и лайма, 480 мл (16 жидк. унций)"/>
        <s v="OsteoMove®, средство для здоровья суставов, 240 таблеток"/>
        <s v="витамины D3 и K2, 120 капсул VegCap"/>
        <s v="всё для спорта, бутылка-шейкер в праздничном наборе из 7 продуктов"/>
        <s v="увлажняющий крем для тела с гиалуроновой кислотой, 454 г (16 унций)"/>
        <s v="Комплекс электролитов, 120 капсул"/>
        <s v="Цитрат кальция D-3, 180 таблеток"/>
        <s v="Черная бузина с самбуактином, 60 пастилок"/>
        <s v="спрей для горла с экстрактом семян грейпфрута, цинком и ментолом, 118 мл (4 жидк. унции)"/>
        <s v="экстракт косточек грейпфрута, высокая эффективность, 125 мг, 100 таблеток"/>
        <s v="Dental Gel Plus, гель для зубов с отбеливающим эффектом, грушанка, 128 г (4,5 унции)"/>
        <s v="Убихинол Mega CoQ10, 100 капсул"/>
        <s v="D-манноза и экстракт клюквы, 60 капсул"/>
        <s v="жидкий йод плюс, с йодидом калия и йодом, с нейтральным вкусом, 59 мл (2 жидк. унции)"/>
        <s v="Ultimate Omega Junior, омега для детей от 6 лет, со вкусом клубники, 90 мини-капсул (340 мг в 1 капсуле)"/>
        <s v="органическая спирулина, 240 таблеток (500 мг в 1 таблетке)"/>
        <s v="Wellness Formula®, улучшенная поддержка иммунитета, 120 капсул"/>
        <s v="Adrenal Health®, восстановление во время сна, 120 капсул Liquid Phyto-Caps®"/>
        <s v="Mushrooms™, ежовик гребенчатый, 60 капсул (0,5 г в 1 капсуле)"/>
        <s v="экстракт ростков брокколи, 120 капсул (500 мг в 1 капсуле)"/>
        <s v="Фолиевая кислота, 400 мкг, 300 таблеток"/>
        <s v="D-глюкарат кальция, 500 мг, 120 капсул"/>
        <s v="цельная оболочка семян подорожника, 454 г (16 унций)"/>
        <s v="Baby Lips Crystal, увлажняющий бальзам для губ, розовый кварц 140, 4,4 г"/>
        <s v="смесь ацидофильных пробиотиков, 150 капсул"/>
        <s v="кора муравьиного дерева, 90 вегетарианских капсул (500 мг в 1 капсуле)"/>
        <s v="мультивитамины для женщин, 120 таблеток"/>
        <s v="желе, классическое, 113 г (4 унции)"/>
        <s v="L-орнитин, 500 мг, 120 растительных капсул"/>
        <s v="Медь в хелатной форме, 90 растительных капсул"/>
        <s v="Протеин сывороточный 100% Whey Protein Professional соленая карамель 2350 гр."/>
        <s v="Beauty, добавка для поддержки в период менопаузы, с дудником гигантским (Angelica keiskei), цинанхумой (Cynanchum wilfordii), зопником (Phlomis umbrosa) и L-лейцином, 90 растительных капсул"/>
        <s v="гинкго, 120 мг, 120 растительных капсул"/>
        <s v="корень лопуха, 500 мг, 120 капсул"/>
        <s v="индол-3-карбинол, 200 мг, 60 вегетарианских капсул"/>
        <s v="PepZin GI®, комплекс с цинк-L-карнозином, 120 растительных капсул"/>
        <s v="Bay Yes To Beans®, 60 капсул"/>
        <s v="Хелат железа от Ferrochel®, 18 мг, 240 капсул"/>
        <s v="Лютеолин, 100 мг, 120 капсул"/>
        <s v="Гинкго билоба, 120 мг, 240 капсул"/>
        <s v="Kids, черная бузина, улучшенная формула сиропа для укрепления иммунитета, для детей от 2 лет, 8360 мг, 230 мл (7,8 жидк. унции)"/>
        <s v="Шейкер для коктейлей, набор из 7 предметов"/>
        <s v="WellBetX®, берберин, 120 вегетарианских капсул (500 мг в 1 капсуле)"/>
        <s v="улучшенное средство для снятия стресса, 120 капсул"/>
        <s v="D-глюкарат кальция и BioPerine®, 90 капсул"/>
        <s v="NAC с селеном, 100 капсул"/>
        <s v="селен, 200 мкг, 180 растительных капсул"/>
        <s v="МСМ, метил-сульфонил-метан, 1000 мг, 120 капсул в растительной оболочке"/>
        <s v="Florassist®, пробиотик для пищеварения, с фаговой технологией, 30 вегетарианских капсул"/>
        <s v="Цитрат магния, 120 таблеток"/>
        <s v="магний для повышенного усвоения, 240 таблеток (100 мг в 1 таблетке)"/>
        <s v="OsteoMove, средство для поддержки суставов, 120 таблеток"/>
        <s v="наттокиназа, 2000 FU, 90 растительных капсул"/>
        <s v="Target-Mins, комплекс с кальцием и магнием, 180 таблеток"/>
        <s v="глицинат магния, высокая усвояемость, 240 капсул VegCap"/>
        <s v="Берберин гидрохлорид, 500 мг, 90 растительных капсул"/>
        <s v="улучшенная добавка с магнием, 270 капсул"/>
        <s v="Mushrooms™, ежовик гребенчатый, 120 капсул (0,5 г в 1 капсуле)"/>
        <s v="Коллаген и гиалуроновая кислота, сыворотка в ампуле с эффектом «Все в одном», 8,45 жидких унций (250 мл)"/>
        <s v="инозитол в капсулах, 500 мг, 100 растительных капсул"/>
        <s v="добавка для поддержки в период менопаузы, с фолатом, экстрактом красного клевера, витамином B12 и экстрактом ростков сои, 56 вегетарианских капсул"/>
        <s v="липосомальный никотинамид рибозид+, 60 растительных капсул"/>
        <s v="Kids Gummy, Multi-Vitamin, Ages 3+, Smurf Berry, 100 Gummies"/>
        <s v="оптимизированный триптофан плюс, 90 вегетарианских капсул"/>
        <s v="убихинол, 150 мг, 30 капсул"/>
        <s v="L-теанин с ГАМК, 60 капсул"/>
        <s v="Sleep 3, эффективное средство для улучшения качества сна, без наркотических веществ, 60 трехслойных таблеток"/>
        <s v="MicroPQQ и берберин с улучшенной рецептурой, 30 капсул"/>
        <s v="LactoBif® 5, пробиотики, 5 млрд КОЕ, 60 растительных капсул"/>
        <s v="Best, L-тирозин, 500 мг, 120 вегетарианских капсул"/>
        <s v="CoQ10, 60 мг, 60 растительных капсул"/>
        <s v="Метил B-комплекс 50, 60 вегетарианских капсул"/>
        <s v="Animal Parade, витамин D3, черешня, 12,5 мкг (500 МЕ), 90 таблеток в форме животных"/>
        <s v="L-лизин, 500 мг, 250 таблеток"/>
        <s v="EVE, превосходные мультивитамины для женщин, 180 капсул"/>
        <s v="комплекс гиалуроновой кислоты с L-пролином, экстрактом косточек французского винограда и коры французской приморской сосны, 60 растительных капсул"/>
        <s v="Sport, Liposomal NAD+ ULTRA, липосомальный НАД, 90 растительных капсул"/>
        <s v="Монолаурин, 240 капсул (500 мг на капсулу)"/>
        <s v="Комплекс коэнзимов группы B, 120 веганских капсул"/>
        <s v="жевательный пробиотик для пищеварения, для детей от 3 лет, ягодный вкус, 40 жевательных конфет"/>
        <s v="L-цистеин, AjiPure®, 500 мг, 60 растительных капсул"/>
        <s v="чистый жир печени арктической трески,со вкусом натуральной клубники, 237 мл (8 жидк. унций)"/>
        <s v="Hema-Plex®, железо, 30 таблеток медленного высвобождения"/>
        <s v="пептиды коллагена в виде порошка, 227 г (8 унций)"/>
        <s v="витамин D3, 25 мкг (1000 МЕ), 250 капсул"/>
        <s v="комплекс незаменимых аминокислот, 60 веганских капсул"/>
        <s v="E-400, 268 мг (400 МЕ), 100 мягких таблеток"/>
        <s v="Beauty, добавка для поддержки во время менопаузы с дудником гигантским, цинанхумом, зопником и L-лейцином, 90 растительных капсул"/>
        <s v="Смесь ферментов Super Digestaway для поддержки пищеварения, 180 растительных капсул"/>
        <s v="поликозанол с коэнзимом Q10, 10 мг, 120 таблеток"/>
        <s v="NAD + Boost`` 90 растительных капсул"/>
        <s v="Probiotic-10, 25 млрд, 50 вегетарианских капсул"/>
        <s v="альфа-липоевая кислота 300, 300 мг, 180 растительных капсул"/>
        <s v="лизинат магния и глицинат с высокой степенью усвоения, хелатная форма, Albion® TRAACS®, 240 таблеток (100 мг в 1 таблетке)"/>
        <s v="Professional, омега-3 2100®, высокоэффективный продукт, апельсин, 120 капсул (1050 мг в 1 капсуле)"/>
        <s v="куркумин из куркумы ультрапремиального качества с BioPerine®, 90 растительных капсул"/>
        <s v="хелатные мультиминералы, 120 капсуловидных таблеток"/>
        <s v="липосомальный глутатион, 60 растительных капсул (500 мг в 1 капсуле)"/>
        <s v="Комплекс пробиотиков,&gt; 40 млрд КОЕ, 60 капсул"/>
        <s v="Water Out™, 100 растительных капсул"/>
        <s v="Defender 4, с витаминами C, D, цинком и селеном, 180 растительных капсул"/>
        <s v="высокоактивный витамин D3, 125 мкг (5000 МЕ), 120 капсул"/>
        <s v="L-глутатион (восстановленный), 500 мг, 120 растительных капсул"/>
        <s v="комплекс витаминов группы B «50», 100 растительных капсул"/>
        <s v="витамин E, натурального происхождения, 100 капсул"/>
        <s v="хелатное железо, 100 таблеток (25 мг в 1 таблетке)"/>
        <s v="Formula V, VM-75, комплексные витамины с хелатными минералами, 90 таблеток"/>
        <s v="красный ферментированный рис и коэнзим Q10, 240 капсул"/>
        <s v="гинкго, 120 мг, 120 вегетарианских капсул"/>
        <s v="комплекс ресвератрола с экстрактом виноградных косточек, экстрактом красного вина и транс-ресвератролом, 250 вегетарианских капсул"/>
        <s v="гиалуроновая кислота, 200 мг, 60 вегетарианских капсул"/>
        <s v="WellBetX®, берберин, 60 вегетарианских капсул (500 мг в 1 капсуле)"/>
        <s v="Superfoods, порошок из органической куркумы, 114 г (4 унции)"/>
        <s v="подсолнечный лецитин, 300 капсул"/>
        <s v="Экстракт белой фасоли, 120 капсул (600 мг на капсулу)"/>
        <s v="Kangavites, полноценный детский комплекс с витаминами и минералами, со вкусом ягод Bouncin', 120 жевательных таблеток"/>
        <s v="Immune Health™, 60 капсул"/>
        <s v="Зверобой, 120 капсул (500 мг на капсулу)"/>
        <s v="NeuroCalm ™, 60 вегетарианских капсул"/>
        <s v="Глицинат меди, 3 мг, 120 капсул"/>
        <s v="Total Cleanse™, для здоровья почек, 60 растительных капсул"/>
        <s v="Opti-Men, 150 таблеток"/>
        <s v="Opti-Women®, мультивитаминная добавка для активных женщин, 120 капсул"/>
        <s v="CranRich®, концентрат клюквы, суперсила, 500 мг, 90 капсул"/>
        <s v="One Daily Every Woman's Multivitamin™ 40+, мультивитамины для женщин старше 40 лет, 96 вегетарианских таблеток"/>
        <s v="E-400 со смешанными токоферолами, 268 мг (400 МЕ), 100 мягких таблеток"/>
        <s v="Духи для женщин w196"/>
        <s v="Духи для женщин w201"/>
        <s v="Духи для женщин w204"/>
        <s v="Kidney Blend SP-6, 100 растительных капсул"/>
        <s v="True Focus, 90 растительных капсул"/>
        <s v="Холин и инозитол, 100 растительных капсул"/>
        <s v="HA Matrixyl® 3000+, огурец в спрее, 60 мл (2 жидк. унции)"/>
        <s v="йохимбин, 6 мг, 30 капсул"/>
        <s v="веганский метилфолат, 400 мкг, 60 растительных капсул"/>
        <s v="Two-Per-Day Multivitamin, 120 Tablets"/>
        <s v="Omega-3 Premium Fish Oil, 100 Fish Gelatin Softgels (1,100 mg per Softgel)"/>
        <s v="Coenzyme B-Complex, 120 Vegan Capsules"/>
        <s v="Marine Collagen Peptides Plus Vitamin C and Hyaluronic Acid, Lemon, 30 Packets, 0.19 oz (5.38 g) Each"/>
        <s v="Hema-Plex®, Iron with Essential Nutrients for Healthy Red Blood Cells, 60 Slow-Release Tablets"/>
        <s v="Hema-Plex®, 60 Slow Release Mini Tabs"/>
        <s v="Collagen Premium Skin Cream, Pear, 4 oz (114 g)"/>
        <s v="Blueberry Hydrating Cream, 0.35 oz (10 g)"/>
        <s v="Inositol, 500 mg, 100 Veg Capsules"/>
        <s v="Glycine, 100 Veg Capsules (1,000 mg per Capsule)"/>
        <s v="Glucosamine &amp; Chondroitin with MSM, 90 Capsules"/>
        <s v="L-Lysine Monolaurin, 1:1 Ratio, 60 VegCaps"/>
        <s v="Calcium Citrate 1000, 180 Tablets (333 mg per Tablet)"/>
        <s v="Sleep &amp; Stress Support, 60 Vegetable Capsules"/>
        <s v="B-Complex &quot;50&quot;, 100 Vegetable Capsules"/>
        <s v="Psyllium Husk Powder, 24 oz (680 g)"/>
        <s v="Whole Psyllium Husks, 16 oz (454 g)"/>
        <s v="магний, 120 капсул (210 мг в 1 капсуле)"/>
        <s v="M.V. Teen™, мультивитамины и минералы для подростков, 180 капсул"/>
        <s v="инозитол, 500 мг, 100 растительных капсул"/>
        <s v="Kids Focus, жевательные таблетки, из натурального винограда, 60 жевательных таблеток"/>
        <s v="красный дрожжевой рис с коэнзимом Q10, 120 капсул"/>
        <s v="готу кола, цельное растение, 180 веганских капсул (475 мг в 1 капсуле)"/>
        <s v="жевательный витамин D3, натуральный мятный вкус, 5000 МЕ, 120 жевательных таблеток"/>
        <s v="Комплексные пробиотики для женщин, 70 млрд КОЕ, 30 капсул"/>
        <s v="пробиотик с пребиотиком, 60 вегетарианских капсул"/>
        <s v="красный клевер, 100 веганских капсул (400 мг в 1 капсуле)"/>
        <s v="изофлавоны сои, 150 мг, 180 капсул"/>
        <s v="Liver+, улучшенная формула, 240 вегетарианских капсул"/>
        <s v="Gold C®, витамин C класса USP, 1000 мг, 60 растительных капсул"/>
        <s v="комплекс пептидов коллагена нескольких типов, с биотином, витамином C и гиалуроновой кислотой, 240 капсул"/>
        <s v="SAMe, 400 мг, 60 таблеток, покрытых кишечнорастворимой оболочкой"/>
        <s v="веганский инозитол, 750 мг, 100 растительных капсул"/>
        <s v="железо, 36 мг, 90 растительных капсул"/>
        <s v="Ultra-Mag™, комплекс магния,120 таблеток"/>
        <s v="Ultra-MAG ™, 240 таблеток"/>
        <s v="Магний в капсулах, 500 мг, 100 вегетарианских капсул"/>
        <s v="глицинат лизинат магния с высокой степенью усвоения, хелатный, Albion® TRAACS®, 240 таблеток (100 мг в 1 таблетке)"/>
        <s v="цитрат магния, 250 таблеток (200 мг в 1 таблетке)"/>
        <s v="куркума и черный перец, 90 веганских капсул"/>
        <s v="комплекс аминокислот 1000, 1000 мг, 100 таблеток"/>
        <s v="экстракт расторопши, 300 мг, 100 растительных капсул"/>
        <s v="добавка для здоровья простаты, клинически подтверждённая эффективность, 180 капсул"/>
        <s v="Легкое очищающее масло из мадагаскарской центеллы, 200 мл (6,76 жидк. унц.)"/>
        <s v="Красный дрожжевой рис, 120 капсул (600 мг на капсулу)"/>
        <s v="Красный дрожжевой рис, 600 мг, 120 вегетарианских капсул"/>
        <s v="Лактоферрин, 250 мг, 60 растительных капсул"/>
        <s v="убихнол, 100 мг, 120 капсул"/>
        <s v="C-500 с шиповником, 100 таблеток"/>
        <s v="жевательная ацерола, комплекс с витамином C, ягодный вкус, 180 жевательных таблеток"/>
        <s v="коэнзим Q10 с экстрактом чёрного перца Bioperine®, 200 мг, 360 растительных капсул"/>
        <s v="комплекс с силимарином с экстрактом расторопши, а также одуванчиком, артишоком, имбирем и BioPerine®, 360 растительных капсул"/>
        <s v="натуральный витамин E-400, 268 мг, 250 капсул"/>
        <s v="True Herbs, белая ива, 400 мг, 100 растительных капсул"/>
        <s v="крем с коллагеном премиального качества, груша, 57 г (2 унции)"/>
        <s v="глицинат магния, 240 капсул (166 мг в 1 капсуле)"/>
        <s v="Host Defense® Mushrooms™, ежовик гребенчатый, порошок грибного мицелия, 100 г (3,5 унции)"/>
        <s v="Мед манука, необработанный и непастеризованный, UMF ™ 23+, 1050 MGO +, 250 г (8,8 унции)"/>
        <s v="детская жевательная добавка для укрепления иммунитета с витаминами A, C, E и цинком, с натуральным вкусом тропических ягод, 90 вегетарианских таблеток"/>
        <s v="селен, 200 мкг, 120 растительных капсул"/>
        <s v="Fungiology, MushRex Plus, комплекс из 10 грибов полного спектра с агариком, чагой, кордицепсом и ежовиком гребенчатым, 120 капсул Plantcaps"/>
        <s v="Гуарана, 150 капсул (500 мг в каждой капсуле)"/>
        <s v="PhotoFocus, матовый праймер для лица, 850 Partners in Prime, 25 мл (0,84 жидк. унц.)"/>
        <s v="прозрачный оттеночный бальзам для губ, GLC602, нюдовый, 2 г (0,07 унции)"/>
        <s v="Бальзам для губ Sheer Tint, GLC603 Sheer Rose, 2 г (0,07 унции)"/>
        <s v="КЛК, 120 капсул (800 мг в каждой капсуле)"/>
        <s v="органическая моринга в таблетках, 120 таблеток (400 мг в 1 таблетке)"/>
        <s v="Cholesterol Balance, 180 вегетарианских капсул"/>
        <s v="куркумин с экстрактом черного перца, 180 вегетарианских капсул"/>
        <s v="цитрат магния, 120 таблеток (200 мг в 1 таблетке)"/>
        <s v="CollagenUP®, гидролизованные пептиды морского коллагена с гиалуроновой кислотой и витамином C, с нейтральным вкусом, 206 г"/>
        <s v="Host Defense Mushroom, MycoBotanicals, энергия, 60 капсул"/>
        <s v="увлажняющий солнцезащитный крем с голубикой, SPF 50 PA++++, 50 г (1,76 унции)"/>
        <s v="Апигенин, 50 мг, 90 капсул"/>
        <s v="рейши, экстракт грибов в порошке, 90 капсул (500 мг в 1 капсуле)"/>
        <s v="мелатонин, ягодное ассорти, 5 мг, 240 таблеток"/>
        <s v="женьшень красный, 500 мг, 150 капсул"/>
        <s v="сибирский женьшень, 500 мг, 150 капсул"/>
        <s v="комплекс основных витаминов группы B, 60 капсул"/>
        <s v="Telescopic Lift, водостойкая тушь для ресниц, 993 черный, 10 мл (0,33 жидк. Унции)"/>
        <s v="гуперзин А, 250 мкг, 90 растительных капсул"/>
        <s v="для женщин, пробиотик,&gt; 60 млрд КОЕ, 60 капсул"/>
        <s v="пребиотики, пробиотики и цельнопищевые ферменты с повышенной силой действия, 20 млрд КОЕ, 60 растительных капсул"/>
        <s v="Hema-Plex®, 60 мини-таблеток медленного высвобождения"/>
        <s v="подсолнечный лецитин, 200 капсул (1,2 г в 1 капсуле)"/>
        <s v="метил B12, лимон, 1000 мкг, 100 жевательных таблеток"/>
        <s v="веганский метил B12 и метилфолат, лимон, 100 жевательных таблеток"/>
        <s v="экстракт виноградных косточек, ресвератрол и экстракт красного вина, 240 капсул"/>
        <s v="PectaSol®, модифицированный цитрусовый пектин, 150 г (5,29 унции)"/>
        <s v="Full Spectrum™, пуэрария дольчатая, 120 таблеток"/>
        <s v="Insomnitol™, 60 вегетарианских капсул"/>
        <s v="витамин D3, 2000 МЕ, 120 капсул"/>
        <s v="Увлажняющий тональный крем с коллагеном 13 тон"/>
        <s v="экстракт листьев оливкового дерева, 750 мг, 90 капсул"/>
        <s v="омега-3 с витамином E, 360 мягких таблеток"/>
        <s v="цитрат магния, 200 мг, 250 капсул"/>
        <s v="Медь, 2&amp;nbsp;мг, 100&amp;nbsp;вегетарианских капсул"/>
        <s v="Zinc A.G.™, цинк, 20 мг, 60 таблеток"/>
        <s v="витамины D3 и K2, 60 вегетарианских капсул"/>
        <s v="фолат, 1333 мкг DFE, 100 таблеток"/>
        <s v="глутатион, 250 мг, 120 растительных капсул"/>
        <s v="The Afterglow, мультиколлагеновый протеин + красота, молочный шоколад, 588 г (1,3 фунта)"/>
        <s v="берберин и глюкоза, 90 капсул"/>
        <s v="Эйч Эс Эн (кожа, волосы, ногти)"/>
        <s v="МСМ (Метилсульфонилметан)"/>
        <s v="Железо Хелат"/>
        <s v="Хлорофилл жидкий, 000001580"/>
        <s v="Омега-3 (ПНЖК)"/>
        <s v="жевательная ацерола, комплекс с витамином C, с ягодным вкусом, 180 жевательных таблеток"/>
        <s v="коэнзим Q10, убихинон класса USP с экстрактом чёрного перца Bioperine®, улучшенная биодоступность, 100 мг, 360 растительных капсул"/>
        <s v="NAC, 600 мг, 240 капсул"/>
        <s v="астаксантин, 12 мг, 120 капсул"/>
        <s v="жидкий лецитин из подсолнечника, 473 мл (16 жидк. унций)"/>
        <s v="витамин K2 (в виде менахинона-7), 50 мкг, 120 растительных капсул"/>
        <s v="коэнзим Q10 с PQQ, 60 растительных капсул"/>
        <s v="пирролохинолинхинон, 20 мг, 30 растительных капсул"/>
        <s v="омега-3-6-9, 120 капсул"/>
        <s v="омега-3, ЭПК и ДГК, тройная сила, 950 мг, 100 капсул"/>
        <s v="Глутатион, 500 мг, 240 капсул"/>
        <s v="гель с морским мхом, суперфуд, манго и ананас, 473 мл (16 жидк. унций)"/>
        <s v="инозитол, 500 мг, 100 растительных капсул"/>
        <s v="оротат лития, 5 мг, 120 капсул VegCap"/>
        <s v="OsteoMove®, средство для поддержки суставов, 240 таблеток"/>
        <s v="масло для губ, питательный блеск, GLC723, ваниль, 3 мл (0,1 жидк. унции)"/>
        <s v="масло для губ, питательный блеск, GLC722, клубника, 3 мл (0,1 жидк. унции)"/>
        <s v="витамин D3, высокоактивный, 5000 МЕ, 120 капсул" u="1"/>
        <s v="NOW Foods, L-карнозин, 500 мг, 50 растительных капсул NOW-00078" u="1"/>
        <s v="The Smurfs, жевательные мультивитамины, для детей от 3 лет, ягодный вкус, 60 жевательных конфет SMS-55694" u="1"/>
        <s v="NOW Foods, E-200, 134 мг (200 МЕ), 100 мягких таблеток, NOW-00825" u="1"/>
        <s v="ESSENS, Духи для женщин w148, 000w14850" u="1"/>
        <s v="ESSENS, Духи для женщин w168, 000w16850" u="1"/>
        <s v="ESSENS, Духи для женщин w188, 000w18850" u="1"/>
        <s v="ESSENS, Духи для женщин w114, 000w11450" u="1"/>
        <s v="ESSENS, Духи для женщин w194, 000w19450" u="1"/>
        <s v="NaturesPlus, Source of Life, Animal Parade, добавка для укрепления детского иммунитета, вкус натуральных тропических ягод, 90 животных NAP-29978" u="1"/>
        <s v="ESSENS, Духи для женщин w180, 000w18050" u="1"/>
        <s v="M.V. Для подростков, 180 капсул" u="1"/>
        <s v="Earths Blend, витамин D3, 5000 МЕ, 90 вегетарианских капсул" u="1"/>
        <s v="ESSENS, Духи для женщин w117, 000w11750" u="1"/>
        <s v="ESSENS, Духи для женщин w177, 000w17750" u="1"/>
        <s v="ESSENS, Духи для женщин w183, 000w18350" u="1"/>
        <s v="ESSENS, Духи для мужчин m029, 000m02950" u="1"/>
        <s v="ESSENS, Парфюм 4 ELEMENTS - Purple Air 100ml, 00004el04" u="1"/>
        <s v="ESSENS, Духи для мужчин m015, 000m01550" u="1"/>
        <s v="ESSENS, Духи для мужчин m035, 000m03550" u="1"/>
        <s v="ESSENS, Духи для женщин w106, 000w10650" u="1"/>
        <s v="ESSENS, Духи для женщин w166, 000w16650" u="1"/>
        <s v="ESSENS, Духи для женщин w186, 000w18650" u="1"/>
        <s v="ESSENS, Духи для женщин w172, 000w17250" u="1"/>
        <s v="ESSENS, Духи для женщин w192, 000w19250" u="1"/>
        <s v="Хелатные мультиминералы высокой эффективности, 120 капсул" u="1"/>
        <s v="ESSENS, Духи для мужчин m038, 000m03850" u="1"/>
        <s v="глицинат магния, 200 мг, 180 таблеток (100 мг в 1 таблетке)" u="1"/>
        <s v="ESSENS, Духи для мужчин m044, 000m04450" u="1"/>
        <s v="Natural Factors, CranRich, суперсила, концентрат клюквы, 500 мг, 180 капсул NFS-04513" u="1"/>
        <s v="Solaray, монолаурин, 500 мг, 60 вегетарианских капсул SOR-62754" u="1"/>
        <s v="Flex, комплекс для поддержки суставов, 44 упаковки" u="1"/>
        <s v="ESSENS, Парфюм мужской m041, 000w04150" u="1"/>
        <s v="ESSENS, Noir Парфюм - №2, 0004eln02" u="1"/>
        <s v="Enhanced Energy, смесь для улучшения памяти и концентрации, для подростков, 60 вегетарианских таблеток" u="1"/>
        <s v="NOW Foods, Kid Cal, 100 жевательных таблеток NOW-01233" u="1"/>
        <s v="мелатонин, медленное высвобождение, 100 таблеток" u="1"/>
        <s v="ESSENS, Духи для мужчин m007, 000m00750" u="1"/>
        <s v="Natural Factors, WomenSense, EstroSense, гормональный баланс, 120 вегетарианских капсул NFS-04956" u="1"/>
        <s v="Earth's Blend, Магний, 90 вегетарианских капсул" u="1"/>
        <s v="ESSENS, Noir Парфюм - № 6, 0004eln06" u="1"/>
        <s v="ESSENS, Духи для женщин w118, 000w11850" u="1"/>
        <s v="магний с высокой степенью усвоения, 240 таблеток (100 мг в 1 таблетке)" u="1"/>
        <s v="ESSENS, Духи для женщин w104, 000w10450" u="1"/>
        <s v="ESSENS, Духи для женщин w124, 000w12450" u="1"/>
        <s v="ESSENS, Духи для женщин w144, 000w14450" u="1"/>
        <s v="ESSENS, Духи для женщин w164, 000w16450" u="1"/>
        <s v="ESSENS, Духи для женщин w184, 000w18450" u="1"/>
        <s v="ESSENS, Духи для женщин w130, 000w13050" u="1"/>
        <s v="ESSENS, Духи для женщин w150, 000w15050" u="1"/>
        <s v="ESSENS, Духи для женщин w190, 000w19050" u="1"/>
        <s v="ESSENS, Noir Духи - №6, 0004eln06s" u="1"/>
        <s v="кора муравьиного дерева, 1000 мг, 250 растительных капсул (500 мг в 1 капсуле)" u="1"/>
        <s v="ESSENS, Пробник Noir Духи - №2, 0004eln02s" u="1"/>
        <s v="California Gold Nutrition, омега-3, рыбий жир премиального качества, 180 мг ЭПК / 120 мг ДГК, 100 капсул из рыбьего желатина MLI-00954" u="1"/>
        <s v="Vplab, глюкозамин с хондроитином и МСМ, 90 таблеток VPB-81400" u="1"/>
        <s v="ESSENS, Пробник w185, 000w18501" u="1"/>
        <s v="NOW Foods, Methyl B-12, метилкобаламин, 1000 мкг, 100 таблеток для рассасывания NOW-00495" u="1"/>
        <s v="ESSENS, Духи для мужчин m901, 000m90150" u="1"/>
        <s v="ESSENS, Духи для женщин w127, 000w12750" u="1"/>
        <s v="ESSENS, Пробник w187, 000w18701" u="1"/>
        <s v="ESSENS, Духи для женщин w187, 000w18750" u="1"/>
        <s v="ESSENS, Духи для женщин w153, 000w15350" u="1"/>
        <s v="ESSENS, Духи для женщин w173, 000w17350" u="1"/>
        <s v="ESSENS, Духи для женщин w193, 000w19350" u="1"/>
        <s v="NOW Foods, кора муравьиного дерева, 500 мг, 250 растительных капсул NOW04726" u="1"/>
        <s v="ESSENS, Духи для мужчин m039, 000m03950" u="1"/>
        <s v="ESSENS, Aloe Vera Зубная паста, 0000ave51" u="1"/>
        <s v="ESSENS, Духи для мужчин m025, 000m02550" u="1"/>
        <s v="хелат цинка, 25 мг, 90 таблеток" u="1"/>
        <s v="ESSENS, Духи для женщин w159n, 000w15950n" u="1"/>
        <s v="ESSENS, Духи для женщин w116, 000w11650" u="1"/>
        <s v="ESSENS, Духи для женщин w156, 000w15650" u="1"/>
        <s v="ESSENS, Духи для женщин w176, 000w17650" u="1"/>
        <s v="ESSENS, Духи для женщин w102, 000w10250" u="1"/>
        <s v="ESSENS, Духи для женщин w142, 000w14250" u="1"/>
        <s v="ESSENS, Духи для женщин w162, 000w16250" u="1"/>
        <s v="ESSENS, Духи для женщин w182, 000w18250" u="1"/>
        <s v="ESSENS, парфюмированный гель для душа w179, 0000w179ng" u="1"/>
        <s v="ESSENS, Духи для мужчин m008, 000m00850" u="1"/>
        <s v="ESSENS, Духи женские по мотивам Eau de parfum II 50 мл, Парфюмерия для женщин, 1360051948" u="1"/>
        <s v="ESSENS, Набор парфюмерный женский по мотивам J'adore №118, 1271446882" u="1"/>
        <s v="витамин A, 3000 мкг, 100 капсул" u="1"/>
        <s v="M,V, Teen Мультивитамины для Подростков 90 капсул" u="1"/>
        <s v="Альфа-липоевая кислота, 600 мг, 240 растительных капсул (300 мг в 1 капсуле)" u="1"/>
        <s v="ESSENS, Пробник w162, 000w16201" u="1"/>
        <s v="ESSENS, Пробник Niche Ultramarine Blue, 0000nc06s" u="1"/>
        <s v="ESSENS, Духи для женщин w179, 000w17950" u="1"/>
        <s v="ESSENS, Духи для женщин w185, 000w18550" u="1"/>
        <s v="ESSENS, Духи для женщин w111, 000w11150" u="1"/>
        <s v="ESSENS, Духи для женщин w151, 000w15150" u="1"/>
        <s v="ESSENS, Духи для женщин w171, 000w17150" u="1"/>
        <s v="ESSENS, Духи для женщин w191, 000w19150" u="1"/>
        <s v="ESSENS, Набор парфюмерный женский Chance Eau Tendre №182, 1395837779" u="1"/>
        <s v="NOW Foods, кора муравьиного дерева, 500 мг, 250 растительных капсул, NOW04726" u="1"/>
        <s v="ESSENS, Духи для мужчин m037, 000m03750" u="1"/>
        <s v="ESSENS, Духи для мужчин m003, 000m00350" u="1"/>
        <s v="ESSENS, Духи для мужчин m043, 000m04350" u="1"/>
        <s v="Source of Life, Animal Parade, витамин D3, со вкусом натуральной черешни, 500 МЕ, 90 таблеток в форме животных" u="1"/>
      </sharedItems>
    </cacheField>
    <cacheField name="Цена закупки" numFmtId="2">
      <sharedItems containsString="0" containsBlank="1" containsNumber="1" minValue="0" maxValue="38750"/>
    </cacheField>
    <cacheField name="Bonus" numFmtId="2">
      <sharedItems containsString="0" containsBlank="1" containsNumber="1" minValue="-105190.21601555214" maxValue="0"/>
    </cacheField>
    <cacheField name="Вознаграждение" numFmtId="2">
      <sharedItems containsSemiMixedTypes="0" containsString="0" containsNumber="1" minValue="-39000.287000000077" maxValue="68.129085747973932"/>
    </cacheField>
    <cacheField name="Разница в оплате" numFmtId="2">
      <sharedItems containsSemiMixedTypes="0" containsString="0" containsNumber="1" minValue="-1012.3829844478884" maxValue="775.33828550049111"/>
    </cacheField>
    <cacheField name="Логистика" numFmtId="2">
      <sharedItems containsSemiMixedTypes="0" containsString="0" containsNumber="1" minValue="-0.30779461859674778" maxValue="139321.30404262128"/>
    </cacheField>
    <cacheField name="Итоговая цена RUB" numFmtId="2">
      <sharedItems containsSemiMixedTypes="0" containsString="0" containsNumber="1" minValue="-256.48729465768776" maxValue="7924994.538071637"/>
    </cacheField>
    <cacheField name="Продажа RUB" numFmtId="2">
      <sharedItems containsString="0" containsBlank="1" containsNumber="1" minValue="53.045054192970021" maxValue="11587557.107234208"/>
    </cacheField>
    <cacheField name="ДатаП" numFmtId="0">
      <sharedItems containsDate="1" containsString="0" containsBlank="1" containsMixedTypes="1" minDate="1899-12-31T00:37:04" maxDate="1899-12-31T17:00:04" count="933">
        <n v="5112"/>
        <d v="2022-08-31T00:00:00"/>
        <d v="2022-09-17T00:00:00"/>
        <d v="2022-11-15T00:00:00"/>
        <d v="2023-01-09T00:00:00"/>
        <d v="2023-05-06T00:00:00"/>
        <d v="2023-05-26T00:00:00"/>
        <d v="2023-06-01T00:00:00"/>
        <d v="2022-11-12T00:00:00"/>
        <d v="2022-11-02T00:00:00"/>
        <d v="2022-11-04T00:00:00"/>
        <d v="2023-07-06T00:00:00"/>
        <d v="2023-08-01T00:00:00"/>
        <d v="2023-05-08T00:00:00"/>
        <d v="2022-11-03T00:00:00"/>
        <d v="2022-11-06T00:00:00"/>
        <d v="2022-11-29T00:00:00"/>
        <d v="2022-09-01T00:00:00"/>
        <d v="2022-09-24T00:00:00"/>
        <d v="2022-09-21T00:00:00"/>
        <m/>
        <d v="2022-10-16T00:00:00"/>
        <d v="2022-10-08T00:00:00"/>
        <d v="2022-10-23T00:00:00"/>
        <d v="2022-10-29T00:00:00"/>
        <d v="2022-11-11T00:00:00"/>
        <d v="2024-08-31T00:00:00"/>
        <d v="2023-02-06T00:00:00"/>
        <d v="2023-03-15T00:00:00"/>
        <d v="2022-12-06T00:00:00"/>
        <d v="2023-01-01T00:00:00"/>
        <d v="2023-09-18T00:00:00"/>
        <d v="2022-12-03T00:00:00"/>
        <d v="2022-09-15T00:00:00"/>
        <d v="2023-01-08T00:00:00"/>
        <d v="2023-02-13T00:00:00"/>
        <d v="2022-12-30T00:00:00"/>
        <d v="2023-02-14T00:00:00"/>
        <d v="2023-01-14T00:00:00"/>
        <d v="2023-09-21T00:00:00"/>
        <d v="2023-01-29T00:00:00"/>
        <d v="2024-02-01T00:00:00"/>
        <d v="2023-03-18T00:00:00"/>
        <d v="2023-02-07T00:00:00"/>
        <d v="2023-01-04T00:00:00"/>
        <d v="2022-12-22T00:00:00"/>
        <d v="2023-09-20T00:00:00"/>
        <d v="2022-10-15T00:00:00"/>
        <d v="2022-11-09T00:00:00"/>
        <d v="2022-10-17T00:00:00"/>
        <d v="2022-11-18T00:00:00"/>
        <d v="2022-10-22T00:00:00"/>
        <d v="2022-10-30T00:00:00"/>
        <d v="2022-10-21T00:00:00"/>
        <d v="2023-04-04T00:00:00"/>
        <d v="2022-11-21T00:00:00"/>
        <d v="2022-11-26T00:00:00"/>
        <d v="2024-01-08T00:00:00"/>
        <d v="2022-10-18T00:00:00"/>
        <d v="2022-10-25T00:00:00"/>
        <d v="2022-11-23T00:00:00"/>
        <d v="2022-10-28T00:00:00"/>
        <d v="2022-11-10T00:00:00"/>
        <d v="2022-11-24T00:00:00"/>
        <d v="2023-02-24T00:00:00"/>
        <d v="2022-10-02T00:00:00"/>
        <d v="2022-12-24T00:00:00"/>
        <d v="2023-01-21T00:00:00"/>
        <d v="2023-01-30T00:00:00"/>
        <d v="2023-03-06T00:00:00"/>
        <d v="2022-11-28T00:00:00"/>
        <d v="2022-12-02T00:00:00"/>
        <d v="2022-12-10T00:00:00"/>
        <d v="2022-12-26T00:00:00"/>
        <d v="2023-01-10T00:00:00"/>
        <d v="2023-01-16T00:00:00"/>
        <d v="2023-01-24T00:00:00"/>
        <d v="2022-12-05T00:00:00"/>
        <d v="2022-12-11T00:00:00"/>
        <d v="2022-11-27T00:00:00"/>
        <d v="2022-11-20T00:00:00"/>
        <d v="2022-11-25T00:00:00"/>
        <d v="2022-12-19T00:00:00"/>
        <d v="2022-12-14T00:00:00"/>
        <d v="2022-12-29T00:00:00"/>
        <d v="2023-01-02T00:00:00"/>
        <d v="2023-02-04T00:00:00"/>
        <d v="2023-01-13T00:00:00"/>
        <d v="2023-02-02T00:00:00"/>
        <d v="2023-02-11T00:00:00"/>
        <d v="2023-02-12T00:00:00"/>
        <d v="2023-02-20T00:00:00"/>
        <d v="2022-11-13T00:00:00"/>
        <d v="2022-11-17T00:00:00"/>
        <d v="2022-12-15T00:00:00"/>
        <d v="2023-01-05T00:00:00"/>
        <d v="2023-01-31T00:00:00"/>
        <d v="2022-12-09T00:00:00"/>
        <d v="2023-09-04T00:00:00"/>
        <d v="2023-01-28T00:00:00"/>
        <d v="2023-05-25T00:00:00"/>
        <d v="2023-02-16T00:00:00"/>
        <d v="2023-02-17T00:00:00"/>
        <d v="2023-03-07T00:00:00"/>
        <d v="2023-11-21T00:00:00"/>
        <d v="2022-12-27T00:00:00"/>
        <d v="2023-06-24T00:00:00"/>
        <d v="2022-12-23T00:00:00"/>
        <d v="2023-01-12T00:00:00"/>
        <d v="2023-01-18T00:00:00"/>
        <d v="2023-02-09T00:00:00"/>
        <d v="2023-01-19T00:00:00"/>
        <d v="2023-01-11T00:00:00"/>
        <d v="2023-10-05T00:00:00"/>
        <d v="2022-11-07T00:00:00"/>
        <d v="2023-02-08T00:00:00"/>
        <d v="2023-01-20T00:00:00"/>
        <d v="2023-06-09T00:00:00"/>
        <d v="2023-01-15T00:00:00"/>
        <d v="2022-11-22T00:00:00"/>
        <d v="2023-01-17T00:00:00"/>
        <d v="2023-03-05T00:00:00"/>
        <d v="2023-02-01T00:00:00"/>
        <d v="2023-02-15T00:00:00"/>
        <d v="2023-03-13T00:00:00"/>
        <d v="2023-11-16T00:00:00"/>
        <d v="2024-03-01T00:00:00"/>
        <d v="2024-03-06T00:00:00"/>
        <d v="2024-05-29T00:00:00"/>
        <d v="2025-09-24T00:00:00"/>
        <d v="2023-09-06T00:00:00"/>
        <d v="2023-02-21T00:00:00"/>
        <d v="2023-09-16T00:00:00"/>
        <d v="2023-02-22T00:00:00"/>
        <d v="2023-03-01T00:00:00"/>
        <d v="2023-02-10T00:00:00"/>
        <d v="2023-12-11T00:00:00"/>
        <d v="2023-02-18T00:00:00"/>
        <d v="2023-03-04T00:00:00"/>
        <d v="2023-11-04T00:00:00"/>
        <d v="2022-11-30T00:00:00"/>
        <d v="2022-12-04T00:00:00"/>
        <d v="2023-06-14T00:00:00"/>
        <d v="2022-12-16T00:00:00"/>
        <d v="2023-12-28T00:00:00"/>
        <d v="2022-12-18T00:00:00"/>
        <d v="2023-07-08T00:00:00"/>
        <d v="2024-02-22T00:00:00"/>
        <d v="2022-12-20T00:00:00"/>
        <d v="2023-01-06T00:00:00"/>
        <d v="2022-12-21T00:00:00"/>
        <d v="2023-09-05T00:00:00"/>
        <d v="2023-06-20T00:00:00"/>
        <d v="2023-04-10T00:00:00"/>
        <d v="2023-03-21T00:00:00"/>
        <d v="2023-11-07T00:00:00"/>
        <d v="2023-06-06T00:00:00"/>
        <d v="2023-04-07T00:00:00"/>
        <d v="2023-03-10T00:00:00"/>
        <d v="2023-04-30T00:00:00"/>
        <d v="2023-12-07T00:00:00"/>
        <d v="2023-03-19T00:00:00"/>
        <d v="2023-03-08T00:00:00"/>
        <d v="2023-08-20T00:00:00"/>
        <d v="2023-03-02T00:00:00"/>
        <d v="2023-03-03T00:00:00"/>
        <d v="2025-01-25T00:00:00"/>
        <d v="2023-05-12T00:00:00"/>
        <d v="2023-02-28T00:00:00"/>
        <d v="2025-04-17T00:00:00"/>
        <d v="2023-03-17T00:00:00"/>
        <d v="2024-03-27T00:00:00"/>
        <d v="2023-03-22T00:00:00"/>
        <d v="2023-03-29T00:00:00"/>
        <d v="2023-11-22T00:00:00"/>
        <d v="2023-06-03T00:00:00"/>
        <d v="2023-12-30T00:00:00"/>
        <d v="2023-03-14T00:00:00"/>
        <d v="2023-05-11T00:00:00"/>
        <d v="2023-10-06T00:00:00"/>
        <d v="2024-07-29T00:00:00"/>
        <d v="2023-03-16T00:00:00"/>
        <d v="2023-04-09T00:00:00"/>
        <d v="2023-11-15T00:00:00"/>
        <d v="2023-02-25T00:00:00"/>
        <d v="2023-11-09T00:00:00"/>
        <d v="2024-12-26T00:00:00"/>
        <d v="2023-01-22T00:00:00"/>
        <d v="2024-04-13T00:00:00"/>
        <d v="2023-04-21T00:00:00"/>
        <d v="2024-02-09T00:00:00"/>
        <d v="2023-04-26T00:00:00"/>
        <d v="2023-05-16T00:00:00"/>
        <d v="2023-03-27T00:00:00"/>
        <d v="2023-05-05T00:00:00"/>
        <d v="2023-04-24T00:00:00"/>
        <d v="2023-01-26T00:00:00"/>
        <d v="2023-03-28T00:00:00"/>
        <d v="2023-11-29T00:00:00"/>
        <d v="2023-07-24T00:00:00"/>
        <d v="2024-02-25T00:00:00"/>
        <d v="2023-11-01T00:00:00"/>
        <d v="2023-04-13T00:00:00"/>
        <d v="2023-04-14T00:00:00"/>
        <d v="2023-04-19T00:00:00"/>
        <d v="2023-04-15T00:00:00"/>
        <d v="2023-02-23T00:00:00"/>
        <d v="2023-06-25T00:00:00"/>
        <d v="2023-01-25T00:00:00"/>
        <d v="2023-02-03T00:00:00"/>
        <d v="2024-07-02T00:00:00"/>
        <d v="2024-09-13T00:00:00"/>
        <d v="2023-05-21T00:00:00"/>
        <d v="2023-07-09T00:00:00"/>
        <d v="2023-12-06T00:00:00"/>
        <d v="2023-11-23T00:00:00"/>
        <d v="2024-05-24T00:00:00"/>
        <d v="2024-08-06T00:00:00"/>
        <d v="2023-08-17T00:00:00"/>
        <d v="2023-11-26T00:00:00"/>
        <d v="2023-03-23T00:00:00"/>
        <d v="2023-06-30T00:00:00"/>
        <d v="2023-03-26T00:00:00"/>
        <d v="2023-08-04T00:00:00"/>
        <d v="2023-06-02T00:00:00"/>
        <d v="2023-05-13T00:00:00"/>
        <d v="2023-05-02T00:00:00"/>
        <d v="2023-03-25T00:00:00"/>
        <d v="2023-04-05T00:00:00"/>
        <d v="2023-02-26T00:00:00"/>
        <d v="2023-12-22T00:00:00"/>
        <d v="2024-02-12T00:00:00"/>
        <d v="2023-03-24T00:00:00"/>
        <d v="2025-01-29T00:00:00"/>
        <d v="2023-03-20T00:00:00"/>
        <d v="2023-04-18T00:00:00"/>
        <d v="2023-06-29T00:00:00"/>
        <d v="2023-08-23T00:00:00"/>
        <d v="2023-08-15T00:00:00"/>
        <d v="2023-07-25T00:00:00"/>
        <d v="2023-05-28T00:00:00"/>
        <d v="2023-06-07T00:00:00"/>
        <d v="2023-08-07T00:00:00"/>
        <d v="2024-09-28T00:00:00"/>
        <d v="2023-06-15T00:00:00"/>
        <d v="2023-07-11T00:00:00"/>
        <d v="2023-06-26T00:00:00"/>
        <d v="2023-06-13T00:00:00"/>
        <d v="2023-06-22T00:00:00"/>
        <d v="2023-07-05T00:00:00"/>
        <d v="2024-01-27T00:00:00"/>
        <d v="2023-04-22T00:00:00"/>
        <d v="2025-09-30T00:00:00"/>
        <d v="2023-05-15T00:00:00"/>
        <d v="2023-09-24T00:00:00"/>
        <d v="2023-03-31T00:00:00"/>
        <d v="2023-10-09T00:00:00"/>
        <d v="2023-05-22T00:00:00"/>
        <d v="2023-07-26T00:00:00"/>
        <d v="2023-07-30T00:00:00"/>
        <d v="2023-10-19T00:00:00"/>
        <d v="2023-11-08T00:00:00"/>
        <d v="2023-11-11T00:00:00"/>
        <d v="2023-05-04T00:00:00"/>
        <d v="2024-02-13T00:00:00"/>
        <d v="2024-01-31T00:00:00"/>
        <d v="2024-03-02T00:00:00"/>
        <d v="2023-04-02T00:00:00"/>
        <d v="2023-09-25T00:00:00"/>
        <d v="2023-04-25T00:00:00"/>
        <d v="2023-10-17T00:00:00"/>
        <d v="2023-07-12T00:00:00"/>
        <d v="2023-04-01T00:00:00"/>
        <d v="2023-09-28T00:00:00"/>
        <d v="2024-05-16T00:00:00"/>
        <d v="2023-11-30T00:00:00"/>
        <d v="2023-09-07T00:00:00"/>
        <d v="2023-06-18T00:00:00"/>
        <d v="2023-04-20T00:00:00"/>
        <d v="2023-04-27T00:00:00"/>
        <d v="2023-05-20T00:00:00"/>
        <d v="2023-08-16T00:00:00"/>
        <d v="2023-09-10T00:00:00"/>
        <d v="2023-09-12T00:00:00"/>
        <d v="2023-10-07T00:00:00"/>
        <d v="2023-04-29T00:00:00"/>
        <d v="2023-06-19T00:00:00"/>
        <d v="2023-05-23T00:00:00"/>
        <d v="2023-06-27T00:00:00"/>
        <d v="2023-03-30T00:00:00"/>
        <d v="2024-06-25T00:00:00"/>
        <d v="2024-04-25T00:00:00"/>
        <d v="2023-08-21T00:00:00"/>
        <d v="2023-09-03T00:00:00"/>
        <d v="2023-04-23T00:00:00"/>
        <d v="2023-06-12T00:00:00"/>
        <d v="2023-10-03T00:00:00"/>
        <d v="2023-09-30T00:00:00"/>
        <d v="2023-11-06T00:00:00"/>
        <d v="2023-12-25T00:00:00"/>
        <d v="2023-12-29T00:00:00"/>
        <d v="2023-08-14T00:00:00"/>
        <d v="2023-08-22T00:00:00"/>
        <d v="2024-10-08T00:00:00"/>
        <d v="2023-09-13T00:00:00"/>
        <d v="2023-09-19T00:00:00"/>
        <d v="2024-04-14T00:00:00"/>
        <d v="2023-07-21T00:00:00"/>
        <d v="2024-02-03T00:00:00"/>
        <d v="2024-09-09T00:00:00"/>
        <d v="2023-11-13T00:00:00"/>
        <d v="2024-05-28T00:00:00"/>
        <d v="2024-07-07T00:00:00"/>
        <d v="2024-10-04T00:00:00"/>
        <d v="2024-05-02T00:00:00"/>
        <d v="2024-04-06T00:00:00"/>
        <d v="2023-04-12T00:00:00"/>
        <d v="2023-06-21T00:00:00"/>
        <d v="2024-02-24T00:00:00"/>
        <d v="2025-10-22T00:00:00"/>
        <d v="2024-05-11T00:00:00"/>
        <d v="2024-12-18T00:00:00"/>
        <d v="2024-01-17T00:00:00"/>
        <d v="2024-01-28T00:00:00"/>
        <d v="2023-07-01T00:00:00"/>
        <d v="2024-03-15T00:00:00"/>
        <d v="2024-04-20T00:00:00"/>
        <d v="2023-08-29T00:00:00"/>
        <d v="2023-12-26T00:00:00"/>
        <d v="2024-02-20T00:00:00"/>
        <d v="2023-10-27T00:00:00"/>
        <d v="2023-10-02T00:00:00"/>
        <d v="2023-07-03T00:00:00"/>
        <d v="2023-05-10T00:00:00"/>
        <d v="2023-07-16T00:00:00"/>
        <d v="2023-08-08T00:00:00"/>
        <d v="2024-03-20T00:00:00"/>
        <d v="2023-07-20T00:00:00"/>
        <d v="2024-12-28T00:00:00"/>
        <d v="2023-08-05T00:00:00"/>
        <d v="2023-10-13T00:00:00"/>
        <d v="2023-10-15T00:00:00"/>
        <d v="2023-06-17T00:00:00"/>
        <d v="2023-10-25T00:00:00"/>
        <d v="2023-05-18T00:00:00"/>
        <d v="2024-03-22T00:00:00"/>
        <d v="2023-12-23T00:00:00"/>
        <d v="2023-09-14T00:00:00"/>
        <d v="2023-10-22T00:00:00"/>
        <d v="2023-12-09T00:00:00"/>
        <d v="2024-03-18T00:00:00"/>
        <d v="2025-09-08T00:00:00"/>
        <d v="2024-10-27T00:00:00"/>
        <d v="2023-05-19T00:00:00"/>
        <d v="2023-09-26T00:00:00"/>
        <d v="2023-07-10T00:00:00"/>
        <d v="2023-09-22T00:00:00"/>
        <d v="2024-03-26T00:00:00"/>
        <d v="2023-06-23T00:00:00"/>
        <d v="2023-12-04T00:00:00"/>
        <d v="2023-06-10T00:00:00"/>
        <d v="2024-01-19T00:00:00"/>
        <d v="2024-05-01T00:00:00"/>
        <d v="2023-12-15T00:00:00"/>
        <d v="2024-01-24T00:00:00"/>
        <d v="2024-02-07T00:00:00"/>
        <d v="2023-12-01T00:00:00"/>
        <d v="2023-09-17T00:00:00"/>
        <d v="2023-08-18T00:00:00"/>
        <d v="2023-10-10T00:00:00"/>
        <d v="2023-10-30T00:00:00"/>
        <d v="2023-12-16T00:00:00"/>
        <d v="2023-07-04T00:00:00"/>
        <d v="2024-07-31T00:00:00"/>
        <d v="2024-05-18T00:00:00"/>
        <d v="2023-06-05T00:00:00"/>
        <d v="2023-07-15T00:00:00"/>
        <d v="2024-08-30T00:00:00"/>
        <d v="2023-08-24T00:00:00"/>
        <d v="2025-01-09T00:00:00"/>
        <d v="2023-10-21T00:00:00"/>
        <d v="2023-11-14T00:00:00"/>
        <d v="2024-01-20T00:00:00"/>
        <d v="2023-08-09T00:00:00"/>
        <d v="2024-02-11T00:00:00"/>
        <d v="2023-08-13T00:00:00"/>
        <d v="2024-08-03T00:00:00"/>
        <d v="2024-02-15T00:00:00"/>
        <d v="2023-07-17T00:00:00"/>
        <d v="2023-12-03T00:00:00"/>
        <d v="2025-07-03T00:00:00"/>
        <d v="2024-01-11T00:00:00"/>
        <d v="2024-02-10T00:00:00"/>
        <d v="2024-06-13T00:00:00"/>
        <d v="2025-02-28T00:00:00"/>
        <d v="2025-01-11T00:00:00"/>
        <d v="2023-12-08T00:00:00"/>
        <d v="2023-08-28T00:00:00"/>
        <d v="2025-03-20T00:00:00"/>
        <d v="2025-03-27T00:00:00"/>
        <d v="2023-07-23T00:00:00"/>
        <d v="2023-07-22T00:00:00"/>
        <d v="2025-04-20T00:00:00"/>
        <d v="2023-08-10T00:00:00"/>
        <d v="2024-12-17T00:00:00"/>
        <d v="2024-11-07T00:00:00"/>
        <d v="2024-05-12T00:00:00"/>
        <d v="2024-01-15T00:00:00"/>
        <d v="2023-09-08T00:00:00"/>
        <d v="2024-07-19T00:00:00"/>
        <d v="2025-04-03T00:00:00"/>
        <d v="2024-11-09T00:00:00"/>
        <d v="2025-03-18T00:00:00"/>
        <d v="2023-07-29T00:00:00"/>
        <d v="2024-05-15T00:00:00"/>
        <d v="2023-10-20T00:00:00"/>
        <d v="2023-11-20T00:00:00"/>
        <d v="2023-12-17T00:00:00"/>
        <d v="2024-03-13T00:00:00"/>
        <d v="2024-10-11T00:00:00"/>
        <d v="2023-10-23T00:00:00"/>
        <d v="2024-02-28T00:00:00"/>
        <d v="2024-01-16T00:00:00"/>
        <d v="2023-09-11T00:00:00"/>
        <d v="2023-12-18T00:00:00"/>
        <d v="2024-03-07T00:00:00"/>
        <d v="2023-09-02T00:00:00"/>
        <d v="2024-06-06T00:00:00"/>
        <d v="2023-12-05T00:00:00"/>
        <d v="2023-09-29T00:00:00"/>
        <d v="2023-10-11T00:00:00"/>
        <d v="2023-10-28T00:00:00"/>
        <d v="2023-12-14T00:00:00"/>
        <d v="2024-02-16T00:00:00"/>
        <d v="2024-06-11T00:00:00"/>
        <d v="2024-04-02T00:00:00"/>
        <d v="2024-10-23T00:00:00"/>
        <d v="2024-10-24T00:00:00"/>
        <d v="2024-01-06T00:00:00"/>
        <d v="2023-10-12T00:00:00"/>
        <d v="2024-08-29T00:00:00"/>
        <d v="2024-11-16T00:00:00"/>
        <d v="2024-11-23T00:00:00"/>
        <d v="2024-01-21T00:00:00"/>
        <d v="2023-11-27T00:00:00"/>
        <d v="2023-08-25T00:00:00"/>
        <d v="2024-01-26T00:00:00"/>
        <d v="2023-10-26T00:00:00"/>
        <d v="2023-10-01T00:00:00"/>
        <d v="2023-10-08T00:00:00"/>
        <d v="2025-07-29T00:00:00"/>
        <d v="2024-04-22T00:00:00"/>
        <d v="2025-01-22T00:00:00"/>
        <d v="2024-07-13T00:00:00"/>
        <d v="2023-10-16T00:00:00"/>
        <d v="2023-10-14T00:00:00"/>
        <d v="2024-02-23T00:00:00"/>
        <d v="2024-04-04T00:00:00"/>
        <d v="2023-11-05T00:00:00"/>
        <d v="2024-01-22T00:00:00"/>
        <d v="2024-12-19T00:00:00"/>
        <d v="2024-08-14T00:00:00"/>
        <d v="2024-07-04T00:00:00"/>
        <d v="2024-09-16T00:00:00"/>
        <d v="2025-05-31T00:00:00"/>
        <d v="2023-10-31T00:00:00"/>
        <d v="2025-06-12T00:00:00"/>
        <d v="2024-03-11T00:00:00"/>
        <d v="2025-03-28T00:00:00"/>
        <d v="2024-08-26T00:00:00"/>
        <d v="2024-09-26T00:00:00"/>
        <d v="2024-11-30T00:00:00"/>
        <d v="2024-09-12T00:00:00"/>
        <d v="2024-09-14T00:00:00"/>
        <d v="2023-11-02T00:00:00"/>
        <d v="2024-02-18T00:00:00"/>
        <d v="2024-03-08T00:00:00"/>
        <d v="2023-10-29T00:00:00"/>
        <d v="2024-03-16T00:00:00"/>
        <d v="2023-11-24T00:00:00"/>
        <d v="2025-02-26T00:00:00"/>
        <d v="2025-07-21T00:00:00"/>
        <d v="2024-03-30T00:00:00"/>
        <d v="2024-03-24T00:00:00"/>
        <d v="2023-12-13T00:00:00"/>
        <d v="2024-01-10T00:00:00"/>
        <d v="2024-07-14T00:00:00"/>
        <d v="2024-08-10T00:00:00"/>
        <d v="2023-11-25T00:00:00"/>
        <d v="2024-12-09T00:00:00"/>
        <d v="2024-03-12T00:00:00"/>
        <d v="2023-11-28T00:00:00"/>
        <d v="2024-06-19T00:00:00"/>
        <d v="2025-02-20T00:00:00"/>
        <d v="2024-03-03T00:00:00"/>
        <d v="2025-05-27T00:00:00"/>
        <d v="2024-05-08T00:00:00"/>
        <d v="2025-02-10T00:00:00"/>
        <d v="2024-10-30T00:00:00"/>
        <d v="2024-05-07T00:00:00"/>
        <d v="2024-01-05T00:00:00"/>
        <d v="2024-06-22T00:00:00"/>
        <d v="2024-07-20T00:00:00"/>
        <d v="2025-02-25T00:00:00"/>
        <d v="2024-05-22T00:00:00"/>
        <d v="2024-08-23T00:00:00"/>
        <d v="2025-06-07T00:00:00"/>
        <d v="2024-07-16T00:00:00"/>
        <d v="2024-01-09T00:00:00"/>
        <d v="2024-10-14T00:00:00"/>
        <d v="2024-05-14T00:00:00"/>
        <d v="2024-07-08T00:00:00"/>
        <d v="2024-07-03T00:00:00"/>
        <d v="2025-02-13T00:00:00"/>
        <d v="2024-09-24T00:00:00"/>
        <d v="2024-08-24T00:00:00"/>
        <d v="2024-12-07T00:00:00"/>
        <d v="2024-09-10T00:00:00"/>
        <d v="2024-04-23T00:00:00"/>
        <d v="2025-03-26T00:00:00"/>
        <d v="2025-01-28T00:00:00"/>
        <d v="2025-01-27T00:00:00"/>
        <d v="2024-07-27T00:00:00"/>
        <d v="2024-02-02T00:00:00"/>
        <d v="2024-12-11T00:00:00"/>
        <d v="2024-01-18T00:00:00"/>
        <d v="2026-03-13T00:00:00"/>
        <d v="2024-04-17T00:00:00"/>
        <d v="2025-02-01T00:00:00"/>
        <d v="2024-09-25T00:00:00"/>
        <d v="2025-03-25T00:00:00"/>
        <d v="2024-06-29T00:00:00"/>
        <d v="2024-04-16T00:00:00"/>
        <d v="2024-06-08T00:00:00"/>
        <d v="2024-05-25T00:00:00"/>
        <d v="2024-02-14T00:00:00"/>
        <d v="2026-01-12T00:00:00"/>
        <d v="2025-11-15T00:00:00"/>
        <d v="2024-01-29T00:00:00"/>
        <d v="2024-10-16T00:00:00"/>
        <d v="2025-05-03T00:00:00"/>
        <d v="2024-04-29T00:00:00"/>
        <d v="2025-03-11T00:00:00"/>
        <d v="2024-09-08T00:00:00"/>
        <d v="2025-01-06T00:00:00"/>
        <d v="2025-02-08T00:00:00"/>
        <d v="2024-10-09T00:00:00"/>
        <d v="2024-07-15T00:00:00"/>
        <d v="2024-02-08T00:00:00"/>
        <d v="2024-11-24T00:00:00"/>
        <d v="2026-01-14T00:00:00"/>
        <d v="2024-12-03T00:00:00"/>
        <d v="2024-10-18T00:00:00"/>
        <d v="2024-03-19T00:00:00"/>
        <d v="2024-06-12T00:00:00"/>
        <d v="2024-07-23T00:00:00"/>
        <d v="2024-09-04T00:00:00"/>
        <d v="2024-03-05T00:00:00"/>
        <d v="2024-06-24T00:00:00"/>
        <d v="2024-06-01T00:00:00"/>
        <d v="2024-04-01T00:00:00"/>
        <d v="2024-05-13T00:00:00"/>
        <d v="2024-02-17T00:00:00"/>
        <d v="2024-03-31T00:00:00"/>
        <d v="2024-03-10T00:00:00"/>
        <d v="2025-06-13T00:00:00"/>
        <d v="2024-10-28T00:00:00"/>
        <d v="2025-05-25T00:00:00"/>
        <d v="2026-05-02T00:00:00"/>
        <d v="2024-01-30T00:00:00"/>
        <d v="2024-12-23T00:00:00"/>
        <d v="2024-02-06T00:00:00"/>
        <d v="2024-01-23T00:00:00"/>
        <d v="2024-08-09T00:00:00"/>
        <d v="2024-01-25T00:00:00"/>
        <d v="2024-10-02T00:00:00"/>
        <d v="2025-09-06T00:00:00"/>
        <d v="2024-07-11T00:00:00"/>
        <d v="2024-03-04T00:00:00"/>
        <d v="2024-09-07T00:00:00"/>
        <d v="2024-07-17T00:00:00"/>
        <d v="2025-03-01T00:00:00"/>
        <d v="2025-02-24T00:00:00"/>
        <d v="2025-03-03T00:00:00"/>
        <d v="2024-05-21T00:00:00"/>
        <d v="2024-08-08T00:00:00"/>
        <d v="2024-08-16T00:00:00"/>
        <d v="2024-11-26T00:00:00"/>
        <d v="2025-10-06T00:00:00"/>
        <d v="2024-03-09T00:00:00"/>
        <d v="2025-01-24T00:00:00"/>
        <d v="2024-04-10T00:00:00"/>
        <d v="2024-06-04T00:00:00"/>
        <d v="2024-03-28T00:00:00"/>
        <d v="2024-04-11T00:00:00"/>
        <d v="2025-04-14T00:00:00"/>
        <d v="2024-02-29T00:00:00"/>
        <d v="2025-07-28T00:00:00"/>
        <d v="2025-12-12T00:00:00"/>
        <d v="2024-08-19T00:00:00"/>
        <d v="2024-10-06T00:00:00"/>
        <d v="2024-07-26T00:00:00"/>
        <d v="2024-08-05T00:00:00"/>
        <d v="2024-06-07T00:00:00"/>
        <d v="2024-08-17T00:00:00"/>
        <d v="2024-10-10T00:00:00"/>
        <d v="2025-03-15T00:00:00"/>
        <d v="2024-10-12T00:00:00"/>
        <d v="2024-05-03T00:00:00"/>
        <d v="2024-07-01T00:00:00"/>
        <d v="2024-04-09T00:00:00"/>
        <d v="2026-02-19T00:00:00"/>
        <d v="2024-05-26T00:00:00"/>
        <d v="2024-12-02T00:00:00"/>
        <d v="2025-06-03T00:00:00"/>
        <d v="2025-10-17T00:00:00"/>
        <d v="2025-12-20T00:00:00"/>
        <d v="2025-09-07T00:00:00"/>
        <d v="2025-03-10T00:00:00"/>
        <d v="2025-05-05T00:00:00"/>
        <d v="2024-06-14T00:00:00"/>
        <d v="2024-04-21T00:00:00"/>
        <d v="2024-12-04T00:00:00"/>
        <d v="2025-10-10T00:00:00"/>
        <d v="2024-09-29T00:00:00"/>
        <d v="2024-09-19T00:00:00"/>
        <d v="2025-09-22T00:00:00"/>
        <d v="2025-09-26T00:00:00"/>
        <d v="2025-08-21T00:00:00"/>
        <d v="2024-08-01T00:00:00"/>
        <d v="2024-08-21T00:00:00"/>
        <d v="2024-05-05T00:00:00"/>
        <d v="2024-09-11T00:00:00"/>
        <d v="2024-09-15T00:00:00"/>
        <d v="2024-09-03T00:00:00"/>
        <d v="2024-05-30T00:00:00"/>
        <d v="2024-08-28T00:00:00"/>
        <d v="2025-02-02T00:00:00"/>
        <d v="2025-08-15T00:00:00"/>
        <d v="2026-05-04T00:00:00"/>
        <d v="2024-04-27T00:00:00"/>
        <d v="2024-12-14T00:00:00"/>
        <d v="2024-06-17T00:00:00"/>
        <d v="2024-06-26T00:00:00"/>
        <d v="2025-06-24T00:00:00"/>
        <d v="2024-10-05T00:00:00"/>
        <d v="2025-12-29T00:00:00"/>
        <d v="2024-10-20T00:00:00"/>
        <d v="2024-11-18T00:00:00"/>
        <d v="2024-11-02T00:00:00"/>
        <d v="2026-01-31T00:00:00"/>
        <d v="2025-02-16T00:00:00"/>
        <d v="2024-05-19T00:00:00"/>
        <d v="2024-09-01T00:00:00"/>
        <d v="2025-02-22T00:00:00"/>
        <d v="2025-08-12T00:00:00"/>
        <d v="2025-01-31T00:00:00"/>
        <d v="2024-10-03T00:00:00"/>
        <d v="2025-09-01T00:00:00"/>
        <d v="2025-09-23T00:00:00"/>
        <d v="2025-10-15T00:00:00"/>
        <d v="2024-06-15T00:00:00"/>
        <d v="2025-02-07T00:00:00"/>
        <d v="2025-04-19T00:00:00"/>
        <d v="2024-07-21T00:00:00"/>
        <d v="2025-01-13T00:00:00"/>
        <d v="2024-11-12T00:00:00"/>
        <d v="2024-11-01T00:00:00"/>
        <d v="2025-04-11T00:00:00"/>
        <d v="2024-09-18T00:00:00"/>
        <d v="2025-08-13T00:00:00"/>
        <d v="2025-07-05T00:00:00"/>
        <d v="2024-09-27T00:00:00"/>
        <d v="2025-06-25T00:00:00"/>
        <d v="2025-05-13T00:00:00"/>
        <d v="2025-02-15T00:00:00"/>
        <d v="2025-02-19T00:00:00"/>
        <d v="2025-04-08T00:00:00"/>
        <d v="2025-08-24T00:00:00"/>
        <d v="2024-06-03T00:00:00"/>
        <d v="2024-10-17T00:00:00"/>
        <d v="2024-11-06T00:00:00"/>
        <d v="2025-03-07T00:00:00"/>
        <d v="2024-10-21T00:00:00"/>
        <d v="2024-12-06T00:00:00"/>
        <d v="2024-12-16T00:00:00"/>
        <d v="2025-04-09T00:00:00"/>
        <d v="2024-06-23T00:00:00"/>
        <d v="2025-09-12T00:00:00"/>
        <d v="2024-08-13T00:00:00"/>
        <d v="2024-07-09T00:00:00"/>
        <d v="2025-11-29T00:00:00"/>
        <d v="2025-07-11T00:00:00"/>
        <d v="2025-03-13T00:00:00"/>
        <d v="2024-12-21T00:00:00"/>
        <d v="2024-09-05T00:00:00"/>
        <d v="2024-12-15T00:00:00"/>
        <d v="2025-01-18T00:00:00"/>
        <d v="2025-03-22T00:00:00"/>
        <d v="2025-05-17T00:00:00"/>
        <d v="2024-09-20T00:00:00"/>
        <d v="2025-10-25T00:00:00"/>
        <d v="2025-05-15T00:00:00"/>
        <d v="2025-10-14T00:00:00"/>
        <d v="2025-10-20T00:00:00"/>
        <d v="2024-09-30T00:00:00"/>
        <d v="2025-03-12T00:00:00"/>
        <d v="2024-09-21T00:00:00"/>
        <d v="2025-01-04T00:00:00"/>
        <d v="2025-04-07T00:00:00"/>
        <d v="2025-01-20T00:00:00"/>
        <d v="2025-01-21T00:00:00"/>
        <d v="2024-10-01T00:00:00"/>
        <d v="2025-06-10T00:00:00"/>
        <d v="2024-08-27T00:00:00"/>
        <d v="2024-10-07T00:00:00"/>
        <d v="2024-10-15T00:00:00"/>
        <d v="2025-06-27T00:00:00"/>
        <d v="2025-07-07T00:00:00"/>
        <d v="2025-02-17T00:00:00"/>
        <d v="2025-01-05T00:00:00"/>
        <d v="2024-09-23T00:00:00"/>
        <d v="2025-11-24T00:00:00"/>
        <d v="2025-07-06T00:00:00"/>
        <d v="2024-10-19T00:00:00"/>
        <d v="2025-02-11T00:00:00"/>
        <d v="2024-11-27T00:00:00"/>
        <d v="2024-10-29T00:00:00"/>
        <d v="2025-08-14T00:00:00"/>
        <d v="2024-10-22T00:00:00"/>
        <d v="2024-10-26T00:00:00"/>
        <d v="2025-06-06T00:00:00"/>
        <d v="2026-04-13T00:00:00"/>
        <d v="2025-05-14T00:00:00"/>
        <d v="2025-05-19T00:00:00"/>
        <d v="2025-03-08T00:00:00"/>
        <d v="2025-04-29T00:00:00"/>
        <d v="2025-10-07T00:00:00"/>
        <d v="2025-04-02T00:00:00"/>
        <d v="2026-01-10T00:00:00"/>
        <d v="2025-08-22T00:00:00"/>
        <d v="2025-03-14T00:00:00"/>
        <d v="2025-01-30T00:00:00"/>
        <d v="2025-09-10T00:00:00"/>
        <d v="2024-12-13T00:00:00"/>
        <d v="2024-11-08T00:00:00"/>
        <d v="2025-11-01T00:00:00"/>
        <d v="2024-12-12T00:00:00"/>
        <d v="2024-11-11T00:00:00"/>
        <d v="2025-04-26T00:00:00"/>
        <d v="2024-11-25T00:00:00"/>
        <d v="2025-02-12T00:00:00"/>
        <d v="2024-10-13T00:00:00"/>
        <d v="2024-11-13T00:00:00"/>
        <d v="2025-02-03T00:00:00"/>
        <d v="2025-03-05T00:00:00"/>
        <d v="2024-11-29T00:00:00"/>
        <d v="2024-12-08T00:00:00"/>
        <d v="2025-06-19T00:00:00"/>
        <d v="2025-05-04T00:00:00"/>
        <d v="2025-07-14T00:00:00"/>
        <d v="2025-03-16T00:00:00"/>
        <d v="2024-12-22T00:00:00"/>
        <d v="2026-02-27T00:00:00"/>
        <d v="2025-05-18T00:00:00"/>
        <d v="2025-12-25T00:00:00"/>
        <d v="2025-10-24T00:00:00"/>
        <d v="2025-05-30T00:00:00"/>
        <d v="2026-04-05T00:00:00"/>
        <d v="2025-05-06T00:00:00"/>
        <d v="2025-06-16T00:00:00"/>
        <d v="2026-02-13T00:00:00"/>
        <d v="2024-12-05T00:00:00"/>
        <d v="2025-08-30T00:00:00"/>
        <d v="2025-02-04T00:00:00"/>
        <d v="2025-10-04T00:00:00"/>
        <d v="2025-02-21T00:00:00"/>
        <d v="2025-07-01T00:00:00"/>
        <d v="2025-07-10T00:00:00"/>
        <d v="2026-02-16T00:00:00"/>
        <d v="2025-01-08T00:00:00"/>
        <d v="2025-03-24T00:00:00"/>
        <d v="2025-07-08T00:00:00"/>
        <d v="2025-10-29T00:00:00"/>
        <d v="2025-04-24T00:00:00"/>
        <d v="2026-03-11T00:00:00"/>
        <d v="2025-03-31T00:00:00"/>
        <d v="2025-04-27T00:00:00"/>
        <d v="2025-07-04T00:00:00"/>
        <d v="2025-07-15T00:00:00"/>
        <d v="2025-05-09T00:00:00"/>
        <d v="2026-02-12T00:00:00"/>
        <d v="2025-08-28T00:00:00"/>
        <d v="2025-05-12T00:00:00"/>
        <d v="2025-06-28T00:00:00"/>
        <d v="2025-09-02T00:00:00"/>
        <d v="2025-03-17T00:00:00"/>
        <d v="2025-08-05T00:00:00"/>
        <d v="2026-01-18T00:00:00"/>
        <d v="2025-06-05T00:00:00"/>
        <d v="2025-04-12T00:00:00"/>
        <d v="2025-10-21T00:00:00"/>
        <d v="2025-04-01T00:00:00"/>
        <d v="2026-02-23T00:00:00"/>
        <d v="2026-01-16T00:00:00"/>
        <d v="2025-12-01T00:00:00"/>
        <d v="2025-04-21T00:00:00"/>
        <d v="2025-04-18T00:00:00"/>
        <d v="2025-05-08T00:00:00"/>
        <d v="2025-08-23T00:00:00"/>
        <d v="2025-03-21T00:00:00"/>
        <d v="2025-11-27T00:00:00"/>
        <d v="2026-01-26T00:00:00"/>
        <d v="2025-04-28T00:00:00"/>
        <d v="2025-09-25T00:00:00"/>
        <d v="2025-11-28T00:00:00"/>
        <d v="2025-04-10T00:00:00"/>
        <d v="2025-05-21T00:00:00"/>
        <d v="2025-05-07T00:00:00"/>
        <d v="2025-07-02T00:00:00"/>
        <d v="2025-07-09T00:00:00"/>
        <d v="2025-05-29T00:00:00"/>
        <d v="2025-10-08T00:00:00"/>
        <d v="2026-04-29T00:00:00"/>
        <d v="2025-06-20T00:00:00"/>
        <d v="2026-03-08T00:00:00"/>
        <d v="2025-07-20T00:00:00"/>
        <d v="2025-09-16T00:00:00"/>
        <d v="2025-12-04T00:00:00"/>
        <d v="2025-06-02T00:00:00"/>
        <d v="2025-07-19T00:00:00"/>
        <d v="2025-05-16T00:00:00"/>
        <d v="2025-06-22T00:00:00"/>
        <d v="2026-03-05T00:00:00"/>
        <d v="1899-12-30T07:03:00"/>
        <d v="2025-07-31T00:00:00"/>
        <d v="2025-12-02T00:00:00"/>
        <d v="2025-07-12T00:00:00"/>
        <d v="2026-01-30T00:00:00"/>
        <d v="2025-06-15T00:00:00"/>
        <d v="2025-06-17T00:00:00"/>
        <d v="2025-08-10T00:00:00"/>
        <d v="2025-07-30T00:00:00"/>
        <d v="2026-01-23T00:00:00"/>
        <d v="2025-07-18T00:00:00"/>
        <d v="2025-11-10T00:00:00"/>
        <d v="2025-12-16T00:00:00"/>
        <d v="2026-04-22T00:00:00"/>
        <d v="2025-08-11T00:00:00"/>
        <d v="2025-11-06T00:00:00"/>
        <d v="2025-08-29T00:00:00"/>
        <d v="2026-03-25T00:00:00"/>
        <d v="2025-05-10T00:00:00"/>
        <d v="2025-11-03T00:00:00"/>
        <d v="2025-07-26T00:00:00"/>
        <d v="2025-07-16T00:00:00"/>
        <d v="2025-12-27T00:00:00"/>
        <d v="2025-08-31T00:00:00"/>
        <d v="2025-12-11T00:00:00"/>
        <d v="2025-08-27T00:00:00"/>
        <d v="2025-09-11T00:00:00"/>
        <d v="2026-02-26T00:00:00"/>
        <d v="2025-09-15T00:00:00"/>
        <d v="2025-11-14T00:00:00"/>
        <d v="2025-11-18T00:00:00"/>
        <d v="2025-11-19T00:00:00"/>
        <d v="2025-12-28T00:00:00"/>
        <d v="2025-10-13T00:00:00"/>
        <d v="2025-08-26T00:00:00"/>
        <d v="2026-02-06T00:00:00"/>
        <d v="2025-12-30T00:00:00"/>
        <d v="2025-08-25T00:00:00"/>
        <d v="2025-12-24T00:00:00"/>
        <d v="2026-02-08T00:00:00"/>
        <d v="2026-01-17T00:00:00"/>
        <d v="2025-10-12T00:00:00"/>
        <d v="2025-09-13T00:00:00"/>
        <d v="2026-03-07T00:00:00"/>
        <d v="2025-11-09T00:00:00"/>
        <d v="2025-11-20T00:00:00"/>
        <d v="2026-04-25T00:00:00"/>
        <d v="2026-03-12T00:00:00"/>
        <d v="2025-12-19T00:00:00"/>
        <d v="2026-04-21T00:00:00"/>
        <d v="2025-10-11T00:00:00"/>
        <d v="2026-04-01T00:00:00"/>
        <d v="2026-03-09T00:00:00"/>
        <d v="2026-04-07T00:00:00"/>
        <d v="2025-11-13T00:00:00"/>
        <d v="2026-02-07T00:00:00"/>
        <d v="2025-12-08T00:00:00"/>
        <d v="2026-03-17T00:00:00"/>
        <d v="2026-04-28T00:00:00"/>
        <d v="2025-10-31T00:00:00"/>
        <d v="2026-03-27T00:00:00"/>
        <d v="2025-10-27T00:00:00"/>
        <d v="2026-01-21T00:00:00"/>
        <d v="2025-12-09T00:00:00"/>
        <d v="2025-09-29T00:00:00"/>
        <d v="2026-04-23T00:00:00"/>
        <d v="2025-11-11T00:00:00"/>
        <d v="2026-02-05T00:00:00"/>
        <d v="2025-12-06T00:00:00"/>
        <d v="2026-02-22T00:00:00"/>
        <d v="2026-01-05T00:00:00"/>
        <d v="2026-03-06T00:00:00"/>
        <d v="2026-01-27T00:00:00"/>
        <d v="2026-01-15T00:00:00"/>
        <d v="2026-01-22T00:00:00"/>
        <d v="2026-03-21T00:00:00"/>
        <d v="2025-12-14T00:00:00"/>
        <d v="2026-04-10T00:00:00"/>
        <d v="2026-02-14T00:00:00"/>
        <d v="2026-03-02T00:00:00"/>
        <d v="2026-04-30T00:00:00"/>
        <d v="2026-05-06T00:00:00"/>
        <d v="2026-01-06T00:00:00"/>
        <d v="2026-04-06T00:00:00"/>
        <d v="2026-01-28T00:00:00"/>
        <d v="2026-02-03T00:00:00"/>
        <d v="2026-04-04T00:00:00"/>
        <d v="2026-05-03T00:00:00"/>
        <d v="2026-03-03T00:00:00"/>
        <d v="2026-03-15T00:00:00"/>
        <d v="2026-03-26T00:00:00"/>
        <d v="2026-04-16T00:00:00"/>
        <d v="2026-04-24T00:00:00"/>
        <d v="2026-05-07T00:00:00"/>
        <d v="2026-05-01T00:00:00"/>
        <n v="80" u="1"/>
        <n v="10" u="1"/>
        <n v="4878" u="1"/>
        <n v="58" u="1"/>
      </sharedItems>
    </cacheField>
    <cacheField name="Клиент" numFmtId="0">
      <sharedItems containsBlank="1"/>
    </cacheField>
    <cacheField name="МесяцП" numFmtId="0">
      <sharedItems containsMixedTypes="1" containsNumber="1" containsInteger="1" minValue="0" maxValue="0"/>
    </cacheField>
    <cacheField name="Чистая прибыль RUB" numFmtId="164">
      <sharedItems containsSemiMixedTypes="0" containsString="0" containsNumber="1" minValue="-6700" maxValue="3662562.5691625588"/>
    </cacheField>
    <cacheField name="% наценки" numFmtId="0">
      <sharedItems containsMixedTypes="1" containsNumber="1" minValue="-11.916720080567449" maxValue="47.387096774193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m/>
    <m/>
    <m/>
    <m/>
    <m/>
    <x v="0"/>
    <m/>
    <m/>
    <x v="0"/>
    <x v="0"/>
    <n v="5839"/>
    <n v="-105190.21601555214"/>
    <n v="-39000.287000000077"/>
    <n v="-1012.3829844478884"/>
    <n v="139321.30404262128"/>
    <n v="7924994.538071637"/>
    <n v="11587557.107234208"/>
    <x v="0"/>
    <m/>
    <n v="0"/>
    <n v="3662562.5691625588"/>
    <n v="0.81755296237975295"/>
  </r>
  <r>
    <s v="920195273"/>
    <s v="1Z095EE70248804009"/>
    <s v="iHerb_OA CZN6870"/>
    <s v="Доставлен"/>
    <d v="2022-07-12T00:00:00"/>
    <x v="1"/>
    <s v="Витамины"/>
    <s v="CGN-01033"/>
    <x v="1"/>
    <x v="1"/>
    <n v="534.78"/>
    <n v="-106.95666666666666"/>
    <n v="-70.365271859201584"/>
    <n v="66.505573402789778"/>
    <n v="237.03697292461851"/>
    <n v="1322.00121560308"/>
    <n v="1100"/>
    <x v="1"/>
    <s v="&lt;Клиент не выбран&gt;"/>
    <s v="2022 08"/>
    <n v="-222.00121560308003"/>
    <n v="-0.16792814785862803"/>
  </r>
  <r>
    <s v="920195273"/>
    <s v="1Z095EE70248804009"/>
    <s v="iHerb_OA CZN6870"/>
    <s v="Доставлен"/>
    <d v="2022-07-12T00:00:00"/>
    <x v="1"/>
    <s v="Витамины"/>
    <s v="CGN-01033"/>
    <x v="1"/>
    <x v="1"/>
    <n v="534.78"/>
    <n v="-106.95666666666666"/>
    <n v="-70.365271859201584"/>
    <n v="66.505573402789778"/>
    <n v="237.03697292461851"/>
    <n v="1322.00121560308"/>
    <n v="1100"/>
    <x v="1"/>
    <s v="&lt;Клиент не выбран&gt;"/>
    <s v="2022 08"/>
    <n v="-222.00121560308003"/>
    <n v="-0.16792814785862803"/>
  </r>
  <r>
    <s v="920195273"/>
    <s v="1Z095EE70248804009"/>
    <s v="iHerb_OA CZN6870"/>
    <s v="Доставлен"/>
    <d v="2022-07-12T00:00:00"/>
    <x v="1"/>
    <s v="Витамины"/>
    <s v="CGN-01033"/>
    <x v="1"/>
    <x v="1"/>
    <n v="534.78"/>
    <n v="-106.95666666666666"/>
    <n v="-70.365271859201584"/>
    <n v="66.505573402789778"/>
    <n v="237.03697292461851"/>
    <n v="1322.00121560308"/>
    <n v="1800"/>
    <x v="1"/>
    <s v="&lt;Клиент не выбран&gt;"/>
    <s v="2022 08"/>
    <n v="477.99878439691997"/>
    <n v="0.36157212168588138"/>
  </r>
  <r>
    <s v="920195273"/>
    <s v="1Z095EE70248804009"/>
    <s v="iHerb_OA CZN6870"/>
    <s v="Доставлен"/>
    <d v="2022-07-12T00:00:00"/>
    <x v="1"/>
    <s v="Витамины"/>
    <s v="CEN-22675"/>
    <x v="2"/>
    <x v="2"/>
    <n v="248.13"/>
    <n v="-24.82"/>
    <n v="-36.728405476275192"/>
    <n v="34.713767201205293"/>
    <n v="123.72566501078302"/>
    <n v="690.04205347142624"/>
    <n v="1500"/>
    <x v="1"/>
    <s v="&lt;Клиент не выбран&gt;"/>
    <s v="2022 08"/>
    <n v="809.95794652857376"/>
    <n v="1.1737805579440863"/>
  </r>
  <r>
    <s v="920195273"/>
    <s v="1Z095EE70248804009"/>
    <s v="iHerb_OA CZN6870"/>
    <s v="Доставлен"/>
    <d v="2022-07-12T00:00:00"/>
    <x v="1"/>
    <s v="Витамины"/>
    <s v="CEN-22673"/>
    <x v="2"/>
    <x v="3"/>
    <n v="248.89"/>
    <n v="-24.89"/>
    <n v="-36.841891660407697"/>
    <n v="34.821028404773571"/>
    <n v="124.10796185757644"/>
    <n v="692.17419720388466"/>
    <n v="1500"/>
    <x v="1"/>
    <s v="&lt;Клиент не выбран&gt;"/>
    <s v="2022 08"/>
    <n v="807.82580279611534"/>
    <n v="1.1670845374754193"/>
  </r>
  <r>
    <s v="920195273"/>
    <s v="1Z095EE70248804009"/>
    <s v="iHerb_OA CZN6870"/>
    <s v="Доставлен"/>
    <d v="2022-07-12T00:00:00"/>
    <x v="1"/>
    <s v="Витамины"/>
    <s v="CEN-28026"/>
    <x v="2"/>
    <x v="4"/>
    <n v="62.92"/>
    <n v="-6.29"/>
    <n v="-9.314090735396821"/>
    <n v="8.8031912435818178"/>
    <n v="31.376044107118549"/>
    <n v="174.99028923060709"/>
    <n v="450"/>
    <x v="2"/>
    <s v="&lt;Клиент не выбран&gt;"/>
    <s v="2022 09"/>
    <n v="275.00971076939288"/>
    <n v="1.5715712682032168"/>
  </r>
  <r>
    <s v="920195273"/>
    <s v="1Z095EE70248804009"/>
    <s v="iHerb_OA CZN6870"/>
    <s v="Доставлен"/>
    <d v="2022-07-12T00:00:00"/>
    <x v="1"/>
    <s v="Витамины"/>
    <s v="CEN-27116"/>
    <x v="2"/>
    <x v="5"/>
    <n v="186.22"/>
    <n v="-18.62"/>
    <n v="-27.565629653055041"/>
    <n v="26.05359089571451"/>
    <n v="92.859350032722375"/>
    <n v="517.89462255076364"/>
    <n v="700"/>
    <x v="1"/>
    <s v="&lt;Клиент не выбран&gt;"/>
    <s v="2022 08"/>
    <n v="182.10537744923636"/>
    <n v="0.35162631454314147"/>
  </r>
  <r>
    <s v="920195273"/>
    <s v="1Z095EE70248804009"/>
    <s v="iHerb_OA CZN6870"/>
    <s v="Доставлен"/>
    <d v="2022-07-12T00:00:00"/>
    <x v="1"/>
    <s v="Витамины"/>
    <s v="NOW-01685"/>
    <x v="3"/>
    <x v="6"/>
    <n v="378.49"/>
    <n v="-56.77"/>
    <n v="-52.914166897260557"/>
    <n v="50.011702046356049"/>
    <n v="178.2500602179442"/>
    <n v="994.13519073407952"/>
    <n v="1400"/>
    <x v="1"/>
    <s v="&lt;Клиент не выбран&gt;"/>
    <s v="2022 08"/>
    <n v="405.86480926592048"/>
    <n v="0.40825917143746393"/>
  </r>
  <r>
    <s v="920406036"/>
    <s v="1LSCXLZ000YQI0M"/>
    <s v="iHerb_AV CYG0792"/>
    <s v="Доставлен"/>
    <d v="2022-07-26T00:00:00"/>
    <x v="1"/>
    <s v="Витамины"/>
    <s v="MLI-00952"/>
    <x v="1"/>
    <x v="7"/>
    <n v="258.3"/>
    <n v="-125.45999999999998"/>
    <n v="-40.85237879767292"/>
    <n v="2.9088558498312564E-4"/>
    <n v="66.26344537815126"/>
    <n v="316.50271493212676"/>
    <n v="1000"/>
    <x v="3"/>
    <s v="&lt;Клиент не выбран&gt;"/>
    <s v="2022 11"/>
    <n v="683.49728506787324"/>
    <n v="2.1595305595228389"/>
  </r>
  <r>
    <s v="920406036"/>
    <s v="1LSCXLZ000YQI0M"/>
    <s v="iHerb_AV CYG0792"/>
    <s v="Доставлен"/>
    <d v="2022-07-26T00:00:00"/>
    <x v="1"/>
    <s v="Витамины"/>
    <s v="MLI-00952"/>
    <x v="1"/>
    <x v="7"/>
    <n v="258.3"/>
    <n v="-125.45999999999998"/>
    <n v="-40.85237879767292"/>
    <n v="2.9088558498312564E-4"/>
    <n v="66.26344537815126"/>
    <n v="316.50271493212676"/>
    <n v="1200"/>
    <x v="4"/>
    <s v="&lt;Клиент не выбран&gt;"/>
    <s v="2023 01"/>
    <n v="883.49728506787324"/>
    <n v="2.7914366714274066"/>
  </r>
  <r>
    <s v="920406036"/>
    <s v="1LSCXLZ000YQI0M"/>
    <s v="iHerb_AV CYG0792"/>
    <s v="Доставлен"/>
    <d v="2022-07-26T00:00:00"/>
    <x v="1"/>
    <s v="Витамины"/>
    <s v="MLI-00952"/>
    <x v="1"/>
    <x v="7"/>
    <n v="258.3"/>
    <n v="-125.45999999999998"/>
    <n v="-40.85237879767292"/>
    <n v="2.9088558498312564E-4"/>
    <n v="66.26344537815126"/>
    <n v="316.50271493212676"/>
    <n v="1100"/>
    <x v="5"/>
    <s v="&lt;Клиент не выбран&gt;"/>
    <s v="2023 05"/>
    <n v="783.49728506787324"/>
    <n v="2.4754836154751225"/>
  </r>
  <r>
    <s v="920406036"/>
    <s v="1LSCXLZ000YQI0M"/>
    <s v="iHerb_AV CYG0792"/>
    <s v="Доставлен"/>
    <d v="2022-07-26T00:00:00"/>
    <x v="1"/>
    <s v="Витамины"/>
    <s v="MLI-00953"/>
    <x v="1"/>
    <x v="8"/>
    <n v="627.29999999999995"/>
    <n v="-125.45999999999998"/>
    <n v="-154.33120879120878"/>
    <n v="1.098901098825141E-3"/>
    <n v="250.32857142857137"/>
    <n v="1195.6769230769228"/>
    <n v="2300"/>
    <x v="6"/>
    <s v="&lt;Клиент не выбран&gt;"/>
    <s v="2023 05"/>
    <n v="1104.3230769230772"/>
    <n v="0.92359654653302325"/>
  </r>
  <r>
    <s v="920406036"/>
    <s v="1LSCXLZ000YQI0M"/>
    <s v="iHerb_AV CYG0792"/>
    <s v="Доставлен"/>
    <d v="2022-07-26T00:00:00"/>
    <x v="1"/>
    <s v="Витамины"/>
    <s v="CGN-01033"/>
    <x v="1"/>
    <x v="1"/>
    <n v="627.29999999999995"/>
    <n v="-125.45999999999998"/>
    <n v="-154.33120879120878"/>
    <n v="1.098901098825141E-3"/>
    <n v="250.32857142857137"/>
    <n v="1195.6769230769228"/>
    <n v="2100"/>
    <x v="7"/>
    <s v="&lt;Клиент не выбран&gt;"/>
    <s v="2023 06"/>
    <n v="904.32307692307722"/>
    <n v="0.75632728161710827"/>
  </r>
  <r>
    <s v="920406036"/>
    <s v="1LSCXLZ000YQI0M"/>
    <s v="iHerb_AV CYG0792"/>
    <s v="Доставлен"/>
    <d v="2022-07-26T00:00:00"/>
    <x v="1"/>
    <s v="Витамины"/>
    <s v="CGN-01033"/>
    <x v="1"/>
    <x v="1"/>
    <n v="627.29999999999995"/>
    <n v="-125.45999999999998"/>
    <n v="-154.33120879120878"/>
    <n v="1.098901098825141E-3"/>
    <n v="250.32857142857137"/>
    <n v="1195.6769230769228"/>
    <n v="2100"/>
    <x v="7"/>
    <s v="&lt;Клиент не выбран&gt;"/>
    <s v="2023 06"/>
    <n v="904.32307692307722"/>
    <n v="0.75632728161710827"/>
  </r>
  <r>
    <s v="920406036"/>
    <s v="1LSCXLZ000YQI0M"/>
    <s v="iHerb_AV CYG0792"/>
    <s v="Доставлен"/>
    <d v="2022-07-26T00:00:00"/>
    <x v="1"/>
    <s v="Витамины"/>
    <s v="NOW-01650"/>
    <x v="3"/>
    <x v="9"/>
    <n v="244.27799999999999"/>
    <n v="-34.317"/>
    <n v="-64.569454266321898"/>
    <n v="4.5976082737610673E-4"/>
    <n v="104.73305672268904"/>
    <n v="500.25012443438897"/>
    <n v="1000"/>
    <x v="8"/>
    <s v="&lt;Клиент не выбран&gt;"/>
    <s v="2022 11"/>
    <n v="499.74987556561103"/>
    <n v="0.99900000251005727"/>
  </r>
  <r>
    <s v="920406036"/>
    <s v="1LSCXLZ000YQI0M"/>
    <s v="iHerb_AV CYG0792"/>
    <s v="Доставлен"/>
    <d v="2022-07-26T00:00:00"/>
    <x v="1"/>
    <s v="Косметика"/>
    <s v="MAV-14757"/>
    <x v="4"/>
    <x v="10"/>
    <n v="188.18999999999997"/>
    <n v="-18.818999999999999"/>
    <n v="-52.086782967032953"/>
    <n v="3.7087912085348505E-4"/>
    <n v="84.485892857142829"/>
    <n v="403.54096153846143"/>
    <n v="800"/>
    <x v="9"/>
    <s v="&lt;Клиент не выбран&gt;"/>
    <s v="2022 11"/>
    <n v="396.45903846153857"/>
    <n v="0.98245054715158608"/>
  </r>
  <r>
    <s v="920538149"/>
    <s v="1LSCXLZ000Z8LTB"/>
    <s v="iHerb_VP DFD1605"/>
    <s v="Доставлен"/>
    <d v="2022-08-04T00:00:00"/>
    <x v="2"/>
    <s v="Витамины"/>
    <s v="CGN-01066"/>
    <x v="1"/>
    <x v="11"/>
    <n v="251.6"/>
    <n v="-214.6"/>
    <n v="-4.2805362462760677"/>
    <n v="3.7632187263030798E-15"/>
    <n v="25.135054617676264"/>
    <n v="86.781777557100298"/>
    <n v="1500"/>
    <x v="10"/>
    <s v="&lt;Клиент не выбран&gt;"/>
    <s v="2022 11"/>
    <n v="1413.2182224428998"/>
    <n v="16.284734678464456"/>
  </r>
  <r>
    <s v="920538149"/>
    <s v="1LSCXLZ000Z8LTB"/>
    <s v="iHerb_VP DFD1605"/>
    <s v="Доставлен"/>
    <d v="2022-08-04T00:00:00"/>
    <x v="2"/>
    <s v="Витамины"/>
    <s v="CGN-01033"/>
    <x v="1"/>
    <x v="1"/>
    <n v="629"/>
    <n v="-125.8"/>
    <n v="-58.21529294935452"/>
    <n v="5.1179774677721882E-14"/>
    <n v="341.83674280039719"/>
    <n v="1180.2321747765641"/>
    <n v="2100"/>
    <x v="11"/>
    <s v="&lt;Клиент не выбран&gt;"/>
    <s v="2023 07"/>
    <n v="919.76782522343592"/>
    <n v="0.77931092278310576"/>
  </r>
  <r>
    <s v="920538149"/>
    <s v="1LSCXLZ000Z8LTB"/>
    <s v="iHerb_VP DFD1605"/>
    <s v="Доставлен"/>
    <d v="2022-08-04T00:00:00"/>
    <x v="2"/>
    <s v="Витамины"/>
    <s v="CGN-01033"/>
    <x v="1"/>
    <x v="1"/>
    <n v="629"/>
    <n v="-125.8"/>
    <n v="-58.21529294935452"/>
    <n v="5.1179774677721882E-14"/>
    <n v="341.83674280039719"/>
    <n v="1180.2321747765641"/>
    <n v="2100"/>
    <x v="12"/>
    <s v="&lt;Клиент не выбран&gt;"/>
    <s v="2023 08"/>
    <n v="919.76782522343592"/>
    <n v="0.77931092278310576"/>
  </r>
  <r>
    <s v="920538149"/>
    <s v="1LSCXLZ000Z8LTB"/>
    <s v="iHerb_VP DFD1605"/>
    <s v="Доставлен"/>
    <d v="2022-08-04T00:00:00"/>
    <x v="2"/>
    <s v="Витамины"/>
    <s v="MLI-00952"/>
    <x v="1"/>
    <x v="7"/>
    <n v="259"/>
    <n v="-125.985"/>
    <n v="-15.388527805362461"/>
    <n v="1.352877132105957E-14"/>
    <n v="90.360521350546151"/>
    <n v="311.98049031777555"/>
    <n v="1000"/>
    <x v="13"/>
    <s v="&lt;Клиент не выбран&gt;"/>
    <s v="2023 05"/>
    <n v="688.01950968222445"/>
    <n v="2.2053286376382859"/>
  </r>
  <r>
    <s v="920538149"/>
    <s v="1LSCXLZ000Z8LTB"/>
    <s v="iHerb_VP DFD1605"/>
    <s v="Доставлен"/>
    <d v="2022-08-04T00:00:00"/>
    <x v="2"/>
    <s v="Витамины"/>
    <s v="MLI-00952"/>
    <x v="1"/>
    <x v="7"/>
    <n v="259"/>
    <n v="-125.985"/>
    <n v="-15.388527805362461"/>
    <n v="1.352877132105957E-14"/>
    <n v="90.360521350546151"/>
    <n v="311.98049031777555"/>
    <n v="1000"/>
    <x v="13"/>
    <s v="&lt;Клиент не выбран&gt;"/>
    <s v="2023 05"/>
    <n v="688.01950968222445"/>
    <n v="2.2053286376382859"/>
  </r>
  <r>
    <s v="920538149"/>
    <s v="1LSCXLZ000Z8LTB"/>
    <s v="iHerb_VP DFD1605"/>
    <s v="Доставлен"/>
    <d v="2022-08-04T00:00:00"/>
    <x v="2"/>
    <s v="Косметика"/>
    <s v="SKE-99153"/>
    <x v="5"/>
    <x v="12"/>
    <n v="310.8"/>
    <n v="-59.2"/>
    <n v="-29.10764647467726"/>
    <n v="2.5589887338860944E-14"/>
    <n v="170.91837140019859"/>
    <n v="590.11608738828204"/>
    <n v="900"/>
    <x v="14"/>
    <s v="&lt;Клиент не выбран&gt;"/>
    <s v="2022 11"/>
    <n v="309.88391261171796"/>
    <n v="0.52512364809980494"/>
  </r>
  <r>
    <s v="920538149"/>
    <s v="1LSCXLZ000Z8LTB"/>
    <s v="iHerb_VP DFD1605"/>
    <s v="Доставлен"/>
    <d v="2022-08-04T00:00:00"/>
    <x v="2"/>
    <s v="Витамины"/>
    <s v="NOW-00372"/>
    <x v="3"/>
    <x v="13"/>
    <n v="213.86"/>
    <n v="-42.919999999999995"/>
    <n v="-19.776077457795438"/>
    <n v="1.7386070515520229E-14"/>
    <n v="116.12395233366436"/>
    <n v="400.93181231380345"/>
    <n v="1000"/>
    <x v="10"/>
    <s v="&lt;Клиент не выбран&gt;"/>
    <s v="2022 11"/>
    <n v="599.06818768619655"/>
    <n v="1.4941897082921289"/>
  </r>
  <r>
    <s v="920538149"/>
    <s v="1LSCXLZ000Z8LTB"/>
    <s v="iHerb_VP DFD1605"/>
    <s v="Доставлен"/>
    <d v="2022-08-04T00:00:00"/>
    <x v="2"/>
    <s v="Витамины"/>
    <s v="CGN-01065"/>
    <x v="1"/>
    <x v="14"/>
    <n v="222"/>
    <n v="-111"/>
    <n v="-12.841608738828203"/>
    <n v="1.1289656178909238E-14"/>
    <n v="75.405163853028796"/>
    <n v="260.34533267130087"/>
    <n v="700"/>
    <x v="15"/>
    <s v="&lt;Клиент не выбран&gt;"/>
    <s v="2022 11"/>
    <n v="439.65466732869913"/>
    <n v="1.6887365055389156"/>
  </r>
  <r>
    <s v="920538149"/>
    <s v="1LSCXLZ000Z8LTB"/>
    <s v="iHerb_VP DFD1605"/>
    <s v="Доставлен"/>
    <d v="2022-08-04T00:00:00"/>
    <x v="2"/>
    <s v="Витамины"/>
    <s v="CEN-22713"/>
    <x v="2"/>
    <x v="15"/>
    <n v="103.6"/>
    <n v="-10.360000000000001"/>
    <n v="-10.78695134061569"/>
    <n v="9.4833111902837592E-15"/>
    <n v="63.340337636544184"/>
    <n v="218.69007944389278"/>
    <n v="1200"/>
    <x v="15"/>
    <s v="&lt;Клиент не выбран&gt;"/>
    <s v="2022 11"/>
    <n v="981.30992055610727"/>
    <n v="4.4872173582426838"/>
  </r>
  <r>
    <s v="920538149"/>
    <s v="1LSCXLZ000Z8LTB"/>
    <s v="iHerb_VP DFD1605"/>
    <s v="Доставлен"/>
    <d v="2022-08-04T00:00:00"/>
    <x v="2"/>
    <s v="Витамины"/>
    <s v="DRB-00091"/>
    <x v="6"/>
    <x v="16"/>
    <n v="332.26"/>
    <n v="-32.93"/>
    <n v="-34.629538232373385"/>
    <n v="3.0444439495791913E-14"/>
    <n v="203.34259185700094"/>
    <n v="702.06458043694147"/>
    <n v="1500"/>
    <x v="16"/>
    <s v="&lt;Клиент не выбран&gt;"/>
    <s v="2022 11"/>
    <n v="797.93541956305853"/>
    <n v="1.1365555844826274"/>
  </r>
  <r>
    <s v="920706319"/>
    <s v="IHORD0000446652NPG"/>
    <s v="iHerb_MH DLE7202"/>
    <s v="Доставлен"/>
    <d v="2022-08-15T00:00:00"/>
    <x v="2"/>
    <s v="Витамины"/>
    <s v="LEX-23151"/>
    <x v="7"/>
    <x v="17"/>
    <n v="713.84"/>
    <n v="-71.38"/>
    <n v="-101.40832257959437"/>
    <n v="13.755905838663733"/>
    <n v="99.658812132606442"/>
    <n v="981.69959308751379"/>
    <n v="2200"/>
    <x v="2"/>
    <s v="&lt;Клиент не выбран&gt;"/>
    <s v="2022 09"/>
    <n v="1218.3004069124863"/>
    <n v="1.2410114208979617"/>
  </r>
  <r>
    <s v="920706319"/>
    <s v="IHORD0000446652NPG"/>
    <s v="iHerb_MH DLE7202"/>
    <s v="Доставлен"/>
    <d v="2022-08-15T00:00:00"/>
    <x v="2"/>
    <s v="Витамины"/>
    <s v="LEX-23166"/>
    <x v="7"/>
    <x v="18"/>
    <n v="387.16"/>
    <n v="-38.74"/>
    <n v="-54.995933993061463"/>
    <n v="7.4601262526962273"/>
    <n v="54.047136511600314"/>
    <n v="532.39699315685266"/>
    <n v="1500"/>
    <x v="2"/>
    <s v="&lt;Клиент не выбран&gt;"/>
    <s v="2022 09"/>
    <n v="967.60300684314734"/>
    <n v="1.817446415513613"/>
  </r>
  <r>
    <s v="920706319"/>
    <s v="IHORD0000446652NPG"/>
    <s v="iHerb_MH DLE7202"/>
    <s v="Доставлен"/>
    <d v="2022-08-15T00:00:00"/>
    <x v="2"/>
    <s v="Витамины"/>
    <s v="NBC-00450"/>
    <x v="8"/>
    <x v="19"/>
    <n v="389.25"/>
    <n v="-38.924999999999997"/>
    <n v="-55.296626416736281"/>
    <n v="7.5009147852471312"/>
    <n v="54.342641347874348"/>
    <n v="535.30789457457774"/>
    <n v="1700"/>
    <x v="1"/>
    <s v="&lt;Клиент не выбран&gt;"/>
    <s v="2022 08"/>
    <n v="1164.6921054254221"/>
    <n v="2.1757424413683109"/>
  </r>
  <r>
    <s v="920706319"/>
    <s v="IHORD0000446652NPG"/>
    <s v="iHerb_MH DLE7202"/>
    <s v="Доставлен"/>
    <d v="2022-08-15T00:00:00"/>
    <x v="2"/>
    <s v="Витамины"/>
    <s v="NBC-00450"/>
    <x v="8"/>
    <x v="19"/>
    <n v="389.25"/>
    <n v="-38.924999999999997"/>
    <n v="-55.296626416736281"/>
    <n v="7.5009147852471312"/>
    <n v="54.342641347874348"/>
    <n v="535.30789457457774"/>
    <n v="1700"/>
    <x v="1"/>
    <s v="&lt;Клиент не выбран&gt;"/>
    <s v="2022 08"/>
    <n v="1164.6921054254221"/>
    <n v="2.1757424413683109"/>
  </r>
  <r>
    <s v="920706319"/>
    <s v="IHORD0000446652NPG"/>
    <s v="iHerb_MH DLE7202"/>
    <s v="Доставлен"/>
    <d v="2022-08-15T00:00:00"/>
    <x v="2"/>
    <s v="Витамины"/>
    <s v="NOR-56780"/>
    <x v="9"/>
    <x v="20"/>
    <n v="567.03"/>
    <n v="-56.7"/>
    <n v="-80.552422348542137"/>
    <n v="10.926830349975505"/>
    <n v="79.162720785158683"/>
    <n v="779.80069317988807"/>
    <n v="2100"/>
    <x v="1"/>
    <s v="&lt;Клиент не выбран&gt;"/>
    <s v="2022 08"/>
    <n v="1320.1993068201118"/>
    <n v="1.6929958108097785"/>
  </r>
  <r>
    <s v="920706319"/>
    <s v="IHORD0000446652NPG"/>
    <s v="iHerb_MH DLE7202"/>
    <s v="Доставлен"/>
    <d v="2022-08-15T00:00:00"/>
    <x v="2"/>
    <s v="Витамины"/>
    <s v="NOW-02644"/>
    <x v="3"/>
    <x v="21"/>
    <n v="641.03"/>
    <n v="-64.099999999999994"/>
    <n v="-91.064818892764322"/>
    <n v="12.352823141518954"/>
    <n v="89.493756006077646"/>
    <n v="881.56764038224833"/>
    <n v="881.57"/>
    <x v="17"/>
    <s v="&lt;Клиент не выбран&gt;"/>
    <s v="2022 09"/>
    <n v="2.3596177517219985E-3"/>
    <n v="2.676615660142501E-6"/>
  </r>
  <r>
    <s v="920706319"/>
    <s v="IHORD0000446652NPG"/>
    <s v="iHerb_MH DLE7202"/>
    <s v="Доставлен"/>
    <d v="2022-08-15T00:00:00"/>
    <x v="2"/>
    <s v="Витамины"/>
    <s v="MLI-00952"/>
    <x v="1"/>
    <x v="7"/>
    <n v="269.72000000000003"/>
    <n v="-131.01"/>
    <n v="-21.894512382118009"/>
    <n v="2.9699618635884675"/>
    <n v="21.516785217622644"/>
    <n v="211.95335204863972"/>
    <n v="900"/>
    <x v="2"/>
    <s v="&lt;Клиент не выбран&gt;"/>
    <s v="2022 09"/>
    <n v="688.04664795136023"/>
    <n v="3.2462173459444279"/>
  </r>
  <r>
    <s v="920706319"/>
    <s v="IHORD0000446652NPG"/>
    <s v="iHerb_MH DLE7202"/>
    <s v="Доставлен"/>
    <d v="2022-08-15T00:00:00"/>
    <x v="2"/>
    <s v="Витамины"/>
    <s v="MLI-00952"/>
    <x v="1"/>
    <x v="7"/>
    <n v="269.72000000000003"/>
    <n v="-131.01"/>
    <n v="-21.894512382118009"/>
    <n v="2.9699618635884675"/>
    <n v="21.516785217622644"/>
    <n v="211.95335204863972"/>
    <n v="900"/>
    <x v="2"/>
    <s v="&lt;Клиент не выбран&gt;"/>
    <s v="2022 09"/>
    <n v="688.04664795136023"/>
    <n v="3.2462173459444279"/>
  </r>
  <r>
    <s v="920706319"/>
    <s v="IHORD0000446652NPG"/>
    <s v="iHerb_MH DLE7202"/>
    <s v="Доставлен"/>
    <d v="2022-08-15T00:00:00"/>
    <x v="2"/>
    <s v="Витамины"/>
    <s v="SOR-45931"/>
    <x v="10"/>
    <x v="22"/>
    <n v="180.27"/>
    <n v="-18.02"/>
    <n v="-25.610155244745485"/>
    <n v="3.4739839403592301"/>
    <n v="25.168325294205705"/>
    <n v="247.92323098472917"/>
    <n v="900"/>
    <x v="1"/>
    <s v="&lt;Клиент не выбран&gt;"/>
    <s v="2022 08"/>
    <n v="652.07676901527088"/>
    <n v="2.6301559818548652"/>
  </r>
  <r>
    <s v="920706319"/>
    <s v="IHORD0000446652NPG"/>
    <s v="iHerb_MH DLE7202"/>
    <s v="Доставлен"/>
    <d v="2022-08-15T00:00:00"/>
    <x v="2"/>
    <s v="Витамины"/>
    <s v="CEN-27387"/>
    <x v="2"/>
    <x v="23"/>
    <n v="808.85"/>
    <n v="-80.88"/>
    <n v="-114.90554522969104"/>
    <n v="15.586786373271549"/>
    <n v="112.92317882541094"/>
    <n v="1112.3616299534872"/>
    <n v="2500"/>
    <x v="1"/>
    <s v="&lt;Клиент не выбран&gt;"/>
    <s v="2022 08"/>
    <n v="1387.6383700465128"/>
    <n v="1.2474705461609066"/>
  </r>
  <r>
    <s v="920706319"/>
    <s v="IHORD0000446652NPG"/>
    <s v="iHerb_MH DLE7202"/>
    <s v="Доставлен"/>
    <d v="2022-08-15T00:00:00"/>
    <x v="2"/>
    <s v="Витамины"/>
    <s v="CGN-00931"/>
    <x v="1"/>
    <x v="24"/>
    <n v="192.66"/>
    <n v="-154.13"/>
    <n v="-6.0817213040372486"/>
    <n v="0.82497751138392061"/>
    <n v="5.9767986045346424"/>
    <n v="58.875082217821983"/>
    <n v="600"/>
    <x v="18"/>
    <s v="&lt;Клиент не выбран&gt;"/>
    <s v="2022 09"/>
    <n v="541.12491778217804"/>
    <n v="9.191068570913604"/>
  </r>
  <r>
    <s v="920706319"/>
    <s v="IHORD0000446652NPG"/>
    <s v="iHerb_MH DLE7202"/>
    <s v="Доставлен"/>
    <d v="2022-08-15T00:00:00"/>
    <x v="2"/>
    <s v="Витамины"/>
    <s v="NAP-03770"/>
    <x v="11"/>
    <x v="25"/>
    <n v="347.52"/>
    <n v="-34.75"/>
    <n v="-49.368802809855438"/>
    <n v="6.6968132944601315"/>
    <n v="48.517085376078391"/>
    <n v="477.9226437910246"/>
    <n v="1000"/>
    <x v="1"/>
    <s v="&lt;Клиент не выбран&gt;"/>
    <s v="2022 08"/>
    <n v="522.0773562089754"/>
    <n v="1.0923888269191484"/>
  </r>
  <r>
    <s v="513638852"/>
    <s v="IHORD0000452586NPG"/>
    <s v="iHerb_OA CZN6870"/>
    <s v="Доставлен"/>
    <d v="2022-08-20T00:00:00"/>
    <x v="2"/>
    <s v="Витамины"/>
    <s v="SBL-00121"/>
    <x v="12"/>
    <x v="26"/>
    <n v="892.38"/>
    <n v="-89.26"/>
    <n v="-0.85966256248842832"/>
    <n v="20.40188367894844"/>
    <n v="154.89415540332041"/>
    <n v="1466.3345647796707"/>
    <n v="2600"/>
    <x v="18"/>
    <s v="&lt;Клиент не выбран&gt;"/>
    <s v="2022 09"/>
    <n v="1133.6654352203293"/>
    <n v="0.77312876777931794"/>
  </r>
  <r>
    <s v="513638852"/>
    <s v="IHORD0000452586NPG"/>
    <s v="iHerb_OA CZN6870"/>
    <s v="Доставлен"/>
    <d v="2022-08-20T00:00:00"/>
    <x v="2"/>
    <s v="Витамины"/>
    <s v="NOW-02120"/>
    <x v="3"/>
    <x v="27"/>
    <n v="327.73"/>
    <n v="-32.770000000000003"/>
    <n v="-0.31572625439733393"/>
    <n v="7.4929519996297342"/>
    <n v="56.887613404925041"/>
    <n v="538.53725872523614"/>
    <n v="905"/>
    <x v="2"/>
    <s v="&lt;Клиент не выбран&gt;"/>
    <s v="2022 09"/>
    <n v="366.46274127476386"/>
    <n v="0.68047797127762821"/>
  </r>
  <r>
    <s v="513638852"/>
    <s v="IHORD0000452586NPG"/>
    <s v="iHerb_OA CZN6870"/>
    <s v="Доставлен"/>
    <d v="2022-08-20T00:00:00"/>
    <x v="2"/>
    <s v="Витамины"/>
    <s v="MLI-00952"/>
    <x v="1"/>
    <x v="7"/>
    <n v="269.72000000000003"/>
    <n v="-131.01"/>
    <n v="-0.14847568737270883"/>
    <n v="3.5236892184317896"/>
    <n v="26.75237610319078"/>
    <n v="253.25638445137488"/>
    <n v="900"/>
    <x v="19"/>
    <s v="&lt;Клиент не выбран&gt;"/>
    <s v="2022 09"/>
    <n v="646.74361554862514"/>
    <n v="2.5537110029808532"/>
  </r>
  <r>
    <s v="513638852"/>
    <s v="IHORD0000452586NPG"/>
    <s v="iHerb_OA CZN6870"/>
    <s v="Доставлен"/>
    <d v="2022-08-20T00:00:00"/>
    <x v="2"/>
    <s v="Витамины"/>
    <s v="MLI-00952"/>
    <x v="1"/>
    <x v="7"/>
    <n v="269.72000000000003"/>
    <n v="-131.01"/>
    <n v="-0.14847568737270883"/>
    <n v="3.5236892184317896"/>
    <n v="26.75237610319078"/>
    <n v="253.25638445137488"/>
    <n v="900"/>
    <x v="18"/>
    <s v="&lt;Клиент не выбран&gt;"/>
    <s v="2022 09"/>
    <n v="646.74361554862514"/>
    <n v="2.5537110029808532"/>
  </r>
  <r>
    <s v="513638852"/>
    <s v="IHORD0000452586NPG"/>
    <s v="iHerb_OA CZN6870"/>
    <s v="Доставлен"/>
    <d v="2022-08-20T00:00:00"/>
    <x v="2"/>
    <s v="Витамины"/>
    <s v="LEX-36110"/>
    <x v="7"/>
    <x v="28"/>
    <n v="225.02"/>
    <n v="-22.5"/>
    <n v="-0.21677814293649331"/>
    <n v="5.1446726300685306"/>
    <n v="39.059124853422212"/>
    <n v="369.76052901083136"/>
    <n v="745"/>
    <x v="2"/>
    <s v="&lt;Клиент не выбран&gt;"/>
    <s v="2022 09"/>
    <n v="375.23947098916864"/>
    <n v="1.0148175414855509"/>
  </r>
  <r>
    <s v="513638852"/>
    <s v="IHORD0000452586NPG"/>
    <s v="iHerb_OA CZN6870"/>
    <s v="Доставлен"/>
    <d v="2022-08-20T00:00:00"/>
    <x v="2"/>
    <s v="Косметика"/>
    <s v="EUC-03226"/>
    <x v="13"/>
    <x v="29"/>
    <n v="580.12"/>
    <n v="-58.01"/>
    <n v="-0.55886843871505298"/>
    <n v="13.263307460424057"/>
    <n v="100.6970159846942"/>
    <n v="953.26718250960471"/>
    <n v="1500"/>
    <x v="1"/>
    <s v="&lt;Клиент не выбран&gt;"/>
    <s v="2022 08"/>
    <n v="546.73281749039529"/>
    <n v="0.57353575946152602"/>
  </r>
  <r>
    <s v="513638852"/>
    <s v="IHORD0000452586NPG"/>
    <s v="iHerb_OA CZN6870"/>
    <s v="Доставлен"/>
    <d v="2022-08-20T00:00:00"/>
    <x v="2"/>
    <s v="Косметика"/>
    <s v="EUC-03226"/>
    <x v="13"/>
    <x v="29"/>
    <n v="580.12"/>
    <n v="-58.01"/>
    <n v="-0.55886843871505298"/>
    <n v="13.263307460424057"/>
    <n v="100.6970159846942"/>
    <n v="953.26718250960471"/>
    <m/>
    <x v="20"/>
    <m/>
    <s v=""/>
    <n v="-953.26718250960471"/>
    <s v=""/>
  </r>
  <r>
    <s v="513638852"/>
    <s v="IHORD0000452586NPG"/>
    <s v="iHerb_OA CZN6870"/>
    <s v="Доставлен"/>
    <d v="2022-08-20T00:00:00"/>
    <x v="2"/>
    <s v="Витамины"/>
    <s v="NOW-01482"/>
    <x v="3"/>
    <x v="30"/>
    <n v="323.10000000000002"/>
    <n v="-32.299999999999997"/>
    <n v="-0.31127337530087029"/>
    <n v="7.3872743473431202"/>
    <n v="56.08529284700365"/>
    <n v="530.94194072856885"/>
    <n v="900"/>
    <x v="1"/>
    <s v="&lt;Клиент не выбран&gt;"/>
    <s v="2022 08"/>
    <n v="369.05805927143115"/>
    <n v="0.69510059567907279"/>
  </r>
  <r>
    <s v="513638852"/>
    <s v="IHORD0000452586NPG"/>
    <s v="iHerb_OA CZN6870"/>
    <s v="Доставлен"/>
    <d v="2022-08-20T00:00:00"/>
    <x v="2"/>
    <s v="Косметика"/>
    <s v="MBN-01707"/>
    <x v="14"/>
    <x v="31"/>
    <n v="115.6"/>
    <n v="-23.12"/>
    <n v="-9.8990927605998896E-2"/>
    <n v="2.3492955008331897"/>
    <n v="17.836203172252052"/>
    <n v="168.84976161821885"/>
    <n v="300"/>
    <x v="21"/>
    <s v="&lt;Клиент не выбран&gt;"/>
    <s v="2022 10"/>
    <n v="131.15023838178115"/>
    <n v="0.77672741213766727"/>
  </r>
  <r>
    <s v="513638852"/>
    <s v="IHORD0000452586NPG"/>
    <s v="iHerb_OA CZN6870"/>
    <s v="Доставлен"/>
    <d v="2022-08-20T00:00:00"/>
    <x v="2"/>
    <s v="Витамины"/>
    <s v="CGN-01065"/>
    <x v="1"/>
    <x v="14"/>
    <n v="231.19"/>
    <n v="-192.66"/>
    <n v="-4.1242651823736355E-2"/>
    <n v="0.97878844774116369"/>
    <n v="7.4311084367092528"/>
    <n v="70.347981348940024"/>
    <n v="700"/>
    <x v="18"/>
    <s v="&lt;Клиент не выбран&gt;"/>
    <s v="2022 09"/>
    <n v="629.65201865105996"/>
    <n v="8.9505342808325992"/>
  </r>
  <r>
    <s v="513638852"/>
    <s v="IHORD0000452586NPG"/>
    <s v="iHerb_OA CZN6870"/>
    <s v="Доставлен"/>
    <d v="2022-08-20T00:00:00"/>
    <x v="2"/>
    <s v="Витамины"/>
    <s v="NOW-01648"/>
    <x v="3"/>
    <x v="32"/>
    <n v="485.4"/>
    <n v="-72.81"/>
    <n v="-0.44163783327161649"/>
    <n v="10.481140037724543"/>
    <n v="79.574384373264223"/>
    <n v="753.30582986657578"/>
    <n v="1600"/>
    <x v="21"/>
    <s v="&lt;Клиент не выбран&gt;"/>
    <s v="2022 10"/>
    <n v="846.69417013342422"/>
    <n v="1.1239713494363759"/>
  </r>
  <r>
    <s v="513694859"/>
    <s v="IHORD0000457374NPG"/>
    <s v="iHerb_MH DLE7202"/>
    <s v="Доставлен"/>
    <d v="2022-08-24T00:00:00"/>
    <x v="2"/>
    <s v="Витамины"/>
    <s v="SOR-46105"/>
    <x v="10"/>
    <x v="33"/>
    <n v="239.85"/>
    <n v="-36.01"/>
    <n v="0"/>
    <n v="5.1862688875812273"/>
    <n v="32.639597769478037"/>
    <n v="362.4987999855889"/>
    <n v="750"/>
    <x v="2"/>
    <s v="&lt;Клиент не выбран&gt;"/>
    <s v="2022 09"/>
    <n v="387.5012000144111"/>
    <n v="1.0689723663356021"/>
  </r>
  <r>
    <s v="513694859"/>
    <s v="IHORD0000457374NPG"/>
    <s v="iHerb_MH DLE7202"/>
    <s v="Доставлен"/>
    <d v="2022-08-24T00:00:00"/>
    <x v="2"/>
    <s v="Витамины"/>
    <s v="NOW-01277"/>
    <x v="3"/>
    <x v="34"/>
    <n v="443.58"/>
    <n v="-66.53"/>
    <n v="0"/>
    <n v="9.5932235285640779"/>
    <n v="60.37460919830108"/>
    <n v="670.5267490902977"/>
    <n v="1500"/>
    <x v="18"/>
    <s v="&lt;Клиент не выбран&gt;"/>
    <s v="2022 09"/>
    <n v="829.4732509097023"/>
    <n v="1.2370472200177651"/>
  </r>
  <r>
    <s v="513694859"/>
    <s v="IHORD0000457374NPG"/>
    <s v="iHerb_MH DLE7202"/>
    <s v="Доставлен"/>
    <d v="2022-08-24T00:00:00"/>
    <x v="2"/>
    <s v="Косметика"/>
    <s v="PAL-04545"/>
    <x v="15"/>
    <x v="35"/>
    <n v="399.98"/>
    <n v="-59.99"/>
    <n v="0"/>
    <n v="8.6503118087163529"/>
    <n v="54.44042801042405"/>
    <n v="604.62110972871062"/>
    <n v="1100"/>
    <x v="2"/>
    <s v="&lt;Клиент не выбран&gt;"/>
    <s v="2022 09"/>
    <n v="495.37889027128938"/>
    <n v="0.81932119520862001"/>
  </r>
  <r>
    <s v="513694859"/>
    <s v="IHORD0000457374NPG"/>
    <s v="iHerb_MH DLE7202"/>
    <s v="Доставлен"/>
    <d v="2022-08-24T00:00:00"/>
    <x v="2"/>
    <s v="Витамины"/>
    <s v="NWY-14850"/>
    <x v="16"/>
    <x v="36"/>
    <n v="1202.0999999999999"/>
    <n v="-180.315"/>
    <n v="0"/>
    <n v="25.997114184150231"/>
    <n v="163.61190839327961"/>
    <n v="1817.0910338661447"/>
    <n v="4450"/>
    <x v="2"/>
    <s v="&lt;Клиент не выбран&gt;"/>
    <s v="2022 09"/>
    <n v="2632.9089661338553"/>
    <n v="1.4489692134641876"/>
  </r>
  <r>
    <s v="513694859"/>
    <s v="IHORD0000457374NPG"/>
    <s v="iHerb_MH DLE7202"/>
    <s v="Доставлен"/>
    <d v="2022-08-24T00:00:00"/>
    <x v="2"/>
    <s v="Витамины"/>
    <s v="NWY-14850"/>
    <x v="16"/>
    <x v="36"/>
    <n v="1202.0999999999999"/>
    <n v="-180.315"/>
    <n v="0"/>
    <n v="25.997114184150231"/>
    <n v="163.61190839327961"/>
    <n v="1817.0910338661447"/>
    <n v="4450"/>
    <x v="2"/>
    <s v="&lt;Клиент не выбран&gt;"/>
    <s v="2022 09"/>
    <n v="2632.9089661338553"/>
    <n v="1.4489692134641876"/>
  </r>
  <r>
    <s v="513694859"/>
    <s v="IHORD0000457374NPG"/>
    <s v="iHerb_MH DLE7202"/>
    <s v="Доставлен"/>
    <d v="2022-08-24T00:00:00"/>
    <x v="2"/>
    <s v="Витамины"/>
    <s v="MLI-00952"/>
    <x v="1"/>
    <x v="7"/>
    <n v="269.72000000000003"/>
    <n v="-138.71"/>
    <n v="0"/>
    <n v="3.3332667139031433"/>
    <n v="20.977794857630094"/>
    <n v="232.98159235729992"/>
    <n v="900"/>
    <x v="22"/>
    <s v="&lt;Клиент не выбран&gt;"/>
    <s v="2022 10"/>
    <n v="667.01840764270014"/>
    <n v="2.8629661291857023"/>
  </r>
  <r>
    <s v="513694859"/>
    <s v="IHORD0000457374NPG"/>
    <s v="iHerb_MH DLE7202"/>
    <s v="Доставлен"/>
    <d v="2022-08-24T00:00:00"/>
    <x v="2"/>
    <s v="Витамины"/>
    <s v="NOW-01652"/>
    <x v="3"/>
    <x v="37"/>
    <n v="467.99"/>
    <n v="-70.194999999999993"/>
    <n v="0"/>
    <n v="10.121035283238689"/>
    <n v="63.696373600419527"/>
    <n v="707.4186133254874"/>
    <n v="1500"/>
    <x v="23"/>
    <s v="&lt;Клиент не выбран&gt;"/>
    <s v="2022 10"/>
    <n v="792.5813866745126"/>
    <n v="1.1203852595123072"/>
  </r>
  <r>
    <s v="513694859"/>
    <s v="IHORD0000457374NPG"/>
    <s v="iHerb_MH DLE7202"/>
    <s v="Доставлен"/>
    <d v="2022-08-24T00:00:00"/>
    <x v="2"/>
    <s v="Витамины"/>
    <s v="NOW-01652"/>
    <x v="3"/>
    <x v="37"/>
    <n v="467.99"/>
    <n v="-70.194999999999993"/>
    <n v="0"/>
    <n v="10.121035283238689"/>
    <n v="63.696373600419527"/>
    <n v="707.4186133254874"/>
    <n v="1500"/>
    <x v="24"/>
    <s v="&lt;Клиент не выбран&gt;"/>
    <s v="2022 10"/>
    <n v="792.5813866745126"/>
    <n v="1.1203852595123072"/>
  </r>
  <r>
    <s v="513694859"/>
    <s v="IHORD0000457374NPG"/>
    <s v="iHerb_MH DLE7202"/>
    <s v="Доставлен"/>
    <d v="2022-08-24T00:00:00"/>
    <x v="2"/>
    <s v="Витамины"/>
    <s v="NOW-04738"/>
    <x v="3"/>
    <x v="38"/>
    <n v="320.47000000000003"/>
    <n v="-48.07"/>
    <n v="0"/>
    <n v="6.9306301264576451"/>
    <n v="43.617672843435145"/>
    <n v="484.42245445483917"/>
    <n v="1000"/>
    <x v="25"/>
    <s v="&lt;Клиент не выбран&gt;"/>
    <s v="2022 11"/>
    <n v="515.57754554516077"/>
    <n v="1.0643138871945625"/>
  </r>
  <r>
    <s v="513762663"/>
    <s v="IHORD0000461294NPG"/>
    <s v="iHerb_OA CZN6870"/>
    <s v="Доставлен"/>
    <d v="2022-08-29T00:00:00"/>
    <x v="2"/>
    <s v="Витамины"/>
    <s v="OAD-58701"/>
    <x v="17"/>
    <x v="39"/>
    <n v="524.95000000000005"/>
    <n v="-78.78"/>
    <n v="-0.44221160852048702"/>
    <n v="11.333764009729121"/>
    <n v="79.677767300988634"/>
    <n v="805.10897955329597"/>
    <n v="1700"/>
    <x v="2"/>
    <s v="&lt;Клиент не выбран&gt;"/>
    <s v="2022 09"/>
    <n v="894.89102044670403"/>
    <n v="1.1115153888150924"/>
  </r>
  <r>
    <s v="513762663"/>
    <s v="IHORD0000461294NPG"/>
    <s v="iHerb_OA CZN6870"/>
    <s v="Доставлен"/>
    <d v="2022-08-29T00:00:00"/>
    <x v="2"/>
    <s v="Витамины"/>
    <s v="HBI-02027"/>
    <x v="18"/>
    <x v="40"/>
    <n v="346.79"/>
    <n v="-52.01"/>
    <n v="-0.29216473084176242"/>
    <n v="7.488103088033597"/>
    <n v="52.642293845362609"/>
    <n v="531.92734830383165"/>
    <n v="1000"/>
    <x v="22"/>
    <s v="&lt;Клиент не выбран&gt;"/>
    <s v="2022 10"/>
    <n v="468.07265169616835"/>
    <n v="0.87995598118562968"/>
  </r>
  <r>
    <s v="513762663"/>
    <s v="IHORD0000461294NPG"/>
    <s v="iHerb_OA CZN6870"/>
    <s v="Доставлен"/>
    <d v="2022-08-29T00:00:00"/>
    <x v="2"/>
    <s v="Витамины"/>
    <s v="SOL-00102"/>
    <x v="19"/>
    <x v="41"/>
    <n v="913.54"/>
    <m/>
    <n v="-0.90543513200754333"/>
    <n v="23.206057721155478"/>
    <n v="163.14146522658439"/>
    <n v="1648.4731317235983"/>
    <n v="2800"/>
    <x v="2"/>
    <s v="&lt;Клиент не выбран&gt;"/>
    <s v="2022 09"/>
    <n v="1151.5268682764017"/>
    <n v="0.69854148430820762"/>
  </r>
  <r>
    <s v="513762663"/>
    <s v="IHORD0000461294NPG"/>
    <s v="iHerb_OA CZN6870"/>
    <s v="Доставлен"/>
    <d v="2022-08-29T00:00:00"/>
    <x v="2"/>
    <s v="Витамины"/>
    <s v="FBS-20726"/>
    <x v="20"/>
    <x v="42"/>
    <n v="249.02"/>
    <n v="-37.35"/>
    <n v="-0.20979207740442313"/>
    <n v="5.3769142433139008"/>
    <n v="37.800374307103269"/>
    <n v="381.95624470951918"/>
    <n v="900"/>
    <x v="2"/>
    <s v="&lt;Клиент не выбран&gt;"/>
    <s v="2022 09"/>
    <n v="518.04375529048082"/>
    <n v="1.3562908381939331"/>
  </r>
  <r>
    <s v="513762663"/>
    <s v="IHORD0000461294NPG"/>
    <s v="iHerb_OA CZN6870"/>
    <s v="Доставлен"/>
    <d v="2022-08-29T00:00:00"/>
    <x v="2"/>
    <s v="Витамины"/>
    <s v="NOW-01294"/>
    <x v="3"/>
    <x v="43"/>
    <n v="456.73"/>
    <n v="-68.5"/>
    <n v="-0.38478564846562668"/>
    <n v="9.8619521740527976"/>
    <n v="69.330747471284084"/>
    <n v="700.55687099530689"/>
    <n v="1350"/>
    <x v="2"/>
    <s v="&lt;Клиент не выбран&gt;"/>
    <s v="2022 09"/>
    <n v="649.44312900469311"/>
    <n v="0.92703841171667534"/>
  </r>
  <r>
    <s v="513762663"/>
    <s v="IHORD0000461294NPG"/>
    <s v="iHerb_OA CZN6870"/>
    <s v="Доставлен"/>
    <d v="2022-08-29T00:00:00"/>
    <x v="2"/>
    <s v="Витамины"/>
    <s v="JRW-13008"/>
    <x v="21"/>
    <x v="44"/>
    <n v="373.56"/>
    <n v="-56.03"/>
    <n v="-0.31471289430824617"/>
    <n v="8.0660064235813405"/>
    <n v="56.705026001485805"/>
    <n v="572.97947929613827"/>
    <n v="1050"/>
    <x v="2"/>
    <s v="&lt;Клиент не выбран&gt;"/>
    <s v="2022 09"/>
    <n v="477.02052070386173"/>
    <n v="0.83252636078668152"/>
  </r>
  <r>
    <s v="513762663"/>
    <s v="IHORD0000461294NPG"/>
    <s v="iHerb_OA CZN6870"/>
    <s v="Доставлен"/>
    <d v="2022-08-29T00:00:00"/>
    <x v="2"/>
    <s v="Витамины"/>
    <s v="AMH-16971"/>
    <x v="22"/>
    <x v="45"/>
    <n v="362.19"/>
    <n v="-54.32"/>
    <n v="-0.30513859720555464"/>
    <n v="7.8206197764872218"/>
    <n v="54.979927424424254"/>
    <n v="555.54811290555892"/>
    <n v="1050"/>
    <x v="2"/>
    <s v="&lt;Клиент не выбран&gt;"/>
    <s v="2022 09"/>
    <n v="494.45188709444108"/>
    <n v="0.89002532023449787"/>
  </r>
  <r>
    <s v="513762663"/>
    <s v="IHORD0000461294NPG"/>
    <s v="iHerb_OA CZN6870"/>
    <s v="Доставлен"/>
    <d v="2022-08-29T00:00:00"/>
    <x v="2"/>
    <s v="Витамины"/>
    <s v="NFS-03549"/>
    <x v="23"/>
    <x v="46"/>
    <n v="572.36"/>
    <n v="-85.85"/>
    <n v="-0.48219371464083666"/>
    <n v="12.358494583619056"/>
    <n v="86.881750385736325"/>
    <n v="877.9020768820717"/>
    <n v="1650"/>
    <x v="2"/>
    <s v="&lt;Клиент не выбран&gt;"/>
    <s v="2022 09"/>
    <n v="772.0979231179283"/>
    <n v="0.87948068862086082"/>
  </r>
  <r>
    <s v="513762663"/>
    <s v="IHORD0000461294NPG"/>
    <s v="iHerb_OA CZN6870"/>
    <s v="Доставлен"/>
    <d v="2022-08-29T00:00:00"/>
    <x v="2"/>
    <s v="Витамины"/>
    <s v="CGN-01066"/>
    <x v="1"/>
    <x v="11"/>
    <n v="524.03"/>
    <n v="-157.21"/>
    <n v="-0.36356559660552029"/>
    <n v="9.3180879800274212"/>
    <n v="65.507314703697347"/>
    <n v="661.92275563067892"/>
    <n v="1500"/>
    <x v="2"/>
    <s v="&lt;Клиент не выбран&gt;"/>
    <s v="2022 09"/>
    <n v="838.07724436932108"/>
    <n v="1.2661254462702412"/>
  </r>
  <r>
    <s v="513968611"/>
    <s v="IHORD0000480207NPG"/>
    <s v="iHerb_OA CZN6870"/>
    <s v="Жанна"/>
    <d v="2022-09-10T00:00:00"/>
    <x v="3"/>
    <s v="Витамины"/>
    <s v="CGN-01274"/>
    <x v="1"/>
    <x v="47"/>
    <n v="1078.8900000000001"/>
    <n v="-280.51"/>
    <n v="-1.7651769655032303"/>
    <n v="20.256598366288433"/>
    <n v="66.790479775797891"/>
    <n v="1104.577376470729"/>
    <n v="5000"/>
    <x v="26"/>
    <s v="&lt;Клиент не выбран&gt;"/>
    <s v="2024 08"/>
    <n v="3895.4226235292708"/>
    <n v="3.5266181496272013"/>
  </r>
  <r>
    <s v="513968611"/>
    <s v="IHORD0000480207NPG"/>
    <s v="iHerb_OA CZN6870"/>
    <s v="Жанна"/>
    <d v="2022-09-10T00:00:00"/>
    <x v="3"/>
    <s v="Витамины"/>
    <s v="NOW-04726"/>
    <x v="3"/>
    <x v="48"/>
    <n v="571.6"/>
    <n v="-148.61666666666667"/>
    <n v="-0.93519431447653312"/>
    <n v="10.731986646668549"/>
    <n v="35.385730818030986"/>
    <n v="585.20732060444539"/>
    <n v="586.25"/>
    <x v="27"/>
    <s v="&lt;Клиент не выбран&gt;"/>
    <s v="2023 02"/>
    <n v="1.0426793955546145"/>
    <n v="1.7817265075865049E-3"/>
  </r>
  <r>
    <s v="513968611"/>
    <s v="IHORD0000480207NPG"/>
    <s v="iHerb_OA CZN6870"/>
    <s v="Жанна"/>
    <d v="2022-09-10T00:00:00"/>
    <x v="3"/>
    <s v="Витамины"/>
    <s v="NOW-04726"/>
    <x v="3"/>
    <x v="48"/>
    <n v="571.6"/>
    <n v="-148.61666666666667"/>
    <n v="-0.93519431447653312"/>
    <n v="10.731986646668549"/>
    <n v="35.385730818030986"/>
    <n v="585.20732060444539"/>
    <n v="586.25"/>
    <x v="27"/>
    <s v="&lt;Клиент не выбран&gt;"/>
    <s v="2023 02"/>
    <n v="1.0426793955546145"/>
    <n v="1.7817265075865049E-3"/>
  </r>
  <r>
    <s v="513968611"/>
    <s v="IHORD0000480207NPG"/>
    <s v="iHerb_OA CZN6870"/>
    <s v="Жанна"/>
    <d v="2022-09-10T00:00:00"/>
    <x v="3"/>
    <s v="Витамины"/>
    <s v="NOW-04726"/>
    <x v="3"/>
    <x v="48"/>
    <n v="571.6"/>
    <n v="-148.61666666666667"/>
    <n v="-0.93519431447653312"/>
    <n v="10.731986646668549"/>
    <n v="35.385730818030986"/>
    <n v="585.20732060444539"/>
    <n v="600"/>
    <x v="28"/>
    <s v="&lt;Клиент не выбран&gt;"/>
    <s v="2023 03"/>
    <n v="14.792679395554615"/>
    <n v="2.5277673184736723E-2"/>
  </r>
  <r>
    <s v="513968611"/>
    <s v="IHORD0000480207NPG"/>
    <s v="iHerb_OA CZN6870"/>
    <s v="Жанна"/>
    <d v="2022-09-10T00:00:00"/>
    <x v="3"/>
    <s v="Витамины"/>
    <s v="NOW-01652"/>
    <x v="3"/>
    <x v="37"/>
    <n v="467.99"/>
    <n v="-121.68"/>
    <n v="-0.76567353255770876"/>
    <n v="8.786621133081173"/>
    <n v="28.971430961643033"/>
    <n v="479.12797320270812"/>
    <n v="479.12797320270812"/>
    <x v="29"/>
    <s v="&lt;Клиент не выбран&gt;"/>
    <s v="2022 12"/>
    <n v="0"/>
    <n v="0"/>
  </r>
  <r>
    <s v="513968611"/>
    <s v="IHORD0000480207NPG"/>
    <s v="iHerb_OA CZN6870"/>
    <s v="Жанна"/>
    <d v="2022-09-10T00:00:00"/>
    <x v="3"/>
    <s v="Витамины"/>
    <s v="SYI-02109"/>
    <x v="24"/>
    <x v="49"/>
    <n v="308.25"/>
    <n v="-154.12"/>
    <n v="-0.34077347339990083"/>
    <n v="3.9106058596107571"/>
    <n v="12.894131425942192"/>
    <n v="213.24245476519133"/>
    <n v="218.69"/>
    <x v="30"/>
    <s v="&lt;Клиент не выбран&gt;"/>
    <s v="2023 01"/>
    <n v="5.4475452348086719"/>
    <n v="2.5546250819552575E-2"/>
  </r>
  <r>
    <s v="513968611"/>
    <s v="IHORD0000480207NPG"/>
    <s v="iHerb_OA CZN6870"/>
    <s v="Жанна"/>
    <d v="2022-09-10T00:00:00"/>
    <x v="3"/>
    <s v="Витамины"/>
    <s v="DRB-00081"/>
    <x v="6"/>
    <x v="50"/>
    <n v="1052.99"/>
    <n v="-273.77999999999997"/>
    <n v="-1.7227930851095616"/>
    <n v="19.770214701014066"/>
    <n v="65.186765382523944"/>
    <n v="1078.0552337480358"/>
    <n v="3400"/>
    <x v="31"/>
    <s v="&lt;Клиент не выбран&gt;"/>
    <s v="2023 09"/>
    <n v="2321.9447662519642"/>
    <n v="2.1538272748598812"/>
  </r>
  <r>
    <s v="514043517"/>
    <s v="IHORD0000487784NPG"/>
    <s v="iHerb_AV CYG0792"/>
    <s v="Жанна"/>
    <d v="2022-09-14T00:00:00"/>
    <x v="3"/>
    <s v="Витамины"/>
    <s v="CDL-10900"/>
    <x v="25"/>
    <x v="51"/>
    <n v="280.62"/>
    <n v="-72.959999999999994"/>
    <n v="-13.844439925005565"/>
    <n v="4.9425574374781904"/>
    <n v="36.953700467126389"/>
    <n v="294.63977247449884"/>
    <n v="295"/>
    <x v="32"/>
    <s v="&lt;Клиент не выбран&gt;"/>
    <s v="2022 12"/>
    <n v="0.36022752550115911"/>
    <n v="1.2226031892294408E-3"/>
  </r>
  <r>
    <s v="514043517"/>
    <s v="IHORD0000487784NPG"/>
    <s v="iHerb_AV CYG0792"/>
    <s v="Жанна"/>
    <d v="2022-09-14T00:00:00"/>
    <x v="3"/>
    <s v="Витамины"/>
    <s v="NOR-01710"/>
    <x v="9"/>
    <x v="52"/>
    <n v="474.77"/>
    <n v="-123.44"/>
    <n v="-23.422744288029492"/>
    <n v="8.3620760113127819"/>
    <n v="62.520194477104461"/>
    <n v="498.48690775048465"/>
    <n v="498.49"/>
    <x v="33"/>
    <s v="&lt;Клиент не выбран&gt;"/>
    <s v="2022 09"/>
    <n v="3.0922495153618001E-3"/>
    <n v="6.2032712740965534E-6"/>
  </r>
  <r>
    <s v="514043517"/>
    <s v="IHORD0000487784NPG"/>
    <s v="iHerb_AV CYG0792"/>
    <s v="Жанна"/>
    <d v="2022-09-14T00:00:00"/>
    <x v="3"/>
    <s v="Витамины"/>
    <s v="NWY-15788"/>
    <x v="16"/>
    <x v="53"/>
    <n v="385.96"/>
    <n v="-100.35"/>
    <n v="-19.041271727732056"/>
    <n v="6.7978610696241253"/>
    <n v="50.825129492516453"/>
    <n v="405.23964854301062"/>
    <n v="405.23964854301062"/>
    <x v="29"/>
    <s v="&lt;Клиент не выбран&gt;"/>
    <s v="2022 12"/>
    <n v="0"/>
    <n v="0"/>
  </r>
  <r>
    <s v="514043517"/>
    <s v="IHORD0000487784NPG"/>
    <s v="iHerb_AV CYG0792"/>
    <s v="Жанна"/>
    <d v="2022-09-14T00:00:00"/>
    <x v="3"/>
    <s v="Витамины"/>
    <s v="NAP-29978"/>
    <x v="11"/>
    <x v="54"/>
    <n v="375.64"/>
    <n v="-97.67"/>
    <n v="-18.531922209158221"/>
    <n v="6.6160198925927585"/>
    <n v="49.465569290412787"/>
    <n v="394.3995837173091"/>
    <n v="394.3995837173091"/>
    <x v="29"/>
    <s v="&lt;Клиент не выбран&gt;"/>
    <s v="2022 12"/>
    <n v="0"/>
    <n v="0"/>
  </r>
  <r>
    <s v="514043517"/>
    <s v="IHORD0000487784NPG"/>
    <s v="iHerb_AV CYG0792"/>
    <s v="Жанна"/>
    <d v="2022-09-14T00:00:00"/>
    <x v="3"/>
    <s v="Косметика"/>
    <s v="SYI-02110"/>
    <x v="24"/>
    <x v="55"/>
    <n v="308.25"/>
    <n v="-154.12"/>
    <n v="-10.275659855731039"/>
    <n v="3.6684791381995248"/>
    <n v="27.427881407099051"/>
    <n v="218.6883758619594"/>
    <m/>
    <x v="20"/>
    <m/>
    <s v=""/>
    <n v="-218.6883758619594"/>
    <s v=""/>
  </r>
  <r>
    <s v="514043517"/>
    <s v="IHORD0000487784NPG"/>
    <s v="iHerb_AV CYG0792"/>
    <s v="Жанна"/>
    <d v="2022-09-14T00:00:00"/>
    <x v="3"/>
    <s v="Витамины"/>
    <s v="CEN-27452"/>
    <x v="2"/>
    <x v="56"/>
    <n v="180.94"/>
    <n v="-18.09"/>
    <n v="-10.857011662270807"/>
    <n v="3.876025612507576"/>
    <n v="28.979630747719984"/>
    <n v="231.06080587244594"/>
    <n v="231.25"/>
    <x v="34"/>
    <s v="&lt;Клиент не выбран&gt;"/>
    <s v="2023 01"/>
    <n v="0.18919412755406029"/>
    <n v="8.1880666363858521E-4"/>
  </r>
  <r>
    <s v="514043517"/>
    <s v="IHORD0000487784NPG"/>
    <s v="iHerb_AV CYG0792"/>
    <s v="Жанна"/>
    <d v="2022-09-14T00:00:00"/>
    <x v="3"/>
    <s v="Витамины"/>
    <s v="CEN-27313"/>
    <x v="2"/>
    <x v="57"/>
    <n v="180.94"/>
    <n v="-47.04"/>
    <n v="-8.9269503320728347"/>
    <n v="3.1869808382853204"/>
    <n v="23.827894118020915"/>
    <n v="189.98490578029174"/>
    <n v="190"/>
    <x v="35"/>
    <s v="&lt;Клиент не выбран&gt;"/>
    <s v="2023 02"/>
    <n v="1.5094219708259971E-2"/>
    <n v="7.9449573355662784E-5"/>
  </r>
  <r>
    <s v="514056164"/>
    <s v="IHORD0000490976NPG"/>
    <s v="iHerb_OA CZN6870"/>
    <s v="Жанна"/>
    <d v="2022-09-15T00:00:00"/>
    <x v="3"/>
    <s v="Витамины"/>
    <s v="BOS-56913"/>
    <x v="26"/>
    <x v="58"/>
    <n v="293.33"/>
    <n v="0"/>
    <n v="-0.41797291104238959"/>
    <n v="7.4783261381098125"/>
    <n v="31.63038245726192"/>
    <n v="415.02591960541167"/>
    <n v="415.02591960541167"/>
    <x v="30"/>
    <s v="&lt;Клиент не выбран&gt;"/>
    <s v="2023 01"/>
    <n v="0"/>
    <n v="0"/>
  </r>
  <r>
    <s v="514056164"/>
    <s v="IHORD0000490976NPG"/>
    <s v="iHerb_OA CZN6870"/>
    <s v="Жанна"/>
    <d v="2022-09-15T00:00:00"/>
    <x v="3"/>
    <s v="Витамины"/>
    <s v="CGN-01033"/>
    <x v="1"/>
    <x v="1"/>
    <n v="655.04"/>
    <n v="-170.31"/>
    <n v="-0.6907033347069087"/>
    <n v="12.357989393945282"/>
    <n v="52.269441545387679"/>
    <n v="685.83340950578247"/>
    <n v="686.25"/>
    <x v="36"/>
    <s v="&lt;Клиент не выбран&gt;"/>
    <s v="2022 12"/>
    <n v="0.41659049421753025"/>
    <n v="6.0742228133465971E-4"/>
  </r>
  <r>
    <s v="514056164"/>
    <s v="IHORD0000490976NPG"/>
    <s v="iHerb_OA CZN6870"/>
    <s v="Жанна"/>
    <d v="2022-09-15T00:00:00"/>
    <x v="3"/>
    <s v="Витамины"/>
    <s v="CEN-22263"/>
    <x v="2"/>
    <x v="59"/>
    <n v="180.4"/>
    <n v="-46.9"/>
    <n v="-0.19022733312023665"/>
    <n v="3.4035268790701942"/>
    <n v="14.395581965855746"/>
    <n v="188.88610188975713"/>
    <n v="188.88610188975713"/>
    <x v="29"/>
    <s v="&lt;Клиент не выбран&gt;"/>
    <s v="2022 12"/>
    <n v="0"/>
    <n v="0"/>
  </r>
  <r>
    <s v="514056164"/>
    <s v="IHORD0000490976NPG"/>
    <s v="iHerb_OA CZN6870"/>
    <s v="Жанна"/>
    <d v="2022-09-15T00:00:00"/>
    <x v="3"/>
    <s v="Витамины"/>
    <s v="CEN-27116"/>
    <x v="2"/>
    <x v="5"/>
    <n v="249.1"/>
    <n v="-64.77"/>
    <n v="-0.26265621209028628"/>
    <n v="4.6994165514532495"/>
    <n v="19.876686320345989"/>
    <n v="260.80430832463617"/>
    <n v="260.80430832463617"/>
    <x v="29"/>
    <s v="&lt;Клиент не выбран&gt;"/>
    <s v="2022 12"/>
    <n v="0"/>
    <n v="0"/>
  </r>
  <r>
    <s v="514056164"/>
    <s v="IHORD0000490976NPG"/>
    <s v="iHerb_OA CZN6870"/>
    <s v="Жанна"/>
    <d v="2022-09-15T00:00:00"/>
    <x v="3"/>
    <s v="Витамины"/>
    <s v="NRT-04290"/>
    <x v="27"/>
    <x v="60"/>
    <n v="258.38"/>
    <n v="-67.180000000000007"/>
    <n v="-0.27244543889579959"/>
    <n v="4.8745643391627045"/>
    <n v="20.617492673195645"/>
    <n v="270.52451446682818"/>
    <n v="270.52451446682818"/>
    <x v="29"/>
    <s v="&lt;Клиент не выбран&gt;"/>
    <s v="2022 12"/>
    <n v="0"/>
    <n v="0"/>
  </r>
  <r>
    <s v="514056164"/>
    <s v="IHORD0000490976NPG"/>
    <s v="iHerb_OA CZN6870"/>
    <s v="Жанна"/>
    <d v="2022-09-15T00:00:00"/>
    <x v="3"/>
    <s v="Витамины"/>
    <s v="NAP-29996"/>
    <x v="11"/>
    <x v="61"/>
    <n v="355.75"/>
    <n v="-92.5"/>
    <n v="-0.37511120182698354"/>
    <n v="6.7114490705260561"/>
    <n v="28.386793651771722"/>
    <n v="372.46641440058846"/>
    <n v="372.5"/>
    <x v="37"/>
    <s v="&lt;Клиент не выбран&gt;"/>
    <s v="2023 02"/>
    <n v="3.3585599411537714E-2"/>
    <n v="9.0170813026423175E-5"/>
  </r>
  <r>
    <s v="514056164"/>
    <s v="IHORD0000490976NPG"/>
    <s v="iHerb_OA CZN6870"/>
    <s v="Жанна"/>
    <d v="2022-09-15T00:00:00"/>
    <x v="3"/>
    <s v="Витамины"/>
    <s v="NOW-01277"/>
    <x v="3"/>
    <x v="34"/>
    <n v="443.58"/>
    <n v="-115.33"/>
    <n v="-0.46773125166080659"/>
    <n v="8.3685969891744652"/>
    <n v="35.395878504061038"/>
    <n v="464.43343030196843"/>
    <n v="464.43343030196843"/>
    <x v="29"/>
    <s v="&lt;Клиент не выбран&gt;"/>
    <s v="2022 12"/>
    <n v="0"/>
    <n v="0"/>
  </r>
  <r>
    <s v="514056164"/>
    <s v="IHORD0000490976NPG"/>
    <s v="iHerb_OA CZN6870"/>
    <s v="Жанна"/>
    <d v="2022-09-15T00:00:00"/>
    <x v="3"/>
    <s v="Витамины"/>
    <s v="CEN-27844"/>
    <x v="2"/>
    <x v="62"/>
    <n v="272.60000000000002"/>
    <n v="-70.88"/>
    <n v="-0.28743563773044301"/>
    <n v="5.1427673561501095"/>
    <n v="21.751886098520011"/>
    <n v="285.40902227117459"/>
    <n v="286.25"/>
    <x v="38"/>
    <s v="&lt;Клиент не выбран&gt;"/>
    <s v="2023 01"/>
    <n v="0.84097772882540767"/>
    <n v="2.9465702314987528E-3"/>
  </r>
  <r>
    <s v="514056164"/>
    <s v="IHORD0000490976NPG"/>
    <s v="iHerb_OA CZN6870"/>
    <s v="Жанна"/>
    <d v="2022-09-15T00:00:00"/>
    <x v="3"/>
    <s v="Витамины"/>
    <s v="CEN-22424"/>
    <x v="2"/>
    <x v="63"/>
    <n v="541.52"/>
    <n v="-140.80000000000001"/>
    <n v="-0.57099548260630129"/>
    <n v="10.216189445550622"/>
    <n v="43.210468953990372"/>
    <n v="566.96957864616832"/>
    <n v="2300"/>
    <x v="39"/>
    <s v="&lt;Клиент не выбран&gt;"/>
    <s v="2023 09"/>
    <n v="1733.0304213538316"/>
    <n v="3.0566550422194223"/>
  </r>
  <r>
    <s v="514056164"/>
    <s v="IHORD0000490976NPG"/>
    <s v="iHerb_OA CZN6870"/>
    <s v="Жанна"/>
    <d v="2022-09-15T00:00:00"/>
    <x v="3"/>
    <s v="Косметика"/>
    <s v="RSE-01956"/>
    <x v="28"/>
    <x v="64"/>
    <n v="231.19"/>
    <n v="-115.59"/>
    <n v="-0.16472119631984536"/>
    <n v="2.9471738368577856"/>
    <n v="12.46538782960992"/>
    <n v="163.5598005876848"/>
    <n v="337.5"/>
    <x v="40"/>
    <s v="&lt;Клиент не выбран&gt;"/>
    <s v="2023 01"/>
    <n v="173.9401994123152"/>
    <n v="1.0634654651530064"/>
  </r>
  <r>
    <s v="514113876"/>
    <s v="IHORD0000495511NPG"/>
    <s v="iHerb_MH DLE7202"/>
    <s v="Жанна"/>
    <d v="2022-09-18T00:00:00"/>
    <x v="3"/>
    <s v="Косметика"/>
    <s v="EUC-03226"/>
    <x v="13"/>
    <x v="29"/>
    <n v="614.53"/>
    <n v="-159.78"/>
    <n v="0"/>
    <n v="11.573231854335827"/>
    <n v="35.288085802178308"/>
    <n v="627.01414707064271"/>
    <m/>
    <x v="20"/>
    <m/>
    <s v=""/>
    <n v="-627.01414707064271"/>
    <s v=""/>
  </r>
  <r>
    <s v="514113876"/>
    <s v="IHORD0000495511NPG"/>
    <s v="iHerb_MH DLE7202"/>
    <s v="Жанна"/>
    <d v="2022-09-18T00:00:00"/>
    <x v="3"/>
    <s v="Косметика"/>
    <s v="EUC-03226"/>
    <x v="13"/>
    <x v="29"/>
    <n v="614.53"/>
    <n v="-159.78"/>
    <n v="0"/>
    <n v="11.573231854335827"/>
    <n v="35.288085802178308"/>
    <n v="627.01414707064271"/>
    <m/>
    <x v="20"/>
    <m/>
    <s v=""/>
    <n v="-627.01414707064271"/>
    <s v=""/>
  </r>
  <r>
    <s v="514113876"/>
    <s v="IHORD0000495511NPG"/>
    <s v="iHerb_MH DLE7202"/>
    <s v="Жанна"/>
    <d v="2022-09-18T00:00:00"/>
    <x v="3"/>
    <s v="Витамины"/>
    <s v="MLI-00952"/>
    <x v="1"/>
    <x v="7"/>
    <n v="269.72000000000003"/>
    <n v="-115.60000000000001"/>
    <n v="0"/>
    <n v="3.9223012498960697"/>
    <n v="11.959537732450183"/>
    <n v="212.50229872793281"/>
    <n v="212.50229872793281"/>
    <x v="29"/>
    <s v="&lt;Клиент не выбран&gt;"/>
    <s v="2022 12"/>
    <n v="0"/>
    <n v="0"/>
  </r>
  <r>
    <s v="514113876"/>
    <s v="IHORD0000495511NPG"/>
    <s v="iHerb_MH DLE7202"/>
    <s v="Жанна"/>
    <d v="2022-09-18T00:00:00"/>
    <x v="3"/>
    <s v="Витамины"/>
    <s v="MLI-00952"/>
    <x v="1"/>
    <x v="7"/>
    <n v="269.72000000000003"/>
    <n v="-115.60000000000001"/>
    <n v="0"/>
    <n v="3.9223012498960697"/>
    <n v="11.959537732450183"/>
    <n v="212.50229872793281"/>
    <n v="212.50229872793281"/>
    <x v="29"/>
    <s v="&lt;Клиент не выбран&gt;"/>
    <s v="2022 12"/>
    <n v="0"/>
    <n v="0"/>
  </r>
  <r>
    <s v="514113876"/>
    <s v="IHORD0000495511NPG"/>
    <s v="iHerb_MH DLE7202"/>
    <s v="Жанна"/>
    <d v="2022-09-18T00:00:00"/>
    <x v="3"/>
    <s v="Витамины"/>
    <s v="MLI-00952"/>
    <x v="1"/>
    <x v="7"/>
    <n v="269.72000000000003"/>
    <n v="-115.60000000000001"/>
    <n v="0"/>
    <n v="3.9223012498960697"/>
    <n v="11.959537732450183"/>
    <n v="212.50229872793281"/>
    <n v="212.50229872793281"/>
    <x v="29"/>
    <s v="&lt;Клиент не выбран&gt;"/>
    <s v="2022 12"/>
    <n v="0"/>
    <n v="0"/>
  </r>
  <r>
    <s v="514113876"/>
    <s v="IHORD0000495511NPG"/>
    <s v="iHerb_MH DLE7202"/>
    <s v="Жанна"/>
    <d v="2022-09-18T00:00:00"/>
    <x v="3"/>
    <s v="Косметика"/>
    <s v="ARH-19744"/>
    <x v="29"/>
    <x v="65"/>
    <n v="152.15"/>
    <n v="-39.56"/>
    <n v="0"/>
    <n v="2.8653769642213764"/>
    <n v="8.7368566915167811"/>
    <n v="155.24029206967271"/>
    <n v="155.24"/>
    <x v="41"/>
    <s v="&lt;Клиент не выбран&gt;"/>
    <s v="2024 02"/>
    <n v="-2.9206967269601591E-4"/>
    <n v="-1.8814037824982539E-6"/>
  </r>
  <r>
    <s v="514113876"/>
    <s v="IHORD0000495511NPG"/>
    <s v="iHerb_MH DLE7202"/>
    <s v="Жанна"/>
    <d v="2022-09-18T00:00:00"/>
    <x v="3"/>
    <s v="Косметика"/>
    <s v="ARH-19470"/>
    <x v="29"/>
    <x v="66"/>
    <n v="152.15"/>
    <n v="-39.56"/>
    <n v="0"/>
    <n v="2.8653769642213764"/>
    <n v="8.7368566915167811"/>
    <n v="155.24029206967271"/>
    <n v="155.24"/>
    <x v="41"/>
    <s v="&lt;Клиент не выбран&gt;"/>
    <s v="2024 02"/>
    <n v="-2.9206967269601591E-4"/>
    <n v="-1.8814037824982539E-6"/>
  </r>
  <r>
    <s v="514113876"/>
    <s v="IHORD0000495511NPG"/>
    <s v="iHerb_MH DLE7202"/>
    <s v="Жанна"/>
    <d v="2022-09-18T00:00:00"/>
    <x v="3"/>
    <s v="Косметика"/>
    <s v="MBY-05089"/>
    <x v="30"/>
    <x v="67"/>
    <n v="374.39"/>
    <n v="-97.34"/>
    <n v="0"/>
    <n v="7.0508276750824423"/>
    <n v="21.498766732256183"/>
    <n v="381.99949300917319"/>
    <n v="382"/>
    <x v="41"/>
    <s v="&lt;Клиент не выбран&gt;"/>
    <s v="2024 02"/>
    <n v="5.0699082680694119E-4"/>
    <n v="1.3272028787608012E-6"/>
  </r>
  <r>
    <s v="514113876"/>
    <s v="IHORD0000495511NPG"/>
    <s v="iHerb_MH DLE7202"/>
    <s v="Жанна"/>
    <d v="2022-09-18T00:00:00"/>
    <x v="3"/>
    <s v="Косметика"/>
    <s v="MBY-05089"/>
    <x v="30"/>
    <x v="67"/>
    <n v="374.39"/>
    <n v="-97.34"/>
    <n v="0"/>
    <n v="7.0508276750824423"/>
    <n v="21.498766732256183"/>
    <n v="381.99949300917319"/>
    <n v="382"/>
    <x v="41"/>
    <s v="&lt;Клиент не выбран&gt;"/>
    <s v="2024 02"/>
    <n v="5.0699082680694119E-4"/>
    <n v="1.3272028787608012E-6"/>
  </r>
  <r>
    <s v="514113876"/>
    <s v="IHORD0000495511NPG"/>
    <s v="iHerb_MH DLE7202"/>
    <s v="Жанна"/>
    <d v="2022-09-18T00:00:00"/>
    <x v="3"/>
    <s v="Косметика"/>
    <s v="IMF-05216"/>
    <x v="31"/>
    <x v="68"/>
    <n v="178.16"/>
    <n v="-46.32"/>
    <n v="0"/>
    <n v="3.3552828755923816"/>
    <n v="10.23063492503395"/>
    <n v="181.78239725078294"/>
    <m/>
    <x v="20"/>
    <m/>
    <s v=""/>
    <n v="-181.78239725078294"/>
    <s v=""/>
  </r>
  <r>
    <s v="514113876"/>
    <s v="IHORD0000495511NPG"/>
    <s v="iHerb_MH DLE7202"/>
    <s v="Жанна"/>
    <d v="2022-09-18T00:00:00"/>
    <x v="3"/>
    <s v="Косметика"/>
    <s v="COC-09855"/>
    <x v="32"/>
    <x v="69"/>
    <n v="90.31"/>
    <n v="-23.48"/>
    <n v="0"/>
    <n v="1.7008006263337292"/>
    <n v="5.1859324335559673"/>
    <n v="92.145916324862114"/>
    <m/>
    <x v="20"/>
    <m/>
    <s v=""/>
    <n v="-92.145916324862114"/>
    <s v=""/>
  </r>
  <r>
    <s v="514113876"/>
    <s v="IHORD0000495511NPG"/>
    <s v="iHerb_MH DLE7202"/>
    <s v="Жанна"/>
    <d v="2022-09-18T00:00:00"/>
    <x v="3"/>
    <s v="Косметика"/>
    <s v="COC-09015"/>
    <x v="32"/>
    <x v="70"/>
    <n v="261.51"/>
    <n v="-67.989999999999995"/>
    <n v="0"/>
    <n v="4.9250177645982829"/>
    <n v="15.01693318183078"/>
    <n v="266.82743868303635"/>
    <m/>
    <x v="20"/>
    <m/>
    <s v=""/>
    <n v="-266.82743868303635"/>
    <s v=""/>
  </r>
  <r>
    <s v="514113876"/>
    <s v="IHORD0000495511NPG"/>
    <s v="iHerb_MH DLE7202"/>
    <s v="Жанна"/>
    <d v="2022-09-18T00:00:00"/>
    <x v="3"/>
    <s v="Косметика"/>
    <s v="NBC-01065"/>
    <x v="8"/>
    <x v="71"/>
    <n v="174.95"/>
    <n v="-45.49"/>
    <n v="0"/>
    <n v="3.2947126901865111"/>
    <n v="10.045949616162734"/>
    <n v="178.50082788293656"/>
    <m/>
    <x v="20"/>
    <m/>
    <s v=""/>
    <n v="-178.50082788293656"/>
    <s v=""/>
  </r>
  <r>
    <s v="514113876"/>
    <s v="IHORD0000495511NPG"/>
    <s v="iHerb_MH DLE7202"/>
    <s v="Жанна"/>
    <d v="2022-09-18T00:00:00"/>
    <x v="3"/>
    <s v="Витамины"/>
    <s v="NWY-41051"/>
    <x v="16"/>
    <x v="72"/>
    <n v="310.70999999999998"/>
    <n v="-46.61"/>
    <n v="0"/>
    <n v="6.721254607432857"/>
    <n v="20.493861375162815"/>
    <n v="364.14389497824453"/>
    <n v="365"/>
    <x v="34"/>
    <s v="&lt;Клиент не выбран&gt;"/>
    <s v="2023 01"/>
    <n v="0.85610502175546799"/>
    <n v="2.3510074823762054E-3"/>
  </r>
  <r>
    <s v="514113876"/>
    <s v="IHORD0000495511NPG"/>
    <s v="iHerb_MH DLE7202"/>
    <s v="Жанна"/>
    <d v="2022-09-18T00:00:00"/>
    <x v="3"/>
    <s v="Косметика"/>
    <s v="PTT-85000"/>
    <x v="33"/>
    <x v="73"/>
    <n v="284.01"/>
    <n v="-73.84"/>
    <n v="0"/>
    <n v="5.348754565862035"/>
    <n v="16.308954355236537"/>
    <n v="289.78463615137321"/>
    <m/>
    <x v="20"/>
    <m/>
    <s v=""/>
    <n v="-289.78463615137321"/>
    <s v=""/>
  </r>
  <r>
    <s v="514113876"/>
    <s v="IHORD0000495511NPG"/>
    <s v="iHerb_MH DLE7202"/>
    <s v="Жанна"/>
    <d v="2022-09-18T00:00:00"/>
    <x v="3"/>
    <s v="Витамины"/>
    <s v="NWY-03502"/>
    <x v="16"/>
    <x v="74"/>
    <n v="542.63"/>
    <n v="-81.39"/>
    <n v="0"/>
    <n v="11.738400133026623"/>
    <n v="35.791702463764096"/>
    <n v="635.96262824598841"/>
    <n v="635.96262824598841"/>
    <x v="29"/>
    <s v="&lt;Клиент не выбран&gt;"/>
    <s v="2022 12"/>
    <n v="0"/>
    <n v="0"/>
  </r>
  <r>
    <s v="214675"/>
    <n v="0"/>
    <s v="Protein"/>
    <s v="Доставлен"/>
    <d v="2022-09-10T00:00:00"/>
    <x v="3"/>
    <s v="Спортпит"/>
    <s v="XXXXXX025"/>
    <x v="34"/>
    <x v="75"/>
    <n v="756"/>
    <m/>
    <n v="0"/>
    <n v="0"/>
    <n v="800"/>
    <n v="1945"/>
    <n v="2500"/>
    <x v="33"/>
    <s v="&lt;Клиент не выбран&gt;"/>
    <s v="2022 09"/>
    <n v="555"/>
    <n v="0.28534704370179947"/>
  </r>
  <r>
    <s v="213018"/>
    <n v="0"/>
    <s v="Protein"/>
    <s v="Доставлен"/>
    <d v="2022-08-29T00:00:00"/>
    <x v="2"/>
    <s v="Спортпит"/>
    <s v="XXXXXX030"/>
    <x v="35"/>
    <x v="76"/>
    <n v="2146"/>
    <m/>
    <n v="0"/>
    <n v="0"/>
    <n v="666.66666666666663"/>
    <n v="4219"/>
    <n v="8200"/>
    <x v="17"/>
    <s v="&lt;Клиент не выбран&gt;"/>
    <s v="2022 09"/>
    <n v="3981"/>
    <n v="0.94358852808722449"/>
  </r>
  <r>
    <s v="514200653"/>
    <s v="HORD0000505131NPG"/>
    <s v="iHerb_OA CZN6870"/>
    <s v="Жанна"/>
    <d v="2022-09-23T00:00:00"/>
    <x v="3"/>
    <s v="Витамины"/>
    <s v="CGN-00934"/>
    <x v="1"/>
    <x v="77"/>
    <n v="500.91"/>
    <n v="-130.24"/>
    <n v="0"/>
    <n v="13.157198129921927"/>
    <n v="24.420094633290116"/>
    <n v="510.30911595401506"/>
    <n v="511.25"/>
    <x v="42"/>
    <s v="&lt;Клиент не выбран&gt;"/>
    <s v="2023 03"/>
    <n v="0.94088404598494435"/>
    <n v="1.8437531617007783E-3"/>
  </r>
  <r>
    <s v="514200653"/>
    <s v="HORD0000505131NPG"/>
    <s v="iHerb_OA CZN6870"/>
    <s v="Жанна"/>
    <d v="2022-09-23T00:00:00"/>
    <x v="3"/>
    <s v="Витамины"/>
    <s v="NOW-04682"/>
    <x v="3"/>
    <x v="78"/>
    <n v="305.54000000000002"/>
    <n v="-79.44"/>
    <n v="0"/>
    <n v="8.0255820464978225"/>
    <n v="14.895684561973985"/>
    <n v="311.27658326058975"/>
    <n v="312.5"/>
    <x v="43"/>
    <s v="&lt;Клиент не выбран&gt;"/>
    <s v="2023 02"/>
    <n v="1.2234167394102542"/>
    <n v="3.9303205098022197E-3"/>
  </r>
  <r>
    <s v="514200653"/>
    <s v="HORD0000505131NPG"/>
    <s v="iHerb_OA CZN6870"/>
    <s v="Жанна"/>
    <d v="2022-09-23T00:00:00"/>
    <x v="3"/>
    <s v="Витамины"/>
    <s v="CGN-01066"/>
    <x v="1"/>
    <x v="11"/>
    <n v="524.03"/>
    <n v="-262.01499999999999"/>
    <n v="0"/>
    <n v="9.3004107913008696"/>
    <n v="17.2617991619001"/>
    <n v="360.7215124415012"/>
    <n v="1200"/>
    <x v="39"/>
    <s v="&lt;Клиент не выбран&gt;"/>
    <s v="2023 09"/>
    <n v="839.2784875584988"/>
    <n v="2.3266660252058187"/>
  </r>
  <r>
    <s v="514200653"/>
    <s v="HORD0000505131NPG"/>
    <s v="iHerb_OA CZN6870"/>
    <s v="Жанна"/>
    <d v="2022-09-23T00:00:00"/>
    <x v="3"/>
    <s v="Витамины"/>
    <s v="CGN-01066"/>
    <x v="1"/>
    <x v="11"/>
    <n v="524.03"/>
    <n v="-262.01499999999999"/>
    <n v="0"/>
    <n v="9.3004107913008696"/>
    <n v="17.2617991619001"/>
    <n v="360.7215124415012"/>
    <m/>
    <x v="20"/>
    <m/>
    <s v=""/>
    <n v="-360.7215124415012"/>
    <s v=""/>
  </r>
  <r>
    <s v="514200653"/>
    <s v="HORD0000505131NPG"/>
    <s v="iHerb_OA CZN6870"/>
    <s v="Жанна"/>
    <d v="2022-09-23T00:00:00"/>
    <x v="3"/>
    <s v="Витамины"/>
    <s v="MLI-00952"/>
    <x v="1"/>
    <x v="7"/>
    <n v="269.72000000000003"/>
    <n v="-155.66999999999999"/>
    <n v="0"/>
    <n v="4.0482867421630999"/>
    <n v="7.5137232388020037"/>
    <n v="157.01501247620644"/>
    <n v="212.50229872793281"/>
    <x v="29"/>
    <s v="&lt;Клиент не выбран&gt;"/>
    <s v="2022 12"/>
    <n v="55.487286251726374"/>
    <n v="0.35338841411826621"/>
  </r>
  <r>
    <s v="514200653"/>
    <s v="HORD0000505131NPG"/>
    <s v="iHerb_OA CZN6870"/>
    <s v="Жанна"/>
    <d v="2022-09-23T00:00:00"/>
    <x v="3"/>
    <s v="Витамины"/>
    <s v="CEN-27303"/>
    <x v="2"/>
    <x v="79"/>
    <n v="204.67"/>
    <n v="-53.21"/>
    <n v="0"/>
    <n v="5.376181586742856"/>
    <n v="9.9783298706615611"/>
    <n v="208.51813932175548"/>
    <n v="208.75"/>
    <x v="44"/>
    <s v="&lt;Клиент не выбран&gt;"/>
    <s v="2023 01"/>
    <n v="0.23186067824451584"/>
    <n v="1.1119448840215358E-3"/>
  </r>
  <r>
    <s v="514200653"/>
    <s v="HORD0000505131NPG"/>
    <s v="iHerb_OA CZN6870"/>
    <s v="Жанна"/>
    <d v="2022-09-23T00:00:00"/>
    <x v="3"/>
    <s v="Витамины"/>
    <s v="CEN-27304"/>
    <x v="2"/>
    <x v="80"/>
    <n v="254.42"/>
    <n v="-66.150000000000006"/>
    <n v="0"/>
    <n v="6.6827789999741034"/>
    <n v="12.403407927832117"/>
    <n v="259.19523365975772"/>
    <n v="260"/>
    <x v="36"/>
    <s v="&lt;Клиент не выбран&gt;"/>
    <s v="2022 12"/>
    <n v="0.80476634024228133"/>
    <n v="3.104865505739538E-3"/>
  </r>
  <r>
    <s v="514200653"/>
    <s v="HORD0000505131NPG"/>
    <s v="iHerb_OA CZN6870"/>
    <s v="Жанна"/>
    <d v="2022-09-23T00:00:00"/>
    <x v="3"/>
    <s v="Витамины"/>
    <s v="CEN-27304"/>
    <x v="2"/>
    <x v="80"/>
    <n v="254.42"/>
    <n v="-66.150000000000006"/>
    <n v="0"/>
    <n v="6.6827789999741034"/>
    <n v="12.403407927832117"/>
    <n v="259.19523365975772"/>
    <n v="260"/>
    <x v="36"/>
    <s v="&lt;Клиент не выбран&gt;"/>
    <s v="2022 12"/>
    <n v="0.80476634024228133"/>
    <n v="3.104865505739538E-3"/>
  </r>
  <r>
    <s v="514200653"/>
    <s v="HORD0000505131NPG"/>
    <s v="iHerb_OA CZN6870"/>
    <s v="Жанна"/>
    <d v="2022-09-23T00:00:00"/>
    <x v="3"/>
    <s v="Витамины"/>
    <s v="CEN-27308"/>
    <x v="2"/>
    <x v="81"/>
    <n v="257.56"/>
    <n v="-66.97"/>
    <n v="0"/>
    <n v="6.7651290678550193"/>
    <n v="12.556251749962943"/>
    <n v="262.38922602227245"/>
    <n v="262.5"/>
    <x v="28"/>
    <s v="&lt;Клиент не выбран&gt;"/>
    <s v="2023 03"/>
    <n v="0.11077397772754694"/>
    <n v="4.2217426152300962E-4"/>
  </r>
  <r>
    <s v="514200653"/>
    <s v="HORD0000505131NPG"/>
    <s v="iHerb_OA CZN6870"/>
    <s v="Жанна"/>
    <d v="2022-09-23T00:00:00"/>
    <x v="3"/>
    <s v="Витамины"/>
    <s v="CEN-27305"/>
    <x v="2"/>
    <x v="82"/>
    <n v="254.42"/>
    <n v="-66.150000000000006"/>
    <n v="0"/>
    <n v="6.6827789999741034"/>
    <n v="12.403407927832117"/>
    <n v="259.19523365975772"/>
    <n v="260"/>
    <x v="45"/>
    <s v="&lt;Клиент не выбран&gt;"/>
    <s v="2022 12"/>
    <n v="0.80476634024228133"/>
    <n v="3.104865505739538E-3"/>
  </r>
  <r>
    <s v="514200653"/>
    <s v="HORD0000505131NPG"/>
    <s v="iHerb_OA CZN6870"/>
    <s v="Жанна"/>
    <d v="2022-09-23T00:00:00"/>
    <x v="3"/>
    <s v="Витамины"/>
    <s v="LEX-23151"/>
    <x v="7"/>
    <x v="17"/>
    <n v="841.35"/>
    <n v="-218.75"/>
    <n v="0"/>
    <n v="22.099634595973214"/>
    <n v="41.017484335625838"/>
    <n v="857.14639866449886"/>
    <n v="857.5"/>
    <x v="29"/>
    <s v="&lt;Клиент не выбран&gt;"/>
    <s v="2022 12"/>
    <n v="0.35360133550113915"/>
    <n v="4.1253318692358466E-4"/>
  </r>
  <r>
    <s v="514200653"/>
    <s v="HORD0000505131NPG"/>
    <s v="iHerb_OA CZN6870"/>
    <s v="Жанна"/>
    <d v="2022-09-23T00:00:00"/>
    <x v="3"/>
    <s v="Витамины"/>
    <s v="NOW-03212"/>
    <x v="3"/>
    <x v="83"/>
    <n v="956.75"/>
    <n v="-248.76"/>
    <n v="0"/>
    <n v="25.130614034055693"/>
    <n v="46.64305932344962"/>
    <n v="974.70459169688172"/>
    <n v="3200"/>
    <x v="46"/>
    <s v="&lt;Клиент не выбран&gt;"/>
    <s v="2023 09"/>
    <n v="2225.2954083031182"/>
    <n v="2.2830459887636922"/>
  </r>
  <r>
    <s v="514200653"/>
    <s v="HORD0000505131NPG"/>
    <s v="iHerb_OA CZN6870"/>
    <s v="Жанна"/>
    <d v="2022-09-23T00:00:00"/>
    <x v="3"/>
    <s v="Витамины"/>
    <s v="CGN-01034"/>
    <x v="1"/>
    <x v="84"/>
    <n v="308.25"/>
    <n v="-154.125"/>
    <n v="0"/>
    <n v="5.470777677649167"/>
    <n v="10.153902623238567"/>
    <n v="212.18710037610964"/>
    <n v="212.18710037610964"/>
    <x v="29"/>
    <s v="&lt;Клиент не выбран&gt;"/>
    <s v="2022 12"/>
    <n v="0"/>
    <n v="0"/>
  </r>
  <r>
    <s v="514200653"/>
    <s v="HORD0000505131NPG"/>
    <s v="iHerb_OA CZN6870"/>
    <s v="Жанна"/>
    <d v="2022-09-23T00:00:00"/>
    <x v="3"/>
    <s v="Витамины"/>
    <s v="CGN-01034"/>
    <x v="1"/>
    <x v="84"/>
    <n v="308.25"/>
    <n v="-154.125"/>
    <n v="0"/>
    <n v="5.470777677649167"/>
    <n v="10.153902623238567"/>
    <n v="212.18710037610964"/>
    <n v="212.18710037610964"/>
    <x v="29"/>
    <s v="&lt;Клиент не выбран&gt;"/>
    <s v="2022 12"/>
    <n v="0"/>
    <n v="0"/>
  </r>
  <r>
    <s v="514200653"/>
    <s v="HORD0000505131NPG"/>
    <s v="iHerb_OA CZN6870"/>
    <s v="Жанна"/>
    <d v="2022-09-23T00:00:00"/>
    <x v="3"/>
    <s v="Витамины"/>
    <s v="CGN-00931"/>
    <x v="1"/>
    <x v="24"/>
    <n v="192.66"/>
    <n v="-154.13"/>
    <n v="0"/>
    <n v="1.367650049763649"/>
    <n v="2.5383933046123728"/>
    <n v="53.045054192970021"/>
    <n v="53.045054192970021"/>
    <x v="29"/>
    <s v="&lt;Клиент не выбран&gt;"/>
    <s v="2022 12"/>
    <n v="0"/>
    <n v="0"/>
  </r>
  <r>
    <s v="514200653"/>
    <s v="HORD0000505131NPG"/>
    <s v="iHerb_OA CZN6870"/>
    <s v="Жанна"/>
    <d v="2022-09-23T00:00:00"/>
    <x v="3"/>
    <s v="Витамины"/>
    <s v="OAD-58700"/>
    <x v="17"/>
    <x v="85"/>
    <n v="582.44000000000005"/>
    <n v="-151.43"/>
    <n v="0"/>
    <n v="15.299009809204009"/>
    <n v="28.395351627847884"/>
    <n v="593.3804517963149"/>
    <m/>
    <x v="20"/>
    <m/>
    <s v=""/>
    <n v="-593.3804517963149"/>
    <s v=""/>
  </r>
  <r>
    <s v="АН01"/>
    <n v="0"/>
    <s v="Anna"/>
    <s v="Доставлен"/>
    <d v="2022-10-15T00:00:00"/>
    <x v="4"/>
    <s v="Витамины"/>
    <s v="NWY-03502"/>
    <x v="16"/>
    <x v="74"/>
    <n v="560"/>
    <m/>
    <n v="0"/>
    <n v="-17.849270181709841"/>
    <n v="0"/>
    <n v="677.68841227286271"/>
    <n v="1600"/>
    <x v="21"/>
    <s v="&lt;Клиент не выбран&gt;"/>
    <s v="2022 10"/>
    <n v="922.31158772713729"/>
    <n v="1.3609670329670329"/>
  </r>
  <r>
    <s v="АН01"/>
    <n v="0"/>
    <s v="Anna"/>
    <s v="Доставлен"/>
    <d v="2022-10-15T00:00:00"/>
    <x v="4"/>
    <s v="Витамины"/>
    <s v="NWY-03502"/>
    <x v="16"/>
    <x v="74"/>
    <n v="560"/>
    <m/>
    <n v="0"/>
    <n v="-17.849270181709841"/>
    <n v="0"/>
    <n v="677.68841227286271"/>
    <n v="1700"/>
    <x v="10"/>
    <s v="&lt;Клиент не выбран&gt;"/>
    <s v="2022 11"/>
    <n v="1022.3115877271373"/>
    <n v="1.5085274725274724"/>
  </r>
  <r>
    <s v="АН01"/>
    <n v="0"/>
    <s v="Anna"/>
    <s v="Доставлен"/>
    <d v="2022-10-15T00:00:00"/>
    <x v="4"/>
    <s v="Витамины"/>
    <s v="NWY-03501"/>
    <x v="16"/>
    <x v="86"/>
    <n v="560"/>
    <m/>
    <n v="0"/>
    <n v="-17.849270181709841"/>
    <n v="0"/>
    <n v="677.68841227286271"/>
    <n v="1700"/>
    <x v="10"/>
    <s v="&lt;Клиент не выбран&gt;"/>
    <s v="2022 11"/>
    <n v="1022.3115877271373"/>
    <n v="1.5085274725274724"/>
  </r>
  <r>
    <s v="АН01"/>
    <n v="0"/>
    <s v="Anna"/>
    <s v="Доставлен"/>
    <d v="2022-10-15T00:00:00"/>
    <x v="4"/>
    <s v="Витамины"/>
    <s v="NWY-03501"/>
    <x v="16"/>
    <x v="86"/>
    <n v="560"/>
    <m/>
    <n v="0"/>
    <n v="-17.849270181709841"/>
    <n v="0"/>
    <n v="677.68841227286271"/>
    <n v="1700"/>
    <x v="15"/>
    <s v="&lt;Клиент не выбран&gt;"/>
    <s v="2022 11"/>
    <n v="1022.3115877271373"/>
    <n v="1.5085274725274724"/>
  </r>
  <r>
    <s v="АН01"/>
    <n v="0"/>
    <s v="Anna"/>
    <s v="Доставлен"/>
    <d v="2022-10-15T00:00:00"/>
    <x v="4"/>
    <s v="Витамины"/>
    <s v="CGN-01065"/>
    <x v="1"/>
    <x v="14"/>
    <n v="160"/>
    <m/>
    <n v="0"/>
    <n v="-5.099791480488526"/>
    <n v="0"/>
    <n v="193.62526064938933"/>
    <n v="700"/>
    <x v="15"/>
    <s v="&lt;Клиент не выбран&gt;"/>
    <s v="2022 11"/>
    <n v="506.37473935061064"/>
    <n v="2.6152307692307692"/>
  </r>
  <r>
    <s v="АН01"/>
    <n v="0"/>
    <s v="Anna"/>
    <s v="Доставлен"/>
    <d v="2022-10-15T00:00:00"/>
    <x v="4"/>
    <s v="Витамины"/>
    <s v="CGN-01065"/>
    <x v="1"/>
    <x v="14"/>
    <n v="160"/>
    <m/>
    <n v="0"/>
    <n v="-5.099791480488526"/>
    <n v="0"/>
    <n v="193.62526064938933"/>
    <n v="700"/>
    <x v="8"/>
    <s v="&lt;Клиент не выбран&gt;"/>
    <s v="2022 11"/>
    <n v="506.37473935061064"/>
    <n v="2.6152307692307692"/>
  </r>
  <r>
    <s v="АН01"/>
    <n v="0"/>
    <s v="Anna"/>
    <s v="Доставлен"/>
    <d v="2022-10-15T00:00:00"/>
    <x v="4"/>
    <s v="Витамины"/>
    <s v="CGN-01066"/>
    <x v="1"/>
    <x v="11"/>
    <n v="360"/>
    <m/>
    <n v="0"/>
    <n v="-11.474530831099184"/>
    <n v="0"/>
    <n v="435.65683646112603"/>
    <n v="1500"/>
    <x v="21"/>
    <s v="&lt;Клиент не выбран&gt;"/>
    <s v="2022 10"/>
    <n v="1064.343163538874"/>
    <n v="2.4430769230769229"/>
  </r>
  <r>
    <s v="АН01"/>
    <n v="0"/>
    <s v="Anna"/>
    <s v="Доставлен"/>
    <d v="2022-10-15T00:00:00"/>
    <x v="4"/>
    <s v="Витамины"/>
    <s v="NOW-02313"/>
    <x v="3"/>
    <x v="87"/>
    <n v="640"/>
    <m/>
    <n v="0"/>
    <n v="-20.399165921954104"/>
    <n v="0"/>
    <n v="774.50104259755733"/>
    <n v="1600"/>
    <x v="47"/>
    <s v="&lt;Клиент не выбран&gt;"/>
    <s v="2022 10"/>
    <n v="825.49895740244267"/>
    <n v="1.0658461538461539"/>
  </r>
  <r>
    <s v="АН01"/>
    <n v="0"/>
    <s v="Anna"/>
    <s v="Доставлен"/>
    <d v="2022-10-15T00:00:00"/>
    <x v="4"/>
    <s v="Витамины"/>
    <s v="NOW-00680"/>
    <x v="3"/>
    <x v="88"/>
    <n v="360"/>
    <m/>
    <n v="0"/>
    <n v="-11.474530831099184"/>
    <n v="0"/>
    <n v="435.65683646112603"/>
    <n v="1000"/>
    <x v="47"/>
    <s v="&lt;Клиент не выбран&gt;"/>
    <s v="2022 10"/>
    <n v="564.34316353887402"/>
    <n v="1.2953846153846154"/>
  </r>
  <r>
    <s v="АН01"/>
    <n v="0"/>
    <s v="Anna"/>
    <s v="Доставлен"/>
    <d v="2022-10-15T00:00:00"/>
    <x v="4"/>
    <s v="Витамины"/>
    <s v="MLI-00952"/>
    <x v="1"/>
    <x v="7"/>
    <n v="304"/>
    <m/>
    <n v="0"/>
    <n v="-9.6896038129281994"/>
    <n v="0"/>
    <n v="367.88799523383972"/>
    <n v="900"/>
    <x v="21"/>
    <s v="&lt;Клиент не выбран&gt;"/>
    <s v="2022 10"/>
    <n v="532.11200476616023"/>
    <n v="1.4463967611336033"/>
  </r>
  <r>
    <s v="АН01"/>
    <n v="0"/>
    <s v="Anna"/>
    <s v="Доставлен"/>
    <d v="2022-10-15T00:00:00"/>
    <x v="4"/>
    <s v="Витамины"/>
    <s v="CGN-01330"/>
    <x v="1"/>
    <x v="89"/>
    <n v="648"/>
    <m/>
    <n v="0"/>
    <n v="-20.654155495978532"/>
    <n v="0"/>
    <n v="784.1823056300268"/>
    <n v="2000"/>
    <x v="21"/>
    <s v="&lt;Клиент не выбран&gt;"/>
    <s v="2022 10"/>
    <n v="1215.8176943699732"/>
    <n v="1.5504273504273505"/>
  </r>
  <r>
    <s v="АН01"/>
    <n v="0"/>
    <s v="Anna"/>
    <s v="Доставлен"/>
    <d v="2022-10-15T00:00:00"/>
    <x v="4"/>
    <s v="Витамины"/>
    <s v="NFS-02071"/>
    <x v="23"/>
    <x v="90"/>
    <n v="496"/>
    <m/>
    <n v="0"/>
    <n v="-15.809353589514432"/>
    <n v="0"/>
    <n v="600.23830801310692"/>
    <n v="1200"/>
    <x v="48"/>
    <s v="&lt;Клиент не выбран&gt;"/>
    <s v="2022 11"/>
    <n v="599.76169198689308"/>
    <n v="0.99920595533498768"/>
  </r>
  <r>
    <s v="АН01"/>
    <n v="0"/>
    <s v="Anna"/>
    <s v="Доставлен"/>
    <d v="2022-10-15T00:00:00"/>
    <x v="4"/>
    <s v="Витамины"/>
    <s v=" таблеток"/>
    <x v="10"/>
    <x v="91"/>
    <n v="472"/>
    <m/>
    <n v="0"/>
    <n v="-15.044384867441151"/>
    <n v="0"/>
    <n v="571.19451891569861"/>
    <n v="1200"/>
    <x v="23"/>
    <s v="&lt;Клиент не выбран&gt;"/>
    <s v="2022 10"/>
    <n v="628.80548108430139"/>
    <n v="1.1008604954367665"/>
  </r>
  <r>
    <s v="АН01"/>
    <n v="0"/>
    <s v="Anna"/>
    <s v="Доставлен"/>
    <d v="2022-10-15T00:00:00"/>
    <x v="4"/>
    <s v="Витамины"/>
    <s v="NWY-15788"/>
    <x v="16"/>
    <x v="53"/>
    <n v="503.2"/>
    <m/>
    <n v="0"/>
    <n v="-16.038844206136414"/>
    <n v="0"/>
    <n v="608.9514447423295"/>
    <n v="1200"/>
    <x v="49"/>
    <s v="&lt;Клиент не выбран&gt;"/>
    <s v="2022 10"/>
    <n v="591.0485552576705"/>
    <n v="0.97060046471811168"/>
  </r>
  <r>
    <s v="АН01"/>
    <n v="0"/>
    <s v="Anna"/>
    <s v="Доставлен"/>
    <d v="2022-10-15T00:00:00"/>
    <x v="4"/>
    <s v="Витамины"/>
    <s v="NWY-15788"/>
    <x v="16"/>
    <x v="53"/>
    <n v="503.2"/>
    <m/>
    <n v="0"/>
    <n v="-16.038844206136414"/>
    <n v="0"/>
    <n v="608.9514447423295"/>
    <n v="1200"/>
    <x v="23"/>
    <s v="&lt;Клиент не выбран&gt;"/>
    <s v="2022 10"/>
    <n v="591.0485552576705"/>
    <n v="0.97060046471811168"/>
  </r>
  <r>
    <s v="АН01"/>
    <n v="0"/>
    <s v="Anna"/>
    <s v="Доставлен"/>
    <d v="2022-10-15T00:00:00"/>
    <x v="4"/>
    <s v="Витамины"/>
    <s v="NAP-29978"/>
    <x v="11"/>
    <x v="54"/>
    <n v="456"/>
    <m/>
    <n v="0"/>
    <n v="-14.534405719392302"/>
    <n v="0"/>
    <n v="551.83199285075966"/>
    <n v="1200"/>
    <x v="23"/>
    <s v="&lt;Клиент не выбран&gt;"/>
    <s v="2022 10"/>
    <n v="648.16800714924034"/>
    <n v="1.174574898785425"/>
  </r>
  <r>
    <s v="АН01"/>
    <n v="0"/>
    <s v="Anna"/>
    <s v="Доставлен"/>
    <d v="2022-10-15T00:00:00"/>
    <x v="4"/>
    <s v="Витамины"/>
    <s v="NOW-03056"/>
    <x v="3"/>
    <x v="92"/>
    <n v="720"/>
    <m/>
    <n v="0"/>
    <n v="-22.949061662198368"/>
    <n v="0"/>
    <n v="871.31367292225207"/>
    <n v="1900"/>
    <x v="50"/>
    <s v="&lt;Клиент не выбран&gt;"/>
    <s v="2022 11"/>
    <n v="1028.686327077748"/>
    <n v="1.1806153846153846"/>
  </r>
  <r>
    <s v="АН01"/>
    <n v="0"/>
    <s v="Anna"/>
    <s v="Доставлен"/>
    <d v="2022-10-15T00:00:00"/>
    <x v="4"/>
    <s v="Витамины"/>
    <s v="NOW-02313"/>
    <x v="3"/>
    <x v="87"/>
    <n v="640"/>
    <m/>
    <n v="0"/>
    <n v="-20.399165921954104"/>
    <n v="0"/>
    <n v="774.50104259755733"/>
    <n v="1700"/>
    <x v="21"/>
    <s v="&lt;Клиент не выбран&gt;"/>
    <s v="2022 10"/>
    <n v="925.49895740244267"/>
    <n v="1.1949615384615384"/>
  </r>
  <r>
    <s v="АН01"/>
    <n v="0"/>
    <s v="Anna"/>
    <s v="Доставлен"/>
    <d v="2022-10-15T00:00:00"/>
    <x v="4"/>
    <s v="Витамины"/>
    <s v="NOW-02313"/>
    <x v="3"/>
    <x v="87"/>
    <n v="640"/>
    <m/>
    <n v="0"/>
    <n v="-20.399165921954104"/>
    <n v="0"/>
    <n v="774.50104259755733"/>
    <n v="1700"/>
    <x v="51"/>
    <s v="&lt;Клиент не выбран&gt;"/>
    <s v="2022 10"/>
    <n v="925.49895740244267"/>
    <n v="1.1949615384615384"/>
  </r>
  <r>
    <s v="АН01"/>
    <n v="0"/>
    <s v="Anna"/>
    <s v="Доставлен"/>
    <d v="2022-10-15T00:00:00"/>
    <x v="4"/>
    <s v="Витамины"/>
    <s v="NOW-02313"/>
    <x v="3"/>
    <x v="87"/>
    <n v="640"/>
    <m/>
    <n v="0"/>
    <n v="-20.399165921954104"/>
    <n v="0"/>
    <n v="774.50104259755733"/>
    <n v="1700"/>
    <x v="52"/>
    <s v="&lt;Клиент не выбран&gt;"/>
    <s v="2022 10"/>
    <n v="925.49895740244267"/>
    <n v="1.1949615384615384"/>
  </r>
  <r>
    <s v="АН01"/>
    <n v="0"/>
    <s v="Anna"/>
    <s v="Доставлен"/>
    <d v="2022-10-15T00:00:00"/>
    <x v="4"/>
    <s v="Витамины"/>
    <s v="MLI-00952"/>
    <x v="1"/>
    <x v="7"/>
    <n v="304"/>
    <m/>
    <n v="0"/>
    <n v="-9.6896038129281994"/>
    <n v="0"/>
    <n v="367.88799523383972"/>
    <n v="900"/>
    <x v="53"/>
    <s v="&lt;Клиент не выбран&gt;"/>
    <s v="2022 10"/>
    <n v="532.11200476616023"/>
    <n v="1.4463967611336033"/>
  </r>
  <r>
    <s v="АН01"/>
    <n v="0"/>
    <s v="Anna"/>
    <s v="Доставлен"/>
    <d v="2022-10-15T00:00:00"/>
    <x v="4"/>
    <s v="Витамины"/>
    <s v="NFS-02071"/>
    <x v="23"/>
    <x v="90"/>
    <n v="496"/>
    <m/>
    <n v="0"/>
    <n v="-15.809353589514432"/>
    <n v="0"/>
    <n v="600.23830801310692"/>
    <n v="1200"/>
    <x v="52"/>
    <s v="&lt;Клиент не выбран&gt;"/>
    <s v="2022 10"/>
    <n v="599.76169198689308"/>
    <n v="0.99920595533498768"/>
  </r>
  <r>
    <s v="АН02"/>
    <n v="0"/>
    <s v="Anna"/>
    <s v="Доставлен"/>
    <d v="2022-10-16T00:00:00"/>
    <x v="4"/>
    <s v="Витамины"/>
    <s v="SRE-01145"/>
    <x v="36"/>
    <x v="93"/>
    <n v="424"/>
    <m/>
    <n v="0"/>
    <n v="-17.966101694915253"/>
    <n v="0"/>
    <n v="507.5423728813559"/>
    <m/>
    <x v="20"/>
    <m/>
    <s v=""/>
    <n v="-507.5423728813559"/>
    <s v=""/>
  </r>
  <r>
    <s v="АН02"/>
    <n v="0"/>
    <s v="Anna"/>
    <s v="Доставлен"/>
    <d v="2022-10-16T00:00:00"/>
    <x v="4"/>
    <s v="Витамины"/>
    <s v="MRM-21104"/>
    <x v="37"/>
    <x v="94"/>
    <n v="720"/>
    <m/>
    <n v="0"/>
    <n v="-30.508474576271187"/>
    <n v="0"/>
    <n v="861.86440677966107"/>
    <n v="1800"/>
    <x v="50"/>
    <s v="&lt;Клиент не выбран&gt;"/>
    <s v="2022 11"/>
    <n v="938.13559322033893"/>
    <n v="1.0884955752212389"/>
  </r>
  <r>
    <s v="АН02"/>
    <n v="0"/>
    <s v="Anna"/>
    <s v="Доставлен"/>
    <d v="2022-10-16T00:00:00"/>
    <x v="4"/>
    <s v="Косметика"/>
    <s v="MBN-01231"/>
    <x v="14"/>
    <x v="95"/>
    <n v="436"/>
    <m/>
    <n v="0"/>
    <n v="-18.474576271186439"/>
    <n v="0"/>
    <n v="521.90677966101691"/>
    <n v="1200"/>
    <x v="54"/>
    <s v="&lt;Клиент не выбран&gt;"/>
    <s v="2023 04"/>
    <n v="678.09322033898309"/>
    <n v="1.2992611837298045"/>
  </r>
  <r>
    <s v="АН02"/>
    <n v="0"/>
    <s v="Anna"/>
    <s v="Доставлен"/>
    <d v="2022-10-16T00:00:00"/>
    <x v="4"/>
    <s v="Косметика"/>
    <s v="AVA-36102"/>
    <x v="38"/>
    <x v="96"/>
    <n v="620"/>
    <m/>
    <n v="0"/>
    <n v="-26.271186440677965"/>
    <n v="0"/>
    <n v="742.16101694915255"/>
    <n v="1400"/>
    <x v="55"/>
    <s v="&lt;Клиент не выбран&gt;"/>
    <s v="2022 11"/>
    <n v="657.83898305084745"/>
    <n v="0.88638310019982869"/>
  </r>
  <r>
    <s v="АН02"/>
    <n v="0"/>
    <s v="Anna"/>
    <s v="Доставлен"/>
    <d v="2022-10-16T00:00:00"/>
    <x v="4"/>
    <s v="Витамины"/>
    <s v="NBC-01016"/>
    <x v="8"/>
    <x v="97"/>
    <n v="316"/>
    <m/>
    <n v="0"/>
    <n v="-13.389830508474576"/>
    <n v="0"/>
    <n v="378.26271186440681"/>
    <n v="900"/>
    <x v="23"/>
    <s v="&lt;Клиент не выбран&gt;"/>
    <s v="2022 10"/>
    <n v="521.73728813559319"/>
    <n v="1.3792987565811581"/>
  </r>
  <r>
    <s v="АН02"/>
    <n v="0"/>
    <s v="Anna"/>
    <s v="Доставлен"/>
    <d v="2022-10-16T00:00:00"/>
    <x v="4"/>
    <s v="Витамины"/>
    <s v="NWY-11750"/>
    <x v="16"/>
    <x v="98"/>
    <n v="388"/>
    <m/>
    <n v="0"/>
    <n v="-16.440677966101696"/>
    <n v="0"/>
    <n v="464.44915254237287"/>
    <n v="1200"/>
    <x v="56"/>
    <s v="&lt;Клиент не выбран&gt;"/>
    <s v="2022 11"/>
    <n v="735.55084745762713"/>
    <n v="1.5837058662530792"/>
  </r>
  <r>
    <s v="АН02"/>
    <n v="0"/>
    <s v="Anna"/>
    <s v="Доставлен"/>
    <d v="2022-10-16T00:00:00"/>
    <x v="4"/>
    <s v="Витамины"/>
    <s v="NOW-05975"/>
    <x v="3"/>
    <x v="99"/>
    <n v="480"/>
    <m/>
    <n v="0"/>
    <n v="-20.338983050847457"/>
    <n v="0"/>
    <n v="574.57627118644064"/>
    <n v="1900"/>
    <x v="57"/>
    <s v="&lt;Клиент не выбран&gt;"/>
    <s v="2024 01"/>
    <n v="1325.4237288135594"/>
    <n v="2.306784660766962"/>
  </r>
  <r>
    <s v="АН02"/>
    <n v="0"/>
    <s v="Anna"/>
    <s v="Доставлен"/>
    <d v="2022-10-16T00:00:00"/>
    <x v="4"/>
    <s v="Витамины"/>
    <s v="NOW-03775"/>
    <x v="3"/>
    <x v="100"/>
    <n v="260"/>
    <m/>
    <n v="0"/>
    <n v="-11.016949152542374"/>
    <n v="0"/>
    <n v="311.22881355932202"/>
    <n v="800"/>
    <x v="49"/>
    <s v="&lt;Клиент не выбран&gt;"/>
    <s v="2022 10"/>
    <n v="488.77118644067798"/>
    <n v="1.5704560925799864"/>
  </r>
  <r>
    <s v="АН02"/>
    <n v="0"/>
    <s v="Anna"/>
    <s v="Доставлен"/>
    <d v="2022-10-16T00:00:00"/>
    <x v="4"/>
    <s v="Витамины"/>
    <s v="NOW-02696"/>
    <x v="3"/>
    <x v="101"/>
    <n v="276"/>
    <m/>
    <n v="0"/>
    <n v="-11.694915254237289"/>
    <n v="0"/>
    <n v="330.38135593220341"/>
    <n v="900"/>
    <x v="8"/>
    <s v="&lt;Клиент не выбран&gt;"/>
    <s v="2022 11"/>
    <n v="569.61864406779659"/>
    <n v="1.7241246633320506"/>
  </r>
  <r>
    <s v="АН02"/>
    <n v="0"/>
    <s v="Anna"/>
    <s v="Доставлен"/>
    <d v="2022-10-16T00:00:00"/>
    <x v="4"/>
    <s v="Витамины"/>
    <s v="NFS-02815"/>
    <x v="23"/>
    <x v="102"/>
    <n v="456"/>
    <m/>
    <n v="0"/>
    <n v="-19.322033898305083"/>
    <n v="0"/>
    <n v="545.84745762711862"/>
    <n v="1300"/>
    <x v="16"/>
    <s v="&lt;Клиент не выбран&gt;"/>
    <s v="2022 11"/>
    <n v="754.15254237288138"/>
    <n v="1.3816177612172025"/>
  </r>
  <r>
    <s v="АН02"/>
    <n v="0"/>
    <s v="Anna"/>
    <s v="Доставлен"/>
    <d v="2022-10-16T00:00:00"/>
    <x v="4"/>
    <s v="Витамины"/>
    <s v="AMH-16971"/>
    <x v="22"/>
    <x v="45"/>
    <n v="464"/>
    <m/>
    <n v="0"/>
    <n v="-19.661016949152543"/>
    <n v="0"/>
    <n v="555.42372881355936"/>
    <n v="1200"/>
    <x v="58"/>
    <s v="&lt;Клиент не выбран&gt;"/>
    <s v="2022 10"/>
    <n v="644.57627118644064"/>
    <n v="1.1605126640219712"/>
  </r>
  <r>
    <s v="АН02"/>
    <n v="0"/>
    <s v="Anna"/>
    <s v="Доставлен"/>
    <d v="2022-10-16T00:00:00"/>
    <x v="4"/>
    <s v="Спортпит"/>
    <s v="CGN-01126"/>
    <x v="1"/>
    <x v="103"/>
    <n v="208"/>
    <m/>
    <n v="0"/>
    <n v="-8.8135593220338979"/>
    <n v="0"/>
    <n v="248.9830508474576"/>
    <n v="800"/>
    <x v="3"/>
    <s v="&lt;Клиент не выбран&gt;"/>
    <s v="2022 11"/>
    <n v="551.01694915254234"/>
    <n v="2.213070115724983"/>
  </r>
  <r>
    <s v="АН02"/>
    <n v="0"/>
    <s v="Anna"/>
    <s v="Доставлен"/>
    <d v="2022-10-16T00:00:00"/>
    <x v="4"/>
    <s v="Витамины"/>
    <s v="NFS-04913"/>
    <x v="23"/>
    <x v="104"/>
    <n v="600"/>
    <m/>
    <n v="0"/>
    <n v="-25.423728813559322"/>
    <n v="0"/>
    <n v="718.22033898305085"/>
    <n v="718.22"/>
    <x v="17"/>
    <s v="&lt;Клиент не выбран&gt;"/>
    <s v="2022 09"/>
    <n v="-3.3898305082402658E-4"/>
    <n v="-4.7197640114731723E-7"/>
  </r>
  <r>
    <s v="АН02"/>
    <n v="0"/>
    <s v="Anna"/>
    <s v="Доставлен"/>
    <d v="2022-10-16T00:00:00"/>
    <x v="4"/>
    <s v="Витамины"/>
    <s v="NOW-07756"/>
    <x v="3"/>
    <x v="105"/>
    <n v="388"/>
    <m/>
    <n v="0"/>
    <n v="-16.440677966101696"/>
    <n v="0"/>
    <n v="464.44915254237287"/>
    <n v="900"/>
    <x v="8"/>
    <s v="&lt;Клиент не выбран&gt;"/>
    <s v="2022 11"/>
    <n v="435.55084745762713"/>
    <n v="0.93777939968980939"/>
  </r>
  <r>
    <s v="АН02"/>
    <n v="0"/>
    <s v="Anna"/>
    <s v="Доставлен"/>
    <d v="2022-10-16T00:00:00"/>
    <x v="4"/>
    <s v="Витамины"/>
    <s v="DRB-00091"/>
    <x v="6"/>
    <x v="16"/>
    <n v="452"/>
    <m/>
    <n v="0"/>
    <n v="-19.152542372881356"/>
    <n v="0"/>
    <n v="541.0593220338983"/>
    <n v="1400"/>
    <x v="32"/>
    <s v="&lt;Клиент не выбран&gt;"/>
    <s v="2022 12"/>
    <n v="858.9406779661017"/>
    <n v="1.5875166418670217"/>
  </r>
  <r>
    <s v="АН02"/>
    <n v="0"/>
    <s v="Anna"/>
    <s v="Доставлен"/>
    <d v="2022-10-16T00:00:00"/>
    <x v="4"/>
    <s v="Витамины"/>
    <s v="LEX-17406"/>
    <x v="7"/>
    <x v="106"/>
    <n v="276"/>
    <m/>
    <n v="0"/>
    <n v="-11.694915254237289"/>
    <n v="0"/>
    <n v="330.38135593220341"/>
    <n v="900"/>
    <x v="25"/>
    <s v="&lt;Клиент не выбран&gt;"/>
    <s v="2022 11"/>
    <n v="569.61864406779659"/>
    <n v="1.7241246633320506"/>
  </r>
  <r>
    <s v="АН02"/>
    <n v="0"/>
    <s v="Anna"/>
    <s v="Доставлен"/>
    <d v="2022-10-16T00:00:00"/>
    <x v="4"/>
    <s v="Витамины"/>
    <s v="NWY-15408"/>
    <x v="16"/>
    <x v="107"/>
    <n v="604"/>
    <m/>
    <n v="0"/>
    <n v="-25.593220338983052"/>
    <n v="0"/>
    <n v="723.00847457627117"/>
    <n v="1700"/>
    <x v="23"/>
    <s v="&lt;Клиент не выбран&gt;"/>
    <s v="2022 10"/>
    <n v="976.99152542372883"/>
    <n v="1.3512864091894743"/>
  </r>
  <r>
    <s v="АН02"/>
    <n v="0"/>
    <s v="Anna"/>
    <s v="Доставлен"/>
    <d v="2022-10-16T00:00:00"/>
    <x v="4"/>
    <s v="Витамины"/>
    <s v="CGN-01034"/>
    <x v="1"/>
    <x v="84"/>
    <n v="380"/>
    <m/>
    <n v="0"/>
    <n v="-16.101694915254239"/>
    <n v="0"/>
    <n v="454.87288135593218"/>
    <n v="900"/>
    <x v="23"/>
    <s v="&lt;Клиент не выбран&gt;"/>
    <s v="2022 10"/>
    <n v="445.12711864406782"/>
    <n v="0.97857475547275274"/>
  </r>
  <r>
    <s v="АН02"/>
    <n v="0"/>
    <s v="Anna"/>
    <s v="Доставлен"/>
    <d v="2022-10-16T00:00:00"/>
    <x v="4"/>
    <s v="Витамины"/>
    <s v="CGN-01034"/>
    <x v="1"/>
    <x v="84"/>
    <n v="380"/>
    <m/>
    <n v="0"/>
    <n v="-16.101694915254239"/>
    <n v="0"/>
    <n v="454.87288135593218"/>
    <n v="900"/>
    <x v="23"/>
    <s v="&lt;Клиент не выбран&gt;"/>
    <s v="2022 10"/>
    <n v="445.12711864406782"/>
    <n v="0.97857475547275274"/>
  </r>
  <r>
    <s v="АН02"/>
    <n v="0"/>
    <s v="Anna"/>
    <s v="Доставлен"/>
    <d v="2022-10-16T00:00:00"/>
    <x v="4"/>
    <s v="Витамины"/>
    <s v="DRB-00091"/>
    <x v="6"/>
    <x v="16"/>
    <n v="452"/>
    <m/>
    <n v="0"/>
    <n v="-19.152542372881356"/>
    <n v="0"/>
    <n v="541.0593220338983"/>
    <n v="1400"/>
    <x v="23"/>
    <s v="&lt;Клиент не выбран&gt;"/>
    <s v="2022 10"/>
    <n v="858.9406779661017"/>
    <n v="1.5875166418670217"/>
  </r>
  <r>
    <s v="АН02"/>
    <n v="0"/>
    <s v="Anna"/>
    <s v="Доставлен"/>
    <d v="2022-10-16T00:00:00"/>
    <x v="4"/>
    <s v="Витамины"/>
    <s v="NOW-03775"/>
    <x v="3"/>
    <x v="100"/>
    <n v="260"/>
    <m/>
    <n v="0"/>
    <n v="-11.016949152542374"/>
    <n v="0"/>
    <n v="311.22881355932202"/>
    <n v="800"/>
    <x v="9"/>
    <s v="&lt;Клиент не выбран&gt;"/>
    <s v="2022 11"/>
    <n v="488.77118644067798"/>
    <n v="1.5704560925799864"/>
  </r>
  <r>
    <s v="АН02"/>
    <n v="0"/>
    <s v="Anna"/>
    <s v="Доставлен"/>
    <d v="2022-10-16T00:00:00"/>
    <x v="4"/>
    <s v="Витамины"/>
    <s v="NFS-04913"/>
    <x v="23"/>
    <x v="104"/>
    <n v="600"/>
    <m/>
    <n v="0"/>
    <n v="-25.423728813559322"/>
    <n v="0"/>
    <n v="718.22033898305085"/>
    <n v="1700"/>
    <x v="58"/>
    <s v="&lt;Клиент не выбран&gt;"/>
    <s v="2022 10"/>
    <n v="981.77966101694915"/>
    <n v="1.3669616519174042"/>
  </r>
  <r>
    <s v="OZA01"/>
    <n v="0"/>
    <s v="OZON_AV"/>
    <s v="Доставлен"/>
    <d v="2022-10-19T00:00:00"/>
    <x v="4"/>
    <s v="Спортпит"/>
    <s v="310130219"/>
    <x v="39"/>
    <x v="108"/>
    <n v="535.20000000000005"/>
    <m/>
    <n v="0"/>
    <n v="-4.6339348079162175"/>
    <n v="61.370430733410942"/>
    <n v="739.9206199068683"/>
    <n v="1500"/>
    <x v="23"/>
    <s v="&lt;Клиент не выбран&gt;"/>
    <s v="2022 10"/>
    <n v="760.0793800931317"/>
    <n v="1.0272444903465465"/>
  </r>
  <r>
    <s v="OZA01"/>
    <n v="0"/>
    <s v="OZON_AV"/>
    <s v="Доставлен"/>
    <d v="2022-10-19T00:00:00"/>
    <x v="4"/>
    <s v="Спортпит"/>
    <s v="170919152"/>
    <x v="40"/>
    <x v="109"/>
    <n v="839.2"/>
    <m/>
    <n v="0"/>
    <n v="-7.2660651920838735"/>
    <n v="96.229569266589067"/>
    <n v="1160.2043800931315"/>
    <n v="1700"/>
    <x v="10"/>
    <s v="&lt;Клиент не выбран&gt;"/>
    <s v="2022 11"/>
    <n v="539.79561990686852"/>
    <n v="0.46525907777002035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59"/>
    <s v="&lt;Клиент не выбран&gt;"/>
    <s v="2022 10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24"/>
    <s v="&lt;Клиент не выбран&gt;"/>
    <s v="2022 10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52"/>
    <s v="&lt;Клиент не выбран&gt;"/>
    <s v="2022 10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9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14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10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50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50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50"/>
    <s v="&lt;Клиент не выбран&gt;"/>
    <s v="2022 11"/>
    <n v="1000"/>
    <n v="1"/>
  </r>
  <r>
    <s v="РО01"/>
    <n v="0"/>
    <s v="Roman"/>
    <s v="Доставлен"/>
    <d v="2022-10-24T00:00:00"/>
    <x v="4"/>
    <s v="Витамины"/>
    <s v="CGN-01033"/>
    <x v="1"/>
    <x v="1"/>
    <n v="800"/>
    <m/>
    <n v="0"/>
    <n v="0"/>
    <n v="0"/>
    <n v="1000"/>
    <n v="2000"/>
    <x v="60"/>
    <s v="&lt;Клиент не выбран&gt;"/>
    <s v="2022 11"/>
    <n v="1000"/>
    <n v="1"/>
  </r>
  <r>
    <s v="АН03"/>
    <n v="0"/>
    <s v="Anna"/>
    <s v="Доставлен"/>
    <d v="2022-10-27T00:00:00"/>
    <x v="4"/>
    <s v="Витамины"/>
    <s v="CEN-21434"/>
    <x v="2"/>
    <x v="110"/>
    <n v="328"/>
    <m/>
    <n v="0"/>
    <n v="-17.081081081081081"/>
    <n v="0"/>
    <n v="388.64864864864865"/>
    <n v="1000"/>
    <x v="24"/>
    <s v="&lt;Клиент не выбран&gt;"/>
    <s v="2022 10"/>
    <n v="611.35135135135135"/>
    <n v="1.573018080667594"/>
  </r>
  <r>
    <s v="АН03"/>
    <n v="0"/>
    <s v="Anna"/>
    <s v="Доставлен"/>
    <d v="2022-10-27T00:00:00"/>
    <x v="4"/>
    <s v="Витамины"/>
    <s v="CEN-21434"/>
    <x v="2"/>
    <x v="110"/>
    <n v="328"/>
    <m/>
    <n v="0"/>
    <n v="-17.081081081081081"/>
    <n v="0"/>
    <n v="388.64864864864865"/>
    <n v="1100"/>
    <x v="15"/>
    <s v="&lt;Клиент не выбран&gt;"/>
    <s v="2022 11"/>
    <n v="711.35135135135135"/>
    <n v="1.8303198887343533"/>
  </r>
  <r>
    <s v="АН03"/>
    <n v="0"/>
    <s v="Anna"/>
    <s v="Доставлен"/>
    <d v="2022-10-27T00:00:00"/>
    <x v="4"/>
    <s v="Витамины"/>
    <s v="NFS-01683"/>
    <x v="23"/>
    <x v="111"/>
    <n v="184"/>
    <m/>
    <n v="0"/>
    <n v="-9.5820698747528024"/>
    <n v="0"/>
    <n v="218.02241265655903"/>
    <n v="600"/>
    <x v="15"/>
    <s v="&lt;Клиент не выбран&gt;"/>
    <s v="2022 11"/>
    <n v="381.97758734344097"/>
    <n v="1.7520106428009914"/>
  </r>
  <r>
    <s v="АН03"/>
    <n v="0"/>
    <s v="Anna"/>
    <s v="Доставлен"/>
    <d v="2022-10-27T00:00:00"/>
    <x v="4"/>
    <s v="Витамины"/>
    <s v="NFS-01683"/>
    <x v="23"/>
    <x v="111"/>
    <n v="184"/>
    <m/>
    <n v="0"/>
    <n v="-9.5820698747528024"/>
    <n v="0"/>
    <n v="218.02241265655903"/>
    <n v="600"/>
    <x v="15"/>
    <s v="&lt;Клиент не выбран&gt;"/>
    <s v="2022 11"/>
    <n v="381.97758734344097"/>
    <n v="1.7520106428009914"/>
  </r>
  <r>
    <s v="АН03"/>
    <n v="0"/>
    <s v="Anna"/>
    <s v="Доставлен"/>
    <d v="2022-10-27T00:00:00"/>
    <x v="4"/>
    <s v="Витамины"/>
    <s v="NFS-01652"/>
    <x v="23"/>
    <x v="112"/>
    <n v="280"/>
    <m/>
    <n v="0"/>
    <n v="-14.581410678971654"/>
    <n v="0"/>
    <n v="331.7732366512854"/>
    <n v="900"/>
    <x v="10"/>
    <s v="&lt;Клиент не выбран&gt;"/>
    <s v="2022 11"/>
    <n v="568.2267633487146"/>
    <n v="1.7126962050466921"/>
  </r>
  <r>
    <s v="АН03"/>
    <n v="0"/>
    <s v="Anna"/>
    <s v="Доставлен"/>
    <d v="2022-10-27T00:00:00"/>
    <x v="4"/>
    <s v="Витамины"/>
    <s v="NFS-01652"/>
    <x v="23"/>
    <x v="112"/>
    <n v="280"/>
    <m/>
    <n v="0"/>
    <n v="-14.581410678971654"/>
    <n v="0"/>
    <n v="331.7732366512854"/>
    <n v="900"/>
    <x v="44"/>
    <s v="&lt;Клиент не выбран&gt;"/>
    <s v="2023 01"/>
    <n v="568.2267633487146"/>
    <n v="1.7126962050466921"/>
  </r>
  <r>
    <s v="АН03"/>
    <n v="0"/>
    <s v="Anna"/>
    <s v="Доставлен"/>
    <d v="2022-10-27T00:00:00"/>
    <x v="4"/>
    <s v="Витамины"/>
    <s v="DRB-00025"/>
    <x v="6"/>
    <x v="113"/>
    <n v="424"/>
    <m/>
    <n v="0"/>
    <n v="-22.080421885299934"/>
    <n v="0"/>
    <n v="502.39947264337508"/>
    <n v="1200"/>
    <x v="61"/>
    <s v="&lt;Клиент не выбран&gt;"/>
    <s v="2022 10"/>
    <n v="697.60052735662498"/>
    <n v="1.3885375390348231"/>
  </r>
  <r>
    <s v="АН03"/>
    <n v="0"/>
    <s v="Anna"/>
    <s v="Доставлен"/>
    <d v="2022-10-27T00:00:00"/>
    <x v="4"/>
    <s v="Витамины"/>
    <s v="DRB-00025"/>
    <x v="6"/>
    <x v="113"/>
    <n v="424"/>
    <m/>
    <n v="0"/>
    <n v="-22.080421885299934"/>
    <n v="0"/>
    <n v="502.39947264337508"/>
    <n v="1500"/>
    <x v="15"/>
    <s v="&lt;Клиент не выбран&gt;"/>
    <s v="2022 11"/>
    <n v="997.60052735662498"/>
    <n v="1.985671923793529"/>
  </r>
  <r>
    <s v="АН03"/>
    <n v="0"/>
    <s v="Anna"/>
    <s v="Доставлен"/>
    <d v="2022-10-27T00:00:00"/>
    <x v="4"/>
    <s v="Витамины"/>
    <s v="NOW-00680"/>
    <x v="3"/>
    <x v="88"/>
    <n v="360"/>
    <m/>
    <n v="0"/>
    <n v="-18.747528015820698"/>
    <n v="0"/>
    <n v="426.5655899802241"/>
    <n v="1100"/>
    <x v="62"/>
    <s v="&lt;Клиент не выбран&gt;"/>
    <s v="2022 11"/>
    <n v="673.4344100197759"/>
    <n v="1.5787358986246331"/>
  </r>
  <r>
    <s v="АН03"/>
    <n v="0"/>
    <s v="Anna"/>
    <s v="Доставлен"/>
    <d v="2022-10-27T00:00:00"/>
    <x v="4"/>
    <s v="Витамины"/>
    <s v="NOW-00680"/>
    <x v="3"/>
    <x v="88"/>
    <n v="360"/>
    <m/>
    <n v="0"/>
    <n v="-18.747528015820698"/>
    <n v="0"/>
    <n v="426.5655899802241"/>
    <n v="1100"/>
    <x v="63"/>
    <s v="&lt;Клиент не выбран&gt;"/>
    <s v="2022 11"/>
    <n v="673.4344100197759"/>
    <n v="1.5787358986246331"/>
  </r>
  <r>
    <s v="АН03"/>
    <n v="0"/>
    <s v="Anna"/>
    <s v="Доставлен"/>
    <d v="2022-10-27T00:00:00"/>
    <x v="4"/>
    <s v="Витамины"/>
    <s v="CGN-00931"/>
    <x v="1"/>
    <x v="24"/>
    <n v="160"/>
    <m/>
    <n v="0"/>
    <n v="-8.332234673698089"/>
    <n v="0"/>
    <n v="189.5847066578774"/>
    <n v="700"/>
    <x v="10"/>
    <s v="&lt;Клиент не выбран&gt;"/>
    <s v="2022 11"/>
    <n v="510.4152933421226"/>
    <n v="2.692280945757997"/>
  </r>
  <r>
    <s v="АН03"/>
    <n v="0"/>
    <s v="Anna"/>
    <s v="Доставлен"/>
    <d v="2022-10-27T00:00:00"/>
    <x v="4"/>
    <s v="Витамины"/>
    <s v="MLI-00952"/>
    <x v="1"/>
    <x v="7"/>
    <n v="304"/>
    <m/>
    <n v="0"/>
    <n v="-15.831245880026367"/>
    <n v="0"/>
    <n v="360.21094264996702"/>
    <n v="900"/>
    <x v="52"/>
    <s v="&lt;Клиент не выбран&gt;"/>
    <s v="2022 10"/>
    <n v="539.78905735003298"/>
    <n v="1.4985359783324794"/>
  </r>
  <r>
    <s v="АН03"/>
    <n v="0"/>
    <s v="Anna"/>
    <s v="Доставлен"/>
    <d v="2022-10-27T00:00:00"/>
    <x v="4"/>
    <s v="Витамины"/>
    <s v="MLI-00952"/>
    <x v="1"/>
    <x v="7"/>
    <n v="304"/>
    <m/>
    <n v="0"/>
    <n v="-15.831245880026367"/>
    <n v="0"/>
    <n v="360.21094264996702"/>
    <n v="900"/>
    <x v="52"/>
    <s v="&lt;Клиент не выбран&gt;"/>
    <s v="2022 10"/>
    <n v="539.78905735003298"/>
    <n v="1.4985359783324794"/>
  </r>
  <r>
    <s v="АН03"/>
    <n v="0"/>
    <s v="Anna"/>
    <s v="Доставлен"/>
    <d v="2022-10-27T00:00:00"/>
    <x v="4"/>
    <s v="Витамины"/>
    <s v="MLI-00952"/>
    <x v="1"/>
    <x v="7"/>
    <n v="304"/>
    <m/>
    <n v="0"/>
    <n v="-15.831245880026367"/>
    <n v="0"/>
    <n v="360.21094264996702"/>
    <n v="900"/>
    <x v="52"/>
    <s v="&lt;Клиент не выбран&gt;"/>
    <s v="2022 10"/>
    <n v="539.78905735003298"/>
    <n v="1.4985359783324794"/>
  </r>
  <r>
    <s v="АН03"/>
    <n v="0"/>
    <s v="Anna"/>
    <s v="Доставлен"/>
    <d v="2022-10-27T00:00:00"/>
    <x v="4"/>
    <s v="Витамины"/>
    <s v="CGN-01330"/>
    <x v="1"/>
    <x v="89"/>
    <n v="648"/>
    <m/>
    <n v="0"/>
    <n v="-33.745550428477259"/>
    <n v="0"/>
    <n v="767.81806196440346"/>
    <n v="2000"/>
    <x v="61"/>
    <s v="&lt;Клиент не выбран&gt;"/>
    <s v="2022 10"/>
    <n v="1232.1819380355964"/>
    <n v="1.6047837359844774"/>
  </r>
  <r>
    <s v="АН03"/>
    <n v="0"/>
    <s v="Anna"/>
    <s v="Доставлен"/>
    <d v="2022-10-27T00:00:00"/>
    <x v="4"/>
    <s v="Витамины"/>
    <s v="CGN-01034"/>
    <x v="1"/>
    <x v="84"/>
    <n v="376"/>
    <m/>
    <n v="0"/>
    <n v="-19.580751483190507"/>
    <n v="0"/>
    <n v="445.52406064601189"/>
    <n v="800"/>
    <x v="64"/>
    <s v="&lt;Клиент не выбран&gt;"/>
    <s v="2023 02"/>
    <n v="354.47593935398811"/>
    <n v="0.79563814991270376"/>
  </r>
  <r>
    <s v="АН03"/>
    <n v="0"/>
    <s v="Anna"/>
    <s v="Доставлен"/>
    <d v="2022-10-27T00:00:00"/>
    <x v="4"/>
    <s v="Витамины"/>
    <s v="CGN-01066"/>
    <x v="1"/>
    <x v="11"/>
    <n v="180"/>
    <m/>
    <n v="0"/>
    <n v="-9.3737640079103492"/>
    <n v="0"/>
    <n v="213.28279499011205"/>
    <n v="1500"/>
    <x v="15"/>
    <s v="&lt;Клиент не выбран&gt;"/>
    <s v="2022 11"/>
    <n v="1286.7172050098879"/>
    <n v="6.0329160871580907"/>
  </r>
  <r>
    <s v="АН03"/>
    <n v="0"/>
    <s v="Anna"/>
    <s v="Доставлен"/>
    <d v="2022-10-27T00:00:00"/>
    <x v="4"/>
    <s v="Витамины"/>
    <s v="NOW-02313"/>
    <x v="3"/>
    <x v="87"/>
    <n v="640"/>
    <m/>
    <n v="0"/>
    <n v="-33.328938694792356"/>
    <n v="0"/>
    <n v="758.33882663150962"/>
    <n v="1800"/>
    <x v="8"/>
    <s v="&lt;Клиент не выбран&gt;"/>
    <s v="2022 11"/>
    <n v="1041.6611733684904"/>
    <n v="1.3736091794158551"/>
  </r>
  <r>
    <s v="РО02"/>
    <n v="0"/>
    <s v="Roman"/>
    <s v="Доставлен"/>
    <d v="2022-11-02T00:00:00"/>
    <x v="5"/>
    <s v="Витамины"/>
    <s v="NOW-00474"/>
    <x v="3"/>
    <x v="114"/>
    <n v="436"/>
    <m/>
    <n v="0"/>
    <n v="-14.222342607282318"/>
    <n v="0"/>
    <n v="527.22207174089715"/>
    <n v="527.22"/>
    <x v="65"/>
    <s v="&lt;Клиент не выбран&gt;"/>
    <s v="2022 10"/>
    <n v="-2.071740897122254E-3"/>
    <n v="-3.9295412847214964E-6"/>
  </r>
  <r>
    <s v="РО02"/>
    <n v="0"/>
    <s v="Roman"/>
    <s v="Доставлен"/>
    <d v="2022-11-02T00:00:00"/>
    <x v="5"/>
    <s v="Витамины"/>
    <s v="CEN-27116"/>
    <x v="2"/>
    <x v="5"/>
    <n v="336.8"/>
    <m/>
    <n v="0"/>
    <n v="-10.986433463607074"/>
    <n v="0"/>
    <n v="407.26695817049119"/>
    <n v="850"/>
    <x v="14"/>
    <s v="&lt;Клиент не выбран&gt;"/>
    <s v="2022 11"/>
    <n v="442.73304182950881"/>
    <n v="1.0870831353919232"/>
  </r>
  <r>
    <s v="РО02"/>
    <n v="0"/>
    <s v="Roman"/>
    <s v="Доставлен"/>
    <d v="2022-11-02T00:00:00"/>
    <x v="5"/>
    <s v="Витамины"/>
    <s v="CEN-27116"/>
    <x v="2"/>
    <x v="5"/>
    <n v="336.8"/>
    <m/>
    <n v="0"/>
    <n v="-10.986433463607074"/>
    <n v="0"/>
    <n v="407.26695817049119"/>
    <n v="850"/>
    <x v="14"/>
    <s v="&lt;Клиент не выбран&gt;"/>
    <s v="2022 11"/>
    <n v="442.73304182950881"/>
    <n v="1.0870831353919232"/>
  </r>
  <r>
    <s v="РО02"/>
    <n v="0"/>
    <s v="Roman"/>
    <s v="Доставлен"/>
    <d v="2022-11-02T00:00:00"/>
    <x v="5"/>
    <s v="Витамины"/>
    <s v="NOW-01652"/>
    <x v="3"/>
    <x v="37"/>
    <n v="600"/>
    <m/>
    <n v="0"/>
    <n v="-19.572031110938969"/>
    <n v="0"/>
    <n v="725.53496111132631"/>
    <n v="1600"/>
    <x v="10"/>
    <s v="&lt;Клиент не выбран&gt;"/>
    <s v="2022 11"/>
    <n v="874.46503888867369"/>
    <n v="1.2052693333333326"/>
  </r>
  <r>
    <s v="РО02"/>
    <n v="0"/>
    <s v="Roman"/>
    <s v="Доставлен"/>
    <d v="2022-11-02T00:00:00"/>
    <x v="5"/>
    <s v="Витамины"/>
    <s v="NOW-01652"/>
    <x v="3"/>
    <x v="37"/>
    <n v="600"/>
    <m/>
    <n v="0"/>
    <n v="-19.572031110938969"/>
    <n v="0"/>
    <n v="725.53496111132631"/>
    <n v="2500"/>
    <x v="10"/>
    <s v="&lt;Клиент не выбран&gt;"/>
    <s v="2022 11"/>
    <n v="1774.4650388886737"/>
    <n v="2.4457333333333322"/>
  </r>
  <r>
    <s v="РО02"/>
    <n v="0"/>
    <s v="Roman"/>
    <s v="Доставлен"/>
    <d v="2022-11-02T00:00:00"/>
    <x v="5"/>
    <s v="Витамины"/>
    <s v="NOW-01652"/>
    <x v="3"/>
    <x v="37"/>
    <n v="600"/>
    <m/>
    <n v="0"/>
    <n v="-19.572031110938969"/>
    <n v="0"/>
    <n v="725.53496111132631"/>
    <n v="1600"/>
    <x v="10"/>
    <s v="&lt;Клиент не выбран&gt;"/>
    <s v="2022 11"/>
    <n v="874.46503888867369"/>
    <n v="1.2052693333333326"/>
  </r>
  <r>
    <s v="РО02"/>
    <n v="0"/>
    <s v="Roman"/>
    <s v="Доставлен"/>
    <d v="2022-11-02T00:00:00"/>
    <x v="5"/>
    <s v="Витамины"/>
    <s v="NOW-01652"/>
    <x v="3"/>
    <x v="37"/>
    <n v="600"/>
    <m/>
    <n v="0"/>
    <n v="-19.572031110938969"/>
    <n v="0"/>
    <n v="725.53496111132631"/>
    <n v="1600"/>
    <x v="63"/>
    <s v="&lt;Клиент не выбран&gt;"/>
    <s v="2022 11"/>
    <n v="874.46503888867369"/>
    <n v="1.2052693333333326"/>
  </r>
  <r>
    <s v="РО02"/>
    <n v="0"/>
    <s v="Roman"/>
    <s v="Доставлен"/>
    <d v="2022-11-02T00:00:00"/>
    <x v="5"/>
    <s v="Витамины"/>
    <s v="NOW-01652"/>
    <x v="3"/>
    <x v="37"/>
    <n v="600"/>
    <m/>
    <n v="0"/>
    <n v="-19.572031110938969"/>
    <n v="0"/>
    <n v="725.53496111132631"/>
    <n v="2000"/>
    <x v="44"/>
    <s v="&lt;Клиент не выбран&gt;"/>
    <s v="2023 01"/>
    <n v="1274.4650388886737"/>
    <n v="1.7565866666666659"/>
  </r>
  <r>
    <s v="РО02"/>
    <n v="0"/>
    <s v="Roman"/>
    <s v="Доставлен"/>
    <d v="2022-11-02T00:00:00"/>
    <x v="5"/>
    <s v="Витамины"/>
    <s v="NOW-01653"/>
    <x v="3"/>
    <x v="115"/>
    <n v="1334.4"/>
    <m/>
    <n v="0"/>
    <n v="-43.528197190728271"/>
    <n v="0"/>
    <n v="1613.5897535115898"/>
    <n v="3200"/>
    <x v="66"/>
    <s v="&lt;Клиент не выбран&gt;"/>
    <s v="2022 12"/>
    <n v="1586.4102464884102"/>
    <n v="0.98315587529975945"/>
  </r>
  <r>
    <s v="РО02"/>
    <n v="0"/>
    <s v="Roman"/>
    <s v="Доставлен"/>
    <d v="2022-11-02T00:00:00"/>
    <x v="5"/>
    <s v="Витамины"/>
    <s v="DRB-00091"/>
    <x v="6"/>
    <x v="16"/>
    <n v="458.4"/>
    <m/>
    <n v="0"/>
    <n v="-14.953031768757373"/>
    <n v="0"/>
    <n v="554.30871028905324"/>
    <n v="1500"/>
    <x v="67"/>
    <s v="&lt;Клиент не выбран&gt;"/>
    <s v="2023 01"/>
    <n v="945.69128971094676"/>
    <n v="1.7060732984293188"/>
  </r>
  <r>
    <s v="РО02"/>
    <n v="0"/>
    <s v="Roman"/>
    <s v="Доставлен"/>
    <d v="2022-11-02T00:00:00"/>
    <x v="5"/>
    <s v="Витамины"/>
    <s v="DRB-00091"/>
    <x v="6"/>
    <x v="16"/>
    <n v="458.4"/>
    <m/>
    <n v="0"/>
    <n v="-14.953031768757373"/>
    <n v="0"/>
    <n v="554.30871028905324"/>
    <n v="1650"/>
    <x v="68"/>
    <s v="&lt;Клиент не выбран&gt;"/>
    <s v="2023 01"/>
    <n v="1095.6912897109469"/>
    <n v="1.9766806282722509"/>
  </r>
  <r>
    <s v="РО02"/>
    <n v="0"/>
    <s v="Roman"/>
    <s v="Доставлен"/>
    <d v="2022-11-02T00:00:00"/>
    <x v="5"/>
    <s v="Витамины"/>
    <s v="DRB-00091"/>
    <x v="6"/>
    <x v="16"/>
    <n v="458.4"/>
    <m/>
    <n v="0"/>
    <n v="-14.953031768757373"/>
    <n v="0"/>
    <n v="554.30871028905324"/>
    <n v="1700"/>
    <x v="69"/>
    <s v="&lt;Клиент не выбран&gt;"/>
    <s v="2023 03"/>
    <n v="1145.6912897109469"/>
    <n v="2.066883071553228"/>
  </r>
  <r>
    <s v="РО02"/>
    <n v="0"/>
    <s v="Roman"/>
    <s v="Доставлен"/>
    <d v="2022-11-02T00:00:00"/>
    <x v="5"/>
    <s v="Витамины"/>
    <s v="DRB-00091"/>
    <x v="6"/>
    <x v="16"/>
    <n v="458.4"/>
    <m/>
    <n v="0"/>
    <n v="-14.953031768757373"/>
    <n v="0"/>
    <n v="554.30871028905324"/>
    <n v="554.30999999999995"/>
    <x v="17"/>
    <s v="&lt;Клиент не выбран&gt;"/>
    <s v="2022 09"/>
    <n v="1.2897109467076007E-3"/>
    <n v="2.3267015703849575E-6"/>
  </r>
  <r>
    <s v="РО02"/>
    <n v="0"/>
    <s v="Roman"/>
    <s v="Доставлен"/>
    <d v="2022-11-02T00:00:00"/>
    <x v="5"/>
    <s v="Витамины"/>
    <s v="DRB-00091"/>
    <x v="6"/>
    <x v="16"/>
    <n v="458.4"/>
    <m/>
    <n v="0"/>
    <n v="-14.953031768757373"/>
    <n v="0"/>
    <n v="554.30871028905324"/>
    <n v="1600"/>
    <x v="28"/>
    <s v="&lt;Клиент не выбран&gt;"/>
    <s v="2023 03"/>
    <n v="1045.6912897109469"/>
    <n v="1.8864781849912737"/>
  </r>
  <r>
    <s v="РО02"/>
    <n v="0"/>
    <s v="Roman"/>
    <s v="Доставлен"/>
    <d v="2022-11-02T00:00:00"/>
    <x v="5"/>
    <s v="Витамины"/>
    <s v="NOW-01277"/>
    <x v="3"/>
    <x v="34"/>
    <n v="570.4"/>
    <m/>
    <n v="0"/>
    <n v="-18.606477576132647"/>
    <n v="0"/>
    <n v="689.74190302983413"/>
    <n v="1600"/>
    <x v="32"/>
    <s v="&lt;Клиент не выбран&gt;"/>
    <s v="2022 12"/>
    <n v="910.25809697016587"/>
    <n v="1.3197082748948101"/>
  </r>
  <r>
    <s v="РО02"/>
    <n v="0"/>
    <s v="Roman"/>
    <s v="Доставлен"/>
    <d v="2022-11-02T00:00:00"/>
    <x v="5"/>
    <s v="Витамины"/>
    <s v="NOW-01277"/>
    <x v="3"/>
    <x v="34"/>
    <n v="570.4"/>
    <m/>
    <n v="0"/>
    <n v="-18.606477576132647"/>
    <n v="0"/>
    <n v="689.74190302983413"/>
    <n v="1600"/>
    <x v="32"/>
    <s v="&lt;Клиент не выбран&gt;"/>
    <s v="2022 12"/>
    <n v="910.25809697016587"/>
    <n v="1.3197082748948101"/>
  </r>
  <r>
    <s v="РО02"/>
    <n v="0"/>
    <s v="Roman"/>
    <s v="Доставлен"/>
    <d v="2022-11-02T00:00:00"/>
    <x v="5"/>
    <s v="Витамины"/>
    <s v="NOW-01277"/>
    <x v="3"/>
    <x v="34"/>
    <n v="570.4"/>
    <m/>
    <n v="0"/>
    <n v="-18.606477576132647"/>
    <n v="0"/>
    <n v="689.74190302983413"/>
    <n v="1700"/>
    <x v="66"/>
    <s v="&lt;Клиент не выбран&gt;"/>
    <s v="2022 12"/>
    <n v="1010.2580969701659"/>
    <n v="1.4646900420757358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000"/>
    <x v="56"/>
    <s v="&lt;Клиент не выбран&gt;"/>
    <s v="2022 11"/>
    <n v="1032.620051851565"/>
    <n v="1.0674399999999995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000"/>
    <x v="70"/>
    <s v="&lt;Клиент не выбран&gt;"/>
    <s v="2022 11"/>
    <n v="1032.620051851565"/>
    <n v="1.0674399999999995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000"/>
    <x v="71"/>
    <s v="&lt;Клиент не выбран&gt;"/>
    <s v="2022 12"/>
    <n v="1032.620051851565"/>
    <n v="1.0674399999999995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1950"/>
    <x v="72"/>
    <s v="&lt;Клиент не выбран&gt;"/>
    <s v="2022 12"/>
    <n v="982.62005185156499"/>
    <n v="1.0157539999999996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1900"/>
    <x v="73"/>
    <s v="&lt;Клиент не выбран&gt;"/>
    <s v="2022 12"/>
    <n v="932.62005185156499"/>
    <n v="0.96406799999999959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400"/>
    <x v="44"/>
    <s v="&lt;Клиент не выбран&gt;"/>
    <s v="2023 01"/>
    <n v="1432.620051851565"/>
    <n v="1.4809279999999994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500"/>
    <x v="4"/>
    <s v="&lt;Клиент не выбран&gt;"/>
    <s v="2023 01"/>
    <n v="1532.620051851565"/>
    <n v="1.5842999999999994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300"/>
    <x v="74"/>
    <s v="&lt;Клиент не выбран&gt;"/>
    <s v="2023 01"/>
    <n v="1332.620051851565"/>
    <n v="1.3775559999999993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300"/>
    <x v="75"/>
    <s v="&lt;Клиент не выбран&gt;"/>
    <s v="2023 01"/>
    <n v="1332.620051851565"/>
    <n v="1.3775559999999993"/>
  </r>
  <r>
    <s v="РО02"/>
    <n v="0"/>
    <s v="Roman"/>
    <s v="Доставлен"/>
    <d v="2022-11-02T00:00:00"/>
    <x v="5"/>
    <s v="Витамины"/>
    <s v="CGN-01033"/>
    <x v="1"/>
    <x v="1"/>
    <n v="800"/>
    <m/>
    <n v="0"/>
    <n v="-26.096041481251959"/>
    <n v="0"/>
    <n v="967.37994814843501"/>
    <n v="2300"/>
    <x v="76"/>
    <s v="&lt;Клиент не выбран&gt;"/>
    <s v="2023 01"/>
    <n v="1332.620051851565"/>
    <n v="1.3775559999999993"/>
  </r>
  <r>
    <s v="РО02"/>
    <n v="0"/>
    <s v="Roman"/>
    <s v="Доставлен"/>
    <d v="2022-11-02T00:00:00"/>
    <x v="5"/>
    <s v="Витамины"/>
    <s v="NOW-02313"/>
    <x v="3"/>
    <x v="87"/>
    <n v="740.8"/>
    <m/>
    <n v="0"/>
    <n v="-24.164934411639312"/>
    <n v="0"/>
    <n v="895.79383198545077"/>
    <n v="1800"/>
    <x v="77"/>
    <s v="&lt;Клиент не выбран&gt;"/>
    <s v="2022 12"/>
    <n v="904.20616801454923"/>
    <n v="1.0093909287257017"/>
  </r>
  <r>
    <s v="РО02"/>
    <n v="0"/>
    <s v="Roman"/>
    <s v="Доставлен"/>
    <d v="2022-11-02T00:00:00"/>
    <x v="5"/>
    <s v="Витамины"/>
    <s v="NOW-02313"/>
    <x v="3"/>
    <x v="87"/>
    <n v="740.8"/>
    <m/>
    <n v="0"/>
    <n v="-24.164934411639312"/>
    <n v="0"/>
    <n v="895.79383198545077"/>
    <n v="1800"/>
    <x v="78"/>
    <s v="&lt;Клиент не выбран&gt;"/>
    <s v="2022 12"/>
    <n v="904.20616801454923"/>
    <n v="1.0093909287257017"/>
  </r>
  <r>
    <s v="РО02"/>
    <n v="0"/>
    <s v="Roman"/>
    <s v="Доставлен"/>
    <d v="2022-11-02T00:00:00"/>
    <x v="5"/>
    <s v="Витамины"/>
    <s v="NOW-02313"/>
    <x v="3"/>
    <x v="87"/>
    <n v="740.8"/>
    <m/>
    <n v="0"/>
    <n v="-24.164934411639312"/>
    <n v="0"/>
    <n v="895.79383198545077"/>
    <n v="1800"/>
    <x v="66"/>
    <s v="&lt;Клиент не выбран&gt;"/>
    <s v="2022 12"/>
    <n v="904.20616801454923"/>
    <n v="1.0093909287257017"/>
  </r>
  <r>
    <s v="РО02"/>
    <n v="0"/>
    <s v="Roman"/>
    <s v="Доставлен"/>
    <d v="2022-11-02T00:00:00"/>
    <x v="5"/>
    <s v="Витамины"/>
    <s v="NOW-02313"/>
    <x v="3"/>
    <x v="87"/>
    <n v="740.8"/>
    <m/>
    <n v="0"/>
    <n v="-24.164934411639312"/>
    <n v="0"/>
    <n v="895.79383198545077"/>
    <n v="2200"/>
    <x v="44"/>
    <s v="&lt;Клиент не выбран&gt;"/>
    <s v="2023 01"/>
    <n v="1304.2061680145493"/>
    <n v="1.4559222462203021"/>
  </r>
  <r>
    <s v="РО02"/>
    <n v="0"/>
    <s v="Roman"/>
    <s v="Доставлен"/>
    <d v="2022-11-02T00:00:00"/>
    <x v="5"/>
    <s v="Витамины"/>
    <s v="MRM-71301"/>
    <x v="37"/>
    <x v="116"/>
    <n v="264"/>
    <m/>
    <n v="0"/>
    <n v="-8.6116936888131459"/>
    <n v="0"/>
    <n v="319.23538288898357"/>
    <n v="850"/>
    <x v="29"/>
    <s v="&lt;Клиент не выбран&gt;"/>
    <s v="2022 12"/>
    <n v="530.76461711101638"/>
    <n v="1.6626121212121203"/>
  </r>
  <r>
    <s v="OZA02"/>
    <n v="0"/>
    <s v="OZON_AV"/>
    <s v="Доставлен"/>
    <d v="2022-10-25T00:00:00"/>
    <x v="4"/>
    <s v="Спортпит"/>
    <s v="XXX"/>
    <x v="41"/>
    <x v="117"/>
    <n v="512"/>
    <m/>
    <n v="0"/>
    <n v="0"/>
    <n v="61.44"/>
    <n v="716.80000000000007"/>
    <n v="1300"/>
    <x v="23"/>
    <s v="&lt;Клиент не выбран&gt;"/>
    <s v="2022 10"/>
    <n v="583.19999999999993"/>
    <n v="0.81361607142857129"/>
  </r>
  <r>
    <s v="АН04"/>
    <n v="0"/>
    <s v="Anna"/>
    <s v="Доставлен"/>
    <d v="2022-11-09T00:00:00"/>
    <x v="5"/>
    <s v="Витамины"/>
    <s v="NOW-00369"/>
    <x v="3"/>
    <x v="118"/>
    <n v="360"/>
    <m/>
    <n v="0"/>
    <n v="-9.0667197748492701"/>
    <n v="0"/>
    <n v="438.66660028143838"/>
    <n v="1100"/>
    <x v="8"/>
    <s v="&lt;Клиент не выбран&gt;"/>
    <s v="2022 11"/>
    <n v="661.33339971856162"/>
    <n v="1.5075991636798092"/>
  </r>
  <r>
    <s v="АН04"/>
    <n v="0"/>
    <s v="Anna"/>
    <s v="Доставлен"/>
    <d v="2022-11-09T00:00:00"/>
    <x v="5"/>
    <s v="Витамины"/>
    <s v="CGN-01065"/>
    <x v="1"/>
    <x v="14"/>
    <n v="160"/>
    <m/>
    <n v="0"/>
    <n v="-4.0296532332663419"/>
    <n v="0"/>
    <n v="194.96293345841707"/>
    <n v="700"/>
    <x v="8"/>
    <s v="&lt;Клиент не выбран&gt;"/>
    <s v="2022 11"/>
    <n v="505.03706654158293"/>
    <n v="2.5904260752688173"/>
  </r>
  <r>
    <s v="АН04"/>
    <n v="0"/>
    <s v="Anna"/>
    <s v="Доставлен"/>
    <d v="2022-11-09T00:00:00"/>
    <x v="5"/>
    <s v="Витамины"/>
    <s v="CGN-01065"/>
    <x v="1"/>
    <x v="14"/>
    <n v="160"/>
    <m/>
    <n v="0"/>
    <n v="-4.0296532332663419"/>
    <n v="0"/>
    <n v="194.96293345841707"/>
    <n v="700"/>
    <x v="60"/>
    <s v="&lt;Клиент не выбран&gt;"/>
    <s v="2022 11"/>
    <n v="505.03706654158293"/>
    <n v="2.5904260752688173"/>
  </r>
  <r>
    <s v="АН04"/>
    <n v="0"/>
    <s v="Anna"/>
    <s v="Доставлен"/>
    <d v="2022-11-09T00:00:00"/>
    <x v="5"/>
    <s v="Витамины"/>
    <s v="CGN-01065"/>
    <x v="1"/>
    <x v="14"/>
    <n v="160"/>
    <m/>
    <n v="0"/>
    <n v="-4.0296532332663419"/>
    <n v="0"/>
    <n v="194.96293345841707"/>
    <n v="700"/>
    <x v="79"/>
    <s v="&lt;Клиент не выбран&gt;"/>
    <s v="2022 11"/>
    <n v="505.03706654158293"/>
    <n v="2.5904260752688173"/>
  </r>
  <r>
    <s v="АН04"/>
    <n v="0"/>
    <s v="Anna"/>
    <s v="Доставлен"/>
    <d v="2022-11-09T00:00:00"/>
    <x v="5"/>
    <s v="Витамины"/>
    <s v="CGN-01066"/>
    <x v="1"/>
    <x v="11"/>
    <n v="180"/>
    <m/>
    <n v="0"/>
    <n v="-4.533359887424635"/>
    <n v="0"/>
    <n v="219.33330014071919"/>
    <n v="1500"/>
    <x v="80"/>
    <s v="&lt;Клиент не выбран&gt;"/>
    <s v="2022 11"/>
    <n v="1280.6666998592809"/>
    <n v="5.8389068100358434"/>
  </r>
  <r>
    <s v="АН04"/>
    <n v="0"/>
    <s v="Anna"/>
    <s v="Доставлен"/>
    <d v="2022-11-09T00:00:00"/>
    <x v="5"/>
    <s v="Витамины"/>
    <s v="CGN-01066"/>
    <x v="1"/>
    <x v="11"/>
    <n v="180"/>
    <m/>
    <n v="0"/>
    <n v="-4.533359887424635"/>
    <n v="0"/>
    <n v="219.33330014071919"/>
    <n v="1500"/>
    <x v="16"/>
    <s v="&lt;Клиент не выбран&gt;"/>
    <s v="2022 11"/>
    <n v="1280.6666998592809"/>
    <n v="5.8389068100358434"/>
  </r>
  <r>
    <s v="АН04"/>
    <n v="0"/>
    <s v="Anna"/>
    <s v="Доставлен"/>
    <d v="2022-11-09T00:00:00"/>
    <x v="5"/>
    <s v="Витамины"/>
    <s v="CGN-01066"/>
    <x v="1"/>
    <x v="11"/>
    <n v="180"/>
    <m/>
    <n v="0"/>
    <n v="-4.533359887424635"/>
    <n v="0"/>
    <n v="219.33330014071919"/>
    <n v="1500"/>
    <x v="71"/>
    <s v="&lt;Клиент не выбран&gt;"/>
    <s v="2022 12"/>
    <n v="1280.6666998592809"/>
    <n v="5.8389068100358434"/>
  </r>
  <r>
    <s v="АН04"/>
    <n v="0"/>
    <s v="Anna"/>
    <s v="Доставлен"/>
    <d v="2022-11-09T00:00:00"/>
    <x v="5"/>
    <s v="Витамины"/>
    <s v="CGN-01066"/>
    <x v="1"/>
    <x v="11"/>
    <n v="180"/>
    <m/>
    <n v="0"/>
    <n v="-4.533359887424635"/>
    <n v="0"/>
    <n v="219.33330014071919"/>
    <n v="1500"/>
    <x v="29"/>
    <s v="&lt;Клиент не выбран&gt;"/>
    <s v="2022 12"/>
    <n v="1280.6666998592809"/>
    <n v="5.8389068100358434"/>
  </r>
  <r>
    <s v="АН04"/>
    <n v="0"/>
    <s v="Anna"/>
    <s v="Доставлен"/>
    <d v="2022-11-09T00:00:00"/>
    <x v="5"/>
    <s v="Витамины"/>
    <s v="NWY-03501"/>
    <x v="16"/>
    <x v="86"/>
    <n v="560"/>
    <m/>
    <n v="0"/>
    <n v="-14.103786316432197"/>
    <n v="0"/>
    <n v="682.3702671044598"/>
    <n v="1700"/>
    <x v="81"/>
    <s v="&lt;Клиент не выбран&gt;"/>
    <s v="2022 11"/>
    <n v="1017.6297328955402"/>
    <n v="1.4913160522273425"/>
  </r>
  <r>
    <s v="АН04"/>
    <n v="0"/>
    <s v="Anna"/>
    <s v="Доставлен"/>
    <d v="2022-11-09T00:00:00"/>
    <x v="5"/>
    <s v="Витамины"/>
    <s v="NWY-03501"/>
    <x v="16"/>
    <x v="86"/>
    <n v="560"/>
    <m/>
    <n v="0"/>
    <n v="-14.103786316432197"/>
    <n v="0"/>
    <n v="682.3702671044598"/>
    <n v="1650"/>
    <x v="79"/>
    <s v="&lt;Клиент не выбран&gt;"/>
    <s v="2022 11"/>
    <n v="967.6297328955402"/>
    <n v="1.4180420506912441"/>
  </r>
  <r>
    <s v="АН04"/>
    <n v="0"/>
    <s v="Anna"/>
    <s v="Доставлен"/>
    <d v="2022-11-09T00:00:00"/>
    <x v="5"/>
    <s v="Витамины"/>
    <s v="NWY-03502"/>
    <x v="16"/>
    <x v="74"/>
    <n v="560"/>
    <m/>
    <n v="0"/>
    <n v="-14.103786316432197"/>
    <n v="0"/>
    <n v="682.3702671044598"/>
    <n v="1600"/>
    <x v="73"/>
    <s v="&lt;Клиент не выбран&gt;"/>
    <s v="2022 12"/>
    <n v="917.6297328955402"/>
    <n v="1.3447680491551459"/>
  </r>
  <r>
    <s v="АН04"/>
    <n v="0"/>
    <s v="Anna"/>
    <s v="Доставлен"/>
    <d v="2022-11-09T00:00:00"/>
    <x v="5"/>
    <s v="Витамины"/>
    <s v=" таблеток"/>
    <x v="10"/>
    <x v="91"/>
    <n v="472"/>
    <m/>
    <n v="0"/>
    <n v="-11.887477038135707"/>
    <n v="0"/>
    <n v="575.14065370233038"/>
    <n v="1200"/>
    <x v="82"/>
    <s v="&lt;Клиент не выбран&gt;"/>
    <s v="2022 12"/>
    <n v="624.85934629766962"/>
    <n v="1.0864461454346637"/>
  </r>
  <r>
    <s v="АН04"/>
    <n v="0"/>
    <s v="Anna"/>
    <s v="Доставлен"/>
    <d v="2022-11-09T00:00:00"/>
    <x v="5"/>
    <s v="Витамины"/>
    <s v="NWY-15788"/>
    <x v="16"/>
    <x v="53"/>
    <n v="503.2"/>
    <m/>
    <n v="0"/>
    <n v="-12.673259418622644"/>
    <n v="0"/>
    <n v="613.1584257267217"/>
    <n v="1200"/>
    <x v="25"/>
    <s v="&lt;Клиент не выбран&gt;"/>
    <s v="2022 11"/>
    <n v="586.8415742732783"/>
    <n v="0.95707985024873077"/>
  </r>
  <r>
    <s v="АН04"/>
    <n v="0"/>
    <s v="Anna"/>
    <s v="Доставлен"/>
    <d v="2022-11-09T00:00:00"/>
    <x v="5"/>
    <s v="Витамины"/>
    <s v="CEN-27757"/>
    <x v="2"/>
    <x v="119"/>
    <n v="312"/>
    <m/>
    <n v="0"/>
    <n v="-7.8578238048693665"/>
    <n v="0"/>
    <n v="380.17772024391326"/>
    <n v="1300"/>
    <x v="25"/>
    <s v="&lt;Клиент не выбран&gt;"/>
    <s v="2022 11"/>
    <n v="919.8222797560868"/>
    <n v="2.4194534050179217"/>
  </r>
  <r>
    <s v="АН04"/>
    <n v="0"/>
    <s v="Anna"/>
    <s v="Доставлен"/>
    <d v="2022-11-09T00:00:00"/>
    <x v="5"/>
    <s v="Витамины"/>
    <s v="CEN-27757"/>
    <x v="2"/>
    <x v="119"/>
    <n v="312"/>
    <m/>
    <n v="0"/>
    <n v="-7.8578238048693665"/>
    <n v="0"/>
    <n v="380.17772024391326"/>
    <n v="1300"/>
    <x v="50"/>
    <s v="&lt;Клиент не выбран&gt;"/>
    <s v="2022 11"/>
    <n v="919.8222797560868"/>
    <n v="2.4194534050179217"/>
  </r>
  <r>
    <s v="АН04"/>
    <n v="0"/>
    <s v="Anna"/>
    <s v="Доставлен"/>
    <d v="2022-11-09T00:00:00"/>
    <x v="5"/>
    <s v="Витамины"/>
    <s v="NFS-01678"/>
    <x v="23"/>
    <x v="120"/>
    <n v="192"/>
    <m/>
    <n v="0"/>
    <n v="-4.8355838799196098"/>
    <n v="0"/>
    <n v="233.95552015010051"/>
    <n v="650"/>
    <x v="3"/>
    <s v="&lt;Клиент не выбран&gt;"/>
    <s v="2022 11"/>
    <n v="416.04447984989952"/>
    <n v="1.7783058915770609"/>
  </r>
  <r>
    <s v="АН04"/>
    <n v="0"/>
    <s v="Anna"/>
    <s v="Доставлен"/>
    <d v="2022-11-09T00:00:00"/>
    <x v="5"/>
    <s v="Витамины"/>
    <s v="NFS-01678"/>
    <x v="23"/>
    <x v="120"/>
    <n v="192"/>
    <m/>
    <n v="0"/>
    <n v="-4.8355838799196098"/>
    <n v="0"/>
    <n v="233.95552015010051"/>
    <n v="650"/>
    <x v="3"/>
    <s v="&lt;Клиент не выбран&gt;"/>
    <s v="2022 11"/>
    <n v="416.04447984989952"/>
    <n v="1.7783058915770609"/>
  </r>
  <r>
    <s v="АН04"/>
    <n v="0"/>
    <s v="Anna"/>
    <s v="Доставлен"/>
    <d v="2022-11-09T00:00:00"/>
    <x v="5"/>
    <s v="Витамины"/>
    <s v="CGN-01330"/>
    <x v="1"/>
    <x v="89"/>
    <n v="648"/>
    <m/>
    <n v="0"/>
    <n v="-16.320095594728684"/>
    <n v="0"/>
    <n v="789.59988050658922"/>
    <n v="2000"/>
    <x v="77"/>
    <s v="&lt;Клиент не выбран&gt;"/>
    <s v="2022 12"/>
    <n v="1210.4001194934108"/>
    <n v="1.5329284481614229"/>
  </r>
  <r>
    <s v="АН04"/>
    <n v="0"/>
    <s v="Anna"/>
    <s v="Доставлен"/>
    <d v="2022-11-09T00:00:00"/>
    <x v="5"/>
    <s v="Витамины"/>
    <s v="CGN-01330"/>
    <x v="1"/>
    <x v="89"/>
    <n v="648"/>
    <m/>
    <n v="0"/>
    <n v="-16.320095594728684"/>
    <n v="0"/>
    <n v="789.59988050658922"/>
    <n v="2000"/>
    <x v="66"/>
    <s v="&lt;Клиент не выбран&gt;"/>
    <s v="2022 12"/>
    <n v="1210.4001194934108"/>
    <n v="1.5329284481614229"/>
  </r>
  <r>
    <s v="АН04"/>
    <n v="0"/>
    <s v="Anna"/>
    <s v="Доставлен"/>
    <d v="2022-11-09T00:00:00"/>
    <x v="5"/>
    <s v="Витамины"/>
    <s v="FBS-20726"/>
    <x v="20"/>
    <x v="42"/>
    <n v="249.02"/>
    <m/>
    <n v="0"/>
    <n v="-6.2716515509249033"/>
    <n v="0"/>
    <n v="303.43543556134387"/>
    <n v="800"/>
    <x v="25"/>
    <s v="&lt;Клиент не выбран&gt;"/>
    <s v="2022 11"/>
    <n v="496.56456443865613"/>
    <n v="1.6364751978292542"/>
  </r>
  <r>
    <s v="АН04"/>
    <n v="0"/>
    <s v="Anna"/>
    <s v="Доставлен"/>
    <d v="2022-11-09T00:00:00"/>
    <x v="5"/>
    <s v="Витамины"/>
    <s v="NOW-03775"/>
    <x v="3"/>
    <x v="100"/>
    <n v="260"/>
    <m/>
    <n v="0"/>
    <n v="-6.5481865040578064"/>
    <n v="0"/>
    <n v="316.81476686992772"/>
    <n v="800"/>
    <x v="25"/>
    <s v="&lt;Клиент не выбран&gt;"/>
    <s v="2022 11"/>
    <n v="483.18523313007228"/>
    <n v="1.5251348221670804"/>
  </r>
  <r>
    <s v="АН04"/>
    <n v="0"/>
    <s v="Anna"/>
    <s v="Доставлен"/>
    <d v="2022-11-09T00:00:00"/>
    <x v="5"/>
    <s v="Витамины"/>
    <s v="NWY-15408"/>
    <x v="16"/>
    <x v="107"/>
    <n v="604"/>
    <m/>
    <n v="0"/>
    <n v="-15.21194095558044"/>
    <n v="0"/>
    <n v="735.98507380552451"/>
    <n v="1700"/>
    <x v="63"/>
    <s v="&lt;Клиент не выбран&gt;"/>
    <s v="2022 11"/>
    <n v="964.01492619447549"/>
    <n v="1.309829452396211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3"/>
    <s v="&lt;Клиент не выбран&gt;"/>
    <s v="2022 11"/>
    <n v="622.38209640704065"/>
    <n v="1.648179523495042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900"/>
    <x v="32"/>
    <s v="&lt;Клиент не выбран&gt;"/>
    <s v="2022 12"/>
    <n v="522.38209640704065"/>
    <n v="1.3833615711455383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83"/>
    <s v="&lt;Клиент не выбран&gt;"/>
    <s v="2022 12"/>
    <n v="622.38209640704065"/>
    <n v="1.648179523495042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900"/>
    <x v="84"/>
    <s v="&lt;Клиент не выбран&gt;"/>
    <s v="2022 12"/>
    <n v="522.38209640704065"/>
    <n v="1.3833615711455383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85"/>
    <s v="&lt;Клиент не выбран&gt;"/>
    <s v="2023 01"/>
    <n v="622.38209640704065"/>
    <n v="1.648179523495042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67"/>
    <s v="&lt;Клиент не выбран&gt;"/>
    <s v="2023 01"/>
    <n v="622.38209640704065"/>
    <n v="1.648179523495042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86"/>
    <s v="&lt;Клиент не выбран&gt;"/>
    <s v="2023 02"/>
    <n v="622.38209640704065"/>
    <n v="1.6481795234950425"/>
  </r>
  <r>
    <s v="РО03"/>
    <n v="0"/>
    <s v="Roman"/>
    <s v="Доставлен"/>
    <d v="2022-11-09T00:00:00"/>
    <x v="5"/>
    <s v="Витамины"/>
    <s v="NOW-00471"/>
    <x v="3"/>
    <x v="121"/>
    <n v="301.928"/>
    <m/>
    <n v="0"/>
    <n v="0.16632287436751939"/>
    <n v="0"/>
    <n v="377.61790359295935"/>
    <n v="1000"/>
    <x v="54"/>
    <s v="&lt;Клиент не выбран&gt;"/>
    <s v="2023 04"/>
    <n v="622.38209640704065"/>
    <n v="1.6481795234950425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87"/>
    <s v="&lt;Клиент не выбран&gt;"/>
    <s v="2023 01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75"/>
    <s v="&lt;Клиент не выбран&gt;"/>
    <s v="2023 01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88"/>
    <s v="&lt;Клиент не выбран&gt;"/>
    <s v="2023 02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86"/>
    <s v="&lt;Клиент не выбран&gt;"/>
    <s v="2023 02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1900"/>
    <x v="89"/>
    <s v="&lt;Клиент не выбран&gt;"/>
    <s v="2023 02"/>
    <n v="1149.7669471607196"/>
    <n v="1.5325463771682555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90"/>
    <s v="&lt;Клиент не выбран&gt;"/>
    <s v="2023 02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91"/>
    <s v="&lt;Клиент не выбран&gt;"/>
    <s v="2023 02"/>
    <n v="1249.7669471607196"/>
    <n v="1.6658382917560586"/>
  </r>
  <r>
    <s v="РО03"/>
    <n v="0"/>
    <s v="Roman"/>
    <s v="Доставлен"/>
    <d v="2022-11-09T00:00:00"/>
    <x v="5"/>
    <s v="Витамины"/>
    <s v="NOW-01652"/>
    <x v="3"/>
    <x v="37"/>
    <n v="599.85599999999999"/>
    <m/>
    <n v="0"/>
    <n v="0.33044227142432209"/>
    <n v="0"/>
    <n v="750.23305283928039"/>
    <n v="2000"/>
    <x v="91"/>
    <s v="&lt;Клиент не выбран&gt;"/>
    <s v="2023 02"/>
    <n v="1249.7669471607196"/>
    <n v="1.665838291756058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400"/>
    <x v="92"/>
    <s v="&lt;Клиент не выбран&gt;"/>
    <s v="2022 11"/>
    <n v="922.64661940290853"/>
    <n v="0.62452669179936415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500"/>
    <x v="93"/>
    <s v="&lt;Клиент не выбран&gt;"/>
    <s v="2022 11"/>
    <n v="1022.6466194029085"/>
    <n v="0.6922153039576710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500"/>
    <x v="80"/>
    <s v="&lt;Клиент не выбран&gt;"/>
    <s v="2022 11"/>
    <n v="1022.6466194029085"/>
    <n v="0.6922153039576710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500"/>
    <x v="55"/>
    <s v="&lt;Клиент не выбран&gt;"/>
    <s v="2022 11"/>
    <n v="1022.6466194029085"/>
    <n v="0.6922153039576710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500"/>
    <x v="29"/>
    <s v="&lt;Клиент не выбран&gt;"/>
    <s v="2022 12"/>
    <n v="1022.6466194029085"/>
    <n v="0.6922153039576710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2500"/>
    <x v="94"/>
    <s v="&lt;Клиент не выбран&gt;"/>
    <s v="2022 12"/>
    <n v="1022.6466194029085"/>
    <n v="0.69221530395767106"/>
  </r>
  <r>
    <s v="РО03"/>
    <n v="0"/>
    <s v="Roman"/>
    <s v="Доставлен"/>
    <d v="2022-11-09T00:00:00"/>
    <x v="5"/>
    <s v="Витамины"/>
    <s v="NOW-01662"/>
    <x v="3"/>
    <x v="122"/>
    <n v="1181.232"/>
    <m/>
    <n v="0"/>
    <n v="0.65070447767313289"/>
    <n v="0"/>
    <n v="1477.3533805970915"/>
    <n v="3000"/>
    <x v="95"/>
    <s v="&lt;Клиент не выбран&gt;"/>
    <s v="2023 01"/>
    <n v="1522.6466194029085"/>
    <n v="1.0306583647492051"/>
  </r>
  <r>
    <s v="РО03"/>
    <n v="0"/>
    <s v="Roman"/>
    <s v="Доставлен"/>
    <d v="2022-11-09T00:00:00"/>
    <x v="5"/>
    <s v="Витамины"/>
    <s v="LEX-23176"/>
    <x v="7"/>
    <x v="123"/>
    <n v="528.61599999999999"/>
    <m/>
    <n v="0"/>
    <n v="0.29119834052045729"/>
    <n v="0"/>
    <n v="661.13399792565065"/>
    <n v="1600"/>
    <x v="16"/>
    <s v="&lt;Клиент не выбран&gt;"/>
    <s v="2022 11"/>
    <n v="938.86600207434935"/>
    <n v="1.4200842870281973"/>
  </r>
  <r>
    <s v="РО03"/>
    <n v="0"/>
    <s v="Roman"/>
    <s v="Доставлен"/>
    <d v="2022-11-09T00:00:00"/>
    <x v="5"/>
    <s v="Витамины"/>
    <s v="LEX-23176"/>
    <x v="7"/>
    <x v="123"/>
    <n v="528.61599999999999"/>
    <m/>
    <n v="0"/>
    <n v="0.29119834052045729"/>
    <n v="0"/>
    <n v="661.13399792565065"/>
    <n v="1600"/>
    <x v="66"/>
    <s v="&lt;Клиент не выбран&gt;"/>
    <s v="2022 12"/>
    <n v="938.86600207434935"/>
    <n v="1.4200842870281973"/>
  </r>
  <r>
    <s v="РО03"/>
    <n v="0"/>
    <s v="Roman"/>
    <s v="Доставлен"/>
    <d v="2022-11-09T00:00:00"/>
    <x v="5"/>
    <s v="Витамины"/>
    <s v="LEX-23176"/>
    <x v="7"/>
    <x v="123"/>
    <n v="528.61599999999999"/>
    <m/>
    <n v="0"/>
    <n v="0.29119834052045729"/>
    <n v="0"/>
    <n v="661.13399792565065"/>
    <n v="1500"/>
    <x v="4"/>
    <s v="&lt;Клиент не выбран&gt;"/>
    <s v="2023 01"/>
    <n v="838.86600207434935"/>
    <n v="1.2688290190889351"/>
  </r>
  <r>
    <s v="РО03"/>
    <n v="0"/>
    <s v="Roman"/>
    <s v="Доставлен"/>
    <d v="2022-11-09T00:00:00"/>
    <x v="5"/>
    <s v="Витамины"/>
    <s v="LEX-23141"/>
    <x v="7"/>
    <x v="124"/>
    <n v="960"/>
    <m/>
    <n v="0"/>
    <n v="0.52883455457201256"/>
    <n v="0"/>
    <n v="1200.6610431932149"/>
    <n v="2500"/>
    <x v="8"/>
    <s v="&lt;Клиент не выбран&gt;"/>
    <s v="2022 11"/>
    <n v="1299.3389568067851"/>
    <n v="1.0821863207547164"/>
  </r>
  <r>
    <s v="РО03"/>
    <n v="0"/>
    <s v="Roman"/>
    <s v="Доставлен"/>
    <d v="2022-11-09T00:00:00"/>
    <x v="5"/>
    <s v="Витамины"/>
    <s v="LEX-23141"/>
    <x v="7"/>
    <x v="124"/>
    <n v="960"/>
    <m/>
    <n v="0"/>
    <n v="0.52883455457201256"/>
    <n v="0"/>
    <n v="1200.6610431932149"/>
    <n v="2500"/>
    <x v="81"/>
    <s v="&lt;Клиент не выбран&gt;"/>
    <s v="2022 11"/>
    <n v="1299.3389568067851"/>
    <n v="1.0821863207547164"/>
  </r>
  <r>
    <s v="РО03"/>
    <n v="0"/>
    <s v="Roman"/>
    <s v="Доставлен"/>
    <d v="2022-11-09T00:00:00"/>
    <x v="5"/>
    <s v="Косметика"/>
    <s v="MSH-44928"/>
    <x v="42"/>
    <x v="125"/>
    <n v="466.52799999999996"/>
    <m/>
    <n v="0"/>
    <n v="0.25699596570351235"/>
    <n v="0"/>
    <n v="583.48124495712932"/>
    <n v="1000"/>
    <x v="8"/>
    <s v="&lt;Клиент не выбран&gt;"/>
    <s v="2022 11"/>
    <n v="416.51875504287068"/>
    <n v="0.71385114541851979"/>
  </r>
  <r>
    <s v="РО03"/>
    <n v="0"/>
    <s v="Roman"/>
    <s v="Доставлен"/>
    <d v="2022-11-09T00:00:00"/>
    <x v="5"/>
    <s v="Косметика"/>
    <s v="MSH-44928"/>
    <x v="42"/>
    <x v="125"/>
    <n v="466.52799999999996"/>
    <m/>
    <n v="0"/>
    <n v="0.25699596570351235"/>
    <n v="0"/>
    <n v="583.48124495712932"/>
    <n v="1000"/>
    <x v="92"/>
    <s v="&lt;Клиент не выбран&gt;"/>
    <s v="2022 11"/>
    <n v="416.51875504287068"/>
    <n v="0.71385114541851979"/>
  </r>
  <r>
    <s v="РО03"/>
    <n v="0"/>
    <s v="Roman"/>
    <s v="Доставлен"/>
    <d v="2022-11-09T00:00:00"/>
    <x v="5"/>
    <s v="Косметика"/>
    <s v="MSH-44928"/>
    <x v="42"/>
    <x v="125"/>
    <n v="466.52799999999996"/>
    <m/>
    <n v="0"/>
    <n v="0.25699596570351235"/>
    <n v="0"/>
    <n v="583.48124495712932"/>
    <n v="1000"/>
    <x v="16"/>
    <s v="&lt;Клиент не выбран&gt;"/>
    <s v="2022 11"/>
    <n v="416.51875504287068"/>
    <n v="0.71385114541851979"/>
  </r>
  <r>
    <s v="РО03"/>
    <n v="0"/>
    <s v="Roman"/>
    <s v="Доставлен"/>
    <d v="2022-11-09T00:00:00"/>
    <x v="5"/>
    <s v="Косметика"/>
    <s v="MSH-44928"/>
    <x v="42"/>
    <x v="125"/>
    <n v="0"/>
    <m/>
    <n v="0"/>
    <n v="0"/>
    <n v="0"/>
    <n v="0"/>
    <n v="1000"/>
    <x v="96"/>
    <s v="&lt;Клиент не выбран&gt;"/>
    <s v="2023 01"/>
    <n v="1000"/>
    <s v=""/>
  </r>
  <r>
    <s v="РО03"/>
    <n v="0"/>
    <s v="Roman"/>
    <s v="Доставлен"/>
    <d v="2022-11-09T00:00:00"/>
    <x v="5"/>
    <s v="Витамины"/>
    <s v="SOL-01721"/>
    <x v="19"/>
    <x v="126"/>
    <n v="800"/>
    <m/>
    <n v="0"/>
    <n v="0.44069546214334382"/>
    <n v="0"/>
    <n v="1000.5508693276793"/>
    <n v="2000"/>
    <x v="8"/>
    <s v="&lt;Клиент не выбран&gt;"/>
    <s v="2022 11"/>
    <n v="999.44913067232073"/>
    <n v="0.99889886792452753"/>
  </r>
  <r>
    <s v="OZA03"/>
    <n v="0"/>
    <s v="OZON_AV"/>
    <s v="Доставлен"/>
    <d v="2022-11-10T00:00:00"/>
    <x v="5"/>
    <s v="Спортпит"/>
    <s v="267842280"/>
    <x v="43"/>
    <x v="127"/>
    <n v="988"/>
    <m/>
    <n v="0"/>
    <n v="0"/>
    <n v="118.55999999999999"/>
    <n v="1383.1999999999998"/>
    <n v="2300"/>
    <x v="25"/>
    <s v="&lt;Клиент не выбран&gt;"/>
    <s v="2022 11"/>
    <n v="916.80000000000018"/>
    <n v="0.66281087333718935"/>
  </r>
  <r>
    <s v="514374003"/>
    <s v="1371469533"/>
    <s v="iHerb_AV CYG0792"/>
    <s v="Доставлен"/>
    <d v="2022-10-01T00:00:00"/>
    <x v="4"/>
    <s v="Витамины"/>
    <s v="SOL-01721"/>
    <x v="19"/>
    <x v="126"/>
    <n v="14.67"/>
    <n v="-3.81"/>
    <n v="-2.6526002703920688"/>
    <n v="1.7387323367180461E-15"/>
    <n v="10.50482336344221"/>
    <n v="1291.1433934204597"/>
    <n v="2400"/>
    <x v="97"/>
    <s v="&lt;Клиент не выбран&gt;"/>
    <s v="2022 12"/>
    <n v="1108.8566065795403"/>
    <n v="0.8588175505758423"/>
  </r>
  <r>
    <s v="514374003"/>
    <s v="1371469533"/>
    <s v="iHerb_AV CYG0792"/>
    <s v="Доставлен"/>
    <d v="2022-10-01T00:00:00"/>
    <x v="4"/>
    <s v="Витамины"/>
    <s v="SOL-01701"/>
    <x v="19"/>
    <x v="128"/>
    <n v="11.41"/>
    <n v="-2.97"/>
    <n v="-2.0615051825146464"/>
    <n v="1.3512800112247061E-15"/>
    <n v="8.1639695384394333"/>
    <n v="1003.4300405588104"/>
    <n v="1700"/>
    <x v="32"/>
    <s v="&lt;Клиент не выбран&gt;"/>
    <s v="2022 12"/>
    <n v="696.56995944118955"/>
    <n v="0.69418886348396502"/>
  </r>
  <r>
    <s v="514374003"/>
    <s v="1371469533"/>
    <s v="iHerb_AV CYG0792"/>
    <s v="Доставлен"/>
    <d v="2022-10-01T00:00:00"/>
    <x v="4"/>
    <s v="Витамины"/>
    <s v="CEN-27070"/>
    <x v="2"/>
    <x v="129"/>
    <n v="6.47"/>
    <n v="-1.68"/>
    <n v="-1.1699774673276251"/>
    <n v="7.6689943765004065E-16"/>
    <n v="4.633342901555082"/>
    <n v="569.48221496169458"/>
    <n v="1000"/>
    <x v="98"/>
    <s v="&lt;Клиент не выбран&gt;"/>
    <s v="2023 09"/>
    <n v="430.51778503830542"/>
    <n v="0.75598108900953753"/>
  </r>
  <r>
    <s v="514374003"/>
    <s v="1371469533"/>
    <s v="iHerb_AV CYG0792"/>
    <s v="Доставлен"/>
    <d v="2022-10-01T00:00:00"/>
    <x v="4"/>
    <s v="Витамины"/>
    <s v="CGN-00931"/>
    <x v="1"/>
    <x v="24"/>
    <n v="5"/>
    <n v="-4"/>
    <n v="-0.24425416854438939"/>
    <n v="1.6010426673278509E-16"/>
    <n v="0.96729496900941159"/>
    <n v="118.88981523208655"/>
    <n v="700"/>
    <x v="77"/>
    <s v="&lt;Клиент не выбран&gt;"/>
    <s v="2022 12"/>
    <n v="581.11018476791344"/>
    <n v="4.8878045914489796"/>
  </r>
  <r>
    <s v="514374003"/>
    <s v="1371469533"/>
    <s v="iHerb_AV CYG0792"/>
    <s v="Доставлен"/>
    <d v="2022-10-01T00:00:00"/>
    <x v="4"/>
    <s v="Витамины"/>
    <s v="CGN-01065"/>
    <x v="1"/>
    <x v="14"/>
    <n v="6"/>
    <n v="-3"/>
    <n v="-0.73276250563316803"/>
    <n v="4.8031280019835533E-16"/>
    <n v="2.9018849070282351"/>
    <n v="356.66944569625969"/>
    <n v="800"/>
    <x v="97"/>
    <s v="&lt;Клиент не выбран&gt;"/>
    <s v="2022 12"/>
    <n v="443.33055430374031"/>
    <n v="1.2429731776948492"/>
  </r>
  <r>
    <s v="514374003"/>
    <s v="1371469533"/>
    <s v="iHerb_AV CYG0792"/>
    <s v="Доставлен"/>
    <d v="2022-10-01T00:00:00"/>
    <x v="4"/>
    <s v="Витамины"/>
    <s v="CGN-01065"/>
    <x v="1"/>
    <x v="14"/>
    <n v="6"/>
    <n v="-3"/>
    <n v="-0.73276250563316803"/>
    <n v="4.8031280019835533E-16"/>
    <n v="2.9018849070282351"/>
    <n v="356.66944569625969"/>
    <n v="800"/>
    <x v="97"/>
    <s v="&lt;Клиент не выбран&gt;"/>
    <s v="2022 12"/>
    <n v="443.33055430374031"/>
    <n v="1.2429731776948492"/>
  </r>
  <r>
    <s v="514374003"/>
    <s v="1371469533"/>
    <s v="iHerb_AV CYG0792"/>
    <s v="Доставлен"/>
    <d v="2022-10-01T00:00:00"/>
    <x v="4"/>
    <s v="Витамины"/>
    <s v="SOL-01121"/>
    <x v="19"/>
    <x v="130"/>
    <n v="11.96"/>
    <n v="-3.11"/>
    <n v="-2.1616493916178463"/>
    <n v="1.4169227605851483E-15"/>
    <n v="8.5605604757332951"/>
    <n v="1052.1748648039661"/>
    <n v="1700"/>
    <x v="83"/>
    <s v="&lt;Клиент не выбран&gt;"/>
    <s v="2022 12"/>
    <n v="647.8251351960339"/>
    <n v="0.61570101783103526"/>
  </r>
  <r>
    <s v="514374003"/>
    <s v="1371469533"/>
    <s v="iHerb_AV CYG0792"/>
    <s v="Доставлен"/>
    <d v="2022-10-01T00:00:00"/>
    <x v="4"/>
    <s v="Витамины"/>
    <s v="CGN-02030"/>
    <x v="1"/>
    <x v="131"/>
    <n v="6"/>
    <n v="-1.56"/>
    <n v="-1.0844885083370888"/>
    <n v="7.1086294429356573E-16"/>
    <n v="4.2947896624017874"/>
    <n v="527.87077963046431"/>
    <n v="900"/>
    <x v="82"/>
    <s v="&lt;Клиент не выбран&gt;"/>
    <s v="2022 12"/>
    <n v="372.12922036953569"/>
    <n v="0.70496271953155765"/>
  </r>
  <r>
    <s v="514944272"/>
    <s v="514944272-0"/>
    <s v="iHerb_AV CYG0792"/>
    <s v="Доставлен"/>
    <d v="2022-11-06T00:00:00"/>
    <x v="5"/>
    <s v="Витамины"/>
    <s v="DRB-00277"/>
    <x v="6"/>
    <x v="132"/>
    <n v="21.22"/>
    <n v="-5.3049999999999997"/>
    <n v="-2.237810619655864"/>
    <n v="-2.3874775973022258E-15"/>
    <n v="6.8034721565639629"/>
    <n v="1413.1656460466586"/>
    <n v="2600"/>
    <x v="99"/>
    <s v="&lt;Клиент не выбран&gt;"/>
    <s v="2023 01"/>
    <n v="1186.8343539533414"/>
    <n v="0.83984093250038971"/>
  </r>
  <r>
    <s v="514944272"/>
    <s v="514944272-0"/>
    <s v="iHerb_AV CYG0792"/>
    <s v="Доставлен"/>
    <d v="2022-11-06T00:00:00"/>
    <x v="5"/>
    <s v="Витамины"/>
    <s v="DRB-00277"/>
    <x v="6"/>
    <x v="132"/>
    <n v="21.22"/>
    <n v="-5.3049999999999997"/>
    <n v="-2.237810619655864"/>
    <n v="-2.3874775973022258E-15"/>
    <n v="6.8034721565639629"/>
    <n v="1413.1656460466586"/>
    <n v="2600"/>
    <x v="99"/>
    <s v="&lt;Клиент не выбран&gt;"/>
    <s v="2023 01"/>
    <n v="1186.8343539533414"/>
    <n v="0.83984093250038971"/>
  </r>
  <r>
    <s v="514944272"/>
    <s v="514944272-0"/>
    <s v="iHerb_AV CYG0792"/>
    <s v="Доставлен"/>
    <d v="2022-11-06T00:00:00"/>
    <x v="5"/>
    <s v="Витамины"/>
    <s v="CGN-01819"/>
    <x v="1"/>
    <x v="133"/>
    <n v="14"/>
    <n v="-7"/>
    <n v="-0.98427108624511772"/>
    <n v="-1.050100105630888E-15"/>
    <n v="2.9924162799841496"/>
    <n v="621.56201836799312"/>
    <n v="2000"/>
    <x v="100"/>
    <s v="&lt;Клиент не выбран&gt;"/>
    <s v="2023 05"/>
    <n v="1378.437981632007"/>
    <n v="2.2176998286531542"/>
  </r>
  <r>
    <s v="514944272"/>
    <s v="514944272-0"/>
    <s v="iHerb_AV CYG0792"/>
    <s v="Доставлен"/>
    <d v="2022-11-06T00:00:00"/>
    <x v="5"/>
    <s v="Витамины"/>
    <s v="NOW-01272"/>
    <x v="3"/>
    <x v="134"/>
    <n v="16.829999999999998"/>
    <n v="-4.21"/>
    <n v="-1.774500158344769"/>
    <n v="-1.8931804761516865E-15"/>
    <n v="5.3948990647714226"/>
    <n v="1120.5875245434388"/>
    <n v="2700"/>
    <x v="101"/>
    <s v="&lt;Клиент не выбран&gt;"/>
    <s v="2023 02"/>
    <n v="1579.4124754565612"/>
    <n v="1.4094503471293431"/>
  </r>
  <r>
    <s v="514944272"/>
    <s v="514944272-0"/>
    <s v="iHerb_AV CYG0792"/>
    <s v="Доставлен"/>
    <d v="2022-11-06T00:00:00"/>
    <x v="5"/>
    <s v="Витамины"/>
    <s v="CEN-28026"/>
    <x v="2"/>
    <x v="4"/>
    <n v="2.04"/>
    <n v="-0.51"/>
    <n v="-0.21513353742214714"/>
    <n v="-2.2952188023075122E-16"/>
    <n v="0.65405670119653558"/>
    <n v="135.85569830043278"/>
    <n v="700"/>
    <x v="102"/>
    <s v="&lt;Клиент не выбран&gt;"/>
    <s v="2023 02"/>
    <n v="564.14430169956722"/>
    <n v="4.1525258694119138"/>
  </r>
  <r>
    <s v="514944272"/>
    <s v="514944272-0"/>
    <s v="iHerb_AV CYG0792"/>
    <s v="Доставлен"/>
    <d v="2022-11-06T00:00:00"/>
    <x v="5"/>
    <s v="Витамины"/>
    <s v="MAV-12845"/>
    <x v="4"/>
    <x v="135"/>
    <n v="7.75"/>
    <n v="-0.78"/>
    <n v="-0.98005278158978149"/>
    <n v="-1.0455996766067556E-15"/>
    <n v="2.9795916387842176"/>
    <n v="618.89818114641616"/>
    <m/>
    <x v="20"/>
    <m/>
    <s v=""/>
    <n v="-618.89818114641616"/>
    <s v=""/>
  </r>
  <r>
    <s v="514944272"/>
    <s v="514944272-0"/>
    <s v="iHerb_AV CYG0792"/>
    <s v="Доставлен"/>
    <d v="2022-11-06T00:00:00"/>
    <x v="5"/>
    <s v="Витамины"/>
    <s v="PAR-77882"/>
    <x v="44"/>
    <x v="136"/>
    <n v="26.45"/>
    <m/>
    <n v="-3.7191386044547663"/>
    <n v="-3.9678782562767126E-15"/>
    <n v="11.307058657940107"/>
    <n v="2348.6164836904882"/>
    <n v="2500"/>
    <x v="68"/>
    <s v="&lt;Клиент не выбран&gt;"/>
    <s v="2023 01"/>
    <n v="151.38351630951183"/>
    <n v="6.4456465055391252E-2"/>
  </r>
  <r>
    <s v="514944272"/>
    <s v="514944272-0"/>
    <s v="iHerb_AV CYG0792"/>
    <s v="Доставлен"/>
    <d v="2022-11-06T00:00:00"/>
    <x v="5"/>
    <s v="Витамины"/>
    <s v="CEN-27305"/>
    <x v="2"/>
    <x v="82"/>
    <n v="6.31"/>
    <n v="-1.58"/>
    <n v="-0.66508603399134381"/>
    <n v="-7.0956764280487141E-16"/>
    <n v="2.0220184291892895"/>
    <n v="419.9983352686582"/>
    <n v="1700"/>
    <x v="103"/>
    <s v="&lt;Клиент не выбран&gt;"/>
    <s v="2023 03"/>
    <n v="1280.0016647313419"/>
    <n v="3.0476350910118959"/>
  </r>
  <r>
    <s v="514944272"/>
    <s v="514944272-0"/>
    <s v="iHerb_AV CYG0792"/>
    <s v="Доставлен"/>
    <d v="2022-11-06T00:00:00"/>
    <x v="5"/>
    <s v="Витамины"/>
    <s v="CGN-01842"/>
    <x v="1"/>
    <x v="137"/>
    <n v="6"/>
    <n v="-2.4"/>
    <n v="-0.50619655864034629"/>
    <n v="-5.4005148289588531E-16"/>
    <n v="1.5389569439918485"/>
    <n v="319.66046658925364"/>
    <n v="1200"/>
    <x v="104"/>
    <s v="&lt;Клиент не выбран&gt;"/>
    <s v="2023 11"/>
    <n v="880.3395334107463"/>
    <n v="2.7539831334286791"/>
  </r>
  <r>
    <s v="514373515"/>
    <s v="514373515-0"/>
    <s v="iHerb_OA CZN6870"/>
    <s v="Доставлен"/>
    <d v="2022-10-01T00:00:00"/>
    <x v="4"/>
    <s v="Витамины"/>
    <s v="SOL-00314"/>
    <x v="19"/>
    <x v="138"/>
    <n v="16.600000000000001"/>
    <n v="-4.32"/>
    <n v="-4.0078328981723248E-2"/>
    <n v="1.4238682759683472E-15"/>
    <n v="8.6680422484580184"/>
    <n v="1442.6495104438645"/>
    <n v="2200"/>
    <x v="105"/>
    <s v="&lt;Клиент не выбран&gt;"/>
    <s v="2022 12"/>
    <n v="757.35048955613547"/>
    <n v="0.52497192427779571"/>
  </r>
  <r>
    <s v="514373515"/>
    <s v="514373515-0"/>
    <s v="iHerb_OA CZN6870"/>
    <s v="Доставлен"/>
    <d v="2022-10-01T00:00:00"/>
    <x v="4"/>
    <s v="Витамины"/>
    <s v="SOL-01736"/>
    <x v="19"/>
    <x v="139"/>
    <n v="18.920000000000002"/>
    <n v="-4.92"/>
    <n v="-4.5691906005221945E-2"/>
    <n v="1.6233025947521875E-15"/>
    <n v="9.88213285654823"/>
    <n v="1644.7144255874678"/>
    <n v="2500"/>
    <x v="66"/>
    <s v="&lt;Клиент не выбран&gt;"/>
    <s v="2022 12"/>
    <n v="855.28557441253224"/>
    <n v="0.52002071673143913"/>
  </r>
  <r>
    <s v="514373515"/>
    <s v="514373515-0"/>
    <s v="iHerb_OA CZN6870"/>
    <s v="Доставлен"/>
    <d v="2022-10-01T00:00:00"/>
    <x v="4"/>
    <s v="Витамины"/>
    <s v="SOL-01121"/>
    <x v="19"/>
    <x v="130"/>
    <n v="11.96"/>
    <n v="-3.11"/>
    <n v="-2.8883812010443873E-2"/>
    <n v="1.0261591402540614E-15"/>
    <n v="6.246919698603703"/>
    <n v="1039.6944761749351"/>
    <n v="1600"/>
    <x v="66"/>
    <s v="&lt;Клиент не выбран&gt;"/>
    <s v="2022 12"/>
    <n v="560.30552382506494"/>
    <n v="0.53891362959476763"/>
  </r>
  <r>
    <s v="514373515"/>
    <s v="514373515-0"/>
    <s v="iHerb_OA CZN6870"/>
    <s v="Доставлен"/>
    <d v="2022-10-01T00:00:00"/>
    <x v="4"/>
    <s v="Витамины"/>
    <s v="CGN-00932"/>
    <x v="1"/>
    <x v="140"/>
    <n v="15"/>
    <n v="-4.5"/>
    <n v="-3.4268929503916454E-2"/>
    <n v="1.2174769460641404E-15"/>
    <n v="7.4115996424111712"/>
    <n v="1233.5358191906007"/>
    <n v="1800"/>
    <x v="106"/>
    <s v="&lt;Клиент не выбран&gt;"/>
    <s v="2023 06"/>
    <n v="566.46418080939929"/>
    <n v="0.45921988806218172"/>
  </r>
  <r>
    <s v="514373515"/>
    <s v="514373515-0"/>
    <s v="iHerb_OA CZN6870"/>
    <s v="Доставлен"/>
    <d v="2022-10-01T00:00:00"/>
    <x v="4"/>
    <s v="Витамины"/>
    <s v="NWY-15679"/>
    <x v="16"/>
    <x v="141"/>
    <n v="21.15"/>
    <n v="-5.5"/>
    <n v="-5.1077023498694522E-2"/>
    <n v="1.8146204005622663E-15"/>
    <n v="11.046812800355697"/>
    <n v="1838.5557686031332"/>
    <n v="2500"/>
    <x v="72"/>
    <s v="&lt;Клиент не выбран&gt;"/>
    <s v="2022 12"/>
    <n v="661.44423139686683"/>
    <n v="0.35976294148499383"/>
  </r>
  <r>
    <s v="514943236"/>
    <s v="514943236-0"/>
    <s v="iHerb_VP DFD1605"/>
    <s v="Доставлен"/>
    <d v="2022-11-06T00:00:00"/>
    <x v="5"/>
    <s v="Витамины"/>
    <s v="NOR-02794"/>
    <x v="9"/>
    <x v="142"/>
    <n v="44.16"/>
    <n v="-11.04"/>
    <n v="-1.7819170506912436"/>
    <n v="-5.4223906470909019E-15"/>
    <n v="16.092884792626723"/>
    <n v="3272.7367741935473"/>
    <n v="4200"/>
    <x v="107"/>
    <s v="&lt;Клиент не выбран&gt;"/>
    <s v="2022 12"/>
    <n v="927.26322580645274"/>
    <n v="0.28332960753769898"/>
  </r>
  <r>
    <s v="514943236"/>
    <s v="514943236-0"/>
    <s v="iHerb_VP DFD1605"/>
    <s v="Доставлен"/>
    <d v="2022-11-06T00:00:00"/>
    <x v="5"/>
    <s v="Витамины"/>
    <s v="NOR-02794"/>
    <x v="9"/>
    <x v="142"/>
    <n v="44.16"/>
    <n v="-11.04"/>
    <n v="-1.7819170506912436"/>
    <n v="-5.4223906470909019E-15"/>
    <n v="16.092884792626723"/>
    <n v="3272.7367741935473"/>
    <n v="4200"/>
    <x v="107"/>
    <s v="&lt;Клиент не выбран&gt;"/>
    <s v="2022 12"/>
    <n v="927.26322580645274"/>
    <n v="0.28332960753769898"/>
  </r>
  <r>
    <s v="514943236"/>
    <s v="514943236-0"/>
    <s v="iHerb_VP DFD1605"/>
    <s v="Доставлен"/>
    <d v="2022-11-06T00:00:00"/>
    <x v="5"/>
    <s v="Витамины"/>
    <s v="NOW-01452"/>
    <x v="3"/>
    <x v="143"/>
    <n v="9.15"/>
    <n v="-2.29"/>
    <n v="-0.3690806451612903"/>
    <n v="-1.1231159371691905E-15"/>
    <n v="3.3332484805984106"/>
    <n v="677.8675806451613"/>
    <n v="1300"/>
    <x v="66"/>
    <s v="&lt;Клиент не выбран&gt;"/>
    <s v="2022 12"/>
    <n v="622.1324193548387"/>
    <n v="0.91777868881518632"/>
  </r>
  <r>
    <s v="514943236"/>
    <s v="514943236-0"/>
    <s v="iHerb_VP DFD1605"/>
    <s v="Доставлен"/>
    <d v="2022-11-06T00:00:00"/>
    <x v="5"/>
    <s v="Витамины"/>
    <s v="CGN-00931"/>
    <x v="1"/>
    <x v="24"/>
    <n v="5"/>
    <n v="-3"/>
    <n v="-0.10760368663594469"/>
    <n v="-3.2743904873737332E-16"/>
    <n v="0.9717925599412276"/>
    <n v="197.62903225806451"/>
    <n v="700"/>
    <x v="107"/>
    <s v="&lt;Клиент не выбран&gt;"/>
    <s v="2022 12"/>
    <n v="502.37096774193549"/>
    <n v="2.5419897168040482"/>
  </r>
  <r>
    <s v="514943236"/>
    <s v="514943236-0"/>
    <s v="iHerb_VP DFD1605"/>
    <s v="Доставлен"/>
    <d v="2022-11-06T00:00:00"/>
    <x v="5"/>
    <s v="Витамины"/>
    <s v="CEN-22713"/>
    <x v="2"/>
    <x v="15"/>
    <n v="3.26"/>
    <n v="-0.82"/>
    <n v="-0.13127649769585251"/>
    <n v="-3.9947563945959545E-16"/>
    <n v="1.1855869231282974"/>
    <n v="241.10741935483867"/>
    <n v="1000"/>
    <x v="42"/>
    <s v="&lt;Клиент не выбран&gt;"/>
    <s v="2023 03"/>
    <n v="758.89258064516139"/>
    <n v="3.1475289423934996"/>
  </r>
  <r>
    <s v="514943236"/>
    <s v="514943236-0"/>
    <s v="iHerb_VP DFD1605"/>
    <s v="Доставлен"/>
    <d v="2022-11-06T00:00:00"/>
    <x v="5"/>
    <s v="Витамины"/>
    <s v="CEN-28026"/>
    <x v="2"/>
    <x v="4"/>
    <n v="2.04"/>
    <n v="-0.51"/>
    <n v="-8.2316820276497685E-2"/>
    <n v="-2.5049087228409059E-16"/>
    <n v="0.74342130835503906"/>
    <n v="151.18620967741936"/>
    <n v="600"/>
    <x v="98"/>
    <s v="&lt;Клиент не выбран&gt;"/>
    <s v="2023 09"/>
    <n v="448.81379032258064"/>
    <n v="2.9686159291922105"/>
  </r>
  <r>
    <s v="514943236"/>
    <s v="514943236-0"/>
    <s v="iHerb_VP DFD1605"/>
    <s v="Доставлен"/>
    <d v="2022-11-06T00:00:00"/>
    <x v="5"/>
    <s v="Витамины"/>
    <s v="CEN-27305"/>
    <x v="2"/>
    <x v="82"/>
    <n v="6.31"/>
    <n v="-1.58"/>
    <n v="-0.25448271889400914"/>
    <n v="-7.7439335026388781E-16"/>
    <n v="2.2982894042610025"/>
    <n v="467.39266129032245"/>
    <n v="1400"/>
    <x v="66"/>
    <s v="&lt;Клиент не выбран&gt;"/>
    <s v="2022 12"/>
    <n v="932.60733870967761"/>
    <n v="1.9953401410605067"/>
  </r>
  <r>
    <s v="514943236"/>
    <s v="514943236-0"/>
    <s v="iHerb_VP DFD1605"/>
    <s v="Доставлен"/>
    <d v="2022-11-06T00:00:00"/>
    <x v="5"/>
    <s v="Витамины"/>
    <s v="SPN-02123"/>
    <x v="45"/>
    <x v="144"/>
    <n v="5"/>
    <n v="-2"/>
    <n v="-0.16140552995391702"/>
    <n v="-4.9115857310605998E-16"/>
    <n v="1.4576888399118411"/>
    <n v="296.44354838709671"/>
    <m/>
    <x v="20"/>
    <m/>
    <s v=""/>
    <n v="-296.44354838709671"/>
    <s v=""/>
  </r>
  <r>
    <s v="922121403"/>
    <s v="1Z095EE70250533986"/>
    <s v="iHerb_OA CZN6870"/>
    <s v="Доставлен"/>
    <d v="2022-11-12T00:00:00"/>
    <x v="5"/>
    <s v="Витамины"/>
    <s v="DRB-00025"/>
    <x v="6"/>
    <x v="113"/>
    <n v="9.76"/>
    <n v="-2.15"/>
    <n v="-0.71545708862024171"/>
    <n v="-1.0804736175710583E-15"/>
    <n v="4.8247452450765316"/>
    <n v="808.6308827954839"/>
    <n v="1700"/>
    <x v="89"/>
    <s v="&lt;Клиент не выбран&gt;"/>
    <s v="2023 02"/>
    <n v="891.3691172045161"/>
    <n v="1.1023189148094386"/>
  </r>
  <r>
    <s v="922121403"/>
    <s v="1Z095EE70250533986"/>
    <s v="iHerb_OA CZN6870"/>
    <s v="Доставлен"/>
    <d v="2022-11-12T00:00:00"/>
    <x v="5"/>
    <s v="Витамины"/>
    <s v="CGN-01032"/>
    <x v="1"/>
    <x v="145"/>
    <n v="35"/>
    <n v="-7.7"/>
    <n v="-2.566620041962234"/>
    <n v="-3.8760748698672661E-15"/>
    <n v="17.30821881610898"/>
    <n v="2900.8703154161253"/>
    <n v="2900.87"/>
    <x v="85"/>
    <s v="&lt;Клиент не выбран&gt;"/>
    <s v="2023 01"/>
    <n v="-3.1541612543151132E-4"/>
    <n v="-1.0873154989221411E-7"/>
  </r>
  <r>
    <s v="922121403"/>
    <s v="1Z095EE70250533986"/>
    <s v="iHerb_OA CZN6870"/>
    <s v="Доставлен"/>
    <d v="2022-11-12T00:00:00"/>
    <x v="5"/>
    <s v="Витамины"/>
    <s v="CGN-00931"/>
    <x v="1"/>
    <x v="24"/>
    <n v="5"/>
    <n v="-3"/>
    <n v="-0.18803077230492554"/>
    <n v="-2.8396152892800484E-16"/>
    <n v="1.2680013784695221"/>
    <n v="212.51797182535714"/>
    <n v="800"/>
    <x v="108"/>
    <s v="&lt;Клиент не выбран&gt;"/>
    <s v="2023 01"/>
    <n v="587.48202817464289"/>
    <n v="2.7643875156940769"/>
  </r>
  <r>
    <s v="922121403"/>
    <s v="1Z095EE70250533986"/>
    <s v="iHerb_OA CZN6870"/>
    <s v="Доставлен"/>
    <d v="2022-11-12T00:00:00"/>
    <x v="5"/>
    <s v="Витамины"/>
    <s v="CGN-01065"/>
    <x v="1"/>
    <x v="14"/>
    <n v="6"/>
    <n v="-3.6"/>
    <n v="-0.22563692676591063"/>
    <n v="-3.4075383471360579E-16"/>
    <n v="1.5216016541634265"/>
    <n v="255.02156619042859"/>
    <n v="800"/>
    <x v="44"/>
    <s v="&lt;Клиент не выбран&gt;"/>
    <s v="2023 01"/>
    <n v="544.97843380957147"/>
    <n v="2.1369895964117309"/>
  </r>
  <r>
    <s v="922121403"/>
    <s v="1Z095EE70250533986"/>
    <s v="iHerb_OA CZN6870"/>
    <s v="Доставлен"/>
    <d v="2022-11-12T00:00:00"/>
    <x v="5"/>
    <s v="Витамины"/>
    <s v="MLI-00952"/>
    <x v="1"/>
    <x v="7"/>
    <n v="7"/>
    <n v="-4"/>
    <n v="-0.28204615845738829"/>
    <n v="-4.2594229339200724E-16"/>
    <n v="1.9020020677042833"/>
    <n v="318.77695773803572"/>
    <n v="1100"/>
    <x v="44"/>
    <s v="&lt;Клиент не выбран&gt;"/>
    <s v="2023 01"/>
    <n v="781.22304226196434"/>
    <n v="2.4506885560529041"/>
  </r>
  <r>
    <s v="922121403"/>
    <s v="1Z095EE70250533986"/>
    <s v="iHerb_OA CZN6870"/>
    <s v="Доставлен"/>
    <d v="2022-11-12T00:00:00"/>
    <x v="5"/>
    <s v="Витамины"/>
    <s v="MLI-00952"/>
    <x v="1"/>
    <x v="7"/>
    <n v="7"/>
    <n v="-4"/>
    <n v="-0.28204615845738829"/>
    <n v="-4.2594229339200724E-16"/>
    <n v="1.9020020677042833"/>
    <n v="318.77695773803572"/>
    <n v="1200"/>
    <x v="109"/>
    <s v="&lt;Клиент не выбран&gt;"/>
    <s v="2023 01"/>
    <n v="881.22304226196434"/>
    <n v="2.7643875156940769"/>
  </r>
  <r>
    <s v="922121403"/>
    <s v="1Z095EE70250533986"/>
    <s v="iHerb_OA CZN6870"/>
    <s v="Доставлен"/>
    <d v="2022-11-12T00:00:00"/>
    <x v="5"/>
    <s v="Витамины"/>
    <s v="NOW-00369"/>
    <x v="3"/>
    <x v="118"/>
    <n v="8.7799999999999994"/>
    <n v="-2.63"/>
    <n v="-0.57819462483764594"/>
    <n v="-8.7318170145361477E-16"/>
    <n v="3.8991042387937807"/>
    <n v="653.49276336297328"/>
    <n v="1400"/>
    <x v="110"/>
    <s v="&lt;Клиент не выбран&gt;"/>
    <s v="2023 02"/>
    <n v="746.50723663702672"/>
    <n v="1.1423343585250842"/>
  </r>
  <r>
    <s v="922121403"/>
    <s v="1Z095EE70250533986"/>
    <s v="iHerb_OA CZN6870"/>
    <s v="Доставлен"/>
    <d v="2022-11-12T00:00:00"/>
    <x v="5"/>
    <s v="Витамины"/>
    <s v="CEN-27308"/>
    <x v="2"/>
    <x v="81"/>
    <n v="6.36"/>
    <n v="-1.4"/>
    <n v="-0.46631631531621542"/>
    <n v="-7.0422459174145206E-16"/>
    <n v="3.1446434186044159"/>
    <n v="527.04457012688579"/>
    <n v="1500"/>
    <x v="44"/>
    <s v="&lt;Клиент не выбран&gt;"/>
    <s v="2023 01"/>
    <n v="972.95542987311421"/>
    <n v="1.8460591096477392"/>
  </r>
  <r>
    <s v="922121403"/>
    <s v="1Z095EE70250533986"/>
    <s v="iHerb_OA CZN6870"/>
    <s v="Доставлен"/>
    <d v="2022-11-12T00:00:00"/>
    <x v="5"/>
    <s v="Витамины"/>
    <s v="CEN-27305"/>
    <x v="2"/>
    <x v="82"/>
    <n v="6.31"/>
    <n v="-1.39"/>
    <n v="-0.4625556998701168"/>
    <n v="-6.9854536116289184E-16"/>
    <n v="3.1192833910350246"/>
    <n v="522.79421069037858"/>
    <n v="1500"/>
    <x v="111"/>
    <s v="&lt;Клиент не выбран&gt;"/>
    <s v="2023 01"/>
    <n v="977.20578930962142"/>
    <n v="1.8691978015960951"/>
  </r>
  <r>
    <s v="922121403"/>
    <s v="1Z095EE70250533986"/>
    <s v="iHerb_OA CZN6870"/>
    <s v="Доставлен"/>
    <d v="2022-11-12T00:00:00"/>
    <x v="5"/>
    <s v="Витамины"/>
    <s v="CEN-27304"/>
    <x v="2"/>
    <x v="80"/>
    <n v="6.31"/>
    <n v="-1.39"/>
    <n v="-0.4625556998701168"/>
    <n v="-6.9854536116289184E-16"/>
    <n v="3.1192833910350246"/>
    <n v="522.79421069037858"/>
    <n v="1500"/>
    <x v="96"/>
    <s v="&lt;Клиент не выбран&gt;"/>
    <s v="2023 01"/>
    <n v="977.20578930962142"/>
    <n v="1.8691978015960951"/>
  </r>
  <r>
    <s v="922121403"/>
    <s v="1Z095EE70250533986"/>
    <s v="iHerb_OA CZN6870"/>
    <s v="Доставлен"/>
    <d v="2022-11-12T00:00:00"/>
    <x v="5"/>
    <s v="Витамины"/>
    <s v="CEN-27493"/>
    <x v="2"/>
    <x v="146"/>
    <n v="8.4499999999999993"/>
    <n v="-1.86"/>
    <n v="-0.61956139474472949"/>
    <n v="-9.3565323781777579E-16"/>
    <n v="4.1780645420570748"/>
    <n v="700.24671716455168"/>
    <n v="1200"/>
    <x v="112"/>
    <s v="&lt;Клиент не выбран&gt;"/>
    <s v="2023 01"/>
    <n v="499.75328283544832"/>
    <n v="0.71368172186376821"/>
  </r>
  <r>
    <s v="922121403"/>
    <s v="1Z095EE70250533986"/>
    <s v="iHerb_OA CZN6870"/>
    <s v="Доставлен"/>
    <d v="2022-11-12T00:00:00"/>
    <x v="5"/>
    <s v="Витамины"/>
    <s v="CEN-27070"/>
    <x v="2"/>
    <x v="129"/>
    <n v="6.79"/>
    <n v="-1.49"/>
    <n v="-0.49828154660805263"/>
    <n v="-7.5249805165921278E-16"/>
    <n v="3.3602036529442336"/>
    <n v="563.17262533719634"/>
    <n v="1200"/>
    <x v="113"/>
    <s v="&lt;Клиент не выбран&gt;"/>
    <s v="2023 10"/>
    <n v="636.82737466280366"/>
    <n v="1.1307853862419306"/>
  </r>
  <r>
    <s v="922121403"/>
    <s v="1Z095EE70250533986"/>
    <s v="iHerb_OA CZN6870"/>
    <s v="Доставлен"/>
    <d v="2022-11-12T00:00:00"/>
    <x v="5"/>
    <s v="Витамины"/>
    <s v="NOW-04603"/>
    <x v="3"/>
    <x v="147"/>
    <n v="8.57"/>
    <n v="-1.89"/>
    <n v="-0.62802277949845142"/>
    <n v="-9.4843150661953621E-16"/>
    <n v="4.2351246040882042"/>
    <n v="709.81002589669299"/>
    <n v="1400"/>
    <x v="38"/>
    <s v="&lt;Клиент не выбран&gt;"/>
    <s v="2023 01"/>
    <n v="690.18997410330701"/>
    <n v="0.97235872828282433"/>
  </r>
  <r>
    <s v="922121403"/>
    <s v="1Z095EE70250533986"/>
    <s v="iHerb_OA CZN6870"/>
    <s v="Доставлен"/>
    <d v="2022-11-12T00:00:00"/>
    <x v="5"/>
    <s v="Витамины"/>
    <s v="NWY-15788"/>
    <x v="16"/>
    <x v="53"/>
    <n v="10.65"/>
    <n v="-2.34"/>
    <n v="-0.78126785892696571"/>
    <n v="-1.1798601526958601E-15"/>
    <n v="5.2685457275408645"/>
    <n v="883.012172934359"/>
    <n v="1300"/>
    <x v="108"/>
    <s v="&lt;Клиент не выбран&gt;"/>
    <s v="2023 01"/>
    <n v="416.987827065641"/>
    <n v="0.47223338459756303"/>
  </r>
  <r>
    <s v="922121403"/>
    <s v="1Z095EE70250533986"/>
    <s v="iHerb_OA CZN6870"/>
    <s v="Доставлен"/>
    <d v="2022-11-12T00:00:00"/>
    <x v="5"/>
    <s v="Косметика"/>
    <s v="MBE-01141"/>
    <x v="46"/>
    <x v="148"/>
    <n v="4"/>
    <n v="-2"/>
    <n v="-0.18803077230492554"/>
    <n v="-2.8396152892800484E-16"/>
    <n v="1.2680013784695221"/>
    <n v="212.51797182535714"/>
    <m/>
    <x v="20"/>
    <m/>
    <s v=""/>
    <n v="-212.51797182535714"/>
    <s v=""/>
  </r>
  <r>
    <s v="922121403"/>
    <s v="1Z095EE70250533986"/>
    <s v="iHerb_OA CZN6870"/>
    <s v="Доставлен"/>
    <d v="2022-11-12T00:00:00"/>
    <x v="5"/>
    <s v="Витамины"/>
    <s v="CEN-27685"/>
    <x v="2"/>
    <x v="149"/>
    <n v="6.34"/>
    <n v="-1.39"/>
    <n v="-0.46537616145469074"/>
    <n v="-7.0280478409681198E-16"/>
    <n v="3.1383034117120672"/>
    <n v="525.98198026775901"/>
    <n v="1400"/>
    <x v="38"/>
    <s v="&lt;Клиент не выбран&gt;"/>
    <s v="2023 01"/>
    <n v="874.01801973224099"/>
    <n v="1.661688142409953"/>
  </r>
  <r>
    <s v="W01"/>
    <n v="0"/>
    <s v="WBRS"/>
    <s v="Доставлен"/>
    <d v="2022-11-14T00:00:00"/>
    <x v="5"/>
    <s v="Спортпит"/>
    <s v="007002143"/>
    <x v="39"/>
    <x v="150"/>
    <n v="633"/>
    <m/>
    <n v="0"/>
    <n v="0"/>
    <n v="125.02165354330708"/>
    <n v="758.02165354330714"/>
    <n v="1400"/>
    <x v="114"/>
    <s v="&lt;Клиент не выбран&gt;"/>
    <s v="2022 11"/>
    <n v="641.97834645669286"/>
    <n v="0.84691293903784959"/>
  </r>
  <r>
    <s v="W01"/>
    <n v="0"/>
    <s v="WBRS"/>
    <s v="Доставлен"/>
    <d v="2022-11-14T00:00:00"/>
    <x v="5"/>
    <s v="Спортпит"/>
    <s v="086821897"/>
    <x v="47"/>
    <x v="151"/>
    <n v="503"/>
    <m/>
    <n v="0"/>
    <n v="0"/>
    <n v="99.34580052493439"/>
    <n v="602.34580052493436"/>
    <m/>
    <x v="20"/>
    <m/>
    <s v=""/>
    <n v="-602.34580052493436"/>
    <s v=""/>
  </r>
  <r>
    <s v="W01"/>
    <n v="0"/>
    <s v="WBRS"/>
    <s v="Доставлен"/>
    <d v="2022-11-14T00:00:00"/>
    <x v="5"/>
    <s v="Спортпит"/>
    <s v="026911480"/>
    <x v="48"/>
    <x v="152"/>
    <n v="550"/>
    <m/>
    <n v="0"/>
    <n v="0"/>
    <n v="108.62860892388451"/>
    <n v="658.62860892388449"/>
    <m/>
    <x v="20"/>
    <m/>
    <s v=""/>
    <n v="-658.62860892388449"/>
    <s v=""/>
  </r>
  <r>
    <s v="W01"/>
    <n v="0"/>
    <s v="WBRS"/>
    <s v="Доставлен"/>
    <d v="2022-11-14T00:00:00"/>
    <x v="5"/>
    <s v="Витамины"/>
    <s v="078518967"/>
    <x v="49"/>
    <x v="153"/>
    <n v="353"/>
    <m/>
    <n v="0"/>
    <n v="0"/>
    <n v="69.719816272965886"/>
    <n v="422.71981627296589"/>
    <n v="650"/>
    <x v="50"/>
    <s v="&lt;Клиент не выбран&gt;"/>
    <s v="2022 11"/>
    <n v="227.28018372703411"/>
    <n v="0.53766153129729521"/>
  </r>
  <r>
    <s v="W01"/>
    <n v="0"/>
    <s v="WBRS"/>
    <s v="Доставлен"/>
    <d v="2022-11-14T00:00:00"/>
    <x v="5"/>
    <s v="Витамины"/>
    <s v="078518967"/>
    <x v="49"/>
    <x v="153"/>
    <n v="353"/>
    <m/>
    <n v="0"/>
    <n v="0"/>
    <n v="69.719816272965886"/>
    <n v="422.71981627296589"/>
    <n v="650"/>
    <x v="80"/>
    <s v="&lt;Клиент не выбран&gt;"/>
    <s v="2022 11"/>
    <n v="227.28018372703411"/>
    <n v="0.53766153129729521"/>
  </r>
  <r>
    <s v="W01"/>
    <n v="0"/>
    <s v="WBRS"/>
    <s v="Доставлен"/>
    <d v="2022-11-14T00:00:00"/>
    <x v="5"/>
    <s v="Витамины"/>
    <s v="073585325"/>
    <x v="49"/>
    <x v="154"/>
    <n v="328"/>
    <m/>
    <n v="0"/>
    <n v="0"/>
    <n v="64.782152230971136"/>
    <n v="392.78215223097112"/>
    <n v="650"/>
    <x v="63"/>
    <s v="&lt;Клиент не выбран&gt;"/>
    <s v="2022 11"/>
    <n v="257.21784776902888"/>
    <n v="0.65486134313397937"/>
  </r>
  <r>
    <s v="W01"/>
    <n v="0"/>
    <s v="WBRS"/>
    <s v="Доставлен"/>
    <d v="2022-11-14T00:00:00"/>
    <x v="5"/>
    <s v="Витамины"/>
    <s v="073585325"/>
    <x v="49"/>
    <x v="154"/>
    <n v="328"/>
    <m/>
    <n v="0"/>
    <n v="0"/>
    <n v="64.782152230971136"/>
    <n v="392.78215223097112"/>
    <n v="650"/>
    <x v="79"/>
    <s v="&lt;Клиент не выбран&gt;"/>
    <s v="2022 11"/>
    <n v="257.21784776902888"/>
    <n v="0.65486134313397937"/>
  </r>
  <r>
    <s v="922238684"/>
    <s v="922238684-0"/>
    <s v="iHerb_MH DLE7202"/>
    <s v="Доставлен"/>
    <d v="2022-11-19T00:00:00"/>
    <x v="5"/>
    <s v="Спортпит"/>
    <s v="MSC-71092"/>
    <x v="50"/>
    <x v="155"/>
    <n v="22.6"/>
    <n v="-4.5199999999999996"/>
    <n v="-0.87572654303902597"/>
    <n v="3.5556636209639123E-15"/>
    <n v="12.141039069062206"/>
    <n v="2024.8265642955998"/>
    <n v="3100"/>
    <x v="115"/>
    <s v="&lt;Клиент не выбран&gt;"/>
    <s v="2023 02"/>
    <n v="1075.1734357044002"/>
    <n v="0.53099532308755215"/>
  </r>
  <r>
    <s v="922238684"/>
    <s v="922238684-0"/>
    <s v="iHerb_MH DLE7202"/>
    <s v="Доставлен"/>
    <d v="2022-11-19T00:00:00"/>
    <x v="5"/>
    <s v="Спортпит"/>
    <s v="CGN-01064"/>
    <x v="1"/>
    <x v="156"/>
    <n v="23"/>
    <n v="-11.8"/>
    <n v="-0.54248546913921947"/>
    <n v="2.2026234820130425E-15"/>
    <n v="7.5209976534013654"/>
    <n v="1254.317340714088"/>
    <n v="2900"/>
    <x v="116"/>
    <s v="&lt;Клиент не выбран&gt;"/>
    <s v="2023 01"/>
    <n v="1645.682659285912"/>
    <n v="1.3120145962018017"/>
  </r>
  <r>
    <s v="922238684"/>
    <s v="922238684-0"/>
    <s v="iHerb_MH DLE7202"/>
    <s v="Доставлен"/>
    <d v="2022-11-19T00:00:00"/>
    <x v="5"/>
    <s v="Витамины"/>
    <s v="SPN-00215"/>
    <x v="45"/>
    <x v="157"/>
    <n v="19.28"/>
    <n v="-11.57"/>
    <n v="-0.37344312205923064"/>
    <n v="1.5162702719929072E-15"/>
    <n v="5.1774010631896914"/>
    <n v="863.46309793800197"/>
    <n v="2500"/>
    <x v="111"/>
    <s v="&lt;Клиент не выбран&gt;"/>
    <s v="2023 01"/>
    <n v="1636.536902061998"/>
    <n v="1.8953177107048806"/>
  </r>
  <r>
    <s v="922238684"/>
    <s v="922238684-0"/>
    <s v="iHerb_MH DLE7202"/>
    <s v="Доставлен"/>
    <d v="2022-11-19T00:00:00"/>
    <x v="5"/>
    <s v="Витамины"/>
    <s v="CEN-22380"/>
    <x v="2"/>
    <x v="158"/>
    <n v="7.37"/>
    <n v="-2.21"/>
    <n v="-0.24993080542485474"/>
    <n v="1.0147801042131518E-15"/>
    <n v="3.4650310617456297"/>
    <n v="577.88191768613353"/>
    <n v="1600"/>
    <x v="84"/>
    <s v="&lt;Клиент не выбран&gt;"/>
    <s v="2022 12"/>
    <n v="1022.1180823138665"/>
    <n v="1.768731727074063"/>
  </r>
  <r>
    <s v="922238684"/>
    <s v="922238684-0"/>
    <s v="iHerb_MH DLE7202"/>
    <s v="Доставлен"/>
    <d v="2022-11-19T00:00:00"/>
    <x v="5"/>
    <s v="Спортпит"/>
    <s v="SIE-01683"/>
    <x v="51"/>
    <x v="159"/>
    <n v="17"/>
    <n v="-3.4"/>
    <n v="-0.65873235538333808"/>
    <n v="2.6746142281586944E-15"/>
    <n v="9.1326400077016583"/>
    <n v="1523.0996280099644"/>
    <n v="2500"/>
    <x v="116"/>
    <s v="&lt;Клиент не выбран&gt;"/>
    <s v="2023 01"/>
    <n v="976.90037199003564"/>
    <n v="0.64138967275989944"/>
  </r>
  <r>
    <s v="922238684"/>
    <s v="922238684-0"/>
    <s v="iHerb_MH DLE7202"/>
    <s v="Доставлен"/>
    <d v="2022-11-19T00:00:00"/>
    <x v="5"/>
    <s v="Спортпит"/>
    <s v="RSP-00733"/>
    <x v="52"/>
    <x v="160"/>
    <n v="13.14"/>
    <n v="-2.63"/>
    <n v="-0.50906448934403559"/>
    <n v="2.0669261424961679E-15"/>
    <n v="7.057650476540033"/>
    <n v="1177.0424331165241"/>
    <n v="2200"/>
    <x v="95"/>
    <s v="&lt;Клиент не выбран&gt;"/>
    <s v="2023 01"/>
    <n v="1022.9575668834759"/>
    <n v="0.86909149415703846"/>
  </r>
  <r>
    <s v="922238684"/>
    <s v="922238684-0"/>
    <s v="iHerb_MH DLE7202"/>
    <s v="Доставлен"/>
    <d v="2022-11-19T00:00:00"/>
    <x v="5"/>
    <s v="Спортпит"/>
    <s v="CGN-01126"/>
    <x v="1"/>
    <x v="103"/>
    <n v="5"/>
    <n v="-1"/>
    <n v="-0.19374481040686412"/>
    <n v="7.8665124357608669E-16"/>
    <n v="2.686070590500488"/>
    <n v="447.97047882646007"/>
    <n v="1000"/>
    <x v="88"/>
    <s v="&lt;Клиент не выбран&gt;"/>
    <s v="2023 02"/>
    <n v="552.02952117353993"/>
    <n v="1.2322899549534634"/>
  </r>
  <r>
    <s v="922238684"/>
    <s v="922238684-0"/>
    <s v="iHerb_MH DLE7202"/>
    <s v="Доставлен"/>
    <d v="2022-11-19T00:00:00"/>
    <x v="5"/>
    <s v="Витамины"/>
    <s v="CGN-00931"/>
    <x v="1"/>
    <x v="24"/>
    <n v="5"/>
    <n v="-3"/>
    <n v="-9.6872405203432058E-2"/>
    <n v="3.9332562178804334E-16"/>
    <n v="1.343035295250244"/>
    <n v="223.98523941323003"/>
    <n v="600"/>
    <x v="117"/>
    <s v="&lt;Клиент не выбран&gt;"/>
    <s v="2023 06"/>
    <n v="376.01476058676997"/>
    <n v="1.6787479459441561"/>
  </r>
  <r>
    <s v="922252583"/>
    <s v="1Z095EE70250692180"/>
    <s v="iHerb_OA CZN6870"/>
    <s v="Доставлен"/>
    <d v="2022-11-20T00:00:00"/>
    <x v="5"/>
    <s v="Витамины"/>
    <s v="SPN-00215"/>
    <x v="45"/>
    <x v="157"/>
    <n v="19.28"/>
    <n v="-11.57"/>
    <n v="-1.2524366471734891E-2"/>
    <n v="-1.7798195232977165E-15"/>
    <n v="4.6245168608921663"/>
    <n v="850.21748211500983"/>
    <n v="2500"/>
    <x v="96"/>
    <s v="&lt;Клиент не выбран&gt;"/>
    <s v="2023 01"/>
    <n v="1649.7825178849903"/>
    <n v="1.9404241298132028"/>
  </r>
  <r>
    <s v="922252583"/>
    <s v="1Z095EE70250692180"/>
    <s v="iHerb_OA CZN6870"/>
    <s v="Доставлен"/>
    <d v="2022-11-20T00:00:00"/>
    <x v="5"/>
    <s v="Спортпит"/>
    <s v="NRX-00741"/>
    <x v="53"/>
    <x v="161"/>
    <n v="13.58"/>
    <n v="-2.7149999999999999"/>
    <n v="-1.7649447693307337E-2"/>
    <n v="-2.5081373697314771E-15"/>
    <n v="6.5169099472883749"/>
    <n v="1198.1339744720594"/>
    <n v="1700"/>
    <x v="66"/>
    <s v="&lt;Клиент не выбран&gt;"/>
    <s v="2022 12"/>
    <n v="501.86602552794056"/>
    <n v="0.41887304443485179"/>
  </r>
  <r>
    <s v="922252583"/>
    <s v="1Z095EE70250692180"/>
    <s v="iHerb_OA CZN6870"/>
    <s v="Доставлен"/>
    <d v="2022-11-20T00:00:00"/>
    <x v="5"/>
    <s v="Спортпит"/>
    <s v="NRX-00741"/>
    <x v="53"/>
    <x v="161"/>
    <n v="13.58"/>
    <n v="-2.7149999999999999"/>
    <n v="-1.7649447693307337E-2"/>
    <n v="-2.5081373697314771E-15"/>
    <n v="6.5169099472883749"/>
    <n v="1198.1339744720594"/>
    <n v="2000"/>
    <x v="118"/>
    <s v="&lt;Клиент не выбран&gt;"/>
    <s v="2023 01"/>
    <n v="801.86602552794056"/>
    <n v="0.66926240521747271"/>
  </r>
  <r>
    <s v="922252583"/>
    <s v="1Z095EE70250692180"/>
    <s v="iHerb_OA CZN6870"/>
    <s v="Доставлен"/>
    <d v="2022-11-20T00:00:00"/>
    <x v="5"/>
    <s v="Витамины"/>
    <s v="YUE-00186"/>
    <x v="54"/>
    <x v="162"/>
    <n v="9.4600000000000009"/>
    <n v="-4.7300000000000004"/>
    <n v="-7.6835607537361914E-3"/>
    <n v="-1.09189965566773E-15"/>
    <n v="2.8370901105084236"/>
    <n v="521.59905193307338"/>
    <n v="1300"/>
    <x v="66"/>
    <s v="&lt;Клиент не выбран&gt;"/>
    <s v="2022 12"/>
    <n v="778.40094806692662"/>
    <n v="1.4923358184454745"/>
  </r>
  <r>
    <s v="922252583"/>
    <s v="1Z095EE70250692180"/>
    <s v="iHerb_OA CZN6870"/>
    <s v="Доставлен"/>
    <d v="2022-11-20T00:00:00"/>
    <x v="5"/>
    <s v="Спортпит"/>
    <s v="CGN-01064"/>
    <x v="1"/>
    <x v="156"/>
    <n v="23"/>
    <n v="-11.8"/>
    <n v="-1.819363222871994E-2"/>
    <n v="-2.5854706434415592E-15"/>
    <n v="6.7178455047979559"/>
    <n v="1235.075979207277"/>
    <n v="2900"/>
    <x v="116"/>
    <s v="&lt;Клиент не выбран&gt;"/>
    <s v="2023 01"/>
    <n v="1664.924020792723"/>
    <n v="1.3480336828033368"/>
  </r>
  <r>
    <s v="922252583"/>
    <s v="1Z095EE70250692180"/>
    <s v="iHerb_OA CZN6870"/>
    <s v="Доставлен"/>
    <d v="2022-11-20T00:00:00"/>
    <x v="5"/>
    <s v="Спортпит"/>
    <s v="MSC-60311"/>
    <x v="55"/>
    <x v="163"/>
    <n v="12.06"/>
    <n v="-2.41"/>
    <n v="-1.5675763482781022E-2"/>
    <n v="-2.227659974036701E-15"/>
    <n v="5.7881436715446686"/>
    <n v="1064.1502856562702"/>
    <n v="1800"/>
    <x v="67"/>
    <s v="&lt;Клиент не выбран&gt;"/>
    <s v="2023 01"/>
    <n v="735.84971434372983"/>
    <n v="0.69149040719368438"/>
  </r>
  <r>
    <s v="922252583"/>
    <s v="1Z095EE70250692180"/>
    <s v="iHerb_OA CZN6870"/>
    <s v="Доставлен"/>
    <d v="2022-11-20T00:00:00"/>
    <x v="5"/>
    <s v="Витамины"/>
    <s v="CGN-00931"/>
    <x v="1"/>
    <x v="24"/>
    <n v="5"/>
    <n v="-3"/>
    <n v="-3.2488628979857044E-3"/>
    <n v="-4.616911863288499E-16"/>
    <n v="1.1996152687139208"/>
    <n v="220.5492820012995"/>
    <n v="700"/>
    <x v="66"/>
    <s v="&lt;Клиент не выбран&gt;"/>
    <s v="2022 12"/>
    <n v="479.4507179987005"/>
    <n v="2.1738938057203718"/>
  </r>
  <r>
    <s v="922252583"/>
    <s v="1Z095EE70250692180"/>
    <s v="iHerb_OA CZN6870"/>
    <s v="Доставлен"/>
    <d v="2022-11-20T00:00:00"/>
    <x v="5"/>
    <s v="Витамины"/>
    <s v="NOW-00372"/>
    <x v="3"/>
    <x v="13"/>
    <n v="6.48"/>
    <n v="-1.94"/>
    <n v="-7.3749187784275501E-3"/>
    <n v="-1.0480389929664895E-15"/>
    <n v="2.723126659980601"/>
    <n v="500.64687014294998"/>
    <n v="1100"/>
    <x v="66"/>
    <s v="&lt;Клиент не выбран&gt;"/>
    <s v="2022 12"/>
    <n v="599.35312985705002"/>
    <n v="1.1971574488939007"/>
  </r>
  <r>
    <s v="АН05"/>
    <n v="0"/>
    <s v="Anna"/>
    <s v="Доставлен"/>
    <d v="2022-11-15T00:00:00"/>
    <x v="5"/>
    <s v="Витамины"/>
    <s v="NFS-01678"/>
    <x v="23"/>
    <x v="120"/>
    <n v="192"/>
    <m/>
    <n v="0"/>
    <n v="-0.24838292367399742"/>
    <n v="0"/>
    <n v="239.68952134540751"/>
    <n v="650"/>
    <x v="117"/>
    <s v="&lt;Клиент не выбран&gt;"/>
    <s v="2023 06"/>
    <n v="410.31047865459249"/>
    <n v="1.7118415371329878"/>
  </r>
  <r>
    <s v="АН05"/>
    <n v="0"/>
    <s v="Anna"/>
    <s v="Доставлен"/>
    <d v="2022-11-15T00:00:00"/>
    <x v="5"/>
    <s v="Витамины"/>
    <s v="NFS-01683"/>
    <x v="23"/>
    <x v="111"/>
    <n v="184"/>
    <m/>
    <n v="0"/>
    <n v="-0.23803363518758086"/>
    <n v="0"/>
    <n v="229.70245795601554"/>
    <n v="750"/>
    <x v="45"/>
    <s v="&lt;Клиент не выбран&gt;"/>
    <s v="2022 12"/>
    <n v="520.29754204398444"/>
    <n v="2.2650934895246673"/>
  </r>
  <r>
    <s v="АН05"/>
    <n v="0"/>
    <s v="Anna"/>
    <s v="Доставлен"/>
    <d v="2022-11-15T00:00:00"/>
    <x v="5"/>
    <s v="Витамины"/>
    <s v="SOR-04705"/>
    <x v="10"/>
    <x v="164"/>
    <n v="256"/>
    <m/>
    <n v="0"/>
    <n v="-0.33117723156532991"/>
    <n v="0"/>
    <n v="319.58602846054333"/>
    <n v="900"/>
    <x v="79"/>
    <s v="&lt;Клиент не выбран&gt;"/>
    <s v="2022 11"/>
    <n v="580.41397153945672"/>
    <n v="1.8161431347150261"/>
  </r>
  <r>
    <s v="АН05"/>
    <n v="0"/>
    <s v="Anna"/>
    <s v="Доставлен"/>
    <d v="2022-11-15T00:00:00"/>
    <x v="5"/>
    <s v="Витамины"/>
    <s v="NOW-01480"/>
    <x v="3"/>
    <x v="165"/>
    <n v="200"/>
    <m/>
    <n v="0"/>
    <n v="-0.25873221216041398"/>
    <n v="0"/>
    <n v="249.67658473479946"/>
    <n v="750"/>
    <x v="63"/>
    <s v="&lt;Клиент не выбран&gt;"/>
    <s v="2022 11"/>
    <n v="500.32341526520054"/>
    <n v="2.0038860103626948"/>
  </r>
  <r>
    <s v="АН05"/>
    <n v="0"/>
    <s v="Anna"/>
    <s v="Доставлен"/>
    <d v="2022-11-15T00:00:00"/>
    <x v="5"/>
    <s v="Витамины"/>
    <s v="NWY-15788"/>
    <x v="16"/>
    <x v="53"/>
    <n v="496"/>
    <m/>
    <n v="0"/>
    <n v="-0.64165588615782665"/>
    <n v="0"/>
    <n v="619.19793014230277"/>
    <n v="1300"/>
    <x v="50"/>
    <s v="&lt;Клиент не выбран&gt;"/>
    <s v="2022 11"/>
    <n v="680.80206985769723"/>
    <n v="1.0994902222965066"/>
  </r>
  <r>
    <s v="АН05"/>
    <n v="0"/>
    <s v="Anna"/>
    <s v="Доставлен"/>
    <d v="2022-11-15T00:00:00"/>
    <x v="5"/>
    <s v="Витамины"/>
    <s v="NWY-15788"/>
    <x v="16"/>
    <x v="53"/>
    <n v="496"/>
    <m/>
    <n v="0"/>
    <n v="-0.64165588615782665"/>
    <n v="0"/>
    <n v="619.19793014230277"/>
    <m/>
    <x v="20"/>
    <m/>
    <s v=""/>
    <n v="-619.19793014230277"/>
    <s v=""/>
  </r>
  <r>
    <s v="АН05"/>
    <n v="0"/>
    <s v="Anna"/>
    <s v="Доставлен"/>
    <d v="2022-11-15T00:00:00"/>
    <x v="5"/>
    <s v="Витамины"/>
    <s v="NWY-15788"/>
    <x v="16"/>
    <x v="53"/>
    <n v="496"/>
    <m/>
    <n v="0"/>
    <n v="-0.64165588615782665"/>
    <n v="0"/>
    <n v="619.19793014230277"/>
    <n v="1500"/>
    <x v="27"/>
    <s v="&lt;Клиент не выбран&gt;"/>
    <s v="2023 02"/>
    <n v="880.80206985769723"/>
    <n v="1.4224887180344308"/>
  </r>
  <r>
    <s v="АН05"/>
    <n v="0"/>
    <s v="Anna"/>
    <s v="Доставлен"/>
    <d v="2022-11-15T00:00:00"/>
    <x v="5"/>
    <s v="Витамины"/>
    <s v="NBC-01016"/>
    <x v="8"/>
    <x v="97"/>
    <n v="316"/>
    <m/>
    <n v="0"/>
    <n v="-0.40879689521345408"/>
    <n v="0"/>
    <n v="394.48900388098315"/>
    <n v="394.49"/>
    <x v="91"/>
    <s v="&lt;Клиент не выбран&gt;"/>
    <s v="2023 02"/>
    <n v="9.961190168610301E-4"/>
    <n v="2.5250869024515523E-6"/>
  </r>
  <r>
    <s v="АН05"/>
    <n v="0"/>
    <s v="Anna"/>
    <s v="Доставлен"/>
    <d v="2022-11-15T00:00:00"/>
    <x v="5"/>
    <s v="Витамины"/>
    <s v="NAP-29978"/>
    <x v="11"/>
    <x v="54"/>
    <n v="456"/>
    <m/>
    <n v="0"/>
    <n v="-0.58990944372574383"/>
    <n v="0"/>
    <n v="569.26261319534285"/>
    <n v="1200"/>
    <x v="82"/>
    <s v="&lt;Клиент не выбран&gt;"/>
    <s v="2022 12"/>
    <n v="630.73738680465715"/>
    <n v="1.1079901827106626"/>
  </r>
  <r>
    <s v="OZA04"/>
    <n v="0"/>
    <s v="OZON_AV"/>
    <s v="Доставлен"/>
    <d v="2022-11-21T00:00:00"/>
    <x v="5"/>
    <s v="Косметика"/>
    <s v="XXXX100"/>
    <x v="56"/>
    <x v="166"/>
    <n v="3608"/>
    <m/>
    <n v="0"/>
    <n v="20.851027397260275"/>
    <n v="544.32765410958905"/>
    <n v="4173.178681506849"/>
    <n v="4700"/>
    <x v="60"/>
    <s v="&lt;Клиент не выбран&gt;"/>
    <s v="2022 11"/>
    <n v="526.82131849315101"/>
    <n v="0.12623981830150793"/>
  </r>
  <r>
    <s v="WB02"/>
    <n v="0"/>
    <s v="WBRS"/>
    <s v="Доставлен"/>
    <d v="2022-11-21T00:00:00"/>
    <x v="5"/>
    <s v="Косметика"/>
    <s v=" 72335422"/>
    <x v="42"/>
    <x v="167"/>
    <n v="815"/>
    <m/>
    <n v="0"/>
    <n v="0"/>
    <n v="122.25"/>
    <n v="937.25"/>
    <n v="1300"/>
    <x v="60"/>
    <s v="&lt;Клиент не выбран&gt;"/>
    <s v="2022 11"/>
    <n v="362.75"/>
    <n v="0.38703654307815416"/>
  </r>
  <r>
    <s v="OZA04"/>
    <n v="0"/>
    <s v="OZON_AV"/>
    <s v="Доставлен"/>
    <d v="2022-11-21T00:00:00"/>
    <x v="5"/>
    <s v="Витамины"/>
    <s v="355578901"/>
    <x v="57"/>
    <x v="168"/>
    <n v="532"/>
    <m/>
    <n v="0"/>
    <n v="3.0744863013698631"/>
    <n v="80.261172945205487"/>
    <n v="615.33565924657546"/>
    <n v="950"/>
    <x v="119"/>
    <s v="&lt;Клиент не выбран&gt;"/>
    <s v="2022 11"/>
    <n v="334.66434075342454"/>
    <n v="0.54387282083276578"/>
  </r>
  <r>
    <s v="OZA04"/>
    <n v="0"/>
    <s v="OZON_AV"/>
    <s v="Доставлен"/>
    <d v="2022-11-21T00:00:00"/>
    <x v="5"/>
    <s v="Витамины"/>
    <s v="355578901"/>
    <x v="57"/>
    <x v="168"/>
    <n v="532"/>
    <m/>
    <n v="0"/>
    <n v="3.0744863013698631"/>
    <n v="80.261172945205487"/>
    <n v="615.33565924657546"/>
    <n v="900"/>
    <x v="16"/>
    <s v="&lt;Клиент не выбран&gt;"/>
    <s v="2022 11"/>
    <n v="284.66434075342454"/>
    <n v="0.46261635657840966"/>
  </r>
  <r>
    <s v="OZA05"/>
    <n v="0"/>
    <s v="OZON_AV"/>
    <s v="Доставлен"/>
    <d v="2022-11-21T00:00:00"/>
    <x v="5"/>
    <s v="Спортпит"/>
    <s v="30 порций"/>
    <x v="58"/>
    <x v="169"/>
    <n v="626"/>
    <m/>
    <n v="0"/>
    <n v="0"/>
    <n v="93.9"/>
    <n v="719.9"/>
    <n v="1400"/>
    <x v="60"/>
    <s v="&lt;Клиент не выбран&gt;"/>
    <s v="2022 11"/>
    <n v="680.1"/>
    <n v="0.94471454368662322"/>
  </r>
  <r>
    <s v="OZA05"/>
    <n v="0"/>
    <s v="OZON_AV"/>
    <s v="Доставлен"/>
    <d v="2022-11-21T00:00:00"/>
    <x v="5"/>
    <s v="Спортпит"/>
    <s v="30 порций"/>
    <x v="58"/>
    <x v="169"/>
    <n v="626"/>
    <m/>
    <n v="0"/>
    <n v="0"/>
    <n v="93.9"/>
    <n v="719.9"/>
    <n v="1400"/>
    <x v="44"/>
    <s v="&lt;Клиент не выбран&gt;"/>
    <s v="2023 01"/>
    <n v="680.1"/>
    <n v="0.94471454368662322"/>
  </r>
  <r>
    <s v="OZA05"/>
    <n v="0"/>
    <s v="OZON_AV"/>
    <s v="Доставлен"/>
    <d v="2022-11-21T00:00:00"/>
    <x v="5"/>
    <s v="Спортпит"/>
    <s v="688630275"/>
    <x v="59"/>
    <x v="170"/>
    <n v="465"/>
    <m/>
    <n v="0"/>
    <n v="0"/>
    <n v="69.75"/>
    <n v="534.75"/>
    <n v="1200"/>
    <x v="66"/>
    <s v="&lt;Клиент не выбран&gt;"/>
    <s v="2022 12"/>
    <n v="665.25"/>
    <n v="1.244039270687237"/>
  </r>
  <r>
    <s v="OZA05"/>
    <n v="0"/>
    <s v="OZON_AV"/>
    <s v="Доставлен"/>
    <d v="2022-11-21T00:00:00"/>
    <x v="5"/>
    <s v="Спортпит"/>
    <s v="688630275"/>
    <x v="59"/>
    <x v="170"/>
    <n v="465"/>
    <m/>
    <n v="0"/>
    <n v="0"/>
    <n v="69.75"/>
    <n v="534.75"/>
    <n v="1200"/>
    <x v="120"/>
    <s v="&lt;Клиент не выбран&gt;"/>
    <s v="2023 01"/>
    <n v="665.25"/>
    <n v="1.244039270687237"/>
  </r>
  <r>
    <s v="OZA05"/>
    <n v="0"/>
    <s v="OZON_AV"/>
    <s v="Доставлен"/>
    <d v="2022-11-21T00:00:00"/>
    <x v="5"/>
    <s v="Спортпит"/>
    <s v="XXXXX"/>
    <x v="60"/>
    <x v="171"/>
    <n v="1230"/>
    <m/>
    <n v="0"/>
    <n v="0"/>
    <n v="184.5"/>
    <n v="1414.5"/>
    <n v="1900"/>
    <x v="60"/>
    <s v="&lt;Клиент не выбран&gt;"/>
    <s v="2022 11"/>
    <n v="485.5"/>
    <n v="0.34323082361258395"/>
  </r>
  <r>
    <s v="OZA05"/>
    <n v="0"/>
    <s v="OZON_AV"/>
    <s v="Доставлен"/>
    <d v="2022-11-21T00:00:00"/>
    <x v="5"/>
    <s v="Спортпит"/>
    <s v="170919152"/>
    <x v="40"/>
    <x v="109"/>
    <n v="833"/>
    <m/>
    <n v="0"/>
    <n v="0"/>
    <n v="124.95"/>
    <n v="957.95"/>
    <n v="1600"/>
    <x v="95"/>
    <s v="&lt;Клиент не выбран&gt;"/>
    <s v="2023 01"/>
    <n v="642.04999999999995"/>
    <n v="0.67023331071559056"/>
  </r>
  <r>
    <s v="922283901"/>
    <s v="1Z095EE70250724592"/>
    <s v="iHerb_VP DFD1605"/>
    <s v="Доставлен"/>
    <d v="2022-11-22T00:00:00"/>
    <x v="5"/>
    <s v="Косметика"/>
    <s v="WSH-95370"/>
    <x v="61"/>
    <x v="172"/>
    <n v="16.64"/>
    <n v="-4.99"/>
    <n v="0"/>
    <n v="1.3782588863811468E-15"/>
    <n v="3.8037201928506277"/>
    <n v="1066.3066933066934"/>
    <n v="1800"/>
    <x v="121"/>
    <s v="&lt;Клиент не выбран&gt;"/>
    <s v="2023 03"/>
    <n v="733.69330669330657"/>
    <n v="0.68806968135787561"/>
  </r>
  <r>
    <s v="922283901"/>
    <s v="1Z095EE70250724592"/>
    <s v="iHerb_VP DFD1605"/>
    <s v="Доставлен"/>
    <d v="2022-11-22T00:00:00"/>
    <x v="5"/>
    <s v="Косметика"/>
    <s v="MBN-02152"/>
    <x v="14"/>
    <x v="173"/>
    <n v="8"/>
    <n v="-3"/>
    <n v="0"/>
    <n v="5.9152741904770254E-16"/>
    <n v="1.6324979368457628"/>
    <n v="457.64235764235769"/>
    <m/>
    <x v="20"/>
    <m/>
    <s v=""/>
    <n v="-457.64235764235769"/>
    <s v=""/>
  </r>
  <r>
    <s v="922283901"/>
    <s v="1Z095EE70250724592"/>
    <s v="iHerb_VP DFD1605"/>
    <s v="Доставлен"/>
    <d v="2022-11-22T00:00:00"/>
    <x v="5"/>
    <s v="Косметика"/>
    <s v="EUC-02667"/>
    <x v="13"/>
    <x v="174"/>
    <n v="13.27"/>
    <n v="-3.98"/>
    <n v="0"/>
    <n v="1.0990579445906312E-15"/>
    <n v="3.0331811666594275"/>
    <n v="850.29950049950048"/>
    <n v="1500"/>
    <x v="108"/>
    <s v="&lt;Клиент не выбран&gt;"/>
    <s v="2023 01"/>
    <n v="649.70049950049952"/>
    <n v="0.76408430102433211"/>
  </r>
  <r>
    <s v="922283901"/>
    <s v="1Z095EE70250724592"/>
    <s v="iHerb_VP DFD1605"/>
    <s v="Доставлен"/>
    <d v="2022-11-22T00:00:00"/>
    <x v="5"/>
    <s v="Косметика"/>
    <s v="MAV-14757"/>
    <x v="4"/>
    <x v="10"/>
    <n v="6.08"/>
    <n v="-1.82"/>
    <n v="0"/>
    <n v="5.0398136102864248E-16"/>
    <n v="1.3908882421925899"/>
    <n v="389.91128871128876"/>
    <n v="1000"/>
    <x v="108"/>
    <s v="&lt;Клиент не выбран&gt;"/>
    <s v="2023 01"/>
    <n v="610.08871128871124"/>
    <n v="1.5646859399868611"/>
  </r>
  <r>
    <s v="922283901"/>
    <s v="1Z095EE70250724592"/>
    <s v="iHerb_VP DFD1605"/>
    <s v="Доставлен"/>
    <d v="2022-11-22T00:00:00"/>
    <x v="5"/>
    <s v="Косметика"/>
    <s v="BLT-66021"/>
    <x v="62"/>
    <x v="175"/>
    <n v="7.11"/>
    <n v="-2.13"/>
    <n v="0"/>
    <n v="5.8916130937151171E-16"/>
    <n v="1.6259679450983799"/>
    <n v="455.81178821178833"/>
    <n v="800"/>
    <x v="108"/>
    <s v="&lt;Клиент не выбран&gt;"/>
    <s v="2023 01"/>
    <n v="344.18821178821167"/>
    <n v="0.75511037820787585"/>
  </r>
  <r>
    <s v="922283901"/>
    <s v="1Z095EE70250724592"/>
    <s v="iHerb_VP DFD1605"/>
    <s v="Доставлен"/>
    <d v="2022-11-22T00:00:00"/>
    <x v="5"/>
    <s v="Косметика"/>
    <s v="IVE-10473"/>
    <x v="63"/>
    <x v="176"/>
    <n v="7.95"/>
    <n v="-2.39"/>
    <n v="0"/>
    <n v="6.5777848998104524E-16"/>
    <n v="1.8153377057724884"/>
    <n v="508.89830169830179"/>
    <n v="1500"/>
    <x v="69"/>
    <s v="&lt;Клиент не выбран&gt;"/>
    <s v="2023 03"/>
    <n v="991.10169830169821"/>
    <n v="1.9475437331863383"/>
  </r>
  <r>
    <s v="922283901"/>
    <s v="1Z095EE70250724592"/>
    <s v="iHerb_VP DFD1605"/>
    <s v="Доставлен"/>
    <d v="2022-11-22T00:00:00"/>
    <x v="5"/>
    <s v="Косметика"/>
    <s v="ELF-85912"/>
    <x v="64"/>
    <x v="177"/>
    <n v="10.1"/>
    <n v="-3.03"/>
    <n v="0"/>
    <n v="8.3641977053345134E-16"/>
    <n v="2.3083520826999093"/>
    <n v="647.10629370629385"/>
    <m/>
    <x v="20"/>
    <m/>
    <s v=""/>
    <n v="-647.10629370629385"/>
    <s v=""/>
  </r>
  <r>
    <s v="922283901"/>
    <s v="1Z095EE70250724592"/>
    <s v="iHerb_VP DFD1605"/>
    <s v="Доставлен"/>
    <d v="2022-11-22T00:00:00"/>
    <x v="5"/>
    <s v="Косметика"/>
    <s v="MBY-05089"/>
    <x v="30"/>
    <x v="67"/>
    <n v="9.4600000000000009"/>
    <n v="-2.84"/>
    <n v="0"/>
    <n v="7.8318230281915825E-16"/>
    <n v="2.161427268383791"/>
    <n v="605.91848151848171"/>
    <m/>
    <x v="20"/>
    <m/>
    <s v=""/>
    <n v="-605.91848151848171"/>
    <s v=""/>
  </r>
  <r>
    <s v="922283901"/>
    <s v="1Z095EE70250724592"/>
    <s v="iHerb_VP DFD1605"/>
    <s v="Доставлен"/>
    <d v="2022-11-22T00:00:00"/>
    <x v="5"/>
    <s v="Косметика"/>
    <s v="MBY-05089"/>
    <x v="30"/>
    <x v="67"/>
    <n v="9.4600000000000009"/>
    <n v="-2.84"/>
    <n v="0"/>
    <n v="7.8318230281915825E-16"/>
    <n v="2.161427268383791"/>
    <n v="605.91848151848171"/>
    <m/>
    <x v="20"/>
    <m/>
    <s v=""/>
    <n v="-605.91848151848171"/>
    <s v=""/>
  </r>
  <r>
    <s v="922283901"/>
    <s v="1Z095EE70250724592"/>
    <s v="iHerb_VP DFD1605"/>
    <s v="Доставлен"/>
    <d v="2022-11-22T00:00:00"/>
    <x v="5"/>
    <s v="Спортпит"/>
    <s v="NRX-00764"/>
    <x v="53"/>
    <x v="178"/>
    <n v="13.18"/>
    <n v="-2.64"/>
    <n v="0"/>
    <n v="1.2469397993525568E-15"/>
    <n v="3.4413056508708681"/>
    <n v="964.71008991009001"/>
    <n v="2000"/>
    <x v="43"/>
    <s v="&lt;Клиент не выбран&gt;"/>
    <s v="2023 02"/>
    <n v="1035.2899100899099"/>
    <n v="1.0731616896288478"/>
  </r>
  <r>
    <s v="922283901"/>
    <s v="1Z095EE70250724592"/>
    <s v="iHerb_VP DFD1605"/>
    <s v="Доставлен"/>
    <d v="2022-11-22T00:00:00"/>
    <x v="5"/>
    <s v="Спортпит"/>
    <s v="NRX-00072"/>
    <x v="53"/>
    <x v="179"/>
    <n v="24.97"/>
    <n v="-4.99"/>
    <n v="0"/>
    <n v="2.3637435665146186E-15"/>
    <n v="6.523461755635668"/>
    <n v="1828.7388611388612"/>
    <n v="3700"/>
    <x v="110"/>
    <s v="&lt;Клиент не выбран&gt;"/>
    <s v="2023 02"/>
    <n v="1871.2611388611388"/>
    <n v="1.0232522415451906"/>
  </r>
  <r>
    <s v="922283901"/>
    <s v="1Z095EE70250724592"/>
    <s v="iHerb_VP DFD1605"/>
    <s v="Доставлен"/>
    <d v="2022-11-22T00:00:00"/>
    <x v="5"/>
    <s v="Спортпит"/>
    <s v="NOB-27406"/>
    <x v="65"/>
    <x v="180"/>
    <n v="19.350000000000001"/>
    <n v="-3.87"/>
    <n v="0"/>
    <n v="1.8313688893716871E-15"/>
    <n v="5.0542136124744825"/>
    <n v="1416.8607392607394"/>
    <n v="2500"/>
    <x v="118"/>
    <s v="&lt;Клиент не выбран&gt;"/>
    <s v="2023 01"/>
    <n v="1083.1392607392606"/>
    <n v="0.76446416413824758"/>
  </r>
  <r>
    <s v="922283901"/>
    <s v="1Z095EE70250724592"/>
    <s v="iHerb_VP DFD1605"/>
    <s v="Доставлен"/>
    <d v="2022-11-22T00:00:00"/>
    <x v="5"/>
    <s v="Косметика"/>
    <s v="RSE-01732"/>
    <x v="28"/>
    <x v="181"/>
    <n v="2"/>
    <n v="-1"/>
    <n v="0"/>
    <n v="1.183054838095405E-16"/>
    <n v="0.32649958736915263"/>
    <n v="91.528471528471556"/>
    <m/>
    <x v="20"/>
    <m/>
    <s v=""/>
    <n v="-91.528471528471556"/>
    <s v=""/>
  </r>
  <r>
    <s v="922283901"/>
    <s v="1Z095EE70250724592"/>
    <s v="iHerb_VP DFD1605"/>
    <s v="Доставлен"/>
    <d v="2022-11-22T00:00:00"/>
    <x v="5"/>
    <s v="Косметика"/>
    <s v="MSH-79311"/>
    <x v="42"/>
    <x v="182"/>
    <n v="11.3"/>
    <n v="-3.39"/>
    <n v="0"/>
    <n v="9.3579637693346534E-16"/>
    <n v="2.5826117360899969"/>
    <n v="723.99020979020986"/>
    <n v="1200"/>
    <x v="103"/>
    <s v="&lt;Клиент не выбран&gt;"/>
    <s v="2023 03"/>
    <n v="476.00979020979014"/>
    <n v="0.65748097663879068"/>
  </r>
  <r>
    <s v="922283901"/>
    <s v="1Z095EE70250724592"/>
    <s v="iHerb_VP DFD1605"/>
    <s v="Доставлен"/>
    <d v="2022-11-22T00:00:00"/>
    <x v="5"/>
    <s v="Косметика"/>
    <s v="MSH-45855"/>
    <x v="42"/>
    <x v="183"/>
    <n v="5.95"/>
    <n v="-1.79"/>
    <n v="0"/>
    <n v="4.9215081264768854E-16"/>
    <n v="1.3582382834556748"/>
    <n v="380.75844155844163"/>
    <m/>
    <x v="20"/>
    <m/>
    <s v=""/>
    <n v="-380.75844155844163"/>
    <s v="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100"/>
    <x v="122"/>
    <s v="&lt;Клиент не выбран&gt;"/>
    <s v="2023 02"/>
    <n v="1184.3999999999992"/>
    <n v="1.293577981651374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100"/>
    <x v="88"/>
    <s v="&lt;Клиент не выбран&gt;"/>
    <s v="2023 02"/>
    <n v="1184.3999999999992"/>
    <n v="1.293577981651374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00"/>
    <x v="115"/>
    <s v="&lt;Клиент не выбран&gt;"/>
    <s v="2023 02"/>
    <n v="1284.3999999999992"/>
    <n v="1.402795980777630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00"/>
    <x v="115"/>
    <s v="&lt;Клиент не выбран&gt;"/>
    <s v="2023 02"/>
    <n v="1284.3999999999992"/>
    <n v="1.402795980777630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00"/>
    <x v="115"/>
    <s v="&lt;Клиент не выбран&gt;"/>
    <s v="2023 02"/>
    <n v="1284.3999999999992"/>
    <n v="1.402795980777630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300"/>
    <x v="35"/>
    <s v="&lt;Клиент не выбран&gt;"/>
    <s v="2023 02"/>
    <n v="1384.3999999999992"/>
    <n v="1.5120139799038861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50"/>
    <x v="37"/>
    <s v="&lt;Клиент не выбран&gt;"/>
    <s v="2023 02"/>
    <n v="1334.3999999999992"/>
    <n v="1.457404980340758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00"/>
    <x v="123"/>
    <s v="&lt;Клиент не выбран&gt;"/>
    <s v="2023 02"/>
    <n v="1284.3999999999992"/>
    <n v="1.4027959807776302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300"/>
    <x v="101"/>
    <s v="&lt;Клиент не выбран&gt;"/>
    <s v="2023 02"/>
    <n v="1384.3999999999992"/>
    <n v="1.5120139799038861"/>
  </r>
  <r>
    <s v="РО04"/>
    <n v="0"/>
    <s v="Roman"/>
    <s v="Доставлен"/>
    <d v="2022-11-23T00:00:00"/>
    <x v="5"/>
    <s v="Витамины"/>
    <s v="CGN-01033"/>
    <x v="1"/>
    <x v="1"/>
    <n v="732.48"/>
    <m/>
    <n v="0"/>
    <n v="5.6265766820492818E-13"/>
    <n v="0"/>
    <n v="915.6000000000007"/>
    <n v="2200"/>
    <x v="124"/>
    <s v="&lt;Клиент не выбран&gt;"/>
    <s v="2023 03"/>
    <n v="1284.3999999999992"/>
    <n v="1.4027959807776302"/>
  </r>
  <r>
    <s v="РО04"/>
    <n v="0"/>
    <s v="Roman"/>
    <s v="Доставлен"/>
    <d v="2022-11-23T00:00:00"/>
    <x v="5"/>
    <s v="Витамины"/>
    <s v="NFS-01678"/>
    <x v="23"/>
    <x v="120"/>
    <n v="239.71199999999999"/>
    <m/>
    <n v="0"/>
    <n v="1.8413580570218948E-13"/>
    <n v="0"/>
    <n v="299.64000000000021"/>
    <n v="700"/>
    <x v="125"/>
    <s v="&lt;Клиент не выбран&gt;"/>
    <s v="2023 11"/>
    <n v="400.35999999999979"/>
    <n v="1.3361366973701758"/>
  </r>
  <r>
    <s v="РО04"/>
    <n v="0"/>
    <s v="Roman"/>
    <s v="Доставлен"/>
    <d v="2022-11-23T00:00:00"/>
    <x v="5"/>
    <s v="Витамины"/>
    <s v="NFS-01678"/>
    <x v="23"/>
    <x v="120"/>
    <n v="239.71199999999999"/>
    <m/>
    <n v="0"/>
    <n v="1.8413580570218948E-13"/>
    <n v="0"/>
    <n v="299.64000000000021"/>
    <n v="900"/>
    <x v="126"/>
    <s v="&lt;Клиент не выбран&gt;"/>
    <s v="2024 03"/>
    <n v="600.35999999999979"/>
    <n v="2.003604325190226"/>
  </r>
  <r>
    <s v="РО04"/>
    <n v="0"/>
    <s v="Roman"/>
    <s v="Доставлен"/>
    <d v="2022-11-23T00:00:00"/>
    <x v="5"/>
    <s v="Витамины"/>
    <s v="NFS-01678"/>
    <x v="23"/>
    <x v="120"/>
    <n v="239.71199999999999"/>
    <m/>
    <n v="0"/>
    <n v="1.8413580570218948E-13"/>
    <n v="0"/>
    <n v="299.64000000000021"/>
    <n v="900"/>
    <x v="127"/>
    <s v="&lt;Клиент не выбран&gt;"/>
    <s v="2024 03"/>
    <n v="600.35999999999979"/>
    <n v="2.003604325190226"/>
  </r>
  <r>
    <s v="РО04"/>
    <n v="0"/>
    <s v="Roman"/>
    <s v="Доставлен"/>
    <d v="2022-11-23T00:00:00"/>
    <x v="5"/>
    <s v="Витамины"/>
    <s v="NFS-01678"/>
    <x v="23"/>
    <x v="120"/>
    <n v="239.71199999999999"/>
    <m/>
    <n v="0"/>
    <n v="1.8413580570218948E-13"/>
    <n v="0"/>
    <n v="299.64000000000021"/>
    <n v="800"/>
    <x v="128"/>
    <s v="&lt;Клиент не выбран&gt;"/>
    <s v="2024 05"/>
    <n v="500.35999999999979"/>
    <n v="1.669870511280201"/>
  </r>
  <r>
    <s v="РО04"/>
    <n v="0"/>
    <s v="Roman"/>
    <s v="Доставлен"/>
    <d v="2022-11-23T00:00:00"/>
    <x v="5"/>
    <s v="Витамины"/>
    <s v="NFS-01678"/>
    <x v="23"/>
    <x v="120"/>
    <n v="239.71199999999999"/>
    <m/>
    <n v="0"/>
    <n v="1.8413580570218948E-13"/>
    <n v="0"/>
    <n v="299.64000000000021"/>
    <n v="700"/>
    <x v="129"/>
    <s v="Даша Калифорния"/>
    <s v="2025 09"/>
    <n v="400.35999999999979"/>
    <n v="1.3361366973701758"/>
  </r>
  <r>
    <s v="РО04"/>
    <n v="0"/>
    <s v="Roman"/>
    <s v="Доставлен"/>
    <d v="2022-11-23T00:00:00"/>
    <x v="5"/>
    <s v="Витамины"/>
    <s v="NFS-01683"/>
    <x v="23"/>
    <x v="111"/>
    <n v="239.71199999999999"/>
    <m/>
    <n v="0"/>
    <n v="1.8413580570218948E-13"/>
    <n v="0"/>
    <n v="299.64000000000021"/>
    <n v="700"/>
    <x v="32"/>
    <s v="&lt;Клиент не выбран&gt;"/>
    <s v="2022 12"/>
    <n v="400.35999999999979"/>
    <n v="1.3361366973701758"/>
  </r>
  <r>
    <s v="РО04"/>
    <n v="0"/>
    <s v="Roman"/>
    <s v="Доставлен"/>
    <d v="2022-11-23T00:00:00"/>
    <x v="5"/>
    <s v="Витамины"/>
    <s v="NFS-01683"/>
    <x v="23"/>
    <x v="111"/>
    <n v="239.71199999999999"/>
    <m/>
    <n v="0"/>
    <n v="1.8413580570218948E-13"/>
    <n v="0"/>
    <n v="299.64000000000021"/>
    <n v="750"/>
    <x v="101"/>
    <s v="&lt;Клиент не выбран&gt;"/>
    <s v="2023 02"/>
    <n v="450.35999999999979"/>
    <n v="1.5030036043251884"/>
  </r>
  <r>
    <s v="РО04"/>
    <n v="0"/>
    <s v="Roman"/>
    <s v="Доставлен"/>
    <d v="2022-11-23T00:00:00"/>
    <x v="5"/>
    <s v="Витамины"/>
    <s v="NFS-01683"/>
    <x v="23"/>
    <x v="111"/>
    <n v="239.71199999999999"/>
    <m/>
    <n v="0"/>
    <n v="1.8413580570218948E-13"/>
    <n v="0"/>
    <n v="299.64000000000021"/>
    <n v="700"/>
    <x v="42"/>
    <s v="&lt;Клиент не выбран&gt;"/>
    <s v="2023 03"/>
    <n v="400.35999999999979"/>
    <n v="1.3361366973701758"/>
  </r>
  <r>
    <s v="РО04"/>
    <n v="0"/>
    <s v="Roman"/>
    <s v="Доставлен"/>
    <d v="2022-11-23T00:00:00"/>
    <x v="5"/>
    <s v="Витамины"/>
    <s v="NFS-01683"/>
    <x v="23"/>
    <x v="111"/>
    <n v="239.71199999999999"/>
    <m/>
    <n v="0"/>
    <n v="1.8413580570218948E-13"/>
    <n v="0"/>
    <n v="299.64000000000021"/>
    <n v="750"/>
    <x v="130"/>
    <s v="&lt;Клиент не выбран&gt;"/>
    <s v="2023 09"/>
    <n v="450.35999999999979"/>
    <n v="1.5030036043251884"/>
  </r>
  <r>
    <s v="РО04"/>
    <n v="0"/>
    <s v="Roman"/>
    <s v="Доставлен"/>
    <d v="2022-11-23T00:00:00"/>
    <x v="5"/>
    <s v="Витамины"/>
    <s v="NFS-01683"/>
    <x v="23"/>
    <x v="111"/>
    <n v="239.71199999999999"/>
    <m/>
    <n v="0"/>
    <n v="1.8413580570218948E-13"/>
    <n v="0"/>
    <n v="299.64000000000021"/>
    <n v="750"/>
    <x v="130"/>
    <s v="&lt;Клиент не выбран&gt;"/>
    <s v="2023 09"/>
    <n v="450.35999999999979"/>
    <n v="1.5030036043251884"/>
  </r>
  <r>
    <s v="РО04"/>
    <n v="0"/>
    <s v="Roman"/>
    <s v="Доставлен"/>
    <d v="2022-11-23T00:00:00"/>
    <x v="5"/>
    <s v="Косметика"/>
    <s v="MSH-44928"/>
    <x v="42"/>
    <x v="125"/>
    <n v="420.64"/>
    <m/>
    <n v="0"/>
    <n v="3.2311642850824731E-13"/>
    <n v="0"/>
    <n v="525.80000000000041"/>
    <n v="1000"/>
    <x v="16"/>
    <s v="&lt;Клиент не выбран&gt;"/>
    <s v="2022 11"/>
    <n v="474.19999999999959"/>
    <n v="0.90186382655001751"/>
  </r>
  <r>
    <s v="РО04"/>
    <n v="0"/>
    <s v="Roman"/>
    <s v="Доставлен"/>
    <d v="2022-11-23T00:00:00"/>
    <x v="5"/>
    <s v="Косметика"/>
    <s v="MSH-44928"/>
    <x v="42"/>
    <x v="125"/>
    <n v="420.64"/>
    <m/>
    <n v="0"/>
    <n v="3.2311642850824731E-13"/>
    <n v="0"/>
    <n v="525.80000000000041"/>
    <n v="800"/>
    <x v="32"/>
    <s v="&lt;Клиент не выбран&gt;"/>
    <s v="2022 12"/>
    <n v="274.19999999999959"/>
    <n v="0.52149106124001399"/>
  </r>
  <r>
    <s v="РО04"/>
    <n v="0"/>
    <s v="Roman"/>
    <s v="Доставлен"/>
    <d v="2022-11-23T00:00:00"/>
    <x v="5"/>
    <s v="Косметика"/>
    <s v="MSH-44928"/>
    <x v="42"/>
    <x v="125"/>
    <n v="420.64"/>
    <m/>
    <n v="0"/>
    <n v="3.2311642850824731E-13"/>
    <n v="0"/>
    <n v="525.80000000000041"/>
    <n v="900"/>
    <x v="73"/>
    <s v="&lt;Клиент не выбран&gt;"/>
    <s v="2022 12"/>
    <n v="374.19999999999959"/>
    <n v="0.71167744389501575"/>
  </r>
  <r>
    <s v="РО04"/>
    <n v="0"/>
    <s v="Roman"/>
    <s v="Доставлен"/>
    <d v="2022-11-23T00:00:00"/>
    <x v="5"/>
    <s v="Косметика"/>
    <s v="MSH-44928"/>
    <x v="42"/>
    <x v="125"/>
    <n v="420.64"/>
    <m/>
    <n v="0"/>
    <n v="3.2311642850824731E-13"/>
    <n v="0"/>
    <n v="525.80000000000041"/>
    <n v="1000"/>
    <x v="44"/>
    <s v="&lt;Клиент не выбран&gt;"/>
    <s v="2023 01"/>
    <n v="474.19999999999959"/>
    <n v="0.90186382655001751"/>
  </r>
  <r>
    <s v="РО04"/>
    <n v="0"/>
    <s v="Roman"/>
    <s v="Доставлен"/>
    <d v="2022-11-23T00:00:00"/>
    <x v="5"/>
    <s v="Косметика"/>
    <s v="MSH-44928"/>
    <x v="42"/>
    <x v="125"/>
    <n v="420.64"/>
    <m/>
    <n v="0"/>
    <n v="3.2311642850824731E-13"/>
    <n v="0"/>
    <n v="525.80000000000041"/>
    <n v="1000"/>
    <x v="131"/>
    <s v="&lt;Клиент не выбран&gt;"/>
    <s v="2023 02"/>
    <n v="474.19999999999959"/>
    <n v="0.90186382655001751"/>
  </r>
  <r>
    <s v="РО04"/>
    <n v="0"/>
    <s v="Roman"/>
    <s v="Доставлен"/>
    <d v="2022-11-23T00:00:00"/>
    <x v="5"/>
    <s v="Витамины"/>
    <s v="CGN-01034"/>
    <x v="1"/>
    <x v="84"/>
    <n v="14.88"/>
    <m/>
    <n v="0"/>
    <n v="1.1430136116875999E-14"/>
    <n v="0"/>
    <n v="18.600000000000016"/>
    <n v="900"/>
    <x v="124"/>
    <s v="&lt;Клиент не выбран&gt;"/>
    <s v="2023 03"/>
    <n v="881.4"/>
    <n v="47.387096774193509"/>
  </r>
  <r>
    <s v="922332066"/>
    <s v="922332066-0"/>
    <s v="iHerb_AV CYG0792"/>
    <s v="Доставлен"/>
    <d v="2022-11-25T00:00:00"/>
    <x v="5"/>
    <s v="Витамины"/>
    <s v="NWY-15789"/>
    <x v="16"/>
    <x v="184"/>
    <n v="18.489999999999998"/>
    <n v="-4.62"/>
    <n v="0"/>
    <n v="0"/>
    <n v="4.4907836248227424"/>
    <n v="1266.8940701127692"/>
    <n v="2000"/>
    <x v="111"/>
    <s v="&lt;Клиент не выбран&gt;"/>
    <s v="2023 01"/>
    <n v="733.10592988723079"/>
    <n v="0.57866395240288349"/>
  </r>
  <r>
    <s v="922332066"/>
    <s v="922332066-0"/>
    <s v="iHerb_AV CYG0792"/>
    <s v="Доставлен"/>
    <d v="2022-11-25T00:00:00"/>
    <x v="5"/>
    <s v="Витамины"/>
    <s v="OSL-01395"/>
    <x v="66"/>
    <x v="185"/>
    <n v="10"/>
    <n v="-2.5"/>
    <n v="0"/>
    <n v="0"/>
    <n v="2.4283256803295297"/>
    <n v="685.05447194273745"/>
    <n v="1600"/>
    <x v="38"/>
    <s v="&lt;Клиент не выбран&gt;"/>
    <s v="2023 01"/>
    <n v="914.94552805726255"/>
    <n v="1.3355806954483196"/>
  </r>
  <r>
    <s v="922332066"/>
    <s v="922332066-0"/>
    <s v="iHerb_AV CYG0792"/>
    <s v="Доставлен"/>
    <d v="2022-11-25T00:00:00"/>
    <x v="5"/>
    <s v="Витамины"/>
    <s v="FBS-20726"/>
    <x v="20"/>
    <x v="42"/>
    <n v="6.97"/>
    <n v="-1.74"/>
    <n v="0"/>
    <n v="0"/>
    <n v="1.6933524410831249"/>
    <n v="477.71131843473557"/>
    <n v="1100"/>
    <x v="96"/>
    <s v="&lt;Клиент не выбран&gt;"/>
    <s v="2023 01"/>
    <n v="622.28868156526437"/>
    <n v="1.3026458816262709"/>
  </r>
  <r>
    <s v="922332066"/>
    <s v="922332066-0"/>
    <s v="iHerb_AV CYG0792"/>
    <s v="Доставлен"/>
    <d v="2022-11-25T00:00:00"/>
    <x v="5"/>
    <s v="Витамины"/>
    <s v="OSL-01392"/>
    <x v="66"/>
    <x v="186"/>
    <n v="15"/>
    <n v="-6"/>
    <n v="0"/>
    <n v="0"/>
    <n v="2.9139908163954353"/>
    <n v="822.06536633128496"/>
    <n v="1900"/>
    <x v="132"/>
    <s v="&lt;Клиент не выбран&gt;"/>
    <s v="2023 09"/>
    <n v="1077.9346336687149"/>
    <n v="1.3112517298707327"/>
  </r>
  <r>
    <s v="922332066"/>
    <s v="922332066-0"/>
    <s v="iHerb_AV CYG0792"/>
    <s v="Доставлен"/>
    <d v="2022-11-25T00:00:00"/>
    <x v="5"/>
    <s v="Витамины"/>
    <s v="NOW-03882"/>
    <x v="3"/>
    <x v="187"/>
    <n v="11.41"/>
    <n v="-2.85"/>
    <n v="0"/>
    <n v="0"/>
    <n v="2.7715290431494366"/>
    <n v="781.87550397731115"/>
    <n v="1800"/>
    <x v="38"/>
    <s v="&lt;Клиент не выбран&gt;"/>
    <s v="2023 01"/>
    <n v="1018.1244960226888"/>
    <n v="1.3021567894678963"/>
  </r>
  <r>
    <s v="922332066"/>
    <s v="922332066-0"/>
    <s v="iHerb_AV CYG0792"/>
    <s v="Доставлен"/>
    <d v="2022-11-25T00:00:00"/>
    <x v="5"/>
    <s v="Витамины"/>
    <s v="NWY-15450"/>
    <x v="16"/>
    <x v="188"/>
    <n v="8.9"/>
    <n v="-2.23"/>
    <n v="0"/>
    <n v="0"/>
    <n v="2.159590971706395"/>
    <n v="609.24177704774127"/>
    <n v="609.24"/>
    <x v="133"/>
    <s v="&lt;Клиент не выбран&gt;"/>
    <s v="2023 02"/>
    <n v="-1.7770477412568653E-3"/>
    <n v="-2.9168185902616011E-6"/>
  </r>
  <r>
    <s v="922332066"/>
    <s v="922332066-0"/>
    <s v="iHerb_AV CYG0792"/>
    <s v="Доставлен"/>
    <d v="2022-11-25T00:00:00"/>
    <x v="5"/>
    <s v="Витамины"/>
    <s v="NWY-15408"/>
    <x v="16"/>
    <x v="107"/>
    <n v="12.58"/>
    <n v="-3.15"/>
    <n v="0"/>
    <n v="0"/>
    <n v="3.0532148220676616"/>
    <n v="861.34182272266867"/>
    <n v="1800"/>
    <x v="75"/>
    <s v="&lt;Клиент не выбран&gt;"/>
    <s v="2023 01"/>
    <n v="938.65817727733133"/>
    <n v="1.0897626848192146"/>
  </r>
  <r>
    <s v="922332066"/>
    <s v="922332066-0"/>
    <s v="iHerb_AV CYG0792"/>
    <s v="Доставлен"/>
    <d v="2022-11-25T00:00:00"/>
    <x v="5"/>
    <s v="Витамины"/>
    <s v="NTL-04837"/>
    <x v="67"/>
    <x v="189"/>
    <n v="7.57"/>
    <n v="-1.89"/>
    <n v="0"/>
    <n v="0"/>
    <n v="1.839051981902897"/>
    <n v="518.8145867513"/>
    <n v="1400"/>
    <x v="108"/>
    <s v="&lt;Клиент не выбран&gt;"/>
    <s v="2023 01"/>
    <n v="881.1854132487"/>
    <n v="1.6984592101900688"/>
  </r>
  <r>
    <s v="922332066"/>
    <s v="922332066-0"/>
    <s v="iHerb_AV CYG0792"/>
    <s v="Доставлен"/>
    <d v="2022-11-25T00:00:00"/>
    <x v="5"/>
    <s v="Витамины"/>
    <s v="LEX-14373"/>
    <x v="7"/>
    <x v="190"/>
    <n v="24.75"/>
    <n v="-6.19"/>
    <n v="0"/>
    <n v="0"/>
    <n v="6.0092966169221418"/>
    <n v="1695.2814665676278"/>
    <n v="2800"/>
    <x v="108"/>
    <s v="&lt;Клиент не выбран&gt;"/>
    <s v="2023 01"/>
    <n v="1104.7185334323722"/>
    <n v="0.65164313727150802"/>
  </r>
  <r>
    <s v="922332066"/>
    <s v="922332066-0"/>
    <s v="iHerb_AV CYG0792"/>
    <s v="Доставлен"/>
    <d v="2022-11-25T00:00:00"/>
    <x v="5"/>
    <s v="Витамины"/>
    <s v="NOW-04739"/>
    <x v="3"/>
    <x v="191"/>
    <n v="13.29"/>
    <n v="-3.32"/>
    <n v="0"/>
    <n v="0"/>
    <n v="3.2280542710513869"/>
    <n v="910.66574470254568"/>
    <n v="2000"/>
    <x v="134"/>
    <s v="&lt;Клиент не выбран&gt;"/>
    <s v="2023 03"/>
    <n v="1089.3342552974543"/>
    <n v="1.1961954884481438"/>
  </r>
  <r>
    <s v="922332066"/>
    <s v="922332066-0"/>
    <s v="iHerb_AV CYG0792"/>
    <s v="Доставлен"/>
    <d v="2022-11-25T00:00:00"/>
    <x v="5"/>
    <s v="Витамины"/>
    <s v="NOW-02644"/>
    <x v="3"/>
    <x v="21"/>
    <n v="17.7"/>
    <n v="-4.43"/>
    <n v="0"/>
    <n v="0"/>
    <n v="4.2965175703963805"/>
    <n v="1212.0897123573502"/>
    <n v="2800"/>
    <x v="75"/>
    <s v="&lt;Клиент не выбран&gt;"/>
    <s v="2023 01"/>
    <n v="1587.9102876426498"/>
    <n v="1.310060032235056"/>
  </r>
  <r>
    <s v="922332066"/>
    <s v="922332066-0"/>
    <s v="iHerb_AV CYG0792"/>
    <s v="Доставлен"/>
    <d v="2022-11-25T00:00:00"/>
    <x v="5"/>
    <s v="Витамины"/>
    <s v="NOW-00680"/>
    <x v="3"/>
    <x v="88"/>
    <n v="8.83"/>
    <n v="-2.21"/>
    <n v="0"/>
    <n v="0"/>
    <n v="2.1434021338375313"/>
    <n v="604.67474723478961"/>
    <n v="1000"/>
    <x v="108"/>
    <s v="&lt;Клиент не выбран&gt;"/>
    <s v="2023 01"/>
    <n v="395.32525276521039"/>
    <n v="0.65378164802326244"/>
  </r>
  <r>
    <s v="922332066"/>
    <s v="922332066-0"/>
    <s v="iHerb_AV CYG0792"/>
    <s v="Доставлен"/>
    <d v="2022-11-25T00:00:00"/>
    <x v="5"/>
    <s v="Косметика"/>
    <s v="MBN-01260"/>
    <x v="14"/>
    <x v="192"/>
    <n v="9"/>
    <n v="-2.25"/>
    <n v="0"/>
    <n v="0"/>
    <n v="2.1854931122965762"/>
    <n v="616.54902474846381"/>
    <m/>
    <x v="20"/>
    <m/>
    <s v=""/>
    <n v="-616.54902474846381"/>
    <s v=""/>
  </r>
  <r>
    <s v="922332066"/>
    <s v="922332066-0"/>
    <s v="iHerb_AV CYG0792"/>
    <s v="Доставлен"/>
    <d v="2022-11-25T00:00:00"/>
    <x v="5"/>
    <s v="Витамины"/>
    <s v="NOW-01662"/>
    <x v="3"/>
    <x v="122"/>
    <n v="25.16"/>
    <n v="-6.29"/>
    <n v="0"/>
    <n v="0"/>
    <n v="6.1096674117090961"/>
    <n v="1723.5970514079277"/>
    <n v="3300"/>
    <x v="135"/>
    <s v="&lt;Клиент не выбран&gt;"/>
    <s v="2023 02"/>
    <n v="1576.4029485920723"/>
    <n v="0.91460062971468925"/>
  </r>
  <r>
    <s v="922332066"/>
    <s v="922332066-0"/>
    <s v="iHerb_AV CYG0792"/>
    <s v="Доставлен"/>
    <d v="2022-11-25T00:00:00"/>
    <x v="5"/>
    <s v="Витамины"/>
    <s v="CGN-00931"/>
    <x v="1"/>
    <x v="24"/>
    <n v="5"/>
    <n v="-3"/>
    <n v="0"/>
    <n v="0"/>
    <n v="0.64755351475454115"/>
    <n v="182.68119251806334"/>
    <n v="500"/>
    <x v="132"/>
    <s v="&lt;Клиент не выбран&gt;"/>
    <s v="2023 09"/>
    <n v="317.31880748193669"/>
    <n v="1.7370086274784993"/>
  </r>
  <r>
    <s v="922332066"/>
    <s v="922332066-0"/>
    <s v="iHerb_AV CYG0792"/>
    <s v="Доставлен"/>
    <d v="2022-11-25T00:00:00"/>
    <x v="5"/>
    <s v="Косметика"/>
    <s v="MBN-01739"/>
    <x v="14"/>
    <x v="193"/>
    <n v="3"/>
    <n v="-1.2"/>
    <n v="0"/>
    <n v="0"/>
    <n v="0.58279816327908707"/>
    <n v="164.41307326625702"/>
    <n v="500"/>
    <x v="136"/>
    <s v="&lt;Клиент не выбран&gt;"/>
    <s v="2023 12"/>
    <n v="335.58692673374298"/>
    <n v="2.0411206971983322"/>
  </r>
  <r>
    <s v="922332066"/>
    <s v="922332066-0"/>
    <s v="iHerb_AV CYG0792"/>
    <s v="Доставлен"/>
    <d v="2022-11-25T00:00:00"/>
    <x v="5"/>
    <s v="Косметика"/>
    <s v="GDP-00701"/>
    <x v="68"/>
    <x v="194"/>
    <n v="5.75"/>
    <n v="-1.44"/>
    <n v="0"/>
    <n v="0"/>
    <n v="1.3954778242960364"/>
    <n v="393.67796987642657"/>
    <m/>
    <x v="20"/>
    <m/>
    <s v=""/>
    <n v="-393.67796987642657"/>
    <s v=""/>
  </r>
  <r>
    <s v="922366453"/>
    <s v="922366453-0"/>
    <s v="iHerb_OA CZN6870"/>
    <s v="Доставлен"/>
    <d v="2022-11-27T00:00:00"/>
    <x v="5"/>
    <s v="Косметика"/>
    <s v="EOS-00284"/>
    <x v="69"/>
    <x v="195"/>
    <n v="5.0999999999999996"/>
    <n v="-1.28"/>
    <n v="0"/>
    <n v="0"/>
    <n v="1.7793308490562814"/>
    <n v="386.35382858488333"/>
    <n v="700"/>
    <x v="75"/>
    <s v="&lt;Клиент не выбран&gt;"/>
    <s v="2023 01"/>
    <n v="313.64617141511667"/>
    <n v="0.81181069840545783"/>
  </r>
  <r>
    <s v="922366453"/>
    <s v="922366453-0"/>
    <s v="iHerb_OA CZN6870"/>
    <s v="Доставлен"/>
    <d v="2022-11-27T00:00:00"/>
    <x v="5"/>
    <s v="Косметика"/>
    <s v="EOS-01004"/>
    <x v="69"/>
    <x v="196"/>
    <n v="5.07"/>
    <n v="-1.27"/>
    <n v="0"/>
    <n v="0"/>
    <n v="1.7700149807366155"/>
    <n v="384.33103367082651"/>
    <n v="700"/>
    <x v="75"/>
    <s v="&lt;Клиент не выбран&gt;"/>
    <s v="2023 01"/>
    <n v="315.66896632917349"/>
    <n v="0.82134654418653841"/>
  </r>
  <r>
    <s v="922366453"/>
    <s v="922366453-0"/>
    <s v="iHerb_OA CZN6870"/>
    <s v="Доставлен"/>
    <d v="2022-11-27T00:00:00"/>
    <x v="5"/>
    <s v="Косметика"/>
    <s v="EUC-03226"/>
    <x v="13"/>
    <x v="29"/>
    <n v="17.03"/>
    <n v="-4.26"/>
    <n v="0"/>
    <n v="0"/>
    <n v="5.948181922106996"/>
    <n v="1291.5545526253827"/>
    <n v="1700"/>
    <x v="120"/>
    <s v="&lt;Клиент не выбран&gt;"/>
    <s v="2023 01"/>
    <n v="408.44544737461729"/>
    <n v="0.31624327949938907"/>
  </r>
  <r>
    <s v="922366453"/>
    <s v="922366453-0"/>
    <s v="iHerb_OA CZN6870"/>
    <s v="Доставлен"/>
    <d v="2022-11-27T00:00:00"/>
    <x v="5"/>
    <s v="Косметика"/>
    <s v="EUC-03226"/>
    <x v="13"/>
    <x v="29"/>
    <n v="17.03"/>
    <n v="-4.26"/>
    <n v="0"/>
    <n v="0"/>
    <n v="5.948181922106996"/>
    <n v="1291.5545526253827"/>
    <n v="1700"/>
    <x v="120"/>
    <s v="&lt;Клиент не выбран&gt;"/>
    <s v="2023 01"/>
    <n v="408.44544737461729"/>
    <n v="0.31624327949938907"/>
  </r>
  <r>
    <s v="922366453"/>
    <s v="922366453-0"/>
    <s v="iHerb_OA CZN6870"/>
    <s v="Доставлен"/>
    <d v="2022-11-27T00:00:00"/>
    <x v="5"/>
    <s v="Косметика"/>
    <s v="MBN-02152"/>
    <x v="14"/>
    <x v="173"/>
    <n v="8"/>
    <n v="-4.25"/>
    <n v="0"/>
    <n v="0"/>
    <n v="1.7467253099374496"/>
    <n v="379.27404638568402"/>
    <m/>
    <x v="20"/>
    <m/>
    <s v=""/>
    <n v="-379.27404638568402"/>
    <s v=""/>
  </r>
  <r>
    <s v="922366453"/>
    <s v="922366453-0"/>
    <s v="iHerb_OA CZN6870"/>
    <s v="Доставлен"/>
    <d v="2022-11-27T00:00:00"/>
    <x v="5"/>
    <s v="Витамины"/>
    <s v="NWY-11750"/>
    <x v="16"/>
    <x v="98"/>
    <n v="8.68"/>
    <n v="-2.17"/>
    <n v="0"/>
    <n v="0"/>
    <n v="3.0323151380514117"/>
    <n v="658.41974452554734"/>
    <n v="1300"/>
    <x v="108"/>
    <s v="&lt;Клиент не выбран&gt;"/>
    <s v="2023 01"/>
    <n v="641.58025547445266"/>
    <n v="0.97442438628077732"/>
  </r>
  <r>
    <s v="922366453"/>
    <s v="922366453-0"/>
    <s v="iHerb_OA CZN6870"/>
    <s v="Доставлен"/>
    <d v="2022-11-27T00:00:00"/>
    <x v="5"/>
    <s v="Витамины"/>
    <s v="MAV-17681"/>
    <x v="4"/>
    <x v="197"/>
    <n v="7.66"/>
    <n v="-1.915"/>
    <n v="0"/>
    <n v="0"/>
    <n v="2.6759831748241725"/>
    <n v="581.04783906286787"/>
    <n v="1200"/>
    <x v="108"/>
    <s v="&lt;Клиент не выбран&gt;"/>
    <s v="2023 01"/>
    <n v="618.95216093713213"/>
    <n v="1.0652344253364707"/>
  </r>
  <r>
    <s v="922366453"/>
    <s v="922366453-0"/>
    <s v="iHerb_OA CZN6870"/>
    <s v="Доставлен"/>
    <d v="2022-11-27T00:00:00"/>
    <x v="5"/>
    <s v="Витамины"/>
    <s v="MAV-17681"/>
    <x v="4"/>
    <x v="197"/>
    <n v="7.66"/>
    <n v="-1.915"/>
    <n v="0"/>
    <n v="0"/>
    <n v="2.6759831748241725"/>
    <n v="581.04783906286787"/>
    <n v="1200"/>
    <x v="108"/>
    <s v="&lt;Клиент не выбран&gt;"/>
    <s v="2023 01"/>
    <n v="618.95216093713213"/>
    <n v="1.0652344253364707"/>
  </r>
  <r>
    <s v="922366453"/>
    <s v="922366453-0"/>
    <s v="iHerb_OA CZN6870"/>
    <s v="Доставлен"/>
    <d v="2022-11-27T00:00:00"/>
    <x v="5"/>
    <s v="Косметика"/>
    <s v="GIO-06008"/>
    <x v="70"/>
    <x v="198"/>
    <n v="9.99"/>
    <n v="-2.5"/>
    <n v="0"/>
    <n v="0"/>
    <n v="3.4887926857150657"/>
    <n v="757.53669531433957"/>
    <m/>
    <x v="20"/>
    <m/>
    <s v=""/>
    <n v="-757.53669531433957"/>
    <s v=""/>
  </r>
  <r>
    <s v="922366453"/>
    <s v="922366453-0"/>
    <s v="iHerb_OA CZN6870"/>
    <s v="Доставлен"/>
    <d v="2022-11-27T00:00:00"/>
    <x v="5"/>
    <s v="Витамины"/>
    <s v="NWY-15408"/>
    <x v="16"/>
    <x v="107"/>
    <n v="12.58"/>
    <n v="-3.15"/>
    <n v="0"/>
    <n v="0"/>
    <n v="4.3924319127227065"/>
    <n v="953.74780197786674"/>
    <n v="1800"/>
    <x v="67"/>
    <s v="&lt;Клиент не выбран&gt;"/>
    <s v="2023 01"/>
    <n v="846.25219802213326"/>
    <n v="0.88729137437296224"/>
  </r>
  <r>
    <s v="922366453"/>
    <s v="922366453-0"/>
    <s v="iHerb_OA CZN6870"/>
    <s v="Доставлен"/>
    <d v="2022-11-27T00:00:00"/>
    <x v="5"/>
    <s v="Витамины"/>
    <s v="NOW-02121"/>
    <x v="3"/>
    <x v="199"/>
    <n v="17.48"/>
    <n v="-4.37"/>
    <n v="0"/>
    <n v="0"/>
    <n v="6.1065516835413227"/>
    <n v="1325.9420661643512"/>
    <n v="2200"/>
    <x v="108"/>
    <s v="&lt;Клиент не выбран&gt;"/>
    <s v="2023 01"/>
    <n v="874.05793383564878"/>
    <n v="0.65919768000430035"/>
  </r>
  <r>
    <s v="АН06"/>
    <n v="0"/>
    <s v="Anna"/>
    <s v="Доставлен"/>
    <d v="2022-11-26T00:00:00"/>
    <x v="5"/>
    <s v="Витамины"/>
    <s v="NOW-04739"/>
    <x v="3"/>
    <x v="191"/>
    <n v="440"/>
    <m/>
    <n v="0"/>
    <n v="0"/>
    <n v="0"/>
    <n v="440"/>
    <n v="1000"/>
    <x v="56"/>
    <s v="&lt;Клиент не выбран&gt;"/>
    <s v="2022 11"/>
    <n v="560"/>
    <n v="1.2727272727272727"/>
  </r>
  <r>
    <s v="922368932"/>
    <s v="1Z095EE70250818508"/>
    <s v="iHerb_MH DLE7202"/>
    <s v="Доставлен"/>
    <d v="2022-11-27T00:00:00"/>
    <x v="5"/>
    <s v="Витамины"/>
    <s v="MAV-17681"/>
    <x v="4"/>
    <x v="197"/>
    <n v="7.66"/>
    <n v="-1.915"/>
    <n v="0"/>
    <n v="-6.4784447182062774E-16"/>
    <n v="2.002335181613685"/>
    <n v="534.56612753134414"/>
    <n v="1200"/>
    <x v="108"/>
    <s v="&lt;Клиент не выбран&gt;"/>
    <s v="2023 01"/>
    <n v="665.43387246865586"/>
    <n v="1.2448111434625799"/>
  </r>
  <r>
    <s v="922368932"/>
    <s v="1Z095EE70250818508"/>
    <s v="iHerb_MH DLE7202"/>
    <s v="Доставлен"/>
    <d v="2022-11-27T00:00:00"/>
    <x v="5"/>
    <s v="Витамины"/>
    <s v="MAV-17681"/>
    <x v="4"/>
    <x v="197"/>
    <n v="7.66"/>
    <n v="-1.915"/>
    <n v="0"/>
    <n v="-6.4784447182062774E-16"/>
    <n v="2.002335181613685"/>
    <n v="534.56612753134414"/>
    <n v="1200"/>
    <x v="108"/>
    <s v="&lt;Клиент не выбран&gt;"/>
    <s v="2023 01"/>
    <n v="665.43387246865586"/>
    <n v="1.2448111434625799"/>
  </r>
  <r>
    <s v="922368932"/>
    <s v="1Z095EE70250818508"/>
    <s v="iHerb_MH DLE7202"/>
    <s v="Доставлен"/>
    <d v="2022-11-27T00:00:00"/>
    <x v="5"/>
    <s v="Витамины"/>
    <s v="CEN-27387"/>
    <x v="2"/>
    <x v="23"/>
    <n v="25.03"/>
    <n v="-6.26"/>
    <n v="0"/>
    <n v="-2.1166302412660024E-15"/>
    <n v="6.5420071991103335"/>
    <n v="1746.5284967386131"/>
    <n v="3000"/>
    <x v="108"/>
    <s v="&lt;Клиент не выбран&gt;"/>
    <s v="2023 01"/>
    <n v="1253.4715032613869"/>
    <n v="0.71769312988712286"/>
  </r>
  <r>
    <s v="922368932"/>
    <s v="1Z095EE70250818508"/>
    <s v="iHerb_MH DLE7202"/>
    <s v="Доставлен"/>
    <d v="2022-11-27T00:00:00"/>
    <x v="5"/>
    <s v="Витамины"/>
    <s v="DRB-00271"/>
    <x v="6"/>
    <x v="200"/>
    <n v="25.36"/>
    <n v="-6.34"/>
    <n v="0"/>
    <n v="-2.1448219067064123E-15"/>
    <n v="6.6291410190238951"/>
    <n v="1769.7907303126485"/>
    <n v="3500"/>
    <x v="137"/>
    <s v="&lt;Клиент не выбран&gt;"/>
    <s v="2023 02"/>
    <n v="1730.2092696873515"/>
    <n v="0.97763494861434574"/>
  </r>
  <r>
    <s v="922368932"/>
    <s v="1Z095EE70250818508"/>
    <s v="iHerb_MH DLE7202"/>
    <s v="Доставлен"/>
    <d v="2022-11-27T00:00:00"/>
    <x v="5"/>
    <s v="Витамины"/>
    <s v="YOU-00333"/>
    <x v="71"/>
    <x v="201"/>
    <n v="23.19"/>
    <n v="-5.8"/>
    <n v="0"/>
    <n v="-1.9610122480349375E-15"/>
    <n v="6.0610285131874626"/>
    <n v="1618.1209674099348"/>
    <n v="3000"/>
    <x v="108"/>
    <s v="&lt;Клиент не выбран&gt;"/>
    <s v="2023 01"/>
    <n v="1381.8790325900652"/>
    <n v="0.85400230293164481"/>
  </r>
  <r>
    <s v="922368932"/>
    <s v="1Z095EE70250818508"/>
    <s v="iHerb_MH DLE7202"/>
    <s v="Доставлен"/>
    <d v="2022-11-27T00:00:00"/>
    <x v="5"/>
    <s v="Витамины"/>
    <s v="CLF-07210"/>
    <x v="72"/>
    <x v="202"/>
    <n v="14.99"/>
    <n v="-3.75"/>
    <n v="0"/>
    <n v="-1.2674972782008452E-15"/>
    <n v="3.9175365433138056"/>
    <n v="1045.8700214886524"/>
    <n v="2000"/>
    <x v="108"/>
    <s v="&lt;Клиент не выбран&gt;"/>
    <s v="2023 01"/>
    <n v="954.12997851134764"/>
    <n v="0.91228351411514275"/>
  </r>
  <r>
    <s v="922368932"/>
    <s v="1Z095EE70250818508"/>
    <s v="iHerb_MH DLE7202"/>
    <s v="Доставлен"/>
    <d v="2022-11-27T00:00:00"/>
    <x v="5"/>
    <s v="Витамины"/>
    <s v="SBL-00121"/>
    <x v="12"/>
    <x v="26"/>
    <n v="19.07"/>
    <n v="-4.7699999999999996"/>
    <n v="0"/>
    <n v="-1.6125632631914669E-15"/>
    <n v="4.9840544990558211"/>
    <n v="1330.5997604348515"/>
    <n v="2700"/>
    <x v="108"/>
    <s v="&lt;Клиент не выбран&gt;"/>
    <s v="2023 01"/>
    <n v="1369.4002395651485"/>
    <n v="1.029160142879942"/>
  </r>
  <r>
    <s v="922368932"/>
    <s v="1Z095EE70250818508"/>
    <s v="iHerb_MH DLE7202"/>
    <s v="Доставлен"/>
    <d v="2022-11-27T00:00:00"/>
    <x v="5"/>
    <s v="Витамины"/>
    <s v="NOW-00680"/>
    <x v="3"/>
    <x v="88"/>
    <n v="8.83"/>
    <n v="-2.21"/>
    <n v="0"/>
    <n v="-7.4651530086206366E-16"/>
    <n v="2.3073035513111559"/>
    <n v="615.98394504046973"/>
    <n v="1300"/>
    <x v="96"/>
    <s v="&lt;Клиент не выбран&gt;"/>
    <s v="2023 01"/>
    <n v="684.01605495953027"/>
    <n v="1.110444615426772"/>
  </r>
  <r>
    <s v="922368932"/>
    <s v="1Z095EE70250818508"/>
    <s v="iHerb_MH DLE7202"/>
    <s v="Доставлен"/>
    <d v="2022-11-27T00:00:00"/>
    <x v="5"/>
    <s v="Витамины"/>
    <s v="NOW-03056"/>
    <x v="3"/>
    <x v="92"/>
    <n v="17.71"/>
    <n v="-4.43"/>
    <n v="0"/>
    <n v="-1.4975412681945931E-15"/>
    <n v="4.6285485138084823"/>
    <n v="1235.6898474527854"/>
    <n v="2800"/>
    <x v="87"/>
    <s v="&lt;Клиент не выбран&gt;"/>
    <s v="2023 01"/>
    <n v="1564.3101525472146"/>
    <n v="1.2659407664243882"/>
  </r>
  <r>
    <s v="922368932"/>
    <s v="1Z095EE70250818508"/>
    <s v="iHerb_MH DLE7202"/>
    <s v="Доставлен"/>
    <d v="2022-11-27T00:00:00"/>
    <x v="5"/>
    <s v="Витамины"/>
    <s v="CGN-01065"/>
    <x v="1"/>
    <x v="14"/>
    <n v="6"/>
    <n v="-3.6"/>
    <n v="0"/>
    <n v="-2.7063998822793846E-16"/>
    <n v="0.83648467117020764"/>
    <n v="223.3174423107443"/>
    <n v="800"/>
    <x v="74"/>
    <s v="&lt;Клиент не выбран&gt;"/>
    <s v="2023 01"/>
    <n v="576.68255768925565"/>
    <n v="2.5823444497757002"/>
  </r>
  <r>
    <s v="922368932"/>
    <s v="1Z095EE70250818508"/>
    <s v="iHerb_MH DLE7202"/>
    <s v="Доставлен"/>
    <d v="2022-11-27T00:00:00"/>
    <x v="5"/>
    <s v="Витамины"/>
    <s v="CGN-01180"/>
    <x v="1"/>
    <x v="203"/>
    <n v="12"/>
    <n v="-7.2"/>
    <n v="0"/>
    <n v="-5.4127997645587692E-16"/>
    <n v="1.6729693423404153"/>
    <n v="446.6348846214886"/>
    <n v="1800"/>
    <x v="138"/>
    <s v="&lt;Клиент не выбран&gt;"/>
    <s v="2023 03"/>
    <n v="1353.3651153785113"/>
    <n v="3.0301375059976627"/>
  </r>
  <r>
    <s v="922368932"/>
    <s v="1Z095EE70250818508"/>
    <s v="iHerb_MH DLE7202"/>
    <s v="Доставлен"/>
    <d v="2022-11-27T00:00:00"/>
    <x v="5"/>
    <s v="Витамины"/>
    <s v="CEN-27757"/>
    <x v="2"/>
    <x v="119"/>
    <n v="8.9499999999999993"/>
    <n v="-2.2400000000000002"/>
    <n v="0"/>
    <n v="-7.5666430042061124E-16"/>
    <n v="2.3386717264800385"/>
    <n v="624.35834912712255"/>
    <n v="1300"/>
    <x v="139"/>
    <s v="&lt;Клиент не выбран&gt;"/>
    <s v="2023 11"/>
    <n v="675.64165087287745"/>
    <n v="1.0821376086624788"/>
  </r>
  <r>
    <s v="OZA0002"/>
    <n v="0"/>
    <s v="OZON_AV"/>
    <s v="Доставлен"/>
    <d v="2022-11-17T00:00:00"/>
    <x v="5"/>
    <s v="Спортпит"/>
    <s v="XXXXXX002"/>
    <x v="73"/>
    <x v="204"/>
    <n v="473"/>
    <m/>
    <n v="0"/>
    <n v="0"/>
    <n v="70.95"/>
    <n v="543.95000000000005"/>
    <n v="1000"/>
    <x v="16"/>
    <s v="&lt;Клиент не выбран&gt;"/>
    <s v="2022 11"/>
    <n v="456.04999999999995"/>
    <n v="0.8384042650978949"/>
  </r>
  <r>
    <s v="OZA0002"/>
    <n v="0"/>
    <s v="OZON_AV"/>
    <s v="Доставлен"/>
    <d v="2022-11-17T00:00:00"/>
    <x v="5"/>
    <s v="Спортпит"/>
    <s v="XXXXXX002"/>
    <x v="73"/>
    <x v="204"/>
    <n v="473"/>
    <m/>
    <n v="0"/>
    <n v="0"/>
    <n v="70.95"/>
    <n v="543.95000000000005"/>
    <n v="1000"/>
    <x v="95"/>
    <s v="&lt;Клиент не выбран&gt;"/>
    <s v="2023 01"/>
    <n v="456.04999999999995"/>
    <n v="0.8384042650978949"/>
  </r>
  <r>
    <s v="OZA0004"/>
    <n v="0"/>
    <s v="OZON_AV"/>
    <s v="Доставлен"/>
    <d v="2022-11-19T00:00:00"/>
    <x v="5"/>
    <s v="Косметика"/>
    <s v="XXXXXX003"/>
    <x v="74"/>
    <x v="205"/>
    <n v="389"/>
    <m/>
    <n v="0"/>
    <n v="0"/>
    <n v="58.349999999999987"/>
    <n v="447.34999999999997"/>
    <n v="600"/>
    <x v="140"/>
    <s v="&lt;Клиент не выбран&gt;"/>
    <s v="2022 11"/>
    <n v="152.65000000000003"/>
    <n v="0.34123169777579088"/>
  </r>
  <r>
    <s v="OZA0004"/>
    <n v="0"/>
    <s v="OZON_AV"/>
    <s v="Доставлен"/>
    <d v="2022-11-19T00:00:00"/>
    <x v="5"/>
    <s v="Косметика"/>
    <s v="XXXXXX004"/>
    <x v="75"/>
    <x v="206"/>
    <n v="523"/>
    <m/>
    <n v="0"/>
    <n v="0"/>
    <n v="78.449999999999989"/>
    <n v="601.45000000000005"/>
    <n v="800"/>
    <x v="140"/>
    <s v="&lt;Клиент не выбран&gt;"/>
    <s v="2022 11"/>
    <n v="198.54999999999995"/>
    <n v="0.33011887937484402"/>
  </r>
  <r>
    <s v="OZA0005"/>
    <n v="0"/>
    <s v="OZON_AV"/>
    <s v="Доставлен"/>
    <d v="2022-11-19T00:00:00"/>
    <x v="5"/>
    <s v="Витамины"/>
    <s v="XXXXXX005"/>
    <x v="49"/>
    <x v="207"/>
    <n v="334"/>
    <m/>
    <n v="0"/>
    <n v="0"/>
    <n v="50.1"/>
    <n v="384.1"/>
    <m/>
    <x v="20"/>
    <m/>
    <s v=""/>
    <n v="-384.1"/>
    <s v=""/>
  </r>
  <r>
    <s v="OZA0005"/>
    <n v="0"/>
    <s v="OZON_AV"/>
    <s v="Доставлен"/>
    <d v="2022-11-19T00:00:00"/>
    <x v="5"/>
    <s v="Витамины"/>
    <s v="XXXXXX005"/>
    <x v="49"/>
    <x v="207"/>
    <n v="334"/>
    <m/>
    <n v="0"/>
    <n v="0"/>
    <n v="50.1"/>
    <n v="384.1"/>
    <m/>
    <x v="20"/>
    <m/>
    <s v=""/>
    <n v="-384.1"/>
    <s v=""/>
  </r>
  <r>
    <s v="OZA0006"/>
    <n v="0"/>
    <s v="OZON_AV"/>
    <s v="Доставлен"/>
    <d v="2022-11-22T00:00:00"/>
    <x v="5"/>
    <s v="Витамины"/>
    <s v="355578901"/>
    <x v="57"/>
    <x v="168"/>
    <n v="427"/>
    <m/>
    <n v="0"/>
    <n v="0"/>
    <n v="64.05"/>
    <n v="491.05"/>
    <n v="900"/>
    <x v="32"/>
    <s v="&lt;Клиент не выбран&gt;"/>
    <s v="2022 12"/>
    <n v="408.95"/>
    <n v="0.83280724977089904"/>
  </r>
  <r>
    <s v="OZA0006"/>
    <n v="0"/>
    <s v="OZON_AV"/>
    <s v="Доставлен"/>
    <d v="2022-11-22T00:00:00"/>
    <x v="5"/>
    <s v="Витамины"/>
    <s v="355578901"/>
    <x v="57"/>
    <x v="168"/>
    <n v="427"/>
    <m/>
    <n v="0"/>
    <n v="0"/>
    <n v="64.05"/>
    <n v="491.05"/>
    <n v="900"/>
    <x v="141"/>
    <s v="&lt;Клиент не выбран&gt;"/>
    <s v="2022 12"/>
    <n v="408.95"/>
    <n v="0.83280724977089904"/>
  </r>
  <r>
    <s v="OZA0006"/>
    <n v="0"/>
    <s v="OZON_AV"/>
    <s v="Доставлен"/>
    <d v="2022-11-22T00:00:00"/>
    <x v="5"/>
    <s v="Витамины"/>
    <s v="355578901"/>
    <x v="57"/>
    <x v="168"/>
    <n v="427"/>
    <m/>
    <n v="0"/>
    <n v="0"/>
    <n v="64.05"/>
    <n v="491.05"/>
    <n v="491.05"/>
    <x v="142"/>
    <s v="&lt;Клиент не выбран&gt;"/>
    <s v="2023 06"/>
    <n v="0"/>
    <n v="0"/>
  </r>
  <r>
    <s v="OZA0006"/>
    <n v="0"/>
    <s v="OZON_AV"/>
    <s v="Доставлен"/>
    <d v="2022-11-22T00:00:00"/>
    <x v="5"/>
    <s v="Витамины"/>
    <s v="026995436"/>
    <x v="57"/>
    <x v="208"/>
    <n v="811"/>
    <m/>
    <n v="0"/>
    <n v="0"/>
    <n v="121.65"/>
    <n v="932.65"/>
    <n v="1700"/>
    <x v="32"/>
    <s v="&lt;Клиент не выбран&gt;"/>
    <s v="2022 12"/>
    <n v="767.35"/>
    <n v="0.82276309440840623"/>
  </r>
  <r>
    <s v="OZA0008"/>
    <n v="0"/>
    <s v="OZON_AV"/>
    <s v="Доставлен"/>
    <d v="2022-11-26T00:00:00"/>
    <x v="5"/>
    <s v="Витамины"/>
    <s v="026995436"/>
    <x v="57"/>
    <x v="208"/>
    <n v="603"/>
    <m/>
    <n v="0"/>
    <n v="0"/>
    <n v="90.45"/>
    <n v="693.45"/>
    <n v="1700"/>
    <x v="141"/>
    <s v="&lt;Клиент не выбран&gt;"/>
    <s v="2022 12"/>
    <n v="1006.55"/>
    <n v="1.4515105631263969"/>
  </r>
  <r>
    <s v="OZA0008"/>
    <n v="0"/>
    <s v="OZON_AV"/>
    <s v="Доставлен"/>
    <d v="2022-11-26T00:00:00"/>
    <x v="5"/>
    <s v="Витамины"/>
    <s v="026995436"/>
    <x v="57"/>
    <x v="208"/>
    <n v="603"/>
    <m/>
    <n v="0"/>
    <n v="0"/>
    <n v="90.45"/>
    <n v="693.45"/>
    <n v="1650"/>
    <x v="143"/>
    <s v="&lt;Клиент не выбран&gt;"/>
    <s v="2022 12"/>
    <n v="956.55"/>
    <n v="1.379407311269738"/>
  </r>
  <r>
    <s v="OZA0007"/>
    <n v="0"/>
    <s v="OZON_AV"/>
    <s v="Доставлен"/>
    <d v="2022-11-26T00:00:00"/>
    <x v="5"/>
    <s v="Витамины"/>
    <s v="XXXXXX006"/>
    <x v="76"/>
    <x v="209"/>
    <n v="305"/>
    <m/>
    <n v="0"/>
    <n v="0"/>
    <n v="45.75"/>
    <n v="350.75"/>
    <n v="1000"/>
    <x v="29"/>
    <s v="&lt;Клиент не выбран&gt;"/>
    <s v="2022 12"/>
    <n v="649.25"/>
    <n v="1.8510334996436208"/>
  </r>
  <r>
    <s v="OZA0007"/>
    <n v="0"/>
    <s v="OZON_AV"/>
    <s v="Доставлен"/>
    <d v="2022-11-26T00:00:00"/>
    <x v="5"/>
    <s v="Витамины"/>
    <s v="XXXXXX007"/>
    <x v="76"/>
    <x v="210"/>
    <n v="495"/>
    <m/>
    <n v="0"/>
    <n v="0"/>
    <n v="74.25"/>
    <n v="569.25"/>
    <n v="1000"/>
    <x v="77"/>
    <s v="&lt;Клиент не выбран&gt;"/>
    <s v="2022 12"/>
    <n v="430.75"/>
    <n v="0.75669740887132186"/>
  </r>
  <r>
    <s v="WB0001"/>
    <n v="0"/>
    <s v="OZON_AV"/>
    <s v="Доставлен"/>
    <d v="2022-11-27T00:00:00"/>
    <x v="5"/>
    <s v="Витамины"/>
    <s v="017919762"/>
    <x v="49"/>
    <x v="211"/>
    <n v="339"/>
    <m/>
    <n v="0"/>
    <n v="0"/>
    <n v="50.85"/>
    <n v="389.85"/>
    <n v="700"/>
    <x v="16"/>
    <s v="&lt;Клиент не выбран&gt;"/>
    <s v="2022 11"/>
    <n v="310.14999999999998"/>
    <n v="0.79556239579325372"/>
  </r>
  <r>
    <s v="WB0001"/>
    <n v="0"/>
    <s v="OZON_AV"/>
    <s v="Доставлен"/>
    <d v="2022-11-27T00:00:00"/>
    <x v="5"/>
    <s v="Витамины"/>
    <s v="017919762"/>
    <x v="49"/>
    <x v="211"/>
    <n v="339"/>
    <m/>
    <n v="0"/>
    <n v="0"/>
    <n v="50.85"/>
    <n v="389.85"/>
    <n v="700"/>
    <x v="16"/>
    <s v="&lt;Клиент не выбран&gt;"/>
    <s v="2022 11"/>
    <n v="310.14999999999998"/>
    <n v="0.79556239579325372"/>
  </r>
  <r>
    <s v="922397480"/>
    <s v="922397480-0"/>
    <s v="iHerb_VP DFD1605"/>
    <s v="Доставлен"/>
    <d v="2022-11-28T00:00:00"/>
    <x v="5"/>
    <s v="Витамины"/>
    <s v="NOW-00372"/>
    <x v="3"/>
    <x v="13"/>
    <n v="6.65"/>
    <n v="-1.66"/>
    <n v="0"/>
    <n v="-9.4688429735422613E-16"/>
    <n v="1.9413363621233846"/>
    <n v="478.26220898651349"/>
    <n v="478.26220898651349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NOW-01482"/>
    <x v="3"/>
    <x v="30"/>
    <n v="9.2799999999999994"/>
    <n v="-2.3199999999999998"/>
    <n v="0"/>
    <n v="-1.320704350618319E-15"/>
    <n v="2.7077557275308122"/>
    <n v="667.07514519962592"/>
    <n v="667.07514519962592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CGN-01033"/>
    <x v="1"/>
    <x v="1"/>
    <n v="17"/>
    <n v="-4.25"/>
    <n v="0"/>
    <n v="-2.4193937457447657E-15"/>
    <n v="4.96032838017498"/>
    <n v="1222.0126582320736"/>
    <n v="1222.0126582320736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CGN-01330"/>
    <x v="1"/>
    <x v="89"/>
    <n v="15"/>
    <n v="-3.75"/>
    <n v="0"/>
    <n v="-2.134759187421852E-15"/>
    <n v="4.3767603354485125"/>
    <n v="1078.2464631459472"/>
    <n v="1078.2464631459472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NOW-03798"/>
    <x v="3"/>
    <x v="212"/>
    <n v="21.77"/>
    <n v="-5.44"/>
    <n v="0"/>
    <n v="-3.0987215582754527E-15"/>
    <n v="6.3531107802554843"/>
    <n v="1565.1346438376281"/>
    <n v="1565.1346438376281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NOW-01522"/>
    <x v="3"/>
    <x v="213"/>
    <n v="10.56"/>
    <n v="-2.64"/>
    <n v="0"/>
    <n v="-1.5028704679449838E-15"/>
    <n v="3.0812392761557521"/>
    <n v="759.08551005474681"/>
    <n v="759.08551005474681"/>
    <x v="73"/>
    <s v="&lt;Клиент не выбран&gt;"/>
    <s v="2022 12"/>
    <n v="0"/>
    <n v="0"/>
  </r>
  <r>
    <s v="922397480"/>
    <s v="922397480-0"/>
    <s v="iHerb_VP DFD1605"/>
    <s v="Доставлен"/>
    <d v="2022-11-28T00:00:00"/>
    <x v="5"/>
    <s v="Витамины"/>
    <s v="NOW-01289"/>
    <x v="3"/>
    <x v="214"/>
    <n v="19.59"/>
    <n v="-4.9000000000000004"/>
    <n v="0"/>
    <n v="-2.7875211078424005E-15"/>
    <n v="5.7150763846878787"/>
    <n v="1407.9502705434634"/>
    <n v="1407.9502705434634"/>
    <x v="73"/>
    <s v="&lt;Клиент не выбран&gt;"/>
    <s v="2022 12"/>
    <n v="0"/>
    <n v="0"/>
  </r>
  <r>
    <s v="OZA0010"/>
    <n v="0"/>
    <s v="OZON_AV"/>
    <s v="Доставлен"/>
    <d v="2022-11-29T00:00:00"/>
    <x v="5"/>
    <s v="Косметика"/>
    <s v="XXXXXX003"/>
    <x v="74"/>
    <x v="205"/>
    <n v="369"/>
    <m/>
    <n v="0"/>
    <n v="0"/>
    <n v="55.35"/>
    <n v="424.35"/>
    <n v="500"/>
    <x v="83"/>
    <s v="&lt;Клиент не выбран&gt;"/>
    <s v="2022 12"/>
    <n v="75.649999999999977"/>
    <n v="0.17827265229174025"/>
  </r>
  <r>
    <s v="OZA0010"/>
    <n v="0"/>
    <s v="OZON_AV"/>
    <s v="Доставлен"/>
    <d v="2022-11-29T00:00:00"/>
    <x v="5"/>
    <s v="Косметика"/>
    <s v="XXXXXX003"/>
    <x v="74"/>
    <x v="205"/>
    <n v="369"/>
    <m/>
    <n v="0"/>
    <n v="0"/>
    <n v="55.35"/>
    <n v="424.35"/>
    <m/>
    <x v="20"/>
    <m/>
    <s v=""/>
    <n v="-424.35"/>
    <s v=""/>
  </r>
  <r>
    <s v="OZA0010"/>
    <n v="0"/>
    <s v="OZON_AV"/>
    <s v="Доставлен"/>
    <d v="2022-11-29T00:00:00"/>
    <x v="5"/>
    <s v="Косметика"/>
    <s v="XXXXXX008"/>
    <x v="74"/>
    <x v="215"/>
    <n v="103"/>
    <m/>
    <n v="0"/>
    <n v="0"/>
    <n v="15.45"/>
    <n v="118.45"/>
    <n v="200"/>
    <x v="83"/>
    <s v="&lt;Клиент не выбран&gt;"/>
    <s v="2022 12"/>
    <n v="81.55"/>
    <n v="0.68847615027437736"/>
  </r>
  <r>
    <s v="OZA0010"/>
    <n v="0"/>
    <s v="OZON_AV"/>
    <s v="Доставлен"/>
    <d v="2022-11-29T00:00:00"/>
    <x v="5"/>
    <s v="Косметика"/>
    <s v="XXXXXX008"/>
    <x v="74"/>
    <x v="215"/>
    <n v="103"/>
    <m/>
    <n v="0"/>
    <n v="0"/>
    <n v="15.45"/>
    <n v="118.45"/>
    <n v="250"/>
    <x v="66"/>
    <s v="&lt;Клиент не выбран&gt;"/>
    <s v="2022 12"/>
    <n v="131.55000000000001"/>
    <n v="1.1105951878429718"/>
  </r>
  <r>
    <s v="OZA0010"/>
    <n v="0"/>
    <s v="OZON_AV"/>
    <s v="Доставлен"/>
    <d v="2022-11-29T00:00:00"/>
    <x v="5"/>
    <s v="Косметика"/>
    <s v="XXXXXX008"/>
    <x v="74"/>
    <x v="215"/>
    <n v="103"/>
    <m/>
    <n v="0"/>
    <n v="0"/>
    <n v="15.45"/>
    <n v="118.45"/>
    <m/>
    <x v="20"/>
    <m/>
    <s v=""/>
    <n v="-118.45"/>
    <s v=""/>
  </r>
  <r>
    <s v="OZA0010"/>
    <n v="0"/>
    <s v="OZON_AV"/>
    <s v="Доставлен"/>
    <d v="2022-11-29T00:00:00"/>
    <x v="5"/>
    <s v="Косметика"/>
    <s v="XXXXXX008"/>
    <x v="74"/>
    <x v="215"/>
    <n v="103"/>
    <m/>
    <n v="0"/>
    <n v="0"/>
    <n v="15.45"/>
    <n v="118.45"/>
    <m/>
    <x v="20"/>
    <m/>
    <s v=""/>
    <n v="-118.45"/>
    <s v=""/>
  </r>
  <r>
    <s v="OZA0010"/>
    <n v="0"/>
    <s v="OZON_AV"/>
    <s v="Доставлен"/>
    <d v="2022-11-29T00:00:00"/>
    <x v="5"/>
    <s v="Косметика"/>
    <s v="XXXXXX009"/>
    <x v="74"/>
    <x v="216"/>
    <n v="201"/>
    <m/>
    <n v="0"/>
    <n v="0"/>
    <n v="30.15"/>
    <n v="231.15"/>
    <m/>
    <x v="20"/>
    <m/>
    <s v=""/>
    <n v="-231.15"/>
    <s v=""/>
  </r>
  <r>
    <s v="OZA0010"/>
    <n v="0"/>
    <s v="OZON_AV"/>
    <s v="Доставлен"/>
    <d v="2022-11-29T00:00:00"/>
    <x v="5"/>
    <s v="Косметика"/>
    <s v="XXXXXX009"/>
    <x v="74"/>
    <x v="216"/>
    <n v="201"/>
    <m/>
    <n v="0"/>
    <n v="0"/>
    <n v="30.15"/>
    <n v="231.15"/>
    <m/>
    <x v="20"/>
    <m/>
    <s v=""/>
    <n v="-231.15"/>
    <s v=""/>
  </r>
  <r>
    <s v="OZA0011"/>
    <n v="0"/>
    <s v="OZON_AV"/>
    <s v="Доставлен"/>
    <d v="2022-11-30T00:00:00"/>
    <x v="5"/>
    <s v="Косметика"/>
    <s v="XXXXXX010"/>
    <x v="77"/>
    <x v="217"/>
    <n v="264"/>
    <m/>
    <n v="0"/>
    <n v="0"/>
    <n v="39.6"/>
    <n v="303.60000000000002"/>
    <n v="600"/>
    <x v="83"/>
    <s v="&lt;Клиент не выбран&gt;"/>
    <s v="2022 12"/>
    <n v="296.39999999999998"/>
    <n v="0.97628458498023696"/>
  </r>
  <r>
    <s v="OZA0011"/>
    <n v="0"/>
    <s v="OZON_AV"/>
    <s v="Доставлен"/>
    <d v="2022-11-30T00:00:00"/>
    <x v="5"/>
    <s v="Косметика"/>
    <s v="XXXXXX010"/>
    <x v="77"/>
    <x v="217"/>
    <n v="264"/>
    <m/>
    <n v="0"/>
    <n v="0"/>
    <n v="39.6"/>
    <n v="303.60000000000002"/>
    <n v="600"/>
    <x v="44"/>
    <s v="&lt;Клиент не выбран&gt;"/>
    <s v="2023 01"/>
    <n v="296.39999999999998"/>
    <n v="0.97628458498023696"/>
  </r>
  <r>
    <s v="OZA0011"/>
    <n v="0"/>
    <s v="OZON_AV"/>
    <s v="Доставлен"/>
    <d v="2022-11-30T00:00:00"/>
    <x v="5"/>
    <s v="Косметика"/>
    <s v="XXXXXX011"/>
    <x v="77"/>
    <x v="218"/>
    <n v="233"/>
    <m/>
    <n v="0"/>
    <n v="0"/>
    <n v="34.950000000000003"/>
    <n v="267.95"/>
    <n v="600"/>
    <x v="27"/>
    <s v="&lt;Клиент не выбран&gt;"/>
    <s v="2023 02"/>
    <n v="332.05"/>
    <n v="1.2392237357715992"/>
  </r>
  <r>
    <s v="OZA0011"/>
    <n v="0"/>
    <s v="OZON_AV"/>
    <s v="Доставлен"/>
    <d v="2022-11-30T00:00:00"/>
    <x v="5"/>
    <s v="Косметика"/>
    <s v="XXXXXX011"/>
    <x v="77"/>
    <x v="218"/>
    <n v="233"/>
    <m/>
    <n v="0"/>
    <n v="0"/>
    <n v="34.950000000000003"/>
    <n v="267.95"/>
    <n v="600"/>
    <x v="144"/>
    <s v="&lt;Клиент не выбран&gt;"/>
    <s v="2023 12"/>
    <n v="332.05"/>
    <n v="1.2392237357715992"/>
  </r>
  <r>
    <s v="OZA0011"/>
    <n v="0"/>
    <s v="OZON_AV"/>
    <s v="Доставлен"/>
    <d v="2022-11-30T00:00:00"/>
    <x v="5"/>
    <s v="Косметика"/>
    <s v="XXXXXX012"/>
    <x v="77"/>
    <x v="219"/>
    <n v="242"/>
    <m/>
    <n v="0"/>
    <n v="0"/>
    <n v="36.299999999999997"/>
    <n v="278.3"/>
    <n v="600"/>
    <x v="83"/>
    <s v="&lt;Клиент не выбран&gt;"/>
    <s v="2022 12"/>
    <n v="321.7"/>
    <n v="1.1559468199784404"/>
  </r>
  <r>
    <s v="OZA0011"/>
    <n v="0"/>
    <s v="OZON_AV"/>
    <s v="Доставлен"/>
    <d v="2022-11-30T00:00:00"/>
    <x v="5"/>
    <s v="Косметика"/>
    <s v="XXXXXX012"/>
    <x v="77"/>
    <x v="219"/>
    <n v="242"/>
    <m/>
    <n v="0"/>
    <n v="0"/>
    <n v="36.299999999999997"/>
    <n v="278.3"/>
    <n v="600"/>
    <x v="44"/>
    <s v="&lt;Клиент не выбран&gt;"/>
    <s v="2023 01"/>
    <n v="321.7"/>
    <n v="1.1559468199784404"/>
  </r>
  <r>
    <s v="OZA0011"/>
    <n v="0"/>
    <s v="OZON_AV"/>
    <s v="Доставлен"/>
    <d v="2022-11-30T00:00:00"/>
    <x v="5"/>
    <s v="Косметика"/>
    <s v="XXXXXX013"/>
    <x v="77"/>
    <x v="220"/>
    <n v="281"/>
    <m/>
    <n v="0"/>
    <n v="0"/>
    <n v="42.15"/>
    <n v="323.14999999999998"/>
    <n v="600"/>
    <x v="103"/>
    <s v="&lt;Клиент не выбран&gt;"/>
    <s v="2023 03"/>
    <n v="276.85000000000002"/>
    <n v="0.85672288410954678"/>
  </r>
  <r>
    <s v="OZA0011"/>
    <n v="0"/>
    <s v="OZON_AV"/>
    <s v="Доставлен"/>
    <d v="2022-11-30T00:00:00"/>
    <x v="5"/>
    <s v="Косметика"/>
    <s v="XXXXXX013"/>
    <x v="77"/>
    <x v="220"/>
    <n v="281"/>
    <m/>
    <n v="0"/>
    <n v="0"/>
    <n v="42.15"/>
    <n v="323.14999999999998"/>
    <m/>
    <x v="20"/>
    <m/>
    <s v=""/>
    <n v="-323.14999999999998"/>
    <s v=""/>
  </r>
  <r>
    <s v="OZA0014"/>
    <n v="0"/>
    <s v="OZON_AV"/>
    <s v="Доставлен"/>
    <d v="2022-12-03T00:00:00"/>
    <x v="6"/>
    <s v="Косметика"/>
    <s v="XXXXXX"/>
    <x v="78"/>
    <x v="221"/>
    <n v="696"/>
    <m/>
    <n v="0"/>
    <n v="0"/>
    <n v="104.39999999999999"/>
    <n v="800.4"/>
    <m/>
    <x v="20"/>
    <m/>
    <s v=""/>
    <n v="-800.4"/>
    <s v=""/>
  </r>
  <r>
    <s v="OZA0014"/>
    <n v="0"/>
    <s v="OZON_AV"/>
    <s v="Доставлен"/>
    <d v="2022-12-03T00:00:00"/>
    <x v="6"/>
    <s v="Косметика"/>
    <s v="XXXXXX014"/>
    <x v="78"/>
    <x v="222"/>
    <n v="672"/>
    <m/>
    <n v="0"/>
    <n v="0"/>
    <n v="100.8"/>
    <n v="772.8"/>
    <m/>
    <x v="20"/>
    <m/>
    <s v=""/>
    <n v="-772.8"/>
    <s v=""/>
  </r>
  <r>
    <s v="OZA0017"/>
    <n v="0"/>
    <s v="OZON_AV"/>
    <s v="Доставлен"/>
    <d v="2022-12-08T00:00:00"/>
    <x v="6"/>
    <s v="Витамины"/>
    <s v="XXXXXX015"/>
    <x v="76"/>
    <x v="223"/>
    <n v="329"/>
    <m/>
    <n v="0"/>
    <n v="0"/>
    <n v="49.35"/>
    <n v="378.35"/>
    <n v="1000"/>
    <x v="45"/>
    <s v="&lt;Клиент не выбран&gt;"/>
    <s v="2022 12"/>
    <n v="621.65"/>
    <n v="1.6430553720100434"/>
  </r>
  <r>
    <s v="OZA0017"/>
    <n v="0"/>
    <s v="OZON_AV"/>
    <s v="Доставлен"/>
    <d v="2022-12-08T00:00:00"/>
    <x v="6"/>
    <s v="Витамины"/>
    <s v="XXXXXX015"/>
    <x v="76"/>
    <x v="223"/>
    <n v="329"/>
    <m/>
    <n v="0"/>
    <n v="0"/>
    <n v="49.35"/>
    <n v="378.35"/>
    <n v="900"/>
    <x v="111"/>
    <s v="&lt;Клиент не выбран&gt;"/>
    <s v="2023 01"/>
    <n v="521.65"/>
    <n v="1.378749834809039"/>
  </r>
  <r>
    <s v="OZA0020"/>
    <n v="0"/>
    <s v="OZON_AV"/>
    <s v="Доставлен"/>
    <d v="2022-12-14T00:00:00"/>
    <x v="6"/>
    <s v="Спортпит"/>
    <s v="750910268"/>
    <x v="53"/>
    <x v="224"/>
    <n v="1297"/>
    <m/>
    <n v="0"/>
    <n v="0"/>
    <n v="194.54999999999998"/>
    <n v="1491.55"/>
    <n v="2000"/>
    <x v="118"/>
    <s v="&lt;Клиент не выбран&gt;"/>
    <s v="2023 01"/>
    <n v="508.45000000000005"/>
    <n v="0.34088699674834905"/>
  </r>
  <r>
    <s v="CC708810554"/>
    <n v="0"/>
    <s v="CoralClub_OA"/>
    <s v="Доставлен"/>
    <d v="2022-12-11T00:00:00"/>
    <x v="6"/>
    <s v="Витамины"/>
    <s v="000091881"/>
    <x v="79"/>
    <x v="225"/>
    <n v="1200"/>
    <m/>
    <n v="0"/>
    <n v="-45"/>
    <n v="0"/>
    <n v="1155"/>
    <n v="1500"/>
    <x v="109"/>
    <s v="&lt;Клиент не выбран&gt;"/>
    <s v="2023 01"/>
    <n v="345"/>
    <n v="0.29870129870129869"/>
  </r>
  <r>
    <s v="CC708810554"/>
    <n v="0"/>
    <s v="CoralClub_OA"/>
    <s v="Доставлен"/>
    <d v="2022-12-11T00:00:00"/>
    <x v="6"/>
    <s v="Витамины"/>
    <s v="000002125"/>
    <x v="79"/>
    <x v="226"/>
    <n v="960"/>
    <m/>
    <n v="0"/>
    <n v="-36"/>
    <n v="0"/>
    <n v="924"/>
    <n v="1250"/>
    <x v="83"/>
    <s v="&lt;Клиент не выбран&gt;"/>
    <s v="2022 12"/>
    <n v="326"/>
    <n v="0.3528138528138528"/>
  </r>
  <r>
    <s v="CC708810559"/>
    <n v="0"/>
    <s v="CoralClub_AV"/>
    <s v="Доставлен"/>
    <d v="2022-12-11T00:00:00"/>
    <x v="6"/>
    <s v="Витамины"/>
    <s v="000001405"/>
    <x v="79"/>
    <x v="227"/>
    <n v="845"/>
    <m/>
    <n v="0"/>
    <n v="18.287147004486673"/>
    <n v="0"/>
    <n v="863.28714700448666"/>
    <n v="1200"/>
    <x v="145"/>
    <s v="&lt;Клиент не выбран&gt;"/>
    <s v="2022 12"/>
    <n v="336.71285299551334"/>
    <n v="0.39003575364682613"/>
  </r>
  <r>
    <s v="CC708810559"/>
    <n v="0"/>
    <s v="CoralClub_AV"/>
    <s v="Доставлен"/>
    <d v="2022-12-11T00:00:00"/>
    <x v="6"/>
    <s v="Витамины"/>
    <s v="000091865"/>
    <x v="79"/>
    <x v="228"/>
    <n v="1024"/>
    <m/>
    <n v="0"/>
    <n v="22.160992346265505"/>
    <n v="0"/>
    <n v="1046.1609923462654"/>
    <n v="1350"/>
    <x v="83"/>
    <s v="&lt;Клиент не выбран&gt;"/>
    <s v="2022 12"/>
    <n v="303.8390076537346"/>
    <n v="0.29043236163136155"/>
  </r>
  <r>
    <s v="CC708810559"/>
    <n v="0"/>
    <s v="CoralClub_AV"/>
    <s v="Доставлен"/>
    <d v="2022-12-11T00:00:00"/>
    <x v="6"/>
    <s v="Витамины"/>
    <s v="000091800"/>
    <x v="79"/>
    <x v="229"/>
    <n v="1920"/>
    <m/>
    <n v="0"/>
    <n v="41.551860649247821"/>
    <n v="0"/>
    <n v="1961.5518606492478"/>
    <n v="2300"/>
    <x v="89"/>
    <s v="&lt;Клиент не выбран&gt;"/>
    <s v="2023 02"/>
    <n v="338.44813935075217"/>
    <n v="0.17254101007491604"/>
  </r>
  <r>
    <s v="OZA0021"/>
    <n v="0"/>
    <s v="OZON_AV"/>
    <s v="Доставлен"/>
    <d v="2022-12-14T00:00:00"/>
    <x v="6"/>
    <s v="Спортпит"/>
    <s v="227237379"/>
    <x v="80"/>
    <x v="230"/>
    <n v="2746"/>
    <m/>
    <n v="0"/>
    <n v="0"/>
    <n v="411.9"/>
    <n v="3157.9"/>
    <n v="3700"/>
    <x v="45"/>
    <s v="&lt;Клиент не выбран&gt;"/>
    <s v="2022 12"/>
    <n v="542.09999999999991"/>
    <n v="0.17166471389214347"/>
  </r>
  <r>
    <s v="OZA0022"/>
    <n v="0"/>
    <s v="OZON_AV"/>
    <s v="Доставлен"/>
    <d v="2022-12-15T00:00:00"/>
    <x v="6"/>
    <s v="Витамины"/>
    <s v="355578901"/>
    <x v="57"/>
    <x v="168"/>
    <n v="435"/>
    <m/>
    <n v="0"/>
    <n v="0"/>
    <n v="65.25"/>
    <n v="500.25"/>
    <n v="950"/>
    <x v="4"/>
    <s v="&lt;Клиент не выбран&gt;"/>
    <s v="2023 01"/>
    <n v="449.75"/>
    <n v="0.89905047476261868"/>
  </r>
  <r>
    <s v="OZA0023"/>
    <n v="0"/>
    <s v="OZON_AV"/>
    <s v="Доставлен"/>
    <d v="2022-12-16T00:00:00"/>
    <x v="6"/>
    <s v="Витамины"/>
    <s v="355578901"/>
    <x v="57"/>
    <x v="168"/>
    <n v="435"/>
    <m/>
    <n v="0"/>
    <n v="0"/>
    <n v="65.25"/>
    <n v="500.25"/>
    <n v="900"/>
    <x v="111"/>
    <s v="&lt;Клиент не выбран&gt;"/>
    <s v="2023 01"/>
    <n v="399.75"/>
    <n v="0.79910044977511241"/>
  </r>
  <r>
    <s v="OZA0023"/>
    <n v="0"/>
    <s v="OZON_AV"/>
    <s v="Доставлен"/>
    <d v="2022-12-16T00:00:00"/>
    <x v="6"/>
    <s v="Витамины"/>
    <s v="355578901"/>
    <x v="57"/>
    <x v="168"/>
    <n v="435"/>
    <m/>
    <n v="0"/>
    <n v="0"/>
    <n v="65.25"/>
    <n v="500.25"/>
    <n v="900"/>
    <x v="111"/>
    <s v="&lt;Клиент не выбран&gt;"/>
    <s v="2023 01"/>
    <n v="399.75"/>
    <n v="0.79910044977511241"/>
  </r>
  <r>
    <s v="OZA0024"/>
    <n v="0"/>
    <s v="OZON_AV"/>
    <s v="Доставлен"/>
    <d v="2022-12-18T00:00:00"/>
    <x v="6"/>
    <s v="Витамины"/>
    <s v="355578901"/>
    <x v="57"/>
    <x v="168"/>
    <n v="435"/>
    <m/>
    <n v="0"/>
    <n v="0"/>
    <n v="65.25"/>
    <n v="500.25"/>
    <n v="900"/>
    <x v="146"/>
    <s v="&lt;Клиент не выбран&gt;"/>
    <s v="2023 07"/>
    <n v="399.75"/>
    <n v="0.79910044977511241"/>
  </r>
  <r>
    <s v="OZA0024"/>
    <n v="0"/>
    <s v="OZON_AV"/>
    <s v="Доставлен"/>
    <d v="2022-12-18T00:00:00"/>
    <x v="6"/>
    <s v="Витамины"/>
    <s v="355578901"/>
    <x v="57"/>
    <x v="168"/>
    <n v="435"/>
    <m/>
    <n v="0"/>
    <n v="0"/>
    <n v="65.25"/>
    <n v="500.25"/>
    <n v="500.25"/>
    <x v="82"/>
    <s v="&lt;Клиент не выбран&gt;"/>
    <s v="2022 12"/>
    <n v="0"/>
    <n v="0"/>
  </r>
  <r>
    <s v="OZA0025"/>
    <n v="0"/>
    <s v="OZON_AV"/>
    <s v="Доставлен"/>
    <d v="2022-12-20T00:00:00"/>
    <x v="6"/>
    <s v="Косметика"/>
    <s v="155827100"/>
    <x v="74"/>
    <x v="231"/>
    <n v="730"/>
    <m/>
    <n v="0"/>
    <n v="0"/>
    <n v="109.5"/>
    <n v="839.5"/>
    <n v="1000"/>
    <x v="147"/>
    <s v="&lt;Клиент не выбран&gt;"/>
    <s v="2024 02"/>
    <n v="160.5"/>
    <n v="0.19118522930315665"/>
  </r>
  <r>
    <s v="WB363"/>
    <n v="0"/>
    <s v="WBRS"/>
    <s v="Доставлен"/>
    <d v="2022-12-17T00:00:00"/>
    <x v="6"/>
    <s v="Витамины"/>
    <s v="026995436"/>
    <x v="57"/>
    <x v="208"/>
    <n v="699"/>
    <m/>
    <n v="0"/>
    <n v="0"/>
    <n v="104.85000000000001"/>
    <n v="803.85"/>
    <n v="1700"/>
    <x v="148"/>
    <s v="&lt;Клиент не выбран&gt;"/>
    <s v="2022 12"/>
    <n v="896.15"/>
    <n v="1.1148224171176213"/>
  </r>
  <r>
    <s v="WB363"/>
    <n v="0"/>
    <s v="WBRS"/>
    <s v="Доставлен"/>
    <d v="2022-12-17T00:00:00"/>
    <x v="6"/>
    <s v="Витамины"/>
    <s v="026995436"/>
    <x v="57"/>
    <x v="208"/>
    <n v="699"/>
    <m/>
    <n v="0"/>
    <n v="0"/>
    <n v="104.85000000000001"/>
    <n v="803.85"/>
    <n v="1700"/>
    <x v="148"/>
    <s v="&lt;Клиент не выбран&gt;"/>
    <s v="2022 12"/>
    <n v="896.15"/>
    <n v="1.1148224171176213"/>
  </r>
  <r>
    <s v="WB363"/>
    <n v="0"/>
    <s v="WBRS"/>
    <s v="Доставлен"/>
    <d v="2022-12-17T00:00:00"/>
    <x v="6"/>
    <s v="Витамины"/>
    <s v="026995436"/>
    <x v="57"/>
    <x v="208"/>
    <n v="699"/>
    <m/>
    <n v="0"/>
    <n v="0"/>
    <n v="104.85000000000001"/>
    <n v="803.85"/>
    <n v="1200"/>
    <x v="149"/>
    <s v="&lt;Клиент не выбран&gt;"/>
    <s v="2023 01"/>
    <n v="396.15"/>
    <n v="0.49281582384773276"/>
  </r>
  <r>
    <s v="CC708858327"/>
    <n v="0"/>
    <s v="CoralClub_AV"/>
    <s v="Доставлен"/>
    <d v="2022-12-17T00:00:00"/>
    <x v="6"/>
    <s v="Витамины"/>
    <s v="000091865"/>
    <x v="79"/>
    <x v="228"/>
    <n v="1024"/>
    <m/>
    <n v="0"/>
    <n v="4.5714285714285712"/>
    <n v="0"/>
    <n v="1028.5714285714287"/>
    <n v="1400"/>
    <x v="150"/>
    <s v="&lt;Клиент не выбран&gt;"/>
    <s v="2022 12"/>
    <n v="371.42857142857133"/>
    <n v="0.36111111111111099"/>
  </r>
  <r>
    <s v="CC708858327"/>
    <n v="0"/>
    <s v="CoralClub_AV"/>
    <s v="Доставлен"/>
    <d v="2022-12-17T00:00:00"/>
    <x v="6"/>
    <s v="Витамины"/>
    <s v="000002153"/>
    <x v="79"/>
    <x v="232"/>
    <n v="960"/>
    <m/>
    <n v="0"/>
    <n v="4.2857142857142856"/>
    <n v="0"/>
    <n v="964.28571428571433"/>
    <n v="1300"/>
    <x v="82"/>
    <s v="&lt;Клиент не выбран&gt;"/>
    <s v="2022 12"/>
    <n v="335.71428571428567"/>
    <n v="0.3481481481481481"/>
  </r>
  <r>
    <s v="CC708858327"/>
    <n v="0"/>
    <s v="CoralClub_AV"/>
    <s v="Доставлен"/>
    <d v="2022-12-17T00:00:00"/>
    <x v="6"/>
    <s v="Витамины"/>
    <s v="000091619"/>
    <x v="79"/>
    <x v="233"/>
    <n v="1152"/>
    <m/>
    <n v="0"/>
    <n v="5.1428571428571432"/>
    <n v="0"/>
    <n v="1157.1428571428571"/>
    <n v="1500"/>
    <x v="109"/>
    <s v="&lt;Клиент не выбран&gt;"/>
    <s v="2023 01"/>
    <n v="342.85714285714289"/>
    <n v="0.29629629629629634"/>
  </r>
  <r>
    <s v="922594405"/>
    <s v="922594405-0"/>
    <s v="iHerb_VP DFD1605"/>
    <s v="Доставлен"/>
    <d v="2022-12-14T00:00:00"/>
    <x v="6"/>
    <s v="Витамины"/>
    <s v="NWY-15686"/>
    <x v="16"/>
    <x v="234"/>
    <n v="13.79"/>
    <n v="-3.03"/>
    <n v="0"/>
    <n v="1.8675883570757079E-15"/>
    <n v="5.1139143303462777"/>
    <n v="1095.3000887938933"/>
    <n v="2800"/>
    <x v="151"/>
    <s v="&lt;Клиент не выбран&gt;"/>
    <s v="2023 09"/>
    <n v="1704.6999112061067"/>
    <n v="1.5563770410018531"/>
  </r>
  <r>
    <s v="922594405"/>
    <s v="922594405-0"/>
    <s v="iHerb_VP DFD1605"/>
    <s v="Доставлен"/>
    <d v="2022-12-14T00:00:00"/>
    <x v="6"/>
    <s v="Витамины"/>
    <s v="NOW-01757"/>
    <x v="3"/>
    <x v="235"/>
    <n v="17.350000000000001"/>
    <n v="-3.82"/>
    <n v="0"/>
    <n v="2.3483708616388784E-15"/>
    <n v="6.4304145808164632"/>
    <n v="1377.268606076336"/>
    <n v="2300"/>
    <x v="152"/>
    <s v="&lt;Клиент не выбран&gt;"/>
    <s v="2023 06"/>
    <n v="922.73139392366397"/>
    <n v="0.66997199373650795"/>
  </r>
  <r>
    <s v="922594405"/>
    <s v="922594405-0"/>
    <s v="iHerb_VP DFD1605"/>
    <s v="Доставлен"/>
    <d v="2022-12-14T00:00:00"/>
    <x v="6"/>
    <s v="Витамины"/>
    <s v="NWY-11750"/>
    <x v="16"/>
    <x v="98"/>
    <n v="7.09"/>
    <n v="-1.56"/>
    <n v="0"/>
    <n v="9.5982933221455973E-16"/>
    <n v="2.6282477924549177"/>
    <n v="562.91909767938944"/>
    <n v="1200"/>
    <x v="153"/>
    <s v="&lt;Клиент не выбран&gt;"/>
    <s v="2023 04"/>
    <n v="637.08090232061056"/>
    <n v="1.1317450499493622"/>
  </r>
  <r>
    <s v="922594405"/>
    <s v="922594405-0"/>
    <s v="iHerb_VP DFD1605"/>
    <s v="Доставлен"/>
    <d v="2022-12-14T00:00:00"/>
    <x v="6"/>
    <s v="Витамины"/>
    <s v="CEN-27308"/>
    <x v="2"/>
    <x v="81"/>
    <n v="6.36"/>
    <n v="-1.4"/>
    <n v="0"/>
    <n v="8.6089574824307741E-16"/>
    <n v="2.3573434087841587"/>
    <n v="504.8966952061071"/>
    <n v="1700"/>
    <x v="154"/>
    <s v="&lt;Клиент не выбран&gt;"/>
    <s v="2023 03"/>
    <n v="1195.1033047938929"/>
    <n v="2.3670254056743869"/>
  </r>
  <r>
    <s v="922594405"/>
    <s v="922594405-0"/>
    <s v="iHerb_VP DFD1605"/>
    <s v="Доставлен"/>
    <d v="2022-12-14T00:00:00"/>
    <x v="6"/>
    <s v="Витамины"/>
    <s v="NWY-11536"/>
    <x v="16"/>
    <x v="236"/>
    <n v="20.079999999999998"/>
    <n v="-4.42"/>
    <n v="0"/>
    <n v="2.7180700438481025E-15"/>
    <n v="7.4427414882177247"/>
    <n v="1594.0891626870232"/>
    <n v="2200"/>
    <x v="155"/>
    <s v="&lt;Клиент не выбран&gt;"/>
    <s v="2023 11"/>
    <n v="605.91083731297681"/>
    <n v="0.38009846092400718"/>
  </r>
  <r>
    <s v="922594405"/>
    <s v="922594405-0"/>
    <s v="iHerb_VP DFD1605"/>
    <s v="Доставлен"/>
    <d v="2022-12-14T00:00:00"/>
    <x v="6"/>
    <s v="Витамины"/>
    <s v="NOW-02906"/>
    <x v="3"/>
    <x v="237"/>
    <n v="20.78"/>
    <n v="-4.57"/>
    <n v="0"/>
    <n v="2.8135322739960248E-15"/>
    <n v="7.7041404549175825"/>
    <n v="1650.0756913893135"/>
    <n v="2600"/>
    <x v="156"/>
    <s v="&lt;Клиент не выбран&gt;"/>
    <s v="2023 06"/>
    <n v="949.92430861068647"/>
    <n v="0.5756852934491018"/>
  </r>
  <r>
    <s v="922594405"/>
    <s v="922594405-0"/>
    <s v="iHerb_VP DFD1605"/>
    <s v="Доставлен"/>
    <d v="2022-12-14T00:00:00"/>
    <x v="6"/>
    <s v="Витамины"/>
    <s v="CEN-27542"/>
    <x v="2"/>
    <x v="238"/>
    <n v="8.36"/>
    <n v="-1.84"/>
    <n v="0"/>
    <n v="1.1316613464808192E-15"/>
    <n v="3.0987659325146599"/>
    <n v="663.69484934351158"/>
    <n v="1700"/>
    <x v="131"/>
    <s v="&lt;Клиент не выбран&gt;"/>
    <s v="2023 02"/>
    <n v="1036.3051506564884"/>
    <n v="1.5614181000222336"/>
  </r>
  <r>
    <s v="922594405"/>
    <s v="922594405-0"/>
    <s v="iHerb_VP DFD1605"/>
    <s v="Доставлен"/>
    <d v="2022-12-14T00:00:00"/>
    <x v="6"/>
    <s v="Витамины"/>
    <s v="NOW-00372"/>
    <x v="3"/>
    <x v="13"/>
    <n v="6.48"/>
    <n v="-1.43"/>
    <n v="0"/>
    <n v="8.7651684044910095E-16"/>
    <n v="2.4001177851532258"/>
    <n v="514.05812717557274"/>
    <n v="1000"/>
    <x v="89"/>
    <s v="&lt;Клиент не выбран&gt;"/>
    <s v="2023 02"/>
    <n v="485.94187282442726"/>
    <n v="0.94530530135643087"/>
  </r>
  <r>
    <s v="922594405"/>
    <s v="922594405-0"/>
    <s v="iHerb_VP DFD1605"/>
    <s v="Доставлен"/>
    <d v="2022-12-14T00:00:00"/>
    <x v="6"/>
    <s v="Витамины"/>
    <s v="NOW-00373"/>
    <x v="3"/>
    <x v="239"/>
    <n v="11.44"/>
    <n v="-2.52"/>
    <n v="0"/>
    <n v="1.5482238053081147E-15"/>
    <n v="4.2394159690231232"/>
    <n v="907.99970186259566"/>
    <n v="1700"/>
    <x v="157"/>
    <s v="&lt;Клиент не выбран&gt;"/>
    <s v="2023 04"/>
    <n v="792.00029813740434"/>
    <n v="0.8722473107785832"/>
  </r>
  <r>
    <s v="922594405"/>
    <s v="922594405-0"/>
    <s v="iHerb_VP DFD1605"/>
    <s v="Доставлен"/>
    <d v="2022-12-14T00:00:00"/>
    <x v="6"/>
    <s v="Витамины"/>
    <s v="NOW-01662"/>
    <x v="3"/>
    <x v="122"/>
    <n v="24.51"/>
    <n v="-5.39"/>
    <n v="0"/>
    <n v="3.3186142553241206E-15"/>
    <n v="9.0871786241840926"/>
    <n v="1946.2953250687026"/>
    <n v="3300"/>
    <x v="89"/>
    <s v="&lt;Клиент не выбран&gt;"/>
    <s v="2023 02"/>
    <n v="1353.7046749312974"/>
    <n v="0.69552891459753818"/>
  </r>
  <r>
    <s v="922594405"/>
    <s v="922594405-0"/>
    <s v="iHerb_VP DFD1605"/>
    <s v="Доставлен"/>
    <d v="2022-12-14T00:00:00"/>
    <x v="6"/>
    <s v="Витамины"/>
    <s v="NOW-02313"/>
    <x v="3"/>
    <x v="87"/>
    <n v="14.95"/>
    <n v="-3.29"/>
    <n v="0"/>
    <n v="2.0237992791359437E-15"/>
    <n v="5.5416580940369533"/>
    <n v="1186.91440848855"/>
    <n v="2200"/>
    <x v="110"/>
    <s v="&lt;Клиент не выбран&gt;"/>
    <s v="2023 02"/>
    <n v="1013.08559151145"/>
    <n v="0.85354561733018441"/>
  </r>
  <r>
    <s v="922594405"/>
    <s v="922594405-0"/>
    <s v="iHerb_VP DFD1605"/>
    <s v="Доставлен"/>
    <d v="2022-12-14T00:00:00"/>
    <x v="6"/>
    <s v="Витамины"/>
    <s v="NOW-01652"/>
    <x v="3"/>
    <x v="37"/>
    <n v="12.14"/>
    <n v="-2.67"/>
    <n v="0"/>
    <n v="1.6436860354560368E-15"/>
    <n v="4.5008149357229801"/>
    <n v="963.98623056488577"/>
    <n v="2000"/>
    <x v="103"/>
    <s v="&lt;Клиент не выбран&gt;"/>
    <s v="2023 03"/>
    <n v="1036.0137694351142"/>
    <n v="1.0747184312249161"/>
  </r>
  <r>
    <s v="922594405"/>
    <s v="922594405-0"/>
    <s v="iHerb_VP DFD1605"/>
    <s v="Доставлен"/>
    <d v="2022-12-14T00:00:00"/>
    <x v="6"/>
    <s v="Витамины"/>
    <s v="NOW-03255"/>
    <x v="3"/>
    <x v="240"/>
    <n v="3.79"/>
    <n v="-0.83"/>
    <n v="0"/>
    <n v="5.1376036588699769E-16"/>
    <n v="1.4068017116937719"/>
    <n v="301.30931810687025"/>
    <n v="700"/>
    <x v="137"/>
    <s v="&lt;Клиент не выбран&gt;"/>
    <s v="2023 02"/>
    <n v="398.69068189312975"/>
    <n v="1.3231940000996574"/>
  </r>
  <r>
    <s v="922594405"/>
    <s v="922594405-0"/>
    <s v="iHerb_VP DFD1605"/>
    <s v="Доставлен"/>
    <d v="2022-12-14T00:00:00"/>
    <x v="6"/>
    <s v="Витамины"/>
    <s v="NOW-00474"/>
    <x v="3"/>
    <x v="114"/>
    <n v="9.09"/>
    <n v="-2"/>
    <n v="0"/>
    <n v="1.2305949304523019E-15"/>
    <n v="3.3696703161854193"/>
    <n v="721.71725181679403"/>
    <n v="1500"/>
    <x v="90"/>
    <s v="&lt;Клиент не выбран&gt;"/>
    <s v="2023 02"/>
    <n v="778.28274818320597"/>
    <n v="1.07837625638575"/>
  </r>
  <r>
    <s v="922594405"/>
    <s v="922594405-0"/>
    <s v="iHerb_VP DFD1605"/>
    <s v="Доставлен"/>
    <d v="2022-12-14T00:00:00"/>
    <x v="6"/>
    <s v="Витамины"/>
    <s v="NOW-04603"/>
    <x v="3"/>
    <x v="147"/>
    <n v="8.57"/>
    <n v="-1.89"/>
    <n v="0"/>
    <n v="1.1594321770693058E-15"/>
    <n v="3.1748092682818907"/>
    <n v="679.98183951145052"/>
    <n v="1400"/>
    <x v="91"/>
    <s v="&lt;Клиент не выбран&gt;"/>
    <s v="2023 02"/>
    <n v="720.01816048854948"/>
    <n v="1.0588785150583786"/>
  </r>
  <r>
    <s v="922594405"/>
    <s v="922594405-0"/>
    <s v="iHerb_VP DFD1605"/>
    <s v="Доставлен"/>
    <d v="2022-12-14T00:00:00"/>
    <x v="6"/>
    <s v="Витамины"/>
    <s v="HBI-02026"/>
    <x v="18"/>
    <x v="241"/>
    <n v="15"/>
    <n v="-3"/>
    <n v="0"/>
    <n v="2.0828122941364774E-15"/>
    <n v="5.7032501825423179"/>
    <n v="1221.5242625954202"/>
    <n v="2200"/>
    <x v="158"/>
    <s v="&lt;Клиент не выбран&gt;"/>
    <s v="2023 03"/>
    <n v="978.47573740457983"/>
    <n v="0.80102849150582922"/>
  </r>
  <r>
    <s v="922594405"/>
    <s v="922594405-0"/>
    <s v="iHerb_VP DFD1605"/>
    <s v="Доставлен"/>
    <d v="2022-12-14T00:00:00"/>
    <x v="6"/>
    <s v="Витамины"/>
    <s v="SBL-00110"/>
    <x v="12"/>
    <x v="242"/>
    <n v="10.9"/>
    <n v="-3.27"/>
    <n v="0"/>
    <n v="1.3243214836884435E-15"/>
    <n v="3.6263165743998242"/>
    <n v="776.68584363358798"/>
    <n v="1600"/>
    <x v="159"/>
    <s v="&lt;Клиент не выбран&gt;"/>
    <s v="2023 04"/>
    <n v="823.31415636641202"/>
    <n v="1.0600349718165092"/>
  </r>
  <r>
    <s v="922644036"/>
    <s v="1Z58FA050346012815"/>
    <s v="iHerb_VP DFD1605"/>
    <s v="Доставлен"/>
    <d v="2022-12-19T00:00:00"/>
    <x v="6"/>
    <s v="Витамины"/>
    <s v="NWY-11536"/>
    <x v="16"/>
    <x v="236"/>
    <n v="20.079999999999998"/>
    <n v="-4.42"/>
    <n v="0"/>
    <n v="0"/>
    <n v="5.4891663536897264"/>
    <n v="1459.2924784045911"/>
    <n v="2200"/>
    <x v="160"/>
    <s v="&lt;Клиент не выбран&gt;"/>
    <s v="2023 12"/>
    <n v="740.70752159540893"/>
    <n v="0.50757989406291359"/>
  </r>
  <r>
    <s v="922644036"/>
    <s v="1Z58FA050346012815"/>
    <s v="iHerb_VP DFD1605"/>
    <s v="Доставлен"/>
    <d v="2022-12-19T00:00:00"/>
    <x v="6"/>
    <s v="Витамины"/>
    <s v="LEX-23151"/>
    <x v="7"/>
    <x v="17"/>
    <n v="18.38"/>
    <n v="-4.04"/>
    <n v="0"/>
    <n v="0"/>
    <n v="5.0264780020377193"/>
    <n v="1336.2869821406027"/>
    <n v="2800"/>
    <x v="64"/>
    <s v="&lt;Клиент не выбран&gt;"/>
    <s v="2023 02"/>
    <n v="1463.7130178593973"/>
    <n v="1.0953582856241482"/>
  </r>
  <r>
    <s v="922644036"/>
    <s v="1Z58FA050346012815"/>
    <s v="iHerb_VP DFD1605"/>
    <s v="Доставлен"/>
    <d v="2022-12-19T00:00:00"/>
    <x v="6"/>
    <s v="Витамины"/>
    <s v="OSL-01393"/>
    <x v="66"/>
    <x v="243"/>
    <n v="19"/>
    <n v="-3.8"/>
    <n v="0"/>
    <n v="0"/>
    <n v="5.3279264735685725"/>
    <n v="1416.4269266762312"/>
    <n v="3200"/>
    <x v="161"/>
    <s v="&lt;Клиент не выбран&gt;"/>
    <s v="2023 03"/>
    <n v="1783.5730733237688"/>
    <n v="1.2592058508158115"/>
  </r>
  <r>
    <s v="922644036"/>
    <s v="1Z58FA050346012815"/>
    <s v="iHerb_VP DFD1605"/>
    <s v="Доставлен"/>
    <d v="2022-12-19T00:00:00"/>
    <x v="6"/>
    <s v="Витамины"/>
    <s v="NWY-14924"/>
    <x v="16"/>
    <x v="244"/>
    <n v="23.15"/>
    <n v="-5.09"/>
    <n v="0"/>
    <n v="0"/>
    <n v="6.3304179021479223"/>
    <n v="1682.9388352482065"/>
    <n v="2000"/>
    <x v="162"/>
    <s v="&lt;Клиент не выбран&gt;"/>
    <s v="2023 03"/>
    <n v="317.06116475179351"/>
    <n v="0.18839731908915874"/>
  </r>
  <r>
    <s v="922644036"/>
    <s v="1Z58FA050346012815"/>
    <s v="iHerb_VP DFD1605"/>
    <s v="Доставлен"/>
    <d v="2022-12-19T00:00:00"/>
    <x v="6"/>
    <s v="Спортпит"/>
    <s v="VPB-54130"/>
    <x v="81"/>
    <x v="245"/>
    <n v="16"/>
    <n v="-3.52"/>
    <n v="0"/>
    <n v="0"/>
    <n v="4.3745080519826178"/>
    <n v="1162.9610555868007"/>
    <n v="2300"/>
    <x v="157"/>
    <s v="&lt;Клиент не выбран&gt;"/>
    <s v="2023 04"/>
    <n v="1137.0389444131993"/>
    <n v="0.97771025001303946"/>
  </r>
  <r>
    <s v="922644036"/>
    <s v="1Z58FA050346012815"/>
    <s v="iHerb_VP DFD1605"/>
    <s v="Доставлен"/>
    <d v="2022-12-19T00:00:00"/>
    <x v="6"/>
    <s v="Спортпит"/>
    <s v="NRX-00654"/>
    <x v="53"/>
    <x v="246"/>
    <n v="23.97"/>
    <n v="-5.27"/>
    <n v="0"/>
    <n v="0"/>
    <n v="6.5547516484034416"/>
    <n v="1742.5778637398375"/>
    <n v="3300"/>
    <x v="163"/>
    <s v="&lt;Клиент не выбран&gt;"/>
    <s v="2023 08"/>
    <n v="1557.4221362601625"/>
    <n v="0.89374608083090035"/>
  </r>
  <r>
    <s v="922644036"/>
    <s v="1Z58FA050346012815"/>
    <s v="iHerb_VP DFD1605"/>
    <s v="Доставлен"/>
    <d v="2022-12-19T00:00:00"/>
    <x v="6"/>
    <s v="Витамины"/>
    <s v="THR-50001"/>
    <x v="82"/>
    <x v="247"/>
    <n v="27"/>
    <n v="-5.94"/>
    <n v="0"/>
    <n v="0"/>
    <n v="7.3819823377206673"/>
    <n v="1962.496781302726"/>
    <n v="3000"/>
    <x v="64"/>
    <s v="&lt;Клиент не выбран&gt;"/>
    <s v="2023 02"/>
    <n v="1037.503218697274"/>
    <n v="0.52866492754631089"/>
  </r>
  <r>
    <s v="922644036"/>
    <s v="1Z58FA050346012815"/>
    <s v="iHerb_VP DFD1605"/>
    <s v="Доставлен"/>
    <d v="2022-12-19T00:00:00"/>
    <x v="6"/>
    <s v="Витамины"/>
    <s v="NOW-04620"/>
    <x v="3"/>
    <x v="248"/>
    <n v="6.38"/>
    <n v="-1.38"/>
    <n v="0"/>
    <n v="0"/>
    <n v="1.7526073926212411"/>
    <n v="465.92991009086569"/>
    <n v="1200"/>
    <x v="158"/>
    <s v="&lt;Клиент не выбран&gt;"/>
    <s v="2023 03"/>
    <n v="734.07008990913437"/>
    <n v="1.5754946699300243"/>
  </r>
  <r>
    <s v="922644036"/>
    <s v="1Z58FA050346012815"/>
    <s v="iHerb_VP DFD1605"/>
    <s v="Доставлен"/>
    <d v="2022-12-19T00:00:00"/>
    <x v="6"/>
    <s v="Витамины"/>
    <s v="NOW-00372"/>
    <x v="3"/>
    <x v="13"/>
    <n v="6.48"/>
    <n v="-1.43"/>
    <n v="0"/>
    <n v="0"/>
    <n v="1.7701334665474535"/>
    <n v="470.58920919177433"/>
    <n v="1000"/>
    <x v="164"/>
    <s v="&lt;Клиент не выбран&gt;"/>
    <s v="2023 03"/>
    <n v="529.41079080822567"/>
    <n v="1.1249956022524954"/>
  </r>
  <r>
    <s v="922644036"/>
    <s v="1Z58FA050346012815"/>
    <s v="iHerb_VP DFD1605"/>
    <s v="Доставлен"/>
    <d v="2022-12-19T00:00:00"/>
    <x v="6"/>
    <s v="Витамины"/>
    <s v="CGN-01065"/>
    <x v="1"/>
    <x v="14"/>
    <n v="6"/>
    <n v="-3"/>
    <n v="0"/>
    <n v="0"/>
    <n v="1.0515644355727447"/>
    <n v="279.55794605451939"/>
    <n v="800"/>
    <x v="103"/>
    <s v="&lt;Клиент не выбран&gt;"/>
    <s v="2023 03"/>
    <n v="520.44205394548067"/>
    <n v="1.8616607443666939"/>
  </r>
  <r>
    <s v="922644036"/>
    <s v="1Z58FA050346012815"/>
    <s v="iHerb_VP DFD1605"/>
    <s v="Доставлен"/>
    <d v="2022-12-19T00:00:00"/>
    <x v="6"/>
    <s v="Витамины"/>
    <s v="CGN-02030"/>
    <x v="1"/>
    <x v="131"/>
    <n v="6"/>
    <n v="-1.8"/>
    <n v="0"/>
    <n v="0"/>
    <n v="1.4721902098018425"/>
    <n v="391.3811244763271"/>
    <n v="391.38"/>
    <x v="165"/>
    <s v="&lt;Клиент не выбран&gt;"/>
    <s v="2023 03"/>
    <n v="-1.1244763271065494E-3"/>
    <n v="-2.8730980029021915E-6"/>
  </r>
  <r>
    <s v="922644036"/>
    <s v="1Z58FA050346012815"/>
    <s v="iHerb_VP DFD1605"/>
    <s v="Доставлен"/>
    <d v="2022-12-19T00:00:00"/>
    <x v="6"/>
    <s v="Витамины"/>
    <s v="CEN-27116"/>
    <x v="2"/>
    <x v="5"/>
    <n v="6.97"/>
    <n v="-1.05"/>
    <n v="0"/>
    <n v="0"/>
    <n v="2.0750871528635493"/>
    <n v="551.66101354758484"/>
    <n v="600"/>
    <x v="166"/>
    <s v="&lt;Клиент не выбран&gt;"/>
    <s v="2025 01"/>
    <n v="48.338986452415156"/>
    <n v="8.7624438315044281E-2"/>
  </r>
  <r>
    <s v="922644036"/>
    <s v="1Z58FA050346012815"/>
    <s v="iHerb_VP DFD1605"/>
    <s v="Доставлен"/>
    <d v="2022-12-19T00:00:00"/>
    <x v="6"/>
    <s v="Витамины"/>
    <s v="CEN-27452"/>
    <x v="2"/>
    <x v="56"/>
    <n v="5.05"/>
    <n v="-0.76"/>
    <n v="0"/>
    <n v="0"/>
    <n v="1.5037371428690247"/>
    <n v="399.76786285796271"/>
    <n v="850"/>
    <x v="11"/>
    <s v="&lt;Клиент не выбран&gt;"/>
    <s v="2023 07"/>
    <n v="450.23213714203729"/>
    <n v="1.1262339446780505"/>
  </r>
  <r>
    <s v="922644036"/>
    <s v="1Z58FA050346012815"/>
    <s v="iHerb_VP DFD1605"/>
    <s v="Доставлен"/>
    <d v="2022-12-19T00:00:00"/>
    <x v="6"/>
    <s v="Витамины"/>
    <s v="CEN-22380"/>
    <x v="2"/>
    <x v="158"/>
    <n v="7.37"/>
    <n v="-1.62"/>
    <n v="0"/>
    <n v="0"/>
    <n v="2.0154985015144269"/>
    <n v="535.81939660449552"/>
    <n v="1700"/>
    <x v="64"/>
    <s v="&lt;Клиент не выбран&gt;"/>
    <s v="2023 02"/>
    <n v="1164.1806033955045"/>
    <n v="2.1727108252761171"/>
  </r>
  <r>
    <s v="922644036"/>
    <s v="1Z58FA050346012815"/>
    <s v="iHerb_VP DFD1605"/>
    <s v="Доставлен"/>
    <d v="2022-12-19T00:00:00"/>
    <x v="6"/>
    <s v="Витамины"/>
    <s v="NWY-15692"/>
    <x v="16"/>
    <x v="249"/>
    <n v="18.559999999999999"/>
    <n v="-4.08"/>
    <n v="0"/>
    <n v="0"/>
    <n v="5.0755510090311136"/>
    <n v="1349.3330196231468"/>
    <n v="2700"/>
    <x v="167"/>
    <s v="&lt;Клиент не выбран&gt;"/>
    <s v="2023 05"/>
    <n v="1350.6669803768532"/>
    <n v="1.0009886075077885"/>
  </r>
  <r>
    <s v="922644036"/>
    <s v="1Z58FA050346012815"/>
    <s v="iHerb_VP DFD1605"/>
    <s v="Доставлен"/>
    <d v="2022-12-19T00:00:00"/>
    <x v="6"/>
    <s v="Витамины"/>
    <s v="OAD-58701"/>
    <x v="17"/>
    <x v="39"/>
    <n v="14.18"/>
    <n v="-3.12"/>
    <n v="0"/>
    <n v="0"/>
    <n v="3.8767675524781846"/>
    <n v="1030.6369611209948"/>
    <n v="1900"/>
    <x v="168"/>
    <s v="&lt;Клиент не выбран&gt;"/>
    <s v="2023 02"/>
    <n v="869.36303887900522"/>
    <n v="0.84352014499210615"/>
  </r>
  <r>
    <s v="922582622"/>
    <s v="922582622-0"/>
    <s v="iHerb_AV CYG0792"/>
    <s v="Доставлен"/>
    <d v="2022-12-13T00:00:00"/>
    <x v="6"/>
    <s v="Витамины"/>
    <s v="NOW-00372"/>
    <x v="3"/>
    <x v="13"/>
    <n v="6.48"/>
    <n v="-1.43"/>
    <n v="-0.25044868050761965"/>
    <n v="7.6211773282822852E-16"/>
    <n v="2.0868650099232235"/>
    <n v="475.16272672967676"/>
    <n v="1000"/>
    <x v="101"/>
    <s v="&lt;Клиент не выбран&gt;"/>
    <s v="2023 02"/>
    <n v="524.83727327032329"/>
    <n v="1.1045421783870406"/>
  </r>
  <r>
    <s v="922582622"/>
    <s v="922582622-0"/>
    <s v="iHerb_AV CYG0792"/>
    <s v="Доставлен"/>
    <d v="2022-12-13T00:00:00"/>
    <x v="6"/>
    <s v="Витамины"/>
    <s v="NOW-02313"/>
    <x v="3"/>
    <x v="87"/>
    <n v="14.95"/>
    <n v="-3.29"/>
    <n v="-0.57826368608293954"/>
    <n v="1.7596619336192362E-15"/>
    <n v="4.8183853496445126"/>
    <n v="1097.1083947857487"/>
    <n v="2200"/>
    <x v="89"/>
    <s v="&lt;Клиент не выбран&gt;"/>
    <s v="2023 02"/>
    <n v="1102.8916052142513"/>
    <n v="1.0052713209159538"/>
  </r>
  <r>
    <s v="922582622"/>
    <s v="922582622-0"/>
    <s v="iHerb_AV CYG0792"/>
    <s v="Доставлен"/>
    <d v="2022-12-13T00:00:00"/>
    <x v="6"/>
    <s v="Витамины"/>
    <s v="NFS-01630"/>
    <x v="23"/>
    <x v="250"/>
    <n v="5.24"/>
    <n v="-1.1499999999999999"/>
    <n v="-0.20283863431211174"/>
    <n v="6.1723990638959482E-16"/>
    <n v="1.6901540377397988"/>
    <n v="384.83476283651044"/>
    <m/>
    <x v="20"/>
    <m/>
    <s v=""/>
    <n v="-384.83476283651044"/>
    <s v=""/>
  </r>
  <r>
    <s v="922582622"/>
    <s v="922582622-0"/>
    <s v="iHerb_AV CYG0792"/>
    <s v="Доставлен"/>
    <d v="2022-12-13T00:00:00"/>
    <x v="6"/>
    <s v="Витамины"/>
    <s v="NFS-20721"/>
    <x v="23"/>
    <x v="251"/>
    <n v="13.97"/>
    <n v="-3.07"/>
    <n v="-0.54057239951149583"/>
    <n v="1.6449669876886515E-15"/>
    <n v="4.5043224966659681"/>
    <n v="1025.5987567036589"/>
    <n v="1700"/>
    <x v="169"/>
    <s v="&lt;Клиент не выбран&gt;"/>
    <s v="2025 04"/>
    <n v="674.40124329634114"/>
    <n v="0.65756831205988453"/>
  </r>
  <r>
    <s v="922582622"/>
    <s v="922582622-0"/>
    <s v="iHerb_AV CYG0792"/>
    <s v="Доставлен"/>
    <d v="2022-12-13T00:00:00"/>
    <x v="6"/>
    <s v="Витамины"/>
    <s v="NFS-04913"/>
    <x v="23"/>
    <x v="104"/>
    <n v="15.37"/>
    <n v="-3.38"/>
    <n v="-0.59462963946264535"/>
    <n v="1.8094636864575161E-15"/>
    <n v="4.9547547463325632"/>
    <n v="1128.1586323740244"/>
    <n v="2200"/>
    <x v="103"/>
    <s v="&lt;Клиент не выбран&gt;"/>
    <s v="2023 03"/>
    <n v="1071.8413676259756"/>
    <n v="0.95008036712927657"/>
  </r>
  <r>
    <s v="922582622"/>
    <s v="922582622-0"/>
    <s v="iHerb_AV CYG0792"/>
    <s v="Доставлен"/>
    <d v="2022-12-13T00:00:00"/>
    <x v="6"/>
    <s v="Витамины"/>
    <s v="NOW-00474"/>
    <x v="3"/>
    <x v="114"/>
    <n v="9.09"/>
    <n v="-2"/>
    <n v="-0.3516200286730739"/>
    <n v="1.0699831140103246E-15"/>
    <n v="2.9298758258130007"/>
    <n v="667.10965000265503"/>
    <n v="1500"/>
    <x v="69"/>
    <s v="&lt;Клиент не выбран&gt;"/>
    <s v="2023 03"/>
    <n v="832.89034999734497"/>
    <n v="1.2485059240171839"/>
  </r>
  <r>
    <s v="922582622"/>
    <s v="922582622-0"/>
    <s v="iHerb_AV CYG0792"/>
    <s v="Доставлен"/>
    <d v="2022-12-13T00:00:00"/>
    <x v="6"/>
    <s v="Витамины"/>
    <s v="NOW-01841"/>
    <x v="3"/>
    <x v="252"/>
    <n v="23.15"/>
    <n v="-5.09"/>
    <n v="-0.89566399405299213"/>
    <n v="2.7255141098767926E-15"/>
    <n v="7.4631251642006751"/>
    <n v="1699.2948207401903"/>
    <n v="3400"/>
    <x v="89"/>
    <s v="&lt;Клиент не выбран&gt;"/>
    <s v="2023 02"/>
    <n v="1700.7051792598097"/>
    <n v="1.0008299669382885"/>
  </r>
  <r>
    <s v="922582622"/>
    <s v="922582622-0"/>
    <s v="iHerb_AV CYG0792"/>
    <s v="Доставлен"/>
    <d v="2022-12-13T00:00:00"/>
    <x v="6"/>
    <s v="Витамины"/>
    <s v="CEN-22874"/>
    <x v="2"/>
    <x v="253"/>
    <n v="11.01"/>
    <n v="-3.01"/>
    <n v="-0.39675038496256576"/>
    <n v="1.2073152203219459E-15"/>
    <n v="3.3059247681952053"/>
    <n v="752.73303244305214"/>
    <n v="1500"/>
    <x v="170"/>
    <s v="&lt;Клиент не выбран&gt;"/>
    <s v="2023 03"/>
    <n v="747.26696755694786"/>
    <n v="0.99273837516022945"/>
  </r>
  <r>
    <s v="922582622"/>
    <s v="922582622-0"/>
    <s v="iHerb_AV CYG0792"/>
    <s v="Доставлен"/>
    <d v="2022-12-13T00:00:00"/>
    <x v="6"/>
    <s v="Витамины"/>
    <s v="NWY-11750"/>
    <x v="16"/>
    <x v="98"/>
    <n v="7.09"/>
    <m/>
    <n v="-0.3516200286730739"/>
    <n v="1.0699831140103246E-15"/>
    <n v="2.9298758258130007"/>
    <n v="667.10965000265503"/>
    <n v="1500"/>
    <x v="171"/>
    <s v="&lt;Клиент не выбран&gt;"/>
    <s v="2024 03"/>
    <n v="832.89034999734497"/>
    <n v="1.2485059240171839"/>
  </r>
  <r>
    <s v="922582622"/>
    <s v="922582622-0"/>
    <s v="iHerb_AV CYG0792"/>
    <s v="Доставлен"/>
    <d v="2022-12-13T00:00:00"/>
    <x v="6"/>
    <s v="Витамины"/>
    <s v="NOW-04739"/>
    <x v="3"/>
    <x v="191"/>
    <n v="12.94"/>
    <n v="-2.85"/>
    <n v="-0.50040142303403601"/>
    <n v="1.5227263216310542E-15"/>
    <n v="4.1695976138862019"/>
    <n v="949.38453716879951"/>
    <n v="2000"/>
    <x v="42"/>
    <s v="&lt;Клиент не выбран&gt;"/>
    <s v="2023 03"/>
    <n v="1050.6154628312006"/>
    <n v="1.1066279486332127"/>
  </r>
  <r>
    <s v="922582622"/>
    <s v="922582622-0"/>
    <s v="iHerb_AV CYG0792"/>
    <s v="Доставлен"/>
    <d v="2022-12-13T00:00:00"/>
    <x v="6"/>
    <s v="Витамины"/>
    <s v="NOW-01480"/>
    <x v="3"/>
    <x v="165"/>
    <n v="4.47"/>
    <n v="-0.98"/>
    <n v="-0.17308235543991929"/>
    <n v="5.2669126486544888E-16"/>
    <n v="1.4422096801251583"/>
    <n v="328.37978540328152"/>
    <n v="750"/>
    <x v="89"/>
    <s v="&lt;Клиент не выбран&gt;"/>
    <s v="2023 02"/>
    <n v="421.62021459671848"/>
    <n v="1.2839408311292027"/>
  </r>
  <r>
    <s v="922582622"/>
    <s v="922582622-0"/>
    <s v="iHerb_AV CYG0792"/>
    <s v="Доставлен"/>
    <d v="2022-12-13T00:00:00"/>
    <x v="6"/>
    <s v="Витамины"/>
    <s v="MLI-00952"/>
    <x v="1"/>
    <x v="7"/>
    <n v="7"/>
    <n v="-3"/>
    <n v="-0.19837519248128288"/>
    <n v="6.0365761016097295E-16"/>
    <n v="1.6529623840976027"/>
    <n v="376.36651622152607"/>
    <n v="1100"/>
    <x v="157"/>
    <s v="&lt;Клиент не выбран&gt;"/>
    <s v="2023 04"/>
    <n v="723.63348377847387"/>
    <n v="1.9226829502350031"/>
  </r>
  <r>
    <s v="922582622"/>
    <s v="922582622-0"/>
    <s v="iHerb_AV CYG0792"/>
    <s v="Доставлен"/>
    <d v="2022-12-13T00:00:00"/>
    <x v="6"/>
    <s v="Витамины"/>
    <s v="CEN-27540"/>
    <x v="2"/>
    <x v="254"/>
    <n v="8.24"/>
    <n v="-1.81"/>
    <n v="-0.31888812191366223"/>
    <n v="9.7037960833376393E-16"/>
    <n v="2.6571370324368964"/>
    <n v="605.00917482610316"/>
    <n v="1700"/>
    <x v="91"/>
    <s v="&lt;Клиент не выбран&gt;"/>
    <s v="2023 02"/>
    <n v="1094.9908251738968"/>
    <n v="1.8098747436162903"/>
  </r>
  <r>
    <s v="922582622"/>
    <s v="922582622-0"/>
    <s v="iHerb_AV CYG0792"/>
    <s v="Доставлен"/>
    <d v="2022-12-13T00:00:00"/>
    <x v="6"/>
    <s v="Витамины"/>
    <s v="CEN-27305"/>
    <x v="2"/>
    <x v="82"/>
    <n v="6.31"/>
    <n v="-1.39"/>
    <n v="-0.24400148675197791"/>
    <n v="7.4249886049799679E-16"/>
    <n v="2.0331437324400516"/>
    <n v="462.93081495247714"/>
    <n v="1700"/>
    <x v="172"/>
    <s v="&lt;Клиент не выбран&gt;"/>
    <s v="2023 03"/>
    <n v="1237.0691850475228"/>
    <n v="2.672255000295273"/>
  </r>
  <r>
    <s v="922582622"/>
    <s v="922582622-0"/>
    <s v="iHerb_AV CYG0792"/>
    <s v="Доставлен"/>
    <d v="2022-12-13T00:00:00"/>
    <x v="6"/>
    <s v="Витамины"/>
    <s v="ULM-01270"/>
    <x v="83"/>
    <x v="255"/>
    <n v="30"/>
    <n v="-9"/>
    <n v="-1.0414697605267349"/>
    <n v="3.1692024533451081E-15"/>
    <n v="8.6780525165124143"/>
    <n v="1975.9242101630123"/>
    <n v="2800"/>
    <x v="123"/>
    <s v="&lt;Клиент не выбран&gt;"/>
    <s v="2023 02"/>
    <n v="824.07578983698772"/>
    <n v="0.41705840011394063"/>
  </r>
  <r>
    <s v="922582622"/>
    <s v="922582622-0"/>
    <s v="iHerb_AV CYG0792"/>
    <s v="Доставлен"/>
    <d v="2022-12-13T00:00:00"/>
    <x v="6"/>
    <s v="Витамины"/>
    <s v="NWY-13660"/>
    <x v="16"/>
    <x v="256"/>
    <n v="11.41"/>
    <n v="-2.5099999999999998"/>
    <n v="-0.44138480327085439"/>
    <n v="1.343138182608165E-15"/>
    <n v="3.6778413046171661"/>
    <n v="837.41549859289569"/>
    <n v="2100"/>
    <x v="151"/>
    <s v="&lt;Клиент не выбран&gt;"/>
    <s v="2023 09"/>
    <n v="1262.5845014071042"/>
    <n v="1.5077157080668049"/>
  </r>
  <r>
    <s v="922582622"/>
    <s v="922582622-0"/>
    <s v="iHerb_AV CYG0792"/>
    <s v="Доставлен"/>
    <d v="2022-12-13T00:00:00"/>
    <x v="6"/>
    <s v="Витамины"/>
    <s v="CGN-01408"/>
    <x v="1"/>
    <x v="257"/>
    <n v="7"/>
    <n v="-1.4"/>
    <n v="-0.277725269473796"/>
    <n v="8.4512065422536205E-16"/>
    <n v="2.3141473377366433"/>
    <n v="526.91312271013646"/>
    <n v="1100"/>
    <x v="110"/>
    <s v="&lt;Клиент не выбран&gt;"/>
    <s v="2023 02"/>
    <n v="573.08687728986354"/>
    <n v="1.0876306787392882"/>
  </r>
  <r>
    <s v="922582622"/>
    <s v="922582622-0"/>
    <s v="iHerb_AV CYG0792"/>
    <s v="Доставлен"/>
    <d v="2022-12-13T00:00:00"/>
    <x v="6"/>
    <s v="Витамины"/>
    <s v="NOW-00680"/>
    <x v="3"/>
    <x v="88"/>
    <n v="8.61"/>
    <n v="-1.89"/>
    <n v="-0.33327032336855517"/>
    <n v="1.0141447850704345E-15"/>
    <n v="2.7769768052839723"/>
    <n v="632.29574725216389"/>
    <n v="1150"/>
    <x v="173"/>
    <s v="&lt;Клиент не выбран&gt;"/>
    <s v="2023 03"/>
    <n v="517.70425274783611"/>
    <n v="0.81876915193195521"/>
  </r>
  <r>
    <s v="922582622"/>
    <s v="922582622-0"/>
    <s v="iHerb_AV CYG0792"/>
    <s v="Доставлен"/>
    <d v="2022-12-13T00:00:00"/>
    <x v="6"/>
    <s v="Витамины"/>
    <s v="NFS-01587"/>
    <x v="23"/>
    <x v="258"/>
    <n v="20.27"/>
    <n v="-4.46"/>
    <n v="-0.7840779482822704"/>
    <n v="2.3859567041612456E-15"/>
    <n v="6.5333338231457736"/>
    <n v="1487.5886553655816"/>
    <n v="2900"/>
    <x v="135"/>
    <s v="&lt;Клиент не выбран&gt;"/>
    <s v="2023 02"/>
    <n v="1412.4113446344184"/>
    <n v="0.94946364342050715"/>
  </r>
  <r>
    <s v="922582622"/>
    <s v="922582622-0"/>
    <s v="iHerb_AV CYG0792"/>
    <s v="Доставлен"/>
    <d v="2022-12-13T00:00:00"/>
    <x v="6"/>
    <s v="Витамины"/>
    <s v="NOW-03056"/>
    <x v="3"/>
    <x v="92"/>
    <n v="17.23"/>
    <n v="-3.79"/>
    <n v="-0.66654064673711055"/>
    <n v="2.0282895701408694E-15"/>
    <n v="5.5539536105679455"/>
    <n v="1264.5914945043278"/>
    <n v="2600"/>
    <x v="153"/>
    <s v="&lt;Клиент не выбран&gt;"/>
    <s v="2023 04"/>
    <n v="1335.4085054956722"/>
    <n v="1.0559999108796014"/>
  </r>
  <r>
    <s v="922582622"/>
    <s v="922582622-0"/>
    <s v="iHerb_AV CYG0792"/>
    <s v="Доставлен"/>
    <d v="2022-12-13T00:00:00"/>
    <x v="6"/>
    <s v="Спортпит"/>
    <s v="CGN-01126"/>
    <x v="1"/>
    <x v="103"/>
    <n v="5"/>
    <n v="-1"/>
    <n v="-0.19837519248128288"/>
    <n v="6.0365761016097295E-16"/>
    <n v="1.6529623840976027"/>
    <n v="376.36651622152607"/>
    <n v="1000"/>
    <x v="101"/>
    <s v="&lt;Клиент не выбран&gt;"/>
    <s v="2023 02"/>
    <n v="623.63348377847387"/>
    <n v="1.6569845002136392"/>
  </r>
  <r>
    <s v="922528147"/>
    <s v="922528147-0"/>
    <s v="iHerb_OA CZN6870"/>
    <s v="Доставлен"/>
    <d v="2022-12-08T00:00:00"/>
    <x v="6"/>
    <s v="Витамины"/>
    <s v="HBI-02027"/>
    <x v="18"/>
    <x v="40"/>
    <n v="9"/>
    <n v="-5.4"/>
    <n v="-0.13775732622911116"/>
    <n v="-4.1300619177143141E-16"/>
    <n v="1.5547618435877726"/>
    <n v="346.17331169774758"/>
    <n v="1200"/>
    <x v="68"/>
    <s v="&lt;Клиент не выбран&gt;"/>
    <s v="2023 01"/>
    <n v="853.82668830225248"/>
    <n v="2.4664717338110385"/>
  </r>
  <r>
    <s v="922528147"/>
    <s v="922528147-0"/>
    <s v="iHerb_OA CZN6870"/>
    <s v="Доставлен"/>
    <d v="2022-12-08T00:00:00"/>
    <x v="6"/>
    <s v="Витамины"/>
    <s v="NOW-00680"/>
    <x v="3"/>
    <x v="88"/>
    <n v="8.61"/>
    <n v="-1.89"/>
    <n v="-0.25714700896100751"/>
    <n v="-7.7094489130667193E-16"/>
    <n v="2.9022221080305091"/>
    <n v="646.19018183579556"/>
    <n v="1500"/>
    <x v="174"/>
    <s v="&lt;Клиент не выбран&gt;"/>
    <s v="2023 11"/>
    <n v="853.80981816420444"/>
    <n v="1.3212980360341771"/>
  </r>
  <r>
    <s v="922528147"/>
    <s v="922528147-0"/>
    <s v="iHerb_OA CZN6870"/>
    <s v="Доставлен"/>
    <d v="2022-12-08T00:00:00"/>
    <x v="6"/>
    <s v="Витамины"/>
    <s v="NOW-00372"/>
    <x v="3"/>
    <x v="13"/>
    <n v="6.48"/>
    <n v="-1.43"/>
    <n v="-0.19324291596028098"/>
    <n v="-5.793559079015914E-16"/>
    <n v="2.1809853639217369"/>
    <n v="485.60422890934046"/>
    <n v="1000"/>
    <x v="68"/>
    <s v="&lt;Клиент не выбран&gt;"/>
    <s v="2023 01"/>
    <n v="514.39577109065954"/>
    <n v="1.0592901388976459"/>
  </r>
  <r>
    <s v="922528147"/>
    <s v="922528147-0"/>
    <s v="iHerb_OA CZN6870"/>
    <s v="Доставлен"/>
    <d v="2022-12-08T00:00:00"/>
    <x v="6"/>
    <s v="Витамины"/>
    <s v="NOW-01662"/>
    <x v="3"/>
    <x v="122"/>
    <n v="24.51"/>
    <n v="-5.39"/>
    <n v="-0.73164446597239052"/>
    <n v="-2.1935217740749358E-15"/>
    <n v="8.2575129026106158"/>
    <n v="1838.5649221280376"/>
    <n v="3300"/>
    <x v="89"/>
    <s v="&lt;Клиент не выбран&gt;"/>
    <s v="2023 02"/>
    <n v="1461.4350778719624"/>
    <n v="0.79487814669086143"/>
  </r>
  <r>
    <s v="922528147"/>
    <s v="922528147-0"/>
    <s v="iHerb_OA CZN6870"/>
    <s v="Доставлен"/>
    <d v="2022-12-08T00:00:00"/>
    <x v="6"/>
    <s v="Витамины"/>
    <s v="NFS-04913"/>
    <x v="23"/>
    <x v="104"/>
    <n v="15.37"/>
    <n v="-3.38"/>
    <n v="-0.45880842819084516"/>
    <n v="-1.375540066483184E-15"/>
    <n v="5.1782206957270525"/>
    <n v="1152.9494464599979"/>
    <n v="2300"/>
    <x v="96"/>
    <s v="&lt;Клиент не выбран&gt;"/>
    <s v="2023 01"/>
    <n v="1147.0505535400021"/>
    <n v="0.99488364998299983"/>
  </r>
  <r>
    <s v="922528147"/>
    <s v="922528147-0"/>
    <s v="iHerb_OA CZN6870"/>
    <s v="Доставлен"/>
    <d v="2022-12-08T00:00:00"/>
    <x v="6"/>
    <s v="Витамины"/>
    <s v="CGN-01065"/>
    <x v="1"/>
    <x v="14"/>
    <n v="6"/>
    <n v="-3.6"/>
    <n v="-9.1838217486074097E-2"/>
    <n v="-2.7533746118095428E-16"/>
    <n v="1.0365078957251816"/>
    <n v="230.7822077984984"/>
    <n v="800"/>
    <x v="110"/>
    <s v="&lt;Клиент не выбран&gt;"/>
    <s v="2023 02"/>
    <n v="569.21779220150165"/>
    <n v="2.466471733811038"/>
  </r>
  <r>
    <s v="922528147"/>
    <s v="922528147-0"/>
    <s v="iHerb_OA CZN6870"/>
    <s v="Доставлен"/>
    <d v="2022-12-08T00:00:00"/>
    <x v="6"/>
    <s v="Витамины"/>
    <s v="NOW-01480"/>
    <x v="3"/>
    <x v="165"/>
    <n v="4.47"/>
    <n v="-0.98"/>
    <n v="-0.13354807459433277"/>
    <n v="-4.0038655813397099E-16"/>
    <n v="1.5072552317003685"/>
    <n v="335.59579384031639"/>
    <n v="750"/>
    <x v="110"/>
    <s v="&lt;Клиент не выбран&gt;"/>
    <s v="2023 02"/>
    <n v="414.40420615968361"/>
    <n v="1.2348313470128471"/>
  </r>
  <r>
    <s v="922528147"/>
    <s v="922528147-0"/>
    <s v="iHerb_OA CZN6870"/>
    <s v="Доставлен"/>
    <d v="2022-12-08T00:00:00"/>
    <x v="6"/>
    <s v="Витамины"/>
    <s v="NOW-00140"/>
    <x v="3"/>
    <x v="259"/>
    <n v="6.46"/>
    <n v="-1.42"/>
    <n v="-0.19286025672075563"/>
    <n v="-5.78208668480004E-16"/>
    <n v="2.1766665810228818"/>
    <n v="484.64263637684661"/>
    <n v="900"/>
    <x v="68"/>
    <s v="&lt;Клиент не выбран&gt;"/>
    <s v="2023 01"/>
    <n v="415.35736362315339"/>
    <n v="0.85703842882734194"/>
  </r>
  <r>
    <s v="922528147"/>
    <s v="922528147-0"/>
    <s v="iHerb_OA CZN6870"/>
    <s v="Доставлен"/>
    <d v="2022-12-08T00:00:00"/>
    <x v="6"/>
    <s v="Витамины"/>
    <s v="NOW-00085"/>
    <x v="3"/>
    <x v="260"/>
    <n v="13.73"/>
    <n v="-3.02"/>
    <n v="-0.40982804553160573"/>
    <n v="-1.2286934205200087E-15"/>
    <n v="4.6254164846736243"/>
    <n v="1029.8656023007993"/>
    <n v="1500"/>
    <x v="68"/>
    <s v="&lt;Клиент не выбран&gt;"/>
    <s v="2023 01"/>
    <n v="470.13439769920069"/>
    <n v="0.45650072849203249"/>
  </r>
  <r>
    <s v="922528147"/>
    <s v="922528147-0"/>
    <s v="iHerb_OA CZN6870"/>
    <s v="Доставлен"/>
    <d v="2022-12-08T00:00:00"/>
    <x v="6"/>
    <s v="Витамины"/>
    <s v="NOW-04726"/>
    <x v="3"/>
    <x v="48"/>
    <n v="15.28"/>
    <n v="-3.36"/>
    <n v="-0.45612981351416809"/>
    <n v="-1.367509390532073E-15"/>
    <n v="5.1479892154350697"/>
    <n v="1146.2182987325421"/>
    <n v="2100"/>
    <x v="175"/>
    <s v="&lt;Клиент не выбран&gt;"/>
    <s v="2023 06"/>
    <n v="953.78170126745795"/>
    <n v="0.83211173850751163"/>
  </r>
  <r>
    <s v="922528147"/>
    <s v="922528147-0"/>
    <s v="iHerb_OA CZN6870"/>
    <s v="Доставлен"/>
    <d v="2022-12-08T00:00:00"/>
    <x v="6"/>
    <s v="Витамины"/>
    <s v="NOW-02644"/>
    <x v="3"/>
    <x v="21"/>
    <n v="17.28"/>
    <n v="-3.8"/>
    <n v="-0.51582465488011631"/>
    <n v="-1.5464787402996933E-15"/>
    <n v="5.8217193476564377"/>
    <n v="1296.2267338015661"/>
    <n v="2800"/>
    <x v="99"/>
    <s v="&lt;Клиент не выбран&gt;"/>
    <s v="2023 01"/>
    <n v="1503.7732661984339"/>
    <n v="1.160115917211626"/>
  </r>
  <r>
    <s v="922528147"/>
    <s v="922528147-0"/>
    <s v="iHerb_OA CZN6870"/>
    <s v="Доставлен"/>
    <d v="2022-12-08T00:00:00"/>
    <x v="6"/>
    <s v="Витамины"/>
    <s v="NOW-04682"/>
    <x v="3"/>
    <x v="78"/>
    <n v="7.44"/>
    <n v="-1.64"/>
    <n v="-0.22194235892467912"/>
    <n v="-6.6539886452063963E-16"/>
    <n v="2.5048940813358564"/>
    <n v="557.7236688463712"/>
    <n v="1000"/>
    <x v="154"/>
    <s v="&lt;Клиент не выбран&gt;"/>
    <s v="2023 03"/>
    <n v="442.2763311536288"/>
    <n v="0.79300262093674356"/>
  </r>
  <r>
    <s v="922528147"/>
    <s v="922528147-0"/>
    <s v="iHerb_OA CZN6870"/>
    <s v="Доставлен"/>
    <d v="2022-12-08T00:00:00"/>
    <x v="6"/>
    <s v="Витамины"/>
    <s v="NOW-04739"/>
    <x v="3"/>
    <x v="191"/>
    <n v="12.94"/>
    <n v="-2.85"/>
    <n v="-0.38610317268103655"/>
    <n v="-1.1575645763815954E-15"/>
    <n v="4.3576519449446174"/>
    <n v="970.24686528618702"/>
    <n v="2400"/>
    <x v="176"/>
    <s v="&lt;Клиент не выбран&gt;"/>
    <s v="2023 12"/>
    <n v="1429.7531347138129"/>
    <n v="1.4735972728879556"/>
  </r>
  <r>
    <s v="922528147"/>
    <s v="922528147-0"/>
    <s v="iHerb_OA CZN6870"/>
    <s v="Доставлен"/>
    <d v="2022-12-08T00:00:00"/>
    <x v="6"/>
    <s v="Витамины"/>
    <s v="NBC-00450"/>
    <x v="8"/>
    <x v="19"/>
    <n v="11.62"/>
    <n v="-1.1599999999999999"/>
    <n v="-0.40026156454347295"/>
    <n v="-1.2000124349803257E-15"/>
    <n v="4.5174469122022503"/>
    <n v="1005.8257889884553"/>
    <n v="1700"/>
    <x v="116"/>
    <s v="&lt;Клиент не выбран&gt;"/>
    <s v="2023 01"/>
    <n v="694.17421101154468"/>
    <n v="0.69015352222144333"/>
  </r>
  <r>
    <s v="922528147"/>
    <s v="922528147-0"/>
    <s v="iHerb_OA CZN6870"/>
    <s v="Доставлен"/>
    <d v="2022-12-08T00:00:00"/>
    <x v="6"/>
    <s v="Витамины"/>
    <s v="MAV-17735"/>
    <x v="4"/>
    <x v="261"/>
    <n v="5.43"/>
    <n v="-1.43"/>
    <n v="-0.15306369581012352"/>
    <n v="-4.5889576863492383E-16"/>
    <n v="1.7275131595419695"/>
    <n v="384.63701299749732"/>
    <n v="1100"/>
    <x v="91"/>
    <s v="&lt;Клиент не выбран&gt;"/>
    <s v="2023 02"/>
    <n v="715.36298700250268"/>
    <n v="1.8598391803941063"/>
  </r>
  <r>
    <s v="РО05"/>
    <n v="0"/>
    <s v="Roman"/>
    <s v="Доставлен"/>
    <d v="2022-12-20T00:00:00"/>
    <x v="6"/>
    <s v="Витамины"/>
    <s v="CGN-01033"/>
    <x v="1"/>
    <x v="1"/>
    <n v="914.2"/>
    <m/>
    <n v="0"/>
    <n v="-0.2405156537753223"/>
    <n v="0"/>
    <n v="913.95948434622471"/>
    <n v="2200"/>
    <x v="124"/>
    <s v="&lt;Клиент не выбран&gt;"/>
    <s v="2023 03"/>
    <n v="1286.0405156537754"/>
    <n v="1.4071088901426614"/>
  </r>
  <r>
    <s v="РО05"/>
    <n v="0"/>
    <s v="Roman"/>
    <s v="Доставлен"/>
    <d v="2022-12-20T00:00:00"/>
    <x v="6"/>
    <s v="Витамины"/>
    <s v="CGN-01033"/>
    <x v="1"/>
    <x v="1"/>
    <n v="914.2"/>
    <m/>
    <n v="0"/>
    <n v="-0.2405156537753223"/>
    <n v="0"/>
    <n v="913.95948434622471"/>
    <n v="2300"/>
    <x v="124"/>
    <s v="&lt;Клиент не выбран&gt;"/>
    <s v="2023 03"/>
    <n v="1386.0405156537754"/>
    <n v="1.5165229306036916"/>
  </r>
  <r>
    <s v="РО05"/>
    <n v="0"/>
    <s v="Roman"/>
    <s v="Доставлен"/>
    <d v="2022-12-20T00:00:00"/>
    <x v="6"/>
    <s v="Витамины"/>
    <s v="CGN-01033"/>
    <x v="1"/>
    <x v="1"/>
    <n v="914.2"/>
    <m/>
    <n v="0"/>
    <n v="-0.2405156537753223"/>
    <n v="0"/>
    <n v="913.95948434622471"/>
    <n v="2300"/>
    <x v="124"/>
    <s v="&lt;Клиент не выбран&gt;"/>
    <s v="2023 03"/>
    <n v="1386.0405156537754"/>
    <n v="1.5165229306036916"/>
  </r>
  <r>
    <s v="РО05"/>
    <n v="0"/>
    <s v="Roman"/>
    <s v="Доставлен"/>
    <d v="2022-12-20T00:00:00"/>
    <x v="6"/>
    <s v="Витамины"/>
    <s v="CGN-01033"/>
    <x v="1"/>
    <x v="1"/>
    <n v="914.2"/>
    <m/>
    <n v="0"/>
    <n v="-0.2405156537753223"/>
    <n v="0"/>
    <n v="913.95948434622471"/>
    <n v="2000"/>
    <x v="177"/>
    <s v="&lt;Клиент не выбран&gt;"/>
    <s v="2023 03"/>
    <n v="1086.0405156537754"/>
    <n v="1.1882808092206014"/>
  </r>
  <r>
    <s v="РО05"/>
    <n v="0"/>
    <s v="Roman"/>
    <s v="Доставлен"/>
    <d v="2022-12-20T00:00:00"/>
    <x v="6"/>
    <s v="Витамины"/>
    <s v="CGN-01033"/>
    <x v="1"/>
    <x v="1"/>
    <n v="914.2"/>
    <m/>
    <n v="0"/>
    <n v="-0.2405156537753223"/>
    <n v="0"/>
    <n v="913.95948434622471"/>
    <n v="2300"/>
    <x v="161"/>
    <s v="&lt;Клиент не выбран&gt;"/>
    <s v="2023 03"/>
    <n v="1386.0405156537754"/>
    <n v="1.5165229306036916"/>
  </r>
  <r>
    <s v="РО05"/>
    <n v="0"/>
    <s v="Roman"/>
    <s v="Доставлен"/>
    <d v="2022-12-20T00:00:00"/>
    <x v="6"/>
    <s v="Витамины"/>
    <s v="LEX-23176"/>
    <x v="7"/>
    <x v="123"/>
    <n v="532"/>
    <m/>
    <n v="0"/>
    <n v="-0.13996316758747698"/>
    <n v="0"/>
    <n v="531.86003683241256"/>
    <n v="1600"/>
    <x v="75"/>
    <s v="&lt;Клиент не выбран&gt;"/>
    <s v="2023 01"/>
    <n v="1068.1399631675874"/>
    <n v="2.0083102493074789"/>
  </r>
  <r>
    <s v="РО05"/>
    <n v="0"/>
    <s v="Roman"/>
    <s v="Доставлен"/>
    <d v="2022-12-20T00:00:00"/>
    <x v="6"/>
    <s v="Витамины"/>
    <s v="CGN-01065"/>
    <x v="1"/>
    <x v="14"/>
    <n v="280"/>
    <m/>
    <n v="0"/>
    <n v="-7.3664825046040522E-2"/>
    <n v="0"/>
    <n v="279.92633517495398"/>
    <n v="700"/>
    <x v="45"/>
    <s v="&lt;Клиент не выбран&gt;"/>
    <s v="2022 12"/>
    <n v="420.07366482504602"/>
    <n v="1.5006578947368419"/>
  </r>
  <r>
    <s v="РО05"/>
    <n v="0"/>
    <s v="Roman"/>
    <s v="Доставлен"/>
    <d v="2022-12-20T00:00:00"/>
    <x v="6"/>
    <s v="Витамины"/>
    <s v="CGN-01065"/>
    <x v="1"/>
    <x v="14"/>
    <n v="280"/>
    <m/>
    <n v="0"/>
    <n v="-7.3664825046040522E-2"/>
    <n v="0"/>
    <n v="279.92633517495398"/>
    <n v="800"/>
    <x v="74"/>
    <s v="&lt;Клиент не выбран&gt;"/>
    <s v="2023 01"/>
    <n v="520.07366482504608"/>
    <n v="1.8578947368421053"/>
  </r>
  <r>
    <s v="РО05"/>
    <n v="0"/>
    <s v="Roman"/>
    <s v="Доставлен"/>
    <d v="2022-12-20T00:00:00"/>
    <x v="6"/>
    <s v="Витамины"/>
    <s v="CGN-01065"/>
    <x v="1"/>
    <x v="14"/>
    <n v="280"/>
    <m/>
    <n v="0"/>
    <n v="-7.3664825046040522E-2"/>
    <n v="0"/>
    <n v="279.92633517495398"/>
    <n v="700"/>
    <x v="87"/>
    <s v="&lt;Клиент не выбран&gt;"/>
    <s v="2023 01"/>
    <n v="420.07366482504602"/>
    <n v="1.5006578947368419"/>
  </r>
  <r>
    <s v="РО05"/>
    <n v="0"/>
    <s v="Roman"/>
    <s v="Доставлен"/>
    <d v="2022-12-20T00:00:00"/>
    <x v="6"/>
    <s v="Витамины"/>
    <s v="LEX-18279"/>
    <x v="7"/>
    <x v="262"/>
    <n v="523.6"/>
    <m/>
    <n v="0"/>
    <n v="-0.13775322283609576"/>
    <n v="0"/>
    <n v="523.46224677716395"/>
    <n v="1500"/>
    <x v="110"/>
    <s v="&lt;Клиент не выбран&gt;"/>
    <s v="2023 02"/>
    <n v="976.53775322283605"/>
    <n v="1.8655361666197576"/>
  </r>
  <r>
    <s v="РО05"/>
    <n v="0"/>
    <s v="Roman"/>
    <s v="Доставлен"/>
    <d v="2022-12-20T00:00:00"/>
    <x v="6"/>
    <s v="Витамины"/>
    <s v="NBC-01016"/>
    <x v="8"/>
    <x v="97"/>
    <n v="463.4"/>
    <m/>
    <n v="0"/>
    <n v="-0.12191528545119705"/>
    <n v="0"/>
    <n v="463.27808471454875"/>
    <n v="1000"/>
    <x v="149"/>
    <s v="&lt;Клиент не выбран&gt;"/>
    <s v="2023 01"/>
    <n v="536.72191528545125"/>
    <n v="1.1585307680076327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5"/>
    <x v="69"/>
    <s v="&lt;Клиент не выбран&gt;"/>
    <s v="2023 03"/>
    <n v="47.007366482504608"/>
    <n v="1.6792763157894739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5"/>
    <x v="103"/>
    <s v="&lt;Клиент не выбран&gt;"/>
    <s v="2023 03"/>
    <n v="47.007366482504608"/>
    <n v="1.6792763157894739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5"/>
    <x v="103"/>
    <s v="&lt;Клиент не выбран&gt;"/>
    <s v="2023 03"/>
    <n v="47.007366482504608"/>
    <n v="1.6792763157894739"/>
  </r>
  <r>
    <s v="РО05"/>
    <n v="0"/>
    <s v="Roman"/>
    <s v="Доставлен"/>
    <d v="2022-12-20T00:00:00"/>
    <x v="6"/>
    <s v="Косметика"/>
    <s v="XXXXXX016"/>
    <x v="84"/>
    <x v="263"/>
    <n v="28"/>
    <m/>
    <n v="0"/>
    <n v="-7.3664825046040518E-3"/>
    <n v="0"/>
    <n v="27.992633517495396"/>
    <n v="75"/>
    <x v="154"/>
    <s v="&lt;Клиент не выбран&gt;"/>
    <s v="2023 03"/>
    <n v="47.007366482504608"/>
    <n v="1.6792763157894739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70"/>
    <x v="66"/>
    <s v="&lt;Клиент не выбран&gt;"/>
    <s v="2022 12"/>
    <n v="42.007366482504608"/>
    <n v="1.5006578947368423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80"/>
    <x v="44"/>
    <s v="&lt;Клиент не выбран&gt;"/>
    <s v="2023 01"/>
    <n v="52.007366482504608"/>
    <n v="1.8578947368421055"/>
  </r>
  <r>
    <s v="РО05"/>
    <n v="0"/>
    <s v="Roman"/>
    <s v="Доставлен"/>
    <d v="2022-12-20T00:00:00"/>
    <x v="6"/>
    <s v="Косметика"/>
    <s v="XXXXXX017"/>
    <x v="84"/>
    <x v="264"/>
    <n v="28"/>
    <m/>
    <n v="0"/>
    <n v="-7.3664825046040518E-3"/>
    <n v="0"/>
    <n v="27.992633517495396"/>
    <n v="80"/>
    <x v="111"/>
    <s v="&lt;Клиент не выбран&gt;"/>
    <s v="2023 01"/>
    <n v="52.007366482504608"/>
    <n v="1.8578947368421055"/>
  </r>
  <r>
    <s v="222221687"/>
    <n v="0"/>
    <s v="Forever"/>
    <s v="Доставлен"/>
    <d v="2022-12-23T00:00:00"/>
    <x v="6"/>
    <s v="Витамины"/>
    <s v="000000015"/>
    <x v="85"/>
    <x v="265"/>
    <n v="12438"/>
    <m/>
    <n v="0"/>
    <n v="318.00643958342806"/>
    <n v="779.97944930789197"/>
    <n v="2149.5145591559417"/>
    <n v="2150"/>
    <x v="99"/>
    <s v="&lt;Клиент не выбран&gt;"/>
    <s v="2023 01"/>
    <n v="0.4854408440583029"/>
    <n v="2.2583743012604803E-4"/>
  </r>
  <r>
    <s v="222221687"/>
    <n v="0"/>
    <s v="Forever"/>
    <s v="Доставлен"/>
    <d v="2022-12-23T00:00:00"/>
    <x v="6"/>
    <s v="Витамины"/>
    <s v="000000015"/>
    <x v="85"/>
    <x v="265"/>
    <n v="12438"/>
    <m/>
    <n v="0"/>
    <n v="318.00643958342806"/>
    <n v="779.97944930789197"/>
    <n v="2149.5145591559417"/>
    <n v="2200"/>
    <x v="68"/>
    <s v="&lt;Клиент не выбран&gt;"/>
    <s v="2023 01"/>
    <n v="50.485440844058303"/>
    <n v="2.3486903416873164E-2"/>
  </r>
  <r>
    <s v="222221687"/>
    <n v="0"/>
    <s v="Forever"/>
    <s v="Доставлен"/>
    <d v="2022-12-23T00:00:00"/>
    <x v="6"/>
    <s v="Косметика"/>
    <s v="000000028"/>
    <x v="85"/>
    <x v="266"/>
    <n v="3665"/>
    <m/>
    <n v="0"/>
    <n v="93.704261221519857"/>
    <n v="229.82993099480817"/>
    <n v="633.3792297239529"/>
    <n v="633.38"/>
    <x v="66"/>
    <s v="&lt;Клиент не выбран&gt;"/>
    <s v="2022 12"/>
    <n v="7.7027604709201114E-4"/>
    <n v="1.2161372065006335E-6"/>
  </r>
  <r>
    <s v="222221687"/>
    <n v="0"/>
    <s v="Forever"/>
    <s v="Доставлен"/>
    <d v="2022-12-23T00:00:00"/>
    <x v="6"/>
    <s v="Витамины"/>
    <s v="000000037"/>
    <x v="85"/>
    <x v="267"/>
    <n v="8679"/>
    <m/>
    <n v="0"/>
    <n v="221.89884942471235"/>
    <n v="544.25483522617742"/>
    <n v="1499.8904051225613"/>
    <n v="1600"/>
    <x v="178"/>
    <s v="&lt;Клиент не выбран&gt;"/>
    <s v="2023 05"/>
    <n v="100.10959487743867"/>
    <n v="6.674460649627155E-2"/>
  </r>
  <r>
    <s v="222221687"/>
    <n v="0"/>
    <s v="Forever"/>
    <s v="Доставлен"/>
    <d v="2022-12-23T00:00:00"/>
    <x v="6"/>
    <s v="Витамины"/>
    <s v="000000375"/>
    <x v="85"/>
    <x v="268"/>
    <n v="14403"/>
    <m/>
    <n v="0"/>
    <n v="368.2462413024694"/>
    <n v="903.20340958205247"/>
    <n v="2489.1026045604622"/>
    <n v="2500"/>
    <x v="99"/>
    <s v="&lt;Клиент не выбран&gt;"/>
    <s v="2023 01"/>
    <n v="10.897395439537831"/>
    <n v="4.3780418772500322E-3"/>
  </r>
  <r>
    <s v="222221687"/>
    <n v="0"/>
    <s v="Forever"/>
    <s v="Доставлен"/>
    <d v="2022-12-23T00:00:00"/>
    <x v="6"/>
    <s v="Витамины"/>
    <s v="000000375"/>
    <x v="85"/>
    <x v="268"/>
    <n v="14403"/>
    <m/>
    <n v="0"/>
    <n v="368.2462413024694"/>
    <n v="903.20340958205247"/>
    <n v="2489.1026045604622"/>
    <n v="2500"/>
    <x v="99"/>
    <s v="&lt;Клиент не выбран&gt;"/>
    <s v="2023 01"/>
    <n v="10.897395439537831"/>
    <n v="4.3780418772500322E-3"/>
  </r>
  <r>
    <s v="222221687"/>
    <n v="0"/>
    <s v="Forever"/>
    <s v="Доставлен"/>
    <d v="2022-12-23T00:00:00"/>
    <x v="6"/>
    <s v="Косметика"/>
    <s v="000000040"/>
    <x v="85"/>
    <x v="269"/>
    <n v="9432"/>
    <m/>
    <n v="0"/>
    <n v="241.15104825139844"/>
    <n v="591.47500931597028"/>
    <n v="1630.0226179416982"/>
    <n v="1630.02"/>
    <x v="85"/>
    <s v="&lt;Клиент не выбран&gt;"/>
    <s v="2023 01"/>
    <n v="-2.6179416981904069E-3"/>
    <n v="-1.6060769153597378E-6"/>
  </r>
  <r>
    <s v="222221687"/>
    <n v="0"/>
    <s v="Forever"/>
    <s v="Доставлен"/>
    <d v="2022-12-23T00:00:00"/>
    <x v="6"/>
    <s v="Косметика"/>
    <s v="000000051"/>
    <x v="85"/>
    <x v="270"/>
    <n v="9432"/>
    <m/>
    <n v="0"/>
    <n v="241.15104825139844"/>
    <n v="591.47500931597028"/>
    <n v="1630.0226179416982"/>
    <n v="1630.02"/>
    <x v="66"/>
    <s v="&lt;Клиент не выбран&gt;"/>
    <s v="2022 12"/>
    <n v="-2.6179416981904069E-3"/>
    <n v="-1.6060769153597378E-6"/>
  </r>
  <r>
    <s v="222221687"/>
    <n v="0"/>
    <s v="Forever"/>
    <s v="Доставлен"/>
    <d v="2022-12-23T00:00:00"/>
    <x v="6"/>
    <s v="Косметика"/>
    <s v="000000061"/>
    <x v="85"/>
    <x v="271"/>
    <n v="7102"/>
    <m/>
    <n v="0"/>
    <n v="181.57917140388375"/>
    <n v="445.36212003414124"/>
    <n v="1227.3558770803584"/>
    <n v="1227.3599999999999"/>
    <x v="66"/>
    <s v="&lt;Клиент не выбран&gt;"/>
    <s v="2022 12"/>
    <n v="4.1229196415315528E-3"/>
    <n v="3.3591884135016969E-6"/>
  </r>
  <r>
    <s v="222221687"/>
    <n v="0"/>
    <s v="Forever"/>
    <s v="Доставлен"/>
    <d v="2022-12-23T00:00:00"/>
    <x v="6"/>
    <s v="Косметика"/>
    <s v="000000633"/>
    <x v="85"/>
    <x v="272"/>
    <n v="8787"/>
    <m/>
    <n v="0"/>
    <n v="224.6601209695757"/>
    <n v="551.0274498366656"/>
    <n v="1518.5547862440312"/>
    <m/>
    <x v="20"/>
    <m/>
    <s v=""/>
    <n v="-1518.5547862440312"/>
    <s v=""/>
  </r>
  <r>
    <s v="222221687"/>
    <n v="0"/>
    <s v="Forever"/>
    <s v="Доставлен"/>
    <d v="2022-12-23T00:00:00"/>
    <x v="6"/>
    <s v="Косметика"/>
    <s v="000000067"/>
    <x v="85"/>
    <x v="273"/>
    <n v="3418"/>
    <m/>
    <n v="0"/>
    <n v="87.389130929100915"/>
    <n v="214.34071054304346"/>
    <n v="590.69309882577647"/>
    <n v="590.69000000000005"/>
    <x v="67"/>
    <s v="&lt;Клиент не выбран&gt;"/>
    <s v="2023 01"/>
    <n v="-3.0988257764192895E-3"/>
    <n v="-5.2460842738460382E-6"/>
  </r>
  <r>
    <s v="222221687"/>
    <n v="0"/>
    <s v="Forever"/>
    <s v="Доставлен"/>
    <d v="2022-12-23T00:00:00"/>
    <x v="6"/>
    <s v="Витамины"/>
    <s v="000000068"/>
    <x v="85"/>
    <x v="274"/>
    <n v="5748"/>
    <m/>
    <n v="0"/>
    <n v="146.96100777661559"/>
    <n v="360.45359982487241"/>
    <n v="993.35983968711616"/>
    <n v="1700"/>
    <x v="166"/>
    <s v="&lt;Клиент не выбран&gt;"/>
    <s v="2025 01"/>
    <n v="706.64016031288384"/>
    <n v="0.71136372951765203"/>
  </r>
  <r>
    <s v="CC708908916"/>
    <n v="0"/>
    <s v="CoralClub_AV"/>
    <s v="Доставлен"/>
    <d v="2022-12-24T00:00:00"/>
    <x v="6"/>
    <s v="Витамины"/>
    <s v="000002153"/>
    <x v="79"/>
    <x v="232"/>
    <n v="960"/>
    <m/>
    <n v="0"/>
    <n v="0"/>
    <n v="0"/>
    <n v="960"/>
    <n v="1300"/>
    <x v="73"/>
    <s v="&lt;Клиент не выбран&gt;"/>
    <s v="2022 12"/>
    <n v="340"/>
    <n v="0.35416666666666669"/>
  </r>
  <r>
    <s v="CC708953564"/>
    <n v="0"/>
    <s v="CoralClub_AV"/>
    <s v="Доставлен"/>
    <d v="2022-12-29T00:00:00"/>
    <x v="6"/>
    <s v="Витамины"/>
    <s v="000002150"/>
    <x v="79"/>
    <x v="275"/>
    <n v="1280"/>
    <m/>
    <n v="0"/>
    <n v="0"/>
    <n v="0"/>
    <n v="1280"/>
    <n v="1600"/>
    <x v="112"/>
    <s v="&lt;Клиент не выбран&gt;"/>
    <s v="2023 01"/>
    <n v="320"/>
    <n v="0.25"/>
  </r>
  <r>
    <s v="CC708953564"/>
    <n v="0"/>
    <s v="CoralClub_AV"/>
    <s v="Доставлен"/>
    <d v="2022-12-29T00:00:00"/>
    <x v="6"/>
    <s v="Витамины"/>
    <s v="000002153"/>
    <x v="79"/>
    <x v="232"/>
    <n v="960"/>
    <m/>
    <n v="0"/>
    <n v="0"/>
    <n v="0"/>
    <n v="960"/>
    <n v="1300"/>
    <x v="68"/>
    <s v="&lt;Клиент не выбран&gt;"/>
    <s v="2023 01"/>
    <n v="340"/>
    <n v="0.35416666666666669"/>
  </r>
  <r>
    <s v="CC708953564"/>
    <n v="0"/>
    <s v="CoralClub_AV"/>
    <s v="Доставлен"/>
    <d v="2022-12-29T00:00:00"/>
    <x v="6"/>
    <s v="Витамины"/>
    <s v="000002153"/>
    <x v="79"/>
    <x v="232"/>
    <n v="960"/>
    <m/>
    <n v="0"/>
    <n v="0"/>
    <n v="0"/>
    <n v="960"/>
    <n v="1300"/>
    <x v="37"/>
    <s v="&lt;Клиент не выбран&gt;"/>
    <s v="2023 02"/>
    <n v="340"/>
    <n v="0.35416666666666669"/>
  </r>
  <r>
    <s v="922731615"/>
    <s v="922731615-0"/>
    <s v="iHerb_OA CZN6870"/>
    <s v="Доставлен"/>
    <d v="2022-12-28T00:00:00"/>
    <x v="6"/>
    <s v="Витамины"/>
    <s v="HBI-02026"/>
    <x v="18"/>
    <x v="241"/>
    <n v="15"/>
    <n v="-3"/>
    <n v="-0.86233320829537541"/>
    <n v="-1.827664718744162E-15"/>
    <n v="4.6987246806614209"/>
    <n v="1251.0749263169175"/>
    <m/>
    <x v="20"/>
    <m/>
    <s v=""/>
    <n v="-1251.0749263169175"/>
    <s v=""/>
  </r>
  <r>
    <s v="922731615"/>
    <s v="922731615-0"/>
    <s v="iHerb_OA CZN6870"/>
    <s v="Доставлен"/>
    <d v="2022-12-28T00:00:00"/>
    <x v="6"/>
    <s v="Витамины"/>
    <s v="CGN-00931"/>
    <x v="1"/>
    <x v="24"/>
    <n v="5"/>
    <n v="-2.95"/>
    <n v="-0.14731525641712659"/>
    <n v="-3.122260561187943E-16"/>
    <n v="0.80269879961299273"/>
    <n v="213.72529991247342"/>
    <n v="500"/>
    <x v="132"/>
    <s v="&lt;Клиент не выбран&gt;"/>
    <s v="2023 09"/>
    <n v="286.27470008752658"/>
    <n v="1.3394516241397916"/>
  </r>
  <r>
    <s v="922731615"/>
    <s v="922731615-0"/>
    <s v="iHerb_OA CZN6870"/>
    <s v="Доставлен"/>
    <d v="2022-12-28T00:00:00"/>
    <x v="6"/>
    <s v="Витамины"/>
    <s v="CGN-01330"/>
    <x v="1"/>
    <x v="89"/>
    <n v="15"/>
    <n v="-3"/>
    <n v="-0.86233320829537541"/>
    <n v="-1.827664718744162E-15"/>
    <n v="4.6987246806614209"/>
    <n v="1251.0749263169175"/>
    <n v="2300"/>
    <x v="69"/>
    <s v="&lt;Клиент не выбран&gt;"/>
    <s v="2023 03"/>
    <n v="1048.9250736830825"/>
    <n v="0.83841906796985299"/>
  </r>
  <r>
    <s v="922731615"/>
    <s v="922731615-0"/>
    <s v="iHerb_OA CZN6870"/>
    <s v="Доставлен"/>
    <d v="2022-12-28T00:00:00"/>
    <x v="6"/>
    <s v="Витамины"/>
    <s v="CGN-01856"/>
    <x v="1"/>
    <x v="276"/>
    <n v="15"/>
    <n v="-4.5"/>
    <n v="-0.7545415572584534"/>
    <n v="-1.5992066289011416E-15"/>
    <n v="4.1113840955787433"/>
    <n v="1094.6905605273025"/>
    <n v="2000"/>
    <x v="179"/>
    <s v="&lt;Клиент не выбран&gt;"/>
    <s v="2023 10"/>
    <n v="905.30943947269748"/>
    <n v="0.82700031599488544"/>
  </r>
  <r>
    <s v="922731615"/>
    <s v="922731615-0"/>
    <s v="iHerb_OA CZN6870"/>
    <s v="Доставлен"/>
    <d v="2022-12-28T00:00:00"/>
    <x v="6"/>
    <s v="Витамины"/>
    <s v="SIE-01754"/>
    <x v="51"/>
    <x v="277"/>
    <n v="10"/>
    <n v="-3"/>
    <n v="-0.50302770483896897"/>
    <n v="-1.0661377526007612E-15"/>
    <n v="2.740922730385829"/>
    <n v="729.79370701820187"/>
    <n v="1600"/>
    <x v="158"/>
    <s v="&lt;Клиент не выбран&gt;"/>
    <s v="2023 03"/>
    <n v="870.20629298179813"/>
    <n v="1.192400379193862"/>
  </r>
  <r>
    <s v="922731615"/>
    <s v="922731615-0"/>
    <s v="iHerb_OA CZN6870"/>
    <s v="Доставлен"/>
    <d v="2022-12-28T00:00:00"/>
    <x v="6"/>
    <s v="Витамины"/>
    <s v="FBS-02510"/>
    <x v="20"/>
    <x v="278"/>
    <n v="16.97"/>
    <n v="-8.9700000000000006"/>
    <n v="-0.57488880553025001"/>
    <n v="-1.2184431458294411E-15"/>
    <n v="3.1324831204409471"/>
    <n v="834.04995087794487"/>
    <n v="600"/>
    <x v="180"/>
    <s v="&lt;Клиент не выбран&gt;"/>
    <s v="2024 07"/>
    <n v="-234.04995087794487"/>
    <n v="-0.28061862557701395"/>
  </r>
  <r>
    <s v="922731615"/>
    <s v="922731615-0"/>
    <s v="iHerb_OA CZN6870"/>
    <s v="Доставлен"/>
    <d v="2022-12-28T00:00:00"/>
    <x v="6"/>
    <s v="Витамины"/>
    <s v="SPN-02123"/>
    <x v="45"/>
    <x v="144"/>
    <n v="5"/>
    <n v="-2.5"/>
    <n v="-0.17965275172820319"/>
    <n v="-3.8076348307170043E-16"/>
    <n v="0.97890097513779617"/>
    <n v="260.64060964935783"/>
    <m/>
    <x v="20"/>
    <m/>
    <s v=""/>
    <n v="-260.64060964935783"/>
    <s v=""/>
  </r>
  <r>
    <s v="922731615"/>
    <s v="922731615-0"/>
    <s v="iHerb_OA CZN6870"/>
    <s v="Доставлен"/>
    <d v="2022-12-28T00:00:00"/>
    <x v="6"/>
    <s v="Витамины"/>
    <s v="OAD-59581"/>
    <x v="17"/>
    <x v="279"/>
    <n v="20.95"/>
    <n v="-4.1900000000000004"/>
    <n v="-1.204392047585874"/>
    <n v="-2.5526383905126794E-15"/>
    <n v="6.5625521373237845"/>
    <n v="1747.3346470892945"/>
    <n v="3400"/>
    <x v="54"/>
    <s v="&lt;Клиент не выбран&gt;"/>
    <s v="2023 04"/>
    <n v="1652.6653529107055"/>
    <n v="0.94582074227378887"/>
  </r>
  <r>
    <s v="922731615"/>
    <s v="922731615-0"/>
    <s v="iHerb_OA CZN6870"/>
    <s v="Доставлен"/>
    <d v="2022-12-28T00:00:00"/>
    <x v="6"/>
    <s v="Витамины"/>
    <s v="CEN-22702"/>
    <x v="2"/>
    <x v="280"/>
    <n v="10.79"/>
    <n v="-2.16"/>
    <n v="-0.62016129896575733"/>
    <n v="-1.3143955435635096E-15"/>
    <n v="3.3791661661756724"/>
    <n v="899.73138450958311"/>
    <n v="3300"/>
    <x v="42"/>
    <s v="&lt;Клиент не выбран&gt;"/>
    <s v="2023 03"/>
    <n v="2400.2686154904168"/>
    <n v="2.667761352793903"/>
  </r>
  <r>
    <s v="922731615"/>
    <s v="922731615-0"/>
    <s v="iHerb_OA CZN6870"/>
    <s v="Доставлен"/>
    <d v="2022-12-28T00:00:00"/>
    <x v="6"/>
    <s v="Витамины"/>
    <s v="CEN-22380"/>
    <x v="2"/>
    <x v="158"/>
    <n v="5.45"/>
    <n v="-1.0900000000000001"/>
    <n v="-0.31331439901398639"/>
    <n v="-6.640515144770456E-16"/>
    <n v="1.7072033006403167"/>
    <n v="454.55722322848004"/>
    <n v="1700"/>
    <x v="64"/>
    <s v="&lt;Клиент не выбран&gt;"/>
    <s v="2023 02"/>
    <n v="1245.4427767715199"/>
    <n v="2.7399031697831071"/>
  </r>
  <r>
    <s v="922731615"/>
    <s v="922731615-0"/>
    <s v="iHerb_OA CZN6870"/>
    <s v="Доставлен"/>
    <d v="2022-12-28T00:00:00"/>
    <x v="6"/>
    <s v="Витамины"/>
    <s v="NOW-03770"/>
    <x v="3"/>
    <x v="281"/>
    <n v="11.02"/>
    <n v="-2.2000000000000002"/>
    <n v="-0.63381490809710084"/>
    <n v="-1.343333568276959E-15"/>
    <n v="3.4535626402861448"/>
    <n v="919.54007084293448"/>
    <n v="2000"/>
    <x v="181"/>
    <s v="&lt;Клиент не выбран&gt;"/>
    <s v="2023 03"/>
    <n v="1080.4599291570655"/>
    <n v="1.1750003761843866"/>
  </r>
  <r>
    <s v="922731615"/>
    <s v="922731615-0"/>
    <s v="iHerb_OA CZN6870"/>
    <s v="Доставлен"/>
    <d v="2022-12-28T00:00:00"/>
    <x v="6"/>
    <s v="Витамины"/>
    <s v="NOW-03788"/>
    <x v="3"/>
    <x v="282"/>
    <n v="23.79"/>
    <n v="-7.14"/>
    <n v="-1.196487326509833"/>
    <n v="-2.5358847972575247E-15"/>
    <n v="6.5194804944177216"/>
    <n v="1735.8664602647227"/>
    <n v="3400"/>
    <x v="182"/>
    <s v="&lt;Клиент не выбран&gt;"/>
    <s v="2023 04"/>
    <n v="1664.1335397352773"/>
    <n v="0.95867601444496708"/>
  </r>
  <r>
    <s v="922731615"/>
    <s v="922731615-0"/>
    <s v="iHerb_OA CZN6870"/>
    <s v="Доставлен"/>
    <d v="2022-12-28T00:00:00"/>
    <x v="6"/>
    <s v="Витамины"/>
    <s v="NOW-03212"/>
    <x v="3"/>
    <x v="83"/>
    <n v="23.39"/>
    <n v="-2.34"/>
    <n v="-1.512676169551471"/>
    <n v="-3.2060285274637175E-15"/>
    <n v="8.2423462106602443"/>
    <n v="2194.5939332475928"/>
    <n v="2800"/>
    <x v="164"/>
    <s v="&lt;Клиент не выбран&gt;"/>
    <s v="2023 03"/>
    <n v="605.40606675240724"/>
    <n v="0.27586245345010973"/>
  </r>
  <r>
    <s v="922731615"/>
    <s v="922731615-0"/>
    <s v="iHerb_OA CZN6870"/>
    <s v="Доставлен"/>
    <d v="2022-12-28T00:00:00"/>
    <x v="6"/>
    <s v="Витамины"/>
    <s v="NWY-15686"/>
    <x v="16"/>
    <x v="234"/>
    <n v="21.08"/>
    <n v="-4.22"/>
    <n v="-1.2115781576550024"/>
    <n v="-2.5678689298355476E-15"/>
    <n v="6.6017081763292955"/>
    <n v="1757.7602714752691"/>
    <n v="2800"/>
    <x v="183"/>
    <s v="&lt;Клиент не выбран&gt;"/>
    <s v="2023 11"/>
    <n v="1042.2397285247309"/>
    <n v="0.59293621857205281"/>
  </r>
  <r>
    <s v="922731615"/>
    <s v="922731615-0"/>
    <s v="iHerb_OA CZN6870"/>
    <s v="Доставлен"/>
    <d v="2022-12-28T00:00:00"/>
    <x v="6"/>
    <s v="Витамины"/>
    <s v="RSP-00788"/>
    <x v="52"/>
    <x v="283"/>
    <n v="21.99"/>
    <n v="-4.4000000000000004"/>
    <n v="-1.2640367611596373"/>
    <n v="-2.6790518668924837E-15"/>
    <n v="6.8875472610695319"/>
    <n v="1833.867329492881"/>
    <n v="2700"/>
    <x v="156"/>
    <s v="&lt;Клиент не выбран&gt;"/>
    <s v="2023 06"/>
    <n v="866.13267050711897"/>
    <n v="0.47229843543078465"/>
  </r>
  <r>
    <s v="922731615"/>
    <s v="922731615-0"/>
    <s v="iHerb_OA CZN6870"/>
    <s v="Доставлен"/>
    <d v="2022-12-28T00:00:00"/>
    <x v="6"/>
    <s v="Витамины"/>
    <s v="NWY-15786"/>
    <x v="16"/>
    <x v="284"/>
    <n v="14.38"/>
    <n v="-2.88"/>
    <n v="-0.82640265794973466"/>
    <n v="-1.7515120221298219E-15"/>
    <n v="4.5029444856338623"/>
    <n v="1198.9468043870459"/>
    <n v="2400"/>
    <x v="184"/>
    <s v="&lt;Клиент не выбран&gt;"/>
    <s v="2023 02"/>
    <n v="1201.0531956129541"/>
    <n v="1.0017568679596132"/>
  </r>
  <r>
    <s v="922731615"/>
    <s v="922731615-0"/>
    <s v="iHerb_OA CZN6870"/>
    <s v="Доставлен"/>
    <d v="2022-12-28T00:00:00"/>
    <x v="6"/>
    <s v="Витамины"/>
    <s v="NWY-13663"/>
    <x v="16"/>
    <x v="285"/>
    <n v="12.93"/>
    <n v="-2.59"/>
    <n v="-0.74304378114784841"/>
    <n v="-1.5748377659845528E-15"/>
    <n v="4.0487344331699253"/>
    <n v="1078.0095615097439"/>
    <n v="2100"/>
    <x v="185"/>
    <s v="&lt;Клиент не выбран&gt;"/>
    <s v="2023 11"/>
    <n v="1021.9904384902561"/>
    <n v="0.94803466961737015"/>
  </r>
  <r>
    <s v="922800616"/>
    <s v="1Z58FA050346286360"/>
    <s v="iHerb_MH DLE7202"/>
    <s v="Доставлен"/>
    <d v="2023-01-03T00:00:00"/>
    <x v="7"/>
    <s v="Витамины"/>
    <s v="NOW-01480"/>
    <x v="3"/>
    <x v="165"/>
    <n v="4.47"/>
    <n v="-0.44500000000000001"/>
    <n v="-0.14114067656765678"/>
    <n v="4.7193638802547908E-16"/>
    <n v="1.5786689162742491"/>
    <n v="447.92731565594056"/>
    <n v="800"/>
    <x v="42"/>
    <s v="&lt;Клиент не выбран&gt;"/>
    <s v="2023 03"/>
    <n v="352.07268434405944"/>
    <n v="0.78600405029661458"/>
  </r>
  <r>
    <s v="922800616"/>
    <s v="1Z58FA050346286360"/>
    <s v="iHerb_MH DLE7202"/>
    <s v="Доставлен"/>
    <d v="2023-01-03T00:00:00"/>
    <x v="7"/>
    <s v="Витамины"/>
    <s v="NOW-01480"/>
    <x v="3"/>
    <x v="165"/>
    <n v="4.47"/>
    <n v="-0.44500000000000001"/>
    <n v="-0.14114067656765678"/>
    <n v="4.7193638802547908E-16"/>
    <n v="1.5786689162742491"/>
    <n v="447.92731565594056"/>
    <n v="850"/>
    <x v="161"/>
    <s v="&lt;Клиент не выбран&gt;"/>
    <s v="2023 03"/>
    <n v="402.07268434405944"/>
    <n v="0.8976293034401529"/>
  </r>
  <r>
    <s v="922800616"/>
    <s v="1Z58FA050346286360"/>
    <s v="iHerb_MH DLE7202"/>
    <s v="Доставлен"/>
    <d v="2023-01-03T00:00:00"/>
    <x v="7"/>
    <s v="Витамины"/>
    <s v="CGN-01352"/>
    <x v="1"/>
    <x v="286"/>
    <n v="12"/>
    <n v="-3.6"/>
    <n v="-0.29455445544554459"/>
    <n v="9.8491072283578252E-16"/>
    <n v="3.2946133904853907"/>
    <n v="934.80483267326747"/>
    <n v="1800"/>
    <x v="138"/>
    <s v="&lt;Клиент не выбран&gt;"/>
    <s v="2023 03"/>
    <n v="865.19516732673253"/>
    <n v="0.92553561672603712"/>
  </r>
  <r>
    <s v="922800616"/>
    <s v="1Z58FA050346286360"/>
    <s v="iHerb_MH DLE7202"/>
    <s v="Доставлен"/>
    <d v="2023-01-03T00:00:00"/>
    <x v="7"/>
    <s v="Витамины"/>
    <s v="CEN-27387"/>
    <x v="2"/>
    <x v="23"/>
    <n v="17.5"/>
    <n v="-1.75"/>
    <n v="-0.55228960396039606"/>
    <n v="1.8467076053170921E-15"/>
    <n v="6.177400107160107"/>
    <n v="1752.7590612623765"/>
    <n v="3200"/>
    <x v="172"/>
    <s v="&lt;Клиент не выбран&gt;"/>
    <s v="2023 03"/>
    <n v="1447.2409387376235"/>
    <n v="0.82569302919209453"/>
  </r>
  <r>
    <s v="922800616"/>
    <s v="1Z58FA050346286360"/>
    <s v="iHerb_MH DLE7202"/>
    <s v="Доставлен"/>
    <d v="2023-01-03T00:00:00"/>
    <x v="7"/>
    <s v="Витамины"/>
    <s v="NWY-11750"/>
    <x v="16"/>
    <x v="98"/>
    <n v="8"/>
    <n v="-0.8"/>
    <n v="-0.25247524752475253"/>
    <n v="8.4420919100209929E-16"/>
    <n v="2.8239543347017633"/>
    <n v="801.26128514851496"/>
    <n v="801.26"/>
    <x v="135"/>
    <s v="&lt;Клиент не выбран&gt;"/>
    <s v="2023 02"/>
    <n v="-1.2851485149667496E-3"/>
    <n v="-1.6039069137460516E-6"/>
  </r>
  <r>
    <s v="922800616"/>
    <s v="1Z58FA050346286360"/>
    <s v="iHerb_MH DLE7202"/>
    <s v="Доставлен"/>
    <d v="2023-01-03T00:00:00"/>
    <x v="7"/>
    <s v="Витамины"/>
    <s v="NOW-03878"/>
    <x v="3"/>
    <x v="287"/>
    <n v="18.690000000000001"/>
    <n v="-1.87"/>
    <n v="-0.58981023102310237"/>
    <n v="1.9721664712021263E-15"/>
    <n v="6.5970710985671737"/>
    <n v="1871.8353911386143"/>
    <n v="2500"/>
    <x v="134"/>
    <s v="&lt;Клиент не выбран&gt;"/>
    <s v="2023 03"/>
    <n v="628.16460886138566"/>
    <n v="0.33558752646475015"/>
  </r>
  <r>
    <s v="922800616"/>
    <s v="1Z58FA050346286360"/>
    <s v="iHerb_MH DLE7202"/>
    <s v="Доставлен"/>
    <d v="2023-01-03T00:00:00"/>
    <x v="7"/>
    <s v="Витамины"/>
    <s v="NOW-01652"/>
    <x v="3"/>
    <x v="37"/>
    <n v="12.14"/>
    <n v="-2.4300000000000002"/>
    <n v="-0.34049092409240933"/>
    <n v="1.1385098950875536E-15"/>
    <n v="3.808416193049184"/>
    <n v="1080.5898720544558"/>
    <n v="2000"/>
    <x v="173"/>
    <s v="&lt;Клиент не выбран&gt;"/>
    <s v="2023 03"/>
    <n v="919.41012794554422"/>
    <n v="0.85084096355403471"/>
  </r>
  <r>
    <s v="922800616"/>
    <s v="1Z58FA050346286360"/>
    <s v="iHerb_MH DLE7202"/>
    <s v="Доставлен"/>
    <d v="2023-01-03T00:00:00"/>
    <x v="7"/>
    <s v="Витамины"/>
    <s v="CGN-01330"/>
    <x v="1"/>
    <x v="89"/>
    <n v="15"/>
    <n v="-4.5"/>
    <n v="-0.36819306930693074"/>
    <n v="1.2311384035447282E-15"/>
    <n v="4.1182667381067386"/>
    <n v="1168.5060408415843"/>
    <n v="2300"/>
    <x v="103"/>
    <s v="&lt;Клиент не выбран&gt;"/>
    <s v="2023 03"/>
    <n v="1131.4939591584157"/>
    <n v="0.96832529709772686"/>
  </r>
  <r>
    <s v="922800616"/>
    <s v="1Z58FA050346286360"/>
    <s v="iHerb_MH DLE7202"/>
    <s v="Доставлен"/>
    <d v="2023-01-03T00:00:00"/>
    <x v="7"/>
    <s v="Витамины"/>
    <s v="NOW-01662"/>
    <x v="3"/>
    <x v="122"/>
    <n v="24.51"/>
    <n v="-2.4500000000000002"/>
    <n v="-0.77355610561056121"/>
    <n v="2.58656316020921E-15"/>
    <n v="8.6522823088223468"/>
    <n v="2454.9755486633671"/>
    <n v="3300"/>
    <x v="134"/>
    <s v="&lt;Клиент не выбран&gt;"/>
    <s v="2023 03"/>
    <n v="845.02445133663286"/>
    <n v="0.34420890741527499"/>
  </r>
  <r>
    <s v="922800616"/>
    <s v="1Z58FA050346286360"/>
    <s v="iHerb_MH DLE7202"/>
    <s v="Доставлен"/>
    <d v="2023-01-03T00:00:00"/>
    <x v="7"/>
    <s v="Витамины"/>
    <s v="NFS-01630"/>
    <x v="23"/>
    <x v="250"/>
    <n v="5.24"/>
    <n v="-0.52"/>
    <n v="-0.16551155115511554"/>
    <n v="5.534260252124874E-16"/>
    <n v="1.851258952748934"/>
    <n v="525.27128693069324"/>
    <n v="900"/>
    <x v="103"/>
    <s v="&lt;Клиент не выбран&gt;"/>
    <s v="2023 03"/>
    <n v="374.72871306930676"/>
    <n v="0.71340033691723614"/>
  </r>
  <r>
    <s v="922800616"/>
    <s v="1Z58FA050346286360"/>
    <s v="iHerb_MH DLE7202"/>
    <s v="Доставлен"/>
    <d v="2023-01-03T00:00:00"/>
    <x v="7"/>
    <s v="Витамины"/>
    <s v="NOW-02313"/>
    <x v="3"/>
    <x v="87"/>
    <n v="14.95"/>
    <n v="-1.5"/>
    <n v="-0.47163778877887791"/>
    <n v="1.5770296693025327E-15"/>
    <n v="5.2753035835748214"/>
    <n v="1496.8005951732673"/>
    <n v="2400"/>
    <x v="124"/>
    <s v="&lt;Клиент не выбран&gt;"/>
    <s v="2023 03"/>
    <n v="903.19940482673269"/>
    <n v="0.60341999311015759"/>
  </r>
  <r>
    <s v="922800616"/>
    <s v="1Z58FA050346286360"/>
    <s v="iHerb_MH DLE7202"/>
    <s v="Доставлен"/>
    <d v="2023-01-03T00:00:00"/>
    <x v="7"/>
    <s v="Витамины"/>
    <s v="NOW-00372"/>
    <x v="3"/>
    <x v="13"/>
    <n v="6.48"/>
    <n v="-1.94"/>
    <n v="-0.15919966996699675"/>
    <n v="5.323207954374349E-16"/>
    <n v="1.7806600943813902"/>
    <n v="505.23975480198038"/>
    <n v="1000"/>
    <x v="101"/>
    <s v="&lt;Клиент не выбран&gt;"/>
    <s v="2023 02"/>
    <n v="494.76024519801962"/>
    <n v="0.97925834318388505"/>
  </r>
  <r>
    <s v="OZA0028"/>
    <n v="0"/>
    <s v="OZON_AV"/>
    <s v="Доставлен"/>
    <d v="2022-12-31T00:00:00"/>
    <x v="6"/>
    <s v="Косметика"/>
    <s v="XXXXXX019"/>
    <x v="78"/>
    <x v="288"/>
    <n v="1185"/>
    <m/>
    <n v="0"/>
    <n v="0"/>
    <n v="177.75"/>
    <n v="1362.75"/>
    <n v="1500"/>
    <x v="68"/>
    <s v="&lt;Клиент не выбран&gt;"/>
    <s v="2023 01"/>
    <n v="137.25"/>
    <n v="0.10071546505228399"/>
  </r>
  <r>
    <s v="OZA0029"/>
    <n v="0"/>
    <s v="OZON_AV"/>
    <s v="Доставлен"/>
    <d v="2023-01-04T00:00:00"/>
    <x v="7"/>
    <s v="Спортпит"/>
    <s v="626525244"/>
    <x v="86"/>
    <x v="289"/>
    <n v="508"/>
    <m/>
    <n v="0"/>
    <n v="0"/>
    <n v="76.2"/>
    <n v="584.20000000000005"/>
    <n v="1200"/>
    <x v="120"/>
    <s v="&lt;Клиент не выбран&gt;"/>
    <s v="2023 01"/>
    <n v="615.79999999999995"/>
    <n v="1.0540910647038684"/>
  </r>
  <r>
    <s v="OZA0029"/>
    <n v="0"/>
    <s v="OZON_AV"/>
    <s v="Доставлен"/>
    <d v="2023-01-04T00:00:00"/>
    <x v="7"/>
    <s v="Спортпит"/>
    <s v="626525244"/>
    <x v="86"/>
    <x v="289"/>
    <n v="508"/>
    <m/>
    <n v="0"/>
    <n v="0"/>
    <n v="76.2"/>
    <n v="584.20000000000005"/>
    <n v="1200"/>
    <x v="120"/>
    <s v="&lt;Клиент не выбран&gt;"/>
    <s v="2023 01"/>
    <n v="615.79999999999995"/>
    <n v="1.0540910647038684"/>
  </r>
  <r>
    <s v="OZA0029"/>
    <n v="0"/>
    <s v="OZON_AV"/>
    <s v="Доставлен"/>
    <d v="2023-01-04T00:00:00"/>
    <x v="7"/>
    <s v="Спортпит"/>
    <s v="626525244"/>
    <x v="86"/>
    <x v="289"/>
    <n v="508"/>
    <m/>
    <n v="0"/>
    <n v="0"/>
    <n v="76.2"/>
    <n v="584.20000000000005"/>
    <n v="1200"/>
    <x v="120"/>
    <s v="&lt;Клиент не выбран&gt;"/>
    <s v="2023 01"/>
    <n v="615.79999999999995"/>
    <n v="1.0540910647038684"/>
  </r>
  <r>
    <s v="OZA0029"/>
    <n v="0"/>
    <s v="OZON_AV"/>
    <s v="Доставлен"/>
    <d v="2023-01-04T00:00:00"/>
    <x v="7"/>
    <s v="Спортпит"/>
    <s v="626772971"/>
    <x v="86"/>
    <x v="290"/>
    <n v="508"/>
    <m/>
    <n v="0"/>
    <n v="0"/>
    <n v="76.2"/>
    <n v="584.20000000000005"/>
    <n v="1200"/>
    <x v="120"/>
    <s v="&lt;Клиент не выбран&gt;"/>
    <s v="2023 01"/>
    <n v="615.79999999999995"/>
    <n v="1.0540910647038684"/>
  </r>
  <r>
    <s v="OZA0029"/>
    <n v="0"/>
    <s v="OZON_AV"/>
    <s v="Доставлен"/>
    <d v="2023-01-04T00:00:00"/>
    <x v="7"/>
    <s v="Спортпит"/>
    <s v="313159974"/>
    <x v="39"/>
    <x v="291"/>
    <n v="706"/>
    <m/>
    <n v="0"/>
    <n v="0"/>
    <n v="105.9"/>
    <n v="811.9"/>
    <n v="1400"/>
    <x v="109"/>
    <s v="&lt;Клиент не выбран&gt;"/>
    <s v="2023 01"/>
    <n v="588.1"/>
    <n v="0.72435028944451296"/>
  </r>
  <r>
    <s v="OZA0030"/>
    <n v="0"/>
    <s v="OZON_AV"/>
    <s v="Доставлен"/>
    <d v="2023-01-05T00:00:00"/>
    <x v="7"/>
    <s v="Спортпит"/>
    <s v="531378517"/>
    <x v="87"/>
    <x v="292"/>
    <n v="730"/>
    <m/>
    <n v="0"/>
    <n v="0"/>
    <n v="109.5"/>
    <n v="839.5"/>
    <n v="1800"/>
    <x v="120"/>
    <s v="&lt;Клиент не выбран&gt;"/>
    <s v="2023 01"/>
    <n v="960.5"/>
    <n v="1.1441334127456819"/>
  </r>
  <r>
    <s v="OZA0031"/>
    <n v="0"/>
    <s v="OZON_AV"/>
    <s v="Доставлен"/>
    <d v="2023-01-05T00:00:00"/>
    <x v="7"/>
    <s v="Спортпит"/>
    <s v="170918388"/>
    <x v="40"/>
    <x v="293"/>
    <n v="992"/>
    <m/>
    <n v="0"/>
    <n v="0"/>
    <n v="148.79999999999998"/>
    <n v="1140.8"/>
    <n v="1600"/>
    <x v="109"/>
    <s v="&lt;Клиент не выбран&gt;"/>
    <s v="2023 01"/>
    <n v="459.20000000000005"/>
    <n v="0.40252454417952321"/>
  </r>
  <r>
    <s v="OZA0031"/>
    <n v="0"/>
    <s v="OZON_AV"/>
    <s v="Доставлен"/>
    <d v="2023-01-05T00:00:00"/>
    <x v="7"/>
    <s v="Спортпит"/>
    <s v="170918388"/>
    <x v="40"/>
    <x v="293"/>
    <n v="992"/>
    <m/>
    <n v="0"/>
    <n v="0"/>
    <n v="148.79999999999998"/>
    <n v="1140.8"/>
    <n v="1600"/>
    <x v="111"/>
    <s v="&lt;Клиент не выбран&gt;"/>
    <s v="2023 01"/>
    <n v="459.20000000000005"/>
    <n v="0.40252454417952321"/>
  </r>
  <r>
    <s v="WB0002"/>
    <n v="0"/>
    <s v="WBRS"/>
    <s v="Доставлен"/>
    <d v="2022-12-25T00:00:00"/>
    <x v="6"/>
    <s v="Витамины"/>
    <s v="026995436"/>
    <x v="57"/>
    <x v="208"/>
    <n v="768"/>
    <m/>
    <n v="0"/>
    <n v="0"/>
    <n v="115.19999999999999"/>
    <n v="883.2"/>
    <n v="1700"/>
    <x v="111"/>
    <s v="&lt;Клиент не выбран&gt;"/>
    <s v="2023 01"/>
    <n v="816.8"/>
    <n v="0.92481884057971009"/>
  </r>
  <r>
    <s v="WB0002"/>
    <n v="0"/>
    <s v="WBRS"/>
    <s v="Доставлен"/>
    <d v="2022-12-25T00:00:00"/>
    <x v="6"/>
    <s v="Витамины"/>
    <s v="026995436"/>
    <x v="57"/>
    <x v="208"/>
    <n v="768"/>
    <m/>
    <n v="0"/>
    <n v="0"/>
    <n v="115.19999999999999"/>
    <n v="883.2"/>
    <n v="883.2"/>
    <x v="186"/>
    <s v="&lt;Клиент не выбран&gt;"/>
    <s v="2024 12"/>
    <n v="0"/>
    <n v="0"/>
  </r>
  <r>
    <s v="WB0003"/>
    <n v="0"/>
    <s v="WBRS"/>
    <s v="Доставлен"/>
    <d v="2023-01-09T00:00:00"/>
    <x v="7"/>
    <s v="Косметика"/>
    <s v="065844364"/>
    <x v="88"/>
    <x v="294"/>
    <n v="698"/>
    <m/>
    <n v="0"/>
    <n v="0"/>
    <n v="104.7"/>
    <n v="802.7"/>
    <n v="802.7"/>
    <x v="187"/>
    <s v="&lt;Клиент не выбран&gt;"/>
    <s v="2023 01"/>
    <n v="0"/>
    <n v="0"/>
  </r>
  <r>
    <s v="922851458"/>
    <s v="1Z58FA050346373999"/>
    <s v="iHerb_AV CYG0792"/>
    <s v="Доставлен"/>
    <d v="2023-01-07T00:00:00"/>
    <x v="7"/>
    <s v="Витамины"/>
    <s v="SWV-01031"/>
    <x v="89"/>
    <x v="295"/>
    <n v="6.99"/>
    <n v="-1.4"/>
    <n v="-0.10673361849854318"/>
    <n v="9.8491944526661974E-16"/>
    <n v="1.7783675523017091"/>
    <n v="595.45398257185957"/>
    <n v="1500"/>
    <x v="188"/>
    <s v="&lt;Клиент не выбран&gt;"/>
    <s v="2024 04"/>
    <n v="904.54601742814043"/>
    <n v="1.5190863507558781"/>
  </r>
  <r>
    <s v="922851458"/>
    <s v="1Z58FA050346373999"/>
    <s v="iHerb_AV CYG0792"/>
    <s v="Доставлен"/>
    <d v="2023-01-07T00:00:00"/>
    <x v="7"/>
    <s v="Витамины"/>
    <s v="NFS-04508"/>
    <x v="23"/>
    <x v="296"/>
    <n v="13.27"/>
    <n v="-1.33"/>
    <n v="-0.22797842663195092"/>
    <n v="2.1037456487448011E-15"/>
    <n v="3.7985167396211819"/>
    <n v="1271.8641416651169"/>
    <n v="1700"/>
    <x v="154"/>
    <s v="&lt;Клиент не выбран&gt;"/>
    <s v="2023 03"/>
    <n v="428.1358583348831"/>
    <n v="0.33662074769587436"/>
  </r>
  <r>
    <s v="922851458"/>
    <s v="1Z58FA050346373999"/>
    <s v="iHerb_AV CYG0792"/>
    <s v="Доставлен"/>
    <d v="2023-01-07T00:00:00"/>
    <x v="7"/>
    <s v="Витамины"/>
    <s v="NOW-00372"/>
    <x v="3"/>
    <x v="13"/>
    <n v="6.48"/>
    <n v="-1.3"/>
    <n v="-9.890521356394523E-2"/>
    <n v="9.1268027307354036E-16"/>
    <n v="1.6479327228842315"/>
    <n v="551.78025576426353"/>
    <n v="1000"/>
    <x v="103"/>
    <s v="&lt;Клиент не выбран&gt;"/>
    <s v="2023 03"/>
    <n v="448.21974423573647"/>
    <n v="0.81231566289901624"/>
  </r>
  <r>
    <s v="922851458"/>
    <s v="1Z58FA050346373999"/>
    <s v="iHerb_AV CYG0792"/>
    <s v="Доставлен"/>
    <d v="2023-01-07T00:00:00"/>
    <x v="7"/>
    <s v="Витамины"/>
    <s v="NOB-27413"/>
    <x v="65"/>
    <x v="297"/>
    <n v="20.350000000000001"/>
    <n v="-10.17"/>
    <n v="-0.19437356642489623"/>
    <n v="1.7936457876232897E-15"/>
    <n v="3.2386013743168873"/>
    <n v="1084.3866802471434"/>
    <n v="2500"/>
    <x v="189"/>
    <s v="&lt;Клиент не выбран&gt;"/>
    <s v="2023 04"/>
    <n v="1415.6133197528566"/>
    <n v="1.3054506713695737"/>
  </r>
  <r>
    <s v="922851458"/>
    <s v="1Z58FA050346373999"/>
    <s v="iHerb_AV CYG0792"/>
    <s v="Доставлен"/>
    <d v="2023-01-07T00:00:00"/>
    <x v="7"/>
    <s v="Спортпит"/>
    <s v="NRX-00071"/>
    <x v="53"/>
    <x v="298"/>
    <n v="24.97"/>
    <n v="-4.99"/>
    <n v="-0.38149153803236002"/>
    <n v="3.5203381961407976E-15"/>
    <n v="6.3563119311248908"/>
    <n v="2128.2952722335876"/>
    <n v="3200"/>
    <x v="189"/>
    <s v="&lt;Клиент не выбран&gt;"/>
    <s v="2023 04"/>
    <n v="1071.7047277664124"/>
    <n v="0.5035507721828878"/>
  </r>
  <r>
    <s v="922851458"/>
    <s v="1Z58FA050346373999"/>
    <s v="iHerb_AV CYG0792"/>
    <s v="Доставлен"/>
    <d v="2023-01-07T00:00:00"/>
    <x v="7"/>
    <s v="Витамины"/>
    <s v="NWY-03502"/>
    <x v="16"/>
    <x v="74"/>
    <n v="13.6"/>
    <n v="-1.36"/>
    <n v="-0.23370652780360804"/>
    <n v="2.1566035796177864E-15"/>
    <n v="3.8939568587071411"/>
    <n v="1303.8205271340898"/>
    <n v="2200"/>
    <x v="64"/>
    <s v="&lt;Клиент не выбран&gt;"/>
    <s v="2023 02"/>
    <n v="896.17947286591016"/>
    <n v="0.68734879856186193"/>
  </r>
  <r>
    <s v="922851458"/>
    <s v="1Z58FA050346373999"/>
    <s v="iHerb_AV CYG0792"/>
    <s v="Доставлен"/>
    <d v="2023-01-07T00:00:00"/>
    <x v="7"/>
    <s v="Витамины"/>
    <s v="SWV-02990"/>
    <x v="89"/>
    <x v="299"/>
    <n v="9.89"/>
    <n v="-1.98"/>
    <n v="-0.15103093422602445"/>
    <n v="1.3936874440177033E-15"/>
    <n v="2.5164378065664619"/>
    <n v="842.58336353191612"/>
    <n v="1000"/>
    <x v="162"/>
    <s v="&lt;Клиент не выбран&gt;"/>
    <s v="2023 03"/>
    <n v="157.41663646808388"/>
    <n v="0.18682618632324932"/>
  </r>
  <r>
    <s v="922851458"/>
    <s v="1Z58FA050346373999"/>
    <s v="iHerb_AV CYG0792"/>
    <s v="Доставлен"/>
    <d v="2023-01-07T00:00:00"/>
    <x v="7"/>
    <s v="Витамины"/>
    <s v="LKN-01542"/>
    <x v="90"/>
    <x v="300"/>
    <n v="12"/>
    <n v="-3.6"/>
    <n v="-0.16038683280639768"/>
    <n v="1.4800220644435789E-15"/>
    <n v="2.6723233344068618"/>
    <n v="894.77879313123833"/>
    <n v="1900"/>
    <x v="134"/>
    <s v="&lt;Клиент не выбран&gt;"/>
    <s v="2023 03"/>
    <n v="1005.2212068687617"/>
    <n v="1.1234298516966803"/>
  </r>
  <r>
    <s v="922851458"/>
    <s v="1Z58FA050346373999"/>
    <s v="iHerb_AV CYG0792"/>
    <s v="Доставлен"/>
    <d v="2023-01-07T00:00:00"/>
    <x v="7"/>
    <s v="Витамины"/>
    <s v="HYX-60884"/>
    <x v="91"/>
    <x v="301"/>
    <n v="22.91"/>
    <n v="-4.58"/>
    <n v="-0.34998698158824626"/>
    <n v="3.2296195763393808E-15"/>
    <n v="5.8313912761521154"/>
    <n v="1952.5351521542375"/>
    <n v="3200"/>
    <x v="28"/>
    <s v="&lt;Клиент не выбран&gt;"/>
    <s v="2023 03"/>
    <n v="1247.4648478457625"/>
    <n v="0.63889494971162542"/>
  </r>
  <r>
    <s v="922851458"/>
    <s v="1Z58FA050346373999"/>
    <s v="iHerb_AV CYG0792"/>
    <s v="Доставлен"/>
    <d v="2023-01-07T00:00:00"/>
    <x v="7"/>
    <s v="Витамины"/>
    <s v="SWV-01923"/>
    <x v="89"/>
    <x v="302"/>
    <n v="4.3899999999999997"/>
    <n v="-0.88"/>
    <n v="-6.7018783708387597E-2"/>
    <n v="6.1843779121392396E-16"/>
    <n v="1.1166493933057242"/>
    <n v="373.88970998698159"/>
    <n v="1200"/>
    <x v="86"/>
    <s v="&lt;Клиент не выбран&gt;"/>
    <s v="2023 02"/>
    <n v="826.11029001301836"/>
    <n v="2.2095026098519335"/>
  </r>
  <r>
    <s v="922851458"/>
    <s v="1Z58FA050346373999"/>
    <s v="iHerb_AV CYG0792"/>
    <s v="Доставлен"/>
    <d v="2023-01-07T00:00:00"/>
    <x v="7"/>
    <s v="Спортпит"/>
    <s v="NOB-27406"/>
    <x v="65"/>
    <x v="180"/>
    <n v="19.350000000000001"/>
    <n v="-1.94"/>
    <n v="-0.33242080466183133"/>
    <n v="3.0675219216622272E-15"/>
    <n v="5.5387082442885074"/>
    <n v="1854.5355700493876"/>
    <n v="2600"/>
    <x v="28"/>
    <s v="&lt;Клиент не выбран&gt;"/>
    <s v="2023 03"/>
    <n v="745.46442995061238"/>
    <n v="0.40196825662975022"/>
  </r>
  <r>
    <s v="922851458"/>
    <s v="1Z58FA050346373999"/>
    <s v="iHerb_AV CYG0792"/>
    <s v="Доставлен"/>
    <d v="2023-01-07T00:00:00"/>
    <x v="7"/>
    <s v="Витамины"/>
    <s v="CGN-01842"/>
    <x v="1"/>
    <x v="137"/>
    <n v="6"/>
    <n v="-3"/>
    <n v="-5.7281011716570587E-2"/>
    <n v="5.2857930872984956E-16"/>
    <n v="0.9544011908595933"/>
    <n v="319.56385468972792"/>
    <n v="1200"/>
    <x v="190"/>
    <s v="&lt;Клиент не выбран&gt;"/>
    <s v="2024 02"/>
    <n v="880.43614531027208"/>
    <n v="2.7551180535267616"/>
  </r>
  <r>
    <s v="922851458"/>
    <s v="1Z58FA050346373999"/>
    <s v="iHerb_AV CYG0792"/>
    <s v="Доставлен"/>
    <d v="2023-01-07T00:00:00"/>
    <x v="7"/>
    <s v="Витамины"/>
    <s v="DRB-00277"/>
    <x v="6"/>
    <x v="132"/>
    <n v="20.52"/>
    <n v="-2.0499999999999998"/>
    <n v="-0.35266009546835292"/>
    <n v="3.2542866107467737E-15"/>
    <n v="5.8759299983922304"/>
    <n v="1967.4481320397583"/>
    <n v="3100"/>
    <x v="191"/>
    <s v="&lt;Клиент не выбран&gt;"/>
    <s v="2023 04"/>
    <n v="1132.5518679602417"/>
    <n v="0.57564509555129406"/>
  </r>
  <r>
    <s v="922851458"/>
    <s v="1Z58FA050346373999"/>
    <s v="iHerb_AV CYG0792"/>
    <s v="Доставлен"/>
    <d v="2023-01-07T00:00:00"/>
    <x v="7"/>
    <s v="Витамины"/>
    <s v="CEN-21368"/>
    <x v="2"/>
    <x v="303"/>
    <n v="3.59"/>
    <n v="-0.36"/>
    <n v="-6.1672555948174328E-2"/>
    <n v="5.6910372239913806E-16"/>
    <n v="1.0275719488254957"/>
    <n v="344.06375021594039"/>
    <n v="900"/>
    <x v="138"/>
    <s v="&lt;Клиент не выбран&gt;"/>
    <s v="2023 03"/>
    <n v="555.93624978405956"/>
    <n v="1.6157943097322642"/>
  </r>
  <r>
    <s v="922851458"/>
    <s v="1Z58FA050346373999"/>
    <s v="iHerb_AV CYG0792"/>
    <s v="Доставлен"/>
    <d v="2023-01-07T00:00:00"/>
    <x v="7"/>
    <s v="Витамины"/>
    <s v="NOW-01652"/>
    <x v="3"/>
    <x v="37"/>
    <n v="12.14"/>
    <n v="-2.4300000000000002"/>
    <n v="-0.18539954125596683"/>
    <n v="1.7108350292556132E-15"/>
    <n v="3.0890785210822176"/>
    <n v="1034.3216763457528"/>
    <n v="1700"/>
    <x v="6"/>
    <s v="&lt;Клиент не выбран&gt;"/>
    <s v="2023 05"/>
    <n v="665.67832365424715"/>
    <n v="0.64358926132736716"/>
  </r>
  <r>
    <s v="922851458"/>
    <s v="1Z58FA050346373999"/>
    <s v="iHerb_AV CYG0792"/>
    <s v="Доставлен"/>
    <d v="2023-01-07T00:00:00"/>
    <x v="7"/>
    <s v="Витамины"/>
    <s v="NOW-02210"/>
    <x v="3"/>
    <x v="304"/>
    <n v="6.92"/>
    <n v="-0.69"/>
    <n v="-0.11895356766474494"/>
    <n v="1.0976830311289877E-15"/>
    <n v="1.9819731396850893"/>
    <n v="663.62760490566836"/>
    <n v="1500"/>
    <x v="192"/>
    <s v="&lt;Клиент не выбран&gt;"/>
    <s v="2023 05"/>
    <n v="836.37239509433164"/>
    <n v="1.2603038042897841"/>
  </r>
  <r>
    <s v="РО06"/>
    <n v="0"/>
    <s v="Roman"/>
    <s v="Доставлен"/>
    <d v="2023-01-12T00:00:00"/>
    <x v="7"/>
    <s v="Витамины"/>
    <s v="CGN-01033"/>
    <x v="1"/>
    <x v="1"/>
    <n v="914.2"/>
    <m/>
    <n v="0"/>
    <n v="-2.3502995319058866"/>
    <n v="0"/>
    <n v="911.84970046809417"/>
    <n v="2300"/>
    <x v="154"/>
    <s v="&lt;Клиент не выбран&gt;"/>
    <s v="2023 03"/>
    <n v="1388.1502995319058"/>
    <n v="1.5223455124449838"/>
  </r>
  <r>
    <s v="РО06"/>
    <n v="0"/>
    <s v="Roman"/>
    <s v="Доставлен"/>
    <d v="2023-01-12T00:00:00"/>
    <x v="7"/>
    <s v="Витамины"/>
    <s v="CGN-01033"/>
    <x v="1"/>
    <x v="1"/>
    <n v="914.2"/>
    <m/>
    <n v="0"/>
    <n v="-2.3502995319058866"/>
    <n v="0"/>
    <n v="911.84970046809417"/>
    <n v="2200"/>
    <x v="193"/>
    <s v="&lt;Клиент не выбран&gt;"/>
    <s v="2023 03"/>
    <n v="1288.1502995319058"/>
    <n v="1.4126783162517236"/>
  </r>
  <r>
    <s v="РО06"/>
    <n v="0"/>
    <s v="Roman"/>
    <s v="Доставлен"/>
    <d v="2023-01-12T00:00:00"/>
    <x v="7"/>
    <s v="Витамины"/>
    <s v="CGN-01033"/>
    <x v="1"/>
    <x v="1"/>
    <n v="914.2"/>
    <m/>
    <n v="0"/>
    <n v="-2.3502995319058866"/>
    <n v="0"/>
    <n v="911.84970046809417"/>
    <n v="2300"/>
    <x v="173"/>
    <s v="&lt;Клиент не выбран&gt;"/>
    <s v="2023 03"/>
    <n v="1388.1502995319058"/>
    <n v="1.5223455124449838"/>
  </r>
  <r>
    <s v="РО06"/>
    <n v="0"/>
    <s v="Roman"/>
    <s v="Доставлен"/>
    <d v="2023-01-12T00:00:00"/>
    <x v="7"/>
    <s v="Витамины"/>
    <s v="CGN-01033"/>
    <x v="1"/>
    <x v="1"/>
    <n v="914.2"/>
    <m/>
    <n v="0"/>
    <n v="-2.3502995319058866"/>
    <n v="0"/>
    <n v="911.84970046809417"/>
    <n v="2300"/>
    <x v="173"/>
    <s v="&lt;Клиент не выбран&gt;"/>
    <s v="2023 03"/>
    <n v="1388.1502995319058"/>
    <n v="1.5223455124449838"/>
  </r>
  <r>
    <s v="РО06"/>
    <n v="0"/>
    <s v="Roman"/>
    <s v="Доставлен"/>
    <d v="2023-01-12T00:00:00"/>
    <x v="7"/>
    <s v="Витамины"/>
    <s v="CGN-01033"/>
    <x v="1"/>
    <x v="1"/>
    <n v="914.2"/>
    <m/>
    <n v="0"/>
    <n v="-2.3502995319058866"/>
    <n v="0"/>
    <n v="911.84970046809417"/>
    <n v="2300"/>
    <x v="157"/>
    <s v="&lt;Клиент не выбран&gt;"/>
    <s v="2023 04"/>
    <n v="1388.1502995319058"/>
    <n v="1.5223455124449838"/>
  </r>
  <r>
    <s v="РО06"/>
    <n v="0"/>
    <s v="Roman"/>
    <s v="Доставлен"/>
    <d v="2023-01-12T00:00:00"/>
    <x v="7"/>
    <s v="Витамины"/>
    <s v="CGN-01065"/>
    <x v="1"/>
    <x v="14"/>
    <n v="100"/>
    <m/>
    <n v="0"/>
    <n v="-0.25708811331282944"/>
    <n v="0"/>
    <n v="99.742911886687168"/>
    <n v="700"/>
    <x v="68"/>
    <s v="&lt;Клиент не выбран&gt;"/>
    <s v="2023 01"/>
    <n v="600.25708811331288"/>
    <n v="6.0180425531914921"/>
  </r>
  <r>
    <s v="РО06"/>
    <n v="0"/>
    <s v="Roman"/>
    <s v="Доставлен"/>
    <d v="2023-01-12T00:00:00"/>
    <x v="7"/>
    <s v="Витамины"/>
    <s v="CGN-01065"/>
    <x v="1"/>
    <x v="14"/>
    <n v="100"/>
    <m/>
    <n v="0"/>
    <n v="-0.25708811331282944"/>
    <n v="0"/>
    <n v="99.742911886687168"/>
    <n v="800"/>
    <x v="101"/>
    <s v="&lt;Клиент не выбран&gt;"/>
    <s v="2023 02"/>
    <n v="700.25708811331288"/>
    <n v="7.0206200607902769"/>
  </r>
  <r>
    <s v="РО06"/>
    <n v="0"/>
    <s v="Roman"/>
    <s v="Доставлен"/>
    <d v="2023-01-12T00:00:00"/>
    <x v="7"/>
    <s v="Витамины"/>
    <s v="CGN-01065"/>
    <x v="1"/>
    <x v="14"/>
    <n v="100"/>
    <m/>
    <n v="0"/>
    <n v="-0.25708811331282944"/>
    <n v="0"/>
    <n v="99.742911886687168"/>
    <n v="800"/>
    <x v="54"/>
    <s v="&lt;Клиент не выбран&gt;"/>
    <s v="2023 04"/>
    <n v="700.25708811331288"/>
    <n v="7.0206200607902769"/>
  </r>
  <r>
    <s v="РО06"/>
    <n v="0"/>
    <s v="Roman"/>
    <s v="Доставлен"/>
    <d v="2023-01-12T00:00:00"/>
    <x v="7"/>
    <s v="Витамины"/>
    <s v="NBC-01016"/>
    <x v="8"/>
    <x v="97"/>
    <n v="420"/>
    <m/>
    <n v="0"/>
    <n v="-1.0797700759138835"/>
    <n v="0"/>
    <n v="418.92022992408613"/>
    <n v="1200"/>
    <x v="111"/>
    <s v="&lt;Клиент не выбран&gt;"/>
    <s v="2023 01"/>
    <n v="781.07977007591387"/>
    <n v="1.8645071645679556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22"/>
    <s v="&lt;Клиент не выбран&gt;"/>
    <s v="2023 02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54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6"/>
    <x v="84"/>
    <x v="263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22"/>
    <s v="&lt;Клиент не выбран&gt;"/>
    <s v="2023 02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03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03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69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54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54"/>
    <s v="&lt;Клиент не выбран&gt;"/>
    <s v="2023 03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54"/>
    <s v="&lt;Клиент не выбран&gt;"/>
    <s v="2023 04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54"/>
    <s v="&lt;Клиент не выбран&gt;"/>
    <s v="2023 04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54"/>
    <s v="&lt;Клиент не выбран&gt;"/>
    <s v="2023 04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54"/>
    <s v="&lt;Клиент не выбран&gt;"/>
    <s v="2023 04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n v="75"/>
    <x v="194"/>
    <s v="&lt;Клиент не выбран&gt;"/>
    <s v="2023 05"/>
    <n v="47.071984671727591"/>
    <n v="1.6854754667824585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Косметика"/>
    <s v="XXXXXX017"/>
    <x v="84"/>
    <x v="264"/>
    <n v="28"/>
    <m/>
    <n v="0"/>
    <n v="-7.1984671727592237E-2"/>
    <n v="0"/>
    <n v="27.928015328272409"/>
    <m/>
    <x v="20"/>
    <m/>
    <s v=""/>
    <n v="-27.928015328272409"/>
    <s v=""/>
  </r>
  <r>
    <s v="РО06"/>
    <n v="0"/>
    <s v="Roman"/>
    <s v="Доставлен"/>
    <d v="2023-01-12T00:00:00"/>
    <x v="7"/>
    <s v="Витамины"/>
    <s v="MLI-00952"/>
    <x v="1"/>
    <x v="7"/>
    <n v="350"/>
    <m/>
    <n v="0"/>
    <n v="-0.89980839659490297"/>
    <n v="0"/>
    <n v="349.10019160340511"/>
    <n v="1200"/>
    <x v="99"/>
    <s v="&lt;Клиент не выбран&gt;"/>
    <s v="2023 01"/>
    <n v="850.89980839659484"/>
    <n v="2.4374085974815465"/>
  </r>
  <r>
    <s v="РО06"/>
    <n v="0"/>
    <s v="Roman"/>
    <s v="Доставлен"/>
    <d v="2023-01-12T00:00:00"/>
    <x v="7"/>
    <s v="Витамины"/>
    <s v="MLI-00952"/>
    <x v="1"/>
    <x v="7"/>
    <n v="350"/>
    <m/>
    <n v="0"/>
    <n v="-0.89980839659490297"/>
    <n v="0"/>
    <n v="349.10019160340511"/>
    <n v="1200"/>
    <x v="86"/>
    <s v="&lt;Клиент не выбран&gt;"/>
    <s v="2023 02"/>
    <n v="850.89980839659484"/>
    <n v="2.4374085974815465"/>
  </r>
  <r>
    <s v="РО06"/>
    <n v="0"/>
    <s v="Roman"/>
    <s v="Доставлен"/>
    <d v="2023-01-12T00:00:00"/>
    <x v="7"/>
    <s v="Витамины"/>
    <s v="MLI-00952"/>
    <x v="1"/>
    <x v="7"/>
    <n v="350"/>
    <m/>
    <n v="0"/>
    <n v="-0.89980839659490297"/>
    <n v="0"/>
    <n v="349.10019160340511"/>
    <n v="1200"/>
    <x v="161"/>
    <s v="&lt;Клиент не выбран&gt;"/>
    <s v="2023 03"/>
    <n v="850.89980839659484"/>
    <n v="2.4374085974815465"/>
  </r>
  <r>
    <s v="РО06"/>
    <n v="0"/>
    <s v="Roman"/>
    <s v="Доставлен"/>
    <d v="2023-01-12T00:00:00"/>
    <x v="7"/>
    <s v="Витамины"/>
    <s v="SOL-01736"/>
    <x v="19"/>
    <x v="139"/>
    <n v="1120"/>
    <m/>
    <n v="0"/>
    <n v="-2.8793868691036897"/>
    <n v="0"/>
    <n v="1117.1206131308963"/>
    <n v="3000"/>
    <x v="111"/>
    <s v="&lt;Клиент не выбран&gt;"/>
    <s v="2023 01"/>
    <n v="1882.8793868691037"/>
    <n v="1.6854754667824585"/>
  </r>
  <r>
    <s v="РО06"/>
    <n v="0"/>
    <s v="Roman"/>
    <s v="Доставлен"/>
    <d v="2023-01-12T00:00:00"/>
    <x v="7"/>
    <s v="Витамины"/>
    <s v="SOL-01736"/>
    <x v="19"/>
    <x v="139"/>
    <n v="1120"/>
    <m/>
    <n v="0"/>
    <n v="-2.8793868691036897"/>
    <n v="0"/>
    <n v="1117.1206131308963"/>
    <n v="3000"/>
    <x v="76"/>
    <s v="&lt;Клиент не выбран&gt;"/>
    <s v="2023 01"/>
    <n v="1882.8793868691037"/>
    <n v="1.6854754667824585"/>
  </r>
  <r>
    <s v="РО06"/>
    <n v="0"/>
    <s v="Roman"/>
    <s v="Доставлен"/>
    <d v="2023-01-12T00:00:00"/>
    <x v="7"/>
    <s v="Витамины"/>
    <s v="DRB-00091"/>
    <x v="6"/>
    <x v="16"/>
    <n v="546"/>
    <m/>
    <n v="0"/>
    <n v="-1.4037010986880487"/>
    <n v="0"/>
    <n v="544.59629890131191"/>
    <n v="1600"/>
    <x v="28"/>
    <s v="&lt;Клиент не выбран&gt;"/>
    <s v="2023 03"/>
    <n v="1055.4037010986881"/>
    <n v="1.9379560662235447"/>
  </r>
  <r>
    <s v="РО06"/>
    <n v="0"/>
    <s v="Roman"/>
    <s v="Доставлен"/>
    <d v="2023-01-12T00:00:00"/>
    <x v="7"/>
    <s v="Витамины"/>
    <s v="DRB-00091"/>
    <x v="6"/>
    <x v="16"/>
    <n v="546"/>
    <m/>
    <n v="0"/>
    <n v="-1.4037010986880487"/>
    <n v="0"/>
    <n v="544.59629890131191"/>
    <n v="1700"/>
    <x v="195"/>
    <s v="&lt;Клиент не выбран&gt;"/>
    <s v="2023 04"/>
    <n v="1155.4037010986881"/>
    <n v="2.121578320362516"/>
  </r>
  <r>
    <s v="РО06"/>
    <n v="0"/>
    <s v="Roman"/>
    <s v="Доставлен"/>
    <d v="2023-01-12T00:00:00"/>
    <x v="7"/>
    <s v="Витамины"/>
    <s v="CGN-00956"/>
    <x v="1"/>
    <x v="305"/>
    <n v="450.8"/>
    <m/>
    <n v="0"/>
    <n v="-1.1589532148142352"/>
    <n v="0"/>
    <n v="449.64104678518578"/>
    <n v="2000"/>
    <x v="184"/>
    <s v="&lt;Клиент не выбран&gt;"/>
    <s v="2023 02"/>
    <n v="1550.3589532148142"/>
    <n v="3.4479924915651483"/>
  </r>
  <r>
    <s v="РО06"/>
    <n v="0"/>
    <s v="Roman"/>
    <s v="Доставлен"/>
    <d v="2023-01-12T00:00:00"/>
    <x v="7"/>
    <s v="Витамины"/>
    <s v="NOW-01480"/>
    <x v="3"/>
    <x v="165"/>
    <n v="238"/>
    <m/>
    <n v="0"/>
    <n v="-0.61186970968453402"/>
    <n v="0"/>
    <n v="237.38813029031547"/>
    <n v="750"/>
    <x v="111"/>
    <s v="&lt;Клиент не выбран&gt;"/>
    <s v="2023 01"/>
    <n v="512.61186970968447"/>
    <n v="2.1593829020970094"/>
  </r>
  <r>
    <s v="РО06"/>
    <n v="0"/>
    <s v="Roman"/>
    <s v="Доставлен"/>
    <d v="2023-01-12T00:00:00"/>
    <x v="7"/>
    <s v="Витамины"/>
    <s v="NOW-01480"/>
    <x v="3"/>
    <x v="165"/>
    <n v="238"/>
    <m/>
    <n v="0"/>
    <n v="-0.61186970968453402"/>
    <n v="0"/>
    <n v="237.38813029031547"/>
    <n v="750"/>
    <x v="196"/>
    <s v="&lt;Клиент не выбран&gt;"/>
    <s v="2023 01"/>
    <n v="512.61186970968447"/>
    <n v="2.1593829020970094"/>
  </r>
  <r>
    <s v="РО06"/>
    <n v="0"/>
    <s v="Roman"/>
    <s v="Доставлен"/>
    <d v="2023-01-12T00:00:00"/>
    <x v="7"/>
    <s v="Витамины"/>
    <s v="NOW-03170"/>
    <x v="3"/>
    <x v="306"/>
    <n v="826"/>
    <m/>
    <n v="0"/>
    <n v="-2.1235478159639709"/>
    <n v="0"/>
    <n v="823.876452184036"/>
    <n v="2200"/>
    <x v="134"/>
    <s v="&lt;Клиент не выбран&gt;"/>
    <s v="2023 03"/>
    <n v="1376.123547815964"/>
    <n v="1.6703032890040266"/>
  </r>
  <r>
    <s v="РО06"/>
    <n v="0"/>
    <s v="Roman"/>
    <s v="Доставлен"/>
    <d v="2023-01-12T00:00:00"/>
    <x v="7"/>
    <s v="Витамины"/>
    <s v="NOW-03170"/>
    <x v="3"/>
    <x v="306"/>
    <n v="826"/>
    <m/>
    <n v="0"/>
    <n v="-2.1235478159639709"/>
    <n v="0"/>
    <n v="823.876452184036"/>
    <n v="2200"/>
    <x v="197"/>
    <s v="&lt;Клиент не выбран&gt;"/>
    <s v="2023 03"/>
    <n v="1376.123547815964"/>
    <n v="1.6703032890040266"/>
  </r>
  <r>
    <s v="РО06"/>
    <n v="0"/>
    <s v="Roman"/>
    <s v="Доставлен"/>
    <d v="2023-01-12T00:00:00"/>
    <x v="7"/>
    <s v="Витамины"/>
    <s v="NOW-02313"/>
    <x v="3"/>
    <x v="87"/>
    <n v="840"/>
    <m/>
    <n v="0"/>
    <n v="-2.159540151827767"/>
    <n v="0"/>
    <n v="837.84045984817226"/>
    <n v="2200"/>
    <x v="96"/>
    <s v="&lt;Клиент не выбран&gt;"/>
    <s v="2023 01"/>
    <n v="1362.1595401518277"/>
    <n v="1.6257982341872927"/>
  </r>
  <r>
    <s v="РО06"/>
    <n v="0"/>
    <s v="Roman"/>
    <s v="Доставлен"/>
    <d v="2023-01-12T00:00:00"/>
    <x v="7"/>
    <s v="Витамины"/>
    <s v="NOW-01277"/>
    <x v="3"/>
    <x v="34"/>
    <n v="644"/>
    <m/>
    <n v="0"/>
    <n v="-1.6556474497346214"/>
    <n v="0"/>
    <n v="642.3443525502654"/>
    <n v="1800"/>
    <x v="38"/>
    <s v="&lt;Клиент не выбран&gt;"/>
    <s v="2023 01"/>
    <n v="1157.6556474497347"/>
    <n v="1.8022352696860438"/>
  </r>
  <r>
    <s v="РО06"/>
    <n v="0"/>
    <s v="Roman"/>
    <s v="Доставлен"/>
    <d v="2023-01-12T00:00:00"/>
    <x v="7"/>
    <s v="Витамины"/>
    <s v="CEN-22662"/>
    <x v="2"/>
    <x v="307"/>
    <n v="175"/>
    <m/>
    <n v="0"/>
    <n v="-0.44990419829745149"/>
    <n v="0"/>
    <n v="174.55009580170255"/>
    <n v="800"/>
    <x v="192"/>
    <s v="&lt;Клиент не выбран&gt;"/>
    <s v="2023 05"/>
    <n v="625.44990419829742"/>
    <n v="3.5832114633087286"/>
  </r>
  <r>
    <s v="РО06"/>
    <n v="0"/>
    <s v="Roman"/>
    <s v="Доставлен"/>
    <d v="2023-01-12T00:00:00"/>
    <x v="7"/>
    <s v="Витамины"/>
    <s v="MGF-10275"/>
    <x v="92"/>
    <x v="308"/>
    <n v="770"/>
    <m/>
    <n v="0"/>
    <n v="-1.9795784725087866"/>
    <n v="0"/>
    <n v="768.02042152749118"/>
    <n v="2100"/>
    <x v="198"/>
    <s v="&lt;Клиент не выбран&gt;"/>
    <s v="2023 11"/>
    <n v="1331.9795784725088"/>
    <n v="1.7343022934512307"/>
  </r>
  <r>
    <s v="РО06"/>
    <n v="0"/>
    <s v="Roman"/>
    <s v="Доставлен"/>
    <d v="2023-01-12T00:00:00"/>
    <x v="7"/>
    <s v="Витамины"/>
    <s v="CDL-10100"/>
    <x v="93"/>
    <x v="309"/>
    <n v="504"/>
    <m/>
    <n v="0"/>
    <n v="-1.2957240910966603"/>
    <n v="0"/>
    <n v="502.70427590890336"/>
    <n v="1400"/>
    <x v="132"/>
    <s v="&lt;Клиент не выбран&gt;"/>
    <s v="2023 09"/>
    <n v="897.29572409109664"/>
    <n v="1.7849375211077347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РО06"/>
    <n v="0"/>
    <s v="Roman"/>
    <s v="Доставлен"/>
    <d v="2023-01-12T00:00:00"/>
    <x v="7"/>
    <s v="Косметика"/>
    <s v=" MBE01141"/>
    <x v="46"/>
    <x v="310"/>
    <n v="37.450000000000003"/>
    <m/>
    <n v="0"/>
    <n v="-9.6279498435654629E-2"/>
    <n v="0"/>
    <n v="37.353720501564347"/>
    <m/>
    <x v="20"/>
    <m/>
    <s v=""/>
    <n v="-37.353720501564347"/>
    <s v=""/>
  </r>
  <r>
    <s v="WB0004"/>
    <n v="0"/>
    <s v="WBRS"/>
    <s v="Доставлен"/>
    <d v="2023-01-15T00:00:00"/>
    <x v="7"/>
    <s v="Косметика"/>
    <s v="103598182"/>
    <x v="94"/>
    <x v="311"/>
    <n v="485"/>
    <m/>
    <n v="0"/>
    <n v="0"/>
    <n v="72.75"/>
    <n v="557.75"/>
    <m/>
    <x v="20"/>
    <m/>
    <s v=""/>
    <n v="-557.75"/>
    <s v=""/>
  </r>
  <r>
    <s v="WB0004"/>
    <n v="0"/>
    <s v="WBRS"/>
    <s v="Доставлен"/>
    <d v="2023-01-15T00:00:00"/>
    <x v="7"/>
    <s v="Косметика"/>
    <s v="103598182"/>
    <x v="94"/>
    <x v="311"/>
    <n v="485"/>
    <m/>
    <n v="0"/>
    <n v="0"/>
    <n v="72.75"/>
    <n v="557.75"/>
    <m/>
    <x v="20"/>
    <m/>
    <s v=""/>
    <n v="-557.75"/>
    <s v=""/>
  </r>
  <r>
    <s v="WB0004"/>
    <n v="0"/>
    <s v="WBRS"/>
    <s v="Доставлен"/>
    <d v="2023-01-15T00:00:00"/>
    <x v="7"/>
    <s v="Косметика"/>
    <s v="135353079"/>
    <x v="95"/>
    <x v="312"/>
    <n v="243"/>
    <m/>
    <n v="0"/>
    <n v="0"/>
    <n v="36.449999999999996"/>
    <n v="279.45"/>
    <n v="900"/>
    <x v="103"/>
    <s v="&lt;Клиент не выбран&gt;"/>
    <s v="2023 03"/>
    <n v="620.54999999999995"/>
    <n v="2.2206119162640903"/>
  </r>
  <r>
    <s v="WB0004"/>
    <n v="0"/>
    <s v="WBRS"/>
    <s v="Доставлен"/>
    <d v="2023-01-15T00:00:00"/>
    <x v="7"/>
    <s v="Косметика"/>
    <s v="135353079"/>
    <x v="95"/>
    <x v="312"/>
    <n v="243"/>
    <m/>
    <n v="0"/>
    <n v="0"/>
    <n v="36.449999999999996"/>
    <n v="279.45"/>
    <n v="900"/>
    <x v="154"/>
    <s v="&lt;Клиент не выбран&gt;"/>
    <s v="2023 03"/>
    <n v="620.54999999999995"/>
    <n v="2.2206119162640903"/>
  </r>
  <r>
    <s v="WB0004"/>
    <n v="0"/>
    <s v="WBRS"/>
    <s v="Доставлен"/>
    <d v="2023-01-15T00:00:00"/>
    <x v="7"/>
    <s v="Спортпит"/>
    <s v="115732310"/>
    <x v="96"/>
    <x v="313"/>
    <n v="3190"/>
    <m/>
    <n v="0"/>
    <n v="0"/>
    <n v="478.5"/>
    <n v="3668.5"/>
    <n v="4800"/>
    <x v="88"/>
    <s v="&lt;Клиент не выбран&gt;"/>
    <s v="2023 02"/>
    <n v="1131.5"/>
    <n v="0.30843669074553631"/>
  </r>
  <r>
    <s v="WB0004"/>
    <n v="0"/>
    <s v="WBRS"/>
    <s v="Доставлен"/>
    <d v="2023-01-15T00:00:00"/>
    <x v="7"/>
    <s v="Косметика"/>
    <s v="141541299"/>
    <x v="97"/>
    <x v="314"/>
    <n v="318"/>
    <m/>
    <n v="0"/>
    <n v="0"/>
    <n v="47.699999999999996"/>
    <n v="365.7"/>
    <m/>
    <x v="20"/>
    <m/>
    <s v=""/>
    <n v="-365.7"/>
    <s v=""/>
  </r>
  <r>
    <s v="WB0004"/>
    <n v="0"/>
    <s v="WBRS"/>
    <s v="Доставлен"/>
    <d v="2023-01-15T00:00:00"/>
    <x v="7"/>
    <s v="Косметика"/>
    <s v="141541299"/>
    <x v="97"/>
    <x v="314"/>
    <n v="318"/>
    <m/>
    <n v="0"/>
    <n v="0"/>
    <n v="47.699999999999996"/>
    <n v="365.7"/>
    <m/>
    <x v="20"/>
    <m/>
    <s v=""/>
    <n v="-365.7"/>
    <s v=""/>
  </r>
  <r>
    <s v="WB0004"/>
    <n v="0"/>
    <s v="WBRS"/>
    <s v="Доставлен"/>
    <d v="2023-01-15T00:00:00"/>
    <x v="7"/>
    <s v="Косметика"/>
    <s v="139994841"/>
    <x v="98"/>
    <x v="315"/>
    <n v="283"/>
    <m/>
    <n v="0"/>
    <n v="0"/>
    <n v="42.449999999999996"/>
    <n v="325.45"/>
    <n v="1000"/>
    <x v="96"/>
    <s v="&lt;Клиент не выбран&gt;"/>
    <s v="2023 01"/>
    <n v="674.55"/>
    <n v="2.0726686126901215"/>
  </r>
  <r>
    <s v="WB0004"/>
    <n v="0"/>
    <s v="WBRS"/>
    <s v="Доставлен"/>
    <d v="2023-01-15T00:00:00"/>
    <x v="7"/>
    <s v="Косметика"/>
    <s v="139994841"/>
    <x v="98"/>
    <x v="315"/>
    <n v="283"/>
    <m/>
    <n v="0"/>
    <n v="0"/>
    <n v="42.449999999999996"/>
    <n v="325.45"/>
    <n v="900"/>
    <x v="96"/>
    <s v="&lt;Клиент не выбран&gt;"/>
    <s v="2023 01"/>
    <n v="574.54999999999995"/>
    <n v="1.7654017514211091"/>
  </r>
  <r>
    <s v="WB0004"/>
    <n v="0"/>
    <s v="WBRS"/>
    <s v="Доставлен"/>
    <d v="2023-01-15T00:00:00"/>
    <x v="7"/>
    <s v="Косметика"/>
    <s v="096113224"/>
    <x v="95"/>
    <x v="316"/>
    <n v="209"/>
    <m/>
    <n v="0"/>
    <n v="0"/>
    <n v="31.349999999999998"/>
    <n v="240.35"/>
    <m/>
    <x v="20"/>
    <m/>
    <s v=""/>
    <n v="-240.35"/>
    <s v=""/>
  </r>
  <r>
    <s v="WB0004"/>
    <n v="0"/>
    <s v="WBRS"/>
    <s v="Доставлен"/>
    <d v="2023-01-15T00:00:00"/>
    <x v="7"/>
    <s v="Косметика"/>
    <s v="096113224"/>
    <x v="95"/>
    <x v="316"/>
    <n v="209"/>
    <m/>
    <n v="0"/>
    <n v="0"/>
    <n v="31.349999999999998"/>
    <n v="240.35"/>
    <m/>
    <x v="20"/>
    <m/>
    <s v=""/>
    <n v="-240.35"/>
    <s v=""/>
  </r>
  <r>
    <s v="WB0004"/>
    <n v="0"/>
    <s v="WBRS"/>
    <s v="Доставлен"/>
    <d v="2023-01-15T00:00:00"/>
    <x v="7"/>
    <s v="Косметика"/>
    <s v="079311586"/>
    <x v="99"/>
    <x v="317"/>
    <n v="306"/>
    <m/>
    <n v="0"/>
    <n v="0"/>
    <n v="45.9"/>
    <n v="351.9"/>
    <n v="1100"/>
    <x v="69"/>
    <s v="&lt;Клиент не выбран&gt;"/>
    <s v="2023 03"/>
    <n v="748.1"/>
    <n v="2.1258880363739703"/>
  </r>
  <r>
    <s v="WB0004"/>
    <n v="0"/>
    <s v="WBRS"/>
    <s v="Доставлен"/>
    <d v="2023-01-15T00:00:00"/>
    <x v="7"/>
    <s v="Спортпит"/>
    <s v="137163976"/>
    <x v="100"/>
    <x v="318"/>
    <n v="582"/>
    <m/>
    <n v="0"/>
    <n v="0"/>
    <n v="87.3"/>
    <n v="669.3"/>
    <n v="1400"/>
    <x v="109"/>
    <s v="&lt;Клиент не выбран&gt;"/>
    <s v="2023 01"/>
    <n v="730.7"/>
    <n v="1.091737636336471"/>
  </r>
  <r>
    <s v="WB0004"/>
    <n v="0"/>
    <s v="WBRS"/>
    <s v="Доставлен"/>
    <d v="2023-01-15T00:00:00"/>
    <x v="7"/>
    <s v="Спортпит"/>
    <s v="137163976"/>
    <x v="100"/>
    <x v="318"/>
    <n v="582"/>
    <m/>
    <n v="0"/>
    <n v="0"/>
    <n v="87.3"/>
    <n v="669.3"/>
    <n v="1400"/>
    <x v="109"/>
    <s v="&lt;Клиент не выбран&gt;"/>
    <s v="2023 01"/>
    <n v="730.7"/>
    <n v="1.091737636336471"/>
  </r>
  <r>
    <s v="WB0004"/>
    <n v="0"/>
    <s v="WBRS"/>
    <s v="Доставлен"/>
    <d v="2023-01-15T00:00:00"/>
    <x v="7"/>
    <s v="Косметика"/>
    <s v=" 94476361"/>
    <x v="101"/>
    <x v="319"/>
    <n v="153"/>
    <m/>
    <n v="0"/>
    <n v="0"/>
    <n v="22.95"/>
    <n v="175.95"/>
    <n v="700"/>
    <x v="27"/>
    <s v="&lt;Клиент не выбран&gt;"/>
    <s v="2023 02"/>
    <n v="524.04999999999995"/>
    <n v="2.9784029553850524"/>
  </r>
  <r>
    <s v="WB0004"/>
    <n v="0"/>
    <s v="WBRS"/>
    <s v="Доставлен"/>
    <d v="2023-01-15T00:00:00"/>
    <x v="7"/>
    <s v="Косметика"/>
    <s v=" 94476361"/>
    <x v="101"/>
    <x v="319"/>
    <n v="153"/>
    <m/>
    <n v="0"/>
    <n v="0"/>
    <n v="22.95"/>
    <n v="175.95"/>
    <n v="550"/>
    <x v="69"/>
    <s v="&lt;Клиент не выбран&gt;"/>
    <s v="2023 03"/>
    <n v="374.05"/>
    <n v="2.1258880363739703"/>
  </r>
  <r>
    <s v="OZA0033"/>
    <n v="0"/>
    <s v="OZON_AV"/>
    <s v="Доставлен"/>
    <d v="2023-01-07T00:00:00"/>
    <x v="7"/>
    <s v="Спортпит"/>
    <s v="310161195"/>
    <x v="39"/>
    <x v="320"/>
    <n v="1266"/>
    <m/>
    <n v="0"/>
    <n v="0"/>
    <n v="189.9"/>
    <n v="1455.9"/>
    <n v="2500"/>
    <x v="111"/>
    <s v="&lt;Клиент не выбран&gt;"/>
    <s v="2023 01"/>
    <n v="1044.0999999999999"/>
    <n v="0.71715090322137498"/>
  </r>
  <r>
    <s v="OZA0034"/>
    <n v="0"/>
    <s v="OZON_AV"/>
    <s v="Доставлен"/>
    <d v="2023-01-07T00:00:00"/>
    <x v="7"/>
    <s v="Спортпит"/>
    <s v="780474516"/>
    <x v="102"/>
    <x v="321"/>
    <n v="782"/>
    <m/>
    <n v="0"/>
    <n v="0"/>
    <n v="117.29999999999998"/>
    <n v="899.3"/>
    <n v="1900"/>
    <x v="116"/>
    <s v="&lt;Клиент не выбран&gt;"/>
    <s v="2023 01"/>
    <n v="1000.7"/>
    <n v="1.1127543645057267"/>
  </r>
  <r>
    <s v="OZA0035"/>
    <n v="0"/>
    <s v="OZON_AV"/>
    <s v="Доставлен"/>
    <d v="2023-01-07T00:00:00"/>
    <x v="7"/>
    <s v="Косметика"/>
    <s v="727936682"/>
    <x v="94"/>
    <x v="322"/>
    <n v="656"/>
    <m/>
    <n v="0"/>
    <n v="0"/>
    <n v="98.399999999999991"/>
    <n v="754.4"/>
    <n v="700"/>
    <x v="103"/>
    <s v="&lt;Клиент не выбран&gt;"/>
    <s v="2023 03"/>
    <n v="-54.399999999999977"/>
    <n v="-7.2110286320254485E-2"/>
  </r>
  <r>
    <s v="OZA0035"/>
    <n v="0"/>
    <s v="OZON_AV"/>
    <s v="Доставлен"/>
    <d v="2023-01-07T00:00:00"/>
    <x v="7"/>
    <s v="Косметика"/>
    <s v="801989967"/>
    <x v="103"/>
    <x v="323"/>
    <n v="617"/>
    <m/>
    <n v="0"/>
    <n v="0"/>
    <n v="92.55"/>
    <n v="709.55"/>
    <m/>
    <x v="20"/>
    <m/>
    <s v=""/>
    <n v="-709.55"/>
    <s v=""/>
  </r>
  <r>
    <s v="OZA0037"/>
    <n v="0"/>
    <s v="OZON_AV"/>
    <s v="Доставлен"/>
    <d v="2023-01-08T00:00:00"/>
    <x v="7"/>
    <s v="Спортпит"/>
    <s v="771073764"/>
    <x v="76"/>
    <x v="324"/>
    <n v="2766"/>
    <m/>
    <n v="0"/>
    <n v="0"/>
    <n v="414.9"/>
    <n v="3180.9"/>
    <n v="4000"/>
    <x v="88"/>
    <s v="&lt;Клиент не выбран&gt;"/>
    <s v="2023 02"/>
    <n v="819.09999999999991"/>
    <n v="0.25750573736992671"/>
  </r>
  <r>
    <s v="OZA0038"/>
    <n v="0"/>
    <s v="OZON_AV"/>
    <s v="Доставлен"/>
    <d v="2023-01-11T00:00:00"/>
    <x v="7"/>
    <s v="Спортпит"/>
    <s v="311537379"/>
    <x v="104"/>
    <x v="325"/>
    <n v="1936"/>
    <m/>
    <n v="0"/>
    <n v="0"/>
    <n v="290.39999999999998"/>
    <n v="2226.4"/>
    <n v="2900"/>
    <x v="109"/>
    <s v="&lt;Клиент не выбран&gt;"/>
    <s v="2023 01"/>
    <n v="673.59999999999991"/>
    <n v="0.30255120373697442"/>
  </r>
  <r>
    <s v="OZA0038"/>
    <n v="0"/>
    <s v="OZON_AV"/>
    <s v="Доставлен"/>
    <d v="2023-01-11T00:00:00"/>
    <x v="7"/>
    <s v="Спортпит"/>
    <s v="311537379"/>
    <x v="104"/>
    <x v="325"/>
    <n v="1936"/>
    <m/>
    <n v="0"/>
    <n v="0"/>
    <n v="290.39999999999998"/>
    <n v="2226.4"/>
    <n v="2900"/>
    <x v="67"/>
    <s v="&lt;Клиент не выбран&gt;"/>
    <s v="2023 01"/>
    <n v="673.59999999999991"/>
    <n v="0.30255120373697442"/>
  </r>
  <r>
    <s v="OZA0039"/>
    <n v="0"/>
    <s v="OZON_AV"/>
    <s v="Доставлен"/>
    <d v="2023-01-12T00:00:00"/>
    <x v="7"/>
    <s v="Спортпит"/>
    <s v="310161195"/>
    <x v="39"/>
    <x v="320"/>
    <n v="1203"/>
    <m/>
    <n v="0"/>
    <n v="0"/>
    <n v="180.45"/>
    <n v="1383.45"/>
    <n v="2500"/>
    <x v="120"/>
    <s v="&lt;Клиент не выбран&gt;"/>
    <s v="2023 01"/>
    <n v="1116.55"/>
    <n v="0.80707651161950189"/>
  </r>
  <r>
    <s v="OZA0039"/>
    <n v="0"/>
    <s v="OZON_AV"/>
    <s v="Доставлен"/>
    <d v="2023-01-12T00:00:00"/>
    <x v="7"/>
    <s v="Спортпит"/>
    <s v="313159974"/>
    <x v="39"/>
    <x v="291"/>
    <n v="627"/>
    <m/>
    <n v="0"/>
    <n v="0"/>
    <n v="94.05"/>
    <n v="721.05"/>
    <n v="1400"/>
    <x v="111"/>
    <s v="&lt;Клиент не выбран&gt;"/>
    <s v="2023 01"/>
    <n v="678.95"/>
    <n v="0.94161292559461907"/>
  </r>
  <r>
    <s v="922965619"/>
    <s v="922965619-0"/>
    <s v="iHerb_OA CZN6870"/>
    <s v="Доставлен"/>
    <d v="2023-01-16T00:00:00"/>
    <x v="7"/>
    <s v="Витамины"/>
    <s v="NOW-04618"/>
    <x v="3"/>
    <x v="326"/>
    <n v="7.19"/>
    <n v="-0.72"/>
    <n v="-0.58972987948469324"/>
    <n v="0"/>
    <n v="3.3078400050791896"/>
    <n v="689.10825941958728"/>
    <n v="1200"/>
    <x v="134"/>
    <s v="&lt;Клиент не выбран&gt;"/>
    <s v="2023 03"/>
    <n v="510.89174058041272"/>
    <n v="0.74138095661590186"/>
  </r>
  <r>
    <s v="922965619"/>
    <s v="922965619-0"/>
    <s v="iHerb_OA CZN6870"/>
    <s v="Доставлен"/>
    <d v="2023-01-16T00:00:00"/>
    <x v="7"/>
    <s v="Витамины"/>
    <s v="AMX-20241"/>
    <x v="105"/>
    <x v="327"/>
    <n v="24.99"/>
    <n v="-2.5"/>
    <n v="-2.049926582629173"/>
    <n v="0"/>
    <n v="11.498195009927505"/>
    <n v="2395.3701320473751"/>
    <n v="2800"/>
    <x v="193"/>
    <s v="&lt;Клиент не выбран&gt;"/>
    <s v="2023 03"/>
    <n v="404.62986795262486"/>
    <n v="0.16892164703029794"/>
  </r>
  <r>
    <s v="922965619"/>
    <s v="922965619-0"/>
    <s v="iHerb_OA CZN6870"/>
    <s v="Доставлен"/>
    <d v="2023-01-16T00:00:00"/>
    <x v="7"/>
    <s v="Витамины"/>
    <s v="NWY-03502"/>
    <x v="16"/>
    <x v="74"/>
    <n v="12.24"/>
    <n v="-2.4500000000000002"/>
    <n v="-0.89234242969940436"/>
    <n v="0"/>
    <n v="5.0052169474073045"/>
    <n v="1042.7155888280925"/>
    <n v="2200"/>
    <x v="134"/>
    <s v="&lt;Клиент не выбран&gt;"/>
    <s v="2023 03"/>
    <n v="1157.2844111719075"/>
    <n v="1.1098754287087804"/>
  </r>
  <r>
    <s v="922965619"/>
    <s v="922965619-0"/>
    <s v="iHerb_OA CZN6870"/>
    <s v="Доставлен"/>
    <d v="2023-01-16T00:00:00"/>
    <x v="7"/>
    <s v="Витамины"/>
    <s v="NOW-02644"/>
    <x v="3"/>
    <x v="21"/>
    <n v="16.43"/>
    <n v="-3.29"/>
    <n v="-1.1976894306690677"/>
    <n v="0"/>
    <n v="6.7179316331901937"/>
    <n v="1399.5181651890844"/>
    <n v="2800"/>
    <x v="134"/>
    <s v="&lt;Клиент не выбран&gt;"/>
    <s v="2023 03"/>
    <n v="1400.4818348109156"/>
    <n v="1.0006885724285695"/>
  </r>
  <r>
    <s v="922965619"/>
    <s v="922965619-0"/>
    <s v="iHerb_OA CZN6870"/>
    <s v="Доставлен"/>
    <d v="2023-01-16T00:00:00"/>
    <x v="7"/>
    <s v="Витамины"/>
    <s v="SWV-02990"/>
    <x v="89"/>
    <x v="299"/>
    <n v="13.99"/>
    <n v="-2.8"/>
    <n v="-1.0199501315971744"/>
    <n v="0"/>
    <n v="5.7209783086300039"/>
    <n v="1191.8271132774623"/>
    <n v="2000"/>
    <x v="199"/>
    <s v="&lt;Клиент не выбран&gt;"/>
    <s v="2023 07"/>
    <n v="808.17288672253767"/>
    <n v="0.67809573865130857"/>
  </r>
  <r>
    <s v="922965619"/>
    <s v="922965619-0"/>
    <s v="iHerb_OA CZN6870"/>
    <s v="Доставлен"/>
    <d v="2023-01-16T00:00:00"/>
    <x v="7"/>
    <s v="Витамины"/>
    <s v="NAP-29978"/>
    <x v="11"/>
    <x v="54"/>
    <n v="11.35"/>
    <n v="-1.1399999999999999"/>
    <n v="-0.93062474026873521"/>
    <n v="0"/>
    <n v="5.2199453557741133"/>
    <n v="1087.4490461629032"/>
    <n v="1600"/>
    <x v="69"/>
    <s v="&lt;Клиент не выбран&gt;"/>
    <s v="2023 03"/>
    <n v="512.55095383709681"/>
    <n v="0.47133330581846417"/>
  </r>
  <r>
    <s v="922965619"/>
    <s v="922965619-0"/>
    <s v="iHerb_OA CZN6870"/>
    <s v="Доставлен"/>
    <d v="2023-01-16T00:00:00"/>
    <x v="7"/>
    <s v="Спортпит"/>
    <s v="NRX-00741"/>
    <x v="53"/>
    <x v="161"/>
    <n v="12.86"/>
    <n v="-2.57"/>
    <n v="-0.93791660894860773"/>
    <n v="0"/>
    <n v="5.2608460049868393"/>
    <n v="1095.9697047028671"/>
    <n v="2000"/>
    <x v="124"/>
    <s v="&lt;Клиент не выбран&gt;"/>
    <s v="2023 03"/>
    <n v="904.03029529713285"/>
    <n v="0.82486796069078228"/>
  </r>
  <r>
    <s v="922965619"/>
    <s v="922965619-0"/>
    <s v="iHerb_OA CZN6870"/>
    <s v="Доставлен"/>
    <d v="2023-01-16T00:00:00"/>
    <x v="7"/>
    <s v="Витамины"/>
    <s v="CEN-27452"/>
    <x v="2"/>
    <x v="56"/>
    <n v="3.67"/>
    <n v="-0.37"/>
    <n v="-0.30078958304474301"/>
    <n v="0"/>
    <n v="1.6871517800249343"/>
    <n v="351.47716477351435"/>
    <n v="1000"/>
    <x v="151"/>
    <s v="&lt;Клиент не выбран&gt;"/>
    <s v="2023 09"/>
    <n v="648.52283522648565"/>
    <n v="1.8451350478042643"/>
  </r>
  <r>
    <s v="922965619"/>
    <s v="922965619-0"/>
    <s v="iHerb_OA CZN6870"/>
    <s v="Доставлен"/>
    <d v="2023-01-16T00:00:00"/>
    <x v="7"/>
    <s v="Витамины"/>
    <s v="NOW-04739"/>
    <x v="3"/>
    <x v="191"/>
    <n v="12.24"/>
    <n v="-2.4500000000000002"/>
    <n v="-0.89234242969940436"/>
    <n v="0"/>
    <n v="5.0052169474073045"/>
    <n v="1042.7155888280925"/>
    <n v="2600"/>
    <x v="200"/>
    <s v="&lt;Клиент не выбран&gt;"/>
    <s v="2024 02"/>
    <n v="1557.2844111719075"/>
    <n v="1.4934891430194679"/>
  </r>
  <r>
    <s v="922965619"/>
    <s v="922965619-0"/>
    <s v="iHerb_OA CZN6870"/>
    <s v="Доставлен"/>
    <d v="2023-01-16T00:00:00"/>
    <x v="7"/>
    <s v="Витамины"/>
    <s v="CEN-22380"/>
    <x v="2"/>
    <x v="158"/>
    <n v="5.45"/>
    <n v="-0.55000000000000004"/>
    <n v="-0.44662695664219426"/>
    <n v="0"/>
    <n v="2.5051647642794479"/>
    <n v="521.89033557279413"/>
    <n v="1700"/>
    <x v="103"/>
    <s v="&lt;Клиент не выбран&gt;"/>
    <s v="2023 03"/>
    <n v="1178.1096644272059"/>
    <n v="2.2573893098330449"/>
  </r>
  <r>
    <s v="922965619"/>
    <s v="922965619-0"/>
    <s v="iHerb_OA CZN6870"/>
    <s v="Доставлен"/>
    <d v="2023-01-16T00:00:00"/>
    <x v="7"/>
    <s v="Витамины"/>
    <s v="NOW-04795"/>
    <x v="3"/>
    <x v="328"/>
    <n v="20.55"/>
    <n v="-4.1100000000000003"/>
    <n v="-1.4984790137138109"/>
    <n v="0"/>
    <n v="8.4050834132151255"/>
    <n v="1750.9953299625988"/>
    <n v="3200"/>
    <x v="201"/>
    <s v="&lt;Клиент не выбран&gt;"/>
    <s v="2023 11"/>
    <n v="1449.0046700374012"/>
    <n v="0.82753200150930839"/>
  </r>
  <r>
    <s v="922965619"/>
    <s v="922965619-0"/>
    <s v="iHerb_OA CZN6870"/>
    <s v="Доставлен"/>
    <d v="2023-01-16T00:00:00"/>
    <x v="7"/>
    <s v="Витамины"/>
    <s v="SOL-01721"/>
    <x v="19"/>
    <x v="126"/>
    <n v="14.67"/>
    <m/>
    <n v="-1.3371464191716305"/>
    <n v="0"/>
    <n v="7.5001565493835702"/>
    <n v="1562.4757597658954"/>
    <n v="2400"/>
    <x v="134"/>
    <s v="&lt;Клиент не выбран&gt;"/>
    <s v="2023 03"/>
    <n v="837.52424023410458"/>
    <n v="0.53602382948941896"/>
  </r>
  <r>
    <s v="922965619"/>
    <s v="922965619-0"/>
    <s v="iHerb_OA CZN6870"/>
    <s v="Доставлен"/>
    <d v="2023-01-16T00:00:00"/>
    <x v="7"/>
    <s v="Витамины"/>
    <s v="ULM-01270"/>
    <x v="83"/>
    <x v="255"/>
    <n v="30"/>
    <n v="-26.4"/>
    <n v="-0.32813409059426529"/>
    <n v="0"/>
    <n v="1.8405292145726559"/>
    <n v="383.42963429837943"/>
    <n v="1700"/>
    <x v="162"/>
    <s v="&lt;Клиент не выбран&gt;"/>
    <s v="2023 03"/>
    <n v="1316.5703657016206"/>
    <n v="3.4336687828283101"/>
  </r>
  <r>
    <s v="922965619"/>
    <s v="922965619-0"/>
    <s v="iHerb_OA CZN6870"/>
    <s v="Доставлен"/>
    <d v="2023-01-16T00:00:00"/>
    <x v="7"/>
    <s v="Витамины"/>
    <s v="ULM-01270"/>
    <x v="83"/>
    <x v="255"/>
    <n v="30"/>
    <n v="-26.4"/>
    <n v="-0.32813409059426529"/>
    <n v="0"/>
    <n v="1.8405292145726559"/>
    <n v="383.42963429837943"/>
    <n v="383.43"/>
    <x v="74"/>
    <s v="&lt;Клиент не выбран&gt;"/>
    <s v="2023 01"/>
    <n v="3.65701620580694E-4"/>
    <n v="9.5376462294020347E-7"/>
  </r>
  <r>
    <s v="922965619"/>
    <s v="922965619-0"/>
    <s v="iHerb_OA CZN6870"/>
    <s v="Доставлен"/>
    <d v="2023-01-16T00:00:00"/>
    <x v="7"/>
    <s v="Витамины"/>
    <s v="NRT-53098"/>
    <x v="27"/>
    <x v="329"/>
    <n v="11.26"/>
    <n v="-6.76"/>
    <n v="-0.41016761324283141"/>
    <n v="0"/>
    <n v="2.300661518215819"/>
    <n v="479.2870428729741"/>
    <n v="1500"/>
    <x v="164"/>
    <s v="&lt;Клиент не выбран&gt;"/>
    <s v="2023 03"/>
    <n v="1020.7129571270259"/>
    <n v="2.1296485525846909"/>
  </r>
  <r>
    <s v="CC709085049"/>
    <n v="0"/>
    <s v="CoralClub_AV"/>
    <s v="Доставлен"/>
    <d v="2023-01-18T00:00:00"/>
    <x v="7"/>
    <s v="Витамины"/>
    <s v="000002150"/>
    <x v="79"/>
    <x v="275"/>
    <n v="1280"/>
    <m/>
    <n v="0"/>
    <n v="3.0188679245283021"/>
    <n v="0"/>
    <n v="1283.0188679245282"/>
    <n v="1600"/>
    <x v="109"/>
    <s v="&lt;Клиент не выбран&gt;"/>
    <s v="2023 01"/>
    <n v="316.98113207547181"/>
    <n v="0.24705882352941186"/>
  </r>
  <r>
    <s v="CC709085049"/>
    <n v="0"/>
    <s v="CoralClub_AV"/>
    <s v="Доставлен"/>
    <d v="2023-01-18T00:00:00"/>
    <x v="7"/>
    <s v="Витамины"/>
    <s v="000002150"/>
    <x v="79"/>
    <x v="275"/>
    <n v="1280"/>
    <m/>
    <n v="0"/>
    <n v="3.0188679245283021"/>
    <n v="0"/>
    <n v="1283.0188679245282"/>
    <n v="1600"/>
    <x v="115"/>
    <s v="&lt;Клиент не выбран&gt;"/>
    <s v="2023 02"/>
    <n v="316.98113207547181"/>
    <n v="0.24705882352941186"/>
  </r>
  <r>
    <s v="CC709085049"/>
    <n v="0"/>
    <s v="CoralClub_AV"/>
    <s v="Доставлен"/>
    <d v="2023-01-18T00:00:00"/>
    <x v="7"/>
    <s v="Витамины"/>
    <s v="000001405"/>
    <x v="79"/>
    <x v="227"/>
    <n v="832"/>
    <m/>
    <n v="0"/>
    <n v="1.9622641509433962"/>
    <n v="0"/>
    <n v="833.96226415094338"/>
    <n v="1200"/>
    <x v="89"/>
    <s v="&lt;Клиент не выбран&gt;"/>
    <s v="2023 02"/>
    <n v="366.03773584905662"/>
    <n v="0.43891402714932126"/>
  </r>
  <r>
    <s v="РО07"/>
    <n v="0"/>
    <s v="Roman"/>
    <s v="Доставлен"/>
    <d v="2023-01-18T00:00:00"/>
    <x v="7"/>
    <s v="Витамины"/>
    <s v="CGN-01033"/>
    <x v="1"/>
    <x v="1"/>
    <n v="914.2"/>
    <m/>
    <n v="0"/>
    <n v="0.11082555461274754"/>
    <n v="0"/>
    <n v="914.31082555461285"/>
    <n v="2200"/>
    <x v="153"/>
    <s v="&lt;Клиент не выбран&gt;"/>
    <s v="2023 04"/>
    <n v="1285.6891744453872"/>
    <n v="1.4061839130751836"/>
  </r>
  <r>
    <s v="РО07"/>
    <n v="0"/>
    <s v="Roman"/>
    <s v="Доставлен"/>
    <d v="2023-01-18T00:00:00"/>
    <x v="7"/>
    <s v="Витамины"/>
    <s v="CGN-01033"/>
    <x v="1"/>
    <x v="1"/>
    <n v="914.2"/>
    <m/>
    <n v="0"/>
    <n v="0.11082555461274754"/>
    <n v="0"/>
    <n v="914.31082555461285"/>
    <n v="2200"/>
    <x v="202"/>
    <s v="&lt;Клиент не выбран&gt;"/>
    <s v="2023 04"/>
    <n v="1285.6891744453872"/>
    <n v="1.4061839130751836"/>
  </r>
  <r>
    <s v="РО07"/>
    <n v="0"/>
    <s v="Roman"/>
    <s v="Доставлен"/>
    <d v="2023-01-18T00:00:00"/>
    <x v="7"/>
    <s v="Витамины"/>
    <s v="CGN-01033"/>
    <x v="1"/>
    <x v="1"/>
    <n v="914.2"/>
    <m/>
    <n v="0"/>
    <n v="0.11082555461274754"/>
    <n v="0"/>
    <n v="914.31082555461285"/>
    <n v="2200"/>
    <x v="203"/>
    <s v="&lt;Клиент не выбран&gt;"/>
    <s v="2023 04"/>
    <n v="1285.6891744453872"/>
    <n v="1.4061839130751836"/>
  </r>
  <r>
    <s v="РО07"/>
    <n v="0"/>
    <s v="Roman"/>
    <s v="Доставлен"/>
    <d v="2023-01-18T00:00:00"/>
    <x v="7"/>
    <s v="Витамины"/>
    <s v="CGN-01033"/>
    <x v="1"/>
    <x v="1"/>
    <n v="914.2"/>
    <m/>
    <n v="0"/>
    <n v="0.11082555461274754"/>
    <n v="0"/>
    <n v="914.31082555461285"/>
    <n v="2200"/>
    <x v="204"/>
    <s v="&lt;Клиент не выбран&gt;"/>
    <s v="2023 04"/>
    <n v="1285.6891744453872"/>
    <n v="1.4061839130751836"/>
  </r>
  <r>
    <s v="РО07"/>
    <n v="0"/>
    <s v="Roman"/>
    <s v="Доставлен"/>
    <d v="2023-01-18T00:00:00"/>
    <x v="7"/>
    <s v="Витамины"/>
    <s v="CGN-01033"/>
    <x v="1"/>
    <x v="1"/>
    <n v="914.2"/>
    <m/>
    <n v="0"/>
    <n v="0.11082555461274754"/>
    <n v="0"/>
    <n v="914.31082555461285"/>
    <n v="2300"/>
    <x v="204"/>
    <s v="&lt;Клиент не выбран&gt;"/>
    <s v="2023 04"/>
    <n v="1385.6891744453872"/>
    <n v="1.5155559091240556"/>
  </r>
  <r>
    <s v="РО07"/>
    <n v="0"/>
    <s v="Roman"/>
    <s v="Доставлен"/>
    <d v="2023-01-18T00:00:00"/>
    <x v="7"/>
    <s v="Витамины"/>
    <s v="CGN-00956"/>
    <x v="1"/>
    <x v="305"/>
    <n v="753.2"/>
    <m/>
    <n v="0"/>
    <n v="9.130803733791451E-2"/>
    <n v="0"/>
    <n v="753.29130803733801"/>
    <n v="2200"/>
    <x v="111"/>
    <s v="&lt;Клиент не выбран&gt;"/>
    <s v="2023 01"/>
    <n v="1446.708691962662"/>
    <n v="1.9205169056470166"/>
  </r>
  <r>
    <s v="РО07"/>
    <n v="0"/>
    <s v="Roman"/>
    <s v="Доставлен"/>
    <d v="2023-01-18T00:00:00"/>
    <x v="7"/>
    <s v="Витамины"/>
    <s v="CGN-00956"/>
    <x v="1"/>
    <x v="305"/>
    <n v="753.2"/>
    <m/>
    <n v="0"/>
    <n v="9.130803733791451E-2"/>
    <n v="0"/>
    <n v="753.29130803733801"/>
    <n v="2000"/>
    <x v="164"/>
    <s v="&lt;Клиент не выбран&gt;"/>
    <s v="2023 03"/>
    <n v="1246.708691962662"/>
    <n v="1.6550153687700151"/>
  </r>
  <r>
    <s v="РО07"/>
    <n v="0"/>
    <s v="Roman"/>
    <s v="Доставлен"/>
    <d v="2023-01-18T00:00:00"/>
    <x v="7"/>
    <s v="Витамины"/>
    <s v="CGN-00956"/>
    <x v="1"/>
    <x v="305"/>
    <n v="753.2"/>
    <m/>
    <n v="0"/>
    <n v="9.130803733791451E-2"/>
    <n v="0"/>
    <n v="753.29130803733801"/>
    <n v="2100"/>
    <x v="205"/>
    <s v="&lt;Клиент не выбран&gt;"/>
    <s v="2023 04"/>
    <n v="1346.708691962662"/>
    <n v="1.7877661372085158"/>
  </r>
  <r>
    <s v="РО07"/>
    <n v="0"/>
    <s v="Roman"/>
    <s v="Доставлен"/>
    <d v="2023-01-18T00:00:00"/>
    <x v="7"/>
    <s v="Витамины"/>
    <s v="NOW-01480"/>
    <x v="3"/>
    <x v="165"/>
    <n v="259"/>
    <m/>
    <n v="0"/>
    <n v="3.1397745181253128E-2"/>
    <n v="0"/>
    <n v="259.03139774518127"/>
    <n v="750"/>
    <x v="68"/>
    <s v="&lt;Клиент не выбран&gt;"/>
    <s v="2023 01"/>
    <n v="490.96860225481873"/>
    <n v="1.895401895401895"/>
  </r>
  <r>
    <s v="РО07"/>
    <n v="0"/>
    <s v="Roman"/>
    <s v="Доставлен"/>
    <d v="2023-01-18T00:00:00"/>
    <x v="7"/>
    <s v="Витамины"/>
    <s v="NOW-01480"/>
    <x v="3"/>
    <x v="165"/>
    <n v="259"/>
    <m/>
    <n v="0"/>
    <n v="3.1397745181253128E-2"/>
    <n v="0"/>
    <n v="259.03139774518127"/>
    <n v="750"/>
    <x v="96"/>
    <s v="&lt;Клиент не выбран&gt;"/>
    <s v="2023 01"/>
    <n v="490.96860225481873"/>
    <n v="1.895401895401895"/>
  </r>
  <r>
    <s v="РО07"/>
    <n v="0"/>
    <s v="Roman"/>
    <s v="Доставлен"/>
    <d v="2023-01-18T00:00:00"/>
    <x v="7"/>
    <s v="Витамины"/>
    <s v="NOW-01480"/>
    <x v="3"/>
    <x v="165"/>
    <n v="259"/>
    <m/>
    <n v="0"/>
    <n v="3.1397745181253128E-2"/>
    <n v="0"/>
    <n v="259.03139774518127"/>
    <n v="750"/>
    <x v="96"/>
    <s v="&lt;Клиент не выбран&gt;"/>
    <s v="2023 01"/>
    <n v="490.96860225481873"/>
    <n v="1.895401895401895"/>
  </r>
  <r>
    <s v="РО07"/>
    <n v="0"/>
    <s v="Roman"/>
    <s v="Доставлен"/>
    <d v="2023-01-18T00:00:00"/>
    <x v="7"/>
    <s v="Витамины"/>
    <s v="NOW-01277"/>
    <x v="3"/>
    <x v="34"/>
    <n v="597.79999999999995"/>
    <m/>
    <n v="0"/>
    <n v="7.2469390229162614E-2"/>
    <n v="0"/>
    <n v="597.87246939022907"/>
    <n v="1600"/>
    <x v="158"/>
    <s v="&lt;Клиент не выбран&gt;"/>
    <s v="2023 03"/>
    <n v="1002.1275306097709"/>
    <n v="1.6761560063667793"/>
  </r>
  <r>
    <s v="РО07"/>
    <n v="0"/>
    <s v="Roman"/>
    <s v="Доставлен"/>
    <d v="2023-01-18T00:00:00"/>
    <x v="7"/>
    <s v="Витамины"/>
    <s v="NOW-01277"/>
    <x v="3"/>
    <x v="34"/>
    <n v="597.79999999999995"/>
    <m/>
    <n v="0"/>
    <n v="7.2469390229162614E-2"/>
    <n v="0"/>
    <n v="597.87246939022907"/>
    <n v="1800"/>
    <x v="54"/>
    <s v="&lt;Клиент не выбран&gt;"/>
    <s v="2023 04"/>
    <n v="1202.1275306097709"/>
    <n v="2.010675507162627"/>
  </r>
  <r>
    <s v="РО07"/>
    <n v="0"/>
    <s v="Roman"/>
    <s v="Доставлен"/>
    <d v="2023-01-18T00:00:00"/>
    <x v="7"/>
    <s v="Витамины"/>
    <s v="JRW-30006"/>
    <x v="21"/>
    <x v="330"/>
    <n v="345.8"/>
    <m/>
    <n v="0"/>
    <n v="4.1920232755510933E-2"/>
    <n v="0"/>
    <n v="345.84192023275551"/>
    <n v="1000"/>
    <x v="111"/>
    <s v="&lt;Клиент не выбран&gt;"/>
    <s v="2023 01"/>
    <n v="654.15807976724454"/>
    <n v="1.8914944704418388"/>
  </r>
  <r>
    <s v="РО07"/>
    <n v="0"/>
    <s v="Roman"/>
    <s v="Доставлен"/>
    <d v="2023-01-18T00:00:00"/>
    <x v="7"/>
    <s v="Витамины"/>
    <s v="JRW-30006"/>
    <x v="21"/>
    <x v="330"/>
    <n v="345.8"/>
    <m/>
    <n v="0"/>
    <n v="4.1920232755510933E-2"/>
    <n v="0"/>
    <n v="345.84192023275551"/>
    <n v="1000"/>
    <x v="206"/>
    <s v="&lt;Клиент не выбран&gt;"/>
    <s v="2023 02"/>
    <n v="654.15807976724454"/>
    <n v="1.8914944704418388"/>
  </r>
  <r>
    <s v="РО07"/>
    <n v="0"/>
    <s v="Roman"/>
    <s v="Доставлен"/>
    <d v="2023-01-18T00:00:00"/>
    <x v="7"/>
    <s v="Косметика"/>
    <s v="AZQ-01161"/>
    <x v="106"/>
    <x v="331"/>
    <n v="900"/>
    <m/>
    <n v="0"/>
    <n v="0.10910413383447033"/>
    <n v="0"/>
    <n v="900.10910413383442"/>
    <m/>
    <x v="20"/>
    <m/>
    <s v=""/>
    <n v="-900.10910413383442"/>
    <s v=""/>
  </r>
  <r>
    <s v="РО07"/>
    <n v="0"/>
    <s v="Roman"/>
    <s v="Доставлен"/>
    <d v="2023-01-18T00:00:00"/>
    <x v="7"/>
    <s v="Витамины"/>
    <s v="NWY-15686"/>
    <x v="16"/>
    <x v="234"/>
    <n v="999.6"/>
    <m/>
    <n v="0"/>
    <n v="0.12117832464548504"/>
    <n v="0"/>
    <n v="999.72117832464551"/>
    <n v="2700"/>
    <x v="111"/>
    <s v="&lt;Клиент не выбран&gt;"/>
    <s v="2023 01"/>
    <n v="1700.2788216753545"/>
    <n v="1.7007530284841206"/>
  </r>
  <r>
    <s v="РО07"/>
    <n v="0"/>
    <s v="Roman"/>
    <s v="Доставлен"/>
    <d v="2023-01-18T00:00:00"/>
    <x v="7"/>
    <s v="Витамины"/>
    <s v="NWY-15686"/>
    <x v="16"/>
    <x v="234"/>
    <n v="999.6"/>
    <m/>
    <n v="0"/>
    <n v="0.12117832464548504"/>
    <n v="0"/>
    <n v="999.72117832464551"/>
    <n v="2600"/>
    <x v="88"/>
    <s v="&lt;Клиент не выбран&gt;"/>
    <s v="2023 02"/>
    <n v="1600.2788216753545"/>
    <n v="1.6007251385402643"/>
  </r>
  <r>
    <s v="РО07"/>
    <n v="0"/>
    <s v="Roman"/>
    <s v="Доставлен"/>
    <d v="2023-01-18T00:00:00"/>
    <x v="7"/>
    <s v="Витамины"/>
    <s v="NBC-00451"/>
    <x v="8"/>
    <x v="332"/>
    <n v="1068.2"/>
    <m/>
    <n v="0"/>
    <n v="0.12949448417997914"/>
    <n v="0"/>
    <n v="1068.32949448418"/>
    <n v="700"/>
    <x v="207"/>
    <s v="&lt;Клиент не выбран&gt;"/>
    <s v="2023 06"/>
    <n v="-368.32949448418003"/>
    <n v="-0.34477143651455588"/>
  </r>
  <r>
    <s v="РО07"/>
    <n v="0"/>
    <s v="Roman"/>
    <s v="Доставлен"/>
    <d v="2023-01-18T00:00:00"/>
    <x v="7"/>
    <s v="Витамины"/>
    <s v="NOW-03325"/>
    <x v="3"/>
    <x v="333"/>
    <n v="693"/>
    <m/>
    <n v="0"/>
    <n v="8.4010183052542153E-2"/>
    <n v="0"/>
    <n v="693.08401018305256"/>
    <n v="2000"/>
    <x v="153"/>
    <s v="&lt;Клиент не выбран&gt;"/>
    <s v="2023 04"/>
    <n v="1306.9159898169473"/>
    <n v="1.8856530674712488"/>
  </r>
  <r>
    <s v="РО07"/>
    <n v="0"/>
    <s v="Roman"/>
    <s v="Доставлен"/>
    <d v="2023-01-18T00:00:00"/>
    <x v="7"/>
    <s v="Витамины"/>
    <s v="NOW-03325"/>
    <x v="3"/>
    <x v="333"/>
    <n v="693"/>
    <m/>
    <n v="0"/>
    <n v="8.4010183052542153E-2"/>
    <n v="0"/>
    <n v="693.08401018305256"/>
    <n v="1900"/>
    <x v="178"/>
    <s v="&lt;Клиент не выбран&gt;"/>
    <s v="2023 05"/>
    <n v="1206.9159898169473"/>
    <n v="1.7413704140976864"/>
  </r>
  <r>
    <s v="OZA0045"/>
    <n v="0"/>
    <s v="OZON_AV"/>
    <s v="Доставлен"/>
    <d v="2023-01-19T00:00:00"/>
    <x v="7"/>
    <s v="Спортпит"/>
    <s v="310155519"/>
    <x v="39"/>
    <x v="334"/>
    <n v="1106"/>
    <m/>
    <n v="0"/>
    <n v="0"/>
    <n v="165.9"/>
    <n v="1271.9000000000001"/>
    <n v="2500"/>
    <x v="208"/>
    <s v="&lt;Клиент не выбран&gt;"/>
    <s v="2023 01"/>
    <n v="1228.0999999999999"/>
    <n v="0.96556333045050702"/>
  </r>
  <r>
    <s v="OZA0045"/>
    <n v="0"/>
    <s v="OZON_AV"/>
    <s v="Доставлен"/>
    <d v="2023-01-19T00:00:00"/>
    <x v="7"/>
    <s v="Спортпит"/>
    <s v="310155519"/>
    <x v="39"/>
    <x v="334"/>
    <n v="1106"/>
    <m/>
    <n v="0"/>
    <n v="0"/>
    <n v="165.9"/>
    <n v="1271.9000000000001"/>
    <n v="2500"/>
    <x v="43"/>
    <s v="&lt;Клиент не выбран&gt;"/>
    <s v="2023 02"/>
    <n v="1228.0999999999999"/>
    <n v="0.96556333045050702"/>
  </r>
  <r>
    <s v="OZA0045"/>
    <n v="0"/>
    <s v="OZON_AV"/>
    <s v="Доставлен"/>
    <d v="2023-01-19T00:00:00"/>
    <x v="7"/>
    <s v="Спортпит"/>
    <s v="313159974"/>
    <x v="39"/>
    <x v="291"/>
    <n v="606"/>
    <m/>
    <n v="0"/>
    <n v="0"/>
    <n v="90.9"/>
    <n v="696.9"/>
    <n v="1500"/>
    <x v="43"/>
    <s v="&lt;Клиент не выбран&gt;"/>
    <s v="2023 02"/>
    <n v="803.1"/>
    <n v="1.1523891519586742"/>
  </r>
  <r>
    <s v="OZA0045"/>
    <n v="0"/>
    <s v="OZON_AV"/>
    <s v="Доставлен"/>
    <d v="2023-01-19T00:00:00"/>
    <x v="7"/>
    <s v="Спортпит"/>
    <s v="313159974"/>
    <x v="39"/>
    <x v="291"/>
    <n v="606"/>
    <m/>
    <n v="0"/>
    <n v="0"/>
    <n v="90.9"/>
    <n v="696.9"/>
    <n v="1400"/>
    <x v="206"/>
    <s v="&lt;Клиент не выбран&gt;"/>
    <s v="2023 02"/>
    <n v="703.1"/>
    <n v="1.008896541828096"/>
  </r>
  <r>
    <s v="OZA0045"/>
    <n v="0"/>
    <s v="OZON_AV"/>
    <s v="Доставлен"/>
    <d v="2023-01-19T00:00:00"/>
    <x v="7"/>
    <s v="Спортпит"/>
    <s v="310120188"/>
    <x v="39"/>
    <x v="335"/>
    <n v="606"/>
    <m/>
    <n v="0"/>
    <n v="0"/>
    <n v="90.9"/>
    <n v="696.9"/>
    <n v="1400"/>
    <x v="54"/>
    <s v="&lt;Клиент не выбран&gt;"/>
    <s v="2023 04"/>
    <n v="703.1"/>
    <n v="1.008896541828096"/>
  </r>
  <r>
    <s v="OZA0045"/>
    <n v="0"/>
    <s v="OZON_AV"/>
    <s v="Доставлен"/>
    <d v="2023-01-19T00:00:00"/>
    <x v="7"/>
    <s v="Спортпит"/>
    <s v="310148133"/>
    <x v="39"/>
    <x v="336"/>
    <n v="1129"/>
    <m/>
    <n v="0"/>
    <n v="0"/>
    <n v="169.35"/>
    <n v="1298.3499999999999"/>
    <n v="2500"/>
    <x v="88"/>
    <s v="&lt;Клиент не выбран&gt;"/>
    <s v="2023 02"/>
    <n v="1201.6500000000001"/>
    <n v="0.92552085339084234"/>
  </r>
  <r>
    <s v="OZA0047"/>
    <n v="0"/>
    <s v="OZON_AV"/>
    <s v="Доставлен"/>
    <d v="2023-01-20T00:00:00"/>
    <x v="7"/>
    <s v="Спортпит"/>
    <s v="799989016"/>
    <x v="107"/>
    <x v="337"/>
    <n v="1693.5"/>
    <m/>
    <n v="0"/>
    <n v="0"/>
    <n v="254.02499999999998"/>
    <n v="1947.5250000000001"/>
    <n v="3000"/>
    <x v="209"/>
    <s v="&lt;Клиент не выбран&gt;"/>
    <s v="2023 02"/>
    <n v="1052.4749999999999"/>
    <n v="0.54041668271267373"/>
  </r>
  <r>
    <s v="OZA0047"/>
    <n v="0"/>
    <s v="OZON_AV"/>
    <s v="Доставлен"/>
    <d v="2023-01-20T00:00:00"/>
    <x v="7"/>
    <s v="Спортпит"/>
    <s v="799989016"/>
    <x v="107"/>
    <x v="337"/>
    <n v="1693.5"/>
    <m/>
    <n v="0"/>
    <n v="0"/>
    <n v="254.02499999999998"/>
    <n v="1947.5250000000001"/>
    <n v="3100"/>
    <x v="101"/>
    <s v="&lt;Клиент не выбран&gt;"/>
    <s v="2023 02"/>
    <n v="1152.4749999999999"/>
    <n v="0.59176390546976287"/>
  </r>
  <r>
    <s v="OZA0049"/>
    <n v="0"/>
    <s v="OZON_AV"/>
    <s v="Доставлен"/>
    <d v="2023-01-21T00:00:00"/>
    <x v="7"/>
    <s v="Спортпит"/>
    <s v="200508013"/>
    <x v="48"/>
    <x v="338"/>
    <n v="710"/>
    <n v="0"/>
    <n v="0"/>
    <n v="0"/>
    <n v="106.5"/>
    <n v="816.5"/>
    <n v="1300"/>
    <x v="165"/>
    <s v="&lt;Клиент не выбран&gt;"/>
    <s v="2023 03"/>
    <n v="483.5"/>
    <n v="0.59216166564605022"/>
  </r>
  <r>
    <s v="OZA0049"/>
    <n v="0"/>
    <s v="OZON_AV"/>
    <s v="Доставлен"/>
    <d v="2023-01-21T00:00:00"/>
    <x v="7"/>
    <s v="Спортпит"/>
    <s v="200508013"/>
    <x v="48"/>
    <x v="338"/>
    <n v="710"/>
    <n v="0"/>
    <n v="0"/>
    <n v="0"/>
    <n v="106.5"/>
    <n v="816.5"/>
    <n v="1300"/>
    <x v="138"/>
    <s v="&lt;Клиент не выбран&gt;"/>
    <s v="2023 03"/>
    <n v="483.5"/>
    <n v="0.59216166564605022"/>
  </r>
  <r>
    <s v="OZA0049"/>
    <n v="0"/>
    <s v="OZON_AV"/>
    <s v="Доставлен"/>
    <d v="2023-01-21T00:00:00"/>
    <x v="7"/>
    <s v="Спортпит"/>
    <s v="790318217"/>
    <x v="108"/>
    <x v="339"/>
    <n v="975"/>
    <m/>
    <n v="0"/>
    <n v="0"/>
    <n v="146.25"/>
    <n v="1121.25"/>
    <n v="1500"/>
    <x v="43"/>
    <s v="&lt;Клиент не выбран&gt;"/>
    <s v="2023 02"/>
    <n v="378.75"/>
    <n v="0.33779264214046822"/>
  </r>
  <r>
    <s v="OZA0049"/>
    <n v="0"/>
    <s v="OZON_AV"/>
    <s v="Доставлен"/>
    <d v="2023-01-21T00:00:00"/>
    <x v="7"/>
    <s v="Спортпит"/>
    <s v="790318217"/>
    <x v="108"/>
    <x v="339"/>
    <n v="975"/>
    <m/>
    <n v="0"/>
    <n v="0"/>
    <n v="146.25"/>
    <n v="1121.25"/>
    <n v="1500"/>
    <x v="37"/>
    <s v="&lt;Клиент не выбран&gt;"/>
    <s v="2023 02"/>
    <n v="378.75"/>
    <n v="0.33779264214046822"/>
  </r>
  <r>
    <s v="OZA0050"/>
    <n v="0"/>
    <s v="OZON_AV"/>
    <s v="Доставлен"/>
    <d v="2023-01-21T00:00:00"/>
    <x v="7"/>
    <s v="Спортпит"/>
    <s v="688630275"/>
    <x v="59"/>
    <x v="170"/>
    <n v="569"/>
    <m/>
    <n v="0"/>
    <n v="0"/>
    <n v="85.35"/>
    <n v="654.35"/>
    <n v="1000"/>
    <x v="210"/>
    <s v="&lt;Клиент не выбран&gt;"/>
    <s v="2024 07"/>
    <n v="345.65"/>
    <n v="0.52823412546802162"/>
  </r>
  <r>
    <s v="OZA0050"/>
    <n v="0"/>
    <s v="OZON_AV"/>
    <s v="Доставлен"/>
    <d v="2023-01-21T00:00:00"/>
    <x v="7"/>
    <s v="Спортпит"/>
    <s v="688630275"/>
    <x v="59"/>
    <x v="170"/>
    <n v="569"/>
    <m/>
    <n v="0"/>
    <n v="0"/>
    <n v="85.35"/>
    <n v="654.35"/>
    <n v="1000"/>
    <x v="211"/>
    <s v="&lt;Клиент не выбран&gt;"/>
    <s v="2024 09"/>
    <n v="345.65"/>
    <n v="0.52823412546802162"/>
  </r>
  <r>
    <s v="CC709125113"/>
    <n v="0"/>
    <s v="CoralClub_AV"/>
    <s v="Доставлен"/>
    <d v="2023-01-23T00:00:00"/>
    <x v="7"/>
    <s v="Витамины"/>
    <s v="000091881"/>
    <x v="79"/>
    <x v="225"/>
    <n v="1152"/>
    <m/>
    <n v="0"/>
    <n v="14.19718309859155"/>
    <n v="0"/>
    <n v="1166.1971830985915"/>
    <n v="1500"/>
    <x v="68"/>
    <s v="&lt;Клиент не выбран&gt;"/>
    <s v="2023 01"/>
    <n v="333.80281690140851"/>
    <n v="0.28623188405797106"/>
  </r>
  <r>
    <s v="CC709125113"/>
    <n v="0"/>
    <s v="CoralClub_AV"/>
    <s v="Доставлен"/>
    <d v="2023-01-23T00:00:00"/>
    <x v="7"/>
    <s v="Витамины"/>
    <s v="000002124"/>
    <x v="79"/>
    <x v="340"/>
    <n v="1280"/>
    <m/>
    <n v="0"/>
    <n v="15.774647887323944"/>
    <n v="0"/>
    <n v="1295.7746478873239"/>
    <n v="1600"/>
    <x v="101"/>
    <s v="&lt;Клиент не выбран&gt;"/>
    <s v="2023 02"/>
    <n v="304.22535211267609"/>
    <n v="0.23478260869565221"/>
  </r>
  <r>
    <s v="CC709125113"/>
    <n v="0"/>
    <s v="CoralClub_AV"/>
    <s v="Доставлен"/>
    <d v="2023-01-23T00:00:00"/>
    <x v="7"/>
    <s v="Витамины"/>
    <s v="000001130"/>
    <x v="79"/>
    <x v="341"/>
    <n v="704"/>
    <m/>
    <n v="0"/>
    <n v="8.6760563380281699"/>
    <n v="0"/>
    <n v="712.67605633802816"/>
    <n v="850"/>
    <x v="208"/>
    <s v="&lt;Клиент не выбран&gt;"/>
    <s v="2023 01"/>
    <n v="137.32394366197184"/>
    <n v="0.19268774703557315"/>
  </r>
  <r>
    <s v="CC709125113"/>
    <n v="0"/>
    <s v="CoralClub_AV"/>
    <s v="Доставлен"/>
    <d v="2023-01-23T00:00:00"/>
    <x v="7"/>
    <s v="Витамины"/>
    <s v="000001130"/>
    <x v="79"/>
    <x v="341"/>
    <n v="704"/>
    <m/>
    <n v="0"/>
    <n v="8.6760563380281699"/>
    <n v="0"/>
    <n v="712.67605633802816"/>
    <n v="850"/>
    <x v="208"/>
    <s v="&lt;Клиент не выбран&gt;"/>
    <s v="2023 01"/>
    <n v="137.32394366197184"/>
    <n v="0.19268774703557315"/>
  </r>
  <r>
    <s v="CC709125113"/>
    <n v="0"/>
    <s v="CoralClub_AV"/>
    <s v="Доставлен"/>
    <d v="2023-01-23T00:00:00"/>
    <x v="7"/>
    <s v="Витамины"/>
    <s v="000001130"/>
    <x v="79"/>
    <x v="341"/>
    <n v="704"/>
    <m/>
    <n v="0"/>
    <n v="8.6760563380281699"/>
    <n v="0"/>
    <n v="712.67605633802816"/>
    <n v="1050"/>
    <x v="212"/>
    <s v="&lt;Клиент не выбран&gt;"/>
    <s v="2023 05"/>
    <n v="337.32394366197184"/>
    <n v="0.47332015810276684"/>
  </r>
  <r>
    <s v="РО08"/>
    <n v="0"/>
    <s v="Roman"/>
    <s v="Доставлен"/>
    <d v="2023-01-25T00:00:00"/>
    <x v="7"/>
    <s v="Витамины"/>
    <s v="NBC-01016"/>
    <x v="8"/>
    <x v="97"/>
    <n v="420"/>
    <m/>
    <n v="0"/>
    <n v="12.160804020100503"/>
    <n v="0"/>
    <n v="432.1608040201005"/>
    <n v="1200"/>
    <x v="86"/>
    <s v="&lt;Клиент не выбран&gt;"/>
    <s v="2023 02"/>
    <n v="767.8391959798995"/>
    <n v="1.7767441860465116"/>
  </r>
  <r>
    <s v="РО08"/>
    <n v="0"/>
    <s v="Roman"/>
    <s v="Доставлен"/>
    <d v="2023-01-25T00:00:00"/>
    <x v="7"/>
    <s v="Витамины"/>
    <s v="NOW-02313"/>
    <x v="3"/>
    <x v="87"/>
    <n v="987"/>
    <m/>
    <n v="0"/>
    <n v="28.577889447236181"/>
    <n v="0"/>
    <n v="1015.5778894472362"/>
    <n v="2200"/>
    <x v="35"/>
    <s v="&lt;Клиент не выбран&gt;"/>
    <s v="2023 02"/>
    <n v="1184.4221105527638"/>
    <n v="1.1662543295398318"/>
  </r>
  <r>
    <s v="РО08"/>
    <n v="0"/>
    <s v="Roman"/>
    <s v="Доставлен"/>
    <d v="2023-01-25T00:00:00"/>
    <x v="7"/>
    <s v="Витамины"/>
    <s v="NOW-02313"/>
    <x v="3"/>
    <x v="87"/>
    <n v="987"/>
    <m/>
    <n v="0"/>
    <n v="28.577889447236181"/>
    <n v="0"/>
    <n v="1015.5778894472362"/>
    <n v="2400"/>
    <x v="170"/>
    <s v="&lt;Клиент не выбран&gt;"/>
    <s v="2023 03"/>
    <n v="1384.4221105527638"/>
    <n v="1.3631865413161801"/>
  </r>
  <r>
    <s v="РО08"/>
    <n v="0"/>
    <s v="Roman"/>
    <s v="Доставлен"/>
    <d v="2023-01-25T00:00:00"/>
    <x v="7"/>
    <s v="Витамины"/>
    <s v="NOW-02313"/>
    <x v="3"/>
    <x v="87"/>
    <n v="987"/>
    <m/>
    <n v="0"/>
    <n v="28.577889447236181"/>
    <n v="0"/>
    <n v="1015.5778894472362"/>
    <n v="2400"/>
    <x v="54"/>
    <s v="&lt;Клиент не выбран&gt;"/>
    <s v="2023 04"/>
    <n v="1384.4221105527638"/>
    <n v="1.3631865413161801"/>
  </r>
  <r>
    <s v="РО08"/>
    <n v="0"/>
    <s v="Roman"/>
    <s v="Доставлен"/>
    <d v="2023-01-25T00:00:00"/>
    <x v="7"/>
    <s v="Витамины"/>
    <s v="NOW-02313"/>
    <x v="3"/>
    <x v="87"/>
    <n v="987"/>
    <m/>
    <n v="0"/>
    <n v="28.577889447236181"/>
    <n v="0"/>
    <n v="1015.5778894472362"/>
    <n v="2200"/>
    <x v="213"/>
    <s v="&lt;Клиент не выбран&gt;"/>
    <s v="2023 07"/>
    <n v="1184.4221105527638"/>
    <n v="1.1662543295398318"/>
  </r>
  <r>
    <s v="РО08"/>
    <n v="0"/>
    <s v="Roman"/>
    <s v="Доставлен"/>
    <d v="2023-01-25T00:00:00"/>
    <x v="7"/>
    <s v="Витамины"/>
    <s v="NWY-15686"/>
    <x v="16"/>
    <x v="234"/>
    <n v="999.6"/>
    <m/>
    <n v="0"/>
    <n v="28.942713567839196"/>
    <n v="0"/>
    <n v="1028.5427135678392"/>
    <n v="2500"/>
    <x v="96"/>
    <s v="&lt;Клиент не выбран&gt;"/>
    <s v="2023 01"/>
    <n v="1471.4572864321608"/>
    <n v="1.4306234121555599"/>
  </r>
  <r>
    <s v="РО08"/>
    <n v="0"/>
    <s v="Roman"/>
    <s v="Доставлен"/>
    <d v="2023-01-25T00:00:00"/>
    <x v="7"/>
    <s v="Витамины"/>
    <s v="NAP-03950"/>
    <x v="11"/>
    <x v="342"/>
    <n v="445.2"/>
    <m/>
    <n v="0"/>
    <n v="12.890452261306534"/>
    <n v="0"/>
    <n v="458.0904522613065"/>
    <n v="1200"/>
    <x v="196"/>
    <s v="&lt;Клиент не выбран&gt;"/>
    <s v="2023 01"/>
    <n v="741.9095477386935"/>
    <n v="1.619569986836332"/>
  </r>
  <r>
    <s v="РО08"/>
    <n v="0"/>
    <s v="Roman"/>
    <s v="Доставлен"/>
    <d v="2023-01-25T00:00:00"/>
    <x v="7"/>
    <s v="Витамины"/>
    <s v="NOW-01283"/>
    <x v="3"/>
    <x v="343"/>
    <n v="798"/>
    <m/>
    <n v="0"/>
    <n v="23.105527638190956"/>
    <n v="0"/>
    <n v="821.10552763819101"/>
    <n v="2000"/>
    <x v="89"/>
    <s v="&lt;Клиент не выбран&gt;"/>
    <s v="2023 02"/>
    <n v="1178.894472361809"/>
    <n v="1.4357405140758872"/>
  </r>
  <r>
    <s v="РО08"/>
    <n v="0"/>
    <s v="Roman"/>
    <s v="Доставлен"/>
    <d v="2023-01-25T00:00:00"/>
    <x v="7"/>
    <s v="Витамины"/>
    <s v="NFS-01344"/>
    <x v="23"/>
    <x v="344"/>
    <n v="389.2"/>
    <m/>
    <n v="0"/>
    <n v="11.269011725293133"/>
    <n v="0"/>
    <n v="400.46901172529311"/>
    <n v="1200"/>
    <x v="214"/>
    <s v="&lt;Клиент не выбран&gt;"/>
    <s v="2023 12"/>
    <n v="799.53098827470694"/>
    <n v="1.996486531704869"/>
  </r>
  <r>
    <s v="РО08"/>
    <n v="0"/>
    <s v="Roman"/>
    <s v="Доставлен"/>
    <d v="2023-01-25T00:00:00"/>
    <x v="7"/>
    <s v="Витамины"/>
    <s v="NOW-00072"/>
    <x v="3"/>
    <x v="345"/>
    <n v="882"/>
    <m/>
    <n v="0"/>
    <n v="25.537688442211056"/>
    <n v="0"/>
    <n v="907.53768844221111"/>
    <n v="1800"/>
    <x v="90"/>
    <s v="&lt;Клиент не выбран&gt;"/>
    <s v="2023 02"/>
    <n v="892.46231155778889"/>
    <n v="0.98338870431893677"/>
  </r>
  <r>
    <s v="РО08"/>
    <n v="0"/>
    <s v="Roman"/>
    <s v="Доставлен"/>
    <d v="2023-01-25T00:00:00"/>
    <x v="7"/>
    <s v="Витамины"/>
    <s v="NOW-03123"/>
    <x v="3"/>
    <x v="346"/>
    <n v="1148"/>
    <m/>
    <n v="0"/>
    <n v="33.239530988274709"/>
    <n v="0"/>
    <n v="1181.2395309882747"/>
    <n v="1750"/>
    <x v="100"/>
    <s v="&lt;Клиент не выбран&gt;"/>
    <s v="2023 05"/>
    <n v="568.76046901172526"/>
    <n v="0.48149461145774247"/>
  </r>
  <r>
    <s v="РО08"/>
    <n v="0"/>
    <s v="Roman"/>
    <s v="Доставлен"/>
    <d v="2023-01-25T00:00:00"/>
    <x v="7"/>
    <s v="Витамины"/>
    <s v="NOW-03123"/>
    <x v="3"/>
    <x v="346"/>
    <n v="1148"/>
    <m/>
    <n v="0"/>
    <n v="33.239530988274709"/>
    <n v="0"/>
    <n v="1181.2395309882747"/>
    <m/>
    <x v="20"/>
    <m/>
    <s v=""/>
    <n v="-1181.2395309882747"/>
    <s v=""/>
  </r>
  <r>
    <s v="РО08"/>
    <n v="0"/>
    <s v="Roman"/>
    <s v="Доставлен"/>
    <d v="2023-01-25T00:00:00"/>
    <x v="7"/>
    <s v="Витамины"/>
    <s v="OSL-01395"/>
    <x v="66"/>
    <x v="185"/>
    <n v="537.6"/>
    <m/>
    <n v="0"/>
    <n v="15.565829145728644"/>
    <n v="0"/>
    <n v="553.16582914572871"/>
    <n v="1600"/>
    <x v="89"/>
    <s v="&lt;Клиент не выбран&gt;"/>
    <s v="2023 02"/>
    <n v="1046.8341708542712"/>
    <n v="1.8924418604651156"/>
  </r>
  <r>
    <s v="РО08"/>
    <n v="0"/>
    <s v="Roman"/>
    <s v="Доставлен"/>
    <d v="2023-01-25T00:00:00"/>
    <x v="7"/>
    <s v="Витамины"/>
    <s v="OSL-01395"/>
    <x v="66"/>
    <x v="185"/>
    <n v="537.6"/>
    <m/>
    <n v="0"/>
    <n v="15.565829145728644"/>
    <n v="0"/>
    <n v="553.16582914572871"/>
    <n v="1600"/>
    <x v="90"/>
    <s v="&lt;Клиент не выбран&gt;"/>
    <s v="2023 02"/>
    <n v="1046.8341708542712"/>
    <n v="1.8924418604651156"/>
  </r>
  <r>
    <s v="РО08"/>
    <n v="0"/>
    <s v="Roman"/>
    <s v="Доставлен"/>
    <d v="2023-01-25T00:00:00"/>
    <x v="7"/>
    <s v="Витамины"/>
    <s v="NWY-64600"/>
    <x v="16"/>
    <x v="347"/>
    <n v="434"/>
    <m/>
    <n v="0"/>
    <n v="12.566164154103852"/>
    <n v="0"/>
    <n v="446.56616415410383"/>
    <m/>
    <x v="20"/>
    <m/>
    <s v=""/>
    <n v="-446.56616415410383"/>
    <s v=""/>
  </r>
  <r>
    <s v="РО08"/>
    <n v="0"/>
    <s v="Roman"/>
    <s v="Доставлен"/>
    <d v="2023-01-25T00:00:00"/>
    <x v="7"/>
    <s v="Витамины"/>
    <s v="NOW-07725"/>
    <x v="3"/>
    <x v="348"/>
    <n v="485.8"/>
    <m/>
    <n v="0"/>
    <n v="14.065996649916247"/>
    <n v="0"/>
    <n v="499.86599664991627"/>
    <n v="1100"/>
    <x v="103"/>
    <s v="&lt;Клиент не выбран&gt;"/>
    <s v="2023 03"/>
    <n v="600.13400335008373"/>
    <n v="1.2005897728034314"/>
  </r>
  <r>
    <s v="РО08"/>
    <n v="0"/>
    <s v="Roman"/>
    <s v="Доставлен"/>
    <d v="2023-01-25T00:00:00"/>
    <x v="7"/>
    <s v="Косметика"/>
    <s v=" с содой,"/>
    <x v="109"/>
    <x v="349"/>
    <n v="364"/>
    <m/>
    <n v="0"/>
    <n v="10.539363484087103"/>
    <n v="0"/>
    <n v="374.53936348408712"/>
    <n v="700"/>
    <x v="131"/>
    <s v="&lt;Клиент не выбран&gt;"/>
    <s v="2023 02"/>
    <n v="325.46063651591288"/>
    <n v="0.86896243291592123"/>
  </r>
  <r>
    <s v="516025402"/>
    <s v="710000549542"/>
    <s v="iHerb_VP DFD1605"/>
    <s v="Доставлен"/>
    <d v="2023-01-11T00:00:00"/>
    <x v="7"/>
    <s v="Витамины"/>
    <s v="NAP-29950"/>
    <x v="11"/>
    <x v="350"/>
    <n v="7.46"/>
    <n v="-0.75"/>
    <n v="0.16988153243527282"/>
    <n v="9.1100444386171276E-16"/>
    <n v="1.1680656212040563"/>
    <n v="619.69193083022833"/>
    <n v="1500"/>
    <x v="215"/>
    <s v="&lt;Клиент не выбран&gt;"/>
    <s v="2023 11"/>
    <n v="880.30806916977167"/>
    <n v="1.4205575792965135"/>
  </r>
  <r>
    <s v="516025402"/>
    <s v="710000549542"/>
    <s v="iHerb_VP DFD1605"/>
    <s v="Доставлен"/>
    <d v="2023-01-11T00:00:00"/>
    <x v="7"/>
    <s v="Витамины"/>
    <s v="LIL-00623"/>
    <x v="110"/>
    <x v="351"/>
    <n v="8.02"/>
    <n v="-0.8"/>
    <n v="0.18279354160695527"/>
    <n v="9.8024621232214085E-16"/>
    <n v="1.2568455715489253"/>
    <n v="666.79221171300287"/>
    <n v="1300"/>
    <x v="101"/>
    <s v="&lt;Клиент не выбран&gt;"/>
    <s v="2023 02"/>
    <n v="633.20778828699713"/>
    <n v="0.94963284988028474"/>
  </r>
  <r>
    <s v="516025402"/>
    <s v="710000549542"/>
    <s v="iHerb_VP DFD1605"/>
    <s v="Доставлен"/>
    <d v="2023-01-11T00:00:00"/>
    <x v="7"/>
    <s v="Витамины"/>
    <s v="NWY-11750"/>
    <x v="16"/>
    <x v="98"/>
    <n v="8.59"/>
    <n v="-0.86"/>
    <n v="0.19570555077863769"/>
    <n v="1.0494879807825691E-15"/>
    <n v="1.3456255218937938"/>
    <n v="713.89249259577718"/>
    <n v="713.89"/>
    <x v="135"/>
    <s v="&lt;Клиент не выбран&gt;"/>
    <s v="2023 02"/>
    <n v="-2.4925957771984031E-3"/>
    <n v="-3.4915562259733269E-6"/>
  </r>
  <r>
    <s v="516025402"/>
    <s v="710000549542"/>
    <s v="iHerb_VP DFD1605"/>
    <s v="Доставлен"/>
    <d v="2023-01-11T00:00:00"/>
    <x v="7"/>
    <s v="Витамины"/>
    <s v="NWY-11750"/>
    <x v="16"/>
    <x v="98"/>
    <n v="8.59"/>
    <n v="-0.86"/>
    <n v="0.19570555077863769"/>
    <n v="1.0494879807825691E-15"/>
    <n v="1.3456255218937938"/>
    <n v="713.89249259577718"/>
    <n v="1500"/>
    <x v="216"/>
    <s v="&lt;Клиент не выбран&gt;"/>
    <s v="2024 05"/>
    <n v="786.10750740422282"/>
    <n v="1.1011567085484613"/>
  </r>
  <r>
    <s v="516025402"/>
    <s v="710000549542"/>
    <s v="iHerb_VP DFD1605"/>
    <s v="Доставлен"/>
    <d v="2023-01-11T00:00:00"/>
    <x v="7"/>
    <s v="Витамины"/>
    <s v="NAP-37691"/>
    <x v="11"/>
    <x v="352"/>
    <n v="9.5399999999999991"/>
    <n v="-0.95"/>
    <n v="0.21747874271520024"/>
    <n v="1.1662486099511344E-15"/>
    <n v="1.4953328891420041"/>
    <n v="793.31649565300484"/>
    <n v="1500"/>
    <x v="101"/>
    <s v="&lt;Клиент не выбран&gt;"/>
    <s v="2023 02"/>
    <n v="706.68350434699516"/>
    <n v="0.89079643272172326"/>
  </r>
  <r>
    <s v="516025402"/>
    <s v="710000549542"/>
    <s v="iHerb_VP DFD1605"/>
    <s v="Доставлен"/>
    <d v="2023-01-11T00:00:00"/>
    <x v="7"/>
    <s v="Витамины"/>
    <s v="CEN-22408"/>
    <x v="2"/>
    <x v="353"/>
    <n v="7.43"/>
    <n v="-0.74"/>
    <n v="0.16937517913442252"/>
    <n v="9.082890803926762E-16"/>
    <n v="1.1645840545238655"/>
    <n v="617.84486099168828"/>
    <n v="1200"/>
    <x v="101"/>
    <s v="&lt;Клиент не выбран&gt;"/>
    <s v="2023 02"/>
    <n v="582.15513900831172"/>
    <n v="0.94223513986004215"/>
  </r>
  <r>
    <s v="516025402"/>
    <s v="710000549542"/>
    <s v="iHerb_VP DFD1605"/>
    <s v="Доставлен"/>
    <d v="2023-01-11T00:00:00"/>
    <x v="7"/>
    <s v="Косметика"/>
    <s v="SYI-02110"/>
    <x v="24"/>
    <x v="55"/>
    <n v="8"/>
    <n v="-2.4"/>
    <n v="0.14177892423808164"/>
    <n v="7.6030177133019237E-16"/>
    <n v="0.97483867045345995"/>
    <n v="517.17955479124873"/>
    <m/>
    <x v="20"/>
    <m/>
    <s v=""/>
    <n v="-517.17955479124873"/>
    <s v=""/>
  </r>
  <r>
    <s v="516025402"/>
    <s v="710000549542"/>
    <s v="iHerb_VP DFD1605"/>
    <s v="Доставлен"/>
    <d v="2023-01-11T00:00:00"/>
    <x v="7"/>
    <s v="Косметика"/>
    <s v="RSE-01956"/>
    <x v="28"/>
    <x v="64"/>
    <n v="6"/>
    <n v="-1.8"/>
    <n v="0.10633419317856124"/>
    <n v="5.7022632849764435E-16"/>
    <n v="0.73112900284009508"/>
    <n v="387.88466609343669"/>
    <n v="700"/>
    <x v="69"/>
    <s v="&lt;Клиент не выбран&gt;"/>
    <s v="2023 03"/>
    <n v="312.11533390656331"/>
    <n v="0.80466015078662201"/>
  </r>
  <r>
    <s v="516025402"/>
    <s v="710000549542"/>
    <s v="iHerb_VP DFD1605"/>
    <s v="Доставлен"/>
    <d v="2023-01-11T00:00:00"/>
    <x v="7"/>
    <s v="Витамины"/>
    <s v="NOW-04739"/>
    <x v="3"/>
    <x v="191"/>
    <n v="13.1"/>
    <n v="-2.62"/>
    <n v="0.26532912964555283"/>
    <n v="1.4228504577750744E-15"/>
    <n v="1.8243409404200466"/>
    <n v="967.86459539505131"/>
    <n v="2400"/>
    <x v="217"/>
    <s v="&lt;Клиент не выбран&gt;"/>
    <s v="2024 08"/>
    <n v="1432.1354046049487"/>
    <n v="1.4796857033709316"/>
  </r>
  <r>
    <s v="516025402"/>
    <s v="710000549542"/>
    <s v="iHerb_VP DFD1605"/>
    <s v="Доставлен"/>
    <d v="2023-01-11T00:00:00"/>
    <x v="7"/>
    <s v="Витамины"/>
    <s v="NWY-03501"/>
    <x v="16"/>
    <x v="86"/>
    <n v="15.29"/>
    <n v="-3.06"/>
    <n v="0.3096350434699533"/>
    <n v="1.6604447613157594E-15"/>
    <n v="2.1289780249367527"/>
    <n v="1129.4832062673165"/>
    <n v="2200"/>
    <x v="218"/>
    <s v="&lt;Клиент не выбран&gt;"/>
    <s v="2023 08"/>
    <n v="1070.5167937326835"/>
    <n v="0.94779345792178393"/>
  </r>
  <r>
    <s v="516025402"/>
    <s v="710000549542"/>
    <s v="iHerb_VP DFD1605"/>
    <s v="Доставлен"/>
    <d v="2023-01-11T00:00:00"/>
    <x v="7"/>
    <s v="Витамины"/>
    <s v="CEN-27387"/>
    <x v="2"/>
    <x v="23"/>
    <n v="18.88"/>
    <n v="-1.89"/>
    <n v="0.43014712907232261"/>
    <n v="2.3067012669464227E-15"/>
    <n v="2.9575908948221938"/>
    <n v="1569.085827839878"/>
    <n v="3200"/>
    <x v="137"/>
    <s v="&lt;Клиент не выбран&gt;"/>
    <s v="2023 02"/>
    <n v="1630.914172160122"/>
    <n v="1.0394040550384434"/>
  </r>
  <r>
    <s v="516025402"/>
    <s v="710000549542"/>
    <s v="iHerb_VP DFD1605"/>
    <s v="Доставлен"/>
    <d v="2023-01-11T00:00:00"/>
    <x v="7"/>
    <s v="Витамины"/>
    <s v="CGN-01856"/>
    <x v="1"/>
    <x v="276"/>
    <n v="15"/>
    <n v="-4.5"/>
    <n v="0.26583548294640308"/>
    <n v="1.4255658212441107E-15"/>
    <n v="1.8278225071002376"/>
    <n v="969.71166523359159"/>
    <n v="2100"/>
    <x v="219"/>
    <s v="&lt;Клиент не выбран&gt;"/>
    <s v="2023 11"/>
    <n v="1130.2883347664083"/>
    <n v="1.1655921809439467"/>
  </r>
  <r>
    <s v="516249415"/>
    <s v="710000579455"/>
    <s v="iHerb_OA CZN6870"/>
    <s v="Доставлен"/>
    <d v="2023-01-24T00:00:00"/>
    <x v="7"/>
    <s v="Витамины"/>
    <s v="NFS-04956"/>
    <x v="23"/>
    <x v="354"/>
    <n v="31.13"/>
    <n v="-3.11"/>
    <n v="3.3620311251116641"/>
    <n v="0"/>
    <n v="3.6305775187716036"/>
    <n v="2695.9708655790118"/>
    <n v="5500"/>
    <x v="165"/>
    <s v="&lt;Клиент не выбран&gt;"/>
    <s v="2023 03"/>
    <n v="2804.0291344209882"/>
    <n v="1.0400813933939783"/>
  </r>
  <r>
    <s v="516249415"/>
    <s v="710000579455"/>
    <s v="iHerb_OA CZN6870"/>
    <s v="Доставлен"/>
    <d v="2023-01-24T00:00:00"/>
    <x v="7"/>
    <s v="Витамины"/>
    <s v="CGN-00934"/>
    <x v="1"/>
    <x v="77"/>
    <n v="13"/>
    <n v="-3.9"/>
    <n v="1.0918802012318396"/>
    <n v="0"/>
    <n v="1.1790954825418127"/>
    <n v="875.56512765057118"/>
    <m/>
    <x v="20"/>
    <m/>
    <s v=""/>
    <n v="-875.56512765057118"/>
    <s v=""/>
  </r>
  <r>
    <s v="516249415"/>
    <s v="710000579455"/>
    <s v="iHerb_OA CZN6870"/>
    <s v="Доставлен"/>
    <d v="2023-01-24T00:00:00"/>
    <x v="7"/>
    <s v="Витамины"/>
    <s v="CGN-01330"/>
    <x v="1"/>
    <x v="89"/>
    <n v="15"/>
    <n v="-4.5"/>
    <n v="1.2598617706521225"/>
    <n v="0"/>
    <n v="1.3604947875482454"/>
    <n v="1010.2674549814283"/>
    <n v="2300"/>
    <x v="42"/>
    <s v="&lt;Клиент не выбран&gt;"/>
    <s v="2023 03"/>
    <n v="1289.7325450185717"/>
    <n v="1.2766248567734777"/>
  </r>
  <r>
    <s v="516249415"/>
    <s v="710000579455"/>
    <s v="iHerb_OA CZN6870"/>
    <s v="Доставлен"/>
    <d v="2023-01-24T00:00:00"/>
    <x v="7"/>
    <s v="Витамины"/>
    <s v="CGN-01330"/>
    <x v="1"/>
    <x v="89"/>
    <n v="15"/>
    <n v="-4.5"/>
    <n v="1.2598617706521225"/>
    <n v="0"/>
    <n v="1.3604947875482454"/>
    <n v="1010.2674549814283"/>
    <n v="2300"/>
    <x v="172"/>
    <s v="&lt;Клиент не выбран&gt;"/>
    <s v="2023 03"/>
    <n v="1289.7325450185717"/>
    <n v="1.2766248567734777"/>
  </r>
  <r>
    <s v="516249415"/>
    <s v="710000579455"/>
    <s v="iHerb_OA CZN6870"/>
    <s v="Доставлен"/>
    <d v="2023-01-24T00:00:00"/>
    <x v="7"/>
    <s v="Витамины"/>
    <s v="CGN-01330"/>
    <x v="1"/>
    <x v="89"/>
    <n v="15"/>
    <n v="-4.5"/>
    <n v="1.2598617706521225"/>
    <n v="0"/>
    <n v="1.3604947875482454"/>
    <n v="1010.2674549814283"/>
    <n v="2100"/>
    <x v="106"/>
    <s v="&lt;Клиент не выбран&gt;"/>
    <s v="2023 06"/>
    <n v="1089.7325450185717"/>
    <n v="1.07865747792361"/>
  </r>
  <r>
    <s v="516249415"/>
    <s v="710000579455"/>
    <s v="iHerb_OA CZN6870"/>
    <s v="Доставлен"/>
    <d v="2023-01-24T00:00:00"/>
    <x v="7"/>
    <s v="Спортпит"/>
    <s v="CGN-01064"/>
    <x v="1"/>
    <x v="156"/>
    <n v="23"/>
    <n v="-6.9"/>
    <n v="1.9317880483332548"/>
    <n v="0"/>
    <n v="2.0860920075739768"/>
    <n v="1549.0767643048569"/>
    <n v="2900"/>
    <x v="121"/>
    <s v="&lt;Клиент не выбран&gt;"/>
    <s v="2023 03"/>
    <n v="1350.9232356951431"/>
    <n v="0.87208282173244367"/>
  </r>
  <r>
    <s v="516249415"/>
    <s v="710000579455"/>
    <s v="iHerb_OA CZN6870"/>
    <s v="Доставлен"/>
    <d v="2023-01-24T00:00:00"/>
    <x v="7"/>
    <s v="Витамины"/>
    <s v="LEX-23151"/>
    <x v="7"/>
    <x v="17"/>
    <n v="20.69"/>
    <n v="-2.0699999999999998"/>
    <n v="2.2341548732897643"/>
    <n v="0"/>
    <n v="2.412610756585555"/>
    <n v="1791.5409535003996"/>
    <n v="2900"/>
    <x v="42"/>
    <s v="&lt;Клиент не выбран&gt;"/>
    <s v="2023 03"/>
    <n v="1108.4590464996004"/>
    <n v="0.61871822931752651"/>
  </r>
  <r>
    <s v="516249415"/>
    <s v="710000579455"/>
    <s v="iHerb_OA CZN6870"/>
    <s v="Доставлен"/>
    <d v="2023-01-24T00:00:00"/>
    <x v="7"/>
    <s v="Витамины"/>
    <s v="LEX-23166"/>
    <x v="7"/>
    <x v="18"/>
    <n v="11.37"/>
    <n v="-1.1399999999999999"/>
    <n v="1.2274653251210679"/>
    <n v="0"/>
    <n v="1.3255106358684332"/>
    <n v="984.28914899619144"/>
    <n v="1700"/>
    <x v="220"/>
    <s v="&lt;Клиент не выбран&gt;"/>
    <s v="2023 03"/>
    <n v="715.71085100380856"/>
    <n v="0.7271347568280242"/>
  </r>
  <r>
    <s v="516249415"/>
    <s v="710000579455"/>
    <s v="iHerb_OA CZN6870"/>
    <s v="Доставлен"/>
    <d v="2023-01-24T00:00:00"/>
    <x v="7"/>
    <s v="Косметика"/>
    <s v="IDE-01946"/>
    <x v="111"/>
    <x v="355"/>
    <n v="14"/>
    <n v="-8.4"/>
    <n v="0.671926277681132"/>
    <n v="0"/>
    <n v="0.72559722002573079"/>
    <n v="538.80930932342847"/>
    <n v="1400"/>
    <x v="69"/>
    <s v="&lt;Клиент не выбран&gt;"/>
    <s v="2023 03"/>
    <n v="861.19069067657153"/>
    <n v="1.5983218474045124"/>
  </r>
  <r>
    <s v="516249415"/>
    <s v="710000579455"/>
    <s v="iHerb_OA CZN6870"/>
    <s v="Доставлен"/>
    <d v="2023-01-24T00:00:00"/>
    <x v="7"/>
    <s v="Косметика"/>
    <s v="IDE-01946"/>
    <x v="111"/>
    <x v="355"/>
    <n v="14"/>
    <n v="-8.4"/>
    <n v="0.671926277681132"/>
    <n v="0"/>
    <n v="0.72559722002573079"/>
    <n v="538.80930932342847"/>
    <m/>
    <x v="20"/>
    <m/>
    <s v=""/>
    <n v="-538.80930932342847"/>
    <s v=""/>
  </r>
  <r>
    <s v="516249415"/>
    <s v="710000579455"/>
    <s v="iHerb_OA CZN6870"/>
    <s v="Доставлен"/>
    <d v="2023-01-24T00:00:00"/>
    <x v="7"/>
    <s v="Косметика"/>
    <s v="BLT-66021"/>
    <x v="62"/>
    <x v="175"/>
    <n v="2.86"/>
    <n v="-0.28499999999999998"/>
    <n v="0.30896610089802057"/>
    <n v="0"/>
    <n v="0.33364515027968877"/>
    <n v="247.75606634068359"/>
    <n v="600"/>
    <x v="147"/>
    <s v="&lt;Клиент не выбран&gt;"/>
    <s v="2024 02"/>
    <n v="352.24393365931644"/>
    <n v="1.4217368674838178"/>
  </r>
  <r>
    <s v="516249415"/>
    <s v="710000579455"/>
    <s v="iHerb_OA CZN6870"/>
    <s v="Доставлен"/>
    <d v="2023-01-24T00:00:00"/>
    <x v="7"/>
    <s v="Косметика"/>
    <s v="BLT-66021"/>
    <x v="62"/>
    <x v="175"/>
    <n v="2.86"/>
    <n v="-0.28499999999999998"/>
    <n v="0.30896610089802057"/>
    <n v="0"/>
    <n v="0.33364515027968877"/>
    <n v="247.75606634068359"/>
    <m/>
    <x v="20"/>
    <m/>
    <s v=""/>
    <n v="-247.75606634068359"/>
    <s v=""/>
  </r>
  <r>
    <s v="516249415"/>
    <s v="710000579455"/>
    <s v="iHerb_OA CZN6870"/>
    <s v="Доставлен"/>
    <d v="2023-01-24T00:00:00"/>
    <x v="7"/>
    <s v="Спортпит"/>
    <s v="CGN-01058"/>
    <x v="1"/>
    <x v="356"/>
    <n v="24"/>
    <n v="-7.2"/>
    <n v="2.0157788330433961"/>
    <n v="0"/>
    <n v="2.1767916600771926"/>
    <n v="1616.4279279702853"/>
    <n v="2700"/>
    <x v="220"/>
    <s v="&lt;Клиент не выбран&gt;"/>
    <s v="2023 03"/>
    <n v="1083.5720720297147"/>
    <n v="0.67034975904575811"/>
  </r>
  <r>
    <s v="516249415"/>
    <s v="710000579455"/>
    <s v="iHerb_OA CZN6870"/>
    <s v="Доставлен"/>
    <d v="2023-01-24T00:00:00"/>
    <x v="7"/>
    <s v="Витамины"/>
    <s v="SPN-00215"/>
    <x v="45"/>
    <x v="157"/>
    <n v="19.28"/>
    <n v="-11.57"/>
    <n v="0.92509850016455875"/>
    <n v="0"/>
    <n v="0.99899188685685469"/>
    <n v="741.82495980064891"/>
    <n v="2500"/>
    <x v="193"/>
    <s v="&lt;Клиент не выбран&gt;"/>
    <s v="2023 03"/>
    <n v="1758.1750401993511"/>
    <n v="2.3700672469578627"/>
  </r>
  <r>
    <s v="516249415"/>
    <s v="710000579455"/>
    <s v="iHerb_OA CZN6870"/>
    <s v="Доставлен"/>
    <d v="2023-01-24T00:00:00"/>
    <x v="7"/>
    <s v="Витамины"/>
    <s v="NWY-15350"/>
    <x v="16"/>
    <x v="357"/>
    <n v="15.43"/>
    <n v="-1.54"/>
    <n v="1.666617142319808"/>
    <n v="0"/>
    <n v="1.7997402475281077"/>
    <n v="1336.4395190182895"/>
    <n v="2100"/>
    <x v="134"/>
    <s v="&lt;Клиент не выбран&gt;"/>
    <s v="2023 03"/>
    <n v="763.5604809817105"/>
    <n v="0.57133934616255611"/>
  </r>
  <r>
    <s v="516249415"/>
    <s v="710000579455"/>
    <s v="iHerb_OA CZN6870"/>
    <s v="Доставлен"/>
    <d v="2023-01-24T00:00:00"/>
    <x v="7"/>
    <s v="Витамины"/>
    <s v="NOW-04620"/>
    <x v="3"/>
    <x v="248"/>
    <n v="6.61"/>
    <n v="-1.61"/>
    <n v="0.59993417650101077"/>
    <n v="0"/>
    <n v="0.64785466073725972"/>
    <n v="481.07974046734677"/>
    <n v="1200"/>
    <x v="221"/>
    <s v="&lt;Клиент не выбран&gt;"/>
    <s v="2023 06"/>
    <n v="718.92025953265329"/>
    <n v="1.4943889735083324"/>
  </r>
  <r>
    <s v="516249415"/>
    <s v="710000579455"/>
    <s v="iHerb_OA CZN6870"/>
    <s v="Доставлен"/>
    <d v="2023-01-24T00:00:00"/>
    <x v="7"/>
    <s v="Витамины"/>
    <s v="AMH-03233"/>
    <x v="22"/>
    <x v="358"/>
    <n v="13.37"/>
    <n v="-1.335"/>
    <n v="1.4440415628379328"/>
    <n v="0"/>
    <n v="1.5593861683945842"/>
    <n v="1157.9589353049039"/>
    <n v="2000"/>
    <x v="222"/>
    <s v="&lt;Клиент не выбран&gt;"/>
    <s v="2023 03"/>
    <n v="842.04106469509611"/>
    <n v="0.72717696545376809"/>
  </r>
  <r>
    <s v="516249415"/>
    <s v="710000579455"/>
    <s v="iHerb_OA CZN6870"/>
    <s v="Доставлен"/>
    <d v="2023-01-24T00:00:00"/>
    <x v="7"/>
    <s v="Витамины"/>
    <s v="AMH-03233"/>
    <x v="22"/>
    <x v="358"/>
    <n v="13.37"/>
    <n v="-1.335"/>
    <n v="1.4440415628379328"/>
    <n v="0"/>
    <n v="1.5593861683945842"/>
    <n v="1157.9589353049039"/>
    <n v="1900"/>
    <x v="193"/>
    <s v="&lt;Клиент не выбран&gt;"/>
    <s v="2023 03"/>
    <n v="742.04106469509611"/>
    <n v="0.64081811718107962"/>
  </r>
  <r>
    <s v="516249415"/>
    <s v="710000579455"/>
    <s v="iHerb_OA CZN6870"/>
    <s v="Доставлен"/>
    <d v="2023-01-24T00:00:00"/>
    <x v="7"/>
    <s v="Витамины"/>
    <s v="NOW-00372"/>
    <x v="3"/>
    <x v="13"/>
    <n v="6.64"/>
    <n v="-1.99"/>
    <n v="0.55793878414593989"/>
    <n v="0"/>
    <n v="0.60250483448565151"/>
    <n v="447.40415863463255"/>
    <n v="1000"/>
    <x v="220"/>
    <s v="&lt;Клиент не выбран&gt;"/>
    <s v="2023 03"/>
    <n v="552.59584136536751"/>
    <n v="1.2351155676597958"/>
  </r>
  <r>
    <s v="516249415"/>
    <s v="710000579455"/>
    <s v="iHerb_OA CZN6870"/>
    <s v="Доставлен"/>
    <d v="2023-01-24T00:00:00"/>
    <x v="7"/>
    <s v="Витамины"/>
    <s v="NOW-00372"/>
    <x v="3"/>
    <x v="13"/>
    <n v="6.64"/>
    <n v="-1.99"/>
    <n v="0.55793878414593989"/>
    <n v="0"/>
    <n v="0.60250483448565151"/>
    <n v="447.40415863463255"/>
    <n v="1100"/>
    <x v="203"/>
    <s v="&lt;Клиент не выбран&gt;"/>
    <s v="2023 04"/>
    <n v="652.59584136536751"/>
    <n v="1.4586271244257754"/>
  </r>
  <r>
    <s v="516249415"/>
    <s v="710000579455"/>
    <s v="iHerb_OA CZN6870"/>
    <s v="Доставлен"/>
    <d v="2023-01-24T00:00:00"/>
    <x v="7"/>
    <s v="Витамины"/>
    <s v="CGN-01065"/>
    <x v="1"/>
    <x v="14"/>
    <n v="6"/>
    <n v="-3"/>
    <n v="0.35996050590060646"/>
    <n v="0"/>
    <n v="0.38871279644235585"/>
    <n v="288.64784428040809"/>
    <n v="850"/>
    <x v="100"/>
    <s v="&lt;Клиент не выбран&gt;"/>
    <s v="2023 05"/>
    <n v="561.35215571959191"/>
    <n v="1.9447647603917808"/>
  </r>
  <r>
    <s v="516249415"/>
    <s v="710000579455"/>
    <s v="iHerb_OA CZN6870"/>
    <s v="Доставлен"/>
    <d v="2023-01-24T00:00:00"/>
    <x v="7"/>
    <s v="Витамины"/>
    <s v="CGN-01065"/>
    <x v="1"/>
    <x v="14"/>
    <n v="6"/>
    <n v="-3"/>
    <n v="0.35996050590060646"/>
    <n v="0"/>
    <n v="0.38871279644235585"/>
    <n v="288.64784428040809"/>
    <n v="800"/>
    <x v="223"/>
    <s v="&lt;Клиент не выбран&gt;"/>
    <s v="2023 08"/>
    <n v="511.35215571959191"/>
    <n v="1.7715433038981467"/>
  </r>
  <r>
    <s v="OZA0051"/>
    <n v="0"/>
    <s v="OZON_AV"/>
    <s v="Доставлен"/>
    <d v="2023-01-24T00:00:00"/>
    <x v="7"/>
    <s v="Спортпит"/>
    <s v="170919152"/>
    <x v="40"/>
    <x v="109"/>
    <n v="786"/>
    <n v="0"/>
    <n v="0"/>
    <n v="0"/>
    <n v="117.89999999999999"/>
    <n v="903.9"/>
    <n v="1500"/>
    <x v="43"/>
    <s v="&lt;Клиент не выбран&gt;"/>
    <s v="2023 02"/>
    <n v="596.1"/>
    <n v="0.65947560570859609"/>
  </r>
  <r>
    <s v="OZO0001"/>
    <n v="0"/>
    <s v="OZON_OA"/>
    <s v="Доставлен"/>
    <d v="2023-01-26T00:00:00"/>
    <x v="7"/>
    <s v="Спортпит"/>
    <s v="267850615"/>
    <x v="43"/>
    <x v="359"/>
    <n v="1313"/>
    <n v="0"/>
    <n v="0"/>
    <n v="0"/>
    <n v="196.94999999999996"/>
    <n v="1509.95"/>
    <n v="2000"/>
    <x v="96"/>
    <s v="&lt;Клиент не выбран&gt;"/>
    <s v="2023 01"/>
    <n v="490.04999999999995"/>
    <n v="0.32454717043610709"/>
  </r>
  <r>
    <s v="WB0037"/>
    <n v="0"/>
    <s v="WBRS"/>
    <s v="Доставлен"/>
    <d v="2023-01-15T00:00:00"/>
    <x v="7"/>
    <s v="Косметика"/>
    <s v="139994740"/>
    <x v="95"/>
    <x v="360"/>
    <n v="243"/>
    <n v="0"/>
    <n v="0"/>
    <n v="0"/>
    <n v="36.449999999999996"/>
    <n v="279.45"/>
    <n v="600"/>
    <x v="27"/>
    <s v="&lt;Клиент не выбран&gt;"/>
    <s v="2023 02"/>
    <n v="320.55"/>
    <n v="1.1470746108427268"/>
  </r>
  <r>
    <s v="WB0037"/>
    <n v="0"/>
    <s v="WBRS"/>
    <s v="Доставлен"/>
    <d v="2023-01-15T00:00:00"/>
    <x v="7"/>
    <s v="Косметика"/>
    <s v="139994740"/>
    <x v="95"/>
    <x v="360"/>
    <n v="243"/>
    <n v="0"/>
    <n v="0"/>
    <n v="0"/>
    <n v="36.449999999999996"/>
    <n v="279.45"/>
    <m/>
    <x v="20"/>
    <m/>
    <s v=""/>
    <n v="-279.45"/>
    <s v=""/>
  </r>
  <r>
    <s v="WB0039"/>
    <n v="0"/>
    <s v="WBRS"/>
    <s v="Доставлен"/>
    <d v="2023-01-20T00:00:00"/>
    <x v="7"/>
    <s v="Витамины"/>
    <s v="017919762"/>
    <x v="49"/>
    <x v="211"/>
    <n v="348"/>
    <n v="0"/>
    <n v="0"/>
    <n v="0"/>
    <n v="52.199999999999996"/>
    <n v="400.2"/>
    <n v="750"/>
    <x v="68"/>
    <s v="&lt;Клиент не выбран&gt;"/>
    <s v="2023 01"/>
    <n v="349.8"/>
    <n v="0.87406296851574217"/>
  </r>
  <r>
    <s v="WB0039"/>
    <n v="0"/>
    <s v="WBRS"/>
    <s v="Доставлен"/>
    <d v="2023-01-20T00:00:00"/>
    <x v="7"/>
    <s v="Витамины"/>
    <s v="017919762"/>
    <x v="49"/>
    <x v="211"/>
    <n v="348"/>
    <n v="0"/>
    <n v="0"/>
    <n v="0"/>
    <n v="52.199999999999996"/>
    <n v="400.2"/>
    <n v="750"/>
    <x v="96"/>
    <s v="&lt;Клиент не выбран&gt;"/>
    <s v="2023 01"/>
    <n v="349.8"/>
    <n v="0.87406296851574217"/>
  </r>
  <r>
    <s v="WB0040"/>
    <n v="0"/>
    <s v="WBRS"/>
    <s v="Доставлен"/>
    <d v="2023-01-20T00:00:00"/>
    <x v="7"/>
    <s v="Витамины"/>
    <s v="017919762"/>
    <x v="49"/>
    <x v="211"/>
    <n v="348"/>
    <n v="0"/>
    <n v="0"/>
    <n v="0"/>
    <n v="52.199999999999996"/>
    <n v="400.2"/>
    <n v="700"/>
    <x v="123"/>
    <s v="&lt;Клиент не выбран&gt;"/>
    <s v="2023 02"/>
    <n v="299.8"/>
    <n v="0.74912543728135939"/>
  </r>
  <r>
    <s v="WB0040"/>
    <n v="0"/>
    <s v="WBRS"/>
    <s v="Доставлен"/>
    <d v="2023-01-20T00:00:00"/>
    <x v="7"/>
    <s v="Витамины"/>
    <s v="017919762"/>
    <x v="49"/>
    <x v="211"/>
    <n v="348"/>
    <n v="0"/>
    <n v="0"/>
    <n v="0"/>
    <n v="52.199999999999996"/>
    <n v="400.2"/>
    <n v="750"/>
    <x v="101"/>
    <s v="&lt;Клиент не выбран&gt;"/>
    <s v="2023 02"/>
    <n v="349.8"/>
    <n v="0.87406296851574217"/>
  </r>
  <r>
    <s v="WB0041"/>
    <n v="0"/>
    <s v="WBRS"/>
    <s v="Доставлен"/>
    <d v="2023-01-24T00:00:00"/>
    <x v="7"/>
    <s v="Спортпит"/>
    <s v="309523723"/>
    <x v="104"/>
    <x v="361"/>
    <n v="750"/>
    <n v="0"/>
    <n v="0"/>
    <n v="0"/>
    <n v="112.5"/>
    <n v="862.5"/>
    <n v="1200"/>
    <x v="206"/>
    <s v="&lt;Клиент не выбран&gt;"/>
    <s v="2023 02"/>
    <n v="337.5"/>
    <n v="0.39130434782608697"/>
  </r>
  <r>
    <s v="WB0042"/>
    <n v="0"/>
    <s v="WBRS"/>
    <s v="Доставлен"/>
    <d v="2023-01-24T00:00:00"/>
    <x v="7"/>
    <s v="Спортпит"/>
    <s v="071777843"/>
    <x v="104"/>
    <x v="362"/>
    <n v="750"/>
    <n v="0"/>
    <n v="0"/>
    <n v="0"/>
    <n v="112.5"/>
    <n v="862.5"/>
    <n v="1200"/>
    <x v="146"/>
    <s v="&lt;Клиент не выбран&gt;"/>
    <s v="2023 07"/>
    <n v="337.5"/>
    <n v="0.39130434782608697"/>
  </r>
  <r>
    <s v="WB0043"/>
    <n v="0"/>
    <s v="WBRS"/>
    <s v="Доставлен"/>
    <d v="2023-01-24T00:00:00"/>
    <x v="7"/>
    <s v="Спортпит"/>
    <s v="071777842"/>
    <x v="104"/>
    <x v="363"/>
    <n v="750"/>
    <n v="0"/>
    <n v="0"/>
    <n v="0"/>
    <n v="112.5"/>
    <n v="862.5"/>
    <n v="1100"/>
    <x v="224"/>
    <s v="&lt;Клиент не выбран&gt;"/>
    <s v="2023 06"/>
    <n v="237.5"/>
    <n v="0.27536231884057971"/>
  </r>
  <r>
    <s v="РО09"/>
    <n v="0"/>
    <s v="Roman"/>
    <s v="Доставлен"/>
    <d v="2023-02-02T00:00:00"/>
    <x v="8"/>
    <s v="Витамины"/>
    <s v="CGN-01033"/>
    <x v="1"/>
    <x v="1"/>
    <n v="887.6"/>
    <n v="0"/>
    <n v="0"/>
    <n v="-0.67284129281257166"/>
    <n v="0"/>
    <n v="886.92715870718746"/>
    <n v="2300"/>
    <x v="204"/>
    <s v="&lt;Клиент не выбран&gt;"/>
    <s v="2023 04"/>
    <n v="1413.0728412928124"/>
    <n v="1.5932231045360605"/>
  </r>
  <r>
    <s v="РО09"/>
    <n v="0"/>
    <s v="Roman"/>
    <s v="Доставлен"/>
    <d v="2023-02-02T00:00:00"/>
    <x v="8"/>
    <s v="Витамины"/>
    <s v="CGN-01033"/>
    <x v="1"/>
    <x v="1"/>
    <n v="887.6"/>
    <n v="0"/>
    <n v="0"/>
    <n v="-0.67284129281257166"/>
    <n v="0"/>
    <n v="886.92715870718746"/>
    <n v="2200"/>
    <x v="225"/>
    <s v="&lt;Клиент не выбран&gt;"/>
    <s v="2023 05"/>
    <n v="1313.0728412928124"/>
    <n v="1.4804742739040579"/>
  </r>
  <r>
    <s v="РО09"/>
    <n v="0"/>
    <s v="Roman"/>
    <s v="Доставлен"/>
    <d v="2023-02-02T00:00:00"/>
    <x v="8"/>
    <s v="Витамины"/>
    <s v="NBC-01016"/>
    <x v="8"/>
    <x v="97"/>
    <n v="411.6"/>
    <n v="0"/>
    <n v="0"/>
    <n v="-0.31201157742412627"/>
    <n v="0"/>
    <n v="411.28798842257589"/>
    <n v="1100"/>
    <x v="42"/>
    <s v="&lt;Клиент не выбран&gt;"/>
    <s v="2023 03"/>
    <n v="688.71201157742416"/>
    <n v="1.6745249824067565"/>
  </r>
  <r>
    <s v="РО09"/>
    <n v="0"/>
    <s v="Roman"/>
    <s v="Доставлен"/>
    <d v="2023-02-02T00:00:00"/>
    <x v="8"/>
    <s v="Витамины"/>
    <s v="CGN-00956"/>
    <x v="1"/>
    <x v="305"/>
    <n v="730.8"/>
    <n v="0"/>
    <n v="0"/>
    <n v="-0.5539797395081425"/>
    <n v="0"/>
    <n v="730.24602026049183"/>
    <n v="730.25"/>
    <x v="122"/>
    <s v="&lt;Клиент не выбран&gt;"/>
    <s v="2023 02"/>
    <n v="3.9797395081677678E-3"/>
    <n v="5.4498612765436552E-6"/>
  </r>
  <r>
    <s v="РО09"/>
    <n v="0"/>
    <s v="Roman"/>
    <s v="Доставлен"/>
    <d v="2023-02-02T00:00:00"/>
    <x v="8"/>
    <s v="Витамины"/>
    <s v="NOW-03170"/>
    <x v="3"/>
    <x v="306"/>
    <n v="877.8"/>
    <n v="0"/>
    <n v="0"/>
    <n v="-0.66541244573104474"/>
    <n v="0"/>
    <n v="877.13458755426893"/>
    <n v="2200"/>
    <x v="226"/>
    <s v="&lt;Клиент не выбран&gt;"/>
    <s v="2023 05"/>
    <n v="1322.8654124457312"/>
    <n v="1.5081669691470063"/>
  </r>
  <r>
    <s v="РО09"/>
    <n v="0"/>
    <s v="Roman"/>
    <s v="Доставлен"/>
    <d v="2023-02-02T00:00:00"/>
    <x v="8"/>
    <s v="Витамины"/>
    <s v="NOW-03170"/>
    <x v="3"/>
    <x v="306"/>
    <n v="877.8"/>
    <n v="0"/>
    <n v="0"/>
    <n v="-0.66541244573104474"/>
    <n v="0"/>
    <n v="877.13458755426893"/>
    <n v="2300"/>
    <x v="225"/>
    <s v="&lt;Клиент не выбран&gt;"/>
    <s v="2023 05"/>
    <n v="1422.8654124457312"/>
    <n v="1.6221745586536884"/>
  </r>
  <r>
    <s v="РО09"/>
    <n v="0"/>
    <s v="Roman"/>
    <s v="Доставлен"/>
    <d v="2023-02-02T00:00:00"/>
    <x v="8"/>
    <s v="Витамины"/>
    <s v="NWY-15686"/>
    <x v="16"/>
    <x v="234"/>
    <n v="999.6"/>
    <n v="0"/>
    <n v="0"/>
    <n v="-0.75774240231573531"/>
    <n v="0"/>
    <n v="998.84225759768424"/>
    <n v="2600"/>
    <x v="91"/>
    <s v="&lt;Клиент не выбран&gt;"/>
    <s v="2023 02"/>
    <n v="1601.1577424023158"/>
    <n v="1.6030136192408004"/>
  </r>
  <r>
    <s v="РО09"/>
    <n v="0"/>
    <s v="Roman"/>
    <s v="Доставлен"/>
    <d v="2023-02-02T00:00:00"/>
    <x v="8"/>
    <s v="Косметика"/>
    <s v="734900928"/>
    <x v="74"/>
    <x v="364"/>
    <n v="91"/>
    <n v="0"/>
    <n v="0"/>
    <n v="-6.8982151471320433E-2"/>
    <n v="0"/>
    <n v="90.931017848528683"/>
    <n v="200"/>
    <x v="54"/>
    <s v="&lt;Клиент не выбран&gt;"/>
    <s v="2023 04"/>
    <n v="109.06898215147132"/>
    <n v="1.1994694960212207"/>
  </r>
  <r>
    <s v="РО09"/>
    <n v="0"/>
    <s v="Roman"/>
    <s v="Доставлен"/>
    <d v="2023-02-02T00:00:00"/>
    <x v="8"/>
    <s v="Косметика"/>
    <s v="734900928"/>
    <x v="74"/>
    <x v="364"/>
    <n v="91"/>
    <n v="0"/>
    <n v="0"/>
    <n v="-6.8982151471320433E-2"/>
    <n v="0"/>
    <n v="90.931017848528683"/>
    <m/>
    <x v="20"/>
    <m/>
    <s v=""/>
    <n v="-90.931017848528683"/>
    <s v=""/>
  </r>
  <r>
    <s v="РО09"/>
    <n v="0"/>
    <s v="Roman"/>
    <s v="Доставлен"/>
    <d v="2023-02-02T00:00:00"/>
    <x v="8"/>
    <s v="Косметика"/>
    <s v="734900928"/>
    <x v="74"/>
    <x v="364"/>
    <n v="91"/>
    <n v="0"/>
    <n v="0"/>
    <n v="-6.8982151471320433E-2"/>
    <n v="0"/>
    <n v="90.931017848528683"/>
    <m/>
    <x v="20"/>
    <m/>
    <s v=""/>
    <n v="-90.931017848528683"/>
    <s v=""/>
  </r>
  <r>
    <s v="РО09"/>
    <n v="0"/>
    <s v="Roman"/>
    <s v="Доставлен"/>
    <d v="2023-02-02T00:00:00"/>
    <x v="8"/>
    <s v="Косметика"/>
    <s v="734900928"/>
    <x v="74"/>
    <x v="364"/>
    <n v="91"/>
    <n v="0"/>
    <n v="0"/>
    <n v="-6.8982151471320433E-2"/>
    <n v="0"/>
    <n v="90.931017848528683"/>
    <m/>
    <x v="20"/>
    <m/>
    <s v=""/>
    <n v="-90.931017848528683"/>
    <s v=""/>
  </r>
  <r>
    <s v="РО09"/>
    <n v="0"/>
    <s v="Roman"/>
    <s v="Доставлен"/>
    <d v="2023-02-02T00:00:00"/>
    <x v="8"/>
    <s v="Витамины"/>
    <s v="NOW-00367"/>
    <x v="3"/>
    <x v="365"/>
    <n v="243.6"/>
    <n v="0"/>
    <n v="0"/>
    <n v="-0.18465991316938082"/>
    <n v="0"/>
    <n v="243.41534008683061"/>
    <n v="700"/>
    <x v="177"/>
    <s v="&lt;Клиент не выбран&gt;"/>
    <s v="2023 03"/>
    <n v="456.58465991316939"/>
    <n v="1.8757431629013088"/>
  </r>
  <r>
    <s v="РО09"/>
    <n v="0"/>
    <s v="Roman"/>
    <s v="Доставлен"/>
    <d v="2023-02-02T00:00:00"/>
    <x v="8"/>
    <s v="Витамины"/>
    <s v="NOW-00367"/>
    <x v="3"/>
    <x v="365"/>
    <n v="243.6"/>
    <n v="0"/>
    <n v="0"/>
    <n v="-0.18465991316938082"/>
    <n v="0"/>
    <n v="243.41534008683061"/>
    <n v="800"/>
    <x v="197"/>
    <s v="&lt;Клиент не выбран&gt;"/>
    <s v="2023 03"/>
    <n v="556.58465991316939"/>
    <n v="2.2865636147443529"/>
  </r>
  <r>
    <s v="РО09"/>
    <n v="0"/>
    <s v="Roman"/>
    <s v="Доставлен"/>
    <d v="2023-02-02T00:00:00"/>
    <x v="8"/>
    <s v="Витамины"/>
    <s v="NOW-00085"/>
    <x v="3"/>
    <x v="260"/>
    <n v="735"/>
    <n v="0"/>
    <n v="0"/>
    <n v="-0.55716353111451122"/>
    <n v="0"/>
    <n v="734.4428364688855"/>
    <n v="1700"/>
    <x v="220"/>
    <s v="&lt;Клиент не выбран&gt;"/>
    <s v="2023 03"/>
    <n v="965.5571635311145"/>
    <n v="1.3146798029556657"/>
  </r>
  <r>
    <s v="РО09"/>
    <n v="0"/>
    <s v="Roman"/>
    <s v="Доставлен"/>
    <d v="2023-02-02T00:00:00"/>
    <x v="8"/>
    <s v="Витамины"/>
    <s v="NOW-04770"/>
    <x v="3"/>
    <x v="366"/>
    <n v="408.8"/>
    <n v="0"/>
    <n v="0"/>
    <n v="-0.30988904968654724"/>
    <n v="0"/>
    <n v="408.49011095031346"/>
    <n v="1100"/>
    <x v="69"/>
    <s v="&lt;Клиент не выбран&gt;"/>
    <s v="2023 03"/>
    <n v="691.50988904968654"/>
    <n v="1.6928436466698165"/>
  </r>
  <r>
    <s v="РО09"/>
    <n v="0"/>
    <s v="Roman"/>
    <s v="Доставлен"/>
    <d v="2023-02-02T00:00:00"/>
    <x v="8"/>
    <s v="Витамины"/>
    <s v="NOW-04763"/>
    <x v="3"/>
    <x v="367"/>
    <n v="502.6"/>
    <n v="0"/>
    <n v="0"/>
    <n v="-0.38099372889544669"/>
    <n v="0"/>
    <n v="502.2190062711046"/>
    <n v="1500"/>
    <x v="178"/>
    <s v="&lt;Клиент не выбран&gt;"/>
    <s v="2023 05"/>
    <n v="997.7809937288954"/>
    <n v="1.9867447891653063"/>
  </r>
  <r>
    <s v="РО09"/>
    <n v="0"/>
    <s v="Roman"/>
    <s v="Доставлен"/>
    <d v="2023-02-02T00:00:00"/>
    <x v="8"/>
    <s v="Витамины"/>
    <s v="MRM-85003"/>
    <x v="37"/>
    <x v="368"/>
    <n v="536.20000000000005"/>
    <n v="0"/>
    <n v="0"/>
    <n v="-0.40646406174639582"/>
    <n v="0"/>
    <n v="535.79353593825363"/>
    <n v="1500"/>
    <x v="86"/>
    <s v="&lt;Клиент не выбран&gt;"/>
    <s v="2023 02"/>
    <n v="964.20646406174637"/>
    <n v="1.799585846763303"/>
  </r>
  <r>
    <s v="WB0045"/>
    <n v="0"/>
    <s v="WBRS"/>
    <s v="Доставлен"/>
    <d v="2023-02-01T00:00:00"/>
    <x v="8"/>
    <s v="Косметика"/>
    <s v="139848615"/>
    <x v="98"/>
    <x v="369"/>
    <n v="443"/>
    <n v="0"/>
    <n v="0"/>
    <n v="0"/>
    <n v="66.45"/>
    <n v="509.45"/>
    <n v="1100"/>
    <x v="69"/>
    <s v="&lt;Клиент не выбран&gt;"/>
    <s v="2023 03"/>
    <n v="590.54999999999995"/>
    <n v="1.1591912847188144"/>
  </r>
  <r>
    <s v="WB0045"/>
    <n v="0"/>
    <s v="WBRS"/>
    <s v="Доставлен"/>
    <d v="2023-02-01T00:00:00"/>
    <x v="8"/>
    <s v="Косметика"/>
    <s v="139848615"/>
    <x v="98"/>
    <x v="369"/>
    <n v="443"/>
    <n v="0"/>
    <n v="0"/>
    <n v="0"/>
    <n v="66.45"/>
    <n v="509.45"/>
    <n v="1000"/>
    <x v="103"/>
    <s v="&lt;Клиент не выбран&gt;"/>
    <s v="2023 03"/>
    <n v="490.55"/>
    <n v="0.96290116792619496"/>
  </r>
  <r>
    <s v="WB0046"/>
    <n v="0"/>
    <s v="WBRS"/>
    <s v="Доставлен"/>
    <d v="2023-02-01T00:00:00"/>
    <x v="8"/>
    <s v="Витамины"/>
    <s v="132685147"/>
    <x v="49"/>
    <x v="370"/>
    <n v="326.5"/>
    <n v="0"/>
    <n v="0"/>
    <n v="0"/>
    <n v="48.975000000000001"/>
    <n v="375.47500000000002"/>
    <n v="750"/>
    <x v="90"/>
    <s v="&lt;Клиент не выбран&gt;"/>
    <s v="2023 02"/>
    <n v="374.52499999999998"/>
    <n v="0.99746987149610478"/>
  </r>
  <r>
    <s v="WB0046"/>
    <n v="0"/>
    <s v="WBRS"/>
    <s v="Доставлен"/>
    <d v="2023-02-01T00:00:00"/>
    <x v="8"/>
    <s v="Витамины"/>
    <s v="132685147"/>
    <x v="49"/>
    <x v="370"/>
    <n v="326.5"/>
    <n v="0"/>
    <n v="0"/>
    <n v="0"/>
    <n v="48.975000000000001"/>
    <n v="375.47500000000002"/>
    <m/>
    <x v="20"/>
    <m/>
    <s v=""/>
    <n v="-375.47500000000002"/>
    <s v=""/>
  </r>
  <r>
    <s v="WB0047"/>
    <n v="0"/>
    <s v="WBRS"/>
    <s v="Доставлен"/>
    <d v="2023-02-01T00:00:00"/>
    <x v="8"/>
    <s v="Косметика"/>
    <s v="122309591"/>
    <x v="98"/>
    <x v="371"/>
    <n v="293"/>
    <n v="0"/>
    <n v="0"/>
    <n v="0"/>
    <n v="43.949999999999996"/>
    <n v="336.95"/>
    <n v="1000"/>
    <x v="103"/>
    <s v="&lt;Клиент не выбран&gt;"/>
    <s v="2023 03"/>
    <n v="663.05"/>
    <n v="1.9677993767621309"/>
  </r>
  <r>
    <s v="WB0047"/>
    <n v="0"/>
    <s v="WBRS"/>
    <s v="Доставлен"/>
    <d v="2023-02-01T00:00:00"/>
    <x v="8"/>
    <s v="Косметика"/>
    <s v="122309591"/>
    <x v="98"/>
    <x v="371"/>
    <n v="293"/>
    <n v="0"/>
    <n v="0"/>
    <n v="0"/>
    <n v="43.949999999999996"/>
    <n v="336.95"/>
    <n v="1000"/>
    <x v="154"/>
    <s v="&lt;Клиент не выбран&gt;"/>
    <s v="2023 03"/>
    <n v="663.05"/>
    <n v="1.9677993767621309"/>
  </r>
  <r>
    <s v="WB0047"/>
    <n v="0"/>
    <s v="WBRS"/>
    <s v="Доставлен"/>
    <d v="2023-02-01T00:00:00"/>
    <x v="8"/>
    <s v="Косметика"/>
    <s v="122309591"/>
    <x v="98"/>
    <x v="371"/>
    <n v="293"/>
    <n v="0"/>
    <n v="0"/>
    <n v="0"/>
    <n v="43.949999999999996"/>
    <n v="336.95"/>
    <n v="1000"/>
    <x v="220"/>
    <s v="&lt;Клиент не выбран&gt;"/>
    <s v="2023 03"/>
    <n v="663.05"/>
    <n v="1.9677993767621309"/>
  </r>
  <r>
    <s v="WB0048"/>
    <n v="0"/>
    <s v="WBRS"/>
    <s v="Доставлен"/>
    <d v="2023-01-29T00:00:00"/>
    <x v="7"/>
    <s v="Косметика"/>
    <s v="142969984"/>
    <x v="98"/>
    <x v="372"/>
    <n v="210"/>
    <n v="0"/>
    <n v="0"/>
    <n v="0"/>
    <n v="31.5"/>
    <n v="241.5"/>
    <n v="500"/>
    <x v="69"/>
    <s v="&lt;Клиент не выбран&gt;"/>
    <s v="2023 03"/>
    <n v="258.5"/>
    <n v="1.0703933747412009"/>
  </r>
  <r>
    <s v="WB0048"/>
    <n v="0"/>
    <s v="WBRS"/>
    <s v="Доставлен"/>
    <d v="2023-01-29T00:00:00"/>
    <x v="7"/>
    <s v="Косметика"/>
    <s v="142969984"/>
    <x v="98"/>
    <x v="372"/>
    <n v="210"/>
    <n v="0"/>
    <n v="0"/>
    <n v="0"/>
    <n v="31.5"/>
    <n v="241.5"/>
    <m/>
    <x v="20"/>
    <m/>
    <s v=""/>
    <n v="-241.5"/>
    <s v=""/>
  </r>
  <r>
    <s v="OZA0054"/>
    <n v="0"/>
    <s v="OZON_AV"/>
    <s v="Доставлен"/>
    <d v="2023-02-03T00:00:00"/>
    <x v="8"/>
    <s v="Спортпит"/>
    <s v="211617034"/>
    <x v="43"/>
    <x v="373"/>
    <n v="1250"/>
    <n v="0"/>
    <n v="0"/>
    <n v="2.5"/>
    <n v="187.875"/>
    <n v="1440.375"/>
    <n v="1900"/>
    <x v="43"/>
    <s v="&lt;Клиент не выбран&gt;"/>
    <s v="2023 02"/>
    <n v="459.625"/>
    <n v="0.31910092857762734"/>
  </r>
  <r>
    <s v="OZA0054"/>
    <n v="0"/>
    <s v="OZON_AV"/>
    <s v="Доставлен"/>
    <d v="2023-02-03T00:00:00"/>
    <x v="8"/>
    <s v="Спортпит"/>
    <s v="211617034"/>
    <x v="43"/>
    <x v="373"/>
    <n v="1250"/>
    <n v="0"/>
    <n v="0"/>
    <n v="2.5"/>
    <n v="187.875"/>
    <n v="1440.375"/>
    <n v="1900"/>
    <x v="43"/>
    <s v="&lt;Клиент не выбран&gt;"/>
    <s v="2023 02"/>
    <n v="459.625"/>
    <n v="0.31910092857762734"/>
  </r>
  <r>
    <s v="OZO0001"/>
    <n v="0"/>
    <s v="OZON_OA"/>
    <s v="Доставлен"/>
    <d v="2023-01-26T00:00:00"/>
    <x v="7"/>
    <s v="Спортпит"/>
    <s v="739013420"/>
    <x v="73"/>
    <x v="374"/>
    <n v="555.5"/>
    <n v="0"/>
    <n v="0"/>
    <n v="0"/>
    <n v="83.324999999999989"/>
    <n v="638.82500000000005"/>
    <n v="1100"/>
    <x v="43"/>
    <s v="&lt;Клиент не выбран&gt;"/>
    <s v="2023 02"/>
    <n v="461.17499999999995"/>
    <n v="0.72191132156693916"/>
  </r>
  <r>
    <s v="OZO0001"/>
    <n v="0"/>
    <s v="OZON_OA"/>
    <s v="Доставлен"/>
    <d v="2023-01-26T00:00:00"/>
    <x v="7"/>
    <s v="Спортпит"/>
    <s v="739013420"/>
    <x v="73"/>
    <x v="374"/>
    <n v="555.5"/>
    <n v="0"/>
    <n v="0"/>
    <n v="0"/>
    <n v="83.324999999999989"/>
    <n v="638.82500000000005"/>
    <m/>
    <x v="20"/>
    <m/>
    <s v=""/>
    <n v="-638.82500000000005"/>
    <s v=""/>
  </r>
  <r>
    <s v="923020356"/>
    <s v="923020356-0"/>
    <s v="iHerb_AV CYG0792"/>
    <s v="Доставлен"/>
    <d v="2023-01-20T00:00:00"/>
    <x v="7"/>
    <s v="Витамины"/>
    <s v="NOW-03056"/>
    <x v="3"/>
    <x v="92"/>
    <n v="17.63"/>
    <n v="-1.76"/>
    <n v="-2.2460208397180508"/>
    <n v="0"/>
    <n v="4.9242576563675371"/>
    <n v="1428.2142348820103"/>
    <n v="2700"/>
    <x v="176"/>
    <s v="&lt;Клиент не выбран&gt;"/>
    <s v="2023 12"/>
    <n v="1271.7857651179897"/>
    <n v="0.8904726854392796"/>
  </r>
  <r>
    <s v="923020356"/>
    <s v="923020356-0"/>
    <s v="iHerb_AV CYG0792"/>
    <s v="Доставлен"/>
    <d v="2023-01-20T00:00:00"/>
    <x v="7"/>
    <s v="Витамины"/>
    <s v="NWY-14850"/>
    <x v="16"/>
    <x v="36"/>
    <n v="28.82"/>
    <n v="-2.8833333333333333"/>
    <n v="-3.6707179487179489"/>
    <n v="0"/>
    <n v="8.0478153379953383"/>
    <n v="2334.1598323076923"/>
    <n v="4300"/>
    <x v="165"/>
    <s v="&lt;Клиент не выбран&gt;"/>
    <s v="2023 03"/>
    <n v="1965.8401676923077"/>
    <n v="0.84220460847737177"/>
  </r>
  <r>
    <s v="923020356"/>
    <s v="923020356-0"/>
    <s v="iHerb_AV CYG0792"/>
    <s v="Доставлен"/>
    <d v="2023-01-20T00:00:00"/>
    <x v="7"/>
    <s v="Витамины"/>
    <s v="NWY-14850"/>
    <x v="16"/>
    <x v="36"/>
    <n v="28.82"/>
    <n v="-2.8833333333333333"/>
    <n v="-3.6707179487179489"/>
    <n v="0"/>
    <n v="8.0478153379953383"/>
    <n v="2334.1598323076923"/>
    <n v="4300"/>
    <x v="165"/>
    <s v="&lt;Клиент не выбран&gt;"/>
    <s v="2023 03"/>
    <n v="1965.8401676923077"/>
    <n v="0.84220460847737177"/>
  </r>
  <r>
    <s v="923020356"/>
    <s v="923020356-0"/>
    <s v="iHerb_AV CYG0792"/>
    <s v="Доставлен"/>
    <d v="2023-01-20T00:00:00"/>
    <x v="7"/>
    <s v="Витамины"/>
    <s v="NWY-14850"/>
    <x v="16"/>
    <x v="36"/>
    <n v="28.82"/>
    <n v="-2.8833333333333333"/>
    <n v="-3.6707179487179489"/>
    <n v="0"/>
    <n v="8.0478153379953383"/>
    <n v="2334.1598323076923"/>
    <n v="4400"/>
    <x v="165"/>
    <s v="&lt;Клиент не выбран&gt;"/>
    <s v="2023 03"/>
    <n v="2065.8401676923077"/>
    <n v="0.88504657611638038"/>
  </r>
  <r>
    <s v="923020356"/>
    <s v="923020356-0"/>
    <s v="iHerb_AV CYG0792"/>
    <s v="Доставлен"/>
    <d v="2023-01-20T00:00:00"/>
    <x v="7"/>
    <s v="Витамины"/>
    <s v="CEN-22675"/>
    <x v="2"/>
    <x v="2"/>
    <n v="6.77"/>
    <n v="-0.68"/>
    <n v="-0.86189457554397786"/>
    <n v="0"/>
    <n v="1.8896489683225144"/>
    <n v="548.0670882439473"/>
    <n v="1700"/>
    <x v="227"/>
    <s v="&lt;Клиент не выбран&gt;"/>
    <s v="2023 03"/>
    <n v="1151.9329117560528"/>
    <n v="2.1018100456404745"/>
  </r>
  <r>
    <s v="923020356"/>
    <s v="923020356-0"/>
    <s v="iHerb_AV CYG0792"/>
    <s v="Доставлен"/>
    <d v="2023-01-20T00:00:00"/>
    <x v="7"/>
    <s v="Спортпит"/>
    <s v="NRX-00741"/>
    <x v="53"/>
    <x v="161"/>
    <n v="12.86"/>
    <n v="-2.57"/>
    <n v="-1.456304627643273"/>
    <n v="0"/>
    <n v="3.1928551533725238"/>
    <n v="926.04439048115216"/>
    <n v="2000"/>
    <x v="204"/>
    <s v="&lt;Клиент не выбран&gt;"/>
    <s v="2023 04"/>
    <n v="1073.9556095188477"/>
    <n v="1.1597236812382656"/>
  </r>
  <r>
    <s v="923020356"/>
    <s v="923020356-0"/>
    <s v="iHerb_AV CYG0792"/>
    <s v="Доставлен"/>
    <d v="2023-01-20T00:00:00"/>
    <x v="7"/>
    <s v="Витамины"/>
    <s v="NWY-13369"/>
    <x v="16"/>
    <x v="375"/>
    <n v="12.8"/>
    <n v="-1.28"/>
    <n v="-1.630381857186638"/>
    <n v="0"/>
    <n v="3.574508393280027"/>
    <n v="1036.7377432791911"/>
    <n v="1900"/>
    <x v="121"/>
    <s v="&lt;Клиент не выбран&gt;"/>
    <s v="2023 03"/>
    <n v="863.26225672080886"/>
    <n v="0.83267177482158505"/>
  </r>
  <r>
    <s v="923020356"/>
    <s v="923020356-0"/>
    <s v="iHerb_AV CYG0792"/>
    <s v="Доставлен"/>
    <d v="2023-01-20T00:00:00"/>
    <x v="7"/>
    <s v="Витамины"/>
    <s v="LEX-23151"/>
    <x v="7"/>
    <x v="17"/>
    <n v="18.38"/>
    <n v="-1.84"/>
    <n v="-2.3408433956481765"/>
    <n v="0"/>
    <n v="5.1321500716017052"/>
    <n v="1488.5106140484215"/>
    <n v="2900"/>
    <x v="227"/>
    <s v="&lt;Клиент не выбран&gt;"/>
    <s v="2023 03"/>
    <n v="1411.4893859515785"/>
    <n v="0.94825617810855767"/>
  </r>
  <r>
    <s v="923020356"/>
    <s v="923020356-0"/>
    <s v="iHerb_AV CYG0792"/>
    <s v="Доставлен"/>
    <d v="2023-01-20T00:00:00"/>
    <x v="7"/>
    <s v="Спортпит"/>
    <s v="CGN-01058"/>
    <x v="1"/>
    <x v="356"/>
    <n v="24"/>
    <n v="-7.2"/>
    <n v="-2.3776402083971808"/>
    <n v="0"/>
    <n v="5.2128247402000385"/>
    <n v="1511.9092089488199"/>
    <n v="2800"/>
    <x v="228"/>
    <s v="&lt;Клиент не выбран&gt;"/>
    <s v="2023 04"/>
    <n v="1288.0907910511801"/>
    <n v="0.85196305666181282"/>
  </r>
  <r>
    <s v="923020356"/>
    <s v="923020356-0"/>
    <s v="iHerb_AV CYG0792"/>
    <s v="Доставлен"/>
    <d v="2023-01-20T00:00:00"/>
    <x v="7"/>
    <s v="Витамины"/>
    <s v="SWV-11075"/>
    <x v="89"/>
    <x v="376"/>
    <n v="10.29"/>
    <n v="-2.06"/>
    <n v="-1.1647606497088567"/>
    <n v="0"/>
    <n v="2.5536635483241854"/>
    <n v="740.6555231933803"/>
    <n v="1800"/>
    <x v="193"/>
    <s v="&lt;Клиент не выбран&gt;"/>
    <s v="2023 03"/>
    <n v="1059.3444768066197"/>
    <n v="1.4302795883289887"/>
  </r>
  <r>
    <s v="CC709263017"/>
    <n v="0"/>
    <s v="CoralClub_AV"/>
    <s v="Доставлен"/>
    <d v="2023-02-09T00:00:00"/>
    <x v="8"/>
    <s v="Витамины"/>
    <s v="000091865"/>
    <x v="79"/>
    <x v="228"/>
    <n v="1024"/>
    <m/>
    <n v="0"/>
    <n v="1.5102040816325788"/>
    <n v="0"/>
    <n v="1025.5102040816325"/>
    <n v="1400"/>
    <x v="110"/>
    <s v="&lt;Клиент не выбран&gt;"/>
    <s v="2023 02"/>
    <n v="374.48979591836746"/>
    <n v="0.36517412935323401"/>
  </r>
  <r>
    <s v="CC709263017"/>
    <n v="0"/>
    <s v="CoralClub_AV"/>
    <s v="Доставлен"/>
    <d v="2023-02-09T00:00:00"/>
    <x v="8"/>
    <s v="Витамины"/>
    <s v="000091865"/>
    <x v="79"/>
    <x v="228"/>
    <n v="1024"/>
    <m/>
    <n v="0"/>
    <n v="1.5102040816325788"/>
    <n v="0"/>
    <n v="1025.5102040816325"/>
    <n v="1400"/>
    <x v="110"/>
    <s v="&lt;Клиент не выбран&gt;"/>
    <s v="2023 02"/>
    <n v="374.48979591836746"/>
    <n v="0.36517412935323401"/>
  </r>
  <r>
    <s v="CC709263017"/>
    <n v="0"/>
    <s v="CoralClub_AV"/>
    <s v="Доставлен"/>
    <d v="2023-02-09T00:00:00"/>
    <x v="8"/>
    <s v="Витамины"/>
    <s v="000091865"/>
    <x v="79"/>
    <x v="228"/>
    <n v="1024"/>
    <m/>
    <n v="0"/>
    <n v="1.5102040816325788"/>
    <n v="0"/>
    <n v="1025.5102040816325"/>
    <n v="1400"/>
    <x v="173"/>
    <s v="&lt;Клиент не выбран&gt;"/>
    <s v="2023 03"/>
    <n v="374.48979591836746"/>
    <n v="0.36517412935323401"/>
  </r>
  <r>
    <s v="CC709263017"/>
    <n v="0"/>
    <s v="CoralClub_AV"/>
    <s v="Доставлен"/>
    <d v="2023-02-09T00:00:00"/>
    <x v="8"/>
    <s v="Витамины"/>
    <s v="000091865"/>
    <x v="79"/>
    <x v="228"/>
    <n v="1024"/>
    <m/>
    <n v="0"/>
    <n v="1.5102040816325788"/>
    <n v="0"/>
    <n v="1025.5102040816325"/>
    <n v="1025.51"/>
    <x v="110"/>
    <s v="&lt;Клиент не выбран&gt;"/>
    <s v="2023 02"/>
    <n v="-2.0408163254614919E-4"/>
    <n v="-1.990049750201256E-7"/>
  </r>
  <r>
    <s v="CC709263017"/>
    <n v="0"/>
    <s v="CoralClub_AV"/>
    <s v="Доставлен"/>
    <d v="2023-02-09T00:00:00"/>
    <x v="8"/>
    <s v="Витамины"/>
    <s v="000002150"/>
    <x v="79"/>
    <x v="275"/>
    <n v="1280"/>
    <m/>
    <n v="0"/>
    <n v="1.8877551020407233"/>
    <n v="0"/>
    <n v="1281.8877551020407"/>
    <n v="1600"/>
    <x v="110"/>
    <s v="&lt;Клиент не выбран&gt;"/>
    <s v="2023 02"/>
    <n v="318.11224489795927"/>
    <n v="0.24815920398009958"/>
  </r>
  <r>
    <s v="CC709263017"/>
    <n v="0"/>
    <s v="CoralClub_AV"/>
    <s v="Доставлен"/>
    <d v="2023-02-09T00:00:00"/>
    <x v="8"/>
    <s v="Витамины"/>
    <s v="000002150"/>
    <x v="79"/>
    <x v="275"/>
    <n v="1280"/>
    <m/>
    <n v="0"/>
    <n v="1.8877551020407233"/>
    <n v="0"/>
    <n v="1281.8877551020407"/>
    <n v="1800"/>
    <x v="229"/>
    <s v="&lt;Клиент не выбран&gt;"/>
    <s v="2023 02"/>
    <n v="518.11224489795927"/>
    <n v="0.40417910447761202"/>
  </r>
  <r>
    <s v="CC709263017"/>
    <n v="0"/>
    <s v="CoralClub_AV"/>
    <s v="Доставлен"/>
    <d v="2023-02-09T00:00:00"/>
    <x v="8"/>
    <s v="Витамины"/>
    <s v="000002150"/>
    <x v="79"/>
    <x v="275"/>
    <n v="1280"/>
    <m/>
    <n v="0"/>
    <n v="1.8877551020407233"/>
    <n v="0"/>
    <n v="1281.8877551020407"/>
    <n v="1800"/>
    <x v="124"/>
    <s v="&lt;Клиент не выбран&gt;"/>
    <s v="2023 03"/>
    <n v="518.11224489795927"/>
    <n v="0.40417910447761202"/>
  </r>
  <r>
    <s v="CC709263017"/>
    <n v="0"/>
    <s v="CoralClub_AV"/>
    <s v="Доставлен"/>
    <d v="2023-02-09T00:00:00"/>
    <x v="8"/>
    <s v="Витамины"/>
    <s v="000001405"/>
    <x v="79"/>
    <x v="227"/>
    <n v="832"/>
    <m/>
    <n v="0"/>
    <n v="1.2270408163264701"/>
    <n v="0"/>
    <n v="833.22704081632651"/>
    <n v="1200"/>
    <x v="164"/>
    <s v="&lt;Клиент не выбран&gt;"/>
    <s v="2023 03"/>
    <n v="366.77295918367349"/>
    <n v="0.44018369690011483"/>
  </r>
  <r>
    <s v="CC709263017"/>
    <n v="0"/>
    <s v="CoralClub_AV"/>
    <s v="Доставлен"/>
    <d v="2023-02-09T00:00:00"/>
    <x v="8"/>
    <s v="Витамины"/>
    <s v="000002151"/>
    <x v="79"/>
    <x v="377"/>
    <n v="633.6"/>
    <m/>
    <n v="0"/>
    <n v="0.93443877551015808"/>
    <n v="0"/>
    <n v="634.53443877551013"/>
    <n v="500"/>
    <x v="230"/>
    <s v="&lt;Клиент не выбран&gt;"/>
    <s v="2023 12"/>
    <n v="-134.53443877551013"/>
    <n v="-0.21202070455801789"/>
  </r>
  <r>
    <s v="CC709263017"/>
    <n v="0"/>
    <s v="CoralClub_AV"/>
    <s v="Доставлен"/>
    <d v="2023-02-09T00:00:00"/>
    <x v="8"/>
    <s v="Витамины"/>
    <s v="000002151"/>
    <x v="79"/>
    <x v="377"/>
    <n v="633.6"/>
    <m/>
    <n v="0"/>
    <n v="0.93443877551015808"/>
    <n v="0"/>
    <n v="634.53443877551013"/>
    <n v="500"/>
    <x v="231"/>
    <s v="&lt;Клиент не выбран&gt;"/>
    <s v="2024 02"/>
    <n v="-134.53443877551013"/>
    <n v="-0.21202070455801789"/>
  </r>
  <r>
    <s v="516543714"/>
    <s v="710000613022"/>
    <s v="iHerb_MH DLE7202"/>
    <s v="Доставлен"/>
    <d v="2023-02-09T00:00:00"/>
    <x v="8"/>
    <s v="Витамины"/>
    <s v="NOW-02644"/>
    <x v="3"/>
    <x v="21"/>
    <n v="19.72"/>
    <n v="-1.97"/>
    <n v="1.3357194244604316"/>
    <n v="0"/>
    <n v="1.6889128305926722"/>
    <n v="1457.9160431654677"/>
    <n v="2600"/>
    <x v="177"/>
    <s v="&lt;Клиент не выбран&gt;"/>
    <s v="2023 03"/>
    <n v="1142.0839568345323"/>
    <n v="0.78336743887858451"/>
  </r>
  <r>
    <s v="516543714"/>
    <s v="710000613022"/>
    <s v="iHerb_MH DLE7202"/>
    <s v="Доставлен"/>
    <d v="2023-02-09T00:00:00"/>
    <x v="8"/>
    <s v="Витамины"/>
    <s v="NOW-02644"/>
    <x v="3"/>
    <x v="21"/>
    <n v="19.72"/>
    <n v="-1.97"/>
    <n v="1.3357194244604316"/>
    <n v="0"/>
    <n v="1.6889128305926722"/>
    <n v="1457.9160431654677"/>
    <n v="2800"/>
    <x v="232"/>
    <s v="&lt;Клиент не выбран&gt;"/>
    <s v="2023 03"/>
    <n v="1342.0839568345323"/>
    <n v="0.92054954956155255"/>
  </r>
  <r>
    <s v="516543714"/>
    <s v="710000613022"/>
    <s v="iHerb_MH DLE7202"/>
    <s v="Доставлен"/>
    <d v="2023-02-09T00:00:00"/>
    <x v="8"/>
    <s v="Витамины"/>
    <s v="NRT-00530"/>
    <x v="27"/>
    <x v="378"/>
    <n v="12.79"/>
    <n v="-1.28"/>
    <n v="0.86614820143884885"/>
    <n v="0"/>
    <n v="1.0951767143730511"/>
    <n v="945.38668489208624"/>
    <n v="1800"/>
    <x v="177"/>
    <s v="&lt;Клиент не выбран&gt;"/>
    <s v="2023 03"/>
    <n v="854.61331510791376"/>
    <n v="0.90398281334527786"/>
  </r>
  <r>
    <s v="516543714"/>
    <s v="710000613022"/>
    <s v="iHerb_MH DLE7202"/>
    <s v="Доставлен"/>
    <d v="2023-02-09T00:00:00"/>
    <x v="8"/>
    <s v="Витамины"/>
    <s v="SOL-00680"/>
    <x v="19"/>
    <x v="379"/>
    <n v="10.26"/>
    <m/>
    <n v="0.77208345323741001"/>
    <n v="0"/>
    <n v="0.97623919109187696"/>
    <n v="842.71654100719411"/>
    <n v="1700"/>
    <x v="232"/>
    <s v="&lt;Клиент не выбран&gt;"/>
    <s v="2023 03"/>
    <n v="857.28345899280589"/>
    <n v="1.0172856675723985"/>
  </r>
  <r>
    <s v="516543714"/>
    <s v="710000613022"/>
    <s v="iHerb_MH DLE7202"/>
    <s v="Доставлен"/>
    <d v="2023-02-09T00:00:00"/>
    <x v="8"/>
    <s v="Витамины"/>
    <s v="DRB-00183"/>
    <x v="6"/>
    <x v="380"/>
    <n v="19.62"/>
    <n v="-2.78"/>
    <n v="1.2672402877697841"/>
    <n v="0"/>
    <n v="1.6023263136439774"/>
    <n v="1383.1721784172662"/>
    <n v="1900"/>
    <x v="233"/>
    <s v="&lt;Клиент не выбран&gt;"/>
    <s v="2025 01"/>
    <n v="516.8278215827338"/>
    <n v="0.37365400320163222"/>
  </r>
  <r>
    <s v="516543714"/>
    <s v="710000613022"/>
    <s v="iHerb_MH DLE7202"/>
    <s v="Доставлен"/>
    <d v="2023-02-09T00:00:00"/>
    <x v="8"/>
    <s v="Витамины"/>
    <s v="NOW-01480"/>
    <x v="3"/>
    <x v="165"/>
    <n v="5.24"/>
    <n v="-0.52500000000000002"/>
    <n v="0.35481223021582731"/>
    <n v="0"/>
    <n v="0.44863233781658868"/>
    <n v="387.27178273381293"/>
    <n v="850"/>
    <x v="234"/>
    <s v="&lt;Клиент не выбран&gt;"/>
    <s v="2023 03"/>
    <n v="462.72821726618707"/>
    <n v="1.1948410338592583"/>
  </r>
  <r>
    <s v="516543714"/>
    <s v="710000613022"/>
    <s v="iHerb_MH DLE7202"/>
    <s v="Доставлен"/>
    <d v="2023-02-09T00:00:00"/>
    <x v="8"/>
    <s v="Витамины"/>
    <s v="NOW-01480"/>
    <x v="3"/>
    <x v="165"/>
    <n v="5.24"/>
    <n v="-0.52500000000000002"/>
    <n v="0.35481223021582731"/>
    <n v="0"/>
    <n v="0.44863233781658868"/>
    <n v="387.27178273381293"/>
    <n v="850"/>
    <x v="234"/>
    <s v="&lt;Клиент не выбран&gt;"/>
    <s v="2023 03"/>
    <n v="462.72821726618707"/>
    <n v="1.1948410338592583"/>
  </r>
  <r>
    <s v="516543714"/>
    <s v="710000613022"/>
    <s v="iHerb_MH DLE7202"/>
    <s v="Доставлен"/>
    <d v="2023-02-09T00:00:00"/>
    <x v="8"/>
    <s v="Витамины"/>
    <s v="NOW-01841"/>
    <x v="3"/>
    <x v="252"/>
    <n v="24.04"/>
    <n v="-2.4"/>
    <n v="1.6284489208633095"/>
    <n v="0"/>
    <n v="2.0590464030436859"/>
    <n v="1777.4255309352516"/>
    <n v="3400"/>
    <x v="170"/>
    <s v="&lt;Клиент не выбран&gt;"/>
    <s v="2023 03"/>
    <n v="1622.5744690647484"/>
    <n v="0.91287901564628526"/>
  </r>
  <r>
    <s v="516543714"/>
    <s v="710000613022"/>
    <s v="iHerb_MH DLE7202"/>
    <s v="Доставлен"/>
    <d v="2023-02-09T00:00:00"/>
    <x v="8"/>
    <s v="Спортпит"/>
    <s v="NRX-02969"/>
    <x v="53"/>
    <x v="381"/>
    <n v="25.67"/>
    <n v="-3.59"/>
    <n v="1.6615597122302159"/>
    <n v="0"/>
    <n v="2.1009124112386592"/>
    <n v="1813.5654215827337"/>
    <n v="2900"/>
    <x v="220"/>
    <s v="&lt;Клиент не выбран&gt;"/>
    <s v="2023 03"/>
    <n v="1086.4345784172663"/>
    <n v="0.59906004243790323"/>
  </r>
  <r>
    <s v="516543714"/>
    <s v="710000613022"/>
    <s v="iHerb_MH DLE7202"/>
    <s v="Доставлен"/>
    <d v="2023-02-09T00:00:00"/>
    <x v="8"/>
    <s v="Спортпит"/>
    <s v="NRX-00072"/>
    <x v="53"/>
    <x v="179"/>
    <n v="28.17"/>
    <n v="-3.94"/>
    <n v="1.8233510791366907"/>
    <n v="0"/>
    <n v="2.3054849512822786"/>
    <n v="1990.1580690647479"/>
    <m/>
    <x v="20"/>
    <m/>
    <s v=""/>
    <n v="-1990.1580690647479"/>
    <s v=""/>
  </r>
  <r>
    <s v="516543714"/>
    <s v="710000613022"/>
    <s v="iHerb_MH DLE7202"/>
    <s v="Доставлен"/>
    <d v="2023-02-09T00:00:00"/>
    <x v="8"/>
    <s v="Витамины"/>
    <s v="NFS-01637"/>
    <x v="23"/>
    <x v="382"/>
    <n v="7.35"/>
    <n v="-1.02"/>
    <n v="0.47634388489208634"/>
    <n v="0"/>
    <n v="0.6022996178958655"/>
    <n v="519.92160863309346"/>
    <n v="1000"/>
    <x v="193"/>
    <s v="&lt;Клиент не выбран&gt;"/>
    <s v="2023 03"/>
    <n v="480.07839136690654"/>
    <n v="0.92336687568932319"/>
  </r>
  <r>
    <s v="516543714"/>
    <s v="710000613022"/>
    <s v="iHerb_MH DLE7202"/>
    <s v="Доставлен"/>
    <d v="2023-02-09T00:00:00"/>
    <x v="8"/>
    <s v="Витамины"/>
    <s v="NWY-15786"/>
    <x v="16"/>
    <x v="284"/>
    <n v="15.61"/>
    <n v="-2.1800000000000002"/>
    <n v="1.010631654676259"/>
    <n v="0"/>
    <n v="1.2778647501329343"/>
    <n v="1103.0880258992806"/>
    <m/>
    <x v="20"/>
    <m/>
    <s v=""/>
    <n v="-1103.0880258992806"/>
    <s v=""/>
  </r>
  <r>
    <s v="516543714"/>
    <s v="710000613022"/>
    <s v="iHerb_MH DLE7202"/>
    <s v="Доставлен"/>
    <d v="2023-02-09T00:00:00"/>
    <x v="8"/>
    <s v="Витамины"/>
    <s v="NWY-15789"/>
    <x v="16"/>
    <x v="184"/>
    <n v="16.760000000000002"/>
    <n v="-2.34"/>
    <n v="1.0851309352517986"/>
    <n v="0"/>
    <n v="1.3720632685716245"/>
    <n v="1184.4027798561151"/>
    <n v="1184.4000000000001"/>
    <x v="198"/>
    <s v="&lt;Клиент не выбран&gt;"/>
    <s v="2023 11"/>
    <n v="-2.7798561150120804E-3"/>
    <n v="-2.347053014642355E-6"/>
  </r>
  <r>
    <s v="516543714"/>
    <s v="710000613022"/>
    <s v="iHerb_MH DLE7202"/>
    <s v="Доставлен"/>
    <d v="2023-02-09T00:00:00"/>
    <x v="8"/>
    <s v="Витамины"/>
    <s v="NOW-01662"/>
    <x v="3"/>
    <x v="122"/>
    <n v="25.37"/>
    <n v="-2.54"/>
    <n v="1.7179985611510791"/>
    <n v="0"/>
    <n v="2.1722749252073639"/>
    <n v="1875.1675079136692"/>
    <n v="3400"/>
    <x v="28"/>
    <s v="&lt;Клиент не выбран&gt;"/>
    <s v="2023 03"/>
    <n v="1524.8324920863308"/>
    <n v="0.81317134904010535"/>
  </r>
  <r>
    <s v="WB0049"/>
    <n v="0"/>
    <s v="WBRS"/>
    <s v="Доставлен"/>
    <d v="2023-02-05T00:00:00"/>
    <x v="8"/>
    <s v="Косметика"/>
    <s v="138951460"/>
    <x v="112"/>
    <x v="383"/>
    <n v="510"/>
    <m/>
    <n v="0"/>
    <n v="0"/>
    <n v="76.5"/>
    <n v="586.5"/>
    <n v="1200"/>
    <x v="102"/>
    <s v="&lt;Клиент не выбран&gt;"/>
    <s v="2023 02"/>
    <n v="613.5"/>
    <n v="1.0460358056265984"/>
  </r>
  <r>
    <s v="WB0050"/>
    <n v="0"/>
    <s v="WBRS"/>
    <s v="Доставлен"/>
    <d v="2023-02-06T00:00:00"/>
    <x v="8"/>
    <s v="Косметика"/>
    <s v="095594532"/>
    <x v="113"/>
    <x v="384"/>
    <n v="282"/>
    <m/>
    <n v="0"/>
    <n v="0"/>
    <n v="42.3"/>
    <n v="324.3"/>
    <n v="500"/>
    <x v="103"/>
    <s v="&lt;Клиент не выбран&gt;"/>
    <s v="2023 03"/>
    <n v="175.7"/>
    <n v="0.54178230033919206"/>
  </r>
  <r>
    <s v="WB0050"/>
    <n v="0"/>
    <s v="WBRS"/>
    <s v="Доставлен"/>
    <d v="2023-02-06T00:00:00"/>
    <x v="8"/>
    <s v="Косметика"/>
    <s v="095594532"/>
    <x v="113"/>
    <x v="384"/>
    <n v="282"/>
    <m/>
    <n v="0"/>
    <n v="0"/>
    <n v="42.3"/>
    <n v="324.3"/>
    <n v="600"/>
    <x v="161"/>
    <s v="&lt;Клиент не выбран&gt;"/>
    <s v="2023 03"/>
    <n v="275.7"/>
    <n v="0.85013876040703051"/>
  </r>
  <r>
    <s v="WB0050"/>
    <n v="0"/>
    <s v="WBRS"/>
    <s v="Доставлен"/>
    <d v="2023-02-06T00:00:00"/>
    <x v="8"/>
    <s v="Косметика"/>
    <s v="095594532"/>
    <x v="113"/>
    <x v="384"/>
    <n v="282"/>
    <m/>
    <n v="0"/>
    <n v="0"/>
    <n v="42.3"/>
    <n v="324.3"/>
    <m/>
    <x v="20"/>
    <m/>
    <s v=""/>
    <n v="-324.3"/>
    <s v=""/>
  </r>
  <r>
    <s v="WB0051"/>
    <n v="0"/>
    <s v="WBRS"/>
    <s v="Доставлен"/>
    <d v="2023-02-07T00:00:00"/>
    <x v="8"/>
    <s v="Спортпит"/>
    <s v="115732310"/>
    <x v="96"/>
    <x v="313"/>
    <n v="3539"/>
    <m/>
    <n v="0"/>
    <n v="0"/>
    <n v="530.85"/>
    <n v="4069.85"/>
    <n v="5000"/>
    <x v="123"/>
    <s v="&lt;Клиент не выбран&gt;"/>
    <s v="2023 02"/>
    <n v="930.15000000000009"/>
    <n v="0.22854650662800843"/>
  </r>
  <r>
    <s v="WB0051"/>
    <n v="0"/>
    <s v="WBRS"/>
    <s v="Доставлен"/>
    <d v="2023-02-07T00:00:00"/>
    <x v="8"/>
    <s v="Спортпит"/>
    <s v="115732310"/>
    <x v="96"/>
    <x v="313"/>
    <n v="3539"/>
    <m/>
    <n v="0"/>
    <n v="0"/>
    <n v="530.85"/>
    <n v="4069.85"/>
    <n v="6000"/>
    <x v="131"/>
    <s v="&lt;Клиент не выбран&gt;"/>
    <s v="2023 02"/>
    <n v="1930.15"/>
    <n v="0.47425580795361011"/>
  </r>
  <r>
    <s v="OZA0055"/>
    <n v="0"/>
    <s v="OZON_AV"/>
    <s v="Доставлен"/>
    <d v="2023-02-05T00:00:00"/>
    <x v="8"/>
    <s v="Спортпит"/>
    <s v="523338483"/>
    <x v="114"/>
    <x v="385"/>
    <n v="377"/>
    <m/>
    <n v="0"/>
    <n v="0"/>
    <n v="56.55"/>
    <n v="433.55"/>
    <n v="900"/>
    <x v="123"/>
    <s v="&lt;Клиент не выбран&gt;"/>
    <s v="2023 02"/>
    <n v="466.45"/>
    <n v="1.0758851343558988"/>
  </r>
  <r>
    <s v="OZA0056"/>
    <n v="0"/>
    <s v="OZON_AV"/>
    <s v="Доставлен"/>
    <d v="2023-02-06T00:00:00"/>
    <x v="8"/>
    <s v="Спортпит"/>
    <s v="571221608"/>
    <x v="115"/>
    <x v="386"/>
    <n v="476.82"/>
    <m/>
    <n v="0"/>
    <n v="0"/>
    <n v="71.522999999999996"/>
    <n v="548.34299999999996"/>
    <n v="1100"/>
    <x v="101"/>
    <s v="&lt;Клиент не выбран&gt;"/>
    <s v="2023 02"/>
    <n v="551.65700000000004"/>
    <n v="1.0060436624521514"/>
  </r>
  <r>
    <s v="OZA0056"/>
    <n v="0"/>
    <s v="OZON_AV"/>
    <s v="Доставлен"/>
    <d v="2023-02-06T00:00:00"/>
    <x v="8"/>
    <s v="Спортпит"/>
    <s v="571221608"/>
    <x v="115"/>
    <x v="386"/>
    <n v="476.82"/>
    <m/>
    <n v="0"/>
    <n v="0"/>
    <n v="71.522999999999996"/>
    <n v="548.34299999999996"/>
    <n v="1100"/>
    <x v="206"/>
    <s v="&lt;Клиент не выбран&gt;"/>
    <s v="2023 02"/>
    <n v="551.65700000000004"/>
    <n v="1.0060436624521514"/>
  </r>
  <r>
    <s v="OZA0055"/>
    <n v="0"/>
    <s v="OZON_AV"/>
    <s v="Доставлен"/>
    <d v="2023-02-05T00:00:00"/>
    <x v="8"/>
    <s v="Спортпит"/>
    <s v="523338483"/>
    <x v="114"/>
    <x v="385"/>
    <n v="377"/>
    <m/>
    <n v="0"/>
    <n v="0"/>
    <n v="56.55"/>
    <n v="433.55"/>
    <n v="900"/>
    <x v="123"/>
    <s v="&lt;Клиент не выбран&gt;"/>
    <s v="2023 02"/>
    <n v="466.45"/>
    <n v="1.0758851343558988"/>
  </r>
  <r>
    <s v="OZA0057"/>
    <n v="0"/>
    <s v="OZON_AV"/>
    <s v="Доставлен"/>
    <d v="2023-02-09T00:00:00"/>
    <x v="8"/>
    <s v="Спортпит"/>
    <s v="833368638"/>
    <x v="76"/>
    <x v="387"/>
    <n v="1513"/>
    <m/>
    <n v="0"/>
    <n v="0"/>
    <n v="226.95000000000002"/>
    <n v="1739.95"/>
    <n v="2400"/>
    <x v="206"/>
    <s v="&lt;Клиент не выбран&gt;"/>
    <s v="2023 02"/>
    <n v="660.05"/>
    <n v="0.37934998132130232"/>
  </r>
  <r>
    <s v="OZA0057"/>
    <n v="0"/>
    <s v="OZON_AV"/>
    <s v="Доставлен"/>
    <d v="2023-02-09T00:00:00"/>
    <x v="8"/>
    <s v="Спортпит"/>
    <s v="310148133"/>
    <x v="39"/>
    <x v="336"/>
    <n v="1271"/>
    <m/>
    <n v="0"/>
    <n v="0"/>
    <n v="190.65"/>
    <n v="1461.65"/>
    <n v="2500"/>
    <x v="101"/>
    <s v="&lt;Клиент не выбран&gt;"/>
    <s v="2023 02"/>
    <n v="1038.3499999999999"/>
    <n v="0.71039578558478422"/>
  </r>
  <r>
    <s v="OZA0057"/>
    <n v="0"/>
    <s v="OZON_AV"/>
    <s v="Доставлен"/>
    <d v="2023-02-09T00:00:00"/>
    <x v="8"/>
    <s v="Спортпит"/>
    <s v="310148133"/>
    <x v="39"/>
    <x v="336"/>
    <n v="1271"/>
    <m/>
    <n v="0"/>
    <n v="0"/>
    <n v="190.65"/>
    <n v="1461.65"/>
    <n v="2500"/>
    <x v="101"/>
    <s v="&lt;Клиент не выбран&gt;"/>
    <s v="2023 02"/>
    <n v="1038.3499999999999"/>
    <n v="0.71039578558478422"/>
  </r>
  <r>
    <s v="OZA0057"/>
    <n v="0"/>
    <s v="OZON_AV"/>
    <s v="Доставлен"/>
    <d v="2023-02-09T00:00:00"/>
    <x v="8"/>
    <s v="Спортпит"/>
    <s v="170919122"/>
    <x v="40"/>
    <x v="388"/>
    <n v="854"/>
    <m/>
    <n v="0"/>
    <n v="0"/>
    <n v="128.1"/>
    <n v="982.1"/>
    <n v="1500"/>
    <x v="103"/>
    <s v="&lt;Клиент не выбран&gt;"/>
    <s v="2023 03"/>
    <n v="517.9"/>
    <n v="0.52733937480908255"/>
  </r>
  <r>
    <s v="223012849"/>
    <n v="0"/>
    <s v="Forever"/>
    <s v="Доставлен"/>
    <d v="2023-01-20T00:00:00"/>
    <x v="7"/>
    <s v="Витамины"/>
    <s v="000000153"/>
    <x v="85"/>
    <x v="389"/>
    <n v="12438.333333333334"/>
    <m/>
    <n v="0"/>
    <n v="248.8752526748458"/>
    <n v="736.92257352891056"/>
    <n v="2048.5224149453602"/>
    <n v="2200"/>
    <x v="164"/>
    <s v="&lt;Клиент не выбран&gt;"/>
    <s v="2023 03"/>
    <n v="151.4775850546398"/>
    <n v="7.3944802336312315E-2"/>
  </r>
  <r>
    <s v="223012849"/>
    <n v="0"/>
    <s v="Forever"/>
    <s v="Доставлен"/>
    <d v="2023-01-20T00:00:00"/>
    <x v="7"/>
    <s v="Витамины"/>
    <s v="000000153"/>
    <x v="85"/>
    <x v="389"/>
    <n v="12438.333333333334"/>
    <m/>
    <n v="0"/>
    <n v="248.8752526748458"/>
    <n v="736.92257352891056"/>
    <n v="2048.5224149453602"/>
    <n v="2200"/>
    <x v="69"/>
    <s v="&lt;Клиент не выбран&gt;"/>
    <s v="2023 03"/>
    <n v="151.4775850546398"/>
    <n v="7.3944802336312315E-2"/>
  </r>
  <r>
    <s v="223012849"/>
    <n v="0"/>
    <s v="Forever"/>
    <s v="Доставлен"/>
    <d v="2023-01-20T00:00:00"/>
    <x v="7"/>
    <s v="Витамины"/>
    <s v="000000153"/>
    <x v="85"/>
    <x v="389"/>
    <n v="12438.333333333334"/>
    <m/>
    <n v="0"/>
    <n v="248.8752526748458"/>
    <n v="736.92257352891056"/>
    <n v="2048.5224149453602"/>
    <n v="2048.52"/>
    <x v="67"/>
    <s v="&lt;Клиент не выбран&gt;"/>
    <s v="2023 01"/>
    <n v="-2.4149453602149151E-3"/>
    <n v="-1.1788718261495461E-6"/>
  </r>
  <r>
    <s v="223012849"/>
    <n v="0"/>
    <s v="Forever"/>
    <s v="Доставлен"/>
    <d v="2023-01-20T00:00:00"/>
    <x v="7"/>
    <s v="Косметика"/>
    <s v="000000609"/>
    <x v="85"/>
    <x v="390"/>
    <n v="38750"/>
    <m/>
    <n v="0"/>
    <n v="775.33828550049111"/>
    <n v="2295.785854823418"/>
    <n v="6381.9035438134297"/>
    <m/>
    <x v="20"/>
    <m/>
    <s v=""/>
    <n v="-6381.9035438134297"/>
    <s v=""/>
  </r>
  <r>
    <s v="223012849"/>
    <n v="0"/>
    <s v="Forever"/>
    <s v="Доставлен"/>
    <d v="2023-01-20T00:00:00"/>
    <x v="7"/>
    <s v="Косметика"/>
    <s v="000000067"/>
    <x v="85"/>
    <x v="273"/>
    <n v="3418"/>
    <m/>
    <n v="0"/>
    <n v="68.38983896363041"/>
    <n v="202.50312391706947"/>
    <n v="562.92506613559488"/>
    <n v="600"/>
    <x v="64"/>
    <s v="&lt;Клиент не выбран&gt;"/>
    <s v="2023 02"/>
    <n v="37.074933864405125"/>
    <n v="6.586122397945357E-2"/>
  </r>
  <r>
    <s v="223012849"/>
    <n v="0"/>
    <s v="Forever"/>
    <s v="Доставлен"/>
    <d v="2023-01-20T00:00:00"/>
    <x v="7"/>
    <s v="Витамины"/>
    <s v="000000068"/>
    <x v="85"/>
    <x v="274"/>
    <n v="5748"/>
    <m/>
    <n v="0"/>
    <n v="115.01017974340188"/>
    <n v="340.54650563935502"/>
    <n v="946.66275018940871"/>
    <n v="946.66"/>
    <x v="120"/>
    <s v="&lt;Клиент не выбран&gt;"/>
    <s v="2023 01"/>
    <n v="-2.7501894087436085E-3"/>
    <n v="-2.9051416760544866E-6"/>
  </r>
  <r>
    <s v="223012849"/>
    <n v="0"/>
    <s v="Forever"/>
    <s v="Доставлен"/>
    <d v="2023-01-20T00:00:00"/>
    <x v="7"/>
    <s v="Витамины"/>
    <s v="000000068"/>
    <x v="85"/>
    <x v="274"/>
    <n v="5748"/>
    <m/>
    <n v="0"/>
    <n v="115.01017974340188"/>
    <n v="340.54650563935502"/>
    <n v="946.66275018940871"/>
    <m/>
    <x v="20"/>
    <m/>
    <s v=""/>
    <n v="-946.66275018940871"/>
    <s v=""/>
  </r>
  <r>
    <s v="223012849"/>
    <n v="0"/>
    <s v="Forever"/>
    <s v="Доставлен"/>
    <d v="2023-01-20T00:00:00"/>
    <x v="7"/>
    <s v="Витамины"/>
    <s v="000007363"/>
    <x v="85"/>
    <x v="391"/>
    <n v="9328.75"/>
    <m/>
    <n v="0"/>
    <n v="186.65643950613435"/>
    <n v="552.69193014668281"/>
    <n v="1536.39181120902"/>
    <n v="2100"/>
    <x v="28"/>
    <s v="&lt;Клиент не выбран&gt;"/>
    <s v="2023 03"/>
    <n v="563.60818879097997"/>
    <n v="0.36683883933712486"/>
  </r>
  <r>
    <s v="223012849"/>
    <n v="0"/>
    <s v="Forever"/>
    <s v="Доставлен"/>
    <d v="2023-01-20T00:00:00"/>
    <x v="7"/>
    <s v="Витамины"/>
    <s v="000007363"/>
    <x v="85"/>
    <x v="391"/>
    <n v="9328.75"/>
    <m/>
    <n v="0"/>
    <n v="186.65643950613435"/>
    <n v="552.69193014668281"/>
    <n v="1536.39181120902"/>
    <n v="3000"/>
    <x v="217"/>
    <s v="&lt;Клиент не выбран&gt;"/>
    <s v="2024 08"/>
    <n v="1463.60818879098"/>
    <n v="0.95262691333874983"/>
  </r>
  <r>
    <s v="223012849"/>
    <n v="0"/>
    <s v="Forever"/>
    <s v="Доставлен"/>
    <d v="2023-01-20T00:00:00"/>
    <x v="7"/>
    <s v="Витамины"/>
    <s v="000007363"/>
    <x v="85"/>
    <x v="391"/>
    <n v="9328.75"/>
    <m/>
    <n v="0"/>
    <n v="186.65643950613435"/>
    <n v="552.69193014668281"/>
    <n v="1536.39181120902"/>
    <n v="1536.39"/>
    <x v="67"/>
    <s v="&lt;Клиент не выбран&gt;"/>
    <s v="2023 01"/>
    <n v="-1.8112090199338127E-3"/>
    <n v="-1.1788718260015542E-6"/>
  </r>
  <r>
    <s v="223012849"/>
    <n v="0"/>
    <s v="Forever"/>
    <s v="Доставлен"/>
    <d v="2023-01-20T00:00:00"/>
    <x v="7"/>
    <s v="Витамины"/>
    <s v="000007363"/>
    <x v="85"/>
    <x v="391"/>
    <n v="9328.75"/>
    <m/>
    <n v="0"/>
    <n v="186.65643950613435"/>
    <n v="552.69193014668281"/>
    <n v="1536.39181120902"/>
    <n v="1536.39"/>
    <x v="67"/>
    <s v="&lt;Клиент не выбран&gt;"/>
    <s v="2023 01"/>
    <n v="-1.8112090199338127E-3"/>
    <n v="-1.1788718260015542E-6"/>
  </r>
  <r>
    <s v="516601509"/>
    <s v="710000620367"/>
    <s v="iHerb_AV CYG0792"/>
    <s v="Доставлен"/>
    <d v="2023-02-12T00:00:00"/>
    <x v="8"/>
    <s v="Витамины"/>
    <s v="NOW-01298"/>
    <x v="3"/>
    <x v="392"/>
    <n v="20.73"/>
    <n v="-2.0750000000000002"/>
    <n v="1.760302287981971"/>
    <n v="2.5976531743872761E-15"/>
    <n v="1.631551123587236"/>
    <n v="1773.340040909314"/>
    <n v="2800"/>
    <x v="177"/>
    <s v="&lt;Клиент не выбран&gt;"/>
    <s v="2023 03"/>
    <n v="1026.659959090686"/>
    <n v="0.57894139612628748"/>
  </r>
  <r>
    <s v="516601509"/>
    <s v="710000620367"/>
    <s v="iHerb_AV CYG0792"/>
    <s v="Доставлен"/>
    <d v="2023-02-12T00:00:00"/>
    <x v="8"/>
    <s v="Витамины"/>
    <s v="NOW-01298"/>
    <x v="3"/>
    <x v="392"/>
    <n v="20.73"/>
    <n v="-2.0750000000000002"/>
    <n v="1.760302287981971"/>
    <n v="2.5976531743872761E-15"/>
    <n v="1.631551123587236"/>
    <n v="1773.340040909314"/>
    <n v="2800"/>
    <x v="177"/>
    <s v="&lt;Клиент не выбран&gt;"/>
    <s v="2023 03"/>
    <n v="1026.659959090686"/>
    <n v="0.57894139612628748"/>
  </r>
  <r>
    <s v="516601509"/>
    <s v="710000620367"/>
    <s v="iHerb_AV CYG0792"/>
    <s v="Доставлен"/>
    <d v="2023-02-12T00:00:00"/>
    <x v="8"/>
    <s v="Витамины"/>
    <s v="NOW-01662"/>
    <x v="3"/>
    <x v="122"/>
    <n v="25.37"/>
    <n v="-2.5350000000000001"/>
    <n v="2.1547307824212441"/>
    <n v="3.1797057216367433E-15"/>
    <n v="1.9971305230294578"/>
    <n v="2170.6898865807657"/>
    <n v="3500"/>
    <x v="172"/>
    <s v="&lt;Клиент не выбран&gt;"/>
    <s v="2023 03"/>
    <n v="1329.3101134192343"/>
    <n v="0.6123906144479907"/>
  </r>
  <r>
    <s v="516601509"/>
    <s v="710000620367"/>
    <s v="iHerb_AV CYG0792"/>
    <s v="Доставлен"/>
    <d v="2023-02-12T00:00:00"/>
    <x v="8"/>
    <s v="Витамины"/>
    <s v="NOW-01662"/>
    <x v="3"/>
    <x v="122"/>
    <n v="25.37"/>
    <n v="-2.5350000000000001"/>
    <n v="2.1547307824212441"/>
    <n v="3.1797057216367433E-15"/>
    <n v="1.9971305230294578"/>
    <n v="2170.6898865807657"/>
    <n v="3500"/>
    <x v="235"/>
    <s v="&lt;Клиент не выбран&gt;"/>
    <s v="2023 04"/>
    <n v="1329.3101134192343"/>
    <n v="0.6123906144479907"/>
  </r>
  <r>
    <s v="516601509"/>
    <s v="710000620367"/>
    <s v="iHerb_AV CYG0792"/>
    <s v="Доставлен"/>
    <d v="2023-02-12T00:00:00"/>
    <x v="8"/>
    <s v="Витамины"/>
    <s v="NOW-02644"/>
    <x v="3"/>
    <x v="21"/>
    <n v="19.72"/>
    <n v="-1.97"/>
    <n v="1.6749056881093529"/>
    <n v="2.47163462049714E-15"/>
    <n v="1.5524005598324007"/>
    <n v="1687.3109475282936"/>
    <n v="2800"/>
    <x v="189"/>
    <s v="&lt;Клиент не выбран&gt;"/>
    <s v="2023 04"/>
    <n v="1112.6890524717064"/>
    <n v="0.65944516871751546"/>
  </r>
  <r>
    <s v="516601509"/>
    <s v="710000620367"/>
    <s v="iHerb_AV CYG0792"/>
    <s v="Доставлен"/>
    <d v="2023-02-12T00:00:00"/>
    <x v="8"/>
    <s v="Витамины"/>
    <s v="NOW-02644"/>
    <x v="3"/>
    <x v="21"/>
    <n v="19.72"/>
    <n v="-1.97"/>
    <n v="1.6749056881093529"/>
    <n v="2.47163462049714E-15"/>
    <n v="1.5524005598324007"/>
    <n v="1687.3109475282936"/>
    <n v="2800"/>
    <x v="175"/>
    <s v="&lt;Клиент не выбран&gt;"/>
    <s v="2023 06"/>
    <n v="1112.6890524717064"/>
    <n v="0.65944516871751546"/>
  </r>
  <r>
    <s v="516601509"/>
    <s v="710000620367"/>
    <s v="iHerb_AV CYG0792"/>
    <s v="Доставлен"/>
    <d v="2023-02-12T00:00:00"/>
    <x v="8"/>
    <s v="Витамины"/>
    <s v="NAP-29982"/>
    <x v="11"/>
    <x v="393"/>
    <n v="22.01"/>
    <n v="-4.4000000000000004"/>
    <n v="1.6616951643721525"/>
    <n v="2.4521400375749091E-15"/>
    <n v="1.5401562737266805"/>
    <n v="1674.0025794914507"/>
    <n v="3400"/>
    <x v="172"/>
    <s v="&lt;Клиент не выбран&gt;"/>
    <s v="2023 03"/>
    <n v="1725.9974205085493"/>
    <n v="1.0310601916951014"/>
  </r>
  <r>
    <s v="516601509"/>
    <s v="710000620367"/>
    <s v="iHerb_AV CYG0792"/>
    <s v="Доставлен"/>
    <d v="2023-02-12T00:00:00"/>
    <x v="8"/>
    <s v="Витамины"/>
    <s v="NAP-29982"/>
    <x v="11"/>
    <x v="393"/>
    <n v="22.01"/>
    <n v="-4.4000000000000004"/>
    <n v="1.6616951643721525"/>
    <n v="2.4521400375749091E-15"/>
    <n v="1.5401562737266805"/>
    <n v="1674.0025794914507"/>
    <n v="3400"/>
    <x v="173"/>
    <s v="&lt;Клиент не выбран&gt;"/>
    <s v="2023 03"/>
    <n v="1725.9974205085493"/>
    <n v="1.0310601916951014"/>
  </r>
  <r>
    <s v="516601509"/>
    <s v="710000620367"/>
    <s v="iHerb_AV CYG0792"/>
    <s v="Доставлен"/>
    <d v="2023-02-12T00:00:00"/>
    <x v="8"/>
    <s v="Витамины"/>
    <s v="OAD-56862"/>
    <x v="17"/>
    <x v="394"/>
    <n v="19.46"/>
    <n v="-3.89"/>
    <n v="1.4691989613443734"/>
    <n v="2.1680761149938294E-15"/>
    <n v="1.3617395333290412"/>
    <n v="1480.0806452403119"/>
    <n v="3000"/>
    <x v="28"/>
    <s v="&lt;Клиент не выбран&gt;"/>
    <s v="2023 03"/>
    <n v="1519.9193547596881"/>
    <n v="1.0269165802873585"/>
  </r>
  <r>
    <s v="516601509"/>
    <s v="710000620367"/>
    <s v="iHerb_AV CYG0792"/>
    <s v="Доставлен"/>
    <d v="2023-02-12T00:00:00"/>
    <x v="8"/>
    <s v="Витамины"/>
    <s v="NAP-37691"/>
    <x v="11"/>
    <x v="352"/>
    <n v="9.5399999999999991"/>
    <n v="-1.91"/>
    <n v="0.71997354367742883"/>
    <n v="1.0624547692615874E-15"/>
    <n v="0.66731359276175861"/>
    <n v="725.30605800793694"/>
    <n v="1400"/>
    <x v="28"/>
    <s v="&lt;Клиент не выбран&gt;"/>
    <s v="2023 03"/>
    <n v="674.69394199206306"/>
    <n v="0.93021964251218203"/>
  </r>
  <r>
    <s v="516601509"/>
    <s v="710000620367"/>
    <s v="iHerb_AV CYG0792"/>
    <s v="Доставлен"/>
    <d v="2023-02-12T00:00:00"/>
    <x v="8"/>
    <s v="Витамины"/>
    <s v="NAP-37691"/>
    <x v="11"/>
    <x v="352"/>
    <n v="9.5399999999999991"/>
    <n v="-1.91"/>
    <n v="0.71997354367742883"/>
    <n v="1.0624547692615874E-15"/>
    <n v="0.66731359276175861"/>
    <n v="725.30605800793694"/>
    <n v="1400"/>
    <x v="28"/>
    <s v="&lt;Клиент не выбран&gt;"/>
    <s v="2023 03"/>
    <n v="674.69394199206306"/>
    <n v="0.93021964251218203"/>
  </r>
  <r>
    <s v="516601509"/>
    <s v="710000620367"/>
    <s v="iHerb_AV CYG0792"/>
    <s v="Доставлен"/>
    <d v="2023-02-12T00:00:00"/>
    <x v="8"/>
    <s v="Витамины"/>
    <s v="NAP-29996"/>
    <x v="11"/>
    <x v="61"/>
    <n v="9.75"/>
    <n v="-1.95"/>
    <n v="0.73601489392974384"/>
    <n v="1.0861267628100108E-15"/>
    <n v="0.68218165446156198"/>
    <n v="741.46621919553195"/>
    <n v="1700"/>
    <x v="215"/>
    <s v="&lt;Клиент не выбран&gt;"/>
    <s v="2023 11"/>
    <n v="958.53378080446805"/>
    <n v="1.2927544856250468"/>
  </r>
  <r>
    <s v="516601509"/>
    <s v="710000620367"/>
    <s v="iHerb_AV CYG0792"/>
    <s v="Доставлен"/>
    <d v="2023-02-12T00:00:00"/>
    <x v="8"/>
    <s v="Витамины"/>
    <s v="OAD-54589"/>
    <x v="17"/>
    <x v="395"/>
    <n v="14.72"/>
    <n v="-2.94"/>
    <n v="1.1115712116015877"/>
    <n v="1.6403299058848627E-15"/>
    <n v="1.0302692166098977"/>
    <n v="1119.8041105286368"/>
    <n v="2200"/>
    <x v="204"/>
    <s v="&lt;Клиент не выбран&gt;"/>
    <s v="2023 04"/>
    <n v="1080.1958894713632"/>
    <n v="0.96462933053659239"/>
  </r>
  <r>
    <s v="516602480"/>
    <s v="710000620079"/>
    <s v="iHerb_OA CZN6870"/>
    <s v="Доставлен"/>
    <d v="2023-02-12T00:00:00"/>
    <x v="8"/>
    <s v="Витамины"/>
    <s v="SPN-00168"/>
    <x v="45"/>
    <x v="396"/>
    <n v="23.05"/>
    <n v="-9.2200000000000006"/>
    <n v="0.9915817822730264"/>
    <n v="-2.3524582046949987E-15"/>
    <n v="1.4746017007508421"/>
    <n v="1313.4030432700938"/>
    <n v="2600"/>
    <x v="236"/>
    <s v="&lt;Клиент не выбран&gt;"/>
    <s v="2023 06"/>
    <n v="1286.5969567299062"/>
    <n v="0.97959035752388224"/>
  </r>
  <r>
    <s v="516602480"/>
    <s v="710000620079"/>
    <s v="iHerb_OA CZN6870"/>
    <s v="Доставлен"/>
    <d v="2023-02-12T00:00:00"/>
    <x v="8"/>
    <s v="Витамины"/>
    <s v="SPN-00168"/>
    <x v="45"/>
    <x v="396"/>
    <n v="23.05"/>
    <n v="-9.2200000000000006"/>
    <n v="0.9915817822730264"/>
    <n v="-2.3524582046949987E-15"/>
    <n v="1.4746017007508421"/>
    <n v="1313.4030432700938"/>
    <n v="2800"/>
    <x v="237"/>
    <s v="&lt;Клиент не выбран&gt;"/>
    <s v="2023 08"/>
    <n v="1486.5969567299062"/>
    <n v="1.1318665388718732"/>
  </r>
  <r>
    <s v="516602480"/>
    <s v="710000620079"/>
    <s v="iHerb_OA CZN6870"/>
    <s v="Доставлен"/>
    <d v="2023-02-12T00:00:00"/>
    <x v="8"/>
    <s v="Витамины"/>
    <s v="NOW-04606"/>
    <x v="3"/>
    <x v="397"/>
    <n v="7.83"/>
    <n v="-1.0999999999999999"/>
    <n v="0.48252678197378657"/>
    <n v="-1.1447609340272843E-15"/>
    <n v="0.71757552032199334"/>
    <n v="639.1325004488599"/>
    <n v="1100"/>
    <x v="177"/>
    <s v="&lt;Клиент не выбран&gt;"/>
    <s v="2023 03"/>
    <n v="460.8674995511401"/>
    <n v="0.72108287284322881"/>
  </r>
  <r>
    <s v="516602480"/>
    <s v="710000620079"/>
    <s v="iHerb_OA CZN6870"/>
    <s v="Доставлен"/>
    <d v="2023-02-12T00:00:00"/>
    <x v="8"/>
    <s v="Витамины"/>
    <s v="NOW-04606"/>
    <x v="3"/>
    <x v="397"/>
    <n v="7.83"/>
    <n v="-1.0999999999999999"/>
    <n v="0.48252678197378657"/>
    <n v="-1.1447609340272843E-15"/>
    <n v="0.71757552032199334"/>
    <n v="639.1325004488599"/>
    <n v="1100"/>
    <x v="177"/>
    <s v="&lt;Клиент не выбран&gt;"/>
    <s v="2023 03"/>
    <n v="460.8674995511401"/>
    <n v="0.72108287284322881"/>
  </r>
  <r>
    <s v="516602480"/>
    <s v="710000620079"/>
    <s v="iHerb_OA CZN6870"/>
    <s v="Доставлен"/>
    <d v="2023-02-12T00:00:00"/>
    <x v="8"/>
    <s v="Витамины"/>
    <s v="NOW-04606"/>
    <x v="3"/>
    <x v="397"/>
    <n v="7.83"/>
    <n v="-1.0999999999999999"/>
    <n v="0.48252678197378657"/>
    <n v="-1.1447609340272843E-15"/>
    <n v="0.71757552032199334"/>
    <n v="639.1325004488599"/>
    <n v="1100"/>
    <x v="177"/>
    <s v="&lt;Клиент не выбран&gt;"/>
    <s v="2023 03"/>
    <n v="460.8674995511401"/>
    <n v="0.72108287284322881"/>
  </r>
  <r>
    <s v="516602480"/>
    <s v="710000620079"/>
    <s v="iHerb_OA CZN6870"/>
    <s v="Доставлен"/>
    <d v="2023-02-12T00:00:00"/>
    <x v="8"/>
    <s v="Витамины"/>
    <s v="LEX-23166"/>
    <x v="7"/>
    <x v="18"/>
    <n v="11.37"/>
    <n v="-1.59"/>
    <n v="0.70120533844036137"/>
    <n v="-1.6635604657929924E-15"/>
    <n v="1.0427769076893156"/>
    <n v="928.7839308157279"/>
    <n v="1700"/>
    <x v="232"/>
    <s v="&lt;Клиент не выбран&gt;"/>
    <s v="2023 03"/>
    <n v="771.2160691842721"/>
    <n v="0.83035035770583598"/>
  </r>
  <r>
    <s v="516602480"/>
    <s v="710000620079"/>
    <s v="iHerb_OA CZN6870"/>
    <s v="Доставлен"/>
    <d v="2023-02-12T00:00:00"/>
    <x v="8"/>
    <s v="Витамины"/>
    <s v="LEX-23166"/>
    <x v="7"/>
    <x v="18"/>
    <n v="11.37"/>
    <n v="-1.59"/>
    <n v="0.70120533844036137"/>
    <n v="-1.6635604657929924E-15"/>
    <n v="1.0427769076893156"/>
    <n v="928.7839308157279"/>
    <n v="1600"/>
    <x v="238"/>
    <s v="&lt;Клиент не выбран&gt;"/>
    <s v="2023 08"/>
    <n v="671.2160691842721"/>
    <n v="0.72268268960549276"/>
  </r>
  <r>
    <s v="516602480"/>
    <s v="710000620079"/>
    <s v="iHerb_OA CZN6870"/>
    <s v="Доставлен"/>
    <d v="2023-02-12T00:00:00"/>
    <x v="8"/>
    <s v="Косметика"/>
    <s v="ARH-19460"/>
    <x v="29"/>
    <x v="398"/>
    <n v="4.1500000000000004"/>
    <n v="-0.57999999999999996"/>
    <n v="0.25596145789694175"/>
    <n v="-6.0725059947658324E-16"/>
    <n v="0.38064555832830854"/>
    <n v="339.03462505236701"/>
    <n v="700"/>
    <x v="161"/>
    <s v="&lt;Клиент не выбран&gt;"/>
    <s v="2023 03"/>
    <n v="360.96537494763299"/>
    <n v="1.0646858706301121"/>
  </r>
  <r>
    <s v="516602480"/>
    <s v="710000620079"/>
    <s v="iHerb_OA CZN6870"/>
    <s v="Доставлен"/>
    <d v="2023-02-12T00:00:00"/>
    <x v="8"/>
    <s v="Косметика"/>
    <s v="ARH-19460"/>
    <x v="29"/>
    <x v="398"/>
    <n v="4.1500000000000004"/>
    <n v="-0.57999999999999996"/>
    <n v="0.25596145789694175"/>
    <n v="-6.0725059947658324E-16"/>
    <n v="0.38064555832830854"/>
    <n v="339.03462505236701"/>
    <n v="700"/>
    <x v="232"/>
    <s v="&lt;Клиент не выбран&gt;"/>
    <s v="2023 03"/>
    <n v="360.96537494763299"/>
    <n v="1.0646858706301121"/>
  </r>
  <r>
    <s v="516602480"/>
    <s v="710000620079"/>
    <s v="iHerb_OA CZN6870"/>
    <s v="Доставлен"/>
    <d v="2023-02-12T00:00:00"/>
    <x v="8"/>
    <s v="Витамины"/>
    <s v="NOW-02313"/>
    <x v="3"/>
    <x v="87"/>
    <n v="18.350000000000001"/>
    <n v="-2.5649999999999999"/>
    <n v="1.1317511520737327"/>
    <n v="-2.6850001996464613E-15"/>
    <n v="1.6830504588830113"/>
    <n v="1499.0648617511524"/>
    <n v="2300"/>
    <x v="239"/>
    <s v="&lt;Клиент не выбран&gt;"/>
    <s v="2023 07"/>
    <n v="800.93513824884758"/>
    <n v="0.53428984874825536"/>
  </r>
  <r>
    <s v="516602480"/>
    <s v="710000620079"/>
    <s v="iHerb_OA CZN6870"/>
    <s v="Доставлен"/>
    <d v="2023-02-12T00:00:00"/>
    <x v="8"/>
    <s v="Витамины"/>
    <s v="NOW-02313"/>
    <x v="3"/>
    <x v="87"/>
    <n v="18.350000000000001"/>
    <n v="-2.5649999999999999"/>
    <n v="1.1317511520737327"/>
    <n v="-2.6850001996464613E-15"/>
    <n v="1.6830504588830113"/>
    <n v="1499.0648617511524"/>
    <n v="1499.06"/>
    <x v="35"/>
    <s v="&lt;Клиент не выбран&gt;"/>
    <s v="2023 02"/>
    <n v="-4.8617511524753354E-3"/>
    <n v="-3.2431893219056691E-6"/>
  </r>
  <r>
    <s v="516602480"/>
    <s v="710000620079"/>
    <s v="iHerb_OA CZN6870"/>
    <s v="Доставлен"/>
    <d v="2023-02-12T00:00:00"/>
    <x v="8"/>
    <s v="Витамины"/>
    <s v="NOW-01648"/>
    <x v="3"/>
    <x v="32"/>
    <n v="14.08"/>
    <n v="-1.41"/>
    <n v="0.90841223292836171"/>
    <n v="-2.1551442844168931E-15"/>
    <n v="1.3509185501455652"/>
    <n v="1203.2405320485964"/>
    <n v="1700"/>
    <x v="240"/>
    <s v="&lt;Клиент не выбран&gt;"/>
    <s v="2023 05"/>
    <n v="496.75946795140362"/>
    <n v="0.41285134162297366"/>
  </r>
  <r>
    <s v="516602480"/>
    <s v="710000620079"/>
    <s v="iHerb_OA CZN6870"/>
    <s v="Доставлен"/>
    <d v="2023-02-12T00:00:00"/>
    <x v="8"/>
    <s v="Витамины"/>
    <s v="NOW-01648"/>
    <x v="3"/>
    <x v="32"/>
    <n v="14.08"/>
    <n v="-1.41"/>
    <n v="0.90841223292836171"/>
    <n v="-2.1551442844168931E-15"/>
    <n v="1.3509185501455652"/>
    <n v="1203.2405320485964"/>
    <n v="1700"/>
    <x v="241"/>
    <s v="&lt;Клиент не выбран&gt;"/>
    <s v="2023 06"/>
    <n v="496.75946795140362"/>
    <n v="0.41285134162297366"/>
  </r>
  <r>
    <s v="516602480"/>
    <s v="710000620079"/>
    <s v="iHerb_OA CZN6870"/>
    <s v="Доставлен"/>
    <d v="2023-02-12T00:00:00"/>
    <x v="8"/>
    <s v="Спортпит"/>
    <s v="HAV-46416"/>
    <x v="116"/>
    <x v="399"/>
    <n v="19.82"/>
    <n v="-8.32"/>
    <n v="0.82452570471003639"/>
    <n v="-1.9561293820674248E-15"/>
    <n v="1.2261691654833464"/>
    <n v="1092.1283440062241"/>
    <n v="2500"/>
    <x v="242"/>
    <s v="&lt;Клиент не выбран&gt;"/>
    <s v="2023 08"/>
    <n v="1407.8716559937759"/>
    <n v="1.289108247872516"/>
  </r>
  <r>
    <s v="516602480"/>
    <s v="710000620079"/>
    <s v="iHerb_OA CZN6870"/>
    <s v="Доставлен"/>
    <d v="2023-02-12T00:00:00"/>
    <x v="8"/>
    <s v="Витамины"/>
    <s v="NOW-00369"/>
    <x v="3"/>
    <x v="118"/>
    <n v="9.64"/>
    <n v="-0.96"/>
    <n v="0.62233766233766219"/>
    <n v="-1.476452437943065E-15"/>
    <n v="0.92549116142569121"/>
    <n v="824.31948051948041"/>
    <n v="900"/>
    <x v="243"/>
    <s v="&lt;Клиент не выбран&gt;"/>
    <s v="2024 09"/>
    <n v="75.680519480519592"/>
    <n v="9.1809694261776098E-2"/>
  </r>
  <r>
    <s v="516602480"/>
    <s v="710000620079"/>
    <s v="iHerb_OA CZN6870"/>
    <s v="Доставлен"/>
    <d v="2023-02-12T00:00:00"/>
    <x v="8"/>
    <s v="Витамины"/>
    <s v="NWY-15788"/>
    <x v="16"/>
    <x v="53"/>
    <n v="11.01"/>
    <n v="-1.54"/>
    <n v="0.67897899335687339"/>
    <n v="-1.6108300215807402E-15"/>
    <n v="1.0097236519241124"/>
    <n v="899.34394936860349"/>
    <n v="1700"/>
    <x v="177"/>
    <s v="&lt;Клиент не выбран&gt;"/>
    <s v="2023 03"/>
    <n v="800.65605063139651"/>
    <n v="0.89026678968987094"/>
  </r>
  <r>
    <s v="516602480"/>
    <s v="710000620079"/>
    <s v="iHerb_OA CZN6870"/>
    <s v="Доставлен"/>
    <d v="2023-02-12T00:00:00"/>
    <x v="8"/>
    <s v="Витамины"/>
    <s v="NOW-00372"/>
    <x v="3"/>
    <x v="13"/>
    <n v="6.64"/>
    <n v="-0.66"/>
    <n v="0.42875336644921891"/>
    <n v="-1.0171872786750609E-15"/>
    <n v="0.63760796605134018"/>
    <n v="567.90673888323647"/>
    <n v="1000"/>
    <x v="244"/>
    <s v="&lt;Клиент не выбран&gt;"/>
    <s v="2023 06"/>
    <n v="432.09326111676353"/>
    <n v="0.76085249836347402"/>
  </r>
  <r>
    <s v="516447261"/>
    <s v="710000606202"/>
    <s v="iHerb_OA CZN6870"/>
    <s v="Доставлен"/>
    <d v="2023-02-04T00:00:00"/>
    <x v="8"/>
    <s v="Витамины"/>
    <s v="NFS-04913"/>
    <x v="23"/>
    <x v="104"/>
    <n v="13.94"/>
    <n v="-1.39"/>
    <n v="1.1167971548459725"/>
    <n v="0"/>
    <n v="1.1462933981357299"/>
    <n v="1155.4168867055571"/>
    <n v="2200"/>
    <x v="154"/>
    <s v="&lt;Клиент не выбран&gt;"/>
    <s v="2023 03"/>
    <n v="1044.5831132944429"/>
    <n v="0.90407464640132207"/>
  </r>
  <r>
    <s v="516447261"/>
    <s v="710000606202"/>
    <s v="iHerb_OA CZN6870"/>
    <s v="Доставлен"/>
    <d v="2023-02-04T00:00:00"/>
    <x v="8"/>
    <s v="Витамины"/>
    <s v="PAR-77818"/>
    <x v="44"/>
    <x v="400"/>
    <n v="13.44"/>
    <n v="-1.34"/>
    <n v="1.0767526353495036"/>
    <n v="0"/>
    <n v="1.1051912444177157"/>
    <n v="1113.9875959471906"/>
    <n v="1900"/>
    <x v="42"/>
    <s v="&lt;Клиент не выбран&gt;"/>
    <s v="2023 03"/>
    <n v="786.01240405280942"/>
    <n v="0.70558452079036516"/>
  </r>
  <r>
    <s v="516447261"/>
    <s v="710000606202"/>
    <s v="iHerb_OA CZN6870"/>
    <s v="Доставлен"/>
    <d v="2023-02-04T00:00:00"/>
    <x v="8"/>
    <s v="Витамины"/>
    <s v="NOW-01486"/>
    <x v="3"/>
    <x v="401"/>
    <n v="12.99"/>
    <n v="-1.3"/>
    <n v="1.040267628697165"/>
    <n v="0"/>
    <n v="1.0677426154746361"/>
    <n v="1076.2409088117897"/>
    <n v="1700"/>
    <x v="232"/>
    <s v="&lt;Клиент не выбран&gt;"/>
    <s v="2023 03"/>
    <n v="623.75909118821028"/>
    <n v="0.57957199552734306"/>
  </r>
  <r>
    <s v="516447261"/>
    <s v="710000606202"/>
    <s v="iHerb_OA CZN6870"/>
    <s v="Доставлен"/>
    <d v="2023-02-04T00:00:00"/>
    <x v="8"/>
    <s v="Витамины"/>
    <s v="CEN-27844"/>
    <x v="2"/>
    <x v="62"/>
    <n v="6"/>
    <n v="-0.6"/>
    <n v="0.48053423395762973"/>
    <n v="0"/>
    <n v="0.49322584461617064"/>
    <n v="497.15148910039909"/>
    <n v="1000"/>
    <x v="245"/>
    <s v="&lt;Клиент не выбран&gt;"/>
    <s v="2023 07"/>
    <n v="502.84851089960091"/>
    <n v="1.0114593276377601"/>
  </r>
  <r>
    <s v="516447261"/>
    <s v="710000606202"/>
    <s v="iHerb_OA CZN6870"/>
    <s v="Доставлен"/>
    <d v="2023-02-04T00:00:00"/>
    <x v="8"/>
    <s v="Витамины"/>
    <s v="CGN-01330"/>
    <x v="1"/>
    <x v="89"/>
    <n v="15"/>
    <n v="-4.5"/>
    <n v="0.93437212158427996"/>
    <n v="0"/>
    <n v="0.9590502534203319"/>
    <n v="966.68345102855369"/>
    <n v="2100"/>
    <x v="246"/>
    <s v="&lt;Клиент не выбран&gt;"/>
    <s v="2023 06"/>
    <n v="1133.3165489714463"/>
    <n v="1.1723760738487812"/>
  </r>
  <r>
    <s v="516447261"/>
    <s v="710000606202"/>
    <s v="iHerb_OA CZN6870"/>
    <s v="Доставлен"/>
    <d v="2023-02-04T00:00:00"/>
    <x v="8"/>
    <s v="Витамины"/>
    <s v="CGN-01408"/>
    <x v="1"/>
    <x v="257"/>
    <n v="7"/>
    <n v="-2.1"/>
    <n v="0.43604032340599735"/>
    <n v="0"/>
    <n v="0.4475567849294883"/>
    <n v="451.11894381332507"/>
    <n v="900"/>
    <x v="247"/>
    <s v="&lt;Клиент не выбран&gt;"/>
    <s v="2023 06"/>
    <n v="448.88105618667493"/>
    <n v="0.99503925149377859"/>
  </r>
  <r>
    <s v="516447261"/>
    <s v="710000606202"/>
    <s v="iHerb_OA CZN6870"/>
    <s v="Доставлен"/>
    <d v="2023-02-04T00:00:00"/>
    <x v="8"/>
    <s v="Витамины"/>
    <s v="CGN-01408"/>
    <x v="1"/>
    <x v="257"/>
    <n v="7"/>
    <n v="-2.1"/>
    <n v="0.43604032340599735"/>
    <n v="0"/>
    <n v="0.4475567849294883"/>
    <n v="451.11894381332507"/>
    <n v="900"/>
    <x v="248"/>
    <s v="&lt;Клиент не выбран&gt;"/>
    <s v="2023 06"/>
    <n v="448.88105618667493"/>
    <n v="0.99503925149377859"/>
  </r>
  <r>
    <s v="516447261"/>
    <s v="710000606202"/>
    <s v="iHerb_OA CZN6870"/>
    <s v="Доставлен"/>
    <d v="2023-02-04T00:00:00"/>
    <x v="8"/>
    <s v="Витамины"/>
    <s v="CGN-01168"/>
    <x v="1"/>
    <x v="402"/>
    <n v="9"/>
    <n v="-4.5"/>
    <n v="0.40044519496469139"/>
    <n v="0"/>
    <n v="0.41102153718014228"/>
    <n v="414.29290758366585"/>
    <n v="1500"/>
    <x v="7"/>
    <s v="&lt;Клиент не выбран&gt;"/>
    <s v="2023 06"/>
    <n v="1085.707092416334"/>
    <n v="2.6206267897479685"/>
  </r>
  <r>
    <s v="516447261"/>
    <s v="710000606202"/>
    <s v="iHerb_OA CZN6870"/>
    <s v="Доставлен"/>
    <d v="2023-02-04T00:00:00"/>
    <x v="8"/>
    <s v="Витамины"/>
    <s v="CGN-01168"/>
    <x v="1"/>
    <x v="402"/>
    <n v="9"/>
    <n v="-4.5"/>
    <n v="0.40044519496469139"/>
    <n v="0"/>
    <n v="0.41102153718014228"/>
    <n v="414.29290758366585"/>
    <n v="1500"/>
    <x v="249"/>
    <s v="&lt;Клиент не выбран&gt;"/>
    <s v="2023 07"/>
    <n v="1085.707092416334"/>
    <n v="2.6206267897479685"/>
  </r>
  <r>
    <s v="516447261"/>
    <s v="710000606202"/>
    <s v="iHerb_OA CZN6870"/>
    <s v="Доставлен"/>
    <d v="2023-02-04T00:00:00"/>
    <x v="8"/>
    <s v="Спортпит"/>
    <s v="CGN-01064"/>
    <x v="1"/>
    <x v="156"/>
    <n v="23"/>
    <n v="-6.9"/>
    <n v="1.4327039197625628"/>
    <n v="0"/>
    <n v="1.4705437219111757"/>
    <n v="1482.2479582437827"/>
    <n v="3000"/>
    <x v="250"/>
    <s v="&lt;Клиент не выбран&gt;"/>
    <s v="2024 01"/>
    <n v="1517.7520417562173"/>
    <n v="1.0239528638342676"/>
  </r>
  <r>
    <s v="516447261"/>
    <s v="710000606202"/>
    <s v="iHerb_OA CZN6870"/>
    <s v="Доставлен"/>
    <d v="2023-02-04T00:00:00"/>
    <x v="8"/>
    <s v="Витамины"/>
    <s v="LKN-01542"/>
    <x v="90"/>
    <x v="300"/>
    <n v="12"/>
    <n v="-3.6"/>
    <n v="0.7474976972674241"/>
    <n v="0"/>
    <n v="0.76724020273626548"/>
    <n v="773.34676082284307"/>
    <n v="1900"/>
    <x v="251"/>
    <s v="&lt;Клиент не выбран&gt;"/>
    <s v="2023 04"/>
    <n v="1126.653239177157"/>
    <n v="1.4568538930432642"/>
  </r>
  <r>
    <s v="516447261"/>
    <s v="710000606202"/>
    <s v="iHerb_OA CZN6870"/>
    <s v="Доставлен"/>
    <d v="2023-02-04T00:00:00"/>
    <x v="8"/>
    <s v="Витамины"/>
    <s v="NOW-03882"/>
    <x v="3"/>
    <x v="187"/>
    <n v="12.24"/>
    <n v="-1.22"/>
    <n v="0.98064578855797757"/>
    <n v="0"/>
    <n v="1.0065460754944817"/>
    <n v="1014.5572981271106"/>
    <n v="1900"/>
    <x v="170"/>
    <s v="&lt;Клиент не выбран&gt;"/>
    <s v="2023 03"/>
    <n v="885.44270187288942"/>
    <n v="0.87273799469722524"/>
  </r>
  <r>
    <s v="516447261"/>
    <s v="710000606202"/>
    <s v="iHerb_OA CZN6870"/>
    <s v="Доставлен"/>
    <d v="2023-02-04T00:00:00"/>
    <x v="8"/>
    <s v="Витамины"/>
    <s v="CEN-27685"/>
    <x v="2"/>
    <x v="149"/>
    <n v="5.26"/>
    <n v="-0.53"/>
    <n v="0.42091239381844231"/>
    <n v="0"/>
    <n v="0.43202930463601613"/>
    <n v="435.46787841571984"/>
    <n v="700"/>
    <x v="252"/>
    <m/>
    <s v="2025 09"/>
    <n v="264.53212158428016"/>
    <n v="0.60746643942298839"/>
  </r>
  <r>
    <s v="516447261"/>
    <s v="710000606202"/>
    <s v="iHerb_OA CZN6870"/>
    <s v="Доставлен"/>
    <d v="2023-02-04T00:00:00"/>
    <x v="8"/>
    <s v="Косметика"/>
    <s v="MAV-14757"/>
    <x v="4"/>
    <x v="10"/>
    <n v="6.23"/>
    <n v="-1.2450000000000001"/>
    <n v="0.44360428819977488"/>
    <n v="0"/>
    <n v="0.45532052507622423"/>
    <n v="458.94447651212772"/>
    <n v="900"/>
    <x v="157"/>
    <s v="&lt;Клиент не выбран&gt;"/>
    <s v="2023 04"/>
    <n v="441.05552348787228"/>
    <n v="0.96102153105707389"/>
  </r>
  <r>
    <s v="516447261"/>
    <s v="710000606202"/>
    <s v="iHerb_OA CZN6870"/>
    <s v="Доставлен"/>
    <d v="2023-02-04T00:00:00"/>
    <x v="8"/>
    <s v="Косметика"/>
    <s v="MAV-14757"/>
    <x v="4"/>
    <x v="10"/>
    <n v="6.23"/>
    <n v="-1.2450000000000001"/>
    <n v="0.44360428819977488"/>
    <n v="0"/>
    <n v="0.45532052507622423"/>
    <n v="458.94447651212772"/>
    <n v="1000"/>
    <x v="139"/>
    <s v="&lt;Клиент не выбран&gt;"/>
    <s v="2023 11"/>
    <n v="541.05552348787228"/>
    <n v="1.1789128122856376"/>
  </r>
  <r>
    <s v="516447261"/>
    <s v="710000606202"/>
    <s v="iHerb_OA CZN6870"/>
    <s v="Доставлен"/>
    <d v="2023-02-04T00:00:00"/>
    <x v="8"/>
    <s v="Витамины"/>
    <s v="OAD-58700"/>
    <x v="17"/>
    <x v="85"/>
    <n v="14.35"/>
    <n v="-2.87"/>
    <n v="1.0215801862654794"/>
    <n v="0"/>
    <n v="1.0485616104062296"/>
    <n v="1056.9072397912189"/>
    <n v="2300"/>
    <x v="5"/>
    <s v="&lt;Клиент не выбран&gt;"/>
    <s v="2023 05"/>
    <n v="1243.0927602087811"/>
    <n v="1.1761607011551376"/>
  </r>
  <r>
    <s v="516447261"/>
    <s v="710000606202"/>
    <s v="iHerb_OA CZN6870"/>
    <s v="Доставлен"/>
    <d v="2023-02-04T00:00:00"/>
    <x v="8"/>
    <s v="Витамины"/>
    <s v="OAD-58701"/>
    <x v="17"/>
    <x v="39"/>
    <n v="14.39"/>
    <n v="-2.88"/>
    <n v="1.0242498208985775"/>
    <n v="0"/>
    <n v="1.0513017539874305"/>
    <n v="1059.6691925084433"/>
    <m/>
    <x v="20"/>
    <m/>
    <s v=""/>
    <n v="-1059.6691925084433"/>
    <s v=""/>
  </r>
  <r>
    <s v="516447261"/>
    <s v="710000606202"/>
    <s v="iHerb_OA CZN6870"/>
    <s v="Доставлен"/>
    <d v="2023-02-04T00:00:00"/>
    <x v="8"/>
    <s v="Витамины"/>
    <s v="MLI-00952"/>
    <x v="1"/>
    <x v="7"/>
    <n v="7"/>
    <n v="-3.5"/>
    <n v="0.31145737386142663"/>
    <n v="0"/>
    <n v="0.31968341780677734"/>
    <n v="322.22781700951793"/>
    <n v="1000"/>
    <x v="13"/>
    <s v="&lt;Клиент не выбран&gt;"/>
    <s v="2023 05"/>
    <n v="677.77218299048207"/>
    <n v="2.1033943912125443"/>
  </r>
  <r>
    <s v="516447261"/>
    <s v="710000606202"/>
    <s v="iHerb_OA CZN6870"/>
    <s v="Доставлен"/>
    <d v="2023-02-04T00:00:00"/>
    <x v="8"/>
    <s v="Витамины"/>
    <s v="MLI-00952"/>
    <x v="1"/>
    <x v="7"/>
    <n v="7"/>
    <n v="-3.5"/>
    <n v="0.31145737386142663"/>
    <n v="0"/>
    <n v="0.31968341780677734"/>
    <n v="322.22781700951793"/>
    <n v="1000"/>
    <x v="13"/>
    <s v="&lt;Клиент не выбран&gt;"/>
    <s v="2023 05"/>
    <n v="677.77218299048207"/>
    <n v="2.1033943912125443"/>
  </r>
  <r>
    <s v="516447261"/>
    <s v="710000606202"/>
    <s v="iHerb_OA CZN6870"/>
    <s v="Доставлен"/>
    <d v="2023-02-04T00:00:00"/>
    <x v="8"/>
    <s v="Витамины"/>
    <s v="NOB-27413"/>
    <x v="65"/>
    <x v="297"/>
    <n v="17.440000000000001"/>
    <n v="-7.26"/>
    <n v="0.90589601883123538"/>
    <n v="0"/>
    <n v="0.92982205522085537"/>
    <n v="937.22262204482649"/>
    <n v="2500"/>
    <x v="225"/>
    <s v="&lt;Клиент не выбран&gt;"/>
    <s v="2023 05"/>
    <n v="1562.7773779551735"/>
    <n v="1.6674558863565581"/>
  </r>
  <r>
    <s v="516447261"/>
    <s v="710000606202"/>
    <s v="iHerb_OA CZN6870"/>
    <s v="Доставлен"/>
    <d v="2023-02-04T00:00:00"/>
    <x v="8"/>
    <s v="Спортпит"/>
    <s v="NOB-27406"/>
    <x v="65"/>
    <x v="180"/>
    <n v="16.71"/>
    <n v="-3.34"/>
    <n v="1.1897671681506499"/>
    <n v="0"/>
    <n v="1.2211906560218893"/>
    <n v="1230.9102609763586"/>
    <n v="2500"/>
    <x v="225"/>
    <s v="&lt;Клиент не выбран&gt;"/>
    <s v="2023 05"/>
    <n v="1269.0897390236414"/>
    <n v="1.031017271735958"/>
  </r>
  <r>
    <s v="516447261"/>
    <s v="710000606202"/>
    <s v="iHerb_OA CZN6870"/>
    <s v="Доставлен"/>
    <d v="2023-02-04T00:00:00"/>
    <x v="8"/>
    <s v="Витамины"/>
    <s v="OAD-08014"/>
    <x v="17"/>
    <x v="403"/>
    <n v="25.78"/>
    <n v="-5.16"/>
    <n v="1.8349288711493195"/>
    <n v="0"/>
    <n v="1.8833920214787851"/>
    <n v="1898.3821676389312"/>
    <n v="3000"/>
    <x v="175"/>
    <s v="&lt;Клиент не выбран&gt;"/>
    <s v="2023 06"/>
    <n v="1101.6178323610688"/>
    <n v="0.58029297321686313"/>
  </r>
  <r>
    <s v="709319468"/>
    <n v="0"/>
    <s v="CoralClub_AV"/>
    <s v="Доставлен"/>
    <d v="2023-02-15T00:00:00"/>
    <x v="8"/>
    <s v="Витамины"/>
    <s v="000001405"/>
    <x v="79"/>
    <x v="227"/>
    <n v="832"/>
    <m/>
    <n v="0"/>
    <n v="10.592592592592593"/>
    <n v="0"/>
    <n v="842.59259259259261"/>
    <n v="842.59"/>
    <x v="253"/>
    <s v="&lt;Клиент не выбран&gt;"/>
    <s v="2023 05"/>
    <n v="-2.5925925925776028E-3"/>
    <n v="-3.0769230769052868E-6"/>
  </r>
  <r>
    <s v="709319468"/>
    <n v="0"/>
    <s v="CoralClub_AV"/>
    <s v="Доставлен"/>
    <d v="2023-02-15T00:00:00"/>
    <x v="8"/>
    <s v="Витамины"/>
    <s v="000001405"/>
    <x v="79"/>
    <x v="227"/>
    <n v="832"/>
    <m/>
    <n v="0"/>
    <n v="10.592592592592593"/>
    <n v="0"/>
    <n v="842.59259259259261"/>
    <m/>
    <x v="20"/>
    <m/>
    <s v=""/>
    <n v="-842.59259259259261"/>
    <s v=""/>
  </r>
  <r>
    <s v="709319468"/>
    <n v="0"/>
    <s v="CoralClub_AV"/>
    <s v="Доставлен"/>
    <d v="2023-02-15T00:00:00"/>
    <x v="8"/>
    <s v="Витамины"/>
    <s v="000091118"/>
    <x v="79"/>
    <x v="404"/>
    <n v="1792"/>
    <m/>
    <n v="0"/>
    <n v="22.814814814814813"/>
    <n v="0"/>
    <n v="1814.8148148148148"/>
    <n v="2200"/>
    <x v="101"/>
    <s v="&lt;Клиент не выбран&gt;"/>
    <s v="2023 02"/>
    <n v="385.18518518518522"/>
    <n v="0.21224489795918369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825"/>
    <x v="100"/>
    <s v="&lt;Клиент не выбран&gt;"/>
    <s v="2023 05"/>
    <n v="459.82773944527941"/>
    <n v="1.2592077469049017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1000"/>
    <x v="238"/>
    <s v="&lt;Клиент не выбран&gt;"/>
    <s v="2023 08"/>
    <n v="634.82773944527935"/>
    <n v="1.7384336326120018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1000"/>
    <x v="238"/>
    <s v="&lt;Клиент не выбран&gt;"/>
    <s v="2023 08"/>
    <n v="634.82773944527935"/>
    <n v="1.7384336326120018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900"/>
    <x v="98"/>
    <s v="&lt;Клиент не выбран&gt;"/>
    <s v="2023 09"/>
    <n v="534.82773944527935"/>
    <n v="1.4645902693508017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900"/>
    <x v="98"/>
    <s v="&lt;Клиент не выбран&gt;"/>
    <s v="2023 09"/>
    <n v="534.82773944527935"/>
    <n v="1.4645902693508017"/>
  </r>
  <r>
    <s v="РО10"/>
    <n v="0"/>
    <s v="Roman"/>
    <s v="Доставлен"/>
    <d v="2023-02-16T00:00:00"/>
    <x v="8"/>
    <s v="Витамины"/>
    <s v="MLI-00952"/>
    <x v="1"/>
    <x v="7"/>
    <n v="365.89"/>
    <m/>
    <n v="0"/>
    <n v="-0.71773944527936606"/>
    <n v="0"/>
    <n v="365.17226055472059"/>
    <n v="900"/>
    <x v="254"/>
    <s v="&lt;Клиент не выбран&gt;"/>
    <s v="2023 09"/>
    <n v="534.82773944527935"/>
    <n v="1.4645902693508017"/>
  </r>
  <r>
    <s v="РО10"/>
    <n v="0"/>
    <s v="Roman"/>
    <s v="Доставлен"/>
    <d v="2023-02-16T00:00:00"/>
    <x v="8"/>
    <s v="Витамины"/>
    <s v="NWY-15679"/>
    <x v="16"/>
    <x v="141"/>
    <n v="569.1"/>
    <m/>
    <n v="0"/>
    <n v="-1.1163615247984018"/>
    <n v="0"/>
    <n v="567.98363847520159"/>
    <n v="1600"/>
    <x v="164"/>
    <s v="&lt;Клиент не выбран&gt;"/>
    <s v="2023 03"/>
    <n v="1032.0163615247984"/>
    <n v="1.8169825530455956"/>
  </r>
  <r>
    <s v="РО10"/>
    <n v="0"/>
    <s v="Roman"/>
    <s v="Доставлен"/>
    <d v="2023-02-16T00:00:00"/>
    <x v="8"/>
    <s v="Витамины"/>
    <s v="OSL-01395"/>
    <x v="66"/>
    <x v="185"/>
    <n v="522.20000000000005"/>
    <m/>
    <n v="0"/>
    <n v="-1.0243612515370328"/>
    <n v="0"/>
    <n v="521.17563874846303"/>
    <n v="1600"/>
    <x v="28"/>
    <s v="&lt;Клиент не выбран&gt;"/>
    <s v="2023 03"/>
    <n v="1078.8243612515371"/>
    <n v="2.0699823265765001"/>
  </r>
  <r>
    <s v="РО10"/>
    <n v="0"/>
    <s v="Roman"/>
    <s v="Доставлен"/>
    <d v="2023-02-16T00:00:00"/>
    <x v="8"/>
    <s v="Витамины"/>
    <s v="OSL-01395"/>
    <x v="66"/>
    <x v="185"/>
    <n v="522.20000000000005"/>
    <m/>
    <n v="0"/>
    <n v="-1.0243612515370328"/>
    <n v="0"/>
    <n v="521.17563874846303"/>
    <n v="1500"/>
    <x v="170"/>
    <s v="&lt;Клиент не выбран&gt;"/>
    <s v="2023 03"/>
    <n v="978.82436125153697"/>
    <n v="1.8781084311654688"/>
  </r>
  <r>
    <s v="РО10"/>
    <n v="0"/>
    <s v="Roman"/>
    <s v="Доставлен"/>
    <d v="2023-02-16T00:00:00"/>
    <x v="8"/>
    <s v="Витамины"/>
    <s v="NWY-41092"/>
    <x v="16"/>
    <x v="405"/>
    <n v="289.8"/>
    <m/>
    <n v="0"/>
    <n v="-0.56847930045084671"/>
    <n v="0"/>
    <n v="289.23152069954915"/>
    <n v="800"/>
    <x v="255"/>
    <s v="&lt;Клиент не выбран&gt;"/>
    <s v="2023 03"/>
    <n v="510.76847930045085"/>
    <n v="1.765950260417958"/>
  </r>
  <r>
    <s v="223037064"/>
    <n v="0"/>
    <s v="Forever"/>
    <s v="Доставлен"/>
    <d v="2023-02-19T00:00:00"/>
    <x v="8"/>
    <s v="Витамины"/>
    <s v="000000187"/>
    <x v="85"/>
    <x v="406"/>
    <n v="11593"/>
    <m/>
    <n v="0"/>
    <n v="231.82834387657579"/>
    <n v="705.0582809322824"/>
    <n v="2174.6870420971159"/>
    <n v="2174.69"/>
    <x v="35"/>
    <s v="&lt;Клиент не выбран&gt;"/>
    <s v="2023 02"/>
    <n v="2.9579028841908439E-3"/>
    <n v="1.3601510594087365E-6"/>
  </r>
  <r>
    <s v="223037064"/>
    <n v="0"/>
    <s v="Forever"/>
    <s v="Доставлен"/>
    <d v="2023-02-19T00:00:00"/>
    <x v="8"/>
    <s v="Витамины"/>
    <s v="000000205"/>
    <x v="85"/>
    <x v="407"/>
    <n v="8112"/>
    <m/>
    <n v="0"/>
    <n v="162.21784917853731"/>
    <n v="493.35226213427711"/>
    <n v="1521.6994121876826"/>
    <n v="2200"/>
    <x v="172"/>
    <s v="&lt;Клиент не выбран&gt;"/>
    <s v="2023 03"/>
    <n v="678.30058781231742"/>
    <n v="0.44575202065508684"/>
  </r>
  <r>
    <s v="223037064"/>
    <n v="0"/>
    <s v="Forever"/>
    <s v="Доставлен"/>
    <d v="2023-02-19T00:00:00"/>
    <x v="8"/>
    <s v="Косметика"/>
    <s v="000000028"/>
    <x v="85"/>
    <x v="266"/>
    <n v="2701"/>
    <m/>
    <n v="0"/>
    <n v="54.012624584717607"/>
    <n v="164.268301285094"/>
    <n v="506.67037873754077"/>
    <n v="506.67"/>
    <x v="91"/>
    <s v="&lt;Клиент не выбран&gt;"/>
    <s v="2023 02"/>
    <n v="-3.7873754075690158E-4"/>
    <n v="-7.4750282757913223E-7"/>
  </r>
  <r>
    <s v="223037064"/>
    <n v="0"/>
    <s v="Forever"/>
    <s v="Доставлен"/>
    <d v="2023-02-19T00:00:00"/>
    <x v="8"/>
    <s v="Косметика"/>
    <s v="000000028"/>
    <x v="85"/>
    <x v="266"/>
    <n v="2701"/>
    <m/>
    <n v="0"/>
    <n v="54.012624584717607"/>
    <n v="164.268301285094"/>
    <n v="506.67037873754077"/>
    <n v="506.67"/>
    <x v="91"/>
    <s v="&lt;Клиент не выбран&gt;"/>
    <s v="2023 02"/>
    <n v="-3.7873754075690158E-4"/>
    <n v="-7.4750282757913223E-7"/>
  </r>
  <r>
    <s v="223037064"/>
    <n v="0"/>
    <s v="Forever"/>
    <s v="Доставлен"/>
    <d v="2023-02-19T00:00:00"/>
    <x v="8"/>
    <s v="Витамины"/>
    <s v="000000374"/>
    <x v="85"/>
    <x v="408"/>
    <n v="10027"/>
    <m/>
    <n v="0"/>
    <n v="200.51262003367771"/>
    <n v="609.81794038712974"/>
    <n v="1880.9270224366239"/>
    <n v="2600"/>
    <x v="232"/>
    <s v="&lt;Клиент не выбран&gt;"/>
    <s v="2023 03"/>
    <n v="719.07297756337607"/>
    <n v="0.3822971167865204"/>
  </r>
  <r>
    <s v="223037064"/>
    <n v="0"/>
    <s v="Forever"/>
    <s v="Доставлен"/>
    <d v="2023-02-19T00:00:00"/>
    <x v="8"/>
    <s v="Витамины"/>
    <s v="000000374"/>
    <x v="85"/>
    <x v="408"/>
    <n v="10027"/>
    <m/>
    <n v="0"/>
    <n v="200.51262003367771"/>
    <n v="609.81794038712974"/>
    <n v="1880.9270224366239"/>
    <n v="1880.93"/>
    <x v="91"/>
    <s v="&lt;Клиент не выбран&gt;"/>
    <s v="2023 02"/>
    <n v="2.9775633761346398E-3"/>
    <n v="1.5830297191846346E-6"/>
  </r>
  <r>
    <s v="223037064"/>
    <n v="0"/>
    <s v="Forever"/>
    <s v="Доставлен"/>
    <d v="2023-02-19T00:00:00"/>
    <x v="8"/>
    <s v="Витамины"/>
    <s v="000000375"/>
    <x v="85"/>
    <x v="268"/>
    <n v="10613"/>
    <m/>
    <n v="0"/>
    <n v="212.23101988804441"/>
    <n v="645.45704610836822"/>
    <n v="1990.8525470349944"/>
    <n v="2700"/>
    <x v="232"/>
    <s v="&lt;Клиент не выбран&gt;"/>
    <s v="2023 03"/>
    <n v="709.14745296500564"/>
    <n v="0.35620290112452035"/>
  </r>
  <r>
    <s v="223037064"/>
    <n v="0"/>
    <s v="Forever"/>
    <s v="Доставлен"/>
    <d v="2023-02-19T00:00:00"/>
    <x v="8"/>
    <s v="Витамины"/>
    <s v="000000375"/>
    <x v="85"/>
    <x v="268"/>
    <n v="10613"/>
    <m/>
    <n v="0"/>
    <n v="212.23101988804441"/>
    <n v="645.45704610836822"/>
    <n v="1990.8525470349944"/>
    <n v="1990.85"/>
    <x v="91"/>
    <s v="&lt;Клиент не выбран&gt;"/>
    <s v="2023 02"/>
    <n v="-2.5470349944498594E-3"/>
    <n v="-1.2793689810142873E-6"/>
  </r>
  <r>
    <s v="223037064"/>
    <n v="0"/>
    <s v="Forever"/>
    <s v="Доставлен"/>
    <d v="2023-02-19T00:00:00"/>
    <x v="8"/>
    <s v="Витамины"/>
    <s v="000000463"/>
    <x v="85"/>
    <x v="409"/>
    <n v="11646"/>
    <m/>
    <n v="0"/>
    <n v="232.88819915350658"/>
    <n v="708.28161301969806"/>
    <n v="2184.6291117280266"/>
    <n v="3500"/>
    <x v="193"/>
    <s v="&lt;Клиент не выбран&gt;"/>
    <s v="2023 03"/>
    <n v="1315.3708882719734"/>
    <n v="0.60210260918455127"/>
  </r>
  <r>
    <s v="223037064"/>
    <n v="0"/>
    <s v="Forever"/>
    <s v="Доставлен"/>
    <d v="2023-02-19T00:00:00"/>
    <x v="8"/>
    <s v="Витамины"/>
    <s v="000000624"/>
    <x v="85"/>
    <x v="410"/>
    <n v="11722"/>
    <m/>
    <n v="0"/>
    <n v="234.40799162608656"/>
    <n v="712.90374959787914"/>
    <n v="2198.8856644063135"/>
    <n v="3100"/>
    <x v="146"/>
    <s v="&lt;Клиент не выбран&gt;"/>
    <s v="2023 07"/>
    <n v="901.11433559368652"/>
    <n v="0.40980499813162508"/>
  </r>
  <r>
    <s v="223037064"/>
    <n v="0"/>
    <s v="Forever"/>
    <s v="Доставлен"/>
    <d v="2023-02-19T00:00:00"/>
    <x v="8"/>
    <s v="Косметика"/>
    <s v="000000640"/>
    <x v="85"/>
    <x v="411"/>
    <n v="7285"/>
    <m/>
    <n v="0"/>
    <n v="145.68010740454193"/>
    <n v="443.05611805328016"/>
    <n v="1366.5656087015861"/>
    <n v="1365.57"/>
    <x v="91"/>
    <s v="&lt;Клиент не выбран&gt;"/>
    <s v="2023 02"/>
    <n v="-0.99560870158620673"/>
    <n v="-7.2854804427001764E-4"/>
  </r>
  <r>
    <s v="223037064"/>
    <n v="0"/>
    <s v="Forever"/>
    <s v="Доставлен"/>
    <d v="2023-02-19T00:00:00"/>
    <x v="8"/>
    <s v="Витамины"/>
    <s v="000000641"/>
    <x v="85"/>
    <x v="412"/>
    <n v="7787"/>
    <m/>
    <n v="0"/>
    <n v="155.71873663132027"/>
    <n v="473.58654650389741"/>
    <n v="1460.7338908660606"/>
    <n v="1460.73"/>
    <x v="91"/>
    <s v="&lt;Клиент не выбран&gt;"/>
    <s v="2023 02"/>
    <n v="-3.8908660606011836E-3"/>
    <n v="-2.6636378363853198E-6"/>
  </r>
  <r>
    <s v="223037064"/>
    <n v="0"/>
    <s v="Forever"/>
    <s v="Доставлен"/>
    <d v="2023-02-19T00:00:00"/>
    <x v="8"/>
    <s v="Косметика"/>
    <s v="000000067"/>
    <x v="85"/>
    <x v="273"/>
    <n v="2519"/>
    <m/>
    <n v="0"/>
    <n v="50.373121558276068"/>
    <n v="153.19950053208137"/>
    <n v="472.52968679743253"/>
    <n v="650"/>
    <x v="193"/>
    <s v="&lt;Клиент не выбран&gt;"/>
    <s v="2023 03"/>
    <n v="177.47031320256747"/>
    <n v="0.37557494938650643"/>
  </r>
  <r>
    <s v="223037064"/>
    <n v="0"/>
    <s v="Forever"/>
    <s v="Доставлен"/>
    <d v="2023-02-19T00:00:00"/>
    <x v="8"/>
    <s v="Косметика"/>
    <s v="000000067"/>
    <x v="85"/>
    <x v="273"/>
    <n v="2519"/>
    <m/>
    <n v="0"/>
    <n v="50.373121558276068"/>
    <n v="153.19950053208137"/>
    <n v="472.52968679743253"/>
    <n v="650"/>
    <x v="191"/>
    <s v="&lt;Клиент не выбран&gt;"/>
    <s v="2023 04"/>
    <n v="177.47031320256747"/>
    <n v="0.37557494938650643"/>
  </r>
  <r>
    <s v="WB0052"/>
    <n v="0"/>
    <s v="WBRS"/>
    <s v="Доставлен"/>
    <d v="2023-02-12T00:00:00"/>
    <x v="8"/>
    <s v="Косметика"/>
    <s v="142850327"/>
    <x v="117"/>
    <x v="413"/>
    <n v="259"/>
    <m/>
    <n v="0"/>
    <n v="0"/>
    <n v="38.85"/>
    <n v="297.85000000000002"/>
    <n v="550"/>
    <x v="168"/>
    <s v="&lt;Клиент не выбран&gt;"/>
    <s v="2023 02"/>
    <n v="252.14999999999998"/>
    <n v="0.84656706395836812"/>
  </r>
  <r>
    <s v="OZA0059"/>
    <n v="0"/>
    <s v="OZON_AV"/>
    <s v="Доставлен"/>
    <d v="2023-02-13T00:00:00"/>
    <x v="8"/>
    <s v="Спортпит"/>
    <s v="750610820"/>
    <x v="53"/>
    <x v="414"/>
    <n v="1685"/>
    <m/>
    <n v="0"/>
    <n v="0"/>
    <n v="252.75"/>
    <n v="1937.75"/>
    <n v="2500"/>
    <x v="64"/>
    <s v="&lt;Клиент не выбран&gt;"/>
    <s v="2023 02"/>
    <n v="562.25"/>
    <n v="0.29015610888917559"/>
  </r>
  <r>
    <s v="OZA0059"/>
    <n v="0"/>
    <s v="OZON_AV"/>
    <s v="Доставлен"/>
    <d v="2023-02-13T00:00:00"/>
    <x v="8"/>
    <s v="Спортпит"/>
    <s v="750610820"/>
    <x v="53"/>
    <x v="414"/>
    <n v="1685"/>
    <m/>
    <n v="0"/>
    <n v="0"/>
    <n v="252.75"/>
    <n v="1937.75"/>
    <n v="2500"/>
    <x v="225"/>
    <s v="&lt;Клиент не выбран&gt;"/>
    <s v="2023 05"/>
    <n v="562.25"/>
    <n v="0.29015610888917559"/>
  </r>
  <r>
    <s v="OZA0062"/>
    <n v="0"/>
    <s v="OZON_AV"/>
    <s v="Доставлен"/>
    <d v="2023-02-15T00:00:00"/>
    <x v="8"/>
    <s v="Спортпит"/>
    <s v="825959086"/>
    <x v="108"/>
    <x v="415"/>
    <n v="1023"/>
    <m/>
    <n v="0"/>
    <n v="0"/>
    <n v="153.44999999999999"/>
    <n v="1176.45"/>
    <n v="1500"/>
    <x v="206"/>
    <s v="&lt;Клиент не выбран&gt;"/>
    <s v="2023 02"/>
    <n v="323.54999999999995"/>
    <n v="0.27502231289047552"/>
  </r>
  <r>
    <s v="OZA0062"/>
    <n v="0"/>
    <s v="OZON_AV"/>
    <s v="Доставлен"/>
    <d v="2023-02-15T00:00:00"/>
    <x v="8"/>
    <s v="Спортпит"/>
    <s v="825959086"/>
    <x v="108"/>
    <x v="415"/>
    <n v="1023"/>
    <m/>
    <n v="0"/>
    <n v="0"/>
    <n v="153.44999999999999"/>
    <n v="1176.45"/>
    <n v="1500"/>
    <x v="121"/>
    <s v="&lt;Клиент не выбран&gt;"/>
    <s v="2023 03"/>
    <n v="323.54999999999995"/>
    <n v="0.27502231289047552"/>
  </r>
  <r>
    <s v="OZA0064"/>
    <n v="0"/>
    <s v="OZON_AV"/>
    <s v="Доставлен"/>
    <d v="2023-02-16T00:00:00"/>
    <x v="8"/>
    <s v="Спортпит"/>
    <s v="170918389"/>
    <x v="40"/>
    <x v="416"/>
    <n v="797"/>
    <m/>
    <n v="0"/>
    <n v="0"/>
    <n v="119.54999999999998"/>
    <n v="916.55"/>
    <n v="1500"/>
    <x v="177"/>
    <s v="&lt;Клиент не выбран&gt;"/>
    <s v="2023 03"/>
    <n v="583.45000000000005"/>
    <n v="0.63657192733620649"/>
  </r>
  <r>
    <s v="OZA0064"/>
    <n v="0"/>
    <s v="OZON_AV"/>
    <s v="Доставлен"/>
    <d v="2023-02-16T00:00:00"/>
    <x v="8"/>
    <s v="Спортпит"/>
    <s v="176208973"/>
    <x v="118"/>
    <x v="417"/>
    <n v="1242"/>
    <m/>
    <n v="0"/>
    <n v="0"/>
    <n v="186.29999999999998"/>
    <n v="1428.3"/>
    <n v="2400"/>
    <x v="220"/>
    <s v="&lt;Клиент не выбран&gt;"/>
    <s v="2023 03"/>
    <n v="971.7"/>
    <n v="0.68031926065952542"/>
  </r>
  <r>
    <s v="OZA0064"/>
    <n v="0"/>
    <s v="OZON_AV"/>
    <s v="Доставлен"/>
    <d v="2023-02-16T00:00:00"/>
    <x v="8"/>
    <s v="Спортпит"/>
    <s v="313178264"/>
    <x v="39"/>
    <x v="418"/>
    <n v="634"/>
    <m/>
    <n v="0"/>
    <n v="0"/>
    <n v="95.09999999999998"/>
    <n v="729.1"/>
    <n v="1400"/>
    <x v="157"/>
    <s v="&lt;Клиент не выбран&gt;"/>
    <s v="2023 04"/>
    <n v="670.9"/>
    <n v="0.92017555890824299"/>
  </r>
  <r>
    <s v="OZA0064"/>
    <n v="0"/>
    <s v="OZON_AV"/>
    <s v="Доставлен"/>
    <d v="2023-02-16T00:00:00"/>
    <x v="8"/>
    <s v="Спортпит"/>
    <s v="310155519"/>
    <x v="39"/>
    <x v="334"/>
    <n v="1307"/>
    <m/>
    <n v="0"/>
    <n v="0"/>
    <n v="196.04999999999998"/>
    <n v="1503.05"/>
    <n v="2500"/>
    <x v="204"/>
    <s v="&lt;Клиент не выбран&gt;"/>
    <s v="2023 04"/>
    <n v="996.95"/>
    <n v="0.66328465453577734"/>
  </r>
  <r>
    <s v="OZA0064"/>
    <n v="0"/>
    <s v="OZON_AV"/>
    <s v="Доставлен"/>
    <d v="2023-02-16T00:00:00"/>
    <x v="8"/>
    <s v="Спортпит"/>
    <s v="310161195"/>
    <x v="39"/>
    <x v="320"/>
    <n v="1208"/>
    <m/>
    <n v="0"/>
    <n v="0"/>
    <n v="181.19999999999996"/>
    <n v="1389.2"/>
    <n v="2500"/>
    <x v="256"/>
    <s v="&lt;Клиент не выбран&gt;"/>
    <s v="2023 10"/>
    <n v="1110.8"/>
    <n v="0.79959689029657355"/>
  </r>
  <r>
    <s v="OZA0065"/>
    <n v="0"/>
    <s v="OZON_AV"/>
    <s v="Доставлен"/>
    <d v="2023-02-17T00:00:00"/>
    <x v="8"/>
    <s v="Косметика"/>
    <s v="761430572"/>
    <x v="119"/>
    <x v="419"/>
    <n v="161"/>
    <m/>
    <n v="0"/>
    <n v="0"/>
    <n v="24.150000000000002"/>
    <n v="185.15"/>
    <n v="350"/>
    <x v="91"/>
    <s v="&lt;Клиент не выбран&gt;"/>
    <s v="2023 02"/>
    <n v="164.85"/>
    <n v="0.89035916824196593"/>
  </r>
  <r>
    <s v="OZA0065"/>
    <n v="0"/>
    <s v="OZON_AV"/>
    <s v="Доставлен"/>
    <d v="2023-02-17T00:00:00"/>
    <x v="8"/>
    <s v="Косметика"/>
    <s v="761430572"/>
    <x v="119"/>
    <x v="419"/>
    <n v="161"/>
    <m/>
    <n v="0"/>
    <n v="0"/>
    <n v="24.150000000000002"/>
    <n v="185.15"/>
    <n v="350"/>
    <x v="154"/>
    <s v="&lt;Клиент не выбран&gt;"/>
    <s v="2023 03"/>
    <n v="164.85"/>
    <n v="0.89035916824196593"/>
  </r>
  <r>
    <s v="OZA0065"/>
    <n v="0"/>
    <s v="OZON_AV"/>
    <s v="Доставлен"/>
    <d v="2023-02-17T00:00:00"/>
    <x v="8"/>
    <s v="Косметика"/>
    <s v="761430572"/>
    <x v="119"/>
    <x v="419"/>
    <n v="161"/>
    <m/>
    <n v="0"/>
    <n v="0"/>
    <n v="24.150000000000002"/>
    <n v="185.15"/>
    <m/>
    <x v="20"/>
    <m/>
    <s v=""/>
    <n v="-185.15"/>
    <s v=""/>
  </r>
  <r>
    <s v="WB0054"/>
    <n v="0"/>
    <s v="WBRS"/>
    <s v="Доставлен"/>
    <d v="2023-02-14T00:00:00"/>
    <x v="8"/>
    <s v="Косметика"/>
    <s v="132042820"/>
    <x v="120"/>
    <x v="420"/>
    <n v="260"/>
    <m/>
    <n v="0"/>
    <n v="0"/>
    <n v="39"/>
    <n v="299"/>
    <n v="800"/>
    <x v="134"/>
    <s v="&lt;Клиент не выбран&gt;"/>
    <s v="2023 03"/>
    <n v="501"/>
    <n v="1.6755852842809364"/>
  </r>
  <r>
    <s v="WB0056"/>
    <n v="0"/>
    <s v="WBRS"/>
    <s v="Доставлен"/>
    <d v="2023-02-17T00:00:00"/>
    <x v="8"/>
    <s v="Косметика"/>
    <s v="108772032"/>
    <x v="121"/>
    <x v="421"/>
    <n v="184"/>
    <m/>
    <n v="0"/>
    <n v="0"/>
    <n v="27.599999999999998"/>
    <n v="211.6"/>
    <n v="500"/>
    <x v="227"/>
    <s v="&lt;Клиент не выбран&gt;"/>
    <s v="2023 03"/>
    <n v="288.39999999999998"/>
    <n v="1.3629489603024574"/>
  </r>
  <r>
    <s v="WB0056"/>
    <n v="0"/>
    <s v="WBRS"/>
    <s v="Доставлен"/>
    <d v="2023-02-17T00:00:00"/>
    <x v="8"/>
    <s v="Косметика"/>
    <s v="108772032"/>
    <x v="121"/>
    <x v="421"/>
    <n v="184"/>
    <m/>
    <n v="0"/>
    <n v="0"/>
    <n v="27.599999999999998"/>
    <n v="211.6"/>
    <m/>
    <x v="20"/>
    <m/>
    <s v=""/>
    <n v="-211.6"/>
    <s v=""/>
  </r>
  <r>
    <s v="516765526"/>
    <s v="710000638956"/>
    <s v="iHerb_OA CZN6870"/>
    <s v="Доставлен"/>
    <d v="2023-02-21T00:00:00"/>
    <x v="8"/>
    <s v="Витамины"/>
    <s v="YOU-00303"/>
    <x v="71"/>
    <x v="422"/>
    <n v="22.3"/>
    <n v="-2.23"/>
    <n v="1.6996998269896191"/>
    <n v="-2.4672305720943267E-15"/>
    <n v="1.5121377966291878"/>
    <n v="1919.1130185986156"/>
    <n v="2800"/>
    <x v="193"/>
    <s v="&lt;Клиент не выбран&gt;"/>
    <s v="2023 03"/>
    <n v="880.88698140138445"/>
    <n v="0.45900735020005762"/>
  </r>
  <r>
    <s v="516765526"/>
    <s v="710000638956"/>
    <s v="iHerb_OA CZN6870"/>
    <s v="Доставлен"/>
    <d v="2023-02-21T00:00:00"/>
    <x v="8"/>
    <s v="Витамины"/>
    <s v="YOU-00303"/>
    <x v="71"/>
    <x v="422"/>
    <n v="22.3"/>
    <n v="-2.23"/>
    <n v="1.6996998269896191"/>
    <n v="-2.4672305720943267E-15"/>
    <n v="1.5121377966291878"/>
    <n v="1919.1130185986156"/>
    <n v="2800"/>
    <x v="257"/>
    <s v="&lt;Клиент не выбран&gt;"/>
    <s v="2023 05"/>
    <n v="880.88698140138445"/>
    <n v="0.45900735020005762"/>
  </r>
  <r>
    <s v="516765526"/>
    <s v="710000638956"/>
    <s v="iHerb_OA CZN6870"/>
    <s v="Доставлен"/>
    <d v="2023-02-21T00:00:00"/>
    <x v="8"/>
    <s v="Витамины"/>
    <s v="SOL-01249"/>
    <x v="19"/>
    <x v="423"/>
    <n v="11.66"/>
    <m/>
    <n v="0.98746885813148766"/>
    <n v="-1.4333785984364648E-15"/>
    <n v="0.87850157990514821"/>
    <n v="1114.9405977508648"/>
    <n v="1500"/>
    <x v="177"/>
    <s v="&lt;Клиент не выбран&gt;"/>
    <s v="2023 03"/>
    <n v="385.05940224913525"/>
    <n v="0.34536315479578344"/>
  </r>
  <r>
    <s v="516765526"/>
    <s v="710000638956"/>
    <s v="iHerb_OA CZN6870"/>
    <s v="Доставлен"/>
    <d v="2023-02-21T00:00:00"/>
    <x v="8"/>
    <s v="Спортпит"/>
    <s v="UNN-03011"/>
    <x v="96"/>
    <x v="424"/>
    <n v="52.15"/>
    <n v="-5.2149999999999999"/>
    <n v="3.9748585640138399"/>
    <n v="-5.7697791181488407E-15"/>
    <n v="3.5362325602785707"/>
    <n v="4487.9705793685116"/>
    <n v="5400"/>
    <x v="258"/>
    <s v="&lt;Клиент не выбран&gt;"/>
    <s v="2023 07"/>
    <n v="912.02942063148839"/>
    <n v="0.20321644371381267"/>
  </r>
  <r>
    <s v="516765526"/>
    <s v="710000638956"/>
    <s v="iHerb_OA CZN6870"/>
    <s v="Доставлен"/>
    <d v="2023-02-21T00:00:00"/>
    <x v="8"/>
    <s v="Спортпит"/>
    <s v="UNN-03011"/>
    <x v="96"/>
    <x v="424"/>
    <n v="52.15"/>
    <n v="-5.2149999999999999"/>
    <n v="3.9748585640138399"/>
    <n v="-5.7697791181488407E-15"/>
    <n v="3.5362325602785707"/>
    <n v="4487.9705793685116"/>
    <n v="5500"/>
    <x v="259"/>
    <s v="&lt;Клиент не выбран&gt;"/>
    <s v="2023 07"/>
    <n v="1012.0294206314884"/>
    <n v="0.22549822970851291"/>
  </r>
  <r>
    <s v="516765526"/>
    <s v="710000638956"/>
    <s v="iHerb_OA CZN6870"/>
    <s v="Доставлен"/>
    <d v="2023-02-21T00:00:00"/>
    <x v="8"/>
    <s v="Витамины"/>
    <s v="NOW-01648"/>
    <x v="3"/>
    <x v="32"/>
    <n v="14.08"/>
    <n v="-1.4075"/>
    <n v="1.0732160467128025"/>
    <n v="-1.557846508463645E-15"/>
    <n v="0.95478655843464755"/>
    <n v="1211.7568374783734"/>
    <n v="1900"/>
    <x v="247"/>
    <s v="&lt;Клиент не выбран&gt;"/>
    <s v="2023 06"/>
    <n v="688.24316252162657"/>
    <n v="0.56797134642445113"/>
  </r>
  <r>
    <s v="516765526"/>
    <s v="710000638956"/>
    <s v="iHerb_OA CZN6870"/>
    <s v="Доставлен"/>
    <d v="2023-02-21T00:00:00"/>
    <x v="8"/>
    <s v="Витамины"/>
    <s v="NOW-01648"/>
    <x v="3"/>
    <x v="32"/>
    <n v="14.08"/>
    <n v="-1.4075"/>
    <n v="1.0732160467128025"/>
    <n v="-1.557846508463645E-15"/>
    <n v="0.95478655843464755"/>
    <n v="1211.7568374783734"/>
    <n v="1900"/>
    <x v="260"/>
    <s v="&lt;Клиент не выбран&gt;"/>
    <s v="2023 10"/>
    <n v="688.24316252162657"/>
    <n v="0.56797134642445113"/>
  </r>
  <r>
    <s v="516765526"/>
    <s v="710000638956"/>
    <s v="iHerb_OA CZN6870"/>
    <s v="Доставлен"/>
    <d v="2023-02-21T00:00:00"/>
    <x v="8"/>
    <s v="Витамины"/>
    <s v="NOW-01648"/>
    <x v="3"/>
    <x v="32"/>
    <n v="14.08"/>
    <n v="-1.4075"/>
    <n v="1.0732160467128025"/>
    <n v="-1.557846508463645E-15"/>
    <n v="0.95478655843464755"/>
    <n v="1211.7568374783734"/>
    <n v="1900"/>
    <x v="261"/>
    <s v="&lt;Клиент не выбран&gt;"/>
    <s v="2023 11"/>
    <n v="688.24316252162657"/>
    <n v="0.56797134642445113"/>
  </r>
  <r>
    <s v="516765526"/>
    <s v="710000638956"/>
    <s v="iHerb_OA CZN6870"/>
    <s v="Доставлен"/>
    <d v="2023-02-21T00:00:00"/>
    <x v="8"/>
    <s v="Витамины"/>
    <s v="NOW-01648"/>
    <x v="3"/>
    <x v="32"/>
    <n v="14.08"/>
    <n v="-1.4075"/>
    <n v="1.0732160467128025"/>
    <n v="-1.557846508463645E-15"/>
    <n v="0.95478655843464755"/>
    <n v="1211.7568374783734"/>
    <n v="2000"/>
    <x v="262"/>
    <s v="&lt;Клиент не выбран&gt;"/>
    <s v="2023 11"/>
    <n v="788.24316252162657"/>
    <n v="0.65049615413100115"/>
  </r>
  <r>
    <s v="516765526"/>
    <s v="710000638956"/>
    <s v="iHerb_OA CZN6870"/>
    <s v="Доставлен"/>
    <d v="2023-02-21T00:00:00"/>
    <x v="8"/>
    <s v="Витамины"/>
    <s v="NWY-03502"/>
    <x v="16"/>
    <x v="74"/>
    <n v="15.31"/>
    <n v="-1.53"/>
    <n v="1.1670086505190309"/>
    <n v="-1.6939928890612766E-15"/>
    <n v="1.0382291398879027"/>
    <n v="1317.6570700692041"/>
    <n v="2200"/>
    <x v="225"/>
    <s v="&lt;Клиент не выбран&gt;"/>
    <s v="2023 05"/>
    <n v="882.34292993079589"/>
    <n v="0.66963017159271554"/>
  </r>
  <r>
    <s v="516765526"/>
    <s v="710000638956"/>
    <s v="iHerb_OA CZN6870"/>
    <s v="Доставлен"/>
    <d v="2023-02-21T00:00:00"/>
    <x v="8"/>
    <s v="Витамины"/>
    <s v="NOW-00373"/>
    <x v="3"/>
    <x v="239"/>
    <n v="11.7"/>
    <n v="-1.17"/>
    <n v="0.89177076124567445"/>
    <n v="-1.2944662642826736E-15"/>
    <n v="0.79336377670679348"/>
    <n v="1006.8888931660897"/>
    <n v="1800"/>
    <x v="159"/>
    <s v="&lt;Клиент не выбран&gt;"/>
    <s v="2023 04"/>
    <n v="793.1111068339103"/>
    <n v="0.78768483019018065"/>
  </r>
  <r>
    <s v="516765526"/>
    <s v="710000638956"/>
    <s v="iHerb_OA CZN6870"/>
    <s v="Доставлен"/>
    <d v="2023-02-21T00:00:00"/>
    <x v="8"/>
    <s v="Витамины"/>
    <s v="NOW-00373"/>
    <x v="3"/>
    <x v="239"/>
    <n v="11.7"/>
    <n v="-1.17"/>
    <n v="0.89177076124567445"/>
    <n v="-1.2944662642826736E-15"/>
    <n v="0.79336377670679348"/>
    <n v="1006.8888931660897"/>
    <n v="1800"/>
    <x v="263"/>
    <s v="&lt;Клиент не выбран&gt;"/>
    <s v="2023 05"/>
    <n v="793.1111068339103"/>
    <n v="0.78768483019018065"/>
  </r>
  <r>
    <s v="709391754"/>
    <n v="0"/>
    <s v="CoralClub_OA"/>
    <s v="Доставлен"/>
    <d v="2023-02-26T00:00:00"/>
    <x v="8"/>
    <s v="Витамины"/>
    <s v="000002123"/>
    <x v="79"/>
    <x v="425"/>
    <n v="710"/>
    <m/>
    <n v="0"/>
    <n v="28.095238095238095"/>
    <n v="0"/>
    <n v="738.09523809523807"/>
    <n v="900"/>
    <x v="227"/>
    <s v="&lt;Клиент не выбран&gt;"/>
    <s v="2023 03"/>
    <n v="161.90476190476193"/>
    <n v="0.21935483870967745"/>
  </r>
  <r>
    <s v="709391754"/>
    <n v="0"/>
    <s v="CoralClub_OA"/>
    <s v="Доставлен"/>
    <d v="2023-02-26T00:00:00"/>
    <x v="8"/>
    <s v="Витамины"/>
    <s v="000002123"/>
    <x v="79"/>
    <x v="425"/>
    <n v="710"/>
    <m/>
    <n v="0"/>
    <n v="28.095238095238095"/>
    <n v="0"/>
    <n v="738.09523809523807"/>
    <n v="900"/>
    <x v="203"/>
    <s v="&lt;Клиент не выбран&gt;"/>
    <s v="2023 04"/>
    <n v="161.90476190476193"/>
    <n v="0.21935483870967745"/>
  </r>
  <r>
    <s v="709391754"/>
    <n v="0"/>
    <s v="CoralClub_OA"/>
    <s v="Доставлен"/>
    <d v="2023-02-26T00:00:00"/>
    <x v="8"/>
    <s v="Витамины"/>
    <s v="000091805"/>
    <x v="79"/>
    <x v="426"/>
    <n v="781"/>
    <m/>
    <n v="0"/>
    <n v="30.904761904761905"/>
    <n v="0"/>
    <n v="811.90476190476193"/>
    <n v="1000"/>
    <x v="164"/>
    <s v="&lt;Клиент не выбран&gt;"/>
    <s v="2023 03"/>
    <n v="188.09523809523807"/>
    <n v="0.23167155425219937"/>
  </r>
  <r>
    <s v="709391754"/>
    <n v="0"/>
    <s v="CoralClub_OA"/>
    <s v="Доставлен"/>
    <d v="2023-02-26T00:00:00"/>
    <x v="8"/>
    <s v="Витамины"/>
    <s v="000091805"/>
    <x v="79"/>
    <x v="426"/>
    <n v="781"/>
    <m/>
    <n v="0"/>
    <n v="30.904761904761905"/>
    <n v="0"/>
    <n v="811.90476190476193"/>
    <n v="1100"/>
    <x v="264"/>
    <s v="&lt;Клиент не выбран&gt;"/>
    <s v="2024 02"/>
    <n v="288.09523809523807"/>
    <n v="0.35483870967741932"/>
  </r>
  <r>
    <s v="516700575"/>
    <s v="710000630817"/>
    <s v="iHerb_AV CYG0792"/>
    <s v="Доставлен"/>
    <d v="2023-02-17T00:00:00"/>
    <x v="8"/>
    <s v="Витамины"/>
    <s v="CGN-01033"/>
    <x v="1"/>
    <x v="1"/>
    <n v="17"/>
    <n v="-5.1000000000000005"/>
    <n v="1.0027560613557642"/>
    <n v="-3.3470395073904755E-15"/>
    <n v="1.0382512752558768"/>
    <n v="1135.2393913904"/>
    <n v="2100"/>
    <x v="12"/>
    <s v="&lt;Клиент не выбран&gt;"/>
    <s v="2023 08"/>
    <n v="964.76060860960001"/>
    <n v="0.84983010273101622"/>
  </r>
  <r>
    <s v="516700575"/>
    <s v="710000630817"/>
    <s v="iHerb_AV CYG0792"/>
    <s v="Доставлен"/>
    <d v="2023-02-17T00:00:00"/>
    <x v="8"/>
    <s v="Витамины"/>
    <s v="CGN-01033"/>
    <x v="1"/>
    <x v="1"/>
    <n v="17"/>
    <n v="-5.1000000000000005"/>
    <n v="1.0027560613557642"/>
    <n v="-3.3470395073904755E-15"/>
    <n v="1.0382512752558768"/>
    <n v="1135.2393913904"/>
    <n v="2100"/>
    <x v="238"/>
    <s v="&lt;Клиент не выбран&gt;"/>
    <s v="2023 08"/>
    <n v="964.76060860960001"/>
    <n v="0.84983010273101622"/>
  </r>
  <r>
    <s v="516700575"/>
    <s v="710000630817"/>
    <s v="iHerb_AV CYG0792"/>
    <s v="Доставлен"/>
    <d v="2023-02-17T00:00:00"/>
    <x v="8"/>
    <s v="Витамины"/>
    <s v="CGN-01033"/>
    <x v="1"/>
    <x v="1"/>
    <n v="17"/>
    <n v="-5.1000000000000005"/>
    <n v="1.0027560613557642"/>
    <n v="-3.3470395073904755E-15"/>
    <n v="1.0382512752558768"/>
    <n v="1135.2393913904"/>
    <n v="1135.24"/>
    <x v="163"/>
    <s v="&lt;Клиент не выбран&gt;"/>
    <s v="2023 08"/>
    <n v="6.086096000217367E-4"/>
    <n v="5.3610683758632951E-7"/>
  </r>
  <r>
    <s v="516700575"/>
    <s v="710000630817"/>
    <s v="iHerb_AV CYG0792"/>
    <s v="Доставлен"/>
    <d v="2023-02-17T00:00:00"/>
    <x v="8"/>
    <s v="Витамины"/>
    <s v="NOW-01486"/>
    <x v="3"/>
    <x v="401"/>
    <n v="12.99"/>
    <n v="-1.3"/>
    <n v="0.98506036615536841"/>
    <n v="-3.2879741043188791E-15"/>
    <n v="1.0199291939278323"/>
    <n v="1115.2057550717459"/>
    <n v="1900"/>
    <x v="232"/>
    <s v="&lt;Клиент не выбран&gt;"/>
    <s v="2023 03"/>
    <n v="784.7942449282541"/>
    <n v="0.70372148041664739"/>
  </r>
  <r>
    <s v="516700575"/>
    <s v="710000630817"/>
    <s v="iHerb_AV CYG0792"/>
    <s v="Доставлен"/>
    <d v="2023-02-17T00:00:00"/>
    <x v="8"/>
    <s v="Витамины"/>
    <s v="NAP-03371"/>
    <x v="11"/>
    <x v="427"/>
    <n v="8.64"/>
    <n v="-0.86"/>
    <n v="0.65558337456704585"/>
    <n v="-2.1882325518905801E-15"/>
    <n v="0.6787894892009011"/>
    <n v="742.198526472043"/>
    <n v="1300"/>
    <x v="232"/>
    <s v="&lt;Клиент не выбран&gt;"/>
    <s v="2023 03"/>
    <n v="557.801473527957"/>
    <n v="0.75155292503665216"/>
  </r>
  <r>
    <s v="516700575"/>
    <s v="710000630817"/>
    <s v="iHerb_AV CYG0792"/>
    <s v="Доставлен"/>
    <d v="2023-02-17T00:00:00"/>
    <x v="8"/>
    <s v="Витамины"/>
    <s v="CEN-27709"/>
    <x v="2"/>
    <x v="428"/>
    <n v="8.51"/>
    <n v="-0.85"/>
    <n v="0.6454715487382483"/>
    <n v="-2.154480892992525E-15"/>
    <n v="0.66831972844201837"/>
    <n v="730.75073428995506"/>
    <n v="1300"/>
    <x v="232"/>
    <s v="&lt;Клиент не выбран&gt;"/>
    <s v="2023 03"/>
    <n v="569.24926571004494"/>
    <n v="0.77899239644714768"/>
  </r>
  <r>
    <s v="516700575"/>
    <s v="710000630817"/>
    <s v="iHerb_AV CYG0792"/>
    <s v="Доставлен"/>
    <d v="2023-02-17T00:00:00"/>
    <x v="8"/>
    <s v="Витамины"/>
    <s v="SOL-01721"/>
    <x v="19"/>
    <x v="126"/>
    <n v="17.87"/>
    <m/>
    <n v="1.5058193963384463"/>
    <n v="-5.0261845375687235E-15"/>
    <n v="1.559121873010296"/>
    <n v="1704.7670524492817"/>
    <n v="2700"/>
    <x v="232"/>
    <s v="&lt;Клиент не выбран&gt;"/>
    <s v="2023 03"/>
    <n v="995.23294755071834"/>
    <n v="0.5837941002677417"/>
  </r>
  <r>
    <s v="516700575"/>
    <s v="710000630817"/>
    <s v="iHerb_AV CYG0792"/>
    <s v="Доставлен"/>
    <d v="2023-02-17T00:00:00"/>
    <x v="8"/>
    <s v="Витамины"/>
    <s v="NOW-00386"/>
    <x v="3"/>
    <x v="429"/>
    <n v="28.6"/>
    <n v="-2.86"/>
    <n v="2.1689866402770903"/>
    <n v="-7.2397308336328453E-15"/>
    <n v="2.2457636827803595"/>
    <n v="2455.551423057891"/>
    <n v="4500"/>
    <x v="232"/>
    <s v="&lt;Клиент не выбран&gt;"/>
    <s v="2023 03"/>
    <n v="2044.448576942109"/>
    <n v="0.83258226960531867"/>
  </r>
  <r>
    <s v="516700575"/>
    <s v="710000630817"/>
    <s v="iHerb_AV CYG0792"/>
    <s v="Доставлен"/>
    <d v="2023-02-17T00:00:00"/>
    <x v="8"/>
    <s v="Витамины"/>
    <s v="NOW-01662"/>
    <x v="3"/>
    <x v="122"/>
    <n v="25.37"/>
    <n v="-2.54"/>
    <n v="1.923774863928748"/>
    <n v="-6.4212531053550065E-15"/>
    <n v="1.9918719843774517"/>
    <n v="2177.9424626422551"/>
    <n v="3400"/>
    <x v="194"/>
    <s v="&lt;Клиент не выбран&gt;"/>
    <s v="2023 05"/>
    <n v="1222.0575373577449"/>
    <n v="0.56110643798879722"/>
  </r>
  <r>
    <s v="516700575"/>
    <s v="710000630817"/>
    <s v="iHerb_AV CYG0792"/>
    <s v="Доставлен"/>
    <d v="2023-02-17T00:00:00"/>
    <x v="8"/>
    <s v="Витамины"/>
    <s v="NOW-01742"/>
    <x v="3"/>
    <x v="430"/>
    <n v="14.91"/>
    <n v="-1.49"/>
    <n v="1.1308391885205342"/>
    <n v="-3.7745605200991758E-15"/>
    <n v="1.1708682448683925"/>
    <n v="1280.2447590301824"/>
    <n v="2300"/>
    <x v="232"/>
    <s v="&lt;Клиент не выбран&gt;"/>
    <s v="2023 03"/>
    <n v="1019.7552409698176"/>
    <n v="0.79653147085898468"/>
  </r>
  <r>
    <s v="516700575"/>
    <s v="710000630817"/>
    <s v="iHerb_AV CYG0792"/>
    <s v="Доставлен"/>
    <d v="2023-02-17T00:00:00"/>
    <x v="8"/>
    <s v="Витамины"/>
    <s v="NOW-01648"/>
    <x v="3"/>
    <x v="32"/>
    <n v="14.08"/>
    <n v="-1.41"/>
    <n v="1.0676402770905491"/>
    <n v="-3.5636126519863303E-15"/>
    <n v="1.1054322401253749"/>
    <n v="1208.6960578921319"/>
    <n v="1800"/>
    <x v="265"/>
    <s v="&lt;Клиент не выбран&gt;"/>
    <s v="2024 01"/>
    <n v="591.30394210786812"/>
    <n v="0.48920813321676115"/>
  </r>
  <r>
    <s v="516700575"/>
    <s v="710000630817"/>
    <s v="iHerb_AV CYG0792"/>
    <s v="Доставлен"/>
    <d v="2023-02-17T00:00:00"/>
    <x v="8"/>
    <s v="Витамины"/>
    <s v="NOW-01648"/>
    <x v="3"/>
    <x v="32"/>
    <n v="14.08"/>
    <n v="-1.41"/>
    <n v="1.0676402770905491"/>
    <n v="-3.5636126519863303E-15"/>
    <n v="1.1054322401253749"/>
    <n v="1208.6960578921319"/>
    <n v="1800"/>
    <x v="266"/>
    <s v="&lt;Клиент не выбран&gt;"/>
    <s v="2024 03"/>
    <n v="591.30394210786812"/>
    <n v="0.48920813321676115"/>
  </r>
  <r>
    <s v="516700575"/>
    <s v="710000630817"/>
    <s v="iHerb_AV CYG0792"/>
    <s v="Доставлен"/>
    <d v="2023-02-17T00:00:00"/>
    <x v="8"/>
    <s v="Витамины"/>
    <s v="NOW-03369"/>
    <x v="3"/>
    <x v="431"/>
    <n v="25.63"/>
    <n v="-2.56"/>
    <n v="1.9439985155863431"/>
    <n v="-6.4887564231511159E-15"/>
    <n v="2.0128115058952174"/>
    <n v="2200.8380470064312"/>
    <n v="3500"/>
    <x v="232"/>
    <s v="&lt;Клиент не выбран&gt;"/>
    <s v="2023 03"/>
    <n v="1299.1619529935688"/>
    <n v="0.59030329594705178"/>
  </r>
  <r>
    <s v="516700575"/>
    <s v="710000630817"/>
    <s v="iHerb_AV CYG0792"/>
    <s v="Доставлен"/>
    <d v="2023-02-17T00:00:00"/>
    <x v="8"/>
    <s v="Витамины"/>
    <s v="NOB-27436"/>
    <x v="65"/>
    <x v="432"/>
    <n v="19.68"/>
    <n v="-8.68"/>
    <n v="0.92691736763978216"/>
    <n v="-3.0939020656550619E-15"/>
    <n v="0.95972806956425616"/>
    <n v="1049.3809500247396"/>
    <n v="2400"/>
    <x v="193"/>
    <s v="&lt;Клиент не выбран&gt;"/>
    <s v="2023 03"/>
    <n v="1350.6190499752604"/>
    <n v="1.2870626724674381"/>
  </r>
  <r>
    <s v="516839901"/>
    <s v="710000646999"/>
    <s v="iHerb_VP DFD1605"/>
    <s v="Доставлен"/>
    <d v="2023-02-25T00:00:00"/>
    <x v="8"/>
    <s v="Витамины"/>
    <s v="NOW-00491"/>
    <x v="3"/>
    <x v="433"/>
    <n v="13.7"/>
    <n v="-2.06"/>
    <n v="0.70993728841778148"/>
    <n v="3.6719984213319577E-15"/>
    <n v="1.0217017418371193"/>
    <n v="1114.805674010767"/>
    <m/>
    <x v="20"/>
    <m/>
    <s v=""/>
    <n v="-1114.805674010767"/>
    <s v=""/>
  </r>
  <r>
    <s v="516839901"/>
    <s v="710000646999"/>
    <s v="iHerb_VP DFD1605"/>
    <s v="Доставлен"/>
    <d v="2023-02-25T00:00:00"/>
    <x v="8"/>
    <s v="Витамины"/>
    <s v="NOW-00076"/>
    <x v="3"/>
    <x v="434"/>
    <n v="19.05"/>
    <n v="-9.5299999999999994"/>
    <n v="0.58063599533825438"/>
    <n v="3.0032152037010522E-15"/>
    <n v="0.8356186067258915"/>
    <n v="911.76546534213946"/>
    <n v="2500"/>
    <x v="267"/>
    <s v="&lt;Клиент не выбран&gt;"/>
    <s v="2023 04"/>
    <n v="1588.2345346578604"/>
    <n v="1.7419331999615453"/>
  </r>
  <r>
    <s v="516839901"/>
    <s v="710000646999"/>
    <s v="iHerb_VP DFD1605"/>
    <s v="Доставлен"/>
    <d v="2023-02-25T00:00:00"/>
    <x v="8"/>
    <s v="Витамины"/>
    <s v="MRM-85003"/>
    <x v="37"/>
    <x v="368"/>
    <n v="10.27"/>
    <n v="-1.54"/>
    <n v="0.53245296631333616"/>
    <n v="2.7539988159989685E-15"/>
    <n v="0.7662763063778395"/>
    <n v="836.10425550807543"/>
    <n v="1600"/>
    <x v="228"/>
    <s v="&lt;Клиент не выбран&gt;"/>
    <s v="2023 04"/>
    <n v="763.89574449192457"/>
    <n v="0.91363695311863724"/>
  </r>
  <r>
    <s v="516839901"/>
    <s v="710000646999"/>
    <s v="iHerb_VP DFD1605"/>
    <s v="Доставлен"/>
    <d v="2023-02-25T00:00:00"/>
    <x v="8"/>
    <s v="Витамины"/>
    <s v="NFS-04516"/>
    <x v="23"/>
    <x v="435"/>
    <n v="10.9"/>
    <n v="-1.64"/>
    <n v="0.56477828958321785"/>
    <n v="2.9211946204066949E-15"/>
    <n v="0.81279709015564638"/>
    <n v="886.86430767523234"/>
    <n v="1900"/>
    <x v="7"/>
    <s v="&lt;Клиент не выбран&gt;"/>
    <s v="2023 06"/>
    <n v="1013.1356923247677"/>
    <n v="1.1423795991751373"/>
  </r>
  <r>
    <s v="516839901"/>
    <s v="710000646999"/>
    <s v="iHerb_VP DFD1605"/>
    <s v="Доставлен"/>
    <d v="2023-02-25T00:00:00"/>
    <x v="8"/>
    <s v="Витамины"/>
    <s v="NTS-25554"/>
    <x v="122"/>
    <x v="436"/>
    <n v="20.85"/>
    <n v="-4.17"/>
    <n v="1.0173328153615631"/>
    <n v="5.2619358821148679E-15"/>
    <n v="1.4640880630449442"/>
    <n v="1597.5050380154289"/>
    <m/>
    <x v="20"/>
    <m/>
    <s v=""/>
    <n v="-1597.5050380154289"/>
    <s v=""/>
  </r>
  <r>
    <s v="516839901"/>
    <s v="710000646999"/>
    <s v="iHerb_VP DFD1605"/>
    <s v="Доставлен"/>
    <d v="2023-02-25T00:00:00"/>
    <x v="8"/>
    <s v="Витамины"/>
    <s v="FLI-55435"/>
    <x v="123"/>
    <x v="437"/>
    <n v="22.14"/>
    <n v="-4.43"/>
    <n v="1.0801537266218995"/>
    <n v="5.5868635774732797E-15"/>
    <n v="1.554496378688607"/>
    <n v="1696.1519318497153"/>
    <n v="2800"/>
    <x v="268"/>
    <s v="&lt;Клиент не выбран&gt;"/>
    <s v="2023 09"/>
    <n v="1103.8480681502847"/>
    <n v="0.65079551390570201"/>
  </r>
  <r>
    <s v="516839901"/>
    <s v="710000646999"/>
    <s v="iHerb_VP DFD1605"/>
    <s v="Доставлен"/>
    <d v="2023-02-25T00:00:00"/>
    <x v="8"/>
    <s v="Витамины"/>
    <s v="OAD-56862"/>
    <x v="17"/>
    <x v="394"/>
    <n v="19.46"/>
    <n v="-3.89"/>
    <n v="0.94963261002275412"/>
    <n v="4.9117710842043458E-15"/>
    <n v="1.3666577423027446"/>
    <n v="1491.1962495144023"/>
    <n v="3000"/>
    <x v="269"/>
    <s v="&lt;Клиент не выбран&gt;"/>
    <s v="2023 04"/>
    <n v="1508.8037504855977"/>
    <n v="1.0118076349621514"/>
  </r>
  <r>
    <s v="516839901"/>
    <s v="710000646999"/>
    <s v="iHerb_VP DFD1605"/>
    <s v="Доставлен"/>
    <d v="2023-02-25T00:00:00"/>
    <x v="8"/>
    <s v="Витамины"/>
    <s v="IRW-26529"/>
    <x v="124"/>
    <x v="438"/>
    <n v="20.32"/>
    <n v="-4.0599999999999996"/>
    <n v="0.99171652144958145"/>
    <n v="5.129441093716292E-15"/>
    <n v="1.4272225362776256"/>
    <n v="1557.2800910150406"/>
    <n v="2600"/>
    <x v="156"/>
    <s v="&lt;Клиент не выбран&gt;"/>
    <s v="2023 06"/>
    <n v="1042.7199089849594"/>
    <n v="0.66957762768630202"/>
  </r>
  <r>
    <s v="516839901"/>
    <s v="710000646999"/>
    <s v="iHerb_VP DFD1605"/>
    <s v="Доставлен"/>
    <d v="2023-02-25T00:00:00"/>
    <x v="8"/>
    <s v="Витамины"/>
    <s v="FLI-53728"/>
    <x v="123"/>
    <x v="439"/>
    <n v="21.9"/>
    <n v="-4.38"/>
    <n v="1.0685654031855267"/>
    <n v="5.5269254589120189E-15"/>
    <n v="1.5378191165795816"/>
    <n v="1677.9549320162062"/>
    <n v="2700"/>
    <x v="270"/>
    <s v="&lt;Клиент не выбран&gt;"/>
    <s v="2023 10"/>
    <n v="1022.0450679837938"/>
    <n v="0.60910162036099469"/>
  </r>
  <r>
    <s v="516839901"/>
    <s v="710000646999"/>
    <s v="iHerb_VP DFD1605"/>
    <s v="Доставлен"/>
    <d v="2023-02-25T00:00:00"/>
    <x v="8"/>
    <s v="Витамины"/>
    <s v="EVL-02434"/>
    <x v="125"/>
    <x v="440"/>
    <n v="5.73"/>
    <n v="-1.1499999999999999"/>
    <n v="0.27933958599256353"/>
    <n v="1.4448241211082791E-15"/>
    <n v="0.4020097918912377"/>
    <n v="438.64346967090319"/>
    <n v="1500"/>
    <x v="104"/>
    <s v="&lt;Клиент не выбран&gt;"/>
    <s v="2023 11"/>
    <n v="1061.3565303290968"/>
    <n v="2.419633720126714"/>
  </r>
  <r>
    <s v="516839901"/>
    <s v="710000646999"/>
    <s v="iHerb_VP DFD1605"/>
    <s v="Доставлен"/>
    <d v="2023-02-25T00:00:00"/>
    <x v="8"/>
    <s v="Витамины"/>
    <s v="NOW-03554"/>
    <x v="3"/>
    <x v="441"/>
    <n v="9.42"/>
    <n v="-1.415"/>
    <n v="0.48823436372717699"/>
    <n v="2.5252875741204742E-15"/>
    <n v="0.70263938517234881"/>
    <n v="766.66833509073786"/>
    <n v="1500"/>
    <x v="173"/>
    <s v="&lt;Клиент не выбран&gt;"/>
    <s v="2023 03"/>
    <n v="733.33166490926214"/>
    <n v="0.95651748134670234"/>
  </r>
  <r>
    <s v="516839901"/>
    <s v="710000646999"/>
    <s v="iHerb_VP DFD1605"/>
    <s v="Доставлен"/>
    <d v="2023-02-25T00:00:00"/>
    <x v="8"/>
    <s v="Витамины"/>
    <s v="NOW-03554"/>
    <x v="3"/>
    <x v="441"/>
    <n v="9.42"/>
    <n v="-1.415"/>
    <n v="0.48823436372717699"/>
    <n v="2.5252875741204742E-15"/>
    <n v="0.70263938517234881"/>
    <n v="766.66833509073786"/>
    <n v="1600"/>
    <x v="259"/>
    <s v="&lt;Клиент не выбран&gt;"/>
    <s v="2023 07"/>
    <n v="833.33166490926214"/>
    <n v="1.0869519801031491"/>
  </r>
  <r>
    <s v="516839901"/>
    <s v="710000646999"/>
    <s v="iHerb_VP DFD1605"/>
    <s v="Доставлен"/>
    <d v="2023-02-25T00:00:00"/>
    <x v="8"/>
    <s v="Витамины"/>
    <s v="NOW-02644"/>
    <x v="3"/>
    <x v="21"/>
    <n v="19.72"/>
    <n v="-2.96"/>
    <n v="1.0222121094400358"/>
    <n v="5.2871729846669766E-15"/>
    <n v="1.4711100681434808"/>
    <n v="1605.1669326821695"/>
    <n v="2800"/>
    <x v="271"/>
    <s v="&lt;Клиент не выбран&gt;"/>
    <s v="2023 07"/>
    <n v="1194.8330673178305"/>
    <n v="0.74436685866766039"/>
  </r>
  <r>
    <s v="516839901"/>
    <s v="710000646999"/>
    <s v="iHerb_VP DFD1605"/>
    <s v="Доставлен"/>
    <d v="2023-02-25T00:00:00"/>
    <x v="8"/>
    <s v="Витамины"/>
    <s v="BRM-03391"/>
    <x v="126"/>
    <x v="442"/>
    <n v="5.89"/>
    <n v="-0.88500000000000001"/>
    <n v="0.30526083578444985"/>
    <n v="1.5788962284163617E-15"/>
    <n v="0.43931419397721494"/>
    <n v="479.34728508796303"/>
    <n v="900"/>
    <x v="272"/>
    <s v="&lt;Клиент не выбран&gt;"/>
    <s v="2023 04"/>
    <n v="420.65271491203697"/>
    <n v="0.87755313944219948"/>
  </r>
  <r>
    <s v="516839901"/>
    <s v="710000646999"/>
    <s v="iHerb_VP DFD1605"/>
    <s v="Доставлен"/>
    <d v="2023-02-25T00:00:00"/>
    <x v="8"/>
    <s v="Витамины"/>
    <s v="BRM-03391"/>
    <x v="126"/>
    <x v="442"/>
    <n v="5.89"/>
    <n v="-0.88500000000000001"/>
    <n v="0.30526083578444985"/>
    <n v="1.5788962284163617E-15"/>
    <n v="0.43931419397721494"/>
    <n v="479.34728508796303"/>
    <n v="900"/>
    <x v="272"/>
    <s v="&lt;Клиент не выбран&gt;"/>
    <s v="2023 04"/>
    <n v="420.65271491203697"/>
    <n v="0.87755313944219948"/>
  </r>
  <r>
    <s v="516839901"/>
    <s v="710000646999"/>
    <s v="iHerb_VP DFD1605"/>
    <s v="Доставлен"/>
    <d v="2023-02-25T00:00:00"/>
    <x v="8"/>
    <s v="Витамины"/>
    <s v="NOW-00373"/>
    <x v="3"/>
    <x v="239"/>
    <n v="11.7"/>
    <n v="-1.76"/>
    <n v="0.60625228925023611"/>
    <n v="3.1357099920996273E-15"/>
    <n v="0.87248413349321019"/>
    <n v="951.99041234252786"/>
    <n v="1800"/>
    <x v="6"/>
    <s v="&lt;Клиент не выбран&gt;"/>
    <s v="2023 05"/>
    <n v="848.00958765747214"/>
    <n v="0.89077534464953911"/>
  </r>
  <r>
    <s v="OZA0067"/>
    <n v="0"/>
    <s v="OZON_AV"/>
    <s v="Доставлен"/>
    <d v="2023-02-19T00:00:00"/>
    <x v="8"/>
    <s v="Спортпит"/>
    <s v="301131356"/>
    <x v="115"/>
    <x v="443"/>
    <n v="538"/>
    <m/>
    <n v="0"/>
    <n v="0"/>
    <n v="80.7"/>
    <n v="618.70000000000005"/>
    <n v="1200"/>
    <x v="165"/>
    <s v="&lt;Клиент не выбран&gt;"/>
    <s v="2023 03"/>
    <n v="581.29999999999995"/>
    <n v="0.93955067076127352"/>
  </r>
  <r>
    <s v="OZA0067"/>
    <n v="0"/>
    <s v="OZON_AV"/>
    <s v="Доставлен"/>
    <d v="2023-02-19T00:00:00"/>
    <x v="8"/>
    <s v="Спортпит"/>
    <s v="301131356"/>
    <x v="115"/>
    <x v="443"/>
    <n v="538"/>
    <m/>
    <n v="0"/>
    <n v="0"/>
    <n v="80.7"/>
    <n v="618.70000000000005"/>
    <n v="1200"/>
    <x v="157"/>
    <s v="&lt;Клиент не выбран&gt;"/>
    <s v="2023 04"/>
    <n v="581.29999999999995"/>
    <n v="0.93955067076127352"/>
  </r>
  <r>
    <s v="OZA0070"/>
    <n v="0"/>
    <s v="OZON_AV"/>
    <s v="Доставлен"/>
    <d v="2023-02-21T00:00:00"/>
    <x v="8"/>
    <s v="Спортпит"/>
    <s v="301131356"/>
    <x v="115"/>
    <x v="443"/>
    <n v="538"/>
    <m/>
    <n v="0"/>
    <n v="0"/>
    <n v="80.7"/>
    <n v="618.70000000000005"/>
    <n v="1200"/>
    <x v="273"/>
    <s v="&lt;Клиент не выбран&gt;"/>
    <s v="2023 09"/>
    <n v="581.29999999999995"/>
    <n v="0.93955067076127352"/>
  </r>
  <r>
    <s v="OZA0072"/>
    <n v="0"/>
    <s v="OZON_AV"/>
    <s v="Доставлен"/>
    <d v="2023-02-26T00:00:00"/>
    <x v="8"/>
    <s v="Спортпит"/>
    <s v="272372912"/>
    <x v="127"/>
    <x v="444"/>
    <n v="801"/>
    <m/>
    <n v="0"/>
    <n v="0"/>
    <n v="120.14999999999999"/>
    <n v="921.15"/>
    <n v="1400"/>
    <x v="226"/>
    <s v="&lt;Клиент не выбран&gt;"/>
    <s v="2023 05"/>
    <n v="478.85"/>
    <n v="0.51983933127069426"/>
  </r>
  <r>
    <s v="OZA0072"/>
    <n v="0"/>
    <s v="OZON_AV"/>
    <s v="Доставлен"/>
    <d v="2023-02-26T00:00:00"/>
    <x v="8"/>
    <s v="Спортпит"/>
    <s v="309538221"/>
    <x v="104"/>
    <x v="445"/>
    <n v="1515"/>
    <m/>
    <n v="0"/>
    <n v="0"/>
    <n v="227.25"/>
    <n v="1742.25"/>
    <n v="2900"/>
    <x v="120"/>
    <s v="&lt;Клиент не выбран&gt;"/>
    <s v="2023 01"/>
    <n v="1157.75"/>
    <n v="0.66451427751470804"/>
  </r>
  <r>
    <s v="OZA0073"/>
    <n v="0"/>
    <s v="OZON_AV"/>
    <s v="Доставлен"/>
    <d v="2023-03-02T00:00:00"/>
    <x v="9"/>
    <s v="Косметика"/>
    <s v="718888801"/>
    <x v="128"/>
    <x v="446"/>
    <n v="573"/>
    <m/>
    <n v="0"/>
    <n v="0"/>
    <n v="85.95"/>
    <n v="658.95"/>
    <n v="1100"/>
    <x v="161"/>
    <s v="&lt;Клиент не выбран&gt;"/>
    <s v="2023 03"/>
    <n v="441.04999999999995"/>
    <n v="0.66932240685939737"/>
  </r>
  <r>
    <s v="OZA0073"/>
    <n v="0"/>
    <s v="OZON_AV"/>
    <s v="Доставлен"/>
    <d v="2023-03-02T00:00:00"/>
    <x v="9"/>
    <s v="Косметика"/>
    <s v="718888801"/>
    <x v="128"/>
    <x v="446"/>
    <n v="573"/>
    <m/>
    <n v="0"/>
    <n v="0"/>
    <n v="85.95"/>
    <n v="658.95"/>
    <m/>
    <x v="20"/>
    <m/>
    <s v=""/>
    <n v="-658.95"/>
    <s v=""/>
  </r>
  <r>
    <s v="WB0057"/>
    <n v="0"/>
    <s v="WBRS"/>
    <s v="Доставлен"/>
    <d v="2023-02-20T00:00:00"/>
    <x v="8"/>
    <s v="Витамины"/>
    <s v="017919762"/>
    <x v="49"/>
    <x v="211"/>
    <n v="337"/>
    <m/>
    <n v="0"/>
    <n v="0"/>
    <n v="50.55"/>
    <n v="387.55"/>
    <n v="750"/>
    <x v="69"/>
    <s v="&lt;Клиент не выбран&gt;"/>
    <s v="2023 03"/>
    <n v="362.45"/>
    <n v="0.9352341633337633"/>
  </r>
  <r>
    <s v="WB0057"/>
    <n v="0"/>
    <s v="WBRS"/>
    <s v="Доставлен"/>
    <d v="2023-02-20T00:00:00"/>
    <x v="8"/>
    <s v="Витамины"/>
    <s v="017919762"/>
    <x v="49"/>
    <x v="211"/>
    <n v="337"/>
    <m/>
    <n v="0"/>
    <n v="0"/>
    <n v="50.55"/>
    <n v="387.55"/>
    <n v="750"/>
    <x v="42"/>
    <s v="&lt;Клиент не выбран&gt;"/>
    <s v="2023 03"/>
    <n v="362.45"/>
    <n v="0.9352341633337633"/>
  </r>
  <r>
    <s v="WB0058"/>
    <n v="0"/>
    <s v="WBRS"/>
    <s v="Доставлен"/>
    <d v="2023-02-20T00:00:00"/>
    <x v="8"/>
    <s v="Косметика"/>
    <s v="142850327"/>
    <x v="117"/>
    <x v="413"/>
    <n v="182"/>
    <m/>
    <n v="0"/>
    <n v="0"/>
    <n v="27.3"/>
    <n v="209.3"/>
    <n v="450"/>
    <x v="98"/>
    <s v="&lt;Клиент не выбран&gt;"/>
    <s v="2023 09"/>
    <n v="240.7"/>
    <n v="1.1500238891543237"/>
  </r>
  <r>
    <s v="WB0058"/>
    <n v="0"/>
    <s v="WBRS"/>
    <s v="Доставлен"/>
    <d v="2023-02-20T00:00:00"/>
    <x v="8"/>
    <s v="Косметика"/>
    <s v="142850327"/>
    <x v="117"/>
    <x v="413"/>
    <n v="182"/>
    <m/>
    <n v="0"/>
    <n v="0"/>
    <n v="27.3"/>
    <n v="209.3"/>
    <m/>
    <x v="20"/>
    <m/>
    <s v=""/>
    <n v="-209.3"/>
    <s v=""/>
  </r>
  <r>
    <s v="WB0059"/>
    <n v="0"/>
    <s v="WBRS"/>
    <s v="Доставлен"/>
    <d v="2023-02-16T00:00:00"/>
    <x v="8"/>
    <s v="Спортпит"/>
    <s v="139295316"/>
    <x v="107"/>
    <x v="447"/>
    <n v="1757"/>
    <m/>
    <n v="0"/>
    <n v="0"/>
    <n v="263.55"/>
    <n v="2020.55"/>
    <n v="3100"/>
    <x v="121"/>
    <s v="&lt;Клиент не выбран&gt;"/>
    <s v="2023 03"/>
    <n v="1079.45"/>
    <n v="0.53423572789586993"/>
  </r>
  <r>
    <s v="WB0059"/>
    <n v="0"/>
    <s v="WBRS"/>
    <s v="Доставлен"/>
    <d v="2023-02-16T00:00:00"/>
    <x v="8"/>
    <s v="Спортпит"/>
    <s v="139295316"/>
    <x v="107"/>
    <x v="447"/>
    <n v="1757"/>
    <m/>
    <n v="0"/>
    <n v="0"/>
    <n v="263.55"/>
    <n v="2020.55"/>
    <n v="3100"/>
    <x v="121"/>
    <s v="&lt;Клиент не выбран&gt;"/>
    <s v="2023 03"/>
    <n v="1079.45"/>
    <n v="0.53423572789586993"/>
  </r>
  <r>
    <s v="516894181"/>
    <s v="710000652834"/>
    <s v="iHerb_AV CYG0792"/>
    <s v="Доставлен"/>
    <d v="2023-02-28T00:00:00"/>
    <x v="8"/>
    <s v="Витамины"/>
    <s v="NOW-01452"/>
    <x v="3"/>
    <x v="143"/>
    <n v="10.199999999999999"/>
    <n v="-1.53"/>
    <n v="1.0404944187312823"/>
    <n v="1.3417708726468977E-15"/>
    <n v="0.74453188044810537"/>
    <n v="874.15080261366779"/>
    <n v="1500"/>
    <x v="267"/>
    <s v="&lt;Клиент не выбран&gt;"/>
    <s v="2023 04"/>
    <n v="625.84919738633221"/>
    <n v="0.71595106418145926"/>
  </r>
  <r>
    <s v="516894181"/>
    <s v="710000652834"/>
    <s v="iHerb_AV CYG0792"/>
    <s v="Доставлен"/>
    <d v="2023-02-28T00:00:00"/>
    <x v="8"/>
    <s v="Витамины"/>
    <s v="JRW-13007"/>
    <x v="21"/>
    <x v="448"/>
    <n v="13.26"/>
    <n v="-1.99"/>
    <n v="1.3525227334603867"/>
    <n v="1.7441473742480434E-15"/>
    <n v="0.96780557008652213"/>
    <n v="1136.2952186223799"/>
    <n v="2000"/>
    <x v="267"/>
    <s v="&lt;Клиент не выбран&gt;"/>
    <s v="2023 04"/>
    <n v="863.70478137762007"/>
    <n v="0.76010597177796568"/>
  </r>
  <r>
    <s v="516894181"/>
    <s v="710000652834"/>
    <s v="iHerb_AV CYG0792"/>
    <s v="Доставлен"/>
    <d v="2023-02-28T00:00:00"/>
    <x v="8"/>
    <s v="Витамины"/>
    <s v="DRB-00025"/>
    <x v="6"/>
    <x v="113"/>
    <n v="10.85"/>
    <n v="-1.63"/>
    <n v="1.1065004083855159"/>
    <n v="1.4268889787548324E-15"/>
    <n v="0.79176285325623197"/>
    <n v="929.60442907704908"/>
    <n v="1700"/>
    <x v="146"/>
    <s v="&lt;Клиент не выбран&gt;"/>
    <s v="2023 07"/>
    <n v="770.39557092295092"/>
    <n v="0.82873483260813685"/>
  </r>
  <r>
    <s v="516894181"/>
    <s v="710000652834"/>
    <s v="iHerb_AV CYG0792"/>
    <s v="Доставлен"/>
    <d v="2023-02-28T00:00:00"/>
    <x v="8"/>
    <s v="Витамины"/>
    <s v="NOW-01294"/>
    <x v="3"/>
    <x v="43"/>
    <n v="13.23"/>
    <n v="-1.98"/>
    <n v="1.3501225156547783"/>
    <n v="1.7410521703895732E-15"/>
    <n v="0.96608808016622671"/>
    <n v="1134.2787231146206"/>
    <n v="2000"/>
    <x v="173"/>
    <s v="&lt;Клиент не выбран&gt;"/>
    <s v="2023 03"/>
    <n v="865.72127688537944"/>
    <n v="0.7632350490611266"/>
  </r>
  <r>
    <s v="516894181"/>
    <s v="710000652834"/>
    <s v="iHerb_AV CYG0792"/>
    <s v="Доставлен"/>
    <d v="2023-02-28T00:00:00"/>
    <x v="8"/>
    <s v="Витамины"/>
    <s v="NOW-03212"/>
    <x v="3"/>
    <x v="83"/>
    <n v="23.8"/>
    <n v="-6.8"/>
    <n v="2.0401851347672206"/>
    <n v="2.6309232796997997E-15"/>
    <n v="1.4598664322511872"/>
    <n v="1714.0211815954267"/>
    <n v="3200"/>
    <x v="274"/>
    <s v="&lt;Клиент не выбран&gt;"/>
    <s v="2024 05"/>
    <n v="1485.9788184045733"/>
    <n v="0.8669547578294281"/>
  </r>
  <r>
    <s v="516894181"/>
    <s v="710000652834"/>
    <s v="iHerb_AV CYG0792"/>
    <s v="Доставлен"/>
    <d v="2023-02-28T00:00:00"/>
    <x v="8"/>
    <s v="Витамины"/>
    <s v="NWY-03502"/>
    <x v="16"/>
    <x v="74"/>
    <n v="15.31"/>
    <n v="-2.2999999999999998"/>
    <n v="1.5613416825483259"/>
    <n v="2.0134301099349644E-15"/>
    <n v="1.117227193152232"/>
    <n v="1311.7303277974413"/>
    <n v="2400"/>
    <x v="275"/>
    <s v="&lt;Клиент не выбран&gt;"/>
    <s v="2023 11"/>
    <n v="1088.2696722025587"/>
    <n v="0.8296443629765724"/>
  </r>
  <r>
    <s v="516894181"/>
    <s v="710000652834"/>
    <s v="iHerb_AV CYG0792"/>
    <s v="Доставлен"/>
    <d v="2023-02-28T00:00:00"/>
    <x v="8"/>
    <s v="Витамины"/>
    <s v="LEX-23151"/>
    <x v="7"/>
    <x v="17"/>
    <n v="20.69"/>
    <n v="-3.1"/>
    <n v="2.1109915600326707"/>
    <n v="2.7222317935246748E-15"/>
    <n v="1.5105323848999046"/>
    <n v="1773.5077990743266"/>
    <n v="2900"/>
    <x v="257"/>
    <s v="&lt;Клиент не выбран&gt;"/>
    <s v="2023 05"/>
    <n v="1126.4922009256734"/>
    <n v="0.63517747230299204"/>
  </r>
  <r>
    <s v="516894181"/>
    <s v="710000652834"/>
    <s v="iHerb_AV CYG0792"/>
    <s v="Доставлен"/>
    <d v="2023-02-28T00:00:00"/>
    <x v="8"/>
    <s v="Витамины"/>
    <s v="NOW-01662"/>
    <x v="3"/>
    <x v="122"/>
    <n v="25.37"/>
    <n v="-3.81"/>
    <n v="2.5874347944459575"/>
    <n v="3.3366297594310404E-15"/>
    <n v="1.8514541340785644"/>
    <n v="2173.7821573645533"/>
    <n v="3300"/>
    <x v="163"/>
    <s v="&lt;Клиент не выбран&gt;"/>
    <s v="2023 08"/>
    <n v="1126.2178426354467"/>
    <n v="0.51809140065849513"/>
  </r>
  <r>
    <s v="516894181"/>
    <s v="710000652834"/>
    <s v="iHerb_AV CYG0792"/>
    <s v="Доставлен"/>
    <d v="2023-02-28T00:00:00"/>
    <x v="8"/>
    <s v="Витамины"/>
    <s v="NOW-01663"/>
    <x v="3"/>
    <x v="449"/>
    <n v="19.61"/>
    <n v="-2.94"/>
    <n v="2.0005815409746801"/>
    <n v="2.5798524160350386E-15"/>
    <n v="1.431527848566311"/>
    <n v="1680.7490057173977"/>
    <n v="2900"/>
    <x v="251"/>
    <s v="&lt;Клиент не выбран&gt;"/>
    <s v="2023 04"/>
    <n v="1219.2509942826023"/>
    <n v="0.72542122002457277"/>
  </r>
  <r>
    <s v="516894181"/>
    <s v="710000652834"/>
    <s v="iHerb_AV CYG0792"/>
    <s v="Доставлен"/>
    <d v="2023-02-28T00:00:00"/>
    <x v="8"/>
    <s v="Витамины"/>
    <s v="NOW-01663"/>
    <x v="3"/>
    <x v="449"/>
    <n v="19.61"/>
    <n v="-2.94"/>
    <n v="2.0005815409746801"/>
    <n v="2.5798524160350386E-15"/>
    <n v="1.431527848566311"/>
    <n v="1680.7490057173977"/>
    <n v="2900"/>
    <x v="215"/>
    <s v="&lt;Клиент не выбран&gt;"/>
    <s v="2023 11"/>
    <n v="1219.2509942826023"/>
    <n v="0.72542122002457277"/>
  </r>
  <r>
    <s v="516894181"/>
    <s v="710000652834"/>
    <s v="iHerb_AV CYG0792"/>
    <s v="Доставлен"/>
    <d v="2023-02-28T00:00:00"/>
    <x v="8"/>
    <s v="Витамины"/>
    <s v="NOW-01607"/>
    <x v="3"/>
    <x v="450"/>
    <n v="11.47"/>
    <n v="-1.72"/>
    <n v="1.170106180234141"/>
    <n v="1.5089118810042968E-15"/>
    <n v="0.83727633614406316"/>
    <n v="983.04156003267121"/>
    <n v="1800"/>
    <x v="276"/>
    <s v="&lt;Клиент не выбран&gt;"/>
    <s v="2023 09"/>
    <n v="816.95843996732879"/>
    <n v="0.83105178171732363"/>
  </r>
  <r>
    <s v="516894181"/>
    <s v="710000652834"/>
    <s v="iHerb_AV CYG0792"/>
    <s v="Доставлен"/>
    <d v="2023-02-28T00:00:00"/>
    <x v="8"/>
    <s v="Витамины"/>
    <s v="NOR-01817"/>
    <x v="9"/>
    <x v="451"/>
    <n v="8.69"/>
    <n v="-1.3"/>
    <n v="0.8868804791723387"/>
    <n v="1.1436778257047952E-15"/>
    <n v="0.63461252554919245"/>
    <n v="745.09509011707075"/>
    <n v="1500"/>
    <x v="255"/>
    <s v="&lt;Клиент не выбран&gt;"/>
    <s v="2023 03"/>
    <n v="754.90490988292925"/>
    <n v="1.0131658628488844"/>
  </r>
  <r>
    <s v="516894181"/>
    <s v="710000652834"/>
    <s v="iHerb_AV CYG0792"/>
    <s v="Доставлен"/>
    <d v="2023-02-28T00:00:00"/>
    <x v="8"/>
    <s v="Витамины"/>
    <s v="NRT-19491"/>
    <x v="27"/>
    <x v="452"/>
    <n v="13.885"/>
    <n v="-2.085"/>
    <n v="1.4161285053090118"/>
    <n v="1.8261702764975079E-15"/>
    <n v="1.0133190529743534"/>
    <n v="1189.732349578002"/>
    <n v="2200"/>
    <x v="226"/>
    <s v="&lt;Клиент не выбран&gt;"/>
    <s v="2023 05"/>
    <n v="1010.267650421998"/>
    <n v="0.84915540102808829"/>
  </r>
  <r>
    <s v="516894181"/>
    <s v="710000652834"/>
    <s v="iHerb_AV CYG0792"/>
    <s v="Доставлен"/>
    <d v="2023-02-28T00:00:00"/>
    <x v="8"/>
    <s v="Витамины"/>
    <s v="NRT-19491"/>
    <x v="27"/>
    <x v="452"/>
    <n v="13.885"/>
    <n v="-2.085"/>
    <n v="1.4161285053090118"/>
    <n v="1.8261702764975079E-15"/>
    <n v="1.0133190529743534"/>
    <n v="1189.732349578002"/>
    <n v="2000"/>
    <x v="277"/>
    <s v="&lt;Клиент не выбран&gt;"/>
    <s v="2023 06"/>
    <n v="810.26765042199804"/>
    <n v="0.68105036457098944"/>
  </r>
  <r>
    <s v="OZA0063"/>
    <n v="0"/>
    <s v="OZON_AV"/>
    <s v="Доставлен"/>
    <d v="2023-02-15T00:00:00"/>
    <x v="8"/>
    <s v="Витамины"/>
    <s v="XXXXXX021"/>
    <x v="129"/>
    <x v="453"/>
    <n v="2646"/>
    <m/>
    <n v="0"/>
    <n v="0"/>
    <n v="396.90000000000003"/>
    <n v="3042.9"/>
    <n v="4000"/>
    <x v="173"/>
    <s v="&lt;Клиент не выбран&gt;"/>
    <s v="2023 03"/>
    <n v="957.09999999999991"/>
    <n v="0.31453547602615922"/>
  </r>
  <r>
    <s v="OZA0063"/>
    <n v="0"/>
    <s v="OZON_AV"/>
    <s v="Доставлен"/>
    <d v="2023-02-15T00:00:00"/>
    <x v="8"/>
    <s v="Витамины"/>
    <s v="XXXXXX021"/>
    <x v="129"/>
    <x v="453"/>
    <n v="2646"/>
    <m/>
    <n v="0"/>
    <n v="0"/>
    <n v="396.90000000000003"/>
    <n v="3042.9"/>
    <n v="4000"/>
    <x v="278"/>
    <s v="&lt;Клиент не выбран&gt;"/>
    <s v="2023 04"/>
    <n v="957.09999999999991"/>
    <n v="0.31453547602615922"/>
  </r>
  <r>
    <s v="OZA0063"/>
    <n v="0"/>
    <s v="OZON_AV"/>
    <s v="Доставлен"/>
    <d v="2023-02-15T00:00:00"/>
    <x v="8"/>
    <s v="Витамины"/>
    <s v="832770275"/>
    <x v="130"/>
    <x v="454"/>
    <n v="557"/>
    <m/>
    <n v="0"/>
    <n v="0"/>
    <n v="83.55"/>
    <n v="640.54999999999995"/>
    <n v="1200"/>
    <x v="164"/>
    <s v="&lt;Клиент не выбран&gt;"/>
    <s v="2023 03"/>
    <n v="559.45000000000005"/>
    <n v="0.87339005542112258"/>
  </r>
  <r>
    <s v="PVP-321957"/>
    <n v="0"/>
    <s v="NSP"/>
    <s v="Доставлен"/>
    <d v="2023-03-09T00:00:00"/>
    <x v="9"/>
    <s v="Витамины"/>
    <s v="000000410"/>
    <x v="131"/>
    <x v="455"/>
    <n v="997.84"/>
    <m/>
    <n v="0"/>
    <n v="29.436677717597863"/>
    <n v="37.169868953340234"/>
    <n v="1064.4465466709382"/>
    <n v="1470"/>
    <x v="255"/>
    <s v="&lt;Клиент не выбран&gt;"/>
    <s v="2023 03"/>
    <n v="405.55345332906177"/>
    <n v="0.38099936027547099"/>
  </r>
  <r>
    <s v="PVP-321957"/>
    <n v="0"/>
    <s v="NSP"/>
    <s v="Доставлен"/>
    <d v="2023-03-09T00:00:00"/>
    <x v="9"/>
    <s v="Витамины"/>
    <s v="000001894"/>
    <x v="131"/>
    <x v="456"/>
    <n v="1113.3800000000001"/>
    <m/>
    <n v="0"/>
    <n v="32.845153769360934"/>
    <n v="41.473772042882587"/>
    <n v="1187.6989258122435"/>
    <n v="1640"/>
    <x v="255"/>
    <s v="&lt;Клиент не выбран&gt;"/>
    <s v="2023 03"/>
    <n v="452.30107418775651"/>
    <n v="0.38082132126072005"/>
  </r>
  <r>
    <s v="PVP-321957"/>
    <n v="0"/>
    <s v="NSP"/>
    <s v="Доставлен"/>
    <d v="2023-03-09T00:00:00"/>
    <x v="9"/>
    <s v="Витамины"/>
    <s v="000001894"/>
    <x v="131"/>
    <x v="456"/>
    <n v="1113.3800000000001"/>
    <m/>
    <n v="0"/>
    <n v="32.845153769360934"/>
    <n v="41.473772042882587"/>
    <n v="1187.6989258122435"/>
    <n v="1640"/>
    <x v="255"/>
    <s v="&lt;Клиент не выбран&gt;"/>
    <s v="2023 03"/>
    <n v="452.30107418775651"/>
    <n v="0.38082132126072005"/>
  </r>
  <r>
    <s v="PVP-321957"/>
    <n v="0"/>
    <s v="NSP"/>
    <s v="Доставлен"/>
    <d v="2023-03-09T00:00:00"/>
    <x v="9"/>
    <s v="Витамины"/>
    <s v="000001894"/>
    <x v="131"/>
    <x v="456"/>
    <n v="1113.3800000000001"/>
    <m/>
    <n v="0"/>
    <n v="32.845153769360934"/>
    <n v="41.473772042882587"/>
    <n v="1187.6989258122435"/>
    <n v="1640"/>
    <x v="255"/>
    <s v="&lt;Клиент не выбран&gt;"/>
    <s v="2023 03"/>
    <n v="452.30107418775651"/>
    <n v="0.38082132126072005"/>
  </r>
  <r>
    <s v="PVP-321957"/>
    <n v="0"/>
    <s v="NSP"/>
    <s v="Доставлен"/>
    <d v="2023-03-09T00:00:00"/>
    <x v="9"/>
    <s v="Витамины"/>
    <s v="000000170"/>
    <x v="131"/>
    <x v="457"/>
    <n v="1031.0999999999999"/>
    <m/>
    <n v="0"/>
    <n v="30.417860974319684"/>
    <n v="38.40881491801202"/>
    <n v="1099.9266758923316"/>
    <n v="1515"/>
    <x v="255"/>
    <s v="&lt;Клиент не выбран&gt;"/>
    <s v="2023 03"/>
    <n v="415.07332410766844"/>
    <n v="0.37736454002348307"/>
  </r>
  <r>
    <s v="OZA0074"/>
    <n v="0"/>
    <s v="OZON_AV"/>
    <s v="Доставлен"/>
    <d v="2023-03-03T00:00:00"/>
    <x v="9"/>
    <s v="Спортпит"/>
    <s v="309538221"/>
    <x v="104"/>
    <x v="445"/>
    <n v="1511"/>
    <m/>
    <n v="0"/>
    <n v="0"/>
    <n v="226.65"/>
    <n v="1737.65"/>
    <n v="3000"/>
    <x v="170"/>
    <s v="&lt;Клиент не выбран&gt;"/>
    <s v="2023 03"/>
    <n v="1262.3499999999999"/>
    <n v="0.72646965729577295"/>
  </r>
  <r>
    <s v="OZA0074"/>
    <n v="0"/>
    <s v="OZON_AV"/>
    <s v="Доставлен"/>
    <d v="2023-03-03T00:00:00"/>
    <x v="9"/>
    <s v="Спортпит"/>
    <s v="309538221"/>
    <x v="104"/>
    <x v="445"/>
    <n v="1511"/>
    <m/>
    <n v="0"/>
    <n v="0"/>
    <n v="226.65"/>
    <n v="1737.65"/>
    <n v="3100"/>
    <x v="267"/>
    <s v="&lt;Клиент не выбран&gt;"/>
    <s v="2023 04"/>
    <n v="1362.35"/>
    <n v="0.78401864587229875"/>
  </r>
  <r>
    <s v="OZA0075"/>
    <n v="0"/>
    <s v="OZON_AV"/>
    <s v="Доставлен"/>
    <d v="2023-03-05T00:00:00"/>
    <x v="9"/>
    <s v="Спортпит"/>
    <s v="281518094"/>
    <x v="127"/>
    <x v="458"/>
    <n v="340"/>
    <m/>
    <n v="0"/>
    <n v="0"/>
    <n v="51"/>
    <n v="391"/>
    <n v="550"/>
    <x v="177"/>
    <s v="&lt;Клиент не выбран&gt;"/>
    <s v="2023 03"/>
    <n v="159"/>
    <n v="0.40664961636828645"/>
  </r>
  <r>
    <s v="OZA0075"/>
    <n v="0"/>
    <s v="OZON_AV"/>
    <s v="Доставлен"/>
    <d v="2023-03-05T00:00:00"/>
    <x v="9"/>
    <s v="Спортпит"/>
    <s v="281518094"/>
    <x v="127"/>
    <x v="458"/>
    <n v="340"/>
    <m/>
    <n v="0"/>
    <n v="0"/>
    <n v="51"/>
    <n v="391"/>
    <n v="550"/>
    <x v="177"/>
    <s v="&lt;Клиент не выбран&gt;"/>
    <s v="2023 03"/>
    <n v="159"/>
    <n v="0.40664961636828645"/>
  </r>
  <r>
    <s v="OZA0075"/>
    <n v="0"/>
    <s v="OZON_AV"/>
    <s v="Доставлен"/>
    <d v="2023-03-05T00:00:00"/>
    <x v="9"/>
    <s v="Спортпит"/>
    <s v="281518019"/>
    <x v="127"/>
    <x v="459"/>
    <n v="306"/>
    <m/>
    <n v="0"/>
    <n v="0"/>
    <n v="45.9"/>
    <n v="351.9"/>
    <n v="550"/>
    <x v="177"/>
    <s v="&lt;Клиент не выбран&gt;"/>
    <s v="2023 03"/>
    <n v="198.10000000000002"/>
    <n v="0.56294401818698503"/>
  </r>
  <r>
    <s v="OZA0075"/>
    <n v="0"/>
    <s v="OZON_AV"/>
    <s v="Доставлен"/>
    <d v="2023-03-05T00:00:00"/>
    <x v="9"/>
    <s v="Спортпит"/>
    <s v="281518019"/>
    <x v="127"/>
    <x v="459"/>
    <n v="306"/>
    <m/>
    <n v="0"/>
    <n v="0"/>
    <n v="45.9"/>
    <n v="351.9"/>
    <n v="550"/>
    <x v="177"/>
    <s v="&lt;Клиент не выбран&gt;"/>
    <s v="2023 03"/>
    <n v="198.10000000000002"/>
    <n v="0.56294401818698503"/>
  </r>
  <r>
    <s v="OZA0075"/>
    <n v="0"/>
    <s v="OZON_AV"/>
    <s v="Доставлен"/>
    <d v="2023-03-05T00:00:00"/>
    <x v="9"/>
    <s v="Спортпит"/>
    <s v="281518154"/>
    <x v="127"/>
    <x v="460"/>
    <n v="340"/>
    <m/>
    <n v="0"/>
    <n v="0"/>
    <n v="51"/>
    <n v="391"/>
    <n v="550"/>
    <x v="177"/>
    <s v="&lt;Клиент не выбран&gt;"/>
    <s v="2023 03"/>
    <n v="159"/>
    <n v="0.40664961636828645"/>
  </r>
  <r>
    <s v="OZA0075"/>
    <n v="0"/>
    <s v="OZON_AV"/>
    <s v="Доставлен"/>
    <d v="2023-03-05T00:00:00"/>
    <x v="9"/>
    <s v="Спортпит"/>
    <s v="281518154"/>
    <x v="127"/>
    <x v="460"/>
    <n v="340"/>
    <m/>
    <n v="0"/>
    <n v="0"/>
    <n v="51"/>
    <n v="391"/>
    <n v="500"/>
    <x v="220"/>
    <s v="&lt;Клиент не выбран&gt;"/>
    <s v="2023 03"/>
    <n v="109"/>
    <n v="0.27877237851662406"/>
  </r>
  <r>
    <s v="OZA0075"/>
    <n v="0"/>
    <s v="OZON_AV"/>
    <s v="Доставлен"/>
    <d v="2023-03-05T00:00:00"/>
    <x v="9"/>
    <s v="Спортпит"/>
    <s v="281516886"/>
    <x v="127"/>
    <x v="461"/>
    <n v="306"/>
    <m/>
    <n v="0"/>
    <n v="0"/>
    <n v="45.9"/>
    <n v="351.9"/>
    <n v="550"/>
    <x v="189"/>
    <s v="&lt;Клиент не выбран&gt;"/>
    <s v="2023 04"/>
    <n v="198.10000000000002"/>
    <n v="0.56294401818698503"/>
  </r>
  <r>
    <s v="OZA0075"/>
    <n v="0"/>
    <s v="OZON_AV"/>
    <s v="Доставлен"/>
    <d v="2023-03-05T00:00:00"/>
    <x v="9"/>
    <s v="Спортпит"/>
    <s v="281516886"/>
    <x v="127"/>
    <x v="461"/>
    <n v="306"/>
    <m/>
    <n v="0"/>
    <n v="0"/>
    <n v="45.9"/>
    <n v="351.9"/>
    <n v="500"/>
    <x v="279"/>
    <s v="&lt;Клиент не выбран&gt;"/>
    <s v="2023 04"/>
    <n v="148.10000000000002"/>
    <n v="0.4208581983518046"/>
  </r>
  <r>
    <s v="OZA0076"/>
    <n v="0"/>
    <s v="OZON_AV"/>
    <s v="Доставлен"/>
    <d v="2023-03-05T00:00:00"/>
    <x v="9"/>
    <s v="Спортпит"/>
    <s v="825959086"/>
    <x v="108"/>
    <x v="415"/>
    <n v="944"/>
    <m/>
    <n v="0"/>
    <n v="0"/>
    <n v="141.6"/>
    <n v="1085.5999999999999"/>
    <n v="1500"/>
    <x v="177"/>
    <s v="&lt;Клиент не выбран&gt;"/>
    <s v="2023 03"/>
    <n v="414.40000000000009"/>
    <n v="0.38172439204126762"/>
  </r>
  <r>
    <s v="OZA0076"/>
    <n v="0"/>
    <s v="OZON_AV"/>
    <s v="Доставлен"/>
    <d v="2023-03-05T00:00:00"/>
    <x v="9"/>
    <s v="Спортпит"/>
    <s v="825959086"/>
    <x v="108"/>
    <x v="415"/>
    <n v="944"/>
    <m/>
    <n v="0"/>
    <n v="0"/>
    <n v="141.6"/>
    <n v="1085.5999999999999"/>
    <n v="1500"/>
    <x v="177"/>
    <s v="&lt;Клиент не выбран&gt;"/>
    <s v="2023 03"/>
    <n v="414.40000000000009"/>
    <n v="0.38172439204126762"/>
  </r>
  <r>
    <s v="OZA0076"/>
    <n v="0"/>
    <s v="OZON_AV"/>
    <s v="Доставлен"/>
    <d v="2023-03-05T00:00:00"/>
    <x v="9"/>
    <s v="Спортпит"/>
    <s v="799989625"/>
    <x v="107"/>
    <x v="462"/>
    <n v="1717.5"/>
    <m/>
    <n v="0"/>
    <n v="0"/>
    <n v="257.62499999999994"/>
    <n v="1975.125"/>
    <n v="3100"/>
    <x v="54"/>
    <s v="&lt;Клиент не выбран&gt;"/>
    <s v="2023 04"/>
    <n v="1124.875"/>
    <n v="0.56952091639769631"/>
  </r>
  <r>
    <s v="OZA0076"/>
    <n v="0"/>
    <s v="OZON_AV"/>
    <s v="Доставлен"/>
    <d v="2023-03-05T00:00:00"/>
    <x v="9"/>
    <s v="Спортпит"/>
    <s v="799989625"/>
    <x v="107"/>
    <x v="462"/>
    <n v="1717.5"/>
    <m/>
    <n v="0"/>
    <n v="0"/>
    <n v="257.62499999999994"/>
    <n v="1975.125"/>
    <n v="3100"/>
    <x v="279"/>
    <s v="&lt;Клиент не выбран&gt;"/>
    <s v="2023 04"/>
    <n v="1124.875"/>
    <n v="0.56952091639769631"/>
  </r>
  <r>
    <s v="OZA0077"/>
    <n v="0"/>
    <s v="OZON_AV"/>
    <s v="Доставлен"/>
    <d v="2023-03-06T00:00:00"/>
    <x v="9"/>
    <s v="Витамины"/>
    <s v="852644785"/>
    <x v="132"/>
    <x v="463"/>
    <n v="647"/>
    <m/>
    <n v="0"/>
    <n v="0"/>
    <n v="97.05"/>
    <n v="744.05"/>
    <n v="1300"/>
    <x v="154"/>
    <s v="&lt;Клиент не выбран&gt;"/>
    <s v="2023 03"/>
    <n v="555.95000000000005"/>
    <n v="0.74719440897789136"/>
  </r>
  <r>
    <s v="OZA0077"/>
    <n v="0"/>
    <s v="OZON_AV"/>
    <s v="Доставлен"/>
    <d v="2023-03-06T00:00:00"/>
    <x v="9"/>
    <s v="Витамины"/>
    <s v="852644785"/>
    <x v="132"/>
    <x v="463"/>
    <n v="647"/>
    <m/>
    <n v="0"/>
    <n v="0"/>
    <n v="97.05"/>
    <n v="744.05"/>
    <n v="1300"/>
    <x v="154"/>
    <s v="&lt;Клиент не выбран&gt;"/>
    <s v="2023 03"/>
    <n v="555.95000000000005"/>
    <n v="0.74719440897789136"/>
  </r>
  <r>
    <s v="OZA0080"/>
    <n v="0"/>
    <s v="OZON_AV"/>
    <s v="Доставлен"/>
    <d v="2023-03-09T00:00:00"/>
    <x v="9"/>
    <s v="Косметика"/>
    <s v="179005500"/>
    <x v="98"/>
    <x v="464"/>
    <n v="288"/>
    <m/>
    <n v="0"/>
    <n v="0"/>
    <n v="43.2"/>
    <n v="331.2"/>
    <n v="700"/>
    <x v="5"/>
    <s v="&lt;Клиент не выбран&gt;"/>
    <s v="2023 05"/>
    <n v="368.8"/>
    <n v="1.1135265700483092"/>
  </r>
  <r>
    <s v="OZA0080"/>
    <n v="0"/>
    <s v="OZON_AV"/>
    <s v="Доставлен"/>
    <d v="2023-03-09T00:00:00"/>
    <x v="9"/>
    <s v="Косметика"/>
    <s v="180642802"/>
    <x v="98"/>
    <x v="465"/>
    <n v="287"/>
    <m/>
    <n v="0"/>
    <n v="0"/>
    <n v="43.05"/>
    <n v="330.05"/>
    <n v="700"/>
    <x v="154"/>
    <s v="&lt;Клиент не выбран&gt;"/>
    <s v="2023 03"/>
    <n v="369.95"/>
    <n v="1.1208907741251324"/>
  </r>
  <r>
    <s v="OZA0080"/>
    <n v="0"/>
    <s v="OZON_AV"/>
    <s v="Доставлен"/>
    <d v="2023-03-09T00:00:00"/>
    <x v="9"/>
    <s v="Косметика"/>
    <s v="392681875"/>
    <x v="77"/>
    <x v="466"/>
    <n v="311"/>
    <m/>
    <n v="0"/>
    <n v="0"/>
    <n v="46.65"/>
    <n v="357.65"/>
    <n v="700"/>
    <x v="227"/>
    <s v="&lt;Клиент не выбран&gt;"/>
    <s v="2023 03"/>
    <n v="342.35"/>
    <n v="0.9572207465399134"/>
  </r>
  <r>
    <s v="OZA0080"/>
    <n v="0"/>
    <s v="OZON_AV"/>
    <s v="Доставлен"/>
    <d v="2023-03-09T00:00:00"/>
    <x v="9"/>
    <s v="Косметика"/>
    <s v="536253138"/>
    <x v="117"/>
    <x v="467"/>
    <n v="271"/>
    <m/>
    <n v="0"/>
    <n v="0"/>
    <n v="40.65"/>
    <n v="311.64999999999998"/>
    <n v="500"/>
    <x v="219"/>
    <s v="&lt;Клиент не выбран&gt;"/>
    <s v="2023 11"/>
    <n v="188.35000000000002"/>
    <n v="0.60436386972565392"/>
  </r>
  <r>
    <s v="OZA0080"/>
    <n v="0"/>
    <s v="OZON_AV"/>
    <s v="Доставлен"/>
    <d v="2023-03-09T00:00:00"/>
    <x v="9"/>
    <s v="Косметика"/>
    <s v="536253138"/>
    <x v="117"/>
    <x v="467"/>
    <n v="271"/>
    <m/>
    <n v="0"/>
    <n v="0"/>
    <n v="40.65"/>
    <n v="311.64999999999998"/>
    <m/>
    <x v="20"/>
    <m/>
    <s v=""/>
    <n v="-311.64999999999998"/>
    <s v=""/>
  </r>
  <r>
    <s v="517058966"/>
    <s v="710000669496"/>
    <s v="iHerb_AV CYG0792"/>
    <s v="Доставлен"/>
    <d v="2023-03-09T00:00:00"/>
    <x v="9"/>
    <s v="Витамины"/>
    <s v="NOW-03876"/>
    <x v="3"/>
    <x v="468"/>
    <n v="30.67"/>
    <n v="-3.07"/>
    <n v="2.0671007064690405"/>
    <n v="7.2442090804742194E-15"/>
    <n v="2.0916448317049348"/>
    <n v="2665.4945006233556"/>
    <n v="3700"/>
    <x v="235"/>
    <s v="&lt;Клиент не выбран&gt;"/>
    <s v="2023 04"/>
    <n v="1034.5054993766444"/>
    <n v="0.38811016084809541"/>
  </r>
  <r>
    <s v="517058966"/>
    <s v="710000669496"/>
    <s v="iHerb_AV CYG0792"/>
    <s v="Доставлен"/>
    <d v="2023-03-09T00:00:00"/>
    <x v="9"/>
    <s v="Витамины"/>
    <s v="NRT-53098"/>
    <x v="27"/>
    <x v="329"/>
    <n v="12"/>
    <n v="-7.2"/>
    <n v="0.35949577503809399"/>
    <n v="1.2598624487781251E-15"/>
    <n v="0.36376431855737995"/>
    <n v="463.56426097797487"/>
    <n v="1450"/>
    <x v="280"/>
    <s v="&lt;Клиент не выбран&gt;"/>
    <s v="2023 05"/>
    <n v="986.43573902202513"/>
    <n v="2.1279374232624315"/>
  </r>
  <r>
    <s v="517058966"/>
    <s v="710000669496"/>
    <s v="iHerb_AV CYG0792"/>
    <s v="Доставлен"/>
    <d v="2023-03-09T00:00:00"/>
    <x v="9"/>
    <s v="Витамины"/>
    <s v="NRT-53098"/>
    <x v="27"/>
    <x v="329"/>
    <n v="12"/>
    <n v="-7.2"/>
    <n v="0.35949577503809399"/>
    <n v="1.2598624487781251E-15"/>
    <n v="0.36376431855737995"/>
    <n v="463.56426097797487"/>
    <n v="1500"/>
    <x v="281"/>
    <s v="&lt;Клиент не выбран&gt;"/>
    <s v="2023 08"/>
    <n v="1036.4357390220252"/>
    <n v="2.235797334409412"/>
  </r>
  <r>
    <s v="517058966"/>
    <s v="710000669496"/>
    <s v="iHerb_AV CYG0792"/>
    <s v="Доставлен"/>
    <d v="2023-03-09T00:00:00"/>
    <x v="9"/>
    <s v="Витамины"/>
    <s v="NOW-00068"/>
    <x v="3"/>
    <x v="469"/>
    <n v="28.8"/>
    <n v="-2.88"/>
    <n v="1.9412771852057076"/>
    <n v="6.8032572234018756E-15"/>
    <n v="1.9643273202098521"/>
    <n v="2503.2470092810645"/>
    <n v="3500"/>
    <x v="204"/>
    <s v="&lt;Клиент не выбран&gt;"/>
    <s v="2023 04"/>
    <n v="996.75299071893551"/>
    <n v="0.39818403338678277"/>
  </r>
  <r>
    <s v="517058966"/>
    <s v="710000669496"/>
    <s v="iHerb_AV CYG0792"/>
    <s v="Доставлен"/>
    <d v="2023-03-09T00:00:00"/>
    <x v="9"/>
    <s v="Витамины"/>
    <s v="CGN-01033"/>
    <x v="1"/>
    <x v="1"/>
    <n v="17"/>
    <n v="-5.1000000000000005"/>
    <n v="0.89124994228194132"/>
    <n v="3.1234089875957679E-15"/>
    <n v="0.90183237309017106"/>
    <n v="1149.2530636745628"/>
    <n v="2100"/>
    <x v="282"/>
    <s v="&lt;Клиент не выбран&gt;"/>
    <s v="2023 09"/>
    <n v="950.74693632543722"/>
    <n v="0.82727378884296188"/>
  </r>
  <r>
    <s v="517058966"/>
    <s v="710000669496"/>
    <s v="iHerb_AV CYG0792"/>
    <s v="Доставлен"/>
    <d v="2023-03-09T00:00:00"/>
    <x v="9"/>
    <s v="Витамины"/>
    <s v="CGN-01033"/>
    <x v="1"/>
    <x v="1"/>
    <n v="17"/>
    <n v="-5.1000000000000005"/>
    <n v="0.89124994228194132"/>
    <n v="3.1234089875957679E-15"/>
    <n v="0.90183237309017106"/>
    <n v="1149.2530636745628"/>
    <n v="2200"/>
    <x v="283"/>
    <s v="&lt;Клиент не выбран&gt;"/>
    <s v="2023 09"/>
    <n v="1050.7469363254372"/>
    <n v="0.91428682640691239"/>
  </r>
  <r>
    <s v="517058966"/>
    <s v="710000669496"/>
    <s v="iHerb_AV CYG0792"/>
    <s v="Доставлен"/>
    <d v="2023-03-09T00:00:00"/>
    <x v="9"/>
    <s v="Витамины"/>
    <s v="CGN-01033"/>
    <x v="1"/>
    <x v="1"/>
    <n v="17"/>
    <n v="-5.1000000000000005"/>
    <n v="0.89124994228194132"/>
    <n v="3.1234089875957679E-15"/>
    <n v="0.90183237309017106"/>
    <n v="1149.2530636745628"/>
    <n v="2100"/>
    <x v="284"/>
    <s v="&lt;Клиент не выбран&gt;"/>
    <s v="2023 10"/>
    <n v="950.74693632543722"/>
    <n v="0.82727378884296188"/>
  </r>
  <r>
    <s v="517058966"/>
    <s v="710000669496"/>
    <s v="iHerb_AV CYG0792"/>
    <s v="Доставлен"/>
    <d v="2023-03-09T00:00:00"/>
    <x v="9"/>
    <s v="Витамины"/>
    <s v="NOW-02715"/>
    <x v="3"/>
    <x v="470"/>
    <n v="14.34"/>
    <n v="-7.17"/>
    <n v="0.53699681396315291"/>
    <n v="1.8819195328623243E-15"/>
    <n v="0.5433729508450863"/>
    <n v="692.44911483584997"/>
    <n v="2000"/>
    <x v="207"/>
    <s v="&lt;Клиент не выбран&gt;"/>
    <s v="2023 06"/>
    <n v="1307.55088516415"/>
    <n v="1.8882988759024038"/>
  </r>
  <r>
    <s v="517058966"/>
    <s v="710000669496"/>
    <s v="iHerb_AV CYG0792"/>
    <s v="Доставлен"/>
    <d v="2023-03-09T00:00:00"/>
    <x v="9"/>
    <s v="Витамины"/>
    <s v="NOW-00474"/>
    <x v="3"/>
    <x v="114"/>
    <n v="9.3699999999999992"/>
    <n v="-0.93500000000000005"/>
    <n v="0.63173892967631717"/>
    <n v="2.2139457823840591E-15"/>
    <n v="0.63924000563156236"/>
    <n v="814.6176127810869"/>
    <n v="1400"/>
    <x v="285"/>
    <s v="&lt;Клиент не выбран&gt;"/>
    <s v="2023 04"/>
    <n v="585.3823872189131"/>
    <n v="0.71859775437512363"/>
  </r>
  <r>
    <s v="517058966"/>
    <s v="710000669496"/>
    <s v="iHerb_AV CYG0792"/>
    <s v="Доставлен"/>
    <d v="2023-03-09T00:00:00"/>
    <x v="9"/>
    <s v="Витамины"/>
    <s v="NOW-00474"/>
    <x v="3"/>
    <x v="114"/>
    <n v="9.3699999999999992"/>
    <n v="-0.93500000000000005"/>
    <n v="0.63173892967631717"/>
    <n v="2.2139457823840591E-15"/>
    <n v="0.63924000563156236"/>
    <n v="814.6176127810869"/>
    <n v="1500"/>
    <x v="226"/>
    <s v="&lt;Клиент не выбран&gt;"/>
    <s v="2023 05"/>
    <n v="685.3823872189131"/>
    <n v="0.84135473683048967"/>
  </r>
  <r>
    <s v="517058966"/>
    <s v="710000669496"/>
    <s v="iHerb_AV CYG0792"/>
    <s v="Доставлен"/>
    <d v="2023-03-09T00:00:00"/>
    <x v="9"/>
    <s v="Косметика"/>
    <s v="NGN-68790"/>
    <x v="133"/>
    <x v="471"/>
    <n v="12.23"/>
    <n v="-2.4449999999999998"/>
    <n v="0.73284711640578115"/>
    <n v="2.5682820961029072E-15"/>
    <n v="0.74154872022582563"/>
    <n v="944.99506118114243"/>
    <m/>
    <x v="20"/>
    <m/>
    <s v=""/>
    <n v="-944.99506118114243"/>
    <s v=""/>
  </r>
  <r>
    <s v="517058966"/>
    <s v="710000669496"/>
    <s v="iHerb_AV CYG0792"/>
    <s v="Доставлен"/>
    <d v="2023-03-09T00:00:00"/>
    <x v="9"/>
    <s v="Косметика"/>
    <s v="NGN-68790"/>
    <x v="133"/>
    <x v="471"/>
    <n v="12.23"/>
    <n v="-2.4449999999999998"/>
    <n v="0.73284711640578115"/>
    <n v="2.5682820961029072E-15"/>
    <n v="0.74154872022582563"/>
    <n v="944.99506118114243"/>
    <m/>
    <x v="20"/>
    <m/>
    <s v=""/>
    <n v="-944.99506118114243"/>
    <s v=""/>
  </r>
  <r>
    <s v="517058966"/>
    <s v="710000669496"/>
    <s v="iHerb_AV CYG0792"/>
    <s v="Доставлен"/>
    <d v="2023-03-09T00:00:00"/>
    <x v="9"/>
    <s v="Витамины"/>
    <s v="CGN-01032"/>
    <x v="1"/>
    <x v="145"/>
    <n v="35"/>
    <n v="-10.5"/>
    <n v="1.8349263517569381"/>
    <n v="6.430547915638347E-15"/>
    <n v="1.8567137093032935"/>
    <n v="2366.1092487417468"/>
    <n v="3800"/>
    <x v="225"/>
    <s v="&lt;Клиент не выбран&gt;"/>
    <s v="2023 05"/>
    <n v="1433.8907512582532"/>
    <n v="0.60601206475177338"/>
  </r>
  <r>
    <s v="517058966"/>
    <s v="710000669496"/>
    <s v="iHerb_AV CYG0792"/>
    <s v="Доставлен"/>
    <d v="2023-03-09T00:00:00"/>
    <x v="9"/>
    <s v="Спортпит"/>
    <s v="UNN-03011"/>
    <x v="96"/>
    <x v="424"/>
    <n v="52.15"/>
    <n v="-13.04"/>
    <n v="2.9291416170291367"/>
    <n v="1.0265254244106765E-14"/>
    <n v="2.963921353912319"/>
    <n v="3777.082968093458"/>
    <n v="5500"/>
    <x v="259"/>
    <s v="&lt;Клиент не выбран&gt;"/>
    <s v="2023 07"/>
    <n v="1722.917031906542"/>
    <n v="0.45615016838674621"/>
  </r>
  <r>
    <s v="517058966"/>
    <s v="710000669496"/>
    <s v="iHerb_AV CYG0792"/>
    <s v="Доставлен"/>
    <d v="2023-03-09T00:00:00"/>
    <x v="9"/>
    <s v="Витамины"/>
    <s v="NOW-00373"/>
    <x v="3"/>
    <x v="239"/>
    <n v="11.7"/>
    <n v="-1.17"/>
    <n v="0.78864385648981872"/>
    <n v="2.7638232470070118E-15"/>
    <n v="0.79800797383525224"/>
    <n v="1016.9440975204325"/>
    <n v="1800"/>
    <x v="286"/>
    <s v="&lt;Клиент не выбран&gt;"/>
    <s v="2023 06"/>
    <n v="783.05590247956752"/>
    <n v="0.7700087983094217"/>
  </r>
  <r>
    <s v="OZA0078"/>
    <n v="0"/>
    <s v="OZON_AV"/>
    <s v="Доставлен"/>
    <d v="2023-03-06T00:00:00"/>
    <x v="9"/>
    <s v="Спортпит"/>
    <s v="572353524"/>
    <x v="134"/>
    <x v="472"/>
    <n v="197"/>
    <m/>
    <n v="0"/>
    <n v="19"/>
    <n v="32.4"/>
    <n v="248.4"/>
    <m/>
    <x v="20"/>
    <m/>
    <s v=""/>
    <n v="-248.4"/>
    <s v=""/>
  </r>
  <r>
    <s v="OZA0078"/>
    <n v="0"/>
    <s v="OZON_AV"/>
    <s v="Доставлен"/>
    <d v="2023-03-06T00:00:00"/>
    <x v="9"/>
    <s v="Спортпит"/>
    <s v="572353524"/>
    <x v="134"/>
    <x v="472"/>
    <n v="197"/>
    <m/>
    <n v="0"/>
    <n v="19"/>
    <n v="32.4"/>
    <n v="248.4"/>
    <m/>
    <x v="20"/>
    <m/>
    <s v=""/>
    <n v="-248.4"/>
    <s v=""/>
  </r>
  <r>
    <s v="709514966"/>
    <n v="0"/>
    <s v="CoralClub_OA"/>
    <s v="Доставлен"/>
    <d v="2023-03-13T00:00:00"/>
    <x v="9"/>
    <s v="Витамины"/>
    <s v="000002150"/>
    <x v="79"/>
    <x v="275"/>
    <n v="1420"/>
    <m/>
    <n v="0"/>
    <n v="30"/>
    <n v="0"/>
    <n v="1450"/>
    <n v="1800"/>
    <x v="194"/>
    <s v="&lt;Клиент не выбран&gt;"/>
    <s v="2023 05"/>
    <n v="350"/>
    <n v="0.2413793103448276"/>
  </r>
  <r>
    <s v="709514966"/>
    <n v="0"/>
    <s v="CoralClub_OA"/>
    <s v="Доставлен"/>
    <d v="2023-03-13T00:00:00"/>
    <x v="9"/>
    <s v="Витамины"/>
    <s v="000002150"/>
    <x v="79"/>
    <x v="275"/>
    <n v="1420"/>
    <m/>
    <n v="0"/>
    <n v="30"/>
    <n v="0"/>
    <n v="1450"/>
    <n v="1450"/>
    <x v="259"/>
    <s v="&lt;Клиент не выбран&gt;"/>
    <s v="2023 07"/>
    <n v="0"/>
    <n v="0"/>
  </r>
  <r>
    <s v="OZA0080"/>
    <n v="0"/>
    <s v="OZON_AV"/>
    <s v="Доставлен"/>
    <d v="2023-03-09T00:00:00"/>
    <x v="9"/>
    <s v="Спортпит"/>
    <s v="707636546"/>
    <x v="135"/>
    <x v="473"/>
    <n v="1008"/>
    <m/>
    <n v="0"/>
    <n v="0"/>
    <n v="151.19999999999999"/>
    <n v="1159.2"/>
    <n v="1600"/>
    <x v="220"/>
    <s v="&lt;Клиент не выбран&gt;"/>
    <s v="2023 03"/>
    <n v="440.79999999999995"/>
    <n v="0.38026224982746715"/>
  </r>
  <r>
    <s v="OZA0080"/>
    <n v="0"/>
    <s v="OZON_AV"/>
    <s v="Доставлен"/>
    <d v="2023-03-09T00:00:00"/>
    <x v="9"/>
    <s v="Спортпит"/>
    <s v="879350457"/>
    <x v="135"/>
    <x v="474"/>
    <n v="1039"/>
    <m/>
    <n v="0"/>
    <n v="0"/>
    <n v="155.85"/>
    <n v="1194.8499999999999"/>
    <n v="1700"/>
    <x v="220"/>
    <s v="&lt;Клиент не выбран&gt;"/>
    <s v="2023 03"/>
    <n v="505.15000000000009"/>
    <n v="0.42277273297903512"/>
  </r>
  <r>
    <s v="OZA0081"/>
    <n v="0"/>
    <s v="OZON_AV"/>
    <s v="Доставлен"/>
    <d v="2023-03-15T00:00:00"/>
    <x v="9"/>
    <s v="Спортпит"/>
    <s v="253451797"/>
    <x v="136"/>
    <x v="475"/>
    <n v="315"/>
    <m/>
    <n v="0"/>
    <n v="0"/>
    <n v="47.25"/>
    <n v="362.25"/>
    <n v="550"/>
    <x v="54"/>
    <s v="&lt;Клиент не выбран&gt;"/>
    <s v="2023 04"/>
    <n v="187.75"/>
    <n v="0.51828847481021389"/>
  </r>
  <r>
    <s v="OZA0081"/>
    <n v="0"/>
    <s v="OZON_AV"/>
    <s v="Доставлен"/>
    <d v="2023-03-15T00:00:00"/>
    <x v="9"/>
    <s v="Спортпит"/>
    <s v="253451797"/>
    <x v="136"/>
    <x v="475"/>
    <n v="315"/>
    <m/>
    <n v="0"/>
    <n v="0"/>
    <n v="47.25"/>
    <n v="362.25"/>
    <n v="500"/>
    <x v="253"/>
    <s v="&lt;Клиент не выбран&gt;"/>
    <s v="2023 05"/>
    <n v="137.75"/>
    <n v="0.3802622498274672"/>
  </r>
  <r>
    <s v="OZA0081"/>
    <n v="0"/>
    <s v="OZON_AV"/>
    <s v="Доставлен"/>
    <d v="2023-03-15T00:00:00"/>
    <x v="9"/>
    <s v="Спортпит"/>
    <s v="653844019"/>
    <x v="136"/>
    <x v="476"/>
    <n v="315"/>
    <m/>
    <n v="0"/>
    <n v="0"/>
    <n v="47.25"/>
    <n v="362.25"/>
    <n v="550"/>
    <x v="287"/>
    <s v="&lt;Клиент не выбран&gt;"/>
    <s v="2023 05"/>
    <n v="187.75"/>
    <n v="0.51828847481021389"/>
  </r>
  <r>
    <s v="OZA0081"/>
    <n v="0"/>
    <s v="OZON_AV"/>
    <s v="Доставлен"/>
    <d v="2023-03-15T00:00:00"/>
    <x v="9"/>
    <s v="Спортпит"/>
    <s v="653844019"/>
    <x v="136"/>
    <x v="476"/>
    <n v="315"/>
    <m/>
    <n v="0"/>
    <n v="0"/>
    <n v="47.25"/>
    <n v="362.25"/>
    <n v="550"/>
    <x v="288"/>
    <s v="&lt;Клиент не выбран&gt;"/>
    <s v="2023 06"/>
    <n v="187.75"/>
    <n v="0.51828847481021389"/>
  </r>
  <r>
    <s v="OZA0082"/>
    <n v="0"/>
    <s v="OZON_AV"/>
    <s v="Доставлен"/>
    <d v="2023-03-15T00:00:00"/>
    <x v="9"/>
    <s v="Спортпит"/>
    <s v="170918388"/>
    <x v="40"/>
    <x v="293"/>
    <n v="890"/>
    <m/>
    <n v="0"/>
    <n v="0"/>
    <n v="133.5"/>
    <n v="1023.5"/>
    <n v="1500"/>
    <x v="193"/>
    <s v="&lt;Клиент не выбран&gt;"/>
    <s v="2023 03"/>
    <n v="476.5"/>
    <n v="0.46555935515388375"/>
  </r>
  <r>
    <s v="OZA0082"/>
    <n v="0"/>
    <s v="OZON_AV"/>
    <s v="Доставлен"/>
    <d v="2023-03-15T00:00:00"/>
    <x v="9"/>
    <s v="Спортпит"/>
    <s v="170919152"/>
    <x v="40"/>
    <x v="109"/>
    <n v="890"/>
    <m/>
    <n v="0"/>
    <n v="0"/>
    <n v="133.5"/>
    <n v="1023.5"/>
    <n v="1500"/>
    <x v="220"/>
    <s v="&lt;Клиент не выбран&gt;"/>
    <s v="2023 03"/>
    <n v="476.5"/>
    <n v="0.46555935515388375"/>
  </r>
  <r>
    <s v="OZA0084"/>
    <n v="0"/>
    <s v="OZON_AV"/>
    <s v="Доставлен"/>
    <d v="2023-03-16T00:00:00"/>
    <x v="9"/>
    <s v="Спортпит"/>
    <s v="825959086"/>
    <x v="108"/>
    <x v="415"/>
    <n v="897"/>
    <m/>
    <n v="0"/>
    <n v="0"/>
    <n v="134.55000000000001"/>
    <n v="1031.55"/>
    <n v="1500"/>
    <x v="54"/>
    <s v="&lt;Клиент не выбран&gt;"/>
    <s v="2023 04"/>
    <n v="468.45000000000005"/>
    <n v="0.45412243710920464"/>
  </r>
  <r>
    <s v="OZA0084"/>
    <n v="0"/>
    <s v="OZON_AV"/>
    <s v="Доставлен"/>
    <d v="2023-03-16T00:00:00"/>
    <x v="9"/>
    <s v="Спортпит"/>
    <s v="626914560"/>
    <x v="108"/>
    <x v="477"/>
    <n v="897"/>
    <m/>
    <n v="0"/>
    <n v="0"/>
    <n v="134.55000000000001"/>
    <n v="1031.55"/>
    <n v="1500"/>
    <x v="289"/>
    <s v="&lt;Клиент не выбран&gt;"/>
    <s v="2023 03"/>
    <n v="468.45000000000005"/>
    <n v="0.45412243710920464"/>
  </r>
  <r>
    <s v="OZA0084"/>
    <n v="0"/>
    <s v="OZON_AV"/>
    <s v="Доставлен"/>
    <d v="2023-03-16T00:00:00"/>
    <x v="9"/>
    <s v="Спортпит"/>
    <s v="825481466"/>
    <x v="108"/>
    <x v="478"/>
    <n v="598"/>
    <m/>
    <n v="0"/>
    <n v="0"/>
    <n v="89.7"/>
    <n v="687.7"/>
    <n v="1300"/>
    <x v="289"/>
    <s v="&lt;Клиент не выбран&gt;"/>
    <s v="2023 03"/>
    <n v="612.29999999999995"/>
    <n v="0.89035916824196581"/>
  </r>
  <r>
    <s v="OZA0084"/>
    <n v="0"/>
    <s v="OZON_AV"/>
    <s v="Доставлен"/>
    <d v="2023-03-16T00:00:00"/>
    <x v="9"/>
    <s v="Спортпит"/>
    <s v="825481466"/>
    <x v="108"/>
    <x v="478"/>
    <n v="598"/>
    <m/>
    <n v="0"/>
    <n v="0"/>
    <n v="89.7"/>
    <n v="687.7"/>
    <n v="1300"/>
    <x v="289"/>
    <s v="&lt;Клиент не выбран&gt;"/>
    <s v="2023 03"/>
    <n v="612.29999999999995"/>
    <n v="0.89035916824196581"/>
  </r>
  <r>
    <s v="OZA0089"/>
    <n v="0"/>
    <s v="OZON_AV"/>
    <s v="Доставлен"/>
    <d v="2023-03-19T00:00:00"/>
    <x v="9"/>
    <s v="Витамины"/>
    <s v="017919762"/>
    <x v="49"/>
    <x v="211"/>
    <n v="338.33333333333331"/>
    <m/>
    <n v="0"/>
    <n v="0"/>
    <n v="50.749999999999993"/>
    <n v="389.08333333333331"/>
    <n v="750"/>
    <x v="191"/>
    <s v="&lt;Клиент не выбран&gt;"/>
    <s v="2023 04"/>
    <n v="360.91666666666669"/>
    <n v="0.92760762475904912"/>
  </r>
  <r>
    <s v="OZA0089"/>
    <n v="0"/>
    <s v="OZON_AV"/>
    <s v="Доставлен"/>
    <d v="2023-03-19T00:00:00"/>
    <x v="9"/>
    <s v="Витамины"/>
    <s v="017919762"/>
    <x v="49"/>
    <x v="211"/>
    <n v="338.33333333333331"/>
    <m/>
    <n v="0"/>
    <n v="0"/>
    <n v="50.749999999999993"/>
    <n v="389.08333333333331"/>
    <n v="700"/>
    <x v="223"/>
    <s v="&lt;Клиент не выбран&gt;"/>
    <s v="2023 08"/>
    <n v="310.91666666666669"/>
    <n v="0.79910044977511252"/>
  </r>
  <r>
    <s v="OZA0089"/>
    <n v="0"/>
    <s v="OZON_AV"/>
    <s v="Доставлен"/>
    <d v="2023-03-19T00:00:00"/>
    <x v="9"/>
    <s v="Витамины"/>
    <s v="017919762"/>
    <x v="49"/>
    <x v="211"/>
    <n v="338.33333333333331"/>
    <m/>
    <n v="0"/>
    <n v="0"/>
    <n v="50.749999999999993"/>
    <n v="389.08333333333331"/>
    <m/>
    <x v="20"/>
    <m/>
    <s v=""/>
    <n v="-389.08333333333331"/>
    <s v=""/>
  </r>
  <r>
    <s v="OZA0089"/>
    <n v="0"/>
    <s v="OZON_AV"/>
    <s v="Доставлен"/>
    <d v="2023-03-19T00:00:00"/>
    <x v="9"/>
    <s v="Витамины"/>
    <s v="818224809"/>
    <x v="49"/>
    <x v="479"/>
    <n v="368"/>
    <m/>
    <n v="0"/>
    <n v="0"/>
    <n v="55.199999999999996"/>
    <n v="423.2"/>
    <n v="800"/>
    <x v="173"/>
    <s v="&lt;Клиент не выбран&gt;"/>
    <s v="2023 03"/>
    <n v="376.8"/>
    <n v="0.89035916824196604"/>
  </r>
  <r>
    <s v="709570326"/>
    <n v="0"/>
    <s v="CoralClub_AV"/>
    <s v="Доставлен"/>
    <d v="2023-03-21T00:00:00"/>
    <x v="9"/>
    <s v="Витамины"/>
    <s v="000091859"/>
    <x v="79"/>
    <x v="480"/>
    <n v="1491"/>
    <m/>
    <n v="0"/>
    <n v="13.30813953488372"/>
    <n v="0"/>
    <n v="1504.3081395348838"/>
    <n v="1504.31"/>
    <x v="154"/>
    <s v="&lt;Клиент не выбран&gt;"/>
    <s v="2023 03"/>
    <n v="1.8604651161240326E-3"/>
    <n v="1.236757993411688E-6"/>
  </r>
  <r>
    <s v="709570326"/>
    <n v="0"/>
    <s v="CoralClub_AV"/>
    <s v="Доставлен"/>
    <d v="2023-03-21T00:00:00"/>
    <x v="9"/>
    <s v="Витамины"/>
    <s v="000091643"/>
    <x v="79"/>
    <x v="481"/>
    <n v="781"/>
    <m/>
    <n v="0"/>
    <n v="6.9709302325581399"/>
    <n v="0"/>
    <n v="787.97093023255809"/>
    <n v="1200"/>
    <x v="200"/>
    <s v="&lt;Клиент не выбран&gt;"/>
    <s v="2024 02"/>
    <n v="412.02906976744191"/>
    <n v="0.52289882019611755"/>
  </r>
  <r>
    <s v="709570326"/>
    <n v="0"/>
    <s v="CoralClub_AV"/>
    <s v="Доставлен"/>
    <d v="2023-03-21T00:00:00"/>
    <x v="9"/>
    <s v="Витамины"/>
    <s v="000091643"/>
    <x v="79"/>
    <x v="481"/>
    <n v="781"/>
    <m/>
    <n v="0"/>
    <n v="6.9709302325581399"/>
    <n v="0"/>
    <n v="787.97093023255809"/>
    <m/>
    <x v="20"/>
    <m/>
    <s v=""/>
    <n v="-787.97093023255809"/>
    <s v=""/>
  </r>
  <r>
    <s v="709570306"/>
    <n v="0"/>
    <s v="CoralClub_OA"/>
    <s v="Доставлен"/>
    <d v="2023-03-21T00:00:00"/>
    <x v="9"/>
    <s v="Витамины"/>
    <s v="000216904"/>
    <x v="79"/>
    <x v="482"/>
    <n v="4792.5"/>
    <m/>
    <n v="0"/>
    <n v="27.25"/>
    <n v="0"/>
    <n v="4819.75"/>
    <m/>
    <x v="20"/>
    <m/>
    <s v=""/>
    <n v="-4819.75"/>
    <s v=""/>
  </r>
  <r>
    <s v="517177468"/>
    <s v="710000681685"/>
    <s v="iHerb_AV CYG0792"/>
    <s v="Доставлен"/>
    <d v="2023-03-15T00:00:00"/>
    <x v="9"/>
    <s v="Витамины"/>
    <s v="DRB-00091"/>
    <x v="6"/>
    <x v="16"/>
    <n v="10.23"/>
    <n v="-1.5333333333333332"/>
    <n v="0.74730328983143013"/>
    <n v="-2.0161022268603602E-15"/>
    <n v="0.28217324087160428"/>
    <n v="817.14688662316462"/>
    <n v="1700"/>
    <x v="226"/>
    <s v="&lt;Клиент не выбран&gt;"/>
    <s v="2023 05"/>
    <n v="882.85311337683538"/>
    <n v="1.0804093215421768"/>
  </r>
  <r>
    <s v="517177468"/>
    <s v="710000681685"/>
    <s v="iHerb_AV CYG0792"/>
    <s v="Доставлен"/>
    <d v="2023-03-15T00:00:00"/>
    <x v="9"/>
    <s v="Витамины"/>
    <s v="DRB-00091"/>
    <x v="6"/>
    <x v="16"/>
    <n v="10.23"/>
    <n v="-1.5333333333333332"/>
    <n v="0.74730328983143013"/>
    <n v="-2.0161022268603602E-15"/>
    <n v="0.28217324087160428"/>
    <n v="817.14688662316462"/>
    <n v="817.15"/>
    <x v="159"/>
    <s v="&lt;Клиент не выбран&gt;"/>
    <s v="2023 04"/>
    <n v="3.1133768353583946E-3"/>
    <n v="3.8100577586782867E-6"/>
  </r>
  <r>
    <s v="517177468"/>
    <s v="710000681685"/>
    <s v="iHerb_AV CYG0792"/>
    <s v="Доставлен"/>
    <d v="2023-03-15T00:00:00"/>
    <x v="9"/>
    <s v="Витамины"/>
    <s v="DRB-00091"/>
    <x v="6"/>
    <x v="16"/>
    <n v="10.23"/>
    <n v="-1.5333333333333332"/>
    <n v="0.74730328983143013"/>
    <n v="-2.0161022268603602E-15"/>
    <n v="0.28217324087160428"/>
    <n v="817.14688662316462"/>
    <n v="1700"/>
    <x v="5"/>
    <s v="&lt;Клиент не выбран&gt;"/>
    <s v="2023 05"/>
    <n v="882.85311337683538"/>
    <n v="1.0804093215421768"/>
  </r>
  <r>
    <s v="517177468"/>
    <s v="710000681685"/>
    <s v="iHerb_AV CYG0792"/>
    <s v="Доставлен"/>
    <d v="2023-03-15T00:00:00"/>
    <x v="9"/>
    <s v="Витамины"/>
    <s v="NOW-01652"/>
    <x v="3"/>
    <x v="37"/>
    <n v="14.1"/>
    <n v="-2.1166666666666667"/>
    <n v="1.0297260739532352"/>
    <n v="-2.7780327733089281E-15"/>
    <n v="0.38881287885527682"/>
    <n v="1125.9651427406193"/>
    <n v="1800"/>
    <x v="266"/>
    <s v="&lt;Клиент не выбран&gt;"/>
    <s v="2024 03"/>
    <n v="674.03485725938071"/>
    <n v="0.59862852913791609"/>
  </r>
  <r>
    <s v="517177468"/>
    <s v="710000681685"/>
    <s v="iHerb_AV CYG0792"/>
    <s v="Доставлен"/>
    <d v="2023-03-15T00:00:00"/>
    <x v="9"/>
    <s v="Витамины"/>
    <s v="NOW-01652"/>
    <x v="3"/>
    <x v="37"/>
    <n v="14.1"/>
    <n v="-2.1166666666666667"/>
    <n v="1.0297260739532352"/>
    <n v="-2.7780327733089281E-15"/>
    <n v="0.38881287885527682"/>
    <n v="1125.9651427406193"/>
    <n v="1800"/>
    <x v="290"/>
    <s v="&lt;Клиент не выбран&gt;"/>
    <s v="2024 06"/>
    <n v="674.03485725938071"/>
    <n v="0.59862852913791609"/>
  </r>
  <r>
    <s v="517177468"/>
    <s v="710000681685"/>
    <s v="iHerb_AV CYG0792"/>
    <s v="Доставлен"/>
    <d v="2023-03-15T00:00:00"/>
    <x v="9"/>
    <s v="Витамины"/>
    <s v="NOW-01652"/>
    <x v="3"/>
    <x v="37"/>
    <n v="14.1"/>
    <n v="-2.1166666666666667"/>
    <n v="1.0297260739532352"/>
    <n v="-2.7780327733089281E-15"/>
    <n v="0.38881287885527682"/>
    <n v="1125.9651427406193"/>
    <n v="1700"/>
    <x v="291"/>
    <s v="&lt;Клиент не выбран&gt;"/>
    <s v="2024 04"/>
    <n v="574.03485725938071"/>
    <n v="0.50981583307469858"/>
  </r>
  <r>
    <s v="517177468"/>
    <s v="710000681685"/>
    <s v="iHerb_AV CYG0792"/>
    <s v="Доставлен"/>
    <d v="2023-03-15T00:00:00"/>
    <x v="9"/>
    <s v="Спортпит"/>
    <s v="UNN-03052"/>
    <x v="137"/>
    <x v="483"/>
    <n v="46.25"/>
    <n v="-6.94"/>
    <n v="3.3779025285481232"/>
    <n v="-9.1130293450993584E-15"/>
    <n v="1.2754576579527901"/>
    <n v="3693.6041525285473"/>
    <n v="5000"/>
    <x v="235"/>
    <s v="&lt;Клиент не выбран&gt;"/>
    <s v="2023 04"/>
    <n v="1306.3958474714527"/>
    <n v="0.35369135227366677"/>
  </r>
  <r>
    <s v="517177468"/>
    <s v="710000681685"/>
    <s v="iHerb_AV CYG0792"/>
    <s v="Доставлен"/>
    <d v="2023-03-15T00:00:00"/>
    <x v="9"/>
    <s v="Спортпит"/>
    <s v="UNN-03281"/>
    <x v="137"/>
    <x v="484"/>
    <n v="35.54"/>
    <n v="-5.33"/>
    <n v="2.5959408646003261"/>
    <n v="-7.0034244852569735E-15"/>
    <n v="0.9801978083631081"/>
    <n v="2838.5596908645998"/>
    <n v="4800"/>
    <x v="176"/>
    <s v="&lt;Клиент не выбран&gt;"/>
    <s v="2023 12"/>
    <n v="1961.4403091354002"/>
    <n v="0.6909984367945291"/>
  </r>
  <r>
    <s v="517177468"/>
    <s v="710000681685"/>
    <s v="iHerb_AV CYG0792"/>
    <s v="Доставлен"/>
    <d v="2023-03-15T00:00:00"/>
    <x v="9"/>
    <s v="Витамины"/>
    <s v="NOW-01662"/>
    <x v="3"/>
    <x v="122"/>
    <n v="25.37"/>
    <n v="-3.8050000000000002"/>
    <n v="1.8530772838499183"/>
    <n v="-4.9992998684067075E-15"/>
    <n v="0.69970095125291054"/>
    <n v="2026.2674522838495"/>
    <n v="3300"/>
    <x v="292"/>
    <s v="&lt;Клиент не выбран&gt;"/>
    <s v="2023 08"/>
    <n v="1273.7325477161505"/>
    <n v="0.6286102786088279"/>
  </r>
  <r>
    <s v="517177468"/>
    <s v="710000681685"/>
    <s v="iHerb_AV CYG0792"/>
    <s v="Доставлен"/>
    <d v="2023-03-15T00:00:00"/>
    <x v="9"/>
    <s v="Витамины"/>
    <s v="NOW-01662"/>
    <x v="3"/>
    <x v="122"/>
    <n v="25.37"/>
    <n v="-3.8050000000000002"/>
    <n v="1.8530772838499183"/>
    <n v="-4.9992998684067075E-15"/>
    <n v="0.69970095125291054"/>
    <n v="2026.2674522838495"/>
    <n v="3200"/>
    <x v="293"/>
    <s v="&lt;Клиент не выбран&gt;"/>
    <s v="2023 09"/>
    <n v="1173.7325477161505"/>
    <n v="0.57925845198431791"/>
  </r>
  <r>
    <s v="517177468"/>
    <s v="710000681685"/>
    <s v="iHerb_AV CYG0792"/>
    <s v="Доставлен"/>
    <d v="2023-03-15T00:00:00"/>
    <x v="9"/>
    <s v="Витамины"/>
    <s v="MRM-71301"/>
    <x v="37"/>
    <x v="116"/>
    <n v="5.68"/>
    <n v="-0.85"/>
    <n v="0.41504119086460028"/>
    <n v="-1.1197133486855737E-15"/>
    <n v="0.15671484324375412"/>
    <n v="453.83129119086448"/>
    <n v="1100"/>
    <x v="189"/>
    <s v="&lt;Клиент не выбран&gt;"/>
    <s v="2023 04"/>
    <n v="646.16870880913552"/>
    <n v="1.4238081889716616"/>
  </r>
  <r>
    <s v="517177468"/>
    <s v="710000681685"/>
    <s v="iHerb_AV CYG0792"/>
    <s v="Доставлен"/>
    <d v="2023-03-15T00:00:00"/>
    <x v="9"/>
    <s v="Витамины"/>
    <s v="MRM-71301"/>
    <x v="37"/>
    <x v="116"/>
    <n v="5.68"/>
    <n v="-0.85"/>
    <n v="0.41504119086460028"/>
    <n v="-1.1197133486855737E-15"/>
    <n v="0.15671484324375412"/>
    <n v="453.83129119086448"/>
    <n v="1000"/>
    <x v="294"/>
    <s v="&lt;Клиент не выбран&gt;"/>
    <s v="2023 04"/>
    <n v="546.16870880913552"/>
    <n v="1.2034619899742378"/>
  </r>
  <r>
    <s v="517177468"/>
    <s v="710000681685"/>
    <s v="iHerb_AV CYG0792"/>
    <s v="Доставлен"/>
    <d v="2023-03-15T00:00:00"/>
    <x v="9"/>
    <s v="Витамины"/>
    <s v="NOW-00105"/>
    <x v="3"/>
    <x v="485"/>
    <n v="10.79"/>
    <n v="-1.62"/>
    <n v="0.78797675367047282"/>
    <n v="-2.1258325895334799E-15"/>
    <n v="0.29753107920190996"/>
    <n v="861.62172675367003"/>
    <n v="1500"/>
    <x v="295"/>
    <s v="&lt;Клиент не выбран&gt;"/>
    <s v="2023 06"/>
    <n v="638.37827324632997"/>
    <n v="0.74090317528498983"/>
  </r>
  <r>
    <s v="517177468"/>
    <s v="710000681685"/>
    <s v="iHerb_AV CYG0792"/>
    <s v="Доставлен"/>
    <d v="2023-03-15T00:00:00"/>
    <x v="9"/>
    <s v="Витамины"/>
    <s v="NOW-00495"/>
    <x v="3"/>
    <x v="486"/>
    <n v="8.2200000000000006"/>
    <n v="-1.23"/>
    <n v="0.60064967373572586"/>
    <n v="-1.6204547220107992E-15"/>
    <n v="0.22679849984965658"/>
    <n v="656.78689967373555"/>
    <n v="1400"/>
    <x v="296"/>
    <s v="&lt;Клиент не выбран&gt;"/>
    <s v="2023 10"/>
    <n v="743.21310032626445"/>
    <n v="1.1315894100437476"/>
  </r>
  <r>
    <s v="517177468"/>
    <s v="710000681685"/>
    <s v="iHerb_AV CYG0792"/>
    <s v="Доставлен"/>
    <d v="2023-03-15T00:00:00"/>
    <x v="9"/>
    <s v="Спортпит"/>
    <s v="NRX-00741"/>
    <x v="53"/>
    <x v="161"/>
    <n v="13.82"/>
    <n v="-2.7650000000000001"/>
    <n v="0.94995452691680249"/>
    <n v="-2.5628221676436888E-15"/>
    <n v="0.35869204804548693"/>
    <n v="1038.7380795269164"/>
    <n v="2000"/>
    <x v="204"/>
    <s v="&lt;Клиент не выбран&gt;"/>
    <s v="2023 04"/>
    <n v="961.26192047308359"/>
    <n v="0.92541319069662042"/>
  </r>
  <r>
    <s v="517177468"/>
    <s v="710000681685"/>
    <s v="iHerb_AV CYG0792"/>
    <s v="Доставлен"/>
    <d v="2023-03-15T00:00:00"/>
    <x v="9"/>
    <s v="Спортпит"/>
    <s v="NRX-00741"/>
    <x v="53"/>
    <x v="161"/>
    <n v="13.82"/>
    <n v="-2.7650000000000001"/>
    <n v="0.94995452691680249"/>
    <n v="-2.5628221676436888E-15"/>
    <n v="0.35869204804548693"/>
    <n v="1038.7380795269164"/>
    <n v="2100"/>
    <x v="297"/>
    <s v="&lt;Клиент не выбран&gt;"/>
    <s v="2023 09"/>
    <n v="1061.2619204730836"/>
    <n v="1.0216838502314514"/>
  </r>
  <r>
    <s v="517177468"/>
    <s v="710000681685"/>
    <s v="iHerb_AV CYG0792"/>
    <s v="Доставлен"/>
    <d v="2023-03-15T00:00:00"/>
    <x v="9"/>
    <s v="Спортпит"/>
    <s v="NRX-00071"/>
    <x v="53"/>
    <x v="298"/>
    <n v="28.23"/>
    <n v="-5.65"/>
    <n v="1.9402960848287107"/>
    <n v="-5.2346019489275885E-15"/>
    <n v="0.73263378063022111"/>
    <n v="2121.6377960848281"/>
    <m/>
    <x v="20"/>
    <m/>
    <s v=""/>
    <n v="-2121.6377960848281"/>
    <s v=""/>
  </r>
  <r>
    <s v="517250093"/>
    <s v="710000688854"/>
    <s v="iHerb_AV CYG0792"/>
    <s v="Доставлен"/>
    <d v="2023-03-19T00:00:00"/>
    <x v="9"/>
    <s v="Витамины"/>
    <s v="CGN-01033"/>
    <x v="1"/>
    <x v="1"/>
    <n v="17"/>
    <n v="-5.0999999999999996"/>
    <n v="1.3383224928150057"/>
    <n v="2.5579968402798953E-15"/>
    <n v="0.71151090770090675"/>
    <n v="1179.45182271971"/>
    <n v="2200"/>
    <x v="298"/>
    <s v="&lt;Клиент не выбран&gt;"/>
    <s v="2023 11"/>
    <n v="1020.54817728029"/>
    <n v="0.86527330546405667"/>
  </r>
  <r>
    <s v="517250093"/>
    <s v="710000688854"/>
    <s v="iHerb_AV CYG0792"/>
    <s v="Доставлен"/>
    <d v="2023-03-19T00:00:00"/>
    <x v="9"/>
    <s v="Витамины"/>
    <s v="CGN-01033"/>
    <x v="1"/>
    <x v="1"/>
    <n v="17"/>
    <n v="-5.0999999999999996"/>
    <n v="1.3383224928150057"/>
    <n v="2.5579968402798953E-15"/>
    <n v="0.71151090770090675"/>
    <n v="1179.45182271971"/>
    <n v="2200"/>
    <x v="262"/>
    <s v="&lt;Клиент не выбран&gt;"/>
    <s v="2023 11"/>
    <n v="1020.54817728029"/>
    <n v="0.86527330546405667"/>
  </r>
  <r>
    <s v="517250093"/>
    <s v="710000688854"/>
    <s v="iHerb_AV CYG0792"/>
    <s v="Доставлен"/>
    <d v="2023-03-19T00:00:00"/>
    <x v="9"/>
    <s v="Витамины"/>
    <s v="CGN-01033"/>
    <x v="1"/>
    <x v="1"/>
    <n v="17"/>
    <n v="-5.0999999999999996"/>
    <n v="1.3383224928150057"/>
    <n v="2.5579968402798953E-15"/>
    <n v="0.71151090770090675"/>
    <n v="1179.45182271971"/>
    <n v="2200"/>
    <x v="299"/>
    <s v="&lt;Клиент не выбран&gt;"/>
    <s v="2023 12"/>
    <n v="1020.54817728029"/>
    <n v="0.86527330546405667"/>
  </r>
  <r>
    <s v="517250093"/>
    <s v="710000688854"/>
    <s v="iHerb_AV CYG0792"/>
    <s v="Доставлен"/>
    <d v="2023-03-19T00:00:00"/>
    <x v="9"/>
    <s v="Витамины"/>
    <s v="CGN-01033"/>
    <x v="1"/>
    <x v="1"/>
    <n v="17"/>
    <n v="-5.0999999999999996"/>
    <n v="1.3383224928150057"/>
    <n v="2.5579968402798953E-15"/>
    <n v="0.71151090770090675"/>
    <n v="1179.45182271971"/>
    <n v="2200"/>
    <x v="300"/>
    <s v="&lt;Клиент не выбран&gt;"/>
    <s v="2023 12"/>
    <n v="1020.54817728029"/>
    <n v="0.86527330546405667"/>
  </r>
  <r>
    <s v="517250093"/>
    <s v="710000688854"/>
    <s v="iHerb_AV CYG0792"/>
    <s v="Доставлен"/>
    <d v="2023-03-19T00:00:00"/>
    <x v="9"/>
    <s v="Витамины"/>
    <s v="CGN-01033"/>
    <x v="1"/>
    <x v="1"/>
    <n v="17"/>
    <n v="-5.0999999999999996"/>
    <n v="1.3383224928150057"/>
    <n v="2.5579968402798953E-15"/>
    <n v="0.71151090770090675"/>
    <n v="1179.45182271971"/>
    <n v="2200"/>
    <x v="300"/>
    <s v="&lt;Клиент не выбран&gt;"/>
    <s v="2023 12"/>
    <n v="1020.54817728029"/>
    <n v="0.86527330546405667"/>
  </r>
  <r>
    <s v="517250093"/>
    <s v="710000688854"/>
    <s v="iHerb_AV CYG0792"/>
    <s v="Доставлен"/>
    <d v="2023-03-19T00:00:00"/>
    <x v="9"/>
    <s v="Витамины"/>
    <s v="CGN-01266"/>
    <x v="1"/>
    <x v="487"/>
    <n v="22"/>
    <n v="-6.6"/>
    <n v="1.7319467554076542"/>
    <n v="3.3103488521269237E-15"/>
    <n v="0.92077882173058512"/>
    <n v="1526.3494176372717"/>
    <n v="2600"/>
    <x v="12"/>
    <s v="&lt;Клиент не выбран&gt;"/>
    <s v="2023 08"/>
    <n v="1073.6505823627283"/>
    <n v="0.70341074589899399"/>
  </r>
  <r>
    <s v="517250093"/>
    <s v="710000688854"/>
    <s v="iHerb_AV CYG0792"/>
    <s v="Доставлен"/>
    <d v="2023-03-19T00:00:00"/>
    <x v="9"/>
    <s v="Витамины"/>
    <s v="CGN-01266"/>
    <x v="1"/>
    <x v="487"/>
    <n v="22"/>
    <n v="-6.6"/>
    <n v="1.7319467554076542"/>
    <n v="3.3103488521269237E-15"/>
    <n v="0.92077882173058512"/>
    <n v="1526.3494176372717"/>
    <n v="2600"/>
    <x v="301"/>
    <s v="&lt;Клиент не выбран&gt;"/>
    <s v="2023 08"/>
    <n v="1073.6505823627283"/>
    <n v="0.70341074589899399"/>
  </r>
  <r>
    <s v="517250093"/>
    <s v="710000688854"/>
    <s v="iHerb_AV CYG0792"/>
    <s v="Доставлен"/>
    <d v="2023-03-19T00:00:00"/>
    <x v="9"/>
    <s v="Витамины"/>
    <s v="CGN-00956"/>
    <x v="1"/>
    <x v="305"/>
    <n v="14"/>
    <n v="-4.2"/>
    <n v="1.1021479352594163"/>
    <n v="2.1065856331716786E-15"/>
    <n v="0.58595015928309968"/>
    <n v="971.31326576917297"/>
    <n v="2000"/>
    <x v="302"/>
    <s v="&lt;Клиент не выбран&gt;"/>
    <s v="2023 08"/>
    <n v="1028.6867342308269"/>
    <n v="1.0590679346031793"/>
  </r>
  <r>
    <s v="517250093"/>
    <s v="710000688854"/>
    <s v="iHerb_AV CYG0792"/>
    <s v="Доставлен"/>
    <d v="2023-03-19T00:00:00"/>
    <x v="9"/>
    <s v="Витамины"/>
    <s v="CGN-00956"/>
    <x v="1"/>
    <x v="305"/>
    <n v="14"/>
    <n v="-4.2"/>
    <n v="1.1021479352594163"/>
    <n v="2.1065856331716786E-15"/>
    <n v="0.58595015928309968"/>
    <n v="971.31326576917297"/>
    <n v="2200"/>
    <x v="270"/>
    <s v="&lt;Клиент не выбран&gt;"/>
    <s v="2023 10"/>
    <n v="1228.6867342308269"/>
    <n v="1.2649747280634971"/>
  </r>
  <r>
    <s v="517250093"/>
    <s v="710000688854"/>
    <s v="iHerb_AV CYG0792"/>
    <s v="Доставлен"/>
    <d v="2023-03-19T00:00:00"/>
    <x v="9"/>
    <s v="Косметика"/>
    <s v="MSH-44928"/>
    <x v="42"/>
    <x v="125"/>
    <n v="9.92"/>
    <n v="-2.48"/>
    <n v="0.83673271819694461"/>
    <n v="1.5992854194691108E-15"/>
    <n v="0.44484379439451643"/>
    <n v="737.40517319618846"/>
    <n v="1000"/>
    <x v="224"/>
    <s v="&lt;Клиент не выбран&gt;"/>
    <s v="2023 06"/>
    <n v="262.59482680381154"/>
    <n v="0.35610656983273908"/>
  </r>
  <r>
    <s v="517250093"/>
    <s v="710000688854"/>
    <s v="iHerb_AV CYG0792"/>
    <s v="Доставлен"/>
    <d v="2023-03-19T00:00:00"/>
    <x v="9"/>
    <s v="Косметика"/>
    <s v="MSH-44928"/>
    <x v="42"/>
    <x v="125"/>
    <n v="9.92"/>
    <n v="-2.48"/>
    <n v="0.83673271819694461"/>
    <n v="1.5992854194691108E-15"/>
    <n v="0.44484379439451643"/>
    <n v="737.40517319618846"/>
    <n v="1500"/>
    <x v="303"/>
    <s v="&lt;Клиент не выбран&gt;"/>
    <s v="2024 10"/>
    <n v="762.59482680381154"/>
    <n v="1.0341598547491087"/>
  </r>
  <r>
    <s v="517250093"/>
    <s v="710000688854"/>
    <s v="iHerb_AV CYG0792"/>
    <s v="Доставлен"/>
    <d v="2023-03-19T00:00:00"/>
    <x v="9"/>
    <s v="Косметика"/>
    <s v="MSH-44928"/>
    <x v="42"/>
    <x v="125"/>
    <n v="9.92"/>
    <n v="-2.48"/>
    <n v="0.83673271819694461"/>
    <n v="1.5992854194691108E-15"/>
    <n v="0.44484379439451643"/>
    <n v="737.40517319618846"/>
    <m/>
    <x v="20"/>
    <m/>
    <s v=""/>
    <n v="-737.40517319618846"/>
    <s v=""/>
  </r>
  <r>
    <s v="517153116"/>
    <s v="710000677963"/>
    <s v="iHerb_OA CZN6870"/>
    <s v="Доставлен"/>
    <d v="2023-03-14T00:00:00"/>
    <x v="9"/>
    <s v="Витамины"/>
    <s v="DRB-00091"/>
    <x v="6"/>
    <x v="16"/>
    <n v="10.23"/>
    <n v="-1.5333333333333332"/>
    <n v="0.6254026169718776"/>
    <n v="-1.1401546797042307E-15"/>
    <n v="0.65696638865146673"/>
    <n v="839.36452588526527"/>
    <n v="1600"/>
    <x v="117"/>
    <s v="&lt;Клиент не выбран&gt;"/>
    <s v="2023 06"/>
    <n v="760.63547411473473"/>
    <n v="0.90620398010328562"/>
  </r>
  <r>
    <s v="517153116"/>
    <s v="710000677963"/>
    <s v="iHerb_OA CZN6870"/>
    <s v="Доставлен"/>
    <d v="2023-03-14T00:00:00"/>
    <x v="9"/>
    <s v="Витамины"/>
    <s v="DRB-00091"/>
    <x v="6"/>
    <x v="16"/>
    <n v="10.23"/>
    <n v="-1.5333333333333332"/>
    <n v="0.6254026169718776"/>
    <n v="-1.1401546797042307E-15"/>
    <n v="0.65696638865146673"/>
    <n v="839.36452588526527"/>
    <n v="1600"/>
    <x v="117"/>
    <s v="&lt;Клиент не выбран&gt;"/>
    <s v="2023 06"/>
    <n v="760.63547411473473"/>
    <n v="0.90620398010328562"/>
  </r>
  <r>
    <s v="517153116"/>
    <s v="710000677963"/>
    <s v="iHerb_OA CZN6870"/>
    <s v="Доставлен"/>
    <d v="2023-03-14T00:00:00"/>
    <x v="9"/>
    <s v="Витамины"/>
    <s v="DRB-00091"/>
    <x v="6"/>
    <x v="16"/>
    <n v="10.23"/>
    <n v="-1.5333333333333332"/>
    <n v="0.6254026169718776"/>
    <n v="-1.1401546797042307E-15"/>
    <n v="0.65696638865146673"/>
    <n v="839.36452588526527"/>
    <n v="1600"/>
    <x v="242"/>
    <s v="&lt;Клиент не выбран&gt;"/>
    <s v="2023 08"/>
    <n v="760.63547411473473"/>
    <n v="0.90620398010328562"/>
  </r>
  <r>
    <s v="517153116"/>
    <s v="710000677963"/>
    <s v="iHerb_OA CZN6870"/>
    <s v="Доставлен"/>
    <d v="2023-03-14T00:00:00"/>
    <x v="9"/>
    <s v="Витамины"/>
    <s v="NAP-01480"/>
    <x v="11"/>
    <x v="488"/>
    <n v="7.51"/>
    <n v="-1.125"/>
    <n v="0.45916393745098943"/>
    <n v="-8.3708941700783971E-16"/>
    <n v="0.48233772229278826"/>
    <n v="616.252491120439"/>
    <n v="1500"/>
    <x v="294"/>
    <s v="&lt;Клиент не выбран&gt;"/>
    <s v="2023 04"/>
    <n v="883.747508879561"/>
    <n v="1.4340672396679097"/>
  </r>
  <r>
    <s v="517153116"/>
    <s v="710000677963"/>
    <s v="iHerb_OA CZN6870"/>
    <s v="Доставлен"/>
    <d v="2023-03-14T00:00:00"/>
    <x v="9"/>
    <s v="Витамины"/>
    <s v="NAP-01480"/>
    <x v="11"/>
    <x v="488"/>
    <n v="7.51"/>
    <n v="-1.125"/>
    <n v="0.45916393745098943"/>
    <n v="-8.3708941700783971E-16"/>
    <n v="0.48233772229278826"/>
    <n v="616.252491120439"/>
    <n v="1400"/>
    <x v="130"/>
    <s v="&lt;Клиент не выбран&gt;"/>
    <s v="2023 09"/>
    <n v="783.747508879561"/>
    <n v="1.2717960903567158"/>
  </r>
  <r>
    <s v="517153116"/>
    <s v="710000677963"/>
    <s v="iHerb_OA CZN6870"/>
    <s v="Доставлен"/>
    <d v="2023-03-14T00:00:00"/>
    <x v="9"/>
    <s v="Витамины"/>
    <s v="NOW-01662"/>
    <x v="3"/>
    <x v="122"/>
    <n v="25.37"/>
    <n v="-3.8066666666666666"/>
    <n v="1.5506820732813629"/>
    <n v="-2.8270067546978414E-15"/>
    <n v="1.6289442576413715"/>
    <n v="2081.1993552900653"/>
    <n v="3500"/>
    <x v="304"/>
    <s v="&lt;Клиент не выбран&gt;"/>
    <s v="2023 09"/>
    <n v="1418.8006447099347"/>
    <n v="0.68172260437404886"/>
  </r>
  <r>
    <s v="517153116"/>
    <s v="710000677963"/>
    <s v="iHerb_OA CZN6870"/>
    <s v="Доставлен"/>
    <d v="2023-03-14T00:00:00"/>
    <x v="9"/>
    <s v="Витамины"/>
    <s v="NOW-01662"/>
    <x v="3"/>
    <x v="122"/>
    <n v="25.37"/>
    <n v="-3.8066666666666666"/>
    <n v="1.5506820732813629"/>
    <n v="-2.8270067546978414E-15"/>
    <n v="1.6289442576413715"/>
    <n v="2081.1993552900653"/>
    <n v="3400"/>
    <x v="305"/>
    <s v="&lt;Клиент не выбран&gt;"/>
    <s v="2023 09"/>
    <n v="1318.8006447099347"/>
    <n v="0.63367338710621879"/>
  </r>
  <r>
    <s v="517153116"/>
    <s v="710000677963"/>
    <s v="iHerb_OA CZN6870"/>
    <s v="Доставлен"/>
    <d v="2023-03-14T00:00:00"/>
    <x v="9"/>
    <s v="Витамины"/>
    <s v="NOW-01662"/>
    <x v="3"/>
    <x v="122"/>
    <n v="25.37"/>
    <n v="-3.8066666666666666"/>
    <n v="1.5506820732813629"/>
    <n v="-2.8270067546978414E-15"/>
    <n v="1.6289442576413715"/>
    <n v="2081.1993552900653"/>
    <n v="3500"/>
    <x v="125"/>
    <s v="&lt;Клиент не выбран&gt;"/>
    <s v="2023 11"/>
    <n v="1418.8006447099347"/>
    <n v="0.68172260437404886"/>
  </r>
  <r>
    <s v="517153116"/>
    <s v="710000677963"/>
    <s v="iHerb_OA CZN6870"/>
    <s v="Доставлен"/>
    <d v="2023-03-14T00:00:00"/>
    <x v="9"/>
    <s v="Витамины"/>
    <s v="NAP-37691"/>
    <x v="11"/>
    <x v="352"/>
    <n v="9.5399999999999991"/>
    <n v="-1.43"/>
    <n v="0.58321370911942427"/>
    <n v="-1.0632412172174753E-15"/>
    <n v="0.61264822674933628"/>
    <n v="782.74200516628957"/>
    <n v="1600"/>
    <x v="251"/>
    <s v="&lt;Клиент не выбран&gt;"/>
    <s v="2023 04"/>
    <n v="817.25799483371043"/>
    <n v="1.0440962532221432"/>
  </r>
  <r>
    <s v="517153116"/>
    <s v="710000677963"/>
    <s v="iHerb_OA CZN6870"/>
    <s v="Доставлен"/>
    <d v="2023-03-14T00:00:00"/>
    <x v="9"/>
    <s v="Витамины"/>
    <s v="NAP-37691"/>
    <x v="11"/>
    <x v="352"/>
    <n v="9.5399999999999991"/>
    <n v="-1.43"/>
    <n v="0.58321370911942427"/>
    <n v="-1.0632412172174753E-15"/>
    <n v="0.61264822674933628"/>
    <n v="782.74200516628957"/>
    <n v="1800"/>
    <x v="306"/>
    <s v="&lt;Клиент не выбран&gt;"/>
    <s v="2024 04"/>
    <n v="1017.2579948337104"/>
    <n v="1.2996082848749111"/>
  </r>
  <r>
    <s v="517153116"/>
    <s v="710000677963"/>
    <s v="iHerb_OA CZN6870"/>
    <s v="Доставлен"/>
    <d v="2023-03-14T00:00:00"/>
    <x v="9"/>
    <s v="Витамины"/>
    <s v="YOU-00303"/>
    <x v="71"/>
    <x v="422"/>
    <n v="22.3"/>
    <n v="-3.35"/>
    <n v="1.3627496655749802"/>
    <n v="-2.4843922399841132E-15"/>
    <n v="1.4315269909864272"/>
    <n v="1828.9717629964478"/>
    <n v="3000"/>
    <x v="31"/>
    <s v="&lt;Клиент не выбран&gt;"/>
    <s v="2023 09"/>
    <n v="1171.0282370035522"/>
    <n v="0.64026589185009009"/>
  </r>
  <r>
    <s v="517153116"/>
    <s v="710000677963"/>
    <s v="iHerb_OA CZN6870"/>
    <s v="Доставлен"/>
    <d v="2023-03-14T00:00:00"/>
    <x v="9"/>
    <s v="Витамины"/>
    <s v="OAD-56862"/>
    <x v="17"/>
    <x v="394"/>
    <n v="19.46"/>
    <n v="-2.92"/>
    <n v="1.1894395497947323"/>
    <n v="-2.168435232154999E-15"/>
    <n v="1.2494699963543801"/>
    <n v="1596.3690216338389"/>
    <n v="2800"/>
    <x v="307"/>
    <s v="&lt;Клиент не выбран&gt;"/>
    <s v="2023 07"/>
    <n v="1203.6309783661611"/>
    <n v="0.753980415589798"/>
  </r>
  <r>
    <s v="517153116"/>
    <s v="710000677963"/>
    <s v="iHerb_OA CZN6870"/>
    <s v="Доставлен"/>
    <d v="2023-03-14T00:00:00"/>
    <x v="9"/>
    <s v="Витамины"/>
    <s v="CAL-13463"/>
    <x v="138"/>
    <x v="489"/>
    <n v="19.84"/>
    <n v="-2.98"/>
    <n v="1.2124516813506157"/>
    <n v="-2.2103880298750472E-15"/>
    <n v="1.2736435392100875"/>
    <n v="1627.2540329350979"/>
    <n v="2800"/>
    <x v="308"/>
    <s v="&lt;Клиент не выбран&gt;"/>
    <s v="2024 02"/>
    <n v="1172.7459670649021"/>
    <n v="0.72069015859165264"/>
  </r>
  <r>
    <s v="517153116"/>
    <s v="710000677963"/>
    <s v="iHerb_OA CZN6870"/>
    <s v="Доставлен"/>
    <d v="2023-03-14T00:00:00"/>
    <x v="9"/>
    <s v="Витамины"/>
    <s v="CAL-13462"/>
    <x v="138"/>
    <x v="490"/>
    <n v="11.84"/>
    <n v="-1.78"/>
    <n v="0.72344388578808994"/>
    <n v="-1.3188910783240201E-15"/>
    <n v="0.75995575352630385"/>
    <n v="970.94754278333858"/>
    <n v="1700"/>
    <x v="309"/>
    <s v="&lt;Клиент не выбран&gt;"/>
    <s v="2024 09"/>
    <n v="729.05245721666142"/>
    <n v="0.75086698826874243"/>
  </r>
  <r>
    <s v="517153116"/>
    <s v="710000677963"/>
    <s v="iHerb_OA CZN6870"/>
    <s v="Доставлен"/>
    <d v="2023-03-14T00:00:00"/>
    <x v="9"/>
    <s v="Витамины"/>
    <s v="NOW-02715"/>
    <x v="3"/>
    <x v="470"/>
    <n v="14.34"/>
    <n v="-7.17"/>
    <n v="0.51561557267401636"/>
    <n v="-9.4000487391483328E-16"/>
    <n v="0.54163844461069566"/>
    <n v="692.01728446884067"/>
    <n v="1900"/>
    <x v="245"/>
    <s v="&lt;Клиент не выбран&gt;"/>
    <s v="2023 07"/>
    <n v="1207.9827155311593"/>
    <n v="1.7455961616021614"/>
  </r>
  <r>
    <s v="517153116"/>
    <s v="710000677963"/>
    <s v="iHerb_OA CZN6870"/>
    <s v="Доставлен"/>
    <d v="2023-03-14T00:00:00"/>
    <x v="9"/>
    <s v="Витамины"/>
    <s v="NOW-04603"/>
    <x v="3"/>
    <x v="147"/>
    <n v="8.82"/>
    <n v="-1.32"/>
    <n v="0.53934683334102129"/>
    <n v="-9.8326869656363309E-16"/>
    <n v="0.56656741068064398"/>
    <n v="723.86745237326431"/>
    <n v="1500"/>
    <x v="310"/>
    <s v="&lt;Клиент не выбран&gt;"/>
    <s v="2023 11"/>
    <n v="776.13254762673569"/>
    <n v="1.0722025767039471"/>
  </r>
  <r>
    <s v="517153116"/>
    <s v="710000677963"/>
    <s v="iHerb_OA CZN6870"/>
    <s v="Доставлен"/>
    <d v="2023-03-14T00:00:00"/>
    <x v="9"/>
    <s v="Витамины"/>
    <s v="NOW-00474"/>
    <x v="3"/>
    <x v="114"/>
    <n v="9.3699999999999992"/>
    <n v="-1.41"/>
    <n v="0.57242677245260387"/>
    <n v="-1.0435758432862025E-15"/>
    <n v="0.60131687853572346"/>
    <n v="768.26465611882429"/>
    <n v="1500"/>
    <x v="178"/>
    <s v="&lt;Клиент не выбран&gt;"/>
    <s v="2023 05"/>
    <n v="731.73534388117571"/>
    <n v="0.95245217654266434"/>
  </r>
  <r>
    <s v="517153116"/>
    <s v="710000677963"/>
    <s v="iHerb_OA CZN6870"/>
    <s v="Доставлен"/>
    <d v="2023-03-14T00:00:00"/>
    <x v="9"/>
    <s v="Витамины"/>
    <s v="NOW-01652"/>
    <x v="3"/>
    <x v="37"/>
    <n v="14.1"/>
    <n v="-2.12"/>
    <n v="0.86151667512339136"/>
    <n v="-1.5706078646443102E-15"/>
    <n v="0.90499701066054872"/>
    <n v="1156.2576105908943"/>
    <n v="1700"/>
    <x v="311"/>
    <s v="&lt;Клиент не выбран&gt;"/>
    <s v="2024 05"/>
    <n v="543.74238940910573"/>
    <n v="0.47026059281999572"/>
  </r>
  <r>
    <s v="517249297"/>
    <s v="710000688945"/>
    <s v="iHerb_OA CZN6870"/>
    <s v="Доставлен"/>
    <d v="2023-03-19T00:00:00"/>
    <x v="9"/>
    <s v="Витамины"/>
    <s v="NWY-14000"/>
    <x v="16"/>
    <x v="491"/>
    <n v="10.24"/>
    <n v="-1.02"/>
    <n v="0.54744092150575951"/>
    <n v="1.5559206801349306E-15"/>
    <n v="0.43073787377134698"/>
    <n v="866.34277639235279"/>
    <n v="1700"/>
    <x v="235"/>
    <s v="&lt;Клиент не выбран&gt;"/>
    <s v="2023 04"/>
    <n v="833.65722360764721"/>
    <n v="0.96227180086753239"/>
  </r>
  <r>
    <s v="517249297"/>
    <s v="710000688945"/>
    <s v="iHerb_OA CZN6870"/>
    <s v="Доставлен"/>
    <d v="2023-03-19T00:00:00"/>
    <x v="9"/>
    <s v="Косметика"/>
    <s v="ARH-19744"/>
    <x v="29"/>
    <x v="65"/>
    <n v="4.07"/>
    <n v="-0.41"/>
    <n v="0.21731385821161389"/>
    <n v="6.1764313332905055E-16"/>
    <n v="0.17098705184415725"/>
    <n v="343.90613466334179"/>
    <n v="700"/>
    <x v="285"/>
    <s v="&lt;Клиент не выбран&gt;"/>
    <s v="2023 04"/>
    <n v="356.09386533665821"/>
    <n v="1.0354391197041231"/>
  </r>
  <r>
    <s v="517249297"/>
    <s v="710000688945"/>
    <s v="iHerb_OA CZN6870"/>
    <s v="Доставлен"/>
    <d v="2023-03-19T00:00:00"/>
    <x v="9"/>
    <s v="Косметика"/>
    <s v="ARH-19020"/>
    <x v="29"/>
    <x v="492"/>
    <n v="5.17"/>
    <n v="-0.52"/>
    <n v="0.27609547559672254"/>
    <n v="7.8471053824592497E-16"/>
    <n v="0.21723764783478997"/>
    <n v="436.92992518703261"/>
    <n v="800"/>
    <x v="269"/>
    <s v="&lt;Клиент не выбран&gt;"/>
    <s v="2023 04"/>
    <n v="363.07007481296739"/>
    <n v="0.83095721735596684"/>
  </r>
  <r>
    <s v="517249297"/>
    <s v="710000688945"/>
    <s v="iHerb_OA CZN6870"/>
    <s v="Доставлен"/>
    <d v="2023-03-19T00:00:00"/>
    <x v="9"/>
    <s v="Витамины"/>
    <s v="NOW-01648"/>
    <x v="3"/>
    <x v="32"/>
    <n v="14.08"/>
    <n v="-2.8166666666666664"/>
    <n v="0.66876459644539465"/>
    <n v="1.9007433037512403E-15"/>
    <n v="0.52619785808871344"/>
    <n v="1058.3413743419233"/>
    <n v="1700"/>
    <x v="311"/>
    <s v="&lt;Клиент не выбран&gt;"/>
    <s v="2024 05"/>
    <n v="641.65862565807674"/>
    <n v="0.60628700834554461"/>
  </r>
  <r>
    <s v="517249297"/>
    <s v="710000688945"/>
    <s v="iHerb_OA CZN6870"/>
    <s v="Доставлен"/>
    <d v="2023-03-19T00:00:00"/>
    <x v="9"/>
    <s v="Витамины"/>
    <s v="NOW-01648"/>
    <x v="3"/>
    <x v="32"/>
    <n v="14.08"/>
    <n v="-2.8166666666666664"/>
    <n v="0.66876459644539465"/>
    <n v="1.9007433037512403E-15"/>
    <n v="0.52619785808871344"/>
    <n v="1058.3413743419233"/>
    <n v="1800"/>
    <x v="312"/>
    <s v="&lt;Клиент не выбран&gt;"/>
    <s v="2024 07"/>
    <n v="741.65862565807674"/>
    <n v="0.70077447942469429"/>
  </r>
  <r>
    <s v="517249297"/>
    <s v="710000688945"/>
    <s v="iHerb_OA CZN6870"/>
    <s v="Доставлен"/>
    <d v="2023-03-19T00:00:00"/>
    <x v="9"/>
    <s v="Витамины"/>
    <s v="NOW-01648"/>
    <x v="3"/>
    <x v="32"/>
    <n v="14.08"/>
    <n v="-2.8166666666666664"/>
    <n v="0.66876459644539465"/>
    <n v="1.9007433037512403E-15"/>
    <n v="0.52619785808871344"/>
    <n v="1058.3413743419233"/>
    <n v="1800"/>
    <x v="313"/>
    <s v="&lt;Клиент не выбран&gt;"/>
    <s v="2024 10"/>
    <n v="741.65862565807674"/>
    <n v="0.70077447942469429"/>
  </r>
  <r>
    <s v="517249297"/>
    <s v="710000688945"/>
    <s v="iHerb_OA CZN6870"/>
    <s v="Доставлен"/>
    <d v="2023-03-19T00:00:00"/>
    <x v="9"/>
    <s v="Витамины"/>
    <s v="NOW-01841"/>
    <x v="3"/>
    <x v="252"/>
    <n v="24.04"/>
    <n v="-2.4049999999999998"/>
    <n v="1.2845861536634604"/>
    <n v="3.651013439774319E-15"/>
    <n v="1.010739034603372"/>
    <n v="2032.8986949293439"/>
    <n v="3200"/>
    <x v="146"/>
    <s v="&lt;Клиент не выбран&gt;"/>
    <s v="2023 07"/>
    <n v="1167.1013050706561"/>
    <n v="0.57410696754430268"/>
  </r>
  <r>
    <s v="517249297"/>
    <s v="710000688945"/>
    <s v="iHerb_OA CZN6870"/>
    <s v="Доставлен"/>
    <d v="2023-03-19T00:00:00"/>
    <x v="9"/>
    <s v="Витамины"/>
    <s v="NOW-01841"/>
    <x v="3"/>
    <x v="252"/>
    <n v="24.04"/>
    <n v="-2.4049999999999998"/>
    <n v="1.2845861536634604"/>
    <n v="3.651013439774319E-15"/>
    <n v="1.010739034603372"/>
    <n v="2032.8986949293439"/>
    <n v="3200"/>
    <x v="242"/>
    <s v="&lt;Клиент не выбран&gt;"/>
    <s v="2023 08"/>
    <n v="1167.1013050706561"/>
    <n v="0.57410696754430268"/>
  </r>
  <r>
    <s v="517249297"/>
    <s v="710000688945"/>
    <s v="iHerb_OA CZN6870"/>
    <s v="Доставлен"/>
    <d v="2023-03-19T00:00:00"/>
    <x v="9"/>
    <s v="Витамины"/>
    <s v="NBC-01016"/>
    <x v="8"/>
    <x v="97"/>
    <n v="7.88"/>
    <n v="-0.79"/>
    <n v="0.42097138107113186"/>
    <n v="1.1964726271319585E-15"/>
    <n v="0.3312290157308948"/>
    <n v="666.20068162926043"/>
    <n v="1300"/>
    <x v="5"/>
    <s v="&lt;Клиент не выбран&gt;"/>
    <s v="2023 05"/>
    <n v="633.79931837073957"/>
    <n v="0.95136395961156917"/>
  </r>
  <r>
    <s v="517249297"/>
    <s v="710000688945"/>
    <s v="iHerb_OA CZN6870"/>
    <s v="Доставлен"/>
    <d v="2023-03-19T00:00:00"/>
    <x v="9"/>
    <s v="Витамины"/>
    <s v="NBC-01016"/>
    <x v="8"/>
    <x v="97"/>
    <n v="7.88"/>
    <n v="-0.79"/>
    <n v="0.42097138107113186"/>
    <n v="1.1964726271319585E-15"/>
    <n v="0.3312290157308948"/>
    <n v="666.20068162926043"/>
    <n v="1200"/>
    <x v="100"/>
    <s v="&lt;Клиент не выбран&gt;"/>
    <s v="2023 05"/>
    <n v="533.79931837073957"/>
    <n v="0.80125903964144851"/>
  </r>
  <r>
    <s v="517249297"/>
    <s v="710000688945"/>
    <s v="iHerb_OA CZN6870"/>
    <s v="Доставлен"/>
    <d v="2023-03-19T00:00:00"/>
    <x v="9"/>
    <s v="Витамины"/>
    <s v="CEN-21434"/>
    <x v="2"/>
    <x v="110"/>
    <n v="5.41"/>
    <n v="-0.54"/>
    <n v="0.28915805723785781"/>
    <n v="8.218366282274525E-16"/>
    <n v="0.22751555805493054"/>
    <n v="457.60187863674162"/>
    <n v="1100"/>
    <x v="204"/>
    <s v="&lt;Клиент не выбран&gt;"/>
    <s v="2023 04"/>
    <n v="642.39812136325838"/>
    <n v="1.4038362851067177"/>
  </r>
  <r>
    <s v="517249297"/>
    <s v="710000688945"/>
    <s v="iHerb_OA CZN6870"/>
    <s v="Доставлен"/>
    <d v="2023-03-19T00:00:00"/>
    <x v="9"/>
    <s v="Витамины"/>
    <s v="CEN-21434"/>
    <x v="2"/>
    <x v="110"/>
    <n v="5.41"/>
    <n v="-0.54"/>
    <n v="0.28915805723785781"/>
    <n v="8.218366282274525E-16"/>
    <n v="0.22751555805493054"/>
    <n v="457.60187863674162"/>
    <n v="1200"/>
    <x v="279"/>
    <s v="&lt;Клиент не выбран&gt;"/>
    <s v="2023 04"/>
    <n v="742.39812136325838"/>
    <n v="1.6223668564800555"/>
  </r>
  <r>
    <s v="517249297"/>
    <s v="710000688945"/>
    <s v="iHerb_OA CZN6870"/>
    <s v="Доставлен"/>
    <d v="2023-03-19T00:00:00"/>
    <x v="9"/>
    <s v="Витамины"/>
    <s v="CEN-21434"/>
    <x v="2"/>
    <x v="110"/>
    <n v="5.41"/>
    <n v="-0.54"/>
    <n v="0.28915805723785781"/>
    <n v="8.218366282274525E-16"/>
    <n v="0.22751555805493054"/>
    <n v="457.60187863674162"/>
    <n v="1100"/>
    <x v="151"/>
    <s v="&lt;Клиент не выбран&gt;"/>
    <s v="2023 09"/>
    <n v="642.39812136325838"/>
    <n v="1.4038362851067177"/>
  </r>
  <r>
    <s v="517249297"/>
    <s v="710000688945"/>
    <s v="iHerb_OA CZN6870"/>
    <s v="Доставлен"/>
    <d v="2023-03-19T00:00:00"/>
    <x v="9"/>
    <s v="Витамины"/>
    <s v="CGN-01034"/>
    <x v="1"/>
    <x v="84"/>
    <n v="8"/>
    <n v="-4"/>
    <n v="0.23750148438427746"/>
    <n v="6.7501981784595693E-16"/>
    <n v="0.18687109491164727"/>
    <n v="375.85369908561944"/>
    <n v="900"/>
    <x v="235"/>
    <s v="&lt;Клиент не выбран&gt;"/>
    <s v="2023 04"/>
    <n v="524.14630091438062"/>
    <n v="1.3945487358233506"/>
  </r>
  <r>
    <s v="517249297"/>
    <s v="710000688945"/>
    <s v="iHerb_OA CZN6870"/>
    <s v="Доставлен"/>
    <d v="2023-03-19T00:00:00"/>
    <x v="9"/>
    <s v="Витамины"/>
    <s v="CGN-01034"/>
    <x v="1"/>
    <x v="84"/>
    <n v="8"/>
    <n v="-4"/>
    <n v="0.23750148438427746"/>
    <n v="6.7501981784595693E-16"/>
    <n v="0.18687109491164727"/>
    <n v="375.85369908561944"/>
    <n v="900"/>
    <x v="235"/>
    <s v="&lt;Клиент не выбран&gt;"/>
    <s v="2023 04"/>
    <n v="524.14630091438062"/>
    <n v="1.3945487358233506"/>
  </r>
  <r>
    <s v="517249297"/>
    <s v="710000688945"/>
    <s v="iHerb_OA CZN6870"/>
    <s v="Доставлен"/>
    <d v="2023-03-19T00:00:00"/>
    <x v="9"/>
    <s v="Витамины"/>
    <s v="CGN-01034"/>
    <x v="1"/>
    <x v="84"/>
    <n v="8"/>
    <n v="-4"/>
    <n v="0.23750148438427746"/>
    <n v="6.7501981784595693E-16"/>
    <n v="0.18687109491164727"/>
    <n v="375.85369908561944"/>
    <n v="900"/>
    <x v="261"/>
    <s v="&lt;Клиент не выбран&gt;"/>
    <s v="2023 11"/>
    <n v="524.14630091438062"/>
    <n v="1.3945487358233506"/>
  </r>
  <r>
    <s v="517249297"/>
    <s v="710000688945"/>
    <s v="iHerb_OA CZN6870"/>
    <s v="Доставлен"/>
    <d v="2023-03-19T00:00:00"/>
    <x v="9"/>
    <s v="Витамины"/>
    <s v="NOW-01657"/>
    <x v="3"/>
    <x v="493"/>
    <n v="17.75"/>
    <n v="-5.3250000000000002"/>
    <n v="0.73773898586866182"/>
    <n v="2.0967803091840035E-15"/>
    <n v="0.58046833856930424"/>
    <n v="1167.4955527847053"/>
    <n v="1700"/>
    <x v="314"/>
    <s v="&lt;Клиент не выбран&gt;"/>
    <s v="2024 05"/>
    <n v="532.5044472152947"/>
    <n v="0.45610833030170217"/>
  </r>
  <r>
    <s v="517249297"/>
    <s v="710000688945"/>
    <s v="iHerb_OA CZN6870"/>
    <s v="Доставлен"/>
    <d v="2023-03-19T00:00:00"/>
    <x v="9"/>
    <s v="Витамины"/>
    <s v="NOW-01657"/>
    <x v="3"/>
    <x v="493"/>
    <n v="17.75"/>
    <n v="-5.3250000000000002"/>
    <n v="0.73773898586866182"/>
    <n v="2.0967803091840035E-15"/>
    <n v="0.58046833856930424"/>
    <n v="1167.4955527847053"/>
    <n v="1600"/>
    <x v="315"/>
    <s v="&lt;Клиент не выбран&gt;"/>
    <s v="2024 04"/>
    <n v="432.5044472152947"/>
    <n v="0.37045489910748436"/>
  </r>
  <r>
    <s v="517249297"/>
    <s v="710000688945"/>
    <s v="iHerb_OA CZN6870"/>
    <s v="Доставлен"/>
    <d v="2023-03-19T00:00:00"/>
    <x v="9"/>
    <s v="Витамины"/>
    <s v="NOW-00373"/>
    <x v="3"/>
    <x v="239"/>
    <n v="11.7"/>
    <n v="-3.51"/>
    <n v="0.48628428927680806"/>
    <n v="1.3821030770395967E-15"/>
    <n v="0.38261856683159773"/>
    <n v="769.5604488778057"/>
    <n v="1700"/>
    <x v="106"/>
    <s v="&lt;Клиент не выбран&gt;"/>
    <s v="2023 06"/>
    <n v="930.4395511221943"/>
    <n v="1.2090532361414714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n v="650"/>
    <x v="54"/>
    <s v="&lt;Клиент не выбран&gt;"/>
    <s v="2023 04"/>
    <n v="224"/>
    <n v="0.5258215962441315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n v="426"/>
    <x v="41"/>
    <s v="&lt;Клиент не выбран&gt;"/>
    <s v="2024 02"/>
    <n v="0"/>
    <n v="0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01"/>
    <x v="79"/>
    <x v="494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51"/>
    <x v="79"/>
    <x v="495"/>
    <n v="426"/>
    <m/>
    <n v="0"/>
    <n v="0"/>
    <n v="0"/>
    <n v="426"/>
    <n v="650"/>
    <x v="54"/>
    <s v="&lt;Клиент не выбран&gt;"/>
    <s v="2023 04"/>
    <n v="224"/>
    <n v="0.5258215962441315"/>
  </r>
  <r>
    <s v="709609239"/>
    <n v="0"/>
    <s v="CoralClub_OA"/>
    <s v="Доставлен"/>
    <d v="2023-03-26T00:00:00"/>
    <x v="9"/>
    <s v="Косметика"/>
    <s v="000005551"/>
    <x v="79"/>
    <x v="495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51"/>
    <x v="79"/>
    <x v="495"/>
    <n v="426"/>
    <m/>
    <n v="0"/>
    <n v="0"/>
    <n v="0"/>
    <n v="426"/>
    <m/>
    <x v="20"/>
    <m/>
    <s v=""/>
    <n v="-426"/>
    <s v=""/>
  </r>
  <r>
    <s v="709609239"/>
    <n v="0"/>
    <s v="CoralClub_OA"/>
    <s v="Доставлен"/>
    <d v="2023-03-26T00:00:00"/>
    <x v="9"/>
    <s v="Косметика"/>
    <s v="000005551"/>
    <x v="79"/>
    <x v="495"/>
    <n v="426"/>
    <m/>
    <n v="0"/>
    <n v="0"/>
    <n v="0"/>
    <n v="426"/>
    <m/>
    <x v="20"/>
    <m/>
    <s v=""/>
    <n v="-426"/>
    <s v=""/>
  </r>
  <r>
    <s v="709609254"/>
    <n v="0"/>
    <s v="CoralClub_AV"/>
    <s v="Доставлен"/>
    <d v="2023-03-26T00:00:00"/>
    <x v="9"/>
    <s v="Витамины"/>
    <s v="000002153"/>
    <x v="79"/>
    <x v="232"/>
    <n v="1065"/>
    <m/>
    <n v="0"/>
    <n v="0"/>
    <n v="0"/>
    <n v="1065"/>
    <n v="1400"/>
    <x v="5"/>
    <s v="&lt;Клиент не выбран&gt;"/>
    <s v="2023 05"/>
    <n v="335"/>
    <n v="0.31455399061032863"/>
  </r>
  <r>
    <s v="709609254"/>
    <n v="0"/>
    <s v="CoralClub_AV"/>
    <s v="Доставлен"/>
    <d v="2023-03-26T00:00:00"/>
    <x v="9"/>
    <s v="Витамины"/>
    <s v="000002153"/>
    <x v="79"/>
    <x v="232"/>
    <n v="1065"/>
    <m/>
    <n v="0"/>
    <n v="0"/>
    <n v="0"/>
    <n v="1065"/>
    <n v="1400"/>
    <x v="100"/>
    <s v="&lt;Клиент не выбран&gt;"/>
    <s v="2023 05"/>
    <n v="335"/>
    <n v="0.31455399061032863"/>
  </r>
  <r>
    <s v="OZA0090"/>
    <n v="0"/>
    <s v="OZON_AV"/>
    <s v="Доставлен"/>
    <d v="2023-03-22T00:00:00"/>
    <x v="9"/>
    <s v="Спортпит"/>
    <s v="361772752"/>
    <x v="34"/>
    <x v="496"/>
    <n v="2316"/>
    <m/>
    <n v="0"/>
    <n v="0"/>
    <n v="347.4"/>
    <n v="2663.4"/>
    <n v="3200"/>
    <x v="289"/>
    <s v="&lt;Клиент не выбран&gt;"/>
    <s v="2023 03"/>
    <n v="536.59999999999991"/>
    <n v="0.20147180295862427"/>
  </r>
  <r>
    <s v="OZA0091"/>
    <n v="0"/>
    <s v="OZON_AV"/>
    <s v="Доставлен"/>
    <d v="2023-03-22T00:00:00"/>
    <x v="9"/>
    <s v="Спортпит"/>
    <s v="626914560"/>
    <x v="108"/>
    <x v="477"/>
    <n v="908"/>
    <m/>
    <n v="0"/>
    <n v="0"/>
    <n v="136.19999999999999"/>
    <n v="1044.2"/>
    <n v="1500"/>
    <x v="316"/>
    <s v="&lt;Клиент не выбран&gt;"/>
    <s v="2023 04"/>
    <n v="455.79999999999995"/>
    <n v="0.4365064163953265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2400"/>
    <x v="54"/>
    <s v="&lt;Клиент не выбран&gt;"/>
    <s v="2023 04"/>
    <n v="635.2907522095345"/>
    <n v="0.35999740637442751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2400"/>
    <x v="202"/>
    <s v="&lt;Клиент не выбран&gt;"/>
    <s v="2023 04"/>
    <n v="635.2907522095345"/>
    <n v="0.35999740637442751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1797.88"/>
    <x v="234"/>
    <s v="&lt;Клиент не выбран&gt;"/>
    <s v="2023 03"/>
    <n v="33.170752209534612"/>
    <n v="1.8796723738523285E-2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2400"/>
    <x v="191"/>
    <s v="&lt;Клиент не выбран&gt;"/>
    <s v="2023 04"/>
    <n v="635.2907522095345"/>
    <n v="0.35999740637442751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1764.71"/>
    <x v="267"/>
    <s v="&lt;Клиент не выбран&gt;"/>
    <s v="2023 04"/>
    <n v="7.522095345393609E-4"/>
    <n v="4.2625125667651923E-7"/>
  </r>
  <r>
    <s v="223061034"/>
    <n v="0"/>
    <s v="Forever"/>
    <s v="Доставлен"/>
    <d v="2023-03-20T00:00:00"/>
    <x v="9"/>
    <s v="Витамины"/>
    <s v="000000153"/>
    <x v="85"/>
    <x v="389"/>
    <n v="9623.3333333333339"/>
    <m/>
    <n v="0"/>
    <n v="192.4985945607196"/>
    <n v="629.32134912223228"/>
    <n v="1764.7092477904655"/>
    <n v="1764.71"/>
    <x v="226"/>
    <s v="&lt;Клиент не выбран&gt;"/>
    <s v="2023 05"/>
    <n v="7.522095345393609E-4"/>
    <n v="4.2625125667651923E-7"/>
  </r>
  <r>
    <s v="223061034"/>
    <n v="0"/>
    <s v="Forever"/>
    <s v="Доставлен"/>
    <d v="2023-03-20T00:00:00"/>
    <x v="9"/>
    <s v="Косметика"/>
    <s v="000000040"/>
    <x v="85"/>
    <x v="269"/>
    <n v="7299"/>
    <m/>
    <n v="0"/>
    <n v="146.00421631784124"/>
    <n v="477.32073369343669"/>
    <n v="1338.4772566286047"/>
    <n v="1800"/>
    <x v="195"/>
    <s v="&lt;Клиент не выбран&gt;"/>
    <s v="2023 04"/>
    <n v="461.52274337139534"/>
    <n v="0.34481179346587643"/>
  </r>
  <r>
    <s v="223061034"/>
    <n v="0"/>
    <s v="Forever"/>
    <s v="Доставлен"/>
    <d v="2023-03-20T00:00:00"/>
    <x v="9"/>
    <s v="Косметика"/>
    <s v="000000040"/>
    <x v="85"/>
    <x v="269"/>
    <n v="7299"/>
    <m/>
    <n v="0"/>
    <n v="146.00421631784124"/>
    <n v="477.32073369343669"/>
    <n v="1338.4772566286047"/>
    <n v="1338.48"/>
    <x v="152"/>
    <s v="&lt;Клиент не выбран&gt;"/>
    <s v="2023 06"/>
    <n v="2.7433713953541883E-3"/>
    <n v="2.0496212257384722E-6"/>
  </r>
  <r>
    <s v="OZO0003"/>
    <n v="0"/>
    <s v="OZON_OA"/>
    <s v="Доставлен"/>
    <d v="2023-03-29T00:00:00"/>
    <x v="9"/>
    <s v="Спортпит"/>
    <s v="176208973"/>
    <x v="118"/>
    <x v="417"/>
    <n v="1444"/>
    <m/>
    <n v="0"/>
    <n v="0"/>
    <n v="216.6"/>
    <n v="1660.6"/>
    <n v="2500"/>
    <x v="54"/>
    <s v="&lt;Клиент не выбран&gt;"/>
    <s v="2023 04"/>
    <n v="839.40000000000009"/>
    <n v="0.50547994700710597"/>
  </r>
  <r>
    <s v="OZO0003"/>
    <n v="0"/>
    <s v="OZON_OA"/>
    <s v="Доставлен"/>
    <d v="2023-03-29T00:00:00"/>
    <x v="9"/>
    <s v="Спортпит"/>
    <s v="486832912"/>
    <x v="118"/>
    <x v="497"/>
    <n v="2705"/>
    <m/>
    <n v="0"/>
    <n v="0"/>
    <n v="405.75"/>
    <n v="3110.75"/>
    <n v="3600"/>
    <x v="317"/>
    <s v="&lt;Клиент не выбран&gt;"/>
    <s v="2023 06"/>
    <n v="489.25"/>
    <n v="0.15727718395885237"/>
  </r>
  <r>
    <s v="OZO0003"/>
    <n v="0"/>
    <s v="OZON_OA"/>
    <s v="Доставлен"/>
    <d v="2023-03-29T00:00:00"/>
    <x v="9"/>
    <s v="Спортпит"/>
    <s v="486832912"/>
    <x v="118"/>
    <x v="497"/>
    <n v="2705"/>
    <m/>
    <n v="0"/>
    <n v="0"/>
    <n v="405.75"/>
    <n v="3110.75"/>
    <n v="3600"/>
    <x v="54"/>
    <s v="&lt;Клиент не выбран&gt;"/>
    <s v="2023 04"/>
    <n v="489.25"/>
    <n v="0.15727718395885237"/>
  </r>
  <r>
    <s v="OZO0003"/>
    <n v="0"/>
    <s v="OZON_OA"/>
    <s v="Доставлен"/>
    <d v="2023-03-29T00:00:00"/>
    <x v="9"/>
    <s v="Спортпит"/>
    <s v="170919156"/>
    <x v="40"/>
    <x v="498"/>
    <n v="942"/>
    <m/>
    <n v="0"/>
    <n v="0"/>
    <n v="141.30000000000001"/>
    <n v="1083.3"/>
    <n v="1500"/>
    <x v="235"/>
    <s v="&lt;Клиент не выбран&gt;"/>
    <s v="2023 04"/>
    <n v="416.70000000000005"/>
    <n v="0.38465798947659935"/>
  </r>
  <r>
    <s v="OZO0003"/>
    <n v="0"/>
    <s v="OZON_OA"/>
    <s v="Доставлен"/>
    <d v="2023-03-29T00:00:00"/>
    <x v="9"/>
    <s v="Спортпит"/>
    <s v="170919152"/>
    <x v="40"/>
    <x v="109"/>
    <n v="942"/>
    <m/>
    <n v="0"/>
    <n v="0"/>
    <n v="141.30000000000001"/>
    <n v="1083.3"/>
    <n v="1500"/>
    <x v="235"/>
    <s v="&lt;Клиент не выбран&gt;"/>
    <s v="2023 04"/>
    <n v="416.70000000000005"/>
    <n v="0.38465798947659935"/>
  </r>
  <r>
    <s v="OZO0003"/>
    <n v="0"/>
    <s v="OZON_OA"/>
    <s v="Доставлен"/>
    <d v="2023-03-29T00:00:00"/>
    <x v="9"/>
    <s v="Спортпит"/>
    <s v="361772752"/>
    <x v="34"/>
    <x v="496"/>
    <n v="2265"/>
    <m/>
    <n v="0"/>
    <n v="0"/>
    <n v="339.75"/>
    <n v="2604.75"/>
    <n v="3600"/>
    <x v="269"/>
    <s v="&lt;Клиент не выбран&gt;"/>
    <s v="2023 04"/>
    <n v="995.25"/>
    <n v="0.38209041174776848"/>
  </r>
  <r>
    <s v="OZO0003"/>
    <n v="0"/>
    <s v="OZON_OA"/>
    <s v="Доставлен"/>
    <d v="2023-03-29T00:00:00"/>
    <x v="9"/>
    <s v="Спортпит"/>
    <s v="170919122"/>
    <x v="40"/>
    <x v="388"/>
    <n v="942"/>
    <m/>
    <n v="0"/>
    <n v="0"/>
    <n v="141.30000000000001"/>
    <n v="1083.3"/>
    <n v="1500"/>
    <x v="189"/>
    <s v="&lt;Клиент не выбран&gt;"/>
    <s v="2023 04"/>
    <n v="416.70000000000005"/>
    <n v="0.38465798947659935"/>
  </r>
  <r>
    <s v="WB0060"/>
    <n v="0"/>
    <s v="WBRS"/>
    <s v="Доставлен"/>
    <d v="2023-03-23T00:00:00"/>
    <x v="9"/>
    <s v="Косметика"/>
    <s v="135353079"/>
    <x v="95"/>
    <x v="312"/>
    <n v="193"/>
    <m/>
    <n v="0"/>
    <n v="0"/>
    <n v="28.949999999999996"/>
    <n v="221.95"/>
    <n v="500"/>
    <x v="147"/>
    <s v="&lt;Клиент не выбран&gt;"/>
    <s v="2024 02"/>
    <n v="278.05"/>
    <n v="1.2527596305474207"/>
  </r>
  <r>
    <s v="WB0060"/>
    <n v="0"/>
    <s v="WBRS"/>
    <s v="Доставлен"/>
    <d v="2023-03-23T00:00:00"/>
    <x v="9"/>
    <s v="Косметика"/>
    <s v="135353079"/>
    <x v="95"/>
    <x v="312"/>
    <n v="193"/>
    <m/>
    <n v="0"/>
    <n v="0"/>
    <n v="28.949999999999996"/>
    <n v="221.95"/>
    <m/>
    <x v="20"/>
    <m/>
    <s v=""/>
    <n v="-221.95"/>
    <s v=""/>
  </r>
  <r>
    <s v="WB0061"/>
    <n v="0"/>
    <s v="WBRS"/>
    <s v="Доставлен"/>
    <d v="2023-03-23T00:00:00"/>
    <x v="9"/>
    <s v="Косметика"/>
    <s v=" 66606944"/>
    <x v="139"/>
    <x v="499"/>
    <n v="229"/>
    <m/>
    <n v="0"/>
    <n v="0"/>
    <n v="34.35"/>
    <n v="263.35000000000002"/>
    <n v="400"/>
    <x v="144"/>
    <s v="&lt;Клиент не выбран&gt;"/>
    <s v="2023 12"/>
    <n v="136.64999999999998"/>
    <n v="0.51889120941712541"/>
  </r>
  <r>
    <s v="WB0061"/>
    <n v="0"/>
    <s v="WBRS"/>
    <s v="Доставлен"/>
    <d v="2023-03-23T00:00:00"/>
    <x v="9"/>
    <s v="Косметика"/>
    <s v=" 66606944"/>
    <x v="139"/>
    <x v="499"/>
    <n v="229"/>
    <m/>
    <n v="0"/>
    <n v="0"/>
    <n v="34.35"/>
    <n v="263.35000000000002"/>
    <m/>
    <x v="20"/>
    <m/>
    <s v=""/>
    <n v="-263.35000000000002"/>
    <s v=""/>
  </r>
  <r>
    <s v="WB0062"/>
    <n v="0"/>
    <s v="WBRS"/>
    <s v="Доставлен"/>
    <d v="2023-03-23T00:00:00"/>
    <x v="9"/>
    <s v="Косметика"/>
    <s v="139994841"/>
    <x v="98"/>
    <x v="315"/>
    <n v="294"/>
    <m/>
    <n v="0"/>
    <n v="0"/>
    <n v="44.1"/>
    <n v="338.1"/>
    <n v="700"/>
    <x v="318"/>
    <s v="&lt;Клиент не выбран&gt;"/>
    <s v="2024 02"/>
    <n v="361.9"/>
    <n v="1.0703933747412007"/>
  </r>
  <r>
    <s v="WB0062"/>
    <n v="0"/>
    <s v="WBRS"/>
    <s v="Доставлен"/>
    <d v="2023-03-23T00:00:00"/>
    <x v="9"/>
    <s v="Косметика"/>
    <s v="139994841"/>
    <x v="98"/>
    <x v="315"/>
    <n v="294"/>
    <m/>
    <n v="0"/>
    <n v="0"/>
    <n v="44.1"/>
    <n v="338.1"/>
    <n v="500"/>
    <x v="319"/>
    <s v="Татьяна от Елены б-р Шевченко"/>
    <s v="2025 10"/>
    <n v="161.89999999999998"/>
    <n v="0.47885241052942906"/>
  </r>
  <r>
    <s v="WB0063"/>
    <n v="0"/>
    <s v="WBRS"/>
    <s v="Доставлен"/>
    <d v="2023-03-23T00:00:00"/>
    <x v="9"/>
    <s v="Косметика"/>
    <s v="151780792"/>
    <x v="98"/>
    <x v="500"/>
    <n v="284"/>
    <m/>
    <n v="0"/>
    <n v="0"/>
    <n v="42.599999999999994"/>
    <n v="326.60000000000002"/>
    <n v="1100"/>
    <x v="267"/>
    <s v="&lt;Клиент не выбран&gt;"/>
    <s v="2023 04"/>
    <n v="773.4"/>
    <n v="2.3680342927127982"/>
  </r>
  <r>
    <s v="WB0063"/>
    <n v="0"/>
    <s v="WBRS"/>
    <s v="Доставлен"/>
    <d v="2023-03-23T00:00:00"/>
    <x v="9"/>
    <s v="Косметика"/>
    <s v="151780792"/>
    <x v="98"/>
    <x v="500"/>
    <n v="284"/>
    <m/>
    <n v="0"/>
    <n v="0"/>
    <n v="42.599999999999994"/>
    <n v="326.60000000000002"/>
    <n v="1050"/>
    <x v="320"/>
    <s v="&lt;Клиент не выбран&gt;"/>
    <s v="2024 05"/>
    <n v="723.4"/>
    <n v="2.2149418248622164"/>
  </r>
  <r>
    <s v="WB0063"/>
    <n v="0"/>
    <s v="WBRS"/>
    <s v="Доставлен"/>
    <d v="2023-03-23T00:00:00"/>
    <x v="9"/>
    <s v="Косметика"/>
    <s v="151780792"/>
    <x v="98"/>
    <x v="500"/>
    <n v="284"/>
    <m/>
    <n v="0"/>
    <n v="0"/>
    <n v="42.599999999999994"/>
    <n v="326.60000000000002"/>
    <n v="1100"/>
    <x v="321"/>
    <s v="&lt;Клиент не выбран&gt;"/>
    <s v="2024 12"/>
    <n v="773.4"/>
    <n v="2.3680342927127982"/>
  </r>
  <r>
    <s v="WB0064"/>
    <n v="0"/>
    <s v="WBRS"/>
    <s v="Доставлен"/>
    <d v="2023-03-23T00:00:00"/>
    <x v="9"/>
    <s v="Косметика"/>
    <s v="120239758"/>
    <x v="112"/>
    <x v="501"/>
    <n v="529"/>
    <m/>
    <n v="0"/>
    <n v="0"/>
    <n v="79.349999999999994"/>
    <n v="608.35"/>
    <n v="1200"/>
    <x v="316"/>
    <s v="&lt;Клиент не выбран&gt;"/>
    <s v="2023 04"/>
    <n v="591.65"/>
    <n v="0.97254869729596438"/>
  </r>
  <r>
    <s v="WB0066"/>
    <n v="0"/>
    <s v="WBRS"/>
    <s v="Доставлен"/>
    <d v="2023-03-22T00:00:00"/>
    <x v="9"/>
    <s v="Косметика"/>
    <s v=" 85364831"/>
    <x v="98"/>
    <x v="502"/>
    <n v="267"/>
    <m/>
    <n v="0"/>
    <n v="0"/>
    <n v="40.049999999999997"/>
    <n v="307.05"/>
    <n v="700"/>
    <x v="278"/>
    <s v="&lt;Клиент не выбран&gt;"/>
    <s v="2023 04"/>
    <n v="392.95"/>
    <n v="1.2797589969060412"/>
  </r>
  <r>
    <s v="WB0066"/>
    <n v="0"/>
    <s v="WBRS"/>
    <s v="Доставлен"/>
    <d v="2023-03-22T00:00:00"/>
    <x v="9"/>
    <s v="Косметика"/>
    <s v=" 85364831"/>
    <x v="98"/>
    <x v="502"/>
    <n v="267"/>
    <m/>
    <n v="0"/>
    <n v="0"/>
    <n v="40.049999999999997"/>
    <n v="307.05"/>
    <m/>
    <x v="20"/>
    <m/>
    <s v=""/>
    <n v="-307.05"/>
    <s v=""/>
  </r>
  <r>
    <s v="517420121"/>
    <s v="710000705343"/>
    <s v="iHerb_MH DLE7202"/>
    <s v="Доставлен"/>
    <d v="2023-03-29T00:00:00"/>
    <x v="9"/>
    <s v="Витамины"/>
    <s v="NOW-01252"/>
    <x v="3"/>
    <x v="503"/>
    <n v="22.06"/>
    <n v="-4.41"/>
    <n v="4.7305542883211565E-2"/>
    <n v="2.8606476473918267E-15"/>
    <n v="1.5719176014383853"/>
    <n v="1637.8839672673359"/>
    <n v="3200"/>
    <x v="31"/>
    <s v="&lt;Клиент не выбран&gt;"/>
    <s v="2023 09"/>
    <n v="1562.1160327326641"/>
    <n v="0.95374035276681779"/>
  </r>
  <r>
    <s v="517420121"/>
    <s v="710000705343"/>
    <s v="iHerb_MH DLE7202"/>
    <s v="Доставлен"/>
    <d v="2023-03-29T00:00:00"/>
    <x v="9"/>
    <s v="Витамины"/>
    <s v="CGN-01033"/>
    <x v="1"/>
    <x v="1"/>
    <n v="17"/>
    <n v="-5.1000000000000005"/>
    <n v="3.1894388686131307E-2"/>
    <n v="1.9287086121225348E-15"/>
    <n v="1.0598197992700729"/>
    <n v="1104.2957059762775"/>
    <n v="2200"/>
    <x v="300"/>
    <s v="&lt;Клиент не выбран&gt;"/>
    <s v="2023 12"/>
    <n v="1095.7042940237225"/>
    <n v="0.99222000782393727"/>
  </r>
  <r>
    <s v="517420121"/>
    <s v="710000705343"/>
    <s v="iHerb_MH DLE7202"/>
    <s v="Доставлен"/>
    <d v="2023-03-29T00:00:00"/>
    <x v="9"/>
    <s v="Витамины"/>
    <s v="CGN-01033"/>
    <x v="1"/>
    <x v="1"/>
    <n v="17"/>
    <n v="-5.1000000000000005"/>
    <n v="3.1894388686131307E-2"/>
    <n v="1.9287086121225348E-15"/>
    <n v="1.0598197992700729"/>
    <n v="1104.2957059762775"/>
    <n v="2300"/>
    <x v="322"/>
    <s v="&lt;Клиент не выбран&gt;"/>
    <s v="2024 01"/>
    <n v="1195.7042940237225"/>
    <n v="1.0827754627250255"/>
  </r>
  <r>
    <s v="517420121"/>
    <s v="710000705343"/>
    <s v="iHerb_MH DLE7202"/>
    <s v="Доставлен"/>
    <d v="2023-03-29T00:00:00"/>
    <x v="9"/>
    <s v="Витамины"/>
    <s v="CGN-01033"/>
    <x v="1"/>
    <x v="1"/>
    <n v="17"/>
    <n v="-5.1000000000000005"/>
    <n v="3.1894388686131307E-2"/>
    <n v="1.9287086121225348E-15"/>
    <n v="1.0598197992700729"/>
    <n v="1104.2957059762775"/>
    <n v="2300"/>
    <x v="323"/>
    <s v="&lt;Клиент не выбран&gt;"/>
    <s v="2024 01"/>
    <n v="1195.7042940237225"/>
    <n v="1.0827754627250255"/>
  </r>
  <r>
    <s v="517420121"/>
    <s v="710000705343"/>
    <s v="iHerb_MH DLE7202"/>
    <s v="Доставлен"/>
    <d v="2023-03-29T00:00:00"/>
    <x v="9"/>
    <s v="Витамины"/>
    <s v="NOW-03170"/>
    <x v="3"/>
    <x v="306"/>
    <n v="16.79"/>
    <n v="-3.3566666666666669"/>
    <n v="3.6004029805352708E-2"/>
    <n v="2.177225688194346E-15"/>
    <n v="1.1963792131816229"/>
    <n v="1246.5859089872263"/>
    <n v="2200"/>
    <x v="286"/>
    <s v="&lt;Клиент не выбран&gt;"/>
    <s v="2023 06"/>
    <n v="953.41409101277372"/>
    <n v="0.76482020544204898"/>
  </r>
  <r>
    <s v="517420121"/>
    <s v="710000705343"/>
    <s v="iHerb_MH DLE7202"/>
    <s v="Доставлен"/>
    <d v="2023-03-29T00:00:00"/>
    <x v="9"/>
    <s v="Витамины"/>
    <s v="NOW-03170"/>
    <x v="3"/>
    <x v="306"/>
    <n v="16.79"/>
    <n v="-3.3566666666666669"/>
    <n v="3.6004029805352708E-2"/>
    <n v="2.177225688194346E-15"/>
    <n v="1.1963792131816229"/>
    <n v="1246.5859089872263"/>
    <n v="2100"/>
    <x v="324"/>
    <s v="&lt;Клиент не выбран&gt;"/>
    <s v="2023 07"/>
    <n v="853.41409101277372"/>
    <n v="0.68460110519468309"/>
  </r>
  <r>
    <s v="517420121"/>
    <s v="710000705343"/>
    <s v="iHerb_MH DLE7202"/>
    <s v="Доставлен"/>
    <d v="2023-03-29T00:00:00"/>
    <x v="9"/>
    <s v="Витамины"/>
    <s v="NOW-03170"/>
    <x v="3"/>
    <x v="306"/>
    <n v="16.79"/>
    <n v="-3.3566666666666669"/>
    <n v="3.6004029805352708E-2"/>
    <n v="2.177225688194346E-15"/>
    <n v="1.1963792131816229"/>
    <n v="1246.5859089872263"/>
    <n v="2200"/>
    <x v="11"/>
    <s v="&lt;Клиент не выбран&gt;"/>
    <s v="2023 07"/>
    <n v="953.41409101277372"/>
    <n v="0.76482020544204898"/>
  </r>
  <r>
    <s v="517420121"/>
    <s v="710000705343"/>
    <s v="iHerb_MH DLE7202"/>
    <s v="Доставлен"/>
    <d v="2023-03-29T00:00:00"/>
    <x v="9"/>
    <s v="Витамины"/>
    <s v="SIE-01490"/>
    <x v="51"/>
    <x v="504"/>
    <n v="18"/>
    <n v="-10.26"/>
    <n v="2.0744753649634989E-2"/>
    <n v="1.254470979649447E-15"/>
    <n v="0.68932817196221563"/>
    <n v="718.25619867700732"/>
    <n v="1800"/>
    <x v="191"/>
    <s v="&lt;Клиент не выбран&gt;"/>
    <s v="2023 04"/>
    <n v="1081.7438013229926"/>
    <n v="1.5060695658673209"/>
  </r>
  <r>
    <s v="517420121"/>
    <s v="710000705343"/>
    <s v="iHerb_MH DLE7202"/>
    <s v="Доставлен"/>
    <d v="2023-03-29T00:00:00"/>
    <x v="9"/>
    <s v="Витамины"/>
    <s v="NAP-29982"/>
    <x v="11"/>
    <x v="393"/>
    <n v="22.01"/>
    <n v="-2.2000000000000002"/>
    <n v="5.3094776459853901E-2"/>
    <n v="3.2107325719451613E-15"/>
    <n v="1.7642882540790039"/>
    <n v="1838.3275575958037"/>
    <n v="3300"/>
    <x v="279"/>
    <s v="&lt;Клиент не выбран&gt;"/>
    <s v="2023 04"/>
    <n v="1461.6724424041963"/>
    <n v="0.79510990104276991"/>
  </r>
  <r>
    <s v="517420121"/>
    <s v="710000705343"/>
    <s v="iHerb_MH DLE7202"/>
    <s v="Доставлен"/>
    <d v="2023-03-29T00:00:00"/>
    <x v="9"/>
    <s v="Витамины"/>
    <s v="SMS-55697"/>
    <x v="140"/>
    <x v="505"/>
    <n v="12.49"/>
    <n v="-2.5"/>
    <n v="2.6775205291970743E-2"/>
    <n v="1.61914277605917E-15"/>
    <n v="0.88971426846285973"/>
    <n v="927.05160526916086"/>
    <n v="1700"/>
    <x v="325"/>
    <s v="&lt;Клиент не выбран&gt;"/>
    <s v="2024 03"/>
    <n v="772.94839473083914"/>
    <n v="0.83377062327228346"/>
  </r>
  <r>
    <s v="517420121"/>
    <s v="710000705343"/>
    <s v="iHerb_MH DLE7202"/>
    <s v="Доставлен"/>
    <d v="2023-03-29T00:00:00"/>
    <x v="9"/>
    <s v="Витамины"/>
    <s v="SMS-55697"/>
    <x v="140"/>
    <x v="505"/>
    <n v="12.49"/>
    <n v="-2.5"/>
    <n v="2.6775205291970743E-2"/>
    <n v="1.61914277605917E-15"/>
    <n v="0.88971426846285973"/>
    <n v="927.05160526916086"/>
    <n v="1800"/>
    <x v="326"/>
    <s v="&lt;Клиент не выбран&gt;"/>
    <s v="2024 04"/>
    <n v="872.94839473083914"/>
    <n v="0.94163948346477067"/>
  </r>
  <r>
    <s v="517420121"/>
    <s v="710000705343"/>
    <s v="iHerb_MH DLE7202"/>
    <s v="Доставлен"/>
    <d v="2023-03-29T00:00:00"/>
    <x v="9"/>
    <s v="Витамины"/>
    <s v="VGL-10032"/>
    <x v="141"/>
    <x v="506"/>
    <n v="6.92"/>
    <n v="-1.73"/>
    <n v="1.3910241788321134E-2"/>
    <n v="8.4117627705176092E-16"/>
    <n v="0.46222392926148559"/>
    <n v="481.62140453923359"/>
    <n v="1200"/>
    <x v="132"/>
    <s v="&lt;Клиент не выбран&gt;"/>
    <s v="2023 09"/>
    <n v="718.37859546076641"/>
    <n v="1.4915836146195329"/>
  </r>
  <r>
    <s v="517420121"/>
    <s v="710000705343"/>
    <s v="iHerb_MH DLE7202"/>
    <s v="Доставлен"/>
    <d v="2023-03-29T00:00:00"/>
    <x v="9"/>
    <s v="Витамины"/>
    <s v="SMS-55698"/>
    <x v="140"/>
    <x v="507"/>
    <n v="12.49"/>
    <n v="-2.5"/>
    <n v="2.6775205291970743E-2"/>
    <n v="1.61914277605917E-15"/>
    <n v="0.88971426846285973"/>
    <n v="927.05160526916086"/>
    <n v="1700"/>
    <x v="325"/>
    <s v="&lt;Клиент не выбран&gt;"/>
    <s v="2024 03"/>
    <n v="772.94839473083914"/>
    <n v="0.83377062327228346"/>
  </r>
  <r>
    <s v="517420121"/>
    <s v="710000705343"/>
    <s v="iHerb_MH DLE7202"/>
    <s v="Доставлен"/>
    <d v="2023-03-29T00:00:00"/>
    <x v="9"/>
    <s v="Спортпит"/>
    <s v="MSC-60676"/>
    <x v="50"/>
    <x v="508"/>
    <n v="27.76"/>
    <n v="-8.76"/>
    <n v="5.092381386861302E-2"/>
    <n v="3.0794507252376608E-15"/>
    <n v="1.6921492593387721"/>
    <n v="1763.1612112226283"/>
    <n v="2700"/>
    <x v="226"/>
    <s v="&lt;Клиент не выбран&gt;"/>
    <s v="2023 05"/>
    <n v="936.83878877737175"/>
    <n v="0.53134040314313624"/>
  </r>
  <r>
    <s v="517369981"/>
    <s v="710000699962"/>
    <s v="iHerb_OA CZN6870"/>
    <s v="Доставлен"/>
    <d v="2023-03-26T00:00:00"/>
    <x v="9"/>
    <s v="Витамины"/>
    <s v="NOW-01480"/>
    <x v="3"/>
    <x v="165"/>
    <n v="5.24"/>
    <n v="-0.52333333333333332"/>
    <n v="0.26225424557376353"/>
    <n v="0"/>
    <n v="0.46569773172437495"/>
    <n v="466.77105358243529"/>
    <n v="850"/>
    <x v="253"/>
    <s v="&lt;Клиент не выбран&gt;"/>
    <s v="2023 05"/>
    <n v="383.22894641756471"/>
    <n v="0.82102123402106719"/>
  </r>
  <r>
    <s v="517369981"/>
    <s v="710000699962"/>
    <s v="iHerb_OA CZN6870"/>
    <s v="Доставлен"/>
    <d v="2023-03-26T00:00:00"/>
    <x v="9"/>
    <s v="Витамины"/>
    <s v="NOW-01480"/>
    <x v="3"/>
    <x v="165"/>
    <n v="5.24"/>
    <n v="-0.52333333333333332"/>
    <n v="0.26225424557376353"/>
    <n v="0"/>
    <n v="0.46569773172437495"/>
    <n v="466.77105358243529"/>
    <n v="850"/>
    <x v="271"/>
    <s v="&lt;Клиент не выбран&gt;"/>
    <s v="2023 07"/>
    <n v="383.22894641756471"/>
    <n v="0.82102123402106719"/>
  </r>
  <r>
    <s v="517369981"/>
    <s v="710000699962"/>
    <s v="iHerb_OA CZN6870"/>
    <s v="Доставлен"/>
    <d v="2023-03-26T00:00:00"/>
    <x v="9"/>
    <s v="Витамины"/>
    <s v="NOW-01480"/>
    <x v="3"/>
    <x v="165"/>
    <n v="5.24"/>
    <n v="-0.52333333333333332"/>
    <n v="0.26225424557376353"/>
    <n v="0"/>
    <n v="0.46569773172437495"/>
    <n v="466.77105358243529"/>
    <n v="900"/>
    <x v="327"/>
    <s v="&lt;Клиент не выбран&gt;"/>
    <s v="2023 08"/>
    <n v="433.22894641756471"/>
    <n v="0.92814013013995356"/>
  </r>
  <r>
    <s v="517369981"/>
    <s v="710000699962"/>
    <s v="iHerb_OA CZN6870"/>
    <s v="Доставлен"/>
    <d v="2023-03-26T00:00:00"/>
    <x v="9"/>
    <s v="Витамины"/>
    <s v="SMS-55694"/>
    <x v="140"/>
    <x v="509"/>
    <n v="12.49"/>
    <n v="-2.5"/>
    <n v="0.55546005228591466"/>
    <n v="0"/>
    <n v="0.98635766924236878"/>
    <n v="988.63098769368094"/>
    <n v="1600"/>
    <x v="215"/>
    <s v="&lt;Клиент не выбран&gt;"/>
    <s v="2023 11"/>
    <n v="611.36901230631906"/>
    <n v="0.61839960502608349"/>
  </r>
  <r>
    <s v="517369981"/>
    <s v="710000699962"/>
    <s v="iHerb_OA CZN6870"/>
    <s v="Доставлен"/>
    <d v="2023-03-26T00:00:00"/>
    <x v="9"/>
    <s v="Витамины"/>
    <s v="SMS-55694"/>
    <x v="140"/>
    <x v="509"/>
    <n v="12.49"/>
    <n v="-2.5"/>
    <n v="0.55546005228591466"/>
    <n v="0"/>
    <n v="0.98635766924236878"/>
    <n v="988.63098769368094"/>
    <n v="1600"/>
    <x v="136"/>
    <s v="&lt;Клиент не выбран&gt;"/>
    <s v="2023 12"/>
    <n v="611.36901230631906"/>
    <n v="0.61839960502608349"/>
  </r>
  <r>
    <s v="517369981"/>
    <s v="710000699962"/>
    <s v="iHerb_OA CZN6870"/>
    <s v="Доставлен"/>
    <d v="2023-03-26T00:00:00"/>
    <x v="9"/>
    <s v="Витамины"/>
    <s v="SMS-55694"/>
    <x v="140"/>
    <x v="509"/>
    <n v="12.49"/>
    <n v="-2.5"/>
    <n v="0.55546005228591466"/>
    <n v="0"/>
    <n v="0.98635766924236878"/>
    <n v="988.63098769368094"/>
    <n v="1600"/>
    <x v="328"/>
    <s v="&lt;Клиент не выбран&gt;"/>
    <s v="2023 12"/>
    <n v="611.36901230631906"/>
    <n v="0.61839960502608349"/>
  </r>
  <r>
    <s v="517369981"/>
    <s v="710000699962"/>
    <s v="iHerb_OA CZN6870"/>
    <s v="Доставлен"/>
    <d v="2023-03-26T00:00:00"/>
    <x v="9"/>
    <s v="Косметика"/>
    <s v="ARH-19470"/>
    <x v="29"/>
    <x v="66"/>
    <n v="4.07"/>
    <n v="-0.41"/>
    <n v="0.20350188101766242"/>
    <n v="0"/>
    <n v="0.36136827521792492"/>
    <n v="362.20114263852577"/>
    <n v="362.2"/>
    <x v="329"/>
    <s v="&lt;Клиент не выбран&gt;"/>
    <s v="2024 02"/>
    <n v="-1.1426385257777838E-3"/>
    <n v="-3.1547071261399335E-6"/>
  </r>
  <r>
    <s v="517369981"/>
    <s v="710000699962"/>
    <s v="iHerb_OA CZN6870"/>
    <s v="Доставлен"/>
    <d v="2023-03-26T00:00:00"/>
    <x v="9"/>
    <s v="Косметика"/>
    <s v="ARH-19460"/>
    <x v="29"/>
    <x v="398"/>
    <n v="4.07"/>
    <n v="-0.41"/>
    <n v="0.20350188101766242"/>
    <n v="0"/>
    <n v="0.36136827521792492"/>
    <n v="362.20114263852577"/>
    <n v="362.2"/>
    <x v="329"/>
    <s v="&lt;Клиент не выбран&gt;"/>
    <s v="2024 02"/>
    <n v="-1.1426385257777838E-3"/>
    <n v="-3.1547071261399335E-6"/>
  </r>
  <r>
    <s v="517369981"/>
    <s v="710000699962"/>
    <s v="iHerb_OA CZN6870"/>
    <s v="Доставлен"/>
    <d v="2023-03-26T00:00:00"/>
    <x v="9"/>
    <s v="Косметика"/>
    <s v="ARH-19792"/>
    <x v="29"/>
    <x v="510"/>
    <n v="5.14"/>
    <n v="-0.51"/>
    <n v="0.25743543964802651"/>
    <n v="0"/>
    <n v="0.45714074160081758"/>
    <n v="458.19434164381812"/>
    <n v="800"/>
    <x v="226"/>
    <s v="&lt;Клиент не выбран&gt;"/>
    <s v="2023 05"/>
    <n v="341.80565835618188"/>
    <n v="0.74598402313289125"/>
  </r>
  <r>
    <s v="517369981"/>
    <s v="710000699962"/>
    <s v="iHerb_OA CZN6870"/>
    <s v="Доставлен"/>
    <d v="2023-03-26T00:00:00"/>
    <x v="9"/>
    <s v="Витамины"/>
    <s v="LEX-23151"/>
    <x v="7"/>
    <x v="17"/>
    <n v="20.69"/>
    <n v="-2.0699999999999998"/>
    <n v="1.035301919275649"/>
    <n v="0"/>
    <n v="1.8384364165458367"/>
    <n v="1842.6735726582924"/>
    <n v="2700"/>
    <x v="330"/>
    <s v="&lt;Клиент не выбран&gt;"/>
    <s v="2023 10"/>
    <n v="857.32642734170759"/>
    <n v="0.465262236384551"/>
  </r>
  <r>
    <s v="517369981"/>
    <s v="710000699962"/>
    <s v="iHerb_OA CZN6870"/>
    <s v="Доставлен"/>
    <d v="2023-03-26T00:00:00"/>
    <x v="9"/>
    <s v="Витамины"/>
    <s v="LEX-23166"/>
    <x v="7"/>
    <x v="18"/>
    <n v="11.77"/>
    <n v="-1.18"/>
    <n v="0.58882101638717077"/>
    <n v="0"/>
    <n v="1.0455983700977662"/>
    <n v="1048.0082241917999"/>
    <n v="1700"/>
    <x v="260"/>
    <s v="&lt;Клиент не выбран&gt;"/>
    <s v="2023 10"/>
    <n v="651.99177580820015"/>
    <n v="0.62212467493850199"/>
  </r>
  <r>
    <s v="517369981"/>
    <s v="710000699962"/>
    <s v="iHerb_OA CZN6870"/>
    <s v="Доставлен"/>
    <d v="2023-03-26T00:00:00"/>
    <x v="9"/>
    <s v="Витамины"/>
    <s v="CEN-27308"/>
    <x v="2"/>
    <x v="81"/>
    <n v="5.29"/>
    <n v="-0.53"/>
    <n v="0.26466364853663205"/>
    <n v="0"/>
    <n v="0.46997622678615358"/>
    <n v="471.05940955174384"/>
    <n v="1700"/>
    <x v="191"/>
    <s v="&lt;Клиент не выбран&gt;"/>
    <s v="2023 04"/>
    <n v="1228.9405904482562"/>
    <n v="2.6088866192434321"/>
  </r>
  <r>
    <s v="517369981"/>
    <s v="710000699962"/>
    <s v="iHerb_OA CZN6870"/>
    <s v="Доставлен"/>
    <d v="2023-03-26T00:00:00"/>
    <x v="9"/>
    <s v="Витамины"/>
    <s v="CEN-27305"/>
    <x v="2"/>
    <x v="82"/>
    <n v="5.21"/>
    <n v="-0.52"/>
    <n v="0.26077153605815212"/>
    <n v="0"/>
    <n v="0.46306481168635727"/>
    <n v="464.13206529362992"/>
    <n v="1600"/>
    <x v="331"/>
    <s v="&lt;Клиент не выбран&gt;"/>
    <s v="2023 10"/>
    <n v="1135.8679347063701"/>
    <n v="2.4472946810683531"/>
  </r>
  <r>
    <s v="517369981"/>
    <s v="710000699962"/>
    <s v="iHerb_OA CZN6870"/>
    <s v="Доставлен"/>
    <d v="2023-03-26T00:00:00"/>
    <x v="9"/>
    <s v="Витамины"/>
    <s v="CEN-22675"/>
    <x v="2"/>
    <x v="2"/>
    <n v="7.51"/>
    <n v="-0.75"/>
    <n v="0.37586686220748577"/>
    <n v="0"/>
    <n v="0.66744522963747865"/>
    <n v="668.98353121214052"/>
    <n v="1700"/>
    <x v="225"/>
    <s v="&lt;Клиент не выбран&gt;"/>
    <s v="2023 05"/>
    <n v="1031.0164687878596"/>
    <n v="1.5411686845560257"/>
  </r>
  <r>
    <s v="517369981"/>
    <s v="710000699962"/>
    <s v="iHerb_OA CZN6870"/>
    <s v="Доставлен"/>
    <d v="2023-03-26T00:00:00"/>
    <x v="9"/>
    <s v="Витамины"/>
    <s v="CEN-22673"/>
    <x v="2"/>
    <x v="3"/>
    <n v="7.55"/>
    <n v="-0.76"/>
    <n v="0.37753491041254861"/>
    <n v="0"/>
    <n v="0.67040726468024869"/>
    <n v="671.95239303704648"/>
    <n v="1700"/>
    <x v="98"/>
    <s v="&lt;Клиент не выбран&gt;"/>
    <s v="2023 09"/>
    <n v="1028.0476069629535"/>
    <n v="1.529941135139725"/>
  </r>
  <r>
    <s v="517369981"/>
    <s v="710000699962"/>
    <s v="iHerb_OA CZN6870"/>
    <s v="Доставлен"/>
    <d v="2023-03-26T00:00:00"/>
    <x v="9"/>
    <s v="Витамины"/>
    <s v="CEN-22380"/>
    <x v="2"/>
    <x v="158"/>
    <n v="6.13"/>
    <n v="-0.61"/>
    <n v="0.30692086973155641"/>
    <n v="0"/>
    <n v="0.54501444786965714"/>
    <n v="546.27057578269455"/>
    <n v="1700"/>
    <x v="332"/>
    <s v="&lt;Клиент не выбран&gt;"/>
    <s v="2023 07"/>
    <n v="1153.7294242173054"/>
    <n v="2.112010925289626"/>
  </r>
  <r>
    <s v="517369981"/>
    <s v="710000699962"/>
    <s v="iHerb_OA CZN6870"/>
    <s v="Доставлен"/>
    <d v="2023-03-26T00:00:00"/>
    <x v="9"/>
    <s v="Косметика"/>
    <s v="ISK-73751"/>
    <x v="142"/>
    <x v="511"/>
    <n v="10.210000000000001"/>
    <n v="-1.02"/>
    <n v="0.51097876681757326"/>
    <n v="0"/>
    <n v="0.90737006810183873"/>
    <n v="909.46133902952249"/>
    <n v="1500"/>
    <x v="98"/>
    <s v="&lt;Клиент не выбран&gt;"/>
    <s v="2023 09"/>
    <n v="590.53866097047751"/>
    <n v="0.64932794350624701"/>
  </r>
  <r>
    <s v="517369981"/>
    <s v="710000699962"/>
    <s v="iHerb_OA CZN6870"/>
    <s v="Доставлен"/>
    <d v="2023-03-26T00:00:00"/>
    <x v="9"/>
    <s v="Витамины"/>
    <s v="NOW-00140"/>
    <x v="3"/>
    <x v="259"/>
    <n v="6.73"/>
    <n v="-1.35"/>
    <n v="0.29913664477459673"/>
    <n v="0"/>
    <n v="0.53119161767006451"/>
    <n v="532.41588726646694"/>
    <n v="900"/>
    <x v="191"/>
    <s v="&lt;Клиент не выбран&gt;"/>
    <s v="2023 04"/>
    <n v="367.58411273353306"/>
    <n v="0.690407858827778"/>
  </r>
  <r>
    <s v="517369981"/>
    <s v="710000699962"/>
    <s v="iHerb_OA CZN6870"/>
    <s v="Доставлен"/>
    <d v="2023-03-26T00:00:00"/>
    <x v="9"/>
    <s v="Витамины"/>
    <s v="CEN-27383"/>
    <x v="2"/>
    <x v="512"/>
    <n v="7.79"/>
    <n v="-0.78"/>
    <n v="0.38976726391634253"/>
    <n v="0"/>
    <n v="0.69212885499389432"/>
    <n v="693.72404641969001"/>
    <n v="1200"/>
    <x v="191"/>
    <s v="&lt;Клиент не выбран&gt;"/>
    <s v="2023 04"/>
    <n v="506.27595358030999"/>
    <n v="0.72979444231924828"/>
  </r>
  <r>
    <s v="517369981"/>
    <s v="710000699962"/>
    <s v="iHerb_OA CZN6870"/>
    <s v="Доставлен"/>
    <d v="2023-03-26T00:00:00"/>
    <x v="9"/>
    <s v="Витамины"/>
    <s v="SPN-00215"/>
    <x v="45"/>
    <x v="157"/>
    <n v="19.28"/>
    <n v="-5.78"/>
    <n v="0.75062169227826314"/>
    <n v="0"/>
    <n v="1.3329157692464444"/>
    <n v="1335.9878212076771"/>
    <n v="2500"/>
    <x v="98"/>
    <s v="&lt;Клиент не выбран&gt;"/>
    <s v="2023 09"/>
    <n v="1164.0121787923229"/>
    <n v="0.87127454331140874"/>
  </r>
  <r>
    <s v="517369981"/>
    <s v="710000699962"/>
    <s v="iHerb_OA CZN6870"/>
    <s v="Доставлен"/>
    <d v="2023-03-26T00:00:00"/>
    <x v="9"/>
    <s v="Витамины"/>
    <s v="NWY-15450"/>
    <x v="16"/>
    <x v="188"/>
    <n v="8.83"/>
    <n v="-0.88"/>
    <n v="0.44203277434164384"/>
    <n v="0"/>
    <n v="0.78493928633401711"/>
    <n v="786.74838360007652"/>
    <n v="1300"/>
    <x v="269"/>
    <s v="&lt;Клиент не выбран&gt;"/>
    <s v="2023 04"/>
    <n v="513.25161639992348"/>
    <n v="0.65237072881082891"/>
  </r>
  <r>
    <s v="517494259"/>
    <s v="710000713512"/>
    <s v="iHerb_VP DFD1605"/>
    <s v="Доставлен"/>
    <d v="2023-04-02T00:00:00"/>
    <x v="10"/>
    <s v="Витамины"/>
    <s v="NOW-00100"/>
    <x v="3"/>
    <x v="513"/>
    <n v="5.51"/>
    <n v="-0.55000000000000004"/>
    <n v="0.36058323458189501"/>
    <n v="0"/>
    <n v="0.40935609879124985"/>
    <n v="492.74120665670569"/>
    <n v="800"/>
    <x v="333"/>
    <s v="&lt;Клиент не выбран&gt;"/>
    <s v="2023 05"/>
    <n v="307.25879334329431"/>
    <n v="0.62357032290453929"/>
  </r>
  <r>
    <s v="517494259"/>
    <s v="710000713512"/>
    <s v="iHerb_VP DFD1605"/>
    <s v="Доставлен"/>
    <d v="2023-04-02T00:00:00"/>
    <x v="10"/>
    <s v="Витамины"/>
    <s v="NOW-00372"/>
    <x v="3"/>
    <x v="13"/>
    <n v="6.64"/>
    <n v="-1.99"/>
    <n v="0.33804678242052655"/>
    <n v="0"/>
    <n v="0.38377134261679663"/>
    <n v="461.94488124066157"/>
    <n v="1100"/>
    <x v="334"/>
    <s v="&lt;Клиент не выбран&gt;"/>
    <s v="2023 07"/>
    <n v="638.05511875933848"/>
    <n v="1.3812364735933245"/>
  </r>
  <r>
    <s v="517494259"/>
    <s v="710000713512"/>
    <s v="iHerb_VP DFD1605"/>
    <s v="Доставлен"/>
    <d v="2023-04-02T00:00:00"/>
    <x v="10"/>
    <s v="Витамины"/>
    <s v="NOW-00372"/>
    <x v="3"/>
    <x v="13"/>
    <n v="6.64"/>
    <n v="-1.99"/>
    <n v="0.33804678242052655"/>
    <n v="0"/>
    <n v="0.38377134261679663"/>
    <n v="461.94488124066157"/>
    <n v="1100"/>
    <x v="151"/>
    <s v="&lt;Клиент не выбран&gt;"/>
    <s v="2023 09"/>
    <n v="638.05511875933848"/>
    <n v="1.3812364735933245"/>
  </r>
  <r>
    <s v="517494259"/>
    <s v="710000713512"/>
    <s v="iHerb_VP DFD1605"/>
    <s v="Доставлен"/>
    <d v="2023-04-02T00:00:00"/>
    <x v="10"/>
    <s v="Витамины"/>
    <s v="NOW-00367"/>
    <x v="3"/>
    <x v="365"/>
    <n v="4.6900000000000004"/>
    <n v="-0.94"/>
    <n v="0.27261837291977953"/>
    <n v="0"/>
    <n v="0.30949301823935227"/>
    <n v="372.53619454892066"/>
    <n v="900"/>
    <x v="304"/>
    <s v="&lt;Клиент не выбран&gt;"/>
    <s v="2023 09"/>
    <n v="527.46380545107934"/>
    <n v="1.4158726404819544"/>
  </r>
  <r>
    <s v="517494259"/>
    <s v="710000713512"/>
    <s v="iHerb_VP DFD1605"/>
    <s v="Доставлен"/>
    <d v="2023-04-02T00:00:00"/>
    <x v="10"/>
    <s v="Витамины"/>
    <s v="NOW-00367"/>
    <x v="3"/>
    <x v="365"/>
    <n v="4.6900000000000004"/>
    <n v="-0.94"/>
    <n v="0.27261837291977953"/>
    <n v="0"/>
    <n v="0.30949301823935227"/>
    <n v="372.53619454892066"/>
    <n v="900"/>
    <x v="268"/>
    <s v="&lt;Клиент не выбран&gt;"/>
    <s v="2023 09"/>
    <n v="527.46380545107934"/>
    <n v="1.4158726404819544"/>
  </r>
  <r>
    <s v="517494259"/>
    <s v="710000713512"/>
    <s v="iHerb_VP DFD1605"/>
    <s v="Доставлен"/>
    <d v="2023-04-02T00:00:00"/>
    <x v="10"/>
    <s v="Витамины"/>
    <s v="NOW-00085"/>
    <x v="3"/>
    <x v="260"/>
    <n v="14.07"/>
    <n v="-2.8149999999999999"/>
    <n v="0.81821860992323159"/>
    <n v="0"/>
    <n v="0.92889171207570909"/>
    <n v="1118.1052985728272"/>
    <n v="1900"/>
    <x v="100"/>
    <s v="&lt;Клиент не выбран&gt;"/>
    <s v="2023 05"/>
    <n v="781.89470142717278"/>
    <n v="0.69930327888187216"/>
  </r>
  <r>
    <s v="517494259"/>
    <s v="710000713512"/>
    <s v="iHerb_VP DFD1605"/>
    <s v="Доставлен"/>
    <d v="2023-04-02T00:00:00"/>
    <x v="10"/>
    <s v="Витамины"/>
    <s v="NOW-00085"/>
    <x v="3"/>
    <x v="260"/>
    <n v="14.07"/>
    <n v="-2.8149999999999999"/>
    <n v="0.81821860992323159"/>
    <n v="0"/>
    <n v="0.92889171207570909"/>
    <n v="1118.1052985728272"/>
    <n v="2000"/>
    <x v="163"/>
    <s v="&lt;Клиент не выбран&gt;"/>
    <s v="2023 08"/>
    <n v="881.89470142717278"/>
    <n v="0.78874029355986552"/>
  </r>
  <r>
    <s v="517494259"/>
    <s v="710000713512"/>
    <s v="iHerb_VP DFD1605"/>
    <s v="Доставлен"/>
    <d v="2023-04-02T00:00:00"/>
    <x v="10"/>
    <s v="Витамины"/>
    <s v="NOW-00474"/>
    <x v="3"/>
    <x v="114"/>
    <n v="9.3699999999999992"/>
    <n v="-1.875"/>
    <n v="0.54487325467566594"/>
    <n v="0"/>
    <n v="0.61857337912105181"/>
    <n v="744.57567417177609"/>
    <n v="1500"/>
    <x v="225"/>
    <s v="&lt;Клиент не выбран&gt;"/>
    <s v="2023 05"/>
    <n v="755.42432582822391"/>
    <n v="1.0145702472331173"/>
  </r>
  <r>
    <s v="517494259"/>
    <s v="710000713512"/>
    <s v="iHerb_VP DFD1605"/>
    <s v="Доставлен"/>
    <d v="2023-04-02T00:00:00"/>
    <x v="10"/>
    <s v="Витамины"/>
    <s v="NOW-00474"/>
    <x v="3"/>
    <x v="114"/>
    <n v="9.3699999999999992"/>
    <n v="-1.875"/>
    <n v="0.54487325467566594"/>
    <n v="0"/>
    <n v="0.61857337912105181"/>
    <n v="744.57567417177609"/>
    <n v="1500"/>
    <x v="257"/>
    <s v="&lt;Клиент не выбран&gt;"/>
    <s v="2023 05"/>
    <n v="755.42432582822391"/>
    <n v="1.0145702472331173"/>
  </r>
  <r>
    <s v="517494259"/>
    <s v="710000713512"/>
    <s v="iHerb_VP DFD1605"/>
    <s v="Доставлен"/>
    <d v="2023-04-02T00:00:00"/>
    <x v="10"/>
    <s v="Витамины"/>
    <s v="NOW-01552"/>
    <x v="3"/>
    <x v="514"/>
    <n v="11.52"/>
    <n v="-2.3050000000000002"/>
    <n v="0.66991421505487159"/>
    <n v="0"/>
    <n v="0.7605275101535014"/>
    <n v="915.44560873821433"/>
    <n v="1600"/>
    <x v="286"/>
    <s v="&lt;Клиент не выбран&gt;"/>
    <s v="2023 06"/>
    <n v="684.55439126178567"/>
    <n v="0.74778270246478884"/>
  </r>
  <r>
    <s v="517494259"/>
    <s v="710000713512"/>
    <s v="iHerb_VP DFD1605"/>
    <s v="Доставлен"/>
    <d v="2023-04-02T00:00:00"/>
    <x v="10"/>
    <s v="Витамины"/>
    <s v="NOW-01552"/>
    <x v="3"/>
    <x v="514"/>
    <n v="11.52"/>
    <n v="-2.3050000000000002"/>
    <n v="0.66991421505487159"/>
    <n v="0"/>
    <n v="0.7605275101535014"/>
    <n v="915.44560873821433"/>
    <n v="1600"/>
    <x v="335"/>
    <s v="&lt;Клиент не выбран&gt;"/>
    <s v="2023 08"/>
    <n v="684.55439126178567"/>
    <n v="0.74778270246478884"/>
  </r>
  <r>
    <s v="517494259"/>
    <s v="710000713512"/>
    <s v="iHerb_VP DFD1605"/>
    <s v="Доставлен"/>
    <d v="2023-04-02T00:00:00"/>
    <x v="10"/>
    <s v="Витамины"/>
    <s v="NOW-00680"/>
    <x v="3"/>
    <x v="88"/>
    <n v="9.66"/>
    <n v="-1.93"/>
    <n v="0.5619573393786389"/>
    <n v="0"/>
    <n v="0.63796827493071795"/>
    <n v="767.92127569684169"/>
    <n v="1500"/>
    <x v="300"/>
    <s v="&lt;Клиент не выбран&gt;"/>
    <s v="2023 12"/>
    <n v="732.07872430315831"/>
    <n v="0.95332522678036435"/>
  </r>
  <r>
    <s v="517494259"/>
    <s v="710000713512"/>
    <s v="iHerb_VP DFD1605"/>
    <s v="Доставлен"/>
    <d v="2023-04-02T00:00:00"/>
    <x v="10"/>
    <s v="Витамины"/>
    <s v="NOW-00680"/>
    <x v="3"/>
    <x v="88"/>
    <n v="9.66"/>
    <n v="-1.93"/>
    <n v="0.5619573393786389"/>
    <n v="0"/>
    <n v="0.63796827493071795"/>
    <n v="767.92127569684169"/>
    <n v="1600"/>
    <x v="336"/>
    <s v="&lt;Клиент не выбран&gt;"/>
    <s v="2024 03"/>
    <n v="832.07872430315831"/>
    <n v="1.0835469085657219"/>
  </r>
  <r>
    <s v="517494259"/>
    <s v="710000713512"/>
    <s v="iHerb_VP DFD1605"/>
    <s v="Доставлен"/>
    <d v="2023-04-02T00:00:00"/>
    <x v="10"/>
    <s v="Витамины"/>
    <s v="NOW-00420"/>
    <x v="3"/>
    <x v="515"/>
    <n v="12.26"/>
    <n v="-2.4500000000000002"/>
    <n v="0.71316966355814315"/>
    <n v="0"/>
    <n v="0.80963373571414521"/>
    <n v="974.55468493997626"/>
    <n v="2000"/>
    <x v="333"/>
    <s v="&lt;Клиент не выбран&gt;"/>
    <s v="2023 05"/>
    <n v="1025.4453150600239"/>
    <n v="1.0522193684012529"/>
  </r>
  <r>
    <s v="517494259"/>
    <s v="710000713512"/>
    <s v="iHerb_VP DFD1605"/>
    <s v="Доставлен"/>
    <d v="2023-04-02T00:00:00"/>
    <x v="10"/>
    <s v="Витамины"/>
    <s v="NOW-01298"/>
    <x v="3"/>
    <x v="392"/>
    <n v="20.73"/>
    <n v="-4.1449999999999996"/>
    <n v="1.2057001906332117"/>
    <n v="0"/>
    <n v="1.3687844553332418"/>
    <n v="1647.6034097583597"/>
    <n v="2800"/>
    <x v="13"/>
    <s v="&lt;Клиент не выбран&gt;"/>
    <s v="2023 05"/>
    <n v="1152.3965902416403"/>
    <n v="0.69943809500288223"/>
  </r>
  <r>
    <s v="517494259"/>
    <s v="710000713512"/>
    <s v="iHerb_VP DFD1605"/>
    <s v="Доставлен"/>
    <d v="2023-04-02T00:00:00"/>
    <x v="10"/>
    <s v="Витамины"/>
    <s v="NOW-01298"/>
    <x v="3"/>
    <x v="392"/>
    <n v="20.73"/>
    <n v="-4.1449999999999996"/>
    <n v="1.2057001906332117"/>
    <n v="0"/>
    <n v="1.3687844553332418"/>
    <n v="1647.6034097583597"/>
    <n v="2800"/>
    <x v="13"/>
    <s v="&lt;Клиент не выбран&gt;"/>
    <s v="2023 05"/>
    <n v="1152.3965902416403"/>
    <n v="0.69943809500288223"/>
  </r>
  <r>
    <s v="517494259"/>
    <s v="710000713512"/>
    <s v="iHerb_VP DFD1605"/>
    <s v="Доставлен"/>
    <d v="2023-04-02T00:00:00"/>
    <x v="10"/>
    <s v="Витамины"/>
    <s v="NOW-01283"/>
    <x v="3"/>
    <x v="343"/>
    <n v="14.89"/>
    <n v="-2.98"/>
    <n v="0.86583595239321964"/>
    <n v="0"/>
    <n v="0.98294982592818259"/>
    <n v="1183.1749538873719"/>
    <n v="2200"/>
    <x v="333"/>
    <s v="&lt;Клиент не выбран&gt;"/>
    <s v="2023 05"/>
    <n v="1016.8250461126281"/>
    <n v="0.85940379550108459"/>
  </r>
  <r>
    <s v="517494259"/>
    <s v="710000713512"/>
    <s v="iHerb_VP DFD1605"/>
    <s v="Доставлен"/>
    <d v="2023-04-02T00:00:00"/>
    <x v="10"/>
    <s v="Витамины"/>
    <s v="NOW-01283"/>
    <x v="3"/>
    <x v="343"/>
    <n v="14.89"/>
    <n v="-2.98"/>
    <n v="0.86583595239321964"/>
    <n v="0"/>
    <n v="0.98294982592818259"/>
    <n v="1183.1749538873719"/>
    <n v="2100"/>
    <x v="178"/>
    <s v="&lt;Клиент не выбран&gt;"/>
    <s v="2023 05"/>
    <n v="916.82504611262812"/>
    <n v="0.77488544116012614"/>
  </r>
  <r>
    <s v="517494259"/>
    <s v="710000713512"/>
    <s v="iHerb_VP DFD1605"/>
    <s v="Доставлен"/>
    <d v="2023-04-02T00:00:00"/>
    <x v="10"/>
    <s v="Косметика"/>
    <s v="MIZ-54035"/>
    <x v="143"/>
    <x v="516"/>
    <n v="15.33"/>
    <n v="-3.07"/>
    <n v="0.89128033386573247"/>
    <n v="0"/>
    <n v="1.0118358409638555"/>
    <n v="1217.9449987119376"/>
    <m/>
    <x v="20"/>
    <m/>
    <s v=""/>
    <n v="-1217.9449987119376"/>
    <s v=""/>
  </r>
  <r>
    <s v="517494259"/>
    <s v="710000713512"/>
    <s v="iHerb_VP DFD1605"/>
    <s v="Доставлен"/>
    <d v="2023-04-02T00:00:00"/>
    <x v="10"/>
    <s v="Витамины"/>
    <s v="CGN-01066"/>
    <x v="1"/>
    <x v="11"/>
    <n v="13.6"/>
    <n v="-2.72"/>
    <n v="0.79095677263125364"/>
    <n v="0"/>
    <n v="0.89794241025177368"/>
    <n v="1080.8516791179352"/>
    <n v="1080.8499999999999"/>
    <x v="337"/>
    <s v="&lt;Клиент не выбран&gt;"/>
    <s v="2023 07"/>
    <n v="-1.6791179352821928E-3"/>
    <n v="-1.5535137408052995E-6"/>
  </r>
  <r>
    <s v="517494259"/>
    <s v="710000713512"/>
    <s v="iHerb_VP DFD1605"/>
    <s v="Доставлен"/>
    <d v="2023-04-02T00:00:00"/>
    <x v="10"/>
    <s v="Спортпит"/>
    <s v="RSP-00692"/>
    <x v="52"/>
    <x v="517"/>
    <n v="16.760000000000002"/>
    <n v="-5.76"/>
    <n v="0.79968056056468662"/>
    <n v="0"/>
    <n v="0.90784618683543306"/>
    <n v="1092.7728373435007"/>
    <n v="2500"/>
    <x v="301"/>
    <s v="&lt;Клиент не выбран&gt;"/>
    <s v="2023 08"/>
    <n v="1407.2271626564993"/>
    <n v="1.2877581822745778"/>
  </r>
  <r>
    <s v="OZA0094"/>
    <n v="0"/>
    <s v="OZON_AV"/>
    <s v="Доставлен"/>
    <d v="2023-04-02T00:00:00"/>
    <x v="10"/>
    <s v="Спортпит"/>
    <s v="638236196"/>
    <x v="118"/>
    <x v="518"/>
    <n v="875"/>
    <n v="0"/>
    <n v="0"/>
    <n v="0"/>
    <n v="131.25"/>
    <n v="1006.25"/>
    <n v="1700"/>
    <x v="205"/>
    <s v="&lt;Клиент не выбран&gt;"/>
    <s v="2023 04"/>
    <n v="693.75"/>
    <n v="0.68944099378881984"/>
  </r>
  <r>
    <s v="OZA0094"/>
    <n v="0"/>
    <s v="OZON_AV"/>
    <s v="Доставлен"/>
    <d v="2023-04-02T00:00:00"/>
    <x v="10"/>
    <s v="Спортпит"/>
    <s v="638236196"/>
    <x v="118"/>
    <x v="518"/>
    <n v="875"/>
    <n v="0"/>
    <n v="0"/>
    <n v="0"/>
    <n v="131.25"/>
    <n v="1006.25"/>
    <n v="1700"/>
    <x v="205"/>
    <s v="&lt;Клиент не выбран&gt;"/>
    <s v="2023 04"/>
    <n v="693.75"/>
    <n v="0.68944099378881984"/>
  </r>
  <r>
    <s v="OZA0094"/>
    <n v="0"/>
    <s v="OZON_AV"/>
    <s v="Доставлен"/>
    <d v="2023-04-02T00:00:00"/>
    <x v="10"/>
    <s v="Спортпит"/>
    <s v="638236196"/>
    <x v="118"/>
    <x v="518"/>
    <n v="875"/>
    <n v="0"/>
    <n v="0"/>
    <n v="0"/>
    <n v="131.25"/>
    <n v="1006.25"/>
    <n v="1700"/>
    <x v="235"/>
    <s v="&lt;Клиент не выбран&gt;"/>
    <s v="2023 04"/>
    <n v="693.75"/>
    <n v="0.68944099378881984"/>
  </r>
  <r>
    <s v="709699293"/>
    <n v="0"/>
    <s v="CoralClub_OA"/>
    <s v="Доставлен"/>
    <d v="2023-04-04T00:00:00"/>
    <x v="10"/>
    <s v="Витамины"/>
    <s v="000091859"/>
    <x v="79"/>
    <x v="480"/>
    <n v="1491"/>
    <n v="0"/>
    <n v="0"/>
    <n v="9"/>
    <n v="0"/>
    <n v="1500"/>
    <n v="1900"/>
    <x v="251"/>
    <s v="&lt;Клиент не выбран&gt;"/>
    <s v="2023 04"/>
    <n v="400"/>
    <n v="0.26666666666666666"/>
  </r>
  <r>
    <s v="709699293"/>
    <n v="0"/>
    <s v="CoralClub_OA"/>
    <s v="Доставлен"/>
    <d v="2023-04-04T00:00:00"/>
    <x v="10"/>
    <s v="Витамины"/>
    <s v="000091859"/>
    <x v="79"/>
    <x v="480"/>
    <n v="1491"/>
    <n v="0"/>
    <n v="0"/>
    <n v="9"/>
    <n v="0"/>
    <n v="1500"/>
    <n v="1900"/>
    <x v="237"/>
    <s v="&lt;Клиент не выбран&gt;"/>
    <s v="2023 08"/>
    <n v="400"/>
    <n v="0.26666666666666666"/>
  </r>
  <r>
    <s v="709773280"/>
    <n v="0"/>
    <s v="CoralClub_OA"/>
    <s v="Доставлен"/>
    <d v="2023-04-14T00:00:00"/>
    <x v="10"/>
    <s v="Витамины"/>
    <s v="000002301"/>
    <x v="79"/>
    <x v="519"/>
    <n v="1704"/>
    <n v="0"/>
    <n v="0"/>
    <n v="45"/>
    <n v="0"/>
    <n v="1749"/>
    <m/>
    <x v="20"/>
    <m/>
    <s v=""/>
    <n v="-1749"/>
    <s v=""/>
  </r>
  <r>
    <s v="709773280"/>
    <n v="0"/>
    <s v="CoralClub_OA"/>
    <s v="Доставлен"/>
    <d v="2023-04-14T00:00:00"/>
    <x v="10"/>
    <s v="Витамины"/>
    <s v="000002301"/>
    <x v="79"/>
    <x v="519"/>
    <n v="1704"/>
    <n v="0"/>
    <n v="0"/>
    <n v="45"/>
    <n v="0"/>
    <n v="1749"/>
    <m/>
    <x v="20"/>
    <m/>
    <s v=""/>
    <n v="-1749"/>
    <s v=""/>
  </r>
  <r>
    <s v="709773264"/>
    <n v="0"/>
    <s v="CoralClub_OA"/>
    <s v="Доставлен"/>
    <d v="2023-04-14T00:00:00"/>
    <x v="10"/>
    <s v="Витамины"/>
    <s v="000002152"/>
    <x v="79"/>
    <x v="520"/>
    <n v="852"/>
    <n v="0"/>
    <n v="0"/>
    <n v="0"/>
    <n v="0"/>
    <n v="852"/>
    <n v="1100"/>
    <x v="202"/>
    <s v="&lt;Клиент не выбран&gt;"/>
    <s v="2023 04"/>
    <n v="248"/>
    <n v="0.29107981220657275"/>
  </r>
  <r>
    <s v="OZA0098"/>
    <n v="0"/>
    <s v="OZON_AV"/>
    <s v="Доставлен"/>
    <d v="2023-04-06T00:00:00"/>
    <x v="10"/>
    <s v="Спортпит"/>
    <s v="200508013"/>
    <x v="48"/>
    <x v="338"/>
    <n v="787"/>
    <n v="0"/>
    <n v="0"/>
    <n v="0"/>
    <n v="118.04999999999998"/>
    <n v="905.05"/>
    <n v="1200"/>
    <x v="156"/>
    <s v="&lt;Клиент не выбран&gt;"/>
    <s v="2023 06"/>
    <n v="294.95000000000005"/>
    <n v="0.32589359703883769"/>
  </r>
  <r>
    <s v="OZA0098"/>
    <n v="0"/>
    <s v="OZON_AV"/>
    <s v="Доставлен"/>
    <d v="2023-04-06T00:00:00"/>
    <x v="10"/>
    <s v="Спортпит"/>
    <s v="200508013"/>
    <x v="48"/>
    <x v="338"/>
    <n v="787"/>
    <n v="0"/>
    <n v="0"/>
    <n v="0"/>
    <n v="118.04999999999998"/>
    <n v="905.05"/>
    <m/>
    <x v="20"/>
    <m/>
    <s v=""/>
    <n v="-905.05"/>
    <s v=""/>
  </r>
  <r>
    <s v="OZA0100"/>
    <n v="0"/>
    <s v="OZON_AV"/>
    <s v="Доставлен"/>
    <d v="2023-04-08T00:00:00"/>
    <x v="10"/>
    <s v="Спортпит"/>
    <s v="825959086"/>
    <x v="108"/>
    <x v="415"/>
    <n v="534.79999999999995"/>
    <n v="0"/>
    <n v="0"/>
    <n v="0"/>
    <n v="80.219999999999985"/>
    <n v="615.02"/>
    <n v="1600"/>
    <x v="204"/>
    <s v="&lt;Клиент не выбран&gt;"/>
    <s v="2023 04"/>
    <n v="984.98"/>
    <n v="1.6015414132873729"/>
  </r>
  <r>
    <s v="OZA0100"/>
    <n v="0"/>
    <s v="OZON_AV"/>
    <s v="Доставлен"/>
    <d v="2023-04-08T00:00:00"/>
    <x v="10"/>
    <s v="Спортпит"/>
    <s v="825481466"/>
    <x v="108"/>
    <x v="478"/>
    <n v="802.2"/>
    <n v="0"/>
    <n v="0"/>
    <n v="0"/>
    <n v="120.33000000000001"/>
    <n v="922.53000000000009"/>
    <n v="1300"/>
    <x v="226"/>
    <s v="&lt;Клиент не выбран&gt;"/>
    <s v="2023 05"/>
    <n v="377.46999999999991"/>
    <n v="0.4091682655306601"/>
  </r>
  <r>
    <s v="OZA0100"/>
    <n v="0"/>
    <s v="OZON_AV"/>
    <s v="Доставлен"/>
    <d v="2023-04-08T00:00:00"/>
    <x v="10"/>
    <s v="Спортпит"/>
    <s v="626943002"/>
    <x v="108"/>
    <x v="521"/>
    <n v="1007"/>
    <n v="0"/>
    <n v="0"/>
    <n v="0"/>
    <n v="151.04999999999998"/>
    <n v="1158.05"/>
    <n v="1600"/>
    <x v="204"/>
    <s v="&lt;Клиент не выбран&gt;"/>
    <s v="2023 04"/>
    <n v="441.95000000000005"/>
    <n v="0.3816329174042572"/>
  </r>
  <r>
    <s v="OZA0100"/>
    <n v="0"/>
    <s v="OZON_AV"/>
    <s v="Доставлен"/>
    <d v="2023-04-08T00:00:00"/>
    <x v="10"/>
    <s v="Спортпит"/>
    <s v="200508013"/>
    <x v="48"/>
    <x v="338"/>
    <n v="775"/>
    <n v="0"/>
    <n v="0"/>
    <n v="0"/>
    <n v="116.25"/>
    <n v="891.25"/>
    <m/>
    <x v="20"/>
    <m/>
    <s v=""/>
    <n v="-891.25"/>
    <s v=""/>
  </r>
  <r>
    <s v="OZA0101"/>
    <n v="0"/>
    <s v="OZON_AV"/>
    <s v="Доставлен"/>
    <d v="2023-04-09T00:00:00"/>
    <x v="10"/>
    <s v="Спортпит"/>
    <s v="185552102"/>
    <x v="35"/>
    <x v="522"/>
    <n v="2256"/>
    <n v="0"/>
    <n v="0"/>
    <n v="0"/>
    <n v="338.4"/>
    <n v="2594.4"/>
    <n v="3700"/>
    <x v="235"/>
    <s v="&lt;Клиент не выбран&gt;"/>
    <s v="2023 04"/>
    <n v="1105.5999999999999"/>
    <n v="0.42614862781375262"/>
  </r>
  <r>
    <s v="OZA0101"/>
    <n v="0"/>
    <s v="OZON_AV"/>
    <s v="Доставлен"/>
    <d v="2023-04-09T00:00:00"/>
    <x v="10"/>
    <s v="Спортпит"/>
    <s v="185550660"/>
    <x v="35"/>
    <x v="523"/>
    <n v="2256"/>
    <n v="0"/>
    <n v="0"/>
    <n v="0"/>
    <n v="338.4"/>
    <n v="2594.4"/>
    <n v="3700"/>
    <x v="235"/>
    <s v="&lt;Клиент не выбран&gt;"/>
    <s v="2023 04"/>
    <n v="1105.5999999999999"/>
    <n v="0.42614862781375262"/>
  </r>
  <r>
    <s v="OZA0103"/>
    <n v="0"/>
    <s v="OZON_AV"/>
    <s v="Доставлен"/>
    <d v="2023-04-12T00:00:00"/>
    <x v="10"/>
    <s v="Спортпит"/>
    <s v="269076077"/>
    <x v="114"/>
    <x v="524"/>
    <n v="1237"/>
    <n v="0"/>
    <n v="0"/>
    <n v="0"/>
    <n v="185.54999999999998"/>
    <n v="1422.55"/>
    <n v="1900"/>
    <x v="204"/>
    <s v="&lt;Клиент не выбран&gt;"/>
    <s v="2023 04"/>
    <n v="477.45000000000005"/>
    <n v="0.33562967909739555"/>
  </r>
  <r>
    <s v="OZA0104"/>
    <n v="0"/>
    <s v="OZON_AV"/>
    <s v="Доставлен"/>
    <d v="2023-04-15T00:00:00"/>
    <x v="10"/>
    <s v="Спортпит"/>
    <s v="928502066"/>
    <x v="144"/>
    <x v="525"/>
    <n v="1791"/>
    <n v="0"/>
    <n v="0"/>
    <n v="0"/>
    <n v="268.64999999999998"/>
    <n v="2059.65"/>
    <n v="2800"/>
    <x v="98"/>
    <s v="&lt;Клиент не выбран&gt;"/>
    <s v="2023 09"/>
    <n v="740.34999999999991"/>
    <n v="0.35945427621197773"/>
  </r>
  <r>
    <s v="OZA0104"/>
    <n v="0"/>
    <s v="OZON_AV"/>
    <s v="Доставлен"/>
    <d v="2023-04-15T00:00:00"/>
    <x v="10"/>
    <s v="Спортпит"/>
    <s v="928476887"/>
    <x v="144"/>
    <x v="526"/>
    <n v="1791"/>
    <n v="0"/>
    <n v="0"/>
    <n v="0"/>
    <n v="268.64999999999998"/>
    <n v="2059.65"/>
    <n v="2700"/>
    <x v="100"/>
    <s v="&lt;Клиент не выбран&gt;"/>
    <s v="2023 05"/>
    <n v="640.34999999999991"/>
    <n v="0.31090233777583565"/>
  </r>
  <r>
    <s v="OZA0104"/>
    <n v="0"/>
    <s v="OZON_AV"/>
    <s v="Доставлен"/>
    <d v="2023-04-15T00:00:00"/>
    <x v="10"/>
    <s v="Спортпит"/>
    <s v="470925526"/>
    <x v="34"/>
    <x v="527"/>
    <n v="1994"/>
    <n v="0"/>
    <n v="0"/>
    <n v="0"/>
    <n v="299.09999999999997"/>
    <n v="2293.1"/>
    <n v="3000"/>
    <x v="279"/>
    <s v="&lt;Клиент не выбран&gt;"/>
    <s v="2023 04"/>
    <n v="706.90000000000009"/>
    <n v="0.30827264401901361"/>
  </r>
  <r>
    <s v="OZA0104"/>
    <n v="0"/>
    <s v="OZON_AV"/>
    <s v="Доставлен"/>
    <d v="2023-04-15T00:00:00"/>
    <x v="10"/>
    <s v="Спортпит"/>
    <s v="898166516"/>
    <x v="34"/>
    <x v="528"/>
    <n v="4823"/>
    <n v="0"/>
    <n v="0"/>
    <n v="0"/>
    <n v="723.44999999999993"/>
    <n v="5546.45"/>
    <n v="6200"/>
    <x v="263"/>
    <s v="&lt;Клиент не выбран&gt;"/>
    <s v="2023 05"/>
    <n v="653.55000000000018"/>
    <n v="0.11783212685591689"/>
  </r>
  <r>
    <s v="WB0071"/>
    <n v="0"/>
    <s v="WBRS"/>
    <s v="Доставлен"/>
    <d v="2023-04-15T00:00:00"/>
    <x v="10"/>
    <s v="Спортпит"/>
    <s v="113181451"/>
    <x v="118"/>
    <x v="529"/>
    <n v="982"/>
    <n v="0"/>
    <n v="0"/>
    <n v="0"/>
    <n v="147.29999999999998"/>
    <n v="1129.3"/>
    <n v="1600"/>
    <x v="191"/>
    <s v="&lt;Клиент не выбран&gt;"/>
    <s v="2023 04"/>
    <n v="470.70000000000005"/>
    <n v="0.4168068715133269"/>
  </r>
  <r>
    <s v="WB0071"/>
    <n v="0"/>
    <s v="WBRS"/>
    <s v="Доставлен"/>
    <d v="2023-04-15T00:00:00"/>
    <x v="10"/>
    <s v="Спортпит"/>
    <s v="113181451"/>
    <x v="118"/>
    <x v="529"/>
    <n v="982"/>
    <n v="0"/>
    <n v="0"/>
    <n v="0"/>
    <n v="147.29999999999998"/>
    <n v="1129.3"/>
    <n v="1700"/>
    <x v="226"/>
    <s v="&lt;Клиент не выбран&gt;"/>
    <s v="2023 05"/>
    <n v="570.70000000000005"/>
    <n v="0.50535730098290987"/>
  </r>
  <r>
    <s v="WB0071"/>
    <n v="0"/>
    <s v="WBRS"/>
    <s v="Доставлен"/>
    <d v="2023-04-15T00:00:00"/>
    <x v="10"/>
    <s v="Спортпит"/>
    <s v="113181451"/>
    <x v="118"/>
    <x v="529"/>
    <n v="982"/>
    <n v="0"/>
    <n v="0"/>
    <n v="0"/>
    <n v="147.29999999999998"/>
    <n v="1129.3"/>
    <n v="1700"/>
    <x v="226"/>
    <s v="&lt;Клиент не выбран&gt;"/>
    <s v="2023 05"/>
    <n v="570.70000000000005"/>
    <n v="0.50535730098290987"/>
  </r>
  <r>
    <s v="517745065"/>
    <s v="710000741061"/>
    <s v="iHerb_AV CYG0792"/>
    <s v="Доставлен"/>
    <d v="2023-04-15T00:00:00"/>
    <x v="10"/>
    <s v="Спортпит"/>
    <s v="VPB-54130"/>
    <x v="81"/>
    <x v="245"/>
    <n v="15.02"/>
    <n v="-3.0049999999999999"/>
    <n v="0.92787794483248509"/>
    <n v="2.6951330950341674E-15"/>
    <n v="0.81262205584446467"/>
    <n v="1246.0962226234169"/>
    <n v="2400"/>
    <x v="163"/>
    <s v="&lt;Клиент не выбран&gt;"/>
    <s v="2023 08"/>
    <n v="1153.9037773765831"/>
    <n v="0.9260149869865264"/>
  </r>
  <r>
    <s v="517745065"/>
    <s v="710000741061"/>
    <s v="iHerb_AV CYG0792"/>
    <s v="Доставлен"/>
    <d v="2023-04-15T00:00:00"/>
    <x v="10"/>
    <s v="Спортпит"/>
    <s v="VPB-54130"/>
    <x v="81"/>
    <x v="245"/>
    <n v="15.02"/>
    <n v="-3.0049999999999999"/>
    <n v="0.92787794483248509"/>
    <n v="2.6951330950341674E-15"/>
    <n v="0.81262205584446467"/>
    <n v="1246.0962226234169"/>
    <n v="2400"/>
    <x v="130"/>
    <s v="&lt;Клиент не выбран&gt;"/>
    <s v="2023 09"/>
    <n v="1153.9037773765831"/>
    <n v="0.9260149869865264"/>
  </r>
  <r>
    <s v="517745065"/>
    <s v="710000741061"/>
    <s v="iHerb_AV CYG0792"/>
    <s v="Доставлен"/>
    <d v="2023-04-15T00:00:00"/>
    <x v="10"/>
    <s v="Витамины"/>
    <s v="CGN-01033"/>
    <x v="1"/>
    <x v="1"/>
    <n v="17"/>
    <n v="-5.1000000000000005"/>
    <n v="0.91899688252239453"/>
    <n v="2.6693369813488629E-15"/>
    <n v="0.80484415019135469"/>
    <n v="1234.1693757152443"/>
    <n v="2300"/>
    <x v="323"/>
    <s v="&lt;Клиент не выбран&gt;"/>
    <s v="2024 01"/>
    <n v="1065.8306242847557"/>
    <n v="0.86360158115823416"/>
  </r>
  <r>
    <s v="517745065"/>
    <s v="710000741061"/>
    <s v="iHerb_AV CYG0792"/>
    <s v="Доставлен"/>
    <d v="2023-04-15T00:00:00"/>
    <x v="10"/>
    <s v="Витамины"/>
    <s v="CGN-01033"/>
    <x v="1"/>
    <x v="1"/>
    <n v="17"/>
    <n v="-5.1000000000000005"/>
    <n v="0.91899688252239453"/>
    <n v="2.6693369813488629E-15"/>
    <n v="0.80484415019135469"/>
    <n v="1234.1693757152443"/>
    <n v="2300"/>
    <x v="323"/>
    <s v="&lt;Клиент не выбран&gt;"/>
    <s v="2024 01"/>
    <n v="1065.8306242847557"/>
    <n v="0.86360158115823416"/>
  </r>
  <r>
    <s v="517745065"/>
    <s v="710000741061"/>
    <s v="iHerb_AV CYG0792"/>
    <s v="Доставлен"/>
    <d v="2023-04-15T00:00:00"/>
    <x v="10"/>
    <s v="Витамины"/>
    <s v="CGN-01033"/>
    <x v="1"/>
    <x v="1"/>
    <n v="17"/>
    <n v="-5.1000000000000005"/>
    <n v="0.91899688252239453"/>
    <n v="2.6693369813488629E-15"/>
    <n v="0.80484415019135469"/>
    <n v="1234.1693757152443"/>
    <n v="2300"/>
    <x v="231"/>
    <s v="&lt;Клиент не выбран&gt;"/>
    <s v="2024 02"/>
    <n v="1065.8306242847557"/>
    <n v="0.86360158115823416"/>
  </r>
  <r>
    <s v="517745065"/>
    <s v="710000741061"/>
    <s v="iHerb_AV CYG0792"/>
    <s v="Доставлен"/>
    <d v="2023-04-15T00:00:00"/>
    <x v="10"/>
    <s v="Витамины"/>
    <s v="SPN-00215"/>
    <x v="45"/>
    <x v="157"/>
    <n v="19.28"/>
    <n v="-5.78"/>
    <n v="1.0425594885758258"/>
    <n v="3.0282394326226602E-15"/>
    <n v="0.91305848971288162"/>
    <n v="1400.10811530721"/>
    <n v="2500"/>
    <x v="98"/>
    <s v="&lt;Клиент не выбран&gt;"/>
    <s v="2023 09"/>
    <n v="1099.89188469279"/>
    <n v="0.78557639418542546"/>
  </r>
  <r>
    <s v="517745065"/>
    <s v="710000741061"/>
    <s v="iHerb_AV CYG0792"/>
    <s v="Доставлен"/>
    <d v="2023-04-15T00:00:00"/>
    <x v="10"/>
    <s v="Косметика"/>
    <s v="ADC-00960"/>
    <x v="145"/>
    <x v="530"/>
    <n v="11.76"/>
    <n v="-2.35"/>
    <n v="0.72670257685174233"/>
    <n v="2.1107950415540173E-15"/>
    <n v="0.63643558431097891"/>
    <n v="975.9272122252479"/>
    <n v="1900"/>
    <x v="201"/>
    <s v="&lt;Клиент не выбран&gt;"/>
    <s v="2023 11"/>
    <n v="924.0727877747521"/>
    <n v="0.94686650418092078"/>
  </r>
  <r>
    <s v="517745065"/>
    <s v="710000741061"/>
    <s v="iHerb_AV CYG0792"/>
    <s v="Доставлен"/>
    <d v="2023-04-15T00:00:00"/>
    <x v="10"/>
    <s v="Витамины"/>
    <s v="NOW-03168"/>
    <x v="3"/>
    <x v="531"/>
    <n v="18.579999999999998"/>
    <n v="-3.72"/>
    <n v="1.1475877037212423"/>
    <n v="3.3333065162053869E-15"/>
    <n v="1.0050406783061792"/>
    <n v="1541.1560439603807"/>
    <n v="2800"/>
    <x v="338"/>
    <s v="&lt;Клиент не выбран&gt;"/>
    <s v="2024 12"/>
    <n v="1258.8439560396193"/>
    <n v="0.81681797308772786"/>
  </r>
  <r>
    <s v="517745065"/>
    <s v="710000741061"/>
    <s v="iHerb_AV CYG0792"/>
    <s v="Доставлен"/>
    <d v="2023-04-15T00:00:00"/>
    <x v="10"/>
    <s v="Витамины"/>
    <s v="CGN-01504"/>
    <x v="1"/>
    <x v="532"/>
    <n v="36"/>
    <n v="-14.4"/>
    <n v="1.6680951817213217"/>
    <n v="4.8451830921962564E-15"/>
    <n v="1.4608935835406107"/>
    <n v="2240.1729844915358"/>
    <n v="3700"/>
    <x v="104"/>
    <s v="&lt;Клиент не выбран&gt;"/>
    <s v="2023 11"/>
    <n v="1459.8270155084642"/>
    <n v="0.65165816462151882"/>
  </r>
  <r>
    <s v="517745065"/>
    <s v="710000741061"/>
    <s v="iHerb_AV CYG0792"/>
    <s v="Доставлен"/>
    <d v="2023-04-15T00:00:00"/>
    <x v="10"/>
    <s v="Спортпит"/>
    <s v="MSC-60676"/>
    <x v="50"/>
    <x v="508"/>
    <n v="27.76"/>
    <n v="-8.76"/>
    <n v="1.4673059468844956"/>
    <n v="4.2619666088763362E-15"/>
    <n v="1.2850452818181297"/>
    <n v="1970.5225326545915"/>
    <n v="3700"/>
    <x v="183"/>
    <s v="&lt;Клиент не выбран&gt;"/>
    <s v="2023 11"/>
    <n v="1729.4774673454085"/>
    <n v="0.87767454504341091"/>
  </r>
  <r>
    <s v="517745065"/>
    <s v="710000741061"/>
    <s v="iHerb_AV CYG0792"/>
    <s v="Доставлен"/>
    <d v="2023-04-15T00:00:00"/>
    <x v="10"/>
    <s v="Спортпит"/>
    <s v="AMX-20047"/>
    <x v="105"/>
    <x v="533"/>
    <n v="35.57"/>
    <n v="-3.56"/>
    <n v="2.4720243873564582"/>
    <n v="7.1802921657963955E-15"/>
    <n v="2.1649631300525436"/>
    <n v="3319.8119089617617"/>
    <n v="4700"/>
    <x v="98"/>
    <s v="&lt;Клиент не выбран&gt;"/>
    <s v="2023 09"/>
    <n v="1380.1880910382383"/>
    <n v="0.41574285799519239"/>
  </r>
  <r>
    <s v="517745065"/>
    <s v="710000741061"/>
    <s v="iHerb_AV CYG0792"/>
    <s v="Доставлен"/>
    <d v="2023-04-15T00:00:00"/>
    <x v="10"/>
    <s v="Спортпит"/>
    <s v="AMX-22897"/>
    <x v="105"/>
    <x v="534"/>
    <n v="23.74"/>
    <n v="-4.75"/>
    <n v="1.4665336805966618"/>
    <n v="4.2597234685558748E-15"/>
    <n v="1.28436894219612"/>
    <n v="1969.485415532142"/>
    <n v="3300"/>
    <x v="339"/>
    <s v="&lt;Клиент не выбран&gt;"/>
    <s v="2023 08"/>
    <n v="1330.514584467858"/>
    <n v="0.67556457842992534"/>
  </r>
  <r>
    <s v="517745065"/>
    <s v="710000741061"/>
    <s v="iHerb_AV CYG0792"/>
    <s v="Доставлен"/>
    <d v="2023-04-15T00:00:00"/>
    <x v="10"/>
    <s v="Спортпит"/>
    <s v="MSC-71046"/>
    <x v="50"/>
    <x v="535"/>
    <n v="38.96"/>
    <n v="-7.79"/>
    <n v="2.4071540191784071"/>
    <n v="6.9918683788776537E-15"/>
    <n v="2.1081506018037421"/>
    <n v="3232.6940706759806"/>
    <n v="4000"/>
    <x v="156"/>
    <s v="&lt;Клиент не выбран&gt;"/>
    <s v="2023 06"/>
    <n v="767.30592932401942"/>
    <n v="0.23735804024399068"/>
  </r>
  <r>
    <s v="517745065"/>
    <s v="710000741061"/>
    <s v="iHerb_AV CYG0792"/>
    <s v="Доставлен"/>
    <d v="2023-04-15T00:00:00"/>
    <x v="10"/>
    <s v="Спортпит"/>
    <s v="EVL-02018"/>
    <x v="125"/>
    <x v="536"/>
    <n v="17.71"/>
    <n v="-1.77"/>
    <n v="1.2309924628073086"/>
    <n v="3.5755656708152008E-15"/>
    <n v="1.0780853574832099"/>
    <n v="1653.1646931849577"/>
    <n v="2600"/>
    <x v="257"/>
    <s v="&lt;Клиент не выбран&gt;"/>
    <s v="2023 05"/>
    <n v="946.83530681504226"/>
    <n v="0.57274106489105214"/>
  </r>
  <r>
    <s v="517745065"/>
    <s v="710000741061"/>
    <s v="iHerb_AV CYG0792"/>
    <s v="Доставлен"/>
    <d v="2023-04-15T00:00:00"/>
    <x v="10"/>
    <s v="Спортпит"/>
    <s v="EVL-55160"/>
    <x v="125"/>
    <x v="537"/>
    <n v="21.5"/>
    <n v="-4.3"/>
    <n v="1.3282980150743855"/>
    <n v="3.8582013511933146E-15"/>
    <n v="1.1633041498564121"/>
    <n v="1783.8414506136303"/>
    <m/>
    <x v="20"/>
    <m/>
    <s v=""/>
    <n v="-1783.8414506136303"/>
    <s v=""/>
  </r>
  <r>
    <s v="517550221"/>
    <s v="710000721246"/>
    <s v="iHerb_OA CZN6870"/>
    <s v="Доставлен"/>
    <d v="2023-04-05T00:00:00"/>
    <x v="10"/>
    <s v="Витамины"/>
    <s v="NOW-00079"/>
    <x v="3"/>
    <x v="538"/>
    <n v="37.32"/>
    <n v="-7.46"/>
    <n v="3.5838647044274028"/>
    <n v="-2.099115121424346E-14"/>
    <n v="2.9689993413751496"/>
    <n v="3119.3378617363328"/>
    <n v="3900"/>
    <x v="301"/>
    <s v="&lt;Клиент не выбран&gt;"/>
    <s v="2023 08"/>
    <n v="780.6621382636672"/>
    <n v="0.25026533606370016"/>
  </r>
  <r>
    <s v="517550221"/>
    <s v="710000721246"/>
    <s v="iHerb_OA CZN6870"/>
    <s v="Доставлен"/>
    <d v="2023-04-05T00:00:00"/>
    <x v="10"/>
    <s v="Витамины"/>
    <s v="NOR-01817"/>
    <x v="9"/>
    <x v="451"/>
    <n v="8.69"/>
    <n v="-1.74"/>
    <n v="0.83415471184763723"/>
    <n v="-4.8857501988945756E-15"/>
    <n v="0.69104304831069285"/>
    <n v="726.0347668810283"/>
    <n v="1400"/>
    <x v="340"/>
    <s v="&lt;Клиент не выбран&gt;"/>
    <s v="2023 10"/>
    <n v="673.9652331189717"/>
    <n v="0.92828231355126145"/>
  </r>
  <r>
    <s v="517550221"/>
    <s v="710000721246"/>
    <s v="iHerb_OA CZN6870"/>
    <s v="Доставлен"/>
    <d v="2023-04-05T00:00:00"/>
    <x v="10"/>
    <s v="Витамины"/>
    <s v="LIL-01629"/>
    <x v="110"/>
    <x v="539"/>
    <n v="20.49"/>
    <n v="-4.0999999999999996"/>
    <n v="1.9671648528320542"/>
    <n v="-1.1521934641709655E-14"/>
    <n v="1.6296684261600369"/>
    <n v="1712.1884646302244"/>
    <n v="3200"/>
    <x v="225"/>
    <s v="&lt;Клиент не выбран&gt;"/>
    <s v="2023 05"/>
    <n v="1487.8115353697756"/>
    <n v="0.86895313577007027"/>
  </r>
  <r>
    <s v="517550221"/>
    <s v="710000721246"/>
    <s v="iHerb_OA CZN6870"/>
    <s v="Доставлен"/>
    <d v="2023-04-05T00:00:00"/>
    <x v="10"/>
    <s v="Витамины"/>
    <s v="NAP-29978"/>
    <x v="11"/>
    <x v="54"/>
    <n v="10.27"/>
    <n v="-2.0550000000000002"/>
    <n v="0.985982871629977"/>
    <n v="-5.7750270336574022E-15"/>
    <n v="0.81682282616868229"/>
    <n v="858.18354099678402"/>
    <n v="2000"/>
    <x v="155"/>
    <s v="&lt;Клиент не выбран&gt;"/>
    <s v="2023 11"/>
    <n v="1141.8164590032161"/>
    <n v="1.3305037960492592"/>
  </r>
  <r>
    <s v="517550221"/>
    <s v="710000721246"/>
    <s v="iHerb_OA CZN6870"/>
    <s v="Доставлен"/>
    <d v="2023-04-05T00:00:00"/>
    <x v="10"/>
    <s v="Витамины"/>
    <s v="NAP-29978"/>
    <x v="11"/>
    <x v="54"/>
    <n v="10.27"/>
    <n v="-2.0550000000000002"/>
    <n v="0.985982871629977"/>
    <n v="-5.7750270336574022E-15"/>
    <n v="0.81682282616868229"/>
    <n v="858.18354099678402"/>
    <n v="2000"/>
    <x v="155"/>
    <s v="&lt;Клиент не выбран&gt;"/>
    <s v="2023 11"/>
    <n v="1141.8164590032161"/>
    <n v="1.3305037960492592"/>
  </r>
  <r>
    <s v="517550221"/>
    <s v="710000721246"/>
    <s v="iHerb_OA CZN6870"/>
    <s v="Доставлен"/>
    <d v="2023-04-05T00:00:00"/>
    <x v="10"/>
    <s v="Витамины"/>
    <s v="NAP-29982"/>
    <x v="11"/>
    <x v="393"/>
    <n v="22.01"/>
    <n v="-4.4000000000000004"/>
    <n v="2.1135920108830062"/>
    <n v="-1.2379577122666688E-14"/>
    <n v="1.7509738245685322"/>
    <n v="1839.6362942122178"/>
    <n v="3400"/>
    <x v="341"/>
    <s v="&lt;Клиент не выбран&gt;"/>
    <s v="2023 10"/>
    <n v="1560.3637057877822"/>
    <n v="0.84819141190947878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333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00"/>
    <x v="240"/>
    <s v="&lt;Клиент не выбран&gt;"/>
    <s v="2023 05"/>
    <n v="28.339702831656552"/>
    <n v="0.16509177310735071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300"/>
    <x v="342"/>
    <s v="&lt;Клиент не выбран&gt;"/>
    <s v="2023 06"/>
    <n v="128.33970283165655"/>
    <n v="0.74763765966102602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300"/>
    <x v="342"/>
    <s v="&lt;Клиент не выбран&gt;"/>
    <s v="2023 06"/>
    <n v="128.33970283165655"/>
    <n v="0.74763765966102602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171.66"/>
    <x v="342"/>
    <s v="&lt;Клиент не выбран&gt;"/>
    <s v="2023 06"/>
    <n v="-2.9716834345094867E-4"/>
    <n v="-1.7311419609131998E-6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n v="250"/>
    <x v="185"/>
    <s v="&lt;Клиент не выбран&gt;"/>
    <s v="2023 11"/>
    <n v="78.339702831656552"/>
    <n v="0.45636471638418835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YUE-00112"/>
    <x v="54"/>
    <x v="540"/>
    <n v="2.0541935483870968"/>
    <n v="-0.41096774193548385"/>
    <n v="0.19722367612679809"/>
    <n v="-1.1551641454244128E-15"/>
    <n v="0.16338701731699559"/>
    <n v="171.66029716834345"/>
    <m/>
    <x v="20"/>
    <m/>
    <s v=""/>
    <n v="-171.66029716834345"/>
    <s v=""/>
  </r>
  <r>
    <s v="517550221"/>
    <s v="710000721246"/>
    <s v="iHerb_OA CZN6870"/>
    <s v="Доставлен"/>
    <d v="2023-04-05T00:00:00"/>
    <x v="10"/>
    <s v="Витамины"/>
    <s v="NAP-29932"/>
    <x v="11"/>
    <x v="541"/>
    <n v="21.4"/>
    <n v="-4.28"/>
    <n v="2.05478110314123"/>
    <n v="-1.2035114159003616E-14"/>
    <n v="1.7022528038962677"/>
    <n v="1788.448231511253"/>
    <n v="2700"/>
    <x v="151"/>
    <s v="&lt;Клиент не выбран&gt;"/>
    <s v="2023 09"/>
    <n v="911.55176848874703"/>
    <n v="0.50968865211070635"/>
  </r>
  <r>
    <s v="517550221"/>
    <s v="710000721246"/>
    <s v="iHerb_OA CZN6870"/>
    <s v="Доставлен"/>
    <d v="2023-04-05T00:00:00"/>
    <x v="10"/>
    <s v="Витамины"/>
    <s v="LIL-00623"/>
    <x v="110"/>
    <x v="351"/>
    <n v="8.02"/>
    <n v="-1.6"/>
    <n v="0.77054291367796135"/>
    <n v="-4.5131678096263564E-15"/>
    <n v="0.6383448014611004"/>
    <n v="670.66808681671978"/>
    <n v="1300"/>
    <x v="343"/>
    <s v="&lt;Клиент не выбран&gt;"/>
    <s v="2023 10"/>
    <n v="629.33191318328022"/>
    <n v="0.93836567678411709"/>
  </r>
  <r>
    <s v="517656161"/>
    <s v="710000732635"/>
    <s v="iHerb_OA CZN6870"/>
    <s v="Доставлен"/>
    <d v="2023-04-10T00:00:00"/>
    <x v="10"/>
    <s v="Витамины"/>
    <s v="FBS-00678"/>
    <x v="20"/>
    <x v="542"/>
    <n v="11.92"/>
    <n v="-1.79"/>
    <n v="0.64085048442000525"/>
    <n v="0"/>
    <n v="0.91688706728365132"/>
    <n v="1049.9489031159987"/>
    <n v="2000"/>
    <x v="344"/>
    <s v="&lt;Клиент не выбран&gt;"/>
    <s v="2023 05"/>
    <n v="950.05109688400125"/>
    <n v="0.90485460203298984"/>
  </r>
  <r>
    <s v="517656161"/>
    <s v="710000732635"/>
    <s v="iHerb_OA CZN6870"/>
    <s v="Доставлен"/>
    <d v="2023-04-10T00:00:00"/>
    <x v="10"/>
    <s v="Витамины"/>
    <s v="CEN-27285"/>
    <x v="2"/>
    <x v="543"/>
    <n v="6.12"/>
    <n v="-0.92"/>
    <n v="0.32896569782665624"/>
    <n v="0"/>
    <n v="0.47066266040226923"/>
    <n v="538.96686043466866"/>
    <n v="1200"/>
    <x v="192"/>
    <s v="&lt;Клиент не выбран&gt;"/>
    <s v="2023 05"/>
    <n v="661.03313956533134"/>
    <n v="1.2264819752224061"/>
  </r>
  <r>
    <s v="517656161"/>
    <s v="710000732635"/>
    <s v="iHerb_OA CZN6870"/>
    <s v="Доставлен"/>
    <d v="2023-04-10T00:00:00"/>
    <x v="10"/>
    <s v="Косметика"/>
    <s v="NBC-01023"/>
    <x v="8"/>
    <x v="544"/>
    <n v="8.9700000000000006"/>
    <n v="-1.79"/>
    <n v="0.45422571353757535"/>
    <n v="0"/>
    <n v="0.6498765195554409"/>
    <n v="744.18885729248495"/>
    <n v="1400"/>
    <x v="345"/>
    <s v="&lt;Клиент не выбран&gt;"/>
    <s v="2024 03"/>
    <n v="655.81114270751505"/>
    <n v="0.88124289457046356"/>
  </r>
  <r>
    <s v="517656161"/>
    <s v="710000732635"/>
    <s v="iHerb_OA CZN6870"/>
    <s v="Доставлен"/>
    <d v="2023-04-10T00:00:00"/>
    <x v="10"/>
    <s v="Косметика"/>
    <s v="DME-00603"/>
    <x v="146"/>
    <x v="545"/>
    <n v="17.14"/>
    <n v="-3.43"/>
    <n v="0.86733071484681867"/>
    <n v="0"/>
    <n v="1.2409202065605982"/>
    <n v="1421.0068570306364"/>
    <m/>
    <x v="20"/>
    <m/>
    <s v=""/>
    <n v="-1421.0068570306364"/>
    <s v=""/>
  </r>
  <r>
    <s v="517656161"/>
    <s v="710000732635"/>
    <s v="iHerb_OA CZN6870"/>
    <s v="Доставлен"/>
    <d v="2023-04-10T00:00:00"/>
    <x v="10"/>
    <s v="Косметика"/>
    <s v="DME-00461"/>
    <x v="146"/>
    <x v="546"/>
    <n v="16.72"/>
    <n v="-3.34"/>
    <n v="0.84645404556166526"/>
    <n v="0"/>
    <n v="1.2110512300350693"/>
    <n v="1386.8031908876667"/>
    <m/>
    <x v="20"/>
    <m/>
    <s v=""/>
    <n v="-1386.8031908876667"/>
    <s v=""/>
  </r>
  <r>
    <s v="517656161"/>
    <s v="710000732635"/>
    <s v="iHerb_OA CZN6870"/>
    <s v="Доставлен"/>
    <d v="2023-04-10T00:00:00"/>
    <x v="10"/>
    <s v="Косметика"/>
    <s v="HEI-76054"/>
    <x v="147"/>
    <x v="547"/>
    <n v="8.51"/>
    <n v="-1.7"/>
    <n v="0.43081853888452476"/>
    <n v="0"/>
    <n v="0.61638706102681784"/>
    <n v="705.83929222309496"/>
    <m/>
    <x v="20"/>
    <m/>
    <s v=""/>
    <n v="-705.83929222309496"/>
    <s v=""/>
  </r>
  <r>
    <s v="517656161"/>
    <s v="710000732635"/>
    <s v="iHerb_OA CZN6870"/>
    <s v="Доставлен"/>
    <d v="2023-04-10T00:00:00"/>
    <x v="10"/>
    <s v="Спортпит"/>
    <s v="UNN-03052"/>
    <x v="137"/>
    <x v="483"/>
    <n v="46.25"/>
    <n v="-9.25"/>
    <n v="2.3407174653050538"/>
    <n v="0"/>
    <n v="3.3489458528623"/>
    <n v="3834.9565069389892"/>
    <n v="6000"/>
    <x v="346"/>
    <s v="&lt;Клиент не выбран&gt;"/>
    <s v="2023 12"/>
    <n v="2165.0434930610108"/>
    <n v="0.56455490150763654"/>
  </r>
  <r>
    <s v="517656161"/>
    <s v="710000732635"/>
    <s v="iHerb_OA CZN6870"/>
    <s v="Доставлен"/>
    <d v="2023-04-10T00:00:00"/>
    <x v="10"/>
    <s v="Косметика"/>
    <s v="TDS-10193"/>
    <x v="148"/>
    <x v="548"/>
    <n v="6.2"/>
    <n v="-0.93"/>
    <n v="0.33339408222047662"/>
    <n v="0"/>
    <n v="0.47699850390768439"/>
    <n v="546.22218355590473"/>
    <m/>
    <x v="20"/>
    <m/>
    <s v=""/>
    <n v="-546.22218355590473"/>
    <s v=""/>
  </r>
  <r>
    <s v="517656161"/>
    <s v="710000732635"/>
    <s v="iHerb_OA CZN6870"/>
    <s v="Доставлен"/>
    <d v="2023-04-10T00:00:00"/>
    <x v="10"/>
    <s v="Витамины"/>
    <s v="NOW-00373"/>
    <x v="3"/>
    <x v="239"/>
    <n v="11.7"/>
    <n v="-2.34"/>
    <n v="0.59213825608798121"/>
    <n v="0"/>
    <n v="0.84719278872408454"/>
    <n v="970.14034878240363"/>
    <n v="1900"/>
    <x v="347"/>
    <s v="&lt;Клиент не выбран&gt;"/>
    <s v="2023 09"/>
    <n v="929.85965121759637"/>
    <n v="0.95847951524193131"/>
  </r>
  <r>
    <s v="517656161"/>
    <s v="710000732635"/>
    <s v="iHerb_OA CZN6870"/>
    <s v="Доставлен"/>
    <d v="2023-04-10T00:00:00"/>
    <x v="10"/>
    <s v="Витамины"/>
    <s v="NOW-01480"/>
    <x v="3"/>
    <x v="165"/>
    <n v="5.24"/>
    <n v="-0.78500000000000003"/>
    <n v="0.281835035349568"/>
    <n v="0"/>
    <n v="0.40323118309463646"/>
    <n v="461.74949293008632"/>
    <n v="1000"/>
    <x v="260"/>
    <s v="&lt;Клиент не выбран&gt;"/>
    <s v="2023 10"/>
    <n v="538.25050706991374"/>
    <n v="1.1656764442866654"/>
  </r>
  <r>
    <s v="517656161"/>
    <s v="710000732635"/>
    <s v="iHerb_OA CZN6870"/>
    <s v="Доставлен"/>
    <d v="2023-04-10T00:00:00"/>
    <x v="10"/>
    <s v="Витамины"/>
    <s v="NOW-01480"/>
    <x v="3"/>
    <x v="165"/>
    <n v="5.24"/>
    <n v="-0.78500000000000003"/>
    <n v="0.281835035349568"/>
    <n v="0"/>
    <n v="0.40323118309463646"/>
    <n v="461.74949293008632"/>
    <n v="1000"/>
    <x v="348"/>
    <s v="&lt;Клиент не выбран&gt;"/>
    <s v="2023 10"/>
    <n v="538.25050706991374"/>
    <n v="1.1656764442866654"/>
  </r>
  <r>
    <s v="517656161"/>
    <s v="710000732635"/>
    <s v="iHerb_OA CZN6870"/>
    <s v="Доставлен"/>
    <d v="2023-04-10T00:00:00"/>
    <x v="10"/>
    <s v="Витамины"/>
    <s v="NOW-03776"/>
    <x v="3"/>
    <x v="549"/>
    <n v="16.54"/>
    <n v="-2.48"/>
    <n v="0.88947263681592037"/>
    <n v="0"/>
    <n v="1.2725994240876739"/>
    <n v="1457.2834726368155"/>
    <n v="2500"/>
    <x v="253"/>
    <s v="&lt;Клиент не выбран&gt;"/>
    <s v="2023 05"/>
    <n v="1042.7165273631845"/>
    <n v="0.71552072533732114"/>
  </r>
  <r>
    <s v="517656161"/>
    <s v="710000732635"/>
    <s v="iHerb_OA CZN6870"/>
    <s v="Доставлен"/>
    <d v="2023-04-10T00:00:00"/>
    <x v="10"/>
    <s v="Витамины"/>
    <s v="NOW-01662"/>
    <x v="3"/>
    <x v="122"/>
    <n v="25.37"/>
    <n v="-5.0750000000000002"/>
    <n v="1.2839151610369208"/>
    <n v="0"/>
    <n v="1.8369420563200103"/>
    <n v="2103.5254677926155"/>
    <n v="3400"/>
    <x v="198"/>
    <s v="&lt;Клиент не выбран&gt;"/>
    <s v="2023 11"/>
    <n v="1296.4745322073845"/>
    <n v="0.61633412671151111"/>
  </r>
  <r>
    <s v="517656161"/>
    <s v="710000732635"/>
    <s v="iHerb_OA CZN6870"/>
    <s v="Доставлен"/>
    <d v="2023-04-10T00:00:00"/>
    <x v="10"/>
    <s v="Витамины"/>
    <s v="NOW-01662"/>
    <x v="3"/>
    <x v="122"/>
    <n v="25.37"/>
    <n v="-5.0750000000000002"/>
    <n v="1.2839151610369208"/>
    <n v="0"/>
    <n v="1.8369420563200103"/>
    <n v="2103.5254677926155"/>
    <n v="3500"/>
    <x v="349"/>
    <s v="&lt;Клиент не выбран&gt;"/>
    <s v="2023 12"/>
    <n v="1396.4745322073845"/>
    <n v="0.66387336573243794"/>
  </r>
  <r>
    <s v="517656161"/>
    <s v="710000732635"/>
    <s v="iHerb_OA CZN6870"/>
    <s v="Доставлен"/>
    <d v="2023-04-10T00:00:00"/>
    <x v="10"/>
    <s v="Витамины"/>
    <s v="CEN-22380"/>
    <x v="2"/>
    <x v="158"/>
    <n v="6.13"/>
    <n v="-0.92"/>
    <n v="0.32959832416863055"/>
    <n v="0"/>
    <n v="0.47156778090304274"/>
    <n v="540.00333516627381"/>
    <n v="1700"/>
    <x v="262"/>
    <s v="&lt;Клиент не выбран&gt;"/>
    <s v="2023 11"/>
    <n v="1159.9966648337263"/>
    <n v="2.1481287045691091"/>
  </r>
  <r>
    <s v="517656161"/>
    <s v="710000732635"/>
    <s v="iHerb_OA CZN6870"/>
    <s v="Доставлен"/>
    <d v="2023-04-10T00:00:00"/>
    <x v="10"/>
    <s v="Витамины"/>
    <s v="CEN-22380"/>
    <x v="2"/>
    <x v="158"/>
    <n v="6.13"/>
    <n v="-0.92"/>
    <n v="0.32959832416863055"/>
    <n v="0"/>
    <n v="0.47156778090304274"/>
    <n v="540.00333516627381"/>
    <n v="1700"/>
    <x v="350"/>
    <s v="&lt;Клиент не выбран&gt;"/>
    <s v="2024 03"/>
    <n v="1159.9966648337263"/>
    <n v="2.1481287045691091"/>
  </r>
  <r>
    <s v="517656161"/>
    <s v="710000732635"/>
    <s v="iHerb_OA CZN6870"/>
    <s v="Доставлен"/>
    <d v="2023-04-10T00:00:00"/>
    <x v="10"/>
    <s v="Витамины"/>
    <s v="CEN-27308"/>
    <x v="2"/>
    <x v="81"/>
    <n v="5.29"/>
    <n v="-0.79"/>
    <n v="0.28468185388845246"/>
    <n v="0"/>
    <n v="0.40730422534811755"/>
    <n v="466.41362922230945"/>
    <n v="900"/>
    <x v="351"/>
    <m/>
    <s v="2025 09"/>
    <n v="433.58637077769055"/>
    <n v="0.92961771185941855"/>
  </r>
  <r>
    <s v="517656161"/>
    <s v="710000732635"/>
    <s v="iHerb_OA CZN6870"/>
    <s v="Доставлен"/>
    <d v="2023-04-10T00:00:00"/>
    <x v="10"/>
    <s v="Витамины"/>
    <s v="CEN-27305"/>
    <x v="2"/>
    <x v="82"/>
    <n v="5.21"/>
    <n v="-0.78"/>
    <n v="0.28025346949463209"/>
    <n v="0"/>
    <n v="0.40096838184270234"/>
    <n v="459.15830610107344"/>
    <n v="1600"/>
    <x v="352"/>
    <s v="&lt;Клиент не выбран&gt;"/>
    <s v="2024 10"/>
    <n v="1140.8416938989267"/>
    <n v="2.4846369514391315"/>
  </r>
  <r>
    <s v="709832013"/>
    <n v="0"/>
    <s v="CoralClub_AV"/>
    <s v="Доставлен"/>
    <d v="2023-04-24T00:00:00"/>
    <x v="10"/>
    <s v="Витамины"/>
    <s v="000091865"/>
    <x v="79"/>
    <x v="228"/>
    <n v="1200"/>
    <n v="0"/>
    <n v="0"/>
    <n v="0"/>
    <n v="0"/>
    <n v="1200"/>
    <n v="1500"/>
    <x v="294"/>
    <s v="&lt;Клиент не выбран&gt;"/>
    <s v="2023 04"/>
    <n v="300"/>
    <n v="0.25"/>
  </r>
  <r>
    <s v="709832013"/>
    <n v="0"/>
    <s v="CoralClub_AV"/>
    <s v="Доставлен"/>
    <d v="2023-04-24T00:00:00"/>
    <x v="10"/>
    <s v="Витамины"/>
    <s v="000091865"/>
    <x v="79"/>
    <x v="228"/>
    <n v="1200"/>
    <n v="0"/>
    <n v="0"/>
    <n v="0"/>
    <n v="0"/>
    <n v="1200"/>
    <n v="1500"/>
    <x v="353"/>
    <s v="&lt;Клиент не выбран&gt;"/>
    <s v="2023 05"/>
    <n v="300"/>
    <n v="0.25"/>
  </r>
  <r>
    <s v="OZA0105"/>
    <n v="0"/>
    <s v="OZON_AV"/>
    <s v="Доставлен"/>
    <d v="2023-04-19T00:00:00"/>
    <x v="10"/>
    <s v="Спортпит"/>
    <s v="825959086"/>
    <x v="108"/>
    <x v="415"/>
    <n v="691.1"/>
    <n v="0"/>
    <n v="0"/>
    <n v="0"/>
    <n v="103.66499999999999"/>
    <n v="794.76499999999999"/>
    <n v="1600"/>
    <x v="279"/>
    <s v="&lt;Клиент не выбран&gt;"/>
    <s v="2023 04"/>
    <n v="805.23500000000001"/>
    <n v="1.0131737054349399"/>
  </r>
  <r>
    <s v="OZA0105"/>
    <n v="0"/>
    <s v="OZON_AV"/>
    <s v="Доставлен"/>
    <d v="2023-04-19T00:00:00"/>
    <x v="10"/>
    <s v="Спортпит"/>
    <s v="825959086"/>
    <x v="108"/>
    <x v="415"/>
    <n v="691.1"/>
    <n v="0"/>
    <n v="0"/>
    <n v="0"/>
    <n v="103.66499999999999"/>
    <n v="794.76499999999999"/>
    <n v="1700"/>
    <x v="354"/>
    <s v="&lt;Клиент не выбран&gt;"/>
    <s v="2023 09"/>
    <n v="905.23500000000001"/>
    <n v="1.1389970620246237"/>
  </r>
  <r>
    <s v="OZA0105"/>
    <n v="0"/>
    <s v="OZON_AV"/>
    <s v="Доставлен"/>
    <d v="2023-04-19T00:00:00"/>
    <x v="10"/>
    <s v="Спортпит"/>
    <s v="626914560"/>
    <x v="108"/>
    <x v="477"/>
    <n v="761.6"/>
    <n v="0"/>
    <n v="0"/>
    <n v="0"/>
    <n v="114.24"/>
    <n v="875.84"/>
    <n v="1500"/>
    <x v="156"/>
    <s v="&lt;Клиент не выбран&gt;"/>
    <s v="2023 06"/>
    <n v="624.16"/>
    <n v="0.71264157837047859"/>
  </r>
  <r>
    <s v="OZA0105"/>
    <n v="0"/>
    <s v="OZON_AV"/>
    <s v="Доставлен"/>
    <d v="2023-04-19T00:00:00"/>
    <x v="10"/>
    <s v="Спортпит"/>
    <s v="626914560"/>
    <x v="108"/>
    <x v="477"/>
    <n v="761.6"/>
    <n v="0"/>
    <n v="0"/>
    <n v="0"/>
    <n v="114.24"/>
    <n v="875.84"/>
    <n v="1600"/>
    <x v="156"/>
    <s v="&lt;Клиент не выбран&gt;"/>
    <s v="2023 06"/>
    <n v="724.16"/>
    <n v="0.82681768359517716"/>
  </r>
  <r>
    <s v="OZA0105"/>
    <n v="0"/>
    <s v="OZON_AV"/>
    <s v="Доставлен"/>
    <d v="2023-04-19T00:00:00"/>
    <x v="10"/>
    <s v="Спортпит"/>
    <s v="626914560"/>
    <x v="108"/>
    <x v="477"/>
    <n v="761.6"/>
    <n v="0"/>
    <n v="0"/>
    <n v="0"/>
    <n v="114.24"/>
    <n v="875.84"/>
    <n v="1600"/>
    <x v="317"/>
    <s v="&lt;Клиент не выбран&gt;"/>
    <s v="2023 06"/>
    <n v="724.16"/>
    <n v="0.82681768359517716"/>
  </r>
  <r>
    <s v="OZA0106"/>
    <n v="0"/>
    <s v="OZON_AV"/>
    <s v="Доставлен"/>
    <d v="2023-04-20T00:00:00"/>
    <x v="10"/>
    <s v="Спортпит"/>
    <s v="309538221"/>
    <x v="104"/>
    <x v="445"/>
    <n v="1588"/>
    <n v="0"/>
    <n v="0"/>
    <n v="0"/>
    <n v="238.2"/>
    <n v="1826.2"/>
    <n v="3000"/>
    <x v="269"/>
    <s v="&lt;Клиент не выбран&gt;"/>
    <s v="2023 04"/>
    <n v="1173.8"/>
    <n v="0.64275544847223742"/>
  </r>
  <r>
    <s v="OZA0106"/>
    <n v="0"/>
    <s v="OZON_AV"/>
    <s v="Доставлен"/>
    <d v="2023-04-20T00:00:00"/>
    <x v="10"/>
    <s v="Спортпит"/>
    <s v="309538221"/>
    <x v="104"/>
    <x v="445"/>
    <n v="1588"/>
    <n v="0"/>
    <n v="0"/>
    <n v="0"/>
    <n v="238.2"/>
    <n v="1826.2"/>
    <n v="3100"/>
    <x v="253"/>
    <s v="&lt;Клиент не выбран&gt;"/>
    <s v="2023 05"/>
    <n v="1273.8"/>
    <n v="0.697513963421312"/>
  </r>
  <r>
    <s v="OZA0106"/>
    <n v="0"/>
    <s v="OZON_AV"/>
    <s v="Доставлен"/>
    <d v="2023-04-20T00:00:00"/>
    <x v="10"/>
    <s v="Спортпит"/>
    <s v="650779619"/>
    <x v="149"/>
    <x v="550"/>
    <n v="307"/>
    <n v="0"/>
    <n v="0"/>
    <n v="0"/>
    <n v="46.05"/>
    <n v="353.05"/>
    <n v="500"/>
    <x v="191"/>
    <s v="&lt;Клиент не выбран&gt;"/>
    <s v="2023 04"/>
    <n v="146.94999999999999"/>
    <n v="0.41622999575130998"/>
  </r>
  <r>
    <s v="OZA0106"/>
    <n v="0"/>
    <s v="OZON_AV"/>
    <s v="Доставлен"/>
    <d v="2023-04-20T00:00:00"/>
    <x v="10"/>
    <s v="Спортпит"/>
    <s v="628950568"/>
    <x v="150"/>
    <x v="551"/>
    <n v="433"/>
    <n v="0"/>
    <n v="0"/>
    <n v="0"/>
    <n v="64.949999999999989"/>
    <n v="497.95"/>
    <n v="800"/>
    <x v="191"/>
    <s v="&lt;Клиент не выбран&gt;"/>
    <s v="2023 04"/>
    <n v="302.05"/>
    <n v="0.60658700672758314"/>
  </r>
  <r>
    <s v="WB0073"/>
    <n v="0"/>
    <s v="WBRS"/>
    <s v="Доставлен"/>
    <d v="2023-04-19T00:00:00"/>
    <x v="10"/>
    <s v="Витамины"/>
    <s v=" 66190183"/>
    <x v="112"/>
    <x v="552"/>
    <n v="567"/>
    <m/>
    <n v="0"/>
    <n v="0"/>
    <n v="85.05"/>
    <n v="652.04999999999995"/>
    <n v="1200"/>
    <x v="167"/>
    <s v="&lt;Клиент не выбран&gt;"/>
    <s v="2023 05"/>
    <n v="547.95000000000005"/>
    <n v="0.84034966643662312"/>
  </r>
  <r>
    <s v="WB0073"/>
    <n v="0"/>
    <s v="WBRS"/>
    <s v="Доставлен"/>
    <d v="2023-04-19T00:00:00"/>
    <x v="10"/>
    <s v="Витамины"/>
    <s v=" 66190183"/>
    <x v="112"/>
    <x v="552"/>
    <n v="567"/>
    <m/>
    <n v="0"/>
    <n v="0"/>
    <n v="85.05"/>
    <n v="652.04999999999995"/>
    <n v="1200"/>
    <x v="46"/>
    <s v="&lt;Клиент не выбран&gt;"/>
    <s v="2023 09"/>
    <n v="547.95000000000005"/>
    <n v="0.84034966643662312"/>
  </r>
  <r>
    <s v="517803063"/>
    <s v="710000746689"/>
    <s v="iHerb_VP DFD1605"/>
    <s v="Доставлен"/>
    <d v="2023-04-18T00:00:00"/>
    <x v="10"/>
    <s v="Витамины"/>
    <s v="NOW-00035"/>
    <x v="3"/>
    <x v="553"/>
    <n v="19.78"/>
    <n v="-1.98"/>
    <n v="0.60874073400336548"/>
    <n v="4.601450069227264E-15"/>
    <n v="1.0818623395146727"/>
    <n v="1777.1845741052352"/>
    <n v="2700"/>
    <x v="244"/>
    <s v="&lt;Клиент не выбран&gt;"/>
    <s v="2023 06"/>
    <n v="922.81542589476476"/>
    <n v="0.5192569411983432"/>
  </r>
  <r>
    <s v="517803063"/>
    <s v="710000746689"/>
    <s v="iHerb_VP DFD1605"/>
    <s v="Доставлен"/>
    <d v="2023-04-18T00:00:00"/>
    <x v="10"/>
    <s v="Витамины"/>
    <s v="NOW-04606"/>
    <x v="3"/>
    <x v="397"/>
    <n v="7.83"/>
    <n v="-0.78"/>
    <n v="0.24110236936650151"/>
    <n v="1.8224844375310227E-15"/>
    <n v="0.42849042098755302"/>
    <n v="703.88490154168028"/>
    <n v="1400"/>
    <x v="244"/>
    <s v="&lt;Клиент не выбран&gt;"/>
    <s v="2023 06"/>
    <n v="696.11509845831972"/>
    <n v="0.98896154319215712"/>
  </r>
  <r>
    <s v="517803063"/>
    <s v="710000746689"/>
    <s v="iHerb_VP DFD1605"/>
    <s v="Доставлен"/>
    <d v="2023-04-18T00:00:00"/>
    <x v="10"/>
    <s v="Витамины"/>
    <s v="SOL-01721"/>
    <x v="19"/>
    <x v="126"/>
    <n v="17.87"/>
    <n v="0"/>
    <n v="0.61113465823821012"/>
    <n v="4.6195456593871465E-15"/>
    <n v="1.0861168543329889"/>
    <n v="1784.1735022056491"/>
    <n v="2500"/>
    <x v="156"/>
    <s v="&lt;Клиент не выбран&gt;"/>
    <s v="2023 06"/>
    <n v="715.82649779435087"/>
    <n v="0.40120901745790111"/>
  </r>
  <r>
    <s v="517803063"/>
    <s v="710000746689"/>
    <s v="iHerb_VP DFD1605"/>
    <s v="Доставлен"/>
    <d v="2023-04-18T00:00:00"/>
    <x v="10"/>
    <s v="Витамины"/>
    <s v="NFS-04956"/>
    <x v="23"/>
    <x v="354"/>
    <n v="33.04"/>
    <n v="-4.96"/>
    <n v="0.96030560734912929"/>
    <n v="7.2589167384214355E-15"/>
    <n v="1.7066682299759557"/>
    <n v="2803.5585865660119"/>
    <n v="4200"/>
    <x v="348"/>
    <s v="&lt;Клиент не выбран&gt;"/>
    <s v="2023 10"/>
    <n v="1396.4414134339881"/>
    <n v="0.49809603413511827"/>
  </r>
  <r>
    <s v="517803063"/>
    <s v="710000746689"/>
    <s v="iHerb_VP DFD1605"/>
    <s v="Доставлен"/>
    <d v="2023-04-18T00:00:00"/>
    <x v="10"/>
    <s v="Витамины"/>
    <s v="NFS-04913"/>
    <x v="23"/>
    <x v="104"/>
    <n v="14.73"/>
    <n v="-2.21"/>
    <n v="0.42817044886079414"/>
    <n v="3.2365255543104123E-15"/>
    <n v="0.76095036464739918"/>
    <n v="1250.0197116740194"/>
    <n v="2200"/>
    <x v="117"/>
    <s v="&lt;Клиент не выбран&gt;"/>
    <s v="2023 06"/>
    <n v="949.98028832598061"/>
    <n v="0.75997224640063665"/>
  </r>
  <r>
    <s v="517803063"/>
    <s v="710000746689"/>
    <s v="iHerb_VP DFD1605"/>
    <s v="Доставлен"/>
    <d v="2023-04-18T00:00:00"/>
    <x v="10"/>
    <s v="Витамины"/>
    <s v="NFS-04913"/>
    <x v="23"/>
    <x v="104"/>
    <n v="14.73"/>
    <n v="-2.21"/>
    <n v="0.42817044886079414"/>
    <n v="3.2365255543104123E-15"/>
    <n v="0.76095036464739918"/>
    <n v="1250.0197116740194"/>
    <n v="2200"/>
    <x v="146"/>
    <s v="&lt;Клиент не выбран&gt;"/>
    <s v="2023 07"/>
    <n v="949.98028832598061"/>
    <n v="0.75997224640063665"/>
  </r>
  <r>
    <s v="517803063"/>
    <s v="710000746689"/>
    <s v="iHerb_VP DFD1605"/>
    <s v="Доставлен"/>
    <d v="2023-04-18T00:00:00"/>
    <x v="10"/>
    <s v="Витамины"/>
    <s v="NFS-04955"/>
    <x v="23"/>
    <x v="554"/>
    <n v="19.5"/>
    <n v="-2.93"/>
    <n v="0.56667606530538006"/>
    <n v="4.283484699275043E-15"/>
    <n v="1.0071044362785466"/>
    <n v="1654.3791231979633"/>
    <n v="2600"/>
    <x v="238"/>
    <s v="&lt;Клиент не выбран&gt;"/>
    <s v="2023 08"/>
    <n v="945.62087680203672"/>
    <n v="0.57158656292405574"/>
  </r>
  <r>
    <s v="517803063"/>
    <s v="710000746689"/>
    <s v="iHerb_VP DFD1605"/>
    <s v="Доставлен"/>
    <d v="2023-04-18T00:00:00"/>
    <x v="10"/>
    <s v="Витамины"/>
    <s v="NFS-04993"/>
    <x v="23"/>
    <x v="555"/>
    <n v="21.29"/>
    <n v="-3.19"/>
    <n v="0.61900040929555689"/>
    <n v="4.6790025984839025E-15"/>
    <n v="1.1000959744503132"/>
    <n v="1807.1371231070084"/>
    <n v="2900"/>
    <x v="276"/>
    <s v="&lt;Клиент не выбран&gt;"/>
    <s v="2023 09"/>
    <n v="1092.8628768929916"/>
    <n v="0.60474817484465926"/>
  </r>
  <r>
    <s v="517803063"/>
    <s v="710000746689"/>
    <s v="iHerb_VP DFD1605"/>
    <s v="Доставлен"/>
    <d v="2023-04-18T00:00:00"/>
    <x v="10"/>
    <s v="Витамины"/>
    <s v="SRE-01347"/>
    <x v="36"/>
    <x v="556"/>
    <n v="28.2"/>
    <n v="-16.21"/>
    <n v="0.41004502251125569"/>
    <n v="3.0995160859570159E-15"/>
    <n v="0.72873760959443401"/>
    <n v="1197.1035417708858"/>
    <n v="1197.0999999999999"/>
    <x v="355"/>
    <s v="&lt;Клиент не выбран&gt;"/>
    <s v="2023 07"/>
    <n v="-3.5417708859313279E-3"/>
    <n v="-2.958616997066064E-6"/>
  </r>
  <r>
    <s v="517803063"/>
    <s v="710000746689"/>
    <s v="iHerb_VP DFD1605"/>
    <s v="Доставлен"/>
    <d v="2023-04-18T00:00:00"/>
    <x v="10"/>
    <s v="Витамины"/>
    <s v="SOL-00432"/>
    <x v="19"/>
    <x v="557"/>
    <n v="26.73"/>
    <n v="0"/>
    <n v="0.91413706853426735"/>
    <n v="6.9099303567665591E-15"/>
    <n v="1.6246168727655734"/>
    <n v="2668.7721160580304"/>
    <n v="3400"/>
    <x v="156"/>
    <s v="&lt;Клиент не выбран&gt;"/>
    <s v="2023 06"/>
    <n v="731.22788394196959"/>
    <n v="0.27399412619090391"/>
  </r>
  <r>
    <s v="517803063"/>
    <s v="710000746689"/>
    <s v="iHerb_VP DFD1605"/>
    <s v="Доставлен"/>
    <d v="2023-04-18T00:00:00"/>
    <x v="10"/>
    <s v="Витамины"/>
    <s v="LEX-19456"/>
    <x v="7"/>
    <x v="558"/>
    <n v="10.54"/>
    <n v="-1.05"/>
    <n v="0.32454772840965945"/>
    <n v="2.4532450088183553E-15"/>
    <n v="0.57679065179742939"/>
    <n v="947.49896675610557"/>
    <n v="1500"/>
    <x v="286"/>
    <s v="&lt;Клиент не выбран&gt;"/>
    <s v="2023 06"/>
    <n v="552.50103324389443"/>
    <n v="0.58311518284337394"/>
  </r>
  <r>
    <s v="517803063"/>
    <s v="710000746689"/>
    <s v="iHerb_VP DFD1605"/>
    <s v="Доставлен"/>
    <d v="2023-04-18T00:00:00"/>
    <x v="10"/>
    <s v="Витамины"/>
    <s v="NFS-01121"/>
    <x v="23"/>
    <x v="559"/>
    <n v="7.95"/>
    <n v="-1.19"/>
    <n v="0.23118468325071631"/>
    <n v="1.7475169925829383E-15"/>
    <n v="0.41086457388310049"/>
    <n v="674.9307708399657"/>
    <n v="1500"/>
    <x v="207"/>
    <s v="&lt;Клиент не выбран&gt;"/>
    <s v="2023 06"/>
    <n v="825.0692291600343"/>
    <n v="1.2224501605301208"/>
  </r>
  <r>
    <s v="517803063"/>
    <s v="710000746689"/>
    <s v="iHerb_VP DFD1605"/>
    <s v="Доставлен"/>
    <d v="2023-04-18T00:00:00"/>
    <x v="10"/>
    <s v="Витамины"/>
    <s v="CGN-01101"/>
    <x v="1"/>
    <x v="560"/>
    <n v="23"/>
    <n v="-13.8"/>
    <n v="0.31463004229387431"/>
    <n v="2.3782775638702708E-15"/>
    <n v="0.55916480469297691"/>
    <n v="918.54483605439111"/>
    <n v="918.54"/>
    <x v="204"/>
    <s v="&lt;Клиент не выбран&gt;"/>
    <s v="2023 04"/>
    <n v="-4.8360543911485365E-3"/>
    <n v="-5.264908365194023E-6"/>
  </r>
  <r>
    <s v="517803063"/>
    <s v="710000746689"/>
    <s v="iHerb_VP DFD1605"/>
    <s v="Доставлен"/>
    <d v="2023-04-18T00:00:00"/>
    <x v="10"/>
    <s v="Витамины"/>
    <s v="VPB-54131"/>
    <x v="81"/>
    <x v="561"/>
    <n v="15.3"/>
    <n v="-3.06"/>
    <n v="0.41859475192141538"/>
    <n v="3.1641431936708826E-15"/>
    <n v="0.74393230537413457"/>
    <n v="1222.0639992723641"/>
    <n v="2300"/>
    <x v="356"/>
    <s v="&lt;Клиент не выбран&gt;"/>
    <s v="2023 09"/>
    <n v="1077.9360007276359"/>
    <n v="0.88206182439664027"/>
  </r>
  <r>
    <s v="517803063"/>
    <s v="710000746689"/>
    <s v="iHerb_VP DFD1605"/>
    <s v="Доставлен"/>
    <d v="2023-04-18T00:00:00"/>
    <x v="10"/>
    <s v="Косметика"/>
    <s v="ARH-00546"/>
    <x v="29"/>
    <x v="562"/>
    <n v="5.2"/>
    <n v="-0.52"/>
    <n v="0.16005093455818822"/>
    <n v="1.2098194564035726E-15"/>
    <n v="0.28444470499599256"/>
    <n v="467.25976442766859"/>
    <n v="800"/>
    <x v="156"/>
    <s v="&lt;Клиент не выбран&gt;"/>
    <s v="2023 06"/>
    <n v="332.74023557233141"/>
    <n v="0.71210975329727821"/>
  </r>
  <r>
    <s v="517803063"/>
    <s v="710000746689"/>
    <s v="iHerb_VP DFD1605"/>
    <s v="Доставлен"/>
    <d v="2023-04-18T00:00:00"/>
    <x v="10"/>
    <s v="Косметика"/>
    <s v="ARH-19792"/>
    <x v="29"/>
    <x v="510"/>
    <n v="5.14"/>
    <n v="-0.51"/>
    <n v="0.15834098867615631"/>
    <n v="1.1968940348607995E-15"/>
    <n v="0.2814057658400525"/>
    <n v="462.26767292737293"/>
    <m/>
    <x v="20"/>
    <m/>
    <s v=""/>
    <n v="-462.26767292737293"/>
    <s v=""/>
  </r>
  <r>
    <s v="517803063"/>
    <s v="710000746689"/>
    <s v="iHerb_VP DFD1605"/>
    <s v="Доставлен"/>
    <d v="2023-04-18T00:00:00"/>
    <x v="10"/>
    <s v="Косметика"/>
    <s v="ARH-19724"/>
    <x v="29"/>
    <x v="563"/>
    <n v="4.07"/>
    <n v="-0.41"/>
    <n v="0.12516803856473696"/>
    <n v="9.4614085693099923E-16"/>
    <n v="0.22245034621481471"/>
    <n v="365.42109782163834"/>
    <n v="800"/>
    <x v="300"/>
    <s v="&lt;Клиент не выбран&gt;"/>
    <s v="2023 12"/>
    <n v="434.57890217836166"/>
    <n v="1.1892550943801257"/>
  </r>
  <r>
    <s v="517933605"/>
    <s v="710000760111"/>
    <s v="iHerb_MH DLE7202"/>
    <s v="Доставлен"/>
    <d v="2023-04-26T00:00:00"/>
    <x v="10"/>
    <s v="Витамины"/>
    <s v="SNS-01303"/>
    <x v="151"/>
    <x v="564"/>
    <n v="30.67"/>
    <n v="-3.07"/>
    <n v="2.1795846738812528"/>
    <n v="0"/>
    <n v="1.821717201260928"/>
    <n v="2844.1171687627962"/>
    <n v="3600"/>
    <x v="156"/>
    <s v="&lt;Клиент не выбран&gt;"/>
    <s v="2023 06"/>
    <n v="755.88283123720385"/>
    <n v="0.26577063685671443"/>
  </r>
  <r>
    <s v="517933605"/>
    <s v="710000760111"/>
    <s v="iHerb_MH DLE7202"/>
    <s v="Доставлен"/>
    <d v="2023-04-26T00:00:00"/>
    <x v="10"/>
    <s v="Витамины"/>
    <s v="CGN-01033"/>
    <x v="1"/>
    <x v="1"/>
    <n v="17"/>
    <n v="-5.0999999999999996"/>
    <n v="0.93974846446329352"/>
    <n v="0"/>
    <n v="0.78545053242771889"/>
    <n v="1226.2679097201913"/>
    <n v="2400"/>
    <x v="357"/>
    <s v="&lt;Клиент не выбран&gt;"/>
    <s v="2024 03"/>
    <n v="1173.7320902798087"/>
    <n v="0.95715795950954141"/>
  </r>
  <r>
    <s v="517933605"/>
    <s v="710000760111"/>
    <s v="iHerb_MH DLE7202"/>
    <s v="Доставлен"/>
    <d v="2023-04-26T00:00:00"/>
    <x v="10"/>
    <s v="Витамины"/>
    <s v="CGN-01033"/>
    <x v="1"/>
    <x v="1"/>
    <n v="17"/>
    <n v="-5.0999999999999996"/>
    <n v="0.93974846446329352"/>
    <n v="0"/>
    <n v="0.78545053242771889"/>
    <n v="1226.2679097201913"/>
    <n v="2400"/>
    <x v="315"/>
    <s v="&lt;Клиент не выбран&gt;"/>
    <s v="2024 04"/>
    <n v="1173.7320902798087"/>
    <n v="0.95715795950954141"/>
  </r>
  <r>
    <s v="517933605"/>
    <s v="710000760111"/>
    <s v="iHerb_MH DLE7202"/>
    <s v="Доставлен"/>
    <d v="2023-04-26T00:00:00"/>
    <x v="10"/>
    <s v="Витамины"/>
    <s v="CGN-01033"/>
    <x v="1"/>
    <x v="1"/>
    <n v="17"/>
    <n v="-5.0999999999999996"/>
    <n v="0.93974846446329352"/>
    <n v="0"/>
    <n v="0.78545053242771889"/>
    <n v="1226.2679097201913"/>
    <n v="2300"/>
    <x v="326"/>
    <s v="&lt;Клиент не выбран&gt;"/>
    <s v="2024 04"/>
    <n v="1073.7320902798087"/>
    <n v="0.87560971119664377"/>
  </r>
  <r>
    <s v="517933605"/>
    <s v="710000760111"/>
    <s v="iHerb_MH DLE7202"/>
    <s v="Доставлен"/>
    <d v="2023-04-26T00:00:00"/>
    <x v="10"/>
    <s v="Витамины"/>
    <s v="CGN-01033"/>
    <x v="1"/>
    <x v="1"/>
    <n v="17"/>
    <n v="-5.0999999999999996"/>
    <n v="0.93974846446329352"/>
    <n v="0"/>
    <n v="0.78545053242771889"/>
    <n v="1226.2679097201913"/>
    <n v="2300"/>
    <x v="326"/>
    <s v="&lt;Клиент не выбран&gt;"/>
    <s v="2024 04"/>
    <n v="1073.7320902798087"/>
    <n v="0.87560971119664377"/>
  </r>
  <r>
    <s v="517933605"/>
    <s v="710000760111"/>
    <s v="iHerb_MH DLE7202"/>
    <s v="Доставлен"/>
    <d v="2023-04-26T00:00:00"/>
    <x v="10"/>
    <s v="Витамины"/>
    <s v="NWY-11534"/>
    <x v="16"/>
    <x v="565"/>
    <n v="12.68"/>
    <n v="-2.54"/>
    <n v="0.80076045627376446"/>
    <n v="0"/>
    <n v="0.66928305872412353"/>
    <n v="1044.9039163498101"/>
    <n v="1600"/>
    <x v="248"/>
    <s v="&lt;Клиент не выбран&gt;"/>
    <s v="2023 06"/>
    <n v="555.09608365018994"/>
    <n v="0.53124127009622235"/>
  </r>
  <r>
    <s v="517933605"/>
    <s v="710000760111"/>
    <s v="iHerb_MH DLE7202"/>
    <s v="Доставлен"/>
    <d v="2023-04-26T00:00:00"/>
    <x v="10"/>
    <s v="Витамины"/>
    <s v="SRE-01347"/>
    <x v="36"/>
    <x v="556"/>
    <n v="28.2"/>
    <n v="-16.21"/>
    <n v="0.94685580579116702"/>
    <n v="0"/>
    <n v="0.79139091460574351"/>
    <n v="1235.5422048357218"/>
    <n v="2800"/>
    <x v="223"/>
    <s v="&lt;Клиент не выбран&gt;"/>
    <s v="2023 08"/>
    <n v="1564.4577951642782"/>
    <n v="1.2662115377695975"/>
  </r>
  <r>
    <s v="517933605"/>
    <s v="710000760111"/>
    <s v="iHerb_MH DLE7202"/>
    <s v="Доставлен"/>
    <d v="2023-04-26T00:00:00"/>
    <x v="10"/>
    <s v="Витамины"/>
    <s v="DRB-00203"/>
    <x v="6"/>
    <x v="566"/>
    <n v="12.39"/>
    <n v="-2.48"/>
    <n v="0.78259725065808738"/>
    <n v="0"/>
    <n v="0.65410208204694908"/>
    <n v="1021.2029399434532"/>
    <n v="1700"/>
    <x v="286"/>
    <s v="&lt;Клиент не выбран&gt;"/>
    <s v="2023 06"/>
    <n v="678.7970600565468"/>
    <n v="0.66470339391515432"/>
  </r>
  <r>
    <s v="517933605"/>
    <s v="710000760111"/>
    <s v="iHerb_MH DLE7202"/>
    <s v="Доставлен"/>
    <d v="2023-04-26T00:00:00"/>
    <x v="10"/>
    <s v="Спортпит"/>
    <s v="EVL-02017"/>
    <x v="125"/>
    <x v="567"/>
    <n v="19.190000000000001"/>
    <n v="-1.92"/>
    <n v="1.3638198303597551"/>
    <n v="0"/>
    <n v="1.13989333571653"/>
    <n v="1779.6341849468658"/>
    <m/>
    <x v="20"/>
    <m/>
    <s v=""/>
    <n v="-1779.6341849468658"/>
    <s v=""/>
  </r>
  <r>
    <s v="517933605"/>
    <s v="710000760111"/>
    <s v="iHerb_MH DLE7202"/>
    <s v="Доставлен"/>
    <d v="2023-04-26T00:00:00"/>
    <x v="10"/>
    <s v="Косметика"/>
    <s v="PSK-01936"/>
    <x v="152"/>
    <x v="568"/>
    <n v="13"/>
    <n v="-3.9"/>
    <n v="0.71863117870722448"/>
    <n v="0"/>
    <n v="0.6006386424447262"/>
    <n v="937.73428390367565"/>
    <m/>
    <x v="20"/>
    <m/>
    <s v=""/>
    <n v="-937.73428390367565"/>
    <s v=""/>
  </r>
  <r>
    <s v="517933605"/>
    <s v="710000760111"/>
    <s v="iHerb_MH DLE7202"/>
    <s v="Доставлен"/>
    <d v="2023-04-26T00:00:00"/>
    <x v="10"/>
    <s v="Витамины"/>
    <s v="NOW-03151"/>
    <x v="3"/>
    <x v="569"/>
    <n v="25.06"/>
    <n v="-5.01"/>
    <n v="1.5833577069318516"/>
    <n v="0"/>
    <n v="1.3233851407710724"/>
    <n v="2066.1068562932633"/>
    <n v="2750"/>
    <x v="358"/>
    <s v="&lt;Клиент не выбран&gt;"/>
    <s v="2023 06"/>
    <n v="683.89314370673674"/>
    <n v="0.33100569877285424"/>
  </r>
  <r>
    <s v="517933605"/>
    <s v="710000760111"/>
    <s v="iHerb_MH DLE7202"/>
    <s v="Доставлен"/>
    <d v="2023-04-26T00:00:00"/>
    <x v="10"/>
    <s v="Спортпит"/>
    <s v="NRX-00741"/>
    <x v="53"/>
    <x v="161"/>
    <n v="13.82"/>
    <n v="-1.38"/>
    <n v="0.98239251243053549"/>
    <n v="0"/>
    <n v="0.82109282549586748"/>
    <n v="1281.9136804133764"/>
    <n v="2100"/>
    <x v="104"/>
    <s v="&lt;Клиент не выбран&gt;"/>
    <s v="2023 11"/>
    <n v="818.08631958662363"/>
    <n v="0.63817582422774111"/>
  </r>
  <r>
    <s v="517933605"/>
    <s v="710000760111"/>
    <s v="iHerb_MH DLE7202"/>
    <s v="Доставлен"/>
    <d v="2023-04-26T00:00:00"/>
    <x v="10"/>
    <s v="Витамины"/>
    <s v="CEN-28026"/>
    <x v="2"/>
    <x v="4"/>
    <n v="2"/>
    <n v="-0.2"/>
    <n v="0.14214682655747299"/>
    <n v="0"/>
    <n v="0.11880764356049529"/>
    <n v="185.48590231061715"/>
    <n v="500"/>
    <x v="359"/>
    <s v="&lt;Клиент не выбран&gt;"/>
    <s v="2023 12"/>
    <n v="314.51409768938288"/>
    <n v="1.6956226525652252"/>
  </r>
  <r>
    <s v="517933605"/>
    <s v="710000760111"/>
    <s v="iHerb_MH DLE7202"/>
    <s v="Доставлен"/>
    <d v="2023-04-26T00:00:00"/>
    <x v="10"/>
    <s v="Витамины"/>
    <s v="NAP-03645"/>
    <x v="11"/>
    <x v="570"/>
    <n v="9.19"/>
    <n v="-2.76"/>
    <n v="0.5077800526469729"/>
    <n v="0"/>
    <n v="0.4244073044966582"/>
    <n v="662.59686214292685"/>
    <n v="1600"/>
    <x v="260"/>
    <s v="&lt;Клиент не выбран&gt;"/>
    <s v="2023 10"/>
    <n v="937.40313785707315"/>
    <n v="1.4147412875234362"/>
  </r>
  <r>
    <s v="517933605"/>
    <s v="710000760111"/>
    <s v="iHerb_MH DLE7202"/>
    <s v="Доставлен"/>
    <d v="2023-04-26T00:00:00"/>
    <x v="10"/>
    <s v="Витамины"/>
    <s v="MRM-71301"/>
    <x v="37"/>
    <x v="116"/>
    <n v="5.68"/>
    <n v="-0.56999999999999995"/>
    <n v="0.40353904650482603"/>
    <n v="0"/>
    <n v="0.33728169921896162"/>
    <n v="526.57386711514084"/>
    <n v="1000"/>
    <x v="241"/>
    <s v="&lt;Клиент не выбран&gt;"/>
    <s v="2023 06"/>
    <n v="473.42613288485916"/>
    <n v="0.89906879632775172"/>
  </r>
  <r>
    <s v="517933605"/>
    <s v="710000760111"/>
    <s v="iHerb_MH DLE7202"/>
    <s v="Доставлен"/>
    <d v="2023-04-26T00:00:00"/>
    <x v="10"/>
    <s v="Витамины"/>
    <s v="NOW-00140"/>
    <x v="3"/>
    <x v="259"/>
    <n v="6.73"/>
    <n v="-0.67500000000000004"/>
    <n v="0.47816613044749939"/>
    <n v="0"/>
    <n v="0.3996557120882217"/>
    <n v="623.9539658282149"/>
    <n v="1000"/>
    <x v="156"/>
    <s v="&lt;Клиент не выбран&gt;"/>
    <s v="2023 06"/>
    <n v="376.0460341717851"/>
    <n v="0.60268233678527006"/>
  </r>
  <r>
    <s v="517933605"/>
    <s v="710000760111"/>
    <s v="iHerb_MH DLE7202"/>
    <s v="Доставлен"/>
    <d v="2023-04-26T00:00:00"/>
    <x v="10"/>
    <s v="Витамины"/>
    <s v="NOW-00140"/>
    <x v="3"/>
    <x v="259"/>
    <n v="6.73"/>
    <n v="-0.67500000000000004"/>
    <n v="0.47816613044749939"/>
    <n v="0"/>
    <n v="0.3996557120882217"/>
    <n v="623.9539658282149"/>
    <n v="1200"/>
    <x v="247"/>
    <s v="&lt;Клиент не выбран&gt;"/>
    <s v="2023 06"/>
    <n v="576.0460341717851"/>
    <n v="0.92321880414232405"/>
  </r>
  <r>
    <s v="517933605"/>
    <s v="710000760111"/>
    <s v="iHerb_MH DLE7202"/>
    <s v="Доставлен"/>
    <d v="2023-04-26T00:00:00"/>
    <x v="10"/>
    <s v="Спортпит"/>
    <s v="EVL-02045"/>
    <x v="125"/>
    <x v="571"/>
    <n v="16.989999999999998"/>
    <n v="-3.4"/>
    <n v="1.0732085405089209"/>
    <n v="0"/>
    <n v="0.89699770888173935"/>
    <n v="1400.4185624451593"/>
    <m/>
    <x v="20"/>
    <m/>
    <s v=""/>
    <n v="-1400.4185624451593"/>
    <s v=""/>
  </r>
  <r>
    <s v="518066368"/>
    <s v="710000772381"/>
    <s v="iHerb_AV CYG0792"/>
    <s v="Доставлен"/>
    <d v="2023-05-03T00:00:00"/>
    <x v="11"/>
    <s v="Косметика"/>
    <s v="DME-04100"/>
    <x v="146"/>
    <x v="572"/>
    <n v="21.7"/>
    <n v="-2.17"/>
    <n v="1.2479911728019959"/>
    <n v="-3.5505548033120558E-15"/>
    <n v="0.98637057035869646"/>
    <n v="1978.9598404068186"/>
    <n v="2500"/>
    <x v="156"/>
    <s v="&lt;Клиент не выбран&gt;"/>
    <s v="2023 06"/>
    <n v="521.04015959318144"/>
    <n v="0.26328991066643892"/>
  </r>
  <r>
    <s v="518066368"/>
    <s v="710000772381"/>
    <s v="iHerb_AV CYG0792"/>
    <s v="Доставлен"/>
    <d v="2023-05-03T00:00:00"/>
    <x v="11"/>
    <s v="Косметика"/>
    <s v="DME-00466"/>
    <x v="146"/>
    <x v="573"/>
    <n v="28.94"/>
    <n v="-2.89"/>
    <n v="1.6646272427799282"/>
    <n v="-4.7358910714940634E-15"/>
    <n v="1.315665814533745"/>
    <n v="2639.6264128314197"/>
    <n v="3200"/>
    <x v="156"/>
    <s v="&lt;Клиент не выбран&gt;"/>
    <s v="2023 06"/>
    <n v="560.37358716858034"/>
    <n v="0.21229276402318253"/>
  </r>
  <r>
    <s v="518066368"/>
    <s v="710000772381"/>
    <s v="iHerb_AV CYG0792"/>
    <s v="Доставлен"/>
    <d v="2023-05-03T00:00:00"/>
    <x v="11"/>
    <s v="Косметика"/>
    <s v="DME-00775"/>
    <x v="146"/>
    <x v="574"/>
    <n v="28.51"/>
    <n v="-2.85"/>
    <n v="1.6397057600665239"/>
    <n v="-4.6649890554525011E-15"/>
    <n v="1.2959687063699001"/>
    <n v="2600.1080135606226"/>
    <n v="3400"/>
    <x v="156"/>
    <s v="&lt;Клиент не выбран&gt;"/>
    <s v="2023 06"/>
    <n v="799.89198643937743"/>
    <n v="0.30763798360207145"/>
  </r>
  <r>
    <s v="518066368"/>
    <s v="710000772381"/>
    <s v="iHerb_AV CYG0792"/>
    <s v="Доставлен"/>
    <d v="2023-05-03T00:00:00"/>
    <x v="11"/>
    <s v="Витамины"/>
    <s v="NOW-01298"/>
    <x v="3"/>
    <x v="392"/>
    <n v="20.73"/>
    <n v="-4.1449999999999996"/>
    <n v="1.0598020276969331"/>
    <n v="-3.0151536821776985E-15"/>
    <n v="0.83763215101889299"/>
    <n v="1680.5452612978538"/>
    <n v="2500"/>
    <x v="156"/>
    <s v="&lt;Клиент не выбран&gt;"/>
    <s v="2023 06"/>
    <n v="819.45473870214619"/>
    <n v="0.48761241816795614"/>
  </r>
  <r>
    <s v="518066368"/>
    <s v="710000772381"/>
    <s v="iHerb_AV CYG0792"/>
    <s v="Доставлен"/>
    <d v="2023-05-03T00:00:00"/>
    <x v="11"/>
    <s v="Витамины"/>
    <s v="NOW-01298"/>
    <x v="3"/>
    <x v="392"/>
    <n v="20.73"/>
    <n v="-4.1449999999999996"/>
    <n v="1.0598020276969331"/>
    <n v="-3.0151536821776985E-15"/>
    <n v="0.83763215101889299"/>
    <n v="1680.5452612978538"/>
    <n v="2500"/>
    <x v="360"/>
    <s v="&lt;Клиент не выбран&gt;"/>
    <s v="2023 06"/>
    <n v="819.45473870214619"/>
    <n v="0.48761241816795614"/>
  </r>
  <r>
    <s v="518066368"/>
    <s v="710000772381"/>
    <s v="iHerb_AV CYG0792"/>
    <s v="Доставлен"/>
    <d v="2023-05-03T00:00:00"/>
    <x v="11"/>
    <s v="Витамины"/>
    <s v="NOW-00372"/>
    <x v="3"/>
    <x v="13"/>
    <n v="6.64"/>
    <n v="-1.9933333333333334"/>
    <n v="0.29692775130329102"/>
    <n v="-8.4476419112766777E-16"/>
    <n v="0.23468178444786186"/>
    <n v="470.84315028624417"/>
    <n v="1100"/>
    <x v="201"/>
    <s v="&lt;Клиент не выбран&gt;"/>
    <s v="2023 11"/>
    <n v="629.15684971375583"/>
    <n v="1.3362344749653181"/>
  </r>
  <r>
    <s v="518066368"/>
    <s v="710000772381"/>
    <s v="iHerb_AV CYG0792"/>
    <s v="Доставлен"/>
    <d v="2023-05-03T00:00:00"/>
    <x v="11"/>
    <s v="Витамины"/>
    <s v="NOW-00372"/>
    <x v="3"/>
    <x v="13"/>
    <n v="6.64"/>
    <n v="-1.9933333333333334"/>
    <n v="0.29692775130329102"/>
    <n v="-8.4476419112766777E-16"/>
    <n v="0.23468178444786186"/>
    <n v="470.84315028624417"/>
    <n v="1100"/>
    <x v="299"/>
    <s v="&lt;Клиент не выбран&gt;"/>
    <s v="2023 12"/>
    <n v="629.15684971375583"/>
    <n v="1.3362344749653181"/>
  </r>
  <r>
    <s v="518066368"/>
    <s v="710000772381"/>
    <s v="iHerb_AV CYG0792"/>
    <s v="Доставлен"/>
    <d v="2023-05-03T00:00:00"/>
    <x v="11"/>
    <s v="Витамины"/>
    <s v="NOW-00372"/>
    <x v="3"/>
    <x v="13"/>
    <n v="6.64"/>
    <n v="-1.9933333333333334"/>
    <n v="0.29692775130329102"/>
    <n v="-8.4476419112766777E-16"/>
    <n v="0.23468178444786186"/>
    <n v="470.84315028624417"/>
    <n v="1200"/>
    <x v="361"/>
    <s v="&lt;Клиент не выбран&gt;"/>
    <s v="2024 01"/>
    <n v="729.15684971375583"/>
    <n v="1.5486194272348925"/>
  </r>
  <r>
    <s v="518066368"/>
    <s v="710000772381"/>
    <s v="iHerb_AV CYG0792"/>
    <s v="Доставлен"/>
    <d v="2023-05-03T00:00:00"/>
    <x v="11"/>
    <s v="Витамины"/>
    <s v="NOW-00373"/>
    <x v="3"/>
    <x v="239"/>
    <n v="11.7"/>
    <n v="-1.17"/>
    <n v="0.6728800332619056"/>
    <n v="-1.9143544331221683E-15"/>
    <n v="0.53182192042381327"/>
    <n v="1066.9967803115103"/>
    <n v="1800"/>
    <x v="260"/>
    <s v="&lt;Клиент не выбран&gt;"/>
    <s v="2023 10"/>
    <n v="733.00321968848971"/>
    <n v="0.68697791147456788"/>
  </r>
  <r>
    <s v="518066368"/>
    <s v="710000772381"/>
    <s v="iHerb_AV CYG0792"/>
    <s v="Доставлен"/>
    <d v="2023-05-03T00:00:00"/>
    <x v="11"/>
    <s v="Витамины"/>
    <s v="NOW-00373"/>
    <x v="3"/>
    <x v="239"/>
    <n v="11.7"/>
    <n v="-1.17"/>
    <n v="0.6728800332619056"/>
    <n v="-1.9143544331221683E-15"/>
    <n v="0.53182192042381327"/>
    <n v="1066.9967803115103"/>
    <n v="1900"/>
    <x v="57"/>
    <s v="&lt;Клиент не выбран&gt;"/>
    <s v="2024 01"/>
    <n v="833.00321968848971"/>
    <n v="0.78069890655648833"/>
  </r>
  <r>
    <s v="518066368"/>
    <s v="710000772381"/>
    <s v="iHerb_AV CYG0792"/>
    <s v="Доставлен"/>
    <d v="2023-05-03T00:00:00"/>
    <x v="11"/>
    <s v="Витамины"/>
    <s v="NOW-00373"/>
    <x v="3"/>
    <x v="239"/>
    <n v="11.7"/>
    <n v="-1.17"/>
    <n v="0.6728800332619056"/>
    <n v="-1.9143544331221683E-15"/>
    <n v="0.53182192042381327"/>
    <n v="1066.9967803115103"/>
    <n v="2000"/>
    <x v="362"/>
    <s v="&lt;Клиент не выбран&gt;"/>
    <s v="2024 05"/>
    <n v="933.00321968848971"/>
    <n v="0.87441990163840877"/>
  </r>
  <r>
    <s v="518066368"/>
    <s v="710000772381"/>
    <s v="iHerb_AV CYG0792"/>
    <s v="Доставлен"/>
    <d v="2023-05-03T00:00:00"/>
    <x v="11"/>
    <s v="Витамины"/>
    <s v="NOW-00474"/>
    <x v="3"/>
    <x v="114"/>
    <n v="9.3699999999999992"/>
    <n v="-0.93666666666666665"/>
    <n v="0.53890043816164002"/>
    <n v="-1.5331803468816349E-15"/>
    <n v="0.42592892012416816"/>
    <n v="854.54316371893663"/>
    <n v="1500"/>
    <x v="241"/>
    <s v="&lt;Клиент не выбран&gt;"/>
    <s v="2023 06"/>
    <n v="645.45683628106337"/>
    <n v="0.75532385452837958"/>
  </r>
  <r>
    <s v="518066368"/>
    <s v="710000772381"/>
    <s v="iHerb_AV CYG0792"/>
    <s v="Доставлен"/>
    <d v="2023-05-03T00:00:00"/>
    <x v="11"/>
    <s v="Витамины"/>
    <s v="NOW-00474"/>
    <x v="3"/>
    <x v="114"/>
    <n v="9.3699999999999992"/>
    <n v="-0.93666666666666665"/>
    <n v="0.53890043816164002"/>
    <n v="-1.5331803468816349E-15"/>
    <n v="0.42592892012416816"/>
    <n v="854.54316371893663"/>
    <n v="1500"/>
    <x v="146"/>
    <s v="&lt;Клиент не выбран&gt;"/>
    <s v="2023 07"/>
    <n v="645.45683628106337"/>
    <n v="0.75532385452837958"/>
  </r>
  <r>
    <s v="518066368"/>
    <s v="710000772381"/>
    <s v="iHerb_AV CYG0792"/>
    <s v="Доставлен"/>
    <d v="2023-05-03T00:00:00"/>
    <x v="11"/>
    <s v="Витамины"/>
    <s v="NOW-00474"/>
    <x v="3"/>
    <x v="114"/>
    <n v="9.3699999999999992"/>
    <n v="-0.93666666666666665"/>
    <n v="0.53890043816164002"/>
    <n v="-1.5331803468816349E-15"/>
    <n v="0.42592892012416816"/>
    <n v="854.54316371893663"/>
    <n v="1500"/>
    <x v="340"/>
    <s v="&lt;Клиент не выбран&gt;"/>
    <s v="2023 10"/>
    <n v="645.45683628106337"/>
    <n v="0.75532385452837958"/>
  </r>
  <r>
    <s v="518066368"/>
    <s v="710000772381"/>
    <s v="iHerb_AV CYG0792"/>
    <s v="Доставлен"/>
    <d v="2023-05-03T00:00:00"/>
    <x v="11"/>
    <s v="Спортпит"/>
    <s v="NOW-02038"/>
    <x v="3"/>
    <x v="575"/>
    <n v="29.64"/>
    <n v="-2.9649999999999999"/>
    <n v="1.7045655163591009"/>
    <n v="-4.8495160972016941E-15"/>
    <n v="1.3472316930014454"/>
    <n v="2702.9571808935934"/>
    <n v="3500"/>
    <x v="317"/>
    <s v="&lt;Клиент не выбран&gt;"/>
    <s v="2023 06"/>
    <n v="797.04281910640657"/>
    <n v="0.29487807825461204"/>
  </r>
  <r>
    <s v="518066368"/>
    <s v="710000772381"/>
    <s v="iHerb_AV CYG0792"/>
    <s v="Доставлен"/>
    <d v="2023-05-03T00:00:00"/>
    <x v="11"/>
    <s v="Спортпит"/>
    <s v="NOW-02038"/>
    <x v="3"/>
    <x v="575"/>
    <n v="29.64"/>
    <n v="-2.9649999999999999"/>
    <n v="1.7045655163591009"/>
    <n v="-4.8495160972016941E-15"/>
    <n v="1.3472316930014454"/>
    <n v="2702.9571808935934"/>
    <n v="3500"/>
    <x v="146"/>
    <s v="&lt;Клиент не выбран&gt;"/>
    <s v="2023 07"/>
    <n v="797.04281910640657"/>
    <n v="0.29487807825461204"/>
  </r>
  <r>
    <s v="518066368"/>
    <s v="710000772381"/>
    <s v="iHerb_AV CYG0792"/>
    <s v="Доставлен"/>
    <d v="2023-05-03T00:00:00"/>
    <x v="11"/>
    <s v="Витамины"/>
    <s v="DRB-00025"/>
    <x v="6"/>
    <x v="113"/>
    <n v="11.47"/>
    <n v="-2.29"/>
    <n v="0.58661336233089212"/>
    <n v="-1.6689243775936852E-15"/>
    <n v="0.4636396229335808"/>
    <n v="930.20232129721421"/>
    <n v="1700"/>
    <x v="239"/>
    <s v="&lt;Клиент не выбран&gt;"/>
    <s v="2023 07"/>
    <n v="769.79767870278579"/>
    <n v="0.82755940409744833"/>
  </r>
  <r>
    <s v="518066368"/>
    <s v="710000772381"/>
    <s v="iHerb_AV CYG0792"/>
    <s v="Доставлен"/>
    <d v="2023-05-03T00:00:00"/>
    <x v="11"/>
    <s v="Витамины"/>
    <s v="NOW-03891"/>
    <x v="3"/>
    <x v="576"/>
    <n v="35.82"/>
    <n v="-7.16"/>
    <n v="1.8314094732465542"/>
    <n v="-5.2103891788491308E-15"/>
    <n v="1.447484923014861"/>
    <n v="2904.095700259059"/>
    <n v="4200"/>
    <x v="282"/>
    <s v="&lt;Клиент не выбран&gt;"/>
    <s v="2023 09"/>
    <n v="1295.904299740941"/>
    <n v="0.44623333164445661"/>
  </r>
  <r>
    <s v="518066368"/>
    <s v="710000772381"/>
    <s v="iHerb_AV CYG0792"/>
    <s v="Доставлен"/>
    <d v="2023-05-03T00:00:00"/>
    <x v="11"/>
    <s v="Спортпит"/>
    <s v="MSC-71092"/>
    <x v="50"/>
    <x v="155"/>
    <n v="27.53"/>
    <n v="-8.26"/>
    <n v="1.2313768509930603"/>
    <n v="-3.5032867926176818E-15"/>
    <n v="0.97323916491613327"/>
    <n v="1952.6142408929545"/>
    <n v="2800"/>
    <x v="156"/>
    <s v="&lt;Клиент не выбран&gt;"/>
    <s v="2023 06"/>
    <n v="847.38575910704549"/>
    <n v="0.43397499688393421"/>
  </r>
  <r>
    <s v="518066368"/>
    <s v="710000772381"/>
    <s v="iHerb_AV CYG0792"/>
    <s v="Доставлен"/>
    <d v="2023-05-03T00:00:00"/>
    <x v="11"/>
    <s v="Спортпит"/>
    <s v="MSC-71651"/>
    <x v="50"/>
    <x v="577"/>
    <n v="31.75"/>
    <n v="-17.78"/>
    <n v="0.89270029104167337"/>
    <n v="-2.5397465746169695E-15"/>
    <n v="0.70556051551003529"/>
    <n v="1415.5693277257169"/>
    <n v="3400"/>
    <x v="215"/>
    <s v="&lt;Клиент не выбран&gt;"/>
    <s v="2023 11"/>
    <n v="1984.4306722742831"/>
    <n v="1.4018604623642916"/>
  </r>
  <r>
    <s v="518066368"/>
    <s v="710000772381"/>
    <s v="iHerb_AV CYG0792"/>
    <s v="Доставлен"/>
    <d v="2023-05-03T00:00:00"/>
    <x v="11"/>
    <s v="Витамины"/>
    <s v="RHS-20001"/>
    <x v="153"/>
    <x v="578"/>
    <n v="19.53"/>
    <n v="-6.53"/>
    <n v="0.83071609044679706"/>
    <n v="-2.3634005347187261E-15"/>
    <n v="0.65657027212816443"/>
    <n v="1317.2799756932227"/>
    <n v="2300"/>
    <x v="244"/>
    <s v="&lt;Клиент не выбран&gt;"/>
    <s v="2023 06"/>
    <n v="982.7200243067773"/>
    <n v="0.74602213837617759"/>
  </r>
  <r>
    <s v="517991436"/>
    <s v="710000769553"/>
    <s v="iHerb_OA CZN6870"/>
    <s v="Доставлен"/>
    <d v="2023-04-29T00:00:00"/>
    <x v="10"/>
    <s v="Витамины"/>
    <s v="NOW-03043"/>
    <x v="3"/>
    <x v="579"/>
    <n v="23.32"/>
    <n v="-4.66"/>
    <n v="1.5295081967213118"/>
    <n v="0"/>
    <n v="1.2798911581567058"/>
    <n v="1949.1801587301588"/>
    <n v="2900"/>
    <x v="156"/>
    <s v="&lt;Клиент не выбран&gt;"/>
    <s v="2023 06"/>
    <n v="950.81984126984116"/>
    <n v="0.48780500715196901"/>
  </r>
  <r>
    <s v="517991436"/>
    <s v="710000769553"/>
    <s v="iHerb_OA CZN6870"/>
    <s v="Доставлен"/>
    <d v="2023-04-29T00:00:00"/>
    <x v="10"/>
    <s v="Витамины"/>
    <s v="SNS-02757"/>
    <x v="151"/>
    <x v="580"/>
    <n v="12.46"/>
    <n v="-1.25"/>
    <n v="0.91885245901639367"/>
    <n v="0"/>
    <n v="0.76889495621311221"/>
    <n v="1170.9705026455028"/>
    <n v="2000"/>
    <x v="156"/>
    <s v="&lt;Клиент не выбран&gt;"/>
    <s v="2023 06"/>
    <n v="829.02949735449715"/>
    <n v="0.70798495391772975"/>
  </r>
  <r>
    <s v="517991436"/>
    <s v="710000769553"/>
    <s v="iHerb_OA CZN6870"/>
    <s v="Доставлен"/>
    <d v="2023-04-29T00:00:00"/>
    <x v="10"/>
    <s v="Витамины"/>
    <s v="BRM-03391"/>
    <x v="126"/>
    <x v="442"/>
    <n v="5.89"/>
    <n v="-0.59"/>
    <n v="0.43442622950819676"/>
    <n v="0"/>
    <n v="0.36352749936926804"/>
    <n v="553.62566137566137"/>
    <n v="800"/>
    <x v="156"/>
    <s v="&lt;Клиент не выбран&gt;"/>
    <s v="2023 06"/>
    <n v="246.37433862433863"/>
    <n v="0.44501972327681161"/>
  </r>
  <r>
    <s v="517991436"/>
    <s v="710000769553"/>
    <s v="iHerb_OA CZN6870"/>
    <s v="Доставлен"/>
    <d v="2023-04-29T00:00:00"/>
    <x v="10"/>
    <s v="Витамины"/>
    <s v="NOW-01662"/>
    <x v="3"/>
    <x v="122"/>
    <n v="25.37"/>
    <n v="-10.146666666666667"/>
    <n v="1.2478142076502736"/>
    <n v="0"/>
    <n v="1.0441698676851869"/>
    <n v="1590.1939594356265"/>
    <n v="3500"/>
    <x v="363"/>
    <s v="&lt;Клиент не выбран&gt;"/>
    <s v="2023 12"/>
    <n v="1909.8060405643735"/>
    <n v="1.2009893693987996"/>
  </r>
  <r>
    <s v="517991436"/>
    <s v="710000769553"/>
    <s v="iHerb_OA CZN6870"/>
    <s v="Доставлен"/>
    <d v="2023-04-29T00:00:00"/>
    <x v="10"/>
    <s v="Витамины"/>
    <s v="NOW-01662"/>
    <x v="3"/>
    <x v="122"/>
    <n v="25.37"/>
    <n v="-10.146666666666667"/>
    <n v="1.2478142076502736"/>
    <n v="0"/>
    <n v="1.0441698676851869"/>
    <n v="1590.1939594356265"/>
    <n v="3500"/>
    <x v="364"/>
    <s v="&lt;Клиент не выбран&gt;"/>
    <s v="2024 01"/>
    <n v="1909.8060405643735"/>
    <n v="1.2009893693987996"/>
  </r>
  <r>
    <s v="517991436"/>
    <s v="710000769553"/>
    <s v="iHerb_OA CZN6870"/>
    <s v="Доставлен"/>
    <d v="2023-04-29T00:00:00"/>
    <x v="10"/>
    <s v="Витамины"/>
    <s v="NOW-01662"/>
    <x v="3"/>
    <x v="122"/>
    <n v="25.37"/>
    <n v="-10.146666666666667"/>
    <n v="1.2478142076502736"/>
    <n v="0"/>
    <n v="1.0441698676851869"/>
    <n v="1590.1939594356265"/>
    <n v="3600"/>
    <x v="365"/>
    <s v="&lt;Клиент не выбран&gt;"/>
    <s v="2024 02"/>
    <n v="2009.8060405643735"/>
    <n v="1.263874779953051"/>
  </r>
  <r>
    <s v="517991436"/>
    <s v="710000769553"/>
    <s v="iHerb_OA CZN6870"/>
    <s v="Доставлен"/>
    <d v="2023-04-29T00:00:00"/>
    <x v="10"/>
    <s v="Витамины"/>
    <s v="CAR-01001"/>
    <x v="154"/>
    <x v="581"/>
    <n v="48.83"/>
    <n v="-4.88"/>
    <n v="3.6024590163934427"/>
    <n v="0"/>
    <n v="3.0145346409961"/>
    <n v="4590.9146825396829"/>
    <n v="4800"/>
    <x v="156"/>
    <s v="&lt;Клиент не выбран&gt;"/>
    <s v="2023 06"/>
    <n v="209.08531746031713"/>
    <n v="4.554328100574756E-2"/>
  </r>
  <r>
    <s v="517991436"/>
    <s v="710000769553"/>
    <s v="iHerb_OA CZN6870"/>
    <s v="Доставлен"/>
    <d v="2023-04-29T00:00:00"/>
    <x v="10"/>
    <s v="Витамины"/>
    <s v="SOR-45852"/>
    <x v="10"/>
    <x v="582"/>
    <n v="16.04"/>
    <n v="-1.6"/>
    <n v="1.1836065573770493"/>
    <n v="0"/>
    <n v="0.99044096054570385"/>
    <n v="1508.3687830687832"/>
    <n v="2000"/>
    <x v="156"/>
    <s v="&lt;Клиент не выбран&gt;"/>
    <s v="2023 06"/>
    <n v="491.63121693121684"/>
    <n v="0.32593568790981664"/>
  </r>
  <r>
    <s v="517991436"/>
    <s v="710000769553"/>
    <s v="iHerb_OA CZN6870"/>
    <s v="Доставлен"/>
    <d v="2023-04-29T00:00:00"/>
    <x v="10"/>
    <s v="Витамины"/>
    <s v="LEX-14591"/>
    <x v="7"/>
    <x v="583"/>
    <n v="9.4"/>
    <n v="-0.94"/>
    <n v="0.69344262295081982"/>
    <n v="0"/>
    <n v="0.58027219710641653"/>
    <n v="883.71190476190486"/>
    <n v="1400"/>
    <x v="156"/>
    <s v="&lt;Клиент не выбран&gt;"/>
    <s v="2023 06"/>
    <n v="516.28809523809514"/>
    <n v="0.5842267060747548"/>
  </r>
  <r>
    <s v="517991436"/>
    <s v="710000769553"/>
    <s v="iHerb_OA CZN6870"/>
    <s v="Доставлен"/>
    <d v="2023-04-29T00:00:00"/>
    <x v="10"/>
    <s v="Витамины"/>
    <s v="NOW-01686"/>
    <x v="3"/>
    <x v="584"/>
    <n v="14.45"/>
    <n v="-1.4450000000000001"/>
    <n v="1.0659836065573771"/>
    <n v="0"/>
    <n v="0.89201417533911886"/>
    <n v="1358.4720238095238"/>
    <n v="2200"/>
    <x v="260"/>
    <s v="&lt;Клиент не выбран&gt;"/>
    <s v="2023 10"/>
    <n v="841.52797619047624"/>
    <n v="0.61946654877043672"/>
  </r>
  <r>
    <s v="517991436"/>
    <s v="710000769553"/>
    <s v="iHerb_OA CZN6870"/>
    <s v="Доставлен"/>
    <d v="2023-04-29T00:00:00"/>
    <x v="10"/>
    <s v="Витамины"/>
    <s v="NOW-01686"/>
    <x v="3"/>
    <x v="584"/>
    <n v="14.45"/>
    <n v="-1.4450000000000001"/>
    <n v="1.0659836065573771"/>
    <n v="0"/>
    <n v="0.89201417533911886"/>
    <n v="1358.4720238095238"/>
    <n v="2300"/>
    <x v="169"/>
    <s v="&lt;Клиент не выбран&gt;"/>
    <s v="2025 04"/>
    <n v="941.52797619047624"/>
    <n v="0.69307866462363843"/>
  </r>
  <r>
    <s v="517991436"/>
    <s v="710000769553"/>
    <s v="iHerb_OA CZN6870"/>
    <s v="Доставлен"/>
    <d v="2023-04-29T00:00:00"/>
    <x v="10"/>
    <s v="Витамины"/>
    <s v="SRE-01347"/>
    <x v="36"/>
    <x v="556"/>
    <n v="28.2"/>
    <n v="-16.21"/>
    <n v="0.98278688524590163"/>
    <n v="0"/>
    <n v="0.82239522970519308"/>
    <n v="1252.4474867724869"/>
    <n v="3600"/>
    <x v="366"/>
    <s v="&lt;Клиент не выбран&gt;"/>
    <s v="2023 12"/>
    <n v="2347.5525132275134"/>
    <n v="1.8743720100210139"/>
  </r>
  <r>
    <s v="517991436"/>
    <s v="710000769553"/>
    <s v="iHerb_OA CZN6870"/>
    <s v="Доставлен"/>
    <d v="2023-04-29T00:00:00"/>
    <x v="10"/>
    <s v="Витамины"/>
    <s v="NOW-03170"/>
    <x v="3"/>
    <x v="306"/>
    <n v="16.79"/>
    <n v="-3.36"/>
    <n v="1.1008196721311478"/>
    <n v="0"/>
    <n v="0.92116496538288106"/>
    <n v="1402.8665343915345"/>
    <n v="2200"/>
    <x v="271"/>
    <s v="&lt;Клиент не выбран&gt;"/>
    <s v="2023 07"/>
    <n v="797.13346560846549"/>
    <n v="0.56821760735365057"/>
  </r>
  <r>
    <s v="517991436"/>
    <s v="710000769553"/>
    <s v="iHerb_OA CZN6870"/>
    <s v="Доставлен"/>
    <d v="2023-04-29T00:00:00"/>
    <x v="10"/>
    <s v="Витамины"/>
    <s v="NOW-03170"/>
    <x v="3"/>
    <x v="306"/>
    <n v="16.79"/>
    <n v="-3.36"/>
    <n v="1.1008196721311478"/>
    <n v="0"/>
    <n v="0.92116496538288106"/>
    <n v="1402.8665343915345"/>
    <n v="2100"/>
    <x v="271"/>
    <s v="&lt;Клиент не выбран&gt;"/>
    <s v="2023 07"/>
    <n v="697.13346560846549"/>
    <n v="0.49693498883757553"/>
  </r>
  <r>
    <s v="517991436"/>
    <s v="710000769553"/>
    <s v="iHerb_OA CZN6870"/>
    <s v="Доставлен"/>
    <d v="2023-04-29T00:00:00"/>
    <x v="10"/>
    <s v="Витамины"/>
    <s v="NOW-00107"/>
    <x v="3"/>
    <x v="585"/>
    <n v="11.27"/>
    <n v="-2.2549999999999999"/>
    <n v="0.73893442622950833"/>
    <n v="0"/>
    <n v="0.61833969939885869"/>
    <n v="941.68591269841295"/>
    <n v="1700"/>
    <x v="104"/>
    <s v="&lt;Клиент не выбран&gt;"/>
    <s v="2023 11"/>
    <n v="758.31408730158705"/>
    <n v="0.80527283787078052"/>
  </r>
  <r>
    <s v="517991436"/>
    <s v="710000769553"/>
    <s v="iHerb_OA CZN6870"/>
    <s v="Доставлен"/>
    <d v="2023-04-29T00:00:00"/>
    <x v="10"/>
    <s v="Витамины"/>
    <s v="NOW-00107"/>
    <x v="3"/>
    <x v="585"/>
    <n v="11.27"/>
    <n v="-2.2549999999999999"/>
    <n v="0.73893442622950833"/>
    <n v="0"/>
    <n v="0.61833969939885869"/>
    <n v="941.68591269841295"/>
    <n v="1700"/>
    <x v="41"/>
    <s v="&lt;Клиент не выбран&gt;"/>
    <s v="2024 02"/>
    <n v="758.31408730158705"/>
    <n v="0.80527283787078052"/>
  </r>
  <r>
    <s v="WB0076"/>
    <n v="0"/>
    <s v="WBRS"/>
    <s v="Доставлен"/>
    <d v="2023-05-02T00:00:00"/>
    <x v="11"/>
    <s v="Спортпит"/>
    <s v="113181451"/>
    <x v="118"/>
    <x v="529"/>
    <n v="982"/>
    <n v="0"/>
    <n v="0"/>
    <n v="0"/>
    <n v="147.29999999999998"/>
    <n v="1129.3"/>
    <n v="1700"/>
    <x v="192"/>
    <s v="&lt;Клиент не выбран&gt;"/>
    <s v="2023 05"/>
    <n v="570.70000000000005"/>
    <n v="0.50535730098290987"/>
  </r>
  <r>
    <s v="WB0076"/>
    <n v="0"/>
    <s v="WBRS"/>
    <s v="Доставлен"/>
    <d v="2023-05-02T00:00:00"/>
    <x v="11"/>
    <s v="Спортпит"/>
    <s v="113181451"/>
    <x v="118"/>
    <x v="529"/>
    <n v="982"/>
    <n v="0"/>
    <n v="0"/>
    <n v="0"/>
    <n v="147.29999999999998"/>
    <n v="1129.3"/>
    <n v="1700"/>
    <x v="344"/>
    <s v="&lt;Клиент не выбран&gt;"/>
    <s v="2023 05"/>
    <n v="570.70000000000005"/>
    <n v="0.50535730098290987"/>
  </r>
  <r>
    <s v="WB0076"/>
    <n v="0"/>
    <s v="WBRS"/>
    <s v="Доставлен"/>
    <d v="2023-05-02T00:00:00"/>
    <x v="11"/>
    <s v="Спортпит"/>
    <s v="113181451"/>
    <x v="118"/>
    <x v="529"/>
    <n v="982"/>
    <n v="0"/>
    <n v="0"/>
    <n v="0"/>
    <n v="147.29999999999998"/>
    <n v="1129.3"/>
    <n v="1700"/>
    <x v="317"/>
    <s v="&lt;Клиент не выбран&gt;"/>
    <s v="2023 06"/>
    <n v="570.70000000000005"/>
    <n v="0.50535730098290987"/>
  </r>
  <r>
    <s v="OZA0108"/>
    <n v="0"/>
    <s v="OZON_AV"/>
    <s v="Доставлен"/>
    <d v="2023-04-26T00:00:00"/>
    <x v="10"/>
    <s v="Спортпит"/>
    <s v="170918388"/>
    <x v="40"/>
    <x v="293"/>
    <n v="786"/>
    <n v="0"/>
    <n v="0"/>
    <n v="0"/>
    <n v="117.89999999999999"/>
    <n v="903.9"/>
    <n v="1500"/>
    <x v="344"/>
    <s v="&lt;Клиент не выбран&gt;"/>
    <s v="2023 05"/>
    <n v="596.1"/>
    <n v="0.65947560570859609"/>
  </r>
  <r>
    <s v="OZA0108"/>
    <n v="0"/>
    <s v="OZON_AV"/>
    <s v="Доставлен"/>
    <d v="2023-04-26T00:00:00"/>
    <x v="10"/>
    <s v="Спортпит"/>
    <s v="170918388"/>
    <x v="40"/>
    <x v="293"/>
    <n v="786"/>
    <n v="0"/>
    <n v="0"/>
    <n v="0"/>
    <n v="117.89999999999999"/>
    <n v="903.9"/>
    <n v="1500"/>
    <x v="100"/>
    <s v="&lt;Клиент не выбран&gt;"/>
    <s v="2023 05"/>
    <n v="596.1"/>
    <n v="0.65947560570859609"/>
  </r>
  <r>
    <s v="OZA0111"/>
    <n v="0"/>
    <s v="OZON_AV"/>
    <s v="Доставлен"/>
    <d v="2023-05-04T00:00:00"/>
    <x v="11"/>
    <s v="Спортпит"/>
    <s v="686750940"/>
    <x v="144"/>
    <x v="586"/>
    <n v="2387"/>
    <n v="0"/>
    <n v="0"/>
    <n v="0"/>
    <n v="358.05"/>
    <n v="2745.05"/>
    <n v="3500"/>
    <x v="333"/>
    <s v="&lt;Клиент не выбран&gt;"/>
    <s v="2023 05"/>
    <n v="754.94999999999982"/>
    <n v="0.27502231289047552"/>
  </r>
  <r>
    <s v="OZA0111"/>
    <n v="0"/>
    <s v="OZON_AV"/>
    <s v="Доставлен"/>
    <d v="2023-05-04T00:00:00"/>
    <x v="11"/>
    <s v="Спортпит"/>
    <s v="931543942"/>
    <x v="34"/>
    <x v="587"/>
    <n v="3249"/>
    <n v="0"/>
    <n v="0"/>
    <n v="0"/>
    <n v="487.35"/>
    <n v="3736.35"/>
    <n v="4200"/>
    <x v="288"/>
    <s v="&lt;Клиент не выбран&gt;"/>
    <s v="2023 06"/>
    <n v="463.65000000000009"/>
    <n v="0.12409169376530574"/>
  </r>
  <r>
    <s v="OZO0004"/>
    <n v="0"/>
    <s v="OZON_OA"/>
    <s v="Доставлен"/>
    <d v="2023-05-02T00:00:00"/>
    <x v="11"/>
    <s v="Витамины"/>
    <s v="479516746"/>
    <x v="155"/>
    <x v="588"/>
    <n v="311"/>
    <n v="0"/>
    <n v="0"/>
    <n v="0"/>
    <n v="46.65"/>
    <n v="357.65"/>
    <m/>
    <x v="20"/>
    <m/>
    <s v=""/>
    <n v="-357.65"/>
    <s v=""/>
  </r>
  <r>
    <s v="OZO0004"/>
    <n v="0"/>
    <s v="OZON_OA"/>
    <s v="Доставлен"/>
    <d v="2023-05-02T00:00:00"/>
    <x v="11"/>
    <s v="Витамины"/>
    <s v="479516746"/>
    <x v="155"/>
    <x v="588"/>
    <n v="311"/>
    <n v="0"/>
    <n v="0"/>
    <n v="0"/>
    <n v="46.65"/>
    <n v="357.65"/>
    <m/>
    <x v="20"/>
    <m/>
    <s v=""/>
    <n v="-357.65"/>
    <s v=""/>
  </r>
  <r>
    <s v="OZO0004"/>
    <n v="0"/>
    <s v="OZON_OA"/>
    <s v="Доставлен"/>
    <d v="2023-05-02T00:00:00"/>
    <x v="11"/>
    <s v="Спортпит"/>
    <s v="561311513"/>
    <x v="155"/>
    <x v="589"/>
    <n v="588"/>
    <n v="0"/>
    <n v="0"/>
    <n v="0"/>
    <n v="88.2"/>
    <n v="676.2"/>
    <n v="1400"/>
    <x v="333"/>
    <s v="&lt;Клиент не выбран&gt;"/>
    <s v="2023 05"/>
    <n v="723.8"/>
    <n v="1.0703933747412007"/>
  </r>
  <r>
    <s v="709942523"/>
    <n v="0"/>
    <s v="CoralClub_OA"/>
    <s v="Доставлен"/>
    <d v="2023-05-06T00:00:00"/>
    <x v="11"/>
    <s v="Витамины"/>
    <s v="000091848"/>
    <x v="79"/>
    <x v="590"/>
    <n v="1198.8"/>
    <n v="0"/>
    <n v="-1198.8"/>
    <n v="0"/>
    <n v="0"/>
    <n v="0"/>
    <n v="1600"/>
    <x v="178"/>
    <s v="&lt;Клиент не выбран&gt;"/>
    <s v="2023 05"/>
    <n v="1600"/>
    <s v=""/>
  </r>
  <r>
    <s v="709942525"/>
    <n v="0"/>
    <s v="CoralClub_AV"/>
    <s v="Доставлен"/>
    <d v="2023-05-06T00:00:00"/>
    <x v="11"/>
    <s v="Витамины"/>
    <s v="000002149"/>
    <x v="79"/>
    <x v="591"/>
    <n v="629"/>
    <n v="0"/>
    <n v="0"/>
    <n v="21"/>
    <n v="0"/>
    <n v="650"/>
    <n v="1000"/>
    <x v="178"/>
    <s v="&lt;Клиент не выбран&gt;"/>
    <s v="2023 05"/>
    <n v="350"/>
    <n v="0.53846153846153844"/>
  </r>
  <r>
    <s v="709942525"/>
    <n v="0"/>
    <s v="CoralClub_AV"/>
    <s v="Доставлен"/>
    <d v="2023-05-06T00:00:00"/>
    <x v="11"/>
    <s v="Витамины"/>
    <s v="000002149"/>
    <x v="79"/>
    <x v="591"/>
    <n v="629"/>
    <n v="0"/>
    <n v="0"/>
    <n v="21"/>
    <n v="0"/>
    <n v="650"/>
    <n v="1100"/>
    <x v="304"/>
    <s v="&lt;Клиент не выбран&gt;"/>
    <s v="2023 09"/>
    <n v="450"/>
    <n v="0.69230769230769229"/>
  </r>
  <r>
    <s v="WB0077"/>
    <n v="0"/>
    <s v="WBRS"/>
    <s v="Доставлен"/>
    <d v="2023-05-02T00:00:00"/>
    <x v="11"/>
    <s v="Спортпит"/>
    <s v="156652333"/>
    <x v="156"/>
    <x v="592"/>
    <n v="2730"/>
    <n v="0"/>
    <n v="0"/>
    <n v="0"/>
    <n v="409.5"/>
    <n v="3139.5"/>
    <n v="3700"/>
    <x v="367"/>
    <s v="&lt;Клиент не выбран&gt;"/>
    <s v="2023 09"/>
    <n v="560.5"/>
    <n v="0.17853161331422202"/>
  </r>
  <r>
    <s v="WB0077"/>
    <n v="0"/>
    <s v="WBRS"/>
    <s v="Доставлен"/>
    <d v="2023-05-02T00:00:00"/>
    <x v="11"/>
    <s v="Спортпит"/>
    <s v="156652333"/>
    <x v="156"/>
    <x v="592"/>
    <n v="2730"/>
    <n v="0"/>
    <n v="0"/>
    <n v="0"/>
    <n v="409.5"/>
    <n v="3139.5"/>
    <n v="3800"/>
    <x v="341"/>
    <s v="&lt;Клиент не выбран&gt;"/>
    <s v="2023 10"/>
    <n v="660.5"/>
    <n v="0.21038381907947126"/>
  </r>
  <r>
    <s v="WB0078"/>
    <n v="0"/>
    <s v="WBRS"/>
    <s v="Доставлен"/>
    <d v="2023-05-12T00:00:00"/>
    <x v="11"/>
    <s v="Спортпит"/>
    <s v="769390102"/>
    <x v="129"/>
    <x v="593"/>
    <n v="2229"/>
    <n v="0"/>
    <n v="0"/>
    <n v="0"/>
    <n v="334.34999999999997"/>
    <n v="2563.35"/>
    <n v="4000"/>
    <x v="192"/>
    <s v="&lt;Клиент не выбран&gt;"/>
    <s v="2023 05"/>
    <n v="1436.65"/>
    <n v="0.56045799442136268"/>
  </r>
  <r>
    <s v="WB0078"/>
    <n v="0"/>
    <s v="WBRS"/>
    <s v="Доставлен"/>
    <d v="2023-05-12T00:00:00"/>
    <x v="11"/>
    <s v="Спортпит"/>
    <s v="769390102"/>
    <x v="129"/>
    <x v="593"/>
    <n v="2229"/>
    <n v="0"/>
    <n v="0"/>
    <n v="0"/>
    <n v="334.34999999999997"/>
    <n v="2563.35"/>
    <n v="4000"/>
    <x v="212"/>
    <s v="&lt;Клиент не выбран&gt;"/>
    <s v="2023 05"/>
    <n v="1436.65"/>
    <n v="0.56045799442136268"/>
  </r>
  <r>
    <s v="PVP-329708"/>
    <n v="0"/>
    <s v="NSP"/>
    <s v="Доставлен"/>
    <d v="2023-05-02T00:00:00"/>
    <x v="11"/>
    <s v="Витамины"/>
    <s v="000001881"/>
    <x v="131"/>
    <x v="594"/>
    <n v="2226.4"/>
    <n v="0"/>
    <n v="56.626088179602782"/>
    <n v="0"/>
    <n v="47.447390489423761"/>
    <n v="2330.4734786690269"/>
    <n v="3200"/>
    <x v="156"/>
    <s v="&lt;Клиент не выбран&gt;"/>
    <s v="2023 06"/>
    <n v="869.52652133097308"/>
    <n v="0.37311152831808858"/>
  </r>
  <r>
    <s v="PVP-329708"/>
    <n v="0"/>
    <s v="NSP"/>
    <s v="Доставлен"/>
    <d v="2023-05-02T00:00:00"/>
    <x v="11"/>
    <s v="Витамины"/>
    <s v="000000907"/>
    <x v="131"/>
    <x v="595"/>
    <n v="2190.09"/>
    <n v="0"/>
    <n v="55.702582402652837"/>
    <n v="0"/>
    <n v="46.673578618838519"/>
    <n v="2292.4661610214916"/>
    <n v="2900"/>
    <x v="156"/>
    <s v="&lt;Клиент не выбран&gt;"/>
    <s v="2023 06"/>
    <n v="607.53383897850836"/>
    <n v="0.26501321995863159"/>
  </r>
  <r>
    <s v="PVP-329708"/>
    <n v="0"/>
    <s v="NSP"/>
    <s v="Доставлен"/>
    <d v="2023-05-02T00:00:00"/>
    <x v="11"/>
    <s v="Витамины"/>
    <s v="000000999"/>
    <x v="131"/>
    <x v="596"/>
    <n v="2172.38"/>
    <n v="0"/>
    <n v="55.252147610315077"/>
    <n v="0"/>
    <n v="46.296156194490827"/>
    <n v="2273.9283038048061"/>
    <n v="3700"/>
    <x v="368"/>
    <s v="&lt;Клиент не выбран&gt;"/>
    <s v="2023 08"/>
    <n v="1426.0716961951939"/>
    <n v="0.62714013181904082"/>
  </r>
  <r>
    <s v="PVP-329708"/>
    <n v="0"/>
    <s v="NSP"/>
    <s v="Доставлен"/>
    <d v="2023-05-02T00:00:00"/>
    <x v="11"/>
    <s v="Витамины"/>
    <s v="000000514"/>
    <x v="131"/>
    <x v="597"/>
    <n v="1339.03"/>
    <n v="0"/>
    <n v="34.056787125015049"/>
    <n v="0"/>
    <n v="28.536417214810051"/>
    <n v="1401.623204339825"/>
    <n v="2000"/>
    <x v="192"/>
    <s v="&lt;Клиент не выбран&gt;"/>
    <s v="2023 05"/>
    <n v="598.37679566017505"/>
    <n v="0.42691701579099856"/>
  </r>
  <r>
    <s v="PVP-329708"/>
    <n v="0"/>
    <s v="NSP"/>
    <s v="Доставлен"/>
    <d v="2023-05-02T00:00:00"/>
    <x v="11"/>
    <s v="Витамины"/>
    <s v="000000850"/>
    <x v="131"/>
    <x v="598"/>
    <n v="1456.81"/>
    <n v="0"/>
    <n v="37.052394682414267"/>
    <n v="0"/>
    <n v="31.04645748243686"/>
    <n v="1524.9088521648509"/>
    <n v="1550"/>
    <x v="280"/>
    <s v="&lt;Клиент не выбран&gt;"/>
    <s v="2023 05"/>
    <n v="25.091147835149059"/>
    <n v="1.645419514715793E-2"/>
  </r>
  <r>
    <s v="OZA0118"/>
    <n v="0"/>
    <s v="OZON_AV"/>
    <s v="Доставлен"/>
    <d v="2023-05-12T00:00:00"/>
    <x v="11"/>
    <s v="Спортпит"/>
    <s v="190950286"/>
    <x v="118"/>
    <x v="599"/>
    <n v="1703"/>
    <n v="0"/>
    <n v="0"/>
    <n v="0"/>
    <n v="170.3"/>
    <n v="1873.3"/>
    <n v="2300"/>
    <x v="175"/>
    <s v="&lt;Клиент не выбран&gt;"/>
    <s v="2023 06"/>
    <n v="426.70000000000005"/>
    <n v="0.22777985373405224"/>
  </r>
  <r>
    <s v="OZA0118"/>
    <n v="0"/>
    <s v="OZON_AV"/>
    <s v="Доставлен"/>
    <d v="2023-05-12T00:00:00"/>
    <x v="11"/>
    <s v="Спортпит"/>
    <s v="190950286"/>
    <x v="118"/>
    <x v="599"/>
    <n v="1703"/>
    <n v="0"/>
    <n v="0"/>
    <n v="0"/>
    <n v="170.3"/>
    <n v="1873.3"/>
    <n v="2300"/>
    <x v="317"/>
    <s v="&lt;Клиент не выбран&gt;"/>
    <s v="2023 06"/>
    <n v="426.70000000000005"/>
    <n v="0.22777985373405224"/>
  </r>
  <r>
    <s v="518263335"/>
    <s v="710000790688"/>
    <s v="iHerb_AV CYG0792"/>
    <s v="Доставлен"/>
    <d v="2023-05-13T00:00:00"/>
    <x v="11"/>
    <s v="Витамины"/>
    <s v="CGN-00950"/>
    <x v="1"/>
    <x v="600"/>
    <n v="15"/>
    <n v="-4.5"/>
    <n v="0.87147560030983717"/>
    <n v="-2.3116030133171343E-15"/>
    <n v="0.61784157634046522"/>
    <n v="1047.3693067389618"/>
    <n v="2600"/>
    <x v="369"/>
    <s v="&lt;Клиент не выбран&gt;"/>
    <s v="2023 10"/>
    <n v="1552.6306932610382"/>
    <n v="1.4824099611007637"/>
  </r>
  <r>
    <s v="518263335"/>
    <s v="710000790688"/>
    <s v="iHerb_AV CYG0792"/>
    <s v="Доставлен"/>
    <d v="2023-05-13T00:00:00"/>
    <x v="11"/>
    <s v="Витамины"/>
    <s v="CEN-27493"/>
    <x v="2"/>
    <x v="146"/>
    <n v="7.06"/>
    <n v="-0.71"/>
    <n v="0.52703524399690149"/>
    <n v="-1.3979694413870287E-15"/>
    <n v="0.37364704854875758"/>
    <n v="633.40905693261016"/>
    <n v="1200"/>
    <x v="358"/>
    <s v="&lt;Клиент не выбран&gt;"/>
    <s v="2023 06"/>
    <n v="566.59094306738984"/>
    <n v="0.89451032767229721"/>
  </r>
  <r>
    <s v="518263335"/>
    <s v="710000790688"/>
    <s v="iHerb_AV CYG0792"/>
    <s v="Доставлен"/>
    <d v="2023-05-13T00:00:00"/>
    <x v="11"/>
    <s v="Витамины"/>
    <s v="CGN-01034"/>
    <x v="1"/>
    <x v="84"/>
    <n v="8"/>
    <n v="-3.2"/>
    <n v="0.39838884585592554"/>
    <n v="-1.0567328060878327E-15"/>
    <n v="0.28244186346992695"/>
    <n v="478.79739736638248"/>
    <n v="900"/>
    <x v="370"/>
    <s v="&lt;Клиент не выбран&gt;"/>
    <s v="2023 10"/>
    <n v="421.20260263361752"/>
    <n v="0.87970946573735731"/>
  </r>
  <r>
    <s v="518263335"/>
    <s v="710000790688"/>
    <s v="iHerb_AV CYG0792"/>
    <s v="Доставлен"/>
    <d v="2023-05-13T00:00:00"/>
    <x v="11"/>
    <s v="Витамины"/>
    <s v="CGN-01034"/>
    <x v="1"/>
    <x v="84"/>
    <n v="8"/>
    <n v="-3.2"/>
    <n v="0.39838884585592554"/>
    <n v="-1.0567328060878327E-15"/>
    <n v="0.28244186346992695"/>
    <n v="478.79739736638248"/>
    <n v="900"/>
    <x v="308"/>
    <s v="&lt;Клиент не выбран&gt;"/>
    <s v="2024 02"/>
    <n v="421.20260263361752"/>
    <n v="0.87970946573735731"/>
  </r>
  <r>
    <s v="518263335"/>
    <s v="710000790688"/>
    <s v="iHerb_AV CYG0792"/>
    <s v="Доставлен"/>
    <d v="2023-05-13T00:00:00"/>
    <x v="11"/>
    <s v="Витамины"/>
    <s v="SOL-00955"/>
    <x v="19"/>
    <x v="601"/>
    <n v="13.24"/>
    <n v="0"/>
    <n v="1.0988892331525948"/>
    <n v="-2.914821323458939E-15"/>
    <n v="0.7790688067378817"/>
    <n v="1320.6828210689384"/>
    <n v="1900"/>
    <x v="295"/>
    <s v="&lt;Клиент не выбран&gt;"/>
    <s v="2023 06"/>
    <n v="579.31717893106156"/>
    <n v="0.43864974215547986"/>
  </r>
  <r>
    <s v="518263335"/>
    <s v="710000790688"/>
    <s v="iHerb_AV CYG0792"/>
    <s v="Доставлен"/>
    <d v="2023-05-13T00:00:00"/>
    <x v="11"/>
    <s v="Косметика"/>
    <s v="EUC-03226"/>
    <x v="13"/>
    <x v="29"/>
    <n v="16.940000000000001"/>
    <n v="-3.39"/>
    <n v="1.1246185127807899"/>
    <n v="-2.9830686505187782E-15"/>
    <n v="0.79730984375364822"/>
    <n v="1351.6051529821839"/>
    <m/>
    <x v="20"/>
    <m/>
    <s v=""/>
    <n v="-1351.6051529821839"/>
    <s v=""/>
  </r>
  <r>
    <s v="518263335"/>
    <s v="710000790688"/>
    <s v="iHerb_AV CYG0792"/>
    <s v="Доставлен"/>
    <d v="2023-05-13T00:00:00"/>
    <x v="11"/>
    <s v="Витамины"/>
    <s v="HEC-50301"/>
    <x v="157"/>
    <x v="602"/>
    <n v="51.6"/>
    <n v="-5.16"/>
    <n v="3.8544120836560793"/>
    <n v="-1.0223889898899782E-14"/>
    <n v="2.732625029071543"/>
    <n v="4632.3648195197502"/>
    <n v="5100"/>
    <x v="295"/>
    <s v="&lt;Клиент не выбран&gt;"/>
    <s v="2023 06"/>
    <n v="467.6351804802498"/>
    <n v="0.10094955788234546"/>
  </r>
  <r>
    <s v="518263335"/>
    <s v="710000790688"/>
    <s v="iHerb_AV CYG0792"/>
    <s v="Доставлен"/>
    <d v="2023-05-13T00:00:00"/>
    <x v="11"/>
    <s v="Витамины"/>
    <s v="NLI-00117"/>
    <x v="158"/>
    <x v="603"/>
    <n v="6.42"/>
    <n v="-1.28"/>
    <n v="0.42660805577072031"/>
    <n v="-1.1315847131857208E-15"/>
    <n v="0.30244816213238007"/>
    <n v="512.71221301316791"/>
    <n v="1100"/>
    <x v="295"/>
    <s v="&lt;Клиент не выбран&gt;"/>
    <s v="2023 06"/>
    <n v="587.28778698683209"/>
    <n v="1.1454530867041173"/>
  </r>
  <r>
    <s v="518263335"/>
    <s v="710000790688"/>
    <s v="iHerb_AV CYG0792"/>
    <s v="Доставлен"/>
    <d v="2023-05-13T00:00:00"/>
    <x v="11"/>
    <s v="Витамины"/>
    <s v="SOR-57445"/>
    <x v="10"/>
    <x v="604"/>
    <n v="20.5"/>
    <n v="-2.0499999999999998"/>
    <n v="1.5313071262587137"/>
    <n v="-4.0618167234001073E-15"/>
    <n v="1.0856359127125317"/>
    <n v="1840.3774961270326"/>
    <n v="2700"/>
    <x v="286"/>
    <s v="&lt;Клиент не выбран&gt;"/>
    <s v="2023 06"/>
    <n v="859.6225038729674"/>
    <n v="0.46709031472183993"/>
  </r>
  <r>
    <s v="518263335"/>
    <s v="710000790688"/>
    <s v="iHerb_AV CYG0792"/>
    <s v="Доставлен"/>
    <d v="2023-05-13T00:00:00"/>
    <x v="11"/>
    <s v="Витамины"/>
    <s v="CGN-01330"/>
    <x v="1"/>
    <x v="89"/>
    <n v="15"/>
    <n v="-4.5"/>
    <n v="0.87147560030983717"/>
    <n v="-2.3116030133171343E-15"/>
    <n v="0.61784157634046522"/>
    <n v="1047.3693067389618"/>
    <n v="2500"/>
    <x v="270"/>
    <s v="&lt;Клиент не выбран&gt;"/>
    <s v="2023 10"/>
    <n v="1452.6306932610382"/>
    <n v="1.3869326549045806"/>
  </r>
  <r>
    <s v="518263335"/>
    <s v="710000790688"/>
    <s v="iHerb_AV CYG0792"/>
    <s v="Доставлен"/>
    <d v="2023-05-13T00:00:00"/>
    <x v="11"/>
    <s v="Витамины"/>
    <s v="CGN-01330"/>
    <x v="1"/>
    <x v="89"/>
    <n v="15"/>
    <n v="-4.5"/>
    <n v="0.87147560030983717"/>
    <n v="-2.3116030133171343E-15"/>
    <n v="0.61784157634046522"/>
    <n v="1047.3693067389618"/>
    <n v="2700"/>
    <x v="371"/>
    <s v="&lt;Клиент не выбран&gt;"/>
    <s v="2023 12"/>
    <n v="1652.6306932610382"/>
    <n v="1.5778872672969471"/>
  </r>
  <r>
    <s v="518263335"/>
    <s v="710000790688"/>
    <s v="iHerb_AV CYG0792"/>
    <s v="Доставлен"/>
    <d v="2023-05-13T00:00:00"/>
    <x v="11"/>
    <s v="Витамины"/>
    <s v="MSC-60557"/>
    <x v="159"/>
    <x v="605"/>
    <n v="20.309999999999999"/>
    <n v="-5.08"/>
    <n v="1.2640546088303637"/>
    <n v="-3.352925132649519E-15"/>
    <n v="0.89616449596812231"/>
    <n v="1519.1842420604173"/>
    <n v="2700"/>
    <x v="372"/>
    <s v="&lt;Клиент не выбран&gt;"/>
    <s v="2023 07"/>
    <n v="1180.8157579395827"/>
    <n v="0.77726961960721952"/>
  </r>
  <r>
    <s v="518263335"/>
    <s v="710000790688"/>
    <s v="iHerb_AV CYG0792"/>
    <s v="Доставлен"/>
    <d v="2023-05-13T00:00:00"/>
    <x v="11"/>
    <s v="Витамины"/>
    <s v="NOW-00076"/>
    <x v="3"/>
    <x v="434"/>
    <n v="19.05"/>
    <n v="-1.91"/>
    <n v="1.4225801704105343"/>
    <n v="-3.773416728405303E-15"/>
    <n v="1.0085528208071974"/>
    <n v="1709.7057064291239"/>
    <n v="2500"/>
    <x v="236"/>
    <s v="&lt;Клиент не выбран&gt;"/>
    <s v="2023 06"/>
    <n v="790.29429357087611"/>
    <n v="0.46223995778868737"/>
  </r>
  <r>
    <s v="518263335"/>
    <s v="710000790688"/>
    <s v="iHerb_AV CYG0792"/>
    <s v="Доставлен"/>
    <d v="2023-05-13T00:00:00"/>
    <x v="11"/>
    <s v="Косметика"/>
    <s v="ADN-11917"/>
    <x v="160"/>
    <x v="606"/>
    <n v="9.5500000000000007"/>
    <n v="-1.91"/>
    <n v="0.63410224632068157"/>
    <n v="-1.681966383023134E-15"/>
    <n v="0.44955329935630045"/>
    <n v="762.08585747482539"/>
    <n v="1500"/>
    <x v="244"/>
    <s v="&lt;Клиент не выбран&gt;"/>
    <s v="2023 06"/>
    <n v="737.91414252517461"/>
    <n v="0.96828216307576698"/>
  </r>
  <r>
    <s v="518263335"/>
    <s v="710000790688"/>
    <s v="iHerb_AV CYG0792"/>
    <s v="Доставлен"/>
    <d v="2023-05-13T00:00:00"/>
    <x v="11"/>
    <s v="Витамины"/>
    <s v="CGN-01032"/>
    <x v="1"/>
    <x v="145"/>
    <n v="35"/>
    <n v="-10.5"/>
    <n v="2.0334430673896198"/>
    <n v="-5.3937403644066463E-15"/>
    <n v="1.4416303447944188"/>
    <n v="2443.8617157242438"/>
    <n v="3900"/>
    <x v="207"/>
    <s v="&lt;Клиент не выбран&gt;"/>
    <s v="2023 06"/>
    <n v="1456.1382842757562"/>
    <n v="0.59583497499334837"/>
  </r>
  <r>
    <s v="518263335"/>
    <s v="710000790688"/>
    <s v="iHerb_AV CYG0792"/>
    <s v="Доставлен"/>
    <d v="2023-05-13T00:00:00"/>
    <x v="11"/>
    <s v="Витамины"/>
    <s v="CGN-01032"/>
    <x v="1"/>
    <x v="145"/>
    <n v="35"/>
    <n v="-10.5"/>
    <n v="2.0334430673896198"/>
    <n v="-5.3937403644066463E-15"/>
    <n v="1.4416303447944188"/>
    <n v="2443.8617157242438"/>
    <n v="3900"/>
    <x v="271"/>
    <s v="&lt;Клиент не выбран&gt;"/>
    <s v="2023 07"/>
    <n v="1456.1382842757562"/>
    <n v="0.59583497499334837"/>
  </r>
  <r>
    <s v="518263335"/>
    <s v="710000790688"/>
    <s v="iHerb_AV CYG0792"/>
    <s v="Доставлен"/>
    <d v="2023-05-13T00:00:00"/>
    <x v="11"/>
    <s v="Косметика"/>
    <s v="EUC-03222"/>
    <x v="13"/>
    <x v="607"/>
    <n v="16.79"/>
    <n v="-3.36"/>
    <n v="1.1146587916343917"/>
    <n v="-2.9566503303665821E-15"/>
    <n v="0.79024879716689989"/>
    <n v="1339.6352180480242"/>
    <m/>
    <x v="20"/>
    <m/>
    <s v=""/>
    <n v="-1339.6352180480242"/>
    <s v=""/>
  </r>
  <r>
    <s v="518263335"/>
    <s v="710000790688"/>
    <s v="iHerb_AV CYG0792"/>
    <s v="Доставлен"/>
    <d v="2023-05-13T00:00:00"/>
    <x v="11"/>
    <s v="Витамины"/>
    <s v="EVL-02221"/>
    <x v="125"/>
    <x v="608"/>
    <n v="22.99"/>
    <n v="-11.5"/>
    <n v="0.95364329976762163"/>
    <n v="-2.5295541545727493E-15"/>
    <n v="0.67609521068113754"/>
    <n v="1146.1212699457778"/>
    <n v="2700"/>
    <x v="373"/>
    <s v="&lt;Клиент не выбран&gt;"/>
    <s v="2024 07"/>
    <n v="1553.8787300542222"/>
    <n v="1.3557716541878113"/>
  </r>
  <r>
    <s v="518162180"/>
    <s v="710000782272"/>
    <s v="iHerb_MH DLE7202"/>
    <s v="Доставлен"/>
    <d v="2023-05-08T00:00:00"/>
    <x v="11"/>
    <s v="Витамины"/>
    <s v="NBC-01000"/>
    <x v="8"/>
    <x v="609"/>
    <n v="11.37"/>
    <n v="-1.1399999999999999"/>
    <n v="0.77023090095564262"/>
    <n v="1.6061099678121471E-15"/>
    <n v="0.85061139748618886"/>
    <n v="1044.9429144971239"/>
    <n v="1800"/>
    <x v="207"/>
    <s v="&lt;Клиент не выбран&gt;"/>
    <s v="2023 06"/>
    <n v="755.05708550287613"/>
    <n v="0.72258213824651407"/>
  </r>
  <r>
    <s v="518162180"/>
    <s v="710000782272"/>
    <s v="iHerb_MH DLE7202"/>
    <s v="Доставлен"/>
    <d v="2023-05-08T00:00:00"/>
    <x v="11"/>
    <s v="Витамины"/>
    <s v="NOW-01298"/>
    <x v="3"/>
    <x v="392"/>
    <n v="20.73"/>
    <n v="-4.1459999999999999"/>
    <n v="1.2486323813732532"/>
    <n v="2.6036879478198096E-15"/>
    <n v="1.3789383593265843"/>
    <n v="1693.9719740000301"/>
    <n v="2800"/>
    <x v="295"/>
    <s v="&lt;Клиент не выбран&gt;"/>
    <s v="2023 06"/>
    <n v="1106.0280259999699"/>
    <n v="0.65291990834315317"/>
  </r>
  <r>
    <s v="518162180"/>
    <s v="710000782272"/>
    <s v="iHerb_MH DLE7202"/>
    <s v="Доставлен"/>
    <d v="2023-05-08T00:00:00"/>
    <x v="11"/>
    <s v="Витамины"/>
    <s v="NOW-01298"/>
    <x v="3"/>
    <x v="392"/>
    <n v="20.73"/>
    <n v="-4.1459999999999999"/>
    <n v="1.2486323813732532"/>
    <n v="2.6036879478198096E-15"/>
    <n v="1.3789383593265843"/>
    <n v="1693.9719740000301"/>
    <n v="2800"/>
    <x v="295"/>
    <s v="&lt;Клиент не выбран&gt;"/>
    <s v="2023 06"/>
    <n v="1106.0280259999699"/>
    <n v="0.65291990834315317"/>
  </r>
  <r>
    <s v="518162180"/>
    <s v="710000782272"/>
    <s v="iHerb_MH DLE7202"/>
    <s v="Доставлен"/>
    <d v="2023-05-08T00:00:00"/>
    <x v="11"/>
    <s v="Витамины"/>
    <s v="NOW-01298"/>
    <x v="3"/>
    <x v="392"/>
    <n v="20.73"/>
    <n v="-4.1459999999999999"/>
    <n v="1.2486323813732532"/>
    <n v="2.6036879478198096E-15"/>
    <n v="1.3789383593265843"/>
    <n v="1693.9719740000301"/>
    <n v="2800"/>
    <x v="295"/>
    <s v="&lt;Клиент не выбран&gt;"/>
    <s v="2023 06"/>
    <n v="1106.0280259999699"/>
    <n v="0.65291990834315317"/>
  </r>
  <r>
    <s v="518162180"/>
    <s v="710000782272"/>
    <s v="iHerb_MH DLE7202"/>
    <s v="Доставлен"/>
    <d v="2023-05-08T00:00:00"/>
    <x v="11"/>
    <s v="Витамины"/>
    <s v="NOW-01298"/>
    <x v="3"/>
    <x v="392"/>
    <n v="20.73"/>
    <n v="-4.1459999999999999"/>
    <n v="1.2486323813732532"/>
    <n v="2.6036879478198096E-15"/>
    <n v="1.3789383593265843"/>
    <n v="1693.9719740000301"/>
    <n v="2600"/>
    <x v="317"/>
    <s v="&lt;Клиент не выбран&gt;"/>
    <s v="2023 06"/>
    <n v="906.02802599996994"/>
    <n v="0.53485420060435651"/>
  </r>
  <r>
    <s v="518162180"/>
    <s v="710000782272"/>
    <s v="iHerb_MH DLE7202"/>
    <s v="Доставлен"/>
    <d v="2023-05-08T00:00:00"/>
    <x v="11"/>
    <s v="Витамины"/>
    <s v="NOW-01298"/>
    <x v="3"/>
    <x v="392"/>
    <n v="20.73"/>
    <n v="-4.1459999999999999"/>
    <n v="1.2486323813732532"/>
    <n v="2.6036879478198096E-15"/>
    <n v="1.3789383593265843"/>
    <n v="1693.9719740000301"/>
    <n v="2600"/>
    <x v="207"/>
    <s v="&lt;Клиент не выбран&gt;"/>
    <s v="2023 06"/>
    <n v="906.02802599996994"/>
    <n v="0.53485420060435651"/>
  </r>
  <r>
    <s v="518162180"/>
    <s v="710000782272"/>
    <s v="iHerb_MH DLE7202"/>
    <s v="Доставлен"/>
    <d v="2023-05-08T00:00:00"/>
    <x v="11"/>
    <s v="Витамины"/>
    <s v="THR-27202"/>
    <x v="82"/>
    <x v="610"/>
    <n v="18"/>
    <n v="-3.6"/>
    <n v="1.0841959896149811"/>
    <n v="2.2607999546915857E-15"/>
    <n v="1.1973415565787999"/>
    <n v="1470.8873869754241"/>
    <n v="2400"/>
    <x v="295"/>
    <s v="&lt;Клиент не выбран&gt;"/>
    <s v="2023 06"/>
    <n v="929.11261302457592"/>
    <n v="0.6316680809501698"/>
  </r>
  <r>
    <s v="518162180"/>
    <s v="710000782272"/>
    <s v="iHerb_MH DLE7202"/>
    <s v="Доставлен"/>
    <d v="2023-05-08T00:00:00"/>
    <x v="11"/>
    <s v="Витамины"/>
    <s v="THR-27202"/>
    <x v="82"/>
    <x v="610"/>
    <n v="18"/>
    <n v="-3.6"/>
    <n v="1.0841959896149811"/>
    <n v="2.2607999546915857E-15"/>
    <n v="1.1973415565787999"/>
    <n v="1470.8873869754241"/>
    <n v="2300"/>
    <x v="295"/>
    <s v="&lt;Клиент не выбран&gt;"/>
    <s v="2023 06"/>
    <n v="829.11261302457592"/>
    <n v="0.5636819109105794"/>
  </r>
  <r>
    <s v="518162180"/>
    <s v="710000782272"/>
    <s v="iHerb_MH DLE7202"/>
    <s v="Доставлен"/>
    <d v="2023-05-08T00:00:00"/>
    <x v="11"/>
    <s v="Витамины"/>
    <s v="DRB-00025"/>
    <x v="6"/>
    <x v="113"/>
    <n v="11.47"/>
    <n v="-2.2949999999999999"/>
    <n v="0.69079848643871189"/>
    <n v="1.4404749711316182E-15"/>
    <n v="0.76288949872295075"/>
    <n v="937.1799844096887"/>
    <n v="1800"/>
    <x v="132"/>
    <s v="&lt;Клиент не выбран&gt;"/>
    <s v="2023 09"/>
    <n v="862.8200155903113"/>
    <n v="0.92065561572336041"/>
  </r>
  <r>
    <s v="518162180"/>
    <s v="710000782272"/>
    <s v="iHerb_MH DLE7202"/>
    <s v="Доставлен"/>
    <d v="2023-05-08T00:00:00"/>
    <x v="11"/>
    <s v="Витамины"/>
    <s v="DRB-00025"/>
    <x v="6"/>
    <x v="113"/>
    <n v="11.47"/>
    <n v="-2.2949999999999999"/>
    <n v="0.69079848643871189"/>
    <n v="1.4404749711316182E-15"/>
    <n v="0.76288949872295075"/>
    <n v="937.1799844096887"/>
    <m/>
    <x v="20"/>
    <m/>
    <s v=""/>
    <n v="-937.1799844096887"/>
    <s v=""/>
  </r>
  <r>
    <s v="518162180"/>
    <s v="710000782272"/>
    <s v="iHerb_MH DLE7202"/>
    <s v="Доставлен"/>
    <d v="2023-05-08T00:00:00"/>
    <x v="11"/>
    <s v="Витамины"/>
    <s v="CAL-21068"/>
    <x v="138"/>
    <x v="611"/>
    <n v="20.420000000000002"/>
    <n v="-4.08"/>
    <n v="1.230261282660333"/>
    <n v="2.5653799485875362E-15"/>
    <n v="1.3586500718401107"/>
    <n v="1669.0486043873912"/>
    <n v="2600"/>
    <x v="288"/>
    <s v="&lt;Клиент не выбран&gt;"/>
    <s v="2023 06"/>
    <n v="930.95139561260885"/>
    <n v="0.55777368805524152"/>
  </r>
  <r>
    <s v="518162180"/>
    <s v="710000782272"/>
    <s v="iHerb_MH DLE7202"/>
    <s v="Доставлен"/>
    <d v="2023-05-08T00:00:00"/>
    <x v="11"/>
    <s v="Витамины"/>
    <s v="CEN-27454"/>
    <x v="2"/>
    <x v="612"/>
    <n v="7.38"/>
    <n v="-3.69"/>
    <n v="0.27782522233883888"/>
    <n v="5.7932998838971883E-16"/>
    <n v="0.30681877387331741"/>
    <n v="376.91489291245239"/>
    <n v="850"/>
    <x v="11"/>
    <s v="&lt;Клиент не выбран&gt;"/>
    <s v="2023 07"/>
    <n v="473.08510708754761"/>
    <n v="1.2551510061912918"/>
  </r>
  <r>
    <s v="518162180"/>
    <s v="710000782272"/>
    <s v="iHerb_MH DLE7202"/>
    <s v="Доставлен"/>
    <d v="2023-05-08T00:00:00"/>
    <x v="11"/>
    <s v="Витамины"/>
    <s v="CGN-01033"/>
    <x v="1"/>
    <x v="1"/>
    <n v="17"/>
    <n v="-5.0999999999999996"/>
    <n v="0.8959675191957136"/>
    <n v="1.8682999625576299E-15"/>
    <n v="0.98946975856164709"/>
    <n v="1215.5249934033018"/>
    <n v="2300"/>
    <x v="374"/>
    <s v="&lt;Клиент не выбран&gt;"/>
    <s v="2024 05"/>
    <n v="1084.4750065966982"/>
    <n v="0.89218651404305416"/>
  </r>
  <r>
    <s v="518162180"/>
    <s v="710000782272"/>
    <s v="iHerb_MH DLE7202"/>
    <s v="Доставлен"/>
    <d v="2023-05-08T00:00:00"/>
    <x v="11"/>
    <s v="Витамины"/>
    <s v="SPN-00124"/>
    <x v="45"/>
    <x v="613"/>
    <n v="16"/>
    <n v="-7.2"/>
    <n v="0.66256421587582182"/>
    <n v="1.3815999723115248E-15"/>
    <n v="0.73170872902037776"/>
    <n v="898.87562537387032"/>
    <m/>
    <x v="20"/>
    <m/>
    <s v=""/>
    <n v="-898.87562537387032"/>
    <s v=""/>
  </r>
  <r>
    <s v="710052536"/>
    <n v="0"/>
    <s v="CoralClub_AV"/>
    <s v="Доставлен"/>
    <d v="2023-05-21T00:00:00"/>
    <x v="11"/>
    <s v="Витамины"/>
    <s v="000091865"/>
    <x v="79"/>
    <x v="228"/>
    <n v="1184"/>
    <n v="0"/>
    <n v="0"/>
    <n v="0"/>
    <n v="2.9502151198524893"/>
    <n v="1186.9502151198526"/>
    <n v="1500"/>
    <x v="146"/>
    <s v="&lt;Клиент не выбран&gt;"/>
    <s v="2023 07"/>
    <n v="313.0497848801474"/>
    <n v="0.26374297834264021"/>
  </r>
  <r>
    <s v="710052536"/>
    <n v="0"/>
    <s v="CoralClub_AV"/>
    <s v="Доставлен"/>
    <d v="2023-05-21T00:00:00"/>
    <x v="11"/>
    <s v="Витамины"/>
    <s v="000002154"/>
    <x v="79"/>
    <x v="614"/>
    <n v="438.45"/>
    <n v="0"/>
    <n v="0"/>
    <n v="0"/>
    <n v="1.092501536570375"/>
    <n v="439.54250153657034"/>
    <n v="700"/>
    <x v="238"/>
    <s v="&lt;Клиент не выбран&gt;"/>
    <s v="2023 08"/>
    <n v="260.45749846342966"/>
    <n v="0.59256499099156934"/>
  </r>
  <r>
    <s v="710052536"/>
    <n v="0"/>
    <s v="CoralClub_AV"/>
    <s v="Доставлен"/>
    <d v="2023-05-21T00:00:00"/>
    <x v="11"/>
    <s v="Витамины"/>
    <s v="000002154"/>
    <x v="79"/>
    <x v="614"/>
    <n v="438.45"/>
    <n v="0"/>
    <n v="0"/>
    <n v="0"/>
    <n v="1.092501536570375"/>
    <n v="439.54250153657034"/>
    <n v="700"/>
    <x v="219"/>
    <s v="&lt;Клиент не выбран&gt;"/>
    <s v="2023 11"/>
    <n v="260.45749846342966"/>
    <n v="0.59256499099156934"/>
  </r>
  <r>
    <s v="710052536"/>
    <n v="0"/>
    <s v="CoralClub_AV"/>
    <s v="Доставлен"/>
    <d v="2023-05-21T00:00:00"/>
    <x v="11"/>
    <s v="Витамины"/>
    <s v="000002154"/>
    <x v="79"/>
    <x v="614"/>
    <n v="438.45"/>
    <n v="0"/>
    <n v="0"/>
    <n v="0"/>
    <n v="1.092501536570375"/>
    <n v="439.54250153657034"/>
    <n v="700"/>
    <x v="176"/>
    <s v="&lt;Клиент не выбран&gt;"/>
    <s v="2023 12"/>
    <n v="260.45749846342966"/>
    <n v="0.59256499099156934"/>
  </r>
  <r>
    <s v="710052536"/>
    <n v="0"/>
    <s v="CoralClub_AV"/>
    <s v="Доставлен"/>
    <d v="2023-05-21T00:00:00"/>
    <x v="11"/>
    <s v="Витамины"/>
    <s v="000002154"/>
    <x v="79"/>
    <x v="614"/>
    <n v="438.45"/>
    <n v="0"/>
    <n v="0"/>
    <n v="0"/>
    <n v="1.092501536570375"/>
    <n v="439.54250153657034"/>
    <m/>
    <x v="20"/>
    <m/>
    <s v=""/>
    <n v="-439.54250153657034"/>
    <s v=""/>
  </r>
  <r>
    <s v="710052536"/>
    <n v="0"/>
    <s v="CoralClub_AV"/>
    <s v="Доставлен"/>
    <d v="2023-05-21T00:00:00"/>
    <x v="11"/>
    <s v="Витамины"/>
    <s v="000005701"/>
    <x v="79"/>
    <x v="615"/>
    <n v="1184"/>
    <n v="0"/>
    <n v="0"/>
    <n v="0"/>
    <n v="2.9502151198524893"/>
    <n v="1186.9502151198526"/>
    <n v="1500"/>
    <x v="257"/>
    <s v="&lt;Клиент не выбран&gt;"/>
    <s v="2023 05"/>
    <n v="313.0497848801474"/>
    <n v="0.26374297834264021"/>
  </r>
  <r>
    <s v="710052536"/>
    <n v="0"/>
    <s v="CoralClub_AV"/>
    <s v="Доставлен"/>
    <d v="2023-05-21T00:00:00"/>
    <x v="11"/>
    <s v="Витамины"/>
    <s v="000080350"/>
    <x v="79"/>
    <x v="616"/>
    <n v="6586"/>
    <n v="0"/>
    <n v="0"/>
    <n v="0"/>
    <n v="16.410571604179474"/>
    <n v="6602.4105716041795"/>
    <n v="8350"/>
    <x v="212"/>
    <s v="&lt;Клиент не выбран&gt;"/>
    <s v="2023 05"/>
    <n v="1747.5894283958205"/>
    <n v="0.264689602296455"/>
  </r>
  <r>
    <s v="710052536"/>
    <n v="0"/>
    <s v="CoralClub_AV"/>
    <s v="Доставлен"/>
    <d v="2023-05-21T00:00:00"/>
    <x v="11"/>
    <s v="Витамины"/>
    <s v="000091619"/>
    <x v="79"/>
    <x v="233"/>
    <n v="1332"/>
    <n v="0"/>
    <n v="0"/>
    <n v="0"/>
    <n v="3.3189920098340506"/>
    <n v="1335.3189920098341"/>
    <n v="1690"/>
    <x v="257"/>
    <s v="&lt;Клиент не выбран&gt;"/>
    <s v="2023 05"/>
    <n v="354.68100799016588"/>
    <n v="0.26561519016240714"/>
  </r>
  <r>
    <s v="710038668"/>
    <n v="0"/>
    <s v="CoralClub_OA"/>
    <s v="Доставлен"/>
    <d v="2023-05-19T00:00:00"/>
    <x v="11"/>
    <s v="Витамины"/>
    <s v="000002149"/>
    <x v="79"/>
    <x v="591"/>
    <n v="629"/>
    <n v="0"/>
    <n v="-507.4"/>
    <n v="507.4"/>
    <n v="0"/>
    <n v="629"/>
    <n v="1100"/>
    <x v="198"/>
    <s v="&lt;Клиент не выбран&gt;"/>
    <s v="2023 11"/>
    <n v="471"/>
    <n v="0.74880763116057236"/>
  </r>
  <r>
    <s v="OZA0120"/>
    <n v="0"/>
    <s v="OZON_AV"/>
    <s v="Доставлен"/>
    <d v="2023-05-23T00:00:00"/>
    <x v="11"/>
    <s v="Витамины"/>
    <s v="983333252"/>
    <x v="161"/>
    <x v="617"/>
    <n v="936"/>
    <n v="0"/>
    <n v="0"/>
    <n v="0"/>
    <n v="93.600000000000009"/>
    <n v="1029.5999999999999"/>
    <n v="1600"/>
    <x v="117"/>
    <s v="&lt;Клиент не выбран&gt;"/>
    <s v="2023 06"/>
    <n v="570.40000000000009"/>
    <n v="0.55400155400155415"/>
  </r>
  <r>
    <s v="OZA0120"/>
    <n v="0"/>
    <s v="OZON_AV"/>
    <s v="Доставлен"/>
    <d v="2023-05-23T00:00:00"/>
    <x v="11"/>
    <s v="Спортпит"/>
    <s v="892721541"/>
    <x v="162"/>
    <x v="618"/>
    <n v="1021"/>
    <n v="0"/>
    <n v="0"/>
    <n v="0"/>
    <n v="102.10000000000001"/>
    <n v="1123.0999999999999"/>
    <n v="1700"/>
    <x v="117"/>
    <s v="&lt;Клиент не выбран&gt;"/>
    <s v="2023 06"/>
    <n v="576.90000000000009"/>
    <n v="0.51366752737957455"/>
  </r>
  <r>
    <s v="OZA0121"/>
    <n v="0"/>
    <s v="OZON_AV"/>
    <s v="Доставлен"/>
    <d v="2023-05-23T00:00:00"/>
    <x v="11"/>
    <s v="Витамины"/>
    <s v="983333197"/>
    <x v="163"/>
    <x v="619"/>
    <n v="1096"/>
    <m/>
    <n v="0"/>
    <n v="0"/>
    <n v="109.60000000000001"/>
    <n v="1205.5999999999999"/>
    <n v="1700"/>
    <x v="117"/>
    <s v="&lt;Клиент не выбран&gt;"/>
    <s v="2023 06"/>
    <n v="494.40000000000009"/>
    <n v="0.41008626410086274"/>
  </r>
  <r>
    <s v="OZA0122"/>
    <n v="0"/>
    <s v="OZON_AV"/>
    <s v="Доставлен"/>
    <d v="2023-05-26T00:00:00"/>
    <x v="11"/>
    <s v="Спортпит"/>
    <s v="769390102"/>
    <x v="129"/>
    <x v="593"/>
    <n v="2105"/>
    <m/>
    <n v="0"/>
    <n v="0"/>
    <n v="210.5"/>
    <n v="2315.5"/>
    <n v="4000"/>
    <x v="375"/>
    <s v="&lt;Клиент не выбран&gt;"/>
    <s v="2023 06"/>
    <n v="1684.5"/>
    <n v="0.72748866335564677"/>
  </r>
  <r>
    <s v="OZA0122"/>
    <n v="0"/>
    <s v="OZON_AV"/>
    <s v="Доставлен"/>
    <d v="2023-05-26T00:00:00"/>
    <x v="11"/>
    <s v="Спортпит"/>
    <s v="769390102"/>
    <x v="129"/>
    <x v="593"/>
    <n v="2105"/>
    <m/>
    <n v="0"/>
    <n v="0"/>
    <n v="210.5"/>
    <n v="2315.5"/>
    <n v="4000"/>
    <x v="376"/>
    <s v="&lt;Клиент не выбран&gt;"/>
    <s v="2023 07"/>
    <n v="1684.5"/>
    <n v="0.72748866335564677"/>
  </r>
  <r>
    <s v="OZA0122"/>
    <n v="0"/>
    <s v="OZON_AV"/>
    <s v="Доставлен"/>
    <d v="2023-05-26T00:00:00"/>
    <x v="11"/>
    <s v="Спортпит"/>
    <s v="769390102"/>
    <x v="129"/>
    <x v="593"/>
    <n v="2105"/>
    <m/>
    <n v="0"/>
    <n v="0"/>
    <n v="210.5"/>
    <n v="2315.5"/>
    <n v="3900"/>
    <x v="259"/>
    <s v="&lt;Клиент не выбран&gt;"/>
    <s v="2023 07"/>
    <n v="1584.5"/>
    <n v="0.68430144677175553"/>
  </r>
  <r>
    <s v="518499937"/>
    <s v="710000817994"/>
    <s v="iHerb_MH DLE7202"/>
    <s v="Доставлен"/>
    <d v="2023-05-26T00:00:00"/>
    <x v="11"/>
    <s v="Косметика"/>
    <s v="ARH-19793"/>
    <x v="29"/>
    <x v="620"/>
    <n v="5.14"/>
    <n v="-0.79"/>
    <n v="0.11422968710034953"/>
    <n v="-1.0540918750299035E-15"/>
    <n v="0.37507766245606328"/>
    <n v="432.27562447655407"/>
    <n v="700"/>
    <x v="376"/>
    <s v="&lt;Клиент не выбран&gt;"/>
    <s v="2023 07"/>
    <n v="267.72437552344593"/>
    <n v="0.61933720146176519"/>
  </r>
  <r>
    <s v="518499937"/>
    <s v="710000817994"/>
    <s v="iHerb_MH DLE7202"/>
    <s v="Доставлен"/>
    <d v="2023-05-26T00:00:00"/>
    <x v="11"/>
    <s v="Косметика"/>
    <s v="ARH-19793"/>
    <x v="29"/>
    <x v="620"/>
    <n v="5.14"/>
    <n v="-0.79"/>
    <n v="0.11422968710034953"/>
    <n v="-1.0540918750299035E-15"/>
    <n v="0.37507766245606328"/>
    <n v="432.27562447655407"/>
    <n v="800"/>
    <x v="151"/>
    <s v="&lt;Клиент не выбран&gt;"/>
    <s v="2023 09"/>
    <n v="367.72437552344593"/>
    <n v="0.85067108738487451"/>
  </r>
  <r>
    <s v="518499937"/>
    <s v="710000817994"/>
    <s v="iHerb_MH DLE7202"/>
    <s v="Доставлен"/>
    <d v="2023-05-26T00:00:00"/>
    <x v="11"/>
    <s v="Витамины"/>
    <s v="DRB-00133"/>
    <x v="6"/>
    <x v="621"/>
    <n v="15.19"/>
    <n v="-2.27"/>
    <n v="0.33927530053713006"/>
    <n v="-3.1307740288244492E-15"/>
    <n v="1.114023769869503"/>
    <n v="1283.9082915487536"/>
    <n v="2200"/>
    <x v="223"/>
    <s v="&lt;Клиент не выбран&gt;"/>
    <s v="2023 08"/>
    <n v="916.0917084512464"/>
    <n v="0.71351802498773709"/>
  </r>
  <r>
    <s v="518499937"/>
    <s v="710000817994"/>
    <s v="iHerb_MH DLE7202"/>
    <s v="Доставлен"/>
    <d v="2023-05-26T00:00:00"/>
    <x v="11"/>
    <s v="Витамины"/>
    <s v="NOW-03170"/>
    <x v="3"/>
    <x v="306"/>
    <n v="16.79"/>
    <n v="-2.5150000000000001"/>
    <n v="0.37485719157643438"/>
    <n v="-3.4591175898969824E-15"/>
    <n v="1.2308583061058167"/>
    <n v="1418.5596642305306"/>
    <n v="2100"/>
    <x v="301"/>
    <s v="&lt;Клиент не выбран&gt;"/>
    <s v="2023 08"/>
    <n v="681.44033576946936"/>
    <n v="0.48037481464630749"/>
  </r>
  <r>
    <s v="518499937"/>
    <s v="710000817994"/>
    <s v="iHerb_MH DLE7202"/>
    <s v="Доставлен"/>
    <d v="2023-05-26T00:00:00"/>
    <x v="11"/>
    <s v="Витамины"/>
    <s v="NOW-03170"/>
    <x v="3"/>
    <x v="306"/>
    <n v="16.79"/>
    <n v="-2.5150000000000001"/>
    <n v="0.37485719157643438"/>
    <n v="-3.4591175898969824E-15"/>
    <n v="1.2308583061058167"/>
    <n v="1418.5596642305306"/>
    <n v="2400"/>
    <x v="276"/>
    <s v="&lt;Клиент не выбран&gt;"/>
    <s v="2023 09"/>
    <n v="981.44033576946936"/>
    <n v="0.69185693102435142"/>
  </r>
  <r>
    <s v="518499937"/>
    <s v="710000817994"/>
    <s v="iHerb_MH DLE7202"/>
    <s v="Доставлен"/>
    <d v="2023-05-26T00:00:00"/>
    <x v="11"/>
    <s v="Косметика"/>
    <s v="ARH-00546"/>
    <x v="29"/>
    <x v="562"/>
    <n v="5.2"/>
    <n v="-0.78"/>
    <n v="0.11606786597322871"/>
    <n v="-1.0710542730188906E-15"/>
    <n v="0.38111339495535623"/>
    <n v="439.23178395088939"/>
    <n v="700"/>
    <x v="376"/>
    <s v="&lt;Клиент не выбран&gt;"/>
    <s v="2023 07"/>
    <n v="260.76821604911061"/>
    <n v="0.59369158967390934"/>
  </r>
  <r>
    <s v="518499937"/>
    <s v="710000817994"/>
    <s v="iHerb_MH DLE7202"/>
    <s v="Доставлен"/>
    <d v="2023-05-26T00:00:00"/>
    <x v="11"/>
    <s v="Косметика"/>
    <s v="ARH-00546"/>
    <x v="29"/>
    <x v="562"/>
    <n v="5.2"/>
    <n v="-0.78"/>
    <n v="0.11606786597322871"/>
    <n v="-1.0710542730188906E-15"/>
    <n v="0.38111339495535623"/>
    <n v="439.23178395088939"/>
    <n v="800"/>
    <x v="301"/>
    <s v="&lt;Клиент не выбран&gt;"/>
    <s v="2023 08"/>
    <n v="360.76821604911061"/>
    <n v="0.82136181677018205"/>
  </r>
  <r>
    <s v="518499937"/>
    <s v="710000817994"/>
    <s v="iHerb_MH DLE7202"/>
    <s v="Доставлен"/>
    <d v="2023-05-26T00:00:00"/>
    <x v="11"/>
    <s v="Косметика"/>
    <s v="ARH-19792"/>
    <x v="29"/>
    <x v="510"/>
    <n v="5.14"/>
    <n v="-0.77"/>
    <n v="0.11475488106402928"/>
    <n v="-1.0589382744553283E-15"/>
    <n v="0.37680215745586126"/>
    <n v="434.26309861207841"/>
    <m/>
    <x v="20"/>
    <m/>
    <s v=""/>
    <n v="-434.26309861207841"/>
    <s v=""/>
  </r>
  <r>
    <s v="518499937"/>
    <s v="710000817994"/>
    <s v="iHerb_MH DLE7202"/>
    <s v="Доставлен"/>
    <d v="2023-05-26T00:00:00"/>
    <x v="11"/>
    <s v="Витамины"/>
    <s v="LEX-23151"/>
    <x v="7"/>
    <x v="17"/>
    <n v="20.69"/>
    <n v="-3.1"/>
    <n v="0.46190809105635589"/>
    <n v="-4.2624082946611504E-15"/>
    <n v="1.5166933523223343"/>
    <n v="1747.9835021936979"/>
    <n v="2700"/>
    <x v="185"/>
    <s v="&lt;Клиент не выбран&gt;"/>
    <s v="2023 11"/>
    <n v="952.01649780630214"/>
    <n v="0.54463700407442817"/>
  </r>
  <r>
    <s v="518499937"/>
    <s v="710000817994"/>
    <s v="iHerb_MH DLE7202"/>
    <s v="Доставлен"/>
    <d v="2023-05-26T00:00:00"/>
    <x v="11"/>
    <s v="Витамины"/>
    <s v="LEX-23151"/>
    <x v="7"/>
    <x v="17"/>
    <n v="20.69"/>
    <n v="-3.1"/>
    <n v="0.46190809105635589"/>
    <n v="-4.2624082946611504E-15"/>
    <n v="1.5166933523223343"/>
    <n v="1747.9835021936979"/>
    <n v="2600"/>
    <x v="371"/>
    <s v="&lt;Клиент не выбран&gt;"/>
    <s v="2023 12"/>
    <n v="852.01649780630214"/>
    <n v="0.4874282261457456"/>
  </r>
  <r>
    <s v="518499937"/>
    <s v="710000817994"/>
    <s v="iHerb_MH DLE7202"/>
    <s v="Доставлен"/>
    <d v="2023-05-26T00:00:00"/>
    <x v="11"/>
    <s v="Витамины"/>
    <s v="MRM-71301"/>
    <x v="37"/>
    <x v="116"/>
    <n v="5.68"/>
    <n v="-0.85"/>
    <n v="0.12683434222866397"/>
    <n v="-1.1704054612400998E-15"/>
    <n v="0.41646554245121509"/>
    <n v="479.97500372913936"/>
    <n v="1100"/>
    <x v="213"/>
    <s v="&lt;Клиент не выбран&gt;"/>
    <s v="2023 07"/>
    <n v="620.02499627086058"/>
    <n v="1.2917860127165175"/>
  </r>
  <r>
    <s v="518499937"/>
    <s v="710000817994"/>
    <s v="iHerb_MH DLE7202"/>
    <s v="Доставлен"/>
    <d v="2023-05-26T00:00:00"/>
    <x v="11"/>
    <s v="Витамины"/>
    <s v="MRM-71301"/>
    <x v="37"/>
    <x v="116"/>
    <n v="5.68"/>
    <n v="-0.85"/>
    <n v="0.12683434222866397"/>
    <n v="-1.1704054612400998E-15"/>
    <n v="0.41646554245121509"/>
    <n v="479.97500372913936"/>
    <n v="1000"/>
    <x v="335"/>
    <s v="&lt;Клиент не выбран&gt;"/>
    <s v="2023 08"/>
    <n v="520.02499627086058"/>
    <n v="1.0834418297422888"/>
  </r>
  <r>
    <s v="518499937"/>
    <s v="710000817994"/>
    <s v="iHerb_MH DLE7202"/>
    <s v="Доставлен"/>
    <d v="2023-05-26T00:00:00"/>
    <x v="11"/>
    <s v="Витамины"/>
    <s v="NFS-01630"/>
    <x v="23"/>
    <x v="250"/>
    <n v="5.33"/>
    <n v="-0.79500000000000004"/>
    <n v="0.11908773126438739"/>
    <n v="-1.0989210697150835E-15"/>
    <n v="0.39102924120419474"/>
    <n v="450.65976023015469"/>
    <n v="1100"/>
    <x v="146"/>
    <s v="&lt;Клиент не выбран&gt;"/>
    <s v="2023 07"/>
    <n v="649.34023976984531"/>
    <n v="1.4408658084720574"/>
  </r>
  <r>
    <s v="518499937"/>
    <s v="710000817994"/>
    <s v="iHerb_MH DLE7202"/>
    <s v="Доставлен"/>
    <d v="2023-05-26T00:00:00"/>
    <x v="11"/>
    <s v="Витамины"/>
    <s v="NFS-01630"/>
    <x v="23"/>
    <x v="250"/>
    <n v="5.33"/>
    <n v="-0.79500000000000004"/>
    <n v="0.11908773126438739"/>
    <n v="-1.0989210697150835E-15"/>
    <n v="0.39102924120419474"/>
    <n v="450.65976023015469"/>
    <n v="1100"/>
    <x v="245"/>
    <s v="&lt;Клиент не выбран&gt;"/>
    <s v="2023 07"/>
    <n v="649.34023976984531"/>
    <n v="1.4408658084720574"/>
  </r>
  <r>
    <s v="518411918"/>
    <s v="710000804444"/>
    <s v="iHerb_OA CZN6870"/>
    <s v="Доставлен"/>
    <d v="2023-05-22T00:00:00"/>
    <x v="11"/>
    <s v="Витамины"/>
    <s v="SLM-01761"/>
    <x v="164"/>
    <x v="622"/>
    <n v="30"/>
    <n v="-32.519999999999996"/>
    <n v="-4.6551724137930975E-2"/>
    <n v="0"/>
    <n v="-0.30779461859674778"/>
    <n v="-256.48729465768776"/>
    <n v="2800"/>
    <x v="372"/>
    <s v="&lt;Клиент не выбран&gt;"/>
    <s v="2023 07"/>
    <n v="3056.4872946576879"/>
    <n v="-11.916720080567449"/>
  </r>
  <r>
    <s v="518411918"/>
    <s v="710000804444"/>
    <s v="iHerb_OA CZN6870"/>
    <s v="Доставлен"/>
    <d v="2023-05-22T00:00:00"/>
    <x v="11"/>
    <s v="Витамины"/>
    <s v="SLM-01761"/>
    <x v="164"/>
    <x v="622"/>
    <n v="30"/>
    <n v="-9"/>
    <n v="0.38793103448275873"/>
    <n v="0"/>
    <n v="2.5649551549729024"/>
    <n v="2137.3941221474015"/>
    <n v="3200"/>
    <x v="372"/>
    <s v="&lt;Клиент не выбран&gt;"/>
    <s v="2023 07"/>
    <n v="1062.6058778525985"/>
    <n v="0.49715018247781906"/>
  </r>
  <r>
    <s v="518411918"/>
    <s v="710000804444"/>
    <s v="iHerb_OA CZN6870"/>
    <s v="Доставлен"/>
    <d v="2023-05-22T00:00:00"/>
    <x v="11"/>
    <s v="Витамины"/>
    <s v="NOW-00147"/>
    <x v="3"/>
    <x v="623"/>
    <n v="16.420000000000002"/>
    <n v="-1.64"/>
    <n v="0.27302955665024642"/>
    <n v="0"/>
    <n v="1.8052398662142619"/>
    <n v="1504.3183393018378"/>
    <n v="2000"/>
    <x v="358"/>
    <s v="&lt;Клиент не выбран&gt;"/>
    <s v="2023 06"/>
    <n v="495.6816606981622"/>
    <n v="0.32950582848588467"/>
  </r>
  <r>
    <s v="518411918"/>
    <s v="710000804444"/>
    <s v="iHerb_OA CZN6870"/>
    <s v="Доставлен"/>
    <d v="2023-05-22T00:00:00"/>
    <x v="11"/>
    <s v="Витамины"/>
    <s v="CEN-27285"/>
    <x v="2"/>
    <x v="543"/>
    <n v="6.12"/>
    <n v="-0.61"/>
    <n v="0.1017857142857143"/>
    <n v="0"/>
    <n v="0.67299537637622342"/>
    <n v="560.81150538248482"/>
    <n v="1200"/>
    <x v="207"/>
    <s v="&lt;Клиент не выбран&gt;"/>
    <s v="2023 06"/>
    <n v="639.18849461751518"/>
    <n v="1.139756386027736"/>
  </r>
  <r>
    <s v="518411918"/>
    <s v="710000804444"/>
    <s v="iHerb_OA CZN6870"/>
    <s v="Доставлен"/>
    <d v="2023-05-22T00:00:00"/>
    <x v="11"/>
    <s v="Витамины"/>
    <s v="MLI-00952"/>
    <x v="1"/>
    <x v="7"/>
    <n v="7"/>
    <n v="-4.2"/>
    <n v="5.1724137931034496E-2"/>
    <n v="0"/>
    <n v="0.34199402066305362"/>
    <n v="284.98588295298686"/>
    <n v="900"/>
    <x v="354"/>
    <s v="&lt;Клиент не выбран&gt;"/>
    <s v="2023 09"/>
    <n v="615.01411704701309"/>
    <n v="2.1580511661641495"/>
  </r>
  <r>
    <s v="518411918"/>
    <s v="710000804444"/>
    <s v="iHerb_OA CZN6870"/>
    <s v="Доставлен"/>
    <d v="2023-05-22T00:00:00"/>
    <x v="11"/>
    <s v="Витамины"/>
    <s v="MLI-00952"/>
    <x v="1"/>
    <x v="7"/>
    <n v="7"/>
    <n v="-4.2"/>
    <n v="5.1724137931034496E-2"/>
    <n v="0"/>
    <n v="0.34199402066305362"/>
    <n v="284.98588295298686"/>
    <n v="1200"/>
    <x v="256"/>
    <s v="&lt;Клиент не выбран&gt;"/>
    <s v="2023 10"/>
    <n v="915.01411704701309"/>
    <n v="3.210734888218866"/>
  </r>
  <r>
    <s v="518411918"/>
    <s v="710000804444"/>
    <s v="iHerb_OA CZN6870"/>
    <s v="Доставлен"/>
    <d v="2023-05-22T00:00:00"/>
    <x v="11"/>
    <s v="Витамины"/>
    <s v="MLI-00952"/>
    <x v="1"/>
    <x v="7"/>
    <n v="7"/>
    <n v="-4.2"/>
    <n v="5.1724137931034496E-2"/>
    <n v="0"/>
    <n v="0.34199402066305362"/>
    <n v="284.98588295298686"/>
    <n v="1200"/>
    <x v="366"/>
    <s v="&lt;Клиент не выбран&gt;"/>
    <s v="2023 12"/>
    <n v="915.01411704701309"/>
    <n v="3.210734888218866"/>
  </r>
  <r>
    <s v="518411918"/>
    <s v="710000804444"/>
    <s v="iHerb_OA CZN6870"/>
    <s v="Доставлен"/>
    <d v="2023-05-22T00:00:00"/>
    <x v="11"/>
    <s v="Витамины"/>
    <s v="MLI-00952"/>
    <x v="1"/>
    <x v="7"/>
    <n v="7"/>
    <n v="-4.2"/>
    <n v="5.1724137931034496E-2"/>
    <n v="0"/>
    <n v="0.34199402066305362"/>
    <n v="284.98588295298686"/>
    <n v="338.4"/>
    <x v="357"/>
    <s v="&lt;Клиент не выбран&gt;"/>
    <s v="2024 03"/>
    <n v="53.414117047013121"/>
    <n v="0.18742723847772019"/>
  </r>
  <r>
    <s v="518411918"/>
    <s v="710000804444"/>
    <s v="iHerb_OA CZN6870"/>
    <s v="Доставлен"/>
    <d v="2023-05-22T00:00:00"/>
    <x v="11"/>
    <s v="Витамины"/>
    <s v="MLI-00952"/>
    <x v="1"/>
    <x v="7"/>
    <n v="7"/>
    <n v="-4.2"/>
    <n v="5.1724137931034496E-2"/>
    <n v="0"/>
    <n v="0.34199402066305362"/>
    <n v="284.98588295298686"/>
    <n v="338.4"/>
    <x v="287"/>
    <s v="&lt;Клиент не выбран&gt;"/>
    <s v="2023 05"/>
    <n v="53.414117047013121"/>
    <n v="0.18742723847772019"/>
  </r>
  <r>
    <s v="518411918"/>
    <s v="710000804444"/>
    <s v="iHerb_OA CZN6870"/>
    <s v="Доставлен"/>
    <d v="2023-05-22T00:00:00"/>
    <x v="11"/>
    <s v="Витамины"/>
    <s v="CDL-10200"/>
    <x v="25"/>
    <x v="624"/>
    <n v="8.68"/>
    <n v="-1.74"/>
    <n v="0.12820197044334977"/>
    <n v="0"/>
    <n v="0.84765660835771139"/>
    <n v="706.35786703347446"/>
    <m/>
    <x v="20"/>
    <m/>
    <s v=""/>
    <n v="-706.35786703347446"/>
    <s v=""/>
  </r>
  <r>
    <s v="518411918"/>
    <s v="710000804444"/>
    <s v="iHerb_OA CZN6870"/>
    <s v="Доставлен"/>
    <d v="2023-05-22T00:00:00"/>
    <x v="11"/>
    <s v="Косметика"/>
    <s v="RNA-02056"/>
    <x v="165"/>
    <x v="625"/>
    <n v="21.56"/>
    <n v="-2.16"/>
    <n v="0.35837438423645329"/>
    <n v="0"/>
    <n v="2.3695300003083002"/>
    <n v="1974.5450461742655"/>
    <n v="2344.65"/>
    <x v="287"/>
    <s v="&lt;Клиент не выбран&gt;"/>
    <s v="2023 05"/>
    <n v="370.10495382573458"/>
    <n v="0.18743809088722638"/>
  </r>
  <r>
    <s v="518411918"/>
    <s v="710000804444"/>
    <s v="iHerb_OA CZN6870"/>
    <s v="Доставлен"/>
    <d v="2023-05-22T00:00:00"/>
    <x v="11"/>
    <s v="Витамины"/>
    <s v="SOR-38584"/>
    <x v="10"/>
    <x v="626"/>
    <n v="11.36"/>
    <n v="-2.27"/>
    <n v="0.16791871921182272"/>
    <n v="0"/>
    <n v="1.1102591599382707"/>
    <n v="925.18631287237508"/>
    <n v="1700"/>
    <x v="106"/>
    <s v="&lt;Клиент не выбран&gt;"/>
    <s v="2023 06"/>
    <n v="774.81368712762492"/>
    <n v="0.8374677363331321"/>
  </r>
  <r>
    <s v="518411918"/>
    <s v="710000804444"/>
    <s v="iHerb_OA CZN6870"/>
    <s v="Доставлен"/>
    <d v="2023-05-22T00:00:00"/>
    <x v="11"/>
    <s v="Витамины"/>
    <s v="NFS-20726"/>
    <x v="23"/>
    <x v="627"/>
    <n v="26.22"/>
    <n v="-2.62"/>
    <n v="0.435960591133005"/>
    <n v="0"/>
    <n v="2.8825210313028804"/>
    <n v="2402.0238706037458"/>
    <n v="3000"/>
    <x v="246"/>
    <s v="&lt;Клиент не выбран&gt;"/>
    <s v="2023 06"/>
    <n v="597.97612939625424"/>
    <n v="0.24894678887847757"/>
  </r>
  <r>
    <s v="518411918"/>
    <s v="710000804444"/>
    <s v="iHerb_OA CZN6870"/>
    <s v="Доставлен"/>
    <d v="2023-05-22T00:00:00"/>
    <x v="11"/>
    <s v="Витамины"/>
    <s v="LEX-16280"/>
    <x v="7"/>
    <x v="628"/>
    <n v="15.73"/>
    <n v="-5.73"/>
    <n v="0.18472906403940892"/>
    <n v="0"/>
    <n v="1.2214072166537631"/>
    <n v="1017.8067248320958"/>
    <n v="2200"/>
    <x v="377"/>
    <s v="&lt;Клиент не выбран&gt;"/>
    <s v="2024 08"/>
    <n v="1182.1932751679042"/>
    <n v="1.1615105759523514"/>
  </r>
  <r>
    <s v="518506539"/>
    <s v="710000812893"/>
    <s v="iHerb_OA CZN6870"/>
    <s v="Доставлен"/>
    <d v="2023-05-27T00:00:00"/>
    <x v="11"/>
    <s v="Витамины"/>
    <s v="DRB-00091"/>
    <x v="6"/>
    <x v="16"/>
    <n v="10.67"/>
    <n v="-2.1339999999999999"/>
    <n v="0.40324698538799814"/>
    <n v="-5.1625984898126355E-15"/>
    <n v="0.90148015481182109"/>
    <n v="877.40973641651249"/>
    <n v="1600"/>
    <x v="327"/>
    <s v="&lt;Клиент не выбран&gt;"/>
    <s v="2023 08"/>
    <n v="722.59026358348751"/>
    <n v="0.82354940182755043"/>
  </r>
  <r>
    <s v="518506539"/>
    <s v="710000812893"/>
    <s v="iHerb_OA CZN6870"/>
    <s v="Доставлен"/>
    <d v="2023-05-27T00:00:00"/>
    <x v="11"/>
    <s v="Витамины"/>
    <s v="DRB-00091"/>
    <x v="6"/>
    <x v="16"/>
    <n v="10.67"/>
    <n v="-2.1339999999999999"/>
    <n v="0.40324698538799814"/>
    <n v="-5.1625984898126355E-15"/>
    <n v="0.90148015481182109"/>
    <n v="877.40973641651249"/>
    <n v="1600"/>
    <x v="305"/>
    <s v="&lt;Клиент не выбран&gt;"/>
    <s v="2023 09"/>
    <n v="722.59026358348751"/>
    <n v="0.82354940182755043"/>
  </r>
  <r>
    <s v="518506539"/>
    <s v="710000812893"/>
    <s v="iHerb_OA CZN6870"/>
    <s v="Доставлен"/>
    <d v="2023-05-27T00:00:00"/>
    <x v="11"/>
    <s v="Витамины"/>
    <s v="DRB-00091"/>
    <x v="6"/>
    <x v="16"/>
    <n v="10.67"/>
    <n v="-2.1339999999999999"/>
    <n v="0.40324698538799814"/>
    <n v="-5.1625984898126355E-15"/>
    <n v="0.90148015481182109"/>
    <n v="877.40973641651249"/>
    <n v="1650"/>
    <x v="354"/>
    <s v="&lt;Клиент не выбран&gt;"/>
    <s v="2023 09"/>
    <n v="772.59026358348751"/>
    <n v="0.88053532063466133"/>
  </r>
  <r>
    <s v="518506539"/>
    <s v="710000812893"/>
    <s v="iHerb_OA CZN6870"/>
    <s v="Доставлен"/>
    <d v="2023-05-27T00:00:00"/>
    <x v="11"/>
    <s v="Витамины"/>
    <s v="DRB-00091"/>
    <x v="6"/>
    <x v="16"/>
    <n v="10.67"/>
    <n v="-2.1339999999999999"/>
    <n v="0.40324698538799814"/>
    <n v="-5.1625984898126355E-15"/>
    <n v="0.90148015481182109"/>
    <n v="877.40973641651249"/>
    <n v="1650"/>
    <x v="354"/>
    <s v="&lt;Клиент не выбран&gt;"/>
    <s v="2023 09"/>
    <n v="772.59026358348751"/>
    <n v="0.88053532063466133"/>
  </r>
  <r>
    <s v="518506539"/>
    <s v="710000812893"/>
    <s v="iHerb_OA CZN6870"/>
    <s v="Доставлен"/>
    <d v="2023-05-27T00:00:00"/>
    <x v="11"/>
    <s v="Витамины"/>
    <s v="DRB-00091"/>
    <x v="6"/>
    <x v="16"/>
    <n v="10.67"/>
    <n v="-2.1339999999999999"/>
    <n v="0.40324698538799814"/>
    <n v="-5.1625984898126355E-15"/>
    <n v="0.90148015481182109"/>
    <n v="877.40973641651249"/>
    <n v="1700"/>
    <x v="273"/>
    <s v="&lt;Клиент не выбран&gt;"/>
    <s v="2023 09"/>
    <n v="822.59026358348751"/>
    <n v="0.93752123944177224"/>
  </r>
  <r>
    <s v="518506539"/>
    <s v="710000812893"/>
    <s v="iHerb_OA CZN6870"/>
    <s v="Доставлен"/>
    <d v="2023-05-27T00:00:00"/>
    <x v="11"/>
    <s v="Витамины"/>
    <s v="BTZ-75102"/>
    <x v="166"/>
    <x v="629"/>
    <n v="18.79"/>
    <n v="-9.3000000000000007"/>
    <n v="0.44831465456093045"/>
    <n v="-5.7395805609561751E-15"/>
    <n v="1.0022313342507241"/>
    <n v="975.47075897290313"/>
    <n v="2500"/>
    <x v="249"/>
    <s v="&lt;Клиент не выбран&gt;"/>
    <s v="2023 07"/>
    <n v="1524.5292410270968"/>
    <n v="1.562865136657003"/>
  </r>
  <r>
    <s v="518506539"/>
    <s v="710000812893"/>
    <s v="iHerb_OA CZN6870"/>
    <s v="Доставлен"/>
    <d v="2023-05-27T00:00:00"/>
    <x v="11"/>
    <s v="Витамины"/>
    <s v="DRB-00273"/>
    <x v="6"/>
    <x v="630"/>
    <n v="26.98"/>
    <n v="-5.4"/>
    <n v="1.0194552418782803"/>
    <n v="-1.3051648946831851E-14"/>
    <n v="2.2790465956934276"/>
    <n v="2218.1937806781089"/>
    <n v="3700"/>
    <x v="378"/>
    <s v="&lt;Клиент не выбран&gt;"/>
    <s v="2023 08"/>
    <n v="1481.8062193218911"/>
    <n v="0.66802379135194323"/>
  </r>
  <r>
    <s v="518506539"/>
    <s v="710000812893"/>
    <s v="iHerb_OA CZN6870"/>
    <s v="Доставлен"/>
    <d v="2023-05-27T00:00:00"/>
    <x v="11"/>
    <s v="Витамины"/>
    <s v="SOL-00680"/>
    <x v="19"/>
    <x v="379"/>
    <n v="10.26"/>
    <n v="0"/>
    <n v="0.48469002695417779"/>
    <n v="-6.2052788783361818E-15"/>
    <n v="1.0835504203806565"/>
    <n v="1054.618544474393"/>
    <n v="1600"/>
    <x v="236"/>
    <s v="&lt;Клиент не выбран&gt;"/>
    <s v="2023 06"/>
    <n v="545.38145552560695"/>
    <n v="0.51713622748537702"/>
  </r>
  <r>
    <s v="518506539"/>
    <s v="710000812893"/>
    <s v="iHerb_OA CZN6870"/>
    <s v="Доставлен"/>
    <d v="2023-05-27T00:00:00"/>
    <x v="11"/>
    <s v="Витамины"/>
    <s v="SOL-00680"/>
    <x v="19"/>
    <x v="379"/>
    <n v="10.26"/>
    <n v="0"/>
    <n v="0.48469002695417779"/>
    <n v="-6.2052788783361818E-15"/>
    <n v="1.0835504203806565"/>
    <n v="1054.618544474393"/>
    <n v="1700"/>
    <x v="379"/>
    <s v="&lt;Клиент не выбран&gt;"/>
    <s v="2025 01"/>
    <n v="645.38145552560695"/>
    <n v="0.61195724170321308"/>
  </r>
  <r>
    <s v="518506539"/>
    <s v="710000812893"/>
    <s v="iHerb_OA CZN6870"/>
    <s v="Доставлен"/>
    <d v="2023-05-27T00:00:00"/>
    <x v="11"/>
    <s v="Витамины"/>
    <s v="NOW-00474"/>
    <x v="3"/>
    <x v="114"/>
    <n v="9.3699999999999992"/>
    <n v="-1.8733333333333333"/>
    <n v="0.35414810611434233"/>
    <n v="-4.5340065618512249E-15"/>
    <n v="0.79171699007020679"/>
    <n v="770.57735754480495"/>
    <n v="1600"/>
    <x v="380"/>
    <s v="&lt;Клиент не выбран&gt;"/>
    <s v="2023 10"/>
    <n v="829.42264245519505"/>
    <n v="1.0763651881725171"/>
  </r>
  <r>
    <s v="518506539"/>
    <s v="710000812893"/>
    <s v="iHerb_OA CZN6870"/>
    <s v="Доставлен"/>
    <d v="2023-05-27T00:00:00"/>
    <x v="11"/>
    <s v="Витамины"/>
    <s v="NOW-00474"/>
    <x v="3"/>
    <x v="114"/>
    <n v="9.3699999999999992"/>
    <n v="-1.8733333333333333"/>
    <n v="0.35414810611434233"/>
    <n v="-4.5340065618512249E-15"/>
    <n v="0.79171699007020679"/>
    <n v="770.57735754480495"/>
    <n v="1500"/>
    <x v="155"/>
    <s v="&lt;Клиент не выбран&gt;"/>
    <s v="2023 11"/>
    <n v="729.42264245519505"/>
    <n v="0.94659236391173485"/>
  </r>
  <r>
    <s v="518506539"/>
    <s v="710000812893"/>
    <s v="iHerb_OA CZN6870"/>
    <s v="Доставлен"/>
    <d v="2023-05-27T00:00:00"/>
    <x v="11"/>
    <s v="Витамины"/>
    <s v="NOW-00474"/>
    <x v="3"/>
    <x v="114"/>
    <n v="9.3699999999999992"/>
    <n v="-1.8733333333333333"/>
    <n v="0.35414810611434233"/>
    <n v="-4.5340065618512249E-15"/>
    <n v="0.79171699007020679"/>
    <n v="770.57735754480495"/>
    <n v="1600"/>
    <x v="381"/>
    <s v="&lt;Клиент не выбран&gt;"/>
    <s v="2023 11"/>
    <n v="829.42264245519505"/>
    <n v="1.0763651881725171"/>
  </r>
  <r>
    <s v="518506539"/>
    <s v="710000812893"/>
    <s v="iHerb_OA CZN6870"/>
    <s v="Доставлен"/>
    <d v="2023-05-27T00:00:00"/>
    <x v="11"/>
    <s v="Витамины"/>
    <s v="NOW-00471"/>
    <x v="3"/>
    <x v="121"/>
    <n v="6.49"/>
    <n v="-1.3"/>
    <n v="0.24517945807916011"/>
    <n v="-3.1389276197431563E-15"/>
    <n v="0.54811176235629699"/>
    <n v="533.4766321464034"/>
    <n v="1200"/>
    <x v="382"/>
    <s v="&lt;Клиент не выбран&gt;"/>
    <s v="2024 01"/>
    <n v="666.5233678535966"/>
    <n v="1.249395620520227"/>
  </r>
  <r>
    <s v="518506539"/>
    <s v="710000812893"/>
    <s v="iHerb_OA CZN6870"/>
    <s v="Доставлен"/>
    <d v="2023-05-27T00:00:00"/>
    <x v="11"/>
    <s v="Витамины"/>
    <s v="NOW-00471"/>
    <x v="3"/>
    <x v="121"/>
    <n v="6.49"/>
    <n v="-1.3"/>
    <n v="0.24517945807916011"/>
    <n v="-3.1389276197431563E-15"/>
    <n v="0.54811176235629699"/>
    <n v="533.4766321464034"/>
    <n v="1200"/>
    <x v="382"/>
    <s v="&lt;Клиент не выбран&gt;"/>
    <s v="2024 01"/>
    <n v="666.5233678535966"/>
    <n v="1.249395620520227"/>
  </r>
  <r>
    <s v="518506539"/>
    <s v="710000812893"/>
    <s v="iHerb_OA CZN6870"/>
    <s v="Доставлен"/>
    <d v="2023-05-27T00:00:00"/>
    <x v="11"/>
    <s v="Витамины"/>
    <s v="NOW-02210"/>
    <x v="3"/>
    <x v="304"/>
    <n v="8.65"/>
    <n v="-1.73"/>
    <n v="0.3269059441055468"/>
    <n v="-4.1852368263242079E-15"/>
    <n v="0.73081568314172929"/>
    <n v="711.30217619520454"/>
    <n v="1500"/>
    <x v="106"/>
    <s v="&lt;Клиент не выбран&gt;"/>
    <s v="2023 06"/>
    <n v="788.69782380479546"/>
    <n v="1.1088083942377129"/>
  </r>
  <r>
    <s v="518506539"/>
    <s v="710000812893"/>
    <s v="iHerb_OA CZN6870"/>
    <s v="Доставлен"/>
    <d v="2023-05-27T00:00:00"/>
    <x v="11"/>
    <s v="Витамины"/>
    <s v="NOW-02210"/>
    <x v="3"/>
    <x v="304"/>
    <n v="8.65"/>
    <n v="-1.73"/>
    <n v="0.3269059441055468"/>
    <n v="-4.1852368263242079E-15"/>
    <n v="0.73081568314172929"/>
    <n v="711.30217619520454"/>
    <n v="1500"/>
    <x v="146"/>
    <s v="&lt;Клиент не выбран&gt;"/>
    <s v="2023 07"/>
    <n v="788.69782380479546"/>
    <n v="1.1088083942377129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2400"/>
    <x v="117"/>
    <s v="&lt;Клиент не выбран&gt;"/>
    <s v="2023 06"/>
    <n v="643.83694546379388"/>
    <n v="0.36661569881039774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2400"/>
    <x v="117"/>
    <s v="&lt;Клиент не выбран&gt;"/>
    <s v="2023 06"/>
    <n v="643.83694546379388"/>
    <n v="0.36661569881039774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2400"/>
    <x v="286"/>
    <s v="&lt;Клиент не выбран&gt;"/>
    <s v="2023 06"/>
    <n v="643.83694546379388"/>
    <n v="0.36661569881039774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2500"/>
    <x v="383"/>
    <s v="&lt;Клиент не выбран&gt;"/>
    <s v="2023 08"/>
    <n v="743.83694546379388"/>
    <n v="0.42355801959416434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1756.16"/>
    <x v="337"/>
    <s v="&lt;Клиент не выбран&gt;"/>
    <s v="2023 07"/>
    <n v="-3.0545362060365733E-3"/>
    <n v="-1.7393238048976387E-6"/>
  </r>
  <r>
    <s v="223099994"/>
    <n v="0"/>
    <s v="Forever"/>
    <s v="Доставлен"/>
    <d v="2023-05-12T00:00:00"/>
    <x v="11"/>
    <s v="Витамины"/>
    <s v="000000153"/>
    <x v="85"/>
    <x v="389"/>
    <n v="9623.3333333333339"/>
    <m/>
    <n v="0"/>
    <n v="192.48065254514407"/>
    <n v="218.25461423695765"/>
    <n v="1756.1630545362061"/>
    <n v="1756.16"/>
    <x v="337"/>
    <s v="&lt;Клиент не выбран&gt;"/>
    <s v="2023 07"/>
    <n v="-3.0545362060365733E-3"/>
    <n v="-1.7393238048976387E-6"/>
  </r>
  <r>
    <s v="223099994"/>
    <n v="0"/>
    <s v="Forever"/>
    <s v="Доставлен"/>
    <d v="2023-05-12T00:00:00"/>
    <x v="11"/>
    <s v="Витамины"/>
    <s v="000000205"/>
    <x v="85"/>
    <x v="407"/>
    <n v="8516"/>
    <m/>
    <n v="0"/>
    <n v="170.33237655778802"/>
    <n v="193.14059177436073"/>
    <n v="1554.0856847000691"/>
    <n v="1554.09"/>
    <x v="225"/>
    <s v="&lt;Клиент не выбран&gt;"/>
    <s v="2023 05"/>
    <n v="4.3152999307949358E-3"/>
    <n v="2.7767451777459539E-6"/>
  </r>
  <r>
    <s v="223099994"/>
    <n v="0"/>
    <s v="Forever"/>
    <s v="Доставлен"/>
    <d v="2023-05-12T00:00:00"/>
    <x v="11"/>
    <s v="Витамины"/>
    <s v="000000037"/>
    <x v="85"/>
    <x v="267"/>
    <n v="6716"/>
    <m/>
    <n v="0"/>
    <n v="134.32976056389202"/>
    <n v="152.31707542938076"/>
    <n v="1225.6035061584855"/>
    <n v="2000"/>
    <x v="308"/>
    <s v="&lt;Клиент не выбран&gt;"/>
    <s v="2024 02"/>
    <n v="774.39649384151448"/>
    <n v="0.63184911755741624"/>
  </r>
  <r>
    <s v="223099994"/>
    <n v="0"/>
    <s v="Forever"/>
    <s v="Доставлен"/>
    <d v="2023-05-12T00:00:00"/>
    <x v="11"/>
    <s v="Витамины"/>
    <s v="000000037"/>
    <x v="85"/>
    <x v="267"/>
    <n v="6716"/>
    <m/>
    <n v="0"/>
    <n v="134.32976056389202"/>
    <n v="152.31707542938076"/>
    <n v="1225.6035061584855"/>
    <n v="2000"/>
    <x v="384"/>
    <s v="&lt;Клиент не выбран&gt;"/>
    <s v="2024 02"/>
    <n v="774.39649384151448"/>
    <n v="0.63184911755741624"/>
  </r>
  <r>
    <s v="223099994"/>
    <n v="0"/>
    <s v="Forever"/>
    <s v="Доставлен"/>
    <d v="2023-05-12T00:00:00"/>
    <x v="11"/>
    <s v="Косметика"/>
    <s v="000000051"/>
    <x v="85"/>
    <x v="270"/>
    <n v="7299"/>
    <m/>
    <n v="0"/>
    <n v="145.99060785524833"/>
    <n v="165.5393587788937"/>
    <n v="1331.9952339861209"/>
    <m/>
    <x v="20"/>
    <m/>
    <s v=""/>
    <n v="-1331.9952339861209"/>
    <s v=""/>
  </r>
  <r>
    <s v="223099994"/>
    <n v="0"/>
    <s v="Forever"/>
    <s v="Доставлен"/>
    <d v="2023-05-12T00:00:00"/>
    <x v="11"/>
    <s v="Косметика"/>
    <s v="000000612"/>
    <x v="85"/>
    <x v="631"/>
    <n v="4672"/>
    <m/>
    <n v="0"/>
    <n v="93.446789957490097"/>
    <n v="105.95970464652574"/>
    <n v="852.59374341459875"/>
    <n v="852.59"/>
    <x v="225"/>
    <s v="&lt;Клиент не выбран&gt;"/>
    <s v="2023 05"/>
    <n v="-3.7434145987162992E-3"/>
    <n v="-4.3906193631260952E-6"/>
  </r>
  <r>
    <s v="223099994"/>
    <n v="0"/>
    <s v="Forever"/>
    <s v="Доставлен"/>
    <d v="2023-05-12T00:00:00"/>
    <x v="11"/>
    <s v="Косметика"/>
    <s v="000000063"/>
    <x v="85"/>
    <x v="632"/>
    <n v="5495"/>
    <m/>
    <n v="0"/>
    <n v="109.90798604803256"/>
    <n v="124.62512350870269"/>
    <n v="1002.7830950477783"/>
    <n v="1003.78"/>
    <x v="225"/>
    <s v="&lt;Клиент не выбран&gt;"/>
    <s v="2023 05"/>
    <n v="0.99690495222171194"/>
    <n v="9.9413817120063601E-4"/>
  </r>
  <r>
    <s v="223099994"/>
    <n v="0"/>
    <s v="Forever"/>
    <s v="Доставлен"/>
    <d v="2023-05-12T00:00:00"/>
    <x v="11"/>
    <s v="Косметика"/>
    <s v="000000640"/>
    <x v="85"/>
    <x v="411"/>
    <n v="7648"/>
    <m/>
    <n v="0"/>
    <n v="152.97111506739819"/>
    <n v="173.45458500355929"/>
    <n v="1395.6842786033501"/>
    <n v="1395.68"/>
    <x v="225"/>
    <s v="&lt;Клиент не выбран&gt;"/>
    <s v="2023 05"/>
    <n v="-4.2786033500306075E-3"/>
    <n v="-3.0655954327379621E-6"/>
  </r>
  <r>
    <s v="223099994"/>
    <n v="0"/>
    <s v="Forever"/>
    <s v="Доставлен"/>
    <d v="2023-05-12T00:00:00"/>
    <x v="11"/>
    <s v="Косметика"/>
    <s v="000000067"/>
    <x v="85"/>
    <x v="273"/>
    <n v="2645"/>
    <m/>
    <n v="0"/>
    <n v="52.903844057697199"/>
    <n v="59.987889295817766"/>
    <n v="482.68631235693789"/>
    <n v="700"/>
    <x v="317"/>
    <s v="&lt;Клиент не выбран&gt;"/>
    <s v="2023 06"/>
    <n v="217.31368764306211"/>
    <n v="0.45021721577711227"/>
  </r>
  <r>
    <s v="223099994"/>
    <n v="0"/>
    <s v="Forever"/>
    <s v="Доставлен"/>
    <d v="2023-05-12T00:00:00"/>
    <x v="11"/>
    <s v="Косметика"/>
    <s v="000000067"/>
    <x v="85"/>
    <x v="273"/>
    <n v="2645"/>
    <m/>
    <n v="0"/>
    <n v="52.903844057697199"/>
    <n v="59.987889295817766"/>
    <n v="482.68631235693789"/>
    <n v="800"/>
    <x v="354"/>
    <s v="&lt;Клиент не выбран&gt;"/>
    <s v="2023 09"/>
    <n v="317.31368764306211"/>
    <n v="0.6573911037452711"/>
  </r>
  <r>
    <s v="OZA0123"/>
    <n v="0"/>
    <s v="OZON_AV"/>
    <s v="Доставлен"/>
    <d v="2023-05-31T00:00:00"/>
    <x v="11"/>
    <s v="Спортпит"/>
    <s v="909837585"/>
    <x v="167"/>
    <x v="633"/>
    <n v="757.5"/>
    <m/>
    <n v="0"/>
    <n v="0"/>
    <n v="75.75"/>
    <n v="833.25"/>
    <n v="2600"/>
    <x v="332"/>
    <s v="&lt;Клиент не выбран&gt;"/>
    <s v="2023 07"/>
    <n v="1766.75"/>
    <n v="2.1203120312031203"/>
  </r>
  <r>
    <s v="OZA0123"/>
    <n v="0"/>
    <s v="OZON_AV"/>
    <s v="Доставлен"/>
    <d v="2023-05-31T00:00:00"/>
    <x v="11"/>
    <s v="Спортпит"/>
    <s v="909837585"/>
    <x v="167"/>
    <x v="633"/>
    <n v="757.5"/>
    <m/>
    <n v="0"/>
    <n v="0"/>
    <n v="75.75"/>
    <n v="833.25"/>
    <n v="2500"/>
    <x v="245"/>
    <s v="&lt;Клиент не выбран&gt;"/>
    <s v="2023 07"/>
    <n v="1666.75"/>
    <n v="2.0003000300030003"/>
  </r>
  <r>
    <s v="OZA0124"/>
    <n v="0"/>
    <s v="OZON_AV"/>
    <s v="Доставлен"/>
    <d v="2023-06-02T00:00:00"/>
    <x v="12"/>
    <s v="Спортпит"/>
    <s v="897817701"/>
    <x v="168"/>
    <x v="634"/>
    <n v="2156"/>
    <m/>
    <n v="0"/>
    <n v="0"/>
    <n v="215.60000000000002"/>
    <n v="2371.6"/>
    <n v="3000"/>
    <x v="295"/>
    <s v="&lt;Клиент не выбран&gt;"/>
    <s v="2023 06"/>
    <n v="628.40000000000009"/>
    <n v="0.26496879743632995"/>
  </r>
  <r>
    <s v="PVP-332803"/>
    <n v="0"/>
    <s v="NSP"/>
    <s v="Доставлен"/>
    <d v="2023-05-26T00:00:00"/>
    <x v="11"/>
    <s v="Витамины"/>
    <s v="000001580"/>
    <x v="131"/>
    <x v="635"/>
    <n v="2060.0250000000001"/>
    <m/>
    <n v="61.809358207988957"/>
    <n v="0"/>
    <n v="80.828244027708848"/>
    <n v="2202.6626022356982"/>
    <n v="2800"/>
    <x v="247"/>
    <s v="&lt;Клиент не выбран&gt;"/>
    <s v="2023 06"/>
    <n v="597.33739776430184"/>
    <n v="0.27118878631616372"/>
  </r>
  <r>
    <s v="PVP-332803"/>
    <n v="0"/>
    <s v="NSP"/>
    <s v="Доставлен"/>
    <d v="2023-05-26T00:00:00"/>
    <x v="11"/>
    <s v="Витамины"/>
    <s v="000001580"/>
    <x v="131"/>
    <x v="635"/>
    <n v="2060.0250000000001"/>
    <m/>
    <n v="61.809358207988957"/>
    <n v="0"/>
    <n v="80.828244027708848"/>
    <n v="2202.6626022356982"/>
    <n v="3550"/>
    <x v="271"/>
    <s v="&lt;Клиент не выбран&gt;"/>
    <s v="2023 07"/>
    <n v="1347.3373977643018"/>
    <n v="0.61168578265085038"/>
  </r>
  <r>
    <s v="PVP-332803"/>
    <n v="0"/>
    <s v="NSP"/>
    <s v="Доставлен"/>
    <d v="2023-05-26T00:00:00"/>
    <x v="11"/>
    <s v="Витамины"/>
    <s v="000000090"/>
    <x v="131"/>
    <x v="636"/>
    <n v="977.24"/>
    <m/>
    <n v="29.321283584022098"/>
    <n v="0"/>
    <n v="38.343511944582318"/>
    <n v="1044.9047955286044"/>
    <n v="1800"/>
    <x v="276"/>
    <s v="&lt;Клиент не выбран&gt;"/>
    <s v="2023 09"/>
    <n v="755.09520447139562"/>
    <n v="0.72264497943030526"/>
  </r>
  <r>
    <s v="OZA0125"/>
    <n v="0"/>
    <s v="OZON_AV"/>
    <s v="Доставлен"/>
    <d v="2023-06-08T00:00:00"/>
    <x v="12"/>
    <s v="Спортпит"/>
    <s v="892721541"/>
    <x v="162"/>
    <x v="618"/>
    <n v="1037"/>
    <m/>
    <n v="0"/>
    <n v="0"/>
    <n v="103.7"/>
    <n v="1140.7"/>
    <n v="2000"/>
    <x v="236"/>
    <s v="&lt;Клиент не выбран&gt;"/>
    <s v="2023 06"/>
    <n v="859.3"/>
    <n v="0.75330937143859023"/>
  </r>
  <r>
    <s v="223126748"/>
    <n v="0"/>
    <s v="Forever"/>
    <s v="Доставлен"/>
    <d v="2023-06-19T00:00:00"/>
    <x v="12"/>
    <s v="Витамины"/>
    <s v="000000015"/>
    <x v="85"/>
    <x v="265"/>
    <n v="9622"/>
    <m/>
    <n v="0"/>
    <n v="192.39507526161404"/>
    <n v="440.19211377292328"/>
    <n v="1944.0643392913332"/>
    <n v="1944.06"/>
    <x v="339"/>
    <s v="&lt;Клиент не выбран&gt;"/>
    <s v="2023 08"/>
    <n v="-4.3392913332809258E-3"/>
    <n v="-2.2320718741555237E-6"/>
  </r>
  <r>
    <s v="223126748"/>
    <n v="0"/>
    <s v="Forever"/>
    <s v="Доставлен"/>
    <d v="2023-06-19T00:00:00"/>
    <x v="12"/>
    <s v="Витамины"/>
    <s v="000000015"/>
    <x v="85"/>
    <x v="265"/>
    <n v="9622"/>
    <m/>
    <n v="0"/>
    <n v="192.39507526161404"/>
    <n v="440.19211377292328"/>
    <n v="1944.0643392913332"/>
    <n v="1944.06"/>
    <x v="385"/>
    <s v="&lt;Клиент не выбран&gt;"/>
    <s v="2023 08"/>
    <n v="-4.3392913332809258E-3"/>
    <n v="-2.2320718741555237E-6"/>
  </r>
  <r>
    <s v="223126748"/>
    <n v="0"/>
    <s v="Forever"/>
    <s v="Доставлен"/>
    <d v="2023-06-19T00:00:00"/>
    <x v="12"/>
    <s v="Витамины"/>
    <s v="000000015"/>
    <x v="85"/>
    <x v="265"/>
    <n v="9622"/>
    <m/>
    <n v="0"/>
    <n v="192.39507526161404"/>
    <n v="440.19211377292328"/>
    <n v="1944.0643392913332"/>
    <n v="2800"/>
    <x v="31"/>
    <s v="&lt;Клиент не выбран&gt;"/>
    <s v="2023 09"/>
    <n v="855.93566070866677"/>
    <n v="0.44028155005439773"/>
  </r>
  <r>
    <s v="223126748"/>
    <n v="0"/>
    <s v="Forever"/>
    <s v="Доставлен"/>
    <d v="2023-06-19T00:00:00"/>
    <x v="12"/>
    <s v="Витамины"/>
    <s v="000000015"/>
    <x v="85"/>
    <x v="265"/>
    <n v="9622"/>
    <m/>
    <n v="0"/>
    <n v="192.39507526161404"/>
    <n v="440.19211377292328"/>
    <n v="1944.0643392913332"/>
    <n v="3000"/>
    <x v="354"/>
    <s v="&lt;Клиент не выбран&gt;"/>
    <s v="2023 09"/>
    <n v="1055.9356607086668"/>
    <n v="0.54315880362971181"/>
  </r>
  <r>
    <s v="223126748"/>
    <n v="0"/>
    <s v="Forever"/>
    <s v="Доставлен"/>
    <d v="2023-06-19T00:00:00"/>
    <x v="12"/>
    <s v="Витамины"/>
    <s v="000000196"/>
    <x v="85"/>
    <x v="637"/>
    <n v="13123.666666666666"/>
    <m/>
    <n v="0"/>
    <n v="262.41205945143093"/>
    <n v="600.3881282946636"/>
    <n v="2651.5539770747273"/>
    <n v="3400"/>
    <x v="245"/>
    <s v="&lt;Клиент не выбран&gt;"/>
    <s v="2023 07"/>
    <n v="748.4460229252727"/>
    <n v="0.28226693832986965"/>
  </r>
  <r>
    <s v="223126748"/>
    <n v="0"/>
    <s v="Forever"/>
    <s v="Доставлен"/>
    <d v="2023-06-19T00:00:00"/>
    <x v="12"/>
    <s v="Витамины"/>
    <s v="000000196"/>
    <x v="85"/>
    <x v="637"/>
    <n v="13123.666666666666"/>
    <m/>
    <n v="0"/>
    <n v="262.41205945143093"/>
    <n v="600.3881282946636"/>
    <n v="2651.5539770747273"/>
    <n v="3400"/>
    <x v="245"/>
    <s v="&lt;Клиент не выбран&gt;"/>
    <s v="2023 07"/>
    <n v="748.4460229252727"/>
    <n v="0.28226693832986965"/>
  </r>
  <r>
    <s v="223126748"/>
    <n v="0"/>
    <s v="Forever"/>
    <s v="Доставлен"/>
    <d v="2023-06-19T00:00:00"/>
    <x v="12"/>
    <s v="Витамины"/>
    <s v="000000196"/>
    <x v="85"/>
    <x v="637"/>
    <n v="13123.666666666666"/>
    <m/>
    <n v="0"/>
    <n v="262.41205945143093"/>
    <n v="600.3881282946636"/>
    <n v="2651.5539770747273"/>
    <n v="3400"/>
    <x v="386"/>
    <s v="&lt;Клиент не выбран&gt;"/>
    <s v="2024 08"/>
    <n v="748.4460229252727"/>
    <n v="0.28226693832986965"/>
  </r>
  <r>
    <s v="223126748"/>
    <n v="0"/>
    <s v="Forever"/>
    <s v="Доставлен"/>
    <d v="2023-06-19T00:00:00"/>
    <x v="12"/>
    <s v="Витамины"/>
    <s v="000000206"/>
    <x v="85"/>
    <x v="638"/>
    <n v="8914"/>
    <m/>
    <n v="0"/>
    <n v="178.23838088568152"/>
    <n v="407.80217233130725"/>
    <n v="1801.017410147884"/>
    <n v="2400"/>
    <x v="245"/>
    <s v="&lt;Клиент не выбран&gt;"/>
    <s v="2023 07"/>
    <n v="598.98258985211601"/>
    <n v="0.33258012192282621"/>
  </r>
  <r>
    <s v="223126748"/>
    <n v="0"/>
    <s v="Forever"/>
    <s v="Доставлен"/>
    <d v="2023-06-19T00:00:00"/>
    <x v="12"/>
    <s v="Витамины"/>
    <s v="000000206"/>
    <x v="85"/>
    <x v="638"/>
    <n v="8914"/>
    <m/>
    <n v="0"/>
    <n v="178.23838088568152"/>
    <n v="407.80217233130725"/>
    <n v="1801.017410147884"/>
    <n v="2400"/>
    <x v="245"/>
    <s v="&lt;Клиент не выбран&gt;"/>
    <s v="2023 07"/>
    <n v="598.98258985211601"/>
    <n v="0.33258012192282621"/>
  </r>
  <r>
    <s v="223126748"/>
    <n v="0"/>
    <s v="Forever"/>
    <s v="Доставлен"/>
    <d v="2023-06-19T00:00:00"/>
    <x v="12"/>
    <s v="Косметика"/>
    <s v="000000028"/>
    <x v="85"/>
    <x v="266"/>
    <n v="2836"/>
    <m/>
    <n v="0"/>
    <n v="56.706758827887903"/>
    <n v="129.74275978590839"/>
    <n v="572.99589131471839"/>
    <n v="573"/>
    <x v="152"/>
    <s v="&lt;Клиент не выбран&gt;"/>
    <s v="2023 06"/>
    <n v="4.1086852816079045E-3"/>
    <n v="7.1705318378124397E-6"/>
  </r>
  <r>
    <s v="PVP-335472"/>
    <n v="0"/>
    <s v="NSP_AV"/>
    <s v="Доставлен"/>
    <d v="2023-06-16T00:00:00"/>
    <x v="12"/>
    <s v="Витамины"/>
    <s v="000001346"/>
    <x v="131"/>
    <x v="639"/>
    <n v="2179.9499999999998"/>
    <m/>
    <n v="48.327611888874856"/>
    <n v="-9.2725516378171105E-4"/>
    <n v="18.545103278602753"/>
    <n v="2246.8217879123135"/>
    <n v="3052.29"/>
    <x v="332"/>
    <s v="&lt;Клиент не выбран&gt;"/>
    <s v="2023 07"/>
    <n v="805.46821208768642"/>
    <n v="0.35849225622656339"/>
  </r>
  <r>
    <s v="PVP-335472"/>
    <n v="0"/>
    <s v="NSP_AV"/>
    <s v="Доставлен"/>
    <d v="2023-06-16T00:00:00"/>
    <x v="12"/>
    <s v="Витамины"/>
    <s v="000001580"/>
    <x v="131"/>
    <x v="635"/>
    <n v="2335.9166666666665"/>
    <m/>
    <n v="51.78525841024836"/>
    <n v="-9.9359654640263691E-4"/>
    <n v="19.871930931233663"/>
    <n v="2407.5728624116023"/>
    <n v="3269.92"/>
    <x v="332"/>
    <s v="&lt;Клиент не выбран&gt;"/>
    <s v="2023 07"/>
    <n v="862.3471375883978"/>
    <n v="0.35818111719560064"/>
  </r>
  <r>
    <s v="PVP-335472"/>
    <n v="0"/>
    <s v="NSP_AV"/>
    <s v="Доставлен"/>
    <d v="2023-06-16T00:00:00"/>
    <x v="12"/>
    <s v="Витамины"/>
    <s v="000001580"/>
    <x v="131"/>
    <x v="635"/>
    <n v="2335.9166666666665"/>
    <m/>
    <n v="51.78525841024836"/>
    <n v="-9.9359654640263691E-4"/>
    <n v="19.871930931233663"/>
    <n v="2407.5728624116023"/>
    <n v="3269.92"/>
    <x v="332"/>
    <s v="&lt;Клиент не выбран&gt;"/>
    <s v="2023 07"/>
    <n v="862.3471375883978"/>
    <n v="0.35818111719560064"/>
  </r>
  <r>
    <s v="PVP-335472"/>
    <n v="0"/>
    <s v="NSP_AV"/>
    <s v="Доставлен"/>
    <d v="2023-06-16T00:00:00"/>
    <x v="12"/>
    <s v="Витамины"/>
    <s v="000001580"/>
    <x v="131"/>
    <x v="635"/>
    <n v="2335.9166666666665"/>
    <m/>
    <n v="51.78525841024836"/>
    <n v="-9.9359654640263691E-4"/>
    <n v="19.871930931233663"/>
    <n v="2407.5728624116023"/>
    <n v="3269.92"/>
    <x v="332"/>
    <s v="&lt;Клиент не выбран&gt;"/>
    <s v="2023 07"/>
    <n v="862.3471375883978"/>
    <n v="0.35818111719560064"/>
  </r>
  <r>
    <s v="PVP-335472"/>
    <n v="0"/>
    <s v="NSP_AV"/>
    <s v="Доставлен"/>
    <d v="2023-06-16T00:00:00"/>
    <x v="12"/>
    <s v="Витамины"/>
    <s v="000001841"/>
    <x v="131"/>
    <x v="640"/>
    <n v="3073.15"/>
    <m/>
    <n v="68.129085747973932"/>
    <n v="-1.3071832870367511E-3"/>
    <n v="26.143665744919865"/>
    <n v="3167.4214443096071"/>
    <n v="4302.7700000000004"/>
    <x v="332"/>
    <s v="&lt;Клиент не выбран&gt;"/>
    <s v="2023 07"/>
    <n v="1135.3485556903934"/>
    <n v="0.3584456870209331"/>
  </r>
  <r>
    <s v="PVP-335472"/>
    <n v="0"/>
    <s v="NSP_AV"/>
    <s v="Доставлен"/>
    <d v="2023-06-16T00:00:00"/>
    <x v="12"/>
    <s v="Витамины"/>
    <s v="000001622"/>
    <x v="131"/>
    <x v="641"/>
    <n v="2725.84"/>
    <m/>
    <n v="60.429522507933967"/>
    <n v="-1.1594528386626938E-3"/>
    <n v="23.189056776965774"/>
    <n v="2809.4574198320611"/>
    <n v="3815.81"/>
    <x v="332"/>
    <s v="&lt;Клиент не выбран&gt;"/>
    <s v="2023 07"/>
    <n v="1006.3525801679389"/>
    <n v="0.35820175563582485"/>
  </r>
  <r>
    <s v="PVP-335472"/>
    <n v="0"/>
    <s v="NSP_AV"/>
    <s v="Доставлен"/>
    <d v="2023-06-16T00:00:00"/>
    <x v="12"/>
    <s v="Витамины"/>
    <s v="000003302"/>
    <x v="131"/>
    <x v="642"/>
    <n v="2186.29"/>
    <m/>
    <n v="48.468164222357494"/>
    <n v="-9.2995192184422448E-4"/>
    <n v="18.599038439861658"/>
    <n v="2253.3562727102972"/>
    <n v="3060.45"/>
    <x v="332"/>
    <s v="&lt;Клиент не выбран&gt;"/>
    <s v="2023 07"/>
    <n v="807.09372728970266"/>
    <n v="0.35817404334333008"/>
  </r>
  <r>
    <s v="PVP-335472"/>
    <n v="0"/>
    <s v="NSP_AV"/>
    <s v="Доставлен"/>
    <d v="2023-06-16T00:00:00"/>
    <x v="12"/>
    <s v="Витамины"/>
    <s v="000000312"/>
    <x v="131"/>
    <x v="643"/>
    <n v="2693.2"/>
    <m/>
    <n v="59.705921851013905"/>
    <n v="-1.1455692135585239E-3"/>
    <n v="22.911384274837928"/>
    <n v="2775.8161605566384"/>
    <n v="3770.47"/>
    <x v="332"/>
    <s v="&lt;Клиент не выбран&gt;"/>
    <s v="2023 07"/>
    <n v="994.65383944336145"/>
    <n v="0.35832842735662368"/>
  </r>
  <r>
    <s v="PVP-335472"/>
    <n v="0"/>
    <s v="NSP_AV"/>
    <s v="Доставлен"/>
    <d v="2023-06-16T00:00:00"/>
    <x v="12"/>
    <s v="Витамины"/>
    <s v="000000999"/>
    <x v="131"/>
    <x v="596"/>
    <n v="2446.5500000000002"/>
    <m/>
    <n v="54.237904019232914"/>
    <n v="-1.0406551163788828E-3"/>
    <n v="20.813102330909231"/>
    <n v="2521.5999656950257"/>
    <n v="3424.98"/>
    <x v="332"/>
    <s v="&lt;Клиент не выбран&gt;"/>
    <s v="2023 07"/>
    <n v="903.38003430497429"/>
    <n v="0.35825668091487967"/>
  </r>
  <r>
    <s v="PVP-335472"/>
    <n v="0"/>
    <s v="NSP_AV"/>
    <s v="Доставлен"/>
    <d v="2023-06-16T00:00:00"/>
    <x v="12"/>
    <s v="Витамины"/>
    <s v="000000170"/>
    <x v="131"/>
    <x v="457"/>
    <n v="1196.98"/>
    <m/>
    <n v="26.536014531867899"/>
    <n v="-5.0914281792859126E-4"/>
    <n v="10.182856360201807"/>
    <n v="1233.6983617492519"/>
    <n v="1675.77"/>
    <x v="332"/>
    <s v="&lt;Клиент не выбран&gt;"/>
    <s v="2023 07"/>
    <n v="442.07163825074804"/>
    <n v="0.35833040875886213"/>
  </r>
  <r>
    <s v="710291175"/>
    <n v="0"/>
    <s v="CoralClub_OA"/>
    <s v="Доставлен"/>
    <d v="2023-06-19T00:00:00"/>
    <x v="12"/>
    <s v="Витамины"/>
    <s v="000091848"/>
    <x v="79"/>
    <x v="590"/>
    <n v="1332"/>
    <m/>
    <n v="0"/>
    <n v="18"/>
    <n v="0"/>
    <n v="1350"/>
    <n v="1700"/>
    <x v="152"/>
    <s v="&lt;Клиент не выбран&gt;"/>
    <s v="2023 06"/>
    <n v="350"/>
    <n v="0.25925925925925924"/>
  </r>
  <r>
    <s v="710291175"/>
    <n v="0"/>
    <s v="CoralClub_OA"/>
    <s v="Доставлен"/>
    <d v="2023-06-19T00:00:00"/>
    <x v="12"/>
    <s v="Витамины"/>
    <s v="000091848"/>
    <x v="79"/>
    <x v="590"/>
    <n v="1332"/>
    <m/>
    <n v="0"/>
    <n v="18"/>
    <n v="0"/>
    <n v="1350"/>
    <n v="1800"/>
    <x v="113"/>
    <s v="&lt;Клиент не выбран&gt;"/>
    <s v="2023 10"/>
    <n v="450"/>
    <n v="0.33333333333333331"/>
  </r>
  <r>
    <s v="518881235"/>
    <s v="710000844692"/>
    <s v="iHerb_VP DFD1605"/>
    <s v="Доставлен"/>
    <d v="2023-06-18T00:00:00"/>
    <x v="12"/>
    <s v="Витамины"/>
    <s v="SOL-01736"/>
    <x v="19"/>
    <x v="139"/>
    <n v="23.09"/>
    <n v="-1.165"/>
    <n v="-0.2520718562874254"/>
    <n v="3.7314130494707058E-15"/>
    <n v="1.2657470074711119"/>
    <n v="2144.559083832336"/>
    <n v="3000"/>
    <x v="41"/>
    <s v="&lt;Клиент не выбран&gt;"/>
    <s v="2024 02"/>
    <n v="855.440916167664"/>
    <n v="0.39888894767076666"/>
  </r>
  <r>
    <s v="518881235"/>
    <s v="710000844692"/>
    <s v="iHerb_VP DFD1605"/>
    <s v="Доставлен"/>
    <d v="2023-06-18T00:00:00"/>
    <x v="12"/>
    <s v="Витамины"/>
    <s v="SOL-01736"/>
    <x v="19"/>
    <x v="139"/>
    <n v="23.09"/>
    <n v="-1.165"/>
    <n v="-0.2520718562874254"/>
    <n v="3.7314130494707058E-15"/>
    <n v="1.2657470074711119"/>
    <n v="2144.559083832336"/>
    <n v="3000"/>
    <x v="387"/>
    <s v="&lt;Клиент не выбран&gt;"/>
    <s v="2024 02"/>
    <n v="855.440916167664"/>
    <n v="0.39888894767076666"/>
  </r>
  <r>
    <s v="518881235"/>
    <s v="710000844692"/>
    <s v="iHerb_VP DFD1605"/>
    <s v="Доставлен"/>
    <d v="2023-06-18T00:00:00"/>
    <x v="12"/>
    <s v="Витамины"/>
    <s v="SOL-01735"/>
    <x v="19"/>
    <x v="644"/>
    <n v="13.48"/>
    <n v="-0.67"/>
    <n v="-0.14727664670658697"/>
    <n v="2.180132322176499E-15"/>
    <n v="0.73953109079612056"/>
    <n v="1252.9898227544913"/>
    <n v="1700"/>
    <x v="339"/>
    <s v="&lt;Клиент не выбран&gt;"/>
    <s v="2023 08"/>
    <n v="447.01017724550866"/>
    <n v="0.35675483481807579"/>
  </r>
  <r>
    <s v="518881235"/>
    <s v="710000844692"/>
    <s v="iHerb_VP DFD1605"/>
    <s v="Доставлен"/>
    <d v="2023-06-18T00:00:00"/>
    <x v="12"/>
    <s v="Витамины"/>
    <s v="SOL-01735"/>
    <x v="19"/>
    <x v="644"/>
    <n v="13.48"/>
    <n v="-0.67"/>
    <n v="-0.14727664670658697"/>
    <n v="2.180132322176499E-15"/>
    <n v="0.73953109079612056"/>
    <n v="1252.9898227544913"/>
    <n v="1900"/>
    <x v="260"/>
    <s v="&lt;Клиент не выбран&gt;"/>
    <s v="2023 10"/>
    <n v="647.01017724550866"/>
    <n v="0.51637305067902595"/>
  </r>
  <r>
    <s v="518881235"/>
    <s v="710000844692"/>
    <s v="iHerb_VP DFD1605"/>
    <s v="Доставлен"/>
    <d v="2023-06-18T00:00:00"/>
    <x v="12"/>
    <s v="Витамины"/>
    <s v="SOL-01721"/>
    <x v="19"/>
    <x v="126"/>
    <n v="17.87"/>
    <n v="-0.89333333333333342"/>
    <n v="-0.19518083832335345"/>
    <n v="2.8892568089630263E-15"/>
    <n v="0.98007594208291493"/>
    <n v="1660.5457109780446"/>
    <n v="2500"/>
    <x v="388"/>
    <s v="&lt;Клиент не выбран&gt;"/>
    <s v="2023 07"/>
    <n v="839.45428902195545"/>
    <n v="0.50552916638923806"/>
  </r>
  <r>
    <s v="518881235"/>
    <s v="710000844692"/>
    <s v="iHerb_VP DFD1605"/>
    <s v="Доставлен"/>
    <d v="2023-06-18T00:00:00"/>
    <x v="12"/>
    <s v="Витамины"/>
    <s v="SOL-01721"/>
    <x v="19"/>
    <x v="126"/>
    <n v="17.87"/>
    <n v="-0.89333333333333342"/>
    <n v="-0.19518083832335345"/>
    <n v="2.8892568089630263E-15"/>
    <n v="0.98007594208291493"/>
    <n v="1660.5457109780446"/>
    <n v="2400"/>
    <x v="354"/>
    <s v="&lt;Клиент не выбран&gt;"/>
    <s v="2023 09"/>
    <n v="739.45428902195545"/>
    <n v="0.44530799973366852"/>
  </r>
  <r>
    <s v="518881235"/>
    <s v="710000844692"/>
    <s v="iHerb_VP DFD1605"/>
    <s v="Доставлен"/>
    <d v="2023-06-18T00:00:00"/>
    <x v="12"/>
    <s v="Витамины"/>
    <s v="SOL-01721"/>
    <x v="19"/>
    <x v="126"/>
    <n v="17.87"/>
    <n v="-0.89333333333333342"/>
    <n v="-0.19518083832335345"/>
    <n v="2.8892568089630263E-15"/>
    <n v="0.98007594208291493"/>
    <n v="1660.5457109780446"/>
    <n v="2500"/>
    <x v="369"/>
    <s v="&lt;Клиент не выбран&gt;"/>
    <s v="2023 10"/>
    <n v="839.45428902195545"/>
    <n v="0.50552916638923806"/>
  </r>
  <r>
    <s v="518881235"/>
    <s v="710000844692"/>
    <s v="iHerb_VP DFD1605"/>
    <s v="Доставлен"/>
    <d v="2023-06-18T00:00:00"/>
    <x v="12"/>
    <s v="Витамины"/>
    <s v="SOL-19377"/>
    <x v="19"/>
    <x v="645"/>
    <n v="15.27"/>
    <n v="-0.76"/>
    <n v="-0.16682155688622768"/>
    <n v="2.4694551127854022E-15"/>
    <n v="0.83767339012113251"/>
    <n v="1419.2726251497006"/>
    <n v="2000"/>
    <x v="12"/>
    <s v="&lt;Клиент не выбран&gt;"/>
    <s v="2023 08"/>
    <n v="580.72737485029938"/>
    <n v="0.40917253285924965"/>
  </r>
  <r>
    <s v="518881235"/>
    <s v="710000844692"/>
    <s v="iHerb_VP DFD1605"/>
    <s v="Доставлен"/>
    <d v="2023-06-18T00:00:00"/>
    <x v="12"/>
    <s v="Витамины"/>
    <s v="SOL-01250"/>
    <x v="19"/>
    <x v="646"/>
    <n v="20.09"/>
    <n v="-1"/>
    <n v="-0.21947784431137746"/>
    <n v="3.2489247486611526E-15"/>
    <n v="1.1020802906555769"/>
    <n v="1867.2580574850303"/>
    <n v="2500"/>
    <x v="389"/>
    <s v="&lt;Клиент не выбран&gt;"/>
    <s v="2023 12"/>
    <n v="632.74194251496965"/>
    <n v="0.33886154084518783"/>
  </r>
  <r>
    <s v="518881235"/>
    <s v="710000844692"/>
    <s v="iHerb_VP DFD1605"/>
    <s v="Доставлен"/>
    <d v="2023-06-18T00:00:00"/>
    <x v="12"/>
    <s v="Витамины"/>
    <s v="RHS-20001"/>
    <x v="153"/>
    <x v="578"/>
    <n v="19.53"/>
    <n v="-6.53"/>
    <n v="-0.14946107784431151"/>
    <n v="2.2124683987739647E-15"/>
    <n v="0.75049993601479836"/>
    <n v="1271.5743712574852"/>
    <n v="2200"/>
    <x v="199"/>
    <s v="&lt;Клиент не выбран&gt;"/>
    <s v="2023 07"/>
    <n v="928.42562874251485"/>
    <n v="0.73013867668972932"/>
  </r>
  <r>
    <s v="518834492"/>
    <s v="710000841136"/>
    <s v="iHerb_AV CYG0792"/>
    <s v="Доставлен"/>
    <d v="2023-06-15T00:00:00"/>
    <x v="12"/>
    <s v="Витамины"/>
    <s v="NWY-14850"/>
    <x v="16"/>
    <x v="36"/>
    <n v="34.65"/>
    <n v="-3.4649999999999999"/>
    <n v="2.1700550747442962"/>
    <n v="0"/>
    <n v="1.3273011500032792"/>
    <n v="3210.4083752950432"/>
    <n v="3900"/>
    <x v="388"/>
    <s v="&lt;Клиент не выбран&gt;"/>
    <s v="2023 07"/>
    <n v="689.59162470495676"/>
    <n v="0.21479872467675762"/>
  </r>
  <r>
    <s v="518834492"/>
    <s v="710000841136"/>
    <s v="iHerb_AV CYG0792"/>
    <s v="Доставлен"/>
    <d v="2023-06-15T00:00:00"/>
    <x v="12"/>
    <s v="Витамины"/>
    <s v="NWY-14850"/>
    <x v="16"/>
    <x v="36"/>
    <n v="34.65"/>
    <n v="-3.4649999999999999"/>
    <n v="2.1700550747442962"/>
    <n v="0"/>
    <n v="1.3273011500032792"/>
    <n v="3210.4083752950432"/>
    <n v="3900"/>
    <x v="388"/>
    <s v="&lt;Клиент не выбран&gt;"/>
    <s v="2023 07"/>
    <n v="689.59162470495676"/>
    <n v="0.21479872467675762"/>
  </r>
  <r>
    <s v="518834492"/>
    <s v="710000841136"/>
    <s v="iHerb_AV CYG0792"/>
    <s v="Доставлен"/>
    <d v="2023-06-15T00:00:00"/>
    <x v="12"/>
    <s v="Витамины"/>
    <s v="NWY-14850"/>
    <x v="16"/>
    <x v="36"/>
    <n v="34.65"/>
    <n v="-3.4649999999999999"/>
    <n v="2.1700550747442962"/>
    <n v="0"/>
    <n v="1.3273011500032792"/>
    <n v="3210.4083752950432"/>
    <n v="3900"/>
    <x v="388"/>
    <s v="&lt;Клиент не выбран&gt;"/>
    <s v="2023 07"/>
    <n v="689.59162470495676"/>
    <n v="0.21479872467675762"/>
  </r>
  <r>
    <s v="518834492"/>
    <s v="710000841136"/>
    <s v="iHerb_AV CYG0792"/>
    <s v="Доставлен"/>
    <d v="2023-06-15T00:00:00"/>
    <x v="12"/>
    <s v="Витамины"/>
    <s v="NWY-14850"/>
    <x v="16"/>
    <x v="36"/>
    <n v="34.65"/>
    <n v="-3.4649999999999999"/>
    <n v="2.1700550747442962"/>
    <n v="0"/>
    <n v="1.3273011500032792"/>
    <n v="3210.4083752950432"/>
    <n v="3900"/>
    <x v="388"/>
    <s v="&lt;Клиент не выбран&gt;"/>
    <s v="2023 07"/>
    <n v="689.59162470495676"/>
    <n v="0.21479872467675762"/>
  </r>
  <r>
    <s v="518834492"/>
    <s v="710000841136"/>
    <s v="iHerb_AV CYG0792"/>
    <s v="Доставлен"/>
    <d v="2023-06-15T00:00:00"/>
    <x v="12"/>
    <s v="Витамины"/>
    <s v="SNS-01177"/>
    <x v="151"/>
    <x v="647"/>
    <n v="24.69"/>
    <n v="-2.4700000000000002"/>
    <n v="1.5462120814756537"/>
    <n v="0"/>
    <n v="0.94573133086653405"/>
    <n v="2287.4867435964684"/>
    <n v="2900"/>
    <x v="334"/>
    <s v="&lt;Клиент не выбран&gt;"/>
    <s v="2023 07"/>
    <n v="612.51325640353161"/>
    <n v="0.26776690973977685"/>
  </r>
  <r>
    <s v="518834492"/>
    <s v="710000841136"/>
    <s v="iHerb_AV CYG0792"/>
    <s v="Доставлен"/>
    <d v="2023-06-15T00:00:00"/>
    <x v="12"/>
    <s v="Витамины"/>
    <s v="NOW-02008"/>
    <x v="3"/>
    <x v="648"/>
    <n v="19.37"/>
    <n v="-1.94"/>
    <n v="1.2128927353789667"/>
    <n v="0"/>
    <n v="0.741858555220688"/>
    <n v="1794.3696643063204"/>
    <n v="2500"/>
    <x v="334"/>
    <s v="&lt;Клиент не выбран&gt;"/>
    <s v="2023 07"/>
    <n v="705.63033569367963"/>
    <n v="0.39324691546569751"/>
  </r>
  <r>
    <s v="518834492"/>
    <s v="710000841136"/>
    <s v="iHerb_AV CYG0792"/>
    <s v="Доставлен"/>
    <d v="2023-06-15T00:00:00"/>
    <x v="12"/>
    <s v="Витамины"/>
    <s v="CEN-27305"/>
    <x v="2"/>
    <x v="82"/>
    <n v="6.63"/>
    <n v="-3.32"/>
    <n v="0.23033132266806541"/>
    <n v="0"/>
    <n v="0.14088076980955119"/>
    <n v="340.75522598129209"/>
    <n v="1600"/>
    <x v="390"/>
    <s v="Татьяна Бригантина"/>
    <s v="2025 07"/>
    <n v="1259.2447740187079"/>
    <n v="3.6954525653785337"/>
  </r>
  <r>
    <s v="518834492"/>
    <s v="710000841136"/>
    <s v="iHerb_AV CYG0792"/>
    <s v="Доставлен"/>
    <d v="2023-06-15T00:00:00"/>
    <x v="12"/>
    <s v="Витамины"/>
    <s v="NOW-00372"/>
    <x v="3"/>
    <x v="13"/>
    <n v="6.64"/>
    <n v="-1.99"/>
    <n v="0.32357723577235775"/>
    <n v="0"/>
    <n v="0.19791407239106132"/>
    <n v="478.70447154471537"/>
    <n v="1100"/>
    <x v="391"/>
    <s v="&lt;Клиент не выбран&gt;"/>
    <s v="2024 01"/>
    <n v="621.29552845528463"/>
    <n v="1.2978686546429095"/>
  </r>
  <r>
    <s v="518834492"/>
    <s v="710000841136"/>
    <s v="iHerb_AV CYG0792"/>
    <s v="Доставлен"/>
    <d v="2023-06-15T00:00:00"/>
    <x v="12"/>
    <s v="Витамины"/>
    <s v="NOW-00372"/>
    <x v="3"/>
    <x v="13"/>
    <n v="6.64"/>
    <n v="-1.99"/>
    <n v="0.32357723577235775"/>
    <n v="0"/>
    <n v="0.19791407239106132"/>
    <n v="478.70447154471537"/>
    <n v="1200"/>
    <x v="392"/>
    <s v="&lt;Клиент не выбран&gt;"/>
    <s v="2024 02"/>
    <n v="721.29552845528463"/>
    <n v="1.5067658050649919"/>
  </r>
  <r>
    <s v="518834492"/>
    <s v="710000841136"/>
    <s v="iHerb_AV CYG0792"/>
    <s v="Доставлен"/>
    <d v="2023-06-15T00:00:00"/>
    <x v="12"/>
    <s v="Витамины"/>
    <s v="NOW-01444"/>
    <x v="3"/>
    <x v="649"/>
    <n v="9.6"/>
    <n v="-2.88"/>
    <n v="0.46762129556779441"/>
    <n v="0"/>
    <n v="0.28601775622966286"/>
    <n v="691.80517178075013"/>
    <n v="1600"/>
    <x v="326"/>
    <s v="&lt;Клиент не выбран&gt;"/>
    <s v="2024 04"/>
    <n v="908.19482821924987"/>
    <n v="1.3127898796730575"/>
  </r>
  <r>
    <s v="518834492"/>
    <s v="710000841136"/>
    <s v="iHerb_AV CYG0792"/>
    <s v="Доставлен"/>
    <d v="2023-06-15T00:00:00"/>
    <x v="12"/>
    <s v="Витамины"/>
    <s v="NOW-00474"/>
    <x v="3"/>
    <x v="114"/>
    <n v="9.3699999999999992"/>
    <n v="-2.625"/>
    <n v="0.46936095812571027"/>
    <n v="0"/>
    <n v="0.2870818103823029"/>
    <n v="694.37885173529151"/>
    <n v="1600"/>
    <x v="359"/>
    <s v="&lt;Клиент не выбран&gt;"/>
    <s v="2023 12"/>
    <n v="905.62114826470849"/>
    <n v="1.3042176414237137"/>
  </r>
  <r>
    <s v="518834492"/>
    <s v="710000841136"/>
    <s v="iHerb_AV CYG0792"/>
    <s v="Доставлен"/>
    <d v="2023-06-15T00:00:00"/>
    <x v="12"/>
    <s v="Витамины"/>
    <s v="NOW-00474"/>
    <x v="3"/>
    <x v="114"/>
    <n v="9.3699999999999992"/>
    <n v="-2.625"/>
    <n v="0.46936095812571027"/>
    <n v="0"/>
    <n v="0.2870818103823029"/>
    <n v="694.37885173529151"/>
    <n v="1700"/>
    <x v="127"/>
    <s v="&lt;Клиент не выбран&gt;"/>
    <s v="2024 03"/>
    <n v="1005.6211482647085"/>
    <n v="1.4482312440126959"/>
  </r>
  <r>
    <s v="518834492"/>
    <s v="710000841136"/>
    <s v="iHerb_AV CYG0792"/>
    <s v="Доставлен"/>
    <d v="2023-06-15T00:00:00"/>
    <x v="12"/>
    <s v="Витамины"/>
    <s v="NOW-02390"/>
    <x v="3"/>
    <x v="650"/>
    <n v="30.08"/>
    <n v="-9.93"/>
    <n v="1.4021680216802168"/>
    <n v="0"/>
    <n v="0.85762764702793237"/>
    <n v="2074.3860433604336"/>
    <n v="3600"/>
    <x v="393"/>
    <s v="&lt;Клиент не выбран&gt;"/>
    <s v="2024 06"/>
    <n v="1525.6139566395664"/>
    <n v="0.73545324966037884"/>
  </r>
  <r>
    <s v="518834492"/>
    <s v="710000841136"/>
    <s v="iHerb_AV CYG0792"/>
    <s v="Доставлен"/>
    <d v="2023-06-15T00:00:00"/>
    <x v="12"/>
    <s v="Витамины"/>
    <s v="NOW-00106"/>
    <x v="3"/>
    <x v="651"/>
    <n v="16.309999999999999"/>
    <n v="-4.8899999999999997"/>
    <n v="0.79467785645598388"/>
    <n v="0"/>
    <n v="0.48605993692600435"/>
    <n v="1175.6570032345483"/>
    <n v="2500"/>
    <x v="259"/>
    <s v="&lt;Клиент не выбран&gt;"/>
    <s v="2023 07"/>
    <n v="1324.3429967654517"/>
    <n v="1.1264705548657716"/>
  </r>
  <r>
    <s v="518762447"/>
    <s v="710000834372"/>
    <s v="iHerb_OA CZN6870"/>
    <s v="Доставлен"/>
    <d v="2023-06-11T00:00:00"/>
    <x v="12"/>
    <s v="Витамины"/>
    <s v="PTF-10433"/>
    <x v="169"/>
    <x v="652"/>
    <n v="19.190000000000001"/>
    <n v="-1.92"/>
    <n v="-0.24483709436170903"/>
    <n v="0"/>
    <n v="1.1094041870971354"/>
    <n v="1658.4736912271574"/>
    <n v="2500"/>
    <x v="271"/>
    <s v="&lt;Клиент не выбран&gt;"/>
    <s v="2023 07"/>
    <n v="841.52630877284264"/>
    <n v="0.50741010437745959"/>
  </r>
  <r>
    <s v="518762447"/>
    <s v="710000834372"/>
    <s v="iHerb_OA CZN6870"/>
    <s v="Доставлен"/>
    <d v="2023-06-11T00:00:00"/>
    <x v="12"/>
    <s v="Витамины"/>
    <s v="NAP-03430"/>
    <x v="11"/>
    <x v="653"/>
    <n v="6.88"/>
    <n v="-0.69"/>
    <n v="-8.7755739090849952E-2"/>
    <n v="0"/>
    <n v="0.39763821181999226"/>
    <n v="594.43845678610899"/>
    <n v="1000"/>
    <x v="271"/>
    <s v="&lt;Клиент не выбран&gt;"/>
    <s v="2023 07"/>
    <n v="405.56154321389101"/>
    <n v="0.68225993554757558"/>
  </r>
  <r>
    <s v="518762447"/>
    <s v="710000834372"/>
    <s v="iHerb_OA CZN6870"/>
    <s v="Доставлен"/>
    <d v="2023-06-11T00:00:00"/>
    <x v="12"/>
    <s v="Витамины"/>
    <s v="JRW-14093"/>
    <x v="21"/>
    <x v="654"/>
    <n v="39.97"/>
    <n v="-4"/>
    <n v="-0.50994732392534292"/>
    <n v="0"/>
    <n v="2.3106698673933956"/>
    <n v="3454.2732294986008"/>
    <n v="4000"/>
    <x v="146"/>
    <s v="&lt;Клиент не выбран&gt;"/>
    <s v="2023 07"/>
    <n v="545.72677050139919"/>
    <n v="0.15798598843919862"/>
  </r>
  <r>
    <s v="518762447"/>
    <s v="710000834372"/>
    <s v="iHerb_OA CZN6870"/>
    <s v="Доставлен"/>
    <d v="2023-06-11T00:00:00"/>
    <x v="12"/>
    <s v="Витамины"/>
    <s v="NTH-11212"/>
    <x v="170"/>
    <x v="655"/>
    <n v="11.68"/>
    <n v="-2.34"/>
    <n v="-0.13241334460557974"/>
    <n v="0"/>
    <n v="0.59999045208380086"/>
    <n v="896.93944852702089"/>
    <m/>
    <x v="20"/>
    <m/>
    <s v=""/>
    <n v="-896.93944852702089"/>
    <s v=""/>
  </r>
  <r>
    <s v="518762447"/>
    <s v="710000834372"/>
    <s v="iHerb_OA CZN6870"/>
    <s v="Доставлен"/>
    <d v="2023-06-11T00:00:00"/>
    <x v="12"/>
    <s v="Витамины"/>
    <s v="EMT-04213"/>
    <x v="16"/>
    <x v="656"/>
    <n v="16.260000000000002"/>
    <n v="-3.25"/>
    <n v="-0.18444299928464589"/>
    <n v="0"/>
    <n v="0.83574687169274631"/>
    <n v="1249.3771119204007"/>
    <m/>
    <x v="20"/>
    <m/>
    <s v=""/>
    <n v="-1249.3771119204007"/>
    <s v=""/>
  </r>
  <r>
    <s v="518762447"/>
    <s v="710000834372"/>
    <s v="iHerb_OA CZN6870"/>
    <s v="Доставлен"/>
    <d v="2023-06-11T00:00:00"/>
    <x v="12"/>
    <s v="Витамины"/>
    <s v="EVL-02739"/>
    <x v="125"/>
    <x v="657"/>
    <n v="11.64"/>
    <n v="-2.33"/>
    <n v="-0.13198803407686804"/>
    <n v="0"/>
    <n v="0.59806328789081231"/>
    <n v="894.05848670091711"/>
    <n v="1700"/>
    <x v="301"/>
    <s v="&lt;Клиент не выбран&gt;"/>
    <s v="2023 08"/>
    <n v="805.94151329908289"/>
    <n v="0.90144160061945544"/>
  </r>
  <r>
    <s v="518762447"/>
    <s v="710000834372"/>
    <s v="iHerb_OA CZN6870"/>
    <s v="Доставлен"/>
    <d v="2023-06-11T00:00:00"/>
    <x v="12"/>
    <s v="Спортпит"/>
    <s v="EVL-02018"/>
    <x v="125"/>
    <x v="536"/>
    <n v="17.71"/>
    <n v="-3.54"/>
    <n v="-0.20088833972816542"/>
    <n v="0"/>
    <n v="0.91026388715497419"/>
    <n v="1360.7743025297523"/>
    <n v="2400"/>
    <x v="273"/>
    <s v="&lt;Клиент не выбран&gt;"/>
    <s v="2023 09"/>
    <n v="1039.2256974702477"/>
    <n v="0.76370173623816351"/>
  </r>
  <r>
    <s v="518762447"/>
    <s v="710000834372"/>
    <s v="iHerb_OA CZN6870"/>
    <s v="Доставлен"/>
    <d v="2023-06-11T00:00:00"/>
    <x v="12"/>
    <s v="Витамины"/>
    <s v="EVL-02067"/>
    <x v="125"/>
    <x v="658"/>
    <n v="19.420000000000002"/>
    <n v="-3.88"/>
    <n v="-0.22031085387266697"/>
    <n v="0"/>
    <n v="0.99827105196812282"/>
    <n v="1492.3382259218315"/>
    <n v="2200"/>
    <x v="394"/>
    <s v="&lt;Клиент не выбран&gt;"/>
    <s v="2025 02"/>
    <n v="707.66177407816849"/>
    <n v="0.47419664107380155"/>
  </r>
  <r>
    <s v="518762447"/>
    <s v="710000834372"/>
    <s v="iHerb_OA CZN6870"/>
    <s v="Доставлен"/>
    <d v="2023-06-11T00:00:00"/>
    <x v="12"/>
    <s v="Витамины"/>
    <s v="COC-09475"/>
    <x v="32"/>
    <x v="659"/>
    <n v="5.98"/>
    <n v="-0.6"/>
    <n v="-7.6272354815633742E-2"/>
    <n v="0"/>
    <n v="0.34560477860929867"/>
    <n v="516.6524874813033"/>
    <m/>
    <x v="20"/>
    <m/>
    <s v=""/>
    <n v="-516.6524874813033"/>
    <s v=""/>
  </r>
  <r>
    <s v="518762447"/>
    <s v="710000834372"/>
    <s v="iHerb_OA CZN6870"/>
    <s v="Доставлен"/>
    <d v="2023-06-11T00:00:00"/>
    <x v="12"/>
    <s v="Витамины"/>
    <s v="CGN-01990"/>
    <x v="1"/>
    <x v="660"/>
    <n v="12"/>
    <n v="-3.6"/>
    <n v="-0.11908694803927942"/>
    <n v="0"/>
    <n v="0.5396059740368232"/>
    <n v="806.66931130909791"/>
    <n v="2500"/>
    <x v="395"/>
    <s v="&lt;Клиент не выбран&gt;"/>
    <s v="2025 01"/>
    <n v="1693.3306886909022"/>
    <n v="2.0991633931665157"/>
  </r>
  <r>
    <s v="518762447"/>
    <s v="710000834372"/>
    <s v="iHerb_OA CZN6870"/>
    <s v="Доставлен"/>
    <d v="2023-06-11T00:00:00"/>
    <x v="12"/>
    <s v="Витамины"/>
    <s v="NBC-00300"/>
    <x v="8"/>
    <x v="661"/>
    <n v="12.14"/>
    <n v="-4.1399999999999997"/>
    <n v="-0.11341614098978993"/>
    <n v="0"/>
    <n v="0.513910451463641"/>
    <n v="768.25648696104565"/>
    <n v="2000"/>
    <x v="366"/>
    <s v="&lt;Клиент не выбран&gt;"/>
    <s v="2023 12"/>
    <n v="1231.7435130389545"/>
    <n v="1.603297250259873"/>
  </r>
  <r>
    <s v="518762447"/>
    <s v="710000834372"/>
    <s v="iHerb_OA CZN6870"/>
    <s v="Доставлен"/>
    <d v="2023-06-11T00:00:00"/>
    <x v="12"/>
    <s v="Витамины"/>
    <s v="FOA-01488"/>
    <x v="171"/>
    <x v="662"/>
    <n v="13.99"/>
    <n v="-2.8"/>
    <n v="-0.15864082720946865"/>
    <n v="0"/>
    <n v="0.71883224398476797"/>
    <n v="1074.5987611367627"/>
    <n v="2000"/>
    <x v="396"/>
    <s v="&lt;Клиент не выбран&gt;"/>
    <s v="2023 12"/>
    <n v="925.40123886323727"/>
    <n v="0.86115978570857732"/>
  </r>
  <r>
    <s v="WB0090"/>
    <n v="0"/>
    <s v="WBRS"/>
    <s v="Доставлен"/>
    <d v="2023-06-21T00:00:00"/>
    <x v="12"/>
    <s v="Спортпит"/>
    <s v="138948952"/>
    <x v="172"/>
    <x v="663"/>
    <n v="374"/>
    <m/>
    <n v="0"/>
    <n v="0"/>
    <n v="37.400000000000006"/>
    <n v="411.4"/>
    <n v="550"/>
    <x v="11"/>
    <s v="&lt;Клиент не выбран&gt;"/>
    <s v="2023 07"/>
    <n v="138.60000000000002"/>
    <n v="0.3368983957219252"/>
  </r>
  <r>
    <s v="WB0090"/>
    <n v="0"/>
    <s v="WBRS"/>
    <s v="Доставлен"/>
    <d v="2023-06-21T00:00:00"/>
    <x v="12"/>
    <s v="Спортпит"/>
    <s v="138948952"/>
    <x v="172"/>
    <x v="663"/>
    <n v="374"/>
    <m/>
    <n v="0"/>
    <n v="0"/>
    <n v="37.400000000000006"/>
    <n v="411.4"/>
    <n v="550"/>
    <x v="11"/>
    <s v="&lt;Клиент не выбран&gt;"/>
    <s v="2023 07"/>
    <n v="138.60000000000002"/>
    <n v="0.3368983957219252"/>
  </r>
  <r>
    <s v="WB0090"/>
    <n v="0"/>
    <s v="WBRS"/>
    <s v="Доставлен"/>
    <d v="2023-06-21T00:00:00"/>
    <x v="12"/>
    <s v="Спортпит"/>
    <s v="143238214"/>
    <x v="172"/>
    <x v="664"/>
    <n v="374"/>
    <m/>
    <n v="0"/>
    <n v="0"/>
    <n v="37.400000000000006"/>
    <n v="411.4"/>
    <n v="550"/>
    <x v="355"/>
    <s v="&lt;Клиент не выбран&gt;"/>
    <s v="2023 07"/>
    <n v="138.60000000000002"/>
    <n v="0.3368983957219252"/>
  </r>
  <r>
    <s v="WB0090"/>
    <n v="0"/>
    <s v="WBRS"/>
    <s v="Доставлен"/>
    <d v="2023-06-21T00:00:00"/>
    <x v="12"/>
    <s v="Спортпит"/>
    <s v="143233562"/>
    <x v="172"/>
    <x v="665"/>
    <n v="374"/>
    <m/>
    <n v="0"/>
    <n v="0"/>
    <n v="37.400000000000006"/>
    <n v="411.4"/>
    <n v="550"/>
    <x v="376"/>
    <s v="&lt;Клиент не выбран&gt;"/>
    <s v="2023 07"/>
    <n v="138.60000000000002"/>
    <n v="0.3368983957219252"/>
  </r>
  <r>
    <s v="WB0090"/>
    <n v="0"/>
    <s v="WBRS"/>
    <s v="Доставлен"/>
    <d v="2023-06-21T00:00:00"/>
    <x v="12"/>
    <s v="Спортпит"/>
    <s v="143233562"/>
    <x v="172"/>
    <x v="665"/>
    <n v="374"/>
    <m/>
    <n v="0"/>
    <n v="0"/>
    <n v="37.400000000000006"/>
    <n v="411.4"/>
    <n v="550"/>
    <x v="258"/>
    <s v="&lt;Клиент не выбран&gt;"/>
    <s v="2023 07"/>
    <n v="138.60000000000002"/>
    <n v="0.3368983957219252"/>
  </r>
  <r>
    <s v="WB0090"/>
    <n v="0"/>
    <s v="WBRS"/>
    <s v="Доставлен"/>
    <d v="2023-06-21T00:00:00"/>
    <x v="12"/>
    <s v="Спортпит"/>
    <s v="149869594"/>
    <x v="172"/>
    <x v="666"/>
    <n v="374"/>
    <m/>
    <n v="0"/>
    <n v="0"/>
    <n v="37.400000000000006"/>
    <n v="411.4"/>
    <n v="550"/>
    <x v="258"/>
    <s v="&lt;Клиент не выбран&gt;"/>
    <s v="2023 07"/>
    <n v="138.60000000000002"/>
    <n v="0.3368983957219252"/>
  </r>
  <r>
    <s v="WB0094"/>
    <n v="0"/>
    <s v="WBRS"/>
    <s v="Доставлен"/>
    <d v="2023-06-21T00:00:00"/>
    <x v="12"/>
    <s v="Спортпит"/>
    <s v="139631886"/>
    <x v="118"/>
    <x v="667"/>
    <n v="940"/>
    <m/>
    <n v="0"/>
    <n v="0"/>
    <n v="94"/>
    <n v="1034"/>
    <n v="1700"/>
    <x v="221"/>
    <s v="&lt;Клиент не выбран&gt;"/>
    <s v="2023 06"/>
    <n v="666"/>
    <n v="0.64410058027079309"/>
  </r>
  <r>
    <s v="WB0094"/>
    <n v="0"/>
    <s v="WBRS"/>
    <s v="Доставлен"/>
    <d v="2023-06-21T00:00:00"/>
    <x v="12"/>
    <s v="Спортпит"/>
    <s v="139631886"/>
    <x v="118"/>
    <x v="667"/>
    <n v="940"/>
    <m/>
    <n v="0"/>
    <n v="0"/>
    <n v="94"/>
    <n v="1034"/>
    <n v="2000"/>
    <x v="376"/>
    <s v="&lt;Клиент не выбран&gt;"/>
    <s v="2023 07"/>
    <n v="966"/>
    <n v="0.93423597678916825"/>
  </r>
  <r>
    <s v="519053070"/>
    <s v="710000859578"/>
    <s v="iHerb_OA CZN6870"/>
    <s v="Доставлен"/>
    <d v="2023-06-28T00:00:00"/>
    <x v="12"/>
    <s v="Витамины"/>
    <s v="NOW-01298"/>
    <x v="3"/>
    <x v="392"/>
    <n v="21.64"/>
    <n v="-4.33"/>
    <n v="1.3583320472487681"/>
    <n v="-2.9202812977995687E-15"/>
    <n v="1.2277348308699523"/>
    <n v="1848.2141918442451"/>
    <n v="2700"/>
    <x v="242"/>
    <s v="&lt;Клиент не выбран&gt;"/>
    <s v="2023 08"/>
    <n v="851.78580815575492"/>
    <n v="0.46086963941435727"/>
  </r>
  <r>
    <s v="519053070"/>
    <s v="710000859578"/>
    <s v="iHerb_OA CZN6870"/>
    <s v="Доставлен"/>
    <d v="2023-06-28T00:00:00"/>
    <x v="12"/>
    <s v="Витамины"/>
    <s v="NOW-01298"/>
    <x v="3"/>
    <x v="392"/>
    <n v="21.64"/>
    <n v="-4.33"/>
    <n v="1.3583320472487681"/>
    <n v="-2.9202812977995687E-15"/>
    <n v="1.2277348308699523"/>
    <n v="1848.2141918442451"/>
    <n v="2700"/>
    <x v="397"/>
    <s v="&lt;Клиент не выбран&gt;"/>
    <s v="2023 08"/>
    <n v="851.78580815575492"/>
    <n v="0.46086963941435727"/>
  </r>
  <r>
    <s v="519053070"/>
    <s v="710000859578"/>
    <s v="iHerb_OA CZN6870"/>
    <s v="Доставлен"/>
    <d v="2023-06-28T00:00:00"/>
    <x v="12"/>
    <s v="Витамины"/>
    <s v="LEX-19456"/>
    <x v="7"/>
    <x v="558"/>
    <n v="10.54"/>
    <n v="-2.11"/>
    <n v="0.66151006113848143"/>
    <n v="-1.4221820531744865E-15"/>
    <n v="0.5979089904236683"/>
    <n v="900.08351457232709"/>
    <n v="1500"/>
    <x v="238"/>
    <s v="&lt;Клиент не выбран&gt;"/>
    <s v="2023 08"/>
    <n v="599.91648542767291"/>
    <n v="0.66651202440111579"/>
  </r>
  <r>
    <s v="519053070"/>
    <s v="710000859578"/>
    <s v="iHerb_OA CZN6870"/>
    <s v="Доставлен"/>
    <d v="2023-06-28T00:00:00"/>
    <x v="12"/>
    <s v="Витамины"/>
    <s v="LEX-19456"/>
    <x v="7"/>
    <x v="558"/>
    <n v="10.54"/>
    <n v="-2.11"/>
    <n v="0.66151006113848143"/>
    <n v="-1.4221820531744865E-15"/>
    <n v="0.5979089904236683"/>
    <n v="900.08351457232709"/>
    <n v="1500"/>
    <x v="327"/>
    <s v="&lt;Клиент не выбран&gt;"/>
    <s v="2023 08"/>
    <n v="599.91648542767291"/>
    <n v="0.66651202440111579"/>
  </r>
  <r>
    <s v="519053070"/>
    <s v="710000859578"/>
    <s v="iHerb_OA CZN6870"/>
    <s v="Доставлен"/>
    <d v="2023-06-28T00:00:00"/>
    <x v="12"/>
    <s v="Витамины"/>
    <s v="MRM-71301"/>
    <x v="37"/>
    <x v="116"/>
    <n v="5.68"/>
    <n v="-1.135"/>
    <n v="0.35665044221523107"/>
    <n v="-7.6676363365101314E-16"/>
    <n v="0.32236018522841897"/>
    <n v="485.27634326586315"/>
    <n v="1000"/>
    <x v="237"/>
    <s v="&lt;Клиент не выбран&gt;"/>
    <s v="2023 08"/>
    <n v="514.72365673413685"/>
    <n v="1.0606815351230521"/>
  </r>
  <r>
    <s v="519053070"/>
    <s v="710000859578"/>
    <s v="iHerb_OA CZN6870"/>
    <s v="Доставлен"/>
    <d v="2023-06-28T00:00:00"/>
    <x v="12"/>
    <s v="Витамины"/>
    <s v="MRM-71301"/>
    <x v="37"/>
    <x v="116"/>
    <n v="5.68"/>
    <n v="-1.135"/>
    <n v="0.35665044221523107"/>
    <n v="-7.6676363365101314E-16"/>
    <n v="0.32236018522841897"/>
    <n v="485.27634326586315"/>
    <n v="1000"/>
    <x v="327"/>
    <s v="&lt;Клиент не выбран&gt;"/>
    <s v="2023 08"/>
    <n v="514.72365673413685"/>
    <n v="1.0606815351230521"/>
  </r>
  <r>
    <s v="519053070"/>
    <s v="710000859578"/>
    <s v="iHerb_OA CZN6870"/>
    <s v="Доставлен"/>
    <d v="2023-06-28T00:00:00"/>
    <x v="12"/>
    <s v="Витамины"/>
    <s v="NFS-04913"/>
    <x v="23"/>
    <x v="104"/>
    <n v="15.93"/>
    <n v="-3.1850000000000001"/>
    <n v="1.000112186145901"/>
    <n v="-2.150143566750751E-15"/>
    <n v="0.90395611897386141"/>
    <n v="1360.8024191250663"/>
    <n v="2200"/>
    <x v="335"/>
    <s v="&lt;Клиент не выбран&gt;"/>
    <s v="2023 08"/>
    <n v="839.19758087493369"/>
    <n v="0.61669318710830878"/>
  </r>
  <r>
    <s v="519053070"/>
    <s v="710000859578"/>
    <s v="iHerb_OA CZN6870"/>
    <s v="Доставлен"/>
    <d v="2023-06-28T00:00:00"/>
    <x v="12"/>
    <s v="Витамины"/>
    <s v="NFS-04913"/>
    <x v="23"/>
    <x v="104"/>
    <n v="15.93"/>
    <n v="-3.1850000000000001"/>
    <n v="1.000112186145901"/>
    <n v="-2.150143566750751E-15"/>
    <n v="0.90395611897386141"/>
    <n v="1360.8024191250663"/>
    <n v="2400"/>
    <x v="343"/>
    <s v="&lt;Клиент не выбран&gt;"/>
    <s v="2023 10"/>
    <n v="1039.1975808749337"/>
    <n v="0.76366529502724589"/>
  </r>
  <r>
    <s v="519053070"/>
    <s v="710000859578"/>
    <s v="iHerb_OA CZN6870"/>
    <s v="Доставлен"/>
    <d v="2023-06-28T00:00:00"/>
    <x v="12"/>
    <s v="Витамины"/>
    <s v="NFS-04950"/>
    <x v="23"/>
    <x v="668"/>
    <n v="16.71"/>
    <n v="-3.34"/>
    <n v="1.0491565263845193"/>
    <n v="-2.2555841104321336E-15"/>
    <n v="0.94828507733860556"/>
    <n v="1427.5345895411645"/>
    <n v="2200"/>
    <x v="335"/>
    <s v="&lt;Клиент не выбран&gt;"/>
    <s v="2023 08"/>
    <n v="772.46541045883555"/>
    <n v="0.54111852428536944"/>
  </r>
  <r>
    <s v="519053070"/>
    <s v="710000859578"/>
    <s v="iHerb_OA CZN6870"/>
    <s v="Доставлен"/>
    <d v="2023-06-28T00:00:00"/>
    <x v="12"/>
    <s v="Витамины"/>
    <s v="NOW-02644"/>
    <x v="3"/>
    <x v="21"/>
    <n v="20.54"/>
    <n v="-4.1100000000000003"/>
    <n v="1.2892776161927937"/>
    <n v="-2.771821012296182E-15"/>
    <n v="1.1653196574923923"/>
    <n v="1754.255295898379"/>
    <n v="2800"/>
    <x v="259"/>
    <s v="&lt;Клиент не выбран&gt;"/>
    <s v="2023 07"/>
    <n v="1045.744704101621"/>
    <n v="0.59611888106974775"/>
  </r>
  <r>
    <s v="519053070"/>
    <s v="710000859578"/>
    <s v="iHerb_OA CZN6870"/>
    <s v="Доставлен"/>
    <d v="2023-06-28T00:00:00"/>
    <x v="12"/>
    <s v="Витамины"/>
    <s v="NOW-02644"/>
    <x v="3"/>
    <x v="21"/>
    <n v="20.54"/>
    <n v="-4.1100000000000003"/>
    <n v="1.2892776161927937"/>
    <n v="-2.771821012296182E-15"/>
    <n v="1.1653196574923923"/>
    <n v="1754.255295898379"/>
    <n v="2800"/>
    <x v="368"/>
    <s v="&lt;Клиент не выбран&gt;"/>
    <s v="2023 08"/>
    <n v="1045.744704101621"/>
    <n v="0.59611888106974775"/>
  </r>
  <r>
    <s v="519053070"/>
    <s v="710000859578"/>
    <s v="iHerb_OA CZN6870"/>
    <s v="Доставлен"/>
    <d v="2023-06-28T00:00:00"/>
    <x v="12"/>
    <s v="Витамины"/>
    <s v="NOW-00446"/>
    <x v="3"/>
    <x v="669"/>
    <n v="6.12"/>
    <n v="-1.22"/>
    <n v="0.38450762747076628"/>
    <n v="-8.2665386246203846E-16"/>
    <n v="0.34753903357959365"/>
    <n v="523.1802160622068"/>
    <n v="1000"/>
    <x v="339"/>
    <s v="&lt;Клиент не выбран&gt;"/>
    <s v="2023 08"/>
    <n v="476.8197839377932"/>
    <n v="0.91138726063964681"/>
  </r>
  <r>
    <s v="519053070"/>
    <s v="710000859578"/>
    <s v="iHerb_OA CZN6870"/>
    <s v="Доставлен"/>
    <d v="2023-06-28T00:00:00"/>
    <x v="12"/>
    <s v="Витамины"/>
    <s v="CEN-27848"/>
    <x v="2"/>
    <x v="670"/>
    <n v="7.88"/>
    <n v="-3.94"/>
    <n v="0.30917552086424877"/>
    <n v="-6.6469718736743493E-16"/>
    <n v="0.27944975353134671"/>
    <n v="420.67960230308046"/>
    <n v="1400"/>
    <x v="190"/>
    <s v="&lt;Клиент не выбран&gt;"/>
    <s v="2024 02"/>
    <n v="979.3203976969196"/>
    <n v="2.3279483776619241"/>
  </r>
  <r>
    <s v="519053070"/>
    <s v="710000859578"/>
    <s v="iHerb_OA CZN6870"/>
    <s v="Доставлен"/>
    <d v="2023-06-28T00:00:00"/>
    <x v="12"/>
    <s v="Витамины"/>
    <s v="NFS-01032"/>
    <x v="23"/>
    <x v="671"/>
    <n v="10.61"/>
    <n v="-2.12"/>
    <n v="0.66621831780138863"/>
    <n v="-1.4323043453678989E-15"/>
    <n v="0.60216457042668348"/>
    <n v="906.48980293227248"/>
    <n v="1500"/>
    <x v="12"/>
    <s v="&lt;Клиент не выбран&gt;"/>
    <s v="2023 08"/>
    <n v="593.51019706772752"/>
    <n v="0.6547345542640054"/>
  </r>
  <r>
    <s v="519053070"/>
    <s v="710000859578"/>
    <s v="iHerb_OA CZN6870"/>
    <s v="Доставлен"/>
    <d v="2023-06-28T00:00:00"/>
    <x v="12"/>
    <s v="Витамины"/>
    <s v="NFS-04516"/>
    <x v="23"/>
    <x v="435"/>
    <n v="11.78"/>
    <n v="-2.355"/>
    <n v="0.73958865079836145"/>
    <n v="-1.5900433987152472E-15"/>
    <n v="0.66848069214034078"/>
    <n v="1006.3211298747548"/>
    <n v="1600"/>
    <x v="398"/>
    <s v="&lt;Клиент не выбран&gt;"/>
    <s v="2025 03"/>
    <n v="593.67887012524523"/>
    <n v="0.58994972131722367"/>
  </r>
  <r>
    <s v="519053070"/>
    <s v="710000859578"/>
    <s v="iHerb_OA CZN6870"/>
    <s v="Доставлен"/>
    <d v="2023-06-28T00:00:00"/>
    <x v="12"/>
    <s v="Витамины"/>
    <s v="NFS-04516"/>
    <x v="23"/>
    <x v="435"/>
    <n v="11.78"/>
    <n v="-2.355"/>
    <n v="0.73958865079836145"/>
    <n v="-1.5900433987152472E-15"/>
    <n v="0.66848069214034078"/>
    <n v="1006.3211298747548"/>
    <n v="1600"/>
    <x v="399"/>
    <s v="&lt;Клиент не выбран&gt;"/>
    <s v="2025 03"/>
    <n v="593.67887012524523"/>
    <n v="0.58994972131722367"/>
  </r>
  <r>
    <s v="WB0099"/>
    <n v="0"/>
    <s v="WBRS"/>
    <s v="Доставлен"/>
    <d v="2023-06-23T00:00:00"/>
    <x v="12"/>
    <s v="Спортпит"/>
    <s v="163432814"/>
    <x v="173"/>
    <x v="672"/>
    <n v="2479"/>
    <m/>
    <n v="0"/>
    <n v="0"/>
    <n v="247.89999999999998"/>
    <n v="2726.9"/>
    <n v="3200"/>
    <x v="332"/>
    <s v="&lt;Клиент не выбран&gt;"/>
    <s v="2023 07"/>
    <n v="473.09999999999991"/>
    <n v="0.1734937108071436"/>
  </r>
  <r>
    <s v="WB0100"/>
    <n v="0"/>
    <s v="WBRS"/>
    <s v="Доставлен"/>
    <d v="2023-06-25T00:00:00"/>
    <x v="12"/>
    <s v="Спортпит"/>
    <s v="072421834"/>
    <x v="104"/>
    <x v="673"/>
    <n v="1791"/>
    <m/>
    <n v="0"/>
    <n v="0"/>
    <n v="179.10000000000002"/>
    <n v="1970.1"/>
    <n v="2800"/>
    <x v="376"/>
    <s v="&lt;Клиент не выбран&gt;"/>
    <s v="2023 07"/>
    <n v="829.90000000000009"/>
    <n v="0.42124765240343137"/>
  </r>
  <r>
    <s v="WB0101"/>
    <n v="0"/>
    <s v="WBRS"/>
    <s v="Доставлен"/>
    <d v="2023-06-21T00:00:00"/>
    <x v="12"/>
    <s v="Спортпит"/>
    <s v="158521482"/>
    <x v="118"/>
    <x v="674"/>
    <n v="1619"/>
    <m/>
    <n v="0"/>
    <n v="0"/>
    <n v="161.9"/>
    <n v="1780.9"/>
    <n v="2500"/>
    <x v="11"/>
    <s v="&lt;Клиент не выбран&gt;"/>
    <s v="2023 07"/>
    <n v="719.09999999999991"/>
    <n v="0.40378460329047106"/>
  </r>
  <r>
    <s v="WB0101"/>
    <n v="0"/>
    <s v="WBRS"/>
    <s v="Доставлен"/>
    <d v="2023-06-21T00:00:00"/>
    <x v="12"/>
    <s v="Спортпит"/>
    <s v="158521482"/>
    <x v="118"/>
    <x v="674"/>
    <n v="1619"/>
    <m/>
    <n v="0"/>
    <n v="0"/>
    <n v="161.9"/>
    <n v="1780.9"/>
    <n v="2500"/>
    <x v="11"/>
    <s v="&lt;Клиент не выбран&gt;"/>
    <s v="2023 07"/>
    <n v="719.09999999999991"/>
    <n v="0.40378460329047106"/>
  </r>
  <r>
    <s v="WB0102"/>
    <n v="0"/>
    <s v="WBRS"/>
    <s v="Доставлен"/>
    <d v="2023-06-23T00:00:00"/>
    <x v="12"/>
    <s v="Спортпит"/>
    <s v="161172556"/>
    <x v="174"/>
    <x v="675"/>
    <n v="1134"/>
    <m/>
    <n v="0"/>
    <n v="0"/>
    <n v="113.4"/>
    <n v="1247.4000000000001"/>
    <n v="1800"/>
    <x v="332"/>
    <s v="&lt;Клиент не выбран&gt;"/>
    <s v="2023 07"/>
    <n v="552.59999999999991"/>
    <n v="0.4430014430014429"/>
  </r>
  <r>
    <s v="OZO0005"/>
    <n v="0"/>
    <s v="OZON_OA"/>
    <s v="Доставлен"/>
    <d v="2023-06-21T00:00:00"/>
    <x v="12"/>
    <s v="Спортпит"/>
    <s v="170918388"/>
    <x v="40"/>
    <x v="293"/>
    <n v="749"/>
    <m/>
    <n v="0"/>
    <n v="0"/>
    <n v="74.900000000000006"/>
    <n v="823.9"/>
    <n v="1500"/>
    <x v="113"/>
    <s v="&lt;Клиент не выбран&gt;"/>
    <s v="2023 10"/>
    <n v="676.1"/>
    <n v="0.82060929724481135"/>
  </r>
  <r>
    <s v="OZO0005"/>
    <n v="0"/>
    <s v="OZON_OA"/>
    <s v="Доставлен"/>
    <d v="2023-06-21T00:00:00"/>
    <x v="12"/>
    <s v="Спортпит"/>
    <s v="152851473"/>
    <x v="40"/>
    <x v="676"/>
    <n v="1356"/>
    <m/>
    <n v="0"/>
    <n v="0"/>
    <n v="135.6"/>
    <n v="1491.6"/>
    <n v="2200"/>
    <x v="146"/>
    <s v="&lt;Клиент не выбран&gt;"/>
    <s v="2023 07"/>
    <n v="708.40000000000009"/>
    <n v="0.47492625368731572"/>
  </r>
  <r>
    <s v="OZO0005"/>
    <n v="0"/>
    <s v="OZON_OA"/>
    <s v="Доставлен"/>
    <d v="2023-06-21T00:00:00"/>
    <x v="12"/>
    <s v="Спортпит"/>
    <s v="170919121"/>
    <x v="40"/>
    <x v="677"/>
    <n v="749"/>
    <m/>
    <n v="0"/>
    <n v="0"/>
    <n v="74.900000000000006"/>
    <n v="823.9"/>
    <n v="1500"/>
    <x v="340"/>
    <s v="&lt;Клиент не выбран&gt;"/>
    <s v="2023 10"/>
    <n v="676.1"/>
    <n v="0.82060929724481135"/>
  </r>
  <r>
    <s v="OZO0005"/>
    <n v="0"/>
    <s v="OZON_OA"/>
    <s v="Доставлен"/>
    <d v="2023-06-21T00:00:00"/>
    <x v="12"/>
    <s v="Спортпит"/>
    <s v="152851475"/>
    <x v="40"/>
    <x v="678"/>
    <n v="1356"/>
    <m/>
    <n v="0"/>
    <n v="0"/>
    <n v="135.6"/>
    <n v="1491.6"/>
    <n v="2100"/>
    <x v="259"/>
    <s v="&lt;Клиент не выбран&gt;"/>
    <s v="2023 07"/>
    <n v="608.40000000000009"/>
    <n v="0.40788415124698318"/>
  </r>
  <r>
    <s v="OZO0006"/>
    <n v="0"/>
    <s v="OZON_OA"/>
    <s v="Доставлен"/>
    <d v="2023-06-22T00:00:00"/>
    <x v="12"/>
    <s v="Спортпит"/>
    <s v="864964824"/>
    <x v="175"/>
    <x v="679"/>
    <n v="2650"/>
    <m/>
    <n v="0"/>
    <n v="0"/>
    <n v="265"/>
    <n v="2915"/>
    <n v="3450"/>
    <x v="355"/>
    <s v="&lt;Клиент не выбран&gt;"/>
    <s v="2023 07"/>
    <n v="535"/>
    <n v="0.18353344768439109"/>
  </r>
  <r>
    <s v="OZO0006"/>
    <n v="0"/>
    <s v="OZON_OA"/>
    <s v="Доставлен"/>
    <d v="2023-06-22T00:00:00"/>
    <x v="12"/>
    <s v="Спортпит"/>
    <s v="864964824"/>
    <x v="175"/>
    <x v="679"/>
    <n v="2650"/>
    <m/>
    <n v="0"/>
    <n v="0"/>
    <n v="265"/>
    <n v="2915"/>
    <n v="3600"/>
    <x v="98"/>
    <s v="&lt;Клиент не выбран&gt;"/>
    <s v="2023 09"/>
    <n v="685"/>
    <n v="0.23499142367066894"/>
  </r>
  <r>
    <s v="OZO0007"/>
    <n v="0"/>
    <s v="OZON_OA"/>
    <s v="Доставлен"/>
    <d v="2023-06-25T00:00:00"/>
    <x v="12"/>
    <s v="Спортпит"/>
    <s v="309534042"/>
    <x v="104"/>
    <x v="680"/>
    <n v="1612"/>
    <m/>
    <n v="0"/>
    <n v="0"/>
    <n v="161.20000000000002"/>
    <n v="1773.2"/>
    <n v="2900"/>
    <x v="11"/>
    <s v="&lt;Клиент не выбран&gt;"/>
    <s v="2023 07"/>
    <n v="1126.8"/>
    <n v="0.63546131288066765"/>
  </r>
  <r>
    <s v="710442127"/>
    <n v="0"/>
    <s v="CoralClub_OA"/>
    <s v="Доставлен"/>
    <d v="2023-07-09T00:00:00"/>
    <x v="13"/>
    <s v="Витамины"/>
    <s v="000001405"/>
    <x v="79"/>
    <x v="227"/>
    <n v="962"/>
    <m/>
    <n v="0"/>
    <n v="4.666666666666667"/>
    <n v="0"/>
    <n v="966.66666666666663"/>
    <n v="1200"/>
    <x v="11"/>
    <s v="&lt;Клиент не выбран&gt;"/>
    <s v="2023 07"/>
    <n v="233.33333333333337"/>
    <n v="0.24137931034482762"/>
  </r>
  <r>
    <s v="710442127"/>
    <n v="0"/>
    <s v="CoralClub_OA"/>
    <s v="Доставлен"/>
    <d v="2023-07-09T00:00:00"/>
    <x v="13"/>
    <s v="Витамины"/>
    <s v="000001405"/>
    <x v="79"/>
    <x v="227"/>
    <n v="962"/>
    <m/>
    <n v="0"/>
    <n v="4.666666666666667"/>
    <n v="0"/>
    <n v="966.66666666666663"/>
    <n v="1400"/>
    <x v="130"/>
    <s v="&lt;Клиент не выбран&gt;"/>
    <s v="2023 09"/>
    <n v="433.33333333333337"/>
    <n v="0.44827586206896558"/>
  </r>
  <r>
    <s v="710442127"/>
    <n v="0"/>
    <s v="CoralClub_OA"/>
    <s v="Доставлен"/>
    <d v="2023-07-09T00:00:00"/>
    <x v="13"/>
    <s v="Витамины"/>
    <s v="000001405"/>
    <x v="79"/>
    <x v="227"/>
    <n v="962"/>
    <m/>
    <n v="0"/>
    <n v="4.666666666666667"/>
    <n v="0"/>
    <n v="966.66666666666663"/>
    <n v="1300"/>
    <x v="282"/>
    <s v="&lt;Клиент не выбран&gt;"/>
    <s v="2023 09"/>
    <n v="333.33333333333337"/>
    <n v="0.34482758620689663"/>
  </r>
  <r>
    <s v="710396328"/>
    <n v="0"/>
    <s v="CoralClub_AV"/>
    <s v="Доставлен"/>
    <d v="2023-07-02T00:00:00"/>
    <x v="13"/>
    <s v="Витамины"/>
    <s v=" 00120060"/>
    <x v="79"/>
    <x v="681"/>
    <n v="6660"/>
    <m/>
    <n v="0"/>
    <n v="40"/>
    <n v="0"/>
    <n v="6700"/>
    <m/>
    <x v="20"/>
    <m/>
    <s v=""/>
    <n v="-6700"/>
    <s v=""/>
  </r>
  <r>
    <s v="OZO0009"/>
    <n v="0"/>
    <s v="OZON_OA"/>
    <s v="Доставлен"/>
    <d v="2023-07-04T00:00:00"/>
    <x v="13"/>
    <s v="Спортпит"/>
    <s v="892721541"/>
    <x v="162"/>
    <x v="618"/>
    <n v="1032"/>
    <m/>
    <n v="0"/>
    <n v="0"/>
    <n v="103.2"/>
    <n v="1135.2"/>
    <n v="2000"/>
    <x v="334"/>
    <s v="&lt;Клиент не выбран&gt;"/>
    <s v="2023 07"/>
    <n v="864.8"/>
    <n v="0.76180408738548266"/>
  </r>
  <r>
    <s v="OZO0010"/>
    <n v="0"/>
    <s v="OZON_OA"/>
    <s v="Доставлен"/>
    <d v="2023-07-09T00:00:00"/>
    <x v="13"/>
    <s v="Спортпит"/>
    <s v="892721541"/>
    <x v="162"/>
    <x v="618"/>
    <n v="1021"/>
    <m/>
    <n v="0"/>
    <n v="0"/>
    <n v="102.10000000000002"/>
    <n v="1123.0999999999999"/>
    <n v="2000"/>
    <x v="400"/>
    <s v="&lt;Клиент не выбран&gt;"/>
    <s v="2023 07"/>
    <n v="876.90000000000009"/>
    <n v="0.78078532632891118"/>
  </r>
  <r>
    <s v="OZO0010"/>
    <n v="0"/>
    <s v="OZON_OA"/>
    <s v="Доставлен"/>
    <d v="2023-07-09T00:00:00"/>
    <x v="13"/>
    <s v="Спортпит"/>
    <s v="892721541"/>
    <x v="162"/>
    <x v="618"/>
    <n v="1021"/>
    <m/>
    <n v="0"/>
    <n v="0"/>
    <n v="102.10000000000002"/>
    <n v="1123.0999999999999"/>
    <n v="2000"/>
    <x v="401"/>
    <s v="&lt;Клиент не выбран&gt;"/>
    <s v="2023 07"/>
    <n v="876.90000000000009"/>
    <n v="0.78078532632891118"/>
  </r>
  <r>
    <s v="OZO0010"/>
    <n v="0"/>
    <s v="OZON_OA"/>
    <s v="Доставлен"/>
    <d v="2023-07-09T00:00:00"/>
    <x v="13"/>
    <s v="Спортпит"/>
    <s v="892721541"/>
    <x v="162"/>
    <x v="618"/>
    <n v="1021"/>
    <m/>
    <n v="0"/>
    <n v="0"/>
    <n v="102.10000000000002"/>
    <n v="1123.0999999999999"/>
    <n v="2200"/>
    <x v="239"/>
    <s v="&lt;Клиент не выбран&gt;"/>
    <s v="2023 07"/>
    <n v="1076.9000000000001"/>
    <n v="0.95886385896180226"/>
  </r>
  <r>
    <s v="OZO0010"/>
    <n v="0"/>
    <s v="OZON_OA"/>
    <s v="Доставлен"/>
    <d v="2023-07-09T00:00:00"/>
    <x v="13"/>
    <s v="Витамины"/>
    <s v="857698302"/>
    <x v="57"/>
    <x v="682"/>
    <n v="405"/>
    <m/>
    <n v="0"/>
    <n v="0"/>
    <n v="40.500000000000007"/>
    <n v="445.5"/>
    <n v="900"/>
    <x v="199"/>
    <s v="&lt;Клиент не выбран&gt;"/>
    <s v="2023 07"/>
    <n v="454.5"/>
    <n v="1.0202020202020201"/>
  </r>
  <r>
    <s v="OZO0010"/>
    <n v="0"/>
    <s v="OZON_OA"/>
    <s v="Доставлен"/>
    <d v="2023-07-09T00:00:00"/>
    <x v="13"/>
    <s v="Витамины"/>
    <s v="857698302"/>
    <x v="57"/>
    <x v="682"/>
    <n v="405"/>
    <m/>
    <n v="0"/>
    <n v="0"/>
    <n v="40.500000000000007"/>
    <n v="445.5"/>
    <n v="900"/>
    <x v="199"/>
    <s v="&lt;Клиент не выбран&gt;"/>
    <s v="2023 07"/>
    <n v="454.5"/>
    <n v="1.0202020202020201"/>
  </r>
  <r>
    <s v="OZO0010"/>
    <n v="0"/>
    <s v="OZON_OA"/>
    <s v="Доставлен"/>
    <d v="2023-07-09T00:00:00"/>
    <x v="13"/>
    <s v="Спортпит"/>
    <s v="361772752"/>
    <x v="34"/>
    <x v="496"/>
    <n v="2456"/>
    <m/>
    <n v="0"/>
    <n v="0"/>
    <n v="245.60000000000002"/>
    <n v="2701.6"/>
    <n v="3600"/>
    <x v="98"/>
    <s v="&lt;Клиент не выбран&gt;"/>
    <s v="2023 09"/>
    <n v="898.40000000000009"/>
    <n v="0.33254367782055083"/>
  </r>
  <r>
    <s v="518984820"/>
    <s v="710000853782"/>
    <s v="iHerb_AV CYG0792"/>
    <s v="Доставлен"/>
    <d v="2023-06-24T00:00:00"/>
    <x v="12"/>
    <s v="Витамины"/>
    <s v="DRB-00149"/>
    <x v="6"/>
    <x v="683"/>
    <n v="15.48"/>
    <n v="-3.1"/>
    <n v="0.73891654622343594"/>
    <n v="3.7670441919426345E-15"/>
    <n v="0.79044366441940506"/>
    <n v="1294.4101482790004"/>
    <n v="1900"/>
    <x v="12"/>
    <s v="&lt;Клиент не выбран&gt;"/>
    <s v="2023 08"/>
    <n v="605.5898517209996"/>
    <n v="0.46785004932645913"/>
  </r>
  <r>
    <s v="518984820"/>
    <s v="710000853782"/>
    <s v="iHerb_AV CYG0792"/>
    <s v="Доставлен"/>
    <d v="2023-06-24T00:00:00"/>
    <x v="12"/>
    <s v="Витамины"/>
    <s v="ULM-01273"/>
    <x v="83"/>
    <x v="684"/>
    <n v="30"/>
    <n v="-6"/>
    <n v="1.4324714951019759"/>
    <n v="7.3028320360761877E-15"/>
    <n v="1.5323625158372958"/>
    <n v="2509.3573149189019"/>
    <n v="3300"/>
    <x v="259"/>
    <s v="&lt;Клиент не выбран&gt;"/>
    <s v="2023 07"/>
    <n v="790.64268508109808"/>
    <n v="0.31507776129787651"/>
  </r>
  <r>
    <s v="518984820"/>
    <s v="710000853782"/>
    <s v="iHerb_AV CYG0792"/>
    <s v="Доставлен"/>
    <d v="2023-06-24T00:00:00"/>
    <x v="12"/>
    <s v="Витамины"/>
    <s v="NOW-03347"/>
    <x v="3"/>
    <x v="685"/>
    <n v="12.03"/>
    <n v="-2.41"/>
    <n v="0.57418232428670857"/>
    <n v="2.9272185077938721E-15"/>
    <n v="0.61422197509811594"/>
    <n v="1005.8340570633266"/>
    <n v="1800"/>
    <x v="12"/>
    <s v="&lt;Клиент не выбран&gt;"/>
    <s v="2023 08"/>
    <n v="794.16594293667345"/>
    <n v="0.78955960713375739"/>
  </r>
  <r>
    <s v="518984820"/>
    <s v="710000853782"/>
    <s v="iHerb_AV CYG0792"/>
    <s v="Доставлен"/>
    <d v="2023-06-24T00:00:00"/>
    <x v="12"/>
    <s v="Витамины"/>
    <s v="CGN-01747"/>
    <x v="1"/>
    <x v="686"/>
    <n v="18"/>
    <n v="-9"/>
    <n v="0.53717681066324097"/>
    <n v="2.7385620135285706E-15"/>
    <n v="0.57463594343898583"/>
    <n v="941.00899309458828"/>
    <n v="3000"/>
    <x v="396"/>
    <s v="&lt;Клиент не выбран&gt;"/>
    <s v="2023 12"/>
    <n v="2058.9910069054117"/>
    <n v="2.1880673001160642"/>
  </r>
  <r>
    <s v="518984820"/>
    <s v="710000853782"/>
    <s v="iHerb_AV CYG0792"/>
    <s v="Доставлен"/>
    <d v="2023-06-24T00:00:00"/>
    <x v="12"/>
    <s v="Витамины"/>
    <s v="CGN-01168"/>
    <x v="1"/>
    <x v="402"/>
    <n v="9"/>
    <n v="-1.8"/>
    <n v="0.42974144853059276"/>
    <n v="2.1908496108228566E-15"/>
    <n v="0.45970875475118878"/>
    <n v="752.8071944756706"/>
    <n v="1700"/>
    <x v="292"/>
    <s v="&lt;Клиент не выбран&gt;"/>
    <s v="2023 08"/>
    <n v="947.1928055243294"/>
    <n v="1.2582143375822121"/>
  </r>
  <r>
    <s v="518984820"/>
    <s v="710000853782"/>
    <s v="iHerb_AV CYG0792"/>
    <s v="Доставлен"/>
    <d v="2023-06-24T00:00:00"/>
    <x v="12"/>
    <s v="Витамины"/>
    <s v="NFS-01032"/>
    <x v="23"/>
    <x v="671"/>
    <n v="9.77"/>
    <n v="-1.9550000000000001"/>
    <n v="0.4664485305925809"/>
    <n v="2.3779846817473087E-15"/>
    <n v="0.49897554421951934"/>
    <n v="817.1094756704673"/>
    <n v="1700"/>
    <x v="301"/>
    <s v="&lt;Клиент не выбран&gt;"/>
    <s v="2023 08"/>
    <n v="882.8905243295327"/>
    <n v="1.0805045720527102"/>
  </r>
  <r>
    <s v="518984820"/>
    <s v="710000853782"/>
    <s v="iHerb_AV CYG0792"/>
    <s v="Доставлен"/>
    <d v="2023-06-24T00:00:00"/>
    <x v="12"/>
    <s v="Витамины"/>
    <s v="NFS-01032"/>
    <x v="23"/>
    <x v="671"/>
    <n v="9.77"/>
    <n v="-1.9550000000000001"/>
    <n v="0.4664485305925809"/>
    <n v="2.3779846817473087E-15"/>
    <n v="0.49897554421951934"/>
    <n v="817.1094756704673"/>
    <n v="1800"/>
    <x v="402"/>
    <s v="&lt;Клиент не выбран&gt;"/>
    <s v="2025 04"/>
    <n v="982.8905243295327"/>
    <n v="1.2028871939381638"/>
  </r>
  <r>
    <s v="518984820"/>
    <s v="710000853782"/>
    <s v="iHerb_AV CYG0792"/>
    <s v="Доставлен"/>
    <d v="2023-06-24T00:00:00"/>
    <x v="12"/>
    <s v="Витамины"/>
    <s v="LEX-23151"/>
    <x v="7"/>
    <x v="17"/>
    <n v="20.69"/>
    <n v="-4.1399999999999997"/>
    <n v="0.98780846849740434"/>
    <n v="5.0359112582108721E-15"/>
    <n v="1.0566916515461351"/>
    <n v="1730.4109817461597"/>
    <n v="2700"/>
    <x v="230"/>
    <s v="&lt;Клиент не выбран&gt;"/>
    <s v="2023 12"/>
    <n v="969.58901825384032"/>
    <n v="0.56032296863686504"/>
  </r>
  <r>
    <s v="518984820"/>
    <s v="710000853782"/>
    <s v="iHerb_AV CYG0792"/>
    <s v="Доставлен"/>
    <d v="2023-06-24T00:00:00"/>
    <x v="12"/>
    <s v="Витамины"/>
    <s v="SOR-57445"/>
    <x v="10"/>
    <x v="604"/>
    <n v="20.5"/>
    <n v="-4.0999999999999996"/>
    <n v="0.97885552165301681"/>
    <n v="4.9902685579853952E-15"/>
    <n v="1.0471143858221519"/>
    <n v="1714.7274985279162"/>
    <n v="2700"/>
    <x v="403"/>
    <s v="&lt;Клиент не выбран&gt;"/>
    <s v="2023 08"/>
    <n v="985.27250147208383"/>
    <n v="0.57459421530122701"/>
  </r>
  <r>
    <s v="518984820"/>
    <s v="710000853782"/>
    <s v="iHerb_AV CYG0792"/>
    <s v="Доставлен"/>
    <d v="2023-06-24T00:00:00"/>
    <x v="12"/>
    <s v="Витамины"/>
    <s v="SOR-57445"/>
    <x v="10"/>
    <x v="604"/>
    <n v="20.5"/>
    <n v="-4.0999999999999996"/>
    <n v="0.97885552165301681"/>
    <n v="4.9902685579853952E-15"/>
    <n v="1.0471143858221519"/>
    <n v="1714.7274985279162"/>
    <n v="2700"/>
    <x v="254"/>
    <s v="&lt;Клиент не выбран&gt;"/>
    <s v="2023 09"/>
    <n v="985.27250147208383"/>
    <n v="0.57459421530122701"/>
  </r>
  <r>
    <s v="518984820"/>
    <s v="710000853782"/>
    <s v="iHerb_AV CYG0792"/>
    <s v="Доставлен"/>
    <d v="2023-06-24T00:00:00"/>
    <x v="12"/>
    <s v="Витамины"/>
    <s v="SOR-38584"/>
    <x v="10"/>
    <x v="626"/>
    <n v="11.35"/>
    <n v="-2.27"/>
    <n v="0.54195171564691424"/>
    <n v="2.7629047869821581E-15"/>
    <n v="0.57974381849177681"/>
    <n v="949.37351747765138"/>
    <n v="1700"/>
    <x v="331"/>
    <s v="&lt;Клиент не выбран&gt;"/>
    <s v="2023 10"/>
    <n v="750.62648252234862"/>
    <n v="0.7906545408140887"/>
  </r>
  <r>
    <s v="518984820"/>
    <s v="710000853782"/>
    <s v="iHerb_AV CYG0792"/>
    <s v="Доставлен"/>
    <d v="2023-06-24T00:00:00"/>
    <x v="12"/>
    <s v="Витамины"/>
    <s v="SOR-38584"/>
    <x v="10"/>
    <x v="626"/>
    <n v="11.35"/>
    <n v="-2.27"/>
    <n v="0.54195171564691424"/>
    <n v="2.7629047869821581E-15"/>
    <n v="0.57974381849177681"/>
    <n v="949.37351747765138"/>
    <n v="1700"/>
    <x v="262"/>
    <s v="&lt;Клиент не выбран&gt;"/>
    <s v="2023 11"/>
    <n v="750.62648252234862"/>
    <n v="0.7906545408140887"/>
  </r>
  <r>
    <s v="518984820"/>
    <s v="710000853782"/>
    <s v="iHerb_AV CYG0792"/>
    <s v="Доставлен"/>
    <d v="2023-06-24T00:00:00"/>
    <x v="12"/>
    <s v="Витамины"/>
    <s v="NOW-00373"/>
    <x v="3"/>
    <x v="239"/>
    <n v="11.7"/>
    <n v="-2.34"/>
    <n v="0.55866388308977066"/>
    <n v="2.8481044940697131E-15"/>
    <n v="0.59762138117654529"/>
    <n v="978.64935281837177"/>
    <n v="1900"/>
    <x v="311"/>
    <s v="&lt;Клиент не выбран&gt;"/>
    <s v="2024 05"/>
    <n v="921.35064718162823"/>
    <n v="0.94145124045529549"/>
  </r>
  <r>
    <s v="518984820"/>
    <s v="710000853782"/>
    <s v="iHerb_AV CYG0792"/>
    <s v="Доставлен"/>
    <d v="2023-06-24T00:00:00"/>
    <x v="12"/>
    <s v="Витамины"/>
    <s v="NOW-00373"/>
    <x v="3"/>
    <x v="239"/>
    <n v="11.7"/>
    <n v="-2.34"/>
    <n v="0.55866388308977066"/>
    <n v="2.8481044940697131E-15"/>
    <n v="0.59762138117654529"/>
    <n v="978.64935281837177"/>
    <n v="2000"/>
    <x v="404"/>
    <s v="&lt;Клиент не выбран&gt;"/>
    <s v="2024 12"/>
    <n v="1021.3506471816282"/>
    <n v="1.0436328846897847"/>
  </r>
  <r>
    <s v="518984820"/>
    <s v="710000853782"/>
    <s v="iHerb_AV CYG0792"/>
    <s v="Доставлен"/>
    <d v="2023-06-24T00:00:00"/>
    <x v="12"/>
    <s v="Витамины"/>
    <s v="NOW-02631"/>
    <x v="3"/>
    <x v="687"/>
    <n v="14.22"/>
    <n v="-2.8450000000000002"/>
    <n v="0.67893180236604067"/>
    <n v="3.4612381004319433E-15"/>
    <n v="0.72627598406871829"/>
    <n v="1189.3308107167711"/>
    <n v="2000"/>
    <x v="259"/>
    <s v="&lt;Клиент не выбран&gt;"/>
    <s v="2023 07"/>
    <n v="810.66918928322889"/>
    <n v="0.68161791654473736"/>
  </r>
  <r>
    <s v="518984820"/>
    <s v="710000853782"/>
    <s v="iHerb_AV CYG0792"/>
    <s v="Доставлен"/>
    <d v="2023-06-24T00:00:00"/>
    <x v="12"/>
    <s v="Витамины"/>
    <s v="NOW-02631"/>
    <x v="3"/>
    <x v="687"/>
    <n v="14.22"/>
    <n v="-2.8450000000000002"/>
    <n v="0.67893180236604067"/>
    <n v="3.4612381004319433E-15"/>
    <n v="0.72627598406871829"/>
    <n v="1189.3308107167711"/>
    <n v="2000"/>
    <x v="259"/>
    <s v="&lt;Клиент не выбран&gt;"/>
    <s v="2023 07"/>
    <n v="810.66918928322889"/>
    <n v="0.68161791654473736"/>
  </r>
  <r>
    <s v="519192772"/>
    <s v="710000870557"/>
    <s v="iHerb_AV CYG0792"/>
    <s v="Доставлен"/>
    <d v="2023-07-06T00:00:00"/>
    <x v="13"/>
    <s v="Витамины"/>
    <s v="HEC-50306"/>
    <x v="157"/>
    <x v="688"/>
    <n v="30.88"/>
    <n v="-3.09"/>
    <n v="1.6174346617238187"/>
    <n v="4.8800698490634995E-15"/>
    <n v="2.0884512205754846"/>
    <n v="3155.5137207290709"/>
    <n v="3600"/>
    <x v="301"/>
    <s v="&lt;Клиент не выбран&gt;"/>
    <s v="2023 08"/>
    <n v="444.48627927092912"/>
    <n v="0.14086019539418515"/>
  </r>
  <r>
    <s v="519192772"/>
    <s v="710000870557"/>
    <s v="iHerb_AV CYG0792"/>
    <s v="Доставлен"/>
    <d v="2023-07-06T00:00:00"/>
    <x v="13"/>
    <s v="Витамины"/>
    <s v="HEC-50306"/>
    <x v="157"/>
    <x v="688"/>
    <n v="30.88"/>
    <n v="-3.09"/>
    <n v="1.6174346617238187"/>
    <n v="4.8800698490634995E-15"/>
    <n v="2.0884512205754846"/>
    <n v="3155.5137207290709"/>
    <n v="3600"/>
    <x v="301"/>
    <s v="&lt;Клиент не выбран&gt;"/>
    <s v="2023 08"/>
    <n v="444.48627927092912"/>
    <n v="0.14086019539418515"/>
  </r>
  <r>
    <s v="519192772"/>
    <s v="710000870557"/>
    <s v="iHerb_AV CYG0792"/>
    <s v="Доставлен"/>
    <d v="2023-07-06T00:00:00"/>
    <x v="13"/>
    <s v="Витамины"/>
    <s v="NFS-01630"/>
    <x v="23"/>
    <x v="250"/>
    <n v="5.77"/>
    <n v="-1.155"/>
    <n v="0.26860240963855425"/>
    <n v="8.1041822070629891E-16"/>
    <n v="0.34682268380553655"/>
    <n v="524.02647791164657"/>
    <n v="1000"/>
    <x v="322"/>
    <s v="&lt;Клиент не выбран&gt;"/>
    <s v="2024 01"/>
    <n v="475.97352208835343"/>
    <n v="0.90830051944170065"/>
  </r>
  <r>
    <s v="519192772"/>
    <s v="710000870557"/>
    <s v="iHerb_AV CYG0792"/>
    <s v="Доставлен"/>
    <d v="2023-07-06T00:00:00"/>
    <x v="13"/>
    <s v="Витамины"/>
    <s v="NFS-01630"/>
    <x v="23"/>
    <x v="250"/>
    <n v="5.77"/>
    <n v="-1.155"/>
    <n v="0.26860240963855425"/>
    <n v="8.1041822070629891E-16"/>
    <n v="0.34682268380553655"/>
    <n v="524.02647791164657"/>
    <n v="1200"/>
    <x v="405"/>
    <s v="&lt;Клиент не выбран&gt;"/>
    <s v="2024 11"/>
    <n v="675.97352208835343"/>
    <n v="1.2899606233300407"/>
  </r>
  <r>
    <s v="519192772"/>
    <s v="710000870557"/>
    <s v="iHerb_AV CYG0792"/>
    <s v="Доставлен"/>
    <d v="2023-07-06T00:00:00"/>
    <x v="13"/>
    <s v="Витамины"/>
    <s v="CRO-88517"/>
    <x v="176"/>
    <x v="689"/>
    <n v="14.68"/>
    <n v="-1.47"/>
    <n v="0.76884893419833189"/>
    <n v="2.3197453294756685E-15"/>
    <n v="0.99274705375322603"/>
    <n v="1499.9761155390793"/>
    <n v="2000"/>
    <x v="281"/>
    <s v="&lt;Клиент не выбран&gt;"/>
    <s v="2023 08"/>
    <n v="500.02388446092073"/>
    <n v="0.33335456430332305"/>
  </r>
  <r>
    <s v="519192772"/>
    <s v="710000870557"/>
    <s v="iHerb_AV CYG0792"/>
    <s v="Доставлен"/>
    <d v="2023-07-06T00:00:00"/>
    <x v="13"/>
    <s v="Витамины"/>
    <s v="CGN-01168"/>
    <x v="1"/>
    <x v="402"/>
    <n v="9"/>
    <n v="-2.6999999999999997"/>
    <n v="0.36667284522706223"/>
    <n v="1.1063130640194333E-15"/>
    <n v="0.47345241776270436"/>
    <n v="715.3557553290085"/>
    <n v="2000"/>
    <x v="359"/>
    <s v="&lt;Клиент не выбран&gt;"/>
    <s v="2023 12"/>
    <n v="1284.6442446709916"/>
    <n v="1.7958117134042688"/>
  </r>
  <r>
    <s v="519192772"/>
    <s v="710000870557"/>
    <s v="iHerb_AV CYG0792"/>
    <s v="Доставлен"/>
    <d v="2023-07-06T00:00:00"/>
    <x v="13"/>
    <s v="Витамины"/>
    <s v="CGN-01168"/>
    <x v="1"/>
    <x v="402"/>
    <n v="9"/>
    <n v="-2.6999999999999997"/>
    <n v="0.36667284522706223"/>
    <n v="1.1063130640194333E-15"/>
    <n v="0.47345241776270436"/>
    <n v="715.3557553290085"/>
    <n v="2000"/>
    <x v="406"/>
    <s v="&lt;Клиент не выбран&gt;"/>
    <s v="2024 05"/>
    <n v="1284.6442446709916"/>
    <n v="1.7958117134042688"/>
  </r>
  <r>
    <s v="519192772"/>
    <s v="710000870557"/>
    <s v="iHerb_AV CYG0792"/>
    <s v="Доставлен"/>
    <d v="2023-07-06T00:00:00"/>
    <x v="13"/>
    <s v="Витамины"/>
    <s v="CGN-01168"/>
    <x v="1"/>
    <x v="402"/>
    <n v="9"/>
    <n v="-2.6999999999999997"/>
    <n v="0.36667284522706223"/>
    <n v="1.1063130640194333E-15"/>
    <n v="0.47345241776270436"/>
    <n v="715.3557553290085"/>
    <m/>
    <x v="20"/>
    <m/>
    <s v=""/>
    <n v="-715.3557553290085"/>
    <s v=""/>
  </r>
  <r>
    <s v="519192772"/>
    <s v="710000870557"/>
    <s v="iHerb_AV CYG0792"/>
    <s v="Доставлен"/>
    <d v="2023-07-06T00:00:00"/>
    <x v="13"/>
    <s v="Витамины"/>
    <s v="NFS-04513"/>
    <x v="23"/>
    <x v="690"/>
    <n v="18.190000000000001"/>
    <n v="-3.64"/>
    <n v="0.84683966635773888"/>
    <n v="2.5550563621401197E-15"/>
    <n v="1.0934496314995792"/>
    <n v="1652.1311492122338"/>
    <n v="2600"/>
    <x v="318"/>
    <s v="&lt;Клиент не выбран&gt;"/>
    <s v="2024 02"/>
    <n v="947.86885078776618"/>
    <n v="0.57372494383374306"/>
  </r>
  <r>
    <s v="519192772"/>
    <s v="710000870557"/>
    <s v="iHerb_AV CYG0792"/>
    <s v="Доставлен"/>
    <d v="2023-07-06T00:00:00"/>
    <x v="13"/>
    <s v="Витамины"/>
    <s v="NFS-04512"/>
    <x v="23"/>
    <x v="691"/>
    <n v="10.220000000000001"/>
    <n v="-2.04"/>
    <n v="0.4760926784059315"/>
    <n v="1.4364509307426926E-15"/>
    <n v="0.61473663131728906"/>
    <n v="928.82699660179196"/>
    <n v="1700"/>
    <x v="407"/>
    <s v="&lt;Клиент не выбран&gt;"/>
    <s v="2024 01"/>
    <n v="771.17300339820804"/>
    <n v="0.83026549208800227"/>
  </r>
  <r>
    <s v="519192772"/>
    <s v="710000870557"/>
    <s v="iHerb_AV CYG0792"/>
    <s v="Доставлен"/>
    <d v="2023-07-06T00:00:00"/>
    <x v="13"/>
    <s v="Витамины"/>
    <s v="WAK-11145"/>
    <x v="177"/>
    <x v="692"/>
    <n v="25.09"/>
    <n v="-8.09"/>
    <n v="0.98943466172381866"/>
    <n v="2.985289220369899E-15"/>
    <n v="1.2775700161850752"/>
    <n v="1930.3250540624038"/>
    <m/>
    <x v="20"/>
    <m/>
    <s v=""/>
    <n v="-1930.3250540624038"/>
    <s v=""/>
  </r>
  <r>
    <s v="519192772"/>
    <s v="710000870557"/>
    <s v="iHerb_AV CYG0792"/>
    <s v="Доставлен"/>
    <d v="2023-07-06T00:00:00"/>
    <x v="13"/>
    <s v="Витамины"/>
    <s v="CGN-01156"/>
    <x v="1"/>
    <x v="693"/>
    <n v="18"/>
    <n v="-5.4"/>
    <n v="0.73334569045412434"/>
    <n v="2.2126261280388663E-15"/>
    <n v="0.94690483552540861"/>
    <n v="1430.7115106580168"/>
    <n v="2700"/>
    <x v="238"/>
    <s v="&lt;Клиент не выбран&gt;"/>
    <s v="2023 08"/>
    <n v="1269.2884893419832"/>
    <n v="0.88717290654788161"/>
  </r>
  <r>
    <s v="519192772"/>
    <s v="710000870557"/>
    <s v="iHerb_AV CYG0792"/>
    <s v="Доставлен"/>
    <d v="2023-07-06T00:00:00"/>
    <x v="13"/>
    <s v="Витамины"/>
    <s v="CGN-01156"/>
    <x v="1"/>
    <x v="693"/>
    <n v="18"/>
    <n v="-5.4"/>
    <n v="0.73334569045412434"/>
    <n v="2.2126261280388663E-15"/>
    <n v="0.94690483552540861"/>
    <n v="1430.7115106580168"/>
    <n v="2500"/>
    <x v="359"/>
    <s v="&lt;Клиент не выбран&gt;"/>
    <s v="2023 12"/>
    <n v="1069.2884893419832"/>
    <n v="0.74738232087766809"/>
  </r>
  <r>
    <s v="519308142"/>
    <s v="710000879029"/>
    <s v="iHerb_OA CZN6870"/>
    <s v="Доставлен"/>
    <d v="2023-07-13T00:00:00"/>
    <x v="13"/>
    <s v="Витамины"/>
    <s v="SLM-01761"/>
    <x v="164"/>
    <x v="622"/>
    <n v="33.6"/>
    <n v="-10.08"/>
    <n v="-2.6444576775840072"/>
    <n v="0"/>
    <n v="1.9979646330713032"/>
    <n v="2326.1790216928971"/>
    <n v="3500"/>
    <x v="238"/>
    <s v="&lt;Клиент не выбран&gt;"/>
    <s v="2023 08"/>
    <n v="1173.8209783071029"/>
    <n v="0.50461334547366199"/>
  </r>
  <r>
    <s v="519308142"/>
    <s v="710000879029"/>
    <s v="iHerb_OA CZN6870"/>
    <s v="Доставлен"/>
    <d v="2023-07-13T00:00:00"/>
    <x v="13"/>
    <s v="Витамины"/>
    <s v="SLM-01761"/>
    <x v="164"/>
    <x v="622"/>
    <n v="33.6"/>
    <n v="-10.08"/>
    <n v="-2.6444576775840072"/>
    <n v="0"/>
    <n v="1.9979646330713032"/>
    <n v="2326.1790216928971"/>
    <n v="3500"/>
    <x v="238"/>
    <s v="&lt;Клиент не выбран&gt;"/>
    <s v="2023 08"/>
    <n v="1173.8209783071029"/>
    <n v="0.50461334547366199"/>
  </r>
  <r>
    <s v="519308142"/>
    <s v="710000879029"/>
    <s v="iHerb_OA CZN6870"/>
    <s v="Доставлен"/>
    <d v="2023-07-13T00:00:00"/>
    <x v="13"/>
    <s v="Витамины"/>
    <s v="SLM-01761"/>
    <x v="164"/>
    <x v="622"/>
    <n v="33.6"/>
    <n v="-10.08"/>
    <n v="-2.6444576775840072"/>
    <n v="0"/>
    <n v="1.9979646330713032"/>
    <n v="2326.1790216928971"/>
    <n v="4000"/>
    <x v="408"/>
    <s v="&lt;Клиент не выбран&gt;"/>
    <s v="2023 09"/>
    <n v="1673.8209783071029"/>
    <n v="0.71955810911275653"/>
  </r>
  <r>
    <s v="519308142"/>
    <s v="710000879029"/>
    <s v="iHerb_OA CZN6870"/>
    <s v="Доставлен"/>
    <d v="2023-07-13T00:00:00"/>
    <x v="13"/>
    <s v="Витамины"/>
    <s v="BTZ-75102"/>
    <x v="166"/>
    <x v="629"/>
    <n v="22.14"/>
    <n v="-4.43"/>
    <n v="-1.9912136679427195"/>
    <n v="0"/>
    <n v="1.5044197981161893"/>
    <n v="1751.557418119949"/>
    <n v="2600"/>
    <x v="304"/>
    <s v="&lt;Клиент не выбран&gt;"/>
    <s v="2023 09"/>
    <n v="848.44258188005097"/>
    <n v="0.4843932451787592"/>
  </r>
  <r>
    <s v="519308142"/>
    <s v="710000879029"/>
    <s v="iHerb_OA CZN6870"/>
    <s v="Доставлен"/>
    <d v="2023-07-13T00:00:00"/>
    <x v="13"/>
    <s v="Витамины"/>
    <s v="SWV-01922"/>
    <x v="89"/>
    <x v="694"/>
    <n v="3.43"/>
    <n v="-0.68500000000000005"/>
    <n v="-0.30863249680986815"/>
    <n v="0"/>
    <n v="0.23318082133421453"/>
    <n v="271.48645470012764"/>
    <n v="1100"/>
    <x v="409"/>
    <s v="&lt;Клиент не выбран&gt;"/>
    <s v="2024 07"/>
    <n v="828.51354529987236"/>
    <n v="3.0517675226744299"/>
  </r>
  <r>
    <s v="519308142"/>
    <s v="710000879029"/>
    <s v="iHerb_OA CZN6870"/>
    <s v="Доставлен"/>
    <d v="2023-07-13T00:00:00"/>
    <x v="13"/>
    <s v="Витамины"/>
    <s v="SWV-01922"/>
    <x v="89"/>
    <x v="694"/>
    <n v="3.43"/>
    <n v="-0.68500000000000005"/>
    <n v="-0.30863249680986815"/>
    <n v="0"/>
    <n v="0.23318082133421453"/>
    <n v="271.48645470012764"/>
    <n v="1000"/>
    <x v="410"/>
    <s v="&lt;Клиент не выбран&gt;"/>
    <s v="2025 04"/>
    <n v="728.51354529987236"/>
    <n v="2.6834250206131181"/>
  </r>
  <r>
    <s v="519308142"/>
    <s v="710000879029"/>
    <s v="iHerb_OA CZN6870"/>
    <s v="Доставлен"/>
    <d v="2023-07-13T00:00:00"/>
    <x v="13"/>
    <s v="Витамины"/>
    <s v="SWV-11613"/>
    <x v="89"/>
    <x v="695"/>
    <n v="7.78"/>
    <n v="-1.56"/>
    <n v="-0.69934212391889983"/>
    <n v="0"/>
    <n v="0.52837330007242789"/>
    <n v="615.17149298171"/>
    <n v="1500"/>
    <x v="407"/>
    <s v="&lt;Клиент не выбран&gt;"/>
    <s v="2024 01"/>
    <n v="884.82850701829"/>
    <n v="1.4383444569733945"/>
  </r>
  <r>
    <s v="519308142"/>
    <s v="710000879029"/>
    <s v="iHerb_OA CZN6870"/>
    <s v="Доставлен"/>
    <d v="2023-07-13T00:00:00"/>
    <x v="13"/>
    <s v="Витамины"/>
    <s v="VPB-81400"/>
    <x v="81"/>
    <x v="696"/>
    <n v="16.3"/>
    <n v="-6.3"/>
    <n v="-1.1243442506734722"/>
    <n v="0"/>
    <n v="0.84947475895888724"/>
    <n v="989.02169289663982"/>
    <n v="2300"/>
    <x v="163"/>
    <s v="&lt;Клиент не выбран&gt;"/>
    <s v="2023 08"/>
    <n v="1310.9783071033603"/>
    <n v="1.3255303867640924"/>
  </r>
  <r>
    <s v="519308142"/>
    <s v="710000879029"/>
    <s v="iHerb_OA CZN6870"/>
    <s v="Доставлен"/>
    <d v="2023-07-13T00:00:00"/>
    <x v="13"/>
    <s v="Спортпит"/>
    <s v="OPN-05223"/>
    <x v="178"/>
    <x v="697"/>
    <n v="36.56"/>
    <n v="-5.48"/>
    <n v="-3.4944619310931522"/>
    <n v="0"/>
    <n v="2.6401675508442213"/>
    <n v="3073.8794215227567"/>
    <n v="3800"/>
    <x v="301"/>
    <s v="&lt;Клиент не выбран&gt;"/>
    <s v="2023 08"/>
    <n v="726.12057847724327"/>
    <n v="0.23622285682160341"/>
  </r>
  <r>
    <s v="OZO0011"/>
    <n v="0"/>
    <s v="OZON_OA"/>
    <s v="Доставлен"/>
    <d v="2023-06-12T00:00:00"/>
    <x v="12"/>
    <s v="Спортпит"/>
    <s v="190901500"/>
    <x v="118"/>
    <x v="698"/>
    <n v="1722"/>
    <m/>
    <n v="0"/>
    <n v="0"/>
    <n v="172.2"/>
    <n v="1894.2"/>
    <n v="2300"/>
    <x v="258"/>
    <s v="&lt;Клиент не выбран&gt;"/>
    <s v="2023 07"/>
    <n v="405.79999999999995"/>
    <n v="0.21423292154999468"/>
  </r>
  <r>
    <s v="OZO0011"/>
    <n v="0"/>
    <s v="OZON_OA"/>
    <s v="Доставлен"/>
    <d v="2023-06-12T00:00:00"/>
    <x v="12"/>
    <s v="Спортпит"/>
    <s v="190901500"/>
    <x v="118"/>
    <x v="698"/>
    <n v="1722"/>
    <m/>
    <n v="0"/>
    <n v="0"/>
    <n v="172.2"/>
    <n v="1894.2"/>
    <n v="2300"/>
    <x v="258"/>
    <s v="&lt;Клиент не выбран&gt;"/>
    <s v="2023 07"/>
    <n v="405.79999999999995"/>
    <n v="0.21423292154999468"/>
  </r>
  <r>
    <s v="OZO0011"/>
    <n v="0"/>
    <s v="OZON_OA"/>
    <s v="Доставлен"/>
    <d v="2023-06-12T00:00:00"/>
    <x v="12"/>
    <s v="Витамины"/>
    <s v="487034945"/>
    <x v="179"/>
    <x v="699"/>
    <n v="779"/>
    <m/>
    <n v="0"/>
    <n v="0"/>
    <n v="77.900000000000006"/>
    <n v="856.9"/>
    <n v="1200"/>
    <x v="199"/>
    <s v="&lt;Клиент не выбран&gt;"/>
    <s v="2023 07"/>
    <n v="343.1"/>
    <n v="0.40039677908740812"/>
  </r>
  <r>
    <s v="WB0103"/>
    <n v="0"/>
    <s v="WBRS"/>
    <s v="Доставлен"/>
    <d v="2023-06-24T00:00:00"/>
    <x v="12"/>
    <s v="Витамины"/>
    <s v="096053915"/>
    <x v="6"/>
    <x v="700"/>
    <n v="1947"/>
    <m/>
    <n v="0"/>
    <n v="0"/>
    <n v="194.70000000000002"/>
    <n v="2141.6999999999998"/>
    <n v="2100"/>
    <x v="12"/>
    <s v="&lt;Клиент не выбран&gt;"/>
    <s v="2023 08"/>
    <n v="-41.699999999999818"/>
    <n v="-1.9470514077601822E-2"/>
  </r>
  <r>
    <s v="WB0104"/>
    <n v="0"/>
    <s v="WBRS"/>
    <s v="Доставлен"/>
    <d v="2023-07-15T00:00:00"/>
    <x v="13"/>
    <s v="Спортпит"/>
    <s v="052838724"/>
    <x v="118"/>
    <x v="701"/>
    <n v="1484"/>
    <m/>
    <n v="0"/>
    <n v="0"/>
    <n v="148.4"/>
    <n v="1632.4"/>
    <n v="2700"/>
    <x v="199"/>
    <s v="&lt;Клиент не выбран&gt;"/>
    <s v="2023 07"/>
    <n v="1067.5999999999999"/>
    <n v="0.65400637098750292"/>
  </r>
  <r>
    <s v="WB0104"/>
    <n v="0"/>
    <s v="WBRS"/>
    <s v="Доставлен"/>
    <d v="2023-07-15T00:00:00"/>
    <x v="13"/>
    <s v="Спортпит"/>
    <s v="052838724"/>
    <x v="118"/>
    <x v="701"/>
    <n v="1484"/>
    <m/>
    <n v="0"/>
    <n v="0"/>
    <n v="148.4"/>
    <n v="1632.4"/>
    <n v="2700"/>
    <x v="367"/>
    <s v="&lt;Клиент не выбран&gt;"/>
    <s v="2023 09"/>
    <n v="1067.5999999999999"/>
    <n v="0.65400637098750292"/>
  </r>
  <r>
    <s v="WB0104"/>
    <n v="0"/>
    <s v="WBRS"/>
    <s v="Доставлен"/>
    <d v="2023-07-15T00:00:00"/>
    <x v="13"/>
    <s v="Спортпит"/>
    <s v="052838724"/>
    <x v="118"/>
    <x v="701"/>
    <n v="1484"/>
    <m/>
    <n v="0"/>
    <n v="0"/>
    <n v="148.4"/>
    <n v="1632.4"/>
    <n v="2700"/>
    <x v="256"/>
    <s v="&lt;Клиент не выбран&gt;"/>
    <s v="2023 10"/>
    <n v="1067.5999999999999"/>
    <n v="0.65400637098750292"/>
  </r>
  <r>
    <s v="WB0104"/>
    <n v="0"/>
    <s v="WBRS"/>
    <s v="Доставлен"/>
    <d v="2023-07-15T00:00:00"/>
    <x v="13"/>
    <s v="Спортпит"/>
    <s v="146853513"/>
    <x v="118"/>
    <x v="702"/>
    <n v="879"/>
    <m/>
    <n v="0"/>
    <n v="0"/>
    <n v="87.9"/>
    <n v="966.9"/>
    <n v="1700"/>
    <x v="199"/>
    <s v="&lt;Клиент не выбран&gt;"/>
    <s v="2023 07"/>
    <n v="733.1"/>
    <n v="0.75819629744544426"/>
  </r>
  <r>
    <s v="WB0105"/>
    <n v="0"/>
    <s v="WBRS"/>
    <s v="Доставлен"/>
    <d v="2023-07-15T00:00:00"/>
    <x v="13"/>
    <s v="Спортпит"/>
    <s v="138948952"/>
    <x v="172"/>
    <x v="663"/>
    <n v="325"/>
    <m/>
    <n v="0"/>
    <n v="0"/>
    <n v="32.5"/>
    <n v="357.5"/>
    <n v="500"/>
    <x v="259"/>
    <s v="&lt;Клиент не выбран&gt;"/>
    <s v="2023 07"/>
    <n v="142.5"/>
    <n v="0.39860139860139859"/>
  </r>
  <r>
    <s v="WB0105"/>
    <n v="0"/>
    <s v="WBRS"/>
    <s v="Доставлен"/>
    <d v="2023-07-15T00:00:00"/>
    <x v="13"/>
    <s v="Спортпит"/>
    <s v="138948952"/>
    <x v="172"/>
    <x v="663"/>
    <n v="325"/>
    <m/>
    <n v="0"/>
    <n v="0"/>
    <n v="32.5"/>
    <n v="357.5"/>
    <n v="500"/>
    <x v="259"/>
    <s v="&lt;Клиент не выбран&gt;"/>
    <s v="2023 07"/>
    <n v="142.5"/>
    <n v="0.39860139860139859"/>
  </r>
  <r>
    <s v="WB0106"/>
    <n v="0"/>
    <s v="WBRS"/>
    <s v="Доставлен"/>
    <d v="2023-07-09T00:00:00"/>
    <x v="13"/>
    <s v="Спортпит"/>
    <s v="088061892"/>
    <x v="118"/>
    <x v="703"/>
    <n v="1702"/>
    <m/>
    <n v="0"/>
    <n v="0"/>
    <n v="170.20000000000002"/>
    <n v="1872.2"/>
    <n v="2300"/>
    <x v="259"/>
    <s v="&lt;Клиент не выбран&gt;"/>
    <s v="2023 07"/>
    <n v="427.79999999999995"/>
    <n v="0.22850122850122848"/>
  </r>
  <r>
    <s v="WB0106"/>
    <n v="0"/>
    <s v="WBRS"/>
    <s v="Доставлен"/>
    <d v="2023-07-09T00:00:00"/>
    <x v="13"/>
    <s v="Спортпит"/>
    <s v="088061892"/>
    <x v="118"/>
    <x v="703"/>
    <n v="1702"/>
    <m/>
    <n v="0"/>
    <n v="0"/>
    <n v="170.20000000000002"/>
    <n v="1872.2"/>
    <n v="2500"/>
    <x v="276"/>
    <s v="&lt;Клиент не выбран&gt;"/>
    <s v="2023 09"/>
    <n v="627.79999999999995"/>
    <n v="0.33532742228394397"/>
  </r>
  <r>
    <s v="WB0107"/>
    <n v="0"/>
    <s v="WBRS"/>
    <s v="Доставлен"/>
    <d v="2023-07-24T00:00:00"/>
    <x v="13"/>
    <s v="Спортпит"/>
    <s v="146853513"/>
    <x v="118"/>
    <x v="702"/>
    <n v="940"/>
    <m/>
    <n v="0"/>
    <n v="0"/>
    <n v="94"/>
    <n v="1034"/>
    <n v="1700"/>
    <x v="259"/>
    <s v="&lt;Клиент не выбран&gt;"/>
    <s v="2023 07"/>
    <n v="666"/>
    <n v="0.64410058027079309"/>
  </r>
  <r>
    <s v="WB0107"/>
    <n v="0"/>
    <s v="WBRS"/>
    <s v="Доставлен"/>
    <d v="2023-07-24T00:00:00"/>
    <x v="13"/>
    <s v="Спортпит"/>
    <s v="146853513"/>
    <x v="118"/>
    <x v="702"/>
    <n v="940"/>
    <m/>
    <n v="0"/>
    <n v="0"/>
    <n v="94"/>
    <n v="1034"/>
    <n v="1700"/>
    <x v="339"/>
    <s v="&lt;Клиент не выбран&gt;"/>
    <s v="2023 08"/>
    <n v="666"/>
    <n v="0.64410058027079309"/>
  </r>
  <r>
    <s v="WB0108"/>
    <n v="0"/>
    <s v="WBRS"/>
    <s v="Доставлен"/>
    <d v="2023-07-24T00:00:00"/>
    <x v="13"/>
    <s v="Витамины"/>
    <s v="062045172"/>
    <x v="57"/>
    <x v="704"/>
    <n v="413"/>
    <m/>
    <n v="0"/>
    <n v="0"/>
    <n v="41.300000000000004"/>
    <n v="454.3"/>
    <n v="900"/>
    <x v="12"/>
    <s v="&lt;Клиент не выбран&gt;"/>
    <s v="2023 08"/>
    <n v="445.7"/>
    <n v="0.98106977767994707"/>
  </r>
  <r>
    <s v="WB0108"/>
    <n v="0"/>
    <s v="WBRS"/>
    <s v="Доставлен"/>
    <d v="2023-07-24T00:00:00"/>
    <x v="13"/>
    <s v="Витамины"/>
    <s v="062045172"/>
    <x v="57"/>
    <x v="704"/>
    <n v="413"/>
    <m/>
    <n v="0"/>
    <n v="0"/>
    <n v="41.300000000000004"/>
    <n v="454.3"/>
    <n v="900"/>
    <x v="12"/>
    <s v="&lt;Клиент не выбран&gt;"/>
    <s v="2023 08"/>
    <n v="445.7"/>
    <n v="0.98106977767994707"/>
  </r>
  <r>
    <s v="WB0108"/>
    <n v="0"/>
    <s v="WBRS"/>
    <s v="Доставлен"/>
    <d v="2023-07-24T00:00:00"/>
    <x v="13"/>
    <s v="Витамины"/>
    <s v="062045172"/>
    <x v="57"/>
    <x v="704"/>
    <n v="413"/>
    <m/>
    <n v="0"/>
    <n v="0"/>
    <n v="41.300000000000004"/>
    <n v="454.3"/>
    <n v="900"/>
    <x v="12"/>
    <s v="&lt;Клиент не выбран&gt;"/>
    <s v="2023 08"/>
    <n v="445.7"/>
    <n v="0.98106977767994707"/>
  </r>
  <r>
    <s v="WB0108"/>
    <n v="0"/>
    <s v="WBRS"/>
    <s v="Доставлен"/>
    <d v="2023-07-24T00:00:00"/>
    <x v="13"/>
    <s v="Витамины"/>
    <s v="062045172"/>
    <x v="57"/>
    <x v="704"/>
    <n v="413"/>
    <m/>
    <n v="0"/>
    <n v="0"/>
    <n v="41.300000000000004"/>
    <n v="454.3"/>
    <n v="900"/>
    <x v="12"/>
    <s v="&lt;Клиент не выбран&gt;"/>
    <s v="2023 08"/>
    <n v="445.7"/>
    <n v="0.98106977767994707"/>
  </r>
  <r>
    <s v="OZO0012"/>
    <n v="0"/>
    <s v="OZON_OA"/>
    <s v="Доставлен"/>
    <d v="2023-07-18T00:00:00"/>
    <x v="13"/>
    <s v="Спортпит"/>
    <s v="892721541"/>
    <x v="162"/>
    <x v="618"/>
    <n v="822"/>
    <m/>
    <n v="0"/>
    <n v="0"/>
    <n v="82.2"/>
    <n v="904.2"/>
    <n v="2000"/>
    <x v="292"/>
    <s v="&lt;Клиент не выбран&gt;"/>
    <s v="2023 08"/>
    <n v="1095.8"/>
    <n v="1.2119000221190002"/>
  </r>
  <r>
    <s v="OZO0012"/>
    <n v="0"/>
    <s v="OZON_OA"/>
    <s v="Доставлен"/>
    <d v="2023-07-18T00:00:00"/>
    <x v="13"/>
    <s v="Спортпит"/>
    <s v="892721541"/>
    <x v="162"/>
    <x v="618"/>
    <n v="822"/>
    <m/>
    <n v="0"/>
    <n v="0"/>
    <n v="82.2"/>
    <n v="904.2"/>
    <n v="2000"/>
    <x v="185"/>
    <s v="&lt;Клиент не выбран&gt;"/>
    <s v="2023 11"/>
    <n v="1095.8"/>
    <n v="1.2119000221190002"/>
  </r>
  <r>
    <s v="OZO0012"/>
    <n v="0"/>
    <s v="OZON_OA"/>
    <s v="Доставлен"/>
    <d v="2023-07-18T00:00:00"/>
    <x v="13"/>
    <s v="Спортпит"/>
    <s v="892721541"/>
    <x v="162"/>
    <x v="618"/>
    <n v="822"/>
    <m/>
    <n v="0"/>
    <n v="0"/>
    <n v="82.2"/>
    <n v="904.2"/>
    <n v="1900"/>
    <x v="275"/>
    <s v="&lt;Клиент не выбран&gt;"/>
    <s v="2023 11"/>
    <n v="995.8"/>
    <n v="1.1013050210130502"/>
  </r>
  <r>
    <s v="OZO0013"/>
    <n v="0"/>
    <s v="OZON_OA"/>
    <s v="Доставлен"/>
    <d v="2023-08-01T00:00:00"/>
    <x v="14"/>
    <s v="Спортпит"/>
    <s v="155522407"/>
    <x v="40"/>
    <x v="705"/>
    <n v="1463"/>
    <m/>
    <n v="0"/>
    <n v="0"/>
    <n v="146.30000000000001"/>
    <n v="1609.3"/>
    <n v="2200"/>
    <x v="282"/>
    <s v="&lt;Клиент не выбран&gt;"/>
    <s v="2023 09"/>
    <n v="590.70000000000005"/>
    <n v="0.36705399863294602"/>
  </r>
  <r>
    <s v="OZO0013"/>
    <n v="0"/>
    <s v="OZON_OA"/>
    <s v="Доставлен"/>
    <d v="2023-08-01T00:00:00"/>
    <x v="14"/>
    <s v="Спортпит"/>
    <s v="152851473"/>
    <x v="40"/>
    <x v="676"/>
    <n v="1459"/>
    <m/>
    <n v="0"/>
    <n v="0"/>
    <n v="145.9"/>
    <n v="1604.9"/>
    <n v="2200"/>
    <x v="250"/>
    <s v="&lt;Клиент не выбран&gt;"/>
    <s v="2024 01"/>
    <n v="595.09999999999991"/>
    <n v="0.37080191912268667"/>
  </r>
  <r>
    <s v="OZO0013"/>
    <n v="0"/>
    <s v="OZON_OA"/>
    <s v="Доставлен"/>
    <d v="2023-08-01T00:00:00"/>
    <x v="14"/>
    <s v="Спортпит"/>
    <s v="309538221"/>
    <x v="104"/>
    <x v="445"/>
    <n v="1549"/>
    <m/>
    <n v="0"/>
    <n v="0"/>
    <n v="154.9"/>
    <n v="1703.9"/>
    <n v="3000"/>
    <x v="354"/>
    <s v="&lt;Клиент не выбран&gt;"/>
    <s v="2023 09"/>
    <n v="1296.0999999999999"/>
    <n v="0.76066670579259332"/>
  </r>
  <r>
    <s v="OZO0013"/>
    <n v="0"/>
    <s v="OZON_OA"/>
    <s v="Доставлен"/>
    <d v="2023-08-01T00:00:00"/>
    <x v="14"/>
    <s v="Спортпит"/>
    <s v="309534042"/>
    <x v="104"/>
    <x v="680"/>
    <n v="1567"/>
    <m/>
    <n v="0"/>
    <n v="0"/>
    <n v="156.70000000000002"/>
    <n v="1723.7"/>
    <n v="2800"/>
    <x v="281"/>
    <s v="&lt;Клиент не выбран&gt;"/>
    <s v="2023 08"/>
    <n v="1076.3"/>
    <n v="0.62441260080060335"/>
  </r>
  <r>
    <s v="WB0109"/>
    <n v="0"/>
    <s v="WBRS"/>
    <s v="Доставлен"/>
    <d v="2023-08-01T00:00:00"/>
    <x v="14"/>
    <s v="Спортпит"/>
    <s v="138948952"/>
    <x v="172"/>
    <x v="663"/>
    <n v="369"/>
    <m/>
    <n v="0"/>
    <n v="0"/>
    <n v="36.9"/>
    <n v="405.9"/>
    <n v="550"/>
    <x v="282"/>
    <s v="&lt;Клиент не выбран&gt;"/>
    <s v="2023 09"/>
    <n v="144.10000000000002"/>
    <n v="0.35501355013550145"/>
  </r>
  <r>
    <s v="WB0109"/>
    <n v="0"/>
    <s v="WBRS"/>
    <s v="Доставлен"/>
    <d v="2023-08-01T00:00:00"/>
    <x v="14"/>
    <s v="Спортпит"/>
    <s v="138948952"/>
    <x v="172"/>
    <x v="663"/>
    <n v="369"/>
    <m/>
    <n v="0"/>
    <n v="0"/>
    <n v="36.9"/>
    <n v="405.9"/>
    <n v="550"/>
    <x v="367"/>
    <s v="&lt;Клиент не выбран&gt;"/>
    <s v="2023 09"/>
    <n v="144.10000000000002"/>
    <n v="0.35501355013550145"/>
  </r>
  <r>
    <s v="WB0110"/>
    <n v="0"/>
    <s v="WBRS"/>
    <s v="Доставлен"/>
    <d v="2023-08-01T00:00:00"/>
    <x v="14"/>
    <s v="Спортпит"/>
    <s v="139631886"/>
    <x v="118"/>
    <x v="667"/>
    <n v="911"/>
    <m/>
    <n v="0"/>
    <n v="0"/>
    <n v="91.100000000000009"/>
    <n v="1002.1"/>
    <n v="1700"/>
    <x v="282"/>
    <s v="&lt;Клиент не выбран&gt;"/>
    <s v="2023 09"/>
    <n v="697.9"/>
    <n v="0.69643748128929239"/>
  </r>
  <r>
    <s v="WB0110"/>
    <n v="0"/>
    <s v="WBRS"/>
    <s v="Доставлен"/>
    <d v="2023-08-01T00:00:00"/>
    <x v="14"/>
    <s v="Спортпит"/>
    <s v="139631886"/>
    <x v="118"/>
    <x v="667"/>
    <n v="911"/>
    <m/>
    <n v="0"/>
    <n v="0"/>
    <n v="91.100000000000009"/>
    <n v="1002.1"/>
    <n v="1700"/>
    <x v="46"/>
    <s v="&lt;Клиент не выбран&gt;"/>
    <s v="2023 09"/>
    <n v="697.9"/>
    <n v="0.69643748128929239"/>
  </r>
  <r>
    <s v="WB0111"/>
    <n v="0"/>
    <s v="WBRS"/>
    <s v="Доставлен"/>
    <d v="2023-08-01T00:00:00"/>
    <x v="14"/>
    <s v="Спортпит"/>
    <s v="030091936"/>
    <x v="172"/>
    <x v="706"/>
    <n v="369"/>
    <m/>
    <n v="0"/>
    <n v="0"/>
    <n v="36.9"/>
    <n v="405.9"/>
    <n v="550"/>
    <x v="367"/>
    <s v="&lt;Клиент не выбран&gt;"/>
    <s v="2023 09"/>
    <n v="144.10000000000002"/>
    <n v="0.35501355013550145"/>
  </r>
  <r>
    <s v="WB0111"/>
    <n v="0"/>
    <s v="WBRS"/>
    <s v="Доставлен"/>
    <d v="2023-08-01T00:00:00"/>
    <x v="14"/>
    <s v="Спортпит"/>
    <s v="030091936"/>
    <x v="172"/>
    <x v="706"/>
    <n v="369"/>
    <m/>
    <n v="0"/>
    <n v="0"/>
    <n v="36.9"/>
    <n v="405.9"/>
    <n v="550"/>
    <x v="367"/>
    <s v="&lt;Клиент не выбран&gt;"/>
    <s v="2023 09"/>
    <n v="144.10000000000002"/>
    <n v="0.35501355013550145"/>
  </r>
  <r>
    <s v="WB0112"/>
    <n v="0"/>
    <s v="WBRS"/>
    <s v="Доставлен"/>
    <d v="2023-08-01T00:00:00"/>
    <x v="14"/>
    <s v="Спортпит"/>
    <s v="108438397"/>
    <x v="174"/>
    <x v="707"/>
    <n v="1045"/>
    <m/>
    <n v="0"/>
    <n v="0"/>
    <n v="104.5"/>
    <n v="1149.5"/>
    <n v="1800"/>
    <x v="242"/>
    <s v="&lt;Клиент не выбран&gt;"/>
    <s v="2023 08"/>
    <n v="650.5"/>
    <n v="0.56589821661591999"/>
  </r>
  <r>
    <s v="WB0112"/>
    <n v="0"/>
    <s v="WBRS"/>
    <s v="Доставлен"/>
    <d v="2023-08-01T00:00:00"/>
    <x v="14"/>
    <s v="Спортпит"/>
    <s v="108438397"/>
    <x v="174"/>
    <x v="707"/>
    <n v="1045"/>
    <m/>
    <n v="0"/>
    <n v="0"/>
    <n v="104.5"/>
    <n v="1149.5"/>
    <n v="1700"/>
    <x v="327"/>
    <s v="&lt;Клиент не выбран&gt;"/>
    <s v="2023 08"/>
    <n v="550.5"/>
    <n v="0.47890387124836886"/>
  </r>
  <r>
    <s v="WB0113"/>
    <n v="0"/>
    <s v="WBRS"/>
    <s v="Доставлен"/>
    <d v="2023-08-01T00:00:00"/>
    <x v="14"/>
    <s v="Витамины"/>
    <s v="062045172"/>
    <x v="57"/>
    <x v="704"/>
    <n v="364"/>
    <m/>
    <n v="0"/>
    <n v="0"/>
    <n v="36.4"/>
    <n v="400.4"/>
    <n v="800"/>
    <x v="411"/>
    <s v="&lt;Клиент не выбран&gt;"/>
    <s v="2024 11"/>
    <n v="399.6"/>
    <n v="0.99800199800199807"/>
  </r>
  <r>
    <s v="WB0113"/>
    <n v="0"/>
    <s v="WBRS"/>
    <s v="Доставлен"/>
    <d v="2023-08-01T00:00:00"/>
    <x v="14"/>
    <s v="Витамины"/>
    <s v="062045172"/>
    <x v="57"/>
    <x v="704"/>
    <n v="364"/>
    <m/>
    <n v="0"/>
    <n v="0"/>
    <n v="36.4"/>
    <n v="400.4"/>
    <n v="500"/>
    <x v="412"/>
    <s v="&lt;Клиент не выбран&gt;"/>
    <s v="2025 03"/>
    <n v="99.600000000000023"/>
    <n v="0.24875124875124882"/>
  </r>
  <r>
    <s v="WB0113"/>
    <n v="0"/>
    <s v="WBRS"/>
    <s v="Доставлен"/>
    <d v="2023-08-01T00:00:00"/>
    <x v="14"/>
    <s v="Витамины"/>
    <s v="062045172"/>
    <x v="57"/>
    <x v="704"/>
    <n v="364"/>
    <m/>
    <n v="0"/>
    <n v="0"/>
    <n v="36.4"/>
    <n v="400.4"/>
    <m/>
    <x v="20"/>
    <m/>
    <s v=""/>
    <n v="-400.4"/>
    <s v=""/>
  </r>
  <r>
    <s v="WB0113"/>
    <n v="0"/>
    <s v="WBRS"/>
    <s v="Доставлен"/>
    <d v="2023-08-01T00:00:00"/>
    <x v="14"/>
    <s v="Витамины"/>
    <s v="062045172"/>
    <x v="57"/>
    <x v="704"/>
    <n v="364"/>
    <m/>
    <n v="0"/>
    <n v="0"/>
    <n v="36.4"/>
    <n v="400.4"/>
    <m/>
    <x v="20"/>
    <m/>
    <s v=""/>
    <n v="-400.4"/>
    <s v=""/>
  </r>
  <r>
    <s v="WB0114"/>
    <n v="0"/>
    <s v="WBRS"/>
    <s v="Доставлен"/>
    <d v="2023-08-01T00:00:00"/>
    <x v="14"/>
    <s v="Витамины"/>
    <s v="026995436"/>
    <x v="57"/>
    <x v="208"/>
    <n v="595"/>
    <m/>
    <n v="0"/>
    <n v="0"/>
    <n v="59.5"/>
    <n v="654.5"/>
    <n v="1600"/>
    <x v="284"/>
    <s v="&lt;Клиент не выбран&gt;"/>
    <s v="2023 10"/>
    <n v="945.5"/>
    <n v="1.4446142093200918"/>
  </r>
  <r>
    <s v="WB0114"/>
    <n v="0"/>
    <s v="WBRS"/>
    <s v="Доставлен"/>
    <d v="2023-08-01T00:00:00"/>
    <x v="14"/>
    <s v="Витамины"/>
    <s v="026995436"/>
    <x v="57"/>
    <x v="208"/>
    <n v="595"/>
    <m/>
    <n v="0"/>
    <n v="0"/>
    <n v="59.5"/>
    <n v="654.5"/>
    <n v="1600"/>
    <x v="299"/>
    <s v="&lt;Клиент не выбран&gt;"/>
    <s v="2023 12"/>
    <n v="945.5"/>
    <n v="1.4446142093200918"/>
  </r>
  <r>
    <s v="WB0115"/>
    <n v="0"/>
    <s v="WBRS"/>
    <s v="Доставлен"/>
    <d v="2023-07-24T00:00:00"/>
    <x v="13"/>
    <s v="Витамины"/>
    <s v="487034945"/>
    <x v="179"/>
    <x v="699"/>
    <n v="518"/>
    <m/>
    <n v="0"/>
    <n v="0"/>
    <n v="51.800000000000004"/>
    <n v="569.79999999999995"/>
    <n v="1200"/>
    <x v="238"/>
    <s v="&lt;Клиент не выбран&gt;"/>
    <s v="2023 08"/>
    <n v="630.20000000000005"/>
    <n v="1.1060021060021061"/>
  </r>
  <r>
    <s v="WB0115"/>
    <n v="0"/>
    <s v="WBRS"/>
    <s v="Доставлен"/>
    <d v="2023-07-24T00:00:00"/>
    <x v="13"/>
    <s v="Витамины"/>
    <s v="487034945"/>
    <x v="179"/>
    <x v="699"/>
    <n v="518"/>
    <m/>
    <n v="0"/>
    <n v="0"/>
    <n v="51.800000000000004"/>
    <n v="569.79999999999995"/>
    <n v="1300"/>
    <x v="368"/>
    <s v="&lt;Клиент не выбран&gt;"/>
    <s v="2023 08"/>
    <n v="730.2"/>
    <n v="1.2815022815022816"/>
  </r>
  <r>
    <s v="423058412"/>
    <n v="0"/>
    <s v="Forever"/>
    <s v="Доставлен"/>
    <d v="2023-07-28T00:00:00"/>
    <x v="13"/>
    <s v="Косметика"/>
    <s v="000000028"/>
    <x v="85"/>
    <x v="266"/>
    <n v="547"/>
    <m/>
    <n v="0"/>
    <n v="0"/>
    <n v="51.435668762658999"/>
    <n v="646.31052226367183"/>
    <n v="646.30999999999995"/>
    <x v="413"/>
    <s v="&lt;Клиент не выбран&gt;"/>
    <s v="2023 07"/>
    <n v="-5.2226367188268341E-4"/>
    <n v="-8.080692699439269E-7"/>
  </r>
  <r>
    <s v="423058412"/>
    <n v="0"/>
    <s v="Forever"/>
    <s v="Доставлен"/>
    <d v="2023-07-28T00:00:00"/>
    <x v="13"/>
    <s v="Косметика"/>
    <s v="000000040"/>
    <x v="85"/>
    <x v="269"/>
    <n v="1411"/>
    <m/>
    <n v="0"/>
    <n v="0"/>
    <n v="132.67957700934522"/>
    <n v="1667.1739431700928"/>
    <n v="2100"/>
    <x v="282"/>
    <s v="&lt;Клиент не выбран&gt;"/>
    <s v="2023 09"/>
    <n v="432.8260568299072"/>
    <n v="0.25961661565253258"/>
  </r>
  <r>
    <s v="423058412"/>
    <n v="0"/>
    <s v="Forever"/>
    <s v="Доставлен"/>
    <d v="2023-07-28T00:00:00"/>
    <x v="13"/>
    <s v="Косметика"/>
    <s v="000000040"/>
    <x v="85"/>
    <x v="269"/>
    <n v="1411"/>
    <m/>
    <n v="0"/>
    <n v="0"/>
    <n v="132.67957700934522"/>
    <n v="1667.1739431700928"/>
    <n v="2100"/>
    <x v="414"/>
    <s v="&lt;Клиент не выбран&gt;"/>
    <s v="2024 05"/>
    <n v="432.8260568299072"/>
    <n v="0.25961661565253258"/>
  </r>
  <r>
    <s v="423058412"/>
    <n v="0"/>
    <s v="Forever"/>
    <s v="Доставлен"/>
    <d v="2023-07-28T00:00:00"/>
    <x v="13"/>
    <s v="Витамины"/>
    <s v="000000015"/>
    <x v="85"/>
    <x v="265"/>
    <n v="1484.8"/>
    <m/>
    <n v="0"/>
    <n v="0"/>
    <n v="139.61916083874968"/>
    <n v="1754.3726937058498"/>
    <n v="3000"/>
    <x v="113"/>
    <s v="&lt;Клиент не выбран&gt;"/>
    <s v="2023 10"/>
    <n v="1245.6273062941502"/>
    <n v="0.71001293554276024"/>
  </r>
  <r>
    <s v="423058412"/>
    <n v="0"/>
    <s v="Forever"/>
    <s v="Доставлен"/>
    <d v="2023-07-28T00:00:00"/>
    <x v="13"/>
    <s v="Витамины"/>
    <s v="000000015"/>
    <x v="85"/>
    <x v="265"/>
    <n v="1484.8"/>
    <m/>
    <n v="0"/>
    <n v="0"/>
    <n v="139.61916083874968"/>
    <n v="1754.3726937058498"/>
    <n v="2900"/>
    <x v="343"/>
    <s v="&lt;Клиент не выбран&gt;"/>
    <s v="2023 10"/>
    <n v="1145.6273062941502"/>
    <n v="0.65301250435800162"/>
  </r>
  <r>
    <s v="423058412"/>
    <n v="0"/>
    <s v="Forever"/>
    <s v="Доставлен"/>
    <d v="2023-07-28T00:00:00"/>
    <x v="13"/>
    <s v="Витамины"/>
    <s v="000000015"/>
    <x v="85"/>
    <x v="265"/>
    <n v="1484.8"/>
    <m/>
    <n v="0"/>
    <n v="0"/>
    <n v="139.61916083874968"/>
    <n v="1754.3726937058498"/>
    <n v="2800"/>
    <x v="415"/>
    <s v="&lt;Клиент не выбран&gt;"/>
    <s v="2023 10"/>
    <n v="1045.6273062941502"/>
    <n v="0.5960120731732429"/>
  </r>
  <r>
    <s v="423058412"/>
    <n v="0"/>
    <s v="Forever"/>
    <s v="Доставлен"/>
    <d v="2023-07-28T00:00:00"/>
    <x v="13"/>
    <s v="Витамины"/>
    <s v="000000015"/>
    <x v="85"/>
    <x v="265"/>
    <n v="1484.8"/>
    <m/>
    <n v="0"/>
    <n v="0"/>
    <n v="139.61916083874968"/>
    <n v="1754.3726937058498"/>
    <n v="1754.37"/>
    <x v="416"/>
    <s v="&lt;Клиент не выбран&gt;"/>
    <s v="2023 11"/>
    <n v="-2.6937058498788247E-3"/>
    <n v="-1.5354239492799983E-6"/>
  </r>
  <r>
    <s v="423058412"/>
    <n v="0"/>
    <s v="Forever"/>
    <s v="Доставлен"/>
    <d v="2023-07-28T00:00:00"/>
    <x v="13"/>
    <s v="Витамины"/>
    <s v="000000015"/>
    <x v="85"/>
    <x v="265"/>
    <n v="1484.8"/>
    <m/>
    <n v="0"/>
    <n v="0"/>
    <n v="139.61916083874968"/>
    <n v="1754.3726937058498"/>
    <n v="2800"/>
    <x v="417"/>
    <s v="&lt;Клиент не выбран&gt;"/>
    <s v="2023 12"/>
    <n v="1045.6273062941502"/>
    <n v="0.5960120731732429"/>
  </r>
  <r>
    <s v="423058412"/>
    <n v="0"/>
    <s v="Forever"/>
    <s v="Доставлен"/>
    <d v="2023-07-28T00:00:00"/>
    <x v="13"/>
    <s v="Косметика"/>
    <s v="000000612"/>
    <x v="85"/>
    <x v="631"/>
    <n v="903"/>
    <m/>
    <n v="0"/>
    <n v="0"/>
    <n v="84.911167993932494"/>
    <n v="1066.9440614334471"/>
    <n v="1400"/>
    <x v="413"/>
    <s v="&lt;Клиент не выбран&gt;"/>
    <s v="2023 07"/>
    <n v="333.05593856655287"/>
    <n v="0.31215876314929741"/>
  </r>
  <r>
    <s v="423058412"/>
    <n v="0"/>
    <s v="Forever"/>
    <s v="Доставлен"/>
    <d v="2023-07-28T00:00:00"/>
    <x v="13"/>
    <s v="Косметика"/>
    <s v="000000612"/>
    <x v="85"/>
    <x v="631"/>
    <n v="903"/>
    <m/>
    <n v="0"/>
    <n v="0"/>
    <n v="84.911167993932494"/>
    <n v="1066.9440614334471"/>
    <n v="1066.94"/>
    <x v="413"/>
    <s v="&lt;Клиент не выбран&gt;"/>
    <s v="2023 07"/>
    <n v="-4.0614334470774338E-3"/>
    <n v="-3.8066039203787952E-6"/>
  </r>
  <r>
    <s v="WB0117"/>
    <n v="0"/>
    <s v="WBRS"/>
    <s v="Доставлен"/>
    <d v="2023-08-03T00:00:00"/>
    <x v="14"/>
    <s v="Спортпит"/>
    <s v="156083705"/>
    <x v="118"/>
    <x v="708"/>
    <n v="1630"/>
    <m/>
    <n v="0"/>
    <n v="0"/>
    <n v="163"/>
    <n v="1793"/>
    <n v="2500"/>
    <x v="312"/>
    <s v="&lt;Клиент не выбран&gt;"/>
    <s v="2024 07"/>
    <n v="707"/>
    <n v="0.39431121026213051"/>
  </r>
  <r>
    <s v="WB0118"/>
    <n v="0"/>
    <s v="WBRS"/>
    <s v="Доставлен"/>
    <d v="2023-08-03T00:00:00"/>
    <x v="14"/>
    <s v="Спортпит"/>
    <s v="158521482"/>
    <x v="118"/>
    <x v="674"/>
    <n v="1630"/>
    <m/>
    <n v="0"/>
    <n v="0"/>
    <n v="163"/>
    <n v="1793"/>
    <n v="2500"/>
    <x v="418"/>
    <s v="&lt;Клиент не выбран&gt;"/>
    <s v="2024 03"/>
    <n v="707"/>
    <n v="0.39431121026213051"/>
  </r>
  <r>
    <s v="WB0118"/>
    <n v="0"/>
    <s v="WBRS"/>
    <s v="Доставлен"/>
    <d v="2023-08-03T00:00:00"/>
    <x v="14"/>
    <s v="Спортпит"/>
    <s v="158521482"/>
    <x v="118"/>
    <x v="674"/>
    <n v="1630"/>
    <m/>
    <n v="0"/>
    <n v="0"/>
    <n v="163"/>
    <n v="1793"/>
    <n v="2500"/>
    <x v="419"/>
    <s v="&lt;Клиент не выбран&gt;"/>
    <s v="2024 10"/>
    <n v="707"/>
    <n v="0.39431121026213051"/>
  </r>
  <r>
    <s v="WB0119"/>
    <n v="0"/>
    <s v="WBRS"/>
    <s v="Доставлен"/>
    <d v="2023-08-03T00:00:00"/>
    <x v="14"/>
    <s v="Косметика"/>
    <s v="168263293"/>
    <x v="180"/>
    <x v="709"/>
    <n v="2718"/>
    <m/>
    <n v="0"/>
    <n v="0"/>
    <n v="271.8"/>
    <n v="2989.8"/>
    <n v="3600"/>
    <x v="327"/>
    <s v="&lt;Клиент не выбран&gt;"/>
    <s v="2023 08"/>
    <n v="610.19999999999982"/>
    <n v="0.20409391932570733"/>
  </r>
  <r>
    <s v="519517082"/>
    <s v="710000895722"/>
    <s v="iHerb_MH DLE7202"/>
    <s v="Доставлен"/>
    <d v="2023-07-25T00:00:00"/>
    <x v="13"/>
    <s v="Витамины"/>
    <s v="MRM-21104"/>
    <x v="37"/>
    <x v="94"/>
    <n v="16.61"/>
    <n v="-2.5099999999999998"/>
    <n v="-1.0023833983973702"/>
    <n v="4.9403669977649054E-15"/>
    <n v="0.76286371671674158"/>
    <n v="1397.2320690363679"/>
    <n v="2200"/>
    <x v="327"/>
    <s v="&lt;Клиент не выбран&gt;"/>
    <s v="2023 08"/>
    <n v="802.76793096363212"/>
    <n v="0.57454158743814032"/>
  </r>
  <r>
    <s v="519517082"/>
    <s v="710000895722"/>
    <s v="iHerb_MH DLE7202"/>
    <s v="Доставлен"/>
    <d v="2023-07-25T00:00:00"/>
    <x v="13"/>
    <s v="Витамины"/>
    <s v="MRM-21104"/>
    <x v="37"/>
    <x v="94"/>
    <n v="16.61"/>
    <n v="-2.5099999999999998"/>
    <n v="-1.0023833983973702"/>
    <n v="4.9403669977649054E-15"/>
    <n v="0.76286371671674158"/>
    <n v="1397.2320690363679"/>
    <n v="2200"/>
    <x v="300"/>
    <s v="&lt;Клиент не выбран&gt;"/>
    <s v="2023 12"/>
    <n v="802.76793096363212"/>
    <n v="0.57454158743814032"/>
  </r>
  <r>
    <s v="519517082"/>
    <s v="710000895722"/>
    <s v="iHerb_MH DLE7202"/>
    <s v="Доставлен"/>
    <d v="2023-07-25T00:00:00"/>
    <x v="13"/>
    <s v="Витамины"/>
    <s v="JRW-09002"/>
    <x v="21"/>
    <x v="710"/>
    <n v="15.68"/>
    <n v="-2.35"/>
    <n v="-0.94764331210191111"/>
    <n v="4.6705739063976026E-15"/>
    <n v="0.72120378325065004"/>
    <n v="1320.9293248407648"/>
    <n v="1700"/>
    <x v="348"/>
    <s v="&lt;Клиент не выбран&gt;"/>
    <s v="2023 10"/>
    <n v="379.07067515923518"/>
    <n v="0.28697271536834973"/>
  </r>
  <r>
    <s v="519517082"/>
    <s v="710000895722"/>
    <s v="iHerb_MH DLE7202"/>
    <s v="Доставлен"/>
    <d v="2023-07-25T00:00:00"/>
    <x v="13"/>
    <s v="Витамины"/>
    <s v="CEN-27438"/>
    <x v="2"/>
    <x v="711"/>
    <n v="24.86"/>
    <n v="-3.72"/>
    <n v="-1.5028641873844262"/>
    <n v="7.4070466902659646E-15"/>
    <n v="1.1437545369781503"/>
    <n v="2094.8571588247391"/>
    <n v="3100"/>
    <x v="420"/>
    <s v="&lt;Клиент не выбран&gt;"/>
    <s v="2023 10"/>
    <n v="1005.1428411752609"/>
    <n v="0.47981450044983881"/>
  </r>
  <r>
    <s v="519517082"/>
    <s v="710000895722"/>
    <s v="iHerb_MH DLE7202"/>
    <s v="Доставлен"/>
    <d v="2023-07-25T00:00:00"/>
    <x v="13"/>
    <s v="Спортпит"/>
    <s v="NOW-02038"/>
    <x v="3"/>
    <x v="575"/>
    <n v="34.659999999999997"/>
    <n v="-5.19"/>
    <n v="-2.0950523936716667"/>
    <n v="1.0325717405966791E-14"/>
    <n v="1.5944392717476861"/>
    <n v="2920.3141187589895"/>
    <n v="3800"/>
    <x v="98"/>
    <s v="&lt;Клиент не выбран&gt;"/>
    <s v="2023 09"/>
    <n v="879.68588124101052"/>
    <n v="0.3012298833164016"/>
  </r>
  <r>
    <s v="519517082"/>
    <s v="710000895722"/>
    <s v="iHerb_MH DLE7202"/>
    <s v="Доставлен"/>
    <d v="2023-07-25T00:00:00"/>
    <x v="13"/>
    <s v="Витамины"/>
    <s v="NOW-02008"/>
    <x v="3"/>
    <x v="648"/>
    <n v="22.72"/>
    <n v="-3.4"/>
    <n v="-1.3734785288678864"/>
    <n v="6.7693539288523394E-15"/>
    <n v="1.0452856033310247"/>
    <n v="1914.5052179987681"/>
    <n v="1914.51"/>
    <x v="201"/>
    <s v="&lt;Клиент не выбран&gt;"/>
    <s v="2023 11"/>
    <n v="4.782001231887989E-3"/>
    <n v="2.4977739349734519E-6"/>
  </r>
  <r>
    <s v="519517082"/>
    <s v="710000895722"/>
    <s v="iHerb_MH DLE7202"/>
    <s v="Доставлен"/>
    <d v="2023-07-25T00:00:00"/>
    <x v="13"/>
    <s v="Спортпит"/>
    <s v="OPN-05223"/>
    <x v="178"/>
    <x v="697"/>
    <n v="36.56"/>
    <n v="-5.48"/>
    <n v="-2.2095089377439909"/>
    <n v="1.0889830233371155E-14"/>
    <n v="1.6815464053586051"/>
    <n v="3079.8562202588878"/>
    <n v="3900"/>
    <x v="98"/>
    <s v="&lt;Клиент не выбран&gt;"/>
    <s v="2023 09"/>
    <n v="820.14377974111221"/>
    <n v="0.26629287898127019"/>
  </r>
  <r>
    <s v="519517082"/>
    <s v="710000895722"/>
    <s v="iHerb_MH DLE7202"/>
    <s v="Доставлен"/>
    <d v="2023-07-25T00:00:00"/>
    <x v="13"/>
    <s v="Витамины"/>
    <s v="SNS-01295"/>
    <x v="151"/>
    <x v="712"/>
    <n v="30.7"/>
    <n v="-12.7"/>
    <n v="-1.2796383809328133"/>
    <n v="6.3068514865083905E-15"/>
    <n v="0.97386857453201059"/>
    <n v="1783.7005136634484"/>
    <n v="3500"/>
    <x v="391"/>
    <s v="&lt;Клиент не выбран&gt;"/>
    <s v="2024 01"/>
    <n v="1716.2994863365516"/>
    <n v="0.96221281161798544"/>
  </r>
  <r>
    <s v="519517082"/>
    <s v="710000895722"/>
    <s v="iHerb_MH DLE7202"/>
    <s v="Доставлен"/>
    <d v="2023-07-25T00:00:00"/>
    <x v="13"/>
    <s v="Витамины"/>
    <s v="NWY-03502"/>
    <x v="16"/>
    <x v="74"/>
    <n v="17.14"/>
    <n v="-2.57"/>
    <n v="-1.0357961783439493"/>
    <n v="5.1050458976904026E-15"/>
    <n v="0.78829250727396638"/>
    <n v="1443.8064713375804"/>
    <n v="2300"/>
    <x v="359"/>
    <s v="&lt;Клиент не выбран&gt;"/>
    <s v="2023 12"/>
    <n v="856.19352866241957"/>
    <n v="0.5930112834784701"/>
  </r>
  <r>
    <s v="519517082"/>
    <s v="710000895722"/>
    <s v="iHerb_MH DLE7202"/>
    <s v="Доставлен"/>
    <d v="2023-07-25T00:00:00"/>
    <x v="13"/>
    <s v="Витамины"/>
    <s v="NWY-03502"/>
    <x v="16"/>
    <x v="74"/>
    <n v="17.14"/>
    <n v="-2.57"/>
    <n v="-1.0357961783439493"/>
    <n v="5.1050458976904026E-15"/>
    <n v="0.78829250727396638"/>
    <n v="1443.8064713375804"/>
    <n v="2600"/>
    <x v="421"/>
    <s v="&lt;Клиент не выбран&gt;"/>
    <s v="2024 02"/>
    <n v="1156.1935286624196"/>
    <n v="0.80079536393218365"/>
  </r>
  <r>
    <s v="519517082"/>
    <s v="710000895722"/>
    <s v="iHerb_MH DLE7202"/>
    <s v="Доставлен"/>
    <d v="2023-07-25T00:00:00"/>
    <x v="13"/>
    <s v="Витамины"/>
    <s v="NWY-03502"/>
    <x v="16"/>
    <x v="74"/>
    <n v="17.14"/>
    <n v="-2.57"/>
    <n v="-1.0357961783439493"/>
    <n v="5.1050458976904026E-15"/>
    <n v="0.78829250727396638"/>
    <n v="1443.8064713375804"/>
    <n v="2500"/>
    <x v="374"/>
    <s v="&lt;Клиент не выбран&gt;"/>
    <s v="2024 05"/>
    <n v="1056.1935286624196"/>
    <n v="0.7315340037809458"/>
  </r>
  <r>
    <s v="519517082"/>
    <s v="710000895722"/>
    <s v="iHerb_MH DLE7202"/>
    <s v="Доставлен"/>
    <d v="2023-07-25T00:00:00"/>
    <x v="13"/>
    <s v="Витамины"/>
    <s v="NOW-02644"/>
    <x v="3"/>
    <x v="21"/>
    <n v="23"/>
    <n v="-3.45"/>
    <n v="-1.389829463735361"/>
    <n v="6.8499414756243913E-15"/>
    <n v="1.057729479561156"/>
    <n v="1937.2969467844678"/>
    <n v="2800"/>
    <x v="98"/>
    <s v="&lt;Клиент не выбран&gt;"/>
    <s v="2023 09"/>
    <n v="862.70305321553224"/>
    <n v="0.44531276149866944"/>
  </r>
  <r>
    <s v="519517082"/>
    <s v="710000895722"/>
    <s v="iHerb_MH DLE7202"/>
    <s v="Доставлен"/>
    <d v="2023-07-25T00:00:00"/>
    <x v="13"/>
    <s v="Витамины"/>
    <s v="NOW-02644"/>
    <x v="3"/>
    <x v="21"/>
    <n v="23"/>
    <n v="-3.45"/>
    <n v="-1.389829463735361"/>
    <n v="6.8499414756243913E-15"/>
    <n v="1.057729479561156"/>
    <n v="1937.2969467844678"/>
    <n v="3000"/>
    <x v="273"/>
    <s v="&lt;Клиент не выбран&gt;"/>
    <s v="2023 09"/>
    <n v="1062.7030532155322"/>
    <n v="0.54854938732000302"/>
  </r>
  <r>
    <s v="519689083"/>
    <s v="710000910338"/>
    <s v="iHerb_AV CYG0792"/>
    <s v="Доставлен"/>
    <d v="2023-08-04T00:00:00"/>
    <x v="14"/>
    <s v="Витамины"/>
    <s v="TEO-00757"/>
    <x v="181"/>
    <x v="713"/>
    <n v="27.95"/>
    <n v="-5.59"/>
    <n v="-1.9253395784543326"/>
    <n v="3.4611917807517764E-15"/>
    <n v="1.4788340936116586"/>
    <n v="2250.826697892272"/>
    <n v="2900"/>
    <x v="327"/>
    <s v="&lt;Клиент не выбран&gt;"/>
    <s v="2023 08"/>
    <n v="649.17330210772798"/>
    <n v="0.28841549761055768"/>
  </r>
  <r>
    <s v="519689083"/>
    <s v="710000910338"/>
    <s v="iHerb_AV CYG0792"/>
    <s v="Доставлен"/>
    <d v="2023-08-04T00:00:00"/>
    <x v="14"/>
    <s v="Витамины"/>
    <s v="NOW-01480"/>
    <x v="3"/>
    <x v="165"/>
    <n v="6.14"/>
    <n v="-1.23"/>
    <n v="-0.42278252818473944"/>
    <n v="7.6003808781266647E-16"/>
    <n v="0.32473503576177298"/>
    <n v="494.25577310604007"/>
    <n v="1000"/>
    <x v="215"/>
    <s v="&lt;Клиент не выбран&gt;"/>
    <s v="2023 11"/>
    <n v="505.74422689395993"/>
    <n v="1.023243944558752"/>
  </r>
  <r>
    <s v="519689083"/>
    <s v="710000910338"/>
    <s v="iHerb_AV CYG0792"/>
    <s v="Доставлен"/>
    <d v="2023-08-04T00:00:00"/>
    <x v="14"/>
    <s v="Витамины"/>
    <s v="NOW-01480"/>
    <x v="3"/>
    <x v="165"/>
    <n v="6.14"/>
    <n v="-1.23"/>
    <n v="-0.42278252818473944"/>
    <n v="7.6003808781266647E-16"/>
    <n v="0.32473503576177298"/>
    <n v="494.25577310604007"/>
    <n v="1100"/>
    <x v="422"/>
    <s v="&lt;Клиент не выбран&gt;"/>
    <s v="2024 01"/>
    <n v="605.74422689395988"/>
    <n v="1.225568339014627"/>
  </r>
  <r>
    <s v="519689083"/>
    <s v="710000910338"/>
    <s v="iHerb_AV CYG0792"/>
    <s v="Доставлен"/>
    <d v="2023-08-04T00:00:00"/>
    <x v="14"/>
    <s v="Витамины"/>
    <s v="NOW-01552"/>
    <x v="3"/>
    <x v="514"/>
    <n v="13.51"/>
    <n v="-2.7"/>
    <n v="-0.93081041337617776"/>
    <n v="1.6733221444511046E-15"/>
    <n v="0.71494617853050213"/>
    <n v="1088.1680055552531"/>
    <n v="1600"/>
    <x v="423"/>
    <s v="&lt;Клиент не выбран&gt;"/>
    <s v="2023 09"/>
    <n v="511.8319944447469"/>
    <n v="0.470361186720958"/>
  </r>
  <r>
    <s v="519689083"/>
    <s v="710000910338"/>
    <s v="iHerb_AV CYG0792"/>
    <s v="Доставлен"/>
    <d v="2023-08-04T00:00:00"/>
    <x v="14"/>
    <s v="Витамины"/>
    <s v="NOW-02680"/>
    <x v="3"/>
    <x v="714"/>
    <n v="10.65"/>
    <n v="-2.13"/>
    <n v="-0.73362670878492464"/>
    <n v="1.3188440953490668E-15"/>
    <n v="0.56349134515077504"/>
    <n v="857.64952889276185"/>
    <n v="1500"/>
    <x v="297"/>
    <s v="&lt;Клиент не выбран&gt;"/>
    <s v="2023 09"/>
    <n v="642.35047110723815"/>
    <n v="0.74896615629990737"/>
  </r>
  <r>
    <s v="519689083"/>
    <s v="710000910338"/>
    <s v="iHerb_AV CYG0792"/>
    <s v="Доставлен"/>
    <d v="2023-08-04T00:00:00"/>
    <x v="14"/>
    <s v="Витамины"/>
    <s v="NOW-02680"/>
    <x v="3"/>
    <x v="714"/>
    <n v="10.65"/>
    <n v="-2.13"/>
    <n v="-0.73362670878492464"/>
    <n v="1.3188440953490668E-15"/>
    <n v="0.56349134515077504"/>
    <n v="857.64952889276185"/>
    <n v="1600"/>
    <x v="392"/>
    <s v="&lt;Клиент не выбран&gt;"/>
    <s v="2024 02"/>
    <n v="742.35047110723815"/>
    <n v="0.86556390005323447"/>
  </r>
  <r>
    <s v="519689083"/>
    <s v="710000910338"/>
    <s v="iHerb_AV CYG0792"/>
    <s v="Доставлен"/>
    <d v="2023-08-04T00:00:00"/>
    <x v="14"/>
    <s v="Витамины"/>
    <s v="NOW-01486"/>
    <x v="3"/>
    <x v="401"/>
    <n v="15.14"/>
    <n v="-3.03"/>
    <n v="-1.0427487609607322"/>
    <n v="1.8745542247273709E-15"/>
    <n v="0.80092490490327317"/>
    <n v="1219.0300228745714"/>
    <n v="1900"/>
    <x v="327"/>
    <s v="&lt;Клиент не выбран&gt;"/>
    <s v="2023 08"/>
    <n v="680.96997712542861"/>
    <n v="0.5586162476291161"/>
  </r>
  <r>
    <s v="519689083"/>
    <s v="710000910338"/>
    <s v="iHerb_AV CYG0792"/>
    <s v="Доставлен"/>
    <d v="2023-08-04T00:00:00"/>
    <x v="14"/>
    <s v="Витамины"/>
    <s v="NOW-01486"/>
    <x v="3"/>
    <x v="401"/>
    <n v="15.14"/>
    <n v="-3.03"/>
    <n v="-1.0427487609607322"/>
    <n v="1.8745542247273709E-15"/>
    <n v="0.80092490490327317"/>
    <n v="1219.0300228745714"/>
    <n v="1900"/>
    <x v="327"/>
    <s v="&lt;Клиент не выбран&gt;"/>
    <s v="2023 08"/>
    <n v="680.96997712542861"/>
    <n v="0.5586162476291161"/>
  </r>
  <r>
    <s v="519689083"/>
    <s v="710000910338"/>
    <s v="iHerb_AV CYG0792"/>
    <s v="Доставлен"/>
    <d v="2023-08-04T00:00:00"/>
    <x v="14"/>
    <s v="Витамины"/>
    <s v="NOW-01293"/>
    <x v="3"/>
    <x v="715"/>
    <n v="24.77"/>
    <n v="-4.95"/>
    <n v="-1.7066292685583575"/>
    <n v="3.0680152546735336E-15"/>
    <n v="1.3108448897756295"/>
    <n v="1995.1424486683736"/>
    <n v="3000"/>
    <x v="327"/>
    <s v="&lt;Клиент не выбран&gt;"/>
    <s v="2023 08"/>
    <n v="1004.8575513316264"/>
    <n v="0.50365203346873944"/>
  </r>
  <r>
    <s v="519689083"/>
    <s v="710000910338"/>
    <s v="iHerb_AV CYG0792"/>
    <s v="Доставлен"/>
    <d v="2023-08-04T00:00:00"/>
    <x v="14"/>
    <s v="Витамины"/>
    <s v="NOW-04603"/>
    <x v="3"/>
    <x v="147"/>
    <n v="10.34"/>
    <n v="-1.03"/>
    <n v="-0.80165078154784608"/>
    <n v="1.4411312825938748E-15"/>
    <n v="0.6157399557926897"/>
    <n v="937.17337018680928"/>
    <n v="1700"/>
    <x v="384"/>
    <s v="&lt;Клиент не выбран&gt;"/>
    <s v="2024 02"/>
    <n v="762.82662981319072"/>
    <n v="0.81396532816669176"/>
  </r>
  <r>
    <s v="519689083"/>
    <s v="710000910338"/>
    <s v="iHerb_AV CYG0792"/>
    <s v="Доставлен"/>
    <d v="2023-08-04T00:00:00"/>
    <x v="14"/>
    <s v="Витамины"/>
    <s v="NFS-02101"/>
    <x v="23"/>
    <x v="716"/>
    <n v="14.98"/>
    <n v="-2.9950000000000001"/>
    <n v="-1.031985458308371"/>
    <n v="1.8552049862392683E-15"/>
    <n v="0.792657719675122"/>
    <n v="1206.4471365938675"/>
    <n v="2100"/>
    <x v="424"/>
    <s v="&lt;Клиент не выбран&gt;"/>
    <s v="2023 12"/>
    <n v="893.55286340613247"/>
    <n v="0.74064816957407542"/>
  </r>
  <r>
    <s v="519689083"/>
    <s v="710000910338"/>
    <s v="iHerb_AV CYG0792"/>
    <s v="Доставлен"/>
    <d v="2023-08-04T00:00:00"/>
    <x v="14"/>
    <s v="Витамины"/>
    <s v="NFS-02101"/>
    <x v="23"/>
    <x v="716"/>
    <n v="14.98"/>
    <n v="-2.9950000000000001"/>
    <n v="-1.031985458308371"/>
    <n v="1.8552049862392683E-15"/>
    <n v="0.792657719675122"/>
    <n v="1206.4471365938675"/>
    <n v="2100"/>
    <x v="322"/>
    <s v="&lt;Клиент не выбран&gt;"/>
    <s v="2024 01"/>
    <n v="893.55286340613247"/>
    <n v="0.74064816957407542"/>
  </r>
  <r>
    <s v="519689083"/>
    <s v="710000910338"/>
    <s v="iHerb_AV CYG0792"/>
    <s v="Доставлен"/>
    <d v="2023-08-04T00:00:00"/>
    <x v="14"/>
    <s v="Витамины"/>
    <s v="CAR-01524"/>
    <x v="154"/>
    <x v="717"/>
    <n v="30.25"/>
    <n v="-3.03"/>
    <n v="-2.3438167855781278"/>
    <n v="4.2134901731692019E-15"/>
    <n v="1.8002622552821712"/>
    <n v="2740.0493164860304"/>
    <n v="3500"/>
    <x v="327"/>
    <s v="&lt;Клиент не выбран&gt;"/>
    <s v="2023 08"/>
    <n v="759.95068351396958"/>
    <n v="0.27734927212498733"/>
  </r>
  <r>
    <s v="519689083"/>
    <s v="710000910338"/>
    <s v="iHerb_AV CYG0792"/>
    <s v="Доставлен"/>
    <d v="2023-08-04T00:00:00"/>
    <x v="14"/>
    <s v="Витамины"/>
    <s v="NFS-01041"/>
    <x v="23"/>
    <x v="718"/>
    <n v="6.36"/>
    <n v="-3.18"/>
    <n v="-0.27381841947606345"/>
    <n v="4.9224462713732775E-16"/>
    <n v="0.21031719220416256"/>
    <n v="320.10862698110134"/>
    <n v="1000"/>
    <x v="293"/>
    <s v="&lt;Клиент не выбран&gt;"/>
    <s v="2023 09"/>
    <n v="679.89137301889866"/>
    <n v="2.1239395496174436"/>
  </r>
  <r>
    <s v="519689083"/>
    <s v="710000910338"/>
    <s v="iHerb_AV CYG0792"/>
    <s v="Доставлен"/>
    <d v="2023-08-04T00:00:00"/>
    <x v="14"/>
    <s v="Спортпит"/>
    <s v="EVL-02018"/>
    <x v="125"/>
    <x v="536"/>
    <n v="19.829999999999998"/>
    <n v="-3.97"/>
    <n v="-1.3656478405315615"/>
    <n v="2.4550313793704457E-15"/>
    <n v="1.0489404617478042"/>
    <n v="1596.5166112956811"/>
    <n v="2500"/>
    <x v="425"/>
    <s v="&lt;Клиент не выбран&gt;"/>
    <s v="2024 03"/>
    <n v="903.48338870431894"/>
    <n v="0.56590916894443155"/>
  </r>
  <r>
    <s v="519498996"/>
    <s v="710000894435"/>
    <s v="iHerb_OA CZN6870"/>
    <s v="Доставлен"/>
    <d v="2023-07-24T00:00:00"/>
    <x v="13"/>
    <s v="Витамины"/>
    <s v="NOW-01448"/>
    <x v="3"/>
    <x v="719"/>
    <n v="10.89"/>
    <n v="-1.66"/>
    <n v="-0.75649505766062608"/>
    <n v="1.8007439459268881E-15"/>
    <n v="0.83702858794800217"/>
    <n v="935.37445977484913"/>
    <n v="1500"/>
    <x v="39"/>
    <s v="&lt;Клиент не выбран&gt;"/>
    <s v="2023 09"/>
    <n v="564.62554022515087"/>
    <n v="0.60363583196515758"/>
  </r>
  <r>
    <s v="519498996"/>
    <s v="710000894435"/>
    <s v="iHerb_OA CZN6870"/>
    <s v="Доставлен"/>
    <d v="2023-07-24T00:00:00"/>
    <x v="13"/>
    <s v="Витамины"/>
    <s v="NOW-02952"/>
    <x v="3"/>
    <x v="720"/>
    <n v="29.53"/>
    <n v="-4.42"/>
    <n v="-2.0580271828665571"/>
    <n v="4.8988819590708726E-15"/>
    <n v="2.2771167760968938"/>
    <n v="2544.6644295716642"/>
    <n v="3000"/>
    <x v="426"/>
    <s v="&lt;Клиент не выбран&gt;"/>
    <s v="2023 09"/>
    <n v="455.33557042833581"/>
    <n v="0.17893737387800918"/>
  </r>
  <r>
    <s v="519498996"/>
    <s v="710000894435"/>
    <s v="iHerb_OA CZN6870"/>
    <s v="Доставлен"/>
    <d v="2023-07-24T00:00:00"/>
    <x v="13"/>
    <s v="Спортпит"/>
    <s v="EVL-02018"/>
    <x v="125"/>
    <x v="536"/>
    <n v="19.829999999999998"/>
    <n v="-2.97"/>
    <n v="-1.3818533772652388"/>
    <n v="3.2893329283128202E-15"/>
    <n v="1.5289601292311286"/>
    <n v="1708.6038344316312"/>
    <m/>
    <x v="20"/>
    <m/>
    <s v=""/>
    <n v="-1708.6038344316312"/>
    <s v=""/>
  </r>
  <r>
    <s v="519498996"/>
    <s v="710000894435"/>
    <s v="iHerb_OA CZN6870"/>
    <s v="Доставлен"/>
    <d v="2023-07-24T00:00:00"/>
    <x v="13"/>
    <s v="Витамины"/>
    <s v="HEE-31006"/>
    <x v="182"/>
    <x v="721"/>
    <n v="13.02"/>
    <n v="-1.95"/>
    <n v="-0.90730230642504139"/>
    <n v="2.1597221539989871E-15"/>
    <n v="1.0038901916126093"/>
    <n v="1121.8413076606262"/>
    <n v="1600"/>
    <x v="327"/>
    <s v="&lt;Клиент не выбран&gt;"/>
    <s v="2023 08"/>
    <n v="478.15869233937383"/>
    <n v="0.42622667669144521"/>
  </r>
  <r>
    <s v="519498996"/>
    <s v="710000894435"/>
    <s v="iHerb_OA CZN6870"/>
    <s v="Доставлен"/>
    <d v="2023-07-24T00:00:00"/>
    <x v="13"/>
    <s v="Витамины"/>
    <s v="NOW-02644"/>
    <x v="3"/>
    <x v="21"/>
    <n v="23"/>
    <n v="-3.4499999999999997"/>
    <n v="-1.6023270181219111"/>
    <n v="3.814143460766052E-15"/>
    <n v="1.7729045389364511"/>
    <n v="1981.2102587863815"/>
    <n v="2900"/>
    <x v="179"/>
    <s v="&lt;Клиент не выбран&gt;"/>
    <s v="2023 10"/>
    <n v="918.78974121361853"/>
    <n v="0.46375175837037924"/>
  </r>
  <r>
    <s v="519498996"/>
    <s v="710000894435"/>
    <s v="iHerb_OA CZN6870"/>
    <s v="Доставлен"/>
    <d v="2023-07-24T00:00:00"/>
    <x v="13"/>
    <s v="Витамины"/>
    <s v="NOW-02644"/>
    <x v="3"/>
    <x v="21"/>
    <n v="23"/>
    <n v="-3.4499999999999997"/>
    <n v="-1.6023270181219111"/>
    <n v="3.814143460766052E-15"/>
    <n v="1.7729045389364511"/>
    <n v="1981.2102587863815"/>
    <n v="2900"/>
    <x v="179"/>
    <s v="&lt;Клиент не выбран&gt;"/>
    <s v="2023 10"/>
    <n v="918.78974121361853"/>
    <n v="0.46375175837037924"/>
  </r>
  <r>
    <s v="519498996"/>
    <s v="710000894435"/>
    <s v="iHerb_OA CZN6870"/>
    <s v="Доставлен"/>
    <d v="2023-07-24T00:00:00"/>
    <x v="13"/>
    <s v="Витамины"/>
    <s v="NOW-02644"/>
    <x v="3"/>
    <x v="21"/>
    <n v="23"/>
    <n v="-3.4499999999999997"/>
    <n v="-1.6023270181219111"/>
    <n v="3.814143460766052E-15"/>
    <n v="1.7729045389364511"/>
    <n v="1981.2102587863815"/>
    <n v="2800"/>
    <x v="348"/>
    <s v="&lt;Клиент не выбран&gt;"/>
    <s v="2023 10"/>
    <n v="818.78974121361853"/>
    <n v="0.41327755980588343"/>
  </r>
  <r>
    <s v="519498996"/>
    <s v="710000894435"/>
    <s v="iHerb_OA CZN6870"/>
    <s v="Доставлен"/>
    <d v="2023-07-24T00:00:00"/>
    <x v="13"/>
    <s v="Витамины"/>
    <s v="LKN-01542"/>
    <x v="90"/>
    <x v="300"/>
    <n v="14.56"/>
    <n v="-2.1800000000000002"/>
    <n v="-1.0146705107084022"/>
    <n v="2.4152990303981446E-15"/>
    <n v="1.1226883985694764"/>
    <n v="1254.5975961010436"/>
    <n v="2200"/>
    <x v="276"/>
    <s v="&lt;Клиент не выбран&gt;"/>
    <s v="2023 09"/>
    <n v="945.40240389895644"/>
    <n v="0.75355030715586913"/>
  </r>
  <r>
    <s v="519498996"/>
    <s v="710000894435"/>
    <s v="iHerb_OA CZN6870"/>
    <s v="Доставлен"/>
    <d v="2023-07-24T00:00:00"/>
    <x v="13"/>
    <s v="Витамины"/>
    <s v="LKN-01542"/>
    <x v="90"/>
    <x v="300"/>
    <n v="14.56"/>
    <n v="-2.1800000000000002"/>
    <n v="-1.0146705107084022"/>
    <n v="2.4152990303981446E-15"/>
    <n v="1.1226883985694764"/>
    <n v="1254.5975961010436"/>
    <n v="2500"/>
    <x v="427"/>
    <s v="&lt;Клиент не выбран&gt;"/>
    <s v="2024 06"/>
    <n v="1245.4024038989564"/>
    <n v="0.99267080358621496"/>
  </r>
  <r>
    <s v="519770626"/>
    <s v="710000917468"/>
    <s v="iHerb_OA CZN6870"/>
    <s v="Доставлен"/>
    <d v="2023-08-08T00:00:00"/>
    <x v="14"/>
    <s v="Витамины"/>
    <s v="NAP-01480"/>
    <x v="11"/>
    <x v="488"/>
    <n v="9.35"/>
    <n v="-0.94"/>
    <n v="-0.7059025153837849"/>
    <n v="-2.5804445245568138E-15"/>
    <n v="0.39702336835986501"/>
    <n v="861.48887725358929"/>
    <n v="1400"/>
    <x v="130"/>
    <s v="&lt;Клиент не выбран&gt;"/>
    <s v="2023 09"/>
    <n v="538.51112274641071"/>
    <n v="0.62509352931308215"/>
  </r>
  <r>
    <s v="519770626"/>
    <s v="710000917468"/>
    <s v="iHerb_OA CZN6870"/>
    <s v="Доставлен"/>
    <d v="2023-08-08T00:00:00"/>
    <x v="14"/>
    <s v="Витамины"/>
    <s v="NFS-39184"/>
    <x v="183"/>
    <x v="722"/>
    <n v="36.979999999999997"/>
    <n v="-7.3949999999999996"/>
    <n v="-2.4832492173162035"/>
    <n v="-9.0775804112976598E-15"/>
    <n v="1.3966630621791445"/>
    <n v="3030.5765081507056"/>
    <n v="3030.58"/>
    <x v="383"/>
    <s v="&lt;Клиент не выбран&gt;"/>
    <s v="2023 08"/>
    <n v="3.4918492942779267E-3"/>
    <n v="1.1522062831565651E-6"/>
  </r>
  <r>
    <s v="519770626"/>
    <s v="710000917468"/>
    <s v="iHerb_OA CZN6870"/>
    <s v="Доставлен"/>
    <d v="2023-08-08T00:00:00"/>
    <x v="14"/>
    <s v="Витамины"/>
    <s v="NFS-39184"/>
    <x v="183"/>
    <x v="722"/>
    <n v="36.979999999999997"/>
    <n v="-7.3949999999999996"/>
    <n v="-2.4832492173162035"/>
    <n v="-9.0775804112976598E-15"/>
    <n v="1.3966630621791445"/>
    <n v="3030.5765081507056"/>
    <n v="4000"/>
    <x v="273"/>
    <s v="&lt;Клиент не выбран&gt;"/>
    <s v="2023 09"/>
    <n v="969.42349184929435"/>
    <n v="0.31988088379951451"/>
  </r>
  <r>
    <s v="519770626"/>
    <s v="710000917468"/>
    <s v="iHerb_OA CZN6870"/>
    <s v="Доставлен"/>
    <d v="2023-08-08T00:00:00"/>
    <x v="14"/>
    <s v="Витамины"/>
    <s v="NOW-01552"/>
    <x v="3"/>
    <x v="514"/>
    <n v="13.51"/>
    <n v="-2.7"/>
    <n v="-0.90734913095109548"/>
    <n v="-3.3168377301378303E-15"/>
    <n v="0.51032373507373852"/>
    <n v="1107.3358814638882"/>
    <n v="1800"/>
    <x v="198"/>
    <s v="&lt;Клиент не выбран&gt;"/>
    <s v="2023 11"/>
    <n v="692.6641185361118"/>
    <n v="0.62552305053134916"/>
  </r>
  <r>
    <s v="519770626"/>
    <s v="710000917468"/>
    <s v="iHerb_OA CZN6870"/>
    <s v="Доставлен"/>
    <d v="2023-08-08T00:00:00"/>
    <x v="14"/>
    <s v="Витамины"/>
    <s v="NOW-01552"/>
    <x v="3"/>
    <x v="514"/>
    <n v="13.51"/>
    <n v="-2.7"/>
    <n v="-0.90734913095109548"/>
    <n v="-3.3168377301378303E-15"/>
    <n v="0.51032373507373852"/>
    <n v="1107.3358814638882"/>
    <n v="1900"/>
    <x v="428"/>
    <s v="&lt;Клиент не выбран&gt;"/>
    <s v="2023 12"/>
    <n v="792.6641185361118"/>
    <n v="0.71582988667197966"/>
  </r>
  <r>
    <s v="519770626"/>
    <s v="710000917468"/>
    <s v="iHerb_OA CZN6870"/>
    <s v="Доставлен"/>
    <d v="2023-08-08T00:00:00"/>
    <x v="14"/>
    <s v="Витамины"/>
    <s v="SOR-04710"/>
    <x v="10"/>
    <x v="723"/>
    <n v="6.32"/>
    <n v="-1.2649999999999999"/>
    <n v="-0.42429693403864832"/>
    <n v="-1.5510281892550171E-15"/>
    <n v="0.23863889739109606"/>
    <n v="517.81525261794229"/>
    <n v="1200"/>
    <x v="429"/>
    <s v="&lt;Клиент не выбран&gt;"/>
    <s v="2023 09"/>
    <n v="682.18474738205771"/>
    <n v="1.3174288395969509"/>
  </r>
  <r>
    <s v="519770626"/>
    <s v="710000917468"/>
    <s v="iHerb_OA CZN6870"/>
    <s v="Доставлен"/>
    <d v="2023-08-08T00:00:00"/>
    <x v="14"/>
    <s v="Витамины"/>
    <s v="SOR-04710"/>
    <x v="10"/>
    <x v="723"/>
    <n v="6.32"/>
    <n v="-1.2649999999999999"/>
    <n v="-0.42429693403864832"/>
    <n v="-1.5510281892550171E-15"/>
    <n v="0.23863889739109606"/>
    <n v="517.81525261794229"/>
    <n v="1200"/>
    <x v="430"/>
    <s v="&lt;Клиент не выбран&gt;"/>
    <s v="2023 10"/>
    <n v="682.18474738205771"/>
    <n v="1.3174288395969509"/>
  </r>
  <r>
    <s v="519770626"/>
    <s v="710000917468"/>
    <s v="iHerb_OA CZN6870"/>
    <s v="Доставлен"/>
    <d v="2023-08-08T00:00:00"/>
    <x v="14"/>
    <s v="Витамины"/>
    <s v="NOW-01283"/>
    <x v="3"/>
    <x v="343"/>
    <n v="17.43"/>
    <n v="-3.49"/>
    <n v="-1.1700690920867967"/>
    <n v="-4.2772172024164066E-15"/>
    <n v="0.65808629666308183"/>
    <n v="1427.96134945482"/>
    <n v="2400"/>
    <x v="31"/>
    <s v="&lt;Клиент не выбран&gt;"/>
    <s v="2023 09"/>
    <n v="972.03865054517996"/>
    <n v="0.68071775956421621"/>
  </r>
  <r>
    <s v="519770626"/>
    <s v="710000917468"/>
    <s v="iHerb_OA CZN6870"/>
    <s v="Доставлен"/>
    <d v="2023-08-08T00:00:00"/>
    <x v="14"/>
    <s v="Витамины"/>
    <s v="NOW-01298"/>
    <x v="3"/>
    <x v="392"/>
    <n v="24.24"/>
    <n v="-4.8499999999999996"/>
    <n v="-1.6275207816042314"/>
    <n v="-5.9494434400899665E-15"/>
    <n v="0.91537254607583629"/>
    <n v="1986.238921515707"/>
    <n v="3100"/>
    <x v="179"/>
    <s v="&lt;Клиент не выбран&gt;"/>
    <s v="2023 10"/>
    <n v="1113.761078484293"/>
    <n v="0.56073872403747749"/>
  </r>
  <r>
    <s v="519770626"/>
    <s v="710000917468"/>
    <s v="iHerb_OA CZN6870"/>
    <s v="Доставлен"/>
    <d v="2023-08-08T00:00:00"/>
    <x v="14"/>
    <s v="Витамины"/>
    <s v="CAL-62827"/>
    <x v="138"/>
    <x v="724"/>
    <n v="9.9"/>
    <n v="-1.98"/>
    <n v="-0.66477383137212553"/>
    <n v="-2.4300975784173559E-15"/>
    <n v="0.37389121015578247"/>
    <n v="811.29511389398658"/>
    <n v="1600"/>
    <x v="367"/>
    <s v="&lt;Клиент не выбран&gt;"/>
    <s v="2023 09"/>
    <n v="788.70488610601342"/>
    <n v="0.97215535086912275"/>
  </r>
  <r>
    <s v="519770626"/>
    <s v="710000917468"/>
    <s v="iHerb_OA CZN6870"/>
    <s v="Доставлен"/>
    <d v="2023-08-08T00:00:00"/>
    <x v="14"/>
    <s v="Витамины"/>
    <s v="CAL-62827"/>
    <x v="138"/>
    <x v="724"/>
    <n v="9.9"/>
    <n v="-1.98"/>
    <n v="-0.66477383137212553"/>
    <n v="-2.4300975784173559E-15"/>
    <n v="0.37389121015578247"/>
    <n v="811.29511389398658"/>
    <n v="1600"/>
    <x v="429"/>
    <s v="&lt;Клиент не выбран&gt;"/>
    <s v="2023 09"/>
    <n v="788.70488610601342"/>
    <n v="0.97215535086912275"/>
  </r>
  <r>
    <s v="519770626"/>
    <s v="710000917468"/>
    <s v="iHerb_OA CZN6870"/>
    <s v="Доставлен"/>
    <d v="2023-08-08T00:00:00"/>
    <x v="14"/>
    <s v="Витамины"/>
    <s v="JRW-13007"/>
    <x v="21"/>
    <x v="448"/>
    <n v="14.86"/>
    <n v="-2.97"/>
    <n v="-0.99800010795638538"/>
    <n v="-3.6482146726492877E-15"/>
    <n v="0.56130890009498147"/>
    <n v="1217.9670333585229"/>
    <n v="2000"/>
    <x v="31"/>
    <s v="&lt;Клиент не выбран&gt;"/>
    <s v="2023 09"/>
    <n v="782.03296664147706"/>
    <n v="0.64208056968917682"/>
  </r>
  <r>
    <s v="519770626"/>
    <s v="710000917468"/>
    <s v="iHerb_OA CZN6870"/>
    <s v="Доставлен"/>
    <d v="2023-08-08T00:00:00"/>
    <x v="14"/>
    <s v="Витамины"/>
    <s v="JRW-13007"/>
    <x v="21"/>
    <x v="448"/>
    <n v="14.86"/>
    <n v="-2.97"/>
    <n v="-0.99800010795638538"/>
    <n v="-3.6482146726492877E-15"/>
    <n v="0.56130890009498147"/>
    <n v="1217.9670333585229"/>
    <n v="2000"/>
    <x v="431"/>
    <s v="&lt;Клиент не выбран&gt;"/>
    <s v="2023 10"/>
    <n v="782.03296664147706"/>
    <n v="0.64208056968917682"/>
  </r>
  <r>
    <s v="519770626"/>
    <s v="710000917468"/>
    <s v="iHerb_OA CZN6870"/>
    <s v="Доставлен"/>
    <d v="2023-08-08T00:00:00"/>
    <x v="14"/>
    <s v="Витамины"/>
    <s v="RHS-20001"/>
    <x v="153"/>
    <x v="578"/>
    <n v="21.87"/>
    <n v="-8.8699999999999992"/>
    <n v="-1.0911691676562667"/>
    <n v="-3.9887965302305094E-15"/>
    <n v="0.61371031970014811"/>
    <n v="1331.6712728057864"/>
    <n v="2200"/>
    <x v="151"/>
    <s v="&lt;Клиент не выбран&gt;"/>
    <s v="2023 09"/>
    <n v="868.32872719421357"/>
    <n v="0.65205936699728773"/>
  </r>
  <r>
    <s v="519604300"/>
    <s v="710000902643"/>
    <s v="iHerb_VP DFD1605"/>
    <s v="Доставлен"/>
    <d v="2023-07-30T00:00:00"/>
    <x v="13"/>
    <s v="Витамины"/>
    <s v="SNS-01177"/>
    <x v="151"/>
    <x v="647"/>
    <n v="27.65"/>
    <n v="-2.77"/>
    <n v="-2.4128833264131928"/>
    <n v="8.3887790572210907E-15"/>
    <n v="1.8022606702997848"/>
    <n v="2478.7572548786998"/>
    <n v="3000"/>
    <x v="327"/>
    <s v="&lt;Клиент не выбран&gt;"/>
    <s v="2023 08"/>
    <n v="521.24274512130023"/>
    <n v="0.21028390097311392"/>
  </r>
  <r>
    <s v="519604300"/>
    <s v="710000902643"/>
    <s v="iHerb_VP DFD1605"/>
    <s v="Доставлен"/>
    <d v="2023-07-30T00:00:00"/>
    <x v="13"/>
    <s v="Витамины"/>
    <s v="NOW-00105"/>
    <x v="3"/>
    <x v="485"/>
    <n v="12.67"/>
    <n v="-3.8000000000000003"/>
    <n v="-0.86022006050180932"/>
    <n v="2.9906941413806704E-15"/>
    <n v="0.64252621163822699"/>
    <n v="883.70485734622468"/>
    <n v="1700"/>
    <x v="432"/>
    <s v="&lt;Клиент не выбран&gt;"/>
    <s v="2023 12"/>
    <n v="816.29514265377532"/>
    <n v="0.92371919863054563"/>
  </r>
  <r>
    <s v="519604300"/>
    <s v="710000902643"/>
    <s v="iHerb_VP DFD1605"/>
    <s v="Доставлен"/>
    <d v="2023-07-30T00:00:00"/>
    <x v="13"/>
    <s v="Витамины"/>
    <s v="NOW-00105"/>
    <x v="3"/>
    <x v="485"/>
    <n v="12.67"/>
    <n v="-3.8000000000000003"/>
    <n v="-0.86022006050180932"/>
    <n v="2.9906941413806704E-15"/>
    <n v="0.64252621163822699"/>
    <n v="883.70485734622468"/>
    <n v="1800"/>
    <x v="433"/>
    <s v="&lt;Клиент не выбран&gt;"/>
    <s v="2024 02"/>
    <n v="916.29514265377532"/>
    <n v="1.0368791514911659"/>
  </r>
  <r>
    <s v="519604300"/>
    <s v="710000902643"/>
    <s v="iHerb_VP DFD1605"/>
    <s v="Доставлен"/>
    <d v="2023-07-30T00:00:00"/>
    <x v="13"/>
    <s v="Витамины"/>
    <s v="NOW-00105"/>
    <x v="3"/>
    <x v="485"/>
    <n v="12.67"/>
    <n v="-3.8000000000000003"/>
    <n v="-0.86022006050180932"/>
    <n v="2.9906941413806704E-15"/>
    <n v="0.64252621163822699"/>
    <n v="883.70485734622468"/>
    <n v="1800"/>
    <x v="434"/>
    <s v="&lt;Клиент не выбран&gt;"/>
    <s v="2024 06"/>
    <n v="916.29514265377532"/>
    <n v="1.0368791514911659"/>
  </r>
  <r>
    <s v="519604300"/>
    <s v="710000902643"/>
    <s v="iHerb_VP DFD1605"/>
    <s v="Доставлен"/>
    <d v="2023-07-30T00:00:00"/>
    <x v="13"/>
    <s v="Витамины"/>
    <s v="CEN-22675"/>
    <x v="2"/>
    <x v="2"/>
    <n v="10.79"/>
    <n v="-1.08"/>
    <n v="-0.94168396702058277"/>
    <n v="3.2739165854347586E-15"/>
    <n v="0.70337424069979537"/>
    <n v="967.39280325048946"/>
    <n v="1600"/>
    <x v="327"/>
    <s v="&lt;Клиент не выбран&gt;"/>
    <s v="2023 08"/>
    <n v="632.60719674951054"/>
    <n v="0.65393002162505021"/>
  </r>
  <r>
    <s v="519604300"/>
    <s v="710000902643"/>
    <s v="iHerb_VP DFD1605"/>
    <s v="Доставлен"/>
    <d v="2023-07-30T00:00:00"/>
    <x v="13"/>
    <s v="Витамины"/>
    <s v="CEN-22675"/>
    <x v="2"/>
    <x v="2"/>
    <n v="10.79"/>
    <n v="-1.08"/>
    <n v="-0.94168396702058277"/>
    <n v="3.2739165854347586E-15"/>
    <n v="0.70337424069979537"/>
    <n v="967.39280325048946"/>
    <n v="1600"/>
    <x v="327"/>
    <s v="&lt;Клиент не выбран&gt;"/>
    <s v="2023 08"/>
    <n v="632.60719674951054"/>
    <n v="0.65393002162505021"/>
  </r>
  <r>
    <s v="519604300"/>
    <s v="710000902643"/>
    <s v="iHerb_VP DFD1605"/>
    <s v="Доставлен"/>
    <d v="2023-07-30T00:00:00"/>
    <x v="13"/>
    <s v="Витамины"/>
    <s v="CEN-22675"/>
    <x v="2"/>
    <x v="2"/>
    <n v="10.79"/>
    <n v="-1.08"/>
    <n v="-0.94168396702058277"/>
    <n v="3.2739165854347586E-15"/>
    <n v="0.70337424069979537"/>
    <n v="967.39280325048946"/>
    <n v="1700"/>
    <x v="130"/>
    <s v="&lt;Клиент не выбран&gt;"/>
    <s v="2023 09"/>
    <n v="732.60719674951054"/>
    <n v="0.75730064797661589"/>
  </r>
  <r>
    <s v="519604300"/>
    <s v="710000902643"/>
    <s v="iHerb_VP DFD1605"/>
    <s v="Доставлен"/>
    <d v="2023-07-30T00:00:00"/>
    <x v="13"/>
    <s v="Витамины"/>
    <s v="CEN-27387"/>
    <x v="2"/>
    <x v="23"/>
    <n v="27.75"/>
    <n v="-5.55"/>
    <n v="-2.1529746722818679"/>
    <n v="7.4851645928580473E-15"/>
    <n v="1.6081264823414481"/>
    <n v="2211.7528560412838"/>
    <n v="3200"/>
    <x v="348"/>
    <s v="&lt;Клиент не выбран&gt;"/>
    <s v="2023 10"/>
    <n v="988.24714395871615"/>
    <n v="0.44681626216029169"/>
  </r>
  <r>
    <s v="519604300"/>
    <s v="710000902643"/>
    <s v="iHerb_VP DFD1605"/>
    <s v="Доставлен"/>
    <d v="2023-07-30T00:00:00"/>
    <x v="13"/>
    <s v="Витамины"/>
    <s v="CEN-27387"/>
    <x v="2"/>
    <x v="23"/>
    <n v="27.75"/>
    <n v="-5.55"/>
    <n v="-2.1529746722818679"/>
    <n v="7.4851645928580473E-15"/>
    <n v="1.6081264823414481"/>
    <n v="2211.7528560412838"/>
    <n v="3300"/>
    <x v="328"/>
    <s v="&lt;Клиент не выбран&gt;"/>
    <s v="2023 12"/>
    <n v="1088.2471439587162"/>
    <n v="0.49202927035280081"/>
  </r>
  <r>
    <s v="519604300"/>
    <s v="710000902643"/>
    <s v="iHerb_VP DFD1605"/>
    <s v="Доставлен"/>
    <d v="2023-07-30T00:00:00"/>
    <x v="13"/>
    <s v="Витамины"/>
    <s v="CGN-01352"/>
    <x v="1"/>
    <x v="286"/>
    <n v="13.44"/>
    <n v="-6.72"/>
    <n v="-0.6517112521501871"/>
    <n v="2.2657795524327062E-15"/>
    <n v="0.48678423249254632"/>
    <n v="669.50356723411846"/>
    <n v="1800"/>
    <x v="98"/>
    <s v="&lt;Клиент не выбран&gt;"/>
    <s v="2023 09"/>
    <n v="1130.4964327658815"/>
    <n v="1.6885592371617022"/>
  </r>
  <r>
    <s v="519604300"/>
    <s v="710000902643"/>
    <s v="iHerb_VP DFD1605"/>
    <s v="Доставлен"/>
    <d v="2023-07-30T00:00:00"/>
    <x v="13"/>
    <s v="Витамины"/>
    <s v="CGN-01330"/>
    <x v="1"/>
    <x v="89"/>
    <n v="19.04"/>
    <n v="-5.71"/>
    <n v="-1.2927546117800583"/>
    <n v="4.4944704514773769E-15"/>
    <n v="0.96560027070322052"/>
    <n v="1328.0479986950593"/>
    <n v="2600"/>
    <x v="435"/>
    <s v="&lt;Клиент не выбран&gt;"/>
    <s v="2024 04"/>
    <n v="1271.9520013049407"/>
    <n v="0.95776056479491822"/>
  </r>
  <r>
    <s v="519604300"/>
    <s v="710000902643"/>
    <s v="iHerb_VP DFD1605"/>
    <s v="Доставлен"/>
    <d v="2023-07-30T00:00:00"/>
    <x v="13"/>
    <s v="Витамины"/>
    <s v="SLM-01761"/>
    <x v="164"/>
    <x v="622"/>
    <n v="33.6"/>
    <n v="-10.08"/>
    <n v="-2.2809893825256551"/>
    <n v="7.9302284335144737E-15"/>
    <n v="1.7037448137239126"/>
    <n v="2343.2624853194147"/>
    <n v="4200"/>
    <x v="39"/>
    <s v="&lt;Клиент не выбран&gt;"/>
    <s v="2023 09"/>
    <n v="1856.7375146805853"/>
    <n v="0.79237282477446813"/>
  </r>
  <r>
    <s v="710697208"/>
    <n v="0"/>
    <s v="CoralClub_AV"/>
    <s v="Доставлен"/>
    <d v="2023-08-09T00:00:00"/>
    <x v="14"/>
    <s v="Витамины"/>
    <s v="000001130"/>
    <x v="79"/>
    <x v="341"/>
    <n v="869"/>
    <n v="0"/>
    <n v="0"/>
    <n v="11"/>
    <n v="0"/>
    <n v="880"/>
    <n v="1050"/>
    <x v="327"/>
    <s v="&lt;Клиент не выбран&gt;"/>
    <s v="2023 08"/>
    <n v="170"/>
    <n v="0.19318181818181818"/>
  </r>
  <r>
    <s v="710697208"/>
    <n v="0"/>
    <s v="CoralClub_AV"/>
    <s v="Доставлен"/>
    <d v="2023-08-09T00:00:00"/>
    <x v="14"/>
    <s v="Витамины"/>
    <s v="000001130"/>
    <x v="79"/>
    <x v="341"/>
    <n v="869"/>
    <n v="0"/>
    <n v="0"/>
    <n v="11"/>
    <n v="0"/>
    <n v="880"/>
    <n v="1050"/>
    <x v="327"/>
    <s v="&lt;Клиент не выбран&gt;"/>
    <s v="2023 08"/>
    <n v="170"/>
    <n v="0.19318181818181818"/>
  </r>
  <r>
    <s v="519919363"/>
    <s v="710000931146"/>
    <s v="iHerb_VP DFD1605"/>
    <s v="Доставлен"/>
    <d v="2023-08-16T00:00:00"/>
    <x v="14"/>
    <s v="Витамины"/>
    <s v="NOW-01289"/>
    <x v="3"/>
    <x v="214"/>
    <n v="24.55"/>
    <n v="-2.46"/>
    <n v="-0.41328344246959764"/>
    <n v="-5.8731109571339976E-15"/>
    <n v="2.0353764280979285"/>
    <n v="2600.08185594013"/>
    <n v="2900"/>
    <x v="254"/>
    <s v="&lt;Клиент не выбран&gt;"/>
    <s v="2023 09"/>
    <n v="299.91814405986997"/>
    <n v="0.11534950077616939"/>
  </r>
  <r>
    <s v="519919363"/>
    <s v="710000931146"/>
    <s v="iHerb_VP DFD1605"/>
    <s v="Доставлен"/>
    <d v="2023-08-16T00:00:00"/>
    <x v="14"/>
    <s v="Витамины"/>
    <s v="CAR-01653"/>
    <x v="154"/>
    <x v="725"/>
    <n v="24.53"/>
    <n v="-4.9050000000000002"/>
    <n v="-0.36716557530402233"/>
    <n v="-5.2177366470690221E-15"/>
    <n v="1.8082509009244838"/>
    <n v="2309.94144059869"/>
    <n v="2900"/>
    <x v="254"/>
    <s v="&lt;Клиент не выбран&gt;"/>
    <s v="2023 09"/>
    <n v="590.05855940131005"/>
    <n v="0.25544308138321414"/>
  </r>
  <r>
    <s v="519919363"/>
    <s v="710000931146"/>
    <s v="iHerb_VP DFD1605"/>
    <s v="Доставлен"/>
    <d v="2023-08-16T00:00:00"/>
    <x v="14"/>
    <s v="Витамины"/>
    <s v="CAR-01653"/>
    <x v="154"/>
    <x v="725"/>
    <n v="24.53"/>
    <n v="-4.9050000000000002"/>
    <n v="-0.36716557530402233"/>
    <n v="-5.2177366470690221E-15"/>
    <n v="1.8082509009244838"/>
    <n v="2309.94144059869"/>
    <n v="2900"/>
    <x v="354"/>
    <s v="&lt;Клиент не выбран&gt;"/>
    <s v="2023 09"/>
    <n v="590.05855940131005"/>
    <n v="0.25544308138321414"/>
  </r>
  <r>
    <s v="519919363"/>
    <s v="710000931146"/>
    <s v="iHerb_VP DFD1605"/>
    <s v="Доставлен"/>
    <d v="2023-08-16T00:00:00"/>
    <x v="14"/>
    <s v="Витамины"/>
    <s v="RHS-20001"/>
    <x v="153"/>
    <x v="578"/>
    <n v="21.87"/>
    <n v="-2.19"/>
    <n v="-0.36819457436856862"/>
    <n v="-5.2323596032773681E-15"/>
    <n v="1.8133186104557368"/>
    <n v="2316.4151618334886"/>
    <n v="2400"/>
    <x v="354"/>
    <s v="&lt;Клиент не выбран&gt;"/>
    <s v="2023 09"/>
    <n v="83.584838166511418"/>
    <n v="3.6083703622606392E-2"/>
  </r>
  <r>
    <s v="519919363"/>
    <s v="710000931146"/>
    <s v="iHerb_VP DFD1605"/>
    <s v="Доставлен"/>
    <d v="2023-08-16T00:00:00"/>
    <x v="14"/>
    <s v="Витамины"/>
    <s v="SWV-02305"/>
    <x v="89"/>
    <x v="726"/>
    <n v="4.1500000000000004"/>
    <n v="-0.83"/>
    <n v="-6.2114125350795121E-2"/>
    <n v="-8.8269481112199516E-16"/>
    <n v="0.30590537534111018"/>
    <n v="390.77735453695033"/>
    <n v="1000"/>
    <x v="359"/>
    <s v="&lt;Клиент не выбран&gt;"/>
    <s v="2023 12"/>
    <n v="609.22264546304973"/>
    <n v="1.5590019185859556"/>
  </r>
  <r>
    <s v="519919363"/>
    <s v="710000931146"/>
    <s v="iHerb_VP DFD1605"/>
    <s v="Доставлен"/>
    <d v="2023-08-16T00:00:00"/>
    <x v="14"/>
    <s v="Витамины"/>
    <s v="SWV-02305"/>
    <x v="89"/>
    <x v="726"/>
    <n v="4.1500000000000004"/>
    <n v="-0.83"/>
    <n v="-6.2114125350795121E-2"/>
    <n v="-8.8269481112199516E-16"/>
    <n v="0.30590537534111018"/>
    <n v="390.77735453695033"/>
    <n v="1000"/>
    <x v="266"/>
    <s v="&lt;Клиент не выбран&gt;"/>
    <s v="2024 03"/>
    <n v="609.22264546304973"/>
    <n v="1.5590019185859556"/>
  </r>
  <r>
    <s v="519919363"/>
    <s v="710000931146"/>
    <s v="iHerb_VP DFD1605"/>
    <s v="Доставлен"/>
    <d v="2023-08-16T00:00:00"/>
    <x v="14"/>
    <s v="Витамины"/>
    <s v="SWV-02990"/>
    <x v="89"/>
    <x v="299"/>
    <n v="15.57"/>
    <n v="-3.11"/>
    <n v="-0.23311506080449013"/>
    <n v="-3.3127642610180903E-15"/>
    <n v="1.1480665592621182"/>
    <n v="1466.5921197380726"/>
    <m/>
    <x v="20"/>
    <m/>
    <s v=""/>
    <n v="-1466.5921197380726"/>
    <s v=""/>
  </r>
  <r>
    <s v="519919363"/>
    <s v="710000931146"/>
    <s v="iHerb_VP DFD1605"/>
    <s v="Доставлен"/>
    <d v="2023-08-16T00:00:00"/>
    <x v="14"/>
    <s v="Витамины"/>
    <s v="MLI-00952"/>
    <x v="1"/>
    <x v="7"/>
    <n v="7.84"/>
    <n v="-4.45"/>
    <n v="-6.3423760523854039E-2"/>
    <n v="-9.0130584629625388E-16"/>
    <n v="0.31235518747179614"/>
    <n v="399.0166361085125"/>
    <n v="1000"/>
    <x v="436"/>
    <s v="&lt;Клиент не выбран&gt;"/>
    <s v="2024 10"/>
    <n v="600.98336389148744"/>
    <n v="1.5061611710045346"/>
  </r>
  <r>
    <s v="519919363"/>
    <s v="710000931146"/>
    <s v="iHerb_VP DFD1605"/>
    <s v="Доставлен"/>
    <d v="2023-08-16T00:00:00"/>
    <x v="14"/>
    <s v="Витамины"/>
    <s v="MLI-00952"/>
    <x v="1"/>
    <x v="7"/>
    <n v="7.84"/>
    <n v="-4.45"/>
    <n v="-6.3423760523854039E-2"/>
    <n v="-9.0130584629625388E-16"/>
    <n v="0.31235518747179614"/>
    <n v="399.0166361085125"/>
    <n v="1200"/>
    <x v="437"/>
    <s v="&lt;Клиент не выбран&gt;"/>
    <s v="2024 10"/>
    <n v="800.98336389148744"/>
    <n v="2.0073934052054416"/>
  </r>
  <r>
    <s v="520020759"/>
    <s v="710000939289"/>
    <s v="iHerb_MH DLE7202"/>
    <s v="Доставлен"/>
    <d v="2023-08-22T00:00:00"/>
    <x v="14"/>
    <s v="Витамины"/>
    <s v="CGN-01100"/>
    <x v="1"/>
    <x v="727"/>
    <n v="9.0299999999999994"/>
    <n v="-2.71"/>
    <n v="-0.31940162733107591"/>
    <n v="0"/>
    <n v="0.31884111645009811"/>
    <n v="683.73092636579565"/>
    <n v="1200"/>
    <x v="254"/>
    <s v="&lt;Клиент не выбран&gt;"/>
    <s v="2023 09"/>
    <n v="516.26907363420435"/>
    <n v="0.75507638125761867"/>
  </r>
  <r>
    <s v="520020759"/>
    <s v="710000939289"/>
    <s v="iHerb_MH DLE7202"/>
    <s v="Доставлен"/>
    <d v="2023-08-22T00:00:00"/>
    <x v="14"/>
    <s v="Витамины"/>
    <s v="CGN-01100"/>
    <x v="1"/>
    <x v="727"/>
    <n v="9.0299999999999994"/>
    <n v="-2.71"/>
    <n v="-0.31940162733107591"/>
    <n v="0"/>
    <n v="0.31884111645009811"/>
    <n v="683.73092636579565"/>
    <n v="1200"/>
    <x v="254"/>
    <s v="&lt;Клиент не выбран&gt;"/>
    <s v="2023 09"/>
    <n v="516.26907363420435"/>
    <n v="0.75507638125761867"/>
  </r>
  <r>
    <s v="520020759"/>
    <s v="710000939289"/>
    <s v="iHerb_MH DLE7202"/>
    <s v="Доставлен"/>
    <d v="2023-08-22T00:00:00"/>
    <x v="14"/>
    <s v="Витамины"/>
    <s v="NOW-00085"/>
    <x v="3"/>
    <x v="260"/>
    <n v="16.510000000000002"/>
    <n v="-1.65"/>
    <n v="-0.75099813008540972"/>
    <n v="0"/>
    <n v="0.74968022000766743"/>
    <n v="1607.6331591448932"/>
    <n v="2000"/>
    <x v="268"/>
    <s v="&lt;Клиент не выбран&gt;"/>
    <s v="2023 09"/>
    <n v="392.36684085510683"/>
    <n v="0.24406490910140743"/>
  </r>
  <r>
    <s v="520020759"/>
    <s v="710000939289"/>
    <s v="iHerb_MH DLE7202"/>
    <s v="Доставлен"/>
    <d v="2023-08-22T00:00:00"/>
    <x v="14"/>
    <s v="Витамины"/>
    <s v="LKN-01639"/>
    <x v="90"/>
    <x v="728"/>
    <n v="18.05"/>
    <n v="-5.42"/>
    <n v="-0.63829787234042556"/>
    <n v="0"/>
    <n v="0.63717773746277528"/>
    <n v="1366.38"/>
    <n v="2500"/>
    <x v="273"/>
    <s v="&lt;Клиент не выбран&gt;"/>
    <s v="2023 09"/>
    <n v="1133.6199999999999"/>
    <n v="0.82965207336172941"/>
  </r>
  <r>
    <s v="520020759"/>
    <s v="710000939289"/>
    <s v="iHerb_MH DLE7202"/>
    <s v="Доставлен"/>
    <d v="2023-08-22T00:00:00"/>
    <x v="14"/>
    <s v="Витамины"/>
    <s v="FOA-01857"/>
    <x v="171"/>
    <x v="729"/>
    <n v="26.6"/>
    <n v="-16.11"/>
    <n v="-0.53014605549097904"/>
    <n v="0"/>
    <n v="0.52921571385467248"/>
    <n v="1134.8635154394301"/>
    <n v="3200"/>
    <x v="369"/>
    <s v="&lt;Клиент не выбран&gt;"/>
    <s v="2023 10"/>
    <n v="2065.1364845605699"/>
    <n v="1.8197223335362307"/>
  </r>
  <r>
    <s v="520020759"/>
    <s v="710000939289"/>
    <s v="iHerb_MH DLE7202"/>
    <s v="Доставлен"/>
    <d v="2023-08-22T00:00:00"/>
    <x v="14"/>
    <s v="Витамины"/>
    <s v="SOR-01440"/>
    <x v="10"/>
    <x v="730"/>
    <n v="7.28"/>
    <n v="-0.73"/>
    <n v="-0.33102542073078284"/>
    <n v="0"/>
    <n v="0.33044451151078208"/>
    <n v="708.61353919239912"/>
    <n v="1400"/>
    <x v="230"/>
    <s v="&lt;Клиент не выбран&gt;"/>
    <s v="2023 12"/>
    <n v="691.38646080760088"/>
    <n v="0.97568903579738009"/>
  </r>
  <r>
    <s v="520020759"/>
    <s v="710000939289"/>
    <s v="iHerb_MH DLE7202"/>
    <s v="Доставлен"/>
    <d v="2023-08-22T00:00:00"/>
    <x v="14"/>
    <s v="Витамины"/>
    <s v="SOR-01440"/>
    <x v="10"/>
    <x v="730"/>
    <n v="7.28"/>
    <n v="-0.73"/>
    <n v="-0.33102542073078284"/>
    <n v="0"/>
    <n v="0.33044451151078208"/>
    <n v="708.61353919239912"/>
    <n v="1500"/>
    <x v="438"/>
    <s v="&lt;Клиент не выбран&gt;"/>
    <s v="2024 01"/>
    <n v="791.38646080760088"/>
    <n v="1.1168096812114787"/>
  </r>
  <r>
    <s v="520020759"/>
    <s v="710000939289"/>
    <s v="iHerb_MH DLE7202"/>
    <s v="Доставлен"/>
    <d v="2023-08-22T00:00:00"/>
    <x v="14"/>
    <s v="Витамины"/>
    <s v="NWY-14008"/>
    <x v="16"/>
    <x v="731"/>
    <n v="17.28"/>
    <n v="-1.73"/>
    <n v="-0.78586951028453023"/>
    <n v="0"/>
    <n v="0.78449040518971924"/>
    <n v="1682.2809976247031"/>
    <n v="2300"/>
    <x v="268"/>
    <s v="&lt;Клиент не выбран&gt;"/>
    <s v="2023 09"/>
    <n v="617.7190023752969"/>
    <n v="0.3671913332240484"/>
  </r>
  <r>
    <s v="520020759"/>
    <s v="710000939289"/>
    <s v="iHerb_MH DLE7202"/>
    <s v="Доставлен"/>
    <d v="2023-08-22T00:00:00"/>
    <x v="14"/>
    <s v="Витамины"/>
    <s v="NOW-01613"/>
    <x v="3"/>
    <x v="732"/>
    <n v="34.29"/>
    <n v="-3.43"/>
    <n v="-1.5596098448476272"/>
    <n v="0"/>
    <n v="1.5568729198813336"/>
    <n v="3338.5975296912111"/>
    <n v="4000"/>
    <x v="268"/>
    <s v="&lt;Клиент не выбран&gt;"/>
    <s v="2023 09"/>
    <n v="661.40247030878891"/>
    <n v="0.19810787746253511"/>
  </r>
  <r>
    <s v="520020759"/>
    <s v="710000939289"/>
    <s v="iHerb_MH DLE7202"/>
    <s v="Доставлен"/>
    <d v="2023-08-22T00:00:00"/>
    <x v="14"/>
    <s v="Витамины"/>
    <s v="NBC-00520"/>
    <x v="8"/>
    <x v="733"/>
    <n v="10.69"/>
    <n v="-1.07"/>
    <n v="-0.48617779350078327"/>
    <n v="0"/>
    <n v="0.48532461079904171"/>
    <n v="1040.7423277909738"/>
    <n v="1700"/>
    <x v="273"/>
    <s v="&lt;Клиент не выбран&gt;"/>
    <s v="2023 09"/>
    <n v="659.25767220902617"/>
    <n v="0.6334494664095508"/>
  </r>
  <r>
    <s v="520020759"/>
    <s v="710000939289"/>
    <s v="iHerb_MH DLE7202"/>
    <s v="Доставлен"/>
    <d v="2023-08-22T00:00:00"/>
    <x v="14"/>
    <s v="Витамины"/>
    <s v="NWY-15450"/>
    <x v="16"/>
    <x v="188"/>
    <n v="9.89"/>
    <n v="-0.99"/>
    <n v="-0.44979026633648356"/>
    <n v="0"/>
    <n v="0.44900093930472679"/>
    <n v="962.84893111638951"/>
    <n v="1500"/>
    <x v="104"/>
    <s v="&lt;Клиент не выбран&gt;"/>
    <s v="2023 11"/>
    <n v="537.15106888361049"/>
    <n v="0.55787678785788619"/>
  </r>
  <r>
    <s v="520020759"/>
    <s v="710000939289"/>
    <s v="iHerb_MH DLE7202"/>
    <s v="Доставлен"/>
    <d v="2023-08-22T00:00:00"/>
    <x v="14"/>
    <s v="Витамины"/>
    <s v="SWV-02305"/>
    <x v="89"/>
    <x v="726"/>
    <n v="4.1500000000000004"/>
    <n v="-0.83"/>
    <n v="-0.16778693081316018"/>
    <n v="0"/>
    <n v="0.16749248522378574"/>
    <n v="359.17510688836109"/>
    <m/>
    <x v="20"/>
    <m/>
    <s v=""/>
    <n v="-359.17510688836109"/>
    <s v=""/>
  </r>
  <r>
    <s v="520020759"/>
    <s v="710000939289"/>
    <s v="iHerb_MH DLE7202"/>
    <s v="Доставлен"/>
    <d v="2023-08-22T00:00:00"/>
    <x v="14"/>
    <s v="Витамины"/>
    <s v="EVL-02812"/>
    <x v="125"/>
    <x v="734"/>
    <n v="10.5"/>
    <n v="-2.1"/>
    <n v="-0.42452115025016424"/>
    <n v="0"/>
    <n v="0.42377616743367474"/>
    <n v="908.75629453681711"/>
    <n v="1600"/>
    <x v="104"/>
    <s v="&lt;Клиент не выбран&gt;"/>
    <s v="2023 11"/>
    <n v="691.24370546318289"/>
    <n v="0.76064805230923005"/>
  </r>
  <r>
    <s v="520020759"/>
    <s v="710000939289"/>
    <s v="iHerb_MH DLE7202"/>
    <s v="Доставлен"/>
    <d v="2023-08-22T00:00:00"/>
    <x v="14"/>
    <s v="Витамины"/>
    <s v="SWV-01872"/>
    <x v="89"/>
    <x v="735"/>
    <n v="10.3"/>
    <n v="-2.06"/>
    <n v="-0.4164350331025421"/>
    <n v="0"/>
    <n v="0.41570424043493803"/>
    <n v="891.44665083135408"/>
    <n v="1600"/>
    <x v="310"/>
    <s v="&lt;Клиент не выбран&gt;"/>
    <s v="2023 11"/>
    <n v="708.55334916864592"/>
    <n v="0.79483539313076812"/>
  </r>
  <r>
    <s v="520020759"/>
    <s v="710000939289"/>
    <s v="iHerb_MH DLE7202"/>
    <s v="Доставлен"/>
    <d v="2023-08-22T00:00:00"/>
    <x v="14"/>
    <s v="Витамины"/>
    <s v="SWV-01978"/>
    <x v="89"/>
    <x v="736"/>
    <n v="6.5"/>
    <n v="-1.3"/>
    <n v="-0.2627988072977207"/>
    <n v="0"/>
    <n v="0.26233762745894151"/>
    <n v="562.56342042755352"/>
    <n v="1400"/>
    <x v="261"/>
    <s v="&lt;Клиент не выбран&gt;"/>
    <s v="2023 11"/>
    <n v="837.43657957244648"/>
    <n v="1.4886083047063152"/>
  </r>
  <r>
    <s v="520020759"/>
    <s v="710000939289"/>
    <s v="iHerb_MH DLE7202"/>
    <s v="Доставлен"/>
    <d v="2023-08-22T00:00:00"/>
    <x v="14"/>
    <s v="Витамины"/>
    <s v="EVL-02898"/>
    <x v="125"/>
    <x v="737"/>
    <n v="13.78"/>
    <n v="-2.76"/>
    <n v="-0.55693131854247735"/>
    <n v="0"/>
    <n v="0.55595397203798758"/>
    <n v="1192.2017102137766"/>
    <m/>
    <x v="20"/>
    <m/>
    <s v=""/>
    <n v="-1192.2017102137766"/>
    <s v=""/>
  </r>
  <r>
    <s v="520020759"/>
    <s v="710000939289"/>
    <s v="iHerb_MH DLE7202"/>
    <s v="Доставлен"/>
    <d v="2023-08-22T00:00:00"/>
    <x v="14"/>
    <s v="Витамины"/>
    <s v="CGN-00956"/>
    <x v="1"/>
    <x v="305"/>
    <n v="16.45"/>
    <n v="-4.9400000000000004"/>
    <n v="-0.58169505230707019"/>
    <n v="0"/>
    <n v="0.58067424847161841"/>
    <n v="1245.2124940617575"/>
    <n v="2200"/>
    <x v="174"/>
    <s v="&lt;Клиент не выбран&gt;"/>
    <s v="2023 11"/>
    <n v="954.78750593824248"/>
    <n v="0.76676672494974896"/>
  </r>
  <r>
    <s v="520020759"/>
    <s v="710000939289"/>
    <s v="iHerb_MH DLE7202"/>
    <s v="Доставлен"/>
    <d v="2023-08-22T00:00:00"/>
    <x v="14"/>
    <s v="Витамины"/>
    <s v="CGN-00856"/>
    <x v="1"/>
    <x v="738"/>
    <n v="18.190000000000001"/>
    <n v="-5.46"/>
    <n v="-0.64335169555768945"/>
    <n v="0"/>
    <n v="0.64222269183698566"/>
    <n v="1377.1985273159146"/>
    <n v="2500"/>
    <x v="340"/>
    <s v="&lt;Клиент не выбран&gt;"/>
    <s v="2023 10"/>
    <n v="1122.8014726840854"/>
    <n v="0.81527931551913924"/>
  </r>
  <r>
    <s v="520020759"/>
    <s v="710000939289"/>
    <s v="iHerb_MH DLE7202"/>
    <s v="Доставлен"/>
    <d v="2023-08-22T00:00:00"/>
    <x v="14"/>
    <s v="Витамины"/>
    <s v="NAP-47627"/>
    <x v="11"/>
    <x v="739"/>
    <n v="9.7799999999999994"/>
    <n v="-0.98"/>
    <n v="-0.44473644311921962"/>
    <n v="0"/>
    <n v="0.4439559849305163"/>
    <n v="952.03040380047491"/>
    <n v="1700"/>
    <x v="176"/>
    <s v="&lt;Клиент не выбран&gt;"/>
    <s v="2023 12"/>
    <n v="747.96959619952509"/>
    <n v="0.78565725759771365"/>
  </r>
  <r>
    <s v="519881230"/>
    <s v="710000927997"/>
    <s v="iHerb_AV CYG0792"/>
    <s v="Доставлен"/>
    <d v="2023-08-14T00:00:00"/>
    <x v="14"/>
    <s v="Витамины"/>
    <s v="NAP-01480"/>
    <x v="11"/>
    <x v="488"/>
    <n v="9.35"/>
    <n v="-0.94"/>
    <n v="-0.95768407566508373"/>
    <n v="-1.8013910340620819E-15"/>
    <n v="0.53225309574358004"/>
    <n v="884.29543296405143"/>
    <m/>
    <x v="20"/>
    <m/>
    <s v=""/>
    <n v="-884.29543296405143"/>
    <s v=""/>
  </r>
  <r>
    <s v="519881230"/>
    <s v="710000927997"/>
    <s v="iHerb_AV CYG0792"/>
    <s v="Доставлен"/>
    <d v="2023-08-14T00:00:00"/>
    <x v="14"/>
    <s v="Витамины"/>
    <s v="NFS-01683"/>
    <x v="23"/>
    <x v="111"/>
    <n v="5.2"/>
    <n v="-0.52"/>
    <n v="-0.5329323988243273"/>
    <n v="-1.0024387680630848E-15"/>
    <n v="0.29618840524137385"/>
    <n v="492.0930590097218"/>
    <n v="900"/>
    <x v="270"/>
    <s v="&lt;Клиент не выбран&gt;"/>
    <s v="2023 10"/>
    <n v="407.9069409902782"/>
    <n v="0.82892236239044292"/>
  </r>
  <r>
    <s v="519881230"/>
    <s v="710000927997"/>
    <s v="iHerb_AV CYG0792"/>
    <s v="Доставлен"/>
    <d v="2023-08-14T00:00:00"/>
    <x v="14"/>
    <s v="Витамины"/>
    <s v="NFS-01683"/>
    <x v="23"/>
    <x v="111"/>
    <n v="5.2"/>
    <n v="-0.52"/>
    <n v="-0.5329323988243273"/>
    <n v="-1.0024387680630848E-15"/>
    <n v="0.29618840524137385"/>
    <n v="492.0930590097218"/>
    <n v="750"/>
    <x v="384"/>
    <s v="&lt;Клиент не выбран&gt;"/>
    <s v="2024 02"/>
    <n v="257.9069409902782"/>
    <n v="0.5241019686587024"/>
  </r>
  <r>
    <s v="519881230"/>
    <s v="710000927997"/>
    <s v="iHerb_AV CYG0792"/>
    <s v="Доставлен"/>
    <d v="2023-08-14T00:00:00"/>
    <x v="14"/>
    <s v="Витамины"/>
    <s v="DRB-00149"/>
    <x v="6"/>
    <x v="683"/>
    <n v="17.329999999999998"/>
    <n v="-1.73"/>
    <n v="-1.7764413294144239"/>
    <n v="-3.3414625602102823E-15"/>
    <n v="0.98729468413791299"/>
    <n v="1640.3101966990723"/>
    <n v="2400"/>
    <x v="439"/>
    <s v="&lt;Клиент не выбран&gt;"/>
    <s v="2023 10"/>
    <n v="759.68980330092768"/>
    <n v="0.46313788991235461"/>
  </r>
  <r>
    <s v="519881230"/>
    <s v="710000927997"/>
    <s v="iHerb_AV CYG0792"/>
    <s v="Доставлен"/>
    <d v="2023-08-14T00:00:00"/>
    <x v="14"/>
    <s v="Витамины"/>
    <s v="NOW-01448"/>
    <x v="3"/>
    <x v="719"/>
    <n v="10.89"/>
    <n v="-5.45"/>
    <n v="-0.61947697641118393"/>
    <n v="-1.1652279697143552E-15"/>
    <n v="0.34428737703270812"/>
    <n v="572.00560705403564"/>
    <n v="1700"/>
    <x v="440"/>
    <s v="&lt;Клиент не выбран&gt;"/>
    <s v="2024 08"/>
    <n v="1127.9943929459644"/>
    <n v="1.9719988388844694"/>
  </r>
  <r>
    <s v="519881230"/>
    <s v="710000927997"/>
    <s v="iHerb_AV CYG0792"/>
    <s v="Доставлен"/>
    <d v="2023-08-14T00:00:00"/>
    <x v="14"/>
    <s v="Витамины"/>
    <s v="MRM-85003"/>
    <x v="37"/>
    <x v="368"/>
    <n v="11.5"/>
    <n v="-1.1500000000000001"/>
    <n v="-1.1786004973999544"/>
    <n v="-2.2169318909087452E-15"/>
    <n v="0.65503205005303855"/>
    <n v="1088.2827266561158"/>
    <n v="1700"/>
    <x v="256"/>
    <s v="&lt;Клиент не выбран&gt;"/>
    <s v="2023 10"/>
    <n v="611.71727334388424"/>
    <n v="0.56209407570352765"/>
  </r>
  <r>
    <s v="519881230"/>
    <s v="710000927997"/>
    <s v="iHerb_AV CYG0792"/>
    <s v="Доставлен"/>
    <d v="2023-08-14T00:00:00"/>
    <x v="14"/>
    <s v="Витамины"/>
    <s v="MRM-85003"/>
    <x v="37"/>
    <x v="368"/>
    <n v="11.5"/>
    <n v="-1.1500000000000001"/>
    <n v="-1.1786004973999544"/>
    <n v="-2.2169318909087452E-15"/>
    <n v="0.65503205005303855"/>
    <n v="1088.2827266561158"/>
    <n v="1600"/>
    <x v="369"/>
    <s v="&lt;Клиент не выбран&gt;"/>
    <s v="2023 10"/>
    <n v="511.71727334388424"/>
    <n v="0.47020618889743782"/>
  </r>
  <r>
    <s v="519881230"/>
    <s v="710000927997"/>
    <s v="iHerb_AV CYG0792"/>
    <s v="Доставлен"/>
    <d v="2023-08-14T00:00:00"/>
    <x v="14"/>
    <s v="Витамины"/>
    <s v="MRM-85003"/>
    <x v="37"/>
    <x v="368"/>
    <n v="11.5"/>
    <n v="-1.1500000000000001"/>
    <n v="-1.1786004973999544"/>
    <n v="-2.2169318909087452E-15"/>
    <n v="0.65503205005303855"/>
    <n v="1088.2827266561158"/>
    <n v="1600"/>
    <x v="369"/>
    <s v="&lt;Клиент не выбран&gt;"/>
    <s v="2023 10"/>
    <n v="511.71727334388424"/>
    <n v="0.47020618889743782"/>
  </r>
  <r>
    <s v="519881230"/>
    <s v="710000927997"/>
    <s v="iHerb_AV CYG0792"/>
    <s v="Доставлен"/>
    <d v="2023-08-14T00:00:00"/>
    <x v="14"/>
    <s v="Витамины"/>
    <s v="NBC-01016"/>
    <x v="8"/>
    <x v="97"/>
    <n v="9.25"/>
    <n v="-1.85"/>
    <n v="-0.84267088702991921"/>
    <n v="-1.5850527529202624E-15"/>
    <n v="0.468332093757728"/>
    <n v="778.09586253673967"/>
    <n v="1400"/>
    <x v="268"/>
    <s v="&lt;Клиент не выбран&gt;"/>
    <s v="2023 09"/>
    <n v="621.90413746326033"/>
    <n v="0.79926416191924632"/>
  </r>
  <r>
    <s v="519881230"/>
    <s v="710000927997"/>
    <s v="iHerb_AV CYG0792"/>
    <s v="Доставлен"/>
    <d v="2023-08-14T00:00:00"/>
    <x v="14"/>
    <s v="Витамины"/>
    <s v="NBC-01016"/>
    <x v="8"/>
    <x v="97"/>
    <n v="9.25"/>
    <n v="-1.85"/>
    <n v="-0.84267088702991921"/>
    <n v="-1.5850527529202624E-15"/>
    <n v="0.468332093757728"/>
    <n v="778.09586253673967"/>
    <n v="1400"/>
    <x v="343"/>
    <s v="&lt;Клиент не выбран&gt;"/>
    <s v="2023 10"/>
    <n v="621.90413746326033"/>
    <n v="0.79926416191924632"/>
  </r>
  <r>
    <s v="519881230"/>
    <s v="710000927997"/>
    <s v="iHerb_AV CYG0792"/>
    <s v="Доставлен"/>
    <d v="2023-08-14T00:00:00"/>
    <x v="14"/>
    <s v="Витамины"/>
    <s v="EVL-02739"/>
    <x v="125"/>
    <x v="657"/>
    <n v="13.04"/>
    <n v="-2.61"/>
    <n v="-1.187710452935413"/>
    <n v="-2.234067596345721E-15"/>
    <n v="0.66009509971528413"/>
    <n v="1096.6945738186748"/>
    <n v="1800"/>
    <x v="304"/>
    <s v="&lt;Клиент не выбран&gt;"/>
    <s v="2023 09"/>
    <n v="703.30542618132517"/>
    <n v="0.64129561955652403"/>
  </r>
  <r>
    <s v="519881230"/>
    <s v="710000927997"/>
    <s v="iHerb_AV CYG0792"/>
    <s v="Доставлен"/>
    <d v="2023-08-14T00:00:00"/>
    <x v="14"/>
    <s v="Витамины"/>
    <s v="MLI-00952"/>
    <x v="1"/>
    <x v="7"/>
    <n v="7.84"/>
    <n v="-4.4533333333333331"/>
    <n v="-0.38565478433441347"/>
    <n v="-7.2541153016530926E-16"/>
    <n v="0.21433576903506829"/>
    <n v="356.10152988167897"/>
    <n v="900"/>
    <x v="441"/>
    <s v="&lt;Клиент не выбран&gt;"/>
    <s v="2024 11"/>
    <n v="543.89847011832103"/>
    <n v="1.527369091334825"/>
  </r>
  <r>
    <s v="519881230"/>
    <s v="710000927997"/>
    <s v="iHerb_AV CYG0792"/>
    <s v="Доставлен"/>
    <d v="2023-08-14T00:00:00"/>
    <x v="14"/>
    <s v="Витамины"/>
    <s v="MLI-00952"/>
    <x v="1"/>
    <x v="7"/>
    <n v="7.84"/>
    <n v="-4.4533333333333331"/>
    <n v="-0.38565478433441347"/>
    <n v="-7.2541153016530926E-16"/>
    <n v="0.21433576903506829"/>
    <n v="356.10152988167897"/>
    <n v="900"/>
    <x v="441"/>
    <s v="&lt;Клиент не выбран&gt;"/>
    <s v="2024 11"/>
    <n v="543.89847011832103"/>
    <n v="1.527369091334825"/>
  </r>
  <r>
    <s v="519881230"/>
    <s v="710000927997"/>
    <s v="iHerb_AV CYG0792"/>
    <s v="Доставлен"/>
    <d v="2023-08-14T00:00:00"/>
    <x v="14"/>
    <s v="Витамины"/>
    <s v="MLI-00952"/>
    <x v="1"/>
    <x v="7"/>
    <n v="7.84"/>
    <n v="-4.4533333333333331"/>
    <n v="-0.38565478433441347"/>
    <n v="-7.2541153016530926E-16"/>
    <n v="0.21433576903506829"/>
    <n v="356.10152988167897"/>
    <n v="900"/>
    <x v="442"/>
    <s v="&lt;Клиент не выбран&gt;"/>
    <s v="2024 11"/>
    <n v="543.89847011832103"/>
    <n v="1.527369091334825"/>
  </r>
  <r>
    <s v="519881230"/>
    <s v="710000927997"/>
    <s v="iHerb_AV CYG0792"/>
    <s v="Доставлен"/>
    <d v="2023-08-14T00:00:00"/>
    <x v="14"/>
    <s v="Витамины"/>
    <s v="CGN-01032"/>
    <x v="1"/>
    <x v="145"/>
    <n v="39.200000000000003"/>
    <n v="-11.76"/>
    <n v="-3.1247147486622953"/>
    <n v="-5.8775469648827035E-15"/>
    <n v="1.7366260341502784"/>
    <n v="2885.2635767578568"/>
    <n v="4300"/>
    <x v="304"/>
    <s v="&lt;Клиент не выбран&gt;"/>
    <s v="2023 09"/>
    <n v="1414.7364232421432"/>
    <n v="0.49033177926568122"/>
  </r>
  <r>
    <s v="OZO0015"/>
    <n v="0"/>
    <s v="OZON_OA"/>
    <s v="Доставлен"/>
    <d v="2023-08-15T00:00:00"/>
    <x v="14"/>
    <s v="Спортпит"/>
    <s v="769390102"/>
    <x v="129"/>
    <x v="593"/>
    <n v="2180"/>
    <n v="0"/>
    <n v="0"/>
    <n v="0"/>
    <n v="218"/>
    <n v="2398"/>
    <n v="3800"/>
    <x v="113"/>
    <s v="&lt;Клиент не выбран&gt;"/>
    <s v="2023 10"/>
    <n v="1402"/>
    <n v="0.58465387823185988"/>
  </r>
  <r>
    <s v="OZO0015"/>
    <n v="0"/>
    <s v="OZON_OA"/>
    <s v="Доставлен"/>
    <d v="2023-08-15T00:00:00"/>
    <x v="14"/>
    <s v="Спортпит"/>
    <s v="769390102"/>
    <x v="129"/>
    <x v="593"/>
    <n v="2180"/>
    <n v="0"/>
    <n v="0"/>
    <n v="0"/>
    <n v="218"/>
    <n v="2398"/>
    <n v="4000"/>
    <x v="443"/>
    <s v="&lt;Клиент не выбран&gt;"/>
    <s v="2024 01"/>
    <n v="1602"/>
    <n v="0.66805671392827359"/>
  </r>
  <r>
    <s v="OZO0015"/>
    <n v="0"/>
    <s v="OZON_OA"/>
    <s v="Доставлен"/>
    <d v="2023-08-15T00:00:00"/>
    <x v="14"/>
    <s v="Спортпит"/>
    <s v="769390102"/>
    <x v="129"/>
    <x v="593"/>
    <n v="2180"/>
    <n v="0"/>
    <n v="0"/>
    <n v="0"/>
    <n v="218"/>
    <n v="2398"/>
    <n v="3800"/>
    <x v="291"/>
    <s v="&lt;Клиент не выбран&gt;"/>
    <s v="2024 04"/>
    <n v="1402"/>
    <n v="0.58465387823185988"/>
  </r>
  <r>
    <s v="OZO0016"/>
    <n v="0"/>
    <s v="OZON_OA"/>
    <s v="Доставлен"/>
    <d v="2023-08-25T00:00:00"/>
    <x v="14"/>
    <s v="Витамины"/>
    <s v="835689754"/>
    <x v="184"/>
    <x v="740"/>
    <n v="253"/>
    <n v="0"/>
    <n v="0"/>
    <n v="0"/>
    <n v="25.3"/>
    <n v="278.3"/>
    <n v="700"/>
    <x v="327"/>
    <s v="&lt;Клиент не выбран&gt;"/>
    <s v="2023 08"/>
    <n v="421.7"/>
    <n v="1.5152712899748473"/>
  </r>
  <r>
    <s v="OZO0016"/>
    <n v="0"/>
    <s v="OZON_OA"/>
    <s v="Доставлен"/>
    <d v="2023-08-25T00:00:00"/>
    <x v="14"/>
    <s v="Витамины"/>
    <s v="835689754"/>
    <x v="184"/>
    <x v="740"/>
    <n v="253"/>
    <n v="0"/>
    <n v="0"/>
    <n v="0"/>
    <n v="25.3"/>
    <n v="278.3"/>
    <n v="700"/>
    <x v="327"/>
    <s v="&lt;Клиент не выбран&gt;"/>
    <s v="2023 08"/>
    <n v="421.7"/>
    <n v="1.5152712899748473"/>
  </r>
  <r>
    <s v="OZO0016"/>
    <n v="0"/>
    <s v="OZON_OA"/>
    <s v="Доставлен"/>
    <d v="2023-08-25T00:00:00"/>
    <x v="14"/>
    <s v="Витамины"/>
    <s v="835689754"/>
    <x v="184"/>
    <x v="740"/>
    <n v="253"/>
    <n v="0"/>
    <n v="0"/>
    <n v="0"/>
    <n v="25.3"/>
    <n v="278.3"/>
    <n v="700"/>
    <x v="327"/>
    <s v="&lt;Клиент не выбран&gt;"/>
    <s v="2023 08"/>
    <n v="421.7"/>
    <n v="1.5152712899748473"/>
  </r>
  <r>
    <s v="WB0120"/>
    <n v="0"/>
    <s v="WBRS"/>
    <s v="Доставлен"/>
    <d v="2023-08-23T00:00:00"/>
    <x v="14"/>
    <s v="Витамины"/>
    <s v="113319452"/>
    <x v="185"/>
    <x v="741"/>
    <n v="218"/>
    <n v="0"/>
    <n v="0"/>
    <n v="0"/>
    <n v="21.8"/>
    <n v="239.8"/>
    <n v="450"/>
    <x v="327"/>
    <s v="&lt;Клиент не выбран&gt;"/>
    <s v="2023 08"/>
    <n v="210.2"/>
    <n v="0.87656380316930771"/>
  </r>
  <r>
    <s v="WB0120"/>
    <n v="0"/>
    <s v="WBRS"/>
    <s v="Доставлен"/>
    <d v="2023-08-23T00:00:00"/>
    <x v="14"/>
    <s v="Витамины"/>
    <s v="113319452"/>
    <x v="185"/>
    <x v="741"/>
    <n v="218"/>
    <n v="0"/>
    <n v="0"/>
    <n v="0"/>
    <n v="21.8"/>
    <n v="239.8"/>
    <n v="450"/>
    <x v="327"/>
    <s v="&lt;Клиент не выбран&gt;"/>
    <s v="2023 08"/>
    <n v="210.2"/>
    <n v="0.87656380316930771"/>
  </r>
  <r>
    <s v="WB0120"/>
    <n v="0"/>
    <s v="WBRS"/>
    <s v="Доставлен"/>
    <d v="2023-08-23T00:00:00"/>
    <x v="14"/>
    <s v="Витамины"/>
    <s v="113319452"/>
    <x v="185"/>
    <x v="741"/>
    <n v="218"/>
    <n v="0"/>
    <n v="0"/>
    <n v="0"/>
    <n v="21.8"/>
    <n v="239.8"/>
    <n v="500"/>
    <x v="444"/>
    <s v="&lt;Клиент не выбран&gt;"/>
    <s v="2023 11"/>
    <n v="260.2"/>
    <n v="1.0850708924103418"/>
  </r>
  <r>
    <s v="710818556"/>
    <n v="0"/>
    <s v="CoralClub_AV"/>
    <s v="Доставлен"/>
    <d v="2023-08-27T00:00:00"/>
    <x v="14"/>
    <s v="Витамины"/>
    <s v="000002153"/>
    <x v="79"/>
    <x v="232"/>
    <n v="1260"/>
    <n v="0"/>
    <n v="0"/>
    <n v="15"/>
    <n v="0"/>
    <n v="1275"/>
    <n v="1600"/>
    <x v="445"/>
    <s v="&lt;Клиент не выбран&gt;"/>
    <s v="2023 08"/>
    <n v="325"/>
    <n v="0.25490196078431371"/>
  </r>
  <r>
    <s v="710818556"/>
    <n v="0"/>
    <s v="CoralClub_AV"/>
    <s v="Доставлен"/>
    <d v="2023-08-27T00:00:00"/>
    <x v="14"/>
    <s v="Витамины"/>
    <s v="000002153"/>
    <x v="79"/>
    <x v="232"/>
    <n v="1260"/>
    <n v="0"/>
    <n v="0"/>
    <n v="15"/>
    <n v="0"/>
    <n v="1275"/>
    <n v="1600"/>
    <x v="446"/>
    <s v="&lt;Клиент не выбран&gt;"/>
    <s v="2024 01"/>
    <n v="325"/>
    <n v="0.25490196078431371"/>
  </r>
  <r>
    <s v="PVP-342188"/>
    <n v="0"/>
    <s v="NSP_AV"/>
    <s v="Доставлен"/>
    <d v="2023-08-18T00:00:00"/>
    <x v="14"/>
    <s v="Витамины"/>
    <s v="000001750"/>
    <x v="131"/>
    <x v="742"/>
    <n v="3830.29"/>
    <n v="-538.6"/>
    <n v="0"/>
    <n v="0"/>
    <n v="67.954103951494531"/>
    <n v="3359.6441039514948"/>
    <n v="5300"/>
    <x v="98"/>
    <s v="&lt;Клиент не выбран&gt;"/>
    <s v="2023 09"/>
    <n v="1940.3558960485052"/>
    <n v="0.57754804854666808"/>
  </r>
  <r>
    <s v="PVP-342188"/>
    <n v="0"/>
    <s v="NSP_AV"/>
    <s v="Доставлен"/>
    <d v="2023-08-18T00:00:00"/>
    <x v="14"/>
    <s v="Витамины"/>
    <s v="000000832"/>
    <x v="131"/>
    <x v="743"/>
    <n v="1806.3"/>
    <n v="-254"/>
    <n v="0"/>
    <n v="0"/>
    <n v="32.045896048505469"/>
    <n v="1584.3458960485054"/>
    <n v="2400"/>
    <x v="98"/>
    <s v="&lt;Клиент не выбран&gt;"/>
    <s v="2023 09"/>
    <n v="815.65410395149456"/>
    <n v="0.51482072569241721"/>
  </r>
  <r>
    <s v="PVP-343075"/>
    <n v="0"/>
    <s v="NSP_AV"/>
    <s v="Доставлен"/>
    <d v="2023-08-27T00:00:00"/>
    <x v="14"/>
    <s v="Витамины"/>
    <s v="000002851"/>
    <x v="131"/>
    <x v="744"/>
    <n v="869.47"/>
    <m/>
    <n v="0"/>
    <n v="25.688912254497396"/>
    <n v="32.548510933794532"/>
    <n v="927.70742318829195"/>
    <m/>
    <x v="20"/>
    <m/>
    <s v=""/>
    <n v="-927.70742318829195"/>
    <s v=""/>
  </r>
  <r>
    <s v="PVP-343075"/>
    <n v="0"/>
    <s v="NSP_AV"/>
    <s v="Доставлен"/>
    <d v="2023-08-27T00:00:00"/>
    <x v="14"/>
    <s v="Витамины"/>
    <s v="000000550"/>
    <x v="131"/>
    <x v="745"/>
    <n v="1233.6199999999999"/>
    <m/>
    <n v="0"/>
    <n v="36.447900370792631"/>
    <n v="46.18042492339886"/>
    <n v="1316.2483252941915"/>
    <n v="1700"/>
    <x v="282"/>
    <s v="&lt;Клиент не выбран&gt;"/>
    <s v="2023 09"/>
    <n v="383.75167470580845"/>
    <n v="0.29154960149334819"/>
  </r>
  <r>
    <s v="PVP-343075"/>
    <n v="0"/>
    <s v="NSP_AV"/>
    <s v="Доставлен"/>
    <d v="2023-08-27T00:00:00"/>
    <x v="14"/>
    <s v="Витамины"/>
    <s v="000000775"/>
    <x v="131"/>
    <x v="746"/>
    <n v="1905.66"/>
    <m/>
    <n v="0"/>
    <n v="56.30364765535959"/>
    <n v="71.338166177205522"/>
    <n v="2033.3018138325651"/>
    <n v="2700"/>
    <x v="176"/>
    <s v="&lt;Клиент не выбран&gt;"/>
    <s v="2023 12"/>
    <n v="666.69818616743487"/>
    <n v="0.32788943659612307"/>
  </r>
  <r>
    <s v="PVP-343075"/>
    <n v="0"/>
    <s v="NSP_AV"/>
    <s v="Доставлен"/>
    <d v="2023-08-27T00:00:00"/>
    <x v="14"/>
    <s v="Витамины"/>
    <s v="000650510"/>
    <x v="131"/>
    <x v="747"/>
    <n v="1333.86"/>
    <m/>
    <n v="0"/>
    <n v="39.409539719350747"/>
    <n v="49.932897965601086"/>
    <n v="1423.2024376849517"/>
    <m/>
    <x v="20"/>
    <m/>
    <s v=""/>
    <n v="-1423.2024376849517"/>
    <s v=""/>
  </r>
  <r>
    <s v="PVP-342186"/>
    <n v="0"/>
    <s v="NSP_OA"/>
    <s v="Доставлен"/>
    <d v="2023-08-18T00:00:00"/>
    <x v="14"/>
    <s v="Витамины"/>
    <s v="000000999"/>
    <x v="131"/>
    <x v="596"/>
    <n v="2731.73"/>
    <n v="-320.33999999999997"/>
    <n v="0"/>
    <n v="0"/>
    <n v="46.333501139416114"/>
    <n v="2457.7235011394159"/>
    <n v="3200"/>
    <x v="113"/>
    <s v="&lt;Клиент не выбран&gt;"/>
    <s v="2023 10"/>
    <n v="742.27649886058407"/>
    <n v="0.30201790336319773"/>
  </r>
  <r>
    <s v="PVP-342186"/>
    <n v="0"/>
    <s v="NSP_OA"/>
    <s v="Доставлен"/>
    <d v="2023-08-18T00:00:00"/>
    <x v="14"/>
    <s v="Витамины"/>
    <s v="000001894"/>
    <x v="131"/>
    <x v="456"/>
    <n v="1442.81"/>
    <n v="-169.19"/>
    <n v="0"/>
    <n v="0"/>
    <n v="24.471891200172159"/>
    <n v="1298.0918912001721"/>
    <n v="2000"/>
    <x v="98"/>
    <s v="&lt;Клиент не выбран&gt;"/>
    <s v="2023 09"/>
    <n v="701.90810879982791"/>
    <n v="0.54072297466619812"/>
  </r>
  <r>
    <s v="PVP-342186"/>
    <n v="0"/>
    <s v="NSP_OA"/>
    <s v="Доставлен"/>
    <d v="2023-08-18T00:00:00"/>
    <x v="14"/>
    <s v="Витамины"/>
    <s v="000002851"/>
    <x v="131"/>
    <x v="744"/>
    <n v="860.625"/>
    <n v="-100.92"/>
    <n v="0"/>
    <n v="0"/>
    <n v="14.597303830205863"/>
    <n v="774.30230383020591"/>
    <n v="1200"/>
    <x v="98"/>
    <s v="&lt;Клиент не выбран&gt;"/>
    <s v="2023 09"/>
    <n v="425.69769616979409"/>
    <n v="0.5497822931224855"/>
  </r>
  <r>
    <s v="PVP-342186"/>
    <n v="0"/>
    <s v="NSP_OA"/>
    <s v="Доставлен"/>
    <d v="2023-08-18T00:00:00"/>
    <x v="14"/>
    <s v="Витамины"/>
    <s v="000002851"/>
    <x v="131"/>
    <x v="744"/>
    <n v="860.625"/>
    <n v="-100.92"/>
    <n v="0"/>
    <n v="0"/>
    <n v="14.597303830205863"/>
    <n v="774.30230383020591"/>
    <n v="1200"/>
    <x v="98"/>
    <s v="&lt;Клиент не выбран&gt;"/>
    <s v="2023 09"/>
    <n v="425.69769616979409"/>
    <n v="0.5497822931224855"/>
  </r>
  <r>
    <s v="520172829"/>
    <s v="710000950997"/>
    <s v="iHerb_OA CZN6870"/>
    <s v="Доставлен"/>
    <d v="2023-08-30T00:00:00"/>
    <x v="14"/>
    <s v="Витамины"/>
    <s v="BLB-00298"/>
    <x v="186"/>
    <x v="748"/>
    <n v="8.6999999999999993"/>
    <n v="0"/>
    <n v="-0.87604666556346178"/>
    <n v="0"/>
    <n v="0.57553881994775868"/>
    <n v="909.41301555518771"/>
    <n v="1500"/>
    <x v="296"/>
    <s v="&lt;Клиент не выбран&gt;"/>
    <s v="2023 10"/>
    <n v="590.58698444481229"/>
    <n v="0.64941558383598097"/>
  </r>
  <r>
    <s v="520172829"/>
    <s v="710000950997"/>
    <s v="iHerb_OA CZN6870"/>
    <s v="Доставлен"/>
    <d v="2023-08-30T00:00:00"/>
    <x v="14"/>
    <s v="Витамины"/>
    <s v="BLB-00298"/>
    <x v="186"/>
    <x v="748"/>
    <n v="8.6999999999999993"/>
    <n v="0"/>
    <n v="-0.87604666556346178"/>
    <n v="0"/>
    <n v="0.57553881994775868"/>
    <n v="909.41301555518771"/>
    <n v="1400"/>
    <x v="447"/>
    <s v="&lt;Клиент не выбран&gt;"/>
    <s v="2023 10"/>
    <n v="490.58698444481229"/>
    <n v="0.53945454491358225"/>
  </r>
  <r>
    <s v="520172829"/>
    <s v="710000950997"/>
    <s v="iHerb_OA CZN6870"/>
    <s v="Доставлен"/>
    <d v="2023-08-30T00:00:00"/>
    <x v="14"/>
    <s v="Витамины"/>
    <s v="NOW-02313"/>
    <x v="3"/>
    <x v="87"/>
    <n v="21.33"/>
    <n v="-2.1349999999999998"/>
    <n v="-1.9328408902862817"/>
    <n v="0"/>
    <n v="1.2698238676893365"/>
    <n v="2006.4577969634286"/>
    <n v="2900"/>
    <x v="448"/>
    <s v="&lt;Клиент не выбран&gt;"/>
    <s v="2023 10"/>
    <n v="893.54220303657144"/>
    <n v="0.44533316593494138"/>
  </r>
  <r>
    <s v="520172829"/>
    <s v="710000950997"/>
    <s v="iHerb_OA CZN6870"/>
    <s v="Доставлен"/>
    <d v="2023-08-30T00:00:00"/>
    <x v="14"/>
    <s v="Витамины"/>
    <s v="NOW-02313"/>
    <x v="3"/>
    <x v="87"/>
    <n v="21.33"/>
    <n v="-2.1349999999999998"/>
    <n v="-1.9328408902862817"/>
    <n v="0"/>
    <n v="1.2698238676893365"/>
    <n v="2006.4577969634286"/>
    <n v="2900"/>
    <x v="331"/>
    <s v="&lt;Клиент не выбран&gt;"/>
    <s v="2023 10"/>
    <n v="893.54220303657144"/>
    <n v="0.44533316593494138"/>
  </r>
  <r>
    <s v="520172829"/>
    <s v="710000950997"/>
    <s v="iHerb_OA CZN6870"/>
    <s v="Доставлен"/>
    <d v="2023-08-30T00:00:00"/>
    <x v="14"/>
    <s v="Витамины"/>
    <s v="LEX-30210"/>
    <x v="7"/>
    <x v="749"/>
    <n v="16.739999999999998"/>
    <n v="-1.67"/>
    <n v="-1.5174739367863643"/>
    <n v="0"/>
    <n v="0.99693908236927864"/>
    <n v="1575.2705913122618"/>
    <n v="2200"/>
    <x v="296"/>
    <s v="&lt;Клиент не выбран&gt;"/>
    <s v="2023 10"/>
    <n v="624.72940868773821"/>
    <n v="0.39658545784652416"/>
  </r>
  <r>
    <s v="520172829"/>
    <s v="710000950997"/>
    <s v="iHerb_OA CZN6870"/>
    <s v="Доставлен"/>
    <d v="2023-08-30T00:00:00"/>
    <x v="14"/>
    <s v="Витамины"/>
    <s v="LEX-33510"/>
    <x v="7"/>
    <x v="750"/>
    <n v="10.83"/>
    <n v="-1.085"/>
    <n v="-0.9812729604501077"/>
    <n v="0"/>
    <n v="0.64466963222884033"/>
    <n v="1018.6471076534834"/>
    <n v="1600"/>
    <x v="296"/>
    <s v="&lt;Клиент не выбран&gt;"/>
    <s v="2023 10"/>
    <n v="581.35289234651657"/>
    <n v="0.57071078686484356"/>
  </r>
  <r>
    <s v="520172829"/>
    <s v="710000950997"/>
    <s v="iHerb_OA CZN6870"/>
    <s v="Доставлен"/>
    <d v="2023-08-30T00:00:00"/>
    <x v="14"/>
    <s v="Витамины"/>
    <s v="LEX-33510"/>
    <x v="7"/>
    <x v="750"/>
    <n v="10.83"/>
    <n v="-1.085"/>
    <n v="-0.9812729604501077"/>
    <n v="0"/>
    <n v="0.64466963222884033"/>
    <n v="1018.6471076534834"/>
    <n v="1700"/>
    <x v="449"/>
    <s v="&lt;Клиент не выбран&gt;"/>
    <s v="2023 10"/>
    <n v="681.35289234651657"/>
    <n v="0.66888021104389628"/>
  </r>
  <r>
    <s v="520172829"/>
    <s v="710000950997"/>
    <s v="iHerb_OA CZN6870"/>
    <s v="Доставлен"/>
    <d v="2023-08-30T00:00:00"/>
    <x v="14"/>
    <s v="Витамины"/>
    <s v="CGN-01352"/>
    <x v="1"/>
    <x v="286"/>
    <n v="13.59"/>
    <n v="-4.0750000000000002"/>
    <n v="-0.95811310607314248"/>
    <n v="0"/>
    <n v="0.62945423813826729"/>
    <n v="994.60515436869116"/>
    <n v="1900"/>
    <x v="331"/>
    <s v="&lt;Клиент не выбран&gt;"/>
    <s v="2023 10"/>
    <n v="905.39484563130884"/>
    <n v="0.91030580492616986"/>
  </r>
  <r>
    <s v="520172829"/>
    <s v="710000950997"/>
    <s v="iHerb_OA CZN6870"/>
    <s v="Доставлен"/>
    <d v="2023-08-30T00:00:00"/>
    <x v="14"/>
    <s v="Витамины"/>
    <s v="CGN-01352"/>
    <x v="1"/>
    <x v="286"/>
    <n v="13.59"/>
    <n v="-4.0750000000000002"/>
    <n v="-0.95811310607314248"/>
    <n v="0"/>
    <n v="0.62945423813826729"/>
    <n v="994.60515436869116"/>
    <n v="1900"/>
    <x v="331"/>
    <s v="&lt;Клиент не выбран&gt;"/>
    <s v="2023 10"/>
    <n v="905.39484563130884"/>
    <n v="0.91030580492616986"/>
  </r>
  <r>
    <s v="520172829"/>
    <s v="710000950997"/>
    <s v="iHerb_OA CZN6870"/>
    <s v="Доставлен"/>
    <d v="2023-08-30T00:00:00"/>
    <x v="14"/>
    <s v="Витамины"/>
    <s v="LKN-01789"/>
    <x v="90"/>
    <x v="751"/>
    <n v="10.01"/>
    <n v="-5.01"/>
    <n v="-0.50347509515141486"/>
    <n v="0"/>
    <n v="0.33076943675158554"/>
    <n v="522.65115836505049"/>
    <m/>
    <x v="20"/>
    <m/>
    <s v=""/>
    <n v="-522.65115836505049"/>
    <s v=""/>
  </r>
  <r>
    <s v="520172829"/>
    <s v="710000950997"/>
    <s v="iHerb_OA CZN6870"/>
    <s v="Доставлен"/>
    <d v="2023-08-30T00:00:00"/>
    <x v="14"/>
    <s v="Витамины"/>
    <s v="CGN-01242"/>
    <x v="1"/>
    <x v="752"/>
    <n v="9.26"/>
    <n v="-2.78"/>
    <n v="-0.65250372331623374"/>
    <n v="0"/>
    <n v="0.42867719003005478"/>
    <n v="677.35590124110547"/>
    <n v="1700"/>
    <x v="450"/>
    <m/>
    <s v="2025 07"/>
    <n v="1022.6440987588945"/>
    <n v="1.5097588976269705"/>
  </r>
  <r>
    <s v="520282748"/>
    <s v="710000960871"/>
    <s v="iHerb_AV CYG0792"/>
    <s v="Доставлен"/>
    <d v="2023-09-03T00:00:00"/>
    <x v="15"/>
    <s v="Витамины"/>
    <s v="NOW-01757"/>
    <x v="3"/>
    <x v="235"/>
    <n v="23.25"/>
    <n v="-6.28"/>
    <n v="-0.69788336431226761"/>
    <n v="0"/>
    <n v="0.52978788695557422"/>
    <n v="1804.1012750735747"/>
    <n v="2900"/>
    <x v="420"/>
    <s v="&lt;Клиент не выбран&gt;"/>
    <s v="2023 10"/>
    <n v="1095.8987249264253"/>
    <n v="0.6074485618229678"/>
  </r>
  <r>
    <s v="520282748"/>
    <s v="710000960871"/>
    <s v="iHerb_AV CYG0792"/>
    <s v="Доставлен"/>
    <d v="2023-09-03T00:00:00"/>
    <x v="15"/>
    <s v="Спортпит"/>
    <s v="UNN-00042"/>
    <x v="137"/>
    <x v="753"/>
    <n v="57.69"/>
    <n v="-15.574999999999999"/>
    <n v="-1.7319598048327132"/>
    <n v="0"/>
    <n v="1.3147918007739545"/>
    <n v="4477.296711828144"/>
    <n v="6000"/>
    <x v="451"/>
    <s v="&lt;Клиент не выбран&gt;"/>
    <s v="2024 04"/>
    <n v="1522.703288171856"/>
    <n v="0.3400943440154795"/>
  </r>
  <r>
    <s v="520282748"/>
    <s v="710000960871"/>
    <s v="iHerb_AV CYG0792"/>
    <s v="Доставлен"/>
    <d v="2023-09-03T00:00:00"/>
    <x v="15"/>
    <s v="Спортпит"/>
    <s v="UNN-00042"/>
    <x v="137"/>
    <x v="753"/>
    <n v="57.69"/>
    <n v="-15.574999999999999"/>
    <n v="-1.7319598048327132"/>
    <n v="0"/>
    <n v="1.3147918007739545"/>
    <n v="4477.296711828144"/>
    <n v="5000"/>
    <x v="452"/>
    <s v="&lt;Клиент не выбран&gt;"/>
    <s v="2025 01"/>
    <n v="522.703288171856"/>
    <n v="0.11674528667956625"/>
  </r>
  <r>
    <s v="520282748"/>
    <s v="710000960871"/>
    <s v="iHerb_AV CYG0792"/>
    <s v="Доставлен"/>
    <d v="2023-09-03T00:00:00"/>
    <x v="15"/>
    <s v="Витамины"/>
    <s v="NBC-01000"/>
    <x v="8"/>
    <x v="609"/>
    <n v="13.38"/>
    <n v="-3.6133333333333333"/>
    <n v="-0.40164962825278805"/>
    <n v="0"/>
    <n v="0.30490640518166034"/>
    <n v="1038.3061748115449"/>
    <n v="2000"/>
    <x v="185"/>
    <s v="&lt;Клиент не выбран&gt;"/>
    <s v="2023 11"/>
    <n v="961.69382518845509"/>
    <n v="0.92621410574102081"/>
  </r>
  <r>
    <s v="520282748"/>
    <s v="710000960871"/>
    <s v="iHerb_AV CYG0792"/>
    <s v="Доставлен"/>
    <d v="2023-09-03T00:00:00"/>
    <x v="15"/>
    <s v="Витамины"/>
    <s v="NBC-01000"/>
    <x v="8"/>
    <x v="609"/>
    <n v="13.38"/>
    <n v="-3.6133333333333333"/>
    <n v="-0.40164962825278805"/>
    <n v="0"/>
    <n v="0.30490640518166034"/>
    <n v="1038.3061748115449"/>
    <n v="2000"/>
    <x v="446"/>
    <s v="&lt;Клиент не выбран&gt;"/>
    <s v="2024 01"/>
    <n v="961.69382518845509"/>
    <n v="0.92621410574102081"/>
  </r>
  <r>
    <s v="520282748"/>
    <s v="710000960871"/>
    <s v="iHerb_AV CYG0792"/>
    <s v="Доставлен"/>
    <d v="2023-09-03T00:00:00"/>
    <x v="15"/>
    <s v="Витамины"/>
    <s v="NBC-01000"/>
    <x v="8"/>
    <x v="609"/>
    <n v="13.38"/>
    <n v="-3.6133333333333333"/>
    <n v="-0.40164962825278805"/>
    <n v="0"/>
    <n v="0.30490640518166034"/>
    <n v="1038.3061748115449"/>
    <n v="2000"/>
    <x v="387"/>
    <s v="&lt;Клиент не выбран&gt;"/>
    <s v="2024 02"/>
    <n v="961.69382518845509"/>
    <n v="0.92621410574102081"/>
  </r>
  <r>
    <s v="520282748"/>
    <s v="710000960871"/>
    <s v="iHerb_AV CYG0792"/>
    <s v="Доставлен"/>
    <d v="2023-09-03T00:00:00"/>
    <x v="15"/>
    <s v="Витамины"/>
    <s v="SOR-08378"/>
    <x v="10"/>
    <x v="754"/>
    <n v="14.45"/>
    <n v="-3.9"/>
    <n v="-0.43386384758364305"/>
    <n v="0"/>
    <n v="0.32936135576790265"/>
    <n v="1121.5832912213443"/>
    <n v="1600"/>
    <x v="256"/>
    <s v="&lt;Клиент не выбран&gt;"/>
    <s v="2023 10"/>
    <n v="478.41670877865567"/>
    <n v="0.42655477531025399"/>
  </r>
  <r>
    <s v="520282748"/>
    <s v="710000960871"/>
    <s v="iHerb_AV CYG0792"/>
    <s v="Доставлен"/>
    <d v="2023-09-03T00:00:00"/>
    <x v="15"/>
    <s v="Витамины"/>
    <s v="SOR-08378"/>
    <x v="10"/>
    <x v="754"/>
    <n v="14.45"/>
    <n v="-3.9"/>
    <n v="-0.43386384758364305"/>
    <n v="0"/>
    <n v="0.32936135576790265"/>
    <n v="1121.5832912213443"/>
    <n v="1600"/>
    <x v="256"/>
    <s v="&lt;Клиент не выбран&gt;"/>
    <s v="2023 10"/>
    <n v="478.41670877865567"/>
    <n v="0.42655477531025399"/>
  </r>
  <r>
    <s v="520282748"/>
    <s v="710000960871"/>
    <s v="iHerb_AV CYG0792"/>
    <s v="Доставлен"/>
    <d v="2023-09-03T00:00:00"/>
    <x v="15"/>
    <s v="Витамины"/>
    <s v="SBL-00121"/>
    <x v="12"/>
    <x v="26"/>
    <n v="28.92"/>
    <n v="-7.81"/>
    <n v="-0.86813894052044616"/>
    <n v="0"/>
    <n v="0.65903490239435325"/>
    <n v="2244.2296945670696"/>
    <n v="2900"/>
    <x v="296"/>
    <s v="&lt;Клиент не выбран&gt;"/>
    <s v="2023 10"/>
    <n v="655.7703054329304"/>
    <n v="0.29220284671415236"/>
  </r>
  <r>
    <s v="520282748"/>
    <s v="710000960871"/>
    <s v="iHerb_AV CYG0792"/>
    <s v="Доставлен"/>
    <d v="2023-09-03T00:00:00"/>
    <x v="15"/>
    <s v="Витамины"/>
    <s v="SBL-00121"/>
    <x v="12"/>
    <x v="26"/>
    <n v="28.92"/>
    <n v="-7.81"/>
    <n v="-0.86813894052044616"/>
    <n v="0"/>
    <n v="0.65903490239435325"/>
    <n v="2244.2296945670696"/>
    <n v="3500"/>
    <x v="340"/>
    <s v="&lt;Клиент не выбран&gt;"/>
    <s v="2023 10"/>
    <n v="1255.7703054329304"/>
    <n v="0.55955515982742521"/>
  </r>
  <r>
    <s v="520282748"/>
    <s v="710000960871"/>
    <s v="iHerb_AV CYG0792"/>
    <s v="Доставлен"/>
    <d v="2023-09-03T00:00:00"/>
    <x v="15"/>
    <s v="Витамины"/>
    <s v="DRB-00125"/>
    <x v="6"/>
    <x v="755"/>
    <n v="16.64"/>
    <n v="-4.4950000000000001"/>
    <n v="-0.49945748141263935"/>
    <n v="0"/>
    <n v="0.37915579770627283"/>
    <n v="1291.1496750600218"/>
    <n v="2200"/>
    <x v="284"/>
    <s v="&lt;Клиент не выбран&gt;"/>
    <s v="2023 10"/>
    <n v="908.85032493997824"/>
    <n v="0.70390779821690963"/>
  </r>
  <r>
    <s v="520282748"/>
    <s v="710000960871"/>
    <s v="iHerb_AV CYG0792"/>
    <s v="Доставлен"/>
    <d v="2023-09-03T00:00:00"/>
    <x v="15"/>
    <s v="Витамины"/>
    <s v="DRB-00125"/>
    <x v="6"/>
    <x v="755"/>
    <n v="16.64"/>
    <n v="-4.4950000000000001"/>
    <n v="-0.49945748141263935"/>
    <n v="0"/>
    <n v="0.37915579770627283"/>
    <n v="1291.1496750600218"/>
    <n v="2200"/>
    <x v="453"/>
    <s v="&lt;Клиент не выбран&gt;"/>
    <s v="2024 07"/>
    <n v="908.85032493997824"/>
    <n v="0.70390779821690963"/>
  </r>
  <r>
    <s v="520282748"/>
    <s v="710000960871"/>
    <s v="iHerb_AV CYG0792"/>
    <s v="Доставлен"/>
    <d v="2023-09-03T00:00:00"/>
    <x v="15"/>
    <s v="Витамины"/>
    <s v="NFS-01041"/>
    <x v="23"/>
    <x v="718"/>
    <n v="6.36"/>
    <n v="-1.72"/>
    <n v="-0.19081784386617101"/>
    <n v="0"/>
    <n v="0.14485655836616768"/>
    <n v="493.28402571251553"/>
    <n v="1100"/>
    <x v="125"/>
    <s v="&lt;Клиент не выбран&gt;"/>
    <s v="2023 11"/>
    <n v="606.71597428748441"/>
    <n v="1.2299526087655568"/>
  </r>
  <r>
    <s v="520282748"/>
    <s v="710000960871"/>
    <s v="iHerb_AV CYG0792"/>
    <s v="Доставлен"/>
    <d v="2023-09-03T00:00:00"/>
    <x v="15"/>
    <s v="Витамины"/>
    <s v="SWV-02846"/>
    <x v="89"/>
    <x v="756"/>
    <n v="15.61"/>
    <n v="-4.21"/>
    <n v="-0.46881970260223033"/>
    <n v="0"/>
    <n v="0.35589757874446354"/>
    <n v="1211.9478217936801"/>
    <n v="1800"/>
    <x v="454"/>
    <s v="&lt;Клиент не выбран&gt;"/>
    <s v="2023 10"/>
    <n v="588.05217820631992"/>
    <n v="0.48521245521610329"/>
  </r>
  <r>
    <s v="520282748"/>
    <s v="710000960871"/>
    <s v="iHerb_AV CYG0792"/>
    <s v="Доставлен"/>
    <d v="2023-09-03T00:00:00"/>
    <x v="15"/>
    <s v="Витамины"/>
    <s v="HIM-41601"/>
    <x v="49"/>
    <x v="757"/>
    <n v="16.5"/>
    <n v="-4.4550000000000001"/>
    <n v="-0.49534502788104084"/>
    <n v="0"/>
    <n v="0.37603388912079511"/>
    <n v="1280.5185538162175"/>
    <n v="2200"/>
    <x v="448"/>
    <s v="&lt;Клиент не выбран&gt;"/>
    <s v="2023 10"/>
    <n v="919.48144618378251"/>
    <n v="0.71805398168072798"/>
  </r>
  <r>
    <s v="520282748"/>
    <s v="710000960871"/>
    <s v="iHerb_AV CYG0792"/>
    <s v="Доставлен"/>
    <d v="2023-09-03T00:00:00"/>
    <x v="15"/>
    <s v="Витамины"/>
    <s v="HIM-41601"/>
    <x v="49"/>
    <x v="757"/>
    <n v="16.5"/>
    <n v="-4.4550000000000001"/>
    <n v="-0.49534502788104084"/>
    <n v="0"/>
    <n v="0.37603388912079511"/>
    <n v="1280.5185538162175"/>
    <n v="2200"/>
    <x v="448"/>
    <s v="&lt;Клиент не выбран&gt;"/>
    <s v="2023 10"/>
    <n v="919.48144618378251"/>
    <n v="0.71805398168072798"/>
  </r>
  <r>
    <s v="OZO0017"/>
    <n v="0"/>
    <s v="OZON_OA"/>
    <s v="Доставлен"/>
    <d v="2023-09-06T00:00:00"/>
    <x v="15"/>
    <s v="Спортпит"/>
    <s v="425941426"/>
    <x v="60"/>
    <x v="758"/>
    <n v="645"/>
    <n v="0"/>
    <n v="0"/>
    <n v="0"/>
    <n v="64.5"/>
    <n v="709.5"/>
    <n v="1100"/>
    <x v="282"/>
    <s v="&lt;Клиент не выбран&gt;"/>
    <s v="2023 09"/>
    <n v="390.5"/>
    <n v="0.55038759689922478"/>
  </r>
  <r>
    <s v="OZO0017"/>
    <n v="0"/>
    <s v="OZON_OA"/>
    <s v="Доставлен"/>
    <d v="2023-09-06T00:00:00"/>
    <x v="15"/>
    <s v="Спортпит"/>
    <s v="425941426"/>
    <x v="60"/>
    <x v="758"/>
    <n v="645"/>
    <n v="0"/>
    <n v="0"/>
    <n v="0"/>
    <n v="64.5"/>
    <n v="709.5"/>
    <n v="1100"/>
    <x v="282"/>
    <s v="&lt;Клиент не выбран&gt;"/>
    <s v="2023 09"/>
    <n v="390.5"/>
    <n v="0.55038759689922478"/>
  </r>
  <r>
    <s v="OZO0017"/>
    <n v="0"/>
    <s v="OZON_OA"/>
    <s v="Доставлен"/>
    <d v="2023-09-06T00:00:00"/>
    <x v="15"/>
    <s v="Спортпит"/>
    <s v="425941426"/>
    <x v="60"/>
    <x v="758"/>
    <n v="645"/>
    <n v="0"/>
    <n v="0"/>
    <n v="0"/>
    <n v="64.5"/>
    <n v="709.5"/>
    <n v="1100"/>
    <x v="179"/>
    <s v="&lt;Клиент не выбран&gt;"/>
    <s v="2023 10"/>
    <n v="390.5"/>
    <n v="0.55038759689922478"/>
  </r>
  <r>
    <s v="WB0125"/>
    <n v="0"/>
    <s v="WBRS"/>
    <s v="Доставлен"/>
    <d v="2023-08-30T00:00:00"/>
    <x v="14"/>
    <s v="Спортпит"/>
    <s v="108438397"/>
    <x v="174"/>
    <x v="707"/>
    <n v="1041"/>
    <n v="0"/>
    <n v="0"/>
    <n v="0"/>
    <n v="104.10000000000001"/>
    <n v="1145.0999999999999"/>
    <n v="1750"/>
    <x v="283"/>
    <s v="&lt;Клиент не выбран&gt;"/>
    <s v="2023 09"/>
    <n v="604.90000000000009"/>
    <n v="0.52825080778971278"/>
  </r>
  <r>
    <s v="WB0125"/>
    <n v="0"/>
    <s v="WBRS"/>
    <s v="Доставлен"/>
    <d v="2023-08-30T00:00:00"/>
    <x v="14"/>
    <s v="Спортпит"/>
    <s v="108438397"/>
    <x v="174"/>
    <x v="707"/>
    <n v="1041"/>
    <n v="0"/>
    <n v="0"/>
    <n v="0"/>
    <n v="104.10000000000001"/>
    <n v="1145.0999999999999"/>
    <n v="1750"/>
    <x v="283"/>
    <s v="&lt;Клиент не выбран&gt;"/>
    <s v="2023 09"/>
    <n v="604.90000000000009"/>
    <n v="0.52825080778971278"/>
  </r>
  <r>
    <s v="WB0126"/>
    <n v="0"/>
    <s v="WBRS"/>
    <s v="Доставлен"/>
    <d v="2023-09-08T00:00:00"/>
    <x v="15"/>
    <s v="Спортпит"/>
    <s v="109762041"/>
    <x v="35"/>
    <x v="759"/>
    <n v="5006"/>
    <n v="0"/>
    <n v="0"/>
    <n v="0"/>
    <n v="500.6"/>
    <n v="5506.6"/>
    <n v="6800"/>
    <x v="367"/>
    <s v="&lt;Клиент не выбран&gt;"/>
    <s v="2023 09"/>
    <n v="1293.3999999999996"/>
    <n v="0.23488177822976056"/>
  </r>
  <r>
    <s v="WB0126"/>
    <n v="0"/>
    <s v="WBRS"/>
    <s v="Доставлен"/>
    <d v="2023-09-08T00:00:00"/>
    <x v="15"/>
    <s v="Спортпит"/>
    <s v="109762042"/>
    <x v="35"/>
    <x v="760"/>
    <n v="5006"/>
    <n v="0"/>
    <n v="0"/>
    <n v="0"/>
    <n v="500.6"/>
    <n v="5506.6"/>
    <n v="6800"/>
    <x v="367"/>
    <s v="&lt;Клиент не выбран&gt;"/>
    <s v="2023 09"/>
    <n v="1293.3999999999996"/>
    <n v="0.23488177822976056"/>
  </r>
  <r>
    <s v="WB0126"/>
    <n v="0"/>
    <s v="WBRS"/>
    <s v="Доставлен"/>
    <d v="2023-09-08T00:00:00"/>
    <x v="15"/>
    <s v="Спортпит"/>
    <s v="109762034"/>
    <x v="35"/>
    <x v="761"/>
    <n v="5006"/>
    <n v="0"/>
    <n v="0"/>
    <n v="0"/>
    <n v="500.6"/>
    <n v="5506.6"/>
    <n v="6800"/>
    <x v="367"/>
    <s v="&lt;Клиент не выбран&gt;"/>
    <s v="2023 09"/>
    <n v="1293.3999999999996"/>
    <n v="0.23488177822976056"/>
  </r>
  <r>
    <s v="WB0127"/>
    <n v="0"/>
    <s v="WBRS"/>
    <s v="Доставлен"/>
    <d v="2023-09-08T00:00:00"/>
    <x v="15"/>
    <s v="Спортпит"/>
    <s v="156265513"/>
    <x v="34"/>
    <x v="762"/>
    <n v="2191"/>
    <n v="0"/>
    <n v="0"/>
    <n v="0"/>
    <n v="219.10000000000002"/>
    <n v="2410.1"/>
    <n v="3400"/>
    <x v="341"/>
    <s v="&lt;Клиент не выбран&gt;"/>
    <s v="2023 10"/>
    <n v="989.90000000000009"/>
    <n v="0.41072984523463762"/>
  </r>
  <r>
    <s v="WB0128"/>
    <n v="0"/>
    <s v="WBRS"/>
    <s v="Доставлен"/>
    <d v="2023-09-08T00:00:00"/>
    <x v="15"/>
    <s v="Спортпит"/>
    <s v="166611795"/>
    <x v="118"/>
    <x v="763"/>
    <n v="2375"/>
    <n v="0"/>
    <n v="0"/>
    <n v="0"/>
    <n v="237.5"/>
    <n v="2612.5"/>
    <n v="3500"/>
    <x v="367"/>
    <s v="&lt;Клиент не выбран&gt;"/>
    <s v="2023 09"/>
    <n v="887.5"/>
    <n v="0.33971291866028708"/>
  </r>
  <r>
    <s v="WB0128"/>
    <n v="0"/>
    <s v="WBRS"/>
    <s v="Доставлен"/>
    <d v="2023-09-08T00:00:00"/>
    <x v="15"/>
    <s v="Спортпит"/>
    <s v="166611795"/>
    <x v="118"/>
    <x v="763"/>
    <n v="2375"/>
    <n v="0"/>
    <n v="0"/>
    <n v="0"/>
    <n v="237.5"/>
    <n v="2612.5"/>
    <n v="3500"/>
    <x v="179"/>
    <s v="&lt;Клиент не выбран&gt;"/>
    <s v="2023 10"/>
    <n v="887.5"/>
    <n v="0.33971291866028708"/>
  </r>
  <r>
    <s v="WB0128"/>
    <n v="0"/>
    <s v="WBRS"/>
    <s v="Доставлен"/>
    <d v="2023-09-08T00:00:00"/>
    <x v="15"/>
    <s v="Спортпит"/>
    <s v="166611795"/>
    <x v="118"/>
    <x v="763"/>
    <n v="2375"/>
    <n v="0"/>
    <n v="0"/>
    <n v="0"/>
    <n v="237.5"/>
    <n v="2612.5"/>
    <n v="3500"/>
    <x v="455"/>
    <s v="&lt;Клиент не выбран&gt;"/>
    <s v="2023 10"/>
    <n v="887.5"/>
    <n v="0.33971291866028708"/>
  </r>
  <r>
    <s v="WB0129"/>
    <n v="0"/>
    <s v="WBRS"/>
    <s v="Доставлен"/>
    <d v="2023-09-08T00:00:00"/>
    <x v="15"/>
    <s v="Спортпит"/>
    <s v="171016083"/>
    <x v="34"/>
    <x v="764"/>
    <n v="2700"/>
    <n v="0"/>
    <n v="0"/>
    <n v="0"/>
    <n v="270"/>
    <n v="2970"/>
    <n v="3600"/>
    <x v="448"/>
    <s v="&lt;Клиент не выбран&gt;"/>
    <s v="2023 10"/>
    <n v="630"/>
    <n v="0.21212121212121213"/>
  </r>
  <r>
    <s v="WB0129"/>
    <n v="0"/>
    <s v="WBRS"/>
    <s v="Доставлен"/>
    <d v="2023-09-08T00:00:00"/>
    <x v="15"/>
    <s v="Спортпит"/>
    <s v="171016083"/>
    <x v="34"/>
    <x v="764"/>
    <n v="2700"/>
    <n v="0"/>
    <n v="0"/>
    <n v="0"/>
    <n v="270"/>
    <n v="2970"/>
    <n v="3600"/>
    <x v="371"/>
    <s v="&lt;Клиент не выбран&gt;"/>
    <s v="2023 12"/>
    <n v="630"/>
    <n v="0.21212121212121213"/>
  </r>
  <r>
    <s v="OZO0018"/>
    <n v="0"/>
    <s v="OZON_OA"/>
    <s v="Доставлен"/>
    <d v="2023-09-06T00:00:00"/>
    <x v="15"/>
    <s v="Спортпит"/>
    <s v="879350457"/>
    <x v="135"/>
    <x v="474"/>
    <n v="1115"/>
    <n v="0"/>
    <n v="0"/>
    <n v="0"/>
    <n v="111.5"/>
    <n v="1226.5"/>
    <n v="1700"/>
    <x v="367"/>
    <s v="&lt;Клиент не выбран&gt;"/>
    <s v="2023 09"/>
    <n v="473.5"/>
    <n v="0.38605788830004079"/>
  </r>
  <r>
    <s v="520387385"/>
    <s v="710000971994"/>
    <s v="iHerb_VP DFD1605"/>
    <s v="Доставлен"/>
    <d v="2023-09-07T00:00:00"/>
    <x v="15"/>
    <s v="Витамины"/>
    <s v="NOW-07725"/>
    <x v="3"/>
    <x v="348"/>
    <n v="12.79"/>
    <n v="-3.45"/>
    <n v="-0.34281135570585447"/>
    <n v="2.2871560425621285E-15"/>
    <n v="0.32452070040316988"/>
    <n v="1000.4948410373498"/>
    <n v="1600"/>
    <x v="179"/>
    <s v="&lt;Клиент не выбран&gt;"/>
    <s v="2023 10"/>
    <n v="599.50515896265017"/>
    <n v="0.59920864593470691"/>
  </r>
  <r>
    <s v="520387385"/>
    <s v="710000971994"/>
    <s v="iHerb_VP DFD1605"/>
    <s v="Доставлен"/>
    <d v="2023-09-07T00:00:00"/>
    <x v="15"/>
    <s v="Витамины"/>
    <s v="CEN-21434"/>
    <x v="2"/>
    <x v="110"/>
    <n v="7.9"/>
    <n v="-0.79"/>
    <n v="-0.26096239176323616"/>
    <n v="1.7410791715863743E-15"/>
    <n v="0.2470387772876379"/>
    <n v="761.61866378753302"/>
    <n v="1100"/>
    <x v="183"/>
    <s v="&lt;Клиент не выбран&gt;"/>
    <s v="2023 11"/>
    <n v="338.38133621246698"/>
    <n v="0.44429233723041278"/>
  </r>
  <r>
    <s v="520387385"/>
    <s v="710000971994"/>
    <s v="iHerb_VP DFD1605"/>
    <s v="Доставлен"/>
    <d v="2023-09-07T00:00:00"/>
    <x v="15"/>
    <s v="Витамины"/>
    <s v="NOW-01662"/>
    <x v="3"/>
    <x v="122"/>
    <n v="29.72"/>
    <n v="-8.0233333333333334"/>
    <n v="-0.79634515142377116"/>
    <n v="5.3130259389853302E-15"/>
    <n v="0.75385625943048995"/>
    <n v="2324.133090760924"/>
    <n v="3600"/>
    <x v="456"/>
    <s v="&lt;Клиент не выбран&gt;"/>
    <s v="2024 02"/>
    <n v="1275.866909239076"/>
    <n v="0.54896465022205576"/>
  </r>
  <r>
    <s v="520387385"/>
    <s v="710000971994"/>
    <s v="iHerb_VP DFD1605"/>
    <s v="Доставлен"/>
    <d v="2023-09-07T00:00:00"/>
    <x v="15"/>
    <s v="Витамины"/>
    <s v="NOW-01662"/>
    <x v="3"/>
    <x v="122"/>
    <n v="29.72"/>
    <n v="-8.0233333333333334"/>
    <n v="-0.79634515142377116"/>
    <n v="5.3130259389853302E-15"/>
    <n v="0.75385625943048995"/>
    <n v="2324.133090760924"/>
    <n v="4100"/>
    <x v="457"/>
    <s v="&lt;Клиент не выбран&gt;"/>
    <s v="2024 04"/>
    <n v="1775.866909239076"/>
    <n v="0.76409862941956352"/>
  </r>
  <r>
    <s v="520387385"/>
    <s v="710000971994"/>
    <s v="iHerb_VP DFD1605"/>
    <s v="Доставлен"/>
    <d v="2023-09-07T00:00:00"/>
    <x v="15"/>
    <s v="Витамины"/>
    <s v="NOW-01662"/>
    <x v="3"/>
    <x v="122"/>
    <n v="29.72"/>
    <n v="-8.0233333333333334"/>
    <n v="-0.79634515142377116"/>
    <n v="5.3130259389853302E-15"/>
    <n v="0.75385625943048995"/>
    <n v="2324.133090760924"/>
    <n v="4100"/>
    <x v="326"/>
    <s v="&lt;Клиент не выбран&gt;"/>
    <s v="2024 04"/>
    <n v="1775.866909239076"/>
    <n v="0.76409862941956352"/>
  </r>
  <r>
    <s v="520387385"/>
    <s v="710000971994"/>
    <s v="iHerb_VP DFD1605"/>
    <s v="Доставлен"/>
    <d v="2023-09-07T00:00:00"/>
    <x v="15"/>
    <s v="Витамины"/>
    <s v="NOW-00079"/>
    <x v="3"/>
    <x v="538"/>
    <n v="43.84"/>
    <n v="-11.84"/>
    <n v="-1.1745142807909361"/>
    <n v="7.836080659741768E-15"/>
    <n v="1.111848224079383"/>
    <n v="3427.8195838538759"/>
    <n v="4700"/>
    <x v="348"/>
    <s v="&lt;Клиент не выбран&gt;"/>
    <s v="2023 10"/>
    <n v="1272.1804161461241"/>
    <n v="0.37113400662581536"/>
  </r>
  <r>
    <s v="520387385"/>
    <s v="710000971994"/>
    <s v="iHerb_VP DFD1605"/>
    <s v="Доставлен"/>
    <d v="2023-09-07T00:00:00"/>
    <x v="15"/>
    <s v="Витамины"/>
    <s v="NOW-00078"/>
    <x v="3"/>
    <x v="765"/>
    <n v="23.49"/>
    <n v="-6.34"/>
    <n v="-0.62946624736139223"/>
    <n v="4.1996494785803537E-15"/>
    <n v="0.59588115759254423"/>
    <n v="1837.0970582216862"/>
    <n v="2800"/>
    <x v="169"/>
    <s v="&lt;Клиент не выбран&gt;"/>
    <s v="2025 04"/>
    <n v="962.90294177831379"/>
    <n v="0.52414375030920024"/>
  </r>
  <r>
    <s v="520387385"/>
    <s v="710000971994"/>
    <s v="iHerb_VP DFD1605"/>
    <s v="Доставлен"/>
    <d v="2023-09-07T00:00:00"/>
    <x v="15"/>
    <s v="Витамины"/>
    <s v="NOW-04726"/>
    <x v="3"/>
    <x v="48"/>
    <n v="18.52"/>
    <n v="-5"/>
    <n v="-0.49623228363417055"/>
    <n v="3.310744078740897E-15"/>
    <n v="0.46975587467353924"/>
    <n v="1448.2537741782626"/>
    <n v="2400"/>
    <x v="348"/>
    <s v="&lt;Клиент не выбран&gt;"/>
    <s v="2023 10"/>
    <n v="951.74622582173743"/>
    <n v="0.65716813088352355"/>
  </r>
  <r>
    <s v="520387385"/>
    <s v="710000971994"/>
    <s v="iHerb_VP DFD1605"/>
    <s v="Доставлен"/>
    <d v="2023-09-07T00:00:00"/>
    <x v="15"/>
    <s v="Витамины"/>
    <s v="NOW-04726"/>
    <x v="3"/>
    <x v="48"/>
    <n v="18.52"/>
    <n v="-5"/>
    <n v="-0.49623228363417055"/>
    <n v="3.310744078740897E-15"/>
    <n v="0.46975587467353924"/>
    <n v="1448.2537741782626"/>
    <n v="2600"/>
    <x v="104"/>
    <s v="&lt;Клиент не выбран&gt;"/>
    <s v="2023 11"/>
    <n v="1151.7462258217374"/>
    <n v="0.79526547512381718"/>
  </r>
  <r>
    <s v="520387385"/>
    <s v="710000971994"/>
    <s v="iHerb_VP DFD1605"/>
    <s v="Доставлен"/>
    <d v="2023-09-07T00:00:00"/>
    <x v="15"/>
    <s v="Витамины"/>
    <s v="NOW-02644"/>
    <x v="3"/>
    <x v="21"/>
    <n v="23"/>
    <n v="-6.21"/>
    <n v="-0.61625296170249433"/>
    <n v="4.1114935711582587E-15"/>
    <n v="0.5833728650716512"/>
    <n v="1798.5340879033306"/>
    <n v="3000"/>
    <x v="458"/>
    <s v="&lt;Клиент не выбран&gt;"/>
    <s v="2023 11"/>
    <n v="1201.4659120966694"/>
    <n v="0.66802509898341556"/>
  </r>
  <r>
    <s v="520387385"/>
    <s v="710000971994"/>
    <s v="iHerb_VP DFD1605"/>
    <s v="Доставлен"/>
    <d v="2023-09-07T00:00:00"/>
    <x v="15"/>
    <s v="Витамины"/>
    <s v="NOW-02644"/>
    <x v="3"/>
    <x v="21"/>
    <n v="23"/>
    <n v="-6.21"/>
    <n v="-0.61625296170249433"/>
    <n v="4.1114935711582587E-15"/>
    <n v="0.5833728650716512"/>
    <n v="1798.5340879033306"/>
    <n v="3000"/>
    <x v="215"/>
    <s v="&lt;Клиент не выбран&gt;"/>
    <s v="2023 11"/>
    <n v="1201.4659120966694"/>
    <n v="0.66802509898341556"/>
  </r>
  <r>
    <s v="520387385"/>
    <s v="710000971994"/>
    <s v="iHerb_VP DFD1605"/>
    <s v="Доставлен"/>
    <d v="2023-09-07T00:00:00"/>
    <x v="15"/>
    <s v="Витамины"/>
    <s v="NOW-01486"/>
    <x v="3"/>
    <x v="401"/>
    <n v="15.14"/>
    <n v="-4.09"/>
    <n v="-0.40557446258562019"/>
    <n v="2.7058966028170798E-15"/>
    <n v="0.38393508987741193"/>
    <n v="1183.6689500495415"/>
    <n v="2100"/>
    <x v="256"/>
    <s v="&lt;Клиент не выбран&gt;"/>
    <s v="2023 10"/>
    <n v="916.33104995045846"/>
    <n v="0.77414470482824282"/>
  </r>
  <r>
    <s v="520387385"/>
    <s v="710000971994"/>
    <s v="iHerb_VP DFD1605"/>
    <s v="Доставлен"/>
    <d v="2023-09-07T00:00:00"/>
    <x v="15"/>
    <s v="Витамины"/>
    <s v="NOW-01486"/>
    <x v="3"/>
    <x v="401"/>
    <n v="15.14"/>
    <n v="-4.09"/>
    <n v="-0.40557446258562019"/>
    <n v="2.7058966028170798E-15"/>
    <n v="0.38393508987741193"/>
    <n v="1183.6689500495415"/>
    <n v="2000"/>
    <x v="274"/>
    <s v="&lt;Клиент не выбран&gt;"/>
    <s v="2024 05"/>
    <n v="816.33104995045846"/>
    <n v="0.68966162364594552"/>
  </r>
  <r>
    <s v="520387385"/>
    <s v="710000971994"/>
    <s v="iHerb_VP DFD1605"/>
    <s v="Доставлен"/>
    <d v="2023-09-07T00:00:00"/>
    <x v="15"/>
    <s v="Витамины"/>
    <s v="NOW-00372"/>
    <x v="3"/>
    <x v="13"/>
    <n v="7.76"/>
    <n v="-2.0950000000000002"/>
    <n v="-0.2079257312712704"/>
    <n v="1.3872311542949097E-15"/>
    <n v="0.19683188091905318"/>
    <n v="606.83118570413137"/>
    <n v="1100"/>
    <x v="384"/>
    <s v="&lt;Клиент не выбран&gt;"/>
    <s v="2024 02"/>
    <n v="493.16881429586863"/>
    <n v="0.81269523701822344"/>
  </r>
  <r>
    <s v="520387385"/>
    <s v="710000971994"/>
    <s v="iHerb_VP DFD1605"/>
    <s v="Доставлен"/>
    <d v="2023-09-07T00:00:00"/>
    <x v="15"/>
    <s v="Витамины"/>
    <s v="NOW-00372"/>
    <x v="3"/>
    <x v="13"/>
    <n v="7.76"/>
    <n v="-2.0950000000000002"/>
    <n v="-0.2079257312712704"/>
    <n v="1.3872311542949097E-15"/>
    <n v="0.19683188091905318"/>
    <n v="606.83118570413137"/>
    <n v="1200"/>
    <x v="336"/>
    <s v="&lt;Клиент не выбран&gt;"/>
    <s v="2024 03"/>
    <n v="593.16881429586863"/>
    <n v="0.97748571311078924"/>
  </r>
  <r>
    <s v="520387385"/>
    <s v="710000971994"/>
    <s v="iHerb_VP DFD1605"/>
    <s v="Доставлен"/>
    <d v="2023-09-07T00:00:00"/>
    <x v="15"/>
    <s v="Витамины"/>
    <s v="NOW-00376"/>
    <x v="3"/>
    <x v="766"/>
    <n v="10.130000000000001"/>
    <n v="-2.74"/>
    <n v="-0.27123939172015687"/>
    <n v="1.8096448773591148E-15"/>
    <n v="0.2567674492483325"/>
    <n v="791.61208514625446"/>
    <n v="1500"/>
    <x v="201"/>
    <s v="&lt;Клиент не выбран&gt;"/>
    <s v="2023 11"/>
    <n v="708.38791485374554"/>
    <n v="0.89486748389252702"/>
  </r>
  <r>
    <s v="520524942"/>
    <s v="710000983587"/>
    <s v="iHerb_MH DLE7202"/>
    <s v="Доставлен"/>
    <d v="2023-09-13T00:00:00"/>
    <x v="15"/>
    <s v="Спортпит"/>
    <s v="OPN-05223"/>
    <x v="178"/>
    <x v="697"/>
    <n v="36.56"/>
    <n v="-5.4850000000000003"/>
    <n v="0"/>
    <n v="-5.5103857034552313E-15"/>
    <n v="2.6890380558482883"/>
    <n v="3666.0375172613203"/>
    <n v="4100"/>
    <x v="298"/>
    <s v="&lt;Клиент не выбран&gt;"/>
    <s v="2023 11"/>
    <n v="433.96248273867968"/>
    <n v="0.11837371567950221"/>
  </r>
  <r>
    <s v="520524942"/>
    <s v="710000983587"/>
    <s v="iHerb_MH DLE7202"/>
    <s v="Доставлен"/>
    <d v="2023-09-13T00:00:00"/>
    <x v="15"/>
    <s v="Спортпит"/>
    <s v="OPN-05223"/>
    <x v="178"/>
    <x v="697"/>
    <n v="36.56"/>
    <n v="-5.4850000000000003"/>
    <n v="0"/>
    <n v="-5.5103857034552313E-15"/>
    <n v="2.6890380558482883"/>
    <n v="3666.0375172613203"/>
    <n v="4200"/>
    <x v="144"/>
    <s v="&lt;Клиент не выбран&gt;"/>
    <s v="2023 12"/>
    <n v="533.96248273867968"/>
    <n v="0.14565112337900227"/>
  </r>
  <r>
    <s v="520524942"/>
    <s v="710000983587"/>
    <s v="iHerb_MH DLE7202"/>
    <s v="Доставлен"/>
    <d v="2023-09-13T00:00:00"/>
    <x v="15"/>
    <s v="Витамины"/>
    <s v="JAS-01569"/>
    <x v="187"/>
    <x v="767"/>
    <n v="4.45"/>
    <n v="0"/>
    <n v="0"/>
    <n v="-7.8909787225666218E-16"/>
    <n v="0.38507544162590124"/>
    <n v="524.98365090306913"/>
    <n v="800"/>
    <x v="454"/>
    <s v="&lt;Клиент не выбран&gt;"/>
    <s v="2023 10"/>
    <n v="275.01634909693087"/>
    <n v="0.52385697844847512"/>
  </r>
  <r>
    <s v="520524942"/>
    <s v="710000983587"/>
    <s v="iHerb_MH DLE7202"/>
    <s v="Доставлен"/>
    <d v="2023-09-13T00:00:00"/>
    <x v="15"/>
    <s v="Витамины"/>
    <s v="JAS-01569"/>
    <x v="187"/>
    <x v="767"/>
    <n v="4.45"/>
    <n v="0"/>
    <n v="0"/>
    <n v="-7.8909787225666218E-16"/>
    <n v="0.38507544162590124"/>
    <n v="524.98365090306913"/>
    <n v="800"/>
    <x v="454"/>
    <s v="&lt;Клиент не выбран&gt;"/>
    <s v="2023 10"/>
    <n v="275.01634909693087"/>
    <n v="0.52385697844847512"/>
  </r>
  <r>
    <s v="520524942"/>
    <s v="710000983587"/>
    <s v="iHerb_MH DLE7202"/>
    <s v="Доставлен"/>
    <d v="2023-09-13T00:00:00"/>
    <x v="15"/>
    <s v="Витамины"/>
    <s v="EVL-02739"/>
    <x v="125"/>
    <x v="657"/>
    <n v="13.04"/>
    <n v="-3.52"/>
    <n v="0"/>
    <n v="-1.6881374705356008E-15"/>
    <n v="0.82380184365810771"/>
    <n v="1123.1110913701616"/>
    <n v="1700"/>
    <x v="348"/>
    <s v="&lt;Клиент не выбран&gt;"/>
    <s v="2023 10"/>
    <n v="576.8889086298384"/>
    <n v="0.51365257903922168"/>
  </r>
  <r>
    <s v="520524942"/>
    <s v="710000983587"/>
    <s v="iHerb_MH DLE7202"/>
    <s v="Доставлен"/>
    <d v="2023-09-13T00:00:00"/>
    <x v="15"/>
    <s v="Витамины"/>
    <s v="NOW-00376"/>
    <x v="3"/>
    <x v="766"/>
    <n v="10.130000000000001"/>
    <n v="-2.74"/>
    <n v="0"/>
    <n v="-1.3104344440397155E-15"/>
    <n v="0.6394848345203169"/>
    <n v="871.82678206150149"/>
    <n v="1600"/>
    <x v="219"/>
    <s v="&lt;Клиент не выбран&gt;"/>
    <s v="2023 11"/>
    <n v="728.17321793849851"/>
    <n v="0.83522694292170852"/>
  </r>
  <r>
    <s v="520524942"/>
    <s v="710000983587"/>
    <s v="iHerb_MH DLE7202"/>
    <s v="Доставлен"/>
    <d v="2023-09-13T00:00:00"/>
    <x v="15"/>
    <s v="Витамины"/>
    <s v="NOW-00420"/>
    <x v="3"/>
    <x v="515"/>
    <n v="14.33"/>
    <n v="-3.87"/>
    <n v="0"/>
    <n v="-1.8548233132145362E-15"/>
    <n v="0.90514362233863532"/>
    <n v="1234.0065142575515"/>
    <n v="2000"/>
    <x v="341"/>
    <s v="&lt;Клиент не выбран&gt;"/>
    <s v="2023 10"/>
    <n v="765.99348574244846"/>
    <n v="0.62073698711656611"/>
  </r>
  <r>
    <s v="520524942"/>
    <s v="710000983587"/>
    <s v="iHerb_MH DLE7202"/>
    <s v="Доставлен"/>
    <d v="2023-09-13T00:00:00"/>
    <x v="15"/>
    <s v="Витамины"/>
    <s v="NOW-00420"/>
    <x v="3"/>
    <x v="515"/>
    <n v="14.33"/>
    <n v="-3.87"/>
    <n v="0"/>
    <n v="-1.8548233132145362E-15"/>
    <n v="0.90514362233863532"/>
    <n v="1234.0065142575515"/>
    <n v="2000"/>
    <x v="260"/>
    <s v="&lt;Клиент не выбран&gt;"/>
    <s v="2023 10"/>
    <n v="765.99348574244846"/>
    <n v="0.62073698711656611"/>
  </r>
  <r>
    <s v="520524942"/>
    <s v="710000983587"/>
    <s v="iHerb_MH DLE7202"/>
    <s v="Доставлен"/>
    <d v="2023-09-13T00:00:00"/>
    <x v="15"/>
    <s v="Витамины"/>
    <s v="NOW-03776"/>
    <x v="3"/>
    <x v="549"/>
    <n v="19.41"/>
    <n v="-5.24"/>
    <n v="0"/>
    <n v="-2.5127004157026746E-15"/>
    <n v="1.2261840467053977"/>
    <n v="1671.6895131003353"/>
    <n v="2500"/>
    <x v="348"/>
    <s v="&lt;Клиент не выбран&gt;"/>
    <s v="2023 10"/>
    <n v="828.31048689966474"/>
    <n v="0.49549302092795344"/>
  </r>
  <r>
    <s v="520524942"/>
    <s v="710000983587"/>
    <s v="iHerb_MH DLE7202"/>
    <s v="Доставлен"/>
    <d v="2023-09-13T00:00:00"/>
    <x v="15"/>
    <s v="Витамины"/>
    <s v="NOW-03776"/>
    <x v="3"/>
    <x v="549"/>
    <n v="19.41"/>
    <n v="-5.24"/>
    <n v="0"/>
    <n v="-2.5127004157026746E-15"/>
    <n v="1.2261840467053977"/>
    <n v="1671.6895131003353"/>
    <n v="2600"/>
    <x v="176"/>
    <s v="&lt;Клиент не выбран&gt;"/>
    <s v="2023 12"/>
    <n v="928.31048689966474"/>
    <n v="0.55531274176507162"/>
  </r>
  <r>
    <s v="520524942"/>
    <s v="710000983587"/>
    <s v="iHerb_MH DLE7202"/>
    <s v="Доставлен"/>
    <d v="2023-09-13T00:00:00"/>
    <x v="15"/>
    <s v="Спортпит"/>
    <s v="NOW-02035"/>
    <x v="3"/>
    <x v="768"/>
    <n v="16.8"/>
    <n v="-5.04"/>
    <n v="0"/>
    <n v="-2.0853462871322131E-15"/>
    <n v="1.0176375715776627"/>
    <n v="1387.3725246337292"/>
    <n v="2200"/>
    <x v="185"/>
    <s v="&lt;Клиент не выбран&gt;"/>
    <s v="2023 11"/>
    <n v="812.6274753662708"/>
    <n v="0.58573127327918439"/>
  </r>
  <r>
    <s v="520524942"/>
    <s v="710000983587"/>
    <s v="iHerb_MH DLE7202"/>
    <s v="Доставлен"/>
    <d v="2023-09-13T00:00:00"/>
    <x v="15"/>
    <s v="Витамины"/>
    <s v="NOW-04620"/>
    <x v="3"/>
    <x v="248"/>
    <n v="7.74"/>
    <n v="-2.09"/>
    <n v="0"/>
    <n v="-1.0018883097191329E-15"/>
    <n v="0.48891601015423419"/>
    <n v="666.5522758656947"/>
    <n v="1300"/>
    <x v="298"/>
    <s v="&lt;Клиент не выбран&gt;"/>
    <s v="2023 11"/>
    <n v="633.4477241343053"/>
    <n v="0.95033465051425359"/>
  </r>
  <r>
    <s v="520524942"/>
    <s v="710000983587"/>
    <s v="iHerb_MH DLE7202"/>
    <s v="Доставлен"/>
    <d v="2023-09-13T00:00:00"/>
    <x v="15"/>
    <s v="Витамины"/>
    <s v="NOW-04620"/>
    <x v="3"/>
    <x v="248"/>
    <n v="7.74"/>
    <n v="-2.09"/>
    <n v="0"/>
    <n v="-1.0018883097191329E-15"/>
    <n v="0.48891601015423419"/>
    <n v="666.5522758656947"/>
    <n v="1300"/>
    <x v="214"/>
    <s v="&lt;Клиент не выбран&gt;"/>
    <s v="2023 12"/>
    <n v="633.4477241343053"/>
    <n v="0.95033465051425359"/>
  </r>
  <r>
    <s v="520402409"/>
    <s v="710002013499"/>
    <s v="iHerb_AV CYG0792"/>
    <s v="Доставлен"/>
    <d v="2023-09-08T00:00:00"/>
    <x v="15"/>
    <s v="Спортпит"/>
    <s v="BSN-00521"/>
    <x v="188"/>
    <x v="769"/>
    <n v="78.959999999999994"/>
    <n v="-3.95"/>
    <n v="-4.63"/>
    <n v="0"/>
    <n v="4.0226825146447496"/>
    <n v="8005.5087499999991"/>
    <n v="9500"/>
    <x v="448"/>
    <s v="&lt;Клиент не выбран&gt;"/>
    <s v="2023 10"/>
    <n v="1494.4912500000009"/>
    <n v="0.18668285760102393"/>
  </r>
  <r>
    <s v="520402409"/>
    <s v="710002013499"/>
    <s v="iHerb_AV CYG0792"/>
    <s v="Доставлен"/>
    <d v="2023-09-08T00:00:00"/>
    <x v="15"/>
    <s v="Спортпит"/>
    <s v="BSN-00521"/>
    <x v="188"/>
    <x v="769"/>
    <n v="78.959999999999994"/>
    <n v="-3.95"/>
    <n v="-4.63"/>
    <n v="0"/>
    <n v="4.0226825146447496"/>
    <n v="8005.5087499999991"/>
    <n v="9500"/>
    <x v="448"/>
    <s v="&lt;Клиент не выбран&gt;"/>
    <s v="2023 10"/>
    <n v="1494.4912500000009"/>
    <n v="0.18668285760102393"/>
  </r>
  <r>
    <s v="520512627"/>
    <s v="710000982348"/>
    <s v="iHerb_AV CYG0792"/>
    <s v="Доставлен"/>
    <d v="2023-09-12T00:00:00"/>
    <x v="15"/>
    <s v="Витамины"/>
    <s v="AGE-00852"/>
    <x v="189"/>
    <x v="770"/>
    <n v="29.5"/>
    <n v="0"/>
    <n v="-0.57745008482317639"/>
    <n v="0"/>
    <n v="2.670780639142357"/>
    <n v="3428.9255513506464"/>
    <n v="3700"/>
    <x v="341"/>
    <s v="&lt;Клиент не выбран&gt;"/>
    <s v="2023 10"/>
    <n v="271.0744486493536"/>
    <n v="7.9055215574038329E-2"/>
  </r>
  <r>
    <s v="520512627"/>
    <s v="710000982348"/>
    <s v="iHerb_AV CYG0792"/>
    <s v="Доставлен"/>
    <d v="2023-09-12T00:00:00"/>
    <x v="15"/>
    <s v="Витамины"/>
    <s v="EVL-02760"/>
    <x v="125"/>
    <x v="771"/>
    <n v="15.66"/>
    <n v="-4.2300000000000004"/>
    <n v="-0.22373743964504764"/>
    <n v="0"/>
    <n v="1.034814328996513"/>
    <n v="1328.5633576928096"/>
    <n v="2200"/>
    <x v="270"/>
    <s v="&lt;Клиент не выбран&gt;"/>
    <s v="2023 10"/>
    <n v="871.43664230719037"/>
    <n v="0.65592403799283761"/>
  </r>
  <r>
    <s v="520512627"/>
    <s v="710000982348"/>
    <s v="iHerb_AV CYG0792"/>
    <s v="Доставлен"/>
    <d v="2023-09-12T00:00:00"/>
    <x v="15"/>
    <s v="Витамины"/>
    <s v="EVL-02760"/>
    <x v="125"/>
    <x v="771"/>
    <n v="15.66"/>
    <n v="-4.2300000000000004"/>
    <n v="-0.22373743964504764"/>
    <n v="0"/>
    <n v="1.034814328996513"/>
    <n v="1328.5633576928096"/>
    <n v="2200"/>
    <x v="270"/>
    <s v="&lt;Клиент не выбран&gt;"/>
    <s v="2023 10"/>
    <n v="871.43664230719037"/>
    <n v="0.65592403799283761"/>
  </r>
  <r>
    <s v="520512627"/>
    <s v="710000982348"/>
    <s v="iHerb_AV CYG0792"/>
    <s v="Доставлен"/>
    <d v="2023-09-12T00:00:00"/>
    <x v="15"/>
    <s v="Витамины"/>
    <s v="NOW-00140"/>
    <x v="3"/>
    <x v="259"/>
    <n v="7.87"/>
    <n v="-2.12"/>
    <n v="-0.11255383009265302"/>
    <n v="0"/>
    <n v="0.52057588729045945"/>
    <n v="668.3498956022446"/>
    <n v="1300"/>
    <x v="185"/>
    <s v="&lt;Клиент не выбран&gt;"/>
    <s v="2023 11"/>
    <n v="631.6501043977554"/>
    <n v="0.94508895498304923"/>
  </r>
  <r>
    <s v="520512627"/>
    <s v="710000982348"/>
    <s v="iHerb_AV CYG0792"/>
    <s v="Доставлен"/>
    <d v="2023-09-12T00:00:00"/>
    <x v="15"/>
    <s v="Витамины"/>
    <s v="NOW-02700"/>
    <x v="3"/>
    <x v="772"/>
    <n v="21.49"/>
    <n v="-5.8"/>
    <n v="-0.30712514680934355"/>
    <n v="0"/>
    <n v="1.4204931602760533"/>
    <n v="1823.7234542607332"/>
    <n v="2800"/>
    <x v="270"/>
    <s v="&lt;Клиент не выбран&gt;"/>
    <s v="2023 10"/>
    <n v="976.27654573926679"/>
    <n v="0.53532049689793093"/>
  </r>
  <r>
    <s v="520512627"/>
    <s v="710000982348"/>
    <s v="iHerb_AV CYG0792"/>
    <s v="Доставлен"/>
    <d v="2023-09-12T00:00:00"/>
    <x v="15"/>
    <s v="Витамины"/>
    <s v="NOW-02700"/>
    <x v="3"/>
    <x v="772"/>
    <n v="21.49"/>
    <n v="-5.8"/>
    <n v="-0.30712514680934355"/>
    <n v="0"/>
    <n v="1.4204931602760533"/>
    <n v="1823.7234542607332"/>
    <n v="2800"/>
    <x v="270"/>
    <s v="&lt;Клиент не выбран&gt;"/>
    <s v="2023 10"/>
    <n v="976.27654573926679"/>
    <n v="0.53532049689793093"/>
  </r>
  <r>
    <s v="520512627"/>
    <s v="710000982348"/>
    <s v="iHerb_AV CYG0792"/>
    <s v="Доставлен"/>
    <d v="2023-09-12T00:00:00"/>
    <x v="15"/>
    <s v="Косметика"/>
    <s v="PTF-10431"/>
    <x v="169"/>
    <x v="773"/>
    <n v="16.46"/>
    <n v="-4.4400000000000004"/>
    <n v="-0.23528644134151119"/>
    <n v="0"/>
    <n v="1.0882299417793604"/>
    <n v="1397.1418687198227"/>
    <n v="2400"/>
    <x v="454"/>
    <s v="&lt;Клиент не выбран&gt;"/>
    <s v="2023 10"/>
    <n v="1002.8581312801773"/>
    <n v="0.71779262631294494"/>
  </r>
  <r>
    <s v="520512627"/>
    <s v="710000982348"/>
    <s v="iHerb_AV CYG0792"/>
    <s v="Доставлен"/>
    <d v="2023-09-12T00:00:00"/>
    <x v="15"/>
    <s v="Витамины"/>
    <s v="SNS-01819"/>
    <x v="151"/>
    <x v="774"/>
    <n v="10.92"/>
    <n v="-2.95"/>
    <n v="-0.15600939579799036"/>
    <n v="0"/>
    <n v="0.72156344725303667"/>
    <n v="926.39107268693726"/>
    <n v="1600"/>
    <x v="459"/>
    <s v="&lt;Клиент не выбран&gt;"/>
    <s v="2024 01"/>
    <n v="673.60892731306274"/>
    <n v="0.7271323603748725"/>
  </r>
  <r>
    <s v="520512627"/>
    <s v="710000982348"/>
    <s v="iHerb_AV CYG0792"/>
    <s v="Доставлен"/>
    <d v="2023-09-12T00:00:00"/>
    <x v="15"/>
    <s v="Спортпит"/>
    <s v="NOW-02035"/>
    <x v="3"/>
    <x v="768"/>
    <n v="16.8"/>
    <n v="-4.5350000000000001"/>
    <n v="-0.24008221323241552"/>
    <n v="0"/>
    <n v="1.1104110013247799"/>
    <n v="1425.619386010701"/>
    <n v="2500"/>
    <x v="389"/>
    <s v="&lt;Клиент не выбран&gt;"/>
    <s v="2023 12"/>
    <n v="1074.380613989299"/>
    <n v="0.75362374034189417"/>
  </r>
  <r>
    <s v="520512627"/>
    <s v="710000982348"/>
    <s v="iHerb_AV CYG0792"/>
    <s v="Доставлен"/>
    <d v="2023-09-12T00:00:00"/>
    <x v="15"/>
    <s v="Спортпит"/>
    <s v="NOW-02035"/>
    <x v="3"/>
    <x v="768"/>
    <n v="16.8"/>
    <n v="-4.5350000000000001"/>
    <n v="-0.24008221323241552"/>
    <n v="0"/>
    <n v="1.1104110013247799"/>
    <n v="1425.619386010701"/>
    <n v="2500"/>
    <x v="460"/>
    <s v="&lt;Клиент не выбран&gt;"/>
    <s v="2024 12"/>
    <n v="1074.380613989299"/>
    <n v="0.75362374034189417"/>
  </r>
  <r>
    <s v="520512627"/>
    <s v="710000982348"/>
    <s v="iHerb_AV CYG0792"/>
    <s v="Доставлен"/>
    <d v="2023-09-12T00:00:00"/>
    <x v="15"/>
    <s v="Витамины"/>
    <s v="CEN-27452"/>
    <x v="2"/>
    <x v="56"/>
    <n v="5.84"/>
    <n v="-0.57999999999999996"/>
    <n v="-0.10296228631084432"/>
    <n v="0"/>
    <n v="0.47621376819962019"/>
    <n v="611.39486102048807"/>
    <n v="1200"/>
    <x v="461"/>
    <s v="&lt;Клиент не выбран&gt;"/>
    <s v="2024 08"/>
    <n v="588.60513897951193"/>
    <n v="0.96272503500775675"/>
  </r>
  <r>
    <s v="520512627"/>
    <s v="710000982348"/>
    <s v="iHerb_AV CYG0792"/>
    <s v="Доставлен"/>
    <d v="2023-09-12T00:00:00"/>
    <x v="15"/>
    <s v="Витамины"/>
    <s v="PTF-10391"/>
    <x v="169"/>
    <x v="775"/>
    <n v="19.16"/>
    <n v="-5.17"/>
    <n v="-0.27384836226021142"/>
    <n v="0"/>
    <n v="1.2665837675119176"/>
    <n v="1626.1243546913743"/>
    <n v="2500"/>
    <x v="454"/>
    <s v="&lt;Клиент не выбран&gt;"/>
    <s v="2023 10"/>
    <n v="873.87564530862574"/>
    <n v="0.53739779666142473"/>
  </r>
  <r>
    <s v="520475546"/>
    <s v="710000978572"/>
    <s v="iHerb_OA CZN6870"/>
    <s v="Доставлен"/>
    <d v="2023-09-11T00:00:00"/>
    <x v="15"/>
    <s v="Косметика"/>
    <s v="MBY-05089"/>
    <x v="30"/>
    <x v="67"/>
    <n v="12.8"/>
    <n v="-3.4550000000000001"/>
    <n v="-0.97729665071770344"/>
    <n v="0"/>
    <n v="1.4638142003457255"/>
    <n v="1076.7775717703353"/>
    <m/>
    <x v="20"/>
    <m/>
    <s v=""/>
    <n v="-1076.7775717703353"/>
    <s v=""/>
  </r>
  <r>
    <s v="520475546"/>
    <s v="710000978572"/>
    <s v="iHerb_OA CZN6870"/>
    <s v="Доставлен"/>
    <d v="2023-09-11T00:00:00"/>
    <x v="15"/>
    <s v="Косметика"/>
    <s v="MBY-05089"/>
    <x v="30"/>
    <x v="67"/>
    <n v="12.8"/>
    <n v="-3.4550000000000001"/>
    <n v="-0.97729665071770344"/>
    <n v="0"/>
    <n v="1.4638142003457255"/>
    <n v="1076.7775717703353"/>
    <m/>
    <x v="20"/>
    <m/>
    <s v=""/>
    <n v="-1076.7775717703353"/>
    <s v=""/>
  </r>
  <r>
    <s v="520475546"/>
    <s v="710000978572"/>
    <s v="iHerb_OA CZN6870"/>
    <s v="Доставлен"/>
    <d v="2023-09-11T00:00:00"/>
    <x v="15"/>
    <s v="Косметика"/>
    <s v="MBY-24771"/>
    <x v="30"/>
    <x v="776"/>
    <n v="9.52"/>
    <n v="-2.57"/>
    <n v="-0.72682843472317149"/>
    <n v="0"/>
    <n v="1.0886579660142097"/>
    <n v="800.81371041239458"/>
    <m/>
    <x v="20"/>
    <m/>
    <s v=""/>
    <n v="-800.81371041239458"/>
    <s v=""/>
  </r>
  <r>
    <s v="520475546"/>
    <s v="710000978572"/>
    <s v="iHerb_OA CZN6870"/>
    <s v="Доставлен"/>
    <d v="2023-09-11T00:00:00"/>
    <x v="15"/>
    <s v="Косметика"/>
    <s v="LOE-28371"/>
    <x v="190"/>
    <x v="777"/>
    <n v="18.28"/>
    <n v="-4.9400000000000004"/>
    <n v="-1.3950922761449076"/>
    <n v="0"/>
    <n v="2.0895967290114474"/>
    <n v="1537.1014240145821"/>
    <m/>
    <x v="20"/>
    <m/>
    <s v=""/>
    <n v="-1537.1014240145821"/>
    <s v=""/>
  </r>
  <r>
    <s v="520475546"/>
    <s v="710000978572"/>
    <s v="iHerb_OA CZN6870"/>
    <s v="Доставлен"/>
    <d v="2023-09-11T00:00:00"/>
    <x v="15"/>
    <s v="Косметика"/>
    <s v="LOE-36371"/>
    <x v="190"/>
    <x v="778"/>
    <n v="17.84"/>
    <n v="-4.82"/>
    <n v="-1.3616267942583731"/>
    <n v="0"/>
    <n v="2.0394714701446062"/>
    <n v="1500.2294258373206"/>
    <m/>
    <x v="20"/>
    <m/>
    <s v=""/>
    <n v="-1500.2294258373206"/>
    <s v=""/>
  </r>
  <r>
    <s v="520475546"/>
    <s v="710000978572"/>
    <s v="iHerb_OA CZN6870"/>
    <s v="Доставлен"/>
    <d v="2023-09-11T00:00:00"/>
    <x v="15"/>
    <s v="Косметика"/>
    <s v="MBY-54678"/>
    <x v="30"/>
    <x v="779"/>
    <n v="12.71"/>
    <n v="-3.43"/>
    <n v="-0.97049897470950108"/>
    <n v="0"/>
    <n v="1.4536325071383984"/>
    <n v="1069.2879471405788"/>
    <m/>
    <x v="20"/>
    <m/>
    <s v=""/>
    <n v="-1069.2879471405788"/>
    <s v=""/>
  </r>
  <r>
    <s v="520475546"/>
    <s v="710000978572"/>
    <s v="iHerb_OA CZN6870"/>
    <s v="Доставлен"/>
    <d v="2023-09-11T00:00:00"/>
    <x v="15"/>
    <s v="Косметика"/>
    <s v="ARH-19793"/>
    <x v="29"/>
    <x v="620"/>
    <n v="5.75"/>
    <n v="-1.5549999999999999"/>
    <n v="-0.43871155160628844"/>
    <n v="0"/>
    <n v="0.65711081545749783"/>
    <n v="483.36885110503539"/>
    <n v="900"/>
    <x v="336"/>
    <s v="&lt;Клиент не выбран&gt;"/>
    <s v="2024 03"/>
    <n v="416.63114889496461"/>
    <n v="0.861932141350232"/>
  </r>
  <r>
    <s v="520475546"/>
    <s v="710000978572"/>
    <s v="iHerb_OA CZN6870"/>
    <s v="Доставлен"/>
    <d v="2023-09-11T00:00:00"/>
    <x v="15"/>
    <s v="Косметика"/>
    <s v="ARH-19793"/>
    <x v="29"/>
    <x v="620"/>
    <n v="5.75"/>
    <n v="-1.5549999999999999"/>
    <n v="-0.43871155160628844"/>
    <n v="0"/>
    <n v="0.65711081545749783"/>
    <n v="483.36885110503539"/>
    <n v="900"/>
    <x v="336"/>
    <s v="&lt;Клиент не выбран&gt;"/>
    <s v="2024 03"/>
    <n v="416.63114889496461"/>
    <n v="0.861932141350232"/>
  </r>
  <r>
    <s v="520475546"/>
    <s v="710000978572"/>
    <s v="iHerb_OA CZN6870"/>
    <s v="Доставлен"/>
    <d v="2023-09-11T00:00:00"/>
    <x v="15"/>
    <s v="Косметика"/>
    <s v="ARH-00546"/>
    <x v="29"/>
    <x v="562"/>
    <n v="5.82"/>
    <n v="-1.57"/>
    <n v="-0.44446343130553656"/>
    <n v="0"/>
    <n v="0.66572609432523622"/>
    <n v="489.70622579175216"/>
    <n v="850"/>
    <x v="185"/>
    <s v="&lt;Клиент не выбран&gt;"/>
    <s v="2023 11"/>
    <n v="360.29377420824784"/>
    <n v="0.73573451843649418"/>
  </r>
  <r>
    <s v="520475546"/>
    <s v="710000978572"/>
    <s v="iHerb_OA CZN6870"/>
    <s v="Доставлен"/>
    <d v="2023-09-11T00:00:00"/>
    <x v="15"/>
    <s v="Косметика"/>
    <s v="ARH-00546"/>
    <x v="29"/>
    <x v="562"/>
    <n v="5.82"/>
    <n v="-1.57"/>
    <n v="-0.44446343130553656"/>
    <n v="0"/>
    <n v="0.66572609432523622"/>
    <n v="489.70622579175216"/>
    <n v="900"/>
    <x v="357"/>
    <s v="&lt;Клиент не выбран&gt;"/>
    <s v="2024 03"/>
    <n v="410.29377420824784"/>
    <n v="0.8378365489327585"/>
  </r>
  <r>
    <s v="520475546"/>
    <s v="710000978572"/>
    <s v="iHerb_OA CZN6870"/>
    <s v="Доставлен"/>
    <d v="2023-09-11T00:00:00"/>
    <x v="15"/>
    <s v="Косметика"/>
    <s v="ADC-00639"/>
    <x v="145"/>
    <x v="780"/>
    <n v="13.17"/>
    <n v="-3.56"/>
    <n v="-1.0050102529049896"/>
    <n v="0"/>
    <n v="1.5053241803448283"/>
    <n v="1107.3121952608797"/>
    <n v="1700"/>
    <x v="380"/>
    <s v="&lt;Клиент не выбран&gt;"/>
    <s v="2023 10"/>
    <n v="592.68780473912034"/>
    <n v="0.53524905376797083"/>
  </r>
  <r>
    <s v="OZO0019"/>
    <n v="0"/>
    <s v="OZON_OA"/>
    <s v="Доставлен"/>
    <d v="2023-09-13T00:00:00"/>
    <x v="15"/>
    <s v="Спортпит"/>
    <s v="286912637"/>
    <x v="191"/>
    <x v="781"/>
    <n v="1142"/>
    <n v="0"/>
    <n v="0"/>
    <n v="0"/>
    <n v="114.2"/>
    <n v="1256.2"/>
    <n v="1700"/>
    <x v="367"/>
    <s v="&lt;Клиент не выбран&gt;"/>
    <s v="2023 09"/>
    <n v="443.79999999999995"/>
    <n v="0.35328769304250912"/>
  </r>
  <r>
    <s v="OZO0020"/>
    <n v="0"/>
    <s v="OZON_OA"/>
    <s v="Доставлен"/>
    <d v="2023-09-15T00:00:00"/>
    <x v="15"/>
    <s v="Спортпит"/>
    <s v="425941426"/>
    <x v="60"/>
    <x v="758"/>
    <n v="580"/>
    <n v="0"/>
    <n v="0"/>
    <n v="0"/>
    <n v="58"/>
    <n v="638"/>
    <n v="1100"/>
    <x v="144"/>
    <s v="&lt;Клиент не выбран&gt;"/>
    <s v="2023 12"/>
    <n v="462"/>
    <n v="0.72413793103448276"/>
  </r>
  <r>
    <s v="OZO0020"/>
    <n v="0"/>
    <s v="OZON_OA"/>
    <s v="Доставлен"/>
    <d v="2023-09-15T00:00:00"/>
    <x v="15"/>
    <s v="Спортпит"/>
    <s v="425941426"/>
    <x v="60"/>
    <x v="758"/>
    <n v="580"/>
    <n v="0"/>
    <n v="0"/>
    <n v="0"/>
    <n v="58"/>
    <n v="638"/>
    <n v="1100"/>
    <x v="127"/>
    <s v="&lt;Клиент не выбран&gt;"/>
    <s v="2024 03"/>
    <n v="462"/>
    <n v="0.72413793103448276"/>
  </r>
  <r>
    <s v="OZO0020"/>
    <n v="0"/>
    <s v="OZON_OA"/>
    <s v="Доставлен"/>
    <d v="2023-09-15T00:00:00"/>
    <x v="15"/>
    <s v="Спортпит"/>
    <s v="425941426"/>
    <x v="60"/>
    <x v="758"/>
    <n v="580"/>
    <n v="0"/>
    <n v="0"/>
    <n v="0"/>
    <n v="58"/>
    <n v="638"/>
    <m/>
    <x v="20"/>
    <m/>
    <s v=""/>
    <n v="-638"/>
    <s v=""/>
  </r>
  <r>
    <s v="OZO0020"/>
    <n v="0"/>
    <s v="OZON_OA"/>
    <s v="Доставлен"/>
    <d v="2023-09-15T00:00:00"/>
    <x v="15"/>
    <s v="Спортпит"/>
    <s v="425908558"/>
    <x v="60"/>
    <x v="782"/>
    <n v="615"/>
    <n v="0"/>
    <n v="0"/>
    <n v="0"/>
    <n v="61.5"/>
    <n v="676.5"/>
    <n v="1100"/>
    <x v="127"/>
    <s v="&lt;Клиент не выбран&gt;"/>
    <s v="2024 03"/>
    <n v="423.5"/>
    <n v="0.62601626016260159"/>
  </r>
  <r>
    <s v="OZO0020"/>
    <n v="0"/>
    <s v="OZON_OA"/>
    <s v="Доставлен"/>
    <d v="2023-09-15T00:00:00"/>
    <x v="15"/>
    <s v="Спортпит"/>
    <s v="425908558"/>
    <x v="60"/>
    <x v="782"/>
    <n v="615"/>
    <n v="0"/>
    <n v="0"/>
    <n v="0"/>
    <n v="61.5"/>
    <n v="676.5"/>
    <m/>
    <x v="20"/>
    <m/>
    <s v=""/>
    <n v="-676.5"/>
    <s v=""/>
  </r>
  <r>
    <s v="WB0133"/>
    <n v="0"/>
    <s v="WBRS"/>
    <s v="Доставлен"/>
    <d v="2023-09-13T00:00:00"/>
    <x v="15"/>
    <s v="Витамины"/>
    <s v="048748589"/>
    <x v="179"/>
    <x v="783"/>
    <n v="549"/>
    <n v="0"/>
    <n v="0"/>
    <n v="0"/>
    <n v="54.900000000000006"/>
    <n v="603.9"/>
    <n v="1300"/>
    <x v="273"/>
    <s v="&lt;Клиент не выбран&gt;"/>
    <s v="2023 09"/>
    <n v="696.1"/>
    <n v="1.1526742838218249"/>
  </r>
  <r>
    <s v="WB0133"/>
    <n v="0"/>
    <s v="WBRS"/>
    <s v="Доставлен"/>
    <d v="2023-09-13T00:00:00"/>
    <x v="15"/>
    <s v="Витамины"/>
    <s v="048748589"/>
    <x v="179"/>
    <x v="783"/>
    <n v="549"/>
    <n v="0"/>
    <n v="0"/>
    <n v="0"/>
    <n v="54.900000000000006"/>
    <n v="603.9"/>
    <n v="1200"/>
    <x v="387"/>
    <s v="&lt;Клиент не выбран&gt;"/>
    <s v="2024 02"/>
    <n v="596.1"/>
    <n v="0.98708395429706908"/>
  </r>
  <r>
    <s v="WB0134"/>
    <n v="0"/>
    <s v="WBRS"/>
    <s v="Доставлен"/>
    <d v="2023-09-15T00:00:00"/>
    <x v="15"/>
    <s v="Спортпит"/>
    <s v="143233562"/>
    <x v="172"/>
    <x v="665"/>
    <n v="362"/>
    <n v="0"/>
    <n v="0"/>
    <n v="0"/>
    <n v="36.200000000000003"/>
    <n v="398.2"/>
    <n v="650"/>
    <x v="354"/>
    <s v="&lt;Клиент не выбран&gt;"/>
    <s v="2023 09"/>
    <n v="251.8"/>
    <n v="0.63234555499748879"/>
  </r>
  <r>
    <s v="WB0134"/>
    <n v="0"/>
    <s v="WBRS"/>
    <s v="Доставлен"/>
    <d v="2023-09-15T00:00:00"/>
    <x v="15"/>
    <s v="Спортпит"/>
    <s v="143233562"/>
    <x v="172"/>
    <x v="665"/>
    <n v="362"/>
    <n v="0"/>
    <n v="0"/>
    <n v="0"/>
    <n v="36.200000000000003"/>
    <n v="398.2"/>
    <n v="650"/>
    <x v="354"/>
    <s v="&lt;Клиент не выбран&gt;"/>
    <s v="2023 09"/>
    <n v="251.8"/>
    <n v="0.63234555499748879"/>
  </r>
  <r>
    <s v="WB0134"/>
    <n v="0"/>
    <s v="WBRS"/>
    <s v="Доставлен"/>
    <d v="2023-09-15T00:00:00"/>
    <x v="15"/>
    <s v="Спортпит"/>
    <s v="143233562"/>
    <x v="172"/>
    <x v="665"/>
    <n v="362"/>
    <n v="0"/>
    <n v="0"/>
    <n v="0"/>
    <n v="36.200000000000003"/>
    <n v="398.2"/>
    <n v="550"/>
    <x v="354"/>
    <s v="&lt;Клиент не выбран&gt;"/>
    <s v="2023 09"/>
    <n v="151.80000000000001"/>
    <n v="0.38121546961325969"/>
  </r>
  <r>
    <s v="WB0134"/>
    <n v="0"/>
    <s v="WBRS"/>
    <s v="Доставлен"/>
    <d v="2023-09-15T00:00:00"/>
    <x v="15"/>
    <s v="Спортпит"/>
    <s v="143233562"/>
    <x v="172"/>
    <x v="665"/>
    <n v="362"/>
    <n v="0"/>
    <n v="0"/>
    <n v="0"/>
    <n v="36.200000000000003"/>
    <n v="398.2"/>
    <n v="550"/>
    <x v="354"/>
    <s v="&lt;Клиент не выбран&gt;"/>
    <s v="2023 09"/>
    <n v="151.80000000000001"/>
    <n v="0.38121546961325969"/>
  </r>
  <r>
    <s v="WB0135"/>
    <n v="0"/>
    <s v="WBRS"/>
    <s v="Доставлен"/>
    <d v="2023-09-14T00:00:00"/>
    <x v="15"/>
    <s v="Спортпит"/>
    <s v="169921021"/>
    <x v="76"/>
    <x v="784"/>
    <n v="2738"/>
    <n v="0"/>
    <n v="0"/>
    <n v="0"/>
    <n v="273.8"/>
    <n v="3011.8"/>
    <n v="3500"/>
    <x v="296"/>
    <s v="&lt;Клиент не выбран&gt;"/>
    <s v="2023 10"/>
    <n v="488.19999999999982"/>
    <n v="0.16209575669035123"/>
  </r>
  <r>
    <s v="OZD0001"/>
    <n v="0"/>
    <s v="OZON_ДС"/>
    <s v="Доставлен"/>
    <d v="2023-09-05T00:00:00"/>
    <x v="15"/>
    <s v="Спортпит"/>
    <s v="295527532"/>
    <x v="192"/>
    <x v="785"/>
    <n v="5759"/>
    <n v="0"/>
    <n v="0"/>
    <n v="0"/>
    <n v="1000"/>
    <n v="6759"/>
    <n v="8300"/>
    <x v="367"/>
    <s v="&lt;Клиент не выбран&gt;"/>
    <s v="2023 09"/>
    <n v="1541"/>
    <n v="0.22799230655422401"/>
  </r>
  <r>
    <s v="289794072 "/>
    <n v="0"/>
    <s v="YAMARKET"/>
    <s v="Доставлен"/>
    <d v="2023-09-13T00:00:00"/>
    <x v="15"/>
    <s v="Спортпит"/>
    <s v="XXXXXX022"/>
    <x v="118"/>
    <x v="786"/>
    <n v="2549"/>
    <n v="0"/>
    <n v="0"/>
    <n v="0"/>
    <n v="254.89999999999998"/>
    <n v="2803.9"/>
    <n v="3900"/>
    <x v="367"/>
    <s v="&lt;Клиент не выбран&gt;"/>
    <s v="2023 09"/>
    <n v="1096.0999999999999"/>
    <n v="0.39091979029209312"/>
  </r>
  <r>
    <s v="289794072 "/>
    <n v="0"/>
    <s v="YAMARKET"/>
    <s v="Доставлен"/>
    <d v="2023-09-13T00:00:00"/>
    <x v="15"/>
    <s v="Спортпит"/>
    <s v="XXXXXX022"/>
    <x v="118"/>
    <x v="786"/>
    <n v="2549"/>
    <n v="0"/>
    <n v="0"/>
    <n v="0"/>
    <n v="254.89999999999998"/>
    <n v="2803.9"/>
    <n v="3900"/>
    <x v="367"/>
    <s v="&lt;Клиент не выбран&gt;"/>
    <s v="2023 09"/>
    <n v="1096.0999999999999"/>
    <n v="0.39091979029209312"/>
  </r>
  <r>
    <s v="OZO0021"/>
    <n v="0"/>
    <s v="OZON_OA"/>
    <s v="Доставлен"/>
    <d v="2023-09-20T00:00:00"/>
    <x v="15"/>
    <s v="Спортпит"/>
    <s v="980488669"/>
    <x v="193"/>
    <x v="787"/>
    <n v="287"/>
    <n v="0"/>
    <n v="0"/>
    <n v="0"/>
    <n v="28.700000000000006"/>
    <n v="315.7"/>
    <n v="550"/>
    <x v="448"/>
    <s v="&lt;Клиент не выбран&gt;"/>
    <s v="2023 10"/>
    <n v="234.3"/>
    <n v="0.74216027874564461"/>
  </r>
  <r>
    <s v="OZO0021"/>
    <n v="0"/>
    <s v="OZON_OA"/>
    <s v="Доставлен"/>
    <d v="2023-09-20T00:00:00"/>
    <x v="15"/>
    <s v="Спортпит"/>
    <s v="980488669"/>
    <x v="193"/>
    <x v="787"/>
    <n v="287"/>
    <n v="0"/>
    <n v="0"/>
    <n v="0"/>
    <n v="28.700000000000006"/>
    <n v="315.7"/>
    <n v="550"/>
    <x v="448"/>
    <s v="&lt;Клиент не выбран&gt;"/>
    <s v="2023 10"/>
    <n v="234.3"/>
    <n v="0.74216027874564461"/>
  </r>
  <r>
    <s v="294716033"/>
    <n v="0"/>
    <s v="YAMARKET"/>
    <s v="Доставлен"/>
    <d v="2023-09-17T00:00:00"/>
    <x v="15"/>
    <s v="Витамины"/>
    <s v="XXXXXX023"/>
    <x v="194"/>
    <x v="788"/>
    <n v="872"/>
    <n v="0"/>
    <n v="0"/>
    <n v="0"/>
    <n v="87.2"/>
    <n v="959.2"/>
    <n v="1900"/>
    <x v="268"/>
    <s v="&lt;Клиент не выбран&gt;"/>
    <s v="2023 09"/>
    <n v="940.8"/>
    <n v="0.98081734778982477"/>
  </r>
  <r>
    <s v="294716033"/>
    <n v="0"/>
    <s v="YAMARKET"/>
    <s v="Доставлен"/>
    <d v="2023-09-17T00:00:00"/>
    <x v="15"/>
    <s v="Витамины"/>
    <s v="XXXXXX023"/>
    <x v="194"/>
    <x v="788"/>
    <n v="872"/>
    <n v="0"/>
    <n v="0"/>
    <n v="0"/>
    <n v="87.2"/>
    <n v="959.2"/>
    <n v="1900"/>
    <x v="268"/>
    <s v="&lt;Клиент не выбран&gt;"/>
    <s v="2023 09"/>
    <n v="940.8"/>
    <n v="0.98081734778982477"/>
  </r>
  <r>
    <s v="294716033"/>
    <n v="0"/>
    <s v="YAMARKET"/>
    <s v="Доставлен"/>
    <d v="2023-09-17T00:00:00"/>
    <x v="15"/>
    <s v="Витамины"/>
    <s v="XXXXXX023"/>
    <x v="194"/>
    <x v="788"/>
    <n v="872"/>
    <n v="0"/>
    <n v="0"/>
    <n v="0"/>
    <n v="87.2"/>
    <n v="959.2"/>
    <m/>
    <x v="20"/>
    <m/>
    <s v=""/>
    <n v="-959.2"/>
    <s v=""/>
  </r>
  <r>
    <s v="520596849"/>
    <s v="710000988797"/>
    <s v="iHerb_MH DLE7202"/>
    <s v="Доставлен"/>
    <d v="2023-09-16T00:00:00"/>
    <x v="15"/>
    <s v="Витамины"/>
    <s v="NOW-00035"/>
    <x v="3"/>
    <x v="553"/>
    <n v="23.17"/>
    <n v="-6.26"/>
    <n v="-0.34916678784353655"/>
    <n v="3.4943369671959577E-15"/>
    <n v="0.85283226229042353"/>
    <n v="1890.2482161553012"/>
    <n v="2900"/>
    <x v="462"/>
    <s v="&lt;Клиент не выбран&gt;"/>
    <s v="2024 07"/>
    <n v="1009.7517838446988"/>
    <n v="0.53419004721956498"/>
  </r>
  <r>
    <s v="520596849"/>
    <s v="710000988797"/>
    <s v="iHerb_MH DLE7202"/>
    <s v="Доставлен"/>
    <d v="2023-09-16T00:00:00"/>
    <x v="15"/>
    <s v="Витамины"/>
    <s v="MSC-61017"/>
    <x v="50"/>
    <x v="789"/>
    <n v="17.05"/>
    <n v="-4.5999999999999996"/>
    <n v="-0.25707430565653638"/>
    <n v="2.5727081751383598E-15"/>
    <n v="0.62789838353138794"/>
    <n v="1391.6966464301299"/>
    <n v="2400"/>
    <x v="396"/>
    <s v="&lt;Клиент не выбран&gt;"/>
    <s v="2023 12"/>
    <n v="1008.3033535698701"/>
    <n v="0.72451374813346714"/>
  </r>
  <r>
    <s v="520596849"/>
    <s v="710000988797"/>
    <s v="iHerb_MH DLE7202"/>
    <s v="Доставлен"/>
    <d v="2023-09-16T00:00:00"/>
    <x v="15"/>
    <s v="Спортпит"/>
    <s v="VPB-54130"/>
    <x v="81"/>
    <x v="245"/>
    <n v="16.829999999999998"/>
    <n v="-4.54"/>
    <n v="-0.25377053947942424"/>
    <n v="2.5396452588313604E-15"/>
    <n v="0.61982900671492025"/>
    <n v="1373.8113883233968"/>
    <n v="2400"/>
    <x v="270"/>
    <s v="&lt;Клиент не выбран&gt;"/>
    <s v="2023 10"/>
    <n v="1026.1886116766032"/>
    <n v="0.74696470010265859"/>
  </r>
  <r>
    <s v="520596849"/>
    <s v="710000988797"/>
    <s v="iHerb_MH DLE7202"/>
    <s v="Доставлен"/>
    <d v="2023-09-16T00:00:00"/>
    <x v="15"/>
    <s v="Спортпит"/>
    <s v="OPN-02866"/>
    <x v="178"/>
    <x v="790"/>
    <n v="97.72"/>
    <n v="-26.38"/>
    <n v="-1.4730667442198637"/>
    <n v="1.474192780838318E-14"/>
    <n v="3.5979333880425073"/>
    <n v="7974.5894583393947"/>
    <n v="9000"/>
    <x v="463"/>
    <s v="&lt;Клиент не выбран&gt;"/>
    <s v="2024 09"/>
    <n v="1025.4105416606053"/>
    <n v="0.1285847437059329"/>
  </r>
  <r>
    <s v="520596849"/>
    <s v="710000988797"/>
    <s v="iHerb_MH DLE7202"/>
    <s v="Доставлен"/>
    <d v="2023-09-16T00:00:00"/>
    <x v="15"/>
    <s v="Спортпит"/>
    <s v="OPN-02414"/>
    <x v="178"/>
    <x v="791"/>
    <n v="97.72"/>
    <n v="-26.38"/>
    <n v="-1.4730667442198637"/>
    <n v="1.474192780838318E-14"/>
    <n v="3.5979333880425073"/>
    <n v="7974.5894583393947"/>
    <n v="9000"/>
    <x v="463"/>
    <s v="&lt;Клиент не выбран&gt;"/>
    <s v="2024 09"/>
    <n v="1025.4105416606053"/>
    <n v="0.1285847437059329"/>
  </r>
  <r>
    <s v="520596849"/>
    <s v="710000988797"/>
    <s v="iHerb_MH DLE7202"/>
    <s v="Доставлен"/>
    <d v="2023-09-16T00:00:00"/>
    <x v="15"/>
    <s v="Спортпит"/>
    <s v="MRM-72050"/>
    <x v="37"/>
    <x v="792"/>
    <n v="80.44"/>
    <n v="-21.72"/>
    <n v="-1.2124821870001457"/>
    <n v="1.2134090284668633E-14"/>
    <n v="2.961461291643622"/>
    <n v="6563.8897251708613"/>
    <n v="8000"/>
    <x v="464"/>
    <s v="Оксана 17 Цветы"/>
    <s v="2025 05"/>
    <n v="1436.1102748291387"/>
    <n v="0.21878951886135717"/>
  </r>
  <r>
    <s v="520596849"/>
    <s v="710000988797"/>
    <s v="iHerb_MH DLE7202"/>
    <s v="Доставлен"/>
    <d v="2023-09-16T00:00:00"/>
    <x v="15"/>
    <s v="Спортпит"/>
    <s v="MSC-71045"/>
    <x v="50"/>
    <x v="793"/>
    <n v="43.88"/>
    <n v="-11.85"/>
    <n v="-0.66137269158063128"/>
    <n v="6.6187825582073627E-15"/>
    <n v="1.6153883714466148"/>
    <n v="3580.4051072415309"/>
    <n v="5500"/>
    <x v="465"/>
    <s v="&lt;Клиент не выбран&gt;"/>
    <s v="2023 10"/>
    <n v="1919.5948927584691"/>
    <n v="0.53613902205535391"/>
  </r>
  <r>
    <s v="520749913"/>
    <s v="700000902322"/>
    <s v="iHerb_MH DLE7202"/>
    <s v="Доставлен"/>
    <d v="2023-09-21T00:00:00"/>
    <x v="15"/>
    <s v="Витамины"/>
    <s v="NOW-01607"/>
    <x v="3"/>
    <x v="450"/>
    <n v="13.46"/>
    <n v="-3.63"/>
    <n v="0"/>
    <n v="2.0082332065905082E-15"/>
    <n v="0.84031227819266596"/>
    <n v="1156.2332590569297"/>
    <n v="1900"/>
    <x v="308"/>
    <s v="&lt;Клиент не выбран&gt;"/>
    <s v="2024 02"/>
    <n v="743.76674094307032"/>
    <n v="0.64326703553720321"/>
  </r>
  <r>
    <s v="520749913"/>
    <s v="700000902322"/>
    <s v="iHerb_MH DLE7202"/>
    <s v="Доставлен"/>
    <d v="2023-09-21T00:00:00"/>
    <x v="15"/>
    <s v="Витамины"/>
    <s v="CAR-01543"/>
    <x v="154"/>
    <x v="794"/>
    <n v="24.53"/>
    <n v="-6.62"/>
    <n v="0"/>
    <n v="3.6589477853546281E-15"/>
    <n v="1.5310267449064743"/>
    <n v="2106.6264160437036"/>
    <n v="3200"/>
    <x v="447"/>
    <s v="&lt;Клиент не выбран&gt;"/>
    <s v="2023 10"/>
    <n v="1093.3735839562964"/>
    <n v="0.51901636456723022"/>
  </r>
  <r>
    <s v="520749913"/>
    <s v="700000902322"/>
    <s v="iHerb_MH DLE7202"/>
    <s v="Доставлен"/>
    <d v="2023-09-21T00:00:00"/>
    <x v="15"/>
    <s v="Витамины"/>
    <s v="FBS-20726"/>
    <x v="20"/>
    <x v="42"/>
    <n v="7.64"/>
    <n v="-2.0649999999999999"/>
    <n v="0"/>
    <n v="1.1389522000754913E-15"/>
    <n v="0.47657588513978749"/>
    <n v="655.74775373778039"/>
    <n v="1600"/>
    <x v="420"/>
    <s v="&lt;Клиент не выбран&gt;"/>
    <s v="2023 10"/>
    <n v="944.25224626221961"/>
    <n v="1.4399626089147171"/>
  </r>
  <r>
    <s v="520749913"/>
    <s v="700000902322"/>
    <s v="iHerb_MH DLE7202"/>
    <s v="Доставлен"/>
    <d v="2023-09-21T00:00:00"/>
    <x v="15"/>
    <s v="Витамины"/>
    <s v="FBS-20726"/>
    <x v="20"/>
    <x v="42"/>
    <n v="7.64"/>
    <n v="-2.0649999999999999"/>
    <n v="0"/>
    <n v="1.1389522000754913E-15"/>
    <n v="0.47657588513978749"/>
    <n v="655.74775373778039"/>
    <n v="1600"/>
    <x v="444"/>
    <s v="&lt;Клиент не выбран&gt;"/>
    <s v="2023 11"/>
    <n v="944.25224626221961"/>
    <n v="1.4399626089147171"/>
  </r>
  <r>
    <s v="520749913"/>
    <s v="700000902322"/>
    <s v="iHerb_MH DLE7202"/>
    <s v="Доставлен"/>
    <d v="2023-09-21T00:00:00"/>
    <x v="15"/>
    <s v="Витамины"/>
    <s v="FBS-00678"/>
    <x v="20"/>
    <x v="542"/>
    <n v="13.35"/>
    <n v="-3.605"/>
    <n v="0"/>
    <n v="1.9908680160960831E-15"/>
    <n v="0.83304609877797842"/>
    <n v="1146.2353112420933"/>
    <n v="2000"/>
    <x v="155"/>
    <s v="&lt;Клиент не выбран&gt;"/>
    <s v="2023 11"/>
    <n v="853.7646887579067"/>
    <n v="0.74484242492297925"/>
  </r>
  <r>
    <s v="520749913"/>
    <s v="700000902322"/>
    <s v="iHerb_MH DLE7202"/>
    <s v="Доставлен"/>
    <d v="2023-09-21T00:00:00"/>
    <x v="15"/>
    <s v="Витамины"/>
    <s v="FBS-00678"/>
    <x v="20"/>
    <x v="542"/>
    <n v="13.35"/>
    <n v="-3.605"/>
    <n v="0"/>
    <n v="1.9908680160960831E-15"/>
    <n v="0.83304609877797842"/>
    <n v="1146.2353112420933"/>
    <n v="2000"/>
    <x v="348"/>
    <s v="&lt;Клиент не выбран&gt;"/>
    <s v="2023 10"/>
    <n v="853.7646887579067"/>
    <n v="0.74484242492297925"/>
  </r>
  <r>
    <s v="520749913"/>
    <s v="700000902322"/>
    <s v="iHerb_MH DLE7202"/>
    <s v="Доставлен"/>
    <d v="2023-09-21T00:00:00"/>
    <x v="15"/>
    <s v="Витамины"/>
    <s v="NOW-01233"/>
    <x v="3"/>
    <x v="795"/>
    <n v="15.32"/>
    <n v="-4.1399999999999997"/>
    <n v="0"/>
    <n v="2.284033290913721E-15"/>
    <n v="0.95571630419064124"/>
    <n v="1315.0241949396207"/>
    <n v="2000"/>
    <x v="466"/>
    <s v="&lt;Клиент не выбран&gt;"/>
    <s v="2025 06"/>
    <n v="684.97580506037934"/>
    <n v="0.52088456447892961"/>
  </r>
  <r>
    <s v="520877849"/>
    <s v="700000923063"/>
    <s v="iHerb_AV CYG0792"/>
    <s v="Доставлен"/>
    <d v="2023-09-25T00:00:00"/>
    <x v="15"/>
    <s v="Витамины"/>
    <s v="SOR-62754"/>
    <x v="10"/>
    <x v="796"/>
    <n v="11.9"/>
    <n v="-3.25"/>
    <n v="0"/>
    <n v="1.5946538663358289E-15"/>
    <n v="0.66947993917248649"/>
    <n v="1006.5038334306288"/>
    <n v="1700"/>
    <x v="447"/>
    <s v="&lt;Клиент не выбран&gt;"/>
    <s v="2023 10"/>
    <n v="693.49616656937121"/>
    <n v="0.68901492824485011"/>
  </r>
  <r>
    <s v="520877849"/>
    <s v="700000923063"/>
    <s v="iHerb_AV CYG0792"/>
    <s v="Доставлен"/>
    <d v="2023-09-25T00:00:00"/>
    <x v="15"/>
    <s v="Косметика"/>
    <s v="EUC-03226"/>
    <x v="13"/>
    <x v="29"/>
    <n v="18.98"/>
    <n v="-5.12"/>
    <n v="0"/>
    <n v="2.555133247099952E-15"/>
    <n v="1.0727158331711748"/>
    <n v="1612.7333099824871"/>
    <n v="2400"/>
    <x v="330"/>
    <s v="&lt;Клиент не выбран&gt;"/>
    <s v="2023 10"/>
    <n v="787.26669001751293"/>
    <n v="0.48815677405836055"/>
  </r>
  <r>
    <s v="520877849"/>
    <s v="700000923063"/>
    <s v="iHerb_AV CYG0792"/>
    <s v="Доставлен"/>
    <d v="2023-09-25T00:00:00"/>
    <x v="15"/>
    <s v="Косметика"/>
    <s v="EUC-03226"/>
    <x v="13"/>
    <x v="29"/>
    <n v="18.98"/>
    <n v="-5.12"/>
    <n v="0"/>
    <n v="2.555133247099952E-15"/>
    <n v="1.0727158331711748"/>
    <n v="1612.7333099824871"/>
    <n v="600"/>
    <x v="467"/>
    <s v="&lt;Клиент не выбран&gt;"/>
    <s v="2024 03"/>
    <n v="-1012.7333099824871"/>
    <n v="-0.62796080648540986"/>
  </r>
  <r>
    <s v="520877849"/>
    <s v="700000923063"/>
    <s v="iHerb_AV CYG0792"/>
    <s v="Доставлен"/>
    <d v="2023-09-25T00:00:00"/>
    <x v="15"/>
    <s v="Витамины"/>
    <s v="SNS-01177"/>
    <x v="151"/>
    <x v="647"/>
    <n v="27.65"/>
    <n v="-7.46"/>
    <n v="0"/>
    <n v="3.7220880417711419E-15"/>
    <n v="1.5626358349008671"/>
    <n v="2349.2846701692938"/>
    <n v="3400"/>
    <x v="380"/>
    <s v="&lt;Клиент не выбран&gt;"/>
    <s v="2023 10"/>
    <n v="1050.7153298307062"/>
    <n v="0.44724904698543394"/>
  </r>
  <r>
    <s v="520877849"/>
    <s v="700000923063"/>
    <s v="iHerb_AV CYG0792"/>
    <s v="Доставлен"/>
    <d v="2023-09-25T00:00:00"/>
    <x v="15"/>
    <s v="Спортпит"/>
    <s v="UNN-00042"/>
    <x v="137"/>
    <x v="753"/>
    <n v="57.69"/>
    <n v="-15.57"/>
    <n v="0"/>
    <n v="7.7649503872907629E-15"/>
    <n v="3.2599416228838298"/>
    <n v="4901.0336952714542"/>
    <n v="3800"/>
    <x v="468"/>
    <s v="&lt;Клиент не выбран&gt;"/>
    <s v="2025 03"/>
    <n v="-1101.0336952714542"/>
    <n v="-0.22465336166403793"/>
  </r>
  <r>
    <s v="520877849"/>
    <s v="700000923063"/>
    <s v="iHerb_AV CYG0792"/>
    <s v="Доставлен"/>
    <d v="2023-09-25T00:00:00"/>
    <x v="15"/>
    <s v="Витамины"/>
    <s v="SNS-00233"/>
    <x v="151"/>
    <x v="797"/>
    <n v="32.06"/>
    <n v="-8.65"/>
    <n v="0"/>
    <n v="4.3157048567539606E-15"/>
    <n v="1.8118526446275041"/>
    <n v="2723.9600856197712"/>
    <n v="3700"/>
    <x v="185"/>
    <s v="&lt;Клиент не выбран&gt;"/>
    <s v="2023 11"/>
    <n v="976.03991438022877"/>
    <n v="0.35831652583050039"/>
  </r>
  <r>
    <s v="520877849"/>
    <s v="700000923063"/>
    <s v="iHerb_AV CYG0792"/>
    <s v="Доставлен"/>
    <d v="2023-09-25T00:00:00"/>
    <x v="15"/>
    <s v="Витамины"/>
    <s v="NOW-00367"/>
    <x v="3"/>
    <x v="365"/>
    <n v="5.48"/>
    <n v="-1.47"/>
    <n v="0"/>
    <n v="7.3925572300655203E-16"/>
    <n v="0.31036006428689838"/>
    <n v="466.59888694298525"/>
    <n v="900"/>
    <x v="262"/>
    <s v="&lt;Клиент не выбран&gt;"/>
    <s v="2023 11"/>
    <n v="433.40111305701475"/>
    <n v="0.92885157934372231"/>
  </r>
  <r>
    <s v="520877849"/>
    <s v="700000923063"/>
    <s v="iHerb_AV CYG0792"/>
    <s v="Доставлен"/>
    <d v="2023-09-25T00:00:00"/>
    <x v="15"/>
    <s v="Витамины"/>
    <s v="FOA-01857"/>
    <x v="171"/>
    <x v="729"/>
    <n v="26.6"/>
    <n v="-15.98"/>
    <n v="0"/>
    <n v="1.9578293711545092E-15"/>
    <n v="0.82195109294934188"/>
    <n v="1235.7307180385294"/>
    <n v="2900"/>
    <x v="230"/>
    <s v="&lt;Клиент не выбран&gt;"/>
    <s v="2023 12"/>
    <n v="1664.2692819614706"/>
    <n v="1.3467896020284733"/>
  </r>
  <r>
    <s v="520877849"/>
    <s v="700000923063"/>
    <s v="iHerb_AV CYG0792"/>
    <s v="Доставлен"/>
    <d v="2023-09-25T00:00:00"/>
    <x v="15"/>
    <s v="Витамины"/>
    <s v="DRB-00091"/>
    <x v="6"/>
    <x v="16"/>
    <n v="11.95"/>
    <n v="-3.2250000000000001"/>
    <n v="0"/>
    <n v="1.6084803449456771E-15"/>
    <n v="0.67528467852947338"/>
    <n v="1015.2307452811833"/>
    <n v="1800"/>
    <x v="420"/>
    <s v="&lt;Клиент не выбран&gt;"/>
    <s v="2023 10"/>
    <n v="784.76925471881668"/>
    <n v="0.77299595029646495"/>
  </r>
  <r>
    <s v="520877849"/>
    <s v="700000923063"/>
    <s v="iHerb_AV CYG0792"/>
    <s v="Доставлен"/>
    <d v="2023-09-25T00:00:00"/>
    <x v="15"/>
    <s v="Витамины"/>
    <s v="DRB-00091"/>
    <x v="6"/>
    <x v="16"/>
    <n v="11.95"/>
    <n v="-3.2250000000000001"/>
    <n v="0"/>
    <n v="1.6084803449456771E-15"/>
    <n v="0.67528467852947338"/>
    <n v="1015.2307452811833"/>
    <n v="1800"/>
    <x v="431"/>
    <s v="&lt;Клиент не выбран&gt;"/>
    <s v="2023 10"/>
    <n v="784.76925471881668"/>
    <n v="0.77299595029646495"/>
  </r>
  <r>
    <s v="520749510"/>
    <s v="700000902116"/>
    <s v="iHerb_OA CZN6870"/>
    <s v="Доставлен"/>
    <d v="2023-09-21T00:00:00"/>
    <x v="15"/>
    <s v="Витамины"/>
    <s v="SNS-01177"/>
    <x v="151"/>
    <x v="647"/>
    <n v="27.65"/>
    <n v="-2.77"/>
    <n v="0"/>
    <n v="-3.3879461988714623E-15"/>
    <n v="1.4175857187196854"/>
    <n v="2849.6921655806818"/>
    <n v="3400"/>
    <x v="420"/>
    <s v="&lt;Клиент не выбран&gt;"/>
    <s v="2023 10"/>
    <n v="550.30783441931817"/>
    <n v="0.19311132657277102"/>
  </r>
  <r>
    <s v="520749510"/>
    <s v="700000902116"/>
    <s v="iHerb_OA CZN6870"/>
    <s v="Доставлен"/>
    <d v="2023-09-21T00:00:00"/>
    <x v="15"/>
    <s v="Витамины"/>
    <s v="HEC-50301"/>
    <x v="157"/>
    <x v="602"/>
    <n v="57.79"/>
    <n v="-5.78"/>
    <n v="0"/>
    <n v="-7.0822782075283259E-15"/>
    <n v="2.9633695028380567"/>
    <n v="5957.0936307014181"/>
    <n v="6600"/>
    <x v="380"/>
    <s v="&lt;Клиент не выбран&gt;"/>
    <s v="2023 10"/>
    <n v="642.90636929858192"/>
    <n v="0.10792282430902179"/>
  </r>
  <r>
    <s v="520749510"/>
    <s v="700000902116"/>
    <s v="iHerb_OA CZN6870"/>
    <s v="Доставлен"/>
    <d v="2023-09-21T00:00:00"/>
    <x v="15"/>
    <s v="Витамины"/>
    <s v="CGN-00956"/>
    <x v="1"/>
    <x v="305"/>
    <n v="16.45"/>
    <n v="-4.9349999999999996"/>
    <n v="0"/>
    <n v="-1.5680144887461772E-15"/>
    <n v="0.65608921025149447"/>
    <n v="1318.8989263127635"/>
    <n v="2300"/>
    <x v="160"/>
    <s v="&lt;Клиент не выбран&gt;"/>
    <s v="2023 12"/>
    <n v="981.10107368723652"/>
    <n v="0.74387889330541346"/>
  </r>
  <r>
    <s v="520749510"/>
    <s v="700000902116"/>
    <s v="iHerb_OA CZN6870"/>
    <s v="Доставлен"/>
    <d v="2023-09-21T00:00:00"/>
    <x v="15"/>
    <s v="Витамины"/>
    <s v="CGN-00956"/>
    <x v="1"/>
    <x v="305"/>
    <n v="16.45"/>
    <n v="-4.9349999999999996"/>
    <n v="0"/>
    <n v="-1.5680144887461772E-15"/>
    <n v="0.65608921025149447"/>
    <n v="1318.8989263127635"/>
    <n v="2400"/>
    <x v="349"/>
    <s v="&lt;Клиент не выбран&gt;"/>
    <s v="2023 12"/>
    <n v="1081.1010736872365"/>
    <n v="0.81969971475347492"/>
  </r>
  <r>
    <s v="520749510"/>
    <s v="700000902116"/>
    <s v="iHerb_OA CZN6870"/>
    <s v="Доставлен"/>
    <d v="2023-09-21T00:00:00"/>
    <x v="15"/>
    <s v="Витамины"/>
    <s v="HRM-50004"/>
    <x v="195"/>
    <x v="798"/>
    <n v="8.89"/>
    <n v="-4.45"/>
    <n v="0"/>
    <n v="-6.0460133130985912E-16"/>
    <n v="0.25297751572007254"/>
    <n v="508.54635109237256"/>
    <n v="1900"/>
    <x v="104"/>
    <s v="&lt;Клиент не выбран&gt;"/>
    <s v="2023 11"/>
    <n v="1391.4536489076274"/>
    <n v="2.7361392838995777"/>
  </r>
  <r>
    <s v="520705097"/>
    <s v="710000994812"/>
    <s v="iHerb_VP DFD1605"/>
    <s v="Доставлен"/>
    <d v="2023-09-19T00:00:00"/>
    <x v="15"/>
    <s v="Витамины"/>
    <s v="DRB-00025"/>
    <x v="6"/>
    <x v="113"/>
    <n v="12.84"/>
    <n v="-3.47"/>
    <n v="-0.82179849090102108"/>
    <n v="3.5460907771356278E-15"/>
    <n v="0.49025560291172887"/>
    <n v="988.08708655126532"/>
    <n v="1800"/>
    <x v="348"/>
    <s v="&lt;Клиент не выбран&gt;"/>
    <s v="2023 10"/>
    <n v="811.91291344873468"/>
    <n v="0.8217017755819136"/>
  </r>
  <r>
    <s v="520705097"/>
    <s v="710000994812"/>
    <s v="iHerb_VP DFD1605"/>
    <s v="Доставлен"/>
    <d v="2023-09-19T00:00:00"/>
    <x v="15"/>
    <s v="Витамины"/>
    <s v="LEX-14591"/>
    <x v="7"/>
    <x v="583"/>
    <n v="9.4"/>
    <n v="-2.54"/>
    <n v="-0.60165823346648939"/>
    <n v="2.5961774526307801E-15"/>
    <n v="0.35892779466109498"/>
    <n v="723.40207190412809"/>
    <n v="1600"/>
    <x v="348"/>
    <s v="&lt;Клиент не выбран&gt;"/>
    <s v="2023 10"/>
    <n v="876.59792809587191"/>
    <n v="1.2117713815617144"/>
  </r>
  <r>
    <s v="520705097"/>
    <s v="710000994812"/>
    <s v="iHerb_VP DFD1605"/>
    <s v="Доставлен"/>
    <d v="2023-09-19T00:00:00"/>
    <x v="15"/>
    <s v="Витамины"/>
    <s v="LEX-14591"/>
    <x v="7"/>
    <x v="583"/>
    <n v="9.4"/>
    <n v="-2.54"/>
    <n v="-0.60165823346648939"/>
    <n v="2.5961774526307801E-15"/>
    <n v="0.35892779466109498"/>
    <n v="723.40207190412809"/>
    <n v="1600"/>
    <x v="447"/>
    <s v="&lt;Клиент не выбран&gt;"/>
    <s v="2023 10"/>
    <n v="876.59792809587191"/>
    <n v="1.2117713815617144"/>
  </r>
  <r>
    <s v="520705097"/>
    <s v="710000994812"/>
    <s v="iHerb_VP DFD1605"/>
    <s v="Доставлен"/>
    <d v="2023-09-19T00:00:00"/>
    <x v="15"/>
    <s v="Витамины"/>
    <s v="CEN-28026"/>
    <x v="2"/>
    <x v="4"/>
    <n v="2.42"/>
    <n v="-0.65"/>
    <n v="-0.15523834886817581"/>
    <n v="6.6985919696158611E-16"/>
    <n v="9.2609649642877268E-2"/>
    <n v="186.6503888149135"/>
    <n v="800"/>
    <x v="166"/>
    <s v="&lt;Клиент не выбран&gt;"/>
    <s v="2025 01"/>
    <n v="613.34961118508647"/>
    <n v="3.2860880444952998"/>
  </r>
  <r>
    <s v="520705097"/>
    <s v="710000994812"/>
    <s v="iHerb_VP DFD1605"/>
    <s v="Доставлен"/>
    <d v="2023-09-19T00:00:00"/>
    <x v="15"/>
    <s v="Витамины"/>
    <s v="NOW-01552"/>
    <x v="3"/>
    <x v="514"/>
    <n v="13.51"/>
    <n v="-3.65"/>
    <n v="-0.86477407900577041"/>
    <n v="3.7315320237521117E-15"/>
    <n v="0.51589330253037857"/>
    <n v="1039.7586631158458"/>
    <n v="1800"/>
    <x v="274"/>
    <s v="&lt;Клиент не выбран&gt;"/>
    <s v="2024 05"/>
    <n v="760.24133688415418"/>
    <n v="0.7311709571199323"/>
  </r>
  <r>
    <s v="520705097"/>
    <s v="710000994812"/>
    <s v="iHerb_VP DFD1605"/>
    <s v="Доставлен"/>
    <d v="2023-09-19T00:00:00"/>
    <x v="15"/>
    <s v="Витамины"/>
    <s v="NOW-01283"/>
    <x v="3"/>
    <x v="343"/>
    <n v="17.43"/>
    <n v="-4.71"/>
    <n v="-1.1156111850865515"/>
    <n v="4.8139033815544478E-15"/>
    <n v="0.66553375336576215"/>
    <n v="1341.3519467376836"/>
    <n v="2500"/>
    <x v="343"/>
    <s v="&lt;Клиент не выбран&gt;"/>
    <s v="2023 10"/>
    <n v="1158.6480532623164"/>
    <n v="0.86379123397127544"/>
  </r>
  <r>
    <s v="520705097"/>
    <s v="710000994812"/>
    <s v="iHerb_VP DFD1605"/>
    <s v="Доставлен"/>
    <d v="2023-09-19T00:00:00"/>
    <x v="15"/>
    <s v="Витамины"/>
    <s v="NOW-01480"/>
    <x v="3"/>
    <x v="165"/>
    <n v="6.14"/>
    <n v="-1.66"/>
    <n v="-0.39291966267199302"/>
    <n v="1.6954628262078559E-15"/>
    <n v="0.23440182508479673"/>
    <n v="472.42584287616529"/>
    <n v="1100"/>
    <x v="422"/>
    <s v="&lt;Клиент не выбран&gt;"/>
    <s v="2024 01"/>
    <n v="627.57415712383477"/>
    <n v="1.3284077630112578"/>
  </r>
  <r>
    <s v="520705097"/>
    <s v="710000994812"/>
    <s v="iHerb_VP DFD1605"/>
    <s v="Доставлен"/>
    <d v="2023-09-19T00:00:00"/>
    <x v="15"/>
    <s v="Витамины"/>
    <s v="NOW-01480"/>
    <x v="3"/>
    <x v="165"/>
    <n v="6.14"/>
    <n v="-1.66"/>
    <n v="-0.39291966267199302"/>
    <n v="1.6954628262078559E-15"/>
    <n v="0.23440182508479673"/>
    <n v="472.42584287616529"/>
    <n v="1100"/>
    <x v="433"/>
    <s v="&lt;Клиент не выбран&gt;"/>
    <s v="2024 02"/>
    <n v="627.57415712383477"/>
    <n v="1.3284077630112578"/>
  </r>
  <r>
    <s v="520705097"/>
    <s v="710000994812"/>
    <s v="iHerb_VP DFD1605"/>
    <s v="Доставлен"/>
    <d v="2023-09-19T00:00:00"/>
    <x v="15"/>
    <s v="Витамины"/>
    <s v="MRM-71301"/>
    <x v="37"/>
    <x v="116"/>
    <n v="6.36"/>
    <n v="-1.7150000000000001"/>
    <n v="-0.40739103417665357"/>
    <n v="1.7579073276195297E-15"/>
    <n v="0.24303492801760734"/>
    <n v="489.82545539280977"/>
    <n v="1100"/>
    <x v="438"/>
    <s v="&lt;Клиент не выбран&gt;"/>
    <s v="2024 01"/>
    <n v="610.17454460719023"/>
    <n v="1.2456979070592971"/>
  </r>
  <r>
    <s v="520705097"/>
    <s v="710000994812"/>
    <s v="iHerb_VP DFD1605"/>
    <s v="Доставлен"/>
    <d v="2023-09-19T00:00:00"/>
    <x v="15"/>
    <s v="Витамины"/>
    <s v="MRM-71301"/>
    <x v="37"/>
    <x v="116"/>
    <n v="6.36"/>
    <n v="-1.7150000000000001"/>
    <n v="-0.40739103417665357"/>
    <n v="1.7579073276195297E-15"/>
    <n v="0.24303492801760734"/>
    <n v="489.82545539280977"/>
    <n v="1000"/>
    <x v="26"/>
    <s v="&lt;Клиент не выбран&gt;"/>
    <s v="2024 08"/>
    <n v="510.17454460719023"/>
    <n v="1.0415435518720884"/>
  </r>
  <r>
    <s v="520705097"/>
    <s v="710000994812"/>
    <s v="iHerb_VP DFD1605"/>
    <s v="Доставлен"/>
    <d v="2023-09-19T00:00:00"/>
    <x v="15"/>
    <s v="Витамины"/>
    <s v="LEX-16596"/>
    <x v="7"/>
    <x v="799"/>
    <n v="22.3"/>
    <n v="-6.02"/>
    <n v="-1.4278419884598319"/>
    <n v="6.1611908059517631E-15"/>
    <n v="0.85179948937064531"/>
    <n v="1716.761768308922"/>
    <n v="2800"/>
    <x v="391"/>
    <s v="&lt;Клиент не выбран&gt;"/>
    <s v="2024 01"/>
    <n v="1083.238231691078"/>
    <n v="0.63097760661230839"/>
  </r>
  <r>
    <s v="520705097"/>
    <s v="710000994812"/>
    <s v="iHerb_VP DFD1605"/>
    <s v="Доставлен"/>
    <d v="2023-09-19T00:00:00"/>
    <x v="15"/>
    <s v="Витамины"/>
    <s v="NOW-00470"/>
    <x v="3"/>
    <x v="800"/>
    <n v="11.76"/>
    <n v="-3.18"/>
    <n v="-0.75251131824234385"/>
    <n v="3.2471140734070103E-15"/>
    <n v="0.44892135250615089"/>
    <n v="904.77985086551314"/>
    <n v="1800"/>
    <x v="298"/>
    <s v="&lt;Клиент не выбран&gt;"/>
    <s v="2023 11"/>
    <n v="895.22014913448686"/>
    <n v="0.98943422345017795"/>
  </r>
  <r>
    <s v="520705097"/>
    <s v="710000994812"/>
    <s v="iHerb_VP DFD1605"/>
    <s v="Доставлен"/>
    <d v="2023-09-19T00:00:00"/>
    <x v="15"/>
    <s v="Витамины"/>
    <s v="NOW-01486"/>
    <x v="3"/>
    <x v="401"/>
    <n v="15.14"/>
    <n v="-4.09"/>
    <n v="-0.96914336440301874"/>
    <n v="4.1818893369635741E-15"/>
    <n v="0.57815628731852775"/>
    <n v="1165.2467776298274"/>
    <n v="2000"/>
    <x v="469"/>
    <s v="&lt;Клиент не выбран&gt;"/>
    <s v="2024 08"/>
    <n v="834.75322237017258"/>
    <n v="0.71637462415309494"/>
  </r>
  <r>
    <s v="520705097"/>
    <s v="710000994812"/>
    <s v="iHerb_VP DFD1605"/>
    <s v="Доставлен"/>
    <d v="2023-09-19T00:00:00"/>
    <x v="15"/>
    <s v="Витамины"/>
    <s v="NOW-01486"/>
    <x v="3"/>
    <x v="401"/>
    <n v="15.14"/>
    <n v="-4.09"/>
    <n v="-0.96914336440301874"/>
    <n v="4.1818893369635741E-15"/>
    <n v="0.57815628731852775"/>
    <n v="1165.2467776298274"/>
    <n v="1900"/>
    <x v="470"/>
    <s v="&lt;Клиент не выбран&gt;"/>
    <s v="2024 09"/>
    <n v="734.75322237017258"/>
    <n v="0.63055589294544012"/>
  </r>
  <r>
    <s v="520811365"/>
    <s v="700000911965"/>
    <s v="iHerb_VP DFD1605"/>
    <s v="Доставлен"/>
    <d v="2023-09-23T00:00:00"/>
    <x v="15"/>
    <s v="Витамины"/>
    <s v="DRB-00091"/>
    <x v="6"/>
    <x v="16"/>
    <n v="11.95"/>
    <n v="-3.2466666666666666"/>
    <n v="-0.66599165356688372"/>
    <n v="0"/>
    <n v="0.291517256364831"/>
    <n v="899.51676510217817"/>
    <n v="1800"/>
    <x v="155"/>
    <s v="&lt;Клиент не выбран&gt;"/>
    <s v="2023 11"/>
    <n v="900.48323489782183"/>
    <n v="1.0010744322208758"/>
  </r>
  <r>
    <s v="520811365"/>
    <s v="700000911965"/>
    <s v="iHerb_VP DFD1605"/>
    <s v="Доставлен"/>
    <d v="2023-09-23T00:00:00"/>
    <x v="15"/>
    <s v="Витамины"/>
    <s v="DRB-00091"/>
    <x v="6"/>
    <x v="16"/>
    <n v="11.95"/>
    <n v="-3.2466666666666666"/>
    <n v="-0.66599165356688372"/>
    <n v="0"/>
    <n v="0.291517256364831"/>
    <n v="899.51676510217817"/>
    <n v="1800"/>
    <x v="160"/>
    <s v="&lt;Клиент не выбран&gt;"/>
    <s v="2023 12"/>
    <n v="900.48323489782183"/>
    <n v="1.0010744322208758"/>
  </r>
  <r>
    <s v="520811365"/>
    <s v="700000911965"/>
    <s v="iHerb_VP DFD1605"/>
    <s v="Доставлен"/>
    <d v="2023-09-23T00:00:00"/>
    <x v="15"/>
    <s v="Витамины"/>
    <s v="DRB-00091"/>
    <x v="6"/>
    <x v="16"/>
    <n v="11.95"/>
    <n v="-3.2466666666666666"/>
    <n v="-0.66599165356688372"/>
    <n v="0"/>
    <n v="0.291517256364831"/>
    <n v="899.51676510217817"/>
    <n v="1800"/>
    <x v="417"/>
    <s v="&lt;Клиент не выбран&gt;"/>
    <s v="2023 12"/>
    <n v="900.48323489782183"/>
    <n v="1.0010744322208758"/>
  </r>
  <r>
    <s v="520811365"/>
    <s v="700000911965"/>
    <s v="iHerb_VP DFD1605"/>
    <s v="Доставлен"/>
    <d v="2023-09-23T00:00:00"/>
    <x v="15"/>
    <s v="Витамины"/>
    <s v="LEX-19456"/>
    <x v="7"/>
    <x v="558"/>
    <n v="10.54"/>
    <n v="-2.8450000000000002"/>
    <n v="-0.58883252863238256"/>
    <n v="0"/>
    <n v="0.25774323489782164"/>
    <n v="795.3023562766673"/>
    <n v="1600"/>
    <x v="420"/>
    <s v="&lt;Клиент не выбран&gt;"/>
    <s v="2023 10"/>
    <n v="804.6976437233327"/>
    <n v="1.0118134787009194"/>
  </r>
  <r>
    <s v="520811365"/>
    <s v="700000911965"/>
    <s v="iHerb_VP DFD1605"/>
    <s v="Доставлен"/>
    <d v="2023-09-23T00:00:00"/>
    <x v="15"/>
    <s v="Витамины"/>
    <s v="LEX-19456"/>
    <x v="7"/>
    <x v="558"/>
    <n v="10.54"/>
    <n v="-2.8450000000000002"/>
    <n v="-0.58883252863238256"/>
    <n v="0"/>
    <n v="0.25774323489782164"/>
    <n v="795.3023562766673"/>
    <n v="1700"/>
    <x v="343"/>
    <s v="&lt;Клиент не выбран&gt;"/>
    <s v="2023 10"/>
    <n v="904.6976437233327"/>
    <n v="1.1375518211197269"/>
  </r>
  <r>
    <s v="520811365"/>
    <s v="700000911965"/>
    <s v="iHerb_VP DFD1605"/>
    <s v="Доставлен"/>
    <d v="2023-09-23T00:00:00"/>
    <x v="15"/>
    <s v="Витамины"/>
    <s v="NBC-01016"/>
    <x v="8"/>
    <x v="97"/>
    <n v="9.25"/>
    <n v="-2.4950000000000001"/>
    <n v="-0.51690236918931054"/>
    <n v="0"/>
    <n v="0.22625803141452699"/>
    <n v="698.15041152032336"/>
    <n v="1400"/>
    <x v="185"/>
    <s v="&lt;Клиент не выбран&gt;"/>
    <s v="2023 11"/>
    <n v="701.84958847967664"/>
    <n v="1.0052985386792193"/>
  </r>
  <r>
    <s v="520811365"/>
    <s v="700000911965"/>
    <s v="iHerb_VP DFD1605"/>
    <s v="Доставлен"/>
    <d v="2023-09-23T00:00:00"/>
    <x v="15"/>
    <s v="Витамины"/>
    <s v="NBC-01016"/>
    <x v="8"/>
    <x v="97"/>
    <n v="9.25"/>
    <n v="-2.4950000000000001"/>
    <n v="-0.51690236918931054"/>
    <n v="0"/>
    <n v="0.22625803141452699"/>
    <n v="698.15041152032336"/>
    <n v="1400"/>
    <x v="230"/>
    <s v="&lt;Клиент не выбран&gt;"/>
    <s v="2023 12"/>
    <n v="701.84958847967664"/>
    <n v="1.0052985386792193"/>
  </r>
  <r>
    <s v="520811365"/>
    <s v="700000911965"/>
    <s v="iHerb_VP DFD1605"/>
    <s v="Доставлен"/>
    <d v="2023-09-23T00:00:00"/>
    <x v="15"/>
    <s v="Витамины"/>
    <s v="NBC-01055"/>
    <x v="8"/>
    <x v="801"/>
    <n v="6.3"/>
    <n v="-1.7"/>
    <n v="-0.35199865259375701"/>
    <n v="0"/>
    <n v="0.15407652768420788"/>
    <n v="475.42441050976873"/>
    <n v="1200"/>
    <x v="471"/>
    <s v="&lt;Клиент не выбран&gt;"/>
    <s v="2024 11"/>
    <n v="724.57558949023132"/>
    <n v="1.5240605519462345"/>
  </r>
  <r>
    <s v="520811365"/>
    <s v="700000911965"/>
    <s v="iHerb_VP DFD1605"/>
    <s v="Доставлен"/>
    <d v="2023-09-23T00:00:00"/>
    <x v="15"/>
    <s v="Витамины"/>
    <s v="NBC-00995"/>
    <x v="8"/>
    <x v="802"/>
    <n v="14.62"/>
    <n v="-3.94"/>
    <n v="-0.81724904558724454"/>
    <n v="0"/>
    <n v="0.3577255034059435"/>
    <n v="1103.8114574444194"/>
    <n v="1900"/>
    <x v="472"/>
    <s v="&lt;Клиент не выбран&gt;"/>
    <s v="2024 09"/>
    <n v="796.18854255558063"/>
    <n v="0.72130846005072513"/>
  </r>
  <r>
    <s v="520811365"/>
    <s v="700000911965"/>
    <s v="iHerb_VP DFD1605"/>
    <s v="Доставлен"/>
    <d v="2023-09-23T00:00:00"/>
    <x v="15"/>
    <s v="Спортпит"/>
    <s v="VPB-54130"/>
    <x v="81"/>
    <x v="245"/>
    <n v="16.829999999999998"/>
    <n v="-4.54"/>
    <n v="-0.94044857399505943"/>
    <n v="0"/>
    <n v="0.41165228809541621"/>
    <n v="1270.2100011228383"/>
    <n v="2300"/>
    <x v="461"/>
    <s v="&lt;Клиент не выбран&gt;"/>
    <s v="2024 08"/>
    <n v="1029.7899988771617"/>
    <n v="0.81072420935660205"/>
  </r>
  <r>
    <s v="520811365"/>
    <s v="700000911965"/>
    <s v="iHerb_VP DFD1605"/>
    <s v="Доставлен"/>
    <d v="2023-09-23T00:00:00"/>
    <x v="15"/>
    <s v="Витамины"/>
    <s v="NOW-00371"/>
    <x v="3"/>
    <x v="803"/>
    <n v="10.6"/>
    <n v="-2.86"/>
    <n v="-0.59227599371210427"/>
    <n v="0"/>
    <n v="0.25925050527734106"/>
    <n v="799.95324724904549"/>
    <n v="1450"/>
    <x v="380"/>
    <s v="&lt;Клиент не выбран&gt;"/>
    <s v="2023 10"/>
    <n v="650.04675275095451"/>
    <n v="0.81260593039205287"/>
  </r>
  <r>
    <s v="520811365"/>
    <s v="700000911965"/>
    <s v="iHerb_VP DFD1605"/>
    <s v="Доставлен"/>
    <d v="2023-09-23T00:00:00"/>
    <x v="15"/>
    <s v="Витамины"/>
    <s v="NOR-01798"/>
    <x v="9"/>
    <x v="804"/>
    <n v="29.66"/>
    <n v="-8"/>
    <n v="-1.6574545250392994"/>
    <n v="0"/>
    <n v="0.72549947600868314"/>
    <n v="2238.6288547046934"/>
    <n v="3500"/>
    <x v="380"/>
    <s v="&lt;Клиент не выбран&gt;"/>
    <s v="2023 10"/>
    <n v="1261.3711452953066"/>
    <n v="0.5634570208654347"/>
  </r>
  <r>
    <s v="520811365"/>
    <s v="700000911965"/>
    <s v="iHerb_VP DFD1605"/>
    <s v="Доставлен"/>
    <d v="2023-09-23T00:00:00"/>
    <x v="15"/>
    <s v="Витамины"/>
    <s v="LFH-91547"/>
    <x v="196"/>
    <x v="805"/>
    <n v="7.97"/>
    <n v="-2.15"/>
    <n v="-0.44535481697731871"/>
    <n v="0"/>
    <n v="0.19494030241784563"/>
    <n v="601.51523242757685"/>
    <n v="1150"/>
    <x v="380"/>
    <s v="&lt;Клиент не выбран&gt;"/>
    <s v="2023 10"/>
    <n v="548.48476757242315"/>
    <n v="0.9118385337622541"/>
  </r>
  <r>
    <s v="520811365"/>
    <s v="700000911965"/>
    <s v="iHerb_VP DFD1605"/>
    <s v="Доставлен"/>
    <d v="2023-09-23T00:00:00"/>
    <x v="15"/>
    <s v="Витамины"/>
    <s v="DRB-00273"/>
    <x v="6"/>
    <x v="630"/>
    <n v="30.22"/>
    <n v="-8.15"/>
    <n v="-1.6888283179878734"/>
    <n v="0"/>
    <n v="0.73923238391097135"/>
    <n v="2281.0036391196945"/>
    <n v="4000"/>
    <x v="473"/>
    <s v="&lt;Клиент не выбран&gt;"/>
    <s v="2024 09"/>
    <n v="1718.9963608803055"/>
    <n v="0.75361403699632679"/>
  </r>
  <r>
    <s v="520811365"/>
    <s v="700000911965"/>
    <s v="iHerb_VP DFD1605"/>
    <s v="Доставлен"/>
    <d v="2023-09-23T00:00:00"/>
    <x v="15"/>
    <s v="Витамины"/>
    <s v="CAR-05083"/>
    <x v="154"/>
    <x v="806"/>
    <n v="11.35"/>
    <n v="-3.06"/>
    <n v="-0.63436278913092292"/>
    <n v="0"/>
    <n v="0.27767269880480072"/>
    <n v="856.79747024477876"/>
    <n v="1400"/>
    <x v="380"/>
    <s v="&lt;Клиент не выбран&gt;"/>
    <s v="2023 10"/>
    <n v="543.20252975522124"/>
    <n v="0.63399175256672213"/>
  </r>
  <r>
    <s v="520811365"/>
    <s v="700000911965"/>
    <s v="iHerb_VP DFD1605"/>
    <s v="Доставлен"/>
    <d v="2023-09-23T00:00:00"/>
    <x v="15"/>
    <s v="Витамины"/>
    <s v="CAR-10330"/>
    <x v="154"/>
    <x v="807"/>
    <n v="23.8"/>
    <n v="-6.42"/>
    <n v="-1.3299427352346735"/>
    <n v="0"/>
    <n v="0.58214131546772463"/>
    <n v="1796.2774466651695"/>
    <n v="2900"/>
    <x v="380"/>
    <s v="&lt;Клиент не выбран&gt;"/>
    <s v="2023 10"/>
    <n v="1103.7225533348305"/>
    <n v="0.61444993109717927"/>
  </r>
  <r>
    <s v="520811365"/>
    <s v="700000911965"/>
    <s v="iHerb_VP DFD1605"/>
    <s v="Доставлен"/>
    <d v="2023-09-23T00:00:00"/>
    <x v="15"/>
    <s v="Витамины"/>
    <s v="PTG-04309"/>
    <x v="197"/>
    <x v="808"/>
    <n v="17.22"/>
    <n v="-4.6399999999999997"/>
    <n v="-0.96263979339770933"/>
    <n v="0"/>
    <n v="0.42136580831898585"/>
    <n v="1300.1824096114976"/>
    <n v="2300"/>
    <x v="380"/>
    <s v="&lt;Клиент не выбран&gt;"/>
    <s v="2023 10"/>
    <n v="999.81759038850237"/>
    <n v="0.76898255429194273"/>
  </r>
  <r>
    <s v="OZD0002"/>
    <n v="0"/>
    <s v="OZON_ДС"/>
    <s v="Доставлен"/>
    <d v="2023-09-23T00:00:00"/>
    <x v="15"/>
    <s v="Спортпит"/>
    <s v="960689838"/>
    <x v="198"/>
    <x v="809"/>
    <n v="4055"/>
    <n v="0"/>
    <n v="0"/>
    <n v="0"/>
    <n v="1000"/>
    <n v="5055"/>
    <n v="6500"/>
    <x v="448"/>
    <s v="&lt;Клиент не выбран&gt;"/>
    <s v="2023 10"/>
    <n v="1445"/>
    <n v="0.28585558852621168"/>
  </r>
  <r>
    <s v="WB0136"/>
    <n v="0"/>
    <s v="WBRS"/>
    <s v="Доставлен"/>
    <d v="2023-09-25T00:00:00"/>
    <x v="15"/>
    <s v="Спортпит"/>
    <s v=" 43392039"/>
    <x v="199"/>
    <x v="810"/>
    <n v="319"/>
    <n v="0"/>
    <n v="0"/>
    <n v="0"/>
    <n v="31.900000000000002"/>
    <n v="350.9"/>
    <n v="550"/>
    <x v="448"/>
    <s v="&lt;Клиент не выбран&gt;"/>
    <s v="2023 10"/>
    <n v="199.10000000000002"/>
    <n v="0.56739811912225713"/>
  </r>
  <r>
    <s v="WB0137"/>
    <n v="0"/>
    <s v="WBRS"/>
    <s v="Доставлен"/>
    <d v="2023-09-25T00:00:00"/>
    <x v="15"/>
    <s v="Спортпит"/>
    <s v="141847876"/>
    <x v="200"/>
    <x v="811"/>
    <n v="374"/>
    <n v="0"/>
    <n v="0"/>
    <n v="0"/>
    <n v="37.4"/>
    <n v="411.4"/>
    <n v="600"/>
    <x v="465"/>
    <s v="&lt;Клиент не выбран&gt;"/>
    <s v="2023 10"/>
    <n v="188.60000000000002"/>
    <n v="0.4584346135148275"/>
  </r>
  <r>
    <s v="WB0138"/>
    <n v="0"/>
    <s v="WBRS"/>
    <s v="Доставлен"/>
    <d v="2023-09-25T00:00:00"/>
    <x v="15"/>
    <s v="Спортпит"/>
    <s v="018915125"/>
    <x v="199"/>
    <x v="812"/>
    <n v="321"/>
    <n v="0"/>
    <n v="0"/>
    <n v="0"/>
    <n v="32.1"/>
    <n v="353.1"/>
    <n v="600"/>
    <x v="179"/>
    <s v="&lt;Клиент не выбран&gt;"/>
    <s v="2023 10"/>
    <n v="246.89999999999998"/>
    <n v="0.69923534409515709"/>
  </r>
  <r>
    <s v="WB0139"/>
    <n v="0"/>
    <s v="WBRS"/>
    <s v="Доставлен"/>
    <d v="2023-09-25T00:00:00"/>
    <x v="15"/>
    <s v="Спортпит"/>
    <s v="077563285"/>
    <x v="107"/>
    <x v="813"/>
    <n v="1432"/>
    <n v="0"/>
    <n v="0"/>
    <n v="0"/>
    <n v="143.20000000000002"/>
    <n v="1575.2"/>
    <n v="3000"/>
    <x v="256"/>
    <s v="&lt;Клиент не выбран&gt;"/>
    <s v="2023 10"/>
    <n v="1424.8"/>
    <n v="0.90452006094464188"/>
  </r>
  <r>
    <s v="WB0140"/>
    <n v="0"/>
    <s v="WBRS"/>
    <s v="Доставлен"/>
    <d v="2023-09-25T00:00:00"/>
    <x v="15"/>
    <s v="Спортпит"/>
    <s v="090854722"/>
    <x v="201"/>
    <x v="814"/>
    <n v="299"/>
    <n v="0"/>
    <n v="0"/>
    <n v="0"/>
    <n v="29.900000000000002"/>
    <n v="328.9"/>
    <n v="600"/>
    <x v="474"/>
    <s v="&lt;Клиент не выбран&gt;"/>
    <s v="2023 11"/>
    <n v="271.10000000000002"/>
    <n v="0.8242626938279114"/>
  </r>
  <r>
    <s v="WB0141"/>
    <n v="0"/>
    <s v="WBRS"/>
    <s v="Доставлен"/>
    <d v="2023-09-25T00:00:00"/>
    <x v="15"/>
    <s v="Спортпит"/>
    <s v="154871633"/>
    <x v="202"/>
    <x v="815"/>
    <n v="267"/>
    <n v="0"/>
    <n v="0"/>
    <n v="0"/>
    <n v="26.700000000000003"/>
    <n v="293.7"/>
    <n v="500"/>
    <x v="475"/>
    <s v="&lt;Клиент не выбран&gt;"/>
    <s v="2024 02"/>
    <n v="206.3"/>
    <n v="0.70241743275451152"/>
  </r>
  <r>
    <s v="WB0143"/>
    <n v="0"/>
    <s v="WBRS"/>
    <s v="Доставлен"/>
    <d v="2023-09-25T00:00:00"/>
    <x v="15"/>
    <s v="Спортпит"/>
    <s v="141847874"/>
    <x v="203"/>
    <x v="816"/>
    <n v="374"/>
    <n v="0"/>
    <n v="0"/>
    <n v="0"/>
    <n v="37.4"/>
    <n v="411.4"/>
    <n v="500"/>
    <x v="475"/>
    <s v="&lt;Клиент не выбран&gt;"/>
    <s v="2024 02"/>
    <n v="88.600000000000023"/>
    <n v="0.2153621779290229"/>
  </r>
  <r>
    <s v="WB0144"/>
    <n v="0"/>
    <s v="WBRS"/>
    <s v="Доставлен"/>
    <d v="2023-09-25T00:00:00"/>
    <x v="15"/>
    <s v="Спортпит"/>
    <s v=" 43392039"/>
    <x v="199"/>
    <x v="810"/>
    <n v="319"/>
    <n v="0"/>
    <n v="0"/>
    <n v="0"/>
    <n v="31.900000000000002"/>
    <n v="350.9"/>
    <n v="550"/>
    <x v="448"/>
    <s v="&lt;Клиент не выбран&gt;"/>
    <s v="2023 10"/>
    <n v="199.10000000000002"/>
    <n v="0.56739811912225713"/>
  </r>
  <r>
    <s v="711071160"/>
    <n v="0"/>
    <s v="CoralClub_OA"/>
    <s v="Доставлен"/>
    <d v="2023-09-27T00:00:00"/>
    <x v="15"/>
    <s v="Витамины"/>
    <s v="000001405"/>
    <x v="79"/>
    <x v="227"/>
    <n v="1092"/>
    <n v="0"/>
    <n v="0"/>
    <n v="0"/>
    <n v="0"/>
    <n v="1092"/>
    <n v="1400"/>
    <x v="268"/>
    <s v="&lt;Клиент не выбран&gt;"/>
    <s v="2023 09"/>
    <n v="308"/>
    <n v="0.28205128205128205"/>
  </r>
  <r>
    <s v="711071160"/>
    <n v="0"/>
    <s v="CoralClub_OA"/>
    <s v="Доставлен"/>
    <d v="2023-09-27T00:00:00"/>
    <x v="15"/>
    <s v="Витамины"/>
    <s v="000001405"/>
    <x v="79"/>
    <x v="227"/>
    <n v="1092"/>
    <n v="0"/>
    <n v="0"/>
    <n v="0"/>
    <n v="0"/>
    <n v="1092"/>
    <n v="1092"/>
    <x v="297"/>
    <s v="&lt;Клиент не выбран&gt;"/>
    <s v="2023 09"/>
    <n v="0"/>
    <n v="0"/>
  </r>
  <r>
    <s v="711071160"/>
    <n v="0"/>
    <s v="CoralClub_OA"/>
    <s v="Доставлен"/>
    <d v="2023-09-27T00:00:00"/>
    <x v="15"/>
    <s v="Витамины"/>
    <s v="000001405"/>
    <x v="79"/>
    <x v="227"/>
    <n v="1092"/>
    <n v="0"/>
    <n v="0"/>
    <n v="0"/>
    <n v="0"/>
    <n v="1092"/>
    <n v="1300"/>
    <x v="214"/>
    <s v="&lt;Клиент не выбран&gt;"/>
    <s v="2023 12"/>
    <n v="208"/>
    <n v="0.19047619047619047"/>
  </r>
  <r>
    <s v="PVP-347644"/>
    <n v="0"/>
    <s v="NSP_OA"/>
    <s v="Доставлен"/>
    <d v="2023-10-04T00:00:00"/>
    <x v="16"/>
    <s v="Витамины"/>
    <s v="000000907"/>
    <x v="131"/>
    <x v="595"/>
    <n v="2916.11"/>
    <n v="0"/>
    <n v="0"/>
    <n v="-155.57065348649931"/>
    <n v="76.254517308285699"/>
    <n v="2836.7938638217865"/>
    <n v="3500"/>
    <x v="476"/>
    <s v="&lt;Клиент не выбран&gt;"/>
    <s v="2024 03"/>
    <n v="663.20613617821346"/>
    <n v="0.2337872147272374"/>
  </r>
  <r>
    <s v="PVP-347644"/>
    <n v="0"/>
    <s v="NSP_OA"/>
    <s v="Доставлен"/>
    <d v="2023-10-04T00:00:00"/>
    <x v="16"/>
    <s v="Витамины"/>
    <s v="000000907"/>
    <x v="131"/>
    <x v="595"/>
    <n v="2916.11"/>
    <n v="0"/>
    <n v="0"/>
    <n v="-155.57065348649931"/>
    <n v="76.254517308285699"/>
    <n v="2836.7938638217865"/>
    <n v="3500"/>
    <x v="357"/>
    <s v="&lt;Клиент не выбран&gt;"/>
    <s v="2024 03"/>
    <n v="663.20613617821346"/>
    <n v="0.2337872147272374"/>
  </r>
  <r>
    <s v="PVP-347644"/>
    <n v="0"/>
    <s v="NSP_OA"/>
    <s v="Доставлен"/>
    <d v="2023-10-04T00:00:00"/>
    <x v="16"/>
    <s v="Витамины"/>
    <s v="000000514"/>
    <x v="131"/>
    <x v="597"/>
    <n v="1816.14"/>
    <n v="0"/>
    <n v="0"/>
    <n v="-96.88869302700202"/>
    <n v="47.490965383428602"/>
    <n v="1766.7422723564266"/>
    <n v="2500"/>
    <x v="454"/>
    <s v="&lt;Клиент не выбран&gt;"/>
    <s v="2023 10"/>
    <n v="733.25772764357339"/>
    <n v="0.41503378229897492"/>
  </r>
  <r>
    <s v="OZO0022"/>
    <n v="0"/>
    <s v="OZON_OA"/>
    <s v="Доставлен"/>
    <d v="2023-09-30T00:00:00"/>
    <x v="15"/>
    <s v="Спортпит"/>
    <s v="626943002"/>
    <x v="108"/>
    <x v="521"/>
    <n v="833"/>
    <n v="0"/>
    <n v="0"/>
    <n v="0"/>
    <n v="83.300000000000011"/>
    <n v="916.3"/>
    <n v="1700"/>
    <x v="474"/>
    <s v="&lt;Клиент не выбран&gt;"/>
    <s v="2023 11"/>
    <n v="783.7"/>
    <n v="0.855287569573284"/>
  </r>
  <r>
    <s v="OZO0023"/>
    <n v="0"/>
    <s v="OZON_OA"/>
    <s v="Доставлен"/>
    <d v="2023-10-01T00:00:00"/>
    <x v="16"/>
    <s v="Спортпит"/>
    <s v="537270297"/>
    <x v="204"/>
    <x v="817"/>
    <n v="189"/>
    <n v="0"/>
    <n v="0"/>
    <n v="0"/>
    <n v="18.899999999999999"/>
    <n v="207.9"/>
    <n v="350"/>
    <x v="256"/>
    <s v="&lt;Клиент не выбран&gt;"/>
    <s v="2023 10"/>
    <n v="142.1"/>
    <n v="0.6835016835016835"/>
  </r>
  <r>
    <s v="OZO0023"/>
    <n v="0"/>
    <s v="OZON_OA"/>
    <s v="Доставлен"/>
    <d v="2023-10-01T00:00:00"/>
    <x v="16"/>
    <s v="Спортпит"/>
    <s v="972146200"/>
    <x v="205"/>
    <x v="818"/>
    <n v="272"/>
    <n v="0"/>
    <n v="0"/>
    <n v="0"/>
    <n v="27.200000000000003"/>
    <n v="299.2"/>
    <n v="550"/>
    <x v="256"/>
    <s v="&lt;Клиент не выбран&gt;"/>
    <s v="2023 10"/>
    <n v="250.8"/>
    <n v="0.83823529411764708"/>
  </r>
  <r>
    <s v="WB0148"/>
    <n v="0"/>
    <s v="WBRS"/>
    <s v="Доставлен"/>
    <d v="2023-10-01T00:00:00"/>
    <x v="16"/>
    <s v="Спортпит"/>
    <s v="174153170"/>
    <x v="35"/>
    <x v="819"/>
    <n v="5134"/>
    <n v="0"/>
    <n v="0"/>
    <n v="0"/>
    <n v="513.4"/>
    <n v="5647.4"/>
    <n v="6800"/>
    <x v="475"/>
    <s v="&lt;Клиент не выбран&gt;"/>
    <s v="2024 02"/>
    <n v="1152.6000000000004"/>
    <n v="0.20409391932570747"/>
  </r>
  <r>
    <s v="WB0148"/>
    <n v="0"/>
    <s v="WBRS"/>
    <s v="Доставлен"/>
    <d v="2023-10-01T00:00:00"/>
    <x v="16"/>
    <s v="Спортпит"/>
    <s v="174153168"/>
    <x v="35"/>
    <x v="820"/>
    <n v="5134"/>
    <n v="0"/>
    <n v="0"/>
    <n v="0"/>
    <n v="513.4"/>
    <n v="5647.4"/>
    <n v="6800"/>
    <x v="456"/>
    <s v="&lt;Клиент не выбран&gt;"/>
    <s v="2024 02"/>
    <n v="1152.6000000000004"/>
    <n v="0.20409391932570747"/>
  </r>
  <r>
    <s v="WB0149"/>
    <n v="0"/>
    <s v="WBRS"/>
    <s v="Доставлен"/>
    <d v="2023-09-28T00:00:00"/>
    <x v="15"/>
    <s v="Спортпит"/>
    <s v="141171853"/>
    <x v="108"/>
    <x v="821"/>
    <n v="829"/>
    <n v="0"/>
    <n v="0"/>
    <n v="0"/>
    <n v="82.9"/>
    <n v="911.9"/>
    <n v="1700"/>
    <x v="256"/>
    <s v="&lt;Клиент не выбран&gt;"/>
    <s v="2023 10"/>
    <n v="788.1"/>
    <n v="0.86423949994516946"/>
  </r>
  <r>
    <s v="WB0150"/>
    <n v="0"/>
    <s v="WBRS"/>
    <s v="Доставлен"/>
    <d v="2023-09-28T00:00:00"/>
    <x v="15"/>
    <s v="Спортпит"/>
    <s v="504006588"/>
    <x v="104"/>
    <x v="822"/>
    <n v="1517"/>
    <n v="0"/>
    <n v="0"/>
    <n v="0"/>
    <n v="151.70000000000002"/>
    <n v="1668.7"/>
    <n v="1200"/>
    <x v="477"/>
    <s v="&lt;Клиент не выбран&gt;"/>
    <s v="2023 10"/>
    <n v="-468.70000000000005"/>
    <n v="-0.28087732965781748"/>
  </r>
  <r>
    <s v="WB0151"/>
    <n v="0"/>
    <s v="WBRS"/>
    <s v="Доставлен"/>
    <d v="2023-10-01T00:00:00"/>
    <x v="16"/>
    <s v="Спортпит"/>
    <s v="168790484"/>
    <x v="100"/>
    <x v="823"/>
    <n v="585"/>
    <n v="0"/>
    <n v="0"/>
    <n v="0"/>
    <n v="58.5"/>
    <n v="643.5"/>
    <n v="1300"/>
    <x v="454"/>
    <s v="&lt;Клиент не выбран&gt;"/>
    <s v="2023 10"/>
    <n v="656.5"/>
    <n v="1.0202020202020201"/>
  </r>
  <r>
    <s v="WB0151"/>
    <n v="0"/>
    <s v="WBRS"/>
    <s v="Доставлен"/>
    <d v="2023-10-01T00:00:00"/>
    <x v="16"/>
    <s v="Спортпит"/>
    <s v="168790484"/>
    <x v="100"/>
    <x v="823"/>
    <n v="585"/>
    <n v="0"/>
    <n v="0"/>
    <n v="0"/>
    <n v="58.5"/>
    <n v="643.5"/>
    <n v="1300"/>
    <x v="454"/>
    <s v="&lt;Клиент не выбран&gt;"/>
    <s v="2023 10"/>
    <n v="656.5"/>
    <n v="1.0202020202020201"/>
  </r>
  <r>
    <s v="WB0153"/>
    <n v="0"/>
    <s v="WBRS"/>
    <s v="Доставлен"/>
    <d v="2023-10-01T00:00:00"/>
    <x v="16"/>
    <s v="Спортпит"/>
    <s v="077562793"/>
    <x v="107"/>
    <x v="824"/>
    <n v="1432"/>
    <n v="0"/>
    <n v="0"/>
    <n v="0"/>
    <n v="143.20000000000002"/>
    <n v="1575.2"/>
    <n v="3000"/>
    <x v="256"/>
    <s v="&lt;Клиент не выбран&gt;"/>
    <s v="2023 10"/>
    <n v="1424.8"/>
    <n v="0.90452006094464188"/>
  </r>
  <r>
    <s v="WB0153"/>
    <n v="0"/>
    <s v="WBRS"/>
    <s v="Доставлен"/>
    <d v="2023-10-01T00:00:00"/>
    <x v="16"/>
    <s v="Спортпит"/>
    <s v="077562793"/>
    <x v="107"/>
    <x v="824"/>
    <n v="1432"/>
    <n v="0"/>
    <n v="0"/>
    <n v="0"/>
    <n v="143.20000000000002"/>
    <n v="1575.2"/>
    <n v="3000"/>
    <x v="256"/>
    <s v="&lt;Клиент не выбран&gt;"/>
    <s v="2023 10"/>
    <n v="1424.8"/>
    <n v="0.90452006094464188"/>
  </r>
  <r>
    <s v="WB0154"/>
    <n v="0"/>
    <s v="WBRS"/>
    <s v="Доставлен"/>
    <d v="2023-09-30T00:00:00"/>
    <x v="15"/>
    <s v="Спортпит"/>
    <s v="008160575"/>
    <x v="104"/>
    <x v="825"/>
    <n v="1501"/>
    <n v="0"/>
    <n v="0"/>
    <n v="0"/>
    <n v="150.1"/>
    <n v="1651.1"/>
    <n v="3000"/>
    <x v="454"/>
    <s v="&lt;Клиент не выбран&gt;"/>
    <s v="2023 10"/>
    <n v="1348.9"/>
    <n v="0.81697050451214348"/>
  </r>
  <r>
    <s v="WB0155"/>
    <n v="0"/>
    <s v="WBRS"/>
    <s v="Доставлен"/>
    <d v="2023-09-30T00:00:00"/>
    <x v="15"/>
    <s v="Спортпит"/>
    <s v="005586833"/>
    <x v="104"/>
    <x v="826"/>
    <n v="1486"/>
    <n v="0"/>
    <n v="0"/>
    <n v="0"/>
    <n v="148.6"/>
    <n v="1634.6"/>
    <n v="3000"/>
    <x v="256"/>
    <s v="&lt;Клиент не выбран&gt;"/>
    <s v="2023 10"/>
    <n v="1365.4"/>
    <n v="0.83531139116603459"/>
  </r>
  <r>
    <s v="521024655"/>
    <s v="700000938962"/>
    <s v="iHerb_MH DLE7202"/>
    <s v="Доставлен"/>
    <d v="2023-10-01T00:00:00"/>
    <x v="16"/>
    <s v="Косметика"/>
    <s v="PTF-10431"/>
    <x v="169"/>
    <x v="773"/>
    <n v="16.46"/>
    <n v="-4.4450000000000003"/>
    <n v="-0.48736525282459714"/>
    <n v="-1.5812504112164481E-15"/>
    <n v="0.65913467723928432"/>
    <n v="1325.5923175588073"/>
    <n v="2200"/>
    <x v="478"/>
    <s v="&lt;Клиент не выбран&gt;"/>
    <s v="2024 03"/>
    <n v="874.40768244119272"/>
    <n v="0.65963544813799913"/>
  </r>
  <r>
    <s v="521024655"/>
    <s v="700000938962"/>
    <s v="iHerb_MH DLE7202"/>
    <s v="Доставлен"/>
    <d v="2023-10-01T00:00:00"/>
    <x v="16"/>
    <s v="Косметика"/>
    <s v="PTF-10431"/>
    <x v="169"/>
    <x v="773"/>
    <n v="16.46"/>
    <n v="-4.4450000000000003"/>
    <n v="-0.48736525282459714"/>
    <n v="-1.5812504112164481E-15"/>
    <n v="0.65913467723928432"/>
    <n v="1325.5923175588073"/>
    <m/>
    <x v="20"/>
    <m/>
    <s v=""/>
    <n v="-1325.5923175588073"/>
    <s v=""/>
  </r>
  <r>
    <s v="521024655"/>
    <s v="700000938962"/>
    <s v="iHerb_MH DLE7202"/>
    <s v="Доставлен"/>
    <d v="2023-10-01T00:00:00"/>
    <x v="16"/>
    <s v="Витамины"/>
    <s v="SDN-00601"/>
    <x v="206"/>
    <x v="827"/>
    <n v="7.45"/>
    <n v="-0.75"/>
    <n v="-0.27177255047230969"/>
    <n v="-8.8176260966709969E-16"/>
    <n v="0.36755741469023762"/>
    <n v="739.19837932950543"/>
    <n v="1300"/>
    <x v="380"/>
    <s v="&lt;Клиент не выбран&gt;"/>
    <s v="2023 10"/>
    <n v="560.80162067049457"/>
    <n v="0.75866186446346551"/>
  </r>
  <r>
    <s v="521024655"/>
    <s v="700000938962"/>
    <s v="iHerb_MH DLE7202"/>
    <s v="Доставлен"/>
    <d v="2023-10-01T00:00:00"/>
    <x v="16"/>
    <s v="Витамины"/>
    <s v="CAL-39022"/>
    <x v="138"/>
    <x v="828"/>
    <n v="18.68"/>
    <n v="-1.87"/>
    <n v="-0.68186516021485455"/>
    <n v="-2.2123029057468572E-15"/>
    <n v="0.92218509566311846"/>
    <n v="1854.6156353028332"/>
    <n v="2500"/>
    <x v="380"/>
    <s v="&lt;Клиент не выбран&gt;"/>
    <s v="2023 10"/>
    <n v="645.3843646971668"/>
    <n v="0.34798820435469069"/>
  </r>
  <r>
    <s v="521024655"/>
    <s v="700000938962"/>
    <s v="iHerb_MH DLE7202"/>
    <s v="Доставлен"/>
    <d v="2023-10-01T00:00:00"/>
    <x v="16"/>
    <s v="Витамины"/>
    <s v="CEN-22338"/>
    <x v="2"/>
    <x v="829"/>
    <n v="9.77"/>
    <n v="-0.98"/>
    <n v="-0.35654936099277634"/>
    <n v="-1.1568199013393739E-15"/>
    <n v="0.48221338434734151"/>
    <n v="969.78414243378381"/>
    <n v="1500"/>
    <x v="380"/>
    <s v="&lt;Клиент не выбран&gt;"/>
    <s v="2023 10"/>
    <n v="530.21585756621619"/>
    <n v="0.54673595325613289"/>
  </r>
  <r>
    <s v="521024655"/>
    <s v="700000938962"/>
    <s v="iHerb_MH DLE7202"/>
    <s v="Доставлен"/>
    <d v="2023-10-01T00:00:00"/>
    <x v="16"/>
    <s v="Витамины"/>
    <s v="CGN-01863"/>
    <x v="1"/>
    <x v="830"/>
    <n v="23.06"/>
    <n v="-6.92"/>
    <n v="-0.65468790516762365"/>
    <n v="-2.1241266447801475E-15"/>
    <n v="0.88542935419409463"/>
    <n v="1780.6957973698832"/>
    <n v="2800"/>
    <x v="380"/>
    <s v="&lt;Клиент не выбран&gt;"/>
    <s v="2023 10"/>
    <n v="1019.3042026301168"/>
    <n v="0.57241905334737453"/>
  </r>
  <r>
    <s v="521024655"/>
    <s v="700000938962"/>
    <s v="iHerb_MH DLE7202"/>
    <s v="Доставлен"/>
    <d v="2023-10-01T00:00:00"/>
    <x v="16"/>
    <s v="Витамины"/>
    <s v="NOW-00367"/>
    <x v="3"/>
    <x v="365"/>
    <n v="5.48"/>
    <n v="-1.48"/>
    <n v="-0.16225226893869235"/>
    <n v="-5.2642543860722366E-16"/>
    <n v="0.21943726250163437"/>
    <n v="441.31246527134653"/>
    <n v="900"/>
    <x v="479"/>
    <s v="&lt;Клиент не выбран&gt;"/>
    <s v="2023 11"/>
    <n v="458.68753472865347"/>
    <n v="1.0393713543682108"/>
  </r>
  <r>
    <s v="521024655"/>
    <s v="700000938962"/>
    <s v="iHerb_MH DLE7202"/>
    <s v="Доставлен"/>
    <d v="2023-10-01T00:00:00"/>
    <x v="16"/>
    <s v="Витамины"/>
    <s v="LEX-20963"/>
    <x v="7"/>
    <x v="831"/>
    <n v="15.96"/>
    <n v="-4.3099999999999996"/>
    <n v="-0.47255973328394152"/>
    <n v="-1.5332140899435392E-15"/>
    <n v="0.63911102703601019"/>
    <n v="1285.322555102797"/>
    <m/>
    <x v="20"/>
    <m/>
    <s v=""/>
    <n v="-1285.322555102797"/>
    <s v=""/>
  </r>
  <r>
    <s v="521024655"/>
    <s v="700000938962"/>
    <s v="iHerb_MH DLE7202"/>
    <s v="Доставлен"/>
    <d v="2023-10-01T00:00:00"/>
    <x v="16"/>
    <s v="Витамины"/>
    <s v="YOU-00303"/>
    <x v="71"/>
    <x v="422"/>
    <n v="24.98"/>
    <n v="-6.74"/>
    <n v="-0.73987034636043725"/>
    <n v="-2.4005000000489404E-15"/>
    <n v="1.0006339170074527"/>
    <n v="2012.3848416373401"/>
    <n v="3000"/>
    <x v="465"/>
    <s v="&lt;Клиент не выбран&gt;"/>
    <s v="2023 10"/>
    <n v="987.61515836265994"/>
    <n v="0.49076853389489106"/>
  </r>
  <r>
    <s v="521024655"/>
    <s v="700000938962"/>
    <s v="iHerb_MH DLE7202"/>
    <s v="Доставлен"/>
    <d v="2023-10-01T00:00:00"/>
    <x v="16"/>
    <s v="Витамины"/>
    <s v="NOW-00085"/>
    <x v="3"/>
    <x v="260"/>
    <n v="16.510000000000002"/>
    <n v="-4.46"/>
    <n v="-0.4887849601778107"/>
    <n v="-1.5858566338042615E-15"/>
    <n v="0.66105475328617358"/>
    <n v="1329.4538016299314"/>
    <n v="2200"/>
    <x v="480"/>
    <s v="&lt;Клиент не выбран&gt;"/>
    <s v="2025 02"/>
    <n v="870.54619837006862"/>
    <n v="0.65481493023884341"/>
  </r>
  <r>
    <s v="521024655"/>
    <s v="700000938962"/>
    <s v="iHerb_MH DLE7202"/>
    <s v="Доставлен"/>
    <d v="2023-10-01T00:00:00"/>
    <x v="16"/>
    <s v="Витамины"/>
    <s v="NOW-00085"/>
    <x v="3"/>
    <x v="260"/>
    <n v="16.510000000000002"/>
    <n v="-4.46"/>
    <n v="-0.4887849601778107"/>
    <n v="-1.5858566338042615E-15"/>
    <n v="0.66105475328617358"/>
    <n v="1329.4538016299314"/>
    <n v="2300"/>
    <x v="481"/>
    <s v="Валентина Сычева"/>
    <s v="2025 07"/>
    <n v="970.54619837006862"/>
    <n v="0.73003379070424534"/>
  </r>
  <r>
    <s v="521024655"/>
    <s v="700000938962"/>
    <s v="iHerb_MH DLE7202"/>
    <s v="Доставлен"/>
    <d v="2023-10-01T00:00:00"/>
    <x v="16"/>
    <s v="Витамины"/>
    <s v="LEX-19043"/>
    <x v="7"/>
    <x v="832"/>
    <n v="17.88"/>
    <n v="-4.83"/>
    <n v="-0.52934802741248366"/>
    <n v="-1.717462993456067E-15"/>
    <n v="0.71591406891158205"/>
    <n v="1439.7819179477679"/>
    <n v="2400"/>
    <x v="185"/>
    <s v="&lt;Клиент не выбран&gt;"/>
    <s v="2023 11"/>
    <n v="960.21808205223215"/>
    <n v="0.66691911468155196"/>
  </r>
  <r>
    <s v="521024655"/>
    <s v="700000938962"/>
    <s v="iHerb_MH DLE7202"/>
    <s v="Доставлен"/>
    <d v="2023-10-01T00:00:00"/>
    <x v="16"/>
    <s v="Витамины"/>
    <s v="OAD-08014"/>
    <x v="17"/>
    <x v="403"/>
    <n v="32.24"/>
    <n v="-8.06"/>
    <n v="-0.98081496573439519"/>
    <n v="-3.182241776380667E-15"/>
    <n v="1.3264982518223796"/>
    <n v="2667.7338525652895"/>
    <n v="3900"/>
    <x v="160"/>
    <s v="&lt;Клиент не выбран&gt;"/>
    <s v="2023 12"/>
    <n v="1232.2661474347105"/>
    <n v="0.46191494936789329"/>
  </r>
  <r>
    <s v="521024655"/>
    <s v="700000938962"/>
    <s v="iHerb_MH DLE7202"/>
    <s v="Доставлен"/>
    <d v="2023-10-01T00:00:00"/>
    <x v="16"/>
    <s v="Витамины"/>
    <s v="LKN-01639"/>
    <x v="90"/>
    <x v="728"/>
    <n v="18.05"/>
    <n v="-5.42"/>
    <n v="-0.51231153917392114"/>
    <n v="-1.6621883224023088E-15"/>
    <n v="0.69287315634891056"/>
    <n v="1393.4441090942767"/>
    <n v="2400"/>
    <x v="306"/>
    <s v="&lt;Клиент не выбран&gt;"/>
    <s v="2024 04"/>
    <n v="1006.5558909057233"/>
    <n v="0.72235110424340854"/>
  </r>
  <r>
    <s v="521024655"/>
    <s v="700000938962"/>
    <s v="iHerb_MH DLE7202"/>
    <s v="Доставлен"/>
    <d v="2023-10-01T00:00:00"/>
    <x v="16"/>
    <s v="Витамины"/>
    <s v="CEN-22675"/>
    <x v="2"/>
    <x v="2"/>
    <n v="10.79"/>
    <n v="-2.59"/>
    <n v="-0.33261715132431929"/>
    <n v="-1.0791721491448085E-15"/>
    <n v="0.44984638812835043"/>
    <n v="904.69055380626037"/>
    <n v="1600"/>
    <x v="215"/>
    <s v="&lt;Клиент не выбран&gt;"/>
    <s v="2023 11"/>
    <n v="695.30944619373963"/>
    <n v="0.76856052411335363"/>
  </r>
  <r>
    <s v="521024655"/>
    <s v="700000938962"/>
    <s v="iHerb_MH DLE7202"/>
    <s v="Доставлен"/>
    <d v="2023-10-01T00:00:00"/>
    <x v="16"/>
    <s v="Витамины"/>
    <s v="CGN-01032"/>
    <x v="1"/>
    <x v="145"/>
    <n v="39.200000000000003"/>
    <n v="-11.76"/>
    <n v="-1.1130505649194296"/>
    <n v="-3.611278508845555E-15"/>
    <n v="1.505339620761212"/>
    <n v="3027.4035117614376"/>
    <n v="4300"/>
    <x v="432"/>
    <s v="&lt;Клиент не выбран&gt;"/>
    <s v="2023 12"/>
    <n v="1272.5964882385624"/>
    <n v="0.42035905795000089"/>
  </r>
  <r>
    <s v="521159821"/>
    <s v="700000951790"/>
    <s v="iHerb_OA CZN6870"/>
    <s v="Доставлен"/>
    <d v="2023-10-07T00:00:00"/>
    <x v="16"/>
    <s v="Витамины"/>
    <s v="DRB-00091"/>
    <x v="6"/>
    <x v="16"/>
    <n v="11.95"/>
    <n v="-2.39"/>
    <n v="-0.98546470776109873"/>
    <n v="1.0847634228467835E-15"/>
    <n v="0.73588075493988991"/>
    <n v="1043.0865314595976"/>
    <n v="1800"/>
    <x v="41"/>
    <s v="&lt;Клиент не выбран&gt;"/>
    <s v="2024 02"/>
    <n v="756.91346854040239"/>
    <n v="0.7256478208775724"/>
  </r>
  <r>
    <s v="521159821"/>
    <s v="700000951790"/>
    <s v="iHerb_OA CZN6870"/>
    <s v="Доставлен"/>
    <d v="2023-10-07T00:00:00"/>
    <x v="16"/>
    <s v="Витамины"/>
    <s v="DRB-00091"/>
    <x v="6"/>
    <x v="16"/>
    <n v="11.95"/>
    <n v="-2.39"/>
    <n v="-0.98546470776109873"/>
    <n v="1.0847634228467835E-15"/>
    <n v="0.73588075493988991"/>
    <n v="1043.0865314595976"/>
    <n v="1800"/>
    <x v="482"/>
    <s v="&lt;Клиент не выбран&gt;"/>
    <s v="2024 03"/>
    <n v="756.91346854040239"/>
    <n v="0.7256478208775724"/>
  </r>
  <r>
    <s v="521159821"/>
    <s v="700000951790"/>
    <s v="iHerb_OA CZN6870"/>
    <s v="Доставлен"/>
    <d v="2023-10-07T00:00:00"/>
    <x v="16"/>
    <s v="Витамины"/>
    <s v="DRB-00091"/>
    <x v="6"/>
    <x v="16"/>
    <n v="11.95"/>
    <n v="-2.39"/>
    <n v="-0.98546470776109873"/>
    <n v="1.0847634228467835E-15"/>
    <n v="0.73588075493988991"/>
    <n v="1043.0865314595976"/>
    <n v="1800"/>
    <x v="188"/>
    <s v="&lt;Клиент не выбран&gt;"/>
    <s v="2024 04"/>
    <n v="756.91346854040239"/>
    <n v="0.7256478208775724"/>
  </r>
  <r>
    <s v="521159821"/>
    <s v="700000951790"/>
    <s v="iHerb_OA CZN6870"/>
    <s v="Доставлен"/>
    <d v="2023-10-07T00:00:00"/>
    <x v="16"/>
    <s v="Витамины"/>
    <s v="EVL-02739"/>
    <x v="125"/>
    <x v="657"/>
    <n v="13.04"/>
    <n v="-2.61"/>
    <n v="-1.0751461194506549"/>
    <n v="1.1834814330849323E-15"/>
    <n v="0.80284898263839455"/>
    <n v="1138.0117702012139"/>
    <n v="1900"/>
    <x v="185"/>
    <s v="&lt;Клиент не выбран&gt;"/>
    <s v="2023 11"/>
    <n v="761.98822979878605"/>
    <n v="0.66957851381805789"/>
  </r>
  <r>
    <s v="521159821"/>
    <s v="700000951790"/>
    <s v="iHerb_OA CZN6870"/>
    <s v="Доставлен"/>
    <d v="2023-10-07T00:00:00"/>
    <x v="16"/>
    <s v="Витамины"/>
    <s v="SNS-01399"/>
    <x v="151"/>
    <x v="833"/>
    <n v="16.97"/>
    <n v="-3.39"/>
    <n v="-1.3998546790162887"/>
    <n v="1.5409087115334017E-15"/>
    <n v="1.0453201518916011"/>
    <n v="1481.7066001277549"/>
    <n v="2500"/>
    <x v="174"/>
    <s v="&lt;Клиент не выбран&gt;"/>
    <s v="2023 11"/>
    <n v="1018.2933998722451"/>
    <n v="0.6872436147510218"/>
  </r>
  <r>
    <s v="521159821"/>
    <s v="700000951790"/>
    <s v="iHerb_OA CZN6870"/>
    <s v="Доставлен"/>
    <d v="2023-10-07T00:00:00"/>
    <x v="16"/>
    <s v="Витамины"/>
    <s v="FCD-02860"/>
    <x v="207"/>
    <x v="834"/>
    <n v="12.66"/>
    <n v="-2.5299999999999998"/>
    <n v="-1.0442214947301183"/>
    <n v="1.1494407398993639E-15"/>
    <n v="0.77975649032856553"/>
    <n v="1105.2789292558291"/>
    <n v="1900"/>
    <x v="185"/>
    <s v="&lt;Клиент не выбран&gt;"/>
    <s v="2023 11"/>
    <n v="794.7210707441709"/>
    <n v="0.7190230897455423"/>
  </r>
  <r>
    <s v="521159821"/>
    <s v="700000951790"/>
    <s v="iHerb_OA CZN6870"/>
    <s v="Доставлен"/>
    <d v="2023-10-07T00:00:00"/>
    <x v="16"/>
    <s v="Витамины"/>
    <s v="NBC-00520"/>
    <x v="8"/>
    <x v="733"/>
    <n v="10.69"/>
    <n v="-1.07"/>
    <n v="-0.99164963270520612"/>
    <n v="1.0915715614838973E-15"/>
    <n v="0.74049925340185585"/>
    <n v="1049.6330996486747"/>
    <n v="1700"/>
    <x v="104"/>
    <s v="&lt;Клиент не выбран&gt;"/>
    <s v="2023 11"/>
    <n v="650.36690035132528"/>
    <n v="0.61961355884166691"/>
  </r>
  <r>
    <s v="521159821"/>
    <s v="700000951790"/>
    <s v="iHerb_OA CZN6870"/>
    <s v="Доставлен"/>
    <d v="2023-10-07T00:00:00"/>
    <x v="16"/>
    <s v="Витамины"/>
    <s v="NBC-00520"/>
    <x v="8"/>
    <x v="733"/>
    <n v="10.69"/>
    <n v="-1.07"/>
    <n v="-0.99164963270520612"/>
    <n v="1.0915715614838973E-15"/>
    <n v="0.74049925340185585"/>
    <n v="1049.6330996486747"/>
    <n v="1800"/>
    <x v="483"/>
    <s v="&lt;Клиент не выбран&gt;"/>
    <s v="2024 03"/>
    <n v="750.36690035132528"/>
    <n v="0.71488494465588259"/>
  </r>
  <r>
    <s v="521159821"/>
    <s v="700000951790"/>
    <s v="iHerb_OA CZN6870"/>
    <s v="Доставлен"/>
    <d v="2023-10-07T00:00:00"/>
    <x v="16"/>
    <s v="Витамины"/>
    <s v="NBC-00520"/>
    <x v="8"/>
    <x v="733"/>
    <n v="10.69"/>
    <n v="-1.07"/>
    <n v="-0.99164963270520612"/>
    <n v="1.0915715614838973E-15"/>
    <n v="0.74049925340185585"/>
    <n v="1049.6330996486747"/>
    <n v="1600"/>
    <x v="26"/>
    <s v="&lt;Клиент не выбран&gt;"/>
    <s v="2024 08"/>
    <n v="550.36690035132528"/>
    <n v="0.52434217302745112"/>
  </r>
  <r>
    <s v="521159821"/>
    <s v="700000951790"/>
    <s v="iHerb_OA CZN6870"/>
    <s v="Доставлен"/>
    <d v="2023-10-07T00:00:00"/>
    <x v="16"/>
    <s v="Витамины"/>
    <s v="LEX-13271"/>
    <x v="7"/>
    <x v="835"/>
    <n v="11.62"/>
    <n v="-2.3199999999999998"/>
    <n v="-0.95866336633663374"/>
    <n v="1.055261488752624E-15"/>
    <n v="0.71586726160470471"/>
    <n v="1014.7180693069308"/>
    <n v="1700"/>
    <x v="261"/>
    <s v="&lt;Клиент не выбран&gt;"/>
    <s v="2023 11"/>
    <n v="685.28193069306917"/>
    <n v="0.6753421974254662"/>
  </r>
  <r>
    <s v="521159821"/>
    <s v="700000951790"/>
    <s v="iHerb_OA CZN6870"/>
    <s v="Доставлен"/>
    <d v="2023-10-07T00:00:00"/>
    <x v="16"/>
    <s v="Витамины"/>
    <s v="CAR-13730"/>
    <x v="154"/>
    <x v="836"/>
    <n v="30.32"/>
    <n v="-6.06"/>
    <n v="-2.5007713190673915"/>
    <n v="2.7527573889396414E-15"/>
    <n v="1.8674128781215202"/>
    <n v="2646.9957377834562"/>
    <n v="3600"/>
    <x v="183"/>
    <s v="&lt;Клиент не выбран&gt;"/>
    <s v="2023 11"/>
    <n v="953.00426221654379"/>
    <n v="0.36003241282684173"/>
  </r>
  <r>
    <s v="OZO0025"/>
    <n v="0"/>
    <s v="OZON_OA"/>
    <s v="Доставлен"/>
    <d v="2023-10-09T00:00:00"/>
    <x v="16"/>
    <s v="Спортпит"/>
    <s v="176208973"/>
    <x v="118"/>
    <x v="417"/>
    <n v="1620"/>
    <n v="0"/>
    <n v="0"/>
    <n v="0"/>
    <n v="162"/>
    <n v="1782"/>
    <n v="2700"/>
    <x v="454"/>
    <s v="&lt;Клиент не выбран&gt;"/>
    <s v="2023 10"/>
    <n v="918"/>
    <n v="0.51515151515151514"/>
  </r>
  <r>
    <s v="OZO0025"/>
    <n v="0"/>
    <s v="OZON_OA"/>
    <s v="Доставлен"/>
    <d v="2023-10-09T00:00:00"/>
    <x v="16"/>
    <s v="Спортпит"/>
    <s v="626943002"/>
    <x v="108"/>
    <x v="521"/>
    <n v="899.5"/>
    <n v="0"/>
    <n v="0"/>
    <n v="0"/>
    <n v="89.950000000000017"/>
    <n v="989.45"/>
    <n v="1700"/>
    <x v="474"/>
    <s v="&lt;Клиент не выбран&gt;"/>
    <s v="2023 11"/>
    <n v="710.55"/>
    <n v="0.71812623174490875"/>
  </r>
  <r>
    <s v="OZO0025"/>
    <n v="0"/>
    <s v="OZON_OA"/>
    <s v="Доставлен"/>
    <d v="2023-10-09T00:00:00"/>
    <x v="16"/>
    <s v="Спортпит"/>
    <s v="070106285"/>
    <x v="108"/>
    <x v="837"/>
    <n v="898.5"/>
    <n v="0"/>
    <n v="0"/>
    <n v="0"/>
    <n v="89.85"/>
    <n v="988.35"/>
    <n v="1700"/>
    <x v="474"/>
    <s v="&lt;Клиент не выбран&gt;"/>
    <s v="2023 11"/>
    <n v="711.65"/>
    <n v="0.72003844791824756"/>
  </r>
  <r>
    <s v="OZO0025"/>
    <n v="0"/>
    <s v="OZON_OA"/>
    <s v="Доставлен"/>
    <d v="2023-10-09T00:00:00"/>
    <x v="16"/>
    <s v="Спортпит"/>
    <s v="999025023"/>
    <x v="118"/>
    <x v="838"/>
    <n v="944"/>
    <n v="0"/>
    <n v="0"/>
    <n v="0"/>
    <n v="94.4"/>
    <n v="1038.4000000000001"/>
    <n v="1700"/>
    <x v="343"/>
    <s v="&lt;Клиент не выбран&gt;"/>
    <s v="2023 10"/>
    <n v="661.59999999999991"/>
    <n v="0.63713405238828957"/>
  </r>
  <r>
    <s v="OZO0025"/>
    <n v="0"/>
    <s v="OZON_OA"/>
    <s v="Доставлен"/>
    <d v="2023-10-09T00:00:00"/>
    <x v="16"/>
    <s v="Спортпит"/>
    <s v="999025023"/>
    <x v="118"/>
    <x v="838"/>
    <n v="944"/>
    <n v="0"/>
    <n v="0"/>
    <n v="0"/>
    <n v="94.4"/>
    <n v="1038.4000000000001"/>
    <n v="1700"/>
    <x v="262"/>
    <s v="&lt;Клиент не выбран&gt;"/>
    <s v="2023 11"/>
    <n v="661.59999999999991"/>
    <n v="0.63713405238828957"/>
  </r>
  <r>
    <s v="OZO0025"/>
    <n v="0"/>
    <s v="OZON_OA"/>
    <s v="Доставлен"/>
    <d v="2023-10-09T00:00:00"/>
    <x v="16"/>
    <s v="Спортпит"/>
    <s v="176208973"/>
    <x v="118"/>
    <x v="417"/>
    <n v="1620"/>
    <n v="0"/>
    <n v="0"/>
    <n v="0"/>
    <n v="162"/>
    <n v="1782"/>
    <n v="2700"/>
    <x v="391"/>
    <s v="&lt;Клиент не выбран&gt;"/>
    <s v="2024 01"/>
    <n v="918"/>
    <n v="0.51515151515151514"/>
  </r>
  <r>
    <s v="WB0156"/>
    <n v="0"/>
    <s v="WBRS"/>
    <s v="Доставлен"/>
    <d v="2023-10-06T00:00:00"/>
    <x v="16"/>
    <s v="Спортпит"/>
    <s v="176044510"/>
    <x v="203"/>
    <x v="839"/>
    <n v="428"/>
    <n v="0"/>
    <n v="0"/>
    <n v="0"/>
    <n v="42.800000000000004"/>
    <n v="470.8"/>
    <n v="800"/>
    <x v="308"/>
    <s v="&lt;Клиент не выбран&gt;"/>
    <s v="2024 02"/>
    <n v="329.2"/>
    <n v="0.69923534409515709"/>
  </r>
  <r>
    <s v="WB0156"/>
    <n v="0"/>
    <s v="WBRS"/>
    <s v="Доставлен"/>
    <d v="2023-10-06T00:00:00"/>
    <x v="16"/>
    <s v="Спортпит"/>
    <s v="176044510"/>
    <x v="203"/>
    <x v="839"/>
    <n v="428"/>
    <n v="0"/>
    <n v="0"/>
    <n v="0"/>
    <n v="42.800000000000004"/>
    <n v="470.8"/>
    <n v="800"/>
    <x v="456"/>
    <s v="&lt;Клиент не выбран&gt;"/>
    <s v="2024 02"/>
    <n v="329.2"/>
    <n v="0.69923534409515709"/>
  </r>
  <r>
    <s v="WB0156"/>
    <n v="0"/>
    <s v="WBRS"/>
    <s v="Доставлен"/>
    <d v="2023-10-06T00:00:00"/>
    <x v="16"/>
    <s v="Спортпит"/>
    <s v="176044512"/>
    <x v="203"/>
    <x v="840"/>
    <n v="428"/>
    <n v="0"/>
    <n v="0"/>
    <n v="0"/>
    <n v="42.800000000000004"/>
    <n v="470.8"/>
    <n v="800"/>
    <x v="456"/>
    <s v="&lt;Клиент не выбран&gt;"/>
    <s v="2024 02"/>
    <n v="329.2"/>
    <n v="0.69923534409515709"/>
  </r>
  <r>
    <s v="WB0156"/>
    <n v="0"/>
    <s v="WBRS"/>
    <s v="Доставлен"/>
    <d v="2023-10-06T00:00:00"/>
    <x v="16"/>
    <s v="Спортпит"/>
    <s v="176044512"/>
    <x v="203"/>
    <x v="840"/>
    <n v="428"/>
    <n v="0"/>
    <n v="0"/>
    <n v="0"/>
    <n v="42.800000000000004"/>
    <n v="470.8"/>
    <n v="800"/>
    <x v="350"/>
    <s v="&lt;Клиент не выбран&gt;"/>
    <s v="2024 03"/>
    <n v="329.2"/>
    <n v="0.69923534409515709"/>
  </r>
  <r>
    <s v="307110838 "/>
    <n v="0"/>
    <s v="YAMARKET"/>
    <s v="Доставлен"/>
    <d v="2023-10-06T00:00:00"/>
    <x v="16"/>
    <s v="Спортпит"/>
    <s v="061 55 см"/>
    <x v="208"/>
    <x v="841"/>
    <n v="367"/>
    <n v="0"/>
    <n v="0"/>
    <n v="0"/>
    <n v="36.700000000000003"/>
    <n v="403.7"/>
    <n v="600"/>
    <x v="341"/>
    <s v="&lt;Клиент не выбран&gt;"/>
    <s v="2023 10"/>
    <n v="196.3"/>
    <n v="0.48625216745107758"/>
  </r>
  <r>
    <s v="521239062"/>
    <s v="700000955729"/>
    <s v="iHerb_AV CYG0792"/>
    <s v="Доставлен"/>
    <d v="2023-10-12T00:00:00"/>
    <x v="16"/>
    <s v="Витамины"/>
    <s v="ECL-10239"/>
    <x v="209"/>
    <x v="842"/>
    <n v="23.49"/>
    <n v="-2.35"/>
    <n v="-1.1685174252523327"/>
    <n v="2.8605738781124578E-15"/>
    <n v="0.97326236847797143"/>
    <n v="2339.3326328318412"/>
    <n v="3000"/>
    <x v="174"/>
    <s v="&lt;Клиент не выбран&gt;"/>
    <s v="2023 11"/>
    <n v="660.66736716815876"/>
    <n v="0.28241702693147941"/>
  </r>
  <r>
    <s v="521239062"/>
    <s v="700000955729"/>
    <s v="iHerb_AV CYG0792"/>
    <s v="Доставлен"/>
    <d v="2023-10-12T00:00:00"/>
    <x v="16"/>
    <s v="Витамины"/>
    <s v="PTF-10393"/>
    <x v="169"/>
    <x v="843"/>
    <n v="20.73"/>
    <n v="-2.0699999999999998"/>
    <n v="-1.0314349647686154"/>
    <n v="2.5249909444455285E-15"/>
    <n v="0.85908589384100997"/>
    <n v="2064.8981517806133"/>
    <n v="2800"/>
    <x v="174"/>
    <s v="&lt;Клиент не выбран&gt;"/>
    <s v="2023 11"/>
    <n v="735.10184821938674"/>
    <n v="0.35599908285330684"/>
  </r>
  <r>
    <s v="521239062"/>
    <s v="700000955729"/>
    <s v="iHerb_AV CYG0792"/>
    <s v="Доставлен"/>
    <d v="2023-10-12T00:00:00"/>
    <x v="16"/>
    <s v="Витамины"/>
    <s v="NOR-53787"/>
    <x v="9"/>
    <x v="844"/>
    <n v="17.8"/>
    <n v="-1.78"/>
    <n v="-0.88550847457627124"/>
    <n v="2.1677574989291194E-15"/>
    <n v="0.73754319503392174"/>
    <n v="1772.7582203389829"/>
    <n v="2500"/>
    <x v="298"/>
    <s v="&lt;Клиент не выбран&gt;"/>
    <s v="2023 11"/>
    <n v="727.24177966101706"/>
    <n v="0.41023179095565299"/>
  </r>
  <r>
    <s v="521239062"/>
    <s v="700000955729"/>
    <s v="iHerb_AV CYG0792"/>
    <s v="Доставлен"/>
    <d v="2023-10-12T00:00:00"/>
    <x v="16"/>
    <s v="Витамины"/>
    <s v="NOR-53787"/>
    <x v="9"/>
    <x v="844"/>
    <n v="17.8"/>
    <n v="-1.78"/>
    <n v="-0.88550847457627124"/>
    <n v="2.1677574989291194E-15"/>
    <n v="0.73754319503392174"/>
    <n v="1772.7582203389829"/>
    <n v="2500"/>
    <x v="298"/>
    <s v="&lt;Клиент не выбран&gt;"/>
    <s v="2023 11"/>
    <n v="727.24177966101706"/>
    <n v="0.41023179095565299"/>
  </r>
  <r>
    <s v="521239062"/>
    <s v="700000955729"/>
    <s v="iHerb_AV CYG0792"/>
    <s v="Доставлен"/>
    <d v="2023-10-12T00:00:00"/>
    <x v="16"/>
    <s v="Витамины"/>
    <s v="CEN-27070"/>
    <x v="2"/>
    <x v="129"/>
    <n v="8.23"/>
    <n v="-0.82"/>
    <n v="-0.40958912588078467"/>
    <n v="1.0026893300290122E-15"/>
    <n v="0.34114825687898631"/>
    <n v="819.98367120548471"/>
    <n v="1300"/>
    <x v="298"/>
    <s v="&lt;Клиент не выбран&gt;"/>
    <s v="2023 11"/>
    <n v="480.01632879451529"/>
    <n v="0.58539742393751282"/>
  </r>
  <r>
    <s v="521239062"/>
    <s v="700000955729"/>
    <s v="iHerb_AV CYG0792"/>
    <s v="Доставлен"/>
    <d v="2023-10-12T00:00:00"/>
    <x v="16"/>
    <s v="Витамины"/>
    <s v="SNS-02757"/>
    <x v="151"/>
    <x v="580"/>
    <n v="13.95"/>
    <n v="-1.4"/>
    <n v="-0.69370358027042456"/>
    <n v="1.6982120231935358E-15"/>
    <n v="0.57778820834430189"/>
    <n v="1388.7712649971434"/>
    <n v="2000"/>
    <x v="478"/>
    <s v="&lt;Клиент не выбран&gt;"/>
    <s v="2024 03"/>
    <n v="611.22873500285664"/>
    <n v="0.4401219627798923"/>
  </r>
  <r>
    <s v="521239062"/>
    <s v="700000955729"/>
    <s v="iHerb_AV CYG0792"/>
    <s v="Доставлен"/>
    <d v="2023-10-12T00:00:00"/>
    <x v="16"/>
    <s v="Витамины"/>
    <s v="CEN-27285"/>
    <x v="2"/>
    <x v="543"/>
    <n v="8.9600000000000009"/>
    <n v="-0.9"/>
    <n v="-0.44551799657208152"/>
    <n v="1.090644534417522E-15"/>
    <n v="0.37107354257012543"/>
    <n v="891.91206341649217"/>
    <n v="1300"/>
    <x v="298"/>
    <s v="&lt;Клиент не выбран&gt;"/>
    <s v="2023 11"/>
    <n v="408.08793658350783"/>
    <n v="0.45754279297481015"/>
  </r>
  <r>
    <s v="521239062"/>
    <s v="700000955729"/>
    <s v="iHerb_AV CYG0792"/>
    <s v="Доставлен"/>
    <d v="2023-10-12T00:00:00"/>
    <x v="16"/>
    <s v="Витамины"/>
    <s v="NOW-03170"/>
    <x v="3"/>
    <x v="306"/>
    <n v="19.690000000000001"/>
    <n v="-1.97"/>
    <n v="-0.97947629023043248"/>
    <n v="2.3977941873298375E-15"/>
    <n v="0.81580932684151652"/>
    <n v="1960.8786307370028"/>
    <n v="2500"/>
    <x v="183"/>
    <s v="&lt;Клиент не выбран&gt;"/>
    <s v="2023 11"/>
    <n v="539.12136926299718"/>
    <n v="0.27493867331318034"/>
  </r>
  <r>
    <s v="521239062"/>
    <s v="700000955729"/>
    <s v="iHerb_AV CYG0792"/>
    <s v="Доставлен"/>
    <d v="2023-10-12T00:00:00"/>
    <x v="16"/>
    <s v="Витамины"/>
    <s v="NBC-01050"/>
    <x v="8"/>
    <x v="845"/>
    <n v="9.0299999999999994"/>
    <n v="-0.9"/>
    <n v="-0.44938725956960568"/>
    <n v="1.1001166333516691E-15"/>
    <n v="0.37429626564455581"/>
    <n v="899.65819796229289"/>
    <n v="1500"/>
    <x v="185"/>
    <s v="&lt;Клиент не выбран&gt;"/>
    <s v="2023 11"/>
    <n v="600.34180203770711"/>
    <n v="0.66729987388262435"/>
  </r>
  <r>
    <s v="521239062"/>
    <s v="700000955729"/>
    <s v="iHerb_AV CYG0792"/>
    <s v="Доставлен"/>
    <d v="2023-10-12T00:00:00"/>
    <x v="16"/>
    <s v="Витамины"/>
    <s v="NBC-01016"/>
    <x v="8"/>
    <x v="97"/>
    <n v="9.25"/>
    <n v="-0.92500000000000004"/>
    <n v="-0.46016592077699481"/>
    <n v="1.1265031946682219E-15"/>
    <n v="0.38327385135189751"/>
    <n v="921.23671562559514"/>
    <n v="1400"/>
    <x v="359"/>
    <s v="&lt;Клиент не выбран&gt;"/>
    <s v="2023 12"/>
    <n v="478.76328437440486"/>
    <n v="0.51969626943199432"/>
  </r>
  <r>
    <s v="521239062"/>
    <s v="700000955729"/>
    <s v="iHerb_AV CYG0792"/>
    <s v="Доставлен"/>
    <d v="2023-10-12T00:00:00"/>
    <x v="16"/>
    <s v="Витамины"/>
    <s v="NBC-01016"/>
    <x v="8"/>
    <x v="97"/>
    <n v="9.25"/>
    <n v="-0.92500000000000004"/>
    <n v="-0.46016592077699481"/>
    <n v="1.1265031946682219E-15"/>
    <n v="0.38327385135189751"/>
    <n v="921.23671562559514"/>
    <n v="1500"/>
    <x v="346"/>
    <s v="&lt;Клиент не выбран&gt;"/>
    <s v="2023 12"/>
    <n v="578.76328437440486"/>
    <n v="0.62824600296285105"/>
  </r>
  <r>
    <s v="521239062"/>
    <s v="700000955729"/>
    <s v="iHerb_AV CYG0792"/>
    <s v="Доставлен"/>
    <d v="2023-10-12T00:00:00"/>
    <x v="16"/>
    <s v="Спортпит"/>
    <s v="FCD-02889"/>
    <x v="207"/>
    <x v="846"/>
    <n v="20.29"/>
    <n v="-12.19"/>
    <n v="-0.44772900399923826"/>
    <n v="1.0960571623798918E-15"/>
    <n v="0.37291509861265704"/>
    <n v="896.33842601409242"/>
    <m/>
    <x v="20"/>
    <m/>
    <s v=""/>
    <n v="-896.33842601409242"/>
    <s v=""/>
  </r>
  <r>
    <s v="521239062"/>
    <s v="700000955729"/>
    <s v="iHerb_AV CYG0792"/>
    <s v="Доставлен"/>
    <d v="2023-10-12T00:00:00"/>
    <x v="16"/>
    <s v="Витамины"/>
    <s v="LEX-19456"/>
    <x v="7"/>
    <x v="558"/>
    <n v="10.54"/>
    <n v="-2.11"/>
    <n v="-0.4659698152732813"/>
    <n v="1.1407113430694429E-15"/>
    <n v="0.38810793596354315"/>
    <n v="932.85591744429632"/>
    <n v="1700"/>
    <x v="125"/>
    <s v="&lt;Клиент не выбран&gt;"/>
    <s v="2023 11"/>
    <n v="767.14408255570368"/>
    <n v="0.82236073997087789"/>
  </r>
  <r>
    <s v="521239062"/>
    <s v="700000955729"/>
    <s v="iHerb_AV CYG0792"/>
    <s v="Доставлен"/>
    <d v="2023-10-12T00:00:00"/>
    <x v="16"/>
    <s v="Витамины"/>
    <s v="LEX-19456"/>
    <x v="7"/>
    <x v="558"/>
    <n v="10.54"/>
    <n v="-2.11"/>
    <n v="-0.4659698152732813"/>
    <n v="1.1407113430694429E-15"/>
    <n v="0.38810793596354315"/>
    <n v="932.85591744429632"/>
    <n v="1500"/>
    <x v="198"/>
    <s v="&lt;Клиент не выбран&gt;"/>
    <s v="2023 11"/>
    <n v="567.14408255570368"/>
    <n v="0.60796535879783342"/>
  </r>
  <r>
    <s v="521239062"/>
    <s v="700000955729"/>
    <s v="iHerb_AV CYG0792"/>
    <s v="Доставлен"/>
    <d v="2023-10-12T00:00:00"/>
    <x v="16"/>
    <s v="Витамины"/>
    <s v="NAP-29982"/>
    <x v="11"/>
    <x v="393"/>
    <n v="26.99"/>
    <n v="-5.4"/>
    <n v="-1.1933912588078459"/>
    <n v="2.9214659426891184E-15"/>
    <n v="0.99397987395645238"/>
    <n v="2389.1292120548464"/>
    <n v="3500"/>
    <x v="346"/>
    <s v="&lt;Клиент не выбран&gt;"/>
    <s v="2023 12"/>
    <n v="1110.8707879451536"/>
    <n v="0.46496890261942503"/>
  </r>
  <r>
    <s v="521239062"/>
    <s v="700000955729"/>
    <s v="iHerb_AV CYG0792"/>
    <s v="Доставлен"/>
    <d v="2023-10-12T00:00:00"/>
    <x v="16"/>
    <s v="Витамины"/>
    <s v="NAP-29928"/>
    <x v="11"/>
    <x v="847"/>
    <n v="26.41"/>
    <n v="-5.28"/>
    <n v="-1.1679646733955436"/>
    <n v="2.8592207211218657E-15"/>
    <n v="0.9728019794673386"/>
    <n v="2338.2260421824412"/>
    <n v="3300"/>
    <x v="308"/>
    <s v="&lt;Клиент не выбран&gt;"/>
    <s v="2024 02"/>
    <n v="961.77395781755877"/>
    <n v="0.41132633905653671"/>
  </r>
  <r>
    <s v="521320926"/>
    <s v="700000960684"/>
    <s v="iHerb_OA CZN6870"/>
    <s v="Доставлен"/>
    <d v="2023-10-16T00:00:00"/>
    <x v="16"/>
    <s v="Витамины"/>
    <s v="CEN-27493"/>
    <x v="2"/>
    <x v="146"/>
    <n v="10"/>
    <n v="-1"/>
    <n v="-0.59453570961697677"/>
    <n v="0"/>
    <n v="0.4323150746992423"/>
    <n v="988.11717286156238"/>
    <n v="1500"/>
    <x v="215"/>
    <s v="&lt;Клиент не выбран&gt;"/>
    <s v="2023 11"/>
    <n v="511.88282713843762"/>
    <n v="0.51803859015630493"/>
  </r>
  <r>
    <s v="521320926"/>
    <s v="700000960684"/>
    <s v="iHerb_OA CZN6870"/>
    <s v="Доставлен"/>
    <d v="2023-10-16T00:00:00"/>
    <x v="16"/>
    <s v="Витамины"/>
    <s v="CEN-22673"/>
    <x v="2"/>
    <x v="3"/>
    <n v="10.83"/>
    <n v="-2.17"/>
    <n v="-0.57207547169811324"/>
    <n v="0"/>
    <n v="0.41598317187727102"/>
    <n v="950.78830188679228"/>
    <n v="1600"/>
    <x v="215"/>
    <s v="&lt;Клиент не выбран&gt;"/>
    <s v="2023 11"/>
    <n v="649.21169811320772"/>
    <n v="0.68281414151276287"/>
  </r>
  <r>
    <s v="521320926"/>
    <s v="700000960684"/>
    <s v="iHerb_OA CZN6870"/>
    <s v="Доставлен"/>
    <d v="2023-10-16T00:00:00"/>
    <x v="16"/>
    <s v="Витамины"/>
    <s v="CEN-22675"/>
    <x v="2"/>
    <x v="2"/>
    <n v="10.79"/>
    <n v="-2.16"/>
    <n v="-0.57009368599938981"/>
    <n v="0"/>
    <n v="0.41454212162827347"/>
    <n v="947.49457797725358"/>
    <n v="1600"/>
    <x v="438"/>
    <s v="&lt;Клиент не выбран&gt;"/>
    <s v="2024 01"/>
    <n v="652.50542202274642"/>
    <n v="0.68866401685985279"/>
  </r>
  <r>
    <s v="521320926"/>
    <s v="700000960684"/>
    <s v="iHerb_OA CZN6870"/>
    <s v="Доставлен"/>
    <d v="2023-10-16T00:00:00"/>
    <x v="16"/>
    <s v="Витамины"/>
    <s v="CEN-22390"/>
    <x v="2"/>
    <x v="848"/>
    <n v="8.6999999999999993"/>
    <n v="-1.74"/>
    <n v="-0.45977428210379528"/>
    <n v="0"/>
    <n v="0.33432365776741402"/>
    <n v="764.14394701294168"/>
    <n v="1700"/>
    <x v="215"/>
    <s v="&lt;Клиент не выбран&gt;"/>
    <s v="2023 11"/>
    <n v="935.85605298705832"/>
    <n v="1.2247117269532051"/>
  </r>
  <r>
    <s v="521320926"/>
    <s v="700000960684"/>
    <s v="iHerb_OA CZN6870"/>
    <s v="Доставлен"/>
    <d v="2023-10-16T00:00:00"/>
    <x v="16"/>
    <s v="Косметика"/>
    <s v="BOI-02156"/>
    <x v="26"/>
    <x v="849"/>
    <n v="13.75"/>
    <n v="-2.06"/>
    <n v="-0.77223582726916196"/>
    <n v="0"/>
    <n v="0.56152924702601581"/>
    <n v="1283.4544167501851"/>
    <n v="1800"/>
    <x v="215"/>
    <s v="&lt;Клиент не выбран&gt;"/>
    <s v="2023 11"/>
    <n v="516.54558324981485"/>
    <n v="0.40246507901523443"/>
  </r>
  <r>
    <s v="521320926"/>
    <s v="700000960684"/>
    <s v="iHerb_OA CZN6870"/>
    <s v="Доставлен"/>
    <d v="2023-10-16T00:00:00"/>
    <x v="16"/>
    <s v="Витамины"/>
    <s v="OAD-54589"/>
    <x v="17"/>
    <x v="395"/>
    <n v="18.489999999999998"/>
    <n v="-3.7"/>
    <n v="-0.97702034947056515"/>
    <n v="0"/>
    <n v="0.71043777275575482"/>
    <n v="1623.805887402501"/>
    <n v="2300"/>
    <x v="160"/>
    <s v="&lt;Клиент не выбран&gt;"/>
    <s v="2023 12"/>
    <n v="676.19411259749904"/>
    <n v="0.41642545937505115"/>
  </r>
  <r>
    <s v="521320926"/>
    <s v="700000960684"/>
    <s v="iHerb_OA CZN6870"/>
    <s v="Доставлен"/>
    <d v="2023-10-16T00:00:00"/>
    <x v="16"/>
    <s v="Витамины"/>
    <s v="FBS-00047"/>
    <x v="20"/>
    <x v="850"/>
    <n v="16.600000000000001"/>
    <n v="-3.32"/>
    <n v="-0.87727046930149466"/>
    <n v="0"/>
    <n v="0.63790491022288209"/>
    <n v="1458.0217839557279"/>
    <n v="2400"/>
    <x v="357"/>
    <s v="&lt;Клиент не выбран&gt;"/>
    <s v="2024 03"/>
    <n v="941.97821604427213"/>
    <n v="0.64606594113334237"/>
  </r>
  <r>
    <s v="521320926"/>
    <s v="700000960684"/>
    <s v="iHerb_OA CZN6870"/>
    <s v="Доставлен"/>
    <d v="2023-10-16T00:00:00"/>
    <x v="16"/>
    <s v="Витамины"/>
    <s v="LKN-01664"/>
    <x v="90"/>
    <x v="851"/>
    <n v="10.38"/>
    <n v="-3.1150000000000002"/>
    <n v="-0.47992243670748186"/>
    <n v="0"/>
    <n v="0.34897433529888838"/>
    <n v="797.63014009325025"/>
    <n v="1600"/>
    <x v="198"/>
    <s v="&lt;Клиент не выбран&gt;"/>
    <s v="2023 11"/>
    <n v="802.36985990674975"/>
    <n v="1.0059422526497623"/>
  </r>
  <r>
    <s v="521320926"/>
    <s v="700000960684"/>
    <s v="iHerb_OA CZN6870"/>
    <s v="Доставлен"/>
    <d v="2023-10-16T00:00:00"/>
    <x v="16"/>
    <s v="Витамины"/>
    <s v="LKN-01664"/>
    <x v="90"/>
    <x v="851"/>
    <n v="10.38"/>
    <n v="-3.1150000000000002"/>
    <n v="-0.47992243670748186"/>
    <n v="0"/>
    <n v="0.34897433529888838"/>
    <n v="797.63014009325025"/>
    <n v="1600"/>
    <x v="349"/>
    <s v="&lt;Клиент не выбран&gt;"/>
    <s v="2023 12"/>
    <n v="802.36985990674975"/>
    <n v="1.0059422526497623"/>
  </r>
  <r>
    <s v="521320926"/>
    <s v="700000960684"/>
    <s v="iHerb_OA CZN6870"/>
    <s v="Доставлен"/>
    <d v="2023-10-16T00:00:00"/>
    <x v="16"/>
    <s v="Витамины"/>
    <s v="FBS-20726"/>
    <x v="20"/>
    <x v="42"/>
    <n v="7.64"/>
    <n v="-1.53"/>
    <n v="-0.40362368730663639"/>
    <n v="0"/>
    <n v="0.29349390071248554"/>
    <n v="670.82176957601632"/>
    <n v="1500"/>
    <x v="359"/>
    <s v="&lt;Клиент не выбран&gt;"/>
    <s v="2023 12"/>
    <n v="829.17823042398368"/>
    <n v="1.2360633897556044"/>
  </r>
  <r>
    <s v="521320926"/>
    <s v="700000960684"/>
    <s v="iHerb_OA CZN6870"/>
    <s v="Доставлен"/>
    <d v="2023-10-16T00:00:00"/>
    <x v="16"/>
    <s v="Витамины"/>
    <s v="FBS-00678"/>
    <x v="20"/>
    <x v="542"/>
    <n v="13.35"/>
    <n v="-2.67"/>
    <n v="-0.70551570874547898"/>
    <n v="0"/>
    <n v="0.51301388864310093"/>
    <n v="1172.565711795721"/>
    <n v="2100"/>
    <x v="230"/>
    <s v="&lt;Клиент не выбран&gt;"/>
    <s v="2023 12"/>
    <n v="927.43428820427903"/>
    <n v="0.79094440411698852"/>
  </r>
  <r>
    <s v="521320926"/>
    <s v="700000960684"/>
    <s v="iHerb_OA CZN6870"/>
    <s v="Доставлен"/>
    <d v="2023-10-16T00:00:00"/>
    <x v="16"/>
    <s v="Витамины"/>
    <s v="MRM-21104"/>
    <x v="37"/>
    <x v="94"/>
    <n v="16.61"/>
    <n v="-2.4900000000000002"/>
    <n v="-0.93276046886574582"/>
    <n v="0"/>
    <n v="0.67825431719481111"/>
    <n v="1550.2460534228069"/>
    <n v="2300"/>
    <x v="314"/>
    <s v="&lt;Клиент не выбран&gt;"/>
    <s v="2024 05"/>
    <n v="749.75394657719312"/>
    <n v="0.48363544930290414"/>
  </r>
  <r>
    <s v="521320926"/>
    <s v="700000960684"/>
    <s v="iHerb_OA CZN6870"/>
    <s v="Доставлен"/>
    <d v="2023-10-16T00:00:00"/>
    <x v="16"/>
    <s v="Витамины"/>
    <s v="NOW-01283"/>
    <x v="3"/>
    <x v="343"/>
    <n v="17.43"/>
    <n v="-2.6150000000000002"/>
    <n v="-0.97867183755283449"/>
    <n v="0"/>
    <n v="0.71163864796325282"/>
    <n v="1626.5506573271166"/>
    <n v="2600"/>
    <x v="215"/>
    <s v="&lt;Клиент не выбран&gt;"/>
    <s v="2023 11"/>
    <n v="973.4493426728834"/>
    <n v="0.59847465450140758"/>
  </r>
  <r>
    <s v="521320926"/>
    <s v="700000960684"/>
    <s v="iHerb_OA CZN6870"/>
    <s v="Доставлен"/>
    <d v="2023-10-16T00:00:00"/>
    <x v="16"/>
    <s v="Витамины"/>
    <s v="NOW-01283"/>
    <x v="3"/>
    <x v="343"/>
    <n v="17.43"/>
    <n v="-2.6150000000000002"/>
    <n v="-0.97867183755283449"/>
    <n v="0"/>
    <n v="0.71163864796325282"/>
    <n v="1626.5506573271166"/>
    <n v="2600"/>
    <x v="484"/>
    <s v="&lt;Клиент не выбран&gt;"/>
    <s v="2023 12"/>
    <n v="973.4493426728834"/>
    <n v="0.59847465450140758"/>
  </r>
  <r>
    <s v="521320926"/>
    <s v="700000960684"/>
    <s v="iHerb_OA CZN6870"/>
    <s v="Доставлен"/>
    <d v="2023-10-16T00:00:00"/>
    <x v="16"/>
    <s v="Витамины"/>
    <s v="DRB-00025"/>
    <x v="6"/>
    <x v="113"/>
    <n v="12.84"/>
    <n v="-1.925"/>
    <n v="-0.72103969671881118"/>
    <n v="0"/>
    <n v="0.52430211559358109"/>
    <n v="1198.366549087106"/>
    <n v="1700"/>
    <x v="215"/>
    <s v="&lt;Клиент не выбран&gt;"/>
    <s v="2023 11"/>
    <n v="501.63345091289398"/>
    <n v="0.41859767472233705"/>
  </r>
  <r>
    <s v="521320926"/>
    <s v="700000960684"/>
    <s v="iHerb_OA CZN6870"/>
    <s v="Доставлен"/>
    <d v="2023-10-16T00:00:00"/>
    <x v="16"/>
    <s v="Витамины"/>
    <s v="DRB-00025"/>
    <x v="6"/>
    <x v="113"/>
    <n v="12.84"/>
    <n v="-1.925"/>
    <n v="-0.72103969671881118"/>
    <n v="0"/>
    <n v="0.52430211559358109"/>
    <n v="1198.366549087106"/>
    <n v="1800"/>
    <x v="215"/>
    <s v="&lt;Клиент не выбран&gt;"/>
    <s v="2023 11"/>
    <n v="601.63345091289398"/>
    <n v="0.50204459676482749"/>
  </r>
  <r>
    <s v="521320926"/>
    <s v="700000960684"/>
    <s v="iHerb_OA CZN6870"/>
    <s v="Доставлен"/>
    <d v="2023-10-16T00:00:00"/>
    <x v="16"/>
    <s v="Витамины"/>
    <s v="NOW-01298"/>
    <x v="3"/>
    <x v="392"/>
    <n v="24.24"/>
    <n v="-3.6349999999999998"/>
    <n v="-1.3611564774064226"/>
    <n v="0"/>
    <n v="0.98976134601976518"/>
    <n v="2262.2393718680551"/>
    <n v="3000"/>
    <x v="215"/>
    <s v="&lt;Клиент не выбран&gt;"/>
    <s v="2023 11"/>
    <n v="737.76062813194494"/>
    <n v="0.32611961285190416"/>
  </r>
  <r>
    <s v="521320926"/>
    <s v="700000960684"/>
    <s v="iHerb_OA CZN6870"/>
    <s v="Доставлен"/>
    <d v="2023-10-16T00:00:00"/>
    <x v="16"/>
    <s v="Витамины"/>
    <s v="NOW-01298"/>
    <x v="3"/>
    <x v="392"/>
    <n v="24.24"/>
    <n v="-3.6349999999999998"/>
    <n v="-1.3611564774064226"/>
    <n v="0"/>
    <n v="0.98976134601976518"/>
    <n v="2262.2393718680551"/>
    <n v="3100"/>
    <x v="215"/>
    <s v="&lt;Клиент не выбран&gt;"/>
    <s v="2023 11"/>
    <n v="837.76062813194494"/>
    <n v="0.37032359994696762"/>
  </r>
  <r>
    <s v="521320926"/>
    <s v="700000960684"/>
    <s v="iHerb_OA CZN6870"/>
    <s v="Доставлен"/>
    <d v="2023-10-16T00:00:00"/>
    <x v="16"/>
    <s v="Витамины"/>
    <s v="SOR-57445"/>
    <x v="10"/>
    <x v="604"/>
    <n v="22.96"/>
    <n v="-4.59"/>
    <n v="-1.2135134428515404"/>
    <n v="0"/>
    <n v="0.88240310246945353"/>
    <n v="2016.8569406074339"/>
    <n v="2800"/>
    <x v="479"/>
    <s v="&lt;Клиент не выбран&gt;"/>
    <s v="2023 11"/>
    <n v="783.1430593925661"/>
    <n v="0.38829876508578753"/>
  </r>
  <r>
    <s v="OZO0026"/>
    <n v="0"/>
    <s v="OZON_OA"/>
    <s v="Доставлен"/>
    <d v="2023-10-16T00:00:00"/>
    <x v="16"/>
    <s v="Спортпит"/>
    <s v="095246917"/>
    <x v="104"/>
    <x v="852"/>
    <n v="1640"/>
    <n v="0"/>
    <n v="0"/>
    <n v="0"/>
    <n v="164"/>
    <n v="1804"/>
    <n v="3000"/>
    <x v="485"/>
    <s v="&lt;Клиент не выбран&gt;"/>
    <s v="2024 01"/>
    <n v="1196"/>
    <n v="0.66297117516629711"/>
  </r>
  <r>
    <s v="OZO0026"/>
    <n v="0"/>
    <s v="OZON_OA"/>
    <s v="Доставлен"/>
    <d v="2023-10-16T00:00:00"/>
    <x v="16"/>
    <s v="Спортпит"/>
    <s v="095246917"/>
    <x v="104"/>
    <x v="852"/>
    <n v="1640"/>
    <n v="0"/>
    <n v="0"/>
    <n v="0"/>
    <n v="164"/>
    <n v="1804"/>
    <n v="3000"/>
    <x v="361"/>
    <s v="&lt;Клиент не выбран&gt;"/>
    <s v="2024 01"/>
    <n v="1196"/>
    <n v="0.66297117516629711"/>
  </r>
  <r>
    <s v="OZO0026"/>
    <n v="0"/>
    <s v="OZON_OA"/>
    <s v="Доставлен"/>
    <d v="2023-10-16T00:00:00"/>
    <x v="16"/>
    <s v="Спортпит"/>
    <s v="170919152"/>
    <x v="40"/>
    <x v="109"/>
    <n v="821"/>
    <n v="0"/>
    <n v="0"/>
    <n v="0"/>
    <n v="82.1"/>
    <n v="903.1"/>
    <n v="2200"/>
    <x v="456"/>
    <s v="&lt;Клиент не выбран&gt;"/>
    <s v="2024 02"/>
    <n v="1296.9000000000001"/>
    <n v="1.4360535931790499"/>
  </r>
  <r>
    <s v="OZO0026"/>
    <n v="0"/>
    <s v="OZON_OA"/>
    <s v="Доставлен"/>
    <d v="2023-10-16T00:00:00"/>
    <x v="16"/>
    <s v="Спортпит"/>
    <s v="555377467"/>
    <x v="104"/>
    <x v="853"/>
    <n v="1621"/>
    <n v="0"/>
    <n v="0"/>
    <n v="0"/>
    <n v="162.10000000000002"/>
    <n v="1783.1"/>
    <n v="3000"/>
    <x v="365"/>
    <s v="&lt;Клиент не выбран&gt;"/>
    <s v="2024 02"/>
    <n v="1216.9000000000001"/>
    <n v="0.68246312601648818"/>
  </r>
  <r>
    <s v="OZO0026"/>
    <n v="0"/>
    <s v="OZON_OA"/>
    <s v="Доставлен"/>
    <d v="2023-10-16T00:00:00"/>
    <x v="16"/>
    <s v="Спортпит"/>
    <s v="626914560"/>
    <x v="108"/>
    <x v="477"/>
    <n v="791.22208883553412"/>
    <n v="0"/>
    <n v="0"/>
    <n v="0"/>
    <n v="79.122208883553427"/>
    <n v="870.34429771908754"/>
    <n v="1700"/>
    <x v="447"/>
    <s v="&lt;Клиент не выбран&gt;"/>
    <s v="2023 10"/>
    <n v="829.65570228091246"/>
    <n v="0.95325000055172682"/>
  </r>
  <r>
    <s v="OZO0026"/>
    <n v="0"/>
    <s v="OZON_OA"/>
    <s v="Доставлен"/>
    <d v="2023-10-16T00:00:00"/>
    <x v="16"/>
    <s v="Спортпит"/>
    <s v="825481466"/>
    <x v="108"/>
    <x v="478"/>
    <n v="312.77791116446576"/>
    <n v="0"/>
    <n v="0"/>
    <n v="0"/>
    <n v="31.277791116446579"/>
    <n v="344.05570228091233"/>
    <n v="800"/>
    <x v="486"/>
    <s v="&lt;Клиент не выбран&gt;"/>
    <s v="2024 07"/>
    <n v="455.94429771908767"/>
    <n v="1.3252048860007595"/>
  </r>
  <r>
    <s v="OZO0027"/>
    <n v="0"/>
    <s v="OZON_OA"/>
    <s v="Доставлен"/>
    <d v="2023-10-23T00:00:00"/>
    <x v="16"/>
    <s v="Косметика"/>
    <s v="856532999"/>
    <x v="179"/>
    <x v="854"/>
    <n v="183"/>
    <n v="0"/>
    <n v="0"/>
    <n v="0"/>
    <n v="18.3"/>
    <n v="201.3"/>
    <n v="350"/>
    <x v="298"/>
    <s v="&lt;Клиент не выбран&gt;"/>
    <s v="2023 11"/>
    <n v="148.69999999999999"/>
    <n v="0.73869846000993533"/>
  </r>
  <r>
    <s v="OZO0027"/>
    <n v="0"/>
    <s v="OZON_OA"/>
    <s v="Доставлен"/>
    <d v="2023-10-23T00:00:00"/>
    <x v="16"/>
    <s v="Косметика"/>
    <s v="856532999"/>
    <x v="179"/>
    <x v="854"/>
    <n v="183"/>
    <n v="0"/>
    <n v="0"/>
    <n v="0"/>
    <n v="18.3"/>
    <n v="201.3"/>
    <n v="350"/>
    <x v="298"/>
    <s v="&lt;Клиент не выбран&gt;"/>
    <s v="2023 11"/>
    <n v="148.69999999999999"/>
    <n v="0.73869846000993533"/>
  </r>
  <r>
    <s v="WB0157"/>
    <n v="0"/>
    <s v="WBRS"/>
    <s v="Доставлен"/>
    <d v="2023-10-16T00:00:00"/>
    <x v="16"/>
    <s v="Спортпит"/>
    <s v="175277649"/>
    <x v="156"/>
    <x v="855"/>
    <n v="2305"/>
    <n v="0"/>
    <n v="0"/>
    <n v="0"/>
    <n v="230.5"/>
    <n v="2535.5"/>
    <n v="3800"/>
    <x v="183"/>
    <s v="&lt;Клиент не выбран&gt;"/>
    <s v="2023 11"/>
    <n v="1264.5"/>
    <n v="0.49871820153815816"/>
  </r>
  <r>
    <s v="WB0157"/>
    <n v="0"/>
    <s v="WBRS"/>
    <s v="Доставлен"/>
    <d v="2023-10-16T00:00:00"/>
    <x v="16"/>
    <s v="Спортпит"/>
    <s v="175277649"/>
    <x v="156"/>
    <x v="855"/>
    <n v="2305"/>
    <n v="0"/>
    <n v="0"/>
    <n v="0"/>
    <n v="230.5"/>
    <n v="2535.5"/>
    <n v="3500"/>
    <x v="312"/>
    <s v="&lt;Клиент не выбран&gt;"/>
    <s v="2024 07"/>
    <n v="964.5"/>
    <n v="0.38039834352198776"/>
  </r>
  <r>
    <s v="WB0158"/>
    <n v="0"/>
    <s v="WBRS"/>
    <s v="Доставлен"/>
    <d v="2023-10-16T00:00:00"/>
    <x v="16"/>
    <s v="Спортпит"/>
    <s v="160688046"/>
    <x v="118"/>
    <x v="856"/>
    <n v="2930"/>
    <n v="0"/>
    <n v="0"/>
    <n v="0"/>
    <n v="293"/>
    <n v="3223"/>
    <n v="3800"/>
    <x v="343"/>
    <s v="&lt;Клиент не выбран&gt;"/>
    <s v="2023 10"/>
    <n v="577"/>
    <n v="0.17902575240459198"/>
  </r>
  <r>
    <s v="WB0158"/>
    <n v="0"/>
    <s v="WBRS"/>
    <s v="Доставлен"/>
    <d v="2023-10-16T00:00:00"/>
    <x v="16"/>
    <s v="Спортпит"/>
    <s v="160688046"/>
    <x v="118"/>
    <x v="856"/>
    <n v="2930"/>
    <n v="0"/>
    <n v="0"/>
    <n v="0"/>
    <n v="293"/>
    <n v="3223"/>
    <n v="3800"/>
    <x v="343"/>
    <s v="&lt;Клиент не выбран&gt;"/>
    <s v="2023 10"/>
    <n v="577"/>
    <n v="0.17902575240459198"/>
  </r>
  <r>
    <s v="WB0161"/>
    <n v="0"/>
    <s v="WBRS"/>
    <s v="Доставлен"/>
    <d v="2023-10-16T00:00:00"/>
    <x v="16"/>
    <s v="Спортпит"/>
    <s v="125798812"/>
    <x v="118"/>
    <x v="857"/>
    <n v="2639"/>
    <n v="0"/>
    <n v="0"/>
    <n v="0"/>
    <n v="263.90000000000003"/>
    <n v="2902.9"/>
    <n v="3500"/>
    <x v="422"/>
    <s v="&lt;Клиент не выбран&gt;"/>
    <s v="2024 01"/>
    <n v="597.09999999999991"/>
    <n v="0.20569086086327462"/>
  </r>
  <r>
    <s v="WB0161"/>
    <n v="0"/>
    <s v="WBRS"/>
    <s v="Доставлен"/>
    <d v="2023-10-16T00:00:00"/>
    <x v="16"/>
    <s v="Спортпит"/>
    <s v="125798812"/>
    <x v="118"/>
    <x v="857"/>
    <n v="2639"/>
    <n v="0"/>
    <n v="0"/>
    <n v="0"/>
    <n v="263.90000000000003"/>
    <n v="2902.9"/>
    <n v="3500"/>
    <x v="312"/>
    <s v="&lt;Клиент не выбран&gt;"/>
    <s v="2024 07"/>
    <n v="597.09999999999991"/>
    <n v="0.20569086086327462"/>
  </r>
  <r>
    <s v="WB0161"/>
    <n v="0"/>
    <s v="WBRS"/>
    <s v="Доставлен"/>
    <d v="2023-10-16T00:00:00"/>
    <x v="16"/>
    <s v="Спортпит"/>
    <s v="125798812"/>
    <x v="118"/>
    <x v="857"/>
    <n v="2639"/>
    <n v="0"/>
    <n v="0"/>
    <n v="0"/>
    <n v="263.90000000000003"/>
    <n v="2902.9"/>
    <n v="3500"/>
    <x v="487"/>
    <s v="&lt;Клиент не выбран&gt;"/>
    <s v="2024 08"/>
    <n v="597.09999999999991"/>
    <n v="0.20569086086327462"/>
  </r>
  <r>
    <s v="521435123"/>
    <s v="700000967207"/>
    <s v="iHerb_VP DFD1605"/>
    <s v="Доставлен"/>
    <d v="2023-10-22T00:00:00"/>
    <x v="16"/>
    <s v="Витамины"/>
    <s v="CEN-27452"/>
    <x v="2"/>
    <x v="56"/>
    <n v="5.84"/>
    <n v="-0.88"/>
    <n v="-0.35362521891418558"/>
    <n v="-7.9640516792725756E-16"/>
    <n v="0.15580877199252716"/>
    <n v="527.78255691768823"/>
    <n v="1100"/>
    <x v="437"/>
    <s v="&lt;Клиент не выбран&gt;"/>
    <s v="2024 10"/>
    <n v="572.21744308231177"/>
    <n v="1.0841916535175555"/>
  </r>
  <r>
    <s v="521435123"/>
    <s v="700000967207"/>
    <s v="iHerb_VP DFD1605"/>
    <s v="Доставлен"/>
    <d v="2023-10-22T00:00:00"/>
    <x v="16"/>
    <s v="Витамины"/>
    <s v="CEN-27493"/>
    <x v="2"/>
    <x v="146"/>
    <n v="10"/>
    <n v="-2"/>
    <n v="-0.5703632563132025"/>
    <n v="-1.2845244643988026E-15"/>
    <n v="0.25130447095568892"/>
    <n v="851.26218857691663"/>
    <n v="1500"/>
    <x v="366"/>
    <s v="&lt;Клиент не выбран&gt;"/>
    <s v="2023 12"/>
    <n v="648.73781142308337"/>
    <n v="0.76208930706484213"/>
  </r>
  <r>
    <s v="521435123"/>
    <s v="700000967207"/>
    <s v="iHerb_VP DFD1605"/>
    <s v="Доставлен"/>
    <d v="2023-10-22T00:00:00"/>
    <x v="16"/>
    <s v="Витамины"/>
    <s v="EVL-02739"/>
    <x v="125"/>
    <x v="657"/>
    <n v="13.04"/>
    <n v="-1.96"/>
    <n v="-0.78995310999378543"/>
    <n v="-1.7790663831923412E-15"/>
    <n v="0.34805669227362918"/>
    <n v="1178.9981311790291"/>
    <n v="1900"/>
    <x v="144"/>
    <s v="&lt;Клиент не выбран&gt;"/>
    <s v="2023 12"/>
    <n v="721.00186882097091"/>
    <n v="0.61153775375364683"/>
  </r>
  <r>
    <s v="521435123"/>
    <s v="700000967207"/>
    <s v="iHerb_VP DFD1605"/>
    <s v="Доставлен"/>
    <d v="2023-10-22T00:00:00"/>
    <x v="16"/>
    <s v="Витамины"/>
    <s v="NOW-03170"/>
    <x v="3"/>
    <x v="306"/>
    <n v="19.690000000000001"/>
    <n v="-3.936666666666667"/>
    <n v="-1.1231403122234147"/>
    <n v="-2.5294427578119754E-15"/>
    <n v="0.49486038739024418"/>
    <n v="1676.2771263393784"/>
    <n v="2500"/>
    <x v="488"/>
    <s v="&lt;Клиент не выбран&gt;"/>
    <s v="2023 11"/>
    <n v="823.72287366062164"/>
    <n v="0.49140017525589685"/>
  </r>
  <r>
    <s v="521435123"/>
    <s v="700000967207"/>
    <s v="iHerb_VP DFD1605"/>
    <s v="Доставлен"/>
    <d v="2023-10-22T00:00:00"/>
    <x v="16"/>
    <s v="Витамины"/>
    <s v="NOW-03170"/>
    <x v="3"/>
    <x v="306"/>
    <n v="19.690000000000001"/>
    <n v="-3.936666666666667"/>
    <n v="-1.1231403122234147"/>
    <n v="-2.5294427578119754E-15"/>
    <n v="0.49486038739024418"/>
    <n v="1676.2771263393784"/>
    <n v="2400"/>
    <x v="214"/>
    <s v="&lt;Клиент не выбран&gt;"/>
    <s v="2023 12"/>
    <n v="723.72287366062164"/>
    <n v="0.43174416824566098"/>
  </r>
  <r>
    <s v="521435123"/>
    <s v="700000967207"/>
    <s v="iHerb_VP DFD1605"/>
    <s v="Доставлен"/>
    <d v="2023-10-22T00:00:00"/>
    <x v="16"/>
    <s v="Витамины"/>
    <s v="NOW-03170"/>
    <x v="3"/>
    <x v="306"/>
    <n v="19.690000000000001"/>
    <n v="-3.936666666666667"/>
    <n v="-1.1231403122234147"/>
    <n v="-2.5294427578119754E-15"/>
    <n v="0.49486038739024418"/>
    <n v="1676.2771263393784"/>
    <n v="2500"/>
    <x v="438"/>
    <s v="&lt;Клиент не выбран&gt;"/>
    <s v="2024 01"/>
    <n v="823.72287366062164"/>
    <n v="0.49140017525589685"/>
  </r>
  <r>
    <s v="521435123"/>
    <s v="700000967207"/>
    <s v="iHerb_VP DFD1605"/>
    <s v="Доставлен"/>
    <d v="2023-10-22T00:00:00"/>
    <x v="16"/>
    <s v="Витамины"/>
    <s v="CGN-01351"/>
    <x v="1"/>
    <x v="858"/>
    <n v="19.73"/>
    <n v="-5.92"/>
    <n v="-0.98458957121066593"/>
    <n v="-2.2174103566684331E-15"/>
    <n v="0.43381434298725807"/>
    <n v="1469.4913530309022"/>
    <n v="1469.49"/>
    <x v="407"/>
    <s v="&lt;Клиент не выбран&gt;"/>
    <s v="2024 01"/>
    <n v="-1.3530309022371512E-3"/>
    <n v="-9.2074778081984258E-7"/>
  </r>
  <r>
    <s v="521435123"/>
    <s v="700000967207"/>
    <s v="iHerb_VP DFD1605"/>
    <s v="Доставлен"/>
    <d v="2023-10-22T00:00:00"/>
    <x v="16"/>
    <s v="Витамины"/>
    <s v="CGN-01351"/>
    <x v="1"/>
    <x v="858"/>
    <n v="19.73"/>
    <n v="-5.92"/>
    <n v="-0.98458957121066593"/>
    <n v="-2.2174103566684331E-15"/>
    <n v="0.43381434298725807"/>
    <n v="1469.4913530309022"/>
    <n v="2400"/>
    <x v="446"/>
    <s v="&lt;Клиент не выбран&gt;"/>
    <s v="2024 01"/>
    <n v="930.50864696909775"/>
    <n v="0.63321818467994062"/>
  </r>
  <r>
    <s v="521435123"/>
    <s v="700000967207"/>
    <s v="iHerb_VP DFD1605"/>
    <s v="Доставлен"/>
    <d v="2023-10-22T00:00:00"/>
    <x v="16"/>
    <s v="Витамины"/>
    <s v="NCA-38611"/>
    <x v="210"/>
    <x v="859"/>
    <n v="19.760000000000002"/>
    <n v="-9.76"/>
    <n v="-0.71295407039150327"/>
    <n v="-1.6056555804985034E-15"/>
    <n v="0.31413058869461125"/>
    <n v="1064.0777357211459"/>
    <n v="2400"/>
    <x v="457"/>
    <s v="&lt;Клиент не выбран&gt;"/>
    <s v="2024 04"/>
    <n v="1335.9222642788541"/>
    <n v="1.2554743130429977"/>
  </r>
  <r>
    <s v="521435123"/>
    <s v="700000967207"/>
    <s v="iHerb_VP DFD1605"/>
    <s v="Доставлен"/>
    <d v="2023-10-22T00:00:00"/>
    <x v="16"/>
    <s v="Витамины"/>
    <s v="LEX-14591"/>
    <x v="7"/>
    <x v="583"/>
    <n v="9.4"/>
    <n v="-1.41"/>
    <n v="-0.5696503022428111"/>
    <n v="-1.2829188088183041E-15"/>
    <n v="0.25099034036699436"/>
    <n v="850.19811084119544"/>
    <n v="1600"/>
    <x v="215"/>
    <s v="&lt;Клиент не выбран&gt;"/>
    <s v="2023 11"/>
    <n v="749.80188915880456"/>
    <n v="0.88191432043637719"/>
  </r>
  <r>
    <s v="521435123"/>
    <s v="700000967207"/>
    <s v="iHerb_VP DFD1605"/>
    <s v="Доставлен"/>
    <d v="2023-10-22T00:00:00"/>
    <x v="16"/>
    <s v="Витамины"/>
    <s v="LEX-14591"/>
    <x v="7"/>
    <x v="583"/>
    <n v="9.4"/>
    <n v="-1.41"/>
    <n v="-0.5696503022428111"/>
    <n v="-1.2829188088183041E-15"/>
    <n v="0.25099034036699436"/>
    <n v="850.19811084119544"/>
    <n v="1600"/>
    <x v="230"/>
    <s v="&lt;Клиент не выбран&gt;"/>
    <s v="2023 12"/>
    <n v="749.80188915880456"/>
    <n v="0.88191432043637719"/>
  </r>
  <r>
    <s v="521435123"/>
    <s v="700000967207"/>
    <s v="iHerb_VP DFD1605"/>
    <s v="Доставлен"/>
    <d v="2023-10-22T00:00:00"/>
    <x v="16"/>
    <s v="Витамины"/>
    <s v="SNS-01425"/>
    <x v="151"/>
    <x v="860"/>
    <n v="21.05"/>
    <n v="-3.16"/>
    <n v="-1.2754748319303992"/>
    <n v="-2.8725178335118222E-15"/>
    <n v="0.56197962317465944"/>
    <n v="1903.6350692051294"/>
    <n v="2600"/>
    <x v="322"/>
    <s v="&lt;Клиент не выбран&gt;"/>
    <s v="2024 01"/>
    <n v="696.36493079487059"/>
    <n v="0.36580799653246598"/>
  </r>
  <r>
    <s v="521435123"/>
    <s v="700000967207"/>
    <s v="iHerb_VP DFD1605"/>
    <s v="Доставлен"/>
    <d v="2023-10-22T00:00:00"/>
    <x v="16"/>
    <s v="Витамины"/>
    <s v="NAP-29942"/>
    <x v="11"/>
    <x v="861"/>
    <n v="11.98"/>
    <n v="-1.8"/>
    <n v="-0.7257872436585503"/>
    <n v="-1.6345573809474761E-15"/>
    <n v="0.31978493929111418"/>
    <n v="1083.2311349641263"/>
    <n v="1700"/>
    <x v="479"/>
    <s v="&lt;Клиент не выбран&gt;"/>
    <s v="2023 11"/>
    <n v="616.76886503587366"/>
    <n v="0.56937881965172588"/>
  </r>
  <r>
    <s v="521435123"/>
    <s v="700000967207"/>
    <s v="iHerb_VP DFD1605"/>
    <s v="Доставлен"/>
    <d v="2023-10-22T00:00:00"/>
    <x v="16"/>
    <s v="Витамины"/>
    <s v="HEC-50301"/>
    <x v="157"/>
    <x v="602"/>
    <n v="57.79"/>
    <n v="-8.67"/>
    <n v="-3.5020303937630635"/>
    <n v="-7.8869802114086478E-15"/>
    <n v="1.5430094516679302"/>
    <n v="5226.7498378622677"/>
    <n v="6400"/>
    <x v="432"/>
    <s v="&lt;Клиент не выбран&gt;"/>
    <s v="2023 12"/>
    <n v="1173.2501621377323"/>
    <n v="0.22447031109826174"/>
  </r>
  <r>
    <s v="521435123"/>
    <s v="700000967207"/>
    <s v="iHerb_VP DFD1605"/>
    <s v="Доставлен"/>
    <d v="2023-10-22T00:00:00"/>
    <x v="16"/>
    <s v="Витамины"/>
    <s v="NBC-00451"/>
    <x v="8"/>
    <x v="332"/>
    <n v="23.14"/>
    <n v="-3.47"/>
    <n v="-1.4023806564600869"/>
    <n v="-3.1583245268405561E-15"/>
    <n v="0.6178948679623002"/>
    <n v="2093.0409061634937"/>
    <n v="2000"/>
    <x v="366"/>
    <s v="&lt;Клиент не выбран&gt;"/>
    <s v="2023 12"/>
    <n v="-93.040906163493673"/>
    <n v="-4.4452502523725623E-2"/>
  </r>
  <r>
    <s v="521435123"/>
    <s v="700000967207"/>
    <s v="iHerb_VP DFD1605"/>
    <s v="Доставлен"/>
    <d v="2023-10-22T00:00:00"/>
    <x v="16"/>
    <s v="Витамины"/>
    <s v="NOW-01757"/>
    <x v="3"/>
    <x v="235"/>
    <n v="23.25"/>
    <n v="-3.49"/>
    <n v="-1.4087972430936102"/>
    <n v="-3.1727754270650421E-15"/>
    <n v="0.62072204326055169"/>
    <n v="2102.6176057849839"/>
    <n v="3000"/>
    <x v="489"/>
    <s v="&lt;Клиент не выбран&gt;"/>
    <s v="2024 12"/>
    <n v="897.38239421501612"/>
    <n v="0.4267929611861071"/>
  </r>
  <r>
    <s v="521435123"/>
    <s v="700000967207"/>
    <s v="iHerb_VP DFD1605"/>
    <s v="Доставлен"/>
    <d v="2023-10-22T00:00:00"/>
    <x v="16"/>
    <s v="Витамины"/>
    <s v="CGN-02060"/>
    <x v="1"/>
    <x v="862"/>
    <n v="48.6"/>
    <n v="-14.58"/>
    <n v="-2.4254697474718938"/>
    <n v="-5.4624402848559079E-15"/>
    <n v="1.0686722627390672"/>
    <n v="3619.9924569233385"/>
    <n v="3619.99"/>
    <x v="420"/>
    <s v="&lt;Клиент не выбран&gt;"/>
    <s v="2023 10"/>
    <n v="-2.456923338741035E-3"/>
    <n v="-6.7870951886711786E-7"/>
  </r>
  <r>
    <s v="521435123"/>
    <s v="700000967207"/>
    <s v="iHerb_VP DFD1605"/>
    <s v="Доставлен"/>
    <d v="2023-10-22T00:00:00"/>
    <x v="16"/>
    <s v="Витамины"/>
    <s v="NOW-03325"/>
    <x v="3"/>
    <x v="333"/>
    <n v="16.329999999999998"/>
    <n v="-1.63"/>
    <n v="-1.0480424834755095"/>
    <n v="-2.3603137033327997E-15"/>
    <n v="0.46177196538107851"/>
    <n v="1564.1942715100843"/>
    <n v="2300"/>
    <x v="349"/>
    <s v="&lt;Клиент не выбран&gt;"/>
    <s v="2023 12"/>
    <n v="735.80572848991574"/>
    <n v="0.47040558956884793"/>
  </r>
  <r>
    <s v="521435123"/>
    <s v="700000967207"/>
    <s v="iHerb_VP DFD1605"/>
    <s v="Доставлен"/>
    <d v="2023-10-22T00:00:00"/>
    <x v="16"/>
    <s v="Витамины"/>
    <s v="SNS-01177"/>
    <x v="151"/>
    <x v="647"/>
    <n v="27.65"/>
    <n v="-4.1500000000000004"/>
    <n v="-1.6754420654200326"/>
    <n v="-3.7732906141714824E-15"/>
    <n v="0.7382068834323362"/>
    <n v="2500.5826789446924"/>
    <n v="3300"/>
    <x v="266"/>
    <s v="&lt;Клиент не выбран&gt;"/>
    <s v="2024 03"/>
    <n v="799.41732105530764"/>
    <n v="0.31969241720600955"/>
  </r>
  <r>
    <s v="521435123"/>
    <s v="700000967207"/>
    <s v="iHerb_VP DFD1605"/>
    <s v="Доставлен"/>
    <d v="2023-10-22T00:00:00"/>
    <x v="16"/>
    <s v="Витамины"/>
    <s v="NOW-03157"/>
    <x v="3"/>
    <x v="863"/>
    <n v="22.6"/>
    <n v="-4.5199999999999996"/>
    <n v="-1.2890209592678379"/>
    <n v="-2.9030252895412942E-15"/>
    <n v="0.5679481043598571"/>
    <n v="1923.8525461838317"/>
    <n v="3300"/>
    <x v="386"/>
    <s v="&lt;Клиент не выбран&gt;"/>
    <s v="2024 08"/>
    <n v="1376.1474538161683"/>
    <n v="0.71530817501887278"/>
  </r>
  <r>
    <s v="521435123"/>
    <s v="700000967207"/>
    <s v="iHerb_VP DFD1605"/>
    <s v="Доставлен"/>
    <d v="2023-10-22T00:00:00"/>
    <x v="16"/>
    <s v="Витамины"/>
    <s v="CEN-27387"/>
    <x v="2"/>
    <x v="23"/>
    <n v="27.75"/>
    <n v="-5.55"/>
    <n v="-1.5827580362691371"/>
    <n v="-3.5645553887066773E-15"/>
    <n v="0.69736990690203682"/>
    <n v="2362.2525733009434"/>
    <n v="3300"/>
    <x v="438"/>
    <s v="&lt;Клиент не выбран&gt;"/>
    <s v="2024 01"/>
    <n v="937.74742669905663"/>
    <n v="0.3969717028982534"/>
  </r>
  <r>
    <s v="710770869"/>
    <n v="0"/>
    <s v="CoralClub_OA"/>
    <s v="Доставлен"/>
    <d v="2023-08-20T00:00:00"/>
    <x v="14"/>
    <s v="Витамины"/>
    <s v="000005701"/>
    <x v="79"/>
    <x v="615"/>
    <n v="1344"/>
    <n v="0"/>
    <n v="0"/>
    <n v="0"/>
    <n v="0"/>
    <n v="1344"/>
    <m/>
    <x v="20"/>
    <m/>
    <s v=""/>
    <n v="-1344"/>
    <s v=""/>
  </r>
  <r>
    <s v="711187296"/>
    <n v="0"/>
    <s v="CoralClub_AV"/>
    <s v="Доставлен"/>
    <d v="2023-10-09T00:00:00"/>
    <x v="16"/>
    <s v="Витамины"/>
    <s v="000002307"/>
    <x v="79"/>
    <x v="864"/>
    <n v="1260"/>
    <n v="0"/>
    <n v="0"/>
    <n v="0"/>
    <n v="0"/>
    <n v="1260"/>
    <n v="1700"/>
    <x v="431"/>
    <s v="&lt;Клиент не выбран&gt;"/>
    <s v="2023 10"/>
    <n v="440"/>
    <n v="0.34920634920634919"/>
  </r>
  <r>
    <s v="711187296"/>
    <n v="0"/>
    <s v="CoralClub_AV"/>
    <s v="Доставлен"/>
    <d v="2023-10-09T00:00:00"/>
    <x v="16"/>
    <s v="Витамины"/>
    <s v="000002307"/>
    <x v="79"/>
    <x v="864"/>
    <n v="1260"/>
    <n v="0"/>
    <n v="0"/>
    <n v="0"/>
    <n v="0"/>
    <n v="1260"/>
    <n v="1700"/>
    <x v="219"/>
    <s v="&lt;Клиент не выбран&gt;"/>
    <s v="2023 11"/>
    <n v="440"/>
    <n v="0.34920634920634919"/>
  </r>
  <r>
    <s v="WB0166"/>
    <n v="0"/>
    <s v="WBRS"/>
    <s v="Доставлен"/>
    <d v="2023-10-22T00:00:00"/>
    <x v="16"/>
    <s v="Спортпит"/>
    <s v="799989625"/>
    <x v="107"/>
    <x v="462"/>
    <n v="1475.5"/>
    <n v="0"/>
    <n v="0"/>
    <n v="0"/>
    <n v="147.55000000000001"/>
    <n v="1623.05"/>
    <n v="3000"/>
    <x v="474"/>
    <s v="&lt;Клиент не выбран&gt;"/>
    <s v="2023 11"/>
    <n v="1376.95"/>
    <n v="0.84837189242475586"/>
  </r>
  <r>
    <s v="WB0166"/>
    <n v="0"/>
    <s v="WBRS"/>
    <s v="Доставлен"/>
    <d v="2023-10-22T00:00:00"/>
    <x v="16"/>
    <s v="Спортпит"/>
    <s v="799989625"/>
    <x v="107"/>
    <x v="462"/>
    <n v="1475.5"/>
    <n v="0"/>
    <n v="0"/>
    <n v="0"/>
    <n v="147.55000000000001"/>
    <n v="1623.05"/>
    <n v="3000"/>
    <x v="474"/>
    <s v="&lt;Клиент не выбран&gt;"/>
    <s v="2023 11"/>
    <n v="1376.95"/>
    <n v="0.84837189242475586"/>
  </r>
  <r>
    <s v="521600677"/>
    <s v="700000977560"/>
    <s v="iHerb_MH DLE7202"/>
    <s v="Доставлен"/>
    <d v="2023-10-30T00:00:00"/>
    <x v="16"/>
    <s v="Косметика"/>
    <s v="HBL-00219"/>
    <x v="211"/>
    <x v="865"/>
    <n v="4.4800000000000004"/>
    <n v="-1.02"/>
    <n v="-0.21841527599486532"/>
    <n v="1.2623763110294981E-15"/>
    <n v="7.9125251445959888E-2"/>
    <n v="357.27372229353887"/>
    <n v="1100"/>
    <x v="490"/>
    <s v="&lt;Клиент не выбран&gt;"/>
    <s v="2024 03"/>
    <n v="742.72627770646113"/>
    <n v="2.0788718323264521"/>
  </r>
  <r>
    <s v="521600677"/>
    <s v="700000977560"/>
    <s v="iHerb_MH DLE7202"/>
    <s v="Доставлен"/>
    <d v="2023-10-30T00:00:00"/>
    <x v="16"/>
    <s v="Витамины"/>
    <s v="PTF-10393"/>
    <x v="169"/>
    <x v="843"/>
    <n v="20.73"/>
    <n v="-4.1399999999999997"/>
    <n v="-1.0472570603337616"/>
    <n v="6.0528390173350789E-15"/>
    <n v="0.37938957268453016"/>
    <n v="1713.0552175866501"/>
    <n v="2600"/>
    <x v="160"/>
    <s v="&lt;Клиент не выбран&gt;"/>
    <s v="2023 12"/>
    <n v="886.94478241334991"/>
    <n v="0.51775609642220199"/>
  </r>
  <r>
    <s v="521600677"/>
    <s v="700000977560"/>
    <s v="iHerb_MH DLE7202"/>
    <s v="Доставлен"/>
    <d v="2023-10-30T00:00:00"/>
    <x v="16"/>
    <s v="Косметика"/>
    <s v="HBL-00212"/>
    <x v="211"/>
    <x v="866"/>
    <n v="12.48"/>
    <n v="-2.4900000000000002"/>
    <n v="-0.63062676508344062"/>
    <n v="3.6448379616140708E-15"/>
    <n v="0.22845701212287259"/>
    <n v="1031.5504293966626"/>
    <n v="1700"/>
    <x v="147"/>
    <s v="&lt;Клиент не выбран&gt;"/>
    <s v="2024 02"/>
    <n v="668.44957060333741"/>
    <n v="0.6480047427194644"/>
  </r>
  <r>
    <s v="521600677"/>
    <s v="700000977560"/>
    <s v="iHerb_MH DLE7202"/>
    <s v="Доставлен"/>
    <d v="2023-10-30T00:00:00"/>
    <x v="16"/>
    <s v="Витамины"/>
    <s v="DRB-00294"/>
    <x v="6"/>
    <x v="867"/>
    <n v="26.3"/>
    <n v="-5.25"/>
    <n v="-1.3287981386392818"/>
    <n v="7.6800639731707898E-15"/>
    <n v="0.48138339391255935"/>
    <n v="2173.5872411210958"/>
    <n v="3600"/>
    <x v="166"/>
    <s v="&lt;Клиент не выбран&gt;"/>
    <s v="2025 01"/>
    <n v="1426.4127588789042"/>
    <n v="0.65624822040415876"/>
  </r>
  <r>
    <s v="521600677"/>
    <s v="700000977560"/>
    <s v="iHerb_MH DLE7202"/>
    <s v="Доставлен"/>
    <d v="2023-10-30T00:00:00"/>
    <x v="16"/>
    <s v="Витамины"/>
    <s v="SNS-00803"/>
    <x v="151"/>
    <x v="868"/>
    <n v="16.350000000000001"/>
    <n v="-3.2650000000000001"/>
    <n v="-0.82600112323491681"/>
    <n v="4.7740445172893009E-15"/>
    <n v="0.29923523559837717"/>
    <n v="1351.1348717372705"/>
    <n v="2400"/>
    <x v="349"/>
    <s v="&lt;Клиент не выбран&gt;"/>
    <s v="2023 12"/>
    <n v="1048.8651282627295"/>
    <n v="0.77628455175175315"/>
  </r>
  <r>
    <s v="521600677"/>
    <s v="700000977560"/>
    <s v="iHerb_MH DLE7202"/>
    <s v="Доставлен"/>
    <d v="2023-10-30T00:00:00"/>
    <x v="16"/>
    <s v="Витамины"/>
    <s v="SNS-00803"/>
    <x v="151"/>
    <x v="868"/>
    <n v="16.350000000000001"/>
    <n v="-3.2650000000000001"/>
    <n v="-0.82600112323491681"/>
    <n v="4.7740445172893009E-15"/>
    <n v="0.29923523559837717"/>
    <n v="1351.1348717372705"/>
    <n v="2400"/>
    <x v="361"/>
    <s v="&lt;Клиент не выбран&gt;"/>
    <s v="2024 01"/>
    <n v="1048.8651282627295"/>
    <n v="0.77628455175175315"/>
  </r>
  <r>
    <s v="521600677"/>
    <s v="700000977560"/>
    <s v="iHerb_MH DLE7202"/>
    <s v="Доставлен"/>
    <d v="2023-10-30T00:00:00"/>
    <x v="16"/>
    <s v="Витамины"/>
    <s v="NOW-02700"/>
    <x v="3"/>
    <x v="772"/>
    <n v="21.49"/>
    <n v="-4.29"/>
    <n v="-1.085763799743261"/>
    <n v="6.2753966906668683E-15"/>
    <n v="0.39333940025159242"/>
    <n v="1776.0427813436031"/>
    <n v="2800"/>
    <x v="366"/>
    <s v="&lt;Клиент не выбран&gt;"/>
    <s v="2023 12"/>
    <n v="1023.9572186563969"/>
    <n v="0.57653859997773127"/>
  </r>
  <r>
    <s v="521600677"/>
    <s v="700000977560"/>
    <s v="iHerb_MH DLE7202"/>
    <s v="Доставлен"/>
    <d v="2023-10-30T00:00:00"/>
    <x v="16"/>
    <s v="Витамины"/>
    <s v="CAL-62827"/>
    <x v="138"/>
    <x v="724"/>
    <n v="9.9"/>
    <n v="-1.9750000000000001"/>
    <n v="-0.50027198331193856"/>
    <n v="2.8914255100892404E-15"/>
    <n v="0.18123341552289943"/>
    <n v="818.32203733418942"/>
    <n v="1600"/>
    <x v="366"/>
    <s v="&lt;Клиент не выбран&gt;"/>
    <s v="2023 12"/>
    <n v="781.67796266581058"/>
    <n v="0.95522047189667214"/>
  </r>
  <r>
    <s v="521600677"/>
    <s v="700000977560"/>
    <s v="iHerb_MH DLE7202"/>
    <s v="Доставлен"/>
    <d v="2023-10-30T00:00:00"/>
    <x v="16"/>
    <s v="Витамины"/>
    <s v="CAL-62827"/>
    <x v="138"/>
    <x v="724"/>
    <n v="9.9"/>
    <n v="-1.9750000000000001"/>
    <n v="-0.50027198331193856"/>
    <n v="2.8914255100892404E-15"/>
    <n v="0.18123341552289943"/>
    <n v="818.32203733418942"/>
    <n v="1700"/>
    <x v="396"/>
    <s v="&lt;Клиент не выбран&gt;"/>
    <s v="2023 12"/>
    <n v="881.67796266581058"/>
    <n v="1.0774217513902142"/>
  </r>
  <r>
    <s v="521600677"/>
    <s v="700000977560"/>
    <s v="iHerb_MH DLE7202"/>
    <s v="Доставлен"/>
    <d v="2023-10-30T00:00:00"/>
    <x v="16"/>
    <s v="Спортпит"/>
    <s v="FOA-01906"/>
    <x v="171"/>
    <x v="869"/>
    <n v="22.79"/>
    <n v="-11.4"/>
    <n v="-0.71900288831835713"/>
    <n v="4.1556260643427692E-15"/>
    <n v="0.26047300981776961"/>
    <n v="1176.1120511339325"/>
    <n v="2600"/>
    <x v="396"/>
    <s v="&lt;Клиент не выбран&gt;"/>
    <s v="2023 12"/>
    <n v="1423.8879488660675"/>
    <n v="1.2106737172646478"/>
  </r>
  <r>
    <s v="521600677"/>
    <s v="700000977560"/>
    <s v="iHerb_MH DLE7202"/>
    <s v="Доставлен"/>
    <d v="2023-10-30T00:00:00"/>
    <x v="16"/>
    <s v="Витамины"/>
    <s v="DRB-00316"/>
    <x v="6"/>
    <x v="870"/>
    <n v="12.94"/>
    <n v="-2.58"/>
    <n v="-0.65398331193838277"/>
    <n v="3.7798319601923694E-15"/>
    <n v="0.23691838294223821"/>
    <n v="1069.7560008557984"/>
    <n v="1800"/>
    <x v="491"/>
    <s v="&lt;Клиент не выбран&gt;"/>
    <s v="2023 11"/>
    <n v="730.24399914420155"/>
    <n v="0.68262669109592344"/>
  </r>
  <r>
    <s v="521600677"/>
    <s v="700000977560"/>
    <s v="iHerb_MH DLE7202"/>
    <s v="Доставлен"/>
    <d v="2023-10-30T00:00:00"/>
    <x v="16"/>
    <s v="Витамины"/>
    <s v="NBC-00450"/>
    <x v="8"/>
    <x v="19"/>
    <n v="13.46"/>
    <n v="-2.69"/>
    <n v="-0.67986489088575131"/>
    <n v="3.9294199045629173E-15"/>
    <n v="0.24629449655288665"/>
    <n v="1112.0919043645704"/>
    <n v="2000"/>
    <x v="365"/>
    <s v="&lt;Клиент не выбран&gt;"/>
    <s v="2024 02"/>
    <n v="887.90809563542962"/>
    <n v="0.79841251622343623"/>
  </r>
  <r>
    <s v="521600677"/>
    <s v="700000977560"/>
    <s v="iHerb_MH DLE7202"/>
    <s v="Доставлен"/>
    <d v="2023-10-30T00:00:00"/>
    <x v="16"/>
    <s v="Витамины"/>
    <s v="NBC-01016"/>
    <x v="8"/>
    <x v="97"/>
    <n v="9.25"/>
    <n v="-1.845"/>
    <n v="-0.46744656611039809"/>
    <n v="2.7017042147900097E-15"/>
    <n v="0.16934175923622338"/>
    <n v="764.62772068891763"/>
    <n v="1600"/>
    <x v="41"/>
    <s v="&lt;Клиент не выбран&gt;"/>
    <s v="2024 02"/>
    <n v="835.37227931108237"/>
    <n v="1.0925215718813137"/>
  </r>
  <r>
    <s v="521600677"/>
    <s v="700000977560"/>
    <s v="iHerb_MH DLE7202"/>
    <s v="Доставлен"/>
    <d v="2023-10-30T00:00:00"/>
    <x v="16"/>
    <s v="Витамины"/>
    <s v="NBC-01016"/>
    <x v="8"/>
    <x v="97"/>
    <n v="9.25"/>
    <n v="-1.845"/>
    <n v="-0.46744656611039809"/>
    <n v="2.7017042147900097E-15"/>
    <n v="0.16934175923622338"/>
    <n v="764.62772068891763"/>
    <n v="1600"/>
    <x v="306"/>
    <s v="&lt;Клиент не выбран&gt;"/>
    <s v="2024 04"/>
    <n v="835.37227931108237"/>
    <n v="1.0925215718813137"/>
  </r>
  <r>
    <s v="521600677"/>
    <s v="700000977560"/>
    <s v="iHerb_MH DLE7202"/>
    <s v="Доставлен"/>
    <d v="2023-10-30T00:00:00"/>
    <x v="16"/>
    <s v="Витамины"/>
    <s v="BLB-00735"/>
    <x v="186"/>
    <x v="871"/>
    <n v="17.75"/>
    <n v="-3.5449999999999999"/>
    <n v="-0.89670202182285008"/>
    <n v="5.1826749994722601E-15"/>
    <n v="0.32484803375429483"/>
    <n v="1466.7841691270864"/>
    <n v="1466.78"/>
    <x v="198"/>
    <s v="&lt;Клиент не выбран&gt;"/>
    <s v="2023 11"/>
    <n v="-4.1691270864703256E-3"/>
    <n v="-2.8423589333879022E-6"/>
  </r>
  <r>
    <s v="521600677"/>
    <s v="700000977560"/>
    <s v="iHerb_MH DLE7202"/>
    <s v="Доставлен"/>
    <d v="2023-10-30T00:00:00"/>
    <x v="16"/>
    <s v="Витамины"/>
    <s v="BLB-00735"/>
    <x v="186"/>
    <x v="871"/>
    <n v="17.75"/>
    <n v="-3.5449999999999999"/>
    <n v="-0.89670202182285008"/>
    <n v="5.1826749994722601E-15"/>
    <n v="0.32484803375429483"/>
    <n v="1466.7841691270864"/>
    <n v="2400"/>
    <x v="484"/>
    <s v="&lt;Клиент не выбран&gt;"/>
    <s v="2023 12"/>
    <n v="933.21583087291356"/>
    <n v="0.63623254907931659"/>
  </r>
  <r>
    <s v="521600677"/>
    <s v="700000977560"/>
    <s v="iHerb_MH DLE7202"/>
    <s v="Доставлен"/>
    <d v="2023-10-30T00:00:00"/>
    <x v="16"/>
    <s v="Витамины"/>
    <s v="CEN-22439"/>
    <x v="2"/>
    <x v="872"/>
    <n v="11.33"/>
    <n v="-2.2599999999999998"/>
    <n v="-0.57255102695763815"/>
    <n v="3.3091772083923547E-15"/>
    <n v="0.20741792792336883"/>
    <n v="936.55279225502818"/>
    <n v="1600"/>
    <x v="160"/>
    <s v="&lt;Клиент не выбран&gt;"/>
    <s v="2023 12"/>
    <n v="663.44720774497182"/>
    <n v="0.70839274970023447"/>
  </r>
  <r>
    <s v="521600677"/>
    <s v="700000977560"/>
    <s v="iHerb_MH DLE7202"/>
    <s v="Доставлен"/>
    <d v="2023-10-30T00:00:00"/>
    <x v="16"/>
    <s v="Витамины"/>
    <s v="CEN-22658"/>
    <x v="2"/>
    <x v="873"/>
    <n v="13.76"/>
    <n v="-2.75"/>
    <n v="-0.69501508344030838"/>
    <n v="4.016983579316408E-15"/>
    <n v="0.25178295330058331"/>
    <n v="1136.873896662388"/>
    <n v="2200"/>
    <x v="492"/>
    <s v="&lt;Клиент не выбран&gt;"/>
    <s v="2024 06"/>
    <n v="1063.126103337612"/>
    <n v="0.93513106990908723"/>
  </r>
  <r>
    <s v="521600677"/>
    <s v="700000977560"/>
    <s v="iHerb_MH DLE7202"/>
    <s v="Доставлен"/>
    <d v="2023-10-30T00:00:00"/>
    <x v="16"/>
    <s v="Витамины"/>
    <s v="CEN-22443"/>
    <x v="2"/>
    <x v="874"/>
    <n v="11.53"/>
    <n v="-2.2999999999999998"/>
    <n v="-0.58265115532734302"/>
    <n v="3.3675529915613489E-15"/>
    <n v="0.21107689908849989"/>
    <n v="953.07412045357341"/>
    <n v="1700"/>
    <x v="345"/>
    <s v="&lt;Клиент не выбран&gt;"/>
    <s v="2024 03"/>
    <n v="746.92587954642659"/>
    <n v="0.78370177462269175"/>
  </r>
  <r>
    <s v="521600677"/>
    <s v="700000977560"/>
    <s v="iHerb_MH DLE7202"/>
    <s v="Доставлен"/>
    <d v="2023-10-30T00:00:00"/>
    <x v="16"/>
    <s v="Витамины"/>
    <s v="CEN-22460"/>
    <x v="2"/>
    <x v="875"/>
    <n v="11.52"/>
    <n v="-2.2999999999999998"/>
    <n v="-0.58201989730423631"/>
    <n v="3.363904505113286E-15"/>
    <n v="0.21084821339067916"/>
    <n v="952.04153744116411"/>
    <n v="1600"/>
    <x v="323"/>
    <s v="&lt;Клиент не выбран&gt;"/>
    <s v="2024 01"/>
    <n v="647.95846255883589"/>
    <n v="0.68059894140793153"/>
  </r>
  <r>
    <s v="521600677"/>
    <s v="700000977560"/>
    <s v="iHerb_MH DLE7202"/>
    <s v="Доставлен"/>
    <d v="2023-10-30T00:00:00"/>
    <x v="16"/>
    <s v="Спортпит"/>
    <s v="MSC-71044"/>
    <x v="50"/>
    <x v="876"/>
    <n v="43.64"/>
    <n v="-8.7200000000000006"/>
    <n v="-2.2043530166880627"/>
    <n v="1.274051467663297E-14"/>
    <n v="0.79857045678986094"/>
    <n v="3605.7798793324791"/>
    <n v="5500"/>
    <x v="198"/>
    <s v="&lt;Клиент не выбран&gt;"/>
    <s v="2023 11"/>
    <n v="1894.2201206675209"/>
    <n v="0.52532882872988595"/>
  </r>
  <r>
    <s v="521600677"/>
    <s v="700000977560"/>
    <s v="iHerb_MH DLE7202"/>
    <s v="Доставлен"/>
    <d v="2023-10-30T00:00:00"/>
    <x v="16"/>
    <s v="Витамины"/>
    <s v="CAR-01543"/>
    <x v="154"/>
    <x v="794"/>
    <n v="24.53"/>
    <n v="-4.9000000000000004"/>
    <n v="-1.2391594993581521"/>
    <n v="7.1619788975459672E-15"/>
    <n v="0.44891002482202091"/>
    <n v="2026.9604533590079"/>
    <n v="3100"/>
    <x v="198"/>
    <s v="&lt;Клиент не выбран&gt;"/>
    <s v="2023 11"/>
    <n v="1073.0395466409921"/>
    <n v="0.52938356289230437"/>
  </r>
  <r>
    <s v="521600677"/>
    <s v="700000977560"/>
    <s v="iHerb_MH DLE7202"/>
    <s v="Доставлен"/>
    <d v="2023-10-30T00:00:00"/>
    <x v="16"/>
    <s v="Витамины"/>
    <s v="NOR-02723"/>
    <x v="9"/>
    <x v="877"/>
    <n v="31.54"/>
    <n v="-6.3"/>
    <n v="-1.5932952503209248"/>
    <n v="9.2087797949088224E-15"/>
    <n v="0.57720270129942974"/>
    <n v="2606.2395233204975"/>
    <n v="3400"/>
    <x v="198"/>
    <s v="&lt;Клиент не выбран&gt;"/>
    <s v="2023 11"/>
    <n v="793.76047667950252"/>
    <n v="0.30456159903070096"/>
  </r>
  <r>
    <s v="521600677"/>
    <s v="700000977560"/>
    <s v="iHerb_MH DLE7202"/>
    <s v="Доставлен"/>
    <d v="2023-10-30T00:00:00"/>
    <x v="16"/>
    <s v="Витамины"/>
    <s v="NBC-01050"/>
    <x v="8"/>
    <x v="845"/>
    <n v="9.0299999999999994"/>
    <n v="-1.8"/>
    <n v="-0.4563995507060335"/>
    <n v="2.6378557019489221E-15"/>
    <n v="0.1653397595243612"/>
    <n v="746.55751797175878"/>
    <n v="1700"/>
    <x v="346"/>
    <s v="&lt;Клиент не выбран&gt;"/>
    <s v="2023 12"/>
    <n v="953.44248202824122"/>
    <n v="1.277118586413202"/>
  </r>
  <r>
    <s v="521625537"/>
    <s v="700000979661"/>
    <s v="iHerb_AV CYG0792"/>
    <s v="Доставлен"/>
    <d v="2023-10-31T00:00:00"/>
    <x v="16"/>
    <s v="Витамины"/>
    <s v="CAR-01524"/>
    <x v="154"/>
    <x v="717"/>
    <n v="30.25"/>
    <n v="-6.09"/>
    <n v="-0.78222324457990666"/>
    <n v="-7.8977341979246733E-15"/>
    <n v="0.99310934693657549"/>
    <n v="2613.9853807962882"/>
    <n v="3500"/>
    <x v="198"/>
    <s v="&lt;Клиент не выбран&gt;"/>
    <s v="2023 11"/>
    <n v="886.01461920371185"/>
    <n v="0.33895163519767224"/>
  </r>
  <r>
    <s v="521625537"/>
    <s v="700000979661"/>
    <s v="iHerb_AV CYG0792"/>
    <s v="Доставлен"/>
    <d v="2023-10-31T00:00:00"/>
    <x v="16"/>
    <s v="Витамины"/>
    <s v="ENZ-13010"/>
    <x v="212"/>
    <x v="878"/>
    <n v="36.54"/>
    <n v="-7.3"/>
    <n v="-0.94669733739720485"/>
    <n v="-9.5583504945081708E-15"/>
    <n v="1.2019253851169482"/>
    <n v="3163.6147572219975"/>
    <n v="4400"/>
    <x v="198"/>
    <s v="&lt;Клиент не выбран&gt;"/>
    <s v="2023 11"/>
    <n v="1236.3852427780025"/>
    <n v="0.39081409642420717"/>
  </r>
  <r>
    <s v="521625537"/>
    <s v="700000979661"/>
    <s v="iHerb_AV CYG0792"/>
    <s v="Доставлен"/>
    <d v="2023-10-31T00:00:00"/>
    <x v="16"/>
    <s v="Витамины"/>
    <s v="NOW-00373"/>
    <x v="3"/>
    <x v="239"/>
    <n v="13.74"/>
    <n v="-2.74"/>
    <n v="-0.35614468917131509"/>
    <n v="-3.5958226894524584E-15"/>
    <n v="0.45216071259529511"/>
    <n v="1190.1423505281114"/>
    <n v="1900"/>
    <x v="493"/>
    <s v="&lt;Клиент не выбран&gt;"/>
    <s v="2025 02"/>
    <n v="709.85764947188864"/>
    <n v="0.59644768473023235"/>
  </r>
  <r>
    <s v="521625537"/>
    <s v="700000979661"/>
    <s v="iHerb_AV CYG0792"/>
    <s v="Доставлен"/>
    <d v="2023-10-31T00:00:00"/>
    <x v="16"/>
    <s v="Витамины"/>
    <s v="YOU-00303"/>
    <x v="71"/>
    <x v="422"/>
    <n v="24.98"/>
    <n v="-4.9950000000000001"/>
    <n v="-0.64705014664443017"/>
    <n v="-6.5329560407915804E-15"/>
    <n v="0.82149380374699765"/>
    <n v="2162.2722613913002"/>
    <n v="3200"/>
    <x v="491"/>
    <s v="&lt;Клиент не выбран&gt;"/>
    <s v="2023 11"/>
    <n v="1037.7277386086998"/>
    <n v="0.47992464091500697"/>
  </r>
  <r>
    <s v="521625537"/>
    <s v="700000979661"/>
    <s v="iHerb_AV CYG0792"/>
    <s v="Доставлен"/>
    <d v="2023-10-31T00:00:00"/>
    <x v="16"/>
    <s v="Витамины"/>
    <s v="YOU-00303"/>
    <x v="71"/>
    <x v="422"/>
    <n v="24.98"/>
    <n v="-4.9950000000000001"/>
    <n v="-0.64705014664443017"/>
    <n v="-6.5329560407915804E-15"/>
    <n v="0.82149380374699765"/>
    <n v="2162.2722613913002"/>
    <n v="3300"/>
    <x v="494"/>
    <s v="&lt;Клиент не выбран&gt;"/>
    <s v="2024 03"/>
    <n v="1137.7277386086998"/>
    <n v="0.52617228594360099"/>
  </r>
  <r>
    <s v="521625537"/>
    <s v="700000979661"/>
    <s v="iHerb_AV CYG0792"/>
    <s v="Доставлен"/>
    <d v="2023-10-31T00:00:00"/>
    <x v="16"/>
    <s v="Витамины"/>
    <s v="NOW-00420"/>
    <x v="3"/>
    <x v="515"/>
    <n v="14.33"/>
    <n v="-2.8650000000000002"/>
    <n v="-0.37119989648628432"/>
    <n v="-3.7478279213247668E-15"/>
    <n v="0.47127477908227805"/>
    <n v="1240.4529135277087"/>
    <n v="2000"/>
    <x v="491"/>
    <s v="&lt;Клиент не выбран&gt;"/>
    <s v="2023 11"/>
    <n v="759.54708647229131"/>
    <n v="0.61231432341290948"/>
  </r>
  <r>
    <s v="521625537"/>
    <s v="700000979661"/>
    <s v="iHerb_AV CYG0792"/>
    <s v="Доставлен"/>
    <d v="2023-10-31T00:00:00"/>
    <x v="16"/>
    <s v="Витамины"/>
    <s v="NOW-00420"/>
    <x v="3"/>
    <x v="515"/>
    <n v="14.33"/>
    <n v="-2.8650000000000002"/>
    <n v="-0.37119989648628432"/>
    <n v="-3.7478279213247668E-15"/>
    <n v="0.47127477908227805"/>
    <n v="1240.4529135277087"/>
    <n v="1900"/>
    <x v="366"/>
    <s v="&lt;Клиент не выбран&gt;"/>
    <s v="2023 12"/>
    <n v="659.54708647229131"/>
    <n v="0.53169860724226403"/>
  </r>
  <r>
    <s v="521625537"/>
    <s v="700000979661"/>
    <s v="iHerb_AV CYG0792"/>
    <s v="Доставлен"/>
    <d v="2023-10-31T00:00:00"/>
    <x v="16"/>
    <s v="Витамины"/>
    <s v="LEX-19456"/>
    <x v="7"/>
    <x v="558"/>
    <n v="10.54"/>
    <n v="-2.1"/>
    <n v="-0.27326010696417263"/>
    <n v="-2.7589766817253409E-15"/>
    <n v="0.34693058311857194"/>
    <n v="913.16376713247803"/>
    <n v="1700"/>
    <x v="214"/>
    <s v="&lt;Клиент не выбран&gt;"/>
    <s v="2023 12"/>
    <n v="786.83623286752197"/>
    <n v="0.86165949765872718"/>
  </r>
  <r>
    <s v="521625537"/>
    <s v="700000979661"/>
    <s v="iHerb_AV CYG0792"/>
    <s v="Доставлен"/>
    <d v="2023-10-31T00:00:00"/>
    <x v="16"/>
    <s v="Витамины"/>
    <s v="CGN-02171"/>
    <x v="1"/>
    <x v="879"/>
    <n v="12.87"/>
    <n v="-6.44"/>
    <n v="-0.20818275921559595"/>
    <n v="-2.1019218084708457E-15"/>
    <n v="0.26430848927161338"/>
    <n v="695.69230126325044"/>
    <n v="1700"/>
    <x v="495"/>
    <s v="&lt;Клиент не выбран&gt;"/>
    <s v="2025 05"/>
    <n v="1004.3076987367496"/>
    <n v="1.4436090451383605"/>
  </r>
  <r>
    <s v="521625537"/>
    <s v="700000979661"/>
    <s v="iHerb_AV CYG0792"/>
    <s v="Доставлен"/>
    <d v="2023-10-31T00:00:00"/>
    <x v="16"/>
    <s v="Витамины"/>
    <s v="SOR-57445"/>
    <x v="10"/>
    <x v="604"/>
    <n v="22.96"/>
    <n v="-4.59"/>
    <n v="-0.59476163091609624"/>
    <n v="-6.0050238913856058E-15"/>
    <n v="0.75510839003414287"/>
    <n v="1987.5377253819456"/>
    <n v="2800"/>
    <x v="491"/>
    <s v="&lt;Клиент не выбран&gt;"/>
    <s v="2023 11"/>
    <n v="812.46227461805438"/>
    <n v="0.40877829096900453"/>
  </r>
  <r>
    <s v="521625537"/>
    <s v="700000979661"/>
    <s v="iHerb_AV CYG0792"/>
    <s v="Доставлен"/>
    <d v="2023-10-31T00:00:00"/>
    <x v="16"/>
    <s v="Витамины"/>
    <s v="LEX-33510"/>
    <x v="7"/>
    <x v="750"/>
    <n v="10.83"/>
    <n v="-2.16"/>
    <n v="-0.28070676864684563"/>
    <n v="-2.8341620652320741E-15"/>
    <n v="0.3563848525637463"/>
    <n v="938.04856173442943"/>
    <n v="1700"/>
    <x v="136"/>
    <s v="&lt;Клиент не выбран&gt;"/>
    <s v="2023 12"/>
    <n v="761.95143826557057"/>
    <n v="0.8122729135224519"/>
  </r>
  <r>
    <s v="521625537"/>
    <s v="700000979661"/>
    <s v="iHerb_AV CYG0792"/>
    <s v="Доставлен"/>
    <d v="2023-10-31T00:00:00"/>
    <x v="16"/>
    <s v="Витамины"/>
    <s v="CEN-27452"/>
    <x v="2"/>
    <x v="56"/>
    <n v="5.84"/>
    <n v="-1.1599999999999999"/>
    <n v="-0.15152337684743222"/>
    <n v="-1.5298591078761367E-15"/>
    <n v="0.19237383044963466"/>
    <n v="506.35147277014175"/>
    <m/>
    <x v="20"/>
    <m/>
    <s v=""/>
    <n v="-506.35147277014175"/>
    <s v=""/>
  </r>
  <r>
    <s v="521522171"/>
    <s v="700000972885"/>
    <s v="iHerb_OA CZN6870"/>
    <s v="Доставлен"/>
    <d v="2023-10-26T00:00:00"/>
    <x v="16"/>
    <s v="Витамины"/>
    <s v="NFS-04913"/>
    <x v="23"/>
    <x v="104"/>
    <n v="17.84"/>
    <n v="-3.63"/>
    <n v="-0.46920385438972173"/>
    <n v="3.4592932848483175E-15"/>
    <n v="0.43493723329645961"/>
    <n v="1520.6621037830128"/>
    <n v="2900"/>
    <x v="496"/>
    <s v="&lt;Клиент не выбран&gt;"/>
    <s v="2024 05"/>
    <n v="1379.3378962169872"/>
    <n v="0.90706403006003267"/>
  </r>
  <r>
    <s v="521522171"/>
    <s v="700000972885"/>
    <s v="iHerb_OA CZN6870"/>
    <s v="Доставлен"/>
    <d v="2023-10-26T00:00:00"/>
    <x v="16"/>
    <s v="Витамины"/>
    <s v="SOR-57445"/>
    <x v="10"/>
    <x v="604"/>
    <n v="22.96"/>
    <n v="-4.59"/>
    <n v="-0.6065640256959316"/>
    <n v="4.472006871404897E-15"/>
    <n v="0.56226579702012403"/>
    <n v="1965.8383424696653"/>
    <n v="2800"/>
    <x v="198"/>
    <s v="&lt;Клиент не выбран&gt;"/>
    <s v="2023 11"/>
    <n v="834.16165753033465"/>
    <n v="0.42432871488424867"/>
  </r>
  <r>
    <s v="521522171"/>
    <s v="700000972885"/>
    <s v="iHerb_OA CZN6870"/>
    <s v="Доставлен"/>
    <d v="2023-10-26T00:00:00"/>
    <x v="16"/>
    <s v="Витамины"/>
    <s v="SOR-57445"/>
    <x v="10"/>
    <x v="604"/>
    <n v="22.96"/>
    <n v="-4.59"/>
    <n v="-0.6065640256959316"/>
    <n v="4.472006871404897E-15"/>
    <n v="0.56226579702012403"/>
    <n v="1965.8383424696653"/>
    <n v="2800"/>
    <x v="214"/>
    <s v="&lt;Клиент не выбран&gt;"/>
    <s v="2023 12"/>
    <n v="834.16165753033465"/>
    <n v="0.42432871488424867"/>
  </r>
  <r>
    <s v="521522171"/>
    <s v="700000972885"/>
    <s v="iHerb_OA CZN6870"/>
    <s v="Доставлен"/>
    <d v="2023-10-26T00:00:00"/>
    <x v="16"/>
    <s v="Витамины"/>
    <s v="THR-50001"/>
    <x v="82"/>
    <x v="247"/>
    <n v="28"/>
    <n v="-5.59"/>
    <n v="-0.73996188436830856"/>
    <n v="5.4555075660415755E-15"/>
    <n v="0.68592142140560586"/>
    <n v="2398.1729588865105"/>
    <n v="2000"/>
    <x v="497"/>
    <s v="&lt;Клиент не выбран&gt;"/>
    <s v="2025 02"/>
    <n v="-398.17295888651051"/>
    <n v="-0.16603179408351981"/>
  </r>
  <r>
    <s v="521522171"/>
    <s v="700000972885"/>
    <s v="iHerb_OA CZN6870"/>
    <s v="Доставлен"/>
    <d v="2023-10-26T00:00:00"/>
    <x v="16"/>
    <s v="Витамины"/>
    <s v="FBS-50070"/>
    <x v="20"/>
    <x v="880"/>
    <n v="15.52"/>
    <n v="-3.1"/>
    <n v="-0.41009935760171318"/>
    <n v="3.0235343137097889E-15"/>
    <n v="0.38014922150190206"/>
    <n v="1329.1079049250543"/>
    <n v="2300"/>
    <x v="396"/>
    <s v="&lt;Клиент не выбран&gt;"/>
    <s v="2023 12"/>
    <n v="970.8920950749457"/>
    <n v="0.73048402727669604"/>
  </r>
  <r>
    <s v="521522171"/>
    <s v="700000972885"/>
    <s v="iHerb_OA CZN6870"/>
    <s v="Доставлен"/>
    <d v="2023-10-26T00:00:00"/>
    <x v="16"/>
    <s v="Витамины"/>
    <s v="CGN-02171"/>
    <x v="1"/>
    <x v="879"/>
    <n v="12.88"/>
    <n v="-6.44"/>
    <n v="-0.21264411134903646"/>
    <n v="1.5677585330347054E-15"/>
    <n v="0.19711441114913439"/>
    <n v="689.16706181299105"/>
    <m/>
    <x v="20"/>
    <m/>
    <s v=""/>
    <n v="-689.16706181299105"/>
    <s v=""/>
  </r>
  <r>
    <s v="521522171"/>
    <s v="700000972885"/>
    <s v="iHerb_OA CZN6870"/>
    <s v="Доставлен"/>
    <d v="2023-10-26T00:00:00"/>
    <x v="16"/>
    <s v="Витамины"/>
    <s v="SOR-04710"/>
    <x v="10"/>
    <x v="723"/>
    <n v="6.69"/>
    <n v="-1.335"/>
    <n v="-0.17681820128479661"/>
    <n v="1.3036253019255975E-15"/>
    <n v="0.1639049179663998"/>
    <n v="573.05739379015006"/>
    <n v="1200"/>
    <x v="491"/>
    <s v="&lt;Клиент не выбран&gt;"/>
    <s v="2023 11"/>
    <n v="626.94260620984994"/>
    <n v="1.0940310918306244"/>
  </r>
  <r>
    <s v="521522171"/>
    <s v="700000972885"/>
    <s v="iHerb_OA CZN6870"/>
    <s v="Доставлен"/>
    <d v="2023-10-26T00:00:00"/>
    <x v="16"/>
    <s v="Витамины"/>
    <s v="SOR-04710"/>
    <x v="10"/>
    <x v="723"/>
    <n v="6.69"/>
    <n v="-1.335"/>
    <n v="-0.17681820128479661"/>
    <n v="1.3036253019255975E-15"/>
    <n v="0.1639049179663998"/>
    <n v="573.05739379015006"/>
    <n v="1200"/>
    <x v="428"/>
    <s v="&lt;Клиент не выбран&gt;"/>
    <s v="2023 12"/>
    <n v="626.94260620984994"/>
    <n v="1.0940310918306244"/>
  </r>
  <r>
    <s v="521522171"/>
    <s v="700000972885"/>
    <s v="iHerb_OA CZN6870"/>
    <s v="Доставлен"/>
    <d v="2023-10-26T00:00:00"/>
    <x v="16"/>
    <s v="Витамины"/>
    <s v="NFS-04950"/>
    <x v="23"/>
    <x v="668"/>
    <n v="18.72"/>
    <n v="-3.74"/>
    <n v="-0.49462869379014995"/>
    <n v="3.6467426746676837E-15"/>
    <n v="0.45850526071646464"/>
    <n v="1603.0625133476094"/>
    <n v="2400"/>
    <x v="484"/>
    <s v="&lt;Клиент не выбран&gt;"/>
    <s v="2023 12"/>
    <n v="796.93748665239059"/>
    <n v="0.49713437873871735"/>
  </r>
  <r>
    <s v="521522171"/>
    <s v="700000972885"/>
    <s v="iHerb_OA CZN6870"/>
    <s v="Доставлен"/>
    <d v="2023-10-26T00:00:00"/>
    <x v="16"/>
    <s v="Витамины"/>
    <s v="NOW-03325"/>
    <x v="3"/>
    <x v="333"/>
    <n v="16.329999999999998"/>
    <n v="-3.26"/>
    <n v="-0.43156188436830839"/>
    <n v="3.181770811609254E-15"/>
    <n v="0.40004430958372456"/>
    <n v="1398.6666922198435"/>
    <n v="2300"/>
    <x v="432"/>
    <s v="&lt;Клиент не выбран&gt;"/>
    <s v="2023 12"/>
    <n v="901.33330778015647"/>
    <n v="0.6444232302047872"/>
  </r>
  <r>
    <s v="521522171"/>
    <s v="700000972885"/>
    <s v="iHerb_OA CZN6870"/>
    <s v="Доставлен"/>
    <d v="2023-10-26T00:00:00"/>
    <x v="16"/>
    <s v="Витамины"/>
    <s v="CAR-01543"/>
    <x v="154"/>
    <x v="794"/>
    <n v="24.53"/>
    <n v="-4.9000000000000004"/>
    <n v="-0.648168308351178"/>
    <n v="4.7787422365638619E-15"/>
    <n v="0.60083166007104172"/>
    <n v="2100.6753763026418"/>
    <n v="3100"/>
    <x v="498"/>
    <s v="&lt;Клиент не выбран&gt;"/>
    <s v="2024 10"/>
    <n v="999.32462369735822"/>
    <n v="0.47571587450901159"/>
  </r>
  <r>
    <s v="521522171"/>
    <s v="700000972885"/>
    <s v="iHerb_OA CZN6870"/>
    <s v="Доставлен"/>
    <d v="2023-10-26T00:00:00"/>
    <x v="16"/>
    <s v="Витамины"/>
    <s v="NBC-01016"/>
    <x v="8"/>
    <x v="97"/>
    <n v="9.25"/>
    <n v="-1.8466666666666667"/>
    <n v="-0.24445267665952897"/>
    <n v="1.8022731376139133E-15"/>
    <n v="0.22659995194732269"/>
    <n v="792.25675170116608"/>
    <n v="1500"/>
    <x v="499"/>
    <s v="&lt;Клиент не выбран&gt;"/>
    <s v="2024 05"/>
    <n v="707.74324829883392"/>
    <n v="0.89332561291417045"/>
  </r>
  <r>
    <s v="521522171"/>
    <s v="700000972885"/>
    <s v="iHerb_OA CZN6870"/>
    <s v="Доставлен"/>
    <d v="2023-10-26T00:00:00"/>
    <x v="16"/>
    <s v="Витамины"/>
    <s v="NBC-01016"/>
    <x v="8"/>
    <x v="97"/>
    <n v="9.25"/>
    <n v="-1.8466666666666667"/>
    <n v="-0.24445267665952897"/>
    <n v="1.8022731376139133E-15"/>
    <n v="0.22659995194732269"/>
    <n v="792.25675170116608"/>
    <n v="1600"/>
    <x v="26"/>
    <s v="&lt;Клиент не выбран&gt;"/>
    <s v="2024 08"/>
    <n v="807.74324829883392"/>
    <n v="1.0195473204417818"/>
  </r>
  <r>
    <s v="521522171"/>
    <s v="700000972885"/>
    <s v="iHerb_OA CZN6870"/>
    <s v="Доставлен"/>
    <d v="2023-10-26T00:00:00"/>
    <x v="16"/>
    <s v="Витамины"/>
    <s v="NBC-01016"/>
    <x v="8"/>
    <x v="97"/>
    <n v="9.25"/>
    <n v="-1.8466666666666667"/>
    <n v="-0.24445267665952897"/>
    <n v="1.8022731376139133E-15"/>
    <n v="0.22659995194732269"/>
    <n v="792.25675170116608"/>
    <n v="1600"/>
    <x v="303"/>
    <s v="&lt;Клиент не выбран&gt;"/>
    <s v="2024 10"/>
    <n v="807.74324829883392"/>
    <n v="1.0195473204417818"/>
  </r>
  <r>
    <s v="521522171"/>
    <s v="700000972885"/>
    <s v="iHerb_OA CZN6870"/>
    <s v="Доставлен"/>
    <d v="2023-10-26T00:00:00"/>
    <x v="16"/>
    <s v="Витамины"/>
    <s v="NBC-01050"/>
    <x v="8"/>
    <x v="845"/>
    <n v="9.0299999999999994"/>
    <n v="-1.8049999999999999"/>
    <n v="-0.23856423982869385"/>
    <n v="1.7588595343440598E-15"/>
    <n v="0.22114155598641239"/>
    <n v="773.17267416131358"/>
    <n v="1600"/>
    <x v="359"/>
    <s v="&lt;Клиент не выбран&gt;"/>
    <s v="2023 12"/>
    <n v="826.82732583868642"/>
    <n v="1.0693954319267347"/>
  </r>
  <r>
    <s v="521522171"/>
    <s v="700000972885"/>
    <s v="iHerb_OA CZN6870"/>
    <s v="Доставлен"/>
    <d v="2023-10-26T00:00:00"/>
    <x v="16"/>
    <s v="Витамины"/>
    <s v="NBC-01050"/>
    <x v="8"/>
    <x v="845"/>
    <n v="9.0299999999999994"/>
    <n v="-1.8049999999999999"/>
    <n v="-0.23856423982869385"/>
    <n v="1.7588595343440598E-15"/>
    <n v="0.22114155598641239"/>
    <n v="773.17267416131358"/>
    <n v="1600"/>
    <x v="176"/>
    <s v="&lt;Клиент не выбран&gt;"/>
    <s v="2023 12"/>
    <n v="826.82732583868642"/>
    <n v="1.0693954319267347"/>
  </r>
  <r>
    <s v="521522171"/>
    <s v="700000972885"/>
    <s v="iHerb_OA CZN6870"/>
    <s v="Доставлен"/>
    <d v="2023-10-26T00:00:00"/>
    <x v="16"/>
    <s v="Витамины"/>
    <s v="NOW-02644"/>
    <x v="3"/>
    <x v="21"/>
    <n v="23"/>
    <n v="-4.5949999999999998"/>
    <n v="-0.60771970021413302"/>
    <n v="4.4805272982148685E-15"/>
    <n v="0.56333707099376062"/>
    <n v="1969.5838156316925"/>
    <n v="2900"/>
    <x v="328"/>
    <s v="&lt;Клиент не выбран&gt;"/>
    <s v="2023 12"/>
    <n v="930.41618436830754"/>
    <n v="0.47239227748726242"/>
  </r>
  <r>
    <s v="521522171"/>
    <s v="700000972885"/>
    <s v="iHerb_OA CZN6870"/>
    <s v="Доставлен"/>
    <d v="2023-10-26T00:00:00"/>
    <x v="16"/>
    <s v="Витамины"/>
    <s v="NOW-02644"/>
    <x v="3"/>
    <x v="21"/>
    <n v="23"/>
    <n v="-4.5949999999999998"/>
    <n v="-0.60771970021413302"/>
    <n v="4.4805272982148685E-15"/>
    <n v="0.56333707099376062"/>
    <n v="1969.5838156316925"/>
    <n v="2900"/>
    <x v="500"/>
    <s v="&lt;Клиент не выбран&gt;"/>
    <s v="2024 01"/>
    <n v="930.41618436830754"/>
    <n v="0.47239227748726242"/>
  </r>
  <r>
    <s v="521522171"/>
    <s v="700000972885"/>
    <s v="iHerb_OA CZN6870"/>
    <s v="Доставлен"/>
    <d v="2023-10-26T00:00:00"/>
    <x v="16"/>
    <s v="Витамины"/>
    <s v="LEX-23166"/>
    <x v="7"/>
    <x v="18"/>
    <n v="11.77"/>
    <n v="-2.35"/>
    <n v="-0.31104154175588872"/>
    <n v="2.2932120157122555E-15"/>
    <n v="0.28832573804733636"/>
    <n v="1008.0673481798717"/>
    <n v="1700"/>
    <x v="136"/>
    <s v="&lt;Клиент не выбран&gt;"/>
    <s v="2023 12"/>
    <n v="691.93265182012829"/>
    <n v="0.68639526225053882"/>
  </r>
  <r>
    <s v="OZO0029"/>
    <n v="0"/>
    <s v="OZON_OA"/>
    <s v="Доставлен"/>
    <d v="2023-10-29T00:00:00"/>
    <x v="16"/>
    <s v="Витамины"/>
    <s v="070098908"/>
    <x v="108"/>
    <x v="881"/>
    <n v="1086"/>
    <m/>
    <n v="0"/>
    <n v="0"/>
    <n v="98.815832193014046"/>
    <n v="1184.8158321930141"/>
    <n v="1700"/>
    <x v="329"/>
    <s v="&lt;Клиент не выбран&gt;"/>
    <s v="2024 02"/>
    <n v="515.1841678069859"/>
    <n v="0.43482215025217447"/>
  </r>
  <r>
    <s v="OZO0029"/>
    <n v="0"/>
    <s v="OZON_OA"/>
    <s v="Доставлен"/>
    <d v="2023-10-29T00:00:00"/>
    <x v="16"/>
    <s v="Спортпит"/>
    <s v="987464586"/>
    <x v="108"/>
    <x v="882"/>
    <n v="1060"/>
    <m/>
    <n v="0"/>
    <n v="0"/>
    <n v="96.450075621173937"/>
    <n v="1156.4500756211739"/>
    <n v="1700"/>
    <x v="501"/>
    <s v="&lt;Клиент не выбран&gt;"/>
    <s v="2024 06"/>
    <n v="543.54992437882606"/>
    <n v="0.47001590110741653"/>
  </r>
  <r>
    <s v="OZO0029"/>
    <n v="0"/>
    <s v="OZON_OA"/>
    <s v="Доставлен"/>
    <d v="2023-10-29T00:00:00"/>
    <x v="16"/>
    <s v="Косметика"/>
    <s v="724807304"/>
    <x v="213"/>
    <x v="883"/>
    <n v="10647"/>
    <m/>
    <n v="0"/>
    <n v="0"/>
    <n v="968.77731616852725"/>
    <n v="11615.777316168527"/>
    <n v="12500"/>
    <x v="139"/>
    <s v="&lt;Клиент не выбран&gt;"/>
    <s v="2023 11"/>
    <n v="884.22268383147275"/>
    <n v="7.6122558117628775E-2"/>
  </r>
  <r>
    <s v="OZO0029"/>
    <n v="0"/>
    <s v="OZON_OA"/>
    <s v="Доставлен"/>
    <d v="2023-10-29T00:00:00"/>
    <x v="16"/>
    <s v="Косметика"/>
    <s v="724807304"/>
    <x v="213"/>
    <x v="883"/>
    <n v="10647"/>
    <m/>
    <n v="0"/>
    <n v="0"/>
    <n v="968.77731616852725"/>
    <n v="11615.777316168527"/>
    <n v="12500"/>
    <x v="139"/>
    <s v="&lt;Клиент не выбран&gt;"/>
    <s v="2023 11"/>
    <n v="884.22268383147275"/>
    <n v="7.6122558117628775E-2"/>
  </r>
  <r>
    <s v="OZO0029"/>
    <n v="0"/>
    <s v="OZON_OA"/>
    <s v="Доставлен"/>
    <d v="2023-10-29T00:00:00"/>
    <x v="16"/>
    <s v="Витамины"/>
    <s v="CGN-01266"/>
    <x v="1"/>
    <x v="487"/>
    <n v="2165"/>
    <m/>
    <n v="0"/>
    <n v="0"/>
    <n v="196.99472992437882"/>
    <n v="2361.9947299243786"/>
    <n v="3300"/>
    <x v="155"/>
    <s v="&lt;Клиент не выбран&gt;"/>
    <s v="2023 11"/>
    <n v="938.00527007562141"/>
    <n v="0.39712420107967494"/>
  </r>
  <r>
    <s v="OZO0029"/>
    <n v="0"/>
    <s v="OZON_OA"/>
    <s v="Доставлен"/>
    <d v="2023-10-29T00:00:00"/>
    <x v="16"/>
    <s v="Витамины"/>
    <s v="CGN-01266"/>
    <x v="1"/>
    <x v="487"/>
    <n v="2165"/>
    <m/>
    <n v="0"/>
    <n v="0"/>
    <n v="196.99472992437882"/>
    <n v="2361.9947299243786"/>
    <n v="3300"/>
    <x v="364"/>
    <s v="&lt;Клиент не выбран&gt;"/>
    <s v="2024 01"/>
    <n v="938.00527007562141"/>
    <n v="0.39712420107967494"/>
  </r>
  <r>
    <s v="711437825"/>
    <n v="0"/>
    <s v="CoralClub_OA"/>
    <s v="Доставлен"/>
    <d v="2023-11-08T00:00:00"/>
    <x v="17"/>
    <s v="Витамины"/>
    <s v="000091865"/>
    <x v="79"/>
    <x v="228"/>
    <n v="1344"/>
    <n v="0"/>
    <n v="-787.42943396226417"/>
    <n v="17.014339622641547"/>
    <n v="0"/>
    <n v="573.58490566037733"/>
    <n v="1700"/>
    <x v="183"/>
    <s v="&lt;Клиент не выбран&gt;"/>
    <s v="2023 11"/>
    <n v="1126.4150943396226"/>
    <n v="1.9638157894736841"/>
  </r>
  <r>
    <s v="711437825"/>
    <n v="0"/>
    <s v="CoralClub_OA"/>
    <s v="Доставлен"/>
    <d v="2023-11-08T00:00:00"/>
    <x v="17"/>
    <s v="Витамины"/>
    <s v="000091865"/>
    <x v="79"/>
    <x v="228"/>
    <n v="1344"/>
    <n v="0"/>
    <n v="-787.42943396226417"/>
    <n v="17.014339622641547"/>
    <n v="0"/>
    <n v="573.58490566037733"/>
    <n v="1700"/>
    <x v="231"/>
    <s v="&lt;Клиент не выбран&gt;"/>
    <s v="2024 02"/>
    <n v="1126.4150943396226"/>
    <n v="1.9638157894736841"/>
  </r>
  <r>
    <s v="711437825"/>
    <n v="0"/>
    <s v="CoralClub_OA"/>
    <s v="Доставлен"/>
    <d v="2023-11-08T00:00:00"/>
    <x v="17"/>
    <s v="Витамины"/>
    <s v="000002200"/>
    <x v="79"/>
    <x v="884"/>
    <n v="1764"/>
    <n v="0"/>
    <n v="-1033.5011320754718"/>
    <n v="22.331320754717034"/>
    <n v="0"/>
    <n v="752.83018867924523"/>
    <n v="2250"/>
    <x v="262"/>
    <s v="&lt;Клиент не выбран&gt;"/>
    <s v="2023 11"/>
    <n v="1497.1698113207549"/>
    <n v="1.9887218045112787"/>
  </r>
  <r>
    <s v="OZO0030"/>
    <n v="0"/>
    <s v="OZON_OA"/>
    <s v="Доставлен"/>
    <d v="2023-11-04T00:00:00"/>
    <x v="17"/>
    <s v="Косметика"/>
    <s v="724807304"/>
    <x v="213"/>
    <x v="883"/>
    <n v="9058"/>
    <m/>
    <n v="0"/>
    <n v="0"/>
    <n v="534.65052379242229"/>
    <n v="9592.650523792423"/>
    <n v="12500"/>
    <x v="262"/>
    <s v="&lt;Клиент не выбран&gt;"/>
    <s v="2023 11"/>
    <n v="2907.349476207577"/>
    <n v="0.30308093357477656"/>
  </r>
  <r>
    <s v="OZO0030"/>
    <n v="0"/>
    <s v="OZON_OA"/>
    <s v="Доставлен"/>
    <d v="2023-11-04T00:00:00"/>
    <x v="17"/>
    <s v="Спортпит"/>
    <s v="987464586"/>
    <x v="108"/>
    <x v="882"/>
    <n v="693.52"/>
    <m/>
    <n v="0"/>
    <n v="0"/>
    <n v="40.935176778595796"/>
    <n v="734.45517677859573"/>
    <n v="1700"/>
    <x v="502"/>
    <s v="&lt;Клиент не выбран&gt;"/>
    <s v="2024 07"/>
    <n v="965.54482322140427"/>
    <n v="1.3146409117250615"/>
  </r>
  <r>
    <s v="OZO0030"/>
    <n v="0"/>
    <s v="OZON_OA"/>
    <s v="Доставлен"/>
    <d v="2023-11-04T00:00:00"/>
    <x v="17"/>
    <s v="Спортпит"/>
    <s v="987465725"/>
    <x v="108"/>
    <x v="885"/>
    <n v="734.48"/>
    <m/>
    <n v="0"/>
    <n v="0"/>
    <n v="43.35285015622194"/>
    <n v="777.83285015622198"/>
    <n v="1700"/>
    <x v="391"/>
    <s v="&lt;Клиент не выбран&gt;"/>
    <s v="2024 01"/>
    <n v="922.16714984377802"/>
    <n v="1.1855595320492927"/>
  </r>
  <r>
    <s v="OZO0030"/>
    <n v="0"/>
    <s v="OZON_OA"/>
    <s v="Доставлен"/>
    <d v="2023-11-04T00:00:00"/>
    <x v="17"/>
    <s v="Спортпит"/>
    <s v="626914561"/>
    <x v="108"/>
    <x v="886"/>
    <n v="652"/>
    <m/>
    <n v="0"/>
    <n v="0"/>
    <n v="38.484449272759917"/>
    <n v="690.48444927275989"/>
    <n v="1700"/>
    <x v="250"/>
    <s v="&lt;Клиент не выбран&gt;"/>
    <s v="2024 01"/>
    <n v="1009.5155507272401"/>
    <n v="1.462039517023872"/>
  </r>
  <r>
    <s v="OZO0031"/>
    <n v="0"/>
    <s v="OZON_OA"/>
    <s v="Доставлен"/>
    <d v="2023-11-07T00:00:00"/>
    <x v="17"/>
    <s v="Витамины"/>
    <s v="MLI-00952"/>
    <x v="1"/>
    <x v="7"/>
    <n v="714"/>
    <m/>
    <n v="0"/>
    <n v="0"/>
    <n v="328.7115"/>
    <n v="1042.7114999999999"/>
    <n v="1042.71"/>
    <x v="261"/>
    <s v="&lt;Клиент не выбран&gt;"/>
    <s v="2023 11"/>
    <n v="-1.4999999998508429E-3"/>
    <n v="-1.438557069573744E-6"/>
  </r>
  <r>
    <s v="OZO0031"/>
    <n v="0"/>
    <s v="OZON_OA"/>
    <s v="Доставлен"/>
    <d v="2023-11-07T00:00:00"/>
    <x v="17"/>
    <s v="Витамины"/>
    <s v="MLI-00952"/>
    <x v="1"/>
    <x v="7"/>
    <n v="714"/>
    <m/>
    <n v="0"/>
    <n v="0"/>
    <n v="328.7115"/>
    <n v="1042.7114999999999"/>
    <n v="1042.71"/>
    <x v="261"/>
    <s v="&lt;Клиент не выбран&gt;"/>
    <s v="2023 11"/>
    <n v="-1.4999999998508429E-3"/>
    <n v="-1.438557069573744E-6"/>
  </r>
  <r>
    <s v="OZO0033"/>
    <n v="0"/>
    <s v="OZON_OA"/>
    <s v="Доставлен"/>
    <d v="2023-11-08T00:00:00"/>
    <x v="17"/>
    <s v="Витамины"/>
    <s v="CGN-01266"/>
    <x v="1"/>
    <x v="487"/>
    <n v="1913"/>
    <m/>
    <n v="0"/>
    <n v="0"/>
    <n v="191.3"/>
    <n v="2104.3000000000002"/>
    <n v="3200"/>
    <x v="265"/>
    <s v="&lt;Клиент не выбран&gt;"/>
    <s v="2024 01"/>
    <n v="1095.6999999999998"/>
    <n v="0.52069571829111805"/>
  </r>
  <r>
    <s v="OZO0033"/>
    <n v="0"/>
    <s v="OZON_OA"/>
    <s v="Доставлен"/>
    <d v="2023-11-08T00:00:00"/>
    <x v="17"/>
    <s v="Витамины"/>
    <s v="CGN-01266"/>
    <x v="1"/>
    <x v="487"/>
    <n v="1913"/>
    <m/>
    <n v="0"/>
    <n v="0"/>
    <n v="191.3"/>
    <n v="2104.3000000000002"/>
    <n v="3400"/>
    <x v="188"/>
    <s v="&lt;Клиент не выбран&gt;"/>
    <s v="2024 04"/>
    <n v="1295.6999999999998"/>
    <n v="0.61573920068431298"/>
  </r>
  <r>
    <s v="OZO0035"/>
    <n v="0"/>
    <s v="OZON_OA"/>
    <s v="Доставлен"/>
    <d v="2023-11-10T00:00:00"/>
    <x v="17"/>
    <s v="Спортпит"/>
    <s v="182147728"/>
    <x v="214"/>
    <x v="887"/>
    <n v="5275"/>
    <m/>
    <n v="0"/>
    <n v="0"/>
    <n v="259.01794145420212"/>
    <n v="5534.0179414542017"/>
    <n v="7000"/>
    <x v="275"/>
    <s v="&lt;Клиент не выбран&gt;"/>
    <s v="2023 11"/>
    <n v="1465.9820585457983"/>
    <n v="0.2649037415589901"/>
  </r>
  <r>
    <s v="OZO0039"/>
    <n v="0"/>
    <s v="OZON_OA"/>
    <s v="Доставлен"/>
    <d v="2023-11-14T00:00:00"/>
    <x v="17"/>
    <s v="Спортпит"/>
    <s v="235693361"/>
    <x v="104"/>
    <x v="888"/>
    <n v="3152"/>
    <m/>
    <n v="0"/>
    <n v="0"/>
    <n v="154.7724268177526"/>
    <n v="3306.7724268177526"/>
    <n v="4600"/>
    <x v="219"/>
    <s v="&lt;Клиент не выбран&gt;"/>
    <s v="2023 11"/>
    <n v="1293.2275731822474"/>
    <n v="0.39108453992607384"/>
  </r>
  <r>
    <s v="OZO0039"/>
    <n v="0"/>
    <s v="OZON_OA"/>
    <s v="Доставлен"/>
    <d v="2023-11-14T00:00:00"/>
    <x v="17"/>
    <s v="Спортпит"/>
    <s v="235696968"/>
    <x v="104"/>
    <x v="889"/>
    <n v="3152"/>
    <m/>
    <n v="0"/>
    <n v="0"/>
    <n v="154.7724268177526"/>
    <n v="3306.7724268177526"/>
    <n v="4600"/>
    <x v="219"/>
    <s v="&lt;Клиент не выбран&gt;"/>
    <s v="2023 11"/>
    <n v="1293.2275731822474"/>
    <n v="0.39108453992607384"/>
  </r>
  <r>
    <s v="OZO0039"/>
    <n v="0"/>
    <s v="OZON_OA"/>
    <s v="Доставлен"/>
    <d v="2023-11-14T00:00:00"/>
    <x v="17"/>
    <s v="Спортпит"/>
    <s v="158717286"/>
    <x v="215"/>
    <x v="890"/>
    <n v="3546"/>
    <m/>
    <n v="0"/>
    <n v="0"/>
    <n v="174.11898016997168"/>
    <n v="3720.1189801699716"/>
    <n v="4900"/>
    <x v="219"/>
    <s v="&lt;Клиент не выбран&gt;"/>
    <s v="2023 11"/>
    <n v="1179.8810198300284"/>
    <n v="0.31716217307009892"/>
  </r>
  <r>
    <s v="OZO0039"/>
    <n v="0"/>
    <s v="OZON_OA"/>
    <s v="Доставлен"/>
    <d v="2023-11-14T00:00:00"/>
    <x v="17"/>
    <s v="Спортпит"/>
    <s v="158717286"/>
    <x v="215"/>
    <x v="890"/>
    <n v="3546"/>
    <m/>
    <n v="0"/>
    <n v="0"/>
    <n v="174.11898016997168"/>
    <n v="3720.1189801699716"/>
    <n v="4900"/>
    <x v="219"/>
    <s v="&lt;Клиент не выбран&gt;"/>
    <s v="2023 11"/>
    <n v="1179.8810198300284"/>
    <n v="0.31716217307009892"/>
  </r>
  <r>
    <s v="OZO0040"/>
    <n v="0"/>
    <s v="OZON_OA"/>
    <s v="Доставлен"/>
    <d v="2023-11-15T00:00:00"/>
    <x v="17"/>
    <s v="Спортпит"/>
    <s v="999025023"/>
    <x v="118"/>
    <x v="838"/>
    <n v="944"/>
    <m/>
    <n v="0"/>
    <n v="0"/>
    <n v="46.353163361661942"/>
    <n v="990.35316336166193"/>
    <n v="1700"/>
    <x v="418"/>
    <s v="&lt;Клиент не выбран&gt;"/>
    <s v="2024 03"/>
    <n v="709.64683663833807"/>
    <n v="0.7165593678011869"/>
  </r>
  <r>
    <s v="OZO0040"/>
    <n v="0"/>
    <s v="OZON_OA"/>
    <s v="Доставлен"/>
    <d v="2023-11-15T00:00:00"/>
    <x v="17"/>
    <s v="Спортпит"/>
    <s v="999025023"/>
    <x v="118"/>
    <x v="838"/>
    <n v="944"/>
    <m/>
    <n v="0"/>
    <n v="0"/>
    <n v="46.353163361661942"/>
    <n v="990.35316336166193"/>
    <n v="1600"/>
    <x v="501"/>
    <s v="&lt;Клиент не выбран&gt;"/>
    <s v="2024 06"/>
    <n v="609.64683663833807"/>
    <n v="0.61558528734229356"/>
  </r>
  <r>
    <s v="WB0167"/>
    <n v="0"/>
    <s v="WBRS"/>
    <s v="Доставлен"/>
    <d v="2023-11-14T00:00:00"/>
    <x v="17"/>
    <s v="Спортпит"/>
    <s v="015958935"/>
    <x v="216"/>
    <x v="891"/>
    <n v="1245"/>
    <m/>
    <n v="0"/>
    <n v="0"/>
    <n v="61.13314447592068"/>
    <n v="1306.1331444759207"/>
    <n v="1700"/>
    <x v="219"/>
    <s v="&lt;Клиент не выбран&gt;"/>
    <s v="2023 11"/>
    <n v="393.86685552407926"/>
    <n v="0.30155184193118101"/>
  </r>
  <r>
    <s v="WB0167"/>
    <n v="0"/>
    <s v="WBRS"/>
    <s v="Доставлен"/>
    <d v="2023-11-14T00:00:00"/>
    <x v="17"/>
    <s v="Спортпит"/>
    <s v="015958935"/>
    <x v="216"/>
    <x v="891"/>
    <n v="1245"/>
    <m/>
    <n v="0"/>
    <n v="0"/>
    <n v="61.13314447592068"/>
    <n v="1306.1331444759207"/>
    <n v="1700"/>
    <x v="219"/>
    <s v="&lt;Клиент не выбран&gt;"/>
    <s v="2023 11"/>
    <n v="393.86685552407926"/>
    <n v="0.30155184193118101"/>
  </r>
  <r>
    <s v="WB0168"/>
    <n v="0"/>
    <s v="WBRS"/>
    <s v="Доставлен"/>
    <d v="2023-11-11T00:00:00"/>
    <x v="17"/>
    <s v="Спортпит"/>
    <s v="176208973"/>
    <x v="118"/>
    <x v="417"/>
    <n v="1713"/>
    <m/>
    <n v="0"/>
    <n v="0"/>
    <n v="84.113314447592074"/>
    <n v="1797.1133144475921"/>
    <n v="2700"/>
    <x v="475"/>
    <s v="&lt;Клиент не выбран&gt;"/>
    <s v="2024 02"/>
    <n v="902.88668555240793"/>
    <n v="0.5024094353393308"/>
  </r>
  <r>
    <s v="WB0168"/>
    <n v="0"/>
    <s v="WBRS"/>
    <s v="Доставлен"/>
    <d v="2023-11-11T00:00:00"/>
    <x v="17"/>
    <s v="Спортпит"/>
    <s v="176208973"/>
    <x v="118"/>
    <x v="417"/>
    <n v="1713"/>
    <m/>
    <n v="0"/>
    <n v="0"/>
    <n v="84.113314447592074"/>
    <n v="1797.1133144475921"/>
    <n v="2600"/>
    <x v="501"/>
    <s v="&lt;Клиент не выбран&gt;"/>
    <s v="2024 06"/>
    <n v="802.88668555240793"/>
    <n v="0.44676464143787409"/>
  </r>
  <r>
    <s v="521860465"/>
    <s v="700000994608"/>
    <s v="iHerb_AV CYG0792"/>
    <s v="Доставлен"/>
    <d v="2023-11-10T00:00:00"/>
    <x v="17"/>
    <s v="Витамины"/>
    <s v="JRW-12026"/>
    <x v="21"/>
    <x v="892"/>
    <n v="22.9"/>
    <n v="-5.0999999999999996"/>
    <n v="-0.53002901583979445"/>
    <n v="0"/>
    <n v="0.56325137103936074"/>
    <n v="1876.5101555439278"/>
    <n v="2800"/>
    <x v="136"/>
    <s v="&lt;Клиент не выбран&gt;"/>
    <s v="2023 12"/>
    <n v="923.48984445607221"/>
    <n v="0.49213154627899586"/>
  </r>
  <r>
    <s v="521860465"/>
    <s v="700000994608"/>
    <s v="iHerb_AV CYG0792"/>
    <s v="Доставлен"/>
    <d v="2023-11-10T00:00:00"/>
    <x v="17"/>
    <s v="Витамины"/>
    <s v="NOW-00993"/>
    <x v="3"/>
    <x v="893"/>
    <n v="29.33"/>
    <n v="-6.45"/>
    <n v="-0.68129572373115155"/>
    <n v="0"/>
    <n v="0.72399951513374017"/>
    <n v="2412.0535033059032"/>
    <n v="3400"/>
    <x v="136"/>
    <s v="&lt;Клиент не выбран&gt;"/>
    <s v="2023 12"/>
    <n v="987.94649669409682"/>
    <n v="0.40958730614393124"/>
  </r>
  <r>
    <s v="521860465"/>
    <s v="700000994608"/>
    <s v="iHerb_AV CYG0792"/>
    <s v="Доставлен"/>
    <d v="2023-11-10T00:00:00"/>
    <x v="17"/>
    <s v="Витамины"/>
    <s v="EVL-02739"/>
    <x v="125"/>
    <x v="657"/>
    <n v="13.04"/>
    <n v="-2.8650000000000002"/>
    <n v="-0.30298006944774769"/>
    <n v="0"/>
    <n v="0.32197093822053346"/>
    <n v="1072.6680243067117"/>
    <n v="1800"/>
    <x v="503"/>
    <s v="&lt;Клиент не выбран&gt;"/>
    <s v="2025 02"/>
    <n v="727.33197569328831"/>
    <n v="0.67805878353032711"/>
  </r>
  <r>
    <s v="521860465"/>
    <s v="700000994608"/>
    <s v="iHerb_AV CYG0792"/>
    <s v="Доставлен"/>
    <d v="2023-11-10T00:00:00"/>
    <x v="17"/>
    <s v="Витамины"/>
    <s v="EVL-02739"/>
    <x v="125"/>
    <x v="657"/>
    <n v="13.04"/>
    <n v="-2.8650000000000002"/>
    <n v="-0.30298006944774769"/>
    <n v="0"/>
    <n v="0.32197093822053346"/>
    <n v="1072.6680243067117"/>
    <m/>
    <x v="20"/>
    <m/>
    <s v=""/>
    <n v="-1072.6680243067117"/>
    <s v=""/>
  </r>
  <r>
    <s v="521860465"/>
    <s v="700000994608"/>
    <s v="iHerb_AV CYG0792"/>
    <s v="Доставлен"/>
    <d v="2023-11-10T00:00:00"/>
    <x v="17"/>
    <s v="Витамины"/>
    <s v="FCD-02860"/>
    <x v="207"/>
    <x v="834"/>
    <n v="12.66"/>
    <n v="-2.78"/>
    <n v="-0.29419588070208824"/>
    <n v="0"/>
    <n v="0.31263615426229696"/>
    <n v="1041.5685582457311"/>
    <n v="1041.57"/>
    <x v="299"/>
    <s v="&lt;Клиент не выбран&gt;"/>
    <s v="2023 12"/>
    <n v="1.4417542688534013E-3"/>
    <n v="1.3842144690712301E-6"/>
  </r>
  <r>
    <s v="521860465"/>
    <s v="700000994608"/>
    <s v="iHerb_AV CYG0792"/>
    <s v="Доставлен"/>
    <d v="2023-11-10T00:00:00"/>
    <x v="17"/>
    <s v="Витамины"/>
    <s v="FCD-02860"/>
    <x v="207"/>
    <x v="834"/>
    <n v="12.66"/>
    <n v="-2.78"/>
    <n v="-0.29419588070208824"/>
    <n v="0"/>
    <n v="0.31263615426229696"/>
    <n v="1041.5685582457311"/>
    <n v="1900"/>
    <x v="144"/>
    <s v="&lt;Клиент не выбран&gt;"/>
    <s v="2023 12"/>
    <n v="858.43144175426892"/>
    <n v="0.82417180795096956"/>
  </r>
  <r>
    <s v="521860465"/>
    <s v="700000994608"/>
    <s v="iHerb_AV CYG0792"/>
    <s v="Доставлен"/>
    <d v="2023-11-10T00:00:00"/>
    <x v="17"/>
    <s v="Витамины"/>
    <s v="NCS-67028"/>
    <x v="217"/>
    <x v="894"/>
    <n v="15.62"/>
    <n v="-3.4350000000000001"/>
    <n v="-0.36283166056224136"/>
    <n v="0"/>
    <n v="0.38557404247834892"/>
    <n v="1284.5660811967844"/>
    <n v="2300"/>
    <x v="136"/>
    <s v="&lt;Клиент не выбран&gt;"/>
    <s v="2023 12"/>
    <n v="1015.4339188032156"/>
    <n v="0.79048788043443596"/>
  </r>
  <r>
    <s v="521860465"/>
    <s v="700000994608"/>
    <s v="iHerb_AV CYG0792"/>
    <s v="Доставлен"/>
    <d v="2023-11-10T00:00:00"/>
    <x v="17"/>
    <s v="Витамины"/>
    <s v="NCS-67028"/>
    <x v="217"/>
    <x v="894"/>
    <n v="15.62"/>
    <n v="-3.4350000000000001"/>
    <n v="-0.36283166056224136"/>
    <n v="0"/>
    <n v="0.38557404247834892"/>
    <n v="1284.5660811967844"/>
    <n v="2300"/>
    <x v="136"/>
    <s v="&lt;Клиент не выбран&gt;"/>
    <s v="2023 12"/>
    <n v="1015.4339188032156"/>
    <n v="0.79048788043443596"/>
  </r>
  <r>
    <s v="521860465"/>
    <s v="700000994608"/>
    <s v="iHerb_AV CYG0792"/>
    <s v="Доставлен"/>
    <d v="2023-11-10T00:00:00"/>
    <x v="17"/>
    <s v="Витамины"/>
    <s v="NAP-29978"/>
    <x v="11"/>
    <x v="54"/>
    <n v="12.75"/>
    <n v="-2.8"/>
    <n v="-0.29628026447224465"/>
    <n v="0"/>
    <n v="0.3148511877439123"/>
    <n v="1048.9480925652856"/>
    <n v="2000"/>
    <x v="266"/>
    <s v="&lt;Клиент не выбран&gt;"/>
    <s v="2024 03"/>
    <n v="951.05190743471439"/>
    <n v="0.90667204047136563"/>
  </r>
  <r>
    <s v="521860465"/>
    <s v="700000994608"/>
    <s v="iHerb_AV CYG0792"/>
    <s v="Доставлен"/>
    <d v="2023-11-10T00:00:00"/>
    <x v="17"/>
    <s v="Витамины"/>
    <s v="NAP-29978"/>
    <x v="11"/>
    <x v="54"/>
    <n v="12.75"/>
    <n v="-2.8"/>
    <n v="-0.29628026447224465"/>
    <n v="0"/>
    <n v="0.3148511877439123"/>
    <n v="1048.9480925652856"/>
    <n v="2100"/>
    <x v="504"/>
    <s v="&lt;Клиент не выбран&gt;"/>
    <s v="2024 05"/>
    <n v="1051.0519074347144"/>
    <n v="1.002005642494934"/>
  </r>
  <r>
    <s v="521860465"/>
    <s v="700000994608"/>
    <s v="iHerb_AV CYG0792"/>
    <s v="Доставлен"/>
    <d v="2023-11-10T00:00:00"/>
    <x v="17"/>
    <s v="Витамины"/>
    <s v="NOW-08091"/>
    <x v="3"/>
    <x v="895"/>
    <n v="6.39"/>
    <n v="-1.4"/>
    <n v="-0.1485867859011559"/>
    <n v="0"/>
    <n v="0.15790024390373092"/>
    <n v="526.05537506540463"/>
    <n v="1100"/>
    <x v="136"/>
    <s v="&lt;Клиент не выбран&gt;"/>
    <s v="2023 12"/>
    <n v="573.94462493459537"/>
    <n v="1.0910346175309713"/>
  </r>
  <r>
    <s v="521860465"/>
    <s v="700000994608"/>
    <s v="iHerb_AV CYG0792"/>
    <s v="Доставлен"/>
    <d v="2023-11-10T00:00:00"/>
    <x v="17"/>
    <s v="Витамины"/>
    <s v="SNS-00233"/>
    <x v="151"/>
    <x v="797"/>
    <n v="32.06"/>
    <n v="-7.05"/>
    <n v="-0.7447205441659136"/>
    <n v="0"/>
    <n v="0.79139981964575357"/>
    <n v="2636.6021904580698"/>
    <n v="3700"/>
    <x v="308"/>
    <s v="&lt;Клиент не выбран&gt;"/>
    <s v="2024 02"/>
    <n v="1063.3978095419302"/>
    <n v="0.40332129488111396"/>
  </r>
  <r>
    <s v="521860465"/>
    <s v="700000994608"/>
    <s v="iHerb_AV CYG0792"/>
    <s v="Доставлен"/>
    <d v="2023-11-10T00:00:00"/>
    <x v="17"/>
    <s v="Витамины"/>
    <s v="JRW-13007"/>
    <x v="21"/>
    <x v="448"/>
    <n v="14.86"/>
    <n v="-3.26"/>
    <n v="-0.34541216762593352"/>
    <n v="0"/>
    <n v="0.36706269123913399"/>
    <n v="1222.8942586690766"/>
    <n v="2000"/>
    <x v="371"/>
    <s v="&lt;Клиент не выбран&gt;"/>
    <s v="2023 12"/>
    <n v="777.10574133092337"/>
    <n v="0.63546437954224899"/>
  </r>
  <r>
    <s v="521860465"/>
    <s v="700000994608"/>
    <s v="iHerb_AV CYG0792"/>
    <s v="Доставлен"/>
    <d v="2023-11-10T00:00:00"/>
    <x v="17"/>
    <s v="Витамины"/>
    <s v="CGN-01034"/>
    <x v="1"/>
    <x v="84"/>
    <n v="5.91"/>
    <n v="-1.3"/>
    <n v="-0.13727155972030636"/>
    <n v="0"/>
    <n v="0.14587577643210412"/>
    <n v="485.99504590210717"/>
    <n v="1000"/>
    <x v="505"/>
    <s v="&lt;Клиент не выбран&gt;"/>
    <s v="2024 08"/>
    <n v="514.00495409789278"/>
    <n v="1.0576341434587948"/>
  </r>
  <r>
    <s v="521860465"/>
    <s v="700000994608"/>
    <s v="iHerb_AV CYG0792"/>
    <s v="Доставлен"/>
    <d v="2023-11-10T00:00:00"/>
    <x v="17"/>
    <s v="Витамины"/>
    <s v="LEX-19043"/>
    <x v="7"/>
    <x v="832"/>
    <n v="17.88"/>
    <n v="-3.93"/>
    <n v="-0.41538790848118728"/>
    <n v="0"/>
    <n v="0.44142452955051026"/>
    <n v="1470.6357679684154"/>
    <n v="2400"/>
    <x v="506"/>
    <s v="Александр Радин"/>
    <s v="2025 06"/>
    <n v="929.36423203158461"/>
    <n v="0.63194725184430878"/>
  </r>
  <r>
    <s v="521860465"/>
    <s v="700000994608"/>
    <s v="iHerb_AV CYG0792"/>
    <s v="Доставлен"/>
    <d v="2023-11-10T00:00:00"/>
    <x v="17"/>
    <s v="Витамины"/>
    <s v="NOW-04726"/>
    <x v="3"/>
    <x v="48"/>
    <n v="18.52"/>
    <n v="-4.07"/>
    <n v="-0.43027636398230507"/>
    <n v="0"/>
    <n v="0.45724619727633503"/>
    <n v="1523.3467273938068"/>
    <n v="2600"/>
    <x v="176"/>
    <s v="&lt;Клиент не выбран&gt;"/>
    <s v="2023 12"/>
    <n v="1076.6532726061932"/>
    <n v="0.70676836287177258"/>
  </r>
  <r>
    <s v="521860465"/>
    <s v="700000994608"/>
    <s v="iHerb_AV CYG0792"/>
    <s v="Доставлен"/>
    <d v="2023-11-10T00:00:00"/>
    <x v="17"/>
    <s v="Витамины"/>
    <s v="EVL-02907"/>
    <x v="125"/>
    <x v="896"/>
    <n v="13.53"/>
    <n v="-2.97"/>
    <n v="-0.31444418018360842"/>
    <n v="0"/>
    <n v="0.33415362236941853"/>
    <n v="1113.2554630642628"/>
    <m/>
    <x v="20"/>
    <m/>
    <s v=""/>
    <n v="-1113.2554630642628"/>
    <s v=""/>
  </r>
  <r>
    <s v="522067206"/>
    <s v="720000011013"/>
    <s v="iHerb_AV CYG0792"/>
    <s v="Доставлен"/>
    <d v="2023-11-17T00:00:00"/>
    <x v="17"/>
    <s v="Витамины"/>
    <s v="LEX-19456"/>
    <x v="7"/>
    <x v="558"/>
    <n v="10.54"/>
    <n v="-1.05"/>
    <n v="-0.49208602516150973"/>
    <n v="3.4391621365335011E-15"/>
    <n v="0.65098663177261284"/>
    <n v="1004.3758117987082"/>
    <n v="1700"/>
    <x v="459"/>
    <s v="&lt;Клиент не выбран&gt;"/>
    <s v="2024 01"/>
    <n v="695.62418820129176"/>
    <n v="0.69259352926422835"/>
  </r>
  <r>
    <s v="522067206"/>
    <s v="720000011013"/>
    <s v="iHerb_AV CYG0792"/>
    <s v="Доставлен"/>
    <d v="2023-11-17T00:00:00"/>
    <x v="17"/>
    <s v="Витамины"/>
    <s v="NOW-03170"/>
    <x v="3"/>
    <x v="306"/>
    <n v="19.690000000000001"/>
    <n v="-1.97"/>
    <n v="-0.91883713022781399"/>
    <n v="6.4217021137380046E-15"/>
    <n v="1.2155408972614017"/>
    <n v="1875.3993029581786"/>
    <n v="2500"/>
    <x v="438"/>
    <s v="&lt;Клиент не выбран&gt;"/>
    <s v="2024 01"/>
    <n v="624.60069704182138"/>
    <n v="0.33304944502037598"/>
  </r>
  <r>
    <s v="522067206"/>
    <s v="720000011013"/>
    <s v="iHerb_AV CYG0792"/>
    <s v="Доставлен"/>
    <d v="2023-11-17T00:00:00"/>
    <x v="17"/>
    <s v="Витамины"/>
    <s v="NOW-03170"/>
    <x v="3"/>
    <x v="306"/>
    <n v="19.690000000000001"/>
    <n v="-1.97"/>
    <n v="-0.91883713022781399"/>
    <n v="6.4217021137380046E-15"/>
    <n v="1.2155408972614017"/>
    <n v="1875.3993029581786"/>
    <n v="2500"/>
    <x v="422"/>
    <s v="&lt;Клиент не выбран&gt;"/>
    <s v="2024 01"/>
    <n v="624.60069704182138"/>
    <n v="0.33304944502037598"/>
  </r>
  <r>
    <s v="522067206"/>
    <s v="720000011013"/>
    <s v="iHerb_AV CYG0792"/>
    <s v="Доставлен"/>
    <d v="2023-11-17T00:00:00"/>
    <x v="17"/>
    <s v="Витамины"/>
    <s v="NOW-03170"/>
    <x v="3"/>
    <x v="306"/>
    <n v="19.690000000000001"/>
    <n v="-1.97"/>
    <n v="-0.91883713022781399"/>
    <n v="6.4217021137380046E-15"/>
    <n v="1.2155408972614017"/>
    <n v="1875.3993029581786"/>
    <n v="2400"/>
    <x v="507"/>
    <s v="&lt;Клиент не выбран&gt;"/>
    <s v="2024 07"/>
    <n v="524.60069704182138"/>
    <n v="0.27972746721956093"/>
  </r>
  <r>
    <s v="522067206"/>
    <s v="720000011013"/>
    <s v="iHerb_AV CYG0792"/>
    <s v="Доставлен"/>
    <d v="2023-11-17T00:00:00"/>
    <x v="17"/>
    <s v="Витамины"/>
    <s v="NOW-03170"/>
    <x v="3"/>
    <x v="306"/>
    <n v="19.690000000000001"/>
    <n v="-1.97"/>
    <n v="-0.91883713022781399"/>
    <n v="6.4217021137380046E-15"/>
    <n v="1.2155408972614017"/>
    <n v="1875.3993029581786"/>
    <n v="2500"/>
    <x v="386"/>
    <s v="&lt;Клиент не выбран&gt;"/>
    <s v="2024 08"/>
    <n v="624.60069704182138"/>
    <n v="0.33304944502037598"/>
  </r>
  <r>
    <s v="522067206"/>
    <s v="720000011013"/>
    <s v="iHerb_AV CYG0792"/>
    <s v="Доставлен"/>
    <d v="2023-11-17T00:00:00"/>
    <x v="17"/>
    <s v="Витамины"/>
    <s v="NOW-01298"/>
    <x v="3"/>
    <x v="392"/>
    <n v="24.24"/>
    <n v="-2.4249999999999998"/>
    <n v="-1.1311756205372323"/>
    <n v="7.9057241315572535E-15"/>
    <n v="1.4964460876838301"/>
    <n v="2308.7943450357029"/>
    <n v="2900"/>
    <x v="446"/>
    <s v="&lt;Клиент не выбран&gt;"/>
    <s v="2024 01"/>
    <n v="591.20565496429708"/>
    <n v="0.2560668325593784"/>
  </r>
  <r>
    <s v="522067206"/>
    <s v="720000011013"/>
    <s v="iHerb_AV CYG0792"/>
    <s v="Доставлен"/>
    <d v="2023-11-17T00:00:00"/>
    <x v="17"/>
    <s v="Витамины"/>
    <s v="NOW-01298"/>
    <x v="3"/>
    <x v="392"/>
    <n v="24.24"/>
    <n v="-2.4249999999999998"/>
    <n v="-1.1311756205372323"/>
    <n v="7.9057241315572535E-15"/>
    <n v="1.4964460876838301"/>
    <n v="2308.7943450357029"/>
    <n v="3000"/>
    <x v="308"/>
    <s v="&lt;Клиент не выбран&gt;"/>
    <s v="2024 02"/>
    <n v="691.20565496429708"/>
    <n v="0.29937948195797764"/>
  </r>
  <r>
    <s v="522067206"/>
    <s v="720000011013"/>
    <s v="iHerb_AV CYG0792"/>
    <s v="Доставлен"/>
    <d v="2023-11-17T00:00:00"/>
    <x v="17"/>
    <s v="Витамины"/>
    <s v="CGN-01100"/>
    <x v="1"/>
    <x v="727"/>
    <n v="9.68"/>
    <n v="-8.68"/>
    <n v="-5.1853111186671207E-2"/>
    <n v="3.623985391500002E-16"/>
    <n v="6.8597116098273223E-2"/>
    <n v="105.83517511050667"/>
    <n v="700"/>
    <x v="188"/>
    <s v="&lt;Клиент не выбран&gt;"/>
    <s v="2024 04"/>
    <n v="594.16482488949327"/>
    <n v="5.6140581264130986"/>
  </r>
  <r>
    <s v="522067206"/>
    <s v="720000011013"/>
    <s v="iHerb_AV CYG0792"/>
    <s v="Доставлен"/>
    <d v="2023-11-17T00:00:00"/>
    <x v="17"/>
    <s v="Витамины"/>
    <s v="NOW-02313"/>
    <x v="3"/>
    <x v="87"/>
    <n v="21.33"/>
    <n v="-2.1324999999999998"/>
    <n v="-0.9954501020061205"/>
    <n v="6.9571459553321276E-15"/>
    <n v="1.3168931362966001"/>
    <n v="2031.7707741839515"/>
    <n v="2900"/>
    <x v="500"/>
    <s v="&lt;Клиент не выбран&gt;"/>
    <s v="2024 01"/>
    <n v="868.22922581604848"/>
    <n v="0.42732636813558239"/>
  </r>
  <r>
    <s v="522067206"/>
    <s v="720000011013"/>
    <s v="iHerb_AV CYG0792"/>
    <s v="Доставлен"/>
    <d v="2023-11-17T00:00:00"/>
    <x v="17"/>
    <s v="Витамины"/>
    <s v="NOW-02313"/>
    <x v="3"/>
    <x v="87"/>
    <n v="21.33"/>
    <n v="-2.1324999999999998"/>
    <n v="-0.9954501020061205"/>
    <n v="6.9571459553321276E-15"/>
    <n v="1.3168931362966001"/>
    <n v="2031.7707741839515"/>
    <n v="3000"/>
    <x v="500"/>
    <s v="&lt;Клиент не выбран&gt;"/>
    <s v="2024 01"/>
    <n v="968.22922581604848"/>
    <n v="0.47654451876094728"/>
  </r>
  <r>
    <s v="522067206"/>
    <s v="720000011013"/>
    <s v="iHerb_AV CYG0792"/>
    <s v="Доставлен"/>
    <d v="2023-11-17T00:00:00"/>
    <x v="17"/>
    <s v="Витамины"/>
    <s v="NOW-02313"/>
    <x v="3"/>
    <x v="87"/>
    <n v="21.33"/>
    <n v="-2.1324999999999998"/>
    <n v="-0.9954501020061205"/>
    <n v="6.9571459553321276E-15"/>
    <n v="1.3168931362966001"/>
    <n v="2031.7707741839515"/>
    <n v="3000"/>
    <x v="57"/>
    <s v="&lt;Клиент не выбран&gt;"/>
    <s v="2024 01"/>
    <n v="968.22922581604848"/>
    <n v="0.47654451876094728"/>
  </r>
  <r>
    <s v="522067206"/>
    <s v="720000011013"/>
    <s v="iHerb_AV CYG0792"/>
    <s v="Доставлен"/>
    <d v="2023-11-17T00:00:00"/>
    <x v="17"/>
    <s v="Витамины"/>
    <s v="NOW-02313"/>
    <x v="3"/>
    <x v="87"/>
    <n v="21.33"/>
    <n v="-2.1324999999999998"/>
    <n v="-0.9954501020061205"/>
    <n v="6.9571459553321276E-15"/>
    <n v="1.3168931362966001"/>
    <n v="2031.7707741839515"/>
    <n v="3000"/>
    <x v="264"/>
    <s v="&lt;Клиент не выбран&gt;"/>
    <s v="2024 02"/>
    <n v="968.22922581604848"/>
    <n v="0.47654451876094728"/>
  </r>
  <r>
    <s v="522067206"/>
    <s v="720000011013"/>
    <s v="iHerb_AV CYG0792"/>
    <s v="Доставлен"/>
    <d v="2023-11-17T00:00:00"/>
    <x v="17"/>
    <s v="Витамины"/>
    <s v="BLB-00175"/>
    <x v="186"/>
    <x v="897"/>
    <n v="37.21"/>
    <n v="-3.72"/>
    <n v="-1.7365606936416187"/>
    <n v="1.2136727076133506E-14"/>
    <n v="2.2973174181311702"/>
    <n v="3544.4200144508691"/>
    <n v="4400"/>
    <x v="438"/>
    <s v="&lt;Клиент не выбран&gt;"/>
    <s v="2024 01"/>
    <n v="855.57998554913092"/>
    <n v="0.24138786657926162"/>
  </r>
  <r>
    <s v="521930127"/>
    <s v="700000999293"/>
    <s v="iHerb_MH DLE7202"/>
    <s v="Доставлен"/>
    <d v="2023-11-12T00:00:00"/>
    <x v="17"/>
    <s v="Витамины"/>
    <s v="SOR-57445"/>
    <x v="10"/>
    <x v="604"/>
    <n v="22.96"/>
    <n v="-5.0599999999999996"/>
    <n v="-0.33936866053654374"/>
    <n v="-2.4113593648887654E-15"/>
    <n v="0.56487445126958558"/>
    <n v="1905.6712626789267"/>
    <n v="2800"/>
    <x v="484"/>
    <s v="&lt;Клиент не выбран&gt;"/>
    <s v="2023 12"/>
    <n v="894.32873732107328"/>
    <n v="0.46929853791459125"/>
  </r>
  <r>
    <s v="521930127"/>
    <s v="700000999293"/>
    <s v="iHerb_MH DLE7202"/>
    <s v="Доставлен"/>
    <d v="2023-11-12T00:00:00"/>
    <x v="17"/>
    <s v="Витамины"/>
    <s v="SOR-57445"/>
    <x v="10"/>
    <x v="604"/>
    <n v="22.96"/>
    <n v="-5.0599999999999996"/>
    <n v="-0.33936866053654374"/>
    <n v="-2.4113593648887654E-15"/>
    <n v="0.56487445126958558"/>
    <n v="1905.6712626789267"/>
    <n v="2800"/>
    <x v="484"/>
    <s v="&lt;Клиент не выбран&gt;"/>
    <s v="2023 12"/>
    <n v="894.32873732107328"/>
    <n v="0.46929853791459125"/>
  </r>
  <r>
    <s v="521930127"/>
    <s v="700000999293"/>
    <s v="iHerb_MH DLE7202"/>
    <s v="Доставлен"/>
    <d v="2023-11-12T00:00:00"/>
    <x v="17"/>
    <s v="Витамины"/>
    <s v="SOR-57445"/>
    <x v="10"/>
    <x v="604"/>
    <n v="22.96"/>
    <n v="-5.0599999999999996"/>
    <n v="-0.33936866053654374"/>
    <n v="-2.4113593648887654E-15"/>
    <n v="0.56487445126958558"/>
    <n v="1905.6712626789267"/>
    <n v="2800"/>
    <x v="371"/>
    <s v="&lt;Клиент не выбран&gt;"/>
    <s v="2023 12"/>
    <n v="894.32873732107328"/>
    <n v="0.46929853791459125"/>
  </r>
  <r>
    <s v="521930127"/>
    <s v="700000999293"/>
    <s v="iHerb_MH DLE7202"/>
    <s v="Доставлен"/>
    <d v="2023-11-12T00:00:00"/>
    <x v="17"/>
    <s v="Витамины"/>
    <s v="SOR-57445"/>
    <x v="10"/>
    <x v="604"/>
    <n v="22.96"/>
    <n v="-5.0599999999999996"/>
    <n v="-0.33936866053654374"/>
    <n v="-2.4113593648887654E-15"/>
    <n v="0.56487445126958558"/>
    <n v="1905.6712626789267"/>
    <n v="2800"/>
    <x v="469"/>
    <s v="&lt;Клиент не выбран&gt;"/>
    <s v="2024 08"/>
    <n v="894.32873732107328"/>
    <n v="0.46929853791459125"/>
  </r>
  <r>
    <s v="521930127"/>
    <s v="700000999293"/>
    <s v="iHerb_MH DLE7202"/>
    <s v="Доставлен"/>
    <d v="2023-11-12T00:00:00"/>
    <x v="17"/>
    <s v="Витамины"/>
    <s v="LEX-23151"/>
    <x v="7"/>
    <x v="17"/>
    <n v="20.69"/>
    <n v="-4.55"/>
    <n v="-0.30600056877429138"/>
    <n v="-2.1742648128103169E-15"/>
    <n v="0.50933372310006197"/>
    <n v="1718.2979988624513"/>
    <n v="2700"/>
    <x v="57"/>
    <s v="&lt;Клиент не выбран&gt;"/>
    <s v="2024 01"/>
    <n v="981.70200113754868"/>
    <n v="0.57132232115003079"/>
  </r>
  <r>
    <s v="521930127"/>
    <s v="700000999293"/>
    <s v="iHerb_MH DLE7202"/>
    <s v="Доставлен"/>
    <d v="2023-11-12T00:00:00"/>
    <x v="17"/>
    <s v="Витамины"/>
    <s v="LEX-23151"/>
    <x v="7"/>
    <x v="17"/>
    <n v="20.69"/>
    <n v="-4.55"/>
    <n v="-0.30600056877429138"/>
    <n v="-2.1742648128103169E-15"/>
    <n v="0.50933372310006197"/>
    <n v="1718.2979988624513"/>
    <n v="2700"/>
    <x v="361"/>
    <s v="&lt;Клиент не выбран&gt;"/>
    <s v="2024 01"/>
    <n v="981.70200113754868"/>
    <n v="0.57132232115003079"/>
  </r>
  <r>
    <s v="521930127"/>
    <s v="700000999293"/>
    <s v="iHerb_MH DLE7202"/>
    <s v="Доставлен"/>
    <d v="2023-11-12T00:00:00"/>
    <x v="17"/>
    <s v="Витамины"/>
    <s v="NOW-00140"/>
    <x v="3"/>
    <x v="259"/>
    <n v="7.87"/>
    <n v="-1.73"/>
    <n v="-0.11640913830694853"/>
    <n v="-8.2713667600095087E-16"/>
    <n v="0.19376140395504216"/>
    <n v="653.67718172338607"/>
    <n v="1500"/>
    <x v="508"/>
    <s v="&lt;Клиент не выбран&gt;"/>
    <s v="2024 01"/>
    <n v="846.32281827661393"/>
    <n v="1.2947106644373414"/>
  </r>
  <r>
    <s v="521930127"/>
    <s v="700000999293"/>
    <s v="iHerb_MH DLE7202"/>
    <s v="Доставлен"/>
    <d v="2023-11-12T00:00:00"/>
    <x v="17"/>
    <s v="Витамины"/>
    <s v="NOW-00140"/>
    <x v="3"/>
    <x v="259"/>
    <n v="7.87"/>
    <n v="-1.73"/>
    <n v="-0.11640913830694853"/>
    <n v="-8.2713667600095087E-16"/>
    <n v="0.19376140395504216"/>
    <n v="653.67718172338607"/>
    <n v="1500"/>
    <x v="483"/>
    <s v="&lt;Клиент не выбран&gt;"/>
    <s v="2024 03"/>
    <n v="846.32281827661393"/>
    <n v="1.2947106644373414"/>
  </r>
  <r>
    <s v="521930127"/>
    <s v="700000999293"/>
    <s v="iHerb_MH DLE7202"/>
    <s v="Доставлен"/>
    <d v="2023-11-12T00:00:00"/>
    <x v="17"/>
    <s v="Витамины"/>
    <s v="NFS-02605"/>
    <x v="23"/>
    <x v="898"/>
    <n v="13.87"/>
    <n v="-3.05"/>
    <n v="-0.20513792776566497"/>
    <n v="-1.4575926440277341E-15"/>
    <n v="0.34144924931491138"/>
    <n v="1151.9197241444683"/>
    <n v="1900"/>
    <x v="441"/>
    <s v="&lt;Клиент не выбран&gt;"/>
    <s v="2024 11"/>
    <n v="748.08027585553168"/>
    <n v="0.64942049361220155"/>
  </r>
  <r>
    <s v="521930127"/>
    <s v="700000999293"/>
    <s v="iHerb_MH DLE7202"/>
    <s v="Доставлен"/>
    <d v="2023-11-12T00:00:00"/>
    <x v="17"/>
    <s v="Витамины"/>
    <s v="CGN-02108"/>
    <x v="1"/>
    <x v="899"/>
    <n v="17.190000000000001"/>
    <n v="-8.6"/>
    <n v="-0.16285903877144756"/>
    <n v="-1.1571830695192457E-15"/>
    <n v="0.27107662214557204"/>
    <n v="914.50928192245703"/>
    <n v="2100"/>
    <x v="433"/>
    <s v="&lt;Клиент не выбран&gt;"/>
    <s v="2024 02"/>
    <n v="1185.4907180775431"/>
    <n v="1.2963134891156447"/>
  </r>
  <r>
    <s v="521930127"/>
    <s v="700000999293"/>
    <s v="iHerb_MH DLE7202"/>
    <s v="Доставлен"/>
    <d v="2023-11-12T00:00:00"/>
    <x v="17"/>
    <s v="Витамины"/>
    <s v="NBC-00120"/>
    <x v="8"/>
    <x v="900"/>
    <n v="14.39"/>
    <n v="-3.16"/>
    <n v="-0.21291117641482604"/>
    <n v="-1.5128248976369182E-15"/>
    <n v="0.35438771439985722"/>
    <n v="1195.5691776471704"/>
    <n v="2200"/>
    <x v="230"/>
    <s v="&lt;Клиент не выбран&gt;"/>
    <s v="2023 12"/>
    <n v="1004.4308223528296"/>
    <n v="0.84012773257462781"/>
  </r>
  <r>
    <s v="521930127"/>
    <s v="700000999293"/>
    <s v="iHerb_MH DLE7202"/>
    <s v="Доставлен"/>
    <d v="2023-11-12T00:00:00"/>
    <x v="17"/>
    <s v="Витамины"/>
    <s v="NOW-02644"/>
    <x v="3"/>
    <x v="21"/>
    <n v="23"/>
    <n v="-5.0549999999999997"/>
    <n v="-0.34022182197364675"/>
    <n v="-2.4174214415044073E-15"/>
    <n v="0.56629452670573799"/>
    <n v="1910.4620563560527"/>
    <n v="3000"/>
    <x v="422"/>
    <s v="&lt;Клиент не выбран&gt;"/>
    <s v="2024 01"/>
    <n v="1089.5379436439473"/>
    <n v="0.57030075003012271"/>
  </r>
  <r>
    <s v="521930127"/>
    <s v="700000999293"/>
    <s v="iHerb_MH DLE7202"/>
    <s v="Доставлен"/>
    <d v="2023-11-12T00:00:00"/>
    <x v="17"/>
    <s v="Витамины"/>
    <s v="NOW-02644"/>
    <x v="3"/>
    <x v="21"/>
    <n v="23"/>
    <n v="-5.0549999999999997"/>
    <n v="-0.34022182197364675"/>
    <n v="-2.4174214415044073E-15"/>
    <n v="0.56629452670573799"/>
    <n v="1910.4620563560527"/>
    <n v="2900"/>
    <x v="322"/>
    <s v="&lt;Клиент не выбран&gt;"/>
    <s v="2024 01"/>
    <n v="989.5379436439473"/>
    <n v="0.51795739169578525"/>
  </r>
  <r>
    <s v="521930127"/>
    <s v="700000999293"/>
    <s v="iHerb_MH DLE7202"/>
    <s v="Доставлен"/>
    <d v="2023-11-12T00:00:00"/>
    <x v="17"/>
    <s v="Витамины"/>
    <s v="EVL-02907"/>
    <x v="125"/>
    <x v="896"/>
    <n v="13.53"/>
    <n v="-2.97"/>
    <n v="-0.20020855057351403"/>
    <n v="-1.4225673124706903E-15"/>
    <n v="0.33324436901714088"/>
    <n v="1124.2395828988526"/>
    <m/>
    <x v="20"/>
    <m/>
    <s v=""/>
    <n v="-1124.2395828988526"/>
    <s v=""/>
  </r>
  <r>
    <s v="521930127"/>
    <s v="700000999293"/>
    <s v="iHerb_MH DLE7202"/>
    <s v="Доставлен"/>
    <d v="2023-11-12T00:00:00"/>
    <x v="17"/>
    <s v="Витамины"/>
    <s v="NOW-02008"/>
    <x v="3"/>
    <x v="648"/>
    <n v="22.72"/>
    <n v="-4.99"/>
    <n v="-0.33614560621859885"/>
    <n v="-2.3884581865630057E-15"/>
    <n v="0.55950972184411996"/>
    <n v="1887.5727087875621"/>
    <n v="2800"/>
    <x v="484"/>
    <s v="&lt;Клиент не выбран&gt;"/>
    <s v="2023 12"/>
    <n v="912.42729121243792"/>
    <n v="0.48338656676092445"/>
  </r>
  <r>
    <s v="521732791"/>
    <s v="700000985668"/>
    <s v="iHerb_OA CZN6870"/>
    <s v="Доставлен"/>
    <d v="2023-11-05T00:00:00"/>
    <x v="17"/>
    <s v="Витамины"/>
    <s v="SWV-01852"/>
    <x v="89"/>
    <x v="901"/>
    <n v="5.96"/>
    <n v="-0.6"/>
    <n v="-0.42429826092014183"/>
    <n v="-1.7721207764434998E-15"/>
    <n v="0.20450584144488038"/>
    <n v="548.51196649799317"/>
    <n v="950"/>
    <x v="363"/>
    <s v="&lt;Клиент не выбран&gt;"/>
    <s v="2023 12"/>
    <n v="401.48803350200683"/>
    <n v="0.73195856795127134"/>
  </r>
  <r>
    <s v="521732791"/>
    <s v="700000985668"/>
    <s v="iHerb_OA CZN6870"/>
    <s v="Доставлен"/>
    <d v="2023-11-05T00:00:00"/>
    <x v="17"/>
    <s v="Витамины"/>
    <s v="NLI-00117"/>
    <x v="158"/>
    <x v="603"/>
    <n v="7.19"/>
    <n v="-0.72"/>
    <n v="-0.5121659977897981"/>
    <n v="-2.1391084745502693E-15"/>
    <n v="0.24685686457992087"/>
    <n v="662.10306403768959"/>
    <n v="1050"/>
    <x v="363"/>
    <s v="&lt;Клиент не выбран&gt;"/>
    <s v="2023 12"/>
    <n v="387.89693596231041"/>
    <n v="0.58585582370938816"/>
  </r>
  <r>
    <s v="521732791"/>
    <s v="700000985668"/>
    <s v="iHerb_OA CZN6870"/>
    <s v="Доставлен"/>
    <d v="2023-11-05T00:00:00"/>
    <x v="17"/>
    <s v="Витамины"/>
    <s v="CEN-21377"/>
    <x v="2"/>
    <x v="902"/>
    <n v="4.91"/>
    <n v="-0.49"/>
    <n v="-0.34988774501250502"/>
    <n v="-1.4613384014701994E-15"/>
    <n v="0.16864101104223345"/>
    <n v="452.31770371662873"/>
    <n v="850"/>
    <x v="363"/>
    <s v="&lt;Клиент не выбран&gt;"/>
    <s v="2023 12"/>
    <n v="397.68229628337127"/>
    <n v="0.87921010611716888"/>
  </r>
  <r>
    <s v="521732791"/>
    <s v="700000985668"/>
    <s v="iHerb_OA CZN6870"/>
    <s v="Доставлен"/>
    <d v="2023-11-05T00:00:00"/>
    <x v="17"/>
    <s v="Витамины"/>
    <s v="LEX-17539"/>
    <x v="7"/>
    <x v="903"/>
    <n v="4.6399999999999997"/>
    <n v="-0.46"/>
    <n v="-0.3308893154190658"/>
    <n v="-1.3819897099876546E-15"/>
    <n v="0.15948403306708955"/>
    <n v="427.75746641074841"/>
    <n v="800"/>
    <x v="363"/>
    <s v="&lt;Клиент не выбран&gt;"/>
    <s v="2023 12"/>
    <n v="372.24253358925159"/>
    <n v="0.87021867020273269"/>
  </r>
  <r>
    <s v="521732791"/>
    <s v="700000985668"/>
    <s v="iHerb_OA CZN6870"/>
    <s v="Доставлен"/>
    <d v="2023-11-05T00:00:00"/>
    <x v="17"/>
    <s v="Витамины"/>
    <s v="CAR-01540"/>
    <x v="154"/>
    <x v="904"/>
    <n v="24.53"/>
    <n v="-2.4500000000000002"/>
    <n v="-1.7478555225964052"/>
    <n v="-7.3000796163941193E-15"/>
    <n v="0.8424419737132387"/>
    <n v="2259.541832140987"/>
    <n v="3100"/>
    <x v="136"/>
    <s v="&lt;Клиент не выбран&gt;"/>
    <s v="2023 12"/>
    <n v="840.45816785901297"/>
    <n v="0.37195955211090398"/>
  </r>
  <r>
    <s v="521732791"/>
    <s v="700000985668"/>
    <s v="iHerb_OA CZN6870"/>
    <s v="Доставлен"/>
    <d v="2023-11-05T00:00:00"/>
    <x v="17"/>
    <s v="Витамины"/>
    <s v="NOW-00169"/>
    <x v="3"/>
    <x v="905"/>
    <n v="22.6"/>
    <n v="-2.2599999999999998"/>
    <n v="-1.6101169080439712"/>
    <n v="-6.7248016031456693E-15"/>
    <n v="0.77605388339344539"/>
    <n v="2081.4801116733552"/>
    <n v="2900"/>
    <x v="136"/>
    <s v="&lt;Клиент не выбран&gt;"/>
    <s v="2023 12"/>
    <n v="818.51988832664483"/>
    <n v="0.39323935104458707"/>
  </r>
  <r>
    <s v="521732791"/>
    <s v="700000985668"/>
    <s v="iHerb_OA CZN6870"/>
    <s v="Доставлен"/>
    <d v="2023-11-05T00:00:00"/>
    <x v="17"/>
    <s v="Витамины"/>
    <s v="LEX-23176"/>
    <x v="7"/>
    <x v="123"/>
    <n v="12.76"/>
    <n v="-2.81"/>
    <n v="-0.78764322689466615"/>
    <n v="-3.2896645010471682E-15"/>
    <n v="0.37963304521950736"/>
    <n v="1018.2265049729536"/>
    <n v="1700"/>
    <x v="509"/>
    <s v="&lt;Клиент не выбран&gt;"/>
    <s v="2024 10"/>
    <n v="681.77349502704635"/>
    <n v="0.66956958171615832"/>
  </r>
  <r>
    <s v="521732791"/>
    <s v="700000985668"/>
    <s v="iHerb_OA CZN6870"/>
    <s v="Доставлен"/>
    <d v="2023-11-05T00:00:00"/>
    <x v="17"/>
    <s v="Витамины"/>
    <s v="NAP-29982"/>
    <x v="11"/>
    <x v="393"/>
    <n v="26.99"/>
    <n v="-5.94"/>
    <n v="-1.6663205955912284"/>
    <n v="-6.9595414821148627E-15"/>
    <n v="0.80314327656991258"/>
    <n v="2154.1374803699173"/>
    <n v="3500"/>
    <x v="438"/>
    <s v="&lt;Клиент не выбран&gt;"/>
    <s v="2024 01"/>
    <n v="1345.8625196300827"/>
    <n v="0.62478023426757601"/>
  </r>
  <r>
    <s v="521732791"/>
    <s v="700000985668"/>
    <s v="iHerb_OA CZN6870"/>
    <s v="Доставлен"/>
    <d v="2023-11-05T00:00:00"/>
    <x v="17"/>
    <s v="Витамины"/>
    <s v="NOW-02644"/>
    <x v="3"/>
    <x v="21"/>
    <n v="23"/>
    <n v="-4.5999999999999996"/>
    <n v="-1.4565462688303374"/>
    <n v="-6.0833996803284315E-15"/>
    <n v="0.70203497809436533"/>
    <n v="1882.9515267841552"/>
    <n v="3000"/>
    <x v="361"/>
    <s v="&lt;Клиент не выбран&gt;"/>
    <s v="2024 01"/>
    <n v="1117.0484732158448"/>
    <n v="0.59324335083846969"/>
  </r>
  <r>
    <s v="521732791"/>
    <s v="700000985668"/>
    <s v="iHerb_OA CZN6870"/>
    <s v="Доставлен"/>
    <d v="2023-11-05T00:00:00"/>
    <x v="17"/>
    <s v="Витамины"/>
    <s v="NOW-02644"/>
    <x v="3"/>
    <x v="21"/>
    <n v="23"/>
    <n v="-4.5999999999999996"/>
    <n v="-1.4565462688303374"/>
    <n v="-6.0833996803284315E-15"/>
    <n v="0.70203497809436533"/>
    <n v="1882.9515267841552"/>
    <n v="3000"/>
    <x v="382"/>
    <s v="&lt;Клиент не выбран&gt;"/>
    <s v="2024 01"/>
    <n v="1117.0484732158448"/>
    <n v="0.59324335083846969"/>
  </r>
  <r>
    <s v="521732791"/>
    <s v="700000985668"/>
    <s v="iHerb_OA CZN6870"/>
    <s v="Доставлен"/>
    <d v="2023-11-05T00:00:00"/>
    <x v="17"/>
    <s v="Спортпит"/>
    <s v="FOA-66010"/>
    <x v="171"/>
    <x v="906"/>
    <n v="25.84"/>
    <n v="-12.92"/>
    <n v="-1.0227487931134762"/>
    <n v="-4.2716045581436598E-15"/>
    <n v="0.4929506476619131"/>
    <n v="1322.1594416332225"/>
    <n v="3000"/>
    <x v="510"/>
    <s v="&lt;Клиент не выбран&gt;"/>
    <s v="2024 05"/>
    <n v="1677.8405583667775"/>
    <n v="1.269015298407727"/>
  </r>
  <r>
    <s v="521732791"/>
    <s v="700000985668"/>
    <s v="iHerb_OA CZN6870"/>
    <s v="Доставлен"/>
    <d v="2023-11-05T00:00:00"/>
    <x v="17"/>
    <s v="Витамины"/>
    <s v="JRW-29065"/>
    <x v="21"/>
    <x v="907"/>
    <n v="26.4"/>
    <n v="-2.64"/>
    <n v="-1.8808445297504792"/>
    <n v="-7.8555204567719301E-15"/>
    <n v="0.9065408195392457"/>
    <n v="2431.4634932821486"/>
    <n v="3300"/>
    <x v="136"/>
    <s v="&lt;Клиент не выбран&gt;"/>
    <s v="2023 12"/>
    <n v="868.53650671785135"/>
    <n v="0.35720729886239988"/>
  </r>
  <r>
    <s v="521732791"/>
    <s v="700000985668"/>
    <s v="iHerb_OA CZN6870"/>
    <s v="Доставлен"/>
    <d v="2023-11-05T00:00:00"/>
    <x v="17"/>
    <s v="Косметика"/>
    <s v="LAG-96969"/>
    <x v="218"/>
    <x v="908"/>
    <n v="5.1100000000000003"/>
    <n v="-0.51"/>
    <n v="-0.36413656720758442"/>
    <n v="-1.5208499200821081E-15"/>
    <n v="0.17550874452359139"/>
    <n v="470.73788169603893"/>
    <m/>
    <x v="20"/>
    <m/>
    <s v=""/>
    <n v="-470.73788169603893"/>
    <s v=""/>
  </r>
  <r>
    <s v="522016309"/>
    <s v="710002051778"/>
    <s v="iHerb_OA CZN6870"/>
    <s v="Доставлен"/>
    <d v="2023-11-14T00:00:00"/>
    <x v="17"/>
    <s v="Витамины"/>
    <s v="CGN-01598"/>
    <x v="1"/>
    <x v="909"/>
    <n v="27.95"/>
    <n v="-8.3866666666666667"/>
    <n v="-1.5250946618160219"/>
    <n v="0"/>
    <n v="2.3074740249925441"/>
    <n v="2151.5570698146357"/>
    <n v="3200"/>
    <x v="361"/>
    <s v="&lt;Клиент не выбран&gt;"/>
    <s v="2024 01"/>
    <n v="1048.4429301853643"/>
    <n v="0.48729496646616555"/>
  </r>
  <r>
    <s v="522016309"/>
    <s v="710002051778"/>
    <s v="iHerb_OA CZN6870"/>
    <s v="Доставлен"/>
    <d v="2023-11-14T00:00:00"/>
    <x v="17"/>
    <s v="Витамины"/>
    <s v="CGN-01598"/>
    <x v="1"/>
    <x v="909"/>
    <n v="27.95"/>
    <n v="-8.3866666666666667"/>
    <n v="-1.5250946618160219"/>
    <n v="0"/>
    <n v="2.3074740249925441"/>
    <n v="2151.5570698146357"/>
    <n v="3400"/>
    <x v="361"/>
    <s v="&lt;Клиент не выбран&gt;"/>
    <s v="2024 01"/>
    <n v="1248.4429301853643"/>
    <n v="0.58025090187030082"/>
  </r>
  <r>
    <s v="522016309"/>
    <s v="710002051778"/>
    <s v="iHerb_OA CZN6870"/>
    <s v="Доставлен"/>
    <d v="2023-11-14T00:00:00"/>
    <x v="17"/>
    <s v="Витамины"/>
    <s v="CGN-01598"/>
    <x v="1"/>
    <x v="909"/>
    <n v="27.95"/>
    <n v="-8.3866666666666667"/>
    <n v="-1.5250946618160219"/>
    <n v="0"/>
    <n v="2.3074740249925441"/>
    <n v="2151.5570698146357"/>
    <n v="2151.56"/>
    <x v="361"/>
    <s v="&lt;Клиент не выбран&gt;"/>
    <s v="2024 01"/>
    <n v="2.9301853642209608E-3"/>
    <n v="1.361890607193332E-6"/>
  </r>
  <r>
    <s v="522016309"/>
    <s v="710002051778"/>
    <s v="iHerb_OA CZN6870"/>
    <s v="Доставлен"/>
    <d v="2023-11-14T00:00:00"/>
    <x v="17"/>
    <s v="Витамины"/>
    <s v="CGN-01597"/>
    <x v="1"/>
    <x v="910"/>
    <n v="20.8"/>
    <n v="-6.24"/>
    <n v="-1.1350508575246863"/>
    <n v="0"/>
    <n v="1.7173362653207416"/>
    <n v="1601.2951577696936"/>
    <n v="2500"/>
    <x v="387"/>
    <s v="&lt;Клиент не выбран&gt;"/>
    <s v="2024 02"/>
    <n v="898.70484223030644"/>
    <n v="0.56123622048669353"/>
  </r>
  <r>
    <s v="522016309"/>
    <s v="710002051778"/>
    <s v="iHerb_OA CZN6870"/>
    <s v="Доставлен"/>
    <d v="2023-11-14T00:00:00"/>
    <x v="17"/>
    <s v="Витамины"/>
    <s v="CGN-00963"/>
    <x v="1"/>
    <x v="911"/>
    <n v="11.68"/>
    <n v="-3.5049999999999999"/>
    <n v="-0.63729675551265874"/>
    <n v="0"/>
    <n v="0.96423241545309524"/>
    <n v="899.07884029994818"/>
    <n v="1700"/>
    <x v="500"/>
    <s v="&lt;Клиент не выбран&gt;"/>
    <s v="2024 01"/>
    <n v="800.92115970005182"/>
    <n v="0.8908241678036275"/>
  </r>
  <r>
    <s v="522016309"/>
    <s v="710002051778"/>
    <s v="iHerb_OA CZN6870"/>
    <s v="Доставлен"/>
    <d v="2023-11-14T00:00:00"/>
    <x v="17"/>
    <s v="Витамины"/>
    <s v="CGN-00963"/>
    <x v="1"/>
    <x v="911"/>
    <n v="11.68"/>
    <n v="-3.5049999999999999"/>
    <n v="-0.63729675551265874"/>
    <n v="0"/>
    <n v="0.96423241545309524"/>
    <n v="899.07884029994818"/>
    <n v="1700"/>
    <x v="500"/>
    <s v="&lt;Клиент не выбран&gt;"/>
    <s v="2024 01"/>
    <n v="800.92115970005182"/>
    <n v="0.8908241678036275"/>
  </r>
  <r>
    <s v="522016309"/>
    <s v="710002051778"/>
    <s v="iHerb_OA CZN6870"/>
    <s v="Доставлен"/>
    <d v="2023-11-14T00:00:00"/>
    <x v="17"/>
    <s v="Витамины"/>
    <s v="CGN-01330"/>
    <x v="1"/>
    <x v="89"/>
    <n v="23.36"/>
    <n v="-7.01"/>
    <n v="-1.2745935110253175"/>
    <n v="0"/>
    <n v="1.9284648309061905"/>
    <n v="1798.1576805998964"/>
    <n v="2300"/>
    <x v="442"/>
    <s v="&lt;Клиент не выбран&gt;"/>
    <s v="2024 11"/>
    <n v="501.84231940010363"/>
    <n v="0.27908693704363036"/>
  </r>
  <r>
    <s v="522016309"/>
    <s v="710002051778"/>
    <s v="iHerb_OA CZN6870"/>
    <s v="Доставлен"/>
    <d v="2023-11-14T00:00:00"/>
    <x v="17"/>
    <s v="Витамины"/>
    <s v="CGN-01255"/>
    <x v="1"/>
    <x v="912"/>
    <n v="15.62"/>
    <n v="-4.6849999999999996"/>
    <n v="-0.85245749498849199"/>
    <n v="0"/>
    <n v="1.2897714327803784"/>
    <n v="1202.6210542727745"/>
    <n v="2200"/>
    <x v="425"/>
    <s v="&lt;Клиент не выбран&gt;"/>
    <s v="2024 03"/>
    <n v="997.37894572722553"/>
    <n v="0.82933767223154187"/>
  </r>
  <r>
    <s v="522016309"/>
    <s v="710002051778"/>
    <s v="iHerb_OA CZN6870"/>
    <s v="Доставлен"/>
    <d v="2023-11-14T00:00:00"/>
    <x v="17"/>
    <s v="Витамины"/>
    <s v="CGN-01255"/>
    <x v="1"/>
    <x v="912"/>
    <n v="15.62"/>
    <n v="-4.6849999999999996"/>
    <n v="-0.85245749498849199"/>
    <n v="0"/>
    <n v="1.2897714327803784"/>
    <n v="1202.6210542727745"/>
    <n v="2300"/>
    <x v="489"/>
    <s v="&lt;Клиент не выбран&gt;"/>
    <s v="2024 12"/>
    <n v="1097.3789457272255"/>
    <n v="0.91248938460570284"/>
  </r>
  <r>
    <s v="522016309"/>
    <s v="710002051778"/>
    <s v="iHerb_OA CZN6870"/>
    <s v="Доставлен"/>
    <d v="2023-11-14T00:00:00"/>
    <x v="17"/>
    <s v="Витамины"/>
    <s v="CGN-01132"/>
    <x v="1"/>
    <x v="913"/>
    <n v="9.81"/>
    <n v="-2.94"/>
    <n v="-0.53556314499962887"/>
    <n v="0"/>
    <n v="0.81030907573856437"/>
    <n v="755.55616304105729"/>
    <n v="1500"/>
    <x v="216"/>
    <s v="&lt;Клиент не выбран&gt;"/>
    <s v="2024 05"/>
    <n v="744.44383695894271"/>
    <n v="0.98529252142238066"/>
  </r>
  <r>
    <s v="522131048"/>
    <s v="720000014985"/>
    <s v="iHerb_OA CZN6870"/>
    <s v="Доставлен"/>
    <d v="2023-11-20T00:00:00"/>
    <x v="17"/>
    <s v="Витамины"/>
    <s v="NOW-00474"/>
    <x v="3"/>
    <x v="114"/>
    <n v="10.98"/>
    <n v="-2.415"/>
    <n v="-0.21022532030828137"/>
    <n v="-1.1949925937431168E-15"/>
    <n v="0.6885489163750913"/>
    <n v="927.72139536596126"/>
    <n v="1600"/>
    <x v="511"/>
    <s v="&lt;Клиент не выбран&gt;"/>
    <s v="2024 07"/>
    <n v="672.27860463403874"/>
    <n v="0.72465570805213864"/>
  </r>
  <r>
    <s v="522131048"/>
    <s v="720000014985"/>
    <s v="iHerb_OA CZN6870"/>
    <s v="Доставлен"/>
    <d v="2023-11-20T00:00:00"/>
    <x v="17"/>
    <s v="Витамины"/>
    <s v="NOW-00474"/>
    <x v="3"/>
    <x v="114"/>
    <n v="10.98"/>
    <n v="-2.415"/>
    <n v="-0.21022532030828137"/>
    <n v="-1.1949925937431168E-15"/>
    <n v="0.6885489163750913"/>
    <n v="927.72139536596126"/>
    <n v="1500"/>
    <x v="26"/>
    <s v="&lt;Клиент не выбран&gt;"/>
    <s v="2024 08"/>
    <n v="572.27860463403874"/>
    <n v="0.61686472629888001"/>
  </r>
  <r>
    <s v="522131048"/>
    <s v="720000014985"/>
    <s v="iHerb_OA CZN6870"/>
    <s v="Доставлен"/>
    <d v="2023-11-20T00:00:00"/>
    <x v="17"/>
    <s v="Витамины"/>
    <s v="AMN-02931"/>
    <x v="219"/>
    <x v="914"/>
    <n v="24"/>
    <n v="-5.28"/>
    <n v="-0.45947670708359911"/>
    <n v="-2.611822691753782E-15"/>
    <n v="1.5049195230054531"/>
    <n v="2027.6642756860233"/>
    <n v="3300"/>
    <x v="508"/>
    <s v="&lt;Клиент не выбран&gt;"/>
    <s v="2024 01"/>
    <n v="1272.3357243139767"/>
    <n v="0.62748835671206227"/>
  </r>
  <r>
    <s v="522131048"/>
    <s v="720000014985"/>
    <s v="iHerb_OA CZN6870"/>
    <s v="Доставлен"/>
    <d v="2023-11-20T00:00:00"/>
    <x v="17"/>
    <s v="Витамины"/>
    <s v="AMN-02931"/>
    <x v="219"/>
    <x v="914"/>
    <n v="24"/>
    <n v="-5.28"/>
    <n v="-0.45947670708359911"/>
    <n v="-2.611822691753782E-15"/>
    <n v="1.5049195230054531"/>
    <n v="2027.6642756860233"/>
    <n v="3300"/>
    <x v="391"/>
    <s v="&lt;Клиент не выбран&gt;"/>
    <s v="2024 01"/>
    <n v="1272.3357243139767"/>
    <n v="0.62748835671206227"/>
  </r>
  <r>
    <s v="522131048"/>
    <s v="720000014985"/>
    <s v="iHerb_OA CZN6870"/>
    <s v="Доставлен"/>
    <d v="2023-11-20T00:00:00"/>
    <x v="17"/>
    <s v="Витамины"/>
    <s v="NFS-04913"/>
    <x v="23"/>
    <x v="104"/>
    <n v="17.84"/>
    <n v="-3.92"/>
    <n v="-0.34166216680575318"/>
    <n v="-1.9421245656630688E-15"/>
    <n v="1.119042722234824"/>
    <n v="1507.7503588434536"/>
    <n v="2800"/>
    <x v="469"/>
    <s v="&lt;Клиент не выбран&gt;"/>
    <s v="2024 08"/>
    <n v="1292.2496411565464"/>
    <n v="0.8570713537404091"/>
  </r>
  <r>
    <s v="522131048"/>
    <s v="720000014985"/>
    <s v="iHerb_OA CZN6870"/>
    <s v="Доставлен"/>
    <d v="2023-11-20T00:00:00"/>
    <x v="17"/>
    <s v="Витамины"/>
    <s v="LEX-70010"/>
    <x v="7"/>
    <x v="915"/>
    <n v="19.8"/>
    <n v="-4.3600000000000003"/>
    <n v="-0.37897010456040442"/>
    <n v="-2.1541956389251279E-15"/>
    <n v="1.2412370424788568"/>
    <n v="1672.389765843601"/>
    <m/>
    <x v="20"/>
    <m/>
    <s v=""/>
    <n v="-1672.389765843601"/>
    <s v=""/>
  </r>
  <r>
    <s v="522131048"/>
    <s v="720000014985"/>
    <s v="iHerb_OA CZN6870"/>
    <s v="Доставлен"/>
    <d v="2023-11-20T00:00:00"/>
    <x v="17"/>
    <s v="Витамины"/>
    <s v="NOW-04605"/>
    <x v="3"/>
    <x v="916"/>
    <n v="9.18"/>
    <n v="-0.92"/>
    <n v="-0.20273918806145988"/>
    <n v="-1.1524388586477692E-15"/>
    <n v="0.66402966132612407"/>
    <n v="894.68519856658952"/>
    <n v="1500"/>
    <x v="438"/>
    <s v="&lt;Клиент не выбран&gt;"/>
    <s v="2024 01"/>
    <n v="605.31480143341048"/>
    <n v="0.67656735844429883"/>
  </r>
  <r>
    <s v="522131048"/>
    <s v="720000014985"/>
    <s v="iHerb_OA CZN6870"/>
    <s v="Доставлен"/>
    <d v="2023-11-20T00:00:00"/>
    <x v="17"/>
    <s v="Витамины"/>
    <s v="RSP-00661"/>
    <x v="52"/>
    <x v="917"/>
    <n v="15.56"/>
    <n v="-3.42"/>
    <n v="-0.29797260811938536"/>
    <n v="-1.6937781772377625E-15"/>
    <n v="0.97594674194904918"/>
    <n v="1314.9489480143336"/>
    <n v="2300"/>
    <x v="508"/>
    <s v="&lt;Клиент не выбран&gt;"/>
    <s v="2024 01"/>
    <n v="985.05105198566639"/>
    <n v="0.74911733529515612"/>
  </r>
  <r>
    <s v="522131048"/>
    <s v="720000014985"/>
    <s v="iHerb_OA CZN6870"/>
    <s v="Доставлен"/>
    <d v="2023-11-20T00:00:00"/>
    <x v="17"/>
    <s v="Витамины"/>
    <s v="PMF-02105"/>
    <x v="220"/>
    <x v="918"/>
    <n v="16.73"/>
    <n v="-3.68"/>
    <n v="-0.32030828138039363"/>
    <n v="-1.8207417803091271E-15"/>
    <n v="1.0491025520951476"/>
    <n v="1413.5159614157378"/>
    <n v="2400"/>
    <x v="442"/>
    <s v="&lt;Клиент не выбран&gt;"/>
    <s v="2024 11"/>
    <n v="986.48403858426218"/>
    <n v="0.69789380913408827"/>
  </r>
  <r>
    <s v="522131048"/>
    <s v="720000014985"/>
    <s v="iHerb_OA CZN6870"/>
    <s v="Доставлен"/>
    <d v="2023-11-20T00:00:00"/>
    <x v="17"/>
    <s v="Витамины"/>
    <s v="NWY-60192"/>
    <x v="16"/>
    <x v="919"/>
    <n v="15.68"/>
    <n v="-3.45"/>
    <n v="-0.30018163074959497"/>
    <n v="-1.7063350171019634E-15"/>
    <n v="0.98318193196349857"/>
    <n v="1324.6973339551321"/>
    <n v="2200"/>
    <x v="512"/>
    <s v="&lt;Клиент не выбран&gt;"/>
    <s v="2024 07"/>
    <n v="875.30266604486792"/>
    <n v="0.66075672050421341"/>
  </r>
  <r>
    <s v="522131048"/>
    <s v="720000014985"/>
    <s v="iHerb_OA CZN6870"/>
    <s v="Доставлен"/>
    <d v="2023-11-20T00:00:00"/>
    <x v="17"/>
    <s v="Витамины"/>
    <s v="NWY-60192"/>
    <x v="16"/>
    <x v="919"/>
    <n v="15.68"/>
    <n v="-3.45"/>
    <n v="-0.30018163074959497"/>
    <n v="-1.7063350171019634E-15"/>
    <n v="0.98318193196349857"/>
    <n v="1324.6973339551321"/>
    <n v="2300"/>
    <x v="513"/>
    <s v="&lt;Клиент не выбран&gt;"/>
    <s v="2025 02"/>
    <n v="975.30266604486792"/>
    <n v="0.73624566234531408"/>
  </r>
  <r>
    <s v="522131048"/>
    <s v="720000014985"/>
    <s v="iHerb_OA CZN6870"/>
    <s v="Доставлен"/>
    <d v="2023-11-20T00:00:00"/>
    <x v="17"/>
    <s v="Витамины"/>
    <s v="NWY-14926"/>
    <x v="16"/>
    <x v="920"/>
    <n v="20.46"/>
    <n v="-4.5"/>
    <n v="-0.39173334642383778"/>
    <n v="-2.2267462692516219E-15"/>
    <n v="1.2830403625623414"/>
    <n v="1728.713773501546"/>
    <n v="2500"/>
    <x v="391"/>
    <s v="&lt;Клиент не выбран&gt;"/>
    <s v="2024 01"/>
    <n v="771.28622649845397"/>
    <n v="0.44616190275166118"/>
  </r>
  <r>
    <s v="522131048"/>
    <s v="720000014985"/>
    <s v="iHerb_OA CZN6870"/>
    <s v="Доставлен"/>
    <d v="2023-11-20T00:00:00"/>
    <x v="17"/>
    <s v="Витамины"/>
    <s v="NOW-01298"/>
    <x v="3"/>
    <x v="392"/>
    <n v="24.24"/>
    <n v="-5.335"/>
    <n v="-0.46401747582347441"/>
    <n v="-2.6376339736968612E-15"/>
    <n v="1.5197918580351542"/>
    <n v="2047.7026245643308"/>
    <n v="3000"/>
    <x v="308"/>
    <s v="&lt;Клиент не выбран&gt;"/>
    <s v="2024 02"/>
    <n v="952.29737543566921"/>
    <n v="0.46505648037555258"/>
  </r>
  <r>
    <s v="522131048"/>
    <s v="720000014985"/>
    <s v="iHerb_OA CZN6870"/>
    <s v="Доставлен"/>
    <d v="2023-11-20T00:00:00"/>
    <x v="17"/>
    <s v="Витамины"/>
    <s v="NOW-01298"/>
    <x v="3"/>
    <x v="392"/>
    <n v="24.24"/>
    <n v="-5.335"/>
    <n v="-0.46401747582347441"/>
    <n v="-2.6376339736968612E-15"/>
    <n v="1.5197918580351542"/>
    <n v="2047.7026245643308"/>
    <n v="3000"/>
    <x v="190"/>
    <s v="&lt;Клиент не выбран&gt;"/>
    <s v="2024 02"/>
    <n v="952.29737543566921"/>
    <n v="0.46505648037555258"/>
  </r>
  <r>
    <s v="522131048"/>
    <s v="720000014985"/>
    <s v="iHerb_OA CZN6870"/>
    <s v="Доставлен"/>
    <d v="2023-11-20T00:00:00"/>
    <x v="17"/>
    <s v="Спортпит"/>
    <s v="FCD-02890"/>
    <x v="207"/>
    <x v="921"/>
    <n v="20.03"/>
    <n v="-11.93"/>
    <n v="-0.19881203671886505"/>
    <n v="-1.1301155877780789E-15"/>
    <n v="0.65116710130043642"/>
    <n v="877.35473467183738"/>
    <n v="2700"/>
    <x v="308"/>
    <s v="&lt;Клиент не выбран&gt;"/>
    <s v="2024 02"/>
    <n v="1822.6452653281626"/>
    <n v="2.0774325290555344"/>
  </r>
  <r>
    <s v="OZO0041"/>
    <n v="0"/>
    <s v="OZON_OA"/>
    <s v="Доставлен"/>
    <d v="2023-11-24T00:00:00"/>
    <x v="17"/>
    <s v="Косметика"/>
    <s v="615982878"/>
    <x v="213"/>
    <x v="922"/>
    <n v="1765"/>
    <n v="0"/>
    <n v="0"/>
    <n v="0"/>
    <n v="176.5"/>
    <n v="1941.5"/>
    <n v="2600"/>
    <x v="359"/>
    <s v="&lt;Клиент не выбран&gt;"/>
    <s v="2023 12"/>
    <n v="658.5"/>
    <n v="0.33917074426989441"/>
  </r>
  <r>
    <s v="OZO0041"/>
    <n v="0"/>
    <s v="OZON_OA"/>
    <s v="Доставлен"/>
    <d v="2023-11-24T00:00:00"/>
    <x v="17"/>
    <s v="Косметика"/>
    <s v="615982878"/>
    <x v="213"/>
    <x v="922"/>
    <n v="1765"/>
    <n v="0"/>
    <n v="0"/>
    <n v="0"/>
    <n v="176.5"/>
    <n v="1941.5"/>
    <n v="2600"/>
    <x v="359"/>
    <s v="&lt;Клиент не выбран&gt;"/>
    <s v="2023 12"/>
    <n v="658.5"/>
    <n v="0.33917074426989441"/>
  </r>
  <r>
    <s v="WB0172"/>
    <n v="0"/>
    <s v="WBRS"/>
    <s v="Доставлен"/>
    <d v="2023-11-14T00:00:00"/>
    <x v="17"/>
    <s v="Спортпит"/>
    <s v="187613272"/>
    <x v="100"/>
    <x v="923"/>
    <n v="877"/>
    <n v="0"/>
    <n v="0"/>
    <n v="0"/>
    <n v="87.700000000000017"/>
    <n v="964.7"/>
    <n v="1500"/>
    <x v="444"/>
    <s v="&lt;Клиент не выбран&gt;"/>
    <s v="2023 11"/>
    <n v="535.29999999999995"/>
    <n v="0.55488752980201095"/>
  </r>
  <r>
    <s v="522257238"/>
    <s v="720000024990"/>
    <s v="iHerb_AV CYG0792"/>
    <s v="Доставлен"/>
    <d v="2023-11-25T00:00:00"/>
    <x v="17"/>
    <s v="Витамины"/>
    <s v=" NOW00735"/>
    <x v="3"/>
    <x v="924"/>
    <n v="14.97"/>
    <n v="-3.74"/>
    <n v="-0.70929908814589671"/>
    <n v="0"/>
    <n v="0.49757461794397534"/>
    <n v="1118.6674045592704"/>
    <n v="1900"/>
    <x v="500"/>
    <s v="&lt;Клиент не выбран&gt;"/>
    <s v="2024 01"/>
    <n v="781.33259544072962"/>
    <n v="0.69844941602509369"/>
  </r>
  <r>
    <s v="522257238"/>
    <s v="720000024990"/>
    <s v="iHerb_AV CYG0792"/>
    <s v="Доставлен"/>
    <d v="2023-11-25T00:00:00"/>
    <x v="17"/>
    <s v="Витамины"/>
    <s v=" NFS01391"/>
    <x v="23"/>
    <x v="925"/>
    <n v="10.75"/>
    <n v="-2.69"/>
    <n v="-0.50907841945288757"/>
    <n v="0"/>
    <n v="0.35711944974429571"/>
    <n v="802.89040790273555"/>
    <n v="1700"/>
    <x v="514"/>
    <s v="&lt;Клиент не выбран&gt;"/>
    <s v="2024 09"/>
    <n v="897.10959209726445"/>
    <n v="1.1173499935572064"/>
  </r>
  <r>
    <s v="522257238"/>
    <s v="720000024990"/>
    <s v="iHerb_AV CYG0792"/>
    <s v="Доставлен"/>
    <d v="2023-11-25T00:00:00"/>
    <x v="17"/>
    <s v="Витамины"/>
    <s v=" NOW01663"/>
    <x v="3"/>
    <x v="926"/>
    <n v="22.98"/>
    <n v="-5.7450000000000001"/>
    <n v="-1.0885814589665654"/>
    <n v="0"/>
    <n v="0.76364190029068701"/>
    <n v="1716.8506427051668"/>
    <n v="2900"/>
    <x v="384"/>
    <s v="&lt;Клиент не выбран&gt;"/>
    <s v="2024 02"/>
    <n v="1183.1493572948332"/>
    <n v="0.68913936242619001"/>
  </r>
  <r>
    <s v="522257238"/>
    <s v="720000024990"/>
    <s v="iHerb_AV CYG0792"/>
    <s v="Доставлен"/>
    <d v="2023-11-25T00:00:00"/>
    <x v="17"/>
    <s v="Витамины"/>
    <s v=" NOW01663"/>
    <x v="3"/>
    <x v="926"/>
    <n v="22.98"/>
    <n v="-5.7450000000000001"/>
    <n v="-1.0885814589665654"/>
    <n v="0"/>
    <n v="0.76364190029068701"/>
    <n v="1716.8506427051668"/>
    <n v="2900"/>
    <x v="387"/>
    <s v="&lt;Клиент не выбран&gt;"/>
    <s v="2024 02"/>
    <n v="1183.1493572948332"/>
    <n v="0.68913936242619001"/>
  </r>
  <r>
    <s v="522257238"/>
    <s v="720000024990"/>
    <s v="iHerb_AV CYG0792"/>
    <s v="Доставлен"/>
    <d v="2023-11-25T00:00:00"/>
    <x v="17"/>
    <s v="Витамины"/>
    <s v=" NOW00367"/>
    <x v="3"/>
    <x v="927"/>
    <n v="5.48"/>
    <n v="-1.37"/>
    <n v="-0.25959209726443772"/>
    <n v="0"/>
    <n v="0.18210433479516816"/>
    <n v="409.41433951367776"/>
    <n v="900"/>
    <x v="365"/>
    <s v="&lt;Клиент не выбран&gt;"/>
    <s v="2024 02"/>
    <n v="490.58566048632224"/>
    <n v="1.1982620371066233"/>
  </r>
  <r>
    <s v="522257238"/>
    <s v="720000024990"/>
    <s v="iHerb_AV CYG0792"/>
    <s v="Доставлен"/>
    <d v="2023-11-25T00:00:00"/>
    <x v="17"/>
    <s v="Витамины"/>
    <s v=" NOW00367"/>
    <x v="3"/>
    <x v="927"/>
    <n v="5.48"/>
    <n v="-1.37"/>
    <n v="-0.25959209726443772"/>
    <n v="0"/>
    <n v="0.18210433479516816"/>
    <n v="409.41433951367776"/>
    <n v="900"/>
    <x v="365"/>
    <s v="&lt;Клиент не выбран&gt;"/>
    <s v="2024 02"/>
    <n v="490.58566048632224"/>
    <n v="1.1982620371066233"/>
  </r>
  <r>
    <s v="522257238"/>
    <s v="720000024990"/>
    <s v="iHerb_AV CYG0792"/>
    <s v="Доставлен"/>
    <d v="2023-11-25T00:00:00"/>
    <x v="17"/>
    <s v="Витамины"/>
    <s v="NOW-04726"/>
    <x v="3"/>
    <x v="48"/>
    <n v="18.52"/>
    <n v="-4.63"/>
    <n v="-0.87730759878419462"/>
    <n v="0"/>
    <n v="0.61543289788440048"/>
    <n v="1383.641162006079"/>
    <n v="2600"/>
    <x v="322"/>
    <s v="&lt;Клиент не выбран&gt;"/>
    <s v="2024 01"/>
    <n v="1216.358837993921"/>
    <n v="0.87909992228792699"/>
  </r>
  <r>
    <s v="522257238"/>
    <s v="720000024990"/>
    <s v="iHerb_AV CYG0792"/>
    <s v="Доставлен"/>
    <d v="2023-11-25T00:00:00"/>
    <x v="17"/>
    <s v="Витамины"/>
    <s v="NOW-04726"/>
    <x v="3"/>
    <x v="48"/>
    <n v="18.52"/>
    <n v="-4.63"/>
    <n v="-0.87730759878419462"/>
    <n v="0"/>
    <n v="0.61543289788440048"/>
    <n v="1383.641162006079"/>
    <n v="2600"/>
    <x v="382"/>
    <s v="&lt;Клиент не выбран&gt;"/>
    <s v="2024 01"/>
    <n v="1216.358837993921"/>
    <n v="0.87909992228792699"/>
  </r>
  <r>
    <s v="522257238"/>
    <s v="720000024990"/>
    <s v="iHerb_AV CYG0792"/>
    <s v="Доставлен"/>
    <d v="2023-11-25T00:00:00"/>
    <x v="17"/>
    <s v="Витамины"/>
    <s v=" NOW01298"/>
    <x v="3"/>
    <x v="928"/>
    <n v="24.24"/>
    <n v="-6.06"/>
    <n v="-1.1482686930091186"/>
    <n v="0"/>
    <n v="0.80551260500636424"/>
    <n v="1810.9860565349541"/>
    <n v="2800"/>
    <x v="315"/>
    <s v="&lt;Клиент не выбран&gt;"/>
    <s v="2024 04"/>
    <n v="989.01394346504594"/>
    <n v="0.54611902719857131"/>
  </r>
  <r>
    <s v="522257238"/>
    <s v="720000024990"/>
    <s v="iHerb_AV CYG0792"/>
    <s v="Доставлен"/>
    <d v="2023-11-25T00:00:00"/>
    <x v="17"/>
    <s v="Витамины"/>
    <s v=" NOW01296"/>
    <x v="3"/>
    <x v="929"/>
    <n v="29.43"/>
    <n v="-7.36"/>
    <n v="-1.3939653495440731"/>
    <n v="0"/>
    <n v="0.9778692625132267"/>
    <n v="2198.4852732522795"/>
    <n v="3000"/>
    <x v="392"/>
    <s v="&lt;Клиент не выбран&gt;"/>
    <s v="2024 02"/>
    <n v="801.51472674772049"/>
    <n v="0.36457589072771807"/>
  </r>
  <r>
    <s v="522257238"/>
    <s v="720000024990"/>
    <s v="iHerb_AV CYG0792"/>
    <s v="Доставлен"/>
    <d v="2023-11-25T00:00:00"/>
    <x v="17"/>
    <s v="Витамины"/>
    <s v=" NWY15686"/>
    <x v="16"/>
    <x v="930"/>
    <n v="25.16"/>
    <n v="-6.29"/>
    <n v="-1.1918498480243163"/>
    <n v="0"/>
    <n v="0.83608486559241446"/>
    <n v="1879.7198507598785"/>
    <n v="2800"/>
    <x v="309"/>
    <s v="&lt;Клиент не выбран&gt;"/>
    <s v="2024 09"/>
    <n v="920.28014924012155"/>
    <n v="0.48958367326285213"/>
  </r>
  <r>
    <s v="522257238"/>
    <s v="720000024990"/>
    <s v="iHerb_AV CYG0792"/>
    <s v="Доставлен"/>
    <d v="2023-11-25T00:00:00"/>
    <x v="17"/>
    <s v="Витамины"/>
    <s v=" NOW03796"/>
    <x v="3"/>
    <x v="931"/>
    <n v="24.16"/>
    <n v="-6.04"/>
    <n v="-1.1444790273556231"/>
    <n v="0"/>
    <n v="0.80285414756409912"/>
    <n v="1805.0092048632216"/>
    <n v="3000"/>
    <x v="438"/>
    <s v="&lt;Клиент не выбран&gt;"/>
    <s v="2024 01"/>
    <n v="1194.9907951367784"/>
    <n v="0.66204138567112258"/>
  </r>
  <r>
    <s v="522257238"/>
    <s v="720000024990"/>
    <s v="iHerb_AV CYG0792"/>
    <s v="Доставлен"/>
    <d v="2023-11-25T00:00:00"/>
    <x v="17"/>
    <s v="Витамины"/>
    <s v=" NOW04605"/>
    <x v="3"/>
    <x v="932"/>
    <n v="9.18"/>
    <n v="-2.2999999999999998"/>
    <n v="-0.43454832826747719"/>
    <n v="0"/>
    <n v="0.30483645337974624"/>
    <n v="685.34565835866249"/>
    <n v="1500"/>
    <x v="438"/>
    <s v="&lt;Клиент не выбран&gt;"/>
    <s v="2024 01"/>
    <n v="814.65434164133751"/>
    <n v="1.1886765921773794"/>
  </r>
  <r>
    <s v="522257238"/>
    <s v="720000024990"/>
    <s v="iHerb_AV CYG0792"/>
    <s v="Доставлен"/>
    <d v="2023-11-25T00:00:00"/>
    <x v="17"/>
    <s v="Витамины"/>
    <s v=" HRM50004"/>
    <x v="195"/>
    <x v="933"/>
    <n v="14.86"/>
    <n v="-3.72"/>
    <n v="-0.70361458966565349"/>
    <n v="0"/>
    <n v="0.49358693178057739"/>
    <n v="1109.7021270516714"/>
    <n v="2000"/>
    <x v="438"/>
    <s v="&lt;Клиент не выбран&gt;"/>
    <s v="2024 01"/>
    <n v="890.29787294832863"/>
    <n v="0.80228545232559823"/>
  </r>
  <r>
    <s v="522257238"/>
    <s v="720000024990"/>
    <s v="iHerb_AV CYG0792"/>
    <s v="Доставлен"/>
    <d v="2023-11-25T00:00:00"/>
    <x v="17"/>
    <s v="Витамины"/>
    <s v=" NWY15692"/>
    <x v="16"/>
    <x v="934"/>
    <n v="25.13"/>
    <n v="-6.28"/>
    <n v="-1.1905866261398175"/>
    <n v="0"/>
    <n v="0.83519871311165916"/>
    <n v="1877.7275668693003"/>
    <n v="2800"/>
    <x v="314"/>
    <s v="&lt;Клиент не выбран&gt;"/>
    <s v="2024 05"/>
    <n v="922.27243313069971"/>
    <n v="0.49116413339363552"/>
  </r>
  <r>
    <s v="522257238"/>
    <s v="720000024990"/>
    <s v="iHerb_AV CYG0792"/>
    <s v="Доставлен"/>
    <d v="2023-11-25T00:00:00"/>
    <x v="17"/>
    <s v="Витамины"/>
    <s v=" NWY15691"/>
    <x v="16"/>
    <x v="935"/>
    <n v="25.13"/>
    <n v="-6.28"/>
    <n v="-1.1905866261398175"/>
    <n v="0"/>
    <n v="0.83519871311165916"/>
    <n v="1877.7275668693003"/>
    <n v="3000"/>
    <x v="323"/>
    <s v="&lt;Клиент не выбран&gt;"/>
    <s v="2024 01"/>
    <n v="1122.2724331306997"/>
    <n v="0.59767585720746663"/>
  </r>
  <r>
    <s v="522257238"/>
    <s v="720000024990"/>
    <s v="iHerb_AV CYG0792"/>
    <s v="Доставлен"/>
    <d v="2023-11-25T00:00:00"/>
    <x v="17"/>
    <s v="Витамины"/>
    <s v=" NWY14850"/>
    <x v="16"/>
    <x v="936"/>
    <n v="38.81"/>
    <n v="-9.7050000000000001"/>
    <n v="-1.8383036474164138"/>
    <n v="0"/>
    <n v="1.2895733976188248"/>
    <n v="2899.2711317629178"/>
    <n v="4400"/>
    <x v="126"/>
    <s v="&lt;Клиент не выбран&gt;"/>
    <s v="2024 03"/>
    <n v="1500.7288682370822"/>
    <n v="0.51762280933158389"/>
  </r>
  <r>
    <s v="522257238"/>
    <s v="720000024990"/>
    <s v="iHerb_AV CYG0792"/>
    <s v="Доставлен"/>
    <d v="2023-11-25T00:00:00"/>
    <x v="17"/>
    <s v="Витамины"/>
    <s v=" NWY14850"/>
    <x v="16"/>
    <x v="936"/>
    <n v="38.81"/>
    <n v="-9.7050000000000001"/>
    <n v="-1.8383036474164138"/>
    <n v="0"/>
    <n v="1.2895733976188248"/>
    <n v="2899.2711317629178"/>
    <n v="4400"/>
    <x v="126"/>
    <s v="&lt;Клиент не выбран&gt;"/>
    <s v="2024 03"/>
    <n v="1500.7288682370822"/>
    <n v="0.51762280933158389"/>
  </r>
  <r>
    <s v="522257238"/>
    <s v="720000024990"/>
    <s v="iHerb_AV CYG0792"/>
    <s v="Доставлен"/>
    <d v="2023-11-25T00:00:00"/>
    <x v="17"/>
    <s v="Витамины"/>
    <s v=" NOW02644"/>
    <x v="3"/>
    <x v="937"/>
    <n v="23"/>
    <n v="-5.75"/>
    <n v="-1.0895288753799393"/>
    <n v="0"/>
    <n v="0.76430651465125321"/>
    <n v="1718.3448556230999"/>
    <n v="2900"/>
    <x v="265"/>
    <s v="&lt;Клиент не выбран&gt;"/>
    <s v="2024 01"/>
    <n v="1181.6551443769001"/>
    <n v="0.68767054558929774"/>
  </r>
  <r>
    <s v="522257238"/>
    <s v="720000024990"/>
    <s v="iHerb_AV CYG0792"/>
    <s v="Доставлен"/>
    <d v="2023-11-25T00:00:00"/>
    <x v="17"/>
    <s v="Спортпит"/>
    <s v=" MSC60676"/>
    <x v="50"/>
    <x v="938"/>
    <n v="31.09"/>
    <n v="-7.77"/>
    <n v="-1.472916717325228"/>
    <n v="0"/>
    <n v="1.0332537925604188"/>
    <n v="2323.0030164133736"/>
    <n v="3700"/>
    <x v="508"/>
    <s v="&lt;Клиент не выбран&gt;"/>
    <s v="2024 01"/>
    <n v="1376.9969835866264"/>
    <n v="0.59276590424435016"/>
  </r>
  <r>
    <s v="522257238"/>
    <s v="720000024990"/>
    <s v="iHerb_AV CYG0792"/>
    <s v="Доставлен"/>
    <d v="2023-11-25T00:00:00"/>
    <x v="17"/>
    <s v="Косметика"/>
    <s v=" TGY38090"/>
    <x v="221"/>
    <x v="939"/>
    <n v="6.5"/>
    <n v="-3.6"/>
    <n v="-0.18316717325227963"/>
    <n v="0"/>
    <n v="0.12849210970948605"/>
    <n v="288.88116413373854"/>
    <m/>
    <x v="20"/>
    <m/>
    <s v=""/>
    <n v="-288.88116413373854"/>
    <s v=""/>
  </r>
  <r>
    <s v="522257238"/>
    <s v="720000024990"/>
    <s v="iHerb_AV CYG0792"/>
    <s v="Доставлен"/>
    <d v="2023-11-25T00:00:00"/>
    <x v="17"/>
    <s v="Витамины"/>
    <s v="NOW-01480"/>
    <x v="3"/>
    <x v="165"/>
    <n v="6.14"/>
    <n v="-1.54"/>
    <n v="-0.29054103343465043"/>
    <n v="0"/>
    <n v="0.20381507057366752"/>
    <n v="458.22529483282659"/>
    <n v="458.23"/>
    <x v="46"/>
    <s v="&lt;Клиент не выбран&gt;"/>
    <s v="2023 09"/>
    <n v="4.7051671734266165E-3"/>
    <n v="1.0268239720688474E-5"/>
  </r>
  <r>
    <s v="522365280"/>
    <s v="720000032862"/>
    <s v="iHerb_MH DLE7202"/>
    <s v="Доставлен"/>
    <d v="2023-11-29T00:00:00"/>
    <x v="17"/>
    <s v="Спортпит"/>
    <s v=" MSC60676"/>
    <x v="50"/>
    <x v="938"/>
    <n v="31.09"/>
    <n v="-9.33"/>
    <n v="-1.2940185341196293"/>
    <n v="-3.0648515645254526E-15"/>
    <n v="1.5727041355741007"/>
    <n v="2236.4522325189541"/>
    <n v="3700"/>
    <x v="515"/>
    <s v="&lt;Клиент не выбран&gt;"/>
    <s v="2024 08"/>
    <n v="1463.5477674810459"/>
    <n v="0.65440600349090716"/>
  </r>
  <r>
    <s v="522365280"/>
    <s v="720000032862"/>
    <s v="iHerb_MH DLE7202"/>
    <s v="Доставлен"/>
    <d v="2023-11-29T00:00:00"/>
    <x v="17"/>
    <s v="Витамины"/>
    <s v=" NOW02210"/>
    <x v="3"/>
    <x v="940"/>
    <n v="10.1"/>
    <n v="-2.2200000000000002"/>
    <n v="-0.46860597651023328"/>
    <n v="-1.1098819084770481E-15"/>
    <n v="0.56952704909576801"/>
    <n v="809.89170920263609"/>
    <n v="1600"/>
    <x v="180"/>
    <s v="&lt;Клиент не выбран&gt;"/>
    <s v="2024 07"/>
    <n v="790.10829079736391"/>
    <n v="0.97557276092534695"/>
  </r>
  <r>
    <s v="522365280"/>
    <s v="720000032862"/>
    <s v="iHerb_MH DLE7202"/>
    <s v="Доставлен"/>
    <d v="2023-11-29T00:00:00"/>
    <x v="17"/>
    <s v="Витамины"/>
    <s v=" NOW02210"/>
    <x v="3"/>
    <x v="940"/>
    <n v="10.1"/>
    <n v="-2.2200000000000002"/>
    <n v="-0.46860597651023328"/>
    <n v="-1.1098819084770481E-15"/>
    <n v="0.56952704909576801"/>
    <n v="809.89170920263609"/>
    <n v="1600"/>
    <x v="516"/>
    <s v="&lt;Клиент не выбран&gt;"/>
    <s v="2024 12"/>
    <n v="790.10829079736391"/>
    <n v="0.97557276092534695"/>
  </r>
  <r>
    <s v="522365280"/>
    <s v="720000032862"/>
    <s v="iHerb_MH DLE7202"/>
    <s v="Доставлен"/>
    <d v="2023-11-29T00:00:00"/>
    <x v="17"/>
    <s v="Витамины"/>
    <s v=" GOL11440"/>
    <x v="222"/>
    <x v="941"/>
    <n v="29.06"/>
    <n v="-6.39"/>
    <n v="-1.3481341989196687"/>
    <n v="-3.1930232062404417E-15"/>
    <n v="1.6384743912437898"/>
    <n v="2329.9803359928628"/>
    <n v="3500"/>
    <x v="382"/>
    <s v="&lt;Клиент не выбран&gt;"/>
    <s v="2024 01"/>
    <n v="1170.0196640071372"/>
    <n v="0.50215860019632419"/>
  </r>
  <r>
    <s v="522365280"/>
    <s v="720000032862"/>
    <s v="iHerb_MH DLE7202"/>
    <s v="Доставлен"/>
    <d v="2023-11-29T00:00:00"/>
    <x v="17"/>
    <s v="Витамины"/>
    <s v=" LEX33510"/>
    <x v="7"/>
    <x v="942"/>
    <n v="10.83"/>
    <n v="-2.38"/>
    <n v="-0.50250260171465377"/>
    <n v="-1.1901652444963269E-15"/>
    <n v="0.61072380264711168"/>
    <n v="868.4752465434359"/>
    <n v="1600"/>
    <x v="500"/>
    <s v="&lt;Клиент не выбран&gt;"/>
    <s v="2024 01"/>
    <n v="731.5247534565641"/>
    <n v="0.84230927291026436"/>
  </r>
  <r>
    <s v="522365280"/>
    <s v="720000032862"/>
    <s v="iHerb_MH DLE7202"/>
    <s v="Доставлен"/>
    <d v="2023-11-29T00:00:00"/>
    <x v="17"/>
    <s v="Витамины"/>
    <s v=" LEX30210"/>
    <x v="7"/>
    <x v="943"/>
    <n v="16.739999999999998"/>
    <n v="-3.68"/>
    <n v="-0.77664899152584344"/>
    <n v="-1.8394743305469858E-15"/>
    <n v="0.94391158136938225"/>
    <n v="1342.2824520541153"/>
    <n v="2200"/>
    <x v="500"/>
    <s v="&lt;Клиент не выбран&gt;"/>
    <s v="2024 01"/>
    <n v="857.71754794588469"/>
    <n v="0.63899930050736076"/>
  </r>
  <r>
    <s v="522365280"/>
    <s v="720000032862"/>
    <s v="iHerb_MH DLE7202"/>
    <s v="Доставлен"/>
    <d v="2023-11-29T00:00:00"/>
    <x v="17"/>
    <s v="Спортпит"/>
    <s v=" FOA66010"/>
    <x v="171"/>
    <x v="944"/>
    <n v="25.84"/>
    <n v="-12.92"/>
    <n v="-0.76832350463352983"/>
    <n v="-1.8197556164369877E-15"/>
    <n v="0.93379308049712229"/>
    <n v="1327.8935130581292"/>
    <n v="2500"/>
    <x v="463"/>
    <s v="&lt;Клиент не выбран&gt;"/>
    <s v="2024 09"/>
    <n v="1172.1064869418708"/>
    <n v="0.88268108505366372"/>
  </r>
  <r>
    <s v="522365280"/>
    <s v="720000032862"/>
    <s v="iHerb_MH DLE7202"/>
    <s v="Доставлен"/>
    <d v="2023-11-29T00:00:00"/>
    <x v="17"/>
    <s v="Витамины"/>
    <s v=" CAR01543"/>
    <x v="154"/>
    <x v="945"/>
    <n v="24.53"/>
    <n v="-5.4"/>
    <n v="-1.137618316071163"/>
    <n v="-2.6944214351733422E-15"/>
    <n v="1.382620869188077"/>
    <n v="1966.1457356657909"/>
    <n v="3100"/>
    <x v="438"/>
    <s v="&lt;Клиент не выбран&gt;"/>
    <s v="2024 01"/>
    <n v="1133.8542643342091"/>
    <n v="0.57668882004326849"/>
  </r>
  <r>
    <s v="522365280"/>
    <s v="720000032862"/>
    <s v="iHerb_MH DLE7202"/>
    <s v="Доставлен"/>
    <d v="2023-11-29T00:00:00"/>
    <x v="17"/>
    <s v="Витамины"/>
    <s v=" CAR01250"/>
    <x v="154"/>
    <x v="946"/>
    <n v="12.01"/>
    <n v="-2.64"/>
    <n v="-0.55721294414985867"/>
    <n v="-1.3197453657906016E-15"/>
    <n v="0.67721680837910492"/>
    <n v="963.03113137420053"/>
    <n v="1700"/>
    <x v="517"/>
    <s v="&lt;Клиент не выбран&gt;"/>
    <s v="2024 09"/>
    <n v="736.96886862579947"/>
    <n v="0.76525965217155467"/>
  </r>
  <r>
    <s v="522365280"/>
    <s v="720000032862"/>
    <s v="iHerb_MH DLE7202"/>
    <s v="Доставлен"/>
    <d v="2023-11-29T00:00:00"/>
    <x v="17"/>
    <s v="Витамины"/>
    <s v=" CAR01545"/>
    <x v="154"/>
    <x v="947"/>
    <n v="48.95"/>
    <n v="-10.77"/>
    <n v="-2.2704792110610041"/>
    <n v="-5.3775750337123994E-15"/>
    <n v="2.7594597378777199"/>
    <n v="3924.0692204767329"/>
    <n v="5400"/>
    <x v="461"/>
    <s v="&lt;Клиент не выбран&gt;"/>
    <s v="2024 08"/>
    <n v="1475.9307795232671"/>
    <n v="0.37612251379805101"/>
  </r>
  <r>
    <s v="522365280"/>
    <s v="720000032862"/>
    <s v="iHerb_MH DLE7202"/>
    <s v="Доставлен"/>
    <d v="2023-11-29T00:00:00"/>
    <x v="17"/>
    <s v="Витамины"/>
    <s v=" NOW00089"/>
    <x v="3"/>
    <x v="948"/>
    <n v="15.35"/>
    <n v="-3.38"/>
    <n v="-0.71182912929282904"/>
    <n v="-1.6859500564048561E-15"/>
    <n v="0.86513182457821625"/>
    <n v="1230.2542841567963"/>
    <n v="2000"/>
    <x v="518"/>
    <s v="&lt;Клиент не выбран&gt;"/>
    <s v="2024 04"/>
    <n v="769.7457158432037"/>
    <n v="0.62568017503046502"/>
  </r>
  <r>
    <s v="522365280"/>
    <s v="720000032862"/>
    <s v="iHerb_MH DLE7202"/>
    <s v="Доставлен"/>
    <d v="2023-11-29T00:00:00"/>
    <x v="17"/>
    <s v="Витамины"/>
    <s v=" LEX23151"/>
    <x v="7"/>
    <x v="949"/>
    <n v="20.69"/>
    <n v="-4.55"/>
    <n v="-0.95980970315674707"/>
    <n v="-2.2732860409669492E-15"/>
    <n v="1.1665186005590986"/>
    <n v="1658.8391099658056"/>
    <n v="2700"/>
    <x v="382"/>
    <s v="&lt;Клиент не выбран&gt;"/>
    <s v="2024 01"/>
    <n v="1041.1608900341944"/>
    <n v="0.62764428676609652"/>
  </r>
  <r>
    <s v="522365280"/>
    <s v="720000032862"/>
    <s v="iHerb_MH DLE7202"/>
    <s v="Доставлен"/>
    <d v="2023-11-29T00:00:00"/>
    <x v="17"/>
    <s v="Витамины"/>
    <s v=" SOR04710"/>
    <x v="10"/>
    <x v="950"/>
    <n v="6.69"/>
    <n v="-1.47"/>
    <n v="-0.3104217255562714"/>
    <n v="-7.3522634038708023E-16"/>
    <n v="0.37727553252283125"/>
    <n v="536.50186827890366"/>
    <n v="1200"/>
    <x v="266"/>
    <s v="&lt;Клиент не выбран&gt;"/>
    <s v="2024 03"/>
    <n v="663.49813172109634"/>
    <n v="1.2367116890936396"/>
  </r>
  <r>
    <s v="522365280"/>
    <s v="720000032862"/>
    <s v="iHerb_MH DLE7202"/>
    <s v="Доставлен"/>
    <d v="2023-11-29T00:00:00"/>
    <x v="17"/>
    <s v="Витамины"/>
    <s v=" NOW04700"/>
    <x v="3"/>
    <x v="951"/>
    <n v="9.18"/>
    <n v="-2.02"/>
    <n v="-0.42578918677833388"/>
    <n v="-1.0084713787684855E-15"/>
    <n v="0.51748904460986045"/>
    <n v="735.89145150899424"/>
    <n v="1600"/>
    <x v="446"/>
    <s v="&lt;Клиент не выбран&gt;"/>
    <s v="2024 01"/>
    <n v="864.10854849100576"/>
    <n v="1.1742337089513595"/>
  </r>
  <r>
    <s v="522268473"/>
    <s v="720000026090"/>
    <s v="iHerb_VP DFD1605"/>
    <s v="Доставлен"/>
    <d v="2023-11-25T00:00:00"/>
    <x v="17"/>
    <s v="Спортпит"/>
    <s v=" NOW02035"/>
    <x v="3"/>
    <x v="952"/>
    <n v="16.8"/>
    <n v="-5.04"/>
    <n v="0"/>
    <n v="-1.9331365118655357E-15"/>
    <n v="0.99749434335978082"/>
    <n v="1287.4458947368421"/>
    <n v="2500"/>
    <x v="519"/>
    <s v="&lt;Клиент не выбран&gt;"/>
    <s v="2025 03"/>
    <n v="1212.5541052631579"/>
    <n v="0.94182917528430021"/>
  </r>
  <r>
    <s v="522268473"/>
    <s v="720000026090"/>
    <s v="iHerb_VP DFD1605"/>
    <s v="Доставлен"/>
    <d v="2023-11-25T00:00:00"/>
    <x v="17"/>
    <s v="Витамины"/>
    <s v=" PAL04153"/>
    <x v="15"/>
    <x v="953"/>
    <n v="16.309999999999999"/>
    <n v="-4.08"/>
    <n v="0"/>
    <n v="-2.0103962193975761E-15"/>
    <n v="1.0373601887151458"/>
    <n v="1338.8999398496237"/>
    <n v="2100"/>
    <x v="520"/>
    <s v="&lt;Клиент не выбран&gt;"/>
    <s v="2025 01"/>
    <n v="761.10006015037629"/>
    <n v="0.56845178455669954"/>
  </r>
  <r>
    <s v="522268473"/>
    <s v="720000026090"/>
    <s v="iHerb_VP DFD1605"/>
    <s v="Доставлен"/>
    <d v="2023-11-25T00:00:00"/>
    <x v="17"/>
    <s v="Витамины"/>
    <s v=" SRE01345"/>
    <x v="36"/>
    <x v="954"/>
    <n v="34.21"/>
    <n v="-10.26"/>
    <n v="0"/>
    <n v="-3.9369574370050663E-15"/>
    <n v="2.0314616941723425"/>
    <n v="2621.9667669172927"/>
    <n v="3700"/>
    <x v="266"/>
    <s v="&lt;Клиент не выбран&gt;"/>
    <s v="2024 03"/>
    <n v="1078.0332330827073"/>
    <n v="0.41115442296401644"/>
  </r>
  <r>
    <s v="522268473"/>
    <s v="720000026090"/>
    <s v="iHerb_VP DFD1605"/>
    <s v="Доставлен"/>
    <d v="2023-11-25T00:00:00"/>
    <x v="17"/>
    <s v="Косметика"/>
    <s v=" LGJ10204"/>
    <x v="223"/>
    <x v="955"/>
    <n v="7.55"/>
    <n v="-2.27"/>
    <n v="0"/>
    <n v="-8.6793884206207695E-16"/>
    <n v="0.44785460314112591"/>
    <n v="578.03693233082686"/>
    <m/>
    <x v="20"/>
    <m/>
    <s v=""/>
    <n v="-578.03693233082686"/>
    <s v=""/>
  </r>
  <r>
    <s v="522268473"/>
    <s v="720000026090"/>
    <s v="iHerb_VP DFD1605"/>
    <s v="Доставлен"/>
    <d v="2023-11-25T00:00:00"/>
    <x v="17"/>
    <s v="Спортпит"/>
    <s v=" FCD02881"/>
    <x v="207"/>
    <x v="956"/>
    <n v="16.79"/>
    <n v="-4.2"/>
    <n v="0"/>
    <n v="-2.0695738677199907E-15"/>
    <n v="1.0678957298384046"/>
    <n v="1378.3115488721801"/>
    <n v="2900"/>
    <x v="497"/>
    <s v="&lt;Клиент не выбран&gt;"/>
    <s v="2025 02"/>
    <n v="1521.6884511278199"/>
    <n v="1.1040235804256009"/>
  </r>
  <r>
    <s v="522268473"/>
    <s v="720000026090"/>
    <s v="iHerb_VP DFD1605"/>
    <s v="Доставлен"/>
    <d v="2023-11-25T00:00:00"/>
    <x v="17"/>
    <s v="Косметика"/>
    <s v=" MBY48312"/>
    <x v="30"/>
    <x v="957"/>
    <n v="7.43"/>
    <n v="-2.23"/>
    <n v="0"/>
    <n v="-8.5478825354598494E-16"/>
    <n v="0.44106892733595732"/>
    <n v="569.27879699248092"/>
    <m/>
    <x v="20"/>
    <m/>
    <s v=""/>
    <n v="-569.27879699248092"/>
    <s v=""/>
  </r>
  <r>
    <s v="522268473"/>
    <s v="720000026090"/>
    <s v="iHerb_VP DFD1605"/>
    <s v="Доставлен"/>
    <d v="2023-11-25T00:00:00"/>
    <x v="17"/>
    <s v="Косметика"/>
    <s v=" MBY42459"/>
    <x v="30"/>
    <x v="958"/>
    <n v="7.39"/>
    <n v="-2.2200000000000002"/>
    <n v="0"/>
    <n v="-8.4985678285245049E-16"/>
    <n v="0.43852429890901917"/>
    <n v="565.99449624060139"/>
    <m/>
    <x v="20"/>
    <m/>
    <s v=""/>
    <n v="-565.99449624060139"/>
    <s v=""/>
  </r>
  <r>
    <s v="522268473"/>
    <s v="720000026090"/>
    <s v="iHerb_VP DFD1605"/>
    <s v="Доставлен"/>
    <d v="2023-11-25T00:00:00"/>
    <x v="17"/>
    <s v="Витамины"/>
    <s v=" NAP04997"/>
    <x v="11"/>
    <x v="959"/>
    <n v="27.85"/>
    <n v="-6.96"/>
    <n v="0"/>
    <n v="-3.4339474262645438E-15"/>
    <n v="1.7719095946246441"/>
    <n v="2286.9680902255636"/>
    <n v="3300"/>
    <x v="521"/>
    <s v="&lt;Клиент не выбран&gt;"/>
    <s v="2025 01"/>
    <n v="1013.0319097744364"/>
    <n v="0.44295848031466023"/>
  </r>
  <r>
    <s v="522268473"/>
    <s v="720000026090"/>
    <s v="iHerb_VP DFD1605"/>
    <s v="Доставлен"/>
    <d v="2023-11-25T00:00:00"/>
    <x v="17"/>
    <s v="Спортпит"/>
    <s v=" NOW02038"/>
    <x v="3"/>
    <x v="960"/>
    <n v="34.659999999999997"/>
    <n v="-8.67"/>
    <n v="0"/>
    <n v="-4.2722974441654129E-15"/>
    <n v="2.2044964272041403"/>
    <n v="2845.2992180451115"/>
    <n v="3700"/>
    <x v="515"/>
    <s v="&lt;Клиент не выбран&gt;"/>
    <s v="2024 08"/>
    <n v="854.7007819548885"/>
    <n v="0.30039047441278194"/>
  </r>
  <r>
    <s v="522268473"/>
    <s v="720000026090"/>
    <s v="iHerb_VP DFD1605"/>
    <s v="Доставлен"/>
    <d v="2023-11-25T00:00:00"/>
    <x v="17"/>
    <s v="Спортпит"/>
    <s v=" FOA66010"/>
    <x v="171"/>
    <x v="944"/>
    <n v="25.84"/>
    <n v="-12.92"/>
    <n v="0"/>
    <n v="-2.1238200453488704E-15"/>
    <n v="1.0958866425347249"/>
    <n v="1414.4388571428567"/>
    <n v="2500"/>
    <x v="419"/>
    <s v="&lt;Клиент не выбран&gt;"/>
    <s v="2024 10"/>
    <n v="1085.5611428571433"/>
    <n v="0.76748537936094252"/>
  </r>
  <r>
    <s v="522268473"/>
    <s v="720000026090"/>
    <s v="iHerb_VP DFD1605"/>
    <s v="Доставлен"/>
    <d v="2023-11-25T00:00:00"/>
    <x v="17"/>
    <s v="Витамины"/>
    <s v=" LEX88206"/>
    <x v="7"/>
    <x v="961"/>
    <n v="12.24"/>
    <n v="-3.06"/>
    <n v="0"/>
    <n v="-1.5090300322215658E-15"/>
    <n v="0.77865629864309394"/>
    <n v="1004.9960300751876"/>
    <m/>
    <x v="20"/>
    <m/>
    <s v=""/>
    <n v="-1004.9960300751876"/>
    <s v=""/>
  </r>
  <r>
    <s v="522268473"/>
    <s v="720000026090"/>
    <s v="iHerb_VP DFD1605"/>
    <s v="Доставлен"/>
    <d v="2023-11-25T00:00:00"/>
    <x v="17"/>
    <s v="Витамины"/>
    <s v=" LEX30210"/>
    <x v="7"/>
    <x v="943"/>
    <n v="16.739999999999998"/>
    <n v="-4.1900000000000004"/>
    <n v="0"/>
    <n v="-2.0629985734619441E-15"/>
    <n v="1.0645028919358202"/>
    <n v="1373.932481203007"/>
    <n v="2200"/>
    <x v="392"/>
    <s v="&lt;Клиент не выбран&gt;"/>
    <s v="2024 02"/>
    <n v="826.067518796993"/>
    <n v="0.60124316885913731"/>
  </r>
  <r>
    <s v="522268473"/>
    <s v="720000026090"/>
    <s v="iHerb_VP DFD1605"/>
    <s v="Доставлен"/>
    <d v="2023-11-25T00:00:00"/>
    <x v="17"/>
    <s v="Витамины"/>
    <s v=" NOW00376"/>
    <x v="3"/>
    <x v="962"/>
    <n v="10.130000000000001"/>
    <n v="-2.5350000000000001"/>
    <n v="0"/>
    <n v="-1.2484839972464917E-15"/>
    <n v="0.64421509675319166"/>
    <n v="831.47547368421044"/>
    <n v="1700"/>
    <x v="518"/>
    <s v="&lt;Клиент не выбран&gt;"/>
    <s v="2024 04"/>
    <n v="868.52452631578956"/>
    <n v="1.0445582026219213"/>
  </r>
  <r>
    <s v="522268473"/>
    <s v="720000026090"/>
    <s v="iHerb_VP DFD1605"/>
    <s v="Доставлен"/>
    <d v="2023-11-25T00:00:00"/>
    <x v="17"/>
    <s v="Витамины"/>
    <s v=" NOW00376"/>
    <x v="3"/>
    <x v="962"/>
    <n v="10.130000000000001"/>
    <n v="-2.5350000000000001"/>
    <n v="0"/>
    <n v="-1.2484839972464917E-15"/>
    <n v="0.64421509675319166"/>
    <n v="831.47547368421044"/>
    <n v="1700"/>
    <x v="522"/>
    <s v="&lt;Клиент не выбран&gt;"/>
    <s v="2024 07"/>
    <n v="868.52452631578956"/>
    <n v="1.0445582026219213"/>
  </r>
  <r>
    <s v="OZO0042"/>
    <n v="0"/>
    <s v="OZON_OA"/>
    <s v="Доставлен"/>
    <d v="2023-11-27T00:00:00"/>
    <x v="17"/>
    <s v="Витамины"/>
    <s v="814920275"/>
    <x v="224"/>
    <x v="963"/>
    <n v="218"/>
    <n v="0"/>
    <n v="0"/>
    <n v="0"/>
    <n v="0"/>
    <n v="218"/>
    <n v="400"/>
    <x v="382"/>
    <s v="&lt;Клиент не выбран&gt;"/>
    <s v="2024 01"/>
    <n v="182"/>
    <n v="0.83486238532110091"/>
  </r>
  <r>
    <s v="OZO0042"/>
    <n v="0"/>
    <s v="OZON_OA"/>
    <s v="Доставлен"/>
    <d v="2023-11-27T00:00:00"/>
    <x v="17"/>
    <s v="Витамины"/>
    <s v="928190726"/>
    <x v="3"/>
    <x v="964"/>
    <n v="1385"/>
    <n v="0"/>
    <n v="0"/>
    <n v="0"/>
    <n v="0"/>
    <n v="1385"/>
    <n v="2100"/>
    <x v="432"/>
    <s v="&lt;Клиент не выбран&gt;"/>
    <s v="2023 12"/>
    <n v="715"/>
    <n v="0.51624548736462095"/>
  </r>
  <r>
    <s v="OZO0044"/>
    <n v="0"/>
    <s v="OZON_OA"/>
    <s v="Доставлен"/>
    <d v="2023-12-04T00:00:00"/>
    <x v="18"/>
    <s v="Спортпит"/>
    <s v="892721541"/>
    <x v="162"/>
    <x v="618"/>
    <n v="861"/>
    <n v="0"/>
    <n v="0"/>
    <n v="0"/>
    <n v="0"/>
    <n v="861"/>
    <n v="2000"/>
    <x v="308"/>
    <s v="&lt;Клиент не выбран&gt;"/>
    <s v="2024 02"/>
    <n v="1139"/>
    <n v="1.3228803716608595"/>
  </r>
  <r>
    <s v="OZO0044"/>
    <n v="0"/>
    <s v="OZON_OA"/>
    <s v="Доставлен"/>
    <d v="2023-12-04T00:00:00"/>
    <x v="18"/>
    <s v="Спортпит"/>
    <s v="892721541"/>
    <x v="162"/>
    <x v="618"/>
    <n v="861"/>
    <n v="0"/>
    <n v="0"/>
    <n v="0"/>
    <n v="0"/>
    <n v="861"/>
    <n v="2000"/>
    <x v="308"/>
    <s v="&lt;Клиент не выбран&gt;"/>
    <s v="2024 02"/>
    <n v="1139"/>
    <n v="1.3228803716608595"/>
  </r>
  <r>
    <s v="WB0173"/>
    <n v="0"/>
    <s v="WBRS"/>
    <s v="Доставлен"/>
    <d v="2023-12-03T00:00:00"/>
    <x v="18"/>
    <s v="Спортпит"/>
    <s v="146995620"/>
    <x v="225"/>
    <x v="965"/>
    <n v="429"/>
    <n v="0"/>
    <n v="0"/>
    <n v="0"/>
    <n v="0"/>
    <n v="429"/>
    <m/>
    <x v="20"/>
    <m/>
    <s v=""/>
    <n v="-429"/>
    <s v=""/>
  </r>
  <r>
    <s v="WB0174"/>
    <n v="0"/>
    <s v="WBRS"/>
    <s v="Доставлен"/>
    <d v="2023-12-12T00:00:00"/>
    <x v="18"/>
    <s v="Витамины"/>
    <s v="000000015"/>
    <x v="85"/>
    <x v="265"/>
    <n v="2040"/>
    <n v="0"/>
    <n v="0"/>
    <n v="0"/>
    <n v="0"/>
    <n v="2040"/>
    <n v="2040"/>
    <x v="407"/>
    <s v="&lt;Клиент не выбран&gt;"/>
    <s v="2024 01"/>
    <n v="0"/>
    <n v="0"/>
  </r>
  <r>
    <s v="WB0174"/>
    <n v="0"/>
    <s v="WBRS"/>
    <s v="Доставлен"/>
    <d v="2023-12-12T00:00:00"/>
    <x v="18"/>
    <s v="Витамины"/>
    <s v="000000015"/>
    <x v="85"/>
    <x v="265"/>
    <n v="2040"/>
    <n v="0"/>
    <n v="0"/>
    <n v="0"/>
    <n v="0"/>
    <n v="2040"/>
    <n v="2040"/>
    <x v="484"/>
    <s v="&lt;Клиент не выбран&gt;"/>
    <s v="2023 12"/>
    <n v="0"/>
    <n v="0"/>
  </r>
  <r>
    <s v="WB0174"/>
    <n v="0"/>
    <s v="WBRS"/>
    <s v="Доставлен"/>
    <d v="2023-12-12T00:00:00"/>
    <x v="18"/>
    <s v="Витамины"/>
    <s v="000000015"/>
    <x v="85"/>
    <x v="265"/>
    <n v="2040"/>
    <n v="0"/>
    <n v="0"/>
    <n v="0"/>
    <n v="0"/>
    <n v="2040"/>
    <n v="3000"/>
    <x v="514"/>
    <s v="&lt;Клиент не выбран&gt;"/>
    <s v="2024 09"/>
    <n v="960"/>
    <n v="0.47058823529411764"/>
  </r>
  <r>
    <s v="711768703"/>
    <n v="0"/>
    <s v="CoralClub_AV"/>
    <s v="Доставлен"/>
    <d v="2023-12-16T00:00:00"/>
    <x v="18"/>
    <s v="Витамины"/>
    <s v="000091650"/>
    <x v="79"/>
    <x v="966"/>
    <n v="1260"/>
    <n v="0"/>
    <n v="-382.43906249999998"/>
    <n v="13.064062499999951"/>
    <n v="0"/>
    <n v="890.625"/>
    <n v="1600"/>
    <x v="230"/>
    <s v="&lt;Клиент не выбран&gt;"/>
    <s v="2023 12"/>
    <n v="709.375"/>
    <n v="0.79649122807017547"/>
  </r>
  <r>
    <s v="711768703"/>
    <n v="0"/>
    <s v="CoralClub_AV"/>
    <s v="Доставлен"/>
    <d v="2023-12-16T00:00:00"/>
    <x v="18"/>
    <s v="Витамины"/>
    <s v="000002305"/>
    <x v="79"/>
    <x v="967"/>
    <n v="924"/>
    <n v="0"/>
    <n v="-280.45531249999999"/>
    <n v="9.5803124999999625"/>
    <n v="0"/>
    <n v="653.125"/>
    <n v="1200"/>
    <x v="230"/>
    <s v="&lt;Клиент не выбран&gt;"/>
    <s v="2023 12"/>
    <n v="546.875"/>
    <n v="0.83732057416267947"/>
  </r>
  <r>
    <s v="711768703"/>
    <n v="0"/>
    <s v="CoralClub_AV"/>
    <s v="Доставлен"/>
    <d v="2023-12-16T00:00:00"/>
    <x v="18"/>
    <s v="Витамины"/>
    <s v="000002307"/>
    <x v="79"/>
    <x v="864"/>
    <n v="1260"/>
    <n v="0"/>
    <n v="-382.43906249999998"/>
    <n v="13.064062499999951"/>
    <n v="0"/>
    <n v="890.625"/>
    <n v="1600"/>
    <x v="230"/>
    <s v="&lt;Клиент не выбран&gt;"/>
    <s v="2023 12"/>
    <n v="709.375"/>
    <n v="0.79649122807017547"/>
  </r>
  <r>
    <s v="711768703"/>
    <n v="0"/>
    <s v="CoralClub_AV"/>
    <s v="Доставлен"/>
    <d v="2023-12-16T00:00:00"/>
    <x v="18"/>
    <s v="Витамины"/>
    <s v="000002149"/>
    <x v="79"/>
    <x v="591"/>
    <n v="840"/>
    <n v="0"/>
    <n v="-254.95937500000002"/>
    <n v="8.7093749999999659"/>
    <n v="0"/>
    <n v="593.75"/>
    <n v="1100"/>
    <x v="328"/>
    <s v="&lt;Клиент не выбран&gt;"/>
    <s v="2023 12"/>
    <n v="506.25"/>
    <n v="0.85263157894736841"/>
  </r>
  <r>
    <s v="711768703"/>
    <n v="0"/>
    <s v="CoralClub_AV"/>
    <s v="Доставлен"/>
    <d v="2023-12-16T00:00:00"/>
    <x v="18"/>
    <s v="Витамины"/>
    <s v="000002111"/>
    <x v="79"/>
    <x v="968"/>
    <n v="1092"/>
    <n v="0"/>
    <n v="-331.44718750000004"/>
    <n v="11.322187499999956"/>
    <n v="0"/>
    <n v="771.87499999999989"/>
    <n v="1400"/>
    <x v="230"/>
    <s v="&lt;Клиент не выбран&gt;"/>
    <s v="2023 12"/>
    <n v="628.12500000000011"/>
    <n v="0.81376518218623506"/>
  </r>
  <r>
    <s v="522522423"/>
    <s v="720000042510"/>
    <s v="iHerb_OA CZN6870"/>
    <s v="Доставлен"/>
    <d v="2023-12-07T00:00:00"/>
    <x v="18"/>
    <s v="Витамины"/>
    <s v="PAR-77870"/>
    <x v="44"/>
    <x v="969"/>
    <n v="13.52"/>
    <n v="-1.35"/>
    <n v="-0.43969724917796144"/>
    <n v="2.7740171927822349E-15"/>
    <n v="0.72304360529672007"/>
    <n v="1260.7872090785154"/>
    <n v="1800"/>
    <x v="364"/>
    <s v="&lt;Клиент не выбран&gt;"/>
    <s v="2024 01"/>
    <n v="539.21279092148461"/>
    <n v="0.42767945854684286"/>
  </r>
  <r>
    <s v="522522423"/>
    <s v="720000042510"/>
    <s v="iHerb_OA CZN6870"/>
    <s v="Доставлен"/>
    <d v="2023-12-07T00:00:00"/>
    <x v="18"/>
    <s v="Витамины"/>
    <s v="CGN-01864"/>
    <x v="1"/>
    <x v="970"/>
    <n v="53.87"/>
    <n v="-16.16"/>
    <n v="-1.3624472692276846"/>
    <n v="8.5955783352356653E-15"/>
    <n v="2.240425173027059"/>
    <n v="3906.6791827732777"/>
    <n v="5500"/>
    <x v="443"/>
    <s v="&lt;Клиент не выбран&gt;"/>
    <s v="2024 01"/>
    <n v="1593.3208172267223"/>
    <n v="0.40784531892266973"/>
  </r>
  <r>
    <s v="522522423"/>
    <s v="720000042510"/>
    <s v="iHerb_OA CZN6870"/>
    <s v="Доставлен"/>
    <d v="2023-12-07T00:00:00"/>
    <x v="18"/>
    <s v="Витамины"/>
    <s v="NOW-02938"/>
    <x v="3"/>
    <x v="971"/>
    <n v="16.940000000000001"/>
    <n v="-5.08"/>
    <n v="-0.42849707274039633"/>
    <n v="2.7033561139192528E-15"/>
    <n v="0.70462589636968775"/>
    <n v="1228.6718405646009"/>
    <n v="2300"/>
    <x v="382"/>
    <s v="&lt;Клиент не выбран&gt;"/>
    <s v="2024 01"/>
    <n v="1071.3281594353991"/>
    <n v="0.87194002830169937"/>
  </r>
  <r>
    <s v="522522423"/>
    <s v="720000042510"/>
    <s v="iHerb_OA CZN6870"/>
    <s v="Доставлен"/>
    <d v="2023-12-07T00:00:00"/>
    <x v="18"/>
    <s v="Витамины"/>
    <s v="SRE-01345"/>
    <x v="36"/>
    <x v="972"/>
    <n v="34.21"/>
    <n v="-13.685"/>
    <n v="-0.74156006897104831"/>
    <n v="4.6784472376216402E-15"/>
    <n v="1.219430566862381"/>
    <n v="2126.3481895099853"/>
    <n v="2126.35"/>
    <x v="523"/>
    <s v="&lt;Клиент не выбран&gt;"/>
    <s v="2024 02"/>
    <n v="1.8104900145772262E-3"/>
    <n v="8.5145510199552586E-7"/>
  </r>
  <r>
    <s v="522522423"/>
    <s v="720000042510"/>
    <s v="iHerb_OA CZN6870"/>
    <s v="Доставлен"/>
    <d v="2023-12-07T00:00:00"/>
    <x v="18"/>
    <s v="Витамины"/>
    <s v="SRE-01345"/>
    <x v="36"/>
    <x v="972"/>
    <n v="34.21"/>
    <n v="-13.685"/>
    <n v="-0.74156006897104831"/>
    <n v="4.6784472376216402E-15"/>
    <n v="1.219430566862381"/>
    <n v="2126.3481895099853"/>
    <n v="3800"/>
    <x v="496"/>
    <s v="&lt;Клиент не выбран&gt;"/>
    <s v="2024 05"/>
    <n v="1673.6518104900147"/>
    <n v="0.78710148166077443"/>
  </r>
  <r>
    <s v="522522423"/>
    <s v="720000042510"/>
    <s v="iHerb_OA CZN6870"/>
    <s v="Доставлен"/>
    <d v="2023-12-07T00:00:00"/>
    <x v="18"/>
    <s v="Витамины"/>
    <s v="VTP-00508"/>
    <x v="226"/>
    <x v="973"/>
    <n v="61.02"/>
    <n v="-6.1"/>
    <n v="-1.9842377095196091"/>
    <n v="1.2518407906951547E-14"/>
    <n v="3.2629050782987563"/>
    <n v="5689.6001251102762"/>
    <n v="6600"/>
    <x v="361"/>
    <s v="&lt;Клиент не выбран&gt;"/>
    <s v="2024 01"/>
    <n v="910.39987488972383"/>
    <n v="0.16001122308610016"/>
  </r>
  <r>
    <s v="522522423"/>
    <s v="720000042510"/>
    <s v="iHerb_OA CZN6870"/>
    <s v="Доставлен"/>
    <d v="2023-12-07T00:00:00"/>
    <x v="18"/>
    <s v="Витамины"/>
    <s v="NOW-04750"/>
    <x v="3"/>
    <x v="974"/>
    <n v="9.18"/>
    <n v="-1.84"/>
    <n v="-0.2651912743604139"/>
    <n v="1.6730719963041581E-15"/>
    <n v="0.43608381782070049"/>
    <n v="760.40904803913736"/>
    <n v="1500"/>
    <x v="459"/>
    <s v="&lt;Клиент не выбран&gt;"/>
    <s v="2024 01"/>
    <n v="739.59095196086264"/>
    <n v="0.97262250346447321"/>
  </r>
  <r>
    <s v="522522423"/>
    <s v="720000042510"/>
    <s v="iHerb_OA CZN6870"/>
    <s v="Доставлен"/>
    <d v="2023-12-07T00:00:00"/>
    <x v="18"/>
    <s v="Витамины"/>
    <s v="CGN-00963"/>
    <x v="1"/>
    <x v="911"/>
    <n v="11.68"/>
    <n v="-3.5049999999999999"/>
    <n v="-0.29535949153901686"/>
    <n v="1.8634010313060619E-15"/>
    <n v="0.48569280799512632"/>
    <n v="846.91334710081048"/>
    <n v="1700"/>
    <x v="443"/>
    <s v="&lt;Клиент не выбран&gt;"/>
    <s v="2024 01"/>
    <n v="853.08665289918952"/>
    <n v="1.007289182322503"/>
  </r>
  <r>
    <s v="522522423"/>
    <s v="720000042510"/>
    <s v="iHerb_OA CZN6870"/>
    <s v="Доставлен"/>
    <d v="2023-12-07T00:00:00"/>
    <x v="18"/>
    <s v="Витамины"/>
    <s v="CGN-00963"/>
    <x v="1"/>
    <x v="911"/>
    <n v="11.68"/>
    <n v="-3.5049999999999999"/>
    <n v="-0.29535949153901686"/>
    <n v="1.8634010313060619E-15"/>
    <n v="0.48569280799512632"/>
    <n v="846.91334710081048"/>
    <n v="1700"/>
    <x v="443"/>
    <s v="&lt;Клиент не выбран&gt;"/>
    <s v="2024 01"/>
    <n v="853.08665289918952"/>
    <n v="1.007289182322503"/>
  </r>
  <r>
    <s v="522522423"/>
    <s v="720000042510"/>
    <s v="iHerb_OA CZN6870"/>
    <s v="Доставлен"/>
    <d v="2023-12-07T00:00:00"/>
    <x v="18"/>
    <s v="Спортпит"/>
    <s v="FOA-01906"/>
    <x v="171"/>
    <x v="869"/>
    <n v="22.79"/>
    <n v="-11.4"/>
    <n v="-0.41151616007699099"/>
    <n v="2.5962248008044083E-15"/>
    <n v="0.67670227315773546"/>
    <n v="1179.9807979789882"/>
    <n v="2900"/>
    <x v="472"/>
    <s v="&lt;Клиент не выбран&gt;"/>
    <s v="2024 09"/>
    <n v="1720.0192020210118"/>
    <n v="1.4576671120131566"/>
  </r>
  <r>
    <s v="522522423"/>
    <s v="720000042510"/>
    <s v="iHerb_OA CZN6870"/>
    <s v="Доставлен"/>
    <d v="2023-12-07T00:00:00"/>
    <x v="18"/>
    <s v="Витамины"/>
    <s v="NOW-00680"/>
    <x v="3"/>
    <x v="88"/>
    <n v="11.3"/>
    <n v="-2.2599999999999998"/>
    <n v="-0.32661159675996482"/>
    <n v="2.0605682352301894E-15"/>
    <n v="0.53708415709797452"/>
    <n v="936.52558505092657"/>
    <n v="1500"/>
    <x v="524"/>
    <s v="&lt;Клиент не выбран&gt;"/>
    <s v="2024 12"/>
    <n v="563.47441494907343"/>
    <n v="0.60166473179526936"/>
  </r>
  <r>
    <s v="522522423"/>
    <s v="720000042510"/>
    <s v="iHerb_OA CZN6870"/>
    <s v="Доставлен"/>
    <d v="2023-12-07T00:00:00"/>
    <x v="18"/>
    <s v="Витамины"/>
    <s v="NOW-00420"/>
    <x v="3"/>
    <x v="515"/>
    <n v="14.33"/>
    <n v="-1.4350000000000001"/>
    <n v="-0.46589121020129931"/>
    <n v="2.9392729417359831E-15"/>
    <n v="0.76611727940026342"/>
    <n v="1335.895732215896"/>
    <n v="1900"/>
    <x v="446"/>
    <s v="&lt;Клиент не выбран&gt;"/>
    <s v="2024 01"/>
    <n v="564.10426778410397"/>
    <n v="0.42226668906891773"/>
  </r>
  <r>
    <s v="522522423"/>
    <s v="720000042510"/>
    <s v="iHerb_OA CZN6870"/>
    <s v="Доставлен"/>
    <d v="2023-12-07T00:00:00"/>
    <x v="18"/>
    <s v="Витамины"/>
    <s v="NOW-00420"/>
    <x v="3"/>
    <x v="515"/>
    <n v="14.33"/>
    <n v="-1.4350000000000001"/>
    <n v="-0.46589121020129931"/>
    <n v="2.9392729417359831E-15"/>
    <n v="0.76611727940026342"/>
    <n v="1335.895732215896"/>
    <n v="2100"/>
    <x v="525"/>
    <s v="&lt;Клиент не выбран&gt;"/>
    <s v="2024 01"/>
    <n v="764.10426778410397"/>
    <n v="0.57197897212880378"/>
  </r>
  <r>
    <s v="522522423"/>
    <s v="720000042510"/>
    <s v="iHerb_OA CZN6870"/>
    <s v="Доставлен"/>
    <d v="2023-12-07T00:00:00"/>
    <x v="18"/>
    <s v="Спортпит"/>
    <s v="MSC-60676"/>
    <x v="50"/>
    <x v="508"/>
    <n v="31.09"/>
    <n v="-9.33"/>
    <n v="-0.78618012671425141"/>
    <n v="4.9599518582531986E-15"/>
    <n v="1.2928043427491065"/>
    <n v="2254.2916737509031"/>
    <n v="3000"/>
    <x v="526"/>
    <m/>
    <s v="2026 03"/>
    <n v="745.7083262490969"/>
    <n v="0.3307949609769516"/>
  </r>
  <r>
    <s v="522635390"/>
    <s v="720000049600"/>
    <s v="iHerb_OA CZN6870"/>
    <s v="Доставлен"/>
    <d v="2023-12-13T00:00:00"/>
    <x v="18"/>
    <s v="Витамины"/>
    <s v="MOR-00953"/>
    <x v="227"/>
    <x v="975"/>
    <n v="0"/>
    <n v="0"/>
    <n v="0"/>
    <n v="0"/>
    <n v="0"/>
    <n v="0"/>
    <n v="2800"/>
    <x v="459"/>
    <s v="&lt;Клиент не выбран&gt;"/>
    <s v="2024 01"/>
    <n v="2800"/>
    <s v=""/>
  </r>
  <r>
    <s v="522635390"/>
    <s v="720000049600"/>
    <s v="iHerb_OA CZN6870"/>
    <s v="Доставлен"/>
    <d v="2023-12-13T00:00:00"/>
    <x v="18"/>
    <s v="Витамины"/>
    <s v="NOW-04620"/>
    <x v="3"/>
    <x v="248"/>
    <n v="7.74"/>
    <n v="-1.9366666666666665"/>
    <n v="-0.24831792828685259"/>
    <n v="0"/>
    <n v="0.19483920331465368"/>
    <n v="648.19834568393094"/>
    <n v="1400"/>
    <x v="265"/>
    <s v="&lt;Клиент не выбран&gt;"/>
    <s v="2024 01"/>
    <n v="751.80165431606906"/>
    <n v="1.1598327260814336"/>
  </r>
  <r>
    <s v="522635390"/>
    <s v="720000049600"/>
    <s v="iHerb_OA CZN6870"/>
    <s v="Доставлен"/>
    <d v="2023-12-13T00:00:00"/>
    <x v="18"/>
    <s v="Витамины"/>
    <s v="NOW-04620"/>
    <x v="3"/>
    <x v="248"/>
    <n v="7.74"/>
    <n v="-1.9366666666666665"/>
    <n v="-0.24831792828685259"/>
    <n v="0"/>
    <n v="0.19483920331465368"/>
    <n v="648.19834568393094"/>
    <n v="1400"/>
    <x v="527"/>
    <s v="&lt;Клиент не выбран&gt;"/>
    <s v="2024 04"/>
    <n v="751.80165431606906"/>
    <n v="1.1598327260814336"/>
  </r>
  <r>
    <s v="522635390"/>
    <s v="720000049600"/>
    <s v="iHerb_OA CZN6870"/>
    <s v="Доставлен"/>
    <d v="2023-12-13T00:00:00"/>
    <x v="18"/>
    <s v="Витамины"/>
    <s v="NOW-04620"/>
    <x v="3"/>
    <x v="248"/>
    <n v="7.74"/>
    <n v="-1.9366666666666665"/>
    <n v="-0.24831792828685259"/>
    <n v="0"/>
    <n v="0.19483920331465368"/>
    <n v="648.19834568393094"/>
    <n v="1300"/>
    <x v="528"/>
    <s v="&lt;Клиент не выбран&gt;"/>
    <s v="2025 02"/>
    <n v="651.80165431606906"/>
    <n v="1.0055589599327597"/>
  </r>
  <r>
    <s v="522635390"/>
    <s v="720000049600"/>
    <s v="iHerb_OA CZN6870"/>
    <s v="Доставлен"/>
    <d v="2023-12-13T00:00:00"/>
    <x v="18"/>
    <s v="Витамины"/>
    <s v="CGN-02061"/>
    <x v="1"/>
    <x v="976"/>
    <n v="19.27"/>
    <n v="-9.64"/>
    <n v="-0.41205657370517929"/>
    <n v="0"/>
    <n v="0.32331445053189795"/>
    <n v="1075.6146011952189"/>
    <n v="1179.72"/>
    <x v="432"/>
    <s v="&lt;Клиент не выбран&gt;"/>
    <s v="2023 12"/>
    <n v="104.10539880478109"/>
    <n v="9.6786896244342127E-2"/>
  </r>
  <r>
    <s v="522635390"/>
    <s v="720000049600"/>
    <s v="iHerb_OA CZN6870"/>
    <s v="Доставлен"/>
    <d v="2023-12-13T00:00:00"/>
    <x v="18"/>
    <s v="Витамины"/>
    <s v="LEX-18943"/>
    <x v="7"/>
    <x v="977"/>
    <n v="19.96"/>
    <n v="-2"/>
    <n v="-0.76848764940239045"/>
    <n v="0"/>
    <n v="0.60298312892553352"/>
    <n v="2006.0268159362549"/>
    <n v="2200.19"/>
    <x v="329"/>
    <s v="&lt;Клиент не выбран&gt;"/>
    <s v="2024 02"/>
    <n v="194.16318406374512"/>
    <n v="9.678992450214334E-2"/>
  </r>
  <r>
    <s v="522635390"/>
    <s v="720000049600"/>
    <s v="iHerb_OA CZN6870"/>
    <s v="Доставлен"/>
    <d v="2023-12-13T00:00:00"/>
    <x v="18"/>
    <s v="Витамины"/>
    <s v="TEO-00777"/>
    <x v="181"/>
    <x v="978"/>
    <n v="14.51"/>
    <n v="-1.45"/>
    <n v="-0.55882231075697208"/>
    <n v="0"/>
    <n v="0.43847214163515974"/>
    <n v="1458.7255131474105"/>
    <n v="2000"/>
    <x v="529"/>
    <s v="&lt;Клиент не выбран&gt;"/>
    <s v="2024 09"/>
    <n v="541.27448685258946"/>
    <n v="0.3710598614846406"/>
  </r>
  <r>
    <s v="522635390"/>
    <s v="720000049600"/>
    <s v="iHerb_OA CZN6870"/>
    <s v="Доставлен"/>
    <d v="2023-12-13T00:00:00"/>
    <x v="18"/>
    <s v="Витамины"/>
    <s v="NOW-03325"/>
    <x v="3"/>
    <x v="333"/>
    <n v="16.329999999999998"/>
    <n v="-6.5333333333333341"/>
    <n v="-0.41918804780876484"/>
    <n v="0"/>
    <n v="0.32891006234449566"/>
    <n v="1094.230291766268"/>
    <n v="2300"/>
    <x v="266"/>
    <s v="&lt;Клиент не выбран&gt;"/>
    <s v="2024 03"/>
    <n v="1205.769708233732"/>
    <n v="1.101934133341731"/>
  </r>
  <r>
    <s v="522635390"/>
    <s v="720000049600"/>
    <s v="iHerb_OA CZN6870"/>
    <s v="Доставлен"/>
    <d v="2023-12-13T00:00:00"/>
    <x v="18"/>
    <s v="Витамины"/>
    <s v="NOW-03325"/>
    <x v="3"/>
    <x v="333"/>
    <n v="16.329999999999998"/>
    <n v="-6.5333333333333341"/>
    <n v="-0.41918804780876484"/>
    <n v="0"/>
    <n v="0.32891006234449566"/>
    <n v="1094.230291766268"/>
    <n v="2300"/>
    <x v="166"/>
    <s v="&lt;Клиент не выбран&gt;"/>
    <s v="2025 01"/>
    <n v="1205.769708233732"/>
    <n v="1.101934133341731"/>
  </r>
  <r>
    <s v="522635390"/>
    <s v="720000049600"/>
    <s v="iHerb_OA CZN6870"/>
    <s v="Доставлен"/>
    <d v="2023-12-13T00:00:00"/>
    <x v="18"/>
    <s v="Витамины"/>
    <s v="NOW-03325"/>
    <x v="3"/>
    <x v="333"/>
    <n v="16.329999999999998"/>
    <n v="-6.5333333333333341"/>
    <n v="-0.41918804780876484"/>
    <n v="0"/>
    <n v="0.32891006234449566"/>
    <n v="1094.230291766268"/>
    <n v="2300"/>
    <x v="530"/>
    <s v="&lt;Клиент не выбран&gt;"/>
    <s v="2025 03"/>
    <n v="1205.769708233732"/>
    <n v="1.101934133341731"/>
  </r>
  <r>
    <s v="522635390"/>
    <s v="720000049600"/>
    <s v="iHerb_OA CZN6870"/>
    <s v="Доставлен"/>
    <d v="2023-12-13T00:00:00"/>
    <x v="18"/>
    <s v="Витамины"/>
    <s v="SOR-04710"/>
    <x v="10"/>
    <x v="723"/>
    <n v="6.69"/>
    <n v="-1.34"/>
    <n v="-0.22892031872509963"/>
    <n v="0"/>
    <n v="0.17961913918438782"/>
    <n v="597.56366733067739"/>
    <n v="1100"/>
    <x v="315"/>
    <s v="&lt;Клиент не выбран&gt;"/>
    <s v="2024 04"/>
    <n v="502.43633266932261"/>
    <n v="0.84080803458769593"/>
  </r>
  <r>
    <s v="522635390"/>
    <s v="720000049600"/>
    <s v="iHerb_OA CZN6870"/>
    <s v="Доставлен"/>
    <d v="2023-12-13T00:00:00"/>
    <x v="18"/>
    <s v="Витамины"/>
    <s v="SOR-04710"/>
    <x v="10"/>
    <x v="723"/>
    <n v="6.69"/>
    <n v="-1.34"/>
    <n v="-0.22892031872509963"/>
    <n v="0"/>
    <n v="0.17961913918438782"/>
    <n v="597.56366733067739"/>
    <n v="1200"/>
    <x v="531"/>
    <s v="&lt;Клиент не выбран&gt;"/>
    <s v="2024 06"/>
    <n v="602.43633266932261"/>
    <n v="1.0081542195502138"/>
  </r>
  <r>
    <s v="522635390"/>
    <s v="720000049600"/>
    <s v="iHerb_OA CZN6870"/>
    <s v="Доставлен"/>
    <d v="2023-12-13T00:00:00"/>
    <x v="18"/>
    <s v="Витамины"/>
    <s v="SOR-47105"/>
    <x v="10"/>
    <x v="979"/>
    <n v="8.76"/>
    <n v="-1.75"/>
    <n v="-0.29994980079681277"/>
    <n v="0"/>
    <n v="0.23535143283786136"/>
    <n v="782.97594541832666"/>
    <n v="1400"/>
    <x v="364"/>
    <s v="&lt;Клиент не выбран&gt;"/>
    <s v="2024 01"/>
    <n v="617.02405458167334"/>
    <n v="0.78804982221006936"/>
  </r>
  <r>
    <s v="522635390"/>
    <s v="720000049600"/>
    <s v="iHerb_OA CZN6870"/>
    <s v="Доставлен"/>
    <d v="2023-12-13T00:00:00"/>
    <x v="18"/>
    <s v="Витамины"/>
    <s v="SOR-47105"/>
    <x v="10"/>
    <x v="979"/>
    <n v="8.76"/>
    <n v="-1.75"/>
    <n v="-0.29994980079681277"/>
    <n v="0"/>
    <n v="0.23535143283786136"/>
    <n v="782.97594541832666"/>
    <n v="1400"/>
    <x v="532"/>
    <s v="&lt;Клиент не выбран&gt;"/>
    <s v="2024 04"/>
    <n v="617.02405458167334"/>
    <n v="0.78804982221006936"/>
  </r>
  <r>
    <s v="522635390"/>
    <s v="720000049600"/>
    <s v="iHerb_OA CZN6870"/>
    <s v="Доставлен"/>
    <d v="2023-12-13T00:00:00"/>
    <x v="18"/>
    <s v="Витамины"/>
    <s v="NOW-01552"/>
    <x v="3"/>
    <x v="514"/>
    <n v="13.51"/>
    <n v="-3.38"/>
    <n v="-0.43345099601593617"/>
    <n v="0"/>
    <n v="0.34010128596969119"/>
    <n v="1131.4616729083664"/>
    <n v="1900"/>
    <x v="533"/>
    <s v="&lt;Клиент не выбран&gt;"/>
    <s v="2024 06"/>
    <n v="768.53832709163362"/>
    <n v="0.67924380073444623"/>
  </r>
  <r>
    <s v="522635390"/>
    <s v="720000049600"/>
    <s v="iHerb_OA CZN6870"/>
    <s v="Доставлен"/>
    <d v="2023-12-13T00:00:00"/>
    <x v="18"/>
    <s v="Витамины"/>
    <s v="CAL-52642"/>
    <x v="138"/>
    <x v="980"/>
    <n v="6.1"/>
    <n v="-1.22"/>
    <n v="-0.20880956175298804"/>
    <n v="0"/>
    <n v="0.16383951387286214"/>
    <n v="545.06741992031868"/>
    <n v="1200"/>
    <x v="382"/>
    <s v="&lt;Клиент не выбран&gt;"/>
    <s v="2024 01"/>
    <n v="654.93258007968132"/>
    <n v="1.2015625152855831"/>
  </r>
  <r>
    <s v="522635390"/>
    <s v="720000049600"/>
    <s v="iHerb_OA CZN6870"/>
    <s v="Доставлен"/>
    <d v="2023-12-13T00:00:00"/>
    <x v="18"/>
    <s v="Витамины"/>
    <s v="NOW-01283"/>
    <x v="3"/>
    <x v="343"/>
    <n v="17.43"/>
    <n v="-4.3600000000000003"/>
    <n v="-0.5592501992031873"/>
    <n v="0"/>
    <n v="0.43880787834391555"/>
    <n v="1459.8424545816733"/>
    <n v="2400"/>
    <x v="456"/>
    <s v="&lt;Клиент не выбран&gt;"/>
    <s v="2024 02"/>
    <n v="940.15754541832666"/>
    <n v="0.6440130183004813"/>
  </r>
  <r>
    <s v="522635390"/>
    <s v="720000049600"/>
    <s v="iHerb_OA CZN6870"/>
    <s v="Доставлен"/>
    <d v="2023-12-13T00:00:00"/>
    <x v="18"/>
    <s v="Витамины"/>
    <s v="NOW-01283"/>
    <x v="3"/>
    <x v="343"/>
    <n v="17.43"/>
    <n v="-4.3600000000000003"/>
    <n v="-0.5592501992031873"/>
    <n v="0"/>
    <n v="0.43880787834391555"/>
    <n v="1459.8424545816733"/>
    <n v="2600"/>
    <x v="534"/>
    <s v="&lt;Клиент не выбран&gt;"/>
    <s v="2024 05"/>
    <n v="1140.1575454183267"/>
    <n v="0.78101410315885467"/>
  </r>
  <r>
    <s v="522635390"/>
    <s v="720000049600"/>
    <s v="iHerb_OA CZN6870"/>
    <s v="Доставлен"/>
    <d v="2023-12-13T00:00:00"/>
    <x v="18"/>
    <s v="Витамины"/>
    <s v="CAL-62827"/>
    <x v="138"/>
    <x v="724"/>
    <n v="9.9"/>
    <n v="-1.98"/>
    <n v="-0.33888764940239047"/>
    <n v="0"/>
    <n v="0.26590347333464509"/>
    <n v="884.61761593625499"/>
    <n v="1800"/>
    <x v="323"/>
    <s v="&lt;Клиент не выбран&gt;"/>
    <s v="2024 01"/>
    <n v="915.38238406374501"/>
    <n v="1.0347774762487965"/>
  </r>
  <r>
    <s v="522635390"/>
    <s v="720000049600"/>
    <s v="iHerb_OA CZN6870"/>
    <s v="Доставлен"/>
    <d v="2023-12-13T00:00:00"/>
    <x v="18"/>
    <s v="Витамины"/>
    <s v="CAL-62827"/>
    <x v="138"/>
    <x v="724"/>
    <n v="9.9"/>
    <n v="-1.98"/>
    <n v="-0.33888764940239047"/>
    <n v="0"/>
    <n v="0.26590347333464509"/>
    <n v="884.61761593625499"/>
    <n v="1800"/>
    <x v="457"/>
    <s v="&lt;Клиент не выбран&gt;"/>
    <s v="2024 04"/>
    <n v="915.38238406374501"/>
    <n v="1.0347774762487965"/>
  </r>
  <r>
    <s v="522635390"/>
    <s v="720000049600"/>
    <s v="iHerb_OA CZN6870"/>
    <s v="Доставлен"/>
    <d v="2023-12-13T00:00:00"/>
    <x v="18"/>
    <s v="Витамины"/>
    <s v="HNS-00403"/>
    <x v="228"/>
    <x v="981"/>
    <n v="3.64"/>
    <n v="-0.73"/>
    <n v="-0.12451553784860558"/>
    <n v="0"/>
    <n v="9.7699382247956726E-2"/>
    <n v="325.02995737051799"/>
    <m/>
    <x v="20"/>
    <m/>
    <s v=""/>
    <n v="-325.02995737051799"/>
    <s v=""/>
  </r>
  <r>
    <s v="522635390"/>
    <s v="720000049600"/>
    <s v="iHerb_OA CZN6870"/>
    <s v="Доставлен"/>
    <d v="2023-12-13T00:00:00"/>
    <x v="18"/>
    <s v="Витамины"/>
    <s v="HNS-00404"/>
    <x v="228"/>
    <x v="982"/>
    <n v="3.68"/>
    <n v="-0.74"/>
    <n v="-0.12579920318725102"/>
    <n v="0"/>
    <n v="9.8706592374224328E-2"/>
    <n v="328.38078167330684"/>
    <m/>
    <x v="20"/>
    <m/>
    <s v=""/>
    <n v="-328.38078167330684"/>
    <s v=""/>
  </r>
  <r>
    <s v="522635390"/>
    <s v="720000049600"/>
    <s v="iHerb_OA CZN6870"/>
    <s v="Доставлен"/>
    <d v="2023-12-13T00:00:00"/>
    <x v="18"/>
    <s v="Витамины"/>
    <s v="NOW-01665"/>
    <x v="3"/>
    <x v="983"/>
    <n v="38.06"/>
    <n v="-15.225"/>
    <n v="-0.97708326693227099"/>
    <n v="0"/>
    <n v="0.76665477444401775"/>
    <n v="2550.535765139442"/>
    <n v="4200"/>
    <x v="414"/>
    <s v="&lt;Клиент не выбран&gt;"/>
    <s v="2024 05"/>
    <n v="1649.464234860558"/>
    <n v="0.64671284261343387"/>
  </r>
  <r>
    <s v="522635390"/>
    <s v="720000049600"/>
    <s v="iHerb_OA CZN6870"/>
    <s v="Доставлен"/>
    <d v="2023-12-13T00:00:00"/>
    <x v="18"/>
    <s v="Витамины"/>
    <s v="NOW-01665"/>
    <x v="3"/>
    <x v="983"/>
    <n v="38.06"/>
    <n v="-15.225"/>
    <n v="-0.97708326693227099"/>
    <n v="0"/>
    <n v="0.76665477444401775"/>
    <n v="2550.535765139442"/>
    <n v="4200"/>
    <x v="469"/>
    <s v="&lt;Клиент не выбран&gt;"/>
    <s v="2024 08"/>
    <n v="1649.464234860558"/>
    <n v="0.64671284261343387"/>
  </r>
  <r>
    <s v="522635390"/>
    <s v="720000049600"/>
    <s v="iHerb_OA CZN6870"/>
    <s v="Доставлен"/>
    <d v="2023-12-13T00:00:00"/>
    <x v="18"/>
    <s v="Витамины"/>
    <s v="CGN-00963"/>
    <x v="1"/>
    <x v="911"/>
    <n v="11.68"/>
    <n v="-3.5049999999999999"/>
    <n v="-0.34979880478087655"/>
    <n v="0"/>
    <n v="0.2744647594079197"/>
    <n v="913.09962250996023"/>
    <n v="1700"/>
    <x v="535"/>
    <s v="&lt;Клиент не выбран&gt;"/>
    <s v="2024 02"/>
    <n v="786.90037749003977"/>
    <n v="0.86179027796220142"/>
  </r>
  <r>
    <s v="522635390"/>
    <s v="720000049600"/>
    <s v="iHerb_OA CZN6870"/>
    <s v="Доставлен"/>
    <d v="2023-12-13T00:00:00"/>
    <x v="18"/>
    <s v="Витамины"/>
    <s v="CGN-00963"/>
    <x v="1"/>
    <x v="911"/>
    <n v="11.68"/>
    <n v="-3.5049999999999999"/>
    <n v="-0.34979880478087655"/>
    <n v="0"/>
    <n v="0.2744647594079197"/>
    <n v="913.09962250996023"/>
    <n v="1700"/>
    <x v="499"/>
    <s v="&lt;Клиент не выбран&gt;"/>
    <s v="2024 05"/>
    <n v="786.90037749003977"/>
    <n v="0.86179027796220142"/>
  </r>
  <r>
    <s v="522635390"/>
    <s v="720000049600"/>
    <s v="iHerb_OA CZN6870"/>
    <s v="Доставлен"/>
    <d v="2023-12-13T00:00:00"/>
    <x v="18"/>
    <s v="Витамины"/>
    <s v="FBS-50070"/>
    <x v="20"/>
    <x v="880"/>
    <n v="15.52"/>
    <n v="-1.55"/>
    <n v="-0.59776015936254978"/>
    <n v="0"/>
    <n v="0.46902418213194336"/>
    <n v="1560.3671836653384"/>
    <n v="2300"/>
    <x v="323"/>
    <s v="&lt;Клиент не выбран&gt;"/>
    <s v="2024 01"/>
    <n v="739.63281633466158"/>
    <n v="0.4740120300384984"/>
  </r>
  <r>
    <s v="522767884"/>
    <s v="720000058933"/>
    <s v="iHerb_OA CZN6870"/>
    <s v="Доставлен"/>
    <d v="2023-12-20T00:00:00"/>
    <x v="18"/>
    <s v="Витамины"/>
    <s v="CVR-13109"/>
    <x v="229"/>
    <x v="984"/>
    <n v="45.23"/>
    <n v="-4.5199999999999996"/>
    <n v="-2.2143749999999995"/>
    <n v="0"/>
    <n v="2.2853025564817346"/>
    <n v="4184.6443749999989"/>
    <n v="5100"/>
    <x v="323"/>
    <s v="&lt;Клиент не выбран&gt;"/>
    <s v="2024 01"/>
    <n v="915.35562500000106"/>
    <n v="0.21874155674220255"/>
  </r>
  <r>
    <s v="522767884"/>
    <s v="720000058933"/>
    <s v="iHerb_OA CZN6870"/>
    <s v="Доставлен"/>
    <d v="2023-12-20T00:00:00"/>
    <x v="18"/>
    <s v="Спортпит"/>
    <s v="FOA-01906"/>
    <x v="171"/>
    <x v="869"/>
    <n v="22.79"/>
    <n v="-5.7"/>
    <n v="-0.92959147015475307"/>
    <n v="0"/>
    <n v="0.95936675731448917"/>
    <n v="1756.7077467145662"/>
    <n v="2500"/>
    <x v="536"/>
    <m/>
    <s v="2026 01"/>
    <n v="743.29225328543384"/>
    <n v="0.42311662521871124"/>
  </r>
  <r>
    <s v="522767884"/>
    <s v="720000058933"/>
    <s v="iHerb_OA CZN6870"/>
    <s v="Доставлен"/>
    <d v="2023-12-20T00:00:00"/>
    <x v="18"/>
    <s v="Спортпит"/>
    <s v="FOA-01490"/>
    <x v="171"/>
    <x v="985"/>
    <n v="15.58"/>
    <n v="-4.67"/>
    <n v="-0.59343726971260136"/>
    <n v="0"/>
    <n v="0.61244536701586172"/>
    <n v="1121.4559108634242"/>
    <n v="1600"/>
    <x v="526"/>
    <m/>
    <s v="2026 03"/>
    <n v="478.54408913657585"/>
    <n v="0.42671681026509395"/>
  </r>
  <r>
    <s v="522767884"/>
    <s v="720000058933"/>
    <s v="iHerb_OA CZN6870"/>
    <s v="Доставлен"/>
    <d v="2023-12-20T00:00:00"/>
    <x v="18"/>
    <s v="Витамины"/>
    <s v="NOW-00470"/>
    <x v="3"/>
    <x v="800"/>
    <n v="11.76"/>
    <n v="-2.35"/>
    <n v="-0.51184644436256455"/>
    <n v="0"/>
    <n v="0.52824114606959294"/>
    <n v="967.26857206460329"/>
    <n v="1800"/>
    <x v="250"/>
    <s v="&lt;Клиент не выбран&gt;"/>
    <s v="2024 01"/>
    <n v="832.73142793539671"/>
    <n v="0.86091024973338959"/>
  </r>
  <r>
    <s v="522767884"/>
    <s v="720000058933"/>
    <s v="iHerb_OA CZN6870"/>
    <s v="Доставлен"/>
    <d v="2023-12-20T00:00:00"/>
    <x v="18"/>
    <s v="Спортпит"/>
    <s v="FOA-01527"/>
    <x v="171"/>
    <x v="986"/>
    <n v="10.53"/>
    <n v="-5.27"/>
    <n v="-0.28611182756079589"/>
    <n v="0"/>
    <n v="0.29527613478491588"/>
    <n v="540.68360138786534"/>
    <n v="1600"/>
    <x v="537"/>
    <m/>
    <s v="2025 11"/>
    <n v="1059.3163986121347"/>
    <n v="1.9592168060821626"/>
  </r>
  <r>
    <s v="522767884"/>
    <s v="720000058933"/>
    <s v="iHerb_OA CZN6870"/>
    <s v="Доставлен"/>
    <d v="2023-12-20T00:00:00"/>
    <x v="18"/>
    <s v="Витамины"/>
    <s v="SOR-37402"/>
    <x v="10"/>
    <x v="987"/>
    <n v="16.350000000000001"/>
    <n v="-4.09"/>
    <n v="-0.66686901252763453"/>
    <n v="0"/>
    <n v="0.68822916586750382"/>
    <n v="1260.2245157823634"/>
    <n v="2300"/>
    <x v="538"/>
    <s v="&lt;Клиент не выбран&gt;"/>
    <s v="2024 01"/>
    <n v="1039.7754842176366"/>
    <n v="0.82507162112469368"/>
  </r>
  <r>
    <s v="522767884"/>
    <s v="720000058933"/>
    <s v="iHerb_OA CZN6870"/>
    <s v="Доставлен"/>
    <d v="2023-12-20T00:00:00"/>
    <x v="18"/>
    <s v="Витамины"/>
    <s v="SOR-37402"/>
    <x v="10"/>
    <x v="987"/>
    <n v="16.350000000000001"/>
    <n v="-4.09"/>
    <n v="-0.66686901252763453"/>
    <n v="0"/>
    <n v="0.68822916586750382"/>
    <n v="1260.2245157823634"/>
    <n v="2200"/>
    <x v="539"/>
    <s v="&lt;Клиент не выбран&gt;"/>
    <s v="2024 10"/>
    <n v="939.77548421763663"/>
    <n v="0.74572068107579392"/>
  </r>
  <r>
    <s v="522767884"/>
    <s v="720000058933"/>
    <s v="iHerb_OA CZN6870"/>
    <s v="Доставлен"/>
    <d v="2023-12-20T00:00:00"/>
    <x v="18"/>
    <s v="Витамины"/>
    <s v="FOA-01478"/>
    <x v="171"/>
    <x v="988"/>
    <n v="12.4"/>
    <n v="-3.1"/>
    <n v="-0.50586311717022847"/>
    <n v="0"/>
    <n v="0.5220661698668666"/>
    <n v="955.9615005526897"/>
    <n v="1800"/>
    <x v="41"/>
    <s v="&lt;Клиент не выбран&gt;"/>
    <s v="2024 02"/>
    <n v="844.0384994473103"/>
    <n v="0.8829210161280856"/>
  </r>
  <r>
    <s v="522767884"/>
    <s v="720000058933"/>
    <s v="iHerb_OA CZN6870"/>
    <s v="Доставлен"/>
    <d v="2023-12-20T00:00:00"/>
    <x v="18"/>
    <s v="Витамины"/>
    <s v="FOA-01478"/>
    <x v="171"/>
    <x v="988"/>
    <n v="12.4"/>
    <n v="-3.1"/>
    <n v="-0.50586311717022847"/>
    <n v="0"/>
    <n v="0.5220661698668666"/>
    <n v="955.9615005526897"/>
    <n v="1600"/>
    <x v="540"/>
    <s v="&lt;Клиент не выбран&gt;"/>
    <s v="2025 05"/>
    <n v="644.0384994473103"/>
    <n v="0.67370756989163172"/>
  </r>
  <r>
    <s v="522767884"/>
    <s v="720000058933"/>
    <s v="iHerb_OA CZN6870"/>
    <s v="Доставлен"/>
    <d v="2023-12-20T00:00:00"/>
    <x v="18"/>
    <s v="Витамины"/>
    <s v="RMS-06804"/>
    <x v="230"/>
    <x v="989"/>
    <n v="28.9"/>
    <n v="-7.23"/>
    <n v="-1.178715456890199"/>
    <n v="0"/>
    <n v="1.2164703119370963"/>
    <n v="2227.4930878469663"/>
    <n v="3500"/>
    <x v="541"/>
    <s v="&lt;Клиент не выбран&gt;"/>
    <s v="2024 04"/>
    <n v="1272.5069121530337"/>
    <n v="0.57127311375094048"/>
  </r>
  <r>
    <s v="522767884"/>
    <s v="720000058933"/>
    <s v="iHerb_OA CZN6870"/>
    <s v="Доставлен"/>
    <d v="2023-12-20T00:00:00"/>
    <x v="18"/>
    <s v="Витамины"/>
    <s v="YOU-00316"/>
    <x v="71"/>
    <x v="990"/>
    <n v="29.75"/>
    <n v="-7.44"/>
    <n v="-1.2135275423728813"/>
    <n v="0"/>
    <n v="1.2523974462075045"/>
    <n v="2293.2796857344633"/>
    <n v="2255.6"/>
    <x v="538"/>
    <s v="&lt;Клиент не выбран&gt;"/>
    <s v="2024 01"/>
    <n v="-37.679685734463419"/>
    <n v="-1.6430479879472631E-2"/>
  </r>
  <r>
    <s v="522767884"/>
    <s v="720000058933"/>
    <s v="iHerb_OA CZN6870"/>
    <s v="Доставлен"/>
    <d v="2023-12-20T00:00:00"/>
    <x v="18"/>
    <s v="Витамины"/>
    <s v="NOW-01792"/>
    <x v="3"/>
    <x v="991"/>
    <n v="13.07"/>
    <n v="-2.61"/>
    <n v="-0.56896002210759034"/>
    <n v="0"/>
    <n v="0.58718410073198113"/>
    <n v="1075.199709223778"/>
    <n v="1900"/>
    <x v="231"/>
    <s v="&lt;Клиент не выбран&gt;"/>
    <s v="2024 02"/>
    <n v="824.80029077622203"/>
    <n v="0.76711357313486672"/>
  </r>
  <r>
    <s v="522767884"/>
    <s v="720000058933"/>
    <s v="iHerb_OA CZN6870"/>
    <s v="Доставлен"/>
    <d v="2023-12-20T00:00:00"/>
    <x v="18"/>
    <s v="Витамины"/>
    <s v="CGN-00963"/>
    <x v="1"/>
    <x v="911"/>
    <n v="11.68"/>
    <n v="-3.5049999999999999"/>
    <n v="-0.44466999815770086"/>
    <n v="0"/>
    <n v="0.45891300415716491"/>
    <n v="840.32099645357414"/>
    <n v="1600"/>
    <x v="393"/>
    <s v="&lt;Клиент не выбран&gt;"/>
    <s v="2024 06"/>
    <n v="759.67900354642586"/>
    <n v="0.90403429969323212"/>
  </r>
  <r>
    <s v="522767884"/>
    <s v="720000058933"/>
    <s v="iHerb_OA CZN6870"/>
    <s v="Доставлен"/>
    <d v="2023-12-20T00:00:00"/>
    <x v="18"/>
    <s v="Витамины"/>
    <s v="CGN-00963"/>
    <x v="1"/>
    <x v="911"/>
    <n v="11.68"/>
    <n v="-3.5049999999999999"/>
    <n v="-0.44466999815770086"/>
    <n v="0"/>
    <n v="0.45891300415716491"/>
    <n v="840.32099645357414"/>
    <n v="1600"/>
    <x v="542"/>
    <s v="&lt;Клиент не выбран&gt;"/>
    <s v="2025 03"/>
    <n v="759.67900354642586"/>
    <n v="0.90403429969323212"/>
  </r>
  <r>
    <s v="522767884"/>
    <s v="720000058933"/>
    <s v="iHerb_OA CZN6870"/>
    <s v="Доставлен"/>
    <d v="2023-12-20T00:00:00"/>
    <x v="18"/>
    <s v="Витамины"/>
    <s v="JRW-33001"/>
    <x v="21"/>
    <x v="992"/>
    <n v="26.44"/>
    <n v="-6.61"/>
    <n v="-1.0786307111274873"/>
    <n v="0"/>
    <n v="1.1131798009096736"/>
    <n v="2038.3566189204128"/>
    <m/>
    <x v="20"/>
    <m/>
    <s v=""/>
    <n v="-2038.3566189204128"/>
    <s v=""/>
  </r>
  <r>
    <s v="522691947"/>
    <s v="720000053678"/>
    <s v="iHerb_AV CYG0792"/>
    <s v="Доставлен"/>
    <d v="2023-12-16T00:00:00"/>
    <x v="18"/>
    <s v="Спортпит"/>
    <s v="FOA-01906"/>
    <x v="171"/>
    <x v="869"/>
    <n v="22.79"/>
    <n v="-11.4"/>
    <n v="-0.36054917550058901"/>
    <n v="4.7662436750927819E-15"/>
    <n v="0.38895389016964843"/>
    <n v="1169.2219865282696"/>
    <n v="2500"/>
    <x v="526"/>
    <m/>
    <s v="2026 03"/>
    <n v="1330.7780134717304"/>
    <n v="1.1381739556772821"/>
  </r>
  <r>
    <s v="522691947"/>
    <s v="720000053678"/>
    <s v="iHerb_AV CYG0792"/>
    <s v="Доставлен"/>
    <d v="2023-12-16T00:00:00"/>
    <x v="18"/>
    <s v="Витамины"/>
    <s v="YOU-00303"/>
    <x v="71"/>
    <x v="422"/>
    <n v="24.98"/>
    <n v="-6.25"/>
    <n v="-0.59289605418139013"/>
    <n v="7.8377299415704845E-15"/>
    <n v="0.63960547523068634"/>
    <n v="1922.6977882067154"/>
    <n v="3300"/>
    <x v="469"/>
    <s v="&lt;Клиент не выбран&gt;"/>
    <s v="2024 08"/>
    <n v="1377.3022117932846"/>
    <n v="0.71633837633832365"/>
  </r>
  <r>
    <s v="522691947"/>
    <s v="720000053678"/>
    <s v="iHerb_AV CYG0792"/>
    <s v="Доставлен"/>
    <d v="2023-12-16T00:00:00"/>
    <x v="18"/>
    <s v="Витамины"/>
    <s v="EVL-02812"/>
    <x v="125"/>
    <x v="734"/>
    <n v="10.5"/>
    <n v="-2.625"/>
    <n v="-0.2492822438162545"/>
    <n v="3.2953616278626568E-15"/>
    <n v="0.26892114882229873"/>
    <n v="808.39535943021281"/>
    <n v="1600"/>
    <x v="427"/>
    <s v="&lt;Клиент не выбран&gt;"/>
    <s v="2024 06"/>
    <n v="791.60464056978719"/>
    <n v="0.9792295704514431"/>
  </r>
  <r>
    <s v="522691947"/>
    <s v="720000053678"/>
    <s v="iHerb_AV CYG0792"/>
    <s v="Доставлен"/>
    <d v="2023-12-16T00:00:00"/>
    <x v="18"/>
    <s v="Витамины"/>
    <s v="EVL-02812"/>
    <x v="125"/>
    <x v="734"/>
    <n v="10.5"/>
    <n v="-2.625"/>
    <n v="-0.2492822438162545"/>
    <n v="3.2953616278626568E-15"/>
    <n v="0.26892114882229873"/>
    <n v="808.39535943021281"/>
    <n v="1600"/>
    <x v="386"/>
    <s v="&lt;Клиент не выбран&gt;"/>
    <s v="2024 08"/>
    <n v="791.60464056978719"/>
    <n v="0.9792295704514431"/>
  </r>
  <r>
    <s v="522691947"/>
    <s v="720000053678"/>
    <s v="iHerb_AV CYG0792"/>
    <s v="Доставлен"/>
    <d v="2023-12-16T00:00:00"/>
    <x v="18"/>
    <s v="Витамины"/>
    <s v="YOU-00316"/>
    <x v="71"/>
    <x v="990"/>
    <n v="29.75"/>
    <n v="-8.9250000000000007"/>
    <n v="-0.6592130447585397"/>
    <n v="8.7144007492368035E-15"/>
    <n v="0.7111470379967455"/>
    <n v="2137.7566171598955"/>
    <n v="3400"/>
    <x v="507"/>
    <s v="&lt;Клиент не выбран&gt;"/>
    <s v="2024 07"/>
    <n v="1262.2433828401045"/>
    <n v="0.59045233339848147"/>
  </r>
  <r>
    <s v="522691947"/>
    <s v="720000053678"/>
    <s v="iHerb_AV CYG0792"/>
    <s v="Доставлен"/>
    <d v="2023-12-16T00:00:00"/>
    <x v="18"/>
    <s v="Витамины"/>
    <s v="YOU-00316"/>
    <x v="71"/>
    <x v="990"/>
    <n v="29.75"/>
    <n v="-8.9250000000000007"/>
    <n v="-0.6592130447585397"/>
    <n v="8.7144007492368035E-15"/>
    <n v="0.7111470379967455"/>
    <n v="2137.7566171598955"/>
    <n v="3400"/>
    <x v="507"/>
    <s v="&lt;Клиент не выбран&gt;"/>
    <s v="2024 07"/>
    <n v="1262.2433828401045"/>
    <n v="0.59045233339848147"/>
  </r>
  <r>
    <s v="522691947"/>
    <s v="720000053678"/>
    <s v="iHerb_AV CYG0792"/>
    <s v="Доставлен"/>
    <d v="2023-12-16T00:00:00"/>
    <x v="18"/>
    <s v="Косметика"/>
    <s v="WNW-58000"/>
    <x v="231"/>
    <x v="993"/>
    <n v="5.99"/>
    <n v="-1.2"/>
    <n v="-0.15162691401649003"/>
    <n v="2.0044167869793176E-15"/>
    <n v="0.16357235591857916"/>
    <n v="491.7096852915198"/>
    <m/>
    <x v="20"/>
    <m/>
    <s v=""/>
    <n v="-491.7096852915198"/>
    <s v=""/>
  </r>
  <r>
    <s v="522691947"/>
    <s v="720000053678"/>
    <s v="iHerb_AV CYG0792"/>
    <s v="Доставлен"/>
    <d v="2023-12-16T00:00:00"/>
    <x v="18"/>
    <s v="Витамины"/>
    <s v="CVR-13129"/>
    <x v="229"/>
    <x v="994"/>
    <n v="28.53"/>
    <n v="-2.85"/>
    <n v="-0.81289752650176705"/>
    <n v="1.0746017346477844E-14"/>
    <n v="0.87693906054052451"/>
    <n v="2636.1387720848079"/>
    <n v="3400"/>
    <x v="361"/>
    <s v="&lt;Клиент не выбран&gt;"/>
    <s v="2024 01"/>
    <n v="763.8612279151921"/>
    <n v="0.28976518080309077"/>
  </r>
  <r>
    <s v="522691947"/>
    <s v="720000053678"/>
    <s v="iHerb_AV CYG0792"/>
    <s v="Доставлен"/>
    <d v="2023-12-16T00:00:00"/>
    <x v="18"/>
    <s v="Витамины"/>
    <s v="CVR-13077"/>
    <x v="229"/>
    <x v="995"/>
    <n v="39.090000000000003"/>
    <n v="-3.91"/>
    <n v="-1.1136189634864553"/>
    <n v="1.4721374230883593E-14"/>
    <n v="1.2013518749928216"/>
    <n v="3611.3458723498275"/>
    <n v="4500"/>
    <x v="361"/>
    <s v="&lt;Клиент не выбран&gt;"/>
    <s v="2024 01"/>
    <n v="888.65412765017254"/>
    <n v="0.2460728379561008"/>
  </r>
  <r>
    <s v="522691947"/>
    <s v="720000053678"/>
    <s v="iHerb_AV CYG0792"/>
    <s v="Доставлен"/>
    <d v="2023-12-16T00:00:00"/>
    <x v="18"/>
    <s v="Витамины"/>
    <s v="THR-80303"/>
    <x v="82"/>
    <x v="996"/>
    <n v="16"/>
    <n v="-1.6"/>
    <n v="-0.45583038869257969"/>
    <n v="6.0258041195202868E-15"/>
    <n v="0.49174152927506048"/>
    <n v="1478.2086572438175"/>
    <n v="2100"/>
    <x v="361"/>
    <s v="&lt;Клиент не выбран&gt;"/>
    <s v="2024 01"/>
    <n v="621.79134275618253"/>
    <n v="0.42063841238458094"/>
  </r>
  <r>
    <s v="522691947"/>
    <s v="720000053678"/>
    <s v="iHerb_AV CYG0792"/>
    <s v="Доставлен"/>
    <d v="2023-12-16T00:00:00"/>
    <x v="18"/>
    <s v="Витамины"/>
    <s v="SNS-00678"/>
    <x v="151"/>
    <x v="997"/>
    <n v="17.97"/>
    <n v="-1.8"/>
    <n v="-0.51185954063604255"/>
    <n v="6.7664758758779874E-15"/>
    <n v="0.55218475891511998"/>
    <n v="1659.9051380300368"/>
    <n v="2300"/>
    <x v="361"/>
    <s v="&lt;Клиент не выбран&gt;"/>
    <s v="2024 01"/>
    <n v="640.09486196996318"/>
    <n v="0.38562135106685858"/>
  </r>
  <r>
    <s v="522691947"/>
    <s v="720000053678"/>
    <s v="iHerb_AV CYG0792"/>
    <s v="Доставлен"/>
    <d v="2023-12-16T00:00:00"/>
    <x v="18"/>
    <s v="Витамины"/>
    <s v="SOR-57445"/>
    <x v="10"/>
    <x v="604"/>
    <n v="22.96"/>
    <n v="-5.74"/>
    <n v="-0.54509717314487649"/>
    <n v="7.2058574262596756E-15"/>
    <n v="0.58804091209142639"/>
    <n v="1767.6911859540646"/>
    <n v="2900"/>
    <x v="543"/>
    <s v="&lt;Клиент не выбран&gt;"/>
    <s v="2024 09"/>
    <n v="1132.3088140459354"/>
    <n v="0.64055804715392162"/>
  </r>
  <r>
    <s v="522691947"/>
    <s v="720000053678"/>
    <s v="iHerb_AV CYG0792"/>
    <s v="Доставлен"/>
    <d v="2023-12-16T00:00:00"/>
    <x v="18"/>
    <s v="Витамины"/>
    <s v="SOR-57445"/>
    <x v="10"/>
    <x v="604"/>
    <n v="22.96"/>
    <n v="-5.74"/>
    <n v="-0.54509717314487649"/>
    <n v="7.2058574262596756E-15"/>
    <n v="0.58804091209142639"/>
    <n v="1767.6911859540646"/>
    <n v="3100"/>
    <x v="524"/>
    <s v="&lt;Клиент не выбран&gt;"/>
    <s v="2024 12"/>
    <n v="1332.3088140459354"/>
    <n v="0.75369998144039896"/>
  </r>
  <r>
    <s v="522691947"/>
    <s v="720000053678"/>
    <s v="iHerb_AV CYG0792"/>
    <s v="Доставлен"/>
    <d v="2023-12-16T00:00:00"/>
    <x v="18"/>
    <s v="Витамины"/>
    <s v="SOR-57445"/>
    <x v="10"/>
    <x v="604"/>
    <n v="22.96"/>
    <n v="-5.74"/>
    <n v="-0.54509717314487649"/>
    <n v="7.2058574262596756E-15"/>
    <n v="0.58804091209142639"/>
    <n v="1767.6911859540646"/>
    <n v="3200"/>
    <x v="544"/>
    <s v="&lt;Клиент не выбран&gt;"/>
    <s v="2025 01"/>
    <n v="1432.3088140459354"/>
    <n v="0.81027094858363768"/>
  </r>
  <r>
    <s v="522691947"/>
    <s v="720000053678"/>
    <s v="iHerb_AV CYG0792"/>
    <s v="Доставлен"/>
    <d v="2023-12-16T00:00:00"/>
    <x v="18"/>
    <s v="Витамины"/>
    <s v="SOR-57445"/>
    <x v="10"/>
    <x v="604"/>
    <n v="22.96"/>
    <n v="-5.74"/>
    <n v="-0.54509717314487649"/>
    <n v="7.2058574262596756E-15"/>
    <n v="0.58804091209142639"/>
    <n v="1767.6911859540646"/>
    <n v="3200"/>
    <x v="545"/>
    <s v="&lt;Клиент не выбран&gt;"/>
    <s v="2025 02"/>
    <n v="1432.3088140459354"/>
    <n v="0.81027094858363768"/>
  </r>
  <r>
    <s v="522691947"/>
    <s v="720000053678"/>
    <s v="iHerb_AV CYG0792"/>
    <s v="Доставлен"/>
    <d v="2023-12-16T00:00:00"/>
    <x v="18"/>
    <s v="Витамины"/>
    <s v="SOR-38584"/>
    <x v="10"/>
    <x v="626"/>
    <n v="12.71"/>
    <n v="-3.18"/>
    <n v="-0.3016710836277976"/>
    <n v="3.9879106429880793E-15"/>
    <n v="0.32543727597161998"/>
    <n v="978.2867016342766"/>
    <n v="1700"/>
    <x v="456"/>
    <s v="&lt;Клиент не выбран&gt;"/>
    <s v="2024 02"/>
    <n v="721.7132983657234"/>
    <n v="0.7377318910295575"/>
  </r>
  <r>
    <s v="522691947"/>
    <s v="720000053678"/>
    <s v="iHerb_AV CYG0792"/>
    <s v="Доставлен"/>
    <d v="2023-12-16T00:00:00"/>
    <x v="18"/>
    <s v="Витамины"/>
    <s v="SOR-38584"/>
    <x v="10"/>
    <x v="626"/>
    <n v="12.71"/>
    <n v="-3.18"/>
    <n v="-0.3016710836277976"/>
    <n v="3.9879106429880793E-15"/>
    <n v="0.32543727597161998"/>
    <n v="978.2867016342766"/>
    <n v="1800"/>
    <x v="531"/>
    <s v="&lt;Клиент не выбран&gt;"/>
    <s v="2024 06"/>
    <n v="821.7132983657234"/>
    <n v="0.83995141403129625"/>
  </r>
  <r>
    <s v="711837576"/>
    <n v="0"/>
    <s v="CoralClub_OA"/>
    <s v="Доставлен"/>
    <d v="2023-12-25T00:00:00"/>
    <x v="18"/>
    <s v="Витамины"/>
    <s v="000001405"/>
    <x v="79"/>
    <x v="227"/>
    <n v="1092"/>
    <n v="0"/>
    <n v="0"/>
    <n v="14.547619047619047"/>
    <n v="0"/>
    <n v="1106.547619047619"/>
    <n v="1400"/>
    <x v="328"/>
    <s v="&lt;Клиент не выбран&gt;"/>
    <s v="2023 12"/>
    <n v="293.45238095238096"/>
    <n v="0.26519634211941906"/>
  </r>
  <r>
    <s v="711837576"/>
    <n v="0"/>
    <s v="CoralClub_OA"/>
    <s v="Доставлен"/>
    <d v="2023-12-25T00:00:00"/>
    <x v="18"/>
    <s v="Витамины"/>
    <s v="000001405"/>
    <x v="79"/>
    <x v="227"/>
    <n v="1092"/>
    <n v="0"/>
    <n v="0"/>
    <n v="14.547619047619047"/>
    <n v="0"/>
    <n v="1106.547619047619"/>
    <n v="1400"/>
    <x v="382"/>
    <s v="&lt;Клиент не выбран&gt;"/>
    <s v="2024 01"/>
    <n v="293.45238095238096"/>
    <n v="0.26519634211941906"/>
  </r>
  <r>
    <s v="711837576"/>
    <n v="0"/>
    <s v="CoralClub_OA"/>
    <s v="Доставлен"/>
    <d v="2023-12-25T00:00:00"/>
    <x v="18"/>
    <s v="Витамины"/>
    <s v="000001405"/>
    <x v="79"/>
    <x v="227"/>
    <n v="1092"/>
    <n v="0"/>
    <n v="0"/>
    <n v="14.547619047619047"/>
    <n v="0"/>
    <n v="1106.547619047619"/>
    <m/>
    <x v="20"/>
    <m/>
    <s v=""/>
    <n v="-1106.547619047619"/>
    <s v=""/>
  </r>
  <r>
    <s v="711837576"/>
    <n v="0"/>
    <s v="CoralClub_OA"/>
    <s v="Доставлен"/>
    <d v="2023-12-25T00:00:00"/>
    <x v="18"/>
    <s v="Витамины"/>
    <s v="000002307"/>
    <x v="79"/>
    <x v="864"/>
    <n v="1260"/>
    <n v="0"/>
    <n v="0"/>
    <n v="16.785714285714285"/>
    <n v="0"/>
    <n v="1276.7857142857142"/>
    <n v="1700"/>
    <x v="200"/>
    <s v="&lt;Клиент не выбран&gt;"/>
    <s v="2024 02"/>
    <n v="423.21428571428578"/>
    <n v="0.33146853146853156"/>
  </r>
  <r>
    <s v="711837576"/>
    <n v="0"/>
    <s v="CoralClub_OA"/>
    <s v="Доставлен"/>
    <d v="2023-12-25T00:00:00"/>
    <x v="18"/>
    <s v="Витамины"/>
    <s v="000002307"/>
    <x v="79"/>
    <x v="864"/>
    <n v="1260"/>
    <n v="0"/>
    <n v="0"/>
    <n v="16.785714285714285"/>
    <n v="0"/>
    <n v="1276.7857142857142"/>
    <n v="1700"/>
    <x v="180"/>
    <s v="&lt;Клиент не выбран&gt;"/>
    <s v="2024 07"/>
    <n v="423.21428571428578"/>
    <n v="0.33146853146853156"/>
  </r>
  <r>
    <s v="711837576"/>
    <n v="0"/>
    <s v="CoralClub_OA"/>
    <s v="Доставлен"/>
    <d v="2023-12-25T00:00:00"/>
    <x v="18"/>
    <s v="Витамины"/>
    <s v="000002307"/>
    <x v="79"/>
    <x v="864"/>
    <n v="1260"/>
    <n v="0"/>
    <n v="0"/>
    <n v="16.785714285714285"/>
    <n v="0"/>
    <n v="1276.7857142857142"/>
    <n v="1700"/>
    <x v="180"/>
    <s v="&lt;Клиент не выбран&gt;"/>
    <s v="2024 07"/>
    <n v="423.21428571428578"/>
    <n v="0.33146853146853156"/>
  </r>
  <r>
    <s v="4395301012"/>
    <s v="1395905958"/>
    <s v="essens_OA"/>
    <s v="Доставлен"/>
    <d v="2023-12-19T00:00:00"/>
    <x v="18"/>
    <s v="Парфюм"/>
    <s v="w10250"/>
    <x v="232"/>
    <x v="998"/>
    <n v="1545"/>
    <n v="-247.48833592534993"/>
    <n v="0"/>
    <n v="-9.5515731642597004"/>
    <n v="81.888820594919878"/>
    <n v="1369.8489115053103"/>
    <n v="2200"/>
    <x v="323"/>
    <s v="&lt;Клиент не выбран&gt;"/>
    <s v="2024 01"/>
    <n v="830.1510884946897"/>
    <n v="0.60601653329960803"/>
  </r>
  <r>
    <s v="4395301012"/>
    <s v="1395905958"/>
    <s v="essens_OA"/>
    <s v="Доставлен"/>
    <d v="2023-12-19T00:00:00"/>
    <x v="18"/>
    <s v="Парфюм"/>
    <s v="w10450"/>
    <x v="232"/>
    <x v="999"/>
    <n v="1545"/>
    <n v="-247.48833592534993"/>
    <n v="0"/>
    <n v="-9.5515731642597004"/>
    <n v="81.888820594919878"/>
    <n v="1369.8489115053103"/>
    <n v="2200"/>
    <x v="546"/>
    <s v="&lt;Клиент не выбран&gt;"/>
    <s v="2024 10"/>
    <n v="830.1510884946897"/>
    <n v="0.60601653329960803"/>
  </r>
  <r>
    <s v="4395301012"/>
    <s v="1395905958"/>
    <s v="essens_OA"/>
    <s v="Доставлен"/>
    <d v="2023-12-19T00:00:00"/>
    <x v="18"/>
    <s v="Парфюм"/>
    <s v="w11650"/>
    <x v="232"/>
    <x v="1000"/>
    <n v="1545"/>
    <n v="-247.48833592534993"/>
    <n v="0"/>
    <n v="-9.5515731642597004"/>
    <n v="81.888820594919878"/>
    <n v="1369.8489115053103"/>
    <m/>
    <x v="20"/>
    <m/>
    <s v=""/>
    <n v="-1369.8489115053103"/>
    <s v=""/>
  </r>
  <r>
    <s v="4395301012"/>
    <s v="1395905958"/>
    <s v="essens_OA"/>
    <s v="Доставлен"/>
    <d v="2023-12-19T00:00:00"/>
    <x v="18"/>
    <s v="Парфюм"/>
    <s v="m00850"/>
    <x v="232"/>
    <x v="1001"/>
    <n v="1545"/>
    <n v="-247.48833592534993"/>
    <n v="0"/>
    <n v="-9.5515731642597004"/>
    <n v="81.888820594919878"/>
    <n v="1369.8489115053103"/>
    <n v="1380.0077760497668"/>
    <x v="300"/>
    <s v="&lt;Клиент не выбран&gt;"/>
    <s v="2023 12"/>
    <n v="10.158864544456492"/>
    <n v="7.4160474627037801E-3"/>
  </r>
  <r>
    <s v="4395301012"/>
    <s v="1395905958"/>
    <s v="essens_OA"/>
    <s v="Доставлен"/>
    <d v="2023-12-19T00:00:00"/>
    <x v="18"/>
    <s v="Парфюм"/>
    <s v="w17650"/>
    <x v="232"/>
    <x v="1002"/>
    <n v="1545"/>
    <n v="-247.48833592534993"/>
    <n v="0"/>
    <n v="-9.5515731642597004"/>
    <n v="81.888820594919878"/>
    <n v="1369.8489115053103"/>
    <n v="2200"/>
    <x v="364"/>
    <s v="&lt;Клиент не выбран&gt;"/>
    <s v="2024 01"/>
    <n v="830.1510884946897"/>
    <n v="0.60601653329960803"/>
  </r>
  <r>
    <s v="4395301012"/>
    <s v="1395905958"/>
    <s v="essens_OA"/>
    <s v="Доставлен"/>
    <d v="2023-12-19T00:00:00"/>
    <x v="18"/>
    <s v="Парфюм"/>
    <s v="w18050"/>
    <x v="232"/>
    <x v="1003"/>
    <n v="1545"/>
    <n v="-247.48833592534993"/>
    <n v="0"/>
    <n v="-9.5515731642597004"/>
    <n v="81.888820594919878"/>
    <n v="1369.8489115053103"/>
    <n v="2200"/>
    <x v="300"/>
    <s v="&lt;Клиент не выбран&gt;"/>
    <s v="2023 12"/>
    <n v="830.1510884946897"/>
    <n v="0.60601653329960803"/>
  </r>
  <r>
    <s v="4395301012"/>
    <s v="1395905958"/>
    <s v="essens_OA"/>
    <s v="Доставлен"/>
    <d v="2023-12-19T00:00:00"/>
    <x v="18"/>
    <s v="Парфюм"/>
    <s v="w179ng"/>
    <x v="232"/>
    <x v="1004"/>
    <n v="375"/>
    <n v="0"/>
    <n v="0"/>
    <n v="-2.7605454623422268"/>
    <n v="23.667076430480709"/>
    <n v="395.9065309681385"/>
    <m/>
    <x v="20"/>
    <m/>
    <s v=""/>
    <n v="-395.9065309681385"/>
    <s v=""/>
  </r>
  <r>
    <s v="522839917"/>
    <s v="720000066732"/>
    <s v="iHerb_MH DLE7202"/>
    <s v="Доставлен"/>
    <d v="2023-12-25T00:00:00"/>
    <x v="18"/>
    <s v="Косметика"/>
    <s v="NOW-07788"/>
    <x v="3"/>
    <x v="1005"/>
    <n v="12.07"/>
    <n v="-2.41"/>
    <n v="-1.0342150857542878"/>
    <n v="0"/>
    <n v="0.51170927596891747"/>
    <n v="943.89701610080499"/>
    <m/>
    <x v="20"/>
    <m/>
    <s v=""/>
    <n v="-943.89701610080499"/>
    <s v=""/>
  </r>
  <r>
    <s v="522839917"/>
    <s v="720000066732"/>
    <s v="iHerb_MH DLE7202"/>
    <s v="Доставлен"/>
    <d v="2023-12-25T00:00:00"/>
    <x v="18"/>
    <s v="Витамины"/>
    <s v="NOW-03325"/>
    <x v="3"/>
    <x v="333"/>
    <n v="16.329999999999998"/>
    <n v="-6.53"/>
    <n v="-1.049203710185509"/>
    <n v="0"/>
    <n v="0.51912535243223501"/>
    <n v="957.57668300081639"/>
    <n v="957.58"/>
    <x v="329"/>
    <s v="&lt;Клиент не выбран&gt;"/>
    <s v="2024 02"/>
    <n v="3.3169991836530244E-3"/>
    <n v="3.4639514960392956E-6"/>
  </r>
  <r>
    <s v="522839917"/>
    <s v="720000066732"/>
    <s v="iHerb_MH DLE7202"/>
    <s v="Доставлен"/>
    <d v="2023-12-25T00:00:00"/>
    <x v="18"/>
    <s v="Витамины"/>
    <s v="NOW-00076"/>
    <x v="3"/>
    <x v="434"/>
    <n v="22.35"/>
    <n v="-4.47"/>
    <n v="-1.9142614630731538"/>
    <n v="0"/>
    <n v="0.94713890831513914"/>
    <n v="1747.0888869443475"/>
    <n v="2600"/>
    <x v="547"/>
    <s v="&lt;Клиент не выбран&gt;"/>
    <s v="2024 07"/>
    <n v="852.91111305565255"/>
    <n v="0.48818987942129904"/>
  </r>
  <r>
    <s v="522839917"/>
    <s v="720000066732"/>
    <s v="iHerb_MH DLE7202"/>
    <s v="Доставлен"/>
    <d v="2023-12-25T00:00:00"/>
    <x v="18"/>
    <s v="Витамины"/>
    <s v="MRM-85003"/>
    <x v="37"/>
    <x v="368"/>
    <n v="11.5"/>
    <n v="-2.2999999999999998"/>
    <n v="-0.98496674833741671"/>
    <n v="0"/>
    <n v="0.48734216758944515"/>
    <n v="898.94953914362361"/>
    <n v="1600"/>
    <x v="265"/>
    <s v="&lt;Клиент не выбран&gt;"/>
    <s v="2024 01"/>
    <n v="701.05046085637639"/>
    <n v="0.77985518689316635"/>
  </r>
  <r>
    <s v="522839917"/>
    <s v="720000066732"/>
    <s v="iHerb_MH DLE7202"/>
    <s v="Доставлен"/>
    <d v="2023-12-25T00:00:00"/>
    <x v="18"/>
    <s v="Витамины"/>
    <s v="CEN-22928"/>
    <x v="2"/>
    <x v="1006"/>
    <n v="11.37"/>
    <n v="-2.27"/>
    <n v="-0.97426058802940141"/>
    <n v="0"/>
    <n v="0.4820449701156469"/>
    <n v="889.17834850075815"/>
    <n v="1700"/>
    <x v="323"/>
    <s v="&lt;Клиент не выбран&gt;"/>
    <s v="2024 01"/>
    <n v="810.82165149924185"/>
    <n v="0.91187741229458252"/>
  </r>
  <r>
    <s v="522839917"/>
    <s v="720000066732"/>
    <s v="iHerb_MH DLE7202"/>
    <s v="Доставлен"/>
    <d v="2023-12-25T00:00:00"/>
    <x v="18"/>
    <s v="Витамины"/>
    <s v="NOW-04753"/>
    <x v="3"/>
    <x v="1007"/>
    <n v="24.35"/>
    <n v="-4.87"/>
    <n v="-2.0855600280013999"/>
    <n v="0"/>
    <n v="1.0318940678959123"/>
    <n v="1903.4279372301949"/>
    <n v="3250"/>
    <x v="548"/>
    <s v="&lt;Клиент не выбран&gt;"/>
    <s v="2024 02"/>
    <n v="1346.5720627698051"/>
    <n v="0.70744578054753793"/>
  </r>
  <r>
    <s v="522839917"/>
    <s v="720000066732"/>
    <s v="iHerb_MH DLE7202"/>
    <s v="Доставлен"/>
    <d v="2023-12-25T00:00:00"/>
    <x v="18"/>
    <s v="Витамины"/>
    <s v="NOW-04753"/>
    <x v="3"/>
    <x v="1007"/>
    <n v="24.35"/>
    <n v="-4.87"/>
    <n v="-2.0855600280013999"/>
    <n v="0"/>
    <n v="1.0318940678959123"/>
    <n v="1903.4279372301949"/>
    <n v="3300"/>
    <x v="320"/>
    <s v="&lt;Клиент не выбран&gt;"/>
    <s v="2024 05"/>
    <n v="1396.5720627698051"/>
    <n v="0.73371417717134613"/>
  </r>
  <r>
    <s v="522839917"/>
    <s v="720000066732"/>
    <s v="iHerb_MH DLE7202"/>
    <s v="Доставлен"/>
    <d v="2023-12-25T00:00:00"/>
    <x v="18"/>
    <s v="Витамины"/>
    <s v="EVL-02760"/>
    <x v="125"/>
    <x v="771"/>
    <n v="15.66"/>
    <n v="-9.99"/>
    <n v="-0.60703928946447328"/>
    <n v="0"/>
    <n v="0.30035109676436461"/>
    <n v="554.02650945047253"/>
    <n v="2300"/>
    <x v="338"/>
    <s v="&lt;Клиент не выбран&gt;"/>
    <s v="2024 12"/>
    <n v="1745.9734905495275"/>
    <n v="3.1514258988822079"/>
  </r>
  <r>
    <s v="522839917"/>
    <s v="720000066732"/>
    <s v="iHerb_MH DLE7202"/>
    <s v="Доставлен"/>
    <d v="2023-12-25T00:00:00"/>
    <x v="18"/>
    <s v="Витамины"/>
    <s v="NOW-02271"/>
    <x v="3"/>
    <x v="1008"/>
    <n v="34.29"/>
    <n v="-6.86"/>
    <n v="-2.9366997724886241"/>
    <n v="0"/>
    <n v="1.4530212670628786"/>
    <n v="2680.2375933380004"/>
    <n v="3900"/>
    <x v="549"/>
    <s v="&lt;Клиент не выбран&gt;"/>
    <s v="2024 11"/>
    <n v="1219.7624066619996"/>
    <n v="0.45509488027995787"/>
  </r>
  <r>
    <s v="522839917"/>
    <s v="720000066732"/>
    <s v="iHerb_MH DLE7202"/>
    <s v="Доставлен"/>
    <d v="2023-12-25T00:00:00"/>
    <x v="18"/>
    <s v="Витамины"/>
    <s v="FOA-01491"/>
    <x v="171"/>
    <x v="1009"/>
    <n v="11.41"/>
    <n v="-2.2799999999999998"/>
    <n v="-0.97747243612180612"/>
    <n v="0"/>
    <n v="0.48363412935778644"/>
    <n v="892.10970569361814"/>
    <n v="1600"/>
    <x v="550"/>
    <m/>
    <s v="2026 01"/>
    <n v="707.89029430638186"/>
    <n v="0.79350139314535861"/>
  </r>
  <r>
    <s v="522839917"/>
    <s v="720000066732"/>
    <s v="iHerb_MH DLE7202"/>
    <s v="Доставлен"/>
    <d v="2023-12-25T00:00:00"/>
    <x v="18"/>
    <s v="Витамины"/>
    <s v="NBC-01050"/>
    <x v="8"/>
    <x v="845"/>
    <n v="9.0299999999999994"/>
    <n v="-1.8049999999999999"/>
    <n v="-0.77352008225411262"/>
    <n v="0"/>
    <n v="0.38272251748192837"/>
    <n v="705.96852394703069"/>
    <n v="1600"/>
    <x v="499"/>
    <s v="&lt;Клиент не выбран&gt;"/>
    <s v="2024 05"/>
    <n v="894.03147605296931"/>
    <n v="1.2663899957670763"/>
  </r>
  <r>
    <s v="522839917"/>
    <s v="720000066732"/>
    <s v="iHerb_MH DLE7202"/>
    <s v="Доставлен"/>
    <d v="2023-12-25T00:00:00"/>
    <x v="18"/>
    <s v="Витамины"/>
    <s v="NBC-01050"/>
    <x v="8"/>
    <x v="845"/>
    <n v="9.0299999999999994"/>
    <n v="-1.8049999999999999"/>
    <n v="-0.77352008225411262"/>
    <n v="0"/>
    <n v="0.38272251748192837"/>
    <n v="705.96852394703069"/>
    <n v="705.97"/>
    <x v="328"/>
    <s v="&lt;Клиент не выбран&gt;"/>
    <s v="2023 12"/>
    <n v="1.4760529693376157E-3"/>
    <n v="2.090819801830662E-6"/>
  </r>
  <r>
    <s v="522839917"/>
    <s v="720000066732"/>
    <s v="iHerb_MH DLE7202"/>
    <s v="Доставлен"/>
    <d v="2023-12-25T00:00:00"/>
    <x v="18"/>
    <s v="Витамины"/>
    <s v="LEX-23151"/>
    <x v="7"/>
    <x v="17"/>
    <n v="20.69"/>
    <n v="-4.1399999999999997"/>
    <n v="-1.7718695309765489"/>
    <n v="0"/>
    <n v="0.87668618191362169"/>
    <n v="1617.1320513942364"/>
    <n v="2700"/>
    <x v="323"/>
    <s v="&lt;Клиент не выбран&gt;"/>
    <s v="2024 01"/>
    <n v="1082.8679486057636"/>
    <n v="0.66962246383784896"/>
  </r>
  <r>
    <s v="522839917"/>
    <s v="720000066732"/>
    <s v="iHerb_MH DLE7202"/>
    <s v="Доставлен"/>
    <d v="2023-12-25T00:00:00"/>
    <x v="18"/>
    <s v="Витамины"/>
    <s v="NAP-47627"/>
    <x v="11"/>
    <x v="739"/>
    <n v="9.7799999999999994"/>
    <n v="-1.96"/>
    <n v="-0.83722173608680417"/>
    <n v="0"/>
    <n v="0.41424084245102838"/>
    <n v="764.10710827208015"/>
    <n v="1700"/>
    <x v="323"/>
    <s v="&lt;Клиент не выбран&gt;"/>
    <s v="2024 01"/>
    <n v="935.89289172791985"/>
    <n v="1.2248189836164578"/>
  </r>
  <r>
    <s v="522839917"/>
    <s v="720000066732"/>
    <s v="iHerb_MH DLE7202"/>
    <s v="Доставлен"/>
    <d v="2023-12-25T00:00:00"/>
    <x v="18"/>
    <s v="Витамины"/>
    <s v="NOW-03557"/>
    <x v="3"/>
    <x v="1010"/>
    <n v="13.33"/>
    <n v="-2.665"/>
    <n v="-1.1418119968498424"/>
    <n v="0"/>
    <n v="0.56494611058059052"/>
    <n v="1042.0974820616029"/>
    <n v="1800"/>
    <x v="345"/>
    <s v="&lt;Клиент не выбран&gt;"/>
    <s v="2024 03"/>
    <n v="757.90251793839707"/>
    <n v="0.72728562441108957"/>
  </r>
  <r>
    <s v="522839917"/>
    <s v="720000066732"/>
    <s v="iHerb_MH DLE7202"/>
    <s v="Доставлен"/>
    <d v="2023-12-25T00:00:00"/>
    <x v="18"/>
    <s v="Витамины"/>
    <s v="NOW-03557"/>
    <x v="3"/>
    <x v="1010"/>
    <n v="13.33"/>
    <n v="-2.665"/>
    <n v="-1.1418119968498424"/>
    <n v="0"/>
    <n v="0.56494611058059052"/>
    <n v="1042.0974820616029"/>
    <n v="1900"/>
    <x v="551"/>
    <s v="&lt;Клиент не выбран&gt;"/>
    <s v="2024 12"/>
    <n v="857.90251793839707"/>
    <n v="0.82324593687837233"/>
  </r>
  <r>
    <s v="522839917"/>
    <s v="720000066732"/>
    <s v="iHerb_MH DLE7202"/>
    <s v="Доставлен"/>
    <d v="2023-12-25T00:00:00"/>
    <x v="18"/>
    <s v="Витамины"/>
    <s v="NOW-02700"/>
    <x v="3"/>
    <x v="772"/>
    <n v="21.49"/>
    <n v="-4.3"/>
    <n v="-1.8403889569478471"/>
    <n v="0"/>
    <n v="0.91058824574593067"/>
    <n v="1679.667671508575"/>
    <n v="3200"/>
    <x v="548"/>
    <s v="&lt;Клиент не выбран&gt;"/>
    <s v="2024 02"/>
    <n v="1520.332328491425"/>
    <n v="0.90513876898395929"/>
  </r>
  <r>
    <s v="522839917"/>
    <s v="720000066732"/>
    <s v="iHerb_MH DLE7202"/>
    <s v="Доставлен"/>
    <d v="2023-12-25T00:00:00"/>
    <x v="18"/>
    <s v="Витамины"/>
    <s v="NOW-02632"/>
    <x v="3"/>
    <x v="1011"/>
    <n v="20.56"/>
    <n v="-6.17"/>
    <n v="-1.540616468323416"/>
    <n v="0"/>
    <n v="0.76226671647957778"/>
    <n v="1406.0743335083421"/>
    <n v="2600"/>
    <x v="392"/>
    <s v="&lt;Клиент не выбран&gt;"/>
    <s v="2024 02"/>
    <n v="1193.9256664916579"/>
    <n v="0.8491198779744844"/>
  </r>
  <r>
    <s v="522902213"/>
    <s v="720000069872"/>
    <s v="iHerb_OA CZN6870"/>
    <s v="Доставлен"/>
    <d v="2023-12-29T00:00:00"/>
    <x v="18"/>
    <s v="Витамины"/>
    <s v="LKN-01664"/>
    <x v="90"/>
    <x v="851"/>
    <n v="10.38"/>
    <n v="-3.1150000000000002"/>
    <n v="-0.9836152263374488"/>
    <n v="8.4972723873203765E-16"/>
    <n v="0.72156905621725342"/>
    <n v="725.78266844993163"/>
    <n v="1600"/>
    <x v="538"/>
    <s v="&lt;Клиент не выбран&gt;"/>
    <s v="2024 01"/>
    <n v="874.21733155006837"/>
    <n v="1.204516681856225"/>
  </r>
  <r>
    <s v="522902213"/>
    <s v="720000069872"/>
    <s v="iHerb_OA CZN6870"/>
    <s v="Доставлен"/>
    <d v="2023-12-29T00:00:00"/>
    <x v="18"/>
    <s v="Витамины"/>
    <s v="LKN-01664"/>
    <x v="90"/>
    <x v="851"/>
    <n v="10.38"/>
    <n v="-3.1150000000000002"/>
    <n v="-0.9836152263374488"/>
    <n v="8.4972723873203765E-16"/>
    <n v="0.72156905621725342"/>
    <n v="725.78266844993163"/>
    <n v="1800"/>
    <x v="462"/>
    <s v="&lt;Клиент не выбран&gt;"/>
    <s v="2024 07"/>
    <n v="1074.2173315500684"/>
    <n v="1.4800812670882533"/>
  </r>
  <r>
    <s v="522902213"/>
    <s v="720000069872"/>
    <s v="iHerb_OA CZN6870"/>
    <s v="Доставлен"/>
    <d v="2023-12-29T00:00:00"/>
    <x v="18"/>
    <s v="Витамины"/>
    <s v="CGN-00956"/>
    <x v="1"/>
    <x v="305"/>
    <n v="16.75"/>
    <n v="-5.0259999999999998"/>
    <n v="-1.5873234567901238"/>
    <n v="1.3712597586915911E-15"/>
    <n v="1.1644426173559641"/>
    <n v="1171.242395720165"/>
    <n v="2300"/>
    <x v="265"/>
    <s v="&lt;Клиент не выбран&gt;"/>
    <s v="2024 01"/>
    <n v="1128.757604279835"/>
    <n v="0.96372673018362931"/>
  </r>
  <r>
    <s v="522902213"/>
    <s v="720000069872"/>
    <s v="iHerb_OA CZN6870"/>
    <s v="Доставлен"/>
    <d v="2023-12-29T00:00:00"/>
    <x v="18"/>
    <s v="Витамины"/>
    <s v="CGN-00956"/>
    <x v="1"/>
    <x v="305"/>
    <n v="16.75"/>
    <n v="-5.0259999999999998"/>
    <n v="-1.5873234567901238"/>
    <n v="1.3712597586915911E-15"/>
    <n v="1.1644426173559641"/>
    <n v="1171.242395720165"/>
    <n v="2200"/>
    <x v="476"/>
    <s v="&lt;Клиент не выбран&gt;"/>
    <s v="2024 03"/>
    <n v="1028.757604279835"/>
    <n v="0.87834730713216724"/>
  </r>
  <r>
    <s v="522902213"/>
    <s v="720000069872"/>
    <s v="iHerb_OA CZN6870"/>
    <s v="Доставлен"/>
    <d v="2023-12-29T00:00:00"/>
    <x v="18"/>
    <s v="Витамины"/>
    <s v="CGN-00956"/>
    <x v="1"/>
    <x v="305"/>
    <n v="16.75"/>
    <n v="-5.0259999999999998"/>
    <n v="-1.5873234567901238"/>
    <n v="1.3712597586915911E-15"/>
    <n v="1.1644426173559641"/>
    <n v="1171.242395720165"/>
    <n v="2300"/>
    <x v="453"/>
    <s v="&lt;Клиент не выбран&gt;"/>
    <s v="2024 07"/>
    <n v="1128.757604279835"/>
    <n v="0.96372673018362931"/>
  </r>
  <r>
    <s v="522902213"/>
    <s v="720000069872"/>
    <s v="iHerb_OA CZN6870"/>
    <s v="Доставлен"/>
    <d v="2023-12-29T00:00:00"/>
    <x v="18"/>
    <s v="Витамины"/>
    <s v="CGN-00956"/>
    <x v="1"/>
    <x v="305"/>
    <n v="16.75"/>
    <n v="-5.0259999999999998"/>
    <n v="-1.5873234567901238"/>
    <n v="1.3712597586915911E-15"/>
    <n v="1.1644426173559641"/>
    <n v="1171.242395720165"/>
    <n v="2300"/>
    <x v="552"/>
    <s v="&lt;Клиент не выбран&gt;"/>
    <s v="2024 10"/>
    <n v="1128.757604279835"/>
    <n v="0.96372673018362931"/>
  </r>
  <r>
    <s v="522902213"/>
    <s v="720000069872"/>
    <s v="iHerb_OA CZN6870"/>
    <s v="Доставлен"/>
    <d v="2023-12-29T00:00:00"/>
    <x v="18"/>
    <s v="Витамины"/>
    <s v="CGN-00956"/>
    <x v="1"/>
    <x v="305"/>
    <n v="16.75"/>
    <n v="-5.0259999999999998"/>
    <n v="-1.5873234567901238"/>
    <n v="1.3712597586915911E-15"/>
    <n v="1.1644426173559641"/>
    <n v="1171.242395720165"/>
    <n v="2400"/>
    <x v="530"/>
    <s v="&lt;Клиент не выбран&gt;"/>
    <s v="2025 03"/>
    <n v="1228.757604279835"/>
    <n v="1.0491061532350916"/>
  </r>
  <r>
    <s v="522902213"/>
    <s v="720000069872"/>
    <s v="iHerb_OA CZN6870"/>
    <s v="Доставлен"/>
    <d v="2023-12-29T00:00:00"/>
    <x v="18"/>
    <s v="Витамины"/>
    <s v="CGN-01353"/>
    <x v="1"/>
    <x v="1012"/>
    <n v="13.71"/>
    <n v="-4.1150000000000002"/>
    <n v="-1.299076131687243"/>
    <n v="1.122248156315747E-15"/>
    <n v="0.95298762483200905"/>
    <n v="958.55260891632395"/>
    <n v="1900"/>
    <x v="392"/>
    <s v="&lt;Клиент не выбран&gt;"/>
    <s v="2024 02"/>
    <n v="941.44739108367605"/>
    <n v="0.98215516010958859"/>
  </r>
  <r>
    <s v="522902213"/>
    <s v="720000069872"/>
    <s v="iHerb_OA CZN6870"/>
    <s v="Доставлен"/>
    <d v="2023-12-29T00:00:00"/>
    <x v="18"/>
    <s v="Витамины"/>
    <s v="CGN-01353"/>
    <x v="1"/>
    <x v="1012"/>
    <n v="13.71"/>
    <n v="-4.1150000000000002"/>
    <n v="-1.299076131687243"/>
    <n v="1.122248156315747E-15"/>
    <n v="0.95298762483200905"/>
    <n v="958.55260891632395"/>
    <n v="1800"/>
    <x v="425"/>
    <s v="&lt;Клиент не выбран&gt;"/>
    <s v="2024 03"/>
    <n v="841.44739108367605"/>
    <n v="0.87783120431434714"/>
  </r>
  <r>
    <s v="522902213"/>
    <s v="720000069872"/>
    <s v="iHerb_OA CZN6870"/>
    <s v="Доставлен"/>
    <d v="2023-12-29T00:00:00"/>
    <x v="18"/>
    <s v="Витамины"/>
    <s v="CGN-01847"/>
    <x v="1"/>
    <x v="1013"/>
    <n v="9.1999999999999993"/>
    <n v="-2.76"/>
    <n v="-0.87191769547325104"/>
    <n v="7.5323378078930792E-16"/>
    <n v="0.63962900509829479"/>
    <n v="643.36412729766812"/>
    <n v="1500"/>
    <x v="503"/>
    <s v="&lt;Клиент не выбран&gt;"/>
    <s v="2025 02"/>
    <n v="856.63587270233188"/>
    <n v="1.3314946176754869"/>
  </r>
  <r>
    <s v="522902213"/>
    <s v="720000069872"/>
    <s v="iHerb_OA CZN6870"/>
    <s v="Доставлен"/>
    <d v="2023-12-29T00:00:00"/>
    <x v="18"/>
    <s v="Витамины"/>
    <s v="CGN-00856"/>
    <x v="1"/>
    <x v="738"/>
    <n v="20.16"/>
    <n v="-6.05"/>
    <n v="-1.9103662551440328"/>
    <n v="1.6503305352386855E-15"/>
    <n v="1.4014231773194006"/>
    <n v="1409.6068068587108"/>
    <n v="2500"/>
    <x v="515"/>
    <s v="&lt;Клиент не выбран&gt;"/>
    <s v="2024 08"/>
    <n v="1090.3931931412892"/>
    <n v="0.77354421661116646"/>
  </r>
  <r>
    <s v="522902213"/>
    <s v="720000069872"/>
    <s v="iHerb_OA CZN6870"/>
    <s v="Доставлен"/>
    <d v="2023-12-29T00:00:00"/>
    <x v="18"/>
    <s v="Витамины"/>
    <s v="CGN-02108"/>
    <x v="1"/>
    <x v="899"/>
    <n v="17.23"/>
    <n v="-8.6199999999999992"/>
    <n v="-1.1657160493827161"/>
    <n v="1.007040815620488E-15"/>
    <n v="0.8551561698596768"/>
    <n v="860.14986584362168"/>
    <n v="2100"/>
    <x v="441"/>
    <s v="&lt;Клиент не выбран&gt;"/>
    <s v="2024 11"/>
    <n v="1239.8501341563783"/>
    <n v="1.4414350142813224"/>
  </r>
  <r>
    <s v="523111075"/>
    <s v="720000079409"/>
    <s v="iHerb_OA CZN6870"/>
    <s v="Доставлен"/>
    <d v="2024-01-09T00:00:00"/>
    <x v="19"/>
    <s v="Витамины"/>
    <s v="NFS-01683"/>
    <x v="23"/>
    <x v="111"/>
    <n v="5.65"/>
    <n v="-0.56999999999999995"/>
    <n v="-0.23499541536768753"/>
    <n v="6.619396841484154E-16"/>
    <n v="0.45538560003469875"/>
    <n v="537.99533651201182"/>
    <n v="900"/>
    <x v="393"/>
    <s v="&lt;Клиент не выбран&gt;"/>
    <s v="2024 06"/>
    <n v="362.00466348798818"/>
    <n v="0.67287695435238348"/>
  </r>
  <r>
    <s v="523111075"/>
    <s v="720000079409"/>
    <s v="iHerb_OA CZN6870"/>
    <s v="Доставлен"/>
    <d v="2024-01-09T00:00:00"/>
    <x v="19"/>
    <s v="Витамины"/>
    <s v="NAP-01480"/>
    <x v="11"/>
    <x v="488"/>
    <n v="9.4499999999999993"/>
    <n v="-0.94499999999999995"/>
    <n v="-0.39343228498074451"/>
    <n v="1.1082277585988725E-15"/>
    <n v="0.76241230871951027"/>
    <n v="900.71857028241345"/>
    <n v="1400"/>
    <x v="384"/>
    <s v="&lt;Клиент не выбран&gt;"/>
    <s v="2024 02"/>
    <n v="499.28142971758655"/>
    <n v="0.55431457304254383"/>
  </r>
  <r>
    <s v="523111075"/>
    <s v="720000079409"/>
    <s v="iHerb_OA CZN6870"/>
    <s v="Доставлен"/>
    <d v="2024-01-09T00:00:00"/>
    <x v="19"/>
    <s v="Витамины"/>
    <s v="NAP-01480"/>
    <x v="11"/>
    <x v="488"/>
    <n v="9.4499999999999993"/>
    <n v="-0.94499999999999995"/>
    <n v="-0.39343228498074451"/>
    <n v="1.1082277585988725E-15"/>
    <n v="0.76241230871951027"/>
    <n v="900.71857028241345"/>
    <n v="1400"/>
    <x v="384"/>
    <s v="&lt;Клиент не выбран&gt;"/>
    <s v="2024 02"/>
    <n v="499.28142971758655"/>
    <n v="0.55431457304254383"/>
  </r>
  <r>
    <s v="523111075"/>
    <s v="720000079409"/>
    <s v="iHerb_OA CZN6870"/>
    <s v="Доставлен"/>
    <d v="2024-01-09T00:00:00"/>
    <x v="19"/>
    <s v="Витамины"/>
    <s v="NOW-01292"/>
    <x v="3"/>
    <x v="1014"/>
    <n v="30.48"/>
    <n v="-4.57"/>
    <n v="-1.1985691362552724"/>
    <n v="3.3761529953317804E-15"/>
    <n v="2.3226458458462687"/>
    <n v="2743.9880253988631"/>
    <n v="3400"/>
    <x v="264"/>
    <s v="&lt;Клиент не выбран&gt;"/>
    <s v="2024 02"/>
    <n v="656.0119746011369"/>
    <n v="0.23907246260878989"/>
  </r>
  <r>
    <s v="523111075"/>
    <s v="720000079409"/>
    <s v="iHerb_OA CZN6870"/>
    <s v="Доставлен"/>
    <d v="2024-01-09T00:00:00"/>
    <x v="19"/>
    <s v="Витамины"/>
    <s v="NWY-15350"/>
    <x v="16"/>
    <x v="357"/>
    <n v="17.46"/>
    <n v="-1.75"/>
    <n v="-0.72672794791857709"/>
    <n v="2.047061503537718E-15"/>
    <n v="1.4082889323907712"/>
    <n v="1663.7611686227767"/>
    <n v="2150"/>
    <x v="264"/>
    <s v="&lt;Клиент не выбран&gt;"/>
    <s v="2024 02"/>
    <n v="486.23883137722328"/>
    <n v="0.29225278275951144"/>
  </r>
  <r>
    <s v="523111075"/>
    <s v="720000079409"/>
    <s v="iHerb_OA CZN6870"/>
    <s v="Доставлен"/>
    <d v="2024-01-09T00:00:00"/>
    <x v="19"/>
    <s v="Витамины"/>
    <s v="LEX-19456"/>
    <x v="7"/>
    <x v="558"/>
    <n v="10.65"/>
    <n v="-1.07"/>
    <n v="-0.44316064551622963"/>
    <n v="1.2483035775869724E-15"/>
    <n v="0.85877835597094754"/>
    <n v="1014.566008619109"/>
    <n v="1700"/>
    <x v="190"/>
    <s v="&lt;Клиент не выбран&gt;"/>
    <s v="2024 02"/>
    <n v="685.43399138089103"/>
    <n v="0.6755932936426795"/>
  </r>
  <r>
    <s v="523111075"/>
    <s v="720000079409"/>
    <s v="iHerb_OA CZN6870"/>
    <s v="Доставлен"/>
    <d v="2024-01-09T00:00:00"/>
    <x v="19"/>
    <s v="Витамины"/>
    <s v="NOW-02645"/>
    <x v="3"/>
    <x v="1015"/>
    <n v="14.89"/>
    <n v="-1.49"/>
    <n v="-0.61986979644232532"/>
    <n v="1.746061371572592E-15"/>
    <n v="1.2012139843434968"/>
    <n v="1419.1215569411336"/>
    <n v="1900"/>
    <x v="264"/>
    <s v="&lt;Клиент не выбран&gt;"/>
    <s v="2024 02"/>
    <n v="480.87844305886642"/>
    <n v="0.33885641487638518"/>
  </r>
  <r>
    <s v="523111075"/>
    <s v="720000079409"/>
    <s v="iHerb_OA CZN6870"/>
    <s v="Доставлен"/>
    <d v="2024-01-09T00:00:00"/>
    <x v="19"/>
    <s v="Витамины"/>
    <s v="NOW-00143"/>
    <x v="3"/>
    <x v="1016"/>
    <n v="22.44"/>
    <n v="-2.2400000000000002"/>
    <n v="-0.93443058866678907"/>
    <n v="2.6321223661019671E-15"/>
    <n v="1.8107852599804952"/>
    <n v="2139.2727947918584"/>
    <n v="2700"/>
    <x v="264"/>
    <s v="&lt;Клиент не выбран&gt;"/>
    <s v="2024 02"/>
    <n v="560.72720520814164"/>
    <n v="0.26211112793714458"/>
  </r>
  <r>
    <s v="523111075"/>
    <s v="720000079409"/>
    <s v="iHerb_OA CZN6870"/>
    <s v="Доставлен"/>
    <d v="2024-01-09T00:00:00"/>
    <x v="19"/>
    <s v="Витамины"/>
    <s v="NOW-02314"/>
    <x v="3"/>
    <x v="1017"/>
    <n v="24.11"/>
    <n v="-3.62"/>
    <n v="-0.9478456812763616"/>
    <n v="2.6699102614568959E-15"/>
    <n v="1.8367816820297196"/>
    <n v="2169.9851269943151"/>
    <n v="2850"/>
    <x v="264"/>
    <s v="&lt;Клиент не выбран&gt;"/>
    <s v="2024 02"/>
    <n v="680.01487300568488"/>
    <n v="0.31337305705296953"/>
  </r>
  <r>
    <s v="523111075"/>
    <s v="720000079409"/>
    <s v="iHerb_OA CZN6870"/>
    <s v="Доставлен"/>
    <d v="2024-01-09T00:00:00"/>
    <x v="19"/>
    <s v="Витамины"/>
    <s v="HRM-50004"/>
    <x v="195"/>
    <x v="798"/>
    <n v="15.01"/>
    <n v="-1.5"/>
    <n v="-0.62495827984595642"/>
    <n v="1.7603947111899789E-15"/>
    <n v="1.2110746961552716"/>
    <n v="1430.771062259307"/>
    <n v="2000"/>
    <x v="535"/>
    <s v="&lt;Клиент не выбран&gt;"/>
    <s v="2024 02"/>
    <n v="569.22893774069303"/>
    <n v="0.39784767301753576"/>
  </r>
  <r>
    <s v="523111075"/>
    <s v="720000079409"/>
    <s v="iHerb_OA CZN6870"/>
    <s v="Доставлен"/>
    <d v="2024-01-09T00:00:00"/>
    <x v="19"/>
    <s v="Витамины"/>
    <s v="SMS-55694"/>
    <x v="140"/>
    <x v="509"/>
    <n v="13"/>
    <n v="-7.01"/>
    <n v="-0.27709105079772606"/>
    <n v="7.8051549371043471E-16"/>
    <n v="0.53696057956847354"/>
    <n v="634.36851687144701"/>
    <n v="1600"/>
    <x v="387"/>
    <s v="&lt;Клиент не выбран&gt;"/>
    <s v="2024 02"/>
    <n v="965.63148312855299"/>
    <n v="1.5221932637685351"/>
  </r>
  <r>
    <s v="523111075"/>
    <s v="720000079409"/>
    <s v="iHerb_OA CZN6870"/>
    <s v="Доставлен"/>
    <d v="2024-01-09T00:00:00"/>
    <x v="19"/>
    <s v="Витамины"/>
    <s v="CEN-22928"/>
    <x v="2"/>
    <x v="1006"/>
    <n v="11.49"/>
    <n v="-1.1499999999999999"/>
    <n v="-0.47831743994131676"/>
    <n v="1.3473339240343731E-15"/>
    <n v="0.92690691030684746"/>
    <n v="1095.0534999083077"/>
    <n v="1700"/>
    <x v="535"/>
    <s v="&lt;Клиент не выбран&gt;"/>
    <s v="2024 02"/>
    <n v="604.94650009169231"/>
    <n v="0.55243556606352695"/>
  </r>
  <r>
    <s v="523111075"/>
    <s v="720000079409"/>
    <s v="iHerb_OA CZN6870"/>
    <s v="Доставлен"/>
    <d v="2024-01-09T00:00:00"/>
    <x v="19"/>
    <s v="Косметика"/>
    <s v="ADC-00977"/>
    <x v="145"/>
    <x v="1018"/>
    <n v="10.63"/>
    <n v="-1.0649999999999999"/>
    <n v="-0.44246676141573454"/>
    <n v="1.2463490312755108E-15"/>
    <n v="0.85743371345116026"/>
    <n v="1012.9774397120852"/>
    <n v="1800"/>
    <x v="553"/>
    <s v="&lt;Клиент не выбран&gt;"/>
    <s v="2024 03"/>
    <n v="787.02256028791476"/>
    <n v="0.77693986996552189"/>
  </r>
  <r>
    <s v="523111075"/>
    <s v="720000079409"/>
    <s v="iHerb_OA CZN6870"/>
    <s v="Доставлен"/>
    <d v="2024-01-09T00:00:00"/>
    <x v="19"/>
    <s v="Косметика"/>
    <s v="ADC-00977"/>
    <x v="145"/>
    <x v="1018"/>
    <n v="10.63"/>
    <n v="-1.0649999999999999"/>
    <n v="-0.44246676141573454"/>
    <n v="1.2463490312755108E-15"/>
    <n v="0.85743371345116026"/>
    <n v="1012.9774397120852"/>
    <n v="1500"/>
    <x v="554"/>
    <s v="&lt;Клиент не выбран&gt;"/>
    <s v="2024 06"/>
    <n v="487.02256028791476"/>
    <n v="0.48078322497126819"/>
  </r>
  <r>
    <s v="523111075"/>
    <s v="720000079409"/>
    <s v="iHerb_OA CZN6870"/>
    <s v="Доставлен"/>
    <d v="2024-01-09T00:00:00"/>
    <x v="19"/>
    <s v="Косметика"/>
    <s v="EZV-75066"/>
    <x v="233"/>
    <x v="1019"/>
    <n v="12.02"/>
    <n v="-1.2"/>
    <n v="-0.50052173115716125"/>
    <n v="1.4098794060011525E-15"/>
    <n v="0.9699354709400474"/>
    <n v="1145.8877049330647"/>
    <m/>
    <x v="20"/>
    <m/>
    <s v=""/>
    <n v="-1145.8877049330647"/>
    <s v=""/>
  </r>
  <r>
    <s v="523111075"/>
    <s v="720000079409"/>
    <s v="iHerb_OA CZN6870"/>
    <s v="Доставлен"/>
    <d v="2024-01-09T00:00:00"/>
    <x v="19"/>
    <s v="Витамины"/>
    <s v="LEX-33510"/>
    <x v="7"/>
    <x v="750"/>
    <n v="10.95"/>
    <n v="-1.1000000000000001"/>
    <n v="-0.45565055932514215"/>
    <n v="1.2834854111932857E-15"/>
    <n v="0.8829819213271225"/>
    <n v="1043.1602489455345"/>
    <n v="1600"/>
    <x v="392"/>
    <s v="&lt;Клиент не выбран&gt;"/>
    <s v="2024 02"/>
    <n v="556.83975105446552"/>
    <n v="0.53380077664705883"/>
  </r>
  <r>
    <s v="523111075"/>
    <s v="720000079409"/>
    <s v="iHerb_OA CZN6870"/>
    <s v="Доставлен"/>
    <d v="2024-01-09T00:00:00"/>
    <x v="19"/>
    <s v="Витамины"/>
    <s v="NOW-04603"/>
    <x v="3"/>
    <x v="147"/>
    <n v="12.85"/>
    <n v="-3.08"/>
    <n v="-0.45194984412250139"/>
    <n v="1.2730611641988226E-15"/>
    <n v="0.87581049455492266"/>
    <n v="1034.6878814414085"/>
    <n v="1800"/>
    <x v="555"/>
    <s v="&lt;Клиент не выбран&gt;"/>
    <s v="2024 07"/>
    <n v="765.31211855859146"/>
    <n v="0.7396550518137377"/>
  </r>
  <r>
    <s v="523111075"/>
    <s v="720000079409"/>
    <s v="iHerb_OA CZN6870"/>
    <s v="Доставлен"/>
    <d v="2024-01-09T00:00:00"/>
    <x v="19"/>
    <s v="Витамины"/>
    <s v="CAR-05513"/>
    <x v="154"/>
    <x v="1020"/>
    <n v="16.18"/>
    <n v="-4.8499999999999996"/>
    <n v="-0.52411379057399599"/>
    <n v="1.4763339805908558E-15"/>
    <n v="1.0156533166128223"/>
    <n v="1199.8990477718689"/>
    <n v="2200"/>
    <x v="318"/>
    <s v="&lt;Клиент не выбран&gt;"/>
    <s v="2024 02"/>
    <n v="1000.1009522281311"/>
    <n v="0.83348757888028213"/>
  </r>
  <r>
    <s v="523255993"/>
    <s v="720000088921"/>
    <s v="iHerb_MH DLE7202"/>
    <s v="Доставлен"/>
    <d v="2024-01-15T00:00:00"/>
    <x v="19"/>
    <s v="Витамины"/>
    <s v="CAL-39022"/>
    <x v="138"/>
    <x v="828"/>
    <n v="18.87"/>
    <n v="-3.7749999999999999"/>
    <n v="-1.1959976309555147"/>
    <n v="2.258624395114233E-15"/>
    <n v="1.1949133317104057"/>
    <n v="1531.2660973063089"/>
    <n v="2500"/>
    <x v="126"/>
    <s v="&lt;Клиент не выбран&gt;"/>
    <s v="2024 03"/>
    <n v="968.73390269369111"/>
    <n v="0.63263589809623344"/>
  </r>
  <r>
    <s v="523255993"/>
    <s v="720000088921"/>
    <s v="iHerb_MH DLE7202"/>
    <s v="Доставлен"/>
    <d v="2024-01-15T00:00:00"/>
    <x v="19"/>
    <s v="Витамины"/>
    <s v="CAL-39022"/>
    <x v="138"/>
    <x v="828"/>
    <n v="18.87"/>
    <n v="-3.7749999999999999"/>
    <n v="-1.1959976309555147"/>
    <n v="2.258624395114233E-15"/>
    <n v="1.1949133317104057"/>
    <n v="1531.2660973063089"/>
    <n v="2500"/>
    <x v="127"/>
    <s v="&lt;Клиент не выбран&gt;"/>
    <s v="2024 03"/>
    <n v="968.73390269369111"/>
    <n v="0.63263589809623344"/>
  </r>
  <r>
    <s v="523255993"/>
    <s v="720000088921"/>
    <s v="iHerb_MH DLE7202"/>
    <s v="Доставлен"/>
    <d v="2024-01-15T00:00:00"/>
    <x v="19"/>
    <s v="Витамины"/>
    <s v="NOW-02811"/>
    <x v="3"/>
    <x v="1021"/>
    <n v="20.6"/>
    <n v="-4.12"/>
    <n v="-1.3057330876546462"/>
    <n v="2.465858233288013E-15"/>
    <n v="1.3045493015294789"/>
    <n v="1671.763185399667"/>
    <n v="2600"/>
    <x v="318"/>
    <s v="&lt;Клиент не выбран&gt;"/>
    <s v="2024 02"/>
    <n v="928.23681460033299"/>
    <n v="0.55524420127628316"/>
  </r>
  <r>
    <s v="523255993"/>
    <s v="720000088921"/>
    <s v="iHerb_MH DLE7202"/>
    <s v="Доставлен"/>
    <d v="2024-01-15T00:00:00"/>
    <x v="19"/>
    <s v="Витамины"/>
    <s v="SWV-11613"/>
    <x v="89"/>
    <x v="695"/>
    <n v="8.17"/>
    <n v="-1.63"/>
    <n v="-0.51817320347459861"/>
    <n v="9.785626726761897E-16"/>
    <n v="0.5177034242720141"/>
    <n v="663.43029323506198"/>
    <n v="1600"/>
    <x v="318"/>
    <s v="&lt;Клиент не выбран&gt;"/>
    <s v="2024 02"/>
    <n v="936.56970676493802"/>
    <n v="1.4117077804783014"/>
  </r>
  <r>
    <s v="523255993"/>
    <s v="720000088921"/>
    <s v="iHerb_MH DLE7202"/>
    <s v="Доставлен"/>
    <d v="2024-01-15T00:00:00"/>
    <x v="19"/>
    <s v="Витамины"/>
    <s v="MRM-21104"/>
    <x v="37"/>
    <x v="94"/>
    <n v="16.79"/>
    <n v="-3.36"/>
    <n v="-1.0640773887865229"/>
    <n v="2.0094949073457534E-15"/>
    <n v="1.0631126892925304"/>
    <n v="1362.3652657716946"/>
    <n v="2400"/>
    <x v="556"/>
    <s v="&lt;Клиент не выбран&gt;"/>
    <s v="2024 09"/>
    <n v="1037.6347342283054"/>
    <n v="0.76164209430321195"/>
  </r>
  <r>
    <s v="523255993"/>
    <s v="720000088921"/>
    <s v="iHerb_MH DLE7202"/>
    <s v="Доставлен"/>
    <d v="2024-01-15T00:00:00"/>
    <x v="19"/>
    <s v="Витамины"/>
    <s v="CEN-27387"/>
    <x v="2"/>
    <x v="23"/>
    <n v="28.05"/>
    <n v="-5.61"/>
    <n v="-1.7779520926559624"/>
    <n v="3.357637060375183E-15"/>
    <n v="1.776340189703975"/>
    <n v="2276.3571529349838"/>
    <n v="3400"/>
    <x v="266"/>
    <s v="&lt;Клиент не выбран&gt;"/>
    <s v="2024 03"/>
    <n v="1123.6428470650162"/>
    <n v="0.4936144776825841"/>
  </r>
  <r>
    <s v="523255993"/>
    <s v="720000088921"/>
    <s v="iHerb_MH DLE7202"/>
    <s v="Доставлен"/>
    <d v="2024-01-15T00:00:00"/>
    <x v="19"/>
    <s v="Витамины"/>
    <s v="CEN-27387"/>
    <x v="2"/>
    <x v="23"/>
    <n v="28.05"/>
    <n v="-5.61"/>
    <n v="-1.7779520926559624"/>
    <n v="3.357637060375183E-15"/>
    <n v="1.776340189703975"/>
    <n v="2276.3571529349838"/>
    <n v="3350"/>
    <x v="557"/>
    <s v="&lt;Клиент не выбран&gt;"/>
    <s v="2024 03"/>
    <n v="1073.6428470650162"/>
    <n v="0.47164955889313431"/>
  </r>
  <r>
    <s v="523255993"/>
    <s v="720000088921"/>
    <s v="iHerb_MH DLE7202"/>
    <s v="Доставлен"/>
    <d v="2024-01-15T00:00:00"/>
    <x v="19"/>
    <s v="Витамины"/>
    <s v="VTP-00508"/>
    <x v="226"/>
    <x v="973"/>
    <n v="61.51"/>
    <n v="-12.3"/>
    <n v="-3.8989760463279808"/>
    <n v="7.3631604162683915E-15"/>
    <n v="3.8954412092394208"/>
    <n v="4991.9579098008253"/>
    <n v="6400"/>
    <x v="456"/>
    <s v="&lt;Клиент не выбран&gt;"/>
    <s v="2024 02"/>
    <n v="1408.0420901991747"/>
    <n v="0.28206209179663422"/>
  </r>
  <r>
    <s v="523255993"/>
    <s v="720000088921"/>
    <s v="iHerb_MH DLE7202"/>
    <s v="Доставлен"/>
    <d v="2024-01-15T00:00:00"/>
    <x v="19"/>
    <s v="Витамины"/>
    <s v="BTZ-75121"/>
    <x v="166"/>
    <x v="1022"/>
    <n v="21.46"/>
    <n v="-12.47"/>
    <n v="-0.71229007633587804"/>
    <n v="1.3451496066298082E-15"/>
    <n v="0.71164430951153013"/>
    <n v="911.96304834605633"/>
    <n v="2500"/>
    <x v="558"/>
    <s v="&lt;Клиент не выбран&gt;"/>
    <s v="2024 06"/>
    <n v="1588.0369516539436"/>
    <n v="1.7413391414641419"/>
  </r>
  <r>
    <s v="523255993"/>
    <s v="720000088921"/>
    <s v="iHerb_MH DLE7202"/>
    <s v="Доставлен"/>
    <d v="2024-01-15T00:00:00"/>
    <x v="19"/>
    <s v="Витамины"/>
    <s v="CGN-01115"/>
    <x v="1"/>
    <x v="1023"/>
    <n v="10.220000000000001"/>
    <n v="-3.07"/>
    <n v="-0.5665043432482233"/>
    <n v="1.0698353378646416E-15"/>
    <n v="0.56599074671940375"/>
    <n v="725.30987716065647"/>
    <n v="1400"/>
    <x v="418"/>
    <s v="&lt;Клиент не выбран&gt;"/>
    <s v="2024 03"/>
    <n v="674.69012283934353"/>
    <n v="0.93020947885133975"/>
  </r>
  <r>
    <s v="523255993"/>
    <s v="720000088921"/>
    <s v="iHerb_MH DLE7202"/>
    <s v="Доставлен"/>
    <d v="2024-01-15T00:00:00"/>
    <x v="19"/>
    <s v="Витамины"/>
    <s v="NAP-47627"/>
    <x v="11"/>
    <x v="739"/>
    <n v="9.8800000000000008"/>
    <n v="-1.98"/>
    <n v="-0.62592787575677822"/>
    <n v="1.1820558278504433E-15"/>
    <n v="0.62536040546619442"/>
    <n v="801.39133280687918"/>
    <n v="1700"/>
    <x v="352"/>
    <s v="&lt;Клиент не выбран&gt;"/>
    <s v="2024 10"/>
    <n v="898.60866719312082"/>
    <n v="1.1213106885567843"/>
  </r>
  <r>
    <s v="523255993"/>
    <s v="720000088921"/>
    <s v="iHerb_MH DLE7202"/>
    <s v="Доставлен"/>
    <d v="2024-01-15T00:00:00"/>
    <x v="19"/>
    <s v="Витамины"/>
    <s v="EVL-02434"/>
    <x v="125"/>
    <x v="440"/>
    <n v="6.48"/>
    <n v="-1.3"/>
    <n v="-0.41041853119241917"/>
    <n v="7.7506951750193624E-16"/>
    <n v="0.41004644307783378"/>
    <n v="525.4692536632449"/>
    <n v="1200"/>
    <x v="559"/>
    <s v="&lt;Клиент не выбран&gt;"/>
    <s v="2024 06"/>
    <n v="674.5307463367551"/>
    <n v="1.2836731010127542"/>
  </r>
  <r>
    <s v="523185478"/>
    <s v="720000084230"/>
    <s v="iHerb_AV CYG0792"/>
    <s v="Доставлен"/>
    <d v="2024-01-12T00:00:00"/>
    <x v="19"/>
    <s v="Витамины"/>
    <s v="SOL-02058"/>
    <x v="19"/>
    <x v="1024"/>
    <n v="38.53"/>
    <n v="0"/>
    <n v="-2.9571613610001291"/>
    <n v="0"/>
    <n v="2.4196604035837628"/>
    <n v="3868.6411737981693"/>
    <n v="4200"/>
    <x v="392"/>
    <s v="&lt;Клиент не выбран&gt;"/>
    <s v="2024 02"/>
    <n v="331.35882620183065"/>
    <n v="8.5652509838876553E-2"/>
  </r>
  <r>
    <s v="523185478"/>
    <s v="720000084230"/>
    <s v="iHerb_AV CYG0792"/>
    <s v="Доставлен"/>
    <d v="2024-01-12T00:00:00"/>
    <x v="19"/>
    <s v="Витамины"/>
    <s v="NRT-16982"/>
    <x v="27"/>
    <x v="1025"/>
    <n v="24.81"/>
    <n v="-4.96"/>
    <n v="-1.5234791854620438"/>
    <n v="0"/>
    <n v="1.2465678435280998"/>
    <n v="1993.0580664389738"/>
    <n v="3000"/>
    <x v="384"/>
    <s v="&lt;Клиент не выбран&gt;"/>
    <s v="2024 02"/>
    <n v="1006.9419335610262"/>
    <n v="0.50522458453011565"/>
  </r>
  <r>
    <s v="523185478"/>
    <s v="720000084230"/>
    <s v="iHerb_AV CYG0792"/>
    <s v="Доставлен"/>
    <d v="2024-01-12T00:00:00"/>
    <x v="19"/>
    <s v="Витамины"/>
    <s v="LEX-13271"/>
    <x v="7"/>
    <x v="835"/>
    <n v="11.74"/>
    <n v="-2.35"/>
    <n v="-0.72067856682562181"/>
    <n v="0"/>
    <n v="0.58968624940699543"/>
    <n v="942.81185107616955"/>
    <n v="1700"/>
    <x v="264"/>
    <s v="&lt;Клиент не выбран&gt;"/>
    <s v="2024 02"/>
    <n v="757.18814892383045"/>
    <n v="0.80311691888422965"/>
  </r>
  <r>
    <s v="523185478"/>
    <s v="720000084230"/>
    <s v="iHerb_AV CYG0792"/>
    <s v="Доставлен"/>
    <d v="2024-01-12T00:00:00"/>
    <x v="19"/>
    <s v="Витамины"/>
    <s v="LEX-19456"/>
    <x v="7"/>
    <x v="558"/>
    <n v="10.65"/>
    <n v="-2.13"/>
    <n v="-0.65390643124113923"/>
    <n v="0"/>
    <n v="0.53505078220954216"/>
    <n v="855.4586763758216"/>
    <n v="1500"/>
    <x v="264"/>
    <s v="&lt;Клиент не выбран&gt;"/>
    <s v="2024 02"/>
    <n v="644.5413236241784"/>
    <n v="0.75344530533584464"/>
  </r>
  <r>
    <s v="523185478"/>
    <s v="720000084230"/>
    <s v="iHerb_AV CYG0792"/>
    <s v="Доставлен"/>
    <d v="2024-01-12T00:00:00"/>
    <x v="19"/>
    <s v="Витамины"/>
    <s v="LEX-19456"/>
    <x v="7"/>
    <x v="558"/>
    <n v="10.65"/>
    <n v="-2.13"/>
    <n v="-0.65390643124113923"/>
    <n v="0"/>
    <n v="0.53505078220954216"/>
    <n v="855.4586763758216"/>
    <n v="1700"/>
    <x v="456"/>
    <s v="&lt;Клиент не выбран&gt;"/>
    <s v="2024 02"/>
    <n v="844.5413236241784"/>
    <n v="0.98723801271395728"/>
  </r>
  <r>
    <s v="523185478"/>
    <s v="720000084230"/>
    <s v="iHerb_AV CYG0792"/>
    <s v="Доставлен"/>
    <d v="2024-01-12T00:00:00"/>
    <x v="19"/>
    <s v="Витамины"/>
    <s v="LEX-23151"/>
    <x v="7"/>
    <x v="17"/>
    <n v="20.91"/>
    <n v="-4.18"/>
    <n v="-1.284020492331486"/>
    <n v="0"/>
    <n v="1.0506337542682676"/>
    <n v="1679.7915088928987"/>
    <n v="2700"/>
    <x v="318"/>
    <s v="&lt;Клиент не выбран&gt;"/>
    <s v="2024 02"/>
    <n v="1020.2084911071013"/>
    <n v="0.60734233129889481"/>
  </r>
  <r>
    <s v="523185478"/>
    <s v="720000084230"/>
    <s v="iHerb_AV CYG0792"/>
    <s v="Доставлен"/>
    <d v="2024-01-12T00:00:00"/>
    <x v="19"/>
    <s v="Витамины"/>
    <s v="DRB-00091"/>
    <x v="6"/>
    <x v="16"/>
    <n v="12.96"/>
    <n v="-2.59"/>
    <n v="-0.79589315633457924"/>
    <n v="0"/>
    <n v="0.65122964923860949"/>
    <n v="1041.2096800489755"/>
    <n v="1041.21"/>
    <x v="560"/>
    <s v="&lt;Клиент не выбран&gt;"/>
    <s v="2024 04"/>
    <n v="3.1995102449400292E-4"/>
    <n v="3.0728779286699807E-7"/>
  </r>
  <r>
    <s v="523185478"/>
    <s v="720000084230"/>
    <s v="iHerb_AV CYG0792"/>
    <s v="Доставлен"/>
    <d v="2024-01-12T00:00:00"/>
    <x v="19"/>
    <s v="Витамины"/>
    <s v="DRB-00091"/>
    <x v="6"/>
    <x v="16"/>
    <n v="12.96"/>
    <n v="-2.59"/>
    <n v="-0.79589315633457924"/>
    <n v="0"/>
    <n v="0.65122964923860949"/>
    <n v="1041.2096800489755"/>
    <n v="1700"/>
    <x v="314"/>
    <s v="&lt;Клиент не выбран&gt;"/>
    <s v="2024 05"/>
    <n v="658.79031995102446"/>
    <n v="0.63271628431272064"/>
  </r>
  <r>
    <s v="523185478"/>
    <s v="720000084230"/>
    <s v="iHerb_AV CYG0792"/>
    <s v="Доставлен"/>
    <d v="2024-01-12T00:00:00"/>
    <x v="19"/>
    <s v="Витамины"/>
    <s v="NOW-03770"/>
    <x v="3"/>
    <x v="281"/>
    <n v="14.94"/>
    <n v="-2.99"/>
    <n v="-0.91715749452248996"/>
    <n v="0"/>
    <n v="0.75045268162019119"/>
    <n v="1199.8510777806416"/>
    <n v="2600"/>
    <x v="266"/>
    <s v="&lt;Клиент не выбран&gt;"/>
    <s v="2024 03"/>
    <n v="1400.1489222193584"/>
    <n v="1.1669355873807328"/>
  </r>
  <r>
    <s v="523185478"/>
    <s v="720000084230"/>
    <s v="iHerb_AV CYG0792"/>
    <s v="Доставлен"/>
    <d v="2024-01-12T00:00:00"/>
    <x v="19"/>
    <s v="Витамины"/>
    <s v="NOW-03770"/>
    <x v="3"/>
    <x v="281"/>
    <n v="14.94"/>
    <n v="-2.99"/>
    <n v="-0.91715749452248996"/>
    <n v="0"/>
    <n v="0.75045268162019119"/>
    <n v="1199.8510777806416"/>
    <n v="2300"/>
    <x v="561"/>
    <s v="&lt;Клиент не выбран&gt;"/>
    <s v="2024 05"/>
    <n v="1100.1489222193584"/>
    <n v="0.91690455806757132"/>
  </r>
  <r>
    <s v="523185478"/>
    <s v="720000084230"/>
    <s v="iHerb_AV CYG0792"/>
    <s v="Доставлен"/>
    <d v="2024-01-12T00:00:00"/>
    <x v="19"/>
    <s v="Витамины"/>
    <s v="CEN-22675"/>
    <x v="2"/>
    <x v="2"/>
    <n v="10.89"/>
    <n v="-2.1800000000000002"/>
    <n v="-0.66848885165614125"/>
    <n v="0"/>
    <n v="0.54698266585036526"/>
    <n v="874.53580648279421"/>
    <n v="1700"/>
    <x v="336"/>
    <s v="&lt;Клиент не выбран&gt;"/>
    <s v="2024 03"/>
    <n v="825.46419351720579"/>
    <n v="0.94388838901525995"/>
  </r>
  <r>
    <s v="523185478"/>
    <s v="720000084230"/>
    <s v="iHerb_AV CYG0792"/>
    <s v="Доставлен"/>
    <d v="2024-01-12T00:00:00"/>
    <x v="19"/>
    <s v="Витамины"/>
    <s v="CGN-02108"/>
    <x v="1"/>
    <x v="899"/>
    <n v="17.23"/>
    <n v="-8.6199999999999992"/>
    <n v="-0.66081389354298248"/>
    <n v="0"/>
    <n v="0.54070272709203737"/>
    <n v="864.49521168965077"/>
    <m/>
    <x v="20"/>
    <m/>
    <s v=""/>
    <n v="-864.49521168965077"/>
    <s v=""/>
  </r>
  <r>
    <s v="523185478"/>
    <s v="720000084230"/>
    <s v="iHerb_AV CYG0792"/>
    <s v="Доставлен"/>
    <d v="2024-01-12T00:00:00"/>
    <x v="19"/>
    <s v="Витамины"/>
    <s v="NOW-00373"/>
    <x v="3"/>
    <x v="239"/>
    <n v="14.73"/>
    <n v="-2.95"/>
    <n v="-0.90411006573011987"/>
    <n v="0"/>
    <n v="0.73977678573103367"/>
    <n v="1182.782066632298"/>
    <n v="2000"/>
    <x v="412"/>
    <s v="&lt;Клиент не выбран&gt;"/>
    <s v="2025 03"/>
    <n v="817.21793336770202"/>
    <n v="0.69092857967870924"/>
  </r>
  <r>
    <s v="523185478"/>
    <s v="720000084230"/>
    <s v="iHerb_AV CYG0792"/>
    <s v="Доставлен"/>
    <d v="2024-01-12T00:00:00"/>
    <x v="19"/>
    <s v="Витамины"/>
    <s v="NOW-01452"/>
    <x v="3"/>
    <x v="143"/>
    <n v="11.97"/>
    <n v="-2.39"/>
    <n v="-0.73526098724062383"/>
    <n v="0"/>
    <n v="0.60161813304781842"/>
    <n v="961.88898118314205"/>
    <n v="1700"/>
    <x v="562"/>
    <s v="&lt;Клиент не выбран&gt;"/>
    <s v="2024 02"/>
    <n v="738.11101881685795"/>
    <n v="0.76735572738235047"/>
  </r>
  <r>
    <s v="523185478"/>
    <s v="720000084230"/>
    <s v="iHerb_AV CYG0792"/>
    <s v="Доставлен"/>
    <d v="2024-01-12T00:00:00"/>
    <x v="19"/>
    <s v="Витамины"/>
    <s v="ZAH-08047"/>
    <x v="234"/>
    <x v="1026"/>
    <n v="17.89"/>
    <n v="-3.58"/>
    <n v="-1.0982865059930405"/>
    <n v="0"/>
    <n v="0.89865923631673095"/>
    <n v="1436.8091148988269"/>
    <n v="2500"/>
    <x v="559"/>
    <s v="&lt;Клиент не выбран&gt;"/>
    <s v="2024 06"/>
    <n v="1063.1908851011731"/>
    <n v="0.73996669013060778"/>
  </r>
  <r>
    <s v="523185478"/>
    <s v="720000084230"/>
    <s v="iHerb_AV CYG0792"/>
    <s v="Доставлен"/>
    <d v="2024-01-12T00:00:00"/>
    <x v="19"/>
    <s v="Витамины"/>
    <s v="FBS-20726"/>
    <x v="20"/>
    <x v="42"/>
    <n v="7.72"/>
    <n v="-1.5449999999999999"/>
    <n v="-0.47392866348756285"/>
    <n v="0"/>
    <n v="0.38778621832675148"/>
    <n v="620.0067284766078"/>
    <n v="1700"/>
    <x v="547"/>
    <s v="&lt;Клиент не выбран&gt;"/>
    <s v="2024 07"/>
    <n v="1079.9932715233922"/>
    <n v="1.7419057276636301"/>
  </r>
  <r>
    <s v="523185478"/>
    <s v="720000084230"/>
    <s v="iHerb_AV CYG0792"/>
    <s v="Доставлен"/>
    <d v="2024-01-12T00:00:00"/>
    <x v="19"/>
    <s v="Витамины"/>
    <s v="FBS-20726"/>
    <x v="20"/>
    <x v="42"/>
    <n v="7.72"/>
    <n v="-1.5449999999999999"/>
    <n v="-0.47392866348756285"/>
    <n v="0"/>
    <n v="0.38778621832675148"/>
    <n v="620.0067284766078"/>
    <n v="1700"/>
    <x v="555"/>
    <s v="&lt;Клиент не выбран&gt;"/>
    <s v="2024 07"/>
    <n v="1079.9932715233922"/>
    <n v="1.7419057276636301"/>
  </r>
  <r>
    <s v="523185478"/>
    <s v="720000084230"/>
    <s v="iHerb_AV CYG0792"/>
    <s v="Доставлен"/>
    <d v="2024-01-12T00:00:00"/>
    <x v="19"/>
    <s v="Витамины"/>
    <s v="FBS-00678"/>
    <x v="20"/>
    <x v="542"/>
    <n v="13.49"/>
    <n v="-2.7"/>
    <n v="-0.82812798040984648"/>
    <n v="0"/>
    <n v="0.67760539202358672"/>
    <n v="1083.3801781801778"/>
    <n v="2200"/>
    <x v="231"/>
    <s v="&lt;Клиент не выбран&gt;"/>
    <s v="2024 02"/>
    <n v="1116.6198218198222"/>
    <n v="1.0306814212675361"/>
  </r>
  <r>
    <s v="523185478"/>
    <s v="720000084230"/>
    <s v="iHerb_AV CYG0792"/>
    <s v="Доставлен"/>
    <d v="2024-01-12T00:00:00"/>
    <x v="19"/>
    <s v="Витамины"/>
    <s v="FBS-00678"/>
    <x v="20"/>
    <x v="542"/>
    <n v="13.49"/>
    <n v="-2.7"/>
    <n v="-0.82812798040984648"/>
    <n v="0"/>
    <n v="0.67760539202358672"/>
    <n v="1083.3801781801778"/>
    <n v="2300"/>
    <x v="563"/>
    <s v="&lt;Клиент не выбран&gt;"/>
    <s v="2024 03"/>
    <n v="1216.6198218198222"/>
    <n v="1.1229851222342422"/>
  </r>
  <r>
    <s v="523185478"/>
    <s v="720000084230"/>
    <s v="iHerb_AV CYG0792"/>
    <s v="Доставлен"/>
    <d v="2024-01-12T00:00:00"/>
    <x v="19"/>
    <s v="Витамины"/>
    <s v="NWY-15788"/>
    <x v="16"/>
    <x v="53"/>
    <n v="12.45"/>
    <n v="-2.4900000000000002"/>
    <n v="-0.76442582807062764"/>
    <n v="0"/>
    <n v="0.62548190032946471"/>
    <n v="1000.0432413970871"/>
    <m/>
    <x v="20"/>
    <m/>
    <s v=""/>
    <n v="-1000.0432413970871"/>
    <s v=""/>
  </r>
  <r>
    <s v="523185478"/>
    <s v="720000084230"/>
    <s v="iHerb_AV CYG0792"/>
    <s v="Доставлен"/>
    <d v="2024-01-12T00:00:00"/>
    <x v="19"/>
    <s v="Витамины"/>
    <s v="NAP-29982"/>
    <x v="11"/>
    <x v="393"/>
    <n v="27.27"/>
    <n v="-5.4550000000000001"/>
    <n v="-1.6742921123856165"/>
    <n v="0"/>
    <n v="1.3699686401292444"/>
    <n v="2190.3557541242426"/>
    <n v="3500"/>
    <x v="387"/>
    <s v="&lt;Клиент не выбран&gt;"/>
    <s v="2024 02"/>
    <n v="1309.6442458757574"/>
    <n v="0.59791394316188828"/>
  </r>
  <r>
    <s v="523185478"/>
    <s v="720000084230"/>
    <s v="iHerb_AV CYG0792"/>
    <s v="Доставлен"/>
    <d v="2024-01-12T00:00:00"/>
    <x v="19"/>
    <s v="Витамины"/>
    <s v="NAP-29982"/>
    <x v="11"/>
    <x v="393"/>
    <n v="27.27"/>
    <n v="-5.4550000000000001"/>
    <n v="-1.6742921123856165"/>
    <n v="0"/>
    <n v="1.3699686401292444"/>
    <n v="2190.3557541242426"/>
    <n v="3500"/>
    <x v="336"/>
    <s v="&lt;Клиент не выбран&gt;"/>
    <s v="2024 03"/>
    <n v="1309.6442458757574"/>
    <n v="0.59791394316188828"/>
  </r>
  <r>
    <s v="523185478"/>
    <s v="720000084230"/>
    <s v="iHerb_AV CYG0792"/>
    <s v="Доставлен"/>
    <d v="2024-01-12T00:00:00"/>
    <x v="19"/>
    <s v="Витамины"/>
    <s v="RSP-00661"/>
    <x v="52"/>
    <x v="917"/>
    <n v="15.72"/>
    <n v="-3.14"/>
    <n v="-0.96550973063539114"/>
    <n v="0"/>
    <n v="0.79001629579765731"/>
    <n v="1263.1068249774455"/>
    <n v="2300"/>
    <x v="475"/>
    <s v="&lt;Клиент не выбран&gt;"/>
    <s v="2024 02"/>
    <n v="1036.8931750225545"/>
    <n v="0.82090695301331273"/>
  </r>
  <r>
    <s v="523185478"/>
    <s v="720000084230"/>
    <s v="iHerb_AV CYG0792"/>
    <s v="Доставлен"/>
    <d v="2024-01-12T00:00:00"/>
    <x v="19"/>
    <s v="Витамины"/>
    <s v="CAL-74810"/>
    <x v="138"/>
    <x v="1027"/>
    <n v="6.93"/>
    <n v="-1.385"/>
    <n v="-0.42557642737466161"/>
    <n v="0"/>
    <n v="0.34822260414928535"/>
    <n v="556.75098127980402"/>
    <n v="2200"/>
    <x v="564"/>
    <s v="&lt;Клиент не выбран&gt;"/>
    <s v="2024 03"/>
    <n v="1643.2490187201961"/>
    <n v="2.9514973012582"/>
  </r>
  <r>
    <s v="523185478"/>
    <s v="720000084230"/>
    <s v="iHerb_AV CYG0792"/>
    <s v="Доставлен"/>
    <d v="2024-01-12T00:00:00"/>
    <x v="19"/>
    <s v="Витамины"/>
    <s v="CAL-74810"/>
    <x v="138"/>
    <x v="1027"/>
    <n v="6.93"/>
    <n v="-1.385"/>
    <n v="-0.42557642737466161"/>
    <n v="0"/>
    <n v="0.34822260414928535"/>
    <n v="556.75098127980402"/>
    <n v="2200"/>
    <x v="515"/>
    <s v="&lt;Клиент не выбран&gt;"/>
    <s v="2024 08"/>
    <n v="1643.2490187201961"/>
    <n v="2.9514973012582"/>
  </r>
  <r>
    <s v="523309351"/>
    <s v="720000093209"/>
    <s v="iHerb_VP DFD1605"/>
    <s v="Доставлен"/>
    <d v="2024-01-17T00:00:00"/>
    <x v="19"/>
    <s v="Витамины"/>
    <s v="NOW-00680"/>
    <x v="3"/>
    <x v="88"/>
    <n v="11.34"/>
    <n v="-2.72"/>
    <n v="-1.6972881607235526"/>
    <n v="9.0812934720914279E-16"/>
    <n v="0.94749344748152242"/>
    <n v="809.70848592680466"/>
    <n v="1600"/>
    <x v="565"/>
    <s v="&lt;Клиент не выбран&gt;"/>
    <s v="2025 06"/>
    <n v="790.29151407319534"/>
    <n v="0.97601979948205142"/>
  </r>
  <r>
    <s v="523309351"/>
    <s v="720000093209"/>
    <s v="iHerb_VP DFD1605"/>
    <s v="Доставлен"/>
    <d v="2024-01-17T00:00:00"/>
    <x v="19"/>
    <s v="Витамины"/>
    <s v="NAP-29998"/>
    <x v="11"/>
    <x v="1028"/>
    <n v="11.41"/>
    <n v="-2.74"/>
    <n v="-1.7071332196604641"/>
    <n v="9.133969188286855E-16"/>
    <n v="0.95298934914904887"/>
    <n v="814.40517087997648"/>
    <n v="1800"/>
    <x v="336"/>
    <s v="&lt;Клиент не выбран&gt;"/>
    <s v="2024 03"/>
    <n v="985.59482912002352"/>
    <n v="1.2102020767563082"/>
  </r>
  <r>
    <s v="523309351"/>
    <s v="720000093209"/>
    <s v="iHerb_VP DFD1605"/>
    <s v="Доставлен"/>
    <d v="2024-01-17T00:00:00"/>
    <x v="19"/>
    <s v="Витамины"/>
    <s v="NAP-29942"/>
    <x v="11"/>
    <x v="861"/>
    <n v="12.1"/>
    <n v="-2.42"/>
    <n v="-1.9060034101860777"/>
    <n v="1.0198018655434459E-15"/>
    <n v="1.0640065628330788"/>
    <n v="909.2782069340451"/>
    <n v="2000"/>
    <x v="566"/>
    <s v="&lt;Клиент не выбран&gt;"/>
    <s v="2024 10"/>
    <n v="1090.7217930659549"/>
    <n v="1.1995468325846184"/>
  </r>
  <r>
    <s v="523309351"/>
    <s v="720000093209"/>
    <s v="iHerb_VP DFD1605"/>
    <s v="Доставлен"/>
    <d v="2024-01-17T00:00:00"/>
    <x v="19"/>
    <s v="Витамины"/>
    <s v="NAP-29996"/>
    <x v="11"/>
    <x v="61"/>
    <n v="12.25"/>
    <n v="-2.4500000000000002"/>
    <n v="-1.9296315516346656"/>
    <n v="1.0324440374303481E-15"/>
    <n v="1.0771967268351417"/>
    <n v="920.5502508216573"/>
    <n v="2000"/>
    <x v="567"/>
    <s v="&lt;Клиент не выбран&gt;"/>
    <s v="2025 05"/>
    <n v="1079.4497491783427"/>
    <n v="1.1726136060631738"/>
  </r>
  <r>
    <s v="523309351"/>
    <s v="720000093209"/>
    <s v="iHerb_VP DFD1605"/>
    <s v="Доставлен"/>
    <d v="2024-01-17T00:00:00"/>
    <x v="19"/>
    <s v="Витамины"/>
    <s v="NAP-29964"/>
    <x v="11"/>
    <x v="1029"/>
    <n v="16.53"/>
    <n v="-3.31"/>
    <n v="-2.6030335829194162"/>
    <n v="1.3927459362070615E-15"/>
    <n v="1.4531164008939361"/>
    <n v="1241.8035016186031"/>
    <m/>
    <x v="20"/>
    <m/>
    <s v=""/>
    <n v="-1241.8035016186031"/>
    <s v=""/>
  </r>
  <r>
    <s v="523309351"/>
    <s v="720000093209"/>
    <s v="iHerb_VP DFD1605"/>
    <s v="Доставлен"/>
    <d v="2024-01-17T00:00:00"/>
    <x v="19"/>
    <s v="Витамины"/>
    <s v="SNS-00803"/>
    <x v="151"/>
    <x v="868"/>
    <n v="17.14"/>
    <n v="-3.43"/>
    <n v="-2.6995151605011496"/>
    <n v="1.4443681380785788E-15"/>
    <n v="1.506976237235693"/>
    <n v="1287.831014159686"/>
    <n v="2400"/>
    <x v="490"/>
    <s v="&lt;Клиент не выбран&gt;"/>
    <s v="2024 03"/>
    <n v="1112.168985840314"/>
    <n v="0.86359854174346617"/>
  </r>
  <r>
    <s v="523309351"/>
    <s v="720000093209"/>
    <s v="iHerb_VP DFD1605"/>
    <s v="Доставлен"/>
    <d v="2024-01-17T00:00:00"/>
    <x v="19"/>
    <s v="Витамины"/>
    <s v="DRB-00133"/>
    <x v="6"/>
    <x v="621"/>
    <n v="18.45"/>
    <n v="-3.69"/>
    <n v="-2.9062613981762921"/>
    <n v="1.5549871420889733E-15"/>
    <n v="1.6223901722537439"/>
    <n v="1386.4613981762918"/>
    <n v="2350"/>
    <x v="318"/>
    <s v="&lt;Клиент не выбран&gt;"/>
    <s v="2024 02"/>
    <n v="963.53860182370818"/>
    <n v="0.6949624440255725"/>
  </r>
  <r>
    <s v="523309351"/>
    <s v="720000093209"/>
    <s v="iHerb_VP DFD1605"/>
    <s v="Доставлен"/>
    <d v="2024-01-17T00:00:00"/>
    <x v="19"/>
    <s v="Витамины"/>
    <s v="DRB-00133"/>
    <x v="6"/>
    <x v="621"/>
    <n v="18.45"/>
    <n v="-3.69"/>
    <n v="-2.9062613981762921"/>
    <n v="1.5549871420889733E-15"/>
    <n v="1.6223901722537439"/>
    <n v="1386.4613981762918"/>
    <n v="2400"/>
    <x v="318"/>
    <s v="&lt;Клиент не выбран&gt;"/>
    <s v="2024 02"/>
    <n v="1013.5386018237082"/>
    <n v="0.73102547474952084"/>
  </r>
  <r>
    <s v="523309351"/>
    <s v="720000093209"/>
    <s v="iHerb_VP DFD1605"/>
    <s v="Доставлен"/>
    <d v="2024-01-17T00:00:00"/>
    <x v="19"/>
    <s v="Витамины"/>
    <s v="CGN-02006"/>
    <x v="1"/>
    <x v="1030"/>
    <n v="11.87"/>
    <n v="-5.94"/>
    <n v="-1.1676239899177105"/>
    <n v="6.2473399407775126E-16"/>
    <n v="0.65181393776861107"/>
    <n v="557.02683544616605"/>
    <m/>
    <x v="20"/>
    <m/>
    <s v=""/>
    <n v="-557.02683544616605"/>
    <s v=""/>
  </r>
  <r>
    <s v="523309351"/>
    <s v="720000093209"/>
    <s v="iHerb_VP DFD1605"/>
    <s v="Доставлен"/>
    <d v="2024-01-17T00:00:00"/>
    <x v="19"/>
    <s v="Спортпит"/>
    <s v="OPN-02450"/>
    <x v="178"/>
    <x v="1031"/>
    <n v="21.41"/>
    <n v="-4.28"/>
    <n v="-3.3729171917858998"/>
    <n v="1.8046700368552918E-15"/>
    <n v="1.8828959112944872"/>
    <n v="1609.0842649566314"/>
    <n v="2400"/>
    <x v="498"/>
    <s v="&lt;Клиент не выбран&gt;"/>
    <s v="2024 10"/>
    <n v="790.91573504336861"/>
    <n v="0.49153158244617207"/>
  </r>
  <r>
    <s v="523309351"/>
    <s v="720000093209"/>
    <s v="iHerb_VP DFD1605"/>
    <s v="Доставлен"/>
    <d v="2024-01-17T00:00:00"/>
    <x v="19"/>
    <s v="Витамины"/>
    <s v="MRM-85003"/>
    <x v="37"/>
    <x v="368"/>
    <n v="11.63"/>
    <n v="-2.3250000000000002"/>
    <n v="-1.832165468159241"/>
    <n v="9.8029507839687635E-16"/>
    <n v="1.0227873003266319"/>
    <n v="874.05306978525721"/>
    <n v="1800"/>
    <x v="489"/>
    <s v="&lt;Клиент не выбран&gt;"/>
    <s v="2024 12"/>
    <n v="925.94693021474279"/>
    <n v="1.0593715212764314"/>
  </r>
  <r>
    <s v="523309351"/>
    <s v="720000093209"/>
    <s v="iHerb_VP DFD1605"/>
    <s v="Доставлен"/>
    <d v="2024-01-17T00:00:00"/>
    <x v="19"/>
    <s v="Витамины"/>
    <s v="MRM-85003"/>
    <x v="37"/>
    <x v="368"/>
    <n v="11.63"/>
    <n v="-2.3250000000000002"/>
    <n v="-1.832165468159241"/>
    <n v="9.8029507839687635E-16"/>
    <n v="1.0227873003266319"/>
    <n v="874.05306978525721"/>
    <n v="1700"/>
    <x v="568"/>
    <m/>
    <s v="2026 05"/>
    <n v="825.94693021474279"/>
    <n v="0.9449619923166297"/>
  </r>
  <r>
    <s v="PVP-361670"/>
    <n v="0"/>
    <s v="NSP"/>
    <s v="Доставлен"/>
    <d v="2024-01-13T00:00:00"/>
    <x v="19"/>
    <s v="Витамины"/>
    <s v="NSP001750"/>
    <x v="131"/>
    <x v="1032"/>
    <n v="3600.66"/>
    <n v="0"/>
    <n v="0"/>
    <n v="0"/>
    <n v="59.999999999999993"/>
    <n v="3660.66"/>
    <n v="4800"/>
    <x v="569"/>
    <s v="&lt;Клиент не выбран&gt;"/>
    <s v="2024 01"/>
    <n v="1139.3400000000001"/>
    <n v="0.31123895690940984"/>
  </r>
  <r>
    <s v="OZA0126"/>
    <n v="0"/>
    <s v="OZON_AV"/>
    <s v="Доставлен"/>
    <d v="2024-01-07T00:00:00"/>
    <x v="19"/>
    <s v="Спортпит"/>
    <s v="715218620"/>
    <x v="104"/>
    <x v="1033"/>
    <n v="3664"/>
    <n v="0"/>
    <n v="0"/>
    <n v="0"/>
    <n v="147.47205795845073"/>
    <n v="3811.4720579584509"/>
    <n v="4500"/>
    <x v="570"/>
    <s v="&lt;Клиент не выбран&gt;"/>
    <s v="2024 12"/>
    <n v="688.52794204154907"/>
    <n v="0.18064619957107783"/>
  </r>
  <r>
    <s v="WB0175"/>
    <n v="0"/>
    <s v="WBRS"/>
    <s v="Доставлен"/>
    <d v="2024-01-18T00:00:00"/>
    <x v="19"/>
    <s v="Спортпит"/>
    <s v="176330234"/>
    <x v="174"/>
    <x v="1034"/>
    <n v="1305"/>
    <n v="0"/>
    <n v="0"/>
    <n v="0"/>
    <n v="52.524845970463481"/>
    <n v="1357.5248459704635"/>
    <n v="1900"/>
    <x v="361"/>
    <s v="&lt;Клиент не выбран&gt;"/>
    <s v="2024 01"/>
    <n v="542.4751540295365"/>
    <n v="0.39960605924802312"/>
  </r>
  <r>
    <s v="WB0175"/>
    <n v="0"/>
    <s v="WBRS"/>
    <s v="Доставлен"/>
    <d v="2024-01-18T00:00:00"/>
    <x v="19"/>
    <s v="Спортпит"/>
    <s v="176330234"/>
    <x v="174"/>
    <x v="1034"/>
    <n v="1135"/>
    <n v="0"/>
    <n v="0"/>
    <n v="0"/>
    <n v="45.682528870862875"/>
    <n v="1180.6825288708628"/>
    <n v="1900"/>
    <x v="361"/>
    <s v="&lt;Клиент не выбран&gt;"/>
    <s v="2024 01"/>
    <n v="719.31747112913718"/>
    <n v="0.60923868486226451"/>
  </r>
  <r>
    <s v="WB0175"/>
    <n v="0"/>
    <s v="WBRS"/>
    <s v="Доставлен"/>
    <d v="2024-01-18T00:00:00"/>
    <x v="19"/>
    <s v="Спортпит"/>
    <s v="176330234"/>
    <x v="174"/>
    <x v="1034"/>
    <n v="1148"/>
    <n v="0"/>
    <n v="0"/>
    <n v="0"/>
    <n v="46.205764884361749"/>
    <n v="1194.2057648843618"/>
    <n v="1900"/>
    <x v="361"/>
    <s v="&lt;Клиент не выбран&gt;"/>
    <s v="2024 01"/>
    <n v="705.79423511563823"/>
    <n v="0.59101559870964304"/>
  </r>
  <r>
    <s v="WB0175"/>
    <n v="0"/>
    <s v="WBRS"/>
    <s v="Доставлен"/>
    <d v="2024-01-18T00:00:00"/>
    <x v="19"/>
    <s v="Спортпит"/>
    <s v="176330234"/>
    <x v="174"/>
    <x v="1034"/>
    <n v="1148"/>
    <n v="0"/>
    <n v="0"/>
    <n v="0"/>
    <n v="46.205764884361749"/>
    <n v="1194.2057648843618"/>
    <n v="1900"/>
    <x v="361"/>
    <s v="&lt;Клиент не выбран&gt;"/>
    <s v="2024 01"/>
    <n v="705.79423511563823"/>
    <n v="0.59101559870964304"/>
  </r>
  <r>
    <s v="WB0175"/>
    <n v="0"/>
    <s v="WBRS"/>
    <s v="Доставлен"/>
    <d v="2024-01-18T00:00:00"/>
    <x v="19"/>
    <s v="Спортпит"/>
    <s v="176330234"/>
    <x v="174"/>
    <x v="1034"/>
    <n v="1135"/>
    <n v="0"/>
    <n v="0"/>
    <n v="0"/>
    <n v="45.682528870862875"/>
    <n v="1180.6825288708628"/>
    <n v="1900"/>
    <x v="382"/>
    <s v="&lt;Клиент не выбран&gt;"/>
    <s v="2024 01"/>
    <n v="719.31747112913718"/>
    <n v="0.60923868486226451"/>
  </r>
  <r>
    <s v="WB0175"/>
    <n v="0"/>
    <s v="WBRS"/>
    <s v="Доставлен"/>
    <d v="2024-01-18T00:00:00"/>
    <x v="19"/>
    <s v="Спортпит"/>
    <s v="176330234"/>
    <x v="174"/>
    <x v="1034"/>
    <n v="1135"/>
    <n v="0"/>
    <n v="0"/>
    <n v="0"/>
    <n v="45.682528870862875"/>
    <n v="1180.6825288708628"/>
    <n v="1800"/>
    <x v="323"/>
    <s v="&lt;Клиент не выбран&gt;"/>
    <s v="2024 01"/>
    <n v="619.31747112913718"/>
    <n v="0.52454191197477695"/>
  </r>
  <r>
    <s v="WB0175"/>
    <n v="0"/>
    <s v="WBRS"/>
    <s v="Доставлен"/>
    <d v="2024-01-18T00:00:00"/>
    <x v="19"/>
    <s v="Спортпит"/>
    <s v="176330234"/>
    <x v="174"/>
    <x v="1034"/>
    <n v="1148"/>
    <n v="0"/>
    <n v="0"/>
    <n v="0"/>
    <n v="46.205764884361749"/>
    <n v="1194.2057648843618"/>
    <n v="1800"/>
    <x v="323"/>
    <s v="&lt;Клиент не выбран&gt;"/>
    <s v="2024 01"/>
    <n v="605.79423511563823"/>
    <n v="0.50727793561966183"/>
  </r>
  <r>
    <s v="WB0175"/>
    <n v="0"/>
    <s v="WBRS"/>
    <s v="Доставлен"/>
    <d v="2024-01-18T00:00:00"/>
    <x v="19"/>
    <s v="Спортпит"/>
    <s v="176330234"/>
    <x v="174"/>
    <x v="1034"/>
    <n v="1135"/>
    <n v="0"/>
    <n v="0"/>
    <n v="0"/>
    <n v="45.682528870862875"/>
    <n v="1180.6825288708628"/>
    <n v="1900"/>
    <x v="571"/>
    <s v="&lt;Клиент не выбран&gt;"/>
    <s v="2024 02"/>
    <n v="719.31747112913718"/>
    <n v="0.60923868486226451"/>
  </r>
  <r>
    <s v="WB0175"/>
    <n v="0"/>
    <s v="WBRS"/>
    <s v="Доставлен"/>
    <d v="2024-01-18T00:00:00"/>
    <x v="19"/>
    <s v="Спортпит"/>
    <s v="176330234"/>
    <x v="174"/>
    <x v="1034"/>
    <n v="1305"/>
    <n v="0"/>
    <n v="0"/>
    <n v="0"/>
    <n v="52.524845970463481"/>
    <n v="1357.5248459704635"/>
    <n v="1900"/>
    <x v="571"/>
    <s v="&lt;Клиент не выбран&gt;"/>
    <s v="2024 02"/>
    <n v="542.4751540295365"/>
    <n v="0.39960605924802312"/>
  </r>
  <r>
    <s v="WB0175"/>
    <n v="0"/>
    <s v="WBRS"/>
    <s v="Доставлен"/>
    <d v="2024-01-18T00:00:00"/>
    <x v="19"/>
    <s v="Косметика"/>
    <s v="157827858"/>
    <x v="235"/>
    <x v="1035"/>
    <n v="965"/>
    <n v="0"/>
    <n v="0"/>
    <n v="0"/>
    <n v="38.840211771262268"/>
    <n v="1003.8402117712623"/>
    <n v="1500"/>
    <x v="382"/>
    <s v="&lt;Клиент не выбран&gt;"/>
    <s v="2024 01"/>
    <n v="496.15978822873774"/>
    <n v="0.494261718559043"/>
  </r>
  <r>
    <s v="WB0175"/>
    <n v="0"/>
    <s v="WBRS"/>
    <s v="Доставлен"/>
    <d v="2024-01-18T00:00:00"/>
    <x v="19"/>
    <s v="Косметика"/>
    <s v="157827858"/>
    <x v="235"/>
    <x v="1035"/>
    <n v="965"/>
    <n v="0"/>
    <n v="0"/>
    <n v="0"/>
    <n v="38.840211771262268"/>
    <n v="1003.8402117712623"/>
    <n v="1500"/>
    <x v="382"/>
    <s v="&lt;Клиент не выбран&gt;"/>
    <s v="2024 01"/>
    <n v="496.15978822873774"/>
    <n v="0.494261718559043"/>
  </r>
  <r>
    <s v="WB0175"/>
    <n v="0"/>
    <s v="WBRS"/>
    <s v="Доставлен"/>
    <d v="2024-01-18T00:00:00"/>
    <x v="19"/>
    <s v="Косметика"/>
    <s v="157827858"/>
    <x v="235"/>
    <x v="1035"/>
    <n v="965"/>
    <n v="0"/>
    <n v="0"/>
    <n v="0"/>
    <n v="38.840211771262268"/>
    <n v="1003.8402117712623"/>
    <n v="1500"/>
    <x v="382"/>
    <s v="&lt;Клиент не выбран&gt;"/>
    <s v="2024 01"/>
    <n v="496.15978822873774"/>
    <n v="0.494261718559043"/>
  </r>
  <r>
    <s v="WB0175"/>
    <n v="0"/>
    <s v="WBRS"/>
    <s v="Доставлен"/>
    <d v="2024-01-18T00:00:00"/>
    <x v="19"/>
    <s v="Косметика"/>
    <s v="157827858"/>
    <x v="235"/>
    <x v="1035"/>
    <n v="965"/>
    <n v="0"/>
    <n v="0"/>
    <n v="0"/>
    <n v="38.840211771262268"/>
    <n v="1003.8402117712623"/>
    <n v="1500"/>
    <x v="382"/>
    <s v="&lt;Клиент не выбран&gt;"/>
    <s v="2024 01"/>
    <n v="496.15978822873774"/>
    <n v="0.494261718559043"/>
  </r>
  <r>
    <s v="OZO0046"/>
    <n v="0"/>
    <s v="OZON_OA"/>
    <s v="Доставлен"/>
    <d v="2023-12-27T00:00:00"/>
    <x v="18"/>
    <s v="Спортпит"/>
    <s v="892721541"/>
    <x v="162"/>
    <x v="618"/>
    <n v="832"/>
    <m/>
    <n v="0"/>
    <n v="0"/>
    <n v="33.487104863927676"/>
    <n v="865.4871048639277"/>
    <n v="2000"/>
    <x v="318"/>
    <s v="&lt;Клиент не выбран&gt;"/>
    <s v="2024 02"/>
    <n v="1134.5128951360723"/>
    <n v="1.31083743334852"/>
  </r>
  <r>
    <s v="OZO0046"/>
    <n v="0"/>
    <s v="OZON_OA"/>
    <s v="Доставлен"/>
    <d v="2023-12-27T00:00:00"/>
    <x v="18"/>
    <s v="Спортпит"/>
    <s v="892721541"/>
    <x v="162"/>
    <x v="618"/>
    <n v="832"/>
    <m/>
    <n v="0"/>
    <n v="0"/>
    <n v="33.487104863927676"/>
    <n v="865.4871048639277"/>
    <n v="1900"/>
    <x v="314"/>
    <s v="&lt;Клиент не выбран&gt;"/>
    <s v="2024 05"/>
    <n v="1034.5128951360723"/>
    <n v="1.1952955616810939"/>
  </r>
  <r>
    <s v="OZO0046"/>
    <n v="0"/>
    <s v="OZON_OA"/>
    <s v="Доставлен"/>
    <d v="2023-12-27T00:00:00"/>
    <x v="18"/>
    <s v="Спортпит"/>
    <s v="892721541"/>
    <x v="162"/>
    <x v="618"/>
    <n v="832"/>
    <m/>
    <n v="0"/>
    <n v="0"/>
    <n v="33.487104863927676"/>
    <n v="865.4871048639277"/>
    <n v="1900"/>
    <x v="320"/>
    <s v="&lt;Клиент не выбран&gt;"/>
    <s v="2024 05"/>
    <n v="1034.5128951360723"/>
    <n v="1.1952955616810939"/>
  </r>
  <r>
    <s v="OZO0047"/>
    <n v="0"/>
    <s v="OZON_OA"/>
    <s v="Доставлен"/>
    <d v="2023-12-30T00:00:00"/>
    <x v="18"/>
    <s v="Спортпит"/>
    <s v="OPN-05223"/>
    <x v="178"/>
    <x v="697"/>
    <n v="2230"/>
    <m/>
    <n v="0"/>
    <n v="0"/>
    <n v="89.755100777113853"/>
    <n v="2319.755100777114"/>
    <n v="4100"/>
    <x v="443"/>
    <s v="&lt;Клиент не выбран&gt;"/>
    <s v="2024 01"/>
    <n v="1780.244899222886"/>
    <n v="0.76742794902207867"/>
  </r>
  <r>
    <s v="OZO0047"/>
    <n v="0"/>
    <s v="OZON_OA"/>
    <s v="Доставлен"/>
    <d v="2023-12-30T00:00:00"/>
    <x v="18"/>
    <s v="Спортпит"/>
    <s v="OPN-05223"/>
    <x v="178"/>
    <x v="697"/>
    <n v="2230"/>
    <m/>
    <n v="0"/>
    <n v="0"/>
    <n v="89.755100777113853"/>
    <n v="2319.755100777114"/>
    <n v="4100"/>
    <x v="364"/>
    <s v="&lt;Клиент не выбран&gt;"/>
    <s v="2024 01"/>
    <n v="1780.244899222886"/>
    <n v="0.76742794902207867"/>
  </r>
  <r>
    <s v="4495009569"/>
    <s v="1495012412"/>
    <s v="essens_OA"/>
    <s v="Доставлен"/>
    <d v="2024-01-14T00:00:00"/>
    <x v="19"/>
    <s v="Парфюм"/>
    <s v="w11150"/>
    <x v="232"/>
    <x v="1036"/>
    <n v="1445"/>
    <n v="-240.83333333333334"/>
    <n v="0"/>
    <n v="0"/>
    <n v="106.96641278883764"/>
    <n v="1311.1330794555045"/>
    <m/>
    <x v="20"/>
    <m/>
    <s v=""/>
    <n v="-1311.1330794555045"/>
    <s v=""/>
  </r>
  <r>
    <s v="4495009569"/>
    <s v="1495012412"/>
    <s v="essens_OA"/>
    <s v="Доставлен"/>
    <d v="2024-01-14T00:00:00"/>
    <x v="19"/>
    <s v="Парфюм"/>
    <s v="m00350"/>
    <x v="232"/>
    <x v="1037"/>
    <n v="1445"/>
    <n v="-240.83333333333334"/>
    <n v="0"/>
    <n v="0"/>
    <n v="106.96641278883764"/>
    <n v="1311.1330794555045"/>
    <n v="2200"/>
    <x v="188"/>
    <s v="&lt;Клиент не выбран&gt;"/>
    <s v="2024 04"/>
    <n v="888.86692054449554"/>
    <n v="0.67793798697660024"/>
  </r>
  <r>
    <s v="4495009569"/>
    <s v="1495012412"/>
    <s v="essens_OA"/>
    <s v="Доставлен"/>
    <d v="2024-01-14T00:00:00"/>
    <x v="19"/>
    <s v="Парфюм"/>
    <s v="w14250"/>
    <x v="232"/>
    <x v="1038"/>
    <n v="1445"/>
    <n v="-240.83333333333334"/>
    <n v="0"/>
    <n v="0"/>
    <n v="106.96641278883764"/>
    <n v="1311.1330794555045"/>
    <m/>
    <x v="20"/>
    <m/>
    <s v=""/>
    <n v="-1311.1330794555045"/>
    <s v=""/>
  </r>
  <r>
    <s v="4495009569"/>
    <s v="1495012412"/>
    <s v="essens_OA"/>
    <s v="Доставлен"/>
    <d v="2024-01-14T00:00:00"/>
    <x v="19"/>
    <s v="Парфюм"/>
    <s v="w14850"/>
    <x v="232"/>
    <x v="1039"/>
    <n v="1445"/>
    <n v="-240.83333333333334"/>
    <n v="0"/>
    <n v="0"/>
    <n v="106.96641278883764"/>
    <n v="1311.1330794555045"/>
    <n v="2200"/>
    <x v="546"/>
    <s v="&lt;Клиент не выбран&gt;"/>
    <s v="2024 10"/>
    <n v="888.86692054449554"/>
    <n v="0.67793798697660024"/>
  </r>
  <r>
    <s v="4495009569"/>
    <s v="1495012412"/>
    <s v="essens_OA"/>
    <s v="Доставлен"/>
    <d v="2024-01-14T00:00:00"/>
    <x v="19"/>
    <s v="Парфюм"/>
    <s v="w15150"/>
    <x v="232"/>
    <x v="1040"/>
    <n v="1445"/>
    <n v="-240.83333333333334"/>
    <n v="0"/>
    <n v="0"/>
    <n v="106.96641278883764"/>
    <n v="1311.1330794555045"/>
    <m/>
    <x v="20"/>
    <m/>
    <s v=""/>
    <n v="-1311.1330794555045"/>
    <s v=""/>
  </r>
  <r>
    <s v="4495009569"/>
    <s v="1495012412"/>
    <s v="essens_OA"/>
    <s v="Доставлен"/>
    <d v="2024-01-14T00:00:00"/>
    <x v="19"/>
    <s v="Парфюм"/>
    <s v="w15950n"/>
    <x v="232"/>
    <x v="1041"/>
    <n v="1445"/>
    <n v="-240.83333333333334"/>
    <n v="0"/>
    <n v="0"/>
    <n v="106.96641278883764"/>
    <n v="1311.1330794555045"/>
    <n v="2200"/>
    <x v="338"/>
    <s v="&lt;Клиент не выбран&gt;"/>
    <s v="2024 12"/>
    <n v="888.86692054449554"/>
    <n v="0.67793798697660024"/>
  </r>
  <r>
    <s v="712074060"/>
    <n v="0"/>
    <s v="CoralClub_AV"/>
    <s v="Доставлен"/>
    <d v="2024-01-23T00:00:00"/>
    <x v="19"/>
    <s v="Витамины"/>
    <s v="000091614"/>
    <x v="79"/>
    <x v="1042"/>
    <n v="2856"/>
    <n v="0"/>
    <n v="0"/>
    <n v="8.8148148148148149"/>
    <n v="0"/>
    <n v="2864.8148148148148"/>
    <n v="3600"/>
    <x v="569"/>
    <s v="&lt;Клиент не выбран&gt;"/>
    <s v="2024 01"/>
    <n v="735.18518518518522"/>
    <n v="0.25662572721396254"/>
  </r>
  <r>
    <s v="712074060"/>
    <n v="0"/>
    <s v="CoralClub_AV"/>
    <s v="Доставлен"/>
    <d v="2024-01-23T00:00:00"/>
    <x v="19"/>
    <s v="Витамины"/>
    <s v="000002150"/>
    <x v="79"/>
    <x v="275"/>
    <n v="1680"/>
    <n v="0"/>
    <n v="0"/>
    <n v="5.1851851851851851"/>
    <n v="0"/>
    <n v="1685.1851851851852"/>
    <n v="2100"/>
    <x v="572"/>
    <s v="&lt;Клиент не выбран&gt;"/>
    <s v="2024 01"/>
    <n v="414.81481481481478"/>
    <n v="0.24615384615384614"/>
  </r>
  <r>
    <s v="4395301012/2"/>
    <s v="1395905958"/>
    <s v="essens_OA"/>
    <s v="Доставлен"/>
    <d v="2023-12-25T00:00:00"/>
    <x v="18"/>
    <s v="Парфюм"/>
    <s v="w16850"/>
    <x v="232"/>
    <x v="1043"/>
    <n v="1560"/>
    <m/>
    <n v="0"/>
    <n v="-312"/>
    <n v="0"/>
    <n v="1248"/>
    <n v="1560"/>
    <x v="438"/>
    <s v="&lt;Клиент не выбран&gt;"/>
    <s v="2024 01"/>
    <n v="312"/>
    <n v="0.25"/>
  </r>
  <r>
    <s v="4395301012/2"/>
    <s v="1395905958"/>
    <s v="essens_OA"/>
    <s v="Доставлен"/>
    <d v="2023-12-25T00:00:00"/>
    <x v="18"/>
    <s v="Парфюм"/>
    <s v="w16450"/>
    <x v="232"/>
    <x v="1044"/>
    <n v="1560"/>
    <m/>
    <n v="0"/>
    <n v="-312"/>
    <n v="0"/>
    <n v="1248"/>
    <n v="1560"/>
    <x v="438"/>
    <s v="&lt;Клиент не выбран&gt;"/>
    <s v="2024 01"/>
    <n v="312"/>
    <n v="0.25"/>
  </r>
  <r>
    <s v="4395301012/2"/>
    <s v="1395905958"/>
    <s v="essens_OA"/>
    <s v="Доставлен"/>
    <d v="2023-12-25T00:00:00"/>
    <x v="18"/>
    <s v="Парфюм"/>
    <s v="w18250"/>
    <x v="232"/>
    <x v="1045"/>
    <n v="1560"/>
    <m/>
    <n v="0"/>
    <n v="-312"/>
    <n v="0"/>
    <n v="1248"/>
    <n v="1560"/>
    <x v="328"/>
    <s v="&lt;Клиент не выбран&gt;"/>
    <s v="2023 12"/>
    <n v="312"/>
    <n v="0.25"/>
  </r>
  <r>
    <s v="4395301012/2"/>
    <s v="1395905958"/>
    <s v="essens_OA"/>
    <s v="Доставлен"/>
    <d v="2023-12-25T00:00:00"/>
    <x v="18"/>
    <s v="Парфюм"/>
    <s v="w17650"/>
    <x v="232"/>
    <x v="1002"/>
    <n v="1560"/>
    <m/>
    <n v="0"/>
    <n v="-312"/>
    <n v="0"/>
    <n v="1248"/>
    <n v="2200"/>
    <x v="364"/>
    <s v="&lt;Клиент не выбран&gt;"/>
    <s v="2024 01"/>
    <n v="952"/>
    <n v="0.76282051282051277"/>
  </r>
  <r>
    <s v="4395301012/2"/>
    <s v="1395905958"/>
    <s v="essens_OA"/>
    <s v="Доставлен"/>
    <d v="2023-12-25T00:00:00"/>
    <x v="18"/>
    <s v="Парфюм"/>
    <s v="w13050"/>
    <x v="232"/>
    <x v="1046"/>
    <n v="1560"/>
    <m/>
    <n v="0"/>
    <n v="-312"/>
    <n v="0"/>
    <n v="1248"/>
    <n v="2200"/>
    <x v="200"/>
    <s v="&lt;Клиент не выбран&gt;"/>
    <s v="2024 02"/>
    <n v="952"/>
    <n v="0.76282051282051277"/>
  </r>
  <r>
    <s v="OZO0049"/>
    <n v="0"/>
    <s v="OZON_OA"/>
    <s v="Доставлен"/>
    <d v="2024-01-23T00:00:00"/>
    <x v="19"/>
    <s v="Витамины"/>
    <s v="147011133"/>
    <x v="236"/>
    <x v="1047"/>
    <n v="1058"/>
    <m/>
    <n v="0"/>
    <n v="0"/>
    <n v="130"/>
    <n v="1188"/>
    <n v="1500"/>
    <x v="323"/>
    <s v="&lt;Клиент не выбран&gt;"/>
    <s v="2024 01"/>
    <n v="312"/>
    <n v="0.26262626262626265"/>
  </r>
  <r>
    <s v="OZO0049"/>
    <n v="0"/>
    <s v="OZON_OA"/>
    <s v="Доставлен"/>
    <d v="2024-01-23T00:00:00"/>
    <x v="19"/>
    <s v="Витамины"/>
    <s v="147011133"/>
    <x v="236"/>
    <x v="1047"/>
    <n v="1058"/>
    <m/>
    <n v="0"/>
    <n v="0"/>
    <n v="130"/>
    <n v="1188"/>
    <n v="1500"/>
    <x v="323"/>
    <s v="&lt;Клиент не выбран&gt;"/>
    <s v="2024 01"/>
    <n v="312"/>
    <n v="0.26262626262626265"/>
  </r>
  <r>
    <s v="OZO0050"/>
    <n v="0"/>
    <s v="OZON_OA"/>
    <s v="Доставлен"/>
    <d v="2024-01-23T00:00:00"/>
    <x v="19"/>
    <s v="Спортпит"/>
    <s v="OPN-05223"/>
    <x v="178"/>
    <x v="697"/>
    <n v="2305"/>
    <m/>
    <n v="0"/>
    <n v="0"/>
    <n v="130"/>
    <n v="2435"/>
    <n v="4000"/>
    <x v="392"/>
    <s v="&lt;Клиент не выбран&gt;"/>
    <s v="2024 02"/>
    <n v="1565"/>
    <n v="0.64271047227926081"/>
  </r>
  <r>
    <s v="OZO0050"/>
    <n v="0"/>
    <s v="OZON_OA"/>
    <s v="Доставлен"/>
    <d v="2024-01-23T00:00:00"/>
    <x v="19"/>
    <s v="Спортпит"/>
    <s v="OPN-05223"/>
    <x v="178"/>
    <x v="697"/>
    <n v="2305"/>
    <m/>
    <n v="0"/>
    <n v="0"/>
    <n v="130"/>
    <n v="2435"/>
    <n v="4000"/>
    <x v="475"/>
    <s v="&lt;Клиент не выбран&gt;"/>
    <s v="2024 02"/>
    <n v="1565"/>
    <n v="0.64271047227926081"/>
  </r>
  <r>
    <s v="OZO0051"/>
    <n v="0"/>
    <s v="OZON_OA"/>
    <s v="Доставлен"/>
    <d v="2024-01-26T00:00:00"/>
    <x v="19"/>
    <s v="Витамины"/>
    <s v="065206575"/>
    <x v="237"/>
    <x v="1048"/>
    <n v="232"/>
    <m/>
    <n v="0"/>
    <n v="0"/>
    <n v="86.666666666666671"/>
    <n v="318.66666666666669"/>
    <n v="400"/>
    <x v="231"/>
    <s v="&lt;Клиент не выбран&gt;"/>
    <s v="2024 02"/>
    <n v="81.333333333333314"/>
    <n v="0.2552301255230125"/>
  </r>
  <r>
    <s v="OZO0051"/>
    <n v="0"/>
    <s v="OZON_OA"/>
    <s v="Доставлен"/>
    <d v="2024-01-26T00:00:00"/>
    <x v="19"/>
    <s v="Витамины"/>
    <s v="065206575"/>
    <x v="237"/>
    <x v="1048"/>
    <n v="232"/>
    <m/>
    <n v="0"/>
    <n v="0"/>
    <n v="86.666666666666671"/>
    <n v="318.66666666666669"/>
    <n v="400"/>
    <x v="231"/>
    <s v="&lt;Клиент не выбран&gt;"/>
    <s v="2024 02"/>
    <n v="81.333333333333314"/>
    <n v="0.2552301255230125"/>
  </r>
  <r>
    <s v="OZO0051"/>
    <n v="0"/>
    <s v="OZON_OA"/>
    <s v="Доставлен"/>
    <d v="2024-01-26T00:00:00"/>
    <x v="19"/>
    <s v="Витамины"/>
    <s v="065206575"/>
    <x v="237"/>
    <x v="1048"/>
    <n v="232"/>
    <m/>
    <n v="0"/>
    <n v="0"/>
    <n v="86.666666666666671"/>
    <n v="318.66666666666669"/>
    <n v="800"/>
    <x v="541"/>
    <s v="&lt;Клиент не выбран&gt;"/>
    <s v="2024 04"/>
    <n v="481.33333333333331"/>
    <n v="1.510460251046025"/>
  </r>
  <r>
    <s v="WB0176"/>
    <n v="0"/>
    <s v="WBRS"/>
    <s v="Доставлен"/>
    <d v="2024-01-26T00:00:00"/>
    <x v="19"/>
    <s v="Витамины"/>
    <s v="168204369"/>
    <x v="238"/>
    <x v="1049"/>
    <n v="1153"/>
    <m/>
    <n v="0"/>
    <n v="0"/>
    <n v="46.276628589070704"/>
    <n v="1199.2766285890707"/>
    <n v="1800"/>
    <x v="548"/>
    <s v="&lt;Клиент не выбран&gt;"/>
    <s v="2024 02"/>
    <n v="600.7233714109293"/>
    <n v="0.50090475966138892"/>
  </r>
  <r>
    <s v="WB0176"/>
    <n v="0"/>
    <s v="WBRS"/>
    <s v="Доставлен"/>
    <d v="2024-01-26T00:00:00"/>
    <x v="19"/>
    <s v="Спортпит"/>
    <s v="015958935"/>
    <x v="216"/>
    <x v="891"/>
    <n v="996"/>
    <m/>
    <n v="0"/>
    <n v="0"/>
    <n v="39.975301018832972"/>
    <n v="1035.9753010188331"/>
    <n v="1500"/>
    <x v="250"/>
    <s v="&lt;Клиент не выбран&gt;"/>
    <s v="2024 01"/>
    <n v="464.02469898116692"/>
    <n v="0.44791096710975675"/>
  </r>
  <r>
    <s v="WB0176"/>
    <n v="0"/>
    <s v="WBRS"/>
    <s v="Доставлен"/>
    <d v="2024-01-26T00:00:00"/>
    <x v="19"/>
    <s v="Спортпит"/>
    <s v="015958935"/>
    <x v="216"/>
    <x v="891"/>
    <n v="996"/>
    <m/>
    <n v="0"/>
    <n v="0"/>
    <n v="39.975301018832972"/>
    <n v="1035.9753010188331"/>
    <n v="1500"/>
    <x v="250"/>
    <s v="&lt;Клиент не выбран&gt;"/>
    <s v="2024 01"/>
    <n v="464.02469898116692"/>
    <n v="0.44791096710975675"/>
  </r>
  <r>
    <s v="WB0176"/>
    <n v="0"/>
    <s v="WBRS"/>
    <s v="Доставлен"/>
    <d v="2024-01-26T00:00:00"/>
    <x v="19"/>
    <s v="Спортпит"/>
    <s v="015958935"/>
    <x v="216"/>
    <x v="891"/>
    <n v="996"/>
    <m/>
    <n v="0"/>
    <n v="0"/>
    <n v="39.975301018832972"/>
    <n v="1035.9753010188331"/>
    <n v="1500"/>
    <x v="553"/>
    <s v="&lt;Клиент не выбран&gt;"/>
    <s v="2024 03"/>
    <n v="464.02469898116692"/>
    <n v="0.44791096710975675"/>
  </r>
  <r>
    <s v="WB0176"/>
    <n v="0"/>
    <s v="WBRS"/>
    <s v="Доставлен"/>
    <d v="2024-01-26T00:00:00"/>
    <x v="19"/>
    <s v="Спортпит"/>
    <s v="169216399"/>
    <x v="239"/>
    <x v="1050"/>
    <n v="861"/>
    <m/>
    <n v="0"/>
    <n v="0"/>
    <n v="34.556962025316459"/>
    <n v="895.55696202531647"/>
    <n v="1700"/>
    <x v="392"/>
    <s v="&lt;Клиент не выбран&gt;"/>
    <s v="2024 02"/>
    <n v="804.44303797468353"/>
    <n v="0.89826004607838983"/>
  </r>
  <r>
    <s v="WB0176"/>
    <n v="0"/>
    <s v="WBRS"/>
    <s v="Доставлен"/>
    <d v="2024-01-26T00:00:00"/>
    <x v="19"/>
    <s v="Спортпит"/>
    <s v="169216399"/>
    <x v="239"/>
    <x v="1050"/>
    <n v="861"/>
    <m/>
    <n v="0"/>
    <n v="0"/>
    <n v="34.556962025316459"/>
    <n v="895.55696202531647"/>
    <n v="2000"/>
    <x v="573"/>
    <s v="&lt;Клиент не выбран&gt;"/>
    <s v="2024 08"/>
    <n v="1104.4430379746836"/>
    <n v="1.2332471130334"/>
  </r>
  <r>
    <s v="WB0176"/>
    <n v="0"/>
    <s v="WBRS"/>
    <s v="Доставлен"/>
    <d v="2024-01-26T00:00:00"/>
    <x v="19"/>
    <s v="Косметика"/>
    <s v="138951460"/>
    <x v="112"/>
    <x v="383"/>
    <n v="615"/>
    <m/>
    <n v="0"/>
    <n v="0"/>
    <n v="24.683544303797468"/>
    <n v="639.68354430379748"/>
    <m/>
    <x v="20"/>
    <m/>
    <s v=""/>
    <n v="-639.68354430379748"/>
    <s v=""/>
  </r>
  <r>
    <s v="4495023459"/>
    <s v="1495030317"/>
    <s v="essens_OA"/>
    <s v="Доставлен"/>
    <d v="2024-01-24T00:00:00"/>
    <x v="19"/>
    <s v="Парфюм"/>
    <s v="w16250"/>
    <x v="232"/>
    <x v="1051"/>
    <n v="826.27"/>
    <m/>
    <n v="0"/>
    <n v="0"/>
    <n v="100.3681791366472"/>
    <n v="926.63817913664718"/>
    <n v="2200"/>
    <x v="562"/>
    <s v="&lt;Клиент не выбран&gt;"/>
    <s v="2024 02"/>
    <n v="1273.3618208633529"/>
    <n v="1.3741737061274009"/>
  </r>
  <r>
    <s v="4495023459"/>
    <s v="1495030317"/>
    <s v="essens_OA"/>
    <s v="Доставлен"/>
    <d v="2024-01-24T00:00:00"/>
    <x v="19"/>
    <s v="Парфюм"/>
    <s v="w16201"/>
    <x v="232"/>
    <x v="1052"/>
    <n v="35.74"/>
    <m/>
    <n v="0"/>
    <n v="0"/>
    <n v="4.3413880721117444"/>
    <n v="40.08138807211175"/>
    <m/>
    <x v="20"/>
    <m/>
    <s v=""/>
    <n v="-40.08138807211175"/>
    <s v=""/>
  </r>
  <r>
    <s v="4495023459"/>
    <s v="1495030317"/>
    <s v="essens_OA"/>
    <s v="Доставлен"/>
    <d v="2024-01-24T00:00:00"/>
    <x v="19"/>
    <s v="Парфюм"/>
    <s v="w17250"/>
    <x v="232"/>
    <x v="1053"/>
    <n v="964.72"/>
    <m/>
    <n v="0"/>
    <n v="0"/>
    <n v="117.18589538129945"/>
    <n v="1081.9058953812994"/>
    <m/>
    <x v="20"/>
    <m/>
    <s v=""/>
    <n v="-1081.9058953812994"/>
    <s v=""/>
  </r>
  <r>
    <s v="4495023459"/>
    <s v="1495030317"/>
    <s v="essens_OA"/>
    <s v="Доставлен"/>
    <d v="2024-01-24T00:00:00"/>
    <x v="19"/>
    <s v="Парфюм"/>
    <s v="w17350"/>
    <x v="232"/>
    <x v="1054"/>
    <n v="826.27"/>
    <m/>
    <n v="0"/>
    <n v="0"/>
    <n v="100.3681791366472"/>
    <n v="926.63817913664718"/>
    <m/>
    <x v="20"/>
    <m/>
    <s v=""/>
    <n v="-926.63817913664718"/>
    <s v=""/>
  </r>
  <r>
    <s v="4495023459"/>
    <s v="1495030317"/>
    <s v="essens_OA"/>
    <s v="Доставлен"/>
    <d v="2024-01-24T00:00:00"/>
    <x v="19"/>
    <s v="Парфюм"/>
    <s v="w17650"/>
    <x v="232"/>
    <x v="1002"/>
    <n v="826.27"/>
    <m/>
    <n v="0"/>
    <n v="0"/>
    <n v="100.3681791366472"/>
    <n v="926.63817913664718"/>
    <n v="2200"/>
    <x v="231"/>
    <s v="&lt;Клиент не выбран&gt;"/>
    <s v="2024 02"/>
    <n v="1273.3618208633529"/>
    <n v="1.3741737061274009"/>
  </r>
  <r>
    <s v="4495023459"/>
    <s v="1495030317"/>
    <s v="essens_OA"/>
    <s v="Доставлен"/>
    <d v="2024-01-24T00:00:00"/>
    <x v="19"/>
    <s v="Парфюм"/>
    <s v="w17650"/>
    <x v="232"/>
    <x v="1002"/>
    <n v="826.27"/>
    <m/>
    <n v="0"/>
    <n v="0"/>
    <n v="100.3681791366472"/>
    <n v="926.63817913664718"/>
    <m/>
    <x v="20"/>
    <m/>
    <s v=""/>
    <n v="-926.63817913664718"/>
    <s v=""/>
  </r>
  <r>
    <s v="4495024025"/>
    <s v="1495031040"/>
    <s v="essens_OA"/>
    <s v="Доставлен"/>
    <d v="2024-01-25T00:00:00"/>
    <x v="19"/>
    <s v="Парфюм"/>
    <s v="4el04"/>
    <x v="232"/>
    <x v="1055"/>
    <n v="985"/>
    <m/>
    <n v="0"/>
    <n v="-49.287338893100831"/>
    <n v="59.144806671721"/>
    <n v="994.85746777862016"/>
    <n v="4000"/>
    <x v="336"/>
    <s v="&lt;Клиент не выбран&gt;"/>
    <s v="2024 03"/>
    <n v="3005.14253222138"/>
    <n v="3.0206764582382335"/>
  </r>
  <r>
    <s v="4495024025"/>
    <s v="1495031040"/>
    <s v="essens_OA"/>
    <s v="Доставлен"/>
    <d v="2024-01-25T00:00:00"/>
    <x v="19"/>
    <s v="Парфюм"/>
    <s v="4el04"/>
    <x v="232"/>
    <x v="1055"/>
    <n v="985"/>
    <m/>
    <n v="0"/>
    <n v="-49.287338893100831"/>
    <n v="59.144806671721"/>
    <n v="994.85746777862016"/>
    <n v="994.86"/>
    <x v="574"/>
    <s v="&lt;Клиент не выбран&gt;"/>
    <s v="2024 01"/>
    <n v="2.5322213798517623E-3"/>
    <n v="2.545310722254379E-6"/>
  </r>
  <r>
    <s v="4495024025"/>
    <s v="1495031040"/>
    <s v="essens_OA"/>
    <s v="Доставлен"/>
    <d v="2024-01-25T00:00:00"/>
    <x v="19"/>
    <s v="Парфюм"/>
    <s v="m03750"/>
    <x v="232"/>
    <x v="1056"/>
    <n v="925"/>
    <m/>
    <n v="0"/>
    <n v="-46.285064442759669"/>
    <n v="55.542077331311603"/>
    <n v="934.25701288855191"/>
    <m/>
    <x v="20"/>
    <m/>
    <s v=""/>
    <n v="-934.25701288855191"/>
    <s v=""/>
  </r>
  <r>
    <s v="4495024025"/>
    <s v="1495031040"/>
    <s v="essens_OA"/>
    <s v="Доставлен"/>
    <d v="2024-01-25T00:00:00"/>
    <x v="19"/>
    <s v="Парфюм"/>
    <s v="m03850"/>
    <x v="232"/>
    <x v="1057"/>
    <n v="925"/>
    <m/>
    <n v="0"/>
    <n v="-46.285064442759669"/>
    <n v="55.542077331311603"/>
    <n v="934.25701288855191"/>
    <n v="2200"/>
    <x v="231"/>
    <s v="&lt;Клиент не выбран&gt;"/>
    <s v="2024 02"/>
    <n v="1265.7429871114482"/>
    <n v="1.3548124013519602"/>
  </r>
  <r>
    <s v="4495024025"/>
    <s v="1495031040"/>
    <s v="essens_OA"/>
    <s v="Доставлен"/>
    <d v="2024-01-25T00:00:00"/>
    <x v="19"/>
    <s v="Парфюм"/>
    <s v="m03950"/>
    <x v="232"/>
    <x v="1058"/>
    <n v="925"/>
    <m/>
    <n v="0"/>
    <n v="-46.285064442759669"/>
    <n v="55.542077331311603"/>
    <n v="934.25701288855191"/>
    <n v="2200"/>
    <x v="575"/>
    <s v="&lt;Клиент не выбран&gt;"/>
    <s v="2024 10"/>
    <n v="1265.7429871114482"/>
    <n v="1.3548124013519602"/>
  </r>
  <r>
    <s v="4495024025"/>
    <s v="1495031040"/>
    <s v="essens_OA"/>
    <s v="Доставлен"/>
    <d v="2024-01-25T00:00:00"/>
    <x v="19"/>
    <s v="Парфюм"/>
    <s v="w17650"/>
    <x v="232"/>
    <x v="1002"/>
    <n v="925"/>
    <m/>
    <n v="0"/>
    <n v="-46.285064442759669"/>
    <n v="55.542077331311603"/>
    <n v="934.25701288855191"/>
    <m/>
    <x v="20"/>
    <m/>
    <s v=""/>
    <n v="-934.25701288855191"/>
    <s v=""/>
  </r>
  <r>
    <s v="4495024025"/>
    <s v="1495031040"/>
    <s v="essens_OA"/>
    <s v="Доставлен"/>
    <d v="2024-01-25T00:00:00"/>
    <x v="19"/>
    <s v="Парфюм"/>
    <s v="w18050"/>
    <x v="232"/>
    <x v="1003"/>
    <n v="925"/>
    <m/>
    <n v="0"/>
    <n v="-46.285064442759669"/>
    <n v="55.542077331311603"/>
    <n v="934.25701288855191"/>
    <m/>
    <x v="20"/>
    <m/>
    <s v=""/>
    <n v="-934.25701288855191"/>
    <s v=""/>
  </r>
  <r>
    <s v="4495023485"/>
    <s v="1495030348"/>
    <s v="essens_AV"/>
    <s v="Доставлен"/>
    <d v="2024-01-24T00:00:00"/>
    <x v="19"/>
    <s v="Парфюм"/>
    <s v="w11850"/>
    <x v="232"/>
    <x v="1059"/>
    <n v="1545"/>
    <n v="-257.5"/>
    <n v="0"/>
    <n v="0"/>
    <n v="107.61844331641286"/>
    <n v="1395.1184433164128"/>
    <n v="2200"/>
    <x v="562"/>
    <s v="&lt;Клиент не выбран&gt;"/>
    <s v="2024 02"/>
    <n v="804.88155668358718"/>
    <n v="0.5769270419579996"/>
  </r>
  <r>
    <s v="4495023485"/>
    <s v="1495030348"/>
    <s v="essens_AV"/>
    <s v="Доставлен"/>
    <d v="2024-01-24T00:00:00"/>
    <x v="19"/>
    <s v="Парфюм"/>
    <s v="w12750"/>
    <x v="232"/>
    <x v="1060"/>
    <n v="1545"/>
    <n v="-257.5"/>
    <n v="0"/>
    <n v="0"/>
    <n v="107.61844331641286"/>
    <n v="1395.1184433164128"/>
    <n v="2200"/>
    <x v="231"/>
    <s v="&lt;Клиент не выбран&gt;"/>
    <s v="2024 02"/>
    <n v="804.88155668358718"/>
    <n v="0.5769270419579996"/>
  </r>
  <r>
    <s v="4495023485"/>
    <s v="1495030348"/>
    <s v="essens_AV"/>
    <s v="Доставлен"/>
    <d v="2024-01-24T00:00:00"/>
    <x v="19"/>
    <s v="Парфюм"/>
    <s v="m01550"/>
    <x v="232"/>
    <x v="1061"/>
    <n v="1545"/>
    <n v="-257.5"/>
    <n v="0"/>
    <n v="0"/>
    <n v="107.61844331641286"/>
    <n v="1395.1184433164128"/>
    <m/>
    <x v="20"/>
    <m/>
    <s v=""/>
    <n v="-1395.1184433164128"/>
    <s v=""/>
  </r>
  <r>
    <s v="4495023485"/>
    <s v="1495030348"/>
    <s v="essens_AV"/>
    <s v="Доставлен"/>
    <d v="2024-01-24T00:00:00"/>
    <x v="19"/>
    <s v="Парфюм"/>
    <s v="w15050"/>
    <x v="232"/>
    <x v="1062"/>
    <n v="1545"/>
    <n v="-257.5"/>
    <n v="0"/>
    <n v="0"/>
    <n v="107.61844331641286"/>
    <n v="1395.1184433164128"/>
    <m/>
    <x v="20"/>
    <m/>
    <s v=""/>
    <n v="-1395.1184433164128"/>
    <s v=""/>
  </r>
  <r>
    <s v="4495023485"/>
    <s v="1495030348"/>
    <s v="essens_AV"/>
    <s v="Доставлен"/>
    <d v="2024-01-24T00:00:00"/>
    <x v="19"/>
    <s v="Парфюм"/>
    <s v="w15350"/>
    <x v="232"/>
    <x v="1063"/>
    <n v="1545"/>
    <n v="-257.5"/>
    <n v="0"/>
    <n v="0"/>
    <n v="107.61844331641286"/>
    <n v="1395.1184433164128"/>
    <n v="2200"/>
    <x v="475"/>
    <s v="&lt;Клиент не выбран&gt;"/>
    <s v="2024 02"/>
    <n v="804.88155668358718"/>
    <n v="0.5769270419579996"/>
  </r>
  <r>
    <s v="4495023485"/>
    <s v="1495030348"/>
    <s v="essens_AV"/>
    <s v="Доставлен"/>
    <d v="2024-01-24T00:00:00"/>
    <x v="19"/>
    <s v="Парфюм"/>
    <s v="w15950n"/>
    <x v="232"/>
    <x v="1041"/>
    <n v="1545"/>
    <n v="-257.5"/>
    <n v="0"/>
    <n v="0"/>
    <n v="107.61844331641286"/>
    <n v="1395.1184433164128"/>
    <m/>
    <x v="20"/>
    <m/>
    <s v=""/>
    <n v="-1395.1184433164128"/>
    <s v=""/>
  </r>
  <r>
    <s v="4495023485"/>
    <s v="1495030348"/>
    <s v="essens_AV"/>
    <s v="Доставлен"/>
    <d v="2024-01-24T00:00:00"/>
    <x v="19"/>
    <s v="Парфюм"/>
    <s v="w18250"/>
    <x v="232"/>
    <x v="1045"/>
    <n v="1230"/>
    <m/>
    <n v="0"/>
    <n v="0"/>
    <n v="102.81218274111676"/>
    <n v="1332.8121827411167"/>
    <n v="2100"/>
    <x v="535"/>
    <s v="&lt;Клиент не выбран&gt;"/>
    <s v="2024 02"/>
    <n v="767.18781725888334"/>
    <n v="0.57561584984994141"/>
  </r>
  <r>
    <s v="4495023485"/>
    <s v="1495030348"/>
    <s v="essens_AV"/>
    <s v="Доставлен"/>
    <d v="2024-01-24T00:00:00"/>
    <x v="19"/>
    <s v="Парфюм"/>
    <s v="w04150"/>
    <x v="232"/>
    <x v="1064"/>
    <n v="1755"/>
    <n v="-292.5"/>
    <n v="0"/>
    <n v="0"/>
    <n v="122.24619289340102"/>
    <n v="1584.746192893401"/>
    <n v="2500"/>
    <x v="562"/>
    <s v="&lt;Клиент не выбран&gt;"/>
    <s v="2024 02"/>
    <n v="915.25380710659897"/>
    <n v="0.57753967872643697"/>
  </r>
  <r>
    <s v="4495023485"/>
    <s v="1495030348"/>
    <s v="essens_AV"/>
    <s v="Доставлен"/>
    <d v="2024-01-24T00:00:00"/>
    <x v="19"/>
    <s v="Парфюм"/>
    <s v="m04350"/>
    <x v="232"/>
    <x v="1065"/>
    <n v="1755"/>
    <n v="-292.5"/>
    <n v="0"/>
    <n v="0"/>
    <n v="122.24619289340102"/>
    <n v="1584.746192893401"/>
    <n v="2500"/>
    <x v="535"/>
    <s v="&lt;Клиент не выбран&gt;"/>
    <s v="2024 02"/>
    <n v="915.25380710659897"/>
    <n v="0.57753967872643697"/>
  </r>
  <r>
    <s v="4495023485"/>
    <s v="1495030348"/>
    <s v="essens_AV"/>
    <s v="Доставлен"/>
    <d v="2024-01-24T00:00:00"/>
    <x v="19"/>
    <s v="Парфюм"/>
    <s v="w18450"/>
    <x v="232"/>
    <x v="1066"/>
    <n v="1755"/>
    <n v="-292.5"/>
    <n v="0"/>
    <n v="0"/>
    <n v="122.24619289340102"/>
    <n v="1584.746192893401"/>
    <n v="2550"/>
    <x v="548"/>
    <s v="&lt;Клиент не выбран&gt;"/>
    <s v="2024 02"/>
    <n v="965.25380710659897"/>
    <n v="0.60909047230096569"/>
  </r>
  <r>
    <s v="4495023485"/>
    <s v="1495030348"/>
    <s v="essens_AV"/>
    <s v="Доставлен"/>
    <d v="2024-01-24T00:00:00"/>
    <x v="19"/>
    <s v="Парфюм"/>
    <s v="w18550"/>
    <x v="232"/>
    <x v="1067"/>
    <n v="1755"/>
    <n v="-292.5"/>
    <n v="0"/>
    <n v="0"/>
    <n v="122.24619289340102"/>
    <n v="1584.746192893401"/>
    <m/>
    <x v="20"/>
    <m/>
    <s v=""/>
    <n v="-1584.746192893401"/>
    <s v=""/>
  </r>
  <r>
    <s v="4495023485"/>
    <s v="1495030348"/>
    <s v="essens_AV"/>
    <s v="Доставлен"/>
    <d v="2024-01-24T00:00:00"/>
    <x v="19"/>
    <s v="Парфюм"/>
    <s v="w18650"/>
    <x v="232"/>
    <x v="1068"/>
    <n v="1755"/>
    <n v="-292.5"/>
    <n v="0"/>
    <n v="0"/>
    <n v="122.24619289340102"/>
    <n v="1584.746192893401"/>
    <m/>
    <x v="20"/>
    <m/>
    <s v=""/>
    <n v="-1584.746192893401"/>
    <s v=""/>
  </r>
  <r>
    <s v="4495023485"/>
    <s v="1495030348"/>
    <s v="essens_AV"/>
    <s v="Доставлен"/>
    <d v="2024-01-24T00:00:00"/>
    <x v="19"/>
    <s v="Парфюм"/>
    <s v="w19050"/>
    <x v="232"/>
    <x v="1069"/>
    <n v="1755"/>
    <n v="-292.5"/>
    <n v="0"/>
    <n v="0"/>
    <n v="122.24619289340102"/>
    <n v="1584.746192893401"/>
    <n v="2500"/>
    <x v="436"/>
    <s v="&lt;Клиент не выбран&gt;"/>
    <s v="2024 10"/>
    <n v="915.25380710659897"/>
    <n v="0.57753967872643697"/>
  </r>
  <r>
    <s v="523420569"/>
    <s v="720000099498"/>
    <s v="iHerb_MH DLE7202"/>
    <s v="Доставлен"/>
    <d v="2024-01-22T00:00:00"/>
    <x v="19"/>
    <s v="Витамины"/>
    <s v="EUR-26102"/>
    <x v="240"/>
    <x v="1070"/>
    <n v="21.98"/>
    <n v="-5.28"/>
    <n v="-0.62935021036355121"/>
    <n v="0"/>
    <n v="0.90700545062325921"/>
    <n v="1714.7082862862142"/>
    <n v="2700"/>
    <x v="126"/>
    <s v="&lt;Клиент не выбран&gt;"/>
    <s v="2024 03"/>
    <n v="985.29171371378584"/>
    <n v="0.57461185765175904"/>
  </r>
  <r>
    <s v="523420569"/>
    <s v="720000099498"/>
    <s v="iHerb_MH DLE7202"/>
    <s v="Доставлен"/>
    <d v="2024-01-22T00:00:00"/>
    <x v="19"/>
    <s v="Витамины"/>
    <s v="CAR-01653"/>
    <x v="154"/>
    <x v="725"/>
    <n v="24.78"/>
    <n v="-2.48"/>
    <n v="-0.84038980186270629"/>
    <n v="0"/>
    <n v="1.2111509909520168"/>
    <n v="2289.7002864779988"/>
    <n v="3000"/>
    <x v="456"/>
    <s v="&lt;Клиент не выбран&gt;"/>
    <s v="2024 02"/>
    <n v="710.29971352200118"/>
    <n v="0.31021514812079587"/>
  </r>
  <r>
    <s v="523420569"/>
    <s v="720000099498"/>
    <s v="iHerb_MH DLE7202"/>
    <s v="Доставлен"/>
    <d v="2024-01-22T00:00:00"/>
    <x v="19"/>
    <s v="Витамины"/>
    <s v="NLI-00117"/>
    <x v="158"/>
    <x v="603"/>
    <n v="7.26"/>
    <n v="-1.0900000000000001"/>
    <n v="-0.2325204070624618"/>
    <n v="0"/>
    <n v="0.3351032113979347"/>
    <n v="633.51797163987681"/>
    <n v="1200"/>
    <x v="421"/>
    <s v="&lt;Клиент не выбран&gt;"/>
    <s v="2024 02"/>
    <n v="566.48202836012319"/>
    <n v="0.8941846225668556"/>
  </r>
  <r>
    <s v="523420569"/>
    <s v="720000099498"/>
    <s v="iHerb_MH DLE7202"/>
    <s v="Доставлен"/>
    <d v="2024-01-22T00:00:00"/>
    <x v="19"/>
    <s v="Витамины"/>
    <s v="NWY-40460"/>
    <x v="16"/>
    <x v="1071"/>
    <n v="14.13"/>
    <n v="-1.41"/>
    <n v="-0.47936135783379474"/>
    <n v="0"/>
    <n v="0.69084487017532092"/>
    <n v="1306.0532575784819"/>
    <n v="2000"/>
    <x v="318"/>
    <s v="&lt;Клиент не выбран&gt;"/>
    <s v="2024 02"/>
    <n v="693.94674242151814"/>
    <n v="0.53133112175543751"/>
  </r>
  <r>
    <s v="523420569"/>
    <s v="720000099498"/>
    <s v="iHerb_MH DLE7202"/>
    <s v="Доставлен"/>
    <d v="2024-01-22T00:00:00"/>
    <x v="19"/>
    <s v="Витамины"/>
    <s v="NOW-00386"/>
    <x v="3"/>
    <x v="429"/>
    <n v="33.74"/>
    <n v="-3.37"/>
    <n v="-1.144512927469524"/>
    <n v="0"/>
    <n v="1.6494464392472088"/>
    <n v="3118.3048296115171"/>
    <n v="4000"/>
    <x v="318"/>
    <s v="&lt;Клиент не выбран&gt;"/>
    <s v="2024 02"/>
    <n v="881.69517038848289"/>
    <n v="0.28274822974838087"/>
  </r>
  <r>
    <s v="523420569"/>
    <s v="720000099498"/>
    <s v="iHerb_MH DLE7202"/>
    <s v="Доставлен"/>
    <d v="2024-01-22T00:00:00"/>
    <x v="19"/>
    <s v="Витамины"/>
    <s v="NOW-01742"/>
    <x v="3"/>
    <x v="430"/>
    <n v="17.52"/>
    <n v="-1.75"/>
    <n v="-0.59430256391815595"/>
    <n v="0"/>
    <n v="0.85649556624723344"/>
    <n v="1619.2185433972215"/>
    <n v="2500"/>
    <x v="318"/>
    <s v="&lt;Клиент не выбран&gt;"/>
    <s v="2024 02"/>
    <n v="880.78145660277846"/>
    <n v="0.54395465034314883"/>
  </r>
  <r>
    <s v="523420569"/>
    <s v="720000099498"/>
    <s v="iHerb_MH DLE7202"/>
    <s v="Доставлен"/>
    <d v="2024-01-22T00:00:00"/>
    <x v="19"/>
    <s v="Витамины"/>
    <s v="CGN-00963"/>
    <x v="1"/>
    <x v="911"/>
    <n v="11.68"/>
    <n v="-3.5"/>
    <n v="-0.30826854615412275"/>
    <n v="0"/>
    <n v="0.44426973569450662"/>
    <n v="839.89902885157073"/>
    <n v="1600"/>
    <x v="576"/>
    <s v="Елена Индол"/>
    <s v="2025 09"/>
    <n v="760.10097114842927"/>
    <n v="0.90499089180725367"/>
  </r>
  <r>
    <s v="523420569"/>
    <s v="720000099498"/>
    <s v="iHerb_MH DLE7202"/>
    <s v="Доставлен"/>
    <d v="2024-01-22T00:00:00"/>
    <x v="19"/>
    <s v="Витамины"/>
    <s v="LEX-23151"/>
    <x v="7"/>
    <x v="17"/>
    <n v="20.91"/>
    <n v="-2.0920000000000001"/>
    <n v="-0.70916839871983894"/>
    <n v="0"/>
    <n v="1.0220376389118859"/>
    <n v="1932.1784749301787"/>
    <n v="2700"/>
    <x v="318"/>
    <s v="&lt;Клиент не выбран&gt;"/>
    <s v="2024 02"/>
    <n v="767.82152506982129"/>
    <n v="0.39738643972708954"/>
  </r>
  <r>
    <s v="523420569"/>
    <s v="720000099498"/>
    <s v="iHerb_MH DLE7202"/>
    <s v="Доставлен"/>
    <d v="2024-01-22T00:00:00"/>
    <x v="19"/>
    <s v="Витамины"/>
    <s v="LEX-23151"/>
    <x v="7"/>
    <x v="17"/>
    <n v="20.91"/>
    <n v="-2.0920000000000001"/>
    <n v="-0.70916839871983894"/>
    <n v="0"/>
    <n v="1.0220376389118859"/>
    <n v="1932.1784749301787"/>
    <n v="2800"/>
    <x v="457"/>
    <s v="&lt;Клиент не выбран&gt;"/>
    <s v="2024 04"/>
    <n v="867.82152506982129"/>
    <n v="0.44914149305031509"/>
  </r>
  <r>
    <s v="523420569"/>
    <s v="720000099498"/>
    <s v="iHerb_MH DLE7202"/>
    <s v="Доставлен"/>
    <d v="2024-01-22T00:00:00"/>
    <x v="19"/>
    <s v="Витамины"/>
    <s v="LEX-23151"/>
    <x v="7"/>
    <x v="17"/>
    <n v="20.91"/>
    <n v="-2.0920000000000001"/>
    <n v="-0.70916839871983894"/>
    <n v="0"/>
    <n v="1.0220376389118859"/>
    <n v="1932.1784749301787"/>
    <n v="2800"/>
    <x v="315"/>
    <s v="&lt;Клиент не выбран&gt;"/>
    <s v="2024 04"/>
    <n v="867.82152506982129"/>
    <n v="0.44914149305031509"/>
  </r>
  <r>
    <s v="523420569"/>
    <s v="720000099498"/>
    <s v="iHerb_MH DLE7202"/>
    <s v="Доставлен"/>
    <d v="2024-01-22T00:00:00"/>
    <x v="19"/>
    <s v="Витамины"/>
    <s v="LEX-23151"/>
    <x v="7"/>
    <x v="17"/>
    <n v="20.91"/>
    <n v="-2.0920000000000001"/>
    <n v="-0.70916839871983894"/>
    <n v="0"/>
    <n v="1.0220376389118859"/>
    <n v="1932.1784749301787"/>
    <n v="2700"/>
    <x v="386"/>
    <s v="&lt;Клиент не выбран&gt;"/>
    <s v="2024 08"/>
    <n v="767.82152506982129"/>
    <n v="0.39738643972708954"/>
  </r>
  <r>
    <s v="523420569"/>
    <s v="720000099498"/>
    <s v="iHerb_MH DLE7202"/>
    <s v="Доставлен"/>
    <d v="2024-01-22T00:00:00"/>
    <x v="19"/>
    <s v="Витамины"/>
    <s v="LEX-23151"/>
    <x v="7"/>
    <x v="17"/>
    <n v="20.91"/>
    <n v="-2.0920000000000001"/>
    <n v="-0.70916839871983894"/>
    <n v="0"/>
    <n v="1.0220376389118859"/>
    <n v="1932.1784749301787"/>
    <n v="2500"/>
    <x v="469"/>
    <s v="&lt;Клиент не выбран&gt;"/>
    <s v="2024 08"/>
    <n v="567.82152506982129"/>
    <n v="0.29387633308063849"/>
  </r>
  <r>
    <s v="523420569"/>
    <s v="720000099498"/>
    <s v="iHerb_MH DLE7202"/>
    <s v="Доставлен"/>
    <d v="2024-01-22T00:00:00"/>
    <x v="19"/>
    <s v="Витамины"/>
    <s v="NAP-29923"/>
    <x v="11"/>
    <x v="1072"/>
    <n v="11.44"/>
    <n v="-1.1399999999999999"/>
    <n v="-0.38816210579308846"/>
    <n v="0"/>
    <n v="0.55941054739039342"/>
    <n v="1057.5745717813177"/>
    <n v="1500"/>
    <x v="326"/>
    <s v="&lt;Клиент не выбран&gt;"/>
    <s v="2024 04"/>
    <n v="442.42542821868233"/>
    <n v="0.41833969917930841"/>
  </r>
  <r>
    <s v="523420569"/>
    <s v="720000099498"/>
    <s v="iHerb_MH DLE7202"/>
    <s v="Доставлен"/>
    <d v="2024-01-22T00:00:00"/>
    <x v="19"/>
    <s v="Витамины"/>
    <s v="NOW-00420"/>
    <x v="3"/>
    <x v="515"/>
    <n v="14.38"/>
    <n v="-1.44"/>
    <n v="-0.4876521989284045"/>
    <n v="0"/>
    <n v="0.7027934449739508"/>
    <n v="1328.6422290145877"/>
    <n v="2000"/>
    <x v="266"/>
    <s v="&lt;Клиент не выбран&gt;"/>
    <s v="2024 03"/>
    <n v="671.35777098541234"/>
    <n v="0.50529612586778716"/>
  </r>
  <r>
    <s v="523420569"/>
    <s v="720000099498"/>
    <s v="iHerb_MH DLE7202"/>
    <s v="Доставлен"/>
    <d v="2024-01-22T00:00:00"/>
    <x v="19"/>
    <s v="Витамины"/>
    <s v="NOW-00420"/>
    <x v="3"/>
    <x v="515"/>
    <n v="14.38"/>
    <n v="-1.44"/>
    <n v="-0.4876521989284045"/>
    <n v="0"/>
    <n v="0.7027934449739508"/>
    <n v="1328.6422290145877"/>
    <n v="2000"/>
    <x v="467"/>
    <s v="&lt;Клиент не выбран&gt;"/>
    <s v="2024 03"/>
    <n v="671.35777098541234"/>
    <n v="0.50529612586778716"/>
  </r>
  <r>
    <s v="523420569"/>
    <s v="720000099498"/>
    <s v="iHerb_MH DLE7202"/>
    <s v="Доставлен"/>
    <d v="2024-01-22T00:00:00"/>
    <x v="19"/>
    <s v="Витамины"/>
    <s v="LEX-14591"/>
    <x v="7"/>
    <x v="583"/>
    <n v="9.49"/>
    <n v="-2.2799999999999998"/>
    <n v="-0.271713474055162"/>
    <n v="0"/>
    <n v="0.39158738317327552"/>
    <n v="740.30220024692255"/>
    <n v="1500"/>
    <x v="393"/>
    <s v="&lt;Клиент не выбран&gt;"/>
    <s v="2024 06"/>
    <n v="759.69779975307745"/>
    <n v="1.0261995702561544"/>
  </r>
  <r>
    <s v="523420569"/>
    <s v="720000099498"/>
    <s v="iHerb_MH DLE7202"/>
    <s v="Доставлен"/>
    <d v="2024-01-22T00:00:00"/>
    <x v="19"/>
    <s v="Витамины"/>
    <s v="DRB-00025"/>
    <x v="6"/>
    <x v="113"/>
    <n v="13.87"/>
    <n v="-3.33"/>
    <n v="-0.39720665971448088"/>
    <n v="0"/>
    <n v="0.57244535626162585"/>
    <n v="1082.2170860752515"/>
    <n v="1900"/>
    <x v="577"/>
    <s v="&lt;Клиент не выбран&gt;"/>
    <s v="2024 07"/>
    <n v="817.78291392474853"/>
    <n v="0.75565514945851109"/>
  </r>
  <r>
    <s v="523420569"/>
    <s v="720000099498"/>
    <s v="iHerb_MH DLE7202"/>
    <s v="Доставлен"/>
    <d v="2024-01-22T00:00:00"/>
    <x v="19"/>
    <s v="Витамины"/>
    <s v="HRM-50013"/>
    <x v="195"/>
    <x v="1073"/>
    <n v="19.850000000000001"/>
    <n v="-1.99"/>
    <n v="-0.67306555431694781"/>
    <n v="0"/>
    <n v="0.97000702683421636"/>
    <n v="1833.8137720402271"/>
    <n v="2600"/>
    <x v="467"/>
    <s v="&lt;Клиент не выбран&gt;"/>
    <s v="2024 03"/>
    <n v="766.18622795977285"/>
    <n v="0.41781027040021901"/>
  </r>
  <r>
    <s v="523625388"/>
    <s v="720000111573"/>
    <s v="iHerb_AV CYG0792"/>
    <s v="Доставлен"/>
    <d v="2024-01-31T00:00:00"/>
    <x v="19"/>
    <s v="Витамины"/>
    <s v="NOW-00420"/>
    <x v="3"/>
    <x v="515"/>
    <n v="14.38"/>
    <n v="-2.1566666666666667"/>
    <n v="-0.60173974063128377"/>
    <n v="4.2193598834578172E-15"/>
    <n v="1.0119132171808818"/>
    <n v="1277.250497145865"/>
    <n v="2000"/>
    <x v="467"/>
    <s v="&lt;Клиент не выбран&gt;"/>
    <s v="2024 03"/>
    <n v="722.74950285413502"/>
    <n v="0.56586355180067338"/>
  </r>
  <r>
    <s v="523625388"/>
    <s v="720000111573"/>
    <s v="iHerb_AV CYG0792"/>
    <s v="Доставлен"/>
    <d v="2024-01-31T00:00:00"/>
    <x v="19"/>
    <s v="Витамины"/>
    <s v="NOW-00420"/>
    <x v="3"/>
    <x v="515"/>
    <n v="14.38"/>
    <n v="-2.1566666666666667"/>
    <n v="-0.60173974063128377"/>
    <n v="4.2193598834578172E-15"/>
    <n v="1.0119132171808818"/>
    <n v="1277.250497145865"/>
    <n v="2000"/>
    <x v="336"/>
    <s v="&lt;Клиент не выбран&gt;"/>
    <s v="2024 03"/>
    <n v="722.74950285413502"/>
    <n v="0.56586355180067338"/>
  </r>
  <r>
    <s v="523625388"/>
    <s v="720000111573"/>
    <s v="iHerb_AV CYG0792"/>
    <s v="Доставлен"/>
    <d v="2024-01-31T00:00:00"/>
    <x v="19"/>
    <s v="Витамины"/>
    <s v="NOW-00420"/>
    <x v="3"/>
    <x v="515"/>
    <n v="14.38"/>
    <n v="-2.1566666666666667"/>
    <n v="-0.60173974063128377"/>
    <n v="4.2193598834578172E-15"/>
    <n v="1.0119132171808818"/>
    <n v="1277.250497145865"/>
    <n v="1900"/>
    <x v="533"/>
    <s v="&lt;Клиент не выбран&gt;"/>
    <s v="2024 06"/>
    <n v="622.74950285413502"/>
    <n v="0.4875703742106397"/>
  </r>
  <r>
    <s v="523625388"/>
    <s v="720000111573"/>
    <s v="iHerb_AV CYG0792"/>
    <s v="Доставлен"/>
    <d v="2024-01-31T00:00:00"/>
    <x v="19"/>
    <s v="Витамины"/>
    <s v="SNS-01425"/>
    <x v="151"/>
    <x v="860"/>
    <n v="21.27"/>
    <n v="-3.19"/>
    <n v="-0.89005627302538382"/>
    <n v="6.2410166369989629E-15"/>
    <n v="1.496759555491983"/>
    <n v="1889.2300781344893"/>
    <n v="2600"/>
    <x v="578"/>
    <s v="&lt;Клиент не выбран&gt;"/>
    <s v="2024 03"/>
    <n v="710.7699218655107"/>
    <n v="0.37622200180475468"/>
  </r>
  <r>
    <s v="523625388"/>
    <s v="720000111573"/>
    <s v="iHerb_AV CYG0792"/>
    <s v="Доставлен"/>
    <d v="2024-01-31T00:00:00"/>
    <x v="19"/>
    <s v="Витамины"/>
    <s v="SNS-01425"/>
    <x v="151"/>
    <x v="860"/>
    <n v="21.27"/>
    <n v="-3.19"/>
    <n v="-0.89005627302538382"/>
    <n v="6.2410166369989629E-15"/>
    <n v="1.496759555491983"/>
    <n v="1889.2300781344893"/>
    <n v="2600"/>
    <x v="188"/>
    <s v="&lt;Клиент не выбран&gt;"/>
    <s v="2024 04"/>
    <n v="710.7699218655107"/>
    <n v="0.37622200180475468"/>
  </r>
  <r>
    <s v="523625388"/>
    <s v="720000111573"/>
    <s v="iHerb_AV CYG0792"/>
    <s v="Доставлен"/>
    <d v="2024-01-31T00:00:00"/>
    <x v="19"/>
    <s v="Косметика"/>
    <s v="MPL-34771"/>
    <x v="238"/>
    <x v="1074"/>
    <n v="22.71"/>
    <n v="-3.41"/>
    <n v="-0.9501153799441322"/>
    <n v="6.6621471844070796E-15"/>
    <n v="1.5977577113382342"/>
    <n v="2016.7113112829447"/>
    <m/>
    <x v="20"/>
    <m/>
    <s v=""/>
    <n v="-2016.7113112829447"/>
    <s v=""/>
  </r>
  <r>
    <s v="523625388"/>
    <s v="720000111573"/>
    <s v="iHerb_AV CYG0792"/>
    <s v="Доставлен"/>
    <d v="2024-01-31T00:00:00"/>
    <x v="19"/>
    <s v="Витамины"/>
    <s v="NOW-02644"/>
    <x v="3"/>
    <x v="21"/>
    <n v="23.08"/>
    <n v="-3.46"/>
    <n v="-0.96586858831626266"/>
    <n v="6.7726076558583878E-15"/>
    <n v="1.6242490309044637"/>
    <n v="2050.1490117809003"/>
    <n v="2900"/>
    <x v="518"/>
    <s v="&lt;Клиент не выбран&gt;"/>
    <s v="2024 04"/>
    <n v="849.85098821909969"/>
    <n v="0.41453132593560149"/>
  </r>
  <r>
    <s v="523625388"/>
    <s v="720000111573"/>
    <s v="iHerb_AV CYG0792"/>
    <s v="Доставлен"/>
    <d v="2024-01-31T00:00:00"/>
    <x v="19"/>
    <s v="Витамины"/>
    <s v="NOW-02644"/>
    <x v="3"/>
    <x v="21"/>
    <n v="23.08"/>
    <n v="-3.46"/>
    <n v="-0.96586858831626266"/>
    <n v="6.7726076558583878E-15"/>
    <n v="1.6242490309044637"/>
    <n v="2050.1490117809003"/>
    <n v="2900"/>
    <x v="499"/>
    <s v="&lt;Клиент не выбран&gt;"/>
    <s v="2024 05"/>
    <n v="849.85098821909969"/>
    <n v="0.41453132593560149"/>
  </r>
  <r>
    <s v="523625388"/>
    <s v="720000111573"/>
    <s v="iHerb_AV CYG0792"/>
    <s v="Доставлен"/>
    <d v="2024-01-31T00:00:00"/>
    <x v="19"/>
    <s v="Витамины"/>
    <s v="SWV-11613"/>
    <x v="89"/>
    <x v="695"/>
    <n v="8.17"/>
    <n v="-1.2250000000000001"/>
    <n v="-0.34189385045139886"/>
    <n v="2.3973374194666926E-15"/>
    <n v="0.5749444199608309"/>
    <n v="725.70259361969181"/>
    <n v="1600"/>
    <x v="266"/>
    <s v="&lt;Клиент не выбран&gt;"/>
    <s v="2024 03"/>
    <n v="874.29740638030819"/>
    <n v="1.2047599306755243"/>
  </r>
  <r>
    <s v="523625388"/>
    <s v="720000111573"/>
    <s v="iHerb_AV CYG0792"/>
    <s v="Доставлен"/>
    <d v="2024-01-31T00:00:00"/>
    <x v="19"/>
    <s v="Витамины"/>
    <s v="SWV-11613"/>
    <x v="89"/>
    <x v="695"/>
    <n v="8.17"/>
    <n v="-1.2250000000000001"/>
    <n v="-0.34189385045139886"/>
    <n v="2.3973374194666926E-15"/>
    <n v="0.5749444199608309"/>
    <n v="725.70259361969181"/>
    <n v="1600"/>
    <x v="266"/>
    <s v="&lt;Клиент не выбран&gt;"/>
    <s v="2024 03"/>
    <n v="874.29740638030819"/>
    <n v="1.2047599306755243"/>
  </r>
  <r>
    <s v="523625388"/>
    <s v="720000111573"/>
    <s v="iHerb_AV CYG0792"/>
    <s v="Доставлен"/>
    <d v="2024-01-31T00:00:00"/>
    <x v="19"/>
    <s v="Витамины"/>
    <s v="NOW-01292"/>
    <x v="3"/>
    <x v="1014"/>
    <n v="30.48"/>
    <n v="-6.1"/>
    <n v="-1.2001975628517072"/>
    <n v="8.4157071686966126E-15"/>
    <n v="2.0183074094521323"/>
    <n v="2547.5348066879897"/>
    <n v="3700"/>
    <x v="560"/>
    <s v="&lt;Клиент не выбран&gt;"/>
    <s v="2024 04"/>
    <n v="1152.4651933120103"/>
    <n v="0.45238447391826314"/>
  </r>
  <r>
    <s v="523625388"/>
    <s v="720000111573"/>
    <s v="iHerb_AV CYG0792"/>
    <s v="Доставлен"/>
    <d v="2024-01-31T00:00:00"/>
    <x v="19"/>
    <s v="Витамины"/>
    <s v="MRM-21104"/>
    <x v="37"/>
    <x v="94"/>
    <n v="16.79"/>
    <n v="-2.52"/>
    <n v="-0.70249463584470295"/>
    <n v="4.9258466487818149E-15"/>
    <n v="1.1813472819065596"/>
    <n v="1491.1124565807058"/>
    <n v="2300"/>
    <x v="579"/>
    <s v="&lt;Клиент не выбран&gt;"/>
    <s v="2024 09"/>
    <n v="808.88754341929416"/>
    <n v="0.54247252770871979"/>
  </r>
  <r>
    <s v="523625388"/>
    <s v="720000111573"/>
    <s v="iHerb_AV CYG0792"/>
    <s v="Доставлен"/>
    <d v="2024-01-31T00:00:00"/>
    <x v="19"/>
    <s v="Витамины"/>
    <s v="VPB-81400"/>
    <x v="81"/>
    <x v="696"/>
    <n v="20.55"/>
    <n v="-3.08"/>
    <n v="-0.86002671956600973"/>
    <n v="6.0304513632949053E-15"/>
    <n v="1.4462604775688572"/>
    <n v="1825.4894615602614"/>
    <n v="2400"/>
    <x v="427"/>
    <s v="&lt;Клиент не выбран&gt;"/>
    <s v="2024 06"/>
    <n v="574.51053843973864"/>
    <n v="0.31471588882726259"/>
  </r>
  <r>
    <s v="523625388"/>
    <s v="720000111573"/>
    <s v="iHerb_AV CYG0792"/>
    <s v="Доставлен"/>
    <d v="2024-01-31T00:00:00"/>
    <x v="19"/>
    <s v="Витамины"/>
    <s v="CEN-27387"/>
    <x v="2"/>
    <x v="23"/>
    <n v="28.05"/>
    <n v="-4.21"/>
    <n v="-1.1736140237237365"/>
    <n v="8.2293051231225265E-15"/>
    <n v="1.9736033076841193"/>
    <n v="2491.1086870976892"/>
    <n v="3350"/>
    <x v="557"/>
    <s v="&lt;Клиент не выбран&gt;"/>
    <s v="2024 03"/>
    <n v="858.8913129023108"/>
    <n v="0.34478275369950939"/>
  </r>
  <r>
    <s v="523625388"/>
    <s v="720000111573"/>
    <s v="iHerb_AV CYG0792"/>
    <s v="Доставлен"/>
    <d v="2024-01-31T00:00:00"/>
    <x v="19"/>
    <s v="Витамины"/>
    <s v="SMS-55694"/>
    <x v="140"/>
    <x v="509"/>
    <n v="13"/>
    <n v="-7.01"/>
    <n v="-0.29488036921582134"/>
    <n v="2.067681949979192E-15"/>
    <n v="0.4958843881303639"/>
    <n v="625.91195619610562"/>
    <n v="1700"/>
    <x v="518"/>
    <s v="&lt;Клиент не выбран&gt;"/>
    <s v="2024 04"/>
    <n v="1074.0880438038944"/>
    <n v="1.7160369492404615"/>
  </r>
  <r>
    <s v="523625388"/>
    <s v="720000111573"/>
    <s v="iHerb_AV CYG0792"/>
    <s v="Доставлен"/>
    <d v="2024-01-31T00:00:00"/>
    <x v="19"/>
    <s v="Витамины"/>
    <s v="NOW-04726"/>
    <x v="3"/>
    <x v="48"/>
    <n v="18.59"/>
    <n v="-2.79"/>
    <n v="-0.77781466337395277"/>
    <n v="5.4539857779083867E-15"/>
    <n v="1.3080089035825959"/>
    <n v="1650.9864620865558"/>
    <n v="2500"/>
    <x v="580"/>
    <s v="&lt;Клиент не выбран&gt;"/>
    <s v="2024 07"/>
    <n v="849.01353791344422"/>
    <n v="0.51424621425450145"/>
  </r>
  <r>
    <s v="523553950"/>
    <s v="720000106807"/>
    <s v="iHerb_OA CZN6870"/>
    <s v="Доставлен"/>
    <d v="2024-01-28T00:00:00"/>
    <x v="19"/>
    <s v="Витамины"/>
    <s v="CEN-22424"/>
    <x v="2"/>
    <x v="63"/>
    <n v="17.63"/>
    <n v="-2.64"/>
    <n v="-1.0980929088193081"/>
    <n v="-2.4957758962054773E-15"/>
    <n v="0.89563633490003347"/>
    <n v="1498.6838756919828"/>
    <n v="2300"/>
    <x v="315"/>
    <s v="&lt;Клиент не выбран&gt;"/>
    <s v="2024 04"/>
    <n v="801.31612430801715"/>
    <n v="0.53467988633562091"/>
  </r>
  <r>
    <s v="523553950"/>
    <s v="720000106807"/>
    <s v="iHerb_OA CZN6870"/>
    <s v="Доставлен"/>
    <d v="2024-01-28T00:00:00"/>
    <x v="19"/>
    <s v="Витамины"/>
    <s v="NWY-14850"/>
    <x v="16"/>
    <x v="36"/>
    <n v="39.24"/>
    <n v="-5.8849999999999998"/>
    <n v="-2.4434215459418298"/>
    <n v="-5.5534759851857046E-15"/>
    <n v="1.9929252802261928"/>
    <n v="3334.796575964383"/>
    <n v="4400"/>
    <x v="126"/>
    <s v="&lt;Клиент не выбран&gt;"/>
    <s v="2024 03"/>
    <n v="1065.203424035617"/>
    <n v="0.319420810166681"/>
  </r>
  <r>
    <s v="523553950"/>
    <s v="720000106807"/>
    <s v="iHerb_OA CZN6870"/>
    <s v="Доставлен"/>
    <d v="2024-01-28T00:00:00"/>
    <x v="19"/>
    <s v="Витамины"/>
    <s v="NWY-14850"/>
    <x v="16"/>
    <x v="36"/>
    <n v="39.24"/>
    <n v="-5.8849999999999998"/>
    <n v="-2.4434215459418298"/>
    <n v="-5.5534759851857046E-15"/>
    <n v="1.9929252802261928"/>
    <n v="3334.796575964383"/>
    <n v="4400"/>
    <x v="126"/>
    <s v="&lt;Клиент не выбран&gt;"/>
    <s v="2024 03"/>
    <n v="1065.203424035617"/>
    <n v="0.319420810166681"/>
  </r>
  <r>
    <s v="523553950"/>
    <s v="720000106807"/>
    <s v="iHerb_OA CZN6870"/>
    <s v="Доставлен"/>
    <d v="2024-01-28T00:00:00"/>
    <x v="19"/>
    <s v="Витамины"/>
    <s v="HEC-50301"/>
    <x v="157"/>
    <x v="602"/>
    <n v="46.85"/>
    <n v="-9.3699999999999992"/>
    <n v="-2.7455985472013125"/>
    <n v="-6.2402722207992868E-15"/>
    <n v="2.2393895818581231"/>
    <n v="3747.2095837848915"/>
    <n v="6400"/>
    <x v="266"/>
    <s v="&lt;Клиент не выбран&gt;"/>
    <s v="2024 03"/>
    <n v="2652.7904162151085"/>
    <n v="0.70793756177780742"/>
  </r>
  <r>
    <s v="523553950"/>
    <s v="720000106807"/>
    <s v="iHerb_OA CZN6870"/>
    <s v="Доставлен"/>
    <d v="2024-01-28T00:00:00"/>
    <x v="19"/>
    <s v="Витамины"/>
    <s v="HEC-50301"/>
    <x v="157"/>
    <x v="602"/>
    <n v="46.85"/>
    <n v="-9.3699999999999992"/>
    <n v="-2.7455985472013125"/>
    <n v="-6.2402722207992868E-15"/>
    <n v="2.2393895818581231"/>
    <n v="3747.2095837848915"/>
    <n v="5500"/>
    <x v="581"/>
    <s v="&lt;Клиент не выбран&gt;"/>
    <s v="2025 03"/>
    <n v="1752.7904162151085"/>
    <n v="0.46775884215280322"/>
  </r>
  <r>
    <s v="523553950"/>
    <s v="720000106807"/>
    <s v="iHerb_OA CZN6870"/>
    <s v="Доставлен"/>
    <d v="2024-01-28T00:00:00"/>
    <x v="19"/>
    <s v="Витамины"/>
    <s v="SDN-00601"/>
    <x v="206"/>
    <x v="827"/>
    <n v="7.53"/>
    <n v="-1.1299999999999999"/>
    <n v="-0.4688321958935005"/>
    <n v="-1.0655747655580426E-15"/>
    <n v="0.38239309828954077"/>
    <n v="639.86503031545647"/>
    <n v="1200"/>
    <x v="126"/>
    <s v="&lt;Клиент не выбран&gt;"/>
    <s v="2024 03"/>
    <n v="560.13496968454353"/>
    <n v="0.87539550240524067"/>
  </r>
  <r>
    <s v="523553950"/>
    <s v="720000106807"/>
    <s v="iHerb_OA CZN6870"/>
    <s v="Доставлен"/>
    <d v="2024-01-28T00:00:00"/>
    <x v="19"/>
    <s v="Витамины"/>
    <s v="SDN-00601"/>
    <x v="206"/>
    <x v="827"/>
    <n v="7.53"/>
    <n v="-1.1299999999999999"/>
    <n v="-0.4688321958935005"/>
    <n v="-1.0655747655580426E-15"/>
    <n v="0.38239309828954077"/>
    <n v="639.86503031545647"/>
    <n v="1200"/>
    <x v="127"/>
    <s v="&lt;Клиент не выбран&gt;"/>
    <s v="2024 03"/>
    <n v="560.13496968454353"/>
    <n v="0.87539550240524067"/>
  </r>
  <r>
    <s v="523553950"/>
    <s v="720000106807"/>
    <s v="iHerb_OA CZN6870"/>
    <s v="Доставлен"/>
    <d v="2024-01-28T00:00:00"/>
    <x v="19"/>
    <s v="Витамины"/>
    <s v="LKN-01542"/>
    <x v="90"/>
    <x v="300"/>
    <n v="19.260000000000002"/>
    <n v="-2.89"/>
    <n v="-1.1991848510588443"/>
    <n v="-2.7255404550289307E-15"/>
    <n v="0.97808984671871591"/>
    <n v="1636.6547728537532"/>
    <n v="2500"/>
    <x v="427"/>
    <s v="&lt;Клиент не выбран&gt;"/>
    <s v="2024 06"/>
    <n v="863.34522714624677"/>
    <n v="0.52750600888229759"/>
  </r>
  <r>
    <s v="523553950"/>
    <s v="720000106807"/>
    <s v="iHerb_OA CZN6870"/>
    <s v="Доставлен"/>
    <d v="2024-01-28T00:00:00"/>
    <x v="19"/>
    <s v="Витамины"/>
    <s v="NFS-01035"/>
    <x v="23"/>
    <x v="1075"/>
    <n v="22.41"/>
    <n v="-3.36"/>
    <n v="-1.3955083330892475"/>
    <n v="-3.1717498881063606E-15"/>
    <n v="1.1382169566274611"/>
    <n v="1904.5982542983506"/>
    <n v="2900"/>
    <x v="582"/>
    <s v="&lt;Клиент не выбран&gt;"/>
    <s v="2025 02"/>
    <n v="995.40174570164936"/>
    <n v="0.522630819100668"/>
  </r>
  <r>
    <s v="523553950"/>
    <s v="720000106807"/>
    <s v="iHerb_OA CZN6870"/>
    <s v="Доставлен"/>
    <d v="2024-01-28T00:00:00"/>
    <x v="19"/>
    <s v="Витамины"/>
    <s v="CAL-39022"/>
    <x v="138"/>
    <x v="828"/>
    <n v="18.77"/>
    <n v="-3.7549999999999999"/>
    <n v="-1.0999242845845172"/>
    <n v="-2.4999382976334386E-15"/>
    <n v="0.89713005794022727"/>
    <n v="1501.1833484666529"/>
    <n v="2400"/>
    <x v="467"/>
    <s v="&lt;Клиент не выбран&gt;"/>
    <s v="2024 03"/>
    <n v="898.81665153334711"/>
    <n v="0.59873875662917619"/>
  </r>
  <r>
    <s v="523553950"/>
    <s v="720000106807"/>
    <s v="iHerb_OA CZN6870"/>
    <s v="Доставлен"/>
    <d v="2024-01-28T00:00:00"/>
    <x v="19"/>
    <s v="Витамины"/>
    <s v="CAL-39022"/>
    <x v="138"/>
    <x v="828"/>
    <n v="18.77"/>
    <n v="-3.7549999999999999"/>
    <n v="-1.0999242845845172"/>
    <n v="-2.4999382976334386E-15"/>
    <n v="0.89713005794022727"/>
    <n v="1501.1833484666529"/>
    <n v="2400"/>
    <x v="467"/>
    <s v="&lt;Клиент не выбран&gt;"/>
    <s v="2024 03"/>
    <n v="898.81665153334711"/>
    <n v="0.59873875662917619"/>
  </r>
  <r>
    <s v="523553950"/>
    <s v="720000106807"/>
    <s v="iHerb_OA CZN6870"/>
    <s v="Доставлен"/>
    <d v="2024-01-28T00:00:00"/>
    <x v="19"/>
    <s v="Витамины"/>
    <s v="NWY-12371"/>
    <x v="16"/>
    <x v="1076"/>
    <n v="20.58"/>
    <n v="-3.09"/>
    <n v="-1.2812304853402066"/>
    <n v="-2.9120160390015875E-15"/>
    <n v="1.0450086389193853"/>
    <n v="1748.6311531589579"/>
    <n v="2600"/>
    <x v="266"/>
    <s v="&lt;Клиент не выбран&gt;"/>
    <s v="2024 03"/>
    <n v="851.36884684104211"/>
    <n v="0.48687731846880183"/>
  </r>
  <r>
    <s v="523553950"/>
    <s v="720000106807"/>
    <s v="iHerb_OA CZN6870"/>
    <s v="Доставлен"/>
    <d v="2024-01-28T00:00:00"/>
    <x v="19"/>
    <s v="Косметика"/>
    <s v="YTH-01964"/>
    <x v="241"/>
    <x v="1077"/>
    <n v="2.2400000000000002"/>
    <n v="-1.24"/>
    <n v="-7.3255030608359473E-2"/>
    <n v="-1.6649605711844417E-16"/>
    <n v="5.9748921607740757E-2"/>
    <n v="99.978910986790098"/>
    <m/>
    <x v="20"/>
    <m/>
    <s v=""/>
    <n v="-99.978910986790098"/>
    <s v=""/>
  </r>
  <r>
    <s v="523553950"/>
    <s v="720000106807"/>
    <s v="iHerb_OA CZN6870"/>
    <s v="Доставлен"/>
    <d v="2024-01-28T00:00:00"/>
    <x v="19"/>
    <s v="Витамины"/>
    <s v="NCS-67209"/>
    <x v="217"/>
    <x v="1078"/>
    <n v="22.36"/>
    <n v="-4.47"/>
    <n v="-1.3105324975835506"/>
    <n v="-2.9786144618489654E-15"/>
    <n v="1.0689082075624818"/>
    <n v="1788.6227175536742"/>
    <n v="3000"/>
    <x v="532"/>
    <s v="&lt;Клиент не выбран&gt;"/>
    <s v="2024 04"/>
    <n v="1211.3772824463258"/>
    <n v="0.67726819667321703"/>
  </r>
  <r>
    <s v="523553950"/>
    <s v="720000106807"/>
    <s v="iHerb_OA CZN6870"/>
    <s v="Доставлен"/>
    <d v="2024-01-28T00:00:00"/>
    <x v="19"/>
    <s v="Витамины"/>
    <s v="SPN-00215"/>
    <x v="45"/>
    <x v="157"/>
    <n v="20.97"/>
    <n v="-3.15"/>
    <n v="-1.3054046454409656"/>
    <n v="-2.9669597378506744E-15"/>
    <n v="1.0647257830499399"/>
    <n v="1781.6241937845989"/>
    <n v="2600"/>
    <x v="309"/>
    <s v="&lt;Клиент не выбран&gt;"/>
    <s v="2024 09"/>
    <n v="818.3758062154011"/>
    <n v="0.45934255331197194"/>
  </r>
  <r>
    <s v="523553950"/>
    <s v="720000106807"/>
    <s v="iHerb_OA CZN6870"/>
    <s v="Доставлен"/>
    <d v="2024-01-28T00:00:00"/>
    <x v="19"/>
    <s v="Витамины"/>
    <s v="MRM-21104"/>
    <x v="37"/>
    <x v="94"/>
    <n v="16.79"/>
    <n v="-2.52"/>
    <n v="-1.0453492867812892"/>
    <n v="-2.3758987350801976E-15"/>
    <n v="0.85261711134246032"/>
    <n v="1426.6990597814943"/>
    <n v="1426.7"/>
    <x v="538"/>
    <s v="&lt;Клиент не выбран&gt;"/>
    <s v="2024 01"/>
    <n v="9.4021850577519217E-4"/>
    <n v="6.5901669965296751E-7"/>
  </r>
  <r>
    <s v="523553950"/>
    <s v="720000106807"/>
    <s v="iHerb_OA CZN6870"/>
    <s v="Доставлен"/>
    <d v="2024-01-28T00:00:00"/>
    <x v="19"/>
    <s v="Витамины"/>
    <s v="MRM-21104"/>
    <x v="37"/>
    <x v="94"/>
    <n v="16.79"/>
    <n v="-2.52"/>
    <n v="-1.0453492867812892"/>
    <n v="-2.3758987350801976E-15"/>
    <n v="0.85261711134246032"/>
    <n v="1426.6990597814943"/>
    <n v="2000"/>
    <x v="583"/>
    <s v="&lt;Клиент не выбран&gt;"/>
    <s v="2025 03"/>
    <n v="573.30094021850573"/>
    <n v="0.4018373295250573"/>
  </r>
  <r>
    <s v="523553950"/>
    <s v="720000106807"/>
    <s v="iHerb_OA CZN6870"/>
    <s v="Доставлен"/>
    <d v="2024-01-28T00:00:00"/>
    <x v="19"/>
    <s v="Витамины"/>
    <s v="SNS-01177"/>
    <x v="151"/>
    <x v="647"/>
    <n v="27.95"/>
    <n v="-4.1900000000000004"/>
    <n v="-1.7405395272546205"/>
    <n v="-3.9559463171342322E-15"/>
    <n v="1.4196343773999198"/>
    <n v="2375.4989250461317"/>
    <n v="3400"/>
    <x v="581"/>
    <s v="&lt;Клиент не выбран&gt;"/>
    <s v="2025 03"/>
    <n v="1024.5010749538683"/>
    <n v="0.43127827344058794"/>
  </r>
  <r>
    <s v="523767481"/>
    <s v="720000119518"/>
    <s v="iHerb_OA CZN6870"/>
    <s v="Доставлен"/>
    <d v="2024-02-07T00:00:00"/>
    <x v="20"/>
    <s v="Витамины"/>
    <s v="CGN-01033"/>
    <x v="1"/>
    <x v="1"/>
    <n v="21.04"/>
    <n v="-7.05"/>
    <n v="0"/>
    <n v="0"/>
    <n v="1.0965118792052673"/>
    <n v="1518.1000797390357"/>
    <n v="2300"/>
    <x v="584"/>
    <s v="&lt;Клиент не выбран&gt;"/>
    <s v="2024 05"/>
    <n v="781.89992026096434"/>
    <n v="0.5150516297946407"/>
  </r>
  <r>
    <s v="523767481"/>
    <s v="720000119518"/>
    <s v="iHerb_OA CZN6870"/>
    <s v="Доставлен"/>
    <d v="2024-02-07T00:00:00"/>
    <x v="20"/>
    <s v="Витамины"/>
    <s v="CGN-01033"/>
    <x v="1"/>
    <x v="1"/>
    <n v="21.04"/>
    <n v="-7.05"/>
    <n v="0"/>
    <n v="0"/>
    <n v="1.0965118792052673"/>
    <n v="1518.1000797390357"/>
    <n v="2300"/>
    <x v="558"/>
    <s v="&lt;Клиент не выбран&gt;"/>
    <s v="2024 06"/>
    <n v="781.89992026096434"/>
    <n v="0.5150516297946407"/>
  </r>
  <r>
    <s v="523767481"/>
    <s v="720000119518"/>
    <s v="iHerb_OA CZN6870"/>
    <s v="Доставлен"/>
    <d v="2024-02-07T00:00:00"/>
    <x v="20"/>
    <s v="Витамины"/>
    <s v="CGN-01033"/>
    <x v="1"/>
    <x v="1"/>
    <n v="21.04"/>
    <n v="-7.05"/>
    <n v="0"/>
    <n v="0"/>
    <n v="1.0965118792052673"/>
    <n v="1518.1000797390357"/>
    <n v="2300"/>
    <x v="531"/>
    <s v="&lt;Клиент не выбран&gt;"/>
    <s v="2024 06"/>
    <n v="781.89992026096434"/>
    <n v="0.5150516297946407"/>
  </r>
  <r>
    <s v="523767481"/>
    <s v="720000119518"/>
    <s v="iHerb_OA CZN6870"/>
    <s v="Доставлен"/>
    <d v="2024-02-07T00:00:00"/>
    <x v="20"/>
    <s v="Витамины"/>
    <s v="CGN-01033"/>
    <x v="1"/>
    <x v="1"/>
    <n v="21.04"/>
    <n v="-7.05"/>
    <n v="0"/>
    <n v="0"/>
    <n v="1.0965118792052673"/>
    <n v="1518.1000797390357"/>
    <n v="2300"/>
    <x v="507"/>
    <s v="&lt;Клиент не выбран&gt;"/>
    <s v="2024 07"/>
    <n v="781.89992026096434"/>
    <n v="0.5150516297946407"/>
  </r>
  <r>
    <s v="523767481"/>
    <s v="720000119518"/>
    <s v="iHerb_OA CZN6870"/>
    <s v="Доставлен"/>
    <d v="2024-02-07T00:00:00"/>
    <x v="20"/>
    <s v="Витамины"/>
    <s v="CGN-01032"/>
    <x v="1"/>
    <x v="145"/>
    <n v="44.43"/>
    <n v="-13.33"/>
    <n v="0"/>
    <n v="0"/>
    <n v="2.4375639344734683"/>
    <n v="3374.7614353026461"/>
    <n v="4500"/>
    <x v="467"/>
    <s v="&lt;Клиент не выбран&gt;"/>
    <s v="2024 03"/>
    <n v="1125.2385646973539"/>
    <n v="0.33342758777745823"/>
  </r>
  <r>
    <s v="523767481"/>
    <s v="720000119518"/>
    <s v="iHerb_OA CZN6870"/>
    <s v="Доставлен"/>
    <d v="2024-02-07T00:00:00"/>
    <x v="20"/>
    <s v="Витамины"/>
    <s v="LKN-01664"/>
    <x v="90"/>
    <x v="851"/>
    <n v="10.32"/>
    <n v="-3.1"/>
    <n v="0"/>
    <n v="0"/>
    <n v="0.56589104845332605"/>
    <n v="783.46551649148262"/>
    <n v="1800"/>
    <x v="462"/>
    <s v="&lt;Клиент не выбран&gt;"/>
    <s v="2024 07"/>
    <n v="1016.5344835085174"/>
    <n v="1.2974846526248722"/>
  </r>
  <r>
    <s v="523767481"/>
    <s v="720000119518"/>
    <s v="iHerb_OA CZN6870"/>
    <s v="Доставлен"/>
    <d v="2024-02-07T00:00:00"/>
    <x v="20"/>
    <s v="Витамины"/>
    <s v="PTF-10391"/>
    <x v="169"/>
    <x v="775"/>
    <n v="19.57"/>
    <n v="-2.9350000000000001"/>
    <n v="0"/>
    <n v="0"/>
    <n v="1.3038223810278504"/>
    <n v="1805.1175715839074"/>
    <n v="2400"/>
    <x v="478"/>
    <s v="&lt;Клиент не выбран&gt;"/>
    <s v="2024 03"/>
    <n v="594.88242841609258"/>
    <n v="0.32955328660066763"/>
  </r>
  <r>
    <s v="523767481"/>
    <s v="720000119518"/>
    <s v="iHerb_OA CZN6870"/>
    <s v="Доставлен"/>
    <d v="2024-02-07T00:00:00"/>
    <x v="20"/>
    <s v="Витамины"/>
    <s v="PTF-10391"/>
    <x v="169"/>
    <x v="775"/>
    <n v="19.57"/>
    <n v="-2.9350000000000001"/>
    <n v="0"/>
    <n v="0"/>
    <n v="1.3038223810278504"/>
    <n v="1805.1175715839074"/>
    <m/>
    <x v="20"/>
    <m/>
    <s v=""/>
    <n v="-1805.1175715839074"/>
    <s v=""/>
  </r>
  <r>
    <s v="523767481"/>
    <s v="720000119518"/>
    <s v="iHerb_OA CZN6870"/>
    <s v="Доставлен"/>
    <d v="2024-02-07T00:00:00"/>
    <x v="20"/>
    <s v="Витамины"/>
    <s v="PTF-10393"/>
    <x v="169"/>
    <x v="843"/>
    <n v="21.18"/>
    <n v="-3.1749999999999998"/>
    <n v="0"/>
    <n v="0"/>
    <n v="1.4112005993631764"/>
    <n v="1953.7806959043132"/>
    <n v="2600"/>
    <x v="518"/>
    <s v="&lt;Клиент не выбран&gt;"/>
    <s v="2024 04"/>
    <n v="646.21930409568677"/>
    <n v="0.33075324444056003"/>
  </r>
  <r>
    <s v="523767481"/>
    <s v="720000119518"/>
    <s v="iHerb_OA CZN6870"/>
    <s v="Доставлен"/>
    <d v="2024-02-07T00:00:00"/>
    <x v="20"/>
    <s v="Витамины"/>
    <s v="PTF-10393"/>
    <x v="169"/>
    <x v="843"/>
    <n v="21.18"/>
    <n v="-3.1749999999999998"/>
    <n v="0"/>
    <n v="0"/>
    <n v="1.4112005993631764"/>
    <n v="1953.7806959043132"/>
    <n v="2700"/>
    <x v="452"/>
    <s v="&lt;Клиент не выбран&gt;"/>
    <s v="2025 01"/>
    <n v="746.21930409568677"/>
    <n v="0.38193606153442772"/>
  </r>
  <r>
    <s v="523767481"/>
    <s v="720000119518"/>
    <s v="iHerb_OA CZN6870"/>
    <s v="Доставлен"/>
    <d v="2024-02-07T00:00:00"/>
    <x v="20"/>
    <s v="Витамины"/>
    <s v="AMX-22880"/>
    <x v="105"/>
    <x v="1079"/>
    <n v="16.059999999999999"/>
    <n v="-3.21"/>
    <n v="0"/>
    <n v="0"/>
    <n v="1.0071606610284265"/>
    <n v="1394.394998187749"/>
    <n v="2200"/>
    <x v="585"/>
    <s v="&lt;Клиент не выбран&gt;"/>
    <s v="2024 08"/>
    <n v="805.60500181225098"/>
    <n v="0.57774518903127903"/>
  </r>
  <r>
    <s v="523767481"/>
    <s v="720000119518"/>
    <s v="iHerb_OA CZN6870"/>
    <s v="Доставлен"/>
    <d v="2024-02-07T00:00:00"/>
    <x v="20"/>
    <s v="Витамины"/>
    <s v="CGN-01266"/>
    <x v="1"/>
    <x v="487"/>
    <n v="31.02"/>
    <n v="-9.3066666666666666"/>
    <n v="0"/>
    <n v="0"/>
    <n v="1.7018533193097716"/>
    <n v="2356.1839217107649"/>
    <n v="3300"/>
    <x v="531"/>
    <s v="&lt;Клиент не выбран&gt;"/>
    <s v="2024 06"/>
    <n v="943.81607828923507"/>
    <n v="0.4005697813284263"/>
  </r>
  <r>
    <s v="523767481"/>
    <s v="720000119518"/>
    <s v="iHerb_OA CZN6870"/>
    <s v="Доставлен"/>
    <d v="2024-02-07T00:00:00"/>
    <x v="20"/>
    <s v="Витамины"/>
    <s v="CGN-01266"/>
    <x v="1"/>
    <x v="487"/>
    <n v="31.02"/>
    <n v="-9.3066666666666666"/>
    <n v="0"/>
    <n v="0"/>
    <n v="1.7018533193097716"/>
    <n v="2356.1839217107649"/>
    <n v="3400"/>
    <x v="531"/>
    <s v="&lt;Клиент не выбран&gt;"/>
    <s v="2024 06"/>
    <n v="1043.8160782892351"/>
    <n v="0.44301128985353017"/>
  </r>
  <r>
    <s v="523767481"/>
    <s v="720000119518"/>
    <s v="iHerb_OA CZN6870"/>
    <s v="Доставлен"/>
    <d v="2024-02-07T00:00:00"/>
    <x v="20"/>
    <s v="Витамины"/>
    <s v="CGN-01266"/>
    <x v="1"/>
    <x v="487"/>
    <n v="31.02"/>
    <n v="-9.3066666666666666"/>
    <n v="0"/>
    <n v="0"/>
    <n v="1.7018533193097716"/>
    <n v="2356.1839217107649"/>
    <n v="3300"/>
    <x v="531"/>
    <s v="&lt;Клиент не выбран&gt;"/>
    <s v="2024 06"/>
    <n v="943.81607828923507"/>
    <n v="0.4005697813284263"/>
  </r>
  <r>
    <s v="523767481"/>
    <s v="720000119518"/>
    <s v="iHerb_OA CZN6870"/>
    <s v="Доставлен"/>
    <d v="2024-02-07T00:00:00"/>
    <x v="20"/>
    <s v="Витамины"/>
    <s v="MSC-61017"/>
    <x v="50"/>
    <x v="789"/>
    <n v="17.41"/>
    <n v="-3.48"/>
    <n v="0"/>
    <n v="0"/>
    <n v="1.0918091835117496"/>
    <n v="1511.5892859731787"/>
    <n v="2300"/>
    <x v="492"/>
    <s v="&lt;Клиент не выбран&gt;"/>
    <s v="2024 06"/>
    <n v="788.41071402682132"/>
    <n v="0.52157733674278683"/>
  </r>
  <r>
    <s v="523767481"/>
    <s v="720000119518"/>
    <s v="iHerb_OA CZN6870"/>
    <s v="Доставлен"/>
    <d v="2024-02-07T00:00:00"/>
    <x v="20"/>
    <s v="Витамины"/>
    <s v="AMX-20214"/>
    <x v="105"/>
    <x v="1080"/>
    <n v="16.16"/>
    <n v="-3.23"/>
    <n v="0"/>
    <n v="0"/>
    <n v="1.013430921953117"/>
    <n v="1403.0760565422254"/>
    <n v="2400"/>
    <x v="510"/>
    <s v="&lt;Клиент не выбран&gt;"/>
    <s v="2024 05"/>
    <n v="996.92394345777461"/>
    <n v="0.71052737220433948"/>
  </r>
  <r>
    <s v="523767481"/>
    <s v="720000119518"/>
    <s v="iHerb_OA CZN6870"/>
    <s v="Доставлен"/>
    <d v="2024-02-07T00:00:00"/>
    <x v="20"/>
    <s v="Витамины"/>
    <s v="FOA-66013"/>
    <x v="171"/>
    <x v="1081"/>
    <n v="18.45"/>
    <n v="-10.96"/>
    <n v="0"/>
    <n v="0"/>
    <n v="0.58705317907415666"/>
    <n v="812.76408843783975"/>
    <n v="2100"/>
    <x v="441"/>
    <s v="&lt;Клиент не выбран&gt;"/>
    <s v="2024 11"/>
    <n v="1287.2359115621603"/>
    <n v="1.5837755750703399"/>
  </r>
  <r>
    <s v="523824544"/>
    <s v="720000122982"/>
    <s v="iHerb_AV CYG0792"/>
    <s v="Доставлен"/>
    <d v="2024-02-09T00:00:00"/>
    <x v="20"/>
    <s v="Витамины"/>
    <s v="NWY-64600"/>
    <x v="16"/>
    <x v="347"/>
    <n v="11.61"/>
    <n v="-1.63"/>
    <n v="-0.34384450198951577"/>
    <n v="5.3745088128989858E-15"/>
    <n v="0.67918212757530882"/>
    <n v="1041.5818966715096"/>
    <n v="1700"/>
    <x v="482"/>
    <s v="&lt;Клиент не выбран&gt;"/>
    <s v="2024 03"/>
    <n v="658.41810332849036"/>
    <n v="0.63213282165573192"/>
  </r>
  <r>
    <s v="523824544"/>
    <s v="720000122982"/>
    <s v="iHerb_AV CYG0792"/>
    <s v="Доставлен"/>
    <d v="2024-02-09T00:00:00"/>
    <x v="20"/>
    <s v="Витамины"/>
    <s v="CEN-22338"/>
    <x v="2"/>
    <x v="829"/>
    <n v="9.9600000000000009"/>
    <n v="-1.39"/>
    <n v="-0.29526526874249998"/>
    <n v="4.6151844214974254E-15"/>
    <n v="0.58322553440084135"/>
    <n v="894.42453451651659"/>
    <n v="1500"/>
    <x v="171"/>
    <s v="&lt;Клиент не выбран&gt;"/>
    <s v="2024 03"/>
    <n v="605.57546548348341"/>
    <n v="0.67705596404600943"/>
  </r>
  <r>
    <s v="523824544"/>
    <s v="720000122982"/>
    <s v="iHerb_AV CYG0792"/>
    <s v="Доставлен"/>
    <d v="2024-02-09T00:00:00"/>
    <x v="20"/>
    <s v="Витамины"/>
    <s v="NOW-02680"/>
    <x v="3"/>
    <x v="714"/>
    <n v="10.68"/>
    <n v="-1.5"/>
    <n v="-0.31628181645929404"/>
    <n v="4.9436864631676034E-15"/>
    <n v="0.62473867045504361"/>
    <n v="958.08835786016596"/>
    <n v="1500"/>
    <x v="171"/>
    <s v="&lt;Клиент не выбран&gt;"/>
    <s v="2024 03"/>
    <n v="541.91164213983404"/>
    <n v="0.56561760477933565"/>
  </r>
  <r>
    <s v="523824544"/>
    <s v="720000122982"/>
    <s v="iHerb_AV CYG0792"/>
    <s v="Доставлен"/>
    <d v="2024-02-09T00:00:00"/>
    <x v="20"/>
    <s v="Витамины"/>
    <s v="FHH-00039"/>
    <x v="242"/>
    <x v="1082"/>
    <n v="19.07"/>
    <n v="-2.67"/>
    <n v="-0.56503505336954485"/>
    <n v="8.8318581694933228E-15"/>
    <n v="1.1160908709654374"/>
    <n v="1711.6175456325407"/>
    <n v="2500"/>
    <x v="418"/>
    <s v="&lt;Клиент не выбран&gt;"/>
    <s v="2024 03"/>
    <n v="788.38245436745933"/>
    <n v="0.46060666787340443"/>
  </r>
  <r>
    <s v="523824544"/>
    <s v="720000122982"/>
    <s v="iHerb_AV CYG0792"/>
    <s v="Доставлен"/>
    <d v="2024-02-09T00:00:00"/>
    <x v="20"/>
    <s v="Витамины"/>
    <s v="NOW-00372"/>
    <x v="3"/>
    <x v="13"/>
    <n v="8.3699999999999992"/>
    <n v="-1.5333333333333332"/>
    <n v="-0.23554611676035295"/>
    <n v="3.6817359970794315E-15"/>
    <n v="0.4652647106402667"/>
    <n v="713.52186709193916"/>
    <n v="1200"/>
    <x v="291"/>
    <s v="&lt;Клиент не выбран&gt;"/>
    <s v="2024 04"/>
    <n v="486.47813290806084"/>
    <n v="0.68179849188192698"/>
  </r>
  <r>
    <s v="523824544"/>
    <s v="720000122982"/>
    <s v="iHerb_AV CYG0792"/>
    <s v="Доставлен"/>
    <d v="2024-02-09T00:00:00"/>
    <x v="20"/>
    <s v="Витамины"/>
    <s v="NOW-00372"/>
    <x v="3"/>
    <x v="13"/>
    <n v="8.3699999999999992"/>
    <n v="-1.5333333333333332"/>
    <n v="-0.23554611676035295"/>
    <n v="3.6817359970794315E-15"/>
    <n v="0.4652647106402667"/>
    <n v="713.52186709193916"/>
    <n v="1200"/>
    <x v="414"/>
    <s v="&lt;Клиент не выбран&gt;"/>
    <s v="2024 05"/>
    <n v="486.47813290806084"/>
    <n v="0.68179849188192698"/>
  </r>
  <r>
    <s v="523824544"/>
    <s v="720000122982"/>
    <s v="iHerb_AV CYG0792"/>
    <s v="Доставлен"/>
    <d v="2024-02-09T00:00:00"/>
    <x v="20"/>
    <s v="Витамины"/>
    <s v="NOW-00372"/>
    <x v="3"/>
    <x v="13"/>
    <n v="8.3699999999999992"/>
    <n v="-1.5333333333333332"/>
    <n v="-0.23554611676035295"/>
    <n v="3.6817359970794315E-15"/>
    <n v="0.4652647106402667"/>
    <n v="713.52186709193916"/>
    <n v="1200"/>
    <x v="522"/>
    <s v="&lt;Клиент не выбран&gt;"/>
    <s v="2024 07"/>
    <n v="486.47813290806084"/>
    <n v="0.68179849188192698"/>
  </r>
  <r>
    <s v="523824544"/>
    <s v="720000122982"/>
    <s v="iHerb_AV CYG0792"/>
    <s v="Доставлен"/>
    <d v="2024-02-09T00:00:00"/>
    <x v="20"/>
    <s v="Витамины"/>
    <s v="NOW-00367"/>
    <x v="3"/>
    <x v="365"/>
    <n v="5.87"/>
    <n v="-0.82"/>
    <n v="-0.17398945240952449"/>
    <n v="2.719566082679346E-15"/>
    <n v="0.34367432307167428"/>
    <n v="527.05296374660543"/>
    <n v="1000"/>
    <x v="586"/>
    <s v="&lt;Клиент не выбран&gt;"/>
    <s v="2024 08"/>
    <n v="472.94703625339457"/>
    <n v="0.89734252301970985"/>
  </r>
  <r>
    <s v="523824544"/>
    <s v="720000122982"/>
    <s v="iHerb_AV CYG0792"/>
    <s v="Доставлен"/>
    <d v="2024-02-09T00:00:00"/>
    <x v="20"/>
    <s v="Витамины"/>
    <s v="NOW-00367"/>
    <x v="3"/>
    <x v="365"/>
    <n v="5.87"/>
    <n v="-0.82"/>
    <n v="-0.17398945240952449"/>
    <n v="2.719566082679346E-15"/>
    <n v="0.34367432307167428"/>
    <n v="527.05296374660543"/>
    <n v="1000"/>
    <x v="587"/>
    <s v="&lt;Клиент не выбран&gt;"/>
    <s v="2024 11"/>
    <n v="472.94703625339457"/>
    <n v="0.89734252301970985"/>
  </r>
  <r>
    <s v="523824544"/>
    <s v="720000122982"/>
    <s v="iHerb_AV CYG0792"/>
    <s v="Доставлен"/>
    <d v="2024-02-09T00:00:00"/>
    <x v="20"/>
    <s v="Витамины"/>
    <s v="NOW-00479"/>
    <x v="3"/>
    <x v="1083"/>
    <n v="17.989999999999998"/>
    <n v="-2.52"/>
    <n v="-0.53299343144066214"/>
    <n v="8.3310271879305912E-15"/>
    <n v="1.0528003520631291"/>
    <n v="1614.5563067643538"/>
    <n v="1600"/>
    <x v="588"/>
    <m/>
    <s v="2025 10"/>
    <n v="-14.556306764353849"/>
    <n v="-9.0156699418711302E-3"/>
  </r>
  <r>
    <s v="523824544"/>
    <s v="720000122982"/>
    <s v="iHerb_AV CYG0792"/>
    <s v="Доставлен"/>
    <d v="2024-02-09T00:00:00"/>
    <x v="20"/>
    <s v="Витамины"/>
    <s v="CAR-01543"/>
    <x v="154"/>
    <x v="794"/>
    <n v="25.02"/>
    <n v="-3.5049999999999999"/>
    <n v="-0.74126397397839994"/>
    <n v="1.1586428568088344E-14"/>
    <n v="1.4641887249281333"/>
    <n v="2245.4543594075676"/>
    <n v="3100"/>
    <x v="326"/>
    <s v="&lt;Клиент не выбран&gt;"/>
    <s v="2024 04"/>
    <n v="854.54564059243239"/>
    <n v="0.38056691600620757"/>
  </r>
  <r>
    <s v="523824544"/>
    <s v="720000122982"/>
    <s v="iHerb_AV CYG0792"/>
    <s v="Доставлен"/>
    <d v="2024-02-09T00:00:00"/>
    <x v="20"/>
    <s v="Витамины"/>
    <s v="CAR-01543"/>
    <x v="154"/>
    <x v="794"/>
    <n v="25.02"/>
    <n v="-3.5049999999999999"/>
    <n v="-0.74126397397839994"/>
    <n v="1.1586428568088344E-14"/>
    <n v="1.4641887249281333"/>
    <n v="2245.4543594075676"/>
    <n v="3200"/>
    <x v="517"/>
    <s v="&lt;Клиент не выбран&gt;"/>
    <s v="2024 09"/>
    <n v="954.54564059243239"/>
    <n v="0.42510133265156907"/>
  </r>
  <r>
    <s v="523824544"/>
    <s v="720000122982"/>
    <s v="iHerb_AV CYG0792"/>
    <s v="Доставлен"/>
    <d v="2024-02-09T00:00:00"/>
    <x v="20"/>
    <s v="Витамины"/>
    <s v="CEN-27847"/>
    <x v="2"/>
    <x v="1084"/>
    <n v="11.52"/>
    <n v="-1.61"/>
    <n v="-0.34143276700562131"/>
    <n v="5.33681185729749E-15"/>
    <n v="0.67441832507728561"/>
    <n v="1034.276212025517"/>
    <n v="1600"/>
    <x v="188"/>
    <s v="&lt;Клиент не выбран&gt;"/>
    <s v="2024 04"/>
    <n v="565.723787974483"/>
    <n v="0.54697553844593871"/>
  </r>
  <r>
    <s v="523824544"/>
    <s v="720000122982"/>
    <s v="iHerb_AV CYG0792"/>
    <s v="Доставлен"/>
    <d v="2024-02-09T00:00:00"/>
    <x v="20"/>
    <s v="Витамины"/>
    <s v="DRB-00091"/>
    <x v="6"/>
    <x v="16"/>
    <n v="12.96"/>
    <n v="-1.8149999999999999"/>
    <n v="-0.38398266279290111"/>
    <n v="6.0018938596953106E-15"/>
    <n v="0.75846541200669515"/>
    <n v="1163.1693625655284"/>
    <n v="1700"/>
    <x v="496"/>
    <s v="&lt;Клиент не выбран&gt;"/>
    <s v="2024 05"/>
    <n v="536.83063743447156"/>
    <n v="0.46152405205241864"/>
  </r>
  <r>
    <s v="523824544"/>
    <s v="720000122982"/>
    <s v="iHerb_AV CYG0792"/>
    <s v="Доставлен"/>
    <d v="2024-02-09T00:00:00"/>
    <x v="20"/>
    <s v="Витамины"/>
    <s v="DRB-00091"/>
    <x v="6"/>
    <x v="16"/>
    <n v="12.96"/>
    <n v="-1.8149999999999999"/>
    <n v="-0.38398266279290111"/>
    <n v="6.0018938596953106E-15"/>
    <n v="0.75846541200669515"/>
    <n v="1163.1693625655284"/>
    <n v="1700"/>
    <x v="531"/>
    <s v="&lt;Клиент не выбран&gt;"/>
    <s v="2024 06"/>
    <n v="536.83063743447156"/>
    <n v="0.46152405205241864"/>
  </r>
  <r>
    <s v="523824544"/>
    <s v="720000122982"/>
    <s v="iHerb_AV CYG0792"/>
    <s v="Доставлен"/>
    <d v="2024-02-09T00:00:00"/>
    <x v="20"/>
    <s v="Витамины"/>
    <s v="IRW-57837"/>
    <x v="124"/>
    <x v="1085"/>
    <n v="17.07"/>
    <n v="-3.415"/>
    <n v="-0.47046058864397172"/>
    <n v="7.3535989819775201E-15"/>
    <n v="0.92928175872152741"/>
    <n v="1425.1303405861186"/>
    <n v="1425.13"/>
    <x v="392"/>
    <s v="&lt;Клиент не выбран&gt;"/>
    <s v="2024 02"/>
    <n v="-3.4058611845466658E-4"/>
    <n v="-2.3898594307843626E-7"/>
  </r>
  <r>
    <s v="523824544"/>
    <s v="720000122982"/>
    <s v="iHerb_AV CYG0792"/>
    <s v="Доставлен"/>
    <d v="2024-02-09T00:00:00"/>
    <x v="20"/>
    <s v="Витамины"/>
    <s v="IRW-57837"/>
    <x v="124"/>
    <x v="1085"/>
    <n v="17.07"/>
    <n v="-3.415"/>
    <n v="-0.47046058864397172"/>
    <n v="7.3535989819775201E-15"/>
    <n v="0.92928175872152741"/>
    <n v="1425.1303405861186"/>
    <n v="2300"/>
    <x v="520"/>
    <s v="&lt;Клиент не выбран&gt;"/>
    <s v="2025 01"/>
    <n v="874.86965941388144"/>
    <n v="0.61388747014821854"/>
  </r>
  <r>
    <s v="523824544"/>
    <s v="720000122982"/>
    <s v="iHerb_AV CYG0792"/>
    <s v="Доставлен"/>
    <d v="2024-02-09T00:00:00"/>
    <x v="20"/>
    <s v="Витамины"/>
    <s v="FOA-01540"/>
    <x v="171"/>
    <x v="1086"/>
    <n v="16.91"/>
    <n v="-3.38"/>
    <n v="-0.46615391902987452"/>
    <n v="7.2862829898319916E-15"/>
    <n v="0.92077496854648588"/>
    <n v="1412.084475146846"/>
    <m/>
    <x v="20"/>
    <m/>
    <s v=""/>
    <n v="-1412.084475146846"/>
    <s v=""/>
  </r>
  <r>
    <s v="523824544"/>
    <s v="720000122982"/>
    <s v="iHerb_AV CYG0792"/>
    <s v="Доставлен"/>
    <d v="2024-02-09T00:00:00"/>
    <x v="20"/>
    <s v="Витамины"/>
    <s v="YTH-01969"/>
    <x v="241"/>
    <x v="1087"/>
    <n v="3.26"/>
    <n v="-1.81"/>
    <n v="-4.9957367523526829E-2"/>
    <n v="7.8086550888812908E-16"/>
    <n v="9.867876603048073E-2"/>
    <n v="151.33203909555999"/>
    <m/>
    <x v="20"/>
    <m/>
    <s v=""/>
    <n v="-151.33203909555999"/>
    <s v=""/>
  </r>
  <r>
    <s v="523824544"/>
    <s v="720000122982"/>
    <s v="iHerb_AV CYG0792"/>
    <s v="Доставлен"/>
    <d v="2024-02-09T00:00:00"/>
    <x v="20"/>
    <s v="Витамины"/>
    <s v="BOI-08204"/>
    <x v="26"/>
    <x v="1088"/>
    <n v="13.35"/>
    <n v="-2.67"/>
    <n v="-0.3679618518284597"/>
    <n v="5.7514783689139441E-15"/>
    <n v="0.726820152555541"/>
    <n v="1114.6387431314349"/>
    <n v="1800"/>
    <x v="345"/>
    <s v="&lt;Клиент не выбран&gt;"/>
    <s v="2024 03"/>
    <n v="685.36125686856508"/>
    <n v="0.61487299009823604"/>
  </r>
  <r>
    <s v="523824544"/>
    <s v="720000122982"/>
    <s v="iHerb_AV CYG0792"/>
    <s v="Доставлен"/>
    <d v="2024-02-09T00:00:00"/>
    <x v="20"/>
    <s v="Витамины"/>
    <s v="BOS-41413"/>
    <x v="26"/>
    <x v="1089"/>
    <n v="9.59"/>
    <n v="-1.92"/>
    <n v="-0.26425724752100055"/>
    <n v="4.1305092780496206E-15"/>
    <n v="0.52197664514054298"/>
    <n v="800.4943033537553"/>
    <m/>
    <x v="20"/>
    <m/>
    <s v=""/>
    <n v="-800.4943033537553"/>
    <s v=""/>
  </r>
  <r>
    <s v="523824544"/>
    <s v="720000122982"/>
    <s v="iHerb_AV CYG0792"/>
    <s v="Доставлен"/>
    <d v="2024-02-09T00:00:00"/>
    <x v="20"/>
    <s v="Витамины"/>
    <s v="FOA-01478"/>
    <x v="171"/>
    <x v="988"/>
    <n v="12.53"/>
    <n v="-2.5099999999999998"/>
    <n v="-0.34522263626602678"/>
    <n v="5.396049930385554E-15"/>
    <n v="0.68190430043132222"/>
    <n v="1045.7565736120766"/>
    <n v="1045.76"/>
    <x v="392"/>
    <s v="&lt;Клиент не выбран&gt;"/>
    <s v="2024 02"/>
    <n v="3.4263879233549233E-3"/>
    <n v="3.2764679752574445E-6"/>
  </r>
  <r>
    <s v="523824544"/>
    <s v="720000122982"/>
    <s v="iHerb_AV CYG0792"/>
    <s v="Доставлен"/>
    <d v="2024-02-09T00:00:00"/>
    <x v="20"/>
    <s v="Витамины"/>
    <s v="NOW-00107"/>
    <x v="3"/>
    <x v="585"/>
    <n v="13.25"/>
    <n v="-1.86"/>
    <n v="-0.39242373523653151"/>
    <n v="6.1338332043005462E-15"/>
    <n v="0.7751387207497763"/>
    <n v="1188.7392588265022"/>
    <n v="1800"/>
    <x v="558"/>
    <s v="&lt;Клиент не выбран&gt;"/>
    <s v="2024 06"/>
    <n v="611.26074117349776"/>
    <n v="0.51420926551792456"/>
  </r>
  <r>
    <s v="523824544"/>
    <s v="720000122982"/>
    <s v="iHerb_AV CYG0792"/>
    <s v="Доставлен"/>
    <d v="2024-02-09T00:00:00"/>
    <x v="20"/>
    <s v="Витамины"/>
    <s v="CGN-02168"/>
    <x v="1"/>
    <x v="1090"/>
    <n v="26.96"/>
    <n v="-13.48"/>
    <n v="-0.46443125118423567"/>
    <n v="7.2593565929737795E-15"/>
    <n v="0.91737225247646925"/>
    <n v="1406.866128971137"/>
    <n v="2300"/>
    <x v="589"/>
    <s v="&lt;Клиент не выбран&gt;"/>
    <s v="2024 03"/>
    <n v="893.13387102886304"/>
    <n v="0.63483927335860002"/>
  </r>
  <r>
    <s v="523824544"/>
    <s v="720000122982"/>
    <s v="iHerb_AV CYG0792"/>
    <s v="Доставлен"/>
    <d v="2024-02-09T00:00:00"/>
    <x v="20"/>
    <s v="Витамины"/>
    <s v="SWV-02675"/>
    <x v="89"/>
    <x v="1091"/>
    <n v="40.020000000000003"/>
    <n v="-8"/>
    <n v="-1.1031964883471237"/>
    <n v="1.7243664547998548E-14"/>
    <n v="2.1790993712386162"/>
    <n v="3341.8288909240218"/>
    <n v="4500"/>
    <x v="589"/>
    <s v="&lt;Клиент не выбран&gt;"/>
    <s v="2024 03"/>
    <n v="1158.1711090759782"/>
    <n v="0.34656804608441272"/>
  </r>
  <r>
    <s v="523824544"/>
    <s v="720000122982"/>
    <s v="iHerb_AV CYG0792"/>
    <s v="Доставлен"/>
    <d v="2024-02-09T00:00:00"/>
    <x v="20"/>
    <s v="Витамины"/>
    <s v="SBL-00111"/>
    <x v="12"/>
    <x v="1092"/>
    <n v="29.59"/>
    <n v="-5.92"/>
    <n v="-0.81551095812543473"/>
    <n v="1.2746956272677253E-14"/>
    <n v="1.610845787545848"/>
    <n v="2470.3650795806243"/>
    <n v="3500"/>
    <x v="590"/>
    <s v="&lt;Клиент не выбран&gt;"/>
    <s v="2025 01"/>
    <n v="1029.6349204193757"/>
    <n v="0.41679463854555832"/>
  </r>
  <r>
    <s v="523959170"/>
    <s v="720000131191"/>
    <s v="iHerb_VP DFD1605"/>
    <s v="Доставлен"/>
    <d v="2024-02-14T00:00:00"/>
    <x v="20"/>
    <s v="Витамины"/>
    <s v="CGN-02189"/>
    <x v="1"/>
    <x v="1093"/>
    <n v="26.88"/>
    <n v="-8.8699999999999992"/>
    <n v="-1.2028788576692768"/>
    <n v="4.2868806736868328E-15"/>
    <n v="0.83189476019904884"/>
    <n v="1786.7675675222984"/>
    <n v="2700"/>
    <x v="414"/>
    <s v="&lt;Клиент не выбран&gt;"/>
    <s v="2024 05"/>
    <n v="913.23243247770165"/>
    <n v="0.51110869095529676"/>
  </r>
  <r>
    <s v="523959170"/>
    <s v="720000131191"/>
    <s v="iHerb_VP DFD1605"/>
    <s v="Доставлен"/>
    <d v="2024-02-14T00:00:00"/>
    <x v="20"/>
    <s v="Витамины"/>
    <s v="NOW-02700"/>
    <x v="3"/>
    <x v="772"/>
    <n v="26.52"/>
    <n v="-5.3049999999999997"/>
    <n v="-1.4169391985260251"/>
    <n v="5.049759771919276E-15"/>
    <n v="0.97993599875751358"/>
    <n v="2104.7348109375657"/>
    <n v="3300"/>
    <x v="483"/>
    <s v="&lt;Клиент не выбран&gt;"/>
    <s v="2024 03"/>
    <n v="1195.2651890624343"/>
    <n v="0.56789348608245649"/>
  </r>
  <r>
    <s v="523959170"/>
    <s v="720000131191"/>
    <s v="iHerb_VP DFD1605"/>
    <s v="Доставлен"/>
    <d v="2024-02-14T00:00:00"/>
    <x v="20"/>
    <s v="Витамины"/>
    <s v="NOW-02700"/>
    <x v="3"/>
    <x v="772"/>
    <n v="26.52"/>
    <n v="-5.3049999999999997"/>
    <n v="-1.4169391985260251"/>
    <n v="5.049759771919276E-15"/>
    <n v="0.97993599875751358"/>
    <n v="2104.7348109375657"/>
    <n v="3300"/>
    <x v="171"/>
    <s v="&lt;Клиент не выбран&gt;"/>
    <s v="2024 03"/>
    <n v="1195.2651890624343"/>
    <n v="0.56789348608245649"/>
  </r>
  <r>
    <s v="523959170"/>
    <s v="720000131191"/>
    <s v="iHerb_VP DFD1605"/>
    <s v="Доставлен"/>
    <d v="2024-02-14T00:00:00"/>
    <x v="20"/>
    <s v="Витамины"/>
    <s v="LEX-30210"/>
    <x v="7"/>
    <x v="749"/>
    <n v="17.100000000000001"/>
    <n v="-2.39"/>
    <n v="-0.98247351450944298"/>
    <n v="3.5013889344771415E-15"/>
    <n v="0.67946540380499776"/>
    <n v="1459.3753980151589"/>
    <n v="2200"/>
    <x v="483"/>
    <s v="&lt;Клиент не выбран&gt;"/>
    <s v="2024 03"/>
    <n v="740.62460198484109"/>
    <n v="0.50749423554223028"/>
  </r>
  <r>
    <s v="523959170"/>
    <s v="720000131191"/>
    <s v="iHerb_VP DFD1605"/>
    <s v="Доставлен"/>
    <d v="2024-02-14T00:00:00"/>
    <x v="20"/>
    <s v="Витамины"/>
    <s v="LEX-33510"/>
    <x v="7"/>
    <x v="750"/>
    <n v="11.05"/>
    <n v="-1.55"/>
    <n v="-0.63450023030861369"/>
    <n v="2.2612640977248704E-15"/>
    <n v="0.4388117835586321"/>
    <n v="942.49260918722018"/>
    <n v="1600"/>
    <x v="483"/>
    <s v="&lt;Клиент не выбран&gt;"/>
    <s v="2024 03"/>
    <n v="657.50739081277982"/>
    <n v="0.6976260443886092"/>
  </r>
  <r>
    <s v="523959170"/>
    <s v="720000131191"/>
    <s v="iHerb_VP DFD1605"/>
    <s v="Доставлен"/>
    <d v="2024-02-14T00:00:00"/>
    <x v="20"/>
    <s v="Витамины"/>
    <s v="CGN-02188"/>
    <x v="1"/>
    <x v="1094"/>
    <n v="26.88"/>
    <n v="-8.8699999999999992"/>
    <n v="-1.2028788576692768"/>
    <n v="4.2868806736868328E-15"/>
    <n v="0.83189476019904884"/>
    <n v="1786.7675675222984"/>
    <m/>
    <x v="20"/>
    <m/>
    <s v=""/>
    <n v="-1786.7675675222984"/>
    <s v=""/>
  </r>
  <r>
    <s v="523959170"/>
    <s v="720000131191"/>
    <s v="iHerb_VP DFD1605"/>
    <s v="Доставлен"/>
    <d v="2024-02-14T00:00:00"/>
    <x v="20"/>
    <s v="Витамины"/>
    <s v="NOW-08091"/>
    <x v="3"/>
    <x v="895"/>
    <n v="6.41"/>
    <n v="-0.89500000000000002"/>
    <n v="-0.36834408106863209"/>
    <n v="1.3127233156792275E-15"/>
    <n v="0.25474178803430064"/>
    <n v="547.14176207026526"/>
    <n v="1100"/>
    <x v="482"/>
    <s v="&lt;Клиент не выбран&gt;"/>
    <s v="2024 03"/>
    <n v="552.85823792973474"/>
    <n v="1.0104478880168817"/>
  </r>
  <r>
    <s v="523959170"/>
    <s v="720000131191"/>
    <s v="iHerb_VP DFD1605"/>
    <s v="Доставлен"/>
    <d v="2024-02-14T00:00:00"/>
    <x v="20"/>
    <s v="Витамины"/>
    <s v="NOW-08091"/>
    <x v="3"/>
    <x v="895"/>
    <n v="6.41"/>
    <n v="-0.89500000000000002"/>
    <n v="-0.36834408106863209"/>
    <n v="1.3127233156792275E-15"/>
    <n v="0.25474178803430064"/>
    <n v="547.14176207026526"/>
    <n v="1100"/>
    <x v="314"/>
    <s v="&lt;Клиент не выбран&gt;"/>
    <s v="2024 05"/>
    <n v="552.85823792973474"/>
    <n v="1.0104478880168817"/>
  </r>
  <r>
    <s v="523959170"/>
    <s v="720000131191"/>
    <s v="iHerb_VP DFD1605"/>
    <s v="Доставлен"/>
    <d v="2024-02-14T00:00:00"/>
    <x v="20"/>
    <s v="Витамины"/>
    <s v="NLI-00437"/>
    <x v="158"/>
    <x v="1095"/>
    <n v="9.2899999999999991"/>
    <n v="-1.86"/>
    <n v="-0.49624596959926298"/>
    <n v="1.7685465522206087E-15"/>
    <n v="0.34319700545690901"/>
    <n v="737.12843013274153"/>
    <n v="2000"/>
    <x v="315"/>
    <s v="&lt;Клиент не выбран&gt;"/>
    <s v="2024 04"/>
    <n v="1262.8715698672586"/>
    <n v="1.7132313966507053"/>
  </r>
  <r>
    <s v="523959170"/>
    <s v="720000131191"/>
    <s v="iHerb_VP DFD1605"/>
    <s v="Доставлен"/>
    <d v="2024-02-14T00:00:00"/>
    <x v="20"/>
    <s v="Витамины"/>
    <s v="NLI-00437"/>
    <x v="158"/>
    <x v="1095"/>
    <n v="9.2899999999999991"/>
    <n v="-1.86"/>
    <n v="-0.49624596959926298"/>
    <n v="1.7685465522206087E-15"/>
    <n v="0.34319700545690901"/>
    <n v="737.12843013274153"/>
    <n v="2000"/>
    <x v="188"/>
    <s v="&lt;Клиент не выбран&gt;"/>
    <s v="2024 04"/>
    <n v="1262.8715698672586"/>
    <n v="1.7132313966507053"/>
  </r>
  <r>
    <s v="523959170"/>
    <s v="720000131191"/>
    <s v="iHerb_VP DFD1605"/>
    <s v="Доставлен"/>
    <d v="2024-02-14T00:00:00"/>
    <x v="20"/>
    <s v="Витамины"/>
    <s v="FOA-01478"/>
    <x v="171"/>
    <x v="988"/>
    <n v="12.53"/>
    <n v="-2.5099999999999998"/>
    <n v="-0.6692307692307693"/>
    <n v="2.3850385536003368E-15"/>
    <n v="0.46283095486920983"/>
    <n v="994.08167832167862"/>
    <n v="1600"/>
    <x v="390"/>
    <s v="Татьяна Бригантина"/>
    <s v="2025 07"/>
    <n v="605.91832167832138"/>
    <n v="0.60952569078760344"/>
  </r>
  <r>
    <s v="523959170"/>
    <s v="720000131191"/>
    <s v="iHerb_VP DFD1605"/>
    <s v="Доставлен"/>
    <d v="2024-02-14T00:00:00"/>
    <x v="20"/>
    <s v="Витамины"/>
    <s v="NOW-04726"/>
    <x v="3"/>
    <x v="48"/>
    <n v="18.59"/>
    <n v="-2.605"/>
    <n v="-1.0676301243666515"/>
    <n v="3.8048743791717945E-15"/>
    <n v="0.73835856422997215"/>
    <n v="1585.8678271429173"/>
    <n v="2500"/>
    <x v="440"/>
    <s v="&lt;Клиент не выбран&gt;"/>
    <s v="2024 08"/>
    <n v="914.13217285708265"/>
    <n v="0.57642393471338238"/>
  </r>
  <r>
    <s v="523959170"/>
    <s v="720000131191"/>
    <s v="iHerb_VP DFD1605"/>
    <s v="Доставлен"/>
    <d v="2024-02-14T00:00:00"/>
    <x v="20"/>
    <s v="Витамины"/>
    <s v="NOW-04726"/>
    <x v="3"/>
    <x v="48"/>
    <n v="18.59"/>
    <n v="-2.605"/>
    <n v="-1.0676301243666515"/>
    <n v="3.8048743791717945E-15"/>
    <n v="0.73835856422997215"/>
    <n v="1585.8678271429173"/>
    <n v="2400"/>
    <x v="470"/>
    <s v="&lt;Клиент не выбран&gt;"/>
    <s v="2024 09"/>
    <n v="814.13217285708265"/>
    <n v="0.51336697732484715"/>
  </r>
  <r>
    <s v="523959170"/>
    <s v="720000131191"/>
    <s v="iHerb_VP DFD1605"/>
    <s v="Доставлен"/>
    <d v="2024-02-14T00:00:00"/>
    <x v="20"/>
    <s v="Витамины"/>
    <s v="MBE-01506"/>
    <x v="46"/>
    <x v="1096"/>
    <n v="13.2"/>
    <n v="-6.6"/>
    <n v="-0.44081068631966847"/>
    <n v="1.5709834784193834E-15"/>
    <n v="0.30485871278810228"/>
    <n v="654.78433901427934"/>
    <m/>
    <x v="20"/>
    <m/>
    <s v=""/>
    <n v="-654.78433901427934"/>
    <s v=""/>
  </r>
  <r>
    <s v="523959170"/>
    <s v="720000131191"/>
    <s v="iHerb_VP DFD1605"/>
    <s v="Доставлен"/>
    <d v="2024-02-14T00:00:00"/>
    <x v="20"/>
    <s v="Витамины"/>
    <s v="NOW-02632"/>
    <x v="3"/>
    <x v="1011"/>
    <n v="20.63"/>
    <n v="-2.89"/>
    <n v="-1.1848456932289269"/>
    <n v="4.2226131677514944E-15"/>
    <n v="0.81942326740317184"/>
    <n v="1759.9809354717142"/>
    <n v="2600"/>
    <x v="551"/>
    <s v="&lt;Клиент не выбран&gt;"/>
    <s v="2024 12"/>
    <n v="840.01906452828575"/>
    <n v="0.47728872943907308"/>
  </r>
  <r>
    <s v="523959170"/>
    <s v="720000131191"/>
    <s v="iHerb_VP DFD1605"/>
    <s v="Доставлен"/>
    <d v="2024-02-14T00:00:00"/>
    <x v="20"/>
    <s v="Витамины"/>
    <s v="CEN-27387"/>
    <x v="2"/>
    <x v="23"/>
    <n v="28.34"/>
    <n v="-3.97"/>
    <n v="-1.6276600644864121"/>
    <n v="5.8007374801636935E-15"/>
    <n v="1.1256677016130383"/>
    <n v="2417.7415669360589"/>
    <n v="3400"/>
    <x v="591"/>
    <s v="&lt;Клиент не выбран&gt;"/>
    <s v="2024 04"/>
    <n v="982.25843306394108"/>
    <n v="0.4062710615960215"/>
  </r>
  <r>
    <s v="523959170"/>
    <s v="720000131191"/>
    <s v="iHerb_VP DFD1605"/>
    <s v="Доставлен"/>
    <d v="2024-02-14T00:00:00"/>
    <x v="20"/>
    <s v="Витамины"/>
    <s v="CGN-01598"/>
    <x v="1"/>
    <x v="909"/>
    <n v="27.95"/>
    <n v="-8.39"/>
    <n v="-1.3064025794564718"/>
    <n v="4.6558237633156275E-15"/>
    <n v="0.90349036699019403"/>
    <n v="1940.5426774423186"/>
    <n v="3300"/>
    <x v="592"/>
    <s v="&lt;Клиент не выбран&gt;"/>
    <s v="2024 06"/>
    <n v="1359.4573225576814"/>
    <n v="0.70055523043145773"/>
  </r>
  <r>
    <s v="00224"/>
    <n v="0"/>
    <s v="KingMass"/>
    <s v="Доставлен"/>
    <d v="2024-02-22T00:00:00"/>
    <x v="20"/>
    <s v="Спортпит"/>
    <s v="000001752"/>
    <x v="118"/>
    <x v="1097"/>
    <n v="2735"/>
    <n v="0"/>
    <n v="0"/>
    <n v="0"/>
    <n v="69.127170311464539"/>
    <n v="2804.1271703114644"/>
    <n v="3900"/>
    <x v="318"/>
    <s v="&lt;Клиент не выбран&gt;"/>
    <s v="2024 02"/>
    <n v="1095.8728296885356"/>
    <n v="0.3908071079268538"/>
  </r>
  <r>
    <s v="00224"/>
    <n v="0"/>
    <s v="KingMass"/>
    <s v="Доставлен"/>
    <d v="2024-02-22T00:00:00"/>
    <x v="20"/>
    <s v="Спортпит"/>
    <s v="XXXXXX001"/>
    <x v="118"/>
    <x v="1098"/>
    <n v="2735"/>
    <n v="0"/>
    <n v="0"/>
    <n v="0"/>
    <n v="69.127170311464539"/>
    <n v="2804.1271703114644"/>
    <n v="3600"/>
    <x v="418"/>
    <s v="&lt;Клиент не выбран&gt;"/>
    <s v="2024 03"/>
    <n v="795.8728296885356"/>
    <n v="0.28382194577863429"/>
  </r>
  <r>
    <s v="00224"/>
    <n v="0"/>
    <s v="KingMass"/>
    <s v="Доставлен"/>
    <d v="2024-02-22T00:00:00"/>
    <x v="20"/>
    <s v="Спортпит"/>
    <s v="000004854"/>
    <x v="243"/>
    <x v="1099"/>
    <n v="1990"/>
    <n v="0"/>
    <n v="0"/>
    <n v="0"/>
    <n v="50.297282968853544"/>
    <n v="2040.2972829688536"/>
    <n v="2500"/>
    <x v="502"/>
    <s v="&lt;Клиент не выбран&gt;"/>
    <s v="2024 07"/>
    <n v="459.70271703114645"/>
    <n v="0.22531163515653424"/>
  </r>
  <r>
    <s v="00224"/>
    <n v="0"/>
    <s v="KingMass"/>
    <s v="Доставлен"/>
    <d v="2024-02-22T00:00:00"/>
    <x v="20"/>
    <s v="Спортпит"/>
    <s v="000002285"/>
    <x v="118"/>
    <x v="1100"/>
    <n v="1860"/>
    <n v="0"/>
    <n v="0"/>
    <n v="0"/>
    <n v="47.011530815109346"/>
    <n v="1907.0115308151094"/>
    <n v="2600"/>
    <x v="580"/>
    <s v="&lt;Клиент не выбран&gt;"/>
    <s v="2024 07"/>
    <n v="692.98846918489062"/>
    <n v="0.36338976350535657"/>
  </r>
  <r>
    <s v="00224"/>
    <n v="0"/>
    <s v="KingMass"/>
    <s v="Доставлен"/>
    <d v="2024-02-22T00:00:00"/>
    <x v="20"/>
    <s v="Спортпит"/>
    <s v="000002285"/>
    <x v="118"/>
    <x v="1100"/>
    <n v="1860"/>
    <n v="0"/>
    <n v="0"/>
    <n v="0"/>
    <n v="47.011530815109346"/>
    <n v="1907.0115308151094"/>
    <n v="2600"/>
    <x v="419"/>
    <s v="&lt;Клиент не выбран&gt;"/>
    <s v="2024 10"/>
    <n v="692.98846918489062"/>
    <n v="0.36338976350535657"/>
  </r>
  <r>
    <s v="00224"/>
    <n v="0"/>
    <s v="KingMass"/>
    <s v="Доставлен"/>
    <d v="2024-02-22T00:00:00"/>
    <x v="20"/>
    <s v="Витамины"/>
    <s v="000001108"/>
    <x v="118"/>
    <x v="1101"/>
    <n v="1340"/>
    <n v="0"/>
    <n v="0"/>
    <n v="0"/>
    <n v="33.868522200132531"/>
    <n v="1373.8685222001325"/>
    <n v="2200"/>
    <x v="593"/>
    <s v="&lt;Клиент не выбран&gt;"/>
    <s v="2024 03"/>
    <n v="826.13147779986753"/>
    <n v="0.60131771304934545"/>
  </r>
  <r>
    <s v="00224"/>
    <n v="0"/>
    <s v="KingMass"/>
    <s v="Доставлен"/>
    <d v="2024-02-22T00:00:00"/>
    <x v="20"/>
    <s v="Спортпит"/>
    <s v="000000993"/>
    <x v="118"/>
    <x v="1102"/>
    <n v="1720"/>
    <n v="0"/>
    <n v="0"/>
    <n v="0"/>
    <n v="43.47302849569251"/>
    <n v="1763.4730284956925"/>
    <n v="2200"/>
    <x v="501"/>
    <s v="&lt;Клиент не выбран&gt;"/>
    <s v="2024 06"/>
    <n v="436.52697150430754"/>
    <n v="0.24753821830588538"/>
  </r>
  <r>
    <s v="00224"/>
    <n v="0"/>
    <s v="KingMass"/>
    <s v="Доставлен"/>
    <d v="2024-02-22T00:00:00"/>
    <x v="20"/>
    <s v="Спортпит"/>
    <s v="000001802"/>
    <x v="34"/>
    <x v="1103"/>
    <n v="850"/>
    <n v="0"/>
    <n v="0"/>
    <n v="0"/>
    <n v="21.483764082173625"/>
    <n v="871.48376408217359"/>
    <n v="1700"/>
    <x v="352"/>
    <s v="&lt;Клиент не выбран&gt;"/>
    <s v="2024 10"/>
    <n v="828.51623591782641"/>
    <n v="0.9506961231692026"/>
  </r>
  <r>
    <s v="00203"/>
    <n v="0"/>
    <s v="KingMass"/>
    <s v="Доставлен"/>
    <d v="2024-02-22T00:00:00"/>
    <x v="20"/>
    <s v="Витамины"/>
    <s v="000001369"/>
    <x v="19"/>
    <x v="1104"/>
    <n v="1370"/>
    <n v="0"/>
    <n v="0"/>
    <n v="0"/>
    <n v="32.402207615031621"/>
    <n v="1402.4022076150316"/>
    <n v="1800"/>
    <x v="467"/>
    <s v="&lt;Клиент не выбран&gt;"/>
    <s v="2024 03"/>
    <n v="397.59779238496844"/>
    <n v="0.28351195557595099"/>
  </r>
  <r>
    <s v="00203"/>
    <n v="0"/>
    <s v="KingMass"/>
    <s v="Доставлен"/>
    <d v="2024-02-22T00:00:00"/>
    <x v="20"/>
    <s v="Спортпит"/>
    <s v="000004736"/>
    <x v="96"/>
    <x v="1105"/>
    <n v="2890"/>
    <n v="0"/>
    <n v="0"/>
    <n v="0"/>
    <n v="68.352102195212694"/>
    <n v="2958.3521021952129"/>
    <n v="3800"/>
    <x v="326"/>
    <s v="&lt;Клиент не выбран&gt;"/>
    <s v="2024 04"/>
    <n v="841.64789780478714"/>
    <n v="0.28449889287358715"/>
  </r>
  <r>
    <s v="00203"/>
    <n v="0"/>
    <s v="KingMass"/>
    <s v="Доставлен"/>
    <d v="2024-02-22T00:00:00"/>
    <x v="20"/>
    <s v="Спортпит"/>
    <s v="000002098"/>
    <x v="144"/>
    <x v="1106"/>
    <n v="1410"/>
    <n v="0"/>
    <n v="0"/>
    <n v="0"/>
    <n v="33.348257472404811"/>
    <n v="1443.3482574724048"/>
    <n v="2400"/>
    <x v="592"/>
    <s v="&lt;Клиент не выбран&gt;"/>
    <s v="2024 06"/>
    <n v="956.65174252759516"/>
    <n v="0.66280035852392694"/>
  </r>
  <r>
    <s v="00203"/>
    <n v="0"/>
    <s v="KingMass"/>
    <s v="Доставлен"/>
    <d v="2024-02-22T00:00:00"/>
    <x v="20"/>
    <s v="Спортпит"/>
    <s v="000004759"/>
    <x v="244"/>
    <x v="1107"/>
    <n v="1890"/>
    <n v="0"/>
    <n v="0"/>
    <n v="0"/>
    <n v="44.700855760883044"/>
    <n v="1934.7008557608831"/>
    <m/>
    <x v="20"/>
    <m/>
    <s v=""/>
    <n v="-1934.7008557608831"/>
    <s v=""/>
  </r>
  <r>
    <s v="00203"/>
    <n v="0"/>
    <s v="KingMass"/>
    <s v="Доставлен"/>
    <d v="2024-02-22T00:00:00"/>
    <x v="20"/>
    <s v="Спортпит"/>
    <s v="000004760"/>
    <x v="244"/>
    <x v="1108"/>
    <n v="1890"/>
    <n v="0"/>
    <n v="0"/>
    <n v="0"/>
    <n v="44.700855760883044"/>
    <n v="1934.7008557608831"/>
    <n v="3000"/>
    <x v="591"/>
    <s v="&lt;Клиент не выбран&gt;"/>
    <s v="2024 04"/>
    <n v="1065.2991442391169"/>
    <n v="0.5506273184647732"/>
  </r>
  <r>
    <s v="00203"/>
    <n v="0"/>
    <s v="KingMass"/>
    <s v="Доставлен"/>
    <d v="2024-02-22T00:00:00"/>
    <x v="20"/>
    <s v="Витамины"/>
    <s v="000003037"/>
    <x v="3"/>
    <x v="1109"/>
    <n v="954"/>
    <n v="0"/>
    <n v="0"/>
    <n v="0"/>
    <n v="22.563289098350488"/>
    <n v="976.56328909835054"/>
    <n v="1700"/>
    <x v="476"/>
    <s v="&lt;Клиент не выбран&gt;"/>
    <s v="2024 03"/>
    <n v="723.43671090164946"/>
    <n v="0.74079859337083021"/>
  </r>
  <r>
    <s v="00203"/>
    <n v="0"/>
    <s v="KingMass"/>
    <s v="Доставлен"/>
    <d v="2024-02-22T00:00:00"/>
    <x v="20"/>
    <s v="Витамины"/>
    <s v="000003037"/>
    <x v="3"/>
    <x v="1109"/>
    <n v="954"/>
    <n v="0"/>
    <n v="0"/>
    <n v="0"/>
    <n v="22.563289098350488"/>
    <n v="976.56328909835054"/>
    <n v="1700"/>
    <x v="518"/>
    <s v="&lt;Клиент не выбран&gt;"/>
    <s v="2024 04"/>
    <n v="723.43671090164946"/>
    <n v="0.74079859337083021"/>
  </r>
  <r>
    <s v="00203"/>
    <n v="0"/>
    <s v="KingMass"/>
    <s v="Доставлен"/>
    <d v="2024-02-22T00:00:00"/>
    <x v="20"/>
    <s v="Витамины"/>
    <s v="NOW-01480"/>
    <x v="3"/>
    <x v="165"/>
    <n v="544"/>
    <n v="0"/>
    <n v="0"/>
    <n v="0"/>
    <n v="12.866278060275331"/>
    <n v="556.86627806027536"/>
    <n v="1200"/>
    <x v="312"/>
    <s v="&lt;Клиент не выбран&gt;"/>
    <s v="2024 07"/>
    <n v="643.13372193972464"/>
    <n v="1.1549159058076626"/>
  </r>
  <r>
    <s v="00203"/>
    <n v="0"/>
    <s v="KingMass"/>
    <s v="Доставлен"/>
    <d v="2024-02-22T00:00:00"/>
    <x v="20"/>
    <s v="Витамины"/>
    <s v="NOW-01480"/>
    <x v="3"/>
    <x v="165"/>
    <n v="544"/>
    <n v="0"/>
    <n v="0"/>
    <n v="0"/>
    <n v="12.866278060275331"/>
    <n v="556.86627806027536"/>
    <m/>
    <x v="20"/>
    <m/>
    <s v=""/>
    <n v="-556.86627806027536"/>
    <s v=""/>
  </r>
  <r>
    <s v="00203"/>
    <n v="0"/>
    <s v="KingMass"/>
    <s v="Доставлен"/>
    <d v="2024-02-22T00:00:00"/>
    <x v="20"/>
    <s v="Витамины"/>
    <s v="000002982"/>
    <x v="3"/>
    <x v="1110"/>
    <n v="1840"/>
    <n v="0"/>
    <n v="0"/>
    <n v="0"/>
    <n v="43.518293439166563"/>
    <n v="1883.5182934391667"/>
    <n v="3000"/>
    <x v="478"/>
    <s v="&lt;Клиент не выбран&gt;"/>
    <s v="2024 03"/>
    <n v="1116.4817065608333"/>
    <n v="0.59276393037957675"/>
  </r>
  <r>
    <s v="00203"/>
    <n v="0"/>
    <s v="KingMass"/>
    <s v="Доставлен"/>
    <d v="2024-02-22T00:00:00"/>
    <x v="20"/>
    <s v="Витамины"/>
    <s v="000002982"/>
    <x v="3"/>
    <x v="1110"/>
    <n v="1840"/>
    <n v="0"/>
    <n v="0"/>
    <n v="0"/>
    <n v="43.518293439166563"/>
    <n v="1883.5182934391667"/>
    <n v="2900"/>
    <x v="326"/>
    <s v="&lt;Клиент не выбран&gt;"/>
    <s v="2024 04"/>
    <n v="1016.4817065608333"/>
    <n v="0.53967179936692422"/>
  </r>
  <r>
    <s v="OZO0052"/>
    <n v="0"/>
    <s v="OZON_OA"/>
    <s v="Доставлен"/>
    <d v="2024-01-29T00:00:00"/>
    <x v="19"/>
    <s v="Витамины"/>
    <s v="701059656"/>
    <x v="245"/>
    <x v="1111"/>
    <n v="630"/>
    <n v="0"/>
    <n v="0"/>
    <n v="0"/>
    <n v="0"/>
    <n v="630"/>
    <m/>
    <x v="20"/>
    <m/>
    <s v=""/>
    <n v="-630"/>
    <s v=""/>
  </r>
  <r>
    <s v="OZO0053"/>
    <n v="0"/>
    <s v="OZON_OA"/>
    <s v="Доставлен"/>
    <d v="2024-02-05T00:00:00"/>
    <x v="20"/>
    <s v="Спортпит"/>
    <s v="095246917"/>
    <x v="104"/>
    <x v="852"/>
    <n v="1248"/>
    <n v="0"/>
    <n v="0"/>
    <n v="0"/>
    <n v="0"/>
    <n v="1248"/>
    <n v="3000"/>
    <x v="518"/>
    <s v="&lt;Клиент не выбран&gt;"/>
    <s v="2024 04"/>
    <n v="1752"/>
    <n v="1.4038461538461537"/>
  </r>
  <r>
    <s v="OZO0057"/>
    <n v="0"/>
    <s v="OZON_OA"/>
    <s v="Доставлен"/>
    <d v="2024-02-16T00:00:00"/>
    <x v="20"/>
    <s v="Спортпит"/>
    <s v="OPN-05223"/>
    <x v="178"/>
    <x v="697"/>
    <n v="2335"/>
    <n v="0"/>
    <n v="0"/>
    <n v="0"/>
    <n v="0"/>
    <n v="2335"/>
    <n v="4000"/>
    <x v="456"/>
    <s v="&lt;Клиент не выбран&gt;"/>
    <s v="2024 02"/>
    <n v="1665"/>
    <n v="0.71306209850107072"/>
  </r>
  <r>
    <s v="OZO0057"/>
    <n v="0"/>
    <s v="OZON_OA"/>
    <s v="Доставлен"/>
    <d v="2024-02-16T00:00:00"/>
    <x v="20"/>
    <s v="Спортпит"/>
    <s v="OPN-05223"/>
    <x v="178"/>
    <x v="697"/>
    <n v="2335"/>
    <n v="0"/>
    <n v="0"/>
    <n v="0"/>
    <n v="0"/>
    <n v="2335"/>
    <n v="4000"/>
    <x v="483"/>
    <s v="&lt;Клиент не выбран&gt;"/>
    <s v="2024 03"/>
    <n v="1665"/>
    <n v="0.71306209850107072"/>
  </r>
  <r>
    <s v="712382953"/>
    <n v="0"/>
    <s v="CoralClub_AV"/>
    <s v="Доставлен"/>
    <d v="2024-02-19T00:00:00"/>
    <x v="20"/>
    <s v="Витамины"/>
    <s v="000002125"/>
    <x v="79"/>
    <x v="226"/>
    <n v="1260"/>
    <n v="0"/>
    <n v="0"/>
    <n v="15"/>
    <n v="0"/>
    <n v="1275"/>
    <n v="1600"/>
    <x v="147"/>
    <s v="&lt;Клиент не выбран&gt;"/>
    <s v="2024 02"/>
    <n v="325"/>
    <n v="0.25490196078431371"/>
  </r>
  <r>
    <s v="712382953"/>
    <n v="0"/>
    <s v="CoralClub_AV"/>
    <s v="Доставлен"/>
    <d v="2024-02-19T00:00:00"/>
    <x v="20"/>
    <s v="Витамины"/>
    <s v="000002153"/>
    <x v="79"/>
    <x v="232"/>
    <n v="1260"/>
    <n v="0"/>
    <n v="0"/>
    <n v="15"/>
    <n v="0"/>
    <n v="1275"/>
    <n v="1600"/>
    <x v="456"/>
    <s v="&lt;Клиент не выбран&gt;"/>
    <s v="2024 02"/>
    <n v="325"/>
    <n v="0.25490196078431371"/>
  </r>
  <r>
    <s v="712382953"/>
    <n v="0"/>
    <s v="CoralClub_AV"/>
    <s v="Доставлен"/>
    <d v="2024-02-19T00:00:00"/>
    <x v="20"/>
    <s v="Витамины"/>
    <s v="000002153"/>
    <x v="79"/>
    <x v="232"/>
    <n v="1260"/>
    <n v="0"/>
    <n v="0"/>
    <n v="15"/>
    <n v="0"/>
    <n v="1275"/>
    <n v="1600"/>
    <x v="266"/>
    <s v="&lt;Клиент не выбран&gt;"/>
    <s v="2024 03"/>
    <n v="325"/>
    <n v="0.25490196078431371"/>
  </r>
  <r>
    <s v="712382953"/>
    <n v="0"/>
    <s v="CoralClub_AV"/>
    <s v="Доставлен"/>
    <d v="2024-02-19T00:00:00"/>
    <x v="20"/>
    <s v="Витамины"/>
    <s v="000002153"/>
    <x v="79"/>
    <x v="232"/>
    <n v="1260"/>
    <n v="0"/>
    <n v="0"/>
    <n v="15"/>
    <n v="0"/>
    <n v="1275"/>
    <n v="1550"/>
    <x v="418"/>
    <s v="&lt;Клиент не выбран&gt;"/>
    <s v="2024 03"/>
    <n v="275"/>
    <n v="0.21568627450980393"/>
  </r>
  <r>
    <s v="712382953"/>
    <n v="0"/>
    <s v="CoralClub_AV"/>
    <s v="Доставлен"/>
    <d v="2024-02-19T00:00:00"/>
    <x v="20"/>
    <s v="Витамины"/>
    <s v="000002153"/>
    <x v="79"/>
    <x v="232"/>
    <n v="1260"/>
    <n v="0"/>
    <n v="0"/>
    <n v="15"/>
    <n v="0"/>
    <n v="1275"/>
    <n v="1550"/>
    <x v="418"/>
    <s v="&lt;Клиент не выбран&gt;"/>
    <s v="2024 03"/>
    <n v="275"/>
    <n v="0.21568627450980393"/>
  </r>
  <r>
    <s v="4495056614"/>
    <s v="1495071944"/>
    <s v="essens_OA"/>
    <s v="Доставлен"/>
    <d v="2024-02-17T00:00:00"/>
    <x v="20"/>
    <s v="Парфюм"/>
    <s v="w10250"/>
    <x v="232"/>
    <x v="998"/>
    <n v="1451.6"/>
    <m/>
    <n v="0"/>
    <n v="-241.44545853967043"/>
    <n v="54.355403986676393"/>
    <n v="1264.509945447006"/>
    <n v="2100"/>
    <x v="419"/>
    <s v="&lt;Клиент не выбран&gt;"/>
    <s v="2024 10"/>
    <n v="835.49005455299402"/>
    <n v="0.66072240678000138"/>
  </r>
  <r>
    <s v="4495056614"/>
    <s v="1495071944"/>
    <s v="essens_OA"/>
    <s v="Доставлен"/>
    <d v="2024-02-17T00:00:00"/>
    <x v="20"/>
    <s v="Парфюм"/>
    <s v="w11750"/>
    <x v="232"/>
    <x v="1112"/>
    <n v="1451.6"/>
    <m/>
    <n v="0"/>
    <n v="-241.44545853967043"/>
    <n v="54.355403986676393"/>
    <n v="1264.509945447006"/>
    <n v="2200"/>
    <x v="436"/>
    <s v="&lt;Клиент не выбран&gt;"/>
    <s v="2024 10"/>
    <n v="935.49005455299402"/>
    <n v="0.73980442615047759"/>
  </r>
  <r>
    <s v="4495056614"/>
    <s v="1495071944"/>
    <s v="essens_OA"/>
    <s v="Доставлен"/>
    <d v="2024-02-17T00:00:00"/>
    <x v="20"/>
    <s v="Парфюм"/>
    <s v="w11850"/>
    <x v="232"/>
    <x v="1059"/>
    <n v="1451.6"/>
    <m/>
    <n v="0"/>
    <n v="-241.44545853967043"/>
    <n v="54.355403986676393"/>
    <n v="1264.509945447006"/>
    <n v="2200"/>
    <x v="594"/>
    <s v="&lt;Клиент не выбран&gt;"/>
    <s v="2024 04"/>
    <n v="935.49005455299402"/>
    <n v="0.73980442615047759"/>
  </r>
  <r>
    <s v="4495056614"/>
    <s v="1495071944"/>
    <s v="essens_OA"/>
    <s v="Доставлен"/>
    <d v="2024-02-17T00:00:00"/>
    <x v="20"/>
    <s v="Парфюм"/>
    <s v="w15350"/>
    <x v="232"/>
    <x v="1063"/>
    <n v="1451.6"/>
    <m/>
    <n v="0"/>
    <n v="-241.44545853967043"/>
    <n v="54.355403986676393"/>
    <n v="1264.509945447006"/>
    <n v="2200"/>
    <x v="436"/>
    <s v="&lt;Клиент не выбран&gt;"/>
    <s v="2024 10"/>
    <n v="935.49005455299402"/>
    <n v="0.73980442615047759"/>
  </r>
  <r>
    <s v="4495056614"/>
    <s v="1495071944"/>
    <s v="essens_OA"/>
    <s v="Доставлен"/>
    <d v="2024-02-17T00:00:00"/>
    <x v="20"/>
    <s v="Парфюм"/>
    <s v="m04350"/>
    <x v="232"/>
    <x v="1065"/>
    <n v="1648.9"/>
    <m/>
    <n v="0"/>
    <n v="-274.26248042578027"/>
    <n v="61.743335377260067"/>
    <n v="1436.3808549514799"/>
    <m/>
    <x v="20"/>
    <m/>
    <s v=""/>
    <n v="-1436.3808549514799"/>
    <s v=""/>
  </r>
  <r>
    <s v="4495056614"/>
    <s v="1495071944"/>
    <s v="essens_OA"/>
    <s v="Доставлен"/>
    <d v="2024-02-17T00:00:00"/>
    <x v="20"/>
    <s v="Парфюм"/>
    <s v="m04450"/>
    <x v="232"/>
    <x v="1113"/>
    <n v="1648.9"/>
    <m/>
    <n v="0"/>
    <n v="-274.26248042578027"/>
    <n v="61.743335377260067"/>
    <n v="1436.3808549514799"/>
    <m/>
    <x v="20"/>
    <m/>
    <s v=""/>
    <n v="-1436.3808549514799"/>
    <s v=""/>
  </r>
  <r>
    <s v="4495056614"/>
    <s v="1495071944"/>
    <s v="essens_OA"/>
    <s v="Доставлен"/>
    <d v="2024-02-17T00:00:00"/>
    <x v="20"/>
    <s v="Парфюм"/>
    <s v="w19050"/>
    <x v="232"/>
    <x v="1069"/>
    <n v="1648.9"/>
    <m/>
    <n v="0"/>
    <n v="-274.26248042578027"/>
    <n v="61.743335377260067"/>
    <n v="1436.3808549514799"/>
    <n v="1436.38"/>
    <x v="475"/>
    <s v="&lt;Клиент не выбран&gt;"/>
    <s v="2024 02"/>
    <n v="-8.549514798232849E-4"/>
    <n v="-5.9521224950618308E-7"/>
  </r>
  <r>
    <s v="4495056614"/>
    <s v="1495071944"/>
    <s v="essens_OA"/>
    <s v="Доставлен"/>
    <d v="2024-02-17T00:00:00"/>
    <x v="20"/>
    <s v="Парфюм"/>
    <s v="w19050"/>
    <x v="232"/>
    <x v="1069"/>
    <n v="1648.9"/>
    <m/>
    <n v="0"/>
    <n v="-274.26248042578027"/>
    <n v="61.743335377260067"/>
    <n v="1436.3808549514799"/>
    <m/>
    <x v="20"/>
    <m/>
    <s v=""/>
    <n v="-1436.3808549514799"/>
    <s v=""/>
  </r>
  <r>
    <s v="4495056614"/>
    <s v="1495071944"/>
    <s v="essens_OA"/>
    <s v="Доставлен"/>
    <d v="2024-02-17T00:00:00"/>
    <x v="20"/>
    <s v="Парфюм"/>
    <s v="w19250"/>
    <x v="232"/>
    <x v="1114"/>
    <n v="1648.9"/>
    <m/>
    <n v="0"/>
    <n v="-274.26248042578027"/>
    <n v="61.743335377260067"/>
    <n v="1436.3808549514799"/>
    <m/>
    <x v="20"/>
    <m/>
    <s v=""/>
    <n v="-1436.3808549514799"/>
    <s v=""/>
  </r>
  <r>
    <s v="4495056614"/>
    <s v="1495071944"/>
    <s v="essens_OA"/>
    <s v="Доставлен"/>
    <d v="2024-02-17T00:00:00"/>
    <x v="20"/>
    <s v="Парфюм"/>
    <s v="w19250"/>
    <x v="232"/>
    <x v="1114"/>
    <n v="1648.9"/>
    <m/>
    <n v="0"/>
    <n v="-274.26248042578027"/>
    <n v="61.743335377260067"/>
    <n v="1436.3808549514799"/>
    <m/>
    <x v="20"/>
    <m/>
    <s v=""/>
    <n v="-1436.3808549514799"/>
    <s v=""/>
  </r>
  <r>
    <s v="4495056614"/>
    <s v="1495071944"/>
    <s v="essens_OA"/>
    <s v="Доставлен"/>
    <d v="2024-02-17T00:00:00"/>
    <x v="20"/>
    <s v="Парфюм"/>
    <s v="w18501"/>
    <x v="232"/>
    <x v="1115"/>
    <n v="37.590000000000003"/>
    <m/>
    <n v="0"/>
    <n v="-6.2523662072927886"/>
    <n v="1.4075638163813489"/>
    <n v="32.745197609088564"/>
    <m/>
    <x v="20"/>
    <m/>
    <s v=""/>
    <n v="-32.745197609088564"/>
    <s v=""/>
  </r>
  <r>
    <s v="4495056614"/>
    <s v="1495071944"/>
    <s v="essens_OA"/>
    <s v="Доставлен"/>
    <d v="2024-02-17T00:00:00"/>
    <x v="20"/>
    <s v="Парфюм"/>
    <s v="w16250"/>
    <x v="232"/>
    <x v="1051"/>
    <n v="1451.6"/>
    <m/>
    <n v="0"/>
    <n v="-241.44545853967043"/>
    <n v="54.355403986676393"/>
    <n v="1264.509945447006"/>
    <m/>
    <x v="20"/>
    <m/>
    <s v=""/>
    <n v="-1264.509945447006"/>
    <s v=""/>
  </r>
  <r>
    <s v="4495056614"/>
    <s v="1495071944"/>
    <s v="essens_OA"/>
    <s v="Доставлен"/>
    <d v="2024-02-17T00:00:00"/>
    <x v="20"/>
    <s v="Парфюм"/>
    <s v="w16250"/>
    <x v="232"/>
    <x v="1051"/>
    <n v="1451.6"/>
    <m/>
    <n v="0"/>
    <n v="-241.44545853967043"/>
    <n v="54.355403986676393"/>
    <n v="1264.509945447006"/>
    <m/>
    <x v="20"/>
    <m/>
    <s v=""/>
    <n v="-1264.509945447006"/>
    <s v=""/>
  </r>
  <r>
    <s v="4495047653"/>
    <s v="1495060911"/>
    <s v="essens_OA"/>
    <s v="Доставлен"/>
    <d v="2024-02-11T00:00:00"/>
    <x v="20"/>
    <s v="Парфюм"/>
    <s v="w12450"/>
    <x v="232"/>
    <x v="1116"/>
    <n v="1353.16"/>
    <m/>
    <n v="0"/>
    <n v="-163.0755817594659"/>
    <n v="43.385268137846026"/>
    <n v="1233.4696863783802"/>
    <m/>
    <x v="20"/>
    <m/>
    <s v=""/>
    <n v="-1233.4696863783802"/>
    <s v=""/>
  </r>
  <r>
    <s v="4495047653"/>
    <s v="1495060911"/>
    <s v="essens_OA"/>
    <s v="Доставлен"/>
    <d v="2024-02-11T00:00:00"/>
    <x v="20"/>
    <s v="Парфюм"/>
    <s v="m02950"/>
    <x v="232"/>
    <x v="1117"/>
    <n v="1353.16"/>
    <m/>
    <n v="0"/>
    <n v="-163.0755817594659"/>
    <n v="43.385268137846026"/>
    <n v="1233.4696863783802"/>
    <m/>
    <x v="20"/>
    <m/>
    <s v=""/>
    <n v="-1233.4696863783802"/>
    <s v=""/>
  </r>
  <r>
    <s v="4495047653"/>
    <s v="1495060911"/>
    <s v="essens_OA"/>
    <s v="Доставлен"/>
    <d v="2024-02-11T00:00:00"/>
    <x v="20"/>
    <s v="Парфюм"/>
    <s v="w16650"/>
    <x v="232"/>
    <x v="1118"/>
    <n v="1353.16"/>
    <m/>
    <n v="0"/>
    <n v="-163.0755817594659"/>
    <n v="43.385268137846026"/>
    <n v="1233.4696863783802"/>
    <n v="2200"/>
    <x v="546"/>
    <s v="&lt;Клиент не выбран&gt;"/>
    <s v="2024 10"/>
    <n v="966.53031362161983"/>
    <n v="0.78358659665116914"/>
  </r>
  <r>
    <s v="4495047653"/>
    <s v="1495060911"/>
    <s v="essens_OA"/>
    <s v="Доставлен"/>
    <d v="2024-02-11T00:00:00"/>
    <x v="20"/>
    <s v="Парфюм"/>
    <s v="w18250"/>
    <x v="232"/>
    <x v="1045"/>
    <n v="1353.16"/>
    <m/>
    <n v="0"/>
    <n v="-163.0755817594659"/>
    <n v="43.385268137846026"/>
    <n v="1233.4696863783802"/>
    <n v="2200"/>
    <x v="546"/>
    <s v="&lt;Клиент не выбран&gt;"/>
    <s v="2024 10"/>
    <n v="966.53031362161983"/>
    <n v="0.78358659665116914"/>
  </r>
  <r>
    <s v="4495047653"/>
    <s v="1495060911"/>
    <s v="essens_OA"/>
    <s v="Доставлен"/>
    <d v="2024-02-11T00:00:00"/>
    <x v="20"/>
    <s v="Парфюм"/>
    <s v="w18250"/>
    <x v="232"/>
    <x v="1045"/>
    <n v="1353.16"/>
    <m/>
    <n v="0"/>
    <n v="-163.0755817594659"/>
    <n v="43.385268137846026"/>
    <n v="1233.4696863783802"/>
    <n v="1233.47"/>
    <x v="20"/>
    <m/>
    <s v=""/>
    <n v="3.1362161985271086E-4"/>
    <n v="2.5425968981332875E-7"/>
  </r>
  <r>
    <s v="4495047653"/>
    <s v="1495060911"/>
    <s v="essens_OA"/>
    <s v="Доставлен"/>
    <d v="2024-02-11T00:00:00"/>
    <x v="20"/>
    <s v="Парфюм"/>
    <s v="m90150"/>
    <x v="232"/>
    <x v="1119"/>
    <n v="1353.16"/>
    <m/>
    <n v="0"/>
    <n v="-163.0755817594659"/>
    <n v="43.385268137846026"/>
    <n v="1233.4696863783802"/>
    <n v="2200"/>
    <x v="575"/>
    <s v="&lt;Клиент не выбран&gt;"/>
    <s v="2024 10"/>
    <n v="966.53031362161983"/>
    <n v="0.78358659665116914"/>
  </r>
  <r>
    <s v="4495047653"/>
    <s v="1495060911"/>
    <s v="essens_OA"/>
    <s v="Доставлен"/>
    <d v="2024-02-11T00:00:00"/>
    <x v="20"/>
    <s v="Парфюм"/>
    <s v="w18450"/>
    <x v="232"/>
    <x v="1066"/>
    <n v="1537.09"/>
    <m/>
    <n v="0"/>
    <n v="-185.24183833889373"/>
    <n v="49.282466080878649"/>
    <n v="1401.1306277419849"/>
    <n v="2550"/>
    <x v="509"/>
    <s v="&lt;Клиент не выбран&gt;"/>
    <s v="2024 10"/>
    <n v="1148.8693722580151"/>
    <n v="0.81995878864591976"/>
  </r>
  <r>
    <s v="4495047653"/>
    <s v="1495060911"/>
    <s v="essens_OA"/>
    <s v="Доставлен"/>
    <d v="2024-02-11T00:00:00"/>
    <x v="20"/>
    <s v="Парфюм"/>
    <s v="w18750"/>
    <x v="232"/>
    <x v="1120"/>
    <n v="1537.09"/>
    <m/>
    <n v="0"/>
    <n v="-185.24183833889373"/>
    <n v="49.282466080878649"/>
    <n v="1401.1306277419849"/>
    <n v="2500"/>
    <x v="546"/>
    <s v="&lt;Клиент не выбран&gt;"/>
    <s v="2024 10"/>
    <n v="1098.8693722580151"/>
    <n v="0.78427332220188217"/>
  </r>
  <r>
    <s v="4495047653"/>
    <s v="1495060911"/>
    <s v="essens_OA"/>
    <s v="Доставлен"/>
    <d v="2024-02-11T00:00:00"/>
    <x v="20"/>
    <s v="Парфюм"/>
    <s v="w18701"/>
    <x v="232"/>
    <x v="1121"/>
    <n v="35.04"/>
    <m/>
    <n v="0"/>
    <n v="-4.2228327654170128"/>
    <n v="1.123459011166547"/>
    <n v="31.940626245749531"/>
    <m/>
    <x v="20"/>
    <m/>
    <s v=""/>
    <n v="-31.940626245749531"/>
    <s v=""/>
  </r>
  <r>
    <s v="4495068394"/>
    <s v="1495086818"/>
    <s v="essens_AV"/>
    <s v="Доставлен"/>
    <d v="2024-02-25T00:00:00"/>
    <x v="20"/>
    <s v="Парфюм"/>
    <s v="m00750"/>
    <x v="232"/>
    <x v="1122"/>
    <n v="1260"/>
    <m/>
    <n v="0"/>
    <n v="-210"/>
    <n v="85.166666666666671"/>
    <n v="1135.1666666666667"/>
    <n v="1135.17"/>
    <x v="20"/>
    <m/>
    <s v=""/>
    <n v="3.3333333333303017E-3"/>
    <n v="2.9364263691061237E-6"/>
  </r>
  <r>
    <s v="4495068394"/>
    <s v="1495086818"/>
    <s v="essens_AV"/>
    <s v="Доставлен"/>
    <d v="2024-02-25T00:00:00"/>
    <x v="20"/>
    <s v="Парфюм"/>
    <s v="m00850"/>
    <x v="232"/>
    <x v="1001"/>
    <n v="1260"/>
    <m/>
    <n v="0"/>
    <n v="-210"/>
    <n v="85.166666666666671"/>
    <n v="1135.1666666666667"/>
    <m/>
    <x v="20"/>
    <m/>
    <s v=""/>
    <n v="-1135.1666666666667"/>
    <s v=""/>
  </r>
  <r>
    <s v="4495068394"/>
    <s v="1495086818"/>
    <s v="essens_AV"/>
    <s v="Доставлен"/>
    <d v="2024-02-25T00:00:00"/>
    <x v="20"/>
    <s v="Парфюм"/>
    <s v="w13050"/>
    <x v="232"/>
    <x v="1046"/>
    <n v="1260"/>
    <m/>
    <n v="0"/>
    <n v="-210"/>
    <n v="85.166666666666671"/>
    <n v="1135.1666666666667"/>
    <n v="2200"/>
    <x v="546"/>
    <s v="&lt;Клиент не выбран&gt;"/>
    <s v="2024 10"/>
    <n v="1064.8333333333333"/>
    <n v="0.93804140361180433"/>
  </r>
  <r>
    <s v="4495068394"/>
    <s v="1495086818"/>
    <s v="essens_AV"/>
    <s v="Доставлен"/>
    <d v="2024-02-25T00:00:00"/>
    <x v="20"/>
    <s v="Парфюм"/>
    <s v="w14450"/>
    <x v="232"/>
    <x v="1123"/>
    <n v="1260"/>
    <m/>
    <n v="0"/>
    <n v="-210"/>
    <n v="85.166666666666671"/>
    <n v="1135.1666666666667"/>
    <m/>
    <x v="20"/>
    <m/>
    <s v=""/>
    <n v="-1135.1666666666667"/>
    <s v=""/>
  </r>
  <r>
    <s v="4495068394"/>
    <s v="1495086818"/>
    <s v="essens_AV"/>
    <s v="Доставлен"/>
    <d v="2024-02-25T00:00:00"/>
    <x v="20"/>
    <s v="Парфюм"/>
    <s v="w15650"/>
    <x v="232"/>
    <x v="1124"/>
    <n v="1260"/>
    <m/>
    <n v="0"/>
    <n v="-210"/>
    <n v="85.166666666666671"/>
    <n v="1135.1666666666667"/>
    <m/>
    <x v="20"/>
    <m/>
    <s v=""/>
    <n v="-1135.1666666666667"/>
    <s v=""/>
  </r>
  <r>
    <s v="4495068394"/>
    <s v="1495086818"/>
    <s v="essens_AV"/>
    <s v="Доставлен"/>
    <d v="2024-02-25T00:00:00"/>
    <x v="20"/>
    <s v="Парфюм"/>
    <s v="m02550"/>
    <x v="232"/>
    <x v="1125"/>
    <n v="1260"/>
    <m/>
    <n v="0"/>
    <n v="-210"/>
    <n v="85.166666666666671"/>
    <n v="1135.1666666666667"/>
    <n v="2200"/>
    <x v="557"/>
    <s v="&lt;Клиент не выбран&gt;"/>
    <s v="2024 03"/>
    <n v="1064.8333333333333"/>
    <n v="0.93804140361180433"/>
  </r>
  <r>
    <s v="524043017"/>
    <s v="720000136447"/>
    <s v="iHerb_AV CYG0792"/>
    <s v="Доставлен"/>
    <d v="2024-02-18T00:00:00"/>
    <x v="20"/>
    <s v="Витамины"/>
    <s v="SOL-01735"/>
    <x v="19"/>
    <x v="644"/>
    <n v="13.9"/>
    <n v="-0.69499999999999995"/>
    <n v="-0.57881327439138286"/>
    <n v="-2.3367702697745154E-15"/>
    <n v="0.90308164612091113"/>
    <n v="1376.3028615901874"/>
    <n v="1800"/>
    <x v="483"/>
    <s v="&lt;Клиент не выбран&gt;"/>
    <s v="2024 03"/>
    <n v="423.69713840981262"/>
    <n v="0.30785167293793952"/>
  </r>
  <r>
    <s v="524043017"/>
    <s v="720000136447"/>
    <s v="iHerb_AV CYG0792"/>
    <s v="Доставлен"/>
    <d v="2024-02-18T00:00:00"/>
    <x v="20"/>
    <s v="Витамины"/>
    <s v="SOL-01735"/>
    <x v="19"/>
    <x v="644"/>
    <n v="13.9"/>
    <n v="-0.69499999999999995"/>
    <n v="-0.57881327439138286"/>
    <n v="-2.3367702697745154E-15"/>
    <n v="0.90308164612091113"/>
    <n v="1376.3028615901874"/>
    <n v="1800"/>
    <x v="483"/>
    <s v="&lt;Клиент не выбран&gt;"/>
    <s v="2024 03"/>
    <n v="423.69713840981262"/>
    <n v="0.30785167293793952"/>
  </r>
  <r>
    <s v="524043017"/>
    <s v="720000136447"/>
    <s v="iHerb_AV CYG0792"/>
    <s v="Доставлен"/>
    <d v="2024-02-18T00:00:00"/>
    <x v="20"/>
    <s v="Витамины"/>
    <s v="NCS-67339"/>
    <x v="217"/>
    <x v="1126"/>
    <n v="21.51"/>
    <n v="-4.3"/>
    <n v="-0.75436398729842469"/>
    <n v="-3.045499155079092E-15"/>
    <n v="1.17698107760249"/>
    <n v="1793.7275462299979"/>
    <m/>
    <x v="20"/>
    <m/>
    <s v=""/>
    <n v="-1793.7275462299979"/>
    <s v=""/>
  </r>
  <r>
    <s v="524043017"/>
    <s v="720000136447"/>
    <s v="iHerb_AV CYG0792"/>
    <s v="Доставлен"/>
    <d v="2024-02-18T00:00:00"/>
    <x v="20"/>
    <s v="Витамины"/>
    <s v="NBC-01000"/>
    <x v="8"/>
    <x v="609"/>
    <n v="13.66"/>
    <n v="-1.37"/>
    <n v="-0.53870618267853798"/>
    <n v="-2.1748509364277768E-15"/>
    <n v="0.84050537151276017"/>
    <n v="1280.9361733391443"/>
    <n v="2000"/>
    <x v="499"/>
    <s v="&lt;Клиент не выбран&gt;"/>
    <s v="2024 05"/>
    <n v="719.06382666085574"/>
    <n v="0.56135804548824653"/>
  </r>
  <r>
    <s v="524043017"/>
    <s v="720000136447"/>
    <s v="iHerb_AV CYG0792"/>
    <s v="Доставлен"/>
    <d v="2024-02-18T00:00:00"/>
    <x v="20"/>
    <s v="Витамины"/>
    <s v="SOL-02058"/>
    <x v="19"/>
    <x v="1024"/>
    <n v="38.81"/>
    <n v="-1.94"/>
    <n v="-1.6161185480356144"/>
    <n v="-6.5245528092833311E-15"/>
    <n v="2.5215161145382807"/>
    <n v="3842.8085200174332"/>
    <n v="4600"/>
    <x v="357"/>
    <s v="&lt;Клиент не выбран&gt;"/>
    <s v="2024 03"/>
    <n v="757.19147998256676"/>
    <n v="0.19704116820765549"/>
  </r>
  <r>
    <s v="524043017"/>
    <s v="720000136447"/>
    <s v="iHerb_AV CYG0792"/>
    <s v="Доставлен"/>
    <d v="2024-02-18T00:00:00"/>
    <x v="20"/>
    <s v="Витамины"/>
    <s v="NBC-00450"/>
    <x v="8"/>
    <x v="19"/>
    <n v="13.72"/>
    <n v="-1.37"/>
    <n v="-0.54133615590560991"/>
    <n v="-2.1854685976308419E-15"/>
    <n v="0.84460873378214729"/>
    <n v="1287.1897266670817"/>
    <n v="2000"/>
    <x v="483"/>
    <s v="&lt;Клиент не выбран&gt;"/>
    <s v="2024 03"/>
    <n v="712.81027333291831"/>
    <n v="0.55377250032797953"/>
  </r>
  <r>
    <s v="524043017"/>
    <s v="720000136447"/>
    <s v="iHerb_AV CYG0792"/>
    <s v="Доставлен"/>
    <d v="2024-02-18T00:00:00"/>
    <x v="20"/>
    <s v="Косметика"/>
    <s v="JAS-10029"/>
    <x v="187"/>
    <x v="1127"/>
    <n v="15.43"/>
    <n v="-3.09"/>
    <n v="-0.54089782703443112"/>
    <n v="-2.1836989874303307E-15"/>
    <n v="0.84392484007058266"/>
    <n v="1286.147467779092"/>
    <m/>
    <x v="20"/>
    <m/>
    <s v=""/>
    <n v="-1286.147467779092"/>
    <s v=""/>
  </r>
  <r>
    <s v="524043017"/>
    <s v="720000136447"/>
    <s v="iHerb_AV CYG0792"/>
    <s v="Доставлен"/>
    <d v="2024-02-18T00:00:00"/>
    <x v="20"/>
    <s v="Косметика"/>
    <s v="MHL-05089"/>
    <x v="246"/>
    <x v="1128"/>
    <n v="14.19"/>
    <n v="-2.84"/>
    <n v="-0.49750326878774664"/>
    <n v="-2.0085075775797613E-15"/>
    <n v="0.77621936262569791"/>
    <n v="1182.9638378681277"/>
    <m/>
    <x v="20"/>
    <m/>
    <s v=""/>
    <n v="-1182.9638378681277"/>
    <s v=""/>
  </r>
  <r>
    <s v="524043017"/>
    <s v="720000136447"/>
    <s v="iHerb_AV CYG0792"/>
    <s v="Доставлен"/>
    <d v="2024-02-18T00:00:00"/>
    <x v="20"/>
    <s v="Витамины"/>
    <s v="PAR-77797"/>
    <x v="44"/>
    <x v="1129"/>
    <n v="12.88"/>
    <n v="-2.58"/>
    <n v="-0.45147873731399035"/>
    <n v="-1.8226985065261272E-15"/>
    <n v="0.70441052291142647"/>
    <n v="1073.526654629226"/>
    <n v="1700"/>
    <x v="442"/>
    <s v="&lt;Клиент не выбран&gt;"/>
    <s v="2024 11"/>
    <n v="626.47334537077404"/>
    <n v="0.58356571089252096"/>
  </r>
  <r>
    <s v="524043017"/>
    <s v="720000136447"/>
    <s v="iHerb_AV CYG0792"/>
    <s v="Доставлен"/>
    <d v="2024-02-18T00:00:00"/>
    <x v="20"/>
    <s v="Витамины"/>
    <s v="SOL-03280"/>
    <x v="19"/>
    <x v="1130"/>
    <n v="18.25"/>
    <n v="-0.91"/>
    <n v="-0.76006226262374688"/>
    <n v="-3.0685040876857323E-15"/>
    <n v="1.1858716958528284"/>
    <n v="1807.2769117738617"/>
    <n v="2400"/>
    <x v="437"/>
    <s v="&lt;Клиент не выбран&gt;"/>
    <s v="2024 10"/>
    <n v="592.72308822613832"/>
    <n v="0.32796473211422494"/>
  </r>
  <r>
    <s v="524043017"/>
    <s v="720000136447"/>
    <s v="iHerb_AV CYG0792"/>
    <s v="Доставлен"/>
    <d v="2024-02-18T00:00:00"/>
    <x v="20"/>
    <s v="Витамины"/>
    <s v="FCD-02894"/>
    <x v="207"/>
    <x v="1131"/>
    <n v="11.56"/>
    <n v="-7.41"/>
    <n v="-0.18190648153913205"/>
    <n v="-7.3438823321198327E-16"/>
    <n v="0.28381589029926402"/>
    <n v="432.53743851565895"/>
    <n v="1500"/>
    <x v="581"/>
    <s v="&lt;Клиент не выбран&gt;"/>
    <s v="2025 03"/>
    <n v="1067.462561484341"/>
    <n v="2.4679078998284125"/>
  </r>
  <r>
    <s v="524258687"/>
    <s v="720000150257"/>
    <s v="iHerb_AV CYG0792"/>
    <s v="Доставлен"/>
    <d v="2024-02-28T00:00:00"/>
    <x v="20"/>
    <s v="Витамины"/>
    <s v="LEX-22073"/>
    <x v="7"/>
    <x v="1132"/>
    <n v="24.83"/>
    <n v="-4.97"/>
    <n v="-1.6356933602315584"/>
    <n v="-2.4754633334261184E-15"/>
    <n v="0.95329868308328303"/>
    <n v="2002.323836505569"/>
    <m/>
    <x v="20"/>
    <m/>
    <s v=""/>
    <n v="-2002.323836505569"/>
    <s v=""/>
  </r>
  <r>
    <s v="524258687"/>
    <s v="720000150257"/>
    <s v="iHerb_AV CYG0792"/>
    <s v="Доставлен"/>
    <d v="2024-02-28T00:00:00"/>
    <x v="20"/>
    <s v="Витамины"/>
    <s v="EVL-24071"/>
    <x v="125"/>
    <x v="1133"/>
    <n v="28.13"/>
    <n v="-5.63"/>
    <n v="-1.8531269186913426"/>
    <n v="-2.8045279457244542E-15"/>
    <n v="1.0800211666351394"/>
    <n v="2268.493772476098"/>
    <n v="3200"/>
    <x v="595"/>
    <s v="&lt;Клиент не выбран&gt;"/>
    <s v="2025 04"/>
    <n v="931.506227523902"/>
    <n v="0.41062763267238234"/>
  </r>
  <r>
    <s v="524258687"/>
    <s v="720000150257"/>
    <s v="iHerb_AV CYG0792"/>
    <s v="Доставлен"/>
    <d v="2024-02-28T00:00:00"/>
    <x v="20"/>
    <s v="Витамины"/>
    <s v="SNS-01819"/>
    <x v="151"/>
    <x v="774"/>
    <n v="11.15"/>
    <n v="-2.23"/>
    <n v="-0.73466187176563458"/>
    <n v="-1.1118395233716503E-15"/>
    <n v="0.42816839139490864"/>
    <n v="899.33175335496867"/>
    <n v="899.33"/>
    <x v="596"/>
    <s v="&lt;Клиент не выбран&gt;"/>
    <s v="2024 02"/>
    <n v="-1.7533549686277183E-3"/>
    <n v="-1.9496197727777377E-6"/>
  </r>
  <r>
    <s v="524258687"/>
    <s v="720000150257"/>
    <s v="iHerb_AV CYG0792"/>
    <s v="Доставлен"/>
    <d v="2024-02-28T00:00:00"/>
    <x v="20"/>
    <s v="Витамины"/>
    <s v="SNS-01819"/>
    <x v="151"/>
    <x v="774"/>
    <n v="11.15"/>
    <n v="-2.23"/>
    <n v="-0.73466187176563458"/>
    <n v="-1.1118395233716503E-15"/>
    <n v="0.42816839139490864"/>
    <n v="899.33175335496867"/>
    <n v="1700"/>
    <x v="510"/>
    <s v="&lt;Клиент не выбран&gt;"/>
    <s v="2024 05"/>
    <n v="800.66824664503133"/>
    <n v="0.89029242396716024"/>
  </r>
  <r>
    <s v="524258687"/>
    <s v="720000150257"/>
    <s v="iHerb_AV CYG0792"/>
    <s v="Доставлен"/>
    <d v="2024-02-28T00:00:00"/>
    <x v="20"/>
    <s v="Витамины"/>
    <s v="NCS-67068"/>
    <x v="217"/>
    <x v="1134"/>
    <n v="16.22"/>
    <n v="-3.24"/>
    <n v="-1.069048329093939"/>
    <n v="-1.6179010104668182E-15"/>
    <n v="0.62305221079662709"/>
    <n v="1308.6688518551002"/>
    <n v="2200"/>
    <x v="188"/>
    <s v="&lt;Клиент не выбран&gt;"/>
    <s v="2024 04"/>
    <n v="891.33114814489977"/>
    <n v="0.68109754953011648"/>
  </r>
  <r>
    <s v="524258687"/>
    <s v="720000150257"/>
    <s v="iHerb_AV CYG0792"/>
    <s v="Доставлен"/>
    <d v="2024-02-28T00:00:00"/>
    <x v="20"/>
    <s v="Витамины"/>
    <s v="NOW-01662"/>
    <x v="3"/>
    <x v="122"/>
    <n v="36.799999999999997"/>
    <n v="-7.36"/>
    <n v="-2.4247136216121388"/>
    <n v="-3.6695690098723524E-15"/>
    <n v="1.4131476953661557"/>
    <n v="2968.1980738531702"/>
    <n v="4100"/>
    <x v="533"/>
    <s v="&lt;Клиент не выбран&gt;"/>
    <s v="2024 06"/>
    <n v="1131.8019261468298"/>
    <n v="0.38130943353035052"/>
  </r>
  <r>
    <s v="524258687"/>
    <s v="720000150257"/>
    <s v="iHerb_AV CYG0792"/>
    <s v="Доставлен"/>
    <d v="2024-02-28T00:00:00"/>
    <x v="20"/>
    <s v="Витамины"/>
    <s v="FOA-66103"/>
    <x v="171"/>
    <x v="1135"/>
    <n v="14.24"/>
    <n v="-2.85"/>
    <n v="-0.93809402683975085"/>
    <n v="-1.4197143689689572E-15"/>
    <n v="0.54673071502107728"/>
    <n v="1148.3619586001225"/>
    <n v="2000"/>
    <x v="597"/>
    <m/>
    <s v="2025 07"/>
    <n v="851.63804139987747"/>
    <n v="0.74161115754656504"/>
  </r>
  <r>
    <s v="524258687"/>
    <s v="720000150257"/>
    <s v="iHerb_AV CYG0792"/>
    <s v="Доставлен"/>
    <d v="2024-02-28T00:00:00"/>
    <x v="20"/>
    <s v="Витамины"/>
    <s v="FOA-66103"/>
    <x v="171"/>
    <x v="1135"/>
    <n v="14.24"/>
    <n v="-2.85"/>
    <n v="-0.93809402683975085"/>
    <n v="-1.4197143689689572E-15"/>
    <n v="0.54673071502107728"/>
    <n v="1148.3619586001225"/>
    <n v="2000"/>
    <x v="252"/>
    <m/>
    <s v="2025 09"/>
    <n v="851.63804139987747"/>
    <n v="0.74161115754656504"/>
  </r>
  <r>
    <s v="524258687"/>
    <s v="720000150257"/>
    <s v="iHerb_AV CYG0792"/>
    <s v="Доставлен"/>
    <d v="2024-02-28T00:00:00"/>
    <x v="20"/>
    <s v="Витамины"/>
    <s v="NOW-01661"/>
    <x v="3"/>
    <x v="1136"/>
    <n v="19.86"/>
    <n v="-3.97"/>
    <n v="-1.3087194105780193"/>
    <n v="-1.9806199581138476E-15"/>
    <n v="0.76273494834810518"/>
    <n v="1602.0607130953422"/>
    <n v="2300"/>
    <x v="393"/>
    <s v="&lt;Клиент не выбран&gt;"/>
    <s v="2024 06"/>
    <n v="697.93928690465782"/>
    <n v="0.43565095954208194"/>
  </r>
  <r>
    <s v="524258687"/>
    <s v="720000150257"/>
    <s v="iHerb_AV CYG0792"/>
    <s v="Доставлен"/>
    <d v="2024-02-28T00:00:00"/>
    <x v="20"/>
    <s v="Витамины"/>
    <s v="NOW-01661"/>
    <x v="3"/>
    <x v="1136"/>
    <n v="19.86"/>
    <n v="-3.97"/>
    <n v="-1.3087194105780193"/>
    <n v="-1.9806199581138476E-15"/>
    <n v="0.76273494834810518"/>
    <n v="1602.0607130953422"/>
    <n v="2400"/>
    <x v="393"/>
    <s v="&lt;Клиент не выбран&gt;"/>
    <s v="2024 06"/>
    <n v="797.93928690465782"/>
    <n v="0.49807056647869419"/>
  </r>
  <r>
    <s v="524258687"/>
    <s v="720000150257"/>
    <s v="iHerb_AV CYG0792"/>
    <s v="Доставлен"/>
    <d v="2024-02-28T00:00:00"/>
    <x v="20"/>
    <s v="Спортпит"/>
    <s v="NOW-00011"/>
    <x v="3"/>
    <x v="1137"/>
    <n v="13.97"/>
    <n v="-2.79"/>
    <n v="-0.92079817559863164"/>
    <n v="-1.3935387748088621E-15"/>
    <n v="0.53665051746581593"/>
    <n v="1127.1893500570122"/>
    <n v="1900"/>
    <x v="598"/>
    <m/>
    <s v="2025 12"/>
    <n v="772.81064994298777"/>
    <n v="0.68560854474352484"/>
  </r>
  <r>
    <s v="524258687"/>
    <s v="720000150257"/>
    <s v="iHerb_AV CYG0792"/>
    <s v="Доставлен"/>
    <d v="2024-02-28T00:00:00"/>
    <x v="20"/>
    <s v="Витамины"/>
    <s v="SLM-01316"/>
    <x v="164"/>
    <x v="1138"/>
    <n v="31.91"/>
    <n v="-9.57"/>
    <n v="-1.8399491272695376"/>
    <n v="-2.7845846358881914E-15"/>
    <n v="1.0723410161168452"/>
    <n v="2252.3622612051568"/>
    <n v="2252.36"/>
    <x v="596"/>
    <s v="&lt;Клиент не выбран&gt;"/>
    <s v="2024 02"/>
    <n v="-2.2612051566284208E-3"/>
    <n v="-1.003926053803855E-6"/>
  </r>
  <r>
    <s v="524258687"/>
    <s v="720000150257"/>
    <s v="iHerb_AV CYG0792"/>
    <s v="Доставлен"/>
    <d v="2024-02-28T00:00:00"/>
    <x v="20"/>
    <s v="Витамины"/>
    <s v="SLM-01315"/>
    <x v="164"/>
    <x v="1139"/>
    <n v="31.91"/>
    <n v="-9.57"/>
    <n v="-1.8399491272695376"/>
    <n v="-2.7845846358881914E-15"/>
    <n v="1.0723410161168452"/>
    <n v="2252.3622612051568"/>
    <n v="2252.36"/>
    <x v="596"/>
    <s v="&lt;Клиент не выбран&gt;"/>
    <s v="2024 02"/>
    <n v="-2.2612051566284208E-3"/>
    <n v="-1.003926053803855E-6"/>
  </r>
  <r>
    <s v="524258687"/>
    <s v="720000150257"/>
    <s v="iHerb_AV CYG0792"/>
    <s v="Доставлен"/>
    <d v="2024-02-28T00:00:00"/>
    <x v="20"/>
    <s v="Витамины"/>
    <s v="SMO-45805"/>
    <x v="247"/>
    <x v="1140"/>
    <n v="29.93"/>
    <n v="-14.95"/>
    <n v="-1.2337707218665028"/>
    <n v="-1.8671923834201035E-15"/>
    <n v="0.71905409227530626"/>
    <n v="1510.3127427418647"/>
    <n v="3500"/>
    <x v="599"/>
    <s v="&lt;Клиент не выбран&gt;"/>
    <s v="2024 08"/>
    <n v="1989.6872572581353"/>
    <n v="1.3174008276232911"/>
  </r>
  <r>
    <s v="524169464"/>
    <s v="720000144380"/>
    <s v="iHerb_OA CZN6870"/>
    <s v="Доставлен"/>
    <d v="2024-02-24T00:00:00"/>
    <x v="20"/>
    <s v="Витамины"/>
    <s v="NOW-01480"/>
    <x v="3"/>
    <x v="165"/>
    <n v="6.17"/>
    <n v="-0.62"/>
    <n v="-0.64005868880618388"/>
    <n v="-7.526504787610565E-16"/>
    <n v="0.29466398338018962"/>
    <n v="534.52315344975648"/>
    <n v="1200"/>
    <x v="312"/>
    <s v="&lt;Клиент не выбран&gt;"/>
    <s v="2024 07"/>
    <n v="665.47684655024352"/>
    <n v="1.2449916196432758"/>
  </r>
  <r>
    <s v="524169464"/>
    <s v="720000144380"/>
    <s v="iHerb_OA CZN6870"/>
    <s v="Доставлен"/>
    <d v="2024-02-24T00:00:00"/>
    <x v="20"/>
    <s v="Витамины"/>
    <s v="CGN-01597"/>
    <x v="1"/>
    <x v="910"/>
    <n v="20.8"/>
    <n v="-6.24"/>
    <n v="-1.6791449565798264"/>
    <n v="-1.9745208956326099E-15"/>
    <n v="0.77302839603883977"/>
    <n v="1402.2805611222443"/>
    <n v="2300"/>
    <x v="393"/>
    <s v="&lt;Клиент не выбран&gt;"/>
    <s v="2024 06"/>
    <n v="897.71943887775569"/>
    <n v="0.6401853265079217"/>
  </r>
  <r>
    <s v="524169464"/>
    <s v="720000144380"/>
    <s v="iHerb_OA CZN6870"/>
    <s v="Доставлен"/>
    <d v="2024-02-24T00:00:00"/>
    <x v="20"/>
    <s v="Витамины"/>
    <s v="CGN-01598"/>
    <x v="1"/>
    <x v="909"/>
    <n v="27.95"/>
    <n v="-8.39"/>
    <n v="-2.2557744059547664"/>
    <n v="-2.6525843900119396E-15"/>
    <n v="1.0384914441291007"/>
    <n v="1883.8329516175202"/>
    <n v="3300"/>
    <x v="600"/>
    <s v="&lt;Клиент не выбран&gt;"/>
    <s v="2024 10"/>
    <n v="1416.1670483824798"/>
    <n v="0.75174767867103753"/>
  </r>
  <r>
    <s v="524169464"/>
    <s v="720000144380"/>
    <s v="iHerb_OA CZN6870"/>
    <s v="Доставлен"/>
    <d v="2024-02-24T00:00:00"/>
    <x v="20"/>
    <s v="Витамины"/>
    <s v="NOW-02313"/>
    <x v="3"/>
    <x v="87"/>
    <n v="21.41"/>
    <n v="-2.1420000000000003"/>
    <n v="-2.2220992461112705"/>
    <n v="-2.6129854819401871E-15"/>
    <n v="1.0229884021206295"/>
    <n v="1855.7102920125963"/>
    <n v="3000"/>
    <x v="315"/>
    <s v="&lt;Клиент не выбран&gt;"/>
    <s v="2024 04"/>
    <n v="1144.2897079874037"/>
    <n v="0.61663165468914505"/>
  </r>
  <r>
    <s v="524169464"/>
    <s v="720000144380"/>
    <s v="iHerb_OA CZN6870"/>
    <s v="Доставлен"/>
    <d v="2024-02-24T00:00:00"/>
    <x v="20"/>
    <s v="Витамины"/>
    <s v="NOW-02313"/>
    <x v="3"/>
    <x v="87"/>
    <n v="21.41"/>
    <n v="-2.1420000000000003"/>
    <n v="-2.2220992461112705"/>
    <n v="-2.6129854819401871E-15"/>
    <n v="1.0229884021206295"/>
    <n v="1855.7102920125963"/>
    <n v="3000"/>
    <x v="518"/>
    <s v="&lt;Клиент не выбран&gt;"/>
    <s v="2024 04"/>
    <n v="1144.2897079874037"/>
    <n v="0.61663165468914505"/>
  </r>
  <r>
    <s v="524169464"/>
    <s v="720000144380"/>
    <s v="iHerb_OA CZN6870"/>
    <s v="Доставлен"/>
    <d v="2024-02-24T00:00:00"/>
    <x v="20"/>
    <s v="Витамины"/>
    <s v="NOW-02313"/>
    <x v="3"/>
    <x v="87"/>
    <n v="21.41"/>
    <n v="-2.1420000000000003"/>
    <n v="-2.2220992461112705"/>
    <n v="-2.6129854819401871E-15"/>
    <n v="1.0229884021206295"/>
    <n v="1855.7102920125963"/>
    <n v="2900"/>
    <x v="393"/>
    <s v="&lt;Клиент не выбран&gt;"/>
    <s v="2024 06"/>
    <n v="1044.2897079874037"/>
    <n v="0.56274393286617352"/>
  </r>
  <r>
    <s v="524169464"/>
    <s v="720000144380"/>
    <s v="iHerb_OA CZN6870"/>
    <s v="Доставлен"/>
    <d v="2024-02-24T00:00:00"/>
    <x v="20"/>
    <s v="Витамины"/>
    <s v="NOW-02313"/>
    <x v="3"/>
    <x v="87"/>
    <n v="21.41"/>
    <n v="-2.1420000000000003"/>
    <n v="-2.2220992461112705"/>
    <n v="-2.6129854819401871E-15"/>
    <n v="1.0229884021206295"/>
    <n v="1855.7102920125963"/>
    <n v="2900"/>
    <x v="547"/>
    <s v="&lt;Клиент не выбран&gt;"/>
    <s v="2024 07"/>
    <n v="1044.2897079874037"/>
    <n v="0.56274393286617352"/>
  </r>
  <r>
    <s v="524169464"/>
    <s v="720000144380"/>
    <s v="iHerb_OA CZN6870"/>
    <s v="Доставлен"/>
    <d v="2024-02-24T00:00:00"/>
    <x v="20"/>
    <s v="Витамины"/>
    <s v="NOW-02313"/>
    <x v="3"/>
    <x v="87"/>
    <n v="21.41"/>
    <n v="-2.1420000000000003"/>
    <n v="-2.2220992461112705"/>
    <n v="-2.6129854819401871E-15"/>
    <n v="1.0229884021206295"/>
    <n v="1855.7102920125963"/>
    <n v="2900"/>
    <x v="601"/>
    <s v="&lt;Клиент не выбран&gt;"/>
    <s v="2024 07"/>
    <n v="1044.2897079874037"/>
    <n v="0.56274393286617352"/>
  </r>
  <r>
    <s v="524169464"/>
    <s v="720000144380"/>
    <s v="iHerb_OA CZN6870"/>
    <s v="Доставлен"/>
    <d v="2024-02-24T00:00:00"/>
    <x v="20"/>
    <s v="Витамины"/>
    <s v="PAR-77869"/>
    <x v="44"/>
    <x v="1141"/>
    <n v="18.91"/>
    <n v="-3.78"/>
    <n v="-1.7448807138085696"/>
    <n v="-2.0518201339918534E-15"/>
    <n v="0.80329118352112949"/>
    <n v="1457.1775336387059"/>
    <n v="2500"/>
    <x v="602"/>
    <s v="&lt;Клиент не выбран&gt;"/>
    <s v="2024 08"/>
    <n v="1042.8224663612941"/>
    <n v="0.71564544627398341"/>
  </r>
  <r>
    <s v="524169464"/>
    <s v="720000144380"/>
    <s v="iHerb_OA CZN6870"/>
    <s v="Доставлен"/>
    <d v="2024-02-24T00:00:00"/>
    <x v="20"/>
    <s v="Витамины"/>
    <s v="FBS-50070"/>
    <x v="20"/>
    <x v="880"/>
    <n v="15.86"/>
    <n v="-1.585"/>
    <n v="-1.6462770779654545"/>
    <n v="-1.9358712764529877E-15"/>
    <n v="0.75789700229769474"/>
    <n v="1374.8320748640135"/>
    <n v="2300"/>
    <x v="560"/>
    <s v="&lt;Клиент не выбран&gt;"/>
    <s v="2024 04"/>
    <n v="925.16792513598648"/>
    <n v="0.67293158346447224"/>
  </r>
  <r>
    <s v="524169464"/>
    <s v="720000144380"/>
    <s v="iHerb_OA CZN6870"/>
    <s v="Доставлен"/>
    <d v="2024-02-24T00:00:00"/>
    <x v="20"/>
    <s v="Витамины"/>
    <s v="FBS-50070"/>
    <x v="20"/>
    <x v="880"/>
    <n v="15.86"/>
    <n v="-1.585"/>
    <n v="-1.6462770779654545"/>
    <n v="-1.9358712764529877E-15"/>
    <n v="0.75789700229769474"/>
    <n v="1374.8320748640135"/>
    <n v="2300"/>
    <x v="524"/>
    <s v="&lt;Клиент не выбран&gt;"/>
    <s v="2024 12"/>
    <n v="925.16792513598648"/>
    <n v="0.67293158346447224"/>
  </r>
  <r>
    <s v="524169464"/>
    <s v="720000144380"/>
    <s v="iHerb_OA CZN6870"/>
    <s v="Доставлен"/>
    <d v="2024-02-24T00:00:00"/>
    <x v="20"/>
    <s v="Витамины"/>
    <s v="DRB-00133"/>
    <x v="6"/>
    <x v="621"/>
    <n v="18.45"/>
    <n v="-1.85"/>
    <n v="-1.9144097719248019"/>
    <n v="-2.2511708013393759E-15"/>
    <n v="0.881337319659666"/>
    <n v="1598.7539364443169"/>
    <n v="2300"/>
    <x v="393"/>
    <s v="&lt;Клиент не выбран&gt;"/>
    <s v="2024 06"/>
    <n v="701.24606355568312"/>
    <n v="0.4386203827683941"/>
  </r>
  <r>
    <s v="524169464"/>
    <s v="720000144380"/>
    <s v="iHerb_OA CZN6870"/>
    <s v="Доставлен"/>
    <d v="2024-02-24T00:00:00"/>
    <x v="20"/>
    <s v="Витамины"/>
    <s v="FOA-66053"/>
    <x v="171"/>
    <x v="1142"/>
    <n v="12.5"/>
    <n v="-7.51"/>
    <n v="-0.57547619047619047"/>
    <n v="-6.7670736739057157E-16"/>
    <n v="0.26493212199408039"/>
    <n v="480.58928571428567"/>
    <n v="1800"/>
    <x v="565"/>
    <s v="&lt;Клиент не выбран&gt;"/>
    <s v="2025 06"/>
    <n v="1319.4107142857142"/>
    <n v="2.7454018504068669"/>
  </r>
  <r>
    <s v="524169464"/>
    <s v="720000144380"/>
    <s v="iHerb_OA CZN6870"/>
    <s v="Доставлен"/>
    <d v="2024-02-24T00:00:00"/>
    <x v="20"/>
    <s v="Витамины"/>
    <s v="NOW-04700"/>
    <x v="3"/>
    <x v="1143"/>
    <n v="9.2200000000000006"/>
    <n v="-0.92"/>
    <n v="-0.95720488596240105"/>
    <n v="-1.1255854006696883E-15"/>
    <n v="0.44066865982983305"/>
    <n v="799.37696822215855"/>
    <n v="1700"/>
    <x v="315"/>
    <s v="&lt;Клиент не выбран&gt;"/>
    <s v="2024 04"/>
    <n v="900.62303177784145"/>
    <n v="1.1266562180054518"/>
  </r>
  <r>
    <s v="OZO0059"/>
    <n v="0"/>
    <s v="OZON_OA"/>
    <s v="Доставлен"/>
    <d v="2024-02-20T00:00:00"/>
    <x v="20"/>
    <s v="Спортпит"/>
    <s v="626943002"/>
    <x v="108"/>
    <x v="521"/>
    <n v="556"/>
    <n v="0"/>
    <n v="0"/>
    <n v="0"/>
    <n v="0"/>
    <n v="556"/>
    <n v="1700"/>
    <x v="350"/>
    <s v="&lt;Клиент не выбран&gt;"/>
    <s v="2024 03"/>
    <n v="1144"/>
    <n v="2.0575539568345325"/>
  </r>
  <r>
    <s v="OZO0059"/>
    <n v="0"/>
    <s v="OZON_OA"/>
    <s v="Доставлен"/>
    <d v="2024-02-20T00:00:00"/>
    <x v="20"/>
    <s v="Спортпит"/>
    <s v="626943002"/>
    <x v="108"/>
    <x v="521"/>
    <n v="556"/>
    <n v="0"/>
    <n v="0"/>
    <n v="0"/>
    <n v="0"/>
    <n v="556"/>
    <n v="1700"/>
    <x v="486"/>
    <s v="&lt;Клиент не выбран&gt;"/>
    <s v="2024 07"/>
    <n v="1144"/>
    <n v="2.0575539568345325"/>
  </r>
  <r>
    <s v="OZO0059"/>
    <n v="0"/>
    <s v="OZON_OA"/>
    <s v="Доставлен"/>
    <d v="2024-02-20T00:00:00"/>
    <x v="20"/>
    <s v="Спортпит"/>
    <s v="626943002"/>
    <x v="108"/>
    <x v="521"/>
    <n v="556"/>
    <n v="0"/>
    <n v="0"/>
    <n v="0"/>
    <n v="0"/>
    <n v="556"/>
    <n v="1700"/>
    <x v="386"/>
    <s v="&lt;Клиент не выбран&gt;"/>
    <s v="2024 08"/>
    <n v="1144"/>
    <n v="2.0575539568345325"/>
  </r>
  <r>
    <s v="OZO0060"/>
    <n v="0"/>
    <s v="OZON_OA"/>
    <s v="Доставлен"/>
    <d v="2024-02-21T00:00:00"/>
    <x v="20"/>
    <s v="Спортпит"/>
    <s v="892721541"/>
    <x v="162"/>
    <x v="618"/>
    <n v="942"/>
    <n v="0"/>
    <n v="0"/>
    <n v="0"/>
    <n v="0"/>
    <n v="942"/>
    <n v="2000"/>
    <x v="603"/>
    <s v="&lt;Клиент не выбран&gt;"/>
    <s v="2024 06"/>
    <n v="1058"/>
    <n v="1.1231422505307855"/>
  </r>
  <r>
    <s v="OZO0062"/>
    <n v="0"/>
    <s v="OZON_OA"/>
    <s v="Доставлен"/>
    <d v="2024-02-28T00:00:00"/>
    <x v="20"/>
    <s v="Косметика"/>
    <s v="175137049"/>
    <x v="117"/>
    <x v="1144"/>
    <n v="320"/>
    <n v="0"/>
    <n v="0"/>
    <n v="0"/>
    <n v="0"/>
    <n v="320"/>
    <n v="500"/>
    <x v="467"/>
    <s v="&lt;Клиент не выбран&gt;"/>
    <s v="2024 03"/>
    <n v="180"/>
    <n v="0.5625"/>
  </r>
  <r>
    <s v="OZO0062"/>
    <n v="0"/>
    <s v="OZON_OA"/>
    <s v="Доставлен"/>
    <d v="2024-02-28T00:00:00"/>
    <x v="20"/>
    <s v="Косметика"/>
    <s v="175137049"/>
    <x v="117"/>
    <x v="1144"/>
    <n v="320"/>
    <n v="0"/>
    <n v="0"/>
    <n v="0"/>
    <n v="0"/>
    <n v="320"/>
    <n v="600"/>
    <x v="553"/>
    <s v="&lt;Клиент не выбран&gt;"/>
    <s v="2024 03"/>
    <n v="280"/>
    <n v="0.875"/>
  </r>
  <r>
    <s v="OZO0062"/>
    <n v="0"/>
    <s v="OZON_OA"/>
    <s v="Доставлен"/>
    <d v="2024-02-28T00:00:00"/>
    <x v="20"/>
    <s v="Спортпит"/>
    <s v="392584827"/>
    <x v="129"/>
    <x v="1145"/>
    <n v="2476"/>
    <n v="0"/>
    <n v="0"/>
    <n v="0"/>
    <n v="0"/>
    <n v="2476"/>
    <n v="3800"/>
    <x v="291"/>
    <s v="&lt;Клиент не выбран&gt;"/>
    <s v="2024 04"/>
    <n v="1324"/>
    <n v="0.53473344103392573"/>
  </r>
  <r>
    <s v="OZO0063"/>
    <n v="0"/>
    <s v="OZON_OA"/>
    <s v="Доставлен"/>
    <d v="2024-02-28T00:00:00"/>
    <x v="20"/>
    <s v="Спортпит"/>
    <s v="032085656"/>
    <x v="104"/>
    <x v="1146"/>
    <n v="1131"/>
    <n v="0"/>
    <n v="0"/>
    <n v="0"/>
    <n v="0"/>
    <n v="1131"/>
    <n v="1800"/>
    <x v="476"/>
    <s v="&lt;Клиент не выбран&gt;"/>
    <s v="2024 03"/>
    <n v="669"/>
    <n v="0.59151193633952259"/>
  </r>
  <r>
    <s v="OZO0065"/>
    <n v="0"/>
    <s v="OZON_OA"/>
    <s v="Доставлен"/>
    <d v="2024-03-01T00:00:00"/>
    <x v="21"/>
    <s v="Спортпит"/>
    <s v="892721541"/>
    <x v="162"/>
    <x v="618"/>
    <n v="1132"/>
    <n v="0"/>
    <n v="0"/>
    <n v="0"/>
    <n v="0"/>
    <n v="1132"/>
    <n v="2000"/>
    <x v="604"/>
    <s v="&lt;Клиент не выбран&gt;"/>
    <s v="2024 08"/>
    <n v="868"/>
    <n v="0.7667844522968198"/>
  </r>
  <r>
    <s v="OZO0065"/>
    <n v="0"/>
    <s v="OZON_OA"/>
    <s v="Доставлен"/>
    <d v="2024-03-01T00:00:00"/>
    <x v="21"/>
    <s v="Спортпит"/>
    <s v="892721541"/>
    <x v="162"/>
    <x v="618"/>
    <n v="1132"/>
    <n v="0"/>
    <n v="0"/>
    <n v="0"/>
    <n v="0"/>
    <n v="1132"/>
    <n v="2000"/>
    <x v="604"/>
    <s v="&lt;Клиент не выбран&gt;"/>
    <s v="2024 08"/>
    <n v="868"/>
    <n v="0.7667844522968198"/>
  </r>
  <r>
    <s v="WB0177"/>
    <n v="0"/>
    <s v="WBRS"/>
    <s v="Доставлен"/>
    <d v="2024-03-07T00:00:00"/>
    <x v="21"/>
    <s v="Косметика"/>
    <s v="154082844"/>
    <x v="117"/>
    <x v="1147"/>
    <n v="246"/>
    <n v="0"/>
    <n v="0"/>
    <n v="0"/>
    <n v="0"/>
    <n v="246"/>
    <n v="500"/>
    <x v="467"/>
    <s v="&lt;Клиент не выбран&gt;"/>
    <s v="2024 03"/>
    <n v="254"/>
    <n v="1.032520325203252"/>
  </r>
  <r>
    <s v="WB0177"/>
    <n v="0"/>
    <s v="WBRS"/>
    <s v="Доставлен"/>
    <d v="2024-03-07T00:00:00"/>
    <x v="21"/>
    <s v="Косметика"/>
    <s v="154082844"/>
    <x v="117"/>
    <x v="1147"/>
    <n v="246"/>
    <n v="0"/>
    <n v="0"/>
    <n v="0"/>
    <n v="0"/>
    <n v="246"/>
    <n v="500"/>
    <x v="554"/>
    <s v="&lt;Клиент не выбран&gt;"/>
    <s v="2024 06"/>
    <n v="254"/>
    <n v="1.032520325203252"/>
  </r>
  <r>
    <s v="WB0177"/>
    <n v="0"/>
    <s v="WBRS"/>
    <s v="Доставлен"/>
    <d v="2024-03-07T00:00:00"/>
    <x v="21"/>
    <s v="Косметика"/>
    <s v="154082844"/>
    <x v="117"/>
    <x v="1147"/>
    <n v="246"/>
    <n v="0"/>
    <n v="0"/>
    <n v="0"/>
    <n v="0"/>
    <n v="246"/>
    <n v="500"/>
    <x v="303"/>
    <s v="&lt;Клиент не выбран&gt;"/>
    <s v="2024 10"/>
    <n v="254"/>
    <n v="1.032520325203252"/>
  </r>
  <r>
    <s v="524522412"/>
    <s v="720000163398"/>
    <s v="iHerb_MH DLE7202"/>
    <s v="Доставлен"/>
    <d v="2024-03-10T00:00:00"/>
    <x v="21"/>
    <s v="Витамины"/>
    <s v="NOW-01430"/>
    <x v="3"/>
    <x v="1148"/>
    <n v="6.91"/>
    <n v="-1.2450000000000001"/>
    <n v="-0.77666171279955398"/>
    <n v="-1.994042775691853E-15"/>
    <n v="0.40940183782076517"/>
    <n v="556.53073657811615"/>
    <n v="1200"/>
    <x v="518"/>
    <s v="&lt;Клиент не выбран&gt;"/>
    <s v="2024 04"/>
    <n v="643.46926342188385"/>
    <n v="1.1562151398471139"/>
  </r>
  <r>
    <s v="524522412"/>
    <s v="720000163398"/>
    <s v="iHerb_MH DLE7202"/>
    <s v="Доставлен"/>
    <d v="2024-03-10T00:00:00"/>
    <x v="21"/>
    <s v="Витамины"/>
    <s v="NOW-01430"/>
    <x v="3"/>
    <x v="1148"/>
    <n v="6.91"/>
    <n v="-1.2450000000000001"/>
    <n v="-0.77666171279955398"/>
    <n v="-1.994042775691853E-15"/>
    <n v="0.40940183782076517"/>
    <n v="556.53073657811615"/>
    <n v="1200"/>
    <x v="312"/>
    <s v="&lt;Клиент не выбран&gt;"/>
    <s v="2024 07"/>
    <n v="643.46926342188385"/>
    <n v="1.1562151398471139"/>
  </r>
  <r>
    <s v="524522412"/>
    <s v="720000163398"/>
    <s v="iHerb_MH DLE7202"/>
    <s v="Доставлен"/>
    <d v="2024-03-10T00:00:00"/>
    <x v="21"/>
    <s v="Косметика"/>
    <s v="BOJ-31589"/>
    <x v="248"/>
    <x v="1149"/>
    <n v="26.3"/>
    <n v="-4.7300000000000004"/>
    <n v="-2.9572097343488752"/>
    <n v="-7.5924982650791288E-15"/>
    <n v="1.5588345351798596"/>
    <n v="2119.0411276240006"/>
    <m/>
    <x v="20"/>
    <m/>
    <s v=""/>
    <n v="-2119.0411276240006"/>
    <s v=""/>
  </r>
  <r>
    <s v="524522412"/>
    <s v="720000163398"/>
    <s v="iHerb_MH DLE7202"/>
    <s v="Доставлен"/>
    <d v="2024-03-10T00:00:00"/>
    <x v="21"/>
    <s v="Витамины"/>
    <s v="YOU-00303"/>
    <x v="71"/>
    <x v="422"/>
    <n v="25.48"/>
    <n v="-4.585"/>
    <n v="-2.8646684005201553"/>
    <n v="-7.3549027004556515E-15"/>
    <n v="1.5100532041067765"/>
    <n v="2052.7289921976585"/>
    <n v="3300"/>
    <x v="303"/>
    <s v="&lt;Клиент не выбран&gt;"/>
    <s v="2024 10"/>
    <n v="1247.2710078023415"/>
    <n v="0.60761601387380859"/>
  </r>
  <r>
    <s v="524522412"/>
    <s v="720000163398"/>
    <s v="iHerb_MH DLE7202"/>
    <s v="Доставлен"/>
    <d v="2024-03-10T00:00:00"/>
    <x v="21"/>
    <s v="Витамины"/>
    <s v="YOU-00303"/>
    <x v="71"/>
    <x v="422"/>
    <n v="25.48"/>
    <n v="-4.585"/>
    <n v="-2.8646684005201553"/>
    <n v="-7.3549027004556515E-15"/>
    <n v="1.5100532041067765"/>
    <n v="2052.7289921976585"/>
    <n v="3300"/>
    <x v="605"/>
    <s v="&lt;Клиент не выбран&gt;"/>
    <s v="2024 10"/>
    <n v="1247.2710078023415"/>
    <n v="0.60761601387380859"/>
  </r>
  <r>
    <s v="524522412"/>
    <s v="720000163398"/>
    <s v="iHerb_MH DLE7202"/>
    <s v="Доставлен"/>
    <d v="2024-03-10T00:00:00"/>
    <x v="21"/>
    <s v="Витамины"/>
    <s v="YTH-01899"/>
    <x v="241"/>
    <x v="1150"/>
    <n v="12.91"/>
    <n v="-2.3199999999999998"/>
    <n v="-1.4518707040683632"/>
    <n v="-3.72761041387056E-15"/>
    <n v="0.76532488305770585"/>
    <n v="1040.363724688835"/>
    <n v="1800"/>
    <x v="591"/>
    <s v="&lt;Клиент не выбран&gt;"/>
    <s v="2024 04"/>
    <n v="759.63627531116504"/>
    <n v="0.73016413133624647"/>
  </r>
  <r>
    <s v="524522412"/>
    <s v="720000163398"/>
    <s v="iHerb_MH DLE7202"/>
    <s v="Доставлен"/>
    <d v="2024-03-10T00:00:00"/>
    <x v="21"/>
    <s v="Косметика"/>
    <s v="ARH-19470"/>
    <x v="29"/>
    <x v="66"/>
    <n v="4.6500000000000004"/>
    <n v="-0.84"/>
    <n v="-0.52234441761099748"/>
    <n v="-1.3410949647636294E-15"/>
    <n v="0.27534351316806982"/>
    <n v="374.29516440646466"/>
    <n v="600"/>
    <x v="188"/>
    <s v="&lt;Клиент не выбран&gt;"/>
    <s v="2024 04"/>
    <n v="225.70483559353534"/>
    <n v="0.6030129615792521"/>
  </r>
  <r>
    <s v="524522412"/>
    <s v="720000163398"/>
    <s v="iHerb_MH DLE7202"/>
    <s v="Доставлен"/>
    <d v="2024-03-10T00:00:00"/>
    <x v="21"/>
    <s v="Косметика"/>
    <s v="ARH-19724"/>
    <x v="29"/>
    <x v="563"/>
    <n v="4.7300000000000004"/>
    <n v="-0.85"/>
    <n v="-0.53194129667471668"/>
    <n v="-1.3657345047986566E-15"/>
    <n v="0.28040231787194514"/>
    <n v="381.17197845067801"/>
    <n v="900"/>
    <x v="518"/>
    <s v="&lt;Клиент не выбран&gt;"/>
    <s v="2024 04"/>
    <n v="518.82802154932199"/>
    <n v="1.3611389369653155"/>
  </r>
  <r>
    <s v="524522412"/>
    <s v="720000163398"/>
    <s v="iHerb_MH DLE7202"/>
    <s v="Доставлен"/>
    <d v="2024-03-10T00:00:00"/>
    <x v="21"/>
    <s v="Косметика"/>
    <s v="ARH-19744"/>
    <x v="29"/>
    <x v="65"/>
    <n v="4.6500000000000004"/>
    <n v="-0.84"/>
    <n v="-0.52234441761099748"/>
    <n v="-1.3410949647636294E-15"/>
    <n v="0.27534351316806982"/>
    <n v="374.29516440646466"/>
    <n v="1000"/>
    <x v="566"/>
    <s v="&lt;Клиент не выбран&gt;"/>
    <s v="2024 10"/>
    <n v="625.70483559353534"/>
    <n v="1.6716882692987536"/>
  </r>
  <r>
    <s v="524522412"/>
    <s v="720000163398"/>
    <s v="iHerb_MH DLE7202"/>
    <s v="Доставлен"/>
    <d v="2024-03-10T00:00:00"/>
    <x v="21"/>
    <s v="Косметика"/>
    <s v="ARH-19764"/>
    <x v="29"/>
    <x v="1151"/>
    <n v="4.6500000000000004"/>
    <n v="-0.84"/>
    <n v="-0.52234441761099748"/>
    <n v="-1.3410949647636294E-15"/>
    <n v="0.27534351316806982"/>
    <n v="374.29516440646466"/>
    <n v="600"/>
    <x v="188"/>
    <s v="&lt;Клиент не выбран&gt;"/>
    <s v="2024 04"/>
    <n v="225.70483559353534"/>
    <n v="0.6030129615792521"/>
  </r>
  <r>
    <s v="524522412"/>
    <s v="720000163398"/>
    <s v="iHerb_MH DLE7202"/>
    <s v="Доставлен"/>
    <d v="2024-03-10T00:00:00"/>
    <x v="21"/>
    <s v="Витамины"/>
    <s v="NOW-01661"/>
    <x v="3"/>
    <x v="1136"/>
    <n v="19.86"/>
    <n v="-3.5750000000000002"/>
    <n v="-2.2326453650380826"/>
    <n v="-5.7322129924345679E-15"/>
    <n v="1.1768947800372747"/>
    <n v="1599.8416672858996"/>
    <n v="2300"/>
    <x v="463"/>
    <s v="&lt;Клиент не выбран&gt;"/>
    <s v="2024 09"/>
    <n v="700.15833271410042"/>
    <n v="0.43764226612618828"/>
  </r>
  <r>
    <s v="524522412"/>
    <s v="720000163398"/>
    <s v="iHerb_MH DLE7202"/>
    <s v="Доставлен"/>
    <d v="2024-03-10T00:00:00"/>
    <x v="21"/>
    <s v="Витамины"/>
    <s v="NOW-01661"/>
    <x v="3"/>
    <x v="1136"/>
    <n v="19.86"/>
    <n v="-3.5750000000000002"/>
    <n v="-2.2326453650380826"/>
    <n v="-5.7322129924345679E-15"/>
    <n v="1.1768947800372747"/>
    <n v="1599.8416672858996"/>
    <n v="2400"/>
    <x v="498"/>
    <s v="&lt;Клиент не выбран&gt;"/>
    <s v="2024 10"/>
    <n v="800.15833271410042"/>
    <n v="0.5001484516099356"/>
  </r>
  <r>
    <s v="524522412"/>
    <s v="720000163398"/>
    <s v="iHerb_MH DLE7202"/>
    <s v="Доставлен"/>
    <d v="2024-03-10T00:00:00"/>
    <x v="21"/>
    <s v="Витамины"/>
    <s v="NOW-01663"/>
    <x v="3"/>
    <x v="449"/>
    <n v="23.08"/>
    <n v="-4.1500000000000004"/>
    <n v="-2.5952702953743261"/>
    <n v="-6.6632356123295281E-15"/>
    <n v="1.368045329205134"/>
    <n v="1859.686997956529"/>
    <n v="2900"/>
    <x v="352"/>
    <s v="&lt;Клиент не выбран&gt;"/>
    <s v="2024 10"/>
    <n v="1040.313002043471"/>
    <n v="0.55940220219133285"/>
  </r>
  <r>
    <s v="524522412"/>
    <s v="720000163398"/>
    <s v="iHerb_MH DLE7202"/>
    <s v="Доставлен"/>
    <d v="2024-03-10T00:00:00"/>
    <x v="21"/>
    <s v="Витамины"/>
    <s v="BTZ-75102"/>
    <x v="166"/>
    <x v="629"/>
    <n v="22.62"/>
    <n v="-13.22"/>
    <n v="-1.2887237599851382"/>
    <n v="-3.3087382332750958E-15"/>
    <n v="0.67932520309182576"/>
    <n v="923.45788593720943"/>
    <n v="2700"/>
    <x v="606"/>
    <s v="&lt;Клиент не выбран&gt;"/>
    <s v="2025 03"/>
    <n v="1776.5421140627905"/>
    <n v="1.9237933219442847"/>
  </r>
  <r>
    <s v="524715774"/>
    <s v="710002129861"/>
    <s v="iHerb_MH DLE7202"/>
    <s v="Доставлен"/>
    <d v="2024-03-18T00:00:00"/>
    <x v="21"/>
    <s v="Витамины"/>
    <s v="NOW-04014"/>
    <x v="3"/>
    <x v="1152"/>
    <n v="27.3"/>
    <n v="-5.46"/>
    <n v="-3.652449451765416"/>
    <n v="0"/>
    <n v="1.1640094021346254"/>
    <n v="2040.5768232572177"/>
    <n v="3300"/>
    <x v="362"/>
    <s v="&lt;Клиент не выбран&gt;"/>
    <s v="2024 05"/>
    <n v="1259.4231767427823"/>
    <n v="0.61718978790147228"/>
  </r>
  <r>
    <s v="524715774"/>
    <s v="710002129861"/>
    <s v="iHerb_MH DLE7202"/>
    <s v="Доставлен"/>
    <d v="2024-03-18T00:00:00"/>
    <x v="21"/>
    <s v="Косметика"/>
    <s v="HIM-20028"/>
    <x v="49"/>
    <x v="1153"/>
    <n v="9.01"/>
    <n v="-1.8"/>
    <n v="-1.2057765818328137"/>
    <n v="0"/>
    <n v="0.38427233467905902"/>
    <n v="673.65196408811994"/>
    <m/>
    <x v="20"/>
    <m/>
    <s v=""/>
    <n v="-673.65196408811994"/>
    <s v=""/>
  </r>
  <r>
    <s v="524715774"/>
    <s v="710002129861"/>
    <s v="iHerb_MH DLE7202"/>
    <s v="Доставлен"/>
    <d v="2024-03-18T00:00:00"/>
    <x v="21"/>
    <s v="Косметика"/>
    <s v="DES-33442"/>
    <x v="249"/>
    <x v="1154"/>
    <n v="7.37"/>
    <n v="-1.47"/>
    <n v="-0.98669650940549247"/>
    <n v="0"/>
    <n v="0.31445308940450051"/>
    <n v="551.25472789457808"/>
    <n v="1100"/>
    <x v="320"/>
    <s v="&lt;Клиент не выбран&gt;"/>
    <s v="2024 05"/>
    <n v="548.74527210542192"/>
    <n v="0.99544773829198596"/>
  </r>
  <r>
    <s v="524715774"/>
    <s v="710002129861"/>
    <s v="iHerb_MH DLE7202"/>
    <s v="Доставлен"/>
    <d v="2024-03-18T00:00:00"/>
    <x v="21"/>
    <s v="Витамины"/>
    <s v="NOW-04754"/>
    <x v="3"/>
    <x v="1155"/>
    <n v="25.04"/>
    <n v="-5.01"/>
    <n v="-3.3497510310833922"/>
    <n v="0"/>
    <n v="1.0675415899613803"/>
    <n v="1871.4630846997286"/>
    <n v="3000"/>
    <x v="320"/>
    <s v="&lt;Клиент не выбран&gt;"/>
    <s v="2024 05"/>
    <n v="1128.5369153002714"/>
    <n v="0.60302387181809802"/>
  </r>
  <r>
    <s v="524715774"/>
    <s v="710002129861"/>
    <s v="iHerb_MH DLE7202"/>
    <s v="Доставлен"/>
    <d v="2024-03-18T00:00:00"/>
    <x v="21"/>
    <s v="Витамины"/>
    <s v="NOW-04754"/>
    <x v="3"/>
    <x v="1155"/>
    <n v="25.04"/>
    <n v="-5.01"/>
    <n v="-3.3497510310833922"/>
    <n v="0"/>
    <n v="1.0675415899613803"/>
    <n v="1871.4630846997286"/>
    <n v="2900"/>
    <x v="600"/>
    <s v="&lt;Клиент не выбран&gt;"/>
    <s v="2024 10"/>
    <n v="1028.5369153002714"/>
    <n v="0.54958974275749473"/>
  </r>
  <r>
    <s v="524715774"/>
    <s v="710002129861"/>
    <s v="iHerb_MH DLE7202"/>
    <s v="Доставлен"/>
    <d v="2024-03-18T00:00:00"/>
    <x v="21"/>
    <s v="Витамины"/>
    <s v="NOW-04606"/>
    <x v="3"/>
    <x v="397"/>
    <n v="9.2200000000000006"/>
    <n v="-1.84"/>
    <n v="-1.2342068202394127"/>
    <n v="0"/>
    <n v="0.39333284742461244"/>
    <n v="689.5355748918621"/>
    <n v="1600"/>
    <x v="393"/>
    <s v="&lt;Клиент не выбран&gt;"/>
    <s v="2024 06"/>
    <n v="910.4644251081379"/>
    <n v="1.3204023958458175"/>
  </r>
  <r>
    <s v="524715774"/>
    <s v="710002129861"/>
    <s v="iHerb_MH DLE7202"/>
    <s v="Доставлен"/>
    <d v="2024-03-18T00:00:00"/>
    <x v="21"/>
    <s v="Витамины"/>
    <s v="CLF-02971"/>
    <x v="72"/>
    <x v="1156"/>
    <n v="15.33"/>
    <n v="-3.0649999999999999"/>
    <n v="-2.0511580826878584"/>
    <n v="0"/>
    <n v="0.65368934602477935"/>
    <n v="1145.9558029876271"/>
    <n v="2400"/>
    <x v="326"/>
    <s v="&lt;Клиент не выбран&gt;"/>
    <s v="2024 04"/>
    <n v="1254.0441970123729"/>
    <n v="1.0943216079912925"/>
  </r>
  <r>
    <s v="524715774"/>
    <s v="710002129861"/>
    <s v="iHerb_MH DLE7202"/>
    <s v="Доставлен"/>
    <d v="2024-03-18T00:00:00"/>
    <x v="21"/>
    <s v="Витамины"/>
    <s v="CLF-02971"/>
    <x v="72"/>
    <x v="1156"/>
    <n v="15.33"/>
    <n v="-3.0649999999999999"/>
    <n v="-2.0511580826878584"/>
    <n v="0"/>
    <n v="0.65368934602477935"/>
    <n v="1145.9558029876271"/>
    <n v="2300"/>
    <x v="607"/>
    <s v="&lt;Клиент не выбран&gt;"/>
    <s v="2024 10"/>
    <n v="1154.0441970123729"/>
    <n v="1.0070582076583221"/>
  </r>
  <r>
    <s v="524715774"/>
    <s v="710002129861"/>
    <s v="iHerb_MH DLE7202"/>
    <s v="Доставлен"/>
    <d v="2024-03-18T00:00:00"/>
    <x v="21"/>
    <s v="Витамины"/>
    <s v="FHH-00001"/>
    <x v="242"/>
    <x v="1157"/>
    <n v="20.11"/>
    <n v="-4.0199999999999996"/>
    <n v="-2.690838446836334"/>
    <n v="0"/>
    <n v="0.85755088279973091"/>
    <n v="1503.337046071824"/>
    <n v="2600"/>
    <x v="326"/>
    <s v="&lt;Клиент не выбран&gt;"/>
    <s v="2024 04"/>
    <n v="1096.662953928176"/>
    <n v="0.72948575091242807"/>
  </r>
  <r>
    <s v="524715774"/>
    <s v="710002129861"/>
    <s v="iHerb_MH DLE7202"/>
    <s v="Доставлен"/>
    <d v="2024-03-18T00:00:00"/>
    <x v="21"/>
    <s v="Витамины"/>
    <s v="BLB-00298"/>
    <x v="186"/>
    <x v="748"/>
    <n v="9.48"/>
    <n v="-1.9"/>
    <n v="-1.2676541595412936"/>
    <n v="0"/>
    <n v="0.40399227418408695"/>
    <n v="708.222175837441"/>
    <n v="1500"/>
    <x v="541"/>
    <s v="&lt;Клиент не выбран&gt;"/>
    <s v="2024 04"/>
    <n v="791.777824162559"/>
    <n v="1.1179794295855212"/>
  </r>
  <r>
    <s v="524715774"/>
    <s v="710002129861"/>
    <s v="iHerb_MH DLE7202"/>
    <s v="Доставлен"/>
    <d v="2024-03-18T00:00:00"/>
    <x v="21"/>
    <s v="Косметика"/>
    <s v="ARH-19793"/>
    <x v="29"/>
    <x v="620"/>
    <n v="5.87"/>
    <n v="-1.175"/>
    <n v="-0.7851762901116589"/>
    <n v="0"/>
    <n v="0.2502300431786661"/>
    <n v="438.66795719746511"/>
    <n v="800"/>
    <x v="510"/>
    <s v="&lt;Клиент не выбран&gt;"/>
    <s v="2024 05"/>
    <n v="361.33204280253489"/>
    <n v="0.82370284146348605"/>
  </r>
  <r>
    <s v="524715774"/>
    <s v="710002129861"/>
    <s v="iHerb_MH DLE7202"/>
    <s v="Доставлен"/>
    <d v="2024-03-18T00:00:00"/>
    <x v="21"/>
    <s v="Косметика"/>
    <s v="ARH-19793"/>
    <x v="29"/>
    <x v="620"/>
    <n v="5.87"/>
    <n v="-1.175"/>
    <n v="-0.7851762901116589"/>
    <n v="0"/>
    <n v="0.2502300431786661"/>
    <n v="438.66795719746511"/>
    <n v="800"/>
    <x v="510"/>
    <s v="&lt;Клиент не выбран&gt;"/>
    <s v="2024 05"/>
    <n v="361.33204280253489"/>
    <n v="0.82370284146348605"/>
  </r>
  <r>
    <s v="524715774"/>
    <s v="710002129861"/>
    <s v="iHerb_MH DLE7202"/>
    <s v="Доставлен"/>
    <d v="2024-03-18T00:00:00"/>
    <x v="21"/>
    <s v="Косметика"/>
    <s v="TOC-57170"/>
    <x v="250"/>
    <x v="1158"/>
    <n v="33.18"/>
    <n v="-15.68"/>
    <n v="-2.9266421889145962"/>
    <n v="0"/>
    <n v="0.93269984145402662"/>
    <n v="1635.0775827381553"/>
    <m/>
    <x v="20"/>
    <m/>
    <s v=""/>
    <n v="-1635.0775827381553"/>
    <s v=""/>
  </r>
  <r>
    <s v="524715774"/>
    <s v="710002129861"/>
    <s v="iHerb_MH DLE7202"/>
    <s v="Доставлен"/>
    <d v="2024-03-18T00:00:00"/>
    <x v="21"/>
    <s v="Витамины"/>
    <s v="HRM-50004"/>
    <x v="195"/>
    <x v="798"/>
    <n v="15.26"/>
    <n v="-3.05"/>
    <n v="-2.041960064379841"/>
    <n v="0"/>
    <n v="0.65075800366592385"/>
    <n v="1140.816987727593"/>
    <n v="2000"/>
    <x v="518"/>
    <s v="&lt;Клиент не выбран&gt;"/>
    <s v="2024 04"/>
    <n v="859.18301227240704"/>
    <n v="0.75312957425697524"/>
  </r>
  <r>
    <s v="524715774"/>
    <s v="710002129861"/>
    <s v="iHerb_MH DLE7202"/>
    <s v="Доставлен"/>
    <d v="2024-03-18T00:00:00"/>
    <x v="21"/>
    <s v="Витамины"/>
    <s v="HRM-50004"/>
    <x v="195"/>
    <x v="798"/>
    <n v="15.26"/>
    <n v="-3.05"/>
    <n v="-2.041960064379841"/>
    <n v="0"/>
    <n v="0.65075800366592385"/>
    <n v="1140.816987727593"/>
    <n v="2000"/>
    <x v="453"/>
    <s v="&lt;Клиент не выбран&gt;"/>
    <s v="2024 07"/>
    <n v="859.18301227240704"/>
    <n v="0.75312957425697524"/>
  </r>
  <r>
    <s v="524715774"/>
    <s v="710002129861"/>
    <s v="iHerb_MH DLE7202"/>
    <s v="Доставлен"/>
    <d v="2024-03-18T00:00:00"/>
    <x v="21"/>
    <s v="Косметика"/>
    <s v="ARH-19724"/>
    <x v="29"/>
    <x v="563"/>
    <n v="4.7300000000000004"/>
    <n v="-0.95"/>
    <n v="-0.6321547128055528"/>
    <n v="0"/>
    <n v="0.20146316575406978"/>
    <n v="353.17675787144162"/>
    <n v="353.18"/>
    <x v="608"/>
    <s v="&lt;Клиент не выбран&gt;"/>
    <s v="2024 05"/>
    <n v="3.2421285583836834E-3"/>
    <n v="9.1799035075910546E-6"/>
  </r>
  <r>
    <s v="524715774"/>
    <s v="710002129861"/>
    <s v="iHerb_MH DLE7202"/>
    <s v="Доставлен"/>
    <d v="2024-03-18T00:00:00"/>
    <x v="21"/>
    <s v="Витамины"/>
    <s v="NOW-04007"/>
    <x v="3"/>
    <x v="1159"/>
    <n v="16.43"/>
    <n v="-3.29"/>
    <n v="-2.1974901921335883"/>
    <n v="0"/>
    <n v="0.70032433809748074"/>
    <n v="1227.709682124535"/>
    <n v="2100"/>
    <x v="609"/>
    <s v="&lt;Клиент не выбран&gt;"/>
    <s v="2024 07"/>
    <n v="872.29031787546501"/>
    <n v="0.71050210858154872"/>
  </r>
  <r>
    <s v="524374442"/>
    <s v="720000157150"/>
    <s v="iHerb_OA CZN6870"/>
    <s v="Доставлен"/>
    <d v="2024-03-04T00:00:00"/>
    <x v="21"/>
    <s v="Витамины"/>
    <s v="CVR-03504"/>
    <x v="251"/>
    <x v="1160"/>
    <n v="17.8"/>
    <n v="-3.56"/>
    <n v="-0.63725767293546398"/>
    <n v="0"/>
    <n v="0.60822257673050428"/>
    <n v="1478.0977584520058"/>
    <n v="2350"/>
    <x v="610"/>
    <s v="&lt;Клиент не выбран&gt;"/>
    <s v="2024 04"/>
    <n v="871.90224154799421"/>
    <n v="0.58988130965107954"/>
  </r>
  <r>
    <s v="524374442"/>
    <s v="720000157150"/>
    <s v="iHerb_OA CZN6870"/>
    <s v="Доставлен"/>
    <d v="2024-03-04T00:00:00"/>
    <x v="21"/>
    <s v="Витамины"/>
    <s v="NOW-00474"/>
    <x v="3"/>
    <x v="114"/>
    <n v="11.77"/>
    <n v="-2.355"/>
    <n v="-0.42133293473928318"/>
    <n v="0"/>
    <n v="0.40213592415152366"/>
    <n v="977.26758397651906"/>
    <n v="1500"/>
    <x v="509"/>
    <s v="&lt;Клиент не выбран&gt;"/>
    <s v="2024 10"/>
    <n v="522.73241602348094"/>
    <n v="0.53489179892417338"/>
  </r>
  <r>
    <s v="524374442"/>
    <s v="720000157150"/>
    <s v="iHerb_OA CZN6870"/>
    <s v="Доставлен"/>
    <d v="2024-03-04T00:00:00"/>
    <x v="21"/>
    <s v="Витамины"/>
    <s v="NOW-00474"/>
    <x v="3"/>
    <x v="114"/>
    <n v="11.77"/>
    <n v="-2.355"/>
    <n v="-0.42133293473928318"/>
    <n v="0"/>
    <n v="0.40213592415152366"/>
    <n v="977.26758397651906"/>
    <n v="1200"/>
    <x v="611"/>
    <m/>
    <s v="2026 02"/>
    <n v="222.73241602348094"/>
    <n v="0.22791343913933867"/>
  </r>
  <r>
    <s v="524374442"/>
    <s v="720000157150"/>
    <s v="iHerb_OA CZN6870"/>
    <s v="Доставлен"/>
    <d v="2024-03-04T00:00:00"/>
    <x v="21"/>
    <s v="Витамины"/>
    <s v="NWY-16000"/>
    <x v="16"/>
    <x v="1161"/>
    <n v="9.76"/>
    <n v="-1.95"/>
    <n v="-0.34950719281081272"/>
    <n v="0"/>
    <n v="0.33358274749053646"/>
    <n v="810.6701891509947"/>
    <n v="1500"/>
    <x v="472"/>
    <s v="&lt;Клиент не выбран&gt;"/>
    <s v="2024 09"/>
    <n v="689.3298108490053"/>
    <n v="0.85032090740987065"/>
  </r>
  <r>
    <s v="524374442"/>
    <s v="720000157150"/>
    <s v="iHerb_OA CZN6870"/>
    <s v="Доставлен"/>
    <d v="2024-03-04T00:00:00"/>
    <x v="21"/>
    <s v="Витамины"/>
    <s v="CVR-13129"/>
    <x v="229"/>
    <x v="994"/>
    <n v="29.16"/>
    <n v="-5.83"/>
    <n v="-1.0440464543247452"/>
    <n v="0"/>
    <n v="0.99647701651142306"/>
    <n v="2421.6306674638545"/>
    <n v="3500"/>
    <x v="610"/>
    <s v="&lt;Клиент не выбран&gt;"/>
    <s v="2024 04"/>
    <n v="1078.3693325361455"/>
    <n v="0.44530710113012778"/>
  </r>
  <r>
    <s v="524374442"/>
    <s v="720000157150"/>
    <s v="iHerb_OA CZN6870"/>
    <s v="Доставлен"/>
    <d v="2024-03-04T00:00:00"/>
    <x v="21"/>
    <s v="Витамины"/>
    <s v="DRB-00249"/>
    <x v="6"/>
    <x v="1162"/>
    <n v="38.630000000000003"/>
    <n v="-7.73"/>
    <n v="-1.3828133492770953"/>
    <n v="0"/>
    <n v="1.3198088216975128"/>
    <n v="3207.3890966409394"/>
    <n v="5800"/>
    <x v="612"/>
    <s v="&lt;Клиент не выбран&gt;"/>
    <s v="2024 05"/>
    <n v="2592.6109033590606"/>
    <n v="0.80832441130209964"/>
  </r>
  <r>
    <s v="524374442"/>
    <s v="720000157150"/>
    <s v="iHerb_OA CZN6870"/>
    <s v="Доставлен"/>
    <d v="2024-03-04T00:00:00"/>
    <x v="21"/>
    <s v="Витамины"/>
    <s v="CEN-27387"/>
    <x v="2"/>
    <x v="23"/>
    <n v="28.34"/>
    <n v="-5.67"/>
    <n v="-1.0145106352139726"/>
    <n v="0"/>
    <n v="0.96828692517419468"/>
    <n v="2353.1233275356017"/>
    <n v="3300"/>
    <x v="374"/>
    <s v="&lt;Клиент не выбран&gt;"/>
    <s v="2024 05"/>
    <n v="946.87667246439833"/>
    <n v="0.40239143498528446"/>
  </r>
  <r>
    <s v="524374442"/>
    <s v="720000157150"/>
    <s v="iHerb_OA CZN6870"/>
    <s v="Доставлен"/>
    <d v="2024-03-04T00:00:00"/>
    <x v="21"/>
    <s v="Витамины"/>
    <s v="CEN-27387"/>
    <x v="2"/>
    <x v="23"/>
    <n v="28.34"/>
    <n v="-5.67"/>
    <n v="-1.0145106352139726"/>
    <n v="0"/>
    <n v="0.96828692517419468"/>
    <n v="2353.1233275356017"/>
    <n v="3400"/>
    <x v="533"/>
    <s v="&lt;Клиент не выбран&gt;"/>
    <s v="2024 06"/>
    <n v="1046.8766724643983"/>
    <n v="0.44488814513635372"/>
  </r>
  <r>
    <s v="524374442"/>
    <s v="720000157150"/>
    <s v="iHerb_OA CZN6870"/>
    <s v="Доставлен"/>
    <d v="2024-03-04T00:00:00"/>
    <x v="21"/>
    <s v="Витамины"/>
    <s v="NFS-01630"/>
    <x v="23"/>
    <x v="250"/>
    <n v="7.09"/>
    <n v="-1.42"/>
    <n v="-0.25373953690618545"/>
    <n v="0"/>
    <n v="0.24217851194255333"/>
    <n v="588.54032938362866"/>
    <n v="1200"/>
    <x v="613"/>
    <s v="&lt;Клиент не выбран&gt;"/>
    <s v="2024 12"/>
    <n v="611.45967061637134"/>
    <n v="1.0389426859782844"/>
  </r>
  <r>
    <s v="524374442"/>
    <s v="720000157150"/>
    <s v="iHerb_OA CZN6870"/>
    <s v="Доставлен"/>
    <d v="2024-03-04T00:00:00"/>
    <x v="21"/>
    <s v="Витамины"/>
    <s v="NFS-01630"/>
    <x v="23"/>
    <x v="250"/>
    <n v="7.09"/>
    <n v="-1.42"/>
    <n v="-0.25373953690618545"/>
    <n v="0"/>
    <n v="0.24217851194255333"/>
    <n v="588.54032938362866"/>
    <n v="1400"/>
    <x v="614"/>
    <s v="&lt;Клиент не выбран&gt;"/>
    <s v="2025 06"/>
    <n v="811.45967061637134"/>
    <n v="1.3787664669746651"/>
  </r>
  <r>
    <s v="524374442"/>
    <s v="720000157150"/>
    <s v="iHerb_OA CZN6870"/>
    <s v="Доставлен"/>
    <d v="2024-03-04T00:00:00"/>
    <x v="21"/>
    <s v="Витамины"/>
    <s v="SRE-01347"/>
    <x v="36"/>
    <x v="556"/>
    <n v="32.21"/>
    <n v="-9.6649999999999991"/>
    <n v="-1.0089167300793562"/>
    <n v="0"/>
    <n v="0.96294789272396208"/>
    <n v="2340.1484525491901"/>
    <n v="3500"/>
    <x v="615"/>
    <m/>
    <s v="2025 10"/>
    <n v="1159.8515474508099"/>
    <n v="0.49563161097209485"/>
  </r>
  <r>
    <s v="524374442"/>
    <s v="720000157150"/>
    <s v="iHerb_OA CZN6870"/>
    <s v="Доставлен"/>
    <d v="2024-03-04T00:00:00"/>
    <x v="21"/>
    <s v="Витамины"/>
    <s v="SRE-01347"/>
    <x v="36"/>
    <x v="556"/>
    <n v="32.21"/>
    <n v="-9.6649999999999991"/>
    <n v="-1.0089167300793562"/>
    <n v="0"/>
    <n v="0.96294789272396208"/>
    <n v="2340.1484525491901"/>
    <n v="3500"/>
    <x v="616"/>
    <s v="Виктория Башня/Энгельса"/>
    <s v="2025 12"/>
    <n v="1159.8515474508099"/>
    <n v="0.49563161097209485"/>
  </r>
  <r>
    <s v="524374442"/>
    <s v="720000157150"/>
    <s v="iHerb_OA CZN6870"/>
    <s v="Доставлен"/>
    <d v="2024-03-04T00:00:00"/>
    <x v="21"/>
    <s v="Косметика"/>
    <s v="MHL-05868"/>
    <x v="246"/>
    <x v="1163"/>
    <n v="24.64"/>
    <n v="-4.93"/>
    <n v="-0.88204696162626361"/>
    <n v="0"/>
    <n v="0.84185863675268535"/>
    <n v="2045.8782878573763"/>
    <m/>
    <x v="20"/>
    <m/>
    <s v=""/>
    <n v="-2045.8782878573763"/>
    <s v=""/>
  </r>
  <r>
    <s v="524374442"/>
    <s v="720000157150"/>
    <s v="iHerb_OA CZN6870"/>
    <s v="Доставлен"/>
    <d v="2024-03-04T00:00:00"/>
    <x v="21"/>
    <s v="Витамины"/>
    <s v="NWY-03502"/>
    <x v="16"/>
    <x v="74"/>
    <n v="17.489999999999998"/>
    <n v="-3.5"/>
    <n v="-0.62606986266623166"/>
    <n v="0"/>
    <n v="0.59754451183003887"/>
    <n v="1452.1480084791824"/>
    <n v="2500"/>
    <x v="374"/>
    <s v="&lt;Клиент не выбран&gt;"/>
    <s v="2024 05"/>
    <n v="1047.8519915208176"/>
    <n v="0.7215875967204064"/>
  </r>
  <r>
    <s v="524374442"/>
    <s v="720000157150"/>
    <s v="iHerb_OA CZN6870"/>
    <s v="Доставлен"/>
    <d v="2024-03-04T00:00:00"/>
    <x v="21"/>
    <s v="Витамины"/>
    <s v="NWY-03502"/>
    <x v="16"/>
    <x v="74"/>
    <n v="17.489999999999998"/>
    <n v="-3.5"/>
    <n v="-0.62606986266623166"/>
    <n v="0"/>
    <n v="0.59754451183003887"/>
    <n v="1452.1480084791824"/>
    <n v="2500"/>
    <x v="374"/>
    <s v="&lt;Клиент не выбран&gt;"/>
    <s v="2024 05"/>
    <n v="1047.8519915208176"/>
    <n v="0.7215875967204064"/>
  </r>
  <r>
    <s v="524374442"/>
    <s v="720000157150"/>
    <s v="iHerb_OA CZN6870"/>
    <s v="Доставлен"/>
    <d v="2024-03-04T00:00:00"/>
    <x v="21"/>
    <s v="Витамины"/>
    <s v="PCT-47707"/>
    <x v="252"/>
    <x v="1164"/>
    <n v="16.899999999999999"/>
    <n v="-6.72"/>
    <n v="-0.45556763416313362"/>
    <n v="0"/>
    <n v="0.4348108027469475"/>
    <n v="1056.673818893358"/>
    <n v="1500"/>
    <x v="617"/>
    <s v="Оксана Черноморская"/>
    <s v="2025 09"/>
    <n v="443.32618110664203"/>
    <n v="0.41954875116611889"/>
  </r>
  <r>
    <s v="524374442"/>
    <s v="720000157150"/>
    <s v="iHerb_OA CZN6870"/>
    <s v="Доставлен"/>
    <d v="2024-03-04T00:00:00"/>
    <x v="21"/>
    <s v="Витамины"/>
    <s v="NOW-02700"/>
    <x v="3"/>
    <x v="772"/>
    <n v="26.52"/>
    <n v="-5.3"/>
    <n v="-0.94962133565242568"/>
    <n v="0"/>
    <n v="0.90635414875149578"/>
    <n v="2202.6147776932276"/>
    <n v="3300"/>
    <x v="188"/>
    <s v="&lt;Клиент не выбран&gt;"/>
    <s v="2024 04"/>
    <n v="1097.3852223067724"/>
    <n v="0.49821931343621106"/>
  </r>
  <r>
    <s v="524582018"/>
    <s v="720000166156"/>
    <s v="iHerb_VP DFD1605"/>
    <s v="Доставлен"/>
    <d v="2024-03-12T00:00:00"/>
    <x v="21"/>
    <s v="Витамины"/>
    <s v="CGN-01032"/>
    <x v="1"/>
    <x v="145"/>
    <n v="44.43"/>
    <n v="-13.33"/>
    <n v="-3.1393001345895022"/>
    <n v="5.407531893341275E-15"/>
    <n v="2.032022161391982"/>
    <n v="3137.8864982258665"/>
    <n v="4600"/>
    <x v="326"/>
    <s v="&lt;Клиент не выбран&gt;"/>
    <s v="2024 04"/>
    <n v="1462.1135017741335"/>
    <n v="0.46595487204549929"/>
  </r>
  <r>
    <s v="524582018"/>
    <s v="720000166156"/>
    <s v="iHerb_VP DFD1605"/>
    <s v="Доставлен"/>
    <d v="2024-03-12T00:00:00"/>
    <x v="21"/>
    <s v="Витамины"/>
    <s v="CGN-01032"/>
    <x v="1"/>
    <x v="145"/>
    <n v="44.43"/>
    <n v="-13.33"/>
    <n v="-3.1393001345895022"/>
    <n v="5.407531893341275E-15"/>
    <n v="2.032022161391982"/>
    <n v="3137.8864982258665"/>
    <n v="4500"/>
    <x v="314"/>
    <s v="&lt;Клиент не выбран&gt;"/>
    <s v="2024 05"/>
    <n v="1362.1135017741335"/>
    <n v="0.43408628787059717"/>
  </r>
  <r>
    <s v="524582018"/>
    <s v="720000166156"/>
    <s v="iHerb_VP DFD1605"/>
    <s v="Доставлен"/>
    <d v="2024-03-12T00:00:00"/>
    <x v="21"/>
    <s v="Витамины"/>
    <s v="CGN-02270"/>
    <x v="1"/>
    <x v="1165"/>
    <n v="13.36"/>
    <n v="-4.01"/>
    <n v="-0.94380888290713338"/>
    <n v="1.6257370804739845E-15"/>
    <n v="0.61091341508086927"/>
    <n v="943.3838829071334"/>
    <n v="1900"/>
    <x v="618"/>
    <s v="&lt;Клиент не выбран&gt;"/>
    <s v="2025 03"/>
    <n v="956.6161170928666"/>
    <n v="1.0140263517593249"/>
  </r>
  <r>
    <s v="524582018"/>
    <s v="720000166156"/>
    <s v="iHerb_VP DFD1605"/>
    <s v="Доставлен"/>
    <d v="2024-03-12T00:00:00"/>
    <x v="21"/>
    <s v="Витамины"/>
    <s v="CGN-01033"/>
    <x v="1"/>
    <x v="1"/>
    <n v="21.04"/>
    <n v="-7.0449999999999999"/>
    <n v="-1.4126850605652761"/>
    <n v="2.4333893520035734E-15"/>
    <n v="0.91440997262639201"/>
    <n v="1412.0489242016397"/>
    <n v="2300"/>
    <x v="507"/>
    <s v="&lt;Клиент не выбран&gt;"/>
    <s v="2024 07"/>
    <n v="887.95107579836031"/>
    <n v="0.62883874671722173"/>
  </r>
  <r>
    <s v="524582018"/>
    <s v="720000166156"/>
    <s v="iHerb_VP DFD1605"/>
    <s v="Доставлен"/>
    <d v="2024-03-12T00:00:00"/>
    <x v="21"/>
    <s v="Витамины"/>
    <s v="CGN-01033"/>
    <x v="1"/>
    <x v="1"/>
    <n v="21.04"/>
    <n v="-7.0449999999999999"/>
    <n v="-1.4126850605652761"/>
    <n v="2.4333893520035734E-15"/>
    <n v="0.91440997262639201"/>
    <n v="1412.0489242016397"/>
    <n v="2300"/>
    <x v="507"/>
    <s v="&lt;Клиент не выбран&gt;"/>
    <s v="2024 07"/>
    <n v="887.95107579836031"/>
    <n v="0.62883874671722173"/>
  </r>
  <r>
    <s v="524582018"/>
    <s v="720000166156"/>
    <s v="iHerb_VP DFD1605"/>
    <s v="Доставлен"/>
    <d v="2024-03-12T00:00:00"/>
    <x v="21"/>
    <s v="Витамины"/>
    <s v="CGN-02060"/>
    <x v="1"/>
    <x v="862"/>
    <n v="48.6"/>
    <n v="-14.58"/>
    <n v="-3.4340511440107679"/>
    <n v="5.9152487141951823E-15"/>
    <n v="2.2228100942300721"/>
    <n v="3432.5047803744042"/>
    <n v="3432.5"/>
    <x v="418"/>
    <s v="&lt;Клиент не выбран&gt;"/>
    <s v="2024 03"/>
    <n v="-4.7803744041630125E-3"/>
    <n v="-1.3926781490575485E-6"/>
  </r>
  <r>
    <s v="524582018"/>
    <s v="720000166156"/>
    <s v="iHerb_VP DFD1605"/>
    <s v="Доставлен"/>
    <d v="2024-03-12T00:00:00"/>
    <x v="21"/>
    <s v="Витамины"/>
    <s v="CGN-02278"/>
    <x v="1"/>
    <x v="1166"/>
    <n v="11.5"/>
    <n v="-3.45"/>
    <n v="-0.81258411843876199"/>
    <n v="1.3996987698198477E-15"/>
    <n v="0.52597358196802113"/>
    <n v="812.21820934785285"/>
    <n v="1600"/>
    <x v="619"/>
    <s v="&lt;Клиент не выбран&gt;"/>
    <s v="2025 05"/>
    <n v="787.78179065214715"/>
    <n v="0.969913973345505"/>
  </r>
  <r>
    <s v="524582018"/>
    <s v="720000166156"/>
    <s v="iHerb_VP DFD1605"/>
    <s v="Доставлен"/>
    <d v="2024-03-12T00:00:00"/>
    <x v="21"/>
    <s v="Витамины"/>
    <s v="CGN-02300"/>
    <x v="1"/>
    <x v="1167"/>
    <n v="22.66"/>
    <n v="-6.8"/>
    <n v="-1.6009421265141321"/>
    <n v="2.75766738998047E-15"/>
    <n v="1.0362659639767473"/>
    <n v="1600.2212174232232"/>
    <n v="2900"/>
    <x v="496"/>
    <s v="&lt;Клиент не выбран&gt;"/>
    <s v="2024 05"/>
    <n v="1299.7787825767768"/>
    <n v="0.8122494367808486"/>
  </r>
  <r>
    <s v="524582018"/>
    <s v="720000166156"/>
    <s v="iHerb_VP DFD1605"/>
    <s v="Доставлен"/>
    <d v="2024-03-12T00:00:00"/>
    <x v="21"/>
    <s v="Витамины"/>
    <s v="SMS-55694"/>
    <x v="140"/>
    <x v="509"/>
    <n v="13.13"/>
    <n v="-7.14"/>
    <n v="-0.6046433378196503"/>
    <n v="1.0415149852448308E-15"/>
    <n v="0.39137661565073883"/>
    <n v="604.37106509237753"/>
    <n v="1700"/>
    <x v="609"/>
    <s v="&lt;Клиент не выбран&gt;"/>
    <s v="2024 07"/>
    <n v="1095.6289349076224"/>
    <n v="1.8128414780084756"/>
  </r>
  <r>
    <s v="524763019"/>
    <s v="720000176291"/>
    <s v="iHerb_VP DFD1605"/>
    <s v="Доставлен"/>
    <d v="2024-03-20T00:00:00"/>
    <x v="21"/>
    <s v="Витамины"/>
    <s v="NFS-01344"/>
    <x v="23"/>
    <x v="344"/>
    <n v="10.07"/>
    <n v="-2.0099999999999998"/>
    <n v="-0.32597229916897513"/>
    <n v="2.3075192949791624E-15"/>
    <n v="0.42938054876194598"/>
    <n v="848.65852933769872"/>
    <n v="1400"/>
    <x v="326"/>
    <s v="&lt;Клиент не выбран&gt;"/>
    <s v="2024 04"/>
    <n v="551.34147066230128"/>
    <n v="0.64966232189120099"/>
  </r>
  <r>
    <s v="524763019"/>
    <s v="720000176291"/>
    <s v="iHerb_VP DFD1605"/>
    <s v="Доставлен"/>
    <d v="2024-03-20T00:00:00"/>
    <x v="21"/>
    <s v="Витамины"/>
    <s v="LEX-19456"/>
    <x v="7"/>
    <x v="558"/>
    <n v="10.76"/>
    <n v="-2.1533333333333333"/>
    <n v="-0.34808125577100646"/>
    <n v="2.4640259799984273E-15"/>
    <n v="0.45850313354149885"/>
    <n v="906.21849576093348"/>
    <n v="1600"/>
    <x v="326"/>
    <s v="&lt;Клиент не выбран&gt;"/>
    <s v="2024 04"/>
    <n v="693.78150423906652"/>
    <n v="0.76557861871547006"/>
  </r>
  <r>
    <s v="524763019"/>
    <s v="720000176291"/>
    <s v="iHerb_VP DFD1605"/>
    <s v="Доставлен"/>
    <d v="2024-03-20T00:00:00"/>
    <x v="21"/>
    <s v="Витамины"/>
    <s v="LEX-19456"/>
    <x v="7"/>
    <x v="558"/>
    <n v="10.76"/>
    <n v="-2.1533333333333333"/>
    <n v="-0.34808125577100646"/>
    <n v="2.4640259799984273E-15"/>
    <n v="0.45850313354149885"/>
    <n v="906.21849576093348"/>
    <n v="1700"/>
    <x v="554"/>
    <s v="&lt;Клиент не выбран&gt;"/>
    <s v="2024 06"/>
    <n v="793.78150423906652"/>
    <n v="0.87592728238518691"/>
  </r>
  <r>
    <s v="524763019"/>
    <s v="720000176291"/>
    <s v="iHerb_VP DFD1605"/>
    <s v="Доставлен"/>
    <d v="2024-03-20T00:00:00"/>
    <x v="21"/>
    <s v="Витамины"/>
    <s v="LEX-19456"/>
    <x v="7"/>
    <x v="558"/>
    <n v="10.76"/>
    <n v="-2.1533333333333333"/>
    <n v="-0.34808125577100646"/>
    <n v="2.4640259799984273E-15"/>
    <n v="0.45850313354149885"/>
    <n v="906.21849576093348"/>
    <n v="1600"/>
    <x v="620"/>
    <s v="&lt;Клиент не выбран&gt;"/>
    <s v="2024 06"/>
    <n v="693.78150423906652"/>
    <n v="0.76557861871547006"/>
  </r>
  <r>
    <s v="524763019"/>
    <s v="720000176291"/>
    <s v="iHerb_VP DFD1605"/>
    <s v="Доставлен"/>
    <d v="2024-03-20T00:00:00"/>
    <x v="21"/>
    <s v="Витамины"/>
    <s v="NOW-00372"/>
    <x v="3"/>
    <x v="13"/>
    <n v="8.3699999999999992"/>
    <n v="-2.0099999999999998"/>
    <n v="-0.25721883656509698"/>
    <n v="1.8208216769314482E-15"/>
    <n v="0.33881641316699457"/>
    <n v="669.66107277763797"/>
    <n v="1200"/>
    <x v="599"/>
    <s v="&lt;Клиент не выбран&gt;"/>
    <s v="2024 08"/>
    <n v="530.33892722236203"/>
    <n v="0.79195125531577959"/>
  </r>
  <r>
    <s v="524763019"/>
    <s v="720000176291"/>
    <s v="iHerb_VP DFD1605"/>
    <s v="Доставлен"/>
    <d v="2024-03-20T00:00:00"/>
    <x v="21"/>
    <s v="Витамины"/>
    <s v="NOW-00372"/>
    <x v="3"/>
    <x v="13"/>
    <n v="8.3699999999999992"/>
    <n v="-2.0099999999999998"/>
    <n v="-0.25721883656509698"/>
    <n v="1.8208216769314482E-15"/>
    <n v="0.33881641316699457"/>
    <n v="669.66107277763797"/>
    <n v="1200"/>
    <x v="515"/>
    <s v="&lt;Клиент не выбран&gt;"/>
    <s v="2024 08"/>
    <n v="530.33892722236203"/>
    <n v="0.79195125531577959"/>
  </r>
  <r>
    <s v="524763019"/>
    <s v="720000176291"/>
    <s v="iHerb_VP DFD1605"/>
    <s v="Доставлен"/>
    <d v="2024-03-20T00:00:00"/>
    <x v="21"/>
    <s v="Косметика"/>
    <s v="ADC-00960"/>
    <x v="145"/>
    <x v="530"/>
    <n v="13.37"/>
    <n v="-2.67"/>
    <n v="-0.43274238227146822"/>
    <n v="3.0633320665356125E-15"/>
    <n v="0.57002132403881145"/>
    <n v="1126.6310501133219"/>
    <n v="1900"/>
    <x v="518"/>
    <s v="&lt;Клиент не выбран&gt;"/>
    <s v="2024 04"/>
    <n v="773.36894988667814"/>
    <n v="0.68644384495606525"/>
  </r>
  <r>
    <s v="524763019"/>
    <s v="720000176291"/>
    <s v="iHerb_VP DFD1605"/>
    <s v="Доставлен"/>
    <d v="2024-03-20T00:00:00"/>
    <x v="21"/>
    <s v="Витамины"/>
    <s v="NTA-26173"/>
    <x v="253"/>
    <x v="1168"/>
    <n v="19.16"/>
    <n v="-3.83"/>
    <n v="-0.61999445983379509"/>
    <n v="4.3888673439243869E-15"/>
    <n v="0.81667541098270857"/>
    <n v="1614.1358876857221"/>
    <n v="2500"/>
    <x v="621"/>
    <s v="&lt;Клиент не выбран&gt;"/>
    <s v="2024 04"/>
    <n v="885.86411231427792"/>
    <n v="0.5488163165645189"/>
  </r>
  <r>
    <s v="524763019"/>
    <s v="720000176291"/>
    <s v="iHerb_VP DFD1605"/>
    <s v="Доставлен"/>
    <d v="2024-03-20T00:00:00"/>
    <x v="21"/>
    <s v="Витамины"/>
    <s v="NOW-02313"/>
    <x v="3"/>
    <x v="87"/>
    <n v="21.41"/>
    <n v="-4.28"/>
    <n v="-0.69279224376731308"/>
    <n v="4.9041942336219662E-15"/>
    <n v="0.91256684867148052"/>
    <n v="1803.662606396374"/>
    <n v="2900"/>
    <x v="26"/>
    <s v="&lt;Клиент не выбран&gt;"/>
    <s v="2024 08"/>
    <n v="1096.337393603626"/>
    <n v="0.60783950929384301"/>
  </r>
  <r>
    <s v="524763019"/>
    <s v="720000176291"/>
    <s v="iHerb_VP DFD1605"/>
    <s v="Доставлен"/>
    <d v="2024-03-20T00:00:00"/>
    <x v="21"/>
    <s v="Витамины"/>
    <s v="NOW-02313"/>
    <x v="3"/>
    <x v="87"/>
    <n v="21.41"/>
    <n v="-4.28"/>
    <n v="-0.69279224376731308"/>
    <n v="4.9041942336219662E-15"/>
    <n v="0.91256684867148052"/>
    <n v="1803.662606396374"/>
    <n v="2900"/>
    <x v="529"/>
    <s v="&lt;Клиент не выбран&gt;"/>
    <s v="2024 09"/>
    <n v="1096.337393603626"/>
    <n v="0.60783950929384301"/>
  </r>
  <r>
    <s v="524763019"/>
    <s v="720000176291"/>
    <s v="iHerb_VP DFD1605"/>
    <s v="Доставлен"/>
    <d v="2024-03-20T00:00:00"/>
    <x v="21"/>
    <s v="Витамины"/>
    <s v="NOW-00426"/>
    <x v="3"/>
    <x v="1169"/>
    <n v="14.51"/>
    <n v="-2.9033333333333338"/>
    <n v="-0.46941089566020316"/>
    <n v="3.3229041294943931E-15"/>
    <n v="0.61832219635611896"/>
    <n v="1222.0963602786874"/>
    <n v="2000"/>
    <x v="291"/>
    <s v="&lt;Клиент не выбран&gt;"/>
    <s v="2024 04"/>
    <n v="777.90363972131263"/>
    <n v="0.63653216309712202"/>
  </r>
  <r>
    <s v="524763019"/>
    <s v="720000176291"/>
    <s v="iHerb_VP DFD1605"/>
    <s v="Доставлен"/>
    <d v="2024-03-20T00:00:00"/>
    <x v="21"/>
    <s v="Витамины"/>
    <s v="NOW-00426"/>
    <x v="3"/>
    <x v="1169"/>
    <n v="14.51"/>
    <n v="-2.9033333333333338"/>
    <n v="-0.46941089566020316"/>
    <n v="3.3229041294943931E-15"/>
    <n v="0.61832219635611896"/>
    <n v="1222.0963602786874"/>
    <n v="2000"/>
    <x v="362"/>
    <s v="&lt;Клиент не выбран&gt;"/>
    <s v="2024 05"/>
    <n v="777.90363972131263"/>
    <n v="0.63653216309712202"/>
  </r>
  <r>
    <s v="524763019"/>
    <s v="720000176291"/>
    <s v="iHerb_VP DFD1605"/>
    <s v="Доставлен"/>
    <d v="2024-03-20T00:00:00"/>
    <x v="21"/>
    <s v="Витамины"/>
    <s v="NOW-00426"/>
    <x v="3"/>
    <x v="1169"/>
    <n v="14.51"/>
    <n v="-2.9033333333333338"/>
    <n v="-0.46941089566020316"/>
    <n v="3.3229041294943931E-15"/>
    <n v="0.61832219635611896"/>
    <n v="1222.0963602786874"/>
    <n v="1900"/>
    <x v="312"/>
    <s v="&lt;Клиент не выбран&gt;"/>
    <s v="2024 07"/>
    <n v="677.90363972131263"/>
    <n v="0.55470555494226592"/>
  </r>
  <r>
    <s v="524763019"/>
    <s v="720000176291"/>
    <s v="iHerb_VP DFD1605"/>
    <s v="Доставлен"/>
    <d v="2024-03-20T00:00:00"/>
    <x v="21"/>
    <s v="Витамины"/>
    <s v="NAP-29982"/>
    <x v="11"/>
    <x v="393"/>
    <n v="27.54"/>
    <n v="-5.51"/>
    <n v="-0.89096398891966788"/>
    <n v="6.3070285444653784E-15"/>
    <n v="1.1736046512686935"/>
    <n v="2319.5964517753723"/>
    <n v="3500"/>
    <x v="326"/>
    <s v="&lt;Клиент не выбран&gt;"/>
    <s v="2024 04"/>
    <n v="1180.4035482246277"/>
    <n v="0.50888314961905146"/>
  </r>
  <r>
    <s v="524763019"/>
    <s v="720000176291"/>
    <s v="iHerb_VP DFD1605"/>
    <s v="Доставлен"/>
    <d v="2024-03-20T00:00:00"/>
    <x v="21"/>
    <s v="Витамины"/>
    <s v="NAP-29982"/>
    <x v="11"/>
    <x v="393"/>
    <n v="27.54"/>
    <n v="-5.51"/>
    <n v="-0.89096398891966788"/>
    <n v="6.3070285444653784E-15"/>
    <n v="1.1736046512686935"/>
    <n v="2319.5964517753723"/>
    <n v="3900"/>
    <x v="622"/>
    <s v="&lt;Клиент не выбран&gt;"/>
    <s v="2024 12"/>
    <n v="1580.4035482246277"/>
    <n v="0.68132693814694301"/>
  </r>
  <r>
    <s v="524763019"/>
    <s v="720000176291"/>
    <s v="iHerb_VP DFD1605"/>
    <s v="Доставлен"/>
    <d v="2024-03-20T00:00:00"/>
    <x v="21"/>
    <s v="Витамины"/>
    <s v="NAP-29998"/>
    <x v="11"/>
    <x v="1028"/>
    <n v="11.52"/>
    <n v="-2.2999999999999998"/>
    <n v="-0.37288642659279775"/>
    <n v="2.6396188461176024E-15"/>
    <n v="0.49117725305026561"/>
    <n v="970.79797028456323"/>
    <n v="1800"/>
    <x v="463"/>
    <s v="&lt;Клиент не выбран&gt;"/>
    <s v="2024 09"/>
    <n v="829.20202971543677"/>
    <n v="0.85414479129203225"/>
  </r>
  <r>
    <s v="524763019"/>
    <s v="720000176291"/>
    <s v="iHerb_VP DFD1605"/>
    <s v="Доставлен"/>
    <d v="2024-03-20T00:00:00"/>
    <x v="21"/>
    <s v="Косметика"/>
    <s v="RSE-01954"/>
    <x v="28"/>
    <x v="1170"/>
    <n v="7.12"/>
    <n v="-3.56"/>
    <n v="-0.14397783933518007"/>
    <n v="1.0192020707352131E-15"/>
    <n v="0.18965195454001582"/>
    <n v="374.84173256106789"/>
    <m/>
    <x v="20"/>
    <m/>
    <s v=""/>
    <n v="-374.84173256106789"/>
    <s v=""/>
  </r>
  <r>
    <s v="WB0178"/>
    <n v="0"/>
    <s v="WBRS"/>
    <s v="Доставлен"/>
    <d v="2024-03-23T00:00:00"/>
    <x v="21"/>
    <s v="Витамины"/>
    <s v="000000037"/>
    <x v="85"/>
    <x v="267"/>
    <n v="1651"/>
    <n v="0"/>
    <n v="0"/>
    <n v="0"/>
    <n v="0"/>
    <n v="1651"/>
    <n v="2100"/>
    <x v="171"/>
    <s v="&lt;Клиент не выбран&gt;"/>
    <s v="2024 03"/>
    <n v="449"/>
    <n v="0.27195639006662631"/>
  </r>
  <r>
    <s v="WB0178"/>
    <n v="0"/>
    <s v="WBRS"/>
    <s v="Доставлен"/>
    <d v="2024-03-23T00:00:00"/>
    <x v="21"/>
    <s v="Спортпит"/>
    <s v="141847874"/>
    <x v="203"/>
    <x v="816"/>
    <n v="432"/>
    <n v="0"/>
    <n v="0"/>
    <n v="0"/>
    <n v="0"/>
    <n v="432"/>
    <n v="800"/>
    <x v="518"/>
    <s v="&lt;Клиент не выбран&gt;"/>
    <s v="2024 04"/>
    <n v="368"/>
    <n v="0.85185185185185186"/>
  </r>
  <r>
    <s v="WB0178"/>
    <n v="0"/>
    <s v="WBRS"/>
    <s v="Доставлен"/>
    <d v="2024-03-23T00:00:00"/>
    <x v="21"/>
    <s v="Спортпит"/>
    <s v="141847874"/>
    <x v="203"/>
    <x v="816"/>
    <n v="432"/>
    <n v="0"/>
    <n v="0"/>
    <n v="0"/>
    <n v="0"/>
    <n v="432"/>
    <n v="800"/>
    <x v="501"/>
    <s v="&lt;Клиент не выбран&gt;"/>
    <s v="2024 06"/>
    <n v="368"/>
    <n v="0.85185185185185186"/>
  </r>
  <r>
    <s v="WB0178"/>
    <n v="0"/>
    <s v="WBRS"/>
    <s v="Доставлен"/>
    <d v="2024-03-23T00:00:00"/>
    <x v="21"/>
    <s v="Спортпит"/>
    <s v="141847874"/>
    <x v="203"/>
    <x v="816"/>
    <n v="432"/>
    <n v="0"/>
    <n v="0"/>
    <n v="0"/>
    <n v="0"/>
    <n v="432"/>
    <n v="800"/>
    <x v="501"/>
    <s v="&lt;Клиент не выбран&gt;"/>
    <s v="2024 06"/>
    <n v="368"/>
    <n v="0.85185185185185186"/>
  </r>
  <r>
    <s v="WB0178"/>
    <n v="0"/>
    <s v="WBRS"/>
    <s v="Доставлен"/>
    <d v="2024-03-23T00:00:00"/>
    <x v="21"/>
    <s v="Спортпит"/>
    <s v="141847874"/>
    <x v="203"/>
    <x v="816"/>
    <n v="432"/>
    <n v="0"/>
    <n v="0"/>
    <n v="0"/>
    <n v="0"/>
    <n v="432"/>
    <n v="800"/>
    <x v="312"/>
    <s v="&lt;Клиент не выбран&gt;"/>
    <s v="2024 07"/>
    <n v="368"/>
    <n v="0.85185185185185186"/>
  </r>
  <r>
    <s v="WB0178"/>
    <n v="0"/>
    <s v="WBRS"/>
    <s v="Доставлен"/>
    <d v="2024-03-23T00:00:00"/>
    <x v="21"/>
    <s v="Спортпит"/>
    <s v=" 65579476"/>
    <x v="118"/>
    <x v="1171"/>
    <n v="3407"/>
    <n v="0"/>
    <n v="0"/>
    <n v="0"/>
    <n v="0"/>
    <n v="3407"/>
    <n v="4082"/>
    <x v="483"/>
    <s v="&lt;Клиент не выбран&gt;"/>
    <s v="2024 03"/>
    <n v="675"/>
    <n v="0.19812151452891105"/>
  </r>
  <r>
    <s v="WB0178"/>
    <n v="0"/>
    <s v="WBRS"/>
    <s v="Доставлен"/>
    <d v="2024-03-23T00:00:00"/>
    <x v="21"/>
    <s v="Косметика"/>
    <s v=" 27088804"/>
    <x v="117"/>
    <x v="1172"/>
    <n v="233"/>
    <n v="0"/>
    <n v="0"/>
    <n v="0"/>
    <n v="0"/>
    <n v="233"/>
    <m/>
    <x v="20"/>
    <m/>
    <s v=""/>
    <n v="-233"/>
    <s v=""/>
  </r>
  <r>
    <s v="WB0178"/>
    <n v="0"/>
    <s v="WBRS"/>
    <s v="Доставлен"/>
    <d v="2024-03-23T00:00:00"/>
    <x v="21"/>
    <s v="Косметика"/>
    <s v=" 27088804"/>
    <x v="117"/>
    <x v="1172"/>
    <n v="233"/>
    <n v="0"/>
    <n v="0"/>
    <n v="0"/>
    <n v="0"/>
    <n v="233"/>
    <m/>
    <x v="20"/>
    <m/>
    <s v=""/>
    <n v="-233"/>
    <s v=""/>
  </r>
  <r>
    <s v="WB0178"/>
    <n v="0"/>
    <s v="WBRS"/>
    <s v="Доставлен"/>
    <d v="2024-03-23T00:00:00"/>
    <x v="21"/>
    <s v="Косметика"/>
    <s v=" 27088804"/>
    <x v="117"/>
    <x v="1172"/>
    <n v="233"/>
    <n v="0"/>
    <n v="0"/>
    <n v="0"/>
    <n v="0"/>
    <n v="233"/>
    <m/>
    <x v="20"/>
    <m/>
    <s v=""/>
    <n v="-233"/>
    <s v=""/>
  </r>
  <r>
    <s v="WB0178"/>
    <n v="0"/>
    <s v="WBRS"/>
    <s v="Доставлен"/>
    <d v="2024-03-23T00:00:00"/>
    <x v="21"/>
    <s v="Витамины"/>
    <s v="119141823"/>
    <x v="254"/>
    <x v="1173"/>
    <n v="592"/>
    <n v="0"/>
    <n v="0"/>
    <n v="0"/>
    <n v="0"/>
    <n v="592"/>
    <n v="950"/>
    <x v="357"/>
    <s v="&lt;Клиент не выбран&gt;"/>
    <s v="2024 03"/>
    <n v="358"/>
    <n v="0.60472972972972971"/>
  </r>
  <r>
    <s v="OZO0067"/>
    <n v="0"/>
    <s v="OZON_OA"/>
    <s v="Доставлен"/>
    <d v="2024-03-03T00:00:00"/>
    <x v="21"/>
    <s v="Парфюм"/>
    <s v="4eln02"/>
    <x v="232"/>
    <x v="1174"/>
    <n v="1872"/>
    <n v="0"/>
    <n v="0"/>
    <n v="0"/>
    <n v="0"/>
    <n v="1872"/>
    <m/>
    <x v="20"/>
    <m/>
    <s v=""/>
    <n v="-1872"/>
    <s v=""/>
  </r>
  <r>
    <s v="OZO0067"/>
    <n v="0"/>
    <s v="OZON_OA"/>
    <s v="Доставлен"/>
    <d v="2024-03-03T00:00:00"/>
    <x v="21"/>
    <s v="Парфюм"/>
    <s v="4eln06"/>
    <x v="232"/>
    <x v="1175"/>
    <n v="1872"/>
    <n v="0"/>
    <n v="0"/>
    <n v="0"/>
    <n v="0"/>
    <n v="1872"/>
    <m/>
    <x v="20"/>
    <m/>
    <s v=""/>
    <n v="-1872"/>
    <s v=""/>
  </r>
  <r>
    <s v="OZO0072"/>
    <n v="0"/>
    <s v="OZON_OA"/>
    <s v="Доставлен"/>
    <d v="2024-03-13T00:00:00"/>
    <x v="21"/>
    <s v="Витамины"/>
    <s v="NOW-05975"/>
    <x v="3"/>
    <x v="99"/>
    <n v="1602"/>
    <n v="0"/>
    <n v="0"/>
    <n v="0"/>
    <n v="0"/>
    <n v="1602"/>
    <m/>
    <x v="20"/>
    <m/>
    <s v=""/>
    <n v="-1602"/>
    <s v=""/>
  </r>
  <r>
    <s v="OZO0073"/>
    <n v="0"/>
    <s v="OZON_OA"/>
    <s v="Доставлен"/>
    <d v="2024-03-13T00:00:00"/>
    <x v="21"/>
    <s v="Витамины"/>
    <s v="SOL-00432"/>
    <x v="19"/>
    <x v="557"/>
    <n v="2981"/>
    <n v="0"/>
    <n v="0"/>
    <n v="0"/>
    <n v="0"/>
    <n v="2981"/>
    <n v="3500"/>
    <x v="171"/>
    <s v="&lt;Клиент не выбран&gt;"/>
    <s v="2024 03"/>
    <n v="519"/>
    <n v="0.17410265011741027"/>
  </r>
  <r>
    <s v="OZO0073"/>
    <n v="0"/>
    <s v="OZON_OA"/>
    <s v="Доставлен"/>
    <d v="2024-03-13T00:00:00"/>
    <x v="21"/>
    <s v="Витамины"/>
    <s v="SOL-00432"/>
    <x v="19"/>
    <x v="557"/>
    <n v="2981"/>
    <n v="0"/>
    <n v="0"/>
    <n v="0"/>
    <n v="0"/>
    <n v="2981"/>
    <n v="3500"/>
    <x v="171"/>
    <s v="&lt;Клиент не выбран&gt;"/>
    <s v="2024 03"/>
    <n v="519"/>
    <n v="0.17410265011741027"/>
  </r>
  <r>
    <s v="OZO0074"/>
    <n v="0"/>
    <s v="OZON_OA"/>
    <s v="Доставлен"/>
    <d v="2024-03-14T00:00:00"/>
    <x v="21"/>
    <s v="Витамины"/>
    <s v="SOL-59204"/>
    <x v="19"/>
    <x v="1176"/>
    <n v="1236"/>
    <n v="0"/>
    <n v="0"/>
    <n v="0"/>
    <n v="0"/>
    <n v="1236"/>
    <n v="1500"/>
    <x v="357"/>
    <s v="&lt;Клиент не выбран&gt;"/>
    <s v="2024 03"/>
    <n v="264"/>
    <n v="0.21359223300970873"/>
  </r>
  <r>
    <s v="OZO0074"/>
    <n v="0"/>
    <s v="OZON_OA"/>
    <s v="Доставлен"/>
    <d v="2024-03-14T00:00:00"/>
    <x v="21"/>
    <s v="Витамины"/>
    <s v="SOL-59204"/>
    <x v="19"/>
    <x v="1176"/>
    <n v="1236"/>
    <n v="0"/>
    <n v="0"/>
    <n v="0"/>
    <n v="0"/>
    <n v="1236"/>
    <n v="1500"/>
    <x v="357"/>
    <s v="&lt;Клиент не выбран&gt;"/>
    <s v="2024 03"/>
    <n v="264"/>
    <n v="0.21359223300970873"/>
  </r>
  <r>
    <s v="OZO0075"/>
    <n v="0"/>
    <s v="OZON_OA"/>
    <s v="Доставлен"/>
    <d v="2024-03-17T00:00:00"/>
    <x v="21"/>
    <s v="Косметика"/>
    <s v="911242803"/>
    <x v="74"/>
    <x v="1177"/>
    <n v="659"/>
    <n v="0"/>
    <n v="0"/>
    <n v="0"/>
    <n v="0"/>
    <n v="659"/>
    <n v="1000"/>
    <x v="357"/>
    <s v="&lt;Клиент не выбран&gt;"/>
    <s v="2024 03"/>
    <n v="341"/>
    <n v="0.51745068285280726"/>
  </r>
  <r>
    <s v="OZO0076"/>
    <n v="0"/>
    <s v="OZON_OA"/>
    <s v="Доставлен"/>
    <d v="2024-03-19T00:00:00"/>
    <x v="21"/>
    <s v="Спортпит"/>
    <s v="176349145"/>
    <x v="40"/>
    <x v="1178"/>
    <n v="1607"/>
    <n v="0"/>
    <n v="0"/>
    <n v="0"/>
    <n v="0"/>
    <n v="1607"/>
    <n v="2000"/>
    <x v="483"/>
    <s v="&lt;Клиент не выбран&gt;"/>
    <s v="2024 03"/>
    <n v="393"/>
    <n v="0.24455507156191661"/>
  </r>
  <r>
    <s v="OZO0076"/>
    <n v="0"/>
    <s v="OZON_OA"/>
    <s v="Доставлен"/>
    <d v="2024-03-19T00:00:00"/>
    <x v="21"/>
    <s v="Спортпит"/>
    <s v="176349146"/>
    <x v="40"/>
    <x v="1179"/>
    <n v="1607"/>
    <n v="0"/>
    <n v="0"/>
    <n v="0"/>
    <n v="0"/>
    <n v="1607"/>
    <n v="2000"/>
    <x v="483"/>
    <s v="&lt;Клиент не выбран&gt;"/>
    <s v="2024 03"/>
    <n v="393"/>
    <n v="0.24455507156191661"/>
  </r>
  <r>
    <s v="OZO0077"/>
    <n v="0"/>
    <s v="OZON_OA"/>
    <s v="Доставлен"/>
    <d v="2024-03-20T00:00:00"/>
    <x v="21"/>
    <s v="Спортпит"/>
    <s v="OPN-05223"/>
    <x v="178"/>
    <x v="697"/>
    <n v="2408"/>
    <n v="0"/>
    <n v="0"/>
    <n v="0"/>
    <n v="0"/>
    <n v="2408"/>
    <n v="3900"/>
    <x v="453"/>
    <s v="&lt;Клиент не выбран&gt;"/>
    <s v="2024 07"/>
    <n v="1492"/>
    <n v="0.61960132890365449"/>
  </r>
  <r>
    <s v="OZO0077"/>
    <n v="0"/>
    <s v="OZON_OA"/>
    <s v="Доставлен"/>
    <d v="2024-03-20T00:00:00"/>
    <x v="21"/>
    <s v="Спортпит"/>
    <s v="OPN-05223"/>
    <x v="178"/>
    <x v="697"/>
    <n v="2408"/>
    <n v="0"/>
    <n v="0"/>
    <n v="0"/>
    <n v="0"/>
    <n v="2408"/>
    <m/>
    <x v="20"/>
    <m/>
    <s v=""/>
    <n v="-2408"/>
    <s v=""/>
  </r>
  <r>
    <s v="ЛЭТ34301"/>
    <n v="0"/>
    <s v="ЛЭТУАЛЬ"/>
    <s v="Доставлен"/>
    <d v="2024-03-25T00:00:00"/>
    <x v="21"/>
    <s v="Косметика"/>
    <s v="ECD087944"/>
    <x v="255"/>
    <x v="1180"/>
    <n v="1139.6000000000001"/>
    <n v="0"/>
    <n v="0"/>
    <n v="0"/>
    <n v="0"/>
    <n v="1139.6000000000001"/>
    <m/>
    <x v="20"/>
    <m/>
    <s v=""/>
    <n v="-1139.6000000000001"/>
    <s v=""/>
  </r>
  <r>
    <s v="ЛЭТ34301"/>
    <n v="0"/>
    <s v="ЛЭТУАЛЬ"/>
    <s v="Доставлен"/>
    <d v="2024-03-25T00:00:00"/>
    <x v="21"/>
    <s v="Косметика"/>
    <s v="LPO555557"/>
    <x v="256"/>
    <x v="1181"/>
    <n v="327.60000000000002"/>
    <n v="0"/>
    <n v="0"/>
    <n v="0"/>
    <n v="0"/>
    <n v="327.60000000000002"/>
    <m/>
    <x v="20"/>
    <m/>
    <s v=""/>
    <n v="-327.60000000000002"/>
    <s v=""/>
  </r>
  <r>
    <s v="ЛЭТ34301"/>
    <n v="0"/>
    <s v="ЛЭТУАЛЬ"/>
    <s v="Доставлен"/>
    <d v="2024-03-25T00:00:00"/>
    <x v="21"/>
    <s v="Косметика"/>
    <s v="CLOR50159"/>
    <x v="257"/>
    <x v="1182"/>
    <n v="115.60000000000001"/>
    <n v="0"/>
    <n v="0"/>
    <n v="0"/>
    <n v="0"/>
    <n v="115.60000000000001"/>
    <m/>
    <x v="20"/>
    <m/>
    <s v=""/>
    <n v="-115.60000000000001"/>
    <s v=""/>
  </r>
  <r>
    <s v="ЛЭТ34301"/>
    <n v="0"/>
    <s v="ЛЭТУАЛЬ"/>
    <s v="Доставлен"/>
    <d v="2024-03-25T00:00:00"/>
    <x v="21"/>
    <s v="Косметика"/>
    <s v="LPO555567"/>
    <x v="256"/>
    <x v="1183"/>
    <n v="499.6"/>
    <n v="0"/>
    <n v="0"/>
    <n v="0"/>
    <n v="0"/>
    <n v="499.6"/>
    <m/>
    <x v="20"/>
    <m/>
    <s v=""/>
    <n v="-499.6"/>
    <s v=""/>
  </r>
  <r>
    <s v="ЛЭТ34301"/>
    <n v="0"/>
    <s v="ЛЭТУАЛЬ"/>
    <s v="Доставлен"/>
    <d v="2024-03-25T00:00:00"/>
    <x v="21"/>
    <s v="Косметика"/>
    <s v="LPO373290"/>
    <x v="256"/>
    <x v="1184"/>
    <n v="315.60000000000002"/>
    <n v="0"/>
    <n v="0"/>
    <n v="0"/>
    <n v="0"/>
    <n v="315.60000000000002"/>
    <m/>
    <x v="20"/>
    <m/>
    <s v=""/>
    <n v="-315.60000000000002"/>
    <s v=""/>
  </r>
  <r>
    <s v="ЛЭТ34301"/>
    <n v="0"/>
    <s v="ЛЭТУАЛЬ"/>
    <s v="Доставлен"/>
    <d v="2024-03-25T00:00:00"/>
    <x v="21"/>
    <s v="Косметика"/>
    <s v="LPO373319"/>
    <x v="256"/>
    <x v="1185"/>
    <n v="499.6"/>
    <n v="0"/>
    <n v="0"/>
    <n v="0"/>
    <n v="0"/>
    <n v="499.6"/>
    <m/>
    <x v="20"/>
    <m/>
    <s v=""/>
    <n v="-499.6"/>
    <s v=""/>
  </r>
  <r>
    <s v="ЛЭТ34301"/>
    <n v="0"/>
    <s v="ЛЭТУАЛЬ"/>
    <s v="Доставлен"/>
    <d v="2024-03-25T00:00:00"/>
    <x v="21"/>
    <s v="Косметика"/>
    <s v="LPO115173"/>
    <x v="256"/>
    <x v="1186"/>
    <n v="439.6"/>
    <n v="0"/>
    <n v="0"/>
    <n v="0"/>
    <n v="0"/>
    <n v="439.6"/>
    <m/>
    <x v="20"/>
    <m/>
    <s v=""/>
    <n v="-439.6"/>
    <s v=""/>
  </r>
  <r>
    <s v="ЛЭТ34301"/>
    <n v="0"/>
    <s v="ЛЭТУАЛЬ"/>
    <s v="Доставлен"/>
    <d v="2024-03-25T00:00:00"/>
    <x v="21"/>
    <s v="Косметика"/>
    <s v="CLOR50111"/>
    <x v="257"/>
    <x v="1187"/>
    <n v="115.60000000000001"/>
    <n v="0"/>
    <n v="0"/>
    <n v="0"/>
    <n v="0"/>
    <n v="115.60000000000001"/>
    <m/>
    <x v="20"/>
    <m/>
    <s v=""/>
    <n v="-115.60000000000001"/>
    <s v=""/>
  </r>
  <r>
    <s v="ЛЭТ34301"/>
    <n v="0"/>
    <s v="ЛЭТУАЛЬ"/>
    <s v="Доставлен"/>
    <d v="2024-03-25T00:00:00"/>
    <x v="21"/>
    <s v="Косметика"/>
    <s v="LPO555570"/>
    <x v="256"/>
    <x v="1188"/>
    <n v="459.6"/>
    <n v="0"/>
    <n v="0"/>
    <n v="0"/>
    <n v="0"/>
    <n v="459.6"/>
    <m/>
    <x v="20"/>
    <m/>
    <s v=""/>
    <n v="-459.6"/>
    <s v=""/>
  </r>
  <r>
    <s v="ЛЭТ34301"/>
    <n v="0"/>
    <s v="ЛЭТУАЛЬ"/>
    <s v="Доставлен"/>
    <d v="2024-03-25T00:00:00"/>
    <x v="21"/>
    <s v="Косметика"/>
    <s v="ECD087943"/>
    <x v="255"/>
    <x v="1189"/>
    <n v="1139.6000000000001"/>
    <n v="0"/>
    <n v="0"/>
    <n v="0"/>
    <n v="0"/>
    <n v="1139.6000000000001"/>
    <m/>
    <x v="20"/>
    <m/>
    <s v=""/>
    <n v="-1139.6000000000001"/>
    <s v=""/>
  </r>
  <r>
    <s v="OZO0078"/>
    <n v="0"/>
    <s v="OZON_OA"/>
    <s v="Доставлен"/>
    <d v="2024-03-27T00:00:00"/>
    <x v="21"/>
    <s v="Витамины"/>
    <s v="000001108"/>
    <x v="118"/>
    <x v="1101"/>
    <n v="1592"/>
    <n v="0"/>
    <n v="0"/>
    <n v="0"/>
    <n v="0"/>
    <n v="1592"/>
    <n v="2200"/>
    <x v="482"/>
    <s v="&lt;Клиент не выбран&gt;"/>
    <s v="2024 03"/>
    <n v="608"/>
    <n v="0.38190954773869346"/>
  </r>
  <r>
    <s v="524923827"/>
    <s v="710002136226"/>
    <s v="iHerb_AV CYG0792"/>
    <s v="Доставлен"/>
    <d v="2024-03-27T00:00:00"/>
    <x v="21"/>
    <s v="Витамины"/>
    <s v="NOW-03796"/>
    <x v="3"/>
    <x v="1190"/>
    <n v="24.26"/>
    <n v="-4.8499999999999996"/>
    <n v="-2.8548250482625481"/>
    <n v="-3.3280971286446781E-15"/>
    <n v="2.4916591175118796"/>
    <n v="1968.5599517374519"/>
    <n v="2800"/>
    <x v="623"/>
    <s v="&lt;Клиент не выбран&gt;"/>
    <s v="2025 10"/>
    <n v="831.44004826254809"/>
    <n v="0.42235952607321853"/>
  </r>
  <r>
    <s v="524923827"/>
    <s v="710002136226"/>
    <s v="iHerb_AV CYG0792"/>
    <s v="Доставлен"/>
    <d v="2024-03-27T00:00:00"/>
    <x v="21"/>
    <s v="Косметика"/>
    <s v="MPL-34771"/>
    <x v="238"/>
    <x v="1074"/>
    <n v="22.95"/>
    <n v="-6.89"/>
    <n v="-2.3621066602316598"/>
    <n v="-2.7536960271011599E-15"/>
    <n v="2.0616200632272421"/>
    <n v="1628.8033397683394"/>
    <m/>
    <x v="20"/>
    <m/>
    <s v=""/>
    <n v="-1628.8033397683394"/>
    <s v=""/>
  </r>
  <r>
    <s v="524923827"/>
    <s v="710002136226"/>
    <s v="iHerb_AV CYG0792"/>
    <s v="Доставлен"/>
    <d v="2024-03-27T00:00:00"/>
    <x v="21"/>
    <s v="Витамины"/>
    <s v="MOR-00998"/>
    <x v="227"/>
    <x v="1191"/>
    <n v="27.38"/>
    <n v="-5.48"/>
    <n v="-3.2210545366795356"/>
    <n v="-3.7550400369561269E-15"/>
    <n v="2.8113000862189668"/>
    <n v="2221.0954633204633"/>
    <m/>
    <x v="20"/>
    <m/>
    <s v=""/>
    <n v="-2221.0954633204633"/>
    <s v=""/>
  </r>
  <r>
    <s v="524923827"/>
    <s v="710002136226"/>
    <s v="iHerb_AV CYG0792"/>
    <s v="Доставлен"/>
    <d v="2024-03-27T00:00:00"/>
    <x v="21"/>
    <s v="Косметика"/>
    <s v="ARH-19793"/>
    <x v="29"/>
    <x v="620"/>
    <n v="5.87"/>
    <n v="-1.175"/>
    <n v="-0.69054114382239373"/>
    <n v="-8.0501885723785474E-16"/>
    <n v="0.60269652533324436"/>
    <n v="476.16635617760619"/>
    <n v="900"/>
    <x v="624"/>
    <s v="&lt;Клиент не выбран&gt;"/>
    <s v="2024 09"/>
    <n v="423.83364382239381"/>
    <n v="0.89009573718036328"/>
  </r>
  <r>
    <s v="524923827"/>
    <s v="710002136226"/>
    <s v="iHerb_AV CYG0792"/>
    <s v="Доставлен"/>
    <d v="2024-03-27T00:00:00"/>
    <x v="21"/>
    <s v="Косметика"/>
    <s v="ARH-19793"/>
    <x v="29"/>
    <x v="620"/>
    <n v="5.87"/>
    <n v="-1.175"/>
    <n v="-0.69054114382239373"/>
    <n v="-8.0501885723785474E-16"/>
    <n v="0.60269652533324436"/>
    <n v="476.16635617760619"/>
    <n v="900"/>
    <x v="452"/>
    <s v="&lt;Клиент не выбран&gt;"/>
    <s v="2025 01"/>
    <n v="423.83364382239381"/>
    <n v="0.89009573718036328"/>
  </r>
  <r>
    <s v="524923827"/>
    <s v="710002136226"/>
    <s v="iHerb_AV CYG0792"/>
    <s v="Доставлен"/>
    <d v="2024-03-27T00:00:00"/>
    <x v="21"/>
    <s v="Витамины"/>
    <s v="DRB-00133"/>
    <x v="6"/>
    <x v="621"/>
    <n v="17.690000000000001"/>
    <n v="-3.54"/>
    <n v="-2.0811836389961389"/>
    <n v="-2.4262016677136625E-15"/>
    <n v="1.8164336173515245"/>
    <n v="1435.0913610038613"/>
    <n v="2300"/>
    <x v="602"/>
    <s v="&lt;Клиент не выбран&gt;"/>
    <s v="2024 08"/>
    <n v="864.90863899613873"/>
    <n v="0.60268541954787203"/>
  </r>
  <r>
    <s v="524923827"/>
    <s v="710002136226"/>
    <s v="iHerb_AV CYG0792"/>
    <s v="Доставлен"/>
    <d v="2024-03-27T00:00:00"/>
    <x v="21"/>
    <s v="Витамины"/>
    <s v="CEN-28026"/>
    <x v="2"/>
    <x v="4"/>
    <n v="2.46"/>
    <n v="-0.49"/>
    <n v="-0.28974782818532813"/>
    <n v="-3.3778214031066535E-16"/>
    <n v="0.2528886378927564"/>
    <n v="199.7971718146718"/>
    <m/>
    <x v="20"/>
    <m/>
    <s v=""/>
    <n v="-199.7971718146718"/>
    <s v=""/>
  </r>
  <r>
    <s v="524849157"/>
    <s v="720000180301"/>
    <s v="iHerb_OA CZN6870"/>
    <s v="Доставлен"/>
    <d v="2024-03-24T00:00:00"/>
    <x v="21"/>
    <s v="Витамины"/>
    <s v="SWV-11613"/>
    <x v="89"/>
    <x v="695"/>
    <n v="16.79"/>
    <n v="-3.36"/>
    <n v="-0.20408783527087604"/>
    <n v="0"/>
    <n v="0.54098870566262525"/>
    <n v="1427.7224728364106"/>
    <m/>
    <x v="20"/>
    <m/>
    <s v=""/>
    <n v="-1427.7224728364106"/>
    <s v=""/>
  </r>
  <r>
    <s v="524849157"/>
    <s v="720000180301"/>
    <s v="iHerb_OA CZN6870"/>
    <s v="Доставлен"/>
    <d v="2024-03-24T00:00:00"/>
    <x v="21"/>
    <s v="Витамины"/>
    <s v="SWV-11613"/>
    <x v="89"/>
    <x v="695"/>
    <n v="16.79"/>
    <n v="-3.36"/>
    <n v="-0.20408783527087604"/>
    <n v="0"/>
    <n v="0.54098870566262525"/>
    <n v="1427.7224728364106"/>
    <m/>
    <x v="20"/>
    <m/>
    <s v=""/>
    <n v="-1427.7224728364106"/>
    <s v=""/>
  </r>
  <r>
    <s v="524849157"/>
    <s v="720000180301"/>
    <s v="iHerb_OA CZN6870"/>
    <s v="Доставлен"/>
    <d v="2024-03-24T00:00:00"/>
    <x v="21"/>
    <s v="Витамины"/>
    <s v="NOW-01292"/>
    <x v="3"/>
    <x v="1014"/>
    <n v="30.48"/>
    <n v="-7.3159999999999998"/>
    <n v="-0.35200972570473366"/>
    <n v="0"/>
    <n v="0.93309474147200688"/>
    <n v="2462.5289174074924"/>
    <n v="3500"/>
    <x v="414"/>
    <s v="&lt;Клиент не выбран&gt;"/>
    <s v="2024 05"/>
    <n v="1037.4710825925076"/>
    <n v="0.42130310643610192"/>
  </r>
  <r>
    <s v="524849157"/>
    <s v="720000180301"/>
    <s v="iHerb_OA CZN6870"/>
    <s v="Доставлен"/>
    <d v="2024-03-24T00:00:00"/>
    <x v="21"/>
    <s v="Витамины"/>
    <s v="NOW-01292"/>
    <x v="3"/>
    <x v="1014"/>
    <n v="30.48"/>
    <n v="-7.3159999999999998"/>
    <n v="-0.35200972570473366"/>
    <n v="0"/>
    <n v="0.93309474147200688"/>
    <n v="2462.5289174074924"/>
    <n v="3600"/>
    <x v="504"/>
    <s v="&lt;Клиент не выбран&gt;"/>
    <s v="2024 05"/>
    <n v="1137.4710825925076"/>
    <n v="0.46191176661999056"/>
  </r>
  <r>
    <s v="524849157"/>
    <s v="720000180301"/>
    <s v="iHerb_OA CZN6870"/>
    <s v="Доставлен"/>
    <d v="2024-03-24T00:00:00"/>
    <x v="21"/>
    <s v="Витамины"/>
    <s v="NOW-01292"/>
    <x v="3"/>
    <x v="1014"/>
    <n v="30.48"/>
    <n v="-7.3159999999999998"/>
    <n v="-0.35200972570473366"/>
    <n v="0"/>
    <n v="0.93309474147200688"/>
    <n v="2462.5289174074924"/>
    <n v="3600"/>
    <x v="534"/>
    <s v="&lt;Клиент не выбран&gt;"/>
    <s v="2024 05"/>
    <n v="1137.4710825925076"/>
    <n v="0.46191176661999056"/>
  </r>
  <r>
    <s v="524849157"/>
    <s v="720000180301"/>
    <s v="iHerb_OA CZN6870"/>
    <s v="Доставлен"/>
    <d v="2024-03-24T00:00:00"/>
    <x v="21"/>
    <s v="Витамины"/>
    <s v="NOW-01292"/>
    <x v="3"/>
    <x v="1014"/>
    <n v="30.48"/>
    <n v="-7.3159999999999998"/>
    <n v="-0.35200972570473366"/>
    <n v="0"/>
    <n v="0.93309474147200688"/>
    <n v="2462.5289174074924"/>
    <n v="3600"/>
    <x v="534"/>
    <s v="&lt;Клиент не выбран&gt;"/>
    <s v="2024 05"/>
    <n v="1137.4710825925076"/>
    <n v="0.46191176661999056"/>
  </r>
  <r>
    <s v="524849157"/>
    <s v="720000180301"/>
    <s v="iHerb_OA CZN6870"/>
    <s v="Доставлен"/>
    <d v="2024-03-24T00:00:00"/>
    <x v="21"/>
    <s v="Витамины"/>
    <s v="NOW-01292"/>
    <x v="3"/>
    <x v="1014"/>
    <n v="30.48"/>
    <n v="-7.3159999999999998"/>
    <n v="-0.35200972570473366"/>
    <n v="0"/>
    <n v="0.93309474147200688"/>
    <n v="2462.5289174074924"/>
    <n v="3700"/>
    <x v="531"/>
    <s v="&lt;Клиент не выбран&gt;"/>
    <s v="2024 06"/>
    <n v="1237.4710825925076"/>
    <n v="0.50252042680387921"/>
  </r>
  <r>
    <s v="524849157"/>
    <s v="720000180301"/>
    <s v="iHerb_OA CZN6870"/>
    <s v="Доставлен"/>
    <d v="2024-03-24T00:00:00"/>
    <x v="21"/>
    <s v="Витамины"/>
    <s v="NOW-03520"/>
    <x v="3"/>
    <x v="1192"/>
    <n v="22.15"/>
    <n v="-4.43"/>
    <n v="-0.26928044981384391"/>
    <n v="0"/>
    <n v="0.71379894745656891"/>
    <n v="1883.7857199300965"/>
    <n v="2700"/>
    <x v="440"/>
    <s v="&lt;Клиент не выбран&gt;"/>
    <s v="2024 08"/>
    <n v="816.21428006990345"/>
    <n v="0.43328403620141653"/>
  </r>
  <r>
    <s v="524849157"/>
    <s v="720000180301"/>
    <s v="iHerb_OA CZN6870"/>
    <s v="Доставлен"/>
    <d v="2024-03-24T00:00:00"/>
    <x v="21"/>
    <s v="Витамины"/>
    <s v="NBC-00520"/>
    <x v="8"/>
    <x v="733"/>
    <n v="10.84"/>
    <n v="-2.1666666666666665"/>
    <n v="-0.13180356102626445"/>
    <n v="0"/>
    <n v="0.34938014696801961"/>
    <n v="922.04861611326396"/>
    <n v="1700"/>
    <x v="625"/>
    <s v="&lt;Клиент не выбран&gt;"/>
    <s v="2024 09"/>
    <n v="777.95138388673604"/>
    <n v="0.84372056992618805"/>
  </r>
  <r>
    <s v="524849157"/>
    <s v="720000180301"/>
    <s v="iHerb_OA CZN6870"/>
    <s v="Доставлен"/>
    <d v="2024-03-24T00:00:00"/>
    <x v="21"/>
    <s v="Витамины"/>
    <s v="NBC-00520"/>
    <x v="8"/>
    <x v="733"/>
    <n v="10.84"/>
    <n v="-2.1666666666666665"/>
    <n v="-0.13180356102626445"/>
    <n v="0"/>
    <n v="0.34938014696801961"/>
    <n v="922.04861611326396"/>
    <n v="1800"/>
    <x v="437"/>
    <s v="&lt;Клиент не выбран&gt;"/>
    <s v="2024 10"/>
    <n v="877.95138388673604"/>
    <n v="0.9521747210983168"/>
  </r>
  <r>
    <s v="524849157"/>
    <s v="720000180301"/>
    <s v="iHerb_OA CZN6870"/>
    <s v="Доставлен"/>
    <d v="2024-03-24T00:00:00"/>
    <x v="21"/>
    <s v="Витамины"/>
    <s v="NBC-00520"/>
    <x v="8"/>
    <x v="733"/>
    <n v="10.84"/>
    <n v="-2.1666666666666665"/>
    <n v="-0.13180356102626445"/>
    <n v="0"/>
    <n v="0.34938014696801961"/>
    <n v="922.04861611326396"/>
    <n v="1900"/>
    <x v="626"/>
    <m/>
    <s v="2025 09"/>
    <n v="977.95138388673604"/>
    <n v="1.0606288722704456"/>
  </r>
  <r>
    <s v="524849157"/>
    <s v="720000180301"/>
    <s v="iHerb_OA CZN6870"/>
    <s v="Доставлен"/>
    <d v="2024-03-24T00:00:00"/>
    <x v="21"/>
    <s v="Витамины"/>
    <s v="AMN-02786"/>
    <x v="219"/>
    <x v="1193"/>
    <n v="14.46"/>
    <n v="-2.89"/>
    <n v="-0.17582250588861029"/>
    <n v="0"/>
    <n v="0.46606398544427213"/>
    <n v="1229.9887573132739"/>
    <n v="2000"/>
    <x v="604"/>
    <s v="&lt;Клиент не выбран&gt;"/>
    <s v="2024 08"/>
    <n v="770.01124268672606"/>
    <n v="0.62603112273050376"/>
  </r>
  <r>
    <s v="524849157"/>
    <s v="720000180301"/>
    <s v="iHerb_OA CZN6870"/>
    <s v="Доставлен"/>
    <d v="2024-03-24T00:00:00"/>
    <x v="21"/>
    <s v="Витамины"/>
    <s v="SNS-00803"/>
    <x v="151"/>
    <x v="868"/>
    <n v="17.329999999999998"/>
    <n v="-3.4649999999999999"/>
    <n v="-0.21069827520705109"/>
    <n v="0"/>
    <n v="0.55851142248788521"/>
    <n v="1473.966648241015"/>
    <n v="2500"/>
    <x v="326"/>
    <s v="&lt;Клиент не выбран&gt;"/>
    <s v="2024 04"/>
    <n v="1026.033351758985"/>
    <n v="0.69610350612981686"/>
  </r>
  <r>
    <s v="524849157"/>
    <s v="720000180301"/>
    <s v="iHerb_OA CZN6870"/>
    <s v="Доставлен"/>
    <d v="2024-03-24T00:00:00"/>
    <x v="21"/>
    <s v="Витамины"/>
    <s v="SNS-00803"/>
    <x v="151"/>
    <x v="868"/>
    <n v="17.329999999999998"/>
    <n v="-3.4649999999999999"/>
    <n v="-0.21069827520705109"/>
    <n v="0"/>
    <n v="0.55851142248788521"/>
    <n v="1473.966648241015"/>
    <n v="2500"/>
    <x v="326"/>
    <s v="&lt;Клиент не выбран&gt;"/>
    <s v="2024 04"/>
    <n v="1026.033351758985"/>
    <n v="0.69610350612981686"/>
  </r>
  <r>
    <s v="524849157"/>
    <s v="720000180301"/>
    <s v="iHerb_OA CZN6870"/>
    <s v="Доставлен"/>
    <d v="2024-03-24T00:00:00"/>
    <x v="21"/>
    <s v="Витамины"/>
    <s v="LEX-30210"/>
    <x v="7"/>
    <x v="749"/>
    <n v="17.100000000000001"/>
    <n v="-3.42"/>
    <n v="-0.20788693868247093"/>
    <n v="0"/>
    <n v="0.55105923257369427"/>
    <n v="1454.2995851379076"/>
    <n v="2200"/>
    <x v="314"/>
    <s v="&lt;Клиент не выбран&gt;"/>
    <s v="2024 05"/>
    <n v="745.70041486209243"/>
    <n v="0.51275570899057876"/>
  </r>
  <r>
    <s v="524849157"/>
    <s v="720000180301"/>
    <s v="iHerb_OA CZN6870"/>
    <s v="Доставлен"/>
    <d v="2024-03-24T00:00:00"/>
    <x v="21"/>
    <s v="Витамины"/>
    <s v="LEX-33510"/>
    <x v="7"/>
    <x v="750"/>
    <n v="11.05"/>
    <n v="-2.21"/>
    <n v="-0.13433629663399435"/>
    <n v="0"/>
    <n v="0.35609383157539892"/>
    <n v="939.76669098092839"/>
    <n v="1600"/>
    <x v="314"/>
    <s v="&lt;Клиент не выбран&gt;"/>
    <s v="2024 05"/>
    <n v="660.23330901907161"/>
    <n v="0.70255023438840991"/>
  </r>
  <r>
    <s v="524849157"/>
    <s v="720000180301"/>
    <s v="iHerb_OA CZN6870"/>
    <s v="Доставлен"/>
    <d v="2024-03-24T00:00:00"/>
    <x v="21"/>
    <s v="Витамины"/>
    <s v="SMO-45805"/>
    <x v="247"/>
    <x v="1140"/>
    <n v="29.93"/>
    <n v="-14.95"/>
    <n v="-0.22764227642276422"/>
    <n v="0"/>
    <n v="0.60342597251125285"/>
    <n v="1592.5005691056911"/>
    <n v="3500"/>
    <x v="627"/>
    <m/>
    <s v="2025 09"/>
    <n v="1907.4994308943089"/>
    <n v="1.1978014123822345"/>
  </r>
  <r>
    <s v="4495104218"/>
    <s v="1495130567"/>
    <s v="essens_OA"/>
    <s v="Доставлен"/>
    <d v="2024-03-22T00:00:00"/>
    <x v="21"/>
    <s v="Парфюм"/>
    <s v="m03550"/>
    <x v="232"/>
    <x v="1194"/>
    <n v="835.97"/>
    <m/>
    <n v="0"/>
    <n v="0"/>
    <n v="112.03837394097437"/>
    <n v="948.00837394097437"/>
    <m/>
    <x v="20"/>
    <m/>
    <s v=""/>
    <n v="-948.00837394097437"/>
    <s v=""/>
  </r>
  <r>
    <s v="4495104218"/>
    <s v="1495130567"/>
    <s v="essens_OA"/>
    <s v="Доставлен"/>
    <d v="2024-03-22T00:00:00"/>
    <x v="21"/>
    <s v="Парфюм"/>
    <s v="m03850"/>
    <x v="232"/>
    <x v="1057"/>
    <n v="835.97"/>
    <m/>
    <n v="0"/>
    <n v="0"/>
    <n v="112.03837394097437"/>
    <n v="948.00837394097437"/>
    <n v="2200"/>
    <x v="188"/>
    <s v="&lt;Клиент не выбран&gt;"/>
    <s v="2024 04"/>
    <n v="1251.9916260590257"/>
    <n v="1.320654606514033"/>
  </r>
  <r>
    <s v="4495104218"/>
    <s v="1495130567"/>
    <s v="essens_OA"/>
    <s v="Доставлен"/>
    <d v="2024-03-22T00:00:00"/>
    <x v="21"/>
    <s v="Парфюм"/>
    <s v="m03850"/>
    <x v="232"/>
    <x v="1057"/>
    <n v="835.97"/>
    <m/>
    <n v="0"/>
    <n v="0"/>
    <n v="112.03837394097437"/>
    <n v="948.00837394097437"/>
    <m/>
    <x v="20"/>
    <m/>
    <s v=""/>
    <n v="-948.00837394097437"/>
    <s v=""/>
  </r>
  <r>
    <s v="4495104218"/>
    <s v="1495130567"/>
    <s v="essens_OA"/>
    <s v="Доставлен"/>
    <d v="2024-03-22T00:00:00"/>
    <x v="21"/>
    <s v="Парфюм"/>
    <s v="w17350"/>
    <x v="232"/>
    <x v="1054"/>
    <n v="835.97"/>
    <m/>
    <n v="0"/>
    <n v="0"/>
    <n v="112.03837394097437"/>
    <n v="948.00837394097437"/>
    <m/>
    <x v="20"/>
    <m/>
    <s v=""/>
    <n v="-948.00837394097437"/>
    <s v=""/>
  </r>
  <r>
    <s v="4495104218"/>
    <s v="1495130567"/>
    <s v="essens_OA"/>
    <s v="Доставлен"/>
    <d v="2024-03-22T00:00:00"/>
    <x v="21"/>
    <s v="Парфюм"/>
    <s v="4eln02s"/>
    <x v="232"/>
    <x v="1195"/>
    <n v="115.08"/>
    <m/>
    <n v="0"/>
    <n v="0"/>
    <n v="15.42325211805128"/>
    <n v="130.50325211805128"/>
    <m/>
    <x v="20"/>
    <m/>
    <s v=""/>
    <n v="-130.50325211805128"/>
    <s v=""/>
  </r>
  <r>
    <s v="4495104218"/>
    <s v="1495130567"/>
    <s v="essens_OA"/>
    <s v="Доставлен"/>
    <d v="2024-03-22T00:00:00"/>
    <x v="21"/>
    <s v="Парфюм"/>
    <s v="4eln06s"/>
    <x v="232"/>
    <x v="1196"/>
    <n v="115.08"/>
    <m/>
    <n v="0"/>
    <n v="0"/>
    <n v="15.42325211805128"/>
    <n v="130.50325211805128"/>
    <n v="200"/>
    <x v="518"/>
    <s v="&lt;Клиент не выбран&gt;"/>
    <s v="2024 04"/>
    <n v="69.496747881948721"/>
    <n v="0.53252885850754894"/>
  </r>
  <r>
    <s v="525371552"/>
    <s v="722500146574"/>
    <s v="iHerb_MH DLE7202"/>
    <s v="Доставлен"/>
    <d v="2024-04-14T00:00:00"/>
    <x v="22"/>
    <s v="Витамины"/>
    <s v="CEN-27285"/>
    <x v="2"/>
    <x v="543"/>
    <n v="9.15"/>
    <n v="-0.92"/>
    <n v="-0.88466157351561436"/>
    <n v="-1.5675557473007972E-15"/>
    <n v="0.53026156043421835"/>
    <n v="824.6246372246793"/>
    <n v="1600"/>
    <x v="374"/>
    <s v="&lt;Клиент не выбран&gt;"/>
    <s v="2024 05"/>
    <n v="775.3753627753207"/>
    <n v="0.94027673655845423"/>
  </r>
  <r>
    <s v="525371552"/>
    <s v="722500146574"/>
    <s v="iHerb_MH DLE7202"/>
    <s v="Доставлен"/>
    <d v="2024-04-14T00:00:00"/>
    <x v="22"/>
    <s v="Витамины"/>
    <s v="FOA-01857"/>
    <x v="171"/>
    <x v="729"/>
    <n v="27.14"/>
    <n v="-5.43"/>
    <n v="-2.3336576866371797"/>
    <n v="-4.1350711146901948E-15"/>
    <n v="1.3987823179862551"/>
    <n v="2175.2856469195367"/>
    <n v="3600"/>
    <x v="374"/>
    <s v="&lt;Клиент не выбран&gt;"/>
    <s v="2024 05"/>
    <n v="1424.7143530804633"/>
    <n v="0.65495506537177239"/>
  </r>
  <r>
    <s v="525371552"/>
    <s v="722500146574"/>
    <s v="iHerb_MH DLE7202"/>
    <s v="Доставлен"/>
    <d v="2024-04-14T00:00:00"/>
    <x v="22"/>
    <s v="Витамины"/>
    <s v="CVR-13129"/>
    <x v="229"/>
    <x v="994"/>
    <n v="30.91"/>
    <n v="-6.18"/>
    <n v="-2.6582844122771743"/>
    <n v="-4.7102859818649707E-15"/>
    <n v="1.5933618942330765"/>
    <n v="2477.8818078452396"/>
    <n v="3500"/>
    <x v="312"/>
    <s v="&lt;Клиент не выбран&gt;"/>
    <s v="2024 07"/>
    <n v="1022.1181921547604"/>
    <n v="0.41249674981212769"/>
  </r>
  <r>
    <s v="525371552"/>
    <s v="722500146574"/>
    <s v="iHerb_MH DLE7202"/>
    <s v="Доставлен"/>
    <d v="2024-04-14T00:00:00"/>
    <x v="22"/>
    <s v="Витамины"/>
    <s v="NCS-67209"/>
    <x v="217"/>
    <x v="1078"/>
    <n v="22.31"/>
    <n v="-3.3450000000000002"/>
    <n v="-2.0385913416432109"/>
    <n v="-3.6122350847581548E-15"/>
    <n v="1.2219210806360812"/>
    <n v="1900.2437721708436"/>
    <n v="3000"/>
    <x v="374"/>
    <s v="&lt;Клиент не выбран&gt;"/>
    <s v="2024 05"/>
    <n v="1099.7562278291564"/>
    <n v="0.57874481365766661"/>
  </r>
  <r>
    <s v="525371552"/>
    <s v="722500146574"/>
    <s v="iHerb_MH DLE7202"/>
    <s v="Доставлен"/>
    <d v="2024-04-14T00:00:00"/>
    <x v="22"/>
    <s v="Витамины"/>
    <s v="NCS-67209"/>
    <x v="217"/>
    <x v="1078"/>
    <n v="22.31"/>
    <n v="-3.3450000000000002"/>
    <n v="-2.0385913416432109"/>
    <n v="-3.6122350847581548E-15"/>
    <n v="1.2219210806360812"/>
    <n v="1900.2437721708436"/>
    <n v="3000"/>
    <x v="374"/>
    <s v="&lt;Клиент не выбран&gt;"/>
    <s v="2024 05"/>
    <n v="1099.7562278291564"/>
    <n v="0.57874481365766661"/>
  </r>
  <r>
    <s v="525371552"/>
    <s v="722500146574"/>
    <s v="iHerb_MH DLE7202"/>
    <s v="Доставлен"/>
    <d v="2024-04-14T00:00:00"/>
    <x v="22"/>
    <s v="Витамины"/>
    <s v="NOW-00386"/>
    <x v="3"/>
    <x v="429"/>
    <n v="33.74"/>
    <n v="-3.37"/>
    <n v="-3.2645409462538528"/>
    <n v="-5.7845283165887253E-15"/>
    <n v="1.9567489174225041"/>
    <n v="3042.9951679846308"/>
    <n v="4000"/>
    <x v="374"/>
    <s v="&lt;Клиент не выбран&gt;"/>
    <s v="2024 05"/>
    <n v="957.00483201536917"/>
    <n v="0.31449436465888031"/>
  </r>
  <r>
    <s v="525371552"/>
    <s v="722500146574"/>
    <s v="iHerb_MH DLE7202"/>
    <s v="Доставлен"/>
    <d v="2024-04-14T00:00:00"/>
    <x v="22"/>
    <s v="Витамины"/>
    <s v="NOW-00446"/>
    <x v="3"/>
    <x v="669"/>
    <n v="6.87"/>
    <n v="-0.69"/>
    <n v="-0.66430237233614775"/>
    <n v="-1.1770953242185814E-15"/>
    <n v="0.39817939775011768"/>
    <n v="619.21995845060974"/>
    <n v="1400"/>
    <x v="374"/>
    <s v="&lt;Клиент не выбран&gt;"/>
    <s v="2024 05"/>
    <n v="780.78004154939026"/>
    <n v="1.2609090370779237"/>
  </r>
  <r>
    <s v="525371552"/>
    <s v="722500146574"/>
    <s v="iHerb_MH DLE7202"/>
    <s v="Доставлен"/>
    <d v="2024-04-14T00:00:00"/>
    <x v="22"/>
    <s v="Витамины"/>
    <s v="NOW-01742"/>
    <x v="3"/>
    <x v="430"/>
    <n v="17.52"/>
    <n v="-1.75"/>
    <n v="-1.695153464683018"/>
    <n v="-3.0036882302470922E-15"/>
    <n v="1.016066197818666"/>
    <n v="1580.1130654961351"/>
    <n v="2400"/>
    <x v="374"/>
    <s v="&lt;Клиент не выбран&gt;"/>
    <s v="2024 05"/>
    <n v="819.88693450386495"/>
    <n v="0.51887865014674195"/>
  </r>
  <r>
    <s v="525371552"/>
    <s v="722500146574"/>
    <s v="iHerb_MH DLE7202"/>
    <s v="Доставлен"/>
    <d v="2024-04-14T00:00:00"/>
    <x v="22"/>
    <s v="Витамины"/>
    <s v="FOA-66043"/>
    <x v="171"/>
    <x v="1197"/>
    <n v="11.09"/>
    <n v="-6.79"/>
    <n v="-0.46221686101058829"/>
    <n v="-8.1901454597733017E-16"/>
    <n v="0.27705039002030846"/>
    <n v="430.84883840414585"/>
    <n v="1600"/>
    <x v="624"/>
    <s v="&lt;Клиент не выбран&gt;"/>
    <s v="2024 09"/>
    <n v="1169.1511615958541"/>
    <n v="2.7135994283432745"/>
  </r>
  <r>
    <s v="525229775"/>
    <s v="720000198857"/>
    <s v="iHerb_AV CYG0792"/>
    <s v="Доставлен"/>
    <d v="2024-04-08T00:00:00"/>
    <x v="22"/>
    <s v="Витамины"/>
    <s v="SOR-08333"/>
    <x v="10"/>
    <x v="1198"/>
    <n v="12.5"/>
    <n v="-2.5"/>
    <n v="-1.0607225211375866"/>
    <n v="0"/>
    <n v="0.54691373127038401"/>
    <n v="993.1283627978479"/>
    <n v="1700"/>
    <x v="320"/>
    <s v="&lt;Клиент не выбран&gt;"/>
    <s v="2024 05"/>
    <n v="706.8716372021521"/>
    <n v="0.71176261164342203"/>
  </r>
  <r>
    <s v="525229775"/>
    <s v="720000198857"/>
    <s v="iHerb_AV CYG0792"/>
    <s v="Доставлен"/>
    <d v="2024-04-08T00:00:00"/>
    <x v="22"/>
    <s v="Витамины"/>
    <s v="NOW-03770"/>
    <x v="3"/>
    <x v="281"/>
    <n v="14.94"/>
    <n v="-2.99"/>
    <n v="-1.2675634127594158"/>
    <n v="0"/>
    <n v="0.65356190886810883"/>
    <n v="1186.7883935434281"/>
    <n v="2300"/>
    <x v="561"/>
    <s v="&lt;Клиент не выбран&gt;"/>
    <s v="2024 05"/>
    <n v="1113.2116064565719"/>
    <n v="0.93800344906712818"/>
  </r>
  <r>
    <s v="525229775"/>
    <s v="720000198857"/>
    <s v="iHerb_AV CYG0792"/>
    <s v="Доставлен"/>
    <d v="2024-04-08T00:00:00"/>
    <x v="22"/>
    <s v="Витамины"/>
    <s v="LEX-23151"/>
    <x v="7"/>
    <x v="17"/>
    <n v="21.18"/>
    <n v="-4.2350000000000003"/>
    <n v="-1.7973943120676403"/>
    <n v="0"/>
    <n v="0.92674531763766577"/>
    <n v="1682.8560107609533"/>
    <n v="2600"/>
    <x v="463"/>
    <s v="&lt;Клиент не выбран&gt;"/>
    <s v="2024 09"/>
    <n v="917.14398923904673"/>
    <n v="0.54499255038720329"/>
  </r>
  <r>
    <s v="525229775"/>
    <s v="720000198857"/>
    <s v="iHerb_AV CYG0792"/>
    <s v="Доставлен"/>
    <d v="2024-04-08T00:00:00"/>
    <x v="22"/>
    <s v="Витамины"/>
    <s v="LEX-23151"/>
    <x v="7"/>
    <x v="17"/>
    <n v="21.18"/>
    <n v="-4.2350000000000003"/>
    <n v="-1.7973943120676403"/>
    <n v="0"/>
    <n v="0.92674531763766577"/>
    <n v="1682.8560107609533"/>
    <n v="2600"/>
    <x v="587"/>
    <s v="&lt;Клиент не выбран&gt;"/>
    <s v="2024 11"/>
    <n v="917.14398923904673"/>
    <n v="0.54499255038720329"/>
  </r>
  <r>
    <s v="525229775"/>
    <s v="720000198857"/>
    <s v="iHerb_AV CYG0792"/>
    <s v="Доставлен"/>
    <d v="2024-04-08T00:00:00"/>
    <x v="22"/>
    <s v="Косметика"/>
    <s v="ARH-00999"/>
    <x v="29"/>
    <x v="1199"/>
    <n v="5.38"/>
    <n v="-1.075"/>
    <n v="-0.45664104534973099"/>
    <n v="0"/>
    <n v="0.2354463613119003"/>
    <n v="427.54176018447345"/>
    <n v="900"/>
    <x v="628"/>
    <s v="Аня Мирный"/>
    <s v="2025 08"/>
    <n v="472.45823981552655"/>
    <n v="1.1050575261038191"/>
  </r>
  <r>
    <s v="525229775"/>
    <s v="720000198857"/>
    <s v="iHerb_AV CYG0792"/>
    <s v="Доставлен"/>
    <d v="2024-04-08T00:00:00"/>
    <x v="22"/>
    <s v="Косметика"/>
    <s v="ARH-00999"/>
    <x v="29"/>
    <x v="1199"/>
    <n v="5.38"/>
    <n v="-1.075"/>
    <n v="-0.45664104534973099"/>
    <n v="0"/>
    <n v="0.2354463613119003"/>
    <n v="427.54176018447345"/>
    <m/>
    <x v="20"/>
    <m/>
    <s v=""/>
    <n v="-427.54176018447345"/>
    <s v=""/>
  </r>
  <r>
    <s v="525229775"/>
    <s v="720000198857"/>
    <s v="iHerb_AV CYG0792"/>
    <s v="Доставлен"/>
    <d v="2024-04-08T00:00:00"/>
    <x v="22"/>
    <s v="Косметика"/>
    <s v="ARH-19724"/>
    <x v="29"/>
    <x v="563"/>
    <n v="4.7300000000000004"/>
    <n v="-0.95"/>
    <n v="-0.40095311299000774"/>
    <n v="0"/>
    <n v="0.20673339042020519"/>
    <n v="375.40252113758652"/>
    <n v="900"/>
    <x v="510"/>
    <s v="&lt;Клиент не выбран&gt;"/>
    <s v="2024 05"/>
    <n v="524.59747886241348"/>
    <n v="1.3974266269515714"/>
  </r>
  <r>
    <s v="525229775"/>
    <s v="720000198857"/>
    <s v="iHerb_AV CYG0792"/>
    <s v="Доставлен"/>
    <d v="2024-04-08T00:00:00"/>
    <x v="22"/>
    <s v="Витамины"/>
    <s v="SOR-03604"/>
    <x v="10"/>
    <x v="1200"/>
    <n v="24.7"/>
    <n v="-4.9400000000000004"/>
    <n v="-2.095987701767871"/>
    <n v="0"/>
    <n v="1.0807015329902787"/>
    <n v="1962.421644888547"/>
    <n v="2800"/>
    <x v="629"/>
    <s v="&lt;Клиент не выбран&gt;"/>
    <s v="2024 08"/>
    <n v="837.57835511145299"/>
    <n v="0.42680855935984241"/>
  </r>
  <r>
    <s v="525229775"/>
    <s v="720000198857"/>
    <s v="iHerb_AV CYG0792"/>
    <s v="Доставлен"/>
    <d v="2024-04-08T00:00:00"/>
    <x v="22"/>
    <s v="Витамины"/>
    <s v="SOR-03604"/>
    <x v="10"/>
    <x v="1200"/>
    <n v="24.7"/>
    <n v="-4.9400000000000004"/>
    <n v="-2.095987701767871"/>
    <n v="0"/>
    <n v="1.0807015329902787"/>
    <n v="1962.421644888547"/>
    <n v="2900"/>
    <x v="630"/>
    <s v="&lt;Клиент не выбран&gt;"/>
    <s v="2024 08"/>
    <n v="937.57835511145299"/>
    <n v="0.47776600790840823"/>
  </r>
  <r>
    <s v="525229775"/>
    <s v="720000198857"/>
    <s v="iHerb_AV CYG0792"/>
    <s v="Доставлен"/>
    <d v="2024-04-08T00:00:00"/>
    <x v="22"/>
    <s v="Витамины"/>
    <s v="FHH-00001"/>
    <x v="242"/>
    <x v="1157"/>
    <n v="24.79"/>
    <n v="-4.96"/>
    <n v="-2.1034127594158338"/>
    <n v="0"/>
    <n v="1.0845299291091717"/>
    <n v="1969.3735434281325"/>
    <n v="2600"/>
    <x v="631"/>
    <s v="&lt;Клиент не выбран&gt;"/>
    <s v="2024 05"/>
    <n v="630.62645657186749"/>
    <n v="0.32021678095366407"/>
  </r>
  <r>
    <s v="525229775"/>
    <s v="720000198857"/>
    <s v="iHerb_AV CYG0792"/>
    <s v="Доставлен"/>
    <d v="2024-04-08T00:00:00"/>
    <x v="22"/>
    <s v="Витамины"/>
    <s v="FOA-66045"/>
    <x v="171"/>
    <x v="1201"/>
    <n v="6.34"/>
    <n v="-3.82"/>
    <n v="-0.26730207532667183"/>
    <n v="0"/>
    <n v="0.1378222602801368"/>
    <n v="250.26834742505764"/>
    <n v="1000"/>
    <x v="558"/>
    <s v="&lt;Клиент не выбран&gt;"/>
    <s v="2024 06"/>
    <n v="749.73165257494236"/>
    <n v="2.9957110449192861"/>
  </r>
  <r>
    <s v="525301691"/>
    <s v="720000203344"/>
    <s v="iHerb_OA CZN6870"/>
    <s v="Доставлен"/>
    <d v="2024-04-10T00:00:00"/>
    <x v="22"/>
    <s v="Витамины"/>
    <s v="CGN-02060"/>
    <x v="1"/>
    <x v="862"/>
    <n v="48.6"/>
    <n v="-14.58"/>
    <n v="-1.544884362163075"/>
    <n v="0"/>
    <n v="1.3709424820842526"/>
    <n v="3520.6344842721296"/>
    <n v="5300"/>
    <x v="374"/>
    <s v="&lt;Клиент не выбран&gt;"/>
    <s v="2024 05"/>
    <n v="1779.3655157278704"/>
    <n v="0.50541046611822404"/>
  </r>
  <r>
    <s v="525301691"/>
    <s v="720000203344"/>
    <s v="iHerb_OA CZN6870"/>
    <s v="Доставлен"/>
    <d v="2024-04-10T00:00:00"/>
    <x v="22"/>
    <s v="Витамины"/>
    <s v="CGN-02060"/>
    <x v="1"/>
    <x v="862"/>
    <n v="48.6"/>
    <n v="-14.58"/>
    <n v="-1.544884362163075"/>
    <n v="0"/>
    <n v="1.3709424820842526"/>
    <n v="3520.6344842721296"/>
    <n v="5200"/>
    <x v="632"/>
    <s v="&lt;Клиент не выбран&gt;"/>
    <s v="2024 09"/>
    <n v="1679.3655157278704"/>
    <n v="0.47700649505938963"/>
  </r>
  <r>
    <s v="525301691"/>
    <s v="720000203344"/>
    <s v="iHerb_OA CZN6870"/>
    <s v="Доставлен"/>
    <d v="2024-04-10T00:00:00"/>
    <x v="22"/>
    <s v="Витамины"/>
    <s v="CGN-02061"/>
    <x v="1"/>
    <x v="976"/>
    <n v="19.27"/>
    <n v="-5.78"/>
    <n v="-0.61259523943503458"/>
    <n v="0"/>
    <n v="0.54362181314863511"/>
    <n v="1396.0423043160204"/>
    <n v="2500"/>
    <x v="406"/>
    <s v="&lt;Клиент не выбран&gt;"/>
    <s v="2024 05"/>
    <n v="1103.9576956839796"/>
    <n v="0.79077667794949436"/>
  </r>
  <r>
    <s v="525301691"/>
    <s v="720000203344"/>
    <s v="iHerb_OA CZN6870"/>
    <s v="Доставлен"/>
    <d v="2024-04-10T00:00:00"/>
    <x v="22"/>
    <s v="Витамины"/>
    <s v="CGN-01330"/>
    <x v="1"/>
    <x v="89"/>
    <n v="23.36"/>
    <n v="-10.86"/>
    <n v="-0.56763828709695574"/>
    <n v="0"/>
    <n v="0.50372666155359069"/>
    <n v="1293.5899780541331"/>
    <n v="4000"/>
    <x v="321"/>
    <s v="&lt;Клиент не выбран&gt;"/>
    <s v="2024 12"/>
    <n v="2706.4100219458669"/>
    <n v="2.0921699053489506"/>
  </r>
  <r>
    <s v="525301691"/>
    <s v="720000203344"/>
    <s v="iHerb_OA CZN6870"/>
    <s v="Доставлен"/>
    <d v="2024-04-10T00:00:00"/>
    <x v="22"/>
    <s v="Витамины"/>
    <s v="SPN-00233"/>
    <x v="45"/>
    <x v="1202"/>
    <n v="7.79"/>
    <n v="-2.3366666666666664"/>
    <n v="-0.24764166338416524"/>
    <n v="0"/>
    <n v="0.2197591515471132"/>
    <n v="564.35018775908327"/>
    <n v="564.35"/>
    <x v="594"/>
    <s v="&lt;Клиент не выбран&gt;"/>
    <s v="2024 04"/>
    <n v="-1.8775908324641932E-4"/>
    <n v="-3.3269960269167524E-7"/>
  </r>
  <r>
    <s v="525301691"/>
    <s v="720000203344"/>
    <s v="iHerb_OA CZN6870"/>
    <s v="Доставлен"/>
    <d v="2024-04-10T00:00:00"/>
    <x v="22"/>
    <s v="Витамины"/>
    <s v="SPN-00233"/>
    <x v="45"/>
    <x v="1202"/>
    <n v="7.79"/>
    <n v="-2.3366666666666664"/>
    <n v="-0.24764166338416524"/>
    <n v="0"/>
    <n v="0.2197591515471132"/>
    <n v="564.35018775908327"/>
    <n v="1300"/>
    <x v="579"/>
    <s v="&lt;Клиент не выбран&gt;"/>
    <s v="2024 09"/>
    <n v="735.64981224091673"/>
    <n v="1.3035342739266704"/>
  </r>
  <r>
    <s v="525301691"/>
    <s v="720000203344"/>
    <s v="iHerb_OA CZN6870"/>
    <s v="Доставлен"/>
    <d v="2024-04-10T00:00:00"/>
    <x v="22"/>
    <s v="Витамины"/>
    <s v="SPN-00233"/>
    <x v="45"/>
    <x v="1202"/>
    <n v="7.79"/>
    <n v="-2.3366666666666664"/>
    <n v="-0.24764166338416524"/>
    <n v="0"/>
    <n v="0.2197591515471132"/>
    <n v="564.35018775908327"/>
    <n v="1400"/>
    <x v="452"/>
    <s v="&lt;Клиент не выбран&gt;"/>
    <s v="2025 01"/>
    <n v="835.64981224091673"/>
    <n v="1.4807292180748759"/>
  </r>
  <r>
    <s v="525301691"/>
    <s v="720000203344"/>
    <s v="iHerb_OA CZN6870"/>
    <s v="Доставлен"/>
    <d v="2024-04-10T00:00:00"/>
    <x v="22"/>
    <s v="Витамины"/>
    <s v="FOA-66052"/>
    <x v="171"/>
    <x v="1203"/>
    <n v="6.34"/>
    <n v="-3.82"/>
    <n v="-0.11443587867874629"/>
    <n v="0"/>
    <n v="0.1015512949692039"/>
    <n v="260.78773957571326"/>
    <n v="1100"/>
    <x v="442"/>
    <s v="&lt;Клиент не выбран&gt;"/>
    <s v="2024 11"/>
    <n v="839.2122604242868"/>
    <n v="3.2179897022369119"/>
  </r>
  <r>
    <s v="525301691"/>
    <s v="720000203344"/>
    <s v="iHerb_OA CZN6870"/>
    <s v="Доставлен"/>
    <d v="2024-04-10T00:00:00"/>
    <x v="22"/>
    <s v="Витамины"/>
    <s v="CGN-02101"/>
    <x v="1"/>
    <x v="1204"/>
    <n v="92.57"/>
    <n v="-27.77"/>
    <n v="-2.9426368803106189"/>
    <n v="0"/>
    <n v="2.6113190134938145"/>
    <n v="6705.9704462326263"/>
    <n v="9700"/>
    <x v="633"/>
    <s v="&lt;Клиент не выбран&gt;"/>
    <s v="2024 09"/>
    <n v="2994.0295537673737"/>
    <n v="0.44647222617114296"/>
  </r>
  <r>
    <s v="525077095"/>
    <s v="720000190392"/>
    <s v="iHerb_OA CZN6870"/>
    <s v="Доставлен"/>
    <d v="2024-04-03T00:00:00"/>
    <x v="22"/>
    <s v="Витамины"/>
    <s v="LEX-17512"/>
    <x v="7"/>
    <x v="1205"/>
    <n v="8.85"/>
    <n v="-1.77"/>
    <n v="-0.76832842708250471"/>
    <n v="8.0048413862383805E-16"/>
    <n v="0.40072978091351458"/>
    <n v="702.85940965868406"/>
    <n v="1400"/>
    <x v="561"/>
    <s v="&lt;Клиент не выбран&gt;"/>
    <s v="2024 05"/>
    <n v="697.14059034131594"/>
    <n v="0.99186349469213875"/>
  </r>
  <r>
    <s v="525077095"/>
    <s v="720000190392"/>
    <s v="iHerb_OA CZN6870"/>
    <s v="Доставлен"/>
    <d v="2024-04-03T00:00:00"/>
    <x v="22"/>
    <s v="Витамины"/>
    <s v="NFS-01683"/>
    <x v="23"/>
    <x v="111"/>
    <n v="6.39"/>
    <n v="-1.28"/>
    <n v="-0.55454212745644049"/>
    <n v="5.7775055767906942E-16"/>
    <n v="0.2892272853768445"/>
    <n v="507.28977166043438"/>
    <n v="1000"/>
    <x v="26"/>
    <s v="&lt;Клиент не выбран&gt;"/>
    <s v="2024 08"/>
    <n v="492.71022833956562"/>
    <n v="0.97125993044735015"/>
  </r>
  <r>
    <s v="525077095"/>
    <s v="720000190392"/>
    <s v="iHerb_OA CZN6870"/>
    <s v="Доставлен"/>
    <d v="2024-04-03T00:00:00"/>
    <x v="22"/>
    <s v="Витамины"/>
    <s v="NFS-01683"/>
    <x v="23"/>
    <x v="111"/>
    <n v="6.39"/>
    <n v="-1.28"/>
    <n v="-0.55454212745644049"/>
    <n v="5.7775055767906942E-16"/>
    <n v="0.2892272853768445"/>
    <n v="507.28977166043438"/>
    <n v="1200"/>
    <x v="166"/>
    <s v="&lt;Клиент не выбран&gt;"/>
    <s v="2025 01"/>
    <n v="692.71022833956567"/>
    <n v="1.3655119165368201"/>
  </r>
  <r>
    <s v="525077095"/>
    <s v="720000190392"/>
    <s v="iHerb_OA CZN6870"/>
    <s v="Доставлен"/>
    <d v="2024-04-03T00:00:00"/>
    <x v="22"/>
    <s v="Витамины"/>
    <s v="NAP-01480"/>
    <x v="11"/>
    <x v="488"/>
    <n v="9.5500000000000007"/>
    <n v="-1.91"/>
    <n v="-0.82910016707773115"/>
    <n v="8.6379926823250319E-16"/>
    <n v="0.43242592177673045"/>
    <n v="758.45280929270439"/>
    <n v="1200"/>
    <x v="128"/>
    <s v="&lt;Клиент не выбран&gt;"/>
    <s v="2024 05"/>
    <n v="441.54719070729561"/>
    <n v="0.58216831066795138"/>
  </r>
  <r>
    <s v="525077095"/>
    <s v="720000190392"/>
    <s v="iHerb_OA CZN6870"/>
    <s v="Доставлен"/>
    <d v="2024-04-03T00:00:00"/>
    <x v="22"/>
    <s v="Витамины"/>
    <s v="NAP-01480"/>
    <x v="11"/>
    <x v="488"/>
    <n v="9.5500000000000007"/>
    <n v="-1.91"/>
    <n v="-0.82910016707773115"/>
    <n v="8.6379926823250319E-16"/>
    <n v="0.43242592177673045"/>
    <n v="758.45280929270439"/>
    <n v="1500"/>
    <x v="312"/>
    <s v="&lt;Клиент не выбран&gt;"/>
    <s v="2024 07"/>
    <n v="741.54719070729561"/>
    <n v="0.97771038833493928"/>
  </r>
  <r>
    <s v="525077095"/>
    <s v="720000190392"/>
    <s v="iHerb_OA CZN6870"/>
    <s v="Доставлен"/>
    <d v="2024-04-03T00:00:00"/>
    <x v="22"/>
    <s v="Витамины"/>
    <s v="NCA-38611"/>
    <x v="210"/>
    <x v="859"/>
    <n v="20.18"/>
    <n v="-4.0350000000000001"/>
    <n v="-1.7520709682552313"/>
    <n v="1.8253977991641053E-15"/>
    <n v="0.91381106113682098"/>
    <n v="1602.7775662343861"/>
    <n v="2400"/>
    <x v="634"/>
    <s v="&lt;Клиент не выбран&gt;"/>
    <s v="2024 09"/>
    <n v="797.22243376561391"/>
    <n v="0.49740054425557773"/>
  </r>
  <r>
    <s v="525077095"/>
    <s v="720000190392"/>
    <s v="iHerb_OA CZN6870"/>
    <s v="Доставлен"/>
    <d v="2024-04-03T00:00:00"/>
    <x v="22"/>
    <s v="Витамины"/>
    <s v="NCA-38611"/>
    <x v="210"/>
    <x v="859"/>
    <n v="20.18"/>
    <n v="-4.0350000000000001"/>
    <n v="-1.7520709682552313"/>
    <n v="1.8253977991641053E-15"/>
    <n v="0.91381106113682098"/>
    <n v="1602.7775662343861"/>
    <n v="2400"/>
    <x v="634"/>
    <s v="&lt;Клиент не выбран&gt;"/>
    <s v="2024 09"/>
    <n v="797.22243376561391"/>
    <n v="0.49740054425557773"/>
  </r>
  <r>
    <s v="525077095"/>
    <s v="720000190392"/>
    <s v="iHerb_OA CZN6870"/>
    <s v="Доставлен"/>
    <d v="2024-04-03T00:00:00"/>
    <x v="22"/>
    <s v="Витамины"/>
    <s v="NWY-14600"/>
    <x v="16"/>
    <x v="1206"/>
    <n v="11.96"/>
    <n v="-2.39"/>
    <n v="-1.0385456281327077"/>
    <n v="1.0820103399195099E-15"/>
    <n v="0.54166440725174214"/>
    <n v="950.05149017423844"/>
    <n v="1800"/>
    <x v="499"/>
    <s v="&lt;Клиент не выбран&gt;"/>
    <s v="2024 05"/>
    <n v="849.94850982576156"/>
    <n v="0.8946341525867002"/>
  </r>
  <r>
    <s v="525077095"/>
    <s v="720000190392"/>
    <s v="iHerb_OA CZN6870"/>
    <s v="Доставлен"/>
    <d v="2024-04-03T00:00:00"/>
    <x v="22"/>
    <s v="Витамины"/>
    <s v="NOW-00140"/>
    <x v="3"/>
    <x v="259"/>
    <n v="7.9"/>
    <n v="-1.58"/>
    <n v="-0.68585249423184036"/>
    <n v="7.145564627263639E-16"/>
    <n v="0.3577135897420074"/>
    <n v="627.41122444108532"/>
    <n v="1500"/>
    <x v="499"/>
    <s v="&lt;Клиент не выбран&gt;"/>
    <s v="2024 05"/>
    <n v="872.58877555891468"/>
    <n v="1.3907764821010973"/>
  </r>
  <r>
    <s v="525077095"/>
    <s v="720000190392"/>
    <s v="iHerb_OA CZN6870"/>
    <s v="Доставлен"/>
    <d v="2024-04-03T00:00:00"/>
    <x v="22"/>
    <s v="Витамины"/>
    <s v="NOW-00142"/>
    <x v="3"/>
    <x v="1207"/>
    <n v="11.07"/>
    <n v="-2.21"/>
    <n v="-0.96149574349590272"/>
    <n v="1.0017358005942378E-15"/>
    <n v="0.50147822865730773"/>
    <n v="879.56700135253402"/>
    <n v="1600"/>
    <x v="531"/>
    <s v="&lt;Клиент не выбран&gt;"/>
    <s v="2024 06"/>
    <n v="720.43299864746598"/>
    <n v="0.81907688389814148"/>
  </r>
  <r>
    <s v="525077095"/>
    <s v="720000190392"/>
    <s v="iHerb_OA CZN6870"/>
    <s v="Доставлен"/>
    <d v="2024-04-03T00:00:00"/>
    <x v="22"/>
    <s v="Витамины"/>
    <s v="JRW-13007"/>
    <x v="21"/>
    <x v="448"/>
    <n v="17.07"/>
    <n v="-3.41"/>
    <n v="-1.4823963720264146"/>
    <n v="1.5444369115256535E-15"/>
    <n v="0.77315943605630066"/>
    <n v="1356.0818553584215"/>
    <n v="2300"/>
    <x v="374"/>
    <s v="&lt;Клиент не выбран&gt;"/>
    <s v="2024 05"/>
    <n v="943.91814464157846"/>
    <n v="0.69606280838562995"/>
  </r>
  <r>
    <s v="525077095"/>
    <s v="720000190392"/>
    <s v="iHerb_OA CZN6870"/>
    <s v="Доставлен"/>
    <d v="2024-04-03T00:00:00"/>
    <x v="22"/>
    <s v="Витамины"/>
    <s v="NLI-00437"/>
    <x v="158"/>
    <x v="1095"/>
    <n v="9.2899999999999991"/>
    <n v="-1.86"/>
    <n v="-0.80631076457952111"/>
    <n v="8.4005609462925362E-16"/>
    <n v="0.42053986895302436"/>
    <n v="737.60528442994655"/>
    <n v="1900"/>
    <x v="374"/>
    <s v="&lt;Клиент не выбран&gt;"/>
    <s v="2024 05"/>
    <n v="1162.3947155700534"/>
    <n v="1.575903454200986"/>
  </r>
  <r>
    <s v="525077095"/>
    <s v="720000190392"/>
    <s v="iHerb_OA CZN6870"/>
    <s v="Доставлен"/>
    <d v="2024-04-03T00:00:00"/>
    <x v="22"/>
    <s v="Витамины"/>
    <s v="NLI-00437"/>
    <x v="158"/>
    <x v="1095"/>
    <n v="9.2899999999999991"/>
    <n v="-1.86"/>
    <n v="-0.80631076457952111"/>
    <n v="8.4005609462925362E-16"/>
    <n v="0.42053986895302436"/>
    <n v="737.60528442994655"/>
    <n v="1900"/>
    <x v="599"/>
    <s v="&lt;Клиент не выбран&gt;"/>
    <s v="2024 08"/>
    <n v="1162.3947155700534"/>
    <n v="1.575903454200986"/>
  </r>
  <r>
    <s v="525077095"/>
    <s v="720000190392"/>
    <s v="iHerb_OA CZN6870"/>
    <s v="Доставлен"/>
    <d v="2024-04-03T00:00:00"/>
    <x v="22"/>
    <s v="Витамины"/>
    <s v="EVL-02951"/>
    <x v="125"/>
    <x v="1208"/>
    <n v="15.1"/>
    <n v="-7.55"/>
    <n v="-0.81933328029278396"/>
    <n v="8.5362362240253909E-16"/>
    <n v="0.42733189913799929"/>
    <n v="749.51815578009393"/>
    <m/>
    <x v="20"/>
    <m/>
    <s v=""/>
    <n v="-749.51815578009393"/>
    <s v=""/>
  </r>
  <r>
    <s v="525560120"/>
    <s v="720000209993"/>
    <s v="iHerb_MH DLE7202"/>
    <s v="Доставлен"/>
    <d v="2024-04-22T00:00:00"/>
    <x v="22"/>
    <s v="Витамины"/>
    <s v="SNS-00803"/>
    <x v="151"/>
    <x v="868"/>
    <n v="17.21"/>
    <n v="-3.44"/>
    <n v="0"/>
    <n v="-2.0717110732976718E-15"/>
    <n v="0.70847794110130935"/>
    <n v="1499.5659504525963"/>
    <n v="2500"/>
    <x v="374"/>
    <s v="&lt;Клиент не выбран&gt;"/>
    <s v="2024 05"/>
    <n v="1000.4340495474037"/>
    <n v="0.66714908353677571"/>
  </r>
  <r>
    <s v="525560120"/>
    <s v="720000209993"/>
    <s v="iHerb_MH DLE7202"/>
    <s v="Доставлен"/>
    <d v="2024-04-22T00:00:00"/>
    <x v="22"/>
    <s v="Витамины"/>
    <s v="SNS-00803"/>
    <x v="151"/>
    <x v="868"/>
    <n v="17.21"/>
    <n v="-3.44"/>
    <n v="0"/>
    <n v="-2.0717110732976718E-15"/>
    <n v="0.70847794110130935"/>
    <n v="1499.5659504525963"/>
    <n v="2500"/>
    <x v="374"/>
    <s v="&lt;Клиент не выбран&gt;"/>
    <s v="2024 05"/>
    <n v="1000.4340495474037"/>
    <n v="0.66714908353677571"/>
  </r>
  <r>
    <s v="525560120"/>
    <s v="720000209993"/>
    <s v="iHerb_MH DLE7202"/>
    <s v="Доставлен"/>
    <d v="2024-04-22T00:00:00"/>
    <x v="22"/>
    <s v="Витамины"/>
    <s v="NOW-01613"/>
    <x v="3"/>
    <x v="732"/>
    <n v="42.55"/>
    <n v="-8.51"/>
    <n v="0"/>
    <n v="-5.1213540257845123E-15"/>
    <n v="1.7513862828677245"/>
    <n v="3706.9880140454884"/>
    <n v="4900"/>
    <x v="374"/>
    <s v="&lt;Клиент не выбран&gt;"/>
    <s v="2024 05"/>
    <n v="1193.0119859545116"/>
    <n v="0.32182785092217248"/>
  </r>
  <r>
    <s v="525560120"/>
    <s v="720000209993"/>
    <s v="iHerb_MH DLE7202"/>
    <s v="Доставлен"/>
    <d v="2024-04-22T00:00:00"/>
    <x v="22"/>
    <s v="Витамины"/>
    <s v="NOW-02644"/>
    <x v="3"/>
    <x v="21"/>
    <n v="23.08"/>
    <n v="-4.6150000000000002"/>
    <n v="0"/>
    <n v="-2.7780787921889251E-15"/>
    <n v="0.95003959204325883"/>
    <n v="2010.8558660208555"/>
    <n v="2900"/>
    <x v="393"/>
    <s v="&lt;Клиент не выбран&gt;"/>
    <s v="2024 06"/>
    <n v="889.1441339791445"/>
    <n v="0.44217198706469735"/>
  </r>
  <r>
    <s v="525560120"/>
    <s v="720000209993"/>
    <s v="iHerb_MH DLE7202"/>
    <s v="Доставлен"/>
    <d v="2024-04-22T00:00:00"/>
    <x v="22"/>
    <s v="Витамины"/>
    <s v="NOW-02644"/>
    <x v="3"/>
    <x v="21"/>
    <n v="23.08"/>
    <n v="-4.6150000000000002"/>
    <n v="0"/>
    <n v="-2.7780787921889251E-15"/>
    <n v="0.95003959204325883"/>
    <n v="2010.8558660208555"/>
    <n v="2900"/>
    <x v="531"/>
    <s v="&lt;Клиент не выбран&gt;"/>
    <s v="2024 06"/>
    <n v="889.1441339791445"/>
    <n v="0.44217198706469735"/>
  </r>
  <r>
    <s v="525560120"/>
    <s v="720000209993"/>
    <s v="iHerb_MH DLE7202"/>
    <s v="Доставлен"/>
    <d v="2024-04-22T00:00:00"/>
    <x v="22"/>
    <s v="Витамины"/>
    <s v="NBC-01000"/>
    <x v="8"/>
    <x v="609"/>
    <n v="13.66"/>
    <n v="-2.73"/>
    <n v="0"/>
    <n v="-1.6444300676211728E-15"/>
    <n v="0.5623575814260936"/>
    <n v="1190.2872794805285"/>
    <n v="2000"/>
    <x v="635"/>
    <s v="&lt;Клиент не выбран&gt;"/>
    <s v="2024 05"/>
    <n v="809.71272051947153"/>
    <n v="0.68026663350787941"/>
  </r>
  <r>
    <s v="525560120"/>
    <s v="720000209993"/>
    <s v="iHerb_MH DLE7202"/>
    <s v="Доставлен"/>
    <d v="2024-04-22T00:00:00"/>
    <x v="22"/>
    <s v="Витамины"/>
    <s v="FCD-02867"/>
    <x v="207"/>
    <x v="1209"/>
    <n v="13.15"/>
    <n v="-6.58"/>
    <n v="0"/>
    <n v="-9.8846345327274533E-16"/>
    <n v="0.33803195882611492"/>
    <n v="715.47917897411457"/>
    <n v="1700"/>
    <x v="624"/>
    <s v="&lt;Клиент не выбран&gt;"/>
    <s v="2024 09"/>
    <n v="984.52082102588543"/>
    <n v="1.3760300089200843"/>
  </r>
  <r>
    <s v="525560120"/>
    <s v="720000209993"/>
    <s v="iHerb_MH DLE7202"/>
    <s v="Доставлен"/>
    <d v="2024-04-22T00:00:00"/>
    <x v="22"/>
    <s v="Витамины"/>
    <s v="NOW-01662"/>
    <x v="3"/>
    <x v="122"/>
    <n v="36.799999999999997"/>
    <n v="-7.36"/>
    <n v="0"/>
    <n v="-4.4292791574352541E-15"/>
    <n v="1.5147124608585727"/>
    <n v="3206.0436878231249"/>
    <n v="4200"/>
    <x v="469"/>
    <s v="&lt;Клиент не выбран&gt;"/>
    <s v="2024 08"/>
    <n v="993.95631217687514"/>
    <n v="0.3100258165389389"/>
  </r>
  <r>
    <s v="525560120"/>
    <s v="720000209993"/>
    <s v="iHerb_MH DLE7202"/>
    <s v="Доставлен"/>
    <d v="2024-04-22T00:00:00"/>
    <x v="22"/>
    <s v="Витамины"/>
    <s v="NOW-01662"/>
    <x v="3"/>
    <x v="122"/>
    <n v="36.799999999999997"/>
    <n v="-7.36"/>
    <n v="0"/>
    <n v="-4.4292791574352541E-15"/>
    <n v="1.5147124608585727"/>
    <n v="3206.0436878231249"/>
    <n v="4200"/>
    <x v="636"/>
    <s v="&lt;Клиент не выбран&gt;"/>
    <s v="2024 08"/>
    <n v="993.95631217687514"/>
    <n v="0.3100258165389389"/>
  </r>
  <r>
    <s v="525560120"/>
    <s v="720000209993"/>
    <s v="iHerb_MH DLE7202"/>
    <s v="Доставлен"/>
    <d v="2024-04-22T00:00:00"/>
    <x v="22"/>
    <s v="Витамины"/>
    <s v="NOW-01742"/>
    <x v="3"/>
    <x v="430"/>
    <n v="17.52"/>
    <n v="-3.5"/>
    <n v="0"/>
    <n v="-2.1093238378818704E-15"/>
    <n v="0.72134064881919802"/>
    <n v="1526.7911855733769"/>
    <n v="2400"/>
    <x v="374"/>
    <s v="&lt;Клиент не выбран&gt;"/>
    <s v="2024 05"/>
    <n v="873.20881442662312"/>
    <n v="0.57192419151849838"/>
  </r>
  <r>
    <s v="525528488"/>
    <s v="720000209360"/>
    <s v="iHerb_AV CYG0792"/>
    <s v="Доставлен"/>
    <d v="2024-04-21T00:00:00"/>
    <x v="22"/>
    <s v="Витамины"/>
    <s v="SOL-00314"/>
    <x v="19"/>
    <x v="138"/>
    <n v="20.260000000000002"/>
    <n v="-1.0149999999999999"/>
    <n v="-1.1046780786918748"/>
    <n v="-6.2110463633466758E-15"/>
    <n v="1.0562186075324969"/>
    <n v="1999.1424385397136"/>
    <n v="2500"/>
    <x v="469"/>
    <s v="&lt;Клиент не выбран&gt;"/>
    <s v="2024 08"/>
    <n v="500.85756146028643"/>
    <n v="0.25053620582740521"/>
  </r>
  <r>
    <s v="525528488"/>
    <s v="720000209360"/>
    <s v="iHerb_AV CYG0792"/>
    <s v="Доставлен"/>
    <d v="2024-04-21T00:00:00"/>
    <x v="22"/>
    <s v="Витамины"/>
    <s v="SOL-00314"/>
    <x v="19"/>
    <x v="138"/>
    <n v="20.260000000000002"/>
    <n v="-1.0149999999999999"/>
    <n v="-1.1046780786918748"/>
    <n v="-6.2110463633466758E-15"/>
    <n v="1.0562186075324969"/>
    <n v="1999.1424385397136"/>
    <n v="2800"/>
    <x v="637"/>
    <s v="&lt;Клиент не выбран&gt;"/>
    <s v="2025 02"/>
    <n v="800.85756146028643"/>
    <n v="0.4006005505266938"/>
  </r>
  <r>
    <s v="525528488"/>
    <s v="720000209360"/>
    <s v="iHerb_AV CYG0792"/>
    <s v="Доставлен"/>
    <d v="2024-04-21T00:00:00"/>
    <x v="22"/>
    <s v="Витамины"/>
    <s v="SOL-52387"/>
    <x v="19"/>
    <x v="1210"/>
    <n v="18.55"/>
    <n v="-0.93"/>
    <n v="-1.011401805484585"/>
    <n v="-5.6866010351867198E-15"/>
    <n v="0.96703413170811081"/>
    <n v="1830.3398164234738"/>
    <n v="2500"/>
    <x v="584"/>
    <s v="&lt;Клиент не выбран&gt;"/>
    <s v="2024 05"/>
    <n v="669.66018357652615"/>
    <n v="0.36586658803339456"/>
  </r>
  <r>
    <s v="525528488"/>
    <s v="720000209360"/>
    <s v="iHerb_AV CYG0792"/>
    <s v="Доставлен"/>
    <d v="2024-04-21T00:00:00"/>
    <x v="22"/>
    <s v="Витамины"/>
    <s v="SOL-52387"/>
    <x v="19"/>
    <x v="1210"/>
    <n v="18.55"/>
    <n v="-0.93"/>
    <n v="-1.011401805484585"/>
    <n v="-5.6866010351867198E-15"/>
    <n v="0.96703413170811081"/>
    <n v="1830.3398164234738"/>
    <n v="2500"/>
    <x v="584"/>
    <s v="&lt;Клиент не выбран&gt;"/>
    <s v="2024 05"/>
    <n v="669.66018357652615"/>
    <n v="0.36586658803339456"/>
  </r>
  <r>
    <s v="525528488"/>
    <s v="720000209360"/>
    <s v="iHerb_AV CYG0792"/>
    <s v="Доставлен"/>
    <d v="2024-04-21T00:00:00"/>
    <x v="22"/>
    <s v="Витамины"/>
    <s v="SOL-01735"/>
    <x v="19"/>
    <x v="644"/>
    <n v="13.9"/>
    <n v="-0.69499999999999995"/>
    <n v="-0.75797734627831681"/>
    <n v="-4.2617234205244398E-15"/>
    <n v="0.72472677123754836"/>
    <n v="1371.7160769507364"/>
    <n v="1900"/>
    <x v="374"/>
    <s v="&lt;Клиент не выбран&gt;"/>
    <s v="2024 05"/>
    <n v="528.28392304926365"/>
    <n v="0.38512628956249839"/>
  </r>
  <r>
    <s v="525528488"/>
    <s v="720000209360"/>
    <s v="iHerb_AV CYG0792"/>
    <s v="Доставлен"/>
    <d v="2024-04-21T00:00:00"/>
    <x v="22"/>
    <s v="Витамины"/>
    <s v="SOL-01735"/>
    <x v="19"/>
    <x v="644"/>
    <n v="13.9"/>
    <n v="-0.69499999999999995"/>
    <n v="-0.75797734627831681"/>
    <n v="-4.2617234205244398E-15"/>
    <n v="0.72472677123754836"/>
    <n v="1371.7160769507364"/>
    <n v="1800"/>
    <x v="592"/>
    <s v="&lt;Клиент не выбран&gt;"/>
    <s v="2024 06"/>
    <n v="428.28392304926365"/>
    <n v="0.3122249059013143"/>
  </r>
  <r>
    <s v="525528488"/>
    <s v="720000209360"/>
    <s v="iHerb_AV CYG0792"/>
    <s v="Доставлен"/>
    <d v="2024-04-21T00:00:00"/>
    <x v="22"/>
    <s v="Витамины"/>
    <s v="SOL-19377"/>
    <x v="19"/>
    <x v="645"/>
    <n v="15.51"/>
    <n v="-0.77500000000000002"/>
    <n v="-0.8458005450519499"/>
    <n v="-4.7555088679611977E-15"/>
    <n v="0.8086973853983549"/>
    <n v="1530.6502380817187"/>
    <n v="2300"/>
    <x v="613"/>
    <s v="&lt;Клиент не выбран&gt;"/>
    <s v="2024 12"/>
    <n v="769.34976191828127"/>
    <n v="0.50262936807984671"/>
  </r>
  <r>
    <s v="525528488"/>
    <s v="720000209360"/>
    <s v="iHerb_AV CYG0792"/>
    <s v="Доставлен"/>
    <d v="2024-04-21T00:00:00"/>
    <x v="22"/>
    <s v="Витамины"/>
    <s v="SOL-19377"/>
    <x v="19"/>
    <x v="645"/>
    <n v="15.51"/>
    <n v="-0.77500000000000002"/>
    <n v="-0.8458005450519499"/>
    <n v="-4.7555088679611977E-15"/>
    <n v="0.8086973853983549"/>
    <n v="1530.6502380817187"/>
    <n v="2200"/>
    <x v="638"/>
    <s v="Оксана 17 Цветы"/>
    <s v="2025 08"/>
    <n v="669.34976191828127"/>
    <n v="0.43729765642420126"/>
  </r>
  <r>
    <s v="525528488"/>
    <s v="720000209360"/>
    <s v="iHerb_AV CYG0792"/>
    <s v="Доставлен"/>
    <d v="2024-04-21T00:00:00"/>
    <x v="22"/>
    <s v="Витамины"/>
    <s v="SOL-04163"/>
    <x v="19"/>
    <x v="1211"/>
    <n v="19.329999999999998"/>
    <n v="-0.97"/>
    <n v="-1.0538783852835969"/>
    <n v="-5.925425369241099E-15"/>
    <n v="1.0076473699296773"/>
    <n v="1907.2099335717924"/>
    <m/>
    <x v="20"/>
    <m/>
    <s v=""/>
    <n v="-1907.2099335717924"/>
    <s v=""/>
  </r>
  <r>
    <s v="525528488"/>
    <s v="720000209360"/>
    <s v="iHerb_AV CYG0792"/>
    <s v="Доставлен"/>
    <d v="2024-04-21T00:00:00"/>
    <x v="22"/>
    <s v="Витамины"/>
    <s v="SOL-00201"/>
    <x v="19"/>
    <x v="1212"/>
    <n v="27.46"/>
    <n v="-1.37"/>
    <n v="-1.4975864418327367"/>
    <n v="-8.420171453349689E-15"/>
    <n v="1.431891061081987"/>
    <n v="2710.191022161659"/>
    <n v="3300"/>
    <x v="624"/>
    <s v="&lt;Клиент не выбран&gt;"/>
    <s v="2024 09"/>
    <n v="589.80897783834098"/>
    <n v="0.21762634921870083"/>
  </r>
  <r>
    <s v="525528488"/>
    <s v="720000209360"/>
    <s v="iHerb_AV CYG0792"/>
    <s v="Доставлен"/>
    <d v="2024-04-21T00:00:00"/>
    <x v="22"/>
    <s v="Витамины"/>
    <s v="IHB-00961"/>
    <x v="258"/>
    <x v="1213"/>
    <n v="4.1500000000000004"/>
    <n v="-2.08"/>
    <n v="-0.11881962187020947"/>
    <n v="-6.6806266417914365E-16"/>
    <n v="0.11360730151167933"/>
    <n v="215.02857094191776"/>
    <m/>
    <x v="20"/>
    <m/>
    <s v=""/>
    <n v="-215.02857094191776"/>
    <s v=""/>
  </r>
  <r>
    <s v="525507871"/>
    <s v="720000208908"/>
    <s v="iHerb_OA CZN6870"/>
    <s v="Доставлен"/>
    <d v="2024-04-20T00:00:00"/>
    <x v="22"/>
    <s v="Спортпит"/>
    <s v="UNN-03281"/>
    <x v="137"/>
    <x v="484"/>
    <n v="39.729999999999997"/>
    <n v="-3.97"/>
    <n v="-2.1367862939585209"/>
    <n v="0"/>
    <n v="2.0774563027128945"/>
    <n v="3718.854410580102"/>
    <n v="4600"/>
    <x v="128"/>
    <s v="&lt;Клиент не выбран&gt;"/>
    <s v="2024 05"/>
    <n v="881.14558941989799"/>
    <n v="0.23694006060389133"/>
  </r>
  <r>
    <s v="525507871"/>
    <s v="720000208908"/>
    <s v="iHerb_OA CZN6870"/>
    <s v="Доставлен"/>
    <d v="2024-04-20T00:00:00"/>
    <x v="22"/>
    <s v="Витамины"/>
    <s v="SOR-47105"/>
    <x v="10"/>
    <x v="979"/>
    <n v="8.9499999999999993"/>
    <n v="-0.9"/>
    <n v="-0.48101593026750816"/>
    <n v="0"/>
    <n v="0.4676600457728971"/>
    <n v="837.15822162107986"/>
    <n v="1500"/>
    <x v="639"/>
    <m/>
    <s v="2026 05"/>
    <n v="662.84177837892014"/>
    <n v="0.79177598840920183"/>
  </r>
  <r>
    <s v="525507871"/>
    <s v="720000208908"/>
    <s v="iHerb_OA CZN6870"/>
    <s v="Доставлен"/>
    <d v="2024-04-20T00:00:00"/>
    <x v="22"/>
    <s v="Витамины"/>
    <s v="NOW-00386"/>
    <x v="3"/>
    <x v="429"/>
    <n v="33.74"/>
    <n v="-3.37"/>
    <n v="-1.8147147580402765"/>
    <n v="0"/>
    <n v="1.7643274024997375"/>
    <n v="3158.322383929466"/>
    <n v="4000"/>
    <x v="374"/>
    <s v="&lt;Клиент не выбран&gt;"/>
    <s v="2024 05"/>
    <n v="841.67761607053399"/>
    <n v="0.26649515589455131"/>
  </r>
  <r>
    <s v="525507871"/>
    <s v="720000208908"/>
    <s v="iHerb_OA CZN6870"/>
    <s v="Доставлен"/>
    <d v="2024-04-20T00:00:00"/>
    <x v="22"/>
    <s v="Витамины"/>
    <s v="NOW-01742"/>
    <x v="3"/>
    <x v="430"/>
    <n v="17.52"/>
    <n v="-1.75"/>
    <n v="-0.94231319507063416"/>
    <n v="0"/>
    <n v="0.91614893438988676"/>
    <n v="1639.9981558962027"/>
    <n v="2400"/>
    <x v="374"/>
    <s v="&lt;Клиент не выбран&gt;"/>
    <s v="2024 05"/>
    <n v="760.00184410379734"/>
    <n v="0.46341627968995031"/>
  </r>
  <r>
    <s v="525507871"/>
    <s v="720000208908"/>
    <s v="iHerb_OA CZN6870"/>
    <s v="Доставлен"/>
    <d v="2024-04-20T00:00:00"/>
    <x v="22"/>
    <s v="Витамины"/>
    <s v="SNS-00803"/>
    <x v="151"/>
    <x v="868"/>
    <n v="17.21"/>
    <n v="-1.72"/>
    <n v="-0.92558220619176435"/>
    <n v="0"/>
    <n v="0.89988249801517728"/>
    <n v="1610.8796090572087"/>
    <n v="2500"/>
    <x v="374"/>
    <s v="&lt;Клиент не выбран&gt;"/>
    <s v="2024 05"/>
    <n v="889.12039094279135"/>
    <n v="0.55194713865871226"/>
  </r>
  <r>
    <s v="525507871"/>
    <s v="720000208908"/>
    <s v="iHerb_OA CZN6870"/>
    <s v="Доставлен"/>
    <d v="2024-04-20T00:00:00"/>
    <x v="22"/>
    <s v="Витамины"/>
    <s v="SNS-00803"/>
    <x v="151"/>
    <x v="868"/>
    <n v="17.21"/>
    <n v="-1.72"/>
    <n v="-0.92558220619176435"/>
    <n v="0"/>
    <n v="0.89988249801517728"/>
    <n v="1610.8796090572087"/>
    <n v="2500"/>
    <x v="533"/>
    <s v="&lt;Клиент не выбран&gt;"/>
    <s v="2024 06"/>
    <n v="889.12039094279135"/>
    <n v="0.55194713865871226"/>
  </r>
  <r>
    <s v="525507871"/>
    <s v="720000208908"/>
    <s v="iHerb_OA CZN6870"/>
    <s v="Доставлен"/>
    <d v="2024-04-20T00:00:00"/>
    <x v="22"/>
    <s v="Витамины"/>
    <s v="IHB-00961"/>
    <x v="258"/>
    <x v="1213"/>
    <n v="4.1500000000000004"/>
    <n v="-2.08"/>
    <n v="-0.12368981064021642"/>
    <n v="0"/>
    <n v="0.12025544034160215"/>
    <n v="215.26925698827776"/>
    <m/>
    <x v="20"/>
    <m/>
    <s v=""/>
    <n v="-215.26925698827776"/>
    <s v=""/>
  </r>
  <r>
    <s v="525507871"/>
    <s v="720000208908"/>
    <s v="iHerb_OA CZN6870"/>
    <s v="Доставлен"/>
    <d v="2024-04-20T00:00:00"/>
    <x v="22"/>
    <s v="Витамины"/>
    <s v="NBC-01000"/>
    <x v="8"/>
    <x v="609"/>
    <n v="13.66"/>
    <n v="-2.73"/>
    <n v="-0.65310610159302673"/>
    <n v="0"/>
    <n v="0.63497196276990886"/>
    <n v="1136.6632748221621"/>
    <n v="2000"/>
    <x v="312"/>
    <s v="&lt;Клиент не выбран&gt;"/>
    <s v="2024 07"/>
    <n v="863.33672517783793"/>
    <n v="0.75953604229265892"/>
  </r>
  <r>
    <s v="525507871"/>
    <s v="720000208908"/>
    <s v="iHerb_OA CZN6870"/>
    <s v="Доставлен"/>
    <d v="2024-04-20T00:00:00"/>
    <x v="22"/>
    <s v="Витамины"/>
    <s v="NBC-01000"/>
    <x v="8"/>
    <x v="609"/>
    <n v="13.66"/>
    <n v="-2.73"/>
    <n v="-0.65310610159302673"/>
    <n v="0"/>
    <n v="0.63497196276990886"/>
    <n v="1136.6632748221621"/>
    <n v="1900"/>
    <x v="312"/>
    <s v="&lt;Клиент не выбран&gt;"/>
    <s v="2024 07"/>
    <n v="763.33672517783793"/>
    <n v="0.67155924017802604"/>
  </r>
  <r>
    <s v="525507871"/>
    <s v="720000208908"/>
    <s v="iHerb_OA CZN6870"/>
    <s v="Доставлен"/>
    <d v="2024-04-20T00:00:00"/>
    <x v="22"/>
    <s v="Витамины"/>
    <s v="SWV-11877"/>
    <x v="89"/>
    <x v="1214"/>
    <n v="13.43"/>
    <n v="-2.6850000000000001"/>
    <n v="-0.64205169822663055"/>
    <n v="0"/>
    <n v="0.62422449587947582"/>
    <n v="1117.4242349463982"/>
    <n v="2500"/>
    <x v="584"/>
    <s v="&lt;Клиент не выбран&gt;"/>
    <s v="2024 05"/>
    <n v="1382.5757650536018"/>
    <n v="1.2372881505652351"/>
  </r>
  <r>
    <s v="525507871"/>
    <s v="720000208908"/>
    <s v="iHerb_OA CZN6870"/>
    <s v="Доставлен"/>
    <d v="2024-04-20T00:00:00"/>
    <x v="22"/>
    <s v="Витамины"/>
    <s v="SWV-11877"/>
    <x v="89"/>
    <x v="1214"/>
    <n v="13.43"/>
    <n v="-2.6850000000000001"/>
    <n v="-0.64205169822663055"/>
    <n v="0"/>
    <n v="0.62422449587947582"/>
    <n v="1117.4242349463982"/>
    <n v="2500"/>
    <x v="504"/>
    <s v="&lt;Клиент не выбран&gt;"/>
    <s v="2024 05"/>
    <n v="1382.5757650536018"/>
    <n v="1.2372881505652351"/>
  </r>
  <r>
    <s v="OZO0079"/>
    <n v="0"/>
    <s v="OZON_OA"/>
    <s v="Доставлен"/>
    <d v="2024-04-26T00:00:00"/>
    <x v="22"/>
    <s v="Парфюм"/>
    <s v="ave51"/>
    <x v="232"/>
    <x v="1215"/>
    <n v="570.55999999999995"/>
    <n v="0"/>
    <n v="0"/>
    <n v="0"/>
    <n v="0"/>
    <n v="570.55999999999995"/>
    <m/>
    <x v="20"/>
    <m/>
    <s v=""/>
    <n v="-570.55999999999995"/>
    <s v=""/>
  </r>
  <r>
    <s v="OZO0079"/>
    <n v="0"/>
    <s v="OZON_OA"/>
    <s v="Доставлен"/>
    <d v="2024-04-26T00:00:00"/>
    <x v="22"/>
    <s v="Парфюм"/>
    <s v="395837779"/>
    <x v="232"/>
    <x v="1216"/>
    <n v="1518.69"/>
    <n v="0"/>
    <n v="0"/>
    <n v="0"/>
    <n v="0"/>
    <n v="1518.69"/>
    <n v="518.69000000000005"/>
    <x v="20"/>
    <m/>
    <s v=""/>
    <n v="-1000"/>
    <n v="-0.65846222731433013"/>
  </r>
  <r>
    <s v="OZO0079"/>
    <n v="0"/>
    <s v="OZON_OA"/>
    <s v="Доставлен"/>
    <d v="2024-04-26T00:00:00"/>
    <x v="22"/>
    <s v="Парфюм"/>
    <s v="360051948"/>
    <x v="232"/>
    <x v="1217"/>
    <n v="1036.08"/>
    <n v="0"/>
    <n v="0"/>
    <n v="0"/>
    <n v="0"/>
    <n v="1036.08"/>
    <n v="2200"/>
    <x v="640"/>
    <s v="&lt;Клиент не выбран&gt;"/>
    <s v="2024 04"/>
    <n v="1163.92"/>
    <n v="1.1233881553547991"/>
  </r>
  <r>
    <s v="OZO0079"/>
    <n v="0"/>
    <s v="OZON_OA"/>
    <s v="Доставлен"/>
    <d v="2024-04-26T00:00:00"/>
    <x v="22"/>
    <s v="Парфюм"/>
    <s v="271446882"/>
    <x v="232"/>
    <x v="1218"/>
    <n v="1518.67"/>
    <n v="0"/>
    <n v="0"/>
    <n v="0"/>
    <n v="0"/>
    <n v="1518.67"/>
    <m/>
    <x v="20"/>
    <m/>
    <s v=""/>
    <n v="-1518.67"/>
    <s v=""/>
  </r>
  <r>
    <s v="525711041"/>
    <s v="720000218371"/>
    <s v="iHerb_AV CYG0792"/>
    <s v="Доставлен"/>
    <d v="2024-04-29T00:00:00"/>
    <x v="22"/>
    <s v="Витамины"/>
    <s v="BLB-00683"/>
    <x v="186"/>
    <x v="1219"/>
    <n v="26.82"/>
    <n v="-5.36"/>
    <n v="0"/>
    <n v="0"/>
    <n v="1.8379062433889963"/>
    <n v="2412.9398489683049"/>
    <n v="3200"/>
    <x v="630"/>
    <s v="&lt;Клиент не выбран&gt;"/>
    <s v="2024 08"/>
    <n v="787.06015103169511"/>
    <n v="0.32618307968522986"/>
  </r>
  <r>
    <s v="525711041"/>
    <s v="720000218371"/>
    <s v="iHerb_AV CYG0792"/>
    <s v="Доставлен"/>
    <d v="2024-04-29T00:00:00"/>
    <x v="22"/>
    <s v="Витамины"/>
    <s v="BLB-00735"/>
    <x v="186"/>
    <x v="871"/>
    <n v="19.170000000000002"/>
    <n v="-3.83"/>
    <n v="0"/>
    <n v="0"/>
    <n v="1.3137689549667848"/>
    <n v="1724.8134801106148"/>
    <n v="2600"/>
    <x v="498"/>
    <s v="&lt;Клиент не выбран&gt;"/>
    <s v="2024 10"/>
    <n v="875.18651988938518"/>
    <n v="0.50740936917611412"/>
  </r>
  <r>
    <s v="525711041"/>
    <s v="720000218371"/>
    <s v="iHerb_AV CYG0792"/>
    <s v="Доставлен"/>
    <d v="2024-04-29T00:00:00"/>
    <x v="22"/>
    <s v="Витамины"/>
    <s v="BLB-00298"/>
    <x v="186"/>
    <x v="748"/>
    <n v="9.48"/>
    <n v="-1.9"/>
    <n v="0"/>
    <n v="0"/>
    <n v="0.64917657618306579"/>
    <n v="852.28723463092967"/>
    <n v="1500"/>
    <x v="531"/>
    <s v="&lt;Клиент не выбран&gt;"/>
    <s v="2024 06"/>
    <n v="647.71276536907033"/>
    <n v="0.75997004184810146"/>
  </r>
  <r>
    <s v="525711041"/>
    <s v="720000218371"/>
    <s v="iHerb_AV CYG0792"/>
    <s v="Доставлен"/>
    <d v="2024-04-29T00:00:00"/>
    <x v="22"/>
    <s v="Косметика"/>
    <s v="JAS-10030"/>
    <x v="187"/>
    <x v="1220"/>
    <n v="15.33"/>
    <n v="-3.07"/>
    <n v="0"/>
    <n v="0"/>
    <n v="1.0499874438000509"/>
    <n v="1378.5015166985747"/>
    <m/>
    <x v="20"/>
    <m/>
    <s v=""/>
    <n v="-1378.5015166985747"/>
    <s v=""/>
  </r>
  <r>
    <s v="525711041"/>
    <s v="720000218371"/>
    <s v="iHerb_AV CYG0792"/>
    <s v="Доставлен"/>
    <d v="2024-04-29T00:00:00"/>
    <x v="22"/>
    <s v="Косметика"/>
    <s v="GIL-09772"/>
    <x v="259"/>
    <x v="1221"/>
    <n v="10.81"/>
    <n v="-2.16"/>
    <n v="0"/>
    <n v="0"/>
    <n v="0.74081495830917143"/>
    <n v="972.59691023186554"/>
    <m/>
    <x v="20"/>
    <m/>
    <s v=""/>
    <n v="-972.59691023186554"/>
    <s v=""/>
  </r>
  <r>
    <s v="525711041"/>
    <s v="720000218371"/>
    <s v="iHerb_AV CYG0792"/>
    <s v="Доставлен"/>
    <d v="2024-04-29T00:00:00"/>
    <x v="22"/>
    <s v="Косметика"/>
    <s v="AXE-26094"/>
    <x v="260"/>
    <x v="1222"/>
    <n v="7.24"/>
    <n v="-1.45"/>
    <n v="0"/>
    <n v="0"/>
    <n v="0.49587498365434707"/>
    <n v="651.02151563497125"/>
    <m/>
    <x v="20"/>
    <m/>
    <s v=""/>
    <n v="-651.02151563497125"/>
    <s v=""/>
  </r>
  <r>
    <s v="525711041"/>
    <s v="720000218371"/>
    <s v="iHerb_AV CYG0792"/>
    <s v="Доставлен"/>
    <d v="2024-04-29T00:00:00"/>
    <x v="22"/>
    <s v="Косметика"/>
    <s v="AXE-04040"/>
    <x v="260"/>
    <x v="1223"/>
    <n v="7.3"/>
    <n v="-1.46"/>
    <n v="0"/>
    <n v="0"/>
    <n v="0.5001571510434174"/>
    <n v="656.643463092959"/>
    <m/>
    <x v="20"/>
    <m/>
    <s v=""/>
    <n v="-656.643463092959"/>
    <s v=""/>
  </r>
  <r>
    <s v="525711041"/>
    <s v="720000218371"/>
    <s v="iHerb_AV CYG0792"/>
    <s v="Доставлен"/>
    <d v="2024-04-29T00:00:00"/>
    <x v="22"/>
    <s v="Косметика"/>
    <s v="YTH-01970"/>
    <x v="241"/>
    <x v="1224"/>
    <n v="2.2400000000000002"/>
    <n v="-1.24"/>
    <n v="0"/>
    <n v="0"/>
    <n v="8.56433477814071E-2"/>
    <n v="112.43894915975328"/>
    <m/>
    <x v="20"/>
    <m/>
    <s v=""/>
    <n v="-112.43894915975328"/>
    <s v=""/>
  </r>
  <r>
    <s v="525711041"/>
    <s v="720000218371"/>
    <s v="iHerb_AV CYG0792"/>
    <s v="Доставлен"/>
    <d v="2024-04-29T00:00:00"/>
    <x v="22"/>
    <s v="Витамины"/>
    <s v="SNS-00803"/>
    <x v="151"/>
    <x v="868"/>
    <n v="17.21"/>
    <n v="-3.44"/>
    <n v="0"/>
    <n v="0"/>
    <n v="1.1793088989499758"/>
    <n v="1548.2843299298024"/>
    <n v="2500"/>
    <x v="434"/>
    <s v="&lt;Клиент не выбран&gt;"/>
    <s v="2024 06"/>
    <n v="951.71567007019758"/>
    <n v="0.61469050075146558"/>
  </r>
  <r>
    <s v="525711041"/>
    <s v="720000218371"/>
    <s v="iHerb_AV CYG0792"/>
    <s v="Доставлен"/>
    <d v="2024-04-29T00:00:00"/>
    <x v="22"/>
    <s v="Витамины"/>
    <s v="NOW-03802"/>
    <x v="3"/>
    <x v="1225"/>
    <n v="21.9"/>
    <n v="-4.38"/>
    <n v="0"/>
    <n v="0"/>
    <n v="1.5004714531302523"/>
    <n v="1969.9303892788769"/>
    <n v="2700"/>
    <x v="592"/>
    <s v="&lt;Клиент не выбран&gt;"/>
    <s v="2024 06"/>
    <n v="730.06961072112313"/>
    <n v="0.37060680656252848"/>
  </r>
  <r>
    <s v="525711041"/>
    <s v="720000218371"/>
    <s v="iHerb_AV CYG0792"/>
    <s v="Доставлен"/>
    <d v="2024-04-29T00:00:00"/>
    <x v="22"/>
    <s v="Витамины"/>
    <s v="NOW-03880"/>
    <x v="3"/>
    <x v="1226"/>
    <n v="27.38"/>
    <n v="-5.48"/>
    <n v="0"/>
    <n v="0"/>
    <n v="1.8755893164128152"/>
    <n v="2462.412986598596"/>
    <n v="3100"/>
    <x v="386"/>
    <s v="&lt;Клиент не выбран&gt;"/>
    <s v="2024 08"/>
    <n v="637.58701340140396"/>
    <n v="0.25892773343521136"/>
  </r>
  <r>
    <s v="525711041"/>
    <s v="720000218371"/>
    <s v="iHerb_AV CYG0792"/>
    <s v="Доставлен"/>
    <d v="2024-04-29T00:00:00"/>
    <x v="22"/>
    <s v="Витамины"/>
    <s v="NAP-37691"/>
    <x v="11"/>
    <x v="352"/>
    <n v="12.4"/>
    <n v="-2.48"/>
    <n v="0"/>
    <n v="0"/>
    <n v="0.84958200999155842"/>
    <n v="1115.394375664752"/>
    <n v="2000"/>
    <x v="641"/>
    <s v="&lt;Клиент не выбран&gt;"/>
    <s v="2024 12"/>
    <n v="884.60562433524797"/>
    <n v="0.7930877576893296"/>
  </r>
  <r>
    <s v="525680010"/>
    <s v="720000216299"/>
    <s v="iHerb_OA CZN6870"/>
    <s v="Доставлен"/>
    <d v="2024-04-28T00:00:00"/>
    <x v="22"/>
    <s v="Витамины"/>
    <s v="SNS-00803"/>
    <x v="151"/>
    <x v="868"/>
    <n v="17.21"/>
    <n v="-3.4433333333333334"/>
    <n v="-0.28285733853845629"/>
    <n v="2.0098222715493555E-15"/>
    <n v="0.85245261235769298"/>
    <n v="1487.6743827477574"/>
    <n v="2500"/>
    <x v="492"/>
    <s v="&lt;Клиент не выбран&gt;"/>
    <s v="2024 06"/>
    <n v="1012.3256172522426"/>
    <n v="0.68047526326457386"/>
  </r>
  <r>
    <s v="525680010"/>
    <s v="720000216299"/>
    <s v="iHerb_OA CZN6870"/>
    <s v="Доставлен"/>
    <d v="2024-04-28T00:00:00"/>
    <x v="22"/>
    <s v="Витамины"/>
    <s v="SNS-00803"/>
    <x v="151"/>
    <x v="868"/>
    <n v="17.21"/>
    <n v="-3.4433333333333334"/>
    <n v="-0.28285733853845629"/>
    <n v="2.0098222715493555E-15"/>
    <n v="0.85245261235769298"/>
    <n v="1487.6743827477574"/>
    <n v="1487.67"/>
    <x v="642"/>
    <s v="&lt;Клиент не выбран&gt;"/>
    <s v="2024 06"/>
    <n v="-4.3827477572904172E-3"/>
    <n v="-2.9460396765019337E-6"/>
  </r>
  <r>
    <s v="525680010"/>
    <s v="720000216299"/>
    <s v="iHerb_OA CZN6870"/>
    <s v="Доставлен"/>
    <d v="2024-04-28T00:00:00"/>
    <x v="22"/>
    <s v="Витамины"/>
    <s v="SNS-00803"/>
    <x v="151"/>
    <x v="868"/>
    <n v="17.21"/>
    <n v="-3.4433333333333334"/>
    <n v="-0.28285733853845629"/>
    <n v="2.0098222715493555E-15"/>
    <n v="0.85245261235769298"/>
    <n v="1487.6743827477574"/>
    <n v="2500"/>
    <x v="217"/>
    <s v="&lt;Клиент не выбран&gt;"/>
    <s v="2024 08"/>
    <n v="1012.3256172522426"/>
    <n v="0.68047526326457386"/>
  </r>
  <r>
    <s v="525680010"/>
    <s v="720000216299"/>
    <s v="iHerb_OA CZN6870"/>
    <s v="Доставлен"/>
    <d v="2024-04-28T00:00:00"/>
    <x v="22"/>
    <s v="Витамины"/>
    <s v="NRT-16982"/>
    <x v="27"/>
    <x v="1025"/>
    <n v="25.06"/>
    <n v="-5.01"/>
    <n v="-0.4119580850626669"/>
    <n v="2.927138247789194E-15"/>
    <n v="1.2415260201771239"/>
    <n v="2166.6734654304501"/>
    <n v="3000"/>
    <x v="612"/>
    <s v="&lt;Клиент не выбран&gt;"/>
    <s v="2024 05"/>
    <n v="833.32653456954995"/>
    <n v="0.38461103985689604"/>
  </r>
  <r>
    <s v="525680010"/>
    <s v="720000216299"/>
    <s v="iHerb_OA CZN6870"/>
    <s v="Доставлен"/>
    <d v="2024-04-28T00:00:00"/>
    <x v="22"/>
    <s v="Витамины"/>
    <s v="LEX-23151"/>
    <x v="7"/>
    <x v="17"/>
    <n v="21.18"/>
    <n v="-4.24"/>
    <n v="-0.34805835216765973"/>
    <n v="2.4731033375336134E-15"/>
    <n v="1.0489501636808218"/>
    <n v="1830.5959353811386"/>
    <n v="3200"/>
    <x v="395"/>
    <s v="&lt;Клиент не выбран&gt;"/>
    <s v="2025 01"/>
    <n v="1369.4040646188614"/>
    <n v="0.74806462647025662"/>
  </r>
  <r>
    <s v="525680010"/>
    <s v="720000216299"/>
    <s v="iHerb_OA CZN6870"/>
    <s v="Доставлен"/>
    <d v="2024-04-28T00:00:00"/>
    <x v="22"/>
    <s v="Витамины"/>
    <s v="LEX-30210"/>
    <x v="7"/>
    <x v="749"/>
    <n v="17.100000000000001"/>
    <n v="-3.42"/>
    <n v="-0.28107663858639825"/>
    <n v="1.9971696373943235E-15"/>
    <n v="0.84708608259466645"/>
    <n v="1478.3088781590307"/>
    <n v="2200"/>
    <x v="643"/>
    <s v="&lt;Клиент не выбран&gt;"/>
    <s v="2024 06"/>
    <n v="721.69112184096934"/>
    <n v="0.48818696316003091"/>
  </r>
  <r>
    <s v="525680010"/>
    <s v="720000216299"/>
    <s v="iHerb_OA CZN6870"/>
    <s v="Доставлен"/>
    <d v="2024-04-28T00:00:00"/>
    <x v="22"/>
    <s v="Витамины"/>
    <s v="LEX-33510"/>
    <x v="7"/>
    <x v="750"/>
    <n v="11.05"/>
    <n v="-2.21"/>
    <n v="-0.18163139510992399"/>
    <n v="1.2905686838132907E-15"/>
    <n v="0.54738603582871714"/>
    <n v="955.28146805013375"/>
    <n v="1600"/>
    <x v="643"/>
    <s v="&lt;Клиент не выбран&gt;"/>
    <s v="2024 06"/>
    <n v="644.71853194986625"/>
    <n v="0.67489902558858283"/>
  </r>
  <r>
    <s v="525680010"/>
    <s v="720000216299"/>
    <s v="iHerb_OA CZN6870"/>
    <s v="Доставлен"/>
    <d v="2024-04-28T00:00:00"/>
    <x v="22"/>
    <s v="Витамины"/>
    <s v="JRW-13007"/>
    <x v="21"/>
    <x v="448"/>
    <n v="17.07"/>
    <n v="-3.41"/>
    <n v="-0.28066570782823097"/>
    <n v="1.994249798743162E-15"/>
    <n v="0.84584765264935236"/>
    <n v="1476.1476078693242"/>
    <n v="2500"/>
    <x v="575"/>
    <s v="&lt;Клиент не выбран&gt;"/>
    <s v="2024 10"/>
    <n v="1023.8523921306758"/>
    <n v="0.69359756888303825"/>
  </r>
  <r>
    <s v="525680010"/>
    <s v="720000216299"/>
    <s v="iHerb_OA CZN6870"/>
    <s v="Доставлен"/>
    <d v="2024-04-28T00:00:00"/>
    <x v="22"/>
    <s v="Витамины"/>
    <s v="NOW-03802"/>
    <x v="3"/>
    <x v="1225"/>
    <n v="21.9"/>
    <n v="-4.38"/>
    <n v="-0.35997534415450999"/>
    <n v="2.5577786584172912E-15"/>
    <n v="1.0848646320949236"/>
    <n v="1893.2727737826181"/>
    <n v="2600"/>
    <x v="386"/>
    <s v="&lt;Клиент не выбран&gt;"/>
    <s v="2024 08"/>
    <n v="706.72722621738194"/>
    <n v="0.37328336201940598"/>
  </r>
  <r>
    <s v="525680010"/>
    <s v="720000216299"/>
    <s v="iHerb_OA CZN6870"/>
    <s v="Доставлен"/>
    <d v="2024-04-28T00:00:00"/>
    <x v="22"/>
    <s v="Витамины"/>
    <s v="NOW-03880"/>
    <x v="3"/>
    <x v="1226"/>
    <n v="27.38"/>
    <n v="-5.48"/>
    <n v="-0.44996918019313747"/>
    <n v="3.1972233230216139E-15"/>
    <n v="1.3560807901186542"/>
    <n v="2366.5909672282723"/>
    <n v="3100"/>
    <x v="386"/>
    <s v="&lt;Клиент не выбран&gt;"/>
    <s v="2024 08"/>
    <n v="733.40903277172765"/>
    <n v="0.30990105300312581"/>
  </r>
  <r>
    <s v="525680010"/>
    <s v="720000216299"/>
    <s v="iHerb_OA CZN6870"/>
    <s v="Доставлен"/>
    <d v="2024-04-28T00:00:00"/>
    <x v="22"/>
    <s v="Косметика"/>
    <s v="YTH-01963"/>
    <x v="241"/>
    <x v="1227"/>
    <n v="4.4800000000000004"/>
    <n v="-2.48"/>
    <n v="-4.1093075816724896E-2"/>
    <n v="2.9198386511612921E-16"/>
    <n v="0.12384299453138398"/>
    <n v="216.12702897061851"/>
    <m/>
    <x v="20"/>
    <m/>
    <s v=""/>
    <n v="-216.12702897061851"/>
    <s v=""/>
  </r>
  <r>
    <s v="525680010"/>
    <s v="720000216299"/>
    <s v="iHerb_OA CZN6870"/>
    <s v="Доставлен"/>
    <d v="2024-04-28T00:00:00"/>
    <x v="22"/>
    <s v="Витамины"/>
    <s v="SMS-55694"/>
    <x v="140"/>
    <x v="509"/>
    <n v="13.13"/>
    <n v="-2.625"/>
    <n v="-0.21584138072734749"/>
    <n v="1.5336452515224685E-15"/>
    <n v="0.65048532877609433"/>
    <n v="1135.2072196681736"/>
    <n v="1800"/>
    <x v="463"/>
    <s v="&lt;Клиент не выбран&gt;"/>
    <s v="2024 09"/>
    <n v="664.79278033182641"/>
    <n v="0.5856135944291726"/>
  </r>
  <r>
    <s v="525680010"/>
    <s v="720000216299"/>
    <s v="iHerb_OA CZN6870"/>
    <s v="Доставлен"/>
    <d v="2024-04-28T00:00:00"/>
    <x v="22"/>
    <s v="Витамины"/>
    <s v="SMS-55694"/>
    <x v="140"/>
    <x v="509"/>
    <n v="13.13"/>
    <n v="-2.625"/>
    <n v="-0.21584138072734749"/>
    <n v="1.5336452515224685E-15"/>
    <n v="0.65048532877609433"/>
    <n v="1135.2072196681736"/>
    <n v="1700"/>
    <x v="466"/>
    <s v="&lt;Клиент не выбран&gt;"/>
    <s v="2025 06"/>
    <n v="564.79278033182641"/>
    <n v="0.49752395029421853"/>
  </r>
  <r>
    <s v="525680010"/>
    <s v="720000216299"/>
    <s v="iHerb_OA CZN6870"/>
    <s v="Доставлен"/>
    <d v="2024-04-28T00:00:00"/>
    <x v="22"/>
    <s v="Витамины"/>
    <s v="OAD-56862"/>
    <x v="17"/>
    <x v="394"/>
    <n v="22.23"/>
    <n v="-4.45"/>
    <n v="-0.36531744401068428"/>
    <n v="2.5957365608823883E-15"/>
    <n v="1.1009642213840034"/>
    <n v="1921.3692875487986"/>
    <n v="2700"/>
    <x v="609"/>
    <s v="&lt;Клиент не выбран&gt;"/>
    <s v="2024 07"/>
    <n v="778.63071245120136"/>
    <n v="0.40524781857242309"/>
  </r>
  <r>
    <s v="525871551"/>
    <s v="720000225185"/>
    <s v="iHerb_OA CZN6870"/>
    <s v="Доставлен"/>
    <d v="2024-05-06T00:00:00"/>
    <x v="23"/>
    <s v="Косметика"/>
    <s v="ARH-18660"/>
    <x v="29"/>
    <x v="1228"/>
    <n v="5.63"/>
    <n v="-1.41"/>
    <n v="0"/>
    <n v="0"/>
    <n v="0.28120550948407169"/>
    <n v="466.27346369619164"/>
    <n v="1100"/>
    <x v="592"/>
    <s v="&lt;Клиент не выбран&gt;"/>
    <s v="2024 06"/>
    <n v="633.72653630380842"/>
    <n v="1.3591306082061827"/>
  </r>
  <r>
    <s v="525871551"/>
    <s v="720000225185"/>
    <s v="iHerb_OA CZN6870"/>
    <s v="Доставлен"/>
    <d v="2024-05-06T00:00:00"/>
    <x v="23"/>
    <s v="Косметика"/>
    <s v="ARH-18660"/>
    <x v="29"/>
    <x v="1228"/>
    <n v="5.63"/>
    <n v="-1.41"/>
    <n v="0"/>
    <n v="0"/>
    <n v="0.28120550948407169"/>
    <n v="466.27346369619164"/>
    <n v="1100"/>
    <x v="625"/>
    <s v="&lt;Клиент не выбран&gt;"/>
    <s v="2024 09"/>
    <n v="633.72653630380842"/>
    <n v="1.3591306082061827"/>
  </r>
  <r>
    <s v="525871551"/>
    <s v="720000225185"/>
    <s v="iHerb_OA CZN6870"/>
    <s v="Доставлен"/>
    <d v="2024-05-06T00:00:00"/>
    <x v="23"/>
    <s v="Витамины"/>
    <s v="NOW-00481"/>
    <x v="3"/>
    <x v="1229"/>
    <n v="8.06"/>
    <n v="-2.02"/>
    <n v="0"/>
    <n v="0"/>
    <n v="0.40248371499615954"/>
    <n v="667.36770633293793"/>
    <n v="1300"/>
    <x v="592"/>
    <s v="&lt;Клиент не выбран&gt;"/>
    <s v="2024 06"/>
    <n v="632.63229366706207"/>
    <n v="0.94795161297698904"/>
  </r>
  <r>
    <s v="525871551"/>
    <s v="720000225185"/>
    <s v="iHerb_OA CZN6870"/>
    <s v="Доставлен"/>
    <d v="2024-05-06T00:00:00"/>
    <x v="23"/>
    <s v="Витамины"/>
    <s v="AMN-02931"/>
    <x v="219"/>
    <x v="914"/>
    <n v="24.18"/>
    <n v="-6.05"/>
    <n v="0"/>
    <n v="0"/>
    <n v="1.2081175087550284"/>
    <n v="2003.2080324198942"/>
    <n v="3000"/>
    <x v="579"/>
    <s v="&lt;Клиент не выбран&gt;"/>
    <s v="2024 09"/>
    <n v="996.79196758010585"/>
    <n v="0.49759782880661263"/>
  </r>
  <r>
    <s v="525871551"/>
    <s v="720000225185"/>
    <s v="iHerb_OA CZN6870"/>
    <s v="Доставлен"/>
    <d v="2024-05-06T00:00:00"/>
    <x v="23"/>
    <s v="Витамины"/>
    <s v="SOR-62754"/>
    <x v="10"/>
    <x v="796"/>
    <n v="12.1"/>
    <n v="-3.03"/>
    <n v="0"/>
    <n v="0"/>
    <n v="0.60439193626078913"/>
    <n v="1002.1564729204878"/>
    <n v="1800"/>
    <x v="644"/>
    <s v="&lt;Клиент не выбран&gt;"/>
    <s v="2025 06"/>
    <n v="797.84352707951223"/>
    <n v="0.79612670140665154"/>
  </r>
  <r>
    <s v="525871551"/>
    <s v="720000225185"/>
    <s v="iHerb_OA CZN6870"/>
    <s v="Доставлен"/>
    <d v="2024-05-06T00:00:00"/>
    <x v="23"/>
    <s v="Витамины"/>
    <s v="SOR-35281"/>
    <x v="10"/>
    <x v="1230"/>
    <n v="10.69"/>
    <n v="-2.67"/>
    <n v="0"/>
    <n v="0"/>
    <n v="0.53442374077304611"/>
    <n v="886.1405637069804"/>
    <n v="1600"/>
    <x v="592"/>
    <s v="&lt;Клиент не выбран&gt;"/>
    <s v="2024 06"/>
    <n v="713.8594362930196"/>
    <n v="0.80558261920291807"/>
  </r>
  <r>
    <s v="525871551"/>
    <s v="720000225185"/>
    <s v="iHerb_OA CZN6870"/>
    <s v="Доставлен"/>
    <d v="2024-05-06T00:00:00"/>
    <x v="23"/>
    <s v="Витамины"/>
    <s v="NBC-01000"/>
    <x v="8"/>
    <x v="609"/>
    <n v="13.66"/>
    <n v="-3.4166666666666665"/>
    <n v="0"/>
    <n v="0"/>
    <n v="0.68257861820264798"/>
    <n v="1131.7996476606611"/>
    <n v="1900"/>
    <x v="386"/>
    <s v="&lt;Клиент не выбран&gt;"/>
    <s v="2024 08"/>
    <n v="768.20035233933891"/>
    <n v="0.67874234978527104"/>
  </r>
  <r>
    <s v="525871551"/>
    <s v="720000225185"/>
    <s v="iHerb_OA CZN6870"/>
    <s v="Доставлен"/>
    <d v="2024-05-06T00:00:00"/>
    <x v="23"/>
    <s v="Витамины"/>
    <s v="NBC-01000"/>
    <x v="8"/>
    <x v="609"/>
    <n v="13.66"/>
    <n v="-3.4166666666666665"/>
    <n v="0"/>
    <n v="0"/>
    <n v="0.68257861820264798"/>
    <n v="1131.7996476606611"/>
    <n v="2000"/>
    <x v="645"/>
    <s v="&lt;Клиент не выбран&gt;"/>
    <s v="2024 10"/>
    <n v="868.20035233933891"/>
    <n v="0.76709721030028521"/>
  </r>
  <r>
    <s v="525871551"/>
    <s v="720000225185"/>
    <s v="iHerb_OA CZN6870"/>
    <s v="Доставлен"/>
    <d v="2024-05-06T00:00:00"/>
    <x v="23"/>
    <s v="Витамины"/>
    <s v="NBC-01000"/>
    <x v="8"/>
    <x v="609"/>
    <n v="13.66"/>
    <n v="-3.4166666666666665"/>
    <n v="0"/>
    <n v="0"/>
    <n v="0.68257861820264798"/>
    <n v="1131.7996476606611"/>
    <n v="2000"/>
    <x v="646"/>
    <m/>
    <s v="2025 12"/>
    <n v="868.20035233933891"/>
    <n v="0.76709721030028521"/>
  </r>
  <r>
    <s v="525871551"/>
    <s v="720000225185"/>
    <s v="iHerb_OA CZN6870"/>
    <s v="Доставлен"/>
    <d v="2024-05-06T00:00:00"/>
    <x v="23"/>
    <s v="Витамины"/>
    <s v="FOA-66045"/>
    <x v="171"/>
    <x v="1201"/>
    <n v="6.34"/>
    <n v="-3.82"/>
    <n v="0"/>
    <n v="0"/>
    <n v="0.16792366917058307"/>
    <n v="278.43818211241773"/>
    <n v="1100"/>
    <x v="647"/>
    <s v="&lt;Клиент не выбран&gt;"/>
    <s v="2024 10"/>
    <n v="821.56181788758227"/>
    <n v="2.9506076058055917"/>
  </r>
  <r>
    <s v="525871551"/>
    <s v="720000225185"/>
    <s v="iHerb_OA CZN6870"/>
    <s v="Доставлен"/>
    <d v="2024-05-06T00:00:00"/>
    <x v="23"/>
    <s v="Витамины"/>
    <s v="NOW-02313"/>
    <x v="3"/>
    <x v="87"/>
    <n v="20.399999999999999"/>
    <n v="-5.0999999999999996"/>
    <n v="0"/>
    <n v="0"/>
    <n v="1.0195365628213973"/>
    <n v="1690.5175342539651"/>
    <n v="3000"/>
    <x v="648"/>
    <s v="&lt;Клиент не выбран&gt;"/>
    <s v="2024 11"/>
    <n v="1309.4824657460349"/>
    <n v="0.77460448603031906"/>
  </r>
  <r>
    <s v="525871551"/>
    <s v="720000225185"/>
    <s v="iHerb_OA CZN6870"/>
    <s v="Доставлен"/>
    <d v="2024-05-06T00:00:00"/>
    <x v="23"/>
    <s v="Витамины"/>
    <s v="NOW-02313"/>
    <x v="3"/>
    <x v="87"/>
    <n v="20.399999999999999"/>
    <n v="-5.0999999999999996"/>
    <n v="0"/>
    <n v="0"/>
    <n v="1.0195365628213973"/>
    <n v="1690.5175342539651"/>
    <n v="3000"/>
    <x v="524"/>
    <s v="&lt;Клиент не выбран&gt;"/>
    <s v="2024 12"/>
    <n v="1309.4824657460349"/>
    <n v="0.77460448603031906"/>
  </r>
  <r>
    <s v="525871551"/>
    <s v="720000225185"/>
    <s v="iHerb_OA CZN6870"/>
    <s v="Доставлен"/>
    <d v="2024-05-06T00:00:00"/>
    <x v="23"/>
    <s v="Витамины"/>
    <s v="NOW-02644"/>
    <x v="3"/>
    <x v="21"/>
    <n v="23.03"/>
    <n v="-5.76"/>
    <n v="0"/>
    <n v="0"/>
    <n v="1.1508102248317345"/>
    <n v="1908.1854782069267"/>
    <n v="2900"/>
    <x v="312"/>
    <s v="&lt;Клиент не выбран&gt;"/>
    <s v="2024 07"/>
    <n v="991.81452179307325"/>
    <n v="0.51976840465480123"/>
  </r>
  <r>
    <s v="525871551"/>
    <s v="720000225185"/>
    <s v="iHerb_OA CZN6870"/>
    <s v="Доставлен"/>
    <d v="2024-05-06T00:00:00"/>
    <x v="23"/>
    <s v="Витамины"/>
    <s v="NOW-02644"/>
    <x v="3"/>
    <x v="21"/>
    <n v="23.03"/>
    <n v="-5.76"/>
    <n v="0"/>
    <n v="0"/>
    <n v="1.1508102248317345"/>
    <n v="1908.1854782069267"/>
    <n v="3000"/>
    <x v="649"/>
    <s v="&lt;Клиент не выбран&gt;"/>
    <s v="2024 11"/>
    <n v="1091.8145217930733"/>
    <n v="0.57217421171186333"/>
  </r>
  <r>
    <s v="525871551"/>
    <s v="720000225185"/>
    <s v="iHerb_OA CZN6870"/>
    <s v="Доставлен"/>
    <d v="2024-05-06T00:00:00"/>
    <x v="23"/>
    <s v="Витамины"/>
    <s v="NFS-04512"/>
    <x v="23"/>
    <x v="691"/>
    <n v="12.59"/>
    <n v="-3.15"/>
    <n v="0"/>
    <n v="0"/>
    <n v="0.62904739562313661"/>
    <n v="1043.0382695004855"/>
    <n v="1700"/>
    <x v="169"/>
    <s v="&lt;Клиент не выбран&gt;"/>
    <s v="2025 04"/>
    <n v="656.96173049951449"/>
    <n v="0.62985390825030385"/>
  </r>
  <r>
    <s v="525871551"/>
    <s v="720000225185"/>
    <s v="iHerb_OA CZN6870"/>
    <s v="Доставлен"/>
    <d v="2024-05-06T00:00:00"/>
    <x v="23"/>
    <s v="Витамины"/>
    <s v="NBC-01016"/>
    <x v="8"/>
    <x v="97"/>
    <n v="9.35"/>
    <n v="-2.34"/>
    <n v="0"/>
    <n v="0"/>
    <n v="0.467121000351503"/>
    <n v="774.54430817779701"/>
    <n v="1800"/>
    <x v="622"/>
    <s v="&lt;Клиент не выбран&gt;"/>
    <s v="2024 12"/>
    <n v="1025.4556918222029"/>
    <n v="1.3239471015347117"/>
  </r>
  <r>
    <s v="525871551"/>
    <s v="720000225185"/>
    <s v="iHerb_OA CZN6870"/>
    <s v="Доставлен"/>
    <d v="2024-05-06T00:00:00"/>
    <x v="23"/>
    <s v="Витамины"/>
    <s v="NBC-01016"/>
    <x v="8"/>
    <x v="97"/>
    <n v="9.35"/>
    <n v="-2.34"/>
    <n v="0"/>
    <n v="0"/>
    <n v="0.467121000351503"/>
    <n v="774.54430817779701"/>
    <n v="1800"/>
    <x v="394"/>
    <s v="&lt;Клиент не выбран&gt;"/>
    <s v="2025 02"/>
    <n v="1025.4556918222029"/>
    <n v="1.3239471015347117"/>
  </r>
  <r>
    <s v="525871551"/>
    <s v="720000225185"/>
    <s v="iHerb_OA CZN6870"/>
    <s v="Доставлен"/>
    <d v="2024-05-06T00:00:00"/>
    <x v="23"/>
    <s v="Витамины"/>
    <s v="NBC-01050"/>
    <x v="8"/>
    <x v="845"/>
    <n v="9.2200000000000006"/>
    <n v="-2.3050000000000002"/>
    <n v="0"/>
    <n v="0"/>
    <n v="0.46079054456927865"/>
    <n v="764.04763067752742"/>
    <n v="1500"/>
    <x v="622"/>
    <s v="&lt;Клиент не выбран&gt;"/>
    <s v="2024 12"/>
    <n v="735.95236932247258"/>
    <n v="0.96322839018538531"/>
  </r>
  <r>
    <s v="525871551"/>
    <s v="720000225185"/>
    <s v="iHerb_OA CZN6870"/>
    <s v="Доставлен"/>
    <d v="2024-05-06T00:00:00"/>
    <x v="23"/>
    <s v="Витамины"/>
    <s v="NBC-01050"/>
    <x v="8"/>
    <x v="845"/>
    <n v="9.2200000000000006"/>
    <n v="-2.3050000000000002"/>
    <n v="0"/>
    <n v="0"/>
    <n v="0.46079054456927865"/>
    <n v="764.04763067752742"/>
    <n v="1500"/>
    <x v="650"/>
    <s v="Аня Мирный"/>
    <s v="2026 01"/>
    <n v="735.95236932247258"/>
    <n v="0.96322839018538531"/>
  </r>
  <r>
    <s v="4495141392"/>
    <s v="1495175557"/>
    <s v="essens_OA"/>
    <s v="Доставлен"/>
    <d v="2024-04-24T00:00:00"/>
    <x v="22"/>
    <s v="Парфюм"/>
    <s v="w10650"/>
    <x v="232"/>
    <x v="1231"/>
    <n v="1241.92"/>
    <n v="0"/>
    <n v="0"/>
    <n v="-163.43843967031827"/>
    <n v="53.298576451364745"/>
    <n v="1131.7801367810466"/>
    <n v="2200"/>
    <x v="436"/>
    <s v="&lt;Клиент не выбран&gt;"/>
    <s v="2024 10"/>
    <n v="1068.2198632189534"/>
    <n v="0.94384044082725449"/>
  </r>
  <r>
    <s v="4495141392"/>
    <s v="1495175557"/>
    <s v="essens_OA"/>
    <s v="Доставлен"/>
    <d v="2024-04-24T00:00:00"/>
    <x v="22"/>
    <s v="Парфюм"/>
    <s v="w11450"/>
    <x v="232"/>
    <x v="1232"/>
    <n v="1241.92"/>
    <n v="0"/>
    <n v="0"/>
    <n v="-163.43843967031827"/>
    <n v="53.298576451364745"/>
    <n v="1131.7801367810466"/>
    <m/>
    <x v="20"/>
    <m/>
    <s v=""/>
    <n v="-1131.7801367810466"/>
    <s v=""/>
  </r>
  <r>
    <s v="4495141392"/>
    <s v="1495175557"/>
    <s v="essens_OA"/>
    <s v="Доставлен"/>
    <d v="2024-04-24T00:00:00"/>
    <x v="22"/>
    <s v="Парфюм"/>
    <s v="w14450"/>
    <x v="232"/>
    <x v="1123"/>
    <n v="1241.92"/>
    <n v="0"/>
    <n v="0"/>
    <n v="-163.43843967031827"/>
    <n v="53.298576451364745"/>
    <n v="1131.7801367810466"/>
    <n v="2200"/>
    <x v="320"/>
    <s v="&lt;Клиент не выбран&gt;"/>
    <s v="2024 05"/>
    <n v="1068.2198632189534"/>
    <n v="0.94384044082725449"/>
  </r>
  <r>
    <s v="4495141392"/>
    <s v="1495175557"/>
    <s v="essens_OA"/>
    <s v="Доставлен"/>
    <d v="2024-04-24T00:00:00"/>
    <x v="22"/>
    <s v="Парфюм"/>
    <s v="w14450"/>
    <x v="232"/>
    <x v="1123"/>
    <n v="1241.92"/>
    <n v="0"/>
    <n v="0"/>
    <n v="-163.43843967031827"/>
    <n v="53.298576451364745"/>
    <n v="1131.7801367810466"/>
    <m/>
    <x v="20"/>
    <m/>
    <s v=""/>
    <n v="-1131.7801367810466"/>
    <s v=""/>
  </r>
  <r>
    <s v="4495141392"/>
    <s v="1495175557"/>
    <s v="essens_OA"/>
    <s v="Доставлен"/>
    <d v="2024-04-24T00:00:00"/>
    <x v="22"/>
    <s v="Парфюм"/>
    <s v="w17150"/>
    <x v="232"/>
    <x v="1233"/>
    <n v="1241.92"/>
    <n v="0"/>
    <n v="0"/>
    <n v="-163.43843967031827"/>
    <n v="53.298576451364745"/>
    <n v="1131.7801367810466"/>
    <m/>
    <x v="20"/>
    <m/>
    <s v=""/>
    <n v="-1131.7801367810466"/>
    <s v=""/>
  </r>
  <r>
    <s v="4495141392"/>
    <s v="1495175557"/>
    <s v="essens_OA"/>
    <s v="Доставлен"/>
    <d v="2024-04-24T00:00:00"/>
    <x v="22"/>
    <s v="Парфюм"/>
    <s v="w17750"/>
    <x v="232"/>
    <x v="1234"/>
    <n v="1241.92"/>
    <n v="0"/>
    <n v="0"/>
    <n v="-163.43843967031827"/>
    <n v="53.298576451364745"/>
    <n v="1131.7801367810466"/>
    <m/>
    <x v="20"/>
    <m/>
    <s v=""/>
    <n v="-1131.7801367810466"/>
    <s v=""/>
  </r>
  <r>
    <s v="4495141392"/>
    <s v="1495175557"/>
    <s v="essens_OA"/>
    <s v="Доставлен"/>
    <d v="2024-04-24T00:00:00"/>
    <x v="22"/>
    <s v="Парфюм"/>
    <s v="w17950"/>
    <x v="232"/>
    <x v="1235"/>
    <n v="1985.46"/>
    <n v="0"/>
    <n v="0"/>
    <n v="-261.28936197809048"/>
    <n v="85.208541291811585"/>
    <n v="1809.3791793137211"/>
    <m/>
    <x v="20"/>
    <m/>
    <s v=""/>
    <n v="-1809.3791793137211"/>
    <s v=""/>
  </r>
  <r>
    <s v="4495141416"/>
    <s v="1495175587"/>
    <s v="essens_AV"/>
    <s v="Доставлен"/>
    <d v="2024-04-24T00:00:00"/>
    <x v="22"/>
    <s v="Парфюм"/>
    <s v="w18350"/>
    <x v="232"/>
    <x v="1236"/>
    <n v="1382.23"/>
    <m/>
    <n v="0"/>
    <n v="-226.71132001072687"/>
    <n v="92.506445733380176"/>
    <n v="1248.0251257226532"/>
    <m/>
    <x v="20"/>
    <m/>
    <s v=""/>
    <n v="-1248.0251257226532"/>
    <s v=""/>
  </r>
  <r>
    <s v="4495141416"/>
    <s v="1495175587"/>
    <s v="essens_AV"/>
    <s v="Доставлен"/>
    <d v="2024-04-24T00:00:00"/>
    <x v="22"/>
    <s v="Парфюм"/>
    <s v="w18850"/>
    <x v="232"/>
    <x v="1237"/>
    <n v="1382.23"/>
    <m/>
    <n v="0"/>
    <n v="-226.71132001072687"/>
    <n v="92.506445733380176"/>
    <n v="1248.0251257226532"/>
    <m/>
    <x v="20"/>
    <m/>
    <s v=""/>
    <n v="-1248.0251257226532"/>
    <s v=""/>
  </r>
  <r>
    <s v="4495141416"/>
    <s v="1495175587"/>
    <s v="essens_AV"/>
    <s v="Доставлен"/>
    <d v="2024-04-24T00:00:00"/>
    <x v="22"/>
    <s v="Парфюм"/>
    <s v="w19150"/>
    <x v="232"/>
    <x v="1238"/>
    <n v="1382.23"/>
    <m/>
    <n v="0"/>
    <n v="-226.71132001072687"/>
    <n v="92.506445733380176"/>
    <n v="1248.0251257226532"/>
    <m/>
    <x v="20"/>
    <m/>
    <s v=""/>
    <n v="-1248.0251257226532"/>
    <s v=""/>
  </r>
  <r>
    <s v="4495141416"/>
    <s v="1495175587"/>
    <s v="essens_AV"/>
    <s v="Доставлен"/>
    <d v="2024-04-24T00:00:00"/>
    <x v="22"/>
    <s v="Парфюм"/>
    <s v="w19150"/>
    <x v="232"/>
    <x v="1238"/>
    <n v="1382.23"/>
    <m/>
    <n v="0"/>
    <n v="-226.71132001072687"/>
    <n v="92.506445733380176"/>
    <n v="1248.0251257226532"/>
    <n v="2550"/>
    <x v="320"/>
    <s v="&lt;Клиент не выбран&gt;"/>
    <s v="2024 05"/>
    <n v="1301.9748742773468"/>
    <n v="1.0432280948858739"/>
  </r>
  <r>
    <s v="4495141416"/>
    <s v="1495175587"/>
    <s v="essens_AV"/>
    <s v="Доставлен"/>
    <d v="2024-04-24T00:00:00"/>
    <x v="22"/>
    <s v="Парфюм"/>
    <s v="w19350"/>
    <x v="232"/>
    <x v="1239"/>
    <n v="1382.23"/>
    <m/>
    <n v="0"/>
    <n v="-226.71132001072687"/>
    <n v="92.506445733380176"/>
    <n v="1248.0251257226532"/>
    <m/>
    <x v="20"/>
    <m/>
    <s v=""/>
    <n v="-1248.0251257226532"/>
    <s v=""/>
  </r>
  <r>
    <s v="4495141416"/>
    <s v="1495175587"/>
    <s v="essens_AV"/>
    <s v="Доставлен"/>
    <d v="2024-04-24T00:00:00"/>
    <x v="22"/>
    <s v="Парфюм"/>
    <s v="w19450"/>
    <x v="232"/>
    <x v="1240"/>
    <n v="1382.23"/>
    <m/>
    <n v="0"/>
    <n v="-226.71132001072687"/>
    <n v="92.506445733380176"/>
    <n v="1248.0251257226532"/>
    <n v="2500"/>
    <x v="436"/>
    <s v="&lt;Клиент не выбран&gt;"/>
    <s v="2024 10"/>
    <n v="1251.9748742773468"/>
    <n v="1.0031647989077195"/>
  </r>
  <r>
    <s v="4495141416"/>
    <s v="1495175587"/>
    <s v="essens_AV"/>
    <s v="Доставлен"/>
    <d v="2024-04-24T00:00:00"/>
    <x v="22"/>
    <s v="Парфюм"/>
    <s v="nc06s"/>
    <x v="232"/>
    <x v="1241"/>
    <n v="133.9"/>
    <m/>
    <n v="0"/>
    <n v="-21.962079935637579"/>
    <n v="8.9613255997190091"/>
    <n v="120.89924566408143"/>
    <m/>
    <x v="20"/>
    <m/>
    <s v=""/>
    <n v="-120.89924566408143"/>
    <s v=""/>
  </r>
  <r>
    <s v="712685253"/>
    <n v="0"/>
    <s v="CoralClub_OA"/>
    <s v="Доставлен"/>
    <d v="2024-03-27T00:00:00"/>
    <x v="21"/>
    <s v="Витамины"/>
    <s v="000002153"/>
    <x v="79"/>
    <x v="232"/>
    <n v="1320"/>
    <m/>
    <n v="0"/>
    <n v="0"/>
    <n v="0"/>
    <n v="1320"/>
    <n v="1625"/>
    <x v="320"/>
    <s v="&lt;Клиент не выбран&gt;"/>
    <s v="2024 05"/>
    <n v="305"/>
    <n v="0.23106060606060605"/>
  </r>
  <r>
    <s v="712685253"/>
    <n v="0"/>
    <s v="CoralClub_OA"/>
    <s v="Доставлен"/>
    <d v="2024-03-27T00:00:00"/>
    <x v="21"/>
    <s v="Витамины"/>
    <s v="000002153"/>
    <x v="79"/>
    <x v="232"/>
    <n v="1320"/>
    <m/>
    <n v="0"/>
    <n v="0"/>
    <n v="0"/>
    <n v="1320"/>
    <n v="1625"/>
    <x v="320"/>
    <s v="&lt;Клиент не выбран&gt;"/>
    <s v="2024 05"/>
    <n v="305"/>
    <n v="0.23106060606060605"/>
  </r>
  <r>
    <s v="712685253"/>
    <n v="0"/>
    <s v="CoralClub_OA"/>
    <s v="Доставлен"/>
    <d v="2024-03-27T00:00:00"/>
    <x v="21"/>
    <s v="Витамины"/>
    <s v="000002153"/>
    <x v="79"/>
    <x v="232"/>
    <n v="1320"/>
    <m/>
    <n v="0"/>
    <n v="0"/>
    <n v="0"/>
    <n v="1320"/>
    <n v="1625"/>
    <x v="320"/>
    <s v="&lt;Клиент не выбран&gt;"/>
    <s v="2024 05"/>
    <n v="305"/>
    <n v="0.23106060606060605"/>
  </r>
  <r>
    <s v="712685253"/>
    <n v="0"/>
    <s v="CoralClub_OA"/>
    <s v="Доставлен"/>
    <d v="2024-03-27T00:00:00"/>
    <x v="21"/>
    <s v="Витамины"/>
    <s v="000002153"/>
    <x v="79"/>
    <x v="232"/>
    <n v="1320"/>
    <m/>
    <n v="0"/>
    <n v="0"/>
    <n v="0"/>
    <n v="1320"/>
    <n v="1625"/>
    <x v="320"/>
    <s v="&lt;Клиент не выбран&gt;"/>
    <s v="2024 05"/>
    <n v="305"/>
    <n v="0.23106060606060605"/>
  </r>
  <r>
    <s v="712685253"/>
    <n v="0"/>
    <s v="CoralClub_OA"/>
    <s v="Доставлен"/>
    <d v="2024-03-27T00:00:00"/>
    <x v="21"/>
    <s v="Витамины"/>
    <s v="000002153"/>
    <x v="79"/>
    <x v="232"/>
    <n v="1320"/>
    <m/>
    <n v="0"/>
    <n v="0"/>
    <n v="0"/>
    <n v="1320"/>
    <n v="1500"/>
    <x v="651"/>
    <s v="&lt;Клиент не выбран&gt;"/>
    <s v="2025 02"/>
    <n v="180"/>
    <n v="0.13636363636363635"/>
  </r>
  <r>
    <s v="WB0179"/>
    <n v="0"/>
    <s v="WBRS"/>
    <s v="Доставлен"/>
    <d v="2024-05-03T00:00:00"/>
    <x v="23"/>
    <s v="Косметика"/>
    <s v="199224842"/>
    <x v="261"/>
    <x v="1242"/>
    <n v="246"/>
    <m/>
    <n v="0"/>
    <n v="0"/>
    <n v="0"/>
    <n v="246"/>
    <n v="350"/>
    <x v="320"/>
    <s v="&lt;Клиент не выбран&gt;"/>
    <s v="2024 05"/>
    <n v="104"/>
    <n v="0.42276422764227645"/>
  </r>
  <r>
    <s v="WB0179"/>
    <n v="0"/>
    <s v="WBRS"/>
    <s v="Доставлен"/>
    <d v="2024-05-03T00:00:00"/>
    <x v="23"/>
    <s v="Косметика"/>
    <s v="199224842"/>
    <x v="261"/>
    <x v="1242"/>
    <n v="246"/>
    <m/>
    <n v="0"/>
    <n v="0"/>
    <n v="0"/>
    <n v="246"/>
    <n v="350"/>
    <x v="320"/>
    <s v="&lt;Клиент не выбран&gt;"/>
    <s v="2024 05"/>
    <n v="104"/>
    <n v="0.42276422764227645"/>
  </r>
  <r>
    <s v="WB0179"/>
    <n v="0"/>
    <s v="WBRS"/>
    <s v="Доставлен"/>
    <d v="2024-05-03T00:00:00"/>
    <x v="23"/>
    <s v="Косметика"/>
    <s v="199224842"/>
    <x v="261"/>
    <x v="1242"/>
    <n v="246"/>
    <m/>
    <n v="0"/>
    <n v="0"/>
    <n v="0"/>
    <n v="246"/>
    <m/>
    <x v="20"/>
    <m/>
    <s v=""/>
    <n v="-246"/>
    <s v=""/>
  </r>
  <r>
    <s v="WB0180"/>
    <n v="0"/>
    <s v="WBRS"/>
    <s v="Доставлен"/>
    <d v="2024-05-17T00:00:00"/>
    <x v="23"/>
    <s v="Витамины"/>
    <s v="SOR-62754"/>
    <x v="10"/>
    <x v="796"/>
    <n v="1207"/>
    <m/>
    <n v="0"/>
    <n v="0"/>
    <n v="0"/>
    <n v="1207"/>
    <n v="1800"/>
    <x v="374"/>
    <s v="&lt;Клиент не выбран&gt;"/>
    <s v="2024 05"/>
    <n v="593"/>
    <n v="0.49130074565037285"/>
  </r>
  <r>
    <s v="OZO0082"/>
    <n v="0"/>
    <s v="OZON_OA"/>
    <s v="Доставлен"/>
    <d v="2024-04-29T00:00:00"/>
    <x v="22"/>
    <s v="Витамины"/>
    <s v="SOL-03540"/>
    <x v="19"/>
    <x v="1243"/>
    <n v="1110"/>
    <m/>
    <n v="0"/>
    <n v="0"/>
    <n v="0"/>
    <n v="1110"/>
    <n v="1500"/>
    <x v="652"/>
    <s v="&lt;Клиент не выбран&gt;"/>
    <s v="2024 05"/>
    <n v="390"/>
    <n v="0.35135135135135137"/>
  </r>
  <r>
    <s v="OZO0082"/>
    <n v="0"/>
    <s v="OZON_OA"/>
    <s v="Доставлен"/>
    <d v="2024-04-29T00:00:00"/>
    <x v="22"/>
    <s v="Витамины"/>
    <s v="XXXXXX021"/>
    <x v="129"/>
    <x v="453"/>
    <n v="1953"/>
    <m/>
    <n v="0"/>
    <n v="0"/>
    <n v="0"/>
    <n v="1953"/>
    <n v="4000"/>
    <x v="501"/>
    <s v="&lt;Клиент не выбран&gt;"/>
    <s v="2024 06"/>
    <n v="2047"/>
    <n v="1.0481310803891448"/>
  </r>
  <r>
    <s v="525924025"/>
    <s v="722500168396"/>
    <s v="iHerb_MH DLE7202"/>
    <s v="Доставлен"/>
    <d v="2024-05-08T00:00:00"/>
    <x v="23"/>
    <s v="Витамины"/>
    <s v="NRB-51365"/>
    <x v="262"/>
    <x v="1244"/>
    <n v="10.029999999999999"/>
    <n v="-2.5099999999999998"/>
    <n v="-0.23692168765363969"/>
    <n v="0"/>
    <n v="0.46469062944390965"/>
    <n v="804.90389605177324"/>
    <n v="1500"/>
    <x v="592"/>
    <s v="&lt;Клиент не выбран&gt;"/>
    <s v="2024 06"/>
    <n v="695.09610394822676"/>
    <n v="0.86357651808846081"/>
  </r>
  <r>
    <s v="525924025"/>
    <s v="722500168396"/>
    <s v="iHerb_MH DLE7202"/>
    <s v="Доставлен"/>
    <d v="2024-05-08T00:00:00"/>
    <x v="23"/>
    <s v="Витамины"/>
    <s v="DRB-00091"/>
    <x v="6"/>
    <x v="16"/>
    <n v="12.17"/>
    <n v="-3.0433333333333334"/>
    <n v="-0.28754059432431983"/>
    <n v="0"/>
    <n v="0.56397293591197906"/>
    <n v="976.87361143162923"/>
    <n v="1800"/>
    <x v="653"/>
    <s v="&lt;Клиент не выбран&gt;"/>
    <s v="2024 09"/>
    <n v="823.12638856837077"/>
    <n v="0.84261298384553696"/>
  </r>
  <r>
    <s v="525924025"/>
    <s v="722500168396"/>
    <s v="iHerb_MH DLE7202"/>
    <s v="Доставлен"/>
    <d v="2024-05-08T00:00:00"/>
    <x v="23"/>
    <s v="Витамины"/>
    <s v="DRB-00091"/>
    <x v="6"/>
    <x v="16"/>
    <n v="12.17"/>
    <n v="-3.0433333333333334"/>
    <n v="-0.28754059432431983"/>
    <n v="0"/>
    <n v="0.56397293591197906"/>
    <n v="976.87361143162923"/>
    <n v="1800"/>
    <x v="441"/>
    <s v="&lt;Клиент не выбран&gt;"/>
    <s v="2024 11"/>
    <n v="823.12638856837077"/>
    <n v="0.84261298384553696"/>
  </r>
  <r>
    <s v="525924025"/>
    <s v="722500168396"/>
    <s v="iHerb_MH DLE7202"/>
    <s v="Доставлен"/>
    <d v="2024-05-08T00:00:00"/>
    <x v="23"/>
    <s v="Витамины"/>
    <s v="DRB-00091"/>
    <x v="6"/>
    <x v="16"/>
    <n v="12.17"/>
    <n v="-3.0433333333333334"/>
    <n v="-0.28754059432431983"/>
    <n v="0"/>
    <n v="0.56397293591197906"/>
    <n v="976.87361143162923"/>
    <n v="1800"/>
    <x v="441"/>
    <s v="&lt;Клиент не выбран&gt;"/>
    <s v="2024 11"/>
    <n v="823.12638856837077"/>
    <n v="0.84261298384553696"/>
  </r>
  <r>
    <s v="525924025"/>
    <s v="722500168396"/>
    <s v="iHerb_MH DLE7202"/>
    <s v="Доставлен"/>
    <d v="2024-05-08T00:00:00"/>
    <x v="23"/>
    <s v="Витамины"/>
    <s v="BTZ-43046"/>
    <x v="166"/>
    <x v="1245"/>
    <n v="26.91"/>
    <n v="-6.73"/>
    <n v="-0.63578186926202773"/>
    <n v="0"/>
    <n v="1.2470022476300662"/>
    <n v="2159.9681678623383"/>
    <n v="3100"/>
    <x v="169"/>
    <s v="&lt;Клиент не выбран&gt;"/>
    <s v="2025 04"/>
    <n v="940.0318321376617"/>
    <n v="0.43520633596558306"/>
  </r>
  <r>
    <s v="525924025"/>
    <s v="722500168396"/>
    <s v="iHerb_MH DLE7202"/>
    <s v="Доставлен"/>
    <d v="2024-05-08T00:00:00"/>
    <x v="23"/>
    <s v="Витамины"/>
    <s v="BTZ-43032"/>
    <x v="166"/>
    <x v="1246"/>
    <n v="23.18"/>
    <n v="-5.8"/>
    <n v="-0.54756634726333209"/>
    <n v="0"/>
    <n v="1.0739791409222275"/>
    <n v="1860.269908694125"/>
    <n v="2800"/>
    <x v="641"/>
    <s v="&lt;Клиент не выбран&gt;"/>
    <s v="2024 12"/>
    <n v="939.73009130587502"/>
    <n v="0.50515792730612308"/>
  </r>
  <r>
    <s v="525924025"/>
    <s v="722500168396"/>
    <s v="iHerb_MH DLE7202"/>
    <s v="Доставлен"/>
    <d v="2024-05-08T00:00:00"/>
    <x v="23"/>
    <s v="Витамины"/>
    <s v="NOW-04620"/>
    <x v="3"/>
    <x v="248"/>
    <n v="7.38"/>
    <n v="-1.8466666666666667"/>
    <n v="-0.17433067442599373"/>
    <n v="0"/>
    <n v="0.34192661563691934"/>
    <n v="592.26084549908853"/>
    <n v="1200"/>
    <x v="654"/>
    <s v="&lt;Клиент не выбран&gt;"/>
    <s v="2025 02"/>
    <n v="607.73915450091147"/>
    <n v="1.0261342770156949"/>
  </r>
  <r>
    <s v="525924025"/>
    <s v="722500168396"/>
    <s v="iHerb_MH DLE7202"/>
    <s v="Доставлен"/>
    <d v="2024-05-08T00:00:00"/>
    <x v="23"/>
    <s v="Витамины"/>
    <s v="NOW-04620"/>
    <x v="3"/>
    <x v="248"/>
    <n v="7.38"/>
    <n v="-1.8466666666666667"/>
    <n v="-0.17433067442599373"/>
    <n v="0"/>
    <n v="0.34192661563691934"/>
    <n v="592.26084549908853"/>
    <n v="592.26"/>
    <x v="20"/>
    <m/>
    <s v=""/>
    <n v="-8.4549908854114619E-4"/>
    <n v="-1.427578903732287E-6"/>
  </r>
  <r>
    <s v="525924025"/>
    <s v="722500168396"/>
    <s v="iHerb_MH DLE7202"/>
    <s v="Доставлен"/>
    <d v="2024-05-08T00:00:00"/>
    <x v="23"/>
    <s v="Витамины"/>
    <s v="NOW-04620"/>
    <x v="3"/>
    <x v="248"/>
    <n v="7.38"/>
    <n v="-1.8466666666666667"/>
    <n v="-0.17433067442599373"/>
    <n v="0"/>
    <n v="0.34192661563691934"/>
    <n v="592.26084549908853"/>
    <n v="1300"/>
    <x v="655"/>
    <s v="Оксана Черноморская"/>
    <s v="2025 08"/>
    <n v="707.73915450091147"/>
    <n v="1.1949788001003363"/>
  </r>
  <r>
    <s v="525924025"/>
    <s v="722500168396"/>
    <s v="iHerb_MH DLE7202"/>
    <s v="Доставлен"/>
    <d v="2024-05-08T00:00:00"/>
    <x v="23"/>
    <s v="Витамины"/>
    <s v="VBH-80024"/>
    <x v="263"/>
    <x v="1247"/>
    <n v="14.42"/>
    <n v="-4.33"/>
    <n v="-0.31789093463101387"/>
    <n v="0"/>
    <n v="0.62350112381503309"/>
    <n v="1079.9840839311692"/>
    <m/>
    <x v="20"/>
    <m/>
    <s v=""/>
    <n v="-1079.9840839311692"/>
    <s v=""/>
  </r>
  <r>
    <s v="525924025"/>
    <s v="722500168396"/>
    <s v="iHerb_MH DLE7202"/>
    <s v="Доставлен"/>
    <d v="2024-05-08T00:00:00"/>
    <x v="23"/>
    <s v="Витамины"/>
    <s v="NOW-04592"/>
    <x v="3"/>
    <x v="1248"/>
    <n v="15.61"/>
    <n v="-3.9049999999999998"/>
    <n v="-0.36877238749811869"/>
    <n v="0"/>
    <n v="0.72329838000544711"/>
    <n v="1252.8457584156924"/>
    <n v="2300"/>
    <x v="656"/>
    <s v="&lt;Клиент не выбран&gt;"/>
    <s v="2025 01"/>
    <n v="1047.1542415843076"/>
    <n v="0.83582055855662907"/>
  </r>
  <r>
    <s v="525924025"/>
    <s v="722500168396"/>
    <s v="iHerb_MH DLE7202"/>
    <s v="Доставлен"/>
    <d v="2024-05-08T00:00:00"/>
    <x v="23"/>
    <s v="Витамины"/>
    <s v="NOW-04592"/>
    <x v="3"/>
    <x v="1248"/>
    <n v="15.61"/>
    <n v="-3.9049999999999998"/>
    <n v="-0.36877238749811869"/>
    <n v="0"/>
    <n v="0.72329838000544711"/>
    <n v="1252.8457584156924"/>
    <n v="2000"/>
    <x v="169"/>
    <s v="&lt;Клиент не выбран&gt;"/>
    <s v="2025 04"/>
    <n v="747.15424158430756"/>
    <n v="0.59636570309272086"/>
  </r>
  <r>
    <s v="525924025"/>
    <s v="722500168396"/>
    <s v="iHerb_MH DLE7202"/>
    <s v="Доставлен"/>
    <d v="2024-05-08T00:00:00"/>
    <x v="23"/>
    <s v="Витамины"/>
    <s v="NOW-00376"/>
    <x v="3"/>
    <x v="766"/>
    <n v="10.3"/>
    <n v="-2.58"/>
    <n v="-0.24322279636783226"/>
    <n v="0"/>
    <n v="0.47704942278018397"/>
    <n v="826.31091456378863"/>
    <n v="1600"/>
    <x v="647"/>
    <s v="&lt;Клиент не выбран&gt;"/>
    <s v="2024 10"/>
    <n v="773.68908543621137"/>
    <n v="0.93631715592749198"/>
  </r>
  <r>
    <s v="525924025"/>
    <s v="722500168396"/>
    <s v="iHerb_MH DLE7202"/>
    <s v="Доставлен"/>
    <d v="2024-05-08T00:00:00"/>
    <x v="23"/>
    <s v="Витамины"/>
    <s v="NOW-00372"/>
    <x v="3"/>
    <x v="13"/>
    <n v="7.93"/>
    <n v="-2.2799999999999998"/>
    <n v="-0.17800632117593942"/>
    <n v="0"/>
    <n v="0.34913591174974595"/>
    <n v="604.74827296443084"/>
    <n v="1200"/>
    <x v="575"/>
    <s v="&lt;Клиент не выбран&gt;"/>
    <s v="2024 10"/>
    <n v="595.25172703556916"/>
    <n v="0.98429669607436776"/>
  </r>
  <r>
    <s v="525924025"/>
    <s v="722500168396"/>
    <s v="iHerb_MH DLE7202"/>
    <s v="Доставлен"/>
    <d v="2024-05-08T00:00:00"/>
    <x v="23"/>
    <s v="Витамины"/>
    <s v="NOW-00372"/>
    <x v="3"/>
    <x v="13"/>
    <n v="7.93"/>
    <n v="-2.2799999999999998"/>
    <n v="-0.17800632117593942"/>
    <n v="0"/>
    <n v="0.34913591174974595"/>
    <n v="604.74827296443084"/>
    <n v="1200"/>
    <x v="657"/>
    <s v="&lt;Клиент не выбран&gt;"/>
    <s v="2024 10"/>
    <n v="595.25172703556916"/>
    <n v="0.98429669607436776"/>
  </r>
  <r>
    <s v="525924025"/>
    <s v="722500168396"/>
    <s v="iHerb_MH DLE7202"/>
    <s v="Доставлен"/>
    <d v="2024-05-08T00:00:00"/>
    <x v="23"/>
    <s v="Витамины"/>
    <s v="CRO-89143"/>
    <x v="176"/>
    <x v="1249"/>
    <n v="29.88"/>
    <n v="-7.47"/>
    <n v="-0.70603923142527469"/>
    <n v="0"/>
    <n v="1.3848027933295235"/>
    <n v="2398.6564242713084"/>
    <n v="2398.66"/>
    <x v="20"/>
    <m/>
    <s v=""/>
    <n v="3.5757286914304132E-3"/>
    <n v="1.4907214952707074E-6"/>
  </r>
  <r>
    <s v="525924025"/>
    <s v="722500168396"/>
    <s v="iHerb_MH DLE7202"/>
    <s v="Доставлен"/>
    <d v="2024-05-08T00:00:00"/>
    <x v="23"/>
    <s v="Витамины"/>
    <s v="CGN-01737"/>
    <x v="1"/>
    <x v="1250"/>
    <n v="50.48"/>
    <n v="-15.14"/>
    <n v="-1.1134059097978226"/>
    <n v="0"/>
    <n v="2.1837987825196499"/>
    <n v="3782.6201710730943"/>
    <n v="5400"/>
    <x v="464"/>
    <s v="Любовь 17"/>
    <s v="2025 05"/>
    <n v="1617.3798289269057"/>
    <n v="0.42758187599577835"/>
  </r>
  <r>
    <s v="526076822"/>
    <s v="720000233302"/>
    <s v="iHerb_AV CYG0792"/>
    <s v="Доставлен"/>
    <d v="2024-05-15T00:00:00"/>
    <x v="23"/>
    <s v="Витамины"/>
    <s v="CGN-00954"/>
    <x v="1"/>
    <x v="1251"/>
    <n v="28.17"/>
    <n v="-8.4499999999999993"/>
    <n v="-2.2919067145053815"/>
    <n v="-7.1819081236233592E-15"/>
    <n v="1.096915238425515"/>
    <n v="1941.5696950281892"/>
    <n v="3100"/>
    <x v="609"/>
    <s v="&lt;Клиент не выбран&gt;"/>
    <s v="2024 07"/>
    <n v="1158.4303049718108"/>
    <n v="0.59664626407088195"/>
  </r>
  <r>
    <s v="526076822"/>
    <s v="720000233302"/>
    <s v="iHerb_AV CYG0792"/>
    <s v="Доставлен"/>
    <d v="2024-05-15T00:00:00"/>
    <x v="23"/>
    <s v="Витамины"/>
    <s v="CGN-00912"/>
    <x v="1"/>
    <x v="1252"/>
    <n v="28.3"/>
    <n v="-8.49"/>
    <n v="-2.3023667350076882"/>
    <n v="-7.2146855947757991E-15"/>
    <n v="1.1019214438747185"/>
    <n v="1950.4308143259855"/>
    <m/>
    <x v="20"/>
    <m/>
    <s v=""/>
    <n v="-1950.4308143259855"/>
    <s v=""/>
  </r>
  <r>
    <s v="526076822"/>
    <s v="720000233302"/>
    <s v="iHerb_AV CYG0792"/>
    <s v="Доставлен"/>
    <d v="2024-05-15T00:00:00"/>
    <x v="23"/>
    <s v="Витамины"/>
    <s v="NWY-40461"/>
    <x v="16"/>
    <x v="1253"/>
    <n v="13.62"/>
    <n v="-2.72"/>
    <n v="-1.2668247052793433"/>
    <n v="-3.9697159506843101E-15"/>
    <n v="0.60630710440355517"/>
    <n v="1073.1800038441813"/>
    <n v="1800"/>
    <x v="602"/>
    <s v="&lt;Клиент не выбран&gt;"/>
    <s v="2024 08"/>
    <n v="726.81999615581867"/>
    <n v="0.67725823585262046"/>
  </r>
  <r>
    <s v="526076822"/>
    <s v="720000233302"/>
    <s v="iHerb_AV CYG0792"/>
    <s v="Доставлен"/>
    <d v="2024-05-15T00:00:00"/>
    <x v="23"/>
    <s v="Витамины"/>
    <s v="NWY-15408"/>
    <x v="16"/>
    <x v="107"/>
    <n v="14.34"/>
    <n v="-2.87"/>
    <n v="-1.3330715017939514"/>
    <n v="-4.1773066013164257E-15"/>
    <n v="0.63801307224851178"/>
    <n v="1129.3004260635562"/>
    <n v="1900"/>
    <x v="658"/>
    <s v="Даша Калифорния"/>
    <s v="2025 09"/>
    <n v="770.69957393644381"/>
    <n v="0.68245752516263503"/>
  </r>
  <r>
    <s v="526076822"/>
    <s v="720000233302"/>
    <s v="iHerb_AV CYG0792"/>
    <s v="Доставлен"/>
    <d v="2024-05-15T00:00:00"/>
    <x v="23"/>
    <s v="Витамины"/>
    <s v="NWY-14008"/>
    <x v="16"/>
    <x v="731"/>
    <n v="17.64"/>
    <n v="-3.53"/>
    <n v="-1.6398987698616092"/>
    <n v="-5.1387790884546448E-15"/>
    <n v="0.78486176542515285"/>
    <n v="1389.2265921322387"/>
    <n v="2300"/>
    <x v="558"/>
    <s v="&lt;Клиент не выбран&gt;"/>
    <s v="2024 06"/>
    <n v="910.77340786776131"/>
    <n v="0.65559744754804261"/>
  </r>
  <r>
    <s v="526076822"/>
    <s v="720000233302"/>
    <s v="iHerb_AV CYG0792"/>
    <s v="Доставлен"/>
    <d v="2024-05-15T00:00:00"/>
    <x v="23"/>
    <s v="Витамины"/>
    <s v="NWY-64600"/>
    <x v="16"/>
    <x v="347"/>
    <n v="11.61"/>
    <n v="-2.3199999999999998"/>
    <n v="-1.0797065607380827"/>
    <n v="-3.3833634111795636E-15"/>
    <n v="0.51675165136780077"/>
    <n v="914.66442529471965"/>
    <n v="1700"/>
    <x v="472"/>
    <s v="&lt;Клиент не выбран&gt;"/>
    <s v="2024 09"/>
    <n v="785.33557470528035"/>
    <n v="0.85860513756423018"/>
  </r>
  <r>
    <s v="526076822"/>
    <s v="720000233302"/>
    <s v="iHerb_AV CYG0792"/>
    <s v="Доставлен"/>
    <d v="2024-05-15T00:00:00"/>
    <x v="23"/>
    <s v="Витамины"/>
    <s v="NWY-03502"/>
    <x v="16"/>
    <x v="74"/>
    <n v="17.489999999999998"/>
    <n v="-3.5"/>
    <n v="-1.6259520758585335"/>
    <n v="-5.0950757935847251E-15"/>
    <n v="0.77818682482621448"/>
    <n v="1377.4117664018438"/>
    <n v="2400"/>
    <x v="472"/>
    <s v="&lt;Клиент не выбран&gt;"/>
    <s v="2024 09"/>
    <n v="1022.5882335981562"/>
    <n v="0.74239835795030373"/>
  </r>
  <r>
    <s v="526076822"/>
    <s v="720000233302"/>
    <s v="iHerb_AV CYG0792"/>
    <s v="Доставлен"/>
    <d v="2024-05-15T00:00:00"/>
    <x v="23"/>
    <s v="Витамины"/>
    <s v="NWY-03502"/>
    <x v="16"/>
    <x v="74"/>
    <n v="17.489999999999998"/>
    <n v="-3.5"/>
    <n v="-1.6259520758585335"/>
    <n v="-5.0950757935847251E-15"/>
    <n v="0.77818682482621448"/>
    <n v="1377.4117664018438"/>
    <n v="2500"/>
    <x v="404"/>
    <s v="&lt;Клиент не выбран&gt;"/>
    <s v="2024 12"/>
    <n v="1122.5882335981562"/>
    <n v="0.81499828953156639"/>
  </r>
  <r>
    <s v="526076822"/>
    <s v="720000233302"/>
    <s v="iHerb_AV CYG0792"/>
    <s v="Доставлен"/>
    <d v="2024-05-15T00:00:00"/>
    <x v="23"/>
    <s v="Витамины"/>
    <s v="BTZ-75130"/>
    <x v="166"/>
    <x v="1254"/>
    <n v="25.56"/>
    <n v="-12.98"/>
    <n v="-1.4620784213223983"/>
    <n v="-4.5815620788631764E-15"/>
    <n v="0.69975627278869035"/>
    <n v="1238.5875640697063"/>
    <n v="2800"/>
    <x v="630"/>
    <s v="&lt;Клиент не выбран&gt;"/>
    <s v="2024 08"/>
    <n v="1561.4124359302937"/>
    <n v="1.2606395229739438"/>
  </r>
  <r>
    <s v="526076822"/>
    <s v="720000233302"/>
    <s v="iHerb_AV CYG0792"/>
    <s v="Доставлен"/>
    <d v="2024-05-15T00:00:00"/>
    <x v="23"/>
    <s v="Витамины"/>
    <s v="CGN-02189"/>
    <x v="1"/>
    <x v="1093"/>
    <n v="26.88"/>
    <n v="-20.16"/>
    <n v="-0.7810148641722191"/>
    <n v="-2.4473845127154647E-15"/>
    <n v="0.37379667354054047"/>
    <n v="661.63024090210081"/>
    <n v="1300"/>
    <x v="629"/>
    <s v="&lt;Клиент не выбран&gt;"/>
    <s v="2024 08"/>
    <n v="638.36975909789919"/>
    <n v="0.96484368403039278"/>
  </r>
  <r>
    <s v="526076822"/>
    <s v="720000233302"/>
    <s v="iHerb_AV CYG0792"/>
    <s v="Доставлен"/>
    <d v="2024-05-15T00:00:00"/>
    <x v="23"/>
    <s v="Витамины"/>
    <s v="CGN-00963"/>
    <x v="1"/>
    <x v="911"/>
    <n v="11.68"/>
    <n v="-3.5049999999999999"/>
    <n v="-0.95011852895950788"/>
    <n v="-2.9772869630132334E-15"/>
    <n v="0.45473032830266652"/>
    <n v="804.88500288313628"/>
    <n v="1200"/>
    <x v="659"/>
    <s v="Аня Мирный"/>
    <s v="2025 09"/>
    <n v="395.11499711686372"/>
    <n v="0.49089620964677322"/>
  </r>
  <r>
    <s v="526076822"/>
    <s v="720000233302"/>
    <s v="iHerb_AV CYG0792"/>
    <s v="Доставлен"/>
    <d v="2024-05-15T00:00:00"/>
    <x v="23"/>
    <s v="Витамины"/>
    <s v="CGN-00963"/>
    <x v="1"/>
    <x v="911"/>
    <n v="11.68"/>
    <n v="-3.5049999999999999"/>
    <n v="-0.95011852895950788"/>
    <n v="-2.9772869630132334E-15"/>
    <n v="0.45473032830266652"/>
    <n v="804.88500288313628"/>
    <n v="1200"/>
    <x v="660"/>
    <m/>
    <s v="2025 10"/>
    <n v="395.11499711686372"/>
    <n v="0.49089620964677322"/>
  </r>
  <r>
    <s v="526076822"/>
    <s v="720000233302"/>
    <s v="iHerb_AV CYG0792"/>
    <s v="Доставлен"/>
    <d v="2024-05-15T00:00:00"/>
    <x v="23"/>
    <s v="Витамины"/>
    <s v="CGN-01115"/>
    <x v="1"/>
    <x v="1023"/>
    <n v="10.220000000000001"/>
    <n v="-3.07"/>
    <n v="-0.83099051768323928"/>
    <n v="-2.6039879859993415E-15"/>
    <n v="0.39771521068673588"/>
    <n v="703.96669976934845"/>
    <n v="1450"/>
    <x v="642"/>
    <s v="&lt;Клиент не выбран&gt;"/>
    <s v="2024 06"/>
    <n v="746.03330023065155"/>
    <n v="1.0597565204079766"/>
  </r>
  <r>
    <s v="526136992"/>
    <s v="720000237274"/>
    <s v="iHerb_OA CZN6870"/>
    <s v="Доставлен"/>
    <d v="2024-05-17T00:00:00"/>
    <x v="23"/>
    <s v="Витамины"/>
    <s v="SNS-01819"/>
    <x v="151"/>
    <x v="774"/>
    <n v="11.15"/>
    <n v="-2.4550000000000001"/>
    <n v="-1.0157672787671865"/>
    <n v="-1.1401991487374865E-15"/>
    <n v="0.69658469563320169"/>
    <n v="877.85294385576071"/>
    <n v="1600"/>
    <x v="547"/>
    <s v="&lt;Клиент не выбран&gt;"/>
    <s v="2024 07"/>
    <n v="722.14705614423929"/>
    <n v="0.82262873434402317"/>
  </r>
  <r>
    <s v="526136992"/>
    <s v="720000237274"/>
    <s v="iHerb_OA CZN6870"/>
    <s v="Доставлен"/>
    <d v="2024-05-17T00:00:00"/>
    <x v="23"/>
    <s v="Витамины"/>
    <s v="SNS-01819"/>
    <x v="151"/>
    <x v="774"/>
    <n v="11.15"/>
    <n v="-2.4550000000000001"/>
    <n v="-1.0157672787671865"/>
    <n v="-1.1401991487374865E-15"/>
    <n v="0.69658469563320169"/>
    <n v="877.85294385576071"/>
    <n v="1600"/>
    <x v="605"/>
    <s v="&lt;Клиент не выбран&gt;"/>
    <s v="2024 10"/>
    <n v="722.14705614423929"/>
    <n v="0.82262873434402317"/>
  </r>
  <r>
    <s v="526136992"/>
    <s v="720000237274"/>
    <s v="iHerb_OA CZN6870"/>
    <s v="Доставлен"/>
    <d v="2024-05-17T00:00:00"/>
    <x v="23"/>
    <s v="Витамины"/>
    <s v="CAL-71512"/>
    <x v="138"/>
    <x v="1255"/>
    <n v="13.25"/>
    <n v="-2.92"/>
    <n v="-1.2067712466549785"/>
    <n v="-1.3546011738307345E-15"/>
    <n v="0.82756985691673079"/>
    <n v="1042.923623925245"/>
    <n v="2000"/>
    <x v="661"/>
    <s v="&lt;Клиент не выбран&gt;"/>
    <s v="2024 06"/>
    <n v="957.07637607475499"/>
    <n v="0.91768596867392138"/>
  </r>
  <r>
    <s v="526136992"/>
    <s v="720000237274"/>
    <s v="iHerb_OA CZN6870"/>
    <s v="Доставлен"/>
    <d v="2024-05-17T00:00:00"/>
    <x v="23"/>
    <s v="Витамины"/>
    <s v="NOW-02644"/>
    <x v="3"/>
    <x v="21"/>
    <n v="23.03"/>
    <n v="-5.0650000000000004"/>
    <n v="-2.0987072067915475"/>
    <n v="-2.3557996212845249E-15"/>
    <n v="1.4392345091489902"/>
    <n v="1813.7582675524714"/>
    <n v="3000"/>
    <x v="662"/>
    <s v="&lt;Клиент не выбран&gt;"/>
    <s v="2025 02"/>
    <n v="1186.2417324475286"/>
    <n v="0.65402416279445641"/>
  </r>
  <r>
    <s v="526136992"/>
    <s v="720000237274"/>
    <s v="iHerb_OA CZN6870"/>
    <s v="Доставлен"/>
    <d v="2024-05-17T00:00:00"/>
    <x v="23"/>
    <s v="Витамины"/>
    <s v="NOW-02644"/>
    <x v="3"/>
    <x v="21"/>
    <n v="23.03"/>
    <n v="-5.0650000000000004"/>
    <n v="-2.0987072067915475"/>
    <n v="-2.3557996212845249E-15"/>
    <n v="1.4392345091489902"/>
    <n v="1813.7582675524714"/>
    <n v="3000"/>
    <x v="662"/>
    <s v="&lt;Клиент не выбран&gt;"/>
    <s v="2025 02"/>
    <n v="1186.2417324475286"/>
    <n v="0.65402416279445641"/>
  </r>
  <r>
    <s v="526136992"/>
    <s v="720000237274"/>
    <s v="iHerb_OA CZN6870"/>
    <s v="Доставлен"/>
    <d v="2024-05-17T00:00:00"/>
    <x v="23"/>
    <s v="Витамины"/>
    <s v="NOW-02313"/>
    <x v="3"/>
    <x v="87"/>
    <n v="20.399999999999999"/>
    <n v="-4.49"/>
    <n v="-1.8586379994463409"/>
    <n v="-2.0863218466260392E-15"/>
    <n v="1.2746017834990497"/>
    <n v="1606.2841100339449"/>
    <n v="3000"/>
    <x v="524"/>
    <s v="&lt;Клиент не выбран&gt;"/>
    <s v="2024 12"/>
    <n v="1393.7158899660551"/>
    <n v="0.86766461876822176"/>
  </r>
  <r>
    <s v="526136992"/>
    <s v="720000237274"/>
    <s v="iHerb_OA CZN6870"/>
    <s v="Доставлен"/>
    <d v="2024-05-17T00:00:00"/>
    <x v="23"/>
    <s v="Витамины"/>
    <s v="NOW-03317"/>
    <x v="3"/>
    <x v="1256"/>
    <n v="13.17"/>
    <n v="-2.9"/>
    <n v="-1.1997619267324906"/>
    <n v="-1.346733209607129E-15"/>
    <n v="0.82276306200724336"/>
    <n v="1036.8659842896677"/>
    <n v="1900"/>
    <x v="26"/>
    <s v="&lt;Клиент не выбран&gt;"/>
    <s v="2024 08"/>
    <n v="863.13401571033228"/>
    <n v="0.83244510745681843"/>
  </r>
  <r>
    <s v="526136992"/>
    <s v="720000237274"/>
    <s v="iHerb_OA CZN6870"/>
    <s v="Доставлен"/>
    <d v="2024-05-17T00:00:00"/>
    <x v="23"/>
    <s v="Витамины"/>
    <s v="NFS-02056"/>
    <x v="23"/>
    <x v="1257"/>
    <n v="13.54"/>
    <n v="-2.98"/>
    <n v="-1.2336403063578478"/>
    <n v="-1.384761703354555E-15"/>
    <n v="0.84599590406976533"/>
    <n v="1066.1445758616251"/>
    <n v="1900"/>
    <x v="663"/>
    <s v="&lt;Клиент не выбран&gt;"/>
    <s v="2025 04"/>
    <n v="833.85542413837493"/>
    <n v="0.78212227780128107"/>
  </r>
  <r>
    <s v="526136992"/>
    <s v="720000237274"/>
    <s v="iHerb_OA CZN6870"/>
    <s v="Доставлен"/>
    <d v="2024-05-17T00:00:00"/>
    <x v="23"/>
    <s v="Витамины"/>
    <s v="BRA-09004"/>
    <x v="264"/>
    <x v="1258"/>
    <n v="24.64"/>
    <n v="-16.66"/>
    <n v="-0.93223954969087386"/>
    <n v="-1.046439241739522E-15"/>
    <n v="0.63930372296181137"/>
    <n v="805.66607153179643"/>
    <m/>
    <x v="20"/>
    <m/>
    <s v=""/>
    <n v="-805.66607153179643"/>
    <s v=""/>
  </r>
  <r>
    <s v="526075792"/>
    <s v="722500174453"/>
    <s v="iHerb_VP DFD1605"/>
    <s v="Доставлен"/>
    <d v="2024-05-15T00:00:00"/>
    <x v="23"/>
    <s v="Витамины"/>
    <s v="NFS-20727"/>
    <x v="23"/>
    <x v="1259"/>
    <n v="21.13"/>
    <n v="-4.6500000000000004"/>
    <n v="-0.83662034689116527"/>
    <n v="-2.3754425976927575E-15"/>
    <n v="0.73083998902040681"/>
    <n v="1703.8864063292417"/>
    <n v="2600"/>
    <x v="642"/>
    <s v="&lt;Клиент не выбран&gt;"/>
    <s v="2024 06"/>
    <n v="896.11359367075829"/>
    <n v="0.52592331879758092"/>
  </r>
  <r>
    <s v="526075792"/>
    <s v="722500174453"/>
    <s v="iHerb_VP DFD1605"/>
    <s v="Доставлен"/>
    <d v="2024-05-15T00:00:00"/>
    <x v="23"/>
    <s v="Витамины"/>
    <s v="SWV-01125"/>
    <x v="89"/>
    <x v="1260"/>
    <n v="30.26"/>
    <n v="-9.08"/>
    <n v="-1.0752195963079418"/>
    <n v="-3.0529049890250372E-15"/>
    <n v="0.93927129656870278"/>
    <n v="2189.82488386246"/>
    <n v="3530"/>
    <x v="642"/>
    <s v="&lt;Клиент не выбран&gt;"/>
    <s v="2024 06"/>
    <n v="1340.17511613754"/>
    <n v="0.61200104447334192"/>
  </r>
  <r>
    <s v="526075792"/>
    <s v="722500174453"/>
    <s v="iHerb_VP DFD1605"/>
    <s v="Доставлен"/>
    <d v="2024-05-15T00:00:00"/>
    <x v="23"/>
    <s v="Витамины"/>
    <s v="NOW-00088"/>
    <x v="3"/>
    <x v="1261"/>
    <n v="19.010000000000002"/>
    <n v="-4.18"/>
    <n v="-0.75285678060655248"/>
    <n v="-2.1376100560548305E-15"/>
    <n v="0.65766729594494155"/>
    <n v="1533.2909833654528"/>
    <n v="2370"/>
    <x v="642"/>
    <s v="&lt;Клиент не выбран&gt;"/>
    <s v="2024 06"/>
    <n v="836.7090166345472"/>
    <n v="0.54569486530080347"/>
  </r>
  <r>
    <s v="526075792"/>
    <s v="722500174453"/>
    <s v="iHerb_VP DFD1605"/>
    <s v="Доставлен"/>
    <d v="2024-05-15T00:00:00"/>
    <x v="23"/>
    <s v="Витамины"/>
    <s v="NOW-00088"/>
    <x v="3"/>
    <x v="1261"/>
    <n v="19.010000000000002"/>
    <n v="-4.18"/>
    <n v="-0.75285678060655248"/>
    <n v="-2.1376100560548305E-15"/>
    <n v="0.65766729594494155"/>
    <n v="1533.2909833654528"/>
    <n v="2500"/>
    <x v="453"/>
    <s v="&lt;Клиент не выбран&gt;"/>
    <s v="2024 07"/>
    <n v="966.7090166345472"/>
    <n v="0.63047981571814704"/>
  </r>
  <r>
    <s v="526075792"/>
    <s v="722500174453"/>
    <s v="iHerb_VP DFD1605"/>
    <s v="Доставлен"/>
    <d v="2024-05-15T00:00:00"/>
    <x v="23"/>
    <s v="Витамины"/>
    <s v="SOR-51812"/>
    <x v="10"/>
    <x v="1262"/>
    <n v="20.87"/>
    <n v="-4.59"/>
    <n v="-0.82646718734151536"/>
    <n v="-2.346614410827555E-15"/>
    <n v="0.72197057167792633"/>
    <n v="1683.2081732427221"/>
    <n v="2500"/>
    <x v="386"/>
    <s v="&lt;Клиент не выбран&gt;"/>
    <s v="2024 08"/>
    <n v="816.79182675727793"/>
    <n v="0.48525894761057276"/>
  </r>
  <r>
    <s v="526075792"/>
    <s v="722500174453"/>
    <s v="iHerb_VP DFD1605"/>
    <s v="Доставлен"/>
    <d v="2024-05-15T00:00:00"/>
    <x v="23"/>
    <s v="Витамины"/>
    <s v="NWY-13901"/>
    <x v="16"/>
    <x v="1263"/>
    <n v="23.91"/>
    <n v="-5.26"/>
    <n v="-0.94678212800486861"/>
    <n v="-2.6882284251802143E-15"/>
    <n v="0.82707316718632218"/>
    <n v="1928.2452353179831"/>
    <n v="2800"/>
    <x v="630"/>
    <s v="&lt;Клиент не выбран&gt;"/>
    <s v="2024 08"/>
    <n v="871.75476468201691"/>
    <n v="0.45209745561137488"/>
  </r>
  <r>
    <s v="526075792"/>
    <s v="722500174453"/>
    <s v="iHerb_VP DFD1605"/>
    <s v="Доставлен"/>
    <d v="2024-05-15T00:00:00"/>
    <x v="23"/>
    <s v="Витамины"/>
    <s v="CEN-22675"/>
    <x v="2"/>
    <x v="2"/>
    <n v="11"/>
    <n v="-2.42"/>
    <n v="-0.43557054467998785"/>
    <n v="-1.2367292165172247E-15"/>
    <n v="0.38049800399242062"/>
    <n v="887.09619941170467"/>
    <n v="1700"/>
    <x v="664"/>
    <s v="&lt;Клиент не выбран&gt;"/>
    <s v="2024 07"/>
    <n v="812.90380058829533"/>
    <n v="0.9163648780452317"/>
  </r>
  <r>
    <s v="526075792"/>
    <s v="722500174453"/>
    <s v="iHerb_VP DFD1605"/>
    <s v="Доставлен"/>
    <d v="2024-05-15T00:00:00"/>
    <x v="23"/>
    <s v="Витамины"/>
    <s v="CAR-01653"/>
    <x v="154"/>
    <x v="725"/>
    <n v="25.02"/>
    <n v="-5.5"/>
    <n v="-0.99094837204584629"/>
    <n v="-2.8136310380438491E-15"/>
    <n v="0.86565513262611304"/>
    <n v="2018.1955492443449"/>
    <n v="3400"/>
    <x v="665"/>
    <s v="&lt;Клиент не выбран&gt;"/>
    <s v="2025 01"/>
    <n v="1381.8044507556551"/>
    <n v="0.68467322270779551"/>
  </r>
  <r>
    <s v="526075792"/>
    <s v="722500174453"/>
    <s v="iHerb_VP DFD1605"/>
    <s v="Доставлен"/>
    <d v="2024-05-15T00:00:00"/>
    <x v="23"/>
    <s v="Витамины"/>
    <s v="NOR-01817"/>
    <x v="9"/>
    <x v="451"/>
    <n v="11.79"/>
    <n v="-2.59"/>
    <n v="-0.46704533928390296"/>
    <n v="-1.3260965957993551E-15"/>
    <n v="0.40799319775411075"/>
    <n v="951.19872197991663"/>
    <n v="1600"/>
    <x v="647"/>
    <s v="&lt;Клиент не выбран&gt;"/>
    <s v="2024 10"/>
    <n v="648.80127802008337"/>
    <n v="0.68208804640696519"/>
  </r>
  <r>
    <s v="526075792"/>
    <s v="722500174453"/>
    <s v="iHerb_VP DFD1605"/>
    <s v="Доставлен"/>
    <d v="2024-05-15T00:00:00"/>
    <x v="23"/>
    <s v="Витамины"/>
    <s v="NOW-01665"/>
    <x v="3"/>
    <x v="983"/>
    <n v="36.299999999999997"/>
    <n v="-7.9850000000000003"/>
    <n v="-1.4374335632417079"/>
    <n v="-4.0813505554411672E-15"/>
    <n v="1.2556877602617003"/>
    <n v="2927.5208492240586"/>
    <n v="4200"/>
    <x v="26"/>
    <s v="&lt;Клиент не выбран&gt;"/>
    <s v="2024 08"/>
    <n v="1272.4791507759414"/>
    <n v="0.43466100373400002"/>
  </r>
  <r>
    <s v="526075792"/>
    <s v="722500174453"/>
    <s v="iHerb_VP DFD1605"/>
    <s v="Доставлен"/>
    <d v="2024-05-15T00:00:00"/>
    <x v="23"/>
    <s v="Витамины"/>
    <s v="NOW-01665"/>
    <x v="3"/>
    <x v="983"/>
    <n v="36.299999999999997"/>
    <n v="-7.9850000000000003"/>
    <n v="-1.4374335632417079"/>
    <n v="-4.0813505554411672E-15"/>
    <n v="1.2556877602617003"/>
    <n v="2927.5208492240586"/>
    <n v="4300"/>
    <x v="666"/>
    <s v="&lt;Клиент не выбран&gt;"/>
    <s v="2024 11"/>
    <n v="1372.4791507759414"/>
    <n v="0.46881959906100001"/>
  </r>
  <r>
    <s v="526075792"/>
    <s v="722500174453"/>
    <s v="iHerb_VP DFD1605"/>
    <s v="Доставлен"/>
    <d v="2024-05-15T00:00:00"/>
    <x v="23"/>
    <s v="Косметика"/>
    <s v="IDE-02315"/>
    <x v="111"/>
    <x v="1264"/>
    <n v="18.829999999999998"/>
    <n v="-17.829999999999998"/>
    <n v="-5.0765797748250324E-2"/>
    <n v="-1.4414093432601688E-16"/>
    <n v="4.4347086712403339E-2"/>
    <n v="103.39116543259964"/>
    <m/>
    <x v="20"/>
    <m/>
    <s v=""/>
    <n v="-103.39116543259964"/>
    <s v=""/>
  </r>
  <r>
    <s v="WB0181"/>
    <n v="0"/>
    <s v="WBRS"/>
    <s v="Доставлен"/>
    <d v="2024-05-24T00:00:00"/>
    <x v="23"/>
    <s v="Спортпит"/>
    <s v="137163976"/>
    <x v="100"/>
    <x v="318"/>
    <n v="410"/>
    <n v="0"/>
    <n v="0"/>
    <n v="0"/>
    <n v="0"/>
    <n v="410"/>
    <n v="800"/>
    <x v="216"/>
    <s v="&lt;Клиент не выбран&gt;"/>
    <s v="2024 05"/>
    <n v="390"/>
    <n v="0.95121951219512191"/>
  </r>
  <r>
    <s v="WB0181"/>
    <n v="0"/>
    <s v="WBRS"/>
    <s v="Доставлен"/>
    <d v="2024-05-24T00:00:00"/>
    <x v="23"/>
    <s v="Спортпит"/>
    <s v="137163976"/>
    <x v="100"/>
    <x v="318"/>
    <n v="410"/>
    <n v="0"/>
    <n v="0"/>
    <n v="0"/>
    <n v="0"/>
    <n v="410"/>
    <n v="800"/>
    <x v="216"/>
    <s v="&lt;Клиент не выбран&gt;"/>
    <s v="2024 05"/>
    <n v="390"/>
    <n v="0.95121951219512191"/>
  </r>
  <r>
    <s v="WB0181"/>
    <n v="0"/>
    <s v="WBRS"/>
    <s v="Доставлен"/>
    <d v="2024-05-24T00:00:00"/>
    <x v="23"/>
    <s v="Спортпит"/>
    <s v="137163976"/>
    <x v="100"/>
    <x v="318"/>
    <n v="410"/>
    <n v="0"/>
    <n v="0"/>
    <n v="0"/>
    <n v="0"/>
    <n v="410"/>
    <m/>
    <x v="20"/>
    <m/>
    <s v=""/>
    <n v="-410"/>
    <s v=""/>
  </r>
  <r>
    <s v="526345544"/>
    <s v="720000248019"/>
    <s v="iHerb_VP DFD1605"/>
    <s v="Доставлен"/>
    <d v="2024-05-27T00:00:00"/>
    <x v="23"/>
    <s v="Витамины"/>
    <s v="LEX-20406"/>
    <x v="7"/>
    <x v="1265"/>
    <n v="15.85"/>
    <n v="-3.17"/>
    <n v="-0.67412658227848088"/>
    <n v="-2.027495221251886E-15"/>
    <n v="0.86751700875861937"/>
    <n v="1326.0188766994838"/>
    <n v="2100"/>
    <x v="501"/>
    <s v="&lt;Клиент не выбран&gt;"/>
    <s v="2024 06"/>
    <n v="773.98112330051617"/>
    <n v="0.58368786214189305"/>
  </r>
  <r>
    <s v="526345544"/>
    <s v="720000248019"/>
    <s v="iHerb_VP DFD1605"/>
    <s v="Доставлен"/>
    <d v="2024-05-27T00:00:00"/>
    <x v="23"/>
    <s v="Витамины"/>
    <s v="NBC-00450"/>
    <x v="8"/>
    <x v="19"/>
    <n v="13.72"/>
    <n v="-2.7433333333333336"/>
    <n v="-0.58356962025316439"/>
    <n v="-1.7551371618250422E-15"/>
    <n v="0.75098146946428335"/>
    <n v="1147.8917352711358"/>
    <n v="1900"/>
    <x v="501"/>
    <s v="&lt;Клиент не выбран&gt;"/>
    <s v="2024 06"/>
    <n v="752.10826472886424"/>
    <n v="0.65520836296570584"/>
  </r>
  <r>
    <s v="526345544"/>
    <s v="720000248019"/>
    <s v="iHerb_VP DFD1605"/>
    <s v="Доставлен"/>
    <d v="2024-05-27T00:00:00"/>
    <x v="23"/>
    <s v="Витамины"/>
    <s v="NBC-00450"/>
    <x v="8"/>
    <x v="19"/>
    <n v="13.72"/>
    <n v="-2.7433333333333336"/>
    <n v="-0.58356962025316439"/>
    <n v="-1.7551371618250422E-15"/>
    <n v="0.75098146946428335"/>
    <n v="1147.8917352711358"/>
    <n v="1900"/>
    <x v="558"/>
    <s v="&lt;Клиент не выбран&gt;"/>
    <s v="2024 06"/>
    <n v="752.10826472886424"/>
    <n v="0.65520836296570584"/>
  </r>
  <r>
    <s v="526345544"/>
    <s v="720000248019"/>
    <s v="iHerb_VP DFD1605"/>
    <s v="Доставлен"/>
    <d v="2024-05-27T00:00:00"/>
    <x v="23"/>
    <s v="Витамины"/>
    <s v="NBC-00450"/>
    <x v="8"/>
    <x v="19"/>
    <n v="13.72"/>
    <n v="-2.7433333333333336"/>
    <n v="-0.58356962025316439"/>
    <n v="-1.7551371618250422E-15"/>
    <n v="0.75098146946428335"/>
    <n v="1147.8917352711358"/>
    <n v="2000"/>
    <x v="312"/>
    <s v="&lt;Клиент не выбран&gt;"/>
    <s v="2024 07"/>
    <n v="852.10826472886424"/>
    <n v="0.74232459259547978"/>
  </r>
  <r>
    <s v="526345544"/>
    <s v="720000248019"/>
    <s v="iHerb_VP DFD1605"/>
    <s v="Доставлен"/>
    <d v="2024-05-27T00:00:00"/>
    <x v="23"/>
    <s v="Витамины"/>
    <s v="NOW-01292"/>
    <x v="3"/>
    <x v="1014"/>
    <n v="28.99"/>
    <n v="-6.9580000000000002"/>
    <n v="-1.1713215189873414"/>
    <n v="-3.5228528954748855E-15"/>
    <n v="1.5073450108020425"/>
    <n v="2304.010086075948"/>
    <n v="3600"/>
    <x v="312"/>
    <s v="&lt;Клиент не выбран&gt;"/>
    <s v="2024 07"/>
    <n v="1295.989913924052"/>
    <n v="0.56249315997192717"/>
  </r>
  <r>
    <s v="526345544"/>
    <s v="720000248019"/>
    <s v="iHerb_VP DFD1605"/>
    <s v="Доставлен"/>
    <d v="2024-05-27T00:00:00"/>
    <x v="23"/>
    <s v="Витамины"/>
    <s v="NOW-01292"/>
    <x v="3"/>
    <x v="1014"/>
    <n v="28.99"/>
    <n v="-6.9580000000000002"/>
    <n v="-1.1713215189873414"/>
    <n v="-3.5228528954748855E-15"/>
    <n v="1.5073450108020425"/>
    <n v="2304.010086075948"/>
    <n v="3600"/>
    <x v="487"/>
    <s v="&lt;Клиент не выбран&gt;"/>
    <s v="2024 08"/>
    <n v="1295.989913924052"/>
    <n v="0.56249315997192717"/>
  </r>
  <r>
    <s v="526345544"/>
    <s v="720000248019"/>
    <s v="iHerb_VP DFD1605"/>
    <s v="Доставлен"/>
    <d v="2024-05-27T00:00:00"/>
    <x v="23"/>
    <s v="Витамины"/>
    <s v="NOW-01292"/>
    <x v="3"/>
    <x v="1014"/>
    <n v="28.99"/>
    <n v="-6.9580000000000002"/>
    <n v="-1.1713215189873414"/>
    <n v="-3.5228528954748855E-15"/>
    <n v="1.5073450108020425"/>
    <n v="2304.010086075948"/>
    <n v="3600"/>
    <x v="470"/>
    <s v="&lt;Клиент не выбран&gt;"/>
    <s v="2024 09"/>
    <n v="1295.989913924052"/>
    <n v="0.56249315997192717"/>
  </r>
  <r>
    <s v="526345544"/>
    <s v="720000248019"/>
    <s v="iHerb_VP DFD1605"/>
    <s v="Доставлен"/>
    <d v="2024-05-27T00:00:00"/>
    <x v="23"/>
    <s v="Витамины"/>
    <s v="NOW-01292"/>
    <x v="3"/>
    <x v="1014"/>
    <n v="28.99"/>
    <n v="-6.9580000000000002"/>
    <n v="-1.1713215189873414"/>
    <n v="-3.5228528954748855E-15"/>
    <n v="1.5073450108020425"/>
    <n v="2304.010086075948"/>
    <n v="3600"/>
    <x v="624"/>
    <s v="&lt;Клиент не выбран&gt;"/>
    <s v="2024 09"/>
    <n v="1295.989913924052"/>
    <n v="0.56249315997192717"/>
  </r>
  <r>
    <s v="526345544"/>
    <s v="720000248019"/>
    <s v="iHerb_VP DFD1605"/>
    <s v="Доставлен"/>
    <d v="2024-05-27T00:00:00"/>
    <x v="23"/>
    <s v="Витамины"/>
    <s v="NOW-01292"/>
    <x v="3"/>
    <x v="1014"/>
    <n v="28.99"/>
    <n v="-6.9580000000000002"/>
    <n v="-1.1713215189873414"/>
    <n v="-3.5228528954748855E-15"/>
    <n v="1.5073450108020425"/>
    <n v="2304.010086075948"/>
    <n v="3600"/>
    <x v="667"/>
    <s v="&lt;Клиент не выбран&gt;"/>
    <s v="2024 11"/>
    <n v="1295.989913924052"/>
    <n v="0.56249315997192717"/>
  </r>
  <r>
    <s v="526345544"/>
    <s v="720000248019"/>
    <s v="iHerb_VP DFD1605"/>
    <s v="Доставлен"/>
    <d v="2024-05-27T00:00:00"/>
    <x v="23"/>
    <s v="Витамины"/>
    <s v="NWY-03501"/>
    <x v="16"/>
    <x v="86"/>
    <n v="17.489999999999998"/>
    <n v="-3.5"/>
    <n v="-0.74377215189873391"/>
    <n v="-2.2369604215547229E-15"/>
    <n v="0.95714218868557432"/>
    <n v="1463.0129404594463"/>
    <n v="2400"/>
    <x v="668"/>
    <s v="&lt;Клиент не выбран&gt;"/>
    <s v="2025 04"/>
    <n v="936.98705954055367"/>
    <n v="0.64045028832506512"/>
  </r>
  <r>
    <s v="526345544"/>
    <s v="720000248019"/>
    <s v="iHerb_VP DFD1605"/>
    <s v="Доставлен"/>
    <d v="2024-05-27T00:00:00"/>
    <x v="23"/>
    <s v="Витамины"/>
    <s v="SRE-01349"/>
    <x v="36"/>
    <x v="1266"/>
    <n v="21.96"/>
    <n v="-13.97"/>
    <n v="-0.4247848101265822"/>
    <n v="-1.2775778247478368E-15"/>
    <n v="0.54664518138654328"/>
    <n v="835.55921331458012"/>
    <n v="835.56"/>
    <x v="20"/>
    <m/>
    <s v=""/>
    <n v="7.8668541982551687E-4"/>
    <n v="9.415076840632446E-7"/>
  </r>
  <r>
    <s v="526223461"/>
    <s v="720000242369"/>
    <s v="iHerb_MH DLE7202"/>
    <s v="Доставлен"/>
    <d v="2024-05-21T00:00:00"/>
    <x v="23"/>
    <s v="Витамины"/>
    <s v="SMS-55697"/>
    <x v="140"/>
    <x v="505"/>
    <n v="12.6"/>
    <n v="-2.52"/>
    <n v="-0.44237577803565786"/>
    <n v="1.5111869978820153E-15"/>
    <n v="0.64037274568803026"/>
    <n v="1068.9780272180612"/>
    <n v="1800"/>
    <x v="555"/>
    <s v="&lt;Клиент не выбран&gt;"/>
    <s v="2024 07"/>
    <n v="731.02197278193876"/>
    <n v="0.68385126183030265"/>
  </r>
  <r>
    <s v="526223461"/>
    <s v="720000242369"/>
    <s v="iHerb_MH DLE7202"/>
    <s v="Доставлен"/>
    <d v="2024-05-21T00:00:00"/>
    <x v="23"/>
    <s v="Витамины"/>
    <s v="NAP-29982"/>
    <x v="11"/>
    <x v="393"/>
    <n v="27.54"/>
    <n v="-5.51"/>
    <n v="-0.96681928473467693"/>
    <n v="3.3027231709663491E-15"/>
    <n v="1.3995448003479474"/>
    <n v="2336.2684463902669"/>
    <n v="3500"/>
    <x v="567"/>
    <s v="&lt;Клиент не выбран&gt;"/>
    <s v="2025 05"/>
    <n v="1163.7315536097331"/>
    <n v="0.49811551211411387"/>
  </r>
  <r>
    <s v="526223461"/>
    <s v="720000242369"/>
    <s v="iHerb_MH DLE7202"/>
    <s v="Доставлен"/>
    <d v="2024-05-21T00:00:00"/>
    <x v="23"/>
    <s v="Витамины"/>
    <s v="CRO-89110"/>
    <x v="176"/>
    <x v="1267"/>
    <n v="20.55"/>
    <n v="-4.1100000000000003"/>
    <n v="-0.72149382846291832"/>
    <n v="2.4646740322599539E-15"/>
    <n v="1.0444174542769065"/>
    <n v="1743.4522586770759"/>
    <n v="2400"/>
    <x v="669"/>
    <s v="&lt;Клиент не выбран&gt;"/>
    <s v="2024 09"/>
    <n v="656.54774132292414"/>
    <n v="0.3765791337590797"/>
  </r>
  <r>
    <s v="526223461"/>
    <s v="720000242369"/>
    <s v="iHerb_MH DLE7202"/>
    <s v="Доставлен"/>
    <d v="2024-05-21T00:00:00"/>
    <x v="23"/>
    <s v="Витамины"/>
    <s v="CRO-49803"/>
    <x v="176"/>
    <x v="1268"/>
    <n v="16.62"/>
    <n v="-3.32"/>
    <n v="-0.58369026268593749"/>
    <n v="1.9939272888721038E-15"/>
    <n v="0.84493626167170666"/>
    <n v="1410.457119246053"/>
    <m/>
    <x v="20"/>
    <m/>
    <s v=""/>
    <n v="-1410.457119246053"/>
    <s v=""/>
  </r>
  <r>
    <s v="526223461"/>
    <s v="720000242369"/>
    <s v="iHerb_MH DLE7202"/>
    <s v="Доставлен"/>
    <d v="2024-05-21T00:00:00"/>
    <x v="23"/>
    <s v="Витамины"/>
    <s v="CRO-89101"/>
    <x v="176"/>
    <x v="1269"/>
    <n v="21.04"/>
    <n v="-4.21"/>
    <n v="-0.73860955797025019"/>
    <n v="2.5231425768208647E-15"/>
    <n v="1.0691937807469791"/>
    <n v="1784.8115275872985"/>
    <n v="2600"/>
    <x v="630"/>
    <s v="&lt;Клиент не выбран&gt;"/>
    <s v="2024 08"/>
    <n v="815.18847241270146"/>
    <n v="0.4567364451722643"/>
  </r>
  <r>
    <s v="526223461"/>
    <s v="720000242369"/>
    <s v="iHerb_MH DLE7202"/>
    <s v="Доставлен"/>
    <d v="2024-05-21T00:00:00"/>
    <x v="23"/>
    <s v="Витамины"/>
    <s v="CRO-89145"/>
    <x v="176"/>
    <x v="1270"/>
    <n v="20.38"/>
    <n v="-4.08"/>
    <n v="-0.71534972043464506"/>
    <n v="2.4436853239560362E-15"/>
    <n v="1.0355233883645725"/>
    <n v="1728.6053416323803"/>
    <n v="2300"/>
    <x v="517"/>
    <s v="&lt;Клиент не выбран&gt;"/>
    <s v="2024 09"/>
    <n v="571.39465836761974"/>
    <n v="0.33055240812112296"/>
  </r>
  <r>
    <s v="526223461"/>
    <s v="720000242369"/>
    <s v="iHerb_MH DLE7202"/>
    <s v="Доставлен"/>
    <d v="2024-05-21T00:00:00"/>
    <x v="23"/>
    <s v="Витамины"/>
    <s v="NWY-03502"/>
    <x v="16"/>
    <x v="74"/>
    <n v="17.489999999999998"/>
    <n v="-3.4966666666666666"/>
    <n v="-0.61411822625452772"/>
    <n v="2.0978713680915014E-15"/>
    <n v="0.88898306428516882"/>
    <n v="1483.984708419782"/>
    <n v="2500"/>
    <x v="540"/>
    <s v="&lt;Клиент не выбран&gt;"/>
    <s v="2025 05"/>
    <n v="1016.015291580218"/>
    <n v="0.68465347777209895"/>
  </r>
  <r>
    <s v="526223461"/>
    <s v="720000242369"/>
    <s v="iHerb_MH DLE7202"/>
    <s v="Доставлен"/>
    <d v="2024-05-21T00:00:00"/>
    <x v="23"/>
    <s v="Витамины"/>
    <s v="NWY-03502"/>
    <x v="16"/>
    <x v="74"/>
    <n v="17.489999999999998"/>
    <n v="-3.4966666666666666"/>
    <n v="-0.61411822625452772"/>
    <n v="2.0978713680915014E-15"/>
    <n v="0.88898306428516882"/>
    <n v="1483.984708419782"/>
    <n v="2400"/>
    <x v="670"/>
    <s v="Любовь 17"/>
    <s v="2025 08"/>
    <n v="916.01529158021799"/>
    <n v="0.61726733866121497"/>
  </r>
  <r>
    <s v="526223461"/>
    <s v="720000242369"/>
    <s v="iHerb_MH DLE7202"/>
    <s v="Доставлен"/>
    <d v="2024-05-21T00:00:00"/>
    <x v="23"/>
    <s v="Витамины"/>
    <s v="NWY-03502"/>
    <x v="16"/>
    <x v="74"/>
    <n v="17.489999999999998"/>
    <n v="-3.4966666666666666"/>
    <n v="-0.61411822625452772"/>
    <n v="2.0978713680915014E-15"/>
    <n v="0.88898306428516882"/>
    <n v="1483.984708419782"/>
    <m/>
    <x v="20"/>
    <m/>
    <s v=""/>
    <n v="-1483.984708419782"/>
    <s v=""/>
  </r>
  <r>
    <s v="526223461"/>
    <s v="720000242369"/>
    <s v="iHerb_MH DLE7202"/>
    <s v="Доставлен"/>
    <d v="2024-05-21T00:00:00"/>
    <x v="23"/>
    <s v="Косметика"/>
    <s v="ARH-19724"/>
    <x v="29"/>
    <x v="563"/>
    <n v="4.7300000000000004"/>
    <n v="-0.95"/>
    <n v="-0.16589091676337173"/>
    <n v="5.6669512420575582E-16"/>
    <n v="0.24013977963301134"/>
    <n v="400.86676020677299"/>
    <m/>
    <x v="20"/>
    <m/>
    <s v=""/>
    <n v="-400.86676020677299"/>
    <s v=""/>
  </r>
  <r>
    <s v="526223461"/>
    <s v="720000242369"/>
    <s v="iHerb_MH DLE7202"/>
    <s v="Доставлен"/>
    <d v="2024-05-21T00:00:00"/>
    <x v="23"/>
    <s v="Косметика"/>
    <s v="ARH-19744"/>
    <x v="29"/>
    <x v="65"/>
    <n v="4.7300000000000004"/>
    <n v="-0.95"/>
    <n v="-0.16589091676337173"/>
    <n v="5.6669512420575582E-16"/>
    <n v="0.24013977963301134"/>
    <n v="400.86676020677299"/>
    <m/>
    <x v="20"/>
    <m/>
    <s v=""/>
    <n v="-400.86676020677299"/>
    <s v=""/>
  </r>
  <r>
    <s v="526223461"/>
    <s v="720000242369"/>
    <s v="iHerb_MH DLE7202"/>
    <s v="Доставлен"/>
    <d v="2024-05-21T00:00:00"/>
    <x v="23"/>
    <s v="Косметика"/>
    <s v="FMN-42380"/>
    <x v="265"/>
    <x v="1271"/>
    <n v="6.05"/>
    <n v="-1.21"/>
    <n v="-0.21241059183458175"/>
    <n v="7.2560962993541205E-16"/>
    <n v="0.30748056439782406"/>
    <n v="513.27913211660882"/>
    <n v="1000"/>
    <x v="628"/>
    <m/>
    <s v="2025 08"/>
    <n v="486.72086788339118"/>
    <n v="0.94825765831605247"/>
  </r>
  <r>
    <s v="526223461"/>
    <s v="720000242369"/>
    <s v="iHerb_MH DLE7202"/>
    <s v="Доставлен"/>
    <d v="2024-05-21T00:00:00"/>
    <x v="23"/>
    <s v="Косметика"/>
    <s v="FSY-77289"/>
    <x v="98"/>
    <x v="1272"/>
    <n v="12.98"/>
    <n v="-3.02"/>
    <n v="-0.43710939972570961"/>
    <n v="1.4931966764786581E-15"/>
    <n v="0.63274926062031556"/>
    <n v="1056.2520983226082"/>
    <m/>
    <x v="20"/>
    <m/>
    <s v=""/>
    <n v="-1056.2520983226082"/>
    <s v=""/>
  </r>
  <r>
    <s v="526223461"/>
    <s v="720000242369"/>
    <s v="iHerb_MH DLE7202"/>
    <s v="Доставлен"/>
    <d v="2024-05-21T00:00:00"/>
    <x v="23"/>
    <s v="Витамины"/>
    <s v="CGN-02190"/>
    <x v="1"/>
    <x v="1273"/>
    <n v="26.88"/>
    <n v="-25.88"/>
    <n v="-4.3886485916235903E-2"/>
    <n v="1.4991934502797771E-16"/>
    <n v="6.3529042230955374E-2"/>
    <n v="106.04940746210924"/>
    <n v="1000"/>
    <x v="515"/>
    <s v="&lt;Клиент не выбран&gt;"/>
    <s v="2024 08"/>
    <n v="893.95059253789077"/>
    <n v="8.429567066249696"/>
  </r>
  <r>
    <s v="526223461"/>
    <s v="720000242369"/>
    <s v="iHerb_MH DLE7202"/>
    <s v="Доставлен"/>
    <d v="2024-05-21T00:00:00"/>
    <x v="23"/>
    <s v="Витамины"/>
    <s v="SOR-35281"/>
    <x v="10"/>
    <x v="1230"/>
    <n v="10.69"/>
    <n v="-2.14"/>
    <n v="-0.3752294545838169"/>
    <n v="1.2818103999892093E-15"/>
    <n v="0.54317331107466849"/>
    <n v="906.72243380103396"/>
    <n v="1600"/>
    <x v="440"/>
    <s v="&lt;Клиент не выбран&gt;"/>
    <s v="2024 08"/>
    <n v="693.27756619896604"/>
    <n v="0.76459734573093729"/>
  </r>
  <r>
    <s v="526223461"/>
    <s v="720000242369"/>
    <s v="iHerb_MH DLE7202"/>
    <s v="Доставлен"/>
    <d v="2024-05-21T00:00:00"/>
    <x v="23"/>
    <s v="Витамины"/>
    <s v="ECL-10234"/>
    <x v="266"/>
    <x v="1274"/>
    <n v="25.89"/>
    <n v="-5.18"/>
    <n v="-0.90888912332524563"/>
    <n v="3.1048296355294184E-15"/>
    <n v="1.3156864646030861"/>
    <n v="2196.2832285402828"/>
    <m/>
    <x v="20"/>
    <m/>
    <s v=""/>
    <n v="-2196.2832285402828"/>
    <s v=""/>
  </r>
  <r>
    <s v="526404451"/>
    <s v="720000250552"/>
    <s v="iHerb_OA CZN6870"/>
    <s v="Доставлен"/>
    <d v="2024-05-29T00:00:00"/>
    <x v="23"/>
    <s v="Витамины"/>
    <s v="CGN-00931"/>
    <x v="1"/>
    <x v="24"/>
    <n v="6.24"/>
    <n v="-3.12"/>
    <n v="-0.30622994652406427"/>
    <n v="9.8792038127072773E-16"/>
    <n v="0.42072191976114631"/>
    <n v="334.74015151515169"/>
    <n v="850"/>
    <x v="290"/>
    <s v="&lt;Клиент не выбран&gt;"/>
    <s v="2024 06"/>
    <n v="515.25984848484836"/>
    <n v="1.5392830712198731"/>
  </r>
  <r>
    <s v="526404451"/>
    <s v="720000250552"/>
    <s v="iHerb_OA CZN6870"/>
    <s v="Доставлен"/>
    <d v="2024-05-29T00:00:00"/>
    <x v="23"/>
    <s v="Витамины"/>
    <s v="CGN-00931"/>
    <x v="1"/>
    <x v="24"/>
    <n v="6.24"/>
    <n v="-3.12"/>
    <n v="-0.30622994652406427"/>
    <n v="9.8792038127072773E-16"/>
    <n v="0.42072191976114631"/>
    <n v="334.74015151515169"/>
    <n v="850"/>
    <x v="290"/>
    <s v="&lt;Клиент не выбран&gt;"/>
    <s v="2024 06"/>
    <n v="515.25984848484836"/>
    <n v="1.5392830712198731"/>
  </r>
  <r>
    <s v="526404451"/>
    <s v="720000250552"/>
    <s v="iHerb_OA CZN6870"/>
    <s v="Доставлен"/>
    <d v="2024-05-29T00:00:00"/>
    <x v="23"/>
    <s v="Витамины"/>
    <s v="CGN-00931"/>
    <x v="1"/>
    <x v="24"/>
    <n v="6.24"/>
    <n v="-3.12"/>
    <n v="-0.30622994652406427"/>
    <n v="9.8792038127072773E-16"/>
    <n v="0.42072191976114631"/>
    <n v="334.74015151515169"/>
    <n v="1000"/>
    <x v="26"/>
    <s v="&lt;Клиент не выбран&gt;"/>
    <s v="2024 08"/>
    <n v="665.25984848484836"/>
    <n v="1.9873918484939683"/>
  </r>
  <r>
    <s v="526404451"/>
    <s v="720000250552"/>
    <s v="iHerb_OA CZN6870"/>
    <s v="Доставлен"/>
    <d v="2024-05-29T00:00:00"/>
    <x v="23"/>
    <s v="Витамины"/>
    <s v="CGN-00931"/>
    <x v="1"/>
    <x v="24"/>
    <n v="6.24"/>
    <n v="-3.12"/>
    <n v="-0.30622994652406427"/>
    <n v="9.8792038127072773E-16"/>
    <n v="0.42072191976114631"/>
    <n v="334.74015151515169"/>
    <n v="900"/>
    <x v="539"/>
    <s v="&lt;Клиент не выбран&gt;"/>
    <s v="2024 10"/>
    <n v="565.25984848484836"/>
    <n v="1.6886526636445716"/>
  </r>
  <r>
    <s v="526404451"/>
    <s v="720000250552"/>
    <s v="iHerb_OA CZN6870"/>
    <s v="Доставлен"/>
    <d v="2024-05-29T00:00:00"/>
    <x v="23"/>
    <s v="Витамины"/>
    <s v="SOR-51812"/>
    <x v="10"/>
    <x v="1262"/>
    <n v="20.87"/>
    <n v="-4.17"/>
    <n v="-1.6391154188948316"/>
    <n v="5.2879071689811397E-15"/>
    <n v="2.2519410448753669"/>
    <n v="1791.71811868687"/>
    <n v="2500"/>
    <x v="211"/>
    <s v="&lt;Клиент не выбран&gt;"/>
    <s v="2024 09"/>
    <n v="708.28188131313004"/>
    <n v="0.39530876756005673"/>
  </r>
  <r>
    <s v="526404451"/>
    <s v="720000250552"/>
    <s v="iHerb_OA CZN6870"/>
    <s v="Доставлен"/>
    <d v="2024-05-29T00:00:00"/>
    <x v="23"/>
    <s v="Косметика"/>
    <s v="MLI-01686"/>
    <x v="267"/>
    <x v="1275"/>
    <n v="18.93"/>
    <n v="-16.43"/>
    <n v="-0.24537655971479511"/>
    <n v="7.9160286960795493E-16"/>
    <n v="0.33711692288553391"/>
    <n v="268.22127525252534"/>
    <m/>
    <x v="20"/>
    <m/>
    <s v=""/>
    <n v="-268.22127525252534"/>
    <s v=""/>
  </r>
  <r>
    <s v="526404451"/>
    <s v="720000250552"/>
    <s v="iHerb_OA CZN6870"/>
    <s v="Доставлен"/>
    <d v="2024-05-29T00:00:00"/>
    <x v="23"/>
    <s v="Косметика"/>
    <s v="MLI-01688"/>
    <x v="267"/>
    <x v="1276"/>
    <n v="18.760000000000002"/>
    <n v="-16.260000000000002"/>
    <n v="-0.24537655971479511"/>
    <n v="7.9160286960795493E-16"/>
    <n v="0.33711692288553391"/>
    <n v="268.22127525252534"/>
    <m/>
    <x v="20"/>
    <m/>
    <s v=""/>
    <n v="-268.22127525252534"/>
    <s v=""/>
  </r>
  <r>
    <s v="526404451"/>
    <s v="720000250552"/>
    <s v="iHerb_OA CZN6870"/>
    <s v="Доставлен"/>
    <d v="2024-05-29T00:00:00"/>
    <x v="23"/>
    <s v="Витамины"/>
    <s v="CGN-01176"/>
    <x v="1"/>
    <x v="1277"/>
    <n v="36.96"/>
    <n v="-11.09"/>
    <n v="-2.5391566399286996"/>
    <n v="8.1915064947031188E-15"/>
    <n v="3.4884859180195051"/>
    <n v="2775.5537563131329"/>
    <n v="4100"/>
    <x v="542"/>
    <s v="&lt;Клиент не выбран&gt;"/>
    <s v="2025 03"/>
    <n v="1324.4462436868671"/>
    <n v="0.47718270297390181"/>
  </r>
  <r>
    <s v="526404451"/>
    <s v="720000250552"/>
    <s v="iHerb_OA CZN6870"/>
    <s v="Доставлен"/>
    <d v="2024-05-29T00:00:00"/>
    <x v="23"/>
    <s v="Витамины"/>
    <s v="SOR-62754"/>
    <x v="10"/>
    <x v="796"/>
    <n v="12.1"/>
    <n v="-2.42"/>
    <n v="-0.95009803921568647"/>
    <n v="3.0650863111220014E-15"/>
    <n v="1.3053167254127873"/>
    <n v="1038.5527777777781"/>
    <n v="1700"/>
    <x v="671"/>
    <s v="Даша Калифорния"/>
    <s v="2025 07"/>
    <n v="661.44722222222185"/>
    <n v="0.63689321946405064"/>
  </r>
  <r>
    <s v="526404451"/>
    <s v="720000250552"/>
    <s v="iHerb_OA CZN6870"/>
    <s v="Доставлен"/>
    <d v="2024-05-29T00:00:00"/>
    <x v="23"/>
    <s v="Витамины"/>
    <s v="SOR-35281"/>
    <x v="10"/>
    <x v="1230"/>
    <n v="10.69"/>
    <n v="-2.14"/>
    <n v="-0.83918783422459908"/>
    <n v="2.7072818140592054E-15"/>
    <n v="1.1529398762685259"/>
    <n v="917.3167613636366"/>
    <n v="1600"/>
    <x v="672"/>
    <s v="Даша Калифорния"/>
    <s v="2024 09"/>
    <n v="682.6832386363634"/>
    <n v="0.74421755645402254"/>
  </r>
  <r>
    <s v="526404451"/>
    <s v="720000250552"/>
    <s v="iHerb_OA CZN6870"/>
    <s v="Доставлен"/>
    <d v="2024-05-29T00:00:00"/>
    <x v="23"/>
    <s v="Витамины"/>
    <s v="SOR-04271"/>
    <x v="10"/>
    <x v="1278"/>
    <n v="11.85"/>
    <n v="-2.37"/>
    <n v="-0.93046791443850307"/>
    <n v="3.0017580815533654E-15"/>
    <n v="1.2783473715819449"/>
    <n v="1017.0950757575764"/>
    <n v="1017.1"/>
    <x v="20"/>
    <m/>
    <s v=""/>
    <n v="4.9242424236126681E-3"/>
    <n v="4.8414770073927254E-6"/>
  </r>
  <r>
    <s v="526404451"/>
    <s v="720000250552"/>
    <s v="iHerb_OA CZN6870"/>
    <s v="Доставлен"/>
    <d v="2024-05-29T00:00:00"/>
    <x v="23"/>
    <s v="Косметика"/>
    <s v="IDE-02315"/>
    <x v="111"/>
    <x v="1264"/>
    <n v="18.829999999999998"/>
    <n v="-16.829999999999998"/>
    <n v="-0.19630124777183608"/>
    <n v="6.33282295686364E-16"/>
    <n v="0.26969353830842713"/>
    <n v="214.57702020202032"/>
    <m/>
    <x v="20"/>
    <m/>
    <s v=""/>
    <n v="-214.57702020202032"/>
    <s v=""/>
  </r>
  <r>
    <s v="526713641"/>
    <s v="720000264382"/>
    <s v="iHerb_VP DFD1605"/>
    <s v="Доставлен"/>
    <d v="2024-06-12T00:00:00"/>
    <x v="24"/>
    <s v="Витамины"/>
    <s v="LEX-19456"/>
    <x v="7"/>
    <x v="558"/>
    <n v="10.76"/>
    <n v="-2.1533333333333333"/>
    <n v="0"/>
    <n v="0"/>
    <n v="0.5869468306974458"/>
    <n v="936.32966737482286"/>
    <n v="1500"/>
    <x v="469"/>
    <s v="&lt;Клиент не выбран&gt;"/>
    <s v="2024 08"/>
    <n v="563.67033262517714"/>
    <n v="0.60199986422040153"/>
  </r>
  <r>
    <s v="526713641"/>
    <s v="720000264382"/>
    <s v="iHerb_VP DFD1605"/>
    <s v="Доставлен"/>
    <d v="2024-06-12T00:00:00"/>
    <x v="24"/>
    <s v="Витамины"/>
    <s v="LEX-19456"/>
    <x v="7"/>
    <x v="558"/>
    <n v="10.76"/>
    <n v="-2.1533333333333333"/>
    <n v="0"/>
    <n v="0"/>
    <n v="0.5869468306974458"/>
    <n v="936.32966737482286"/>
    <n v="1500"/>
    <x v="469"/>
    <s v="&lt;Клиент не выбран&gt;"/>
    <s v="2024 08"/>
    <n v="563.67033262517714"/>
    <n v="0.60199986422040153"/>
  </r>
  <r>
    <s v="526713641"/>
    <s v="720000264382"/>
    <s v="iHerb_VP DFD1605"/>
    <s v="Доставлен"/>
    <d v="2024-06-12T00:00:00"/>
    <x v="24"/>
    <s v="Витамины"/>
    <s v="LEX-19456"/>
    <x v="7"/>
    <x v="558"/>
    <n v="10.76"/>
    <n v="-2.1533333333333333"/>
    <n v="0"/>
    <n v="0"/>
    <n v="0.5869468306974458"/>
    <n v="936.32966737482286"/>
    <n v="1500"/>
    <x v="469"/>
    <s v="&lt;Клиент не выбран&gt;"/>
    <s v="2024 08"/>
    <n v="563.67033262517714"/>
    <n v="0.60199986422040153"/>
  </r>
  <r>
    <s v="526713641"/>
    <s v="720000264382"/>
    <s v="iHerb_VP DFD1605"/>
    <s v="Доставлен"/>
    <d v="2024-06-12T00:00:00"/>
    <x v="24"/>
    <s v="Витамины"/>
    <s v="ADN-00240"/>
    <x v="160"/>
    <x v="1279"/>
    <n v="15.97"/>
    <n v="-3.19"/>
    <n v="0"/>
    <n v="0"/>
    <n v="0.87155466649651714"/>
    <n v="1390.3516439640091"/>
    <n v="2000"/>
    <x v="600"/>
    <s v="&lt;Клиент не выбран&gt;"/>
    <s v="2024 10"/>
    <n v="609.6483560359909"/>
    <n v="0.43848501109966131"/>
  </r>
  <r>
    <s v="526713641"/>
    <s v="720000264382"/>
    <s v="iHerb_VP DFD1605"/>
    <s v="Доставлен"/>
    <d v="2024-06-12T00:00:00"/>
    <x v="24"/>
    <s v="Косметика"/>
    <s v="MBN-02251"/>
    <x v="14"/>
    <x v="1280"/>
    <n v="16.829999999999998"/>
    <n v="-3.37"/>
    <n v="0"/>
    <n v="0"/>
    <n v="0.91792846721777133"/>
    <n v="1464.3296657085725"/>
    <m/>
    <x v="20"/>
    <m/>
    <s v=""/>
    <n v="-1464.3296657085725"/>
    <s v=""/>
  </r>
  <r>
    <s v="526713641"/>
    <s v="720000264382"/>
    <s v="iHerb_VP DFD1605"/>
    <s v="Доставлен"/>
    <d v="2024-06-12T00:00:00"/>
    <x v="24"/>
    <s v="Косметика"/>
    <s v="LBP-00003"/>
    <x v="268"/>
    <x v="1281"/>
    <n v="12.06"/>
    <n v="-2.41"/>
    <n v="0"/>
    <n v="0"/>
    <n v="0.6580987896472138"/>
    <n v="1049.8351615221195"/>
    <n v="1500"/>
    <x v="673"/>
    <s v="Татьяна Бригантина"/>
    <s v="2025 06"/>
    <n v="450.16483847788049"/>
    <n v="0.42879573382282427"/>
  </r>
  <r>
    <s v="526713641"/>
    <s v="720000264382"/>
    <s v="iHerb_VP DFD1605"/>
    <s v="Доставлен"/>
    <d v="2024-06-12T00:00:00"/>
    <x v="24"/>
    <s v="Витамины"/>
    <s v="SNS-00803"/>
    <x v="151"/>
    <x v="868"/>
    <n v="17.21"/>
    <n v="-3.44"/>
    <n v="0"/>
    <n v="0"/>
    <n v="0.93906946460540242"/>
    <n v="1498.0549403274183"/>
    <n v="2500"/>
    <x v="515"/>
    <s v="&lt;Клиент не выбран&gt;"/>
    <s v="2024 08"/>
    <n v="1001.9450596725817"/>
    <n v="0.66883065013195997"/>
  </r>
  <r>
    <s v="526713641"/>
    <s v="720000264382"/>
    <s v="iHerb_VP DFD1605"/>
    <s v="Доставлен"/>
    <d v="2024-06-12T00:00:00"/>
    <x v="24"/>
    <s v="Витамины"/>
    <s v="SNS-00803"/>
    <x v="151"/>
    <x v="868"/>
    <n v="17.21"/>
    <n v="-3.44"/>
    <n v="0"/>
    <n v="0"/>
    <n v="0.93906946460540242"/>
    <n v="1498.0549403274183"/>
    <n v="2500"/>
    <x v="647"/>
    <s v="&lt;Клиент не выбран&gt;"/>
    <s v="2024 10"/>
    <n v="1001.9450596725817"/>
    <n v="0.66883065013195997"/>
  </r>
  <r>
    <s v="526713641"/>
    <s v="720000264382"/>
    <s v="iHerb_VP DFD1605"/>
    <s v="Доставлен"/>
    <d v="2024-06-12T00:00:00"/>
    <x v="24"/>
    <s v="Витамины"/>
    <s v="NOW-01294"/>
    <x v="3"/>
    <x v="43"/>
    <n v="15.56"/>
    <n v="-3.11"/>
    <n v="0"/>
    <n v="0"/>
    <n v="0.84904973379355553"/>
    <n v="1354.4505451762061"/>
    <n v="2100"/>
    <x v="461"/>
    <s v="&lt;Клиент не выбран&gt;"/>
    <s v="2024 08"/>
    <n v="745.54945482379389"/>
    <n v="0.55044420593946619"/>
  </r>
  <r>
    <s v="526713641"/>
    <s v="720000264382"/>
    <s v="iHerb_VP DFD1605"/>
    <s v="Доставлен"/>
    <d v="2024-06-12T00:00:00"/>
    <x v="24"/>
    <s v="Витамины"/>
    <s v="NOW-01294"/>
    <x v="3"/>
    <x v="43"/>
    <n v="15.56"/>
    <n v="-3.11"/>
    <n v="0"/>
    <n v="0"/>
    <n v="0.84904973379355553"/>
    <n v="1354.4505451762061"/>
    <n v="2000"/>
    <x v="648"/>
    <s v="&lt;Клиент не выбран&gt;"/>
    <s v="2024 11"/>
    <n v="645.54945482379389"/>
    <n v="0.47661352946615831"/>
  </r>
  <r>
    <s v="526713641"/>
    <s v="720000264382"/>
    <s v="iHerb_VP DFD1605"/>
    <s v="Доставлен"/>
    <d v="2024-06-12T00:00:00"/>
    <x v="24"/>
    <s v="Витамины"/>
    <s v="CEN-27387"/>
    <x v="2"/>
    <x v="23"/>
    <n v="28.34"/>
    <n v="-5.67"/>
    <n v="0"/>
    <n v="0"/>
    <n v="1.546020679927703"/>
    <n v="2466.2966955136217"/>
    <n v="3400"/>
    <x v="386"/>
    <s v="&lt;Клиент не выбран&gt;"/>
    <s v="2024 08"/>
    <n v="933.70330448637833"/>
    <n v="0.37858515002872711"/>
  </r>
  <r>
    <s v="526713641"/>
    <s v="720000264382"/>
    <s v="iHerb_VP DFD1605"/>
    <s v="Доставлен"/>
    <d v="2024-06-12T00:00:00"/>
    <x v="24"/>
    <s v="Витамины"/>
    <s v="NOW-00426"/>
    <x v="3"/>
    <x v="1169"/>
    <n v="14.51"/>
    <n v="-2.9"/>
    <n v="0"/>
    <n v="0"/>
    <n v="0.79176445054965283"/>
    <n v="1263.06593007998"/>
    <n v="1900"/>
    <x v="26"/>
    <s v="&lt;Клиент не выбран&gt;"/>
    <s v="2024 08"/>
    <n v="636.93406992001997"/>
    <n v="0.50427618602592494"/>
  </r>
  <r>
    <s v="526713641"/>
    <s v="720000264382"/>
    <s v="iHerb_VP DFD1605"/>
    <s v="Доставлен"/>
    <d v="2024-06-12T00:00:00"/>
    <x v="24"/>
    <s v="Витамины"/>
    <s v="NOW-00426"/>
    <x v="3"/>
    <x v="1169"/>
    <n v="14.51"/>
    <n v="-2.9"/>
    <n v="0"/>
    <n v="0"/>
    <n v="0.79176445054965283"/>
    <n v="1263.06593007998"/>
    <n v="2000"/>
    <x v="607"/>
    <s v="&lt;Клиент не выбран&gt;"/>
    <s v="2024 10"/>
    <n v="736.93406992001997"/>
    <n v="0.58344861686939475"/>
  </r>
  <r>
    <s v="526689596"/>
    <s v="720000262320"/>
    <s v="iHerb_AV CYG0792"/>
    <s v="Доставлен"/>
    <d v="2024-06-11T00:00:00"/>
    <x v="24"/>
    <s v="Витамины"/>
    <s v="FOA-66052"/>
    <x v="171"/>
    <x v="1203"/>
    <n v="6.34"/>
    <n v="-1.27"/>
    <n v="-0.53124664159054269"/>
    <n v="-7.7430449657253254E-16"/>
    <n v="0.29422872647409237"/>
    <n v="497.42380252552374"/>
    <n v="1100"/>
    <x v="674"/>
    <s v="&lt;Клиент не выбран&gt;"/>
    <s v="2025 05"/>
    <n v="602.5761974744762"/>
    <n v="1.211393975147695"/>
  </r>
  <r>
    <s v="526689596"/>
    <s v="720000262320"/>
    <s v="iHerb_AV CYG0792"/>
    <s v="Доставлен"/>
    <d v="2024-06-11T00:00:00"/>
    <x v="24"/>
    <s v="Витамины"/>
    <s v="RHS-20001"/>
    <x v="153"/>
    <x v="578"/>
    <n v="22.34"/>
    <n v="-4.47"/>
    <n v="-1.8724610424502954"/>
    <n v="-2.7291560855524964E-15"/>
    <n v="1.0370547025822545"/>
    <n v="1753.247209296077"/>
    <n v="2600"/>
    <x v="487"/>
    <s v="&lt;Клиент не выбран&gt;"/>
    <s v="2024 08"/>
    <n v="846.75279070392298"/>
    <n v="0.48296257721915409"/>
  </r>
  <r>
    <s v="526689596"/>
    <s v="720000262320"/>
    <s v="iHerb_AV CYG0792"/>
    <s v="Доставлен"/>
    <d v="2024-06-11T00:00:00"/>
    <x v="24"/>
    <s v="Витамины"/>
    <s v="CVR-03504"/>
    <x v="251"/>
    <x v="1160"/>
    <n v="17.84"/>
    <n v="-3.57"/>
    <n v="-1.4952444922084898"/>
    <n v="-2.1793540761518815E-15"/>
    <n v="0.82813489680183383"/>
    <n v="1400.0468761418588"/>
    <n v="2300"/>
    <x v="312"/>
    <s v="&lt;Клиент не выбран&gt;"/>
    <s v="2024 07"/>
    <n v="899.95312385814123"/>
    <n v="0.64280213698141497"/>
  </r>
  <r>
    <s v="526689596"/>
    <s v="720000262320"/>
    <s v="iHerb_AV CYG0792"/>
    <s v="Доставлен"/>
    <d v="2024-06-11T00:00:00"/>
    <x v="24"/>
    <s v="Витамины"/>
    <s v="NOW-02644"/>
    <x v="3"/>
    <x v="21"/>
    <n v="23.03"/>
    <n v="-4.6050000000000004"/>
    <n v="-1.9306152606125737"/>
    <n v="-2.8139172286684244E-15"/>
    <n v="1.0692631726400694"/>
    <n v="1807.698927324019"/>
    <n v="2900"/>
    <x v="675"/>
    <s v="&lt;Клиент не выбран&gt;"/>
    <s v="2025 02"/>
    <n v="1092.301072675981"/>
    <n v="0.60424944450951301"/>
  </r>
  <r>
    <s v="526689596"/>
    <s v="720000262320"/>
    <s v="iHerb_AV CYG0792"/>
    <s v="Доставлен"/>
    <d v="2024-06-11T00:00:00"/>
    <x v="24"/>
    <s v="Витамины"/>
    <s v="NOW-02644"/>
    <x v="3"/>
    <x v="21"/>
    <n v="23.03"/>
    <n v="-4.6050000000000004"/>
    <n v="-1.9306152606125737"/>
    <n v="-2.8139172286684244E-15"/>
    <n v="1.0692631726400694"/>
    <n v="1807.698927324019"/>
    <n v="3000"/>
    <x v="676"/>
    <s v="&lt;Клиент не выбран&gt;"/>
    <s v="2025 02"/>
    <n v="1192.301072675981"/>
    <n v="0.65956839087190999"/>
  </r>
  <r>
    <s v="526689596"/>
    <s v="720000262320"/>
    <s v="iHerb_AV CYG0792"/>
    <s v="Доставлен"/>
    <d v="2024-06-11T00:00:00"/>
    <x v="24"/>
    <s v="Витамины"/>
    <s v="NOW-01294"/>
    <x v="3"/>
    <x v="43"/>
    <n v="15.56"/>
    <n v="-3.11"/>
    <n v="-1.304540569586244"/>
    <n v="-1.9013986158437932E-15"/>
    <n v="0.72251432832395468"/>
    <n v="1221.484485491671"/>
    <n v="1900"/>
    <x v="677"/>
    <s v="&lt;Клиент не выбран&gt;"/>
    <s v="2025 04"/>
    <n v="678.51551450832903"/>
    <n v="0.55548434922217904"/>
  </r>
  <r>
    <s v="526689596"/>
    <s v="720000262320"/>
    <s v="iHerb_AV CYG0792"/>
    <s v="Доставлен"/>
    <d v="2024-06-11T00:00:00"/>
    <x v="24"/>
    <s v="Витамины"/>
    <s v="NOW-01294"/>
    <x v="3"/>
    <x v="43"/>
    <n v="15.56"/>
    <n v="-3.11"/>
    <n v="-1.304540569586244"/>
    <n v="-1.9013986158437932E-15"/>
    <n v="0.72251432832395468"/>
    <n v="1221.484485491671"/>
    <n v="2000"/>
    <x v="678"/>
    <m/>
    <s v="2025 08"/>
    <n v="778.51551450832903"/>
    <n v="0.6373519465496621"/>
  </r>
  <r>
    <s v="526689596"/>
    <s v="720000262320"/>
    <s v="iHerb_AV CYG0792"/>
    <s v="Доставлен"/>
    <d v="2024-06-11T00:00:00"/>
    <x v="24"/>
    <s v="Витамины"/>
    <s v="CGN-02188"/>
    <x v="1"/>
    <x v="1094"/>
    <n v="26.88"/>
    <n v="-25.88"/>
    <n v="-0.10478237506716817"/>
    <n v="-1.5272278038905968E-16"/>
    <n v="5.8033279383450175E-2"/>
    <n v="98.111203653949474"/>
    <n v="98.11"/>
    <x v="554"/>
    <s v="&lt;Клиент не выбран&gt;"/>
    <s v="2024 06"/>
    <n v="-1.2036539494744147E-3"/>
    <n v="-1.2268261978722158E-5"/>
  </r>
  <r>
    <s v="526689596"/>
    <s v="720000262320"/>
    <s v="iHerb_AV CYG0792"/>
    <s v="Доставлен"/>
    <d v="2024-06-11T00:00:00"/>
    <x v="24"/>
    <s v="Косметика"/>
    <s v="EUC-03226"/>
    <x v="13"/>
    <x v="29"/>
    <n v="25.7"/>
    <n v="-5.14"/>
    <n v="-2.1543256313809773"/>
    <n v="-3.1399803647990666E-15"/>
    <n v="1.1931642241237355"/>
    <n v="2017.1663471252007"/>
    <n v="3000"/>
    <x v="312"/>
    <s v="&lt;Клиент не выбран&gt;"/>
    <s v="2024 07"/>
    <n v="982.83365287479933"/>
    <n v="0.48723480553574655"/>
  </r>
  <r>
    <s v="526689596"/>
    <s v="720000262320"/>
    <s v="iHerb_AV CYG0792"/>
    <s v="Доставлен"/>
    <d v="2024-06-11T00:00:00"/>
    <x v="24"/>
    <s v="Косметика"/>
    <s v="EUC-03226"/>
    <x v="13"/>
    <x v="29"/>
    <n v="25.7"/>
    <n v="-5.14"/>
    <n v="-2.1543256313809773"/>
    <n v="-3.1399803647990666E-15"/>
    <n v="1.1931642241237355"/>
    <n v="2017.1663471252007"/>
    <n v="3000"/>
    <x v="312"/>
    <s v="&lt;Клиент не выбран&gt;"/>
    <s v="2024 07"/>
    <n v="982.83365287479933"/>
    <n v="0.48723480553574655"/>
  </r>
  <r>
    <s v="526689596"/>
    <s v="720000262320"/>
    <s v="iHerb_AV CYG0792"/>
    <s v="Доставлен"/>
    <d v="2024-06-11T00:00:00"/>
    <x v="24"/>
    <s v="Витамины"/>
    <s v="NOW-00105"/>
    <x v="3"/>
    <x v="485"/>
    <n v="12.71"/>
    <n v="-2.54"/>
    <n v="-1.0656367544331005"/>
    <n v="-1.5531906765567371E-15"/>
    <n v="0.59019845132968829"/>
    <n v="997.79094116066631"/>
    <n v="1800"/>
    <x v="436"/>
    <s v="&lt;Клиент не выбран&gt;"/>
    <s v="2024 10"/>
    <n v="802.20905883933369"/>
    <n v="0.8039851092516187"/>
  </r>
  <r>
    <s v="526689596"/>
    <s v="720000262320"/>
    <s v="iHerb_AV CYG0792"/>
    <s v="Доставлен"/>
    <d v="2024-06-11T00:00:00"/>
    <x v="24"/>
    <s v="Витамины"/>
    <s v="NOW-00105"/>
    <x v="3"/>
    <x v="485"/>
    <n v="12.71"/>
    <n v="-2.54"/>
    <n v="-1.0656367544331005"/>
    <n v="-1.5531906765567371E-15"/>
    <n v="0.59019845132968829"/>
    <n v="997.79094116066631"/>
    <n v="1700"/>
    <x v="166"/>
    <s v="&lt;Клиент не выбран&gt;"/>
    <s v="2025 01"/>
    <n v="702.20905883933369"/>
    <n v="0.7037637142931954"/>
  </r>
  <r>
    <s v="526689596"/>
    <s v="720000262320"/>
    <s v="iHerb_AV CYG0792"/>
    <s v="Доставлен"/>
    <d v="2024-06-11T00:00:00"/>
    <x v="24"/>
    <s v="Витамины"/>
    <s v="NOW-00087"/>
    <x v="3"/>
    <x v="1282"/>
    <n v="11.07"/>
    <n v="-2.21"/>
    <n v="-0.92837184309510989"/>
    <n v="-1.3531238342470686E-15"/>
    <n v="0.5141748553373684"/>
    <n v="869.26526437399218"/>
    <n v="1700"/>
    <x v="586"/>
    <s v="&lt;Клиент не выбран&gt;"/>
    <s v="2024 08"/>
    <n v="830.73473562600782"/>
    <n v="0.95567460207243826"/>
  </r>
  <r>
    <s v="526689596"/>
    <s v="720000262320"/>
    <s v="iHerb_AV CYG0792"/>
    <s v="Доставлен"/>
    <d v="2024-06-11T00:00:00"/>
    <x v="24"/>
    <s v="Витамины"/>
    <s v="NOW-03170"/>
    <x v="3"/>
    <x v="306"/>
    <n v="19.78"/>
    <n v="-3.96"/>
    <n v="-1.6576571735626007"/>
    <n v="-2.4160743857549239E-15"/>
    <n v="0.91808647984618175"/>
    <n v="1552.1192418054804"/>
    <n v="2400"/>
    <x v="386"/>
    <s v="&lt;Клиент не выбран&gt;"/>
    <s v="2024 08"/>
    <n v="847.88075819451956"/>
    <n v="0.54627295078710214"/>
  </r>
  <r>
    <s v="526481663"/>
    <s v="720000252407"/>
    <s v="iHerb_OA CZN6870"/>
    <s v="Доставлен"/>
    <d v="2024-06-02T00:00:00"/>
    <x v="24"/>
    <s v="Витамины"/>
    <s v="CGN-02435"/>
    <x v="1"/>
    <x v="1283"/>
    <n v="50.14"/>
    <n v="-30.08"/>
    <n v="-0.77662273476112031"/>
    <n v="3.1309142843157853E-15"/>
    <n v="1.1904008789049649"/>
    <n v="2106.0108319604619"/>
    <n v="2106.0100000000002"/>
    <x v="679"/>
    <s v="&lt;Клиент не выбран&gt;"/>
    <s v="2024 06"/>
    <n v="-8.3196046170996851E-4"/>
    <n v="-3.9504092243224878E-7"/>
  </r>
  <r>
    <s v="526481663"/>
    <s v="720000252407"/>
    <s v="iHerb_OA CZN6870"/>
    <s v="Доставлен"/>
    <d v="2024-06-02T00:00:00"/>
    <x v="24"/>
    <s v="Витамины"/>
    <s v="SLM-01828"/>
    <x v="164"/>
    <x v="1284"/>
    <n v="29.7"/>
    <n v="-17.82"/>
    <n v="-0.45993410214168035"/>
    <n v="1.854200483433276E-15"/>
    <n v="0.70498317255189336"/>
    <n v="1247.2287479406921"/>
    <n v="3100"/>
    <x v="634"/>
    <s v="&lt;Клиент не выбран&gt;"/>
    <s v="2024 09"/>
    <n v="1852.7712520593079"/>
    <n v="1.4855103806085541"/>
  </r>
  <r>
    <s v="526481663"/>
    <s v="720000252407"/>
    <s v="iHerb_OA CZN6870"/>
    <s v="Доставлен"/>
    <d v="2024-06-02T00:00:00"/>
    <x v="24"/>
    <s v="Витамины"/>
    <s v="SLM-01828"/>
    <x v="164"/>
    <x v="1284"/>
    <n v="29.7"/>
    <n v="-17.82"/>
    <n v="-0.45993410214168035"/>
    <n v="1.854200483433276E-15"/>
    <n v="0.70498317255189336"/>
    <n v="1247.2287479406921"/>
    <n v="3100"/>
    <x v="634"/>
    <s v="&lt;Клиент не выбран&gt;"/>
    <s v="2024 09"/>
    <n v="1852.7712520593079"/>
    <n v="1.4855103806085541"/>
  </r>
  <r>
    <s v="526481663"/>
    <s v="720000252407"/>
    <s v="iHerb_OA CZN6870"/>
    <s v="Доставлен"/>
    <d v="2024-06-02T00:00:00"/>
    <x v="24"/>
    <s v="Витамины"/>
    <s v="SPN-02337"/>
    <x v="45"/>
    <x v="1285"/>
    <n v="28.73"/>
    <n v="-17.239999999999998"/>
    <n v="-0.44483525535420104"/>
    <n v="1.7933302655427902E-15"/>
    <n v="0.68183978557417979"/>
    <n v="1206.2843698517304"/>
    <m/>
    <x v="20"/>
    <m/>
    <s v=""/>
    <n v="-1206.2843698517304"/>
    <s v=""/>
  </r>
  <r>
    <s v="526481663"/>
    <s v="720000252407"/>
    <s v="iHerb_OA CZN6870"/>
    <s v="Доставлен"/>
    <d v="2024-06-02T00:00:00"/>
    <x v="24"/>
    <s v="Витамины"/>
    <s v="CGN-02300"/>
    <x v="1"/>
    <x v="1167"/>
    <n v="23.82"/>
    <n v="-14.29"/>
    <n v="-0.36895387149917636"/>
    <n v="1.4874184012726536E-15"/>
    <n v="0.56552943050669569"/>
    <n v="1000.5126235584847"/>
    <n v="2900"/>
    <x v="680"/>
    <s v="&lt;Клиент не выбран&gt;"/>
    <s v="2024 10"/>
    <n v="1899.4873764415152"/>
    <n v="1.898514153360386"/>
  </r>
  <r>
    <s v="526481663"/>
    <s v="720000252407"/>
    <s v="iHerb_OA CZN6870"/>
    <s v="Доставлен"/>
    <d v="2024-06-02T00:00:00"/>
    <x v="24"/>
    <s v="Витамины"/>
    <s v="CGN-02300"/>
    <x v="1"/>
    <x v="1167"/>
    <n v="23.82"/>
    <n v="-14.29"/>
    <n v="-0.36895387149917636"/>
    <n v="1.4874184012726536E-15"/>
    <n v="0.56552943050669569"/>
    <n v="1000.5126235584847"/>
    <n v="2900"/>
    <x v="681"/>
    <s v="&lt;Клиент не выбран&gt;"/>
    <s v="2024 11"/>
    <n v="1899.4873764415152"/>
    <n v="1.898514153360386"/>
  </r>
  <r>
    <s v="526481663"/>
    <s v="720000252407"/>
    <s v="iHerb_OA CZN6870"/>
    <s v="Доставлен"/>
    <d v="2024-06-02T00:00:00"/>
    <x v="24"/>
    <s v="Витамины"/>
    <s v="CGN-01883"/>
    <x v="1"/>
    <x v="1286"/>
    <n v="7.63"/>
    <n v="-4.58"/>
    <n v="-0.1180807248764415"/>
    <n v="4.760363193999573E-16"/>
    <n v="0.18099315456929921"/>
    <n v="320.20603377265246"/>
    <n v="320.20999999999998"/>
    <x v="679"/>
    <s v="&lt;Клиент не выбран&gt;"/>
    <s v="2024 06"/>
    <n v="3.9662273475187249E-3"/>
    <n v="1.2386485353785562E-5"/>
  </r>
  <r>
    <s v="526481663"/>
    <s v="720000252407"/>
    <s v="iHerb_OA CZN6870"/>
    <s v="Доставлен"/>
    <d v="2024-06-02T00:00:00"/>
    <x v="24"/>
    <s v="Витамины"/>
    <s v="CGN-01883"/>
    <x v="1"/>
    <x v="1286"/>
    <n v="7.63"/>
    <n v="-4.58"/>
    <n v="-0.1180807248764415"/>
    <n v="4.760363193999573E-16"/>
    <n v="0.18099315456929921"/>
    <n v="320.20603377265246"/>
    <n v="1100"/>
    <x v="493"/>
    <s v="&lt;Клиент не выбран&gt;"/>
    <s v="2025 02"/>
    <n v="779.79396622734748"/>
    <n v="2.4352881706813938"/>
  </r>
  <r>
    <s v="526481663"/>
    <s v="720000252407"/>
    <s v="iHerb_OA CZN6870"/>
    <s v="Доставлен"/>
    <d v="2024-06-02T00:00:00"/>
    <x v="24"/>
    <s v="Косметика"/>
    <s v="IDE-01992"/>
    <x v="111"/>
    <x v="1287"/>
    <n v="18.649999999999999"/>
    <n v="-11.19"/>
    <n v="-0.28881383855024706"/>
    <n v="1.1643380140077643E-15"/>
    <n v="0.44269145347113831"/>
    <n v="783.19246293245476"/>
    <m/>
    <x v="20"/>
    <m/>
    <s v=""/>
    <n v="-783.19246293245476"/>
    <s v=""/>
  </r>
  <r>
    <s v="526481663"/>
    <s v="720000252407"/>
    <s v="iHerb_OA CZN6870"/>
    <s v="Доставлен"/>
    <d v="2024-06-02T00:00:00"/>
    <x v="24"/>
    <s v="Витамины"/>
    <s v="SLM-01316"/>
    <x v="164"/>
    <x v="1138"/>
    <n v="31.91"/>
    <n v="-19.145"/>
    <n v="-0.49419686985172984"/>
    <n v="1.9923290548001491E-15"/>
    <n v="0.75750085838593606"/>
    <n v="1340.1409905271832"/>
    <n v="3400"/>
    <x v="507"/>
    <s v="&lt;Клиент не выбран&gt;"/>
    <s v="2024 07"/>
    <n v="2059.859009472817"/>
    <n v="1.5370464928936409"/>
  </r>
  <r>
    <s v="526481663"/>
    <s v="720000252407"/>
    <s v="iHerb_OA CZN6870"/>
    <s v="Доставлен"/>
    <d v="2024-06-02T00:00:00"/>
    <x v="24"/>
    <s v="Витамины"/>
    <s v="SLM-01316"/>
    <x v="164"/>
    <x v="1138"/>
    <n v="31.91"/>
    <n v="-19.145"/>
    <n v="-0.49419686985172984"/>
    <n v="1.9923290548001491E-15"/>
    <n v="0.75750085838593606"/>
    <n v="1340.1409905271832"/>
    <n v="3400"/>
    <x v="507"/>
    <s v="&lt;Клиент не выбран&gt;"/>
    <s v="2024 07"/>
    <n v="2059.859009472817"/>
    <n v="1.5370464928936409"/>
  </r>
  <r>
    <s v="526481663"/>
    <s v="720000252407"/>
    <s v="iHerb_OA CZN6870"/>
    <s v="Доставлен"/>
    <d v="2024-06-02T00:00:00"/>
    <x v="24"/>
    <s v="Витамины"/>
    <s v="CGN-02190"/>
    <x v="1"/>
    <x v="1273"/>
    <n v="26.88"/>
    <n v="-25.88"/>
    <n v="-3.8714991762767707E-2"/>
    <n v="1.560774817704778E-16"/>
    <n v="5.9342017891573506E-2"/>
    <n v="104.98558484349262"/>
    <n v="1000"/>
    <x v="556"/>
    <s v="&lt;Клиент не выбран&gt;"/>
    <s v="2024 09"/>
    <n v="895.01441515650743"/>
    <n v="8.525117200525683"/>
  </r>
  <r>
    <s v="526481663"/>
    <s v="720000252407"/>
    <s v="iHerb_OA CZN6870"/>
    <s v="Доставлен"/>
    <d v="2024-06-02T00:00:00"/>
    <x v="24"/>
    <s v="Витамины"/>
    <s v="NCS-67580"/>
    <x v="217"/>
    <x v="1288"/>
    <n v="18.28"/>
    <n v="-3.66"/>
    <n v="-0.56601317957166397"/>
    <n v="2.2818527834843857E-15"/>
    <n v="0.86758030157480481"/>
    <n v="1534.8892504118621"/>
    <n v="2500"/>
    <x v="682"/>
    <s v="&lt;Клиент не выбран&gt;"/>
    <s v="2025 03"/>
    <n v="965.11074958813788"/>
    <n v="0.62878201103380349"/>
  </r>
  <r>
    <s v="526481663"/>
    <s v="720000252407"/>
    <s v="iHerb_OA CZN6870"/>
    <s v="Доставлен"/>
    <d v="2024-06-02T00:00:00"/>
    <x v="24"/>
    <s v="Витамины"/>
    <s v="ZAH-00038"/>
    <x v="234"/>
    <x v="1289"/>
    <n v="14.42"/>
    <n v="-2.88"/>
    <n v="-0.44677100494233929"/>
    <n v="1.8011341396313138E-15"/>
    <n v="0.68480688646875831"/>
    <n v="1211.5336490939046"/>
    <n v="1800"/>
    <x v="622"/>
    <s v="&lt;Клиент не выбран&gt;"/>
    <s v="2024 12"/>
    <n v="588.46635090609539"/>
    <n v="0.48572018725703919"/>
  </r>
  <r>
    <s v="526481663"/>
    <s v="720000252407"/>
    <s v="iHerb_OA CZN6870"/>
    <s v="Доставлен"/>
    <d v="2024-06-02T00:00:00"/>
    <x v="24"/>
    <s v="Витамины"/>
    <s v="SOR-04710"/>
    <x v="10"/>
    <x v="723"/>
    <n v="6.85"/>
    <n v="-2.0550000000000002"/>
    <n v="-0.18563838550247116"/>
    <n v="7.4839152508944109E-16"/>
    <n v="0.28454497579009497"/>
    <n v="503.40587932454719"/>
    <n v="800"/>
    <x v="452"/>
    <s v="&lt;Клиент не выбран&gt;"/>
    <s v="2025 01"/>
    <n v="296.59412067545281"/>
    <n v="0.58917492396674565"/>
  </r>
  <r>
    <s v="526481663"/>
    <s v="720000252407"/>
    <s v="iHerb_OA CZN6870"/>
    <s v="Доставлен"/>
    <d v="2024-06-02T00:00:00"/>
    <x v="24"/>
    <s v="Витамины"/>
    <s v="SOR-04710"/>
    <x v="10"/>
    <x v="723"/>
    <n v="6.85"/>
    <n v="-2.0550000000000002"/>
    <n v="-0.18563838550247116"/>
    <n v="7.4839152508944109E-16"/>
    <n v="0.28454497579009497"/>
    <n v="503.40587932454719"/>
    <n v="800"/>
    <x v="452"/>
    <s v="&lt;Клиент не выбран&gt;"/>
    <s v="2025 01"/>
    <n v="296.59412067545281"/>
    <n v="0.58917492396674565"/>
  </r>
  <r>
    <s v="526481663"/>
    <s v="720000252407"/>
    <s v="iHerb_OA CZN6870"/>
    <s v="Доставлен"/>
    <d v="2024-06-02T00:00:00"/>
    <x v="24"/>
    <s v="Косметика"/>
    <s v="MLI-01688"/>
    <x v="267"/>
    <x v="1276"/>
    <n v="18.760000000000002"/>
    <n v="-16.260000000000002"/>
    <n v="-9.6787479406919272E-2"/>
    <n v="3.9019370442619452E-16"/>
    <n v="0.14835504472893379"/>
    <n v="262.46396210873155"/>
    <m/>
    <x v="20"/>
    <m/>
    <s v=""/>
    <n v="-262.46396210873155"/>
    <s v=""/>
  </r>
  <r>
    <s v="526481663"/>
    <s v="720000252407"/>
    <s v="iHerb_OA CZN6870"/>
    <s v="Доставлен"/>
    <d v="2024-06-02T00:00:00"/>
    <x v="24"/>
    <s v="Косметика"/>
    <s v="ALB-00394"/>
    <x v="269"/>
    <x v="1290"/>
    <n v="3.71"/>
    <n v="-1.3"/>
    <n v="-9.3303130148270186E-2"/>
    <n v="3.7614673106685155E-16"/>
    <n v="0.1430142631186922"/>
    <n v="253.01525947281723"/>
    <m/>
    <x v="20"/>
    <m/>
    <s v=""/>
    <n v="-253.01525947281723"/>
    <s v=""/>
  </r>
  <r>
    <s v="526481663"/>
    <s v="720000252407"/>
    <s v="iHerb_OA CZN6870"/>
    <s v="Доставлен"/>
    <d v="2024-06-02T00:00:00"/>
    <x v="24"/>
    <s v="Витамины"/>
    <s v="MAV-18361"/>
    <x v="4"/>
    <x v="1291"/>
    <n v="11.88"/>
    <n v="-2.38"/>
    <n v="-0.36779242174629323"/>
    <n v="1.4827360768195391E-15"/>
    <n v="0.56374916996994828"/>
    <n v="997.36305601317997"/>
    <m/>
    <x v="20"/>
    <m/>
    <s v=""/>
    <n v="-997.36305601317997"/>
    <s v=""/>
  </r>
  <r>
    <s v="526481663"/>
    <s v="720000252407"/>
    <s v="iHerb_OA CZN6870"/>
    <s v="Доставлен"/>
    <d v="2024-06-02T00:00:00"/>
    <x v="24"/>
    <s v="Витамины"/>
    <s v="NCS-67068"/>
    <x v="217"/>
    <x v="1134"/>
    <n v="16.22"/>
    <n v="-3.24"/>
    <n v="-0.50252059308072483"/>
    <n v="2.0258857133808017E-15"/>
    <n v="0.77025939223262418"/>
    <n v="1362.7128912685341"/>
    <n v="2200"/>
    <x v="556"/>
    <s v="&lt;Клиент не выбран&gt;"/>
    <s v="2024 09"/>
    <n v="837.28710873146588"/>
    <n v="0.61442664415689552"/>
  </r>
  <r>
    <s v="526481663"/>
    <s v="720000252407"/>
    <s v="iHerb_OA CZN6870"/>
    <s v="Доставлен"/>
    <d v="2024-06-02T00:00:00"/>
    <x v="24"/>
    <s v="Косметика"/>
    <s v="MLI-01689"/>
    <x v="267"/>
    <x v="1292"/>
    <n v="10.99"/>
    <n v="-8.99"/>
    <n v="-7.7429983525535415E-2"/>
    <n v="3.121549635409556E-16"/>
    <n v="0.11868403578314701"/>
    <n v="209.97116968698523"/>
    <m/>
    <x v="20"/>
    <m/>
    <s v=""/>
    <n v="-209.97116968698523"/>
    <s v=""/>
  </r>
  <r>
    <s v="526481663"/>
    <s v="720000252407"/>
    <s v="iHerb_OA CZN6870"/>
    <s v="Доставлен"/>
    <d v="2024-06-02T00:00:00"/>
    <x v="24"/>
    <s v="Косметика"/>
    <s v="MLI-01686"/>
    <x v="267"/>
    <x v="1275"/>
    <n v="18.93"/>
    <n v="-16.43"/>
    <n v="-9.6787479406919272E-2"/>
    <n v="3.9019370442619452E-16"/>
    <n v="0.14835504472893379"/>
    <n v="262.46396210873155"/>
    <m/>
    <x v="20"/>
    <m/>
    <s v=""/>
    <n v="-262.46396210873155"/>
    <s v=""/>
  </r>
  <r>
    <s v="526660302"/>
    <s v="720000260354"/>
    <s v="iHerb_OA CZN6870"/>
    <s v="Доставлен"/>
    <d v="2024-06-10T00:00:00"/>
    <x v="24"/>
    <s v="Витамины"/>
    <s v="NOW-00892"/>
    <x v="3"/>
    <x v="1293"/>
    <n v="15.03"/>
    <n v="-3.0049999999999999"/>
    <n v="-0.7088446475195822"/>
    <n v="0"/>
    <n v="0.65522224872691337"/>
    <n v="1226.2339180809399"/>
    <n v="1900"/>
    <x v="312"/>
    <s v="&lt;Клиент не выбран&gt;"/>
    <s v="2024 07"/>
    <n v="673.76608191906007"/>
    <n v="0.54945966832617565"/>
  </r>
  <r>
    <s v="526660302"/>
    <s v="720000260354"/>
    <s v="iHerb_OA CZN6870"/>
    <s v="Доставлен"/>
    <d v="2024-06-10T00:00:00"/>
    <x v="24"/>
    <s v="Витамины"/>
    <s v="NOW-00892"/>
    <x v="3"/>
    <x v="1293"/>
    <n v="15.03"/>
    <n v="-3.0049999999999999"/>
    <n v="-0.7088446475195822"/>
    <n v="0"/>
    <n v="0.65522224872691337"/>
    <n v="1226.2339180809399"/>
    <n v="1900"/>
    <x v="312"/>
    <s v="&lt;Клиент не выбран&gt;"/>
    <s v="2024 07"/>
    <n v="673.76608191906007"/>
    <n v="0.54945966832617565"/>
  </r>
  <r>
    <s v="526660302"/>
    <s v="720000260354"/>
    <s v="iHerb_OA CZN6870"/>
    <s v="Доставлен"/>
    <d v="2024-06-10T00:00:00"/>
    <x v="24"/>
    <s v="Витамины"/>
    <s v="NOW-00087"/>
    <x v="3"/>
    <x v="1282"/>
    <n v="11.07"/>
    <n v="-2.21"/>
    <n v="-0.52227555734083142"/>
    <n v="0"/>
    <n v="0.48276666309525584"/>
    <n v="903.48711136774466"/>
    <n v="1700"/>
    <x v="683"/>
    <s v="&lt;Клиент не выбран&gt;"/>
    <s v="2024 10"/>
    <n v="796.51288863225534"/>
    <n v="0.88159850717344901"/>
  </r>
  <r>
    <s v="526660302"/>
    <s v="720000260354"/>
    <s v="iHerb_OA CZN6870"/>
    <s v="Доставлен"/>
    <d v="2024-06-10T00:00:00"/>
    <x v="24"/>
    <s v="Витамины"/>
    <s v="NOW-01662"/>
    <x v="3"/>
    <x v="122"/>
    <n v="36.799999999999997"/>
    <n v="-7.3599999999999994"/>
    <n v="-1.7354167503514761"/>
    <n v="0"/>
    <n v="1.6041366322262227"/>
    <n v="3002.1061578630247"/>
    <n v="4300"/>
    <x v="684"/>
    <s v="&lt;Клиент не выбран&gt;"/>
    <s v="2024 12"/>
    <n v="1297.8938421369753"/>
    <n v="0.43232776387256372"/>
  </r>
  <r>
    <s v="526660302"/>
    <s v="720000260354"/>
    <s v="iHerb_OA CZN6870"/>
    <s v="Доставлен"/>
    <d v="2024-06-10T00:00:00"/>
    <x v="24"/>
    <s v="Витамины"/>
    <s v="NOW-01662"/>
    <x v="3"/>
    <x v="122"/>
    <n v="36.799999999999997"/>
    <n v="-7.3599999999999994"/>
    <n v="-1.7354167503514761"/>
    <n v="0"/>
    <n v="1.6041366322262227"/>
    <n v="3002.1061578630247"/>
    <n v="4600"/>
    <x v="685"/>
    <s v="&lt;Клиент не выбран&gt;"/>
    <s v="2024 12"/>
    <n v="1597.8938421369753"/>
    <n v="0.53225760786367282"/>
  </r>
  <r>
    <s v="526660302"/>
    <s v="720000260354"/>
    <s v="iHerb_OA CZN6870"/>
    <s v="Доставлен"/>
    <d v="2024-06-10T00:00:00"/>
    <x v="24"/>
    <s v="Витамины"/>
    <s v="NOW-01662"/>
    <x v="3"/>
    <x v="122"/>
    <n v="36.799999999999997"/>
    <n v="-7.3599999999999994"/>
    <n v="-1.7354167503514761"/>
    <n v="0"/>
    <n v="1.6041366322262227"/>
    <n v="3002.1061578630247"/>
    <n v="4800"/>
    <x v="166"/>
    <s v="&lt;Клиент не выбран&gt;"/>
    <s v="2025 01"/>
    <n v="1797.8938421369753"/>
    <n v="0.59887750385774552"/>
  </r>
  <r>
    <s v="526660302"/>
    <s v="720000260354"/>
    <s v="iHerb_OA CZN6870"/>
    <s v="Доставлен"/>
    <d v="2024-06-10T00:00:00"/>
    <x v="24"/>
    <s v="Витамины"/>
    <s v="NOW-03092"/>
    <x v="3"/>
    <x v="1294"/>
    <n v="15.02"/>
    <n v="-3"/>
    <n v="-0.70854990962040576"/>
    <n v="0"/>
    <n v="0.65494980704345107"/>
    <n v="1225.7240495079334"/>
    <n v="2000"/>
    <x v="686"/>
    <s v="&lt;Клиент не выбран&gt;"/>
    <s v="2025 04"/>
    <n v="774.27595049206661"/>
    <n v="0.63168863399792108"/>
  </r>
  <r>
    <s v="526660302"/>
    <s v="720000260354"/>
    <s v="iHerb_OA CZN6870"/>
    <s v="Доставлен"/>
    <d v="2024-06-10T00:00:00"/>
    <x v="24"/>
    <s v="Витамины"/>
    <s v="NOW-00106"/>
    <x v="3"/>
    <x v="651"/>
    <n v="20.54"/>
    <n v="-4.1100000000000003"/>
    <n v="-0.96850873669411541"/>
    <n v="0"/>
    <n v="0.89524337185722969"/>
    <n v="1675.4281308997793"/>
    <n v="2500"/>
    <x v="511"/>
    <s v="&lt;Клиент не выбран&gt;"/>
    <s v="2024 07"/>
    <n v="824.57186910022074"/>
    <n v="0.49215591757874394"/>
  </r>
  <r>
    <s v="526660302"/>
    <s v="720000260354"/>
    <s v="iHerb_OA CZN6870"/>
    <s v="Доставлен"/>
    <d v="2024-06-10T00:00:00"/>
    <x v="24"/>
    <s v="Витамины"/>
    <s v="NOW-00106"/>
    <x v="3"/>
    <x v="651"/>
    <n v="20.54"/>
    <n v="-4.1100000000000003"/>
    <n v="-0.96850873669411541"/>
    <n v="0"/>
    <n v="0.89524337185722969"/>
    <n v="1675.4281308997793"/>
    <n v="2500"/>
    <x v="511"/>
    <s v="&lt;Клиент не выбран&gt;"/>
    <s v="2024 07"/>
    <n v="824.57186910022074"/>
    <n v="0.49215591757874394"/>
  </r>
  <r>
    <s v="526660302"/>
    <s v="720000260354"/>
    <s v="iHerb_OA CZN6870"/>
    <s v="Доставлен"/>
    <d v="2024-06-10T00:00:00"/>
    <x v="24"/>
    <s v="Витамины"/>
    <s v="NOW-00088"/>
    <x v="3"/>
    <x v="1261"/>
    <n v="20.03"/>
    <n v="-4.0049999999999999"/>
    <n v="-0.94463496686081561"/>
    <n v="0"/>
    <n v="0.87317559549678081"/>
    <n v="1634.1287764862425"/>
    <n v="2500"/>
    <x v="511"/>
    <s v="&lt;Клиент не выбран&gt;"/>
    <s v="2024 07"/>
    <n v="865.87122351375751"/>
    <n v="0.52986719037870589"/>
  </r>
  <r>
    <s v="526660302"/>
    <s v="720000260354"/>
    <s v="iHerb_OA CZN6870"/>
    <s v="Доставлен"/>
    <d v="2024-06-10T00:00:00"/>
    <x v="24"/>
    <s v="Витамины"/>
    <s v="NOW-00088"/>
    <x v="3"/>
    <x v="1261"/>
    <n v="20.03"/>
    <n v="-4.0049999999999999"/>
    <n v="-0.94463496686081561"/>
    <n v="0"/>
    <n v="0.87317559549678081"/>
    <n v="1634.1287764862425"/>
    <n v="2500"/>
    <x v="511"/>
    <s v="&lt;Клиент не выбран&gt;"/>
    <s v="2024 07"/>
    <n v="865.87122351375751"/>
    <n v="0.52986719037870589"/>
  </r>
  <r>
    <s v="526660302"/>
    <s v="720000260354"/>
    <s v="iHerb_OA CZN6870"/>
    <s v="Доставлен"/>
    <d v="2024-06-10T00:00:00"/>
    <x v="24"/>
    <s v="Витамины"/>
    <s v="CGN-02188"/>
    <x v="1"/>
    <x v="1094"/>
    <n v="26.88"/>
    <n v="-25.88"/>
    <n v="-5.8947579835308295E-2"/>
    <n v="0"/>
    <n v="5.4488336692466811E-2"/>
    <n v="101.97371460132558"/>
    <m/>
    <x v="20"/>
    <m/>
    <s v=""/>
    <n v="-101.97371460132558"/>
    <s v=""/>
  </r>
  <r>
    <s v="OZA0237"/>
    <n v="0"/>
    <s v="OZON_AV"/>
    <s v="Доставлен"/>
    <d v="2024-06-15T00:00:00"/>
    <x v="24"/>
    <s v="Спортпит"/>
    <s v="222137992"/>
    <x v="34"/>
    <x v="1295"/>
    <n v="2212"/>
    <m/>
    <n v="0"/>
    <n v="0"/>
    <n v="0"/>
    <n v="2212"/>
    <n v="3200"/>
    <x v="501"/>
    <s v="&lt;Клиент не выбран&gt;"/>
    <s v="2024 06"/>
    <n v="988"/>
    <n v="0.44665461121157324"/>
  </r>
  <r>
    <s v="OZA0237"/>
    <n v="0"/>
    <s v="OZON_AV"/>
    <s v="Доставлен"/>
    <d v="2024-06-15T00:00:00"/>
    <x v="24"/>
    <s v="Спортпит"/>
    <s v="222313138"/>
    <x v="34"/>
    <x v="1296"/>
    <n v="2212"/>
    <m/>
    <n v="0"/>
    <n v="0"/>
    <n v="0"/>
    <n v="2212"/>
    <n v="3200"/>
    <x v="501"/>
    <s v="&lt;Клиент не выбран&gt;"/>
    <s v="2024 06"/>
    <n v="988"/>
    <n v="0.44665461121157324"/>
  </r>
  <r>
    <s v="OZA0237"/>
    <n v="0"/>
    <s v="OZON_AV"/>
    <s v="Доставлен"/>
    <d v="2024-06-15T00:00:00"/>
    <x v="24"/>
    <s v="Спортпит"/>
    <s v="334134910"/>
    <x v="34"/>
    <x v="1297"/>
    <n v="2212"/>
    <m/>
    <n v="0"/>
    <n v="0"/>
    <n v="0"/>
    <n v="2212"/>
    <n v="3200"/>
    <x v="602"/>
    <s v="&lt;Клиент не выбран&gt;"/>
    <s v="2024 08"/>
    <n v="988"/>
    <n v="0.44665461121157324"/>
  </r>
  <r>
    <s v="OZA0238"/>
    <n v="0"/>
    <s v="OZON_AV"/>
    <s v="Доставлен"/>
    <d v="2024-06-16T00:00:00"/>
    <x v="24"/>
    <s v="Спортпит"/>
    <s v="222313138"/>
    <x v="34"/>
    <x v="1296"/>
    <n v="2200"/>
    <m/>
    <n v="0"/>
    <n v="0"/>
    <n v="0"/>
    <n v="2200"/>
    <n v="3200"/>
    <x v="501"/>
    <s v="&lt;Клиент не выбран&gt;"/>
    <s v="2024 06"/>
    <n v="1000"/>
    <n v="0.45454545454545453"/>
  </r>
  <r>
    <s v="OZO0231"/>
    <n v="0"/>
    <s v="OZON_AV"/>
    <s v="Доставлен"/>
    <d v="2024-06-04T00:00:00"/>
    <x v="24"/>
    <s v="Спортпит"/>
    <s v="XXXX"/>
    <x v="270"/>
    <x v="1298"/>
    <n v="11753"/>
    <m/>
    <n v="0"/>
    <n v="0"/>
    <n v="541"/>
    <n v="12294"/>
    <n v="15850"/>
    <x v="501"/>
    <s v="&lt;Клиент не выбран&gt;"/>
    <s v="2024 06"/>
    <n v="3556"/>
    <n v="0.28924678705059381"/>
  </r>
  <r>
    <s v="OZO0094"/>
    <n v="0"/>
    <s v="OZON_OA"/>
    <s v="Доставлен"/>
    <d v="2024-06-17T00:00:00"/>
    <x v="24"/>
    <s v="Витамины"/>
    <s v="NAP-29950"/>
    <x v="11"/>
    <x v="350"/>
    <n v="944"/>
    <n v="0"/>
    <n v="0"/>
    <n v="0"/>
    <n v="0"/>
    <n v="944"/>
    <n v="1600"/>
    <x v="386"/>
    <s v="&lt;Клиент не выбран&gt;"/>
    <s v="2024 08"/>
    <n v="656"/>
    <n v="0.69491525423728817"/>
  </r>
  <r>
    <s v="OZO0092"/>
    <n v="0"/>
    <s v="OZON_OA"/>
    <s v="Доставлен"/>
    <d v="2024-06-14T00:00:00"/>
    <x v="24"/>
    <s v="Спортпит"/>
    <s v="670139565"/>
    <x v="144"/>
    <x v="1299"/>
    <n v="1938"/>
    <m/>
    <n v="0"/>
    <n v="0"/>
    <n v="0"/>
    <n v="1938"/>
    <n v="2500"/>
    <x v="312"/>
    <s v="&lt;Клиент не выбран&gt;"/>
    <s v="2024 07"/>
    <n v="562"/>
    <n v="0.28998968008255932"/>
  </r>
  <r>
    <s v="OZO0092"/>
    <n v="0"/>
    <s v="OZON_OA"/>
    <s v="Доставлен"/>
    <d v="2024-06-14T00:00:00"/>
    <x v="24"/>
    <s v="Спортпит"/>
    <s v="672307287"/>
    <x v="144"/>
    <x v="1300"/>
    <n v="1985"/>
    <m/>
    <n v="0"/>
    <n v="0"/>
    <n v="0"/>
    <n v="1985"/>
    <n v="2500"/>
    <x v="312"/>
    <s v="&lt;Клиент не выбран&gt;"/>
    <s v="2024 07"/>
    <n v="515"/>
    <n v="0.25944584382871538"/>
  </r>
  <r>
    <s v="OZO0091"/>
    <n v="0"/>
    <s v="OZON_OA"/>
    <s v="Доставлен"/>
    <d v="2024-06-13T00:00:00"/>
    <x v="24"/>
    <s v="Спортпит"/>
    <s v="334134910"/>
    <x v="34"/>
    <x v="1297"/>
    <n v="2432"/>
    <m/>
    <n v="0"/>
    <n v="0"/>
    <n v="0"/>
    <n v="2432"/>
    <n v="3200"/>
    <x v="602"/>
    <s v="&lt;Клиент не выбран&gt;"/>
    <s v="2024 08"/>
    <n v="768"/>
    <n v="0.31578947368421051"/>
  </r>
  <r>
    <s v="OZO0091"/>
    <n v="0"/>
    <s v="OZON_OA"/>
    <s v="Доставлен"/>
    <d v="2024-06-13T00:00:00"/>
    <x v="24"/>
    <s v="Спортпит"/>
    <s v="708751425"/>
    <x v="34"/>
    <x v="1301"/>
    <n v="2432"/>
    <m/>
    <n v="0"/>
    <n v="0"/>
    <n v="0"/>
    <n v="2432"/>
    <n v="3200"/>
    <x v="501"/>
    <s v="&lt;Клиент не выбран&gt;"/>
    <s v="2024 06"/>
    <n v="768"/>
    <n v="0.31578947368421051"/>
  </r>
  <r>
    <s v="OZO0088"/>
    <n v="0"/>
    <s v="OZON_OA"/>
    <s v="Доставлен"/>
    <d v="2024-06-09T00:00:00"/>
    <x v="24"/>
    <s v="Витамины"/>
    <s v="573681702"/>
    <x v="271"/>
    <x v="1302"/>
    <n v="629"/>
    <m/>
    <n v="0"/>
    <n v="0"/>
    <n v="0"/>
    <n v="629"/>
    <n v="900"/>
    <x v="486"/>
    <s v="&lt;Клиент не выбран&gt;"/>
    <s v="2024 07"/>
    <n v="271"/>
    <n v="0.43084260731319557"/>
  </r>
  <r>
    <s v="OZO0088"/>
    <n v="0"/>
    <s v="OZON_OA"/>
    <s v="Доставлен"/>
    <d v="2024-06-09T00:00:00"/>
    <x v="24"/>
    <s v="Витамины"/>
    <s v="NOW-03170"/>
    <x v="3"/>
    <x v="306"/>
    <n v="1285"/>
    <m/>
    <n v="0"/>
    <n v="0"/>
    <n v="0"/>
    <n v="1285"/>
    <n v="2400"/>
    <x v="386"/>
    <s v="&lt;Клиент не выбран&gt;"/>
    <s v="2024 08"/>
    <n v="1115"/>
    <n v="0.86770428015564205"/>
  </r>
  <r>
    <s v="OZO0089"/>
    <n v="0"/>
    <s v="OZON_OA"/>
    <s v="Доставлен"/>
    <d v="2024-06-11T00:00:00"/>
    <x v="24"/>
    <s v="Косметика"/>
    <s v="000000040"/>
    <x v="85"/>
    <x v="269"/>
    <n v="1261"/>
    <m/>
    <n v="0"/>
    <n v="0"/>
    <n v="0"/>
    <n v="1261"/>
    <n v="2100"/>
    <x v="531"/>
    <s v="&lt;Клиент не выбран&gt;"/>
    <s v="2024 06"/>
    <n v="839"/>
    <n v="0.66534496431403645"/>
  </r>
  <r>
    <s v="OZO0089"/>
    <n v="0"/>
    <s v="OZON_OA"/>
    <s v="Доставлен"/>
    <d v="2024-06-11T00:00:00"/>
    <x v="24"/>
    <s v="Косметика"/>
    <s v="000000040"/>
    <x v="85"/>
    <x v="269"/>
    <n v="1261"/>
    <m/>
    <n v="0"/>
    <n v="0"/>
    <n v="0"/>
    <n v="1261"/>
    <n v="2100"/>
    <x v="531"/>
    <s v="&lt;Клиент не выбран&gt;"/>
    <s v="2024 06"/>
    <n v="839"/>
    <n v="0.66534496431403645"/>
  </r>
  <r>
    <s v="OZO0093"/>
    <n v="0"/>
    <s v="OZON_OA"/>
    <s v="Доставлен"/>
    <d v="2024-06-15T00:00:00"/>
    <x v="24"/>
    <s v="Витамины"/>
    <s v="553821063"/>
    <x v="179"/>
    <x v="1303"/>
    <n v="1379"/>
    <m/>
    <n v="0"/>
    <n v="0"/>
    <n v="0"/>
    <n v="1379"/>
    <n v="1800"/>
    <x v="531"/>
    <s v="&lt;Клиент не выбран&gt;"/>
    <s v="2024 06"/>
    <n v="421"/>
    <n v="0.30529369108049309"/>
  </r>
  <r>
    <s v="OZO0091"/>
    <n v="0"/>
    <s v="OZON_OA"/>
    <s v="Доставлен"/>
    <d v="2024-06-13T00:00:00"/>
    <x v="24"/>
    <s v="Спортпит"/>
    <s v="425941426"/>
    <x v="60"/>
    <x v="758"/>
    <n v="541"/>
    <m/>
    <n v="0"/>
    <n v="0"/>
    <n v="0"/>
    <n v="541"/>
    <n v="1200"/>
    <x v="501"/>
    <s v="&lt;Клиент не выбран&gt;"/>
    <s v="2024 06"/>
    <n v="659"/>
    <n v="1.2181146025878005"/>
  </r>
  <r>
    <s v="WB0182"/>
    <n v="0"/>
    <s v="WBRS"/>
    <s v="Доставлен"/>
    <d v="2024-06-21T00:00:00"/>
    <x v="24"/>
    <s v="Спортпит"/>
    <s v="999025023"/>
    <x v="118"/>
    <x v="838"/>
    <n v="1140"/>
    <n v="0"/>
    <n v="0"/>
    <n v="0"/>
    <n v="0"/>
    <n v="1140"/>
    <n v="1600"/>
    <x v="501"/>
    <s v="&lt;Клиент не выбран&gt;"/>
    <s v="2024 06"/>
    <n v="460"/>
    <n v="0.40350877192982454"/>
  </r>
  <r>
    <s v="WB0183"/>
    <n v="0"/>
    <s v="WBRS"/>
    <s v="Доставлен"/>
    <d v="2024-06-07T00:00:00"/>
    <x v="24"/>
    <s v="Спортпит"/>
    <s v="108438397"/>
    <x v="174"/>
    <x v="707"/>
    <n v="1178"/>
    <m/>
    <n v="0"/>
    <n v="0"/>
    <n v="0"/>
    <n v="1178"/>
    <n v="1600"/>
    <x v="687"/>
    <s v="&lt;Клиент не выбран&gt;"/>
    <s v="2024 06"/>
    <n v="422"/>
    <n v="0.35823429541595925"/>
  </r>
  <r>
    <s v="527040698"/>
    <s v="720000277361"/>
    <s v="iHerb_OA CZN6870"/>
    <s v="Доставлен"/>
    <d v="2024-06-26T00:00:00"/>
    <x v="24"/>
    <s v="Витамины"/>
    <s v="NCS-67202"/>
    <x v="217"/>
    <x v="1304"/>
    <n v="23.17"/>
    <n v="-4.63"/>
    <n v="-2.0575853801481161"/>
    <n v="-5.6149874030549331E-15"/>
    <n v="1.1532616087146035"/>
    <n v="1790.4079679258343"/>
    <n v="3100"/>
    <x v="321"/>
    <s v="&lt;Клиент не выбран&gt;"/>
    <s v="2024 12"/>
    <n v="1309.5920320741657"/>
    <n v="0.73144895215770955"/>
  </r>
  <r>
    <s v="527040698"/>
    <s v="720000277361"/>
    <s v="iHerb_OA CZN6870"/>
    <s v="Доставлен"/>
    <d v="2024-06-26T00:00:00"/>
    <x v="24"/>
    <s v="Витамины"/>
    <s v="SOR-89504"/>
    <x v="10"/>
    <x v="1305"/>
    <n v="27.79"/>
    <n v="-5.56"/>
    <n v="-2.4671048004688574"/>
    <n v="-6.7325334395852831E-15"/>
    <n v="1.3827942589927527"/>
    <n v="2146.7513013479661"/>
    <n v="3300"/>
    <x v="529"/>
    <s v="&lt;Клиент не выбран&gt;"/>
    <s v="2024 09"/>
    <n v="1153.2486986520339"/>
    <n v="0.53720647469872163"/>
  </r>
  <r>
    <s v="527040698"/>
    <s v="720000277361"/>
    <s v="iHerb_OA CZN6870"/>
    <s v="Доставлен"/>
    <d v="2024-06-26T00:00:00"/>
    <x v="24"/>
    <s v="Витамины"/>
    <s v="LEX-16611"/>
    <x v="7"/>
    <x v="1306"/>
    <n v="7.19"/>
    <n v="-1.44"/>
    <n v="-0.63814001811497656"/>
    <n v="-1.7414335257586765E-15"/>
    <n v="0.35767282902421627"/>
    <n v="555.27755208055805"/>
    <n v="1200"/>
    <x v="604"/>
    <s v="&lt;Клиент не выбран&gt;"/>
    <s v="2024 08"/>
    <n v="644.72244791944195"/>
    <n v="1.1610814186594518"/>
  </r>
  <r>
    <s v="527040698"/>
    <s v="720000277361"/>
    <s v="iHerb_OA CZN6870"/>
    <s v="Доставлен"/>
    <d v="2024-06-26T00:00:00"/>
    <x v="24"/>
    <s v="Витамины"/>
    <s v="VPB-81400"/>
    <x v="81"/>
    <x v="696"/>
    <n v="20.79"/>
    <n v="-4.16"/>
    <n v="-1.8456119132612276"/>
    <n v="-5.0365286144985717E-15"/>
    <n v="1.0344520255082985"/>
    <n v="1605.959250626031"/>
    <n v="2300"/>
    <x v="495"/>
    <s v="&lt;Клиент не выбран&gt;"/>
    <s v="2025 05"/>
    <n v="694.04074937396899"/>
    <n v="0.43216585296508597"/>
  </r>
  <r>
    <s v="527040698"/>
    <s v="720000277361"/>
    <s v="iHerb_OA CZN6870"/>
    <s v="Доставлен"/>
    <d v="2024-06-26T00:00:00"/>
    <x v="24"/>
    <s v="Витамины"/>
    <s v="NOW-00376"/>
    <x v="3"/>
    <x v="766"/>
    <n v="10.87"/>
    <n v="-2.17"/>
    <n v="-0.96553359262613847"/>
    <n v="-2.6348646389739972E-15"/>
    <n v="0.54117454130620546"/>
    <n v="840.15907880014856"/>
    <n v="1800"/>
    <x v="186"/>
    <s v="&lt;Клиент не выбран&gt;"/>
    <s v="2024 12"/>
    <n v="959.84092119985144"/>
    <n v="1.1424514064296292"/>
  </r>
  <r>
    <s v="527040698"/>
    <s v="720000277361"/>
    <s v="iHerb_OA CZN6870"/>
    <s v="Доставлен"/>
    <d v="2024-06-26T00:00:00"/>
    <x v="24"/>
    <s v="Витамины"/>
    <s v="NWY-14008"/>
    <x v="16"/>
    <x v="731"/>
    <n v="17.64"/>
    <n v="-3.53"/>
    <n v="-1.5659401140177946"/>
    <n v="-4.2733264432095526E-15"/>
    <n v="0.87769802044029421"/>
    <n v="1362.6028278011609"/>
    <n v="2200"/>
    <x v="472"/>
    <s v="&lt;Клиент не выбран&gt;"/>
    <s v="2024 09"/>
    <n v="837.39717219883914"/>
    <n v="0.6145570485496139"/>
  </r>
  <r>
    <s v="527040698"/>
    <s v="720000277361"/>
    <s v="iHerb_OA CZN6870"/>
    <s v="Доставлен"/>
    <d v="2024-06-26T00:00:00"/>
    <x v="24"/>
    <s v="Витамины"/>
    <s v="NWY-14000"/>
    <x v="16"/>
    <x v="491"/>
    <n v="11.72"/>
    <n v="-2.34"/>
    <n v="-1.0410005860727793"/>
    <n v="-2.8408080820202413E-15"/>
    <n v="0.58347324108646059"/>
    <n v="905.82668495924065"/>
    <m/>
    <x v="20"/>
    <m/>
    <s v=""/>
    <n v="-905.82668495924065"/>
    <s v=""/>
  </r>
  <r>
    <s v="527040698"/>
    <s v="720000277361"/>
    <s v="iHerb_OA CZN6870"/>
    <s v="Доставлен"/>
    <d v="2024-06-26T00:00:00"/>
    <x v="24"/>
    <s v="Витамины"/>
    <s v="NOW-00107"/>
    <x v="3"/>
    <x v="585"/>
    <n v="13.25"/>
    <n v="-2.65"/>
    <n v="-1.1763972507858698"/>
    <n v="-3.2102948474855602E-15"/>
    <n v="0.65936208480985947"/>
    <n v="1023.6420960093765"/>
    <n v="1800"/>
    <x v="683"/>
    <s v="&lt;Клиент не выбран&gt;"/>
    <s v="2024 10"/>
    <n v="776.35790399062353"/>
    <n v="0.75842709772997863"/>
  </r>
  <r>
    <s v="527040698"/>
    <s v="720000277361"/>
    <s v="iHerb_OA CZN6870"/>
    <s v="Доставлен"/>
    <d v="2024-06-26T00:00:00"/>
    <x v="24"/>
    <s v="Витамины"/>
    <s v="NOW-00107"/>
    <x v="3"/>
    <x v="585"/>
    <n v="10.72"/>
    <n v="-2.14"/>
    <n v="-0.95221588790026068"/>
    <n v="-2.5985216784364252E-15"/>
    <n v="0.53371006487439576"/>
    <n v="828.57067771325001"/>
    <n v="1700"/>
    <x v="613"/>
    <s v="&lt;Клиент не выбран&gt;"/>
    <s v="2024 12"/>
    <n v="871.42932228674999"/>
    <n v="1.0517259972218476"/>
  </r>
  <r>
    <s v="527040698"/>
    <s v="720000277361"/>
    <s v="iHerb_OA CZN6870"/>
    <s v="Доставлен"/>
    <d v="2024-06-26T00:00:00"/>
    <x v="24"/>
    <s v="Косметика"/>
    <s v="KLM-99980"/>
    <x v="272"/>
    <x v="1307"/>
    <n v="25.27"/>
    <n v="-16.27"/>
    <n v="-0.99882785444083289"/>
    <n v="-2.7257220403179284E-15"/>
    <n v="0.55983573238572981"/>
    <n v="869.13008151739507"/>
    <m/>
    <x v="20"/>
    <m/>
    <s v=""/>
    <n v="-869.13008151739507"/>
    <s v=""/>
  </r>
  <r>
    <s v="527040698"/>
    <s v="720000277361"/>
    <s v="iHerb_OA CZN6870"/>
    <s v="Доставлен"/>
    <d v="2024-06-26T00:00:00"/>
    <x v="24"/>
    <s v="Витамины"/>
    <s v="CGN-00931"/>
    <x v="1"/>
    <x v="24"/>
    <n v="6.24"/>
    <n v="-3.12"/>
    <n v="-0.3462603228728221"/>
    <n v="-9.4491697397688185E-16"/>
    <n v="0.194076387227053"/>
    <n v="301.29842825936362"/>
    <n v="1000"/>
    <x v="587"/>
    <s v="&lt;Клиент не выбран&gt;"/>
    <s v="2024 11"/>
    <n v="698.70157174063638"/>
    <n v="2.318968524917695"/>
  </r>
  <r>
    <s v="527040698"/>
    <s v="720000277361"/>
    <s v="iHerb_OA CZN6870"/>
    <s v="Доставлен"/>
    <d v="2024-06-26T00:00:00"/>
    <x v="24"/>
    <s v="Витамины"/>
    <s v="KLM-99983"/>
    <x v="272"/>
    <x v="1308"/>
    <n v="22.18"/>
    <n v="-6.65"/>
    <n v="-1.7235329532740151"/>
    <n v="-4.7033848095708252E-15"/>
    <n v="0.96602765821670911"/>
    <n v="1499.7322406627939"/>
    <n v="2200"/>
    <x v="688"/>
    <s v="Татьяна Бригантина"/>
    <s v="2025 09"/>
    <n v="700.26775933720614"/>
    <n v="0.46692852253928263"/>
  </r>
  <r>
    <s v="527040698"/>
    <s v="720000277361"/>
    <s v="iHerb_OA CZN6870"/>
    <s v="Доставлен"/>
    <d v="2024-06-26T00:00:00"/>
    <x v="24"/>
    <s v="Витамины"/>
    <s v="NOW-00420"/>
    <x v="3"/>
    <x v="515"/>
    <n v="14.38"/>
    <n v="-2.875"/>
    <n v="-1.2768349405935315"/>
    <n v="-3.4843813415397521E-15"/>
    <n v="0.71565667789975795"/>
    <n v="1111.0379542064036"/>
    <n v="2000"/>
    <x v="579"/>
    <s v="&lt;Клиент не выбран&gt;"/>
    <s v="2024 09"/>
    <n v="888.96204579359642"/>
    <n v="0.80011852198925792"/>
  </r>
  <r>
    <s v="527040698"/>
    <s v="720000277361"/>
    <s v="iHerb_OA CZN6870"/>
    <s v="Доставлен"/>
    <d v="2024-06-26T00:00:00"/>
    <x v="24"/>
    <s v="Витамины"/>
    <s v="NOW-00420"/>
    <x v="3"/>
    <x v="515"/>
    <n v="14.38"/>
    <n v="-2.875"/>
    <n v="-1.2768349405935315"/>
    <n v="-3.4843813415397521E-15"/>
    <n v="0.71565667789975795"/>
    <n v="1111.0379542064036"/>
    <n v="2100"/>
    <x v="575"/>
    <s v="&lt;Клиент не выбран&gt;"/>
    <s v="2024 10"/>
    <n v="988.96204579359642"/>
    <n v="0.89012444808872082"/>
  </r>
  <r>
    <s v="527040698"/>
    <s v="720000277361"/>
    <s v="iHerb_OA CZN6870"/>
    <s v="Доставлен"/>
    <d v="2024-06-26T00:00:00"/>
    <x v="24"/>
    <s v="Витамины"/>
    <s v="LEX-30210"/>
    <x v="7"/>
    <x v="749"/>
    <n v="17.09"/>
    <n v="-3.42"/>
    <n v="-1.5171085300229095"/>
    <n v="-4.1400689212384537E-15"/>
    <n v="0.85032827352365847"/>
    <n v="1320.1120238158658"/>
    <n v="2300"/>
    <x v="689"/>
    <s v="&lt;Клиент не выбран&gt;"/>
    <s v="2024 08"/>
    <n v="979.88797618413423"/>
    <n v="0.74227638147837427"/>
  </r>
  <r>
    <s v="527040698"/>
    <s v="720000277361"/>
    <s v="iHerb_OA CZN6870"/>
    <s v="Доставлен"/>
    <d v="2024-06-26T00:00:00"/>
    <x v="24"/>
    <s v="Витамины"/>
    <s v="LEX-33510"/>
    <x v="7"/>
    <x v="750"/>
    <n v="11.05"/>
    <n v="-2.21"/>
    <n v="-0.98107091480632924"/>
    <n v="-2.6772647596011653E-15"/>
    <n v="0.54988309714331685"/>
    <n v="853.67888006819692"/>
    <n v="1600"/>
    <x v="689"/>
    <s v="&lt;Клиент не выбран&gt;"/>
    <s v="2024 08"/>
    <n v="746.32111993180308"/>
    <n v="0.87424104936528657"/>
  </r>
  <r>
    <s v="527185708"/>
    <s v="720000282915"/>
    <s v="iHerb_AV CYG0792"/>
    <s v="Доставлен"/>
    <d v="2024-07-02T00:00:00"/>
    <x v="25"/>
    <s v="Витамины"/>
    <s v="CLF-07210"/>
    <x v="72"/>
    <x v="202"/>
    <n v="19.21"/>
    <n v="-1.92"/>
    <n v="-1.9823766135155652"/>
    <n v="-2.4875290106387503E-15"/>
    <n v="1.0458965853630824"/>
    <n v="1622.0326208554791"/>
    <n v="2400"/>
    <x v="386"/>
    <s v="&lt;Клиент не выбран&gt;"/>
    <s v="2024 08"/>
    <n v="777.96737914452092"/>
    <n v="0.47962498974540463"/>
  </r>
  <r>
    <s v="527185708"/>
    <s v="720000282915"/>
    <s v="iHerb_AV CYG0792"/>
    <s v="Доставлен"/>
    <d v="2024-07-02T00:00:00"/>
    <x v="25"/>
    <s v="Витамины"/>
    <s v="CLF-07210"/>
    <x v="72"/>
    <x v="202"/>
    <n v="19.21"/>
    <n v="-1.92"/>
    <n v="-1.9823766135155652"/>
    <n v="-2.4875290106387503E-15"/>
    <n v="1.0458965853630824"/>
    <n v="1622.0326208554791"/>
    <n v="2400"/>
    <x v="386"/>
    <s v="&lt;Клиент не выбран&gt;"/>
    <s v="2024 08"/>
    <n v="777.96737914452092"/>
    <n v="0.47962498974540463"/>
  </r>
  <r>
    <s v="527185708"/>
    <s v="720000282915"/>
    <s v="iHerb_AV CYG0792"/>
    <s v="Доставлен"/>
    <d v="2024-07-02T00:00:00"/>
    <x v="25"/>
    <s v="Витамины"/>
    <s v="NOW-00142"/>
    <x v="3"/>
    <x v="1207"/>
    <n v="11.07"/>
    <n v="-1.1100000000000001"/>
    <n v="-1.1419589977220954"/>
    <n v="-1.4329548262557524E-15"/>
    <n v="0.60249450492864665"/>
    <n v="934.38085041761553"/>
    <n v="1600"/>
    <x v="386"/>
    <s v="&lt;Клиент не выбран&gt;"/>
    <s v="2024 08"/>
    <n v="665.61914958238447"/>
    <n v="0.71236386028768706"/>
  </r>
  <r>
    <s v="527185708"/>
    <s v="720000282915"/>
    <s v="iHerb_AV CYG0792"/>
    <s v="Доставлен"/>
    <d v="2024-07-02T00:00:00"/>
    <x v="25"/>
    <s v="Витамины"/>
    <s v="NOW-00371"/>
    <x v="3"/>
    <x v="803"/>
    <n v="10.65"/>
    <n v="-1.07"/>
    <n v="-1.0983902809415336"/>
    <n v="-1.3782838589889666E-15"/>
    <n v="0.57950776678879867"/>
    <n v="898.73178182738525"/>
    <n v="1500"/>
    <x v="604"/>
    <s v="&lt;Клиент не выбран&gt;"/>
    <s v="2024 08"/>
    <n v="601.26821817261475"/>
    <n v="0.66901853292654245"/>
  </r>
  <r>
    <s v="527185708"/>
    <s v="720000282915"/>
    <s v="iHerb_AV CYG0792"/>
    <s v="Доставлен"/>
    <d v="2024-07-02T00:00:00"/>
    <x v="25"/>
    <s v="Витамины"/>
    <s v="CGN-01033"/>
    <x v="1"/>
    <x v="1"/>
    <n v="21.04"/>
    <n v="-12.54"/>
    <n v="-0.97456340167046285"/>
    <n v="-1.2229032151781017E-15"/>
    <n v="0.51417703733870446"/>
    <n v="797.41337636041487"/>
    <n v="2200"/>
    <x v="386"/>
    <s v="&lt;Клиент не выбран&gt;"/>
    <s v="2024 08"/>
    <n v="1402.586623639585"/>
    <n v="1.7589203607811614"/>
  </r>
  <r>
    <s v="527185708"/>
    <s v="720000282915"/>
    <s v="iHerb_AV CYG0792"/>
    <s v="Доставлен"/>
    <d v="2024-07-02T00:00:00"/>
    <x v="25"/>
    <s v="Витамины"/>
    <s v="NRT-05315"/>
    <x v="27"/>
    <x v="1309"/>
    <n v="28.44"/>
    <n v="-4.2699999999999996"/>
    <n v="-2.7711996962794228"/>
    <n v="-3.4773612601005556E-15"/>
    <n v="1.4620775285266456"/>
    <n v="2267.4683890154383"/>
    <n v="3100"/>
    <x v="386"/>
    <s v="&lt;Клиент не выбран&gt;"/>
    <s v="2024 08"/>
    <n v="832.53161098456167"/>
    <n v="0.36716349167983631"/>
  </r>
  <r>
    <s v="527185708"/>
    <s v="720000282915"/>
    <s v="iHerb_AV CYG0792"/>
    <s v="Доставлен"/>
    <d v="2024-07-02T00:00:00"/>
    <x v="25"/>
    <s v="Витамины"/>
    <s v="CGN-01864"/>
    <x v="1"/>
    <x v="970"/>
    <n v="53.87"/>
    <n v="-16.16"/>
    <n v="-4.3236218678815472"/>
    <n v="-5.4253741463960251E-15"/>
    <n v="2.2811313032991225"/>
    <n v="3537.7009908883806"/>
    <n v="5300"/>
    <x v="529"/>
    <s v="&lt;Клиент не выбран&gt;"/>
    <s v="2024 09"/>
    <n v="1762.2990091116194"/>
    <n v="0.49814809494939094"/>
  </r>
  <r>
    <s v="527185708"/>
    <s v="720000282915"/>
    <s v="iHerb_AV CYG0792"/>
    <s v="Доставлен"/>
    <d v="2024-07-02T00:00:00"/>
    <x v="25"/>
    <s v="Витамины"/>
    <s v="LEX-19456"/>
    <x v="7"/>
    <x v="558"/>
    <n v="10.76"/>
    <n v="-2.15"/>
    <n v="-0.9871753986332571"/>
    <n v="-1.2387290214921713E-15"/>
    <n v="0.52083109311602882"/>
    <n v="807.73284358390265"/>
    <n v="1700"/>
    <x v="303"/>
    <s v="&lt;Клиент не выбран&gt;"/>
    <s v="2024 10"/>
    <n v="892.26715641609735"/>
    <n v="1.1046562777577755"/>
  </r>
  <r>
    <s v="527185708"/>
    <s v="720000282915"/>
    <s v="iHerb_AV CYG0792"/>
    <s v="Доставлен"/>
    <d v="2024-07-02T00:00:00"/>
    <x v="25"/>
    <s v="Витамины"/>
    <s v="SPN-02338"/>
    <x v="45"/>
    <x v="1310"/>
    <n v="48.52"/>
    <n v="-14.56"/>
    <n v="-3.8936674259681086"/>
    <n v="-4.8858580220527459E-15"/>
    <n v="2.0542884927085181"/>
    <n v="3185.9009719058458"/>
    <m/>
    <x v="20"/>
    <m/>
    <s v=""/>
    <n v="-3185.9009719058458"/>
    <s v=""/>
  </r>
  <r>
    <s v="527185708"/>
    <s v="720000282915"/>
    <s v="iHerb_AV CYG0792"/>
    <s v="Доставлен"/>
    <d v="2024-07-02T00:00:00"/>
    <x v="25"/>
    <s v="Витамины"/>
    <s v="CGN-01266"/>
    <x v="1"/>
    <x v="487"/>
    <n v="31.02"/>
    <n v="-9.31"/>
    <n v="-2.489149582384206"/>
    <n v="-3.1234386825313639E-15"/>
    <n v="1.3132686447792088"/>
    <n v="2036.6875765628949"/>
    <n v="3400"/>
    <x v="469"/>
    <s v="&lt;Клиент не выбран&gt;"/>
    <s v="2024 08"/>
    <n v="1363.3124234371051"/>
    <n v="0.66937729631455067"/>
  </r>
  <r>
    <s v="527185708"/>
    <s v="720000282915"/>
    <s v="iHerb_AV CYG0792"/>
    <s v="Доставлен"/>
    <d v="2024-07-02T00:00:00"/>
    <x v="25"/>
    <s v="Витамины"/>
    <s v="LEX-15351"/>
    <x v="7"/>
    <x v="1311"/>
    <n v="9.74"/>
    <n v="-0.97"/>
    <n v="-1.0055201214882306"/>
    <n v="-1.2617483761308178E-15"/>
    <n v="0.53050971970122796"/>
    <n v="822.74297772715749"/>
    <n v="1500"/>
    <x v="386"/>
    <s v="&lt;Клиент не выбран&gt;"/>
    <s v="2024 08"/>
    <n v="677.25702227284251"/>
    <n v="0.82316961749558459"/>
  </r>
  <r>
    <s v="527308231"/>
    <s v="720000288230"/>
    <s v="iHerb_MH DLE7202"/>
    <s v="Доставлен"/>
    <d v="2024-07-08T00:00:00"/>
    <x v="25"/>
    <s v="Косметика"/>
    <s v="MSH-53332"/>
    <x v="42"/>
    <x v="1312"/>
    <n v="8.84"/>
    <n v="-0.88"/>
    <n v="-1.0345275386370709"/>
    <n v="0"/>
    <n v="0.36643169418152621"/>
    <n v="730.31575770148334"/>
    <n v="730.32"/>
    <x v="690"/>
    <s v="&lt;Клиент не выбран&gt;"/>
    <s v="2024 07"/>
    <n v="4.2422985167149818E-3"/>
    <n v="5.8088552410079885E-6"/>
  </r>
  <r>
    <s v="527308231"/>
    <s v="720000288230"/>
    <s v="iHerb_MH DLE7202"/>
    <s v="Доставлен"/>
    <d v="2024-07-08T00:00:00"/>
    <x v="25"/>
    <s v="Витамины"/>
    <s v="SWV-11877"/>
    <x v="89"/>
    <x v="1214"/>
    <n v="13.43"/>
    <n v="-1.345"/>
    <n v="-1.5706363447775125"/>
    <n v="0"/>
    <n v="0.55632249047534466"/>
    <n v="1108.7771271133702"/>
    <n v="2500"/>
    <x v="599"/>
    <s v="&lt;Клиент не выбран&gt;"/>
    <s v="2024 08"/>
    <n v="1391.2228728866298"/>
    <n v="1.2547362665286836"/>
  </r>
  <r>
    <s v="527308231"/>
    <s v="720000288230"/>
    <s v="iHerb_MH DLE7202"/>
    <s v="Доставлен"/>
    <d v="2024-07-08T00:00:00"/>
    <x v="25"/>
    <s v="Витамины"/>
    <s v="SWV-11877"/>
    <x v="89"/>
    <x v="1214"/>
    <n v="13.43"/>
    <n v="-1.345"/>
    <n v="-1.5706363447775125"/>
    <n v="0"/>
    <n v="0.55632249047534466"/>
    <n v="1108.7771271133702"/>
    <n v="2500"/>
    <x v="599"/>
    <s v="&lt;Клиент не выбран&gt;"/>
    <s v="2024 08"/>
    <n v="1391.2228728866298"/>
    <n v="1.2547362665286836"/>
  </r>
  <r>
    <s v="527308231"/>
    <s v="720000288230"/>
    <s v="iHerb_MH DLE7202"/>
    <s v="Доставлен"/>
    <d v="2024-07-08T00:00:00"/>
    <x v="25"/>
    <s v="Витамины"/>
    <s v="NOW-01299"/>
    <x v="3"/>
    <x v="1313"/>
    <n v="19.13"/>
    <n v="-1.91"/>
    <n v="-2.2380105798153718"/>
    <n v="0"/>
    <n v="0.79270776052837688"/>
    <n v="1579.9041893994399"/>
    <n v="2400"/>
    <x v="461"/>
    <s v="&lt;Клиент не выбран&gt;"/>
    <s v="2024 08"/>
    <n v="820.09581060056007"/>
    <n v="0.51907945817416845"/>
  </r>
  <r>
    <s v="527308231"/>
    <s v="720000288230"/>
    <s v="iHerb_MH DLE7202"/>
    <s v="Доставлен"/>
    <d v="2024-07-08T00:00:00"/>
    <x v="25"/>
    <s v="Витамины"/>
    <s v="NOW-02314"/>
    <x v="3"/>
    <x v="1017"/>
    <n v="24.11"/>
    <n v="-2.41"/>
    <n v="-2.8202572347266877"/>
    <n v="0"/>
    <n v="0.9989406738365727"/>
    <n v="1990.9361736334408"/>
    <n v="2900"/>
    <x v="461"/>
    <s v="&lt;Клиент не выбран&gt;"/>
    <s v="2024 08"/>
    <n v="909.06382636655917"/>
    <n v="0.45660119013635969"/>
  </r>
  <r>
    <s v="527308231"/>
    <s v="720000288230"/>
    <s v="iHerb_MH DLE7202"/>
    <s v="Доставлен"/>
    <d v="2024-07-08T00:00:00"/>
    <x v="25"/>
    <s v="Витамины"/>
    <s v="NOW-00495"/>
    <x v="3"/>
    <x v="486"/>
    <n v="9.68"/>
    <n v="-1.94"/>
    <n v="-1.0059350689762472"/>
    <n v="0"/>
    <n v="0.35630418504585593"/>
    <n v="710.13115133284941"/>
    <n v="1500"/>
    <x v="461"/>
    <s v="&lt;Клиент не выбран&gt;"/>
    <s v="2024 08"/>
    <n v="789.86884866715059"/>
    <n v="1.1122858744960575"/>
  </r>
  <r>
    <s v="527308231"/>
    <s v="720000288230"/>
    <s v="iHerb_MH DLE7202"/>
    <s v="Доставлен"/>
    <d v="2024-07-08T00:00:00"/>
    <x v="25"/>
    <s v="Витамины"/>
    <s v="NOW-01446"/>
    <x v="3"/>
    <x v="1314"/>
    <n v="14.66"/>
    <n v="-1.47"/>
    <n v="-1.7142485219375581"/>
    <n v="0"/>
    <n v="0.60719020681587066"/>
    <n v="1210.1589000103725"/>
    <n v="2000"/>
    <x v="461"/>
    <s v="&lt;Клиент не выбран&gt;"/>
    <s v="2024 08"/>
    <n v="789.84109998962754"/>
    <n v="0.65267552879448942"/>
  </r>
  <r>
    <s v="527308231"/>
    <s v="720000288230"/>
    <s v="iHerb_MH DLE7202"/>
    <s v="Доставлен"/>
    <d v="2024-07-08T00:00:00"/>
    <x v="25"/>
    <s v="Витамины"/>
    <s v="NAP-01480"/>
    <x v="11"/>
    <x v="488"/>
    <n v="9.5500000000000007"/>
    <n v="-1.91"/>
    <n v="-0.99293849185769123"/>
    <n v="0"/>
    <n v="0.35170077180236942"/>
    <n v="700.95633025619759"/>
    <n v="1700"/>
    <x v="641"/>
    <s v="&lt;Клиент не выбран&gt;"/>
    <s v="2024 12"/>
    <n v="999.04366974380241"/>
    <n v="1.4252580747486148"/>
  </r>
  <r>
    <s v="527308231"/>
    <s v="720000288230"/>
    <s v="iHerb_MH DLE7202"/>
    <s v="Доставлен"/>
    <d v="2024-07-08T00:00:00"/>
    <x v="25"/>
    <s v="Витамины"/>
    <s v="CGN-01032"/>
    <x v="1"/>
    <x v="145"/>
    <n v="44.43"/>
    <n v="-13.33"/>
    <n v="-4.0419354838709678"/>
    <n v="0"/>
    <n v="1.4316615187243049"/>
    <n v="2853.36935483871"/>
    <n v="4200"/>
    <x v="636"/>
    <s v="&lt;Клиент не выбран&gt;"/>
    <s v="2024 08"/>
    <n v="1346.63064516129"/>
    <n v="0.47194403447197947"/>
  </r>
  <r>
    <s v="527308231"/>
    <s v="720000288230"/>
    <s v="iHerb_MH DLE7202"/>
    <s v="Доставлен"/>
    <d v="2024-07-08T00:00:00"/>
    <x v="25"/>
    <s v="Витамины"/>
    <s v="CGN-01065"/>
    <x v="1"/>
    <x v="14"/>
    <n v="6.1"/>
    <n v="-1.83"/>
    <n v="-0.55495384296234818"/>
    <n v="0"/>
    <n v="0.196565745496874"/>
    <n v="391.76485997303183"/>
    <n v="800"/>
    <x v="26"/>
    <s v="&lt;Клиент не выбран&gt;"/>
    <s v="2024 08"/>
    <n v="408.23514002696817"/>
    <n v="1.042041238857079"/>
  </r>
  <r>
    <s v="527308231"/>
    <s v="720000288230"/>
    <s v="iHerb_MH DLE7202"/>
    <s v="Доставлен"/>
    <d v="2024-07-08T00:00:00"/>
    <x v="25"/>
    <s v="Витамины"/>
    <s v="CGN-00963"/>
    <x v="1"/>
    <x v="911"/>
    <n v="11.68"/>
    <n v="-3.5"/>
    <n v="-1.0631200082978944"/>
    <n v="0"/>
    <n v="0.37655920331719656"/>
    <n v="750.50036407011726"/>
    <n v="1700"/>
    <x v="691"/>
    <m/>
    <s v="2025 11"/>
    <n v="949.49963592988274"/>
    <n v="1.2651554634571416"/>
  </r>
  <r>
    <s v="527308231"/>
    <s v="720000288230"/>
    <s v="iHerb_MH DLE7202"/>
    <s v="Доставлен"/>
    <d v="2024-07-08T00:00:00"/>
    <x v="25"/>
    <s v="Витамины"/>
    <s v="NOW-01444"/>
    <x v="3"/>
    <x v="649"/>
    <n v="11.3"/>
    <n v="-1.1299999999999999"/>
    <n v="-1.3217518929571623"/>
    <n v="0"/>
    <n v="0.46816712686257816"/>
    <n v="933.07930349548815"/>
    <n v="1600"/>
    <x v="461"/>
    <s v="&lt;Клиент не выбран&gt;"/>
    <s v="2024 08"/>
    <n v="666.92069650451185"/>
    <n v="0.71475242672954298"/>
  </r>
  <r>
    <s v="527308231"/>
    <s v="720000288230"/>
    <s v="iHerb_MH DLE7202"/>
    <s v="Доставлен"/>
    <d v="2024-07-08T00:00:00"/>
    <x v="25"/>
    <s v="Витамины"/>
    <s v="SPN-00233"/>
    <x v="45"/>
    <x v="1202"/>
    <n v="7.8"/>
    <n v="-2.34"/>
    <n v="-0.70961311067316668"/>
    <n v="0"/>
    <n v="0.25134636309436342"/>
    <n v="500.9452307851883"/>
    <n v="1400"/>
    <x v="540"/>
    <s v="&lt;Клиент не выбран&gt;"/>
    <s v="2025 05"/>
    <n v="899.0547692148117"/>
    <n v="1.7947166954870917"/>
  </r>
  <r>
    <s v="527308231"/>
    <s v="720000288230"/>
    <s v="iHerb_MH DLE7202"/>
    <s v="Доставлен"/>
    <d v="2024-07-08T00:00:00"/>
    <x v="25"/>
    <s v="Витамины"/>
    <s v="CGN-02060"/>
    <x v="1"/>
    <x v="862"/>
    <n v="48.6"/>
    <n v="-14.58"/>
    <n v="-4.4214355357328081"/>
    <n v="0"/>
    <n v="1.566081185434111"/>
    <n v="3121.2741302769427"/>
    <n v="3121.27"/>
    <x v="690"/>
    <s v="&lt;Клиент не выбран&gt;"/>
    <s v="2024 07"/>
    <n v="-4.130276942760247E-3"/>
    <n v="-1.323266323420871E-6"/>
  </r>
  <r>
    <s v="OZO0098"/>
    <n v="0"/>
    <s v="OZON_OA"/>
    <s v="Доставлен"/>
    <d v="2024-07-02T00:00:00"/>
    <x v="25"/>
    <s v="Витамины"/>
    <s v="753291308"/>
    <x v="273"/>
    <x v="1315"/>
    <n v="3920"/>
    <n v="0"/>
    <n v="0"/>
    <n v="0"/>
    <n v="0"/>
    <n v="3920"/>
    <n v="4500"/>
    <x v="664"/>
    <s v="&lt;Клиент не выбран&gt;"/>
    <s v="2024 07"/>
    <n v="580"/>
    <n v="0.14795918367346939"/>
  </r>
  <r>
    <s v="OZO0098"/>
    <n v="0"/>
    <s v="OZON_OA"/>
    <s v="Доставлен"/>
    <d v="2024-07-02T00:00:00"/>
    <x v="25"/>
    <s v="Косметика"/>
    <s v="000000040"/>
    <x v="85"/>
    <x v="269"/>
    <n v="1476"/>
    <n v="0"/>
    <n v="0"/>
    <n v="0"/>
    <n v="0"/>
    <n v="1476"/>
    <n v="2200"/>
    <x v="515"/>
    <s v="&lt;Клиент не выбран&gt;"/>
    <s v="2024 08"/>
    <n v="724"/>
    <n v="0.49051490514905149"/>
  </r>
  <r>
    <s v="OZO0097"/>
    <n v="0"/>
    <s v="OZON_OA"/>
    <s v="Доставлен"/>
    <d v="2024-07-01T00:00:00"/>
    <x v="25"/>
    <s v="Витамины"/>
    <s v="753291308"/>
    <x v="273"/>
    <x v="1315"/>
    <n v="3920"/>
    <n v="0"/>
    <n v="0"/>
    <n v="7.3358420389915209E-13"/>
    <n v="0"/>
    <n v="3920.0000000000009"/>
    <n v="4500"/>
    <x v="664"/>
    <s v="&lt;Клиент не выбран&gt;"/>
    <s v="2024 07"/>
    <n v="579.99999999999909"/>
    <n v="0.14795918367346911"/>
  </r>
  <r>
    <s v="OZO0097"/>
    <n v="0"/>
    <s v="OZON_OA"/>
    <s v="Доставлен"/>
    <d v="2024-07-01T00:00:00"/>
    <x v="25"/>
    <s v="Спортпит"/>
    <s v="161791352"/>
    <x v="144"/>
    <x v="1316"/>
    <n v="313.33333333333331"/>
    <n v="0"/>
    <n v="0"/>
    <n v="5.8636832624592088E-14"/>
    <n v="0"/>
    <n v="313.33333333333337"/>
    <n v="1200"/>
    <x v="692"/>
    <m/>
    <s v="2025 07"/>
    <n v="886.66666666666663"/>
    <n v="2.8297872340425529"/>
  </r>
  <r>
    <s v="OZO0097"/>
    <n v="0"/>
    <s v="OZON_OA"/>
    <s v="Доставлен"/>
    <d v="2024-07-01T00:00:00"/>
    <x v="25"/>
    <s v="Спортпит"/>
    <s v="159214945"/>
    <x v="144"/>
    <x v="1317"/>
    <n v="313.33333333333331"/>
    <n v="0"/>
    <n v="0"/>
    <n v="5.8636832624592088E-14"/>
    <n v="0"/>
    <n v="313.33333333333337"/>
    <n v="1200"/>
    <x v="692"/>
    <m/>
    <s v="2025 07"/>
    <n v="886.66666666666663"/>
    <n v="2.8297872340425529"/>
  </r>
  <r>
    <s v="OZO0097"/>
    <n v="0"/>
    <s v="OZON_OA"/>
    <s v="Доставлен"/>
    <d v="2024-07-01T00:00:00"/>
    <x v="25"/>
    <s v="Спортпит"/>
    <s v="265181116"/>
    <x v="144"/>
    <x v="1318"/>
    <n v="313.33333333333331"/>
    <n v="0"/>
    <n v="0"/>
    <n v="5.8636832624592088E-14"/>
    <n v="0"/>
    <n v="313.33333333333337"/>
    <n v="600"/>
    <x v="486"/>
    <s v="&lt;Клиент не выбран&gt;"/>
    <s v="2024 07"/>
    <n v="286.66666666666663"/>
    <n v="0.91489361702127636"/>
  </r>
  <r>
    <s v="527475750"/>
    <s v="720000297403"/>
    <s v="iHerb_AV CYG0792"/>
    <s v="Доставлен"/>
    <d v="2024-07-16T00:00:00"/>
    <x v="25"/>
    <s v="Витамины"/>
    <s v="NOW-04603"/>
    <x v="3"/>
    <x v="147"/>
    <n v="12.85"/>
    <n v="-2.31"/>
    <n v="-0.59732435033686238"/>
    <n v="0"/>
    <n v="0.54602042193625622"/>
    <n v="1019.0383253128008"/>
    <n v="1800"/>
    <x v="26"/>
    <s v="&lt;Клиент не выбран&gt;"/>
    <s v="2024 08"/>
    <n v="780.96167468719921"/>
    <n v="0.76637124952830171"/>
  </r>
  <r>
    <s v="527475750"/>
    <s v="720000297403"/>
    <s v="iHerb_AV CYG0792"/>
    <s v="Доставлен"/>
    <d v="2024-07-16T00:00:00"/>
    <x v="25"/>
    <s v="Витамины"/>
    <s v="CLG-56025"/>
    <x v="274"/>
    <x v="1319"/>
    <n v="8.67"/>
    <n v="-1.56"/>
    <n v="-0.40293891184962916"/>
    <n v="0"/>
    <n v="0.36833066413347071"/>
    <n v="687.41579629734463"/>
    <n v="1200"/>
    <x v="463"/>
    <s v="&lt;Клиент не выбран&gt;"/>
    <s v="2024 09"/>
    <n v="512.58420370265537"/>
    <n v="0.74566835162009415"/>
  </r>
  <r>
    <s v="527475750"/>
    <s v="720000297403"/>
    <s v="iHerb_AV CYG0792"/>
    <s v="Доставлен"/>
    <d v="2024-07-16T00:00:00"/>
    <x v="25"/>
    <s v="Витамины"/>
    <s v="CLG-56025"/>
    <x v="274"/>
    <x v="1319"/>
    <n v="8.67"/>
    <n v="-1.56"/>
    <n v="-0.40293891184962916"/>
    <n v="0"/>
    <n v="0.36833066413347071"/>
    <n v="687.41579629734463"/>
    <n v="1200"/>
    <x v="463"/>
    <s v="&lt;Клиент не выбран&gt;"/>
    <s v="2024 09"/>
    <n v="512.58420370265537"/>
    <n v="0.74566835162009415"/>
  </r>
  <r>
    <s v="527475750"/>
    <s v="720000297403"/>
    <s v="iHerb_AV CYG0792"/>
    <s v="Доставлен"/>
    <d v="2024-07-16T00:00:00"/>
    <x v="25"/>
    <s v="Витамины"/>
    <s v="NOW-00892"/>
    <x v="3"/>
    <x v="1293"/>
    <n v="15.03"/>
    <n v="-2.7050000000000001"/>
    <n v="-0.69848411934552446"/>
    <n v="0"/>
    <n v="0.63849162242546098"/>
    <n v="1191.6173965351297"/>
    <n v="2000"/>
    <x v="461"/>
    <s v="&lt;Клиент не выбран&gt;"/>
    <s v="2024 08"/>
    <n v="808.38260346487027"/>
    <n v="0.67839107234873153"/>
  </r>
  <r>
    <s v="527475750"/>
    <s v="720000297403"/>
    <s v="iHerb_AV CYG0792"/>
    <s v="Доставлен"/>
    <d v="2024-07-16T00:00:00"/>
    <x v="25"/>
    <s v="Витамины"/>
    <s v="NOW-00892"/>
    <x v="3"/>
    <x v="1293"/>
    <n v="15.03"/>
    <n v="-2.7050000000000001"/>
    <n v="-0.69848411934552446"/>
    <n v="0"/>
    <n v="0.63849162242546098"/>
    <n v="1191.6173965351297"/>
    <n v="1900"/>
    <x v="461"/>
    <s v="&lt;Клиент не выбран&gt;"/>
    <s v="2024 08"/>
    <n v="708.38260346487027"/>
    <n v="0.59447151873129489"/>
  </r>
  <r>
    <s v="527475750"/>
    <s v="720000297403"/>
    <s v="iHerb_AV CYG0792"/>
    <s v="Доставлен"/>
    <d v="2024-07-16T00:00:00"/>
    <x v="25"/>
    <s v="Витамины"/>
    <s v="NOW-01480"/>
    <x v="3"/>
    <x v="165"/>
    <n v="6.17"/>
    <n v="-1.1100000000000001"/>
    <n v="-0.28676102587329444"/>
    <n v="0"/>
    <n v="0.26213124620469225"/>
    <n v="489.21574251259693"/>
    <n v="1200"/>
    <x v="166"/>
    <s v="&lt;Клиент не выбран&gt;"/>
    <s v="2025 01"/>
    <n v="710.78425748740301"/>
    <n v="1.4529055296479976"/>
  </r>
  <r>
    <s v="527475750"/>
    <s v="720000297403"/>
    <s v="iHerb_AV CYG0792"/>
    <s v="Доставлен"/>
    <d v="2024-07-16T00:00:00"/>
    <x v="25"/>
    <s v="Витамины"/>
    <s v="NOW-01480"/>
    <x v="3"/>
    <x v="165"/>
    <n v="6.17"/>
    <n v="-1.1100000000000001"/>
    <n v="-0.28676102587329444"/>
    <n v="0"/>
    <n v="0.26213124620469225"/>
    <n v="489.21574251259693"/>
    <n v="1100"/>
    <x v="693"/>
    <s v="&lt;Клиент не выбран&gt;"/>
    <s v="2025 03"/>
    <n v="610.78425748740301"/>
    <n v="1.2484967355106644"/>
  </r>
  <r>
    <s v="527475750"/>
    <s v="720000297403"/>
    <s v="iHerb_AV CYG0792"/>
    <s v="Доставлен"/>
    <d v="2024-07-16T00:00:00"/>
    <x v="25"/>
    <s v="Витамины"/>
    <s v="NCS-93770"/>
    <x v="217"/>
    <x v="1320"/>
    <n v="45.88"/>
    <n v="-8.26"/>
    <n v="-2.1320058880144939"/>
    <n v="0"/>
    <n v="1.9488888304783649"/>
    <n v="3637.2126943327862"/>
    <n v="5100"/>
    <x v="461"/>
    <s v="&lt;Клиент не выбран&gt;"/>
    <s v="2024 08"/>
    <n v="1462.7873056672138"/>
    <n v="0.40217260539819732"/>
  </r>
  <r>
    <s v="527475750"/>
    <s v="720000297403"/>
    <s v="iHerb_AV CYG0792"/>
    <s v="Доставлен"/>
    <d v="2024-07-16T00:00:00"/>
    <x v="25"/>
    <s v="Витамины"/>
    <s v="SOL-52387"/>
    <x v="19"/>
    <x v="1210"/>
    <n v="18.55"/>
    <n v="0"/>
    <n v="-1.0512681877370775"/>
    <n v="0"/>
    <n v="0.96097522077016639"/>
    <n v="1793.4687793693031"/>
    <n v="2500"/>
    <x v="461"/>
    <s v="&lt;Клиент не выбран&gt;"/>
    <s v="2024 08"/>
    <n v="706.53122063069691"/>
    <n v="0.39394676325458977"/>
  </r>
  <r>
    <s v="527475750"/>
    <s v="720000297403"/>
    <s v="iHerb_AV CYG0792"/>
    <s v="Доставлен"/>
    <d v="2024-07-16T00:00:00"/>
    <x v="25"/>
    <s v="Витамины"/>
    <s v="SOL-52387"/>
    <x v="19"/>
    <x v="1210"/>
    <n v="18.55"/>
    <n v="0"/>
    <n v="-1.0512681877370775"/>
    <n v="0"/>
    <n v="0.96097522077016639"/>
    <n v="1793.4687793693031"/>
    <n v="2500"/>
    <x v="461"/>
    <s v="&lt;Клиент не выбран&gt;"/>
    <s v="2024 08"/>
    <n v="706.53122063069691"/>
    <n v="0.39394676325458977"/>
  </r>
  <r>
    <s v="527475750"/>
    <s v="720000297403"/>
    <s v="iHerb_AV CYG0792"/>
    <s v="Доставлен"/>
    <d v="2024-07-16T00:00:00"/>
    <x v="25"/>
    <s v="Витамины"/>
    <s v="BLB-00298"/>
    <x v="186"/>
    <x v="748"/>
    <n v="9.48"/>
    <n v="-1.71"/>
    <n v="-0.44034252392005896"/>
    <n v="0"/>
    <n v="0.40252169624712636"/>
    <n v="751.22654532072704"/>
    <n v="751.23"/>
    <x v="580"/>
    <s v="&lt;Клиент не выбран&gt;"/>
    <s v="2024 07"/>
    <n v="3.4546792729770459E-3"/>
    <n v="4.5987183153946091E-6"/>
  </r>
  <r>
    <s v="527475750"/>
    <s v="720000297403"/>
    <s v="iHerb_AV CYG0792"/>
    <s v="Доставлен"/>
    <d v="2024-07-16T00:00:00"/>
    <x v="25"/>
    <s v="Витамины"/>
    <s v="BLB-00612"/>
    <x v="186"/>
    <x v="1321"/>
    <n v="20.39"/>
    <n v="-3.67"/>
    <n v="-0.94755817245088603"/>
    <n v="0"/>
    <n v="0.86617281354593967"/>
    <n v="1616.5389752590158"/>
    <n v="1616.54"/>
    <x v="580"/>
    <s v="&lt;Клиент не выбран&gt;"/>
    <s v="2024 07"/>
    <n v="1.0247409841213084E-3"/>
    <n v="6.3391047157221528E-7"/>
  </r>
  <r>
    <s v="527475750"/>
    <s v="720000297403"/>
    <s v="iHerb_AV CYG0792"/>
    <s v="Доставлен"/>
    <d v="2024-07-16T00:00:00"/>
    <x v="25"/>
    <s v="Витамины"/>
    <s v="SRE-01080"/>
    <x v="36"/>
    <x v="1322"/>
    <n v="24.22"/>
    <n v="-12.11"/>
    <n v="-0.68629960935288459"/>
    <n v="0"/>
    <n v="0.6273536346914671"/>
    <n v="1170.8305616259977"/>
    <n v="2900"/>
    <x v="440"/>
    <s v="&lt;Клиент не выбран&gt;"/>
    <s v="2024 08"/>
    <n v="1729.1694383740023"/>
    <n v="1.476874190892838"/>
  </r>
  <r>
    <s v="527475750"/>
    <s v="720000297403"/>
    <s v="iHerb_AV CYG0792"/>
    <s v="Доставлен"/>
    <d v="2024-07-16T00:00:00"/>
    <x v="25"/>
    <s v="Витамины"/>
    <s v="NFS-01041"/>
    <x v="23"/>
    <x v="718"/>
    <n v="7.05"/>
    <n v="-1.27"/>
    <n v="-0.3275649663137632"/>
    <n v="0"/>
    <n v="0.2994305539650437"/>
    <n v="558.82746871992299"/>
    <n v="1100"/>
    <x v="517"/>
    <s v="&lt;Клиент не выбран&gt;"/>
    <s v="2024 09"/>
    <n v="541.17253128007701"/>
    <n v="0.96840717676193111"/>
  </r>
  <r>
    <s v="527439694"/>
    <s v="720000295321"/>
    <s v="iHerb_OA CZN6870"/>
    <s v="Доставлен"/>
    <d v="2024-07-14T00:00:00"/>
    <x v="25"/>
    <s v="Витамины"/>
    <s v="CEN-27591"/>
    <x v="275"/>
    <x v="1323"/>
    <n v="11.51"/>
    <n v="-2.0699999999999998"/>
    <n v="-3.0125748123083431"/>
    <n v="1.4185309137306432E-15"/>
    <n v="0.44055807744085962"/>
    <n v="691.69785767156623"/>
    <n v="1600"/>
    <x v="461"/>
    <s v="&lt;Клиент не выбран&gt;"/>
    <s v="2024 08"/>
    <n v="908.30214232843377"/>
    <n v="1.3131486996157737"/>
  </r>
  <r>
    <s v="527439694"/>
    <s v="720000295321"/>
    <s v="iHerb_OA CZN6870"/>
    <s v="Доставлен"/>
    <d v="2024-07-14T00:00:00"/>
    <x v="25"/>
    <s v="Витамины"/>
    <s v="DRB-00125"/>
    <x v="6"/>
    <x v="755"/>
    <n v="17.690000000000001"/>
    <n v="-3.1850000000000001"/>
    <n v="-4.6289616157343767"/>
    <n v="2.1796388669134514E-15"/>
    <n v="0.67693802047454132"/>
    <n v="1062.8259984667445"/>
    <n v="2200"/>
    <x v="440"/>
    <s v="&lt;Клиент не выбран&gt;"/>
    <s v="2024 08"/>
    <n v="1137.1740015332555"/>
    <n v="1.0699531279567558"/>
  </r>
  <r>
    <s v="527439694"/>
    <s v="720000295321"/>
    <s v="iHerb_OA CZN6870"/>
    <s v="Доставлен"/>
    <d v="2024-07-14T00:00:00"/>
    <x v="25"/>
    <s v="Витамины"/>
    <s v="DRB-00125"/>
    <x v="6"/>
    <x v="755"/>
    <n v="17.690000000000001"/>
    <n v="-3.1850000000000001"/>
    <n v="-4.6289616157343767"/>
    <n v="2.1796388669134514E-15"/>
    <n v="0.67693802047454132"/>
    <n v="1062.8259984667445"/>
    <n v="2200"/>
    <x v="440"/>
    <s v="&lt;Клиент не выбран&gt;"/>
    <s v="2024 08"/>
    <n v="1137.1740015332555"/>
    <n v="1.0699531279567558"/>
  </r>
  <r>
    <s v="527439694"/>
    <s v="720000295321"/>
    <s v="iHerb_OA CZN6870"/>
    <s v="Доставлен"/>
    <d v="2024-07-14T00:00:00"/>
    <x v="25"/>
    <s v="Витамины"/>
    <s v="DRB-00091"/>
    <x v="6"/>
    <x v="16"/>
    <n v="12.98"/>
    <n v="-2.335"/>
    <n v="-3.3971248810404995"/>
    <n v="1.5996039805786755E-15"/>
    <n v="0.49679456931757948"/>
    <n v="779.9919168340914"/>
    <n v="1800"/>
    <x v="442"/>
    <s v="&lt;Клиент не выбран&gt;"/>
    <s v="2024 11"/>
    <n v="1020.0080831659086"/>
    <n v="1.3077162226321764"/>
  </r>
  <r>
    <s v="527439694"/>
    <s v="720000295321"/>
    <s v="iHerb_OA CZN6870"/>
    <s v="Доставлен"/>
    <d v="2024-07-14T00:00:00"/>
    <x v="25"/>
    <s v="Витамины"/>
    <s v="DRB-00091"/>
    <x v="6"/>
    <x v="16"/>
    <n v="12.98"/>
    <n v="-2.335"/>
    <n v="-3.3971248810404995"/>
    <n v="1.5996039805786755E-15"/>
    <n v="0.49679456931757948"/>
    <n v="779.9919168340914"/>
    <n v="1800"/>
    <x v="694"/>
    <s v="&lt;Клиент не выбран&gt;"/>
    <s v="2024 12"/>
    <n v="1020.0080831659086"/>
    <n v="1.3077162226321764"/>
  </r>
  <r>
    <s v="527439694"/>
    <s v="720000295321"/>
    <s v="iHerb_OA CZN6870"/>
    <s v="Доставлен"/>
    <d v="2024-07-14T00:00:00"/>
    <x v="25"/>
    <s v="Витамины"/>
    <s v="NOW-02644"/>
    <x v="3"/>
    <x v="21"/>
    <n v="23.03"/>
    <n v="-4.1500000000000004"/>
    <n v="-6.0251496246166862"/>
    <n v="2.8370618274612867E-15"/>
    <n v="0.88111615488171946"/>
    <n v="1383.3957153431329"/>
    <n v="1383.4"/>
    <x v="547"/>
    <s v="&lt;Клиент не выбран&gt;"/>
    <s v="2024 07"/>
    <n v="4.2846568671848217E-3"/>
    <n v="3.0972026439463634E-6"/>
  </r>
  <r>
    <s v="527439694"/>
    <s v="720000295321"/>
    <s v="iHerb_OA CZN6870"/>
    <s v="Доставлен"/>
    <d v="2024-07-14T00:00:00"/>
    <x v="25"/>
    <s v="Витамины"/>
    <s v="NOW-04753"/>
    <x v="3"/>
    <x v="1007"/>
    <n v="28.4"/>
    <n v="-5.1100000000000003"/>
    <n v="-7.4325071375700542"/>
    <n v="3.4997441716935041E-15"/>
    <n v="1.0869277143641547"/>
    <n v="1706.5299899545314"/>
    <n v="3300"/>
    <x v="440"/>
    <s v="&lt;Клиент не выбран&gt;"/>
    <s v="2024 08"/>
    <n v="1593.4700100454686"/>
    <n v="0.9337486123451747"/>
  </r>
  <r>
    <s v="527439694"/>
    <s v="720000295321"/>
    <s v="iHerb_OA CZN6870"/>
    <s v="Доставлен"/>
    <d v="2024-07-14T00:00:00"/>
    <x v="25"/>
    <s v="Витамины"/>
    <s v="CAR-01676"/>
    <x v="154"/>
    <x v="1324"/>
    <n v="61.76"/>
    <n v="-11.12"/>
    <n v="-16.160676747382894"/>
    <n v="7.6095768507753989E-15"/>
    <n v="2.3633327374581707"/>
    <n v="3710.5486771703513"/>
    <n v="6400"/>
    <x v="461"/>
    <s v="&lt;Клиент не выбран&gt;"/>
    <s v="2024 08"/>
    <n v="2689.4513228296487"/>
    <n v="0.72481230050338885"/>
  </r>
  <r>
    <s v="527439694"/>
    <s v="720000295321"/>
    <s v="iHerb_OA CZN6870"/>
    <s v="Доставлен"/>
    <d v="2024-07-14T00:00:00"/>
    <x v="25"/>
    <s v="Витамины"/>
    <s v="CAR-01802"/>
    <x v="154"/>
    <x v="1325"/>
    <n v="44.62"/>
    <n v="-8.0299999999999994"/>
    <n v="-11.676918684572273"/>
    <n v="5.4983099717589224E-15"/>
    <n v="1.7076292429619759"/>
    <n v="2681.0619292587512"/>
    <n v="4800"/>
    <x v="461"/>
    <s v="&lt;Клиент не выбран&gt;"/>
    <s v="2024 08"/>
    <n v="2118.9380707412488"/>
    <n v="0.7903353695850972"/>
  </r>
  <r>
    <s v="OZO0275"/>
    <n v="0"/>
    <s v="OZON_AV"/>
    <s v="Доставлен"/>
    <d v="2024-07-26T00:00:00"/>
    <x v="25"/>
    <s v="Косметика"/>
    <s v="000000040"/>
    <x v="85"/>
    <x v="269"/>
    <n v="1275"/>
    <n v="0"/>
    <n v="0"/>
    <n v="0"/>
    <n v="0"/>
    <n v="1275"/>
    <n v="1275"/>
    <x v="522"/>
    <s v="&lt;Клиент не выбран&gt;"/>
    <s v="2024 07"/>
    <n v="0"/>
    <n v="0"/>
  </r>
  <r>
    <s v="OZO0275"/>
    <n v="0"/>
    <s v="OZON_AV"/>
    <s v="Доставлен"/>
    <d v="2024-07-26T00:00:00"/>
    <x v="25"/>
    <s v="Косметика"/>
    <s v="000000040"/>
    <x v="85"/>
    <x v="269"/>
    <n v="1275"/>
    <n v="0"/>
    <n v="0"/>
    <n v="0"/>
    <n v="0"/>
    <n v="1275"/>
    <n v="2200"/>
    <x v="695"/>
    <s v="&lt;Клиент не выбран&gt;"/>
    <s v="2024 09"/>
    <n v="925"/>
    <n v="0.72549019607843135"/>
  </r>
  <r>
    <s v="WB0184"/>
    <n v="0"/>
    <s v="WBRS"/>
    <s v="Доставлен"/>
    <d v="2024-06-21T00:00:00"/>
    <x v="24"/>
    <s v="Спортпит"/>
    <s v="638236196"/>
    <x v="118"/>
    <x v="518"/>
    <n v="1140"/>
    <n v="0"/>
    <n v="0"/>
    <n v="0"/>
    <n v="0"/>
    <n v="1140"/>
    <m/>
    <x v="20"/>
    <m/>
    <s v=""/>
    <n v="-1140"/>
    <s v=""/>
  </r>
  <r>
    <s v="WB0185"/>
    <n v="0"/>
    <s v="WBRS"/>
    <s v="Доставлен"/>
    <d v="2024-07-05T00:00:00"/>
    <x v="25"/>
    <s v="Спортпит"/>
    <s v="000004736"/>
    <x v="96"/>
    <x v="1105"/>
    <n v="3125"/>
    <n v="0"/>
    <n v="0"/>
    <n v="0"/>
    <n v="0"/>
    <n v="3125"/>
    <n v="4500"/>
    <x v="515"/>
    <s v="&lt;Клиент не выбран&gt;"/>
    <s v="2024 08"/>
    <n v="1375"/>
    <n v="0.44"/>
  </r>
  <r>
    <s v="WB0185"/>
    <n v="0"/>
    <s v="WBRS"/>
    <s v="Доставлен"/>
    <d v="2024-07-05T00:00:00"/>
    <x v="25"/>
    <s v="Спортпит"/>
    <s v="000004736"/>
    <x v="96"/>
    <x v="1105"/>
    <n v="3125"/>
    <n v="0"/>
    <n v="0"/>
    <n v="0"/>
    <n v="0"/>
    <n v="3125"/>
    <n v="4500"/>
    <x v="463"/>
    <s v="&lt;Клиент не выбран&gt;"/>
    <s v="2024 09"/>
    <n v="1375"/>
    <n v="0.44"/>
  </r>
  <r>
    <s v="WB0186"/>
    <n v="0"/>
    <s v="WBRS"/>
    <s v="Доставлен"/>
    <d v="2024-07-26T00:00:00"/>
    <x v="25"/>
    <s v="Спортпит"/>
    <s v="176208973"/>
    <x v="118"/>
    <x v="417"/>
    <n v="1940"/>
    <n v="0"/>
    <n v="0"/>
    <n v="0"/>
    <n v="0"/>
    <n v="1940"/>
    <n v="2600"/>
    <x v="602"/>
    <s v="&lt;Клиент не выбран&gt;"/>
    <s v="2024 08"/>
    <n v="660"/>
    <n v="0.34020618556701032"/>
  </r>
  <r>
    <s v="WB0186"/>
    <n v="0"/>
    <s v="WBRS"/>
    <s v="Доставлен"/>
    <d v="2024-07-26T00:00:00"/>
    <x v="25"/>
    <s v="Спортпит"/>
    <s v=" 17620897"/>
    <x v="118"/>
    <x v="1326"/>
    <n v="1940"/>
    <n v="0"/>
    <n v="0"/>
    <n v="0"/>
    <n v="0"/>
    <n v="1940"/>
    <n v="2600"/>
    <x v="602"/>
    <s v="&lt;Клиент не выбран&gt;"/>
    <s v="2024 08"/>
    <n v="660"/>
    <n v="0.34020618556701032"/>
  </r>
  <r>
    <s v="WB0187"/>
    <n v="0"/>
    <s v="WBRS"/>
    <s v="Доставлен"/>
    <d v="2024-08-02T00:00:00"/>
    <x v="26"/>
    <s v="Спортпит"/>
    <s v="176044510"/>
    <x v="203"/>
    <x v="839"/>
    <n v="505"/>
    <n v="0"/>
    <n v="0"/>
    <n v="0"/>
    <n v="0"/>
    <n v="505"/>
    <n v="800"/>
    <x v="602"/>
    <s v="&lt;Клиент не выбран&gt;"/>
    <s v="2024 08"/>
    <n v="295"/>
    <n v="0.58415841584158412"/>
  </r>
  <r>
    <s v="WB0187"/>
    <n v="0"/>
    <s v="WBRS"/>
    <s v="Доставлен"/>
    <d v="2024-08-02T00:00:00"/>
    <x v="26"/>
    <s v="Спортпит"/>
    <s v="176044510"/>
    <x v="203"/>
    <x v="839"/>
    <n v="505"/>
    <n v="0"/>
    <n v="0"/>
    <n v="0"/>
    <n v="0"/>
    <n v="505"/>
    <n v="800"/>
    <x v="463"/>
    <s v="&lt;Клиент не выбран&gt;"/>
    <s v="2024 09"/>
    <n v="295"/>
    <n v="0.58415841584158412"/>
  </r>
  <r>
    <s v="WB0187"/>
    <n v="0"/>
    <s v="WBRS"/>
    <s v="Доставлен"/>
    <d v="2024-08-02T00:00:00"/>
    <x v="26"/>
    <s v="Спортпит"/>
    <s v="176044510"/>
    <x v="203"/>
    <x v="839"/>
    <n v="505"/>
    <n v="0"/>
    <n v="0"/>
    <n v="0"/>
    <n v="0"/>
    <n v="505"/>
    <n v="800"/>
    <x v="463"/>
    <s v="&lt;Клиент не выбран&gt;"/>
    <s v="2024 09"/>
    <n v="295"/>
    <n v="0.58415841584158412"/>
  </r>
  <r>
    <s v="WB0187"/>
    <n v="0"/>
    <s v="WBRS"/>
    <s v="Доставлен"/>
    <d v="2024-08-02T00:00:00"/>
    <x v="26"/>
    <s v="Спортпит"/>
    <s v="176044512"/>
    <x v="203"/>
    <x v="840"/>
    <n v="493"/>
    <n v="0"/>
    <n v="0"/>
    <n v="0"/>
    <n v="0"/>
    <n v="493"/>
    <n v="800"/>
    <x v="602"/>
    <s v="&lt;Клиент не выбран&gt;"/>
    <s v="2024 08"/>
    <n v="307"/>
    <n v="0.62271805273833669"/>
  </r>
  <r>
    <s v="WB0187"/>
    <n v="0"/>
    <s v="WBRS"/>
    <s v="Доставлен"/>
    <d v="2024-08-02T00:00:00"/>
    <x v="26"/>
    <s v="Спортпит"/>
    <s v="176044512"/>
    <x v="203"/>
    <x v="840"/>
    <n v="493"/>
    <n v="0"/>
    <n v="0"/>
    <n v="0"/>
    <n v="0"/>
    <n v="493"/>
    <n v="800"/>
    <x v="463"/>
    <s v="&lt;Клиент не выбран&gt;"/>
    <s v="2024 09"/>
    <n v="307"/>
    <n v="0.62271805273833669"/>
  </r>
  <r>
    <s v="WB0187"/>
    <n v="0"/>
    <s v="WBRS"/>
    <s v="Доставлен"/>
    <d v="2024-08-02T00:00:00"/>
    <x v="26"/>
    <s v="Спортпит"/>
    <s v="176044512"/>
    <x v="203"/>
    <x v="840"/>
    <n v="493"/>
    <n v="0"/>
    <n v="0"/>
    <n v="0"/>
    <n v="0"/>
    <n v="493"/>
    <n v="600"/>
    <x v="519"/>
    <s v="&lt;Клиент не выбран&gt;"/>
    <s v="2025 03"/>
    <n v="107"/>
    <n v="0.21703853955375255"/>
  </r>
  <r>
    <s v="OZO0101"/>
    <n v="0"/>
    <s v="OZON_OA"/>
    <s v="Доставлен"/>
    <d v="2024-07-25T00:00:00"/>
    <x v="25"/>
    <s v="Спортпит"/>
    <s v="VPB-54130"/>
    <x v="81"/>
    <x v="245"/>
    <n v="1161"/>
    <n v="0"/>
    <n v="0"/>
    <n v="0"/>
    <n v="0"/>
    <n v="1161"/>
    <n v="2300"/>
    <x v="461"/>
    <s v="&lt;Клиент не выбран&gt;"/>
    <s v="2024 08"/>
    <n v="1139"/>
    <n v="0.98105081826012064"/>
  </r>
  <r>
    <s v="OZO0100"/>
    <n v="0"/>
    <s v="OZON_OA"/>
    <s v="Доставлен"/>
    <d v="2024-07-17T00:00:00"/>
    <x v="25"/>
    <s v="Спортпит"/>
    <s v="185549256"/>
    <x v="35"/>
    <x v="1327"/>
    <n v="3023"/>
    <n v="0"/>
    <n v="0"/>
    <n v="0"/>
    <n v="0"/>
    <n v="3023"/>
    <n v="3400"/>
    <x v="696"/>
    <s v="&lt;Клиент не выбран&gt;"/>
    <s v="2024 12"/>
    <n v="377"/>
    <n v="0.12471055243135958"/>
  </r>
  <r>
    <s v="OZO0103"/>
    <n v="0"/>
    <s v="OZON_OA"/>
    <s v="Доставлен"/>
    <d v="2024-07-28T00:00:00"/>
    <x v="25"/>
    <s v="Спортпит"/>
    <s v="998396245"/>
    <x v="118"/>
    <x v="1328"/>
    <n v="2061"/>
    <n v="0"/>
    <n v="0"/>
    <n v="0"/>
    <n v="0"/>
    <n v="2061"/>
    <m/>
    <x v="20"/>
    <m/>
    <s v=""/>
    <n v="-2061"/>
    <s v=""/>
  </r>
  <r>
    <s v="527598593"/>
    <s v="722500226371"/>
    <s v="iHerb_MH DLE7202"/>
    <s v="Доставлен"/>
    <d v="2024-07-22T00:00:00"/>
    <x v="25"/>
    <s v="Витамины"/>
    <s v="NOW-00166"/>
    <x v="3"/>
    <x v="1329"/>
    <n v="16.399999999999999"/>
    <n v="-3.28"/>
    <n v="-1.0218325547969815"/>
    <n v="0"/>
    <n v="0.92519521805047678"/>
    <n v="1303.8574559827523"/>
    <n v="2100"/>
    <x v="26"/>
    <s v="&lt;Клиент не выбран&gt;"/>
    <s v="2024 08"/>
    <n v="796.1425440172477"/>
    <n v="0.61060550780619938"/>
  </r>
  <r>
    <s v="527598593"/>
    <s v="722500226371"/>
    <s v="iHerb_MH DLE7202"/>
    <s v="Доставлен"/>
    <d v="2024-07-22T00:00:00"/>
    <x v="25"/>
    <s v="Витамины"/>
    <s v="NOW-01283"/>
    <x v="3"/>
    <x v="343"/>
    <n v="17.510000000000002"/>
    <n v="-3.5"/>
    <n v="-1.0911489399928136"/>
    <n v="0"/>
    <n v="0.98795617415298631"/>
    <n v="1392.3051035303631"/>
    <n v="2500"/>
    <x v="515"/>
    <s v="&lt;Клиент не выбран&gt;"/>
    <s v="2024 08"/>
    <n v="1107.6948964696369"/>
    <n v="0.79558344910245493"/>
  </r>
  <r>
    <s v="527598593"/>
    <s v="722500226371"/>
    <s v="iHerb_MH DLE7202"/>
    <s v="Доставлен"/>
    <d v="2024-07-22T00:00:00"/>
    <x v="25"/>
    <s v="Витамины"/>
    <s v="NOW-01283"/>
    <x v="3"/>
    <x v="343"/>
    <n v="17.510000000000002"/>
    <n v="-3.5"/>
    <n v="-1.0911489399928136"/>
    <n v="0"/>
    <n v="0.98795617415298631"/>
    <n v="1392.3051035303631"/>
    <n v="2500"/>
    <x v="515"/>
    <s v="&lt;Клиент не выбран&gt;"/>
    <s v="2024 08"/>
    <n v="1107.6948964696369"/>
    <n v="0.79558344910245493"/>
  </r>
  <r>
    <s v="527598593"/>
    <s v="722500226371"/>
    <s v="iHerb_MH DLE7202"/>
    <s v="Доставлен"/>
    <d v="2024-07-22T00:00:00"/>
    <x v="25"/>
    <s v="Витамины"/>
    <s v="CEN-22675"/>
    <x v="2"/>
    <x v="2"/>
    <n v="11"/>
    <n v="-2.2000000000000002"/>
    <n v="-0.68537549407114629"/>
    <n v="0"/>
    <n v="0.62055776820458808"/>
    <n v="874.53853754940724"/>
    <n v="1700"/>
    <x v="515"/>
    <s v="&lt;Клиент не выбран&gt;"/>
    <s v="2024 08"/>
    <n v="825.46146245059276"/>
    <n v="0.94388231851241677"/>
  </r>
  <r>
    <s v="527598593"/>
    <s v="722500226371"/>
    <s v="iHerb_MH DLE7202"/>
    <s v="Доставлен"/>
    <d v="2024-07-22T00:00:00"/>
    <x v="25"/>
    <s v="Витамины"/>
    <s v="CEN-22673"/>
    <x v="2"/>
    <x v="3"/>
    <n v="11.04"/>
    <n v="-2.21"/>
    <n v="-0.68771200143729772"/>
    <n v="0"/>
    <n v="0.62267330605074001"/>
    <n v="877.51991892741614"/>
    <n v="1700"/>
    <x v="515"/>
    <s v="&lt;Клиент не выбран&gt;"/>
    <s v="2024 08"/>
    <n v="822.48008107258386"/>
    <n v="0.93727796182438006"/>
  </r>
  <r>
    <s v="527598593"/>
    <s v="722500226371"/>
    <s v="iHerb_MH DLE7202"/>
    <s v="Доставлен"/>
    <d v="2024-07-22T00:00:00"/>
    <x v="25"/>
    <s v="Косметика"/>
    <s v="IDC-71710"/>
    <x v="276"/>
    <x v="1330"/>
    <n v="32.33"/>
    <n v="-19.84"/>
    <n v="-0.97276590010779718"/>
    <n v="0"/>
    <n v="0.88076892328128475"/>
    <n v="1241.2484470445561"/>
    <m/>
    <x v="20"/>
    <m/>
    <s v=""/>
    <n v="-1241.2484470445561"/>
    <s v=""/>
  </r>
  <r>
    <s v="527598593"/>
    <s v="722500226371"/>
    <s v="iHerb_MH DLE7202"/>
    <s v="Доставлен"/>
    <d v="2024-07-22T00:00:00"/>
    <x v="25"/>
    <s v="Витамины"/>
    <s v="SNS-00358"/>
    <x v="151"/>
    <x v="1331"/>
    <n v="15.8"/>
    <n v="-3.16"/>
    <n v="-0.98444843693855555"/>
    <n v="0"/>
    <n v="0.89134661251204472"/>
    <n v="1256.155353934603"/>
    <n v="2100"/>
    <x v="441"/>
    <s v="&lt;Клиент не выбран&gt;"/>
    <s v="2024 11"/>
    <n v="843.844646065397"/>
    <n v="0.67176774227985225"/>
  </r>
  <r>
    <s v="527598593"/>
    <s v="722500226371"/>
    <s v="iHerb_MH DLE7202"/>
    <s v="Доставлен"/>
    <d v="2024-07-22T00:00:00"/>
    <x v="25"/>
    <s v="Витамины"/>
    <s v="NOW-04603"/>
    <x v="3"/>
    <x v="147"/>
    <n v="12.85"/>
    <n v="-2.57"/>
    <n v="-0.80064319080129343"/>
    <n v="0"/>
    <n v="0.72492430194808699"/>
    <n v="1021.6200188645346"/>
    <n v="1800"/>
    <x v="575"/>
    <s v="&lt;Клиент не выбран&gt;"/>
    <s v="2024 10"/>
    <n v="778.37998113546541"/>
    <n v="0.76190752604924972"/>
  </r>
  <r>
    <s v="527598593"/>
    <s v="722500226371"/>
    <s v="iHerb_MH DLE7202"/>
    <s v="Доставлен"/>
    <d v="2024-07-22T00:00:00"/>
    <x v="25"/>
    <s v="Витамины"/>
    <s v="FBS-20726"/>
    <x v="20"/>
    <x v="42"/>
    <n v="7.8"/>
    <n v="-1.56"/>
    <n v="-0.48599353215954005"/>
    <n v="0"/>
    <n v="0.44003187199961702"/>
    <n v="620.12732662594317"/>
    <n v="1600"/>
    <x v="309"/>
    <s v="&lt;Клиент не выбран&gt;"/>
    <s v="2024 09"/>
    <n v="979.87267337405683"/>
    <n v="1.5801152945564512"/>
  </r>
  <r>
    <s v="527598593"/>
    <s v="722500226371"/>
    <s v="iHerb_MH DLE7202"/>
    <s v="Доставлен"/>
    <d v="2024-07-22T00:00:00"/>
    <x v="25"/>
    <s v="Витамины"/>
    <s v="FBS-00678"/>
    <x v="20"/>
    <x v="542"/>
    <n v="13.63"/>
    <n v="-2.73"/>
    <n v="-0.84893100970176061"/>
    <n v="0"/>
    <n v="0.76864541743522841"/>
    <n v="1083.2352340100613"/>
    <n v="2300"/>
    <x v="440"/>
    <s v="&lt;Клиент не выбран&gt;"/>
    <s v="2024 08"/>
    <n v="1216.7647659899387"/>
    <n v="1.1232691919423268"/>
  </r>
  <r>
    <s v="527831406"/>
    <s v="720000316216"/>
    <s v="iHerb_AV CYG0792"/>
    <s v="Доставлен"/>
    <d v="2024-07-31T00:00:00"/>
    <x v="25"/>
    <s v="Витамины"/>
    <s v="SNS-02622"/>
    <x v="151"/>
    <x v="1332"/>
    <n v="31.01"/>
    <n v="-3.1"/>
    <n v="-1.4933337072349968"/>
    <n v="-8.8979238385033732E-15"/>
    <n v="1.2445018812768083"/>
    <n v="2734.4071137128417"/>
    <n v="3400"/>
    <x v="472"/>
    <s v="&lt;Клиент не выбран&gt;"/>
    <s v="2024 09"/>
    <n v="665.59288628715831"/>
    <n v="0.24341396822340797"/>
  </r>
  <r>
    <s v="527831406"/>
    <s v="720000316216"/>
    <s v="iHerb_AV CYG0792"/>
    <s v="Доставлен"/>
    <d v="2024-07-31T00:00:00"/>
    <x v="25"/>
    <s v="Витамины"/>
    <s v="CGN-01065"/>
    <x v="1"/>
    <x v="14"/>
    <n v="6.1"/>
    <n v="-2.44"/>
    <n v="-0.19582950084127868"/>
    <n v="-1.1668363041534338E-15"/>
    <n v="0.16319874186575128"/>
    <n v="358.5786469433537"/>
    <n v="1000"/>
    <x v="524"/>
    <s v="&lt;Клиент не выбран&gt;"/>
    <s v="2024 12"/>
    <n v="641.42135305664624"/>
    <n v="1.7887884806425032"/>
  </r>
  <r>
    <s v="527831406"/>
    <s v="720000316216"/>
    <s v="iHerb_AV CYG0792"/>
    <s v="Доставлен"/>
    <d v="2024-07-31T00:00:00"/>
    <x v="25"/>
    <s v="Витамины"/>
    <s v="CGN-01065"/>
    <x v="1"/>
    <x v="14"/>
    <n v="6.1"/>
    <n v="-2.44"/>
    <n v="-0.19582950084127868"/>
    <n v="-1.1668363041534338E-15"/>
    <n v="0.16319874186575128"/>
    <n v="358.5786469433537"/>
    <n v="1000"/>
    <x v="697"/>
    <s v="&lt;Клиент не выбран&gt;"/>
    <s v="2025 01"/>
    <n v="641.42135305664624"/>
    <n v="1.7887884806425032"/>
  </r>
  <r>
    <s v="527831406"/>
    <s v="720000316216"/>
    <s v="iHerb_AV CYG0792"/>
    <s v="Доставлен"/>
    <d v="2024-07-31T00:00:00"/>
    <x v="25"/>
    <s v="Витамины"/>
    <s v="CGN-01065"/>
    <x v="1"/>
    <x v="14"/>
    <n v="6.1"/>
    <n v="-2.44"/>
    <n v="-0.19582950084127868"/>
    <n v="-1.1668363041534338E-15"/>
    <n v="0.16319874186575128"/>
    <n v="358.5786469433537"/>
    <n v="1000"/>
    <x v="698"/>
    <s v="&lt;Клиент не выбран&gt;"/>
    <s v="2025 03"/>
    <n v="641.42135305664624"/>
    <n v="1.7887884806425032"/>
  </r>
  <r>
    <s v="527831406"/>
    <s v="720000316216"/>
    <s v="iHerb_AV CYG0792"/>
    <s v="Доставлен"/>
    <d v="2024-07-31T00:00:00"/>
    <x v="25"/>
    <s v="Витамины"/>
    <s v="CGN-00963"/>
    <x v="1"/>
    <x v="911"/>
    <n v="11.68"/>
    <n v="-4.67"/>
    <n v="-0.37507234997195726"/>
    <n v="-2.234842210960539E-15"/>
    <n v="0.31257463947511377"/>
    <n v="686.78587843522098"/>
    <n v="1700"/>
    <x v="536"/>
    <s v="Любовь Виталий"/>
    <s v="2026 01"/>
    <n v="1013.214121564779"/>
    <n v="1.4752984203363282"/>
  </r>
  <r>
    <s v="527831406"/>
    <s v="720000316216"/>
    <s v="iHerb_AV CYG0792"/>
    <s v="Доставлен"/>
    <d v="2024-07-31T00:00:00"/>
    <x v="25"/>
    <s v="Витамины"/>
    <s v="CGN-00934"/>
    <x v="1"/>
    <x v="77"/>
    <n v="14.77"/>
    <n v="-5.91"/>
    <n v="-0.47405720695457076"/>
    <n v="-2.824636517704761E-15"/>
    <n v="0.3950658068116274"/>
    <n v="868.03464806505826"/>
    <n v="2200"/>
    <x v="186"/>
    <s v="&lt;Клиент не выбран&gt;"/>
    <s v="2024 12"/>
    <n v="1331.9653519349417"/>
    <n v="1.5344610435816526"/>
  </r>
  <r>
    <s v="527831406"/>
    <s v="720000316216"/>
    <s v="iHerb_AV CYG0792"/>
    <s v="Доставлен"/>
    <d v="2024-07-31T00:00:00"/>
    <x v="25"/>
    <s v="Витамины"/>
    <s v="CGN-01856"/>
    <x v="1"/>
    <x v="276"/>
    <n v="15.95"/>
    <n v="-6.38"/>
    <n v="-0.51204598990465489"/>
    <n v="-3.0509900084011922E-15"/>
    <n v="0.42672457914077588"/>
    <n v="937.59498667975276"/>
    <n v="2000"/>
    <x v="440"/>
    <s v="&lt;Клиент не выбран&gt;"/>
    <s v="2024 08"/>
    <n v="1062.4050133202472"/>
    <n v="1.1331172077641718"/>
  </r>
  <r>
    <s v="527831406"/>
    <s v="720000316216"/>
    <s v="iHerb_AV CYG0792"/>
    <s v="Доставлен"/>
    <d v="2024-07-31T00:00:00"/>
    <x v="25"/>
    <s v="Витамины"/>
    <s v="CGN-01856"/>
    <x v="1"/>
    <x v="276"/>
    <n v="15.95"/>
    <n v="-6.38"/>
    <n v="-0.51204598990465489"/>
    <n v="-3.0509900084011922E-15"/>
    <n v="0.42672457914077588"/>
    <n v="937.59498667975276"/>
    <n v="2200"/>
    <x v="685"/>
    <s v="&lt;Клиент не выбран&gt;"/>
    <s v="2024 12"/>
    <n v="1262.4050133202472"/>
    <n v="1.3464289285405888"/>
  </r>
  <r>
    <s v="527831406"/>
    <s v="720000316216"/>
    <s v="iHerb_AV CYG0792"/>
    <s v="Доставлен"/>
    <d v="2024-07-31T00:00:00"/>
    <x v="25"/>
    <s v="Витамины"/>
    <s v="CGN-01353"/>
    <x v="1"/>
    <x v="1012"/>
    <n v="13.71"/>
    <n v="-5.4833333333333334"/>
    <n v="-0.44017049915872114"/>
    <n v="-2.6227249532337661E-15"/>
    <n v="0.36682558736309123"/>
    <n v="805.98551972331245"/>
    <n v="1900"/>
    <x v="469"/>
    <s v="&lt;Клиент не выбран&gt;"/>
    <s v="2024 08"/>
    <n v="1094.0144802766877"/>
    <n v="1.3573624506954578"/>
  </r>
  <r>
    <s v="527831406"/>
    <s v="720000316216"/>
    <s v="iHerb_AV CYG0792"/>
    <s v="Доставлен"/>
    <d v="2024-07-31T00:00:00"/>
    <x v="25"/>
    <s v="Витамины"/>
    <s v="CGN-01353"/>
    <x v="1"/>
    <x v="1012"/>
    <n v="13.71"/>
    <n v="-5.4833333333333334"/>
    <n v="-0.44017049915872114"/>
    <n v="-2.6227249532337661E-15"/>
    <n v="0.36682558736309123"/>
    <n v="805.98551972331245"/>
    <n v="1800"/>
    <x v="469"/>
    <s v="&lt;Клиент не выбран&gt;"/>
    <s v="2024 08"/>
    <n v="994.01448027668755"/>
    <n v="1.2332907427641178"/>
  </r>
  <r>
    <s v="527831406"/>
    <s v="720000316216"/>
    <s v="iHerb_AV CYG0792"/>
    <s v="Доставлен"/>
    <d v="2024-07-31T00:00:00"/>
    <x v="25"/>
    <s v="Витамины"/>
    <s v="CGN-01353"/>
    <x v="1"/>
    <x v="1012"/>
    <n v="13.71"/>
    <n v="-5.4833333333333334"/>
    <n v="-0.44017049915872114"/>
    <n v="-2.6227249532337661E-15"/>
    <n v="0.36682558736309123"/>
    <n v="805.98551972331245"/>
    <n v="1900"/>
    <x v="699"/>
    <s v="&lt;Клиент не выбран&gt;"/>
    <s v="2025 05"/>
    <n v="1094.0144802766877"/>
    <n v="1.3573624506954578"/>
  </r>
  <r>
    <s v="527831406"/>
    <s v="720000316216"/>
    <s v="iHerb_AV CYG0792"/>
    <s v="Доставлен"/>
    <d v="2024-07-31T00:00:00"/>
    <x v="25"/>
    <s v="Витамины"/>
    <s v="CGN-01796"/>
    <x v="1"/>
    <x v="1333"/>
    <n v="23.61"/>
    <n v="-9.44"/>
    <n v="-0.75817049915872103"/>
    <n v="-4.5175055819273658E-15"/>
    <n v="0.63183775197751235"/>
    <n v="1388.2676030566452"/>
    <m/>
    <x v="20"/>
    <m/>
    <s v=""/>
    <n v="-1388.2676030566452"/>
    <s v=""/>
  </r>
  <r>
    <s v="527831406"/>
    <s v="720000316216"/>
    <s v="iHerb_AV CYG0792"/>
    <s v="Доставлен"/>
    <d v="2024-07-31T00:00:00"/>
    <x v="25"/>
    <s v="Витамины"/>
    <s v="CGN-01251"/>
    <x v="1"/>
    <x v="1334"/>
    <n v="11.98"/>
    <n v="-5.99"/>
    <n v="-0.32049691531127306"/>
    <n v="-1.9096583229177786E-15"/>
    <n v="0.26709302288957659"/>
    <n v="586.85412436904062"/>
    <n v="1400"/>
    <x v="576"/>
    <s v="Елена Индол"/>
    <s v="2025 09"/>
    <n v="813.14587563095938"/>
    <n v="1.3856013647432699"/>
  </r>
  <r>
    <s v="527831406"/>
    <s v="720000316216"/>
    <s v="iHerb_AV CYG0792"/>
    <s v="Доставлен"/>
    <d v="2024-07-31T00:00:00"/>
    <x v="25"/>
    <s v="Витамины"/>
    <s v="CGN-01266"/>
    <x v="1"/>
    <x v="487"/>
    <n v="31.02"/>
    <n v="-9.3049999999999997"/>
    <n v="-1.1618681996634881"/>
    <n v="-6.9229099302436668E-15"/>
    <n v="0.96826794524994242"/>
    <n v="2127.4686662226572"/>
    <n v="3300"/>
    <x v="470"/>
    <s v="&lt;Клиент не выбран&gt;"/>
    <s v="2024 09"/>
    <n v="1172.5313337773428"/>
    <n v="0.55113917887175479"/>
  </r>
  <r>
    <s v="527831406"/>
    <s v="720000316216"/>
    <s v="iHerb_AV CYG0792"/>
    <s v="Доставлен"/>
    <d v="2024-07-31T00:00:00"/>
    <x v="25"/>
    <s v="Витамины"/>
    <s v="CGN-01266"/>
    <x v="1"/>
    <x v="487"/>
    <n v="31.02"/>
    <n v="-9.3049999999999997"/>
    <n v="-1.1618681996634881"/>
    <n v="-6.9229099302436668E-15"/>
    <n v="0.96826794524994242"/>
    <n v="2127.4686662226572"/>
    <n v="3400"/>
    <x v="645"/>
    <s v="&lt;Клиент не выбран&gt;"/>
    <s v="2024 10"/>
    <n v="1272.5313337773428"/>
    <n v="0.59814339641332315"/>
  </r>
  <r>
    <s v="527831406"/>
    <s v="720000316216"/>
    <s v="iHerb_AV CYG0792"/>
    <s v="Доставлен"/>
    <d v="2024-07-31T00:00:00"/>
    <x v="25"/>
    <s v="Косметика"/>
    <s v="DAV-00001"/>
    <x v="277"/>
    <x v="1335"/>
    <n v="5.91"/>
    <n v="-1.18"/>
    <n v="-0.25308020190689845"/>
    <n v="-1.5079605788649572E-15"/>
    <n v="0.21090984946038349"/>
    <n v="463.4090164049353"/>
    <m/>
    <x v="20"/>
    <m/>
    <s v=""/>
    <n v="-463.4090164049353"/>
    <s v=""/>
  </r>
  <r>
    <s v="527831406"/>
    <s v="720000316216"/>
    <s v="iHerb_AV CYG0792"/>
    <s v="Доставлен"/>
    <d v="2024-07-31T00:00:00"/>
    <x v="25"/>
    <s v="Витамины"/>
    <s v="LKN-01639"/>
    <x v="90"/>
    <x v="728"/>
    <n v="19"/>
    <n v="-7.6"/>
    <n v="-0.60996074032529435"/>
    <n v="-3.6344081604779094E-15"/>
    <n v="0.5083239500736515"/>
    <n v="1116.8843101514296"/>
    <n v="2600"/>
    <x v="471"/>
    <s v="&lt;Клиент не выбран&gt;"/>
    <s v="2024 11"/>
    <n v="1483.1156898485704"/>
    <n v="1.3279044896310579"/>
  </r>
  <r>
    <s v="527627389"/>
    <s v="720000304255"/>
    <s v="iHerb_OA CZN6870"/>
    <s v="Доставлен"/>
    <d v="2024-07-23T00:00:00"/>
    <x v="25"/>
    <s v="Витамины"/>
    <s v="CGN-01033"/>
    <x v="1"/>
    <x v="1"/>
    <n v="21.04"/>
    <n v="-6.3125"/>
    <n v="0"/>
    <n v="0"/>
    <n v="1.0006383188067387"/>
    <n v="1562.8548844064085"/>
    <n v="2200"/>
    <x v="515"/>
    <s v="&lt;Клиент не выбран&gt;"/>
    <s v="2024 08"/>
    <n v="637.14511559359153"/>
    <n v="0.40768027918061445"/>
  </r>
  <r>
    <s v="527627389"/>
    <s v="720000304255"/>
    <s v="iHerb_OA CZN6870"/>
    <s v="Доставлен"/>
    <d v="2024-07-23T00:00:00"/>
    <x v="25"/>
    <s v="Витамины"/>
    <s v="CGN-01033"/>
    <x v="1"/>
    <x v="1"/>
    <n v="21.04"/>
    <n v="-6.3125"/>
    <n v="0"/>
    <n v="0"/>
    <n v="1.0006383188067387"/>
    <n v="1562.8548844064085"/>
    <n v="2300"/>
    <x v="211"/>
    <s v="&lt;Клиент не выбран&gt;"/>
    <s v="2024 09"/>
    <n v="737.14511559359153"/>
    <n v="0.47166574641609693"/>
  </r>
  <r>
    <s v="527627389"/>
    <s v="720000304255"/>
    <s v="iHerb_OA CZN6870"/>
    <s v="Доставлен"/>
    <d v="2024-07-23T00:00:00"/>
    <x v="25"/>
    <s v="Витамины"/>
    <s v="CGN-01033"/>
    <x v="1"/>
    <x v="1"/>
    <n v="21.04"/>
    <n v="-6.3125"/>
    <n v="0"/>
    <n v="0"/>
    <n v="1.0006383188067387"/>
    <n v="1562.8548844064085"/>
    <n v="2300"/>
    <x v="211"/>
    <s v="&lt;Клиент не выбран&gt;"/>
    <s v="2024 09"/>
    <n v="737.14511559359153"/>
    <n v="0.47166574641609693"/>
  </r>
  <r>
    <s v="527627389"/>
    <s v="720000304255"/>
    <s v="iHerb_OA CZN6870"/>
    <s v="Доставлен"/>
    <d v="2024-07-23T00:00:00"/>
    <x v="25"/>
    <s v="Витамины"/>
    <s v="CGN-01033"/>
    <x v="1"/>
    <x v="1"/>
    <n v="21.04"/>
    <n v="-6.3125"/>
    <n v="0"/>
    <n v="0"/>
    <n v="1.0006383188067387"/>
    <n v="1562.8548844064085"/>
    <n v="2300"/>
    <x v="463"/>
    <s v="&lt;Клиент не выбран&gt;"/>
    <s v="2024 09"/>
    <n v="737.14511559359153"/>
    <n v="0.47166574641609693"/>
  </r>
  <r>
    <s v="527627389"/>
    <s v="720000304255"/>
    <s v="iHerb_OA CZN6870"/>
    <s v="Доставлен"/>
    <d v="2024-07-23T00:00:00"/>
    <x v="25"/>
    <s v="Витамины"/>
    <s v="CGN-01842"/>
    <x v="1"/>
    <x v="137"/>
    <n v="8.5500000000000007"/>
    <n v="-2.57"/>
    <n v="0"/>
    <n v="0"/>
    <n v="0.40630230157625513"/>
    <n v="634.58646808693413"/>
    <n v="1000"/>
    <x v="576"/>
    <s v="Елена Индол"/>
    <s v="2025 09"/>
    <n v="365.41353191306587"/>
    <n v="0.57582937911466248"/>
  </r>
  <r>
    <s v="527627389"/>
    <s v="720000304255"/>
    <s v="iHerb_OA CZN6870"/>
    <s v="Доставлен"/>
    <d v="2024-07-23T00:00:00"/>
    <x v="25"/>
    <s v="Витамины"/>
    <s v="CGN-01856"/>
    <x v="1"/>
    <x v="276"/>
    <n v="15.95"/>
    <n v="-4.79"/>
    <n v="0"/>
    <n v="0"/>
    <n v="0.75824978019916511"/>
    <n v="1184.2784253930076"/>
    <n v="2200"/>
    <x v="166"/>
    <s v="&lt;Клиент не выбран&gt;"/>
    <s v="2025 01"/>
    <n v="1015.7215746069924"/>
    <n v="0.85767126448319875"/>
  </r>
  <r>
    <s v="527627389"/>
    <s v="720000304255"/>
    <s v="iHerb_OA CZN6870"/>
    <s v="Доставлен"/>
    <d v="2024-07-23T00:00:00"/>
    <x v="25"/>
    <s v="Витамины"/>
    <s v="CGN-01403"/>
    <x v="1"/>
    <x v="1336"/>
    <n v="19.22"/>
    <n v="-5.7666666666666666"/>
    <n v="0"/>
    <n v="0"/>
    <n v="0.91406693933208782"/>
    <n v="1427.6426896314749"/>
    <n v="2300"/>
    <x v="469"/>
    <s v="&lt;Клиент не выбран&gt;"/>
    <s v="2024 08"/>
    <n v="872.35731036852508"/>
    <n v="0.6110473696984442"/>
  </r>
  <r>
    <s v="527627389"/>
    <s v="720000304255"/>
    <s v="iHerb_OA CZN6870"/>
    <s v="Доставлен"/>
    <d v="2024-07-23T00:00:00"/>
    <x v="25"/>
    <s v="Витамины"/>
    <s v="CGN-01403"/>
    <x v="1"/>
    <x v="1336"/>
    <n v="19.22"/>
    <n v="-5.7666666666666666"/>
    <n v="0"/>
    <n v="0"/>
    <n v="0.91406693933208782"/>
    <n v="1427.6426896314749"/>
    <n v="2500"/>
    <x v="700"/>
    <s v="&lt;Клиент не выбран&gt;"/>
    <s v="2024 09"/>
    <n v="1072.3573103685251"/>
    <n v="0.75113844532439589"/>
  </r>
  <r>
    <s v="527627389"/>
    <s v="720000304255"/>
    <s v="iHerb_OA CZN6870"/>
    <s v="Доставлен"/>
    <d v="2024-07-23T00:00:00"/>
    <x v="25"/>
    <s v="Витамины"/>
    <s v="CGN-01403"/>
    <x v="1"/>
    <x v="1336"/>
    <n v="19.22"/>
    <n v="-5.7666666666666666"/>
    <n v="0"/>
    <n v="0"/>
    <n v="0.91406693933208782"/>
    <n v="1427.6426896314749"/>
    <n v="2000"/>
    <x v="701"/>
    <s v="Елена пер. Фруктовый"/>
    <s v="2025 10"/>
    <n v="572.35731036852508"/>
    <n v="0.40091075625951667"/>
  </r>
  <r>
    <s v="527719366"/>
    <s v="720000309980"/>
    <s v="iHerb_VP DFD1605"/>
    <s v="Доставлен"/>
    <d v="2024-07-26T00:00:00"/>
    <x v="25"/>
    <s v="Витамины"/>
    <s v="NCS-67176"/>
    <x v="217"/>
    <x v="1337"/>
    <n v="18.73"/>
    <n v="-3.75"/>
    <n v="0"/>
    <n v="0"/>
    <n v="0.70650781453472267"/>
    <n v="1559.9280458912694"/>
    <n v="2300"/>
    <x v="469"/>
    <s v="&lt;Клиент не выбран&gt;"/>
    <s v="2024 08"/>
    <n v="740.07195410873055"/>
    <n v="0.47442698146111495"/>
  </r>
  <r>
    <s v="527719366"/>
    <s v="720000309980"/>
    <s v="iHerb_VP DFD1605"/>
    <s v="Доставлен"/>
    <d v="2024-07-26T00:00:00"/>
    <x v="25"/>
    <s v="Витамины"/>
    <s v="LEX-19456"/>
    <x v="7"/>
    <x v="558"/>
    <n v="10.76"/>
    <n v="-2.15"/>
    <n v="0"/>
    <n v="0"/>
    <n v="0.40607692143818164"/>
    <n v="896.594157217879"/>
    <n v="1750"/>
    <x v="665"/>
    <s v="&lt;Клиент не выбран&gt;"/>
    <s v="2025 01"/>
    <n v="853.405842782121"/>
    <n v="0.95183069832869438"/>
  </r>
  <r>
    <s v="527719366"/>
    <s v="720000309980"/>
    <s v="iHerb_VP DFD1605"/>
    <s v="Доставлен"/>
    <d v="2024-07-26T00:00:00"/>
    <x v="25"/>
    <s v="Витамины"/>
    <s v="LEX-19456"/>
    <x v="7"/>
    <x v="558"/>
    <n v="10.76"/>
    <n v="-2.15"/>
    <n v="0"/>
    <n v="0"/>
    <n v="0.40607692143818164"/>
    <n v="896.594157217879"/>
    <n v="1750"/>
    <x v="665"/>
    <s v="&lt;Клиент не выбран&gt;"/>
    <s v="2025 01"/>
    <n v="853.405842782121"/>
    <n v="0.95183069832869438"/>
  </r>
  <r>
    <s v="527719366"/>
    <s v="720000309980"/>
    <s v="iHerb_VP DFD1605"/>
    <s v="Доставлен"/>
    <d v="2024-07-26T00:00:00"/>
    <x v="25"/>
    <s v="Витамины"/>
    <s v="HRM-50004"/>
    <x v="195"/>
    <x v="798"/>
    <n v="16.329999999999998"/>
    <n v="-3.27"/>
    <n v="0"/>
    <n v="0"/>
    <n v="0.61595407595617324"/>
    <n v="1359.9906728531359"/>
    <n v="2000"/>
    <x v="440"/>
    <s v="&lt;Клиент не выбран&gt;"/>
    <s v="2024 08"/>
    <n v="640.00932714686405"/>
    <n v="0.47059832094596876"/>
  </r>
  <r>
    <s v="527719366"/>
    <s v="720000309980"/>
    <s v="iHerb_VP DFD1605"/>
    <s v="Доставлен"/>
    <d v="2024-07-26T00:00:00"/>
    <x v="25"/>
    <s v="Витамины"/>
    <s v="NOW-01792"/>
    <x v="3"/>
    <x v="991"/>
    <n v="13.11"/>
    <n v="-2.62"/>
    <n v="0"/>
    <n v="0"/>
    <n v="0.49474412379634441"/>
    <n v="1092.3661683177179"/>
    <n v="1900"/>
    <x v="653"/>
    <s v="&lt;Клиент не выбран&gt;"/>
    <s v="2024 09"/>
    <n v="807.63383168228211"/>
    <n v="0.73934350505020352"/>
  </r>
  <r>
    <s v="527719366"/>
    <s v="720000309980"/>
    <s v="iHerb_VP DFD1605"/>
    <s v="Доставлен"/>
    <d v="2024-07-26T00:00:00"/>
    <x v="25"/>
    <s v="Витамины"/>
    <s v="TEO-00757"/>
    <x v="181"/>
    <x v="713"/>
    <n v="31.63"/>
    <n v="-9.49"/>
    <n v="0"/>
    <n v="0"/>
    <n v="1.0441977979838957"/>
    <n v="2305.5278328459749"/>
    <n v="3500"/>
    <x v="469"/>
    <s v="&lt;Клиент не выбран&gt;"/>
    <s v="2024 08"/>
    <n v="1194.4721671540251"/>
    <n v="0.51809054314453984"/>
  </r>
  <r>
    <s v="527719366"/>
    <s v="720000309980"/>
    <s v="iHerb_VP DFD1605"/>
    <s v="Доставлен"/>
    <d v="2024-07-26T00:00:00"/>
    <x v="25"/>
    <s v="Витамины"/>
    <s v="NBC-00450"/>
    <x v="8"/>
    <x v="19"/>
    <n v="13.72"/>
    <n v="-2.7450000000000001"/>
    <n v="0"/>
    <n v="0"/>
    <n v="0.51761837546853007"/>
    <n v="1142.8711818195382"/>
    <n v="2000"/>
    <x v="645"/>
    <s v="&lt;Клиент не выбран&gt;"/>
    <s v="2024 10"/>
    <n v="857.12881818046185"/>
    <n v="0.74997850310290204"/>
  </r>
  <r>
    <s v="527719366"/>
    <s v="720000309980"/>
    <s v="iHerb_VP DFD1605"/>
    <s v="Доставлен"/>
    <d v="2024-07-26T00:00:00"/>
    <x v="25"/>
    <s v="Витамины"/>
    <s v="NBC-00450"/>
    <x v="8"/>
    <x v="19"/>
    <n v="13.72"/>
    <n v="-2.7450000000000001"/>
    <n v="0"/>
    <n v="0"/>
    <n v="0.51761837546853007"/>
    <n v="1142.8711818195382"/>
    <n v="2000"/>
    <x v="645"/>
    <s v="&lt;Клиент не выбран&gt;"/>
    <s v="2024 10"/>
    <n v="857.12881818046185"/>
    <n v="0.74997850310290204"/>
  </r>
  <r>
    <s v="527719366"/>
    <s v="720000309980"/>
    <s v="iHerb_VP DFD1605"/>
    <s v="Доставлен"/>
    <d v="2024-07-26T00:00:00"/>
    <x v="25"/>
    <s v="Витамины"/>
    <s v="NFS-01041"/>
    <x v="23"/>
    <x v="718"/>
    <n v="7.05"/>
    <n v="-1.41"/>
    <n v="0"/>
    <n v="0"/>
    <n v="0.26600160707448833"/>
    <n v="587.31603329951656"/>
    <n v="1200"/>
    <x v="575"/>
    <s v="&lt;Клиент не выбран&gt;"/>
    <s v="2024 10"/>
    <n v="612.68396670048344"/>
    <n v="1.0431929863355696"/>
  </r>
  <r>
    <s v="527719366"/>
    <s v="720000309980"/>
    <s v="iHerb_VP DFD1605"/>
    <s v="Доставлен"/>
    <d v="2024-07-26T00:00:00"/>
    <x v="25"/>
    <s v="Витамины"/>
    <s v="NOW-00892"/>
    <x v="3"/>
    <x v="1293"/>
    <n v="15.03"/>
    <n v="-3.01"/>
    <n v="0"/>
    <n v="0"/>
    <n v="0.56690413422612584"/>
    <n v="1251.6912624574804"/>
    <n v="1800"/>
    <x v="515"/>
    <s v="&lt;Клиент не выбран&gt;"/>
    <s v="2024 08"/>
    <n v="548.30873754251957"/>
    <n v="0.43805429820290487"/>
  </r>
  <r>
    <s v="527719366"/>
    <s v="720000309980"/>
    <s v="iHerb_VP DFD1605"/>
    <s v="Доставлен"/>
    <d v="2024-07-26T00:00:00"/>
    <x v="25"/>
    <s v="Витамины"/>
    <s v="LKN-01664"/>
    <x v="90"/>
    <x v="851"/>
    <n v="10.32"/>
    <n v="-3.0950000000000002"/>
    <n v="0"/>
    <n v="0"/>
    <n v="0.34075560480730116"/>
    <n v="752.36850010443391"/>
    <n v="1800"/>
    <x v="579"/>
    <s v="&lt;Клиент не выбран&gt;"/>
    <s v="2024 09"/>
    <n v="1047.6314998955661"/>
    <n v="1.3924446594323761"/>
  </r>
  <r>
    <s v="527719366"/>
    <s v="720000309980"/>
    <s v="iHerb_VP DFD1605"/>
    <s v="Доставлен"/>
    <d v="2024-07-26T00:00:00"/>
    <x v="25"/>
    <s v="Витамины"/>
    <s v="LKN-01664"/>
    <x v="90"/>
    <x v="851"/>
    <n v="10.32"/>
    <n v="-3.0950000000000002"/>
    <n v="0"/>
    <n v="0"/>
    <n v="0.34075560480730116"/>
    <n v="752.36850010443391"/>
    <n v="1700"/>
    <x v="529"/>
    <s v="&lt;Клиент не выбран&gt;"/>
    <s v="2024 09"/>
    <n v="947.63149989556609"/>
    <n v="1.2595310672416886"/>
  </r>
  <r>
    <s v="527719366"/>
    <s v="720000309980"/>
    <s v="iHerb_VP DFD1605"/>
    <s v="Доставлен"/>
    <d v="2024-07-26T00:00:00"/>
    <x v="25"/>
    <s v="Витамины"/>
    <s v="NOW-02644"/>
    <x v="3"/>
    <x v="21"/>
    <n v="23.03"/>
    <n v="-4.6100000000000003"/>
    <n v="0"/>
    <n v="0"/>
    <n v="0.86874992948795682"/>
    <n v="1918.1491725845917"/>
    <n v="2900"/>
    <x v="702"/>
    <s v="&lt;Клиент не выбран&gt;"/>
    <s v="2025 05"/>
    <n v="981.85082741540828"/>
    <n v="0.51187407186502742"/>
  </r>
  <r>
    <s v="527719366"/>
    <s v="720000309980"/>
    <s v="iHerb_VP DFD1605"/>
    <s v="Доставлен"/>
    <d v="2024-07-26T00:00:00"/>
    <x v="25"/>
    <s v="Витамины"/>
    <s v="NOW-02313"/>
    <x v="3"/>
    <x v="87"/>
    <n v="21.5"/>
    <n v="-4.3"/>
    <n v="0"/>
    <n v="0"/>
    <n v="0.8112105747661702"/>
    <n v="1791.1056334666109"/>
    <n v="3100"/>
    <x v="524"/>
    <s v="&lt;Клиент не выбран&gt;"/>
    <s v="2024 12"/>
    <n v="1308.8943665333891"/>
    <n v="0.73077452389007236"/>
  </r>
  <r>
    <s v="WB0188"/>
    <n v="0"/>
    <s v="WBRS"/>
    <s v="Доставлен"/>
    <d v="2024-08-09T00:00:00"/>
    <x v="26"/>
    <s v="Спортпит"/>
    <s v="987464586"/>
    <x v="108"/>
    <x v="882"/>
    <n v="955"/>
    <n v="0"/>
    <n v="0"/>
    <n v="40"/>
    <n v="0"/>
    <n v="995"/>
    <n v="1700"/>
    <x v="487"/>
    <s v="&lt;Клиент не выбран&gt;"/>
    <s v="2024 08"/>
    <n v="705"/>
    <n v="0.70854271356783916"/>
  </r>
  <r>
    <s v="OZO0104"/>
    <n v="0"/>
    <s v="OZON_OA"/>
    <s v="Доставлен"/>
    <d v="2024-08-07T00:00:00"/>
    <x v="26"/>
    <s v="Спортпит"/>
    <s v="626914561"/>
    <x v="108"/>
    <x v="886"/>
    <n v="859.06"/>
    <n v="0"/>
    <n v="0"/>
    <n v="-1.0170665432244879E-13"/>
    <n v="0"/>
    <n v="859.05999999999983"/>
    <m/>
    <x v="20"/>
    <m/>
    <s v=""/>
    <n v="-859.05999999999983"/>
    <s v=""/>
  </r>
  <r>
    <s v="OZO0104"/>
    <n v="0"/>
    <s v="OZON_OA"/>
    <s v="Доставлен"/>
    <d v="2024-08-07T00:00:00"/>
    <x v="26"/>
    <s v="Спортпит"/>
    <s v="1234861962"/>
    <x v="108"/>
    <x v="1338"/>
    <n v="829.98"/>
    <n v="0"/>
    <n v="0"/>
    <n v="-9.8263787109801469E-14"/>
    <n v="0"/>
    <n v="829.9799999999999"/>
    <n v="1200"/>
    <x v="703"/>
    <s v="Оксана Черноморская"/>
    <s v="2025 10"/>
    <n v="370.0200000000001"/>
    <n v="0.44581797151738611"/>
  </r>
  <r>
    <s v="OZO0104"/>
    <n v="0"/>
    <s v="OZON_OA"/>
    <s v="Доставлен"/>
    <d v="2024-08-07T00:00:00"/>
    <x v="26"/>
    <s v="Спортпит"/>
    <s v="987464586"/>
    <x v="108"/>
    <x v="882"/>
    <n v="717.32"/>
    <n v="0"/>
    <n v="0"/>
    <n v="-8.4925636484737937E-14"/>
    <n v="0"/>
    <n v="717.31999999999994"/>
    <n v="1200"/>
    <x v="692"/>
    <m/>
    <s v="2025 07"/>
    <n v="482.68000000000006"/>
    <n v="0.67289354820721592"/>
  </r>
  <r>
    <s v="OZO0104"/>
    <n v="0"/>
    <s v="OZON_OA"/>
    <s v="Доставлен"/>
    <d v="2024-08-07T00:00:00"/>
    <x v="26"/>
    <s v="Спортпит"/>
    <s v="626914561"/>
    <x v="108"/>
    <x v="886"/>
    <n v="717.32"/>
    <n v="0"/>
    <n v="0"/>
    <n v="-8.4925636484737937E-14"/>
    <n v="0"/>
    <n v="717.31999999999994"/>
    <n v="1200"/>
    <x v="692"/>
    <m/>
    <s v="2025 07"/>
    <n v="482.68000000000006"/>
    <n v="0.67289354820721592"/>
  </r>
  <r>
    <s v="OZO0104"/>
    <n v="0"/>
    <s v="OZON_OA"/>
    <s v="Доставлен"/>
    <d v="2024-08-07T00:00:00"/>
    <x v="26"/>
    <s v="Спортпит"/>
    <s v="626943002"/>
    <x v="108"/>
    <x v="521"/>
    <n v="717.32"/>
    <n v="0"/>
    <n v="0"/>
    <n v="-8.4925636484737937E-14"/>
    <n v="0"/>
    <n v="717.31999999999994"/>
    <n v="1200"/>
    <x v="704"/>
    <s v="Оксана 17 Цветы"/>
    <s v="2025 10"/>
    <n v="482.68000000000006"/>
    <n v="0.67289354820721592"/>
  </r>
  <r>
    <s v="505506492"/>
    <n v="0"/>
    <s v="YAMARKET"/>
    <s v="Доставлен"/>
    <d v="2024-07-31T00:00:00"/>
    <x v="25"/>
    <s v="Спортпит"/>
    <s v="000000150"/>
    <x v="118"/>
    <x v="1339"/>
    <n v="2824"/>
    <n v="0"/>
    <n v="0"/>
    <n v="0"/>
    <n v="0"/>
    <n v="2824"/>
    <n v="3600"/>
    <x v="487"/>
    <s v="&lt;Клиент не выбран&gt;"/>
    <s v="2024 08"/>
    <n v="776"/>
    <n v="0.27478753541076489"/>
  </r>
  <r>
    <s v="505506492"/>
    <n v="0"/>
    <s v="YAMARKET"/>
    <s v="Доставлен"/>
    <d v="2024-07-31T00:00:00"/>
    <x v="25"/>
    <s v="Спортпит"/>
    <s v="000000150"/>
    <x v="118"/>
    <x v="1339"/>
    <n v="2824"/>
    <n v="0"/>
    <n v="0"/>
    <n v="0"/>
    <n v="0"/>
    <n v="2824"/>
    <n v="3600"/>
    <x v="487"/>
    <s v="&lt;Клиент не выбран&gt;"/>
    <s v="2024 08"/>
    <n v="776"/>
    <n v="0.27478753541076489"/>
  </r>
  <r>
    <s v="505506492"/>
    <n v="0"/>
    <s v="YAMARKET"/>
    <s v="Доставлен"/>
    <d v="2024-07-31T00:00:00"/>
    <x v="25"/>
    <s v="Спортпит"/>
    <s v="XX"/>
    <x v="118"/>
    <x v="1340"/>
    <n v="3008"/>
    <n v="0"/>
    <n v="0"/>
    <n v="0"/>
    <n v="0"/>
    <n v="3008"/>
    <n v="3600"/>
    <x v="570"/>
    <s v="&lt;Клиент не выбран&gt;"/>
    <s v="2024 12"/>
    <n v="592"/>
    <n v="0.19680851063829788"/>
  </r>
  <r>
    <s v="505506493"/>
    <n v="0"/>
    <s v="YAMARKET"/>
    <s v="Доставлен"/>
    <d v="2024-07-31T00:00:00"/>
    <x v="25"/>
    <s v="Спортпит"/>
    <s v="X"/>
    <x v="118"/>
    <x v="1341"/>
    <n v="2045"/>
    <n v="0"/>
    <n v="0"/>
    <n v="0"/>
    <n v="0"/>
    <n v="2045"/>
    <n v="2500"/>
    <x v="573"/>
    <s v="&lt;Клиент не выбран&gt;"/>
    <s v="2024 08"/>
    <n v="455"/>
    <n v="0.22249388753056235"/>
  </r>
  <r>
    <s v="505509056"/>
    <n v="0"/>
    <s v="YAMARKET"/>
    <s v="Доставлен"/>
    <d v="2024-07-31T00:00:00"/>
    <x v="25"/>
    <s v="Спортпит"/>
    <s v="000000150"/>
    <x v="118"/>
    <x v="1339"/>
    <n v="2824"/>
    <n v="0"/>
    <n v="0"/>
    <n v="0"/>
    <n v="0"/>
    <n v="2824"/>
    <n v="3600"/>
    <x v="487"/>
    <s v="&lt;Клиент не выбран&gt;"/>
    <s v="2024 08"/>
    <n v="776"/>
    <n v="0.27478753541076489"/>
  </r>
  <r>
    <s v="528314140"/>
    <s v="720000335875"/>
    <s v="iHerb_AV CYG0792"/>
    <s v="Доставлен"/>
    <d v="2024-08-21T00:00:00"/>
    <x v="26"/>
    <s v="Витамины"/>
    <s v="NOW-01283"/>
    <x v="3"/>
    <x v="343"/>
    <n v="17.510000000000002"/>
    <n v="-3.5"/>
    <n v="0"/>
    <n v="0"/>
    <n v="0.78580090037952155"/>
    <n v="1477.5068585939591"/>
    <n v="2400"/>
    <x v="705"/>
    <s v="&lt;Клиент не выбран&gt;"/>
    <s v="2024 09"/>
    <n v="922.49314140604088"/>
    <n v="0.62435794192110461"/>
  </r>
  <r>
    <s v="528314140"/>
    <s v="720000335875"/>
    <s v="iHerb_AV CYG0792"/>
    <s v="Доставлен"/>
    <d v="2024-08-21T00:00:00"/>
    <x v="26"/>
    <s v="Витамины"/>
    <s v="NOW-01292"/>
    <x v="3"/>
    <x v="1014"/>
    <n v="30.48"/>
    <n v="-6.1"/>
    <n v="0"/>
    <n v="0"/>
    <n v="1.3674393969488032"/>
    <n v="2571.1361322284597"/>
    <n v="3450"/>
    <x v="705"/>
    <s v="&lt;Клиент не выбран&gt;"/>
    <s v="2024 09"/>
    <n v="878.8638677715403"/>
    <n v="0.34181926688176167"/>
  </r>
  <r>
    <s v="528314140"/>
    <s v="720000335875"/>
    <s v="iHerb_AV CYG0792"/>
    <s v="Доставлен"/>
    <d v="2024-08-21T00:00:00"/>
    <x v="26"/>
    <s v="Витамины"/>
    <s v="NOW-01298"/>
    <x v="3"/>
    <x v="392"/>
    <n v="24.32"/>
    <n v="-4.8600000000000003"/>
    <n v="0"/>
    <n v="0"/>
    <n v="1.0914836203701275"/>
    <n v="2052.268627283258"/>
    <n v="2800"/>
    <x v="705"/>
    <s v="&lt;Клиент не выбран&gt;"/>
    <s v="2024 09"/>
    <n v="747.73137271674204"/>
    <n v="0.36434381093013646"/>
  </r>
  <r>
    <s v="528314140"/>
    <s v="720000335875"/>
    <s v="iHerb_AV CYG0792"/>
    <s v="Доставлен"/>
    <d v="2024-08-21T00:00:00"/>
    <x v="26"/>
    <s v="Витамины"/>
    <s v="MGF-10275"/>
    <x v="92"/>
    <x v="308"/>
    <n v="16.649999999999999"/>
    <n v="-3.33"/>
    <n v="0"/>
    <n v="0"/>
    <n v="0.74709978537153632"/>
    <n v="1404.738854851644"/>
    <n v="2200"/>
    <x v="600"/>
    <s v="&lt;Клиент не выбран&gt;"/>
    <s v="2024 10"/>
    <n v="795.26114514835604"/>
    <n v="0.56612739257671096"/>
  </r>
  <r>
    <s v="528314140"/>
    <s v="720000335875"/>
    <s v="iHerb_AV CYG0792"/>
    <s v="Доставлен"/>
    <d v="2024-08-21T00:00:00"/>
    <x v="26"/>
    <s v="Витамины"/>
    <s v="MGF-10275"/>
    <x v="92"/>
    <x v="308"/>
    <n v="16.649999999999999"/>
    <n v="-3.33"/>
    <n v="0"/>
    <n v="0"/>
    <n v="0.74709978537153632"/>
    <n v="1404.738854851644"/>
    <n v="2200"/>
    <x v="600"/>
    <s v="&lt;Клиент не выбран&gt;"/>
    <s v="2024 10"/>
    <n v="795.26114514835604"/>
    <n v="0.56612739257671096"/>
  </r>
  <r>
    <s v="528314140"/>
    <s v="720000335875"/>
    <s v="iHerb_AV CYG0792"/>
    <s v="Доставлен"/>
    <d v="2024-08-21T00:00:00"/>
    <x v="26"/>
    <s v="Витамины"/>
    <s v="MGF-10275"/>
    <x v="92"/>
    <x v="308"/>
    <n v="16.649999999999999"/>
    <n v="-3.33"/>
    <n v="0"/>
    <n v="0"/>
    <n v="0.74709978537153632"/>
    <n v="1404.738854851644"/>
    <n v="2200"/>
    <x v="600"/>
    <s v="&lt;Клиент не выбран&gt;"/>
    <s v="2024 10"/>
    <n v="795.26114514835604"/>
    <n v="0.56612739257671096"/>
  </r>
  <r>
    <s v="528314140"/>
    <s v="720000335875"/>
    <s v="iHerb_AV CYG0792"/>
    <s v="Доставлен"/>
    <d v="2024-08-21T00:00:00"/>
    <x v="26"/>
    <s v="Витамины"/>
    <s v="NAP-29978"/>
    <x v="11"/>
    <x v="54"/>
    <n v="12.91"/>
    <n v="-2.58"/>
    <n v="0"/>
    <n v="0"/>
    <n v="0.57939495367026805"/>
    <n v="1089.4108386349462"/>
    <n v="2000"/>
    <x v="583"/>
    <s v="&lt;Клиент не выбран&gt;"/>
    <s v="2025 03"/>
    <n v="910.58916136505377"/>
    <n v="0.8358546923454887"/>
  </r>
  <r>
    <s v="528314140"/>
    <s v="720000335875"/>
    <s v="iHerb_AV CYG0792"/>
    <s v="Доставлен"/>
    <d v="2024-08-21T00:00:00"/>
    <x v="26"/>
    <s v="Витамины"/>
    <s v="NAP-29978"/>
    <x v="11"/>
    <x v="54"/>
    <n v="12.91"/>
    <n v="-2.58"/>
    <n v="0"/>
    <n v="0"/>
    <n v="0.57939495367026805"/>
    <n v="1089.4108386349462"/>
    <n v="1900"/>
    <x v="410"/>
    <s v="&lt;Клиент не выбран&gt;"/>
    <s v="2025 04"/>
    <n v="810.58916136505377"/>
    <n v="0.74406195772821426"/>
  </r>
  <r>
    <s v="528314140"/>
    <s v="720000335875"/>
    <s v="iHerb_AV CYG0792"/>
    <s v="Доставлен"/>
    <d v="2024-08-21T00:00:00"/>
    <x v="26"/>
    <s v="Витамины"/>
    <s v="CGN-02272"/>
    <x v="1"/>
    <x v="1342"/>
    <n v="9.44"/>
    <n v="-1.89"/>
    <n v="0"/>
    <n v="0"/>
    <n v="0.42346872218882126"/>
    <n v="796.22960616590933"/>
    <n v="1600"/>
    <x v="252"/>
    <m/>
    <s v="2025 09"/>
    <n v="803.77039383409067"/>
    <n v="1.009470619542135"/>
  </r>
  <r>
    <s v="528314140"/>
    <s v="720000335875"/>
    <s v="iHerb_AV CYG0792"/>
    <s v="Доставлен"/>
    <d v="2024-08-21T00:00:00"/>
    <x v="26"/>
    <s v="Витамины"/>
    <s v="SMS-55697"/>
    <x v="140"/>
    <x v="505"/>
    <n v="12.6"/>
    <n v="-2.52"/>
    <n v="0"/>
    <n v="0"/>
    <n v="0.56537281055143296"/>
    <n v="1063.0456198877305"/>
    <n v="1800"/>
    <x v="666"/>
    <s v="&lt;Клиент не выбран&gt;"/>
    <s v="2024 11"/>
    <n v="736.95438011226952"/>
    <n v="0.69324812249365197"/>
  </r>
  <r>
    <s v="528314140"/>
    <s v="720000335875"/>
    <s v="iHerb_AV CYG0792"/>
    <s v="Доставлен"/>
    <d v="2024-08-21T00:00:00"/>
    <x v="26"/>
    <s v="Витамины"/>
    <s v="NTW-00763"/>
    <x v="278"/>
    <x v="1343"/>
    <n v="26.89"/>
    <n v="-5.38"/>
    <n v="0"/>
    <n v="0"/>
    <n v="1.2064651939445756"/>
    <n v="2268.4634210104255"/>
    <n v="3200"/>
    <x v="624"/>
    <s v="&lt;Клиент не выбран&gt;"/>
    <s v="2024 09"/>
    <n v="931.53657898957454"/>
    <n v="0.4106465065126097"/>
  </r>
  <r>
    <s v="528314140"/>
    <s v="720000335875"/>
    <s v="iHerb_AV CYG0792"/>
    <s v="Доставлен"/>
    <d v="2024-08-21T00:00:00"/>
    <x v="26"/>
    <s v="Витамины"/>
    <s v="NOW-01662"/>
    <x v="3"/>
    <x v="122"/>
    <n v="36.799999999999997"/>
    <n v="-7.36"/>
    <n v="0"/>
    <n v="0"/>
    <n v="1.651247573674026"/>
    <n v="3104.7681596721018"/>
    <n v="4500"/>
    <x v="706"/>
    <s v="&lt;Клиент не выбран&gt;"/>
    <s v="2025 03"/>
    <n v="1395.2318403278982"/>
    <n v="0.44938358311277266"/>
  </r>
  <r>
    <s v="528239718"/>
    <s v="722500245507"/>
    <s v="iHerb_MH DLE7202"/>
    <s v="Доставлен"/>
    <d v="2024-08-18T00:00:00"/>
    <x v="26"/>
    <s v="Витамины"/>
    <s v="SNS-01781"/>
    <x v="151"/>
    <x v="1344"/>
    <n v="27.73"/>
    <n v="-2.7749999999999999"/>
    <n v="-1.2211581833229876"/>
    <n v="-3.6688586738864673E-15"/>
    <n v="1.1436494939336856"/>
    <n v="2495.8567089971712"/>
    <n v="3100"/>
    <x v="473"/>
    <s v="&lt;Клиент не выбран&gt;"/>
    <s v="2024 09"/>
    <n v="604.14329100282885"/>
    <n v="0.24205848389652629"/>
  </r>
  <r>
    <s v="528239718"/>
    <s v="722500245507"/>
    <s v="iHerb_MH DLE7202"/>
    <s v="Доставлен"/>
    <d v="2024-08-18T00:00:00"/>
    <x v="26"/>
    <s v="Витамины"/>
    <s v="SNS-01781"/>
    <x v="151"/>
    <x v="1344"/>
    <n v="27.73"/>
    <n v="-2.7749999999999999"/>
    <n v="-1.2211581833229876"/>
    <n v="-3.6688586738864673E-15"/>
    <n v="1.1436494939336856"/>
    <n v="2495.8567089971712"/>
    <n v="3100"/>
    <x v="473"/>
    <s v="&lt;Клиент не выбран&gt;"/>
    <s v="2024 09"/>
    <n v="604.14329100282885"/>
    <n v="0.24205848389652629"/>
  </r>
  <r>
    <s v="528239718"/>
    <s v="722500245507"/>
    <s v="iHerb_MH DLE7202"/>
    <s v="Доставлен"/>
    <d v="2024-08-18T00:00:00"/>
    <x v="26"/>
    <s v="Витамины"/>
    <s v="NCS-67081"/>
    <x v="217"/>
    <x v="1345"/>
    <n v="23.57"/>
    <n v="-2.36"/>
    <n v="-1.0378988206083177"/>
    <n v="-3.1182725895865347E-15"/>
    <n v="0.9720218700193739"/>
    <n v="2121.303177632939"/>
    <n v="2900"/>
    <x v="473"/>
    <s v="&lt;Клиент не выбран&gt;"/>
    <s v="2024 09"/>
    <n v="778.69682236706103"/>
    <n v="0.3670841728696092"/>
  </r>
  <r>
    <s v="528239718"/>
    <s v="722500245507"/>
    <s v="iHerb_MH DLE7202"/>
    <s v="Доставлен"/>
    <d v="2024-08-18T00:00:00"/>
    <x v="26"/>
    <s v="Витамины"/>
    <s v="CEN-22675"/>
    <x v="2"/>
    <x v="2"/>
    <n v="11"/>
    <n v="-1.1000000000000001"/>
    <n v="-0.48445065176908747"/>
    <n v="-1.4554879131026257E-15"/>
    <n v="0.45370186295105142"/>
    <n v="990.14151148355006"/>
    <n v="1700"/>
    <x v="473"/>
    <s v="&lt;Клиент не выбран&gt;"/>
    <s v="2024 09"/>
    <n v="709.85848851644994"/>
    <n v="0.71692629819433984"/>
  </r>
  <r>
    <s v="528239718"/>
    <s v="722500245507"/>
    <s v="iHerb_MH DLE7202"/>
    <s v="Доставлен"/>
    <d v="2024-08-18T00:00:00"/>
    <x v="26"/>
    <s v="Витамины"/>
    <s v="CEN-22675"/>
    <x v="2"/>
    <x v="2"/>
    <n v="11"/>
    <n v="-1.1000000000000001"/>
    <n v="-0.48445065176908747"/>
    <n v="-1.4554879131026257E-15"/>
    <n v="0.45370186295105142"/>
    <n v="990.14151148355006"/>
    <n v="1700"/>
    <x v="473"/>
    <s v="&lt;Клиент не выбран&gt;"/>
    <s v="2024 09"/>
    <n v="709.85848851644994"/>
    <n v="0.71692629819433984"/>
  </r>
  <r>
    <s v="528239718"/>
    <s v="722500245507"/>
    <s v="iHerb_MH DLE7202"/>
    <s v="Доставлен"/>
    <d v="2024-08-18T00:00:00"/>
    <x v="26"/>
    <s v="Витамины"/>
    <s v="CEN-22673"/>
    <x v="2"/>
    <x v="3"/>
    <n v="11.04"/>
    <n v="-1.1000000000000001"/>
    <n v="-0.48640802813987166"/>
    <n v="-1.4613686723474848E-15"/>
    <n v="0.45553500179125761"/>
    <n v="994.1420832471199"/>
    <n v="1600"/>
    <x v="473"/>
    <s v="&lt;Клиент не выбран&gt;"/>
    <s v="2024 09"/>
    <n v="605.8579167528801"/>
    <n v="0.60942789462648506"/>
  </r>
  <r>
    <s v="528239718"/>
    <s v="722500245507"/>
    <s v="iHerb_MH DLE7202"/>
    <s v="Доставлен"/>
    <d v="2024-08-18T00:00:00"/>
    <x v="26"/>
    <s v="Витамины"/>
    <s v="CEN-27387"/>
    <x v="2"/>
    <x v="23"/>
    <n v="28.34"/>
    <n v="-2.83"/>
    <n v="-1.2483167804676181"/>
    <n v="-3.7504542084088866E-15"/>
    <n v="1.1690842953415477"/>
    <n v="2551.364642216703"/>
    <n v="3300"/>
    <x v="707"/>
    <s v="&lt;Клиент не выбран&gt;"/>
    <s v="2024 09"/>
    <n v="748.63535778329697"/>
    <n v="0.29342546549240406"/>
  </r>
  <r>
    <s v="528239718"/>
    <s v="722500245507"/>
    <s v="iHerb_MH DLE7202"/>
    <s v="Доставлен"/>
    <d v="2024-08-18T00:00:00"/>
    <x v="26"/>
    <s v="Витамины"/>
    <s v="CGN-01266"/>
    <x v="1"/>
    <x v="487"/>
    <n v="31.02"/>
    <n v="-9.3049999999999997"/>
    <n v="-1.062610697289468"/>
    <n v="-3.1925171750528807E-15"/>
    <n v="0.99516524787697791"/>
    <n v="2171.8103961480092"/>
    <n v="3400"/>
    <x v="549"/>
    <s v="&lt;Клиент не выбран&gt;"/>
    <s v="2024 11"/>
    <n v="1228.1896038519908"/>
    <n v="0.56551419314980089"/>
  </r>
  <r>
    <s v="528239718"/>
    <s v="722500245507"/>
    <s v="iHerb_MH DLE7202"/>
    <s v="Доставлен"/>
    <d v="2024-08-18T00:00:00"/>
    <x v="26"/>
    <s v="Витамины"/>
    <s v="CGN-01266"/>
    <x v="1"/>
    <x v="487"/>
    <n v="31.02"/>
    <n v="-9.3049999999999997"/>
    <n v="-1.062610697289468"/>
    <n v="-3.1925171750528807E-15"/>
    <n v="0.99516524787697791"/>
    <n v="2171.8103961480092"/>
    <n v="4000"/>
    <x v="708"/>
    <s v="&lt;Клиент не выбран&gt;"/>
    <s v="2025 01"/>
    <n v="1828.1896038519908"/>
    <n v="0.84178140370564802"/>
  </r>
  <r>
    <s v="528239718"/>
    <s v="722500245507"/>
    <s v="iHerb_MH DLE7202"/>
    <s v="Доставлен"/>
    <d v="2024-08-18T00:00:00"/>
    <x v="26"/>
    <s v="Витамины"/>
    <s v="CGN-00956"/>
    <x v="1"/>
    <x v="305"/>
    <n v="16.8"/>
    <n v="-5.04"/>
    <n v="-0.5754686530105525"/>
    <n v="-1.7289432179885738E-15"/>
    <n v="0.538942819020643"/>
    <n v="1176.1680984895506"/>
    <n v="2400"/>
    <x v="709"/>
    <s v="&lt;Клиент не выбран&gt;"/>
    <s v="2025 04"/>
    <n v="1223.8319015104494"/>
    <n v="1.0405246521157214"/>
  </r>
  <r>
    <s v="528239718"/>
    <s v="722500245507"/>
    <s v="iHerb_MH DLE7202"/>
    <s v="Доставлен"/>
    <d v="2024-08-18T00:00:00"/>
    <x v="26"/>
    <s v="Витамины"/>
    <s v="CGN-00956"/>
    <x v="1"/>
    <x v="305"/>
    <n v="16.8"/>
    <n v="-5.04"/>
    <n v="-0.5754686530105525"/>
    <n v="-1.7289432179885738E-15"/>
    <n v="0.538942819020643"/>
    <n v="1176.1680984895506"/>
    <n v="2500"/>
    <x v="677"/>
    <s v="&lt;Клиент не выбран&gt;"/>
    <s v="2025 04"/>
    <n v="1323.8319015104494"/>
    <n v="1.1255465126205433"/>
  </r>
  <r>
    <s v="527973340"/>
    <s v="720000322434"/>
    <s v="iHerb_OA CZN6870"/>
    <s v="Доставлен"/>
    <d v="2024-08-07T00:00:00"/>
    <x v="26"/>
    <s v="Витамины"/>
    <s v="NOW-03349"/>
    <x v="3"/>
    <x v="1346"/>
    <n v="58.94"/>
    <n v="-5.89"/>
    <n v="-4.2546793018524474"/>
    <n v="1.6144894370734905E-14"/>
    <n v="2.5633091274042705"/>
    <n v="5058.1613814826733"/>
    <n v="6200"/>
    <x v="473"/>
    <s v="&lt;Клиент не выбран&gt;"/>
    <s v="2024 09"/>
    <n v="1141.8386185173267"/>
    <n v="0.22574183233802345"/>
  </r>
  <r>
    <s v="527973340"/>
    <s v="720000322434"/>
    <s v="iHerb_OA CZN6870"/>
    <s v="Доставлен"/>
    <d v="2024-08-07T00:00:00"/>
    <x v="26"/>
    <s v="Витамины"/>
    <s v="CGN-01033"/>
    <x v="1"/>
    <x v="1"/>
    <n v="21.04"/>
    <n v="-6.31"/>
    <n v="-1.1813652425313206"/>
    <n v="4.4828330646734248E-15"/>
    <n v="0.71173503198237353"/>
    <n v="1404.4621517293083"/>
    <n v="2200"/>
    <x v="669"/>
    <s v="&lt;Клиент не выбран&gt;"/>
    <s v="2024 09"/>
    <n v="795.53784827069171"/>
    <n v="0.56643594652312224"/>
  </r>
  <r>
    <s v="527973340"/>
    <s v="720000322434"/>
    <s v="iHerb_OA CZN6870"/>
    <s v="Доставлен"/>
    <d v="2024-08-07T00:00:00"/>
    <x v="26"/>
    <s v="Витамины"/>
    <s v="CGN-01033"/>
    <x v="1"/>
    <x v="1"/>
    <n v="21.04"/>
    <n v="-6.31"/>
    <n v="-1.1813652425313206"/>
    <n v="4.4828330646734248E-15"/>
    <n v="0.71173503198237353"/>
    <n v="1404.4621517293083"/>
    <n v="2300"/>
    <x v="700"/>
    <s v="&lt;Клиент не выбран&gt;"/>
    <s v="2024 09"/>
    <n v="895.53784827069171"/>
    <n v="0.6376375804559915"/>
  </r>
  <r>
    <s v="527973340"/>
    <s v="720000322434"/>
    <s v="iHerb_OA CZN6870"/>
    <s v="Доставлен"/>
    <d v="2024-08-07T00:00:00"/>
    <x v="26"/>
    <s v="Витамины"/>
    <s v="SWV-02315"/>
    <x v="89"/>
    <x v="1347"/>
    <n v="12.61"/>
    <n v="-1.26"/>
    <n v="-0.91028482706927949"/>
    <n v="3.4541856947755168E-15"/>
    <n v="0.54841769266802021"/>
    <n v="1082.1890985830037"/>
    <n v="1700"/>
    <x v="473"/>
    <s v="&lt;Клиент не выбран&gt;"/>
    <s v="2024 09"/>
    <n v="617.81090141699633"/>
    <n v="0.57088996943874715"/>
  </r>
  <r>
    <s v="527973340"/>
    <s v="720000322434"/>
    <s v="iHerb_OA CZN6870"/>
    <s v="Доставлен"/>
    <d v="2024-08-07T00:00:00"/>
    <x v="26"/>
    <s v="Витамины"/>
    <s v="CEN-21434"/>
    <x v="2"/>
    <x v="110"/>
    <n v="8.06"/>
    <n v="-0.80666666666666664"/>
    <n v="-0.58172680872327531"/>
    <n v="2.2074326202148388E-15"/>
    <n v="0.35047192342015038"/>
    <n v="691.58398781692119"/>
    <n v="1300"/>
    <x v="211"/>
    <s v="&lt;Клиент не выбран&gt;"/>
    <s v="2024 09"/>
    <n v="608.41601218307881"/>
    <n v="0.87974276863122092"/>
  </r>
  <r>
    <s v="527973340"/>
    <s v="720000322434"/>
    <s v="iHerb_OA CZN6870"/>
    <s v="Доставлен"/>
    <d v="2024-08-07T00:00:00"/>
    <x v="26"/>
    <s v="Витамины"/>
    <s v="CEN-21434"/>
    <x v="2"/>
    <x v="110"/>
    <n v="8.06"/>
    <n v="-0.80666666666666664"/>
    <n v="-0.58172680872327531"/>
    <n v="2.2074326202148388E-15"/>
    <n v="0.35047192342015038"/>
    <n v="691.58398781692119"/>
    <n v="1300"/>
    <x v="211"/>
    <s v="&lt;Клиент не выбран&gt;"/>
    <s v="2024 09"/>
    <n v="608.41601218307881"/>
    <n v="0.87974276863122092"/>
  </r>
  <r>
    <s v="527973340"/>
    <s v="720000322434"/>
    <s v="iHerb_OA CZN6870"/>
    <s v="Доставлен"/>
    <d v="2024-08-07T00:00:00"/>
    <x v="26"/>
    <s v="Витамины"/>
    <s v="CEN-21434"/>
    <x v="2"/>
    <x v="110"/>
    <n v="8.06"/>
    <n v="-0.80666666666666664"/>
    <n v="-0.58172680872327531"/>
    <n v="2.2074326202148388E-15"/>
    <n v="0.35047192342015038"/>
    <n v="691.58398781692119"/>
    <n v="1300"/>
    <x v="211"/>
    <s v="&lt;Клиент не выбран&gt;"/>
    <s v="2024 09"/>
    <n v="608.41601218307881"/>
    <n v="0.87974276863122092"/>
  </r>
  <r>
    <s v="527973340"/>
    <s v="720000322434"/>
    <s v="iHerb_OA CZN6870"/>
    <s v="Доставлен"/>
    <d v="2024-08-07T00:00:00"/>
    <x v="26"/>
    <s v="Витамины"/>
    <s v="CGN-01170"/>
    <x v="1"/>
    <x v="1348"/>
    <n v="9.68"/>
    <n v="-2.9"/>
    <n v="-0.54376485705107613"/>
    <n v="2.0633814106236124E-15"/>
    <n v="0.32760105341754864"/>
    <n v="646.45304743548593"/>
    <n v="1400"/>
    <x v="211"/>
    <s v="&lt;Клиент не выбран&gt;"/>
    <s v="2024 09"/>
    <n v="753.54695256451407"/>
    <n v="1.1656638568785087"/>
  </r>
  <r>
    <s v="527973340"/>
    <s v="720000322434"/>
    <s v="iHerb_OA CZN6870"/>
    <s v="Доставлен"/>
    <d v="2024-08-07T00:00:00"/>
    <x v="26"/>
    <s v="Витамины"/>
    <s v="NOW-01289"/>
    <x v="3"/>
    <x v="214"/>
    <n v="24.66"/>
    <n v="-4.93"/>
    <n v="-1.5823717742799017"/>
    <n v="6.0045007716229917E-15"/>
    <n v="0.95332872919295508"/>
    <n v="1881.1974374486931"/>
    <n v="3000"/>
    <x v="683"/>
    <s v="&lt;Клиент не выбран&gt;"/>
    <s v="2024 10"/>
    <n v="1118.8025625513069"/>
    <n v="0.59472894247009123"/>
  </r>
  <r>
    <s v="527973340"/>
    <s v="720000322434"/>
    <s v="iHerb_OA CZN6870"/>
    <s v="Доставлен"/>
    <d v="2024-08-07T00:00:00"/>
    <x v="26"/>
    <s v="Витамины"/>
    <s v="SNS-00803"/>
    <x v="151"/>
    <x v="868"/>
    <n v="17.21"/>
    <n v="-3.44"/>
    <n v="-1.1043719884355929"/>
    <n v="4.190672864939108E-15"/>
    <n v="0.66534904211794166"/>
    <n v="1312.9289768711863"/>
    <n v="2500"/>
    <x v="441"/>
    <s v="&lt;Клиент не выбран&gt;"/>
    <s v="2024 11"/>
    <n v="1187.0710231288137"/>
    <n v="0.90413955670145851"/>
  </r>
  <r>
    <s v="527973340"/>
    <s v="720000322434"/>
    <s v="iHerb_OA CZN6870"/>
    <s v="Доставлен"/>
    <d v="2024-08-07T00:00:00"/>
    <x v="26"/>
    <s v="Витамины"/>
    <s v="NOW-01552"/>
    <x v="3"/>
    <x v="514"/>
    <n v="13.57"/>
    <n v="-2.71"/>
    <n v="-0.87098618695791841"/>
    <n v="3.3050622594944594E-15"/>
    <n v="0.52474151034138328"/>
    <n v="1035.4690405825042"/>
    <n v="2000"/>
    <x v="710"/>
    <s v="&lt;Клиент не выбран&gt;"/>
    <s v="2025 01"/>
    <n v="964.53095941749575"/>
    <n v="0.93149183762645171"/>
  </r>
  <r>
    <s v="527973340"/>
    <s v="720000322434"/>
    <s v="iHerb_OA CZN6870"/>
    <s v="Доставлен"/>
    <d v="2024-08-07T00:00:00"/>
    <x v="26"/>
    <s v="Витамины"/>
    <s v="MRM-71301"/>
    <x v="37"/>
    <x v="116"/>
    <n v="6.47"/>
    <n v="-1.29"/>
    <n v="-0.4154427668915302"/>
    <n v="1.5764477443997512E-15"/>
    <n v="0.25029107031016251"/>
    <n v="493.89775600528282"/>
    <n v="1100"/>
    <x v="470"/>
    <s v="&lt;Клиент не выбран&gt;"/>
    <s v="2024 09"/>
    <n v="606.10224399471713"/>
    <n v="1.2271816112244782"/>
  </r>
  <r>
    <s v="527973340"/>
    <s v="720000322434"/>
    <s v="iHerb_OA CZN6870"/>
    <s v="Доставлен"/>
    <d v="2024-08-07T00:00:00"/>
    <x v="26"/>
    <s v="Витамины"/>
    <s v="IDE-02281"/>
    <x v="111"/>
    <x v="1349"/>
    <n v="24.73"/>
    <n v="-9.89"/>
    <n v="-1.1901873862297891"/>
    <n v="4.5163097542263147E-15"/>
    <n v="0.71705009332100611"/>
    <n v="1414.9503280151346"/>
    <m/>
    <x v="20"/>
    <m/>
    <s v=""/>
    <n v="-1414.9503280151346"/>
    <s v=""/>
  </r>
  <r>
    <s v="528212704"/>
    <s v="720000332521"/>
    <s v="iHerb_VP DFD1605"/>
    <s v="Доставлен"/>
    <d v="2024-08-17T00:00:00"/>
    <x v="26"/>
    <s v="Витамины"/>
    <s v="NOW-03802"/>
    <x v="3"/>
    <x v="1225"/>
    <n v="23.08"/>
    <n v="-2.31"/>
    <n v="-2.5244070710869915"/>
    <n v="0"/>
    <n v="0.98103522220570905"/>
    <n v="1944.063890351584"/>
    <n v="2600"/>
    <x v="473"/>
    <s v="&lt;Клиент не выбран&gt;"/>
    <s v="2024 09"/>
    <n v="655.93610964841605"/>
    <n v="0.33740460532384559"/>
  </r>
  <r>
    <s v="528212704"/>
    <s v="720000332521"/>
    <s v="iHerb_VP DFD1605"/>
    <s v="Доставлен"/>
    <d v="2024-08-17T00:00:00"/>
    <x v="26"/>
    <s v="Витамины"/>
    <s v="NOW-02314"/>
    <x v="3"/>
    <x v="1017"/>
    <n v="24.11"/>
    <n v="-2.41"/>
    <n v="-2.6374402235237224"/>
    <n v="0"/>
    <n v="1.0249621724537259"/>
    <n v="2031.1115272329982"/>
    <n v="2800"/>
    <x v="463"/>
    <s v="&lt;Клиент не выбран&gt;"/>
    <s v="2024 09"/>
    <n v="768.88847276700176"/>
    <n v="0.37855551625688694"/>
  </r>
  <r>
    <s v="528212704"/>
    <s v="720000332521"/>
    <s v="iHerb_VP DFD1605"/>
    <s v="Доставлен"/>
    <d v="2024-08-17T00:00:00"/>
    <x v="26"/>
    <s v="Витамины"/>
    <s v="LEX-30210"/>
    <x v="7"/>
    <x v="749"/>
    <n v="17.09"/>
    <n v="-1.71"/>
    <n v="-1.8693009510504539"/>
    <n v="0"/>
    <n v="0.7264478438865577"/>
    <n v="1439.5619948775811"/>
    <n v="2200"/>
    <x v="463"/>
    <s v="&lt;Клиент не выбран&gt;"/>
    <s v="2024 09"/>
    <n v="760.43800512241887"/>
    <n v="0.52824262367879871"/>
  </r>
  <r>
    <s v="528212704"/>
    <s v="720000332521"/>
    <s v="iHerb_VP DFD1605"/>
    <s v="Доставлен"/>
    <d v="2024-08-17T00:00:00"/>
    <x v="26"/>
    <s v="Витамины"/>
    <s v="LEX-33510"/>
    <x v="7"/>
    <x v="750"/>
    <n v="10.35"/>
    <n v="-1.04"/>
    <n v="-1.1315469346085647"/>
    <n v="0"/>
    <n v="0.439741835278534"/>
    <n v="871.41236490964104"/>
    <n v="1600"/>
    <x v="463"/>
    <s v="&lt;Клиент не выбран&gt;"/>
    <s v="2024 09"/>
    <n v="728.58763509035896"/>
    <n v="0.83609972090068752"/>
  </r>
  <r>
    <s v="528212704"/>
    <s v="720000332521"/>
    <s v="iHerb_VP DFD1605"/>
    <s v="Доставлен"/>
    <d v="2024-08-17T00:00:00"/>
    <x v="26"/>
    <s v="Витамины"/>
    <s v="NOW-03170"/>
    <x v="3"/>
    <x v="306"/>
    <n v="19.78"/>
    <n v="-1.9766666666666666"/>
    <n v="-2.1638353661812908"/>
    <n v="0"/>
    <n v="0.84090982535719672"/>
    <n v="1666.3850486868578"/>
    <n v="2400"/>
    <x v="625"/>
    <s v="&lt;Клиент не выбран&gt;"/>
    <s v="2024 09"/>
    <n v="733.61495131314223"/>
    <n v="0.44024335905512618"/>
  </r>
  <r>
    <s v="528212704"/>
    <s v="720000332521"/>
    <s v="iHerb_VP DFD1605"/>
    <s v="Доставлен"/>
    <d v="2024-08-17T00:00:00"/>
    <x v="26"/>
    <s v="Витамины"/>
    <s v="NOW-03170"/>
    <x v="3"/>
    <x v="306"/>
    <n v="19.78"/>
    <n v="-1.9766666666666666"/>
    <n v="-2.1638353661812908"/>
    <n v="0"/>
    <n v="0.84090982535719672"/>
    <n v="1666.3850486868578"/>
    <n v="2400"/>
    <x v="607"/>
    <s v="&lt;Клиент не выбран&gt;"/>
    <s v="2024 10"/>
    <n v="733.61495131314223"/>
    <n v="0.44024335905512618"/>
  </r>
  <r>
    <s v="528212704"/>
    <s v="720000332521"/>
    <s v="iHerb_VP DFD1605"/>
    <s v="Доставлен"/>
    <d v="2024-08-17T00:00:00"/>
    <x v="26"/>
    <s v="Витамины"/>
    <s v="NOW-03170"/>
    <x v="3"/>
    <x v="306"/>
    <n v="19.78"/>
    <n v="-1.9766666666666666"/>
    <n v="-2.1638353661812908"/>
    <n v="0"/>
    <n v="0.84090982535719672"/>
    <n v="1666.3850486868578"/>
    <n v="2700"/>
    <x v="711"/>
    <s v="&lt;Клиент не выбран&gt;"/>
    <s v="2025 01"/>
    <n v="1033.6149513131422"/>
    <n v="0.62027377893701696"/>
  </r>
  <r>
    <s v="528212704"/>
    <s v="720000332521"/>
    <s v="iHerb_VP DFD1605"/>
    <s v="Доставлен"/>
    <d v="2024-08-17T00:00:00"/>
    <x v="26"/>
    <s v="Витамины"/>
    <s v="NBC-00500"/>
    <x v="8"/>
    <x v="1350"/>
    <n v="12.55"/>
    <n v="-3.19"/>
    <n v="-1.1376239858148409"/>
    <n v="0"/>
    <n v="0.44210349927036297"/>
    <n v="876.09234538713667"/>
    <n v="1700"/>
    <x v="473"/>
    <s v="&lt;Клиент не выбран&gt;"/>
    <s v="2024 09"/>
    <n v="823.90765461286333"/>
    <n v="0.94043471438936788"/>
  </r>
  <r>
    <s v="528212704"/>
    <s v="720000332521"/>
    <s v="iHerb_VP DFD1605"/>
    <s v="Доставлен"/>
    <d v="2024-08-17T00:00:00"/>
    <x v="26"/>
    <s v="Витамины"/>
    <s v="HAV-75046"/>
    <x v="116"/>
    <x v="1351"/>
    <n v="21.68"/>
    <n v="-8.49"/>
    <n v="-1.6031261082155712"/>
    <n v="0"/>
    <n v="0.62300696104445363"/>
    <n v="1234.5788499632831"/>
    <m/>
    <x v="20"/>
    <m/>
    <s v=""/>
    <n v="-1234.5788499632831"/>
    <s v=""/>
  </r>
  <r>
    <s v="528212704"/>
    <s v="720000332521"/>
    <s v="iHerb_VP DFD1605"/>
    <s v="Доставлен"/>
    <d v="2024-08-17T00:00:00"/>
    <x v="26"/>
    <s v="Витамины"/>
    <s v="CGN-01033"/>
    <x v="1"/>
    <x v="1"/>
    <n v="21.04"/>
    <n v="-6.31"/>
    <n v="-1.790299285368868"/>
    <n v="0"/>
    <n v="0.69574621199278275"/>
    <n v="1378.7222486701412"/>
    <n v="2200"/>
    <x v="600"/>
    <s v="&lt;Клиент не выбран&gt;"/>
    <s v="2024 10"/>
    <n v="821.2777513298588"/>
    <n v="0.59568034977460438"/>
  </r>
  <r>
    <s v="528212704"/>
    <s v="720000332521"/>
    <s v="iHerb_VP DFD1605"/>
    <s v="Доставлен"/>
    <d v="2024-08-17T00:00:00"/>
    <x v="26"/>
    <s v="Витамины"/>
    <s v="CGN-01033"/>
    <x v="1"/>
    <x v="1"/>
    <n v="21.04"/>
    <n v="-6.31"/>
    <n v="-1.790299285368868"/>
    <n v="0"/>
    <n v="0.69574621199278275"/>
    <n v="1378.7222486701412"/>
    <n v="2200"/>
    <x v="600"/>
    <s v="&lt;Клиент не выбран&gt;"/>
    <s v="2024 10"/>
    <n v="821.2777513298588"/>
    <n v="0.59568034977460438"/>
  </r>
  <r>
    <s v="528212704"/>
    <s v="720000332521"/>
    <s v="iHerb_VP DFD1605"/>
    <s v="Доставлен"/>
    <d v="2024-08-17T00:00:00"/>
    <x v="26"/>
    <s v="Витамины"/>
    <s v="NOW-00892"/>
    <x v="3"/>
    <x v="1293"/>
    <n v="15.03"/>
    <n v="-1.5"/>
    <n v="-1.6444500564182474"/>
    <n v="0"/>
    <n v="0.63906627618889"/>
    <n v="1266.4027172102519"/>
    <n v="1900"/>
    <x v="470"/>
    <s v="&lt;Клиент не выбран&gt;"/>
    <s v="2024 09"/>
    <n v="633.59728278974808"/>
    <n v="0.50031263687233263"/>
  </r>
  <r>
    <s v="WB0189"/>
    <n v="0"/>
    <s v="WBRS"/>
    <s v="Доставлен"/>
    <d v="2024-08-23T00:00:00"/>
    <x v="26"/>
    <s v="Витамины"/>
    <s v="180830573"/>
    <x v="85"/>
    <x v="1352"/>
    <n v="1400"/>
    <n v="0"/>
    <n v="0"/>
    <n v="0"/>
    <n v="0"/>
    <n v="1400"/>
    <n v="2200"/>
    <x v="515"/>
    <s v="&lt;Клиент не выбран&gt;"/>
    <s v="2024 08"/>
    <n v="800"/>
    <n v="0.5714285714285714"/>
  </r>
  <r>
    <s v="WB0189"/>
    <n v="0"/>
    <s v="WBRS"/>
    <s v="Доставлен"/>
    <d v="2024-08-23T00:00:00"/>
    <x v="26"/>
    <s v="Витамины"/>
    <s v="180830573"/>
    <x v="85"/>
    <x v="1352"/>
    <n v="1400"/>
    <n v="0"/>
    <n v="0"/>
    <n v="0"/>
    <n v="0"/>
    <n v="1400"/>
    <n v="2200"/>
    <x v="515"/>
    <s v="&lt;Клиент не выбран&gt;"/>
    <s v="2024 08"/>
    <n v="800"/>
    <n v="0.5714285714285714"/>
  </r>
  <r>
    <s v="WB0189"/>
    <n v="0"/>
    <s v="WBRS"/>
    <s v="Доставлен"/>
    <d v="2024-08-23T00:00:00"/>
    <x v="26"/>
    <s v="Витамины"/>
    <s v="180830573"/>
    <x v="85"/>
    <x v="1352"/>
    <n v="1400"/>
    <n v="0"/>
    <n v="0"/>
    <n v="0"/>
    <n v="0"/>
    <n v="1400"/>
    <n v="2200"/>
    <x v="515"/>
    <s v="&lt;Клиент не выбран&gt;"/>
    <s v="2024 08"/>
    <n v="800"/>
    <n v="0.5714285714285714"/>
  </r>
  <r>
    <s v="WB0189"/>
    <n v="0"/>
    <s v="WBRS"/>
    <s v="Доставлен"/>
    <d v="2024-08-23T00:00:00"/>
    <x v="26"/>
    <s v="Витамины"/>
    <s v="000000196"/>
    <x v="85"/>
    <x v="637"/>
    <n v="2345"/>
    <n v="0"/>
    <n v="0"/>
    <n v="0"/>
    <n v="0"/>
    <n v="2345"/>
    <n v="3300"/>
    <x v="515"/>
    <s v="&lt;Клиент не выбран&gt;"/>
    <s v="2024 08"/>
    <n v="955"/>
    <n v="0.40724946695095948"/>
  </r>
  <r>
    <s v="WB0189"/>
    <n v="0"/>
    <s v="WBRS"/>
    <s v="Доставлен"/>
    <d v="2024-08-23T00:00:00"/>
    <x v="26"/>
    <s v="Спортпит"/>
    <s v="892721541"/>
    <x v="162"/>
    <x v="618"/>
    <n v="781"/>
    <n v="0"/>
    <n v="0"/>
    <n v="0"/>
    <n v="0"/>
    <n v="781"/>
    <n v="2000"/>
    <x v="515"/>
    <s v="&lt;Клиент не выбран&gt;"/>
    <s v="2024 08"/>
    <n v="1219"/>
    <n v="1.560819462227913"/>
  </r>
  <r>
    <s v="WB0190"/>
    <n v="0"/>
    <s v="WBRS"/>
    <s v="Доставлен"/>
    <d v="2024-08-30T00:00:00"/>
    <x v="26"/>
    <s v="Спортпит"/>
    <s v="892721541"/>
    <x v="162"/>
    <x v="618"/>
    <n v="781"/>
    <n v="0"/>
    <n v="0"/>
    <n v="0"/>
    <n v="0"/>
    <n v="781"/>
    <n v="2000"/>
    <x v="669"/>
    <s v="&lt;Клиент не выбран&gt;"/>
    <s v="2024 09"/>
    <n v="1219"/>
    <n v="1.560819462227913"/>
  </r>
  <r>
    <s v="WB0190"/>
    <n v="0"/>
    <s v="WBRS"/>
    <s v="Доставлен"/>
    <d v="2024-08-30T00:00:00"/>
    <x v="26"/>
    <s v="Витамины"/>
    <s v="000000264"/>
    <x v="85"/>
    <x v="1353"/>
    <n v="2093"/>
    <n v="0"/>
    <n v="0"/>
    <n v="0"/>
    <n v="0"/>
    <n v="2093"/>
    <n v="3500"/>
    <x v="26"/>
    <s v="&lt;Клиент не выбран&gt;"/>
    <s v="2024 08"/>
    <n v="1407"/>
    <n v="0.67224080267558528"/>
  </r>
  <r>
    <s v="WB0190"/>
    <n v="0"/>
    <s v="WBRS"/>
    <s v="Доставлен"/>
    <d v="2024-08-30T00:00:00"/>
    <x v="26"/>
    <s v="Витамины"/>
    <s v="000000264"/>
    <x v="85"/>
    <x v="1353"/>
    <n v="2093"/>
    <n v="0"/>
    <n v="0"/>
    <n v="0"/>
    <n v="0"/>
    <n v="2093"/>
    <n v="3000"/>
    <x v="473"/>
    <s v="&lt;Клиент не выбран&gt;"/>
    <s v="2024 09"/>
    <n v="907"/>
    <n v="0.43334925943621594"/>
  </r>
  <r>
    <s v="WB0190"/>
    <n v="0"/>
    <s v="WBRS"/>
    <s v="Доставлен"/>
    <d v="2024-08-30T00:00:00"/>
    <x v="26"/>
    <s v="Витамины"/>
    <s v="NOW-00825"/>
    <x v="3"/>
    <x v="1354"/>
    <n v="1211"/>
    <n v="0"/>
    <n v="0"/>
    <n v="0"/>
    <n v="0"/>
    <n v="1211"/>
    <n v="1600"/>
    <x v="517"/>
    <s v="&lt;Клиент не выбран&gt;"/>
    <s v="2024 09"/>
    <n v="389"/>
    <n v="0.32122213047068537"/>
  </r>
  <r>
    <s v="528376477"/>
    <s v="720000339938"/>
    <s v="iHerb_VP DFD1605"/>
    <s v="Доставлен"/>
    <d v="2024-08-24T00:00:00"/>
    <x v="26"/>
    <s v="Витамины"/>
    <s v="CEN-27383"/>
    <x v="2"/>
    <x v="512"/>
    <n v="11.6"/>
    <n v="-2.3199999999999998"/>
    <n v="-0.28999999999999998"/>
    <n v="-1.4797658410802803E-15"/>
    <n v="0.54036836486741313"/>
    <n v="962.02354278874895"/>
    <n v="1700"/>
    <x v="624"/>
    <s v="&lt;Клиент не выбран&gt;"/>
    <s v="2024 09"/>
    <n v="737.97645721125105"/>
    <n v="0.76710852114073835"/>
  </r>
  <r>
    <s v="528376477"/>
    <s v="720000339938"/>
    <s v="iHerb_VP DFD1605"/>
    <s v="Доставлен"/>
    <d v="2024-08-24T00:00:00"/>
    <x v="26"/>
    <s v="Витамины"/>
    <s v="NOW-03876"/>
    <x v="3"/>
    <x v="468"/>
    <n v="36.130000000000003"/>
    <n v="-7.23"/>
    <n v="-0.90312500000000007"/>
    <n v="-4.6083225007780285E-15"/>
    <n v="1.6828282052444223"/>
    <n v="2995.956938210652"/>
    <n v="4100"/>
    <x v="712"/>
    <s v="&lt;Клиент не выбран&gt;"/>
    <s v="2024 10"/>
    <n v="1104.043061789348"/>
    <n v="0.36851099149934458"/>
  </r>
  <r>
    <s v="528376477"/>
    <s v="720000339938"/>
    <s v="iHerb_VP DFD1605"/>
    <s v="Доставлен"/>
    <d v="2024-08-24T00:00:00"/>
    <x v="26"/>
    <s v="Витамины"/>
    <s v="CGN-01034"/>
    <x v="1"/>
    <x v="84"/>
    <n v="5.94"/>
    <n v="-1.19"/>
    <n v="-0.1484375"/>
    <n v="-7.5742324839777281E-16"/>
    <n v="0.27658941089657463"/>
    <n v="492.41506769898251"/>
    <n v="1000"/>
    <x v="600"/>
    <s v="&lt;Клиент не выбран&gt;"/>
    <s v="2024 10"/>
    <n v="507.58493230101749"/>
    <n v="1.0308070682583346"/>
  </r>
  <r>
    <s v="528376477"/>
    <s v="720000339938"/>
    <s v="iHerb_VP DFD1605"/>
    <s v="Доставлен"/>
    <d v="2024-08-24T00:00:00"/>
    <x v="26"/>
    <s v="Витамины"/>
    <s v="CGN-01034"/>
    <x v="1"/>
    <x v="84"/>
    <n v="5.94"/>
    <n v="-1.19"/>
    <n v="-0.1484375"/>
    <n v="-7.5742324839777281E-16"/>
    <n v="0.27658941089657463"/>
    <n v="492.41506769898251"/>
    <n v="1000"/>
    <x v="600"/>
    <s v="&lt;Клиент не выбран&gt;"/>
    <s v="2024 10"/>
    <n v="507.58493230101749"/>
    <n v="1.0308070682583346"/>
  </r>
  <r>
    <s v="528376477"/>
    <s v="720000339938"/>
    <s v="iHerb_VP DFD1605"/>
    <s v="Доставлен"/>
    <d v="2024-08-24T00:00:00"/>
    <x v="26"/>
    <s v="Витамины"/>
    <s v="NOW-00894"/>
    <x v="3"/>
    <x v="1355"/>
    <n v="33.1"/>
    <n v="-6.62"/>
    <n v="-0.82750000000000001"/>
    <n v="-4.2224352879101103E-15"/>
    <n v="1.5419131790613256"/>
    <n v="2745.084419509275"/>
    <n v="3900"/>
    <x v="712"/>
    <s v="&lt;Клиент не выбран&gt;"/>
    <s v="2024 10"/>
    <n v="1154.915580490725"/>
    <n v="0.42072133457272087"/>
  </r>
  <r>
    <s v="528376477"/>
    <s v="720000339938"/>
    <s v="iHerb_VP DFD1605"/>
    <s v="Доставлен"/>
    <d v="2024-08-24T00:00:00"/>
    <x v="26"/>
    <s v="Витамины"/>
    <s v="NOW-00894"/>
    <x v="3"/>
    <x v="1355"/>
    <n v="33.1"/>
    <n v="-6.62"/>
    <n v="-0.82750000000000001"/>
    <n v="-4.2224352879101103E-15"/>
    <n v="1.5419131790613256"/>
    <n v="2745.084419509275"/>
    <n v="3900"/>
    <x v="712"/>
    <s v="&lt;Клиент не выбран&gt;"/>
    <s v="2024 10"/>
    <n v="1154.915580490725"/>
    <n v="0.42072133457272087"/>
  </r>
  <r>
    <s v="528376477"/>
    <s v="720000339938"/>
    <s v="iHerb_VP DFD1605"/>
    <s v="Доставлен"/>
    <d v="2024-08-24T00:00:00"/>
    <x v="26"/>
    <s v="Витамины"/>
    <s v="CLF-07210"/>
    <x v="72"/>
    <x v="202"/>
    <n v="19.21"/>
    <n v="-3.84"/>
    <n v="-0.48031250000000009"/>
    <n v="-2.4508621742892144E-15"/>
    <n v="0.89498510431165301"/>
    <n v="1593.3514927438655"/>
    <n v="2400"/>
    <x v="712"/>
    <s v="&lt;Клиент не выбран&gt;"/>
    <s v="2024 10"/>
    <n v="806.64850725613451"/>
    <n v="0.50625898361385913"/>
  </r>
  <r>
    <s v="528376477"/>
    <s v="720000339938"/>
    <s v="iHerb_VP DFD1605"/>
    <s v="Доставлен"/>
    <d v="2024-08-24T00:00:00"/>
    <x v="26"/>
    <s v="Витамины"/>
    <s v="BOI-05409"/>
    <x v="26"/>
    <x v="1356"/>
    <n v="16.02"/>
    <n v="-3.2"/>
    <n v="-0.40062500000000001"/>
    <n v="-2.0442454830440944E-15"/>
    <n v="0.7465002626724393"/>
    <n v="1329.0023511370434"/>
    <n v="2100"/>
    <x v="600"/>
    <s v="&lt;Клиент не выбран&gt;"/>
    <s v="2024 10"/>
    <n v="770.99764886295657"/>
    <n v="0.58013264476418758"/>
  </r>
  <r>
    <s v="528376477"/>
    <s v="720000339938"/>
    <s v="iHerb_VP DFD1605"/>
    <s v="Доставлен"/>
    <d v="2024-08-24T00:00:00"/>
    <x v="26"/>
    <s v="Витамины"/>
    <s v="CAR-01676"/>
    <x v="154"/>
    <x v="1324"/>
    <n v="61.76"/>
    <n v="-12.35"/>
    <n v="-1.5440625000000001"/>
    <n v="-7.878796358596622E-15"/>
    <n v="2.877112166821"/>
    <n v="5122.1533673698359"/>
    <n v="6500"/>
    <x v="712"/>
    <s v="&lt;Клиент не выбран&gt;"/>
    <s v="2024 10"/>
    <n v="1377.8466326301641"/>
    <n v="0.26899753556923889"/>
  </r>
  <r>
    <s v="528425423"/>
    <s v="720000342714"/>
    <s v="iHerb_AV CYG0792"/>
    <s v="Доставлен"/>
    <d v="2024-08-26T00:00:00"/>
    <x v="26"/>
    <s v="Витамины"/>
    <s v="CEN-27285"/>
    <x v="2"/>
    <x v="543"/>
    <n v="9.15"/>
    <n v="-1.83"/>
    <n v="-0.59461499916485738"/>
    <n v="2.3166517791944479E-15"/>
    <n v="0.42082929300025274"/>
    <n v="725.05970046211291"/>
    <n v="1400"/>
    <x v="624"/>
    <s v="&lt;Клиент не выбран&gt;"/>
    <s v="2024 09"/>
    <n v="674.94029953788709"/>
    <n v="0.93087548391907249"/>
  </r>
  <r>
    <s v="528425423"/>
    <s v="720000342714"/>
    <s v="iHerb_AV CYG0792"/>
    <s v="Доставлен"/>
    <d v="2024-08-26T00:00:00"/>
    <x v="26"/>
    <s v="Витамины"/>
    <s v="HRM-50004"/>
    <x v="195"/>
    <x v="798"/>
    <n v="16.329999999999998"/>
    <n v="-3.27"/>
    <n v="-1.0608841378542397"/>
    <n v="4.1332612344644102E-15"/>
    <n v="0.75082384789389345"/>
    <n v="1293.6174437206548"/>
    <n v="1900"/>
    <x v="419"/>
    <s v="&lt;Клиент не выбран&gt;"/>
    <s v="2024 10"/>
    <n v="606.38255627934518"/>
    <n v="0.46874952036460643"/>
  </r>
  <r>
    <s v="528425423"/>
    <s v="720000342714"/>
    <s v="iHerb_AV CYG0792"/>
    <s v="Доставлен"/>
    <d v="2024-08-26T00:00:00"/>
    <x v="26"/>
    <s v="Витамины"/>
    <s v="NOW-00837"/>
    <x v="3"/>
    <x v="1357"/>
    <n v="15.05"/>
    <n v="-3.01"/>
    <n v="-0.97802794944602223"/>
    <n v="3.8104491012979716E-15"/>
    <n v="0.69218370050861233"/>
    <n v="1192.5845346398689"/>
    <n v="1900"/>
    <x v="681"/>
    <s v="&lt;Клиент не выбран&gt;"/>
    <s v="2024 11"/>
    <n v="707.41546536013107"/>
    <n v="0.59317846644200622"/>
  </r>
  <r>
    <s v="528425423"/>
    <s v="720000342714"/>
    <s v="iHerb_AV CYG0792"/>
    <s v="Доставлен"/>
    <d v="2024-08-26T00:00:00"/>
    <x v="26"/>
    <s v="Витамины"/>
    <s v="CAR-68730"/>
    <x v="154"/>
    <x v="1358"/>
    <n v="33.24"/>
    <n v="-6.65"/>
    <n v="-2.1599471076220711"/>
    <n v="8.4152692361721819E-15"/>
    <n v="1.5286681558574755"/>
    <n v="2633.7892671157897"/>
    <n v="3200"/>
    <x v="705"/>
    <s v="&lt;Клиент не выбран&gt;"/>
    <s v="2024 09"/>
    <n v="566.2107328842103"/>
    <n v="0.21497951258046413"/>
  </r>
  <r>
    <s v="528425423"/>
    <s v="720000342714"/>
    <s v="iHerb_AV CYG0792"/>
    <s v="Доставлен"/>
    <d v="2024-08-26T00:00:00"/>
    <x v="26"/>
    <s v="Витамины"/>
    <s v="NOW-01486"/>
    <x v="3"/>
    <x v="401"/>
    <n v="15.2"/>
    <n v="-3.04"/>
    <n v="-0.9877757363175772"/>
    <n v="3.8484269993175523E-15"/>
    <n v="0.69908254137746895"/>
    <n v="1204.4707592376083"/>
    <n v="2200"/>
    <x v="587"/>
    <s v="&lt;Клиент не выбран&gt;"/>
    <s v="2024 11"/>
    <n v="995.52924076239174"/>
    <n v="0.8265283595531453"/>
  </r>
  <r>
    <s v="528425423"/>
    <s v="720000342714"/>
    <s v="iHerb_AV CYG0792"/>
    <s v="Доставлен"/>
    <d v="2024-08-26T00:00:00"/>
    <x v="26"/>
    <s v="Витамины"/>
    <s v="NOW-01480"/>
    <x v="3"/>
    <x v="165"/>
    <n v="6.17"/>
    <n v="-1.23"/>
    <n v="-0.40128389287901567"/>
    <n v="1.5634234684727557E-15"/>
    <n v="0.28400228243459674"/>
    <n v="489.31624594027835"/>
    <n v="1000"/>
    <x v="713"/>
    <s v="&lt;Клиент не выбран&gt;"/>
    <s v="2025 06"/>
    <n v="510.68375405972165"/>
    <n v="1.0436680946049177"/>
  </r>
  <r>
    <s v="528425423"/>
    <s v="720000342714"/>
    <s v="iHerb_AV CYG0792"/>
    <s v="Доставлен"/>
    <d v="2024-08-26T00:00:00"/>
    <x v="26"/>
    <s v="Витамины"/>
    <s v="NAP-29950"/>
    <x v="11"/>
    <x v="350"/>
    <n v="9.16"/>
    <n v="-1.83"/>
    <n v="-0.59542731473748689"/>
    <n v="2.3198166040294129E-15"/>
    <n v="0.42140419640599075"/>
    <n v="726.05021917859119"/>
    <n v="1800"/>
    <x v="524"/>
    <s v="&lt;Клиент не выбран&gt;"/>
    <s v="2024 12"/>
    <n v="1073.9497808214087"/>
    <n v="1.4791673529641101"/>
  </r>
  <r>
    <s v="528425423"/>
    <s v="720000342714"/>
    <s v="iHerb_AV CYG0792"/>
    <s v="Доставлен"/>
    <d v="2024-08-26T00:00:00"/>
    <x v="26"/>
    <s v="Витамины"/>
    <s v="NOW-03797"/>
    <x v="3"/>
    <x v="1359"/>
    <n v="45.64"/>
    <n v="-9.1300000000000008"/>
    <n v="-2.96576415567062"/>
    <n v="1.1554775472457553E-14"/>
    <n v="2.0989723343496207"/>
    <n v="3616.3838338622595"/>
    <n v="5100"/>
    <x v="712"/>
    <s v="&lt;Клиент не выбран&gt;"/>
    <s v="2024 10"/>
    <n v="1483.6161661377405"/>
    <n v="0.41024853397634348"/>
  </r>
  <r>
    <s v="528425423"/>
    <s v="720000342714"/>
    <s v="iHerb_AV CYG0792"/>
    <s v="Доставлен"/>
    <d v="2024-08-26T00:00:00"/>
    <x v="26"/>
    <s v="Витамины"/>
    <s v="SMS-55697"/>
    <x v="140"/>
    <x v="505"/>
    <n v="12.6"/>
    <n v="-2.52"/>
    <n v="-0.81881409721062315"/>
    <n v="3.1901434336448135E-15"/>
    <n v="0.57950263298395455"/>
    <n v="998.4428662101227"/>
    <n v="1800"/>
    <x v="619"/>
    <s v="&lt;Клиент не выбран&gt;"/>
    <s v="2025 05"/>
    <n v="801.5571337898773"/>
    <n v="0.80280721202648087"/>
  </r>
  <r>
    <s v="528425423"/>
    <s v="720000342714"/>
    <s v="iHerb_AV CYG0792"/>
    <s v="Доставлен"/>
    <d v="2024-08-26T00:00:00"/>
    <x v="26"/>
    <s v="Витамины"/>
    <s v="CAR-01545"/>
    <x v="154"/>
    <x v="1360"/>
    <n v="49.91"/>
    <n v="-9.98"/>
    <n v="-3.2435760815099384"/>
    <n v="1.2637145566015612E-14"/>
    <n v="2.2955892991120339"/>
    <n v="3955.1412348978361"/>
    <n v="3955.14"/>
    <x v="714"/>
    <s v="&lt;Клиент не выбран&gt;"/>
    <s v="2024 08"/>
    <n v="-1.2348978361842455E-3"/>
    <n v="-3.1222597698616541E-7"/>
  </r>
  <r>
    <s v="528425423"/>
    <s v="720000342714"/>
    <s v="iHerb_AV CYG0792"/>
    <s v="Доставлен"/>
    <d v="2024-08-26T00:00:00"/>
    <x v="26"/>
    <s v="Витамины"/>
    <s v="CAR-55940"/>
    <x v="154"/>
    <x v="1361"/>
    <n v="9.26"/>
    <n v="-1.85"/>
    <n v="-0.60192583931852361"/>
    <n v="2.3451352027091335E-15"/>
    <n v="0.42600342365189514"/>
    <n v="733.97436891041752"/>
    <n v="1400"/>
    <x v="705"/>
    <s v="&lt;Клиент не выбран&gt;"/>
    <s v="2024 09"/>
    <n v="666.02563108958248"/>
    <n v="0.90742355496458993"/>
  </r>
  <r>
    <s v="528425423"/>
    <s v="720000342714"/>
    <s v="iHerb_AV CYG0792"/>
    <s v="Доставлен"/>
    <d v="2024-08-26T00:00:00"/>
    <x v="26"/>
    <s v="Витамины"/>
    <s v="MBL-10101"/>
    <x v="279"/>
    <x v="1362"/>
    <n v="8.1"/>
    <n v="-5.86"/>
    <n v="-0.18195868826902731"/>
    <n v="7.0892076303218051E-16"/>
    <n v="0.12877836288532318"/>
    <n v="221.87619249113828"/>
    <m/>
    <x v="20"/>
    <m/>
    <s v=""/>
    <n v="-221.87619249113828"/>
    <s v=""/>
  </r>
  <r>
    <s v="528540845"/>
    <s v="720000349789"/>
    <s v="iHerb_AV CYG0792"/>
    <s v="Доставлен"/>
    <d v="2024-08-30T00:00:00"/>
    <x v="26"/>
    <s v="Витамины"/>
    <s v="CLF-06237"/>
    <x v="72"/>
    <x v="1363"/>
    <n v="17.62"/>
    <n v="-4.93"/>
    <n v="0"/>
    <n v="0"/>
    <n v="0.54337302324656289"/>
    <n v="1339.1213238877119"/>
    <n v="2200"/>
    <x v="715"/>
    <s v="&lt;Клиент не выбран&gt;"/>
    <s v="2024 10"/>
    <n v="860.87867611228808"/>
    <n v="0.6428683202601847"/>
  </r>
  <r>
    <s v="528540845"/>
    <s v="720000349789"/>
    <s v="iHerb_AV CYG0792"/>
    <s v="Доставлен"/>
    <d v="2024-08-30T00:00:00"/>
    <x v="26"/>
    <s v="Витамины"/>
    <s v="NRT-05315"/>
    <x v="27"/>
    <x v="1309"/>
    <n v="28.44"/>
    <n v="-7.9649999999999999"/>
    <n v="0"/>
    <n v="0"/>
    <n v="0.87671888502548267"/>
    <n v="2160.6390154925848"/>
    <n v="3200"/>
    <x v="645"/>
    <s v="&lt;Клиент не выбран&gt;"/>
    <s v="2024 10"/>
    <n v="1039.3609845074152"/>
    <n v="0.48104332887391676"/>
  </r>
  <r>
    <s v="528540845"/>
    <s v="720000349789"/>
    <s v="iHerb_AV CYG0792"/>
    <s v="Доставлен"/>
    <d v="2024-08-30T00:00:00"/>
    <x v="26"/>
    <s v="Витамины"/>
    <s v="NRT-05315"/>
    <x v="27"/>
    <x v="1309"/>
    <n v="28.44"/>
    <n v="-7.9649999999999999"/>
    <n v="0"/>
    <n v="0"/>
    <n v="0.87671888502548267"/>
    <n v="2160.6390154925848"/>
    <n v="3200"/>
    <x v="715"/>
    <s v="&lt;Клиент не выбран&gt;"/>
    <s v="2024 10"/>
    <n v="1039.3609845074152"/>
    <n v="0.48104332887391676"/>
  </r>
  <r>
    <s v="528540845"/>
    <s v="720000349789"/>
    <s v="iHerb_AV CYG0792"/>
    <s v="Доставлен"/>
    <d v="2024-08-30T00:00:00"/>
    <x v="26"/>
    <s v="Витамины"/>
    <s v="NOW-00372"/>
    <x v="3"/>
    <x v="13"/>
    <n v="8.3699999999999992"/>
    <n v="-2.34"/>
    <n v="0"/>
    <n v="0"/>
    <n v="0.25819852877673555"/>
    <n v="636.32006170550835"/>
    <n v="1200"/>
    <x v="681"/>
    <s v="&lt;Клиент не выбран&gt;"/>
    <s v="2024 11"/>
    <n v="563.67993829449165"/>
    <n v="0.88584341782919485"/>
  </r>
  <r>
    <s v="528540845"/>
    <s v="720000349789"/>
    <s v="iHerb_AV CYG0792"/>
    <s v="Доставлен"/>
    <d v="2024-08-30T00:00:00"/>
    <x v="26"/>
    <s v="Витамины"/>
    <s v="NOW-00475"/>
    <x v="3"/>
    <x v="1364"/>
    <n v="10.08"/>
    <n v="-2.82"/>
    <n v="0"/>
    <n v="0"/>
    <n v="0.31086589036800993"/>
    <n v="766.11669120762701"/>
    <n v="1600"/>
    <x v="668"/>
    <s v="&lt;Клиент не выбран&gt;"/>
    <s v="2025 04"/>
    <n v="833.88330879237299"/>
    <n v="1.0884546941248934"/>
  </r>
  <r>
    <s v="528540845"/>
    <s v="720000349789"/>
    <s v="iHerb_AV CYG0792"/>
    <s v="Доставлен"/>
    <d v="2024-08-30T00:00:00"/>
    <x v="26"/>
    <s v="Витамины"/>
    <s v="NBC-00995"/>
    <x v="8"/>
    <x v="802"/>
    <n v="14.94"/>
    <n v="-4.18"/>
    <n v="0"/>
    <n v="0"/>
    <n v="0.46073236644074206"/>
    <n v="1135.4566938559321"/>
    <n v="2100"/>
    <x v="716"/>
    <s v="&lt;Клиент не выбран&gt;"/>
    <s v="2024 10"/>
    <n v="964.54330614406786"/>
    <n v="0.84947608426046239"/>
  </r>
  <r>
    <s v="528540845"/>
    <s v="720000349789"/>
    <s v="iHerb_AV CYG0792"/>
    <s v="Доставлен"/>
    <d v="2024-08-30T00:00:00"/>
    <x v="26"/>
    <s v="Витамины"/>
    <s v="NOW-01552"/>
    <x v="3"/>
    <x v="514"/>
    <n v="13.57"/>
    <n v="-3.8"/>
    <n v="0"/>
    <n v="0"/>
    <n v="0.41834156320874066"/>
    <n v="1030.9862359639828"/>
    <n v="1900"/>
    <x v="717"/>
    <s v="Валентина Сычева"/>
    <s v="2025 06"/>
    <n v="869.01376403601716"/>
    <n v="0.84289560201885749"/>
  </r>
  <r>
    <s v="528540845"/>
    <s v="720000349789"/>
    <s v="iHerb_AV CYG0792"/>
    <s v="Доставлен"/>
    <d v="2024-08-30T00:00:00"/>
    <x v="26"/>
    <s v="Витамины"/>
    <s v="NOW-01552"/>
    <x v="3"/>
    <x v="514"/>
    <n v="13.57"/>
    <n v="-3.8"/>
    <n v="0"/>
    <n v="0"/>
    <n v="0.41834156320874066"/>
    <n v="1030.9862359639828"/>
    <n v="1900"/>
    <x v="718"/>
    <s v="Любовь 17"/>
    <s v="2025 07"/>
    <n v="869.01376403601716"/>
    <n v="0.84289560201885749"/>
  </r>
  <r>
    <s v="528540845"/>
    <s v="720000349789"/>
    <s v="iHerb_AV CYG0792"/>
    <s v="Доставлен"/>
    <d v="2024-08-30T00:00:00"/>
    <x v="26"/>
    <s v="Витамины"/>
    <s v="NOW-03880"/>
    <x v="3"/>
    <x v="1226"/>
    <n v="27.38"/>
    <n v="-7.67"/>
    <n v="0"/>
    <n v="0"/>
    <n v="0.84396235525529983"/>
    <n v="2079.9118434851694"/>
    <n v="3400"/>
    <x v="498"/>
    <s v="&lt;Клиент не выбран&gt;"/>
    <s v="2024 10"/>
    <n v="1320.0881565148306"/>
    <n v="0.6346846673572698"/>
  </r>
  <r>
    <s v="528540845"/>
    <s v="720000349789"/>
    <s v="iHerb_AV CYG0792"/>
    <s v="Доставлен"/>
    <d v="2024-08-30T00:00:00"/>
    <x v="26"/>
    <s v="Витамины"/>
    <s v="NOW-00837"/>
    <x v="3"/>
    <x v="1357"/>
    <n v="15.05"/>
    <n v="-4.21"/>
    <n v="0"/>
    <n v="0"/>
    <n v="0.464157885893833"/>
    <n v="1143.898751059322"/>
    <n v="1900"/>
    <x v="719"/>
    <s v="&lt;Клиент не выбран&gt;"/>
    <s v="2025 02"/>
    <n v="756.10124894067803"/>
    <n v="0.66098616528821352"/>
  </r>
  <r>
    <s v="528540845"/>
    <s v="720000349789"/>
    <s v="iHerb_AV CYG0792"/>
    <s v="Доставлен"/>
    <d v="2024-08-30T00:00:00"/>
    <x v="26"/>
    <s v="Витамины"/>
    <s v="SOR-04797"/>
    <x v="10"/>
    <x v="1365"/>
    <n v="13.76"/>
    <n v="-3.85"/>
    <n v="0"/>
    <n v="0"/>
    <n v="0.42433622225165002"/>
    <n v="1045.7598360699153"/>
    <n v="1900"/>
    <x v="566"/>
    <s v="&lt;Клиент не выбран&gt;"/>
    <s v="2024 10"/>
    <n v="854.24016393008469"/>
    <n v="0.81686074992171875"/>
  </r>
  <r>
    <s v="528540845"/>
    <s v="720000349789"/>
    <s v="iHerb_AV CYG0792"/>
    <s v="Доставлен"/>
    <d v="2024-08-30T00:00:00"/>
    <x v="26"/>
    <s v="Витамины"/>
    <s v="NOW-04007"/>
    <x v="3"/>
    <x v="1159"/>
    <n v="16.43"/>
    <n v="-4.5999999999999996"/>
    <n v="0"/>
    <n v="0"/>
    <n v="0.50654868912583439"/>
    <n v="1248.369208951271"/>
    <n v="2100"/>
    <x v="566"/>
    <s v="&lt;Клиент не выбран&gt;"/>
    <s v="2024 10"/>
    <n v="851.63079104872895"/>
    <n v="0.68219464637722538"/>
  </r>
  <r>
    <s v="528540845"/>
    <s v="720000349789"/>
    <s v="iHerb_AV CYG0792"/>
    <s v="Доставлен"/>
    <d v="2024-08-30T00:00:00"/>
    <x v="26"/>
    <s v="Витамины"/>
    <s v="CAL-67204"/>
    <x v="138"/>
    <x v="1366"/>
    <n v="17.420000000000002"/>
    <n v="-4.88"/>
    <n v="0"/>
    <n v="0"/>
    <n v="0.5369501742720173"/>
    <n v="1323.2924666313563"/>
    <n v="2300"/>
    <x v="645"/>
    <s v="&lt;Клиент не выбран&gt;"/>
    <s v="2024 10"/>
    <n v="976.70753336864368"/>
    <n v="0.7380889395184137"/>
  </r>
  <r>
    <s v="528540845"/>
    <s v="720000349789"/>
    <s v="iHerb_AV CYG0792"/>
    <s v="Доставлен"/>
    <d v="2024-08-30T00:00:00"/>
    <x v="26"/>
    <s v="Витамины"/>
    <s v="DRB-00133"/>
    <x v="6"/>
    <x v="621"/>
    <n v="17.690000000000001"/>
    <n v="-4.95"/>
    <n v="0"/>
    <n v="0"/>
    <n v="0.5455139729047449"/>
    <n v="1344.3976096398305"/>
    <n v="2300"/>
    <x v="645"/>
    <s v="&lt;Клиент не выбран&gt;"/>
    <s v="2024 10"/>
    <n v="955.60239036016947"/>
    <n v="0.7108033988666338"/>
  </r>
  <r>
    <s v="528540845"/>
    <s v="720000349789"/>
    <s v="iHerb_AV CYG0792"/>
    <s v="Доставлен"/>
    <d v="2024-08-30T00:00:00"/>
    <x v="26"/>
    <s v="Витамины"/>
    <s v="SLM-01316"/>
    <x v="164"/>
    <x v="1138"/>
    <n v="31.91"/>
    <n v="-17.91"/>
    <n v="0"/>
    <n v="0"/>
    <n v="0.59946590429092828"/>
    <n v="1477.3600105932203"/>
    <n v="3400"/>
    <x v="680"/>
    <s v="&lt;Клиент не выбран&gt;"/>
    <s v="2024 10"/>
    <n v="1922.6399894067797"/>
    <n v="1.3014024852579849"/>
  </r>
  <r>
    <s v="WB0191"/>
    <n v="0"/>
    <s v="WBRS"/>
    <s v="Доставлен"/>
    <d v="2024-09-06T00:00:00"/>
    <x v="27"/>
    <s v="Витамины"/>
    <s v="000000264"/>
    <x v="85"/>
    <x v="1353"/>
    <n v="2077"/>
    <n v="0"/>
    <n v="0"/>
    <n v="0"/>
    <n v="0"/>
    <n v="2077"/>
    <n v="3000"/>
    <x v="605"/>
    <s v="&lt;Клиент не выбран&gt;"/>
    <s v="2024 10"/>
    <n v="923"/>
    <n v="0.4443909484833895"/>
  </r>
  <r>
    <s v="WB0191"/>
    <n v="0"/>
    <s v="WBRS"/>
    <s v="Доставлен"/>
    <d v="2024-09-06T00:00:00"/>
    <x v="27"/>
    <s v="Витамины"/>
    <s v="000000264"/>
    <x v="85"/>
    <x v="1353"/>
    <n v="2077"/>
    <n v="0"/>
    <n v="0"/>
    <n v="0"/>
    <n v="0"/>
    <n v="2077"/>
    <n v="3000"/>
    <x v="720"/>
    <s v="&lt;Клиент не выбран&gt;"/>
    <s v="2025 01"/>
    <n v="923"/>
    <n v="0.4443909484833895"/>
  </r>
  <r>
    <s v="WB0191"/>
    <n v="0"/>
    <s v="WBRS"/>
    <s v="Доставлен"/>
    <d v="2024-09-06T00:00:00"/>
    <x v="27"/>
    <s v="Витамины"/>
    <s v="000000264"/>
    <x v="85"/>
    <x v="1353"/>
    <n v="2077"/>
    <n v="0"/>
    <n v="0"/>
    <n v="0"/>
    <n v="0"/>
    <n v="2077"/>
    <n v="2900"/>
    <x v="663"/>
    <s v="&lt;Клиент не выбран&gt;"/>
    <s v="2025 04"/>
    <n v="823"/>
    <n v="0.39624458353394321"/>
  </r>
  <r>
    <s v="WB0191"/>
    <n v="0"/>
    <s v="WBRS"/>
    <s v="Доставлен"/>
    <d v="2024-09-06T00:00:00"/>
    <x v="27"/>
    <s v="Витамины"/>
    <s v="000000196"/>
    <x v="85"/>
    <x v="637"/>
    <n v="2607"/>
    <n v="0"/>
    <n v="0"/>
    <n v="0"/>
    <n v="0"/>
    <n v="2607"/>
    <n v="3400"/>
    <x v="579"/>
    <s v="&lt;Клиент не выбран&gt;"/>
    <s v="2024 09"/>
    <n v="793"/>
    <n v="0.30418105101649406"/>
  </r>
  <r>
    <s v="WB0191"/>
    <n v="0"/>
    <s v="WBRS"/>
    <s v="Доставлен"/>
    <d v="2024-09-06T00:00:00"/>
    <x v="27"/>
    <s v="Витамины"/>
    <s v="000000196"/>
    <x v="85"/>
    <x v="637"/>
    <n v="2607"/>
    <n v="0"/>
    <n v="0"/>
    <n v="0"/>
    <n v="0"/>
    <n v="2607"/>
    <n v="3400"/>
    <x v="579"/>
    <s v="&lt;Клиент не выбран&gt;"/>
    <s v="2024 09"/>
    <n v="793"/>
    <n v="0.30418105101649406"/>
  </r>
  <r>
    <s v="OZO0109"/>
    <n v="0"/>
    <s v="OZON_OA"/>
    <s v="Доставлен"/>
    <d v="2024-08-28T00:00:00"/>
    <x v="26"/>
    <s v="Спортпит"/>
    <s v="176208974"/>
    <x v="118"/>
    <x v="1367"/>
    <n v="2559"/>
    <n v="0"/>
    <n v="0"/>
    <n v="0"/>
    <n v="0"/>
    <n v="2559"/>
    <n v="3500"/>
    <x v="654"/>
    <s v="&lt;Клиент не выбран&gt;"/>
    <s v="2025 02"/>
    <n v="941"/>
    <n v="0.36772176631496678"/>
  </r>
  <r>
    <s v="OZO0107"/>
    <n v="0"/>
    <s v="OZON_OA"/>
    <s v="Доставлен"/>
    <d v="2024-08-26T00:00:00"/>
    <x v="26"/>
    <s v="Витамины"/>
    <s v="NAP-29950"/>
    <x v="11"/>
    <x v="350"/>
    <n v="1009"/>
    <n v="0"/>
    <n v="0"/>
    <n v="0"/>
    <n v="0"/>
    <n v="1009"/>
    <n v="1800"/>
    <x v="665"/>
    <s v="&lt;Клиент не выбран&gt;"/>
    <s v="2025 01"/>
    <n v="791"/>
    <n v="0.78394449950445988"/>
  </r>
  <r>
    <s v="OZA0308"/>
    <n v="0"/>
    <s v="OZON_AV"/>
    <s v="Доставлен"/>
    <d v="2024-09-10T00:00:00"/>
    <x v="27"/>
    <s v="Спортпит"/>
    <s v="156652333"/>
    <x v="156"/>
    <x v="592"/>
    <n v="2240"/>
    <n v="0"/>
    <n v="0"/>
    <n v="0"/>
    <n v="0"/>
    <n v="2240"/>
    <n v="3200"/>
    <x v="463"/>
    <s v="&lt;Клиент не выбран&gt;"/>
    <s v="2024 09"/>
    <n v="960"/>
    <n v="0.42857142857142855"/>
  </r>
  <r>
    <s v="OZA0308"/>
    <n v="0"/>
    <s v="OZON_AV"/>
    <s v="Доставлен"/>
    <d v="2024-09-10T00:00:00"/>
    <x v="27"/>
    <s v="Спортпит"/>
    <s v="156652333"/>
    <x v="156"/>
    <x v="592"/>
    <n v="2240"/>
    <n v="0"/>
    <n v="0"/>
    <n v="0"/>
    <n v="0"/>
    <n v="2240"/>
    <n v="3100"/>
    <x v="463"/>
    <s v="&lt;Клиент не выбран&gt;"/>
    <s v="2024 09"/>
    <n v="860"/>
    <n v="0.38392857142857145"/>
  </r>
  <r>
    <s v="OZA0308"/>
    <n v="0"/>
    <s v="OZON_AV"/>
    <s v="Доставлен"/>
    <d v="2024-09-10T00:00:00"/>
    <x v="27"/>
    <s v="Спортпит"/>
    <s v="012785778"/>
    <x v="156"/>
    <x v="1368"/>
    <n v="2240"/>
    <n v="0"/>
    <n v="0"/>
    <n v="0"/>
    <n v="0"/>
    <n v="2240"/>
    <n v="3300"/>
    <x v="669"/>
    <s v="&lt;Клиент не выбран&gt;"/>
    <s v="2024 09"/>
    <n v="1060"/>
    <n v="0.4732142857142857"/>
  </r>
  <r>
    <s v="WB0192"/>
    <n v="0"/>
    <s v="WBRS"/>
    <s v="Доставлен"/>
    <d v="2024-09-13T00:00:00"/>
    <x v="27"/>
    <s v="Витамины"/>
    <s v="000000264"/>
    <x v="85"/>
    <x v="1353"/>
    <n v="2455"/>
    <n v="0"/>
    <n v="0"/>
    <n v="0"/>
    <n v="0"/>
    <n v="2455"/>
    <n v="3400"/>
    <x v="473"/>
    <s v="&lt;Клиент не выбран&gt;"/>
    <s v="2024 09"/>
    <n v="945"/>
    <n v="0.38492871690427699"/>
  </r>
  <r>
    <s v="WB0192"/>
    <n v="0"/>
    <s v="WBRS"/>
    <s v="Доставлен"/>
    <d v="2024-09-13T00:00:00"/>
    <x v="27"/>
    <s v="Витамины"/>
    <s v="000000264"/>
    <x v="85"/>
    <x v="1353"/>
    <n v="2455"/>
    <n v="0"/>
    <n v="0"/>
    <n v="0"/>
    <n v="0"/>
    <n v="2455"/>
    <n v="3400"/>
    <x v="473"/>
    <s v="&lt;Клиент не выбран&gt;"/>
    <s v="2024 09"/>
    <n v="945"/>
    <n v="0.38492871690427699"/>
  </r>
  <r>
    <s v="WB0192"/>
    <n v="0"/>
    <s v="WBRS"/>
    <s v="Доставлен"/>
    <d v="2024-09-13T00:00:00"/>
    <x v="27"/>
    <s v="Витамины"/>
    <s v="000000196"/>
    <x v="85"/>
    <x v="637"/>
    <n v="2579"/>
    <n v="0"/>
    <n v="0"/>
    <n v="0"/>
    <n v="0"/>
    <n v="2579"/>
    <n v="3500"/>
    <x v="473"/>
    <s v="&lt;Клиент не выбран&gt;"/>
    <s v="2024 09"/>
    <n v="921"/>
    <n v="0.35711516091508338"/>
  </r>
  <r>
    <s v="WB0192"/>
    <n v="0"/>
    <s v="WBRS"/>
    <s v="Доставлен"/>
    <d v="2024-09-13T00:00:00"/>
    <x v="27"/>
    <s v="Витамины"/>
    <s v="000000196"/>
    <x v="85"/>
    <x v="637"/>
    <n v="2579"/>
    <n v="0"/>
    <n v="0"/>
    <n v="0"/>
    <n v="0"/>
    <n v="2579"/>
    <n v="3500"/>
    <x v="721"/>
    <s v="&lt;Клиент не выбран&gt;"/>
    <s v="2024 09"/>
    <n v="921"/>
    <n v="0.35711516091508338"/>
  </r>
  <r>
    <s v="WB0192"/>
    <n v="0"/>
    <s v="WBRS"/>
    <s v="Доставлен"/>
    <d v="2024-09-13T00:00:00"/>
    <x v="27"/>
    <s v="Спортпит"/>
    <s v="238416753"/>
    <x v="118"/>
    <x v="1369"/>
    <n v="5900"/>
    <n v="0"/>
    <n v="0"/>
    <n v="0"/>
    <n v="0"/>
    <n v="5900"/>
    <n v="6900"/>
    <x v="669"/>
    <s v="&lt;Клиент не выбран&gt;"/>
    <s v="2024 09"/>
    <n v="1000"/>
    <n v="0.16949152542372881"/>
  </r>
  <r>
    <s v="WB0192"/>
    <n v="0"/>
    <s v="WBRS"/>
    <s v="Доставлен"/>
    <d v="2024-09-13T00:00:00"/>
    <x v="27"/>
    <s v="Спортпит"/>
    <s v="238416753"/>
    <x v="118"/>
    <x v="1369"/>
    <n v="5900"/>
    <n v="0"/>
    <n v="0"/>
    <n v="0"/>
    <n v="0"/>
    <n v="5900"/>
    <n v="6900"/>
    <x v="669"/>
    <s v="&lt;Клиент не выбран&gt;"/>
    <s v="2024 09"/>
    <n v="1000"/>
    <n v="0.16949152542372881"/>
  </r>
  <r>
    <s v="WB0192"/>
    <n v="0"/>
    <s v="WBRS"/>
    <s v="Доставлен"/>
    <d v="2024-09-13T00:00:00"/>
    <x v="27"/>
    <s v="Спортпит"/>
    <s v="238416753"/>
    <x v="118"/>
    <x v="1369"/>
    <n v="5900"/>
    <n v="0"/>
    <n v="0"/>
    <n v="0"/>
    <n v="0"/>
    <n v="5900"/>
    <n v="6900"/>
    <x v="669"/>
    <s v="&lt;Клиент не выбран&gt;"/>
    <s v="2024 09"/>
    <n v="1000"/>
    <n v="0.16949152542372881"/>
  </r>
  <r>
    <s v="OZO0111"/>
    <n v="0"/>
    <s v="OZON_OA"/>
    <s v="Доставлен"/>
    <d v="2024-09-10T00:00:00"/>
    <x v="27"/>
    <s v="Спортпит"/>
    <s v="672307287"/>
    <x v="144"/>
    <x v="1300"/>
    <n v="2004"/>
    <n v="0"/>
    <n v="0"/>
    <n v="0"/>
    <n v="0"/>
    <n v="2004"/>
    <n v="2500"/>
    <x v="669"/>
    <s v="&lt;Клиент не выбран&gt;"/>
    <s v="2024 09"/>
    <n v="496"/>
    <n v="0.24750499001996007"/>
  </r>
  <r>
    <s v="OZO0111"/>
    <n v="0"/>
    <s v="OZON_OA"/>
    <s v="Доставлен"/>
    <d v="2024-09-10T00:00:00"/>
    <x v="27"/>
    <s v="Спортпит"/>
    <s v="671179174"/>
    <x v="144"/>
    <x v="1370"/>
    <n v="2043"/>
    <n v="0"/>
    <n v="0"/>
    <n v="0"/>
    <n v="0"/>
    <n v="2043"/>
    <n v="2400"/>
    <x v="452"/>
    <s v="&lt;Клиент не выбран&gt;"/>
    <s v="2025 01"/>
    <n v="357"/>
    <n v="0.17474302496328928"/>
  </r>
  <r>
    <s v="WB0193"/>
    <n v="0"/>
    <s v="WBRS"/>
    <s v="Доставлен"/>
    <d v="2024-09-20T00:00:00"/>
    <x v="27"/>
    <s v="Витамины"/>
    <s v="000000264"/>
    <x v="85"/>
    <x v="1353"/>
    <n v="3035"/>
    <n v="0"/>
    <n v="0"/>
    <n v="-3.3891784884042446E-13"/>
    <n v="0"/>
    <n v="3034.9999999999995"/>
    <n v="3500"/>
    <x v="722"/>
    <m/>
    <s v="2025 11"/>
    <n v="465.00000000000045"/>
    <n v="0.15321252059308091"/>
  </r>
  <r>
    <s v="WB0193"/>
    <n v="0"/>
    <s v="WBRS"/>
    <s v="Доставлен"/>
    <d v="2024-09-20T00:00:00"/>
    <x v="27"/>
    <s v="Витамины"/>
    <s v="000000264"/>
    <x v="85"/>
    <x v="1353"/>
    <n v="2077"/>
    <n v="0"/>
    <n v="0"/>
    <n v="-2.3193817859689016E-13"/>
    <n v="0"/>
    <n v="2076.9999999999995"/>
    <n v="3500"/>
    <x v="707"/>
    <s v="&lt;Клиент не выбран&gt;"/>
    <s v="2024 09"/>
    <n v="1423.0000000000005"/>
    <n v="0.68512277323062143"/>
  </r>
  <r>
    <s v="WB0193"/>
    <n v="0"/>
    <s v="WBRS"/>
    <s v="Доставлен"/>
    <d v="2024-09-20T00:00:00"/>
    <x v="27"/>
    <s v="Витамины"/>
    <s v="000000264"/>
    <x v="85"/>
    <x v="1353"/>
    <n v="3035"/>
    <n v="0"/>
    <n v="0"/>
    <n v="-3.3891784884042446E-13"/>
    <n v="0"/>
    <n v="3034.9999999999995"/>
    <n v="3035"/>
    <x v="723"/>
    <m/>
    <s v="2025 07"/>
    <n v="0"/>
    <n v="0"/>
  </r>
  <r>
    <s v="WB0193"/>
    <n v="0"/>
    <s v="WBRS"/>
    <s v="Доставлен"/>
    <d v="2024-09-20T00:00:00"/>
    <x v="27"/>
    <s v="Витамины"/>
    <s v="000000264"/>
    <x v="85"/>
    <x v="1353"/>
    <n v="3035"/>
    <n v="0"/>
    <n v="0"/>
    <n v="-3.3891784884042446E-13"/>
    <n v="0"/>
    <n v="3034.9999999999995"/>
    <n v="3035"/>
    <x v="723"/>
    <m/>
    <s v="2025 07"/>
    <n v="0"/>
    <n v="0"/>
  </r>
  <r>
    <s v="WB0193"/>
    <n v="0"/>
    <s v="WBRS"/>
    <s v="Доставлен"/>
    <d v="2024-09-20T00:00:00"/>
    <x v="27"/>
    <s v="Косметика"/>
    <s v="000000040"/>
    <x v="85"/>
    <x v="269"/>
    <n v="1702.3333333333333"/>
    <n v="0"/>
    <n v="0"/>
    <n v="-1.9009922614256425E-13"/>
    <n v="0"/>
    <n v="1702.333333333333"/>
    <n v="2200"/>
    <x v="707"/>
    <s v="&lt;Клиент не выбран&gt;"/>
    <s v="2024 09"/>
    <n v="497.66666666666697"/>
    <n v="0.29234384178578443"/>
  </r>
  <r>
    <s v="WB0193"/>
    <n v="0"/>
    <s v="WBRS"/>
    <s v="Доставлен"/>
    <d v="2024-09-20T00:00:00"/>
    <x v="27"/>
    <s v="Косметика"/>
    <s v="000000040"/>
    <x v="85"/>
    <x v="269"/>
    <n v="1702.3333333333333"/>
    <n v="0"/>
    <n v="0"/>
    <n v="-1.9009922614256425E-13"/>
    <n v="0"/>
    <n v="1702.333333333333"/>
    <n v="2200"/>
    <x v="724"/>
    <s v="&lt;Клиент не выбран&gt;"/>
    <s v="2024 10"/>
    <n v="497.66666666666697"/>
    <n v="0.29234384178578443"/>
  </r>
  <r>
    <s v="WB0193"/>
    <n v="0"/>
    <s v="WBRS"/>
    <s v="Доставлен"/>
    <d v="2024-09-20T00:00:00"/>
    <x v="27"/>
    <s v="Косметика"/>
    <s v="000000040"/>
    <x v="85"/>
    <x v="269"/>
    <n v="1702.3333333333333"/>
    <n v="0"/>
    <n v="0"/>
    <n v="-1.9009922614256425E-13"/>
    <n v="0"/>
    <n v="1702.333333333333"/>
    <m/>
    <x v="20"/>
    <m/>
    <s v=""/>
    <n v="-1702.333333333333"/>
    <s v=""/>
  </r>
  <r>
    <s v="OZO0112"/>
    <n v="0"/>
    <s v="OZON_OA"/>
    <s v="Доставлен"/>
    <d v="2024-09-14T00:00:00"/>
    <x v="27"/>
    <s v="Витамины"/>
    <s v="000000196"/>
    <x v="85"/>
    <x v="637"/>
    <n v="2769"/>
    <n v="0"/>
    <n v="0"/>
    <n v="0"/>
    <n v="0"/>
    <n v="2769"/>
    <n v="3400"/>
    <x v="712"/>
    <s v="&lt;Клиент не выбран&gt;"/>
    <s v="2024 10"/>
    <n v="631"/>
    <n v="0.22788010111953774"/>
  </r>
  <r>
    <s v="OZO0112"/>
    <n v="0"/>
    <s v="OZON_OA"/>
    <s v="Доставлен"/>
    <d v="2024-09-14T00:00:00"/>
    <x v="27"/>
    <s v="Витамины"/>
    <s v="000000196"/>
    <x v="85"/>
    <x v="637"/>
    <n v="2769"/>
    <n v="0"/>
    <n v="0"/>
    <n v="0"/>
    <n v="0"/>
    <n v="2769"/>
    <n v="3500"/>
    <x v="605"/>
    <s v="&lt;Клиент не выбран&gt;"/>
    <s v="2024 10"/>
    <n v="731"/>
    <n v="0.26399422174070064"/>
  </r>
  <r>
    <s v="OZO0113"/>
    <n v="0"/>
    <s v="OZON_OA"/>
    <s v="Доставлен"/>
    <d v="2024-09-16T00:00:00"/>
    <x v="27"/>
    <s v="Спортпит"/>
    <s v="892721541"/>
    <x v="162"/>
    <x v="618"/>
    <n v="814"/>
    <n v="0"/>
    <n v="0"/>
    <n v="0"/>
    <n v="0"/>
    <n v="814"/>
    <n v="1900"/>
    <x v="607"/>
    <s v="&lt;Клиент не выбран&gt;"/>
    <s v="2024 10"/>
    <n v="1086"/>
    <n v="1.3341523341523343"/>
  </r>
  <r>
    <s v="OZO0114"/>
    <n v="0"/>
    <s v="OZON_OA"/>
    <s v="Доставлен"/>
    <d v="2024-09-16T00:00:00"/>
    <x v="27"/>
    <s v="Спортпит"/>
    <s v="892721541"/>
    <x v="162"/>
    <x v="618"/>
    <n v="814"/>
    <n v="0"/>
    <n v="0"/>
    <n v="0"/>
    <n v="0"/>
    <n v="814"/>
    <n v="1900"/>
    <x v="607"/>
    <s v="&lt;Клиент не выбран&gt;"/>
    <s v="2024 10"/>
    <n v="1086"/>
    <n v="1.3341523341523343"/>
  </r>
  <r>
    <s v="528691883"/>
    <s v="720000361325"/>
    <s v="iHerb_OA CZN6870"/>
    <s v="Доставлен"/>
    <d v="2024-09-03T00:00:00"/>
    <x v="27"/>
    <s v="Витамины"/>
    <s v="AMN-02686"/>
    <x v="219"/>
    <x v="1371"/>
    <n v="21.38"/>
    <n v="-5.99"/>
    <n v="-1.9783903256948323"/>
    <n v="0"/>
    <n v="0.62376450134459493"/>
    <n v="1439.4036865504802"/>
    <n v="2700"/>
    <x v="647"/>
    <s v="&lt;Клиент не выбран&gt;"/>
    <s v="2024 10"/>
    <n v="1260.5963134495198"/>
    <n v="0.87577677147022537"/>
  </r>
  <r>
    <s v="528691883"/>
    <s v="720000361325"/>
    <s v="iHerb_OA CZN6870"/>
    <s v="Доставлен"/>
    <d v="2024-09-03T00:00:00"/>
    <x v="27"/>
    <s v="Витамины"/>
    <s v="NOW-03090"/>
    <x v="3"/>
    <x v="1372"/>
    <n v="11.66"/>
    <n v="-3.26"/>
    <n v="-1.0798231797164779"/>
    <n v="0"/>
    <n v="0.34045625804383356"/>
    <n v="785.63943905289375"/>
    <n v="1700"/>
    <x v="471"/>
    <s v="&lt;Клиент не выбран&gt;"/>
    <s v="2024 11"/>
    <n v="914.36056094710625"/>
    <n v="1.1638424899460098"/>
  </r>
  <r>
    <s v="528691883"/>
    <s v="720000361325"/>
    <s v="iHerb_OA CZN6870"/>
    <s v="Доставлен"/>
    <d v="2024-09-03T00:00:00"/>
    <x v="27"/>
    <s v="Витамины"/>
    <s v="SNS-01214"/>
    <x v="151"/>
    <x v="1373"/>
    <n v="18.420000000000002"/>
    <n v="-5.16"/>
    <n v="-1.7045780194095832"/>
    <n v="0"/>
    <n v="0.5374345216263372"/>
    <n v="1240.1879716477822"/>
    <n v="2400"/>
    <x v="395"/>
    <s v="&lt;Клиент не выбран&gt;"/>
    <s v="2025 01"/>
    <n v="1159.8120283522178"/>
    <n v="0.93519051536294739"/>
  </r>
  <r>
    <s v="528691883"/>
    <s v="720000361325"/>
    <s v="iHerb_OA CZN6870"/>
    <s v="Доставлен"/>
    <d v="2024-09-03T00:00:00"/>
    <x v="27"/>
    <s v="Витамины"/>
    <s v="SLM-01315"/>
    <x v="164"/>
    <x v="1139"/>
    <n v="31.91"/>
    <n v="-17.91"/>
    <n v="-1.7997052995274629"/>
    <n v="0"/>
    <n v="0.56742709673972247"/>
    <n v="1309.399065088156"/>
    <n v="3900"/>
    <x v="489"/>
    <s v="&lt;Клиент не выбран&gt;"/>
    <s v="2024 12"/>
    <n v="2590.600934911844"/>
    <n v="1.9784655449845081"/>
  </r>
  <r>
    <s v="528691883"/>
    <s v="720000361325"/>
    <s v="iHerb_OA CZN6870"/>
    <s v="Доставлен"/>
    <d v="2024-09-03T00:00:00"/>
    <x v="27"/>
    <s v="Витамины"/>
    <s v="NOW-01662"/>
    <x v="3"/>
    <x v="122"/>
    <n v="36.799999999999997"/>
    <n v="-10.3"/>
    <n v="-3.4065850312484116"/>
    <n v="0"/>
    <n v="1.0740584331144747"/>
    <n v="2478.5053732025808"/>
    <n v="4500"/>
    <x v="641"/>
    <s v="&lt;Клиент не выбран&gt;"/>
    <s v="2024 12"/>
    <n v="2021.4946267974192"/>
    <n v="0.81561034672495425"/>
  </r>
  <r>
    <s v="528691883"/>
    <s v="720000361325"/>
    <s v="iHerb_OA CZN6870"/>
    <s v="Доставлен"/>
    <d v="2024-09-03T00:00:00"/>
    <x v="27"/>
    <s v="Витамины"/>
    <s v="NOW-03802"/>
    <x v="3"/>
    <x v="1225"/>
    <n v="23.08"/>
    <n v="-6.46"/>
    <n v="-2.1365072912961738"/>
    <n v="0"/>
    <n v="0.67361702484387054"/>
    <n v="1554.4437472689394"/>
    <n v="2700"/>
    <x v="645"/>
    <s v="&lt;Клиент не выбран&gt;"/>
    <s v="2024 10"/>
    <n v="1145.5562527310606"/>
    <n v="0.73695574686683341"/>
  </r>
  <r>
    <s v="528691883"/>
    <s v="720000361325"/>
    <s v="iHerb_OA CZN6870"/>
    <s v="Доставлен"/>
    <d v="2024-09-03T00:00:00"/>
    <x v="27"/>
    <s v="Витамины"/>
    <s v="NOW-03802"/>
    <x v="3"/>
    <x v="1225"/>
    <n v="23.08"/>
    <n v="-6.46"/>
    <n v="-2.1365072912961738"/>
    <n v="0"/>
    <n v="0.67361702484387054"/>
    <n v="1554.4437472689394"/>
    <n v="2900"/>
    <x v="303"/>
    <s v="&lt;Клиент не выбран&gt;"/>
    <s v="2024 10"/>
    <n v="1345.5562527310606"/>
    <n v="0.8656191355236359"/>
  </r>
  <r>
    <s v="528691883"/>
    <s v="720000361325"/>
    <s v="iHerb_OA CZN6870"/>
    <s v="Доставлен"/>
    <d v="2024-09-03T00:00:00"/>
    <x v="27"/>
    <s v="Витамины"/>
    <s v="AMN-02786"/>
    <x v="219"/>
    <x v="1193"/>
    <n v="14.25"/>
    <n v="-3.99"/>
    <n v="-1.3189268837965549"/>
    <n v="0"/>
    <n v="0.4158430008963967"/>
    <n v="959.60245770031997"/>
    <n v="2300"/>
    <x v="545"/>
    <s v="&lt;Клиент не выбран&gt;"/>
    <s v="2025 02"/>
    <n v="1340.39754229968"/>
    <n v="1.3968258746563995"/>
  </r>
  <r>
    <s v="528691883"/>
    <s v="720000361325"/>
    <s v="iHerb_OA CZN6870"/>
    <s v="Доставлен"/>
    <d v="2024-09-03T00:00:00"/>
    <x v="27"/>
    <s v="Витамины"/>
    <s v="NOW-03880"/>
    <x v="3"/>
    <x v="1226"/>
    <n v="27.38"/>
    <n v="-7.67"/>
    <n v="-2.5337279609775925"/>
    <n v="0"/>
    <n v="0.79885629119570944"/>
    <n v="1843.4468266348254"/>
    <n v="3200"/>
    <x v="411"/>
    <s v="&lt;Клиент не выбран&gt;"/>
    <s v="2024 11"/>
    <n v="1356.5531733651746"/>
    <n v="0.73587865609421177"/>
  </r>
  <r>
    <s v="528691883"/>
    <s v="720000361325"/>
    <s v="iHerb_OA CZN6870"/>
    <s v="Доставлен"/>
    <d v="2024-09-03T00:00:00"/>
    <x v="27"/>
    <s v="Витамины"/>
    <s v="NOW-04726"/>
    <x v="3"/>
    <x v="48"/>
    <n v="18.59"/>
    <n v="-5.2050000000000001"/>
    <n v="-1.7206468167267925"/>
    <n v="0"/>
    <n v="0.54250083499008472"/>
    <n v="1251.8790347289262"/>
    <n v="2500"/>
    <x v="544"/>
    <s v="&lt;Клиент не выбран&gt;"/>
    <s v="2025 01"/>
    <n v="1248.1209652710738"/>
    <n v="0.99699805703778233"/>
  </r>
  <r>
    <s v="528691883"/>
    <s v="720000361325"/>
    <s v="iHerb_OA CZN6870"/>
    <s v="Доставлен"/>
    <d v="2024-09-03T00:00:00"/>
    <x v="27"/>
    <s v="Витамины"/>
    <s v="NOW-04726"/>
    <x v="3"/>
    <x v="48"/>
    <n v="18.59"/>
    <n v="-5.2050000000000001"/>
    <n v="-1.7206468167267925"/>
    <n v="0"/>
    <n v="0.54250083499008472"/>
    <n v="1251.8790347289262"/>
    <n v="2500"/>
    <x v="725"/>
    <s v="&lt;Клиент не выбран&gt;"/>
    <s v="2025 02"/>
    <n v="1248.1209652710738"/>
    <n v="0.99699805703778233"/>
  </r>
  <r>
    <s v="528691883"/>
    <s v="720000361325"/>
    <s v="iHerb_OA CZN6870"/>
    <s v="Доставлен"/>
    <d v="2024-09-03T00:00:00"/>
    <x v="27"/>
    <s v="Витамины"/>
    <s v="DRB-00133"/>
    <x v="6"/>
    <x v="621"/>
    <n v="17.690000000000001"/>
    <n v="-4.95"/>
    <n v="-1.6377318225699917"/>
    <n v="0"/>
    <n v="0.51635865803314762"/>
    <n v="1191.5531492302223"/>
    <n v="2500"/>
    <x v="452"/>
    <s v="&lt;Клиент не выбран&gt;"/>
    <s v="2025 01"/>
    <n v="1308.4468507697777"/>
    <n v="1.0981019618093177"/>
  </r>
  <r>
    <s v="528691883"/>
    <s v="720000361325"/>
    <s v="iHerb_OA CZN6870"/>
    <s v="Доставлен"/>
    <d v="2024-09-03T00:00:00"/>
    <x v="27"/>
    <s v="Витамины"/>
    <s v="NOW-00372"/>
    <x v="3"/>
    <x v="13"/>
    <n v="8.3699999999999992"/>
    <n v="-2.34"/>
    <n v="-0.77515878258218585"/>
    <n v="0"/>
    <n v="0.24439895666718048"/>
    <n v="563.97688303439861"/>
    <n v="1200"/>
    <x v="726"/>
    <s v="&lt;Клиент не выбран&gt;"/>
    <s v="2024 11"/>
    <n v="636.02311696560139"/>
    <n v="1.1277467855483156"/>
  </r>
  <r>
    <s v="528691883"/>
    <s v="720000361325"/>
    <s v="iHerb_OA CZN6870"/>
    <s v="Доставлен"/>
    <d v="2024-09-03T00:00:00"/>
    <x v="27"/>
    <s v="Витамины"/>
    <s v="SOR-38584"/>
    <x v="10"/>
    <x v="626"/>
    <n v="14.6"/>
    <n v="-4.09"/>
    <n v="-1.3510644784309742"/>
    <n v="0"/>
    <n v="0.42597562762389174"/>
    <n v="982.98458386260859"/>
    <n v="1900"/>
    <x v="539"/>
    <s v="&lt;Клиент не выбран&gt;"/>
    <s v="2024 10"/>
    <n v="917.01541613739141"/>
    <n v="0.93288890913630274"/>
  </r>
  <r>
    <s v="528886482"/>
    <s v="720000375908"/>
    <s v="iHerb_OA CZN6870"/>
    <s v="Доставлен"/>
    <d v="2024-09-10T00:00:00"/>
    <x v="27"/>
    <s v="Витамины"/>
    <s v="DRB-00087"/>
    <x v="6"/>
    <x v="1374"/>
    <n v="24.15"/>
    <n v="-2.4166666666666665"/>
    <n v="0"/>
    <n v="0"/>
    <n v="1.0305759189819337"/>
    <n v="2281.5208389008308"/>
    <n v="3000"/>
    <x v="600"/>
    <s v="&lt;Клиент не выбран&gt;"/>
    <s v="2024 10"/>
    <n v="718.47916109916923"/>
    <n v="0.31491238162230034"/>
  </r>
  <r>
    <s v="528886482"/>
    <s v="720000375908"/>
    <s v="iHerb_OA CZN6870"/>
    <s v="Доставлен"/>
    <d v="2024-09-10T00:00:00"/>
    <x v="27"/>
    <s v="Витамины"/>
    <s v="DRB-00087"/>
    <x v="6"/>
    <x v="1374"/>
    <n v="24.15"/>
    <n v="-2.4166666666666665"/>
    <n v="0"/>
    <n v="0"/>
    <n v="1.0305759189819337"/>
    <n v="2281.5208389008308"/>
    <n v="3000"/>
    <x v="600"/>
    <s v="&lt;Клиент не выбран&gt;"/>
    <s v="2024 10"/>
    <n v="718.47916109916923"/>
    <n v="0.31491238162230034"/>
  </r>
  <r>
    <s v="528886482"/>
    <s v="720000375908"/>
    <s v="iHerb_OA CZN6870"/>
    <s v="Доставлен"/>
    <d v="2024-09-10T00:00:00"/>
    <x v="27"/>
    <s v="Витамины"/>
    <s v="DRB-00087"/>
    <x v="6"/>
    <x v="1374"/>
    <n v="24.15"/>
    <n v="-2.4166666666666665"/>
    <n v="0"/>
    <n v="0"/>
    <n v="1.0305759189819337"/>
    <n v="2281.5208389008308"/>
    <n v="3000"/>
    <x v="600"/>
    <s v="&lt;Клиент не выбран&gt;"/>
    <s v="2024 10"/>
    <n v="718.47916109916923"/>
    <n v="0.31491238162230034"/>
  </r>
  <r>
    <s v="528886482"/>
    <s v="720000375908"/>
    <s v="iHerb_OA CZN6870"/>
    <s v="Доставлен"/>
    <d v="2024-09-10T00:00:00"/>
    <x v="27"/>
    <s v="Витамины"/>
    <s v="PAR-77869"/>
    <x v="44"/>
    <x v="1141"/>
    <n v="18.95"/>
    <n v="-1.9"/>
    <n v="0"/>
    <n v="0"/>
    <n v="0.80849629226880237"/>
    <n v="1789.8740937082439"/>
    <n v="2500"/>
    <x v="645"/>
    <s v="&lt;Клиент не выбран&gt;"/>
    <s v="2024 10"/>
    <n v="710.12590629175611"/>
    <n v="0.39674629002564316"/>
  </r>
  <r>
    <s v="528886482"/>
    <s v="720000375908"/>
    <s v="iHerb_OA CZN6870"/>
    <s v="Доставлен"/>
    <d v="2024-09-10T00:00:00"/>
    <x v="27"/>
    <s v="Витамины"/>
    <s v="LEX-16280"/>
    <x v="7"/>
    <x v="628"/>
    <n v="16.059999999999999"/>
    <n v="-1.61"/>
    <n v="0"/>
    <n v="0"/>
    <n v="0.68520653508998197"/>
    <n v="1516.9314166618253"/>
    <n v="2300"/>
    <x v="645"/>
    <s v="&lt;Клиент не выбран&gt;"/>
    <s v="2024 10"/>
    <n v="783.06858333817468"/>
    <n v="0.51621884466036261"/>
  </r>
  <r>
    <s v="528886482"/>
    <s v="720000375908"/>
    <s v="iHerb_OA CZN6870"/>
    <s v="Доставлен"/>
    <d v="2024-09-10T00:00:00"/>
    <x v="27"/>
    <s v="Витамины"/>
    <s v="NWY-40461"/>
    <x v="16"/>
    <x v="1253"/>
    <n v="13.62"/>
    <n v="-1.36"/>
    <n v="0"/>
    <n v="0"/>
    <n v="0.5813586242355141"/>
    <n v="1287.0297002265729"/>
    <n v="1800"/>
    <x v="645"/>
    <s v="&lt;Клиент не выбран&gt;"/>
    <s v="2024 10"/>
    <n v="512.97029977342709"/>
    <n v="0.39856912368309927"/>
  </r>
  <r>
    <s v="528886482"/>
    <s v="720000375908"/>
    <s v="iHerb_OA CZN6870"/>
    <s v="Доставлен"/>
    <d v="2024-09-10T00:00:00"/>
    <x v="27"/>
    <s v="Витамины"/>
    <s v="CAL-67204"/>
    <x v="138"/>
    <x v="1366"/>
    <n v="17.420000000000002"/>
    <n v="-1.74"/>
    <n v="0"/>
    <n v="0"/>
    <n v="0.74353207406303945"/>
    <n v="1646.0542984953233"/>
    <n v="2200"/>
    <x v="419"/>
    <s v="&lt;Клиент не выбран&gt;"/>
    <s v="2024 10"/>
    <n v="553.94570150467666"/>
    <n v="0.33652942190974178"/>
  </r>
  <r>
    <s v="528886482"/>
    <s v="720000375908"/>
    <s v="iHerb_OA CZN6870"/>
    <s v="Доставлен"/>
    <d v="2024-09-10T00:00:00"/>
    <x v="27"/>
    <s v="Витамины"/>
    <s v="LKN-01663"/>
    <x v="90"/>
    <x v="1375"/>
    <n v="36.49"/>
    <n v="-10.95"/>
    <n v="0"/>
    <n v="0"/>
    <n v="1.211084768595027"/>
    <n v="2681.1369122175101"/>
    <n v="4200"/>
    <x v="727"/>
    <s v="&lt;Клиент не выбран&gt;"/>
    <s v="2024 10"/>
    <n v="1518.8630877824899"/>
    <n v="0.5664996370984543"/>
  </r>
  <r>
    <s v="528886482"/>
    <s v="720000375908"/>
    <s v="iHerb_OA CZN6870"/>
    <s v="Доставлен"/>
    <d v="2024-09-10T00:00:00"/>
    <x v="27"/>
    <s v="Витамины"/>
    <s v="LKN-01664"/>
    <x v="90"/>
    <x v="851"/>
    <n v="10.32"/>
    <n v="-3.1"/>
    <n v="0"/>
    <n v="0"/>
    <n v="0.34236617185810864"/>
    <n v="757.94081856736193"/>
    <n v="1700"/>
    <x v="728"/>
    <m/>
    <s v="2025 08"/>
    <n v="942.05918143263807"/>
    <n v="1.242919180963616"/>
  </r>
  <r>
    <s v="528886482"/>
    <s v="720000375908"/>
    <s v="iHerb_OA CZN6870"/>
    <s v="Доставлен"/>
    <d v="2024-09-10T00:00:00"/>
    <x v="27"/>
    <s v="Витамины"/>
    <s v="CGN-01033"/>
    <x v="1"/>
    <x v="1"/>
    <n v="21.04"/>
    <n v="-6.31"/>
    <n v="0"/>
    <n v="0"/>
    <n v="0.69848389355539342"/>
    <n v="1546.3252434206704"/>
    <n v="2300"/>
    <x v="724"/>
    <s v="&lt;Клиент не выбран&gt;"/>
    <s v="2024 10"/>
    <n v="753.6747565793296"/>
    <n v="0.48739730518277258"/>
  </r>
  <r>
    <s v="529273518"/>
    <s v="720000391840"/>
    <s v="iHerb_OA CZN6870"/>
    <s v="Доставлен"/>
    <d v="2024-09-22T00:00:00"/>
    <x v="27"/>
    <s v="Витамины"/>
    <s v="AGE-12159"/>
    <x v="189"/>
    <x v="1376"/>
    <n v="55.99"/>
    <n v="-5.6"/>
    <n v="-3.9755062715869851"/>
    <n v="8.6782399454526953E-15"/>
    <n v="2.4757840828626403"/>
    <n v="5074.0202815649691"/>
    <n v="5400"/>
    <x v="729"/>
    <s v="&lt;Клиент не выбран&gt;"/>
    <s v="2024 10"/>
    <n v="325.97971843503092"/>
    <n v="6.4244859173974309E-2"/>
  </r>
  <r>
    <s v="529273518"/>
    <s v="720000391840"/>
    <s v="iHerb_OA CZN6870"/>
    <s v="Доставлен"/>
    <d v="2024-09-22T00:00:00"/>
    <x v="27"/>
    <s v="Витамины"/>
    <s v="AGE-12159"/>
    <x v="189"/>
    <x v="1376"/>
    <n v="55.99"/>
    <n v="-5.6"/>
    <n v="-3.9755062715869851"/>
    <n v="8.6782399454526953E-15"/>
    <n v="2.4757840828626403"/>
    <n v="5074.0202815649691"/>
    <n v="5400"/>
    <x v="729"/>
    <s v="&lt;Клиент не выбран&gt;"/>
    <s v="2024 10"/>
    <n v="325.97971843503092"/>
    <n v="6.4244859173974309E-2"/>
  </r>
  <r>
    <s v="529273518"/>
    <s v="720000391840"/>
    <s v="iHerb_OA CZN6870"/>
    <s v="Доставлен"/>
    <d v="2024-09-22T00:00:00"/>
    <x v="27"/>
    <s v="Витамины"/>
    <s v="CGN-01033"/>
    <x v="1"/>
    <x v="1"/>
    <n v="21.04"/>
    <n v="-6.31"/>
    <n v="-1.1621196146155248"/>
    <n v="2.5368222741916689E-15"/>
    <n v="0.72372096726665402"/>
    <n v="1483.2371253711451"/>
    <n v="2300"/>
    <x v="724"/>
    <s v="&lt;Клиент не выбран&gt;"/>
    <s v="2024 10"/>
    <n v="816.76287462885489"/>
    <n v="0.55066237262937934"/>
  </r>
  <r>
    <s v="529273518"/>
    <s v="720000391840"/>
    <s v="iHerb_OA CZN6870"/>
    <s v="Доставлен"/>
    <d v="2024-09-22T00:00:00"/>
    <x v="27"/>
    <s v="Витамины"/>
    <s v="CGN-01033"/>
    <x v="1"/>
    <x v="1"/>
    <n v="21.04"/>
    <n v="-6.31"/>
    <n v="-1.1621196146155248"/>
    <n v="2.5368222741916689E-15"/>
    <n v="0.72372096726665402"/>
    <n v="1483.2371253711451"/>
    <n v="2400"/>
    <x v="405"/>
    <s v="&lt;Клиент не выбран&gt;"/>
    <s v="2024 11"/>
    <n v="916.76287462885489"/>
    <n v="0.61808247578717834"/>
  </r>
  <r>
    <s v="529273518"/>
    <s v="720000391840"/>
    <s v="iHerb_OA CZN6870"/>
    <s v="Доставлен"/>
    <d v="2024-09-22T00:00:00"/>
    <x v="27"/>
    <s v="Витамины"/>
    <s v="SLM-01828"/>
    <x v="164"/>
    <x v="1284"/>
    <n v="29.7"/>
    <n v="-8.91"/>
    <n v="-1.6402217778585713"/>
    <n v="3.5804843910688925E-15"/>
    <n v="1.021463605531143"/>
    <n v="2093.4487329576446"/>
    <n v="3100"/>
    <x v="724"/>
    <s v="&lt;Клиент не выбран&gt;"/>
    <s v="2024 10"/>
    <n v="1006.5512670423554"/>
    <n v="0.48081008681798004"/>
  </r>
  <r>
    <s v="529273518"/>
    <s v="720000391840"/>
    <s v="iHerb_OA CZN6870"/>
    <s v="Доставлен"/>
    <d v="2024-09-22T00:00:00"/>
    <x v="27"/>
    <s v="Витамины"/>
    <s v="SLM-01316"/>
    <x v="164"/>
    <x v="1138"/>
    <n v="31.91"/>
    <n v="-17.91"/>
    <n v="-1.1045264497364118"/>
    <n v="2.4111006000463925E-15"/>
    <n v="0.68785427981895153"/>
    <n v="1409.7297865034645"/>
    <n v="3600"/>
    <x v="711"/>
    <s v="&lt;Клиент не выбран&gt;"/>
    <s v="2025 01"/>
    <n v="2190.2702134965357"/>
    <n v="1.5536808787512648"/>
  </r>
  <r>
    <s v="528882084"/>
    <s v="720000391840"/>
    <s v="iHerb_MH DLE7202"/>
    <s v="Доставлен"/>
    <d v="2024-09-10T00:00:00"/>
    <x v="27"/>
    <s v="Витамины"/>
    <s v="NOW-00422"/>
    <x v="3"/>
    <x v="1377"/>
    <n v="30.2"/>
    <n v="-8.4600000000000009"/>
    <n v="-1.6527196224483995"/>
    <n v="3.5133221300789398E-15"/>
    <n v="1.0015731818804023"/>
    <n v="2129.2461573889814"/>
    <n v="3450"/>
    <x v="419"/>
    <s v="&lt;Клиент не выбран&gt;"/>
    <s v="2024 10"/>
    <n v="1320.7538426110186"/>
    <n v="0.62029175820169702"/>
  </r>
  <r>
    <s v="528882084"/>
    <s v="720000391840"/>
    <s v="iHerb_MH DLE7202"/>
    <s v="Доставлен"/>
    <d v="2024-09-10T00:00:00"/>
    <x v="27"/>
    <s v="Витамины"/>
    <s v="AAY-19001"/>
    <x v="280"/>
    <x v="1378"/>
    <n v="20.77"/>
    <n v="-12.53"/>
    <n v="-0.62642178882128852"/>
    <n v="1.3316363547309323E-15"/>
    <n v="0.37962111401538706"/>
    <n v="807.03718200943888"/>
    <m/>
    <x v="20"/>
    <m/>
    <s v=""/>
    <n v="-807.03718200943888"/>
    <s v=""/>
  </r>
  <r>
    <s v="528882084"/>
    <s v="720000391840"/>
    <s v="iHerb_MH DLE7202"/>
    <s v="Доставлен"/>
    <d v="2024-09-10T00:00:00"/>
    <x v="27"/>
    <s v="Витамины"/>
    <s v="NOW-03172"/>
    <x v="3"/>
    <x v="1379"/>
    <n v="34.950000000000003"/>
    <n v="-9.7850000000000001"/>
    <n v="-1.9130951839426853"/>
    <n v="4.0668238916024165E-15"/>
    <n v="1.1593647250239341"/>
    <n v="2464.6954715130505"/>
    <n v="3900"/>
    <x v="724"/>
    <s v="&lt;Клиент не выбран&gt;"/>
    <s v="2024 10"/>
    <n v="1435.3045284869495"/>
    <n v="0.58234558592580654"/>
  </r>
  <r>
    <s v="528882084"/>
    <s v="720000391840"/>
    <s v="iHerb_MH DLE7202"/>
    <s v="Доставлен"/>
    <d v="2024-09-10T00:00:00"/>
    <x v="27"/>
    <s v="Витамины"/>
    <s v="NOW-03172"/>
    <x v="3"/>
    <x v="1379"/>
    <n v="34.950000000000003"/>
    <n v="-9.7850000000000001"/>
    <n v="-1.9130951839426853"/>
    <n v="4.0668238916024165E-15"/>
    <n v="1.1593647250239341"/>
    <n v="2464.6954715130505"/>
    <n v="4100"/>
    <x v="674"/>
    <s v="&lt;Клиент не выбран&gt;"/>
    <s v="2025 05"/>
    <n v="1635.3045284869495"/>
    <n v="0.66349151340918122"/>
  </r>
  <r>
    <s v="528882084"/>
    <s v="720000391840"/>
    <s v="iHerb_MH DLE7202"/>
    <s v="Доставлен"/>
    <d v="2024-09-10T00:00:00"/>
    <x v="27"/>
    <s v="Витамины"/>
    <s v="NOW-03802"/>
    <x v="3"/>
    <x v="1225"/>
    <n v="23.08"/>
    <n v="-6.46"/>
    <n v="-1.2634866662875988"/>
    <n v="2.6858975989839915E-15"/>
    <n v="0.76569210132715193"/>
    <n v="1627.7861608005917"/>
    <n v="2900"/>
    <x v="605"/>
    <s v="&lt;Клиент не выбран&gt;"/>
    <s v="2024 10"/>
    <n v="1272.2138391994083"/>
    <n v="0.78156079086806907"/>
  </r>
  <r>
    <s v="528882084"/>
    <s v="720000391840"/>
    <s v="iHerb_MH DLE7202"/>
    <s v="Доставлен"/>
    <d v="2024-09-10T00:00:00"/>
    <x v="27"/>
    <s v="Витамины"/>
    <s v="NOW-03878"/>
    <x v="3"/>
    <x v="287"/>
    <n v="22.44"/>
    <n v="-6.28"/>
    <n v="-1.2285165178825268"/>
    <n v="2.6115586762684304E-15"/>
    <n v="0.74449966049619587"/>
    <n v="1582.7331142321036"/>
    <n v="3000"/>
    <x v="641"/>
    <s v="&lt;Клиент не выбран&gt;"/>
    <s v="2024 12"/>
    <n v="1417.2668857678964"/>
    <n v="0.89545538222691023"/>
  </r>
  <r>
    <s v="528882084"/>
    <s v="720000391840"/>
    <s v="iHerb_MH DLE7202"/>
    <s v="Доставлен"/>
    <d v="2024-09-10T00:00:00"/>
    <x v="27"/>
    <s v="Витамины"/>
    <s v="NOW-03170"/>
    <x v="3"/>
    <x v="306"/>
    <n v="19.78"/>
    <n v="-5.54"/>
    <n v="-1.0825541593222268"/>
    <n v="2.3012744771078249E-15"/>
    <n v="0.65604425528872723"/>
    <n v="1394.6856155114579"/>
    <n v="2400"/>
    <x v="618"/>
    <s v="&lt;Клиент не выбран&gt;"/>
    <s v="2025 03"/>
    <n v="1005.3143844885421"/>
    <n v="0.72081792004420597"/>
  </r>
  <r>
    <s v="528882084"/>
    <s v="720000391840"/>
    <s v="iHerb_MH DLE7202"/>
    <s v="Доставлен"/>
    <d v="2024-09-10T00:00:00"/>
    <x v="27"/>
    <s v="Витамины"/>
    <s v="NOW-04753"/>
    <x v="3"/>
    <x v="1007"/>
    <n v="28.4"/>
    <n v="-7.95"/>
    <n v="-1.5546511627906978"/>
    <n v="3.3048499337679082E-15"/>
    <n v="0.94214220650663416"/>
    <n v="2002.9017441860472"/>
    <n v="3400"/>
    <x v="729"/>
    <s v="&lt;Клиент не выбран&gt;"/>
    <s v="2024 10"/>
    <n v="1397.0982558139528"/>
    <n v="0.69753709080807413"/>
  </r>
  <r>
    <s v="528882084"/>
    <s v="720000391840"/>
    <s v="iHerb_MH DLE7202"/>
    <s v="Доставлен"/>
    <d v="2024-09-10T00:00:00"/>
    <x v="27"/>
    <s v="Витамины"/>
    <s v="NOW-04739"/>
    <x v="3"/>
    <x v="191"/>
    <n v="19.37"/>
    <n v="-5.42"/>
    <n v="-1.0605077614146816"/>
    <n v="2.254408634526275E-15"/>
    <n v="0.64268380346051568"/>
    <n v="1366.2826078921935"/>
    <n v="2500"/>
    <x v="727"/>
    <s v="&lt;Клиент не выбран&gt;"/>
    <s v="2024 10"/>
    <n v="1133.7173921078065"/>
    <n v="0.82978249562645567"/>
  </r>
  <r>
    <s v="528882084"/>
    <s v="720000391840"/>
    <s v="iHerb_MH DLE7202"/>
    <s v="Доставлен"/>
    <d v="2024-09-10T00:00:00"/>
    <x v="27"/>
    <s v="Витамины"/>
    <s v="NOW-02200"/>
    <x v="3"/>
    <x v="1380"/>
    <n v="19.64"/>
    <n v="-5.5"/>
    <n v="-1.0749519531472111"/>
    <n v="2.2851138417348766E-15"/>
    <n v="0.65143720293417151"/>
    <n v="1384.8914749530909"/>
    <n v="2600"/>
    <x v="442"/>
    <s v="&lt;Клиент не выбран&gt;"/>
    <s v="2024 11"/>
    <n v="1215.1085250469091"/>
    <n v="0.87740342620570133"/>
  </r>
  <r>
    <s v="529096396"/>
    <s v="720000386609"/>
    <s v="iHerb_AV CYG0792"/>
    <s v="Доставлен"/>
    <d v="2024-09-16T00:00:00"/>
    <x v="27"/>
    <s v="Витамины"/>
    <s v="NOW-00475"/>
    <x v="3"/>
    <x v="1364"/>
    <n v="10.08"/>
    <n v="-2.82"/>
    <n v="-0.45101393463389922"/>
    <n v="1.0455617454508899E-15"/>
    <n v="0.30548297730871871"/>
    <n v="720.96796959716266"/>
    <n v="1500"/>
    <x v="724"/>
    <s v="&lt;Клиент не выбран&gt;"/>
    <s v="2024 10"/>
    <n v="779.03203040283734"/>
    <n v="1.0805362557758533"/>
  </r>
  <r>
    <s v="529096396"/>
    <s v="720000386609"/>
    <s v="iHerb_AV CYG0792"/>
    <s v="Доставлен"/>
    <d v="2024-09-16T00:00:00"/>
    <x v="27"/>
    <s v="Витамины"/>
    <s v="NOW-00475"/>
    <x v="3"/>
    <x v="1364"/>
    <n v="10.08"/>
    <n v="-2.82"/>
    <n v="-0.45101393463389922"/>
    <n v="1.0455617454508899E-15"/>
    <n v="0.30548297730871871"/>
    <n v="720.96796959716266"/>
    <n v="1700"/>
    <x v="464"/>
    <s v="&lt;Клиент не выбран&gt;"/>
    <s v="2025 05"/>
    <n v="979.03203040283734"/>
    <n v="1.3579410898793003"/>
  </r>
  <r>
    <s v="529096396"/>
    <s v="720000386609"/>
    <s v="iHerb_AV CYG0792"/>
    <s v="Доставлен"/>
    <d v="2024-09-16T00:00:00"/>
    <x v="27"/>
    <s v="Витамины"/>
    <s v="NOW-03349"/>
    <x v="3"/>
    <x v="1346"/>
    <n v="58.94"/>
    <n v="-16.5"/>
    <n v="-2.6365057005320498"/>
    <n v="6.1120716910379844E-15"/>
    <n v="1.7857710133584053"/>
    <n v="4214.5841087745985"/>
    <n v="6400"/>
    <x v="730"/>
    <s v="&lt;Клиент не выбран&gt;"/>
    <s v="2024 10"/>
    <n v="2185.4158912254015"/>
    <n v="0.51853654709973673"/>
  </r>
  <r>
    <s v="529096396"/>
    <s v="720000386609"/>
    <s v="iHerb_AV CYG0792"/>
    <s v="Доставлен"/>
    <d v="2024-09-16T00:00:00"/>
    <x v="27"/>
    <s v="Витамины"/>
    <s v="NOW-02938"/>
    <x v="3"/>
    <x v="971"/>
    <n v="17.010000000000002"/>
    <n v="-4.7649999999999997"/>
    <n v="-0.76069774512287835"/>
    <n v="1.7634853406399654E-15"/>
    <n v="0.51523953955168889"/>
    <n v="1216.0127806773085"/>
    <n v="2200"/>
    <x v="729"/>
    <s v="&lt;Клиент не выбран&gt;"/>
    <s v="2024 10"/>
    <n v="983.98721932269154"/>
    <n v="0.80919151094334663"/>
  </r>
  <r>
    <s v="529096396"/>
    <s v="720000386609"/>
    <s v="iHerb_AV CYG0792"/>
    <s v="Доставлен"/>
    <d v="2024-09-16T00:00:00"/>
    <x v="27"/>
    <s v="Витамины"/>
    <s v="NOW-02938"/>
    <x v="3"/>
    <x v="971"/>
    <n v="17.010000000000002"/>
    <n v="-4.7649999999999997"/>
    <n v="-0.76069774512287835"/>
    <n v="1.7634853406399654E-15"/>
    <n v="0.51523953955168889"/>
    <n v="1216.0127806773085"/>
    <n v="2200"/>
    <x v="729"/>
    <s v="&lt;Клиент не выбран&gt;"/>
    <s v="2024 10"/>
    <n v="983.98721932269154"/>
    <n v="0.80919151094334663"/>
  </r>
  <r>
    <s v="529096396"/>
    <s v="720000386609"/>
    <s v="iHerb_AV CYG0792"/>
    <s v="Доставлен"/>
    <d v="2024-09-16T00:00:00"/>
    <x v="27"/>
    <s v="Витамины"/>
    <s v="NOW-00076"/>
    <x v="3"/>
    <x v="434"/>
    <n v="22.45"/>
    <n v="-6.2850000000000001"/>
    <n v="-1.0042204205725869"/>
    <n v="2.3280310764757074E-15"/>
    <n v="0.68018351628036344"/>
    <n v="1605.29576150663"/>
    <n v="2500"/>
    <x v="731"/>
    <s v="&lt;Клиент не выбран&gt;"/>
    <s v="2025 06"/>
    <n v="894.70423849336999"/>
    <n v="0.55734541879912314"/>
  </r>
  <r>
    <s v="529096396"/>
    <s v="720000386609"/>
    <s v="iHerb_AV CYG0792"/>
    <s v="Доставлен"/>
    <d v="2024-09-16T00:00:00"/>
    <x v="27"/>
    <s v="Витамины"/>
    <s v="NOW-00076"/>
    <x v="3"/>
    <x v="434"/>
    <n v="22.45"/>
    <n v="-6.2850000000000001"/>
    <n v="-1.0042204205725869"/>
    <n v="2.3280310764757074E-15"/>
    <n v="0.68018351628036344"/>
    <n v="1605.29576150663"/>
    <n v="2600"/>
    <x v="732"/>
    <m/>
    <s v="2026 04"/>
    <n v="994.70423849336999"/>
    <n v="0.61963923555108802"/>
  </r>
  <r>
    <s v="529096396"/>
    <s v="720000386609"/>
    <s v="iHerb_AV CYG0792"/>
    <s v="Доставлен"/>
    <d v="2024-09-16T00:00:00"/>
    <x v="27"/>
    <s v="Витамины"/>
    <s v="SLM-01315"/>
    <x v="164"/>
    <x v="1139"/>
    <n v="31.91"/>
    <n v="-17.91"/>
    <n v="-0.86972384089181665"/>
    <n v="2.0162347708419366E-15"/>
    <n v="0.58908563117383783"/>
    <n v="1390.2963601047213"/>
    <n v="3500"/>
    <x v="677"/>
    <s v="&lt;Клиент не выбран&gt;"/>
    <s v="2025 04"/>
    <n v="2109.7036398952787"/>
    <n v="1.5174488694887827"/>
  </r>
  <r>
    <s v="529096396"/>
    <s v="720000386609"/>
    <s v="iHerb_AV CYG0792"/>
    <s v="Доставлен"/>
    <d v="2024-09-16T00:00:00"/>
    <x v="27"/>
    <s v="Витамины"/>
    <s v="NOW-01662"/>
    <x v="3"/>
    <x v="122"/>
    <n v="36.799999999999997"/>
    <n v="-10.305"/>
    <n v="-1.6459523688877631"/>
    <n v="3.8157243038183649E-15"/>
    <n v="1.114844556996488"/>
    <n v="2631.135861498185"/>
    <n v="4200"/>
    <x v="677"/>
    <s v="&lt;Клиент не выбран&gt;"/>
    <s v="2025 04"/>
    <n v="1568.864138501815"/>
    <n v="0.59626876797175121"/>
  </r>
  <r>
    <s v="529096396"/>
    <s v="720000386609"/>
    <s v="iHerb_AV CYG0792"/>
    <s v="Доставлен"/>
    <d v="2024-09-16T00:00:00"/>
    <x v="27"/>
    <s v="Витамины"/>
    <s v="NOW-01662"/>
    <x v="3"/>
    <x v="122"/>
    <n v="36.799999999999997"/>
    <n v="-10.305"/>
    <n v="-1.6459523688877631"/>
    <n v="3.8157243038183649E-15"/>
    <n v="1.114844556996488"/>
    <n v="2631.135861498185"/>
    <n v="4400"/>
    <x v="733"/>
    <s v="&lt;Клиент не выбран&gt;"/>
    <s v="2025 05"/>
    <n v="1768.864138501815"/>
    <n v="0.67228156644659653"/>
  </r>
  <r>
    <s v="529096396"/>
    <s v="720000386609"/>
    <s v="iHerb_AV CYG0792"/>
    <s v="Доставлен"/>
    <d v="2024-09-16T00:00:00"/>
    <x v="27"/>
    <s v="Витамины"/>
    <s v="NOW-02644"/>
    <x v="3"/>
    <x v="21"/>
    <n v="23.03"/>
    <n v="-6.45"/>
    <n v="-1.0300015201418802"/>
    <n v="2.3877980357542364E-15"/>
    <n v="0.69764569749015948"/>
    <n v="1646.508117895449"/>
    <n v="3000"/>
    <x v="614"/>
    <s v="&lt;Клиент не выбран&gt;"/>
    <s v="2025 06"/>
    <n v="1353.491882104551"/>
    <n v="0.82203778250092774"/>
  </r>
  <r>
    <s v="528984276"/>
    <s v="720000383624"/>
    <s v="iHerb_VP DFD1605"/>
    <s v="Доставлен"/>
    <d v="2024-09-13T00:00:00"/>
    <x v="27"/>
    <s v="Витамины"/>
    <s v="CGN-01427"/>
    <x v="1"/>
    <x v="1381"/>
    <n v="71.5"/>
    <n v="-21.45"/>
    <n v="0"/>
    <n v="-7.05888525700536E-15"/>
    <n v="4.1521076102448236"/>
    <n v="5456.6298947367923"/>
    <n v="7900"/>
    <x v="724"/>
    <s v="&lt;Клиент не выбран&gt;"/>
    <s v="2024 10"/>
    <n v="2443.3701052632077"/>
    <n v="0.44778006799031161"/>
  </r>
  <r>
    <s v="528984276"/>
    <s v="720000383624"/>
    <s v="iHerb_VP DFD1605"/>
    <s v="Доставлен"/>
    <d v="2024-09-13T00:00:00"/>
    <x v="27"/>
    <s v="Витамины"/>
    <s v="NWY-14008"/>
    <x v="16"/>
    <x v="731"/>
    <n v="17.7"/>
    <n v="-1.77"/>
    <n v="0"/>
    <n v="-2.2467141287531547E-15"/>
    <n v="1.3215399446793215"/>
    <n v="1736.745538924218"/>
    <n v="2400"/>
    <x v="724"/>
    <s v="&lt;Клиент не выбран&gt;"/>
    <s v="2024 10"/>
    <n v="663.25446107578205"/>
    <n v="0.38189501352432886"/>
  </r>
  <r>
    <s v="528984276"/>
    <s v="720000383624"/>
    <s v="iHerb_VP DFD1605"/>
    <s v="Доставлен"/>
    <d v="2024-09-13T00:00:00"/>
    <x v="27"/>
    <s v="Витамины"/>
    <s v="BIU-00333"/>
    <x v="281"/>
    <x v="1382"/>
    <n v="23.09"/>
    <n v="-2.31"/>
    <n v="0"/>
    <n v="-2.9307419708405873E-15"/>
    <n v="1.7238920307869618"/>
    <n v="2265.5098743782328"/>
    <m/>
    <x v="20"/>
    <m/>
    <s v=""/>
    <n v="-2265.5098743782328"/>
    <s v=""/>
  </r>
  <r>
    <s v="528984276"/>
    <s v="720000383624"/>
    <s v="iHerb_VP DFD1605"/>
    <s v="Доставлен"/>
    <d v="2024-09-13T00:00:00"/>
    <x v="27"/>
    <s v="Витамины"/>
    <s v="SLM-01316"/>
    <x v="164"/>
    <x v="1138"/>
    <n v="31.91"/>
    <n v="-17.91"/>
    <n v="0"/>
    <n v="-1.9745133586028981E-15"/>
    <n v="1.1614287021663843"/>
    <n v="1526.3300404858162"/>
    <n v="3500"/>
    <x v="734"/>
    <s v="&lt;Клиент не выбран&gt;"/>
    <s v="2025 05"/>
    <n v="1973.6699595141838"/>
    <n v="1.2930820380669332"/>
  </r>
  <r>
    <s v="529384676"/>
    <s v="720000399898"/>
    <s v="iHerb_VP DFD1605"/>
    <s v="Доставлен"/>
    <d v="2024-09-25T00:00:00"/>
    <x v="27"/>
    <s v="Витамины"/>
    <s v="NFS-35493"/>
    <x v="23"/>
    <x v="1383"/>
    <n v="47.82"/>
    <n v="-13.39"/>
    <n v="-1.7608614980289092"/>
    <n v="0"/>
    <n v="1.8598718923474507"/>
    <n v="3573.4331461235215"/>
    <n v="5325"/>
    <x v="724"/>
    <s v="&lt;Клиент не выбран&gt;"/>
    <s v="2024 10"/>
    <n v="1751.5668538764785"/>
    <n v="0.49016359961192701"/>
  </r>
  <r>
    <s v="529384676"/>
    <s v="720000399898"/>
    <s v="iHerb_VP DFD1605"/>
    <s v="Доставлен"/>
    <d v="2024-09-25T00:00:00"/>
    <x v="27"/>
    <s v="Витамины"/>
    <s v="NFS-35493"/>
    <x v="23"/>
    <x v="1383"/>
    <n v="47.82"/>
    <n v="-13.39"/>
    <n v="-1.7608614980289092"/>
    <n v="0"/>
    <n v="1.8598718923474507"/>
    <n v="3573.4331461235215"/>
    <n v="5325"/>
    <x v="724"/>
    <s v="&lt;Клиент не выбран&gt;"/>
    <s v="2024 10"/>
    <n v="1751.5668538764785"/>
    <n v="0.49016359961192701"/>
  </r>
  <r>
    <s v="529384676"/>
    <s v="720000399898"/>
    <s v="iHerb_VP DFD1605"/>
    <s v="Доставлен"/>
    <d v="2024-09-25T00:00:00"/>
    <x v="27"/>
    <s v="Витамины"/>
    <s v="NFS-35493"/>
    <x v="23"/>
    <x v="1383"/>
    <n v="47.82"/>
    <n v="-13.39"/>
    <n v="-1.7608614980289092"/>
    <n v="0"/>
    <n v="1.8598718923474507"/>
    <n v="3573.4331461235215"/>
    <n v="5300"/>
    <x v="683"/>
    <s v="&lt;Клиент не выбран&gt;"/>
    <s v="2024 10"/>
    <n v="1726.5668538764785"/>
    <n v="0.48316752637431232"/>
  </r>
  <r>
    <s v="529384676"/>
    <s v="720000399898"/>
    <s v="iHerb_VP DFD1605"/>
    <s v="Доставлен"/>
    <d v="2024-09-25T00:00:00"/>
    <x v="27"/>
    <s v="Витамины"/>
    <s v="LEX-30210"/>
    <x v="7"/>
    <x v="749"/>
    <n v="20.48"/>
    <n v="-5.7350000000000003"/>
    <n v="-0.75410696452036796"/>
    <n v="0"/>
    <n v="0.79650917957197676"/>
    <n v="1530.3593302233905"/>
    <n v="2200"/>
    <x v="405"/>
    <s v="&lt;Клиент не выбран&gt;"/>
    <s v="2024 11"/>
    <n v="669.64066977660946"/>
    <n v="0.43757087407626044"/>
  </r>
  <r>
    <s v="529384676"/>
    <s v="720000399898"/>
    <s v="iHerb_VP DFD1605"/>
    <s v="Доставлен"/>
    <d v="2024-09-25T00:00:00"/>
    <x v="27"/>
    <s v="Витамины"/>
    <s v="LEX-30210"/>
    <x v="7"/>
    <x v="749"/>
    <n v="20.48"/>
    <n v="-5.7350000000000003"/>
    <n v="-0.75410696452036796"/>
    <n v="0"/>
    <n v="0.79650917957197676"/>
    <n v="1530.3593302233905"/>
    <n v="2300"/>
    <x v="379"/>
    <s v="&lt;Клиент не выбран&gt;"/>
    <s v="2025 01"/>
    <n v="769.64066977660946"/>
    <n v="0.50291500471609041"/>
  </r>
  <r>
    <s v="529384676"/>
    <s v="720000399898"/>
    <s v="iHerb_VP DFD1605"/>
    <s v="Доставлен"/>
    <d v="2024-09-25T00:00:00"/>
    <x v="27"/>
    <s v="Витамины"/>
    <s v="LEX-33510"/>
    <x v="7"/>
    <x v="750"/>
    <n v="12.6"/>
    <n v="-3.53"/>
    <n v="-0.46386911957950072"/>
    <n v="0"/>
    <n v="0.4899517299910362"/>
    <n v="941.36040183968464"/>
    <n v="1600"/>
    <x v="405"/>
    <s v="&lt;Клиент не выбран&gt;"/>
    <s v="2024 11"/>
    <n v="658.63959816031536"/>
    <n v="0.69966783909026464"/>
  </r>
  <r>
    <s v="529384676"/>
    <s v="720000399898"/>
    <s v="iHerb_VP DFD1605"/>
    <s v="Доставлен"/>
    <d v="2024-09-25T00:00:00"/>
    <x v="27"/>
    <s v="Витамины"/>
    <s v="LEX-33510"/>
    <x v="7"/>
    <x v="750"/>
    <n v="12.6"/>
    <n v="-3.53"/>
    <n v="-0.46386911957950072"/>
    <n v="0"/>
    <n v="0.4899517299910362"/>
    <n v="941.36040183968464"/>
    <n v="1700"/>
    <x v="379"/>
    <s v="&lt;Клиент не выбран&gt;"/>
    <s v="2025 01"/>
    <n v="758.63959816031536"/>
    <n v="0.80589707903340624"/>
  </r>
  <r>
    <s v="529384676"/>
    <s v="720000399898"/>
    <s v="iHerb_VP DFD1605"/>
    <s v="Доставлен"/>
    <d v="2024-09-25T00:00:00"/>
    <x v="27"/>
    <s v="Витамины"/>
    <s v="SWK-33532"/>
    <x v="282"/>
    <x v="1384"/>
    <n v="24.2"/>
    <n v="-6.78"/>
    <n v="-0.89091511169513793"/>
    <n v="0"/>
    <n v="0.94100982761233187"/>
    <n v="1807.9931863337715"/>
    <n v="3000"/>
    <x v="552"/>
    <s v="&lt;Клиент не выбран&gt;"/>
    <s v="2024 10"/>
    <n v="1192.0068136662285"/>
    <n v="0.65929828866411089"/>
  </r>
  <r>
    <s v="529384676"/>
    <s v="720000399898"/>
    <s v="iHerb_VP DFD1605"/>
    <s v="Доставлен"/>
    <d v="2024-09-25T00:00:00"/>
    <x v="27"/>
    <s v="Витамины"/>
    <s v="DTL-00673"/>
    <x v="283"/>
    <x v="1385"/>
    <n v="17.559999999999999"/>
    <n v="-4.92"/>
    <n v="-0.64645045992115635"/>
    <n v="0"/>
    <n v="0.68279932382433262"/>
    <n v="1311.8848378449406"/>
    <n v="2200"/>
    <x v="552"/>
    <s v="&lt;Клиент не выбран&gt;"/>
    <s v="2024 10"/>
    <n v="888.11516215505935"/>
    <n v="0.67697646663405597"/>
  </r>
  <r>
    <s v="529384676"/>
    <s v="720000399898"/>
    <s v="iHerb_VP DFD1605"/>
    <s v="Доставлен"/>
    <d v="2024-09-25T00:00:00"/>
    <x v="27"/>
    <s v="Витамины"/>
    <s v="MDH-21235"/>
    <x v="284"/>
    <x v="1386"/>
    <n v="12.88"/>
    <n v="-3.61"/>
    <n v="-0.47409776609724058"/>
    <n v="0"/>
    <n v="0.50075551676040864"/>
    <n v="962.11807332457306"/>
    <n v="1800"/>
    <x v="552"/>
    <s v="&lt;Клиент не выбран&gt;"/>
    <s v="2024 10"/>
    <n v="837.88192667542694"/>
    <n v="0.87087224521222073"/>
  </r>
  <r>
    <s v="529605419"/>
    <s v="722500277354"/>
    <s v="iHerb_VP DFD1605"/>
    <s v="Доставлен"/>
    <d v="2024-10-02T00:00:00"/>
    <x v="28"/>
    <s v="Витамины"/>
    <s v="NOW-00372"/>
    <x v="3"/>
    <x v="13"/>
    <n v="8.3699999999999992"/>
    <n v="-2.3433333333333333"/>
    <n v="0"/>
    <n v="0"/>
    <n v="0.9335645181987825"/>
    <n v="720.3734698571692"/>
    <n v="1200"/>
    <x v="622"/>
    <s v="&lt;Клиент не выбран&gt;"/>
    <s v="2024 12"/>
    <n v="479.6265301428308"/>
    <n v="0.66580260130613622"/>
  </r>
  <r>
    <s v="529605419"/>
    <s v="722500277354"/>
    <s v="iHerb_VP DFD1605"/>
    <s v="Доставлен"/>
    <d v="2024-10-02T00:00:00"/>
    <x v="28"/>
    <s v="Витамины"/>
    <s v="NOW-00372"/>
    <x v="3"/>
    <x v="13"/>
    <n v="8.3699999999999992"/>
    <n v="-2.3433333333333333"/>
    <n v="0"/>
    <n v="0"/>
    <n v="0.9335645181987825"/>
    <n v="720.3734698571692"/>
    <n v="1300"/>
    <x v="404"/>
    <s v="&lt;Клиент не выбран&gt;"/>
    <s v="2024 12"/>
    <n v="579.6265301428308"/>
    <n v="0.80461948474831435"/>
  </r>
  <r>
    <s v="529605419"/>
    <s v="722500277354"/>
    <s v="iHerb_VP DFD1605"/>
    <s v="Доставлен"/>
    <d v="2024-10-02T00:00:00"/>
    <x v="28"/>
    <s v="Витамины"/>
    <s v="NOW-00372"/>
    <x v="3"/>
    <x v="13"/>
    <n v="8.3699999999999992"/>
    <n v="-2.3433333333333333"/>
    <n v="0"/>
    <n v="0"/>
    <n v="0.9335645181987825"/>
    <n v="720.3734698571692"/>
    <n v="1200"/>
    <x v="735"/>
    <s v="&lt;Клиент не выбран&gt;"/>
    <s v="2025 03"/>
    <n v="479.6265301428308"/>
    <n v="0.66580260130613622"/>
  </r>
  <r>
    <s v="529605419"/>
    <s v="722500277354"/>
    <s v="iHerb_VP DFD1605"/>
    <s v="Доставлен"/>
    <d v="2024-10-02T00:00:00"/>
    <x v="28"/>
    <s v="Витамины"/>
    <s v="NOW-00420"/>
    <x v="3"/>
    <x v="515"/>
    <n v="14.38"/>
    <n v="-4.0266666666666664"/>
    <n v="0"/>
    <n v="0"/>
    <n v="1.603789487569369"/>
    <n v="1237.544246336487"/>
    <n v="2000"/>
    <x v="524"/>
    <s v="&lt;Клиент не выбран&gt;"/>
    <s v="2024 12"/>
    <n v="762.45575366351295"/>
    <n v="0.61610383299071314"/>
  </r>
  <r>
    <s v="529605419"/>
    <s v="722500277354"/>
    <s v="iHerb_VP DFD1605"/>
    <s v="Доставлен"/>
    <d v="2024-10-02T00:00:00"/>
    <x v="28"/>
    <s v="Витамины"/>
    <s v="NOW-00420"/>
    <x v="3"/>
    <x v="515"/>
    <n v="14.38"/>
    <n v="-4.0266666666666664"/>
    <n v="0"/>
    <n v="0"/>
    <n v="1.603789487569369"/>
    <n v="1237.544246336487"/>
    <n v="2000"/>
    <x v="524"/>
    <s v="&lt;Клиент не выбран&gt;"/>
    <s v="2024 12"/>
    <n v="762.45575366351295"/>
    <n v="0.61610383299071314"/>
  </r>
  <r>
    <s v="529605419"/>
    <s v="722500277354"/>
    <s v="iHerb_VP DFD1605"/>
    <s v="Доставлен"/>
    <d v="2024-10-02T00:00:00"/>
    <x v="28"/>
    <s v="Витамины"/>
    <s v="NOW-00420"/>
    <x v="3"/>
    <x v="515"/>
    <n v="14.38"/>
    <n v="-4.0266666666666664"/>
    <n v="0"/>
    <n v="0"/>
    <n v="1.603789487569369"/>
    <n v="1237.544246336487"/>
    <n v="2000"/>
    <x v="677"/>
    <s v="&lt;Клиент не выбран&gt;"/>
    <s v="2025 04"/>
    <n v="762.45575366351295"/>
    <n v="0.61610383299071314"/>
  </r>
  <r>
    <s v="529605419"/>
    <s v="722500277354"/>
    <s v="iHerb_VP DFD1605"/>
    <s v="Доставлен"/>
    <d v="2024-10-02T00:00:00"/>
    <x v="28"/>
    <s v="Витамины"/>
    <s v="NOW-03770"/>
    <x v="3"/>
    <x v="281"/>
    <n v="14.94"/>
    <n v="-4.18"/>
    <n v="0"/>
    <n v="0"/>
    <n v="1.6667844384655253"/>
    <n v="1286.1535180856984"/>
    <m/>
    <x v="20"/>
    <m/>
    <s v=""/>
    <n v="-1286.1535180856984"/>
    <s v=""/>
  </r>
  <r>
    <s v="529323283"/>
    <s v="720000392740"/>
    <s v="iHerb_MH DLE7202"/>
    <s v="Доставлен"/>
    <d v="2024-09-23T00:00:00"/>
    <x v="27"/>
    <s v="Витамины"/>
    <s v="NBC-01000"/>
    <x v="8"/>
    <x v="609"/>
    <n v="13.65"/>
    <n v="-3.8233333333333337"/>
    <n v="-0.62295706184174982"/>
    <n v="-3.7711404897304438E-15"/>
    <n v="0.68090586958199417"/>
    <n v="1024.324183544873"/>
    <m/>
    <x v="20"/>
    <m/>
    <s v=""/>
    <n v="-1024.324183544873"/>
    <s v=""/>
  </r>
  <r>
    <s v="529323283"/>
    <s v="720000392740"/>
    <s v="iHerb_MH DLE7202"/>
    <s v="Доставлен"/>
    <d v="2024-09-23T00:00:00"/>
    <x v="27"/>
    <s v="Витамины"/>
    <s v="NBC-01000"/>
    <x v="8"/>
    <x v="609"/>
    <n v="13.65"/>
    <n v="-3.8233333333333337"/>
    <n v="-0.62295706184174982"/>
    <n v="-3.7711404897304438E-15"/>
    <n v="0.68090586958199417"/>
    <n v="1024.324183544873"/>
    <m/>
    <x v="20"/>
    <m/>
    <s v=""/>
    <n v="-1024.324183544873"/>
    <s v=""/>
  </r>
  <r>
    <s v="529323283"/>
    <s v="720000392740"/>
    <s v="iHerb_MH DLE7202"/>
    <s v="Доставлен"/>
    <d v="2024-09-23T00:00:00"/>
    <x v="27"/>
    <s v="Витамины"/>
    <s v="NBC-01000"/>
    <x v="8"/>
    <x v="609"/>
    <n v="13.65"/>
    <n v="-3.8233333333333337"/>
    <n v="-0.62295706184174982"/>
    <n v="-3.7711404897304438E-15"/>
    <n v="0.68090586958199417"/>
    <n v="1024.324183544873"/>
    <m/>
    <x v="20"/>
    <m/>
    <s v=""/>
    <n v="-1024.324183544873"/>
    <s v=""/>
  </r>
  <r>
    <s v="529323283"/>
    <s v="720000392740"/>
    <s v="iHerb_MH DLE7202"/>
    <s v="Доставлен"/>
    <d v="2024-09-23T00:00:00"/>
    <x v="27"/>
    <s v="Витамины"/>
    <s v="NBC-01016"/>
    <x v="8"/>
    <x v="97"/>
    <n v="9.35"/>
    <n v="-2.6166666666666667"/>
    <n v="-0.42685660275452325"/>
    <n v="-2.5840243518505751E-15"/>
    <n v="0.46656372339064722"/>
    <n v="701.87749347375939"/>
    <n v="1800"/>
    <x v="736"/>
    <s v="&lt;Клиент не выбран&gt;"/>
    <s v="2025 04"/>
    <n v="1098.1225065262406"/>
    <n v="1.5645501055908917"/>
  </r>
  <r>
    <s v="529323283"/>
    <s v="720000392740"/>
    <s v="iHerb_MH DLE7202"/>
    <s v="Доставлен"/>
    <d v="2024-09-23T00:00:00"/>
    <x v="27"/>
    <s v="Витамины"/>
    <s v="NBC-01016"/>
    <x v="8"/>
    <x v="97"/>
    <n v="9.35"/>
    <n v="-2.6166666666666667"/>
    <n v="-0.42685660275452325"/>
    <n v="-2.5840243518505751E-15"/>
    <n v="0.46656372339064722"/>
    <n v="701.87749347375939"/>
    <n v="1600"/>
    <x v="737"/>
    <m/>
    <s v="2025 10"/>
    <n v="898.12250652624061"/>
    <n v="1.2796000938585703"/>
  </r>
  <r>
    <s v="529323283"/>
    <s v="720000392740"/>
    <s v="iHerb_MH DLE7202"/>
    <s v="Доставлен"/>
    <d v="2024-09-23T00:00:00"/>
    <x v="27"/>
    <s v="Витамины"/>
    <s v="NBC-01016"/>
    <x v="8"/>
    <x v="97"/>
    <n v="9.35"/>
    <n v="-2.6166666666666667"/>
    <n v="-0.42685660275452325"/>
    <n v="-2.5840243518505751E-15"/>
    <n v="0.46656372339064722"/>
    <n v="701.87749347375939"/>
    <m/>
    <x v="20"/>
    <m/>
    <s v=""/>
    <n v="-701.87749347375939"/>
    <s v=""/>
  </r>
  <r>
    <s v="529323283"/>
    <s v="720000392740"/>
    <s v="iHerb_MH DLE7202"/>
    <s v="Доставлен"/>
    <d v="2024-09-23T00:00:00"/>
    <x v="27"/>
    <s v="Витамины"/>
    <s v="NBC-00520"/>
    <x v="8"/>
    <x v="733"/>
    <n v="10.84"/>
    <n v="-3.0350000000000001"/>
    <n v="-0.4947944234404536"/>
    <n v="-2.9952935741871892E-15"/>
    <n v="0.54082126649465367"/>
    <n v="813.58720344990479"/>
    <n v="1700"/>
    <x v="738"/>
    <s v="&lt;Клиент не выбран&gt;"/>
    <s v="2025 04"/>
    <n v="886.41279655009521"/>
    <n v="1.0895117238710041"/>
  </r>
  <r>
    <s v="529323283"/>
    <s v="720000392740"/>
    <s v="iHerb_MH DLE7202"/>
    <s v="Доставлен"/>
    <d v="2024-09-23T00:00:00"/>
    <x v="27"/>
    <s v="Витамины"/>
    <s v="NBC-00520"/>
    <x v="8"/>
    <x v="733"/>
    <n v="10.84"/>
    <n v="-3.0350000000000001"/>
    <n v="-0.4947944234404536"/>
    <n v="-2.9952935741871892E-15"/>
    <n v="0.54082126649465367"/>
    <n v="813.58720344990479"/>
    <n v="1800"/>
    <x v="410"/>
    <s v="&lt;Клиент не выбран&gt;"/>
    <s v="2025 04"/>
    <n v="986.41279655009521"/>
    <n v="1.2124241782163574"/>
  </r>
  <r>
    <s v="529323283"/>
    <s v="720000392740"/>
    <s v="iHerb_MH DLE7202"/>
    <s v="Доставлен"/>
    <d v="2024-09-23T00:00:00"/>
    <x v="27"/>
    <s v="Косметика"/>
    <s v="NBC-01067"/>
    <x v="8"/>
    <x v="1387"/>
    <n v="6.07"/>
    <n v="-1.7"/>
    <n v="-0.27703416149068316"/>
    <n v="-1.6770573887505466E-15"/>
    <n v="0.30280447592333598"/>
    <n v="455.52544254658352"/>
    <n v="1000"/>
    <x v="566"/>
    <s v="&lt;Клиент не выбран&gt;"/>
    <s v="2024 10"/>
    <n v="544.47455745341654"/>
    <n v="1.1952670621635735"/>
  </r>
  <r>
    <s v="529323283"/>
    <s v="720000392740"/>
    <s v="iHerb_MH DLE7202"/>
    <s v="Доставлен"/>
    <d v="2024-09-23T00:00:00"/>
    <x v="27"/>
    <s v="Косметика"/>
    <s v="NBC-01066"/>
    <x v="8"/>
    <x v="1388"/>
    <n v="6.07"/>
    <n v="-1.7"/>
    <n v="-0.27703416149068316"/>
    <n v="-1.6770573887505466E-15"/>
    <n v="0.30280447592333598"/>
    <n v="455.52544254658352"/>
    <m/>
    <x v="20"/>
    <m/>
    <s v=""/>
    <n v="-455.52544254658352"/>
    <s v=""/>
  </r>
  <r>
    <s v="529323283"/>
    <s v="720000392740"/>
    <s v="iHerb_MH DLE7202"/>
    <s v="Доставлен"/>
    <d v="2024-09-23T00:00:00"/>
    <x v="27"/>
    <s v="Витамины"/>
    <s v="NBC-01015"/>
    <x v="8"/>
    <x v="1389"/>
    <n v="23.34"/>
    <n v="-6.54"/>
    <n v="-1.0650283553875235"/>
    <n v="-6.4472686798648016E-15"/>
    <n v="1.1640995870736945"/>
    <n v="1751.219092627598"/>
    <n v="3100"/>
    <x v="736"/>
    <s v="&lt;Клиент не выбран&gt;"/>
    <s v="2025 04"/>
    <n v="1348.780907372402"/>
    <n v="0.77019541018630522"/>
  </r>
  <r>
    <s v="529323283"/>
    <s v="720000392740"/>
    <s v="iHerb_MH DLE7202"/>
    <s v="Доставлен"/>
    <d v="2024-09-23T00:00:00"/>
    <x v="27"/>
    <s v="Витамины"/>
    <s v="NBC-01001"/>
    <x v="8"/>
    <x v="1390"/>
    <n v="21.43"/>
    <n v="-6"/>
    <n v="-0.97817782878746939"/>
    <n v="-5.9215092696615412E-15"/>
    <n v="1.069170037413518"/>
    <n v="1608.4113451930855"/>
    <n v="2800"/>
    <x v="739"/>
    <s v="Анна Володарское шоссе"/>
    <s v="2026 01"/>
    <n v="1191.5886548069145"/>
    <n v="0.74084820302226073"/>
  </r>
  <r>
    <s v="529323283"/>
    <s v="720000392740"/>
    <s v="iHerb_MH DLE7202"/>
    <s v="Доставлен"/>
    <d v="2024-09-23T00:00:00"/>
    <x v="27"/>
    <s v="Витамины"/>
    <s v="NBC-00586"/>
    <x v="8"/>
    <x v="1391"/>
    <n v="55.15"/>
    <n v="-15.44"/>
    <n v="-2.5173973805022949"/>
    <n v="-1.5239347576037578E-14"/>
    <n v="2.7515711073033575"/>
    <n v="4139.3398909667803"/>
    <n v="4139.34"/>
    <x v="20"/>
    <m/>
    <s v=""/>
    <n v="1.0903321981459158E-4"/>
    <n v="2.6340726465234986E-8"/>
  </r>
  <r>
    <s v="529323283"/>
    <s v="720000392740"/>
    <s v="iHerb_MH DLE7202"/>
    <s v="Доставлен"/>
    <d v="2024-09-23T00:00:00"/>
    <x v="27"/>
    <s v="Косметика"/>
    <s v="RNA-80873"/>
    <x v="165"/>
    <x v="1392"/>
    <n v="4.8"/>
    <n v="-2.65"/>
    <n v="-0.13629827167161759"/>
    <n v="-8.2509688462555495E-16"/>
    <n v="0.14897703048859778"/>
    <n v="224.1143481636509"/>
    <m/>
    <x v="20"/>
    <m/>
    <s v=""/>
    <n v="-224.1143481636509"/>
    <s v=""/>
  </r>
  <r>
    <s v="529486871"/>
    <s v="720000415326"/>
    <s v="iHerb_MH DLE7202"/>
    <s v="Доставлен"/>
    <d v="2024-09-28T00:00:00"/>
    <x v="27"/>
    <s v="Витамины"/>
    <s v="SMO-45805"/>
    <x v="247"/>
    <x v="1140"/>
    <n v="29.93"/>
    <n v="-8.3800000000000008"/>
    <n v="0"/>
    <n v="-6.2501947877463757E-15"/>
    <n v="1.135508813223278"/>
    <n v="2336.3805410990335"/>
    <n v="3300"/>
    <x v="598"/>
    <s v="Даша Калифорния"/>
    <s v="2025 12"/>
    <n v="963.61945890096649"/>
    <n v="0.41244114216414413"/>
  </r>
  <r>
    <s v="529486871"/>
    <s v="720000415326"/>
    <s v="iHerb_MH DLE7202"/>
    <s v="Доставлен"/>
    <d v="2024-09-28T00:00:00"/>
    <x v="27"/>
    <s v="Витамины"/>
    <s v="SRE-01080"/>
    <x v="36"/>
    <x v="1322"/>
    <n v="24.22"/>
    <n v="-6.78"/>
    <n v="0"/>
    <n v="-5.0581622783432388E-15"/>
    <n v="0.91894541543452302"/>
    <n v="1890.7877789683132"/>
    <n v="3200"/>
    <x v="654"/>
    <s v="&lt;Клиент не выбран&gt;"/>
    <s v="2025 02"/>
    <n v="1309.2122210316868"/>
    <n v="0.69241626987140958"/>
  </r>
  <r>
    <s v="529486871"/>
    <s v="720000415326"/>
    <s v="iHerb_MH DLE7202"/>
    <s v="Доставлен"/>
    <d v="2024-09-28T00:00:00"/>
    <x v="27"/>
    <s v="Косметика"/>
    <s v="MBY-05089"/>
    <x v="30"/>
    <x v="67"/>
    <n v="13.08"/>
    <n v="-3.66"/>
    <n v="0"/>
    <n v="-2.732103707683103E-15"/>
    <n v="0.49635698471291323"/>
    <n v="1021.2856007959581"/>
    <m/>
    <x v="20"/>
    <m/>
    <s v=""/>
    <n v="-1021.2856007959581"/>
    <s v=""/>
  </r>
  <r>
    <s v="529486871"/>
    <s v="720000415326"/>
    <s v="iHerb_MH DLE7202"/>
    <s v="Доставлен"/>
    <d v="2024-09-28T00:00:00"/>
    <x v="27"/>
    <s v="Косметика"/>
    <s v="MBY-05089"/>
    <x v="30"/>
    <x v="67"/>
    <n v="13.08"/>
    <n v="-3.66"/>
    <n v="0"/>
    <n v="-2.732103707683103E-15"/>
    <n v="0.49635698471291323"/>
    <n v="1021.2856007959581"/>
    <m/>
    <x v="20"/>
    <m/>
    <s v=""/>
    <n v="-1021.2856007959581"/>
    <s v=""/>
  </r>
  <r>
    <s v="529486871"/>
    <s v="720000415326"/>
    <s v="iHerb_MH DLE7202"/>
    <s v="Доставлен"/>
    <d v="2024-09-28T00:00:00"/>
    <x v="27"/>
    <s v="Косметика"/>
    <s v="MBY-48312"/>
    <x v="30"/>
    <x v="1393"/>
    <n v="7.59"/>
    <n v="-2.13"/>
    <n v="0"/>
    <n v="-1.5835760343895691E-15"/>
    <n v="0.28769736056608347"/>
    <n v="591.95534823205219"/>
    <m/>
    <x v="20"/>
    <m/>
    <s v=""/>
    <n v="-591.95534823205219"/>
    <s v=""/>
  </r>
  <r>
    <s v="529486871"/>
    <s v="720000415326"/>
    <s v="iHerb_MH DLE7202"/>
    <s v="Доставлен"/>
    <d v="2024-09-28T00:00:00"/>
    <x v="27"/>
    <s v="Косметика"/>
    <s v="MBY-54140"/>
    <x v="30"/>
    <x v="1394"/>
    <n v="19.649999999999999"/>
    <n v="-5.5"/>
    <n v="0"/>
    <n v="-4.1039562063392677E-15"/>
    <n v="0.74558931355495972"/>
    <n v="1534.0967358028461"/>
    <m/>
    <x v="20"/>
    <m/>
    <s v=""/>
    <n v="-1534.0967358028461"/>
    <s v=""/>
  </r>
  <r>
    <s v="529486871"/>
    <s v="720000415326"/>
    <s v="iHerb_MH DLE7202"/>
    <s v="Доставлен"/>
    <d v="2024-09-28T00:00:00"/>
    <x v="27"/>
    <s v="Витамины"/>
    <s v="NOR-56780"/>
    <x v="9"/>
    <x v="20"/>
    <n v="21.34"/>
    <n v="-5.98"/>
    <n v="0"/>
    <n v="-4.4548952176234034E-15"/>
    <n v="0.8093464209331579"/>
    <n v="1665.2809796418171"/>
    <n v="2800"/>
    <x v="471"/>
    <s v="&lt;Клиент не выбран&gt;"/>
    <s v="2024 11"/>
    <n v="1134.7190203581829"/>
    <n v="0.681397934781101"/>
  </r>
  <r>
    <s v="529486871"/>
    <s v="720000415326"/>
    <s v="iHerb_MH DLE7202"/>
    <s v="Доставлен"/>
    <d v="2024-09-28T00:00:00"/>
    <x v="27"/>
    <s v="Витамины"/>
    <s v="NOR-01775"/>
    <x v="9"/>
    <x v="1395"/>
    <n v="22.68"/>
    <n v="-6.35"/>
    <n v="0"/>
    <n v="-4.7362264911321723E-15"/>
    <n v="0.86045749048427522"/>
    <n v="1770.4452081738852"/>
    <n v="2900"/>
    <x v="498"/>
    <s v="&lt;Клиент не выбран&gt;"/>
    <s v="2024 10"/>
    <n v="1129.5547918261148"/>
    <n v="0.63800607136054044"/>
  </r>
  <r>
    <s v="529486871"/>
    <s v="720000415326"/>
    <s v="iHerb_MH DLE7202"/>
    <s v="Доставлен"/>
    <d v="2024-09-28T00:00:00"/>
    <x v="27"/>
    <s v="Витамины"/>
    <s v="CLF-07210"/>
    <x v="72"/>
    <x v="202"/>
    <n v="19.21"/>
    <n v="-5.38"/>
    <n v="0"/>
    <n v="-4.0111458893054479E-15"/>
    <n v="0.72872792978551915"/>
    <n v="1499.4033820603083"/>
    <n v="2400"/>
    <x v="729"/>
    <s v="&lt;Клиент не выбран&gt;"/>
    <s v="2024 10"/>
    <n v="900.59661793969167"/>
    <n v="0.60063664569183173"/>
  </r>
  <r>
    <s v="529486871"/>
    <s v="720000415326"/>
    <s v="iHerb_MH DLE7202"/>
    <s v="Доставлен"/>
    <d v="2024-09-28T00:00:00"/>
    <x v="27"/>
    <s v="Витамины"/>
    <s v="CLF-07210"/>
    <x v="72"/>
    <x v="202"/>
    <n v="19.21"/>
    <n v="-5.38"/>
    <n v="0"/>
    <n v="-4.0111458893054479E-15"/>
    <n v="0.72872792978551915"/>
    <n v="1499.4033820603083"/>
    <n v="2400"/>
    <x v="729"/>
    <s v="&lt;Клиент не выбран&gt;"/>
    <s v="2024 10"/>
    <n v="900.59661793969167"/>
    <n v="0.60063664569183173"/>
  </r>
  <r>
    <s v="529486871"/>
    <s v="720000415326"/>
    <s v="iHerb_MH DLE7202"/>
    <s v="Доставлен"/>
    <d v="2024-09-28T00:00:00"/>
    <x v="27"/>
    <s v="Витамины"/>
    <s v="BLB-00699"/>
    <x v="186"/>
    <x v="1396"/>
    <n v="25.8"/>
    <n v="-7.22"/>
    <n v="0"/>
    <n v="-5.3887990327762268E-15"/>
    <n v="0.97901409511315607"/>
    <n v="2014.3828516761048"/>
    <n v="3400"/>
    <x v="520"/>
    <s v="&lt;Клиент не выбран&gt;"/>
    <s v="2025 01"/>
    <n v="1385.6171483238952"/>
    <n v="0.68786186656174453"/>
  </r>
  <r>
    <s v="529486871"/>
    <s v="720000415326"/>
    <s v="iHerb_MH DLE7202"/>
    <s v="Доставлен"/>
    <d v="2024-09-28T00:00:00"/>
    <x v="27"/>
    <s v="Витамины"/>
    <s v="SOR-04561"/>
    <x v="10"/>
    <x v="1397"/>
    <n v="20.87"/>
    <n v="-5.84"/>
    <n v="0"/>
    <n v="-4.3591845781822759E-15"/>
    <n v="0.79195811892092216"/>
    <n v="1629.5034585948254"/>
    <n v="2700"/>
    <x v="588"/>
    <m/>
    <s v="2025 10"/>
    <n v="1070.4965414051746"/>
    <n v="0.65694646780823596"/>
  </r>
  <r>
    <s v="529486871"/>
    <s v="720000415326"/>
    <s v="iHerb_MH DLE7202"/>
    <s v="Доставлен"/>
    <d v="2024-09-28T00:00:00"/>
    <x v="27"/>
    <s v="Витамины"/>
    <s v="NFS-01016"/>
    <x v="23"/>
    <x v="1398"/>
    <n v="17.77"/>
    <n v="-4.9749999999999996"/>
    <n v="0"/>
    <n v="-3.7109625201491825E-15"/>
    <n v="0.67419189165623394"/>
    <n v="1387.1920660492872"/>
    <n v="2400"/>
    <x v="536"/>
    <m/>
    <s v="2026 01"/>
    <n v="1012.8079339507128"/>
    <n v="0.73011370143947141"/>
  </r>
  <r>
    <s v="529486871"/>
    <s v="720000415326"/>
    <s v="iHerb_MH DLE7202"/>
    <s v="Доставлен"/>
    <d v="2024-09-28T00:00:00"/>
    <x v="27"/>
    <s v="Витамины"/>
    <s v="NFS-01016"/>
    <x v="23"/>
    <x v="1398"/>
    <n v="17.77"/>
    <n v="-4.9749999999999996"/>
    <n v="0"/>
    <n v="-3.7109625201491825E-15"/>
    <n v="0.67419189165623394"/>
    <n v="1387.1920660492872"/>
    <m/>
    <x v="20"/>
    <m/>
    <s v=""/>
    <n v="-1387.1920660492872"/>
    <s v=""/>
  </r>
  <r>
    <s v="529375167"/>
    <s v="720000399194"/>
    <s v="iHerb_AV CYG0792"/>
    <s v="Доставлен"/>
    <d v="2024-09-25T00:00:00"/>
    <x v="27"/>
    <s v="Витамины"/>
    <s v="NOW-01480"/>
    <x v="3"/>
    <x v="165"/>
    <n v="6.17"/>
    <n v="-1.73"/>
    <n v="0"/>
    <n v="-7.0091307415570852E-16"/>
    <n v="0.25465912914804395"/>
    <n v="483.5384170184401"/>
    <n v="1100"/>
    <x v="740"/>
    <s v="Надежда Витамины"/>
    <s v="2025 08"/>
    <n v="616.4615829815599"/>
    <n v="1.2748968050620282"/>
  </r>
  <r>
    <s v="529375167"/>
    <s v="720000399194"/>
    <s v="iHerb_AV CYG0792"/>
    <s v="Доставлен"/>
    <d v="2024-09-25T00:00:00"/>
    <x v="27"/>
    <s v="Витамины"/>
    <s v="NOW-01480"/>
    <x v="3"/>
    <x v="165"/>
    <n v="6.17"/>
    <n v="-1.73"/>
    <n v="0"/>
    <n v="-7.0091307415570852E-16"/>
    <n v="0.25465912914804395"/>
    <n v="483.5384170184401"/>
    <n v="1000"/>
    <x v="319"/>
    <s v="Надежда Витамины"/>
    <s v="2025 10"/>
    <n v="516.4615829815599"/>
    <n v="1.0680880046018437"/>
  </r>
  <r>
    <s v="529375167"/>
    <s v="720000399194"/>
    <s v="iHerb_AV CYG0792"/>
    <s v="Доставлен"/>
    <d v="2024-09-25T00:00:00"/>
    <x v="27"/>
    <s v="Витамины"/>
    <s v="NOW-01486"/>
    <x v="3"/>
    <x v="401"/>
    <n v="15.2"/>
    <n v="-4.2549999999999999"/>
    <n v="0"/>
    <n v="-1.7278138731158178E-15"/>
    <n v="0.62775769561381556"/>
    <n v="1191.9657599700065"/>
    <n v="2200"/>
    <x v="710"/>
    <s v="&lt;Клиент не выбран&gt;"/>
    <s v="2025 01"/>
    <n v="1008.0342400299935"/>
    <n v="0.84569060109189609"/>
  </r>
  <r>
    <s v="529375167"/>
    <s v="720000399194"/>
    <s v="iHerb_AV CYG0792"/>
    <s v="Доставлен"/>
    <d v="2024-09-25T00:00:00"/>
    <x v="27"/>
    <s v="Витамины"/>
    <s v="NOW-01486"/>
    <x v="3"/>
    <x v="401"/>
    <n v="15.2"/>
    <n v="-4.2549999999999999"/>
    <n v="0"/>
    <n v="-1.7278138731158178E-15"/>
    <n v="0.62775769561381556"/>
    <n v="1191.9657599700065"/>
    <n v="1900"/>
    <x v="734"/>
    <s v="&lt;Клиент не выбран&gt;"/>
    <s v="2025 05"/>
    <n v="708.0342400299935"/>
    <n v="0.59400551912481936"/>
  </r>
  <r>
    <s v="529375167"/>
    <s v="720000399194"/>
    <s v="iHerb_AV CYG0792"/>
    <s v="Доставлен"/>
    <d v="2024-09-25T00:00:00"/>
    <x v="27"/>
    <s v="Витамины"/>
    <s v="NOW-00436"/>
    <x v="3"/>
    <x v="1399"/>
    <n v="21.09"/>
    <n v="-5.91"/>
    <n v="0"/>
    <n v="-2.3963649697485711E-15"/>
    <n v="0.87065891451966382"/>
    <n v="1653.1786419684511"/>
    <n v="2650"/>
    <x v="552"/>
    <s v="&lt;Клиент не выбран&gt;"/>
    <s v="2024 10"/>
    <n v="996.82135803154893"/>
    <n v="0.60297256008862232"/>
  </r>
  <r>
    <s v="529375167"/>
    <s v="720000399194"/>
    <s v="iHerb_AV CYG0792"/>
    <s v="Доставлен"/>
    <d v="2024-09-25T00:00:00"/>
    <x v="27"/>
    <s v="Витамины"/>
    <s v="NOW-00690"/>
    <x v="3"/>
    <x v="1400"/>
    <n v="11.07"/>
    <n v="-3.1"/>
    <n v="0"/>
    <n v="-1.258170540770495E-15"/>
    <n v="0.45712460795268256"/>
    <n v="867.97323955787601"/>
    <n v="1650"/>
    <x v="552"/>
    <s v="&lt;Клиент не выбран&gt;"/>
    <s v="2024 10"/>
    <n v="782.02676044212399"/>
    <n v="0.9009802662124341"/>
  </r>
  <r>
    <s v="529375167"/>
    <s v="720000399194"/>
    <s v="iHerb_AV CYG0792"/>
    <s v="Доставлен"/>
    <d v="2024-09-25T00:00:00"/>
    <x v="27"/>
    <s v="Витамины"/>
    <s v="NOW-02632"/>
    <x v="3"/>
    <x v="1011"/>
    <n v="20.52"/>
    <n v="-5.75"/>
    <n v="0"/>
    <n v="-2.3316410147026613E-15"/>
    <n v="0.84714309403527233"/>
    <n v="1608.52757192846"/>
    <n v="2600"/>
    <x v="552"/>
    <s v="&lt;Клиент не выбран&gt;"/>
    <s v="2024 10"/>
    <n v="991.47242807153998"/>
    <n v="0.61638509987296397"/>
  </r>
  <r>
    <s v="529375167"/>
    <s v="720000399194"/>
    <s v="iHerb_AV CYG0792"/>
    <s v="Доставлен"/>
    <d v="2024-09-25T00:00:00"/>
    <x v="27"/>
    <s v="Витамины"/>
    <s v="NOW-04632"/>
    <x v="3"/>
    <x v="1401"/>
    <n v="16.47"/>
    <n v="-4.6100000000000003"/>
    <n v="0"/>
    <n v="-1.8722587971816899E-15"/>
    <n v="0.68023812425581109"/>
    <n v="1291.613879693401"/>
    <n v="2100"/>
    <x v="724"/>
    <s v="&lt;Клиент не выбран&gt;"/>
    <s v="2024 10"/>
    <n v="808.38612030659897"/>
    <n v="0.62587289670384383"/>
  </r>
  <r>
    <s v="529375167"/>
    <s v="720000399194"/>
    <s v="iHerb_AV CYG0792"/>
    <s v="Доставлен"/>
    <d v="2024-09-25T00:00:00"/>
    <x v="27"/>
    <s v="Витамины"/>
    <s v="NOW-04632"/>
    <x v="3"/>
    <x v="1401"/>
    <n v="16.47"/>
    <n v="-4.6100000000000003"/>
    <n v="0"/>
    <n v="-1.8722587971816899E-15"/>
    <n v="0.68023812425581109"/>
    <n v="1291.613879693401"/>
    <n v="2100"/>
    <x v="724"/>
    <s v="&lt;Клиент не выбран&gt;"/>
    <s v="2024 10"/>
    <n v="808.38612030659897"/>
    <n v="0.62587289670384383"/>
  </r>
  <r>
    <s v="529375167"/>
    <s v="720000399194"/>
    <s v="iHerb_AV CYG0792"/>
    <s v="Доставлен"/>
    <d v="2024-09-25T00:00:00"/>
    <x v="27"/>
    <s v="Витамины"/>
    <s v="NOW-04726"/>
    <x v="3"/>
    <x v="48"/>
    <n v="18.59"/>
    <n v="-5.2050000000000001"/>
    <n v="0"/>
    <n v="-2.1130003372914774E-15"/>
    <n v="0.76770550532580373"/>
    <n v="1457.6940792323924"/>
    <n v="2400"/>
    <x v="741"/>
    <s v="&lt;Клиент не выбран&gt;"/>
    <s v="2025 03"/>
    <n v="942.30592076760763"/>
    <n v="0.64643599380181116"/>
  </r>
  <r>
    <s v="529375167"/>
    <s v="720000399194"/>
    <s v="iHerb_AV CYG0792"/>
    <s v="Доставлен"/>
    <d v="2024-09-25T00:00:00"/>
    <x v="27"/>
    <s v="Витамины"/>
    <s v="NOW-04726"/>
    <x v="3"/>
    <x v="48"/>
    <n v="18.59"/>
    <n v="-5.2050000000000001"/>
    <n v="0"/>
    <n v="-2.1130003372914774E-15"/>
    <n v="0.76770550532580373"/>
    <n v="1457.6940792323924"/>
    <n v="2400"/>
    <x v="741"/>
    <s v="&lt;Клиент не выбран&gt;"/>
    <s v="2025 03"/>
    <n v="942.30592076760763"/>
    <n v="0.64643599380181116"/>
  </r>
  <r>
    <s v="529375167"/>
    <s v="720000399194"/>
    <s v="iHerb_AV CYG0792"/>
    <s v="Доставлен"/>
    <d v="2024-09-25T00:00:00"/>
    <x v="27"/>
    <s v="Витамины"/>
    <s v="TGY-38071"/>
    <x v="221"/>
    <x v="1402"/>
    <n v="15"/>
    <n v="-8.31"/>
    <n v="0"/>
    <n v="-1.0561055103832637E-15"/>
    <n v="0.38370936351360679"/>
    <n v="728.57477699400113"/>
    <m/>
    <x v="20"/>
    <m/>
    <s v=""/>
    <n v="-728.57477699400113"/>
    <s v=""/>
  </r>
  <r>
    <s v="529375167"/>
    <s v="720000399194"/>
    <s v="iHerb_AV CYG0792"/>
    <s v="Доставлен"/>
    <d v="2024-09-25T00:00:00"/>
    <x v="27"/>
    <s v="Витамины"/>
    <s v="NOW-01292"/>
    <x v="3"/>
    <x v="1014"/>
    <n v="30.48"/>
    <n v="-8.5350000000000001"/>
    <n v="0"/>
    <n v="-3.464310228006087E-15"/>
    <n v="1.2586699525121228"/>
    <n v="2389.9212976283043"/>
    <n v="3600"/>
    <x v="666"/>
    <s v="&lt;Клиент не выбран&gt;"/>
    <s v="2024 11"/>
    <n v="1210.0787023716957"/>
    <n v="0.50632575372776767"/>
  </r>
  <r>
    <s v="529375167"/>
    <s v="720000399194"/>
    <s v="iHerb_AV CYG0792"/>
    <s v="Доставлен"/>
    <d v="2024-09-25T00:00:00"/>
    <x v="27"/>
    <s v="Витамины"/>
    <s v="NOW-01292"/>
    <x v="3"/>
    <x v="1014"/>
    <n v="30.48"/>
    <n v="-8.5350000000000001"/>
    <n v="0"/>
    <n v="-3.464310228006087E-15"/>
    <n v="1.2586699525121228"/>
    <n v="2389.9212976283043"/>
    <n v="3700"/>
    <x v="622"/>
    <s v="&lt;Клиент не выбран&gt;"/>
    <s v="2024 12"/>
    <n v="1310.0787023716957"/>
    <n v="0.54816813577576118"/>
  </r>
  <r>
    <s v="529375167"/>
    <s v="720000399194"/>
    <s v="iHerb_AV CYG0792"/>
    <s v="Доставлен"/>
    <d v="2024-09-25T00:00:00"/>
    <x v="27"/>
    <s v="Витамины"/>
    <s v="NOW-01290"/>
    <x v="3"/>
    <x v="1403"/>
    <n v="14.28"/>
    <n v="-4"/>
    <n v="0"/>
    <n v="-1.6228347752974514E-15"/>
    <n v="0.58961618190132703"/>
    <n v="1119.5439024661184"/>
    <n v="2000"/>
    <x v="545"/>
    <s v="&lt;Клиент не выбран&gt;"/>
    <s v="2025 02"/>
    <n v="880.45609753388158"/>
    <n v="0.78644177829419915"/>
  </r>
  <r>
    <s v="529555858"/>
    <s v="720000425262"/>
    <s v="iHerb_AV CYG0792"/>
    <s v="Доставлен"/>
    <d v="2024-09-30T00:00:00"/>
    <x v="27"/>
    <s v="Витамины"/>
    <s v="BLB-00683"/>
    <x v="186"/>
    <x v="1219"/>
    <n v="26.77"/>
    <n v="-7.5"/>
    <n v="0"/>
    <n v="2.9241128709230394E-15"/>
    <n v="0.9543388387203684"/>
    <n v="2093.8410249154658"/>
    <n v="3200"/>
    <x v="730"/>
    <s v="&lt;Клиент не выбран&gt;"/>
    <s v="2024 10"/>
    <n v="1106.1589750845342"/>
    <n v="0.52829176710261128"/>
  </r>
  <r>
    <s v="529555858"/>
    <s v="720000425262"/>
    <s v="iHerb_AV CYG0792"/>
    <s v="Доставлен"/>
    <d v="2024-09-30T00:00:00"/>
    <x v="27"/>
    <s v="Витамины"/>
    <s v="SNS-00803"/>
    <x v="151"/>
    <x v="868"/>
    <n v="17.21"/>
    <n v="-4.82"/>
    <n v="0"/>
    <n v="1.8801120119738693E-15"/>
    <n v="0.61360966329763178"/>
    <n v="1346.2734975974377"/>
    <n v="2500"/>
    <x v="742"/>
    <s v="&lt;Клиент не выбран&gt;"/>
    <s v="2025 01"/>
    <n v="1153.7265024025623"/>
    <n v="0.85697780165880477"/>
  </r>
  <r>
    <s v="529555858"/>
    <s v="720000425262"/>
    <s v="iHerb_AV CYG0792"/>
    <s v="Доставлен"/>
    <d v="2024-09-30T00:00:00"/>
    <x v="27"/>
    <s v="Витамины"/>
    <s v="SNS-00803"/>
    <x v="151"/>
    <x v="868"/>
    <n v="17.21"/>
    <n v="-4.82"/>
    <n v="0"/>
    <n v="1.8801120119738693E-15"/>
    <n v="0.61360966329763178"/>
    <n v="1346.2734975974377"/>
    <n v="2400"/>
    <x v="582"/>
    <s v="&lt;Клиент не выбран&gt;"/>
    <s v="2025 02"/>
    <n v="1053.7265024025623"/>
    <n v="0.78269868959245259"/>
  </r>
  <r>
    <s v="529555858"/>
    <s v="720000425262"/>
    <s v="iHerb_AV CYG0792"/>
    <s v="Доставлен"/>
    <d v="2024-09-30T00:00:00"/>
    <x v="27"/>
    <s v="Витамины"/>
    <s v="NOR-56780"/>
    <x v="9"/>
    <x v="20"/>
    <n v="21.34"/>
    <n v="-5.98"/>
    <n v="0"/>
    <n v="2.33079261532838E-15"/>
    <n v="0.7606976939670399"/>
    <n v="1668.9879679658306"/>
    <n v="2800"/>
    <x v="321"/>
    <s v="&lt;Клиент не выбран&gt;"/>
    <s v="2024 12"/>
    <n v="1131.0120320341694"/>
    <n v="0.67766338268612647"/>
  </r>
  <r>
    <s v="529555858"/>
    <s v="720000425262"/>
    <s v="iHerb_AV CYG0792"/>
    <s v="Доставлен"/>
    <d v="2024-09-30T00:00:00"/>
    <x v="27"/>
    <s v="Витамины"/>
    <s v="SOR-11107"/>
    <x v="10"/>
    <x v="1404"/>
    <n v="22.91"/>
    <n v="-6.41"/>
    <n v="0"/>
    <n v="2.5037811297472833E-15"/>
    <n v="0.81715572594115615"/>
    <n v="1792.8581687132946"/>
    <n v="2900"/>
    <x v="442"/>
    <s v="&lt;Клиент не выбран&gt;"/>
    <s v="2024 11"/>
    <n v="1107.1418312867054"/>
    <n v="0.61752895494309135"/>
  </r>
  <r>
    <s v="529555858"/>
    <s v="720000425262"/>
    <s v="iHerb_AV CYG0792"/>
    <s v="Доставлен"/>
    <d v="2024-09-30T00:00:00"/>
    <x v="27"/>
    <s v="Витамины"/>
    <s v="NOW-00142"/>
    <x v="3"/>
    <x v="1207"/>
    <n v="11.07"/>
    <n v="-3.1"/>
    <n v="0"/>
    <n v="1.2094021578233847E-15"/>
    <n v="0.39471097792430393"/>
    <n v="866.00482452393692"/>
    <n v="1700"/>
    <x v="441"/>
    <s v="&lt;Клиент не выбран&gt;"/>
    <s v="2024 11"/>
    <n v="833.99517547606308"/>
    <n v="0.96303756267700902"/>
  </r>
  <r>
    <s v="529555858"/>
    <s v="720000425262"/>
    <s v="iHerb_AV CYG0792"/>
    <s v="Доставлен"/>
    <d v="2024-09-30T00:00:00"/>
    <x v="27"/>
    <s v="Витамины"/>
    <s v="NOW-01292"/>
    <x v="3"/>
    <x v="1014"/>
    <n v="30.48"/>
    <n v="-8.5350000000000001"/>
    <n v="0"/>
    <n v="3.3300289025638867E-15"/>
    <n v="1.0868171155017377"/>
    <n v="2384.5013643886818"/>
    <n v="4000"/>
    <x v="708"/>
    <s v="&lt;Клиент не выбран&gt;"/>
    <s v="2025 01"/>
    <n v="1615.4986356113182"/>
    <n v="0.67749956436929359"/>
  </r>
  <r>
    <s v="529555858"/>
    <s v="720000425262"/>
    <s v="iHerb_AV CYG0792"/>
    <s v="Доставлен"/>
    <d v="2024-09-30T00:00:00"/>
    <x v="27"/>
    <s v="Витамины"/>
    <s v="NOW-01292"/>
    <x v="3"/>
    <x v="1014"/>
    <n v="30.48"/>
    <n v="-8.5350000000000001"/>
    <n v="0"/>
    <n v="3.3300289025638867E-15"/>
    <n v="1.0868171155017377"/>
    <n v="2384.5013643886818"/>
    <n v="4000"/>
    <x v="697"/>
    <s v="&lt;Клиент не выбран&gt;"/>
    <s v="2025 01"/>
    <n v="1615.4986356113182"/>
    <n v="0.67749956436929359"/>
  </r>
  <r>
    <s v="529555858"/>
    <s v="720000425262"/>
    <s v="iHerb_AV CYG0792"/>
    <s v="Доставлен"/>
    <d v="2024-09-30T00:00:00"/>
    <x v="27"/>
    <s v="Витамины"/>
    <s v="NOW-00085"/>
    <x v="3"/>
    <x v="260"/>
    <n v="16.61"/>
    <n v="-4.6500000000000004"/>
    <n v="0"/>
    <n v="1.8148619582895457E-15"/>
    <n v="0.59231408983371059"/>
    <n v="1299.5505271400607"/>
    <n v="2200"/>
    <x v="743"/>
    <s v="Оксана Черноморская"/>
    <s v="2025 09"/>
    <n v="900.44947285993931"/>
    <n v="0.69289300727811731"/>
  </r>
  <r>
    <s v="529555858"/>
    <s v="720000425262"/>
    <s v="iHerb_AV CYG0792"/>
    <s v="Доставлен"/>
    <d v="2024-09-30T00:00:00"/>
    <x v="27"/>
    <s v="Витамины"/>
    <s v="BLB-00298"/>
    <x v="186"/>
    <x v="748"/>
    <n v="9.48"/>
    <n v="-2.65"/>
    <n v="0"/>
    <n v="1.0364136434044814E-15"/>
    <n v="0.33825294595018768"/>
    <n v="742.13462377647284"/>
    <n v="1400"/>
    <x v="681"/>
    <s v="&lt;Клиент не выбран&gt;"/>
    <s v="2024 11"/>
    <n v="657.86537622352716"/>
    <n v="0.88645018726639124"/>
  </r>
  <r>
    <s v="529555858"/>
    <s v="720000425262"/>
    <s v="iHerb_AV CYG0792"/>
    <s v="Доставлен"/>
    <d v="2024-09-30T00:00:00"/>
    <x v="27"/>
    <s v="Витамины"/>
    <s v="NOW-01492"/>
    <x v="3"/>
    <x v="1405"/>
    <n v="23.35"/>
    <n v="-6.54"/>
    <n v="0"/>
    <n v="2.5508218661243539E-15"/>
    <n v="0.8325083486709598"/>
    <n v="1826.5421706709387"/>
    <n v="3100"/>
    <x v="736"/>
    <s v="Оксана Черноморская"/>
    <s v="2025 04"/>
    <n v="1273.4578293290613"/>
    <n v="0.69719596392416472"/>
  </r>
  <r>
    <s v="529555858"/>
    <s v="720000425262"/>
    <s v="iHerb_AV CYG0792"/>
    <s v="Доставлен"/>
    <d v="2024-09-30T00:00:00"/>
    <x v="27"/>
    <s v="Витамины"/>
    <s v="CAR-68730"/>
    <x v="154"/>
    <x v="1358"/>
    <n v="33.24"/>
    <n v="-9.31"/>
    <n v="0"/>
    <n v="3.6312413596880299E-15"/>
    <n v="1.1851234255619314"/>
    <n v="2600.1876349884324"/>
    <n v="3900"/>
    <x v="674"/>
    <s v="Татьяна Бригантина"/>
    <s v="2025 05"/>
    <n v="1299.8123650115676"/>
    <n v="0.49989175685675091"/>
  </r>
  <r>
    <s v="529444628"/>
    <s v="720000409068"/>
    <s v="iHerb_OA CZN6870"/>
    <s v="Доставлен"/>
    <d v="2024-09-27T00:00:00"/>
    <x v="27"/>
    <s v="Витамины"/>
    <s v="YOU-00316"/>
    <x v="71"/>
    <x v="990"/>
    <n v="30.35"/>
    <n v="-8.5"/>
    <n v="-1.0719014126130386"/>
    <n v="0"/>
    <n v="1.1984432824776672"/>
    <n v="2274.2942511432539"/>
    <n v="2265.21"/>
    <x v="243"/>
    <s v="&lt;Клиент не выбран&gt;"/>
    <s v="2024 09"/>
    <n v="-9.0842511432538231"/>
    <n v="-3.9943165395978581E-3"/>
  </r>
  <r>
    <s v="529444628"/>
    <s v="720000409068"/>
    <s v="iHerb_OA CZN6870"/>
    <s v="Доставлен"/>
    <d v="2024-09-27T00:00:00"/>
    <x v="27"/>
    <s v="Витамины"/>
    <s v="YOU-00316"/>
    <x v="71"/>
    <x v="990"/>
    <n v="30.35"/>
    <n v="-8.5"/>
    <n v="-1.0719014126130386"/>
    <n v="0"/>
    <n v="1.1984432824776672"/>
    <n v="2274.2942511432539"/>
    <n v="3400"/>
    <x v="726"/>
    <s v="&lt;Клиент не выбран&gt;"/>
    <s v="2024 11"/>
    <n v="1125.7057488567461"/>
    <n v="0.49496926279036702"/>
  </r>
  <r>
    <s v="529444628"/>
    <s v="720000409068"/>
    <s v="iHerb_OA CZN6870"/>
    <s v="Доставлен"/>
    <d v="2024-09-27T00:00:00"/>
    <x v="27"/>
    <s v="Витамины"/>
    <s v="VBH-80049"/>
    <x v="263"/>
    <x v="1406"/>
    <n v="23.31"/>
    <n v="-6.53"/>
    <n v="-0.82318103906850293"/>
    <n v="0"/>
    <n v="0.92036056201259731"/>
    <n v="1746.5747155232857"/>
    <m/>
    <x v="20"/>
    <m/>
    <s v=""/>
    <n v="-1746.5747155232857"/>
    <s v=""/>
  </r>
  <r>
    <s v="529444628"/>
    <s v="720000409068"/>
    <s v="iHerb_OA CZN6870"/>
    <s v="Доставлен"/>
    <d v="2024-09-27T00:00:00"/>
    <x v="27"/>
    <s v="Витамины"/>
    <s v="CEN-27387"/>
    <x v="2"/>
    <x v="23"/>
    <n v="28.34"/>
    <n v="-7.9349999999999996"/>
    <n v="-1.0010136532892018"/>
    <n v="0"/>
    <n v="1.1191869647119816"/>
    <n v="2123.8889791568922"/>
    <n v="3300"/>
    <x v="352"/>
    <s v="&lt;Клиент не выбран&gt;"/>
    <s v="2024 10"/>
    <n v="1176.1110208431078"/>
    <n v="0.55375353061532517"/>
  </r>
  <r>
    <s v="529444628"/>
    <s v="720000409068"/>
    <s v="iHerb_OA CZN6870"/>
    <s v="Доставлен"/>
    <d v="2024-09-27T00:00:00"/>
    <x v="27"/>
    <s v="Витамины"/>
    <s v="CEN-27387"/>
    <x v="2"/>
    <x v="23"/>
    <n v="28.34"/>
    <n v="-7.9349999999999996"/>
    <n v="-1.0010136532892018"/>
    <n v="0"/>
    <n v="1.1191869647119816"/>
    <n v="2123.8889791568922"/>
    <n v="3400"/>
    <x v="524"/>
    <s v="&lt;Клиент не выбран&gt;"/>
    <s v="2024 12"/>
    <n v="1276.1110208431078"/>
    <n v="0.60083697093700161"/>
  </r>
  <r>
    <s v="529444628"/>
    <s v="720000409068"/>
    <s v="iHerb_OA CZN6870"/>
    <s v="Доставлен"/>
    <d v="2024-09-27T00:00:00"/>
    <x v="27"/>
    <s v="Витамины"/>
    <s v="FBS-50151"/>
    <x v="20"/>
    <x v="1407"/>
    <n v="10.73"/>
    <n v="-3"/>
    <n v="-0.37921271942786222"/>
    <n v="0"/>
    <n v="0.42398016354930745"/>
    <n v="804.59014010697263"/>
    <n v="1800"/>
    <x v="613"/>
    <s v="&lt;Клиент не выбран&gt;"/>
    <s v="2024 12"/>
    <n v="995.40985989302737"/>
    <n v="1.2371638804331915"/>
  </r>
  <r>
    <s v="529444628"/>
    <s v="720000409068"/>
    <s v="iHerb_OA CZN6870"/>
    <s v="Доставлен"/>
    <d v="2024-09-27T00:00:00"/>
    <x v="27"/>
    <s v="Витамины"/>
    <s v="DRB-00133"/>
    <x v="6"/>
    <x v="621"/>
    <n v="17.690000000000001"/>
    <n v="-4.9550000000000001"/>
    <n v="-0.62474437023464757"/>
    <n v="0"/>
    <n v="0.69849772093149154"/>
    <n v="1325.5440406548896"/>
    <n v="2400"/>
    <x v="530"/>
    <s v="&lt;Клиент не выбран&gt;"/>
    <s v="2025 03"/>
    <n v="1074.4559593451104"/>
    <n v="0.81057733759964079"/>
  </r>
  <r>
    <s v="529444628"/>
    <s v="720000409068"/>
    <s v="iHerb_OA CZN6870"/>
    <s v="Доставлен"/>
    <d v="2024-09-27T00:00:00"/>
    <x v="27"/>
    <s v="Витамины"/>
    <s v="DRB-00133"/>
    <x v="6"/>
    <x v="621"/>
    <n v="17.690000000000001"/>
    <n v="-4.9550000000000001"/>
    <n v="-0.62474437023464757"/>
    <n v="0"/>
    <n v="0.69849772093149154"/>
    <n v="1325.5440406548896"/>
    <n v="2400"/>
    <x v="668"/>
    <s v="&lt;Клиент не выбран&gt;"/>
    <s v="2025 04"/>
    <n v="1074.4559593451104"/>
    <n v="0.81057733759964079"/>
  </r>
  <r>
    <s v="529444628"/>
    <s v="720000409068"/>
    <s v="iHerb_OA CZN6870"/>
    <s v="Доставлен"/>
    <d v="2024-09-27T00:00:00"/>
    <x v="27"/>
    <s v="Витамины"/>
    <s v="DRB-00091"/>
    <x v="6"/>
    <x v="16"/>
    <n v="12.98"/>
    <n v="-3.6349999999999998"/>
    <n v="-0.45844021514273903"/>
    <n v="0"/>
    <n v="0.51256075399330903"/>
    <n v="972.69014997408271"/>
    <n v="1900"/>
    <x v="452"/>
    <s v="&lt;Клиент не выбран&gt;"/>
    <s v="2025 01"/>
    <n v="927.30985002591729"/>
    <n v="0.95334557469367343"/>
  </r>
  <r>
    <s v="529444628"/>
    <s v="720000409068"/>
    <s v="iHerb_OA CZN6870"/>
    <s v="Доставлен"/>
    <d v="2024-09-27T00:00:00"/>
    <x v="27"/>
    <s v="Витамины"/>
    <s v="DRB-00091"/>
    <x v="6"/>
    <x v="16"/>
    <n v="12.98"/>
    <n v="-3.6349999999999998"/>
    <n v="-0.45844021514273903"/>
    <n v="0"/>
    <n v="0.51256075399330903"/>
    <n v="972.69014997408271"/>
    <n v="1800"/>
    <x v="520"/>
    <s v="&lt;Клиент не выбран&gt;"/>
    <s v="2025 01"/>
    <n v="827.30985002591729"/>
    <n v="0.85053791286769065"/>
  </r>
  <r>
    <s v="529444628"/>
    <s v="720000409068"/>
    <s v="iHerb_OA CZN6870"/>
    <s v="Доставлен"/>
    <d v="2024-09-27T00:00:00"/>
    <x v="27"/>
    <s v="Витамины"/>
    <s v="OAD-56862"/>
    <x v="17"/>
    <x v="394"/>
    <n v="22.24"/>
    <n v="-6.23"/>
    <n v="-0.78540693894438196"/>
    <n v="0"/>
    <n v="0.87812709164610758"/>
    <n v="1666.4279615928369"/>
    <n v="2900"/>
    <x v="744"/>
    <s v="&lt;Клиент не выбран&gt;"/>
    <s v="2024 12"/>
    <n v="1233.5720384071631"/>
    <n v="0.74024924379453327"/>
  </r>
  <r>
    <s v="529444628"/>
    <s v="720000409068"/>
    <s v="iHerb_OA CZN6870"/>
    <s v="Доставлен"/>
    <d v="2024-09-27T00:00:00"/>
    <x v="27"/>
    <s v="Косметика"/>
    <s v="MAV-14757"/>
    <x v="4"/>
    <x v="10"/>
    <n v="0"/>
    <m/>
    <n v="0"/>
    <n v="0"/>
    <n v="0"/>
    <n v="0"/>
    <n v="1400"/>
    <x v="730"/>
    <s v="&lt;Клиент не выбран&gt;"/>
    <s v="2024 10"/>
    <n v="1400"/>
    <s v=""/>
  </r>
  <r>
    <s v="529444628"/>
    <s v="720000409068"/>
    <s v="iHerb_OA CZN6870"/>
    <s v="Доставлен"/>
    <d v="2024-09-27T00:00:00"/>
    <x v="27"/>
    <s v="Косметика"/>
    <s v="MAV-14757"/>
    <x v="4"/>
    <x v="10"/>
    <n v="0"/>
    <m/>
    <n v="0"/>
    <n v="0"/>
    <n v="0"/>
    <n v="0"/>
    <n v="1000"/>
    <x v="411"/>
    <s v="&lt;Клиент не выбран&gt;"/>
    <s v="2024 11"/>
    <n v="1000"/>
    <s v=""/>
  </r>
  <r>
    <s v="WB0194"/>
    <n v="0"/>
    <s v="WBRS"/>
    <s v="Доставлен"/>
    <d v="2024-10-04T00:00:00"/>
    <x v="28"/>
    <s v="Витамины"/>
    <s v="000000196"/>
    <x v="85"/>
    <x v="637"/>
    <n v="2373"/>
    <n v="0"/>
    <n v="0"/>
    <n v="0"/>
    <n v="0"/>
    <n v="2373"/>
    <n v="3400"/>
    <x v="715"/>
    <s v="&lt;Клиент не выбран&gt;"/>
    <s v="2024 10"/>
    <n v="1027"/>
    <n v="0.43278550358196377"/>
  </r>
  <r>
    <s v="WB0194"/>
    <n v="0"/>
    <s v="WBRS"/>
    <s v="Доставлен"/>
    <d v="2024-10-04T00:00:00"/>
    <x v="28"/>
    <s v="Витамины"/>
    <s v="000000196"/>
    <x v="85"/>
    <x v="637"/>
    <n v="2373"/>
    <n v="0"/>
    <n v="0"/>
    <n v="0"/>
    <n v="0"/>
    <n v="2373"/>
    <n v="4000"/>
    <x v="722"/>
    <m/>
    <s v="2025 11"/>
    <n v="1627"/>
    <n v="0.68563000421407505"/>
  </r>
  <r>
    <s v="OZO0116"/>
    <n v="0"/>
    <s v="OZON_OA"/>
    <s v="Доставлен"/>
    <d v="2024-10-04T00:00:00"/>
    <x v="28"/>
    <s v="Спортпит"/>
    <s v="VPB-54130"/>
    <x v="81"/>
    <x v="245"/>
    <n v="1432"/>
    <n v="0"/>
    <n v="0"/>
    <n v="0"/>
    <n v="0"/>
    <n v="1432"/>
    <n v="2100"/>
    <x v="600"/>
    <s v="&lt;Клиент не выбран&gt;"/>
    <s v="2024 10"/>
    <n v="668"/>
    <n v="0.46648044692737428"/>
  </r>
  <r>
    <s v="4495308323"/>
    <s v="1495389645"/>
    <s v="essens_OA"/>
    <s v="Доставлен"/>
    <d v="2024-10-10T00:00:00"/>
    <x v="28"/>
    <s v="Парфюм"/>
    <s v="m00350"/>
    <x v="232"/>
    <x v="1037"/>
    <n v="1276.19"/>
    <n v="-212.69833333333335"/>
    <n v="0"/>
    <n v="-1.500283131374806E-13"/>
    <n v="91.221704759024149"/>
    <n v="1154.7133714256906"/>
    <n v="2200"/>
    <x v="730"/>
    <s v="&lt;Клиент не выбран&gt;"/>
    <s v="2024 10"/>
    <n v="1045.2866285743094"/>
    <n v="0.9052347140344662"/>
  </r>
  <r>
    <s v="4495308323"/>
    <s v="1495389645"/>
    <s v="essens_OA"/>
    <s v="Доставлен"/>
    <d v="2024-10-10T00:00:00"/>
    <x v="28"/>
    <s v="Парфюм"/>
    <s v="w14850"/>
    <x v="232"/>
    <x v="1039"/>
    <n v="1276.19"/>
    <n v="-212.69833333333335"/>
    <n v="0"/>
    <n v="-1.500283131374806E-13"/>
    <n v="91.221704759024149"/>
    <n v="1154.7133714256906"/>
    <n v="2500"/>
    <x v="542"/>
    <s v="&lt;Клиент не выбран&gt;"/>
    <s v="2025 03"/>
    <n v="1345.2866285743094"/>
    <n v="1.1650394477664388"/>
  </r>
  <r>
    <s v="4495308323"/>
    <s v="1495389645"/>
    <s v="essens_OA"/>
    <s v="Доставлен"/>
    <d v="2024-10-10T00:00:00"/>
    <x v="28"/>
    <s v="Парфюм"/>
    <s v="m02450"/>
    <x v="232"/>
    <x v="1408"/>
    <n v="1276.19"/>
    <n v="-212.69833333333335"/>
    <n v="0"/>
    <n v="-1.500283131374806E-13"/>
    <n v="91.221704759024149"/>
    <n v="1154.7133714256906"/>
    <m/>
    <x v="20"/>
    <m/>
    <s v=""/>
    <n v="-1154.7133714256906"/>
    <s v=""/>
  </r>
  <r>
    <s v="4495308323"/>
    <s v="1495389645"/>
    <s v="essens_OA"/>
    <s v="Доставлен"/>
    <d v="2024-10-10T00:00:00"/>
    <x v="28"/>
    <s v="Парфюм"/>
    <s v="m02550"/>
    <x v="232"/>
    <x v="1125"/>
    <n v="1276.19"/>
    <n v="-212.69833333333335"/>
    <n v="0"/>
    <n v="-1.500283131374806E-13"/>
    <n v="91.221704759024149"/>
    <n v="1154.7133714256906"/>
    <m/>
    <x v="20"/>
    <m/>
    <s v=""/>
    <n v="-1154.7133714256906"/>
    <s v=""/>
  </r>
  <r>
    <s v="4495308323"/>
    <s v="1495389645"/>
    <s v="essens_OA"/>
    <s v="Доставлен"/>
    <d v="2024-10-10T00:00:00"/>
    <x v="28"/>
    <s v="Парфюм"/>
    <s v="w90250"/>
    <x v="232"/>
    <x v="1409"/>
    <n v="1276.19"/>
    <n v="-212.69833333333335"/>
    <n v="0"/>
    <n v="-1.500283131374806E-13"/>
    <n v="91.221704759024149"/>
    <n v="1154.7133714256906"/>
    <m/>
    <x v="20"/>
    <m/>
    <s v=""/>
    <n v="-1154.7133714256906"/>
    <s v=""/>
  </r>
  <r>
    <s v="4495308323"/>
    <s v="1495389645"/>
    <s v="essens_OA"/>
    <s v="Доставлен"/>
    <d v="2024-10-10T00:00:00"/>
    <x v="28"/>
    <s v="Парфюм"/>
    <s v="w90350"/>
    <x v="232"/>
    <x v="1410"/>
    <n v="1276.19"/>
    <n v="-212.69833333333335"/>
    <n v="0"/>
    <n v="-1.500283131374806E-13"/>
    <n v="91.221704759024149"/>
    <n v="1154.7133714256906"/>
    <m/>
    <x v="20"/>
    <m/>
    <s v=""/>
    <n v="-1154.7133714256906"/>
    <s v=""/>
  </r>
  <r>
    <s v="4495308323"/>
    <s v="1495389645"/>
    <s v="essens_OA"/>
    <s v="Доставлен"/>
    <d v="2024-10-10T00:00:00"/>
    <x v="28"/>
    <s v="Парфюм"/>
    <s v="w90201"/>
    <x v="232"/>
    <x v="1411"/>
    <n v="33.049999999999997"/>
    <m/>
    <n v="0"/>
    <n v="-4.6624114740222689E-15"/>
    <n v="2.8348857229275395"/>
    <n v="35.884885722927528"/>
    <m/>
    <x v="20"/>
    <m/>
    <s v=""/>
    <n v="-35.884885722927528"/>
    <s v=""/>
  </r>
  <r>
    <s v="4495308323"/>
    <s v="1495389645"/>
    <s v="essens_OA"/>
    <s v="Доставлен"/>
    <d v="2024-10-10T00:00:00"/>
    <x v="28"/>
    <s v="Парфюм"/>
    <s v="w90301"/>
    <x v="232"/>
    <x v="1412"/>
    <n v="33.049999999999997"/>
    <m/>
    <n v="0"/>
    <n v="-4.6624114740222689E-15"/>
    <n v="2.8348857229275395"/>
    <n v="35.884885722927528"/>
    <m/>
    <x v="20"/>
    <m/>
    <s v=""/>
    <n v="-35.884885722927528"/>
    <s v=""/>
  </r>
  <r>
    <s v="4495298842"/>
    <s v="1495377635"/>
    <s v="essens_OA"/>
    <s v="Доставлен"/>
    <d v="2024-10-02T00:00:00"/>
    <x v="28"/>
    <s v="Парфюм"/>
    <s v="w10250"/>
    <x v="232"/>
    <x v="998"/>
    <n v="1270.47"/>
    <m/>
    <n v="0"/>
    <n v="-207.05405423884491"/>
    <n v="90.287803764213294"/>
    <n v="1153.7037495253685"/>
    <n v="2200"/>
    <x v="437"/>
    <s v="&lt;Клиент не выбран&gt;"/>
    <s v="2024 10"/>
    <n v="1046.2962504746315"/>
    <n v="0.90690201094091594"/>
  </r>
  <r>
    <s v="4495298842"/>
    <s v="1495377635"/>
    <s v="essens_OA"/>
    <s v="Доставлен"/>
    <d v="2024-10-02T00:00:00"/>
    <x v="28"/>
    <s v="Парфюм"/>
    <s v="w10750"/>
    <x v="232"/>
    <x v="1413"/>
    <n v="1270.47"/>
    <m/>
    <n v="0"/>
    <n v="-207.05405423884491"/>
    <n v="90.287803764213294"/>
    <n v="1153.7037495253685"/>
    <n v="2500"/>
    <x v="682"/>
    <s v="&lt;Клиент не выбран&gt;"/>
    <s v="2025 03"/>
    <n v="1346.2962504746315"/>
    <n v="1.16693410334195"/>
  </r>
  <r>
    <s v="4495298842"/>
    <s v="1495377635"/>
    <s v="essens_OA"/>
    <s v="Доставлен"/>
    <d v="2024-10-02T00:00:00"/>
    <x v="28"/>
    <s v="Парфюм"/>
    <s v="w12750"/>
    <x v="232"/>
    <x v="1060"/>
    <n v="1270.47"/>
    <m/>
    <n v="0"/>
    <n v="-207.05405423884491"/>
    <n v="90.287803764213294"/>
    <n v="1153.7037495253685"/>
    <n v="2200"/>
    <x v="509"/>
    <s v="&lt;Клиент не выбран&gt;"/>
    <s v="2024 10"/>
    <n v="1046.2962504746315"/>
    <n v="0.90690201094091594"/>
  </r>
  <r>
    <s v="4495298842"/>
    <s v="1495377635"/>
    <s v="essens_OA"/>
    <s v="Доставлен"/>
    <d v="2024-10-02T00:00:00"/>
    <x v="28"/>
    <s v="Парфюм"/>
    <s v="w13750"/>
    <x v="232"/>
    <x v="1414"/>
    <n v="1270.47"/>
    <m/>
    <n v="0"/>
    <n v="-207.05405423884491"/>
    <n v="90.287803764213294"/>
    <n v="1153.7037495253685"/>
    <m/>
    <x v="20"/>
    <m/>
    <s v=""/>
    <n v="-1153.7037495253685"/>
    <s v=""/>
  </r>
  <r>
    <s v="4495298842"/>
    <s v="1495377635"/>
    <s v="essens_OA"/>
    <s v="Доставлен"/>
    <d v="2024-10-02T00:00:00"/>
    <x v="28"/>
    <s v="Парфюм"/>
    <s v="w14150"/>
    <x v="232"/>
    <x v="1415"/>
    <n v="1270.47"/>
    <m/>
    <n v="0"/>
    <n v="-207.05405423884491"/>
    <n v="90.287803764213294"/>
    <n v="1153.7037495253685"/>
    <m/>
    <x v="20"/>
    <m/>
    <s v=""/>
    <n v="-1153.7037495253685"/>
    <s v=""/>
  </r>
  <r>
    <s v="4495298842"/>
    <s v="1495377635"/>
    <s v="essens_OA"/>
    <s v="Доставлен"/>
    <d v="2024-10-02T00:00:00"/>
    <x v="28"/>
    <s v="Парфюм"/>
    <s v="4eln06s"/>
    <x v="232"/>
    <x v="1416"/>
    <n v="139.80000000000001"/>
    <m/>
    <n v="0"/>
    <n v="-22.783817628586682"/>
    <n v="9.9350909240178993"/>
    <n v="126.95127329543122"/>
    <m/>
    <x v="20"/>
    <m/>
    <s v=""/>
    <n v="-126.95127329543122"/>
    <s v=""/>
  </r>
  <r>
    <s v="4495298842"/>
    <s v="1495377635"/>
    <s v="essens_OA"/>
    <s v="Доставлен"/>
    <d v="2024-10-02T00:00:00"/>
    <x v="28"/>
    <s v="Парфюм"/>
    <s v="m90150"/>
    <x v="232"/>
    <x v="1119"/>
    <n v="1270.47"/>
    <m/>
    <n v="0"/>
    <n v="-207.05405423884491"/>
    <n v="90.287803764213294"/>
    <n v="1153.7037495253685"/>
    <m/>
    <x v="20"/>
    <m/>
    <s v=""/>
    <n v="-1153.7037495253685"/>
    <s v=""/>
  </r>
  <r>
    <s v="4495298842"/>
    <s v="1495377635"/>
    <s v="essens_OA"/>
    <s v="Доставлен"/>
    <d v="2024-10-02T00:00:00"/>
    <x v="28"/>
    <s v="Парфюм"/>
    <s v="m90101"/>
    <x v="232"/>
    <x v="1417"/>
    <n v="32.9"/>
    <m/>
    <n v="0"/>
    <n v="-5.3618569383440748"/>
    <n v="2.3380864907023517"/>
    <n v="29.876229552358275"/>
    <m/>
    <x v="20"/>
    <m/>
    <s v=""/>
    <n v="-29.876229552358275"/>
    <s v=""/>
  </r>
  <r>
    <s v="OZO0117"/>
    <n v="0"/>
    <s v="OZON_OA"/>
    <s v="Доставлен"/>
    <d v="2024-10-01T00:00:00"/>
    <x v="28"/>
    <s v="Витамины"/>
    <s v="NOW-01908"/>
    <x v="3"/>
    <x v="1418"/>
    <n v="1375"/>
    <m/>
    <n v="0"/>
    <n v="0"/>
    <n v="0"/>
    <n v="1375"/>
    <n v="1800"/>
    <x v="509"/>
    <s v="&lt;Клиент не выбран&gt;"/>
    <s v="2024 10"/>
    <n v="425"/>
    <n v="0.30909090909090908"/>
  </r>
  <r>
    <s v="OZO0118"/>
    <n v="0"/>
    <s v="OZON_OA"/>
    <s v="Доставлен"/>
    <d v="2024-10-01T00:00:00"/>
    <x v="28"/>
    <s v="Спортпит"/>
    <s v="892721541"/>
    <x v="162"/>
    <x v="618"/>
    <n v="1081"/>
    <m/>
    <n v="0"/>
    <n v="0"/>
    <n v="0"/>
    <n v="1081"/>
    <n v="1900"/>
    <x v="729"/>
    <s v="&lt;Клиент не выбран&gt;"/>
    <s v="2024 10"/>
    <n v="819"/>
    <n v="0.75763182238667903"/>
  </r>
  <r>
    <s v="OZO0118"/>
    <n v="0"/>
    <s v="OZON_OA"/>
    <s v="Доставлен"/>
    <d v="2024-10-01T00:00:00"/>
    <x v="28"/>
    <s v="Спортпит"/>
    <s v="892721541"/>
    <x v="162"/>
    <x v="618"/>
    <n v="1081"/>
    <m/>
    <n v="0"/>
    <n v="0"/>
    <n v="0"/>
    <n v="1081"/>
    <n v="2000"/>
    <x v="729"/>
    <s v="&lt;Клиент не выбран&gt;"/>
    <s v="2024 10"/>
    <n v="919"/>
    <n v="0.85013876040703051"/>
  </r>
  <r>
    <s v="WB0195"/>
    <n v="0"/>
    <s v="WBRS"/>
    <s v="Доставлен"/>
    <d v="2024-10-18T00:00:00"/>
    <x v="28"/>
    <s v="Витамины"/>
    <s v="CGN-01033"/>
    <x v="1"/>
    <x v="1"/>
    <n v="1602"/>
    <m/>
    <n v="0"/>
    <n v="0"/>
    <n v="0"/>
    <n v="1602"/>
    <n v="2300"/>
    <x v="724"/>
    <s v="&lt;Клиент не выбран&gt;"/>
    <s v="2024 10"/>
    <n v="698"/>
    <n v="0.43570536828963796"/>
  </r>
  <r>
    <s v="WB0195"/>
    <n v="0"/>
    <s v="WBRS"/>
    <s v="Доставлен"/>
    <d v="2024-10-18T00:00:00"/>
    <x v="28"/>
    <s v="Витамины"/>
    <s v="CGN-01033"/>
    <x v="1"/>
    <x v="1"/>
    <n v="1602"/>
    <m/>
    <n v="0"/>
    <n v="0"/>
    <n v="0"/>
    <n v="1602"/>
    <n v="2300"/>
    <x v="724"/>
    <s v="&lt;Клиент не выбран&gt;"/>
    <s v="2024 10"/>
    <n v="698"/>
    <n v="0.43570536828963796"/>
  </r>
  <r>
    <s v="OZA0334"/>
    <n v="0"/>
    <s v="OZON_AV"/>
    <s v="Доставлен"/>
    <d v="2024-10-10T00:00:00"/>
    <x v="28"/>
    <s v="Спортпит"/>
    <s v="OPN-02869"/>
    <x v="178"/>
    <x v="1419"/>
    <n v="8413"/>
    <m/>
    <n v="0"/>
    <n v="0"/>
    <n v="0"/>
    <n v="8413"/>
    <n v="9000"/>
    <x v="724"/>
    <s v="&lt;Клиент не выбран&gt;"/>
    <s v="2024 10"/>
    <n v="587"/>
    <n v="6.9772970402947818E-2"/>
  </r>
  <r>
    <s v="OZA0334"/>
    <n v="0"/>
    <s v="OZON_AV"/>
    <s v="Доставлен"/>
    <d v="2024-10-10T00:00:00"/>
    <x v="28"/>
    <s v="Спортпит"/>
    <s v="OPN-02957"/>
    <x v="178"/>
    <x v="1420"/>
    <n v="8413"/>
    <m/>
    <n v="0"/>
    <n v="0"/>
    <n v="0"/>
    <n v="8413"/>
    <n v="9000"/>
    <x v="724"/>
    <s v="&lt;Клиент не выбран&gt;"/>
    <s v="2024 10"/>
    <n v="587"/>
    <n v="6.9772970402947818E-2"/>
  </r>
  <r>
    <s v="529854283"/>
    <s v="720000437026"/>
    <s v="iHerb_AV CYG0792"/>
    <s v="Доставлен"/>
    <d v="2024-10-12T00:00:00"/>
    <x v="28"/>
    <s v="Витамины"/>
    <s v="NOW-03876"/>
    <x v="3"/>
    <x v="468"/>
    <n v="36.130000000000003"/>
    <n v="-7.23"/>
    <n v="-1.6213658380795231"/>
    <n v="0"/>
    <n v="1.1377652410045549"/>
    <n v="3051.6838115008604"/>
    <n v="4100"/>
    <x v="745"/>
    <s v="&lt;Клиент не выбран&gt;"/>
    <s v="2024 11"/>
    <n v="1048.3161884991396"/>
    <n v="0.34352057855678148"/>
  </r>
  <r>
    <s v="529854283"/>
    <s v="720000437026"/>
    <s v="iHerb_AV CYG0792"/>
    <s v="Доставлен"/>
    <d v="2024-10-12T00:00:00"/>
    <x v="28"/>
    <s v="Витамины"/>
    <s v="NOW-03797"/>
    <x v="3"/>
    <x v="1359"/>
    <n v="45.64"/>
    <n v="-9.1300000000000008"/>
    <n v="-2.0483068078990789"/>
    <n v="0"/>
    <n v="1.437363631455927"/>
    <n v="3855.2586836642354"/>
    <n v="5000"/>
    <x v="682"/>
    <s v="&lt;Клиент не выбран&gt;"/>
    <s v="2025 03"/>
    <n v="1144.7413163357646"/>
    <n v="0.29692983279859803"/>
  </r>
  <r>
    <s v="529854283"/>
    <s v="720000437026"/>
    <s v="iHerb_AV CYG0792"/>
    <s v="Доставлен"/>
    <d v="2024-10-12T00:00:00"/>
    <x v="28"/>
    <s v="Витамины"/>
    <s v="NBC-00450"/>
    <x v="8"/>
    <x v="19"/>
    <n v="13.72"/>
    <n v="-2.7433333333333336"/>
    <n v="-0.6158198044747254"/>
    <n v="0"/>
    <n v="0.43214082337116477"/>
    <n v="1159.0766771940407"/>
    <n v="2100"/>
    <x v="404"/>
    <s v="&lt;Клиент не выбран&gt;"/>
    <s v="2024 12"/>
    <n v="940.92332280595929"/>
    <n v="0.81178695190709937"/>
  </r>
  <r>
    <s v="529854283"/>
    <s v="720000437026"/>
    <s v="iHerb_AV CYG0792"/>
    <s v="Доставлен"/>
    <d v="2024-10-12T00:00:00"/>
    <x v="28"/>
    <s v="Витамины"/>
    <s v="NBC-00450"/>
    <x v="8"/>
    <x v="19"/>
    <n v="13.72"/>
    <n v="-2.7433333333333336"/>
    <n v="-0.6158198044747254"/>
    <n v="0"/>
    <n v="0.43214082337116477"/>
    <n v="1159.0766771940407"/>
    <n v="1700"/>
    <x v="659"/>
    <s v="Елена сахарный диабет"/>
    <s v="2025 09"/>
    <n v="540.92332280595929"/>
    <n v="0.46668467535336616"/>
  </r>
  <r>
    <s v="529854283"/>
    <s v="720000437026"/>
    <s v="iHerb_AV CYG0792"/>
    <s v="Доставлен"/>
    <d v="2024-10-12T00:00:00"/>
    <x v="28"/>
    <s v="Витамины"/>
    <s v="NBC-00450"/>
    <x v="8"/>
    <x v="19"/>
    <n v="13.72"/>
    <n v="-2.7433333333333336"/>
    <n v="-0.6158198044747254"/>
    <n v="0"/>
    <n v="0.43214082337116477"/>
    <n v="1159.0766771940407"/>
    <n v="1650"/>
    <x v="746"/>
    <s v="Оксана молокозавод"/>
    <s v="2025 11"/>
    <n v="490.92332280595929"/>
    <n v="0.42354689078414953"/>
  </r>
  <r>
    <s v="529854283"/>
    <s v="720000437026"/>
    <s v="iHerb_AV CYG0792"/>
    <s v="Доставлен"/>
    <d v="2024-10-12T00:00:00"/>
    <x v="28"/>
    <s v="Витамины"/>
    <s v="NBC-00460"/>
    <x v="8"/>
    <x v="1421"/>
    <n v="13.23"/>
    <n v="-2.65"/>
    <n v="-0.59356576355990842"/>
    <n v="0"/>
    <n v="0.41652443771031794"/>
    <n v="1117.1908209577543"/>
    <n v="1900"/>
    <x v="747"/>
    <s v="&lt;Клиент не выбран&gt;"/>
    <s v="2024 12"/>
    <n v="782.80917904224566"/>
    <n v="0.70069424520616153"/>
  </r>
  <r>
    <s v="529854283"/>
    <s v="720000437026"/>
    <s v="iHerb_AV CYG0792"/>
    <s v="Доставлен"/>
    <d v="2024-10-12T00:00:00"/>
    <x v="28"/>
    <s v="Витамины"/>
    <s v="FBS-20726"/>
    <x v="20"/>
    <x v="42"/>
    <n v="7.8"/>
    <n v="-1.56"/>
    <n v="-0.35008037472720493"/>
    <n v="0"/>
    <n v="0.24566280636222912"/>
    <n v="658.91027625485697"/>
    <n v="1700"/>
    <x v="748"/>
    <s v="&lt;Клиент не выбран&gt;"/>
    <s v="2024 11"/>
    <n v="1041.0897237451431"/>
    <n v="1.5800174337279036"/>
  </r>
  <r>
    <s v="529854283"/>
    <s v="720000437026"/>
    <s v="iHerb_AV CYG0792"/>
    <s v="Доставлен"/>
    <d v="2024-10-12T00:00:00"/>
    <x v="28"/>
    <s v="Витамины"/>
    <s v="FBS-00678"/>
    <x v="20"/>
    <x v="542"/>
    <n v="13.63"/>
    <n v="-2.7250000000000001"/>
    <n v="-0.61179911641028373"/>
    <n v="0"/>
    <n v="0.42931937554168409"/>
    <n v="1151.509064512695"/>
    <n v="2300"/>
    <x v="411"/>
    <s v="&lt;Клиент не выбран&gt;"/>
    <s v="2024 11"/>
    <n v="1148.490935487305"/>
    <n v="0.9973789793598653"/>
  </r>
  <r>
    <s v="529854283"/>
    <s v="720000437026"/>
    <s v="iHerb_AV CYG0792"/>
    <s v="Доставлен"/>
    <d v="2024-10-12T00:00:00"/>
    <x v="28"/>
    <s v="Витамины"/>
    <s v="FBS-00678"/>
    <x v="20"/>
    <x v="542"/>
    <n v="13.63"/>
    <n v="-2.7250000000000001"/>
    <n v="-0.61179911641028373"/>
    <n v="0"/>
    <n v="0.42931937554168409"/>
    <n v="1151.509064512695"/>
    <n v="2300"/>
    <x v="748"/>
    <s v="&lt;Клиент не выбран&gt;"/>
    <s v="2024 11"/>
    <n v="1148.490935487305"/>
    <n v="0.9973789793598653"/>
  </r>
  <r>
    <s v="529854283"/>
    <s v="720000437026"/>
    <s v="iHerb_AV CYG0792"/>
    <s v="Доставлен"/>
    <d v="2024-10-12T00:00:00"/>
    <x v="28"/>
    <s v="Витамины"/>
    <s v="NOW-03802"/>
    <x v="3"/>
    <x v="1225"/>
    <n v="23.08"/>
    <n v="-4.62"/>
    <n v="-1.0356544419013145"/>
    <n v="0"/>
    <n v="0.72675246882159439"/>
    <n v="1949.2762339206183"/>
    <n v="2900"/>
    <x v="411"/>
    <s v="&lt;Клиент не выбран&gt;"/>
    <s v="2024 11"/>
    <n v="950.72376607938168"/>
    <n v="0.48773167678096191"/>
  </r>
  <r>
    <s v="529854283"/>
    <s v="720000437026"/>
    <s v="iHerb_AV CYG0792"/>
    <s v="Доставлен"/>
    <d v="2024-10-12T00:00:00"/>
    <x v="28"/>
    <s v="Витамины"/>
    <s v="NOW-01435"/>
    <x v="3"/>
    <x v="1422"/>
    <n v="19.920000000000002"/>
    <n v="-3.98"/>
    <n v="-0.89427582903071268"/>
    <n v="0"/>
    <n v="0.62754248932915591"/>
    <n v="1683.1778531253881"/>
    <n v="2800"/>
    <x v="186"/>
    <s v="&lt;Клиент не выбран&gt;"/>
    <s v="2024 12"/>
    <n v="1116.8221468746119"/>
    <n v="0.66351998679215896"/>
  </r>
  <r>
    <s v="529854283"/>
    <s v="720000437026"/>
    <s v="iHerb_AV CYG0792"/>
    <s v="Доставлен"/>
    <d v="2024-10-12T00:00:00"/>
    <x v="28"/>
    <s v="Косметика"/>
    <s v="TOB-82553"/>
    <x v="285"/>
    <x v="1423"/>
    <n v="11.2"/>
    <n v="-6.2"/>
    <n v="-0.2805131207750039"/>
    <n v="0"/>
    <n v="0.19684519740563228"/>
    <n v="527.97297776831476"/>
    <m/>
    <x v="20"/>
    <m/>
    <s v=""/>
    <n v="-527.97297776831476"/>
    <s v=""/>
  </r>
  <r>
    <s v="529854283"/>
    <s v="720000437026"/>
    <s v="iHerb_AV CYG0792"/>
    <s v="Доставлен"/>
    <d v="2024-10-12T00:00:00"/>
    <x v="28"/>
    <s v="Витамины"/>
    <s v="NOW-00420"/>
    <x v="3"/>
    <x v="515"/>
    <n v="14.38"/>
    <n v="-2.88"/>
    <n v="-0.64518017778250913"/>
    <n v="0"/>
    <n v="0.45274395403295431"/>
    <n v="1214.3378488671242"/>
    <n v="2000"/>
    <x v="464"/>
    <s v="&lt;Клиент не выбран&gt;"/>
    <s v="2025 05"/>
    <n v="785.66215113287581"/>
    <n v="0.64698811114701971"/>
  </r>
  <r>
    <s v="530012830"/>
    <s v="722500291418"/>
    <s v="iHerb_AV CYG0792"/>
    <s v="Доставлен"/>
    <d v="2024-10-19T00:00:00"/>
    <x v="28"/>
    <s v="Витамины"/>
    <s v="NWY-14850"/>
    <x v="16"/>
    <x v="36"/>
    <n v="39.69"/>
    <n v="-3.97"/>
    <n v="-1.483451581975072"/>
    <n v="0"/>
    <n v="1.3320807834472452"/>
    <n v="3822.8991882390537"/>
    <n v="4700"/>
    <x v="411"/>
    <s v="&lt;Клиент не выбран&gt;"/>
    <s v="2024 11"/>
    <n v="877.10081176094627"/>
    <n v="0.22943341390201979"/>
  </r>
  <r>
    <s v="530012830"/>
    <s v="722500291418"/>
    <s v="iHerb_AV CYG0792"/>
    <s v="Доставлен"/>
    <d v="2024-10-19T00:00:00"/>
    <x v="28"/>
    <s v="Витамины"/>
    <s v="NWY-14850"/>
    <x v="16"/>
    <x v="36"/>
    <n v="39.69"/>
    <n v="-3.97"/>
    <n v="-1.483451581975072"/>
    <n v="0"/>
    <n v="1.3320807834472452"/>
    <n v="3822.8991882390537"/>
    <n v="4700"/>
    <x v="411"/>
    <s v="&lt;Клиент не выбран&gt;"/>
    <s v="2024 11"/>
    <n v="877.10081176094627"/>
    <n v="0.22943341390201979"/>
  </r>
  <r>
    <s v="530012830"/>
    <s v="722500291418"/>
    <s v="iHerb_AV CYG0792"/>
    <s v="Доставлен"/>
    <d v="2024-10-19T00:00:00"/>
    <x v="28"/>
    <s v="Витамины"/>
    <s v="NWY-14850"/>
    <x v="16"/>
    <x v="36"/>
    <n v="39.69"/>
    <n v="-3.97"/>
    <n v="-1.483451581975072"/>
    <n v="0"/>
    <n v="1.3320807834472452"/>
    <n v="3822.8991882390537"/>
    <n v="4700"/>
    <x v="411"/>
    <s v="&lt;Клиент не выбран&gt;"/>
    <s v="2024 11"/>
    <n v="877.10081176094627"/>
    <n v="0.22943341390201979"/>
  </r>
  <r>
    <s v="530012830"/>
    <s v="722500291418"/>
    <s v="iHerb_AV CYG0792"/>
    <s v="Доставлен"/>
    <d v="2024-10-19T00:00:00"/>
    <x v="28"/>
    <s v="Витамины"/>
    <s v="NWY-14850"/>
    <x v="16"/>
    <x v="36"/>
    <n v="39.69"/>
    <n v="-3.97"/>
    <n v="-1.483451581975072"/>
    <n v="0"/>
    <n v="1.3320807834472452"/>
    <n v="3822.8991882390537"/>
    <n v="4700"/>
    <x v="411"/>
    <s v="&lt;Клиент не выбран&gt;"/>
    <s v="2024 11"/>
    <n v="877.10081176094627"/>
    <n v="0.22943341390201979"/>
  </r>
  <r>
    <s v="530012830"/>
    <s v="722500291418"/>
    <s v="iHerb_AV CYG0792"/>
    <s v="Доставлен"/>
    <d v="2024-10-19T00:00:00"/>
    <x v="28"/>
    <s v="Витамины"/>
    <s v="CGN-01033"/>
    <x v="1"/>
    <x v="1"/>
    <n v="21.04"/>
    <n v="-6.31"/>
    <n v="-0.61173689256698804"/>
    <n v="0"/>
    <n v="0.54931550784372696"/>
    <n v="1576.4643069082101"/>
    <n v="2300"/>
    <x v="442"/>
    <s v="&lt;Клиент не выбран&gt;"/>
    <s v="2024 11"/>
    <n v="723.53569309178988"/>
    <n v="0.458961036999817"/>
  </r>
  <r>
    <s v="530012830"/>
    <s v="722500291418"/>
    <s v="iHerb_AV CYG0792"/>
    <s v="Доставлен"/>
    <d v="2024-10-19T00:00:00"/>
    <x v="28"/>
    <s v="Витамины"/>
    <s v="CDL-10300"/>
    <x v="25"/>
    <x v="1424"/>
    <n v="29.09"/>
    <n v="-5.82"/>
    <n v="-0.96640308825755672"/>
    <n v="0"/>
    <n v="0.86779170858951293"/>
    <n v="2490.4497231333366"/>
    <n v="3900"/>
    <x v="520"/>
    <s v="&lt;Клиент не выбран&gt;"/>
    <s v="2025 01"/>
    <n v="1409.5502768666634"/>
    <n v="0.5659822255288296"/>
  </r>
  <r>
    <s v="530012830"/>
    <s v="722500291418"/>
    <s v="iHerb_AV CYG0792"/>
    <s v="Доставлен"/>
    <d v="2024-10-19T00:00:00"/>
    <x v="28"/>
    <s v="Витамины"/>
    <s v="CLF-07210"/>
    <x v="72"/>
    <x v="202"/>
    <n v="19.21"/>
    <n v="-1.92"/>
    <n v="-0.71805369127516772"/>
    <n v="0"/>
    <n v="0.64478378347712406"/>
    <n v="1850.4458836689039"/>
    <n v="2600"/>
    <x v="411"/>
    <s v="&lt;Клиент не выбран&gt;"/>
    <s v="2024 11"/>
    <n v="749.55411633109611"/>
    <n v="0.40506675874516529"/>
  </r>
  <r>
    <s v="529792845"/>
    <s v="720000434082"/>
    <s v="iHerb_OA CZN6870"/>
    <s v="Доставлен"/>
    <d v="2024-10-10T00:00:00"/>
    <x v="28"/>
    <s v="Витамины"/>
    <s v="EUR-28806"/>
    <x v="240"/>
    <x v="1425"/>
    <n v="16.25"/>
    <n v="-1.63"/>
    <n v="-0.74439769018327906"/>
    <n v="0"/>
    <n v="0.54835288634657064"/>
    <n v="1533.8187158758058"/>
    <n v="2400"/>
    <x v="411"/>
    <s v="&lt;Клиент не выбран&gt;"/>
    <s v="2024 11"/>
    <n v="866.18128412419424"/>
    <n v="0.56472207253619755"/>
  </r>
  <r>
    <s v="529792845"/>
    <s v="720000434082"/>
    <s v="iHerb_OA CZN6870"/>
    <s v="Доставлен"/>
    <d v="2024-10-10T00:00:00"/>
    <x v="28"/>
    <s v="Витамины"/>
    <s v="MCL-03152"/>
    <x v="286"/>
    <x v="1426"/>
    <n v="27.16"/>
    <n v="-2.72"/>
    <n v="-1.2443966859151396"/>
    <n v="0"/>
    <n v="0.91667199331807026"/>
    <n v="2564.058099589924"/>
    <n v="3100"/>
    <x v="411"/>
    <s v="&lt;Клиент не выбран&gt;"/>
    <s v="2024 11"/>
    <n v="535.94190041007596"/>
    <n v="0.20902096582592666"/>
  </r>
  <r>
    <s v="529792845"/>
    <s v="720000434082"/>
    <s v="iHerb_OA CZN6870"/>
    <s v="Доставлен"/>
    <d v="2024-10-10T00:00:00"/>
    <x v="28"/>
    <s v="Витамины"/>
    <s v="CGN-01033"/>
    <x v="1"/>
    <x v="1"/>
    <n v="21.04"/>
    <n v="-6.3125"/>
    <n v="-0.74987120261109719"/>
    <n v="0"/>
    <n v="0.55238489286382475"/>
    <n v="1545.0967946690103"/>
    <n v="2300"/>
    <x v="442"/>
    <s v="&lt;Клиент не выбран&gt;"/>
    <s v="2024 11"/>
    <n v="754.90320533098975"/>
    <n v="0.48857987922543367"/>
  </r>
  <r>
    <s v="529792845"/>
    <s v="720000434082"/>
    <s v="iHerb_OA CZN6870"/>
    <s v="Доставлен"/>
    <d v="2024-10-10T00:00:00"/>
    <x v="28"/>
    <s v="Витамины"/>
    <s v="CGN-01033"/>
    <x v="1"/>
    <x v="1"/>
    <n v="21.04"/>
    <n v="-6.3125"/>
    <n v="-0.74987120261109719"/>
    <n v="0"/>
    <n v="0.55238489286382475"/>
    <n v="1545.0967946690103"/>
    <n v="2300"/>
    <x v="549"/>
    <s v="&lt;Клиент не выбран&gt;"/>
    <s v="2024 11"/>
    <n v="754.90320533098975"/>
    <n v="0.48857987922543367"/>
  </r>
  <r>
    <s v="529792845"/>
    <s v="720000434082"/>
    <s v="iHerb_OA CZN6870"/>
    <s v="Доставлен"/>
    <d v="2024-10-10T00:00:00"/>
    <x v="28"/>
    <s v="Витамины"/>
    <s v="CGN-01033"/>
    <x v="1"/>
    <x v="1"/>
    <n v="21.04"/>
    <n v="-6.3125"/>
    <n v="-0.74987120261109719"/>
    <n v="0"/>
    <n v="0.55238489286382475"/>
    <n v="1545.0967946690103"/>
    <n v="2300"/>
    <x v="471"/>
    <s v="&lt;Клиент не выбран&gt;"/>
    <s v="2024 11"/>
    <n v="754.90320533098975"/>
    <n v="0.48857987922543367"/>
  </r>
  <r>
    <s v="529792845"/>
    <s v="720000434082"/>
    <s v="iHerb_OA CZN6870"/>
    <s v="Доставлен"/>
    <d v="2024-10-10T00:00:00"/>
    <x v="28"/>
    <s v="Витамины"/>
    <s v="CGN-01033"/>
    <x v="1"/>
    <x v="1"/>
    <n v="21.04"/>
    <n v="-6.3125"/>
    <n v="-0.74987120261109719"/>
    <n v="0"/>
    <n v="0.55238489286382475"/>
    <n v="1545.0967946690103"/>
    <n v="2400"/>
    <x v="613"/>
    <s v="&lt;Клиент не выбран&gt;"/>
    <s v="2024 12"/>
    <n v="854.90320533098975"/>
    <n v="0.55330074353958303"/>
  </r>
  <r>
    <s v="529792845"/>
    <s v="720000434082"/>
    <s v="iHerb_OA CZN6870"/>
    <s v="Доставлен"/>
    <d v="2024-10-10T00:00:00"/>
    <x v="28"/>
    <s v="Витамины"/>
    <s v="PTF-10629"/>
    <x v="169"/>
    <x v="1427"/>
    <n v="13.6"/>
    <n v="-1.36"/>
    <n v="-0.62321667085111732"/>
    <n v="0"/>
    <n v="0.45908613740643128"/>
    <n v="1284.1272970123025"/>
    <n v="1800"/>
    <x v="411"/>
    <s v="&lt;Клиент не выбран&gt;"/>
    <s v="2024 11"/>
    <n v="515.87270298769749"/>
    <n v="0.40173018998034365"/>
  </r>
  <r>
    <s v="529792845"/>
    <s v="720000434082"/>
    <s v="iHerb_OA CZN6870"/>
    <s v="Доставлен"/>
    <d v="2024-10-10T00:00:00"/>
    <x v="28"/>
    <s v="Витамины"/>
    <s v="PTF-10629"/>
    <x v="169"/>
    <x v="1427"/>
    <n v="13.6"/>
    <n v="-1.36"/>
    <n v="-0.62321667085111732"/>
    <n v="0"/>
    <n v="0.45908613740643128"/>
    <n v="1284.1272970123025"/>
    <n v="2000"/>
    <x v="441"/>
    <s v="&lt;Клиент не выбран&gt;"/>
    <s v="2024 11"/>
    <n v="715.87270298769749"/>
    <n v="0.55747798886704858"/>
  </r>
  <r>
    <s v="529792845"/>
    <s v="720000434082"/>
    <s v="iHerb_OA CZN6870"/>
    <s v="Доставлен"/>
    <d v="2024-10-10T00:00:00"/>
    <x v="28"/>
    <s v="Витамины"/>
    <s v="NOW-03802"/>
    <x v="3"/>
    <x v="1225"/>
    <n v="23.08"/>
    <n v="-2.31"/>
    <n v="-1.0575335174491591"/>
    <n v="0"/>
    <n v="0.77902116617088046"/>
    <n v="2179.0297352079674"/>
    <n v="3100"/>
    <x v="613"/>
    <s v="&lt;Клиент не выбран&gt;"/>
    <s v="2024 12"/>
    <n v="920.97026479203259"/>
    <n v="0.42265153609945338"/>
  </r>
  <r>
    <s v="529792845"/>
    <s v="720000434082"/>
    <s v="iHerb_OA CZN6870"/>
    <s v="Доставлен"/>
    <d v="2024-10-10T00:00:00"/>
    <x v="28"/>
    <s v="Витамины"/>
    <s v="NOW-03802"/>
    <x v="3"/>
    <x v="1225"/>
    <n v="23.08"/>
    <n v="-2.31"/>
    <n v="-1.0575335174491591"/>
    <n v="0"/>
    <n v="0.77902116617088046"/>
    <n v="2179.0297352079674"/>
    <n v="3200"/>
    <x v="622"/>
    <s v="&lt;Клиент не выбран&gt;"/>
    <s v="2024 12"/>
    <n v="1020.9702647920326"/>
    <n v="0.46854352113491965"/>
  </r>
  <r>
    <s v="529792845"/>
    <s v="720000434082"/>
    <s v="iHerb_OA CZN6870"/>
    <s v="Доставлен"/>
    <d v="2024-10-10T00:00:00"/>
    <x v="28"/>
    <s v="Витамины"/>
    <s v="CGN-02377"/>
    <x v="1"/>
    <x v="1428"/>
    <n v="25.24"/>
    <n v="-7.57"/>
    <n v="-0.89969269394928453"/>
    <n v="0"/>
    <n v="0.66274935032448024"/>
    <n v="1853.8014165202108"/>
    <n v="3100"/>
    <x v="741"/>
    <s v="&lt;Клиент не выбран&gt;"/>
    <s v="2025 03"/>
    <n v="1246.1985834797892"/>
    <n v="0.67223952488883143"/>
  </r>
  <r>
    <s v="529792845"/>
    <s v="720000434082"/>
    <s v="iHerb_OA CZN6870"/>
    <s v="Доставлен"/>
    <d v="2024-10-10T00:00:00"/>
    <x v="28"/>
    <s v="Косметика"/>
    <s v="PPV-27020"/>
    <x v="287"/>
    <x v="1429"/>
    <n v="39.17"/>
    <n v="-21.68"/>
    <n v="-0.89052774290735648"/>
    <n v="0"/>
    <n v="0.65599808359791523"/>
    <n v="1834.917191564148"/>
    <n v="1600"/>
    <x v="493"/>
    <s v="&lt;Клиент не выбран&gt;"/>
    <s v="2025 02"/>
    <n v="-234.91719156414797"/>
    <n v="-0.12802604534098691"/>
  </r>
  <r>
    <s v="530079451"/>
    <s v="720000447125"/>
    <s v="iHerb_OA CZN6870"/>
    <s v="Доставлен"/>
    <d v="2024-10-21T00:00:00"/>
    <x v="28"/>
    <s v="Витамины"/>
    <s v="NOW-00140"/>
    <x v="3"/>
    <x v="259"/>
    <n v="7.88"/>
    <n v="-0.79"/>
    <n v="-0.31747885888945487"/>
    <n v="-1.0265406004155088E-15"/>
    <n v="0.10773567641103073"/>
    <n v="739.77639696892493"/>
    <n v="1300"/>
    <x v="442"/>
    <s v="&lt;Клиент не выбран&gt;"/>
    <s v="2024 11"/>
    <n v="560.22360303107507"/>
    <n v="0.75728774982071756"/>
  </r>
  <r>
    <s v="530079451"/>
    <s v="720000447125"/>
    <s v="iHerb_OA CZN6870"/>
    <s v="Доставлен"/>
    <d v="2024-10-21T00:00:00"/>
    <x v="28"/>
    <s v="Витамины"/>
    <s v="CGN-02023"/>
    <x v="1"/>
    <x v="1430"/>
    <n v="27.55"/>
    <n v="-8.27"/>
    <n v="-0.86332755985736109"/>
    <n v="-2.7914954550086054E-15"/>
    <n v="0.29296810172139248"/>
    <n v="2011.6909638308707"/>
    <n v="3400"/>
    <x v="442"/>
    <s v="&lt;Клиент не выбран&gt;"/>
    <s v="2024 11"/>
    <n v="1388.3090361691293"/>
    <n v="0.69012043158227798"/>
  </r>
  <r>
    <s v="530079451"/>
    <s v="720000447125"/>
    <s v="iHerb_OA CZN6870"/>
    <s v="Доставлен"/>
    <d v="2024-10-21T00:00:00"/>
    <x v="28"/>
    <s v="Витамины"/>
    <s v="NFS-03543"/>
    <x v="23"/>
    <x v="1431"/>
    <n v="34.380000000000003"/>
    <n v="-3.44"/>
    <n v="-1.3854437086092715"/>
    <n v="-4.4797131420106982E-15"/>
    <n v="0.47014694332260809"/>
    <n v="3228.3048973509926"/>
    <n v="4100"/>
    <x v="442"/>
    <s v="&lt;Клиент не выбран&gt;"/>
    <s v="2024 11"/>
    <n v="871.69510264900737"/>
    <n v="0.27001634925012274"/>
  </r>
  <r>
    <s v="530079451"/>
    <s v="720000447125"/>
    <s v="iHerb_OA CZN6870"/>
    <s v="Доставлен"/>
    <d v="2024-10-21T00:00:00"/>
    <x v="28"/>
    <s v="Витамины"/>
    <s v="NOW-01289"/>
    <x v="3"/>
    <x v="214"/>
    <n v="24.66"/>
    <n v="-2.4649999999999999"/>
    <n v="-0.99385659704533857"/>
    <n v="-3.2135498767591286E-15"/>
    <n v="0.3372628121216964"/>
    <n v="2315.8444472109013"/>
    <n v="3100"/>
    <x v="685"/>
    <s v="&lt;Клиент не выбран&gt;"/>
    <s v="2024 12"/>
    <n v="784.15555278909869"/>
    <n v="0.338604587079888"/>
  </r>
  <r>
    <s v="530079451"/>
    <s v="720000447125"/>
    <s v="iHerb_OA CZN6870"/>
    <s v="Доставлен"/>
    <d v="2024-10-21T00:00:00"/>
    <x v="28"/>
    <s v="Витамины"/>
    <s v="NOW-01289"/>
    <x v="3"/>
    <x v="214"/>
    <n v="24.66"/>
    <n v="-2.4649999999999999"/>
    <n v="-0.99385659704533857"/>
    <n v="-3.2135498767591286E-15"/>
    <n v="0.3372628121216964"/>
    <n v="2315.8444472109013"/>
    <n v="3100"/>
    <x v="452"/>
    <s v="&lt;Клиент не выбран&gt;"/>
    <s v="2025 01"/>
    <n v="784.15555278909869"/>
    <n v="0.338604587079888"/>
  </r>
  <r>
    <s v="530079451"/>
    <s v="720000447125"/>
    <s v="iHerb_OA CZN6870"/>
    <s v="Доставлен"/>
    <d v="2024-10-21T00:00:00"/>
    <x v="28"/>
    <s v="Витамины"/>
    <s v="NOW-00086"/>
    <x v="3"/>
    <x v="1432"/>
    <n v="36.270000000000003"/>
    <n v="-3.63"/>
    <n v="-1.4615669893020886"/>
    <n v="-4.7258512267365604E-15"/>
    <n v="0.49597919295571841"/>
    <n v="3405.6842873153332"/>
    <n v="4300"/>
    <x v="587"/>
    <s v="&lt;Клиент не выбран&gt;"/>
    <s v="2024 11"/>
    <n v="894.31571268466678"/>
    <n v="0.26259501387594764"/>
  </r>
  <r>
    <s v="530079451"/>
    <s v="720000447125"/>
    <s v="iHerb_OA CZN6870"/>
    <s v="Доставлен"/>
    <d v="2024-10-21T00:00:00"/>
    <x v="28"/>
    <s v="Витамины"/>
    <s v="LEX-23151"/>
    <x v="7"/>
    <x v="17"/>
    <n v="20.85"/>
    <n v="-2.09"/>
    <n v="-0.8400427916454406"/>
    <n v="-2.7162061585042242E-15"/>
    <n v="0.2850664724218529"/>
    <n v="1957.4337386653078"/>
    <n v="2600"/>
    <x v="638"/>
    <s v="Оксана 17 Цветы"/>
    <s v="2025 08"/>
    <n v="642.56626133469217"/>
    <n v="0.32826973840393248"/>
  </r>
  <r>
    <s v="530079451"/>
    <s v="720000447125"/>
    <s v="iHerb_OA CZN6870"/>
    <s v="Доставлен"/>
    <d v="2024-10-21T00:00:00"/>
    <x v="28"/>
    <s v="Витамины"/>
    <s v="NOW-02314"/>
    <x v="3"/>
    <x v="1017"/>
    <n v="24.11"/>
    <n v="-2.41"/>
    <n v="-0.97169128884360645"/>
    <n v="-3.1418802579713038E-15"/>
    <n v="0.32974106884617305"/>
    <n v="2264.1957424859902"/>
    <n v="3000"/>
    <x v="587"/>
    <s v="&lt;Клиент не выбран&gt;"/>
    <s v="2024 11"/>
    <n v="735.80425751400981"/>
    <n v="0.32497378371806679"/>
  </r>
  <r>
    <s v="530079451"/>
    <s v="720000447125"/>
    <s v="iHerb_OA CZN6870"/>
    <s v="Доставлен"/>
    <d v="2024-10-21T00:00:00"/>
    <x v="28"/>
    <s v="Витамины"/>
    <s v="NOW-00107"/>
    <x v="3"/>
    <x v="585"/>
    <n v="13.25"/>
    <n v="-1.33"/>
    <n v="-0.53375853285787056"/>
    <n v="-1.725862335254283E-15"/>
    <n v="0.1811296562509854"/>
    <n v="1243.7425461029034"/>
    <n v="1700"/>
    <x v="749"/>
    <s v="&lt;Клиент не выбран&gt;"/>
    <s v="2025 04"/>
    <n v="456.25745389709664"/>
    <n v="0.36684236245412427"/>
  </r>
  <r>
    <s v="530079451"/>
    <s v="720000447125"/>
    <s v="iHerb_OA CZN6870"/>
    <s v="Доставлен"/>
    <d v="2024-10-21T00:00:00"/>
    <x v="28"/>
    <s v="Витамины"/>
    <s v="PCT-95250"/>
    <x v="252"/>
    <x v="1433"/>
    <n v="15.89"/>
    <n v="-6.31"/>
    <n v="-0.42897707590422823"/>
    <n v="-1.3870605009845667E-15"/>
    <n v="0.14557232440305709"/>
    <n v="999.58503285787049"/>
    <n v="2400"/>
    <x v="638"/>
    <m/>
    <s v="2025 08"/>
    <n v="1400.4149671421296"/>
    <n v="1.4009963345872272"/>
  </r>
  <r>
    <s v="530165515"/>
    <s v="720000451444"/>
    <s v="iHerb_VP DFD1605"/>
    <s v="Доставлен"/>
    <d v="2024-10-24T00:00:00"/>
    <x v="28"/>
    <s v="Витамины"/>
    <s v="PTF-10629"/>
    <x v="169"/>
    <x v="1427"/>
    <n v="13.6"/>
    <n v="-3.4"/>
    <n v="-1.264645678050951"/>
    <n v="0"/>
    <n v="0.16781996120512777"/>
    <n v="987.04616475692512"/>
    <n v="2000"/>
    <x v="166"/>
    <s v="&lt;Клиент не выбран&gt;"/>
    <s v="2025 01"/>
    <n v="1012.9538352430749"/>
    <n v="1.0262476785901193"/>
  </r>
  <r>
    <s v="530165515"/>
    <s v="720000451444"/>
    <s v="iHerb_VP DFD1605"/>
    <s v="Доставлен"/>
    <d v="2024-10-24T00:00:00"/>
    <x v="28"/>
    <s v="Витамины"/>
    <s v="PTF-10629"/>
    <x v="169"/>
    <x v="1427"/>
    <n v="13.6"/>
    <n v="-3.4"/>
    <n v="-1.264645678050951"/>
    <n v="0"/>
    <n v="0.16781996120512777"/>
    <n v="987.04616475692512"/>
    <n v="1900"/>
    <x v="638"/>
    <m/>
    <s v="2025 08"/>
    <n v="912.95383524307488"/>
    <n v="0.92493529466061342"/>
  </r>
  <r>
    <s v="530165515"/>
    <s v="720000451444"/>
    <s v="iHerb_VP DFD1605"/>
    <s v="Доставлен"/>
    <d v="2024-10-24T00:00:00"/>
    <x v="28"/>
    <s v="Витамины"/>
    <s v="CAR-01802"/>
    <x v="154"/>
    <x v="1325"/>
    <n v="44.62"/>
    <n v="-11.156666666666666"/>
    <n v="-4.1489470463900311"/>
    <n v="0"/>
    <n v="0.55057012762688806"/>
    <n v="3238.2210614361998"/>
    <n v="5000"/>
    <x v="442"/>
    <s v="&lt;Клиент не выбран&gt;"/>
    <s v="2024 11"/>
    <n v="1761.7789385638002"/>
    <n v="0.54405764928921341"/>
  </r>
  <r>
    <s v="530165515"/>
    <s v="720000451444"/>
    <s v="iHerb_VP DFD1605"/>
    <s v="Доставлен"/>
    <d v="2024-10-24T00:00:00"/>
    <x v="28"/>
    <s v="Витамины"/>
    <s v="CAR-01802"/>
    <x v="154"/>
    <x v="1325"/>
    <n v="44.62"/>
    <n v="-11.156666666666666"/>
    <n v="-4.1489470463900311"/>
    <n v="0"/>
    <n v="0.55057012762688806"/>
    <n v="3238.2210614361998"/>
    <n v="5000"/>
    <x v="442"/>
    <s v="&lt;Клиент не выбран&gt;"/>
    <s v="2024 11"/>
    <n v="1761.7789385638002"/>
    <n v="0.54405764928921341"/>
  </r>
  <r>
    <s v="530165515"/>
    <s v="720000451444"/>
    <s v="iHerb_VP DFD1605"/>
    <s v="Доставлен"/>
    <d v="2024-10-24T00:00:00"/>
    <x v="28"/>
    <s v="Витамины"/>
    <s v="CAR-01802"/>
    <x v="154"/>
    <x v="1325"/>
    <n v="44.62"/>
    <n v="-11.156666666666666"/>
    <n v="-4.1489470463900311"/>
    <n v="0"/>
    <n v="0.55057012762688806"/>
    <n v="3238.2210614361998"/>
    <n v="5000"/>
    <x v="442"/>
    <s v="&lt;Клиент не выбран&gt;"/>
    <s v="2024 11"/>
    <n v="1761.7789385638002"/>
    <n v="0.54405764928921341"/>
  </r>
  <r>
    <s v="530165515"/>
    <s v="720000451444"/>
    <s v="iHerb_VP DFD1605"/>
    <s v="Доставлен"/>
    <d v="2024-10-24T00:00:00"/>
    <x v="28"/>
    <s v="Витамины"/>
    <s v="NFS-35493"/>
    <x v="23"/>
    <x v="1383"/>
    <n v="47.82"/>
    <n v="-11.96"/>
    <n v="-4.4460974524418733"/>
    <n v="0"/>
    <n v="0.59000233419763548"/>
    <n v="3470.1446537434649"/>
    <n v="6000"/>
    <x v="622"/>
    <s v="&lt;Клиент не выбран&gt;"/>
    <s v="2024 12"/>
    <n v="2529.8553462565351"/>
    <n v="0.72903455005180251"/>
  </r>
  <r>
    <s v="530165515"/>
    <s v="720000451444"/>
    <s v="iHerb_VP DFD1605"/>
    <s v="Доставлен"/>
    <d v="2024-10-24T00:00:00"/>
    <x v="28"/>
    <s v="Витамины"/>
    <s v="NOW-00087"/>
    <x v="3"/>
    <x v="1282"/>
    <n v="11.07"/>
    <n v="-2.77"/>
    <n v="-1.0290744242963623"/>
    <n v="0"/>
    <n v="0.13655938019632943"/>
    <n v="803.18462426298822"/>
    <n v="1750"/>
    <x v="551"/>
    <s v="&lt;Клиент не выбран&gt;"/>
    <s v="2024 12"/>
    <n v="946.81537573701178"/>
    <n v="1.1788265700502183"/>
  </r>
  <r>
    <s v="530165515"/>
    <s v="720000451444"/>
    <s v="iHerb_VP DFD1605"/>
    <s v="Доставлен"/>
    <d v="2024-10-24T00:00:00"/>
    <x v="28"/>
    <s v="Витамины"/>
    <s v="MTG-03072"/>
    <x v="288"/>
    <x v="1434"/>
    <n v="19.77"/>
    <n v="-4.9400000000000004"/>
    <n v="-1.8386956279897648"/>
    <n v="0"/>
    <n v="0.24399706124235729"/>
    <n v="1435.087708171098"/>
    <n v="2700"/>
    <x v="641"/>
    <s v="&lt;Клиент не выбран&gt;"/>
    <s v="2024 12"/>
    <n v="1264.912291828902"/>
    <n v="0.88141810749736638"/>
  </r>
  <r>
    <s v="530338570"/>
    <s v="720000460806"/>
    <s v="iHerb_VP DFD1605"/>
    <s v="Доставлен"/>
    <d v="2024-10-30T00:00:00"/>
    <x v="28"/>
    <s v="Витамины"/>
    <s v="NOW-03880"/>
    <x v="3"/>
    <x v="1226"/>
    <n v="27.38"/>
    <n v="-6.8449999999999998"/>
    <n v="-0.95977877025342717"/>
    <n v="-6.0619007390251983E-15"/>
    <n v="0.31809249756206942"/>
    <n v="2139.0048244053796"/>
    <n v="3500"/>
    <x v="641"/>
    <s v="&lt;Клиент не выбран&gt;"/>
    <s v="2024 12"/>
    <n v="1360.9951755946204"/>
    <n v="0.63627494434144738"/>
  </r>
  <r>
    <s v="530338570"/>
    <s v="720000460806"/>
    <s v="iHerb_VP DFD1605"/>
    <s v="Доставлен"/>
    <d v="2024-10-30T00:00:00"/>
    <x v="28"/>
    <s v="Витамины"/>
    <s v="NOW-03880"/>
    <x v="3"/>
    <x v="1226"/>
    <n v="27.38"/>
    <n v="-6.8449999999999998"/>
    <n v="-0.95977877025342717"/>
    <n v="-6.0619007390251983E-15"/>
    <n v="0.31809249756206942"/>
    <n v="2139.0048244053796"/>
    <n v="3500"/>
    <x v="641"/>
    <s v="&lt;Клиент не выбран&gt;"/>
    <s v="2024 12"/>
    <n v="1360.9951755946204"/>
    <n v="0.63627494434144738"/>
  </r>
  <r>
    <s v="530338570"/>
    <s v="720000460806"/>
    <s v="iHerb_VP DFD1605"/>
    <s v="Доставлен"/>
    <d v="2024-10-30T00:00:00"/>
    <x v="28"/>
    <s v="Витамины"/>
    <s v="NOW-01661"/>
    <x v="3"/>
    <x v="1136"/>
    <n v="19.86"/>
    <n v="-4.9649999999999999"/>
    <n v="-0.6961726215205648"/>
    <n v="-4.3969813249466924E-15"/>
    <n v="0.2307274288379364"/>
    <n v="1551.5206651822803"/>
    <n v="2400"/>
    <x v="750"/>
    <s v="&lt;Клиент не выбран&gt;"/>
    <s v="2024 11"/>
    <n v="848.47933481771975"/>
    <n v="0.54686950284225588"/>
  </r>
  <r>
    <s v="530338570"/>
    <s v="720000460806"/>
    <s v="iHerb_VP DFD1605"/>
    <s v="Доставлен"/>
    <d v="2024-10-30T00:00:00"/>
    <x v="28"/>
    <s v="Витамины"/>
    <s v="NOW-01661"/>
    <x v="3"/>
    <x v="1136"/>
    <n v="19.86"/>
    <n v="-4.9649999999999999"/>
    <n v="-0.6961726215205648"/>
    <n v="-4.3969813249466924E-15"/>
    <n v="0.2307274288379364"/>
    <n v="1551.5206651822803"/>
    <n v="2600"/>
    <x v="404"/>
    <s v="&lt;Клиент не выбран&gt;"/>
    <s v="2024 12"/>
    <n v="1048.4793348177197"/>
    <n v="0.67577529474577724"/>
  </r>
  <r>
    <s v="530338570"/>
    <s v="720000460806"/>
    <s v="iHerb_VP DFD1605"/>
    <s v="Доставлен"/>
    <d v="2024-10-30T00:00:00"/>
    <x v="28"/>
    <s v="Витамины"/>
    <s v="SPN-02360"/>
    <x v="45"/>
    <x v="1435"/>
    <n v="38.81"/>
    <n v="-15.52"/>
    <n v="-1.0885438304943911"/>
    <n v="-6.875172545015675E-15"/>
    <n v="0.36076816499735076"/>
    <n v="2425.9762532457412"/>
    <n v="4500"/>
    <x v="736"/>
    <s v="Оксана Черноморская"/>
    <s v="2025 04"/>
    <n v="2074.0237467542588"/>
    <n v="0.8549233505395607"/>
  </r>
  <r>
    <s v="530338570"/>
    <s v="720000460806"/>
    <s v="iHerb_VP DFD1605"/>
    <s v="Доставлен"/>
    <d v="2024-10-30T00:00:00"/>
    <x v="28"/>
    <s v="Витамины"/>
    <s v="YOU-00316"/>
    <x v="71"/>
    <x v="990"/>
    <n v="30.35"/>
    <n v="-7.59"/>
    <n v="-1.0637723307021185"/>
    <n v="-6.7187173518487233E-15"/>
    <n v="0.35255832697894818"/>
    <n v="2370.7694084960526"/>
    <n v="3500"/>
    <x v="677"/>
    <s v="&lt;Клиент не выбран&gt;"/>
    <s v="2025 04"/>
    <n v="1129.2305915039474"/>
    <n v="0.47631397109189905"/>
  </r>
  <r>
    <s v="530338570"/>
    <s v="720000460806"/>
    <s v="iHerb_VP DFD1605"/>
    <s v="Доставлен"/>
    <d v="2024-10-30T00:00:00"/>
    <x v="28"/>
    <s v="Витамины"/>
    <s v="NOW-03802"/>
    <x v="3"/>
    <x v="1225"/>
    <n v="23.08"/>
    <n v="-5.77"/>
    <n v="-0.80904653095139145"/>
    <n v="-5.1098856485281803E-15"/>
    <n v="0.26813640773311037"/>
    <n v="1803.0763822964266"/>
    <n v="3100"/>
    <x v="379"/>
    <s v="&lt;Клиент не выбран&gt;"/>
    <s v="2025 01"/>
    <n v="1296.9236177035734"/>
    <n v="0.71928379209969517"/>
  </r>
  <r>
    <s v="530338570"/>
    <s v="720000460806"/>
    <s v="iHerb_VP DFD1605"/>
    <s v="Доставлен"/>
    <d v="2024-10-30T00:00:00"/>
    <x v="28"/>
    <s v="Витамины"/>
    <s v="SOR-51812"/>
    <x v="10"/>
    <x v="1262"/>
    <n v="21.99"/>
    <n v="-5.5"/>
    <n v="-0.77072081429164907"/>
    <n v="-4.867822896835915E-15"/>
    <n v="0.25543439419520453"/>
    <n v="1717.6620187214367"/>
    <n v="3200"/>
    <x v="663"/>
    <s v="&lt;Клиент не выбран&gt;"/>
    <s v="2025 04"/>
    <n v="1482.3379812785633"/>
    <n v="0.86299747279849637"/>
  </r>
  <r>
    <s v="530338570"/>
    <s v="720000460806"/>
    <s v="iHerb_VP DFD1605"/>
    <s v="Доставлен"/>
    <d v="2024-10-30T00:00:00"/>
    <x v="28"/>
    <s v="Витамины"/>
    <s v="NFS-01041"/>
    <x v="23"/>
    <x v="718"/>
    <n v="7.05"/>
    <n v="-1.76"/>
    <n v="-0.24724761113419186"/>
    <n v="-1.561599946892783E-15"/>
    <n v="8.1943477579904903E-2"/>
    <n v="551.02680891670116"/>
    <m/>
    <x v="20"/>
    <m/>
    <s v=""/>
    <n v="-551.02680891670116"/>
    <s v=""/>
  </r>
  <r>
    <s v="530338570"/>
    <s v="720000460806"/>
    <s v="iHerb_VP DFD1605"/>
    <s v="Доставлен"/>
    <d v="2024-10-30T00:00:00"/>
    <x v="28"/>
    <s v="Витамины"/>
    <s v="BNR-01791"/>
    <x v="289"/>
    <x v="1436"/>
    <n v="26.07"/>
    <n v="-6.52"/>
    <n v="-0.91374117158288304"/>
    <n v="-5.7711302385168069E-15"/>
    <n v="0.30283459105617033"/>
    <n v="2036.4034242573737"/>
    <n v="3400"/>
    <x v="442"/>
    <s v="&lt;Клиент не выбран&gt;"/>
    <s v="2024 11"/>
    <n v="1363.5965757426263"/>
    <n v="0.669610235133"/>
  </r>
  <r>
    <s v="530338570"/>
    <s v="720000460806"/>
    <s v="iHerb_VP DFD1605"/>
    <s v="Доставлен"/>
    <d v="2024-10-30T00:00:00"/>
    <x v="28"/>
    <s v="Витамины"/>
    <s v="NOR-01775"/>
    <x v="9"/>
    <x v="1395"/>
    <n v="22.68"/>
    <n v="-5.67"/>
    <n v="-0.7950249272953881"/>
    <n v="-5.0213261052261315E-15"/>
    <n v="0.26348932960948623"/>
    <n v="1771.8272248909429"/>
    <n v="3200"/>
    <x v="622"/>
    <s v="&lt;Клиент не выбран&gt;"/>
    <s v="2024 12"/>
    <n v="1428.1727751090571"/>
    <n v="0.80604516910330348"/>
  </r>
  <r>
    <s v="530260256"/>
    <s v="722500298707"/>
    <s v="iHerb_AV CYG0792"/>
    <s v="Доставлен"/>
    <d v="2024-10-28T00:00:00"/>
    <x v="28"/>
    <s v="Витамины"/>
    <s v="NOW-01663"/>
    <x v="3"/>
    <x v="449"/>
    <n v="22.94"/>
    <n v="-5.74"/>
    <n v="-2.5752466242216472"/>
    <n v="0"/>
    <n v="0.35487056246533555"/>
    <n v="1629.1662981879242"/>
    <n v="3200"/>
    <x v="751"/>
    <s v="&lt;Клиент не выбран&gt;"/>
    <s v="2025 02"/>
    <n v="1570.8337018120758"/>
    <n v="0.9641948176556745"/>
  </r>
  <r>
    <s v="530260256"/>
    <s v="722500298707"/>
    <s v="iHerb_AV CYG0792"/>
    <s v="Доставлен"/>
    <d v="2024-10-28T00:00:00"/>
    <x v="28"/>
    <s v="Витамины"/>
    <s v="PAR-77872"/>
    <x v="44"/>
    <x v="1437"/>
    <n v="15.45"/>
    <n v="-3.8633333333333333"/>
    <n v="-1.7347979197276053"/>
    <n v="0"/>
    <n v="0.2390562161103694"/>
    <n v="1097.4771419576016"/>
    <n v="2500"/>
    <x v="442"/>
    <s v="&lt;Клиент не выбран&gt;"/>
    <s v="2024 11"/>
    <n v="1402.5228580423984"/>
    <n v="1.277951771770552"/>
  </r>
  <r>
    <s v="530260256"/>
    <s v="722500298707"/>
    <s v="iHerb_AV CYG0792"/>
    <s v="Доставлен"/>
    <d v="2024-10-28T00:00:00"/>
    <x v="28"/>
    <s v="Витамины"/>
    <s v="PAR-77872"/>
    <x v="44"/>
    <x v="1437"/>
    <n v="15.45"/>
    <n v="-3.8633333333333333"/>
    <n v="-1.7347979197276053"/>
    <n v="0"/>
    <n v="0.2390562161103694"/>
    <n v="1097.4771419576016"/>
    <n v="2500"/>
    <x v="442"/>
    <s v="&lt;Клиент не выбран&gt;"/>
    <s v="2024 11"/>
    <n v="1402.5228580423984"/>
    <n v="1.277951771770552"/>
  </r>
  <r>
    <s v="530260256"/>
    <s v="722500298707"/>
    <s v="iHerb_AV CYG0792"/>
    <s v="Доставлен"/>
    <d v="2024-10-28T00:00:00"/>
    <x v="28"/>
    <s v="Витамины"/>
    <s v="PAR-77872"/>
    <x v="44"/>
    <x v="1437"/>
    <n v="15.45"/>
    <n v="-3.8633333333333333"/>
    <n v="-1.7347979197276053"/>
    <n v="0"/>
    <n v="0.2390562161103694"/>
    <n v="1097.4771419576016"/>
    <n v="2500"/>
    <x v="442"/>
    <s v="&lt;Клиент не выбран&gt;"/>
    <s v="2024 11"/>
    <n v="1402.5228580423984"/>
    <n v="1.277951771770552"/>
  </r>
  <r>
    <s v="530260256"/>
    <s v="722500298707"/>
    <s v="iHerb_AV CYG0792"/>
    <s v="Доставлен"/>
    <d v="2024-10-28T00:00:00"/>
    <x v="28"/>
    <s v="Витамины"/>
    <s v="BNR-01791"/>
    <x v="289"/>
    <x v="1436"/>
    <n v="26.07"/>
    <n v="-6.5175000000000001"/>
    <n v="-2.9274714895403342"/>
    <n v="0"/>
    <n v="0.40340736468624844"/>
    <n v="1851.9926770534528"/>
    <n v="3400"/>
    <x v="442"/>
    <s v="&lt;Клиент не выбран&gt;"/>
    <s v="2024 11"/>
    <n v="1548.0073229465472"/>
    <n v="0.83586039087878539"/>
  </r>
  <r>
    <s v="530260256"/>
    <s v="722500298707"/>
    <s v="iHerb_AV CYG0792"/>
    <s v="Доставлен"/>
    <d v="2024-10-28T00:00:00"/>
    <x v="28"/>
    <s v="Витамины"/>
    <s v="BNR-01791"/>
    <x v="289"/>
    <x v="1436"/>
    <n v="26.07"/>
    <n v="-6.5175000000000001"/>
    <n v="-2.9274714895403342"/>
    <n v="0"/>
    <n v="0.40340736468624844"/>
    <n v="1851.9926770534528"/>
    <n v="3400"/>
    <x v="442"/>
    <s v="&lt;Клиент не выбран&gt;"/>
    <s v="2024 11"/>
    <n v="1548.0073229465472"/>
    <n v="0.83586039087878539"/>
  </r>
  <r>
    <s v="530260256"/>
    <s v="722500298707"/>
    <s v="iHerb_AV CYG0792"/>
    <s v="Доставлен"/>
    <d v="2024-10-28T00:00:00"/>
    <x v="28"/>
    <s v="Витамины"/>
    <s v="BNR-01791"/>
    <x v="289"/>
    <x v="1436"/>
    <n v="26.07"/>
    <n v="-6.5175000000000001"/>
    <n v="-2.9274714895403342"/>
    <n v="0"/>
    <n v="0.40340736468624844"/>
    <n v="1851.9926770534528"/>
    <n v="3400"/>
    <x v="442"/>
    <s v="&lt;Клиент не выбран&gt;"/>
    <s v="2024 11"/>
    <n v="1548.0073229465472"/>
    <n v="0.83586039087878539"/>
  </r>
  <r>
    <s v="530260256"/>
    <s v="722500298707"/>
    <s v="iHerb_AV CYG0792"/>
    <s v="Доставлен"/>
    <d v="2024-10-28T00:00:00"/>
    <x v="28"/>
    <s v="Витамины"/>
    <s v="BNR-01791"/>
    <x v="289"/>
    <x v="1436"/>
    <n v="26.07"/>
    <n v="-6.5175000000000001"/>
    <n v="-2.9274714895403342"/>
    <n v="0"/>
    <n v="0.40340736468624844"/>
    <n v="1851.9926770534528"/>
    <n v="3100"/>
    <x v="545"/>
    <s v="&lt;Клиент не выбран&gt;"/>
    <s v="2025 02"/>
    <n v="1248.0073229465472"/>
    <n v="0.67387270933065724"/>
  </r>
  <r>
    <s v="530260256"/>
    <s v="722500298707"/>
    <s v="iHerb_AV CYG0792"/>
    <s v="Доставлен"/>
    <d v="2024-10-28T00:00:00"/>
    <x v="28"/>
    <s v="Витамины"/>
    <s v="NOW-02938"/>
    <x v="3"/>
    <x v="971"/>
    <n v="17.010000000000002"/>
    <n v="-4.25"/>
    <n v="-1.9104736584341986"/>
    <n v="0"/>
    <n v="0.26326444052660941"/>
    <n v="1208.61406772546"/>
    <n v="2300"/>
    <x v="442"/>
    <s v="&lt;Клиент не выбран&gt;"/>
    <s v="2024 11"/>
    <n v="1091.38593227454"/>
    <n v="0.90300614680785862"/>
  </r>
  <r>
    <s v="4495322229"/>
    <s v="1495407237"/>
    <s v="essens_AV"/>
    <s v="Доставлен"/>
    <d v="2024-10-24T00:00:00"/>
    <x v="28"/>
    <s v="Парфюм"/>
    <s v="m04150xr"/>
    <x v="232"/>
    <x v="1438"/>
    <n v="1476.28"/>
    <n v="0"/>
    <n v="0"/>
    <n v="-245.11548198076099"/>
    <n v="93.478213045742322"/>
    <n v="1324.6427310649813"/>
    <m/>
    <x v="20"/>
    <m/>
    <s v=""/>
    <n v="-1324.6427310649813"/>
    <s v=""/>
  </r>
  <r>
    <s v="4495322229"/>
    <s v="1495407237"/>
    <s v="essens_AV"/>
    <s v="Доставлен"/>
    <d v="2024-10-24T00:00:00"/>
    <x v="28"/>
    <s v="Парфюм"/>
    <s v="w18450xr"/>
    <x v="232"/>
    <x v="1066"/>
    <n v="1476.28"/>
    <n v="0"/>
    <n v="0"/>
    <n v="-245.11548198076099"/>
    <n v="93.478213045742322"/>
    <n v="1324.6427310649813"/>
    <m/>
    <x v="20"/>
    <m/>
    <s v=""/>
    <n v="-1324.6427310649813"/>
    <s v=""/>
  </r>
  <r>
    <s v="4495322229"/>
    <s v="1495407237"/>
    <s v="essens_AV"/>
    <s v="Доставлен"/>
    <d v="2024-10-24T00:00:00"/>
    <x v="28"/>
    <s v="Парфюм"/>
    <s v="w18750xr"/>
    <x v="232"/>
    <x v="1120"/>
    <n v="1476.28"/>
    <n v="0"/>
    <n v="0"/>
    <n v="-245.11548198076099"/>
    <n v="93.478213045742322"/>
    <n v="1324.6427310649813"/>
    <m/>
    <x v="20"/>
    <m/>
    <s v=""/>
    <n v="-1324.6427310649813"/>
    <s v=""/>
  </r>
  <r>
    <s v="4495322229"/>
    <s v="1495407237"/>
    <s v="essens_AV"/>
    <s v="Доставлен"/>
    <d v="2024-10-24T00:00:00"/>
    <x v="28"/>
    <s v="Парфюм"/>
    <s v="w18950xr"/>
    <x v="232"/>
    <x v="1439"/>
    <n v="1476.28"/>
    <n v="0"/>
    <n v="0"/>
    <n v="-245.11548198076099"/>
    <n v="93.478213045742322"/>
    <n v="1324.6427310649813"/>
    <m/>
    <x v="20"/>
    <m/>
    <s v=""/>
    <n v="-1324.6427310649813"/>
    <s v=""/>
  </r>
  <r>
    <s v="4495322229"/>
    <s v="1495407237"/>
    <s v="essens_AV"/>
    <s v="Доставлен"/>
    <d v="2024-10-24T00:00:00"/>
    <x v="28"/>
    <s v="Парфюм"/>
    <s v="w19450xr"/>
    <x v="232"/>
    <x v="1240"/>
    <n v="1476.28"/>
    <n v="0"/>
    <n v="0"/>
    <n v="-245.11548198076099"/>
    <n v="93.478213045742322"/>
    <n v="1324.6427310649813"/>
    <n v="2500"/>
    <x v="405"/>
    <s v="&lt;Клиент не выбран&gt;"/>
    <s v="2024 11"/>
    <n v="1175.3572689350187"/>
    <n v="0.88730133897315799"/>
  </r>
  <r>
    <s v="4495322229"/>
    <s v="1495407237"/>
    <s v="essens_AV"/>
    <s v="Доставлен"/>
    <d v="2024-10-24T00:00:00"/>
    <x v="28"/>
    <s v="Парфюм"/>
    <s v="w19450xr"/>
    <x v="232"/>
    <x v="1240"/>
    <n v="1476.28"/>
    <n v="0"/>
    <n v="0"/>
    <n v="-245.11548198076099"/>
    <n v="93.478213045742322"/>
    <n v="1324.6427310649813"/>
    <m/>
    <x v="20"/>
    <m/>
    <s v=""/>
    <n v="-1324.6427310649813"/>
    <s v=""/>
  </r>
  <r>
    <s v="4495322229"/>
    <s v="1495407237"/>
    <s v="essens_AV"/>
    <s v="Доставлен"/>
    <d v="2024-10-24T00:00:00"/>
    <x v="28"/>
    <s v="Парфюм"/>
    <s v="w18801"/>
    <x v="232"/>
    <x v="1440"/>
    <n v="33.65"/>
    <n v="0"/>
    <n v="0"/>
    <n v="-5.5871081154337983"/>
    <n v="2.1307217255461222"/>
    <n v="30.193613610112322"/>
    <m/>
    <x v="20"/>
    <m/>
    <s v=""/>
    <n v="-30.193613610112322"/>
    <s v=""/>
  </r>
  <r>
    <s v="OZO0119"/>
    <n v="0"/>
    <s v="OZON_OA"/>
    <s v="Доставлен"/>
    <d v="2024-10-21T00:00:00"/>
    <x v="28"/>
    <s v="Спортпит"/>
    <s v="892721541"/>
    <x v="162"/>
    <x v="618"/>
    <n v="682"/>
    <n v="0"/>
    <n v="0"/>
    <n v="0"/>
    <n v="0"/>
    <n v="682"/>
    <n v="1900"/>
    <x v="748"/>
    <s v="&lt;Клиент не выбран&gt;"/>
    <s v="2024 11"/>
    <n v="1218"/>
    <n v="1.7859237536656891"/>
  </r>
  <r>
    <s v="OZO0119"/>
    <n v="0"/>
    <s v="OZON_OA"/>
    <s v="Доставлен"/>
    <d v="2024-10-21T00:00:00"/>
    <x v="28"/>
    <s v="Спортпит"/>
    <s v="892721541"/>
    <x v="162"/>
    <x v="618"/>
    <n v="682"/>
    <n v="0"/>
    <n v="0"/>
    <n v="0"/>
    <n v="0"/>
    <n v="682"/>
    <n v="2000"/>
    <x v="666"/>
    <s v="&lt;Клиент не выбран&gt;"/>
    <s v="2024 11"/>
    <n v="1318"/>
    <n v="1.9325513196480939"/>
  </r>
  <r>
    <s v="4230XXXXX"/>
    <n v="0"/>
    <s v="Forever"/>
    <s v="Доставлен"/>
    <d v="2024-10-12T00:00:00"/>
    <x v="28"/>
    <s v="Витамины"/>
    <s v="000000015"/>
    <x v="85"/>
    <x v="265"/>
    <n v="2202"/>
    <n v="0"/>
    <n v="0"/>
    <n v="0"/>
    <n v="0"/>
    <n v="2202"/>
    <n v="3000"/>
    <x v="666"/>
    <s v="&lt;Клиент не выбран&gt;"/>
    <s v="2024 11"/>
    <n v="798"/>
    <n v="0.36239782016348776"/>
  </r>
  <r>
    <s v="4230XXXXX"/>
    <n v="0"/>
    <s v="Forever"/>
    <s v="Доставлен"/>
    <d v="2024-10-12T00:00:00"/>
    <x v="28"/>
    <s v="Витамины"/>
    <s v="000000015"/>
    <x v="85"/>
    <x v="265"/>
    <n v="2202"/>
    <n v="0"/>
    <n v="0"/>
    <n v="0"/>
    <n v="0"/>
    <n v="2202"/>
    <n v="3000"/>
    <x v="452"/>
    <s v="&lt;Клиент не выбран&gt;"/>
    <s v="2025 01"/>
    <n v="798"/>
    <n v="0.36239782016348776"/>
  </r>
  <r>
    <s v="4230XXXXX"/>
    <n v="0"/>
    <s v="Forever"/>
    <s v="Доставлен"/>
    <d v="2024-10-12T00:00:00"/>
    <x v="28"/>
    <s v="Витамины"/>
    <s v="000000015"/>
    <x v="85"/>
    <x v="265"/>
    <n v="2202"/>
    <n v="0"/>
    <n v="0"/>
    <n v="0"/>
    <n v="0"/>
    <n v="2202"/>
    <n v="2202"/>
    <x v="752"/>
    <s v="&lt;Клиент не выбран&gt;"/>
    <s v="2024 10"/>
    <n v="0"/>
    <n v="0"/>
  </r>
  <r>
    <s v="4230XXXXX"/>
    <n v="0"/>
    <s v="Forever"/>
    <s v="Доставлен"/>
    <d v="2024-10-12T00:00:00"/>
    <x v="28"/>
    <s v="Витамины"/>
    <s v="000000015"/>
    <x v="85"/>
    <x v="265"/>
    <n v="2202"/>
    <n v="0"/>
    <n v="0"/>
    <n v="0"/>
    <n v="0"/>
    <n v="2202"/>
    <n v="3000"/>
    <x v="654"/>
    <s v="&lt;Клиент не выбран&gt;"/>
    <s v="2025 02"/>
    <n v="798"/>
    <n v="0.36239782016348776"/>
  </r>
  <r>
    <s v="4230XXXXX"/>
    <n v="0"/>
    <s v="Forever"/>
    <s v="Доставлен"/>
    <d v="2024-10-12T00:00:00"/>
    <x v="28"/>
    <s v="Косметика"/>
    <s v="000000028"/>
    <x v="85"/>
    <x v="266"/>
    <n v="649"/>
    <n v="0"/>
    <n v="0"/>
    <n v="0"/>
    <n v="0"/>
    <n v="649"/>
    <n v="649"/>
    <x v="752"/>
    <s v="&lt;Клиент не выбран&gt;"/>
    <s v="2024 10"/>
    <n v="0"/>
    <n v="0"/>
  </r>
  <r>
    <s v="4230XXXXX"/>
    <n v="0"/>
    <s v="Forever"/>
    <s v="Доставлен"/>
    <d v="2024-10-12T00:00:00"/>
    <x v="28"/>
    <s v="Косметика"/>
    <s v="000000028"/>
    <x v="85"/>
    <x v="266"/>
    <n v="649"/>
    <n v="0"/>
    <n v="0"/>
    <n v="0"/>
    <n v="0"/>
    <n v="649"/>
    <n v="649"/>
    <x v="20"/>
    <m/>
    <s v=""/>
    <n v="0"/>
    <n v="0"/>
  </r>
  <r>
    <s v="530764903"/>
    <s v="720000482757"/>
    <s v="iHerb_MH DLE7202"/>
    <s v="Доставлен"/>
    <d v="2024-11-12T00:00:00"/>
    <x v="29"/>
    <s v="Витамины"/>
    <s v="FBS-20726"/>
    <x v="20"/>
    <x v="42"/>
    <n v="7.8"/>
    <n v="-1.87"/>
    <n v="-1.2515338212820719"/>
    <n v="0"/>
    <n v="0.18385747715903702"/>
    <n v="539.3981991474302"/>
    <n v="1800"/>
    <x v="751"/>
    <s v="&lt;Клиент не выбран&gt;"/>
    <s v="2025 02"/>
    <n v="1260.6018008525698"/>
    <n v="2.337052297996304"/>
  </r>
  <r>
    <s v="530764903"/>
    <s v="720000482757"/>
    <s v="iHerb_MH DLE7202"/>
    <s v="Доставлен"/>
    <d v="2024-11-12T00:00:00"/>
    <x v="29"/>
    <s v="Витамины"/>
    <s v="FBS-00678"/>
    <x v="20"/>
    <x v="542"/>
    <n v="13.63"/>
    <n v="-3.27"/>
    <n v="-2.1864907906378188"/>
    <n v="0"/>
    <n v="0.32120800394057736"/>
    <n v="942.35503257460005"/>
    <n v="2400"/>
    <x v="395"/>
    <s v="&lt;Клиент не выбран&gt;"/>
    <s v="2025 01"/>
    <n v="1457.6449674254"/>
    <n v="1.5468108271709238"/>
  </r>
  <r>
    <s v="530764903"/>
    <s v="720000482757"/>
    <s v="iHerb_MH DLE7202"/>
    <s v="Доставлен"/>
    <d v="2024-11-12T00:00:00"/>
    <x v="29"/>
    <s v="Витамины"/>
    <s v="HEI-76187"/>
    <x v="147"/>
    <x v="1441"/>
    <n v="15.49"/>
    <n v="-3.72"/>
    <n v="-2.4840730314485642"/>
    <n v="0"/>
    <n v="0.36492453729542423"/>
    <n v="1070.6099163516449"/>
    <m/>
    <x v="20"/>
    <m/>
    <s v=""/>
    <n v="-1070.6099163516449"/>
    <s v=""/>
  </r>
  <r>
    <s v="530764903"/>
    <s v="720000482757"/>
    <s v="iHerb_MH DLE7202"/>
    <s v="Доставлен"/>
    <d v="2024-11-12T00:00:00"/>
    <x v="29"/>
    <s v="Косметика"/>
    <s v="MBN-01738"/>
    <x v="14"/>
    <x v="1442"/>
    <n v="4.76"/>
    <n v="-2.86"/>
    <n v="-0.40099734577334512"/>
    <n v="0"/>
    <n v="5.8908803811495838E-2"/>
    <n v="172.82572991233008"/>
    <m/>
    <x v="20"/>
    <m/>
    <s v=""/>
    <n v="-172.82572991233008"/>
    <s v=""/>
  </r>
  <r>
    <s v="530764903"/>
    <s v="720000482757"/>
    <s v="iHerb_MH DLE7202"/>
    <s v="Доставлен"/>
    <d v="2024-11-12T00:00:00"/>
    <x v="29"/>
    <s v="Витамины"/>
    <s v="BLB-00298"/>
    <x v="186"/>
    <x v="748"/>
    <n v="9.48"/>
    <n v="-2.2799999999999998"/>
    <n v="-1.5195688892463608"/>
    <n v="0"/>
    <n v="0.2232333618119843"/>
    <n v="654.91855545725105"/>
    <n v="654.91999999999996"/>
    <x v="753"/>
    <s v="&lt;Клиент не выбран&gt;"/>
    <s v="2024 11"/>
    <n v="1.4445427489135909E-3"/>
    <n v="2.2056830378016088E-6"/>
  </r>
  <r>
    <s v="530764903"/>
    <s v="720000482757"/>
    <s v="iHerb_MH DLE7202"/>
    <s v="Доставлен"/>
    <d v="2024-11-12T00:00:00"/>
    <x v="29"/>
    <s v="Витамины"/>
    <s v="BLB-00618"/>
    <x v="186"/>
    <x v="1443"/>
    <n v="32.83"/>
    <n v="-7.88"/>
    <n v="-5.2657283037078741"/>
    <n v="0"/>
    <n v="0.77356560794569529"/>
    <n v="2269.4747164803348"/>
    <n v="2269.4699999999998"/>
    <x v="753"/>
    <s v="&lt;Клиент не выбран&gt;"/>
    <s v="2024 11"/>
    <n v="-4.7164803349915019E-3"/>
    <n v="-2.0782255474104424E-6"/>
  </r>
  <r>
    <s v="530764903"/>
    <s v="720000482757"/>
    <s v="iHerb_MH DLE7202"/>
    <s v="Доставлен"/>
    <d v="2024-11-12T00:00:00"/>
    <x v="29"/>
    <s v="Витамины"/>
    <s v="SPN-02338"/>
    <x v="45"/>
    <x v="1310"/>
    <n v="48.52"/>
    <n v="-14.56"/>
    <n v="-7.1672999276119995"/>
    <n v="0"/>
    <n v="1.0529173565465257"/>
    <n v="3089.0325199067001"/>
    <n v="3300"/>
    <x v="678"/>
    <m/>
    <s v="2025 08"/>
    <n v="210.96748009329986"/>
    <n v="6.8295648794164152E-2"/>
  </r>
  <r>
    <s v="530764903"/>
    <s v="720000482757"/>
    <s v="iHerb_MH DLE7202"/>
    <s v="Доставлен"/>
    <d v="2024-11-12T00:00:00"/>
    <x v="29"/>
    <s v="Витамины"/>
    <s v="NOW-03334"/>
    <x v="3"/>
    <x v="1444"/>
    <n v="37.18"/>
    <n v="-8.92"/>
    <n v="-5.9643078902919644"/>
    <n v="0"/>
    <n v="0.8761909451120381"/>
    <n v="2570.55533016971"/>
    <n v="4600"/>
    <x v="166"/>
    <s v="&lt;Клиент не выбран&gt;"/>
    <s v="2025 01"/>
    <n v="2029.44466983029"/>
    <n v="0.78949659087723445"/>
  </r>
  <r>
    <s v="530575270"/>
    <s v="720000470754"/>
    <s v="iHerb_OA CZN6870"/>
    <s v="Доставлен"/>
    <d v="2024-11-08T00:00:00"/>
    <x v="29"/>
    <s v="Витамины"/>
    <s v="JRW-12026"/>
    <x v="21"/>
    <x v="892"/>
    <n v="26.72"/>
    <n v="-6.41"/>
    <n v="-2.8357157120336312"/>
    <n v="-3.0333416633289822E-15"/>
    <n v="0.41535343901695476"/>
    <n v="1965.7262427745654"/>
    <n v="3300"/>
    <x v="404"/>
    <s v="&lt;Клиент не выбран&gt;"/>
    <s v="2024 12"/>
    <n v="1334.2737572254346"/>
    <n v="0.67876885814076837"/>
  </r>
  <r>
    <s v="530575270"/>
    <s v="720000470754"/>
    <s v="iHerb_OA CZN6870"/>
    <s v="Доставлен"/>
    <d v="2024-11-08T00:00:00"/>
    <x v="29"/>
    <s v="Витамины"/>
    <s v="LEX-19456"/>
    <x v="7"/>
    <x v="558"/>
    <n v="10.76"/>
    <n v="-2.58"/>
    <n v="-1.1421050972149238"/>
    <n v="-1.2217003843442184E-15"/>
    <n v="0.1672866140403097"/>
    <n v="791.71052023121365"/>
    <n v="1550"/>
    <x v="404"/>
    <s v="&lt;Клиент не выбран&gt;"/>
    <s v="2024 12"/>
    <n v="758.28947976878635"/>
    <n v="0.95778628727496651"/>
  </r>
  <r>
    <s v="530575270"/>
    <s v="720000470754"/>
    <s v="iHerb_OA CZN6870"/>
    <s v="Доставлен"/>
    <d v="2024-11-08T00:00:00"/>
    <x v="29"/>
    <s v="Витамины"/>
    <s v="LEX-19456"/>
    <x v="7"/>
    <x v="558"/>
    <n v="10.76"/>
    <n v="-2.58"/>
    <n v="-1.1421050972149238"/>
    <n v="-1.2217003843442184E-15"/>
    <n v="0.1672866140403097"/>
    <n v="791.71052023121365"/>
    <n v="1550"/>
    <x v="404"/>
    <s v="&lt;Клиент не выбран&gt;"/>
    <s v="2024 12"/>
    <n v="758.28947976878635"/>
    <n v="0.95778628727496651"/>
  </r>
  <r>
    <s v="530575270"/>
    <s v="720000470754"/>
    <s v="iHerb_OA CZN6870"/>
    <s v="Доставлен"/>
    <d v="2024-11-08T00:00:00"/>
    <x v="29"/>
    <s v="Витамины"/>
    <s v="NOW-01482"/>
    <x v="3"/>
    <x v="30"/>
    <n v="12.41"/>
    <n v="-2.98"/>
    <n v="-1.3166321597477666"/>
    <n v="-1.4083905408760366E-15"/>
    <n v="0.19284997193155506"/>
    <n v="912.69317919075104"/>
    <n v="1700"/>
    <x v="404"/>
    <s v="&lt;Клиент не выбран&gt;"/>
    <s v="2024 12"/>
    <n v="787.30682080924896"/>
    <n v="0.8626193761054759"/>
  </r>
  <r>
    <s v="530575270"/>
    <s v="720000470754"/>
    <s v="iHerb_OA CZN6870"/>
    <s v="Доставлен"/>
    <d v="2024-11-08T00:00:00"/>
    <x v="29"/>
    <s v="Витамины"/>
    <s v="NOW-03880"/>
    <x v="3"/>
    <x v="1226"/>
    <n v="27.38"/>
    <n v="-6.57"/>
    <n v="-2.905526537046768"/>
    <n v="-3.1080177259417094E-15"/>
    <n v="0.42557878217345291"/>
    <n v="2014.1193063583808"/>
    <n v="3000"/>
    <x v="530"/>
    <s v="&lt;Клиент не выбран&gt;"/>
    <s v="2025 03"/>
    <n v="985.88069364161925"/>
    <n v="0.48948475421951859"/>
  </r>
  <r>
    <s v="530575270"/>
    <s v="720000470754"/>
    <s v="iHerb_OA CZN6870"/>
    <s v="Доставлен"/>
    <d v="2024-11-08T00:00:00"/>
    <x v="29"/>
    <s v="Косметика"/>
    <s v="FSY-77000"/>
    <x v="98"/>
    <x v="1445"/>
    <n v="13.51"/>
    <n v="-3.24"/>
    <n v="-1.4339143457698369"/>
    <n v="-1.5338463260654185E-15"/>
    <n v="0.21002854843447197"/>
    <n v="993.99352601156033"/>
    <n v="1900"/>
    <x v="321"/>
    <s v="&lt;Клиент не выбран&gt;"/>
    <s v="2024 12"/>
    <n v="906.00647398843967"/>
    <n v="0.91148126248249084"/>
  </r>
  <r>
    <s v="530575270"/>
    <s v="720000470754"/>
    <s v="iHerb_OA CZN6870"/>
    <s v="Доставлен"/>
    <d v="2024-11-08T00:00:00"/>
    <x v="29"/>
    <s v="Косметика"/>
    <s v="ENO-46333"/>
    <x v="117"/>
    <x v="1446"/>
    <n v="6.77"/>
    <n v="-1.62"/>
    <n v="-0.71905149763531262"/>
    <n v="-7.6916344491109097E-16"/>
    <n v="0.10532103451193091"/>
    <n v="498.44855491329457"/>
    <n v="1200"/>
    <x v="321"/>
    <s v="&lt;Клиент не выбран&gt;"/>
    <s v="2024 12"/>
    <n v="701.55144508670537"/>
    <n v="1.4074701153637423"/>
  </r>
  <r>
    <s v="530575270"/>
    <s v="720000470754"/>
    <s v="iHerb_OA CZN6870"/>
    <s v="Доставлен"/>
    <d v="2024-11-08T00:00:00"/>
    <x v="29"/>
    <s v="Косметика"/>
    <s v="IDE-01678"/>
    <x v="111"/>
    <x v="1447"/>
    <n v="21.5"/>
    <n v="-12.9"/>
    <n v="-1.2007461902259589"/>
    <n v="-1.2844282769389092E-15"/>
    <n v="0.17587590229176814"/>
    <n v="832.36069364161824"/>
    <m/>
    <x v="20"/>
    <m/>
    <s v=""/>
    <n v="-832.36069364161824"/>
    <s v=""/>
  </r>
  <r>
    <s v="530575270"/>
    <s v="720000470754"/>
    <s v="iHerb_OA CZN6870"/>
    <s v="Доставлен"/>
    <d v="2024-11-08T00:00:00"/>
    <x v="29"/>
    <s v="Витамины"/>
    <s v="BLB-00208"/>
    <x v="186"/>
    <x v="1448"/>
    <n v="31.54"/>
    <n v="-7.57"/>
    <n v="-3.3467309511297945"/>
    <n v="-3.5799704416541463E-15"/>
    <n v="0.4902029509225212"/>
    <n v="2319.9634682080919"/>
    <n v="4000"/>
    <x v="641"/>
    <s v="&lt;Клиент не выбран&gt;"/>
    <s v="2024 12"/>
    <n v="1680.0365317919081"/>
    <n v="0.72416508053445572"/>
  </r>
  <r>
    <s v="530575270"/>
    <s v="720000470754"/>
    <s v="iHerb_OA CZN6870"/>
    <s v="Доставлен"/>
    <d v="2024-11-08T00:00:00"/>
    <x v="29"/>
    <s v="Витамины"/>
    <s v="BLB-00208"/>
    <x v="186"/>
    <x v="1448"/>
    <n v="31.54"/>
    <n v="-7.57"/>
    <n v="-3.3467309511297945"/>
    <n v="-3.5799704416541463E-15"/>
    <n v="0.4902029509225212"/>
    <n v="2319.9634682080919"/>
    <n v="4000"/>
    <x v="641"/>
    <s v="&lt;Клиент не выбран&gt;"/>
    <s v="2024 12"/>
    <n v="1680.0365317919081"/>
    <n v="0.72416508053445572"/>
  </r>
  <r>
    <s v="530575270"/>
    <s v="720000470754"/>
    <s v="iHerb_OA CZN6870"/>
    <s v="Доставлен"/>
    <d v="2024-11-08T00:00:00"/>
    <x v="29"/>
    <s v="Витамины"/>
    <s v="BLB-00208"/>
    <x v="186"/>
    <x v="1448"/>
    <n v="31.54"/>
    <n v="-7.57"/>
    <n v="-3.3467309511297945"/>
    <n v="-3.5799704416541463E-15"/>
    <n v="0.4902029509225212"/>
    <n v="2319.9634682080919"/>
    <n v="4000"/>
    <x v="641"/>
    <s v="&lt;Клиент не выбран&gt;"/>
    <s v="2024 12"/>
    <n v="1680.0365317919081"/>
    <n v="0.72416508053445572"/>
  </r>
  <r>
    <s v="530575270"/>
    <s v="720000470754"/>
    <s v="iHerb_OA CZN6870"/>
    <s v="Доставлен"/>
    <d v="2024-11-08T00:00:00"/>
    <x v="29"/>
    <s v="Витамины"/>
    <s v="NOW-03876"/>
    <x v="3"/>
    <x v="468"/>
    <n v="36.130000000000003"/>
    <n v="-8.67"/>
    <n v="-3.8340105097214923"/>
    <n v="-4.1012093586909827E-15"/>
    <n v="0.56157584615487832"/>
    <n v="2657.7470520231209"/>
    <n v="4400"/>
    <x v="706"/>
    <s v="&lt;Клиент не выбран&gt;"/>
    <s v="2025 03"/>
    <n v="1742.2529479768791"/>
    <n v="0.65553753381107038"/>
  </r>
  <r>
    <s v="530860047"/>
    <s v="720000489634"/>
    <s v="iHerb_OA CZN6870"/>
    <s v="Доставлен"/>
    <d v="2024-11-16T00:00:00"/>
    <x v="29"/>
    <s v="Витамины"/>
    <s v="CGN-02101"/>
    <x v="1"/>
    <x v="1204"/>
    <n v="92.57"/>
    <n v="-27.77"/>
    <n v="-3.9688996151588283"/>
    <n v="-1.2013089629444782E-14"/>
    <n v="1.6585050209706917"/>
    <n v="6810.2597873589439"/>
    <n v="9800"/>
    <x v="685"/>
    <s v="&lt;Клиент не выбран&gt;"/>
    <s v="2024 12"/>
    <n v="2989.7402126410561"/>
    <n v="0.43900531051554698"/>
  </r>
  <r>
    <s v="530860047"/>
    <s v="720000489634"/>
    <s v="iHerb_OA CZN6870"/>
    <s v="Доставлен"/>
    <d v="2024-11-16T00:00:00"/>
    <x v="29"/>
    <s v="Витамины"/>
    <s v="CGN-01378"/>
    <x v="1"/>
    <x v="1449"/>
    <n v="36.369999999999997"/>
    <n v="-10.91"/>
    <n v="-1.5593855586719718"/>
    <n v="-4.7199577463837061E-15"/>
    <n v="0.65162867027644766"/>
    <n v="2675.759478181461"/>
    <n v="4400"/>
    <x v="321"/>
    <s v="&lt;Клиент не выбран&gt;"/>
    <s v="2024 12"/>
    <n v="1724.240521818539"/>
    <n v="0.64439294184632501"/>
  </r>
  <r>
    <s v="530860047"/>
    <s v="720000489634"/>
    <s v="iHerb_OA CZN6870"/>
    <s v="Доставлен"/>
    <d v="2024-11-16T00:00:00"/>
    <x v="29"/>
    <s v="Витамины"/>
    <s v="CGN-01266"/>
    <x v="1"/>
    <x v="487"/>
    <n v="31.02"/>
    <n v="-9.31"/>
    <n v="-1.32970386797991"/>
    <n v="-4.0247558002352812E-15"/>
    <n v="0.55565037045175492"/>
    <n v="2281.6472219685597"/>
    <n v="3600"/>
    <x v="582"/>
    <s v="&lt;Клиент не выбран&gt;"/>
    <s v="2025 02"/>
    <n v="1318.3527780314403"/>
    <n v="0.57780745653308829"/>
  </r>
  <r>
    <s v="530860047"/>
    <s v="720000489634"/>
    <s v="iHerb_OA CZN6870"/>
    <s v="Доставлен"/>
    <d v="2024-11-16T00:00:00"/>
    <x v="29"/>
    <s v="Витамины"/>
    <s v="CGN-01033"/>
    <x v="1"/>
    <x v="1"/>
    <n v="21.04"/>
    <n v="-6.31"/>
    <n v="-0.90218968103841901"/>
    <n v="-2.7307532444710134E-15"/>
    <n v="0.37700276171139335"/>
    <n v="1548.0729424042784"/>
    <n v="2400"/>
    <x v="744"/>
    <s v="&lt;Клиент не выбран&gt;"/>
    <s v="2024 12"/>
    <n v="851.92705759572164"/>
    <n v="0.55031454543260239"/>
  </r>
  <r>
    <s v="530860047"/>
    <s v="720000489634"/>
    <s v="iHerb_OA CZN6870"/>
    <s v="Доставлен"/>
    <d v="2024-11-16T00:00:00"/>
    <x v="29"/>
    <s v="Витамины"/>
    <s v="CGN-01033"/>
    <x v="1"/>
    <x v="1"/>
    <n v="21.04"/>
    <n v="-6.31"/>
    <n v="-0.90218968103841901"/>
    <n v="-2.7307532444710134E-15"/>
    <n v="0.37700276171139335"/>
    <n v="1548.0729424042784"/>
    <n v="2300"/>
    <x v="186"/>
    <s v="&lt;Клиент не выбран&gt;"/>
    <s v="2024 12"/>
    <n v="751.92705759572164"/>
    <n v="0.48571810603957727"/>
  </r>
  <r>
    <s v="530860047"/>
    <s v="720000489634"/>
    <s v="iHerb_OA CZN6870"/>
    <s v="Доставлен"/>
    <d v="2024-11-16T00:00:00"/>
    <x v="29"/>
    <s v="Косметика"/>
    <s v="MBN-01522"/>
    <x v="14"/>
    <x v="1450"/>
    <n v="7.08"/>
    <n v="-2.12"/>
    <n v="-0.30379231622203379"/>
    <n v="-9.1952044077231664E-16"/>
    <n v="0.12694729790146034"/>
    <n v="521.27914421759817"/>
    <m/>
    <x v="20"/>
    <m/>
    <s v=""/>
    <n v="-521.27914421759817"/>
    <s v=""/>
  </r>
  <r>
    <s v="530860047"/>
    <s v="720000489634"/>
    <s v="iHerb_OA CZN6870"/>
    <s v="Доставлен"/>
    <d v="2024-11-16T00:00:00"/>
    <x v="29"/>
    <s v="Витамины"/>
    <s v="EVL-10010"/>
    <x v="125"/>
    <x v="1451"/>
    <n v="13.84"/>
    <n v="-6.92"/>
    <n v="-0.42383927989041814"/>
    <n v="-1.2828793246258935E-15"/>
    <n v="0.17711195594316645"/>
    <n v="727.26848346487486"/>
    <n v="1600"/>
    <x v="754"/>
    <s v="&lt;Клиент не выбран&gt;"/>
    <s v="2025 02"/>
    <n v="872.73151653512514"/>
    <n v="1.2000128375936638"/>
  </r>
  <r>
    <s v="531086457"/>
    <s v="720000497681"/>
    <s v="iHerb_OA CZN6870"/>
    <s v="Доставлен"/>
    <d v="2024-11-25T00:00:00"/>
    <x v="29"/>
    <s v="Витамины"/>
    <s v="SNS-01425"/>
    <x v="151"/>
    <x v="860"/>
    <n v="21.5"/>
    <n v="-4.7300000000000004"/>
    <n v="-1.4175339820248087"/>
    <n v="0"/>
    <n v="0.96489759703430178"/>
    <n v="1888.2320782886429"/>
    <n v="2800"/>
    <x v="595"/>
    <s v="&lt;Клиент не выбран&gt;"/>
    <s v="2025 04"/>
    <n v="911.76792171135708"/>
    <n v="0.48286856906790698"/>
  </r>
  <r>
    <s v="531086457"/>
    <s v="720000497681"/>
    <s v="iHerb_OA CZN6870"/>
    <s v="Доставлен"/>
    <d v="2024-11-25T00:00:00"/>
    <x v="29"/>
    <s v="Витамины"/>
    <s v="PAR-77797"/>
    <x v="44"/>
    <x v="1129"/>
    <n v="12.83"/>
    <n v="-2.82"/>
    <n v="-0.84612493500705643"/>
    <n v="0"/>
    <n v="0.57594662768714144"/>
    <n v="1127.0842637846938"/>
    <n v="1800"/>
    <x v="708"/>
    <s v="&lt;Клиент не выбран&gt;"/>
    <s v="2025 01"/>
    <n v="672.9157362153062"/>
    <n v="0.59704119544326528"/>
  </r>
  <r>
    <s v="531086457"/>
    <s v="720000497681"/>
    <s v="iHerb_OA CZN6870"/>
    <s v="Доставлен"/>
    <d v="2024-11-25T00:00:00"/>
    <x v="29"/>
    <s v="Витамины"/>
    <s v="NTW-00763"/>
    <x v="278"/>
    <x v="1343"/>
    <n v="26.89"/>
    <n v="-5.92"/>
    <n v="-1.7725514372725248"/>
    <n v="0"/>
    <n v="1.2065535247352004"/>
    <n v="2361.1345665899125"/>
    <n v="3800"/>
    <x v="708"/>
    <s v="&lt;Клиент не выбран&gt;"/>
    <s v="2025 01"/>
    <n v="1438.8654334100875"/>
    <n v="0.60939577683121227"/>
  </r>
  <r>
    <s v="531086457"/>
    <s v="720000497681"/>
    <s v="iHerb_OA CZN6870"/>
    <s v="Доставлен"/>
    <d v="2024-11-25T00:00:00"/>
    <x v="29"/>
    <s v="Витамины"/>
    <s v="FOA-01857"/>
    <x v="171"/>
    <x v="729"/>
    <n v="26.93"/>
    <n v="-5.92"/>
    <n v="-1.7759325558939314"/>
    <n v="0"/>
    <n v="1.2088550097609232"/>
    <n v="2365.6383998118299"/>
    <n v="3700"/>
    <x v="708"/>
    <s v="&lt;Клиент не выбран&gt;"/>
    <s v="2025 01"/>
    <n v="1334.3616001881701"/>
    <n v="0.56405983276831717"/>
  </r>
  <r>
    <s v="531086457"/>
    <s v="720000497681"/>
    <s v="iHerb_OA CZN6870"/>
    <s v="Доставлен"/>
    <d v="2024-11-25T00:00:00"/>
    <x v="29"/>
    <s v="Витамины"/>
    <s v="NOW-02375"/>
    <x v="3"/>
    <x v="1452"/>
    <n v="22.11"/>
    <n v="-4.8600000000000003"/>
    <n v="-1.4581074054816907"/>
    <n v="0"/>
    <n v="0.99251541734297599"/>
    <n v="1942.2780769516451"/>
    <n v="3000"/>
    <x v="708"/>
    <s v="&lt;Клиент не выбран&gt;"/>
    <s v="2025 01"/>
    <n v="1057.7219230483549"/>
    <n v="0.54457800641421128"/>
  </r>
  <r>
    <s v="531086457"/>
    <s v="720000497681"/>
    <s v="iHerb_OA CZN6870"/>
    <s v="Доставлен"/>
    <d v="2024-11-25T00:00:00"/>
    <x v="29"/>
    <s v="Витамины"/>
    <s v="CAL-67204"/>
    <x v="138"/>
    <x v="1366"/>
    <n v="17.420000000000002"/>
    <n v="-3.83"/>
    <n v="-1.1487350516229669"/>
    <n v="0"/>
    <n v="0.78192953748933591"/>
    <n v="1530.1773371462527"/>
    <n v="2500"/>
    <x v="710"/>
    <s v="&lt;Клиент не выбран&gt;"/>
    <s v="2025 01"/>
    <n v="969.82266285374726"/>
    <n v="0.63379756013276556"/>
  </r>
  <r>
    <s v="531086457"/>
    <s v="720000497681"/>
    <s v="iHerb_OA CZN6870"/>
    <s v="Доставлен"/>
    <d v="2024-11-25T00:00:00"/>
    <x v="29"/>
    <s v="Витамины"/>
    <s v="SNS-00803"/>
    <x v="151"/>
    <x v="868"/>
    <n v="17.21"/>
    <n v="-3.79"/>
    <n v="-1.134365297481988"/>
    <n v="0"/>
    <n v="0.77214822613001377"/>
    <n v="1511.0360459531062"/>
    <n v="2500"/>
    <x v="755"/>
    <s v="&lt;Клиент не выбран&gt;"/>
    <s v="2025 03"/>
    <n v="988.96395404689383"/>
    <n v="0.65449395247423869"/>
  </r>
  <r>
    <s v="531086457"/>
    <s v="720000497681"/>
    <s v="iHerb_OA CZN6870"/>
    <s v="Доставлен"/>
    <d v="2024-11-25T00:00:00"/>
    <x v="29"/>
    <s v="Витамины"/>
    <s v="NOW-00142"/>
    <x v="3"/>
    <x v="1207"/>
    <n v="11.07"/>
    <n v="-2.44"/>
    <n v="-0.72947634256852123"/>
    <n v="0"/>
    <n v="0.49654539429970335"/>
    <n v="971.70201762856232"/>
    <n v="1700"/>
    <x v="582"/>
    <s v="&lt;Клиент не выбран&gt;"/>
    <s v="2025 02"/>
    <n v="728.29798237143768"/>
    <n v="0.74950753333706988"/>
  </r>
  <r>
    <s v="531086457"/>
    <s v="720000497681"/>
    <s v="iHerb_OA CZN6870"/>
    <s v="Доставлен"/>
    <d v="2024-11-25T00:00:00"/>
    <x v="29"/>
    <s v="Косметика"/>
    <s v="NLO-49556"/>
    <x v="290"/>
    <x v="1453"/>
    <n v="9.67"/>
    <n v="-5.35"/>
    <n v="-0.36516081111193649"/>
    <n v="0"/>
    <n v="0.24856038277806702"/>
    <n v="486.41398796702072"/>
    <m/>
    <x v="20"/>
    <m/>
    <s v=""/>
    <n v="-486.41398796702072"/>
    <s v=""/>
  </r>
  <r>
    <s v="531086457"/>
    <s v="720000497681"/>
    <s v="iHerb_OA CZN6870"/>
    <s v="Доставлен"/>
    <d v="2024-11-25T00:00:00"/>
    <x v="29"/>
    <s v="Витамины"/>
    <s v="NOW-03554"/>
    <x v="3"/>
    <x v="441"/>
    <n v="11.1"/>
    <n v="-2.44"/>
    <n v="-0.73201218153457637"/>
    <n v="0"/>
    <n v="0.49827150806899545"/>
    <n v="975.07989254499978"/>
    <n v="1600"/>
    <x v="581"/>
    <s v="&lt;Клиент не выбран&gt;"/>
    <s v="2025 03"/>
    <n v="624.92010745500022"/>
    <n v="0.64089118464327299"/>
  </r>
  <r>
    <s v="OZO0121"/>
    <n v="0"/>
    <s v="OZON_OA"/>
    <s v="Доставлен"/>
    <d v="2024-11-06T00:00:00"/>
    <x v="29"/>
    <s v="Спортпит"/>
    <s v="892721541"/>
    <x v="162"/>
    <x v="618"/>
    <n v="801"/>
    <n v="0"/>
    <n v="0"/>
    <n v="0"/>
    <n v="0"/>
    <n v="801"/>
    <n v="2000"/>
    <x v="471"/>
    <s v="&lt;Клиент не выбран&gt;"/>
    <s v="2024 11"/>
    <n v="1199"/>
    <n v="1.4968789013732835"/>
  </r>
  <r>
    <s v="OZO0121"/>
    <n v="0"/>
    <s v="OZON_OA"/>
    <s v="Доставлен"/>
    <d v="2024-11-06T00:00:00"/>
    <x v="29"/>
    <s v="Спортпит"/>
    <s v="892721541"/>
    <x v="162"/>
    <x v="618"/>
    <n v="801"/>
    <n v="0"/>
    <n v="0"/>
    <n v="0"/>
    <n v="0"/>
    <n v="801"/>
    <n v="2000"/>
    <x v="708"/>
    <s v="&lt;Клиент не выбран&gt;"/>
    <s v="2025 01"/>
    <n v="1199"/>
    <n v="1.4968789013732835"/>
  </r>
  <r>
    <s v="OZO0125"/>
    <n v="0"/>
    <s v="OZON_OA"/>
    <s v="Доставлен"/>
    <d v="2024-11-26T00:00:00"/>
    <x v="29"/>
    <s v="Витамины"/>
    <s v="LEX-24031"/>
    <x v="7"/>
    <x v="1454"/>
    <n v="1065"/>
    <n v="0"/>
    <n v="0"/>
    <n v="0"/>
    <n v="0"/>
    <n v="1065"/>
    <n v="1500"/>
    <x v="516"/>
    <s v="&lt;Клиент не выбран&gt;"/>
    <s v="2024 12"/>
    <n v="435"/>
    <n v="0.40845070422535212"/>
  </r>
  <r>
    <s v="OZO0125"/>
    <n v="0"/>
    <s v="OZON_OA"/>
    <s v="Доставлен"/>
    <d v="2024-11-26T00:00:00"/>
    <x v="29"/>
    <s v="Спортпит"/>
    <s v="BSN-00330"/>
    <x v="188"/>
    <x v="1455"/>
    <n v="2346"/>
    <n v="0"/>
    <n v="0"/>
    <n v="0"/>
    <n v="0"/>
    <n v="2346"/>
    <n v="3000"/>
    <x v="638"/>
    <s v="Оксана 17 Цветы"/>
    <s v="2025 08"/>
    <n v="654"/>
    <n v="0.27877237851662406"/>
  </r>
  <r>
    <s v="WB0196"/>
    <n v="0"/>
    <s v="WBRS"/>
    <s v="Доставлен"/>
    <d v="2024-10-25T00:00:00"/>
    <x v="28"/>
    <s v="Витамины"/>
    <s v="CGN-01033"/>
    <x v="1"/>
    <x v="1"/>
    <n v="1830"/>
    <n v="0"/>
    <n v="0"/>
    <n v="0"/>
    <n v="0"/>
    <n v="1830"/>
    <n v="2500"/>
    <x v="516"/>
    <s v="&lt;Клиент не выбран&gt;"/>
    <s v="2024 12"/>
    <n v="670"/>
    <n v="0.36612021857923499"/>
  </r>
  <r>
    <s v="714973434"/>
    <n v="0"/>
    <s v="CoralClub_OA"/>
    <s v="Доставлен"/>
    <d v="2024-10-23T00:00:00"/>
    <x v="28"/>
    <s v="Витамины"/>
    <s v="000091865"/>
    <x v="79"/>
    <x v="228"/>
    <n v="1488"/>
    <n v="0"/>
    <n v="0"/>
    <n v="0"/>
    <n v="62"/>
    <n v="1550"/>
    <n v="2000"/>
    <x v="756"/>
    <s v="&lt;Клиент не выбран&gt;"/>
    <s v="2024 11"/>
    <n v="450"/>
    <n v="0.29032258064516131"/>
  </r>
  <r>
    <s v="714973434"/>
    <n v="0"/>
    <s v="CoralClub_OA"/>
    <s v="Доставлен"/>
    <d v="2024-10-23T00:00:00"/>
    <x v="28"/>
    <s v="Витамины"/>
    <s v="000091865"/>
    <x v="79"/>
    <x v="228"/>
    <n v="1488"/>
    <n v="0"/>
    <n v="0"/>
    <n v="0"/>
    <n v="62"/>
    <n v="1550"/>
    <n v="2000"/>
    <x v="756"/>
    <s v="&lt;Клиент не выбран&gt;"/>
    <s v="2024 11"/>
    <n v="450"/>
    <n v="0.29032258064516131"/>
  </r>
  <r>
    <s v="715153221"/>
    <n v="0"/>
    <s v="CoralClub_OA"/>
    <s v="Доставлен"/>
    <d v="2024-12-07T00:00:00"/>
    <x v="30"/>
    <s v="Витамины"/>
    <s v="000091865"/>
    <x v="79"/>
    <x v="228"/>
    <n v="1488"/>
    <m/>
    <n v="-577.5"/>
    <n v="39.5"/>
    <n v="0"/>
    <n v="950"/>
    <n v="2000"/>
    <x v="524"/>
    <s v="&lt;Клиент не выбран&gt;"/>
    <s v="2024 12"/>
    <n v="1050"/>
    <n v="1.1052631578947369"/>
  </r>
  <r>
    <s v="715153221"/>
    <n v="0"/>
    <s v="CoralClub_OA"/>
    <s v="Доставлен"/>
    <d v="2024-12-07T00:00:00"/>
    <x v="30"/>
    <s v="Витамины"/>
    <s v="000091865"/>
    <x v="79"/>
    <x v="228"/>
    <n v="1488"/>
    <m/>
    <n v="-577.5"/>
    <n v="39.5"/>
    <n v="0"/>
    <n v="950"/>
    <n v="2000"/>
    <x v="524"/>
    <s v="&lt;Клиент не выбран&gt;"/>
    <s v="2024 12"/>
    <n v="1050"/>
    <n v="1.1052631578947369"/>
  </r>
  <r>
    <s v="715153221"/>
    <n v="0"/>
    <s v="CoralClub_OA"/>
    <s v="Доставлен"/>
    <d v="2024-12-07T00:00:00"/>
    <x v="30"/>
    <s v="Витамины"/>
    <s v="000091865"/>
    <x v="79"/>
    <x v="228"/>
    <n v="1488"/>
    <m/>
    <n v="-577.5"/>
    <n v="39.5"/>
    <n v="0"/>
    <n v="950"/>
    <n v="2000"/>
    <x v="708"/>
    <s v="&lt;Клиент не выбран&gt;"/>
    <s v="2025 01"/>
    <n v="1050"/>
    <n v="1.1052631578947369"/>
  </r>
  <r>
    <s v="715153221"/>
    <n v="0"/>
    <s v="CoralClub_OA"/>
    <s v="Доставлен"/>
    <d v="2024-12-07T00:00:00"/>
    <x v="30"/>
    <s v="Витамины"/>
    <s v="000091865"/>
    <x v="79"/>
    <x v="228"/>
    <n v="1488"/>
    <m/>
    <n v="-577.5"/>
    <n v="39.5"/>
    <n v="0"/>
    <n v="950"/>
    <n v="1900"/>
    <x v="663"/>
    <s v="&lt;Клиент не выбран&gt;"/>
    <s v="2025 04"/>
    <n v="950"/>
    <n v="1"/>
  </r>
  <r>
    <s v="OZO0127"/>
    <n v="0"/>
    <s v="OZON_OA"/>
    <s v="Доставлен"/>
    <d v="2024-12-10T00:00:00"/>
    <x v="30"/>
    <s v="Косметика"/>
    <s v="155827100"/>
    <x v="74"/>
    <x v="231"/>
    <n v="797"/>
    <m/>
    <n v="0"/>
    <n v="0"/>
    <n v="0"/>
    <n v="797"/>
    <n v="1100"/>
    <x v="641"/>
    <s v="&lt;Клиент не выбран&gt;"/>
    <s v="2024 12"/>
    <n v="303"/>
    <n v="0.38017565872020076"/>
  </r>
  <r>
    <s v="OZO0126"/>
    <n v="0"/>
    <s v="OZON_OA"/>
    <s v="Доставлен"/>
    <d v="2024-12-02T00:00:00"/>
    <x v="30"/>
    <s v="Витамины"/>
    <s v="000001108"/>
    <x v="118"/>
    <x v="1101"/>
    <n v="1790"/>
    <n v="0"/>
    <n v="0"/>
    <n v="0"/>
    <n v="0"/>
    <n v="1790"/>
    <n v="2500"/>
    <x v="744"/>
    <s v="&lt;Клиент не выбран&gt;"/>
    <s v="2024 12"/>
    <n v="710"/>
    <n v="0.39664804469273746"/>
  </r>
  <r>
    <s v="OZO0128"/>
    <n v="0"/>
    <s v="OZON_OA"/>
    <s v="Доставлен"/>
    <d v="2024-12-11T00:00:00"/>
    <x v="30"/>
    <s v="Витамины"/>
    <s v="NOW-02120"/>
    <x v="3"/>
    <x v="27"/>
    <n v="1517"/>
    <n v="0"/>
    <n v="0"/>
    <n v="0"/>
    <n v="0"/>
    <n v="1517"/>
    <n v="2000"/>
    <x v="694"/>
    <s v="&lt;Клиент не выбран&gt;"/>
    <s v="2024 12"/>
    <n v="483"/>
    <n v="0.31839156229400134"/>
  </r>
  <r>
    <s v="OZO0129"/>
    <n v="0"/>
    <s v="OZON_OA"/>
    <s v="Доставлен"/>
    <d v="2024-12-12T00:00:00"/>
    <x v="30"/>
    <s v="Витамины"/>
    <s v="NOW-02120"/>
    <x v="3"/>
    <x v="27"/>
    <n v="1517"/>
    <n v="0"/>
    <n v="0"/>
    <n v="0"/>
    <n v="0"/>
    <n v="1517"/>
    <n v="2000"/>
    <x v="694"/>
    <s v="&lt;Клиент не выбран&gt;"/>
    <s v="2024 12"/>
    <n v="483"/>
    <n v="0.31839156229400134"/>
  </r>
  <r>
    <s v="WB0197"/>
    <n v="0"/>
    <s v="WBRS"/>
    <s v="Доставлен"/>
    <d v="2024-12-13T00:00:00"/>
    <x v="30"/>
    <s v="Витамины"/>
    <s v="CGN-01033"/>
    <x v="1"/>
    <x v="1"/>
    <n v="1122"/>
    <m/>
    <n v="0"/>
    <n v="0"/>
    <n v="0"/>
    <n v="1122"/>
    <n v="2300"/>
    <x v="708"/>
    <s v="&lt;Клиент не выбран&gt;"/>
    <s v="2025 01"/>
    <n v="1178"/>
    <n v="1.0499108734402851"/>
  </r>
  <r>
    <s v="WB0197"/>
    <n v="0"/>
    <s v="WBRS"/>
    <s v="Доставлен"/>
    <d v="2024-12-13T00:00:00"/>
    <x v="30"/>
    <s v="Витамины"/>
    <s v="CGN-01033"/>
    <x v="1"/>
    <x v="1"/>
    <n v="1122"/>
    <m/>
    <n v="0"/>
    <n v="0"/>
    <n v="0"/>
    <n v="1122"/>
    <n v="2300"/>
    <x v="697"/>
    <s v="&lt;Клиент не выбран&gt;"/>
    <s v="2025 01"/>
    <n v="1178"/>
    <n v="1.0499108734402851"/>
  </r>
  <r>
    <s v="WB0197"/>
    <n v="0"/>
    <s v="WBRS"/>
    <s v="Доставлен"/>
    <d v="2024-12-13T00:00:00"/>
    <x v="30"/>
    <s v="Витамины"/>
    <s v="CGN-01033"/>
    <x v="1"/>
    <x v="1"/>
    <n v="1122"/>
    <m/>
    <n v="0"/>
    <n v="0"/>
    <n v="0"/>
    <n v="1122"/>
    <n v="2200"/>
    <x v="663"/>
    <s v="&lt;Клиент не выбран&gt;"/>
    <s v="2025 04"/>
    <n v="1078"/>
    <n v="0.96078431372549022"/>
  </r>
  <r>
    <s v="WB0197"/>
    <n v="0"/>
    <s v="WBRS"/>
    <s v="Доставлен"/>
    <d v="2024-12-13T00:00:00"/>
    <x v="30"/>
    <s v="Витамины"/>
    <s v="CGN-01033"/>
    <x v="1"/>
    <x v="1"/>
    <n v="1122"/>
    <m/>
    <n v="0"/>
    <n v="0"/>
    <n v="0"/>
    <n v="1122"/>
    <m/>
    <x v="20"/>
    <m/>
    <s v=""/>
    <n v="-1122"/>
    <s v=""/>
  </r>
  <r>
    <s v="WB0198"/>
    <n v="0"/>
    <s v="WBRS"/>
    <s v="Доставлен"/>
    <d v="2024-12-13T00:00:00"/>
    <x v="30"/>
    <s v="Витамины"/>
    <s v="NOW-00367"/>
    <x v="3"/>
    <x v="365"/>
    <n v="522"/>
    <n v="0"/>
    <n v="0"/>
    <n v="0"/>
    <n v="0"/>
    <n v="522"/>
    <n v="1100"/>
    <x v="685"/>
    <s v="&lt;Клиент не выбран&gt;"/>
    <s v="2024 12"/>
    <n v="578"/>
    <n v="1.1072796934865901"/>
  </r>
  <r>
    <s v="WB0198"/>
    <n v="0"/>
    <s v="WBRS"/>
    <s v="Доставлен"/>
    <d v="2024-12-13T00:00:00"/>
    <x v="30"/>
    <s v="Витамины"/>
    <s v="NOW-00367"/>
    <x v="3"/>
    <x v="365"/>
    <n v="522"/>
    <n v="0"/>
    <n v="0"/>
    <n v="0"/>
    <n v="0"/>
    <n v="522"/>
    <n v="1100"/>
    <x v="685"/>
    <s v="&lt;Клиент не выбран&gt;"/>
    <s v="2024 12"/>
    <n v="578"/>
    <n v="1.1072796934865901"/>
  </r>
  <r>
    <s v="531510834"/>
    <s v="720000519891"/>
    <s v="iHerb_VP DFD1605"/>
    <s v="Доставлен"/>
    <d v="2024-12-07T00:00:00"/>
    <x v="30"/>
    <s v="Витамины"/>
    <s v="CGN-02060"/>
    <x v="1"/>
    <x v="862"/>
    <n v="48.6"/>
    <n v="-24.3"/>
    <n v="0"/>
    <n v="1.0682319124955936E-14"/>
    <n v="0.7465103582309156"/>
    <n v="3008.5745308311016"/>
    <n v="5600"/>
    <x v="710"/>
    <s v="&lt;Клиент не выбран&gt;"/>
    <s v="2025 01"/>
    <n v="2591.4254691688984"/>
    <n v="0.86134660870542967"/>
  </r>
  <r>
    <s v="531510834"/>
    <s v="720000519891"/>
    <s v="iHerb_VP DFD1605"/>
    <s v="Доставлен"/>
    <d v="2024-12-07T00:00:00"/>
    <x v="30"/>
    <s v="Витамины"/>
    <s v="CGN-02060"/>
    <x v="1"/>
    <x v="862"/>
    <n v="48.6"/>
    <n v="-24.3"/>
    <n v="0"/>
    <n v="1.0682319124955936E-14"/>
    <n v="0.7465103582309156"/>
    <n v="3008.5745308311016"/>
    <n v="3008.57"/>
    <x v="757"/>
    <s v="&lt;Клиент не выбран&gt;"/>
    <s v="2024 12"/>
    <n v="-4.5308311014196079E-3"/>
    <n v="-1.5059726973650846E-6"/>
  </r>
  <r>
    <s v="531510834"/>
    <s v="720000519891"/>
    <s v="iHerb_VP DFD1605"/>
    <s v="Доставлен"/>
    <d v="2024-12-07T00:00:00"/>
    <x v="30"/>
    <s v="Витамины"/>
    <s v="SWV-11877"/>
    <x v="89"/>
    <x v="1214"/>
    <n v="13.91"/>
    <n v="-2.78"/>
    <n v="0"/>
    <n v="4.8927659201958662E-15"/>
    <n v="0.34192017642428357"/>
    <n v="1378.0014209115295"/>
    <n v="2500"/>
    <x v="697"/>
    <s v="&lt;Клиент не выбран&gt;"/>
    <s v="2025 01"/>
    <n v="1121.9985790884705"/>
    <n v="0.81422164161941391"/>
  </r>
  <r>
    <s v="531510834"/>
    <s v="720000519891"/>
    <s v="iHerb_VP DFD1605"/>
    <s v="Доставлен"/>
    <d v="2024-12-07T00:00:00"/>
    <x v="30"/>
    <s v="Витамины"/>
    <s v="SWV-11877"/>
    <x v="89"/>
    <x v="1214"/>
    <n v="13.91"/>
    <n v="-2.78"/>
    <n v="0"/>
    <n v="4.8927659201958662E-15"/>
    <n v="0.34192017642428357"/>
    <n v="1378.0014209115295"/>
    <n v="2500"/>
    <x v="697"/>
    <s v="&lt;Клиент не выбран&gt;"/>
    <s v="2025 01"/>
    <n v="1121.9985790884705"/>
    <n v="0.81422164161941391"/>
  </r>
  <r>
    <s v="531510834"/>
    <s v="720000519891"/>
    <s v="iHerb_VP DFD1605"/>
    <s v="Доставлен"/>
    <d v="2024-12-07T00:00:00"/>
    <x v="30"/>
    <s v="Витамины"/>
    <s v="NCA-63917"/>
    <x v="210"/>
    <x v="1456"/>
    <n v="26.14"/>
    <n v="-7.84"/>
    <n v="0"/>
    <n v="8.0447094644729887E-15"/>
    <n v="0.5621868129887142"/>
    <n v="2265.716621983916"/>
    <n v="3500"/>
    <x v="710"/>
    <s v="&lt;Клиент не выбран&gt;"/>
    <s v="2025 01"/>
    <n v="1234.283378016084"/>
    <n v="0.54476511583135045"/>
  </r>
  <r>
    <s v="531510834"/>
    <s v="720000519891"/>
    <s v="iHerb_VP DFD1605"/>
    <s v="Доставлен"/>
    <d v="2024-12-07T00:00:00"/>
    <x v="30"/>
    <s v="Витамины"/>
    <s v="CGN-00931"/>
    <x v="1"/>
    <x v="24"/>
    <n v="6.24"/>
    <n v="-2.91"/>
    <n v="0"/>
    <n v="1.4638733615680354E-15"/>
    <n v="0.10229956760942177"/>
    <n v="412.28613941018801"/>
    <n v="1000"/>
    <x v="758"/>
    <s v="&lt;Клиент не выбран&gt;"/>
    <s v="2025 06"/>
    <n v="587.71386058981193"/>
    <n v="1.4254999244713609"/>
  </r>
  <r>
    <s v="531510834"/>
    <s v="720000519891"/>
    <s v="iHerb_VP DFD1605"/>
    <s v="Доставлен"/>
    <d v="2024-12-07T00:00:00"/>
    <x v="30"/>
    <s v="Витамины"/>
    <s v="NOW-01662"/>
    <x v="3"/>
    <x v="122"/>
    <n v="36.799999999999997"/>
    <n v="-9.1999999999999993"/>
    <n v="0"/>
    <n v="1.2133004438221554E-14"/>
    <n v="0.84788830811412641"/>
    <n v="3417.1463806970532"/>
    <n v="4500"/>
    <x v="718"/>
    <s v="Любовь 17"/>
    <s v="2025 07"/>
    <n v="1082.8536193029468"/>
    <n v="0.31688827421026627"/>
  </r>
  <r>
    <s v="531510834"/>
    <s v="720000519891"/>
    <s v="iHerb_VP DFD1605"/>
    <s v="Доставлен"/>
    <d v="2024-12-07T00:00:00"/>
    <x v="30"/>
    <s v="Витамины"/>
    <s v="NOW-02313"/>
    <x v="3"/>
    <x v="87"/>
    <n v="21.5"/>
    <n v="-5.38"/>
    <n v="0"/>
    <n v="7.0863779544975163E-15"/>
    <n v="0.49521592488404775"/>
    <n v="1995.8115817694386"/>
    <n v="3000"/>
    <x v="166"/>
    <s v="&lt;Клиент не выбран&gt;"/>
    <s v="2025 01"/>
    <n v="1004.1884182305614"/>
    <n v="0.50314790604645765"/>
  </r>
  <r>
    <s v="531510834"/>
    <s v="720000519891"/>
    <s v="iHerb_VP DFD1605"/>
    <s v="Доставлен"/>
    <d v="2024-12-07T00:00:00"/>
    <x v="30"/>
    <s v="Витамины"/>
    <s v="NOW-04754"/>
    <x v="3"/>
    <x v="1155"/>
    <n v="25.04"/>
    <n v="-7.51"/>
    <n v="0"/>
    <n v="7.7062162247110102E-15"/>
    <n v="0.5385319580159651"/>
    <n v="2170.3831903485275"/>
    <n v="2900"/>
    <x v="588"/>
    <m/>
    <s v="2025 10"/>
    <n v="729.61680965147252"/>
    <n v="0.3361695818950331"/>
  </r>
  <r>
    <s v="531510834"/>
    <s v="720000519891"/>
    <s v="iHerb_VP DFD1605"/>
    <s v="Доставлен"/>
    <d v="2024-12-07T00:00:00"/>
    <x v="30"/>
    <s v="Витамины"/>
    <s v="NOW-03520"/>
    <x v="3"/>
    <x v="1192"/>
    <n v="22.15"/>
    <n v="-5.54"/>
    <n v="0"/>
    <n v="7.3017827434369569E-15"/>
    <n v="0.51026901441216088"/>
    <n v="2056.4783109919586"/>
    <n v="2800"/>
    <x v="759"/>
    <s v="Оксана Черноморская"/>
    <s v="2025 05"/>
    <n v="743.52168900804145"/>
    <n v="0.36155095097958895"/>
  </r>
  <r>
    <s v="531510834"/>
    <s v="720000519891"/>
    <s v="iHerb_VP DFD1605"/>
    <s v="Доставлен"/>
    <d v="2024-12-07T00:00:00"/>
    <x v="30"/>
    <s v="Витамины"/>
    <s v="CGN-02061"/>
    <x v="1"/>
    <x v="976"/>
    <n v="19.27"/>
    <n v="-5.78"/>
    <n v="0"/>
    <n v="5.9302257199858251E-15"/>
    <n v="0.41442077088621609"/>
    <n v="1670.1921983914222"/>
    <n v="2700"/>
    <x v="711"/>
    <s v="&lt;Клиент не выбран&gt;"/>
    <s v="2025 01"/>
    <n v="1029.8078016085778"/>
    <n v="0.61658041667324004"/>
  </r>
  <r>
    <s v="531510834"/>
    <s v="720000519891"/>
    <s v="iHerb_VP DFD1605"/>
    <s v="Доставлен"/>
    <d v="2024-12-07T00:00:00"/>
    <x v="30"/>
    <s v="Витамины"/>
    <s v="DAV-44302"/>
    <x v="291"/>
    <x v="1457"/>
    <n v="7.02"/>
    <n v="-1.4"/>
    <n v="0"/>
    <n v="2.47056104865236E-15"/>
    <n v="0.17264972071019527"/>
    <n v="695.81024128686374"/>
    <m/>
    <x v="20"/>
    <m/>
    <s v=""/>
    <n v="-695.81024128686374"/>
    <s v=""/>
  </r>
  <r>
    <s v="531510834"/>
    <s v="720000519891"/>
    <s v="iHerb_VP DFD1605"/>
    <s v="Доставлен"/>
    <d v="2024-12-07T00:00:00"/>
    <x v="30"/>
    <s v="Витамины"/>
    <s v="FOA-66097"/>
    <x v="171"/>
    <x v="1458"/>
    <n v="11.31"/>
    <n v="-6.81"/>
    <n v="0"/>
    <n v="1.9782072453622106E-15"/>
    <n v="0.13824265893165108"/>
    <n v="557.14343163538933"/>
    <n v="1600"/>
    <x v="495"/>
    <s v="&lt;Клиент не выбран&gt;"/>
    <s v="2025 05"/>
    <n v="1042.8565683646107"/>
    <n v="1.8717919105740906"/>
  </r>
  <r>
    <s v="531196686"/>
    <s v="720000501892"/>
    <s v="iHerb_MH DLE7202"/>
    <s v="Доставлен"/>
    <d v="2024-11-28T00:00:00"/>
    <x v="29"/>
    <s v="Витамины"/>
    <s v="NOW-00088"/>
    <x v="3"/>
    <x v="1261"/>
    <n v="20.03"/>
    <n v="-5.01"/>
    <n v="-1.7487950530035332"/>
    <n v="-2.5140993854220738E-15"/>
    <n v="0.68271694733670107"/>
    <n v="1620.627629760502"/>
    <n v="2700"/>
    <x v="710"/>
    <s v="&lt;Клиент не выбран&gt;"/>
    <s v="2025 01"/>
    <n v="1079.372370239498"/>
    <n v="0.66602120710419377"/>
  </r>
  <r>
    <s v="531196686"/>
    <s v="720000501892"/>
    <s v="iHerb_MH DLE7202"/>
    <s v="Доставлен"/>
    <d v="2024-11-28T00:00:00"/>
    <x v="29"/>
    <s v="Витамины"/>
    <s v="NOW-00087"/>
    <x v="3"/>
    <x v="1282"/>
    <n v="11.07"/>
    <n v="-2.77"/>
    <n v="-0.96637809187279133"/>
    <n v="-1.3892826164449542E-15"/>
    <n v="0.37726702149764441"/>
    <n v="895.55321751079669"/>
    <n v="1700"/>
    <x v="760"/>
    <s v="Оксана Черноморская"/>
    <s v="2025 07"/>
    <n v="804.44678248920331"/>
    <n v="0.89826798314138712"/>
  </r>
  <r>
    <s v="531196686"/>
    <s v="720000501892"/>
    <s v="iHerb_MH DLE7202"/>
    <s v="Доставлен"/>
    <d v="2024-11-28T00:00:00"/>
    <x v="29"/>
    <s v="Витамины"/>
    <s v="NOW-00367"/>
    <x v="3"/>
    <x v="365"/>
    <n v="5.87"/>
    <n v="-1.47"/>
    <n v="-0.51229681978798569"/>
    <n v="-7.3648717016359021E-16"/>
    <n v="0.19999697525176327"/>
    <n v="474.75110325873555"/>
    <n v="1100"/>
    <x v="544"/>
    <s v="&lt;Клиент не выбран&gt;"/>
    <s v="2025 01"/>
    <n v="625.24889674126439"/>
    <n v="1.3170035676578697"/>
  </r>
  <r>
    <s v="531196686"/>
    <s v="720000501892"/>
    <s v="iHerb_MH DLE7202"/>
    <s v="Доставлен"/>
    <d v="2024-11-28T00:00:00"/>
    <x v="29"/>
    <s v="Витамины"/>
    <s v="NOW-00367"/>
    <x v="3"/>
    <x v="365"/>
    <n v="5.87"/>
    <n v="-1.47"/>
    <n v="-0.51229681978798569"/>
    <n v="-7.3648717016359021E-16"/>
    <n v="0.19999697525176327"/>
    <n v="474.75110325873555"/>
    <n v="1000"/>
    <x v="379"/>
    <s v="&lt;Клиент не выбран&gt;"/>
    <s v="2025 01"/>
    <n v="525.24889674126439"/>
    <n v="1.1063668796889723"/>
  </r>
  <r>
    <s v="531196686"/>
    <s v="720000501892"/>
    <s v="iHerb_MH DLE7202"/>
    <s v="Доставлен"/>
    <d v="2024-11-28T00:00:00"/>
    <x v="29"/>
    <s v="Витамины"/>
    <s v="NOW-00372"/>
    <x v="3"/>
    <x v="13"/>
    <n v="8.3699999999999992"/>
    <n v="-2.0950000000000002"/>
    <n v="-0.73060512367491126"/>
    <n v="-1.050331134721938E-15"/>
    <n v="0.28522295902382139"/>
    <n v="677.05981203376484"/>
    <n v="1200"/>
    <x v="735"/>
    <s v="&lt;Клиент не выбран&gt;"/>
    <s v="2025 03"/>
    <n v="522.94018796623516"/>
    <n v="0.77236926290960572"/>
  </r>
  <r>
    <s v="531196686"/>
    <s v="720000501892"/>
    <s v="iHerb_MH DLE7202"/>
    <s v="Доставлен"/>
    <d v="2024-11-28T00:00:00"/>
    <x v="29"/>
    <s v="Витамины"/>
    <s v="NOW-00372"/>
    <x v="3"/>
    <x v="13"/>
    <n v="8.3699999999999992"/>
    <n v="-2.0950000000000002"/>
    <n v="-0.73060512367491126"/>
    <n v="-1.050331134721938E-15"/>
    <n v="0.28522295902382139"/>
    <n v="677.05981203376484"/>
    <n v="1200"/>
    <x v="663"/>
    <s v="&lt;Клиент не выбран&gt;"/>
    <s v="2025 04"/>
    <n v="522.94018796623516"/>
    <n v="0.77236926290960572"/>
  </r>
  <r>
    <s v="531196686"/>
    <s v="720000501892"/>
    <s v="iHerb_MH DLE7202"/>
    <s v="Доставлен"/>
    <d v="2024-11-28T00:00:00"/>
    <x v="29"/>
    <s v="Витамины"/>
    <s v="DRB-00091"/>
    <x v="6"/>
    <x v="16"/>
    <n v="12.96"/>
    <n v="-3.24"/>
    <n v="-1.1317102473498231"/>
    <n v="-1.6269671122704764E-15"/>
    <n v="0.44181149987434976"/>
    <n v="1048.7683462897523"/>
    <n v="1900"/>
    <x v="606"/>
    <s v="&lt;Клиент не выбран&gt;"/>
    <s v="2025 03"/>
    <n v="851.23165371024766"/>
    <n v="0.81164888006170854"/>
  </r>
  <r>
    <s v="531196686"/>
    <s v="720000501892"/>
    <s v="iHerb_MH DLE7202"/>
    <s v="Доставлен"/>
    <d v="2024-11-28T00:00:00"/>
    <x v="29"/>
    <s v="Витамины"/>
    <s v="DRB-00091"/>
    <x v="6"/>
    <x v="16"/>
    <n v="12.96"/>
    <n v="-3.24"/>
    <n v="-1.1317102473498231"/>
    <n v="-1.6269671122704764E-15"/>
    <n v="0.44181149987434976"/>
    <n v="1048.7683462897523"/>
    <n v="1700"/>
    <x v="530"/>
    <s v="&lt;Клиент не выбран&gt;"/>
    <s v="2025 03"/>
    <n v="651.23165371024766"/>
    <n v="0.62094899794994973"/>
  </r>
  <r>
    <s v="531196686"/>
    <s v="720000501892"/>
    <s v="iHerb_MH DLE7202"/>
    <s v="Доставлен"/>
    <d v="2024-11-28T00:00:00"/>
    <x v="29"/>
    <s v="Витамины"/>
    <s v="DRB-00091"/>
    <x v="6"/>
    <x v="16"/>
    <n v="12.96"/>
    <n v="-3.24"/>
    <n v="-1.1317102473498231"/>
    <n v="-1.6269671122704764E-15"/>
    <n v="0.44181149987434976"/>
    <n v="1048.7683462897523"/>
    <n v="1800"/>
    <x v="495"/>
    <s v="&lt;Клиент не выбран&gt;"/>
    <s v="2025 05"/>
    <n v="751.23165371024766"/>
    <n v="0.71629893900582919"/>
  </r>
  <r>
    <s v="531196686"/>
    <s v="720000501892"/>
    <s v="iHerb_MH DLE7202"/>
    <s v="Доставлен"/>
    <d v="2024-11-28T00:00:00"/>
    <x v="29"/>
    <s v="Витамины"/>
    <s v="YOU-00303"/>
    <x v="71"/>
    <x v="422"/>
    <n v="25.48"/>
    <n v="-6.37"/>
    <n v="-2.2249982332155471"/>
    <n v="-3.1986976867786834E-15"/>
    <n v="0.86862322660481717"/>
    <n v="2061.9303598350994"/>
    <n v="3400"/>
    <x v="708"/>
    <s v="&lt;Клиент не выбран&gt;"/>
    <s v="2025 01"/>
    <n v="1338.0696401649006"/>
    <n v="0.64894026793024728"/>
  </r>
  <r>
    <s v="531196686"/>
    <s v="720000501892"/>
    <s v="iHerb_MH DLE7202"/>
    <s v="Доставлен"/>
    <d v="2024-11-28T00:00:00"/>
    <x v="29"/>
    <s v="Витамины"/>
    <s v="YOU-00303"/>
    <x v="71"/>
    <x v="422"/>
    <n v="25.48"/>
    <n v="-6.37"/>
    <n v="-2.2249982332155471"/>
    <n v="-3.1986976867786834E-15"/>
    <n v="0.86862322660481717"/>
    <n v="2061.9303598350994"/>
    <n v="3300"/>
    <x v="761"/>
    <s v="&lt;Клиент не выбран&gt;"/>
    <s v="2025 03"/>
    <n v="1238.0696401649006"/>
    <n v="0.60044202475582831"/>
  </r>
  <r>
    <s v="531196686"/>
    <s v="720000501892"/>
    <s v="iHerb_MH DLE7202"/>
    <s v="Доставлен"/>
    <d v="2024-11-28T00:00:00"/>
    <x v="29"/>
    <s v="Косметика"/>
    <s v="MBY-05089"/>
    <x v="30"/>
    <x v="67"/>
    <n v="13.74"/>
    <n v="-3.44"/>
    <n v="-1.1992402826855122"/>
    <n v="-1.7240495119738587E-15"/>
    <n v="0.46817473752117317"/>
    <n v="1111.3491735374946"/>
    <m/>
    <x v="20"/>
    <m/>
    <s v=""/>
    <n v="-1111.3491735374946"/>
    <s v=""/>
  </r>
  <r>
    <s v="531196686"/>
    <s v="720000501892"/>
    <s v="iHerb_MH DLE7202"/>
    <s v="Доставлен"/>
    <d v="2024-11-28T00:00:00"/>
    <x v="29"/>
    <s v="Витамины"/>
    <s v="GOL-11403"/>
    <x v="222"/>
    <x v="1459"/>
    <n v="39.04"/>
    <n v="-9.76"/>
    <n v="-3.409102473498232"/>
    <n v="-4.9009873505431635E-15"/>
    <n v="1.3308889625844611"/>
    <n v="3159.2527962308586"/>
    <n v="4900"/>
    <x v="520"/>
    <s v="&lt;Клиент не выбран&gt;"/>
    <s v="2025 01"/>
    <n v="1740.7472037691414"/>
    <n v="0.55099965594584166"/>
  </r>
  <r>
    <s v="531196686"/>
    <s v="720000501892"/>
    <s v="iHerb_MH DLE7202"/>
    <s v="Доставлен"/>
    <d v="2024-11-28T00:00:00"/>
    <x v="29"/>
    <s v="Витамины"/>
    <s v="CEN-27847"/>
    <x v="2"/>
    <x v="1084"/>
    <n v="11.52"/>
    <n v="-2.88"/>
    <n v="-1.0059646643109539"/>
    <n v="-1.4461929886848679E-15"/>
    <n v="0.39272133322164426"/>
    <n v="932.23853003533532"/>
    <n v="1800"/>
    <x v="665"/>
    <s v="&lt;Клиент не выбран&gt;"/>
    <s v="2025 01"/>
    <n v="867.76146996466468"/>
    <n v="0.93083630638155801"/>
  </r>
  <r>
    <s v="531196686"/>
    <s v="720000501892"/>
    <s v="iHerb_MH DLE7202"/>
    <s v="Доставлен"/>
    <d v="2024-11-28T00:00:00"/>
    <x v="29"/>
    <s v="Витамины"/>
    <s v="NOW-00105"/>
    <x v="3"/>
    <x v="485"/>
    <n v="12.71"/>
    <n v="-3.18"/>
    <n v="-1.1095883392226147"/>
    <n v="-1.5951642571952306E-15"/>
    <n v="0.4331752668521146"/>
    <n v="1028.2677304672159"/>
    <n v="1700"/>
    <x v="542"/>
    <s v="&lt;Клиент не выбран&gt;"/>
    <s v="2025 03"/>
    <n v="671.73226953278413"/>
    <n v="0.65326592445682208"/>
  </r>
  <r>
    <s v="531823795"/>
    <s v="722500340867"/>
    <s v="iHerb_MH DLE7202"/>
    <s v="Доставлен"/>
    <d v="2024-12-21T00:00:00"/>
    <x v="30"/>
    <s v="Витамины"/>
    <s v="NOW-02313"/>
    <x v="3"/>
    <x v="87"/>
    <n v="21.5"/>
    <n v="-4.3"/>
    <n v="-1.1396955144579548"/>
    <n v="4.9949259446505473E-15"/>
    <n v="0.62779037700598717"/>
    <n v="1954.7459350839558"/>
    <n v="3000"/>
    <x v="497"/>
    <s v="&lt;Клиент не выбран&gt;"/>
    <s v="2025 02"/>
    <n v="1045.2540649160442"/>
    <n v="0.53472630184605074"/>
  </r>
  <r>
    <s v="531823795"/>
    <s v="722500340867"/>
    <s v="iHerb_MH DLE7202"/>
    <s v="Доставлен"/>
    <d v="2024-12-21T00:00:00"/>
    <x v="30"/>
    <s v="Витамины"/>
    <s v="PTF-10535"/>
    <x v="169"/>
    <x v="1460"/>
    <n v="15.32"/>
    <n v="-3.06"/>
    <n v="-0.81236436088689101"/>
    <n v="3.5603367489195181E-15"/>
    <n v="0.44748314081938384"/>
    <n v="1393.3247188447269"/>
    <n v="2300"/>
    <x v="686"/>
    <s v="&lt;Клиент не выбран&gt;"/>
    <s v="2025 04"/>
    <n v="906.67528115527307"/>
    <n v="0.65072790921777479"/>
  </r>
  <r>
    <s v="531823795"/>
    <s v="722500340867"/>
    <s v="iHerb_MH DLE7202"/>
    <s v="Доставлен"/>
    <d v="2024-12-21T00:00:00"/>
    <x v="30"/>
    <s v="Витамины"/>
    <s v="SMS-55698"/>
    <x v="140"/>
    <x v="507"/>
    <n v="12.78"/>
    <n v="-2.56"/>
    <n v="-0.67719117196280787"/>
    <n v="2.9679152996702668E-15"/>
    <n v="0.37302428215123179"/>
    <n v="1161.482759102211"/>
    <n v="1900"/>
    <x v="166"/>
    <s v="&lt;Клиент не выбран&gt;"/>
    <s v="2025 01"/>
    <n v="738.51724089778895"/>
    <n v="0.63584003732318772"/>
  </r>
  <r>
    <s v="531823795"/>
    <s v="722500340867"/>
    <s v="iHerb_MH DLE7202"/>
    <s v="Доставлен"/>
    <d v="2024-12-21T00:00:00"/>
    <x v="30"/>
    <s v="Витамины"/>
    <s v="NOW-00372"/>
    <x v="3"/>
    <x v="13"/>
    <n v="8.3699999999999992"/>
    <n v="-1.67"/>
    <n v="-0.44395115970164517"/>
    <n v="1.9456978970441082E-15"/>
    <n v="0.2445462515081461"/>
    <n v="761.44173052688984"/>
    <n v="1200"/>
    <x v="663"/>
    <s v="&lt;Клиент не выбран&gt;"/>
    <s v="2025 04"/>
    <n v="438.55826947311016"/>
    <n v="0.57595775473146693"/>
  </r>
  <r>
    <s v="531823795"/>
    <s v="722500340867"/>
    <s v="iHerb_MH DLE7202"/>
    <s v="Доставлен"/>
    <d v="2024-12-21T00:00:00"/>
    <x v="30"/>
    <s v="Витамины"/>
    <s v="CEN-22675"/>
    <x v="2"/>
    <x v="2"/>
    <n v="11"/>
    <n v="-2.2000000000000002"/>
    <n v="-0.58310003065290716"/>
    <n v="2.5555435065653965E-15"/>
    <n v="0.32119507660771435"/>
    <n v="1000.1025714383031"/>
    <n v="1700"/>
    <x v="166"/>
    <s v="&lt;Клиент не выбран&gt;"/>
    <s v="2025 01"/>
    <n v="699.89742856169687"/>
    <n v="0.69982564643858025"/>
  </r>
  <r>
    <s v="531823795"/>
    <s v="722500340867"/>
    <s v="iHerb_MH DLE7202"/>
    <s v="Доставлен"/>
    <d v="2024-12-21T00:00:00"/>
    <x v="30"/>
    <s v="Витамины"/>
    <s v="CEN-22675"/>
    <x v="2"/>
    <x v="2"/>
    <n v="11"/>
    <n v="-2.2000000000000002"/>
    <n v="-0.58310003065290716"/>
    <n v="2.5555435065653965E-15"/>
    <n v="0.32119507660771435"/>
    <n v="1000.1025714383031"/>
    <n v="1700"/>
    <x v="166"/>
    <s v="&lt;Клиент не выбран&gt;"/>
    <s v="2025 01"/>
    <n v="699.89742856169687"/>
    <n v="0.69982564643858025"/>
  </r>
  <r>
    <s v="531823795"/>
    <s v="722500340867"/>
    <s v="iHerb_MH DLE7202"/>
    <s v="Доставлен"/>
    <d v="2024-12-21T00:00:00"/>
    <x v="30"/>
    <s v="Витамины"/>
    <s v="BNR-01791"/>
    <x v="289"/>
    <x v="1436"/>
    <n v="26.07"/>
    <n v="-5.2149999999999999"/>
    <n v="-1.3818808112802701"/>
    <n v="6.0563477078887884E-15"/>
    <n v="0.76119583211975927"/>
    <n v="2370.1294462892974"/>
    <n v="2370.13"/>
    <x v="762"/>
    <s v="&lt;Клиент не выбран&gt;"/>
    <s v="2024 12"/>
    <n v="5.5371070266119204E-4"/>
    <n v="2.3362044783169461E-7"/>
  </r>
  <r>
    <s v="531823795"/>
    <s v="722500340867"/>
    <s v="iHerb_MH DLE7202"/>
    <s v="Доставлен"/>
    <d v="2024-12-21T00:00:00"/>
    <x v="30"/>
    <s v="Витамины"/>
    <s v="BNR-01791"/>
    <x v="289"/>
    <x v="1436"/>
    <n v="26.07"/>
    <n v="-5.2149999999999999"/>
    <n v="-1.3818808112802701"/>
    <n v="6.0563477078887884E-15"/>
    <n v="0.76119583211975927"/>
    <n v="2370.1294462892974"/>
    <n v="3100"/>
    <x v="468"/>
    <s v="&lt;Клиент не выбран&gt;"/>
    <s v="2025 03"/>
    <n v="729.87055371070255"/>
    <n v="0.30794543937395341"/>
  </r>
  <r>
    <s v="531823795"/>
    <s v="722500340867"/>
    <s v="iHerb_MH DLE7202"/>
    <s v="Доставлен"/>
    <d v="2024-12-21T00:00:00"/>
    <x v="30"/>
    <s v="Витамины"/>
    <s v="NOW-01444"/>
    <x v="3"/>
    <x v="649"/>
    <n v="11.3"/>
    <n v="-2.83"/>
    <n v="-0.56123377950342312"/>
    <n v="2.4597106250691939E-15"/>
    <n v="0.30915026123492506"/>
    <n v="962.59872500936683"/>
    <n v="1600"/>
    <x v="763"/>
    <s v="Алена Грация"/>
    <s v="2026 02"/>
    <n v="637.40127499063317"/>
    <n v="0.66216717146018533"/>
  </r>
  <r>
    <s v="531823795"/>
    <s v="722500340867"/>
    <s v="iHerb_MH DLE7202"/>
    <s v="Доставлен"/>
    <d v="2024-12-21T00:00:00"/>
    <x v="30"/>
    <s v="Витамины"/>
    <s v="NOW-00894"/>
    <x v="3"/>
    <x v="1355"/>
    <n v="33.1"/>
    <n v="-13.64"/>
    <n v="-1.2894462041483605"/>
    <n v="5.6512359815639331E-15"/>
    <n v="0.71027911258933196"/>
    <n v="2211.5904591124295"/>
    <n v="4400"/>
    <x v="166"/>
    <s v="&lt;Клиент не выбран&gt;"/>
    <s v="2025 01"/>
    <n v="2188.4095408875705"/>
    <n v="0.98951843994020394"/>
  </r>
  <r>
    <s v="531823795"/>
    <s v="722500340867"/>
    <s v="iHerb_MH DLE7202"/>
    <s v="Доставлен"/>
    <d v="2024-12-21T00:00:00"/>
    <x v="30"/>
    <s v="Витамины"/>
    <s v="PAR-77872"/>
    <x v="44"/>
    <x v="1437"/>
    <n v="15.45"/>
    <n v="-3.09"/>
    <n v="-0.81899049759885589"/>
    <n v="3.5893770160395788E-15"/>
    <n v="0.45113308487174419"/>
    <n v="1404.6895207928892"/>
    <n v="2500"/>
    <x v="166"/>
    <s v="&lt;Клиент не выбран&gt;"/>
    <s v="2025 01"/>
    <n v="1095.3104792071108"/>
    <n v="0.77975272328425527"/>
  </r>
  <r>
    <s v="531823795"/>
    <s v="722500340867"/>
    <s v="iHerb_MH DLE7202"/>
    <s v="Доставлен"/>
    <d v="2024-12-21T00:00:00"/>
    <x v="30"/>
    <s v="Витамины"/>
    <s v="NAP-01480"/>
    <x v="11"/>
    <x v="488"/>
    <n v="10.8"/>
    <n v="-2.16"/>
    <n v="-0.57249821191376338"/>
    <n v="2.5090790791732981E-15"/>
    <n v="0.31535516612393771"/>
    <n v="981.918888321243"/>
    <n v="1700"/>
    <x v="166"/>
    <s v="&lt;Клиент не выбран&gt;"/>
    <s v="2025 01"/>
    <n v="718.081111678757"/>
    <n v="0.73130389915040594"/>
  </r>
  <r>
    <s v="531823795"/>
    <s v="722500340867"/>
    <s v="iHerb_MH DLE7202"/>
    <s v="Доставлен"/>
    <d v="2024-12-21T00:00:00"/>
    <x v="30"/>
    <s v="Витамины"/>
    <s v="BLB-00208"/>
    <x v="186"/>
    <x v="1448"/>
    <n v="31.54"/>
    <n v="-6.31"/>
    <n v="-1.6717742924287327"/>
    <n v="7.3268593943914713E-15"/>
    <n v="0.9208808844105264"/>
    <n v="2867.3395315214075"/>
    <n v="4200"/>
    <x v="166"/>
    <s v="&lt;Клиент не выбран&gt;"/>
    <s v="2025 01"/>
    <n v="1332.6604684785925"/>
    <n v="0.46477246723951249"/>
  </r>
  <r>
    <s v="531823795"/>
    <s v="722500340867"/>
    <s v="iHerb_MH DLE7202"/>
    <s v="Доставлен"/>
    <d v="2024-12-21T00:00:00"/>
    <x v="30"/>
    <s v="Витамины"/>
    <s v="NOW-01661"/>
    <x v="3"/>
    <x v="1136"/>
    <n v="19.86"/>
    <n v="-3.97"/>
    <n v="-1.0528931235312151"/>
    <n v="4.6144984453777435E-15"/>
    <n v="0.57997610992006599"/>
    <n v="1805.867029563027"/>
    <n v="2500"/>
    <x v="719"/>
    <s v="&lt;Клиент не выбран&gt;"/>
    <s v="2025 02"/>
    <n v="694.13297043697298"/>
    <n v="0.3843765676396092"/>
  </r>
  <r>
    <s v="531400441"/>
    <s v="722500328205"/>
    <s v="iHerb_AV CYG0792"/>
    <s v="Доставлен"/>
    <d v="2024-12-02T00:00:00"/>
    <x v="30"/>
    <s v="Витамины"/>
    <s v="YOU-00303"/>
    <x v="71"/>
    <x v="422"/>
    <n v="25.48"/>
    <n v="-6.37"/>
    <n v="-1.5533563218390807"/>
    <n v="6.4030517797232032E-15"/>
    <n v="0.82200418089012162"/>
    <n v="2257.5726819923384"/>
    <n v="3300"/>
    <x v="764"/>
    <s v="&lt;Клиент не выбран&gt;"/>
    <s v="2025 05"/>
    <n v="1042.4273180076616"/>
    <n v="0.46174695783778946"/>
  </r>
  <r>
    <s v="531400441"/>
    <s v="722500328205"/>
    <s v="iHerb_AV CYG0792"/>
    <s v="Доставлен"/>
    <d v="2024-12-02T00:00:00"/>
    <x v="30"/>
    <s v="Витамины"/>
    <s v="YOU-00303"/>
    <x v="71"/>
    <x v="422"/>
    <n v="25.48"/>
    <n v="-6.37"/>
    <n v="-1.5533563218390807"/>
    <n v="6.4030517797232032E-15"/>
    <n v="0.82200418089012162"/>
    <n v="2257.5726819923384"/>
    <n v="3200"/>
    <x v="765"/>
    <m/>
    <s v="2025 12"/>
    <n v="942.4273180076616"/>
    <n v="0.41745159547906857"/>
  </r>
  <r>
    <s v="531400441"/>
    <s v="722500328205"/>
    <s v="iHerb_AV CYG0792"/>
    <s v="Доставлен"/>
    <d v="2024-12-02T00:00:00"/>
    <x v="30"/>
    <s v="Витамины"/>
    <s v="SOR-01645"/>
    <x v="10"/>
    <x v="1461"/>
    <n v="8.39"/>
    <n v="-2.1"/>
    <n v="-0.51128264073091678"/>
    <n v="2.1075455622427502E-15"/>
    <n v="0.27056024582934929"/>
    <n v="743.07337361233965"/>
    <n v="1300"/>
    <x v="675"/>
    <s v="&lt;Клиент не выбран&gt;"/>
    <s v="2025 02"/>
    <n v="556.92662638766035"/>
    <n v="0.74949075847011604"/>
  </r>
  <r>
    <s v="531400441"/>
    <s v="722500328205"/>
    <s v="iHerb_AV CYG0792"/>
    <s v="Доставлен"/>
    <d v="2024-12-02T00:00:00"/>
    <x v="30"/>
    <s v="Витамины"/>
    <s v="EVL-02812"/>
    <x v="125"/>
    <x v="734"/>
    <n v="10.72"/>
    <n v="-2.68"/>
    <n v="-0.65353138815207801"/>
    <n v="2.6939056153309556E-15"/>
    <n v="0.3458353539694704"/>
    <n v="949.81079870321332"/>
    <n v="1600"/>
    <x v="766"/>
    <s v="Валентина Сычева"/>
    <s v="2025 10"/>
    <n v="650.18920129678668"/>
    <n v="0.68454601925404179"/>
  </r>
  <r>
    <s v="531400441"/>
    <s v="722500328205"/>
    <s v="iHerb_AV CYG0792"/>
    <s v="Доставлен"/>
    <d v="2024-12-02T00:00:00"/>
    <x v="30"/>
    <s v="Косметика"/>
    <s v="GIL-09772"/>
    <x v="259"/>
    <x v="1221"/>
    <n v="10.87"/>
    <n v="-2.72"/>
    <n v="-0.66247273798997941"/>
    <n v="2.7307625329536421E-15"/>
    <n v="0.35056693219542073"/>
    <n v="962.80572256606786"/>
    <m/>
    <x v="20"/>
    <m/>
    <s v=""/>
    <n v="-962.80572256606786"/>
    <s v=""/>
  </r>
  <r>
    <s v="531400441"/>
    <s v="722500328205"/>
    <s v="iHerb_AV CYG0792"/>
    <s v="Доставлен"/>
    <d v="2024-12-02T00:00:00"/>
    <x v="30"/>
    <s v="Витамины"/>
    <s v="NOW-00367"/>
    <x v="3"/>
    <x v="365"/>
    <n v="5.87"/>
    <n v="-1.47"/>
    <n v="-0.35765399351606258"/>
    <n v="1.4742767049074881E-15"/>
    <n v="0.18926312903801862"/>
    <n v="519.79695451419639"/>
    <n v="1100"/>
    <x v="735"/>
    <s v="&lt;Клиент не выбран&gt;"/>
    <s v="2025 03"/>
    <n v="580.20304548580361"/>
    <n v="1.1162109366878898"/>
  </r>
  <r>
    <s v="531400441"/>
    <s v="722500328205"/>
    <s v="iHerb_AV CYG0792"/>
    <s v="Доставлен"/>
    <d v="2024-12-02T00:00:00"/>
    <x v="30"/>
    <s v="Витамины"/>
    <s v="PTF-10422"/>
    <x v="169"/>
    <x v="1462"/>
    <n v="18.239999999999998"/>
    <n v="-4.5599999999999996"/>
    <n v="-1.1119787798408491"/>
    <n v="4.5836603007123713E-15"/>
    <n v="0.58843627391820319"/>
    <n v="1616.0959858532285"/>
    <m/>
    <x v="20"/>
    <m/>
    <s v=""/>
    <n v="-1616.0959858532285"/>
    <s v=""/>
  </r>
  <r>
    <s v="531400441"/>
    <s v="722500328205"/>
    <s v="iHerb_AV CYG0792"/>
    <s v="Доставлен"/>
    <d v="2024-12-02T00:00:00"/>
    <x v="30"/>
    <s v="Витамины"/>
    <s v="BLB-00208"/>
    <x v="186"/>
    <x v="1448"/>
    <n v="31.54"/>
    <n v="-7.89"/>
    <n v="-1.9223902151488363"/>
    <n v="7.9242372888777476E-15"/>
    <n v="1.0172893185793499"/>
    <n v="2793.9086305138044"/>
    <n v="2793.91"/>
    <x v="551"/>
    <s v="&lt;Клиент не выбран&gt;"/>
    <s v="2024 12"/>
    <n v="1.3694861954718363E-3"/>
    <n v="4.9016856904872567E-7"/>
  </r>
  <r>
    <s v="531400441"/>
    <s v="722500328205"/>
    <s v="iHerb_AV CYG0792"/>
    <s v="Доставлен"/>
    <d v="2024-12-02T00:00:00"/>
    <x v="30"/>
    <s v="Витамины"/>
    <s v="NWY-14008"/>
    <x v="16"/>
    <x v="731"/>
    <n v="17.7"/>
    <n v="-4.43"/>
    <n v="-1.0786519304450342"/>
    <n v="4.4462845168459922E-15"/>
    <n v="0.57080039143966055"/>
    <n v="1567.6603605462237"/>
    <n v="2600"/>
    <x v="452"/>
    <s v="&lt;Клиент не выбран&gt;"/>
    <s v="2025 01"/>
    <n v="1032.3396394537763"/>
    <n v="0.65852251255117256"/>
  </r>
  <r>
    <s v="531400441"/>
    <s v="722500328205"/>
    <s v="iHerb_AV CYG0792"/>
    <s v="Доставлен"/>
    <d v="2024-12-02T00:00:00"/>
    <x v="30"/>
    <s v="Витамины"/>
    <s v="NOW-04606"/>
    <x v="3"/>
    <x v="397"/>
    <n v="9.2200000000000006"/>
    <n v="-2.31"/>
    <n v="-0.56167933981727103"/>
    <n v="2.315284552479714E-15"/>
    <n v="0.29722914128470646"/>
    <n v="816.31748993024917"/>
    <n v="1800"/>
    <x v="755"/>
    <s v="&lt;Клиент не выбран&gt;"/>
    <s v="2025 03"/>
    <n v="983.68251006975083"/>
    <n v="1.2050244202826064"/>
  </r>
  <r>
    <s v="531400441"/>
    <s v="722500328205"/>
    <s v="iHerb_AV CYG0792"/>
    <s v="Доставлен"/>
    <d v="2024-12-02T00:00:00"/>
    <x v="30"/>
    <s v="Витамины"/>
    <s v="PAR-77872"/>
    <x v="44"/>
    <x v="1437"/>
    <n v="15.45"/>
    <n v="-3.86"/>
    <n v="-0.94209313292071939"/>
    <n v="3.8833788658813152E-15"/>
    <n v="0.49853628762514435"/>
    <n v="1369.192432458985"/>
    <n v="2300"/>
    <x v="738"/>
    <s v="&lt;Клиент не выбран&gt;"/>
    <s v="2025 04"/>
    <n v="930.80756754101503"/>
    <n v="0.67982231385061209"/>
  </r>
  <r>
    <s v="531400441"/>
    <s v="722500328205"/>
    <s v="iHerb_AV CYG0792"/>
    <s v="Доставлен"/>
    <d v="2024-12-02T00:00:00"/>
    <x v="30"/>
    <s v="Витамины"/>
    <s v="MRM-71301"/>
    <x v="37"/>
    <x v="116"/>
    <n v="6.47"/>
    <n v="-1.62"/>
    <n v="-0.39423224285293257"/>
    <n v="1.6250550042730264E-15"/>
    <n v="0.20861958541690681"/>
    <n v="572.95800668042079"/>
    <n v="1100"/>
    <x v="614"/>
    <s v="&lt;Клиент не выбран&gt;"/>
    <s v="2025 06"/>
    <n v="527.04199331957921"/>
    <n v="0.91986146833540594"/>
  </r>
  <r>
    <s v="531400441"/>
    <s v="722500328205"/>
    <s v="iHerb_AV CYG0792"/>
    <s v="Доставлен"/>
    <d v="2024-12-02T00:00:00"/>
    <x v="30"/>
    <s v="Витамины"/>
    <s v="NFS-01637"/>
    <x v="23"/>
    <x v="382"/>
    <n v="10.42"/>
    <n v="-2.61"/>
    <n v="-0.63483583849101111"/>
    <n v="2.6168411512107914E-15"/>
    <n v="0.33594205404248301"/>
    <n v="922.63959426269844"/>
    <n v="1300"/>
    <x v="677"/>
    <s v="&lt;Клиент не выбран&gt;"/>
    <s v="2025 04"/>
    <n v="377.36040573730156"/>
    <n v="0.40900087974097682"/>
  </r>
  <r>
    <s v="531400441"/>
    <s v="722500328205"/>
    <s v="iHerb_AV CYG0792"/>
    <s v="Доставлен"/>
    <d v="2024-12-02T00:00:00"/>
    <x v="30"/>
    <s v="Витамины"/>
    <s v="BLB-00612"/>
    <x v="186"/>
    <x v="1321"/>
    <n v="20.39"/>
    <n v="-5.0999999999999996"/>
    <n v="-1.2428476274683176"/>
    <n v="5.1231115495535208E-15"/>
    <n v="0.65768937340711453"/>
    <n v="1806.294416936832"/>
    <n v="2600"/>
    <x v="719"/>
    <s v="&lt;Клиент не выбран&gt;"/>
    <s v="2025 02"/>
    <n v="793.70558306316798"/>
    <n v="0.43941097067063828"/>
  </r>
  <r>
    <s v="531400441"/>
    <s v="722500328205"/>
    <s v="iHerb_AV CYG0792"/>
    <s v="Доставлен"/>
    <d v="2024-12-02T00:00:00"/>
    <x v="30"/>
    <s v="Витамины"/>
    <s v="BGL-80588"/>
    <x v="292"/>
    <x v="1463"/>
    <n v="16.010000000000002"/>
    <n v="-8.51"/>
    <n v="-0.60963748894783398"/>
    <n v="2.5129716560923096E-15"/>
    <n v="0.32260760631480451"/>
    <n v="886.01753610374374"/>
    <n v="1800"/>
    <x v="668"/>
    <s v="&lt;Клиент не выбран&gt;"/>
    <s v="2025 04"/>
    <n v="913.98246389625626"/>
    <n v="1.0315624992203745"/>
  </r>
  <r>
    <s v="531586937"/>
    <s v="720000523646"/>
    <s v="iHerb_AV CYG0792"/>
    <s v="Доставлен"/>
    <d v="2024-12-10T00:00:00"/>
    <x v="30"/>
    <s v="Витамины"/>
    <s v="CGN-02060"/>
    <x v="1"/>
    <x v="862"/>
    <n v="48.6"/>
    <n v="-24.3"/>
    <n v="-1.2744979178746507"/>
    <n v="-3.6405436674862544E-15"/>
    <n v="0.79546903225942278"/>
    <n v="2745.4119761741599"/>
    <n v="5700"/>
    <x v="654"/>
    <s v="&lt;Клиент не выбран&gt;"/>
    <s v="2025 02"/>
    <n v="2954.5880238258401"/>
    <n v="1.0761911325028803"/>
  </r>
  <r>
    <s v="531586937"/>
    <s v="720000523646"/>
    <s v="iHerb_AV CYG0792"/>
    <s v="Доставлен"/>
    <d v="2024-12-10T00:00:00"/>
    <x v="30"/>
    <s v="Витамины"/>
    <s v="YOU-00303"/>
    <x v="71"/>
    <x v="422"/>
    <n v="25.48"/>
    <n v="-5.0999999999999996"/>
    <n v="-1.0688998998471351"/>
    <n v="-3.0532625491098716E-15"/>
    <n v="0.66714645586201815"/>
    <n v="2302.5307026514147"/>
    <m/>
    <x v="20"/>
    <m/>
    <s v=""/>
    <n v="-2302.5307026514147"/>
    <s v=""/>
  </r>
  <r>
    <s v="531586937"/>
    <s v="720000523646"/>
    <s v="iHerb_AV CYG0792"/>
    <s v="Доставлен"/>
    <d v="2024-12-10T00:00:00"/>
    <x v="30"/>
    <s v="Витамины"/>
    <s v="LKN-01663"/>
    <x v="90"/>
    <x v="1375"/>
    <n v="36.49"/>
    <n v="-10.95"/>
    <n v="-1.3395340256180486"/>
    <n v="-3.8263162661563353E-15"/>
    <n v="0.83606086765043874"/>
    <n v="2885.507072900743"/>
    <n v="4500"/>
    <x v="767"/>
    <s v="&lt;Клиент не выбран&gt;"/>
    <s v="2025 05"/>
    <n v="1614.492927099257"/>
    <n v="0.55951792399394096"/>
  </r>
  <r>
    <s v="531586937"/>
    <s v="720000523646"/>
    <s v="iHerb_AV CYG0792"/>
    <s v="Доставлен"/>
    <d v="2024-12-10T00:00:00"/>
    <x v="30"/>
    <s v="Витамины"/>
    <s v="CGN-02397"/>
    <x v="1"/>
    <x v="1464"/>
    <n v="24.7"/>
    <n v="-7.41"/>
    <n v="-0.90683411522850654"/>
    <n v="-2.5903292185529768E-15"/>
    <n v="0.56599422089569629"/>
    <n v="1953.4227600021079"/>
    <n v="2800"/>
    <x v="702"/>
    <s v="&lt;Клиент не выбран&gt;"/>
    <s v="2025 05"/>
    <n v="846.57723999789209"/>
    <n v="0.43338147652020731"/>
  </r>
  <r>
    <s v="531586937"/>
    <s v="720000523646"/>
    <s v="iHerb_AV CYG0792"/>
    <s v="Доставлен"/>
    <d v="2024-12-10T00:00:00"/>
    <x v="30"/>
    <s v="Витамины"/>
    <s v="HRM-50006"/>
    <x v="195"/>
    <x v="1465"/>
    <n v="16.77"/>
    <n v="-3.35"/>
    <n v="-0.70385852090032153"/>
    <n v="-2.0105389307681292E-15"/>
    <n v="0.43930841205438081"/>
    <n v="1516.1904823151119"/>
    <n v="2300"/>
    <x v="682"/>
    <s v="&lt;Клиент не выбран&gt;"/>
    <s v="2025 03"/>
    <n v="783.80951768488808"/>
    <n v="0.51695979286723148"/>
  </r>
  <r>
    <s v="531586937"/>
    <s v="720000523646"/>
    <s v="iHerb_AV CYG0792"/>
    <s v="Доставлен"/>
    <d v="2024-12-10T00:00:00"/>
    <x v="30"/>
    <s v="Витамины"/>
    <s v="CGN-01034"/>
    <x v="1"/>
    <x v="84"/>
    <n v="5.94"/>
    <n v="-1.78"/>
    <n v="-0.21818565178430233"/>
    <n v="-6.2323710521575393E-16"/>
    <n v="0.13617906066663368"/>
    <n v="469.99645353434175"/>
    <m/>
    <x v="20"/>
    <m/>
    <s v=""/>
    <n v="-469.99645353434175"/>
    <s v=""/>
  </r>
  <r>
    <s v="531586937"/>
    <s v="720000523646"/>
    <s v="iHerb_AV CYG0792"/>
    <s v="Доставлен"/>
    <d v="2024-12-10T00:00:00"/>
    <x v="30"/>
    <s v="Витамины"/>
    <s v="NOW-03881"/>
    <x v="3"/>
    <x v="1466"/>
    <n v="50.33"/>
    <n v="-12.58"/>
    <n v="-1.9799298929945703"/>
    <n v="-5.6555770966093047E-15"/>
    <n v="1.2357595048474572"/>
    <n v="4264.9918559907219"/>
    <n v="5900"/>
    <x v="768"/>
    <s v="Михаил Икра Кофе"/>
    <s v="2026 04"/>
    <n v="1635.0081440092781"/>
    <n v="0.38335551373039595"/>
  </r>
  <r>
    <s v="531586937"/>
    <s v="720000523646"/>
    <s v="iHerb_AV CYG0792"/>
    <s v="Доставлен"/>
    <d v="2024-12-10T00:00:00"/>
    <x v="30"/>
    <s v="Витамины"/>
    <s v="CGN-02061"/>
    <x v="1"/>
    <x v="976"/>
    <n v="19.27"/>
    <n v="-5.78"/>
    <n v="-0.70752991407938415"/>
    <n v="-2.0210260935962784E-15"/>
    <n v="0.44159988663290589"/>
    <n v="1524.099076485161"/>
    <n v="2700"/>
    <x v="637"/>
    <s v="&lt;Клиент не выбран&gt;"/>
    <s v="2025 02"/>
    <n v="1175.900923514839"/>
    <n v="0.77153837414997462"/>
  </r>
  <r>
    <s v="531586937"/>
    <s v="720000523646"/>
    <s v="iHerb_AV CYG0792"/>
    <s v="Доставлен"/>
    <d v="2024-12-10T00:00:00"/>
    <x v="30"/>
    <s v="Витамины"/>
    <s v="SLM-01828"/>
    <x v="164"/>
    <x v="1284"/>
    <n v="29.7"/>
    <n v="-13.01"/>
    <n v="-0.87536503083653971"/>
    <n v="-2.5004392514545504E-15"/>
    <n v="0.54635301022262406"/>
    <n v="1885.6348099731163"/>
    <n v="3500"/>
    <x v="480"/>
    <s v="&lt;Клиент не выбран&gt;"/>
    <s v="2025 02"/>
    <n v="1614.3651900268837"/>
    <n v="0.85613883530814749"/>
  </r>
  <r>
    <s v="531586937"/>
    <s v="720000523646"/>
    <s v="iHerb_AV CYG0792"/>
    <s v="Доставлен"/>
    <d v="2024-12-10T00:00:00"/>
    <x v="30"/>
    <s v="Витамины"/>
    <s v="SLM-01828"/>
    <x v="164"/>
    <x v="1284"/>
    <n v="29.7"/>
    <n v="-13.01"/>
    <n v="-0.87536503083653971"/>
    <n v="-2.5004392514545504E-15"/>
    <n v="0.54635301022262406"/>
    <n v="1885.6348099731163"/>
    <n v="3500"/>
    <x v="769"/>
    <s v="Оксана Черноморская"/>
    <s v="2025 05"/>
    <n v="1614.3651900268837"/>
    <n v="0.85613883530814749"/>
  </r>
  <r>
    <s v="531730172"/>
    <s v="720000523646"/>
    <s v="iHerb_AV CYG0792"/>
    <s v="Доставлен"/>
    <d v="2024-12-17T00:00:00"/>
    <x v="30"/>
    <s v="Витамины"/>
    <s v="CGN-02101"/>
    <x v="1"/>
    <x v="1204"/>
    <n v="92.57"/>
    <n v="-27.77"/>
    <n v="-7.7059818545286793"/>
    <n v="0"/>
    <n v="2.359261685668169"/>
    <n v="7004.692111333231"/>
    <n v="10200"/>
    <x v="166"/>
    <s v="&lt;Клиент не выбран&gt;"/>
    <s v="2025 01"/>
    <n v="3195.307888666769"/>
    <n v="0.45616678618849293"/>
  </r>
  <r>
    <s v="531730172"/>
    <s v="720000523646"/>
    <s v="iHerb_AV CYG0792"/>
    <s v="Доставлен"/>
    <d v="2024-12-17T00:00:00"/>
    <x v="30"/>
    <s v="Витамины"/>
    <s v="CLF-07210"/>
    <x v="72"/>
    <x v="202"/>
    <n v="19.21"/>
    <n v="-1.92"/>
    <n v="-2.0561176892716184"/>
    <n v="0"/>
    <n v="0.62950053310497922"/>
    <n v="1868.9988673603639"/>
    <n v="2700"/>
    <x v="166"/>
    <s v="&lt;Клиент не выбран&gt;"/>
    <s v="2025 01"/>
    <n v="831.00113263963613"/>
    <n v="0.4446236683991579"/>
  </r>
  <r>
    <s v="531730172"/>
    <s v="720000523646"/>
    <s v="iHerb_AV CYG0792"/>
    <s v="Доставлен"/>
    <d v="2024-12-17T00:00:00"/>
    <x v="30"/>
    <s v="Витамины"/>
    <s v="BRM-03391"/>
    <x v="126"/>
    <x v="442"/>
    <n v="6.72"/>
    <n v="-0.67"/>
    <n v="-0.7194628120354708"/>
    <n v="0"/>
    <n v="0.2202705740477226"/>
    <n v="653.98745792540205"/>
    <n v="1200"/>
    <x v="656"/>
    <s v="&lt;Клиент не выбран&gt;"/>
    <s v="2025 01"/>
    <n v="546.01254207459795"/>
    <n v="0.83489757404014253"/>
  </r>
  <r>
    <s v="531730172"/>
    <s v="720000523646"/>
    <s v="iHerb_AV CYG0792"/>
    <s v="Доставлен"/>
    <d v="2024-12-17T00:00:00"/>
    <x v="30"/>
    <s v="Витамины"/>
    <s v="BRM-03391"/>
    <x v="126"/>
    <x v="442"/>
    <n v="6.72"/>
    <n v="-0.67"/>
    <n v="-0.7194628120354708"/>
    <n v="0"/>
    <n v="0.2202705740477226"/>
    <n v="653.98745792540205"/>
    <n v="1200"/>
    <x v="656"/>
    <s v="&lt;Клиент не выбран&gt;"/>
    <s v="2025 01"/>
    <n v="546.01254207459795"/>
    <n v="0.83489757404014253"/>
  </r>
  <r>
    <s v="531730172"/>
    <s v="720000523646"/>
    <s v="iHerb_AV CYG0792"/>
    <s v="Доставлен"/>
    <d v="2024-12-17T00:00:00"/>
    <x v="30"/>
    <s v="Витамины"/>
    <s v="FOA-66127"/>
    <x v="171"/>
    <x v="1467"/>
    <n v="25.29"/>
    <n v="-15.29"/>
    <n v="-1.189194730637142"/>
    <n v="0"/>
    <n v="0.36408359346731006"/>
    <n v="1080.9710048353752"/>
    <n v="3200"/>
    <x v="497"/>
    <s v="&lt;Клиент не выбран&gt;"/>
    <s v="2025 02"/>
    <n v="2119.0289951646246"/>
    <n v="1.9603014194514299"/>
  </r>
  <r>
    <s v="531730172"/>
    <s v="720000523646"/>
    <s v="iHerb_AV CYG0792"/>
    <s v="Доставлен"/>
    <d v="2024-12-17T00:00:00"/>
    <x v="30"/>
    <s v="Витамины"/>
    <s v="FOA-66169"/>
    <x v="171"/>
    <x v="1468"/>
    <n v="30.72"/>
    <n v="-13.01"/>
    <n v="-2.1060638679583787"/>
    <n v="0"/>
    <n v="0.64479204403060619"/>
    <n v="1914.3996495634497"/>
    <n v="3700"/>
    <x v="677"/>
    <s v="&lt;Клиент не выбран&gt;"/>
    <s v="2025 04"/>
    <n v="1785.6003504365503"/>
    <n v="0.93272078839114392"/>
  </r>
  <r>
    <s v="531730172"/>
    <s v="720000523646"/>
    <s v="iHerb_AV CYG0792"/>
    <s v="Доставлен"/>
    <d v="2024-12-17T00:00:00"/>
    <x v="30"/>
    <s v="Витамины"/>
    <s v="CGN-01353"/>
    <x v="1"/>
    <x v="1012"/>
    <n v="13.66"/>
    <n v="-6.83"/>
    <n v="-0.81222000102516789"/>
    <n v="0"/>
    <n v="0.24866909433817277"/>
    <n v="738.30319630256133"/>
    <n v="1900"/>
    <x v="770"/>
    <s v="&lt;Клиент не выбран&gt;"/>
    <s v="2025 06"/>
    <n v="1161.6968036974386"/>
    <n v="1.5734684740838747"/>
  </r>
  <r>
    <s v="531730172"/>
    <s v="720000523646"/>
    <s v="iHerb_AV CYG0792"/>
    <s v="Доставлен"/>
    <d v="2024-12-17T00:00:00"/>
    <x v="30"/>
    <s v="Витамины"/>
    <s v="CGN-01195"/>
    <x v="1"/>
    <x v="1469"/>
    <n v="31.01"/>
    <n v="-15.505000000000001"/>
    <n v="-1.8438464298528887"/>
    <n v="0"/>
    <n v="0.56451161167106434"/>
    <n v="1676.0455429972494"/>
    <m/>
    <x v="20"/>
    <m/>
    <s v=""/>
    <n v="-1676.0455429972494"/>
    <s v=""/>
  </r>
  <r>
    <s v="531730172"/>
    <s v="720000523646"/>
    <s v="iHerb_AV CYG0792"/>
    <s v="Доставлен"/>
    <d v="2024-12-17T00:00:00"/>
    <x v="30"/>
    <s v="Витамины"/>
    <s v="CGN-01195"/>
    <x v="1"/>
    <x v="1469"/>
    <n v="31.01"/>
    <n v="-15.505000000000001"/>
    <n v="-1.8438464298528887"/>
    <n v="0"/>
    <n v="0.56451161167106434"/>
    <n v="1676.0455429972494"/>
    <m/>
    <x v="20"/>
    <m/>
    <s v=""/>
    <n v="-1676.0455429972494"/>
    <s v=""/>
  </r>
  <r>
    <s v="531730172"/>
    <s v="720000523646"/>
    <s v="iHerb_AV CYG0792"/>
    <s v="Доставлен"/>
    <d v="2024-12-17T00:00:00"/>
    <x v="30"/>
    <s v="Витамины"/>
    <s v="LKN-01691"/>
    <x v="90"/>
    <x v="1470"/>
    <n v="38.71"/>
    <n v="-19.36"/>
    <n v="-2.30109180378287"/>
    <n v="0"/>
    <n v="0.70450175335924503"/>
    <n v="2091.6788943564511"/>
    <n v="3900"/>
    <x v="771"/>
    <s v="Антонина Космос"/>
    <s v="2026 02"/>
    <n v="1808.3211056435489"/>
    <n v="0.86453093279402082"/>
  </r>
  <r>
    <s v="531730172"/>
    <s v="720000523646"/>
    <s v="iHerb_AV CYG0792"/>
    <s v="Доставлен"/>
    <d v="2024-12-17T00:00:00"/>
    <x v="30"/>
    <s v="Косметика"/>
    <s v="WNW-55440"/>
    <x v="231"/>
    <x v="1471"/>
    <n v="3.69"/>
    <n v="-1.58"/>
    <n v="-0.25092008816443695"/>
    <n v="0"/>
    <n v="7.6821638221602442E-2"/>
    <n v="228.08488202026419"/>
    <m/>
    <x v="20"/>
    <m/>
    <s v=""/>
    <n v="-228.08488202026419"/>
    <s v=""/>
  </r>
  <r>
    <s v="531730172"/>
    <s v="720000523646"/>
    <s v="iHerb_AV CYG0792"/>
    <s v="Доставлен"/>
    <d v="2024-12-17T00:00:00"/>
    <x v="30"/>
    <s v="Косметика"/>
    <s v="JAS-10029"/>
    <x v="187"/>
    <x v="1127"/>
    <n v="15.43"/>
    <n v="-1.54"/>
    <n v="-1.6517914808549901"/>
    <n v="0"/>
    <n v="0.50571211132609384"/>
    <n v="1501.4687257163364"/>
    <n v="1501.47"/>
    <x v="321"/>
    <s v="&lt;Клиент не выбран&gt;"/>
    <s v="2024 12"/>
    <n v="1.2742836636334687E-3"/>
    <n v="8.4869144578787025E-7"/>
  </r>
  <r>
    <s v="531442035"/>
    <s v="720000515302"/>
    <s v="iHerb_OA CZN6870"/>
    <s v="Доставлен"/>
    <d v="2024-12-04T00:00:00"/>
    <x v="30"/>
    <s v="Витамины"/>
    <s v="NFS-01380"/>
    <x v="23"/>
    <x v="1472"/>
    <n v="11.97"/>
    <n v="-2.99"/>
    <n v="-0.49892765560649643"/>
    <n v="2.9749042351973122E-15"/>
    <n v="0.40776774691306"/>
    <n v="1088.7271334214008"/>
    <n v="1088.73"/>
    <x v="772"/>
    <s v="&lt;Клиент не выбран&gt;"/>
    <s v="2024 12"/>
    <n v="2.8665785991961457E-3"/>
    <n v="2.6329633121089974E-6"/>
  </r>
  <r>
    <s v="531442035"/>
    <s v="720000515302"/>
    <s v="iHerb_OA CZN6870"/>
    <s v="Доставлен"/>
    <d v="2024-12-04T00:00:00"/>
    <x v="30"/>
    <s v="Косметика"/>
    <s v="EUC-03226"/>
    <x v="13"/>
    <x v="29"/>
    <n v="25.7"/>
    <n v="-6.43"/>
    <n v="-1.0706387442691743"/>
    <n v="6.3837867051505795E-15"/>
    <n v="0.87502054376555305"/>
    <n v="2336.2774900924719"/>
    <n v="3600"/>
    <x v="697"/>
    <s v="&lt;Клиент не выбран&gt;"/>
    <s v="2025 01"/>
    <n v="1263.7225099075281"/>
    <n v="0.54091284758194924"/>
  </r>
  <r>
    <s v="531442035"/>
    <s v="720000515302"/>
    <s v="iHerb_OA CZN6870"/>
    <s v="Доставлен"/>
    <d v="2024-12-04T00:00:00"/>
    <x v="30"/>
    <s v="Витамины"/>
    <s v="FBS-50080"/>
    <x v="20"/>
    <x v="1473"/>
    <n v="17.309999999999999"/>
    <n v="-4.33"/>
    <n v="-0.7211671458543788"/>
    <n v="4.3000286161315263E-15"/>
    <n v="0.58940148718613783"/>
    <n v="1573.6835402906215"/>
    <n v="2400"/>
    <x v="520"/>
    <s v="&lt;Клиент не выбран&gt;"/>
    <s v="2025 01"/>
    <n v="826.31645970937848"/>
    <n v="0.52508426157699895"/>
  </r>
  <r>
    <s v="531442035"/>
    <s v="720000515302"/>
    <s v="iHerb_OA CZN6870"/>
    <s v="Доставлен"/>
    <d v="2024-12-04T00:00:00"/>
    <x v="30"/>
    <s v="Витамины"/>
    <s v="FBS-50080"/>
    <x v="20"/>
    <x v="1473"/>
    <n v="17.309999999999999"/>
    <n v="-4.33"/>
    <n v="-0.7211671458543788"/>
    <n v="4.3000286161315263E-15"/>
    <n v="0.58940148718613783"/>
    <n v="1573.6835402906215"/>
    <n v="2300"/>
    <x v="773"/>
    <s v="Оксана Черноморская"/>
    <s v="2025 08"/>
    <n v="726.31645970937848"/>
    <n v="0.46153908401129068"/>
  </r>
  <r>
    <s v="531442035"/>
    <s v="720000515302"/>
    <s v="iHerb_OA CZN6870"/>
    <s v="Доставлен"/>
    <d v="2024-12-04T00:00:00"/>
    <x v="30"/>
    <s v="Витамины"/>
    <s v="NOW-03348"/>
    <x v="3"/>
    <x v="1474"/>
    <n v="31.65"/>
    <n v="-7.91"/>
    <n v="-1.318991374621183"/>
    <n v="7.864613200844564E-15"/>
    <n v="1.0779962485207177"/>
    <n v="2878.2162747688258"/>
    <n v="4300"/>
    <x v="774"/>
    <s v="&lt;Клиент не выбран&gt;"/>
    <s v="2025 02"/>
    <n v="1421.7837252311742"/>
    <n v="0.49398085115941121"/>
  </r>
  <r>
    <s v="531442035"/>
    <s v="720000515302"/>
    <s v="iHerb_OA CZN6870"/>
    <s v="Доставлен"/>
    <d v="2024-12-04T00:00:00"/>
    <x v="30"/>
    <s v="Витамины"/>
    <s v="NOW-03340"/>
    <x v="3"/>
    <x v="1475"/>
    <n v="21.23"/>
    <n v="-5.31"/>
    <n v="-0.88451317118657269"/>
    <n v="5.273995036118175E-15"/>
    <n v="0.72290228628685038"/>
    <n v="1930.1264993394993"/>
    <n v="2900"/>
    <x v="775"/>
    <m/>
    <s v="2025 10"/>
    <n v="969.87350066050067"/>
    <n v="0.50249219467863748"/>
  </r>
  <r>
    <s v="531442035"/>
    <s v="720000515302"/>
    <s v="iHerb_OA CZN6870"/>
    <s v="Доставлен"/>
    <d v="2024-12-04T00:00:00"/>
    <x v="30"/>
    <s v="Витамины"/>
    <s v="EVL-10007"/>
    <x v="125"/>
    <x v="1476"/>
    <n v="19.68"/>
    <n v="-9.84"/>
    <n v="-0.54670914600979115"/>
    <n v="3.259805977098168E-15"/>
    <n v="0.44681900107177175"/>
    <n v="1192.9927608982834"/>
    <n v="2500"/>
    <x v="776"/>
    <s v="&lt;Клиент не выбран&gt;"/>
    <s v="2025 02"/>
    <n v="1307.0072391017166"/>
    <n v="1.0955701341536925"/>
  </r>
  <r>
    <s v="531442035"/>
    <s v="720000515302"/>
    <s v="iHerb_OA CZN6870"/>
    <s v="Доставлен"/>
    <d v="2024-12-04T00:00:00"/>
    <x v="30"/>
    <s v="Витамины"/>
    <s v="NOW-02938"/>
    <x v="3"/>
    <x v="971"/>
    <n v="17.010000000000002"/>
    <n v="-4.25"/>
    <n v="-0.70894397389074548"/>
    <n v="4.2271467751801449E-15"/>
    <n v="0.57941163147111874"/>
    <n v="1547.0109379128148"/>
    <n v="2500"/>
    <x v="777"/>
    <s v="Оксана молокозавод"/>
    <s v="2025 07"/>
    <n v="952.98906208718518"/>
    <n v="0.61601960188654659"/>
  </r>
  <r>
    <s v="531442035"/>
    <s v="720000515302"/>
    <s v="iHerb_OA CZN6870"/>
    <s v="Доставлен"/>
    <d v="2024-12-04T00:00:00"/>
    <x v="30"/>
    <s v="Витамины"/>
    <s v="SOR-04816"/>
    <x v="10"/>
    <x v="1477"/>
    <n v="16.29"/>
    <n v="-4.07"/>
    <n v="-0.67894164270728119"/>
    <n v="4.0482549837540251E-15"/>
    <n v="0.55489107653425307"/>
    <n v="1481.5418229854695"/>
    <n v="2500"/>
    <x v="749"/>
    <s v="Любовь Виталий"/>
    <s v="2025 04"/>
    <n v="1018.4581770145305"/>
    <n v="0.68743127005501969"/>
  </r>
  <r>
    <s v="970310289"/>
    <s v="722500331942"/>
    <s v="iHerb_OA CZN6870"/>
    <s v="Доставлен"/>
    <d v="2024-12-11T00:00:00"/>
    <x v="30"/>
    <s v="Витамины"/>
    <s v="CGN-02319"/>
    <x v="1"/>
    <x v="1478"/>
    <n v="36.799999999999997"/>
    <n v="-11.04"/>
    <n v="-2.2050998081609374"/>
    <n v="0"/>
    <n v="0.82651446805175288"/>
    <n v="2819.9727235962041"/>
    <n v="4300"/>
    <x v="697"/>
    <s v="&lt;Клиент не выбран&gt;"/>
    <s v="2025 01"/>
    <n v="1480.0272764037959"/>
    <n v="0.52483744400065446"/>
  </r>
  <r>
    <s v="970310289"/>
    <s v="722500331942"/>
    <s v="iHerb_OA CZN6870"/>
    <s v="Доставлен"/>
    <d v="2024-12-11T00:00:00"/>
    <x v="30"/>
    <s v="Витамины"/>
    <s v="CAR-01731"/>
    <x v="154"/>
    <x v="1479"/>
    <n v="35.26"/>
    <n v="-10.58"/>
    <n v="-2.1126499714833828"/>
    <n v="0"/>
    <n v="0.79186246395641535"/>
    <n v="2701.7440535075439"/>
    <n v="4400"/>
    <x v="754"/>
    <s v="&lt;Клиент не выбран&gt;"/>
    <s v="2025 02"/>
    <n v="1698.2559464924561"/>
    <n v="0.6285776568241882"/>
  </r>
  <r>
    <s v="970310289"/>
    <s v="722500331942"/>
    <s v="iHerb_OA CZN6870"/>
    <s v="Доставлен"/>
    <d v="2024-12-11T00:00:00"/>
    <x v="30"/>
    <s v="Витамины"/>
    <s v="CGN-01266"/>
    <x v="1"/>
    <x v="487"/>
    <n v="31.02"/>
    <n v="-9.31"/>
    <n v="-1.858412920620107"/>
    <n v="0"/>
    <n v="0.69656945269423742"/>
    <n v="2376.6152107637267"/>
    <n v="3500"/>
    <x v="674"/>
    <s v="&lt;Клиент не выбран&gt;"/>
    <s v="2025 05"/>
    <n v="1123.3847892362733"/>
    <n v="0.47268265563076695"/>
  </r>
  <r>
    <s v="970310289"/>
    <s v="722500331942"/>
    <s v="iHerb_OA CZN6870"/>
    <s v="Доставлен"/>
    <d v="2024-12-11T00:00:00"/>
    <x v="30"/>
    <s v="Витамины"/>
    <s v="CGN-01597"/>
    <x v="1"/>
    <x v="910"/>
    <n v="20.8"/>
    <n v="-6.24"/>
    <n v="-1.2463607611344432"/>
    <n v="0"/>
    <n v="0.46716035150751245"/>
    <n v="1593.8976263804634"/>
    <n v="2200"/>
    <x v="778"/>
    <s v="Наталья Вельвет"/>
    <s v="2025 07"/>
    <n v="606.10237361953659"/>
    <n v="0.38026430530291783"/>
  </r>
  <r>
    <s v="970310289"/>
    <s v="722500331942"/>
    <s v="iHerb_OA CZN6870"/>
    <s v="Доставлен"/>
    <d v="2024-12-11T00:00:00"/>
    <x v="30"/>
    <s v="Витамины"/>
    <s v="CGN-01598"/>
    <x v="1"/>
    <x v="909"/>
    <n v="27.96"/>
    <n v="-8.39"/>
    <n v="-1.6752252812775446"/>
    <n v="0"/>
    <n v="0.62790714828310579"/>
    <n v="2142.3472904028622"/>
    <n v="3100"/>
    <x v="738"/>
    <s v="&lt;Клиент не выбран&gt;"/>
    <s v="2025 04"/>
    <n v="957.6527095971378"/>
    <n v="0.44701095564064869"/>
  </r>
  <r>
    <s v="970310289"/>
    <s v="722500331942"/>
    <s v="iHerb_OA CZN6870"/>
    <s v="Доставлен"/>
    <d v="2024-12-11T00:00:00"/>
    <x v="30"/>
    <s v="Витамины"/>
    <s v="CGN-01114"/>
    <x v="1"/>
    <x v="1480"/>
    <n v="14.71"/>
    <n v="-4.41"/>
    <n v="-0.88169751646186567"/>
    <n v="0"/>
    <n v="0.33047744646479249"/>
    <n v="1127.5512054751905"/>
    <n v="1900"/>
    <x v="452"/>
    <s v="&lt;Клиент не выбран&gt;"/>
    <s v="2025 01"/>
    <n v="772.4487945248095"/>
    <n v="0.68506759672991691"/>
  </r>
  <r>
    <s v="970310289"/>
    <s v="722500331942"/>
    <s v="iHerb_OA CZN6870"/>
    <s v="Доставлен"/>
    <d v="2024-12-11T00:00:00"/>
    <x v="30"/>
    <s v="Витамины"/>
    <s v="SLM-01828"/>
    <x v="164"/>
    <x v="1284"/>
    <n v="29.7"/>
    <n v="-13.01"/>
    <n v="-1.4286923834707315"/>
    <n v="0"/>
    <n v="0.53550180402887237"/>
    <n v="1827.0708368330995"/>
    <n v="3400"/>
    <x v="779"/>
    <m/>
    <s v="2026 02"/>
    <n v="1572.9291631669005"/>
    <n v="0.86090212347392714"/>
  </r>
  <r>
    <s v="970310289"/>
    <s v="722500331942"/>
    <s v="iHerb_OA CZN6870"/>
    <s v="Доставлен"/>
    <d v="2024-12-11T00:00:00"/>
    <x v="30"/>
    <s v="Витамины"/>
    <s v="NCS-57276"/>
    <x v="217"/>
    <x v="1481"/>
    <n v="11.19"/>
    <n v="-2.8"/>
    <n v="-0.71819826826359734"/>
    <n v="0"/>
    <n v="0.26919473551840867"/>
    <n v="918.46161300357755"/>
    <n v="2000"/>
    <x v="521"/>
    <s v="&lt;Клиент не выбран&gt;"/>
    <s v="2025 01"/>
    <n v="1081.5383869964226"/>
    <n v="1.1775542621313775"/>
  </r>
  <r>
    <s v="970310289"/>
    <s v="722500331942"/>
    <s v="iHerb_OA CZN6870"/>
    <s v="Доставлен"/>
    <d v="2024-12-11T00:00:00"/>
    <x v="30"/>
    <s v="Витамины"/>
    <s v="CGN-02060"/>
    <x v="1"/>
    <x v="862"/>
    <n v="48.6"/>
    <n v="-24.3"/>
    <n v="-2.0801213252449839"/>
    <n v="0"/>
    <n v="0.77967009214509297"/>
    <n v="2660.1450769948669"/>
    <n v="2660.15"/>
    <x v="20"/>
    <m/>
    <s v=""/>
    <n v="4.923005133150582E-3"/>
    <n v="1.8506528744334652E-6"/>
  </r>
  <r>
    <s v="970310289"/>
    <s v="722500331942"/>
    <s v="iHerb_OA CZN6870"/>
    <s v="Доставлен"/>
    <d v="2024-12-11T00:00:00"/>
    <x v="30"/>
    <s v="Витамины"/>
    <s v="NTA-00580"/>
    <x v="253"/>
    <x v="1482"/>
    <n v="12.39"/>
    <n v="-1.24"/>
    <n v="-0.95445896199512636"/>
    <n v="0"/>
    <n v="0.35774985709538215"/>
    <n v="1220.6015476745995"/>
    <n v="1800"/>
    <x v="662"/>
    <s v="&lt;Клиент не выбран&gt;"/>
    <s v="2025 02"/>
    <n v="579.39845232540051"/>
    <n v="0.47468271151157226"/>
  </r>
  <r>
    <s v="970310289"/>
    <s v="722500331942"/>
    <s v="iHerb_OA CZN6870"/>
    <s v="Доставлен"/>
    <d v="2024-12-11T00:00:00"/>
    <x v="30"/>
    <s v="Витамины"/>
    <s v="NOW-01283"/>
    <x v="3"/>
    <x v="343"/>
    <n v="17.510000000000002"/>
    <n v="-1.75"/>
    <n v="-1.3490828018872816"/>
    <n v="0"/>
    <n v="0.50566257828010963"/>
    <n v="1725.2628153678645"/>
    <n v="2500"/>
    <x v="697"/>
    <s v="&lt;Клиент не выбран&gt;"/>
    <s v="2025 01"/>
    <n v="774.7371846321355"/>
    <n v="0.44905458909281842"/>
  </r>
  <r>
    <s v="OZA0397"/>
    <n v="0"/>
    <s v="OZON_AV"/>
    <s v="Доставлен"/>
    <d v="2024-12-11T00:00:00"/>
    <x v="30"/>
    <s v="Витамины"/>
    <s v="NOW-02313"/>
    <x v="3"/>
    <x v="87"/>
    <n v="2105"/>
    <n v="0"/>
    <n v="0"/>
    <n v="0"/>
    <n v="0"/>
    <n v="2105"/>
    <n v="2900"/>
    <x v="493"/>
    <s v="&lt;Клиент не выбран&gt;"/>
    <s v="2025 02"/>
    <n v="795"/>
    <n v="0.37767220902612825"/>
  </r>
  <r>
    <s v="OZA0397"/>
    <n v="0"/>
    <s v="OZON_AV"/>
    <s v="Доставлен"/>
    <d v="2024-12-11T00:00:00"/>
    <x v="30"/>
    <s v="Витамины"/>
    <s v="NOW-02313"/>
    <x v="3"/>
    <x v="87"/>
    <n v="2105"/>
    <n v="0"/>
    <n v="0"/>
    <n v="0"/>
    <n v="0"/>
    <n v="2105"/>
    <n v="2900"/>
    <x v="686"/>
    <s v="&lt;Клиент не выбран&gt;"/>
    <s v="2025 04"/>
    <n v="795"/>
    <n v="0.37767220902612825"/>
  </r>
  <r>
    <s v="4495369453"/>
    <s v="1495467476"/>
    <s v="essens_OA"/>
    <s v="Доставлен"/>
    <d v="2024-12-10T00:00:00"/>
    <x v="30"/>
    <s v="Парфюм"/>
    <s v="w11750"/>
    <x v="232"/>
    <x v="1483"/>
    <n v="1265"/>
    <n v="0"/>
    <n v="0"/>
    <n v="-210.83333333333334"/>
    <n v="102.83333333333333"/>
    <n v="1157"/>
    <m/>
    <x v="20"/>
    <m/>
    <s v=""/>
    <n v="-1157"/>
    <s v=""/>
  </r>
  <r>
    <s v="4495369453"/>
    <s v="1495467476"/>
    <s v="essens_OA"/>
    <s v="Доставлен"/>
    <d v="2024-12-10T00:00:00"/>
    <x v="30"/>
    <s v="Парфюм"/>
    <s v="m00350"/>
    <x v="232"/>
    <x v="1037"/>
    <n v="1265"/>
    <n v="0"/>
    <n v="0"/>
    <n v="-210.83333333333334"/>
    <n v="102.83333333333333"/>
    <n v="1157"/>
    <n v="2200"/>
    <x v="338"/>
    <s v="&lt;Клиент не выбран&gt;"/>
    <s v="2024 12"/>
    <n v="1043"/>
    <n v="0.90146931719965429"/>
  </r>
  <r>
    <s v="4495369453"/>
    <s v="1495467476"/>
    <s v="essens_OA"/>
    <s v="Доставлен"/>
    <d v="2024-12-10T00:00:00"/>
    <x v="30"/>
    <s v="Парфюм"/>
    <s v="w12750"/>
    <x v="232"/>
    <x v="1060"/>
    <n v="1265"/>
    <n v="0"/>
    <n v="0"/>
    <n v="-210.83333333333334"/>
    <n v="102.83333333333333"/>
    <n v="1157"/>
    <n v="2200"/>
    <x v="338"/>
    <s v="&lt;Клиент не выбран&gt;"/>
    <s v="2024 12"/>
    <n v="1043"/>
    <n v="0.90146931719965429"/>
  </r>
  <r>
    <s v="4495369453"/>
    <s v="1495467476"/>
    <s v="essens_OA"/>
    <s v="Доставлен"/>
    <d v="2024-12-10T00:00:00"/>
    <x v="30"/>
    <s v="Парфюм"/>
    <s v="w13050"/>
    <x v="232"/>
    <x v="1046"/>
    <n v="1265"/>
    <n v="0"/>
    <n v="0"/>
    <n v="-210.83333333333334"/>
    <n v="102.83333333333333"/>
    <n v="1157"/>
    <m/>
    <x v="20"/>
    <m/>
    <s v=""/>
    <n v="-1157"/>
    <s v=""/>
  </r>
  <r>
    <s v="4495369453"/>
    <s v="1495467476"/>
    <s v="essens_OA"/>
    <s v="Доставлен"/>
    <d v="2024-12-10T00:00:00"/>
    <x v="30"/>
    <s v="Парфюм"/>
    <s v="w15350"/>
    <x v="232"/>
    <x v="1063"/>
    <n v="1265"/>
    <n v="0"/>
    <n v="0"/>
    <n v="-210.83333333333334"/>
    <n v="102.83333333333333"/>
    <n v="1157"/>
    <m/>
    <x v="20"/>
    <m/>
    <s v=""/>
    <n v="-1157"/>
    <s v=""/>
  </r>
  <r>
    <s v="4495369453"/>
    <s v="1495467476"/>
    <s v="essens_OA"/>
    <s v="Доставлен"/>
    <d v="2024-12-10T00:00:00"/>
    <x v="30"/>
    <s v="Парфюм"/>
    <s v="w15850"/>
    <x v="232"/>
    <x v="1484"/>
    <n v="1265"/>
    <n v="0"/>
    <n v="0"/>
    <n v="-210.83333333333334"/>
    <n v="102.83333333333333"/>
    <n v="1157"/>
    <m/>
    <x v="20"/>
    <m/>
    <s v=""/>
    <n v="-1157"/>
    <s v=""/>
  </r>
  <r>
    <s v="38129734337"/>
    <n v="0"/>
    <s v="YAMARKET"/>
    <s v="Доставлен"/>
    <d v="2024-11-29T00:00:00"/>
    <x v="29"/>
    <s v="Витамины"/>
    <s v="MLI-00952"/>
    <x v="1"/>
    <x v="7"/>
    <n v="765"/>
    <n v="0"/>
    <n v="0"/>
    <n v="10"/>
    <n v="0"/>
    <n v="775"/>
    <n v="1300"/>
    <x v="338"/>
    <s v="&lt;Клиент не выбран&gt;"/>
    <s v="2024 12"/>
    <n v="525"/>
    <n v="0.67741935483870963"/>
  </r>
  <r>
    <s v="38129734337"/>
    <n v="0"/>
    <s v="YAMARKET"/>
    <s v="Доставлен"/>
    <d v="2024-11-29T00:00:00"/>
    <x v="29"/>
    <s v="Витамины"/>
    <s v="MLI-00952"/>
    <x v="1"/>
    <x v="7"/>
    <n v="765"/>
    <n v="0"/>
    <n v="0"/>
    <n v="10"/>
    <n v="0"/>
    <n v="775"/>
    <n v="1900"/>
    <x v="780"/>
    <s v="&lt;Клиент не выбран&gt;"/>
    <s v="2025 01"/>
    <n v="1125"/>
    <n v="1.4516129032258065"/>
  </r>
  <r>
    <s v="532082224"/>
    <s v="720000539796"/>
    <s v="iHerb_OA CZN6870"/>
    <s v="Доставлен"/>
    <d v="2025-01-02T00:00:00"/>
    <x v="31"/>
    <s v="Витамины"/>
    <s v="NFS-01380"/>
    <x v="23"/>
    <x v="1472"/>
    <n v="11.97"/>
    <n v="-2.3933333333333331"/>
    <n v="-0.58748952007034327"/>
    <n v="-3.3394912865693598E-15"/>
    <n v="0.43073209568917464"/>
    <n v="1151.6884097771772"/>
    <n v="1800"/>
    <x v="719"/>
    <s v="&lt;Клиент не выбран&gt;"/>
    <s v="2025 02"/>
    <n v="648.31159022282282"/>
    <n v="0.56292273562799411"/>
  </r>
  <r>
    <s v="532082224"/>
    <s v="720000539796"/>
    <s v="iHerb_OA CZN6870"/>
    <s v="Доставлен"/>
    <d v="2025-01-02T00:00:00"/>
    <x v="31"/>
    <s v="Витамины"/>
    <s v="NFS-01380"/>
    <x v="23"/>
    <x v="1472"/>
    <n v="11.97"/>
    <n v="-2.3933333333333331"/>
    <n v="-0.58748952007034327"/>
    <n v="-3.3394912865693598E-15"/>
    <n v="0.43073209568917464"/>
    <n v="1151.6884097771772"/>
    <m/>
    <x v="20"/>
    <m/>
    <s v=""/>
    <n v="-1151.6884097771772"/>
    <s v=""/>
  </r>
  <r>
    <s v="532082224"/>
    <s v="720000539796"/>
    <s v="iHerb_OA CZN6870"/>
    <s v="Доставлен"/>
    <d v="2025-01-02T00:00:00"/>
    <x v="31"/>
    <s v="Витамины"/>
    <s v="NFS-01380"/>
    <x v="23"/>
    <x v="1472"/>
    <n v="11.97"/>
    <n v="-2.3933333333333331"/>
    <n v="-0.58748952007034327"/>
    <n v="-3.3394912865693598E-15"/>
    <n v="0.43073209568917464"/>
    <n v="1151.6884097771772"/>
    <m/>
    <x v="20"/>
    <m/>
    <s v=""/>
    <n v="-1151.6884097771772"/>
    <s v=""/>
  </r>
  <r>
    <s v="532082224"/>
    <s v="720000539796"/>
    <s v="iHerb_OA CZN6870"/>
    <s v="Доставлен"/>
    <d v="2025-01-02T00:00:00"/>
    <x v="31"/>
    <s v="Витамины"/>
    <s v="NOW-01292"/>
    <x v="3"/>
    <x v="1014"/>
    <n v="30.55"/>
    <n v="-6.1099999999999994"/>
    <n v="-1.4992945218084777"/>
    <n v="-8.5225026498874156E-15"/>
    <n v="1.0992439003108347"/>
    <n v="2939.1505118295386"/>
    <n v="4000"/>
    <x v="651"/>
    <s v="&lt;Клиент не выбран&gt;"/>
    <s v="2025 02"/>
    <n v="1060.8494881704614"/>
    <n v="0.36093744906929331"/>
  </r>
  <r>
    <s v="532082224"/>
    <s v="720000539796"/>
    <s v="iHerb_OA CZN6870"/>
    <s v="Доставлен"/>
    <d v="2025-01-02T00:00:00"/>
    <x v="31"/>
    <s v="Витамины"/>
    <s v="NOW-01292"/>
    <x v="3"/>
    <x v="1014"/>
    <n v="30.55"/>
    <n v="-6.1099999999999994"/>
    <n v="-1.4992945218084777"/>
    <n v="-8.5225026498874156E-15"/>
    <n v="1.0992439003108347"/>
    <n v="2939.1505118295386"/>
    <n v="3900"/>
    <x v="736"/>
    <s v="Анна соседка"/>
    <s v="2025 04"/>
    <n v="960.84948817046143"/>
    <n v="0.326914012842561"/>
  </r>
  <r>
    <s v="532082224"/>
    <s v="720000539796"/>
    <s v="iHerb_OA CZN6870"/>
    <s v="Доставлен"/>
    <d v="2025-01-02T00:00:00"/>
    <x v="31"/>
    <s v="Витамины"/>
    <s v="NOW-01292"/>
    <x v="3"/>
    <x v="1014"/>
    <n v="30.55"/>
    <n v="-6.1099999999999994"/>
    <n v="-1.4992945218084777"/>
    <n v="-8.5225026498874156E-15"/>
    <n v="1.0992439003108347"/>
    <n v="2939.1505118295386"/>
    <n v="3600"/>
    <x v="628"/>
    <m/>
    <s v="2025 08"/>
    <n v="660.84948817046143"/>
    <n v="0.22484370416236396"/>
  </r>
  <r>
    <s v="532082224"/>
    <s v="720000539796"/>
    <s v="iHerb_OA CZN6870"/>
    <s v="Доставлен"/>
    <d v="2025-01-02T00:00:00"/>
    <x v="31"/>
    <s v="Витамины"/>
    <s v="NOW-00372"/>
    <x v="3"/>
    <x v="13"/>
    <n v="8.3699999999999992"/>
    <n v="-1.67"/>
    <n v="-0.41101772897368249"/>
    <n v="-2.3363652927269097E-15"/>
    <n v="0.30134755041254474"/>
    <n v="805.74093409402212"/>
    <n v="1100"/>
    <x v="464"/>
    <s v="&lt;Клиент не выбран&gt;"/>
    <s v="2025 05"/>
    <n v="294.25906590597788"/>
    <n v="0.36520307390966028"/>
  </r>
  <r>
    <s v="532082224"/>
    <s v="720000539796"/>
    <s v="iHerb_OA CZN6870"/>
    <s v="Доставлен"/>
    <d v="2025-01-02T00:00:00"/>
    <x v="31"/>
    <s v="Витамины"/>
    <s v="NOW-00367"/>
    <x v="3"/>
    <x v="365"/>
    <n v="5.87"/>
    <n v="-1.17"/>
    <n v="-0.28832586957855338"/>
    <n v="-1.6389428172860414E-15"/>
    <n v="0.21139305775208361"/>
    <n v="565.22125227491108"/>
    <n v="1000"/>
    <x v="749"/>
    <s v="Марина 50 Лет СССР 16"/>
    <s v="2025 04"/>
    <n v="434.77874772508892"/>
    <n v="0.76921868379008185"/>
  </r>
  <r>
    <s v="532082224"/>
    <s v="720000539796"/>
    <s v="iHerb_OA CZN6870"/>
    <s v="Доставлен"/>
    <d v="2025-01-02T00:00:00"/>
    <x v="31"/>
    <s v="Витамины"/>
    <s v="NOW-00373"/>
    <x v="3"/>
    <x v="239"/>
    <n v="14.8"/>
    <n v="-2.96"/>
    <n v="-0.72633580761916428"/>
    <n v="-4.1287410546099421E-15"/>
    <n v="0.53253059654992985"/>
    <n v="1423.8765163691378"/>
    <n v="1900"/>
    <x v="674"/>
    <s v="&lt;Клиент не выбран&gt;"/>
    <s v="2025 05"/>
    <n v="476.12348363086221"/>
    <n v="0.33438537552748565"/>
  </r>
  <r>
    <s v="532082224"/>
    <s v="720000539796"/>
    <s v="iHerb_OA CZN6870"/>
    <s v="Доставлен"/>
    <d v="2025-01-02T00:00:00"/>
    <x v="31"/>
    <s v="Косметика"/>
    <s v="SYI-02373"/>
    <x v="24"/>
    <x v="1485"/>
    <n v="17.86"/>
    <n v="-13.27"/>
    <n v="-0.28157781731182124"/>
    <n v="-1.6005845811367936E-15"/>
    <n v="0.20644556065575823"/>
    <n v="551.99266977485991"/>
    <m/>
    <x v="20"/>
    <m/>
    <s v=""/>
    <n v="-551.99266977485991"/>
    <s v=""/>
  </r>
  <r>
    <s v="532082224"/>
    <s v="720000539796"/>
    <s v="iHerb_OA CZN6870"/>
    <s v="Доставлен"/>
    <d v="2025-01-02T00:00:00"/>
    <x v="31"/>
    <s v="Косметика"/>
    <s v="MLI-01689"/>
    <x v="267"/>
    <x v="1292"/>
    <n v="10.99"/>
    <n v="-8.24"/>
    <n v="-0.16870130666830252"/>
    <n v="-9.589559037311944E-16"/>
    <n v="0.12368742740813404"/>
    <n v="330.71456250127778"/>
    <m/>
    <x v="20"/>
    <m/>
    <s v=""/>
    <n v="-330.71456250127778"/>
    <s v=""/>
  </r>
  <r>
    <s v="532082224"/>
    <s v="720000539796"/>
    <s v="iHerb_OA CZN6870"/>
    <s v="Доставлен"/>
    <d v="2025-01-02T00:00:00"/>
    <x v="31"/>
    <s v="Витамины"/>
    <s v="NMD-00099"/>
    <x v="293"/>
    <x v="1486"/>
    <n v="14.22"/>
    <n v="-2.84"/>
    <n v="-0.69811667995828464"/>
    <n v="-3.9683338852585425E-15"/>
    <n v="0.51184106323802381"/>
    <n v="1368.5569895507424"/>
    <m/>
    <x v="20"/>
    <m/>
    <s v=""/>
    <n v="-1368.5569895507424"/>
    <s v=""/>
  </r>
  <r>
    <s v="532082224"/>
    <s v="720000539796"/>
    <s v="iHerb_OA CZN6870"/>
    <s v="Доставлен"/>
    <d v="2025-01-02T00:00:00"/>
    <x v="31"/>
    <s v="Витамины"/>
    <s v="SPN-02434"/>
    <x v="45"/>
    <x v="1487"/>
    <n v="38.01"/>
    <n v="-19.010000000000002"/>
    <n v="-1.1655726642537263"/>
    <n v="-6.6255135166882507E-15"/>
    <n v="0.85456768027438046"/>
    <n v="2284.9369772815553"/>
    <m/>
    <x v="20"/>
    <m/>
    <s v=""/>
    <n v="-2284.9369772815553"/>
    <s v=""/>
  </r>
  <r>
    <s v="532395192"/>
    <s v="720000549498"/>
    <s v="iHerb_OA CZN6870"/>
    <s v="Доставлен"/>
    <d v="2025-01-13T00:00:00"/>
    <x v="31"/>
    <s v="Витамины"/>
    <s v="CEN-22673"/>
    <x v="2"/>
    <x v="3"/>
    <n v="11.04"/>
    <n v="-2.21"/>
    <n v="-0.72628318111413748"/>
    <n v="0"/>
    <n v="0.4677193105512969"/>
    <n v="1006.8841029749503"/>
    <n v="1700"/>
    <x v="654"/>
    <s v="&lt;Клиент не выбран&gt;"/>
    <s v="2025 02"/>
    <n v="693.11589702504966"/>
    <n v="0.68837703860569666"/>
  </r>
  <r>
    <s v="532395192"/>
    <s v="720000549498"/>
    <s v="iHerb_OA CZN6870"/>
    <s v="Доставлен"/>
    <d v="2025-01-13T00:00:00"/>
    <x v="31"/>
    <s v="Витамины"/>
    <s v="CLF-07210"/>
    <x v="72"/>
    <x v="202"/>
    <n v="20.329999999999998"/>
    <n v="-4.0650000000000004"/>
    <n v="-1.3378251348608661"/>
    <n v="0"/>
    <n v="0.86154638574369669"/>
    <n v="1854.6964818672216"/>
    <n v="2900"/>
    <x v="654"/>
    <s v="&lt;Клиент не выбран&gt;"/>
    <s v="2025 02"/>
    <n v="1045.3035181327784"/>
    <n v="0.56359815654603274"/>
  </r>
  <r>
    <s v="532395192"/>
    <s v="720000549498"/>
    <s v="iHerb_OA CZN6870"/>
    <s v="Доставлен"/>
    <d v="2025-01-13T00:00:00"/>
    <x v="31"/>
    <s v="Витамины"/>
    <s v="CLF-07210"/>
    <x v="72"/>
    <x v="202"/>
    <n v="20.329999999999998"/>
    <n v="-4.0650000000000004"/>
    <n v="-1.3378251348608661"/>
    <n v="0"/>
    <n v="0.86154638574369669"/>
    <n v="1854.6964818672216"/>
    <n v="2900"/>
    <x v="654"/>
    <s v="&lt;Клиент не выбран&gt;"/>
    <s v="2025 02"/>
    <n v="1045.3035181327784"/>
    <n v="0.56359815654603274"/>
  </r>
  <r>
    <s v="532395192"/>
    <s v="720000549498"/>
    <s v="iHerb_OA CZN6870"/>
    <s v="Доставлен"/>
    <d v="2025-01-13T00:00:00"/>
    <x v="31"/>
    <s v="Витамины"/>
    <s v="LEX-19456"/>
    <x v="7"/>
    <x v="558"/>
    <n v="10.76"/>
    <n v="-2.15"/>
    <n v="-0.70818779041820212"/>
    <n v="0"/>
    <n v="0.45606605479577195"/>
    <n v="981.79752283287905"/>
    <n v="1600"/>
    <x v="169"/>
    <s v="&lt;Клиент не выбран&gt;"/>
    <s v="2025 04"/>
    <n v="618.20247716712095"/>
    <n v="0.62966392029932938"/>
  </r>
  <r>
    <s v="532395192"/>
    <s v="720000549498"/>
    <s v="iHerb_OA CZN6870"/>
    <s v="Доставлен"/>
    <d v="2025-01-13T00:00:00"/>
    <x v="31"/>
    <s v="Витамины"/>
    <s v="LEX-19456"/>
    <x v="7"/>
    <x v="558"/>
    <n v="10.76"/>
    <n v="-2.15"/>
    <n v="-0.70818779041820212"/>
    <n v="0"/>
    <n v="0.45606605479577195"/>
    <n v="981.79752283287905"/>
    <n v="1450"/>
    <x v="169"/>
    <s v="&lt;Клиент не выбран&gt;"/>
    <s v="2025 04"/>
    <n v="468.20247716712095"/>
    <n v="0.47688292777126723"/>
  </r>
  <r>
    <s v="532395192"/>
    <s v="720000549498"/>
    <s v="iHerb_OA CZN6870"/>
    <s v="Доставлен"/>
    <d v="2025-01-13T00:00:00"/>
    <x v="31"/>
    <s v="Витамины"/>
    <s v="BRM-03391"/>
    <x v="126"/>
    <x v="442"/>
    <n v="6.72"/>
    <n v="0"/>
    <n v="-0.55273193398493825"/>
    <n v="0"/>
    <n v="0.35595399398694394"/>
    <n v="766.28099343053987"/>
    <n v="1300"/>
    <x v="394"/>
    <s v="&lt;Клиент не выбран&gt;"/>
    <s v="2025 02"/>
    <n v="533.71900656946013"/>
    <n v="0.69650560453035626"/>
  </r>
  <r>
    <s v="532395192"/>
    <s v="720000549498"/>
    <s v="iHerb_OA CZN6870"/>
    <s v="Доставлен"/>
    <d v="2025-01-13T00:00:00"/>
    <x v="31"/>
    <s v="Витамины"/>
    <s v="BRM-03391"/>
    <x v="126"/>
    <x v="442"/>
    <n v="6.72"/>
    <n v="0"/>
    <n v="-0.55273193398493825"/>
    <n v="0"/>
    <n v="0.35595399398694394"/>
    <n v="766.28099343053987"/>
    <n v="1300"/>
    <x v="394"/>
    <s v="&lt;Клиент не выбран&gt;"/>
    <s v="2025 02"/>
    <n v="533.71900656946013"/>
    <n v="0.69650560453035626"/>
  </r>
  <r>
    <s v="532395192"/>
    <s v="720000549498"/>
    <s v="iHerb_OA CZN6870"/>
    <s v="Доставлен"/>
    <d v="2025-01-13T00:00:00"/>
    <x v="31"/>
    <s v="Витамины"/>
    <s v="BRM-03391"/>
    <x v="126"/>
    <x v="442"/>
    <n v="6.72"/>
    <n v="0"/>
    <n v="-0.55273193398493825"/>
    <n v="0"/>
    <n v="0.35595399398694394"/>
    <n v="766.28099343053987"/>
    <n v="1300"/>
    <x v="394"/>
    <s v="&lt;Клиент не выбран&gt;"/>
    <s v="2025 02"/>
    <n v="533.71900656946013"/>
    <n v="0.69650560453035626"/>
  </r>
  <r>
    <s v="532395192"/>
    <s v="720000549498"/>
    <s v="iHerb_OA CZN6870"/>
    <s v="Доставлен"/>
    <d v="2025-01-13T00:00:00"/>
    <x v="31"/>
    <s v="Витамины"/>
    <s v="NAP-29950"/>
    <x v="11"/>
    <x v="350"/>
    <n v="10.75"/>
    <n v="-2.15"/>
    <n v="-0.70736527265929594"/>
    <n v="0"/>
    <n v="0.45553636135233905"/>
    <n v="980.65722373551239"/>
    <n v="1700"/>
    <x v="493"/>
    <s v="&lt;Клиент не выбран&gt;"/>
    <s v="2025 02"/>
    <n v="719.34277626448761"/>
    <n v="0.73353130824282553"/>
  </r>
  <r>
    <s v="532395192"/>
    <s v="720000549498"/>
    <s v="iHerb_OA CZN6870"/>
    <s v="Доставлен"/>
    <d v="2025-01-13T00:00:00"/>
    <x v="31"/>
    <s v="Витамины"/>
    <s v="DRB-00294"/>
    <x v="6"/>
    <x v="867"/>
    <n v="27.38"/>
    <n v="-5.48"/>
    <n v="-1.8013138920044862"/>
    <n v="0"/>
    <n v="1.1600286411181657"/>
    <n v="2497.2550232334561"/>
    <n v="3600"/>
    <x v="493"/>
    <s v="&lt;Клиент не выбран&gt;"/>
    <s v="2025 02"/>
    <n v="1102.7449767665439"/>
    <n v="0.44158284456615293"/>
  </r>
  <r>
    <s v="532395192"/>
    <s v="720000549498"/>
    <s v="iHerb_OA CZN6870"/>
    <s v="Доставлен"/>
    <d v="2025-01-13T00:00:00"/>
    <x v="31"/>
    <s v="Витамины"/>
    <s v="CEN-27847"/>
    <x v="2"/>
    <x v="1084"/>
    <n v="11.52"/>
    <n v="-2.3050000000000002"/>
    <n v="-0.75795011483202468"/>
    <n v="0"/>
    <n v="0.48811250812346563"/>
    <n v="1050.7856182235753"/>
    <n v="1800"/>
    <x v="493"/>
    <s v="&lt;Клиент не выбран&gt;"/>
    <s v="2025 02"/>
    <n v="749.21438177642472"/>
    <n v="0.71300403125332334"/>
  </r>
  <r>
    <s v="532395192"/>
    <s v="720000549498"/>
    <s v="iHerb_OA CZN6870"/>
    <s v="Доставлен"/>
    <d v="2025-01-13T00:00:00"/>
    <x v="31"/>
    <s v="Витамины"/>
    <s v="CEN-27847"/>
    <x v="2"/>
    <x v="1084"/>
    <n v="11.52"/>
    <n v="-2.3050000000000002"/>
    <n v="-0.75795011483202468"/>
    <n v="0"/>
    <n v="0.48811250812346563"/>
    <n v="1050.7856182235753"/>
    <m/>
    <x v="20"/>
    <m/>
    <s v=""/>
    <n v="-1050.7856182235753"/>
    <s v=""/>
  </r>
  <r>
    <s v="532395192"/>
    <s v="720000549498"/>
    <s v="iHerb_OA CZN6870"/>
    <s v="Доставлен"/>
    <d v="2025-01-13T00:00:00"/>
    <x v="31"/>
    <s v="Витамины"/>
    <s v="CEN-22380"/>
    <x v="2"/>
    <x v="158"/>
    <n v="8.8699999999999992"/>
    <n v="-1.77"/>
    <n v="-0.58398760882337231"/>
    <n v="0"/>
    <n v="0.37608234483739622"/>
    <n v="809.61235913048108"/>
    <n v="1800"/>
    <x v="399"/>
    <s v="&lt;Клиент не выбран&gt;"/>
    <s v="2025 03"/>
    <n v="990.38764086951892"/>
    <n v="1.2232862180280812"/>
  </r>
  <r>
    <s v="532395192"/>
    <s v="720000549498"/>
    <s v="iHerb_OA CZN6870"/>
    <s v="Доставлен"/>
    <d v="2025-01-13T00:00:00"/>
    <x v="31"/>
    <s v="Витамины"/>
    <s v="PMF-02111"/>
    <x v="220"/>
    <x v="1488"/>
    <n v="17.5"/>
    <n v="-3.5"/>
    <n v="-1.1515248624686214"/>
    <n v="0"/>
    <n v="0.74157082080613335"/>
    <n v="1596.418736313625"/>
    <n v="2300"/>
    <x v="399"/>
    <s v="&lt;Клиент не выбран&gt;"/>
    <s v="2025 03"/>
    <n v="703.581263686375"/>
    <n v="0.44072475953962537"/>
  </r>
  <r>
    <s v="532395192"/>
    <s v="720000549498"/>
    <s v="iHerb_OA CZN6870"/>
    <s v="Доставлен"/>
    <d v="2025-01-13T00:00:00"/>
    <x v="31"/>
    <s v="Витамины"/>
    <s v="SOR-20055"/>
    <x v="10"/>
    <x v="1489"/>
    <n v="23.06"/>
    <n v="-4.6100000000000003"/>
    <n v="-1.5175452651818617"/>
    <n v="0"/>
    <n v="0.97728440313379705"/>
    <n v="2103.8518346418841"/>
    <n v="2900"/>
    <x v="781"/>
    <s v="&lt;Клиент не выбран&gt;"/>
    <s v="2025 03"/>
    <n v="796.14816535811588"/>
    <n v="0.37842406591984912"/>
  </r>
  <r>
    <s v="532395192"/>
    <s v="720000549498"/>
    <s v="iHerb_OA CZN6870"/>
    <s v="Доставлен"/>
    <d v="2025-01-13T00:00:00"/>
    <x v="31"/>
    <s v="Витамины"/>
    <s v="CAR-01543"/>
    <x v="154"/>
    <x v="794"/>
    <n v="25.01"/>
    <n v="-5"/>
    <n v="-1.6458580355712227"/>
    <n v="0"/>
    <n v="1.0599165803093378"/>
    <n v="2281.7384938311166"/>
    <n v="3000"/>
    <x v="480"/>
    <s v="&lt;Клиент не выбран&gt;"/>
    <s v="2025 02"/>
    <n v="718.26150616888344"/>
    <n v="0.31478695219051939"/>
  </r>
  <r>
    <s v="531998441"/>
    <s v="720000537389"/>
    <s v="iHerb_MH DLE7202"/>
    <s v="Доставлен"/>
    <d v="2024-12-30T00:00:00"/>
    <x v="30"/>
    <s v="Витамины"/>
    <s v="NOW-00376"/>
    <x v="3"/>
    <x v="766"/>
    <n v="10.87"/>
    <n v="-2.1749999999999998"/>
    <n v="-0.27641199533750133"/>
    <n v="0"/>
    <n v="0.35402623981685793"/>
    <n v="1023.2802779838225"/>
    <n v="1700"/>
    <x v="493"/>
    <s v="&lt;Клиент не выбран&gt;"/>
    <s v="2025 02"/>
    <n v="676.71972201617746"/>
    <n v="0.66132391738217"/>
  </r>
  <r>
    <s v="531998441"/>
    <s v="720000537389"/>
    <s v="iHerb_MH DLE7202"/>
    <s v="Доставлен"/>
    <d v="2024-12-30T00:00:00"/>
    <x v="30"/>
    <s v="Витамины"/>
    <s v="NOW-00376"/>
    <x v="3"/>
    <x v="766"/>
    <n v="10.87"/>
    <n v="-2.1749999999999998"/>
    <n v="-0.27641199533750133"/>
    <n v="0"/>
    <n v="0.35402623981685793"/>
    <n v="1023.2802779838225"/>
    <n v="1600"/>
    <x v="678"/>
    <m/>
    <s v="2025 08"/>
    <n v="576.71972201617746"/>
    <n v="0.56359898106557182"/>
  </r>
  <r>
    <s v="531998441"/>
    <s v="720000537389"/>
    <s v="iHerb_MH DLE7202"/>
    <s v="Доставлен"/>
    <d v="2024-12-30T00:00:00"/>
    <x v="30"/>
    <s v="Витамины"/>
    <s v="SOR-38584"/>
    <x v="10"/>
    <x v="626"/>
    <n v="14.6"/>
    <n v="-2.92"/>
    <n v="-0.37130443997032953"/>
    <n v="0"/>
    <n v="0.4755637126004485"/>
    <n v="1374.5731623750487"/>
    <n v="1800"/>
    <x v="654"/>
    <s v="&lt;Клиент не выбран&gt;"/>
    <s v="2025 02"/>
    <n v="425.4268376249513"/>
    <n v="0.30949741292044425"/>
  </r>
  <r>
    <s v="531998441"/>
    <s v="720000537389"/>
    <s v="iHerb_MH DLE7202"/>
    <s v="Доставлен"/>
    <d v="2024-12-30T00:00:00"/>
    <x v="30"/>
    <s v="Витамины"/>
    <s v="SOR-38584"/>
    <x v="10"/>
    <x v="626"/>
    <n v="14.6"/>
    <n v="-2.92"/>
    <n v="-0.37130443997032953"/>
    <n v="0"/>
    <n v="0.4755637126004485"/>
    <n v="1374.5731623750487"/>
    <n v="2000"/>
    <x v="595"/>
    <s v="&lt;Клиент не выбран&gt;"/>
    <s v="2025 04"/>
    <n v="625.4268376249513"/>
    <n v="0.45499712546716026"/>
  </r>
  <r>
    <s v="531998441"/>
    <s v="720000537389"/>
    <s v="iHerb_MH DLE7202"/>
    <s v="Доставлен"/>
    <d v="2024-12-30T00:00:00"/>
    <x v="30"/>
    <s v="Витамины"/>
    <s v="SOR-57445"/>
    <x v="10"/>
    <x v="604"/>
    <n v="25.29"/>
    <n v="-5.0599999999999996"/>
    <n v="-0.64310691957189781"/>
    <n v="0"/>
    <n v="0.82368612208108516"/>
    <n v="2380.7889618876056"/>
    <n v="3000"/>
    <x v="702"/>
    <s v="&lt;Клиент не выбран&gt;"/>
    <s v="2025 05"/>
    <n v="619.21103811239436"/>
    <n v="0.26008648730522238"/>
  </r>
  <r>
    <s v="531998441"/>
    <s v="720000537389"/>
    <s v="iHerb_MH DLE7202"/>
    <s v="Доставлен"/>
    <d v="2024-12-30T00:00:00"/>
    <x v="30"/>
    <s v="Витамины"/>
    <s v="SOR-57445"/>
    <x v="10"/>
    <x v="604"/>
    <n v="25.29"/>
    <n v="-5.0599999999999996"/>
    <n v="-0.64310691957189781"/>
    <n v="0"/>
    <n v="0.82368612208108516"/>
    <n v="2380.7889618876056"/>
    <n v="3200"/>
    <x v="782"/>
    <m/>
    <s v="2025 07"/>
    <n v="819.21103811239436"/>
    <n v="0.34409225312557057"/>
  </r>
  <r>
    <s v="531998441"/>
    <s v="720000537389"/>
    <s v="iHerb_MH DLE7202"/>
    <s v="Доставлен"/>
    <d v="2024-12-30T00:00:00"/>
    <x v="30"/>
    <s v="Витамины"/>
    <s v="NOW-01435"/>
    <x v="3"/>
    <x v="1422"/>
    <n v="19.920000000000002"/>
    <n v="-3.98"/>
    <n v="-0.50672883331567242"/>
    <n v="0"/>
    <n v="0.64901417627150271"/>
    <n v="1875.9157712549893"/>
    <n v="2700"/>
    <x v="682"/>
    <s v="&lt;Клиент не выбран&gt;"/>
    <s v="2025 03"/>
    <n v="824.08422874501071"/>
    <n v="0.43929703101418976"/>
  </r>
  <r>
    <s v="531998441"/>
    <s v="720000537389"/>
    <s v="iHerb_MH DLE7202"/>
    <s v="Доставлен"/>
    <d v="2024-12-30T00:00:00"/>
    <x v="30"/>
    <s v="Витамины"/>
    <s v="NOW-03168"/>
    <x v="3"/>
    <x v="531"/>
    <n v="21.92"/>
    <n v="-4.38"/>
    <n v="-0.55759245522941614"/>
    <n v="0"/>
    <n v="0.71415989032635863"/>
    <n v="2064.2134647310236"/>
    <n v="2900"/>
    <x v="662"/>
    <s v="&lt;Клиент не выбран&gt;"/>
    <s v="2025 02"/>
    <n v="835.78653526897642"/>
    <n v="0.40489346162553164"/>
  </r>
  <r>
    <s v="531998441"/>
    <s v="720000537389"/>
    <s v="iHerb_MH DLE7202"/>
    <s v="Доставлен"/>
    <d v="2024-12-30T00:00:00"/>
    <x v="30"/>
    <s v="Витамины"/>
    <s v="EVL-02760"/>
    <x v="125"/>
    <x v="771"/>
    <n v="16"/>
    <n v="-3.2"/>
    <n v="-0.40690897530995024"/>
    <n v="0"/>
    <n v="0.52116571243884768"/>
    <n v="1506.3815478082724"/>
    <n v="2300"/>
    <x v="662"/>
    <s v="&lt;Клиент не выбран&gt;"/>
    <s v="2025 02"/>
    <n v="793.61845219172756"/>
    <n v="0.52683760853710138"/>
  </r>
  <r>
    <s v="531998441"/>
    <s v="720000537389"/>
    <s v="iHerb_MH DLE7202"/>
    <s v="Доставлен"/>
    <d v="2024-12-30T00:00:00"/>
    <x v="30"/>
    <s v="Витамины"/>
    <s v="DRB-00091"/>
    <x v="6"/>
    <x v="16"/>
    <n v="12.96"/>
    <n v="-2.59"/>
    <n v="-0.32965984952845184"/>
    <n v="0"/>
    <n v="0.42222565921803529"/>
    <n v="1220.4044258415458"/>
    <n v="1800"/>
    <x v="783"/>
    <m/>
    <s v="2025 10"/>
    <n v="579.59557415845416"/>
    <n v="0.47492090481299792"/>
  </r>
  <r>
    <s v="531998441"/>
    <s v="720000537389"/>
    <s v="iHerb_MH DLE7202"/>
    <s v="Доставлен"/>
    <d v="2024-12-30T00:00:00"/>
    <x v="30"/>
    <s v="Косметика"/>
    <s v="LOE-38245"/>
    <x v="190"/>
    <x v="1490"/>
    <n v="21.5"/>
    <n v="-4.3"/>
    <n v="-0.54678393557274552"/>
    <n v="0"/>
    <n v="0.70031642608970157"/>
    <n v="2024.2002048673662"/>
    <m/>
    <x v="20"/>
    <m/>
    <s v=""/>
    <n v="-2024.2002048673662"/>
    <s v=""/>
  </r>
  <r>
    <s v="531998441"/>
    <s v="720000537389"/>
    <s v="iHerb_MH DLE7202"/>
    <s v="Доставлен"/>
    <d v="2024-12-30T00:00:00"/>
    <x v="30"/>
    <s v="Витамины"/>
    <s v="NOW-02811"/>
    <x v="3"/>
    <x v="1021"/>
    <n v="20.6"/>
    <n v="-4.12"/>
    <n v="-0.52389530571156084"/>
    <n v="0"/>
    <n v="0.67100085476501636"/>
    <n v="1939.4662428031509"/>
    <n v="2800"/>
    <x v="545"/>
    <s v="&lt;Клиент не выбран&gt;"/>
    <s v="2025 02"/>
    <n v="860.53375719684914"/>
    <n v="0.44369617691984253"/>
  </r>
  <r>
    <s v="531998441"/>
    <s v="720000537389"/>
    <s v="iHerb_MH DLE7202"/>
    <s v="Доставлен"/>
    <d v="2024-12-30T00:00:00"/>
    <x v="30"/>
    <s v="Витамины"/>
    <s v="NOW-02313"/>
    <x v="3"/>
    <x v="87"/>
    <n v="21.5"/>
    <n v="-4.3"/>
    <n v="-0.54678393557274552"/>
    <n v="0"/>
    <n v="0.70031642608970157"/>
    <n v="2024.2002048673662"/>
    <n v="2900"/>
    <x v="565"/>
    <s v="&lt;Клиент не выбран&gt;"/>
    <s v="2025 06"/>
    <n v="875.79979513263379"/>
    <n v="0.43266461144836199"/>
  </r>
  <r>
    <s v="532249288"/>
    <s v="720000543584"/>
    <s v="iHerb_AV CYG0792"/>
    <s v="Доставлен"/>
    <d v="2025-01-08T00:00:00"/>
    <x v="31"/>
    <s v="Витамины"/>
    <s v="NWY-64600"/>
    <x v="16"/>
    <x v="347"/>
    <n v="11.59"/>
    <n v="-2.3199999999999998"/>
    <n v="0"/>
    <n v="0"/>
    <n v="0.5077945001683315"/>
    <n v="1223.306260368257"/>
    <n v="1900"/>
    <x v="394"/>
    <s v="&lt;Клиент не выбран&gt;"/>
    <s v="2025 02"/>
    <n v="676.69373963174303"/>
    <n v="0.55316788735147571"/>
  </r>
  <r>
    <s v="532249288"/>
    <s v="720000543584"/>
    <s v="iHerb_AV CYG0792"/>
    <s v="Доставлен"/>
    <d v="2025-01-08T00:00:00"/>
    <x v="31"/>
    <s v="Витамины"/>
    <s v="MGF-10275"/>
    <x v="92"/>
    <x v="308"/>
    <n v="16.649999999999999"/>
    <n v="-3.33"/>
    <n v="0"/>
    <n v="0"/>
    <n v="0.72964646626129182"/>
    <n v="1757.7604517912816"/>
    <n v="2150"/>
    <x v="746"/>
    <s v="Валентина Кострова"/>
    <s v="2025 11"/>
    <n v="392.23954820871836"/>
    <n v="0.22314732807249058"/>
  </r>
  <r>
    <s v="532249288"/>
    <s v="720000543584"/>
    <s v="iHerb_AV CYG0792"/>
    <s v="Доставлен"/>
    <d v="2025-01-08T00:00:00"/>
    <x v="31"/>
    <s v="Витамины"/>
    <s v="VBH-80049"/>
    <x v="263"/>
    <x v="1406"/>
    <n v="23.31"/>
    <n v="-4.66"/>
    <n v="0"/>
    <n v="0"/>
    <n v="1.0216146092922742"/>
    <n v="2461.1285605035587"/>
    <n v="3200"/>
    <x v="166"/>
    <s v="&lt;Клиент не выбран&gt;"/>
    <s v="2025 01"/>
    <n v="738.87143949644133"/>
    <n v="0.30021651503863933"/>
  </r>
  <r>
    <s v="532249288"/>
    <s v="720000543584"/>
    <s v="iHerb_AV CYG0792"/>
    <s v="Доставлен"/>
    <d v="2025-01-08T00:00:00"/>
    <x v="31"/>
    <s v="Витамины"/>
    <s v="VBH-80049"/>
    <x v="263"/>
    <x v="1406"/>
    <n v="23.31"/>
    <n v="-4.66"/>
    <n v="0"/>
    <n v="0"/>
    <n v="1.0216146092922742"/>
    <n v="2461.1285605035587"/>
    <m/>
    <x v="20"/>
    <m/>
    <s v=""/>
    <n v="-2461.1285605035587"/>
    <s v=""/>
  </r>
  <r>
    <s v="532249288"/>
    <s v="720000543584"/>
    <s v="iHerb_AV CYG0792"/>
    <s v="Доставлен"/>
    <d v="2025-01-08T00:00:00"/>
    <x v="31"/>
    <s v="Витамины"/>
    <s v="CGN-01175"/>
    <x v="1"/>
    <x v="1491"/>
    <n v="7.9"/>
    <n v="-1.98"/>
    <n v="0"/>
    <n v="0"/>
    <n v="0.32428731833835195"/>
    <n v="781.22686746279192"/>
    <n v="1300"/>
    <x v="394"/>
    <s v="&lt;Клиент не выбран&gt;"/>
    <s v="2025 02"/>
    <n v="518.77313253720808"/>
    <n v="0.66404927191257423"/>
  </r>
  <r>
    <s v="532249288"/>
    <s v="720000543584"/>
    <s v="iHerb_AV CYG0792"/>
    <s v="Доставлен"/>
    <d v="2025-01-08T00:00:00"/>
    <x v="31"/>
    <s v="Витамины"/>
    <s v="CAR-55940"/>
    <x v="154"/>
    <x v="1361"/>
    <n v="9.26"/>
    <n v="-1.8533333333333333"/>
    <n v="0"/>
    <n v="0"/>
    <n v="0.40572433634449212"/>
    <n v="977.41334431437133"/>
    <n v="1350"/>
    <x v="676"/>
    <s v="&lt;Клиент не выбран&gt;"/>
    <s v="2025 02"/>
    <n v="372.58665568562867"/>
    <n v="0.38119661231655066"/>
  </r>
  <r>
    <s v="532249288"/>
    <s v="720000543584"/>
    <s v="iHerb_AV CYG0792"/>
    <s v="Доставлен"/>
    <d v="2025-01-08T00:00:00"/>
    <x v="31"/>
    <s v="Витамины"/>
    <s v="CAR-55940"/>
    <x v="154"/>
    <x v="1361"/>
    <n v="9.26"/>
    <n v="-1.8533333333333333"/>
    <n v="0"/>
    <n v="0"/>
    <n v="0.40572433634449212"/>
    <n v="977.41334431437133"/>
    <n v="1350"/>
    <x v="676"/>
    <s v="&lt;Клиент не выбран&gt;"/>
    <s v="2025 02"/>
    <n v="372.58665568562867"/>
    <n v="0.38119661231655066"/>
  </r>
  <r>
    <s v="532249288"/>
    <s v="720000543584"/>
    <s v="iHerb_AV CYG0792"/>
    <s v="Доставлен"/>
    <d v="2025-01-08T00:00:00"/>
    <x v="31"/>
    <s v="Витамины"/>
    <s v="CAR-55940"/>
    <x v="154"/>
    <x v="1361"/>
    <n v="9.26"/>
    <n v="-1.8533333333333333"/>
    <n v="0"/>
    <n v="0"/>
    <n v="0.40572433634449212"/>
    <n v="977.41334431437133"/>
    <n v="1600"/>
    <x v="493"/>
    <s v="&lt;Клиент не выбран&gt;"/>
    <s v="2025 02"/>
    <n v="622.58665568562867"/>
    <n v="0.63697376274554152"/>
  </r>
  <r>
    <s v="532249288"/>
    <s v="720000543584"/>
    <s v="iHerb_AV CYG0792"/>
    <s v="Доставлен"/>
    <d v="2025-01-08T00:00:00"/>
    <x v="31"/>
    <s v="Витамины"/>
    <s v="NTL-04837"/>
    <x v="67"/>
    <x v="189"/>
    <n v="11.89"/>
    <n v="-2.38"/>
    <n v="0"/>
    <n v="0"/>
    <n v="0.52094128334421064"/>
    <n v="1254.977619859992"/>
    <n v="1700"/>
    <x v="738"/>
    <s v="&lt;Клиент не выбран&gt;"/>
    <s v="2025 04"/>
    <n v="445.02238014000795"/>
    <n v="0.35460582969571647"/>
  </r>
  <r>
    <s v="532249288"/>
    <s v="720000543584"/>
    <s v="iHerb_AV CYG0792"/>
    <s v="Доставлен"/>
    <d v="2025-01-08T00:00:00"/>
    <x v="31"/>
    <s v="Витамины"/>
    <s v="NOW-00086"/>
    <x v="3"/>
    <x v="1432"/>
    <n v="36.270000000000003"/>
    <n v="-7.25"/>
    <n v="0"/>
    <n v="0"/>
    <n v="1.5896651990167183"/>
    <n v="3829.5952185422675"/>
    <n v="4900"/>
    <x v="493"/>
    <s v="&lt;Клиент не выбран&gt;"/>
    <s v="2025 02"/>
    <n v="1070.4047814577325"/>
    <n v="0.27950859565392427"/>
  </r>
  <r>
    <s v="532249288"/>
    <s v="720000543584"/>
    <s v="iHerb_AV CYG0792"/>
    <s v="Доставлен"/>
    <d v="2025-01-08T00:00:00"/>
    <x v="31"/>
    <s v="Витамины"/>
    <s v="NOW-01552"/>
    <x v="3"/>
    <x v="514"/>
    <n v="13.57"/>
    <n v="-2.71"/>
    <n v="0"/>
    <n v="0"/>
    <n v="0.59489193870853074"/>
    <n v="1433.129017001"/>
    <n v="2100"/>
    <x v="493"/>
    <s v="&lt;Клиент не выбран&gt;"/>
    <s v="2025 02"/>
    <n v="666.87098299900003"/>
    <n v="0.46532515571731997"/>
  </r>
  <r>
    <s v="532249288"/>
    <s v="720000543584"/>
    <s v="iHerb_AV CYG0792"/>
    <s v="Доставлен"/>
    <d v="2025-01-08T00:00:00"/>
    <x v="31"/>
    <s v="Витамины"/>
    <s v="NOW-01661"/>
    <x v="3"/>
    <x v="1136"/>
    <n v="21.31"/>
    <n v="-4.26"/>
    <n v="0"/>
    <n v="0"/>
    <n v="0.9339693881197465"/>
    <n v="2249.9861638919929"/>
    <n v="2500"/>
    <x v="493"/>
    <s v="&lt;Клиент не выбран&gt;"/>
    <s v="2025 02"/>
    <n v="250.01383610800713"/>
    <n v="0.11111794379905736"/>
  </r>
  <r>
    <s v="532249288"/>
    <s v="720000543584"/>
    <s v="iHerb_AV CYG0792"/>
    <s v="Доставлен"/>
    <d v="2025-01-08T00:00:00"/>
    <x v="31"/>
    <s v="Витамины"/>
    <s v="NOW-01652"/>
    <x v="3"/>
    <x v="37"/>
    <n v="19.399999999999999"/>
    <n v="-3.88"/>
    <n v="0"/>
    <n v="0"/>
    <n v="0.85015864537351726"/>
    <n v="2048.0812471321842"/>
    <n v="2200"/>
    <x v="777"/>
    <m/>
    <s v="2025 07"/>
    <n v="151.91875286781578"/>
    <n v="7.4176135873779067E-2"/>
  </r>
  <r>
    <s v="532547896"/>
    <s v="722500364314"/>
    <s v="iHerb_AV CYG0792"/>
    <s v="Доставлен"/>
    <d v="2025-01-18T00:00:00"/>
    <x v="31"/>
    <s v="Витамины"/>
    <s v="NOW-00371"/>
    <x v="3"/>
    <x v="803"/>
    <n v="10.65"/>
    <n v="-1.07"/>
    <n v="-0.8013650826234221"/>
    <n v="2.7946215369318531E-15"/>
    <n v="0.48752524973036548"/>
    <n v="1088.6077594170181"/>
    <n v="1700"/>
    <x v="676"/>
    <s v="&lt;Клиент не выбран&gt;"/>
    <s v="2025 02"/>
    <n v="611.39224058298191"/>
    <n v="0.5616276710267073"/>
  </r>
  <r>
    <s v="532547896"/>
    <s v="722500364314"/>
    <s v="iHerb_AV CYG0792"/>
    <s v="Доставлен"/>
    <d v="2025-01-18T00:00:00"/>
    <x v="31"/>
    <s v="Витамины"/>
    <s v="SOL-00432"/>
    <x v="19"/>
    <x v="557"/>
    <n v="27.22"/>
    <n v="0"/>
    <n v="-2.2769475520886795"/>
    <n v="7.9404591059796491E-15"/>
    <n v="1.3852230999645665"/>
    <n v="3093.1005439802948"/>
    <n v="3850"/>
    <x v="493"/>
    <s v="&lt;Клиент не выбран&gt;"/>
    <s v="2025 02"/>
    <n v="756.89945601970521"/>
    <n v="0.24470573951847818"/>
  </r>
  <r>
    <s v="532547896"/>
    <s v="722500364314"/>
    <s v="iHerb_AV CYG0792"/>
    <s v="Доставлен"/>
    <d v="2025-01-18T00:00:00"/>
    <x v="31"/>
    <s v="Витамины"/>
    <s v="SOL-52387"/>
    <x v="19"/>
    <x v="1210"/>
    <n v="18.55"/>
    <n v="0"/>
    <n v="-1.551703787334497"/>
    <n v="5.4112974436415325E-15"/>
    <n v="0.944007659968505"/>
    <n v="2107.8991583701131"/>
    <n v="2600"/>
    <x v="493"/>
    <s v="&lt;Клиент не выбран&gt;"/>
    <s v="2025 02"/>
    <n v="492.10084162988687"/>
    <n v="0.23345558997727059"/>
  </r>
  <r>
    <s v="532547896"/>
    <s v="722500364314"/>
    <s v="iHerb_AV CYG0792"/>
    <s v="Доставлен"/>
    <d v="2025-01-18T00:00:00"/>
    <x v="31"/>
    <s v="Витамины"/>
    <s v="CGN-01033"/>
    <x v="1"/>
    <x v="1"/>
    <n v="21.04"/>
    <n v="-6.3119999999999994"/>
    <n v="-1.2319942522836913"/>
    <n v="4.2963659703478427E-15"/>
    <n v="0.74950645908442814"/>
    <n v="1673.5923883814025"/>
    <n v="2400"/>
    <x v="493"/>
    <s v="&lt;Клиент не выбран&gt;"/>
    <s v="2025 02"/>
    <n v="726.40761161859746"/>
    <n v="0.43404093891771045"/>
  </r>
  <r>
    <s v="532547896"/>
    <s v="722500364314"/>
    <s v="iHerb_AV CYG0792"/>
    <s v="Доставлен"/>
    <d v="2025-01-18T00:00:00"/>
    <x v="31"/>
    <s v="Витамины"/>
    <s v="CGN-01033"/>
    <x v="1"/>
    <x v="1"/>
    <n v="21.04"/>
    <n v="-6.3119999999999994"/>
    <n v="-1.2319942522836913"/>
    <n v="4.2963659703478427E-15"/>
    <n v="0.74950645908442814"/>
    <n v="1673.5923883814025"/>
    <n v="2300"/>
    <x v="493"/>
    <s v="&lt;Клиент не выбран&gt;"/>
    <s v="2025 02"/>
    <n v="626.40761161859746"/>
    <n v="0.37428923312947249"/>
  </r>
  <r>
    <s v="532547896"/>
    <s v="722500364314"/>
    <s v="iHerb_AV CYG0792"/>
    <s v="Доставлен"/>
    <d v="2025-01-18T00:00:00"/>
    <x v="31"/>
    <s v="Витамины"/>
    <s v="CGN-01033"/>
    <x v="1"/>
    <x v="1"/>
    <n v="21.04"/>
    <n v="-6.3119999999999994"/>
    <n v="-1.2319942522836913"/>
    <n v="4.2963659703478427E-15"/>
    <n v="0.74950645908442814"/>
    <n v="1673.5923883814025"/>
    <n v="2300"/>
    <x v="493"/>
    <s v="&lt;Клиент не выбран&gt;"/>
    <s v="2025 02"/>
    <n v="626.40761161859746"/>
    <n v="0.37428923312947249"/>
  </r>
  <r>
    <s v="532547896"/>
    <s v="722500364314"/>
    <s v="iHerb_AV CYG0792"/>
    <s v="Доставлен"/>
    <d v="2025-01-18T00:00:00"/>
    <x v="31"/>
    <s v="Витамины"/>
    <s v="CGN-01033"/>
    <x v="1"/>
    <x v="1"/>
    <n v="21.04"/>
    <n v="-6.3119999999999994"/>
    <n v="-1.2319942522836913"/>
    <n v="4.2963659703478427E-15"/>
    <n v="0.74950645908442814"/>
    <n v="1673.5923883814025"/>
    <n v="2300"/>
    <x v="654"/>
    <s v="&lt;Клиент не выбран&gt;"/>
    <s v="2025 02"/>
    <n v="626.40761161859746"/>
    <n v="0.37428923312947249"/>
  </r>
  <r>
    <s v="532547896"/>
    <s v="722500364314"/>
    <s v="iHerb_AV CYG0792"/>
    <s v="Доставлен"/>
    <d v="2025-01-18T00:00:00"/>
    <x v="31"/>
    <s v="Витамины"/>
    <s v="CGN-01033"/>
    <x v="1"/>
    <x v="1"/>
    <n v="21.04"/>
    <n v="-6.3119999999999994"/>
    <n v="-1.2319942522836913"/>
    <n v="4.2963659703478427E-15"/>
    <n v="0.74950645908442814"/>
    <n v="1673.5923883814025"/>
    <n v="2300"/>
    <x v="698"/>
    <s v="&lt;Клиент не выбран&gt;"/>
    <s v="2025 03"/>
    <n v="626.40761161859746"/>
    <n v="0.37428923312947249"/>
  </r>
  <r>
    <s v="532547896"/>
    <s v="722500364314"/>
    <s v="iHerb_AV CYG0792"/>
    <s v="Доставлен"/>
    <d v="2025-01-18T00:00:00"/>
    <x v="31"/>
    <s v="Витамины"/>
    <s v="MLI-00952"/>
    <x v="1"/>
    <x v="7"/>
    <n v="14.73"/>
    <n v="-4.42"/>
    <n v="-0.86242943651852644"/>
    <n v="3.0075728649026522E-15"/>
    <n v="0.52467487731942253"/>
    <n v="1171.5601252181061"/>
    <n v="1800"/>
    <x v="784"/>
    <s v="Елена Шевченко 217"/>
    <s v="2025 04"/>
    <n v="628.43987478189388"/>
    <n v="0.53641282359699549"/>
  </r>
  <r>
    <s v="532547896"/>
    <s v="722500364314"/>
    <s v="iHerb_AV CYG0792"/>
    <s v="Доставлен"/>
    <d v="2025-01-18T00:00:00"/>
    <x v="31"/>
    <s v="Витамины"/>
    <s v="SOL-01721"/>
    <x v="19"/>
    <x v="126"/>
    <n v="18.2"/>
    <n v="0"/>
    <n v="-1.5224263573847896"/>
    <n v="5.3091974918747106E-15"/>
    <n v="0.92619619468608039"/>
    <n v="2068.127476136714"/>
    <n v="2900"/>
    <x v="480"/>
    <s v="&lt;Клиент не выбран&gt;"/>
    <s v="2025 02"/>
    <n v="831.87252386328601"/>
    <n v="0.40223464629812544"/>
  </r>
  <r>
    <s v="532547896"/>
    <s v="722500364314"/>
    <s v="iHerb_AV CYG0792"/>
    <s v="Доставлен"/>
    <d v="2025-01-18T00:00:00"/>
    <x v="31"/>
    <s v="Витамины"/>
    <s v="SOL-01736"/>
    <x v="19"/>
    <x v="139"/>
    <n v="23.48"/>
    <n v="0"/>
    <n v="-1.9640973006260911"/>
    <n v="6.8494481928141868E-15"/>
    <n v="1.1948948709466578"/>
    <n v="2668.1117109719812"/>
    <n v="3100"/>
    <x v="399"/>
    <s v="&lt;Клиент не выбран&gt;"/>
    <s v="2025 03"/>
    <n v="431.88828902801879"/>
    <n v="0.16187039217735144"/>
  </r>
  <r>
    <s v="532547896"/>
    <s v="722500364314"/>
    <s v="iHerb_AV CYG0792"/>
    <s v="Доставлен"/>
    <d v="2025-01-18T00:00:00"/>
    <x v="31"/>
    <s v="Витамины"/>
    <s v="SOL-01735"/>
    <x v="19"/>
    <x v="644"/>
    <n v="13.88"/>
    <n v="0"/>
    <n v="-1.1610592220055429"/>
    <n v="4.04899237292423E-15"/>
    <n v="0.70635182320015377"/>
    <n v="1577.231283998769"/>
    <m/>
    <x v="20"/>
    <m/>
    <s v=""/>
    <n v="-1577.231283998769"/>
    <s v=""/>
  </r>
  <r>
    <s v="531911929"/>
    <s v="720000534912"/>
    <s v="iHerb_VP DFD1605"/>
    <s v="Доставлен"/>
    <d v="2024-12-26T00:00:00"/>
    <x v="30"/>
    <s v="Витамины"/>
    <s v="NFS-01683"/>
    <x v="23"/>
    <x v="111"/>
    <n v="6.39"/>
    <n v="-1.28"/>
    <n v="-0.3879728078215704"/>
    <n v="7.3956072507060029E-16"/>
    <n v="0.18664799684224551"/>
    <n v="572.68255898428231"/>
    <n v="1200"/>
    <x v="440"/>
    <m/>
    <s v="2024 08"/>
    <n v="627.31744101571769"/>
    <n v="1.0954016866313103"/>
  </r>
  <r>
    <s v="531911929"/>
    <s v="720000534912"/>
    <s v="iHerb_VP DFD1605"/>
    <s v="Доставлен"/>
    <d v="2024-12-26T00:00:00"/>
    <x v="30"/>
    <s v="Витамины"/>
    <s v="CEN-27387"/>
    <x v="2"/>
    <x v="23"/>
    <n v="28.34"/>
    <n v="-5.67"/>
    <n v="-1.7212022609227011"/>
    <n v="3.2809866217907067E-15"/>
    <n v="0.82804502708683114"/>
    <n v="2540.6484563940667"/>
    <n v="3500"/>
    <x v="675"/>
    <s v="&lt;Клиент не выбран&gt;"/>
    <s v="2025 02"/>
    <n v="959.35154360593333"/>
    <n v="0.3776010573960073"/>
  </r>
  <r>
    <s v="531911929"/>
    <s v="720000534912"/>
    <s v="iHerb_VP DFD1605"/>
    <s v="Доставлен"/>
    <d v="2024-12-26T00:00:00"/>
    <x v="30"/>
    <s v="Витамины"/>
    <s v="NOR-56780"/>
    <x v="9"/>
    <x v="20"/>
    <n v="21.34"/>
    <n v="-4.2699999999999996"/>
    <n v="-1.2960265811182403"/>
    <n v="2.4705091148640214E-15"/>
    <n v="0.62349927712272635"/>
    <n v="1913.0511314797845"/>
    <n v="2700"/>
    <x v="735"/>
    <s v="&lt;Клиент не выбран&gt;"/>
    <s v="2025 03"/>
    <n v="786.94886852021546"/>
    <n v="0.41135799016072"/>
  </r>
  <r>
    <s v="531911929"/>
    <s v="720000534912"/>
    <s v="iHerb_VP DFD1605"/>
    <s v="Доставлен"/>
    <d v="2024-12-26T00:00:00"/>
    <x v="30"/>
    <s v="Витамины"/>
    <s v="NAP-01480"/>
    <x v="11"/>
    <x v="488"/>
    <n v="10.8"/>
    <n v="-2.16"/>
    <n v="-0.65598533455545394"/>
    <n v="1.2504510106868861E-15"/>
    <n v="0.31558487137319019"/>
    <n v="968.29301558203508"/>
    <n v="1700"/>
    <x v="166"/>
    <s v="&lt;Клиент не выбран&gt;"/>
    <s v="2025 01"/>
    <n v="731.70698441796492"/>
    <n v="0.75566690314102936"/>
  </r>
  <r>
    <s v="531911929"/>
    <s v="720000534912"/>
    <s v="iHerb_VP DFD1605"/>
    <s v="Доставлен"/>
    <d v="2024-12-26T00:00:00"/>
    <x v="30"/>
    <s v="Витамины"/>
    <s v="CLF-07210"/>
    <x v="72"/>
    <x v="202"/>
    <n v="19.21"/>
    <n v="-3.84"/>
    <n v="-1.166955392606172"/>
    <n v="2.2244713002612776E-15"/>
    <n v="0.56140503159790889"/>
    <n v="1722.5305149879491"/>
    <n v="2700"/>
    <x v="166"/>
    <s v="&lt;Клиент не выбран&gt;"/>
    <s v="2025 01"/>
    <n v="977.46948501205088"/>
    <n v="0.56746134626177536"/>
  </r>
  <r>
    <s v="531911929"/>
    <s v="720000534912"/>
    <s v="iHerb_VP DFD1605"/>
    <s v="Доставлен"/>
    <d v="2024-12-26T00:00:00"/>
    <x v="30"/>
    <s v="Витамины"/>
    <s v="NOR-02764"/>
    <x v="9"/>
    <x v="1492"/>
    <n v="58.14"/>
    <n v="-11.63"/>
    <n v="-3.5312358692331203"/>
    <n v="6.7313051512785954E-15"/>
    <n v="1.6988255055054482"/>
    <n v="5212.4199253148663"/>
    <m/>
    <x v="20"/>
    <m/>
    <s v=""/>
    <n v="-5212.4199253148663"/>
    <s v=""/>
  </r>
  <r>
    <s v="531911929"/>
    <s v="720000534912"/>
    <s v="iHerb_VP DFD1605"/>
    <s v="Доставлен"/>
    <d v="2024-12-26T00:00:00"/>
    <x v="30"/>
    <s v="Витамины"/>
    <s v="NFS-35493"/>
    <x v="23"/>
    <x v="1383"/>
    <n v="47.82"/>
    <n v="-9.56"/>
    <n v="-2.9048609838069055"/>
    <n v="5.5372981098241036E-15"/>
    <n v="1.397485784576187"/>
    <n v="4287.8345805750769"/>
    <n v="5800"/>
    <x v="520"/>
    <s v="&lt;Клиент не выбран&gt;"/>
    <s v="2025 01"/>
    <n v="1512.1654194249231"/>
    <n v="0.35266412241633494"/>
  </r>
  <r>
    <s v="531911929"/>
    <s v="720000534912"/>
    <s v="iHerb_VP DFD1605"/>
    <s v="Доставлен"/>
    <d v="2024-12-26T00:00:00"/>
    <x v="30"/>
    <s v="Витамины"/>
    <s v="NRT-16982"/>
    <x v="27"/>
    <x v="1025"/>
    <n v="25.06"/>
    <n v="-5.01"/>
    <n v="-1.5222807821570425"/>
    <n v="2.9017989310500071E-15"/>
    <n v="0.73234683692505353"/>
    <n v="2247.0225650948842"/>
    <n v="3400"/>
    <x v="654"/>
    <s v="&lt;Клиент не выбран&gt;"/>
    <s v="2025 02"/>
    <n v="1152.9774349051158"/>
    <n v="0.51311342076194477"/>
  </r>
  <r>
    <s v="531911929"/>
    <s v="720000534912"/>
    <s v="iHerb_VP DFD1605"/>
    <s v="Доставлен"/>
    <d v="2024-12-26T00:00:00"/>
    <x v="30"/>
    <s v="Витамины"/>
    <s v="AMH-16982"/>
    <x v="22"/>
    <x v="1493"/>
    <n v="28.37"/>
    <n v="-5.67"/>
    <n v="-1.7234799877787967"/>
    <n v="3.2853284655778141E-15"/>
    <n v="0.82914080789021039"/>
    <n v="2544.0105849203933"/>
    <n v="3200"/>
    <x v="785"/>
    <m/>
    <s v="2026 03"/>
    <n v="655.98941507960672"/>
    <n v="0.25785640160775269"/>
  </r>
  <r>
    <s v="532156859"/>
    <s v="720000541466"/>
    <s v="iHerb_VP DFD1605"/>
    <s v="Доставлен"/>
    <d v="2025-01-05T00:00:00"/>
    <x v="31"/>
    <s v="Витамины"/>
    <s v="SWV-11877"/>
    <x v="89"/>
    <x v="1214"/>
    <n v="13.91"/>
    <n v="-2.78"/>
    <n v="0"/>
    <n v="1.6291580880692006E-15"/>
    <n v="0.41065645539442319"/>
    <n v="1443.977016016893"/>
    <n v="2500"/>
    <x v="545"/>
    <s v="&lt;Клиент не выбран&gt;"/>
    <s v="2025 02"/>
    <n v="1056.022983983107"/>
    <n v="0.7313294964320628"/>
  </r>
  <r>
    <s v="532156859"/>
    <s v="720000541466"/>
    <s v="iHerb_VP DFD1605"/>
    <s v="Доставлен"/>
    <d v="2025-01-05T00:00:00"/>
    <x v="31"/>
    <s v="Витамины"/>
    <s v="SWV-11877"/>
    <x v="89"/>
    <x v="1214"/>
    <n v="13.91"/>
    <n v="-2.78"/>
    <n v="0"/>
    <n v="1.6291580880692006E-15"/>
    <n v="0.41065645539442319"/>
    <n v="1443.977016016893"/>
    <n v="2500"/>
    <x v="545"/>
    <s v="&lt;Клиент не выбран&gt;"/>
    <s v="2025 02"/>
    <n v="1056.022983983107"/>
    <n v="0.7313294964320628"/>
  </r>
  <r>
    <s v="532156859"/>
    <s v="720000541466"/>
    <s v="iHerb_VP DFD1605"/>
    <s v="Доставлен"/>
    <d v="2025-01-05T00:00:00"/>
    <x v="31"/>
    <s v="Витамины"/>
    <s v="MSC-61017"/>
    <x v="50"/>
    <x v="789"/>
    <n v="17.41"/>
    <n v="-3.48"/>
    <n v="0"/>
    <n v="2.039009179407364E-15"/>
    <n v="0.51396625549364916"/>
    <n v="1807.2416741343502"/>
    <n v="2400"/>
    <x v="776"/>
    <s v="&lt;Клиент не выбран&gt;"/>
    <s v="2025 02"/>
    <n v="592.75832586564979"/>
    <n v="0.3279906248009552"/>
  </r>
  <r>
    <s v="532156859"/>
    <s v="720000541466"/>
    <s v="iHerb_VP DFD1605"/>
    <s v="Доставлен"/>
    <d v="2025-01-05T00:00:00"/>
    <x v="31"/>
    <s v="Витамины"/>
    <s v="PAR-77872"/>
    <x v="44"/>
    <x v="1437"/>
    <n v="15.45"/>
    <n v="-3.09"/>
    <n v="0"/>
    <n v="1.8091998174784652E-15"/>
    <n v="0.4560389747237259"/>
    <n v="1603.5539908327758"/>
    <n v="1603.55"/>
    <x v="544"/>
    <s v="&lt;Клиент не выбран&gt;"/>
    <s v="2025 01"/>
    <n v="-3.9908327757984807E-3"/>
    <n v="-2.4887423801214929E-6"/>
  </r>
  <r>
    <s v="532156859"/>
    <s v="720000541466"/>
    <s v="iHerb_VP DFD1605"/>
    <s v="Доставлен"/>
    <d v="2025-01-05T00:00:00"/>
    <x v="31"/>
    <s v="Витамины"/>
    <s v="MGF-10275"/>
    <x v="92"/>
    <x v="308"/>
    <n v="16.649999999999999"/>
    <n v="-1.67"/>
    <n v="0"/>
    <n v="2.1927033386591752E-15"/>
    <n v="0.5527074305308588"/>
    <n v="1943.4659209283964"/>
    <n v="2500"/>
    <x v="676"/>
    <s v="&lt;Клиент не выбран&gt;"/>
    <s v="2025 02"/>
    <n v="556.53407907160363"/>
    <n v="0.28636163519952362"/>
  </r>
  <r>
    <s v="532156859"/>
    <s v="720000541466"/>
    <s v="iHerb_VP DFD1605"/>
    <s v="Доставлен"/>
    <d v="2025-01-05T00:00:00"/>
    <x v="31"/>
    <s v="Витамины"/>
    <s v="CGN-01033"/>
    <x v="1"/>
    <x v="1"/>
    <n v="21.04"/>
    <n v="-6.3133333333333335"/>
    <n v="0"/>
    <n v="2.1556215732523893E-15"/>
    <n v="0.54336035337902411"/>
    <n v="1910.5991185272933"/>
    <n v="2300"/>
    <x v="497"/>
    <s v="&lt;Клиент не выбран&gt;"/>
    <s v="2025 02"/>
    <n v="389.40088147270671"/>
    <n v="0.20381087675412535"/>
  </r>
  <r>
    <s v="532156859"/>
    <s v="720000541466"/>
    <s v="iHerb_VP DFD1605"/>
    <s v="Доставлен"/>
    <d v="2025-01-05T00:00:00"/>
    <x v="31"/>
    <s v="Витамины"/>
    <s v="CGN-01033"/>
    <x v="1"/>
    <x v="1"/>
    <n v="21.04"/>
    <n v="-6.3133333333333335"/>
    <n v="0"/>
    <n v="2.1556215732523893E-15"/>
    <n v="0.54336035337902411"/>
    <n v="1910.5991185272933"/>
    <n v="2300"/>
    <x v="545"/>
    <s v="&lt;Клиент не выбран&gt;"/>
    <s v="2025 02"/>
    <n v="389.40088147270671"/>
    <n v="0.20381087675412535"/>
  </r>
  <r>
    <s v="532156859"/>
    <s v="720000541466"/>
    <s v="iHerb_VP DFD1605"/>
    <s v="Доставлен"/>
    <d v="2025-01-05T00:00:00"/>
    <x v="31"/>
    <s v="Витамины"/>
    <s v="CGN-01033"/>
    <x v="1"/>
    <x v="1"/>
    <n v="21.04"/>
    <n v="-6.3133333333333335"/>
    <n v="0"/>
    <n v="2.1556215732523893E-15"/>
    <n v="0.54336035337902411"/>
    <n v="1910.5991185272933"/>
    <n v="2300"/>
    <x v="545"/>
    <s v="&lt;Клиент не выбран&gt;"/>
    <s v="2025 02"/>
    <n v="389.40088147270671"/>
    <n v="0.20381087675412535"/>
  </r>
  <r>
    <s v="532156859"/>
    <s v="720000541466"/>
    <s v="iHerb_VP DFD1605"/>
    <s v="Доставлен"/>
    <d v="2025-01-05T00:00:00"/>
    <x v="31"/>
    <s v="Витамины"/>
    <s v="NOW-02811"/>
    <x v="3"/>
    <x v="1021"/>
    <n v="20.6"/>
    <n v="-2.06"/>
    <n v="0"/>
    <n v="2.7137997262176984E-15"/>
    <n v="0.68405846208558918"/>
    <n v="2405.3309862491642"/>
    <n v="2900"/>
    <x v="530"/>
    <s v="&lt;Клиент не выбран&gt;"/>
    <s v="2025 03"/>
    <n v="494.6690137508358"/>
    <n v="0.20565527845388754"/>
  </r>
  <r>
    <s v="532156859"/>
    <s v="720000541466"/>
    <s v="iHerb_VP DFD1605"/>
    <s v="Доставлен"/>
    <d v="2025-01-05T00:00:00"/>
    <x v="31"/>
    <s v="Витамины"/>
    <s v="LKN-01664"/>
    <x v="90"/>
    <x v="851"/>
    <n v="10.32"/>
    <n v="-3.0950000000000002"/>
    <n v="0"/>
    <n v="1.0575621910422258E-15"/>
    <n v="0.26657618061318122"/>
    <n v="937.3525553209389"/>
    <n v="937.35"/>
    <x v="20"/>
    <m/>
    <s v=""/>
    <n v="-2.5553209388817777E-3"/>
    <n v="-2.7261044143703912E-6"/>
  </r>
  <r>
    <s v="532156859"/>
    <s v="720000541466"/>
    <s v="iHerb_VP DFD1605"/>
    <s v="Доставлен"/>
    <d v="2025-01-05T00:00:00"/>
    <x v="31"/>
    <s v="Витамины"/>
    <s v="LKN-01664"/>
    <x v="90"/>
    <x v="851"/>
    <n v="10.32"/>
    <n v="-3.0950000000000002"/>
    <n v="0"/>
    <n v="1.0575621910422258E-15"/>
    <n v="0.26657618061318122"/>
    <n v="937.3525553209389"/>
    <m/>
    <x v="20"/>
    <m/>
    <s v=""/>
    <n v="-937.3525553209389"/>
    <s v=""/>
  </r>
  <r>
    <s v="532156859"/>
    <s v="720000541466"/>
    <s v="iHerb_VP DFD1605"/>
    <s v="Доставлен"/>
    <d v="2025-01-05T00:00:00"/>
    <x v="31"/>
    <s v="Витамины"/>
    <s v="SWV-01058"/>
    <x v="89"/>
    <x v="1494"/>
    <n v="24.83"/>
    <n v="-4.97"/>
    <n v="0"/>
    <n v="2.9070152407056894E-15"/>
    <n v="0.73276165356093836"/>
    <n v="2576.5843250759654"/>
    <n v="3300"/>
    <x v="654"/>
    <s v="&lt;Клиент не выбран&gt;"/>
    <s v="2025 02"/>
    <n v="723.41567492403465"/>
    <n v="0.28076537914306615"/>
  </r>
  <r>
    <s v="532156859"/>
    <s v="720000541466"/>
    <s v="iHerb_VP DFD1605"/>
    <s v="Доставлен"/>
    <d v="2025-01-05T00:00:00"/>
    <x v="31"/>
    <s v="Витамины"/>
    <s v="SWV-01923"/>
    <x v="89"/>
    <x v="302"/>
    <n v="8.5"/>
    <n v="-1.7"/>
    <n v="0"/>
    <n v="9.9535265039268313E-16"/>
    <n v="0.25089522881240589"/>
    <n v="882.21416971382496"/>
    <n v="1300"/>
    <x v="654"/>
    <s v="&lt;Клиент не выбран&gt;"/>
    <s v="2025 02"/>
    <n v="417.78583028617504"/>
    <n v="0.47356508728679519"/>
  </r>
  <r>
    <s v="532156859"/>
    <s v="720000541466"/>
    <s v="iHerb_VP DFD1605"/>
    <s v="Доставлен"/>
    <d v="2025-01-05T00:00:00"/>
    <x v="31"/>
    <s v="Витамины"/>
    <s v="SWV-01206"/>
    <x v="89"/>
    <x v="1495"/>
    <n v="10.25"/>
    <n v="-2.0499999999999998"/>
    <n v="0"/>
    <n v="1.2002781960617649E-15"/>
    <n v="0.30255012886201887"/>
    <n v="1063.8464987725536"/>
    <n v="1600"/>
    <x v="654"/>
    <s v="&lt;Клиент не выбран&gt;"/>
    <s v="2025 02"/>
    <n v="536.15350122744644"/>
    <n v="0.5039763742664477"/>
  </r>
  <r>
    <s v="532156859"/>
    <s v="720000541466"/>
    <s v="iHerb_VP DFD1605"/>
    <s v="Доставлен"/>
    <d v="2025-01-05T00:00:00"/>
    <x v="31"/>
    <s v="Витамины"/>
    <s v="CGN-01266"/>
    <x v="1"/>
    <x v="487"/>
    <n v="31.02"/>
    <n v="-12.41"/>
    <n v="0"/>
    <n v="2.7240460035011521E-15"/>
    <n v="0.68664120708806964"/>
    <n v="2414.4126027021002"/>
    <n v="3600"/>
    <x v="692"/>
    <s v="Надежда Витамины"/>
    <s v="2025 07"/>
    <n v="1185.5873972978998"/>
    <n v="0.49104589496055667"/>
  </r>
  <r>
    <s v="532856754"/>
    <s v="720000565805"/>
    <s v="iHerb_OA CZN6870"/>
    <s v="Доставлен"/>
    <d v="2025-01-30T00:00:00"/>
    <x v="31"/>
    <s v="Витамины"/>
    <s v="CAR-01655"/>
    <x v="154"/>
    <x v="1496"/>
    <n v="49.91"/>
    <n v="-4.99"/>
    <n v="-5.9266840567612684"/>
    <n v="0"/>
    <n v="1.5353929251267426"/>
    <n v="4577.600628130217"/>
    <n v="6000"/>
    <x v="723"/>
    <m/>
    <s v="2025 07"/>
    <n v="1422.399371869783"/>
    <n v="0.3107303339502514"/>
  </r>
  <r>
    <s v="532856754"/>
    <s v="720000565805"/>
    <s v="iHerb_OA CZN6870"/>
    <s v="Доставлен"/>
    <d v="2025-01-30T00:00:00"/>
    <x v="31"/>
    <s v="Витамины"/>
    <s v="BRM-03391"/>
    <x v="126"/>
    <x v="442"/>
    <n v="6.72"/>
    <n v="-0.67"/>
    <n v="-0.79822881886477459"/>
    <n v="0"/>
    <n v="0.20679268025415837"/>
    <n v="616.52902493739566"/>
    <n v="1100"/>
    <x v="464"/>
    <s v="Оксана Черноморская"/>
    <s v="2025 05"/>
    <n v="483.47097506260434"/>
    <n v="0.78418201821349376"/>
  </r>
  <r>
    <s v="532856754"/>
    <s v="720000565805"/>
    <s v="iHerb_OA CZN6870"/>
    <s v="Доставлен"/>
    <d v="2025-01-30T00:00:00"/>
    <x v="31"/>
    <s v="Витамины"/>
    <s v="SOL-52387"/>
    <x v="19"/>
    <x v="1210"/>
    <n v="18.55"/>
    <n v="0"/>
    <n v="-2.4474619156928217"/>
    <n v="0"/>
    <n v="0.63405028408506414"/>
    <n v="1890.3493243948246"/>
    <n v="2600"/>
    <x v="682"/>
    <s v="&lt;Клиент не выбран&gt;"/>
    <s v="2025 03"/>
    <n v="709.65067560517537"/>
    <n v="0.37540716228856935"/>
  </r>
  <r>
    <s v="532856754"/>
    <s v="720000565805"/>
    <s v="iHerb_OA CZN6870"/>
    <s v="Доставлен"/>
    <d v="2025-01-30T00:00:00"/>
    <x v="31"/>
    <s v="Витамины"/>
    <s v="NOW-04750"/>
    <x v="3"/>
    <x v="974"/>
    <n v="9.34"/>
    <n v="-0.93"/>
    <n v="-1.1096040275459098"/>
    <n v="0"/>
    <n v="0.28745891585743338"/>
    <n v="857.02629747495837"/>
    <n v="1500"/>
    <x v="741"/>
    <s v="&lt;Клиент не выбран&gt;"/>
    <s v="2025 03"/>
    <n v="642.97370252504163"/>
    <n v="0.75023800835449717"/>
  </r>
  <r>
    <s v="532856754"/>
    <s v="720000565805"/>
    <s v="iHerb_OA CZN6870"/>
    <s v="Доставлен"/>
    <d v="2025-01-30T00:00:00"/>
    <x v="31"/>
    <s v="Витамины"/>
    <s v="CGN-01033"/>
    <x v="1"/>
    <x v="1"/>
    <n v="21.04"/>
    <n v="-6.3125"/>
    <n v="-1.9431264346828048"/>
    <n v="0"/>
    <n v="0.50339490883357307"/>
    <n v="1500.8150768207429"/>
    <n v="2300"/>
    <x v="786"/>
    <s v="&lt;Клиент не выбран&gt;"/>
    <s v="2025 03"/>
    <n v="799.18492317925711"/>
    <n v="0.53250059619084678"/>
  </r>
  <r>
    <s v="532856754"/>
    <s v="720000565805"/>
    <s v="iHerb_OA CZN6870"/>
    <s v="Доставлен"/>
    <d v="2025-01-30T00:00:00"/>
    <x v="31"/>
    <s v="Витамины"/>
    <s v="CGN-01033"/>
    <x v="1"/>
    <x v="1"/>
    <n v="21.04"/>
    <n v="-6.3125"/>
    <n v="-1.9431264346828048"/>
    <n v="0"/>
    <n v="0.50339490883357307"/>
    <n v="1500.8150768207429"/>
    <n v="2200"/>
    <x v="410"/>
    <s v="&lt;Клиент не выбран&gt;"/>
    <s v="2025 04"/>
    <n v="699.18492317925711"/>
    <n v="0.46587013548689693"/>
  </r>
  <r>
    <s v="532856754"/>
    <s v="720000565805"/>
    <s v="iHerb_OA CZN6870"/>
    <s v="Доставлен"/>
    <d v="2025-01-30T00:00:00"/>
    <x v="31"/>
    <s v="Витамины"/>
    <s v="CGN-01033"/>
    <x v="1"/>
    <x v="1"/>
    <n v="21.04"/>
    <n v="-6.3125"/>
    <n v="-1.9431264346828048"/>
    <n v="0"/>
    <n v="0.50339490883357307"/>
    <n v="1500.8150768207429"/>
    <n v="2300"/>
    <x v="787"/>
    <s v="&lt;Клиент не выбран&gt;"/>
    <s v="2025 04"/>
    <n v="799.18492317925711"/>
    <n v="0.53250059619084678"/>
  </r>
  <r>
    <s v="532856754"/>
    <s v="720000565805"/>
    <s v="iHerb_OA CZN6870"/>
    <s v="Доставлен"/>
    <d v="2025-01-30T00:00:00"/>
    <x v="31"/>
    <s v="Витамины"/>
    <s v="CGN-01033"/>
    <x v="1"/>
    <x v="1"/>
    <n v="21.04"/>
    <n v="-6.3125"/>
    <n v="-1.9431264346828048"/>
    <n v="0"/>
    <n v="0.50339490883357307"/>
    <n v="1500.8150768207429"/>
    <m/>
    <x v="20"/>
    <m/>
    <s v=""/>
    <n v="-1500.8150768207429"/>
    <s v=""/>
  </r>
  <r>
    <s v="532856754"/>
    <s v="720000565805"/>
    <s v="iHerb_OA CZN6870"/>
    <s v="Доставлен"/>
    <d v="2025-01-30T00:00:00"/>
    <x v="31"/>
    <s v="Витамины"/>
    <s v="NOW-02313"/>
    <x v="3"/>
    <x v="87"/>
    <n v="24.4"/>
    <n v="-3.66"/>
    <n v="-2.7364075542570951"/>
    <n v="0"/>
    <n v="0.70890581627623872"/>
    <n v="2113.5226408597664"/>
    <n v="2900"/>
    <x v="788"/>
    <m/>
    <s v="2025 07"/>
    <n v="786.4773591402336"/>
    <n v="0.37211683657209371"/>
  </r>
  <r>
    <s v="532856754"/>
    <s v="720000565805"/>
    <s v="iHerb_OA CZN6870"/>
    <s v="Доставлен"/>
    <d v="2025-01-30T00:00:00"/>
    <x v="31"/>
    <s v="Витамины"/>
    <s v="CGN-02300"/>
    <x v="1"/>
    <x v="1167"/>
    <n v="23.82"/>
    <n v="-7.15"/>
    <n v="-2.1994172579298836"/>
    <n v="0"/>
    <n v="0.569790740468896"/>
    <n v="1698.7667513564277"/>
    <n v="2900"/>
    <x v="618"/>
    <s v="&lt;Клиент не выбран&gt;"/>
    <s v="2025 03"/>
    <n v="1201.2332486435723"/>
    <n v="0.7071207672768578"/>
  </r>
  <r>
    <s v="532856754"/>
    <s v="720000565805"/>
    <s v="iHerb_OA CZN6870"/>
    <s v="Доставлен"/>
    <d v="2025-01-30T00:00:00"/>
    <x v="31"/>
    <s v="Витамины"/>
    <s v="NOW-04739"/>
    <x v="3"/>
    <x v="191"/>
    <n v="19.37"/>
    <n v="-1.94"/>
    <n v="-2.2996906302170284"/>
    <n v="0"/>
    <n v="0.59576800278181485"/>
    <n v="1776.2150255634392"/>
    <n v="2500"/>
    <x v="738"/>
    <s v="&lt;Клиент не выбран&gt;"/>
    <s v="2025 04"/>
    <n v="723.78497443656079"/>
    <n v="0.40748724902097172"/>
  </r>
  <r>
    <s v="533008368"/>
    <s v="720000569982"/>
    <s v="iHerb_OA CZN6870"/>
    <s v="Доставлен"/>
    <d v="2025-02-05T00:00:00"/>
    <x v="32"/>
    <s v="Витамины"/>
    <s v="SOL-02058"/>
    <x v="19"/>
    <x v="1024"/>
    <n v="39.979999999999997"/>
    <n v="-10"/>
    <n v="-1.4951504879301487"/>
    <n v="0"/>
    <n v="1.0178313556878791"/>
    <n v="3302.8059054956329"/>
    <n v="4500"/>
    <x v="677"/>
    <s v="&lt;Клиент не выбран&gt;"/>
    <s v="2025 04"/>
    <n v="1197.1940945043671"/>
    <n v="0.36247788358144861"/>
  </r>
  <r>
    <s v="533008368"/>
    <s v="720000569982"/>
    <s v="iHerb_OA CZN6870"/>
    <s v="Доставлен"/>
    <d v="2025-02-05T00:00:00"/>
    <x v="32"/>
    <s v="Витамины"/>
    <s v="SOL-01039"/>
    <x v="19"/>
    <x v="1497"/>
    <n v="16.05"/>
    <n v="-4.01"/>
    <n v="-0.60045403184386237"/>
    <n v="0"/>
    <n v="0.4087621588553057"/>
    <n v="1326.4103769902413"/>
    <n v="1326.41"/>
    <x v="544"/>
    <s v="&lt;Клиент не выбран&gt;"/>
    <s v="2025 01"/>
    <n v="-3.7699024119319802E-4"/>
    <n v="-2.842184046001109E-7"/>
  </r>
  <r>
    <s v="533008368"/>
    <s v="720000569982"/>
    <s v="iHerb_OA CZN6870"/>
    <s v="Доставлен"/>
    <d v="2025-02-05T00:00:00"/>
    <x v="32"/>
    <s v="Витамины"/>
    <s v="SOL-01049"/>
    <x v="19"/>
    <x v="1498"/>
    <n v="38.6"/>
    <n v="-9.65"/>
    <n v="-1.4437827426810479"/>
    <n v="0"/>
    <n v="0.98286249990540731"/>
    <n v="3189.3339214175653"/>
    <n v="4000"/>
    <x v="565"/>
    <s v="&lt;Клиент не выбран&gt;"/>
    <s v="2025 06"/>
    <n v="810.66607858243469"/>
    <n v="0.25418037074716759"/>
  </r>
  <r>
    <s v="533008368"/>
    <s v="720000569982"/>
    <s v="iHerb_OA CZN6870"/>
    <s v="Доставлен"/>
    <d v="2025-02-05T00:00:00"/>
    <x v="32"/>
    <s v="Витамины"/>
    <s v="SOL-03541"/>
    <x v="19"/>
    <x v="1499"/>
    <n v="17.39"/>
    <n v="-4.3499999999999996"/>
    <n v="-0.65032562917308689"/>
    <n v="0"/>
    <n v="0.44271250427518166"/>
    <n v="1436.5773518233177"/>
    <n v="2200"/>
    <x v="595"/>
    <s v="&lt;Клиент не выбран&gt;"/>
    <s v="2025 04"/>
    <n v="763.42264817668229"/>
    <n v="0.53141771113663938"/>
  </r>
  <r>
    <s v="533008368"/>
    <s v="720000569982"/>
    <s v="iHerb_OA CZN6870"/>
    <s v="Доставлен"/>
    <d v="2025-02-05T00:00:00"/>
    <x v="32"/>
    <s v="Витамины"/>
    <s v="SOL-01317"/>
    <x v="19"/>
    <x v="1500"/>
    <n v="50.47"/>
    <n v="-12.62"/>
    <n v="-1.8876399589111454"/>
    <n v="0"/>
    <n v="1.2850205741423024"/>
    <n v="4169.8199974319459"/>
    <n v="5500"/>
    <x v="786"/>
    <s v="&lt;Клиент не выбран&gt;"/>
    <s v="2025 03"/>
    <n v="1330.1800025680541"/>
    <n v="0.31900178026563925"/>
  </r>
  <r>
    <s v="533008368"/>
    <s v="720000569982"/>
    <s v="iHerb_OA CZN6870"/>
    <s v="Доставлен"/>
    <d v="2025-02-05T00:00:00"/>
    <x v="32"/>
    <s v="Витамины"/>
    <s v="SOL-52387"/>
    <x v="19"/>
    <x v="1210"/>
    <n v="18.73"/>
    <n v="-4.68"/>
    <n v="-0.70069594247560363"/>
    <n v="0"/>
    <n v="0.47700235314925626"/>
    <n v="1547.8459964047252"/>
    <n v="2300"/>
    <x v="734"/>
    <s v="&lt;Клиент не выбран&gt;"/>
    <s v="2025 05"/>
    <n v="752.15400359527484"/>
    <n v="0.48593594281494934"/>
  </r>
  <r>
    <s v="533008368"/>
    <s v="720000569982"/>
    <s v="iHerb_OA CZN6870"/>
    <s v="Доставлен"/>
    <d v="2025-02-05T00:00:00"/>
    <x v="32"/>
    <s v="Витамины"/>
    <s v="SOL-01735"/>
    <x v="19"/>
    <x v="644"/>
    <n v="14.23"/>
    <n v="-3.56"/>
    <n v="-0.53212994350282483"/>
    <n v="0"/>
    <n v="0.36225018563007577"/>
    <n v="1175.4816214689263"/>
    <n v="1900"/>
    <x v="734"/>
    <s v="&lt;Клиент не выбран&gt;"/>
    <s v="2025 05"/>
    <n v="724.51837853107372"/>
    <n v="0.6163587463202429"/>
  </r>
  <r>
    <s v="533008368"/>
    <s v="720000569982"/>
    <s v="iHerb_OA CZN6870"/>
    <s v="Доставлен"/>
    <d v="2025-02-05T00:00:00"/>
    <x v="32"/>
    <s v="Витамины"/>
    <s v="SOL-01736"/>
    <x v="19"/>
    <x v="139"/>
    <n v="24.07"/>
    <n v="-6.02"/>
    <n v="-0.9001823317925014"/>
    <n v="0"/>
    <n v="0.61280373482875994"/>
    <n v="1988.5138957370311"/>
    <n v="3200"/>
    <x v="677"/>
    <s v="&lt;Клиент не выбран&gt;"/>
    <s v="2025 04"/>
    <n v="1211.4861042629689"/>
    <n v="0.60924196047115808"/>
  </r>
  <r>
    <s v="533008368"/>
    <s v="720000569982"/>
    <s v="iHerb_OA CZN6870"/>
    <s v="Доставлен"/>
    <d v="2025-02-05T00:00:00"/>
    <x v="32"/>
    <s v="Витамины"/>
    <s v="NOW-01662"/>
    <x v="3"/>
    <x v="122"/>
    <n v="40.090000000000003"/>
    <n v="-10.02"/>
    <n v="-1.4996389316897791"/>
    <n v="0"/>
    <n v="1.0208868867756682"/>
    <n v="3312.7209332306106"/>
    <n v="4500"/>
    <x v="789"/>
    <m/>
    <s v="2025 07"/>
    <n v="1187.2790667693894"/>
    <n v="0.35839996507388827"/>
  </r>
  <r>
    <s v="934769601"/>
    <s v="720000584737"/>
    <s v="iHerb_OA CZN6870"/>
    <s v="Доставлен"/>
    <d v="2025-02-13T00:00:00"/>
    <x v="32"/>
    <s v="Витамины"/>
    <s v="NAP-29942"/>
    <x v="11"/>
    <x v="861"/>
    <n v="13.29"/>
    <n v="-2.66"/>
    <n v="-0.56866385549751397"/>
    <n v="0"/>
    <n v="0.56027644454361902"/>
    <n v="1181.6404516751631"/>
    <n v="2000"/>
    <x v="741"/>
    <s v="&lt;Клиент не выбран&gt;"/>
    <s v="2025 03"/>
    <n v="818.35954832483685"/>
    <n v="0.69256223173866649"/>
  </r>
  <r>
    <s v="934769601"/>
    <s v="720000584737"/>
    <s v="iHerb_OA CZN6870"/>
    <s v="Доставлен"/>
    <d v="2025-02-13T00:00:00"/>
    <x v="32"/>
    <s v="Витамины"/>
    <s v="NAP-37691"/>
    <x v="11"/>
    <x v="352"/>
    <n v="13.29"/>
    <n v="-2.66"/>
    <n v="-0.56866385549751397"/>
    <n v="0"/>
    <n v="0.56027644454361902"/>
    <n v="1181.6404516751631"/>
    <n v="1700"/>
    <x v="597"/>
    <m/>
    <s v="2025 07"/>
    <n v="518.35954832483685"/>
    <n v="0.43867789697786647"/>
  </r>
  <r>
    <s v="934769601"/>
    <s v="720000584737"/>
    <s v="iHerb_OA CZN6870"/>
    <s v="Доставлен"/>
    <d v="2025-02-13T00:00:00"/>
    <x v="32"/>
    <s v="Витамины"/>
    <s v="SPN-00233"/>
    <x v="45"/>
    <x v="1202"/>
    <n v="7.34"/>
    <n v="-1.8366666666666667"/>
    <n v="-0.29440703211865649"/>
    <n v="0"/>
    <n v="0.29006472560097685"/>
    <n v="611.75553017111758"/>
    <n v="1400"/>
    <x v="790"/>
    <s v="Аня Мирный"/>
    <s v="2025 05"/>
    <n v="788.24446982888242"/>
    <n v="1.2884958630588892"/>
  </r>
  <r>
    <s v="934769601"/>
    <s v="720000584737"/>
    <s v="iHerb_OA CZN6870"/>
    <s v="Доставлен"/>
    <d v="2025-02-13T00:00:00"/>
    <x v="32"/>
    <s v="Витамины"/>
    <s v="SPN-00233"/>
    <x v="45"/>
    <x v="1202"/>
    <n v="7.34"/>
    <n v="-1.8366666666666667"/>
    <n v="-0.29440703211865649"/>
    <n v="0"/>
    <n v="0.29006472560097685"/>
    <n v="611.75553017111758"/>
    <n v="1400"/>
    <x v="626"/>
    <m/>
    <s v="2025 09"/>
    <n v="788.24446982888242"/>
    <n v="1.2884958630588892"/>
  </r>
  <r>
    <s v="934769601"/>
    <s v="720000584737"/>
    <s v="iHerb_OA CZN6870"/>
    <s v="Доставлен"/>
    <d v="2025-02-13T00:00:00"/>
    <x v="32"/>
    <s v="Витамины"/>
    <s v="SPN-00233"/>
    <x v="45"/>
    <x v="1202"/>
    <n v="7.34"/>
    <n v="-1.8366666666666667"/>
    <n v="-0.29440703211865649"/>
    <n v="0"/>
    <n v="0.29006472560097685"/>
    <n v="611.75553017111758"/>
    <n v="1300"/>
    <x v="791"/>
    <s v="Надежда Sumbucol"/>
    <s v="2026 02"/>
    <n v="688.24446982888242"/>
    <n v="1.125031872840397"/>
  </r>
  <r>
    <s v="934769601"/>
    <s v="720000584737"/>
    <s v="iHerb_OA CZN6870"/>
    <s v="Доставлен"/>
    <d v="2025-02-13T00:00:00"/>
    <x v="32"/>
    <s v="Витамины"/>
    <s v="NOW-00894"/>
    <x v="3"/>
    <x v="1355"/>
    <n v="33.340000000000003"/>
    <n v="-6.67"/>
    <n v="-1.4267417710365664"/>
    <n v="0"/>
    <n v="1.4056982856047342"/>
    <n v="2964.6614154446474"/>
    <n v="4200"/>
    <x v="693"/>
    <s v="&lt;Клиент не выбран&gt;"/>
    <s v="2025 03"/>
    <n v="1235.3385845553526"/>
    <n v="0.41668791522693099"/>
  </r>
  <r>
    <s v="934769601"/>
    <s v="720000584737"/>
    <s v="iHerb_OA CZN6870"/>
    <s v="Доставлен"/>
    <d v="2025-02-13T00:00:00"/>
    <x v="32"/>
    <s v="Витамины"/>
    <s v="NOW-00894"/>
    <x v="3"/>
    <x v="1355"/>
    <n v="33.340000000000003"/>
    <n v="-6.67"/>
    <n v="-1.4267417710365664"/>
    <n v="0"/>
    <n v="1.4056982856047342"/>
    <n v="2964.6614154446474"/>
    <n v="4200"/>
    <x v="693"/>
    <s v="&lt;Клиент не выбран&gt;"/>
    <s v="2025 03"/>
    <n v="1235.3385845553526"/>
    <n v="0.41668791522693099"/>
  </r>
  <r>
    <s v="934769601"/>
    <s v="720000584737"/>
    <s v="iHerb_OA CZN6870"/>
    <s v="Доставлен"/>
    <d v="2025-02-13T00:00:00"/>
    <x v="32"/>
    <s v="Витамины"/>
    <s v="NOW-02313"/>
    <x v="3"/>
    <x v="87"/>
    <n v="23.95"/>
    <n v="-4.79"/>
    <n v="-1.0249858392598654"/>
    <n v="0"/>
    <n v="1.0098679847089127"/>
    <n v="2129.8429966224012"/>
    <n v="3000"/>
    <x v="692"/>
    <m/>
    <s v="2025 07"/>
    <n v="870.15700337759881"/>
    <n v="0.40855452949232979"/>
  </r>
  <r>
    <s v="934769601"/>
    <s v="720000584737"/>
    <s v="iHerb_OA CZN6870"/>
    <s v="Доставлен"/>
    <d v="2025-02-13T00:00:00"/>
    <x v="32"/>
    <s v="Витамины"/>
    <s v="NOW-02313"/>
    <x v="3"/>
    <x v="87"/>
    <n v="23.95"/>
    <n v="-4.79"/>
    <n v="-1.0249858392598654"/>
    <n v="0"/>
    <n v="1.0098679847089127"/>
    <n v="2129.8429966224012"/>
    <n v="2900"/>
    <x v="773"/>
    <s v="Валентина Сычева"/>
    <s v="2025 08"/>
    <n v="770.15700337759881"/>
    <n v="0.36160271184258547"/>
  </r>
  <r>
    <s v="934769601"/>
    <s v="720000584737"/>
    <s v="iHerb_OA CZN6870"/>
    <s v="Доставлен"/>
    <d v="2025-02-13T00:00:00"/>
    <x v="32"/>
    <s v="Витамины"/>
    <s v="FBS-00678"/>
    <x v="20"/>
    <x v="542"/>
    <n v="13.53"/>
    <n v="-2.7050000000000001"/>
    <n v="-0.57909560073006483"/>
    <n v="0"/>
    <n v="0.57055432852160648"/>
    <n v="1203.3168287284702"/>
    <n v="2300"/>
    <x v="693"/>
    <s v="&lt;Клиент не выбран&gt;"/>
    <s v="2025 03"/>
    <n v="1096.6831712715298"/>
    <n v="0.91138355675652027"/>
  </r>
  <r>
    <s v="934769601"/>
    <s v="720000584737"/>
    <s v="iHerb_OA CZN6870"/>
    <s v="Доставлен"/>
    <d v="2025-02-13T00:00:00"/>
    <x v="32"/>
    <s v="Витамины"/>
    <s v="FBS-00678"/>
    <x v="20"/>
    <x v="542"/>
    <n v="13.53"/>
    <n v="-2.7050000000000001"/>
    <n v="-0.57909560073006483"/>
    <n v="0"/>
    <n v="0.57055432852160648"/>
    <n v="1203.3168287284702"/>
    <n v="2300"/>
    <x v="792"/>
    <m/>
    <s v="2025 08"/>
    <n v="1096.6831712715298"/>
    <n v="0.91138355675652027"/>
  </r>
  <r>
    <s v="934769601"/>
    <s v="720000584737"/>
    <s v="iHerb_OA CZN6870"/>
    <s v="Доставлен"/>
    <d v="2025-02-13T00:00:00"/>
    <x v="32"/>
    <s v="Витамины"/>
    <s v="NWY-11750"/>
    <x v="16"/>
    <x v="98"/>
    <n v="9.76"/>
    <n v="-1.95"/>
    <n v="-0.41780477059600979"/>
    <n v="0"/>
    <n v="0.41164243009272483"/>
    <n v="868.16669121194957"/>
    <n v="1500"/>
    <x v="743"/>
    <s v="Оксана Черноморская"/>
    <s v="2025 09"/>
    <n v="631.83330878805043"/>
    <n v="0.72777879545922131"/>
  </r>
  <r>
    <s v="533006679"/>
    <s v="720000571649"/>
    <s v="iHerb_MH DLE7202"/>
    <s v="Доставлен"/>
    <d v="2025-02-05T00:00:00"/>
    <x v="32"/>
    <s v="Витамины"/>
    <s v="NOW-04739"/>
    <x v="3"/>
    <x v="191"/>
    <n v="18.829999999999998"/>
    <n v="-4.71"/>
    <n v="-0.71687726191707146"/>
    <n v="-2.0748347490295959E-15"/>
    <n v="0.60743268166145081"/>
    <n v="1568.7403708682309"/>
    <n v="2500"/>
    <x v="619"/>
    <s v="&lt;Клиент не выбран&gt;"/>
    <s v="2025 05"/>
    <n v="931.25962913176909"/>
    <n v="0.59363527988787368"/>
  </r>
  <r>
    <s v="533006679"/>
    <s v="720000571649"/>
    <s v="iHerb_MH DLE7202"/>
    <s v="Доставлен"/>
    <d v="2025-02-05T00:00:00"/>
    <x v="32"/>
    <s v="Витамины"/>
    <s v="CAR-01543"/>
    <x v="154"/>
    <x v="794"/>
    <n v="25.6"/>
    <n v="-6.4"/>
    <n v="-0.97479061110536669"/>
    <n v="-2.8213050411733894E-15"/>
    <n v="0.82597078526202983"/>
    <n v="2133.1313824837139"/>
    <n v="3100"/>
    <x v="619"/>
    <s v="&lt;Клиент не выбран&gt;"/>
    <s v="2025 05"/>
    <n v="966.86861751628612"/>
    <n v="0.45326257231774986"/>
  </r>
  <r>
    <s v="533006679"/>
    <s v="720000571649"/>
    <s v="iHerb_MH DLE7202"/>
    <s v="Доставлен"/>
    <d v="2025-02-05T00:00:00"/>
    <x v="32"/>
    <s v="Витамины"/>
    <s v="CAR-01543"/>
    <x v="154"/>
    <x v="794"/>
    <n v="25.6"/>
    <n v="-6.4"/>
    <n v="-0.97479061110536669"/>
    <n v="-2.8213050411733894E-15"/>
    <n v="0.82597078526202983"/>
    <n v="2133.1313824837139"/>
    <n v="3200"/>
    <x v="565"/>
    <s v="&lt;Клиент не выбран&gt;"/>
    <s v="2025 06"/>
    <n v="1066.8686175162861"/>
    <n v="0.50014201013445148"/>
  </r>
  <r>
    <s v="533006679"/>
    <s v="720000571649"/>
    <s v="iHerb_MH DLE7202"/>
    <s v="Доставлен"/>
    <d v="2025-02-05T00:00:00"/>
    <x v="32"/>
    <s v="Витамины"/>
    <s v="NOW-03770"/>
    <x v="3"/>
    <x v="281"/>
    <n v="13.76"/>
    <n v="-3.44"/>
    <n v="-0.52394995346913453"/>
    <n v="-1.5164514596306967E-15"/>
    <n v="0.44395929707834086"/>
    <n v="1146.5581180849961"/>
    <n v="2000"/>
    <x v="519"/>
    <s v="&lt;Клиент не выбран&gt;"/>
    <s v="2025 03"/>
    <n v="853.44188191500393"/>
    <n v="0.74435117457494382"/>
  </r>
  <r>
    <s v="533006679"/>
    <s v="720000571649"/>
    <s v="iHerb_MH DLE7202"/>
    <s v="Доставлен"/>
    <d v="2025-02-05T00:00:00"/>
    <x v="32"/>
    <s v="Витамины"/>
    <s v="NOW-03770"/>
    <x v="3"/>
    <x v="281"/>
    <n v="13.76"/>
    <n v="-3.44"/>
    <n v="-0.52394995346913453"/>
    <n v="-1.5164514596306967E-15"/>
    <n v="0.44395929707834086"/>
    <n v="1146.5581180849961"/>
    <n v="2000"/>
    <x v="677"/>
    <s v="&lt;Клиент не выбран&gt;"/>
    <s v="2025 04"/>
    <n v="853.44188191500393"/>
    <n v="0.74435117457494382"/>
  </r>
  <r>
    <s v="533006679"/>
    <s v="720000571649"/>
    <s v="iHerb_MH DLE7202"/>
    <s v="Доставлен"/>
    <d v="2025-02-05T00:00:00"/>
    <x v="32"/>
    <s v="Витамины"/>
    <s v="LEX-30210"/>
    <x v="7"/>
    <x v="749"/>
    <n v="20.48"/>
    <n v="-5.12"/>
    <n v="-0.77983248888429313"/>
    <n v="-2.2570440329387109E-15"/>
    <n v="0.66077662820962368"/>
    <n v="1706.5051059869709"/>
    <n v="2300"/>
    <x v="412"/>
    <s v="&lt;Клиент не выбран&gt;"/>
    <s v="2025 03"/>
    <n v="593.49489401302912"/>
    <n v="0.34778383723017142"/>
  </r>
  <r>
    <s v="533006679"/>
    <s v="720000571649"/>
    <s v="iHerb_MH DLE7202"/>
    <s v="Доставлен"/>
    <d v="2025-02-05T00:00:00"/>
    <x v="32"/>
    <s v="Витамины"/>
    <s v="LEX-33510"/>
    <x v="7"/>
    <x v="750"/>
    <n v="12.6"/>
    <n v="-3.15"/>
    <n v="-0.47977975390342253"/>
    <n v="-1.3886110749525272E-15"/>
    <n v="0.40653249587115514"/>
    <n v="1049.9006023162028"/>
    <n v="1700"/>
    <x v="412"/>
    <s v="&lt;Клиент не выбран&gt;"/>
    <s v="2025 03"/>
    <n v="650.09939768379718"/>
    <n v="0.61920089982766202"/>
  </r>
  <r>
    <s v="533006679"/>
    <s v="720000571649"/>
    <s v="iHerb_MH DLE7202"/>
    <s v="Доставлен"/>
    <d v="2025-02-05T00:00:00"/>
    <x v="32"/>
    <s v="Витамины"/>
    <s v="NFS-35493"/>
    <x v="23"/>
    <x v="1383"/>
    <n v="49.42"/>
    <n v="-12.36"/>
    <n v="-1.881548960810671"/>
    <n v="-5.445706501348219E-15"/>
    <n v="1.5942956928026468"/>
    <n v="4117.3879705649188"/>
    <n v="5500"/>
    <x v="606"/>
    <s v="&lt;Клиент не выбран&gt;"/>
    <s v="2025 03"/>
    <n v="1382.6120294350812"/>
    <n v="0.33579833606143811"/>
  </r>
  <r>
    <s v="533006679"/>
    <s v="720000571649"/>
    <s v="iHerb_MH DLE7202"/>
    <s v="Доставлен"/>
    <d v="2025-02-05T00:00:00"/>
    <x v="32"/>
    <s v="Витамины"/>
    <s v="SOL-01735"/>
    <x v="19"/>
    <x v="644"/>
    <n v="14.23"/>
    <n v="-3.56"/>
    <n v="-0.541719573984076"/>
    <n v="-1.5678814994437531E-15"/>
    <n v="0.45901605618468"/>
    <n v="1185.4433255781887"/>
    <n v="2000"/>
    <x v="722"/>
    <m/>
    <s v="2025 11"/>
    <n v="814.55667442181129"/>
    <n v="0.68713253248485673"/>
  </r>
  <r>
    <s v="533006679"/>
    <s v="720000571649"/>
    <s v="iHerb_MH DLE7202"/>
    <s v="Доставлен"/>
    <d v="2025-02-05T00:00:00"/>
    <x v="32"/>
    <s v="Витамины"/>
    <s v="SOL-01736"/>
    <x v="19"/>
    <x v="139"/>
    <n v="24.07"/>
    <n v="-6.02"/>
    <n v="-0.91640471512770127"/>
    <n v="-2.6523206246447747E-15"/>
    <n v="0.77649857676977263"/>
    <n v="2005.3657007203662"/>
    <n v="3200"/>
    <x v="793"/>
    <s v="Лида корма"/>
    <s v="2025 05"/>
    <n v="1194.6342992796338"/>
    <n v="0.59571892490756073"/>
  </r>
  <r>
    <s v="533006679"/>
    <s v="720000571649"/>
    <s v="iHerb_MH DLE7202"/>
    <s v="Доставлен"/>
    <d v="2025-02-05T00:00:00"/>
    <x v="32"/>
    <s v="Витамины"/>
    <s v="SOL-00314"/>
    <x v="19"/>
    <x v="138"/>
    <n v="20.83"/>
    <n v="-5.21"/>
    <n v="-0.79303277840967834"/>
    <n v="-2.2952492053712672E-15"/>
    <n v="0.67196164926004676"/>
    <n v="1735.391260124771"/>
    <n v="2800"/>
    <x v="787"/>
    <s v="&lt;Клиент не выбран&gt;"/>
    <s v="2025 04"/>
    <n v="1064.608739875229"/>
    <n v="0.61346899937636312"/>
  </r>
  <r>
    <s v="533006679"/>
    <s v="720000571649"/>
    <s v="iHerb_MH DLE7202"/>
    <s v="Доставлен"/>
    <d v="2025-02-05T00:00:00"/>
    <x v="32"/>
    <s v="Витамины"/>
    <s v="SOL-52387"/>
    <x v="19"/>
    <x v="1210"/>
    <n v="18.73"/>
    <n v="-4.68"/>
    <n v="-0.7133233378140833"/>
    <n v="-2.0645487410669851E-15"/>
    <n v="0.60442132984018304"/>
    <n v="1560.9633293695927"/>
    <n v="2500"/>
    <x v="794"/>
    <m/>
    <s v="2025 06"/>
    <n v="939.03667063040734"/>
    <n v="0.60157509978767065"/>
  </r>
  <r>
    <s v="532742669"/>
    <s v="720000561431"/>
    <s v="iHerb_VP DFD1605"/>
    <s v="Доставлен"/>
    <d v="2025-01-26T00:00:00"/>
    <x v="31"/>
    <s v="Витамины"/>
    <s v="DRB-00294"/>
    <x v="6"/>
    <x v="867"/>
    <n v="27.38"/>
    <n v="-5.48"/>
    <n v="-1.3682259093809823"/>
    <n v="-3.9721470103755438E-15"/>
    <n v="0.90548498261906973"/>
    <n v="2448.470312699425"/>
    <n v="3000"/>
    <x v="795"/>
    <m/>
    <s v="2025 09"/>
    <n v="551.52968730057501"/>
    <n v="0.22525479865529452"/>
  </r>
  <r>
    <s v="532742669"/>
    <s v="720000561431"/>
    <s v="iHerb_VP DFD1605"/>
    <s v="Доставлен"/>
    <d v="2025-01-26T00:00:00"/>
    <x v="31"/>
    <s v="Витамины"/>
    <s v="NOW-01289"/>
    <x v="3"/>
    <x v="214"/>
    <n v="24.66"/>
    <n v="-4.93"/>
    <n v="-1.2326528398213146"/>
    <n v="-3.5785598408543138E-15"/>
    <n v="0.81576341128192909"/>
    <n v="2205.859327377153"/>
    <n v="3000"/>
    <x v="796"/>
    <s v="&lt;Клиент не выбран&gt;"/>
    <s v="2025 03"/>
    <n v="794.14067262284698"/>
    <n v="0.36001419617592256"/>
  </r>
  <r>
    <s v="532742669"/>
    <s v="720000561431"/>
    <s v="iHerb_VP DFD1605"/>
    <s v="Доставлен"/>
    <d v="2025-01-26T00:00:00"/>
    <x v="31"/>
    <s v="Витамины"/>
    <s v="NOW-02963"/>
    <x v="3"/>
    <x v="1501"/>
    <n v="19.510000000000002"/>
    <n v="-3.9"/>
    <n v="-0.97525143586470953"/>
    <n v="-2.8312883484914264E-15"/>
    <n v="0.64541646478007675"/>
    <n v="1745.2338621569875"/>
    <n v="2650"/>
    <x v="618"/>
    <s v="&lt;Клиент не выбран&gt;"/>
    <s v="2025 03"/>
    <n v="904.76613784301253"/>
    <n v="0.51842114541874895"/>
  </r>
  <r>
    <s v="532742669"/>
    <s v="720000561431"/>
    <s v="iHerb_VP DFD1605"/>
    <s v="Доставлен"/>
    <d v="2025-01-26T00:00:00"/>
    <x v="31"/>
    <s v="Витамины"/>
    <s v="CAL-74810"/>
    <x v="138"/>
    <x v="1027"/>
    <n v="16.63"/>
    <n v="-3.33"/>
    <n v="-0.83093171665603027"/>
    <n v="-2.4123084583559238E-15"/>
    <n v="0.5499064049695721"/>
    <n v="1486.9705552010207"/>
    <n v="2500"/>
    <x v="597"/>
    <m/>
    <s v="2025 07"/>
    <n v="1013.0294447989793"/>
    <n v="0.68127068236534771"/>
  </r>
  <r>
    <s v="532742669"/>
    <s v="720000561431"/>
    <s v="iHerb_VP DFD1605"/>
    <s v="Доставлен"/>
    <d v="2025-01-26T00:00:00"/>
    <x v="31"/>
    <s v="Витамины"/>
    <s v="NAP-29991"/>
    <x v="11"/>
    <x v="1502"/>
    <n v="26.12"/>
    <n v="-5.22"/>
    <n v="-1.3057498404594765"/>
    <n v="-3.790770434559309E-15"/>
    <n v="0.86413863638075616"/>
    <n v="2336.66801531589"/>
    <n v="2900"/>
    <x v="797"/>
    <m/>
    <s v="2025 08"/>
    <n v="563.33198468411001"/>
    <n v="0.24108344916423832"/>
  </r>
  <r>
    <s v="532742669"/>
    <s v="720000561431"/>
    <s v="iHerb_VP DFD1605"/>
    <s v="Доставлен"/>
    <d v="2025-01-26T00:00:00"/>
    <x v="31"/>
    <s v="Витамины"/>
    <s v="PTF-10629"/>
    <x v="169"/>
    <x v="1427"/>
    <n v="13.6"/>
    <n v="-2.72"/>
    <n v="-0.67973962986598579"/>
    <n v="-1.9733771448806353E-15"/>
    <n v="0.44984824707285287"/>
    <n v="1216.4089955328648"/>
    <m/>
    <x v="20"/>
    <m/>
    <s v=""/>
    <n v="-1216.4089955328648"/>
    <s v=""/>
  </r>
  <r>
    <s v="532742669"/>
    <s v="720000561431"/>
    <s v="iHerb_VP DFD1605"/>
    <s v="Доставлен"/>
    <d v="2025-01-26T00:00:00"/>
    <x v="31"/>
    <s v="Витамины"/>
    <s v="PTF-10629"/>
    <x v="169"/>
    <x v="1427"/>
    <n v="13.6"/>
    <n v="-2.72"/>
    <n v="-0.67973962986598579"/>
    <n v="-1.9733771448806353E-15"/>
    <n v="0.44984824707285287"/>
    <n v="1216.4089955328648"/>
    <n v="2000"/>
    <x v="798"/>
    <s v="Виктория Башня/Энгельса"/>
    <s v="2026 01"/>
    <n v="783.59100446713524"/>
    <n v="0.64418382907787719"/>
  </r>
  <r>
    <s v="532742669"/>
    <s v="720000561431"/>
    <s v="iHerb_VP DFD1605"/>
    <s v="Доставлен"/>
    <d v="2025-01-26T00:00:00"/>
    <x v="31"/>
    <s v="Витамины"/>
    <s v="SNS-01794"/>
    <x v="151"/>
    <x v="1503"/>
    <n v="17.7"/>
    <n v="-3.54"/>
    <n v="-0.88466113592852569"/>
    <n v="-2.5682923135578859E-15"/>
    <n v="0.58546426273452179"/>
    <n v="1583.1205309508614"/>
    <n v="2200"/>
    <x v="799"/>
    <s v="&lt;Клиент не выбран&gt;"/>
    <s v="2025 06"/>
    <n v="616.87946904913861"/>
    <n v="0.38966045666695104"/>
  </r>
  <r>
    <s v="532742669"/>
    <s v="720000561431"/>
    <s v="iHerb_VP DFD1605"/>
    <s v="Доставлен"/>
    <d v="2025-01-26T00:00:00"/>
    <x v="31"/>
    <s v="Косметика"/>
    <s v="ARH-00999"/>
    <x v="29"/>
    <x v="1199"/>
    <n v="12.33"/>
    <n v="-2.4700000000000002"/>
    <n v="-0.61601403956604961"/>
    <n v="-1.7883730375480757E-15"/>
    <n v="0.40767497390977292"/>
    <n v="1102.3706522016589"/>
    <m/>
    <x v="20"/>
    <m/>
    <s v=""/>
    <n v="-1102.3706522016589"/>
    <s v=""/>
  </r>
  <r>
    <s v="532742669"/>
    <s v="720000561431"/>
    <s v="iHerb_VP DFD1605"/>
    <s v="Доставлен"/>
    <d v="2025-01-26T00:00:00"/>
    <x v="31"/>
    <s v="Витамины"/>
    <s v="CLF-05104"/>
    <x v="72"/>
    <x v="1504"/>
    <n v="23.1"/>
    <n v="-4.62"/>
    <n v="-1.1545577536694318"/>
    <n v="-3.3518391210840205E-15"/>
    <n v="0.76408047848403704"/>
    <n v="2066.106455647734"/>
    <n v="2700"/>
    <x v="749"/>
    <s v="&lt;Клиент не выбран&gt;"/>
    <s v="2025 04"/>
    <n v="633.89354435226596"/>
    <n v="0.30680584856579296"/>
  </r>
  <r>
    <s v="532742669"/>
    <s v="720000561431"/>
    <s v="iHerb_VP DFD1605"/>
    <s v="Доставлен"/>
    <d v="2025-01-26T00:00:00"/>
    <x v="31"/>
    <s v="Витамины"/>
    <s v="CGN-01100"/>
    <x v="1"/>
    <x v="727"/>
    <n v="9.65"/>
    <n v="-8.65"/>
    <n v="-6.2476068921506048E-2"/>
    <n v="-1.8137657581623487E-16"/>
    <n v="4.1346346238313687E-2"/>
    <n v="111.80229738353539"/>
    <n v="111.8"/>
    <x v="521"/>
    <s v="&lt;Клиент не выбран&gt;"/>
    <s v="2025 01"/>
    <n v="-2.2973835353923278E-3"/>
    <n v="-2.0548625467965141E-5"/>
  </r>
  <r>
    <s v="WB0199"/>
    <n v="0"/>
    <s v="WBRS"/>
    <s v="Доставлен"/>
    <d v="2025-02-07T00:00:00"/>
    <x v="32"/>
    <s v="Витамины"/>
    <s v="242381576"/>
    <x v="49"/>
    <x v="1505"/>
    <n v="311"/>
    <n v="0"/>
    <n v="0"/>
    <n v="0"/>
    <n v="0"/>
    <n v="311"/>
    <n v="500"/>
    <x v="654"/>
    <s v="&lt;Клиент не выбран&gt;"/>
    <s v="2025 02"/>
    <n v="189"/>
    <n v="0.60771704180064312"/>
  </r>
  <r>
    <s v="WB0200"/>
    <n v="0"/>
    <s v="WBRS"/>
    <s v="Доставлен"/>
    <d v="2025-02-14T00:00:00"/>
    <x v="32"/>
    <s v="Витамины"/>
    <s v="239411443"/>
    <x v="49"/>
    <x v="1506"/>
    <n v="354"/>
    <n v="0"/>
    <n v="0"/>
    <n v="0"/>
    <n v="0"/>
    <n v="354"/>
    <n v="500"/>
    <x v="654"/>
    <s v="&lt;Клиент не выбран&gt;"/>
    <s v="2025 02"/>
    <n v="146"/>
    <n v="0.41242937853107342"/>
  </r>
  <r>
    <s v="WB0200"/>
    <n v="0"/>
    <s v="WBRS"/>
    <s v="Доставлен"/>
    <d v="2025-02-14T00:00:00"/>
    <x v="32"/>
    <s v="Косметика"/>
    <s v="279995519"/>
    <x v="248"/>
    <x v="1507"/>
    <n v="1312"/>
    <n v="0"/>
    <n v="0"/>
    <n v="0"/>
    <n v="0"/>
    <n v="1312"/>
    <n v="2000"/>
    <x v="755"/>
    <s v="&lt;Клиент не выбран&gt;"/>
    <s v="2025 03"/>
    <n v="688"/>
    <n v="0.52439024390243905"/>
  </r>
  <r>
    <s v="WB0200"/>
    <n v="0"/>
    <s v="WBRS"/>
    <s v="Доставлен"/>
    <d v="2025-02-14T00:00:00"/>
    <x v="32"/>
    <s v="Косметика"/>
    <s v="279995519"/>
    <x v="248"/>
    <x v="1507"/>
    <n v="1312"/>
    <n v="0"/>
    <n v="0"/>
    <n v="0"/>
    <n v="0"/>
    <n v="1312"/>
    <n v="2000"/>
    <x v="793"/>
    <s v="&lt;Клиент не выбран&gt;"/>
    <s v="2025 05"/>
    <n v="688"/>
    <n v="0.52439024390243905"/>
  </r>
  <r>
    <s v="OZO0131"/>
    <n v="0"/>
    <s v="OZON_OA"/>
    <s v="Доставлен"/>
    <d v="2024-12-27T00:00:00"/>
    <x v="30"/>
    <s v="Витамины"/>
    <s v="16486556141"/>
    <x v="294"/>
    <x v="1508"/>
    <n v="647"/>
    <n v="0"/>
    <n v="0"/>
    <n v="0"/>
    <n v="0"/>
    <n v="647"/>
    <n v="750"/>
    <x v="166"/>
    <s v="&lt;Клиент не выбран&gt;"/>
    <s v="2025 01"/>
    <n v="103"/>
    <n v="0.15919629057187018"/>
  </r>
  <r>
    <s v="OZO0132"/>
    <n v="0"/>
    <s v="OZON_OA"/>
    <s v="Доставлен"/>
    <d v="2025-01-02T00:00:00"/>
    <x v="31"/>
    <s v="Спортпит"/>
    <s v="892721541"/>
    <x v="162"/>
    <x v="618"/>
    <n v="896"/>
    <n v="0"/>
    <n v="0"/>
    <n v="0"/>
    <n v="0"/>
    <n v="896"/>
    <n v="1900"/>
    <x v="503"/>
    <s v="&lt;Клиент не выбран&gt;"/>
    <s v="2025 02"/>
    <n v="1004"/>
    <n v="1.1205357142857142"/>
  </r>
  <r>
    <s v="OZO0132"/>
    <n v="0"/>
    <s v="OZON_OA"/>
    <s v="Доставлен"/>
    <d v="2025-01-02T00:00:00"/>
    <x v="31"/>
    <s v="Спортпит"/>
    <s v="892721541"/>
    <x v="162"/>
    <x v="618"/>
    <n v="896"/>
    <n v="0"/>
    <n v="0"/>
    <n v="0"/>
    <n v="0"/>
    <n v="896"/>
    <n v="2000"/>
    <x v="606"/>
    <s v="&lt;Клиент не выбран&gt;"/>
    <s v="2025 03"/>
    <n v="1104"/>
    <n v="1.2321428571428572"/>
  </r>
  <r>
    <s v="OZO0133"/>
    <n v="0"/>
    <s v="OZON_OA"/>
    <s v="Доставлен"/>
    <d v="2025-01-08T00:00:00"/>
    <x v="31"/>
    <s v="Спортпит"/>
    <s v="169216399"/>
    <x v="239"/>
    <x v="1050"/>
    <n v="952"/>
    <n v="0"/>
    <n v="0"/>
    <n v="0"/>
    <n v="0"/>
    <n v="952"/>
    <n v="2000"/>
    <x v="654"/>
    <s v="&lt;Клиент не выбран&gt;"/>
    <s v="2025 02"/>
    <n v="1048"/>
    <n v="1.1008403361344539"/>
  </r>
  <r>
    <s v="OZO0133"/>
    <n v="0"/>
    <s v="OZON_OA"/>
    <s v="Доставлен"/>
    <d v="2025-01-08T00:00:00"/>
    <x v="31"/>
    <s v="Витамины"/>
    <s v="1095246884"/>
    <x v="104"/>
    <x v="1509"/>
    <n v="1802"/>
    <n v="0"/>
    <n v="0"/>
    <n v="0"/>
    <n v="0"/>
    <n v="1802"/>
    <m/>
    <x v="20"/>
    <m/>
    <s v=""/>
    <n v="-1802"/>
    <s v=""/>
  </r>
  <r>
    <s v="533358970"/>
    <s v="720000589736"/>
    <s v="iHerb_AV CYG0792"/>
    <s v="Доставлен"/>
    <d v="2025-02-16T00:00:00"/>
    <x v="32"/>
    <s v="Витамины"/>
    <s v="CGN-02101"/>
    <x v="1"/>
    <x v="1204"/>
    <n v="91.56"/>
    <n v="-27.47"/>
    <n v="-6.1815023305844381"/>
    <n v="-9.330263573193632E-15"/>
    <n v="2.9581287459694208"/>
    <n v="6293.1261028871913"/>
    <n v="10500"/>
    <x v="693"/>
    <s v="&lt;Клиент не выбран&gt;"/>
    <s v="2025 03"/>
    <n v="4206.8738971128087"/>
    <n v="0.66848714427997213"/>
  </r>
  <r>
    <s v="533358970"/>
    <s v="720000589736"/>
    <s v="iHerb_AV CYG0792"/>
    <s v="Доставлен"/>
    <d v="2025-02-16T00:00:00"/>
    <x v="32"/>
    <s v="Витамины"/>
    <s v="BLB-00298"/>
    <x v="186"/>
    <x v="748"/>
    <n v="9.14"/>
    <n v="-0.91"/>
    <n v="-0.79378630333452849"/>
    <n v="-1.198128712862905E-15"/>
    <n v="0.37986268652408067"/>
    <n v="808.12026566955194"/>
    <n v="1500"/>
    <x v="693"/>
    <s v="&lt;Клиент не выбран&gt;"/>
    <s v="2025 03"/>
    <n v="691.87973433044806"/>
    <n v="0.8561593660285266"/>
  </r>
  <r>
    <s v="533358970"/>
    <s v="720000589736"/>
    <s v="iHerb_AV CYG0792"/>
    <s v="Доставлен"/>
    <d v="2025-02-16T00:00:00"/>
    <x v="32"/>
    <s v="Витамины"/>
    <s v="BLB-00208"/>
    <x v="186"/>
    <x v="1448"/>
    <n v="32.29"/>
    <n v="-3.23"/>
    <n v="-2.8028468985299386"/>
    <n v="-4.2305735596349962E-15"/>
    <n v="1.3412891458553804"/>
    <n v="2853.4598931175183"/>
    <n v="3800"/>
    <x v="693"/>
    <s v="&lt;Клиент не выбран&gt;"/>
    <s v="2025 03"/>
    <n v="946.54010688248172"/>
    <n v="0.33171663255737899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80"/>
    <x v="606"/>
    <s v="&lt;Клиент не выбран&gt;"/>
    <s v="2025 03"/>
    <n v="644.11326583460027"/>
    <n v="0.41937549918654071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80"/>
    <x v="606"/>
    <s v="&lt;Клиент не выбран&gt;"/>
    <s v="2025 03"/>
    <n v="644.11326583460027"/>
    <n v="0.41937549918654071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80"/>
    <x v="606"/>
    <s v="&lt;Клиент не выбран&gt;"/>
    <s v="2025 03"/>
    <n v="644.11326583460027"/>
    <n v="0.41937549918654071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80"/>
    <x v="606"/>
    <s v="&lt;Клиент не выбран&gt;"/>
    <s v="2025 03"/>
    <n v="644.11326583460027"/>
    <n v="0.41937549918654071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80"/>
    <x v="606"/>
    <s v="&lt;Клиент не выбран&gt;"/>
    <s v="2025 03"/>
    <n v="644.11326583460027"/>
    <n v="0.41937549918654071"/>
  </r>
  <r>
    <s v="533358970"/>
    <s v="720000589736"/>
    <s v="iHerb_AV CYG0792"/>
    <s v="Доставлен"/>
    <d v="2025-02-16T00:00:00"/>
    <x v="32"/>
    <s v="Витамины"/>
    <s v="NOW-04632"/>
    <x v="3"/>
    <x v="1401"/>
    <n v="17.38"/>
    <n v="-1.7383333333333333"/>
    <n v="-1.5086440779251817"/>
    <n v="-2.2771239307854119E-15"/>
    <n v="0.72195449838568182"/>
    <n v="1535.8867341653997"/>
    <n v="2100"/>
    <x v="606"/>
    <s v="&lt;Клиент не выбран&gt;"/>
    <s v="2025 03"/>
    <n v="564.11326583460027"/>
    <n v="0.36728832490446583"/>
  </r>
  <r>
    <s v="533847256"/>
    <s v="720000607055"/>
    <s v="iHerb_MH DLE7202"/>
    <s v="Доставлен"/>
    <d v="2025-03-05T00:00:00"/>
    <x v="33"/>
    <s v="Витамины"/>
    <s v="DRB-00087"/>
    <x v="6"/>
    <x v="1374"/>
    <n v="24.7"/>
    <n v="-2.4700000000000002"/>
    <n v="-2.0611379604002562"/>
    <n v="6.7257249375972029E-15"/>
    <n v="0.5491987379335036"/>
    <n v="2071.0780407707061"/>
    <n v="3000"/>
    <x v="738"/>
    <s v="&lt;Клиент не выбран&gt;"/>
    <s v="2025 04"/>
    <n v="928.92195922929386"/>
    <n v="0.44852098324774664"/>
  </r>
  <r>
    <s v="533847256"/>
    <s v="720000607055"/>
    <s v="iHerb_MH DLE7202"/>
    <s v="Доставлен"/>
    <d v="2025-03-05T00:00:00"/>
    <x v="33"/>
    <s v="Витамины"/>
    <s v="CAR-01526"/>
    <x v="154"/>
    <x v="1510"/>
    <n v="42.92"/>
    <n v="-4.29"/>
    <n v="-3.5817255695124564"/>
    <n v="1.1687573294618981E-14"/>
    <n v="0.95436559812736144"/>
    <n v="3598.9988625718565"/>
    <n v="4800"/>
    <x v="738"/>
    <s v="&lt;Клиент не выбран&gt;"/>
    <s v="2025 04"/>
    <n v="1201.0011374281435"/>
    <n v="0.33370422811690026"/>
  </r>
  <r>
    <s v="533847256"/>
    <s v="720000607055"/>
    <s v="iHerb_MH DLE7202"/>
    <s v="Доставлен"/>
    <d v="2025-03-05T00:00:00"/>
    <x v="33"/>
    <s v="Витамины"/>
    <s v="LAK-00003"/>
    <x v="295"/>
    <x v="1511"/>
    <n v="8.1"/>
    <n v="-0.81"/>
    <n v="-0.6759197360017033"/>
    <n v="2.2056021050419972E-15"/>
    <n v="0.1801016104154404"/>
    <n v="679.17943847136496"/>
    <m/>
    <x v="20"/>
    <m/>
    <s v=""/>
    <n v="-679.17943847136496"/>
    <s v=""/>
  </r>
  <r>
    <s v="533847256"/>
    <s v="720000607055"/>
    <s v="iHerb_MH DLE7202"/>
    <s v="Доставлен"/>
    <d v="2025-03-05T00:00:00"/>
    <x v="33"/>
    <s v="Витамины"/>
    <s v="EVL-02760"/>
    <x v="125"/>
    <x v="771"/>
    <n v="16.239999999999998"/>
    <n v="-3.25"/>
    <n v="-1.2044166489248458"/>
    <n v="3.9301469608361515E-15"/>
    <n v="0.32092179962915929"/>
    <n v="1210.2250899510329"/>
    <n v="2200"/>
    <x v="738"/>
    <s v="&lt;Клиент не выбран&gt;"/>
    <s v="2025 04"/>
    <n v="989.77491004896706"/>
    <n v="0.81784365426518668"/>
  </r>
  <r>
    <s v="533847256"/>
    <s v="720000607055"/>
    <s v="iHerb_MH DLE7202"/>
    <s v="Доставлен"/>
    <d v="2025-03-05T00:00:00"/>
    <x v="33"/>
    <s v="Витамины"/>
    <s v="NOW-03168"/>
    <x v="3"/>
    <x v="531"/>
    <n v="21.74"/>
    <n v="-2.17"/>
    <n v="-1.8145060677027898"/>
    <n v="5.9209373382265973E-15"/>
    <n v="0.48348264963376808"/>
    <n v="1823.2567367468607"/>
    <n v="2800"/>
    <x v="738"/>
    <s v="&lt;Клиент не выбран&gt;"/>
    <s v="2025 04"/>
    <n v="976.74326325313928"/>
    <n v="0.53571350845295107"/>
  </r>
  <r>
    <s v="533847256"/>
    <s v="720000607055"/>
    <s v="iHerb_MH DLE7202"/>
    <s v="Доставлен"/>
    <d v="2025-03-05T00:00:00"/>
    <x v="33"/>
    <s v="Витамины"/>
    <s v="SNS-00803"/>
    <x v="151"/>
    <x v="868"/>
    <n v="17.64"/>
    <n v="-1.7649999999999999"/>
    <n v="-1.4719102618692785"/>
    <n v="4.8030086992512639E-15"/>
    <n v="0.39219657960838372"/>
    <n v="1479.0087223227599"/>
    <n v="2400"/>
    <x v="738"/>
    <s v="&lt;Клиент не выбран&gt;"/>
    <s v="2025 04"/>
    <n v="920.99127767724008"/>
    <n v="0.62270848290254688"/>
  </r>
  <r>
    <s v="533847256"/>
    <s v="720000607055"/>
    <s v="iHerb_MH DLE7202"/>
    <s v="Доставлен"/>
    <d v="2025-03-05T00:00:00"/>
    <x v="33"/>
    <s v="Витамины"/>
    <s v="SNS-00803"/>
    <x v="151"/>
    <x v="868"/>
    <n v="17.64"/>
    <n v="-1.7649999999999999"/>
    <n v="-1.4719102618692785"/>
    <n v="4.8030086992512639E-15"/>
    <n v="0.39219657960838372"/>
    <n v="1479.0087223227599"/>
    <n v="2450"/>
    <x v="738"/>
    <s v="&lt;Клиент не выбран&gt;"/>
    <s v="2025 04"/>
    <n v="970.99127767724008"/>
    <n v="0.65651490962968329"/>
  </r>
  <r>
    <s v="533847256"/>
    <s v="720000607055"/>
    <s v="iHerb_MH DLE7202"/>
    <s v="Доставлен"/>
    <d v="2025-03-05T00:00:00"/>
    <x v="33"/>
    <s v="Витамины"/>
    <s v="NOW-03369"/>
    <x v="3"/>
    <x v="431"/>
    <n v="28.99"/>
    <n v="-2.9"/>
    <n v="-2.4190323610815421"/>
    <n v="7.8935746118718409E-15"/>
    <n v="0.64456118185717992"/>
    <n v="2430.6984293165865"/>
    <n v="3400"/>
    <x v="738"/>
    <s v="&lt;Клиент не выбран&gt;"/>
    <s v="2025 04"/>
    <n v="969.3015706834135"/>
    <n v="0.39877491958389166"/>
  </r>
  <r>
    <s v="533847256"/>
    <s v="720000607055"/>
    <s v="iHerb_MH DLE7202"/>
    <s v="Доставлен"/>
    <d v="2025-03-05T00:00:00"/>
    <x v="33"/>
    <s v="Витамины"/>
    <s v="NOW-02126"/>
    <x v="3"/>
    <x v="1512"/>
    <n v="21.41"/>
    <n v="-2.14"/>
    <n v="-1.7866904407068345"/>
    <n v="5.830171819500589E-15"/>
    <n v="0.47607106072778299"/>
    <n v="1795.3069656163518"/>
    <n v="3000"/>
    <x v="738"/>
    <s v="&lt;Клиент не выбран&gt;"/>
    <s v="2025 04"/>
    <n v="1204.6930343836482"/>
    <n v="0.67102342800194159"/>
  </r>
  <r>
    <s v="533847256"/>
    <s v="720000607055"/>
    <s v="iHerb_MH DLE7202"/>
    <s v="Доставлен"/>
    <d v="2025-03-05T00:00:00"/>
    <x v="33"/>
    <s v="Витамины"/>
    <s v="CAL-86331"/>
    <x v="138"/>
    <x v="1513"/>
    <n v="11.18"/>
    <n v="-1.1200000000000001"/>
    <n v="-0.93275069193101989"/>
    <n v="3.0436703946121387E-15"/>
    <n v="0.24853528131403713"/>
    <n v="937.24899190973008"/>
    <n v="1600"/>
    <x v="800"/>
    <s v="&lt;Клиент не выбран&gt;"/>
    <s v="2025 04"/>
    <n v="662.75100809026992"/>
    <n v="0.70712373532656936"/>
  </r>
  <r>
    <s v="533470788"/>
    <s v="722500390938"/>
    <s v="iHerb_OA CZN6870"/>
    <s v="Доставлен"/>
    <d v="2025-03-20T00:00:00"/>
    <x v="33"/>
    <s v="Витамины"/>
    <s v="ARG-50220"/>
    <x v="296"/>
    <x v="1514"/>
    <n v="25.97"/>
    <n v="-5.19"/>
    <n v="-1.0483099394002175"/>
    <n v="6.1180206346278066E-15"/>
    <n v="0.48543737264894221"/>
    <n v="2079.8641404671894"/>
    <n v="3000"/>
    <x v="738"/>
    <s v="&lt;Клиент не выбран&gt;"/>
    <s v="2025 04"/>
    <n v="920.13585953281063"/>
    <n v="0.44240190579281063"/>
  </r>
  <r>
    <s v="533470788"/>
    <s v="722500390938"/>
    <s v="iHerb_OA CZN6870"/>
    <s v="Доставлен"/>
    <d v="2025-03-20T00:00:00"/>
    <x v="33"/>
    <s v="Витамины"/>
    <s v="FPI-03102"/>
    <x v="297"/>
    <x v="1515"/>
    <n v="36.51"/>
    <n v="-7.3"/>
    <n v="-1.4735867819961672"/>
    <n v="8.5999702953550639E-15"/>
    <n v="0.68236889581692028"/>
    <n v="2923.6203822447828"/>
    <n v="4200"/>
    <x v="749"/>
    <s v="&lt;Клиент не выбран&gt;"/>
    <s v="2025 04"/>
    <n v="1276.3796177552172"/>
    <n v="0.43657501688888933"/>
  </r>
  <r>
    <s v="533470788"/>
    <s v="722500390938"/>
    <s v="iHerb_OA CZN6870"/>
    <s v="Доставлен"/>
    <d v="2025-03-20T00:00:00"/>
    <x v="33"/>
    <s v="Витамины"/>
    <s v="YOU-00722"/>
    <x v="71"/>
    <x v="1516"/>
    <n v="27.07"/>
    <n v="-5.41"/>
    <n v="-1.092704200549024"/>
    <n v="6.3771090926871176E-15"/>
    <n v="0.50599487447430647"/>
    <n v="2167.9430838555977"/>
    <n v="3300"/>
    <x v="749"/>
    <s v="&lt;Клиент не выбран&gt;"/>
    <s v="2025 04"/>
    <n v="1132.0569161444023"/>
    <n v="0.52218018294607882"/>
  </r>
  <r>
    <s v="533470788"/>
    <s v="722500390938"/>
    <s v="iHerb_OA CZN6870"/>
    <s v="Доставлен"/>
    <d v="2025-03-20T00:00:00"/>
    <x v="33"/>
    <s v="Витамины"/>
    <s v="AAM-00105"/>
    <x v="298"/>
    <x v="1517"/>
    <n v="45.16"/>
    <n v="-9.0299999999999994"/>
    <n v="-1.8226871083026883"/>
    <n v="1.0637347715548731E-14"/>
    <n v="0.84402561471637549"/>
    <n v="3616.2411643445389"/>
    <n v="5000"/>
    <x v="410"/>
    <s v="&lt;Клиент не выбран&gt;"/>
    <s v="2025 04"/>
    <n v="1383.7588356554611"/>
    <n v="0.38265114873948791"/>
  </r>
  <r>
    <s v="533470788"/>
    <s v="722500390938"/>
    <s v="iHerb_OA CZN6870"/>
    <s v="Доставлен"/>
    <d v="2025-03-20T00:00:00"/>
    <x v="33"/>
    <s v="Витамины"/>
    <s v="AAM-00176"/>
    <x v="298"/>
    <x v="1518"/>
    <n v="22.56"/>
    <n v="-4.51"/>
    <n v="-0.91058683379085315"/>
    <n v="5.3142575772392639E-15"/>
    <n v="0.42166239539525541"/>
    <n v="1806.619236546331"/>
    <n v="2700"/>
    <x v="410"/>
    <s v="&lt;Клиент не выбран&gt;"/>
    <s v="2025 04"/>
    <n v="893.38076345366903"/>
    <n v="0.49450417961978682"/>
  </r>
  <r>
    <s v="533470788"/>
    <s v="722500390938"/>
    <s v="iHerb_OA CZN6870"/>
    <s v="Доставлен"/>
    <d v="2025-03-20T00:00:00"/>
    <x v="33"/>
    <s v="Витамины"/>
    <s v="NAP-29942"/>
    <x v="11"/>
    <x v="861"/>
    <n v="13.29"/>
    <n v="-2.66"/>
    <n v="-0.53626249546796501"/>
    <n v="3.1296708058755335E-15"/>
    <n v="0.24832527773138863"/>
    <n v="1063.9536002486152"/>
    <n v="1800"/>
    <x v="749"/>
    <s v="&lt;Клиент не выбран&gt;"/>
    <s v="2025 04"/>
    <n v="736.0463997513848"/>
    <n v="0.69180310079254592"/>
  </r>
  <r>
    <s v="533470788"/>
    <s v="722500390938"/>
    <s v="iHerb_OA CZN6870"/>
    <s v="Доставлен"/>
    <d v="2025-03-20T00:00:00"/>
    <x v="33"/>
    <s v="Витамины"/>
    <s v="NAP-29950"/>
    <x v="11"/>
    <x v="350"/>
    <n v="9.9600000000000009"/>
    <n v="-1.99"/>
    <n v="-0.402070751540892"/>
    <n v="2.3465170576508001E-15"/>
    <n v="0.18618555630471947"/>
    <n v="797.71497591547165"/>
    <n v="1700"/>
    <x v="619"/>
    <s v="&lt;Клиент не выбран&gt;"/>
    <s v="2025 05"/>
    <n v="902.28502408452835"/>
    <n v="1.1310869813482569"/>
  </r>
  <r>
    <s v="533470788"/>
    <s v="722500390938"/>
    <s v="iHerb_OA CZN6870"/>
    <s v="Доставлен"/>
    <d v="2025-03-20T00:00:00"/>
    <x v="33"/>
    <s v="Витамины"/>
    <s v="NOW-02313"/>
    <x v="3"/>
    <x v="87"/>
    <n v="23.95"/>
    <n v="-4.79"/>
    <n v="-0.96658414046718832"/>
    <n v="5.641062336836804E-15"/>
    <n v="0.447592880652249"/>
    <n v="1917.7188128658011"/>
    <n v="2900"/>
    <x v="737"/>
    <s v="Татьяна Виноград"/>
    <s v="2025 10"/>
    <n v="982.28118713419894"/>
    <n v="0.51221335502585874"/>
  </r>
  <r>
    <s v="533470788"/>
    <s v="722500390938"/>
    <s v="iHerb_OA CZN6870"/>
    <s v="Доставлен"/>
    <d v="2025-03-20T00:00:00"/>
    <x v="33"/>
    <s v="Витамины"/>
    <s v="NOW-02313"/>
    <x v="3"/>
    <x v="87"/>
    <n v="23.95"/>
    <n v="-4.79"/>
    <n v="-0.96658414046718832"/>
    <n v="5.641062336836804E-15"/>
    <n v="0.447592880652249"/>
    <n v="1917.7188128658011"/>
    <n v="2900"/>
    <x v="801"/>
    <s v="Даша Калифорния"/>
    <s v="2025 10"/>
    <n v="982.28118713419894"/>
    <n v="0.51221335502585874"/>
  </r>
  <r>
    <s v="533470788"/>
    <s v="722500390938"/>
    <s v="iHerb_OA CZN6870"/>
    <s v="Доставлен"/>
    <d v="2025-03-20T00:00:00"/>
    <x v="33"/>
    <s v="Косметика"/>
    <s v="MIE-73006"/>
    <x v="299"/>
    <x v="1519"/>
    <n v="12.9"/>
    <n v="-2.58"/>
    <n v="-0.52062360801781749"/>
    <n v="3.0384010081500948E-15"/>
    <n v="0.24108343049745354"/>
    <n v="1032.9257906458804"/>
    <m/>
    <x v="20"/>
    <m/>
    <s v=""/>
    <n v="-1032.9257906458804"/>
    <s v=""/>
  </r>
  <r>
    <s v="533606851"/>
    <s v="722500394950"/>
    <s v="iHerb_OA CZN6870"/>
    <s v="Доставлен"/>
    <d v="2025-02-24T00:00:00"/>
    <x v="32"/>
    <s v="Витамины"/>
    <s v="ALG-70220"/>
    <x v="300"/>
    <x v="1520"/>
    <n v="27.09"/>
    <n v="-5.42"/>
    <n v="0"/>
    <n v="4.7300395004750401E-15"/>
    <n v="0.76288638987609225"/>
    <n v="2270.6899764227028"/>
    <n v="3300"/>
    <x v="410"/>
    <s v="&lt;Клиент не выбран&gt;"/>
    <s v="2025 04"/>
    <n v="1029.3100235772972"/>
    <n v="0.45330275566675815"/>
  </r>
  <r>
    <s v="533606851"/>
    <s v="722500394950"/>
    <s v="iHerb_OA CZN6870"/>
    <s v="Доставлен"/>
    <d v="2025-02-24T00:00:00"/>
    <x v="32"/>
    <s v="Витамины"/>
    <s v="NOW-04628"/>
    <x v="3"/>
    <x v="1521"/>
    <n v="18.11"/>
    <n v="-3.62"/>
    <n v="0"/>
    <n v="3.1628182908114132E-15"/>
    <n v="0.5101164646656472"/>
    <n v="1518.3339990016132"/>
    <n v="2400"/>
    <x v="802"/>
    <s v="&lt;Клиент не выбран&gt;"/>
    <s v="2025 04"/>
    <n v="881.66600099838683"/>
    <n v="0.58067987779904162"/>
  </r>
  <r>
    <s v="533606851"/>
    <s v="722500394950"/>
    <s v="iHerb_OA CZN6870"/>
    <s v="Доставлен"/>
    <d v="2025-02-24T00:00:00"/>
    <x v="32"/>
    <s v="Витамины"/>
    <s v="LEX-13271"/>
    <x v="7"/>
    <x v="835"/>
    <n v="14.18"/>
    <n v="-2.84"/>
    <n v="0"/>
    <n v="2.4752490971567582E-15"/>
    <n v="0.39922158104268046"/>
    <n v="1188.2613905230016"/>
    <n v="1900"/>
    <x v="410"/>
    <s v="&lt;Клиент не выбран&gt;"/>
    <s v="2025 04"/>
    <n v="711.73860947699836"/>
    <n v="0.59897478379208602"/>
  </r>
  <r>
    <s v="533606851"/>
    <s v="722500394950"/>
    <s v="iHerb_OA CZN6870"/>
    <s v="Доставлен"/>
    <d v="2025-02-24T00:00:00"/>
    <x v="32"/>
    <s v="Витамины"/>
    <s v="SNS-00803"/>
    <x v="151"/>
    <x v="868"/>
    <n v="17.64"/>
    <n v="-3.53"/>
    <n v="0"/>
    <n v="3.0798734357038681E-15"/>
    <n v="0.49673866918097198"/>
    <n v="1478.515716074035"/>
    <n v="2450"/>
    <x v="738"/>
    <s v="&lt;Клиент не выбран&gt;"/>
    <s v="2025 04"/>
    <n v="971.48428392596497"/>
    <n v="0.65706726912960256"/>
  </r>
  <r>
    <s v="533606851"/>
    <s v="722500394950"/>
    <s v="iHerb_OA CZN6870"/>
    <s v="Доставлен"/>
    <d v="2025-02-24T00:00:00"/>
    <x v="32"/>
    <s v="Витамины"/>
    <s v="NOW-00142"/>
    <x v="3"/>
    <x v="1207"/>
    <n v="10.130000000000001"/>
    <n v="-2.0299999999999998"/>
    <n v="0"/>
    <n v="1.7680350693976847E-15"/>
    <n v="0.28515827217334322"/>
    <n v="848.75813608785847"/>
    <n v="1700"/>
    <x v="450"/>
    <m/>
    <s v="2025 07"/>
    <n v="851.24186391214153"/>
    <n v="1.0029263081185074"/>
  </r>
  <r>
    <s v="533606851"/>
    <s v="722500394950"/>
    <s v="iHerb_OA CZN6870"/>
    <s v="Доставлен"/>
    <d v="2025-02-24T00:00:00"/>
    <x v="32"/>
    <s v="Витамины"/>
    <s v="GSB-68118"/>
    <x v="301"/>
    <x v="1522"/>
    <n v="32.49"/>
    <n v="-6.5"/>
    <n v="0"/>
    <n v="5.6729915374871384E-15"/>
    <n v="0.91497080170187528"/>
    <n v="2723.3609823362276"/>
    <n v="3800"/>
    <x v="410"/>
    <s v="&lt;Клиент не выбран&gt;"/>
    <s v="2025 04"/>
    <n v="1076.6390176637724"/>
    <n v="0.39533467088897656"/>
  </r>
  <r>
    <s v="533606851"/>
    <s v="722500394950"/>
    <s v="iHerb_OA CZN6870"/>
    <s v="Доставлен"/>
    <d v="2025-02-24T00:00:00"/>
    <x v="32"/>
    <s v="Витамины"/>
    <s v="CEN-22338"/>
    <x v="2"/>
    <x v="829"/>
    <n v="10.11"/>
    <n v="-2.02"/>
    <n v="0"/>
    <n v="1.765852310052749E-15"/>
    <n v="0.28480622492374646"/>
    <n v="847.71028653713267"/>
    <n v="1500"/>
    <x v="787"/>
    <s v="&lt;Клиент не выбран&gt;"/>
    <s v="2025 04"/>
    <n v="652.28971346286733"/>
    <n v="0.76947245282046572"/>
  </r>
  <r>
    <s v="533606851"/>
    <s v="722500394950"/>
    <s v="iHerb_OA CZN6870"/>
    <s v="Доставлен"/>
    <d v="2025-02-24T00:00:00"/>
    <x v="32"/>
    <s v="Витамины"/>
    <s v="NOW-02680"/>
    <x v="3"/>
    <x v="714"/>
    <n v="9.41"/>
    <n v="-1.88"/>
    <n v="0"/>
    <n v="1.643617786736366E-15"/>
    <n v="0.26509157894633018"/>
    <n v="789.0307116964907"/>
    <n v="1400"/>
    <x v="787"/>
    <s v="&lt;Клиент не выбран&gt;"/>
    <s v="2025 04"/>
    <n v="610.9692883035093"/>
    <n v="0.77432890665290777"/>
  </r>
  <r>
    <s v="533606851"/>
    <s v="722500394950"/>
    <s v="iHerb_OA CZN6870"/>
    <s v="Доставлен"/>
    <d v="2025-02-24T00:00:00"/>
    <x v="32"/>
    <s v="Витамины"/>
    <s v="NCS-67202"/>
    <x v="217"/>
    <x v="1304"/>
    <n v="23.61"/>
    <n v="-4.72"/>
    <n v="0"/>
    <n v="4.123232402582995E-15"/>
    <n v="0.66501725448820403"/>
    <n v="1979.3878013209442"/>
    <n v="3200"/>
    <x v="410"/>
    <s v="&lt;Клиент не выбран&gt;"/>
    <s v="2025 04"/>
    <n v="1220.6121986790558"/>
    <n v="0.61666147374682234"/>
  </r>
  <r>
    <s v="533939490"/>
    <s v="722500403983"/>
    <s v="iHerb_OA CZN6870"/>
    <s v="Доставлен"/>
    <d v="2025-03-09T00:00:00"/>
    <x v="33"/>
    <s v="Витамины"/>
    <s v="LEX-24031"/>
    <x v="7"/>
    <x v="1454"/>
    <n v="12.6"/>
    <n v="-1.26"/>
    <n v="-2.0172808132147395"/>
    <n v="0"/>
    <n v="0.26425845009629945"/>
    <n v="970.21754714104202"/>
    <n v="1800"/>
    <x v="410"/>
    <s v="&lt;Клиент не выбран&gt;"/>
    <s v="2025 04"/>
    <n v="829.78245285895798"/>
    <n v="0.8552540152505933"/>
  </r>
  <r>
    <s v="533939490"/>
    <s v="722500403983"/>
    <s v="iHerb_OA CZN6870"/>
    <s v="Доставлен"/>
    <d v="2025-03-09T00:00:00"/>
    <x v="33"/>
    <s v="Витамины"/>
    <s v="NOW-04726"/>
    <x v="3"/>
    <x v="48"/>
    <n v="17.38"/>
    <n v="-1.74"/>
    <n v="-2.782210927573062"/>
    <n v="0"/>
    <n v="0.36446227156138655"/>
    <n v="1338.113089707751"/>
    <n v="2400"/>
    <x v="668"/>
    <s v="&lt;Клиент не выбран&gt;"/>
    <s v="2025 04"/>
    <n v="1061.886910292249"/>
    <n v="0.79357037791489593"/>
  </r>
  <r>
    <s v="533939490"/>
    <s v="722500403983"/>
    <s v="iHerb_OA CZN6870"/>
    <s v="Доставлен"/>
    <d v="2025-03-09T00:00:00"/>
    <x v="33"/>
    <s v="Витамины"/>
    <s v="NOW-04726"/>
    <x v="3"/>
    <x v="48"/>
    <n v="17.38"/>
    <n v="-1.74"/>
    <n v="-2.782210927573062"/>
    <n v="0"/>
    <n v="0.36446227156138655"/>
    <n v="1338.113089707751"/>
    <n v="2300"/>
    <x v="760"/>
    <s v="Даша Калифорния"/>
    <s v="2025 07"/>
    <n v="961.88691029224901"/>
    <n v="0.71883827883510865"/>
  </r>
  <r>
    <s v="533939490"/>
    <s v="722500403983"/>
    <s v="iHerb_OA CZN6870"/>
    <s v="Доставлен"/>
    <d v="2025-03-09T00:00:00"/>
    <x v="33"/>
    <s v="Витамины"/>
    <s v="THR-01131"/>
    <x v="82"/>
    <x v="1523"/>
    <n v="53"/>
    <n v="-10.6"/>
    <n v="-7.5425667090216013"/>
    <n v="0"/>
    <n v="0.98805628607434715"/>
    <n v="3627.6211639135963"/>
    <n v="5800"/>
    <x v="738"/>
    <s v="&lt;Клиент не выбран&gt;"/>
    <s v="2025 04"/>
    <n v="2172.3788360864037"/>
    <n v="0.5988439084258651"/>
  </r>
  <r>
    <s v="533939490"/>
    <s v="722500403983"/>
    <s v="iHerb_OA CZN6870"/>
    <s v="Доставлен"/>
    <d v="2025-03-09T00:00:00"/>
    <x v="33"/>
    <s v="Витамины"/>
    <s v="NFS-26841"/>
    <x v="23"/>
    <x v="1524"/>
    <n v="61.44"/>
    <n v="-6.14"/>
    <n v="-9.8373570520965696"/>
    <n v="0"/>
    <n v="1.2886677504696082"/>
    <n v="4731.3077916137227"/>
    <n v="6700"/>
    <x v="677"/>
    <s v="&lt;Клиент не выбран&gt;"/>
    <s v="2025 04"/>
    <n v="1968.6922083862773"/>
    <n v="0.41609895088114929"/>
  </r>
  <r>
    <s v="533939490"/>
    <s v="722500403983"/>
    <s v="iHerb_OA CZN6870"/>
    <s v="Доставлен"/>
    <d v="2025-03-09T00:00:00"/>
    <x v="33"/>
    <s v="Витамины"/>
    <s v="NFS-02684"/>
    <x v="23"/>
    <x v="1525"/>
    <n v="33.6"/>
    <n v="-3.36"/>
    <n v="-5.3794155019059726"/>
    <n v="0"/>
    <n v="0.7046892002567986"/>
    <n v="2587.2467923761119"/>
    <n v="3700"/>
    <x v="800"/>
    <s v="&lt;Клиент не выбран&gt;"/>
    <s v="2025 04"/>
    <n v="1112.7532076238881"/>
    <n v="0.43009163675566575"/>
  </r>
  <r>
    <s v="533939490"/>
    <s v="722500403983"/>
    <s v="iHerb_OA CZN6870"/>
    <s v="Доставлен"/>
    <d v="2025-03-09T00:00:00"/>
    <x v="33"/>
    <s v="Витамины"/>
    <s v="CGN-02061"/>
    <x v="1"/>
    <x v="976"/>
    <n v="19"/>
    <n v="-5.7"/>
    <n v="-2.3659466327827192"/>
    <n v="0"/>
    <n v="0.30993275011294386"/>
    <n v="1137.9094688691234"/>
    <n v="2700"/>
    <x v="786"/>
    <s v="&lt;Клиент не выбран&gt;"/>
    <s v="2025 03"/>
    <n v="1562.0905311308766"/>
    <n v="1.3727722405573377"/>
  </r>
  <r>
    <s v="533939490"/>
    <s v="722500403983"/>
    <s v="iHerb_OA CZN6870"/>
    <s v="Доставлен"/>
    <d v="2025-03-09T00:00:00"/>
    <x v="33"/>
    <s v="Витамины"/>
    <s v="CAR-01270"/>
    <x v="154"/>
    <x v="1526"/>
    <n v="14.32"/>
    <n v="-1.43"/>
    <n v="-2.2930114358322746"/>
    <n v="0"/>
    <n v="0.30037843225231925"/>
    <n v="1102.8310566709024"/>
    <n v="2000"/>
    <x v="738"/>
    <s v="&lt;Клиент не выбран&gt;"/>
    <s v="2025 04"/>
    <n v="897.1689433290976"/>
    <n v="0.81351439815030824"/>
  </r>
  <r>
    <s v="533914036"/>
    <s v="722500403415"/>
    <s v="iHerb_VP DFD1605"/>
    <s v="Доставлен"/>
    <d v="2025-03-08T00:00:00"/>
    <x v="33"/>
    <s v="Витамины"/>
    <s v="CGN-02061"/>
    <x v="1"/>
    <x v="976"/>
    <n v="19"/>
    <n v="-5.7"/>
    <n v="0"/>
    <n v="1.9860701698333073E-15"/>
    <n v="0.32668151358058545"/>
    <n v="1352.470871643987"/>
    <n v="2800"/>
    <x v="738"/>
    <s v="&lt;Клиент не выбран&gt;"/>
    <s v="2025 04"/>
    <n v="1447.529128356013"/>
    <n v="1.0702848828059996"/>
  </r>
  <r>
    <s v="533914036"/>
    <s v="722500403415"/>
    <s v="iHerb_VP DFD1605"/>
    <s v="Доставлен"/>
    <d v="2025-03-08T00:00:00"/>
    <x v="33"/>
    <s v="Витамины"/>
    <s v="CGN-02060"/>
    <x v="1"/>
    <x v="862"/>
    <n v="48.06"/>
    <n v="-14.42"/>
    <n v="0"/>
    <n v="5.0234135724204851E-15"/>
    <n v="0.82628316668051849"/>
    <n v="3420.836099406295"/>
    <n v="5200"/>
    <x v="704"/>
    <s v="Любовь Виталий"/>
    <s v="2025 10"/>
    <n v="1779.163900593705"/>
    <n v="0.52009621299964903"/>
  </r>
  <r>
    <s v="533914036"/>
    <s v="722500403415"/>
    <s v="iHerb_VP DFD1605"/>
    <s v="Доставлен"/>
    <d v="2025-03-08T00:00:00"/>
    <x v="33"/>
    <s v="Витамины"/>
    <s v="BLB-00208"/>
    <x v="186"/>
    <x v="1448"/>
    <n v="32.29"/>
    <n v="-3.23"/>
    <n v="0"/>
    <n v="4.3394886567936765E-15"/>
    <n v="0.71378682591367015"/>
    <n v="2955.0980097725005"/>
    <n v="4000"/>
    <x v="738"/>
    <s v="&lt;Клиент не выбран&gt;"/>
    <s v="2025 04"/>
    <n v="1044.9019902274995"/>
    <n v="0.35359300665223681"/>
  </r>
  <r>
    <s v="533914036"/>
    <s v="722500403415"/>
    <s v="iHerb_VP DFD1605"/>
    <s v="Доставлен"/>
    <d v="2025-03-08T00:00:00"/>
    <x v="33"/>
    <s v="Витамины"/>
    <s v="BLB-00208"/>
    <x v="186"/>
    <x v="1448"/>
    <n v="32.29"/>
    <n v="-3.23"/>
    <n v="0"/>
    <n v="4.3394886567936765E-15"/>
    <n v="0.71378682591367015"/>
    <n v="2955.0980097725005"/>
    <n v="4000"/>
    <x v="677"/>
    <s v="&lt;Клиент не выбран&gt;"/>
    <s v="2025 04"/>
    <n v="1044.9019902274995"/>
    <n v="0.35359300665223681"/>
  </r>
  <r>
    <s v="533914036"/>
    <s v="722500403415"/>
    <s v="iHerb_VP DFD1605"/>
    <s v="Доставлен"/>
    <d v="2025-03-08T00:00:00"/>
    <x v="33"/>
    <s v="Витамины"/>
    <s v="BLB-00208"/>
    <x v="186"/>
    <x v="1448"/>
    <n v="32.29"/>
    <n v="-3.23"/>
    <n v="0"/>
    <n v="4.3394886567936765E-15"/>
    <n v="0.71378682591367015"/>
    <n v="2955.0980097725005"/>
    <n v="4000"/>
    <x v="677"/>
    <s v="&lt;Клиент не выбран&gt;"/>
    <s v="2025 04"/>
    <n v="1044.9019902274995"/>
    <n v="0.35359300665223681"/>
  </r>
  <r>
    <s v="533914036"/>
    <s v="722500403415"/>
    <s v="iHerb_VP DFD1605"/>
    <s v="Доставлен"/>
    <d v="2025-03-08T00:00:00"/>
    <x v="33"/>
    <s v="Витамины"/>
    <s v="BLB-00979"/>
    <x v="186"/>
    <x v="1527"/>
    <n v="44.81"/>
    <n v="-4.4800000000000004"/>
    <n v="0"/>
    <n v="6.0224218007050581E-15"/>
    <n v="0.99060642426353462"/>
    <n v="4101.1391167971424"/>
    <n v="5000"/>
    <x v="738"/>
    <s v="&lt;Клиент не выбран&gt;"/>
    <s v="2025 04"/>
    <n v="898.86088320285762"/>
    <n v="0.21917346805461188"/>
  </r>
  <r>
    <s v="533914036"/>
    <s v="722500403415"/>
    <s v="iHerb_VP DFD1605"/>
    <s v="Доставлен"/>
    <d v="2025-03-08T00:00:00"/>
    <x v="33"/>
    <s v="Витамины"/>
    <s v="SNS-00803"/>
    <x v="151"/>
    <x v="868"/>
    <n v="17.64"/>
    <n v="-1.76"/>
    <n v="0"/>
    <n v="2.3713379170641291E-15"/>
    <n v="0.39005281471125547"/>
    <n v="1614.8298828350762"/>
    <n v="2500"/>
    <x v="663"/>
    <s v="&lt;Клиент не выбран&gt;"/>
    <s v="2025 04"/>
    <n v="885.17011716492379"/>
    <n v="0.54815069164491481"/>
  </r>
  <r>
    <s v="41967791811"/>
    <n v="0"/>
    <s v="YAMARKET"/>
    <s v="Доставлен"/>
    <d v="2025-03-04T00:00:00"/>
    <x v="33"/>
    <s v="Парфюм"/>
    <s v="w12750"/>
    <x v="232"/>
    <x v="1060"/>
    <n v="1921"/>
    <n v="0"/>
    <n v="0"/>
    <n v="0"/>
    <n v="0"/>
    <n v="1921"/>
    <n v="2500"/>
    <x v="606"/>
    <s v="&lt;Клиент не выбран&gt;"/>
    <s v="2025 03"/>
    <n v="579"/>
    <n v="0.30140551795939613"/>
  </r>
  <r>
    <s v="570644528"/>
    <n v="0"/>
    <s v="YAMARKET"/>
    <s v="Доставлен"/>
    <d v="2024-10-22T00:00:00"/>
    <x v="28"/>
    <s v="Спортпит"/>
    <s v="000000150"/>
    <x v="118"/>
    <x v="1339"/>
    <n v="2980"/>
    <n v="0"/>
    <n v="0"/>
    <n v="0"/>
    <n v="0"/>
    <n v="2980"/>
    <n v="3500"/>
    <x v="519"/>
    <s v="&lt;Клиент не выбран&gt;"/>
    <s v="2025 03"/>
    <n v="520"/>
    <n v="0.17449664429530201"/>
  </r>
  <r>
    <s v="570644528"/>
    <n v="0"/>
    <s v="YAMARKET"/>
    <s v="Доставлен"/>
    <d v="2024-10-22T00:00:00"/>
    <x v="28"/>
    <s v="Спортпит"/>
    <s v="000000150"/>
    <x v="118"/>
    <x v="1339"/>
    <n v="2980"/>
    <n v="0"/>
    <n v="0"/>
    <n v="0"/>
    <n v="0"/>
    <n v="2980"/>
    <n v="3500"/>
    <x v="759"/>
    <s v="&lt;Клиент не выбран&gt;"/>
    <s v="2025 05"/>
    <n v="520"/>
    <n v="0.17449664429530201"/>
  </r>
  <r>
    <s v="534425712"/>
    <s v="722500415855"/>
    <s v="iHerb_OA CZN6870"/>
    <s v="Доставлен"/>
    <d v="2025-03-25T00:00:00"/>
    <x v="33"/>
    <s v="Витамины"/>
    <s v="NOW-03325"/>
    <x v="3"/>
    <x v="333"/>
    <n v="15.93"/>
    <n v="-3.1850000000000001"/>
    <n v="-0.93887236772586613"/>
    <n v="2.7340530356290974E-15"/>
    <n v="0.57883419082981535"/>
    <n v="1180.06091918887"/>
    <n v="2300"/>
    <x v="784"/>
    <s v="Татьяна Бригантина"/>
    <s v="2025 04"/>
    <n v="1119.93908081113"/>
    <n v="0.94905191977795056"/>
  </r>
  <r>
    <s v="534425712"/>
    <s v="722500415855"/>
    <s v="iHerb_OA CZN6870"/>
    <s v="Доставлен"/>
    <d v="2025-03-25T00:00:00"/>
    <x v="33"/>
    <s v="Витамины"/>
    <s v="NOW-03325"/>
    <x v="3"/>
    <x v="333"/>
    <n v="15.93"/>
    <n v="-3.1850000000000001"/>
    <n v="-0.93887236772586613"/>
    <n v="2.7340530356290974E-15"/>
    <n v="0.57883419082981535"/>
    <n v="1180.06091918887"/>
    <n v="2300"/>
    <x v="784"/>
    <s v="Татьяна Бригантина"/>
    <s v="2025 04"/>
    <n v="1119.93908081113"/>
    <n v="0.94905191977795056"/>
  </r>
  <r>
    <s v="534425712"/>
    <s v="722500415855"/>
    <s v="iHerb_OA CZN6870"/>
    <s v="Доставлен"/>
    <d v="2025-03-25T00:00:00"/>
    <x v="33"/>
    <s v="Витамины"/>
    <s v="DRB-00091"/>
    <x v="6"/>
    <x v="16"/>
    <n v="12.99"/>
    <n v="-2.6"/>
    <n v="-0.76538908596875255"/>
    <n v="2.2288592420703274E-15"/>
    <n v="0.47187816733791937"/>
    <n v="962.01121619241746"/>
    <n v="1800"/>
    <x v="803"/>
    <s v="Любовь Металлургов 158"/>
    <s v="2026 02"/>
    <n v="837.98878380758254"/>
    <n v="0.87108005572356184"/>
  </r>
  <r>
    <s v="534425712"/>
    <s v="722500415855"/>
    <s v="iHerb_OA CZN6870"/>
    <s v="Доставлен"/>
    <d v="2025-03-25T00:00:00"/>
    <x v="33"/>
    <s v="Витамины"/>
    <s v="DRB-00091"/>
    <x v="6"/>
    <x v="16"/>
    <n v="12.99"/>
    <n v="-2.6"/>
    <n v="-0.76538908596875255"/>
    <n v="2.2288592420703274E-15"/>
    <n v="0.47187816733791937"/>
    <n v="962.01121619241746"/>
    <m/>
    <x v="20"/>
    <m/>
    <s v=""/>
    <n v="-962.01121619241746"/>
    <s v=""/>
  </r>
  <r>
    <s v="534425712"/>
    <s v="722500415855"/>
    <s v="iHerb_OA CZN6870"/>
    <s v="Доставлен"/>
    <d v="2025-03-25T00:00:00"/>
    <x v="33"/>
    <s v="Витамины"/>
    <s v="CGN-01065"/>
    <x v="1"/>
    <x v="14"/>
    <n v="5.83"/>
    <n v="-1.17"/>
    <n v="-0.34328326666163489"/>
    <n v="9.9966160423943461E-16"/>
    <n v="0.21164121845954806"/>
    <n v="431.46990062143078"/>
    <n v="1000"/>
    <x v="784"/>
    <s v="Елена Шевченко 217"/>
    <s v="2025 04"/>
    <n v="568.53009937856928"/>
    <n v="1.3176587719322612"/>
  </r>
  <r>
    <s v="534425712"/>
    <s v="722500415855"/>
    <s v="iHerb_OA CZN6870"/>
    <s v="Доставлен"/>
    <d v="2025-03-25T00:00:00"/>
    <x v="33"/>
    <s v="Витамины"/>
    <s v="THR-04802"/>
    <x v="82"/>
    <x v="1528"/>
    <n v="60"/>
    <n v="-12"/>
    <n v="-3.5359649784889431"/>
    <n v="1.0296943562981302E-14"/>
    <n v="2.1799953832743144"/>
    <n v="4444.3251566155959"/>
    <n v="6200"/>
    <x v="749"/>
    <s v="Оксана Черноморская"/>
    <s v="2025 04"/>
    <n v="1755.6748433844041"/>
    <n v="0.39503744247222683"/>
  </r>
  <r>
    <s v="534425712"/>
    <s v="722500415855"/>
    <s v="iHerb_OA CZN6870"/>
    <s v="Доставлен"/>
    <d v="2025-03-25T00:00:00"/>
    <x v="33"/>
    <s v="Витамины"/>
    <s v="NOW-00105"/>
    <x v="3"/>
    <x v="485"/>
    <n v="12.31"/>
    <n v="-2.46"/>
    <n v="-0.72560947996075198"/>
    <n v="2.113018626986788E-15"/>
    <n v="0.4473532192760834"/>
    <n v="912.01255818049208"/>
    <n v="1600"/>
    <x v="718"/>
    <s v="Любовь 17"/>
    <s v="2025 07"/>
    <n v="687.98744181950792"/>
    <n v="0.75436180746466386"/>
  </r>
  <r>
    <s v="534425712"/>
    <s v="722500415855"/>
    <s v="iHerb_OA CZN6870"/>
    <s v="Доставлен"/>
    <d v="2025-03-25T00:00:00"/>
    <x v="33"/>
    <s v="Витамины"/>
    <s v="DRB-00133"/>
    <x v="6"/>
    <x v="621"/>
    <n v="18.04"/>
    <n v="-3.61"/>
    <n v="-1.0629994716582383"/>
    <n v="3.0955186586212535E-15"/>
    <n v="0.65536111209684078"/>
    <n v="1336.0752502075636"/>
    <n v="2400"/>
    <x v="718"/>
    <s v="Любовь 17"/>
    <s v="2025 07"/>
    <n v="1063.9247497924364"/>
    <n v="0.7963060086826339"/>
  </r>
  <r>
    <s v="534425712"/>
    <s v="722500415855"/>
    <s v="iHerb_OA CZN6870"/>
    <s v="Доставлен"/>
    <d v="2025-03-25T00:00:00"/>
    <x v="33"/>
    <s v="Витамины"/>
    <s v="SPN-02494"/>
    <x v="45"/>
    <x v="1529"/>
    <n v="18.57"/>
    <n v="-9.2899999999999991"/>
    <n v="-0.68361989584119576"/>
    <n v="1.9907424221763852E-15"/>
    <n v="0.42146577409970093"/>
    <n v="859.23619694568197"/>
    <n v="2200"/>
    <x v="804"/>
    <s v="Любовь Металлургов 158"/>
    <s v="2026 01"/>
    <n v="1340.763803054318"/>
    <n v="1.5604135484751658"/>
  </r>
  <r>
    <s v="534617411"/>
    <s v="722500403415"/>
    <s v="iHerb_MH DLE7202"/>
    <s v="Доставлен"/>
    <d v="2025-03-31T00:00:00"/>
    <x v="33"/>
    <s v="Косметика"/>
    <s v="EUC-03226"/>
    <x v="13"/>
    <x v="29"/>
    <n v="24.73"/>
    <n v="-7.42"/>
    <n v="-0.64931201382886772"/>
    <n v="-2.834801441891636E-15"/>
    <n v="0.6024336542699007"/>
    <n v="1638.6633765485446"/>
    <n v="3000"/>
    <x v="784"/>
    <s v="Лиля Эдельвейс"/>
    <s v="2025 04"/>
    <n v="1361.3366234514554"/>
    <n v="0.83076038857888412"/>
  </r>
  <r>
    <s v="534617411"/>
    <s v="722500403415"/>
    <s v="iHerb_MH DLE7202"/>
    <s v="Доставлен"/>
    <d v="2025-03-31T00:00:00"/>
    <x v="33"/>
    <s v="Косметика"/>
    <s v="EUC-03226"/>
    <x v="13"/>
    <x v="29"/>
    <n v="24.73"/>
    <n v="-7.42"/>
    <n v="-0.64931201382886772"/>
    <n v="-2.834801441891636E-15"/>
    <n v="0.6024336542699007"/>
    <n v="1638.6633765485446"/>
    <n v="3000"/>
    <x v="784"/>
    <s v="Лиля Эдельвейс"/>
    <s v="2025 04"/>
    <n v="1361.3366234514554"/>
    <n v="0.83076038857888412"/>
  </r>
  <r>
    <s v="534617411"/>
    <s v="722500403415"/>
    <s v="iHerb_MH DLE7202"/>
    <s v="Доставлен"/>
    <d v="2025-03-31T00:00:00"/>
    <x v="33"/>
    <s v="Косметика"/>
    <s v="HWT-13253"/>
    <x v="302"/>
    <x v="1530"/>
    <n v="28.26"/>
    <n v="-8.48"/>
    <n v="-0.74196369922212613"/>
    <n v="-3.2393051716127412E-15"/>
    <n v="0.68839616877288479"/>
    <n v="1872.4876711802551"/>
    <m/>
    <x v="20"/>
    <m/>
    <s v=""/>
    <n v="-1872.4876711802551"/>
    <s v=""/>
  </r>
  <r>
    <s v="534617411"/>
    <s v="722500403415"/>
    <s v="iHerb_MH DLE7202"/>
    <s v="Доставлен"/>
    <d v="2025-03-31T00:00:00"/>
    <x v="33"/>
    <s v="Косметика"/>
    <s v="WSH-95370"/>
    <x v="61"/>
    <x v="172"/>
    <n v="17.61"/>
    <n v="-5.28"/>
    <n v="-0.46250821089023325"/>
    <n v="-2.0192433147616325E-15"/>
    <n v="0.42911651976590842"/>
    <n v="1167.2281590319787"/>
    <m/>
    <x v="20"/>
    <m/>
    <s v=""/>
    <n v="-1167.2281590319787"/>
    <s v=""/>
  </r>
  <r>
    <s v="534617411"/>
    <s v="722500403415"/>
    <s v="iHerb_MH DLE7202"/>
    <s v="Доставлен"/>
    <d v="2025-03-31T00:00:00"/>
    <x v="33"/>
    <s v="Витамины"/>
    <s v="BLB-00204"/>
    <x v="186"/>
    <x v="1531"/>
    <n v="32.520000000000003"/>
    <n v="-9.76"/>
    <n v="-0.85374589455488337"/>
    <n v="-3.7273299143531851E-15"/>
    <n v="0.79210802837567551"/>
    <n v="2154.5914760395658"/>
    <n v="2154.59"/>
    <x v="802"/>
    <s v="&lt;Клиент не выбран&gt;"/>
    <s v="2025 04"/>
    <n v="-1.4760395656594483E-3"/>
    <n v="-6.8506702178763426E-7"/>
  </r>
  <r>
    <s v="534617411"/>
    <s v="722500403415"/>
    <s v="iHerb_MH DLE7202"/>
    <s v="Доставлен"/>
    <d v="2025-03-31T00:00:00"/>
    <x v="33"/>
    <s v="Витамины"/>
    <s v="NOR-02764"/>
    <x v="9"/>
    <x v="1492"/>
    <n v="59.75"/>
    <n v="-17.93"/>
    <n v="-1.5687018150388936"/>
    <n v="-6.8487230675856841E-15"/>
    <n v="1.4554462981841276"/>
    <n v="3958.9198386632083"/>
    <n v="6500"/>
    <x v="784"/>
    <s v="Любовь Виталий"/>
    <s v="2025 04"/>
    <n v="2541.0801613367917"/>
    <n v="0.64186198884866219"/>
  </r>
  <r>
    <s v="534617411"/>
    <s v="722500403415"/>
    <s v="iHerb_MH DLE7202"/>
    <s v="Доставлен"/>
    <d v="2025-03-31T00:00:00"/>
    <x v="33"/>
    <s v="Витамины"/>
    <s v="HRM-50088"/>
    <x v="195"/>
    <x v="1532"/>
    <n v="30.17"/>
    <n v="-9.0500000000000007"/>
    <n v="-0.79222817631806386"/>
    <n v="-3.4587525391537459E-15"/>
    <n v="0.73503170295668985"/>
    <n v="1999.3397176606156"/>
    <n v="3400"/>
    <x v="784"/>
    <s v="Татьяна Бригантина"/>
    <s v="2025 04"/>
    <n v="1400.6602823393844"/>
    <n v="0.70056142533809451"/>
  </r>
  <r>
    <s v="534617411"/>
    <s v="722500403415"/>
    <s v="iHerb_MH DLE7202"/>
    <s v="Доставлен"/>
    <d v="2025-03-31T00:00:00"/>
    <x v="33"/>
    <s v="Витамины"/>
    <s v="HRM-50088"/>
    <x v="195"/>
    <x v="1532"/>
    <n v="30.17"/>
    <n v="-9.0500000000000007"/>
    <n v="-0.79222817631806386"/>
    <n v="-3.4587525391537459E-15"/>
    <n v="0.73503170295668985"/>
    <n v="1999.3397176606156"/>
    <n v="3400"/>
    <x v="784"/>
    <s v="Татьяна Бригантина"/>
    <s v="2025 04"/>
    <n v="1400.6602823393844"/>
    <n v="0.70056142533809451"/>
  </r>
  <r>
    <s v="534030484"/>
    <n v="0"/>
    <s v="iHerb_AV CYG0792"/>
    <s v="Доставлен"/>
    <d v="2025-03-12T00:00:00"/>
    <x v="33"/>
    <s v="Косметика"/>
    <s v="ADC-00020"/>
    <x v="145"/>
    <x v="1533"/>
    <n v="0"/>
    <n v="0"/>
    <n v="0"/>
    <n v="0"/>
    <n v="0"/>
    <n v="0"/>
    <n v="2300"/>
    <x v="673"/>
    <s v="Татьяна Бригантина"/>
    <s v="2025 06"/>
    <n v="2300"/>
    <s v=""/>
  </r>
  <r>
    <s v="534030484"/>
    <n v="0"/>
    <s v="iHerb_AV CYG0792"/>
    <s v="Доставлен"/>
    <d v="2025-03-12T00:00:00"/>
    <x v="33"/>
    <s v="Витамины"/>
    <s v="NOW-03797"/>
    <x v="3"/>
    <x v="1359"/>
    <n v="45.28"/>
    <n v="-9.0549999999999997"/>
    <n v="0"/>
    <n v="0"/>
    <n v="1.7891189912906991"/>
    <n v="4312.3696850757296"/>
    <n v="4900"/>
    <x v="169"/>
    <s v="&lt;Клиент не выбран&gt;"/>
    <s v="2025 04"/>
    <n v="587.63031492427035"/>
    <n v="0.13626621969770919"/>
  </r>
  <r>
    <s v="534030484"/>
    <n v="0"/>
    <s v="iHerb_AV CYG0792"/>
    <s v="Доставлен"/>
    <d v="2025-03-12T00:00:00"/>
    <x v="33"/>
    <s v="Витамины"/>
    <s v="NOW-03797"/>
    <x v="3"/>
    <x v="1359"/>
    <n v="45.28"/>
    <n v="-9.0549999999999997"/>
    <n v="0"/>
    <n v="0"/>
    <n v="1.7891189912906991"/>
    <n v="4312.3696850757296"/>
    <n v="5000"/>
    <x v="805"/>
    <s v="Михаил Икра Кофе"/>
    <s v="2025 12"/>
    <n v="687.63031492427035"/>
    <n v="0.15945532622215222"/>
  </r>
  <r>
    <s v="534030484"/>
    <n v="0"/>
    <s v="iHerb_AV CYG0792"/>
    <s v="Доставлен"/>
    <d v="2025-03-12T00:00:00"/>
    <x v="33"/>
    <s v="Витамины"/>
    <s v="LKN-01573"/>
    <x v="90"/>
    <x v="1534"/>
    <n v="12.1"/>
    <n v="-6.05"/>
    <n v="0"/>
    <n v="0"/>
    <n v="0.29880386189948183"/>
    <n v="720.21633111685753"/>
    <m/>
    <x v="20"/>
    <m/>
    <s v=""/>
    <n v="-720.21633111685753"/>
    <s v=""/>
  </r>
  <r>
    <s v="534030484"/>
    <n v="0"/>
    <s v="iHerb_AV CYG0792"/>
    <s v="Доставлен"/>
    <d v="2025-03-12T00:00:00"/>
    <x v="33"/>
    <s v="Витамины"/>
    <s v="SLM-01761"/>
    <x v="164"/>
    <x v="622"/>
    <n v="41.78"/>
    <n v="-12"/>
    <n v="0"/>
    <n v="0"/>
    <n v="1.4708064474986065"/>
    <n v="3545.1309653983503"/>
    <n v="3545.13"/>
    <x v="20"/>
    <m/>
    <s v=""/>
    <n v="-9.6539835021758336E-4"/>
    <n v="-2.7231669567082015E-7"/>
  </r>
  <r>
    <s v="534064349"/>
    <n v="0"/>
    <s v="iHerb_VP DFD1605"/>
    <s v="Доставлен"/>
    <d v="2025-03-13T00:00:00"/>
    <x v="33"/>
    <s v="Витамины"/>
    <s v="NOW-03354"/>
    <x v="3"/>
    <x v="1535"/>
    <n v="31.06"/>
    <n v="-4.66"/>
    <n v="0"/>
    <n v="0"/>
    <n v="0.80851770576033521"/>
    <n v="2700.4157322511142"/>
    <n v="3500"/>
    <x v="169"/>
    <s v="&lt;Клиент не выбран&gt;"/>
    <s v="2025 04"/>
    <n v="799.58426774888585"/>
    <n v="0.29609672992178071"/>
  </r>
  <r>
    <s v="534064349"/>
    <n v="0"/>
    <s v="iHerb_VP DFD1605"/>
    <s v="Доставлен"/>
    <d v="2025-03-13T00:00:00"/>
    <x v="33"/>
    <s v="Витамины"/>
    <s v="LEX-19456"/>
    <x v="7"/>
    <x v="558"/>
    <n v="10.75"/>
    <n v="-1.61"/>
    <n v="0"/>
    <n v="0"/>
    <n v="0.27991862994884337"/>
    <n v="934.91665881724202"/>
    <n v="1450"/>
    <x v="169"/>
    <s v="&lt;Клиент не выбран&gt;"/>
    <s v="2025 04"/>
    <n v="515.08334118275798"/>
    <n v="0.55094038203831674"/>
  </r>
  <r>
    <s v="534064349"/>
    <n v="0"/>
    <s v="iHerb_VP DFD1605"/>
    <s v="Доставлен"/>
    <d v="2025-03-13T00:00:00"/>
    <x v="33"/>
    <s v="Витамины"/>
    <s v="BLB-00208"/>
    <x v="186"/>
    <x v="1448"/>
    <n v="32.29"/>
    <n v="-4.84"/>
    <n v="0"/>
    <n v="0"/>
    <n v="0.84067465996671231"/>
    <n v="2807.8186306929201"/>
    <n v="4000"/>
    <x v="784"/>
    <s v="Любовь Виталий"/>
    <s v="2025 04"/>
    <n v="1192.1813693070799"/>
    <n v="0.42459343928951371"/>
  </r>
  <r>
    <s v="534064349"/>
    <n v="0"/>
    <s v="iHerb_VP DFD1605"/>
    <s v="Доставлен"/>
    <d v="2025-03-13T00:00:00"/>
    <x v="33"/>
    <s v="Витамины"/>
    <s v="NOR-01709"/>
    <x v="9"/>
    <x v="1536"/>
    <n v="24.06"/>
    <n v="-3.61"/>
    <n v="0"/>
    <n v="0"/>
    <n v="0.62629496525753237"/>
    <n v="2091.7993077475489"/>
    <n v="2900"/>
    <x v="169"/>
    <s v="&lt;Клиент не выбран&gt;"/>
    <s v="2025 04"/>
    <n v="808.20069225245106"/>
    <n v="0.38636626814965447"/>
  </r>
  <r>
    <s v="534064349"/>
    <n v="0"/>
    <s v="iHerb_VP DFD1605"/>
    <s v="Доставлен"/>
    <d v="2025-03-13T00:00:00"/>
    <x v="33"/>
    <s v="Витамины"/>
    <s v="NCS-67081"/>
    <x v="217"/>
    <x v="1345"/>
    <n v="23.61"/>
    <n v="-3.54"/>
    <n v="0"/>
    <n v="0"/>
    <n v="0.61465721040189125"/>
    <n v="2052.9296873590861"/>
    <n v="2900"/>
    <x v="169"/>
    <s v="&lt;Клиент не выбран&gt;"/>
    <s v="2025 04"/>
    <n v="847.07031264091393"/>
    <n v="0.41261535543898514"/>
  </r>
  <r>
    <s v="534064349"/>
    <n v="0"/>
    <s v="iHerb_VP DFD1605"/>
    <s v="Доставлен"/>
    <d v="2025-03-13T00:00:00"/>
    <x v="33"/>
    <s v="Витамины"/>
    <s v="NFS-26841"/>
    <x v="23"/>
    <x v="1524"/>
    <n v="61.44"/>
    <n v="-9.2200000000000006"/>
    <n v="0"/>
    <n v="0"/>
    <n v="1.5992725225304814"/>
    <n v="5341.5041491724696"/>
    <n v="6700"/>
    <x v="784"/>
    <s v="Любовь Виталий"/>
    <s v="2025 04"/>
    <n v="1358.4958508275304"/>
    <n v="0.25432833390909093"/>
  </r>
  <r>
    <s v="534064349"/>
    <n v="0"/>
    <s v="iHerb_VP DFD1605"/>
    <s v="Доставлен"/>
    <d v="2025-03-13T00:00:00"/>
    <x v="33"/>
    <s v="Витамины"/>
    <s v="NCS-67319"/>
    <x v="217"/>
    <x v="1537"/>
    <n v="25.8"/>
    <n v="-3.87"/>
    <n v="0"/>
    <n v="0"/>
    <n v="0.67162095785318754"/>
    <n v="2243.1862503131415"/>
    <n v="2950"/>
    <x v="169"/>
    <s v="&lt;Клиент не выбран&gt;"/>
    <s v="2025 04"/>
    <n v="706.8137496868585"/>
    <n v="0.3150936528735363"/>
  </r>
  <r>
    <s v="534064349"/>
    <n v="0"/>
    <s v="iHerb_VP DFD1605"/>
    <s v="Доставлен"/>
    <d v="2025-03-13T00:00:00"/>
    <x v="33"/>
    <s v="Витамины"/>
    <s v="NCS-67319"/>
    <x v="217"/>
    <x v="1537"/>
    <n v="25.8"/>
    <n v="-3.87"/>
    <n v="0"/>
    <n v="0"/>
    <n v="0.67162095785318754"/>
    <n v="2243.1862503131415"/>
    <n v="2950"/>
    <x v="169"/>
    <s v="&lt;Клиент не выбран&gt;"/>
    <s v="2025 04"/>
    <n v="706.8137496868585"/>
    <n v="0.3150936528735363"/>
  </r>
  <r>
    <s v="534288913"/>
    <n v="0"/>
    <s v="iHerb_VP DFD1605"/>
    <s v="Доставлен"/>
    <d v="2025-03-20T00:00:00"/>
    <x v="33"/>
    <s v="Витамины"/>
    <s v="SPN-02412"/>
    <x v="45"/>
    <x v="1538"/>
    <n v="22.61"/>
    <n v="-11.31"/>
    <n v="-0.6030920212408416"/>
    <n v="2.1588043057307608E-15"/>
    <n v="0.48472484949968986"/>
    <n v="1062.9752593488831"/>
    <n v="2600"/>
    <x v="663"/>
    <s v="&lt;Клиент не выбран&gt;"/>
    <s v="2025 04"/>
    <n v="1537.0247406511169"/>
    <n v="1.4459647363689432"/>
  </r>
  <r>
    <s v="534288913"/>
    <n v="0"/>
    <s v="iHerb_VP DFD1605"/>
    <s v="Доставлен"/>
    <d v="2025-03-20T00:00:00"/>
    <x v="33"/>
    <s v="Витамины"/>
    <s v="NOW-01289"/>
    <x v="3"/>
    <x v="214"/>
    <n v="24.42"/>
    <n v="-4.88"/>
    <n v="-1.0428688579686769"/>
    <n v="3.7330120472547853E-15"/>
    <n v="0.83818792559503918"/>
    <n v="1838.1005812103704"/>
    <n v="2800"/>
    <x v="806"/>
    <s v="&lt;Клиент не выбран&gt;"/>
    <s v="2025 04"/>
    <n v="961.89941878962964"/>
    <n v="0.52331163409797121"/>
  </r>
  <r>
    <s v="534288913"/>
    <n v="0"/>
    <s v="iHerb_VP DFD1605"/>
    <s v="Доставлен"/>
    <d v="2025-03-20T00:00:00"/>
    <x v="33"/>
    <s v="Витамины"/>
    <s v="LFH-91547"/>
    <x v="196"/>
    <x v="805"/>
    <n v="8.0399999999999991"/>
    <n v="-1.61"/>
    <n v="-0.34317537137863818"/>
    <n v="1.2284169633494505E-15"/>
    <n v="0.27582130816663769"/>
    <n v="604.86114315162104"/>
    <n v="1300"/>
    <x v="807"/>
    <s v="&lt;Клиент не выбран&gt;"/>
    <s v="2025 04"/>
    <n v="695.13885684837896"/>
    <n v="1.1492536174937062"/>
  </r>
  <r>
    <s v="534288913"/>
    <n v="0"/>
    <s v="iHerb_VP DFD1605"/>
    <s v="Доставлен"/>
    <d v="2025-03-20T00:00:00"/>
    <x v="33"/>
    <s v="Витамины"/>
    <s v="NOW-00373"/>
    <x v="3"/>
    <x v="239"/>
    <n v="14.28"/>
    <n v="-2.86"/>
    <n v="-0.60949653828056738"/>
    <n v="2.1817296611898489E-15"/>
    <n v="0.48987237002535039"/>
    <n v="1074.2634921915264"/>
    <m/>
    <x v="20"/>
    <m/>
    <s v=""/>
    <n v="-1074.2634921915264"/>
    <s v=""/>
  </r>
  <r>
    <s v="534288913"/>
    <n v="0"/>
    <s v="iHerb_VP DFD1605"/>
    <s v="Доставлен"/>
    <d v="2025-03-20T00:00:00"/>
    <x v="33"/>
    <s v="Витамины"/>
    <s v="LEX-19456"/>
    <x v="7"/>
    <x v="558"/>
    <n v="10.75"/>
    <n v="-2.15"/>
    <n v="-0.45899038784701224"/>
    <n v="1.6429838079012871E-15"/>
    <n v="0.36890563767233042"/>
    <n v="808.9900203894158"/>
    <n v="1450"/>
    <x v="169"/>
    <s v="&lt;Клиент не выбран&gt;"/>
    <s v="2025 04"/>
    <n v="641.0099796105842"/>
    <n v="0.79235832761203573"/>
  </r>
  <r>
    <s v="534288913"/>
    <n v="0"/>
    <s v="iHerb_VP DFD1605"/>
    <s v="Доставлен"/>
    <d v="2025-03-20T00:00:00"/>
    <x v="33"/>
    <s v="Витамины"/>
    <s v="DRB-00087"/>
    <x v="6"/>
    <x v="1374"/>
    <n v="24.7"/>
    <n v="-4.9400000000000004"/>
    <n v="-1.0546104725415071"/>
    <n v="3.7750418655964455E-15"/>
    <n v="0.84762504655874971"/>
    <n v="1858.7956747552153"/>
    <n v="2800"/>
    <x v="749"/>
    <s v="Оксана Черноморская"/>
    <s v="2025 04"/>
    <n v="941.20432524478474"/>
    <n v="0.50635168675477571"/>
  </r>
  <r>
    <s v="534288913"/>
    <n v="0"/>
    <s v="iHerb_VP DFD1605"/>
    <s v="Доставлен"/>
    <d v="2025-03-20T00:00:00"/>
    <x v="33"/>
    <s v="Витамины"/>
    <s v="DRB-00087"/>
    <x v="6"/>
    <x v="1374"/>
    <n v="24.7"/>
    <n v="-4.9400000000000004"/>
    <n v="-1.0546104725415071"/>
    <n v="3.7750418655964455E-15"/>
    <n v="0.84762504655874971"/>
    <n v="1858.7956747552153"/>
    <n v="3000"/>
    <x v="808"/>
    <s v="&lt;Клиент не выбран&gt;"/>
    <s v="2025 05"/>
    <n v="1141.2043252447847"/>
    <n v="0.61394823580868829"/>
  </r>
  <r>
    <s v="534288913"/>
    <n v="0"/>
    <s v="iHerb_VP DFD1605"/>
    <s v="Доставлен"/>
    <d v="2025-03-20T00:00:00"/>
    <x v="33"/>
    <s v="Витамины"/>
    <s v="SNS-02161"/>
    <x v="151"/>
    <x v="1539"/>
    <n v="15.53"/>
    <n v="-3.11"/>
    <n v="-0.66286751361161533"/>
    <n v="2.3727742900155797E-15"/>
    <n v="0.5327683744058539"/>
    <n v="1168.3320992135514"/>
    <n v="2000"/>
    <x v="809"/>
    <m/>
    <s v="2025 08"/>
    <n v="831.66790078644863"/>
    <n v="0.71184203647770683"/>
  </r>
  <r>
    <s v="534288913"/>
    <n v="0"/>
    <s v="iHerb_VP DFD1605"/>
    <s v="Доставлен"/>
    <d v="2025-03-20T00:00:00"/>
    <x v="33"/>
    <s v="Витамины"/>
    <s v="NFS-35493"/>
    <x v="23"/>
    <x v="1383"/>
    <n v="49.42"/>
    <n v="-9.8800000000000008"/>
    <n v="-2.1102883645896355"/>
    <n v="7.5539046237694069E-15"/>
    <n v="1.6961080132051098"/>
    <n v="3719.4727216508718"/>
    <n v="3719.47"/>
    <x v="810"/>
    <s v="&lt;Клиент не выбран&gt;"/>
    <s v="2025 03"/>
    <n v="-2.7216508719902777E-3"/>
    <n v="-7.3173029503555136E-7"/>
  </r>
  <r>
    <s v="534470127"/>
    <n v="0"/>
    <s v="iHerb_VP DFD1605"/>
    <s v="Доставлен"/>
    <d v="2025-03-26T00:00:00"/>
    <x v="33"/>
    <s v="Витамины"/>
    <s v="NOW-03878"/>
    <x v="3"/>
    <x v="287"/>
    <n v="21.74"/>
    <n v="-4.3499999999999996"/>
    <n v="-1.0948166753653443"/>
    <n v="-3.2245141374916859E-15"/>
    <n v="0.68357763697901874"/>
    <n v="1615.6207787491298"/>
    <n v="3200"/>
    <x v="775"/>
    <m/>
    <s v="2025 10"/>
    <n v="1584.3792212508702"/>
    <n v="0.98066281524155197"/>
  </r>
  <r>
    <s v="534470127"/>
    <n v="0"/>
    <s v="iHerb_VP DFD1605"/>
    <s v="Доставлен"/>
    <d v="2025-03-26T00:00:00"/>
    <x v="33"/>
    <s v="Витамины"/>
    <s v="NOW-03878"/>
    <x v="3"/>
    <x v="287"/>
    <n v="21.74"/>
    <n v="-4.3499999999999996"/>
    <n v="-1.0948166753653443"/>
    <n v="-3.2245141374916859E-15"/>
    <n v="0.68357763697901874"/>
    <n v="1615.6207787491298"/>
    <n v="3000"/>
    <x v="811"/>
    <m/>
    <s v="2025 11"/>
    <n v="1384.3792212508702"/>
    <n v="0.8568713892889549"/>
  </r>
  <r>
    <s v="534470127"/>
    <n v="0"/>
    <s v="iHerb_VP DFD1605"/>
    <s v="Доставлен"/>
    <d v="2025-03-26T00:00:00"/>
    <x v="33"/>
    <s v="Витамины"/>
    <s v="NOW-03802"/>
    <x v="3"/>
    <x v="1225"/>
    <n v="22.86"/>
    <n v="-4.57"/>
    <n v="-1.1514776878914403"/>
    <n v="-3.3913952601910829E-15"/>
    <n v="0.71895543302738651"/>
    <n v="1699.2354251478769"/>
    <n v="2700"/>
    <x v="638"/>
    <m/>
    <s v="2025 08"/>
    <n v="1000.7645748521231"/>
    <n v="0.58894992420784253"/>
  </r>
  <r>
    <s v="534470127"/>
    <n v="0"/>
    <s v="iHerb_VP DFD1605"/>
    <s v="Доставлен"/>
    <d v="2025-03-26T00:00:00"/>
    <x v="33"/>
    <s v="Витамины"/>
    <s v="NOW-03802"/>
    <x v="3"/>
    <x v="1225"/>
    <n v="22.86"/>
    <n v="-4.57"/>
    <n v="-1.1514776878914403"/>
    <n v="-3.3913952601910829E-15"/>
    <n v="0.71895543302738651"/>
    <n v="1699.2354251478769"/>
    <n v="2700"/>
    <x v="597"/>
    <m/>
    <s v="2025 07"/>
    <n v="1000.7645748521231"/>
    <n v="0.58894992420784253"/>
  </r>
  <r>
    <s v="534470127"/>
    <n v="0"/>
    <s v="iHerb_VP DFD1605"/>
    <s v="Доставлен"/>
    <d v="2025-03-26T00:00:00"/>
    <x v="33"/>
    <s v="Витамины"/>
    <s v="CEN-22380"/>
    <x v="2"/>
    <x v="158"/>
    <n v="8.9700000000000006"/>
    <n v="-1.79"/>
    <n v="-0.4520289665970772"/>
    <n v="-1.3313405122018577E-15"/>
    <n v="0.28223619514142351"/>
    <n v="667.05906793667339"/>
    <n v="1700"/>
    <x v="628"/>
    <m/>
    <s v="2025 08"/>
    <n v="1032.9409320633267"/>
    <n v="1.5484999480756447"/>
  </r>
  <r>
    <s v="534470127"/>
    <n v="0"/>
    <s v="iHerb_VP DFD1605"/>
    <s v="Доставлен"/>
    <d v="2025-03-26T00:00:00"/>
    <x v="33"/>
    <s v="Витамины"/>
    <s v="CEN-22673"/>
    <x v="2"/>
    <x v="3"/>
    <n v="10.130000000000001"/>
    <n v="-2.0299999999999998"/>
    <n v="-0.50994911273486432"/>
    <n v="-1.5019301042945751E-15"/>
    <n v="0.31840016443531066"/>
    <n v="752.53181758872631"/>
    <n v="1700"/>
    <x v="812"/>
    <s v="Елена Ленина 87"/>
    <s v="2026 01"/>
    <n v="947.46818241127369"/>
    <n v="1.2590406947139663"/>
  </r>
  <r>
    <s v="534470127"/>
    <n v="0"/>
    <s v="iHerb_VP DFD1605"/>
    <s v="Доставлен"/>
    <d v="2025-03-26T00:00:00"/>
    <x v="33"/>
    <s v="Витамины"/>
    <s v="CEN-22675"/>
    <x v="2"/>
    <x v="2"/>
    <n v="10.130000000000001"/>
    <n v="-2.0299999999999998"/>
    <n v="-0.50994911273486432"/>
    <n v="-1.5019301042945751E-15"/>
    <n v="0.31840016443531066"/>
    <n v="752.53181758872631"/>
    <n v="1700"/>
    <x v="813"/>
    <s v="&lt;Клиент не выбран&gt;"/>
    <s v="2025 04"/>
    <n v="947.46818241127369"/>
    <n v="1.2590406947139663"/>
  </r>
  <r>
    <s v="534470127"/>
    <n v="0"/>
    <s v="iHerb_VP DFD1605"/>
    <s v="Доставлен"/>
    <d v="2025-03-26T00:00:00"/>
    <x v="33"/>
    <s v="Витамины"/>
    <s v="SOR-20055"/>
    <x v="10"/>
    <x v="1489"/>
    <n v="23.22"/>
    <n v="-4.6399999999999997"/>
    <n v="-1.16973512526096"/>
    <n v="-3.4451680663942216E-15"/>
    <n v="0.73035494508741616"/>
    <n v="1726.1779223208064"/>
    <n v="2900"/>
    <x v="723"/>
    <m/>
    <s v="2025 07"/>
    <n v="1173.8220776791936"/>
    <n v="0.68001221803428979"/>
  </r>
  <r>
    <s v="534470127"/>
    <n v="0"/>
    <s v="iHerb_VP DFD1605"/>
    <s v="Доставлен"/>
    <d v="2025-03-26T00:00:00"/>
    <x v="33"/>
    <s v="Витамины"/>
    <s v="SOR-04797"/>
    <x v="10"/>
    <x v="1365"/>
    <n v="13.61"/>
    <n v="-2.72"/>
    <n v="-0.68559825156576182"/>
    <n v="-2.0192615846627057E-15"/>
    <n v="0.4280713321852509"/>
    <n v="1011.7372214248429"/>
    <n v="2000"/>
    <x v="814"/>
    <m/>
    <s v="2025 09"/>
    <n v="988.26277857515709"/>
    <n v="0.97679788550565882"/>
  </r>
  <r>
    <s v="534470127"/>
    <n v="0"/>
    <s v="iHerb_VP DFD1605"/>
    <s v="Доставлен"/>
    <d v="2025-03-26T00:00:00"/>
    <x v="33"/>
    <s v="Витамины"/>
    <s v="SPN-02510"/>
    <x v="45"/>
    <x v="1540"/>
    <n v="19.27"/>
    <n v="-9.64"/>
    <n v="-0.60627283402922738"/>
    <n v="-1.7856280128835498E-15"/>
    <n v="0.37854241771753599"/>
    <n v="894.67671646659676"/>
    <n v="2300"/>
    <x v="638"/>
    <m/>
    <s v="2025 08"/>
    <n v="1405.3232835334034"/>
    <n v="1.5707609884870317"/>
  </r>
  <r>
    <s v="534470127"/>
    <n v="0"/>
    <s v="iHerb_VP DFD1605"/>
    <s v="Доставлен"/>
    <d v="2025-03-26T00:00:00"/>
    <x v="33"/>
    <s v="Витамины"/>
    <s v="SNS-01459"/>
    <x v="151"/>
    <x v="1541"/>
    <n v="24.3"/>
    <n v="-4.8600000000000003"/>
    <n v="-1.2238778705636744"/>
    <n v="-3.6046322503069797E-15"/>
    <n v="0.76416039464474572"/>
    <n v="1806.0763622129432"/>
    <n v="2700"/>
    <x v="815"/>
    <s v="Татьяна Бригантина"/>
    <s v="2025 11"/>
    <n v="893.9236377870568"/>
    <n v="0.49495340091365408"/>
  </r>
  <r>
    <s v="534745269"/>
    <s v="722500424884"/>
    <s v="iHerb_OA CZN6870"/>
    <s v="Доставлен"/>
    <d v="2025-04-04T00:00:00"/>
    <x v="34"/>
    <s v="Витамины"/>
    <s v="THR-04809"/>
    <x v="82"/>
    <x v="1542"/>
    <n v="38"/>
    <n v="-5.7"/>
    <n v="-1.649787859007833"/>
    <n v="4.9935879819519664E-15"/>
    <n v="1.3418637213780154"/>
    <n v="3188.7746301131428"/>
    <n v="4100"/>
    <x v="769"/>
    <s v="Оксана Черноморская"/>
    <s v="2025 05"/>
    <n v="911.22536988685715"/>
    <n v="0.28576035486538143"/>
  </r>
  <r>
    <s v="534745269"/>
    <s v="722500424884"/>
    <s v="iHerb_OA CZN6870"/>
    <s v="Доставлен"/>
    <d v="2025-04-04T00:00:00"/>
    <x v="34"/>
    <s v="Витамины"/>
    <s v="THR-80402"/>
    <x v="82"/>
    <x v="1543"/>
    <n v="21"/>
    <n v="-3.15"/>
    <n v="-0.9117248694516974"/>
    <n v="2.7596144110787187E-15"/>
    <n v="0.74155626707732436"/>
    <n v="1762.2175587467375"/>
    <n v="2500"/>
    <x v="769"/>
    <s v="Оксана Черноморская"/>
    <s v="2025 05"/>
    <n v="737.7824412532625"/>
    <n v="0.41866705821383499"/>
  </r>
  <r>
    <s v="534745269"/>
    <s v="722500424884"/>
    <s v="iHerb_OA CZN6870"/>
    <s v="Доставлен"/>
    <d v="2025-04-04T00:00:00"/>
    <x v="34"/>
    <s v="Витамины"/>
    <s v="THR-71103"/>
    <x v="82"/>
    <x v="1544"/>
    <n v="45"/>
    <n v="-6.75"/>
    <n v="-1.9536961488250657"/>
    <n v="5.9134594523115397E-15"/>
    <n v="1.5890491437371235"/>
    <n v="3776.1804830287219"/>
    <n v="4750"/>
    <x v="769"/>
    <s v="Оксана Черноморская"/>
    <s v="2025 05"/>
    <n v="973.81951697127806"/>
    <n v="0.25788479161626743"/>
  </r>
  <r>
    <s v="534745269"/>
    <s v="722500424884"/>
    <s v="iHerb_OA CZN6870"/>
    <s v="Доставлен"/>
    <d v="2025-04-04T00:00:00"/>
    <x v="34"/>
    <s v="Витамины"/>
    <s v="MCL-21045"/>
    <x v="286"/>
    <x v="1545"/>
    <n v="34.39"/>
    <n v="-5.16"/>
    <n v="-1.4929813968668413"/>
    <n v="4.5189652232958508E-15"/>
    <n v="1.2143243521944085"/>
    <n v="2885.6929547432565"/>
    <n v="3750"/>
    <x v="769"/>
    <s v="Оксана Черноморская"/>
    <s v="2025 05"/>
    <n v="864.30704525674355"/>
    <n v="0.2995145564035388"/>
  </r>
  <r>
    <s v="534745269"/>
    <s v="722500424884"/>
    <s v="iHerb_OA CZN6870"/>
    <s v="Доставлен"/>
    <d v="2025-04-04T00:00:00"/>
    <x v="34"/>
    <s v="Спортпит"/>
    <s v="THR-00568"/>
    <x v="82"/>
    <x v="1546"/>
    <n v="65"/>
    <n v="-9.75"/>
    <n v="-2.8220055483028723"/>
    <n v="8.541663653338891E-15"/>
    <n v="2.2952932076202894"/>
    <n v="5454.4829199303767"/>
    <n v="6650"/>
    <x v="769"/>
    <s v="Оксана Черноморская"/>
    <s v="2025 05"/>
    <n v="1195.5170800696233"/>
    <n v="0.2191806441819206"/>
  </r>
  <r>
    <s v="534745269"/>
    <s v="722500424884"/>
    <s v="iHerb_OA CZN6870"/>
    <s v="Доставлен"/>
    <d v="2025-04-04T00:00:00"/>
    <x v="34"/>
    <s v="Витамины"/>
    <s v="BRM-03391"/>
    <x v="126"/>
    <x v="442"/>
    <n v="6.45"/>
    <n v="-0.97"/>
    <n v="-0.27990208877284606"/>
    <n v="8.4720935421352257E-16"/>
    <n v="0.22765985118116178"/>
    <n v="541.00572671888631"/>
    <n v="1100"/>
    <x v="717"/>
    <s v="Александр Радин"/>
    <s v="2025 06"/>
    <n v="558.99427328111369"/>
    <n v="1.0332501962064711"/>
  </r>
  <r>
    <s v="534745269"/>
    <s v="722500424884"/>
    <s v="iHerb_OA CZN6870"/>
    <s v="Доставлен"/>
    <d v="2025-04-04T00:00:00"/>
    <x v="34"/>
    <s v="Витамины"/>
    <s v="BRM-03391"/>
    <x v="126"/>
    <x v="442"/>
    <n v="6.45"/>
    <n v="-0.97"/>
    <n v="-0.27990208877284606"/>
    <n v="8.4720935421352257E-16"/>
    <n v="0.22765985118116178"/>
    <n v="541.00572671888631"/>
    <n v="1100"/>
    <x v="717"/>
    <s v="Александр Радин"/>
    <s v="2025 06"/>
    <n v="558.99427328111369"/>
    <n v="1.0332501962064711"/>
  </r>
  <r>
    <s v="OZO0142"/>
    <n v="0"/>
    <s v="OZON_OA"/>
    <s v="Доставлен"/>
    <d v="2025-03-16T00:00:00"/>
    <x v="33"/>
    <s v="Спортпит"/>
    <s v="892721541"/>
    <x v="162"/>
    <x v="618"/>
    <n v="783"/>
    <n v="0"/>
    <n v="0"/>
    <n v="0"/>
    <n v="0"/>
    <n v="783"/>
    <n v="2000"/>
    <x v="816"/>
    <s v="&lt;Клиент не выбран&gt;"/>
    <s v="2025 04"/>
    <n v="1217"/>
    <n v="1.554278416347382"/>
  </r>
  <r>
    <s v="OZO0142"/>
    <n v="0"/>
    <s v="OZON_OA"/>
    <s v="Доставлен"/>
    <d v="2025-03-16T00:00:00"/>
    <x v="33"/>
    <s v="Спортпит"/>
    <s v="892721541"/>
    <x v="162"/>
    <x v="618"/>
    <n v="783"/>
    <n v="0"/>
    <n v="0"/>
    <n v="0"/>
    <n v="0"/>
    <n v="783"/>
    <n v="2000"/>
    <x v="787"/>
    <s v="&lt;Клиент не выбран&gt;"/>
    <s v="2025 04"/>
    <n v="1217"/>
    <n v="1.554278416347382"/>
  </r>
  <r>
    <s v="OZO0142"/>
    <n v="0"/>
    <s v="OZON_OA"/>
    <s v="Доставлен"/>
    <d v="2025-03-16T00:00:00"/>
    <x v="33"/>
    <s v="Спортпит"/>
    <s v="892721541"/>
    <x v="162"/>
    <x v="618"/>
    <n v="783"/>
    <n v="0"/>
    <n v="0"/>
    <n v="0"/>
    <n v="0"/>
    <n v="783"/>
    <n v="2000"/>
    <x v="734"/>
    <s v="&lt;Клиент не выбран&gt;"/>
    <s v="2025 05"/>
    <n v="1217"/>
    <n v="1.554278416347382"/>
  </r>
  <r>
    <s v="OZO0143"/>
    <n v="0"/>
    <s v="OZON_OA"/>
    <s v="Доставлен"/>
    <d v="2025-04-02T00:00:00"/>
    <x v="34"/>
    <s v="Спортпит"/>
    <s v="769390102"/>
    <x v="129"/>
    <x v="593"/>
    <n v="1755"/>
    <n v="0"/>
    <n v="0"/>
    <n v="0"/>
    <n v="0"/>
    <n v="1755"/>
    <n v="4000"/>
    <x v="800"/>
    <s v="&lt;Клиент не выбран&gt;"/>
    <s v="2025 04"/>
    <n v="2245"/>
    <n v="1.2792022792022792"/>
  </r>
  <r>
    <s v="OZO0143"/>
    <n v="0"/>
    <s v="OZON_OA"/>
    <s v="Доставлен"/>
    <d v="2025-04-02T00:00:00"/>
    <x v="34"/>
    <s v="Спортпит"/>
    <s v="176208973"/>
    <x v="118"/>
    <x v="417"/>
    <n v="1945"/>
    <n v="0"/>
    <n v="0"/>
    <n v="0"/>
    <n v="0"/>
    <n v="1945"/>
    <n v="2600"/>
    <x v="817"/>
    <s v="&lt;Клиент не выбран&gt;"/>
    <s v="2025 05"/>
    <n v="655"/>
    <n v="0.33676092544987146"/>
  </r>
  <r>
    <s v="OZO0144"/>
    <n v="0"/>
    <s v="OZON_OA"/>
    <s v="Доставлен"/>
    <d v="2025-04-07T00:00:00"/>
    <x v="34"/>
    <s v="Спортпит"/>
    <s v="169216399"/>
    <x v="239"/>
    <x v="1050"/>
    <n v="913"/>
    <n v="0"/>
    <n v="0"/>
    <n v="0"/>
    <n v="0"/>
    <n v="913"/>
    <n v="2000"/>
    <x v="818"/>
    <s v="&lt;Клиент не выбран&gt;"/>
    <s v="2025 05"/>
    <n v="1087"/>
    <n v="1.190580503833516"/>
  </r>
  <r>
    <s v="OZO0144"/>
    <n v="0"/>
    <s v="OZON_OA"/>
    <s v="Доставлен"/>
    <d v="2025-04-07T00:00:00"/>
    <x v="34"/>
    <s v="Спортпит"/>
    <s v="169216399"/>
    <x v="239"/>
    <x v="1050"/>
    <n v="913"/>
    <n v="0"/>
    <n v="0"/>
    <n v="0"/>
    <n v="0"/>
    <n v="913"/>
    <n v="2000"/>
    <x v="702"/>
    <s v="Татьяна Бригантина"/>
    <s v="2025 05"/>
    <n v="1087"/>
    <n v="1.190580503833516"/>
  </r>
  <r>
    <s v="534850240"/>
    <s v="722500427619"/>
    <s v="iHerb_AV CYG0792"/>
    <s v="Доставлен"/>
    <d v="2025-04-08T00:00:00"/>
    <x v="34"/>
    <s v="Косметика"/>
    <s v="RDB-60023"/>
    <x v="303"/>
    <x v="1547"/>
    <n v="13.16"/>
    <n v="-1.97"/>
    <n v="-0.54855200823892891"/>
    <n v="1.6376875825243092E-15"/>
    <n v="0.46159206617367321"/>
    <n v="1055.0954196704431"/>
    <n v="1800"/>
    <x v="818"/>
    <s v="&lt;Клиент не выбран&gt;"/>
    <s v="2025 05"/>
    <n v="744.90458032955689"/>
    <n v="0.70600683733631064"/>
  </r>
  <r>
    <s v="534850240"/>
    <s v="722500427619"/>
    <s v="iHerb_AV CYG0792"/>
    <s v="Доставлен"/>
    <d v="2025-04-08T00:00:00"/>
    <x v="34"/>
    <s v="Витамины"/>
    <s v="NOW-01283"/>
    <x v="3"/>
    <x v="343"/>
    <n v="17.239999999999998"/>
    <n v="-2.585"/>
    <n v="-0.71841194644696182"/>
    <n v="2.1447999572737934E-15"/>
    <n v="0.6045247300960841"/>
    <n v="1381.8072721421217"/>
    <n v="2500"/>
    <x v="769"/>
    <s v="&lt;Клиент не выбран&gt;"/>
    <s v="2025 05"/>
    <n v="1118.1927278578783"/>
    <n v="0.8092248104356986"/>
  </r>
  <r>
    <s v="534850240"/>
    <s v="722500427619"/>
    <s v="iHerb_AV CYG0792"/>
    <s v="Доставлен"/>
    <d v="2025-04-08T00:00:00"/>
    <x v="34"/>
    <s v="Витамины"/>
    <s v="NOW-01283"/>
    <x v="3"/>
    <x v="343"/>
    <n v="17.239999999999998"/>
    <n v="-2.585"/>
    <n v="-0.71841194644696182"/>
    <n v="2.1447999572737934E-15"/>
    <n v="0.6045247300960841"/>
    <n v="1381.8072721421217"/>
    <n v="2500"/>
    <x v="769"/>
    <s v="&lt;Клиент не выбран&gt;"/>
    <s v="2025 05"/>
    <n v="1118.1927278578783"/>
    <n v="0.8092248104356986"/>
  </r>
  <r>
    <s v="534850240"/>
    <s v="722500427619"/>
    <s v="iHerb_AV CYG0792"/>
    <s v="Доставлен"/>
    <d v="2025-04-08T00:00:00"/>
    <x v="34"/>
    <s v="Витамины"/>
    <s v="NOW-01283"/>
    <x v="3"/>
    <x v="343"/>
    <n v="17.239999999999998"/>
    <n v="-2.585"/>
    <n v="-0.71841194644696182"/>
    <n v="2.1447999572737934E-15"/>
    <n v="0.6045247300960841"/>
    <n v="1381.8072721421217"/>
    <n v="2500"/>
    <x v="769"/>
    <s v="&lt;Клиент не выбран&gt;"/>
    <s v="2025 05"/>
    <n v="1118.1927278578783"/>
    <n v="0.8092248104356986"/>
  </r>
  <r>
    <s v="534850240"/>
    <s v="722500427619"/>
    <s v="iHerb_AV CYG0792"/>
    <s v="Доставлен"/>
    <d v="2025-04-08T00:00:00"/>
    <x v="34"/>
    <s v="Витамины"/>
    <s v="NOW-01283"/>
    <x v="3"/>
    <x v="343"/>
    <n v="17.239999999999998"/>
    <n v="-2.585"/>
    <n v="-0.71841194644696182"/>
    <n v="2.1447999572737934E-15"/>
    <n v="0.6045247300960841"/>
    <n v="1381.8072721421217"/>
    <n v="2400"/>
    <x v="565"/>
    <s v="Наталья Школа 53"/>
    <s v="2025 06"/>
    <n v="1018.1927278578783"/>
    <n v="0.7368558180182706"/>
  </r>
  <r>
    <s v="534850240"/>
    <s v="722500427619"/>
    <s v="iHerb_AV CYG0792"/>
    <s v="Доставлен"/>
    <d v="2025-04-08T00:00:00"/>
    <x v="34"/>
    <s v="Витамины"/>
    <s v="NFS-01637"/>
    <x v="23"/>
    <x v="382"/>
    <n v="10.49"/>
    <n v="-1.57"/>
    <n v="-0.43727291452111222"/>
    <n v="1.3054667771328721E-15"/>
    <n v="0.36795363988106938"/>
    <n v="841.05908341915585"/>
    <n v="1400"/>
    <x v="819"/>
    <s v="Наталья магазин"/>
    <s v="2025 07"/>
    <n v="558.94091658084415"/>
    <n v="0.66456795675826097"/>
  </r>
  <r>
    <s v="534850240"/>
    <s v="722500427619"/>
    <s v="iHerb_AV CYG0792"/>
    <s v="Доставлен"/>
    <d v="2025-04-08T00:00:00"/>
    <x v="34"/>
    <s v="Витамины"/>
    <s v="NFS-01630"/>
    <x v="23"/>
    <x v="250"/>
    <n v="6.99"/>
    <n v="-1.05"/>
    <n v="-0.29118846549948507"/>
    <n v="8.6933549957054497E-16"/>
    <n v="0.24502742386699014"/>
    <n v="560.07746138002085"/>
    <m/>
    <x v="20"/>
    <m/>
    <s v=""/>
    <n v="-560.07746138002085"/>
    <s v=""/>
  </r>
  <r>
    <s v="534850240"/>
    <s v="722500427619"/>
    <s v="iHerb_AV CYG0792"/>
    <s v="Доставлен"/>
    <d v="2025-04-08T00:00:00"/>
    <x v="34"/>
    <s v="Витамины"/>
    <s v="NOW-06960"/>
    <x v="3"/>
    <x v="1548"/>
    <n v="8.68"/>
    <n v="-1.3"/>
    <n v="-0.36177960865087538"/>
    <n v="1.0800834994664346E-15"/>
    <n v="0.30442801147110893"/>
    <n v="695.85381565396517"/>
    <m/>
    <x v="20"/>
    <m/>
    <s v=""/>
    <n v="-695.85381565396517"/>
    <s v=""/>
  </r>
  <r>
    <s v="534850240"/>
    <s v="722500427619"/>
    <s v="iHerb_AV CYG0792"/>
    <s v="Доставлен"/>
    <d v="2025-04-08T00:00:00"/>
    <x v="34"/>
    <s v="Витамины"/>
    <s v="NOW-04739"/>
    <x v="3"/>
    <x v="191"/>
    <n v="18.829999999999998"/>
    <n v="-2.82"/>
    <n v="-0.78483625128733259"/>
    <n v="2.3431079710647176E-15"/>
    <n v="0.66041903301523763"/>
    <n v="1509.569049948507"/>
    <n v="2500"/>
    <x v="464"/>
    <s v="&lt;Клиент не выбран&gt;"/>
    <s v="2025 05"/>
    <n v="990.43095005149303"/>
    <n v="0.6561017861920776"/>
  </r>
  <r>
    <s v="534850240"/>
    <s v="722500427619"/>
    <s v="iHerb_AV CYG0792"/>
    <s v="Доставлен"/>
    <d v="2025-04-08T00:00:00"/>
    <x v="34"/>
    <s v="Витамины"/>
    <s v="SNS-00803"/>
    <x v="151"/>
    <x v="868"/>
    <n v="18.03"/>
    <n v="-2.7050000000000001"/>
    <n v="-0.75125643666323383"/>
    <n v="2.2428563183364649E-15"/>
    <n v="0.63216250349522285"/>
    <n v="1444.9809925334714"/>
    <n v="2500"/>
    <x v="769"/>
    <s v="&lt;Клиент не выбран&gt;"/>
    <s v="2025 05"/>
    <n v="1055.0190074665286"/>
    <n v="0.73012656423720412"/>
  </r>
  <r>
    <s v="534850240"/>
    <s v="722500427619"/>
    <s v="iHerb_AV CYG0792"/>
    <s v="Доставлен"/>
    <d v="2025-04-08T00:00:00"/>
    <x v="34"/>
    <s v="Витамины"/>
    <s v="SNS-00803"/>
    <x v="151"/>
    <x v="868"/>
    <n v="18.03"/>
    <n v="-2.7050000000000001"/>
    <n v="-0.75125643666323383"/>
    <n v="2.2428563183364649E-15"/>
    <n v="0.63216250349522285"/>
    <n v="1444.9809925334714"/>
    <n v="2500"/>
    <x v="818"/>
    <s v="&lt;Клиент не выбран&gt;"/>
    <s v="2025 05"/>
    <n v="1055.0190074665286"/>
    <n v="0.73012656423720412"/>
  </r>
  <r>
    <s v="534850240"/>
    <s v="722500427619"/>
    <s v="iHerb_AV CYG0792"/>
    <s v="Доставлен"/>
    <d v="2025-04-08T00:00:00"/>
    <x v="34"/>
    <s v="Витамины"/>
    <s v="YOU-00316"/>
    <x v="71"/>
    <x v="990"/>
    <n v="31.14"/>
    <n v="-4.67"/>
    <n v="-1.2976024716786818"/>
    <n v="3.8739580258640274E-15"/>
    <n v="1.0918983013062673"/>
    <n v="2495.8334011328534"/>
    <n v="3500"/>
    <x v="820"/>
    <m/>
    <s v="2025 07"/>
    <n v="1004.1665988671466"/>
    <n v="0.40233719061991779"/>
  </r>
  <r>
    <s v="534850240"/>
    <s v="722500427619"/>
    <s v="iHerb_AV CYG0792"/>
    <s v="Доставлен"/>
    <d v="2025-04-08T00:00:00"/>
    <x v="34"/>
    <s v="Косметика"/>
    <s v="AUU-73143"/>
    <x v="304"/>
    <x v="1549"/>
    <n v="25.85"/>
    <n v="-6.46"/>
    <n v="-0.95052935118434612"/>
    <n v="2.8377803597092366E-15"/>
    <n v="0.79984541225268335"/>
    <n v="1828.2663259526269"/>
    <m/>
    <x v="20"/>
    <m/>
    <s v=""/>
    <n v="-1828.2663259526269"/>
    <s v=""/>
  </r>
  <r>
    <s v="534850240"/>
    <s v="722500427619"/>
    <s v="iHerb_AV CYG0792"/>
    <s v="Доставлен"/>
    <d v="2025-04-08T00:00:00"/>
    <x v="34"/>
    <s v="Витамины"/>
    <s v="SPN-02510"/>
    <x v="45"/>
    <x v="1540"/>
    <n v="19.27"/>
    <n v="-9.64"/>
    <n v="-0.47207826982492268"/>
    <n v="1.409377249303762E-15"/>
    <n v="0.39724142960254455"/>
    <n v="908.00436920700338"/>
    <n v="908"/>
    <x v="20"/>
    <m/>
    <s v=""/>
    <n v="-4.3692070033785058E-3"/>
    <n v="-4.8118788318103679E-6"/>
  </r>
  <r>
    <s v="534888894"/>
    <s v="722500428790"/>
    <s v="iHerb_OA CZN6870"/>
    <s v="Доставлен"/>
    <d v="2025-04-09T00:00:00"/>
    <x v="34"/>
    <s v="Витамины"/>
    <s v="NFS-26841"/>
    <x v="23"/>
    <x v="1524"/>
    <n v="61.44"/>
    <n v="-9.2200000000000006"/>
    <n v="0"/>
    <n v="0"/>
    <n v="2.5259007849820243"/>
    <n v="5178.1218931426183"/>
    <n v="6800"/>
    <x v="818"/>
    <s v="&lt;Клиент не выбран&gt;"/>
    <s v="2025 05"/>
    <n v="1621.8781068573817"/>
    <n v="0.31321744453432687"/>
  </r>
  <r>
    <s v="534888894"/>
    <s v="722500428790"/>
    <s v="iHerb_OA CZN6870"/>
    <s v="Доставлен"/>
    <d v="2025-04-09T00:00:00"/>
    <x v="34"/>
    <s v="Витамины"/>
    <s v="CEN-27387"/>
    <x v="2"/>
    <x v="23"/>
    <n v="29.29"/>
    <n v="-4.3899999999999997"/>
    <n v="0"/>
    <n v="0"/>
    <n v="1.2044222433177403"/>
    <n v="2469.0776549071461"/>
    <n v="3300"/>
    <x v="769"/>
    <s v="Оксана Черноморская"/>
    <s v="2025 05"/>
    <n v="830.9223450928539"/>
    <n v="0.33653147499895142"/>
  </r>
  <r>
    <s v="534888894"/>
    <s v="722500428790"/>
    <s v="iHerb_OA CZN6870"/>
    <s v="Доставлен"/>
    <d v="2025-04-09T00:00:00"/>
    <x v="34"/>
    <s v="Витамины"/>
    <s v="ARG-50220"/>
    <x v="296"/>
    <x v="1514"/>
    <n v="25.97"/>
    <n v="-3.9"/>
    <n v="0"/>
    <n v="0"/>
    <n v="1.0675340927719892"/>
    <n v="2188.4555760562539"/>
    <n v="2188.46"/>
    <x v="20"/>
    <m/>
    <s v=""/>
    <n v="4.4239437461328635E-3"/>
    <n v="2.0214912262944407E-6"/>
  </r>
  <r>
    <s v="534888894"/>
    <s v="722500428790"/>
    <s v="iHerb_OA CZN6870"/>
    <s v="Доставлен"/>
    <d v="2025-04-09T00:00:00"/>
    <x v="34"/>
    <s v="Витамины"/>
    <s v="AAM-00105"/>
    <x v="298"/>
    <x v="1517"/>
    <n v="45.16"/>
    <n v="-6.77"/>
    <n v="0"/>
    <n v="0"/>
    <n v="1.8569385510428935"/>
    <n v="3806.742617344793"/>
    <n v="3806.74"/>
    <x v="20"/>
    <m/>
    <s v=""/>
    <n v="-2.6173447931796545E-3"/>
    <n v="-6.87554966614805E-7"/>
  </r>
  <r>
    <s v="534888894"/>
    <s v="722500428790"/>
    <s v="iHerb_OA CZN6870"/>
    <s v="Доставлен"/>
    <d v="2025-04-09T00:00:00"/>
    <x v="34"/>
    <s v="Витамины"/>
    <s v="AAM-00176"/>
    <x v="298"/>
    <x v="1518"/>
    <n v="22.56"/>
    <n v="-3.38"/>
    <n v="0"/>
    <n v="0"/>
    <n v="0.92774371995318305"/>
    <n v="1901.8839124947417"/>
    <n v="1901.88"/>
    <x v="20"/>
    <m/>
    <s v=""/>
    <n v="-3.9124947415984934E-3"/>
    <n v="-2.0571680089908278E-6"/>
  </r>
  <r>
    <s v="534888894"/>
    <s v="722500428790"/>
    <s v="iHerb_OA CZN6870"/>
    <s v="Доставлен"/>
    <d v="2025-04-09T00:00:00"/>
    <x v="34"/>
    <s v="Витамины"/>
    <s v="SPN-02510"/>
    <x v="45"/>
    <x v="1540"/>
    <n v="19.27"/>
    <n v="-9.64"/>
    <n v="0"/>
    <n v="0"/>
    <n v="0.4658066748252947"/>
    <n v="954.90834605445048"/>
    <n v="954.91"/>
    <x v="20"/>
    <m/>
    <s v=""/>
    <n v="1.653945549492164E-3"/>
    <n v="1.7320463857353838E-6"/>
  </r>
  <r>
    <s v="534943306"/>
    <s v="720000648074"/>
    <s v="iHerb_VP DFD1605"/>
    <s v="Доставлен"/>
    <d v="2025-04-11T00:00:00"/>
    <x v="34"/>
    <s v="Витамины"/>
    <s v="CGN-02377"/>
    <x v="1"/>
    <x v="1428"/>
    <n v="24.97"/>
    <n v="-7.49"/>
    <n v="0"/>
    <n v="4.9993608135191155E-15"/>
    <n v="0.70668186955117851"/>
    <n v="1723.0231688050319"/>
    <n v="3100"/>
    <x v="808"/>
    <s v="&lt;Клиент не выбран&gt;"/>
    <s v="2025 05"/>
    <n v="1376.9768311949681"/>
    <n v="0.79916327077014448"/>
  </r>
  <r>
    <s v="534943306"/>
    <s v="720000648074"/>
    <s v="iHerb_VP DFD1605"/>
    <s v="Доставлен"/>
    <d v="2025-04-11T00:00:00"/>
    <x v="34"/>
    <s v="Витамины"/>
    <s v="AGE-00856"/>
    <x v="189"/>
    <x v="1550"/>
    <n v="42.55"/>
    <n v="-4.26"/>
    <n v="0"/>
    <n v="1.0951117022291015E-14"/>
    <n v="1.5479890609333311"/>
    <n v="3774.2881655345932"/>
    <n v="4200"/>
    <x v="769"/>
    <s v="Оксана Черноморская"/>
    <s v="2025 05"/>
    <n v="425.71183446540681"/>
    <n v="0.1127926156653459"/>
  </r>
  <r>
    <s v="534943306"/>
    <s v="720000648074"/>
    <s v="iHerb_VP DFD1605"/>
    <s v="Доставлен"/>
    <d v="2025-04-11T00:00:00"/>
    <x v="34"/>
    <s v="Витамины"/>
    <s v="MTC-00015"/>
    <x v="305"/>
    <x v="1551"/>
    <n v="94.19"/>
    <n v="-9.42"/>
    <n v="0"/>
    <n v="2.4244611908582121E-14"/>
    <n v="3.4270836431266254"/>
    <n v="8355.8737997484313"/>
    <n v="9450"/>
    <x v="769"/>
    <s v="Оксана Черноморская"/>
    <s v="2025 05"/>
    <n v="1094.1262002515687"/>
    <n v="0.13094096757235721"/>
  </r>
  <r>
    <s v="534943306"/>
    <s v="720000648074"/>
    <s v="iHerb_VP DFD1605"/>
    <s v="Доставлен"/>
    <d v="2025-04-11T00:00:00"/>
    <x v="34"/>
    <s v="Витамины"/>
    <s v="CGN-01033"/>
    <x v="1"/>
    <x v="1"/>
    <n v="20.79"/>
    <n v="-6.2374999999999998"/>
    <n v="0"/>
    <n v="4.1620822791039435E-15"/>
    <n v="0.58832882761118566"/>
    <n v="1434.4562164779879"/>
    <n v="2300"/>
    <x v="793"/>
    <s v="Лида корма"/>
    <s v="2025 05"/>
    <n v="865.54378352201206"/>
    <n v="0.60339505213144584"/>
  </r>
  <r>
    <s v="534943306"/>
    <s v="720000648074"/>
    <s v="iHerb_VP DFD1605"/>
    <s v="Доставлен"/>
    <d v="2025-04-11T00:00:00"/>
    <x v="34"/>
    <s v="Витамины"/>
    <s v="CGN-01033"/>
    <x v="1"/>
    <x v="1"/>
    <n v="20.79"/>
    <n v="-6.2374999999999998"/>
    <n v="0"/>
    <n v="4.1620822791039435E-15"/>
    <n v="0.58832882761118566"/>
    <n v="1434.4562164779879"/>
    <n v="2300"/>
    <x v="793"/>
    <s v="Лида корма"/>
    <s v="2025 05"/>
    <n v="865.54378352201206"/>
    <n v="0.60339505213144584"/>
  </r>
  <r>
    <s v="534943306"/>
    <s v="720000648074"/>
    <s v="iHerb_VP DFD1605"/>
    <s v="Доставлен"/>
    <d v="2025-04-11T00:00:00"/>
    <x v="34"/>
    <s v="Витамины"/>
    <s v="CGN-01033"/>
    <x v="1"/>
    <x v="1"/>
    <n v="20.79"/>
    <n v="-6.2374999999999998"/>
    <n v="0"/>
    <n v="4.1620822791039435E-15"/>
    <n v="0.58832882761118566"/>
    <n v="1434.4562164779879"/>
    <n v="2300"/>
    <x v="733"/>
    <s v="Елена Шевченко 217"/>
    <s v="2025 05"/>
    <n v="865.54378352201206"/>
    <n v="0.60339505213144584"/>
  </r>
  <r>
    <s v="534943306"/>
    <s v="720000648074"/>
    <s v="iHerb_VP DFD1605"/>
    <s v="Доставлен"/>
    <d v="2025-04-11T00:00:00"/>
    <x v="34"/>
    <s v="Витамины"/>
    <s v="CGN-01033"/>
    <x v="1"/>
    <x v="1"/>
    <n v="20.79"/>
    <n v="-6.2374999999999998"/>
    <n v="0"/>
    <n v="4.1620822791039435E-15"/>
    <n v="0.58832882761118566"/>
    <n v="1434.4562164779879"/>
    <n v="2300"/>
    <x v="702"/>
    <s v="&lt;Клиент не выбран&gt;"/>
    <s v="2025 05"/>
    <n v="865.54378352201206"/>
    <n v="0.60339505213144584"/>
  </r>
  <r>
    <s v="535132597"/>
    <s v="720000653114"/>
    <s v="iHerb_VP DFD1605"/>
    <s v="Доставлен"/>
    <d v="2025-04-18T00:00:00"/>
    <x v="34"/>
    <s v="Витамины"/>
    <s v="NAP-01480"/>
    <x v="11"/>
    <x v="488"/>
    <n v="10.8"/>
    <n v="-1.08"/>
    <n v="-0.26536241374099634"/>
    <n v="0"/>
    <n v="0.52676007759696042"/>
    <n v="941.63950435702418"/>
    <n v="1700"/>
    <x v="702"/>
    <s v="Любовь Виталий"/>
    <s v="2025 05"/>
    <n v="758.36049564297582"/>
    <n v="0.8053618100493819"/>
  </r>
  <r>
    <s v="535132597"/>
    <s v="720000653114"/>
    <s v="iHerb_VP DFD1605"/>
    <s v="Доставлен"/>
    <d v="2025-04-18T00:00:00"/>
    <x v="34"/>
    <s v="Витамины"/>
    <s v="NOW-01757"/>
    <x v="3"/>
    <x v="235"/>
    <n v="24.53"/>
    <n v="-2.4500000000000002"/>
    <n v="-0.60279856948572008"/>
    <n v="0"/>
    <n v="1.1965907935535891"/>
    <n v="2139.0329481690424"/>
    <n v="2800"/>
    <x v="702"/>
    <s v="Оксана Черноморская"/>
    <s v="2025 05"/>
    <n v="660.96705183095764"/>
    <n v="0.30900274462659799"/>
  </r>
  <r>
    <s v="535132597"/>
    <s v="720000653114"/>
    <s v="iHerb_VP DFD1605"/>
    <s v="Доставлен"/>
    <d v="2025-04-18T00:00:00"/>
    <x v="34"/>
    <s v="Витамины"/>
    <s v="SNS-00803"/>
    <x v="151"/>
    <x v="868"/>
    <n v="18.03"/>
    <n v="-1.8049999999999999"/>
    <n v="-0.44295320606457467"/>
    <n v="0"/>
    <n v="0.87928829825212784"/>
    <n v="1571.8210862338187"/>
    <n v="2500"/>
    <x v="821"/>
    <s v="&lt;Клиент не выбран&gt;"/>
    <s v="2025 05"/>
    <n v="928.17891376618127"/>
    <n v="0.59051180945164428"/>
  </r>
  <r>
    <s v="535132597"/>
    <s v="720000653114"/>
    <s v="iHerb_VP DFD1605"/>
    <s v="Доставлен"/>
    <d v="2025-04-18T00:00:00"/>
    <x v="34"/>
    <s v="Витамины"/>
    <s v="SNS-00803"/>
    <x v="151"/>
    <x v="868"/>
    <n v="18.03"/>
    <n v="-1.8049999999999999"/>
    <n v="-0.44295320606457467"/>
    <n v="0"/>
    <n v="0.87928829825212784"/>
    <n v="1571.8210862338187"/>
    <n v="2400"/>
    <x v="789"/>
    <m/>
    <s v="2025 07"/>
    <n v="828.17891376618127"/>
    <n v="0.52689133707357849"/>
  </r>
  <r>
    <s v="535132597"/>
    <s v="720000653114"/>
    <s v="iHerb_VP DFD1605"/>
    <s v="Доставлен"/>
    <d v="2025-04-18T00:00:00"/>
    <x v="34"/>
    <s v="Витамины"/>
    <s v="NFS-04512"/>
    <x v="23"/>
    <x v="691"/>
    <n v="12.58"/>
    <n v="-1.26"/>
    <n v="-0.30904346950083111"/>
    <n v="0"/>
    <n v="0.61346955539069881"/>
    <n v="1096.6418919055054"/>
    <n v="1800"/>
    <x v="702"/>
    <s v="Любовь 17"/>
    <s v="2025 05"/>
    <n v="703.35810809449458"/>
    <n v="0.64137446625566352"/>
  </r>
  <r>
    <s v="535132597"/>
    <s v="720000653114"/>
    <s v="iHerb_VP DFD1605"/>
    <s v="Доставлен"/>
    <d v="2025-04-18T00:00:00"/>
    <x v="34"/>
    <s v="Витамины"/>
    <s v="NOW-03876"/>
    <x v="3"/>
    <x v="468"/>
    <n v="40.26"/>
    <n v="-4.03"/>
    <n v="-0.98910290636175879"/>
    <n v="0"/>
    <n v="1.9634277377919622"/>
    <n v="3509.8353130509236"/>
    <n v="4400"/>
    <x v="733"/>
    <s v="&lt;Клиент не выбран&gt;"/>
    <s v="2025 05"/>
    <n v="890.16468694907644"/>
    <n v="0.25362007261112801"/>
  </r>
  <r>
    <s v="535132597"/>
    <s v="720000653114"/>
    <s v="iHerb_VP DFD1605"/>
    <s v="Доставлен"/>
    <d v="2025-04-18T00:00:00"/>
    <x v="34"/>
    <s v="Витамины"/>
    <s v="NOW-02967"/>
    <x v="3"/>
    <x v="1552"/>
    <n v="26.09"/>
    <n v="-2.61"/>
    <n v="-0.6410194932755755"/>
    <n v="0"/>
    <n v="1.2724615866231102"/>
    <n v="2274.6600372739636"/>
    <n v="3200"/>
    <x v="702"/>
    <s v="Любовь Виталий"/>
    <s v="2025 05"/>
    <n v="925.33996272603645"/>
    <n v="0.40680363111975099"/>
  </r>
  <r>
    <s v="535132597"/>
    <s v="720000653114"/>
    <s v="iHerb_VP DFD1605"/>
    <s v="Доставлен"/>
    <d v="2025-04-18T00:00:00"/>
    <x v="34"/>
    <s v="Спортпит"/>
    <s v="IRW-41044"/>
    <x v="306"/>
    <x v="1553"/>
    <n v="40.090000000000003"/>
    <n v="-25.1"/>
    <n v="-0.40923689114995215"/>
    <n v="0"/>
    <n v="0.81235942008008621"/>
    <n v="1452.1786183448348"/>
    <m/>
    <x v="20"/>
    <m/>
    <s v=""/>
    <n v="-1452.1786183448348"/>
    <s v=""/>
  </r>
  <r>
    <s v="535132597"/>
    <s v="720000653114"/>
    <s v="iHerb_VP DFD1605"/>
    <s v="Доставлен"/>
    <d v="2025-04-18T00:00:00"/>
    <x v="34"/>
    <s v="Спортпит"/>
    <s v="CGN-01787"/>
    <x v="1"/>
    <x v="1554"/>
    <n v="35.29"/>
    <n v="-10.59"/>
    <n v="-0.6743262982924495"/>
    <n v="0"/>
    <n v="1.3385775634408357"/>
    <n v="2392.8493577796808"/>
    <n v="3800"/>
    <x v="702"/>
    <s v="&lt;Клиент не выбран&gt;"/>
    <s v="2025 05"/>
    <n v="1407.1506422203192"/>
    <n v="0.58806486820633419"/>
  </r>
  <r>
    <s v="535132597"/>
    <s v="720000653114"/>
    <s v="iHerb_VP DFD1605"/>
    <s v="Доставлен"/>
    <d v="2025-04-18T00:00:00"/>
    <x v="34"/>
    <s v="Витамины"/>
    <s v="NOW-02314"/>
    <x v="3"/>
    <x v="1017"/>
    <n v="26.18"/>
    <n v="-2.62"/>
    <n v="-0.64320354606356711"/>
    <n v="0"/>
    <n v="1.276797060512797"/>
    <n v="2282.4101566513878"/>
    <n v="3100"/>
    <x v="702"/>
    <s v="&lt;Клиент не выбран&gt;"/>
    <s v="2025 05"/>
    <n v="817.58984334861225"/>
    <n v="0.35821337412383841"/>
  </r>
  <r>
    <s v="535412335"/>
    <s v="720000662524"/>
    <s v="iHerb_VP DFD1605"/>
    <s v="Доставлен"/>
    <d v="2025-04-27T00:00:00"/>
    <x v="34"/>
    <s v="Косметика"/>
    <s v="EUC-03226"/>
    <x v="13"/>
    <x v="29"/>
    <n v="24.73"/>
    <n v="0"/>
    <n v="0"/>
    <n v="0"/>
    <n v="0.81297267926999983"/>
    <n v="2373.5369377521615"/>
    <n v="3000"/>
    <x v="660"/>
    <s v="Лиля Эдельвейс"/>
    <s v="2025 10"/>
    <n v="626.46306224783848"/>
    <n v="0.26393651275599067"/>
  </r>
  <r>
    <s v="535412335"/>
    <s v="720000662524"/>
    <s v="iHerb_VP DFD1605"/>
    <s v="Доставлен"/>
    <d v="2025-04-27T00:00:00"/>
    <x v="34"/>
    <s v="Косметика"/>
    <s v="EUC-03226"/>
    <x v="13"/>
    <x v="29"/>
    <n v="24.73"/>
    <n v="0"/>
    <n v="0"/>
    <n v="0"/>
    <n v="0.81297267926999983"/>
    <n v="2373.5369377521615"/>
    <n v="3000"/>
    <x v="660"/>
    <s v="Лиля Эдельвейс"/>
    <s v="2025 10"/>
    <n v="626.46306224783848"/>
    <n v="0.26393651275599067"/>
  </r>
  <r>
    <s v="535412335"/>
    <s v="720000662524"/>
    <s v="iHerb_VP DFD1605"/>
    <s v="Доставлен"/>
    <d v="2025-04-27T00:00:00"/>
    <x v="34"/>
    <s v="Косметика"/>
    <s v="EUC-03226"/>
    <x v="13"/>
    <x v="29"/>
    <n v="24.73"/>
    <n v="0"/>
    <n v="0"/>
    <n v="0"/>
    <n v="0.81297267926999983"/>
    <n v="2373.5369377521615"/>
    <n v="3000"/>
    <x v="660"/>
    <s v="Лиля Эдельвейс"/>
    <s v="2025 10"/>
    <n v="626.46306224783848"/>
    <n v="0.26393651275599067"/>
  </r>
  <r>
    <s v="535412335"/>
    <s v="720000662524"/>
    <s v="iHerb_VP DFD1605"/>
    <s v="Доставлен"/>
    <d v="2025-04-27T00:00:00"/>
    <x v="34"/>
    <s v="Витамины"/>
    <s v="NOW-01661"/>
    <x v="3"/>
    <x v="1136"/>
    <n v="20.28"/>
    <n v="-4.0549999999999997"/>
    <n v="0"/>
    <n v="0"/>
    <n v="0.53337977036618467"/>
    <n v="1557.2437046109512"/>
    <n v="2400"/>
    <x v="758"/>
    <s v="&lt;Клиент не выбран&gt;"/>
    <s v="2025 06"/>
    <n v="842.75629538904877"/>
    <n v="0.5411845897297084"/>
  </r>
  <r>
    <s v="535412335"/>
    <s v="720000662524"/>
    <s v="iHerb_VP DFD1605"/>
    <s v="Доставлен"/>
    <d v="2025-04-27T00:00:00"/>
    <x v="34"/>
    <s v="Витамины"/>
    <s v="NOW-01661"/>
    <x v="3"/>
    <x v="1136"/>
    <n v="20.28"/>
    <n v="-4.0549999999999997"/>
    <n v="0"/>
    <n v="0"/>
    <n v="0.53337977036618467"/>
    <n v="1557.2437046109512"/>
    <n v="2400"/>
    <x v="788"/>
    <s v="Аня Мирный"/>
    <s v="2025 07"/>
    <n v="842.75629538904877"/>
    <n v="0.5411845897297084"/>
  </r>
  <r>
    <s v="535412335"/>
    <s v="720000662524"/>
    <s v="iHerb_VP DFD1605"/>
    <s v="Доставлен"/>
    <d v="2025-04-27T00:00:00"/>
    <x v="34"/>
    <s v="Витамины"/>
    <s v="NOW-01289"/>
    <x v="3"/>
    <x v="214"/>
    <n v="24.42"/>
    <n v="-4.88"/>
    <n v="0"/>
    <n v="0"/>
    <n v="0.64235690064439133"/>
    <n v="1875.4109083573492"/>
    <n v="2800"/>
    <x v="565"/>
    <s v="&lt;Клиент не выбран&gt;"/>
    <s v="2025 06"/>
    <n v="924.58909164265083"/>
    <n v="0.49300613935987381"/>
  </r>
  <r>
    <s v="535412335"/>
    <s v="720000662524"/>
    <s v="iHerb_VP DFD1605"/>
    <s v="Доставлен"/>
    <d v="2025-04-27T00:00:00"/>
    <x v="34"/>
    <s v="Витамины"/>
    <s v="NOW-04012"/>
    <x v="3"/>
    <x v="1555"/>
    <n v="14.48"/>
    <n v="-2.9"/>
    <n v="0"/>
    <n v="0"/>
    <n v="0.38068029219355431"/>
    <n v="1111.4257072046112"/>
    <n v="1800"/>
    <x v="464"/>
    <s v="Любовь 17"/>
    <s v="2025 05"/>
    <n v="688.57429279538883"/>
    <n v="0.61954144872827177"/>
  </r>
  <r>
    <s v="535412335"/>
    <s v="720000662524"/>
    <s v="iHerb_VP DFD1605"/>
    <s v="Доставлен"/>
    <d v="2025-04-27T00:00:00"/>
    <x v="34"/>
    <s v="Витамины"/>
    <s v="LEX-30210"/>
    <x v="7"/>
    <x v="749"/>
    <n v="20.48"/>
    <n v="-4.0999999999999996"/>
    <n v="0"/>
    <n v="0"/>
    <n v="0.53847523196290337"/>
    <n v="1572.1203008645537"/>
    <n v="2300"/>
    <x v="713"/>
    <s v="&lt;Клиент не выбран&gt;"/>
    <s v="2025 06"/>
    <n v="727.87969913544634"/>
    <n v="0.46299236689149337"/>
  </r>
  <r>
    <s v="535412335"/>
    <s v="720000662524"/>
    <s v="iHerb_VP DFD1605"/>
    <s v="Доставлен"/>
    <d v="2025-04-27T00:00:00"/>
    <x v="34"/>
    <s v="Витамины"/>
    <s v="LEX-33510"/>
    <x v="7"/>
    <x v="750"/>
    <n v="12.6"/>
    <n v="-2.52"/>
    <n v="0"/>
    <n v="0"/>
    <n v="0.33136937351563273"/>
    <n v="967.4586466858791"/>
    <n v="1700"/>
    <x v="713"/>
    <s v="&lt;Клиент не выбран&gt;"/>
    <s v="2025 06"/>
    <n v="732.5413533141209"/>
    <n v="0.75718104936423947"/>
  </r>
  <r>
    <s v="535412335"/>
    <s v="720000662524"/>
    <s v="iHerb_VP DFD1605"/>
    <s v="Доставлен"/>
    <d v="2025-04-27T00:00:00"/>
    <x v="34"/>
    <s v="Витамины"/>
    <s v="SPN-02494"/>
    <x v="45"/>
    <x v="1529"/>
    <n v="18.57"/>
    <n v="-9.2899999999999991"/>
    <n v="0"/>
    <n v="0"/>
    <n v="0.30507021688740799"/>
    <n v="890.6762144092221"/>
    <n v="2200"/>
    <x v="803"/>
    <s v="Любовь Металлургов 158"/>
    <s v="2026 02"/>
    <n v="1309.3237855907778"/>
    <n v="1.4700334020475005"/>
  </r>
  <r>
    <s v="535495237"/>
    <s v="720000667044"/>
    <s v="iHerb_OA CZN6870"/>
    <s v="Доставлен"/>
    <d v="2025-04-30T00:00:00"/>
    <x v="34"/>
    <s v="Витамины"/>
    <s v="CLF-07210"/>
    <x v="72"/>
    <x v="202"/>
    <n v="20.440000000000001"/>
    <n v="-4.09"/>
    <n v="-0.64517308881104474"/>
    <n v="0"/>
    <n v="0.4786581140956393"/>
    <n v="1509.2805275087576"/>
    <n v="2700"/>
    <x v="464"/>
    <s v="Надежда Витамины"/>
    <s v="2025 05"/>
    <n v="1190.7194724912424"/>
    <n v="0.78893184586212273"/>
  </r>
  <r>
    <s v="535495237"/>
    <s v="720000667044"/>
    <s v="iHerb_OA CZN6870"/>
    <s v="Доставлен"/>
    <d v="2025-04-30T00:00:00"/>
    <x v="34"/>
    <s v="Витамины"/>
    <s v="NOW-01292"/>
    <x v="3"/>
    <x v="1014"/>
    <n v="31.5"/>
    <n v="-6.3"/>
    <n v="-0.99439521945188547"/>
    <n v="0"/>
    <n v="0.73774828594557251"/>
    <n v="2326.2305378116625"/>
    <n v="3600"/>
    <x v="628"/>
    <m/>
    <s v="2025 08"/>
    <n v="1273.7694621883375"/>
    <n v="0.54756802538866212"/>
  </r>
  <r>
    <s v="535495237"/>
    <s v="720000667044"/>
    <s v="iHerb_OA CZN6870"/>
    <s v="Доставлен"/>
    <d v="2025-04-30T00:00:00"/>
    <x v="34"/>
    <s v="Витамины"/>
    <s v="NOW-01292"/>
    <x v="3"/>
    <x v="1014"/>
    <n v="31.5"/>
    <n v="-6.3"/>
    <n v="-0.99439521945188547"/>
    <n v="0"/>
    <n v="0.73774828594557251"/>
    <n v="2326.2305378116625"/>
    <n v="3600"/>
    <x v="809"/>
    <s v="Лариса Терраспорт"/>
    <s v="2025 08"/>
    <n v="1273.7694621883375"/>
    <n v="0.54756802538866212"/>
  </r>
  <r>
    <s v="535495237"/>
    <s v="720000667044"/>
    <s v="iHerb_OA CZN6870"/>
    <s v="Доставлен"/>
    <d v="2025-04-30T00:00:00"/>
    <x v="34"/>
    <s v="Витамины"/>
    <s v="NFS-03543"/>
    <x v="23"/>
    <x v="1431"/>
    <n v="34.94"/>
    <n v="-6.99"/>
    <n v="-1.1029105707809601"/>
    <n v="0"/>
    <n v="0.81825653143566468"/>
    <n v="2580.0850607871416"/>
    <n v="3900"/>
    <x v="822"/>
    <m/>
    <s v="2025 10"/>
    <n v="1319.9149392128584"/>
    <n v="0.511578071309856"/>
  </r>
  <r>
    <s v="535495237"/>
    <s v="720000667044"/>
    <s v="iHerb_OA CZN6870"/>
    <s v="Доставлен"/>
    <d v="2025-04-30T00:00:00"/>
    <x v="34"/>
    <s v="Витамины"/>
    <s v="HRM-50043"/>
    <x v="195"/>
    <x v="1556"/>
    <n v="33.25"/>
    <n v="-6.65"/>
    <n v="-1.0496393983103236"/>
    <n v="0"/>
    <n v="0.77873430183143755"/>
    <n v="2455.4655676900888"/>
    <n v="2300"/>
    <x v="823"/>
    <s v="Елена пер. Фруктовый"/>
    <s v="2026 04"/>
    <n v="-155.46556769008885"/>
    <n v="-6.3314089896336342E-2"/>
  </r>
  <r>
    <s v="535495237"/>
    <s v="720000667044"/>
    <s v="iHerb_OA CZN6870"/>
    <s v="Доставлен"/>
    <d v="2025-04-30T00:00:00"/>
    <x v="34"/>
    <s v="Витамины"/>
    <s v="VMC-47227"/>
    <x v="307"/>
    <x v="1557"/>
    <n v="20.59"/>
    <n v="-4.12"/>
    <n v="-0.64990830414176792"/>
    <n v="0"/>
    <n v="0.48217120117157053"/>
    <n v="1520.3578157840511"/>
    <n v="2500"/>
    <x v="824"/>
    <s v="Татьяна Бригантина"/>
    <s v="2025 06"/>
    <n v="979.64218421594887"/>
    <n v="0.64434975375237291"/>
  </r>
  <r>
    <s v="535495237"/>
    <s v="720000667044"/>
    <s v="iHerb_OA CZN6870"/>
    <s v="Доставлен"/>
    <d v="2025-04-30T00:00:00"/>
    <x v="34"/>
    <s v="Витамины"/>
    <s v="VMC-47067"/>
    <x v="307"/>
    <x v="1558"/>
    <n v="12.21"/>
    <n v="-2.44"/>
    <n v="-0.38552544817638579"/>
    <n v="0"/>
    <n v="0.28602383943207316"/>
    <n v="901.87588708015664"/>
    <n v="1600"/>
    <x v="825"/>
    <s v="Виктория Башня/Энгельса"/>
    <s v="2026 03"/>
    <n v="698.12411291984336"/>
    <n v="0.77408002910470952"/>
  </r>
  <r>
    <s v="535495237"/>
    <s v="720000667044"/>
    <s v="iHerb_OA CZN6870"/>
    <s v="Доставлен"/>
    <d v="2025-04-30T00:00:00"/>
    <x v="34"/>
    <s v="Витамины"/>
    <s v="VMC-47443"/>
    <x v="307"/>
    <x v="1559"/>
    <n v="22.58"/>
    <n v="-4.5199999999999996"/>
    <n v="-0.71264990727385114"/>
    <n v="0"/>
    <n v="0.52871960492766024"/>
    <n v="1667.1318854316917"/>
    <n v="3000"/>
    <x v="655"/>
    <s v="Надежда Витамины"/>
    <s v="2025 08"/>
    <n v="1332.8681145683083"/>
    <n v="0.7994977039403045"/>
  </r>
  <r>
    <s v="535495237"/>
    <s v="720000667044"/>
    <s v="iHerb_OA CZN6870"/>
    <s v="Доставлен"/>
    <d v="2025-04-30T00:00:00"/>
    <x v="34"/>
    <s v="Витамины"/>
    <s v="VMC-47553"/>
    <x v="307"/>
    <x v="1560"/>
    <n v="16.75"/>
    <n v="-3.35"/>
    <n v="-0.52876571193076449"/>
    <n v="0"/>
    <n v="0.39229472347899486"/>
    <n v="1236.963857407789"/>
    <n v="2000"/>
    <x v="826"/>
    <s v="Оксана Черноморская"/>
    <s v="2025 07"/>
    <n v="763.03614259221104"/>
    <n v="0.61686211607770647"/>
  </r>
  <r>
    <s v="535495237"/>
    <s v="720000667044"/>
    <s v="iHerb_OA CZN6870"/>
    <s v="Доставлен"/>
    <d v="2025-04-30T00:00:00"/>
    <x v="34"/>
    <s v="Витамины"/>
    <s v="LEX-20406"/>
    <x v="7"/>
    <x v="1265"/>
    <n v="18.899999999999999"/>
    <n v="-3.78"/>
    <n v="-0.59663713167113119"/>
    <n v="0"/>
    <n v="0.44264897156734351"/>
    <n v="1395.7383226869977"/>
    <n v="2300"/>
    <x v="464"/>
    <s v="Даша Калифорния"/>
    <s v="2025 05"/>
    <n v="904.26167731300234"/>
    <n v="0.64787336036755672"/>
  </r>
  <r>
    <s v="535305177"/>
    <s v="722500437916"/>
    <s v="iHerb_OA CZN6870"/>
    <s v="Доставлен"/>
    <d v="2025-04-24T00:00:00"/>
    <x v="34"/>
    <s v="Витамины"/>
    <s v="NOW-00372"/>
    <x v="3"/>
    <x v="13"/>
    <n v="8.06"/>
    <n v="-1.6125"/>
    <n v="-0.24809619860356866"/>
    <n v="-9.4775780477129467E-16"/>
    <n v="0.36294767804300748"/>
    <n v="611.96795552107574"/>
    <n v="1100"/>
    <x v="799"/>
    <s v="&lt;Клиент не выбран&gt;"/>
    <s v="2025 06"/>
    <n v="488.03204447892426"/>
    <n v="0.79747973742085387"/>
  </r>
  <r>
    <s v="535305177"/>
    <s v="722500437916"/>
    <s v="iHerb_OA CZN6870"/>
    <s v="Доставлен"/>
    <d v="2025-04-24T00:00:00"/>
    <x v="34"/>
    <s v="Витамины"/>
    <s v="NOW-00372"/>
    <x v="3"/>
    <x v="13"/>
    <n v="8.06"/>
    <n v="-1.6125"/>
    <n v="-0.24809619860356866"/>
    <n v="-9.4775780477129467E-16"/>
    <n v="0.36294767804300748"/>
    <n v="611.96795552107574"/>
    <n v="1200"/>
    <x v="565"/>
    <s v="Светлана Кулаки"/>
    <s v="2025 06"/>
    <n v="588.03204447892426"/>
    <n v="0.96088698627729519"/>
  </r>
  <r>
    <s v="535305177"/>
    <s v="722500437916"/>
    <s v="iHerb_OA CZN6870"/>
    <s v="Доставлен"/>
    <d v="2025-04-24T00:00:00"/>
    <x v="34"/>
    <s v="Витамины"/>
    <s v="NOW-00372"/>
    <x v="3"/>
    <x v="13"/>
    <n v="8.06"/>
    <n v="-1.6125"/>
    <n v="-0.24809619860356866"/>
    <n v="-9.4775780477129467E-16"/>
    <n v="0.36294767804300748"/>
    <n v="611.96795552107574"/>
    <n v="1200"/>
    <x v="718"/>
    <m/>
    <s v="2025 07"/>
    <n v="588.03204447892426"/>
    <n v="0.96088698627729519"/>
  </r>
  <r>
    <s v="535305177"/>
    <s v="722500437916"/>
    <s v="iHerb_OA CZN6870"/>
    <s v="Доставлен"/>
    <d v="2025-04-24T00:00:00"/>
    <x v="34"/>
    <s v="Витамины"/>
    <s v="NOW-00372"/>
    <x v="3"/>
    <x v="13"/>
    <n v="8.06"/>
    <n v="-1.6125"/>
    <n v="-0.24809619860356866"/>
    <n v="-9.4775780477129467E-16"/>
    <n v="0.36294767804300748"/>
    <n v="611.96795552107574"/>
    <n v="1100"/>
    <x v="789"/>
    <m/>
    <s v="2025 07"/>
    <n v="488.03204447892426"/>
    <n v="0.79747973742085387"/>
  </r>
  <r>
    <s v="535305177"/>
    <s v="722500437916"/>
    <s v="iHerb_OA CZN6870"/>
    <s v="Доставлен"/>
    <d v="2025-04-24T00:00:00"/>
    <x v="34"/>
    <s v="Витамины"/>
    <s v="NOW-03554"/>
    <x v="3"/>
    <x v="441"/>
    <n v="10.86"/>
    <n v="-2.17"/>
    <n v="-0.33438634600465472"/>
    <n v="-1.2773967155428539E-15"/>
    <n v="0.48918422988658167"/>
    <n v="824.81605792604068"/>
    <n v="1600"/>
    <x v="597"/>
    <m/>
    <s v="2025 07"/>
    <n v="775.18394207395932"/>
    <n v="0.93982644327163212"/>
  </r>
  <r>
    <s v="535305177"/>
    <s v="722500437916"/>
    <s v="iHerb_OA CZN6870"/>
    <s v="Доставлен"/>
    <d v="2025-04-24T00:00:00"/>
    <x v="34"/>
    <s v="Витамины"/>
    <s v="LEX-19456"/>
    <x v="7"/>
    <x v="558"/>
    <n v="10.75"/>
    <n v="-2.15"/>
    <n v="-0.33092319627618305"/>
    <n v="-1.2641670602610521E-15"/>
    <n v="0.48411787997981609"/>
    <n v="816.27365916731287"/>
    <n v="1600"/>
    <x v="797"/>
    <s v="Даша Калифорния"/>
    <s v="2025 08"/>
    <n v="783.72634083268713"/>
    <n v="0.96012695256168434"/>
  </r>
  <r>
    <s v="535305177"/>
    <s v="722500437916"/>
    <s v="iHerb_OA CZN6870"/>
    <s v="Доставлен"/>
    <d v="2025-04-24T00:00:00"/>
    <x v="34"/>
    <s v="Витамины"/>
    <s v="SNS-00803"/>
    <x v="151"/>
    <x v="868"/>
    <n v="18.03"/>
    <n v="-3.605"/>
    <n v="-0.55506594259115594"/>
    <n v="-2.1204197493332184E-15"/>
    <n v="0.81202330450102889"/>
    <n v="1369.156689940522"/>
    <n v="2050"/>
    <x v="826"/>
    <s v="Оксана Черноморская"/>
    <s v="2025 07"/>
    <n v="680.84331005947797"/>
    <n v="0.49727201792298492"/>
  </r>
  <r>
    <s v="535305177"/>
    <s v="722500437916"/>
    <s v="iHerb_OA CZN6870"/>
    <s v="Доставлен"/>
    <d v="2025-04-24T00:00:00"/>
    <x v="34"/>
    <s v="Витамины"/>
    <s v="SNS-00803"/>
    <x v="151"/>
    <x v="868"/>
    <n v="18.03"/>
    <n v="-3.605"/>
    <n v="-0.55506594259115594"/>
    <n v="-2.1204197493332184E-15"/>
    <n v="0.81202330450102889"/>
    <n v="1369.156689940522"/>
    <n v="2400"/>
    <x v="688"/>
    <m/>
    <s v="2025 09"/>
    <n v="1030.843310059478"/>
    <n v="0.75290382586105553"/>
  </r>
  <r>
    <s v="535305177"/>
    <s v="722500437916"/>
    <s v="iHerb_OA CZN6870"/>
    <s v="Доставлен"/>
    <d v="2025-04-24T00:00:00"/>
    <x v="34"/>
    <s v="Витамины"/>
    <s v="SNS-00803"/>
    <x v="151"/>
    <x v="868"/>
    <n v="18.03"/>
    <n v="-3.605"/>
    <n v="-0.55506594259115594"/>
    <n v="-2.1204197493332184E-15"/>
    <n v="0.81202330450102889"/>
    <n v="1369.156689940522"/>
    <n v="2500"/>
    <x v="827"/>
    <m/>
    <s v="2025 09"/>
    <n v="1130.843310059478"/>
    <n v="0.82594148527193278"/>
  </r>
  <r>
    <s v="535305177"/>
    <s v="722500437916"/>
    <s v="iHerb_OA CZN6870"/>
    <s v="Доставлен"/>
    <d v="2025-04-24T00:00:00"/>
    <x v="34"/>
    <s v="Витамины"/>
    <s v="SNS-00803"/>
    <x v="151"/>
    <x v="868"/>
    <n v="18.03"/>
    <n v="-3.605"/>
    <n v="-0.55506594259115594"/>
    <n v="-2.1204197493332184E-15"/>
    <n v="0.81202330450102889"/>
    <n v="1369.156689940522"/>
    <n v="2500"/>
    <x v="536"/>
    <s v="Наталья Школа 53"/>
    <s v="2026 01"/>
    <n v="1130.843310059478"/>
    <n v="0.82594148527193278"/>
  </r>
  <r>
    <s v="535305177"/>
    <s v="722500437916"/>
    <s v="iHerb_OA CZN6870"/>
    <s v="Доставлен"/>
    <d v="2025-04-24T00:00:00"/>
    <x v="34"/>
    <s v="Витамины"/>
    <s v="LIF-97802"/>
    <x v="308"/>
    <x v="1561"/>
    <n v="17.690000000000001"/>
    <n v="-3.54"/>
    <n v="-0.54448409619860361"/>
    <n v="-2.0799958026388244E-15"/>
    <n v="0.79654279089702318"/>
    <n v="1343.054915955521"/>
    <n v="2300"/>
    <x v="817"/>
    <s v="Любовь Виталий"/>
    <s v="2025 05"/>
    <n v="956.94508404447902"/>
    <n v="0.71251374212323793"/>
  </r>
  <r>
    <s v="535305177"/>
    <s v="722500437916"/>
    <s v="iHerb_OA CZN6870"/>
    <s v="Доставлен"/>
    <d v="2025-04-24T00:00:00"/>
    <x v="34"/>
    <s v="Витамины"/>
    <s v="DRB-00087"/>
    <x v="6"/>
    <x v="1374"/>
    <n v="24.7"/>
    <n v="-4.9400000000000004"/>
    <n v="-0.76035376260667176"/>
    <n v="-2.9046443152044639E-15"/>
    <n v="1.1123452684187403"/>
    <n v="1875.5311052495465"/>
    <n v="3000"/>
    <x v="740"/>
    <s v="Надежда Витамины"/>
    <s v="2025 08"/>
    <n v="1124.4688947504535"/>
    <n v="0.59954691852516018"/>
  </r>
  <r>
    <s v="535305177"/>
    <s v="722500437916"/>
    <s v="iHerb_OA CZN6870"/>
    <s v="Доставлен"/>
    <d v="2025-04-24T00:00:00"/>
    <x v="34"/>
    <s v="Витамины"/>
    <s v="NAP-01480"/>
    <x v="11"/>
    <x v="488"/>
    <n v="10.8"/>
    <n v="-2.16"/>
    <n v="-0.33246237393328165"/>
    <n v="-1.2700469070529641E-15"/>
    <n v="0.48636959104948974"/>
    <n v="820.0702808378586"/>
    <n v="1700"/>
    <x v="699"/>
    <s v="Надежда Витамины"/>
    <s v="2025 05"/>
    <n v="879.9297191621414"/>
    <n v="1.0729930589157857"/>
  </r>
  <r>
    <s v="535305177"/>
    <s v="722500437916"/>
    <s v="iHerb_OA CZN6870"/>
    <s v="Доставлен"/>
    <d v="2025-04-24T00:00:00"/>
    <x v="34"/>
    <s v="Витамины"/>
    <s v="SPN-02508"/>
    <x v="45"/>
    <x v="1562"/>
    <n v="19.89"/>
    <n v="-9.9499999999999993"/>
    <n v="-0.3824856477889837"/>
    <n v="-1.4611419277901E-15"/>
    <n v="0.55955020081388063"/>
    <n v="943.46048513059202"/>
    <n v="2300"/>
    <x v="628"/>
    <s v="Аня Мирный"/>
    <s v="2025 08"/>
    <n v="1356.5395148694079"/>
    <n v="1.4378339487971648"/>
  </r>
  <r>
    <s v="535305177"/>
    <s v="722500437916"/>
    <s v="iHerb_OA CZN6870"/>
    <s v="Доставлен"/>
    <d v="2025-04-24T00:00:00"/>
    <x v="34"/>
    <s v="Витамины"/>
    <s v="NCS-67319"/>
    <x v="217"/>
    <x v="1537"/>
    <n v="25.8"/>
    <n v="-5.16"/>
    <n v="-0.7942156710628393"/>
    <n v="-3.0340009446265255E-15"/>
    <n v="1.1618829119515588"/>
    <n v="1959.056782001551"/>
    <n v="3000"/>
    <x v="778"/>
    <m/>
    <s v="2025 07"/>
    <n v="1040.943217998449"/>
    <n v="0.53134918168881584"/>
  </r>
  <r>
    <s v="535305177"/>
    <s v="722500437916"/>
    <s v="iHerb_OA CZN6870"/>
    <s v="Доставлен"/>
    <d v="2025-04-24T00:00:00"/>
    <x v="34"/>
    <s v="Витамины"/>
    <s v="SNS-01459"/>
    <x v="151"/>
    <x v="1541"/>
    <n v="24.3"/>
    <n v="-4.8600000000000003"/>
    <n v="-0.74804034134988373"/>
    <n v="-2.8576055408691692E-15"/>
    <n v="1.094331579861352"/>
    <n v="1845.1581318851815"/>
    <n v="2800"/>
    <x v="828"/>
    <s v="Юлия АТБ кольцо"/>
    <s v="2025 12"/>
    <n v="954.84186811481845"/>
    <n v="0.51748511502332051"/>
  </r>
  <r>
    <s v="535334117"/>
    <s v="720000659818"/>
    <s v="iHerb_MH DLE7202"/>
    <s v="Доставлен"/>
    <d v="2025-04-25T00:00:00"/>
    <x v="34"/>
    <s v="Витамины"/>
    <s v="NFS-35493"/>
    <x v="23"/>
    <x v="1383"/>
    <n v="49.42"/>
    <n v="-9.8833333333333329"/>
    <n v="-5.402881262490526"/>
    <n v="5.807833635759459E-15"/>
    <n v="2.2004928804132216"/>
    <n v="3424.7319474881137"/>
    <n v="5500"/>
    <x v="702"/>
    <s v="Любовь Виталий"/>
    <s v="2025 05"/>
    <n v="2075.2680525118863"/>
    <n v="0.60596510451978636"/>
  </r>
  <r>
    <s v="535334117"/>
    <s v="720000659818"/>
    <s v="iHerb_MH DLE7202"/>
    <s v="Доставлен"/>
    <d v="2025-04-25T00:00:00"/>
    <x v="34"/>
    <s v="Витамины"/>
    <s v="NFS-35493"/>
    <x v="23"/>
    <x v="1383"/>
    <n v="49.42"/>
    <n v="-9.8833333333333329"/>
    <n v="-5.402881262490526"/>
    <n v="5.807833635759459E-15"/>
    <n v="2.2004928804132216"/>
    <n v="3424.7319474881137"/>
    <n v="5500"/>
    <x v="699"/>
    <s v="Любовь Виталий"/>
    <s v="2025 05"/>
    <n v="2075.2680525118863"/>
    <n v="0.60596510451978636"/>
  </r>
  <r>
    <s v="535334117"/>
    <s v="720000659818"/>
    <s v="iHerb_MH DLE7202"/>
    <s v="Доставлен"/>
    <d v="2025-04-25T00:00:00"/>
    <x v="34"/>
    <s v="Витамины"/>
    <s v="NFS-35493"/>
    <x v="23"/>
    <x v="1383"/>
    <n v="49.42"/>
    <n v="-9.8833333333333329"/>
    <n v="-5.402881262490526"/>
    <n v="5.807833635759459E-15"/>
    <n v="2.2004928804132216"/>
    <n v="3424.7319474881137"/>
    <n v="5500"/>
    <x v="699"/>
    <s v="Надежда Витамины"/>
    <s v="2025 05"/>
    <n v="2075.2680525118863"/>
    <n v="0.60596510451978636"/>
  </r>
  <r>
    <s v="535334117"/>
    <s v="720000659818"/>
    <s v="iHerb_MH DLE7202"/>
    <s v="Доставлен"/>
    <d v="2025-04-25T00:00:00"/>
    <x v="34"/>
    <s v="Витамины"/>
    <s v="NOW-00367"/>
    <x v="3"/>
    <x v="365"/>
    <n v="5.57"/>
    <n v="-1.115"/>
    <n v="-0.60879780855902432"/>
    <n v="6.5442792801555654E-16"/>
    <n v="0.24795200528389433"/>
    <n v="385.89952346495767"/>
    <n v="1000"/>
    <x v="717"/>
    <s v="Валентина Сычева"/>
    <s v="2025 06"/>
    <n v="614.10047653504239"/>
    <n v="1.5913481079766272"/>
  </r>
  <r>
    <s v="535334117"/>
    <s v="720000659818"/>
    <s v="iHerb_MH DLE7202"/>
    <s v="Доставлен"/>
    <d v="2025-04-25T00:00:00"/>
    <x v="34"/>
    <s v="Витамины"/>
    <s v="NOW-00367"/>
    <x v="3"/>
    <x v="365"/>
    <n v="5.57"/>
    <n v="-1.115"/>
    <n v="-0.60879780855902432"/>
    <n v="6.5442792801555654E-16"/>
    <n v="0.24795200528389433"/>
    <n v="385.89952346495767"/>
    <n v="1000"/>
    <x v="788"/>
    <s v="Аня Мирный"/>
    <s v="2025 07"/>
    <n v="614.10047653504239"/>
    <n v="1.5913481079766272"/>
  </r>
  <r>
    <s v="535334117"/>
    <s v="720000659818"/>
    <s v="iHerb_MH DLE7202"/>
    <s v="Доставлен"/>
    <d v="2025-04-25T00:00:00"/>
    <x v="34"/>
    <s v="Витамины"/>
    <s v="NFS-02684"/>
    <x v="23"/>
    <x v="1525"/>
    <n v="33.6"/>
    <n v="-6.72"/>
    <n v="-3.6732850940665713"/>
    <n v="3.9486021784642337E-15"/>
    <n v="1.4960605840698271"/>
    <n v="2328.3903907380613"/>
    <n v="3700"/>
    <x v="734"/>
    <s v="&lt;Клиент не выбран&gt;"/>
    <s v="2025 05"/>
    <n v="1371.6096092619387"/>
    <n v="0.58908060036580079"/>
  </r>
  <r>
    <s v="535334117"/>
    <s v="720000659818"/>
    <s v="iHerb_MH DLE7202"/>
    <s v="Доставлен"/>
    <d v="2025-04-25T00:00:00"/>
    <x v="34"/>
    <s v="Витамины"/>
    <s v="PTF-10535"/>
    <x v="169"/>
    <x v="1460"/>
    <n v="15.07"/>
    <n v="-3.01"/>
    <n v="-1.6480587140789751"/>
    <n v="1.7715826738198905E-15"/>
    <n v="0.67122361026347144"/>
    <n v="1044.657295844532"/>
    <n v="2300"/>
    <x v="702"/>
    <s v="&lt;Клиент не выбран&gt;"/>
    <s v="2025 05"/>
    <n v="1255.342704155468"/>
    <n v="1.2016789708443205"/>
  </r>
  <r>
    <s v="535334117"/>
    <s v="720000659818"/>
    <s v="iHerb_MH DLE7202"/>
    <s v="Доставлен"/>
    <d v="2025-04-25T00:00:00"/>
    <x v="34"/>
    <s v="Витамины"/>
    <s v="PHT-82245"/>
    <x v="309"/>
    <x v="1563"/>
    <n v="14.92"/>
    <n v="-7.25"/>
    <n v="-1.0481434773620015"/>
    <n v="1.1267030769650547E-15"/>
    <n v="0.42688931100504363"/>
    <n v="664.38818069051069"/>
    <n v="1800"/>
    <x v="728"/>
    <m/>
    <s v="2025 08"/>
    <n v="1135.6118193094894"/>
    <n v="1.7092595147150682"/>
  </r>
  <r>
    <s v="535334117"/>
    <s v="720000659818"/>
    <s v="iHerb_MH DLE7202"/>
    <s v="Доставлен"/>
    <d v="2025-04-25T00:00:00"/>
    <x v="34"/>
    <s v="Витамины"/>
    <s v="VMC-47401"/>
    <x v="307"/>
    <x v="1564"/>
    <n v="12.9"/>
    <n v="-3.2250000000000001"/>
    <n v="-1.3221366549514166"/>
    <n v="1.4212323689226734E-15"/>
    <n v="0.53848162763674012"/>
    <n v="838.0646216663223"/>
    <n v="1900"/>
    <x v="688"/>
    <s v="Татьяна Бригантина"/>
    <s v="2025 09"/>
    <n v="1061.9353783336778"/>
    <n v="1.2671282749321093"/>
  </r>
  <r>
    <s v="535334117"/>
    <s v="720000659818"/>
    <s v="iHerb_MH DLE7202"/>
    <s v="Доставлен"/>
    <d v="2025-04-25T00:00:00"/>
    <x v="34"/>
    <s v="Витамины"/>
    <s v="VMC-47401"/>
    <x v="307"/>
    <x v="1564"/>
    <n v="12.9"/>
    <n v="-3.2250000000000001"/>
    <n v="-1.3221366549514166"/>
    <n v="1.4212323689226734E-15"/>
    <n v="0.53848162763674012"/>
    <n v="838.0646216663223"/>
    <m/>
    <x v="20"/>
    <m/>
    <s v=""/>
    <n v="-838.0646216663223"/>
    <s v=""/>
  </r>
  <r>
    <s v="535636426"/>
    <s v="720000670392"/>
    <s v="iHerb_OA CZN6870"/>
    <s v="Доставлен"/>
    <d v="2025-05-05T00:00:00"/>
    <x v="35"/>
    <s v="Витамины"/>
    <s v="HRP-54749"/>
    <x v="310"/>
    <x v="1565"/>
    <n v="11.76"/>
    <n v="-1.18"/>
    <n v="-0.54810146225007472"/>
    <n v="1.7946982141072781E-15"/>
    <n v="0.35836298793915483"/>
    <n v="970.33218143837655"/>
    <n v="1600"/>
    <x v="464"/>
    <s v="Оксана Черноморская"/>
    <s v="2025 05"/>
    <n v="629.66781856162345"/>
    <n v="0.64891985508326888"/>
  </r>
  <r>
    <s v="535636426"/>
    <s v="720000670392"/>
    <s v="iHerb_OA CZN6870"/>
    <s v="Доставлен"/>
    <d v="2025-05-05T00:00:00"/>
    <x v="35"/>
    <s v="Витамины"/>
    <s v="CRO-89318"/>
    <x v="176"/>
    <x v="1566"/>
    <n v="19.739999999999998"/>
    <n v="-1.97"/>
    <n v="-0.92058251268278124"/>
    <n v="3.0143466223711088E-15"/>
    <n v="0.60190078409062209"/>
    <n v="1629.7545240226798"/>
    <n v="2350"/>
    <x v="464"/>
    <s v="Оксана Черноморская"/>
    <s v="2025 05"/>
    <n v="720.24547597732021"/>
    <n v="0.44193494502445524"/>
  </r>
  <r>
    <s v="535636426"/>
    <s v="720000670392"/>
    <s v="iHerb_OA CZN6870"/>
    <s v="Доставлен"/>
    <d v="2025-05-05T00:00:00"/>
    <x v="35"/>
    <s v="Витамины"/>
    <s v="THR-71302"/>
    <x v="82"/>
    <x v="1567"/>
    <n v="41"/>
    <n v="-4.0999999999999996"/>
    <n v="-1.9116204118173681"/>
    <n v="6.2593916919242493E-15"/>
    <n v="1.249867131848281"/>
    <n v="3384.2398388540742"/>
    <n v="4300"/>
    <x v="464"/>
    <s v="Оксана Черноморская"/>
    <s v="2025 05"/>
    <n v="915.76016114592585"/>
    <n v="0.27059552654400765"/>
  </r>
  <r>
    <s v="535636426"/>
    <s v="720000670392"/>
    <s v="iHerb_OA CZN6870"/>
    <s v="Доставлен"/>
    <d v="2025-05-05T00:00:00"/>
    <x v="35"/>
    <s v="Витамины"/>
    <s v="SNS-00969"/>
    <x v="151"/>
    <x v="1568"/>
    <n v="30.46"/>
    <n v="-3.05"/>
    <n v="-1.419986869591167"/>
    <n v="4.6495914979849239E-15"/>
    <n v="0.92842433831873672"/>
    <n v="2513.8757176962104"/>
    <n v="3350"/>
    <x v="464"/>
    <s v="Оксана Черноморская"/>
    <s v="2025 05"/>
    <n v="836.12428230378964"/>
    <n v="0.33260366708583294"/>
  </r>
  <r>
    <s v="535636426"/>
    <s v="720000670392"/>
    <s v="iHerb_OA CZN6870"/>
    <s v="Доставлен"/>
    <d v="2025-05-05T00:00:00"/>
    <x v="35"/>
    <s v="Витамины"/>
    <s v="PMF-02029"/>
    <x v="220"/>
    <x v="1569"/>
    <n v="18.87"/>
    <n v="-1.89"/>
    <n v="-0.87965622202327676"/>
    <n v="2.8803379655521342E-15"/>
    <n v="0.57514211107815205"/>
    <n v="1557.3006087735007"/>
    <n v="2250"/>
    <x v="614"/>
    <s v="&lt;Клиент не выбран&gt;"/>
    <s v="2025 06"/>
    <n v="692.6993912264993"/>
    <n v="0.44480775729745314"/>
  </r>
  <r>
    <s v="535636426"/>
    <s v="720000670392"/>
    <s v="iHerb_OA CZN6870"/>
    <s v="Доставлен"/>
    <d v="2025-05-05T00:00:00"/>
    <x v="35"/>
    <s v="Витамины"/>
    <s v="NFS-04508"/>
    <x v="23"/>
    <x v="296"/>
    <n v="13.29"/>
    <n v="-1.33"/>
    <n v="-0.61959295732617126"/>
    <n v="2.0287892855125751E-15"/>
    <n v="0.40510598636600109"/>
    <n v="1096.8972485825127"/>
    <n v="1800"/>
    <x v="464"/>
    <s v="&lt;Клиент не выбран&gt;"/>
    <s v="2025 05"/>
    <n v="703.1027514174873"/>
    <n v="0.64099235577998381"/>
  </r>
  <r>
    <s v="535636426"/>
    <s v="720000670392"/>
    <s v="iHerb_OA CZN6870"/>
    <s v="Доставлен"/>
    <d v="2025-05-05T00:00:00"/>
    <x v="35"/>
    <s v="Витамины"/>
    <s v="NFS-04508"/>
    <x v="23"/>
    <x v="296"/>
    <n v="13.29"/>
    <n v="-1.33"/>
    <n v="-0.61959295732617126"/>
    <n v="2.0287892855125751E-15"/>
    <n v="0.40510598636600109"/>
    <n v="1096.8972485825127"/>
    <n v="1700"/>
    <x v="390"/>
    <m/>
    <s v="2025 07"/>
    <n v="603.1027514174873"/>
    <n v="0.54982611379220692"/>
  </r>
  <r>
    <s v="535636426"/>
    <s v="720000670392"/>
    <s v="iHerb_OA CZN6870"/>
    <s v="Доставлен"/>
    <d v="2025-05-05T00:00:00"/>
    <x v="35"/>
    <s v="Витамины"/>
    <s v="NOW-02698"/>
    <x v="3"/>
    <x v="1570"/>
    <n v="13.03"/>
    <n v="-1.3"/>
    <n v="-0.60767770814682187"/>
    <n v="1.9897741069450253E-15"/>
    <n v="0.39731548662819344"/>
    <n v="1075.8030707251567"/>
    <n v="1800"/>
    <x v="464"/>
    <s v="&lt;Клиент не выбран&gt;"/>
    <s v="2025 05"/>
    <n v="724.19692927484334"/>
    <n v="0.6731686764815521"/>
  </r>
  <r>
    <s v="535636426"/>
    <s v="720000670392"/>
    <s v="iHerb_OA CZN6870"/>
    <s v="Доставлен"/>
    <d v="2025-05-05T00:00:00"/>
    <x v="35"/>
    <s v="Витамины"/>
    <s v="SWV-11877"/>
    <x v="89"/>
    <x v="1214"/>
    <n v="13.91"/>
    <n v="-2.78"/>
    <n v="-0.57659444941808424"/>
    <n v="1.8879953802470704E-15"/>
    <n v="0.37699244383391245"/>
    <n v="1020.774780662489"/>
    <n v="2300"/>
    <x v="829"/>
    <s v="&lt;Клиент не выбран&gt;"/>
    <s v="2025 06"/>
    <n v="1279.2252193375111"/>
    <n v="1.2531904623537879"/>
  </r>
  <r>
    <s v="535636426"/>
    <s v="720000670392"/>
    <s v="iHerb_OA CZN6870"/>
    <s v="Доставлен"/>
    <d v="2025-05-05T00:00:00"/>
    <x v="35"/>
    <s v="Витамины"/>
    <s v="SWV-11877"/>
    <x v="89"/>
    <x v="1214"/>
    <n v="13.91"/>
    <n v="-2.78"/>
    <n v="-0.57659444941808424"/>
    <n v="1.8879953802470704E-15"/>
    <n v="0.37699244383391245"/>
    <n v="1020.774780662489"/>
    <n v="2300"/>
    <x v="829"/>
    <s v="&lt;Клиент не выбран&gt;"/>
    <s v="2025 06"/>
    <n v="1279.2252193375111"/>
    <n v="1.2531904623537879"/>
  </r>
  <r>
    <s v="535851641"/>
    <s v="720000675438"/>
    <s v="iHerb_OA CZN6870"/>
    <s v="Доставлен"/>
    <d v="2025-05-11T00:00:00"/>
    <x v="35"/>
    <s v="Витамины"/>
    <s v="CGN-00956"/>
    <x v="1"/>
    <x v="305"/>
    <n v="16.21"/>
    <n v="-4.8633333333333333"/>
    <n v="-0.57844349941373097"/>
    <n v="-1.6931362576975418E-15"/>
    <n v="0.37326782091272859"/>
    <n v="1031.3176976251725"/>
    <n v="2500"/>
    <x v="830"/>
    <m/>
    <s v="2025 07"/>
    <n v="1468.6823023748275"/>
    <n v="1.4240832924294615"/>
  </r>
  <r>
    <s v="535851641"/>
    <s v="720000675438"/>
    <s v="iHerb_OA CZN6870"/>
    <s v="Доставлен"/>
    <d v="2025-05-11T00:00:00"/>
    <x v="35"/>
    <s v="Витамины"/>
    <s v="CGN-00956"/>
    <x v="1"/>
    <x v="305"/>
    <n v="16.21"/>
    <n v="-4.8633333333333333"/>
    <n v="-0.57844349941373097"/>
    <n v="-1.6931362576975418E-15"/>
    <n v="0.37326782091272859"/>
    <n v="1031.3176976251725"/>
    <n v="2400"/>
    <x v="638"/>
    <m/>
    <s v="2025 08"/>
    <n v="1368.6823023748275"/>
    <n v="1.327119960732283"/>
  </r>
  <r>
    <s v="535851641"/>
    <s v="720000675438"/>
    <s v="iHerb_OA CZN6870"/>
    <s v="Доставлен"/>
    <d v="2025-05-11T00:00:00"/>
    <x v="35"/>
    <s v="Витамины"/>
    <s v="CGN-00956"/>
    <x v="1"/>
    <x v="305"/>
    <n v="16.21"/>
    <n v="-4.8633333333333333"/>
    <n v="-0.57844349941373097"/>
    <n v="-1.6931362576975418E-15"/>
    <n v="0.37326782091272859"/>
    <n v="1031.3176976251725"/>
    <n v="2300"/>
    <x v="646"/>
    <m/>
    <s v="2025 12"/>
    <n v="1268.6823023748275"/>
    <n v="1.2301566290351045"/>
  </r>
  <r>
    <s v="535851641"/>
    <s v="720000675438"/>
    <s v="iHerb_OA CZN6870"/>
    <s v="Доставлен"/>
    <d v="2025-05-11T00:00:00"/>
    <x v="35"/>
    <s v="Витамины"/>
    <s v="BRM-03391"/>
    <x v="126"/>
    <x v="442"/>
    <n v="6.45"/>
    <n v="-0.64500000000000002"/>
    <n v="-0.295934005355174"/>
    <n v="-8.6621527402475578E-16"/>
    <n v="0.19096530849574522"/>
    <n v="527.62625452827206"/>
    <n v="1200"/>
    <x v="831"/>
    <s v="Римма Омск"/>
    <s v="2025 05"/>
    <n v="672.37374547172794"/>
    <n v="1.2743371651830866"/>
  </r>
  <r>
    <s v="535851641"/>
    <s v="720000675438"/>
    <s v="iHerb_OA CZN6870"/>
    <s v="Доставлен"/>
    <d v="2025-05-11T00:00:00"/>
    <x v="35"/>
    <s v="Витамины"/>
    <s v="BRM-03391"/>
    <x v="126"/>
    <x v="442"/>
    <n v="6.45"/>
    <n v="-0.64500000000000002"/>
    <n v="-0.295934005355174"/>
    <n v="-8.6621527402475578E-16"/>
    <n v="0.19096530849574522"/>
    <n v="527.62625452827206"/>
    <n v="1200"/>
    <x v="831"/>
    <s v="Римма Омск"/>
    <s v="2025 05"/>
    <n v="672.37374547172794"/>
    <n v="1.2743371651830866"/>
  </r>
  <r>
    <s v="535851641"/>
    <s v="720000675438"/>
    <s v="iHerb_OA CZN6870"/>
    <s v="Доставлен"/>
    <d v="2025-05-11T00:00:00"/>
    <x v="35"/>
    <s v="Витамины"/>
    <s v="CGN-01033"/>
    <x v="1"/>
    <x v="1"/>
    <n v="21.24"/>
    <n v="-6.3719999999999999"/>
    <n v="-0.75795810363836813"/>
    <n v="-2.2185854770370487E-15"/>
    <n v="0.48910804594569157"/>
    <n v="1351.3776317530317"/>
    <n v="2400"/>
    <x v="565"/>
    <s v="Лида корма"/>
    <s v="2025 06"/>
    <n v="1048.6223682469683"/>
    <n v="0.77596546191657489"/>
  </r>
  <r>
    <s v="535851641"/>
    <s v="720000675438"/>
    <s v="iHerb_OA CZN6870"/>
    <s v="Доставлен"/>
    <d v="2025-05-11T00:00:00"/>
    <x v="35"/>
    <s v="Витамины"/>
    <s v="CGN-01033"/>
    <x v="1"/>
    <x v="1"/>
    <n v="21.24"/>
    <n v="-6.3719999999999999"/>
    <n v="-0.75795810363836813"/>
    <n v="-2.2185854770370487E-15"/>
    <n v="0.48910804594569157"/>
    <n v="1351.3776317530317"/>
    <n v="2300"/>
    <x v="565"/>
    <s v="Аня Мирный"/>
    <s v="2025 06"/>
    <n v="948.62236824696834"/>
    <n v="0.70196690100338432"/>
  </r>
  <r>
    <s v="535851641"/>
    <s v="720000675438"/>
    <s v="iHerb_OA CZN6870"/>
    <s v="Доставлен"/>
    <d v="2025-05-11T00:00:00"/>
    <x v="35"/>
    <s v="Витамины"/>
    <s v="CGN-01033"/>
    <x v="1"/>
    <x v="1"/>
    <n v="21.24"/>
    <n v="-6.3719999999999999"/>
    <n v="-0.75795810363836813"/>
    <n v="-2.2185854770370487E-15"/>
    <n v="0.48910804594569157"/>
    <n v="1351.3776317530317"/>
    <n v="2300"/>
    <x v="565"/>
    <s v="Аня Мирный"/>
    <s v="2025 06"/>
    <n v="948.62236824696834"/>
    <n v="0.70196690100338432"/>
  </r>
  <r>
    <s v="535851641"/>
    <s v="720000675438"/>
    <s v="iHerb_OA CZN6870"/>
    <s v="Доставлен"/>
    <d v="2025-05-11T00:00:00"/>
    <x v="35"/>
    <s v="Витамины"/>
    <s v="CGN-01033"/>
    <x v="1"/>
    <x v="1"/>
    <n v="21.24"/>
    <n v="-6.3719999999999999"/>
    <n v="-0.75795810363836813"/>
    <n v="-2.2185854770370487E-15"/>
    <n v="0.48910804594569157"/>
    <n v="1351.3776317530317"/>
    <n v="2350"/>
    <x v="770"/>
    <s v="&lt;Клиент не выбран&gt;"/>
    <s v="2025 06"/>
    <n v="998.62236824696834"/>
    <n v="0.73896618145997961"/>
  </r>
  <r>
    <s v="535851641"/>
    <s v="720000675438"/>
    <s v="iHerb_OA CZN6870"/>
    <s v="Доставлен"/>
    <d v="2025-05-11T00:00:00"/>
    <x v="35"/>
    <s v="Витамины"/>
    <s v="CGN-01033"/>
    <x v="1"/>
    <x v="1"/>
    <n v="21.24"/>
    <n v="-6.3719999999999999"/>
    <n v="-0.75795810363836813"/>
    <n v="-2.2185854770370487E-15"/>
    <n v="0.48910804594569157"/>
    <n v="1351.3776317530317"/>
    <n v="2350"/>
    <x v="770"/>
    <s v="&lt;Клиент не выбран&gt;"/>
    <s v="2025 06"/>
    <n v="998.62236824696834"/>
    <n v="0.73896618145997961"/>
  </r>
  <r>
    <s v="535851641"/>
    <s v="720000675438"/>
    <s v="iHerb_OA CZN6870"/>
    <s v="Доставлен"/>
    <d v="2025-05-11T00:00:00"/>
    <x v="35"/>
    <s v="Витамины"/>
    <s v="CGN-01255"/>
    <x v="1"/>
    <x v="912"/>
    <n v="15.08"/>
    <n v="-4.5199999999999996"/>
    <n v="-0.53833989604662147"/>
    <n v="-1.5757507827220364E-15"/>
    <n v="0.34738908832300947"/>
    <n v="959.81623562765776"/>
    <m/>
    <x v="20"/>
    <m/>
    <s v=""/>
    <n v="-959.81623562765776"/>
    <s v=""/>
  </r>
  <r>
    <s v="535851641"/>
    <s v="720000675438"/>
    <s v="iHerb_OA CZN6870"/>
    <s v="Доставлен"/>
    <d v="2025-05-11T00:00:00"/>
    <x v="35"/>
    <s v="Витамины"/>
    <s v="CGN-01168"/>
    <x v="1"/>
    <x v="402"/>
    <n v="14.06"/>
    <n v="-4.22"/>
    <n v="-0.50163490313435177"/>
    <n v="-1.4683132293546248E-15"/>
    <n v="0.32370346866462241"/>
    <n v="894.37421956213541"/>
    <m/>
    <x v="20"/>
    <m/>
    <s v=""/>
    <n v="-894.37421956213541"/>
    <s v=""/>
  </r>
  <r>
    <s v="535851641"/>
    <s v="720000675438"/>
    <s v="iHerb_OA CZN6870"/>
    <s v="Доставлен"/>
    <d v="2025-05-11T00:00:00"/>
    <x v="35"/>
    <s v="Витамины"/>
    <s v="NCS-67030"/>
    <x v="217"/>
    <x v="1571"/>
    <n v="15.01"/>
    <n v="-1.5"/>
    <n v="-0.68872840867328189"/>
    <n v="-2.015946313880181E-15"/>
    <n v="0.44443433553445622"/>
    <n v="1227.9467181183386"/>
    <n v="2100"/>
    <x v="832"/>
    <s v="&lt;Клиент не выбран&gt;"/>
    <s v="2025 06"/>
    <n v="872.05328188166141"/>
    <n v="0.71017192278339614"/>
  </r>
  <r>
    <s v="535851641"/>
    <s v="720000675438"/>
    <s v="iHerb_OA CZN6870"/>
    <s v="Доставлен"/>
    <d v="2025-05-11T00:00:00"/>
    <x v="35"/>
    <s v="Витамины"/>
    <s v="SPN-00233"/>
    <x v="45"/>
    <x v="1202"/>
    <n v="7.34"/>
    <n v="-2.2000000000000002"/>
    <n v="-0.26203286606814719"/>
    <n v="-7.6698475598402147E-16"/>
    <n v="0.16908900700570723"/>
    <n v="467.18328135664399"/>
    <n v="1300"/>
    <x v="791"/>
    <s v="Надежда Sumbucol"/>
    <s v="2026 02"/>
    <n v="832.81671864335601"/>
    <n v="1.7826338224795986"/>
  </r>
  <r>
    <s v="535851641"/>
    <s v="720000675438"/>
    <s v="iHerb_OA CZN6870"/>
    <s v="Доставлен"/>
    <d v="2025-05-11T00:00:00"/>
    <x v="35"/>
    <s v="Витамины"/>
    <s v="SPN-00233"/>
    <x v="45"/>
    <x v="1202"/>
    <n v="7.34"/>
    <n v="-2.2000000000000002"/>
    <n v="-0.26203286606814719"/>
    <n v="-7.6698475598402147E-16"/>
    <n v="0.16908900700570723"/>
    <n v="467.18328135664399"/>
    <m/>
    <x v="20"/>
    <m/>
    <s v=""/>
    <n v="-467.18328135664399"/>
    <s v=""/>
  </r>
  <r>
    <s v="535851641"/>
    <s v="720000675438"/>
    <s v="iHerb_OA CZN6870"/>
    <s v="Доставлен"/>
    <d v="2025-05-11T00:00:00"/>
    <x v="35"/>
    <s v="Витамины"/>
    <s v="PTF-10535"/>
    <x v="169"/>
    <x v="1460"/>
    <n v="15.07"/>
    <n v="-1.51"/>
    <n v="-0.69127736651441174"/>
    <n v="-2.0234072550862513E-15"/>
    <n v="0.44607917023295529"/>
    <n v="1232.4913025673334"/>
    <n v="2300"/>
    <x v="833"/>
    <m/>
    <s v="2026 03"/>
    <n v="1067.5086974326666"/>
    <n v="0.86613892950725024"/>
  </r>
  <r>
    <s v="535851641"/>
    <s v="720000675438"/>
    <s v="iHerb_OA CZN6870"/>
    <s v="Доставлен"/>
    <d v="2025-05-11T00:00:00"/>
    <x v="35"/>
    <s v="Косметика"/>
    <s v="SLN-16524"/>
    <x v="311"/>
    <x v="1572"/>
    <n v="15.91"/>
    <n v="-3.18"/>
    <n v="-0.64896466635165639"/>
    <n v="-1.8995556310654853E-15"/>
    <n v="0.41877491423787033"/>
    <n v="1157.051200714023"/>
    <m/>
    <x v="20"/>
    <m/>
    <s v=""/>
    <n v="-1157.051200714023"/>
    <s v=""/>
  </r>
  <r>
    <s v="535717086"/>
    <s v="720000672400"/>
    <s v="iHerb_AV CYG0792"/>
    <s v="Доставлен"/>
    <d v="2025-05-07T00:00:00"/>
    <x v="35"/>
    <s v="Витамины"/>
    <s v="NOW-02314"/>
    <x v="3"/>
    <x v="1017"/>
    <n v="26.18"/>
    <n v="-2.62"/>
    <n v="-1.1055780228758167"/>
    <n v="0"/>
    <n v="0.68315990421949435"/>
    <n v="2159.4609497549018"/>
    <n v="3000"/>
    <x v="464"/>
    <s v="&lt;Клиент не выбран&gt;"/>
    <s v="2025 05"/>
    <n v="840.53905024509822"/>
    <n v="0.38923558693686922"/>
  </r>
  <r>
    <s v="535717086"/>
    <s v="720000672400"/>
    <s v="iHerb_AV CYG0792"/>
    <s v="Доставлен"/>
    <d v="2025-05-07T00:00:00"/>
    <x v="35"/>
    <s v="Витамины"/>
    <s v="LFH-91547"/>
    <x v="196"/>
    <x v="805"/>
    <n v="8.0399999999999991"/>
    <n v="-0.8"/>
    <n v="-0.3397446895424836"/>
    <n v="0"/>
    <n v="0.20993538652585483"/>
    <n v="663.60344975490182"/>
    <n v="1250"/>
    <x v="464"/>
    <s v="&lt;Клиент не выбран&gt;"/>
    <s v="2025 05"/>
    <n v="586.39655024509818"/>
    <n v="0.88365506608152866"/>
  </r>
  <r>
    <s v="535717086"/>
    <s v="720000672400"/>
    <s v="iHerb_AV CYG0792"/>
    <s v="Доставлен"/>
    <d v="2025-05-07T00:00:00"/>
    <x v="35"/>
    <s v="Витамины"/>
    <s v="CGN-01032"/>
    <x v="1"/>
    <x v="145"/>
    <n v="45.22"/>
    <n v="-13.57"/>
    <n v="-1.4852098651960783"/>
    <n v="0"/>
    <n v="0.91774240104189309"/>
    <n v="2900.9736443014704"/>
    <n v="4800"/>
    <x v="464"/>
    <s v="Лида корма"/>
    <s v="2025 05"/>
    <n v="1899.0263556985296"/>
    <n v="0.65461689368632614"/>
  </r>
  <r>
    <s v="535717086"/>
    <s v="720000672400"/>
    <s v="iHerb_AV CYG0792"/>
    <s v="Доставлен"/>
    <d v="2025-05-07T00:00:00"/>
    <x v="35"/>
    <s v="Витамины"/>
    <s v="SMF-64103"/>
    <x v="140"/>
    <x v="1573"/>
    <n v="21.21"/>
    <n v="-2.12"/>
    <n v="-0.89581852532679729"/>
    <n v="0"/>
    <n v="0.55354510066002338"/>
    <n v="1749.7499800857845"/>
    <n v="2500"/>
    <x v="464"/>
    <s v="&lt;Клиент не выбран&gt;"/>
    <s v="2025 05"/>
    <n v="750.2500199142155"/>
    <n v="0.42877555562391445"/>
  </r>
  <r>
    <s v="535717086"/>
    <s v="720000672400"/>
    <s v="iHerb_AV CYG0792"/>
    <s v="Доставлен"/>
    <d v="2025-05-07T00:00:00"/>
    <x v="35"/>
    <s v="Витамины"/>
    <s v="EUR-34702"/>
    <x v="240"/>
    <x v="1574"/>
    <n v="83.44"/>
    <n v="-8.34"/>
    <n v="-3.5241472630718946"/>
    <n v="0"/>
    <n v="2.1776446862005105"/>
    <n v="6883.5109221813718"/>
    <n v="8300"/>
    <x v="464"/>
    <s v="Оксана Черноморская"/>
    <s v="2025 05"/>
    <n v="1416.4890778186282"/>
    <n v="0.20578002909157081"/>
  </r>
  <r>
    <s v="535717086"/>
    <s v="720000672400"/>
    <s v="iHerb_AV CYG0792"/>
    <s v="Доставлен"/>
    <d v="2025-05-07T00:00:00"/>
    <x v="35"/>
    <s v="Витамины"/>
    <s v="NAP-29950"/>
    <x v="11"/>
    <x v="350"/>
    <n v="9.9600000000000009"/>
    <n v="-1"/>
    <n v="-0.42045751633986927"/>
    <n v="0"/>
    <n v="0.25980953912591981"/>
    <n v="821.25509803921568"/>
    <n v="1700"/>
    <x v="799"/>
    <s v="&lt;Клиент не выбран&gt;"/>
    <s v="2025 06"/>
    <n v="878.74490196078432"/>
    <n v="1.0700023708331652"/>
  </r>
  <r>
    <s v="535717086"/>
    <s v="720000672400"/>
    <s v="iHerb_AV CYG0792"/>
    <s v="Доставлен"/>
    <d v="2025-05-07T00:00:00"/>
    <x v="35"/>
    <s v="Витамины"/>
    <s v="NFS-02684"/>
    <x v="23"/>
    <x v="1525"/>
    <n v="33.6"/>
    <n v="-3.36"/>
    <n v="-1.4190441176470587"/>
    <n v="0"/>
    <n v="0.87685719454997935"/>
    <n v="2771.7359558823532"/>
    <n v="3800"/>
    <x v="565"/>
    <s v="&lt;Клиент не выбран&gt;"/>
    <s v="2025 06"/>
    <n v="1028.2640441176468"/>
    <n v="0.37098196238187836"/>
  </r>
  <r>
    <s v="225100532"/>
    <n v="0"/>
    <s v="Forever"/>
    <s v="Доставлен"/>
    <d v="2025-05-05T00:00:00"/>
    <x v="35"/>
    <s v="Витамины"/>
    <s v="000000015"/>
    <x v="85"/>
    <x v="265"/>
    <n v="11919.833333333332"/>
    <n v="0"/>
    <n v="0"/>
    <n v="0"/>
    <n v="688.31200332157289"/>
    <n v="2269.4661605978827"/>
    <n v="3000"/>
    <x v="702"/>
    <s v="Оксана Черноморская"/>
    <s v="2025 05"/>
    <n v="730.53383940211734"/>
    <n v="0.32189677558781526"/>
  </r>
  <r>
    <s v="225100532"/>
    <n v="0"/>
    <s v="Forever"/>
    <s v="Доставлен"/>
    <d v="2025-05-05T00:00:00"/>
    <x v="35"/>
    <s v="Витамины"/>
    <s v="000000015"/>
    <x v="85"/>
    <x v="265"/>
    <n v="11919.833333333332"/>
    <n v="0"/>
    <n v="0"/>
    <n v="0"/>
    <n v="688.31200332157289"/>
    <n v="2269.4661605978827"/>
    <n v="3000"/>
    <x v="506"/>
    <s v="Александр Радин"/>
    <s v="2025 06"/>
    <n v="730.53383940211734"/>
    <n v="0.32189677558781526"/>
  </r>
  <r>
    <s v="225100532"/>
    <n v="0"/>
    <s v="Forever"/>
    <s v="Доставлен"/>
    <d v="2025-05-05T00:00:00"/>
    <x v="35"/>
    <s v="Витамины"/>
    <s v="000000015"/>
    <x v="85"/>
    <x v="265"/>
    <n v="11919.833333333332"/>
    <n v="0"/>
    <n v="0"/>
    <n v="0"/>
    <n v="688.31200332157289"/>
    <n v="2269.4661605978827"/>
    <n v="2269.4699999999998"/>
    <x v="20"/>
    <m/>
    <s v=""/>
    <n v="3.8394021171370696E-3"/>
    <n v="1.6917644262761746E-6"/>
  </r>
  <r>
    <s v="225100532"/>
    <n v="0"/>
    <s v="Forever"/>
    <s v="Доставлен"/>
    <d v="2025-05-05T00:00:00"/>
    <x v="35"/>
    <s v="Косметика"/>
    <s v="000000028"/>
    <x v="85"/>
    <x v="266"/>
    <n v="3515.3999999999996"/>
    <n v="0"/>
    <n v="0"/>
    <n v="0"/>
    <n v="202.99713501111518"/>
    <n v="669.31148430200062"/>
    <n v="1000"/>
    <x v="831"/>
    <s v="&lt;Клиент не выбран&gt;"/>
    <s v="2025 05"/>
    <n v="330.68851569799938"/>
    <n v="0.49407267535960747"/>
  </r>
  <r>
    <s v="225100532"/>
    <n v="0"/>
    <s v="Forever"/>
    <s v="Доставлен"/>
    <d v="2025-05-05T00:00:00"/>
    <x v="35"/>
    <s v="Косметика"/>
    <s v="000000040"/>
    <x v="85"/>
    <x v="269"/>
    <n v="9041.9"/>
    <n v="0"/>
    <n v="0"/>
    <n v="0"/>
    <n v="522.12544662257562"/>
    <n v="1721.5245803920636"/>
    <m/>
    <x v="20"/>
    <m/>
    <s v=""/>
    <n v="-1721.5245803920636"/>
    <s v=""/>
  </r>
  <r>
    <s v="225100532"/>
    <n v="0"/>
    <s v="Forever"/>
    <s v="Доставлен"/>
    <d v="2025-05-05T00:00:00"/>
    <x v="35"/>
    <s v="Косметика"/>
    <s v="000000633"/>
    <x v="85"/>
    <x v="272"/>
    <n v="10566.5"/>
    <n v="0"/>
    <n v="0"/>
    <n v="0"/>
    <n v="610.16363062381197"/>
    <n v="2011.7994535122862"/>
    <m/>
    <x v="20"/>
    <m/>
    <s v=""/>
    <n v="-2011.7994535122862"/>
    <s v=""/>
  </r>
  <r>
    <s v="536015483"/>
    <s v="720000679446"/>
    <s v="iHerb_VP DFD1605"/>
    <s v="Доставлен"/>
    <d v="2025-05-16T00:00:00"/>
    <x v="35"/>
    <s v="Витамины"/>
    <s v="BLB-00208"/>
    <x v="186"/>
    <x v="1448"/>
    <n v="32.29"/>
    <n v="-3.23"/>
    <n v="0"/>
    <n v="4.5780991965386654E-15"/>
    <n v="1.0213798457034577"/>
    <n v="2751.5250230031597"/>
    <n v="3900"/>
    <x v="565"/>
    <s v="Любовь Виталий"/>
    <s v="2025 06"/>
    <n v="1148.4749769968403"/>
    <n v="0.41739579592968196"/>
  </r>
  <r>
    <s v="536015483"/>
    <s v="720000679446"/>
    <s v="iHerb_VP DFD1605"/>
    <s v="Доставлен"/>
    <d v="2025-05-16T00:00:00"/>
    <x v="35"/>
    <s v="Витамины"/>
    <s v="SOR-08364"/>
    <x v="10"/>
    <x v="1575"/>
    <n v="13.55"/>
    <n v="-1.36"/>
    <n v="0"/>
    <n v="1.9204070614523861E-15"/>
    <n v="0.42844529659756198"/>
    <n v="1154.2013086857717"/>
    <n v="2000"/>
    <x v="565"/>
    <s v="Надежда Витамины"/>
    <s v="2025 06"/>
    <n v="845.79869131422834"/>
    <n v="0.73279997600877345"/>
  </r>
  <r>
    <s v="536015483"/>
    <s v="720000679446"/>
    <s v="iHerb_VP DFD1605"/>
    <s v="Доставлен"/>
    <d v="2025-05-16T00:00:00"/>
    <x v="35"/>
    <s v="Витамины"/>
    <s v="SOR-35007"/>
    <x v="10"/>
    <x v="1576"/>
    <n v="25.07"/>
    <n v="-2.5099999999999998"/>
    <n v="0"/>
    <n v="3.5540921498249239E-15"/>
    <n v="0.7929225505529941"/>
    <n v="2136.0772374036924"/>
    <n v="2900"/>
    <x v="565"/>
    <s v="Надежда Витамины"/>
    <s v="2025 06"/>
    <n v="763.92276259630762"/>
    <n v="0.3576288109903844"/>
  </r>
  <r>
    <s v="536015483"/>
    <s v="720000679446"/>
    <s v="iHerb_VP DFD1605"/>
    <s v="Доставлен"/>
    <d v="2025-05-16T00:00:00"/>
    <x v="35"/>
    <s v="Витамины"/>
    <s v="NFS-03544"/>
    <x v="23"/>
    <x v="1577"/>
    <n v="20.28"/>
    <n v="-2.0299999999999998"/>
    <n v="0"/>
    <n v="2.8750967080808891E-15"/>
    <n v="0.64143779023014813"/>
    <n v="1727.9880134138912"/>
    <n v="2500"/>
    <x v="834"/>
    <s v="Юлия рынок на Нептуне"/>
    <s v="1900 01"/>
    <n v="772.01198658610883"/>
    <n v="0.44676929503746216"/>
  </r>
  <r>
    <s v="536015483"/>
    <s v="720000679446"/>
    <s v="iHerb_VP DFD1605"/>
    <s v="Доставлен"/>
    <d v="2025-05-16T00:00:00"/>
    <x v="35"/>
    <s v="Витамины"/>
    <s v="CGN-01033"/>
    <x v="1"/>
    <x v="1"/>
    <n v="21.24"/>
    <n v="-6.37"/>
    <n v="0"/>
    <n v="2.3426130437897433E-15"/>
    <n v="0.52263999675190687"/>
    <n v="1407.9551649021673"/>
    <n v="2300"/>
    <x v="788"/>
    <s v="Аня Мирный"/>
    <s v="2025 07"/>
    <n v="892.04483509783267"/>
    <n v="0.63357474537182223"/>
  </r>
  <r>
    <s v="536015483"/>
    <s v="720000679446"/>
    <s v="iHerb_VP DFD1605"/>
    <s v="Доставлен"/>
    <d v="2025-05-16T00:00:00"/>
    <x v="35"/>
    <s v="Витамины"/>
    <s v="NOW-02644"/>
    <x v="3"/>
    <x v="21"/>
    <n v="22.47"/>
    <n v="-2.25"/>
    <n v="0"/>
    <n v="3.1854496130079769E-15"/>
    <n v="0.71067792429882704"/>
    <n v="1914.5160345878837"/>
    <n v="2900"/>
    <x v="835"/>
    <m/>
    <s v="2025 07"/>
    <n v="985.48396541211628"/>
    <n v="0.51474312442844095"/>
  </r>
  <r>
    <s v="536015483"/>
    <s v="720000679446"/>
    <s v="iHerb_VP DFD1605"/>
    <s v="Доставлен"/>
    <d v="2025-05-16T00:00:00"/>
    <x v="35"/>
    <s v="Витамины"/>
    <s v="NOW-03159"/>
    <x v="3"/>
    <x v="1578"/>
    <n v="31.79"/>
    <n v="-3.18"/>
    <n v="0"/>
    <n v="4.5072064009969443E-15"/>
    <n v="1.0055635714238103"/>
    <n v="2708.9170993847351"/>
    <n v="3400"/>
    <x v="565"/>
    <s v="&lt;Клиент не выбран&gt;"/>
    <s v="2025 06"/>
    <n v="691.08290061526486"/>
    <n v="0.25511408258755042"/>
  </r>
  <r>
    <s v="536015483"/>
    <s v="720000679446"/>
    <s v="iHerb_VP DFD1605"/>
    <s v="Доставлен"/>
    <d v="2025-05-16T00:00:00"/>
    <x v="35"/>
    <s v="Витамины"/>
    <s v="ORI-00039"/>
    <x v="312"/>
    <x v="1579"/>
    <n v="21.43"/>
    <n v="-2.14"/>
    <n v="0"/>
    <n v="3.0389378355550875E-15"/>
    <n v="0.67799095745422222"/>
    <n v="1826.4596591098059"/>
    <n v="2500"/>
    <x v="832"/>
    <s v="&lt;Клиент не выбран&gt;"/>
    <s v="2025 06"/>
    <n v="673.5403408901941"/>
    <n v="0.36876825476587283"/>
  </r>
  <r>
    <s v="536015483"/>
    <s v="720000679446"/>
    <s v="iHerb_VP DFD1605"/>
    <s v="Доставлен"/>
    <d v="2025-05-16T00:00:00"/>
    <x v="35"/>
    <s v="Витамины"/>
    <s v="HRM-50006"/>
    <x v="195"/>
    <x v="1465"/>
    <n v="17.07"/>
    <n v="-1.71"/>
    <n v="0"/>
    <n v="2.4198074211573949E-15"/>
    <n v="0.53986216207863413"/>
    <n v="1454.3504595088966"/>
    <n v="2300"/>
    <x v="464"/>
    <s v="&lt;Клиент не выбран&gt;"/>
    <s v="2025 05"/>
    <n v="845.64954049110338"/>
    <n v="0.58146200935410119"/>
  </r>
  <r>
    <s v="535979287"/>
    <s v="722500450360"/>
    <s v="iHerb_MH DLE7202"/>
    <s v="Доставлен"/>
    <d v="2025-05-15T00:00:00"/>
    <x v="35"/>
    <s v="Витамины"/>
    <s v="PAR-77872"/>
    <x v="44"/>
    <x v="1437"/>
    <n v="15.65"/>
    <n v="-3.13"/>
    <n v="-0.56483244767378815"/>
    <n v="0"/>
    <n v="0.42840214586371211"/>
    <n v="1138.1998394968007"/>
    <n v="2300"/>
    <x v="565"/>
    <s v="Любовь Виталий"/>
    <s v="2025 06"/>
    <n v="1161.8001605031993"/>
    <n v="1.0207347780130003"/>
  </r>
  <r>
    <s v="535979287"/>
    <s v="722500450360"/>
    <s v="iHerb_MH DLE7202"/>
    <s v="Доставлен"/>
    <d v="2025-05-15T00:00:00"/>
    <x v="35"/>
    <s v="Витамины"/>
    <s v="PAR-77872"/>
    <x v="44"/>
    <x v="1437"/>
    <n v="15.65"/>
    <n v="-3.13"/>
    <n v="-0.56483244767378815"/>
    <n v="0"/>
    <n v="0.42840214586371211"/>
    <n v="1138.1998394968007"/>
    <n v="2300"/>
    <x v="565"/>
    <s v="Любовь Виталий"/>
    <s v="2025 06"/>
    <n v="1161.8001605031993"/>
    <n v="1.0207347780130003"/>
  </r>
  <r>
    <s v="535979287"/>
    <s v="722500450360"/>
    <s v="iHerb_MH DLE7202"/>
    <s v="Доставлен"/>
    <d v="2025-05-15T00:00:00"/>
    <x v="35"/>
    <s v="Витамины"/>
    <s v="FOA-66169"/>
    <x v="171"/>
    <x v="1468"/>
    <n v="31.22"/>
    <n v="-6.2450000000000001"/>
    <n v="-1.1267324585185989"/>
    <n v="0"/>
    <n v="0.85458015918100716"/>
    <n v="2270.4904945233707"/>
    <n v="3700"/>
    <x v="770"/>
    <s v="Татьяна Бригантина"/>
    <s v="2025 06"/>
    <n v="1429.5095054766293"/>
    <n v="0.6296038274217558"/>
  </r>
  <r>
    <s v="535979287"/>
    <s v="722500450360"/>
    <s v="iHerb_MH DLE7202"/>
    <s v="Доставлен"/>
    <d v="2025-05-15T00:00:00"/>
    <x v="35"/>
    <s v="Витамины"/>
    <s v="FOA-66169"/>
    <x v="171"/>
    <x v="1468"/>
    <n v="31.22"/>
    <n v="-6.2450000000000001"/>
    <n v="-1.1267324585185989"/>
    <n v="0"/>
    <n v="0.85458015918100716"/>
    <n v="2270.4904945233707"/>
    <n v="3800"/>
    <x v="777"/>
    <s v="Оксана молокозавод"/>
    <s v="2025 07"/>
    <n v="1529.5095054766293"/>
    <n v="0.67364717410883035"/>
  </r>
  <r>
    <s v="535979287"/>
    <s v="722500450360"/>
    <s v="iHerb_MH DLE7202"/>
    <s v="Доставлен"/>
    <d v="2025-05-15T00:00:00"/>
    <x v="35"/>
    <s v="Витамины"/>
    <s v="CLF-07210"/>
    <x v="72"/>
    <x v="202"/>
    <n v="20.440000000000001"/>
    <n v="-4.09"/>
    <n v="-0.73762064851968345"/>
    <n v="0"/>
    <n v="0.5594548789833621"/>
    <n v="1486.3871705888735"/>
    <n v="2600"/>
    <x v="565"/>
    <s v="Любовь Виталий"/>
    <s v="2025 06"/>
    <n v="1113.6128294111265"/>
    <n v="0.74920777805821481"/>
  </r>
  <r>
    <s v="535979287"/>
    <s v="722500450360"/>
    <s v="iHerb_MH DLE7202"/>
    <s v="Доставлен"/>
    <d v="2025-05-15T00:00:00"/>
    <x v="35"/>
    <s v="Витамины"/>
    <s v="SOR-38584"/>
    <x v="10"/>
    <x v="626"/>
    <n v="15.59"/>
    <n v="-3.12"/>
    <n v="-0.56257672703611328"/>
    <n v="0"/>
    <n v="0.42669127467416057"/>
    <n v="1133.6543129812385"/>
    <n v="1900"/>
    <x v="824"/>
    <s v="&lt;Клиент не выбран&gt;"/>
    <s v="2025 06"/>
    <n v="766.34568701876151"/>
    <n v="0.67599591713584761"/>
  </r>
  <r>
    <s v="535979287"/>
    <s v="722500450360"/>
    <s v="iHerb_MH DLE7202"/>
    <s v="Доставлен"/>
    <d v="2025-05-15T00:00:00"/>
    <x v="35"/>
    <s v="Витамины"/>
    <s v="SOR-38584"/>
    <x v="10"/>
    <x v="626"/>
    <n v="15.59"/>
    <n v="-3.12"/>
    <n v="-0.56257672703611328"/>
    <n v="0"/>
    <n v="0.42669127467416057"/>
    <n v="1133.6543129812385"/>
    <n v="2000"/>
    <x v="588"/>
    <m/>
    <s v="2025 10"/>
    <n v="866.34568701876151"/>
    <n v="0.76420622856405007"/>
  </r>
  <r>
    <s v="535979287"/>
    <s v="722500450360"/>
    <s v="iHerb_MH DLE7202"/>
    <s v="Доставлен"/>
    <d v="2025-05-15T00:00:00"/>
    <x v="35"/>
    <s v="Витамины"/>
    <s v="BLB-00298"/>
    <x v="186"/>
    <x v="748"/>
    <n v="9.14"/>
    <n v="-1.83"/>
    <n v="-0.32978635722806643"/>
    <n v="0"/>
    <n v="0.25012936791243895"/>
    <n v="664.55597657520877"/>
    <n v="1500"/>
    <x v="670"/>
    <s v="Любовь Виталий"/>
    <s v="2025 08"/>
    <n v="835.44402342479123"/>
    <n v="1.2571462041922405"/>
  </r>
  <r>
    <s v="535979287"/>
    <s v="722500450360"/>
    <s v="iHerb_MH DLE7202"/>
    <s v="Доставлен"/>
    <d v="2025-05-15T00:00:00"/>
    <x v="35"/>
    <s v="Витамины"/>
    <s v="BLB-00612"/>
    <x v="186"/>
    <x v="1321"/>
    <n v="20.149999999999999"/>
    <n v="-4.03"/>
    <n v="-0.72724433358637885"/>
    <n v="0"/>
    <n v="0.55158487151142488"/>
    <n v="1465.4777486172864"/>
    <n v="2300"/>
    <x v="777"/>
    <m/>
    <s v="2025 07"/>
    <n v="834.52225138271365"/>
    <n v="0.56945405835749163"/>
  </r>
  <r>
    <s v="535979287"/>
    <s v="722500450360"/>
    <s v="iHerb_MH DLE7202"/>
    <s v="Доставлен"/>
    <d v="2025-05-15T00:00:00"/>
    <x v="35"/>
    <s v="Косметика"/>
    <s v="LBY-44295"/>
    <x v="313"/>
    <x v="1580"/>
    <n v="28"/>
    <n v="-15.5"/>
    <n v="-0.56393015941871816"/>
    <n v="0"/>
    <n v="0.42771779738789151"/>
    <n v="1136.3816288905759"/>
    <n v="1136.3800000000001"/>
    <x v="20"/>
    <m/>
    <s v=""/>
    <n v="-1.6288905758301553E-3"/>
    <n v="-1.4334010110849863E-6"/>
  </r>
  <r>
    <s v="535979287"/>
    <s v="722500450360"/>
    <s v="iHerb_MH DLE7202"/>
    <s v="Доставлен"/>
    <d v="2025-05-15T00:00:00"/>
    <x v="35"/>
    <s v="Витамины"/>
    <s v="NOW-03876"/>
    <x v="3"/>
    <x v="468"/>
    <n v="40.26"/>
    <n v="-8.0500000000000007"/>
    <n v="-1.4531352347901529"/>
    <n v="0"/>
    <n v="1.1021432203091186"/>
    <n v="2928.2281813252353"/>
    <n v="4400"/>
    <x v="805"/>
    <s v="Михаил Икра Кофе"/>
    <s v="2025 12"/>
    <n v="1471.7718186747647"/>
    <n v="0.50261514046650613"/>
  </r>
  <r>
    <s v="536271561"/>
    <s v="720000686659"/>
    <s v="iHerb_MH DLE7202"/>
    <s v="Доставлен"/>
    <d v="2025-05-24T00:00:00"/>
    <x v="35"/>
    <s v="Витамины"/>
    <s v="LEX-19043"/>
    <x v="7"/>
    <x v="832"/>
    <n v="18.899999999999999"/>
    <n v="-3.78"/>
    <n v="-0.77841974284529214"/>
    <n v="-4.4559959206523065E-15"/>
    <n v="0.45198588190578759"/>
    <n v="1359.8420655329735"/>
    <n v="2200"/>
    <x v="836"/>
    <s v="Валентина Сычева"/>
    <s v="2025 12"/>
    <n v="840.15793446702651"/>
    <n v="0.61783493521928734"/>
  </r>
  <r>
    <s v="536271561"/>
    <s v="720000686659"/>
    <s v="iHerb_MH DLE7202"/>
    <s v="Доставлен"/>
    <d v="2025-05-24T00:00:00"/>
    <x v="35"/>
    <s v="Косметика"/>
    <s v="IDE-02311"/>
    <x v="111"/>
    <x v="1581"/>
    <n v="12.9"/>
    <n v="-11.9"/>
    <n v="-5.1482787225217735E-2"/>
    <n v="-2.9470872491086685E-16"/>
    <n v="2.9893246157790185E-2"/>
    <n v="89.936644545831584"/>
    <m/>
    <x v="20"/>
    <m/>
    <s v=""/>
    <n v="-89.936644545831584"/>
    <s v=""/>
  </r>
  <r>
    <s v="536271561"/>
    <s v="720000686659"/>
    <s v="iHerb_MH DLE7202"/>
    <s v="Доставлен"/>
    <d v="2025-05-24T00:00:00"/>
    <x v="35"/>
    <s v="Витамины"/>
    <s v="NWY-14008"/>
    <x v="16"/>
    <x v="731"/>
    <n v="16.93"/>
    <n v="-3.39"/>
    <n v="-0.69707693902944801"/>
    <n v="-3.9903561352931371E-15"/>
    <n v="0.40475455297647911"/>
    <n v="1217.7421671505597"/>
    <n v="2100"/>
    <x v="717"/>
    <s v="Александр Радин"/>
    <s v="2025 06"/>
    <n v="882.25783284944032"/>
    <n v="0.72450298318392659"/>
  </r>
  <r>
    <s v="536271561"/>
    <s v="720000686659"/>
    <s v="iHerb_MH DLE7202"/>
    <s v="Доставлен"/>
    <d v="2025-05-24T00:00:00"/>
    <x v="35"/>
    <s v="Витамины"/>
    <s v="NTW-00763"/>
    <x v="278"/>
    <x v="1343"/>
    <n v="26.73"/>
    <n v="-5.35"/>
    <n v="-1.1007019908751552"/>
    <n v="-6.300872538594334E-15"/>
    <n v="0.63911760285355423"/>
    <n v="1922.8454603898792"/>
    <n v="3000"/>
    <x v="717"/>
    <s v="Александр Радин"/>
    <s v="2025 06"/>
    <n v="1077.1545396101208"/>
    <n v="0.56018778513366085"/>
  </r>
  <r>
    <s v="536271561"/>
    <s v="720000686659"/>
    <s v="iHerb_MH DLE7202"/>
    <s v="Доставлен"/>
    <d v="2025-05-24T00:00:00"/>
    <x v="35"/>
    <s v="Витамины"/>
    <s v="NOW-01840"/>
    <x v="3"/>
    <x v="1582"/>
    <n v="13.03"/>
    <n v="-2.61"/>
    <n v="-0.5364506428867688"/>
    <n v="-3.0708649135712328E-15"/>
    <n v="0.31148762496417376"/>
    <n v="937.13983616756514"/>
    <n v="1700"/>
    <x v="351"/>
    <s v="Татьяна Бригантина"/>
    <s v="2025 09"/>
    <n v="762.86016383243486"/>
    <n v="0.81403023795483154"/>
  </r>
  <r>
    <s v="536271561"/>
    <s v="720000686659"/>
    <s v="iHerb_MH DLE7202"/>
    <s v="Доставлен"/>
    <d v="2025-05-24T00:00:00"/>
    <x v="35"/>
    <s v="Витамины"/>
    <s v="NWY-11926"/>
    <x v="16"/>
    <x v="1583"/>
    <n v="20.29"/>
    <n v="-4.0599999999999996"/>
    <n v="-0.83556563666528394"/>
    <n v="-4.7831226053033689E-15"/>
    <n v="0.48516738514093477"/>
    <n v="1459.6717409788466"/>
    <n v="2400"/>
    <x v="717"/>
    <s v="Александр Радин"/>
    <s v="2025 06"/>
    <n v="940.32825902115337"/>
    <n v="0.64420529124621895"/>
  </r>
  <r>
    <s v="536271561"/>
    <s v="720000686659"/>
    <s v="iHerb_MH DLE7202"/>
    <s v="Доставлен"/>
    <d v="2025-05-24T00:00:00"/>
    <x v="35"/>
    <s v="Витамины"/>
    <s v="NBG-10298"/>
    <x v="314"/>
    <x v="1584"/>
    <n v="39.43"/>
    <n v="-7.89"/>
    <n v="-1.6237671090833672"/>
    <n v="-9.2951131836887403E-15"/>
    <n v="0.94283298381670255"/>
    <n v="2836.6017689755281"/>
    <n v="4100"/>
    <x v="717"/>
    <s v="Оксана Черноморская"/>
    <s v="2025 06"/>
    <n v="1263.3982310244719"/>
    <n v="0.44539146976586808"/>
  </r>
  <r>
    <s v="536271561"/>
    <s v="720000686659"/>
    <s v="iHerb_MH DLE7202"/>
    <s v="Доставлен"/>
    <d v="2025-05-24T00:00:00"/>
    <x v="35"/>
    <s v="Витамины"/>
    <s v="NOW-03159"/>
    <x v="3"/>
    <x v="1578"/>
    <n v="31.79"/>
    <n v="-6.36"/>
    <n v="-1.3092072791372871"/>
    <n v="-7.4944428744833441E-15"/>
    <n v="0.76018524979260438"/>
    <n v="2287.0888708004973"/>
    <n v="3000"/>
    <x v="837"/>
    <s v="Елена сахарный диабет"/>
    <s v="2025 07"/>
    <n v="712.91112919950274"/>
    <n v="0.31171116186227554"/>
  </r>
  <r>
    <s v="536271561"/>
    <s v="720000686659"/>
    <s v="iHerb_MH DLE7202"/>
    <s v="Доставлен"/>
    <d v="2025-05-24T00:00:00"/>
    <x v="35"/>
    <s v="Витамины"/>
    <s v="NOW-00107"/>
    <x v="3"/>
    <x v="585"/>
    <n v="12.31"/>
    <n v="-2.46"/>
    <n v="-0.5071054541683947"/>
    <n v="-2.9028809403720388E-15"/>
    <n v="0.29444847465423341"/>
    <n v="885.87594877644119"/>
    <n v="1600"/>
    <x v="743"/>
    <s v="Оксана Черноморская"/>
    <s v="2025 09"/>
    <n v="714.12405122355881"/>
    <n v="0.80612195444508505"/>
  </r>
  <r>
    <s v="536271561"/>
    <s v="720000686659"/>
    <s v="iHerb_MH DLE7202"/>
    <s v="Доставлен"/>
    <d v="2025-05-24T00:00:00"/>
    <x v="35"/>
    <s v="Витамины"/>
    <s v="NOW-00107"/>
    <x v="3"/>
    <x v="585"/>
    <n v="12.31"/>
    <n v="-2.46"/>
    <n v="-0.5071054541683947"/>
    <n v="-2.9028809403720388E-15"/>
    <n v="0.29444847465423341"/>
    <n v="885.87594877644119"/>
    <n v="1700"/>
    <x v="838"/>
    <m/>
    <s v="2026 01"/>
    <n v="814.12405122355881"/>
    <n v="0.9190045765979028"/>
  </r>
  <r>
    <s v="536271561"/>
    <s v="720000686659"/>
    <s v="iHerb_MH DLE7202"/>
    <s v="Доставлен"/>
    <d v="2025-05-24T00:00:00"/>
    <x v="35"/>
    <s v="Витамины"/>
    <s v="NFS-02684"/>
    <x v="23"/>
    <x v="1525"/>
    <n v="32.43"/>
    <n v="-6.49"/>
    <n v="-1.3354635006221478"/>
    <n v="-7.6447443241878863E-15"/>
    <n v="0.7754308053330774"/>
    <n v="2332.956559518871"/>
    <n v="3700"/>
    <x v="819"/>
    <m/>
    <s v="2025 07"/>
    <n v="1367.043440481129"/>
    <n v="0.58597037947549968"/>
  </r>
  <r>
    <s v="536271561"/>
    <s v="720000686659"/>
    <s v="iHerb_MH DLE7202"/>
    <s v="Доставлен"/>
    <d v="2025-05-24T00:00:00"/>
    <x v="35"/>
    <s v="Витамины"/>
    <s v="CGN-01922"/>
    <x v="1"/>
    <x v="1585"/>
    <n v="25.16"/>
    <n v="-12.58"/>
    <n v="-0.64765346329323914"/>
    <n v="-3.7074357593787051E-15"/>
    <n v="0.37605703666500051"/>
    <n v="1131.4029883865614"/>
    <m/>
    <x v="20"/>
    <m/>
    <s v=""/>
    <n v="-1131.4029883865614"/>
    <s v=""/>
  </r>
  <r>
    <s v="536398877"/>
    <s v="720000690733"/>
    <s v="iHerb_MH DLE7202"/>
    <s v="Доставлен"/>
    <d v="2025-05-27T00:00:00"/>
    <x v="35"/>
    <s v="Витамины"/>
    <s v="PHV-77994"/>
    <x v="315"/>
    <x v="1586"/>
    <n v="33.54"/>
    <n v="-6.71"/>
    <n v="-2.9230069851284357"/>
    <n v="-4.2955974764406228E-15"/>
    <n v="0.87141627152848522"/>
    <n v="2277.7025619648489"/>
    <n v="3500"/>
    <x v="809"/>
    <s v="Оксана Черноморская"/>
    <s v="2025 08"/>
    <n v="1222.2974380351511"/>
    <n v="0.53663610800030992"/>
  </r>
  <r>
    <s v="536398877"/>
    <s v="720000690733"/>
    <s v="iHerb_MH DLE7202"/>
    <s v="Доставлен"/>
    <d v="2025-05-27T00:00:00"/>
    <x v="35"/>
    <s v="Витамины"/>
    <s v="BLB-00601"/>
    <x v="186"/>
    <x v="1587"/>
    <n v="45.08"/>
    <n v="-9.02"/>
    <n v="-3.9285736818386652"/>
    <n v="-5.7733598583842295E-15"/>
    <n v="1.1711990589383965"/>
    <n v="3061.2729923388915"/>
    <n v="5000"/>
    <x v="717"/>
    <s v="Любовь Виталий"/>
    <s v="2025 06"/>
    <n v="1938.7270076611085"/>
    <n v="0.63330745494209295"/>
  </r>
  <r>
    <s v="536398877"/>
    <s v="720000690733"/>
    <s v="iHerb_MH DLE7202"/>
    <s v="Доставлен"/>
    <d v="2025-05-27T00:00:00"/>
    <x v="35"/>
    <s v="Витамины"/>
    <s v="BLB-01178"/>
    <x v="186"/>
    <x v="1588"/>
    <n v="30.31"/>
    <n v="-6.06"/>
    <n v="-2.6419276701216758"/>
    <n v="-3.8825284682700374E-15"/>
    <n v="0.7876199994247397"/>
    <n v="2058.6763744930145"/>
    <n v="3500"/>
    <x v="717"/>
    <s v="Любовь Виталий"/>
    <s v="2025 06"/>
    <n v="1441.3236255069855"/>
    <n v="0.70012151660405442"/>
  </r>
  <r>
    <s v="536398877"/>
    <s v="720000690733"/>
    <s v="iHerb_MH DLE7202"/>
    <s v="Доставлен"/>
    <d v="2025-05-27T00:00:00"/>
    <x v="35"/>
    <s v="Витамины"/>
    <s v="SWV-10009"/>
    <x v="89"/>
    <x v="1589"/>
    <n v="7.44"/>
    <n v="-1.49"/>
    <n v="-0.64822555205047305"/>
    <n v="-9.5262038706007102E-16"/>
    <n v="0.19325109264235885"/>
    <n v="505.11853312302839"/>
    <n v="1200"/>
    <x v="717"/>
    <s v="Оксана Черноморская"/>
    <s v="2025 06"/>
    <n v="694.88146687697167"/>
    <n v="1.3756800063951009"/>
  </r>
  <r>
    <s v="536398877"/>
    <s v="720000690733"/>
    <s v="iHerb_MH DLE7202"/>
    <s v="Доставлен"/>
    <d v="2025-05-27T00:00:00"/>
    <x v="35"/>
    <s v="Витамины"/>
    <s v="BLB-00856"/>
    <x v="186"/>
    <x v="1590"/>
    <n v="42.42"/>
    <n v="-8.48"/>
    <n v="-3.6976092834610172"/>
    <n v="-5.4339388129107243E-15"/>
    <n v="1.1023432074422954"/>
    <n v="2881.2979855790891"/>
    <n v="4500"/>
    <x v="717"/>
    <s v="Любовь Виталий"/>
    <s v="2025 06"/>
    <n v="1618.7020144209109"/>
    <n v="0.56179611498794035"/>
  </r>
  <r>
    <s v="536398877"/>
    <s v="720000690733"/>
    <s v="iHerb_MH DLE7202"/>
    <s v="Доставлен"/>
    <d v="2025-05-27T00:00:00"/>
    <x v="35"/>
    <s v="Витамины"/>
    <s v="THR-24002"/>
    <x v="82"/>
    <x v="1591"/>
    <n v="16"/>
    <n v="-3.2"/>
    <n v="-1.3945020279405136"/>
    <n v="-2.0493346141796486E-15"/>
    <n v="0.41573344299532655"/>
    <n v="1086.6415502478594"/>
    <n v="1900"/>
    <x v="717"/>
    <s v="Оксана Черноморская"/>
    <s v="2025 06"/>
    <n v="813.35844975214059"/>
    <n v="0.74850667137347748"/>
  </r>
  <r>
    <s v="536398877"/>
    <s v="720000690733"/>
    <s v="iHerb_MH DLE7202"/>
    <s v="Доставлен"/>
    <d v="2025-05-27T00:00:00"/>
    <x v="35"/>
    <s v="Витамины"/>
    <s v="IDE-02308"/>
    <x v="111"/>
    <x v="1592"/>
    <n v="12.9"/>
    <n v="-11.9"/>
    <n v="-0.10894547093285262"/>
    <n v="-1.6010426673278504E-16"/>
    <n v="3.2479175234009887E-2"/>
    <n v="84.893871113114017"/>
    <m/>
    <x v="20"/>
    <m/>
    <s v=""/>
    <n v="-84.893871113114017"/>
    <s v=""/>
  </r>
  <r>
    <s v="536398877"/>
    <s v="720000690733"/>
    <s v="iHerb_MH DLE7202"/>
    <s v="Доставлен"/>
    <d v="2025-05-27T00:00:00"/>
    <x v="35"/>
    <s v="Витамины"/>
    <s v="PAR-77868"/>
    <x v="44"/>
    <x v="1593"/>
    <n v="12.06"/>
    <n v="-2.41"/>
    <n v="-1.0513237945020277"/>
    <n v="-1.5450061739713758E-15"/>
    <n v="0.31342404100819543"/>
    <n v="819.22585624155022"/>
    <n v="819.23"/>
    <x v="20"/>
    <m/>
    <s v=""/>
    <n v="4.1437584497998614E-3"/>
    <n v="5.0581392399046384E-6"/>
  </r>
  <r>
    <s v="536398877"/>
    <s v="720000690733"/>
    <s v="iHerb_MH DLE7202"/>
    <s v="Доставлен"/>
    <d v="2025-05-27T00:00:00"/>
    <x v="35"/>
    <s v="Витамины"/>
    <s v="PAR-77868"/>
    <x v="44"/>
    <x v="1593"/>
    <n v="12.06"/>
    <n v="-2.41"/>
    <n v="-1.0513237945020277"/>
    <n v="-1.5450061739713758E-15"/>
    <n v="0.31342404100819543"/>
    <n v="819.22585624155022"/>
    <n v="1900"/>
    <x v="655"/>
    <s v="Надежда Витамины"/>
    <s v="2025 08"/>
    <n v="1080.7741437584498"/>
    <n v="1.3192627350860635"/>
  </r>
  <r>
    <s v="536398877"/>
    <s v="720000690733"/>
    <s v="iHerb_MH DLE7202"/>
    <s v="Доставлен"/>
    <d v="2025-05-27T00:00:00"/>
    <x v="35"/>
    <s v="Витамины"/>
    <s v="NOW-02375"/>
    <x v="3"/>
    <x v="1452"/>
    <n v="21.74"/>
    <n v="-4.3499999999999996"/>
    <n v="-1.8945617395223071"/>
    <n v="-2.7842131984831319E-15"/>
    <n v="0.56481285731943198"/>
    <n v="1476.3044186570526"/>
    <n v="2500"/>
    <x v="717"/>
    <s v="&lt;Клиент не выбран&gt;"/>
    <s v="2025 06"/>
    <n v="1023.6955813429474"/>
    <n v="0.69341767755065786"/>
  </r>
  <r>
    <s v="535938295"/>
    <s v="720000677133"/>
    <s v="iHerb_AV CYG0792"/>
    <s v="Доставлен"/>
    <d v="2025-05-14T00:00:00"/>
    <x v="35"/>
    <s v="Витамины"/>
    <s v="CGN-01266"/>
    <x v="1"/>
    <x v="487"/>
    <n v="30.08"/>
    <n v="-9.02"/>
    <n v="-1.082793151606062"/>
    <n v="0"/>
    <n v="0.68239336169292863"/>
    <n v="1912.8205513888167"/>
    <n v="3500"/>
    <x v="773"/>
    <s v="Валентина Сычева"/>
    <s v="2025 08"/>
    <n v="1587.1794486111833"/>
    <n v="0.82975867624320565"/>
  </r>
  <r>
    <s v="535938295"/>
    <s v="720000677133"/>
    <s v="iHerb_AV CYG0792"/>
    <s v="Доставлен"/>
    <d v="2025-05-14T00:00:00"/>
    <x v="35"/>
    <s v="Витамины"/>
    <s v="NOW-03170"/>
    <x v="3"/>
    <x v="306"/>
    <n v="18.829999999999998"/>
    <n v="-1.88"/>
    <n v="-0.87147881860032061"/>
    <n v="0"/>
    <n v="0.54921972842806932"/>
    <n v="1539.5208141519681"/>
    <n v="2500"/>
    <x v="839"/>
    <s v="&lt;Клиент не выбран&gt;"/>
    <s v="2025 06"/>
    <n v="960.47918584803188"/>
    <n v="0.62388190988967152"/>
  </r>
  <r>
    <s v="535938295"/>
    <s v="720000677133"/>
    <s v="iHerb_AV CYG0792"/>
    <s v="Доставлен"/>
    <d v="2025-05-14T00:00:00"/>
    <x v="35"/>
    <s v="Витамины"/>
    <s v="SOR-89504"/>
    <x v="10"/>
    <x v="1305"/>
    <n v="32.68"/>
    <n v="-3.27"/>
    <n v="-1.5121057259607926"/>
    <n v="0"/>
    <n v="0.95295293292445538"/>
    <n v="2671.2275601303468"/>
    <n v="3500"/>
    <x v="770"/>
    <s v="&lt;Клиент не выбран&gt;"/>
    <s v="2025 06"/>
    <n v="828.77243986965323"/>
    <n v="0.31025901807826961"/>
  </r>
  <r>
    <s v="535938295"/>
    <s v="720000677133"/>
    <s v="iHerb_AV CYG0792"/>
    <s v="Доставлен"/>
    <d v="2025-05-14T00:00:00"/>
    <x v="35"/>
    <s v="Витамины"/>
    <s v="NFS-02056"/>
    <x v="23"/>
    <x v="1257"/>
    <n v="13.29"/>
    <n v="-1.33"/>
    <n v="-0.61491956757875132"/>
    <n v="0"/>
    <n v="0.38753203256635449"/>
    <n v="1086.2931526405628"/>
    <n v="1800"/>
    <x v="673"/>
    <s v="Татьяна Бригантина"/>
    <s v="2025 06"/>
    <n v="713.70684735943723"/>
    <n v="0.65701127326869158"/>
  </r>
  <r>
    <s v="535938295"/>
    <s v="720000677133"/>
    <s v="iHerb_AV CYG0792"/>
    <s v="Доставлен"/>
    <d v="2025-05-14T00:00:00"/>
    <x v="35"/>
    <s v="Витамины"/>
    <s v="NOW-03376"/>
    <x v="3"/>
    <x v="1594"/>
    <n v="20.09"/>
    <n v="-2.0099999999999998"/>
    <n v="-0.92957740650700871"/>
    <n v="0"/>
    <n v="0.58583437698994056"/>
    <n v="1642.1555350954325"/>
    <n v="2500"/>
    <x v="840"/>
    <s v="Любовь 17"/>
    <s v="2025 06"/>
    <n v="857.84446490456753"/>
    <n v="0.52238929052156724"/>
  </r>
  <r>
    <s v="535938295"/>
    <s v="720000677133"/>
    <s v="iHerb_AV CYG0792"/>
    <s v="Доставлен"/>
    <d v="2025-05-14T00:00:00"/>
    <x v="35"/>
    <s v="Витамины"/>
    <s v="SKH-52061"/>
    <x v="316"/>
    <x v="1595"/>
    <n v="19.78"/>
    <n v="-1.98"/>
    <n v="-0.91518129622924538"/>
    <n v="0"/>
    <n v="0.57676172070912302"/>
    <n v="1616.7239228262554"/>
    <n v="2300"/>
    <x v="565"/>
    <s v="Оксана Черноморская"/>
    <s v="2025 06"/>
    <n v="683.27607717374462"/>
    <n v="0.42263002824828882"/>
  </r>
  <r>
    <s v="535938295"/>
    <s v="720000677133"/>
    <s v="iHerb_AV CYG0792"/>
    <s v="Доставлен"/>
    <d v="2025-05-14T00:00:00"/>
    <x v="35"/>
    <s v="Витамины"/>
    <s v="MCL-21045"/>
    <x v="286"/>
    <x v="1545"/>
    <n v="34.39"/>
    <n v="-3.44"/>
    <n v="-1.5912843324884911"/>
    <n v="0"/>
    <n v="1.0028525424689527"/>
    <n v="2811.1014276108208"/>
    <n v="3700"/>
    <x v="565"/>
    <s v="Оксана Черноморская"/>
    <s v="2025 06"/>
    <n v="888.89857238917921"/>
    <n v="0.3162100675764879"/>
  </r>
  <r>
    <s v="535938295"/>
    <s v="720000677133"/>
    <s v="iHerb_AV CYG0792"/>
    <s v="Доставлен"/>
    <d v="2025-05-14T00:00:00"/>
    <x v="35"/>
    <s v="Витамины"/>
    <s v="NOW-02314"/>
    <x v="3"/>
    <x v="1017"/>
    <n v="26.18"/>
    <n v="-2.62"/>
    <n v="-1.2113298505146639"/>
    <n v="0"/>
    <n v="0.76339922134308635"/>
    <n v="2139.888518077898"/>
    <n v="3000"/>
    <x v="565"/>
    <s v="&lt;Клиент не выбран&gt;"/>
    <s v="2025 06"/>
    <n v="860.11148192210203"/>
    <n v="0.40194219215432586"/>
  </r>
  <r>
    <s v="535938295"/>
    <s v="720000677133"/>
    <s v="iHerb_AV CYG0792"/>
    <s v="Доставлен"/>
    <d v="2025-05-14T00:00:00"/>
    <x v="35"/>
    <s v="Витамины"/>
    <s v="NOW-02314"/>
    <x v="3"/>
    <x v="1017"/>
    <n v="26.18"/>
    <n v="-2.62"/>
    <n v="-1.2113298505146639"/>
    <n v="0"/>
    <n v="0.76339922134308635"/>
    <n v="2139.888518077898"/>
    <n v="2800"/>
    <x v="770"/>
    <s v="&lt;Клиент не выбран&gt;"/>
    <s v="2025 06"/>
    <n v="660.11148192210203"/>
    <n v="0.30847937934403746"/>
  </r>
  <r>
    <s v="536180222"/>
    <s v="720000682876"/>
    <s v="iHerb_OA CZN6870"/>
    <s v="Доставлен"/>
    <d v="2025-05-21T00:00:00"/>
    <x v="35"/>
    <s v="Витамины"/>
    <s v="NOW-02644"/>
    <x v="3"/>
    <x v="21"/>
    <n v="22.47"/>
    <n v="-4.4950000000000001"/>
    <n v="0"/>
    <n v="-2.6430763464820316E-15"/>
    <n v="0.53883357314799718"/>
    <n v="1693.4683739458837"/>
    <n v="3000"/>
    <x v="737"/>
    <m/>
    <s v="2025 10"/>
    <n v="1306.5316260541163"/>
    <n v="0.77151226805010742"/>
  </r>
  <r>
    <s v="536180222"/>
    <s v="720000682876"/>
    <s v="iHerb_OA CZN6870"/>
    <s v="Доставлен"/>
    <d v="2025-05-21T00:00:00"/>
    <x v="35"/>
    <s v="Витамины"/>
    <s v="NOW-02644"/>
    <x v="3"/>
    <x v="21"/>
    <n v="22.47"/>
    <n v="-4.4950000000000001"/>
    <n v="0"/>
    <n v="-2.6430763464820316E-15"/>
    <n v="0.53883357314799718"/>
    <n v="1693.4683739458837"/>
    <n v="3000"/>
    <x v="703"/>
    <m/>
    <s v="2025 10"/>
    <n v="1306.5316260541163"/>
    <n v="0.77151226805010742"/>
  </r>
  <r>
    <s v="536180222"/>
    <s v="720000682876"/>
    <s v="iHerb_OA CZN6870"/>
    <s v="Доставлен"/>
    <d v="2025-05-21T00:00:00"/>
    <x v="35"/>
    <s v="Витамины"/>
    <s v="NFS-02684"/>
    <x v="23"/>
    <x v="1525"/>
    <n v="32.43"/>
    <n v="-6.49"/>
    <n v="0"/>
    <n v="-3.8142642797075888E-15"/>
    <n v="0.77759904798103185"/>
    <n v="2443.8703543897764"/>
    <n v="3800"/>
    <x v="718"/>
    <m/>
    <s v="2025 07"/>
    <n v="1356.1296456102236"/>
    <n v="0.55491063311696953"/>
  </r>
  <r>
    <s v="536180222"/>
    <s v="720000682876"/>
    <s v="iHerb_OA CZN6870"/>
    <s v="Доставлен"/>
    <d v="2025-05-21T00:00:00"/>
    <x v="35"/>
    <s v="Витамины"/>
    <s v="NOW-01289"/>
    <x v="3"/>
    <x v="214"/>
    <n v="24.42"/>
    <n v="-4.8849999999999998"/>
    <n v="0"/>
    <n v="-2.872461553742782E-15"/>
    <n v="0.58559743262565378"/>
    <n v="1840.4397599461947"/>
    <n v="2800"/>
    <x v="835"/>
    <m/>
    <s v="2025 07"/>
    <n v="959.56024005380527"/>
    <n v="0.52137552172957735"/>
  </r>
  <r>
    <s v="536180222"/>
    <s v="720000682876"/>
    <s v="iHerb_OA CZN6870"/>
    <s v="Доставлен"/>
    <d v="2025-05-21T00:00:00"/>
    <x v="35"/>
    <s v="Витамины"/>
    <s v="NOW-01289"/>
    <x v="3"/>
    <x v="214"/>
    <n v="24.42"/>
    <n v="-4.8849999999999998"/>
    <n v="0"/>
    <n v="-2.872461553742782E-15"/>
    <n v="0.58559743262565378"/>
    <n v="1840.4397599461947"/>
    <n v="2800"/>
    <x v="646"/>
    <m/>
    <s v="2025 12"/>
    <n v="959.56024005380527"/>
    <n v="0.52137552172957735"/>
  </r>
  <r>
    <s v="536180222"/>
    <s v="720000682876"/>
    <s v="iHerb_OA CZN6870"/>
    <s v="Доставлен"/>
    <d v="2025-05-21T00:00:00"/>
    <x v="35"/>
    <s v="Витамины"/>
    <s v="NOW-00131"/>
    <x v="3"/>
    <x v="1596"/>
    <n v="30.82"/>
    <n v="-6.16"/>
    <n v="0"/>
    <n v="-3.6260507763141536E-15"/>
    <n v="0.73922870174295474"/>
    <n v="2323.2784479279835"/>
    <n v="3500"/>
    <x v="717"/>
    <s v="Валентина Сычева"/>
    <s v="2025 06"/>
    <n v="1176.7215520720165"/>
    <n v="0.50649182973374363"/>
  </r>
  <r>
    <s v="536180222"/>
    <s v="720000682876"/>
    <s v="iHerb_OA CZN6870"/>
    <s v="Доставлен"/>
    <d v="2025-05-21T00:00:00"/>
    <x v="35"/>
    <s v="Витамины"/>
    <s v="DRB-00294"/>
    <x v="6"/>
    <x v="867"/>
    <n v="27.12"/>
    <n v="-5.42"/>
    <n v="0"/>
    <n v="-3.1908070497168348E-15"/>
    <n v="0.6504972760674016"/>
    <n v="2044.4096642350871"/>
    <n v="3000"/>
    <x v="795"/>
    <m/>
    <s v="2025 09"/>
    <n v="955.59033576491288"/>
    <n v="0.46741626811984655"/>
  </r>
  <r>
    <s v="536180222"/>
    <s v="720000682876"/>
    <s v="iHerb_OA CZN6870"/>
    <s v="Доставлен"/>
    <d v="2025-05-21T00:00:00"/>
    <x v="35"/>
    <s v="Витамины"/>
    <s v="DRB-00125"/>
    <x v="6"/>
    <x v="755"/>
    <n v="17.38"/>
    <n v="-3.48"/>
    <n v="0"/>
    <n v="-2.0438810134130874E-15"/>
    <n v="0.41667797867911888"/>
    <n v="1309.5527342335347"/>
    <n v="2000"/>
    <x v="841"/>
    <s v="Даша Калифорния"/>
    <s v="2025 08"/>
    <n v="690.44726576646531"/>
    <n v="0.52723899367868965"/>
  </r>
  <r>
    <s v="536180222"/>
    <s v="720000682876"/>
    <s v="iHerb_OA CZN6870"/>
    <s v="Доставлен"/>
    <d v="2025-05-21T00:00:00"/>
    <x v="35"/>
    <s v="Витамины"/>
    <s v="NOW-01662"/>
    <x v="3"/>
    <x v="122"/>
    <n v="40.090000000000003"/>
    <n v="-8.02"/>
    <n v="0"/>
    <n v="-4.7156305108027145E-15"/>
    <n v="0.96135703426182328"/>
    <n v="3021.3925314294584"/>
    <n v="4500"/>
    <x v="842"/>
    <m/>
    <s v="2025 07"/>
    <n v="1478.6074685705416"/>
    <n v="0.48937946764268797"/>
  </r>
  <r>
    <s v="536432237"/>
    <s v="720000692746"/>
    <s v="iHerb_OA CZN6870"/>
    <s v="Доставлен"/>
    <d v="2025-05-28T00:00:00"/>
    <x v="35"/>
    <s v="Витамины"/>
    <s v="NRT-00696"/>
    <x v="27"/>
    <x v="1597"/>
    <n v="27.21"/>
    <n v="-5.44"/>
    <n v="-2.9425794640074798"/>
    <n v="4.8203538041437779E-15"/>
    <n v="0.97473834333378662"/>
    <n v="1826.1190230601433"/>
    <n v="3000"/>
    <x v="717"/>
    <s v="Оксана Черноморская"/>
    <s v="2025 06"/>
    <n v="1173.8809769398567"/>
    <n v="0.6428282943861513"/>
  </r>
  <r>
    <s v="536432237"/>
    <s v="720000692746"/>
    <s v="iHerb_OA CZN6870"/>
    <s v="Доставлен"/>
    <d v="2025-05-28T00:00:00"/>
    <x v="35"/>
    <s v="Витамины"/>
    <s v="PAR-77871"/>
    <x v="44"/>
    <x v="1598"/>
    <n v="15.08"/>
    <n v="-3.02"/>
    <n v="-1.6301106263633534"/>
    <n v="2.6703475828191989E-15"/>
    <n v="0.53997907306410031"/>
    <n v="1011.6212870052979"/>
    <n v="2000"/>
    <x v="717"/>
    <s v="Надежда Витамины"/>
    <s v="2025 06"/>
    <n v="988.37871299470214"/>
    <n v="0.97702443166315656"/>
  </r>
  <r>
    <s v="536432237"/>
    <s v="720000692746"/>
    <s v="iHerb_OA CZN6870"/>
    <s v="Доставлен"/>
    <d v="2025-05-28T00:00:00"/>
    <x v="35"/>
    <s v="Витамины"/>
    <s v="NOW-02952"/>
    <x v="3"/>
    <x v="720"/>
    <n v="28.99"/>
    <n v="-5.8"/>
    <n v="-3.1345162044250547"/>
    <n v="5.1347728396001011E-15"/>
    <n v="1.0383179688521134"/>
    <n v="1945.23197725148"/>
    <n v="3200"/>
    <x v="671"/>
    <s v="Даша Калифорния"/>
    <s v="2025 07"/>
    <n v="1254.76802274852"/>
    <n v="0.6450480135132507"/>
  </r>
  <r>
    <s v="536432237"/>
    <s v="720000692746"/>
    <s v="iHerb_OA CZN6870"/>
    <s v="Доставлен"/>
    <d v="2025-05-28T00:00:00"/>
    <x v="35"/>
    <s v="Витамины"/>
    <s v="VMC-47481"/>
    <x v="307"/>
    <x v="1599"/>
    <n v="15.54"/>
    <n v="-3.11"/>
    <n v="-1.6801223122468061"/>
    <n v="2.7522736695226072E-15"/>
    <n v="0.55654559520619962"/>
    <n v="1042.6577609847307"/>
    <n v="2500"/>
    <x v="718"/>
    <s v="Александр Радин"/>
    <s v="2025 07"/>
    <n v="1457.3422390152693"/>
    <n v="1.397718689245542"/>
  </r>
  <r>
    <s v="536432237"/>
    <s v="720000692746"/>
    <s v="iHerb_OA CZN6870"/>
    <s v="Доставлен"/>
    <d v="2025-05-28T00:00:00"/>
    <x v="35"/>
    <s v="Витамины"/>
    <s v="SUW-92149"/>
    <x v="317"/>
    <x v="1600"/>
    <n v="37.28"/>
    <n v="-17.489999999999998"/>
    <n v="-2.6749493611717057"/>
    <n v="4.3819385293525667E-15"/>
    <n v="0.88608506268147158"/>
    <n v="1660.0319460891244"/>
    <n v="3000"/>
    <x v="778"/>
    <s v="Любовь 17"/>
    <s v="2025 07"/>
    <n v="1339.9680539108756"/>
    <n v="0.80719413687652908"/>
  </r>
  <r>
    <s v="536432237"/>
    <s v="720000692746"/>
    <s v="iHerb_OA CZN6870"/>
    <s v="Доставлен"/>
    <d v="2025-05-28T00:00:00"/>
    <x v="35"/>
    <s v="Витамины"/>
    <s v="YOU-00316"/>
    <x v="71"/>
    <x v="990"/>
    <n v="30.08"/>
    <n v="-6.02"/>
    <n v="-3.2521112496104712"/>
    <n v="5.3274098542810877E-15"/>
    <n v="1.0772716830781304"/>
    <n v="2018.2096322842006"/>
    <n v="3400"/>
    <x v="732"/>
    <m/>
    <s v="2026 04"/>
    <n v="1381.7903677157994"/>
    <n v="0.68466146708055065"/>
  </r>
  <r>
    <s v="536432237"/>
    <s v="720000692746"/>
    <s v="iHerb_OA CZN6870"/>
    <s v="Доставлен"/>
    <d v="2025-05-28T00:00:00"/>
    <x v="35"/>
    <s v="Витамины"/>
    <s v="NOW-03170"/>
    <x v="3"/>
    <x v="306"/>
    <n v="18.829999999999998"/>
    <n v="-3.77"/>
    <n v="-2.0356107821751328"/>
    <n v="3.3346131506846711E-15"/>
    <n v="0.67430222556760788"/>
    <n v="1263.2683733250233"/>
    <n v="2300"/>
    <x v="843"/>
    <m/>
    <s v="2026 01"/>
    <n v="1036.7316266749767"/>
    <n v="0.8206740931431824"/>
  </r>
  <r>
    <s v="536689521"/>
    <s v="720000700378"/>
    <s v="iHerb_AV CYG0792"/>
    <s v="Доставлен"/>
    <d v="2025-06-06T00:00:00"/>
    <x v="36"/>
    <s v="Витамины"/>
    <s v="SOL-01736"/>
    <x v="19"/>
    <x v="139"/>
    <n v="23.26"/>
    <n v="0"/>
    <n v="-2.3682154846831724"/>
    <n v="-3.4677347951699391E-15"/>
    <n v="0.91718935419717518"/>
    <n v="1953.4487543712403"/>
    <n v="3100"/>
    <x v="638"/>
    <m/>
    <s v="2025 08"/>
    <n v="1146.5512456287597"/>
    <n v="0.58693694578018352"/>
  </r>
  <r>
    <s v="536689521"/>
    <s v="720000700378"/>
    <s v="iHerb_AV CYG0792"/>
    <s v="Доставлен"/>
    <d v="2025-06-06T00:00:00"/>
    <x v="36"/>
    <s v="Витамины"/>
    <s v="SOL-01049"/>
    <x v="19"/>
    <x v="1498"/>
    <n v="37.270000000000003"/>
    <n v="0"/>
    <n v="-3.7946427822073017"/>
    <n v="-5.5564263033526929E-15"/>
    <n v="1.4696322971164539"/>
    <n v="3130.0530986851304"/>
    <n v="4000"/>
    <x v="390"/>
    <s v="Любовь Виталий"/>
    <s v="2025 07"/>
    <n v="869.94690131486959"/>
    <n v="0.27793359214267516"/>
  </r>
  <r>
    <s v="536689521"/>
    <s v="720000700378"/>
    <s v="iHerb_AV CYG0792"/>
    <s v="Доставлен"/>
    <d v="2025-06-06T00:00:00"/>
    <x v="36"/>
    <s v="Витамины"/>
    <s v="SOL-01049"/>
    <x v="19"/>
    <x v="1498"/>
    <n v="37.270000000000003"/>
    <n v="0"/>
    <n v="-3.7946427822073017"/>
    <n v="-5.5564263033526929E-15"/>
    <n v="1.4696322971164539"/>
    <n v="3130.0530986851304"/>
    <n v="4000"/>
    <x v="782"/>
    <s v="Любовь Виталий"/>
    <s v="2025 07"/>
    <n v="869.94690131486959"/>
    <n v="0.27793359214267516"/>
  </r>
  <r>
    <s v="536689521"/>
    <s v="720000700378"/>
    <s v="iHerb_AV CYG0792"/>
    <s v="Доставлен"/>
    <d v="2025-06-06T00:00:00"/>
    <x v="36"/>
    <s v="Витамины"/>
    <s v="LIF-97802"/>
    <x v="308"/>
    <x v="1561"/>
    <n v="17.05"/>
    <n v="-3.41"/>
    <n v="-1.3887557700377675"/>
    <n v="-2.033529776703266E-15"/>
    <n v="0.53785308646816288"/>
    <n v="1145.5305679115959"/>
    <n v="2300"/>
    <x v="390"/>
    <s v="Любовь Виталий"/>
    <s v="2025 07"/>
    <n v="1154.4694320884041"/>
    <n v="1.0078032524204958"/>
  </r>
  <r>
    <s v="536689521"/>
    <s v="720000700378"/>
    <s v="iHerb_AV CYG0792"/>
    <s v="Доставлен"/>
    <d v="2025-06-06T00:00:00"/>
    <x v="36"/>
    <s v="Витамины"/>
    <s v="LIF-97802"/>
    <x v="308"/>
    <x v="1561"/>
    <n v="17.05"/>
    <n v="-3.41"/>
    <n v="-1.3887557700377675"/>
    <n v="-2.033529776703266E-15"/>
    <n v="0.53785308646816288"/>
    <n v="1145.5305679115959"/>
    <n v="2300"/>
    <x v="782"/>
    <s v="Любовь Виталий"/>
    <s v="2025 07"/>
    <n v="1154.4694320884041"/>
    <n v="1.0078032524204958"/>
  </r>
  <r>
    <s v="536689521"/>
    <s v="720000700378"/>
    <s v="iHerb_AV CYG0792"/>
    <s v="Доставлен"/>
    <d v="2025-06-06T00:00:00"/>
    <x v="36"/>
    <s v="Витамины"/>
    <s v="SOR-04940"/>
    <x v="10"/>
    <x v="1601"/>
    <n v="6.07"/>
    <n v="-1.21"/>
    <n v="-0.49482060428031893"/>
    <n v="-7.2455679727110507E-16"/>
    <n v="0.19163973608762988"/>
    <n v="408.15825220310529"/>
    <n v="1100"/>
    <x v="671"/>
    <s v="Даша Калифорния"/>
    <s v="2025 07"/>
    <n v="691.84174779689465"/>
    <n v="1.6950331006724924"/>
  </r>
  <r>
    <s v="536689521"/>
    <s v="720000700378"/>
    <s v="iHerb_AV CYG0792"/>
    <s v="Доставлен"/>
    <d v="2025-06-06T00:00:00"/>
    <x v="36"/>
    <s v="Витамины"/>
    <s v="SOR-35281"/>
    <x v="10"/>
    <x v="1230"/>
    <n v="11.42"/>
    <n v="-2.2799999999999998"/>
    <n v="-0.93058854385228706"/>
    <n v="-1.3626438533040947E-15"/>
    <n v="0.36040888638702406"/>
    <n v="767.60626031612787"/>
    <n v="1800"/>
    <x v="671"/>
    <s v="Даша Калифорния"/>
    <s v="2025 07"/>
    <n v="1032.3937396838721"/>
    <n v="1.3449522145099433"/>
  </r>
  <r>
    <s v="536689521"/>
    <s v="720000700378"/>
    <s v="iHerb_AV CYG0792"/>
    <s v="Доставлен"/>
    <d v="2025-06-06T00:00:00"/>
    <x v="36"/>
    <s v="Витамины"/>
    <s v="PAR-77872"/>
    <x v="44"/>
    <x v="1437"/>
    <n v="15.08"/>
    <n v="-3.0150000000000001"/>
    <n v="-1.2283972408728492"/>
    <n v="-1.7987197035135559E-15"/>
    <n v="0.47574761643976426"/>
    <n v="1013.2570602531819"/>
    <n v="2200"/>
    <x v="390"/>
    <s v="Любовь Виталий"/>
    <s v="2025 07"/>
    <n v="1186.7429397468181"/>
    <n v="1.1712160578977733"/>
  </r>
  <r>
    <s v="536689521"/>
    <s v="720000700378"/>
    <s v="iHerb_AV CYG0792"/>
    <s v="Доставлен"/>
    <d v="2025-06-06T00:00:00"/>
    <x v="36"/>
    <s v="Витамины"/>
    <s v="PAR-77872"/>
    <x v="44"/>
    <x v="1437"/>
    <n v="15.08"/>
    <n v="-3.0150000000000001"/>
    <n v="-1.2283972408728492"/>
    <n v="-1.7987197035135559E-15"/>
    <n v="0.47574761643976426"/>
    <n v="1013.2570602531819"/>
    <n v="2000"/>
    <x v="826"/>
    <s v="Надежда Витамины"/>
    <s v="2025 07"/>
    <n v="986.74293974681814"/>
    <n v="0.97383277990706651"/>
  </r>
  <r>
    <s v="536689521"/>
    <s v="720000700378"/>
    <s v="iHerb_AV CYG0792"/>
    <s v="Доставлен"/>
    <d v="2025-06-06T00:00:00"/>
    <x v="36"/>
    <s v="Витамины"/>
    <s v="SOL-01721"/>
    <x v="19"/>
    <x v="126"/>
    <n v="18.03"/>
    <n v="0"/>
    <n v="-1.8357233529164918"/>
    <n v="-2.6880162664193467E-15"/>
    <n v="0.71095976165842933"/>
    <n v="1514.2167257658411"/>
    <n v="2800"/>
    <x v="659"/>
    <s v="Алена Грация"/>
    <s v="2025 09"/>
    <n v="1285.7832742341589"/>
    <n v="0.84914084777649768"/>
  </r>
  <r>
    <s v="536689521"/>
    <s v="720000700378"/>
    <s v="iHerb_AV CYG0792"/>
    <s v="Доставлен"/>
    <d v="2025-06-06T00:00:00"/>
    <x v="36"/>
    <s v="Витамины"/>
    <s v="CLG-56025"/>
    <x v="274"/>
    <x v="1319"/>
    <n v="9.4"/>
    <n v="0"/>
    <n v="-0.95706042803189251"/>
    <n v="-1.4014061511004913E-15"/>
    <n v="0.37066121794726764"/>
    <n v="789.44188697719937"/>
    <n v="1500"/>
    <x v="782"/>
    <s v="Татьяна Виноград"/>
    <s v="2025 07"/>
    <n v="710.55811302280063"/>
    <n v="0.9000765284238369"/>
  </r>
  <r>
    <s v="536668666"/>
    <s v="720000699777"/>
    <s v="iHerb_VP DFD1605"/>
    <s v="Доставлен"/>
    <d v="2025-06-05T00:00:00"/>
    <x v="36"/>
    <s v="Витамины"/>
    <s v="CGN-01032"/>
    <x v="1"/>
    <x v="145"/>
    <n v="45.22"/>
    <n v="-13.57"/>
    <n v="-3.1098740669273353"/>
    <n v="9.135704092543412E-15"/>
    <n v="1.2085954487791688"/>
    <n v="2663.663121413701"/>
    <n v="4700"/>
    <x v="819"/>
    <m/>
    <s v="2025 07"/>
    <n v="2036.336878586299"/>
    <n v="0.76448739415123279"/>
  </r>
  <r>
    <s v="536668666"/>
    <s v="720000699777"/>
    <s v="iHerb_VP DFD1605"/>
    <s v="Доставлен"/>
    <d v="2025-06-05T00:00:00"/>
    <x v="36"/>
    <s v="Витамины"/>
    <s v="LKN-01663"/>
    <x v="90"/>
    <x v="1375"/>
    <n v="36.25"/>
    <n v="-10.876666666666667"/>
    <n v="-2.4931396943076227"/>
    <n v="7.3239578254281688E-15"/>
    <n v="0.96891296009552752"/>
    <n v="2135.4190289837907"/>
    <n v="4500"/>
    <x v="390"/>
    <s v="Любовь Виталий"/>
    <s v="2025 07"/>
    <n v="2364.5809710162093"/>
    <n v="1.1073147419415257"/>
  </r>
  <r>
    <s v="536668666"/>
    <s v="720000699777"/>
    <s v="iHerb_VP DFD1605"/>
    <s v="Доставлен"/>
    <d v="2025-06-05T00:00:00"/>
    <x v="36"/>
    <s v="Витамины"/>
    <s v="LKN-01663"/>
    <x v="90"/>
    <x v="1375"/>
    <n v="36.25"/>
    <n v="-10.876666666666667"/>
    <n v="-2.4931396943076227"/>
    <n v="7.3239578254281688E-15"/>
    <n v="0.96891296009552752"/>
    <n v="2135.4190289837907"/>
    <n v="4500"/>
    <x v="390"/>
    <s v="Любовь Виталий"/>
    <s v="2025 07"/>
    <n v="2364.5809710162093"/>
    <n v="1.1073147419415257"/>
  </r>
  <r>
    <s v="536668666"/>
    <s v="720000699777"/>
    <s v="iHerb_VP DFD1605"/>
    <s v="Доставлен"/>
    <d v="2025-06-05T00:00:00"/>
    <x v="36"/>
    <s v="Витамины"/>
    <s v="LKN-01663"/>
    <x v="90"/>
    <x v="1375"/>
    <n v="36.25"/>
    <n v="-10.876666666666667"/>
    <n v="-2.4931396943076227"/>
    <n v="7.3239578254281688E-15"/>
    <n v="0.96891296009552752"/>
    <n v="2135.4190289837907"/>
    <n v="4500"/>
    <x v="782"/>
    <s v="Любовь Виталий"/>
    <s v="2025 07"/>
    <n v="2364.5809710162093"/>
    <n v="1.1073147419415257"/>
  </r>
  <r>
    <s v="536668666"/>
    <s v="720000699777"/>
    <s v="iHerb_VP DFD1605"/>
    <s v="Доставлен"/>
    <d v="2025-06-05T00:00:00"/>
    <x v="36"/>
    <s v="Витамины"/>
    <s v="CGN-01033"/>
    <x v="1"/>
    <x v="1"/>
    <n v="21.08"/>
    <n v="-6.3250000000000002"/>
    <n v="-1.4498006906007215"/>
    <n v="4.2589988589408542E-15"/>
    <n v="0.56343841537872474"/>
    <n v="1241.7803904094521"/>
    <n v="2300"/>
    <x v="597"/>
    <s v="Аня Мирный"/>
    <s v="2025 07"/>
    <n v="1058.2196095905479"/>
    <n v="0.85217935293826086"/>
  </r>
  <r>
    <s v="536668666"/>
    <s v="720000699777"/>
    <s v="iHerb_VP DFD1605"/>
    <s v="Доставлен"/>
    <d v="2025-06-05T00:00:00"/>
    <x v="36"/>
    <s v="Витамины"/>
    <s v="CGN-01033"/>
    <x v="1"/>
    <x v="1"/>
    <n v="21.08"/>
    <n v="-6.3250000000000002"/>
    <n v="-1.4498006906007215"/>
    <n v="4.2589988589408542E-15"/>
    <n v="0.56343841537872474"/>
    <n v="1241.7803904094521"/>
    <n v="2400"/>
    <x v="841"/>
    <m/>
    <s v="2025 08"/>
    <n v="1158.2196095905479"/>
    <n v="0.9327088900225331"/>
  </r>
  <r>
    <s v="536668666"/>
    <s v="720000699777"/>
    <s v="iHerb_VP DFD1605"/>
    <s v="Доставлен"/>
    <d v="2025-06-05T00:00:00"/>
    <x v="36"/>
    <s v="Витамины"/>
    <s v="CGN-01266"/>
    <x v="1"/>
    <x v="487"/>
    <n v="30.08"/>
    <n v="-9.02"/>
    <n v="-2.0693190473772414"/>
    <n v="6.0789234814838623E-15"/>
    <n v="0.80420284838196832"/>
    <n v="1772.4090153861785"/>
    <n v="3500"/>
    <x v="746"/>
    <s v="Валентина Сычева"/>
    <s v="2025 11"/>
    <n v="1727.5909846138215"/>
    <n v="0.97471349424241571"/>
  </r>
  <r>
    <s v="536668666"/>
    <s v="720000699777"/>
    <s v="iHerb_VP DFD1605"/>
    <s v="Доставлен"/>
    <d v="2025-06-05T00:00:00"/>
    <x v="36"/>
    <s v="Витамины"/>
    <s v="SOL-02058"/>
    <x v="19"/>
    <x v="1024"/>
    <n v="38.590000000000003"/>
    <n v="0"/>
    <n v="-3.7917864215711181"/>
    <n v="1.1138920092614543E-14"/>
    <n v="1.4736081632982032"/>
    <n v="3247.7333287631832"/>
    <n v="4300"/>
    <x v="671"/>
    <m/>
    <s v="2025 07"/>
    <n v="1052.2666712368168"/>
    <n v="0.32400033029729874"/>
  </r>
  <r>
    <s v="WB0201"/>
    <n v="0"/>
    <s v="WBRS"/>
    <s v="Доставлен"/>
    <d v="2025-05-30T00:00:00"/>
    <x v="35"/>
    <s v="Спортпит"/>
    <s v="671179174"/>
    <x v="144"/>
    <x v="1370"/>
    <n v="2075"/>
    <n v="0"/>
    <n v="0"/>
    <n v="-726.96462116468376"/>
    <n v="0"/>
    <n v="1348.0353788353164"/>
    <n v="2600"/>
    <x v="506"/>
    <s v="Александр Радин"/>
    <s v="2025 06"/>
    <n v="1251.9646211646836"/>
    <n v="0.92873276237480018"/>
  </r>
  <r>
    <s v="WB0201"/>
    <n v="0"/>
    <s v="WBRS"/>
    <s v="Доставлен"/>
    <d v="2025-05-30T00:00:00"/>
    <x v="35"/>
    <s v="Косметика"/>
    <s v="279995519"/>
    <x v="248"/>
    <x v="1507"/>
    <n v="1119"/>
    <m/>
    <n v="0"/>
    <n v="-392.03537883531624"/>
    <n v="0"/>
    <n v="726.96462116468376"/>
    <n v="2000"/>
    <x v="565"/>
    <s v="&lt;Клиент не выбран&gt;"/>
    <s v="2025 06"/>
    <n v="1273.0353788353164"/>
    <n v="1.7511655199888025"/>
  </r>
  <r>
    <s v="WB0202"/>
    <n v="0"/>
    <s v="WBRS"/>
    <s v="Доставлен"/>
    <d v="2025-05-16T00:00:00"/>
    <x v="35"/>
    <s v="Косметика"/>
    <s v="279995519"/>
    <x v="248"/>
    <x v="1507"/>
    <n v="1117"/>
    <m/>
    <n v="0"/>
    <n v="0"/>
    <n v="0"/>
    <n v="1117"/>
    <n v="2000"/>
    <x v="840"/>
    <s v="Любовь 17"/>
    <s v="2025 06"/>
    <n v="883"/>
    <n v="0.79051029543419871"/>
  </r>
  <r>
    <s v="WB0202"/>
    <n v="0"/>
    <s v="WBRS"/>
    <s v="Доставлен"/>
    <d v="2025-05-16T00:00:00"/>
    <x v="35"/>
    <s v="Косметика"/>
    <s v="279995519"/>
    <x v="248"/>
    <x v="1507"/>
    <n v="1117"/>
    <m/>
    <n v="0"/>
    <n v="0"/>
    <n v="0"/>
    <n v="1117"/>
    <n v="2000"/>
    <x v="840"/>
    <s v="Любовь 17"/>
    <s v="2025 06"/>
    <n v="883"/>
    <n v="0.79051029543419871"/>
  </r>
  <r>
    <s v="WB0202"/>
    <n v="0"/>
    <s v="WBRS"/>
    <s v="Доставлен"/>
    <d v="2025-05-16T00:00:00"/>
    <x v="35"/>
    <s v="Спортпит"/>
    <s v="145963903"/>
    <x v="118"/>
    <x v="1602"/>
    <n v="1683"/>
    <m/>
    <n v="0"/>
    <n v="0"/>
    <n v="0"/>
    <n v="1683"/>
    <n v="2000"/>
    <x v="717"/>
    <s v="Александр Радин"/>
    <s v="2025 06"/>
    <n v="317"/>
    <n v="0.18835412953060013"/>
  </r>
  <r>
    <s v="536827294"/>
    <s v="722500465438"/>
    <s v="iHerb_OA CZN6870"/>
    <s v="Доставлен"/>
    <d v="2025-06-10T00:00:00"/>
    <x v="36"/>
    <s v="Витамины"/>
    <s v="NOW-00420"/>
    <x v="3"/>
    <x v="515"/>
    <n v="13.76"/>
    <n v="-2.75"/>
    <n v="-1.1611947212496632"/>
    <n v="-3.3711071460139838E-15"/>
    <n v="0.44561455685966528"/>
    <n v="922.49705144088318"/>
    <n v="2000"/>
    <x v="844"/>
    <m/>
    <s v="2025 07"/>
    <n v="1077.5029485591167"/>
    <n v="1.168028609821705"/>
  </r>
  <r>
    <s v="536827294"/>
    <s v="722500465438"/>
    <s v="iHerb_OA CZN6870"/>
    <s v="Доставлен"/>
    <d v="2025-06-10T00:00:00"/>
    <x v="36"/>
    <s v="Косметика"/>
    <s v="FDI-03511"/>
    <x v="318"/>
    <x v="1603"/>
    <n v="5.94"/>
    <n v="-0.59"/>
    <n v="-0.5642499326690007"/>
    <n v="-1.6380947530585665E-15"/>
    <n v="0.21653386732054583"/>
    <n v="448.26151000987517"/>
    <m/>
    <x v="20"/>
    <m/>
    <s v=""/>
    <n v="-448.26151000987517"/>
    <s v=""/>
  </r>
  <r>
    <s v="536827294"/>
    <s v="722500465438"/>
    <s v="iHerb_OA CZN6870"/>
    <s v="Доставлен"/>
    <d v="2025-06-10T00:00:00"/>
    <x v="36"/>
    <s v="Косметика"/>
    <s v="SCU-16355"/>
    <x v="319"/>
    <x v="1604"/>
    <n v="2.8"/>
    <n v="-0.28000000000000003"/>
    <n v="-0.26577753837866941"/>
    <n v="-7.7158855658085728E-16"/>
    <n v="0.10199352255098604"/>
    <n v="211.14373929437102"/>
    <m/>
    <x v="20"/>
    <m/>
    <s v=""/>
    <n v="-211.14373929437102"/>
    <s v=""/>
  </r>
  <r>
    <s v="536827294"/>
    <s v="722500465438"/>
    <s v="iHerb_OA CZN6870"/>
    <s v="Доставлен"/>
    <d v="2025-06-10T00:00:00"/>
    <x v="36"/>
    <s v="Витамины"/>
    <s v="SNS-02466"/>
    <x v="151"/>
    <x v="1605"/>
    <n v="11.11"/>
    <n v="-2.2200000000000002"/>
    <n v="-0.9376040937247504"/>
    <n v="-2.7219929634935799E-15"/>
    <n v="0.35981048233264518"/>
    <n v="744.86819139958675"/>
    <n v="1600"/>
    <x v="670"/>
    <s v="Любовь 17"/>
    <s v="2025 08"/>
    <n v="855.13180860041325"/>
    <n v="1.1480310455916292"/>
  </r>
  <r>
    <s v="536827294"/>
    <s v="722500465438"/>
    <s v="iHerb_OA CZN6870"/>
    <s v="Доставлен"/>
    <d v="2025-06-10T00:00:00"/>
    <x v="36"/>
    <s v="Витамины"/>
    <s v="NOW-00372"/>
    <x v="3"/>
    <x v="13"/>
    <n v="8.06"/>
    <n v="-1.6120000000000001"/>
    <n v="-0.68005300296256388"/>
    <n v="-1.9742869098545113E-15"/>
    <n v="0.26097390214633254"/>
    <n v="540.2598535595655"/>
    <n v="1200"/>
    <x v="481"/>
    <m/>
    <s v="2025 07"/>
    <n v="659.7401464404345"/>
    <n v="1.2211533803477328"/>
  </r>
  <r>
    <s v="536827294"/>
    <s v="722500465438"/>
    <s v="iHerb_OA CZN6870"/>
    <s v="Доставлен"/>
    <d v="2025-06-10T00:00:00"/>
    <x v="36"/>
    <s v="Витамины"/>
    <s v="NOW-00372"/>
    <x v="3"/>
    <x v="13"/>
    <n v="8.06"/>
    <n v="-1.6120000000000001"/>
    <n v="-0.68005300296256388"/>
    <n v="-1.9742869098545113E-15"/>
    <n v="0.26097390214633254"/>
    <n v="540.2598535595655"/>
    <n v="1100"/>
    <x v="655"/>
    <m/>
    <s v="2025 08"/>
    <n v="559.7401464404345"/>
    <n v="1.036057265318755"/>
  </r>
  <r>
    <s v="536827294"/>
    <s v="722500465438"/>
    <s v="iHerb_OA CZN6870"/>
    <s v="Доставлен"/>
    <d v="2025-06-10T00:00:00"/>
    <x v="36"/>
    <s v="Витамины"/>
    <s v="NOW-00372"/>
    <x v="3"/>
    <x v="13"/>
    <n v="8.06"/>
    <n v="-1.6120000000000001"/>
    <n v="-0.68005300296256388"/>
    <n v="-1.9742869098545113E-15"/>
    <n v="0.26097390214633254"/>
    <n v="540.2598535595655"/>
    <n v="1200"/>
    <x v="628"/>
    <m/>
    <s v="2025 08"/>
    <n v="659.7401464404345"/>
    <n v="1.2211533803477328"/>
  </r>
  <r>
    <s v="536827294"/>
    <s v="722500465438"/>
    <s v="iHerb_OA CZN6870"/>
    <s v="Доставлен"/>
    <d v="2025-06-10T00:00:00"/>
    <x v="36"/>
    <s v="Витамины"/>
    <s v="NOW-00372"/>
    <x v="3"/>
    <x v="13"/>
    <n v="8.06"/>
    <n v="-1.6120000000000001"/>
    <n v="-0.68005300296256388"/>
    <n v="-1.9742869098545113E-15"/>
    <n v="0.26097390214633254"/>
    <n v="540.2598535595655"/>
    <n v="1100"/>
    <x v="845"/>
    <s v="Лариса Западный"/>
    <s v="2025 11"/>
    <n v="559.7401464404345"/>
    <n v="1.036057265318755"/>
  </r>
  <r>
    <s v="536827294"/>
    <s v="722500465438"/>
    <s v="iHerb_OA CZN6870"/>
    <s v="Доставлен"/>
    <d v="2025-06-10T00:00:00"/>
    <x v="36"/>
    <s v="Витамины"/>
    <s v="NOW-00372"/>
    <x v="3"/>
    <x v="13"/>
    <n v="8.06"/>
    <n v="-1.6120000000000001"/>
    <n v="-0.68005300296256388"/>
    <n v="-1.9742869098545113E-15"/>
    <n v="0.26097390214633254"/>
    <n v="540.2598535595655"/>
    <n v="1100"/>
    <x v="846"/>
    <s v="Полина Цветы"/>
    <s v="2025 12"/>
    <n v="559.7401464404345"/>
    <n v="1.036057265318755"/>
  </r>
  <r>
    <s v="536827294"/>
    <s v="722500465438"/>
    <s v="iHerb_OA CZN6870"/>
    <s v="Доставлен"/>
    <d v="2025-06-10T00:00:00"/>
    <x v="36"/>
    <s v="Витамины"/>
    <s v="YOU-00316"/>
    <x v="71"/>
    <x v="990"/>
    <n v="30.17"/>
    <n v="-6.03"/>
    <n v="-2.5459800700242385"/>
    <n v="-7.3913284745483712E-15"/>
    <n v="0.97703318824635066"/>
    <n v="2022.6229629230629"/>
    <n v="3400"/>
    <x v="847"/>
    <s v="Татьяна Индол"/>
    <s v="2026 04"/>
    <n v="1377.3770370769371"/>
    <n v="0.68098556296739232"/>
  </r>
  <r>
    <s v="536827294"/>
    <s v="722500465438"/>
    <s v="iHerb_OA CZN6870"/>
    <s v="Доставлен"/>
    <d v="2025-06-10T00:00:00"/>
    <x v="36"/>
    <s v="Витамины"/>
    <s v="CEN-27387"/>
    <x v="2"/>
    <x v="23"/>
    <n v="28.26"/>
    <n v="-5.65"/>
    <n v="-2.3846151360086174"/>
    <n v="-6.9228639937671365E-15"/>
    <n v="0.91510854955468046"/>
    <n v="1894.4285497800518"/>
    <n v="3500"/>
    <x v="820"/>
    <m/>
    <s v="2025 07"/>
    <n v="1605.5714502199482"/>
    <n v="0.84752283236354276"/>
  </r>
  <r>
    <s v="536827294"/>
    <s v="722500465438"/>
    <s v="iHerb_OA CZN6870"/>
    <s v="Доставлен"/>
    <d v="2025-06-10T00:00:00"/>
    <x v="36"/>
    <s v="Витамины"/>
    <s v="MRM-71301"/>
    <x v="37"/>
    <x v="116"/>
    <n v="6.24"/>
    <n v="-1.25"/>
    <n v="-0.52628171290061931"/>
    <n v="-1.5278678164041581E-15"/>
    <n v="0.20196336409897639"/>
    <n v="418.09811868210778"/>
    <n v="1000"/>
    <x v="718"/>
    <s v="Любовь 17"/>
    <s v="2025 07"/>
    <n v="581.90188131789228"/>
    <n v="1.3917830655447874"/>
  </r>
  <r>
    <s v="536827294"/>
    <s v="722500465438"/>
    <s v="iHerb_OA CZN6870"/>
    <s v="Доставлен"/>
    <d v="2025-06-10T00:00:00"/>
    <x v="36"/>
    <s v="Витамины"/>
    <s v="NOW-00371"/>
    <x v="3"/>
    <x v="803"/>
    <n v="10.18"/>
    <n v="-2.04"/>
    <n v="-0.85850363587395628"/>
    <n v="-2.4923535121302299E-15"/>
    <n v="0.32945526728770896"/>
    <n v="682.02779280007167"/>
    <n v="1400"/>
    <x v="820"/>
    <m/>
    <s v="2025 07"/>
    <n v="717.97220719992833"/>
    <n v="1.0527022722230812"/>
  </r>
  <r>
    <s v="536827294"/>
    <s v="722500465438"/>
    <s v="iHerb_OA CZN6870"/>
    <s v="Доставлен"/>
    <d v="2025-06-10T00:00:00"/>
    <x v="36"/>
    <s v="Витамины"/>
    <s v="NAP-29942"/>
    <x v="11"/>
    <x v="861"/>
    <n v="12.8"/>
    <n v="-2.56"/>
    <n v="-1.0799849178561807"/>
    <n v="-3.1353439759476111E-15"/>
    <n v="0.41444986941353062"/>
    <n v="857.98090887871433"/>
    <n v="1700"/>
    <x v="692"/>
    <m/>
    <s v="2025 07"/>
    <n v="842.01909112128567"/>
    <n v="0.98139606884926034"/>
  </r>
  <r>
    <s v="536827294"/>
    <s v="722500465438"/>
    <s v="iHerb_OA CZN6870"/>
    <s v="Доставлен"/>
    <d v="2025-06-10T00:00:00"/>
    <x v="36"/>
    <s v="Витамины"/>
    <s v="NAP-29950"/>
    <x v="11"/>
    <x v="350"/>
    <n v="9.59"/>
    <n v="-1.92"/>
    <n v="-0.80893401562079159"/>
    <n v="-2.3484461226091969E-15"/>
    <n v="0.31043266585954882"/>
    <n v="642.64780967770878"/>
    <n v="1600"/>
    <x v="692"/>
    <m/>
    <s v="2025 07"/>
    <n v="957.35219032229122"/>
    <n v="1.4896996082541825"/>
  </r>
  <r>
    <s v="536827294"/>
    <s v="722500465438"/>
    <s v="iHerb_OA CZN6870"/>
    <s v="Доставлен"/>
    <d v="2025-06-10T00:00:00"/>
    <x v="36"/>
    <s v="Витамины"/>
    <s v="NAP-29950"/>
    <x v="11"/>
    <x v="350"/>
    <n v="9.59"/>
    <n v="-1.92"/>
    <n v="-0.80893401562079159"/>
    <n v="-2.3484461226091969E-15"/>
    <n v="0.31043266585954882"/>
    <n v="642.64780967770878"/>
    <n v="1700"/>
    <x v="848"/>
    <m/>
    <s v="2025 08"/>
    <n v="1057.3521903222913"/>
    <n v="1.6453058337700692"/>
  </r>
  <r>
    <s v="536827294"/>
    <s v="722500465438"/>
    <s v="iHerb_OA CZN6870"/>
    <s v="Доставлен"/>
    <d v="2025-06-10T00:00:00"/>
    <x v="36"/>
    <s v="Витамины"/>
    <s v="NOW-01486"/>
    <x v="3"/>
    <x v="401"/>
    <n v="14.48"/>
    <n v="-2.9"/>
    <n v="-1.2213110692162668"/>
    <n v="-3.5456331290501304E-15"/>
    <n v="0.46868452029381691"/>
    <n v="970.25575437651469"/>
    <n v="1900"/>
    <x v="746"/>
    <s v="Елена пер. Фруктовый"/>
    <s v="2025 11"/>
    <n v="929.74424562348531"/>
    <n v="0.9582465668765221"/>
  </r>
  <r>
    <s v="536827294"/>
    <s v="722500465438"/>
    <s v="iHerb_OA CZN6870"/>
    <s v="Доставлен"/>
    <d v="2025-06-10T00:00:00"/>
    <x v="36"/>
    <s v="Витамины"/>
    <s v="SPN-02507"/>
    <x v="45"/>
    <x v="1606"/>
    <n v="57.2"/>
    <n v="-28.6"/>
    <n v="-3.0163641260436296"/>
    <n v="-8.7569177453224287E-15"/>
    <n v="1.1575455337135718"/>
    <n v="2396.3138665948463"/>
    <n v="2396.31"/>
    <x v="20"/>
    <m/>
    <s v=""/>
    <n v="-3.8665948463858513E-3"/>
    <n v="-1.6135594340487079E-6"/>
  </r>
  <r>
    <s v="536963911"/>
    <s v="720000709614"/>
    <s v="iHerb_OA CZN6870"/>
    <s v="Доставлен"/>
    <d v="2025-06-14T00:00:00"/>
    <x v="36"/>
    <s v="Витамины"/>
    <s v="MLI-00952"/>
    <x v="1"/>
    <x v="7"/>
    <n v="13.66"/>
    <n v="-4.0999999999999996"/>
    <n v="-0.96715758622494352"/>
    <n v="-1.4220523481167232E-15"/>
    <n v="0.37614010160310418"/>
    <n v="803.32085762634961"/>
    <n v="1700"/>
    <x v="849"/>
    <s v="Валентина Сычева"/>
    <s v="2025 11"/>
    <n v="896.67914237365039"/>
    <n v="1.1162154372826265"/>
  </r>
  <r>
    <s v="536963911"/>
    <s v="720000709614"/>
    <s v="iHerb_OA CZN6870"/>
    <s v="Доставлен"/>
    <d v="2025-06-14T00:00:00"/>
    <x v="36"/>
    <s v="Витамины"/>
    <s v="CGN-01378"/>
    <x v="1"/>
    <x v="1449"/>
    <n v="36.14"/>
    <n v="-10.84"/>
    <n v="-2.5595279217040869"/>
    <n v="-3.7633812141582734E-15"/>
    <n v="0.9954335324852025"/>
    <n v="2125.9432738437913"/>
    <n v="3700"/>
    <x v="778"/>
    <s v="Татьяна Бригантина"/>
    <s v="2025 07"/>
    <n v="1574.0567261562087"/>
    <n v="0.74040391647433312"/>
  </r>
  <r>
    <s v="536963911"/>
    <s v="720000709614"/>
    <s v="iHerb_OA CZN6870"/>
    <s v="Доставлен"/>
    <d v="2025-06-14T00:00:00"/>
    <x v="36"/>
    <s v="Витамины"/>
    <s v="CGN-01033"/>
    <x v="1"/>
    <x v="1"/>
    <n v="21.06"/>
    <n v="-6.3179999999999996"/>
    <n v="-1.4914055581723973"/>
    <n v="-2.1928761209138841E-15"/>
    <n v="0.58002692236746456"/>
    <n v="1238.7610965614692"/>
    <n v="2300"/>
    <x v="841"/>
    <m/>
    <s v="2025 08"/>
    <n v="1061.2389034385308"/>
    <n v="0.85669376152052135"/>
  </r>
  <r>
    <s v="536963911"/>
    <s v="720000709614"/>
    <s v="iHerb_OA CZN6870"/>
    <s v="Доставлен"/>
    <d v="2025-06-14T00:00:00"/>
    <x v="36"/>
    <s v="Витамины"/>
    <s v="CGN-01033"/>
    <x v="1"/>
    <x v="1"/>
    <n v="21.06"/>
    <n v="-6.3179999999999996"/>
    <n v="-1.4914055581723973"/>
    <n v="-2.1928761209138841E-15"/>
    <n v="0.58002692236746456"/>
    <n v="1238.7610965614692"/>
    <n v="2300"/>
    <x v="841"/>
    <m/>
    <s v="2025 08"/>
    <n v="1061.2389034385308"/>
    <n v="0.85669376152052135"/>
  </r>
  <r>
    <s v="536963911"/>
    <s v="720000709614"/>
    <s v="iHerb_OA CZN6870"/>
    <s v="Доставлен"/>
    <d v="2025-06-14T00:00:00"/>
    <x v="36"/>
    <s v="Витамины"/>
    <s v="CGN-01033"/>
    <x v="1"/>
    <x v="1"/>
    <n v="21.06"/>
    <n v="-6.3179999999999996"/>
    <n v="-1.4914055581723973"/>
    <n v="-2.1928761209138841E-15"/>
    <n v="0.58002692236746456"/>
    <n v="1238.7610965614692"/>
    <n v="2300"/>
    <x v="670"/>
    <m/>
    <s v="2025 08"/>
    <n v="1061.2389034385308"/>
    <n v="0.85669376152052135"/>
  </r>
  <r>
    <s v="536963911"/>
    <s v="720000709614"/>
    <s v="iHerb_OA CZN6870"/>
    <s v="Доставлен"/>
    <d v="2025-06-14T00:00:00"/>
    <x v="36"/>
    <s v="Витамины"/>
    <s v="CGN-01033"/>
    <x v="1"/>
    <x v="1"/>
    <n v="21.06"/>
    <n v="-6.3179999999999996"/>
    <n v="-1.4914055581723973"/>
    <n v="-2.1928761209138841E-15"/>
    <n v="0.58002692236746456"/>
    <n v="1238.7610965614692"/>
    <n v="2300"/>
    <x v="728"/>
    <s v="Оксана Черноморская"/>
    <s v="2025 08"/>
    <n v="1061.2389034385308"/>
    <n v="0.85669376152052135"/>
  </r>
  <r>
    <s v="536963911"/>
    <s v="720000709614"/>
    <s v="iHerb_OA CZN6870"/>
    <s v="Доставлен"/>
    <d v="2025-06-14T00:00:00"/>
    <x v="36"/>
    <s v="Витамины"/>
    <s v="CGN-01033"/>
    <x v="1"/>
    <x v="1"/>
    <n v="21.06"/>
    <n v="-6.3179999999999996"/>
    <n v="-1.4914055581723973"/>
    <n v="-2.1928761209138841E-15"/>
    <n v="0.58002692236746456"/>
    <n v="1238.7610965614692"/>
    <n v="2300"/>
    <x v="850"/>
    <s v="Елена Шевченко 217"/>
    <s v="2025 08"/>
    <n v="1061.2389034385308"/>
    <n v="0.85669376152052135"/>
  </r>
  <r>
    <s v="536963911"/>
    <s v="720000709614"/>
    <s v="iHerb_OA CZN6870"/>
    <s v="Доставлен"/>
    <d v="2025-06-14T00:00:00"/>
    <x v="36"/>
    <s v="Витамины"/>
    <s v="NTW-00611"/>
    <x v="278"/>
    <x v="1607"/>
    <n v="29.01"/>
    <n v="-2.9"/>
    <n v="-2.6414732820432301"/>
    <n v="-3.8838689131095863E-15"/>
    <n v="1.0273031436042941"/>
    <n v="2194.0070703581582"/>
    <n v="3100"/>
    <x v="778"/>
    <m/>
    <s v="2025 07"/>
    <n v="905.99292964184178"/>
    <n v="0.41293984047824606"/>
  </r>
  <r>
    <s v="536963911"/>
    <s v="720000709614"/>
    <s v="iHerb_OA CZN6870"/>
    <s v="Доставлен"/>
    <d v="2025-06-14T00:00:00"/>
    <x v="36"/>
    <s v="Витамины"/>
    <s v="SNS-01794"/>
    <x v="151"/>
    <x v="1503"/>
    <n v="16.579999999999998"/>
    <n v="-1.66"/>
    <n v="-1.5094133040247024"/>
    <n v="-2.2193536646340488E-15"/>
    <n v="0.58703036777388218"/>
    <n v="1253.7183259189474"/>
    <n v="2100"/>
    <x v="692"/>
    <m/>
    <s v="2025 07"/>
    <n v="846.28167408105264"/>
    <n v="0.6750173915346952"/>
  </r>
  <r>
    <s v="536963911"/>
    <s v="720000709614"/>
    <s v="iHerb_OA CZN6870"/>
    <s v="Доставлен"/>
    <d v="2025-06-14T00:00:00"/>
    <x v="36"/>
    <s v="Косметика"/>
    <s v="CPI-01184"/>
    <x v="320"/>
    <x v="1608"/>
    <n v="13.97"/>
    <n v="-2.79"/>
    <n v="-1.1310483069032289"/>
    <n v="-1.6630277460193477E-15"/>
    <n v="0.43987932384128703"/>
    <n v="939.44845065508264"/>
    <m/>
    <x v="20"/>
    <m/>
    <s v=""/>
    <n v="-939.44845065508264"/>
    <s v=""/>
  </r>
  <r>
    <s v="536963911"/>
    <s v="720000709614"/>
    <s v="iHerb_OA CZN6870"/>
    <s v="Доставлен"/>
    <d v="2025-06-14T00:00:00"/>
    <x v="36"/>
    <s v="Витамины"/>
    <s v="TEO-00777"/>
    <x v="181"/>
    <x v="978"/>
    <n v="25.9"/>
    <n v="-2.59"/>
    <n v="-2.3582053697597734"/>
    <n v="-3.467368225376654E-15"/>
    <n v="0.91713658664940978"/>
    <n v="1958.7248108023232"/>
    <n v="2800"/>
    <x v="778"/>
    <s v="Оксана Черноморская"/>
    <s v="2025 07"/>
    <n v="841.27518919767681"/>
    <n v="0.4295014718545776"/>
  </r>
  <r>
    <s v="536963911"/>
    <s v="720000709614"/>
    <s v="iHerb_OA CZN6870"/>
    <s v="Доставлен"/>
    <d v="2025-06-14T00:00:00"/>
    <x v="36"/>
    <s v="Витамины"/>
    <s v="BTZ-43162"/>
    <x v="166"/>
    <x v="1609"/>
    <n v="13.97"/>
    <n v="-6.99"/>
    <n v="-0.70614643847804459"/>
    <n v="-1.0382767144199506E-15"/>
    <n v="0.27462948840896095"/>
    <n v="586.52506132133067"/>
    <n v="586.53"/>
    <x v="20"/>
    <m/>
    <s v=""/>
    <n v="4.9386786693048634E-3"/>
    <n v="8.4202346924084523E-6"/>
  </r>
  <r>
    <s v="536847617"/>
    <s v="720000707680"/>
    <s v="iHerb_MH DLE7202"/>
    <s v="Доставлен"/>
    <d v="2025-06-10T00:00:00"/>
    <x v="36"/>
    <s v="Витамины"/>
    <s v="CEN-22662"/>
    <x v="2"/>
    <x v="307"/>
    <n v="4.3499999999999996"/>
    <n v="-0.87"/>
    <n v="-0.40187969406738783"/>
    <n v="0"/>
    <n v="0.17996999106442613"/>
    <n v="292.29082615586026"/>
    <n v="900"/>
    <x v="837"/>
    <s v="Елена сахарный диабет"/>
    <s v="2025 07"/>
    <n v="607.70917384413974"/>
    <n v="2.079125033914293"/>
  </r>
  <r>
    <s v="536847617"/>
    <s v="720000707680"/>
    <s v="iHerb_MH DLE7202"/>
    <s v="Доставлен"/>
    <d v="2025-06-10T00:00:00"/>
    <x v="36"/>
    <s v="Витамины"/>
    <s v="SSV-23234"/>
    <x v="321"/>
    <x v="1610"/>
    <n v="15.05"/>
    <n v="-3.01"/>
    <n v="-1.3904113553365951"/>
    <n v="0"/>
    <n v="0.62265479667117563"/>
    <n v="1011.2590652059076"/>
    <n v="1900"/>
    <x v="778"/>
    <m/>
    <s v="2025 07"/>
    <n v="888.74093479409237"/>
    <n v="0.87884595092666118"/>
  </r>
  <r>
    <s v="536847617"/>
    <s v="720000707680"/>
    <s v="iHerb_MH DLE7202"/>
    <s v="Доставлен"/>
    <d v="2025-06-10T00:00:00"/>
    <x v="36"/>
    <s v="Витамины"/>
    <s v="NOW-00475"/>
    <x v="3"/>
    <x v="1364"/>
    <n v="9.41"/>
    <n v="-1.88"/>
    <n v="-0.86958451043891694"/>
    <n v="0"/>
    <n v="0.38941782549285314"/>
    <n v="632.45687383724953"/>
    <n v="1700"/>
    <x v="850"/>
    <s v="Светлана Кулаки"/>
    <s v="2025 08"/>
    <n v="1067.5431261627505"/>
    <n v="1.687930308490033"/>
  </r>
  <r>
    <s v="536847617"/>
    <s v="720000707680"/>
    <s v="iHerb_MH DLE7202"/>
    <s v="Доставлен"/>
    <d v="2025-06-10T00:00:00"/>
    <x v="36"/>
    <s v="Витамины"/>
    <s v="FBS-50076"/>
    <x v="20"/>
    <x v="1611"/>
    <n v="7.77"/>
    <n v="-1.55"/>
    <n v="-0.71830221181010134"/>
    <n v="0"/>
    <n v="0.32167050127032487"/>
    <n v="522.42785594524446"/>
    <n v="1400"/>
    <x v="851"/>
    <s v="Надежда Витамины"/>
    <s v="2026 03"/>
    <n v="877.57214405475554"/>
    <n v="1.679795849451668"/>
  </r>
  <r>
    <s v="536847617"/>
    <s v="720000707680"/>
    <s v="iHerb_MH DLE7202"/>
    <s v="Доставлен"/>
    <d v="2025-06-10T00:00:00"/>
    <x v="36"/>
    <s v="Витамины"/>
    <s v="NOW-04753"/>
    <x v="3"/>
    <x v="1007"/>
    <n v="27.33"/>
    <n v="-5.47"/>
    <n v="-2.5244511816991664"/>
    <n v="0"/>
    <n v="1.130501150766769"/>
    <n v="1836.0567413123867"/>
    <n v="3200"/>
    <x v="778"/>
    <s v="Татьяна Писарева 28"/>
    <s v="2025 07"/>
    <n v="1363.9432586876133"/>
    <n v="0.74286552697314046"/>
  </r>
  <r>
    <s v="536847617"/>
    <s v="720000707680"/>
    <s v="iHerb_MH DLE7202"/>
    <s v="Доставлен"/>
    <d v="2025-06-10T00:00:00"/>
    <x v="36"/>
    <s v="Витамины"/>
    <s v="NOW-04739"/>
    <x v="3"/>
    <x v="191"/>
    <n v="18.829999999999998"/>
    <n v="-3.77"/>
    <n v="-1.7391690208778336"/>
    <n v="0"/>
    <n v="0.77883565098570617"/>
    <n v="1264.9137476744988"/>
    <n v="2500"/>
    <x v="655"/>
    <s v="Оксана Черноморская"/>
    <s v="2025 08"/>
    <n v="1235.0862523255012"/>
    <n v="0.97641934447796574"/>
  </r>
  <r>
    <s v="536847617"/>
    <s v="720000707680"/>
    <s v="iHerb_MH DLE7202"/>
    <s v="Доставлен"/>
    <d v="2025-06-10T00:00:00"/>
    <x v="36"/>
    <s v="Витамины"/>
    <s v="LEX-30210"/>
    <x v="7"/>
    <x v="749"/>
    <n v="20.48"/>
    <n v="-4.0999999999999996"/>
    <n v="-1.8916061462137397"/>
    <n v="0"/>
    <n v="0.84710013035497156"/>
    <n v="1375.7826817336186"/>
    <n v="2300"/>
    <x v="655"/>
    <s v="Олег Алешин"/>
    <s v="2025 08"/>
    <n v="924.21731826638143"/>
    <n v="0.6717756594390174"/>
  </r>
  <r>
    <s v="536847617"/>
    <s v="720000707680"/>
    <s v="iHerb_MH DLE7202"/>
    <s v="Доставлен"/>
    <d v="2025-06-10T00:00:00"/>
    <x v="36"/>
    <s v="Витамины"/>
    <s v="LEX-33510"/>
    <x v="7"/>
    <x v="750"/>
    <n v="12.6"/>
    <n v="-2.52"/>
    <n v="-1.1640653207469167"/>
    <n v="0"/>
    <n v="0.52129238791075172"/>
    <n v="846.63549645145747"/>
    <n v="1700"/>
    <x v="655"/>
    <s v="Олег Алешин"/>
    <s v="2025 08"/>
    <n v="853.36450354854253"/>
    <n v="1.007947938782733"/>
  </r>
  <r>
    <s v="536847617"/>
    <s v="720000707680"/>
    <s v="iHerb_MH DLE7202"/>
    <s v="Доставлен"/>
    <d v="2025-06-10T00:00:00"/>
    <x v="36"/>
    <s v="Витамины"/>
    <s v="NOR-56780"/>
    <x v="9"/>
    <x v="20"/>
    <n v="21.23"/>
    <n v="-4.25"/>
    <n v="-1.9608957486391514"/>
    <n v="0"/>
    <n v="0.87812943915918285"/>
    <n v="1426.1776517604908"/>
    <n v="2800"/>
    <x v="252"/>
    <m/>
    <s v="2025 09"/>
    <n v="1373.8223482395092"/>
    <n v="0.96328977427436646"/>
  </r>
  <r>
    <s v="536847617"/>
    <s v="720000707680"/>
    <s v="iHerb_MH DLE7202"/>
    <s v="Доставлен"/>
    <d v="2025-06-10T00:00:00"/>
    <x v="36"/>
    <s v="Косметика"/>
    <s v="IDE-02314"/>
    <x v="111"/>
    <x v="1612"/>
    <n v="12.9"/>
    <n v="-11.9"/>
    <n v="-0.11548267070901952"/>
    <n v="0"/>
    <n v="5.1715514673685674E-2"/>
    <n v="83.9916167114541"/>
    <m/>
    <x v="20"/>
    <m/>
    <s v=""/>
    <n v="-83.9916167114541"/>
    <s v=""/>
  </r>
  <r>
    <s v="536847617"/>
    <s v="720000707680"/>
    <s v="iHerb_MH DLE7202"/>
    <s v="Доставлен"/>
    <d v="2025-06-10T00:00:00"/>
    <x v="36"/>
    <s v="Витамины"/>
    <s v="DRB-00253"/>
    <x v="6"/>
    <x v="1613"/>
    <n v="43.12"/>
    <n v="-8.6199999999999992"/>
    <n v="-3.9841521394611732"/>
    <n v="0"/>
    <n v="1.7841852562421556"/>
    <n v="2897.7107765451665"/>
    <n v="2897.71"/>
    <x v="20"/>
    <m/>
    <s v=""/>
    <n v="-7.7654516644543037E-4"/>
    <n v="-2.6798573989198346E-7"/>
  </r>
  <r>
    <s v="WB0203"/>
    <n v="0"/>
    <s v="WBRS"/>
    <s v="Доставлен"/>
    <d v="2025-02-21T00:00:00"/>
    <x v="32"/>
    <s v="Косметика"/>
    <s v="166308321"/>
    <x v="322"/>
    <x v="1614"/>
    <n v="1057"/>
    <m/>
    <n v="0"/>
    <n v="0"/>
    <n v="0"/>
    <n v="1057"/>
    <n v="2200"/>
    <x v="673"/>
    <s v="Татьяна Бригантина"/>
    <s v="2025 06"/>
    <n v="1143"/>
    <n v="1.0813623462630084"/>
  </r>
  <r>
    <s v="WB0203"/>
    <n v="0"/>
    <s v="WBRS"/>
    <s v="Доставлен"/>
    <d v="2025-02-21T00:00:00"/>
    <x v="32"/>
    <s v="Косметика"/>
    <s v="92396881"/>
    <x v="322"/>
    <x v="1615"/>
    <n v="1886"/>
    <m/>
    <n v="0"/>
    <n v="0"/>
    <n v="0"/>
    <n v="1886"/>
    <n v="2600"/>
    <x v="852"/>
    <s v="Оксана Черноморская"/>
    <s v="2025 05"/>
    <n v="714"/>
    <n v="0.37857900318133614"/>
  </r>
  <r>
    <s v="OZO0153"/>
    <n v="0"/>
    <s v="OZON_OA"/>
    <s v="Доставлен"/>
    <d v="2025-06-13T00:00:00"/>
    <x v="36"/>
    <s v="Витамины"/>
    <s v="NOW-02120"/>
    <x v="3"/>
    <x v="27"/>
    <n v="890"/>
    <n v="0"/>
    <n v="0"/>
    <n v="0"/>
    <n v="0"/>
    <n v="890"/>
    <n v="1600"/>
    <x v="853"/>
    <s v="Светлана Федоровна"/>
    <s v="2025 11"/>
    <n v="710"/>
    <n v="0.797752808988764"/>
  </r>
  <r>
    <s v="OZO0154"/>
    <n v="0"/>
    <s v="OZON_OA"/>
    <s v="Доставлен"/>
    <d v="2025-06-13T00:00:00"/>
    <x v="36"/>
    <s v="Спортпит"/>
    <s v="892721541"/>
    <x v="162"/>
    <x v="618"/>
    <n v="1286"/>
    <n v="0"/>
    <n v="0"/>
    <n v="0"/>
    <n v="0"/>
    <n v="1286"/>
    <n v="2000"/>
    <x v="673"/>
    <s v="&lt;Клиент не выбран&gt;"/>
    <s v="2025 06"/>
    <n v="714"/>
    <n v="0.55520995334370138"/>
  </r>
  <r>
    <s v="OZO0154"/>
    <n v="0"/>
    <s v="OZON_OA"/>
    <s v="Доставлен"/>
    <d v="2025-06-13T00:00:00"/>
    <x v="36"/>
    <s v="Спортпит"/>
    <s v="892721541"/>
    <x v="162"/>
    <x v="618"/>
    <n v="1286"/>
    <n v="0"/>
    <n v="0"/>
    <n v="0"/>
    <n v="0"/>
    <n v="1286"/>
    <n v="2000"/>
    <x v="854"/>
    <m/>
    <s v="2025 07"/>
    <n v="714"/>
    <n v="0.55520995334370138"/>
  </r>
  <r>
    <s v="537315850"/>
    <s v="720000720328"/>
    <s v="iHerb_OA CZN6870"/>
    <s v="Доставлен"/>
    <d v="2025-06-27T00:00:00"/>
    <x v="36"/>
    <s v="Витамины"/>
    <s v="BLB-01178"/>
    <x v="186"/>
    <x v="1588"/>
    <n v="30.31"/>
    <n v="-6.06"/>
    <n v="-2.1721714775938636"/>
    <n v="0"/>
    <n v="0.58004614428224166"/>
    <n v="2026.834237484861"/>
    <n v="3300"/>
    <x v="826"/>
    <s v="Любовь Виталий"/>
    <s v="2025 07"/>
    <n v="1273.165762515139"/>
    <n v="0.62815485300615204"/>
  </r>
  <r>
    <s v="537315850"/>
    <s v="720000720328"/>
    <s v="iHerb_OA CZN6870"/>
    <s v="Доставлен"/>
    <d v="2025-06-27T00:00:00"/>
    <x v="36"/>
    <s v="Витамины"/>
    <s v="BLB-00856"/>
    <x v="186"/>
    <x v="1590"/>
    <n v="42.42"/>
    <n v="-8.48"/>
    <n v="-3.0401443278159062"/>
    <n v="0"/>
    <n v="0.81182540770883638"/>
    <n v="2836.732124545822"/>
    <n v="4300"/>
    <x v="826"/>
    <s v="Любовь Виталий"/>
    <s v="2025 07"/>
    <n v="1463.267875454178"/>
    <n v="0.51582871106959249"/>
  </r>
  <r>
    <s v="537315850"/>
    <s v="720000720328"/>
    <s v="iHerb_OA CZN6870"/>
    <s v="Доставлен"/>
    <d v="2025-06-27T00:00:00"/>
    <x v="36"/>
    <s v="Витамины"/>
    <s v="NFS-26841"/>
    <x v="23"/>
    <x v="1524"/>
    <n v="59.3"/>
    <n v="-11.86"/>
    <n v="-4.2493944287444485"/>
    <n v="0"/>
    <n v="1.134737694216476"/>
    <n v="3965.0728340734759"/>
    <n v="6200"/>
    <x v="826"/>
    <s v="Любовь Виталий"/>
    <s v="2025 07"/>
    <n v="2234.9271659265241"/>
    <n v="0.56365349627903183"/>
  </r>
  <r>
    <s v="537315850"/>
    <s v="720000720328"/>
    <s v="iHerb_OA CZN6870"/>
    <s v="Доставлен"/>
    <d v="2025-06-27T00:00:00"/>
    <x v="36"/>
    <s v="Витамины"/>
    <s v="NAP-01480"/>
    <x v="11"/>
    <x v="488"/>
    <n v="10.4"/>
    <n v="-2.08"/>
    <n v="-0.74525635849818328"/>
    <n v="0"/>
    <n v="0.19900964620322686"/>
    <n v="695.39220024222857"/>
    <n v="1600"/>
    <x v="826"/>
    <s v="Любовь Виталий"/>
    <s v="2025 07"/>
    <n v="904.60779975777143"/>
    <n v="1.3008598592889968"/>
  </r>
  <r>
    <s v="537315850"/>
    <s v="720000720328"/>
    <s v="iHerb_OA CZN6870"/>
    <s v="Доставлен"/>
    <d v="2025-06-27T00:00:00"/>
    <x v="36"/>
    <s v="Витамины"/>
    <s v="NCS-57259"/>
    <x v="217"/>
    <x v="1616"/>
    <n v="45.58"/>
    <n v="-9.1199999999999992"/>
    <n v="-3.2658710133225677"/>
    <n v="0"/>
    <n v="0.87210236785692929"/>
    <n v="3047.3557236576512"/>
    <n v="4700"/>
    <x v="481"/>
    <s v="Валентина Сычева"/>
    <s v="2025 07"/>
    <n v="1652.6442763423488"/>
    <n v="0.54232076141039698"/>
  </r>
  <r>
    <s v="537315850"/>
    <s v="720000720328"/>
    <s v="iHerb_OA CZN6870"/>
    <s v="Доставлен"/>
    <d v="2025-06-27T00:00:00"/>
    <x v="36"/>
    <s v="Витамины"/>
    <s v="NCS-67202"/>
    <x v="217"/>
    <x v="1304"/>
    <n v="22.75"/>
    <n v="-4.55"/>
    <n v="-1.6302482842147761"/>
    <n v="0"/>
    <n v="0.43533360106955865"/>
    <n v="1521.170438029875"/>
    <n v="2800"/>
    <x v="481"/>
    <s v="Валентина Сычева"/>
    <s v="2025 07"/>
    <n v="1278.829561970125"/>
    <n v="0.8406878874311976"/>
  </r>
  <r>
    <s v="537315850"/>
    <s v="720000720328"/>
    <s v="iHerb_OA CZN6870"/>
    <s v="Доставлен"/>
    <d v="2025-06-27T00:00:00"/>
    <x v="36"/>
    <s v="Витамины"/>
    <s v="NCS-67202"/>
    <x v="217"/>
    <x v="1304"/>
    <n v="22.75"/>
    <n v="-4.55"/>
    <n v="-1.6302482842147761"/>
    <n v="0"/>
    <n v="0.43533360106955865"/>
    <n v="1521.170438029875"/>
    <n v="3400"/>
    <x v="588"/>
    <m/>
    <s v="2025 10"/>
    <n v="1878.829561970125"/>
    <n v="1.2351210061664541"/>
  </r>
  <r>
    <s v="537315850"/>
    <s v="720000720328"/>
    <s v="iHerb_OA CZN6870"/>
    <s v="Доставлен"/>
    <d v="2025-06-27T00:00:00"/>
    <x v="36"/>
    <s v="Витамины"/>
    <s v="FOA-66074"/>
    <x v="171"/>
    <x v="1617"/>
    <n v="15.83"/>
    <n v="-9.34"/>
    <n v="-0.58133578926120311"/>
    <n v="0"/>
    <n v="0.15523709180996903"/>
    <n v="542.4393485062576"/>
    <n v="2000"/>
    <x v="853"/>
    <s v="Любовь Виталий"/>
    <s v="2025 11"/>
    <n v="1457.5606514937424"/>
    <n v="2.6870481566418443"/>
  </r>
  <r>
    <s v="537315850"/>
    <s v="720000720328"/>
    <s v="iHerb_OA CZN6870"/>
    <s v="Доставлен"/>
    <d v="2025-06-27T00:00:00"/>
    <x v="36"/>
    <s v="Витамины"/>
    <s v="NFS-01683"/>
    <x v="23"/>
    <x v="111"/>
    <n v="6.07"/>
    <n v="-1.21"/>
    <n v="-0.43533003633427536"/>
    <n v="0"/>
    <n v="0.11624842314275032"/>
    <n v="406.20265542995571"/>
    <n v="1100"/>
    <x v="481"/>
    <m/>
    <s v="2025 07"/>
    <n v="693.79734457004429"/>
    <n v="1.7080079002331399"/>
  </r>
  <r>
    <s v="537306827"/>
    <s v="720000719857"/>
    <s v="iHerb_AV CYG0792"/>
    <s v="Доставлен"/>
    <d v="2025-06-27T00:00:00"/>
    <x v="36"/>
    <s v="Витамины"/>
    <s v="NCS-67580"/>
    <x v="217"/>
    <x v="1288"/>
    <n v="17.57"/>
    <n v="-3.51"/>
    <n v="-2.7319906844876471"/>
    <n v="-2.0231330224356034E-15"/>
    <n v="0.33309125361673525"/>
    <n v="1056.6141251518836"/>
    <n v="2600"/>
    <x v="481"/>
    <s v="Татьяна Бригантина"/>
    <s v="2025 07"/>
    <n v="1543.3858748481164"/>
    <n v="1.4606901782864785"/>
  </r>
  <r>
    <s v="537306827"/>
    <s v="720000719857"/>
    <s v="iHerb_AV CYG0792"/>
    <s v="Доставлен"/>
    <d v="2025-06-27T00:00:00"/>
    <x v="36"/>
    <s v="Витамины"/>
    <s v="NCS-67527"/>
    <x v="217"/>
    <x v="1436"/>
    <n v="27.93"/>
    <n v="-5.59"/>
    <n v="-4.3408728230052658"/>
    <n v="-3.2145655562739241E-15"/>
    <n v="0.52925025645788504"/>
    <n v="1678.8591433778856"/>
    <n v="3000"/>
    <x v="826"/>
    <s v="Римма Омск"/>
    <s v="2025 07"/>
    <n v="1321.1408566221144"/>
    <n v="0.7869277549776823"/>
  </r>
  <r>
    <s v="537306827"/>
    <s v="720000719857"/>
    <s v="iHerb_AV CYG0792"/>
    <s v="Доставлен"/>
    <d v="2025-06-27T00:00:00"/>
    <x v="36"/>
    <s v="Витамины"/>
    <s v="CGN-01752"/>
    <x v="1"/>
    <x v="1618"/>
    <n v="36.799999999999997"/>
    <n v="-7.36"/>
    <n v="-5.7204698258404205"/>
    <n v="-4.2362045647584741E-15"/>
    <n v="0.69745423232408854"/>
    <n v="2212.4267314702306"/>
    <n v="3800"/>
    <x v="826"/>
    <m/>
    <s v="2025 07"/>
    <n v="1587.5732685297694"/>
    <n v="0.71757100289363007"/>
  </r>
  <r>
    <s v="537306827"/>
    <s v="720000719857"/>
    <s v="iHerb_AV CYG0792"/>
    <s v="Доставлен"/>
    <d v="2025-06-27T00:00:00"/>
    <x v="36"/>
    <s v="Витамины"/>
    <s v="CEN-22675"/>
    <x v="2"/>
    <x v="2"/>
    <n v="9.76"/>
    <n v="-1.95"/>
    <n v="-1.5175567031186714"/>
    <n v="-1.1238029093330056E-15"/>
    <n v="0.18502437345282377"/>
    <n v="586.92434690157961"/>
    <n v="1700"/>
    <x v="826"/>
    <s v="Татьяна Леонидовна"/>
    <s v="2025 07"/>
    <n v="1113.0756530984204"/>
    <n v="1.8964550695067184"/>
  </r>
  <r>
    <s v="537306827"/>
    <s v="720000719857"/>
    <s v="iHerb_AV CYG0792"/>
    <s v="Доставлен"/>
    <d v="2025-06-27T00:00:00"/>
    <x v="36"/>
    <s v="Витамины"/>
    <s v="NAP-01480"/>
    <x v="11"/>
    <x v="488"/>
    <n v="10.4"/>
    <n v="-2.08"/>
    <n v="-1.6166545159983801"/>
    <n v="-1.1971882465621777E-15"/>
    <n v="0.19710663087419894"/>
    <n v="625.25103280680435"/>
    <n v="1600"/>
    <x v="826"/>
    <s v="Надежда Витамины"/>
    <s v="2025 07"/>
    <n v="974.74896719319565"/>
    <n v="1.558972182448809"/>
  </r>
  <r>
    <s v="537306827"/>
    <s v="720000719857"/>
    <s v="iHerb_AV CYG0792"/>
    <s v="Доставлен"/>
    <d v="2025-06-27T00:00:00"/>
    <x v="36"/>
    <s v="Витамины"/>
    <s v="PAR-77891"/>
    <x v="44"/>
    <x v="1619"/>
    <n v="12.06"/>
    <n v="-2.41"/>
    <n v="-1.8750860672336978"/>
    <n v="-1.3885656946304104E-15"/>
    <n v="0.2286152629730793"/>
    <n v="725.20101761846911"/>
    <n v="1700"/>
    <x v="826"/>
    <s v="Надежда Витамины"/>
    <s v="2025 07"/>
    <n v="974.79898238153089"/>
    <n v="1.3441776262018101"/>
  </r>
  <r>
    <s v="537306827"/>
    <s v="720000719857"/>
    <s v="iHerb_AV CYG0792"/>
    <s v="Доставлен"/>
    <d v="2025-06-27T00:00:00"/>
    <x v="36"/>
    <s v="Витамины"/>
    <s v="PAR-77812"/>
    <x v="44"/>
    <x v="1620"/>
    <n v="12.06"/>
    <n v="-2.41"/>
    <n v="-1.8750860672336978"/>
    <n v="-1.3885656946304104E-15"/>
    <n v="0.2286152629730793"/>
    <n v="725.20101761846911"/>
    <n v="1700"/>
    <x v="826"/>
    <s v="Надежда Витамины"/>
    <s v="2025 07"/>
    <n v="974.79898238153089"/>
    <n v="1.3441776262018101"/>
  </r>
  <r>
    <s v="537306827"/>
    <s v="720000719857"/>
    <s v="iHerb_AV CYG0792"/>
    <s v="Доставлен"/>
    <d v="2025-06-27T00:00:00"/>
    <x v="36"/>
    <s v="Витамины"/>
    <s v="PAR-77720"/>
    <x v="44"/>
    <x v="1621"/>
    <n v="15.08"/>
    <n v="-3.02"/>
    <n v="-2.3433718104495749"/>
    <n v="-1.735347386242772E-15"/>
    <n v="0.28570985196428356"/>
    <n v="906.31339611178612"/>
    <n v="2000"/>
    <x v="826"/>
    <s v="Надежда Витамины"/>
    <s v="2025 07"/>
    <n v="1093.686603888214"/>
    <n v="1.2067421805528702"/>
  </r>
  <r>
    <s v="537306827"/>
    <s v="720000719857"/>
    <s v="iHerb_AV CYG0792"/>
    <s v="Доставлен"/>
    <d v="2025-06-27T00:00:00"/>
    <x v="36"/>
    <s v="Витамины"/>
    <s v="BLB-00601"/>
    <x v="186"/>
    <x v="1587"/>
    <n v="45.08"/>
    <n v="-9.0150000000000006"/>
    <n v="-7.0077698460915352"/>
    <n v="-5.1894944846472275E-15"/>
    <n v="0.85440512529783463"/>
    <n v="2710.2978964155527"/>
    <n v="4800"/>
    <x v="826"/>
    <s v="Любовь Виталий"/>
    <s v="2025 07"/>
    <n v="2089.7021035844473"/>
    <n v="0.77102303268881944"/>
  </r>
  <r>
    <s v="537306827"/>
    <s v="720000719857"/>
    <s v="iHerb_AV CYG0792"/>
    <s v="Доставлен"/>
    <d v="2025-06-27T00:00:00"/>
    <x v="36"/>
    <s v="Витамины"/>
    <s v="BLB-00601"/>
    <x v="186"/>
    <x v="1587"/>
    <n v="45.08"/>
    <n v="-9.0150000000000006"/>
    <n v="-7.0077698460915352"/>
    <n v="-5.1894944846472275E-15"/>
    <n v="0.85440512529783463"/>
    <n v="2710.2978964155527"/>
    <n v="4800"/>
    <x v="826"/>
    <s v="Надежда Витамины"/>
    <s v="2025 07"/>
    <n v="2089.7021035844473"/>
    <n v="0.77102303268881944"/>
  </r>
  <r>
    <s v="537306827"/>
    <s v="720000719857"/>
    <s v="iHerb_AV CYG0792"/>
    <s v="Доставлен"/>
    <d v="2025-06-27T00:00:00"/>
    <x v="36"/>
    <s v="Витамины"/>
    <s v="PAR-77872"/>
    <x v="44"/>
    <x v="1437"/>
    <n v="15.08"/>
    <n v="-3.02"/>
    <n v="-2.3433718104495749"/>
    <n v="-1.735347386242772E-15"/>
    <n v="0.28570985196428356"/>
    <n v="906.31339611178612"/>
    <n v="2100"/>
    <x v="481"/>
    <m/>
    <s v="2025 07"/>
    <n v="1193.686603888214"/>
    <n v="1.3170792895805137"/>
  </r>
  <r>
    <s v="537352737"/>
    <s v="720000722201"/>
    <s v="iHerb_MH DLE7202"/>
    <s v="Доставлен"/>
    <d v="2025-06-28T00:00:00"/>
    <x v="36"/>
    <s v="Витамины"/>
    <s v="CGN-01848"/>
    <x v="1"/>
    <x v="1622"/>
    <n v="32.58"/>
    <n v="-9.77"/>
    <n v="-1.9250716445379259"/>
    <n v="4.2612014730348059E-15"/>
    <n v="0.71098941391257486"/>
    <n v="1930.8843413960826"/>
    <n v="3500"/>
    <x v="628"/>
    <s v="Оксана Черноморская"/>
    <s v="2025 08"/>
    <n v="1569.1156586039174"/>
    <n v="0.81264093605389309"/>
  </r>
  <r>
    <s v="537352737"/>
    <s v="720000722201"/>
    <s v="iHerb_MH DLE7202"/>
    <s v="Доставлен"/>
    <d v="2025-06-28T00:00:00"/>
    <x v="36"/>
    <s v="Витамины"/>
    <s v="CGN-02335"/>
    <x v="1"/>
    <x v="1623"/>
    <n v="44.62"/>
    <n v="-13.39"/>
    <n v="-2.6356855527803336"/>
    <n v="5.834165804597852E-15"/>
    <n v="0.97344144657999621"/>
    <n v="2643.6439273037995"/>
    <n v="4600"/>
    <x v="481"/>
    <s v="Валентина Сычева"/>
    <s v="2025 07"/>
    <n v="1956.3560726962005"/>
    <n v="0.74002253196460144"/>
  </r>
  <r>
    <s v="537352737"/>
    <s v="720000722201"/>
    <s v="iHerb_MH DLE7202"/>
    <s v="Доставлен"/>
    <d v="2025-06-28T00:00:00"/>
    <x v="36"/>
    <s v="Витамины"/>
    <s v="CGN-01752"/>
    <x v="1"/>
    <x v="1618"/>
    <n v="36.799999999999997"/>
    <n v="-11.04"/>
    <n v="-2.1740397002760616"/>
    <n v="4.8122994276798163E-15"/>
    <n v="0.8029411355715883"/>
    <n v="2180.6041488103065"/>
    <m/>
    <x v="20"/>
    <m/>
    <s v=""/>
    <n v="-2180.6041488103065"/>
    <s v=""/>
  </r>
  <r>
    <s v="537352737"/>
    <s v="720000722201"/>
    <s v="iHerb_MH DLE7202"/>
    <s v="Доставлен"/>
    <d v="2025-06-28T00:00:00"/>
    <x v="36"/>
    <s v="Витамины"/>
    <s v="CGN-02060"/>
    <x v="1"/>
    <x v="862"/>
    <n v="48.06"/>
    <n v="-14.42"/>
    <n v="-2.8390797949257265"/>
    <n v="6.2843848116129284E-15"/>
    <n v="1.0485613276641395"/>
    <n v="2847.6523123438942"/>
    <n v="2847.65"/>
    <x v="20"/>
    <m/>
    <s v=""/>
    <n v="-2.3123438941183849E-3"/>
    <n v="-8.1201763434915326E-7"/>
  </r>
  <r>
    <s v="537352737"/>
    <s v="720000722201"/>
    <s v="iHerb_MH DLE7202"/>
    <s v="Доставлен"/>
    <d v="2025-06-28T00:00:00"/>
    <x v="36"/>
    <s v="Витамины"/>
    <s v="CGN-01033"/>
    <x v="1"/>
    <x v="1"/>
    <n v="21.06"/>
    <n v="-6.32"/>
    <n v="-1.243996319179703"/>
    <n v="2.7536216445652363E-15"/>
    <n v="0.45944690754368056"/>
    <n v="1247.7525292493758"/>
    <n v="2400"/>
    <x v="658"/>
    <m/>
    <s v="2025 09"/>
    <n v="1152.2474707506242"/>
    <n v="0.92345833307490421"/>
  </r>
  <r>
    <s v="537352737"/>
    <s v="720000722201"/>
    <s v="iHerb_MH DLE7202"/>
    <s v="Доставлен"/>
    <d v="2025-06-28T00:00:00"/>
    <x v="36"/>
    <s v="Витамины"/>
    <s v="CGN-01033"/>
    <x v="1"/>
    <x v="1"/>
    <n v="21.06"/>
    <n v="-6.32"/>
    <n v="-1.243996319179703"/>
    <n v="2.7536216445652363E-15"/>
    <n v="0.45944690754368056"/>
    <n v="1247.7525292493758"/>
    <n v="2300"/>
    <x v="795"/>
    <m/>
    <s v="2025 09"/>
    <n v="1052.2474707506242"/>
    <n v="0.84331423586344978"/>
  </r>
  <r>
    <s v="537352737"/>
    <s v="720000722201"/>
    <s v="iHerb_MH DLE7202"/>
    <s v="Доставлен"/>
    <d v="2025-06-28T00:00:00"/>
    <x v="36"/>
    <s v="Витамины"/>
    <s v="CGN-01353"/>
    <x v="1"/>
    <x v="1012"/>
    <n v="13.17"/>
    <n v="-3.95"/>
    <n v="-0.77813066912054685"/>
    <n v="1.7224146243481329E-15"/>
    <n v="0.28738809277834021"/>
    <n v="780.48021164716704"/>
    <m/>
    <x v="20"/>
    <m/>
    <s v=""/>
    <n v="-780.48021164716704"/>
    <s v=""/>
  </r>
  <r>
    <s v="537093069"/>
    <s v="720000713931"/>
    <s v="iHerb_MH DLE7202"/>
    <s v="Доставлен"/>
    <d v="2025-06-19T00:00:00"/>
    <x v="36"/>
    <s v="Витамины"/>
    <s v="FOA-66053"/>
    <x v="171"/>
    <x v="1142"/>
    <n v="12.16"/>
    <n v="-2.4300000000000002"/>
    <n v="-1.005667468775066"/>
    <n v="0"/>
    <n v="0.41894499686975134"/>
    <n v="819.20553359306382"/>
    <n v="1800"/>
    <x v="778"/>
    <s v="Татьяна Бригантина"/>
    <s v="2025 07"/>
    <n v="980.79446640693618"/>
    <n v="1.1972507828470564"/>
  </r>
  <r>
    <s v="537093069"/>
    <s v="720000713931"/>
    <s v="iHerb_MH DLE7202"/>
    <s v="Доставлен"/>
    <d v="2025-06-19T00:00:00"/>
    <x v="36"/>
    <s v="Витамины"/>
    <s v="BLB-00204"/>
    <x v="186"/>
    <x v="1531"/>
    <n v="31.43"/>
    <n v="-7.86"/>
    <n v="-2.4361338375157557"/>
    <n v="0"/>
    <n v="1.014854427155194"/>
    <n v="1984.4475258775451"/>
    <n v="1984.45"/>
    <x v="20"/>
    <m/>
    <s v=""/>
    <n v="2.4741224549416074E-3"/>
    <n v="1.2467563000173171E-6"/>
  </r>
  <r>
    <s v="537093069"/>
    <s v="720000713931"/>
    <s v="iHerb_MH DLE7202"/>
    <s v="Доставлен"/>
    <d v="2025-06-19T00:00:00"/>
    <x v="36"/>
    <s v="Витамины"/>
    <s v="BRM-03391"/>
    <x v="126"/>
    <x v="442"/>
    <n v="6.29"/>
    <n v="-0.63"/>
    <n v="-0.58500286467285434"/>
    <n v="0"/>
    <n v="0.24370284504448023"/>
    <n v="476.53682632443383"/>
    <n v="1100"/>
    <x v="855"/>
    <s v="Римма Омск"/>
    <s v="2025 07"/>
    <n v="623.46317367556617"/>
    <n v="1.3083210766403655"/>
  </r>
  <r>
    <s v="537093069"/>
    <s v="720000713931"/>
    <s v="iHerb_MH DLE7202"/>
    <s v="Доставлен"/>
    <d v="2025-06-19T00:00:00"/>
    <x v="36"/>
    <s v="Витамины"/>
    <s v="BRM-03391"/>
    <x v="126"/>
    <x v="442"/>
    <n v="6.29"/>
    <n v="-0.63"/>
    <n v="-0.58500286467285434"/>
    <n v="0"/>
    <n v="0.24370284504448023"/>
    <n v="476.53682632443383"/>
    <n v="1100"/>
    <x v="855"/>
    <s v="Римма Омск"/>
    <s v="2025 07"/>
    <n v="623.46317367556617"/>
    <n v="1.3083210766403655"/>
  </r>
  <r>
    <s v="537093069"/>
    <s v="720000713931"/>
    <s v="iHerb_MH DLE7202"/>
    <s v="Доставлен"/>
    <d v="2025-06-19T00:00:00"/>
    <x v="36"/>
    <s v="Витамины"/>
    <s v="CGN-01032"/>
    <x v="1"/>
    <x v="145"/>
    <n v="45.22"/>
    <n v="-13.57"/>
    <n v="-3.2712616019250595"/>
    <n v="0"/>
    <n v="1.3627553084201056"/>
    <n v="2664.7333132806239"/>
    <n v="4900"/>
    <x v="692"/>
    <m/>
    <s v="2025 07"/>
    <n v="2235.2666867193761"/>
    <n v="0.83883316787430406"/>
  </r>
  <r>
    <s v="537093069"/>
    <s v="720000713931"/>
    <s v="iHerb_MH DLE7202"/>
    <s v="Доставлен"/>
    <d v="2025-06-19T00:00:00"/>
    <x v="36"/>
    <s v="Витамины"/>
    <s v="CGN-01033"/>
    <x v="1"/>
    <x v="1"/>
    <n v="21.06"/>
    <n v="-6.3166666666666664"/>
    <n v="-1.523832550322753"/>
    <n v="0"/>
    <n v="0.63480428953576895"/>
    <n v="1241.2970452490993"/>
    <n v="2300"/>
    <x v="659"/>
    <s v="Аня Мирный"/>
    <s v="2025 09"/>
    <n v="1058.7029547509007"/>
    <n v="0.8529005678398629"/>
  </r>
  <r>
    <s v="537093069"/>
    <s v="720000713931"/>
    <s v="iHerb_MH DLE7202"/>
    <s v="Доставлен"/>
    <d v="2025-06-19T00:00:00"/>
    <x v="36"/>
    <s v="Витамины"/>
    <s v="CGN-01033"/>
    <x v="1"/>
    <x v="1"/>
    <n v="21.06"/>
    <n v="-6.3166666666666664"/>
    <n v="-1.523832550322753"/>
    <n v="0"/>
    <n v="0.63480428953576895"/>
    <n v="1241.2970452490993"/>
    <n v="2300"/>
    <x v="659"/>
    <s v="Аня Мирный"/>
    <s v="2025 09"/>
    <n v="1058.7029547509007"/>
    <n v="0.8529005678398629"/>
  </r>
  <r>
    <s v="537093069"/>
    <s v="720000713931"/>
    <s v="iHerb_MH DLE7202"/>
    <s v="Доставлен"/>
    <d v="2025-06-19T00:00:00"/>
    <x v="36"/>
    <s v="Витамины"/>
    <s v="CGN-01033"/>
    <x v="1"/>
    <x v="1"/>
    <n v="21.06"/>
    <n v="-6.3166666666666664"/>
    <n v="-1.523832550322753"/>
    <n v="0"/>
    <n v="0.63480428953576895"/>
    <n v="1241.2970452490993"/>
    <n v="2350"/>
    <x v="319"/>
    <s v="Татьяна от Елены б-р Шевченко"/>
    <s v="2025 10"/>
    <n v="1108.7029547509007"/>
    <n v="0.89318101496681646"/>
  </r>
  <r>
    <s v="537093069"/>
    <s v="720000713931"/>
    <s v="iHerb_MH DLE7202"/>
    <s v="Доставлен"/>
    <d v="2025-06-19T00:00:00"/>
    <x v="36"/>
    <s v="Витамины"/>
    <s v="CGN-01065"/>
    <x v="1"/>
    <x v="14"/>
    <n v="5.83"/>
    <n v="-1.75"/>
    <n v="-0.42169817806806464"/>
    <n v="0"/>
    <n v="0.17567272222287619"/>
    <n v="343.51064512432686"/>
    <n v="1000"/>
    <x v="856"/>
    <s v="Татьяна Бригантина"/>
    <s v="2025 12"/>
    <n v="656.48935487567314"/>
    <n v="1.9111179353352203"/>
  </r>
  <r>
    <s v="537093069"/>
    <s v="720000713931"/>
    <s v="iHerb_MH DLE7202"/>
    <s v="Доставлен"/>
    <d v="2025-06-19T00:00:00"/>
    <x v="36"/>
    <s v="Витамины"/>
    <s v="CGN-00931"/>
    <x v="1"/>
    <x v="24"/>
    <n v="5.7"/>
    <n v="-1.71"/>
    <n v="-0.41239601237538676"/>
    <n v="0"/>
    <n v="0.17179758864443043"/>
    <n v="335.93320442305492"/>
    <n v="1000"/>
    <x v="778"/>
    <s v="Наталья Вельвет"/>
    <s v="2025 07"/>
    <n v="664.06679557694508"/>
    <n v="1.9767822496660903"/>
  </r>
  <r>
    <s v="537093069"/>
    <s v="720000713931"/>
    <s v="iHerb_MH DLE7202"/>
    <s v="Доставлен"/>
    <d v="2025-06-19T00:00:00"/>
    <x v="36"/>
    <s v="Витамины"/>
    <s v="CAR-01543"/>
    <x v="154"/>
    <x v="794"/>
    <n v="24.74"/>
    <n v="-2.4700000000000002"/>
    <n v="-2.3017692219548529"/>
    <n v="0"/>
    <n v="0.95888027546653254"/>
    <n v="1874.9956046369507"/>
    <n v="3200"/>
    <x v="658"/>
    <s v="Татьяна Вахтангова"/>
    <s v="2025 09"/>
    <n v="1325.0043953630493"/>
    <n v="0.70667066743316742"/>
  </r>
  <r>
    <s v="537093069"/>
    <s v="720000713931"/>
    <s v="iHerb_MH DLE7202"/>
    <s v="Доставлен"/>
    <d v="2025-06-19T00:00:00"/>
    <x v="36"/>
    <s v="Витамины"/>
    <s v="CGN-02332"/>
    <x v="1"/>
    <x v="1624"/>
    <n v="10.32"/>
    <n v="-3.0950000000000002"/>
    <n v="-0.74675719032886445"/>
    <n v="0"/>
    <n v="0.31108711226967656"/>
    <n v="608.30010074099539"/>
    <n v="1600"/>
    <x v="857"/>
    <m/>
    <s v="2025 08"/>
    <n v="991.69989925900461"/>
    <n v="1.6302806756911172"/>
  </r>
  <r>
    <s v="537093069"/>
    <s v="720000713931"/>
    <s v="iHerb_MH DLE7202"/>
    <s v="Доставлен"/>
    <d v="2025-06-19T00:00:00"/>
    <x v="36"/>
    <s v="Витамины"/>
    <s v="CGN-02332"/>
    <x v="1"/>
    <x v="1624"/>
    <n v="10.32"/>
    <n v="-3.0950000000000002"/>
    <n v="-0.74675719032886445"/>
    <n v="0"/>
    <n v="0.31108711226967656"/>
    <n v="608.30010074099539"/>
    <n v="1600"/>
    <x v="858"/>
    <s v="Александр Космос"/>
    <s v="2025 12"/>
    <n v="991.69989925900461"/>
    <n v="1.6302806756911172"/>
  </r>
  <r>
    <s v="537093069"/>
    <s v="720000713931"/>
    <s v="iHerb_MH DLE7202"/>
    <s v="Доставлен"/>
    <d v="2025-06-19T00:00:00"/>
    <x v="36"/>
    <s v="Косметика"/>
    <s v="RAD-00536"/>
    <x v="323"/>
    <x v="1625"/>
    <n v="12.33"/>
    <n v="-3.08"/>
    <n v="-0.95605591841411719"/>
    <n v="0"/>
    <n v="0.39827761778470711"/>
    <n v="778.79251651961351"/>
    <m/>
    <x v="20"/>
    <m/>
    <s v=""/>
    <n v="-778.79251651961351"/>
    <s v=""/>
  </r>
  <r>
    <s v="537332189"/>
    <s v="722500474002"/>
    <s v="iHerb_VP DFD1605"/>
    <s v="Доставлен"/>
    <d v="2025-06-28T00:00:00"/>
    <x v="36"/>
    <s v="Витамины"/>
    <s v="PAR-77882"/>
    <x v="44"/>
    <x v="136"/>
    <n v="30.15"/>
    <n v="-6.03"/>
    <n v="0"/>
    <n v="0"/>
    <n v="0.69486613800867925"/>
    <n v="2199.9848948858503"/>
    <n v="3300"/>
    <x v="826"/>
    <s v="Любовь Виталий"/>
    <s v="2025 07"/>
    <n v="1100.0151051141497"/>
    <n v="0.50001029901217831"/>
  </r>
  <r>
    <s v="537332189"/>
    <s v="722500474002"/>
    <s v="iHerb_VP DFD1605"/>
    <s v="Доставлен"/>
    <d v="2025-06-28T00:00:00"/>
    <x v="36"/>
    <s v="Витамины"/>
    <s v="PAR-77882"/>
    <x v="44"/>
    <x v="136"/>
    <n v="30.15"/>
    <n v="-6.03"/>
    <n v="0"/>
    <n v="0"/>
    <n v="0.69486613800867925"/>
    <n v="2199.9848948858503"/>
    <n v="3300"/>
    <x v="826"/>
    <s v="Любовь Виталий"/>
    <s v="2025 07"/>
    <n v="1100.0151051141497"/>
    <n v="0.50001029901217831"/>
  </r>
  <r>
    <s v="537332189"/>
    <s v="722500474002"/>
    <s v="iHerb_VP DFD1605"/>
    <s v="Доставлен"/>
    <d v="2025-06-28T00:00:00"/>
    <x v="36"/>
    <s v="Витамины"/>
    <s v="BLB-00208"/>
    <x v="186"/>
    <x v="1448"/>
    <n v="31.21"/>
    <n v="-6.2433333333333332"/>
    <n v="0"/>
    <n v="0"/>
    <n v="0.71925751432905027"/>
    <n v="2277.2093508423191"/>
    <n v="3400"/>
    <x v="826"/>
    <s v="Любовь Виталий"/>
    <s v="2025 07"/>
    <n v="1122.7906491576809"/>
    <n v="0.49305552374548739"/>
  </r>
  <r>
    <s v="537332189"/>
    <s v="722500474002"/>
    <s v="iHerb_VP DFD1605"/>
    <s v="Доставлен"/>
    <d v="2025-06-28T00:00:00"/>
    <x v="36"/>
    <s v="Витамины"/>
    <s v="BLB-00208"/>
    <x v="186"/>
    <x v="1448"/>
    <n v="31.21"/>
    <n v="-6.2433333333333332"/>
    <n v="0"/>
    <n v="0"/>
    <n v="0.71925751432905027"/>
    <n v="2277.2093508423191"/>
    <n v="3400"/>
    <x v="826"/>
    <s v="Любовь Виталий"/>
    <s v="2025 07"/>
    <n v="1122.7906491576809"/>
    <n v="0.49305552374548739"/>
  </r>
  <r>
    <s v="537332189"/>
    <s v="722500474002"/>
    <s v="iHerb_VP DFD1605"/>
    <s v="Доставлен"/>
    <d v="2025-06-28T00:00:00"/>
    <x v="36"/>
    <s v="Витамины"/>
    <s v="BLB-00208"/>
    <x v="186"/>
    <x v="1448"/>
    <n v="31.21"/>
    <n v="-6.2433333333333332"/>
    <n v="0"/>
    <n v="0"/>
    <n v="0.71925751432905027"/>
    <n v="2277.2093508423191"/>
    <n v="3500"/>
    <x v="842"/>
    <m/>
    <s v="2025 07"/>
    <n v="1222.7906491576809"/>
    <n v="0.53696892150270759"/>
  </r>
  <r>
    <s v="537332189"/>
    <s v="722500474002"/>
    <s v="iHerb_VP DFD1605"/>
    <s v="Доставлен"/>
    <d v="2025-06-28T00:00:00"/>
    <x v="36"/>
    <s v="Витамины"/>
    <s v="NOW-00420"/>
    <x v="3"/>
    <x v="515"/>
    <n v="13.76"/>
    <n v="-2.75"/>
    <n v="0"/>
    <n v="0"/>
    <n v="0.3171839212054543"/>
    <n v="1004.2219607252576"/>
    <n v="1900"/>
    <x v="678"/>
    <m/>
    <s v="2025 08"/>
    <n v="895.77803927474235"/>
    <n v="0.89201199964577937"/>
  </r>
  <r>
    <s v="537332189"/>
    <s v="722500474002"/>
    <s v="iHerb_VP DFD1605"/>
    <s v="Доставлен"/>
    <d v="2025-06-28T00:00:00"/>
    <x v="36"/>
    <s v="Витамины"/>
    <s v="NOW-00420"/>
    <x v="3"/>
    <x v="515"/>
    <n v="13.76"/>
    <n v="-2.75"/>
    <n v="0"/>
    <n v="0"/>
    <n v="0.3171839212054543"/>
    <n v="1004.2219607252576"/>
    <n v="2000"/>
    <x v="859"/>
    <m/>
    <s v="2025 08"/>
    <n v="995.77803927474235"/>
    <n v="0.99159157857450453"/>
  </r>
  <r>
    <s v="537332189"/>
    <s v="722500474002"/>
    <s v="iHerb_VP DFD1605"/>
    <s v="Доставлен"/>
    <d v="2025-06-28T00:00:00"/>
    <x v="36"/>
    <s v="Витамины"/>
    <s v="NOW-01552"/>
    <x v="3"/>
    <x v="514"/>
    <n v="13.03"/>
    <n v="-2.605"/>
    <n v="0"/>
    <n v="0"/>
    <n v="0.30033082457464683"/>
    <n v="950.86411812541417"/>
    <n v="2000"/>
    <x v="860"/>
    <m/>
    <s v="2025 09"/>
    <n v="1049.1358818745857"/>
    <n v="1.1033499549261674"/>
  </r>
  <r>
    <s v="537332189"/>
    <s v="722500474002"/>
    <s v="iHerb_VP DFD1605"/>
    <s v="Доставлен"/>
    <d v="2025-06-28T00:00:00"/>
    <x v="36"/>
    <s v="Витамины"/>
    <s v="NOW-01552"/>
    <x v="3"/>
    <x v="514"/>
    <n v="13.03"/>
    <n v="-2.605"/>
    <n v="0"/>
    <n v="0"/>
    <n v="0.30033082457464683"/>
    <n v="950.86411812541417"/>
    <m/>
    <x v="20"/>
    <m/>
    <s v=""/>
    <n v="-950.86411812541417"/>
    <s v=""/>
  </r>
  <r>
    <s v="537137716"/>
    <s v="720000716385"/>
    <s v="iHerb_VP DFD1605"/>
    <s v="Доставлен"/>
    <d v="2025-06-21T00:00:00"/>
    <x v="36"/>
    <s v="Витамины"/>
    <s v="CGN-01848"/>
    <x v="1"/>
    <x v="1622"/>
    <n v="32.58"/>
    <n v="-19.71"/>
    <n v="-1.3711740235729137"/>
    <n v="-4.2268014833522002E-15"/>
    <n v="0.35179956446325111"/>
    <n v="1062.0464091749475"/>
    <n v="3100"/>
    <x v="845"/>
    <s v="Лариса Западный"/>
    <s v="2025 11"/>
    <n v="2037.9535908250525"/>
    <n v="1.9188931606183199"/>
  </r>
  <r>
    <s v="537137716"/>
    <s v="720000716385"/>
    <s v="iHerb_VP DFD1605"/>
    <s v="Доставлен"/>
    <d v="2025-06-21T00:00:00"/>
    <x v="36"/>
    <s v="Витамины"/>
    <s v="FBS-00016"/>
    <x v="20"/>
    <x v="1626"/>
    <n v="11.42"/>
    <n v="-1.1399999999999999"/>
    <n v="-1.0952345736075799"/>
    <n v="-3.3761864218228923E-15"/>
    <n v="0.28100229391470255"/>
    <n v="848.31678992373452"/>
    <n v="1600"/>
    <x v="481"/>
    <s v="Татьяна Бригантина"/>
    <s v="2025 07"/>
    <n v="751.68321007626548"/>
    <n v="0.88608786128569184"/>
  </r>
  <r>
    <s v="537137716"/>
    <s v="720000716385"/>
    <s v="iHerb_VP DFD1605"/>
    <s v="Доставлен"/>
    <d v="2025-06-21T00:00:00"/>
    <x v="36"/>
    <s v="Витамины"/>
    <s v="FBS-00016"/>
    <x v="20"/>
    <x v="1626"/>
    <n v="11.42"/>
    <n v="-1.1399999999999999"/>
    <n v="-1.0952345736075799"/>
    <n v="-3.3761864218228923E-15"/>
    <n v="0.28100229391470255"/>
    <n v="848.31678992373452"/>
    <n v="1600"/>
    <x v="481"/>
    <s v="Татьяна Бригантина"/>
    <s v="2025 07"/>
    <n v="751.68321007626548"/>
    <n v="0.88608786128569184"/>
  </r>
  <r>
    <s v="537137716"/>
    <s v="720000716385"/>
    <s v="iHerb_VP DFD1605"/>
    <s v="Доставлен"/>
    <d v="2025-06-21T00:00:00"/>
    <x v="36"/>
    <s v="Витамины"/>
    <s v="SPN-02509"/>
    <x v="45"/>
    <x v="1627"/>
    <n v="49.3"/>
    <n v="-24.65"/>
    <n v="-2.6262190894384094"/>
    <n v="-8.095622110693998E-15"/>
    <n v="0.67380413861842581"/>
    <n v="2034.1448318696553"/>
    <n v="5200"/>
    <x v="814"/>
    <m/>
    <s v="2025 09"/>
    <n v="3165.8551681303447"/>
    <n v="1.556356813207098"/>
  </r>
  <r>
    <s v="537137716"/>
    <s v="720000716385"/>
    <s v="iHerb_VP DFD1605"/>
    <s v="Доставлен"/>
    <d v="2025-06-21T00:00:00"/>
    <x v="36"/>
    <s v="Витамины"/>
    <s v="SPN-02505"/>
    <x v="45"/>
    <x v="1628"/>
    <n v="34.94"/>
    <n v="-17.47"/>
    <n v="-1.8612595331638544"/>
    <n v="-5.7375463802768414E-15"/>
    <n v="0.47753989053403251"/>
    <n v="1441.6434163392646"/>
    <n v="3400"/>
    <x v="861"/>
    <m/>
    <s v="2026 02"/>
    <n v="1958.3565836607354"/>
    <n v="1.358419538053002"/>
  </r>
  <r>
    <s v="537137716"/>
    <s v="720000716385"/>
    <s v="iHerb_VP DFD1605"/>
    <s v="Доставлен"/>
    <d v="2025-06-21T00:00:00"/>
    <x v="36"/>
    <s v="Витамины"/>
    <s v="SPN-02507"/>
    <x v="45"/>
    <x v="1606"/>
    <n v="57.2"/>
    <n v="-28.6"/>
    <n v="-3.0470533857175868"/>
    <n v="-9.3928921852271137E-15"/>
    <n v="0.78177680991833609"/>
    <n v="2360.1031314998841"/>
    <n v="5500"/>
    <x v="862"/>
    <m/>
    <s v="2025 09"/>
    <n v="3139.8968685001159"/>
    <n v="1.3304066363001097"/>
  </r>
  <r>
    <s v="537137716"/>
    <s v="720000716385"/>
    <s v="iHerb_VP DFD1605"/>
    <s v="Доставлен"/>
    <d v="2025-06-21T00:00:00"/>
    <x v="36"/>
    <s v="Витамины"/>
    <s v="MCL-21045"/>
    <x v="286"/>
    <x v="1545"/>
    <n v="33.130000000000003"/>
    <n v="-3.31"/>
    <n v="-3.1770325860873583"/>
    <n v="-9.7935680057158241E-15"/>
    <n v="0.81512533118058683"/>
    <n v="2460.7788594869421"/>
    <n v="3450"/>
    <x v="826"/>
    <s v="Оксана Черноморская"/>
    <s v="2025 07"/>
    <n v="989.22114051305789"/>
    <n v="0.40199513934352665"/>
  </r>
  <r>
    <s v="537137716"/>
    <s v="720000716385"/>
    <s v="iHerb_VP DFD1605"/>
    <s v="Доставлен"/>
    <d v="2025-06-21T00:00:00"/>
    <x v="36"/>
    <s v="Витамины"/>
    <s v="SOR-04355"/>
    <x v="10"/>
    <x v="1629"/>
    <n v="13.12"/>
    <n v="-3.28"/>
    <n v="-1.048356829211925"/>
    <n v="-3.2316803882040138E-15"/>
    <n v="0.26897495837749741"/>
    <n v="812.00751097758246"/>
    <n v="1500"/>
    <x v="826"/>
    <s v="Оксана Черноморская"/>
    <s v="2025 07"/>
    <n v="687.99248902241754"/>
    <n v="0.84727355316472108"/>
  </r>
  <r>
    <s v="537137716"/>
    <s v="720000716385"/>
    <s v="iHerb_VP DFD1605"/>
    <s v="Доставлен"/>
    <d v="2025-06-21T00:00:00"/>
    <x v="36"/>
    <s v="Витамины"/>
    <s v="CGN-02273"/>
    <x v="1"/>
    <x v="1630"/>
    <n v="20.91"/>
    <n v="-6.2750000000000004"/>
    <n v="-1.5592177027963947"/>
    <n v="-4.8064677318461118E-15"/>
    <n v="0.40004558087954006"/>
    <n v="1207.6961304021261"/>
    <n v="2500"/>
    <x v="351"/>
    <m/>
    <s v="2025 09"/>
    <n v="1292.3038695978739"/>
    <n v="1.0700571419133189"/>
  </r>
  <r>
    <s v="537137716"/>
    <s v="720000716385"/>
    <s v="iHerb_VP DFD1605"/>
    <s v="Доставлен"/>
    <d v="2025-06-21T00:00:00"/>
    <x v="36"/>
    <s v="Витамины"/>
    <s v="CGN-02273"/>
    <x v="1"/>
    <x v="1630"/>
    <n v="20.91"/>
    <n v="-6.2750000000000004"/>
    <n v="-1.5592177027963947"/>
    <n v="-4.8064677318461118E-15"/>
    <n v="0.40004558087954006"/>
    <n v="1207.6961304021261"/>
    <n v="2400"/>
    <x v="588"/>
    <m/>
    <s v="2025 10"/>
    <n v="1192.3038695978739"/>
    <n v="0.9872548562367861"/>
  </r>
  <r>
    <s v="4595125096"/>
    <s v="1595032065"/>
    <s v="essens_OA"/>
    <s v="Доставлен"/>
    <d v="2025-05-25T00:00:00"/>
    <x v="35"/>
    <s v="Парфюм"/>
    <s v="w18250"/>
    <x v="232"/>
    <x v="1045"/>
    <n v="1336.65"/>
    <n v="0"/>
    <n v="0"/>
    <n v="0"/>
    <n v="199.13659382413883"/>
    <n v="1535.7865938241389"/>
    <n v="2500"/>
    <x v="863"/>
    <m/>
    <s v="2025 11"/>
    <n v="964.21340617586111"/>
    <n v="0.62783033141014122"/>
  </r>
  <r>
    <s v="4595125096"/>
    <s v="1595032065"/>
    <s v="essens_OA"/>
    <s v="Доставлен"/>
    <d v="2025-05-25T00:00:00"/>
    <x v="35"/>
    <s v="Парфюм"/>
    <s v="m04550"/>
    <x v="232"/>
    <x v="1631"/>
    <n v="1401.39"/>
    <n v="0"/>
    <n v="0"/>
    <n v="0"/>
    <n v="208.78167898792498"/>
    <n v="1610.1716789879251"/>
    <m/>
    <x v="20"/>
    <m/>
    <s v=""/>
    <n v="-1610.1716789879251"/>
    <s v=""/>
  </r>
  <r>
    <s v="4595125096"/>
    <s v="1595032065"/>
    <s v="essens_OA"/>
    <s v="Доставлен"/>
    <d v="2025-05-25T00:00:00"/>
    <x v="35"/>
    <s v="Парфюм"/>
    <s v="sets25"/>
    <x v="232"/>
    <x v="1632"/>
    <n v="456.98"/>
    <n v="0"/>
    <n v="0"/>
    <n v="0"/>
    <n v="68.081727187936224"/>
    <n v="525.06172718793619"/>
    <m/>
    <x v="20"/>
    <m/>
    <s v=""/>
    <n v="-525.06172718793619"/>
    <s v=""/>
  </r>
  <r>
    <s v="4595139440"/>
    <s v="1595049729"/>
    <s v="essens_OA"/>
    <s v="Доставлен"/>
    <d v="2025-06-23T00:00:00"/>
    <x v="36"/>
    <s v="Парфюм"/>
    <s v="w19550"/>
    <x v="232"/>
    <x v="1633"/>
    <n v="1662.6"/>
    <n v="-277.10000000000002"/>
    <n v="0"/>
    <n v="0"/>
    <n v="149.5"/>
    <n v="1535"/>
    <m/>
    <x v="20"/>
    <m/>
    <s v=""/>
    <n v="-1535"/>
    <s v=""/>
  </r>
  <r>
    <s v="4595139440"/>
    <s v="1595049729"/>
    <s v="essens_OA"/>
    <s v="Доставлен"/>
    <d v="2025-06-23T00:00:00"/>
    <x v="36"/>
    <s v="Парфюм"/>
    <s v="w19850"/>
    <x v="232"/>
    <x v="1634"/>
    <n v="1662.6"/>
    <n v="-277.10000000000002"/>
    <n v="0"/>
    <n v="0"/>
    <n v="149.5"/>
    <n v="1535"/>
    <m/>
    <x v="20"/>
    <m/>
    <s v=""/>
    <n v="-1535"/>
    <s v=""/>
  </r>
  <r>
    <s v="4595139440"/>
    <s v="1595049729"/>
    <s v="essens_OA"/>
    <s v="Доставлен"/>
    <d v="2025-06-23T00:00:00"/>
    <x v="36"/>
    <s v="Парфюм"/>
    <s v="w20250"/>
    <x v="232"/>
    <x v="1635"/>
    <n v="1662.6"/>
    <n v="-277.10000000000002"/>
    <n v="0"/>
    <n v="0"/>
    <n v="149.5"/>
    <n v="1535"/>
    <m/>
    <x v="20"/>
    <m/>
    <s v=""/>
    <n v="-1535"/>
    <s v=""/>
  </r>
  <r>
    <s v="4595139440"/>
    <s v="1595049729"/>
    <s v="essens_OA"/>
    <s v="Доставлен"/>
    <d v="2025-06-23T00:00:00"/>
    <x v="36"/>
    <s v="Парфюм"/>
    <s v="w20350"/>
    <x v="232"/>
    <x v="1636"/>
    <n v="1662.6"/>
    <n v="-277.10000000000002"/>
    <n v="0"/>
    <n v="0"/>
    <n v="149.5"/>
    <n v="1535"/>
    <n v="2600"/>
    <x v="597"/>
    <m/>
    <s v="2025 07"/>
    <n v="1065"/>
    <n v="0.69381107491856675"/>
  </r>
  <r>
    <s v="4595139440"/>
    <s v="1595049729"/>
    <s v="essens_OA"/>
    <s v="Доставлен"/>
    <d v="2025-06-23T00:00:00"/>
    <x v="36"/>
    <s v="Парфюм"/>
    <s v="m04750"/>
    <x v="232"/>
    <x v="1637"/>
    <n v="1662.6"/>
    <n v="-277.10000000000002"/>
    <n v="0"/>
    <n v="0"/>
    <n v="149.5"/>
    <n v="1535"/>
    <m/>
    <x v="20"/>
    <m/>
    <s v=""/>
    <n v="-1535"/>
    <s v=""/>
  </r>
  <r>
    <s v="4595139440"/>
    <s v="1595049729"/>
    <s v="essens_OA"/>
    <s v="Доставлен"/>
    <d v="2025-06-23T00:00:00"/>
    <x v="36"/>
    <s v="Парфюм"/>
    <s v="m04850"/>
    <x v="232"/>
    <x v="1638"/>
    <n v="1662.6"/>
    <n v="-277.10000000000002"/>
    <n v="0"/>
    <n v="0"/>
    <n v="149.5"/>
    <n v="1535"/>
    <m/>
    <x v="20"/>
    <m/>
    <s v=""/>
    <n v="-1535"/>
    <s v=""/>
  </r>
  <r>
    <s v="4595142843"/>
    <s v="1595054059"/>
    <s v="essens_OA"/>
    <s v="Доставлен"/>
    <d v="2025-06-28T00:00:00"/>
    <x v="36"/>
    <s v="Парфюм"/>
    <s v="w19950"/>
    <x v="232"/>
    <x v="1639"/>
    <n v="1690"/>
    <n v="0"/>
    <n v="0"/>
    <n v="0"/>
    <n v="18.333333333333332"/>
    <n v="1708.3333333333333"/>
    <m/>
    <x v="20"/>
    <m/>
    <s v=""/>
    <n v="-1708.3333333333333"/>
    <s v=""/>
  </r>
  <r>
    <s v="4595142843"/>
    <s v="1595054059"/>
    <s v="essens_OA"/>
    <s v="Доставлен"/>
    <d v="2025-06-28T00:00:00"/>
    <x v="36"/>
    <s v="Парфюм"/>
    <s v="w20050"/>
    <x v="232"/>
    <x v="1640"/>
    <n v="1690"/>
    <n v="0"/>
    <n v="0"/>
    <n v="0"/>
    <n v="18.333333333333332"/>
    <n v="1708.3333333333333"/>
    <n v="2600"/>
    <x v="597"/>
    <m/>
    <s v="2025 07"/>
    <n v="891.66666666666674"/>
    <n v="0.52195121951219514"/>
  </r>
  <r>
    <s v="4595142843"/>
    <s v="1595054059"/>
    <s v="essens_OA"/>
    <s v="Доставлен"/>
    <d v="2025-06-28T00:00:00"/>
    <x v="36"/>
    <s v="Парфюм"/>
    <s v="m04950"/>
    <x v="232"/>
    <x v="1641"/>
    <n v="1690"/>
    <n v="0"/>
    <n v="0"/>
    <n v="0"/>
    <n v="18.333333333333332"/>
    <n v="1708.3333333333333"/>
    <m/>
    <x v="20"/>
    <m/>
    <s v=""/>
    <n v="-1708.3333333333333"/>
    <s v="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350"/>
    <x v="319"/>
    <s v="Татьяна от Елены б-р Шевченко"/>
    <s v="2025 10"/>
    <n v="913.02450000000022"/>
    <n v="0.63537930883303184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300"/>
    <x v="746"/>
    <s v="Аня Мирный"/>
    <s v="2025 11"/>
    <n v="863.02450000000022"/>
    <n v="0.6005840043897758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300"/>
    <x v="537"/>
    <s v="Аня Мирный"/>
    <s v="2025 11"/>
    <n v="863.02450000000022"/>
    <n v="0.6005840043897758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300"/>
    <x v="537"/>
    <s v="Аня Мирный"/>
    <s v="2025 11"/>
    <n v="863.02450000000022"/>
    <n v="0.6005840043897758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400"/>
    <x v="864"/>
    <m/>
    <s v="2025 11"/>
    <n v="963.02450000000022"/>
    <n v="0.670174613276287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400"/>
    <x v="865"/>
    <s v="Лида корма"/>
    <s v="2025 11"/>
    <n v="963.02450000000022"/>
    <n v="0.670174613276287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300"/>
    <x v="858"/>
    <s v="Татьяна Индол"/>
    <s v="2025 12"/>
    <n v="863.02450000000022"/>
    <n v="0.6005840043897758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400"/>
    <x v="866"/>
    <s v="Аня Мирный"/>
    <s v="2025 12"/>
    <n v="963.02450000000022"/>
    <n v="0.670174613276287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400"/>
    <x v="866"/>
    <s v="Аня Мирный"/>
    <s v="2025 12"/>
    <n v="963.02450000000022"/>
    <n v="0.6701746132762878"/>
  </r>
  <r>
    <s v="937343365"/>
    <n v="0"/>
    <s v="AllexPost"/>
    <s v="Доставлен"/>
    <d v="2025-07-09T00:00:00"/>
    <x v="37"/>
    <s v="Витамины"/>
    <s v="CGN-01033"/>
    <x v="1"/>
    <x v="1"/>
    <n v="12.215"/>
    <n v="0"/>
    <n v="0"/>
    <n v="-1.4210854715202001E-15"/>
    <n v="2.8004179728317653"/>
    <n v="1436.9754999999998"/>
    <n v="2500"/>
    <x v="779"/>
    <m/>
    <s v="2026 02"/>
    <n v="1063.0245000000002"/>
    <n v="0.73976522216279983"/>
  </r>
  <r>
    <s v="537834965"/>
    <s v="722500484560"/>
    <s v="iHerb_OA CZN6870"/>
    <s v="Доставлен"/>
    <d v="2025-07-13T00:00:00"/>
    <x v="37"/>
    <s v="Витамины"/>
    <s v="NOW-03159"/>
    <x v="3"/>
    <x v="1578"/>
    <n v="31.79"/>
    <n v="-6.99"/>
    <n v="-0.98070701018573969"/>
    <n v="-3.8393071184379278E-15"/>
    <n v="0.73707212951802292"/>
    <n v="2178.2218639359435"/>
    <n v="3500"/>
    <x v="659"/>
    <s v="Елена сахарный диабет"/>
    <s v="2025 09"/>
    <n v="1321.7781360640565"/>
    <n v="0.60681520002543088"/>
  </r>
  <r>
    <s v="537834965"/>
    <s v="722500484560"/>
    <s v="iHerb_OA CZN6870"/>
    <s v="Доставлен"/>
    <d v="2025-07-13T00:00:00"/>
    <x v="37"/>
    <s v="Витамины"/>
    <s v="NFS-02684"/>
    <x v="23"/>
    <x v="1525"/>
    <n v="32.43"/>
    <n v="-7.1349999999999998"/>
    <n v="-1.0002816057519472"/>
    <n v="-3.9159384500357825E-15"/>
    <n v="0.75178385145799964"/>
    <n v="2221.6984696878912"/>
    <n v="3700"/>
    <x v="638"/>
    <m/>
    <s v="2025 08"/>
    <n v="1478.3015303121088"/>
    <n v="0.66539251409746147"/>
  </r>
  <r>
    <s v="537834965"/>
    <s v="722500484560"/>
    <s v="iHerb_OA CZN6870"/>
    <s v="Доставлен"/>
    <d v="2025-07-13T00:00:00"/>
    <x v="37"/>
    <s v="Витамины"/>
    <s v="NFS-02684"/>
    <x v="23"/>
    <x v="1525"/>
    <n v="32.43"/>
    <n v="-7.1349999999999998"/>
    <n v="-1.0002816057519472"/>
    <n v="-3.9159384500357825E-15"/>
    <n v="0.75178385145799964"/>
    <n v="2221.6984696878912"/>
    <n v="3500"/>
    <x v="859"/>
    <s v="Татьяна Бригантина"/>
    <s v="2025 08"/>
    <n v="1278.3015303121088"/>
    <n v="0.5753712971192203"/>
  </r>
  <r>
    <s v="537834965"/>
    <s v="722500484560"/>
    <s v="iHerb_OA CZN6870"/>
    <s v="Доставлен"/>
    <d v="2025-07-13T00:00:00"/>
    <x v="37"/>
    <s v="Витамины"/>
    <s v="NOW-00087"/>
    <x v="3"/>
    <x v="1282"/>
    <n v="10.130000000000001"/>
    <n v="-2.23"/>
    <n v="-0.31240263630916709"/>
    <n v="-1.2230050901475659E-15"/>
    <n v="0.23479313803195087"/>
    <n v="693.86906149572417"/>
    <n v="1700"/>
    <x v="732"/>
    <m/>
    <s v="2026 04"/>
    <n v="1006.1309385042758"/>
    <n v="1.4500299758796436"/>
  </r>
  <r>
    <s v="537834965"/>
    <s v="722500484560"/>
    <s v="iHerb_OA CZN6870"/>
    <s v="Доставлен"/>
    <d v="2025-07-13T00:00:00"/>
    <x v="37"/>
    <s v="Витамины"/>
    <s v="FOA-66020"/>
    <x v="171"/>
    <x v="1642"/>
    <n v="18.25"/>
    <n v="-9.1300000000000008"/>
    <n v="-0.36064709406830425"/>
    <n v="-1.411874230651367E-15"/>
    <n v="0.27105233150017616"/>
    <n v="801.0235241570889"/>
    <m/>
    <x v="20"/>
    <m/>
    <s v=""/>
    <n v="-801.0235241570889"/>
    <s v=""/>
  </r>
  <r>
    <s v="537834965"/>
    <s v="722500484560"/>
    <s v="iHerb_OA CZN6870"/>
    <s v="Доставлен"/>
    <d v="2025-07-13T00:00:00"/>
    <x v="37"/>
    <s v="Косметика"/>
    <s v="GIL-09772"/>
    <x v="259"/>
    <x v="1221"/>
    <n v="9.92"/>
    <n v="-2.1800000000000002"/>
    <n v="-0.30607549430796877"/>
    <n v="-1.1982353668028051E-15"/>
    <n v="0.23003783397054425"/>
    <n v="679.81601721226639"/>
    <m/>
    <x v="20"/>
    <m/>
    <s v=""/>
    <n v="-679.81601721226639"/>
    <s v=""/>
  </r>
  <r>
    <s v="537834965"/>
    <s v="722500484560"/>
    <s v="iHerb_OA CZN6870"/>
    <s v="Доставлен"/>
    <d v="2025-07-13T00:00:00"/>
    <x v="37"/>
    <s v="Витамины"/>
    <s v="DAV-00002"/>
    <x v="291"/>
    <x v="1643"/>
    <n v="11.13"/>
    <n v="-2.4500000000000002"/>
    <n v="-0.34324745356500891"/>
    <n v="-1.3437574914532749E-15"/>
    <n v="0.257975245331308"/>
    <n v="762.37765237758015"/>
    <m/>
    <x v="20"/>
    <m/>
    <s v=""/>
    <n v="-762.37765237758015"/>
    <s v=""/>
  </r>
  <r>
    <s v="537834965"/>
    <s v="722500484560"/>
    <s v="iHerb_OA CZN6870"/>
    <s v="Доставлен"/>
    <d v="2025-07-13T00:00:00"/>
    <x v="37"/>
    <s v="Витамины"/>
    <s v="NOW-01661"/>
    <x v="3"/>
    <x v="1136"/>
    <n v="20.28"/>
    <n v="-4.46"/>
    <n v="-0.62559616536848406"/>
    <n v="-2.4491063957132268E-15"/>
    <n v="0.47018068907157756"/>
    <n v="1389.4947535268802"/>
    <n v="2600"/>
    <x v="792"/>
    <m/>
    <s v="2025 08"/>
    <n v="1210.5052464731198"/>
    <n v="0.87118374747407934"/>
  </r>
  <r>
    <s v="537834965"/>
    <s v="722500484560"/>
    <s v="iHerb_OA CZN6870"/>
    <s v="Доставлен"/>
    <d v="2025-07-13T00:00:00"/>
    <x v="37"/>
    <s v="Витамины"/>
    <s v="NOW-01661"/>
    <x v="3"/>
    <x v="1136"/>
    <n v="20.28"/>
    <n v="-4.46"/>
    <n v="-0.62559616536848406"/>
    <n v="-2.4491063957132268E-15"/>
    <n v="0.47018068907157756"/>
    <n v="1389.4947535268802"/>
    <n v="2600"/>
    <x v="588"/>
    <m/>
    <s v="2025 10"/>
    <n v="1210.5052464731198"/>
    <n v="0.87118374747407934"/>
  </r>
  <r>
    <s v="537834965"/>
    <s v="722500484560"/>
    <s v="iHerb_OA CZN6870"/>
    <s v="Доставлен"/>
    <d v="2025-07-13T00:00:00"/>
    <x v="37"/>
    <s v="Витамины"/>
    <s v="NFS-04508"/>
    <x v="23"/>
    <x v="296"/>
    <n v="12.8"/>
    <n v="-2.8149999999999999"/>
    <n v="-0.39485320551228276"/>
    <n v="-1.5457855474839806E-15"/>
    <n v="0.29676069408215561"/>
    <n v="876.99779481453231"/>
    <n v="877"/>
    <x v="20"/>
    <m/>
    <s v=""/>
    <n v="2.2051854676874427E-3"/>
    <n v="2.5144709379272679E-6"/>
  </r>
  <r>
    <s v="537834965"/>
    <s v="722500484560"/>
    <s v="iHerb_OA CZN6870"/>
    <s v="Доставлен"/>
    <d v="2025-07-13T00:00:00"/>
    <x v="37"/>
    <s v="Витамины"/>
    <s v="NFS-04508"/>
    <x v="23"/>
    <x v="296"/>
    <n v="12.8"/>
    <n v="-2.8149999999999999"/>
    <n v="-0.39485320551228276"/>
    <n v="-1.5457855474839806E-15"/>
    <n v="0.29676069408215561"/>
    <n v="876.99779481453231"/>
    <n v="1700"/>
    <x v="737"/>
    <m/>
    <s v="2025 10"/>
    <n v="823.00220518546769"/>
    <n v="0.93843132793682382"/>
  </r>
  <r>
    <s v="537834965"/>
    <s v="722500484560"/>
    <s v="iHerb_OA CZN6870"/>
    <s v="Доставлен"/>
    <d v="2025-07-13T00:00:00"/>
    <x v="37"/>
    <s v="Витамины"/>
    <s v="NAP-29982"/>
    <x v="11"/>
    <x v="393"/>
    <n v="29.68"/>
    <n v="-6.53"/>
    <n v="-0.91545835829838207"/>
    <n v="-3.5838693464450825E-15"/>
    <n v="0.68803305638476719"/>
    <n v="2033.2998447627863"/>
    <n v="3500"/>
    <x v="351"/>
    <m/>
    <s v="2025 09"/>
    <n v="1466.7001552372137"/>
    <n v="0.7213398255132043"/>
  </r>
  <r>
    <s v="537592637"/>
    <s v="722500479387"/>
    <s v="iHerb_MH DLE7202"/>
    <s v="Доставлен"/>
    <d v="2025-07-05T00:00:00"/>
    <x v="37"/>
    <s v="Витамины"/>
    <s v="NOW-01283"/>
    <x v="3"/>
    <x v="343"/>
    <n v="17.239999999999998"/>
    <n v="-1.72"/>
    <n v="-1.6541561112915451"/>
    <n v="2.3877066707798538E-15"/>
    <n v="0.45366544844111245"/>
    <n v="1283.4193179603767"/>
    <n v="2500"/>
    <x v="655"/>
    <m/>
    <s v="2025 08"/>
    <n v="1216.5806820396233"/>
    <n v="0.9479214353521076"/>
  </r>
  <r>
    <s v="537592637"/>
    <s v="722500479387"/>
    <s v="iHerb_MH DLE7202"/>
    <s v="Доставлен"/>
    <d v="2025-07-05T00:00:00"/>
    <x v="37"/>
    <s v="Витамины"/>
    <s v="PAR-77767"/>
    <x v="44"/>
    <x v="1644"/>
    <n v="19.47"/>
    <n v="-1.9466666666666665"/>
    <n v="-1.8676758327018155"/>
    <n v="2.6959136529831814E-15"/>
    <n v="0.51222492750320636"/>
    <n v="1449.0840538053483"/>
    <n v="2300"/>
    <x v="655"/>
    <s v="Надежда Витамины"/>
    <s v="2025 08"/>
    <n v="850.91594619465172"/>
    <n v="0.58720951621827255"/>
  </r>
  <r>
    <s v="537592637"/>
    <s v="722500479387"/>
    <s v="iHerb_MH DLE7202"/>
    <s v="Доставлен"/>
    <d v="2025-07-05T00:00:00"/>
    <x v="37"/>
    <s v="Витамины"/>
    <s v="PAR-77767"/>
    <x v="44"/>
    <x v="1644"/>
    <n v="19.47"/>
    <n v="-1.9466666666666665"/>
    <n v="-1.8676758327018155"/>
    <n v="2.6959136529831814E-15"/>
    <n v="0.51222492750320636"/>
    <n v="1449.0840538053483"/>
    <n v="2300"/>
    <x v="670"/>
    <s v="Любовь Виталий"/>
    <s v="2025 08"/>
    <n v="850.91594619465172"/>
    <n v="0.58720951621827255"/>
  </r>
  <r>
    <s v="537592637"/>
    <s v="722500479387"/>
    <s v="iHerb_MH DLE7202"/>
    <s v="Доставлен"/>
    <d v="2025-07-05T00:00:00"/>
    <x v="37"/>
    <s v="Витамины"/>
    <s v="PAR-77767"/>
    <x v="44"/>
    <x v="1644"/>
    <n v="19.47"/>
    <n v="-1.9466666666666665"/>
    <n v="-1.8676758327018155"/>
    <n v="2.6959136529831814E-15"/>
    <n v="0.51222492750320636"/>
    <n v="1449.0840538053483"/>
    <n v="2300"/>
    <x v="670"/>
    <s v="Любовь Виталий"/>
    <s v="2025 08"/>
    <n v="850.91594619465172"/>
    <n v="0.58720951621827255"/>
  </r>
  <r>
    <s v="537592637"/>
    <s v="722500479387"/>
    <s v="iHerb_MH DLE7202"/>
    <s v="Доставлен"/>
    <d v="2025-07-05T00:00:00"/>
    <x v="37"/>
    <s v="Витамины"/>
    <s v="JRW-33001"/>
    <x v="21"/>
    <x v="992"/>
    <n v="31.68"/>
    <n v="-3.17"/>
    <n v="-3.0386591967088883"/>
    <n v="4.3861802309235587E-15"/>
    <n v="0.83337641334124468"/>
    <n v="2357.6214404027282"/>
    <n v="3200"/>
    <x v="655"/>
    <m/>
    <s v="2025 08"/>
    <n v="842.37855959727176"/>
    <n v="0.3573001776966267"/>
  </r>
  <r>
    <s v="537592637"/>
    <s v="722500479387"/>
    <s v="iHerb_MH DLE7202"/>
    <s v="Доставлен"/>
    <d v="2025-07-05T00:00:00"/>
    <x v="37"/>
    <s v="Витамины"/>
    <s v="NOW-00143"/>
    <x v="3"/>
    <x v="1016"/>
    <n v="22.08"/>
    <n v="-2.21"/>
    <n v="-2.1177887842373067"/>
    <n v="3.0569414657471452E-15"/>
    <n v="0.5808203904977387"/>
    <n v="1643.1405829814876"/>
    <n v="2350"/>
    <x v="655"/>
    <m/>
    <s v="2025 08"/>
    <n v="706.85941701851243"/>
    <n v="0.43018803402439987"/>
  </r>
  <r>
    <s v="537592637"/>
    <s v="722500479387"/>
    <s v="iHerb_MH DLE7202"/>
    <s v="Доставлен"/>
    <d v="2025-07-05T00:00:00"/>
    <x v="37"/>
    <s v="Витамины"/>
    <s v="NOW-00042"/>
    <x v="3"/>
    <x v="1645"/>
    <n v="33.46"/>
    <n v="-3.35"/>
    <n v="-3.2091907545739962"/>
    <n v="4.6323355578080804E-15"/>
    <n v="0.8801460472011533"/>
    <n v="2489.9327102955508"/>
    <n v="3350"/>
    <x v="655"/>
    <m/>
    <s v="2025 08"/>
    <n v="860.06728970444919"/>
    <n v="0.34541788464731671"/>
  </r>
  <r>
    <s v="537592637"/>
    <s v="722500479387"/>
    <s v="iHerb_MH DLE7202"/>
    <s v="Доставлен"/>
    <d v="2025-07-05T00:00:00"/>
    <x v="37"/>
    <s v="Витамины"/>
    <s v="NOW-00372"/>
    <x v="3"/>
    <x v="13"/>
    <n v="8.06"/>
    <n v="-0.81"/>
    <n v="-0.77272112157626938"/>
    <n v="1.1153913249454859E-15"/>
    <n v="0.21192490342771045"/>
    <n v="599.53544170185125"/>
    <n v="1200"/>
    <x v="765"/>
    <m/>
    <s v="2025 12"/>
    <n v="600.46455829814875"/>
    <n v="1.001549727558491"/>
  </r>
  <r>
    <s v="537592637"/>
    <s v="722500479387"/>
    <s v="iHerb_MH DLE7202"/>
    <s v="Доставлен"/>
    <d v="2025-07-05T00:00:00"/>
    <x v="37"/>
    <s v="Витамины"/>
    <s v="NWY-16000"/>
    <x v="16"/>
    <x v="1161"/>
    <n v="9.41"/>
    <n v="-0.94"/>
    <n v="-0.9027514344484141"/>
    <n v="1.3030847616949333E-15"/>
    <n v="0.24758674924589072"/>
    <n v="700.42278499512827"/>
    <n v="1500"/>
    <x v="728"/>
    <m/>
    <s v="2025 08"/>
    <n v="799.57721500487173"/>
    <n v="1.141563684297382"/>
  </r>
  <r>
    <s v="537592637"/>
    <s v="722500479387"/>
    <s v="iHerb_MH DLE7202"/>
    <s v="Доставлен"/>
    <d v="2025-07-05T00:00:00"/>
    <x v="37"/>
    <s v="Витамины"/>
    <s v="NFS-01736"/>
    <x v="23"/>
    <x v="1646"/>
    <n v="24.93"/>
    <n v="-2.4900000000000002"/>
    <n v="-2.3917050990581359"/>
    <n v="3.4523284595554072E-15"/>
    <n v="0.65594411488521676"/>
    <n v="1855.6655602468334"/>
    <n v="2800"/>
    <x v="728"/>
    <m/>
    <s v="2025 08"/>
    <n v="944.33443975316663"/>
    <n v="0.50889258279253458"/>
  </r>
  <r>
    <s v="537765444"/>
    <s v="720000735117"/>
    <s v="iHerb_AV CYG0792"/>
    <s v="Доставлен"/>
    <d v="2025-07-11T00:00:00"/>
    <x v="37"/>
    <s v="Витамины"/>
    <s v="NHP-99906"/>
    <x v="324"/>
    <x v="1647"/>
    <n v="18.61"/>
    <n v="-4.09"/>
    <n v="-0.72803976658742153"/>
    <n v="0"/>
    <n v="0.42622981586904318"/>
    <n v="1266.6393494704992"/>
    <n v="2100"/>
    <x v="655"/>
    <s v="Оксана Черноморская"/>
    <s v="2025 08"/>
    <n v="833.36065052950084"/>
    <n v="0.65793049211511989"/>
  </r>
  <r>
    <s v="537765444"/>
    <s v="720000735117"/>
    <s v="iHerb_AV CYG0792"/>
    <s v="Доставлен"/>
    <d v="2025-07-11T00:00:00"/>
    <x v="37"/>
    <s v="Витамины"/>
    <s v="NOW-01662"/>
    <x v="3"/>
    <x v="122"/>
    <n v="40.090000000000003"/>
    <n v="-8.82"/>
    <n v="-1.5678928031121677"/>
    <n v="0"/>
    <n v="0.91792054698519154"/>
    <n v="2727.8107753403933"/>
    <n v="4400"/>
    <x v="638"/>
    <m/>
    <s v="2025 08"/>
    <n v="1672.1892246596067"/>
    <n v="0.61301511079005855"/>
  </r>
  <r>
    <s v="537765444"/>
    <s v="720000735117"/>
    <s v="iHerb_AV CYG0792"/>
    <s v="Доставлен"/>
    <d v="2025-07-11T00:00:00"/>
    <x v="37"/>
    <s v="Витамины"/>
    <s v="NOW-00105"/>
    <x v="3"/>
    <x v="485"/>
    <n v="12.31"/>
    <n v="-2.71"/>
    <n v="-0.48134860600821266"/>
    <n v="0"/>
    <n v="0.2818048369382104"/>
    <n v="837.44750378214837"/>
    <n v="1600"/>
    <x v="588"/>
    <m/>
    <s v="2025 10"/>
    <n v="762.55249621785163"/>
    <n v="0.91056751948504255"/>
  </r>
  <r>
    <s v="537765444"/>
    <s v="720000735117"/>
    <s v="iHerb_AV CYG0792"/>
    <s v="Доставлен"/>
    <d v="2025-07-11T00:00:00"/>
    <x v="37"/>
    <s v="Витамины"/>
    <s v="SMO-45847"/>
    <x v="247"/>
    <x v="1648"/>
    <n v="16.739999999999998"/>
    <n v="-7.77"/>
    <n v="-0.44976010373892356"/>
    <n v="0"/>
    <n v="0.26331139451414026"/>
    <n v="782.49001134644482"/>
    <n v="2100"/>
    <x v="838"/>
    <s v="Оксана Черноморская"/>
    <s v="2026 01"/>
    <n v="1317.5099886535552"/>
    <n v="1.6837403283736385"/>
  </r>
  <r>
    <s v="537765444"/>
    <s v="720000735117"/>
    <s v="iHerb_AV CYG0792"/>
    <s v="Доставлен"/>
    <d v="2025-07-11T00:00:00"/>
    <x v="37"/>
    <s v="Витамины"/>
    <s v="NFS-35493"/>
    <x v="23"/>
    <x v="1383"/>
    <n v="47.68"/>
    <n v="-10.49"/>
    <n v="-1.8647244434838983"/>
    <n v="0"/>
    <n v="1.0917001964304212"/>
    <n v="3244.2367360060512"/>
    <n v="3244.24"/>
    <x v="20"/>
    <m/>
    <s v=""/>
    <n v="3.2639939486216463E-3"/>
    <n v="1.0060899417099623E-6"/>
  </r>
  <r>
    <s v="537765444"/>
    <s v="720000735117"/>
    <s v="iHerb_AV CYG0792"/>
    <s v="Доставлен"/>
    <d v="2025-07-11T00:00:00"/>
    <x v="37"/>
    <s v="Витамины"/>
    <s v="ORI-00039"/>
    <x v="312"/>
    <x v="1579"/>
    <n v="20.65"/>
    <n v="-4.54"/>
    <n v="-0.80776312945753181"/>
    <n v="0"/>
    <n v="0.47290374198693425"/>
    <n v="1405.3415922844176"/>
    <n v="2500"/>
    <x v="655"/>
    <s v="Татьяна Писарева 28"/>
    <s v="2025 08"/>
    <n v="1094.6584077155824"/>
    <n v="0.77892692689482557"/>
  </r>
  <r>
    <s v="537765444"/>
    <s v="720000735117"/>
    <s v="iHerb_AV CYG0792"/>
    <s v="Доставлен"/>
    <d v="2025-07-11T00:00:00"/>
    <x v="37"/>
    <s v="Витамины"/>
    <s v="CAR-01545"/>
    <x v="154"/>
    <x v="1360"/>
    <n v="49.23"/>
    <n v="-10.83"/>
    <n v="-1.9253944240328504"/>
    <n v="0"/>
    <n v="1.1272193477528414"/>
    <n v="3349.790015128593"/>
    <n v="5200"/>
    <x v="655"/>
    <s v="Надежда Витамины"/>
    <s v="2025 08"/>
    <n v="1850.209984871407"/>
    <n v="0.55233610958159729"/>
  </r>
  <r>
    <s v="537765444"/>
    <s v="720000735117"/>
    <s v="iHerb_AV CYG0792"/>
    <s v="Доставлен"/>
    <d v="2025-07-11T00:00:00"/>
    <x v="37"/>
    <s v="Витамины"/>
    <s v="SOR-35007"/>
    <x v="10"/>
    <x v="1576"/>
    <n v="24.16"/>
    <n v="-5.32"/>
    <n v="-0.94464663929111725"/>
    <n v="0"/>
    <n v="0.55304199249123775"/>
    <n v="1643.4907261724659"/>
    <n v="2900"/>
    <x v="670"/>
    <s v="Любовь Виталий"/>
    <s v="2025 08"/>
    <n v="1256.5092738275341"/>
    <n v="0.76453688105306505"/>
  </r>
  <r>
    <s v="537765444"/>
    <s v="720000735117"/>
    <s v="iHerb_AV CYG0792"/>
    <s v="Доставлен"/>
    <d v="2025-07-11T00:00:00"/>
    <x v="37"/>
    <s v="Витамины"/>
    <s v="SOR-08364"/>
    <x v="10"/>
    <x v="1575"/>
    <n v="13.05"/>
    <n v="-2.87"/>
    <n v="-0.51043008428787551"/>
    <n v="0"/>
    <n v="0.29883054583656055"/>
    <n v="888.04329046898636"/>
    <n v="2000"/>
    <x v="670"/>
    <s v="Любовь Виталий"/>
    <s v="2025 08"/>
    <n v="1111.9567095310135"/>
    <n v="1.2521424591179287"/>
  </r>
  <r>
    <s v="537921452"/>
    <s v="720000740761"/>
    <s v="iHerb_AV CYG0792"/>
    <s v="Доставлен"/>
    <d v="2025-07-15T00:00:00"/>
    <x v="37"/>
    <s v="Витамины"/>
    <s v="NOW-00880"/>
    <x v="3"/>
    <x v="1649"/>
    <n v="10.86"/>
    <n v="-2.17"/>
    <n v="-0.42471596724667343"/>
    <n v="-1.2639951635118258E-15"/>
    <n v="0.24243540173933811"/>
    <n v="755.36646468781964"/>
    <n v="1500"/>
    <x v="670"/>
    <m/>
    <s v="2025 08"/>
    <n v="744.63353531218036"/>
    <n v="0.98579109627262174"/>
  </r>
  <r>
    <s v="537921452"/>
    <s v="720000740761"/>
    <s v="iHerb_AV CYG0792"/>
    <s v="Доставлен"/>
    <d v="2025-07-15T00:00:00"/>
    <x v="37"/>
    <s v="Витамины"/>
    <s v="SLM-01761"/>
    <x v="164"/>
    <x v="622"/>
    <n v="41.78"/>
    <n v="-19.57"/>
    <n v="-1.0854938587512795"/>
    <n v="-3.2305330933944368E-15"/>
    <n v="0.61961913378949363"/>
    <n v="1930.5741289662233"/>
    <m/>
    <x v="20"/>
    <m/>
    <s v=""/>
    <n v="-1930.5741289662233"/>
    <s v=""/>
  </r>
  <r>
    <s v="537921452"/>
    <s v="720000740761"/>
    <s v="iHerb_AV CYG0792"/>
    <s v="Доставлен"/>
    <d v="2025-07-15T00:00:00"/>
    <x v="37"/>
    <s v="Витамины"/>
    <s v="RMS-06829"/>
    <x v="230"/>
    <x v="1650"/>
    <n v="59.33"/>
    <n v="-11.87"/>
    <n v="-2.3195649948822927"/>
    <n v="-6.9032463130346676E-15"/>
    <n v="1.3240488108802055"/>
    <n v="4125.3961351074713"/>
    <n v="5900"/>
    <x v="655"/>
    <m/>
    <s v="2025 08"/>
    <n v="1774.6038648925287"/>
    <n v="0.43016568755434154"/>
  </r>
  <r>
    <s v="537921452"/>
    <s v="720000740761"/>
    <s v="iHerb_AV CYG0792"/>
    <s v="Доставлен"/>
    <d v="2025-07-15T00:00:00"/>
    <x v="37"/>
    <s v="Витамины"/>
    <s v="NOW-01662"/>
    <x v="3"/>
    <x v="122"/>
    <n v="40.090000000000003"/>
    <n v="-8.02"/>
    <n v="-1.5673925281473902"/>
    <n v="-4.6647094239153353E-15"/>
    <n v="0.89469543541778762"/>
    <n v="2787.6412569089052"/>
    <n v="4400"/>
    <x v="678"/>
    <m/>
    <s v="2025 08"/>
    <n v="1612.3587430910948"/>
    <n v="0.57839535094231231"/>
  </r>
  <r>
    <s v="537921452"/>
    <s v="720000740761"/>
    <s v="iHerb_AV CYG0792"/>
    <s v="Доставлен"/>
    <d v="2025-07-15T00:00:00"/>
    <x v="37"/>
    <s v="Витамины"/>
    <s v="NOW-01661"/>
    <x v="3"/>
    <x v="1136"/>
    <n v="20.28"/>
    <n v="-4.0599999999999996"/>
    <n v="-0.79273797338792229"/>
    <n v="-2.3592636999035465E-15"/>
    <n v="0.45250888564005343"/>
    <n v="1409.9015025588537"/>
    <n v="2500"/>
    <x v="703"/>
    <s v="Даша Калифорния"/>
    <s v="2025 10"/>
    <n v="1090.0984974411463"/>
    <n v="0.77317351280405644"/>
  </r>
  <r>
    <s v="537921452"/>
    <s v="720000740761"/>
    <s v="iHerb_AV CYG0792"/>
    <s v="Доставлен"/>
    <d v="2025-07-15T00:00:00"/>
    <x v="37"/>
    <s v="Витамины"/>
    <s v="CAR-68730"/>
    <x v="154"/>
    <x v="1358"/>
    <n v="32.24"/>
    <n v="-6.45"/>
    <n v="-1.2604631525076766"/>
    <n v="-3.7512583736444179E-15"/>
    <n v="0.71949470780869162"/>
    <n v="2241.760773797339"/>
    <n v="3700"/>
    <x v="655"/>
    <s v="Татьяна Бригантина"/>
    <s v="2025 08"/>
    <n v="1458.239226202661"/>
    <n v="0.65048833187161903"/>
  </r>
  <r>
    <s v="537921452"/>
    <s v="720000740761"/>
    <s v="iHerb_AV CYG0792"/>
    <s v="Доставлен"/>
    <d v="2025-07-15T00:00:00"/>
    <x v="37"/>
    <s v="Витамины"/>
    <s v="CRO-89143"/>
    <x v="176"/>
    <x v="1249"/>
    <n v="28.97"/>
    <n v="-5.79"/>
    <n v="-1.1329017400204706"/>
    <n v="-3.37162346262418E-15"/>
    <n v="0.64668039267179023"/>
    <n v="2014.8900634595698"/>
    <n v="3100"/>
    <x v="655"/>
    <s v="Оксана Черноморская"/>
    <s v="2025 08"/>
    <n v="1085.1099365404302"/>
    <n v="0.53854548008306447"/>
  </r>
  <r>
    <s v="537921452"/>
    <s v="720000740761"/>
    <s v="iHerb_AV CYG0792"/>
    <s v="Доставлен"/>
    <d v="2025-07-15T00:00:00"/>
    <x v="37"/>
    <s v="Витамины"/>
    <s v="NOW-00166"/>
    <x v="3"/>
    <x v="1329"/>
    <n v="15.93"/>
    <n v="-3.19"/>
    <n v="-0.62265609007164791"/>
    <n v="-1.8530838185432293E-15"/>
    <n v="0.35542313212418497"/>
    <n v="1107.4072221084955"/>
    <n v="2000"/>
    <x v="850"/>
    <s v="Светлана Кулаки"/>
    <s v="2025 08"/>
    <n v="892.59277789150451"/>
    <n v="0.80602036908519903"/>
  </r>
  <r>
    <s v="537921452"/>
    <s v="720000740761"/>
    <s v="iHerb_AV CYG0792"/>
    <s v="Доставлен"/>
    <d v="2025-07-15T00:00:00"/>
    <x v="37"/>
    <s v="Витамины"/>
    <s v="BLB-00298"/>
    <x v="186"/>
    <x v="748"/>
    <n v="8.8000000000000007"/>
    <n v="-1.76"/>
    <n v="-0.34407369498464691"/>
    <n v="-1.0239960818323655E-15"/>
    <n v="0.19640336343440051"/>
    <n v="611.94245240532246"/>
    <n v="611.94000000000005"/>
    <x v="20"/>
    <m/>
    <s v=""/>
    <n v="-2.4524053224013187E-3"/>
    <n v="-4.0075750795876447E-6"/>
  </r>
  <r>
    <s v="537707192"/>
    <s v="720000732422"/>
    <s v="iHerb_VP DFD1605"/>
    <s v="Доставлен"/>
    <d v="2025-07-09T00:00:00"/>
    <x v="37"/>
    <s v="Витамины"/>
    <s v="PAR-77872"/>
    <x v="44"/>
    <x v="1437"/>
    <n v="15.08"/>
    <n v="-3.02"/>
    <n v="-1.1561392214062971"/>
    <n v="0"/>
    <n v="0.32792139886038335"/>
    <n v="1005.5681621567248"/>
    <n v="2200"/>
    <x v="670"/>
    <s v="Любовь Виталий"/>
    <s v="2025 08"/>
    <n v="1194.4318378432752"/>
    <n v="1.1878178753009432"/>
  </r>
  <r>
    <s v="537707192"/>
    <s v="720000732422"/>
    <s v="iHerb_VP DFD1605"/>
    <s v="Доставлен"/>
    <d v="2025-07-09T00:00:00"/>
    <x v="37"/>
    <s v="Витамины"/>
    <s v="SOR-57445"/>
    <x v="10"/>
    <x v="604"/>
    <n v="26.11"/>
    <n v="-5.22"/>
    <n v="-2.0026325319384366"/>
    <n v="0"/>
    <n v="0.56801641975069717"/>
    <n v="1741.8174881802638"/>
    <n v="3000"/>
    <x v="588"/>
    <s v="Наталья Школа 53"/>
    <s v="2025 10"/>
    <n v="1258.1825118197362"/>
    <n v="0.72233889047365252"/>
  </r>
  <r>
    <s v="537707192"/>
    <s v="720000732422"/>
    <s v="iHerb_VP DFD1605"/>
    <s v="Доставлен"/>
    <d v="2025-07-09T00:00:00"/>
    <x v="37"/>
    <s v="Витамины"/>
    <s v="BLB-00601"/>
    <x v="186"/>
    <x v="1587"/>
    <n v="45.08"/>
    <n v="-9.02"/>
    <n v="-3.4569137913690775"/>
    <n v="0"/>
    <n v="0.98050129709000189"/>
    <n v="3006.6988331153816"/>
    <n v="4800"/>
    <x v="670"/>
    <s v="Любовь Виталий"/>
    <s v="2025 08"/>
    <n v="1793.3011668846184"/>
    <n v="0.59643524889604427"/>
  </r>
  <r>
    <s v="537707192"/>
    <s v="720000732422"/>
    <s v="iHerb_VP DFD1605"/>
    <s v="Доставлен"/>
    <d v="2025-07-09T00:00:00"/>
    <x v="37"/>
    <s v="Витамины"/>
    <s v="DRB-00133"/>
    <x v="6"/>
    <x v="621"/>
    <n v="17.38"/>
    <n v="-3.4750000000000001"/>
    <n v="-1.3330112664721858"/>
    <n v="0"/>
    <n v="0.37808847853678523"/>
    <n v="1159.4050824866715"/>
    <n v="2300"/>
    <x v="678"/>
    <m/>
    <s v="2025 08"/>
    <n v="1140.5949175133285"/>
    <n v="0.98377601991100527"/>
  </r>
  <r>
    <s v="537707192"/>
    <s v="720000732422"/>
    <s v="iHerb_VP DFD1605"/>
    <s v="Доставлен"/>
    <d v="2025-07-09T00:00:00"/>
    <x v="37"/>
    <s v="Витамины"/>
    <s v="DRB-00133"/>
    <x v="6"/>
    <x v="621"/>
    <n v="17.38"/>
    <n v="-3.4750000000000001"/>
    <n v="-1.3330112664721858"/>
    <n v="0"/>
    <n v="0.37808847853678523"/>
    <n v="1159.4050824866715"/>
    <n v="2300"/>
    <x v="678"/>
    <m/>
    <s v="2025 08"/>
    <n v="1140.5949175133285"/>
    <n v="0.98377601991100527"/>
  </r>
  <r>
    <s v="537707192"/>
    <s v="720000732422"/>
    <s v="iHerb_VP DFD1605"/>
    <s v="Доставлен"/>
    <d v="2025-07-09T00:00:00"/>
    <x v="37"/>
    <s v="Витамины"/>
    <s v="NOW-00367"/>
    <x v="3"/>
    <x v="365"/>
    <n v="5.57"/>
    <n v="-1.115"/>
    <n v="-0.42708127954934116"/>
    <n v="0"/>
    <n v="0.12113514360887297"/>
    <n v="371.45988079670059"/>
    <n v="1100"/>
    <x v="670"/>
    <m/>
    <s v="2025 08"/>
    <n v="728.54011920329935"/>
    <n v="1.961288841316428"/>
  </r>
  <r>
    <s v="537707192"/>
    <s v="720000732422"/>
    <s v="iHerb_VP DFD1605"/>
    <s v="Доставлен"/>
    <d v="2025-07-09T00:00:00"/>
    <x v="37"/>
    <s v="Витамины"/>
    <s v="NOW-00367"/>
    <x v="3"/>
    <x v="365"/>
    <n v="5.57"/>
    <n v="-1.115"/>
    <n v="-0.42708127954934116"/>
    <n v="0"/>
    <n v="0.12113514360887297"/>
    <n v="371.45988079670059"/>
    <n v="1100"/>
    <x v="867"/>
    <m/>
    <s v="2025 10"/>
    <n v="728.54011920329935"/>
    <n v="1.961288841316428"/>
  </r>
  <r>
    <s v="537707192"/>
    <s v="720000732422"/>
    <s v="iHerb_VP DFD1605"/>
    <s v="Доставлен"/>
    <d v="2025-07-09T00:00:00"/>
    <x v="37"/>
    <s v="Витамины"/>
    <s v="NFS-02684"/>
    <x v="23"/>
    <x v="1525"/>
    <n v="32.43"/>
    <n v="-6.4850000000000003"/>
    <n v="-2.4872331757368471"/>
    <n v="0"/>
    <n v="0.7054660608153106"/>
    <n v="2163.3056357509308"/>
    <n v="3700"/>
    <x v="862"/>
    <m/>
    <s v="2025 09"/>
    <n v="1536.6943642490692"/>
    <n v="0.71034547262002989"/>
  </r>
  <r>
    <s v="537707192"/>
    <s v="720000732422"/>
    <s v="iHerb_VP DFD1605"/>
    <s v="Доставлен"/>
    <d v="2025-07-09T00:00:00"/>
    <x v="37"/>
    <s v="Витамины"/>
    <s v="NFS-02684"/>
    <x v="23"/>
    <x v="1525"/>
    <n v="32.43"/>
    <n v="-6.4850000000000003"/>
    <n v="-2.4872331757368471"/>
    <n v="0"/>
    <n v="0.7054660608153106"/>
    <n v="2163.3056357509308"/>
    <n v="3800"/>
    <x v="827"/>
    <m/>
    <s v="2025 09"/>
    <n v="1636.6943642490692"/>
    <n v="0.75657102593408476"/>
  </r>
  <r>
    <s v="537707192"/>
    <s v="720000732422"/>
    <s v="iHerb_VP DFD1605"/>
    <s v="Доставлен"/>
    <d v="2025-07-09T00:00:00"/>
    <x v="37"/>
    <s v="Витамины"/>
    <s v="NOW-02811"/>
    <x v="3"/>
    <x v="1021"/>
    <n v="19.87"/>
    <n v="-3.97"/>
    <n v="-1.5242631526003418"/>
    <n v="0"/>
    <n v="0.43233418257712236"/>
    <n v="1325.7490695101098"/>
    <n v="2900"/>
    <x v="655"/>
    <s v="Любовь 17"/>
    <s v="2025 08"/>
    <n v="1574.2509304898902"/>
    <n v="1.1874426063686445"/>
  </r>
  <r>
    <s v="537707192"/>
    <s v="720000732422"/>
    <s v="iHerb_VP DFD1605"/>
    <s v="Доставлен"/>
    <d v="2025-07-09T00:00:00"/>
    <x v="37"/>
    <s v="Витамины"/>
    <s v="HIM-06043"/>
    <x v="49"/>
    <x v="1651"/>
    <n v="31.63"/>
    <n v="-6.33"/>
    <n v="-2.4253998591690973"/>
    <n v="0"/>
    <n v="0.68792797605038958"/>
    <n v="2109.5252489689169"/>
    <n v="3400"/>
    <x v="655"/>
    <m/>
    <s v="2025 08"/>
    <n v="1290.4747510310831"/>
    <n v="0.61173704920660932"/>
  </r>
  <r>
    <s v="538115301"/>
    <s v="720000745619"/>
    <s v="iHerb_OA CZN6870"/>
    <s v="Доставлен"/>
    <d v="2025-07-22T00:00:00"/>
    <x v="37"/>
    <s v="Витамины"/>
    <s v="CGN-01269"/>
    <x v="1"/>
    <x v="1652"/>
    <n v="19.43"/>
    <n v="-5.83"/>
    <n v="-0.72490606890403109"/>
    <n v="0"/>
    <n v="0.55886875267244174"/>
    <n v="1193.5971670171614"/>
    <n v="2300"/>
    <x v="809"/>
    <m/>
    <s v="2025 08"/>
    <n v="1106.4028329828386"/>
    <n v="0.92694827330042662"/>
  </r>
  <r>
    <s v="538115301"/>
    <s v="720000745619"/>
    <s v="iHerb_OA CZN6870"/>
    <s v="Доставлен"/>
    <d v="2025-07-22T00:00:00"/>
    <x v="37"/>
    <s v="Витамины"/>
    <s v="CGN-01269"/>
    <x v="1"/>
    <x v="1652"/>
    <n v="19.43"/>
    <n v="-5.83"/>
    <n v="-0.72490606890403109"/>
    <n v="0"/>
    <n v="0.55886875267244174"/>
    <n v="1193.5971670171614"/>
    <n v="2300"/>
    <x v="868"/>
    <m/>
    <s v="2025 08"/>
    <n v="1106.4028329828386"/>
    <n v="0.92694827330042662"/>
  </r>
  <r>
    <s v="538115301"/>
    <s v="720000745619"/>
    <s v="iHerb_OA CZN6870"/>
    <s v="Доставлен"/>
    <d v="2025-07-22T00:00:00"/>
    <x v="37"/>
    <s v="Витамины"/>
    <s v="CGN-01269"/>
    <x v="1"/>
    <x v="1652"/>
    <n v="19.43"/>
    <n v="-5.83"/>
    <n v="-0.72490606890403109"/>
    <n v="0"/>
    <n v="0.55886875267244174"/>
    <n v="1193.5971670171614"/>
    <n v="2300"/>
    <x v="868"/>
    <m/>
    <s v="2025 08"/>
    <n v="1106.4028329828386"/>
    <n v="0.92694827330042662"/>
  </r>
  <r>
    <s v="538115301"/>
    <s v="720000745619"/>
    <s v="iHerb_OA CZN6870"/>
    <s v="Доставлен"/>
    <d v="2025-07-22T00:00:00"/>
    <x v="37"/>
    <s v="Витамины"/>
    <s v="CGN-01269"/>
    <x v="1"/>
    <x v="1652"/>
    <n v="19.43"/>
    <n v="-5.83"/>
    <n v="-0.72490606890403109"/>
    <n v="0"/>
    <n v="0.55886875267244174"/>
    <n v="1193.5971670171614"/>
    <n v="2300"/>
    <x v="822"/>
    <m/>
    <s v="2025 10"/>
    <n v="1106.4028329828386"/>
    <n v="0.92694827330042662"/>
  </r>
  <r>
    <s v="538115301"/>
    <s v="720000745619"/>
    <s v="iHerb_OA CZN6870"/>
    <s v="Доставлен"/>
    <d v="2025-07-22T00:00:00"/>
    <x v="37"/>
    <s v="Витамины"/>
    <s v="CGN-01266"/>
    <x v="1"/>
    <x v="487"/>
    <n v="30.08"/>
    <n v="-9.02"/>
    <n v="-1.1225383684646246"/>
    <n v="0"/>
    <n v="0.86542470082953094"/>
    <n v="1848.3203189251044"/>
    <n v="3400"/>
    <x v="861"/>
    <m/>
    <s v="2026 02"/>
    <n v="1551.6796810748956"/>
    <n v="0.8395079928447029"/>
  </r>
  <r>
    <s v="538115301"/>
    <s v="720000745619"/>
    <s v="iHerb_OA CZN6870"/>
    <s v="Доставлен"/>
    <d v="2025-07-22T00:00:00"/>
    <x v="37"/>
    <s v="Витамины"/>
    <s v="SOL-02058"/>
    <x v="19"/>
    <x v="1024"/>
    <n v="38.590000000000003"/>
    <n v="0"/>
    <n v="-2.0569209705151885"/>
    <n v="0"/>
    <n v="1.5857900857080536"/>
    <n v="3386.8319614111965"/>
    <n v="4300"/>
    <x v="646"/>
    <m/>
    <s v="2025 12"/>
    <n v="913.16803858880348"/>
    <n v="0.26962307223778303"/>
  </r>
  <r>
    <s v="538115301"/>
    <s v="720000745619"/>
    <s v="iHerb_OA CZN6870"/>
    <s v="Доставлен"/>
    <d v="2025-07-22T00:00:00"/>
    <x v="37"/>
    <s v="Витамины"/>
    <s v="CGN-00956"/>
    <x v="1"/>
    <x v="305"/>
    <n v="16.21"/>
    <n v="-4.8650000000000002"/>
    <n v="-0.60471024644972304"/>
    <n v="0"/>
    <n v="0.46620338228447433"/>
    <n v="995.68822498600719"/>
    <n v="2300"/>
    <x v="646"/>
    <m/>
    <s v="2025 12"/>
    <n v="1304.3117750139927"/>
    <n v="1.3099600279317583"/>
  </r>
  <r>
    <s v="538115301"/>
    <s v="720000745619"/>
    <s v="iHerb_OA CZN6870"/>
    <s v="Доставлен"/>
    <d v="2025-07-22T00:00:00"/>
    <x v="37"/>
    <s v="Витамины"/>
    <s v="CGN-00956"/>
    <x v="1"/>
    <x v="305"/>
    <n v="16.21"/>
    <n v="-4.8650000000000002"/>
    <n v="-0.60471024644972304"/>
    <n v="0"/>
    <n v="0.46620338228447433"/>
    <n v="995.68822498600719"/>
    <n v="2300"/>
    <x v="869"/>
    <s v="Алена Грация"/>
    <s v="2026 02"/>
    <n v="1304.3117750139927"/>
    <n v="1.3099600279317583"/>
  </r>
  <r>
    <s v="538115301"/>
    <s v="720000745619"/>
    <s v="iHerb_OA CZN6870"/>
    <s v="Доставлен"/>
    <d v="2025-07-22T00:00:00"/>
    <x v="37"/>
    <s v="Витамины"/>
    <s v="CGN-00931"/>
    <x v="1"/>
    <x v="24"/>
    <n v="5.7"/>
    <n v="-1.71"/>
    <n v="-0.21267464815640325"/>
    <n v="0"/>
    <n v="0.16396222964434137"/>
    <n v="350.18034532341727"/>
    <n v="1000"/>
    <x v="856"/>
    <s v="Юлия АТБ кольцо"/>
    <s v="2025 12"/>
    <n v="649.81965467658279"/>
    <n v="1.855671408617827"/>
  </r>
  <r>
    <s v="538115301"/>
    <s v="720000745619"/>
    <s v="iHerb_OA CZN6870"/>
    <s v="Доставлен"/>
    <d v="2025-07-22T00:00:00"/>
    <x v="37"/>
    <s v="Витамины"/>
    <s v="NLI-00230"/>
    <x v="158"/>
    <x v="1653"/>
    <n v="7.89"/>
    <n v="-0.79"/>
    <n v="-0.37844360950136918"/>
    <n v="0"/>
    <n v="0.29176236352752466"/>
    <n v="623.1279327810181"/>
    <n v="1500"/>
    <x v="658"/>
    <s v="Татьяна Вахтангова"/>
    <s v="2025 09"/>
    <n v="876.8720672189819"/>
    <n v="1.4072103352926333"/>
  </r>
  <r>
    <s v="538115301"/>
    <s v="720000745619"/>
    <s v="iHerb_OA CZN6870"/>
    <s v="Доставлен"/>
    <d v="2025-07-22T00:00:00"/>
    <x v="37"/>
    <s v="Витамины"/>
    <s v="VPB-81400"/>
    <x v="81"/>
    <x v="696"/>
    <n v="18.03"/>
    <n v="-8.83"/>
    <n v="-0.49037763484684466"/>
    <n v="0"/>
    <n v="0.37805827386665175"/>
    <n v="807.43337768807999"/>
    <n v="2300"/>
    <x v="822"/>
    <s v="Оксана Черноморская"/>
    <s v="2025 10"/>
    <n v="1492.5666223119201"/>
    <n v="1.8485322300962821"/>
  </r>
  <r>
    <s v="538178009"/>
    <s v="722500491160"/>
    <s v="iHerb_AV CYG0792"/>
    <s v="Доставлен"/>
    <d v="2025-07-24T00:00:00"/>
    <x v="37"/>
    <s v="Витамины"/>
    <s v="PAR-77866"/>
    <x v="44"/>
    <x v="1654"/>
    <n v="15.08"/>
    <n v="-3.0150000000000001"/>
    <n v="-0.69240477399695288"/>
    <n v="0"/>
    <n v="0.56485518616333208"/>
    <n v="1060.6332121634816"/>
    <n v="1900"/>
    <x v="740"/>
    <s v="Надежда Витамины"/>
    <s v="2025 08"/>
    <n v="839.36678783651837"/>
    <n v="0.79138271195975129"/>
  </r>
  <r>
    <s v="538178009"/>
    <s v="722500491160"/>
    <s v="iHerb_AV CYG0792"/>
    <s v="Доставлен"/>
    <d v="2025-07-24T00:00:00"/>
    <x v="37"/>
    <s v="Витамины"/>
    <s v="PAR-77866"/>
    <x v="44"/>
    <x v="1654"/>
    <n v="15.08"/>
    <n v="-3.0150000000000001"/>
    <n v="-0.69240477399695288"/>
    <n v="0"/>
    <n v="0.56485518616333208"/>
    <n v="1060.6332121634816"/>
    <n v="1900"/>
    <x v="809"/>
    <s v="Любовь Виталий"/>
    <s v="2025 08"/>
    <n v="839.36678783651837"/>
    <n v="0.79138271195975129"/>
  </r>
  <r>
    <s v="538178009"/>
    <s v="722500491160"/>
    <s v="iHerb_AV CYG0792"/>
    <s v="Доставлен"/>
    <d v="2025-07-24T00:00:00"/>
    <x v="37"/>
    <s v="Витамины"/>
    <s v="PAR-77872"/>
    <x v="44"/>
    <x v="1437"/>
    <n v="15.08"/>
    <n v="-3.0150000000000001"/>
    <n v="-0.69240477399695288"/>
    <n v="0"/>
    <n v="0.56485518616333208"/>
    <n v="1060.6332121634816"/>
    <n v="2000"/>
    <x v="740"/>
    <s v="Надежда Витамины"/>
    <s v="2025 08"/>
    <n v="939.36678783651837"/>
    <n v="0.88566601258921185"/>
  </r>
  <r>
    <s v="538178009"/>
    <s v="722500491160"/>
    <s v="iHerb_AV CYG0792"/>
    <s v="Доставлен"/>
    <d v="2025-07-24T00:00:00"/>
    <x v="37"/>
    <s v="Витамины"/>
    <s v="PAR-77872"/>
    <x v="44"/>
    <x v="1437"/>
    <n v="15.08"/>
    <n v="-3.0150000000000001"/>
    <n v="-0.69240477399695288"/>
    <n v="0"/>
    <n v="0.56485518616333208"/>
    <n v="1060.6332121634816"/>
    <n v="2000"/>
    <x v="850"/>
    <s v="Любовь Виталий"/>
    <s v="2025 08"/>
    <n v="939.36678783651837"/>
    <n v="0.88566601258921185"/>
  </r>
  <r>
    <s v="538178009"/>
    <s v="722500491160"/>
    <s v="iHerb_AV CYG0792"/>
    <s v="Доставлен"/>
    <d v="2025-07-24T00:00:00"/>
    <x v="37"/>
    <s v="Витамины"/>
    <s v="CLF-07211"/>
    <x v="72"/>
    <x v="1655"/>
    <n v="31.95"/>
    <n v="-6.39"/>
    <n v="-1.4668765871000509"/>
    <n v="0"/>
    <n v="1.196659640143785"/>
    <n v="2246.977613170211"/>
    <n v="3800"/>
    <x v="740"/>
    <s v="Надежда Витамины"/>
    <s v="2025 08"/>
    <n v="1553.022386829789"/>
    <n v="0.69116059622804338"/>
  </r>
  <r>
    <s v="538178009"/>
    <s v="722500491160"/>
    <s v="iHerb_AV CYG0792"/>
    <s v="Доставлен"/>
    <d v="2025-07-24T00:00:00"/>
    <x v="37"/>
    <s v="Витамины"/>
    <s v="CLF-07211"/>
    <x v="72"/>
    <x v="1655"/>
    <n v="31.95"/>
    <n v="-6.39"/>
    <n v="-1.4668765871000509"/>
    <n v="0"/>
    <n v="1.196659640143785"/>
    <n v="2246.977613170211"/>
    <n v="3800"/>
    <x v="809"/>
    <s v="Любовь Виталий"/>
    <s v="2025 08"/>
    <n v="1553.022386829789"/>
    <n v="0.69116059622804338"/>
  </r>
  <r>
    <s v="538178009"/>
    <s v="722500491160"/>
    <s v="iHerb_AV CYG0792"/>
    <s v="Доставлен"/>
    <d v="2025-07-24T00:00:00"/>
    <x v="37"/>
    <s v="Витамины"/>
    <s v="SOR-62754"/>
    <x v="10"/>
    <x v="796"/>
    <n v="13.05"/>
    <n v="-1.31"/>
    <n v="-0.67375317420010161"/>
    <n v="0"/>
    <n v="0.54963944347762284"/>
    <n v="1032.0624874263801"/>
    <n v="1800"/>
    <x v="870"/>
    <s v="Светлана Звенигородская"/>
    <s v="2025 12"/>
    <n v="767.93751257361987"/>
    <n v="0.74408044273423801"/>
  </r>
  <r>
    <s v="538178009"/>
    <s v="722500491160"/>
    <s v="iHerb_AV CYG0792"/>
    <s v="Доставлен"/>
    <d v="2025-07-24T00:00:00"/>
    <x v="37"/>
    <s v="Витамины"/>
    <s v="SOR-35281"/>
    <x v="10"/>
    <x v="1230"/>
    <n v="11.42"/>
    <n v="-1.1399999999999999"/>
    <n v="-0.58996444895886235"/>
    <n v="0"/>
    <n v="0.48128564556643633"/>
    <n v="903.71400091509247"/>
    <n v="1800"/>
    <x v="722"/>
    <s v="Светлана Звенигородская"/>
    <s v="2025 11"/>
    <n v="896.28599908490753"/>
    <n v="0.99178058343384812"/>
  </r>
  <r>
    <s v="538178009"/>
    <s v="722500491160"/>
    <s v="iHerb_AV CYG0792"/>
    <s v="Доставлен"/>
    <d v="2025-07-24T00:00:00"/>
    <x v="37"/>
    <s v="Витамины"/>
    <s v="BLB-00612"/>
    <x v="186"/>
    <x v="1321"/>
    <n v="20.54"/>
    <n v="-4.1100000000000003"/>
    <n v="-0.94291010665312347"/>
    <n v="0"/>
    <n v="0.7692143148498588"/>
    <n v="1444.360022863324"/>
    <n v="2200"/>
    <x v="809"/>
    <m/>
    <s v="2025 08"/>
    <n v="755.63997713667595"/>
    <n v="0.52316594559207086"/>
  </r>
  <r>
    <s v="974455959"/>
    <s v="720000749692"/>
    <s v="iHerb_AV CYG0792"/>
    <s v="Доставлен"/>
    <d v="2025-08-02T00:00:00"/>
    <x v="38"/>
    <s v="Витамины"/>
    <s v="SWV-02720"/>
    <x v="89"/>
    <x v="1656"/>
    <n v="19.12"/>
    <n v="-1.91"/>
    <n v="-0.76987711544680393"/>
    <n v="0"/>
    <n v="0.55648569384731883"/>
    <n v="1529.8376571089791"/>
    <n v="2200"/>
    <x v="351"/>
    <m/>
    <s v="2025 09"/>
    <n v="670.1623428910209"/>
    <n v="0.43806108430973301"/>
  </r>
  <r>
    <s v="974455959"/>
    <s v="720000749692"/>
    <s v="iHerb_AV CYG0792"/>
    <s v="Доставлен"/>
    <d v="2025-08-02T00:00:00"/>
    <x v="38"/>
    <s v="Витамины"/>
    <s v="PAR-77872"/>
    <x v="44"/>
    <x v="1437"/>
    <n v="15.08"/>
    <n v="-1.51"/>
    <n v="-0.60704430311523128"/>
    <n v="0"/>
    <n v="0.43878622112191268"/>
    <n v="1206.2694367791312"/>
    <n v="2000"/>
    <x v="617"/>
    <m/>
    <s v="2025 09"/>
    <n v="793.73056322086882"/>
    <n v="0.65800437200847484"/>
  </r>
  <r>
    <s v="974455959"/>
    <s v="720000749692"/>
    <s v="iHerb_AV CYG0792"/>
    <s v="Доставлен"/>
    <d v="2025-08-02T00:00:00"/>
    <x v="38"/>
    <s v="Витамины"/>
    <s v="BLB-01561"/>
    <x v="186"/>
    <x v="1657"/>
    <n v="72.34"/>
    <n v="-7.23"/>
    <n v="-2.9126495634364553"/>
    <n v="0"/>
    <n v="2.105333150865714"/>
    <n v="5787.7820949660454"/>
    <n v="7500"/>
    <x v="850"/>
    <s v="Любовь Виталий"/>
    <s v="2025 08"/>
    <n v="1712.2179050339546"/>
    <n v="0.29583316664999626"/>
  </r>
  <r>
    <s v="974455959"/>
    <s v="720000749692"/>
    <s v="iHerb_AV CYG0792"/>
    <s v="Доставлен"/>
    <d v="2025-08-02T00:00:00"/>
    <x v="38"/>
    <s v="Витамины"/>
    <s v="SOR-68520"/>
    <x v="10"/>
    <x v="1658"/>
    <n v="19.39"/>
    <n v="-1.94"/>
    <n v="-0.78061334483130318"/>
    <n v="0"/>
    <n v="0.56424609864240061"/>
    <n v="1551.1718254823757"/>
    <n v="2700"/>
    <x v="850"/>
    <s v="Любовь Виталий"/>
    <s v="2025 08"/>
    <n v="1148.8281745176243"/>
    <n v="0.74061954687732123"/>
  </r>
  <r>
    <s v="974455959"/>
    <s v="720000749692"/>
    <s v="iHerb_AV CYG0792"/>
    <s v="Доставлен"/>
    <d v="2025-08-02T00:00:00"/>
    <x v="38"/>
    <s v="Витамины"/>
    <s v="SOR-68520"/>
    <x v="10"/>
    <x v="1658"/>
    <n v="19.39"/>
    <n v="-1.94"/>
    <n v="-0.78061334483130318"/>
    <n v="0"/>
    <n v="0.56424609864240061"/>
    <n v="1551.1718254823757"/>
    <n v="2700"/>
    <x v="850"/>
    <s v="Любовь Виталий"/>
    <s v="2025 08"/>
    <n v="1148.8281745176243"/>
    <n v="0.74061954687732123"/>
  </r>
  <r>
    <s v="974455959"/>
    <s v="720000749692"/>
    <s v="iHerb_AV CYG0792"/>
    <s v="Доставлен"/>
    <d v="2025-08-02T00:00:00"/>
    <x v="38"/>
    <s v="Витамины"/>
    <s v="FOA-66113"/>
    <x v="171"/>
    <x v="1659"/>
    <n v="15.83"/>
    <n v="-1.58"/>
    <n v="-0.63746361970464582"/>
    <n v="0"/>
    <n v="0.46077403470797762"/>
    <n v="1266.7162471704214"/>
    <n v="2000"/>
    <x v="850"/>
    <s v="Светлана Кулаки"/>
    <s v="2025 08"/>
    <n v="733.28375282957859"/>
    <n v="0.57888556688807047"/>
  </r>
  <r>
    <s v="974455959"/>
    <s v="720000749692"/>
    <s v="iHerb_AV CYG0792"/>
    <s v="Доставлен"/>
    <d v="2025-08-02T00:00:00"/>
    <x v="38"/>
    <s v="Витамины"/>
    <s v="THR-71103"/>
    <x v="82"/>
    <x v="1544"/>
    <n v="45"/>
    <n v="-4.5"/>
    <n v="-1.8117387086342567"/>
    <n v="0"/>
    <n v="1.3095683091700416"/>
    <n v="3600.1409130106713"/>
    <n v="4500"/>
    <x v="773"/>
    <s v="Оксана Черноморская"/>
    <s v="2025 08"/>
    <n v="899.85908698932872"/>
    <n v="0.24995107378638914"/>
  </r>
  <r>
    <s v="538289383"/>
    <s v="722500494773"/>
    <s v="iHerb_MH DLE7202"/>
    <s v="Доставлен"/>
    <d v="2025-07-27T00:00:00"/>
    <x v="37"/>
    <s v="Витамины"/>
    <s v="BNR-01791"/>
    <x v="289"/>
    <x v="1436"/>
    <n v="25.9"/>
    <n v="-2.59"/>
    <n v="-1.1625086809924008"/>
    <n v="-3.3340548881421029E-15"/>
    <n v="0.75748272551062135"/>
    <n v="2033.6996467213521"/>
    <n v="3000"/>
    <x v="628"/>
    <s v="Римма Омск"/>
    <s v="2025 08"/>
    <n v="966.30035327864789"/>
    <n v="0.47514408277371639"/>
  </r>
  <r>
    <s v="538289383"/>
    <s v="722500494773"/>
    <s v="iHerb_MH DLE7202"/>
    <s v="Доставлен"/>
    <d v="2025-07-27T00:00:00"/>
    <x v="37"/>
    <s v="Витамины"/>
    <s v="NFS-35493"/>
    <x v="23"/>
    <x v="1383"/>
    <n v="47.68"/>
    <n v="-4.7699999999999996"/>
    <n v="-2.1399934578028277"/>
    <n v="-6.1374644036970244E-15"/>
    <n v="1.3944051373513842"/>
    <n v="3743.7173676882544"/>
    <n v="5200"/>
    <x v="809"/>
    <s v="Лариса Терраспорт"/>
    <s v="2025 08"/>
    <n v="1456.2826323117456"/>
    <n v="0.38899374319247826"/>
  </r>
  <r>
    <s v="538289383"/>
    <s v="722500494773"/>
    <s v="iHerb_MH DLE7202"/>
    <s v="Доставлен"/>
    <d v="2025-07-27T00:00:00"/>
    <x v="37"/>
    <s v="Витамины"/>
    <s v="NOW-03349"/>
    <x v="3"/>
    <x v="1346"/>
    <n v="62.89"/>
    <n v="-6.29"/>
    <n v="-2.8227366514015397"/>
    <n v="-8.0955601316534975E-15"/>
    <n v="1.8392759443973048"/>
    <n v="4938.1123983023826"/>
    <n v="6000"/>
    <x v="871"/>
    <s v="Татьяна Бригантина"/>
    <s v="2025 08"/>
    <n v="1061.8876016976174"/>
    <n v="0.21503917206555923"/>
  </r>
  <r>
    <s v="538289383"/>
    <s v="722500494773"/>
    <s v="iHerb_MH DLE7202"/>
    <s v="Доставлен"/>
    <d v="2025-07-27T00:00:00"/>
    <x v="37"/>
    <s v="Витамины"/>
    <s v="PAR-77871"/>
    <x v="44"/>
    <x v="1598"/>
    <n v="15.08"/>
    <n v="-1.51"/>
    <n v="-0.67675859292436202"/>
    <n v="-1.940931996228586E-15"/>
    <n v="0.44097128207546687"/>
    <n v="1183.9255343633097"/>
    <n v="1900"/>
    <x v="740"/>
    <s v="Надежда Витамины"/>
    <s v="2025 08"/>
    <n v="716.07446563669032"/>
    <n v="0.60483066278469966"/>
  </r>
  <r>
    <s v="538289383"/>
    <s v="722500494773"/>
    <s v="iHerb_MH DLE7202"/>
    <s v="Доставлен"/>
    <d v="2025-07-27T00:00:00"/>
    <x v="37"/>
    <s v="Витамины"/>
    <s v="PMF-02029"/>
    <x v="220"/>
    <x v="1569"/>
    <n v="18.239999999999998"/>
    <n v="-1.82"/>
    <n v="-0.81889285894016384"/>
    <n v="-2.3485706247659084E-15"/>
    <n v="0.53358500012374099"/>
    <n v="1432.5760703202318"/>
    <n v="2200"/>
    <x v="871"/>
    <m/>
    <s v="2025 08"/>
    <n v="767.42392967976821"/>
    <n v="0.53569506400328304"/>
  </r>
  <r>
    <s v="538289383"/>
    <s v="722500494773"/>
    <s v="iHerb_MH DLE7202"/>
    <s v="Доставлен"/>
    <d v="2025-07-27T00:00:00"/>
    <x v="37"/>
    <s v="Витамины"/>
    <s v="THR-54003"/>
    <x v="82"/>
    <x v="1660"/>
    <n v="51"/>
    <n v="-5.0999999999999996"/>
    <n v="-2.2891097579387041"/>
    <n v="-6.5651273859168819E-15"/>
    <n v="1.4915683011985208"/>
    <n v="4004.5823159377978"/>
    <n v="5000"/>
    <x v="628"/>
    <s v="Оксана Черноморская"/>
    <s v="2025 08"/>
    <n v="995.41768406220217"/>
    <n v="0.2485696648313481"/>
  </r>
  <r>
    <s v="974444522"/>
    <s v="720000749515"/>
    <s v="iHerb_OA CZN6870"/>
    <s v="Доставлен"/>
    <d v="2025-08-02T00:00:00"/>
    <x v="38"/>
    <s v="Витамины"/>
    <s v="VEM-00003"/>
    <x v="325"/>
    <x v="1661"/>
    <n v="44.19"/>
    <n v="-4.42"/>
    <n v="-3.607766078838174"/>
    <n v="5.8627146475475483E-15"/>
    <n v="1.2316891547878333"/>
    <n v="3381.755726659751"/>
    <n v="4400"/>
    <x v="773"/>
    <s v="Оксана Черноморская"/>
    <s v="2025 08"/>
    <n v="1018.244273340249"/>
    <n v="0.30109929741909408"/>
  </r>
  <r>
    <s v="974444522"/>
    <s v="720000749515"/>
    <s v="iHerb_OA CZN6870"/>
    <s v="Доставлен"/>
    <d v="2025-08-02T00:00:00"/>
    <x v="38"/>
    <s v="Витамины"/>
    <s v="HEC-50936"/>
    <x v="326"/>
    <x v="1662"/>
    <n v="28.16"/>
    <n v="-2.82"/>
    <n v="-2.29873755186722"/>
    <n v="3.7355089054275808E-15"/>
    <n v="0.78478760830585104"/>
    <n v="2154.7319616182576"/>
    <n v="3000"/>
    <x v="773"/>
    <s v="Оксана Черноморская"/>
    <s v="2025 08"/>
    <n v="845.26803838174237"/>
    <n v="0.39228454092588155"/>
  </r>
  <r>
    <s v="974444522"/>
    <s v="720000749515"/>
    <s v="iHerb_OA CZN6870"/>
    <s v="Доставлен"/>
    <d v="2025-08-02T00:00:00"/>
    <x v="38"/>
    <s v="Витамины"/>
    <s v="JRW-56001"/>
    <x v="21"/>
    <x v="1663"/>
    <n v="52.82"/>
    <n v="-5.28"/>
    <n v="-4.3126275933609959"/>
    <n v="7.0081331240736856E-15"/>
    <n v="1.4723284490473623"/>
    <n v="4042.4608309128635"/>
    <n v="5200"/>
    <x v="773"/>
    <s v="Оксана Черноморская"/>
    <s v="2025 08"/>
    <n v="1157.5391690871365"/>
    <n v="0.28634517871772242"/>
  </r>
  <r>
    <s v="974444522"/>
    <s v="720000749515"/>
    <s v="iHerb_OA CZN6870"/>
    <s v="Доставлен"/>
    <d v="2025-08-02T00:00:00"/>
    <x v="38"/>
    <s v="Витамины"/>
    <s v="JRW-56001"/>
    <x v="21"/>
    <x v="1663"/>
    <n v="52.82"/>
    <n v="-5.28"/>
    <n v="-4.3126275933609959"/>
    <n v="7.0081331240736856E-15"/>
    <n v="1.4723284490473623"/>
    <n v="4042.4608309128635"/>
    <n v="5200"/>
    <x v="773"/>
    <s v="Оксана Черноморская"/>
    <s v="2025 08"/>
    <n v="1157.5391690871365"/>
    <n v="0.28634517871772242"/>
  </r>
  <r>
    <s v="974444522"/>
    <s v="720000749515"/>
    <s v="iHerb_OA CZN6870"/>
    <s v="Доставлен"/>
    <d v="2025-08-02T00:00:00"/>
    <x v="38"/>
    <s v="Витамины"/>
    <s v="NOW-00078"/>
    <x v="3"/>
    <x v="765"/>
    <n v="23.19"/>
    <n v="-2.3199999999999998"/>
    <n v="-1.8932380705394192"/>
    <n v="3.0765615965380277E-15"/>
    <n v="0.64635033091330352"/>
    <n v="1774.6352028008303"/>
    <n v="2800"/>
    <x v="850"/>
    <s v="Елена Ленина 87"/>
    <s v="2025 08"/>
    <n v="1025.3647971991697"/>
    <n v="0.5777890552271705"/>
  </r>
  <r>
    <s v="974444522"/>
    <s v="720000749515"/>
    <s v="iHerb_OA CZN6870"/>
    <s v="Доставлен"/>
    <d v="2025-08-02T00:00:00"/>
    <x v="38"/>
    <s v="Витамины"/>
    <s v="SOR-08364"/>
    <x v="10"/>
    <x v="1575"/>
    <n v="13.05"/>
    <n v="-1.31"/>
    <n v="-1.0650031120331951"/>
    <n v="1.7306580327434807E-15"/>
    <n v="0.36359141758132169"/>
    <n v="998.28544709543587"/>
    <n v="2000"/>
    <x v="850"/>
    <s v="Любовь Виталий"/>
    <s v="2025 08"/>
    <n v="1001.7145529045641"/>
    <n v="1.0034349952902804"/>
  </r>
  <r>
    <s v="974527795"/>
    <s v="720000750935"/>
    <s v="iHerb_OA CZN6870"/>
    <s v="Доставлен"/>
    <d v="2025-08-05T00:00:00"/>
    <x v="38"/>
    <s v="Витамины"/>
    <s v="PAR-77866"/>
    <x v="44"/>
    <x v="1654"/>
    <n v="15.08"/>
    <n v="-1.51"/>
    <n v="-0.75529666887536906"/>
    <n v="2.3232491836069057E-15"/>
    <n v="0.48983025668229863"/>
    <n v="1198.9288319980724"/>
    <n v="1900"/>
    <x v="850"/>
    <s v="Любовь Виталий"/>
    <s v="2025 08"/>
    <n v="701.07116800192762"/>
    <n v="0.58474794273948594"/>
  </r>
  <r>
    <s v="974527795"/>
    <s v="720000750935"/>
    <s v="iHerb_OA CZN6870"/>
    <s v="Доставлен"/>
    <d v="2025-08-05T00:00:00"/>
    <x v="38"/>
    <s v="Витамины"/>
    <s v="NOR-02764"/>
    <x v="9"/>
    <x v="1492"/>
    <n v="57.71"/>
    <n v="-5.77"/>
    <n v="-2.8909439190410215"/>
    <n v="8.8923774942183248E-15"/>
    <n v="1.8748550871096969"/>
    <n v="4588.9729943979273"/>
    <n v="6300"/>
    <x v="850"/>
    <s v="Любовь Виталий"/>
    <s v="2025 08"/>
    <n v="1711.0270056020727"/>
    <n v="0.37285619411812626"/>
  </r>
  <r>
    <s v="974527795"/>
    <s v="720000750935"/>
    <s v="iHerb_OA CZN6870"/>
    <s v="Доставлен"/>
    <d v="2025-08-05T00:00:00"/>
    <x v="38"/>
    <s v="Витамины"/>
    <s v="SOR-08364"/>
    <x v="10"/>
    <x v="1575"/>
    <n v="13.05"/>
    <n v="-1.3049999999999999"/>
    <n v="-0.6537184506957413"/>
    <n v="2.010800417204356E-15"/>
    <n v="0.42395404309016926"/>
    <n v="1037.687482079393"/>
    <n v="2000"/>
    <x v="850"/>
    <s v="Любовь Виталий"/>
    <s v="2025 08"/>
    <n v="962.31251792060698"/>
    <n v="0.92736255812998314"/>
  </r>
  <r>
    <s v="974527795"/>
    <s v="720000750935"/>
    <s v="iHerb_OA CZN6870"/>
    <s v="Доставлен"/>
    <d v="2025-08-05T00:00:00"/>
    <x v="38"/>
    <s v="Витамины"/>
    <s v="SOR-08364"/>
    <x v="10"/>
    <x v="1575"/>
    <n v="13.05"/>
    <n v="-1.3049999999999999"/>
    <n v="-0.6537184506957413"/>
    <n v="2.010800417204356E-15"/>
    <n v="0.42395404309016926"/>
    <n v="1037.687482079393"/>
    <n v="2000"/>
    <x v="850"/>
    <s v="Любовь Виталий"/>
    <s v="2025 08"/>
    <n v="962.31251792060698"/>
    <n v="0.92736255812998314"/>
  </r>
  <r>
    <s v="974527795"/>
    <s v="720000750935"/>
    <s v="iHerb_OA CZN6870"/>
    <s v="Доставлен"/>
    <d v="2025-08-05T00:00:00"/>
    <x v="38"/>
    <s v="Витамины"/>
    <s v="SOR-35007"/>
    <x v="10"/>
    <x v="1576"/>
    <n v="24.16"/>
    <n v="-2.415"/>
    <n v="-1.2103114270224686"/>
    <n v="3.7228484522868214E-15"/>
    <n v="0.78491959701964509"/>
    <n v="1921.2017282091442"/>
    <n v="2900"/>
    <x v="850"/>
    <s v="Любовь Виталий"/>
    <s v="2025 08"/>
    <n v="978.79827179085578"/>
    <n v="0.50947188804751209"/>
  </r>
  <r>
    <s v="974527795"/>
    <s v="720000750935"/>
    <s v="iHerb_OA CZN6870"/>
    <s v="Доставлен"/>
    <d v="2025-08-05T00:00:00"/>
    <x v="38"/>
    <s v="Витамины"/>
    <s v="SOR-35007"/>
    <x v="10"/>
    <x v="1576"/>
    <n v="24.16"/>
    <n v="-2.415"/>
    <n v="-1.2103114270224686"/>
    <n v="3.7228484522868214E-15"/>
    <n v="0.78491959701964509"/>
    <n v="1921.2017282091442"/>
    <n v="2900"/>
    <x v="850"/>
    <s v="Любовь Виталий"/>
    <s v="2025 08"/>
    <n v="978.79827179085578"/>
    <n v="0.50947188804751209"/>
  </r>
  <r>
    <s v="974527795"/>
    <s v="720000750935"/>
    <s v="iHerb_OA CZN6870"/>
    <s v="Доставлен"/>
    <d v="2025-08-05T00:00:00"/>
    <x v="38"/>
    <s v="Витамины"/>
    <s v="LEX-19456"/>
    <x v="7"/>
    <x v="558"/>
    <n v="10.36"/>
    <n v="-1.04"/>
    <n v="-0.51874465393650981"/>
    <n v="1.5956287686968579E-15"/>
    <n v="0.33641989626227137"/>
    <n v="823.43527739292813"/>
    <n v="1600"/>
    <x v="850"/>
    <s v="Даша Калифорния"/>
    <s v="2025 08"/>
    <n v="776.56472260707187"/>
    <n v="0.94307924851816805"/>
  </r>
  <r>
    <s v="974527795"/>
    <s v="720000750935"/>
    <s v="iHerb_OA CZN6870"/>
    <s v="Доставлен"/>
    <d v="2025-08-05T00:00:00"/>
    <x v="38"/>
    <s v="Витамины"/>
    <s v="NOW-00367"/>
    <x v="3"/>
    <x v="365"/>
    <n v="5.57"/>
    <n v="-0.56000000000000005"/>
    <n v="-0.27885308113969037"/>
    <n v="8.5773606557631518E-16"/>
    <n v="0.18084374251866736"/>
    <n v="442.64063731100538"/>
    <n v="1000"/>
    <x v="849"/>
    <s v="Валентина Сычева"/>
    <s v="2025 11"/>
    <n v="557.35936268899468"/>
    <n v="1.2591689865505646"/>
  </r>
  <r>
    <s v="974527795"/>
    <s v="720000750935"/>
    <s v="iHerb_OA CZN6870"/>
    <s v="Доставлен"/>
    <d v="2025-08-05T00:00:00"/>
    <x v="38"/>
    <s v="Витамины"/>
    <s v="CGN-02451"/>
    <x v="1"/>
    <x v="1664"/>
    <n v="27.42"/>
    <n v="-8.23"/>
    <n v="-1.0681019215709899"/>
    <n v="3.2854201793232512E-15"/>
    <n v="0.69269289799066402"/>
    <n v="1695.4638383229928"/>
    <n v="4000"/>
    <x v="703"/>
    <s v="Татьяна Бригантина"/>
    <s v="2025 10"/>
    <n v="2304.5361616770069"/>
    <n v="1.3592363986697917"/>
  </r>
  <r>
    <s v="538687140"/>
    <s v="720000754823"/>
    <s v="iHerb_AV CYG0792"/>
    <s v="Доставлен"/>
    <d v="2025-08-10T00:00:00"/>
    <x v="38"/>
    <s v="Витамины"/>
    <s v="SOR-08364"/>
    <x v="10"/>
    <x v="1575"/>
    <n v="13.05"/>
    <n v="-1.31"/>
    <n v="-2.3969716797873426"/>
    <n v="0"/>
    <n v="0.30360340335055241"/>
    <n v="884.79342398527751"/>
    <n v="2000"/>
    <x v="617"/>
    <m/>
    <s v="2025 09"/>
    <n v="1115.2065760147225"/>
    <n v="1.2604146298823293"/>
  </r>
  <r>
    <s v="538687140"/>
    <s v="720000754823"/>
    <s v="iHerb_AV CYG0792"/>
    <s v="Доставлен"/>
    <d v="2025-08-10T00:00:00"/>
    <x v="38"/>
    <s v="Витамины"/>
    <s v="NOW-01233"/>
    <x v="3"/>
    <x v="795"/>
    <n v="17.28"/>
    <n v="-1.73"/>
    <n v="-3.1748645332788059"/>
    <n v="0"/>
    <n v="0.40213227615852565"/>
    <n v="1171.9367753808406"/>
    <n v="2000"/>
    <x v="351"/>
    <m/>
    <s v="2025 09"/>
    <n v="828.06322461915943"/>
    <n v="0.70657670448993837"/>
  </r>
  <r>
    <s v="538687140"/>
    <s v="720000754823"/>
    <s v="iHerb_AV CYG0792"/>
    <s v="Доставлен"/>
    <d v="2025-08-10T00:00:00"/>
    <x v="38"/>
    <s v="Витамины"/>
    <s v="SMS-55694"/>
    <x v="140"/>
    <x v="509"/>
    <n v="12.92"/>
    <n v="-1.29"/>
    <n v="-2.3745128309988752"/>
    <n v="0"/>
    <n v="0.30075873773142459"/>
    <n v="876.50319599222985"/>
    <n v="1700"/>
    <x v="351"/>
    <m/>
    <s v="2025 09"/>
    <n v="823.49680400777015"/>
    <n v="0.93952515834873285"/>
  </r>
  <r>
    <s v="538687140"/>
    <s v="720000754823"/>
    <s v="iHerb_AV CYG0792"/>
    <s v="Доставлен"/>
    <d v="2025-08-10T00:00:00"/>
    <x v="38"/>
    <s v="Витамины"/>
    <s v="NOW-00894"/>
    <x v="3"/>
    <x v="1355"/>
    <n v="33.340000000000003"/>
    <n v="-3.33"/>
    <n v="-6.1271822921991621"/>
    <n v="0"/>
    <n v="0.77607650209114842"/>
    <n v="2261.7249279214807"/>
    <n v="3700"/>
    <x v="617"/>
    <s v="Надежда Витамины"/>
    <s v="2025 09"/>
    <n v="1438.2750720785193"/>
    <n v="0.63591953836768755"/>
  </r>
  <r>
    <s v="538687140"/>
    <s v="720000754823"/>
    <s v="iHerb_AV CYG0792"/>
    <s v="Доставлен"/>
    <d v="2025-08-10T00:00:00"/>
    <x v="38"/>
    <s v="Витамины"/>
    <s v="VMC-47443"/>
    <x v="307"/>
    <x v="1559"/>
    <n v="21.76"/>
    <n v="-2.1800000000000002"/>
    <n v="-3.997675084347204"/>
    <n v="0"/>
    <n v="0.50635048020475448"/>
    <n v="1475.660582762499"/>
    <n v="3000"/>
    <x v="743"/>
    <s v="Любовь Виталий"/>
    <s v="2025 09"/>
    <n v="1524.339417237501"/>
    <n v="1.0329878259564766"/>
  </r>
  <r>
    <s v="538687140"/>
    <s v="720000754823"/>
    <s v="iHerb_AV CYG0792"/>
    <s v="Доставлен"/>
    <d v="2025-08-10T00:00:00"/>
    <x v="38"/>
    <s v="Витамины"/>
    <s v="JIG-00196"/>
    <x v="327"/>
    <x v="1665"/>
    <n v="65.13"/>
    <n v="-6.51"/>
    <n v="-11.96852469072692"/>
    <n v="0"/>
    <n v="1.5159481690297603"/>
    <n v="4417.9378632041717"/>
    <n v="6500"/>
    <x v="617"/>
    <s v="Надежда Витамины"/>
    <s v="2025 09"/>
    <n v="2082.0621367958283"/>
    <n v="0.47127465375571931"/>
  </r>
  <r>
    <s v="538687140"/>
    <s v="720000754823"/>
    <s v="iHerb_AV CYG0792"/>
    <s v="Доставлен"/>
    <d v="2025-08-10T00:00:00"/>
    <x v="38"/>
    <s v="Витамины"/>
    <s v="BLB-00601"/>
    <x v="186"/>
    <x v="1587"/>
    <n v="45.08"/>
    <n v="-4.51"/>
    <n v="-8.283231775892034"/>
    <n v="0"/>
    <n v="1.0491644015274202"/>
    <n v="3057.5868152540643"/>
    <n v="4700"/>
    <x v="617"/>
    <s v="Надежда Витамины"/>
    <s v="2025 09"/>
    <n v="1642.4131847459357"/>
    <n v="0.53715995128971095"/>
  </r>
  <r>
    <s v="538687140"/>
    <s v="720000754823"/>
    <s v="iHerb_AV CYG0792"/>
    <s v="Доставлен"/>
    <d v="2025-08-10T00:00:00"/>
    <x v="38"/>
    <s v="Витамины"/>
    <s v="BLB-00298"/>
    <x v="186"/>
    <x v="748"/>
    <n v="8.8000000000000007"/>
    <n v="-0.88"/>
    <n v="-1.6170371127696557"/>
    <n v="0"/>
    <n v="0.20481592457720407"/>
    <n v="596.89641549943781"/>
    <n v="1600"/>
    <x v="872"/>
    <s v="Даша Калифорния"/>
    <s v="2025 12"/>
    <n v="1003.1035845005622"/>
    <n v="1.6805320964463171"/>
  </r>
  <r>
    <s v="538872408"/>
    <s v="720000760663"/>
    <s v="iHerb_AV CYG0792"/>
    <s v="Доставлен"/>
    <d v="2025-08-16T00:00:00"/>
    <x v="38"/>
    <s v="Витамины"/>
    <s v="CAL-74810"/>
    <x v="138"/>
    <x v="1027"/>
    <n v="15.85"/>
    <n v="-3.17"/>
    <n v="-0.5911451932354882"/>
    <n v="-1.8302131713855202E-15"/>
    <n v="0.33190387726144199"/>
    <n v="1118.1633680361585"/>
    <n v="2200"/>
    <x v="351"/>
    <m/>
    <s v="2025 09"/>
    <n v="1081.8366319638415"/>
    <n v="0.96751213900333888"/>
  </r>
  <r>
    <s v="538872408"/>
    <s v="720000760663"/>
    <s v="iHerb_AV CYG0792"/>
    <s v="Доставлен"/>
    <d v="2025-08-16T00:00:00"/>
    <x v="38"/>
    <s v="Витамины"/>
    <s v="LEX-23036"/>
    <x v="7"/>
    <x v="1666"/>
    <n v="26.78"/>
    <n v="-5.36"/>
    <n v="-0.99860646996089575"/>
    <n v="-3.0917323447222273E-15"/>
    <n v="0.56067673903313009"/>
    <n v="1888.8848062566653"/>
    <n v="2900"/>
    <x v="617"/>
    <m/>
    <s v="2025 09"/>
    <n v="1011.1151937433347"/>
    <n v="0.53529743602900381"/>
  </r>
  <r>
    <s v="538872408"/>
    <s v="720000760663"/>
    <s v="iHerb_AV CYG0792"/>
    <s v="Доставлен"/>
    <d v="2025-08-16T00:00:00"/>
    <x v="38"/>
    <s v="Витамины"/>
    <s v="NRT-01281"/>
    <x v="27"/>
    <x v="1667"/>
    <n v="22.03"/>
    <n v="-4.41"/>
    <n v="-0.82144939312376197"/>
    <n v="-2.5432457476193113E-15"/>
    <n v="0.4612102773932657"/>
    <n v="1553.7885287694887"/>
    <n v="2500"/>
    <x v="688"/>
    <m/>
    <s v="2025 09"/>
    <n v="946.21147123051128"/>
    <n v="0.60897056047894527"/>
  </r>
  <r>
    <s v="538872408"/>
    <s v="720000760663"/>
    <s v="iHerb_AV CYG0792"/>
    <s v="Доставлен"/>
    <d v="2025-08-16T00:00:00"/>
    <x v="38"/>
    <s v="Витамины"/>
    <s v="NCS-57114"/>
    <x v="217"/>
    <x v="1668"/>
    <n v="39.369999999999997"/>
    <n v="-7.87"/>
    <n v="-1.4685389264130817"/>
    <n v="-4.5466652128268044E-15"/>
    <n v="0.82452461622519102"/>
    <n v="2777.7717739068603"/>
    <n v="4100"/>
    <x v="617"/>
    <s v="Надежда Витамины"/>
    <s v="2025 09"/>
    <n v="1322.2282260931397"/>
    <n v="0.47600319022374604"/>
  </r>
  <r>
    <s v="538872408"/>
    <s v="720000760663"/>
    <s v="iHerb_AV CYG0792"/>
    <s v="Доставлен"/>
    <d v="2025-08-16T00:00:00"/>
    <x v="38"/>
    <s v="Витамины"/>
    <s v="NOW-01289"/>
    <x v="3"/>
    <x v="214"/>
    <n v="24.42"/>
    <n v="-4.8849999999999998"/>
    <n v="-0.91072723579300185"/>
    <n v="-2.8196541248435444E-15"/>
    <n v="0.51133613898282892"/>
    <n v="1722.6594159768426"/>
    <n v="2800"/>
    <x v="739"/>
    <s v="Виталий Черемушки"/>
    <s v="2026 01"/>
    <n v="1077.3405840231574"/>
    <n v="0.62539383817331418"/>
  </r>
  <r>
    <s v="538872408"/>
    <s v="720000760663"/>
    <s v="iHerb_AV CYG0792"/>
    <s v="Доставлен"/>
    <d v="2025-08-16T00:00:00"/>
    <x v="38"/>
    <s v="Витамины"/>
    <s v="NOW-01289"/>
    <x v="3"/>
    <x v="214"/>
    <n v="24.42"/>
    <n v="-4.8849999999999998"/>
    <n v="-0.91072723579300185"/>
    <n v="-2.8196541248435444E-15"/>
    <n v="0.51133613898282892"/>
    <n v="1722.6594159768426"/>
    <n v="2800"/>
    <x v="873"/>
    <m/>
    <s v="2026 02"/>
    <n v="1077.3405840231574"/>
    <n v="0.62539383817331418"/>
  </r>
  <r>
    <s v="538872408"/>
    <s v="720000760663"/>
    <s v="iHerb_AV CYG0792"/>
    <s v="Доставлен"/>
    <d v="2025-08-16T00:00:00"/>
    <x v="38"/>
    <s v="Витамины"/>
    <s v="LEX-19456"/>
    <x v="7"/>
    <x v="558"/>
    <n v="10.36"/>
    <n v="-2.0699999999999998"/>
    <n v="-0.38648214920522062"/>
    <n v="-1.196566813153467E-15"/>
    <n v="0.21699393868275663"/>
    <n v="731.03898430755157"/>
    <n v="1350"/>
    <x v="746"/>
    <s v="Оксана молокозавод"/>
    <s v="2025 11"/>
    <n v="618.96101569244843"/>
    <n v="0.84668674171834402"/>
  </r>
  <r>
    <s v="538872408"/>
    <s v="720000760663"/>
    <s v="iHerb_AV CYG0792"/>
    <s v="Доставлен"/>
    <d v="2025-08-16T00:00:00"/>
    <x v="38"/>
    <s v="Витамины"/>
    <s v="LEX-19456"/>
    <x v="7"/>
    <x v="558"/>
    <n v="10.36"/>
    <n v="-2.0699999999999998"/>
    <n v="-0.38648214920522062"/>
    <n v="-1.196566813153467E-15"/>
    <n v="0.21699393868275663"/>
    <n v="731.03898430755157"/>
    <n v="1700"/>
    <x v="739"/>
    <s v="Виталий Черемушки"/>
    <s v="2026 01"/>
    <n v="968.96101569244843"/>
    <n v="1.3254573784601369"/>
  </r>
  <r>
    <s v="538872408"/>
    <s v="720000760663"/>
    <s v="iHerb_AV CYG0792"/>
    <s v="Доставлен"/>
    <d v="2025-08-16T00:00:00"/>
    <x v="38"/>
    <s v="Витамины"/>
    <s v="NOW-04739"/>
    <x v="3"/>
    <x v="191"/>
    <n v="18.829999999999998"/>
    <n v="-3.77"/>
    <n v="-0.70210146767558779"/>
    <n v="-2.1737389874657673E-15"/>
    <n v="0.39420129270956761"/>
    <n v="1328.0394576202323"/>
    <n v="2500"/>
    <x v="779"/>
    <s v="Татьяна Писарева 28"/>
    <s v="2026 02"/>
    <n v="1171.9605423797677"/>
    <n v="0.88247418828944379"/>
  </r>
  <r>
    <s v="538872408"/>
    <s v="720000760663"/>
    <s v="iHerb_AV CYG0792"/>
    <s v="Доставлен"/>
    <d v="2025-08-16T00:00:00"/>
    <x v="38"/>
    <s v="Витамины"/>
    <s v="NOW-00367"/>
    <x v="3"/>
    <x v="365"/>
    <n v="5.57"/>
    <n v="-1.1100000000000001"/>
    <n v="-0.20792646386674113"/>
    <n v="-6.4375005870500155E-16"/>
    <n v="0.11674221550363025"/>
    <n v="393.29720989284442"/>
    <n v="1000"/>
    <x v="537"/>
    <s v="Аня Мирный"/>
    <s v="2025 11"/>
    <n v="606.70279010715558"/>
    <n v="1.5426063924339928"/>
  </r>
  <r>
    <s v="538872408"/>
    <s v="720000760663"/>
    <s v="iHerb_AV CYG0792"/>
    <s v="Доставлен"/>
    <d v="2025-08-16T00:00:00"/>
    <x v="38"/>
    <s v="Витамины"/>
    <s v="NOW-00372"/>
    <x v="3"/>
    <x v="13"/>
    <n v="8.06"/>
    <n v="-1.61"/>
    <n v="-0.30070082778934532"/>
    <n v="-9.3098382929310775E-16"/>
    <n v="0.16883123094134869"/>
    <n v="568.78183941902387"/>
    <n v="1200"/>
    <x v="874"/>
    <m/>
    <s v="2026 01"/>
    <n v="631.21816058097613"/>
    <n v="1.1097720019080202"/>
  </r>
  <r>
    <s v="538872408"/>
    <s v="720000760663"/>
    <s v="iHerb_AV CYG0792"/>
    <s v="Доставлен"/>
    <d v="2025-08-16T00:00:00"/>
    <x v="38"/>
    <s v="Витамины"/>
    <s v="NOW-01662"/>
    <x v="3"/>
    <x v="122"/>
    <n v="40.090000000000003"/>
    <n v="-8.02"/>
    <n v="-1.4951124879386524"/>
    <n v="-4.6289382023922429E-15"/>
    <n v="0.83944458547117096"/>
    <n v="2828.0362155299381"/>
    <n v="4400"/>
    <x v="875"/>
    <m/>
    <s v="2025 10"/>
    <n v="1571.9637844700619"/>
    <n v="0.55584994839802493"/>
  </r>
  <r>
    <s v="538686708"/>
    <s v="722500504671"/>
    <s v="iHerb_OA CZN6870"/>
    <s v="Доставлен"/>
    <d v="2025-08-10T00:00:00"/>
    <x v="38"/>
    <s v="Витамины"/>
    <s v="NFS-04956"/>
    <x v="23"/>
    <x v="354"/>
    <n v="43.91"/>
    <n v="-4.3899999999999997"/>
    <n v="-1.5812928705050924"/>
    <n v="0"/>
    <n v="1.0591946037780111"/>
    <n v="3508.3672583662428"/>
    <n v="4500"/>
    <x v="876"/>
    <m/>
    <s v="2025 09"/>
    <n v="991.63274163375718"/>
    <n v="0.28264792953732421"/>
  </r>
  <r>
    <s v="538686708"/>
    <s v="722500504671"/>
    <s v="iHerb_OA CZN6870"/>
    <s v="Доставлен"/>
    <d v="2025-08-10T00:00:00"/>
    <x v="38"/>
    <s v="Витамины"/>
    <s v="NOW-01283"/>
    <x v="3"/>
    <x v="343"/>
    <n v="17.239999999999998"/>
    <n v="-1.72"/>
    <n v="-0.62099355643317389"/>
    <n v="0"/>
    <n v="0.41595901443913791"/>
    <n v="1377.7798545001037"/>
    <n v="2400"/>
    <x v="617"/>
    <s v="Наталья 60 лет СССР"/>
    <s v="2025 09"/>
    <n v="1022.2201454998963"/>
    <n v="0.74193285825824895"/>
  </r>
  <r>
    <s v="538686708"/>
    <s v="722500504671"/>
    <s v="iHerb_OA CZN6870"/>
    <s v="Доставлен"/>
    <d v="2025-08-10T00:00:00"/>
    <x v="38"/>
    <s v="Витамины"/>
    <s v="JIG-00196"/>
    <x v="327"/>
    <x v="1665"/>
    <n v="65.13"/>
    <n v="-6.51"/>
    <n v="-2.345531074620661"/>
    <n v="0"/>
    <n v="1.5711029269601977"/>
    <n v="5203.9597339430466"/>
    <n v="6500"/>
    <x v="743"/>
    <s v="Любовь Виталий"/>
    <s v="2025 09"/>
    <n v="1296.0402660569534"/>
    <n v="0.24904886515617641"/>
  </r>
  <r>
    <s v="538686708"/>
    <s v="722500504671"/>
    <s v="iHerb_OA CZN6870"/>
    <s v="Доставлен"/>
    <d v="2025-08-10T00:00:00"/>
    <x v="38"/>
    <s v="Витамины"/>
    <s v="CLF-07211"/>
    <x v="72"/>
    <x v="1655"/>
    <n v="31.95"/>
    <n v="-3.2"/>
    <n v="-1.1503585533153191"/>
    <n v="0"/>
    <n v="0.77054263306219184"/>
    <n v="2552.2661608813137"/>
    <n v="3800"/>
    <x v="617"/>
    <m/>
    <s v="2025 09"/>
    <n v="1247.7338391186863"/>
    <n v="0.48887293113968799"/>
  </r>
  <r>
    <s v="538686708"/>
    <s v="722500504671"/>
    <s v="iHerb_OA CZN6870"/>
    <s v="Доставлен"/>
    <d v="2025-08-10T00:00:00"/>
    <x v="38"/>
    <s v="Витамины"/>
    <s v="BLB-00204"/>
    <x v="186"/>
    <x v="1531"/>
    <n v="31.43"/>
    <n v="-3.14"/>
    <n v="-1.1319528164622739"/>
    <n v="0"/>
    <n v="0.75821395093319666"/>
    <n v="2511.4299023072122"/>
    <n v="3600"/>
    <x v="617"/>
    <m/>
    <s v="2025 09"/>
    <n v="1088.5700976927878"/>
    <n v="0.4334463393514329"/>
  </r>
  <r>
    <s v="538686708"/>
    <s v="722500504671"/>
    <s v="iHerb_OA CZN6870"/>
    <s v="Доставлен"/>
    <d v="2025-08-10T00:00:00"/>
    <x v="38"/>
    <s v="Витамины"/>
    <s v="SOR-35007"/>
    <x v="10"/>
    <x v="1576"/>
    <n v="24.16"/>
    <n v="-2.42"/>
    <n v="-0.86987112866347971"/>
    <n v="0"/>
    <n v="0.58266423800946265"/>
    <n v="1929.9570900020788"/>
    <n v="2900"/>
    <x v="617"/>
    <m/>
    <s v="2025 09"/>
    <n v="970.04290999792124"/>
    <n v="0.50262408165607264"/>
  </r>
  <r>
    <s v="538765172"/>
    <s v="720000756480"/>
    <s v="iHerb_OA CZN6870"/>
    <s v="Доставлен"/>
    <d v="2025-08-12T00:00:00"/>
    <x v="38"/>
    <s v="Витамины"/>
    <s v="THR-04802"/>
    <x v="82"/>
    <x v="1528"/>
    <n v="60"/>
    <n v="-6"/>
    <n v="-2.5045126353790619"/>
    <n v="7.6954086905426018E-15"/>
    <n v="1.3956076873312575"/>
    <n v="4761.2247292418779"/>
    <n v="5900"/>
    <x v="617"/>
    <s v="Оксана Черноморская"/>
    <s v="2025 09"/>
    <n v="1138.7752707581221"/>
    <n v="0.23917696297008176"/>
  </r>
  <r>
    <s v="538765172"/>
    <s v="720000756480"/>
    <s v="iHerb_OA CZN6870"/>
    <s v="Доставлен"/>
    <d v="2025-08-12T00:00:00"/>
    <x v="38"/>
    <s v="Витамины"/>
    <s v="NRT-00696"/>
    <x v="27"/>
    <x v="1597"/>
    <n v="27.21"/>
    <n v="-2.72"/>
    <n v="-1.1358428600080228"/>
    <n v="3.4900103487294137E-15"/>
    <n v="0.63293393079152771"/>
    <n v="2159.303585539511"/>
    <n v="2950"/>
    <x v="617"/>
    <s v="Оксана Черноморская"/>
    <s v="2025 09"/>
    <n v="790.696414460489"/>
    <n v="0.36618121683104149"/>
  </r>
  <r>
    <s v="538765172"/>
    <s v="720000756480"/>
    <s v="iHerb_OA CZN6870"/>
    <s v="Доставлен"/>
    <d v="2025-08-12T00:00:00"/>
    <x v="38"/>
    <s v="Витамины"/>
    <s v="MCL-21045"/>
    <x v="286"/>
    <x v="1545"/>
    <n v="33.130000000000003"/>
    <n v="-3.31"/>
    <n v="-1.3830475330926599"/>
    <n v="4.249575687999638E-15"/>
    <n v="0.7706855784484834"/>
    <n v="2629.2541004813484"/>
    <n v="3500"/>
    <x v="617"/>
    <s v="Оксана Черноморская"/>
    <s v="2025 09"/>
    <n v="870.74589951865164"/>
    <n v="0.33117601655893231"/>
  </r>
  <r>
    <s v="538765172"/>
    <s v="720000756480"/>
    <s v="iHerb_OA CZN6870"/>
    <s v="Доставлен"/>
    <d v="2025-08-12T00:00:00"/>
    <x v="38"/>
    <s v="Витамины"/>
    <s v="THR-78401"/>
    <x v="82"/>
    <x v="1669"/>
    <n v="38"/>
    <n v="-3.8"/>
    <n v="-1.5861913357400725"/>
    <n v="4.8737588373436489E-15"/>
    <n v="0.88388486864312987"/>
    <n v="3015.4423285198563"/>
    <n v="3900"/>
    <x v="617"/>
    <s v="Оксана Черноморская"/>
    <s v="2025 09"/>
    <n v="884.55767148014365"/>
    <n v="0.29334259293041526"/>
  </r>
  <r>
    <s v="538765172"/>
    <s v="720000756480"/>
    <s v="iHerb_OA CZN6870"/>
    <s v="Доставлен"/>
    <d v="2025-08-12T00:00:00"/>
    <x v="38"/>
    <s v="Витамины"/>
    <s v="GOL-13419"/>
    <x v="222"/>
    <x v="1670"/>
    <n v="34.79"/>
    <n v="-3.48"/>
    <n v="-1.4521535298836745"/>
    <n v="4.4619119648312757E-15"/>
    <n v="0.80919401278410508"/>
    <n v="2760.6286346770962"/>
    <n v="3600"/>
    <x v="617"/>
    <s v="Оксана Черноморская"/>
    <s v="2025 09"/>
    <n v="839.37136532290378"/>
    <n v="0.30405080740643803"/>
  </r>
  <r>
    <s v="538765172"/>
    <s v="720000756480"/>
    <s v="iHerb_OA CZN6870"/>
    <s v="Доставлен"/>
    <d v="2025-08-12T00:00:00"/>
    <x v="38"/>
    <s v="Витамины"/>
    <s v="NCS-67246"/>
    <x v="217"/>
    <x v="1671"/>
    <n v="17.079999999999998"/>
    <n v="-1.71"/>
    <n v="-0.71285850381066995"/>
    <n v="2.1903413254377738E-15"/>
    <n v="0.39723129915335964"/>
    <n v="1355.1856312675491"/>
    <n v="2150"/>
    <x v="617"/>
    <s v="Оксана Черноморская"/>
    <s v="2025 09"/>
    <n v="794.81436873245093"/>
    <n v="0.58649852123139412"/>
  </r>
  <r>
    <s v="538765172"/>
    <s v="720000756480"/>
    <s v="iHerb_OA CZN6870"/>
    <s v="Доставлен"/>
    <d v="2025-08-12T00:00:00"/>
    <x v="38"/>
    <s v="Витамины"/>
    <s v="PAR-77868"/>
    <x v="44"/>
    <x v="1593"/>
    <n v="12.06"/>
    <n v="-1.81"/>
    <n v="-0.47539360208584042"/>
    <n v="1.4607025755196607E-15"/>
    <n v="0.26490701472491462"/>
    <n v="903.75099027276372"/>
    <m/>
    <x v="20"/>
    <m/>
    <s v=""/>
    <n v="-903.75099027276372"/>
    <s v=""/>
  </r>
  <r>
    <s v="538909214"/>
    <s v="720000761904"/>
    <s v="iHerb_VP DFD1605"/>
    <s v="Доставлен"/>
    <d v="2025-08-17T00:00:00"/>
    <x v="38"/>
    <s v="Витамины"/>
    <s v="NOW-00330"/>
    <x v="3"/>
    <x v="748"/>
    <n v="5.78"/>
    <n v="-1.1599999999999999"/>
    <n v="0"/>
    <n v="-8.0202966997597416E-16"/>
    <n v="0.14609342788115864"/>
    <n v="427.1595223552406"/>
    <n v="1000"/>
    <x v="856"/>
    <s v="Юлия АТБ кольцо"/>
    <s v="2025 12"/>
    <n v="572.8404776447594"/>
    <n v="1.341045786563001"/>
  </r>
  <r>
    <s v="538909214"/>
    <s v="720000761904"/>
    <s v="iHerb_VP DFD1605"/>
    <s v="Доставлен"/>
    <d v="2025-08-17T00:00:00"/>
    <x v="38"/>
    <s v="Витамины"/>
    <s v="NOW-03770"/>
    <x v="3"/>
    <x v="281"/>
    <n v="13.76"/>
    <n v="-2.75"/>
    <n v="0"/>
    <n v="-1.9113304472804061E-15"/>
    <n v="0.34815771449600802"/>
    <n v="1017.9710695089175"/>
    <n v="2000"/>
    <x v="588"/>
    <m/>
    <s v="2025 10"/>
    <n v="982.02893049108252"/>
    <n v="0.96469237673407171"/>
  </r>
  <r>
    <s v="538909214"/>
    <s v="720000761904"/>
    <s v="iHerb_VP DFD1605"/>
    <s v="Доставлен"/>
    <d v="2025-08-17T00:00:00"/>
    <x v="38"/>
    <s v="Витамины"/>
    <s v="NOW-03802"/>
    <x v="3"/>
    <x v="1225"/>
    <n v="22.86"/>
    <n v="-4.57"/>
    <n v="0"/>
    <n v="-3.1751347757273955E-15"/>
    <n v="0.5783655402481368"/>
    <n v="1691.0709229171753"/>
    <n v="2900"/>
    <x v="811"/>
    <m/>
    <s v="2025 11"/>
    <n v="1208.9290770828247"/>
    <n v="0.71488963632428049"/>
  </r>
  <r>
    <s v="538909214"/>
    <s v="720000761904"/>
    <s v="iHerb_VP DFD1605"/>
    <s v="Доставлен"/>
    <d v="2025-08-17T00:00:00"/>
    <x v="38"/>
    <s v="Витамины"/>
    <s v="NFS-35493"/>
    <x v="23"/>
    <x v="1383"/>
    <n v="47.68"/>
    <n v="-9.5399999999999991"/>
    <n v="0"/>
    <n v="-6.6210847646934319E-15"/>
    <n v="1.2060613288717297"/>
    <n v="3526.3775287075487"/>
    <n v="5200"/>
    <x v="743"/>
    <s v="Любовь Виталий"/>
    <s v="2025 09"/>
    <n v="1673.6224712924513"/>
    <n v="0.47460104814865073"/>
  </r>
  <r>
    <s v="538909214"/>
    <s v="720000761904"/>
    <s v="iHerb_VP DFD1605"/>
    <s v="Доставлен"/>
    <d v="2025-08-17T00:00:00"/>
    <x v="38"/>
    <s v="Витамины"/>
    <s v="BLB-00601"/>
    <x v="186"/>
    <x v="1587"/>
    <n v="45.08"/>
    <n v="-9.02"/>
    <n v="0"/>
    <n v="-6.2599978137085783E-15"/>
    <n v="1.1402876643711215"/>
    <n v="3334.0632848766186"/>
    <n v="4700"/>
    <x v="743"/>
    <m/>
    <s v="2025 09"/>
    <n v="1365.9367151233814"/>
    <n v="0.4096912980984192"/>
  </r>
  <r>
    <s v="538909214"/>
    <s v="720000761904"/>
    <s v="iHerb_VP DFD1605"/>
    <s v="Доставлен"/>
    <d v="2025-08-17T00:00:00"/>
    <x v="38"/>
    <s v="Витамины"/>
    <s v="PAR-77866"/>
    <x v="44"/>
    <x v="1654"/>
    <n v="15.08"/>
    <n v="-3.02"/>
    <n v="0"/>
    <n v="-2.0936099177294912E-15"/>
    <n v="0.38136076628718046"/>
    <n v="1115.0527791351087"/>
    <n v="1900"/>
    <x v="743"/>
    <m/>
    <s v="2025 09"/>
    <n v="784.94722086489128"/>
    <n v="0.70395521678690043"/>
  </r>
  <r>
    <s v="538909214"/>
    <s v="720000761904"/>
    <s v="iHerb_VP DFD1605"/>
    <s v="Доставлен"/>
    <d v="2025-08-17T00:00:00"/>
    <x v="38"/>
    <s v="Витамины"/>
    <s v="MSH-50722"/>
    <x v="42"/>
    <x v="1672"/>
    <n v="9.64"/>
    <n v="-1.93"/>
    <n v="0"/>
    <n v="-1.3384521115832818E-15"/>
    <n v="0.24380526600946614"/>
    <n v="712.85712496945996"/>
    <m/>
    <x v="20"/>
    <m/>
    <s v=""/>
    <n v="-712.85712496945996"/>
    <s v=""/>
  </r>
  <r>
    <s v="538909214"/>
    <s v="720000761904"/>
    <s v="iHerb_VP DFD1605"/>
    <s v="Доставлен"/>
    <d v="2025-08-17T00:00:00"/>
    <x v="38"/>
    <s v="Витамины"/>
    <s v="NWY-14162"/>
    <x v="16"/>
    <x v="1673"/>
    <n v="5.64"/>
    <n v="-1.1299999999999999"/>
    <n v="0"/>
    <n v="-7.8293372545273664E-16"/>
    <n v="0.14261501293160725"/>
    <n v="416.98905753725865"/>
    <n v="1000"/>
    <x v="617"/>
    <s v="Александр Радин"/>
    <s v="2025 09"/>
    <n v="583.01094246274135"/>
    <n v="1.3981444642840499"/>
  </r>
  <r>
    <s v="538909214"/>
    <s v="720000761904"/>
    <s v="iHerb_VP DFD1605"/>
    <s v="Доставлен"/>
    <d v="2025-08-17T00:00:00"/>
    <x v="38"/>
    <s v="Витамины"/>
    <s v="NOW-00825"/>
    <x v="3"/>
    <x v="1354"/>
    <n v="10.86"/>
    <n v="-2.17"/>
    <n v="0"/>
    <n v="-1.508579617335761E-15"/>
    <n v="0.27479478101456034"/>
    <n v="803.46672062057144"/>
    <n v="1500"/>
    <x v="688"/>
    <m/>
    <s v="2025 09"/>
    <n v="696.53327937942856"/>
    <n v="0.86690993105657077"/>
  </r>
  <r>
    <s v="538909214"/>
    <s v="720000761904"/>
    <s v="iHerb_VP DFD1605"/>
    <s v="Доставлен"/>
    <d v="2025-08-17T00:00:00"/>
    <x v="38"/>
    <s v="Витамины"/>
    <s v="NOW-00825"/>
    <x v="3"/>
    <x v="1354"/>
    <n v="10.86"/>
    <n v="-2.17"/>
    <n v="0"/>
    <n v="-1.508579617335761E-15"/>
    <n v="0.27479478101456034"/>
    <n v="803.46672062057144"/>
    <n v="1600"/>
    <x v="623"/>
    <s v="Любовь Виталий"/>
    <s v="2025 10"/>
    <n v="796.53327937942856"/>
    <n v="0.99137059312700881"/>
  </r>
  <r>
    <s v="538909214"/>
    <s v="720000761904"/>
    <s v="iHerb_VP DFD1605"/>
    <s v="Доставлен"/>
    <d v="2025-08-17T00:00:00"/>
    <x v="38"/>
    <s v="Витамины"/>
    <s v="RAL-21032"/>
    <x v="328"/>
    <x v="1674"/>
    <n v="17.420000000000002"/>
    <n v="-3.48"/>
    <n v="0"/>
    <n v="-2.4199769695811863E-15"/>
    <n v="0.44081003997042256"/>
    <n v="1288.8752687515271"/>
    <m/>
    <x v="20"/>
    <m/>
    <s v=""/>
    <n v="-1288.8752687515271"/>
    <s v=""/>
  </r>
  <r>
    <s v="539018105"/>
    <s v="720000766767"/>
    <s v="iHerb_VP DFD1605"/>
    <s v="Доставлен"/>
    <d v="2025-08-20T00:00:00"/>
    <x v="38"/>
    <s v="Витамины"/>
    <s v="SOR-35007"/>
    <x v="10"/>
    <x v="1576"/>
    <n v="24.16"/>
    <n v="-4.83"/>
    <n v="0"/>
    <n v="-3.2566191066372814E-15"/>
    <n v="0.45168708647301892"/>
    <n v="1773.0747097411577"/>
    <n v="2900"/>
    <x v="659"/>
    <s v="Любовь Виталий"/>
    <s v="2025 09"/>
    <n v="1126.9252902588423"/>
    <n v="0.63557687900435766"/>
  </r>
  <r>
    <s v="539018105"/>
    <s v="720000766767"/>
    <s v="iHerb_VP DFD1605"/>
    <s v="Доставлен"/>
    <d v="2025-08-20T00:00:00"/>
    <x v="38"/>
    <s v="Витамины"/>
    <s v="SOR-35007"/>
    <x v="10"/>
    <x v="1576"/>
    <n v="24.16"/>
    <n v="-4.83"/>
    <n v="0"/>
    <n v="-3.2566191066372814E-15"/>
    <n v="0.45168708647301892"/>
    <n v="1773.0747097411577"/>
    <n v="2900"/>
    <x v="659"/>
    <s v="Любовь Виталий"/>
    <s v="2025 09"/>
    <n v="1126.9252902588423"/>
    <n v="0.63557687900435766"/>
  </r>
  <r>
    <s v="539018105"/>
    <s v="720000766767"/>
    <s v="iHerb_VP DFD1605"/>
    <s v="Доставлен"/>
    <d v="2025-08-20T00:00:00"/>
    <x v="38"/>
    <s v="Витамины"/>
    <s v="NOW-01662"/>
    <x v="3"/>
    <x v="122"/>
    <n v="40.090000000000003"/>
    <n v="-8.02"/>
    <n v="0"/>
    <n v="-5.4029888644520249E-15"/>
    <n v="0.74938462820433105"/>
    <n v="2941.6712851215179"/>
    <n v="4400"/>
    <x v="701"/>
    <m/>
    <s v="2025 10"/>
    <n v="1458.3287148784821"/>
    <n v="0.49574835987095672"/>
  </r>
  <r>
    <s v="539018105"/>
    <s v="720000766767"/>
    <s v="iHerb_VP DFD1605"/>
    <s v="Доставлен"/>
    <d v="2025-08-20T00:00:00"/>
    <x v="38"/>
    <s v="Витамины"/>
    <s v="NOW-01662"/>
    <x v="3"/>
    <x v="122"/>
    <n v="40.090000000000003"/>
    <n v="-8.02"/>
    <n v="0"/>
    <n v="-5.4029888644520249E-15"/>
    <n v="0.74938462820433105"/>
    <n v="2941.6712851215179"/>
    <n v="4400"/>
    <x v="845"/>
    <s v="Лариса Западный"/>
    <s v="2025 11"/>
    <n v="1458.3287148784821"/>
    <n v="0.49574835987095672"/>
  </r>
  <r>
    <s v="539018105"/>
    <s v="720000766767"/>
    <s v="iHerb_VP DFD1605"/>
    <s v="Доставлен"/>
    <d v="2025-08-20T00:00:00"/>
    <x v="38"/>
    <s v="Витамины"/>
    <s v="NAP-29978"/>
    <x v="11"/>
    <x v="54"/>
    <n v="13.22"/>
    <n v="-2.64"/>
    <n v="0"/>
    <n v="-1.7824640531930907E-15"/>
    <n v="0.24722448913008488"/>
    <n v="970.46717170519662"/>
    <n v="2000"/>
    <x v="775"/>
    <m/>
    <s v="2025 10"/>
    <n v="1029.5328282948035"/>
    <n v="1.0608631165604741"/>
  </r>
  <r>
    <s v="539018105"/>
    <s v="720000766767"/>
    <s v="iHerb_VP DFD1605"/>
    <s v="Доставлен"/>
    <d v="2025-08-20T00:00:00"/>
    <x v="38"/>
    <s v="Витамины"/>
    <s v="NAP-29950"/>
    <x v="11"/>
    <x v="350"/>
    <n v="9.59"/>
    <n v="-1.92"/>
    <n v="0"/>
    <n v="-1.2922022011333653E-15"/>
    <n v="0.17922607104232052"/>
    <n v="703.54283619837975"/>
    <n v="1700"/>
    <x v="815"/>
    <m/>
    <s v="2025 11"/>
    <n v="996.45716380162025"/>
    <n v="1.4163418523113875"/>
  </r>
  <r>
    <s v="539018105"/>
    <s v="720000766767"/>
    <s v="iHerb_VP DFD1605"/>
    <s v="Доставлен"/>
    <d v="2025-08-20T00:00:00"/>
    <x v="38"/>
    <s v="Витамины"/>
    <s v="NOW-04726"/>
    <x v="3"/>
    <x v="48"/>
    <n v="17.38"/>
    <n v="-3.48"/>
    <n v="0"/>
    <n v="-2.3418005991856291E-15"/>
    <n v="0.32480344035048953"/>
    <n v="1274.9994032799841"/>
    <n v="2300"/>
    <x v="129"/>
    <s v="Даша Калифорния"/>
    <s v="2025 09"/>
    <n v="1025.0005967200159"/>
    <n v="0.80392241289145949"/>
  </r>
  <r>
    <s v="539018105"/>
    <s v="720000766767"/>
    <s v="iHerb_VP DFD1605"/>
    <s v="Доставлен"/>
    <d v="2025-08-20T00:00:00"/>
    <x v="38"/>
    <s v="Витамины"/>
    <s v="PIF-15600"/>
    <x v="329"/>
    <x v="1675"/>
    <n v="19.27"/>
    <n v="-9.64"/>
    <n v="0"/>
    <n v="-1.622412933104864E-15"/>
    <n v="0.22502569284713772"/>
    <n v="883.32692471843507"/>
    <m/>
    <x v="20"/>
    <m/>
    <s v=""/>
    <n v="-883.32692471843507"/>
    <s v=""/>
  </r>
  <r>
    <s v="539018105"/>
    <s v="720000766767"/>
    <s v="iHerb_VP DFD1605"/>
    <s v="Доставлен"/>
    <d v="2025-08-20T00:00:00"/>
    <x v="38"/>
    <s v="Витамины"/>
    <s v="PAR-77892"/>
    <x v="44"/>
    <x v="1676"/>
    <n v="30.15"/>
    <n v="-6.03"/>
    <n v="0"/>
    <n v="-4.0636137016084439E-15"/>
    <n v="0.56361575404703645"/>
    <n v="2212.4450077059864"/>
    <m/>
    <x v="20"/>
    <m/>
    <s v=""/>
    <n v="-2212.4450077059864"/>
    <s v=""/>
  </r>
  <r>
    <s v="539169314"/>
    <s v="722500515861"/>
    <s v="iHerb_VP DFD1605"/>
    <s v="Доставлен"/>
    <d v="2025-08-25T00:00:00"/>
    <x v="38"/>
    <s v="Витамины"/>
    <s v="CLF-06416"/>
    <x v="72"/>
    <x v="1677"/>
    <n v="48.2"/>
    <n v="-13.98"/>
    <n v="0"/>
    <n v="-6.5283319687771849E-15"/>
    <n v="0.90551202724434576"/>
    <n v="3148.2200930773702"/>
    <n v="4900"/>
    <x v="659"/>
    <s v="Надежда Витамины"/>
    <s v="2025 09"/>
    <n v="1751.7799069226298"/>
    <n v="0.55643501887769009"/>
  </r>
  <r>
    <s v="539169314"/>
    <s v="722500515861"/>
    <s v="iHerb_VP DFD1605"/>
    <s v="Доставлен"/>
    <d v="2025-08-25T00:00:00"/>
    <x v="38"/>
    <s v="Витамины"/>
    <s v="CLF-06416"/>
    <x v="72"/>
    <x v="1677"/>
    <n v="48.2"/>
    <n v="-13.98"/>
    <n v="0"/>
    <n v="-6.5283319687771849E-15"/>
    <n v="0.90551202724434576"/>
    <n v="3148.2200930773702"/>
    <n v="4900"/>
    <x v="659"/>
    <s v="Любовь Виталий"/>
    <s v="2025 09"/>
    <n v="1751.7799069226298"/>
    <n v="0.55643501887769009"/>
  </r>
  <r>
    <s v="539169314"/>
    <s v="722500515861"/>
    <s v="iHerb_VP DFD1605"/>
    <s v="Доставлен"/>
    <d v="2025-08-25T00:00:00"/>
    <x v="38"/>
    <s v="Витамины"/>
    <s v="PAR-77866"/>
    <x v="44"/>
    <x v="1654"/>
    <n v="15.08"/>
    <n v="-4.37"/>
    <n v="0"/>
    <n v="-2.0432038394390314E-15"/>
    <n v="0.28340250765011521"/>
    <n v="985.31376963350772"/>
    <n v="1900"/>
    <x v="659"/>
    <s v="Надежда Витамины"/>
    <s v="2025 09"/>
    <n v="914.68623036649228"/>
    <n v="0.92831974803997142"/>
  </r>
  <r>
    <s v="539169314"/>
    <s v="722500515861"/>
    <s v="iHerb_VP DFD1605"/>
    <s v="Доставлен"/>
    <d v="2025-08-25T00:00:00"/>
    <x v="38"/>
    <s v="Витамины"/>
    <s v="DRB-00133"/>
    <x v="6"/>
    <x v="621"/>
    <n v="17.38"/>
    <n v="-5.04"/>
    <n v="0"/>
    <n v="-2.3541676357308727E-15"/>
    <n v="0.3265347287023736"/>
    <n v="1135.2728214077952"/>
    <n v="2400"/>
    <x v="877"/>
    <s v="Юлия рынок на Нептуне"/>
    <s v="2026 03"/>
    <n v="1264.7271785922048"/>
    <n v="1.1140292929975015"/>
  </r>
  <r>
    <s v="539169314"/>
    <s v="722500515861"/>
    <s v="iHerb_VP DFD1605"/>
    <s v="Доставлен"/>
    <d v="2025-08-25T00:00:00"/>
    <x v="38"/>
    <s v="Витамины"/>
    <s v="DRB-00133"/>
    <x v="6"/>
    <x v="621"/>
    <n v="17.38"/>
    <n v="-5.04"/>
    <n v="0"/>
    <n v="-2.3541676357308727E-15"/>
    <n v="0.3265347287023736"/>
    <n v="1135.2728214077952"/>
    <m/>
    <x v="20"/>
    <m/>
    <s v=""/>
    <n v="-1135.2728214077952"/>
    <s v=""/>
  </r>
  <r>
    <s v="539169314"/>
    <s v="722500515861"/>
    <s v="iHerb_VP DFD1605"/>
    <s v="Доставлен"/>
    <d v="2025-08-25T00:00:00"/>
    <x v="38"/>
    <s v="Витамины"/>
    <s v="DRB-00087"/>
    <x v="6"/>
    <x v="1374"/>
    <n v="23.87"/>
    <n v="-6.92"/>
    <n v="0"/>
    <n v="-3.2336419307648542E-15"/>
    <n v="0.44852217597287147"/>
    <n v="1559.3901396160559"/>
    <n v="3000"/>
    <x v="853"/>
    <s v="Любовь Виталий"/>
    <s v="2025 11"/>
    <n v="1440.6098603839441"/>
    <n v="0.92382901737383238"/>
  </r>
  <r>
    <s v="539169314"/>
    <s v="722500515861"/>
    <s v="iHerb_VP DFD1605"/>
    <s v="Доставлен"/>
    <d v="2025-08-25T00:00:00"/>
    <x v="38"/>
    <s v="Витамины"/>
    <s v="NAP-37691"/>
    <x v="11"/>
    <x v="352"/>
    <n v="12.8"/>
    <n v="-3.71"/>
    <n v="0"/>
    <n v="-1.7341477964986736E-15"/>
    <n v="0.24053490145093809"/>
    <n v="836.27471204188453"/>
    <n v="2000"/>
    <x v="650"/>
    <s v="Аня Мирный"/>
    <s v="2026 01"/>
    <n v="1163.7252879581156"/>
    <n v="1.3915586244581204"/>
  </r>
  <r>
    <s v="539169314"/>
    <s v="722500515861"/>
    <s v="iHerb_VP DFD1605"/>
    <s v="Доставлен"/>
    <d v="2025-08-25T00:00:00"/>
    <x v="38"/>
    <s v="Витамины"/>
    <s v="NTL-00458"/>
    <x v="67"/>
    <x v="1678"/>
    <n v="13.2"/>
    <n v="-3.83"/>
    <n v="0"/>
    <n v="-1.7875648903402169E-15"/>
    <n v="0.24794411733721558"/>
    <n v="862.03454915648615"/>
    <n v="1700"/>
    <x v="765"/>
    <m/>
    <s v="2025 12"/>
    <n v="837.96545084351385"/>
    <n v="0.97207873125674105"/>
  </r>
  <r>
    <s v="539169314"/>
    <s v="722500515861"/>
    <s v="iHerb_VP DFD1605"/>
    <s v="Доставлен"/>
    <d v="2025-08-25T00:00:00"/>
    <x v="38"/>
    <s v="Витамины"/>
    <s v="NTL-04837"/>
    <x v="67"/>
    <x v="189"/>
    <n v="13.72"/>
    <n v="-3.98"/>
    <n v="0"/>
    <n v="-1.8581517643451134E-15"/>
    <n v="0.25773486690122521"/>
    <n v="896.07433391506675"/>
    <n v="1700"/>
    <x v="865"/>
    <s v="Татьяна Бригантина"/>
    <s v="2025 11"/>
    <n v="803.92566608493325"/>
    <n v="0.89716403612686479"/>
  </r>
  <r>
    <s v="539328620"/>
    <s v="720000774895"/>
    <s v="iHerb_VP DFD1605"/>
    <s v="Доставлен"/>
    <d v="2025-08-29T00:00:00"/>
    <x v="38"/>
    <s v="Витамины"/>
    <s v="NOW-01292"/>
    <x v="3"/>
    <x v="1014"/>
    <n v="31.5"/>
    <n v="-9.1366666666666667"/>
    <n v="-1.154701227641854"/>
    <n v="0"/>
    <n v="0.45567805057672284"/>
    <n v="1951.4373302396989"/>
    <n v="3700"/>
    <x v="691"/>
    <s v="Антонина Космос"/>
    <s v="2025 11"/>
    <n v="1748.5626697603011"/>
    <n v="0.89603834192590837"/>
  </r>
  <r>
    <s v="539328620"/>
    <s v="720000774895"/>
    <s v="iHerb_VP DFD1605"/>
    <s v="Доставлен"/>
    <d v="2025-08-29T00:00:00"/>
    <x v="38"/>
    <s v="Витамины"/>
    <s v="NOW-01292"/>
    <x v="3"/>
    <x v="1014"/>
    <n v="31.5"/>
    <n v="-9.1366666666666667"/>
    <n v="-1.154701227641854"/>
    <n v="0"/>
    <n v="0.45567805057672284"/>
    <n v="1951.4373302396989"/>
    <n v="3800"/>
    <x v="861"/>
    <m/>
    <s v="2026 02"/>
    <n v="1848.5626697603011"/>
    <n v="0.94728262143741937"/>
  </r>
  <r>
    <s v="539328620"/>
    <s v="720000774895"/>
    <s v="iHerb_VP DFD1605"/>
    <s v="Доставлен"/>
    <d v="2025-08-29T00:00:00"/>
    <x v="38"/>
    <s v="Витамины"/>
    <s v="NOW-01292"/>
    <x v="3"/>
    <x v="1014"/>
    <n v="31.5"/>
    <n v="-9.1366666666666667"/>
    <n v="-1.154701227641854"/>
    <n v="0"/>
    <n v="0.45567805057672284"/>
    <n v="1951.4373302396989"/>
    <n v="3700"/>
    <x v="768"/>
    <s v="Михаил Икра Кофе"/>
    <s v="2026 04"/>
    <n v="1748.5626697603011"/>
    <n v="0.89603834192590837"/>
  </r>
  <r>
    <s v="539328620"/>
    <s v="720000774895"/>
    <s v="iHerb_VP DFD1605"/>
    <s v="Доставлен"/>
    <d v="2025-08-29T00:00:00"/>
    <x v="38"/>
    <s v="Витамины"/>
    <s v="NOW-01283"/>
    <x v="3"/>
    <x v="343"/>
    <n v="17.239999999999998"/>
    <n v="-5"/>
    <n v="-0.63199625993454878"/>
    <n v="0"/>
    <n v="0.24940375640449042"/>
    <n v="1068.0694405485428"/>
    <n v="2500"/>
    <x v="659"/>
    <s v="Юлия АТБ кольцо"/>
    <s v="2025 09"/>
    <n v="1431.9305594514572"/>
    <n v="1.3406717813366529"/>
  </r>
  <r>
    <s v="539328620"/>
    <s v="720000774895"/>
    <s v="iHerb_VP DFD1605"/>
    <s v="Доставлен"/>
    <d v="2025-08-29T00:00:00"/>
    <x v="38"/>
    <s v="Витамины"/>
    <s v="NOW-01283"/>
    <x v="3"/>
    <x v="343"/>
    <n v="17.239999999999998"/>
    <n v="-5"/>
    <n v="-0.63199625993454878"/>
    <n v="0"/>
    <n v="0.24940375640449042"/>
    <n v="1068.0694405485428"/>
    <n v="2300"/>
    <x v="878"/>
    <s v="Юлия АТБ кольцо"/>
    <s v="2025 11"/>
    <n v="1231.9305594514572"/>
    <n v="1.1534180388297206"/>
  </r>
  <r>
    <s v="539328620"/>
    <s v="720000774895"/>
    <s v="iHerb_VP DFD1605"/>
    <s v="Доставлен"/>
    <d v="2025-08-29T00:00:00"/>
    <x v="38"/>
    <s v="Витамины"/>
    <s v="NOW-01283"/>
    <x v="3"/>
    <x v="343"/>
    <n v="17.239999999999998"/>
    <n v="-5"/>
    <n v="-0.63199625993454878"/>
    <n v="0"/>
    <n v="0.24940375640449042"/>
    <n v="1068.0694405485428"/>
    <n v="2500"/>
    <x v="879"/>
    <s v="Валентина Сычева"/>
    <s v="2025 11"/>
    <n v="1431.9305594514572"/>
    <n v="1.3406717813366529"/>
  </r>
  <r>
    <s v="539328620"/>
    <s v="720000774895"/>
    <s v="iHerb_VP DFD1605"/>
    <s v="Доставлен"/>
    <d v="2025-08-29T00:00:00"/>
    <x v="38"/>
    <s v="Витамины"/>
    <s v="SOL-52387"/>
    <x v="19"/>
    <x v="1210"/>
    <n v="18.04"/>
    <n v="0"/>
    <n v="-0.93147161186431859"/>
    <n v="0"/>
    <n v="0.36758527496217375"/>
    <n v="1574.1807767561859"/>
    <n v="2300"/>
    <x v="659"/>
    <s v="Валентина Сычева"/>
    <s v="2025 09"/>
    <n v="725.81922324381412"/>
    <n v="0.46107742767604087"/>
  </r>
  <r>
    <s v="539328620"/>
    <s v="720000774895"/>
    <s v="iHerb_VP DFD1605"/>
    <s v="Доставлен"/>
    <d v="2025-08-29T00:00:00"/>
    <x v="38"/>
    <s v="Витамины"/>
    <s v="SOL-52387"/>
    <x v="19"/>
    <x v="1210"/>
    <n v="18.04"/>
    <n v="0"/>
    <n v="-0.93147161186431859"/>
    <n v="0"/>
    <n v="0.36758527496217375"/>
    <n v="1574.1807767561859"/>
    <n v="2400"/>
    <x v="659"/>
    <s v="Елена Шевченко 217"/>
    <s v="2025 09"/>
    <n v="825.81922324381412"/>
    <n v="0.5246025332271731"/>
  </r>
  <r>
    <s v="539328620"/>
    <s v="720000774895"/>
    <s v="iHerb_VP DFD1605"/>
    <s v="Доставлен"/>
    <d v="2025-08-29T00:00:00"/>
    <x v="38"/>
    <s v="Витамины"/>
    <s v="PAR-77891"/>
    <x v="44"/>
    <x v="1619"/>
    <n v="12.06"/>
    <n v="-3.5"/>
    <n v="-0.4419843125032466"/>
    <n v="0"/>
    <n v="0.17441962049202928"/>
    <n v="746.95052378231446"/>
    <n v="1700"/>
    <x v="659"/>
    <s v="Надежда Витамины"/>
    <s v="2025 09"/>
    <n v="953.04947621768554"/>
    <n v="1.2759204871987411"/>
  </r>
  <r>
    <s v="539328620"/>
    <s v="720000774895"/>
    <s v="iHerb_VP DFD1605"/>
    <s v="Доставлен"/>
    <d v="2025-08-29T00:00:00"/>
    <x v="38"/>
    <s v="Витамины"/>
    <s v="PAR-77872"/>
    <x v="44"/>
    <x v="1437"/>
    <n v="15.08"/>
    <n v="-4.37"/>
    <n v="-0.55299672744273032"/>
    <n v="0"/>
    <n v="0.21822828685392917"/>
    <n v="934.5607604799751"/>
    <n v="2000"/>
    <x v="623"/>
    <s v="Любовь Виталий"/>
    <s v="2025 10"/>
    <n v="1065.4392395200248"/>
    <n v="1.1400427715077965"/>
  </r>
  <r>
    <s v="539328620"/>
    <s v="720000774895"/>
    <s v="iHerb_VP DFD1605"/>
    <s v="Доставлен"/>
    <d v="2025-08-29T00:00:00"/>
    <x v="38"/>
    <s v="Витамины"/>
    <s v="TMR-00890"/>
    <x v="330"/>
    <x v="1679"/>
    <n v="27.97"/>
    <n v="-8.11"/>
    <n v="-1.0254449119526257"/>
    <n v="0"/>
    <n v="0.40466982044061922"/>
    <n v="1732.995023635136"/>
    <n v="3000"/>
    <x v="659"/>
    <s v="&lt;Клиент не выбран&gt;"/>
    <s v="2025 09"/>
    <n v="1267.004976364864"/>
    <n v="0.7311071059553248"/>
  </r>
  <r>
    <s v="539328620"/>
    <s v="720000774895"/>
    <s v="iHerb_VP DFD1605"/>
    <s v="Доставлен"/>
    <d v="2025-08-29T00:00:00"/>
    <x v="38"/>
    <s v="Витамины"/>
    <s v="NOW-00495"/>
    <x v="3"/>
    <x v="486"/>
    <n v="9.41"/>
    <n v="-2.73"/>
    <n v="-0.34491299153290739"/>
    <n v="0"/>
    <n v="0.13611250758022841"/>
    <n v="582.90064239087144"/>
    <n v="1400"/>
    <x v="659"/>
    <s v="Юлия АТБ кольцо"/>
    <s v="2025 09"/>
    <n v="817.09935760912856"/>
    <n v="1.4017815356278371"/>
  </r>
  <r>
    <s v="539328620"/>
    <s v="720000774895"/>
    <s v="iHerb_VP DFD1605"/>
    <s v="Доставлен"/>
    <d v="2025-08-29T00:00:00"/>
    <x v="38"/>
    <s v="Витамины"/>
    <s v="CAL-30686"/>
    <x v="138"/>
    <x v="1680"/>
    <n v="9.59"/>
    <n v="-2.78"/>
    <n v="-0.35162537011064365"/>
    <n v="0"/>
    <n v="0.1387614036858317"/>
    <n v="594.24451716793942"/>
    <n v="1400"/>
    <x v="659"/>
    <s v="Юлия АТБ кольцо"/>
    <s v="2025 09"/>
    <n v="805.75548283206058"/>
    <n v="1.35593254889779"/>
  </r>
  <r>
    <s v="539504266"/>
    <s v="722500525193"/>
    <s v="iHerb_VP DFD1605"/>
    <s v="Доставлен"/>
    <d v="2025-09-01T00:00:00"/>
    <x v="39"/>
    <s v="Витамины"/>
    <s v="SOR-20055"/>
    <x v="10"/>
    <x v="1489"/>
    <n v="22.38"/>
    <n v="-6.49"/>
    <n v="0"/>
    <n v="2.5709948926854134E-15"/>
    <n v="0.45921384332887244"/>
    <n v="1465.3599516110669"/>
    <n v="2700"/>
    <x v="815"/>
    <m/>
    <s v="2025 11"/>
    <n v="1234.6400483889331"/>
    <n v="0.8425506968656592"/>
  </r>
  <r>
    <s v="539504266"/>
    <s v="722500525193"/>
    <s v="iHerb_VP DFD1605"/>
    <s v="Доставлен"/>
    <d v="2025-09-01T00:00:00"/>
    <x v="39"/>
    <s v="Витамины"/>
    <s v="SOR-51812"/>
    <x v="10"/>
    <x v="1262"/>
    <n v="22.38"/>
    <n v="-6.49"/>
    <n v="0"/>
    <n v="2.5709948926854134E-15"/>
    <n v="0.45921384332887244"/>
    <n v="1465.3599516110669"/>
    <n v="2900"/>
    <x v="783"/>
    <m/>
    <s v="2025 10"/>
    <n v="1434.6400483889331"/>
    <n v="0.97903593367052288"/>
  </r>
  <r>
    <s v="539504266"/>
    <s v="722500525193"/>
    <s v="iHerb_VP DFD1605"/>
    <s v="Доставлен"/>
    <d v="2025-09-01T00:00:00"/>
    <x v="39"/>
    <s v="Витамины"/>
    <s v="CAR-01543"/>
    <x v="154"/>
    <x v="794"/>
    <n v="24.74"/>
    <n v="-7.17"/>
    <n v="0"/>
    <n v="2.8428181412512725E-15"/>
    <n v="0.5077650866764184"/>
    <n v="1620.2878760104752"/>
    <n v="3200"/>
    <x v="623"/>
    <s v="Татьяна Константинова"/>
    <s v="2025 10"/>
    <n v="1579.7121239895248"/>
    <n v="0.97495768954288708"/>
  </r>
  <r>
    <s v="539504266"/>
    <s v="722500525193"/>
    <s v="iHerb_VP DFD1605"/>
    <s v="Доставлен"/>
    <d v="2025-09-01T00:00:00"/>
    <x v="39"/>
    <s v="Витамины"/>
    <s v="NOW-04726"/>
    <x v="3"/>
    <x v="48"/>
    <n v="17.38"/>
    <n v="-5.04"/>
    <n v="0"/>
    <n v="1.9966064805373194E-15"/>
    <n v="0.35662044220756989"/>
    <n v="1137.9824923146991"/>
    <n v="2500"/>
    <x v="623"/>
    <s v="Ольга Электромех. Колледж"/>
    <s v="2025 10"/>
    <n v="1362.0175076853009"/>
    <n v="1.1968703533521909"/>
  </r>
  <r>
    <s v="539504266"/>
    <s v="722500525193"/>
    <s v="iHerb_VP DFD1605"/>
    <s v="Доставлен"/>
    <d v="2025-09-01T00:00:00"/>
    <x v="39"/>
    <s v="Витамины"/>
    <s v="EMT-56445"/>
    <x v="16"/>
    <x v="1681"/>
    <n v="23.93"/>
    <n v="-6.94"/>
    <n v="0"/>
    <n v="2.7489744006749638E-15"/>
    <n v="0.49100334790167038"/>
    <n v="1566.800854491632"/>
    <n v="2600"/>
    <x v="623"/>
    <s v="Оксана Черноморская"/>
    <s v="2025 10"/>
    <n v="1033.199145508368"/>
    <n v="0.65943233471340068"/>
  </r>
  <r>
    <s v="539504266"/>
    <s v="722500525193"/>
    <s v="iHerb_VP DFD1605"/>
    <s v="Доставлен"/>
    <d v="2025-09-01T00:00:00"/>
    <x v="39"/>
    <s v="Витамины"/>
    <s v="AAM-00105"/>
    <x v="298"/>
    <x v="1517"/>
    <n v="43.51"/>
    <n v="-12.62"/>
    <n v="0"/>
    <n v="4.9979881834520097E-15"/>
    <n v="0.89270708750339023"/>
    <n v="2848.6449908914956"/>
    <n v="4400"/>
    <x v="623"/>
    <s v="Оксана Черноморская"/>
    <s v="2025 10"/>
    <n v="1551.3550091085044"/>
    <n v="0.54459401366928539"/>
  </r>
  <r>
    <s v="539504266"/>
    <s v="722500525193"/>
    <s v="iHerb_VP DFD1605"/>
    <s v="Доставлен"/>
    <d v="2025-09-01T00:00:00"/>
    <x v="39"/>
    <s v="Витамины"/>
    <s v="NFS-01683"/>
    <x v="23"/>
    <x v="111"/>
    <n v="6.07"/>
    <n v="-1.76"/>
    <n v="0"/>
    <n v="6.9735607221360185E-16"/>
    <n v="0.12455705882614478"/>
    <n v="397.46390128657652"/>
    <n v="1000"/>
    <x v="880"/>
    <s v="Лариса Терраспорт"/>
    <s v="2026 04"/>
    <n v="602.53609871342348"/>
    <n v="1.5159517550223696"/>
  </r>
  <r>
    <s v="539504266"/>
    <s v="722500525193"/>
    <s v="iHerb_VP DFD1605"/>
    <s v="Доставлен"/>
    <d v="2025-09-01T00:00:00"/>
    <x v="39"/>
    <s v="Витамины"/>
    <s v="AAM-00101"/>
    <x v="298"/>
    <x v="1682"/>
    <n v="87.02"/>
    <n v="-25.24"/>
    <n v="0"/>
    <n v="9.9959763669040194E-15"/>
    <n v="1.7854141750067805"/>
    <n v="5697.2899817829912"/>
    <n v="8300"/>
    <x v="623"/>
    <s v="Оксана Черноморская"/>
    <s v="2025 10"/>
    <n v="2602.7100182170088"/>
    <n v="0.45683299016534867"/>
  </r>
  <r>
    <s v="539213511"/>
    <s v="720000770136"/>
    <s v="iHerb_MH DLE7202"/>
    <s v="Доставлен"/>
    <d v="2025-08-26T00:00:00"/>
    <x v="38"/>
    <s v="Витамины"/>
    <s v="NOW-01480"/>
    <x v="3"/>
    <x v="165"/>
    <n v="5.78"/>
    <n v="-1.39"/>
    <n v="0"/>
    <n v="-8.5069410513038517E-16"/>
    <n v="0.11799288857920424"/>
    <n v="404.05010863389469"/>
    <n v="1100"/>
    <x v="746"/>
    <s v="Елена пер. Фруктовый"/>
    <s v="2025 11"/>
    <n v="695.94989136610525"/>
    <n v="1.7224346102000376"/>
  </r>
  <r>
    <s v="539213511"/>
    <s v="720000770136"/>
    <s v="iHerb_MH DLE7202"/>
    <s v="Доставлен"/>
    <d v="2025-08-26T00:00:00"/>
    <x v="38"/>
    <s v="Витамины"/>
    <s v="NOW-00376"/>
    <x v="3"/>
    <x v="766"/>
    <n v="10.55"/>
    <n v="-2.5299999999999998"/>
    <n v="0"/>
    <n v="-1.5541154266846672E-15"/>
    <n v="0.21555876227909296"/>
    <n v="738.15076793709238"/>
    <n v="1700"/>
    <x v="659"/>
    <s v="Юлия АТБ кольцо"/>
    <s v="2025 09"/>
    <n v="961.84923206290762"/>
    <n v="1.303052538644625"/>
  </r>
  <r>
    <s v="539213511"/>
    <s v="720000770136"/>
    <s v="iHerb_MH DLE7202"/>
    <s v="Доставлен"/>
    <d v="2025-08-26T00:00:00"/>
    <x v="38"/>
    <s v="Витамины"/>
    <s v="LEX-23151"/>
    <x v="7"/>
    <x v="17"/>
    <n v="20.07"/>
    <n v="-4.82"/>
    <n v="0"/>
    <n v="-2.9551446704415429E-15"/>
    <n v="0.40988418014416045"/>
    <n v="1403.5909240699073"/>
    <n v="2600"/>
    <x v="129"/>
    <s v="&lt;Клиент не выбран&gt;"/>
    <s v="2025 09"/>
    <n v="1196.4090759300927"/>
    <n v="0.85239157322344183"/>
  </r>
  <r>
    <s v="539213511"/>
    <s v="720000770136"/>
    <s v="iHerb_MH DLE7202"/>
    <s v="Доставлен"/>
    <d v="2025-08-26T00:00:00"/>
    <x v="38"/>
    <s v="Витамины"/>
    <s v="UNN-03052"/>
    <x v="137"/>
    <x v="483"/>
    <n v="53.84"/>
    <n v="-12.92"/>
    <n v="0"/>
    <n v="-7.9294767157028145E-15"/>
    <n v="1.0998334853441998"/>
    <n v="3766.2256139633187"/>
    <n v="5500"/>
    <x v="588"/>
    <s v="Лариса Терраспорт"/>
    <s v="2025 10"/>
    <n v="1733.7743860366813"/>
    <n v="0.46034798860925796"/>
  </r>
  <r>
    <s v="539213511"/>
    <s v="720000770136"/>
    <s v="iHerb_MH DLE7202"/>
    <s v="Доставлен"/>
    <d v="2025-08-26T00:00:00"/>
    <x v="38"/>
    <s v="Витамины"/>
    <s v="LKN-01550"/>
    <x v="90"/>
    <x v="1683"/>
    <n v="10.89"/>
    <n v="-2.61"/>
    <n v="0"/>
    <n v="-1.6044982210659657E-15"/>
    <n v="0.22254695157991142"/>
    <n v="762.08084270812026"/>
    <n v="1600"/>
    <x v="588"/>
    <s v="Лариса Терраспорт"/>
    <s v="2025 10"/>
    <n v="837.91915729187974"/>
    <n v="1.0995147894208461"/>
  </r>
  <r>
    <s v="539213511"/>
    <s v="720000770136"/>
    <s v="iHerb_MH DLE7202"/>
    <s v="Доставлен"/>
    <d v="2025-08-26T00:00:00"/>
    <x v="38"/>
    <s v="Витамины"/>
    <s v="NOW-00372"/>
    <x v="3"/>
    <x v="13"/>
    <n v="8.06"/>
    <n v="-1.9350000000000001"/>
    <n v="0"/>
    <n v="-1.1869023676363574E-15"/>
    <n v="0.16462561333658904"/>
    <n v="563.73733835594635"/>
    <n v="1100"/>
    <x v="803"/>
    <s v="Оксана 17 Цветы"/>
    <s v="2026 02"/>
    <n v="536.26266164405365"/>
    <n v="0.95126333694337439"/>
  </r>
  <r>
    <s v="539213511"/>
    <s v="720000770136"/>
    <s v="iHerb_MH DLE7202"/>
    <s v="Доставлен"/>
    <d v="2025-08-26T00:00:00"/>
    <x v="38"/>
    <s v="Витамины"/>
    <s v="NOW-00372"/>
    <x v="3"/>
    <x v="13"/>
    <n v="8.06"/>
    <n v="-1.9350000000000001"/>
    <n v="0"/>
    <n v="-1.1869023676363574E-15"/>
    <n v="0.16462561333658904"/>
    <n v="563.73733835594635"/>
    <n v="1200"/>
    <x v="861"/>
    <m/>
    <s v="2026 02"/>
    <n v="636.26266164405365"/>
    <n v="1.1286509130291358"/>
  </r>
  <r>
    <s v="539213511"/>
    <s v="720000770136"/>
    <s v="iHerb_MH DLE7202"/>
    <s v="Доставлен"/>
    <d v="2025-08-26T00:00:00"/>
    <x v="38"/>
    <s v="Витамины"/>
    <s v="NOW-00373"/>
    <x v="3"/>
    <x v="239"/>
    <n v="14.28"/>
    <n v="-3.43"/>
    <n v="0"/>
    <n v="-2.1025127655272614E-15"/>
    <n v="0.29162251505338627"/>
    <n v="998.62042794481943"/>
    <n v="2000"/>
    <x v="659"/>
    <s v="Алена Грация"/>
    <s v="2025 09"/>
    <n v="1001.3795720551806"/>
    <n v="1.0027629558069822"/>
  </r>
  <r>
    <s v="539213511"/>
    <s v="720000770136"/>
    <s v="iHerb_MH DLE7202"/>
    <s v="Доставлен"/>
    <d v="2025-08-26T00:00:00"/>
    <x v="38"/>
    <s v="Витамины"/>
    <s v="NOW-00367"/>
    <x v="3"/>
    <x v="365"/>
    <n v="5.57"/>
    <n v="-1.34"/>
    <n v="0"/>
    <n v="-8.1968930858804768E-16"/>
    <n v="0.11369246439408519"/>
    <n v="389.3239087748006"/>
    <n v="1000"/>
    <x v="881"/>
    <s v="Валентина Сычева"/>
    <s v="2026 03"/>
    <n v="610.67609122519934"/>
    <n v="1.5685553274829496"/>
  </r>
  <r>
    <s v="539213511"/>
    <s v="720000770136"/>
    <s v="iHerb_MH DLE7202"/>
    <s v="Доставлен"/>
    <d v="2025-08-26T00:00:00"/>
    <x v="38"/>
    <s v="Витамины"/>
    <s v="ATN-02633"/>
    <x v="331"/>
    <x v="1684"/>
    <n v="55.9"/>
    <n v="-13.42"/>
    <n v="0"/>
    <n v="-8.2317734819906047E-15"/>
    <n v="1.1417626211491105"/>
    <n v="3909.8060625894864"/>
    <n v="5500"/>
    <x v="659"/>
    <s v="Оксана Черноморская"/>
    <s v="2025 09"/>
    <n v="1590.1939374105136"/>
    <n v="0.40671939015750547"/>
  </r>
  <r>
    <s v="539422844"/>
    <s v="722500521438"/>
    <s v="iHerb_MH DLE7202"/>
    <s v="Доставлен"/>
    <d v="2025-08-31T00:00:00"/>
    <x v="38"/>
    <s v="Витамины"/>
    <s v="SOR-08364"/>
    <x v="10"/>
    <x v="1575"/>
    <n v="13.05"/>
    <n v="-3.78"/>
    <n v="0"/>
    <n v="0"/>
    <n v="0.20326462069868567"/>
    <n v="849.05668780243639"/>
    <n v="2000"/>
    <x v="659"/>
    <s v="Любовь Виталий"/>
    <s v="2025 09"/>
    <n v="1150.9433121975635"/>
    <n v="1.3555553224325723"/>
  </r>
  <r>
    <s v="539422844"/>
    <s v="722500521438"/>
    <s v="iHerb_MH DLE7202"/>
    <s v="Доставлен"/>
    <d v="2025-08-31T00:00:00"/>
    <x v="38"/>
    <s v="Витамины"/>
    <s v="SOR-35007"/>
    <x v="10"/>
    <x v="1576"/>
    <n v="24.16"/>
    <n v="-7.0049999999999999"/>
    <n v="0"/>
    <n v="0"/>
    <n v="0.37616014758208771"/>
    <n v="1571.2586277508947"/>
    <n v="2900"/>
    <x v="659"/>
    <s v="Любовь Виталий"/>
    <s v="2025 09"/>
    <n v="1328.7413722491053"/>
    <n v="0.84565414552476992"/>
  </r>
  <r>
    <s v="539422844"/>
    <s v="722500521438"/>
    <s v="iHerb_MH DLE7202"/>
    <s v="Доставлен"/>
    <d v="2025-08-31T00:00:00"/>
    <x v="38"/>
    <s v="Витамины"/>
    <s v="SOR-35007"/>
    <x v="10"/>
    <x v="1576"/>
    <n v="24.16"/>
    <n v="-7.0049999999999999"/>
    <n v="0"/>
    <n v="0"/>
    <n v="0.37616014758208771"/>
    <n v="1571.2586277508947"/>
    <n v="2900"/>
    <x v="659"/>
    <s v="Любовь Виталий"/>
    <s v="2025 09"/>
    <n v="1328.7413722491053"/>
    <n v="0.84565414552476992"/>
  </r>
  <r>
    <s v="539422844"/>
    <s v="722500521438"/>
    <s v="iHerb_MH DLE7202"/>
    <s v="Доставлен"/>
    <d v="2025-08-31T00:00:00"/>
    <x v="38"/>
    <s v="Витамины"/>
    <s v="NOW-00420"/>
    <x v="3"/>
    <x v="515"/>
    <n v="13.76"/>
    <n v="-3.99"/>
    <n v="0"/>
    <n v="0"/>
    <n v="0.21422819247315628"/>
    <n v="894.85262565585776"/>
    <n v="1900"/>
    <x v="882"/>
    <m/>
    <s v="2025 12"/>
    <n v="1005.1473743441422"/>
    <n v="1.1232546516890947"/>
  </r>
  <r>
    <s v="539422844"/>
    <s v="722500521438"/>
    <s v="iHerb_MH DLE7202"/>
    <s v="Доставлен"/>
    <d v="2025-08-31T00:00:00"/>
    <x v="38"/>
    <s v="Витамины"/>
    <s v="NOW-00420"/>
    <x v="3"/>
    <x v="515"/>
    <n v="13.76"/>
    <n v="-3.99"/>
    <n v="0"/>
    <n v="0"/>
    <n v="0.21422819247315628"/>
    <n v="894.85262565585776"/>
    <n v="2000"/>
    <x v="856"/>
    <s v="Елена сахарный диабет"/>
    <s v="2025 12"/>
    <n v="1105.1473743441422"/>
    <n v="1.2350048965148364"/>
  </r>
  <r>
    <s v="539422844"/>
    <s v="722500521438"/>
    <s v="iHerb_MH DLE7202"/>
    <s v="Доставлен"/>
    <d v="2025-08-31T00:00:00"/>
    <x v="38"/>
    <s v="Витамины"/>
    <s v="NOW-02644"/>
    <x v="3"/>
    <x v="21"/>
    <n v="22.47"/>
    <n v="-6.52"/>
    <n v="0"/>
    <n v="0"/>
    <n v="0.34973793960561339"/>
    <n v="1460.8904175241487"/>
    <n v="2900"/>
    <x v="766"/>
    <s v="Валентина Сычева"/>
    <s v="2025 10"/>
    <n v="1439.1095824758513"/>
    <n v="0.98509071263181358"/>
  </r>
  <r>
    <s v="539422844"/>
    <s v="722500521438"/>
    <s v="iHerb_MH DLE7202"/>
    <s v="Доставлен"/>
    <d v="2025-08-31T00:00:00"/>
    <x v="38"/>
    <s v="Витамины"/>
    <s v="NOW-02313"/>
    <x v="3"/>
    <x v="87"/>
    <n v="23.95"/>
    <n v="-6.9450000000000003"/>
    <n v="0"/>
    <n v="0"/>
    <n v="0.3728710760497464"/>
    <n v="1557.5198463948682"/>
    <n v="2900"/>
    <x v="701"/>
    <m/>
    <s v="2025 10"/>
    <n v="1342.4801536051318"/>
    <n v="0.8619345408101986"/>
  </r>
  <r>
    <s v="539422844"/>
    <s v="722500521438"/>
    <s v="iHerb_MH DLE7202"/>
    <s v="Доставлен"/>
    <d v="2025-08-31T00:00:00"/>
    <x v="38"/>
    <s v="Витамины"/>
    <s v="NOW-02313"/>
    <x v="3"/>
    <x v="87"/>
    <n v="23.95"/>
    <n v="-6.9450000000000003"/>
    <n v="0"/>
    <n v="0"/>
    <n v="0.3728710760497464"/>
    <n v="1557.5198463948682"/>
    <n v="2900"/>
    <x v="845"/>
    <s v="Лариса Западный"/>
    <s v="2025 11"/>
    <n v="1342.4801536051318"/>
    <n v="0.8619345408101986"/>
  </r>
  <r>
    <s v="539422844"/>
    <s v="722500521438"/>
    <s v="iHerb_MH DLE7202"/>
    <s v="Доставлен"/>
    <d v="2025-08-31T00:00:00"/>
    <x v="38"/>
    <s v="Витамины"/>
    <s v="NFS-02619"/>
    <x v="23"/>
    <x v="1685"/>
    <n v="53.87"/>
    <n v="-15.62"/>
    <n v="0"/>
    <n v="0"/>
    <n v="0.83871324074700404"/>
    <n v="3503.3892457867514"/>
    <n v="5300"/>
    <x v="659"/>
    <s v="Оксана Черноморская"/>
    <s v="2025 09"/>
    <n v="1796.6107542132486"/>
    <n v="0.51282076531287235"/>
  </r>
  <r>
    <s v="539422844"/>
    <s v="722500521438"/>
    <s v="iHerb_MH DLE7202"/>
    <s v="Доставлен"/>
    <d v="2025-08-31T00:00:00"/>
    <x v="38"/>
    <s v="Витамины"/>
    <s v="NOW-01662"/>
    <x v="3"/>
    <x v="122"/>
    <n v="40.090000000000003"/>
    <n v="-11.63"/>
    <n v="0"/>
    <n v="0"/>
    <n v="0.62404650540286888"/>
    <n v="2606.7047826167568"/>
    <n v="4400"/>
    <x v="691"/>
    <s v="Антонина Космос"/>
    <s v="2025 11"/>
    <n v="1793.2952173832432"/>
    <n v="0.687954857543566"/>
  </r>
  <r>
    <s v="539120411"/>
    <s v="722500514603"/>
    <s v="iHerb_AV CYG0792"/>
    <s v="Доставлен"/>
    <d v="2025-08-23T00:00:00"/>
    <x v="38"/>
    <s v="Витамины"/>
    <s v="CEN-22675"/>
    <x v="2"/>
    <x v="2"/>
    <n v="10.26"/>
    <n v="-1.03"/>
    <n v="-0.49873003854625558"/>
    <n v="1.8057019413727219E-15"/>
    <n v="0.24917907249612559"/>
    <n v="809.03436238069037"/>
    <n v="1700"/>
    <x v="659"/>
    <s v="Татьяна Леонидовна"/>
    <s v="2025 09"/>
    <n v="890.96563761930963"/>
    <n v="1.1012704516005052"/>
  </r>
  <r>
    <s v="539120411"/>
    <s v="722500514603"/>
    <s v="iHerb_AV CYG0792"/>
    <s v="Доставлен"/>
    <d v="2025-08-23T00:00:00"/>
    <x v="38"/>
    <s v="Витамины"/>
    <s v="CGN-01167"/>
    <x v="1"/>
    <x v="1686"/>
    <n v="112"/>
    <n v="-33.6"/>
    <n v="-4.2362334801762129"/>
    <n v="1.5337706630944896E-14"/>
    <n v="2.1165373005088024"/>
    <n v="6871.9711820851699"/>
    <n v="12000"/>
    <x v="659"/>
    <s v="Любовь 17"/>
    <s v="2025 09"/>
    <n v="5128.0288179148301"/>
    <n v="0.74622385368601429"/>
  </r>
  <r>
    <s v="539120411"/>
    <s v="722500514603"/>
    <s v="iHerb_AV CYG0792"/>
    <s v="Доставлен"/>
    <d v="2025-08-23T00:00:00"/>
    <x v="38"/>
    <s v="Витамины"/>
    <s v="NOW-01447"/>
    <x v="3"/>
    <x v="1687"/>
    <n v="17.39"/>
    <n v="-1.74"/>
    <n v="-0.84562568832599128"/>
    <n v="3.0616723057944854E-15"/>
    <n v="0.42249756062452504"/>
    <n v="1371.7646556075626"/>
    <n v="2300"/>
    <x v="659"/>
    <s v="Елена сахарный диабет"/>
    <s v="2025 09"/>
    <n v="928.23534439243736"/>
    <n v="0.6766724456691271"/>
  </r>
  <r>
    <s v="539120411"/>
    <s v="722500514603"/>
    <s v="iHerb_AV CYG0792"/>
    <s v="Доставлен"/>
    <d v="2025-08-23T00:00:00"/>
    <x v="38"/>
    <s v="Витамины"/>
    <s v="NCS-57411"/>
    <x v="217"/>
    <x v="1688"/>
    <n v="9.32"/>
    <n v="-0.93"/>
    <n v="-0.45334182268722478"/>
    <n v="1.6413693703268838E-15"/>
    <n v="0.22650188713353131"/>
    <n v="735.40609971549213"/>
    <n v="1300"/>
    <x v="659"/>
    <s v="Аня Мирный"/>
    <s v="2025 09"/>
    <n v="564.59390028450787"/>
    <n v="0.76773078235675951"/>
  </r>
  <r>
    <s v="539120411"/>
    <s v="722500514603"/>
    <s v="iHerb_AV CYG0792"/>
    <s v="Доставлен"/>
    <d v="2025-08-23T00:00:00"/>
    <x v="38"/>
    <s v="Витамины"/>
    <s v="CGN-02546"/>
    <x v="1"/>
    <x v="1689"/>
    <n v="14.78"/>
    <n v="-4.43"/>
    <n v="-0.55924765969162993"/>
    <n v="2.0248120361005062E-15"/>
    <n v="0.27941531964625133"/>
    <n v="907.2053792676212"/>
    <n v="2300"/>
    <x v="598"/>
    <s v="Лида корма"/>
    <s v="2025 12"/>
    <n v="1392.7946207323789"/>
    <n v="1.5352583357219174"/>
  </r>
  <r>
    <s v="539120411"/>
    <s v="722500514603"/>
    <s v="iHerb_AV CYG0792"/>
    <s v="Доставлен"/>
    <d v="2025-08-23T00:00:00"/>
    <x v="38"/>
    <s v="Витамины"/>
    <s v="SOL-01736"/>
    <x v="19"/>
    <x v="139"/>
    <n v="23.26"/>
    <n v="0"/>
    <n v="-1.2568213105726875"/>
    <n v="4.5504471458645191E-15"/>
    <n v="0.62794206134993302"/>
    <n v="2038.8016542767996"/>
    <n v="3200"/>
    <x v="626"/>
    <m/>
    <s v="2025 09"/>
    <n v="1161.1983457232004"/>
    <n v="0.56954944257934637"/>
  </r>
  <r>
    <s v="539936077"/>
    <s v="720000793891"/>
    <s v="iHerb_AV CYG0792"/>
    <s v="Доставлен"/>
    <d v="2025-09-11T00:00:00"/>
    <x v="39"/>
    <s v="Витамины"/>
    <s v="PAR-77872"/>
    <x v="44"/>
    <x v="1437"/>
    <n v="15.08"/>
    <n v="-4.375"/>
    <n v="-1.2143850865826362"/>
    <n v="-1.7920508861613549E-15"/>
    <n v="0.3125216058040598"/>
    <n v="899.90474673106348"/>
    <n v="2000"/>
    <x v="623"/>
    <s v="Любовь Виталий"/>
    <s v="2025 10"/>
    <n v="1100.0952532689366"/>
    <n v="1.222457440373631"/>
  </r>
  <r>
    <s v="539936077"/>
    <s v="720000793891"/>
    <s v="iHerb_AV CYG0792"/>
    <s v="Доставлен"/>
    <d v="2025-09-11T00:00:00"/>
    <x v="39"/>
    <s v="Витамины"/>
    <s v="PAR-77872"/>
    <x v="44"/>
    <x v="1437"/>
    <n v="15.08"/>
    <n v="-4.375"/>
    <n v="-1.2143850865826362"/>
    <n v="-1.7920508861613549E-15"/>
    <n v="0.3125216058040598"/>
    <n v="899.90474673106348"/>
    <n v="871.22"/>
    <x v="20"/>
    <m/>
    <s v=""/>
    <n v="-28.684746731063456"/>
    <n v="-3.1875314398842586E-2"/>
  </r>
  <r>
    <s v="539936077"/>
    <s v="720000793891"/>
    <s v="iHerb_AV CYG0792"/>
    <s v="Доставлен"/>
    <d v="2025-09-11T00:00:00"/>
    <x v="39"/>
    <s v="Витамины"/>
    <s v="VMC-47443"/>
    <x v="307"/>
    <x v="1559"/>
    <n v="21.76"/>
    <n v="-6.31"/>
    <n v="-1.752662268818471"/>
    <n v="-2.5863789062300738E-15"/>
    <n v="0.45104706302407521"/>
    <n v="1298.7882612793028"/>
    <n v="3000"/>
    <x v="623"/>
    <s v="Любовь Виталий"/>
    <s v="2025 10"/>
    <n v="1701.2117387206972"/>
    <n v="1.3098453300193893"/>
  </r>
  <r>
    <s v="539936077"/>
    <s v="720000793891"/>
    <s v="iHerb_AV CYG0792"/>
    <s v="Доставлен"/>
    <d v="2025-09-11T00:00:00"/>
    <x v="39"/>
    <s v="Витамины"/>
    <s v="JIG-00196"/>
    <x v="327"/>
    <x v="1665"/>
    <n v="65.13"/>
    <n v="-18.89"/>
    <n v="-5.245508304865119"/>
    <n v="-7.7407223704905228E-15"/>
    <n v="1.3499298507594324"/>
    <n v="3887.1177476734583"/>
    <n v="6500"/>
    <x v="623"/>
    <s v="Надежда Витамины"/>
    <s v="2025 10"/>
    <n v="2612.8822523265417"/>
    <n v="0.67219014754323303"/>
  </r>
  <r>
    <s v="539936077"/>
    <s v="720000793891"/>
    <s v="iHerb_AV CYG0792"/>
    <s v="Доставлен"/>
    <d v="2025-09-11T00:00:00"/>
    <x v="39"/>
    <s v="Витамины"/>
    <s v="PAR-77871"/>
    <x v="44"/>
    <x v="1598"/>
    <n v="15.08"/>
    <n v="-4.37"/>
    <n v="-1.214952291200377"/>
    <n v="-1.792887901988614E-15"/>
    <n v="0.31266757572736859"/>
    <n v="900.32506655672046"/>
    <n v="1900"/>
    <x v="623"/>
    <s v="Надежда Витамины"/>
    <s v="2025 10"/>
    <n v="999.67493344327954"/>
    <n v="1.1103488846162211"/>
  </r>
  <r>
    <s v="539936077"/>
    <s v="720000793891"/>
    <s v="iHerb_AV CYG0792"/>
    <s v="Доставлен"/>
    <d v="2025-09-11T00:00:00"/>
    <x v="39"/>
    <s v="Витамины"/>
    <s v="FBS-00678"/>
    <x v="20"/>
    <x v="542"/>
    <n v="13.03"/>
    <n v="-3.78"/>
    <n v="-1.04932854282012"/>
    <n v="-1.5484792804290082E-15"/>
    <n v="0.27004435812121003"/>
    <n v="777.59167746495439"/>
    <n v="2300"/>
    <x v="846"/>
    <s v="Полина Цветы"/>
    <s v="2025 12"/>
    <n v="1522.4083225350455"/>
    <n v="1.9578505874680732"/>
  </r>
  <r>
    <s v="539936077"/>
    <s v="720000793891"/>
    <s v="iHerb_AV CYG0792"/>
    <s v="Доставлен"/>
    <d v="2025-09-11T00:00:00"/>
    <x v="39"/>
    <s v="Витамины"/>
    <s v="FBS-20726"/>
    <x v="20"/>
    <x v="42"/>
    <n v="7.44"/>
    <n v="-2.16"/>
    <n v="-0.59896807633407945"/>
    <n v="-8.8388871358542309E-16"/>
    <n v="0.15414423901405286"/>
    <n v="443.85773589350907"/>
    <n v="1600"/>
    <x v="319"/>
    <s v="Алёна Чайка"/>
    <s v="2025 10"/>
    <n v="1156.142264106491"/>
    <n v="2.6047586210908671"/>
  </r>
  <r>
    <s v="539936077"/>
    <s v="720000793891"/>
    <s v="iHerb_AV CYG0792"/>
    <s v="Доставлен"/>
    <d v="2025-09-11T00:00:00"/>
    <x v="39"/>
    <s v="Витамины"/>
    <s v="NWY-11750"/>
    <x v="16"/>
    <x v="98"/>
    <n v="9.41"/>
    <n v="-2.73"/>
    <n v="-0.7577853693014488"/>
    <n v="-1.1182531452179216E-15"/>
    <n v="0.19501581754050626"/>
    <n v="561.54728707739412"/>
    <n v="1500"/>
    <x v="883"/>
    <m/>
    <s v="2026 04"/>
    <n v="938.45271292260588"/>
    <n v="1.6711908943712259"/>
  </r>
  <r>
    <s v="539936077"/>
    <s v="720000793891"/>
    <s v="iHerb_AV CYG0792"/>
    <s v="Доставлен"/>
    <d v="2025-09-11T00:00:00"/>
    <x v="39"/>
    <s v="Витамины"/>
    <s v="PHV-16104"/>
    <x v="315"/>
    <x v="1690"/>
    <n v="33.11"/>
    <n v="-9.6"/>
    <n v="-2.6669961126163266"/>
    <n v="-3.9356484197714578E-15"/>
    <n v="0.68635057939779975"/>
    <n v="1976.3438202379543"/>
    <n v="3500"/>
    <x v="623"/>
    <s v="Оксана Черноморская"/>
    <s v="2025 10"/>
    <n v="1523.6561797620457"/>
    <n v="0.77094691933643178"/>
  </r>
  <r>
    <s v="539936077"/>
    <s v="720000793891"/>
    <s v="iHerb_AV CYG0792"/>
    <s v="Доставлен"/>
    <d v="2025-09-11T00:00:00"/>
    <x v="39"/>
    <s v="Витамины"/>
    <s v="MCL-03307"/>
    <x v="286"/>
    <x v="1691"/>
    <n v="44.02"/>
    <n v="-12.77"/>
    <n v="-3.5450288608787845"/>
    <n v="-5.2313489203682721E-15"/>
    <n v="0.91231202067976369"/>
    <n v="2626.9989103545763"/>
    <n v="4500"/>
    <x v="623"/>
    <s v="Оксана Черноморская"/>
    <s v="2025 10"/>
    <n v="1873.0010896454237"/>
    <n v="0.71298129674237942"/>
  </r>
  <r>
    <s v="539993007"/>
    <s v="722500536535"/>
    <s v="iHerb_VP DFD1605"/>
    <s v="Доставлен"/>
    <d v="2025-09-12T00:00:00"/>
    <x v="39"/>
    <s v="Витамины"/>
    <s v="WWB-00390"/>
    <x v="332"/>
    <x v="1692"/>
    <n v="38.78"/>
    <n v="-3.88"/>
    <n v="-5.0424044875682235"/>
    <n v="3.7595423708349753E-15"/>
    <n v="1.2876606312765002"/>
    <n v="2911.4991661613103"/>
    <n v="4000"/>
    <x v="623"/>
    <s v="Оксана Черноморская"/>
    <s v="2025 10"/>
    <n v="1088.5008338386897"/>
    <n v="0.37386266377463279"/>
  </r>
  <r>
    <s v="539993007"/>
    <s v="722500536535"/>
    <s v="iHerb_VP DFD1605"/>
    <s v="Доставлен"/>
    <d v="2025-09-12T00:00:00"/>
    <x v="39"/>
    <s v="Витамины"/>
    <s v="SKH-52061"/>
    <x v="316"/>
    <x v="1595"/>
    <n v="19.059999999999999"/>
    <n v="-1.91"/>
    <n v="-2.4778577926015766"/>
    <n v="1.8474542022871011E-15"/>
    <n v="0.63276159961008527"/>
    <n v="1430.7223696179503"/>
    <n v="2200"/>
    <x v="623"/>
    <s v="Оксана Черноморская"/>
    <s v="2025 10"/>
    <n v="769.27763038204967"/>
    <n v="0.53768477149586469"/>
  </r>
  <r>
    <s v="539993007"/>
    <s v="722500536535"/>
    <s v="iHerb_VP DFD1605"/>
    <s v="Доставлен"/>
    <d v="2025-09-12T00:00:00"/>
    <x v="39"/>
    <s v="Витамины"/>
    <s v="NOW-04726"/>
    <x v="3"/>
    <x v="48"/>
    <n v="17.38"/>
    <n v="-1.74"/>
    <n v="-2.2596907216494846"/>
    <n v="1.6847920538641552E-15"/>
    <n v="0.57704906226832264"/>
    <n v="1304.7520618556703"/>
    <n v="2300"/>
    <x v="845"/>
    <s v="Даша Калифорния"/>
    <s v="2025 11"/>
    <n v="995.24793814432974"/>
    <n v="0.76278702079906935"/>
  </r>
  <r>
    <s v="539993007"/>
    <s v="722500536535"/>
    <s v="iHerb_VP DFD1605"/>
    <s v="Доставлен"/>
    <d v="2025-09-12T00:00:00"/>
    <x v="39"/>
    <s v="Витамины"/>
    <s v="SOR-35007"/>
    <x v="10"/>
    <x v="1576"/>
    <n v="24.16"/>
    <n v="-2.42"/>
    <n v="-3.1410278956943603"/>
    <n v="2.3419040441820164E-15"/>
    <n v="0.8021129548410062"/>
    <n v="1813.6387355973322"/>
    <n v="2900"/>
    <x v="623"/>
    <s v="Любовь Виталий"/>
    <s v="2025 10"/>
    <n v="1086.3612644026678"/>
    <n v="0.5989954024911518"/>
  </r>
  <r>
    <s v="539993007"/>
    <s v="722500536535"/>
    <s v="iHerb_VP DFD1605"/>
    <s v="Доставлен"/>
    <d v="2025-09-12T00:00:00"/>
    <x v="39"/>
    <s v="Витамины"/>
    <s v="NFS-04513"/>
    <x v="23"/>
    <x v="690"/>
    <n v="21.55"/>
    <n v="-3.23"/>
    <n v="-2.6469011522134629"/>
    <n v="1.9734904364956089E-15"/>
    <n v="0.67592959211992787"/>
    <n v="1528.3285021224985"/>
    <n v="2600"/>
    <x v="884"/>
    <s v="Наталья Дерматология"/>
    <s v="2025 10"/>
    <n v="1071.6714978775015"/>
    <n v="0.70120494146984436"/>
  </r>
  <r>
    <s v="539993007"/>
    <s v="722500536535"/>
    <s v="iHerb_VP DFD1605"/>
    <s v="Доставлен"/>
    <d v="2025-09-12T00:00:00"/>
    <x v="39"/>
    <s v="Витамины"/>
    <s v="SWV-11877"/>
    <x v="89"/>
    <x v="1214"/>
    <n v="13.43"/>
    <n v="-1.345"/>
    <n v="-1.7460589751364464"/>
    <n v="1.3018358037690739E-15"/>
    <n v="0.44588477733457027"/>
    <n v="1008.1795823226198"/>
    <n v="2300"/>
    <x v="884"/>
    <s v="Наталья Дерматология"/>
    <s v="2025 10"/>
    <n v="1291.8204176773802"/>
    <n v="1.2813395949770332"/>
  </r>
  <r>
    <s v="539993007"/>
    <s v="722500536535"/>
    <s v="iHerb_VP DFD1605"/>
    <s v="Доставлен"/>
    <d v="2025-09-12T00:00:00"/>
    <x v="39"/>
    <s v="Витамины"/>
    <s v="SWV-11877"/>
    <x v="89"/>
    <x v="1214"/>
    <n v="13.43"/>
    <n v="-1.345"/>
    <n v="-1.7460589751364464"/>
    <n v="1.3018358037690739E-15"/>
    <n v="0.44588477733457027"/>
    <n v="1008.1795823226198"/>
    <n v="2300"/>
    <x v="884"/>
    <s v="Наталья Дерматология"/>
    <s v="2025 10"/>
    <n v="1291.8204176773802"/>
    <n v="1.2813395949770332"/>
  </r>
  <r>
    <s v="539566149"/>
    <s v="722500530069"/>
    <s v="iHerb_OA CZN6870"/>
    <s v="Доставлен"/>
    <d v="2025-09-02T00:00:00"/>
    <x v="39"/>
    <s v="Витамины"/>
    <s v="SLM-01315"/>
    <x v="164"/>
    <x v="1139"/>
    <n v="31.66"/>
    <n v="-9.5"/>
    <n v="-2.9035438458513565"/>
    <n v="-2.476701065582984E-15"/>
    <n v="0.87280670359152845"/>
    <n v="1828.8352591427449"/>
    <n v="3500"/>
    <x v="704"/>
    <m/>
    <s v="2025 10"/>
    <n v="1671.1647408572551"/>
    <n v="0.91378637441657984"/>
  </r>
  <r>
    <s v="539566149"/>
    <s v="722500530069"/>
    <s v="iHerb_OA CZN6870"/>
    <s v="Доставлен"/>
    <d v="2025-09-02T00:00:00"/>
    <x v="39"/>
    <s v="Витамины"/>
    <s v="SLM-01315"/>
    <x v="164"/>
    <x v="1139"/>
    <n v="31.66"/>
    <n v="-9.5"/>
    <n v="-2.9035438458513565"/>
    <n v="-2.476701065582984E-15"/>
    <n v="0.87280670359152845"/>
    <n v="1828.8352591427449"/>
    <n v="3600"/>
    <x v="798"/>
    <s v="Виктория Башня/Энгельса"/>
    <s v="2026 01"/>
    <n v="1771.1647408572551"/>
    <n v="0.96846598511419635"/>
  </r>
  <r>
    <s v="539566149"/>
    <s v="722500530069"/>
    <s v="iHerb_OA CZN6870"/>
    <s v="Доставлен"/>
    <d v="2025-09-02T00:00:00"/>
    <x v="39"/>
    <s v="Витамины"/>
    <s v="CGN-02101"/>
    <x v="1"/>
    <x v="1204"/>
    <n v="91.56"/>
    <n v="-27.47"/>
    <n v="-8.3974785686197411"/>
    <n v="-7.1629860691883315E-15"/>
    <n v="2.5242861747825391"/>
    <n v="5289.2622634683448"/>
    <n v="9200"/>
    <x v="884"/>
    <s v="Лида корма"/>
    <s v="2025 10"/>
    <n v="3910.7377365316552"/>
    <n v="0.7393730054836144"/>
  </r>
  <r>
    <s v="539566149"/>
    <s v="722500530069"/>
    <s v="iHerb_OA CZN6870"/>
    <s v="Доставлен"/>
    <d v="2025-09-02T00:00:00"/>
    <x v="39"/>
    <s v="Витамины"/>
    <s v="CGN-01243"/>
    <x v="1"/>
    <x v="1693"/>
    <n v="10.56"/>
    <n v="-3.17"/>
    <n v="-0.968284703106567"/>
    <n v="-8.2593957015605833E-16"/>
    <n v="0.29106685647749986"/>
    <n v="609.88684860401111"/>
    <n v="1500"/>
    <x v="703"/>
    <s v="Даша Калифорния"/>
    <s v="2025 10"/>
    <n v="890.11315139598889"/>
    <n v="1.4594726110808856"/>
  </r>
  <r>
    <s v="539566149"/>
    <s v="722500530069"/>
    <s v="iHerb_OA CZN6870"/>
    <s v="Доставлен"/>
    <d v="2025-09-02T00:00:00"/>
    <x v="39"/>
    <s v="Витамины"/>
    <s v="CGN-00956"/>
    <x v="1"/>
    <x v="305"/>
    <n v="16.21"/>
    <n v="-4.8600000000000003"/>
    <n v="-1.4871490365709794"/>
    <n v="-1.2685269446916458E-15"/>
    <n v="0.44703772950197879"/>
    <n v="936.70036964215501"/>
    <n v="2400"/>
    <x v="885"/>
    <s v="Лариса Западный"/>
    <s v="2026 04"/>
    <n v="1463.299630357845"/>
    <n v="1.5621853879665546"/>
  </r>
  <r>
    <s v="WB0204"/>
    <n v="0"/>
    <s v="WBRS"/>
    <s v="Доставлен"/>
    <d v="2025-09-11T00:00:00"/>
    <x v="39"/>
    <s v="Витамины"/>
    <s v="065206575"/>
    <x v="237"/>
    <x v="1048"/>
    <n v="210"/>
    <n v="0"/>
    <n v="0"/>
    <n v="0"/>
    <n v="0"/>
    <n v="210"/>
    <n v="450"/>
    <x v="659"/>
    <s v="Аня Мирный"/>
    <s v="2025 09"/>
    <n v="240"/>
    <n v="1.1428571428571428"/>
  </r>
  <r>
    <s v="WB0204"/>
    <n v="0"/>
    <s v="WBRS"/>
    <s v="Доставлен"/>
    <d v="2025-09-11T00:00:00"/>
    <x v="39"/>
    <s v="Витамины"/>
    <s v="065206575"/>
    <x v="237"/>
    <x v="1048"/>
    <n v="210"/>
    <n v="0"/>
    <n v="0"/>
    <n v="0"/>
    <n v="0"/>
    <n v="210"/>
    <n v="450"/>
    <x v="659"/>
    <s v="Аня Мирный"/>
    <s v="2025 09"/>
    <n v="240"/>
    <n v="1.1428571428571428"/>
  </r>
  <r>
    <s v="OZO0160"/>
    <n v="0"/>
    <s v="OZON_OA"/>
    <s v="Доставлен"/>
    <d v="2025-09-13T00:00:00"/>
    <x v="39"/>
    <s v="Спортпит"/>
    <s v="892721541"/>
    <x v="162"/>
    <x v="618"/>
    <n v="764"/>
    <n v="0"/>
    <n v="0"/>
    <n v="0"/>
    <n v="0"/>
    <n v="764"/>
    <n v="2000"/>
    <x v="659"/>
    <s v="Татьяна Бригантина"/>
    <s v="2025 09"/>
    <n v="1236"/>
    <n v="1.6178010471204189"/>
  </r>
  <r>
    <s v="OZO0162"/>
    <n v="0"/>
    <s v="OZON_OA"/>
    <s v="Доставлен"/>
    <d v="2025-09-16T00:00:00"/>
    <x v="39"/>
    <s v="Спортпит"/>
    <s v="892721541"/>
    <x v="162"/>
    <x v="618"/>
    <n v="852"/>
    <n v="0"/>
    <n v="0"/>
    <n v="0"/>
    <n v="0"/>
    <n v="852"/>
    <n v="2000"/>
    <x v="814"/>
    <m/>
    <s v="2025 09"/>
    <n v="1148"/>
    <n v="1.3474178403755868"/>
  </r>
  <r>
    <s v="540196022"/>
    <s v="720000802326"/>
    <s v="iHerb_OA CZN6870"/>
    <s v="Доставлен"/>
    <d v="2025-09-16T00:00:00"/>
    <x v="39"/>
    <s v="Витамины"/>
    <s v="NOW-04726"/>
    <x v="3"/>
    <x v="48"/>
    <n v="17.38"/>
    <n v="-5.04"/>
    <n v="-0.64763959931798798"/>
    <n v="0"/>
    <n v="0.35505559481547816"/>
    <n v="1126.6423945012787"/>
    <n v="2400"/>
    <x v="858"/>
    <s v="Александр Космос"/>
    <s v="2025 12"/>
    <n v="1273.3576054987213"/>
    <n v="1.1302234069244197"/>
  </r>
  <r>
    <s v="540196022"/>
    <s v="720000802326"/>
    <s v="iHerb_OA CZN6870"/>
    <s v="Доставлен"/>
    <d v="2025-09-16T00:00:00"/>
    <x v="39"/>
    <s v="Витамины"/>
    <s v="NOW-04726"/>
    <x v="3"/>
    <x v="48"/>
    <n v="17.38"/>
    <n v="-5.04"/>
    <n v="-0.64763959931798798"/>
    <n v="0"/>
    <n v="0.35505559481547816"/>
    <n v="1126.6423945012787"/>
    <n v="2300"/>
    <x v="886"/>
    <m/>
    <s v="2026 03"/>
    <n v="1173.3576054987213"/>
    <n v="1.0414640983025689"/>
  </r>
  <r>
    <s v="540196022"/>
    <s v="720000802326"/>
    <s v="iHerb_OA CZN6870"/>
    <s v="Доставлен"/>
    <d v="2025-09-16T00:00:00"/>
    <x v="39"/>
    <s v="Витамины"/>
    <s v="NOW-00373"/>
    <x v="3"/>
    <x v="239"/>
    <n v="14.28"/>
    <n v="-4.1399999999999997"/>
    <n v="-0.53217710997442458"/>
    <n v="0"/>
    <n v="0.2917555698078565"/>
    <n v="925.7823241687978"/>
    <n v="2000"/>
    <x v="887"/>
    <m/>
    <s v="2026 04"/>
    <n v="1074.2176758312021"/>
    <n v="1.1603350461413002"/>
  </r>
  <r>
    <s v="540196022"/>
    <s v="720000802326"/>
    <s v="iHerb_OA CZN6870"/>
    <s v="Доставлен"/>
    <d v="2025-09-16T00:00:00"/>
    <x v="39"/>
    <s v="Витамины"/>
    <s v="NOW-01662"/>
    <x v="3"/>
    <x v="122"/>
    <n v="40.090000000000003"/>
    <n v="-11.63"/>
    <n v="-1.4936647485080989"/>
    <n v="0"/>
    <n v="0.81887214168950651"/>
    <n v="2598.3989098465472"/>
    <n v="4400"/>
    <x v="836"/>
    <s v="Михаил Икра Кофе"/>
    <s v="2025 12"/>
    <n v="1801.6010901534528"/>
    <n v="0.69335046413633594"/>
  </r>
  <r>
    <s v="540196022"/>
    <s v="720000802326"/>
    <s v="iHerb_OA CZN6870"/>
    <s v="Доставлен"/>
    <d v="2025-09-16T00:00:00"/>
    <x v="39"/>
    <s v="Витамины"/>
    <s v="NOW-01552"/>
    <x v="3"/>
    <x v="1012"/>
    <n v="13.03"/>
    <n v="-3.78"/>
    <n v="-0.48546728473998291"/>
    <n v="0"/>
    <n v="0.2661478324184095"/>
    <n v="844.52529571611251"/>
    <m/>
    <x v="20"/>
    <m/>
    <s v=""/>
    <n v="-844.52529571611251"/>
    <s v=""/>
  </r>
  <r>
    <s v="540196022"/>
    <s v="720000802326"/>
    <s v="iHerb_OA CZN6870"/>
    <s v="Доставлен"/>
    <d v="2025-09-16T00:00:00"/>
    <x v="39"/>
    <s v="Витамины"/>
    <s v="NOW-04603"/>
    <x v="3"/>
    <x v="1694"/>
    <n v="12.31"/>
    <n v="-3.57"/>
    <n v="-0.45870098039215684"/>
    <n v="0"/>
    <n v="0.25147373571209719"/>
    <n v="797.96227941176448"/>
    <m/>
    <x v="20"/>
    <m/>
    <s v=""/>
    <n v="-797.96227941176448"/>
    <s v=""/>
  </r>
  <r>
    <s v="540196022"/>
    <s v="720000802326"/>
    <s v="iHerb_OA CZN6870"/>
    <s v="Доставлен"/>
    <d v="2025-09-16T00:00:00"/>
    <x v="39"/>
    <s v="Витамины"/>
    <s v="NOW-04753"/>
    <x v="3"/>
    <x v="1695"/>
    <n v="27.33"/>
    <n v="-7.93"/>
    <n v="-1.0181692242114235"/>
    <n v="0"/>
    <n v="0.55819112961266426"/>
    <n v="1771.2206202046032"/>
    <n v="3200"/>
    <x v="888"/>
    <m/>
    <s v="2025 11"/>
    <n v="1428.7793797953968"/>
    <n v="0.80666370044311642"/>
  </r>
  <r>
    <s v="540196022"/>
    <s v="720000802326"/>
    <s v="iHerb_OA CZN6870"/>
    <s v="Доставлен"/>
    <d v="2025-09-16T00:00:00"/>
    <x v="39"/>
    <s v="Витамины"/>
    <s v="NOW-00475"/>
    <x v="3"/>
    <x v="1696"/>
    <n v="9.41"/>
    <n v="-2.73"/>
    <n v="-0.35058610400682011"/>
    <n v="0"/>
    <n v="0.19220189411405136"/>
    <n v="609.88421355498713"/>
    <n v="1800"/>
    <x v="815"/>
    <s v="Юлия рынок на Нептуне"/>
    <s v="2025 11"/>
    <n v="1190.1157864450129"/>
    <n v="1.9513798848930397"/>
  </r>
  <r>
    <s v="540196022"/>
    <s v="720000802326"/>
    <s v="iHerb_OA CZN6870"/>
    <s v="Доставлен"/>
    <d v="2025-09-16T00:00:00"/>
    <x v="39"/>
    <s v="Витамины"/>
    <s v="NOW-00185"/>
    <x v="3"/>
    <x v="1697"/>
    <n v="25.36"/>
    <n v="-7.35"/>
    <n v="-0.94521792412617212"/>
    <n v="0"/>
    <n v="0.51819702290330316"/>
    <n v="1644.313575767263"/>
    <n v="2300"/>
    <x v="746"/>
    <s v="Валентина Сычева"/>
    <s v="2025 11"/>
    <n v="655.68642423273695"/>
    <n v="0.39875996518898965"/>
  </r>
  <r>
    <s v="540196022"/>
    <s v="720000802326"/>
    <s v="iHerb_OA CZN6870"/>
    <s v="Доставлен"/>
    <d v="2025-09-16T00:00:00"/>
    <x v="39"/>
    <s v="Витамины"/>
    <s v="NOW-00142"/>
    <x v="3"/>
    <x v="1698"/>
    <n v="10.130000000000001"/>
    <n v="-2.94"/>
    <n v="-0.37735240835464628"/>
    <n v="0"/>
    <n v="0.20687599082036373"/>
    <n v="656.44722985933504"/>
    <n v="1700"/>
    <x v="691"/>
    <m/>
    <s v="2025 11"/>
    <n v="1043.552770140665"/>
    <n v="1.5896978807638198"/>
  </r>
  <r>
    <s v="540196022"/>
    <s v="720000802326"/>
    <s v="iHerb_OA CZN6870"/>
    <s v="Доставлен"/>
    <d v="2025-09-16T00:00:00"/>
    <x v="39"/>
    <s v="Витамины"/>
    <s v="NFS-02684"/>
    <x v="23"/>
    <x v="1699"/>
    <n v="32.43"/>
    <n v="-4.8650000000000002"/>
    <n v="-1.446692508525149"/>
    <n v="0"/>
    <n v="0.79312054060686021"/>
    <n v="2516.6853812340146"/>
    <n v="3700"/>
    <x v="783"/>
    <m/>
    <s v="2025 10"/>
    <n v="1183.3146187659854"/>
    <n v="0.47018774281025422"/>
  </r>
  <r>
    <s v="540196022"/>
    <s v="720000802326"/>
    <s v="iHerb_OA CZN6870"/>
    <s v="Доставлен"/>
    <d v="2025-09-16T00:00:00"/>
    <x v="39"/>
    <s v="Витамины"/>
    <s v="NFS-02684"/>
    <x v="23"/>
    <x v="1699"/>
    <n v="32.43"/>
    <n v="-4.8650000000000002"/>
    <n v="-1.446692508525149"/>
    <n v="0"/>
    <n v="0.79312054060686021"/>
    <n v="2516.6853812340146"/>
    <n v="3700"/>
    <x v="853"/>
    <s v="Светлана Федоровна"/>
    <s v="2025 11"/>
    <n v="1183.3146187659854"/>
    <n v="0.47018774281025422"/>
  </r>
  <r>
    <s v="540306371"/>
    <s v="720000811064"/>
    <s v="iHerb_MH DLE7202"/>
    <s v="Доставлен"/>
    <d v="2025-09-19T00:00:00"/>
    <x v="39"/>
    <s v="Витамины"/>
    <s v="NOW-01908"/>
    <x v="3"/>
    <x v="1700"/>
    <n v="14.48"/>
    <n v="-4.2"/>
    <n v="-1.3733656467737057"/>
    <n v="2.9503703215647109E-15"/>
    <n v="0.27816322145071626"/>
    <n v="865.48112312716273"/>
    <n v="1900"/>
    <x v="319"/>
    <s v="Наталья магазин"/>
    <s v="2025 10"/>
    <n v="1034.5188768728372"/>
    <n v="1.1953107343750098"/>
  </r>
  <r>
    <s v="540306371"/>
    <s v="720000811064"/>
    <s v="iHerb_MH DLE7202"/>
    <s v="Доставлен"/>
    <d v="2025-09-19T00:00:00"/>
    <x v="39"/>
    <s v="Витамины"/>
    <s v="NOW-01908"/>
    <x v="3"/>
    <x v="1700"/>
    <n v="14.48"/>
    <n v="-4.2"/>
    <n v="-1.3733656467737057"/>
    <n v="2.9503703215647109E-15"/>
    <n v="0.27816322145071626"/>
    <n v="865.48112312716273"/>
    <n v="1800"/>
    <x v="858"/>
    <s v="Татьяна Индол"/>
    <s v="2025 12"/>
    <n v="934.51887687283727"/>
    <n v="1.0797680641447462"/>
  </r>
  <r>
    <s v="540306371"/>
    <s v="720000811064"/>
    <s v="iHerb_MH DLE7202"/>
    <s v="Доставлен"/>
    <d v="2025-09-19T00:00:00"/>
    <x v="39"/>
    <s v="Витамины"/>
    <s v="SNS-00803"/>
    <x v="151"/>
    <x v="868"/>
    <n v="17.420000000000002"/>
    <n v="-5.05"/>
    <n v="-1.6525810360496824"/>
    <n v="3.5502024200151236E-15"/>
    <n v="0.3347158608312607"/>
    <n v="1041.4398339574907"/>
    <n v="2300"/>
    <x v="889"/>
    <s v="Валентина Сычева"/>
    <s v="2026 02"/>
    <n v="1258.5601660425093"/>
    <n v="1.2084809174812887"/>
  </r>
  <r>
    <s v="540306371"/>
    <s v="720000811064"/>
    <s v="iHerb_MH DLE7202"/>
    <s v="Доставлен"/>
    <d v="2025-09-19T00:00:00"/>
    <x v="39"/>
    <s v="Витамины"/>
    <s v="SNS-00803"/>
    <x v="151"/>
    <x v="868"/>
    <n v="17.420000000000002"/>
    <n v="-5.05"/>
    <n v="-1.6525810360496824"/>
    <n v="3.5502024200151236E-15"/>
    <n v="0.3347158608312607"/>
    <n v="1041.4398339574907"/>
    <n v="2500"/>
    <x v="611"/>
    <m/>
    <s v="2026 02"/>
    <n v="1458.5601660425093"/>
    <n v="1.4005227363927051"/>
  </r>
  <r>
    <s v="540306371"/>
    <s v="720000811064"/>
    <s v="iHerb_MH DLE7202"/>
    <s v="Доставлен"/>
    <d v="2025-09-19T00:00:00"/>
    <x v="39"/>
    <s v="Витамины"/>
    <s v="LEX-01011"/>
    <x v="7"/>
    <x v="1701"/>
    <n v="20.07"/>
    <n v="-5.82"/>
    <n v="-1.9037412905180253"/>
    <n v="4.0897643076164517E-15"/>
    <n v="0.38558617759462122"/>
    <n v="1199.7184829340531"/>
    <n v="2600"/>
    <x v="746"/>
    <s v="Полина Цветы"/>
    <s v="2025 11"/>
    <n v="1400.2815170659469"/>
    <n v="1.1671750806417462"/>
  </r>
  <r>
    <s v="540306371"/>
    <s v="720000811064"/>
    <s v="iHerb_MH DLE7202"/>
    <s v="Доставлен"/>
    <d v="2025-09-19T00:00:00"/>
    <x v="39"/>
    <s v="Витамины"/>
    <s v="NFS-01683"/>
    <x v="23"/>
    <x v="111"/>
    <n v="6.07"/>
    <n v="-1.76"/>
    <n v="-0.57579824295668003"/>
    <n v="1.2369743274264498E-15"/>
    <n v="0.11662290704791702"/>
    <n v="362.86222185584353"/>
    <m/>
    <x v="20"/>
    <m/>
    <s v=""/>
    <n v="-362.86222185584353"/>
    <s v=""/>
  </r>
  <r>
    <s v="540306371"/>
    <s v="720000811064"/>
    <s v="iHerb_MH DLE7202"/>
    <s v="Доставлен"/>
    <d v="2025-09-19T00:00:00"/>
    <x v="39"/>
    <s v="Витамины"/>
    <s v="MRM-71301"/>
    <x v="37"/>
    <x v="116"/>
    <n v="6.24"/>
    <n v="-1.81"/>
    <n v="-0.5918297485610422"/>
    <n v="1.2714144479116407E-15"/>
    <n v="0.11986994854345065"/>
    <n v="372.9651143437091"/>
    <n v="1200"/>
    <x v="771"/>
    <s v="Антонина Космос"/>
    <s v="2026 02"/>
    <n v="827.03488565629095"/>
    <n v="2.217459096976373"/>
  </r>
  <r>
    <s v="540306371"/>
    <s v="720000811064"/>
    <s v="iHerb_MH DLE7202"/>
    <s v="Доставлен"/>
    <d v="2025-09-19T00:00:00"/>
    <x v="39"/>
    <s v="Витамины"/>
    <s v="SOL-02551"/>
    <x v="19"/>
    <x v="1702"/>
    <n v="7.73"/>
    <n v="0"/>
    <n v="-1.0326961526810061"/>
    <n v="2.2185177612543981E-15"/>
    <n v="0.20916358967062612"/>
    <n v="650.79465776001621"/>
    <n v="1300"/>
    <x v="836"/>
    <s v="Валентина Сычева"/>
    <s v="2025 12"/>
    <n v="649.20534223998379"/>
    <n v="0.99755788480885399"/>
  </r>
  <r>
    <s v="540306371"/>
    <s v="720000811064"/>
    <s v="iHerb_MH DLE7202"/>
    <s v="Доставлен"/>
    <d v="2025-09-19T00:00:00"/>
    <x v="39"/>
    <s v="Витамины"/>
    <s v="NOW-01290"/>
    <x v="3"/>
    <x v="1403"/>
    <n v="14.48"/>
    <n v="-4.2"/>
    <n v="-1.3733656467737057"/>
    <n v="2.9503703215647109E-15"/>
    <n v="0.27816322145071626"/>
    <n v="865.48112312716273"/>
    <n v="2000"/>
    <x v="890"/>
    <m/>
    <s v="2025 12"/>
    <n v="1134.5188768728372"/>
    <n v="1.3108534046052736"/>
  </r>
  <r>
    <s v="540306371"/>
    <s v="720000811064"/>
    <s v="iHerb_MH DLE7202"/>
    <s v="Доставлен"/>
    <d v="2025-09-19T00:00:00"/>
    <x v="39"/>
    <s v="Витамины"/>
    <s v="DRB-00245"/>
    <x v="6"/>
    <x v="1703"/>
    <n v="20"/>
    <n v="-5.8"/>
    <n v="-1.8970614965162076"/>
    <n v="4.0754142574142888E-15"/>
    <n v="0.38423324363814887"/>
    <n v="1195.5089443974423"/>
    <n v="2300"/>
    <x v="815"/>
    <s v="Лида корма"/>
    <s v="2025 11"/>
    <n v="1104.4910556025577"/>
    <n v="0.92386682741151782"/>
  </r>
  <r>
    <s v="540306371"/>
    <s v="720000811064"/>
    <s v="iHerb_MH DLE7202"/>
    <s v="Доставлен"/>
    <d v="2025-09-19T00:00:00"/>
    <x v="39"/>
    <s v="Витамины"/>
    <s v="CGN-01266"/>
    <x v="1"/>
    <x v="1704"/>
    <n v="30.08"/>
    <n v="-8.7200000000000006"/>
    <n v="-2.8536079975764927"/>
    <n v="6.1303414463640287E-15"/>
    <n v="0.57797338620499006"/>
    <n v="1798.3148628400968"/>
    <n v="3000"/>
    <x v="891"/>
    <m/>
    <s v="2026 03"/>
    <n v="1201.6851371599032"/>
    <n v="0.66822844096504308"/>
  </r>
  <r>
    <s v="540306371"/>
    <s v="720000811064"/>
    <s v="iHerb_MH DLE7202"/>
    <s v="Доставлен"/>
    <d v="2025-09-19T00:00:00"/>
    <x v="39"/>
    <s v="Витамины"/>
    <s v="WIF-00412"/>
    <x v="333"/>
    <x v="1705"/>
    <n v="47.7"/>
    <n v="-13.83"/>
    <n v="-4.5248924568312647"/>
    <n v="9.7207240069452095E-15"/>
    <n v="0.91647746211437353"/>
    <n v="2851.5414047000972"/>
    <n v="5000"/>
    <x v="319"/>
    <s v="Алёна Чайка"/>
    <s v="2025 10"/>
    <n v="2148.4585952999028"/>
    <n v="0.75343762912180501"/>
  </r>
  <r>
    <s v="540306371"/>
    <s v="720000811064"/>
    <s v="iHerb_MH DLE7202"/>
    <s v="Доставлен"/>
    <d v="2025-09-19T00:00:00"/>
    <x v="39"/>
    <s v="Витамины"/>
    <s v="NAP-29982"/>
    <x v="11"/>
    <x v="393"/>
    <n v="29.68"/>
    <n v="-8.61"/>
    <n v="-2.8148651923659505"/>
    <n v="6.0471111551914837E-15"/>
    <n v="0.57012636925745053"/>
    <n v="1773.8995393277546"/>
    <n v="3300"/>
    <x v="319"/>
    <m/>
    <s v="2025 10"/>
    <n v="1526.1004606722454"/>
    <n v="0.86030827949286448"/>
  </r>
  <r>
    <s v="540306371"/>
    <s v="720000811064"/>
    <s v="iHerb_MH DLE7202"/>
    <s v="Доставлен"/>
    <d v="2025-09-19T00:00:00"/>
    <x v="39"/>
    <s v="Витамины"/>
    <s v="SMT-02678"/>
    <x v="334"/>
    <x v="1706"/>
    <n v="4.8899999999999997"/>
    <n v="-2.89"/>
    <n v="-0.26719176007270523"/>
    <n v="5.7400200808651946E-16"/>
    <n v="5.4117358258894195E-2"/>
    <n v="168.38154146442849"/>
    <m/>
    <x v="20"/>
    <m/>
    <s v=""/>
    <n v="-168.38154146442849"/>
    <s v=""/>
  </r>
  <r>
    <s v="540306371"/>
    <s v="720000811064"/>
    <s v="iHerb_MH DLE7202"/>
    <s v="Доставлен"/>
    <d v="2025-09-19T00:00:00"/>
    <x v="39"/>
    <s v="Витамины"/>
    <s v="DRB-00294"/>
    <x v="6"/>
    <x v="867"/>
    <n v="27.12"/>
    <n v="-7.86"/>
    <n v="-2.5730566495001526"/>
    <n v="5.5276393378731838E-15"/>
    <n v="0.52115016003315129"/>
    <n v="1621.514244302447"/>
    <n v="3000"/>
    <x v="886"/>
    <s v="Даша Калифорния"/>
    <s v="2026 03"/>
    <n v="1378.485755697553"/>
    <n v="0.85012250773693243"/>
  </r>
  <r>
    <s v="540528658"/>
    <s v="720000831595"/>
    <s v="iHerb_VP DFD1605"/>
    <s v="Доставлен"/>
    <d v="2025-09-23T00:00:00"/>
    <x v="39"/>
    <s v="Витамины"/>
    <s v="PAR-77721"/>
    <x v="44"/>
    <x v="1707"/>
    <n v="14918.76"/>
    <n v="-4326.4399999999996"/>
    <n v="0"/>
    <n v="-1.5281701175745861E-12"/>
    <n v="313.53176803514003"/>
    <n v="1844.6796810065907"/>
    <n v="3000"/>
    <x v="319"/>
    <s v="Любовь Виталий"/>
    <s v="2025 10"/>
    <n v="1155.3203189934093"/>
    <n v="0.62629860939487492"/>
  </r>
  <r>
    <s v="540528658"/>
    <s v="720000831595"/>
    <s v="iHerb_VP DFD1605"/>
    <s v="Доставлен"/>
    <d v="2025-09-23T00:00:00"/>
    <x v="39"/>
    <s v="Витамины"/>
    <s v="NOW-00373"/>
    <x v="3"/>
    <x v="239"/>
    <n v="7852.58"/>
    <n v="-2277.25"/>
    <n v="0"/>
    <n v="-8.0436133931160661E-13"/>
    <n v="165.02929219277337"/>
    <n v="970.95801164489706"/>
    <n v="1500"/>
    <x v="892"/>
    <m/>
    <s v="2026 04"/>
    <n v="529.04198835510294"/>
    <n v="0.54486597979541307"/>
  </r>
  <r>
    <s v="540528658"/>
    <s v="720000831595"/>
    <s v="iHerb_VP DFD1605"/>
    <s v="Доставлен"/>
    <d v="2025-09-23T00:00:00"/>
    <x v="39"/>
    <s v="Витамины"/>
    <s v="NOR-56780"/>
    <x v="9"/>
    <x v="1708"/>
    <n v="11675.17"/>
    <n v="-3385.8"/>
    <n v="0"/>
    <n v="-1.1959200182320062E-12"/>
    <n v="245.36464457243065"/>
    <n v="1443.6150349824779"/>
    <m/>
    <x v="20"/>
    <m/>
    <s v=""/>
    <n v="-1443.6150349824779"/>
    <s v=""/>
  </r>
  <r>
    <s v="540528658"/>
    <s v="720000831595"/>
    <s v="iHerb_VP DFD1605"/>
    <s v="Доставлен"/>
    <d v="2025-09-23T00:00:00"/>
    <x v="39"/>
    <s v="Витамины"/>
    <s v="NAP-29982"/>
    <x v="11"/>
    <x v="393"/>
    <n v="16323.99"/>
    <n v="-4733.96"/>
    <n v="0"/>
    <n v="-1.6721112568155964E-12"/>
    <n v="343.06389888903601"/>
    <n v="2018.4334350979595"/>
    <n v="3400"/>
    <x v="722"/>
    <s v="Надежда Sumbucol"/>
    <s v="2025 11"/>
    <n v="1381.5665649020405"/>
    <n v="0.68447467272310103"/>
  </r>
  <r>
    <s v="540528658"/>
    <s v="720000831595"/>
    <s v="iHerb_VP DFD1605"/>
    <s v="Доставлен"/>
    <d v="2025-09-23T00:00:00"/>
    <x v="39"/>
    <s v="Витамины"/>
    <s v="NAP-29980"/>
    <x v="11"/>
    <x v="1709"/>
    <n v="8376.85"/>
    <n v="-2429.29"/>
    <n v="0"/>
    <n v="-8.5806352758242818E-13"/>
    <n v="176.04726842609341"/>
    <n v="1035.7828203422441"/>
    <n v="2200"/>
    <x v="771"/>
    <m/>
    <s v="2026 02"/>
    <n v="1164.2171796577559"/>
    <n v="1.1239973832285366"/>
  </r>
  <r>
    <s v="540528658"/>
    <s v="720000831595"/>
    <s v="iHerb_VP DFD1605"/>
    <s v="Доставлен"/>
    <d v="2025-09-23T00:00:00"/>
    <x v="39"/>
    <s v="Витамины"/>
    <s v="NOW-00376"/>
    <x v="3"/>
    <x v="766"/>
    <n v="5801.11"/>
    <n v="-1682.32"/>
    <n v="0"/>
    <n v="-5.9422409807908266E-13"/>
    <n v="121.91583249613441"/>
    <n v="717.29783686039843"/>
    <n v="1380"/>
    <x v="746"/>
    <s v="Оксана молокозавод"/>
    <s v="2025 11"/>
    <n v="662.70216313960157"/>
    <n v="0.92388702305340653"/>
  </r>
  <r>
    <s v="540528658"/>
    <s v="720000831595"/>
    <s v="iHerb_VP DFD1605"/>
    <s v="Доставлен"/>
    <d v="2025-09-23T00:00:00"/>
    <x v="39"/>
    <s v="Витамины"/>
    <s v="NOW-00376"/>
    <x v="3"/>
    <x v="766"/>
    <n v="5801.11"/>
    <n v="-1682.32"/>
    <n v="0"/>
    <n v="-5.9422409807908266E-13"/>
    <n v="121.91583249613441"/>
    <n v="717.29783686039843"/>
    <n v="1600"/>
    <x v="691"/>
    <s v="Антонина Космос"/>
    <s v="2025 11"/>
    <n v="882.70216313960157"/>
    <n v="1.2305936499169932"/>
  </r>
  <r>
    <s v="540528658"/>
    <s v="720000831595"/>
    <s v="iHerb_VP DFD1605"/>
    <s v="Доставлен"/>
    <d v="2025-09-23T00:00:00"/>
    <x v="39"/>
    <s v="Витамины"/>
    <s v="NOW-00087"/>
    <x v="3"/>
    <x v="1710"/>
    <n v="5573.17"/>
    <n v="-1616.22"/>
    <n v="0"/>
    <n v="-5.7087519511653331E-13"/>
    <n v="117.12538230780861"/>
    <n v="689.1129859897577"/>
    <m/>
    <x v="20"/>
    <m/>
    <s v=""/>
    <n v="-689.1129859897577"/>
    <s v=""/>
  </r>
  <r>
    <s v="540528658"/>
    <s v="720000831595"/>
    <s v="iHerb_VP DFD1605"/>
    <s v="Доставлен"/>
    <d v="2025-09-23T00:00:00"/>
    <x v="39"/>
    <s v="Витамины"/>
    <s v="SOL-52387"/>
    <x v="19"/>
    <x v="1210"/>
    <n v="9925.32"/>
    <n v="0"/>
    <n v="0"/>
    <n v="-1.431941013051474E-12"/>
    <n v="293.78862495794465"/>
    <n v="1728.5199211776396"/>
    <n v="2400"/>
    <x v="893"/>
    <s v="Елена Шевченко 217"/>
    <s v="2025 10"/>
    <n v="671.48007882236038"/>
    <n v="0.38847112526471861"/>
  </r>
  <r>
    <s v="540528658"/>
    <s v="720000831595"/>
    <s v="iHerb_VP DFD1605"/>
    <s v="Доставлен"/>
    <d v="2025-09-23T00:00:00"/>
    <x v="39"/>
    <s v="Витамины"/>
    <s v="BLB-00314"/>
    <x v="186"/>
    <x v="1711"/>
    <n v="8517.58"/>
    <n v="-2470.1"/>
    <n v="0"/>
    <n v="-8.7247913796316171E-13"/>
    <n v="179.00489189876711"/>
    <n v="1053.1841444833367"/>
    <n v="2000"/>
    <x v="319"/>
    <s v="Надежда Витамины"/>
    <s v="2025 10"/>
    <n v="946.81585551666331"/>
    <n v="0.89900314249522362"/>
  </r>
  <r>
    <s v="540528658"/>
    <s v="720000831595"/>
    <s v="iHerb_VP DFD1605"/>
    <s v="Доставлен"/>
    <d v="2025-09-23T00:00:00"/>
    <x v="39"/>
    <s v="Витамины"/>
    <s v="BLB-00601"/>
    <x v="186"/>
    <x v="1587"/>
    <n v="25758.799999999999"/>
    <n v="-7470.05"/>
    <n v="0"/>
    <n v="-2.6385457801305295E-12"/>
    <n v="541.34543920998112"/>
    <n v="3185.0326950100912"/>
    <n v="4900"/>
    <x v="319"/>
    <s v="Надежда Витамины"/>
    <s v="2025 10"/>
    <n v="1714.9673049899088"/>
    <n v="0.53844574584013027"/>
  </r>
  <r>
    <s v="540528658"/>
    <s v="720000831595"/>
    <s v="iHerb_VP DFD1605"/>
    <s v="Доставлен"/>
    <d v="2025-09-23T00:00:00"/>
    <x v="39"/>
    <s v="Витамины"/>
    <s v="NOW-03159"/>
    <x v="3"/>
    <x v="1578"/>
    <n v="17484.64"/>
    <n v="-5070.55"/>
    <n v="0"/>
    <n v="-1.7909996464307622E-12"/>
    <n v="367.4560045624898"/>
    <n v="2161.9455965442048"/>
    <n v="3400"/>
    <x v="598"/>
    <m/>
    <s v="2025 12"/>
    <n v="1238.0544034557952"/>
    <n v="0.57265751989077907"/>
  </r>
  <r>
    <s v="540856317"/>
    <s v="720000837761"/>
    <s v="iHerb_VP DFD1605"/>
    <s v="Доставлен"/>
    <d v="2025-09-30T00:00:00"/>
    <x v="39"/>
    <s v="Витамины"/>
    <s v="BLB-00376"/>
    <x v="186"/>
    <x v="1712"/>
    <n v="12627.54"/>
    <n v="-3661.99"/>
    <n v="-1090.2897649472122"/>
    <n v="0"/>
    <n v="324.0659676241475"/>
    <n v="1402.5907066061984"/>
    <n v="2800"/>
    <x v="746"/>
    <s v="Аня Мирный"/>
    <s v="2025 11"/>
    <n v="1397.4092933938016"/>
    <n v="0.99630582664779366"/>
  </r>
  <r>
    <s v="540856317"/>
    <s v="720000837761"/>
    <s v="iHerb_VP DFD1605"/>
    <s v="Доставлен"/>
    <d v="2025-09-30T00:00:00"/>
    <x v="39"/>
    <s v="Витамины"/>
    <s v="NOW-00376"/>
    <x v="3"/>
    <x v="766"/>
    <n v="5801.11"/>
    <n v="-1682.32"/>
    <n v="-500.8811038884316"/>
    <n v="0"/>
    <n v="148.87649578560851"/>
    <n v="644.35272531663361"/>
    <n v="1700"/>
    <x v="846"/>
    <s v="Оксана 17 Цветы"/>
    <s v="2025 12"/>
    <n v="1055.6472746833665"/>
    <n v="1.6383065256139386"/>
  </r>
  <r>
    <s v="540856317"/>
    <s v="720000837761"/>
    <s v="iHerb_VP DFD1605"/>
    <s v="Доставлен"/>
    <d v="2025-09-30T00:00:00"/>
    <x v="39"/>
    <s v="Витамины"/>
    <s v="BLB-00298"/>
    <x v="186"/>
    <x v="748"/>
    <n v="5105.97"/>
    <n v="-1480.73"/>
    <n v="-440.86108130312493"/>
    <n v="0"/>
    <n v="131.03679177181147"/>
    <n v="567.14065876795678"/>
    <n v="1270"/>
    <x v="746"/>
    <s v="Оксана молокозавод"/>
    <s v="2025 11"/>
    <n v="702.85934123204322"/>
    <n v="1.2393033903774746"/>
  </r>
  <r>
    <s v="540856317"/>
    <s v="720000837761"/>
    <s v="iHerb_VP DFD1605"/>
    <s v="Доставлен"/>
    <d v="2025-09-30T00:00:00"/>
    <x v="39"/>
    <s v="Витамины"/>
    <s v="NBC-00450"/>
    <x v="8"/>
    <x v="1713"/>
    <n v="7422.57"/>
    <n v="-2152.5500000000002"/>
    <n v="-640.88080118532673"/>
    <n v="0"/>
    <n v="190.48849548534213"/>
    <n v="824.45372293153207"/>
    <m/>
    <x v="20"/>
    <m/>
    <s v=""/>
    <n v="-824.45372293153207"/>
    <s v=""/>
  </r>
  <r>
    <s v="540856317"/>
    <s v="720000837761"/>
    <s v="iHerb_VP DFD1605"/>
    <s v="Доставлен"/>
    <d v="2025-09-30T00:00:00"/>
    <x v="39"/>
    <s v="Витамины"/>
    <s v="NOW-00680"/>
    <x v="3"/>
    <x v="1714"/>
    <n v="5573.17"/>
    <n v="-1616.22"/>
    <n v="-481.19993591111211"/>
    <n v="0"/>
    <n v="143.02667773760339"/>
    <n v="619.03411352403316"/>
    <n v="1500"/>
    <x v="845"/>
    <s v="Лариса Западный"/>
    <s v="2025 11"/>
    <n v="880.96588647596684"/>
    <n v="1.42312978756665"/>
  </r>
  <r>
    <s v="540856317"/>
    <s v="720000837761"/>
    <s v="iHerb_VP DFD1605"/>
    <s v="Доставлен"/>
    <d v="2025-09-30T00:00:00"/>
    <x v="39"/>
    <s v="Витамины"/>
    <s v="NOW-00373"/>
    <x v="3"/>
    <x v="239"/>
    <n v="7852.58"/>
    <n v="-2277.25"/>
    <n v="-678.00918350833354"/>
    <n v="0"/>
    <n v="201.52413530390638"/>
    <n v="872.21710260527652"/>
    <m/>
    <x v="20"/>
    <m/>
    <s v=""/>
    <n v="-872.21710260527652"/>
    <s v=""/>
  </r>
  <r>
    <s v="540856317"/>
    <s v="720000837761"/>
    <s v="iHerb_VP DFD1605"/>
    <s v="Доставлен"/>
    <d v="2025-09-30T00:00:00"/>
    <x v="39"/>
    <s v="Витамины"/>
    <s v="NOW-00373"/>
    <x v="3"/>
    <x v="239"/>
    <n v="7852.58"/>
    <n v="-2277.25"/>
    <n v="-678.00918350833354"/>
    <n v="0"/>
    <n v="201.52413530390638"/>
    <n v="872.21710260527652"/>
    <m/>
    <x v="20"/>
    <m/>
    <s v=""/>
    <n v="-872.21710260527652"/>
    <s v=""/>
  </r>
  <r>
    <s v="540856317"/>
    <s v="720000837761"/>
    <s v="iHerb_VP DFD1605"/>
    <s v="Доставлен"/>
    <d v="2025-09-30T00:00:00"/>
    <x v="39"/>
    <s v="Витамины"/>
    <s v="AGE-33312"/>
    <x v="189"/>
    <x v="1715"/>
    <n v="18475.57"/>
    <n v="-5357.92"/>
    <n v="-1595.221657919458"/>
    <n v="0"/>
    <n v="474.14647625688298"/>
    <n v="2052.1545228695172"/>
    <n v="3600"/>
    <x v="894"/>
    <s v="Оксана Черноморская"/>
    <s v="2026 03"/>
    <n v="1547.8454771304828"/>
    <n v="0.75425386338166112"/>
  </r>
  <r>
    <s v="540856317"/>
    <s v="720000837761"/>
    <s v="iHerb_VP DFD1605"/>
    <s v="Доставлен"/>
    <d v="2025-09-30T00:00:00"/>
    <x v="39"/>
    <s v="Витамины"/>
    <s v="TEO-00757"/>
    <x v="181"/>
    <x v="1716"/>
    <n v="21315.599999999999"/>
    <n v="-6181.52"/>
    <n v="-1840.4372878286667"/>
    <n v="0"/>
    <n v="547.03172469076151"/>
    <n v="2367.6093447735757"/>
    <n v="4200"/>
    <x v="878"/>
    <s v="Юлия рынок на Нептуне"/>
    <s v="2025 11"/>
    <n v="1832.3906552264243"/>
    <n v="0.77394130043935239"/>
  </r>
  <r>
    <s v="540989429"/>
    <s v="722500547711"/>
    <s v="iHerb_VP DFD1605"/>
    <s v="Доставлен"/>
    <d v="2025-10-04T00:00:00"/>
    <x v="40"/>
    <s v="Витамины"/>
    <s v="SNS-01794"/>
    <x v="151"/>
    <x v="1503"/>
    <n v="16.760000000000002"/>
    <n v="-3.35"/>
    <n v="-0.63085243328100482"/>
    <n v="1.9944276476280368E-15"/>
    <n v="0.30336041447276424"/>
    <n v="1222.5920156985874"/>
    <m/>
    <x v="20"/>
    <m/>
    <s v=""/>
    <n v="-1222.5920156985874"/>
    <s v=""/>
  </r>
  <r>
    <s v="540989429"/>
    <s v="722500547711"/>
    <s v="iHerb_VP DFD1605"/>
    <s v="Доставлен"/>
    <d v="2025-10-04T00:00:00"/>
    <x v="40"/>
    <s v="Витамины"/>
    <s v="SNS-01794"/>
    <x v="151"/>
    <x v="1503"/>
    <n v="16.760000000000002"/>
    <n v="-3.35"/>
    <n v="-0.63085243328100482"/>
    <n v="1.9944276476280368E-15"/>
    <n v="0.30336041447276424"/>
    <n v="1222.5920156985874"/>
    <m/>
    <x v="20"/>
    <m/>
    <s v=""/>
    <n v="-1222.5920156985874"/>
    <s v=""/>
  </r>
  <r>
    <s v="540989429"/>
    <s v="722500547711"/>
    <s v="iHerb_VP DFD1605"/>
    <s v="Доставлен"/>
    <d v="2025-10-04T00:00:00"/>
    <x v="40"/>
    <s v="Витамины"/>
    <s v="NAP-29978"/>
    <x v="11"/>
    <x v="54"/>
    <n v="13.22"/>
    <n v="-2.64"/>
    <n v="-0.49771951857666141"/>
    <n v="1.5735305378004939E-15"/>
    <n v="0.23934028226113685"/>
    <n v="964.58042700157"/>
    <n v="2000"/>
    <x v="864"/>
    <m/>
    <s v="2025 11"/>
    <n v="1035.4195729984299"/>
    <n v="1.0734403726364898"/>
  </r>
  <r>
    <s v="540989429"/>
    <s v="722500547711"/>
    <s v="iHerb_VP DFD1605"/>
    <s v="Доставлен"/>
    <d v="2025-10-04T00:00:00"/>
    <x v="40"/>
    <s v="Витамины"/>
    <s v="CAL-14126"/>
    <x v="138"/>
    <x v="1717"/>
    <n v="17.07"/>
    <n v="-3.41"/>
    <n v="-0.64261329147043444"/>
    <n v="2.0316093711110349E-15"/>
    <n v="0.30901590318403876"/>
    <n v="1245.3845588697018"/>
    <n v="2100"/>
    <x v="849"/>
    <s v="Татьяна Виноград"/>
    <s v="2025 11"/>
    <n v="854.61544113029822"/>
    <n v="0.68622614199258936"/>
  </r>
  <r>
    <s v="540989429"/>
    <s v="722500547711"/>
    <s v="iHerb_VP DFD1605"/>
    <s v="Доставлен"/>
    <d v="2025-10-04T00:00:00"/>
    <x v="40"/>
    <s v="Витамины"/>
    <s v="CLG-56025"/>
    <x v="274"/>
    <x v="1319"/>
    <n v="9.4"/>
    <n v="-1.88"/>
    <n v="-0.35376661433804296"/>
    <n v="1.1184262423685931E-15"/>
    <n v="0.17011710043513703"/>
    <n v="685.59969858712714"/>
    <n v="1400"/>
    <x v="849"/>
    <s v="Татьяна Виноград"/>
    <s v="2025 11"/>
    <n v="714.40030141287286"/>
    <n v="1.0420078989023733"/>
  </r>
  <r>
    <s v="540989429"/>
    <s v="722500547711"/>
    <s v="iHerb_VP DFD1605"/>
    <s v="Доставлен"/>
    <d v="2025-10-04T00:00:00"/>
    <x v="40"/>
    <s v="Витамины"/>
    <s v="VMC-47443"/>
    <x v="307"/>
    <x v="1559"/>
    <n v="21.76"/>
    <n v="-4.3499999999999996"/>
    <n v="-0.8190261643118788"/>
    <n v="2.589335223356012E-15"/>
    <n v="0.39384823385315632"/>
    <n v="1587.272706436421"/>
    <n v="2900"/>
    <x v="746"/>
    <s v="Татьяна Бригантина"/>
    <s v="2025 11"/>
    <n v="1312.727293563579"/>
    <n v="0.82703324276946544"/>
  </r>
  <r>
    <s v="540989429"/>
    <s v="722500547711"/>
    <s v="iHerb_VP DFD1605"/>
    <s v="Доставлен"/>
    <d v="2025-10-04T00:00:00"/>
    <x v="40"/>
    <s v="Витамины"/>
    <s v="NOW-03304"/>
    <x v="3"/>
    <x v="1718"/>
    <n v="31.89"/>
    <n v="-6.38"/>
    <n v="-1.2000779696493984"/>
    <n v="3.7940230642051614E-15"/>
    <n v="0.57708606809845009"/>
    <n v="2325.7511051805336"/>
    <n v="3500"/>
    <x v="746"/>
    <s v="Наталья Школа 53"/>
    <s v="2025 11"/>
    <n v="1174.2488948194664"/>
    <n v="0.50489018029653554"/>
  </r>
  <r>
    <s v="540989429"/>
    <s v="722500547711"/>
    <s v="iHerb_VP DFD1605"/>
    <s v="Доставлен"/>
    <d v="2025-10-04T00:00:00"/>
    <x v="40"/>
    <s v="Витамины"/>
    <s v="NTA-26180"/>
    <x v="253"/>
    <x v="1719"/>
    <n v="29.03"/>
    <n v="-5.81"/>
    <n v="-1.0923485086342231"/>
    <n v="3.4534384771008954E-15"/>
    <n v="0.52528179150317567"/>
    <n v="2116.9714097331243"/>
    <n v="3700"/>
    <x v="746"/>
    <s v="Наталья Школа 53"/>
    <s v="2025 11"/>
    <n v="1583.0285902668757"/>
    <n v="0.74777986277407493"/>
  </r>
  <r>
    <s v="540989429"/>
    <s v="722500547711"/>
    <s v="iHerb_VP DFD1605"/>
    <s v="Доставлен"/>
    <d v="2025-10-04T00:00:00"/>
    <x v="40"/>
    <s v="Косметика"/>
    <s v="SMT-02678"/>
    <x v="334"/>
    <x v="1706"/>
    <n v="4.8899999999999997"/>
    <n v="-2.89"/>
    <n v="-9.4086865515436935E-2"/>
    <n v="2.9745378786398746E-16"/>
    <n v="4.5243909690195996E-2"/>
    <n v="182.34034536891673"/>
    <m/>
    <x v="20"/>
    <m/>
    <s v=""/>
    <n v="-182.34034536891673"/>
    <s v=""/>
  </r>
  <r>
    <s v="540989429"/>
    <s v="722500547711"/>
    <s v="iHerb_VP DFD1605"/>
    <s v="Доставлен"/>
    <d v="2025-10-04T00:00:00"/>
    <x v="40"/>
    <s v="Витамины"/>
    <s v="CAR-01543"/>
    <x v="154"/>
    <x v="794"/>
    <n v="24.74"/>
    <n v="-4.95"/>
    <n v="-0.93098953427524866"/>
    <n v="2.9433052309141566E-15"/>
    <n v="0.44768848638448955"/>
    <n v="1804.2577174254318"/>
    <n v="3100"/>
    <x v="882"/>
    <m/>
    <s v="2025 12"/>
    <n v="1295.7422825745682"/>
    <n v="0.71815809352530591"/>
  </r>
  <r>
    <s v="540989429"/>
    <s v="722500547711"/>
    <s v="iHerb_VP DFD1605"/>
    <s v="Доставлен"/>
    <d v="2025-10-04T00:00:00"/>
    <x v="40"/>
    <s v="Витамины"/>
    <s v="NOW-02313"/>
    <x v="3"/>
    <x v="87"/>
    <n v="23.95"/>
    <n v="-4.79"/>
    <n v="-0.90135217163788595"/>
    <n v="2.8496072877370005E-15"/>
    <n v="0.43343665483207777"/>
    <n v="1746.8205086342232"/>
    <n v="2900"/>
    <x v="836"/>
    <s v="Валентина Сычева"/>
    <s v="2025 12"/>
    <n v="1153.1794913657768"/>
    <n v="0.66015912090899764"/>
  </r>
  <r>
    <s v="540989429"/>
    <s v="722500547711"/>
    <s v="iHerb_VP DFD1605"/>
    <s v="Доставлен"/>
    <d v="2025-10-04T00:00:00"/>
    <x v="40"/>
    <s v="Витамины"/>
    <s v="NOW-03159"/>
    <x v="3"/>
    <x v="1578"/>
    <n v="31.79"/>
    <n v="-6.36"/>
    <n v="-1.1963144950287807"/>
    <n v="3.7821249126906017E-15"/>
    <n v="0.57527631171084226"/>
    <n v="2318.4574913657771"/>
    <n v="3400"/>
    <x v="856"/>
    <s v="Елена сахарный диабет"/>
    <s v="2025 12"/>
    <n v="1081.5425086342229"/>
    <n v="0.46649227456704351"/>
  </r>
  <r>
    <s v="540926049"/>
    <s v="720000841107"/>
    <s v="iHerb_OA CZN6870"/>
    <s v="Доставлен"/>
    <d v="2025-10-02T00:00:00"/>
    <x v="40"/>
    <s v="Витамины"/>
    <s v="NOW-03304"/>
    <x v="3"/>
    <x v="1718"/>
    <n v="31.89"/>
    <n v="-6.38"/>
    <n v="-1.1740872304936065"/>
    <n v="4.4791363907432295E-15"/>
    <n v="0.68134093134694851"/>
    <n v="2337.7636955581643"/>
    <n v="3500"/>
    <x v="746"/>
    <s v="Наталья Школа 53"/>
    <s v="2025 11"/>
    <n v="1162.2363044418357"/>
    <n v="0.49715730749439169"/>
  </r>
  <r>
    <s v="540926049"/>
    <s v="720000841107"/>
    <s v="iHerb_OA CZN6870"/>
    <s v="Доставлен"/>
    <d v="2025-10-02T00:00:00"/>
    <x v="40"/>
    <s v="Витамины"/>
    <s v="NFS-26841"/>
    <x v="23"/>
    <x v="1720"/>
    <n v="59.3"/>
    <n v="-11.86"/>
    <n v="-2.1834064372644724"/>
    <n v="8.3296836682422091E-15"/>
    <n v="1.2670644368129844"/>
    <n v="4347.4523605362338"/>
    <n v="6300"/>
    <x v="746"/>
    <s v="Наталья Школа 53"/>
    <s v="2025 11"/>
    <n v="1952.5476394637662"/>
    <n v="0.44912456251111871"/>
  </r>
  <r>
    <s v="540926049"/>
    <s v="720000841107"/>
    <s v="iHerb_OA CZN6870"/>
    <s v="Доставлен"/>
    <d v="2025-10-02T00:00:00"/>
    <x v="40"/>
    <s v="Витамины"/>
    <s v="NOW-03369"/>
    <x v="3"/>
    <x v="431"/>
    <n v="28.99"/>
    <n v="-5.8"/>
    <n v="-1.0673101871872492"/>
    <n v="4.0717825519927664E-15"/>
    <n v="0.61937656597160851"/>
    <n v="2125.1564131710634"/>
    <n v="3200"/>
    <x v="746"/>
    <s v="Наталья Школа 53"/>
    <s v="2025 11"/>
    <n v="1074.8435868289366"/>
    <n v="0.50577151882439708"/>
  </r>
  <r>
    <s v="540926049"/>
    <s v="720000841107"/>
    <s v="iHerb_OA CZN6870"/>
    <s v="Доставлен"/>
    <d v="2025-10-02T00:00:00"/>
    <x v="40"/>
    <s v="Витамины"/>
    <s v="NFS-02684"/>
    <x v="23"/>
    <x v="1699"/>
    <n v="32.43"/>
    <n v="-6.49"/>
    <n v="-1.1938778031753881"/>
    <n v="4.5546373177530124E-15"/>
    <n v="0.69282570596392945"/>
    <n v="2377.1693556557734"/>
    <n v="3700"/>
    <x v="865"/>
    <s v="Лида корма"/>
    <s v="2025 11"/>
    <n v="1322.8306443442266"/>
    <n v="0.55647303428211425"/>
  </r>
  <r>
    <s v="540926049"/>
    <s v="720000841107"/>
    <s v="iHerb_OA CZN6870"/>
    <s v="Доставлен"/>
    <d v="2025-10-02T00:00:00"/>
    <x v="40"/>
    <s v="Витамины"/>
    <s v="SOR-57445"/>
    <x v="10"/>
    <x v="1721"/>
    <n v="26.11"/>
    <n v="-5.22"/>
    <n v="-0.96145363563353348"/>
    <n v="3.6679403842660155E-15"/>
    <n v="0.55794637615984921"/>
    <n v="1914.3819521838518"/>
    <m/>
    <x v="20"/>
    <m/>
    <s v=""/>
    <n v="-1914.3819521838518"/>
    <s v=""/>
  </r>
  <r>
    <s v="540926049"/>
    <s v="720000841107"/>
    <s v="iHerb_OA CZN6870"/>
    <s v="Доставлен"/>
    <d v="2025-10-02T00:00:00"/>
    <x v="40"/>
    <s v="Спортпит"/>
    <s v="PPV-02584"/>
    <x v="335"/>
    <x v="1722"/>
    <n v="19.13"/>
    <n v="-10.59"/>
    <n v="-0.39304997837771061"/>
    <n v="1.499483527124546E-15"/>
    <n v="0.22809296564888043"/>
    <n v="782.6147377525175"/>
    <n v="782.61"/>
    <x v="20"/>
    <m/>
    <s v=""/>
    <n v="-4.7377525174852053E-3"/>
    <n v="-6.0537481457235243E-6"/>
  </r>
  <r>
    <s v="540926049"/>
    <s v="720000841107"/>
    <s v="iHerb_OA CZN6870"/>
    <s v="Доставлен"/>
    <d v="2025-10-02T00:00:00"/>
    <x v="40"/>
    <s v="Косметика"/>
    <s v="ADC-00960"/>
    <x v="145"/>
    <x v="1723"/>
    <n v="12.95"/>
    <n v="-2.59"/>
    <n v="-0.47681472786804241"/>
    <n v="1.8190455902822361E-15"/>
    <n v="0.2767029419347074"/>
    <n v="949.40148514239843"/>
    <n v="1800"/>
    <x v="746"/>
    <s v="Татьяна Бригантина"/>
    <s v="2025 11"/>
    <n v="850.59851485760157"/>
    <n v="0.89593130848117686"/>
  </r>
  <r>
    <s v="540451015"/>
    <s v="720000831508"/>
    <s v="iHerb_AV CYG0792"/>
    <s v="Доставлен"/>
    <d v="2025-09-22T00:00:00"/>
    <x v="39"/>
    <s v="Витамины"/>
    <s v="NOW-00140"/>
    <x v="3"/>
    <x v="259"/>
    <n v="7.23"/>
    <n v="-2.1"/>
    <n v="-0.23410218978102193"/>
    <n v="0"/>
    <n v="0.14987793576252251"/>
    <n v="471.56835036496358"/>
    <n v="1300"/>
    <x v="319"/>
    <s v="Светлана Кулаки"/>
    <s v="2025 10"/>
    <n v="828.43164963503636"/>
    <n v="1.7567583765829142"/>
  </r>
  <r>
    <s v="540451015"/>
    <s v="720000831508"/>
    <s v="iHerb_AV CYG0792"/>
    <s v="Доставлен"/>
    <d v="2025-09-22T00:00:00"/>
    <x v="39"/>
    <s v="Витамины"/>
    <s v="NOW-01663"/>
    <x v="3"/>
    <x v="449"/>
    <n v="23.91"/>
    <n v="-6.93"/>
    <n v="-0.77486455798864551"/>
    <n v="0"/>
    <n v="0.49608720258238431"/>
    <n v="1560.8636626115165"/>
    <n v="3100"/>
    <x v="319"/>
    <s v="Светлана Кулаки"/>
    <s v="2025 10"/>
    <n v="1539.1363373884835"/>
    <n v="0.98607993398559846"/>
  </r>
  <r>
    <s v="540451015"/>
    <s v="720000831508"/>
    <s v="iHerb_AV CYG0792"/>
    <s v="Доставлен"/>
    <d v="2025-09-22T00:00:00"/>
    <x v="39"/>
    <s v="Витамины"/>
    <s v="PAR-77872"/>
    <x v="44"/>
    <x v="1437"/>
    <n v="15.08"/>
    <n v="-4.375"/>
    <n v="-0.48851148959178159"/>
    <n v="0"/>
    <n v="0.31275697901321692"/>
    <n v="984.04272722357405"/>
    <n v="2000"/>
    <x v="319"/>
    <s v="Любовь Виталий"/>
    <s v="2025 10"/>
    <n v="1015.957272776426"/>
    <n v="1.0324320729882301"/>
  </r>
  <r>
    <s v="540451015"/>
    <s v="720000831508"/>
    <s v="iHerb_AV CYG0792"/>
    <s v="Доставлен"/>
    <d v="2025-09-22T00:00:00"/>
    <x v="39"/>
    <s v="Витамины"/>
    <s v="PAR-77872"/>
    <x v="44"/>
    <x v="1437"/>
    <n v="15.08"/>
    <n v="-4.375"/>
    <n v="-0.48851148959178159"/>
    <n v="0"/>
    <n v="0.31275697901321692"/>
    <n v="984.04272722357405"/>
    <n v="2000"/>
    <x v="319"/>
    <s v="Любовь Виталий"/>
    <s v="2025 10"/>
    <n v="1015.957272776426"/>
    <n v="1.0324320729882301"/>
  </r>
  <r>
    <s v="540451015"/>
    <s v="720000831508"/>
    <s v="iHerb_AV CYG0792"/>
    <s v="Доставлен"/>
    <d v="2025-09-22T00:00:00"/>
    <x v="39"/>
    <s v="Витамины"/>
    <s v="NCS-67327"/>
    <x v="217"/>
    <x v="1724"/>
    <n v="13.43"/>
    <n v="-3.89"/>
    <n v="-0.43534793187347925"/>
    <n v="0"/>
    <n v="0.27872037176890141"/>
    <n v="876.9516690997566"/>
    <m/>
    <x v="20"/>
    <m/>
    <s v=""/>
    <n v="-876.9516690997566"/>
    <s v=""/>
  </r>
  <r>
    <s v="540451015"/>
    <s v="720000831508"/>
    <s v="iHerb_AV CYG0792"/>
    <s v="Доставлен"/>
    <d v="2025-09-22T00:00:00"/>
    <x v="39"/>
    <s v="Витамины"/>
    <s v="CAL-74764"/>
    <x v="138"/>
    <x v="1725"/>
    <n v="18.02"/>
    <n v="-5.23"/>
    <n v="-0.58365828602324943"/>
    <n v="0"/>
    <n v="0.37367228039038247"/>
    <n v="1175.7035479859421"/>
    <n v="2300"/>
    <x v="895"/>
    <s v="Алена Грация"/>
    <s v="2025 10"/>
    <n v="1124.2964520140579"/>
    <n v="0.95627546071460956"/>
  </r>
  <r>
    <s v="540451015"/>
    <s v="720000831508"/>
    <s v="iHerb_AV CYG0792"/>
    <s v="Доставлен"/>
    <d v="2025-09-22T00:00:00"/>
    <x v="39"/>
    <s v="Витамины"/>
    <s v="SOR-03407"/>
    <x v="10"/>
    <x v="1726"/>
    <n v="11.23"/>
    <n v="-3.26"/>
    <n v="-0.3637026223303596"/>
    <n v="0"/>
    <n v="0.23285129591175521"/>
    <n v="732.63153068396866"/>
    <n v="1600"/>
    <x v="766"/>
    <s v="Алена Бахчик"/>
    <s v="2025 10"/>
    <n v="867.36846931603134"/>
    <n v="1.1839081898458224"/>
  </r>
  <r>
    <s v="540451015"/>
    <s v="720000831508"/>
    <s v="iHerb_AV CYG0792"/>
    <s v="Доставлен"/>
    <d v="2025-09-22T00:00:00"/>
    <x v="39"/>
    <s v="Витамины"/>
    <s v="NBC-01016"/>
    <x v="8"/>
    <x v="1727"/>
    <n v="9.3000000000000007"/>
    <n v="-2.7"/>
    <n v="-0.30118410381184108"/>
    <n v="0"/>
    <n v="0.19282541443131548"/>
    <n v="606.69612327656125"/>
    <m/>
    <x v="20"/>
    <m/>
    <s v=""/>
    <n v="-606.69612327656125"/>
    <s v=""/>
  </r>
  <r>
    <s v="540451015"/>
    <s v="720000831508"/>
    <s v="iHerb_AV CYG0792"/>
    <s v="Доставлен"/>
    <d v="2025-09-22T00:00:00"/>
    <x v="39"/>
    <s v="Витамины"/>
    <s v="NBC-00520"/>
    <x v="8"/>
    <x v="733"/>
    <n v="10.86"/>
    <n v="-3.15"/>
    <n v="-0.35183779399837789"/>
    <n v="0"/>
    <n v="0.22525514322203666"/>
    <n v="708.73138037307376"/>
    <n v="2100"/>
    <x v="804"/>
    <s v="Любовь Металлургов 158"/>
    <s v="2026 01"/>
    <n v="1391.2686196269262"/>
    <n v="1.9630408052407207"/>
  </r>
  <r>
    <s v="540451015"/>
    <s v="720000831508"/>
    <s v="iHerb_AV CYG0792"/>
    <s v="Доставлен"/>
    <d v="2025-09-22T00:00:00"/>
    <x v="39"/>
    <s v="Витамины"/>
    <s v="NBC-01013"/>
    <x v="8"/>
    <x v="1728"/>
    <n v="11.64"/>
    <n v="-3.38"/>
    <n v="-0.37693646931603147"/>
    <n v="0"/>
    <n v="0.2413239277579797"/>
    <n v="759.28939064612075"/>
    <n v="1700"/>
    <x v="896"/>
    <m/>
    <s v="2026 01"/>
    <n v="940.71060935387925"/>
    <n v="1.2389355375469915"/>
  </r>
  <r>
    <s v="540451015"/>
    <s v="720000831508"/>
    <s v="iHerb_AV CYG0792"/>
    <s v="Доставлен"/>
    <d v="2025-09-22T00:00:00"/>
    <x v="39"/>
    <s v="Косметика"/>
    <s v="NBC-01031"/>
    <x v="8"/>
    <x v="1729"/>
    <n v="8.5399999999999991"/>
    <n v="-2.48"/>
    <n v="-0.27654176804541764"/>
    <n v="0"/>
    <n v="0.17704878961420778"/>
    <n v="557.05734955393336"/>
    <m/>
    <x v="20"/>
    <m/>
    <s v=""/>
    <n v="-557.05734955393336"/>
    <s v=""/>
  </r>
  <r>
    <s v="540451015"/>
    <s v="720000831508"/>
    <s v="iHerb_AV CYG0792"/>
    <s v="Доставлен"/>
    <d v="2025-09-22T00:00:00"/>
    <x v="39"/>
    <s v="Витамины"/>
    <s v="NOW-01662"/>
    <x v="3"/>
    <x v="122"/>
    <n v="40.090000000000003"/>
    <n v="-11.63"/>
    <n v="-1.2987423628007571"/>
    <n v="0"/>
    <n v="0.83148655980533903"/>
    <n v="2616.1472224925656"/>
    <n v="4500"/>
    <x v="536"/>
    <m/>
    <s v="2026 01"/>
    <n v="1883.8527775074344"/>
    <n v="0.72008668369686446"/>
  </r>
  <r>
    <s v="540451015"/>
    <s v="720000831508"/>
    <s v="iHerb_AV CYG0792"/>
    <s v="Доставлен"/>
    <d v="2025-09-22T00:00:00"/>
    <x v="39"/>
    <s v="Витамины"/>
    <s v="QNL-00106"/>
    <x v="336"/>
    <x v="1730"/>
    <n v="49.73"/>
    <n v="-14.42"/>
    <n v="-1.6113349553933491"/>
    <n v="0"/>
    <n v="1.0316159672075376"/>
    <n v="3245.8242595296024"/>
    <n v="5200"/>
    <x v="870"/>
    <s v="Любовь Виталий"/>
    <s v="2025 12"/>
    <n v="1954.1757404703976"/>
    <n v="0.60205839386806614"/>
  </r>
  <r>
    <s v="540451015"/>
    <s v="720000831508"/>
    <s v="iHerb_AV CYG0792"/>
    <s v="Доставлен"/>
    <d v="2025-09-22T00:00:00"/>
    <x v="39"/>
    <s v="Витамины"/>
    <s v="MCL-01052"/>
    <x v="286"/>
    <x v="1731"/>
    <n v="26.38"/>
    <n v="-7.65"/>
    <n v="-0.85472397945390632"/>
    <n v="0"/>
    <n v="0.5472151533785663"/>
    <n v="1721.7300589348467"/>
    <n v="3000"/>
    <x v="319"/>
    <s v="Оксана Черноморская"/>
    <s v="2025 10"/>
    <n v="1278.2699410651533"/>
    <n v="0.74243342295827641"/>
  </r>
  <r>
    <s v="540917987"/>
    <s v="720000811064"/>
    <s v="iHerb_MH DLE7202"/>
    <s v="Доставлен"/>
    <d v="2025-10-02T00:00:00"/>
    <x v="40"/>
    <s v="Витамины"/>
    <s v="LFH-91547"/>
    <x v="196"/>
    <x v="1732"/>
    <n v="7.74"/>
    <n v="-1.55"/>
    <n v="-0.32284282928942815"/>
    <n v="0"/>
    <n v="0.1448455927858083"/>
    <n v="562.16021772097065"/>
    <n v="1200"/>
    <x v="746"/>
    <s v="Валентина Кострова"/>
    <s v="2025 11"/>
    <n v="637.83978227902935"/>
    <n v="1.1346227679803953"/>
  </r>
  <r>
    <s v="540917987"/>
    <s v="720000811064"/>
    <s v="iHerb_MH DLE7202"/>
    <s v="Доставлен"/>
    <d v="2025-10-02T00:00:00"/>
    <x v="40"/>
    <s v="Витамины"/>
    <s v="NOR-01798"/>
    <x v="9"/>
    <x v="1733"/>
    <n v="33.75"/>
    <n v="-6.75"/>
    <n v="-1.4081997400346624"/>
    <n v="0"/>
    <n v="0.63179822378300865"/>
    <n v="2452.0720320623918"/>
    <n v="3650"/>
    <x v="746"/>
    <s v="Валентина Кострова"/>
    <s v="2025 11"/>
    <n v="1197.9279679376082"/>
    <n v="0.48853702186311931"/>
  </r>
  <r>
    <s v="540917987"/>
    <s v="720000811064"/>
    <s v="iHerb_MH DLE7202"/>
    <s v="Доставлен"/>
    <d v="2025-10-02T00:00:00"/>
    <x v="40"/>
    <s v="Витамины"/>
    <s v="LEX-33510"/>
    <x v="7"/>
    <x v="750"/>
    <n v="12.6"/>
    <n v="-2.52"/>
    <n v="-0.52572790294627392"/>
    <n v="0"/>
    <n v="0.2358713368789899"/>
    <n v="915.440225303293"/>
    <n v="1700"/>
    <x v="849"/>
    <s v="Олег Алешин"/>
    <s v="2025 11"/>
    <n v="784.559774696707"/>
    <n v="0.85703004195252153"/>
  </r>
  <r>
    <s v="540917987"/>
    <s v="720000811064"/>
    <s v="iHerb_MH DLE7202"/>
    <s v="Доставлен"/>
    <d v="2025-10-02T00:00:00"/>
    <x v="40"/>
    <s v="Витамины"/>
    <s v="LEX-30210"/>
    <x v="7"/>
    <x v="749"/>
    <n v="20.48"/>
    <n v="-4.0999999999999996"/>
    <n v="-0.8543078422876953"/>
    <n v="0"/>
    <n v="0.38329092242835866"/>
    <n v="1487.5903661178513"/>
    <n v="2300"/>
    <x v="849"/>
    <s v="Олег Алешин"/>
    <s v="2025 11"/>
    <n v="812.40963388214868"/>
    <n v="0.54612455981567387"/>
  </r>
  <r>
    <s v="540917987"/>
    <s v="720000811064"/>
    <s v="iHerb_MH DLE7202"/>
    <s v="Доставлен"/>
    <d v="2025-10-02T00:00:00"/>
    <x v="40"/>
    <s v="Витамины"/>
    <s v="LEX-23151"/>
    <x v="7"/>
    <x v="17"/>
    <n v="20.07"/>
    <n v="-4.0149999999999997"/>
    <n v="-0.83735728986135194"/>
    <n v="0"/>
    <n v="0.37568594380874831"/>
    <n v="1458.0746842504334"/>
    <n v="2600"/>
    <x v="319"/>
    <s v="Полина Цветы"/>
    <s v="2025 10"/>
    <n v="1141.9253157495666"/>
    <n v="0.78317340537093771"/>
  </r>
  <r>
    <s v="540917987"/>
    <s v="720000811064"/>
    <s v="iHerb_MH DLE7202"/>
    <s v="Доставлен"/>
    <d v="2025-10-02T00:00:00"/>
    <x v="40"/>
    <s v="Витамины"/>
    <s v="LEX-23151"/>
    <x v="7"/>
    <x v="17"/>
    <n v="20.07"/>
    <n v="-4.0149999999999997"/>
    <n v="-0.83735728986135194"/>
    <n v="0"/>
    <n v="0.37568594380874831"/>
    <n v="1458.0746842504334"/>
    <n v="2600"/>
    <x v="746"/>
    <s v="Антонина Космос"/>
    <s v="2025 11"/>
    <n v="1141.9253157495666"/>
    <n v="0.78317340537093771"/>
  </r>
  <r>
    <s v="540917987"/>
    <s v="720000811064"/>
    <s v="iHerb_MH DLE7202"/>
    <s v="Доставлен"/>
    <d v="2025-10-02T00:00:00"/>
    <x v="40"/>
    <s v="Витамины"/>
    <s v="JRW-12026"/>
    <x v="21"/>
    <x v="892"/>
    <n v="29.57"/>
    <n v="-5.91"/>
    <n v="-1.2340002166377819"/>
    <n v="0"/>
    <n v="0.55364244350762903"/>
    <n v="2148.7416399480076"/>
    <n v="3100"/>
    <x v="746"/>
    <s v="Оксана молокозавод"/>
    <s v="2025 11"/>
    <n v="951.25836005199244"/>
    <n v="0.44270485681796984"/>
  </r>
  <r>
    <s v="540917987"/>
    <s v="720000811064"/>
    <s v="iHerb_MH DLE7202"/>
    <s v="Доставлен"/>
    <d v="2025-10-02T00:00:00"/>
    <x v="40"/>
    <s v="Витамины"/>
    <s v="LEX-19456"/>
    <x v="7"/>
    <x v="558"/>
    <n v="10.36"/>
    <n v="-2.0699999999999998"/>
    <n v="-0.43236947573656853"/>
    <n v="0"/>
    <n v="0.19398545463559783"/>
    <n v="752.87693132582319"/>
    <n v="1350"/>
    <x v="746"/>
    <s v="Оксана молокозавод"/>
    <s v="2025 11"/>
    <n v="597.12306867417681"/>
    <n v="0.79312174915844158"/>
  </r>
  <r>
    <s v="540917987"/>
    <s v="720000811064"/>
    <s v="iHerb_MH DLE7202"/>
    <s v="Доставлен"/>
    <d v="2025-10-02T00:00:00"/>
    <x v="40"/>
    <s v="Витамины"/>
    <s v="BRM-03391"/>
    <x v="126"/>
    <x v="442"/>
    <n v="6.29"/>
    <n v="-1.26"/>
    <n v="-0.26234239601386483"/>
    <n v="0"/>
    <n v="0.11770166909735311"/>
    <n v="456.81193782495677"/>
    <n v="1100"/>
    <x v="893"/>
    <s v="Римма Омск"/>
    <s v="2025 10"/>
    <n v="643.18806217504323"/>
    <n v="1.4079931125212908"/>
  </r>
  <r>
    <s v="540917987"/>
    <s v="720000811064"/>
    <s v="iHerb_MH DLE7202"/>
    <s v="Доставлен"/>
    <d v="2025-10-02T00:00:00"/>
    <x v="40"/>
    <s v="Витамины"/>
    <s v="CGN-01362"/>
    <x v="1"/>
    <x v="1734"/>
    <n v="14.11"/>
    <n v="-2.82"/>
    <n v="-0.58883611351819765"/>
    <n v="0"/>
    <n v="0.26418525727815434"/>
    <n v="1025.3293793327555"/>
    <n v="1900"/>
    <x v="746"/>
    <m/>
    <s v="2025 11"/>
    <n v="874.67062066724452"/>
    <n v="0.85306306275593724"/>
  </r>
  <r>
    <s v="540917987"/>
    <s v="720000811064"/>
    <s v="iHerb_MH DLE7202"/>
    <s v="Доставлен"/>
    <d v="2025-10-02T00:00:00"/>
    <x v="40"/>
    <s v="Витамины"/>
    <s v="NOW-03056"/>
    <x v="3"/>
    <x v="92"/>
    <n v="21.74"/>
    <n v="-4.3499999999999996"/>
    <n v="-0.90698494367417704"/>
    <n v="0"/>
    <n v="0.40692485598468597"/>
    <n v="1579.3160236135184"/>
    <n v="2400"/>
    <x v="849"/>
    <s v="Алена Грация"/>
    <s v="2025 11"/>
    <n v="820.68397638648162"/>
    <n v="0.51964519077615268"/>
  </r>
  <r>
    <s v="540917987"/>
    <s v="720000811064"/>
    <s v="iHerb_MH DLE7202"/>
    <s v="Доставлен"/>
    <d v="2025-10-02T00:00:00"/>
    <x v="40"/>
    <s v="Витамины"/>
    <s v="SNS-01425"/>
    <x v="151"/>
    <x v="1735"/>
    <n v="20.8"/>
    <n v="-4.16"/>
    <n v="-0.86786828422876972"/>
    <n v="0"/>
    <n v="0.38937490532404684"/>
    <n v="1511.2029116117853"/>
    <n v="2600"/>
    <x v="888"/>
    <s v="Оксана Черноморская"/>
    <s v="2025 11"/>
    <n v="1088.7970883882147"/>
    <n v="0.72048371533836553"/>
  </r>
  <r>
    <s v="540917987"/>
    <s v="720000811064"/>
    <s v="iHerb_MH DLE7202"/>
    <s v="Доставлен"/>
    <d v="2025-10-02T00:00:00"/>
    <x v="40"/>
    <s v="Витамины"/>
    <s v="NAP-29978"/>
    <x v="11"/>
    <x v="54"/>
    <n v="13.22"/>
    <n v="-2.64"/>
    <n v="-0.55180567590987872"/>
    <n v="0"/>
    <n v="0.24757130398608265"/>
    <n v="960.84896663778181"/>
    <n v="2000"/>
    <x v="897"/>
    <s v="Алена Грация"/>
    <s v="2025 12"/>
    <n v="1039.1510333622182"/>
    <n v="1.0814925856645632"/>
  </r>
  <r>
    <s v="OZO0165"/>
    <n v="0"/>
    <s v="OZON_OA"/>
    <s v="Доставлен"/>
    <d v="2025-10-06T00:00:00"/>
    <x v="40"/>
    <s v="Спортпит"/>
    <s v="892721541"/>
    <x v="162"/>
    <x v="618"/>
    <n v="872"/>
    <n v="0"/>
    <n v="0"/>
    <n v="0"/>
    <n v="0"/>
    <n v="872"/>
    <n v="2000"/>
    <x v="703"/>
    <m/>
    <s v="2025 10"/>
    <n v="1128"/>
    <n v="1.2935779816513762"/>
  </r>
  <r>
    <s v="OZO0165"/>
    <n v="0"/>
    <s v="OZON_OA"/>
    <s v="Доставлен"/>
    <d v="2025-10-06T00:00:00"/>
    <x v="40"/>
    <s v="Спортпит"/>
    <s v="892721541"/>
    <x v="162"/>
    <x v="618"/>
    <n v="872"/>
    <n v="0"/>
    <n v="0"/>
    <n v="0"/>
    <n v="0"/>
    <n v="872"/>
    <n v="2000"/>
    <x v="746"/>
    <m/>
    <s v="2025 11"/>
    <n v="1128"/>
    <n v="1.2935779816513762"/>
  </r>
  <r>
    <s v="225190877"/>
    <n v="0"/>
    <s v="Forever"/>
    <s v="Доставлен"/>
    <d v="2025-09-17T00:00:00"/>
    <x v="39"/>
    <s v="Витамины"/>
    <s v="000000015"/>
    <x v="85"/>
    <x v="265"/>
    <n v="18313.666666666668"/>
    <n v="0"/>
    <n v="-5237.5699415400377"/>
    <n v="0"/>
    <n v="697.8393729912998"/>
    <n v="2199.3197440031608"/>
    <n v="2199.3200000000002"/>
    <x v="20"/>
    <m/>
    <s v=""/>
    <n v="2.5599683931432082E-4"/>
    <n v="1.1639819085530517E-7"/>
  </r>
  <r>
    <s v="225190877"/>
    <n v="0"/>
    <s v="Forever"/>
    <s v="Доставлен"/>
    <d v="2025-09-17T00:00:00"/>
    <x v="39"/>
    <s v="Витамины"/>
    <s v="000000015"/>
    <x v="85"/>
    <x v="265"/>
    <n v="18313.666666666668"/>
    <n v="0"/>
    <n v="-5237.5699415400377"/>
    <n v="0"/>
    <n v="697.8393729912998"/>
    <n v="2199.3197440031608"/>
    <m/>
    <x v="20"/>
    <m/>
    <s v=""/>
    <n v="-2199.3197440031608"/>
    <s v=""/>
  </r>
  <r>
    <s v="225190877"/>
    <n v="0"/>
    <s v="Forever"/>
    <s v="Доставлен"/>
    <d v="2025-09-17T00:00:00"/>
    <x v="39"/>
    <s v="Витамины"/>
    <s v="000000015"/>
    <x v="85"/>
    <x v="265"/>
    <n v="18313.666666666668"/>
    <n v="0"/>
    <n v="-5237.5699415400377"/>
    <n v="0"/>
    <n v="697.8393729912998"/>
    <n v="2199.3197440031608"/>
    <m/>
    <x v="20"/>
    <m/>
    <s v=""/>
    <n v="-2199.3197440031608"/>
    <s v=""/>
  </r>
  <r>
    <s v="225190877"/>
    <n v="0"/>
    <s v="Forever"/>
    <s v="Доставлен"/>
    <d v="2025-09-17T00:00:00"/>
    <x v="39"/>
    <s v="Косметика"/>
    <s v="000000028"/>
    <x v="85"/>
    <x v="266"/>
    <n v="5401"/>
    <n v="0"/>
    <n v="-1544.6450876899441"/>
    <n v="0"/>
    <n v="205.80425111625252"/>
    <n v="648.6153839952533"/>
    <n v="1000"/>
    <x v="898"/>
    <m/>
    <s v="2025 09"/>
    <n v="351.3846160047467"/>
    <n v="0.5417457320243243"/>
  </r>
  <r>
    <s v="225190877"/>
    <n v="0"/>
    <s v="Forever"/>
    <s v="Доставлен"/>
    <d v="2025-09-17T00:00:00"/>
    <x v="39"/>
    <s v="Косметика"/>
    <s v="000000028"/>
    <x v="85"/>
    <x v="266"/>
    <n v="5401"/>
    <n v="0"/>
    <n v="-1544.6450876899441"/>
    <n v="0"/>
    <n v="205.80425111625252"/>
    <n v="648.6153839952533"/>
    <n v="648.62"/>
    <x v="20"/>
    <m/>
    <s v=""/>
    <n v="4.6160047467083132E-3"/>
    <n v="7.116705617241564E-6"/>
  </r>
  <r>
    <s v="541385901"/>
    <n v="0"/>
    <s v="iHerb_AV CYG0792"/>
    <s v="Доставлен"/>
    <d v="2025-10-15T00:00:00"/>
    <x v="40"/>
    <s v="Витамины"/>
    <s v="PAR-77872"/>
    <x v="44"/>
    <x v="1437"/>
    <n v="15.08"/>
    <n v="-3.0150000000000001"/>
    <n v="-0.54835231390413086"/>
    <n v="1.7750694910333594E-15"/>
    <n v="0.35559435166706055"/>
    <n v="1105.144132156538"/>
    <n v="2000"/>
    <x v="865"/>
    <s v="Любовь Виталий"/>
    <s v="2025 11"/>
    <n v="894.85586784346197"/>
    <n v="0.80971869804644647"/>
  </r>
  <r>
    <s v="541385901"/>
    <n v="0"/>
    <s v="iHerb_AV CYG0792"/>
    <s v="Доставлен"/>
    <d v="2025-10-15T00:00:00"/>
    <x v="40"/>
    <s v="Витамины"/>
    <s v="PAR-77872"/>
    <x v="44"/>
    <x v="1437"/>
    <n v="15.08"/>
    <n v="-3.0150000000000001"/>
    <n v="-0.54835231390413086"/>
    <n v="1.7750694910333594E-15"/>
    <n v="0.35559435166706055"/>
    <n v="1105.144132156538"/>
    <n v="2000"/>
    <x v="865"/>
    <s v="Любовь Виталий"/>
    <s v="2025 11"/>
    <n v="894.85586784346197"/>
    <n v="0.80971869804644647"/>
  </r>
  <r>
    <s v="541385901"/>
    <n v="0"/>
    <s v="iHerb_AV CYG0792"/>
    <s v="Доставлен"/>
    <d v="2025-10-15T00:00:00"/>
    <x v="40"/>
    <s v="Витамины"/>
    <s v="SOR-35007"/>
    <x v="10"/>
    <x v="1576"/>
    <n v="24.16"/>
    <n v="-4.83"/>
    <n v="-0.87854539807433474"/>
    <n v="2.8439364493721374E-15"/>
    <n v="0.56971726628464825"/>
    <n v="1770.6121901853196"/>
    <n v="2900"/>
    <x v="865"/>
    <s v="Надежда Витамины"/>
    <s v="2025 11"/>
    <n v="1129.3878098146804"/>
    <n v="0.63785159510083012"/>
  </r>
  <r>
    <s v="541385901"/>
    <n v="0"/>
    <s v="iHerb_AV CYG0792"/>
    <s v="Доставлен"/>
    <d v="2025-10-15T00:00:00"/>
    <x v="40"/>
    <s v="Витамины"/>
    <s v="CAR-01545"/>
    <x v="154"/>
    <x v="1360"/>
    <n v="49.23"/>
    <n v="-9.85"/>
    <n v="-1.7898146806087585"/>
    <n v="5.7938032786484618E-15"/>
    <n v="1.1606552481267172"/>
    <n v="3607.1757914898026"/>
    <n v="5300"/>
    <x v="865"/>
    <s v="Любовь Виталий"/>
    <s v="2025 11"/>
    <n v="1692.8242085101974"/>
    <n v="0.46929351558190702"/>
  </r>
  <r>
    <s v="541385901"/>
    <n v="0"/>
    <s v="iHerb_AV CYG0792"/>
    <s v="Доставлен"/>
    <d v="2025-10-15T00:00:00"/>
    <x v="40"/>
    <s v="Витамины"/>
    <s v="NOW-03802"/>
    <x v="3"/>
    <x v="1225"/>
    <n v="22.86"/>
    <n v="-4.57"/>
    <n v="-0.83127756496531735"/>
    <n v="2.6909259006216446E-15"/>
    <n v="0.53906512159059572"/>
    <n v="1675.3490407909724"/>
    <m/>
    <x v="20"/>
    <m/>
    <s v=""/>
    <n v="-1675.3490407909724"/>
    <s v=""/>
  </r>
  <r>
    <s v="541385901"/>
    <n v="0"/>
    <s v="iHerb_AV CYG0792"/>
    <s v="Доставлен"/>
    <d v="2025-10-15T00:00:00"/>
    <x v="40"/>
    <s v="Витамины"/>
    <s v="GAI-14939"/>
    <x v="337"/>
    <x v="1736"/>
    <n v="61.76"/>
    <n v="-12.35"/>
    <n v="-2.2456765710736102"/>
    <n v="7.2694723209248469E-15"/>
    <n v="1.4562716051280118"/>
    <n v="4525.9155880525932"/>
    <n v="6230"/>
    <x v="879"/>
    <s v="Оксана Черноморская"/>
    <s v="2025 11"/>
    <n v="1704.0844119474068"/>
    <n v="0.37651705578553196"/>
  </r>
  <r>
    <s v="541385901"/>
    <n v="0"/>
    <s v="iHerb_AV CYG0792"/>
    <s v="Доставлен"/>
    <d v="2025-10-15T00:00:00"/>
    <x v="40"/>
    <s v="Витамины"/>
    <s v="FPI-03162"/>
    <x v="297"/>
    <x v="1737"/>
    <n v="35.18"/>
    <n v="-7.04"/>
    <n v="-1.2789584843151467"/>
    <n v="4.1401123479219839E-15"/>
    <n v="0.82937629970253501"/>
    <n v="2577.6009845739727"/>
    <n v="3770"/>
    <x v="879"/>
    <s v="Оксана Черноморская"/>
    <s v="2025 11"/>
    <n v="1192.3990154260273"/>
    <n v="0.46260031035141291"/>
  </r>
  <r>
    <s v="541385901"/>
    <n v="0"/>
    <s v="iHerb_AV CYG0792"/>
    <s v="Доставлен"/>
    <d v="2025-10-15T00:00:00"/>
    <x v="40"/>
    <s v="Витамины"/>
    <s v="BNR-01383"/>
    <x v="289"/>
    <x v="1738"/>
    <n v="18.13"/>
    <n v="-3.63"/>
    <n v="-0.65902267315457086"/>
    <n v="2.1333201508482149E-15"/>
    <n v="0.42736163275361611"/>
    <n v="1328.1881405942647"/>
    <m/>
    <x v="20"/>
    <m/>
    <s v=""/>
    <n v="-1328.1881405942647"/>
    <s v=""/>
  </r>
  <r>
    <s v="541090287"/>
    <n v="0"/>
    <s v="iHerb_MH DLE7202"/>
    <s v="Доставлен"/>
    <d v="2025-10-07T00:00:00"/>
    <x v="40"/>
    <s v="Витамины"/>
    <s v="NOW-03304"/>
    <x v="3"/>
    <x v="1718"/>
    <n v="31.89"/>
    <n v="-6.38"/>
    <n v="-0.82015771913861113"/>
    <n v="7.3302781070630511E-15"/>
    <n v="0.55825607700351509"/>
    <n v="2356.2254372662023"/>
    <n v="3500"/>
    <x v="746"/>
    <s v="Наталья Школа 53"/>
    <s v="2025 11"/>
    <n v="1143.7745627337977"/>
    <n v="0.48542662541698722"/>
  </r>
  <r>
    <s v="541090287"/>
    <n v="0"/>
    <s v="iHerb_MH DLE7202"/>
    <s v="Доставлен"/>
    <d v="2025-10-07T00:00:00"/>
    <x v="40"/>
    <s v="Витамины"/>
    <s v="SOR-38584"/>
    <x v="10"/>
    <x v="626"/>
    <n v="15.02"/>
    <n v="-3"/>
    <n v="-0.38644828632089784"/>
    <n v="3.4539373910975252E-15"/>
    <n v="0.2630434357343101"/>
    <n v="1110.224608229704"/>
    <n v="2000"/>
    <x v="891"/>
    <m/>
    <s v="2026 03"/>
    <n v="889.77539177029598"/>
    <n v="0.801437281406577"/>
  </r>
  <r>
    <s v="541090287"/>
    <n v="0"/>
    <s v="iHerb_MH DLE7202"/>
    <s v="Доставлен"/>
    <d v="2025-10-07T00:00:00"/>
    <x v="40"/>
    <s v="Витамины"/>
    <s v="NOW-00105"/>
    <x v="3"/>
    <x v="485"/>
    <n v="12.31"/>
    <n v="-2.46"/>
    <n v="-0.31668183196845628"/>
    <n v="2.8303896258161921E-15"/>
    <n v="0.21555556089708444"/>
    <n v="909.79304418157949"/>
    <n v="1700"/>
    <x v="858"/>
    <s v="Татьяна Индол"/>
    <s v="2025 12"/>
    <n v="790.20695581842051"/>
    <n v="0.86855682275441581"/>
  </r>
  <r>
    <s v="541090287"/>
    <n v="0"/>
    <s v="iHerb_MH DLE7202"/>
    <s v="Доставлен"/>
    <d v="2025-10-07T00:00:00"/>
    <x v="40"/>
    <s v="Витамины"/>
    <s v="NOW-00105"/>
    <x v="3"/>
    <x v="485"/>
    <n v="12.31"/>
    <n v="-2.46"/>
    <n v="-0.31668183196845628"/>
    <n v="2.8303896258161921E-15"/>
    <n v="0.21555556089708444"/>
    <n v="909.79304418157949"/>
    <n v="1700"/>
    <x v="899"/>
    <s v="Валентина Сычева"/>
    <s v="2026 04"/>
    <n v="790.20695581842051"/>
    <n v="0.86855682275441581"/>
  </r>
  <r>
    <s v="541090287"/>
    <n v="0"/>
    <s v="iHerb_MH DLE7202"/>
    <s v="Доставлен"/>
    <d v="2025-10-07T00:00:00"/>
    <x v="40"/>
    <s v="Витамины"/>
    <s v="CAR-02653"/>
    <x v="154"/>
    <x v="1739"/>
    <n v="12.04"/>
    <n v="-2.41"/>
    <n v="-0.30960873521383075"/>
    <n v="2.7671728016862867E-15"/>
    <n v="0.21074112197349465"/>
    <n v="889.47279344858975"/>
    <n v="1700"/>
    <x v="746"/>
    <s v="Валентина Сычева"/>
    <s v="2025 11"/>
    <n v="810.52720655141025"/>
    <n v="0.91124451756292824"/>
  </r>
  <r>
    <s v="541090287"/>
    <n v="0"/>
    <s v="iHerb_MH DLE7202"/>
    <s v="Доставлен"/>
    <d v="2025-10-07T00:00:00"/>
    <x v="40"/>
    <s v="Витамины"/>
    <s v="NFS-04508"/>
    <x v="23"/>
    <x v="296"/>
    <n v="12.8"/>
    <n v="-2.56"/>
    <n v="-0.32922050348801951"/>
    <n v="2.9424558140464775E-15"/>
    <n v="0.22409024807981159"/>
    <n v="945.81530684460643"/>
    <n v="1800"/>
    <x v="550"/>
    <m/>
    <s v="2026 01"/>
    <n v="854.18469315539357"/>
    <n v="0.90311997170472169"/>
  </r>
  <r>
    <s v="541090287"/>
    <n v="0"/>
    <s v="iHerb_MH DLE7202"/>
    <s v="Доставлен"/>
    <d v="2025-10-07T00:00:00"/>
    <x v="40"/>
    <s v="Витамины"/>
    <s v="NFS-04508"/>
    <x v="23"/>
    <x v="296"/>
    <n v="12.8"/>
    <n v="-2.56"/>
    <n v="-0.32922050348801951"/>
    <n v="2.9424558140464775E-15"/>
    <n v="0.22409024807981159"/>
    <n v="945.81530684460643"/>
    <n v="945.82"/>
    <x v="20"/>
    <m/>
    <s v=""/>
    <n v="4.6931553936246928E-3"/>
    <n v="4.9620209777338264E-6"/>
  </r>
  <r>
    <s v="541090287"/>
    <n v="0"/>
    <s v="iHerb_MH DLE7202"/>
    <s v="Доставлен"/>
    <d v="2025-10-07T00:00:00"/>
    <x v="40"/>
    <s v="Витамины"/>
    <s v="SOR-57445"/>
    <x v="10"/>
    <x v="1721"/>
    <n v="26.11"/>
    <n v="-5.2233333333333336"/>
    <n v="-0.67151551915883145"/>
    <n v="6.0017669696664154E-15"/>
    <n v="0.45707991356383443"/>
    <n v="1929.1922892865571"/>
    <m/>
    <x v="20"/>
    <m/>
    <s v=""/>
    <n v="-1929.1922892865571"/>
    <s v=""/>
  </r>
  <r>
    <s v="541090287"/>
    <n v="0"/>
    <s v="iHerb_MH DLE7202"/>
    <s v="Доставлен"/>
    <d v="2025-10-07T00:00:00"/>
    <x v="40"/>
    <s v="Витамины"/>
    <s v="SOR-57445"/>
    <x v="10"/>
    <x v="1721"/>
    <n v="26.11"/>
    <n v="-5.2233333333333336"/>
    <n v="-0.67151551915883145"/>
    <n v="6.0017669696664154E-15"/>
    <n v="0.45707991356383443"/>
    <n v="1929.1922892865571"/>
    <m/>
    <x v="20"/>
    <m/>
    <s v=""/>
    <n v="-1929.1922892865571"/>
    <s v=""/>
  </r>
  <r>
    <s v="541090287"/>
    <n v="0"/>
    <s v="iHerb_MH DLE7202"/>
    <s v="Доставлен"/>
    <d v="2025-10-07T00:00:00"/>
    <x v="40"/>
    <s v="Витамины"/>
    <s v="SOR-57445"/>
    <x v="10"/>
    <x v="1721"/>
    <n v="26.11"/>
    <n v="-5.2233333333333336"/>
    <n v="-0.67151551915883145"/>
    <n v="6.0017669696664154E-15"/>
    <n v="0.45707991356383443"/>
    <n v="1929.1922892865571"/>
    <n v="3000"/>
    <x v="739"/>
    <s v="Виталий Черемушки"/>
    <s v="2026 01"/>
    <n v="1070.8077107134429"/>
    <n v="0.55505494017366352"/>
  </r>
  <r>
    <s v="541090287"/>
    <n v="0"/>
    <s v="iHerb_MH DLE7202"/>
    <s v="Доставлен"/>
    <d v="2025-10-07T00:00:00"/>
    <x v="40"/>
    <s v="Витамины"/>
    <s v="LEX-23151"/>
    <x v="7"/>
    <x v="17"/>
    <n v="20.07"/>
    <n v="-4.0149999999999997"/>
    <n v="-0.51617531088868684"/>
    <n v="4.6133914154800971E-15"/>
    <n v="0.3513446223556031"/>
    <n v="1482.9164796279447"/>
    <n v="2600"/>
    <x v="746"/>
    <s v="Антонина Космос"/>
    <s v="2025 11"/>
    <n v="1117.0835203720553"/>
    <n v="0.75330171032445825"/>
  </r>
  <r>
    <s v="541090287"/>
    <n v="0"/>
    <s v="iHerb_MH DLE7202"/>
    <s v="Доставлен"/>
    <d v="2025-10-07T00:00:00"/>
    <x v="40"/>
    <s v="Витамины"/>
    <s v="LEX-23151"/>
    <x v="7"/>
    <x v="17"/>
    <n v="20.07"/>
    <n v="-4.0149999999999997"/>
    <n v="-0.51617531088868684"/>
    <n v="4.6133914154800971E-15"/>
    <n v="0.3513446223556031"/>
    <n v="1482.9164796279447"/>
    <n v="2600"/>
    <x v="815"/>
    <s v="Оксана 17 Цветы"/>
    <s v="2025 11"/>
    <n v="1117.0835203720553"/>
    <n v="0.75330171032445825"/>
  </r>
  <r>
    <s v="541090287"/>
    <n v="0"/>
    <s v="iHerb_MH DLE7202"/>
    <s v="Доставлен"/>
    <d v="2025-10-07T00:00:00"/>
    <x v="40"/>
    <s v="Витамины"/>
    <s v="NCS-67380"/>
    <x v="217"/>
    <x v="1740"/>
    <n v="19.64"/>
    <n v="-3.93"/>
    <n v="-0.5050834091598424"/>
    <n v="4.5142559412763833E-15"/>
    <n v="0.34379470677088281"/>
    <n v="1451.0506318875748"/>
    <n v="2500"/>
    <x v="900"/>
    <s v="Виктория БСМП"/>
    <s v="2025 11"/>
    <n v="1048.9493681124252"/>
    <n v="0.72288957053684411"/>
  </r>
  <r>
    <s v="541419262"/>
    <n v="0"/>
    <s v="iHerb_OA CZN6870"/>
    <s v="Доставлен"/>
    <d v="2025-10-16T00:00:00"/>
    <x v="40"/>
    <s v="Витамины"/>
    <s v="NOW-05981"/>
    <x v="3"/>
    <x v="1741"/>
    <n v="14.54"/>
    <n v="-2.91"/>
    <n v="-0.54237132655863773"/>
    <n v="1.8156796521592894E-15"/>
    <n v="0.36375496036347515"/>
    <n v="1065.8938121395222"/>
    <m/>
    <x v="20"/>
    <m/>
    <s v=""/>
    <n v="-1065.8938121395222"/>
    <s v=""/>
  </r>
  <r>
    <s v="541419262"/>
    <n v="0"/>
    <s v="iHerb_OA CZN6870"/>
    <s v="Доставлен"/>
    <d v="2025-10-16T00:00:00"/>
    <x v="40"/>
    <s v="Витамины"/>
    <s v="NOW-05981"/>
    <x v="3"/>
    <x v="1741"/>
    <n v="14.54"/>
    <n v="-2.91"/>
    <n v="-0.54237132655863773"/>
    <n v="1.8156796521592894E-15"/>
    <n v="0.36375496036347515"/>
    <n v="1065.8938121395222"/>
    <m/>
    <x v="20"/>
    <m/>
    <s v=""/>
    <n v="-1065.8938121395222"/>
    <s v=""/>
  </r>
  <r>
    <s v="541419262"/>
    <n v="0"/>
    <s v="iHerb_OA CZN6870"/>
    <s v="Доставлен"/>
    <d v="2025-10-16T00:00:00"/>
    <x v="40"/>
    <s v="Косметика"/>
    <s v="MBY-42459"/>
    <x v="30"/>
    <x v="1742"/>
    <n v="8.9499999999999993"/>
    <n v="-1.79"/>
    <n v="-0.33391046415819831"/>
    <n v="1.1178216947085563E-15"/>
    <n v="0.223945444213455"/>
    <n v="656.21665476517433"/>
    <m/>
    <x v="20"/>
    <m/>
    <s v=""/>
    <n v="-656.21665476517433"/>
    <s v=""/>
  </r>
  <r>
    <s v="541419262"/>
    <n v="0"/>
    <s v="iHerb_OA CZN6870"/>
    <s v="Доставлен"/>
    <d v="2025-10-16T00:00:00"/>
    <x v="40"/>
    <s v="Витамины"/>
    <s v="CEN-22928"/>
    <x v="2"/>
    <x v="1743"/>
    <n v="11.4"/>
    <n v="-2.2799999999999998"/>
    <n v="-0.42531612194452084"/>
    <n v="1.4238175776176028E-15"/>
    <n v="0.2852489457020545"/>
    <n v="835.85138148860233"/>
    <n v="1600"/>
    <x v="865"/>
    <s v="Татьяна Бригантина"/>
    <s v="2025 11"/>
    <n v="764.14861851139767"/>
    <n v="0.91421589463726649"/>
  </r>
  <r>
    <s v="541419262"/>
    <n v="0"/>
    <s v="iHerb_OA CZN6870"/>
    <s v="Доставлен"/>
    <d v="2025-10-16T00:00:00"/>
    <x v="40"/>
    <s v="Витамины"/>
    <s v="CEN-22928"/>
    <x v="2"/>
    <x v="1743"/>
    <n v="11.4"/>
    <n v="-2.2799999999999998"/>
    <n v="-0.42531612194452084"/>
    <n v="1.4238175776176028E-15"/>
    <n v="0.2852489457020545"/>
    <n v="835.85138148860233"/>
    <n v="1600"/>
    <x v="865"/>
    <s v="Татьяна Бригантина"/>
    <s v="2025 11"/>
    <n v="764.14861851139767"/>
    <n v="0.91421589463726649"/>
  </r>
  <r>
    <s v="541419262"/>
    <n v="0"/>
    <s v="iHerb_OA CZN6870"/>
    <s v="Доставлен"/>
    <d v="2025-10-16T00:00:00"/>
    <x v="40"/>
    <s v="Витамины"/>
    <s v="NTA-16310"/>
    <x v="253"/>
    <x v="1744"/>
    <n v="11.21"/>
    <n v="-2.2400000000000002"/>
    <n v="-0.41832079099148595"/>
    <n v="1.4003995253541555E-15"/>
    <n v="0.28055735120037595"/>
    <n v="822.10382587201343"/>
    <n v="1600"/>
    <x v="722"/>
    <s v="Светлана Звенигородская"/>
    <s v="2025 11"/>
    <n v="777.89617412798657"/>
    <n v="0.94622619387869245"/>
  </r>
  <r>
    <s v="541419262"/>
    <n v="0"/>
    <s v="iHerb_OA CZN6870"/>
    <s v="Доставлен"/>
    <d v="2025-10-16T00:00:00"/>
    <x v="40"/>
    <s v="Косметика"/>
    <s v="GIL-09772"/>
    <x v="259"/>
    <x v="1221"/>
    <n v="10.57"/>
    <n v="-2.11"/>
    <n v="-0.39453666575116741"/>
    <n v="1.3207781476584343E-15"/>
    <n v="0.26460592989466897"/>
    <n v="775.36213677561136"/>
    <m/>
    <x v="20"/>
    <m/>
    <s v=""/>
    <n v="-775.36213677561136"/>
    <s v=""/>
  </r>
  <r>
    <s v="541419262"/>
    <n v="0"/>
    <s v="iHerb_OA CZN6870"/>
    <s v="Доставлен"/>
    <d v="2025-10-16T00:00:00"/>
    <x v="40"/>
    <s v="Витамины"/>
    <s v="DRB-00613"/>
    <x v="6"/>
    <x v="1745"/>
    <n v="17.84"/>
    <n v="-3.57"/>
    <n v="-0.66548915133205166"/>
    <n v="2.2278373719959636E-15"/>
    <n v="0.44632702359301718"/>
    <n v="1307.8507909914858"/>
    <n v="2300"/>
    <x v="798"/>
    <s v="Виктория Башня/Энгельса"/>
    <s v="2026 01"/>
    <n v="992.14920900851416"/>
    <n v="0.75861039794636109"/>
  </r>
  <r>
    <s v="541419262"/>
    <n v="0"/>
    <s v="iHerb_OA CZN6870"/>
    <s v="Доставлен"/>
    <d v="2025-10-16T00:00:00"/>
    <x v="40"/>
    <s v="Витамины"/>
    <s v="CEN-22675"/>
    <x v="2"/>
    <x v="2"/>
    <n v="10.26"/>
    <n v="-2.0499999999999998"/>
    <n v="-0.38287778082944257"/>
    <n v="1.2817480605526885E-15"/>
    <n v="0.25678660572520473"/>
    <n v="752.44954408129638"/>
    <m/>
    <x v="20"/>
    <m/>
    <s v=""/>
    <n v="-752.44954408129638"/>
    <s v=""/>
  </r>
  <r>
    <s v="541419262"/>
    <n v="0"/>
    <s v="iHerb_OA CZN6870"/>
    <s v="Доставлен"/>
    <d v="2025-10-16T00:00:00"/>
    <x v="40"/>
    <s v="Витамины"/>
    <s v="KYY-08912"/>
    <x v="338"/>
    <x v="1746"/>
    <n v="7.52"/>
    <n v="-1.5"/>
    <n v="-0.28074594891513321"/>
    <n v="9.3984449750635613E-16"/>
    <n v="0.18828932600069823"/>
    <n v="551.73523207909921"/>
    <m/>
    <x v="20"/>
    <m/>
    <s v=""/>
    <n v="-551.73523207909921"/>
    <s v=""/>
  </r>
  <r>
    <s v="541419262"/>
    <n v="0"/>
    <s v="iHerb_OA CZN6870"/>
    <s v="Доставлен"/>
    <d v="2025-10-16T00:00:00"/>
    <x v="40"/>
    <s v="Витамины"/>
    <s v="NOW-02680"/>
    <x v="3"/>
    <x v="714"/>
    <n v="9.41"/>
    <n v="-1.88"/>
    <n v="-0.35116561384235107"/>
    <n v="1.1755862236250601E-15"/>
    <n v="0.23551804398426207"/>
    <n v="690.12729195276029"/>
    <n v="1500"/>
    <x v="879"/>
    <s v="Валентина Сычева"/>
    <s v="2025 11"/>
    <n v="809.87270804723971"/>
    <n v="1.173512071600084"/>
  </r>
  <r>
    <s v="541419262"/>
    <n v="0"/>
    <s v="iHerb_OA CZN6870"/>
    <s v="Доставлен"/>
    <d v="2025-10-16T00:00:00"/>
    <x v="40"/>
    <s v="Витамины"/>
    <s v="NOW-00367"/>
    <x v="3"/>
    <x v="365"/>
    <n v="5.57"/>
    <n v="-1.1100000000000001"/>
    <n v="-0.20799450700357047"/>
    <n v="6.9629675396650306E-16"/>
    <n v="0.13949674318324154"/>
    <n v="408.76065366657519"/>
    <n v="1050"/>
    <x v="885"/>
    <s v="Аня Мирный"/>
    <s v="2026 04"/>
    <n v="641.23934633342481"/>
    <n v="1.5687403877587538"/>
  </r>
  <r>
    <s v="541419262"/>
    <n v="0"/>
    <s v="iHerb_OA CZN6870"/>
    <s v="Доставлен"/>
    <d v="2025-10-16T00:00:00"/>
    <x v="40"/>
    <s v="Витамины"/>
    <s v="NOW-02644"/>
    <x v="3"/>
    <x v="21"/>
    <n v="22.47"/>
    <n v="-4.49"/>
    <n v="-0.83850700357044772"/>
    <n v="2.8070438646452296E-15"/>
    <n v="0.56236579426786604"/>
    <n v="1647.8736665751167"/>
    <n v="2900"/>
    <x v="836"/>
    <s v="Валентина Сычева"/>
    <s v="2025 12"/>
    <n v="1252.1263334248833"/>
    <n v="0.75984364506974567"/>
  </r>
  <r>
    <s v="541419262"/>
    <n v="0"/>
    <s v="iHerb_OA CZN6870"/>
    <s v="Доставлен"/>
    <d v="2025-10-16T00:00:00"/>
    <x v="40"/>
    <s v="Витамины"/>
    <s v="NOW-01661"/>
    <x v="3"/>
    <x v="1136"/>
    <n v="20.28"/>
    <n v="-4.0549999999999997"/>
    <n v="-0.75666163141993981"/>
    <n v="2.5330526531628955E-15"/>
    <n v="0.50747413859822743"/>
    <n v="1487.0272658610274"/>
    <n v="2500"/>
    <x v="722"/>
    <m/>
    <s v="2025 11"/>
    <n v="1012.9727341389726"/>
    <n v="0.68120656385707556"/>
  </r>
  <r>
    <s v="541419262"/>
    <n v="0"/>
    <s v="iHerb_OA CZN6870"/>
    <s v="Доставлен"/>
    <d v="2025-10-16T00:00:00"/>
    <x v="40"/>
    <s v="Витамины"/>
    <s v="NOW-01661"/>
    <x v="3"/>
    <x v="1136"/>
    <n v="20.28"/>
    <n v="-4.0549999999999997"/>
    <n v="-0.75666163141993981"/>
    <n v="2.5330526531628955E-15"/>
    <n v="0.50747413859822743"/>
    <n v="1487.0272658610274"/>
    <n v="2600"/>
    <x v="901"/>
    <m/>
    <s v="2026 02"/>
    <n v="1112.9727341389726"/>
    <n v="0.74845482641135863"/>
  </r>
  <r>
    <s v="541419262"/>
    <n v="0"/>
    <s v="iHerb_OA CZN6870"/>
    <s v="Доставлен"/>
    <d v="2025-10-16T00:00:00"/>
    <x v="40"/>
    <s v="Витамины"/>
    <s v="SOR-35281"/>
    <x v="10"/>
    <x v="1230"/>
    <n v="11.42"/>
    <n v="-2.2799999999999998"/>
    <n v="-0.42624883273825881"/>
    <n v="1.4269399845860625E-15"/>
    <n v="0.28587449163561163"/>
    <n v="837.68438890414745"/>
    <n v="1700"/>
    <x v="815"/>
    <s v="Татьяна Бригантина"/>
    <s v="2025 11"/>
    <n v="862.31561109585255"/>
    <n v="1.0294039408134696"/>
  </r>
  <r>
    <s v="541419262"/>
    <n v="0"/>
    <s v="iHerb_OA CZN6870"/>
    <s v="Доставлен"/>
    <d v="2025-10-16T00:00:00"/>
    <x v="40"/>
    <s v="Витамины"/>
    <s v="NOW-02811"/>
    <x v="3"/>
    <x v="1021"/>
    <n v="19.87"/>
    <n v="-3.97"/>
    <n v="-0.74150508102169743"/>
    <n v="2.4823135399254259E-15"/>
    <n v="0.49730901717792386"/>
    <n v="1457.2408953584181"/>
    <m/>
    <x v="20"/>
    <m/>
    <s v=""/>
    <n v="-1457.2408953584181"/>
    <s v=""/>
  </r>
  <r>
    <s v="541605054"/>
    <n v="0"/>
    <s v="iHerb_OA CZN6870"/>
    <s v="Доставлен"/>
    <d v="2025-10-21T00:00:00"/>
    <x v="40"/>
    <s v="Витамины"/>
    <s v="NOW-00122"/>
    <x v="3"/>
    <x v="1747"/>
    <n v="18.829999999999998"/>
    <n v="-3.77"/>
    <n v="-0.7530760682897264"/>
    <n v="4.3239816549336744E-15"/>
    <n v="0.44621341639748008"/>
    <n v="1332.9727861400143"/>
    <n v="2200"/>
    <x v="865"/>
    <s v="Юлиана Афонина"/>
    <s v="2025 11"/>
    <n v="867.02721385998575"/>
    <n v="0.65044629783530628"/>
  </r>
  <r>
    <s v="541605054"/>
    <n v="0"/>
    <s v="iHerb_OA CZN6870"/>
    <s v="Доставлен"/>
    <d v="2025-10-21T00:00:00"/>
    <x v="40"/>
    <s v="Витамины"/>
    <s v="NOW-02313"/>
    <x v="3"/>
    <x v="87"/>
    <n v="23.95"/>
    <n v="-4.79"/>
    <n v="-0.95809677745226807"/>
    <n v="5.5011612555464276E-15"/>
    <n v="0.56769250054287645"/>
    <n v="1695.8671037478537"/>
    <n v="3000"/>
    <x v="856"/>
    <s v="Юлия АТБ кольцо"/>
    <s v="2025 12"/>
    <n v="1304.1328962521463"/>
    <n v="0.76900654147369352"/>
  </r>
  <r>
    <s v="541605054"/>
    <n v="0"/>
    <s v="iHerb_OA CZN6870"/>
    <s v="Доставлен"/>
    <d v="2025-10-21T00:00:00"/>
    <x v="40"/>
    <s v="Витамины"/>
    <s v="NOW-02313"/>
    <x v="3"/>
    <x v="87"/>
    <n v="23.95"/>
    <n v="-4.79"/>
    <n v="-0.95809677745226807"/>
    <n v="5.5011612555464276E-15"/>
    <n v="0.56769250054287645"/>
    <n v="1695.8671037478537"/>
    <n v="3000"/>
    <x v="779"/>
    <m/>
    <s v="2026 02"/>
    <n v="1304.1328962521463"/>
    <n v="0.76900654147369352"/>
  </r>
  <r>
    <s v="541605054"/>
    <n v="0"/>
    <s v="iHerb_OA CZN6870"/>
    <s v="Доставлен"/>
    <d v="2025-10-21T00:00:00"/>
    <x v="40"/>
    <s v="Витамины"/>
    <s v="BLB-00665"/>
    <x v="186"/>
    <x v="1748"/>
    <n v="13.22"/>
    <n v="-2.64"/>
    <n v="-0.52905343974138819"/>
    <n v="3.0376976035324222E-15"/>
    <n v="0.31347529518494949"/>
    <n v="936.44436104657052"/>
    <n v="1900"/>
    <x v="865"/>
    <s v="Надежда Витамины"/>
    <s v="2025 11"/>
    <n v="963.55563895342948"/>
    <n v="1.0289512960242073"/>
  </r>
  <r>
    <s v="541605054"/>
    <n v="0"/>
    <s v="iHerb_OA CZN6870"/>
    <s v="Доставлен"/>
    <d v="2025-10-21T00:00:00"/>
    <x v="40"/>
    <s v="Витамины"/>
    <s v="PAR-77891"/>
    <x v="44"/>
    <x v="1619"/>
    <n v="12.06"/>
    <n v="-2.41"/>
    <n v="-0.4825487422972019"/>
    <n v="2.7706788160763586E-15"/>
    <n v="0.28592028341538406"/>
    <n v="854.12930851601197"/>
    <n v="1800"/>
    <x v="865"/>
    <s v="Надежда Витамины"/>
    <s v="2025 11"/>
    <n v="945.87069148398803"/>
    <n v="1.1074092436043086"/>
  </r>
  <r>
    <s v="541605054"/>
    <n v="0"/>
    <s v="iHerb_OA CZN6870"/>
    <s v="Доставлен"/>
    <d v="2025-10-21T00:00:00"/>
    <x v="40"/>
    <s v="Витамины"/>
    <s v="CAR-01545"/>
    <x v="154"/>
    <x v="1360"/>
    <n v="49.23"/>
    <n v="-9.8450000000000006"/>
    <n v="-1.9694489342357817"/>
    <n v="1.1308102090276411E-14"/>
    <n v="1.1669399339186424"/>
    <n v="3485.998219264573"/>
    <n v="5300"/>
    <x v="865"/>
    <s v="Надежда Витамины"/>
    <s v="2025 11"/>
    <n v="1814.001780735427"/>
    <n v="0.52036795965952032"/>
  </r>
  <r>
    <s v="541605054"/>
    <n v="0"/>
    <s v="iHerb_OA CZN6870"/>
    <s v="Доставлен"/>
    <d v="2025-10-21T00:00:00"/>
    <x v="40"/>
    <s v="Витамины"/>
    <s v="CAR-01545"/>
    <x v="154"/>
    <x v="1360"/>
    <n v="49.23"/>
    <n v="-9.8450000000000006"/>
    <n v="-1.9694489342357817"/>
    <n v="1.1308102090276411E-14"/>
    <n v="1.1669399339186424"/>
    <n v="3485.998219264573"/>
    <n v="5300"/>
    <x v="865"/>
    <s v="Надежда Витамины"/>
    <s v="2025 11"/>
    <n v="1814.001780735427"/>
    <n v="0.52036795965952032"/>
  </r>
  <r>
    <s v="541605054"/>
    <n v="0"/>
    <s v="iHerb_OA CZN6870"/>
    <s v="Доставлен"/>
    <d v="2025-10-21T00:00:00"/>
    <x v="40"/>
    <s v="Витамины"/>
    <s v="CLF-07211"/>
    <x v="72"/>
    <x v="1655"/>
    <n v="31.95"/>
    <n v="-6.39"/>
    <n v="-1.2781291039498941"/>
    <n v="7.3387099004053598E-15"/>
    <n v="0.75731838798934881"/>
    <n v="2262.336282452773"/>
    <n v="3400"/>
    <x v="865"/>
    <s v="Надежда Витамины"/>
    <s v="2025 11"/>
    <n v="1137.663717547227"/>
    <n v="0.50287118072199155"/>
  </r>
  <r>
    <s v="541605054"/>
    <n v="0"/>
    <s v="iHerb_OA CZN6870"/>
    <s v="Доставлен"/>
    <d v="2025-10-21T00:00:00"/>
    <x v="40"/>
    <s v="Витамины"/>
    <s v="SOL-52387"/>
    <x v="19"/>
    <x v="1210"/>
    <n v="18.04"/>
    <n v="0"/>
    <n v="-0.90209112031518357"/>
    <n v="5.1795902426961145E-15"/>
    <n v="0.53450797023974383"/>
    <n v="1596.7349974744925"/>
    <n v="2500"/>
    <x v="722"/>
    <s v="Татьяна от Елены б-р Шевченко"/>
    <s v="2025 11"/>
    <n v="903.2650025255075"/>
    <n v="0.56569499882834318"/>
  </r>
  <r>
    <s v="541605054"/>
    <n v="0"/>
    <s v="iHerb_OA CZN6870"/>
    <s v="Доставлен"/>
    <d v="2025-10-21T00:00:00"/>
    <x v="40"/>
    <s v="Косметика"/>
    <s v="SMT-02678"/>
    <x v="334"/>
    <x v="1706"/>
    <n v="4.8899999999999997"/>
    <n v="-2.89"/>
    <n v="-0.10001010203050814"/>
    <n v="5.7423395151841618E-16"/>
    <n v="5.9258089827022582E-2"/>
    <n v="177.02161834528738"/>
    <m/>
    <x v="20"/>
    <m/>
    <s v=""/>
    <n v="-177.02161834528738"/>
    <s v=""/>
  </r>
  <r>
    <s v="OZA0516"/>
    <n v="0"/>
    <s v="OZON_AV"/>
    <s v="Доставлен"/>
    <d v="2025-10-17T00:00:00"/>
    <x v="40"/>
    <s v="Спортпит"/>
    <s v="1480346061"/>
    <x v="34"/>
    <x v="1749"/>
    <n v="7999"/>
    <m/>
    <n v="0"/>
    <n v="0"/>
    <n v="0"/>
    <n v="7999"/>
    <n v="9500"/>
    <x v="849"/>
    <s v="Оксана 17 Цветы"/>
    <s v="2025 11"/>
    <n v="1501"/>
    <n v="0.18764845605700711"/>
  </r>
  <r>
    <s v="WB0205"/>
    <n v="0"/>
    <s v="WBRS"/>
    <s v="Доставлен"/>
    <d v="2025-10-22T00:00:00"/>
    <x v="40"/>
    <s v="Спортпит"/>
    <s v="BSN-00330"/>
    <x v="188"/>
    <x v="1455"/>
    <n v="2304"/>
    <n v="0"/>
    <n v="0"/>
    <n v="0"/>
    <n v="0"/>
    <n v="2304"/>
    <n v="3000"/>
    <x v="895"/>
    <s v="Оксана 17 Цветы"/>
    <s v="2025 10"/>
    <n v="696"/>
    <n v="0.30208333333333331"/>
  </r>
  <r>
    <s v="541724208"/>
    <n v="0"/>
    <s v="iHerb_MH DLE7202"/>
    <s v="Доставлен"/>
    <d v="2025-10-24T00:00:00"/>
    <x v="40"/>
    <s v="Витамины"/>
    <s v="CGN-02060"/>
    <x v="1"/>
    <x v="1750"/>
    <n v="49.92"/>
    <n v="-18.835000000000001"/>
    <n v="-5.0507198779867828"/>
    <n v="4.4915548431322252E-15"/>
    <n v="1.2376340211942713"/>
    <n v="2472.454125604766"/>
    <n v="4900"/>
    <x v="815"/>
    <s v="Аня Мирный"/>
    <s v="2025 11"/>
    <n v="2427.545874395234"/>
    <n v="0.9818365684748358"/>
  </r>
  <r>
    <s v="541724208"/>
    <n v="0"/>
    <s v="iHerb_MH DLE7202"/>
    <s v="Доставлен"/>
    <d v="2025-10-24T00:00:00"/>
    <x v="40"/>
    <s v="Витамины"/>
    <s v="CGN-02060"/>
    <x v="1"/>
    <x v="1750"/>
    <n v="49.92"/>
    <n v="-18.835000000000001"/>
    <n v="-5.0507198779867828"/>
    <n v="4.4915548431322252E-15"/>
    <n v="1.2376340211942713"/>
    <n v="2472.454125604766"/>
    <n v="5100"/>
    <x v="536"/>
    <s v="Любовь Виталий"/>
    <s v="2026 01"/>
    <n v="2627.545874395234"/>
    <n v="1.0627278569840128"/>
  </r>
  <r>
    <s v="541724208"/>
    <n v="0"/>
    <s v="iHerb_MH DLE7202"/>
    <s v="Доставлен"/>
    <d v="2025-10-24T00:00:00"/>
    <x v="40"/>
    <s v="Витамины"/>
    <s v="NOW-03056"/>
    <x v="3"/>
    <x v="92"/>
    <n v="21.74"/>
    <n v="-4.82"/>
    <n v="-2.7491774275546517"/>
    <n v="2.444816083184727E-15"/>
    <n v="0.67366149714032708"/>
    <n v="1345.7913400428706"/>
    <n v="2400"/>
    <x v="897"/>
    <s v="Алена Грация"/>
    <s v="2025 12"/>
    <n v="1054.2086599571294"/>
    <n v="0.78333737823245853"/>
  </r>
  <r>
    <s v="541724208"/>
    <n v="0"/>
    <s v="iHerb_MH DLE7202"/>
    <s v="Доставлен"/>
    <d v="2025-10-24T00:00:00"/>
    <x v="40"/>
    <s v="Витамины"/>
    <s v="CAR-01543"/>
    <x v="154"/>
    <x v="794"/>
    <n v="24.74"/>
    <n v="-5.48"/>
    <n v="-3.1293828164717845"/>
    <n v="2.7829289457528275E-15"/>
    <n v="0.76682744887249987"/>
    <n v="1531.9114189849699"/>
    <m/>
    <x v="20"/>
    <m/>
    <s v=""/>
    <n v="-1531.9114189849699"/>
    <s v=""/>
  </r>
  <r>
    <s v="541724412"/>
    <n v="0"/>
    <s v="iHerb_MH DLE7202"/>
    <s v="Доставлен"/>
    <d v="2025-10-24T00:00:00"/>
    <x v="40"/>
    <s v="Витамины"/>
    <s v="NOW-02644"/>
    <x v="3"/>
    <x v="21"/>
    <n v="22.47"/>
    <n v="-4.4933333333333332"/>
    <n v="0"/>
    <n v="2.3684757858670009E-15"/>
    <n v="1.9486865763875363"/>
    <n v="1806.4196583792707"/>
    <n v="3000"/>
    <x v="890"/>
    <s v="Елена сахарный диабет"/>
    <s v="2025 12"/>
    <n v="1193.5803416207293"/>
    <n v="0.66074366279406849"/>
  </r>
  <r>
    <s v="541724412"/>
    <n v="0"/>
    <s v="iHerb_MH DLE7202"/>
    <s v="Доставлен"/>
    <d v="2025-10-24T00:00:00"/>
    <x v="40"/>
    <s v="Витамины"/>
    <s v="NOW-02644"/>
    <x v="3"/>
    <x v="21"/>
    <n v="22.47"/>
    <n v="-4.4933333333333332"/>
    <n v="0"/>
    <n v="2.3684757858670009E-15"/>
    <n v="1.9486865763875363"/>
    <n v="1806.4196583792707"/>
    <n v="2900"/>
    <x v="646"/>
    <m/>
    <s v="2025 12"/>
    <n v="1093.5803416207293"/>
    <n v="0.60538554070093287"/>
  </r>
  <r>
    <s v="541724412"/>
    <n v="0"/>
    <s v="iHerb_MH DLE7202"/>
    <s v="Доставлен"/>
    <d v="2025-10-24T00:00:00"/>
    <x v="40"/>
    <s v="Витамины"/>
    <s v="NOW-02644"/>
    <x v="3"/>
    <x v="21"/>
    <n v="22.47"/>
    <n v="-4.4933333333333332"/>
    <n v="0"/>
    <n v="2.3684757858670009E-15"/>
    <n v="1.9486865763875363"/>
    <n v="1806.4196583792707"/>
    <n v="2900"/>
    <x v="646"/>
    <m/>
    <s v="2025 12"/>
    <n v="1093.5803416207293"/>
    <n v="0.60538554070093287"/>
  </r>
  <r>
    <s v="541886904"/>
    <n v="0"/>
    <s v="iHerb_MH DLE7202"/>
    <s v="Доставлен"/>
    <d v="2025-10-29T00:00:00"/>
    <x v="40"/>
    <s v="Витамины"/>
    <s v="NFS-35493"/>
    <x v="23"/>
    <x v="1383"/>
    <n v="47.68"/>
    <n v="-9.5399999999999991"/>
    <n v="-3.4493251294071681"/>
    <n v="-1.0587010427537931E-14"/>
    <n v="1.4571826318171435"/>
    <n v="3280.3491727707778"/>
    <n v="5000"/>
    <x v="646"/>
    <m/>
    <s v="2025 12"/>
    <n v="1719.6508272292222"/>
    <n v="0.52422798204030907"/>
  </r>
  <r>
    <s v="541886904"/>
    <n v="0"/>
    <s v="iHerb_MH DLE7202"/>
    <s v="Доставлен"/>
    <d v="2025-10-29T00:00:00"/>
    <x v="40"/>
    <s v="Витамины"/>
    <s v="NFS-02684"/>
    <x v="23"/>
    <x v="1699"/>
    <n v="32.43"/>
    <n v="-6.49"/>
    <n v="-2.34597519288993"/>
    <n v="-7.2004994884723096E-15"/>
    <n v="0.99106757916456989"/>
    <n v="2231.0502763941786"/>
    <n v="3800"/>
    <x v="722"/>
    <s v="Александр Космос"/>
    <s v="2025 11"/>
    <n v="1568.9497236058214"/>
    <n v="0.70323369231353972"/>
  </r>
  <r>
    <s v="541886904"/>
    <n v="0"/>
    <s v="iHerb_MH DLE7202"/>
    <s v="Доставлен"/>
    <d v="2025-10-29T00:00:00"/>
    <x v="40"/>
    <s v="Витамины"/>
    <s v="NOW-03802"/>
    <x v="3"/>
    <x v="1225"/>
    <n v="22.86"/>
    <n v="-4.57"/>
    <n v="-1.6541205195819901"/>
    <n v="-5.0769905799598513E-15"/>
    <n v="0.69879051746029242"/>
    <n v="1573.0882635022949"/>
    <m/>
    <x v="20"/>
    <m/>
    <s v=""/>
    <n v="-1573.0882635022949"/>
    <s v=""/>
  </r>
  <r>
    <s v="541886904"/>
    <n v="0"/>
    <s v="iHerb_MH DLE7202"/>
    <s v="Доставлен"/>
    <d v="2025-10-29T00:00:00"/>
    <x v="40"/>
    <s v="Витамины"/>
    <s v="DRB-00091"/>
    <x v="6"/>
    <x v="1751"/>
    <n v="12.51"/>
    <n v="-2.5"/>
    <n v="-0.90528957906045493"/>
    <n v="-2.7786044672169553E-15"/>
    <n v="0.38244358008625079"/>
    <n v="860.94114366637359"/>
    <n v="1800"/>
    <x v="815"/>
    <s v="Татьяна Бригантина"/>
    <s v="2025 11"/>
    <n v="939.05885633362641"/>
    <n v="1.0907352532074184"/>
  </r>
  <r>
    <s v="541886904"/>
    <n v="0"/>
    <s v="iHerb_MH DLE7202"/>
    <s v="Доставлен"/>
    <d v="2025-10-29T00:00:00"/>
    <x v="40"/>
    <s v="Витамины"/>
    <s v="DRB-00091"/>
    <x v="6"/>
    <x v="1751"/>
    <n v="12.51"/>
    <n v="-2.5"/>
    <n v="-0.90528957906045493"/>
    <n v="-2.7786044672169553E-15"/>
    <n v="0.38244358008625079"/>
    <n v="860.94114366637359"/>
    <m/>
    <x v="20"/>
    <m/>
    <s v=""/>
    <n v="-860.94114366637359"/>
    <s v=""/>
  </r>
  <r>
    <s v="541856656"/>
    <n v="0"/>
    <s v="iHerb_VP DFD1605"/>
    <s v="Доставлен"/>
    <d v="2025-10-28T00:00:00"/>
    <x v="40"/>
    <s v="Витамины"/>
    <s v="NOW-02313"/>
    <x v="3"/>
    <x v="87"/>
    <n v="23.95"/>
    <n v="-4.79"/>
    <n v="-1.176513542219862"/>
    <n v="0"/>
    <n v="0.49913588904410577"/>
    <n v="1671.9694689325545"/>
    <n v="2900"/>
    <x v="803"/>
    <s v="Оксана 17 Цветы"/>
    <s v="2026 02"/>
    <n v="1228.0305310674455"/>
    <n v="0.73448143275694167"/>
  </r>
  <r>
    <s v="541856656"/>
    <n v="0"/>
    <s v="iHerb_VP DFD1605"/>
    <s v="Доставлен"/>
    <d v="2025-10-28T00:00:00"/>
    <x v="40"/>
    <s v="Витамины"/>
    <s v="NOW-02313"/>
    <x v="3"/>
    <x v="87"/>
    <n v="23.95"/>
    <n v="-4.79"/>
    <n v="-1.176513542219862"/>
    <n v="0"/>
    <n v="0.49913588904410577"/>
    <n v="1671.9694689325545"/>
    <n v="3000"/>
    <x v="877"/>
    <s v="Надежда Витамины"/>
    <s v="2026 03"/>
    <n v="1328.0305310674455"/>
    <n v="0.79429113733476731"/>
  </r>
  <r>
    <s v="541856656"/>
    <n v="0"/>
    <s v="iHerb_VP DFD1605"/>
    <s v="Доставлен"/>
    <d v="2025-10-28T00:00:00"/>
    <x v="40"/>
    <s v="Витамины"/>
    <s v="NOW-02313"/>
    <x v="3"/>
    <x v="87"/>
    <n v="23.95"/>
    <n v="-4.79"/>
    <n v="-1.176513542219862"/>
    <n v="0"/>
    <n v="0.49913588904410577"/>
    <n v="1671.9694689325545"/>
    <n v="3000"/>
    <x v="881"/>
    <s v="Любовь Виталий"/>
    <s v="2026 03"/>
    <n v="1328.0305310674455"/>
    <n v="0.79429113733476731"/>
  </r>
  <r>
    <s v="541856656"/>
    <n v="0"/>
    <s v="iHerb_VP DFD1605"/>
    <s v="Доставлен"/>
    <d v="2025-10-28T00:00:00"/>
    <x v="40"/>
    <s v="Витамины"/>
    <s v="NCS-67227"/>
    <x v="217"/>
    <x v="1752"/>
    <n v="12.39"/>
    <n v="-2.4766666666666666"/>
    <n v="-0.60872499557443804"/>
    <n v="0"/>
    <n v="0.25825158907744794"/>
    <n v="865.07258187289801"/>
    <n v="1600"/>
    <x v="722"/>
    <s v="Любовь Виталий"/>
    <s v="2025 11"/>
    <n v="734.92741812710199"/>
    <n v="0.84955578702537382"/>
  </r>
  <r>
    <s v="541856656"/>
    <n v="0"/>
    <s v="iHerb_VP DFD1605"/>
    <s v="Доставлен"/>
    <d v="2025-10-28T00:00:00"/>
    <x v="40"/>
    <s v="Витамины"/>
    <s v="NCS-67227"/>
    <x v="217"/>
    <x v="1752"/>
    <n v="12.39"/>
    <n v="-2.4766666666666666"/>
    <n v="-0.60872499557443804"/>
    <n v="0"/>
    <n v="0.25825158907744794"/>
    <n v="865.07258187289801"/>
    <n v="1600"/>
    <x v="722"/>
    <s v="Надежда Витамины"/>
    <s v="2025 11"/>
    <n v="734.92741812710199"/>
    <n v="0.84955578702537382"/>
  </r>
  <r>
    <s v="541856656"/>
    <n v="0"/>
    <s v="iHerb_VP DFD1605"/>
    <s v="Доставлен"/>
    <d v="2025-10-28T00:00:00"/>
    <x v="40"/>
    <s v="Витамины"/>
    <s v="NCS-67227"/>
    <x v="217"/>
    <x v="1752"/>
    <n v="12.39"/>
    <n v="-2.4766666666666666"/>
    <n v="-0.60872499557443804"/>
    <n v="0"/>
    <n v="0.25825158907744794"/>
    <n v="865.07258187289801"/>
    <n v="1600"/>
    <x v="722"/>
    <s v="Надежда Витамины"/>
    <s v="2025 11"/>
    <n v="734.92741812710199"/>
    <n v="0.84955578702537382"/>
  </r>
  <r>
    <s v="541856656"/>
    <n v="0"/>
    <s v="iHerb_VP DFD1605"/>
    <s v="Доставлен"/>
    <d v="2025-10-28T00:00:00"/>
    <x v="40"/>
    <s v="Витамины"/>
    <s v="NOW-03056"/>
    <x v="3"/>
    <x v="92"/>
    <n v="21.74"/>
    <n v="-4.3499999999999996"/>
    <n v="-1.06782727031333"/>
    <n v="0"/>
    <n v="0.45302573645495819"/>
    <n v="1517.512999203399"/>
    <n v="2500"/>
    <x v="873"/>
    <m/>
    <s v="2026 02"/>
    <n v="982.48700079660102"/>
    <n v="0.64743234576069286"/>
  </r>
  <r>
    <s v="541856656"/>
    <n v="0"/>
    <s v="iHerb_VP DFD1605"/>
    <s v="Доставлен"/>
    <d v="2025-10-28T00:00:00"/>
    <x v="40"/>
    <s v="Витамины"/>
    <s v="FOA-66103"/>
    <x v="171"/>
    <x v="1753"/>
    <n v="14.01"/>
    <n v="-2.8"/>
    <n v="-0.68834638874137033"/>
    <n v="0"/>
    <n v="0.29203096639793452"/>
    <n v="978.22430828465224"/>
    <n v="2000"/>
    <x v="812"/>
    <s v="Елена Ленина 87"/>
    <s v="2026 01"/>
    <n v="1021.7756917153478"/>
    <n v="1.0445208558628687"/>
  </r>
  <r>
    <s v="541856656"/>
    <n v="0"/>
    <s v="iHerb_VP DFD1605"/>
    <s v="Доставлен"/>
    <d v="2025-10-28T00:00:00"/>
    <x v="40"/>
    <s v="Витамины"/>
    <s v="NOW-01480"/>
    <x v="3"/>
    <x v="165"/>
    <n v="5.78"/>
    <n v="-1.1599999999999999"/>
    <n v="-0.28368959107806696"/>
    <n v="0"/>
    <n v="0.12035531353777498"/>
    <n v="403.15756505576212"/>
    <n v="1100"/>
    <x v="722"/>
    <s v="Любовь Виталий"/>
    <s v="2025 11"/>
    <n v="696.84243494423788"/>
    <n v="1.728461761216995"/>
  </r>
  <r>
    <s v="541856656"/>
    <n v="0"/>
    <s v="iHerb_VP DFD1605"/>
    <s v="Доставлен"/>
    <d v="2025-10-28T00:00:00"/>
    <x v="40"/>
    <s v="Витамины"/>
    <s v="DRB-00136"/>
    <x v="6"/>
    <x v="1754"/>
    <n v="24.7"/>
    <n v="-4.9400000000000004"/>
    <n v="-1.2133563462559744"/>
    <n v="0"/>
    <n v="0.51476644924381676"/>
    <n v="1724.3275942644714"/>
    <n v="2800"/>
    <x v="856"/>
    <s v="Татьяна Бригантина"/>
    <s v="2025 12"/>
    <n v="1075.6724057355286"/>
    <n v="0.62382137206031729"/>
  </r>
  <r>
    <s v="541856656"/>
    <n v="0"/>
    <s v="iHerb_VP DFD1605"/>
    <s v="Доставлен"/>
    <d v="2025-10-28T00:00:00"/>
    <x v="40"/>
    <s v="Витамины"/>
    <s v="SOR-08364"/>
    <x v="10"/>
    <x v="1575"/>
    <n v="13.05"/>
    <n v="-2.61"/>
    <n v="-0.64106479022835916"/>
    <n v="0"/>
    <n v="0.27197174747497205"/>
    <n v="911.03138077535857"/>
    <n v="2000"/>
    <x v="722"/>
    <s v="Любовь Виталий"/>
    <s v="2025 11"/>
    <n v="1088.9686192246413"/>
    <n v="1.1953140607493062"/>
  </r>
  <r>
    <s v="542267551"/>
    <n v="0"/>
    <s v="iHerb_MH DLE7202"/>
    <s v="Доставлен"/>
    <d v="2025-11-08T00:00:00"/>
    <x v="41"/>
    <s v="Витамины"/>
    <s v="NAP-04431"/>
    <x v="11"/>
    <x v="1755"/>
    <n v="16.02"/>
    <n v="-6.41"/>
    <n v="-0.66659435822687141"/>
    <n v="3.5128092380971781E-15"/>
    <n v="0.34949719339618662"/>
    <n v="841.30223012946954"/>
    <m/>
    <x v="20"/>
    <m/>
    <s v=""/>
    <n v="-841.30223012946954"/>
    <s v=""/>
  </r>
  <r>
    <s v="542267551"/>
    <n v="0"/>
    <s v="iHerb_MH DLE7202"/>
    <s v="Доставлен"/>
    <d v="2025-11-08T00:00:00"/>
    <x v="41"/>
    <s v="Витамины"/>
    <s v="NCS-57350"/>
    <x v="217"/>
    <x v="1756"/>
    <n v="21.76"/>
    <n v="-4.3499999999999996"/>
    <n v="-1.2076386864443116"/>
    <n v="6.3639967570522255E-15"/>
    <n v="0.63316817242743084"/>
    <n v="1524.148993397926"/>
    <n v="2500"/>
    <x v="902"/>
    <s v="Надежда Витамины"/>
    <s v="2025 12"/>
    <n v="975.85100660207399"/>
    <n v="0.64025958802526206"/>
  </r>
  <r>
    <s v="542267551"/>
    <n v="0"/>
    <s v="iHerb_MH DLE7202"/>
    <s v="Доставлен"/>
    <d v="2025-11-08T00:00:00"/>
    <x v="41"/>
    <s v="Витамины"/>
    <s v="NOW-02680"/>
    <x v="3"/>
    <x v="714"/>
    <n v="9.41"/>
    <n v="-0.94"/>
    <n v="-0.58751864871816872"/>
    <n v="3.0960972160960564E-15"/>
    <n v="0.30803758876854331"/>
    <n v="741.50154934407976"/>
    <n v="1500"/>
    <x v="902"/>
    <s v="Надежда Витамины"/>
    <s v="2025 12"/>
    <n v="758.49845065592024"/>
    <n v="1.0229222734960914"/>
  </r>
  <r>
    <s v="542267551"/>
    <n v="0"/>
    <s v="iHerb_MH DLE7202"/>
    <s v="Доставлен"/>
    <d v="2025-11-08T00:00:00"/>
    <x v="41"/>
    <s v="Витамины"/>
    <s v="MLI-00952"/>
    <x v="1"/>
    <x v="7"/>
    <n v="13.66"/>
    <n v="-4.0999999999999996"/>
    <n v="-0.66312612535368276"/>
    <n v="3.4945323950269534E-15"/>
    <n v="0.34767878968444788"/>
    <n v="836.92500728800508"/>
    <n v="1900"/>
    <x v="804"/>
    <m/>
    <s v="2026 01"/>
    <n v="1063.074992711995"/>
    <n v="1.2702153519785633"/>
  </r>
  <r>
    <s v="542267551"/>
    <n v="0"/>
    <s v="iHerb_MH DLE7202"/>
    <s v="Доставлен"/>
    <d v="2025-11-08T00:00:00"/>
    <x v="41"/>
    <s v="Витамины"/>
    <s v="NOW-01480"/>
    <x v="3"/>
    <x v="165"/>
    <n v="5.78"/>
    <n v="-0.57999999999999996"/>
    <n v="-0.36069621881162661"/>
    <n v="1.900791679303364E-15"/>
    <n v="0.18911398602082941"/>
    <n v="455.23117551230399"/>
    <n v="1100"/>
    <x v="771"/>
    <s v="Антонина Космос"/>
    <s v="2026 02"/>
    <n v="644.76882448769607"/>
    <n v="1.416354720790139"/>
  </r>
  <r>
    <s v="542267551"/>
    <n v="0"/>
    <s v="iHerb_MH DLE7202"/>
    <s v="Доставлен"/>
    <d v="2025-11-08T00:00:00"/>
    <x v="41"/>
    <s v="Витамины"/>
    <s v="NCS-67396"/>
    <x v="217"/>
    <x v="1757"/>
    <n v="23.79"/>
    <n v="-4.76"/>
    <n v="-1.3200094315356259"/>
    <n v="6.9561664725275027E-15"/>
    <n v="0.69208445268776608"/>
    <n v="1665.971013461374"/>
    <m/>
    <x v="20"/>
    <m/>
    <s v=""/>
    <n v="-1665.971013461374"/>
    <s v=""/>
  </r>
  <r>
    <s v="542267551"/>
    <n v="0"/>
    <s v="iHerb_MH DLE7202"/>
    <s v="Доставлен"/>
    <d v="2025-11-08T00:00:00"/>
    <x v="41"/>
    <s v="Витамины"/>
    <s v="NCS-67923"/>
    <x v="217"/>
    <x v="1758"/>
    <n v="15.5"/>
    <n v="-3.1"/>
    <n v="-0.86012175255080192"/>
    <n v="4.5326570814157138E-15"/>
    <n v="0.45096412051120854"/>
    <n v="1085.5512646831867"/>
    <n v="2900"/>
    <x v="872"/>
    <s v="Александр Радин"/>
    <s v="2025 12"/>
    <n v="1814.4487353168133"/>
    <n v="1.671453752897015"/>
  </r>
  <r>
    <s v="542267551"/>
    <n v="0"/>
    <s v="iHerb_MH DLE7202"/>
    <s v="Доставлен"/>
    <d v="2025-11-08T00:00:00"/>
    <x v="41"/>
    <s v="Витамины"/>
    <s v="SBL-00121"/>
    <x v="12"/>
    <x v="1759"/>
    <n v="29.35"/>
    <n v="-2.94"/>
    <n v="-1.8319206036182807"/>
    <n v="9.6538285096926618E-15"/>
    <n v="0.96048084054040472"/>
    <n v="2312.049104861529"/>
    <n v="3100"/>
    <x v="902"/>
    <m/>
    <s v="2025 12"/>
    <n v="787.95089513847097"/>
    <n v="0.34080197236367182"/>
  </r>
  <r>
    <s v="542267551"/>
    <n v="0"/>
    <s v="iHerb_MH DLE7202"/>
    <s v="Доставлен"/>
    <d v="2025-11-08T00:00:00"/>
    <x v="41"/>
    <s v="Спортпит"/>
    <s v="PPV-02584"/>
    <x v="335"/>
    <x v="1760"/>
    <n v="19.13"/>
    <n v="-10.59"/>
    <n v="-0.59237417474063281"/>
    <n v="3.1216847963943702E-15"/>
    <n v="0.31058335396497749"/>
    <n v="747.62966132212989"/>
    <m/>
    <x v="20"/>
    <m/>
    <s v=""/>
    <n v="-747.62966132212989"/>
    <s v=""/>
  </r>
  <r>
    <s v="541936729"/>
    <n v="0"/>
    <s v="iHerb_OA CZN6870"/>
    <s v="Доставлен"/>
    <d v="2025-10-30T00:00:00"/>
    <x v="40"/>
    <s v="Витамины"/>
    <s v="NFS-03543"/>
    <x v="23"/>
    <x v="1761"/>
    <n v="33.67"/>
    <n v="-6.73"/>
    <n v="-2.6940000000000008"/>
    <n v="2.6940000000000026"/>
    <n v="1.2841229408562549"/>
    <n v="2537.6671428571431"/>
    <n v="3900"/>
    <x v="536"/>
    <s v="Татьяна Бригантина"/>
    <s v="2026 01"/>
    <n v="1362.3328571428569"/>
    <n v="0.53684458222878484"/>
  </r>
  <r>
    <s v="541936729"/>
    <n v="0"/>
    <s v="iHerb_OA CZN6870"/>
    <s v="Доставлен"/>
    <d v="2025-10-30T00:00:00"/>
    <x v="40"/>
    <s v="Витамины"/>
    <s v="GLH-03271"/>
    <x v="339"/>
    <x v="1762"/>
    <n v="78.319999999999993"/>
    <n v="-15.66"/>
    <n v="-6.2660000000000009"/>
    <n v="6.2660000000000062"/>
    <n v="2.9867536553100567"/>
    <n v="5902.3839336090787"/>
    <n v="7550"/>
    <x v="902"/>
    <s v="Оксана Черноморская"/>
    <s v="2025 12"/>
    <n v="1647.6160663909213"/>
    <n v="0.27914417037650552"/>
  </r>
  <r>
    <s v="542191860"/>
    <n v="0"/>
    <s v="iHerb_OA CZN6870"/>
    <s v="Доставлен"/>
    <d v="2025-11-06T00:00:00"/>
    <x v="41"/>
    <s v="Витамины"/>
    <s v="SMO-45805"/>
    <x v="247"/>
    <x v="1763"/>
    <n v="29.61"/>
    <n v="-2.96"/>
    <n v="-1.2769986466843766"/>
    <n v="-3.7964941923726462E-15"/>
    <n v="0.56783046033051432"/>
    <n v="2343.3058743922611"/>
    <m/>
    <x v="20"/>
    <m/>
    <s v=""/>
    <n v="-2343.3058743922611"/>
    <s v=""/>
  </r>
  <r>
    <s v="542191860"/>
    <n v="0"/>
    <s v="iHerb_OA CZN6870"/>
    <s v="Доставлен"/>
    <d v="2025-11-06T00:00:00"/>
    <x v="41"/>
    <s v="Витамины"/>
    <s v="SLM-01315"/>
    <x v="1"/>
    <x v="1139"/>
    <n v="31.7"/>
    <n v="-12.68"/>
    <n v="-0.911388902811889"/>
    <n v="-2.7095429470516976E-15"/>
    <n v="0.40525836230718137"/>
    <n v="1672.4081700165402"/>
    <n v="3300"/>
    <x v="903"/>
    <s v="Виктория Башня/Энгельса"/>
    <s v="2026 02"/>
    <n v="1627.5918299834598"/>
    <n v="0.97320251070488539"/>
  </r>
  <r>
    <s v="542191860"/>
    <n v="0"/>
    <s v="iHerb_OA CZN6870"/>
    <s v="Доставлен"/>
    <d v="2025-11-06T00:00:00"/>
    <x v="41"/>
    <s v="Витамины"/>
    <s v="NOW-00894"/>
    <x v="3"/>
    <x v="1355"/>
    <n v="33.340000000000003"/>
    <n v="-3.33"/>
    <n v="-1.4380011027016191"/>
    <n v="-4.2751516215048087E-15"/>
    <n v="0.63942184294629412"/>
    <n v="2638.7470653100099"/>
    <n v="3700"/>
    <x v="890"/>
    <s v="Любовь Виталий"/>
    <s v="2025 12"/>
    <n v="1061.2529346899901"/>
    <n v="0.40218062149329575"/>
  </r>
  <r>
    <s v="542191860"/>
    <n v="0"/>
    <s v="iHerb_OA CZN6870"/>
    <s v="Доставлен"/>
    <d v="2025-11-06T00:00:00"/>
    <x v="41"/>
    <s v="Витамины"/>
    <s v="PAR-77871"/>
    <x v="44"/>
    <x v="1598"/>
    <n v="15.08"/>
    <n v="-1.51"/>
    <n v="-0.65023908576011236"/>
    <n v="-1.9331492003938767E-15"/>
    <n v="0.28913543514765783"/>
    <n v="1193.195524033883"/>
    <n v="1900"/>
    <x v="890"/>
    <s v="Любовь Виталий"/>
    <s v="2025 12"/>
    <n v="706.80447596611702"/>
    <n v="0.59236266121464765"/>
  </r>
  <r>
    <s v="542191860"/>
    <n v="0"/>
    <s v="iHerb_OA CZN6870"/>
    <s v="Доставлен"/>
    <d v="2025-11-06T00:00:00"/>
    <x v="41"/>
    <s v="Витамины"/>
    <s v="NOW-00085"/>
    <x v="3"/>
    <x v="1764"/>
    <n v="15.93"/>
    <n v="-1.59"/>
    <n v="-0.68713548193073026"/>
    <n v="-2.0428415279033304E-15"/>
    <n v="0.30554179366377393"/>
    <n v="1260.9007969525339"/>
    <n v="2300"/>
    <x v="886"/>
    <m/>
    <s v="2026 03"/>
    <n v="1039.0992030474661"/>
    <n v="0.82409274826287737"/>
  </r>
  <r>
    <s v="542191860"/>
    <n v="0"/>
    <s v="iHerb_OA CZN6870"/>
    <s v="Доставлен"/>
    <d v="2025-11-06T00:00:00"/>
    <x v="41"/>
    <s v="Витамины"/>
    <s v="CGN-01266"/>
    <x v="1"/>
    <x v="487"/>
    <n v="30.08"/>
    <n v="-9.02"/>
    <n v="-1.0091403939652146"/>
    <n v="-3.0001563861676523E-15"/>
    <n v="0.4487245588953333"/>
    <n v="1851.7831787880305"/>
    <n v="3400"/>
    <x v="885"/>
    <s v="Аня Мирный"/>
    <s v="2026 04"/>
    <n v="1548.2168212119695"/>
    <n v="0.836068087747324"/>
  </r>
  <r>
    <s v="542191860"/>
    <n v="0"/>
    <s v="iHerb_OA CZN6870"/>
    <s v="Доставлен"/>
    <d v="2025-11-06T00:00:00"/>
    <x v="41"/>
    <s v="Витамины"/>
    <s v="NOW-01486"/>
    <x v="3"/>
    <x v="1765"/>
    <n v="14.48"/>
    <n v="-1.45"/>
    <n v="-0.62436369104305545"/>
    <n v="-1.8562221135690651E-15"/>
    <n v="0.27762967722726467"/>
    <n v="1145.7139040649595"/>
    <n v="1900"/>
    <x v="890"/>
    <s v="Любовь Виталий"/>
    <s v="2025 12"/>
    <n v="754.28609593504052"/>
    <n v="0.65835466712837776"/>
  </r>
  <r>
    <s v="542191860"/>
    <n v="0"/>
    <s v="iHerb_OA CZN6870"/>
    <s v="Доставлен"/>
    <d v="2025-11-06T00:00:00"/>
    <x v="41"/>
    <s v="Витамины"/>
    <s v="NOW-02120"/>
    <x v="3"/>
    <x v="1766"/>
    <n v="12.31"/>
    <n v="-1.23"/>
    <n v="-0.53092476567590596"/>
    <n v="-1.5784298555905789E-15"/>
    <n v="0.23608110695917822"/>
    <n v="974.25249862162298"/>
    <n v="1600"/>
    <x v="890"/>
    <s v="Елена пер. Фруктовый"/>
    <s v="2025 12"/>
    <n v="625.74750137837702"/>
    <n v="0.64228472830573957"/>
  </r>
  <r>
    <s v="542191860"/>
    <n v="0"/>
    <s v="iHerb_OA CZN6870"/>
    <s v="Доставлен"/>
    <d v="2025-11-06T00:00:00"/>
    <x v="41"/>
    <s v="Витамины"/>
    <s v="NOW-02120"/>
    <x v="3"/>
    <x v="1766"/>
    <n v="12.31"/>
    <n v="-1.23"/>
    <n v="-0.53092476567590596"/>
    <n v="-1.5784298555905789E-15"/>
    <n v="0.23608110695917822"/>
    <n v="974.25249862162298"/>
    <n v="1600"/>
    <x v="890"/>
    <s v="Елена пер. Фруктовый"/>
    <s v="2025 12"/>
    <n v="625.74750137837702"/>
    <n v="0.64228472830573957"/>
  </r>
  <r>
    <s v="542191860"/>
    <n v="0"/>
    <s v="iHerb_OA CZN6870"/>
    <s v="Доставлен"/>
    <d v="2025-11-06T00:00:00"/>
    <x v="41"/>
    <s v="Витамины"/>
    <s v="NOW-02120"/>
    <x v="3"/>
    <x v="1766"/>
    <n v="12.31"/>
    <n v="-1.23"/>
    <n v="-0.53092476567590596"/>
    <n v="-1.5784298555905789E-15"/>
    <n v="0.23608110695917822"/>
    <n v="974.25249862162298"/>
    <n v="1600"/>
    <x v="890"/>
    <s v="Елена пер. Фруктовый"/>
    <s v="2025 12"/>
    <n v="625.74750137837702"/>
    <n v="0.64228472830573957"/>
  </r>
  <r>
    <s v="542191860"/>
    <n v="0"/>
    <s v="iHerb_OA CZN6870"/>
    <s v="Доставлен"/>
    <d v="2025-11-06T00:00:00"/>
    <x v="41"/>
    <s v="Витамины"/>
    <s v="NOW-01480"/>
    <x v="3"/>
    <x v="165"/>
    <n v="5.78"/>
    <n v="-0.57999999999999996"/>
    <n v="-0.24917046764573203"/>
    <n v="-7.4077935460929691E-16"/>
    <n v="0.11079618738156378"/>
    <n v="457.23041451556315"/>
    <m/>
    <x v="20"/>
    <m/>
    <s v=""/>
    <n v="-457.23041451556315"/>
    <s v=""/>
  </r>
  <r>
    <s v="542191860"/>
    <n v="0"/>
    <s v="iHerb_OA CZN6870"/>
    <s v="Доставлен"/>
    <d v="2025-11-06T00:00:00"/>
    <x v="41"/>
    <s v="Витамины"/>
    <s v="LEX-21253"/>
    <x v="7"/>
    <x v="1767"/>
    <n v="25.99"/>
    <n v="-2.6"/>
    <n v="-1.1207879304295523"/>
    <n v="-3.3320825200598945E-15"/>
    <n v="0.49836977362591856"/>
    <n v="2056.6575760613496"/>
    <m/>
    <x v="20"/>
    <m/>
    <s v=""/>
    <n v="-2056.6575760613496"/>
    <s v=""/>
  </r>
  <r>
    <s v="541966264"/>
    <n v="0"/>
    <s v="iHerb_VP DFD1605"/>
    <s v="Доставлен"/>
    <d v="2025-10-31T00:00:00"/>
    <x v="40"/>
    <s v="Витамины"/>
    <s v="SOL-52387"/>
    <x v="19"/>
    <x v="1210"/>
    <n v="18.04"/>
    <n v="-4.51"/>
    <n v="0"/>
    <n v="-1.7738985542640748E-15"/>
    <n v="0.49275433685678088"/>
    <n v="1261.071769997232"/>
    <n v="2400"/>
    <x v="836"/>
    <s v="Валентина Сычева"/>
    <s v="2025 12"/>
    <n v="1138.928230002768"/>
    <n v="0.9031430701246036"/>
  </r>
  <r>
    <s v="541966264"/>
    <n v="0"/>
    <s v="iHerb_VP DFD1605"/>
    <s v="Доставлен"/>
    <d v="2025-10-31T00:00:00"/>
    <x v="40"/>
    <s v="Витамины"/>
    <s v="SOL-52387"/>
    <x v="19"/>
    <x v="1210"/>
    <n v="18.04"/>
    <n v="-4.51"/>
    <n v="0"/>
    <n v="-1.7738985542640748E-15"/>
    <n v="0.49275433685678088"/>
    <n v="1261.071769997232"/>
    <n v="2500"/>
    <x v="646"/>
    <s v="Елена Шевченко 217"/>
    <s v="2025 12"/>
    <n v="1238.928230002768"/>
    <n v="0.98244069804646206"/>
  </r>
  <r>
    <s v="541966264"/>
    <n v="0"/>
    <s v="iHerb_VP DFD1605"/>
    <s v="Доставлен"/>
    <d v="2025-10-31T00:00:00"/>
    <x v="40"/>
    <s v="Витамины"/>
    <s v="SOL-01721"/>
    <x v="19"/>
    <x v="126"/>
    <n v="18.03"/>
    <n v="-4.51"/>
    <n v="0"/>
    <n v="-1.7725874688581149E-15"/>
    <n v="0.49239014296405614"/>
    <n v="1260.139713995756"/>
    <n v="2500"/>
    <x v="897"/>
    <s v="Валентина Сычева"/>
    <s v="2025 12"/>
    <n v="1239.860286004244"/>
    <n v="0.98390700033791634"/>
  </r>
  <r>
    <s v="541966264"/>
    <n v="0"/>
    <s v="iHerb_VP DFD1605"/>
    <s v="Доставлен"/>
    <d v="2025-10-31T00:00:00"/>
    <x v="40"/>
    <s v="Витамины"/>
    <s v="SOL-01721"/>
    <x v="19"/>
    <x v="126"/>
    <n v="18.03"/>
    <n v="-4.51"/>
    <n v="0"/>
    <n v="-1.7725874688581149E-15"/>
    <n v="0.49239014296405614"/>
    <n v="1260.139713995756"/>
    <n v="2500"/>
    <x v="904"/>
    <s v="Аня Мирный"/>
    <s v="2026 01"/>
    <n v="1239.860286004244"/>
    <n v="0.98390700033791634"/>
  </r>
  <r>
    <s v="541966264"/>
    <n v="0"/>
    <s v="iHerb_VP DFD1605"/>
    <s v="Доставлен"/>
    <d v="2025-10-31T00:00:00"/>
    <x v="40"/>
    <s v="Витамины"/>
    <s v="SOL-01736"/>
    <x v="19"/>
    <x v="139"/>
    <n v="23.26"/>
    <n v="-5.8150000000000004"/>
    <n v="0"/>
    <n v="-2.2871884906974712E-15"/>
    <n v="0.63533624585857684"/>
    <n v="1625.971694575145"/>
    <n v="3200"/>
    <x v="646"/>
    <m/>
    <s v="2025 12"/>
    <n v="1574.028305424855"/>
    <n v="0.96805394010019197"/>
  </r>
  <r>
    <s v="541966264"/>
    <n v="0"/>
    <s v="iHerb_VP DFD1605"/>
    <s v="Доставлен"/>
    <d v="2025-10-31T00:00:00"/>
    <x v="40"/>
    <s v="Витамины"/>
    <s v="SOL-01736"/>
    <x v="19"/>
    <x v="139"/>
    <n v="23.26"/>
    <n v="-5.8150000000000004"/>
    <n v="0"/>
    <n v="-2.2871884906974712E-15"/>
    <n v="0.63533624585857684"/>
    <n v="1625.971694575145"/>
    <n v="3200"/>
    <x v="881"/>
    <m/>
    <s v="2026 03"/>
    <n v="1574.028305424855"/>
    <n v="0.96805394010019197"/>
  </r>
  <r>
    <s v="541966264"/>
    <n v="0"/>
    <s v="iHerb_VP DFD1605"/>
    <s v="Доставлен"/>
    <d v="2025-10-31T00:00:00"/>
    <x v="40"/>
    <s v="Витамины"/>
    <s v="SOL-02551"/>
    <x v="19"/>
    <x v="1702"/>
    <n v="7.73"/>
    <n v="-1.93"/>
    <n v="0"/>
    <n v="-7.6042953545688368E-16"/>
    <n v="0.21123245778043831"/>
    <n v="540.59248085616753"/>
    <n v="1300"/>
    <x v="804"/>
    <s v="Любовь Металлургов 158"/>
    <s v="2026 01"/>
    <n v="759.40751914383247"/>
    <n v="1.4047689267544285"/>
  </r>
  <r>
    <s v="541966264"/>
    <n v="0"/>
    <s v="iHerb_VP DFD1605"/>
    <s v="Доставлен"/>
    <d v="2025-10-31T00:00:00"/>
    <x v="40"/>
    <s v="Витамины"/>
    <s v="SOL-59205"/>
    <x v="19"/>
    <x v="1768"/>
    <n v="18.13"/>
    <n v="-4.53"/>
    <n v="0"/>
    <n v="-1.7830761521057956E-15"/>
    <n v="0.49530369410585512"/>
    <n v="1267.5961620075648"/>
    <n v="2400"/>
    <x v="815"/>
    <s v="Оксана 17 Цветы"/>
    <s v="2025 11"/>
    <n v="1132.4038379924352"/>
    <n v="0.89334748079308024"/>
  </r>
  <r>
    <s v="542487551"/>
    <n v="0"/>
    <s v="iHerb_AV CYG0792"/>
    <s v="Доставлен"/>
    <d v="2025-11-12T00:00:00"/>
    <x v="41"/>
    <s v="Витамины"/>
    <s v="BLB-00665"/>
    <x v="186"/>
    <x v="1748"/>
    <n v="13.22"/>
    <n v="-2.64"/>
    <n v="0"/>
    <n v="0"/>
    <n v="0.2616395102244794"/>
    <n v="974.91440467917539"/>
    <n v="1900"/>
    <x v="890"/>
    <s v="Любовь Виталий"/>
    <s v="2025 12"/>
    <n v="925.08559532082461"/>
    <n v="0.94888904182849931"/>
  </r>
  <r>
    <s v="542487551"/>
    <n v="0"/>
    <s v="iHerb_AV CYG0792"/>
    <s v="Доставлен"/>
    <d v="2025-11-12T00:00:00"/>
    <x v="41"/>
    <s v="Витамины"/>
    <s v="PAR-77891"/>
    <x v="44"/>
    <x v="1619"/>
    <n v="12.06"/>
    <n v="-2.41"/>
    <n v="0"/>
    <n v="0"/>
    <n v="0.23864095214236541"/>
    <n v="889.217769863331"/>
    <n v="1600"/>
    <x v="890"/>
    <s v="Любовь Виталий"/>
    <s v="2025 12"/>
    <n v="710.782230136669"/>
    <n v="0.79933426234375993"/>
  </r>
  <r>
    <s v="542487551"/>
    <n v="0"/>
    <s v="iHerb_AV CYG0792"/>
    <s v="Доставлен"/>
    <d v="2025-11-12T00:00:00"/>
    <x v="41"/>
    <s v="Витамины"/>
    <s v="SOR-35007"/>
    <x v="10"/>
    <x v="1576"/>
    <n v="24.16"/>
    <n v="-4.83"/>
    <n v="0"/>
    <n v="0"/>
    <n v="0.47802379325512157"/>
    <n v="1781.1999473013666"/>
    <n v="2900"/>
    <x v="890"/>
    <s v="Любовь Виталий"/>
    <s v="2025 12"/>
    <n v="1118.8000526986334"/>
    <n v="0.62811592510638015"/>
  </r>
  <r>
    <s v="542487551"/>
    <n v="0"/>
    <s v="iHerb_AV CYG0792"/>
    <s v="Доставлен"/>
    <d v="2025-11-12T00:00:00"/>
    <x v="41"/>
    <s v="Витамины"/>
    <s v="SOR-35007"/>
    <x v="10"/>
    <x v="1576"/>
    <n v="24.16"/>
    <n v="-4.83"/>
    <n v="0"/>
    <n v="0"/>
    <n v="0.47802379325512157"/>
    <n v="1781.1999473013666"/>
    <n v="2900"/>
    <x v="890"/>
    <s v="Любовь Виталий"/>
    <s v="2025 12"/>
    <n v="1118.8000526986334"/>
    <n v="0.62811592510638015"/>
  </r>
  <r>
    <s v="542487551"/>
    <n v="0"/>
    <s v="iHerb_AV CYG0792"/>
    <s v="Доставлен"/>
    <d v="2025-11-12T00:00:00"/>
    <x v="41"/>
    <s v="Витамины"/>
    <s v="SOR-08364"/>
    <x v="10"/>
    <x v="1575"/>
    <n v="13.05"/>
    <n v="-2.61"/>
    <n v="0"/>
    <n v="0"/>
    <n v="0.25817736169598915"/>
    <n v="962.01383599722033"/>
    <n v="2000"/>
    <x v="890"/>
    <s v="Любовь Виталий"/>
    <s v="2025 12"/>
    <n v="1037.9861640027798"/>
    <n v="1.0789721781150963"/>
  </r>
  <r>
    <s v="542487551"/>
    <n v="0"/>
    <s v="iHerb_AV CYG0792"/>
    <s v="Доставлен"/>
    <d v="2025-11-12T00:00:00"/>
    <x v="41"/>
    <s v="Витамины"/>
    <s v="SOR-08364"/>
    <x v="10"/>
    <x v="1575"/>
    <n v="13.05"/>
    <n v="-2.61"/>
    <n v="0"/>
    <n v="0"/>
    <n v="0.25817736169598915"/>
    <n v="962.01383599722033"/>
    <n v="2000"/>
    <x v="890"/>
    <s v="Любовь Виталий"/>
    <s v="2025 12"/>
    <n v="1037.9861640027798"/>
    <n v="1.0789721781150963"/>
  </r>
  <r>
    <s v="542487551"/>
    <n v="0"/>
    <s v="iHerb_AV CYG0792"/>
    <s v="Доставлен"/>
    <d v="2025-11-12T00:00:00"/>
    <x v="41"/>
    <s v="Витамины"/>
    <s v="BLB-01178"/>
    <x v="186"/>
    <x v="1588"/>
    <n v="31.6"/>
    <n v="0"/>
    <n v="0"/>
    <n v="0"/>
    <n v="0.78145638214494784"/>
    <n v="2911.8426453555708"/>
    <n v="3600"/>
    <x v="890"/>
    <s v="Любовь Виталий"/>
    <s v="2025 12"/>
    <n v="688.15735464442923"/>
    <n v="0.23633054339047121"/>
  </r>
  <r>
    <s v="542487551"/>
    <n v="0"/>
    <s v="iHerb_AV CYG0792"/>
    <s v="Доставлен"/>
    <d v="2025-11-12T00:00:00"/>
    <x v="41"/>
    <s v="Витамины"/>
    <s v="CLF-07211"/>
    <x v="72"/>
    <x v="1655"/>
    <n v="31.95"/>
    <n v="-6.39"/>
    <n v="0"/>
    <n v="0"/>
    <n v="0.63208940277293879"/>
    <n v="2355.2752536483667"/>
    <n v="3600"/>
    <x v="890"/>
    <s v="Любовь Виталий"/>
    <s v="2025 12"/>
    <n v="1244.7247463516333"/>
    <n v="0.52848377038884553"/>
  </r>
  <r>
    <s v="542487551"/>
    <n v="0"/>
    <s v="iHerb_AV CYG0792"/>
    <s v="Доставлен"/>
    <d v="2025-11-12T00:00:00"/>
    <x v="41"/>
    <s v="Витамины"/>
    <s v="DRB-00087"/>
    <x v="6"/>
    <x v="1769"/>
    <n v="23.89"/>
    <n v="-4.78"/>
    <n v="0"/>
    <n v="0"/>
    <n v="0.47258327413892259"/>
    <n v="1760.9276250868659"/>
    <n v="2900"/>
    <x v="902"/>
    <s v="Оксана Черноморская"/>
    <s v="2025 12"/>
    <n v="1139.0723749131341"/>
    <n v="0.64685927955553779"/>
  </r>
  <r>
    <s v="542487551"/>
    <n v="0"/>
    <s v="iHerb_AV CYG0792"/>
    <s v="Доставлен"/>
    <d v="2025-11-12T00:00:00"/>
    <x v="41"/>
    <s v="Витамины"/>
    <s v="SNS-01425"/>
    <x v="151"/>
    <x v="1735"/>
    <n v="20.8"/>
    <n v="-4.16"/>
    <n v="0"/>
    <n v="0"/>
    <n v="0.41150108224341558"/>
    <n v="1533.3247347695158"/>
    <m/>
    <x v="20"/>
    <m/>
    <s v=""/>
    <n v="-1533.3247347695158"/>
    <s v=""/>
  </r>
  <r>
    <s v="542485232"/>
    <n v="0"/>
    <s v="iHerb_VP DFD1605"/>
    <s v="Доставлен"/>
    <d v="2025-11-12T00:00:00"/>
    <x v="41"/>
    <s v="Витамины"/>
    <s v="NFS-02684"/>
    <x v="23"/>
    <x v="1770"/>
    <n v="32.43"/>
    <n v="-6.49"/>
    <n v="-1.5672710611521781"/>
    <n v="0"/>
    <n v="0.67268990436401976"/>
    <n v="2265.6479968232634"/>
    <n v="4100"/>
    <x v="646"/>
    <s v="Валентина Сычева"/>
    <s v="2025 12"/>
    <n v="1834.3520031767366"/>
    <n v="0.80963680401754357"/>
  </r>
  <r>
    <s v="542485232"/>
    <n v="0"/>
    <s v="iHerb_VP DFD1605"/>
    <s v="Доставлен"/>
    <d v="2025-11-12T00:00:00"/>
    <x v="41"/>
    <s v="Витамины"/>
    <s v="DRB-00125"/>
    <x v="6"/>
    <x v="1771"/>
    <n v="17.38"/>
    <n v="-3.48"/>
    <n v="-0.83982527949172214"/>
    <n v="0"/>
    <n v="0.36046220781263971"/>
    <n v="1214.0519335328975"/>
    <n v="2200"/>
    <x v="646"/>
    <s v="Любовь Виталий"/>
    <s v="2025 12"/>
    <n v="985.94806646710254"/>
    <n v="0.812113583640519"/>
  </r>
  <r>
    <s v="542485232"/>
    <n v="0"/>
    <s v="iHerb_VP DFD1605"/>
    <s v="Доставлен"/>
    <d v="2025-11-12T00:00:00"/>
    <x v="41"/>
    <s v="Витамины"/>
    <s v="NOW-01480"/>
    <x v="3"/>
    <x v="165"/>
    <n v="5.78"/>
    <n v="-1.1599999999999999"/>
    <n v="-0.27913617203250046"/>
    <n v="0"/>
    <n v="0.11980830216506443"/>
    <n v="403.51941963467527"/>
    <m/>
    <x v="20"/>
    <m/>
    <s v=""/>
    <n v="-403.51941963467527"/>
    <s v=""/>
  </r>
  <r>
    <s v="542485232"/>
    <n v="0"/>
    <s v="iHerb_VP DFD1605"/>
    <s v="Доставлен"/>
    <d v="2025-11-12T00:00:00"/>
    <x v="41"/>
    <s v="Витамины"/>
    <s v="CLF-02481"/>
    <x v="72"/>
    <x v="1772"/>
    <n v="27.31"/>
    <n v="-5.46"/>
    <n v="-1.3201570040931028"/>
    <n v="0"/>
    <n v="0.56662584465512078"/>
    <n v="1908.4197660211373"/>
    <n v="3100"/>
    <x v="897"/>
    <s v="Валентина Сычева"/>
    <s v="2025 12"/>
    <n v="1191.5802339788627"/>
    <n v="0.62438057663969138"/>
  </r>
  <r>
    <s v="542485232"/>
    <n v="0"/>
    <s v="iHerb_VP DFD1605"/>
    <s v="Доставлен"/>
    <d v="2025-11-12T00:00:00"/>
    <x v="41"/>
    <s v="Витамины"/>
    <s v="DRB-00087"/>
    <x v="6"/>
    <x v="1769"/>
    <n v="23.89"/>
    <n v="-4.78"/>
    <n v="-1.1546087115889794"/>
    <n v="0"/>
    <n v="0.49557070441003925"/>
    <n v="1669.1030539434296"/>
    <n v="3000"/>
    <x v="890"/>
    <s v="Любовь Виталий"/>
    <s v="2025 12"/>
    <n v="1330.8969460565704"/>
    <n v="0.79737254264330049"/>
  </r>
  <r>
    <s v="542485232"/>
    <n v="0"/>
    <s v="iHerb_VP DFD1605"/>
    <s v="Доставлен"/>
    <d v="2025-11-12T00:00:00"/>
    <x v="41"/>
    <s v="Витамины"/>
    <s v="SOR-89504"/>
    <x v="10"/>
    <x v="1773"/>
    <n v="31.55"/>
    <n v="-6.31"/>
    <n v="-1.5249777017533144"/>
    <n v="0"/>
    <n v="0.65453713130870705"/>
    <n v="2204.5086908180097"/>
    <n v="3350"/>
    <x v="646"/>
    <m/>
    <s v="2025 12"/>
    <n v="1145.4913091819903"/>
    <n v="0.51961297043330867"/>
  </r>
  <r>
    <s v="542485232"/>
    <n v="0"/>
    <s v="iHerb_VP DFD1605"/>
    <s v="Доставлен"/>
    <d v="2025-11-12T00:00:00"/>
    <x v="41"/>
    <s v="Витамины"/>
    <s v="TEO-00757"/>
    <x v="181"/>
    <x v="1716"/>
    <n v="38.75"/>
    <n v="-7.75"/>
    <n v="-1.8729916305211072"/>
    <n v="0"/>
    <n v="0.80390852102099519"/>
    <n v="2707.597837375527"/>
    <m/>
    <x v="20"/>
    <m/>
    <s v=""/>
    <n v="-2707.597837375527"/>
    <s v=""/>
  </r>
  <r>
    <s v="542485232"/>
    <n v="0"/>
    <s v="iHerb_VP DFD1605"/>
    <s v="Доставлен"/>
    <d v="2025-11-12T00:00:00"/>
    <x v="41"/>
    <s v="Витамины"/>
    <s v="NOW-01416"/>
    <x v="3"/>
    <x v="1774"/>
    <n v="27.54"/>
    <n v="-5.51"/>
    <n v="-1.3310324393670965"/>
    <n v="0"/>
    <n v="0.57129370058362983"/>
    <n v="1924.14130185106"/>
    <m/>
    <x v="20"/>
    <m/>
    <s v=""/>
    <n v="-1924.14130185106"/>
    <s v=""/>
  </r>
  <r>
    <s v="542709008"/>
    <n v="0"/>
    <s v="iHerb_VP DFD1605"/>
    <s v="Доставлен"/>
    <d v="2025-11-18T00:00:00"/>
    <x v="41"/>
    <s v="Витамины"/>
    <s v="NCS-67202"/>
    <x v="217"/>
    <x v="1304"/>
    <n v="22.75"/>
    <n v="-4.55"/>
    <n v="-0.93170111287758317"/>
    <n v="-5.4825131068717834E-15"/>
    <n v="0.40982961469960405"/>
    <n v="1597.5838473767878"/>
    <m/>
    <x v="20"/>
    <m/>
    <s v=""/>
    <n v="-1597.5838473767878"/>
    <s v=""/>
  </r>
  <r>
    <s v="542709008"/>
    <n v="0"/>
    <s v="iHerb_VP DFD1605"/>
    <s v="Доставлен"/>
    <d v="2025-11-18T00:00:00"/>
    <x v="41"/>
    <s v="Витамины"/>
    <s v="NCS-67202"/>
    <x v="217"/>
    <x v="1304"/>
    <n v="22.75"/>
    <n v="-4.55"/>
    <n v="-0.93170111287758317"/>
    <n v="-5.4825131068717834E-15"/>
    <n v="0.40982961469960405"/>
    <n v="1597.5838473767878"/>
    <m/>
    <x v="20"/>
    <m/>
    <s v=""/>
    <n v="-1597.5838473767878"/>
    <s v=""/>
  </r>
  <r>
    <s v="542709008"/>
    <n v="0"/>
    <s v="iHerb_VP DFD1605"/>
    <s v="Доставлен"/>
    <d v="2025-11-18T00:00:00"/>
    <x v="41"/>
    <s v="Витамины"/>
    <s v="CGN-02335"/>
    <x v="1"/>
    <x v="1623"/>
    <n v="44.62"/>
    <n v="-13.39"/>
    <n v="-1.5987376788553254"/>
    <n v="-9.4076310070113074E-15"/>
    <n v="0.70324059709168329"/>
    <n v="2741.3485468998397"/>
    <n v="4700"/>
    <x v="889"/>
    <m/>
    <s v="2026 02"/>
    <n v="1958.6514531001603"/>
    <n v="0.71448464855560867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400"/>
    <x v="905"/>
    <s v="Аня Мирный"/>
    <s v="2026 03"/>
    <n v="1071.5695302066777"/>
    <n v="0.80664329415252933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400"/>
    <x v="905"/>
    <s v="Аня Мирный"/>
    <s v="2026 03"/>
    <n v="1071.5695302066777"/>
    <n v="0.80664329415252933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400"/>
    <x v="905"/>
    <s v="Аня Мирный"/>
    <s v="2026 03"/>
    <n v="1071.5695302066777"/>
    <n v="0.80664329415252933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400"/>
    <x v="905"/>
    <s v="Оксана Черноморская"/>
    <s v="2026 03"/>
    <n v="1071.5695302066777"/>
    <n v="0.80664329415252933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500"/>
    <x v="877"/>
    <s v="Анна соседка"/>
    <s v="2026 03"/>
    <n v="1171.5695302066777"/>
    <n v="0.88192009807555138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400"/>
    <x v="877"/>
    <m/>
    <s v="2026 03"/>
    <n v="1071.5695302066777"/>
    <n v="0.80664329415252933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500"/>
    <x v="881"/>
    <m/>
    <s v="2026 03"/>
    <n v="1171.5695302066777"/>
    <n v="0.88192009807555138"/>
  </r>
  <r>
    <s v="542709008"/>
    <n v="0"/>
    <s v="iHerb_VP DFD1605"/>
    <s v="Доставлен"/>
    <d v="2025-11-18T00:00:00"/>
    <x v="41"/>
    <s v="Витамины"/>
    <s v="CGN-01033"/>
    <x v="1"/>
    <x v="1"/>
    <n v="21.62"/>
    <n v="-6.4862500000000001"/>
    <n v="-0.77473251192368819"/>
    <n v="-4.558845205006641E-15"/>
    <n v="0.34078345777253483"/>
    <n v="1328.4304697933223"/>
    <n v="2500"/>
    <x v="894"/>
    <s v="Полина Цветы"/>
    <s v="2026 03"/>
    <n v="1171.5695302066777"/>
    <n v="0.88192009807555138"/>
  </r>
  <r>
    <s v="542932401"/>
    <n v="0"/>
    <s v="iHerb_VP DFD1605"/>
    <s v="Доставлен"/>
    <d v="2025-11-24T00:00:00"/>
    <x v="41"/>
    <s v="Витамины"/>
    <s v="MCL-03069"/>
    <x v="286"/>
    <x v="1775"/>
    <n v="118.33"/>
    <n v="-23.67"/>
    <n v="-4.1747262414631328"/>
    <n v="0"/>
    <n v="2.3295586127161121"/>
    <n v="8382.0065817802988"/>
    <n v="11100"/>
    <x v="872"/>
    <s v="Оксана Черноморская"/>
    <s v="2025 12"/>
    <n v="2717.9934182197012"/>
    <n v="0.32426524504618226"/>
  </r>
  <r>
    <s v="542932401"/>
    <n v="0"/>
    <s v="iHerb_VP DFD1605"/>
    <s v="Доставлен"/>
    <d v="2025-11-24T00:00:00"/>
    <x v="41"/>
    <s v="Витамины"/>
    <s v="FPI-03163"/>
    <x v="297"/>
    <x v="1776"/>
    <n v="65.23"/>
    <n v="-13.05"/>
    <n v="-2.3012594050237301"/>
    <n v="0"/>
    <n v="1.2841365773455182"/>
    <n v="4620.4638013659005"/>
    <n v="6400"/>
    <x v="872"/>
    <s v="Оксана Черноморская"/>
    <s v="2025 12"/>
    <n v="1779.5361986340995"/>
    <n v="0.38514233097292816"/>
  </r>
  <r>
    <s v="542932401"/>
    <n v="0"/>
    <s v="iHerb_VP DFD1605"/>
    <s v="Доставлен"/>
    <d v="2025-11-24T00:00:00"/>
    <x v="41"/>
    <s v="Витамины"/>
    <s v="NFS-02684"/>
    <x v="23"/>
    <x v="1770"/>
    <n v="32.43"/>
    <n v="-6.49"/>
    <n v="-1.144014353513138"/>
    <n v="0"/>
    <n v="0.63837682668345608"/>
    <n v="2296.9496168538021"/>
    <n v="4100"/>
    <x v="798"/>
    <s v="Виктория Башня/Энгельса"/>
    <s v="2026 01"/>
    <n v="1803.0503831461979"/>
    <n v="0.78497602642929876"/>
  </r>
  <r>
    <s v="542921986"/>
    <n v="0"/>
    <s v="iHerb_MH DLE7202"/>
    <s v="Доставлен"/>
    <d v="2025-11-24T00:00:00"/>
    <x v="41"/>
    <s v="Витамины"/>
    <s v="FBS-00016"/>
    <x v="20"/>
    <x v="1626"/>
    <n v="11.42"/>
    <n v="-2.2799999999999998"/>
    <n v="-0.88819558101473017"/>
    <n v="1.3286335116299748E-15"/>
    <n v="0.19768228877576979"/>
    <n v="767.27102495908343"/>
    <n v="1600"/>
    <x v="856"/>
    <s v="Татьяна Бригантина"/>
    <s v="2025 12"/>
    <n v="832.72897504091657"/>
    <n v="1.0853126834619147"/>
  </r>
  <r>
    <s v="542921986"/>
    <n v="0"/>
    <s v="iHerb_MH DLE7202"/>
    <s v="Доставлен"/>
    <d v="2025-11-24T00:00:00"/>
    <x v="41"/>
    <s v="Витамины"/>
    <s v="FSY-77000"/>
    <x v="340"/>
    <x v="1777"/>
    <n v="13.74"/>
    <n v="-2.06"/>
    <n v="-1.135024549918167"/>
    <n v="1.6978598923236438E-15"/>
    <n v="0.25261806705700118"/>
    <n v="980.49513911620295"/>
    <n v="1700"/>
    <x v="646"/>
    <m/>
    <s v="2025 12"/>
    <n v="719.50486088379705"/>
    <n v="0.73381787647855468"/>
  </r>
  <r>
    <s v="542921986"/>
    <n v="0"/>
    <s v="iHerb_MH DLE7202"/>
    <s v="Доставлен"/>
    <d v="2025-11-24T00:00:00"/>
    <x v="41"/>
    <s v="Косметика"/>
    <s v="AUU-73143"/>
    <x v="304"/>
    <x v="1549"/>
    <n v="21.92"/>
    <n v="-10"/>
    <n v="-1.1583469721767596"/>
    <n v="1.7327474243576916E-15"/>
    <n v="0.25780884925680264"/>
    <n v="1000.6422995090018"/>
    <m/>
    <x v="20"/>
    <m/>
    <s v=""/>
    <n v="-1000.6422995090018"/>
    <s v=""/>
  </r>
  <r>
    <s v="542921986"/>
    <n v="0"/>
    <s v="iHerb_MH DLE7202"/>
    <s v="Доставлен"/>
    <d v="2025-11-24T00:00:00"/>
    <x v="41"/>
    <s v="Витамины"/>
    <s v="NFS-02684"/>
    <x v="23"/>
    <x v="1770"/>
    <n v="32.43"/>
    <n v="-6.49"/>
    <n v="-2.5207651391162029"/>
    <n v="3.7707607540132979E-15"/>
    <n v="0.56103704276186728"/>
    <n v="2177.5722524549915"/>
    <n v="4100"/>
    <x v="906"/>
    <s v="Светлана Федоровна"/>
    <s v="2026 01"/>
    <n v="1922.4277475450085"/>
    <n v="0.88283075125413935"/>
  </r>
  <r>
    <s v="542921986"/>
    <n v="0"/>
    <s v="iHerb_MH DLE7202"/>
    <s v="Доставлен"/>
    <d v="2025-11-24T00:00:00"/>
    <x v="41"/>
    <s v="Витамины"/>
    <s v="NFS-04508"/>
    <x v="23"/>
    <x v="296"/>
    <n v="12.8"/>
    <n v="-2.56"/>
    <n v="-0.99509001636661221"/>
    <n v="1.4885347001193591E-15"/>
    <n v="0.22147337385819282"/>
    <n v="859.61217675941077"/>
    <m/>
    <x v="20"/>
    <m/>
    <s v=""/>
    <n v="-859.61217675941077"/>
    <s v=""/>
  </r>
  <r>
    <s v="542921986"/>
    <n v="0"/>
    <s v="iHerb_MH DLE7202"/>
    <s v="Доставлен"/>
    <d v="2025-11-24T00:00:00"/>
    <x v="41"/>
    <s v="Витамины"/>
    <s v="NOW-01283"/>
    <x v="3"/>
    <x v="343"/>
    <n v="17.239999999999998"/>
    <n v="-3.45"/>
    <n v="-1.3400675122749592"/>
    <n v="2.0045794447896443E-15"/>
    <n v="0.2982536938969218"/>
    <n v="1157.6222575695579"/>
    <n v="2400"/>
    <x v="872"/>
    <s v="Наталья магазин"/>
    <s v="2025 12"/>
    <n v="1242.3777424304421"/>
    <n v="1.0732151479523462"/>
  </r>
  <r>
    <s v="542921986"/>
    <n v="0"/>
    <s v="iHerb_MH DLE7202"/>
    <s v="Доставлен"/>
    <d v="2025-11-24T00:00:00"/>
    <x v="41"/>
    <s v="Витамины"/>
    <s v="NOW-01283"/>
    <x v="3"/>
    <x v="343"/>
    <n v="17.239999999999998"/>
    <n v="-3.45"/>
    <n v="-1.3400675122749592"/>
    <n v="2.0045794447896443E-15"/>
    <n v="0.2982536938969218"/>
    <n v="1157.6222575695579"/>
    <n v="2400"/>
    <x v="872"/>
    <s v="Наталья магазин"/>
    <s v="2025 12"/>
    <n v="1242.3777424304421"/>
    <n v="1.0732151479523462"/>
  </r>
  <r>
    <s v="542921986"/>
    <n v="0"/>
    <s v="iHerb_MH DLE7202"/>
    <s v="Доставлен"/>
    <d v="2025-11-24T00:00:00"/>
    <x v="41"/>
    <s v="Витамины"/>
    <s v="SOR-35281"/>
    <x v="10"/>
    <x v="1230"/>
    <n v="11.42"/>
    <n v="-2.2850000000000001"/>
    <n v="-0.88770969721767601"/>
    <n v="1.3279066880459321E-15"/>
    <n v="0.19757414747994059"/>
    <n v="766.85129245090013"/>
    <n v="1800"/>
    <x v="856"/>
    <s v="Татьяна Бригантина"/>
    <s v="2025 12"/>
    <n v="1033.1487075491"/>
    <n v="1.3472608284288057"/>
  </r>
  <r>
    <s v="542921986"/>
    <n v="0"/>
    <s v="iHerb_MH DLE7202"/>
    <s v="Доставлен"/>
    <d v="2025-11-24T00:00:00"/>
    <x v="41"/>
    <s v="Витамины"/>
    <s v="SOR-35281"/>
    <x v="10"/>
    <x v="1230"/>
    <n v="11.42"/>
    <n v="-2.2850000000000001"/>
    <n v="-0.88770969721767601"/>
    <n v="1.3279066880459321E-15"/>
    <n v="0.19757414747994059"/>
    <n v="766.85129245090013"/>
    <n v="1800"/>
    <x v="646"/>
    <s v="Любовь Виталий"/>
    <s v="2025 12"/>
    <n v="1033.1487075491"/>
    <n v="1.3472608284288057"/>
  </r>
  <r>
    <s v="542921986"/>
    <n v="0"/>
    <s v="iHerb_MH DLE7202"/>
    <s v="Доставлен"/>
    <d v="2025-11-24T00:00:00"/>
    <x v="41"/>
    <s v="Витамины"/>
    <s v="CGN-02101"/>
    <x v="1"/>
    <x v="1204"/>
    <n v="91.52"/>
    <n v="-18.3"/>
    <n v="-7.1152823240589207"/>
    <n v="1.064360456472065E-14"/>
    <n v="1.5836211361227424"/>
    <n v="6146.562849836334"/>
    <n v="9300"/>
    <x v="856"/>
    <s v="Лида корма"/>
    <s v="2025 12"/>
    <n v="3153.437150163666"/>
    <n v="0.51304073954887375"/>
  </r>
  <r>
    <s v="542921986"/>
    <n v="0"/>
    <s v="iHerb_MH DLE7202"/>
    <s v="Доставлен"/>
    <d v="2025-11-24T00:00:00"/>
    <x v="41"/>
    <s v="Витамины"/>
    <s v="NOW-02680"/>
    <x v="3"/>
    <x v="714"/>
    <n v="9.41"/>
    <n v="-1.88"/>
    <n v="-0.73174099836333883"/>
    <n v="1.0945963175682396E-15"/>
    <n v="0.16286079151876875"/>
    <n v="632.11715732405889"/>
    <n v="1500"/>
    <x v="872"/>
    <s v="Любовь Виталий"/>
    <s v="2025 12"/>
    <n v="867.88284267594111"/>
    <n v="1.3729778295370891"/>
  </r>
  <r>
    <s v="543059118"/>
    <n v="0"/>
    <s v="iHerb_MH DLE7202"/>
    <s v="Доставлен"/>
    <d v="2025-11-27T00:00:00"/>
    <x v="41"/>
    <s v="Витамины"/>
    <s v="NOW-00475"/>
    <x v="3"/>
    <x v="1778"/>
    <n v="9.41"/>
    <n v="-2.35"/>
    <n v="0"/>
    <n v="0"/>
    <n v="0.16369502093103719"/>
    <n v="649.59245153933864"/>
    <n v="1700"/>
    <x v="907"/>
    <s v="Алина стоматология Лекарь"/>
    <s v="2026 01"/>
    <n v="1050.4075484606615"/>
    <n v="1.6170254841655127"/>
  </r>
  <r>
    <s v="543059118"/>
    <n v="0"/>
    <s v="iHerb_MH DLE7202"/>
    <s v="Доставлен"/>
    <d v="2025-11-27T00:00:00"/>
    <x v="41"/>
    <s v="Витамины"/>
    <s v="SPN-02501"/>
    <x v="1"/>
    <x v="1779"/>
    <n v="11.99"/>
    <n v="-3"/>
    <n v="0"/>
    <n v="0"/>
    <n v="0.20844450965581079"/>
    <n v="827.17225769669324"/>
    <m/>
    <x v="20"/>
    <m/>
    <s v=""/>
    <n v="-827.17225769669324"/>
    <s v=""/>
  </r>
  <r>
    <s v="543059118"/>
    <n v="0"/>
    <s v="iHerb_MH DLE7202"/>
    <s v="Доставлен"/>
    <d v="2025-11-27T00:00:00"/>
    <x v="41"/>
    <s v="Витамины"/>
    <s v="AGE-60921"/>
    <x v="189"/>
    <x v="1780"/>
    <n v="67.19"/>
    <n v="-16.8"/>
    <n v="0"/>
    <n v="0"/>
    <n v="1.1683558221975872"/>
    <n v="4636.3971151653368"/>
    <n v="6600"/>
    <x v="765"/>
    <m/>
    <s v="2025 12"/>
    <n v="1963.6028848346632"/>
    <n v="0.42351913264975793"/>
  </r>
  <r>
    <s v="543059118"/>
    <n v="0"/>
    <s v="iHerb_MH DLE7202"/>
    <s v="Доставлен"/>
    <d v="2025-11-27T00:00:00"/>
    <x v="41"/>
    <s v="Витамины"/>
    <s v="AGE-60921"/>
    <x v="189"/>
    <x v="1780"/>
    <n v="67.19"/>
    <n v="-16.8"/>
    <n v="0"/>
    <n v="0"/>
    <n v="1.1683558221975872"/>
    <n v="4636.3971151653368"/>
    <n v="6600"/>
    <x v="870"/>
    <m/>
    <s v="2025 12"/>
    <n v="1963.6028848346632"/>
    <n v="0.42351913264975793"/>
  </r>
  <r>
    <s v="543059118"/>
    <n v="0"/>
    <s v="iHerb_MH DLE7202"/>
    <s v="Доставлен"/>
    <d v="2025-11-27T00:00:00"/>
    <x v="41"/>
    <s v="Витамины"/>
    <s v="LEX-19456"/>
    <x v="7"/>
    <x v="558"/>
    <n v="10.36"/>
    <n v="-2.59"/>
    <n v="0"/>
    <n v="0"/>
    <n v="0.18015726807849275"/>
    <n v="714.91973774230325"/>
    <n v="1350"/>
    <x v="872"/>
    <s v="Оксана молокозавод"/>
    <s v="2025 12"/>
    <n v="635.08026225769675"/>
    <n v="0.88832386172923783"/>
  </r>
  <r>
    <s v="543059118"/>
    <n v="0"/>
    <s v="iHerb_MH DLE7202"/>
    <s v="Доставлен"/>
    <d v="2025-11-27T00:00:00"/>
    <x v="41"/>
    <s v="Витамины"/>
    <s v="LEX-19456"/>
    <x v="7"/>
    <x v="558"/>
    <n v="10.36"/>
    <n v="-2.59"/>
    <n v="0"/>
    <n v="0"/>
    <n v="0.18015726807849275"/>
    <n v="714.91973774230325"/>
    <n v="1350"/>
    <x v="872"/>
    <s v="Оксана молокозавод"/>
    <s v="2025 12"/>
    <n v="635.08026225769675"/>
    <n v="0.88832386172923783"/>
  </r>
  <r>
    <s v="543059118"/>
    <n v="0"/>
    <s v="iHerb_MH DLE7202"/>
    <s v="Доставлен"/>
    <d v="2025-11-27T00:00:00"/>
    <x v="41"/>
    <s v="Витамины"/>
    <s v="SMF-64100"/>
    <x v="140"/>
    <x v="1781"/>
    <n v="20.65"/>
    <n v="-5.16"/>
    <n v="0"/>
    <n v="0"/>
    <n v="0.35915522297758723"/>
    <n v="1425.2389623717215"/>
    <n v="2400"/>
    <x v="765"/>
    <s v="Надежда Sumbucol"/>
    <s v="2025 12"/>
    <n v="974.76103762827847"/>
    <n v="0.68392814353474551"/>
  </r>
  <r>
    <s v="543059118"/>
    <n v="0"/>
    <s v="iHerb_MH DLE7202"/>
    <s v="Доставлен"/>
    <d v="2025-11-27T00:00:00"/>
    <x v="41"/>
    <s v="Витамины"/>
    <s v="SMS-55694"/>
    <x v="140"/>
    <x v="509"/>
    <n v="12.92"/>
    <n v="-3.23"/>
    <n v="0"/>
    <n v="0"/>
    <n v="0.22467489416738673"/>
    <n v="891.57944127708095"/>
    <n v="1800"/>
    <x v="804"/>
    <m/>
    <s v="2026 01"/>
    <n v="908.42055872291905"/>
    <n v="1.0188890823028796"/>
  </r>
  <r>
    <s v="543059118"/>
    <n v="0"/>
    <s v="iHerb_MH DLE7202"/>
    <s v="Доставлен"/>
    <d v="2025-11-27T00:00:00"/>
    <x v="41"/>
    <s v="Витамины"/>
    <s v="NOW-03878"/>
    <x v="3"/>
    <x v="287"/>
    <n v="21.74"/>
    <n v="-5.44"/>
    <n v="0"/>
    <n v="0"/>
    <n v="0.37793609648383936"/>
    <n v="1499.7672748004559"/>
    <n v="3100"/>
    <x v="765"/>
    <s v="Михаил Икра Кофе"/>
    <s v="2025 12"/>
    <n v="1600.2327251995441"/>
    <n v="1.0669873600305455"/>
  </r>
  <r>
    <s v="543059118"/>
    <n v="0"/>
    <s v="iHerb_MH DLE7202"/>
    <s v="Доставлен"/>
    <d v="2025-11-27T00:00:00"/>
    <x v="41"/>
    <s v="Витамины"/>
    <s v="NOW-03770"/>
    <x v="3"/>
    <x v="281"/>
    <n v="13.76"/>
    <n v="-3.44"/>
    <n v="0"/>
    <n v="0"/>
    <n v="0.23928224022780506"/>
    <n v="949.54590649942986"/>
    <n v="2200"/>
    <x v="877"/>
    <m/>
    <s v="2026 03"/>
    <n v="1250.4540935005703"/>
    <n v="1.3168969345678718"/>
  </r>
  <r>
    <s v="542930163"/>
    <n v="0"/>
    <s v="iHerb_OA CZN6870"/>
    <s v="Доставлен"/>
    <d v="2025-11-24T00:00:00"/>
    <x v="41"/>
    <s v="Витамины"/>
    <s v="LEX-17219"/>
    <x v="7"/>
    <x v="1782"/>
    <n v="25.2"/>
    <n v="-5.04"/>
    <n v="0"/>
    <n v="-3.4273337846449614E-15"/>
    <n v="0.51498226502151334"/>
    <n v="1859.0467185069981"/>
    <n v="2800"/>
    <x v="872"/>
    <s v="Оксана Черноморская"/>
    <s v="2025 12"/>
    <n v="940.9532814930019"/>
    <n v="0.5061482705763749"/>
  </r>
  <r>
    <s v="542930163"/>
    <n v="0"/>
    <s v="iHerb_OA CZN6870"/>
    <s v="Доставлен"/>
    <d v="2025-11-24T00:00:00"/>
    <x v="41"/>
    <s v="Витамины"/>
    <s v="MCL-01799"/>
    <x v="286"/>
    <x v="1783"/>
    <n v="39.770000000000003"/>
    <n v="-7.95"/>
    <n v="0"/>
    <n v="-5.4096111620735459E-15"/>
    <n v="0.81283411076312284"/>
    <n v="2934.2691757387247"/>
    <n v="4100"/>
    <x v="872"/>
    <s v="Оксана Черноморская"/>
    <s v="2025 12"/>
    <n v="1165.7308242612753"/>
    <n v="0.39728148797657381"/>
  </r>
  <r>
    <s v="542930163"/>
    <n v="0"/>
    <s v="iHerb_OA CZN6870"/>
    <s v="Доставлен"/>
    <d v="2025-11-24T00:00:00"/>
    <x v="41"/>
    <s v="Витамины"/>
    <s v="MCL-03307"/>
    <x v="286"/>
    <x v="1691"/>
    <n v="44.02"/>
    <n v="-8.8000000000000007"/>
    <n v="0"/>
    <n v="-5.9876337249600962E-15"/>
    <n v="0.89968627847508431"/>
    <n v="3247.798880248833"/>
    <n v="4450"/>
    <x v="872"/>
    <s v="Оксана Черноморская"/>
    <s v="2025 12"/>
    <n v="1202.201119751167"/>
    <n v="0.37015873336930866"/>
  </r>
  <r>
    <s v="542930163"/>
    <n v="0"/>
    <s v="iHerb_OA CZN6870"/>
    <s v="Доставлен"/>
    <d v="2025-11-24T00:00:00"/>
    <x v="41"/>
    <s v="Витамины"/>
    <s v="MCL-21350"/>
    <x v="286"/>
    <x v="1784"/>
    <n v="39.770000000000003"/>
    <n v="-7.95"/>
    <n v="0"/>
    <n v="-5.4096111620735459E-15"/>
    <n v="0.81283411076312284"/>
    <n v="2934.2691757387247"/>
    <n v="4100"/>
    <x v="872"/>
    <s v="Оксана Черноморская"/>
    <s v="2025 12"/>
    <n v="1165.7308242612753"/>
    <n v="0.39728148797657381"/>
  </r>
  <r>
    <s v="542930163"/>
    <n v="0"/>
    <s v="iHerb_OA CZN6870"/>
    <s v="Доставлен"/>
    <d v="2025-11-24T00:00:00"/>
    <x v="41"/>
    <s v="Витамины"/>
    <s v="NRT-00526"/>
    <x v="27"/>
    <x v="1785"/>
    <n v="27.21"/>
    <n v="-5.44"/>
    <n v="0"/>
    <n v="-3.701044468835358E-15"/>
    <n v="0.55610932090864817"/>
    <n v="2007.512255054432"/>
    <n v="2950"/>
    <x v="872"/>
    <s v="Оксана Черноморская"/>
    <s v="2025 12"/>
    <n v="942.48774494556801"/>
    <n v="0.46948044405338551"/>
  </r>
  <r>
    <s v="542930163"/>
    <n v="0"/>
    <s v="iHerb_OA CZN6870"/>
    <s v="Доставлен"/>
    <d v="2025-11-24T00:00:00"/>
    <x v="41"/>
    <s v="Витамины"/>
    <s v="MCL-01846"/>
    <x v="286"/>
    <x v="1786"/>
    <n v="32.99"/>
    <n v="-6.6"/>
    <n v="0"/>
    <n v="-4.4864751278164949E-15"/>
    <n v="0.67412608997607826"/>
    <n v="2433.5437947122859"/>
    <n v="3500"/>
    <x v="872"/>
    <s v="Оксана Черноморская"/>
    <s v="2025 12"/>
    <n v="1066.4562052877141"/>
    <n v="0.43823177031165755"/>
  </r>
  <r>
    <s v="OZO0174"/>
    <n v="0"/>
    <s v="OZON_OA"/>
    <s v="Доставлен"/>
    <d v="2025-11-23T00:00:00"/>
    <x v="41"/>
    <s v="Спортпит"/>
    <s v="892721541"/>
    <x v="162"/>
    <x v="618"/>
    <n v="804"/>
    <n v="0"/>
    <n v="0"/>
    <n v="0"/>
    <n v="0"/>
    <n v="804"/>
    <n v="2000"/>
    <x v="836"/>
    <s v="Евгения"/>
    <s v="2025 12"/>
    <n v="1196"/>
    <n v="1.4875621890547264"/>
  </r>
  <r>
    <s v="OZO0174"/>
    <n v="0"/>
    <s v="OZON_OA"/>
    <s v="Доставлен"/>
    <d v="2025-11-23T00:00:00"/>
    <x v="41"/>
    <s v="Спортпит"/>
    <s v="892721541"/>
    <x v="162"/>
    <x v="618"/>
    <n v="804"/>
    <n v="0"/>
    <n v="0"/>
    <n v="0"/>
    <n v="0"/>
    <n v="804"/>
    <n v="2000"/>
    <x v="836"/>
    <s v="Виктория Бахчиванджи"/>
    <s v="2025 12"/>
    <n v="1196"/>
    <n v="1.4875621890547264"/>
  </r>
  <r>
    <s v="OZO0174"/>
    <n v="0"/>
    <s v="OZON_OA"/>
    <s v="Доставлен"/>
    <d v="2025-11-23T00:00:00"/>
    <x v="41"/>
    <s v="Спортпит"/>
    <s v="892721541"/>
    <x v="162"/>
    <x v="618"/>
    <n v="804"/>
    <n v="0"/>
    <n v="0"/>
    <n v="0"/>
    <n v="0"/>
    <n v="804"/>
    <n v="2000"/>
    <x v="836"/>
    <s v="Виктория Бахчиванджи"/>
    <s v="2025 12"/>
    <n v="1196"/>
    <n v="1.4875621890547264"/>
  </r>
  <r>
    <s v="716136424"/>
    <n v="0"/>
    <s v="CoralClub_OA"/>
    <s v="Доставлен"/>
    <d v="2025-03-15T00:00:00"/>
    <x v="33"/>
    <s v="Витамины"/>
    <s v="000002200"/>
    <x v="79"/>
    <x v="884"/>
    <n v="2058"/>
    <n v="0"/>
    <n v="0"/>
    <n v="0"/>
    <n v="0"/>
    <n v="2058"/>
    <m/>
    <x v="20"/>
    <m/>
    <s v=""/>
    <n v="-2058"/>
    <s v=""/>
  </r>
  <r>
    <s v="543135129"/>
    <n v="0"/>
    <s v="iHerb_VP DFD1605"/>
    <s v="Доставлен"/>
    <d v="2025-11-28T00:00:00"/>
    <x v="41"/>
    <s v="Витамины"/>
    <s v="NOW-01662"/>
    <x v="3"/>
    <x v="122"/>
    <n v="40.090000000000003"/>
    <n v="-10.02"/>
    <n v="0"/>
    <n v="-4.4360054114618943E-15"/>
    <n v="0.66633542867332252"/>
    <n v="2764.5998396138275"/>
    <n v="4500"/>
    <x v="650"/>
    <s v="Аня Мирный"/>
    <s v="2026 01"/>
    <n v="1735.4001603861725"/>
    <n v="0.62772200718516336"/>
  </r>
  <r>
    <s v="543135129"/>
    <n v="0"/>
    <s v="iHerb_VP DFD1605"/>
    <s v="Доставлен"/>
    <d v="2025-11-28T00:00:00"/>
    <x v="41"/>
    <s v="Витамины"/>
    <s v="CGN-00963"/>
    <x v="1"/>
    <x v="1787"/>
    <n v="10.91"/>
    <n v="-2.73"/>
    <n v="0"/>
    <n v="-1.2067350936401159E-15"/>
    <n v="0.18126450969563609"/>
    <n v="752.05941762690736"/>
    <n v="1700"/>
    <x v="908"/>
    <m/>
    <s v="2026 01"/>
    <n v="947.94058237309264"/>
    <n v="1.2604596926188096"/>
  </r>
  <r>
    <s v="543135129"/>
    <n v="0"/>
    <s v="iHerb_VP DFD1605"/>
    <s v="Доставлен"/>
    <d v="2025-11-28T00:00:00"/>
    <x v="41"/>
    <s v="Витамины"/>
    <s v="CGN-00963"/>
    <x v="1"/>
    <x v="1787"/>
    <n v="10.91"/>
    <n v="-2.73"/>
    <n v="0"/>
    <n v="-1.2067350936401159E-15"/>
    <n v="0.18126450969563609"/>
    <n v="752.05941762690736"/>
    <m/>
    <x v="20"/>
    <m/>
    <s v=""/>
    <n v="-752.05941762690736"/>
    <s v=""/>
  </r>
  <r>
    <s v="543135129"/>
    <n v="0"/>
    <s v="iHerb_VP DFD1605"/>
    <s v="Доставлен"/>
    <d v="2025-11-28T00:00:00"/>
    <x v="41"/>
    <s v="Витамины"/>
    <s v="PAR-77871"/>
    <x v="44"/>
    <x v="1598"/>
    <n v="15.08"/>
    <n v="-3.77"/>
    <n v="0"/>
    <n v="-1.6684809179791824E-15"/>
    <n v="0.25062366805105674"/>
    <n v="1039.8278744939271"/>
    <n v="1900"/>
    <x v="739"/>
    <s v="Надежда Витамины"/>
    <s v="2026 01"/>
    <n v="860.17212550607292"/>
    <n v="0.82722549241595333"/>
  </r>
  <r>
    <s v="543135129"/>
    <n v="0"/>
    <s v="iHerb_VP DFD1605"/>
    <s v="Доставлен"/>
    <d v="2025-11-28T00:00:00"/>
    <x v="41"/>
    <s v="Витамины"/>
    <s v="PAR-77891"/>
    <x v="44"/>
    <x v="1619"/>
    <n v="12.06"/>
    <n v="-3.02"/>
    <n v="0"/>
    <n v="-1.3336045533626711E-15"/>
    <n v="0.20032165863674214"/>
    <n v="831.12678916225479"/>
    <n v="1800"/>
    <x v="739"/>
    <s v="Надежда Витамины"/>
    <s v="2026 01"/>
    <n v="968.87321083774521"/>
    <n v="1.1657345467282239"/>
  </r>
  <r>
    <s v="543135129"/>
    <n v="0"/>
    <s v="iHerb_VP DFD1605"/>
    <s v="Доставлен"/>
    <d v="2025-11-28T00:00:00"/>
    <x v="41"/>
    <s v="Витамины"/>
    <s v="DRB-00316"/>
    <x v="6"/>
    <x v="1788"/>
    <n v="12.87"/>
    <n v="-3.22"/>
    <n v="0"/>
    <n v="-1.4235933561891342E-15"/>
    <n v="0.21383893869961959"/>
    <n v="887.20945966988461"/>
    <n v="1800"/>
    <x v="536"/>
    <s v="Любовь Виталий"/>
    <s v="2026 01"/>
    <n v="912.79054033011539"/>
    <n v="1.0288331919609481"/>
  </r>
  <r>
    <s v="543135129"/>
    <n v="0"/>
    <s v="iHerb_VP DFD1605"/>
    <s v="Доставлен"/>
    <d v="2025-11-28T00:00:00"/>
    <x v="41"/>
    <s v="Витамины"/>
    <s v="DRB-00316"/>
    <x v="6"/>
    <x v="1788"/>
    <n v="12.87"/>
    <n v="-3.22"/>
    <n v="0"/>
    <n v="-1.4235933561891342E-15"/>
    <n v="0.21383893869961959"/>
    <n v="887.20945966988461"/>
    <n v="1800"/>
    <x v="536"/>
    <s v="Светлана от Надежды"/>
    <s v="2026 01"/>
    <n v="912.79054033011539"/>
    <n v="1.0288331919609481"/>
  </r>
  <r>
    <s v="543135129"/>
    <n v="0"/>
    <s v="iHerb_VP DFD1605"/>
    <s v="Доставлен"/>
    <d v="2025-11-28T00:00:00"/>
    <x v="41"/>
    <s v="Витамины"/>
    <s v="NOW-01482"/>
    <x v="3"/>
    <x v="30"/>
    <n v="13.03"/>
    <n v="-3.26"/>
    <n v="0"/>
    <n v="-1.4412960714992582E-15"/>
    <n v="0.21649807576116925"/>
    <n v="898.24211616318894"/>
    <n v="1800"/>
    <x v="536"/>
    <s v="Светлана от Надежды"/>
    <s v="2026 01"/>
    <n v="901.75788383681106"/>
    <n v="1.0039140534721747"/>
  </r>
  <r>
    <s v="543135129"/>
    <n v="0"/>
    <s v="iHerb_VP DFD1605"/>
    <s v="Доставлен"/>
    <d v="2025-11-28T00:00:00"/>
    <x v="41"/>
    <s v="Витамины"/>
    <s v="CLF-06416"/>
    <x v="72"/>
    <x v="1677"/>
    <n v="48.2"/>
    <n v="-12.05"/>
    <n v="0"/>
    <n v="-5.3329429871748411E-15"/>
    <n v="0.80106503979183941"/>
    <n v="3323.5877686079102"/>
    <n v="4900"/>
    <x v="739"/>
    <s v="Надежда Витамины"/>
    <s v="2026 01"/>
    <n v="1576.4122313920898"/>
    <n v="0.47431039621751059"/>
  </r>
  <r>
    <s v="543135129"/>
    <n v="0"/>
    <s v="iHerb_VP DFD1605"/>
    <s v="Доставлен"/>
    <d v="2025-11-28T00:00:00"/>
    <x v="41"/>
    <s v="Витамины"/>
    <s v="NOW-03153"/>
    <x v="3"/>
    <x v="1789"/>
    <n v="14.48"/>
    <n v="0"/>
    <n v="0"/>
    <n v="-2.1361276474216234E-15"/>
    <n v="0.32086920542699393"/>
    <n v="1331.2738835253815"/>
    <n v="1800"/>
    <x v="739"/>
    <s v="Виталий Черемушки"/>
    <s v="2026 01"/>
    <n v="468.72611647461849"/>
    <n v="0.35208841867563156"/>
  </r>
  <r>
    <s v="543135129"/>
    <n v="0"/>
    <s v="iHerb_VP DFD1605"/>
    <s v="Доставлен"/>
    <d v="2025-11-28T00:00:00"/>
    <x v="41"/>
    <s v="Витамины"/>
    <s v="NCS-67319"/>
    <x v="217"/>
    <x v="1537"/>
    <n v="24.86"/>
    <n v="-6.22"/>
    <n v="0"/>
    <n v="-2.749821778172587E-15"/>
    <n v="0.41305262356071604"/>
    <n v="1713.7393086265959"/>
    <n v="2900"/>
    <x v="739"/>
    <s v="Виталий Черемушки"/>
    <s v="2026 01"/>
    <n v="1186.2606913734041"/>
    <n v="0.69220603472303077"/>
  </r>
  <r>
    <s v="543135129"/>
    <n v="0"/>
    <s v="iHerb_VP DFD1605"/>
    <s v="Доставлен"/>
    <d v="2025-11-28T00:00:00"/>
    <x v="41"/>
    <s v="Витамины"/>
    <s v="SOR-59912"/>
    <x v="10"/>
    <x v="1790"/>
    <n v="27.14"/>
    <n v="-6.79"/>
    <n v="0"/>
    <n v="-3.0020854713418534E-15"/>
    <n v="0.45094532668779891"/>
    <n v="1870.9546636561818"/>
    <n v="3000"/>
    <x v="739"/>
    <s v="Виталий Черемушки"/>
    <s v="2026 01"/>
    <n v="1129.0453363438182"/>
    <n v="0.60345948422793994"/>
  </r>
  <r>
    <s v="543135129"/>
    <n v="0"/>
    <s v="iHerb_VP DFD1605"/>
    <s v="Доставлен"/>
    <d v="2025-11-28T00:00:00"/>
    <x v="41"/>
    <s v="Витамины"/>
    <s v="NAP-29950"/>
    <x v="11"/>
    <x v="1791"/>
    <n v="9.59"/>
    <n v="-2.4"/>
    <n v="0"/>
    <n v="-1.0606876923315933E-15"/>
    <n v="0.15932662893785129"/>
    <n v="661.04000155714721"/>
    <m/>
    <x v="20"/>
    <m/>
    <s v=""/>
    <n v="-661.04000155714721"/>
    <s v=""/>
  </r>
  <r>
    <s v="OZA0517"/>
    <n v="0"/>
    <s v="OZON_AV"/>
    <s v="Доставлен"/>
    <d v="2025-10-29T00:00:00"/>
    <x v="40"/>
    <s v="Спортпит"/>
    <s v="VPB-54130"/>
    <x v="81"/>
    <x v="245"/>
    <n v="1412"/>
    <m/>
    <n v="0"/>
    <n v="0"/>
    <n v="0"/>
    <n v="1412"/>
    <n v="2200"/>
    <x v="836"/>
    <m/>
    <s v="2025 12"/>
    <n v="788"/>
    <n v="0.55807365439093481"/>
  </r>
  <r>
    <s v="OZA0517"/>
    <n v="0"/>
    <s v="OZON_AV"/>
    <s v="Доставлен"/>
    <d v="2025-10-29T00:00:00"/>
    <x v="40"/>
    <s v="Спортпит"/>
    <s v="VPB-54130"/>
    <x v="81"/>
    <x v="245"/>
    <n v="1412"/>
    <m/>
    <n v="0"/>
    <n v="0"/>
    <n v="0"/>
    <n v="1412"/>
    <n v="2200"/>
    <x v="836"/>
    <m/>
    <s v="2025 12"/>
    <n v="788"/>
    <n v="0.55807365439093481"/>
  </r>
  <r>
    <s v="543368851"/>
    <n v="0"/>
    <s v="iHerb_VP DFD1605"/>
    <s v="Доставлен"/>
    <d v="2025-12-02T00:00:00"/>
    <x v="42"/>
    <s v="Витамины"/>
    <s v="NAP-29982"/>
    <x v="11"/>
    <x v="393"/>
    <n v="29.68"/>
    <n v="-7.42"/>
    <n v="0"/>
    <n v="-3.4462754761999837E-15"/>
    <n v="0.52693146064091045"/>
    <n v="2013.5514718378902"/>
    <n v="3500"/>
    <x v="804"/>
    <m/>
    <s v="2026 01"/>
    <n v="1486.4485281621098"/>
    <n v="0.7382222649641722"/>
  </r>
  <r>
    <s v="543368851"/>
    <n v="0"/>
    <s v="iHerb_VP DFD1605"/>
    <s v="Доставлен"/>
    <d v="2025-12-02T00:00:00"/>
    <x v="42"/>
    <s v="Витамины"/>
    <s v="NFS-02684"/>
    <x v="23"/>
    <x v="1770"/>
    <n v="32.43"/>
    <n v="-8.11"/>
    <n v="0"/>
    <n v="-3.7652030359920762E-15"/>
    <n v="0.57569510884038377"/>
    <n v="2199.8909162218106"/>
    <n v="4200"/>
    <x v="791"/>
    <s v="Надежда Sumbucol"/>
    <s v="2026 02"/>
    <n v="2000.1090837781894"/>
    <n v="0.90918557326163463"/>
  </r>
  <r>
    <s v="543368851"/>
    <n v="0"/>
    <s v="iHerb_VP DFD1605"/>
    <s v="Доставлен"/>
    <d v="2025-12-02T00:00:00"/>
    <x v="42"/>
    <s v="Витамины"/>
    <s v="NOW-01662"/>
    <x v="3"/>
    <x v="122"/>
    <n v="40.090000000000003"/>
    <n v="-10.025"/>
    <n v="0"/>
    <n v="-4.6546393617229349E-15"/>
    <n v="0.71168887529959468"/>
    <n v="2719.5608715546355"/>
    <n v="4500"/>
    <x v="901"/>
    <s v="Валерий Фагот"/>
    <s v="2026 02"/>
    <n v="1780.4391284453645"/>
    <n v="0.65467890315232302"/>
  </r>
  <r>
    <s v="543368851"/>
    <n v="0"/>
    <s v="iHerb_VP DFD1605"/>
    <s v="Доставлен"/>
    <d v="2025-12-02T00:00:00"/>
    <x v="42"/>
    <s v="Витамины"/>
    <s v="NOW-01662"/>
    <x v="3"/>
    <x v="122"/>
    <n v="40.090000000000003"/>
    <n v="-10.025"/>
    <n v="0"/>
    <n v="-4.6546393617229349E-15"/>
    <n v="0.71168887529959468"/>
    <n v="2719.5608715546355"/>
    <n v="4400"/>
    <x v="861"/>
    <m/>
    <s v="2026 02"/>
    <n v="1680.4391284453645"/>
    <n v="0.61790826086004924"/>
  </r>
  <r>
    <s v="543368851"/>
    <n v="0"/>
    <s v="iHerb_VP DFD1605"/>
    <s v="Доставлен"/>
    <d v="2025-12-02T00:00:00"/>
    <x v="42"/>
    <s v="Витамины"/>
    <s v="NOW-01661"/>
    <x v="3"/>
    <x v="1136"/>
    <n v="20.28"/>
    <n v="-5.07"/>
    <n v="0"/>
    <n v="-2.3548000895328732E-15"/>
    <n v="0.36004615976407228"/>
    <n v="1375.8363830482622"/>
    <n v="2500"/>
    <x v="899"/>
    <m/>
    <s v="2026 04"/>
    <n v="1124.1636169517378"/>
    <n v="0.81707652944972597"/>
  </r>
  <r>
    <s v="543368851"/>
    <n v="0"/>
    <s v="iHerb_VP DFD1605"/>
    <s v="Доставлен"/>
    <d v="2025-12-02T00:00:00"/>
    <x v="42"/>
    <s v="Витамины"/>
    <s v="CGN-01033"/>
    <x v="1"/>
    <x v="1"/>
    <n v="21.62"/>
    <n v="-5.4050000000000002"/>
    <n v="0"/>
    <n v="-2.5103933893343548E-15"/>
    <n v="0.38383619201672786"/>
    <n v="1466.744704216145"/>
    <n v="2450"/>
    <x v="885"/>
    <s v="Аня Мирный"/>
    <s v="2026 04"/>
    <n v="983.25529578385499"/>
    <n v="0.67036566960664401"/>
  </r>
  <r>
    <s v="543368851"/>
    <n v="0"/>
    <s v="iHerb_VP DFD1605"/>
    <s v="Доставлен"/>
    <d v="2025-12-02T00:00:00"/>
    <x v="42"/>
    <s v="Витамины"/>
    <s v="CGN-01033"/>
    <x v="1"/>
    <x v="1"/>
    <n v="21.62"/>
    <n v="-5.4050000000000002"/>
    <n v="0"/>
    <n v="-2.5103933893343548E-15"/>
    <n v="0.38383619201672786"/>
    <n v="1466.744704216145"/>
    <n v="2450"/>
    <x v="885"/>
    <s v="Аня Мирный"/>
    <s v="2026 04"/>
    <n v="983.25529578385499"/>
    <n v="0.67036566960664401"/>
  </r>
  <r>
    <s v="543368851"/>
    <n v="0"/>
    <s v="iHerb_VP DFD1605"/>
    <s v="Доставлен"/>
    <d v="2025-12-02T00:00:00"/>
    <x v="42"/>
    <s v="Витамины"/>
    <s v="NOW-01283"/>
    <x v="3"/>
    <x v="343"/>
    <n v="17.239999999999998"/>
    <n v="-4.3099999999999996"/>
    <n v="0"/>
    <n v="-2.001812304908616E-15"/>
    <n v="0.30607474331028622"/>
    <n v="1169.5966096524674"/>
    <n v="2400"/>
    <x v="771"/>
    <s v="Олеся"/>
    <s v="2026 02"/>
    <n v="1230.4033903475326"/>
    <n v="1.0519895322825306"/>
  </r>
  <r>
    <s v="543368851"/>
    <n v="0"/>
    <s v="iHerb_VP DFD1605"/>
    <s v="Доставлен"/>
    <d v="2025-12-02T00:00:00"/>
    <x v="42"/>
    <s v="Витамины"/>
    <s v="NOW-03340"/>
    <x v="3"/>
    <x v="1475"/>
    <n v="21.74"/>
    <n v="-5.44"/>
    <n v="0"/>
    <n v="-2.5235530216558727E-15"/>
    <n v="0.38584828429680318"/>
    <n v="1474.4334676980056"/>
    <n v="2800"/>
    <x v="739"/>
    <s v="Юлия рынок на Нептуне"/>
    <s v="2026 01"/>
    <n v="1325.5665323019944"/>
    <n v="0.89903448432404798"/>
  </r>
  <r>
    <s v="543365028"/>
    <n v="0"/>
    <s v="iHerb_MH DLE7202"/>
    <s v="Доставлен"/>
    <d v="2025-12-02T00:00:00"/>
    <x v="42"/>
    <s v="Витамины"/>
    <s v="NOW-01662"/>
    <x v="3"/>
    <x v="122"/>
    <n v="40.090000000000003"/>
    <n v="-10.02"/>
    <n v="-1.1565384615384615"/>
    <n v="-4.3653120981318239E-15"/>
    <n v="0.66509574874811861"/>
    <n v="2622.9447558484017"/>
    <n v="4400"/>
    <x v="887"/>
    <s v="Михаил Икра Кофе"/>
    <s v="2026 04"/>
    <n v="1777.0552441515983"/>
    <n v="0.67750387810848234"/>
  </r>
  <r>
    <s v="543365028"/>
    <n v="0"/>
    <s v="iHerb_MH DLE7202"/>
    <s v="Доставлен"/>
    <d v="2025-12-02T00:00:00"/>
    <x v="42"/>
    <s v="Витамины"/>
    <s v="NOW-00102"/>
    <x v="3"/>
    <x v="1792"/>
    <n v="15.72"/>
    <n v="-3.93"/>
    <n v="-0.45346153846153847"/>
    <n v="-1.711573981941277E-15"/>
    <n v="0.26077415622681471"/>
    <n v="1028.4176478700581"/>
    <n v="2000"/>
    <x v="739"/>
    <s v="Татьяна Бригантина"/>
    <s v="2026 01"/>
    <n v="971.58235212994191"/>
    <n v="0.94473519988904608"/>
  </r>
  <r>
    <s v="543365028"/>
    <n v="0"/>
    <s v="iHerb_MH DLE7202"/>
    <s v="Доставлен"/>
    <d v="2025-12-02T00:00:00"/>
    <x v="42"/>
    <s v="Витамины"/>
    <s v="LEX-23151"/>
    <x v="7"/>
    <x v="17"/>
    <n v="20.07"/>
    <n v="-5.0199999999999996"/>
    <n v="-0.57884615384615379"/>
    <n v="-2.1848336241065493E-15"/>
    <n v="0.33287964810971682"/>
    <n v="1312.7807973235265"/>
    <n v="2600"/>
    <x v="739"/>
    <s v="Полина Цветы"/>
    <s v="2026 01"/>
    <n v="1287.2192026764735"/>
    <n v="0.98052866502986069"/>
  </r>
  <r>
    <s v="543365028"/>
    <n v="0"/>
    <s v="iHerb_MH DLE7202"/>
    <s v="Доставлен"/>
    <d v="2025-12-02T00:00:00"/>
    <x v="42"/>
    <s v="Витамины"/>
    <s v="NOW-03803"/>
    <x v="3"/>
    <x v="1793"/>
    <n v="42.83"/>
    <n v="-10.71"/>
    <n v="-1.2353846153846151"/>
    <n v="-4.6629140203523163E-15"/>
    <n v="0.71043815928798015"/>
    <n v="2801.762073756257"/>
    <n v="5100"/>
    <x v="768"/>
    <s v="Михаил Икра Кофе"/>
    <s v="2026 04"/>
    <n v="2298.237926243743"/>
    <n v="0.820283045363145"/>
  </r>
  <r>
    <s v="543365028"/>
    <n v="0"/>
    <s v="iHerb_MH DLE7202"/>
    <s v="Доставлен"/>
    <d v="2025-12-02T00:00:00"/>
    <x v="42"/>
    <s v="Витамины"/>
    <s v="NOW-03878"/>
    <x v="3"/>
    <x v="287"/>
    <n v="21.74"/>
    <n v="-5.44"/>
    <n v="-0.62692307692307669"/>
    <n v="-2.3662982108263619E-15"/>
    <n v="0.36052745941451048"/>
    <n v="1421.8157472673406"/>
    <n v="3000"/>
    <x v="903"/>
    <s v="Виктория Башня/Энгельса"/>
    <s v="2026 02"/>
    <n v="1578.1842527326594"/>
    <n v="1.1099780374256307"/>
  </r>
  <r>
    <s v="543365028"/>
    <n v="0"/>
    <s v="iHerb_MH DLE7202"/>
    <s v="Доставлен"/>
    <d v="2025-12-02T00:00:00"/>
    <x v="42"/>
    <s v="Витамины"/>
    <s v="CGN-00856"/>
    <x v="1"/>
    <x v="1794"/>
    <n v="19.809999999999999"/>
    <n v="-4.95"/>
    <n v="-0.57153846153846144"/>
    <n v="-2.1572510069251376E-15"/>
    <n v="0.32867718079138808"/>
    <n v="1296.2074849320666"/>
    <n v="2200"/>
    <x v="909"/>
    <m/>
    <s v="2026 03"/>
    <n v="903.79251506793344"/>
    <n v="0.69725913912254611"/>
  </r>
  <r>
    <s v="543365028"/>
    <n v="0"/>
    <s v="iHerb_MH DLE7202"/>
    <s v="Доставлен"/>
    <d v="2025-12-02T00:00:00"/>
    <x v="42"/>
    <s v="Витамины"/>
    <s v="AGE-60903"/>
    <x v="189"/>
    <x v="1795"/>
    <n v="100.79"/>
    <n v="-25.2"/>
    <n v="-2.9073076923076924"/>
    <n v="-1.0973526488120536E-14"/>
    <n v="1.6719184452234879"/>
    <n v="6593.5614930023485"/>
    <n v="9600"/>
    <x v="739"/>
    <s v="Валентина Сычева"/>
    <s v="2026 01"/>
    <n v="3006.4385069976515"/>
    <n v="0.45596579484218674"/>
  </r>
  <r>
    <s v="OZO0175"/>
    <n v="0"/>
    <s v="OZON_OA"/>
    <s v="Доставлен"/>
    <d v="2025-12-09T00:00:00"/>
    <x v="42"/>
    <s v="Спортпит"/>
    <s v="892721541"/>
    <x v="162"/>
    <x v="618"/>
    <n v="772"/>
    <n v="0"/>
    <n v="0"/>
    <n v="0"/>
    <n v="0"/>
    <n v="772"/>
    <n v="2000"/>
    <x v="910"/>
    <s v="Евгения"/>
    <s v="2025 12"/>
    <n v="1228"/>
    <n v="1.5906735751295338"/>
  </r>
  <r>
    <s v="OZO0175"/>
    <n v="0"/>
    <s v="OZON_OA"/>
    <s v="Доставлен"/>
    <d v="2025-12-09T00:00:00"/>
    <x v="42"/>
    <s v="Спортпит"/>
    <s v="892721541"/>
    <x v="162"/>
    <x v="618"/>
    <n v="772"/>
    <n v="0"/>
    <n v="0"/>
    <n v="0"/>
    <n v="0"/>
    <n v="772"/>
    <n v="2000"/>
    <x v="646"/>
    <m/>
    <s v="2025 12"/>
    <n v="1228"/>
    <n v="1.5906735751295338"/>
  </r>
  <r>
    <s v="543575627"/>
    <n v="0"/>
    <s v="iHerb_MH DLE7202"/>
    <s v="Доставлен"/>
    <d v="2025-12-08T00:00:00"/>
    <x v="42"/>
    <s v="Витамины"/>
    <s v="NCS-67866"/>
    <x v="217"/>
    <x v="1796"/>
    <n v="19.170000000000002"/>
    <n v="-6.6"/>
    <n v="0"/>
    <n v="-3.7681772760276161E-15"/>
    <n v="0.5861420765027322"/>
    <n v="1142.715219913511"/>
    <n v="2000"/>
    <x v="739"/>
    <s v="Татьяна Бригантина"/>
    <s v="2026 01"/>
    <n v="857.28478008648904"/>
    <n v="0.75021734649808425"/>
  </r>
  <r>
    <s v="543575627"/>
    <n v="0"/>
    <s v="iHerb_MH DLE7202"/>
    <s v="Доставлен"/>
    <d v="2025-12-08T00:00:00"/>
    <x v="42"/>
    <s v="Витамины"/>
    <s v="PAR-77891"/>
    <x v="44"/>
    <x v="1619"/>
    <n v="12.06"/>
    <n v="-4.1500000000000004"/>
    <n v="0"/>
    <n v="-2.3712237273968529E-15"/>
    <n v="0.36884517304189424"/>
    <n v="719.08332454382423"/>
    <n v="1700"/>
    <x v="536"/>
    <s v="Светлана от Надежды"/>
    <s v="2026 01"/>
    <n v="980.91667545617577"/>
    <n v="1.364121016265333"/>
  </r>
  <r>
    <s v="543575627"/>
    <n v="0"/>
    <s v="iHerb_MH DLE7202"/>
    <s v="Доставлен"/>
    <d v="2025-12-08T00:00:00"/>
    <x v="42"/>
    <s v="Витамины"/>
    <s v="PAR-77871"/>
    <x v="44"/>
    <x v="1598"/>
    <n v="15.08"/>
    <n v="-5.18"/>
    <n v="0"/>
    <n v="-2.9677768522413203E-15"/>
    <n v="0.46163934426229503"/>
    <n v="899.99050733044999"/>
    <n v="2000"/>
    <x v="536"/>
    <s v="Светлана от Надежды"/>
    <s v="2026 01"/>
    <n v="1100.0094926695501"/>
    <n v="1.2222456611596895"/>
  </r>
  <r>
    <s v="543575627"/>
    <n v="0"/>
    <s v="iHerb_MH DLE7202"/>
    <s v="Доставлен"/>
    <d v="2025-12-08T00:00:00"/>
    <x v="42"/>
    <s v="Витамины"/>
    <s v="CLF-06419"/>
    <x v="72"/>
    <x v="1797"/>
    <n v="28.45"/>
    <n v="-10.88"/>
    <n v="0"/>
    <n v="-5.2670544741292927E-15"/>
    <n v="0.81929326047358808"/>
    <n v="1597.2558801814153"/>
    <n v="1597.26"/>
    <x v="20"/>
    <m/>
    <s v=""/>
    <n v="4.1198185847406421E-3"/>
    <n v="2.5793103258275161E-6"/>
  </r>
  <r>
    <s v="543575627"/>
    <n v="0"/>
    <s v="iHerb_MH DLE7202"/>
    <s v="Доставлен"/>
    <d v="2025-12-08T00:00:00"/>
    <x v="42"/>
    <s v="Витамины"/>
    <s v="CLF-06416"/>
    <x v="72"/>
    <x v="1677"/>
    <n v="48.2"/>
    <n v="-18.43"/>
    <n v="0"/>
    <n v="-8.9243148374973853E-15"/>
    <n v="1.3881821493624769"/>
    <n v="2706.3350912351011"/>
    <n v="4900"/>
    <x v="536"/>
    <s v="Светлана от Надежды"/>
    <s v="2026 01"/>
    <n v="2193.6649087648989"/>
    <n v="0.81056662786121103"/>
  </r>
  <r>
    <s v="543575627"/>
    <n v="0"/>
    <s v="iHerb_MH DLE7202"/>
    <s v="Доставлен"/>
    <d v="2025-12-08T00:00:00"/>
    <x v="42"/>
    <s v="Витамины"/>
    <s v="SMS-55697"/>
    <x v="140"/>
    <x v="1798"/>
    <n v="11.64"/>
    <n v="-4"/>
    <n v="0"/>
    <n v="-2.2902843586993626E-15"/>
    <n v="0.35625500910746805"/>
    <n v="694.53812888935738"/>
    <n v="1800"/>
    <x v="908"/>
    <m/>
    <s v="2026 01"/>
    <n v="1105.4618711106427"/>
    <n v="1.5916503718498471"/>
  </r>
  <r>
    <s v="543575627"/>
    <n v="0"/>
    <s v="iHerb_MH DLE7202"/>
    <s v="Доставлен"/>
    <d v="2025-12-08T00:00:00"/>
    <x v="42"/>
    <s v="Витамины"/>
    <s v="CGN-01130"/>
    <x v="1"/>
    <x v="1799"/>
    <n v="20.399999999999999"/>
    <n v="-10.95"/>
    <n v="0"/>
    <n v="-2.8328779044121692E-15"/>
    <n v="0.44065573770491784"/>
    <n v="859.08184790633845"/>
    <m/>
    <x v="20"/>
    <m/>
    <s v=""/>
    <n v="-859.08184790633845"/>
    <s v=""/>
  </r>
  <r>
    <s v="543575869"/>
    <n v="0"/>
    <s v="iHerb_VP DFD1605"/>
    <s v="Доставлен"/>
    <d v="2025-12-08T00:00:00"/>
    <x v="42"/>
    <s v="Витамины"/>
    <s v="DRB-00087"/>
    <x v="6"/>
    <x v="1769"/>
    <n v="23.89"/>
    <n v="-2.39"/>
    <n v="0"/>
    <n v="0"/>
    <n v="0.48655577328245403"/>
    <n v="1923.2569079286527"/>
    <n v="3000"/>
    <x v="739"/>
    <s v="Надежда Витамины"/>
    <s v="2026 01"/>
    <n v="1076.7430920713473"/>
    <n v="0.55985400995179546"/>
  </r>
  <r>
    <s v="543575869"/>
    <n v="0"/>
    <s v="iHerb_VP DFD1605"/>
    <s v="Доставлен"/>
    <d v="2025-12-08T00:00:00"/>
    <x v="42"/>
    <s v="Витамины"/>
    <s v="NOW-01482"/>
    <x v="3"/>
    <x v="30"/>
    <n v="13.03"/>
    <n v="-1.3"/>
    <n v="0"/>
    <n v="0"/>
    <n v="0.26545577770247369"/>
    <n v="1049.2931874420044"/>
    <n v="1900"/>
    <x v="739"/>
    <s v="Надежда Витамины"/>
    <s v="2026 01"/>
    <n v="850.70681255799559"/>
    <n v="0.81074271970817979"/>
  </r>
  <r>
    <s v="543575869"/>
    <n v="0"/>
    <s v="iHerb_VP DFD1605"/>
    <s v="Доставлен"/>
    <d v="2025-12-08T00:00:00"/>
    <x v="42"/>
    <s v="Витамины"/>
    <s v="CDL-10500"/>
    <x v="25"/>
    <x v="1800"/>
    <n v="22.52"/>
    <n v="-2.25"/>
    <n v="0"/>
    <n v="0"/>
    <n v="0.45872025695048102"/>
    <n v="1813.2287220331996"/>
    <n v="2500"/>
    <x v="536"/>
    <m/>
    <s v="2026 01"/>
    <n v="686.77127796680043"/>
    <n v="0.37875601109865159"/>
  </r>
  <r>
    <s v="543575869"/>
    <n v="0"/>
    <s v="iHerb_VP DFD1605"/>
    <s v="Доставлен"/>
    <d v="2025-12-08T00:00:00"/>
    <x v="42"/>
    <s v="Витамины"/>
    <s v="NAP-03770"/>
    <x v="11"/>
    <x v="1801"/>
    <n v="11.85"/>
    <n v="-1.19"/>
    <n v="0"/>
    <n v="0"/>
    <n v="0.24124114154376555"/>
    <n v="953.57761109392732"/>
    <n v="1700"/>
    <x v="536"/>
    <m/>
    <s v="2026 01"/>
    <n v="746.42238890607268"/>
    <n v="0.78275997697742727"/>
  </r>
  <r>
    <s v="543575869"/>
    <n v="0"/>
    <s v="iHerb_VP DFD1605"/>
    <s v="Доставлен"/>
    <d v="2025-12-08T00:00:00"/>
    <x v="42"/>
    <s v="Витамины"/>
    <s v="NOW-01662"/>
    <x v="3"/>
    <x v="122"/>
    <n v="40.090000000000003"/>
    <n v="-4.01"/>
    <n v="0"/>
    <n v="0"/>
    <n v="0.81650847907120649"/>
    <n v="3227.4934529332932"/>
    <n v="4400"/>
    <x v="899"/>
    <m/>
    <s v="2026 04"/>
    <n v="1172.5065470667068"/>
    <n v="0.36328704121803235"/>
  </r>
  <r>
    <s v="543575869"/>
    <n v="0"/>
    <s v="iHerb_VP DFD1605"/>
    <s v="Доставлен"/>
    <d v="2025-12-08T00:00:00"/>
    <x v="42"/>
    <s v="Витамины"/>
    <s v="NOW-03086"/>
    <x v="3"/>
    <x v="1802"/>
    <n v="17.37"/>
    <n v="-1.74"/>
    <n v="0"/>
    <n v="0"/>
    <n v="0.35371473192580261"/>
    <n v="1398.1630451592948"/>
    <n v="2100"/>
    <x v="536"/>
    <m/>
    <s v="2026 01"/>
    <n v="701.83695484070518"/>
    <n v="0.50197075174501116"/>
  </r>
  <r>
    <s v="543575869"/>
    <n v="0"/>
    <s v="iHerb_VP DFD1605"/>
    <s v="Доставлен"/>
    <d v="2025-12-08T00:00:00"/>
    <x v="42"/>
    <s v="Витамины"/>
    <s v="LEX-17512"/>
    <x v="7"/>
    <x v="1803"/>
    <n v="10.24"/>
    <n v="-1.02"/>
    <n v="0"/>
    <n v="0"/>
    <n v="0.2086532199843826"/>
    <n v="824.76412516754317"/>
    <n v="1700"/>
    <x v="843"/>
    <s v="Маргарита Мангуш"/>
    <s v="2026 01"/>
    <n v="875.23587483245683"/>
    <n v="1.0611953746832294"/>
  </r>
  <r>
    <s v="543575869"/>
    <n v="0"/>
    <s v="iHerb_VP DFD1605"/>
    <s v="Доставлен"/>
    <d v="2025-12-08T00:00:00"/>
    <x v="42"/>
    <s v="Витамины"/>
    <s v="SWV-02678"/>
    <x v="89"/>
    <x v="1804"/>
    <n v="17.690000000000001"/>
    <n v="-1.77"/>
    <n v="0"/>
    <n v="0"/>
    <n v="0.36027757723984505"/>
    <n v="1424.1046499639142"/>
    <n v="2100"/>
    <x v="739"/>
    <s v="Надежда Витамины"/>
    <s v="2026 01"/>
    <n v="675.8953500360858"/>
    <n v="0.47461073176975621"/>
  </r>
  <r>
    <s v="543575869"/>
    <n v="0"/>
    <s v="iHerb_VP DFD1605"/>
    <s v="Доставлен"/>
    <d v="2025-12-08T00:00:00"/>
    <x v="42"/>
    <s v="Витамины"/>
    <s v="NOW-00837"/>
    <x v="3"/>
    <x v="1805"/>
    <n v="14.48"/>
    <n v="-1.45"/>
    <n v="0"/>
    <n v="0"/>
    <n v="0.29487542911025005"/>
    <n v="1165.5831400144348"/>
    <n v="2000"/>
    <x v="550"/>
    <s v="Юлия АТБ кольцо"/>
    <s v="2026 01"/>
    <n v="834.41685998556522"/>
    <n v="0.7158793151170938"/>
  </r>
  <r>
    <s v="543575869"/>
    <n v="0"/>
    <s v="iHerb_VP DFD1605"/>
    <s v="Доставлен"/>
    <d v="2025-12-08T00:00:00"/>
    <x v="42"/>
    <s v="Витамины"/>
    <s v="CGN-02060"/>
    <x v="1"/>
    <x v="1806"/>
    <n v="49.92"/>
    <n v="-9.98"/>
    <n v="0"/>
    <n v="0"/>
    <n v="0.90386221325121918"/>
    <n v="3572.7851582637381"/>
    <m/>
    <x v="20"/>
    <m/>
    <s v=""/>
    <n v="-3572.7851582637381"/>
    <s v=""/>
  </r>
  <r>
    <s v="543968730"/>
    <n v="0"/>
    <s v="iHerb_AV CYG0792"/>
    <s v="Доставлен"/>
    <d v="2025-12-21T00:00:00"/>
    <x v="42"/>
    <s v="Витамины"/>
    <s v="SOR-04802"/>
    <x v="10"/>
    <x v="1807"/>
    <n v="29.69"/>
    <n v="-2.97"/>
    <n v="-4.5570313662945239"/>
    <n v="4.0373635086677046E-15"/>
    <n v="0.67719783841985759"/>
    <n v="2060.1546156299846"/>
    <n v="3300"/>
    <x v="908"/>
    <s v="Любовь Виталий"/>
    <s v="2026 01"/>
    <n v="1239.8453843700154"/>
    <n v="0.60182152104679631"/>
  </r>
  <r>
    <s v="543968730"/>
    <n v="0"/>
    <s v="iHerb_AV CYG0792"/>
    <s v="Доставлен"/>
    <d v="2025-12-21T00:00:00"/>
    <x v="42"/>
    <s v="Витамины"/>
    <s v="SNS-01459"/>
    <x v="151"/>
    <x v="1808"/>
    <n v="23.41"/>
    <n v="0"/>
    <n v="-3.9925188729399257"/>
    <n v="3.5372260380954697E-15"/>
    <n v="0.59330843553176893"/>
    <n v="1804.948336523126"/>
    <n v="2800"/>
    <x v="906"/>
    <s v="Александр Космос"/>
    <s v="2026 01"/>
    <n v="995.05166347687396"/>
    <n v="0.55129093910446381"/>
  </r>
  <r>
    <s v="543968730"/>
    <n v="0"/>
    <s v="iHerb_AV CYG0792"/>
    <s v="Доставлен"/>
    <d v="2025-12-21T00:00:00"/>
    <x v="42"/>
    <s v="Витамины"/>
    <s v="NFS-01736"/>
    <x v="23"/>
    <x v="1646"/>
    <n v="24.93"/>
    <n v="-2.4900000000000002"/>
    <n v="-3.8270877192982447"/>
    <n v="3.3906600723990745E-15"/>
    <n v="0.56872453196637729"/>
    <n v="1730.1597894736844"/>
    <n v="2800"/>
    <x v="908"/>
    <s v="Светлана Звенигородская"/>
    <s v="2026 01"/>
    <n v="1069.8402105263156"/>
    <n v="0.61834763299623419"/>
  </r>
  <r>
    <s v="543968730"/>
    <n v="0"/>
    <s v="iHerb_AV CYG0792"/>
    <s v="Доставлен"/>
    <d v="2025-12-21T00:00:00"/>
    <x v="42"/>
    <s v="Витамины"/>
    <s v="CGN-02060"/>
    <x v="1"/>
    <x v="1806"/>
    <n v="49.92"/>
    <n v="-9.98"/>
    <n v="-6.8116703880914402"/>
    <n v="6.034891412282488E-15"/>
    <n v="1.0122485653626165"/>
    <n v="3079.4377001594899"/>
    <m/>
    <x v="20"/>
    <m/>
    <s v=""/>
    <n v="-3079.4377001594899"/>
    <s v=""/>
  </r>
  <r>
    <s v="543968730"/>
    <n v="0"/>
    <s v="iHerb_AV CYG0792"/>
    <s v="Доставлен"/>
    <d v="2025-12-21T00:00:00"/>
    <x v="42"/>
    <s v="Витамины"/>
    <s v="NAT-78999"/>
    <x v="341"/>
    <x v="1809"/>
    <n v="45.56"/>
    <n v="-4.5599999999999996"/>
    <n v="-6.9924508240297714"/>
    <n v="6.1950562820125696E-15"/>
    <n v="1.0391134496711887"/>
    <n v="3161.1653907496016"/>
    <n v="4600"/>
    <x v="611"/>
    <s v="Татьяна Бригантина"/>
    <s v="2026 02"/>
    <n v="1438.8346092503984"/>
    <n v="0.45515954763417493"/>
  </r>
  <r>
    <s v="543968730"/>
    <n v="0"/>
    <s v="iHerb_AV CYG0792"/>
    <s v="Доставлен"/>
    <d v="2025-12-21T00:00:00"/>
    <x v="42"/>
    <s v="Витамины"/>
    <s v="CGN-01033"/>
    <x v="1"/>
    <x v="1"/>
    <n v="21.62"/>
    <n v="-4.3250000000000002"/>
    <n v="-2.9496204146730465"/>
    <n v="2.6132560584733511E-15"/>
    <n v="0.43832846614788307"/>
    <n v="1333.4720837320576"/>
    <n v="2450"/>
    <x v="885"/>
    <s v="Аня Мирный"/>
    <s v="2026 04"/>
    <n v="1116.5279162679424"/>
    <n v="0.83730880450309664"/>
  </r>
  <r>
    <s v="543968730"/>
    <n v="0"/>
    <s v="iHerb_AV CYG0792"/>
    <s v="Доставлен"/>
    <d v="2025-12-21T00:00:00"/>
    <x v="42"/>
    <s v="Витамины"/>
    <s v="CGN-01033"/>
    <x v="1"/>
    <x v="1"/>
    <n v="21.62"/>
    <n v="-4.3250000000000002"/>
    <n v="-2.9496204146730465"/>
    <n v="2.6132560584733511E-15"/>
    <n v="0.43832846614788307"/>
    <n v="1333.4720837320576"/>
    <n v="2600"/>
    <x v="883"/>
    <s v="Светлана Кулаки"/>
    <s v="2026 04"/>
    <n v="1266.5279162679424"/>
    <n v="0.94979709865634743"/>
  </r>
  <r>
    <s v="543967425"/>
    <n v="0"/>
    <s v="iHerb_OA CZN6870"/>
    <s v="Доставлен"/>
    <d v="2025-12-21T00:00:00"/>
    <x v="42"/>
    <s v="Витамины"/>
    <s v="PAR-77871"/>
    <x v="44"/>
    <x v="1598"/>
    <n v="15.08"/>
    <n v="-2.2599999999999998"/>
    <n v="-1.3872863932795401"/>
    <n v="2.013741101457828E-15"/>
    <n v="0.34031939821118751"/>
    <n v="1053.9585995357579"/>
    <n v="1900"/>
    <x v="908"/>
    <s v="Любовь Виталий"/>
    <s v="2026 01"/>
    <n v="846.04140046424209"/>
    <n v="0.80272735649853977"/>
  </r>
  <r>
    <s v="543967425"/>
    <n v="0"/>
    <s v="iHerb_OA CZN6870"/>
    <s v="Доставлен"/>
    <d v="2025-12-21T00:00:00"/>
    <x v="42"/>
    <s v="Витамины"/>
    <s v="PAR-77891"/>
    <x v="44"/>
    <x v="1619"/>
    <n v="12.06"/>
    <n v="-1.81"/>
    <n v="-1.1091798386205372"/>
    <n v="1.6100504126320387E-15"/>
    <n v="0.27209624271955318"/>
    <n v="842.67360727312928"/>
    <n v="1600"/>
    <x v="908"/>
    <s v="Любовь Виталий"/>
    <s v="2026 01"/>
    <n v="757.32639272687072"/>
    <n v="0.89871853845946359"/>
  </r>
  <r>
    <s v="543967425"/>
    <n v="0"/>
    <s v="iHerb_OA CZN6870"/>
    <s v="Доставлен"/>
    <d v="2025-12-21T00:00:00"/>
    <x v="42"/>
    <s v="Витамины"/>
    <s v="PAR-77891"/>
    <x v="44"/>
    <x v="1619"/>
    <n v="12.06"/>
    <n v="-1.81"/>
    <n v="-1.1091798386205372"/>
    <n v="1.6100504126320387E-15"/>
    <n v="0.27209624271955318"/>
    <n v="842.67360727312928"/>
    <n v="1600"/>
    <x v="908"/>
    <s v="Любовь Виталий"/>
    <s v="2026 01"/>
    <n v="757.32639272687072"/>
    <n v="0.89871853845946359"/>
  </r>
  <r>
    <s v="543967425"/>
    <n v="0"/>
    <s v="iHerb_OA CZN6870"/>
    <s v="Доставлен"/>
    <d v="2025-12-21T00:00:00"/>
    <x v="42"/>
    <s v="Витамины"/>
    <s v="NOW-01486"/>
    <x v="3"/>
    <x v="1765"/>
    <n v="14.48"/>
    <n v="-2.17"/>
    <n v="-1.3320979330164695"/>
    <n v="1.9336312760488194E-15"/>
    <n v="0.32678095101245846"/>
    <n v="1012.030449320217"/>
    <n v="1900"/>
    <x v="908"/>
    <s v="Любовь Виталий"/>
    <s v="2026 01"/>
    <n v="887.96955067978297"/>
    <n v="0.87741386761261375"/>
  </r>
  <r>
    <s v="543967425"/>
    <n v="0"/>
    <s v="iHerb_OA CZN6870"/>
    <s v="Доставлен"/>
    <d v="2025-12-21T00:00:00"/>
    <x v="42"/>
    <s v="Витамины"/>
    <s v="NOW-01486"/>
    <x v="3"/>
    <x v="1765"/>
    <n v="14.48"/>
    <n v="-2.17"/>
    <n v="-1.3320979330164695"/>
    <n v="1.9336312760488194E-15"/>
    <n v="0.32678095101245846"/>
    <n v="1012.030449320217"/>
    <n v="1900"/>
    <x v="908"/>
    <s v="Любовь Виталий"/>
    <s v="2026 01"/>
    <n v="887.96955067978297"/>
    <n v="0.87741386761261375"/>
  </r>
  <r>
    <s v="543967425"/>
    <n v="0"/>
    <s v="iHerb_OA CZN6870"/>
    <s v="Доставлен"/>
    <d v="2025-12-21T00:00:00"/>
    <x v="42"/>
    <s v="Витамины"/>
    <s v="CLF-07211"/>
    <x v="72"/>
    <x v="1655"/>
    <n v="31.95"/>
    <n v="-6.39"/>
    <n v="-2.7659157731844806"/>
    <n v="4.0149159557926736E-15"/>
    <n v="0.67851511843041734"/>
    <n v="2101.340234331823"/>
    <n v="3600"/>
    <x v="908"/>
    <s v="Любовь Виталий"/>
    <s v="2026 01"/>
    <n v="1498.659765668177"/>
    <n v="0.71319234324027292"/>
  </r>
  <r>
    <s v="543967425"/>
    <n v="0"/>
    <s v="iHerb_OA CZN6870"/>
    <s v="Доставлен"/>
    <d v="2025-12-21T00:00:00"/>
    <x v="42"/>
    <s v="Витамины"/>
    <s v="NCS-67923"/>
    <x v="217"/>
    <x v="1758"/>
    <n v="15.5"/>
    <n v="-2.33"/>
    <n v="-1.4251608267934119"/>
    <n v="2.0687184326208729E-15"/>
    <n v="0.34961048942600148"/>
    <n v="1082.7328202719136"/>
    <n v="2900"/>
    <x v="611"/>
    <s v="Татьяна Бригантина"/>
    <s v="2026 02"/>
    <n v="1817.2671797280864"/>
    <n v="1.6784077712465615"/>
  </r>
  <r>
    <s v="543967425"/>
    <n v="0"/>
    <s v="iHerb_OA CZN6870"/>
    <s v="Доставлен"/>
    <d v="2025-12-21T00:00:00"/>
    <x v="42"/>
    <s v="Витамины"/>
    <s v="NOW-00376"/>
    <x v="3"/>
    <x v="766"/>
    <n v="10.55"/>
    <n v="-1.585"/>
    <n v="-0.97012656129103569"/>
    <n v="1.4082050682191441E-15"/>
    <n v="0.23798466497373599"/>
    <n v="737.03111114181513"/>
    <n v="1700"/>
    <x v="763"/>
    <s v="Антонина Космос"/>
    <s v="2026 02"/>
    <n v="962.96888885818487"/>
    <n v="1.3065512083558386"/>
  </r>
  <r>
    <s v="543967425"/>
    <n v="0"/>
    <s v="iHerb_OA CZN6870"/>
    <s v="Доставлен"/>
    <d v="2025-12-21T00:00:00"/>
    <x v="42"/>
    <s v="Витамины"/>
    <s v="NOW-00376"/>
    <x v="3"/>
    <x v="766"/>
    <n v="10.55"/>
    <n v="-1.585"/>
    <n v="-0.97012656129103569"/>
    <n v="1.4082050682191441E-15"/>
    <n v="0.23798466497373599"/>
    <n v="737.03111114181513"/>
    <n v="1800"/>
    <x v="911"/>
    <s v="Полина Цветы"/>
    <s v="2026 04"/>
    <n v="1062.968888858185"/>
    <n v="1.4422306912002998"/>
  </r>
  <r>
    <s v="543967425"/>
    <n v="0"/>
    <s v="iHerb_OA CZN6870"/>
    <s v="Доставлен"/>
    <d v="2025-12-21T00:00:00"/>
    <x v="42"/>
    <s v="Витамины"/>
    <s v="DRB-00136"/>
    <x v="6"/>
    <x v="1754"/>
    <n v="24.7"/>
    <n v="-3.71"/>
    <n v="-2.2713838841604947"/>
    <n v="3.2970690888923406E-15"/>
    <n v="0.5572000131398458"/>
    <n v="1725.6311235768762"/>
    <m/>
    <x v="20"/>
    <m/>
    <s v=""/>
    <n v="-1725.6311235768762"/>
    <s v=""/>
  </r>
  <r>
    <s v="543967425"/>
    <n v="0"/>
    <s v="iHerb_OA CZN6870"/>
    <s v="Доставлен"/>
    <d v="2025-12-21T00:00:00"/>
    <x v="42"/>
    <s v="Витамины"/>
    <s v="NOW-00367"/>
    <x v="3"/>
    <x v="365"/>
    <n v="5.57"/>
    <n v="-0.84"/>
    <n v="-0.5118459157731845"/>
    <n v="7.4297936114629695E-16"/>
    <n v="0.12556246127448648"/>
    <n v="388.86304023433195"/>
    <m/>
    <x v="20"/>
    <m/>
    <s v=""/>
    <n v="-388.86304023433195"/>
    <s v=""/>
  </r>
  <r>
    <s v="543967425"/>
    <n v="0"/>
    <s v="iHerb_OA CZN6870"/>
    <s v="Доставлен"/>
    <d v="2025-12-21T00:00:00"/>
    <x v="42"/>
    <s v="Витамины"/>
    <s v="NOW-00085"/>
    <x v="3"/>
    <x v="1764"/>
    <n v="15.93"/>
    <n v="-2.39"/>
    <n v="-1.4651995136509337"/>
    <n v="2.1268373255646636E-15"/>
    <n v="0.35943250013880484"/>
    <n v="1113.1512821929923"/>
    <m/>
    <x v="20"/>
    <m/>
    <s v=""/>
    <n v="-1113.1512821929923"/>
    <s v=""/>
  </r>
  <r>
    <s v="543967425"/>
    <n v="0"/>
    <s v="iHerb_OA CZN6870"/>
    <s v="Доставлен"/>
    <d v="2025-12-21T00:00:00"/>
    <x v="42"/>
    <s v="Витамины"/>
    <s v="NOW-02926"/>
    <x v="3"/>
    <x v="1810"/>
    <n v="18.63"/>
    <n v="-2.79"/>
    <n v="-1.7140886481706643"/>
    <n v="2.4881169303503896E-15"/>
    <n v="0.42048824240758259"/>
    <n v="1302.2390184591579"/>
    <n v="2200"/>
    <x v="912"/>
    <s v="Юлия рынок на Нептуне"/>
    <s v="2026 02"/>
    <n v="897.76098154084207"/>
    <n v="0.6893980051397135"/>
  </r>
  <r>
    <s v="543967425"/>
    <n v="0"/>
    <s v="iHerb_OA CZN6870"/>
    <s v="Доставлен"/>
    <d v="2025-12-21T00:00:00"/>
    <x v="42"/>
    <s v="Витамины"/>
    <s v="NAP-29978"/>
    <x v="11"/>
    <x v="54"/>
    <n v="13.22"/>
    <n v="-1.98"/>
    <n v="-1.2163103791312035"/>
    <n v="1.7655577207789381E-15"/>
    <n v="0.29837675787002704"/>
    <n v="924.06354592682681"/>
    <n v="2000"/>
    <x v="908"/>
    <m/>
    <s v="2026 01"/>
    <n v="1075.9364540731731"/>
    <n v="1.1643533161932269"/>
  </r>
  <r>
    <s v="OZO0181"/>
    <n v="0"/>
    <s v="OZON_OA"/>
    <s v="Доставлен"/>
    <d v="2025-12-24T00:00:00"/>
    <x v="42"/>
    <s v="Витамины"/>
    <s v="000002982"/>
    <x v="3"/>
    <x v="1110"/>
    <n v="2190"/>
    <n v="0"/>
    <n v="0"/>
    <n v="0"/>
    <n v="0"/>
    <n v="2190"/>
    <n v="2900"/>
    <x v="646"/>
    <m/>
    <s v="2025 12"/>
    <n v="710"/>
    <n v="0.32420091324200911"/>
  </r>
  <r>
    <s v="OZO0182"/>
    <n v="0"/>
    <s v="OZON_OA"/>
    <s v="Доставлен"/>
    <d v="2025-12-24T00:00:00"/>
    <x v="42"/>
    <s v="Спортпит"/>
    <s v="892721541"/>
    <x v="162"/>
    <x v="618"/>
    <n v="1177"/>
    <n v="0"/>
    <n v="0"/>
    <n v="0"/>
    <n v="0"/>
    <n v="1177"/>
    <n v="2000"/>
    <x v="646"/>
    <m/>
    <s v="2025 12"/>
    <n v="823"/>
    <n v="0.6992353440951572"/>
  </r>
  <r>
    <s v="OZO0185"/>
    <n v="0"/>
    <s v="OZON_OA"/>
    <s v="Доставлен"/>
    <d v="2026-01-05T00:00:00"/>
    <x v="43"/>
    <s v="Витамины"/>
    <s v="000002982"/>
    <x v="3"/>
    <x v="1110"/>
    <n v="2053"/>
    <n v="0"/>
    <n v="0"/>
    <n v="0"/>
    <n v="0"/>
    <n v="2053"/>
    <n v="2900"/>
    <x v="887"/>
    <s v="Аня Мирный"/>
    <s v="2026 04"/>
    <n v="847"/>
    <n v="0.41256697515830493"/>
  </r>
  <r>
    <s v="544176069"/>
    <n v="0"/>
    <s v="iHerb_MH DLE7202"/>
    <s v="Доставлен"/>
    <d v="2025-12-28T00:00:00"/>
    <x v="42"/>
    <s v="Витамины"/>
    <s v="AGE-60921"/>
    <x v="189"/>
    <x v="1780"/>
    <n v="67.19"/>
    <n v="-13.44"/>
    <n v="-2.2696737044145867"/>
    <n v="-1.5432537447057431E-14"/>
    <n v="1.3088213390791956"/>
    <n v="4708.5792756844112"/>
    <n v="6900"/>
    <x v="885"/>
    <s v="Лариса Западный"/>
    <s v="2026 04"/>
    <n v="2191.4207243155888"/>
    <n v="0.46541017916642319"/>
  </r>
  <r>
    <s v="544176069"/>
    <n v="0"/>
    <s v="iHerb_MH DLE7202"/>
    <s v="Доставлен"/>
    <d v="2025-12-28T00:00:00"/>
    <x v="42"/>
    <s v="Витамины"/>
    <s v="NOW-00420"/>
    <x v="3"/>
    <x v="515"/>
    <n v="13.76"/>
    <n v="-2.75"/>
    <n v="-0.46491362763915534"/>
    <n v="-3.1611579031088802E-15"/>
    <n v="0.26809531057231528"/>
    <n v="964.49223860996017"/>
    <n v="2000"/>
    <x v="861"/>
    <m/>
    <s v="2026 02"/>
    <n v="1035.5077613900398"/>
    <n v="1.0736299577510631"/>
  </r>
  <r>
    <s v="544176069"/>
    <n v="0"/>
    <s v="iHerb_MH DLE7202"/>
    <s v="Доставлен"/>
    <d v="2025-12-28T00:00:00"/>
    <x v="42"/>
    <s v="Витамины"/>
    <s v="DRB-00277"/>
    <x v="6"/>
    <x v="1811"/>
    <n v="27.83"/>
    <n v="-5.57"/>
    <n v="-0.93996161228406883"/>
    <n v="-6.3912238803999697E-15"/>
    <n v="0.54203466061214689"/>
    <n v="1950.0088311950692"/>
    <n v="3600"/>
    <x v="911"/>
    <s v="Виктория Страховка"/>
    <s v="2026 04"/>
    <n v="1649.9911688049308"/>
    <n v="0.84614548529697087"/>
  </r>
  <r>
    <s v="544176069"/>
    <n v="0"/>
    <s v="iHerb_MH DLE7202"/>
    <s v="Доставлен"/>
    <d v="2025-12-28T00:00:00"/>
    <x v="42"/>
    <s v="Витамины"/>
    <s v="DRB-00087"/>
    <x v="6"/>
    <x v="1812"/>
    <n v="23.89"/>
    <n v="-4.78"/>
    <n v="-0.80694817658349294"/>
    <n v="-5.4868054067584646E-15"/>
    <n v="0.46533164260099402"/>
    <n v="1674.0641852712388"/>
    <n v="3000"/>
    <x v="611"/>
    <s v="Любовь Виталий"/>
    <s v="2026 02"/>
    <n v="1325.9358147287612"/>
    <n v="0.79204598389632686"/>
  </r>
  <r>
    <s v="544176069"/>
    <n v="0"/>
    <s v="iHerb_MH DLE7202"/>
    <s v="Доставлен"/>
    <d v="2025-12-28T00:00:00"/>
    <x v="42"/>
    <s v="Витамины"/>
    <s v="NOW-01289"/>
    <x v="3"/>
    <x v="214"/>
    <n v="24.42"/>
    <n v="-4.88"/>
    <n v="-0.82510556621880982"/>
    <n v="-5.610265706334925E-15"/>
    <n v="0.47580221331362765"/>
    <n v="1711.7328194767144"/>
    <n v="2800"/>
    <x v="908"/>
    <s v="Татьяна Виноград"/>
    <s v="2026 01"/>
    <n v="1088.2671805232856"/>
    <n v="0.63576930239380147"/>
  </r>
  <r>
    <s v="544176069"/>
    <n v="0"/>
    <s v="iHerb_MH DLE7202"/>
    <s v="Доставлен"/>
    <d v="2025-12-28T00:00:00"/>
    <x v="42"/>
    <s v="Витамины"/>
    <s v="OCB-44903"/>
    <x v="342"/>
    <x v="1813"/>
    <n v="44.55"/>
    <n v="-8.91"/>
    <n v="-1.5049520153550859"/>
    <n v="-1.0232849016058173E-14"/>
    <n v="0.86783986092618681"/>
    <n v="3122.1165653096264"/>
    <n v="4600"/>
    <x v="889"/>
    <s v="Вера Надеждына"/>
    <s v="2026 02"/>
    <n v="1477.8834346903736"/>
    <n v="0.47335946745595292"/>
  </r>
  <r>
    <s v="544176069"/>
    <n v="0"/>
    <s v="iHerb_MH DLE7202"/>
    <s v="Доставлен"/>
    <d v="2025-12-28T00:00:00"/>
    <x v="42"/>
    <s v="Витамины"/>
    <s v="NOW-00894"/>
    <x v="3"/>
    <x v="1355"/>
    <n v="33.340000000000003"/>
    <n v="-6.67"/>
    <n v="-1.126180422264875"/>
    <n v="-7.6574097434980774E-15"/>
    <n v="0.64941888582776097"/>
    <n v="2336.3313354884326"/>
    <n v="3500"/>
    <x v="889"/>
    <s v="Вера Надеждына"/>
    <s v="2026 02"/>
    <n v="1163.6686645115674"/>
    <n v="0.49807518601307088"/>
  </r>
  <r>
    <s v="544176069"/>
    <n v="0"/>
    <s v="iHerb_MH DLE7202"/>
    <s v="Доставлен"/>
    <d v="2025-12-28T00:00:00"/>
    <x v="42"/>
    <s v="Витамины"/>
    <s v="NOW-00330"/>
    <x v="3"/>
    <x v="748"/>
    <n v="5.78"/>
    <n v="-1.1599999999999999"/>
    <n v="-0.19508637236084447"/>
    <n v="-1.326480428007541E-15"/>
    <n v="0.11249775974969087"/>
    <n v="404.7188140216183"/>
    <n v="1100"/>
    <x v="861"/>
    <m/>
    <s v="2026 02"/>
    <n v="695.2811859783817"/>
    <n v="1.7179364089094282"/>
  </r>
  <r>
    <s v="544176069"/>
    <n v="0"/>
    <s v="iHerb_MH DLE7202"/>
    <s v="Доставлен"/>
    <d v="2025-12-28T00:00:00"/>
    <x v="42"/>
    <s v="Витамины"/>
    <s v="NFS-01041"/>
    <x v="23"/>
    <x v="718"/>
    <n v="6.73"/>
    <n v="-1.35"/>
    <n v="-0.22717850287907868"/>
    <n v="-1.5446893295845393E-15"/>
    <n v="0.13100388473015953"/>
    <n v="471.2959349429234"/>
    <n v="1300"/>
    <x v="885"/>
    <s v="Лариса Западный"/>
    <s v="2026 04"/>
    <n v="828.7040650570766"/>
    <n v="1.7583518201943273"/>
  </r>
  <r>
    <s v="544072472"/>
    <n v="0"/>
    <s v="iHerb_AV CYG0792"/>
    <s v="Доставлен"/>
    <d v="2025-12-25T00:00:00"/>
    <x v="42"/>
    <s v="Витамины"/>
    <s v="BTZ-75102"/>
    <x v="166"/>
    <x v="1814"/>
    <n v="22.19"/>
    <n v="-4.4400000000000004"/>
    <n v="-0.82407307898979054"/>
    <n v="2.7108293519058095E-15"/>
    <n v="0.45960587460267704"/>
    <n v="1551.3967356260075"/>
    <n v="2600"/>
    <x v="908"/>
    <m/>
    <s v="2026 01"/>
    <n v="1048.6032643739925"/>
    <n v="0.67590915998084034"/>
  </r>
  <r>
    <s v="544072472"/>
    <n v="0"/>
    <s v="iHerb_AV CYG0792"/>
    <s v="Доставлен"/>
    <d v="2025-12-25T00:00:00"/>
    <x v="42"/>
    <s v="Витамины"/>
    <s v="BLB-00204"/>
    <x v="186"/>
    <x v="1815"/>
    <n v="32.72"/>
    <n v="-6.54"/>
    <n v="-1.2154497581945192"/>
    <n v="3.9982823905855828E-15"/>
    <n v="0.67788629842806125"/>
    <n v="2288.2009317571196"/>
    <m/>
    <x v="20"/>
    <m/>
    <s v=""/>
    <n v="-2288.2009317571196"/>
    <s v=""/>
  </r>
  <r>
    <s v="544072472"/>
    <n v="0"/>
    <s v="iHerb_AV CYG0792"/>
    <s v="Доставлен"/>
    <d v="2025-12-25T00:00:00"/>
    <x v="42"/>
    <s v="Витамины"/>
    <s v="NFS-35493"/>
    <x v="23"/>
    <x v="1383"/>
    <n v="47.68"/>
    <n v="-9.5399999999999991"/>
    <n v="-1.770712520150457"/>
    <n v="5.8248468440387365E-15"/>
    <n v="0.9875700313997805"/>
    <n v="3333.5364223535744"/>
    <n v="5000"/>
    <x v="908"/>
    <m/>
    <s v="2026 01"/>
    <n v="1666.4635776464256"/>
    <n v="0.49990861550864757"/>
  </r>
  <r>
    <s v="544072472"/>
    <n v="0"/>
    <s v="iHerb_AV CYG0792"/>
    <s v="Доставлен"/>
    <d v="2025-12-25T00:00:00"/>
    <x v="42"/>
    <s v="Витамины"/>
    <s v="AGE-12159"/>
    <x v="189"/>
    <x v="1816"/>
    <n v="55.99"/>
    <n v="-11.2"/>
    <n v="-2.0794497581945195"/>
    <n v="6.8404533336259845E-15"/>
    <n v="1.1597604013213472"/>
    <n v="3914.7639317571206"/>
    <n v="5500"/>
    <x v="909"/>
    <s v="Оксана Черноморская"/>
    <s v="2026 03"/>
    <n v="1585.2360682428794"/>
    <n v="0.40493784449765141"/>
  </r>
  <r>
    <s v="544072472"/>
    <n v="0"/>
    <s v="iHerb_AV CYG0792"/>
    <s v="Доставлен"/>
    <d v="2025-12-25T00:00:00"/>
    <x v="42"/>
    <s v="Витамины"/>
    <s v="NCS-57519"/>
    <x v="217"/>
    <x v="1817"/>
    <n v="23.83"/>
    <n v="0"/>
    <n v="-1.1063471252015047"/>
    <n v="3.6393838566712922E-15"/>
    <n v="0.61703706995953778"/>
    <n v="2082.8047442235356"/>
    <n v="2700"/>
    <x v="908"/>
    <s v="Надежда Витамины"/>
    <s v="2026 01"/>
    <n v="617.19525577646436"/>
    <n v="0.29632890816491453"/>
  </r>
  <r>
    <s v="544072472"/>
    <n v="0"/>
    <s v="iHerb_AV CYG0792"/>
    <s v="Доставлен"/>
    <d v="2025-12-25T00:00:00"/>
    <x v="42"/>
    <s v="Витамины"/>
    <s v="NCS-57519"/>
    <x v="217"/>
    <x v="1817"/>
    <n v="23.83"/>
    <n v="0"/>
    <n v="-1.1063471252015047"/>
    <n v="3.6393838566712922E-15"/>
    <n v="0.61703706995953778"/>
    <n v="2082.8047442235356"/>
    <n v="2700"/>
    <x v="908"/>
    <s v="Любовь Виталий"/>
    <s v="2026 01"/>
    <n v="617.19525577646436"/>
    <n v="0.29632890816491453"/>
  </r>
  <r>
    <s v="544072472"/>
    <n v="0"/>
    <s v="iHerb_AV CYG0792"/>
    <s v="Доставлен"/>
    <d v="2025-12-25T00:00:00"/>
    <x v="42"/>
    <s v="Витамины"/>
    <s v="NOW-01908"/>
    <x v="3"/>
    <x v="1818"/>
    <n v="14.48"/>
    <n v="-2.9"/>
    <n v="-0.53762063406770555"/>
    <n v="1.7685297969053113E-15"/>
    <n v="0.29984428326191553"/>
    <n v="1012.122490059108"/>
    <n v="1900"/>
    <x v="568"/>
    <m/>
    <s v="2026 05"/>
    <n v="887.87750994089197"/>
    <n v="0.87724313871242976"/>
  </r>
  <r>
    <s v="544160245"/>
    <n v="0"/>
    <s v="iHerb_VP DFD1605"/>
    <s v="Доставлен"/>
    <d v="2025-12-27T00:00:00"/>
    <x v="42"/>
    <s v="Витамины"/>
    <s v="NFS-35493"/>
    <x v="23"/>
    <x v="1383"/>
    <n v="47.68"/>
    <n v="-9.5399999999999991"/>
    <n v="-1.8992321792260689"/>
    <n v="0"/>
    <n v="0.93552241791166368"/>
    <n v="3318.3295305498982"/>
    <n v="3318.33"/>
    <x v="20"/>
    <m/>
    <s v=""/>
    <n v="4.6945010171839385E-4"/>
    <n v="1.4147181507937784E-7"/>
  </r>
  <r>
    <s v="544160245"/>
    <n v="0"/>
    <s v="iHerb_VP DFD1605"/>
    <s v="Доставлен"/>
    <d v="2025-12-27T00:00:00"/>
    <x v="42"/>
    <s v="Витамины"/>
    <s v="CGN-02546"/>
    <x v="1"/>
    <x v="1819"/>
    <n v="14.78"/>
    <n v="-2.96"/>
    <n v="-0.58859266802443988"/>
    <n v="0"/>
    <n v="0.28992855216874314"/>
    <n v="1028.3863411405296"/>
    <m/>
    <x v="20"/>
    <m/>
    <s v=""/>
    <n v="-1028.3863411405296"/>
    <s v=""/>
  </r>
  <r>
    <s v="544160245"/>
    <n v="0"/>
    <s v="iHerb_VP DFD1605"/>
    <s v="Доставлен"/>
    <d v="2025-12-27T00:00:00"/>
    <x v="42"/>
    <s v="Витамины"/>
    <s v="SMS-55697"/>
    <x v="140"/>
    <x v="1798"/>
    <n v="11.64"/>
    <n v="-2.33"/>
    <n v="-0.46360386965376782"/>
    <n v="0"/>
    <n v="0.2283616599569373"/>
    <n v="810.00650050916488"/>
    <n v="1800"/>
    <x v="812"/>
    <m/>
    <s v="2026 01"/>
    <n v="989.99349949083512"/>
    <n v="1.222204388320997"/>
  </r>
  <r>
    <s v="544160245"/>
    <n v="0"/>
    <s v="iHerb_VP DFD1605"/>
    <s v="Доставлен"/>
    <d v="2025-12-27T00:00:00"/>
    <x v="42"/>
    <s v="Витамины"/>
    <s v="BLB-00208"/>
    <x v="186"/>
    <x v="1448"/>
    <n v="32.5"/>
    <n v="-6.5"/>
    <n v="-1.2947046843177188"/>
    <n v="0"/>
    <n v="0.63774470020197305"/>
    <n v="2262.1019348268842"/>
    <m/>
    <x v="20"/>
    <m/>
    <s v=""/>
    <n v="-2262.1019348268842"/>
    <s v=""/>
  </r>
  <r>
    <s v="544160245"/>
    <n v="0"/>
    <s v="iHerb_VP DFD1605"/>
    <s v="Доставлен"/>
    <d v="2025-12-27T00:00:00"/>
    <x v="42"/>
    <s v="Витамины"/>
    <s v="NOW-01283"/>
    <x v="3"/>
    <x v="343"/>
    <n v="17.239999999999998"/>
    <n v="-3.45"/>
    <n v="-0.68669144602851317"/>
    <n v="0"/>
    <n v="0.33824997753020031"/>
    <n v="1199.7840646639511"/>
    <n v="2400"/>
    <x v="913"/>
    <s v="Юлия АТБ кольцо"/>
    <s v="2026 03"/>
    <n v="1200.2159353360489"/>
    <n v="1.0003599569996113"/>
  </r>
  <r>
    <s v="544160245"/>
    <n v="0"/>
    <s v="iHerb_VP DFD1605"/>
    <s v="Доставлен"/>
    <d v="2025-12-27T00:00:00"/>
    <x v="42"/>
    <s v="Витамины"/>
    <s v="SOR-35281"/>
    <x v="10"/>
    <x v="1230"/>
    <n v="11.42"/>
    <n v="-2.2850000000000001"/>
    <n v="-0.45488951120162929"/>
    <n v="0"/>
    <n v="0.22406914755173166"/>
    <n v="794.78081440936853"/>
    <n v="1800"/>
    <x v="908"/>
    <s v="Надежда Витамины"/>
    <s v="2026 01"/>
    <n v="1005.2191855906315"/>
    <n v="1.2647753536145026"/>
  </r>
  <r>
    <s v="544160245"/>
    <n v="0"/>
    <s v="iHerb_VP DFD1605"/>
    <s v="Доставлен"/>
    <d v="2025-12-27T00:00:00"/>
    <x v="42"/>
    <s v="Витамины"/>
    <s v="SOR-35281"/>
    <x v="10"/>
    <x v="1230"/>
    <n v="11.42"/>
    <n v="-2.2850000000000001"/>
    <n v="-0.45488951120162929"/>
    <n v="0"/>
    <n v="0.22406914755173166"/>
    <n v="794.78081440936853"/>
    <n v="1800"/>
    <x v="908"/>
    <s v="Надежда Витамины"/>
    <s v="2026 01"/>
    <n v="1005.2191855906315"/>
    <n v="1.2647753536145026"/>
  </r>
  <r>
    <s v="544160245"/>
    <n v="0"/>
    <s v="iHerb_VP DFD1605"/>
    <s v="Доставлен"/>
    <d v="2025-12-27T00:00:00"/>
    <x v="42"/>
    <s v="Витамины"/>
    <s v="NOW-00372"/>
    <x v="3"/>
    <x v="1820"/>
    <n v="8.06"/>
    <n v="-1.61"/>
    <n v="-0.32118635437881871"/>
    <n v="0"/>
    <n v="0.15820974293472023"/>
    <n v="561.17528767820772"/>
    <n v="1300"/>
    <x v="894"/>
    <s v="Полина Цветы"/>
    <s v="2026 03"/>
    <n v="738.82471232179228"/>
    <n v="1.3165667279801054"/>
  </r>
  <r>
    <s v="544160245"/>
    <n v="0"/>
    <s v="iHerb_VP DFD1605"/>
    <s v="Доставлен"/>
    <d v="2025-12-27T00:00:00"/>
    <x v="42"/>
    <s v="Витамины"/>
    <s v="NOW-00372"/>
    <x v="3"/>
    <x v="1820"/>
    <n v="8.06"/>
    <n v="-1.61"/>
    <n v="-0.32118635437881871"/>
    <n v="0"/>
    <n v="0.15820974293472023"/>
    <n v="561.17528767820772"/>
    <n v="1300"/>
    <x v="887"/>
    <m/>
    <s v="2026 04"/>
    <n v="738.82471232179228"/>
    <n v="1.3165667279801054"/>
  </r>
  <r>
    <s v="544160245"/>
    <n v="0"/>
    <s v="iHerb_VP DFD1605"/>
    <s v="Доставлен"/>
    <d v="2025-12-27T00:00:00"/>
    <x v="42"/>
    <s v="Витамины"/>
    <s v="CGN-01898"/>
    <x v="1"/>
    <x v="1821"/>
    <n v="47.42"/>
    <n v="-9.48"/>
    <n v="-1.8892729124236249"/>
    <n v="0"/>
    <n v="0.93061668944857145"/>
    <n v="3300.9287464358445"/>
    <n v="4700"/>
    <x v="908"/>
    <m/>
    <s v="2026 01"/>
    <n v="1399.0712535641555"/>
    <n v="0.42384170063494803"/>
  </r>
  <r>
    <s v="544160245"/>
    <n v="0"/>
    <s v="iHerb_VP DFD1605"/>
    <s v="Доставлен"/>
    <d v="2025-12-27T00:00:00"/>
    <x v="42"/>
    <s v="Витамины"/>
    <s v="NOW-01289"/>
    <x v="3"/>
    <x v="214"/>
    <n v="24.42"/>
    <n v="-4.88"/>
    <n v="-0.973020366598778"/>
    <n v="0"/>
    <n v="0.47928967084409829"/>
    <n v="1700.0566079429739"/>
    <n v="2700"/>
    <x v="881"/>
    <s v="Валентина Сычева"/>
    <s v="2026 03"/>
    <n v="999.94339205702613"/>
    <n v="0.58818240956513368"/>
  </r>
  <r>
    <s v="544160245"/>
    <n v="0"/>
    <s v="iHerb_VP DFD1605"/>
    <s v="Доставлен"/>
    <d v="2025-12-27T00:00:00"/>
    <x v="42"/>
    <s v="Витамины"/>
    <s v="NOW-03554"/>
    <x v="3"/>
    <x v="441"/>
    <n v="10.86"/>
    <n v="-2.17"/>
    <n v="-0.43273014256619141"/>
    <n v="0"/>
    <n v="0.21315390172135176"/>
    <n v="756.06406975560083"/>
    <n v="1700"/>
    <x v="914"/>
    <s v="Виктория Страховка"/>
    <s v="2026 04"/>
    <n v="943.93593024439917"/>
    <n v="1.2484866931310838"/>
  </r>
  <r>
    <s v="544223631"/>
    <n v="0"/>
    <s v="iHerb_VP DFD1605"/>
    <s v="Доставлен"/>
    <d v="2025-12-29T00:00:00"/>
    <x v="42"/>
    <s v="Витамины"/>
    <s v="QNL-00106"/>
    <x v="336"/>
    <x v="1730"/>
    <n v="49.73"/>
    <n v="-9.9499999999999993"/>
    <n v="-1.8341617021276599"/>
    <n v="5.6601531972038625E-15"/>
    <n v="0.95972068780233233"/>
    <n v="3471.4686638297881"/>
    <n v="5200"/>
    <x v="889"/>
    <m/>
    <s v="2026 02"/>
    <n v="1728.5313361702119"/>
    <n v="0.49792508691789961"/>
  </r>
  <r>
    <s v="544223631"/>
    <n v="0"/>
    <s v="iHerb_VP DFD1605"/>
    <s v="Доставлен"/>
    <d v="2025-12-29T00:00:00"/>
    <x v="42"/>
    <s v="Витамины"/>
    <s v="SOR-35281"/>
    <x v="10"/>
    <x v="1230"/>
    <n v="11.42"/>
    <n v="-2.2833333333333332"/>
    <n v="-0.42127008760951196"/>
    <n v="1.3000234551312039E-15"/>
    <n v="0.2204285575051276"/>
    <n v="797.32659691280787"/>
    <n v="1800"/>
    <x v="889"/>
    <s v="Светлана Звенигородская"/>
    <s v="2026 02"/>
    <n v="1002.6734030871921"/>
    <n v="1.2575441568981551"/>
  </r>
  <r>
    <s v="544223631"/>
    <n v="0"/>
    <s v="iHerb_VP DFD1605"/>
    <s v="Доставлен"/>
    <d v="2025-12-29T00:00:00"/>
    <x v="42"/>
    <s v="Витамины"/>
    <s v="SOR-35281"/>
    <x v="10"/>
    <x v="1230"/>
    <n v="11.42"/>
    <n v="-2.2833333333333332"/>
    <n v="-0.42127008760951196"/>
    <n v="1.3000234551312039E-15"/>
    <n v="0.2204285575051276"/>
    <n v="797.32659691280787"/>
    <n v="1800"/>
    <x v="889"/>
    <s v="Светлана Звенигородская"/>
    <s v="2026 02"/>
    <n v="1002.6734030871921"/>
    <n v="1.2575441568981551"/>
  </r>
  <r>
    <s v="544223631"/>
    <n v="0"/>
    <s v="iHerb_VP DFD1605"/>
    <s v="Доставлен"/>
    <d v="2025-12-29T00:00:00"/>
    <x v="42"/>
    <s v="Витамины"/>
    <s v="SOR-35281"/>
    <x v="10"/>
    <x v="1230"/>
    <n v="11.42"/>
    <n v="-2.2833333333333332"/>
    <n v="-0.42127008760951196"/>
    <n v="1.3000234551312039E-15"/>
    <n v="0.2204285575051276"/>
    <n v="797.32659691280787"/>
    <n v="1800"/>
    <x v="889"/>
    <s v="Любовь Виталий"/>
    <s v="2026 02"/>
    <n v="1002.6734030871921"/>
    <n v="1.2575441568981551"/>
  </r>
  <r>
    <s v="544223631"/>
    <n v="0"/>
    <s v="iHerb_VP DFD1605"/>
    <s v="Доставлен"/>
    <d v="2025-12-29T00:00:00"/>
    <x v="42"/>
    <s v="Спортпит"/>
    <s v="PPV-02584"/>
    <x v="335"/>
    <x v="1760"/>
    <n v="19.13"/>
    <n v="-10.59"/>
    <n v="-0.39375919899874851"/>
    <n v="1.2151259000533178E-15"/>
    <n v="0.20603355137837903"/>
    <n v="745.25747584480609"/>
    <m/>
    <x v="20"/>
    <m/>
    <s v=""/>
    <n v="-745.25747584480609"/>
    <s v=""/>
  </r>
  <r>
    <s v="544223631"/>
    <n v="0"/>
    <s v="iHerb_VP DFD1605"/>
    <s v="Доставлен"/>
    <d v="2025-12-29T00:00:00"/>
    <x v="42"/>
    <s v="Витамины"/>
    <s v="SOL-52387"/>
    <x v="19"/>
    <x v="1210"/>
    <n v="18.04"/>
    <n v="0"/>
    <n v="-0.83178172715894882"/>
    <n v="2.5668467490587652E-15"/>
    <n v="0.43522778300538151"/>
    <n v="1574.2909677096375"/>
    <n v="2500"/>
    <x v="915"/>
    <s v="лев"/>
    <s v="2026 05"/>
    <n v="925.70903229036253"/>
    <n v="0.5880164793406224"/>
  </r>
  <r>
    <s v="544223631"/>
    <n v="0"/>
    <s v="iHerb_VP DFD1605"/>
    <s v="Доставлен"/>
    <d v="2025-12-29T00:00:00"/>
    <x v="42"/>
    <s v="Витамины"/>
    <s v="SOL-52387"/>
    <x v="19"/>
    <x v="1210"/>
    <n v="18.04"/>
    <n v="0"/>
    <n v="-0.83178172715894882"/>
    <n v="2.5668467490587652E-15"/>
    <n v="0.43522778300538151"/>
    <n v="1574.2909677096375"/>
    <m/>
    <x v="20"/>
    <m/>
    <s v=""/>
    <n v="-1574.2909677096375"/>
    <s v=""/>
  </r>
  <r>
    <s v="544223631"/>
    <n v="0"/>
    <s v="iHerb_VP DFD1605"/>
    <s v="Доставлен"/>
    <d v="2025-12-29T00:00:00"/>
    <x v="42"/>
    <s v="Витамины"/>
    <s v="SOL-59205"/>
    <x v="19"/>
    <x v="1768"/>
    <n v="18.13"/>
    <n v="0"/>
    <n v="-0.83593141426783502"/>
    <n v="2.5796525255230274E-15"/>
    <n v="0.43739909677868988"/>
    <n v="1582.1449692115145"/>
    <n v="2400"/>
    <x v="889"/>
    <s v="Оксана 17 Цветы"/>
    <s v="2026 02"/>
    <n v="817.85503078848546"/>
    <n v="0.5169279975627491"/>
  </r>
  <r>
    <s v="544223631"/>
    <n v="0"/>
    <s v="iHerb_VP DFD1605"/>
    <s v="Доставлен"/>
    <d v="2025-12-29T00:00:00"/>
    <x v="42"/>
    <s v="Витамины"/>
    <s v="AGE-60921"/>
    <x v="189"/>
    <x v="1780"/>
    <n v="67.19"/>
    <n v="-13.44"/>
    <n v="-2.4782853566958702"/>
    <n v="7.6478942772676632E-15"/>
    <n v="1.2967568368369875"/>
    <n v="4690.5842302878609"/>
    <m/>
    <x v="20"/>
    <m/>
    <s v=""/>
    <n v="-4690.5842302878609"/>
    <s v=""/>
  </r>
  <r>
    <s v="544223631"/>
    <n v="0"/>
    <s v="iHerb_VP DFD1605"/>
    <s v="Доставлен"/>
    <d v="2025-12-29T00:00:00"/>
    <x v="42"/>
    <s v="Витамины"/>
    <s v="LEX-23151"/>
    <x v="7"/>
    <x v="17"/>
    <n v="20.07"/>
    <n v="-4.01"/>
    <n v="-0.74048861076345451"/>
    <n v="2.2851196668449985E-15"/>
    <n v="0.38745887999259576"/>
    <n v="1401.5029346683359"/>
    <n v="2600"/>
    <x v="889"/>
    <s v="Полина Цветы"/>
    <s v="2026 02"/>
    <n v="1198.4970653316641"/>
    <n v="0.85515130627627767"/>
  </r>
  <r>
    <s v="544252242"/>
    <n v="0"/>
    <s v="iHerb_AV CYG0792"/>
    <s v="Доставлен"/>
    <d v="2025-12-30T00:00:00"/>
    <x v="42"/>
    <s v="Витамины"/>
    <s v="SOL-59205"/>
    <x v="19"/>
    <x v="1768"/>
    <n v="18.13"/>
    <n v="0"/>
    <n v="-1.5720502431118315"/>
    <n v="0"/>
    <n v="0.78337190407346091"/>
    <n v="1553.8990212497747"/>
    <n v="2400"/>
    <x v="771"/>
    <m/>
    <s v="2026 02"/>
    <n v="846.10097875022529"/>
    <n v="0.54450190596665704"/>
  </r>
  <r>
    <s v="544252242"/>
    <n v="0"/>
    <s v="iHerb_AV CYG0792"/>
    <s v="Доставлен"/>
    <d v="2025-12-30T00:00:00"/>
    <x v="42"/>
    <s v="Витамины"/>
    <s v="SOL-02551"/>
    <x v="19"/>
    <x v="1702"/>
    <n v="7.73"/>
    <n v="0"/>
    <n v="-0.67026742301458675"/>
    <n v="0"/>
    <n v="0.33400247206220929"/>
    <n v="662.52837475238607"/>
    <n v="1300"/>
    <x v="803"/>
    <s v="Оксана 17 Цветы"/>
    <s v="2026 02"/>
    <n v="637.47162524761393"/>
    <n v="0.9621801111323921"/>
  </r>
  <r>
    <s v="544252242"/>
    <n v="0"/>
    <s v="iHerb_AV CYG0792"/>
    <s v="Доставлен"/>
    <d v="2025-12-30T00:00:00"/>
    <x v="42"/>
    <s v="Витамины"/>
    <s v="SOL-01121"/>
    <x v="19"/>
    <x v="1822"/>
    <n v="13.64"/>
    <n v="0"/>
    <n v="-1.1827228525121558"/>
    <n v="0"/>
    <n v="0.58936529352244948"/>
    <n v="1169.066886367729"/>
    <m/>
    <x v="20"/>
    <m/>
    <s v=""/>
    <n v="-1169.066886367729"/>
    <s v=""/>
  </r>
  <r>
    <s v="544252242"/>
    <n v="0"/>
    <s v="iHerb_AV CYG0792"/>
    <s v="Доставлен"/>
    <d v="2025-12-30T00:00:00"/>
    <x v="42"/>
    <s v="Витамины"/>
    <s v="SOL-01736"/>
    <x v="19"/>
    <x v="139"/>
    <n v="23.26"/>
    <n v="0"/>
    <n v="-2.0168719611021073"/>
    <n v="0"/>
    <n v="1.0050320181328574"/>
    <n v="1993.5847343778137"/>
    <m/>
    <x v="20"/>
    <m/>
    <s v=""/>
    <n v="-1993.5847343778137"/>
    <s v=""/>
  </r>
  <r>
    <s v="544252242"/>
    <n v="0"/>
    <s v="iHerb_AV CYG0792"/>
    <s v="Доставлен"/>
    <d v="2025-12-30T00:00:00"/>
    <x v="42"/>
    <s v="Витамины"/>
    <s v="SOL-03501"/>
    <x v="19"/>
    <x v="1823"/>
    <n v="11.87"/>
    <n v="0"/>
    <n v="-1.0292463533225282"/>
    <n v="0"/>
    <n v="0.51288607288207289"/>
    <n v="1017.3624590311541"/>
    <n v="2000"/>
    <x v="803"/>
    <s v="Оксана 17 Цветы"/>
    <s v="2026 02"/>
    <n v="982.63754096884588"/>
    <n v="0.96586770255374155"/>
  </r>
  <r>
    <s v="544252242"/>
    <n v="0"/>
    <s v="iHerb_AV CYG0792"/>
    <s v="Доставлен"/>
    <d v="2025-12-30T00:00:00"/>
    <x v="42"/>
    <s v="Витамины"/>
    <s v="SOL-00680"/>
    <x v="19"/>
    <x v="1824"/>
    <n v="9.68"/>
    <n v="0"/>
    <n v="-0.83935170178282015"/>
    <n v="0"/>
    <n v="0.4182592405643189"/>
    <n v="829.66037097064634"/>
    <n v="1600"/>
    <x v="889"/>
    <s v="Оксана 17 Цветы"/>
    <s v="2026 02"/>
    <n v="770.33962902935366"/>
    <n v="0.92849996936470347"/>
  </r>
  <r>
    <s v="544252242"/>
    <n v="0"/>
    <s v="iHerb_AV CYG0792"/>
    <s v="Доставлен"/>
    <d v="2025-12-30T00:00:00"/>
    <x v="42"/>
    <s v="Витамины"/>
    <s v="SOL-01182"/>
    <x v="19"/>
    <x v="1825"/>
    <n v="26.75"/>
    <n v="0"/>
    <n v="-2.3194894651539708"/>
    <n v="0"/>
    <n v="1.1558300294520178"/>
    <n v="2292.7081532504949"/>
    <n v="3000"/>
    <x v="877"/>
    <m/>
    <s v="2026 03"/>
    <n v="707.29184674950511"/>
    <n v="0.3084962408960511"/>
  </r>
  <r>
    <s v="719169362"/>
    <n v="0"/>
    <s v="CoralClub_OA"/>
    <s v="Доставлен"/>
    <d v="2026-01-06T00:00:00"/>
    <x v="43"/>
    <s v="Витамины"/>
    <s v="000091848"/>
    <x v="79"/>
    <x v="590"/>
    <n v="1548"/>
    <n v="0"/>
    <n v="0"/>
    <n v="0"/>
    <n v="0"/>
    <n v="1548"/>
    <n v="1950"/>
    <x v="916"/>
    <m/>
    <s v="2026 01"/>
    <n v="402"/>
    <n v="0.25968992248062017"/>
  </r>
  <r>
    <s v="OZO0186"/>
    <n v="0"/>
    <s v="OZON_OA"/>
    <s v="Доставлен"/>
    <d v="2026-01-09T00:00:00"/>
    <x v="43"/>
    <s v="Спортпит"/>
    <s v="892721541"/>
    <x v="162"/>
    <x v="618"/>
    <n v="1007"/>
    <n v="0"/>
    <n v="0"/>
    <n v="0"/>
    <n v="0"/>
    <n v="1007"/>
    <n v="2000"/>
    <x v="874"/>
    <s v="Виктория Бахчиванджи"/>
    <s v="2026 01"/>
    <n v="993"/>
    <n v="0.98609731876861961"/>
  </r>
  <r>
    <s v="544472292"/>
    <n v="0"/>
    <s v="iHerb_VP DFD1605"/>
    <s v="Доставлен"/>
    <d v="2026-01-06T00:00:00"/>
    <x v="43"/>
    <s v="Витамины"/>
    <s v="NCA-38663"/>
    <x v="210"/>
    <x v="1826"/>
    <n v="47.92"/>
    <n v="-11.98"/>
    <n v="-1.8712577780141464"/>
    <n v="0"/>
    <n v="0.92058702891257593"/>
    <n v="3123.8498282189012"/>
    <n v="3900"/>
    <x v="889"/>
    <s v="Юлия АТБ кольцо"/>
    <s v="2026 02"/>
    <n v="776.15017178109883"/>
    <n v="0.24845950172439299"/>
  </r>
  <r>
    <s v="544472292"/>
    <n v="0"/>
    <s v="iHerb_VP DFD1605"/>
    <s v="Доставлен"/>
    <d v="2026-01-06T00:00:00"/>
    <x v="43"/>
    <s v="Витамины"/>
    <s v="DRB-00091"/>
    <x v="6"/>
    <x v="1827"/>
    <n v="12.96"/>
    <n v="-3.24"/>
    <n v="-0.50608307185023671"/>
    <n v="0"/>
    <n v="0.24897345356233275"/>
    <n v="844.84753284050419"/>
    <m/>
    <x v="20"/>
    <m/>
    <s v=""/>
    <n v="-844.84753284050419"/>
    <s v=""/>
  </r>
  <r>
    <s v="544472292"/>
    <n v="0"/>
    <s v="iHerb_VP DFD1605"/>
    <s v="Доставлен"/>
    <d v="2026-01-06T00:00:00"/>
    <x v="43"/>
    <s v="Витамины"/>
    <s v="CGN-02060"/>
    <x v="1"/>
    <x v="1806"/>
    <n v="51.7"/>
    <n v="-12.93"/>
    <n v="-2.0186050098388555"/>
    <n v="0"/>
    <n v="0.99307621343741159"/>
    <n v="3369.8290996117644"/>
    <m/>
    <x v="20"/>
    <m/>
    <s v=""/>
    <n v="-3369.8290996117644"/>
    <s v=""/>
  </r>
  <r>
    <s v="544472292"/>
    <n v="0"/>
    <s v="iHerb_VP DFD1605"/>
    <s v="Доставлен"/>
    <d v="2026-01-06T00:00:00"/>
    <x v="43"/>
    <s v="Витамины"/>
    <s v="BRM-03391"/>
    <x v="126"/>
    <x v="442"/>
    <n v="6.52"/>
    <n v="-1.63"/>
    <n v="-0.25460352071477954"/>
    <n v="0"/>
    <n v="0.12525516336623529"/>
    <n v="425.03132053395734"/>
    <n v="1100"/>
    <x v="889"/>
    <s v="Римма Омск"/>
    <s v="2026 02"/>
    <n v="674.96867946604266"/>
    <n v="1.5880445672052934"/>
  </r>
  <r>
    <s v="544472292"/>
    <n v="0"/>
    <s v="iHerb_VP DFD1605"/>
    <s v="Доставлен"/>
    <d v="2026-01-06T00:00:00"/>
    <x v="43"/>
    <s v="Витамины"/>
    <s v="BRM-03391"/>
    <x v="126"/>
    <x v="442"/>
    <n v="6.52"/>
    <n v="-1.63"/>
    <n v="-0.25460352071477954"/>
    <n v="0"/>
    <n v="0.12525516336623529"/>
    <n v="425.03132053395734"/>
    <n v="1100"/>
    <x v="889"/>
    <s v="Римма Омск"/>
    <s v="2026 02"/>
    <n v="674.96867946604266"/>
    <n v="1.5880445672052934"/>
  </r>
  <r>
    <s v="544472292"/>
    <n v="0"/>
    <s v="iHerb_VP DFD1605"/>
    <s v="Доставлен"/>
    <d v="2026-01-06T00:00:00"/>
    <x v="43"/>
    <s v="Витамины"/>
    <s v="BNR-01791"/>
    <x v="289"/>
    <x v="1436"/>
    <n v="28.97"/>
    <n v="-7.24"/>
    <n v="-1.1313976493112798"/>
    <n v="0"/>
    <n v="0.55660423311826013"/>
    <n v="1888.7383630271765"/>
    <n v="3100"/>
    <x v="889"/>
    <s v="Римма Омск"/>
    <s v="2026 02"/>
    <n v="1211.2616369728235"/>
    <n v="0.6413072666303411"/>
  </r>
  <r>
    <s v="544472292"/>
    <n v="0"/>
    <s v="iHerb_VP DFD1605"/>
    <s v="Доставлен"/>
    <d v="2026-01-06T00:00:00"/>
    <x v="43"/>
    <s v="Витамины"/>
    <s v="LKN-01663"/>
    <x v="1"/>
    <x v="1828"/>
    <n v="38.799999999999997"/>
    <n v="-9.6999999999999993"/>
    <n v="-1.5151252459713873"/>
    <n v="0"/>
    <n v="0.74538348751686012"/>
    <n v="2529.3274902941021"/>
    <n v="4500"/>
    <x v="889"/>
    <s v="Римма Омск"/>
    <s v="2026 02"/>
    <n v="1970.6725097058979"/>
    <n v="0.7791290440909866"/>
  </r>
  <r>
    <s v="544472292"/>
    <n v="0"/>
    <s v="iHerb_VP DFD1605"/>
    <s v="Доставлен"/>
    <d v="2026-01-06T00:00:00"/>
    <x v="43"/>
    <s v="Витамины"/>
    <s v="NCS-67527"/>
    <x v="217"/>
    <x v="1436"/>
    <n v="28.93"/>
    <n v="-7.23"/>
    <n v="-1.1298356645216188"/>
    <n v="0"/>
    <n v="0.55583579653319137"/>
    <n v="1886.1308089134714"/>
    <m/>
    <x v="20"/>
    <m/>
    <s v=""/>
    <n v="-1886.1308089134714"/>
    <s v=""/>
  </r>
  <r>
    <s v="544472292"/>
    <n v="0"/>
    <s v="iHerb_VP DFD1605"/>
    <s v="Доставлен"/>
    <d v="2026-01-06T00:00:00"/>
    <x v="43"/>
    <s v="Витамины"/>
    <s v="CGN-01033"/>
    <x v="1"/>
    <x v="1"/>
    <n v="22.39"/>
    <n v="-5.6"/>
    <n v="-0.87419082061373166"/>
    <n v="0"/>
    <n v="0.43006834211024347"/>
    <n v="1459.361118970377"/>
    <n v="2600"/>
    <x v="847"/>
    <s v="Татьяна Индол"/>
    <s v="2026 04"/>
    <n v="1140.638881029623"/>
    <n v="0.78160152836905639"/>
  </r>
  <r>
    <s v="544472292"/>
    <n v="0"/>
    <s v="iHerb_VP DFD1605"/>
    <s v="Доставлен"/>
    <d v="2026-01-06T00:00:00"/>
    <x v="43"/>
    <s v="Витамины"/>
    <s v="FOA-66034"/>
    <x v="171"/>
    <x v="1829"/>
    <n v="11.35"/>
    <n v="-6.85"/>
    <n v="-0.2342977184491836"/>
    <n v="0"/>
    <n v="0.11526548776033924"/>
    <n v="391.13311705578906"/>
    <m/>
    <x v="20"/>
    <m/>
    <s v=""/>
    <n v="-391.13311705578906"/>
    <s v=""/>
  </r>
  <r>
    <s v="544629534"/>
    <n v="0"/>
    <s v="iHerb_VP DFD1605"/>
    <s v="Доставлен"/>
    <d v="2026-01-10T00:00:00"/>
    <x v="43"/>
    <s v="Витамины"/>
    <s v="SOR-35007"/>
    <x v="10"/>
    <x v="1576"/>
    <n v="25.02"/>
    <n v="-2.5"/>
    <n v="-0.72081031804983453"/>
    <n v="0"/>
    <n v="0.86555633652392749"/>
    <n v="2022.8416260382198"/>
    <n v="2900"/>
    <x v="912"/>
    <s v="Надежда Витамины"/>
    <s v="2026 02"/>
    <n v="877.15837396178017"/>
    <n v="0.43362681619307702"/>
  </r>
  <r>
    <s v="544629534"/>
    <n v="0"/>
    <s v="iHerb_VP DFD1605"/>
    <s v="Доставлен"/>
    <d v="2026-01-10T00:00:00"/>
    <x v="43"/>
    <s v="Витамины"/>
    <s v="NRT-00526"/>
    <x v="27"/>
    <x v="1785"/>
    <n v="28.18"/>
    <n v="-2.82"/>
    <n v="-0.8117117968802755"/>
    <n v="0"/>
    <n v="0.97471175374097685"/>
    <n v="2277.9424350057398"/>
    <n v="3000"/>
    <x v="912"/>
    <s v="Оксана Черноморская"/>
    <s v="2026 02"/>
    <n v="722.05756499426025"/>
    <n v="0.31697796831834379"/>
  </r>
  <r>
    <s v="544629534"/>
    <n v="0"/>
    <s v="iHerb_VP DFD1605"/>
    <s v="Доставлен"/>
    <d v="2026-01-10T00:00:00"/>
    <x v="43"/>
    <s v="Витамины"/>
    <s v="NFS-03544"/>
    <x v="23"/>
    <x v="1830"/>
    <n v="20.239999999999998"/>
    <n v="-2.02"/>
    <n v="-0.58317779728543451"/>
    <n v="0"/>
    <n v="0.70028581045585958"/>
    <n v="1636.5974434465527"/>
    <n v="2300"/>
    <x v="912"/>
    <s v="Оксана Черноморская"/>
    <s v="2026 02"/>
    <n v="663.40255655344731"/>
    <n v="0.40535475550809291"/>
  </r>
  <r>
    <s v="544629534"/>
    <n v="0"/>
    <s v="iHerb_VP DFD1605"/>
    <s v="Доставлен"/>
    <d v="2026-01-10T00:00:00"/>
    <x v="43"/>
    <s v="Витамины"/>
    <s v="CGN-01366"/>
    <x v="1"/>
    <x v="1831"/>
    <n v="9.41"/>
    <n v="-1.88"/>
    <n v="-0.24101694915254238"/>
    <n v="0"/>
    <n v="0.28941559564943048"/>
    <n v="676.37644067796612"/>
    <n v="1300"/>
    <x v="912"/>
    <s v="Оксана Черноморская"/>
    <s v="2026 02"/>
    <n v="623.62355932203388"/>
    <n v="0.92200662503404851"/>
  </r>
  <r>
    <s v="544629534"/>
    <n v="0"/>
    <s v="iHerb_VP DFD1605"/>
    <s v="Доставлен"/>
    <d v="2026-01-10T00:00:00"/>
    <x v="43"/>
    <s v="Витамины"/>
    <s v="MII-16734"/>
    <x v="343"/>
    <x v="1832"/>
    <n v="23.69"/>
    <n v="-2.37"/>
    <n v="-0.68240124248767642"/>
    <n v="0"/>
    <n v="0.81943432924911774"/>
    <n v="1915.052551826592"/>
    <n v="2600"/>
    <x v="912"/>
    <s v="Оксана Черноморская"/>
    <s v="2026 02"/>
    <n v="684.94744817340802"/>
    <n v="0.35766509254281292"/>
  </r>
  <r>
    <s v="544629534"/>
    <n v="0"/>
    <s v="iHerb_VP DFD1605"/>
    <s v="Доставлен"/>
    <d v="2026-01-10T00:00:00"/>
    <x v="43"/>
    <s v="Витамины"/>
    <s v="PHT-94763"/>
    <x v="309"/>
    <x v="1833"/>
    <n v="20.92"/>
    <n v="-3.14"/>
    <n v="-0.56909446957930987"/>
    <n v="0"/>
    <n v="0.68337440778842939"/>
    <n v="1597.0747829022896"/>
    <n v="2600"/>
    <x v="611"/>
    <s v="Татьяна Бригантина"/>
    <s v="2026 02"/>
    <n v="1002.9252170977104"/>
    <n v="0.62797636518631961"/>
  </r>
  <r>
    <s v="544629534"/>
    <n v="0"/>
    <s v="iHerb_VP DFD1605"/>
    <s v="Доставлен"/>
    <d v="2026-01-10T00:00:00"/>
    <x v="43"/>
    <s v="Витамины"/>
    <s v="BLB-00298"/>
    <x v="186"/>
    <x v="748"/>
    <n v="9.61"/>
    <n v="-0.96"/>
    <n v="-0.27686541967722328"/>
    <n v="0"/>
    <n v="0.33246280243925269"/>
    <n v="776.97957660881877"/>
    <n v="1600"/>
    <x v="779"/>
    <m/>
    <s v="2026 02"/>
    <n v="823.02042339118123"/>
    <n v="1.0592561866082901"/>
  </r>
  <r>
    <s v="544629534"/>
    <n v="0"/>
    <s v="iHerb_VP DFD1605"/>
    <s v="Доставлен"/>
    <d v="2026-01-10T00:00:00"/>
    <x v="43"/>
    <s v="Витамины"/>
    <s v="BLB-00298"/>
    <x v="186"/>
    <x v="748"/>
    <n v="9.61"/>
    <n v="-0.96"/>
    <n v="-0.27686541967722328"/>
    <n v="0"/>
    <n v="0.33246280243925269"/>
    <n v="776.97957660881877"/>
    <n v="1600"/>
    <x v="917"/>
    <s v="Оксана 17 Цветы"/>
    <s v="2026 04"/>
    <n v="823.02042339118123"/>
    <n v="1.0592561866082901"/>
  </r>
  <r>
    <s v="544629534"/>
    <n v="0"/>
    <s v="iHerb_VP DFD1605"/>
    <s v="Доставлен"/>
    <d v="2026-01-10T00:00:00"/>
    <x v="43"/>
    <s v="Витамины"/>
    <s v="LEX-23151"/>
    <x v="7"/>
    <x v="17"/>
    <n v="20.07"/>
    <n v="-2.0099999999999998"/>
    <n v="-0.57805658721048014"/>
    <n v="0"/>
    <n v="0.69413620948588506"/>
    <n v="1622.2255668850028"/>
    <n v="2600"/>
    <x v="912"/>
    <s v="Оксана 17 Цветы"/>
    <s v="2026 02"/>
    <n v="977.77443311499724"/>
    <n v="0.60273642154002016"/>
  </r>
  <r>
    <s v="544846061"/>
    <n v="0"/>
    <s v="iHerb_VP DFD1605"/>
    <s v="Доставлен"/>
    <d v="2026-01-16T00:00:00"/>
    <x v="43"/>
    <s v="Витамины"/>
    <s v="CLF-06419"/>
    <x v="72"/>
    <x v="1797"/>
    <n v="29.46"/>
    <n v="-4.42"/>
    <n v="0"/>
    <n v="4.0040486336070463E-15"/>
    <n v="0.80426451796872678"/>
    <n v="2299.7367705637448"/>
    <n v="3200"/>
    <x v="912"/>
    <s v="Наталья Школа 53"/>
    <s v="2026 02"/>
    <n v="900.26322943625519"/>
    <n v="0.39146359746883969"/>
  </r>
  <r>
    <s v="544846061"/>
    <n v="0"/>
    <s v="iHerb_VP DFD1605"/>
    <s v="Доставлен"/>
    <d v="2026-01-16T00:00:00"/>
    <x v="43"/>
    <s v="Витамины"/>
    <s v="SOL-01016"/>
    <x v="19"/>
    <x v="1834"/>
    <n v="17.52"/>
    <n v="0"/>
    <n v="0"/>
    <n v="2.8015547947602015E-15"/>
    <n v="0.56272820905799104"/>
    <n v="1609.0809992123329"/>
    <m/>
    <x v="20"/>
    <m/>
    <s v=""/>
    <n v="-1609.0809992123329"/>
    <s v=""/>
  </r>
  <r>
    <s v="544846061"/>
    <n v="0"/>
    <s v="iHerb_VP DFD1605"/>
    <s v="Доставлен"/>
    <d v="2026-01-16T00:00:00"/>
    <x v="43"/>
    <s v="Витамины"/>
    <s v="NFS-35493"/>
    <x v="23"/>
    <x v="1383"/>
    <n v="49.39"/>
    <n v="-7.41"/>
    <n v="0"/>
    <n v="6.7128578929242738E-15"/>
    <n v="1.3483635968181773"/>
    <n v="3855.549106560145"/>
    <n v="5200"/>
    <x v="779"/>
    <s v="Виталий Черемушки"/>
    <s v="2026 02"/>
    <n v="1344.450893439855"/>
    <n v="0.34870542594109277"/>
  </r>
  <r>
    <s v="544846061"/>
    <n v="0"/>
    <s v="iHerb_VP DFD1605"/>
    <s v="Доставлен"/>
    <d v="2026-01-16T00:00:00"/>
    <x v="43"/>
    <s v="Витамины"/>
    <s v="NFS-35493"/>
    <x v="23"/>
    <x v="1383"/>
    <n v="49.39"/>
    <n v="-7.41"/>
    <n v="0"/>
    <n v="6.7128578929242738E-15"/>
    <n v="1.3483635968181773"/>
    <n v="3855.549106560145"/>
    <n v="5200"/>
    <x v="779"/>
    <s v="Виталий Черемушки"/>
    <s v="2026 02"/>
    <n v="1344.450893439855"/>
    <n v="0.34870542594109277"/>
  </r>
  <r>
    <s v="544846061"/>
    <n v="0"/>
    <s v="iHerb_VP DFD1605"/>
    <s v="Доставлен"/>
    <d v="2026-01-16T00:00:00"/>
    <x v="43"/>
    <s v="Витамины"/>
    <s v="NOW-00420"/>
    <x v="3"/>
    <x v="515"/>
    <n v="14.25"/>
    <n v="-2.14"/>
    <n v="0"/>
    <n v="1.9364628176110754E-15"/>
    <n v="0.38896339107832595"/>
    <n v="1112.2129509395747"/>
    <m/>
    <x v="20"/>
    <m/>
    <s v=""/>
    <n v="-1112.2129509395747"/>
    <s v=""/>
  </r>
  <r>
    <s v="544846061"/>
    <n v="0"/>
    <s v="iHerb_VP DFD1605"/>
    <s v="Доставлен"/>
    <d v="2026-01-16T00:00:00"/>
    <x v="43"/>
    <s v="Витамины"/>
    <s v="NOW-01289"/>
    <x v="3"/>
    <x v="214"/>
    <n v="25.29"/>
    <n v="-3.79"/>
    <n v="0"/>
    <n v="3.4379810552137179E-15"/>
    <n v="0.69056258531659853"/>
    <n v="1974.6142399009793"/>
    <n v="2900"/>
    <x v="883"/>
    <s v="Светлана Кулаки"/>
    <s v="2026 04"/>
    <n v="925.38576009902067"/>
    <n v="0.46864128770054136"/>
  </r>
  <r>
    <s v="544846061"/>
    <n v="0"/>
    <s v="iHerb_VP DFD1605"/>
    <s v="Доставлен"/>
    <d v="2026-01-16T00:00:00"/>
    <x v="43"/>
    <s v="Витамины"/>
    <s v="LEX-19456"/>
    <x v="7"/>
    <x v="558"/>
    <n v="10.36"/>
    <n v="-1.5549999999999999"/>
    <n v="0"/>
    <n v="1.4079731716817109E-15"/>
    <n v="0.28280946807965812"/>
    <n v="808.67341313154066"/>
    <n v="1300"/>
    <x v="779"/>
    <s v="Оксана молокозавод"/>
    <s v="2026 02"/>
    <n v="491.32658686845934"/>
    <n v="0.6075710897503428"/>
  </r>
  <r>
    <s v="544846061"/>
    <n v="0"/>
    <s v="iHerb_VP DFD1605"/>
    <s v="Доставлен"/>
    <d v="2026-01-16T00:00:00"/>
    <x v="43"/>
    <s v="Витамины"/>
    <s v="LEX-19456"/>
    <x v="7"/>
    <x v="558"/>
    <n v="10.36"/>
    <n v="-1.5549999999999999"/>
    <n v="0"/>
    <n v="1.4079731716817109E-15"/>
    <n v="0.28280946807965812"/>
    <n v="808.67341313154066"/>
    <n v="1300"/>
    <x v="779"/>
    <s v="Оксана молокозавод"/>
    <s v="2026 02"/>
    <n v="491.32658686845934"/>
    <n v="0.6075710897503428"/>
  </r>
  <r>
    <s v="544629418"/>
    <n v="0"/>
    <s v="iHerb_AV CYG0792"/>
    <s v="Доставлен"/>
    <d v="2026-01-10T00:00:00"/>
    <x v="43"/>
    <s v="Витамины"/>
    <s v="SYN-00439"/>
    <x v="344"/>
    <x v="1835"/>
    <n v="66.39"/>
    <n v="-6.64"/>
    <n v="-5.7782103160374936"/>
    <n v="-8.6984435715138E-15"/>
    <n v="1.7300021410862447"/>
    <n v="5005.8472452388105"/>
    <n v="6400"/>
    <x v="912"/>
    <s v="Оксана Черноморская"/>
    <s v="2026 02"/>
    <n v="1394.1527547611895"/>
    <n v="0.27850485371626227"/>
  </r>
  <r>
    <s v="544629418"/>
    <n v="0"/>
    <s v="iHerb_AV CYG0792"/>
    <s v="Доставлен"/>
    <d v="2026-01-10T00:00:00"/>
    <x v="43"/>
    <s v="Витамины"/>
    <s v="SKH-52061"/>
    <x v="316"/>
    <x v="1595"/>
    <n v="19.739999999999998"/>
    <n v="-1.97"/>
    <n v="-1.7184735952466319"/>
    <n v="-2.5869680713941462E-15"/>
    <n v="0.51451277066280443"/>
    <n v="1488.7682936885967"/>
    <n v="2250"/>
    <x v="912"/>
    <s v="Оксана Черноморская"/>
    <s v="2026 02"/>
    <n v="761.23170631140329"/>
    <n v="0.5113164416105096"/>
  </r>
  <r>
    <s v="544629418"/>
    <n v="0"/>
    <s v="iHerb_AV CYG0792"/>
    <s v="Доставлен"/>
    <d v="2026-01-10T00:00:00"/>
    <x v="43"/>
    <s v="Витамины"/>
    <s v="TNQ-00738"/>
    <x v="345"/>
    <x v="1836"/>
    <n v="28.46"/>
    <n v="-2.85"/>
    <n v="-2.4766521538697943"/>
    <n v="-3.7283203324931954E-15"/>
    <n v="0.74151221478190332"/>
    <n v="2145.6024761600993"/>
    <n v="3000"/>
    <x v="912"/>
    <s v="Оксана Черноморская"/>
    <s v="2026 02"/>
    <n v="854.39752383990071"/>
    <n v="0.39820867720519343"/>
  </r>
  <r>
    <s v="544629418"/>
    <n v="0"/>
    <s v="iHerb_AV CYG0792"/>
    <s v="Доставлен"/>
    <d v="2026-01-10T00:00:00"/>
    <x v="43"/>
    <s v="Витамины"/>
    <s v="DFH-00286"/>
    <x v="346"/>
    <x v="1837"/>
    <n v="90.51"/>
    <n v="-9.0500000000000007"/>
    <n v="-7.8777073195717859"/>
    <n v="-1.1858999386368439E-14"/>
    <n v="2.3585937140231885"/>
    <n v="6824.7082275674229"/>
    <n v="8550"/>
    <x v="912"/>
    <s v="Оксана Черноморская"/>
    <s v="2026 02"/>
    <n v="1725.2917724325771"/>
    <n v="0.25280081065788429"/>
  </r>
  <r>
    <s v="544629418"/>
    <n v="0"/>
    <s v="iHerb_AV CYG0792"/>
    <s v="Доставлен"/>
    <d v="2026-01-10T00:00:00"/>
    <x v="43"/>
    <s v="Витамины"/>
    <s v="SOR-35281"/>
    <x v="10"/>
    <x v="1230"/>
    <n v="11.82"/>
    <n v="-1.18"/>
    <n v="-1.0289566152742917"/>
    <n v="-1.5489780686344241E-15"/>
    <n v="0.30807067416163419"/>
    <n v="891.41781906846768"/>
    <n v="1800"/>
    <x v="912"/>
    <s v="Любовь Виталий"/>
    <s v="2026 02"/>
    <n v="908.58218093153232"/>
    <n v="1.019255125369831"/>
  </r>
  <r>
    <s v="545077665"/>
    <n v="0"/>
    <s v="iHerb_VP DFD1605"/>
    <s v="Доставлен"/>
    <d v="2026-01-22T00:00:00"/>
    <x v="43"/>
    <s v="Витамины"/>
    <s v="SOR-04802"/>
    <x v="10"/>
    <x v="1807"/>
    <n v="30.75"/>
    <n v="-3.08"/>
    <n v="-1.4433258567628189"/>
    <n v="-4.102178811430175E-15"/>
    <n v="0.82273105987809458"/>
    <n v="2410.6154227739812"/>
    <n v="3300"/>
    <x v="912"/>
    <s v="Надежда Витамины"/>
    <s v="2026 02"/>
    <n v="889.38457722601879"/>
    <n v="0.36894502906754501"/>
  </r>
  <r>
    <s v="545077665"/>
    <n v="0"/>
    <s v="iHerb_VP DFD1605"/>
    <s v="Доставлен"/>
    <d v="2026-01-22T00:00:00"/>
    <x v="43"/>
    <s v="Витамины"/>
    <s v="NOW-02680"/>
    <x v="3"/>
    <x v="714"/>
    <n v="9.74"/>
    <n v="-0.97"/>
    <n v="-0.45746179124719616"/>
    <n v="-1.3001846106339944E-15"/>
    <n v="0.26076441615941054"/>
    <n v="764.04399196703332"/>
    <n v="1500"/>
    <x v="912"/>
    <s v="Надежда Витамины"/>
    <s v="2026 02"/>
    <n v="735.95600803296668"/>
    <n v="0.96323773993464168"/>
  </r>
  <r>
    <s v="545077665"/>
    <n v="0"/>
    <s v="iHerb_VP DFD1605"/>
    <s v="Доставлен"/>
    <d v="2026-01-22T00:00:00"/>
    <x v="43"/>
    <s v="Витамины"/>
    <s v="NCS-57114"/>
    <x v="217"/>
    <x v="1668"/>
    <n v="40.770000000000003"/>
    <n v="-4.08"/>
    <n v="-1.9138281779771529"/>
    <n v="-5.4394268374186167E-15"/>
    <n v="1.0909288972507156"/>
    <n v="3196.4394601220588"/>
    <n v="4200"/>
    <x v="912"/>
    <s v="Надежда Витамины"/>
    <s v="2026 02"/>
    <n v="1003.5605398779412"/>
    <n v="0.31396200441087641"/>
  </r>
  <r>
    <s v="545077665"/>
    <n v="0"/>
    <s v="iHerb_VP DFD1605"/>
    <s v="Доставлен"/>
    <d v="2026-01-22T00:00:00"/>
    <x v="43"/>
    <s v="Витамины"/>
    <s v="CLF-07211"/>
    <x v="72"/>
    <x v="1655"/>
    <n v="35.979999999999997"/>
    <n v="-3.6"/>
    <n v="-1.6890094413436956"/>
    <n v="-4.800453556707952E-15"/>
    <n v="0.96277671553497279"/>
    <n v="2820.9514777528548"/>
    <n v="4000"/>
    <x v="912"/>
    <s v="Любовь Виталий"/>
    <s v="2026 02"/>
    <n v="1179.0485222471452"/>
    <n v="0.41796129126842158"/>
  </r>
  <r>
    <s v="545077665"/>
    <n v="0"/>
    <s v="iHerb_VP DFD1605"/>
    <s v="Доставлен"/>
    <d v="2026-01-22T00:00:00"/>
    <x v="43"/>
    <s v="Витамины"/>
    <s v="NCS-57239"/>
    <x v="217"/>
    <x v="1838"/>
    <n v="11.8"/>
    <n v="-1.18"/>
    <n v="-0.55396171300401642"/>
    <n v="-1.5744538842569012E-15"/>
    <n v="0.31577173313716539"/>
    <n v="925.2163277867611"/>
    <n v="1600"/>
    <x v="912"/>
    <s v="Любовь Виталий"/>
    <s v="2026 02"/>
    <n v="674.7836722132389"/>
    <n v="0.72932529609308783"/>
  </r>
  <r>
    <s v="545077665"/>
    <n v="0"/>
    <s v="iHerb_VP DFD1605"/>
    <s v="Доставлен"/>
    <d v="2026-01-22T00:00:00"/>
    <x v="43"/>
    <s v="Витамины"/>
    <s v="CLF-06416"/>
    <x v="72"/>
    <x v="1677"/>
    <n v="49.92"/>
    <n v="-4.99"/>
    <n v="-2.3436440456940164"/>
    <n v="-6.6610370075011833E-15"/>
    <n v="1.3359344604381203"/>
    <n v="3914.3097558812779"/>
    <n v="5200"/>
    <x v="912"/>
    <s v="Любовь Виталий"/>
    <s v="2026 02"/>
    <n v="1285.6902441187221"/>
    <n v="0.32845899387164329"/>
  </r>
  <r>
    <s v="545077665"/>
    <n v="0"/>
    <s v="iHerb_VP DFD1605"/>
    <s v="Доставлен"/>
    <d v="2026-01-22T00:00:00"/>
    <x v="43"/>
    <s v="Витамины"/>
    <s v="NCS-57519"/>
    <x v="217"/>
    <x v="1817"/>
    <n v="24.68"/>
    <n v="-2.4700000000000002"/>
    <n v="-1.1585206822805278"/>
    <n v="-3.292713820089056E-15"/>
    <n v="0.66038514058158593"/>
    <n v="1934.9392316519738"/>
    <n v="2700"/>
    <x v="912"/>
    <s v="Любовь Виталий"/>
    <s v="2026 02"/>
    <n v="765.06076834802616"/>
    <n v="0.39539265927997536"/>
  </r>
  <r>
    <s v="545077665"/>
    <n v="0"/>
    <s v="iHerb_VP DFD1605"/>
    <s v="Доставлен"/>
    <d v="2026-01-22T00:00:00"/>
    <x v="43"/>
    <s v="Витамины"/>
    <s v="CEN-22380"/>
    <x v="2"/>
    <x v="158"/>
    <n v="9.3800000000000008"/>
    <n v="-0.94"/>
    <n v="-0.44024829169057428"/>
    <n v="-1.251260902366125E-15"/>
    <n v="0.25095230015797321"/>
    <n v="735.29433206405508"/>
    <n v="1700"/>
    <x v="912"/>
    <m/>
    <s v="2026 02"/>
    <n v="964.70566793594492"/>
    <n v="1.3119993258045468"/>
  </r>
  <r>
    <s v="545173129"/>
    <n v="0"/>
    <s v="iHerb_VP DFD1605"/>
    <s v="Доставлен"/>
    <d v="2026-01-25T00:00:00"/>
    <x v="43"/>
    <s v="Витамины"/>
    <s v="NOW-00078"/>
    <x v="3"/>
    <x v="765"/>
    <n v="24.01"/>
    <n v="-2.4"/>
    <n v="-1.3507622725886779"/>
    <n v="-3.1212173025258186E-15"/>
    <n v="0.48230478770075697"/>
    <n v="1813.5290344547209"/>
    <n v="2700"/>
    <x v="877"/>
    <s v="Елена Ленина 87"/>
    <s v="2026 03"/>
    <n v="886.47096554527911"/>
    <n v="0.4888099107891134"/>
  </r>
  <r>
    <s v="545173129"/>
    <n v="0"/>
    <s v="iHerb_VP DFD1605"/>
    <s v="Доставлен"/>
    <d v="2026-01-25T00:00:00"/>
    <x v="43"/>
    <s v="Витамины"/>
    <s v="NOW-00078"/>
    <x v="3"/>
    <x v="765"/>
    <n v="24.01"/>
    <n v="-2.4"/>
    <n v="-1.3507622725886779"/>
    <n v="-3.1212173025258186E-15"/>
    <n v="0.48230478770075697"/>
    <n v="1813.5290344547209"/>
    <n v="2700"/>
    <x v="877"/>
    <s v="Елена Ленина 87"/>
    <s v="2026 03"/>
    <n v="886.47096554527911"/>
    <n v="0.4888099107891134"/>
  </r>
  <r>
    <s v="545173129"/>
    <n v="0"/>
    <s v="iHerb_VP DFD1605"/>
    <s v="Доставлен"/>
    <d v="2026-01-25T00:00:00"/>
    <x v="43"/>
    <s v="Витамины"/>
    <s v="SOR-08364"/>
    <x v="10"/>
    <x v="1839"/>
    <n v="13.52"/>
    <n v="-1.35"/>
    <n v="-0.76070230714503495"/>
    <n v="-1.757760970464563E-15"/>
    <n v="0.27161727285137488"/>
    <n v="1021.3164437442828"/>
    <n v="2000"/>
    <x v="877"/>
    <s v="Любовь Виталий"/>
    <s v="2026 03"/>
    <n v="978.68355625571724"/>
    <n v="0.95825692639171889"/>
  </r>
  <r>
    <s v="545173129"/>
    <n v="0"/>
    <s v="iHerb_VP DFD1605"/>
    <s v="Доставлен"/>
    <d v="2026-01-25T00:00:00"/>
    <x v="43"/>
    <s v="Витамины"/>
    <s v="SOR-35007"/>
    <x v="10"/>
    <x v="1576"/>
    <n v="25.02"/>
    <n v="-2.5"/>
    <n v="-1.4076430531558084"/>
    <n v="-3.2526521819935873E-15"/>
    <n v="0.50261470703475453"/>
    <n v="1889.8969854660024"/>
    <n v="2900"/>
    <x v="877"/>
    <s v="Надежда Витамины"/>
    <s v="2026 03"/>
    <n v="1010.1030145339976"/>
    <n v="0.53447517102892828"/>
  </r>
  <r>
    <s v="545173129"/>
    <n v="0"/>
    <s v="iHerb_VP DFD1605"/>
    <s v="Доставлен"/>
    <d v="2026-01-25T00:00:00"/>
    <x v="43"/>
    <s v="Витамины"/>
    <s v="OPN-05227"/>
    <x v="178"/>
    <x v="1840"/>
    <n v="59.81"/>
    <n v="-5.98"/>
    <n v="-3.3647169427787373"/>
    <n v="-7.774878639285737E-15"/>
    <n v="1.2014098436803213"/>
    <n v="4517.4580252058131"/>
    <n v="5800"/>
    <x v="825"/>
    <s v="Виктория Башня/Энгельса"/>
    <s v="2026 03"/>
    <n v="1282.5419747941869"/>
    <n v="0.28390788971099623"/>
  </r>
  <r>
    <s v="545173129"/>
    <n v="0"/>
    <s v="iHerb_VP DFD1605"/>
    <s v="Доставлен"/>
    <d v="2026-01-25T00:00:00"/>
    <x v="43"/>
    <s v="Витамины"/>
    <s v="OPN-02452"/>
    <x v="178"/>
    <x v="1841"/>
    <n v="41.44"/>
    <n v="-4.1399999999999997"/>
    <n v="-2.3314869397296469"/>
    <n v="-5.3873857188437304E-15"/>
    <n v="0.83248350676715543"/>
    <n v="3130.2467832096754"/>
    <n v="4200"/>
    <x v="825"/>
    <s v="Виктория Башня/Энгельса"/>
    <s v="2026 03"/>
    <n v="1069.7532167903246"/>
    <n v="0.34174724578533927"/>
  </r>
  <r>
    <s v="545173129"/>
    <n v="0"/>
    <s v="iHerb_VP DFD1605"/>
    <s v="Доставлен"/>
    <d v="2026-01-25T00:00:00"/>
    <x v="43"/>
    <s v="Витамины"/>
    <s v="CAR-55940"/>
    <x v="154"/>
    <x v="1361"/>
    <n v="9.1199999999999992"/>
    <n v="-0.91"/>
    <n v="-0.51317715214960857"/>
    <n v="-1.185802593879545E-15"/>
    <n v="0.18323564585947308"/>
    <n v="688.98997560727707"/>
    <n v="1400"/>
    <x v="812"/>
    <m/>
    <s v="2026 01"/>
    <n v="711.01002439272293"/>
    <n v="1.0319598971901403"/>
  </r>
  <r>
    <s v="545173129"/>
    <n v="0"/>
    <s v="iHerb_VP DFD1605"/>
    <s v="Доставлен"/>
    <d v="2026-01-25T00:00:00"/>
    <x v="43"/>
    <s v="Витамины"/>
    <s v="CAR-55940"/>
    <x v="154"/>
    <x v="1361"/>
    <n v="9.1199999999999992"/>
    <n v="-0.91"/>
    <n v="-0.51317715214960857"/>
    <n v="-1.185802593879545E-15"/>
    <n v="0.18323564585947308"/>
    <n v="688.98997560727707"/>
    <n v="1400"/>
    <x v="812"/>
    <m/>
    <s v="2026 01"/>
    <n v="711.01002439272293"/>
    <n v="1.0319598971901403"/>
  </r>
  <r>
    <s v="545173129"/>
    <n v="0"/>
    <s v="iHerb_VP DFD1605"/>
    <s v="Доставлен"/>
    <d v="2026-01-25T00:00:00"/>
    <x v="43"/>
    <s v="Витамины"/>
    <s v="MLI-00952"/>
    <x v="1"/>
    <x v="7"/>
    <n v="14.15"/>
    <n v="-2.83"/>
    <n v="-0.70757190771419853"/>
    <n v="-1.6349921270056577E-15"/>
    <n v="0.25264646907786059"/>
    <n v="949.98374225022872"/>
    <n v="2000"/>
    <x v="883"/>
    <m/>
    <s v="2026 04"/>
    <n v="1050.0162577497713"/>
    <n v="1.105299186765655"/>
  </r>
  <r>
    <s v="545062795"/>
    <n v="0"/>
    <s v="iHerb_AV CYG0792"/>
    <s v="Доставлен"/>
    <d v="2026-01-21T00:00:00"/>
    <x v="43"/>
    <s v="Витамины"/>
    <s v="NFS-04512"/>
    <x v="23"/>
    <x v="1842"/>
    <n v="12.55"/>
    <n v="-1.26"/>
    <n v="-0.53365977227619366"/>
    <n v="1.6759693903126569E-15"/>
    <n v="0.33508169958071687"/>
    <n v="991.55341951321452"/>
    <n v="1600"/>
    <x v="912"/>
    <s v="Оксана Черноморская"/>
    <s v="2026 02"/>
    <n v="608.44658048678548"/>
    <n v="0.61362965273771275"/>
  </r>
  <r>
    <s v="545062795"/>
    <n v="0"/>
    <s v="iHerb_AV CYG0792"/>
    <s v="Доставлен"/>
    <d v="2026-01-21T00:00:00"/>
    <x v="43"/>
    <s v="Витамины"/>
    <s v="PHV-16104"/>
    <x v="315"/>
    <x v="1690"/>
    <n v="37.06"/>
    <n v="-3.71"/>
    <n v="-1.5763997701869847"/>
    <n v="4.9507156038022237E-15"/>
    <n v="0.98981175208298533"/>
    <n v="2928.9908362059964"/>
    <n v="3800"/>
    <x v="912"/>
    <s v="Оксана Черноморская"/>
    <s v="2026 02"/>
    <n v="871.0091637940036"/>
    <n v="0.29737517544515302"/>
  </r>
  <r>
    <s v="545062795"/>
    <n v="0"/>
    <s v="iHerb_AV CYG0792"/>
    <s v="Доставлен"/>
    <d v="2026-01-21T00:00:00"/>
    <x v="43"/>
    <s v="Витамины"/>
    <s v="NHP-99906"/>
    <x v="324"/>
    <x v="1647"/>
    <n v="19.27"/>
    <n v="-3.85"/>
    <n v="-0.72887809464117848"/>
    <n v="2.2890565100638768E-15"/>
    <n v="0.45765808746985415"/>
    <n v="1354.2740238169854"/>
    <n v="2200"/>
    <x v="912"/>
    <s v="Оксана Черноморская"/>
    <s v="2026 02"/>
    <n v="845.72597618301461"/>
    <n v="0.62448659673716433"/>
  </r>
  <r>
    <s v="545062795"/>
    <n v="0"/>
    <s v="iHerb_AV CYG0792"/>
    <s v="Доставлен"/>
    <d v="2026-01-21T00:00:00"/>
    <x v="43"/>
    <s v="Витамины"/>
    <s v="NCR-00364"/>
    <x v="347"/>
    <x v="1843"/>
    <n v="81.86"/>
    <n v="-8.19"/>
    <n v="-3.4822600020892098"/>
    <n v="1.0936108501712439E-14"/>
    <n v="2.1864897084243942"/>
    <n v="6470.1275833072186"/>
    <n v="7800"/>
    <x v="912"/>
    <s v="Оксана Черноморская"/>
    <s v="2026 02"/>
    <n v="1329.8724166927814"/>
    <n v="0.20554036988757715"/>
  </r>
  <r>
    <s v="545062795"/>
    <n v="0"/>
    <s v="iHerb_AV CYG0792"/>
    <s v="Доставлен"/>
    <d v="2026-01-21T00:00:00"/>
    <x v="43"/>
    <s v="Витамины"/>
    <s v="NOW-00892"/>
    <x v="3"/>
    <x v="1844"/>
    <n v="15"/>
    <n v="-1.5"/>
    <n v="-0.63812284550297727"/>
    <n v="2.0040378006395809E-15"/>
    <n v="0.40067342288216801"/>
    <n v="1185.6484644312129"/>
    <n v="2000"/>
    <x v="912"/>
    <s v="Любовь Виталий"/>
    <s v="2026 02"/>
    <n v="814.35153556878709"/>
    <n v="0.68684062772303522"/>
  </r>
  <r>
    <s v="545062795"/>
    <n v="0"/>
    <s v="iHerb_AV CYG0792"/>
    <s v="Доставлен"/>
    <d v="2026-01-21T00:00:00"/>
    <x v="43"/>
    <s v="Витамины"/>
    <s v="DRB-00125"/>
    <x v="6"/>
    <x v="1771"/>
    <n v="18"/>
    <n v="-1.8"/>
    <n v="-0.76574741460357265"/>
    <n v="2.404845360767497E-15"/>
    <n v="0.4808081074586017"/>
    <n v="1422.7781573174555"/>
    <n v="2200"/>
    <x v="912"/>
    <s v="Любовь Виталий"/>
    <s v="2026 02"/>
    <n v="777.22184268254455"/>
    <n v="0.54627057541278234"/>
  </r>
  <r>
    <s v="545062795"/>
    <n v="0"/>
    <s v="iHerb_AV CYG0792"/>
    <s v="Доставлен"/>
    <d v="2026-01-21T00:00:00"/>
    <x v="43"/>
    <s v="Витамины"/>
    <s v="NOW-01233"/>
    <x v="3"/>
    <x v="795"/>
    <n v="17.89"/>
    <n v="-1.79"/>
    <n v="-0.76102057871095807"/>
    <n v="2.3900006363183152E-15"/>
    <n v="0.47784015617799303"/>
    <n v="1413.9955760994465"/>
    <n v="2200"/>
    <x v="877"/>
    <s v="Надежда Sumbucol"/>
    <s v="2026 03"/>
    <n v="786.00442390055355"/>
    <n v="0.555874740477458"/>
  </r>
  <r>
    <s v="545062795"/>
    <n v="0"/>
    <s v="iHerb_AV CYG0792"/>
    <s v="Доставлен"/>
    <d v="2026-01-21T00:00:00"/>
    <x v="43"/>
    <s v="Витамины"/>
    <s v="NFS-04508"/>
    <x v="23"/>
    <x v="296"/>
    <n v="13.26"/>
    <n v="-1.33"/>
    <n v="-0.56391152198892736"/>
    <n v="1.7709756267874222E-15"/>
    <n v="0.35407658777661216"/>
    <n v="1047.7619393084717"/>
    <m/>
    <x v="20"/>
    <m/>
    <s v=""/>
    <n v="-1047.7619393084717"/>
    <s v=""/>
  </r>
  <r>
    <s v="4695003776"/>
    <s v="1695189134"/>
    <s v="essens_AV"/>
    <s v="Доставлен"/>
    <d v="2026-01-15T00:00:00"/>
    <x v="43"/>
    <s v="Парфюм"/>
    <s v="w19550"/>
    <x v="232"/>
    <x v="1633"/>
    <n v="1595"/>
    <n v="-265.83333333333297"/>
    <n v="0"/>
    <n v="-3.0316490059097606E-13"/>
    <n v="130.83333333333334"/>
    <n v="1460"/>
    <m/>
    <x v="20"/>
    <m/>
    <s v=""/>
    <n v="-1460"/>
    <s v=""/>
  </r>
  <r>
    <s v="4695003776"/>
    <s v="1695189134"/>
    <s v="essens_AV"/>
    <s v="Доставлен"/>
    <d v="2026-01-15T00:00:00"/>
    <x v="43"/>
    <s v="Парфюм"/>
    <s v="w19650"/>
    <x v="232"/>
    <x v="1845"/>
    <n v="1595"/>
    <n v="-265.83333333333297"/>
    <n v="0"/>
    <n v="-3.0316490059097606E-13"/>
    <n v="130.83333333333334"/>
    <n v="1460"/>
    <m/>
    <x v="20"/>
    <m/>
    <s v=""/>
    <n v="-1460"/>
    <s v=""/>
  </r>
  <r>
    <s v="4695003776"/>
    <s v="1695189134"/>
    <s v="essens_AV"/>
    <s v="Доставлен"/>
    <d v="2026-01-15T00:00:00"/>
    <x v="43"/>
    <s v="Парфюм"/>
    <s v="w20050"/>
    <x v="232"/>
    <x v="1640"/>
    <n v="1595"/>
    <n v="-265.83333333333297"/>
    <n v="0"/>
    <n v="-3.0316490059097606E-13"/>
    <n v="130.83333333333334"/>
    <n v="1460"/>
    <n v="2600"/>
    <x v="611"/>
    <s v="Татьяна Бригантина"/>
    <s v="2026 02"/>
    <n v="1140"/>
    <n v="0.78082191780821919"/>
  </r>
  <r>
    <s v="4695003776"/>
    <s v="1695189134"/>
    <s v="essens_AV"/>
    <s v="Доставлен"/>
    <d v="2026-01-15T00:00:00"/>
    <x v="43"/>
    <s v="Парфюм"/>
    <s v="w20150"/>
    <x v="232"/>
    <x v="1846"/>
    <n v="1595"/>
    <n v="-265.83333333333297"/>
    <n v="0"/>
    <n v="-3.0316490059097606E-13"/>
    <n v="130.83333333333334"/>
    <n v="1460"/>
    <n v="2700"/>
    <x v="918"/>
    <m/>
    <s v="2026 01"/>
    <n v="1240"/>
    <n v="0.84931506849315064"/>
  </r>
  <r>
    <s v="4695003776"/>
    <s v="1695189134"/>
    <s v="essens_AV"/>
    <s v="Доставлен"/>
    <d v="2026-01-15T00:00:00"/>
    <x v="43"/>
    <s v="Парфюм"/>
    <s v="w20350"/>
    <x v="232"/>
    <x v="1636"/>
    <n v="1595"/>
    <n v="-265.83333333333297"/>
    <n v="0"/>
    <n v="-3.0316490059097606E-13"/>
    <n v="130.83333333333334"/>
    <n v="1460"/>
    <m/>
    <x v="20"/>
    <m/>
    <s v=""/>
    <n v="-1460"/>
    <s v=""/>
  </r>
  <r>
    <s v="4695003776"/>
    <s v="1695189134"/>
    <s v="essens_AV"/>
    <s v="Доставлен"/>
    <d v="2026-01-15T00:00:00"/>
    <x v="43"/>
    <s v="Парфюм"/>
    <s v="w20450"/>
    <x v="232"/>
    <x v="1847"/>
    <n v="1595"/>
    <n v="-265.83333333333297"/>
    <n v="0"/>
    <n v="-3.0316490059097606E-13"/>
    <n v="130.83333333333334"/>
    <n v="1460"/>
    <m/>
    <x v="20"/>
    <m/>
    <s v=""/>
    <n v="-1460"/>
    <s v=""/>
  </r>
  <r>
    <s v="545354844"/>
    <n v="0"/>
    <s v="iHerb_OA CZN6870"/>
    <s v="Доставлен"/>
    <d v="2026-01-29T00:00:00"/>
    <x v="43"/>
    <s v="Витамины"/>
    <s v="SOR-00260"/>
    <x v="10"/>
    <x v="1848"/>
    <n v="9.18"/>
    <n v="-0.92"/>
    <n v="-0.47483233321567236"/>
    <n v="-1.1838198774400537E-15"/>
    <n v="0.1840262372611606"/>
    <n v="692.630010589481"/>
    <n v="1500"/>
    <x v="877"/>
    <s v="Александр Космос"/>
    <s v="2026 03"/>
    <n v="807.369989410519"/>
    <n v="1.1656583992417331"/>
  </r>
  <r>
    <s v="545354844"/>
    <n v="0"/>
    <s v="iHerb_OA CZN6870"/>
    <s v="Доставлен"/>
    <d v="2026-01-29T00:00:00"/>
    <x v="43"/>
    <s v="Витамины"/>
    <s v="SMF-64100"/>
    <x v="140"/>
    <x v="1781"/>
    <n v="21.39"/>
    <n v="-2.14"/>
    <n v="-1.1066007765619483"/>
    <n v="-2.7589022567458879E-15"/>
    <n v="0.42887470548151829"/>
    <n v="1614.180109424638"/>
    <m/>
    <x v="20"/>
    <m/>
    <s v=""/>
    <n v="-1614.180109424638"/>
    <s v=""/>
  </r>
  <r>
    <s v="545354844"/>
    <n v="0"/>
    <s v="iHerb_OA CZN6870"/>
    <s v="Доставлен"/>
    <d v="2026-01-29T00:00:00"/>
    <x v="43"/>
    <s v="Витамины"/>
    <s v="SMS-55697"/>
    <x v="140"/>
    <x v="1798"/>
    <n v="12.06"/>
    <n v="-1.21"/>
    <n v="-0.62372043769855279"/>
    <n v="-1.5550176356204099E-15"/>
    <n v="0.24172937945321946"/>
    <n v="909.81060713025056"/>
    <m/>
    <x v="20"/>
    <m/>
    <s v=""/>
    <n v="-909.81060713025056"/>
    <s v=""/>
  </r>
  <r>
    <s v="545354844"/>
    <n v="0"/>
    <s v="iHerb_OA CZN6870"/>
    <s v="Доставлен"/>
    <d v="2026-01-29T00:00:00"/>
    <x v="43"/>
    <s v="Витамины"/>
    <s v="SMS-55694"/>
    <x v="140"/>
    <x v="509"/>
    <n v="13.38"/>
    <n v="-1.34"/>
    <n v="-0.69212848570420049"/>
    <n v="-1.7255679569465191E-15"/>
    <n v="0.26824163397389517"/>
    <n v="1009.5962866219554"/>
    <m/>
    <x v="20"/>
    <m/>
    <s v=""/>
    <n v="-1009.5962866219554"/>
    <s v=""/>
  </r>
  <r>
    <s v="545354844"/>
    <n v="0"/>
    <s v="iHerb_OA CZN6870"/>
    <s v="Доставлен"/>
    <d v="2026-01-29T00:00:00"/>
    <x v="43"/>
    <s v="Витамины"/>
    <s v="NOW-00157"/>
    <x v="3"/>
    <x v="1849"/>
    <n v="16.5"/>
    <n v="-1.65"/>
    <n v="-0.85366345620493145"/>
    <n v="-2.1282960266325423E-15"/>
    <n v="0.33084620137145698"/>
    <n v="1245.2246558418638"/>
    <n v="2100"/>
    <x v="885"/>
    <s v="Аня Мирный"/>
    <s v="2026 04"/>
    <n v="854.77534415813625"/>
    <n v="0.68644267534218162"/>
  </r>
  <r>
    <s v="545354844"/>
    <n v="0"/>
    <s v="iHerb_OA CZN6870"/>
    <s v="Доставлен"/>
    <d v="2026-01-29T00:00:00"/>
    <x v="43"/>
    <s v="Витамины"/>
    <s v="NOW-00470"/>
    <x v="3"/>
    <x v="1850"/>
    <n v="12"/>
    <n v="-1.2"/>
    <n v="-0.62084614996722298"/>
    <n v="-1.5478516557327581E-15"/>
    <n v="0.24061541917924151"/>
    <n v="905.61793152135533"/>
    <m/>
    <x v="20"/>
    <m/>
    <s v=""/>
    <n v="-905.61793152135533"/>
    <s v=""/>
  </r>
  <r>
    <s v="545354844"/>
    <n v="0"/>
    <s v="iHerb_OA CZN6870"/>
    <s v="Доставлен"/>
    <d v="2026-01-29T00:00:00"/>
    <x v="43"/>
    <s v="Витамины"/>
    <s v="NFS-02684"/>
    <x v="23"/>
    <x v="1770"/>
    <n v="33.590000000000003"/>
    <n v="-3.36"/>
    <n v="-1.7377943623619587"/>
    <n v="-4.3325514400741927E-15"/>
    <n v="0.67350038164708059"/>
    <n v="2534.8916731380159"/>
    <n v="3900"/>
    <x v="891"/>
    <m/>
    <s v="2026 03"/>
    <n v="1365.1083268619841"/>
    <n v="0.53852728356319735"/>
  </r>
  <r>
    <s v="545354844"/>
    <n v="0"/>
    <s v="iHerb_OA CZN6870"/>
    <s v="Доставлен"/>
    <d v="2026-01-29T00:00:00"/>
    <x v="43"/>
    <s v="Витамины"/>
    <s v="NFS-02684"/>
    <x v="23"/>
    <x v="1770"/>
    <n v="33.590000000000003"/>
    <n v="-3.36"/>
    <n v="-1.7377943623619587"/>
    <n v="-4.3325514400741927E-15"/>
    <n v="0.67350038164708059"/>
    <n v="2534.8916731380159"/>
    <n v="4100"/>
    <x v="768"/>
    <s v="Михаил Икра Кофе"/>
    <s v="2026 04"/>
    <n v="1565.1083268619841"/>
    <n v="0.61742611861772034"/>
  </r>
  <r>
    <s v="545354844"/>
    <n v="0"/>
    <s v="iHerb_OA CZN6870"/>
    <s v="Доставлен"/>
    <d v="2026-01-29T00:00:00"/>
    <x v="43"/>
    <s v="Витамины"/>
    <s v="TML-52095"/>
    <x v="348"/>
    <x v="1851"/>
    <n v="11.58"/>
    <n v="-6.59"/>
    <n v="-0.28685391558670764"/>
    <n v="-7.1516479278763544E-16"/>
    <n v="0.11117323534300139"/>
    <n v="418.4290257677373"/>
    <m/>
    <x v="20"/>
    <m/>
    <s v=""/>
    <n v="-418.4290257677373"/>
    <s v=""/>
  </r>
  <r>
    <s v="545354844"/>
    <n v="0"/>
    <s v="iHerb_OA CZN6870"/>
    <s v="Доставлен"/>
    <d v="2026-01-29T00:00:00"/>
    <x v="43"/>
    <s v="Витамины"/>
    <s v="FOA-01527"/>
    <x v="171"/>
    <x v="1852"/>
    <n v="10.73"/>
    <n v="-1.07"/>
    <n v="-0.55531238969290497"/>
    <n v="-1.3844673142943003E-15"/>
    <n v="0.21521712493254375"/>
    <n v="810.02492763854559"/>
    <n v="1600"/>
    <x v="877"/>
    <m/>
    <s v="2026 03"/>
    <n v="789.97507236145441"/>
    <n v="0.97524785399439218"/>
  </r>
  <r>
    <s v="545354844"/>
    <n v="0"/>
    <s v="iHerb_OA CZN6870"/>
    <s v="Доставлен"/>
    <d v="2026-01-29T00:00:00"/>
    <x v="43"/>
    <s v="Витамины"/>
    <s v="LEX-23151"/>
    <x v="7"/>
    <x v="17"/>
    <n v="20.07"/>
    <n v="-2.0099999999999998"/>
    <n v="-1.0381927285563008"/>
    <n v="-2.5883519354197789E-15"/>
    <n v="0.40236245096084272"/>
    <n v="1514.3944299329332"/>
    <n v="2600"/>
    <x v="886"/>
    <s v="Алена Грация"/>
    <s v="2026 03"/>
    <n v="1085.6055700670668"/>
    <n v="0.71685787309396276"/>
  </r>
  <r>
    <s v="545354844"/>
    <n v="0"/>
    <s v="iHerb_OA CZN6870"/>
    <s v="Доставлен"/>
    <d v="2026-01-29T00:00:00"/>
    <x v="43"/>
    <s v="Витамины"/>
    <s v="LEX-19456"/>
    <x v="7"/>
    <x v="558"/>
    <n v="10.36"/>
    <n v="-1.04"/>
    <n v="-0.53576723311986274"/>
    <n v="-1.3357386510582689E-15"/>
    <n v="0.20764219506949355"/>
    <n v="781.51473349805838"/>
    <m/>
    <x v="20"/>
    <m/>
    <s v=""/>
    <n v="-781.51473349805838"/>
    <s v=""/>
  </r>
  <r>
    <s v="545354844"/>
    <n v="0"/>
    <s v="iHerb_OA CZN6870"/>
    <s v="Доставлен"/>
    <d v="2026-01-29T00:00:00"/>
    <x v="43"/>
    <s v="Витамины"/>
    <s v="JRW-30006"/>
    <x v="21"/>
    <x v="1853"/>
    <n v="12.02"/>
    <n v="-1.2"/>
    <n v="-0.6219958650597549"/>
    <n v="-1.5507180476878187E-15"/>
    <n v="0.24106100328883265"/>
    <n v="907.29500176491331"/>
    <m/>
    <x v="20"/>
    <m/>
    <s v=""/>
    <n v="-907.29500176491331"/>
    <s v=""/>
  </r>
  <r>
    <s v="545354844"/>
    <n v="0"/>
    <s v="iHerb_OA CZN6870"/>
    <s v="Доставлен"/>
    <d v="2026-01-29T00:00:00"/>
    <x v="43"/>
    <s v="Витамины"/>
    <s v="CAL-30686"/>
    <x v="138"/>
    <x v="1680"/>
    <n v="9.94"/>
    <n v="-0.99"/>
    <n v="-0.51449750390802274"/>
    <n v="-1.2827103998896465E-15"/>
    <n v="0.19939888904205658"/>
    <n v="750.48893399223414"/>
    <m/>
    <x v="20"/>
    <m/>
    <s v=""/>
    <n v="-750.48893399223414"/>
    <s v=""/>
  </r>
  <r>
    <s v="WB0206"/>
    <n v="0"/>
    <s v="WBRS"/>
    <s v="Доставлен"/>
    <d v="2025-11-25T00:00:00"/>
    <x v="41"/>
    <s v="Витамины"/>
    <s v="000000196"/>
    <x v="85"/>
    <x v="637"/>
    <n v="2399"/>
    <n v="0"/>
    <n v="0"/>
    <n v="0"/>
    <n v="0"/>
    <n v="2399"/>
    <n v="4200"/>
    <x v="909"/>
    <m/>
    <s v="2026 03"/>
    <n v="1801"/>
    <n v="0.7507294706127553"/>
  </r>
  <r>
    <s v="WB0207"/>
    <n v="0"/>
    <s v="WBRS"/>
    <s v="Доставлен"/>
    <d v="2026-02-11T00:00:00"/>
    <x v="44"/>
    <s v="Витамины"/>
    <s v="BSN-00330"/>
    <x v="188"/>
    <x v="1455"/>
    <n v="2556"/>
    <n v="0"/>
    <n v="0"/>
    <n v="0"/>
    <n v="0"/>
    <n v="2556"/>
    <n v="3200"/>
    <x v="912"/>
    <s v="Оксана 17 Цветы"/>
    <s v="2026 02"/>
    <n v="644"/>
    <n v="0.2519561815336463"/>
  </r>
  <r>
    <s v="OZO0208"/>
    <n v="0"/>
    <s v="OZON_OA"/>
    <s v="Доставлен"/>
    <d v="2026-02-06T00:00:00"/>
    <x v="44"/>
    <s v="Витамины"/>
    <s v="BSN-00330"/>
    <x v="188"/>
    <x v="1455"/>
    <n v="2662"/>
    <n v="0"/>
    <n v="0"/>
    <n v="0"/>
    <n v="0"/>
    <n v="2662"/>
    <m/>
    <x v="20"/>
    <m/>
    <s v=""/>
    <n v="-2662"/>
    <s v=""/>
  </r>
  <r>
    <s v="OZO0201"/>
    <n v="0"/>
    <s v="OZON_OA"/>
    <s v="Доставлен"/>
    <d v="2026-02-02T00:00:00"/>
    <x v="44"/>
    <s v="Спортпит"/>
    <s v="892721541"/>
    <x v="162"/>
    <x v="618"/>
    <n v="656"/>
    <n v="0"/>
    <n v="0"/>
    <n v="0"/>
    <n v="0"/>
    <n v="656"/>
    <n v="2000"/>
    <x v="919"/>
    <s v="Евгения"/>
    <s v="2026 02"/>
    <n v="1344"/>
    <n v="2.0487804878048781"/>
  </r>
  <r>
    <s v="OZO0202"/>
    <n v="0"/>
    <s v="OZON_OA"/>
    <s v="Доставлен"/>
    <d v="2026-02-02T00:00:00"/>
    <x v="44"/>
    <s v="Спортпит"/>
    <s v="892721541"/>
    <x v="162"/>
    <x v="618"/>
    <n v="950.42"/>
    <n v="0"/>
    <n v="0"/>
    <n v="0"/>
    <n v="0"/>
    <n v="950.42"/>
    <n v="2000"/>
    <x v="919"/>
    <s v="Евгения"/>
    <s v="2026 02"/>
    <n v="1049.58"/>
    <n v="1.1043328212790136"/>
  </r>
  <r>
    <s v="OZO0205"/>
    <n v="0"/>
    <s v="OZON_OA"/>
    <s v="Доставлен"/>
    <d v="2026-02-07T00:00:00"/>
    <x v="44"/>
    <s v="Спортпит"/>
    <s v="892721541"/>
    <x v="162"/>
    <x v="618"/>
    <n v="969.29"/>
    <n v="0"/>
    <n v="0"/>
    <n v="0"/>
    <n v="0"/>
    <n v="969.29"/>
    <n v="2000"/>
    <x v="889"/>
    <s v="Виктория Бахчиванджи"/>
    <s v="2026 02"/>
    <n v="1030.71"/>
    <n v="1.063365968905075"/>
  </r>
  <r>
    <s v="OZO0205"/>
    <n v="0"/>
    <s v="OZON_OA"/>
    <s v="Доставлен"/>
    <d v="2026-02-07T00:00:00"/>
    <x v="44"/>
    <s v="Спортпит"/>
    <s v="892721541"/>
    <x v="162"/>
    <x v="618"/>
    <n v="969.29"/>
    <n v="0"/>
    <n v="0"/>
    <n v="0"/>
    <n v="0"/>
    <n v="969.29"/>
    <n v="2000"/>
    <x v="771"/>
    <s v="Евгения"/>
    <s v="2026 02"/>
    <n v="1030.71"/>
    <n v="1.063365968905075"/>
  </r>
  <r>
    <s v="545562715"/>
    <n v="0"/>
    <s v="iHerb_AV CYG0792"/>
    <s v="Доставлен"/>
    <d v="2026-02-04T00:00:00"/>
    <x v="44"/>
    <s v="Витамины"/>
    <s v="LEX-23151"/>
    <x v="7"/>
    <x v="1854"/>
    <n v="20.07"/>
    <n v="-2.0099999999999998"/>
    <n v="-1.8162686567164179"/>
    <n v="-2.6058283699517535E-15"/>
    <n v="0.40321590756463122"/>
    <n v="1453.5292750533051"/>
    <m/>
    <x v="20"/>
    <m/>
    <s v=""/>
    <n v="-1453.5292750533051"/>
    <s v=""/>
  </r>
  <r>
    <s v="545562715"/>
    <n v="0"/>
    <s v="iHerb_AV CYG0792"/>
    <s v="Доставлен"/>
    <d v="2026-02-04T00:00:00"/>
    <x v="44"/>
    <s v="Витамины"/>
    <s v="MLI-00952"/>
    <x v="1"/>
    <x v="1855"/>
    <n v="14.15"/>
    <n v="-2.83"/>
    <n v="-1.1384363894811655"/>
    <n v="-1.6333320679874777E-15"/>
    <n v="0.25273555224981314"/>
    <n v="911.07150573662295"/>
    <m/>
    <x v="20"/>
    <m/>
    <s v=""/>
    <n v="-911.07150573662295"/>
    <s v=""/>
  </r>
  <r>
    <s v="545562715"/>
    <n v="0"/>
    <s v="iHerb_AV CYG0792"/>
    <s v="Доставлен"/>
    <d v="2026-02-04T00:00:00"/>
    <x v="44"/>
    <s v="Витамины"/>
    <s v="CLF-06419"/>
    <x v="72"/>
    <x v="1856"/>
    <n v="29.46"/>
    <n v="-2.9449999999999998"/>
    <n v="-2.6665760483297793"/>
    <n v="-3.8257773659618345E-15"/>
    <n v="0.59198614557454021"/>
    <n v="2134.0159871560563"/>
    <n v="3100"/>
    <x v="877"/>
    <s v="Вера Надеждына"/>
    <s v="2026 03"/>
    <n v="965.98401284394367"/>
    <n v="0.45266015749548516"/>
  </r>
  <r>
    <s v="545562715"/>
    <n v="0"/>
    <s v="iHerb_AV CYG0792"/>
    <s v="Доставлен"/>
    <d v="2026-02-04T00:00:00"/>
    <x v="44"/>
    <s v="Витамины"/>
    <s v="CLF-06419"/>
    <x v="72"/>
    <x v="1856"/>
    <n v="29.46"/>
    <n v="-2.9449999999999998"/>
    <n v="-2.6665760483297793"/>
    <n v="-3.8257773659618345E-15"/>
    <n v="0.59198614557454021"/>
    <n v="2134.0159871560563"/>
    <n v="3100"/>
    <x v="877"/>
    <s v="Вера Надеждына"/>
    <s v="2026 03"/>
    <n v="965.98401284394367"/>
    <n v="0.45266015749548516"/>
  </r>
  <r>
    <s v="545562715"/>
    <n v="0"/>
    <s v="iHerb_AV CYG0792"/>
    <s v="Доставлен"/>
    <d v="2026-02-04T00:00:00"/>
    <x v="44"/>
    <s v="Витамины"/>
    <s v="SLM-01315"/>
    <x v="1"/>
    <x v="1857"/>
    <n v="32.840000000000003"/>
    <n v="-13.14"/>
    <n v="-1.9812011371712863"/>
    <n v="-2.8424595176107168E-15"/>
    <n v="0.43983130559375616"/>
    <n v="1585.5219666971268"/>
    <n v="3400"/>
    <x v="851"/>
    <s v="Виктория Башня/Энгельса"/>
    <s v="2026 03"/>
    <n v="1814.4780333028732"/>
    <n v="1.1444042223411734"/>
  </r>
  <r>
    <s v="545562715"/>
    <n v="0"/>
    <s v="iHerb_AV CYG0792"/>
    <s v="Доставлен"/>
    <d v="2026-02-04T00:00:00"/>
    <x v="44"/>
    <s v="Витамины"/>
    <s v="NAP-03762"/>
    <x v="11"/>
    <x v="1858"/>
    <n v="22"/>
    <n v="-2.2000000000000002"/>
    <n v="-1.9912579957356076"/>
    <n v="-2.8568882461265069E-15"/>
    <n v="0.44206395181504415"/>
    <n v="1593.5703015534571"/>
    <n v="2600"/>
    <x v="877"/>
    <m/>
    <s v="2026 03"/>
    <n v="1006.4296984465429"/>
    <n v="0.63155651022452353"/>
  </r>
  <r>
    <s v="545562715"/>
    <n v="0"/>
    <s v="iHerb_AV CYG0792"/>
    <s v="Доставлен"/>
    <d v="2026-02-04T00:00:00"/>
    <x v="44"/>
    <s v="Витамины"/>
    <s v="NAP-03762"/>
    <x v="11"/>
    <x v="1858"/>
    <n v="22"/>
    <n v="-2.2000000000000002"/>
    <n v="-1.9912579957356076"/>
    <n v="-2.8568882461265069E-15"/>
    <n v="0.44206395181504415"/>
    <n v="1593.5703015534571"/>
    <n v="2600"/>
    <x v="877"/>
    <m/>
    <s v="2026 03"/>
    <n v="1006.4296984465429"/>
    <n v="0.63155651022452353"/>
  </r>
  <r>
    <s v="545562715"/>
    <n v="0"/>
    <s v="iHerb_AV CYG0792"/>
    <s v="Доставлен"/>
    <d v="2026-02-04T00:00:00"/>
    <x v="44"/>
    <s v="Витамины"/>
    <s v="NAP-03764"/>
    <x v="11"/>
    <x v="1859"/>
    <n v="13.26"/>
    <n v="-1.33"/>
    <n v="-1.1997832267235251"/>
    <n v="-1.7213473119337992E-15"/>
    <n v="0.26635469419967051"/>
    <n v="960.16634836023945"/>
    <n v="2000"/>
    <x v="905"/>
    <s v="Аня Мирный"/>
    <s v="2026 03"/>
    <n v="1039.8336516397605"/>
    <n v="1.0829723968305867"/>
  </r>
  <r>
    <s v="545562715"/>
    <n v="0"/>
    <s v="iHerb_AV CYG0792"/>
    <s v="Доставлен"/>
    <d v="2026-02-04T00:00:00"/>
    <x v="44"/>
    <s v="Витамины"/>
    <s v="MAV-14754"/>
    <x v="4"/>
    <x v="1860"/>
    <n v="16.52"/>
    <n v="-1.65"/>
    <n v="-1.4954548685145697"/>
    <n v="-2.1455519302980379E-15"/>
    <n v="0.33199449310554074"/>
    <n v="1196.787393136359"/>
    <n v="1900"/>
    <x v="877"/>
    <m/>
    <s v="2026 03"/>
    <n v="703.21260686364099"/>
    <n v="0.58758356822323132"/>
  </r>
  <r>
    <s v="545562715"/>
    <n v="0"/>
    <s v="iHerb_AV CYG0792"/>
    <s v="Доставлен"/>
    <d v="2026-02-04T00:00:00"/>
    <x v="44"/>
    <s v="Витамины"/>
    <s v="FDI-03624"/>
    <x v="318"/>
    <x v="1861"/>
    <n v="6.15"/>
    <n v="-0.62"/>
    <n v="-0.55614427860696514"/>
    <n v="-7.9790868692321126E-16"/>
    <n v="0.12346533603723202"/>
    <n v="445.0729175550818"/>
    <m/>
    <x v="20"/>
    <m/>
    <s v=""/>
    <n v="-445.0729175550818"/>
    <s v=""/>
  </r>
  <r>
    <s v="545562715"/>
    <n v="0"/>
    <s v="iHerb_AV CYG0792"/>
    <s v="Доставлен"/>
    <d v="2026-02-04T00:00:00"/>
    <x v="44"/>
    <s v="Витамины"/>
    <s v="NOW-00475"/>
    <x v="3"/>
    <x v="1862"/>
    <n v="11.25"/>
    <n v="-1.1299999999999999"/>
    <n v="-1.0177540867093104"/>
    <n v="-1.4601873257979924E-15"/>
    <n v="0.22594379759435593"/>
    <n v="814.491487460656"/>
    <n v="1700"/>
    <x v="877"/>
    <m/>
    <s v="2026 03"/>
    <n v="885.508512539344"/>
    <n v="1.0871918567253516"/>
  </r>
  <r>
    <s v="545562715"/>
    <n v="0"/>
    <s v="iHerb_AV CYG0792"/>
    <s v="Доставлен"/>
    <d v="2026-02-04T00:00:00"/>
    <x v="44"/>
    <s v="Витамины"/>
    <s v="NOW-00107"/>
    <x v="3"/>
    <x v="1863"/>
    <n v="14.25"/>
    <n v="-1.43"/>
    <n v="-1.2892892679459842"/>
    <n v="-1.8497629957243342E-15"/>
    <n v="0.28622524556913465"/>
    <n v="1031.7965285815819"/>
    <m/>
    <x v="20"/>
    <m/>
    <s v=""/>
    <n v="-1031.7965285815819"/>
    <s v=""/>
  </r>
  <r>
    <s v="545837026"/>
    <n v="0"/>
    <s v="iHerb_OA CZN6870"/>
    <s v="Доставлен"/>
    <d v="2026-02-11T00:00:00"/>
    <x v="44"/>
    <s v="Витамины"/>
    <s v="NOW-00475"/>
    <x v="3"/>
    <x v="1862"/>
    <n v="11.25"/>
    <n v="-1.125"/>
    <n v="-0.82797644482427102"/>
    <n v="0"/>
    <n v="0.23835577504030817"/>
    <n v="830.78053226151053"/>
    <n v="1700"/>
    <x v="877"/>
    <s v="Валерий Фагот"/>
    <s v="2026 03"/>
    <n v="869.21946773848947"/>
    <n v="1.0462684595802243"/>
  </r>
  <r>
    <s v="545837026"/>
    <n v="0"/>
    <s v="iHerb_OA CZN6870"/>
    <s v="Доставлен"/>
    <d v="2026-02-11T00:00:00"/>
    <x v="44"/>
    <s v="Витамины"/>
    <s v="NOW-00475"/>
    <x v="3"/>
    <x v="1862"/>
    <n v="11.25"/>
    <n v="-1.125"/>
    <n v="-0.82797644482427102"/>
    <n v="0"/>
    <n v="0.23835577504030817"/>
    <n v="830.78053226151053"/>
    <n v="1700"/>
    <x v="877"/>
    <s v="Валерий Фагот"/>
    <s v="2026 03"/>
    <n v="869.21946773848947"/>
    <n v="1.0462684595802243"/>
  </r>
  <r>
    <s v="545837026"/>
    <n v="0"/>
    <s v="iHerb_OA CZN6870"/>
    <s v="Доставлен"/>
    <d v="2026-02-11T00:00:00"/>
    <x v="44"/>
    <s v="Витамины"/>
    <s v="MLI-00952"/>
    <x v="1"/>
    <x v="1855"/>
    <n v="14.15"/>
    <n v="-2.83"/>
    <n v="-0.92569810917637008"/>
    <n v="0"/>
    <n v="0.26648764182284329"/>
    <n v="928.83314816793086"/>
    <m/>
    <x v="20"/>
    <m/>
    <s v=""/>
    <n v="-928.83314816793086"/>
    <s v=""/>
  </r>
  <r>
    <s v="545837026"/>
    <n v="0"/>
    <s v="iHerb_OA CZN6870"/>
    <s v="Доставлен"/>
    <d v="2026-02-11T00:00:00"/>
    <x v="44"/>
    <s v="Витамины"/>
    <s v="LEX-23151"/>
    <x v="7"/>
    <x v="1854"/>
    <n v="20.07"/>
    <n v="-2.0099999999999998"/>
    <n v="-1.4768646512124777"/>
    <n v="0"/>
    <n v="0.42515607873856459"/>
    <n v="1481.866312359791"/>
    <m/>
    <x v="20"/>
    <m/>
    <s v=""/>
    <n v="-1481.866312359791"/>
    <s v=""/>
  </r>
  <r>
    <s v="545837026"/>
    <n v="0"/>
    <s v="iHerb_OA CZN6870"/>
    <s v="Доставлен"/>
    <d v="2026-02-11T00:00:00"/>
    <x v="44"/>
    <s v="Витамины"/>
    <s v="NOW-03170"/>
    <x v="3"/>
    <x v="1864"/>
    <n v="19.510000000000002"/>
    <n v="-1.95"/>
    <n v="-1.4359769255421431"/>
    <n v="0"/>
    <n v="0.41338542318101851"/>
    <n v="1440.8401132357658"/>
    <n v="2500"/>
    <x v="905"/>
    <s v="Аня Мирный"/>
    <s v="2026 03"/>
    <n v="1059.1598867642342"/>
    <n v="0.73509883368365314"/>
  </r>
  <r>
    <s v="545837026"/>
    <n v="0"/>
    <s v="iHerb_OA CZN6870"/>
    <s v="Доставлен"/>
    <d v="2026-02-11T00:00:00"/>
    <x v="44"/>
    <s v="Витамины"/>
    <s v="NOW-03170"/>
    <x v="3"/>
    <x v="1864"/>
    <n v="19.510000000000002"/>
    <n v="-1.95"/>
    <n v="-1.4359769255421431"/>
    <n v="0"/>
    <n v="0.41338542318101851"/>
    <n v="1440.8401132357658"/>
    <m/>
    <x v="20"/>
    <m/>
    <s v=""/>
    <n v="-1440.8401132357658"/>
    <s v=""/>
  </r>
  <r>
    <s v="545837026"/>
    <n v="0"/>
    <s v="iHerb_OA CZN6870"/>
    <s v="Доставлен"/>
    <d v="2026-02-11T00:00:00"/>
    <x v="44"/>
    <s v="Витамины"/>
    <s v="SOR-35281"/>
    <x v="10"/>
    <x v="1865"/>
    <n v="11.82"/>
    <n v="-1.18"/>
    <n v="-0.87009080226471536"/>
    <n v="0"/>
    <n v="0.25047955026458069"/>
    <n v="873.03751735925653"/>
    <n v="1800"/>
    <x v="877"/>
    <s v="Любовь Виталий"/>
    <s v="2026 03"/>
    <n v="926.96248264074347"/>
    <n v="1.0617670652283053"/>
  </r>
  <r>
    <s v="545837026"/>
    <n v="0"/>
    <s v="iHerb_OA CZN6870"/>
    <s v="Доставлен"/>
    <d v="2026-02-11T00:00:00"/>
    <x v="44"/>
    <s v="Витамины"/>
    <s v="CAL-14126"/>
    <x v="138"/>
    <x v="1866"/>
    <n v="17.68"/>
    <n v="-1.77"/>
    <n v="-1.3010474308300395"/>
    <n v="0"/>
    <n v="0.37454225984111639"/>
    <n v="1305.4536561264824"/>
    <n v="2200"/>
    <x v="768"/>
    <s v="Михаил Икра Кофе"/>
    <s v="2026 04"/>
    <n v="894.54634387351757"/>
    <n v="0.68523791685397606"/>
  </r>
  <r>
    <s v="545837026"/>
    <n v="0"/>
    <s v="iHerb_OA CZN6870"/>
    <s v="Доставлен"/>
    <d v="2026-02-11T00:00:00"/>
    <x v="44"/>
    <s v="Витамины"/>
    <s v="SOL-30320"/>
    <x v="19"/>
    <x v="1867"/>
    <n v="19.57"/>
    <n v="0"/>
    <n v="-1.6003455827368873"/>
    <n v="0"/>
    <n v="0.46070345852235367"/>
    <n v="1605.7654337143467"/>
    <n v="2400"/>
    <x v="877"/>
    <s v="Алина стоматология Лекарь"/>
    <s v="2026 03"/>
    <n v="794.23456628565327"/>
    <n v="0.49461431265741235"/>
  </r>
  <r>
    <s v="545837026"/>
    <n v="0"/>
    <s v="iHerb_OA CZN6870"/>
    <s v="Доставлен"/>
    <d v="2026-02-11T00:00:00"/>
    <x v="44"/>
    <s v="Витамины"/>
    <s v="SOL-01121"/>
    <x v="19"/>
    <x v="1868"/>
    <n v="13.64"/>
    <n v="0"/>
    <n v="-1.1154171562867217"/>
    <n v="0"/>
    <n v="0.32110348360985713"/>
    <n v="1119.1947121034079"/>
    <m/>
    <x v="20"/>
    <m/>
    <s v=""/>
    <n v="-1119.1947121034079"/>
    <s v=""/>
  </r>
  <r>
    <s v="545837026"/>
    <n v="0"/>
    <s v="iHerb_OA CZN6870"/>
    <s v="Доставлен"/>
    <d v="2026-02-11T00:00:00"/>
    <x v="44"/>
    <s v="Витамины"/>
    <s v="NOW-05978"/>
    <x v="3"/>
    <x v="1869"/>
    <n v="29.71"/>
    <n v="-2.97"/>
    <n v="-2.1866755688494819"/>
    <n v="0"/>
    <n v="0.62949465921756442"/>
    <n v="2194.0811291528685"/>
    <m/>
    <x v="20"/>
    <m/>
    <s v=""/>
    <n v="-2194.0811291528685"/>
    <s v=""/>
  </r>
  <r>
    <s v="545837026"/>
    <n v="0"/>
    <s v="iHerb_OA CZN6870"/>
    <s v="Доставлен"/>
    <d v="2026-02-11T00:00:00"/>
    <x v="44"/>
    <s v="Витамины"/>
    <s v="NOW-05981"/>
    <x v="3"/>
    <x v="1870"/>
    <n v="17.75"/>
    <n v="-1.78"/>
    <n v="-1.3059539579104797"/>
    <n v="0"/>
    <n v="0.37595473850802191"/>
    <n v="1310.3768000213652"/>
    <m/>
    <x v="20"/>
    <m/>
    <s v=""/>
    <n v="-1310.3768000213652"/>
    <s v=""/>
  </r>
  <r>
    <s v="545649791"/>
    <n v="0"/>
    <s v="iHerb_VP DFD1605"/>
    <s v="Доставлен"/>
    <d v="2026-02-06T00:00:00"/>
    <x v="44"/>
    <s v="Витамины"/>
    <s v="LEX-30210"/>
    <x v="7"/>
    <x v="749"/>
    <n v="20.48"/>
    <n v="-2.0499999999999998"/>
    <n v="-0.93304525696752738"/>
    <n v="0"/>
    <n v="0.41674584073720217"/>
    <n v="1555.6531623625672"/>
    <n v="2300"/>
    <x v="877"/>
    <s v="Олег Алешин"/>
    <s v="2026 03"/>
    <n v="744.34683763743283"/>
    <n v="0.47847865812646495"/>
  </r>
  <r>
    <s v="545649791"/>
    <n v="0"/>
    <s v="iHerb_VP DFD1605"/>
    <s v="Доставлен"/>
    <d v="2026-02-06T00:00:00"/>
    <x v="44"/>
    <s v="Витамины"/>
    <s v="LEX-33510"/>
    <x v="7"/>
    <x v="750"/>
    <n v="12.6"/>
    <n v="-1.26"/>
    <n v="-0.57410380976732289"/>
    <n v="0"/>
    <n v="0.25642419066521283"/>
    <n v="957.19516338532344"/>
    <n v="1700"/>
    <x v="877"/>
    <s v="Олег Алешин"/>
    <s v="2026 03"/>
    <n v="742.80483661467656"/>
    <n v="0.77602234635995226"/>
  </r>
  <r>
    <s v="545649791"/>
    <n v="0"/>
    <s v="iHerb_VP DFD1605"/>
    <s v="Доставлен"/>
    <d v="2026-02-06T00:00:00"/>
    <x v="44"/>
    <s v="Витамины"/>
    <s v="SMO-45805"/>
    <x v="247"/>
    <x v="1763"/>
    <n v="30.67"/>
    <n v="-3.07"/>
    <n v="-1.3972896957299923"/>
    <n v="0"/>
    <n v="0.62410120479363984"/>
    <n v="2329.6813500383532"/>
    <n v="3200"/>
    <x v="877"/>
    <m/>
    <s v="2026 03"/>
    <n v="870.31864996164677"/>
    <n v="0.37357840802877135"/>
  </r>
  <r>
    <s v="545649791"/>
    <n v="0"/>
    <s v="iHerb_VP DFD1605"/>
    <s v="Доставлен"/>
    <d v="2026-02-06T00:00:00"/>
    <x v="44"/>
    <s v="Витамины"/>
    <s v="QNL-00176"/>
    <x v="336"/>
    <x v="1871"/>
    <n v="21.46"/>
    <n v="-2.15"/>
    <n v="-0.97759652262848395"/>
    <n v="0"/>
    <n v="0.43664471973062258"/>
    <n v="1629.9328575811815"/>
    <n v="2700"/>
    <x v="877"/>
    <s v="Любовь Виталий"/>
    <s v="2026 03"/>
    <n v="1070.0671424188185"/>
    <n v="0.65650995219937891"/>
  </r>
  <r>
    <s v="545649791"/>
    <n v="0"/>
    <s v="iHerb_VP DFD1605"/>
    <s v="Доставлен"/>
    <d v="2026-02-06T00:00:00"/>
    <x v="44"/>
    <s v="Витамины"/>
    <s v="FBS-00678"/>
    <x v="20"/>
    <x v="1872"/>
    <n v="13.5"/>
    <n v="-1.35"/>
    <n v="-0.61511122475070312"/>
    <n v="0"/>
    <n v="0.27474020428415663"/>
    <n v="1025.5662464842751"/>
    <n v="2300"/>
    <x v="825"/>
    <s v="Виктория Башня/Энгельса"/>
    <s v="2026 03"/>
    <n v="1274.4337535157249"/>
    <n v="1.2426635118741358"/>
  </r>
  <r>
    <s v="545649791"/>
    <n v="0"/>
    <s v="iHerb_VP DFD1605"/>
    <s v="Доставлен"/>
    <d v="2026-02-06T00:00:00"/>
    <x v="44"/>
    <s v="Витамины"/>
    <s v="NOW-00475"/>
    <x v="3"/>
    <x v="1873"/>
    <n v="11.25"/>
    <n v="-1.125"/>
    <n v="-0.5125926872922526"/>
    <n v="0"/>
    <n v="0.22895017023679717"/>
    <n v="854.63853873689584"/>
    <n v="1700"/>
    <x v="877"/>
    <m/>
    <s v="2026 03"/>
    <n v="845.36146126310416"/>
    <n v="0.98914502792314674"/>
  </r>
  <r>
    <s v="545649791"/>
    <n v="0"/>
    <s v="iHerb_VP DFD1605"/>
    <s v="Доставлен"/>
    <d v="2026-02-06T00:00:00"/>
    <x v="44"/>
    <s v="Витамины"/>
    <s v="NOW-00475"/>
    <x v="3"/>
    <x v="1873"/>
    <n v="11.25"/>
    <n v="-1.125"/>
    <n v="-0.5125926872922526"/>
    <n v="0"/>
    <n v="0.22895017023679717"/>
    <n v="854.63853873689584"/>
    <n v="1700"/>
    <x v="877"/>
    <m/>
    <s v="2026 03"/>
    <n v="845.36146126310416"/>
    <n v="0.98914502792314674"/>
  </r>
  <r>
    <s v="545649791"/>
    <n v="0"/>
    <s v="iHerb_VP DFD1605"/>
    <s v="Доставлен"/>
    <d v="2026-02-06T00:00:00"/>
    <x v="44"/>
    <s v="Витамины"/>
    <s v="NOW-03056"/>
    <x v="3"/>
    <x v="92"/>
    <n v="22.51"/>
    <n v="-2.25"/>
    <n v="-1.0256916389670161"/>
    <n v="0"/>
    <n v="0.45812646409851959"/>
    <n v="1710.1211649194581"/>
    <n v="2400"/>
    <x v="886"/>
    <s v="Алена Грация"/>
    <s v="2026 03"/>
    <n v="689.87883508054188"/>
    <n v="0.40340933100669113"/>
  </r>
  <r>
    <s v="545649791"/>
    <n v="0"/>
    <s v="iHerb_VP DFD1605"/>
    <s v="Доставлен"/>
    <d v="2026-02-06T00:00:00"/>
    <x v="44"/>
    <s v="Витамины"/>
    <s v="FOA-66103"/>
    <x v="171"/>
    <x v="1753"/>
    <n v="14.51"/>
    <n v="-1.45"/>
    <n v="-0.66118128355919203"/>
    <n v="0"/>
    <n v="0.29531745415235272"/>
    <n v="1102.3782040398876"/>
    <m/>
    <x v="20"/>
    <m/>
    <s v=""/>
    <n v="-1102.3782040398876"/>
    <s v=""/>
  </r>
  <r>
    <s v="545649791"/>
    <n v="0"/>
    <s v="iHerb_VP DFD1605"/>
    <s v="Доставлен"/>
    <d v="2026-02-06T00:00:00"/>
    <x v="44"/>
    <s v="Витамины"/>
    <s v="SOR-08378"/>
    <x v="10"/>
    <x v="1874"/>
    <n v="15.94"/>
    <n v="-1.59"/>
    <n v="-0.72648938890309378"/>
    <n v="0"/>
    <n v="0.32448740176770757"/>
    <n v="1211.2654845308105"/>
    <n v="2000"/>
    <x v="887"/>
    <s v="Юлия АТБ кольцо"/>
    <s v="2026 04"/>
    <n v="788.73451546918955"/>
    <n v="0.65116568212517811"/>
  </r>
  <r>
    <s v="545649791"/>
    <n v="0"/>
    <s v="iHerb_VP DFD1605"/>
    <s v="Доставлен"/>
    <d v="2026-02-06T00:00:00"/>
    <x v="44"/>
    <s v="Витамины"/>
    <s v="NCA-38611"/>
    <x v="210"/>
    <x v="1875"/>
    <n v="25.58"/>
    <n v="-2.56"/>
    <n v="-1.1654206085400152"/>
    <n v="0"/>
    <n v="0.52053658457788354"/>
    <n v="1943.0892999232933"/>
    <m/>
    <x v="20"/>
    <m/>
    <s v=""/>
    <n v="-1943.0892999232933"/>
    <s v=""/>
  </r>
  <r>
    <s v="545649791"/>
    <n v="0"/>
    <s v="iHerb_VP DFD1605"/>
    <s v="Доставлен"/>
    <d v="2026-02-06T00:00:00"/>
    <x v="44"/>
    <s v="Витамины"/>
    <s v="NWY-14008"/>
    <x v="16"/>
    <x v="1876"/>
    <n v="17.53"/>
    <n v="-1.75"/>
    <n v="-0.79888519560214777"/>
    <n v="0"/>
    <n v="0.35682308013201575"/>
    <n v="1331.9699892610586"/>
    <n v="2200"/>
    <x v="877"/>
    <s v="Валерий Фагот"/>
    <s v="2026 03"/>
    <n v="868.03001073894143"/>
    <n v="0.65168886516767643"/>
  </r>
  <r>
    <s v="OZO0213"/>
    <n v="0"/>
    <s v="OZON_OA"/>
    <s v="Доставлен"/>
    <d v="2026-02-09T00:00:00"/>
    <x v="44"/>
    <s v="Спортпит"/>
    <s v="892721541"/>
    <x v="162"/>
    <x v="618"/>
    <n v="940"/>
    <n v="0"/>
    <n v="0"/>
    <n v="0"/>
    <n v="0"/>
    <n v="940"/>
    <n v="2000"/>
    <x v="779"/>
    <s v="Виктория Бахчиванджи"/>
    <s v="2026 02"/>
    <n v="1060"/>
    <n v="1.1276595744680851"/>
  </r>
  <r>
    <s v="OZO0209"/>
    <n v="0"/>
    <s v="OZON_OA"/>
    <s v="Доставлен"/>
    <d v="2026-02-07T00:00:00"/>
    <x v="44"/>
    <s v="Спортпит"/>
    <s v="892721541"/>
    <x v="162"/>
    <x v="618"/>
    <n v="1001"/>
    <n v="0"/>
    <n v="0"/>
    <n v="0"/>
    <n v="0"/>
    <n v="1001"/>
    <n v="2000"/>
    <x v="779"/>
    <s v="Виктория Бахчиванджи"/>
    <s v="2026 02"/>
    <n v="999"/>
    <n v="0.99800199800199796"/>
  </r>
  <r>
    <s v="OZO0209"/>
    <n v="0"/>
    <s v="OZON_OA"/>
    <s v="Доставлен"/>
    <d v="2026-02-07T00:00:00"/>
    <x v="44"/>
    <s v="Спортпит"/>
    <s v="892721541"/>
    <x v="162"/>
    <x v="618"/>
    <n v="1001"/>
    <n v="0"/>
    <n v="0"/>
    <n v="0"/>
    <n v="0"/>
    <n v="1001"/>
    <n v="2000"/>
    <x v="861"/>
    <s v="Евгения"/>
    <s v="2026 02"/>
    <n v="999"/>
    <n v="0.99800199800199796"/>
  </r>
  <r>
    <s v="546121303"/>
    <n v="0"/>
    <s v="iHerb_AV CYG0792"/>
    <s v="Доставлен"/>
    <d v="2026-02-18T00:00:00"/>
    <x v="44"/>
    <s v="Витамины"/>
    <s v="NOW-00358"/>
    <x v="3"/>
    <x v="1877"/>
    <n v="11.25"/>
    <n v="-2.25"/>
    <n v="-0.84946846939828646"/>
    <n v="-1.3200298527899475E-15"/>
    <n v="0.22571485658774038"/>
    <n v="730.78346578594267"/>
    <n v="1500"/>
    <x v="851"/>
    <s v="Елена сахарный диабет"/>
    <s v="2026 03"/>
    <n v="769.21653421405733"/>
    <n v="1.0525915954964591"/>
  </r>
  <r>
    <s v="546121303"/>
    <n v="0"/>
    <s v="iHerb_AV CYG0792"/>
    <s v="Доставлен"/>
    <d v="2026-02-18T00:00:00"/>
    <x v="44"/>
    <s v="Витамины"/>
    <s v="MCL-01912"/>
    <x v="286"/>
    <x v="1878"/>
    <n v="45.31"/>
    <n v="-9.06"/>
    <n v="-3.4214702239653207"/>
    <n v="-5.3167869070706218E-15"/>
    <n v="0.90912928347839872"/>
    <n v="2943.4334038600468"/>
    <n v="4400"/>
    <x v="894"/>
    <m/>
    <s v="2026 03"/>
    <n v="1456.5665961399532"/>
    <n v="0.494852913685697"/>
  </r>
  <r>
    <s v="546121303"/>
    <n v="0"/>
    <s v="iHerb_AV CYG0792"/>
    <s v="Доставлен"/>
    <d v="2026-02-18T00:00:00"/>
    <x v="44"/>
    <s v="Витамины"/>
    <s v="FBS-50080"/>
    <x v="20"/>
    <x v="1879"/>
    <n v="17.66"/>
    <n v="-3.53"/>
    <n v="-1.3336654969553099"/>
    <n v="-2.0724468688802176E-15"/>
    <n v="0.35437232484275238"/>
    <n v="1147.3300412839301"/>
    <n v="2300"/>
    <x v="894"/>
    <s v="Юлия рынок на Нептуне"/>
    <s v="2026 03"/>
    <n v="1152.6699587160699"/>
    <n v="1.0046542121621467"/>
  </r>
  <r>
    <s v="546121303"/>
    <n v="0"/>
    <s v="iHerb_AV CYG0792"/>
    <s v="Доставлен"/>
    <d v="2026-02-18T00:00:00"/>
    <x v="44"/>
    <s v="Витамины"/>
    <s v="SOR-35007"/>
    <x v="10"/>
    <x v="1576"/>
    <n v="25.02"/>
    <n v="-5"/>
    <n v="-1.8895954174837442"/>
    <n v="-2.9363330725394166E-15"/>
    <n v="0.50209015876517349"/>
    <n v="1625.5872205593971"/>
    <n v="2900"/>
    <x v="851"/>
    <s v="Любовь Виталий"/>
    <s v="2026 03"/>
    <n v="1274.4127794406029"/>
    <n v="0.78397071736455448"/>
  </r>
  <r>
    <s v="546121303"/>
    <n v="0"/>
    <s v="iHerb_AV CYG0792"/>
    <s v="Доставлен"/>
    <d v="2026-02-18T00:00:00"/>
    <x v="44"/>
    <s v="Витамины"/>
    <s v="SOR-08364"/>
    <x v="10"/>
    <x v="1839"/>
    <n v="13.52"/>
    <n v="-2.7"/>
    <n v="-1.0212498709877178"/>
    <n v="-1.5869692230208036E-15"/>
    <n v="0.27135941647548345"/>
    <n v="878.5641222004333"/>
    <n v="2000"/>
    <x v="851"/>
    <s v="Любовь Виталий"/>
    <s v="2026 03"/>
    <n v="1121.4358777995667"/>
    <n v="1.2764416955598437"/>
  </r>
  <r>
    <s v="546121303"/>
    <n v="0"/>
    <s v="iHerb_AV CYG0792"/>
    <s v="Доставлен"/>
    <d v="2026-02-18T00:00:00"/>
    <x v="44"/>
    <s v="Витамины"/>
    <s v="NWY-16000"/>
    <x v="16"/>
    <x v="1880"/>
    <n v="9.74"/>
    <n v="-1.95"/>
    <n v="-0.73526215295696129"/>
    <n v="-1.1425591725815212E-15"/>
    <n v="0.19536874809094415"/>
    <n v="632.53368871916598"/>
    <n v="1500"/>
    <x v="887"/>
    <s v="Юлия АТБ кольцо"/>
    <s v="2026 04"/>
    <n v="867.46631128083402"/>
    <n v="1.3714151937699781"/>
  </r>
  <r>
    <s v="546121303"/>
    <n v="0"/>
    <s v="iHerb_AV CYG0792"/>
    <s v="Доставлен"/>
    <d v="2026-02-18T00:00:00"/>
    <x v="44"/>
    <s v="Витамины"/>
    <s v="MII-16734"/>
    <x v="343"/>
    <x v="1832"/>
    <n v="23.69"/>
    <n v="-4.74"/>
    <n v="-1.7886030550108369"/>
    <n v="-2.7793961900410567E-15"/>
    <n v="0.47525517025974229"/>
    <n v="1538.7051862937349"/>
    <m/>
    <x v="20"/>
    <m/>
    <s v=""/>
    <n v="-1538.7051862937349"/>
    <s v=""/>
  </r>
  <r>
    <s v="546121303"/>
    <n v="0"/>
    <s v="iHerb_AV CYG0792"/>
    <s v="Доставлен"/>
    <d v="2026-02-18T00:00:00"/>
    <x v="44"/>
    <s v="Витамины"/>
    <s v="NCS-67405"/>
    <x v="217"/>
    <x v="1881"/>
    <n v="20.34"/>
    <n v="-4.07"/>
    <n v="-1.5356502219011245"/>
    <n v="-2.3863206338769385E-15"/>
    <n v="0.40804230185361506"/>
    <n v="1321.0941098152541"/>
    <n v="2400"/>
    <x v="851"/>
    <s v="Надежда Витамины"/>
    <s v="2026 03"/>
    <n v="1078.9058901847459"/>
    <n v="0.81667602797473937"/>
  </r>
  <r>
    <s v="546121303"/>
    <n v="0"/>
    <s v="iHerb_AV CYG0792"/>
    <s v="Доставлен"/>
    <d v="2026-02-18T00:00:00"/>
    <x v="44"/>
    <s v="Витамины"/>
    <s v="PAR-77871"/>
    <x v="44"/>
    <x v="1598"/>
    <n v="15.62"/>
    <n v="-3.12"/>
    <n v="-1.1798173186087313"/>
    <n v="-1.8333747955415936E-15"/>
    <n v="0.31349285637186164"/>
    <n v="1014.9770358138095"/>
    <n v="2000"/>
    <x v="851"/>
    <s v="Надежда Витамины"/>
    <s v="2026 03"/>
    <n v="985.02296418619051"/>
    <n v="0.97048793167660019"/>
  </r>
  <r>
    <s v="546121303"/>
    <n v="0"/>
    <s v="iHerb_AV CYG0792"/>
    <s v="Доставлен"/>
    <d v="2026-02-18T00:00:00"/>
    <x v="44"/>
    <s v="Витамины"/>
    <s v="MII-02364"/>
    <x v="343"/>
    <x v="1882"/>
    <n v="26.83"/>
    <n v="-5.37"/>
    <n v="-2.0255103725874699"/>
    <n v="-3.1475378489858079E-15"/>
    <n v="0.53820453581921202"/>
    <n v="1742.5125750851475"/>
    <n v="3000"/>
    <x v="851"/>
    <s v="Татьяна Бригантина"/>
    <s v="2026 03"/>
    <n v="1257.4874249148525"/>
    <n v="0.72165185083579986"/>
  </r>
  <r>
    <s v="546121303"/>
    <n v="0"/>
    <s v="iHerb_AV CYG0792"/>
    <s v="Доставлен"/>
    <d v="2026-02-18T00:00:00"/>
    <x v="44"/>
    <s v="Витамины"/>
    <s v="CGN-00931"/>
    <x v="1"/>
    <x v="1883"/>
    <n v="6.46"/>
    <n v="-1.29"/>
    <n v="-0.48797244297657127"/>
    <n v="-7.582838154360032E-16"/>
    <n v="0.12966064539540198"/>
    <n v="419.79450201259158"/>
    <m/>
    <x v="20"/>
    <m/>
    <s v=""/>
    <n v="-419.79450201259158"/>
    <s v=""/>
  </r>
  <r>
    <s v="546121303"/>
    <n v="0"/>
    <s v="iHerb_AV CYG0792"/>
    <s v="Доставлен"/>
    <d v="2026-02-18T00:00:00"/>
    <x v="44"/>
    <s v="Витамины"/>
    <s v="MII-16736"/>
    <x v="343"/>
    <x v="1884"/>
    <n v="26.78"/>
    <n v="-5.36"/>
    <n v="-2.0217349571679222"/>
    <n v="-3.1416710496400753E-15"/>
    <n v="0.53720135867882202"/>
    <n v="1739.2646485705436"/>
    <m/>
    <x v="20"/>
    <m/>
    <s v=""/>
    <n v="-1739.2646485705436"/>
    <s v=""/>
  </r>
  <r>
    <s v="545921350"/>
    <n v="0"/>
    <s v="iHerb_MH DLE7202"/>
    <s v="Доставлен"/>
    <d v="2026-02-13T00:00:00"/>
    <x v="44"/>
    <s v="Витамины"/>
    <s v="NLF-18131"/>
    <x v="349"/>
    <x v="1885"/>
    <n v="47.19"/>
    <n v="-4.72"/>
    <n v="-2.7385751430057201"/>
    <n v="0"/>
    <n v="1.076700036454239"/>
    <n v="3549.1205039001561"/>
    <n v="4600"/>
    <x v="851"/>
    <s v="Оксана Черноморская"/>
    <s v="2026 03"/>
    <n v="1050.8794960998439"/>
    <n v="0.29609574962163843"/>
  </r>
  <r>
    <s v="545921350"/>
    <n v="0"/>
    <s v="iHerb_MH DLE7202"/>
    <s v="Доставлен"/>
    <d v="2026-02-13T00:00:00"/>
    <x v="44"/>
    <s v="Витамины"/>
    <s v="MCL-03307"/>
    <x v="286"/>
    <x v="1691"/>
    <n v="45.59"/>
    <n v="-4.5599999999999996"/>
    <n v="-2.6457202288091524"/>
    <n v="0"/>
    <n v="1.0401931362306907"/>
    <n v="3428.7830062402495"/>
    <n v="4400"/>
    <x v="851"/>
    <s v="Оксана Черноморская"/>
    <s v="2026 03"/>
    <n v="971.21699375975049"/>
    <n v="0.28325414352327749"/>
  </r>
  <r>
    <s v="545921350"/>
    <n v="0"/>
    <s v="iHerb_MH DLE7202"/>
    <s v="Доставлен"/>
    <d v="2026-02-13T00:00:00"/>
    <x v="44"/>
    <s v="Витамины"/>
    <s v="JRW-01024"/>
    <x v="21"/>
    <x v="1886"/>
    <n v="20.77"/>
    <n v="-2.08"/>
    <n v="-1.2051794071762869"/>
    <n v="0"/>
    <n v="0.47382914248480629"/>
    <n v="1561.8804383775348"/>
    <n v="2300"/>
    <x v="851"/>
    <s v="Татьяна Бригантина"/>
    <s v="2026 03"/>
    <n v="738.1195616224652"/>
    <n v="0.47258390814422141"/>
  </r>
  <r>
    <s v="545921350"/>
    <n v="0"/>
    <s v="iHerb_MH DLE7202"/>
    <s v="Доставлен"/>
    <d v="2026-02-13T00:00:00"/>
    <x v="44"/>
    <s v="Витамины"/>
    <s v="SOR-57445"/>
    <x v="10"/>
    <x v="1721"/>
    <n v="27.04"/>
    <n v="-2.7"/>
    <n v="-1.5695059802392097"/>
    <n v="0"/>
    <n v="0.61706802183414589"/>
    <n v="2034.0379812792512"/>
    <n v="3000"/>
    <x v="851"/>
    <m/>
    <s v="2026 03"/>
    <n v="965.9620187207488"/>
    <n v="0.47489871261559929"/>
  </r>
  <r>
    <s v="545921350"/>
    <n v="0"/>
    <s v="iHerb_MH DLE7202"/>
    <s v="Доставлен"/>
    <d v="2026-02-13T00:00:00"/>
    <x v="44"/>
    <s v="Витамины"/>
    <s v="DRB-00245"/>
    <x v="6"/>
    <x v="1703"/>
    <n v="21.75"/>
    <n v="-2.1800000000000002"/>
    <n v="-1.2619240769630784"/>
    <n v="0"/>
    <n v="0.49613891484364153"/>
    <n v="1635.4200202808111"/>
    <m/>
    <x v="20"/>
    <m/>
    <s v=""/>
    <n v="-1635.4200202808111"/>
    <s v=""/>
  </r>
  <r>
    <s v="545921350"/>
    <n v="0"/>
    <s v="iHerb_MH DLE7202"/>
    <s v="Доставлен"/>
    <d v="2026-02-13T00:00:00"/>
    <x v="44"/>
    <s v="Витамины"/>
    <s v="NFS-02684"/>
    <x v="23"/>
    <x v="1770"/>
    <n v="33.590000000000003"/>
    <n v="-3.36"/>
    <n v="-1.9493083723348934"/>
    <n v="0"/>
    <n v="0.76639138455407696"/>
    <n v="2526.251773790952"/>
    <m/>
    <x v="20"/>
    <m/>
    <s v=""/>
    <n v="-2526.251773790952"/>
    <s v=""/>
  </r>
  <r>
    <s v="545921350"/>
    <n v="0"/>
    <s v="iHerb_MH DLE7202"/>
    <s v="Доставлен"/>
    <d v="2026-02-13T00:00:00"/>
    <x v="44"/>
    <s v="Витамины"/>
    <s v="CGN-00931"/>
    <x v="1"/>
    <x v="1883"/>
    <n v="6.46"/>
    <n v="-1.29"/>
    <n v="-0.3333749349973999"/>
    <n v="0"/>
    <n v="0.1310699126081567"/>
    <n v="432.04504368174725"/>
    <m/>
    <x v="20"/>
    <m/>
    <s v=""/>
    <n v="-432.04504368174725"/>
    <s v=""/>
  </r>
  <r>
    <s v="545921350"/>
    <n v="0"/>
    <s v="iHerb_MH DLE7202"/>
    <s v="Доставлен"/>
    <d v="2026-02-13T00:00:00"/>
    <x v="44"/>
    <s v="Витамины"/>
    <s v="NOW-01444"/>
    <x v="3"/>
    <x v="1887"/>
    <n v="12"/>
    <n v="-1.2"/>
    <n v="-0.69641185647425896"/>
    <n v="0"/>
    <n v="0.27380175167661364"/>
    <n v="902.53123244929793"/>
    <n v="1600"/>
    <x v="851"/>
    <m/>
    <s v="2026 03"/>
    <n v="697.46876755070207"/>
    <n v="0.77279183531178708"/>
  </r>
  <r>
    <s v="545920418"/>
    <n v="0"/>
    <s v="iHerb_VP DFD1605"/>
    <s v="Доставлен"/>
    <d v="2026-02-13T00:00:00"/>
    <x v="44"/>
    <s v="Витамины"/>
    <s v="SNS-00803"/>
    <x v="151"/>
    <x v="1888"/>
    <n v="18.88"/>
    <n v="-2.8333333333333335"/>
    <n v="0"/>
    <n v="0"/>
    <n v="0.47841890859315311"/>
    <n v="1428.2840160447306"/>
    <n v="2400"/>
    <x v="899"/>
    <s v="Валентина Сычева"/>
    <s v="2026 04"/>
    <n v="971.71598395526939"/>
    <n v="0.68033806514630735"/>
  </r>
  <r>
    <s v="545920418"/>
    <n v="0"/>
    <s v="iHerb_VP DFD1605"/>
    <s v="Доставлен"/>
    <d v="2026-02-13T00:00:00"/>
    <x v="44"/>
    <s v="Витамины"/>
    <s v="SNS-00803"/>
    <x v="151"/>
    <x v="1888"/>
    <n v="18.88"/>
    <n v="-2.8333333333333335"/>
    <n v="0"/>
    <n v="0"/>
    <n v="0.47841890859315311"/>
    <n v="1428.2840160447306"/>
    <n v="2400"/>
    <x v="899"/>
    <s v="Валентина Сычева"/>
    <s v="2026 04"/>
    <n v="971.71598395526939"/>
    <n v="0.68033806514630735"/>
  </r>
  <r>
    <s v="545920418"/>
    <n v="0"/>
    <s v="iHerb_VP DFD1605"/>
    <s v="Доставлен"/>
    <d v="2026-02-13T00:00:00"/>
    <x v="44"/>
    <s v="Витамины"/>
    <s v="SNS-00803"/>
    <x v="151"/>
    <x v="1888"/>
    <n v="18.88"/>
    <n v="-2.8333333333333335"/>
    <n v="0"/>
    <n v="0"/>
    <n v="0.47841890859315311"/>
    <n v="1428.2840160447306"/>
    <m/>
    <x v="20"/>
    <m/>
    <s v=""/>
    <n v="-1428.2840160447306"/>
    <s v=""/>
  </r>
  <r>
    <s v="545920418"/>
    <n v="0"/>
    <s v="iHerb_VP DFD1605"/>
    <s v="Доставлен"/>
    <d v="2026-02-13T00:00:00"/>
    <x v="44"/>
    <s v="Витамины"/>
    <s v="PAR-77871"/>
    <x v="44"/>
    <x v="1598"/>
    <n v="15.62"/>
    <n v="-2.3433333333333333"/>
    <n v="0"/>
    <n v="0"/>
    <n v="0.3958335091247463"/>
    <n v="1181.7314573963777"/>
    <n v="1900"/>
    <x v="899"/>
    <s v="Валентина Сычева"/>
    <s v="2026 04"/>
    <n v="718.26854260362234"/>
    <n v="0.60781029235367123"/>
  </r>
  <r>
    <s v="545920418"/>
    <n v="0"/>
    <s v="iHerb_VP DFD1605"/>
    <s v="Доставлен"/>
    <d v="2026-02-13T00:00:00"/>
    <x v="44"/>
    <s v="Витамины"/>
    <s v="PAR-77871"/>
    <x v="44"/>
    <x v="1598"/>
    <n v="15.62"/>
    <n v="-2.3433333333333333"/>
    <n v="0"/>
    <n v="0"/>
    <n v="0.3958335091247463"/>
    <n v="1181.7314573963777"/>
    <m/>
    <x v="20"/>
    <m/>
    <s v=""/>
    <n v="-1181.7314573963777"/>
    <s v=""/>
  </r>
  <r>
    <s v="545920418"/>
    <n v="0"/>
    <s v="iHerb_VP DFD1605"/>
    <s v="Доставлен"/>
    <d v="2026-02-13T00:00:00"/>
    <x v="44"/>
    <s v="Витамины"/>
    <s v="PAR-77871"/>
    <x v="44"/>
    <x v="1598"/>
    <n v="15.62"/>
    <n v="-2.3433333333333333"/>
    <n v="0"/>
    <n v="0"/>
    <n v="0.3958335091247463"/>
    <n v="1181.7314573963777"/>
    <m/>
    <x v="20"/>
    <m/>
    <s v=""/>
    <n v="-1181.7314573963777"/>
    <s v=""/>
  </r>
  <r>
    <s v="545920418"/>
    <n v="0"/>
    <s v="iHerb_VP DFD1605"/>
    <s v="Доставлен"/>
    <d v="2026-02-13T00:00:00"/>
    <x v="44"/>
    <s v="Витамины"/>
    <s v="SNS-00033"/>
    <x v="151"/>
    <x v="1889"/>
    <n v="35.979999999999997"/>
    <n v="-5.4"/>
    <n v="0"/>
    <n v="0"/>
    <n v="0.91171895875230291"/>
    <n v="2721.8690409626838"/>
    <n v="4000"/>
    <x v="917"/>
    <m/>
    <s v="2026 04"/>
    <n v="1278.1309590373162"/>
    <n v="0.46957841828615704"/>
  </r>
  <r>
    <s v="545920418"/>
    <n v="0"/>
    <s v="iHerb_VP DFD1605"/>
    <s v="Доставлен"/>
    <d v="2026-02-13T00:00:00"/>
    <x v="44"/>
    <s v="Витамины"/>
    <s v="NOW-01289"/>
    <x v="3"/>
    <x v="214"/>
    <n v="25.29"/>
    <n v="-3.79"/>
    <n v="0"/>
    <n v="0"/>
    <n v="0.64100580814828356"/>
    <n v="1913.6750942020176"/>
    <m/>
    <x v="20"/>
    <m/>
    <s v=""/>
    <n v="-1913.6750942020176"/>
    <s v=""/>
  </r>
  <r>
    <s v="545920418"/>
    <n v="0"/>
    <s v="iHerb_VP DFD1605"/>
    <s v="Доставлен"/>
    <d v="2026-02-13T00:00:00"/>
    <x v="44"/>
    <s v="Витамины"/>
    <s v="LEX-14591"/>
    <x v="7"/>
    <x v="1890"/>
    <n v="9.4499999999999993"/>
    <n v="-1.42"/>
    <n v="0"/>
    <n v="0"/>
    <n v="0.2394082157874752"/>
    <n v="714.73539564847454"/>
    <m/>
    <x v="20"/>
    <m/>
    <s v=""/>
    <n v="-714.73539564847454"/>
    <s v=""/>
  </r>
  <r>
    <s v="545920418"/>
    <n v="0"/>
    <s v="iHerb_VP DFD1605"/>
    <s v="Доставлен"/>
    <d v="2026-02-13T00:00:00"/>
    <x v="44"/>
    <s v="Витамины"/>
    <s v="NOW-01283"/>
    <x v="3"/>
    <x v="343"/>
    <n v="19.36"/>
    <n v="-2.9"/>
    <n v="0"/>
    <n v="0"/>
    <n v="0.49074212102887199"/>
    <n v="1465.0740488634983"/>
    <m/>
    <x v="20"/>
    <m/>
    <s v=""/>
    <n v="-1465.0740488634983"/>
    <s v=""/>
  </r>
  <r>
    <s v="OZO0212"/>
    <n v="0"/>
    <s v="OZON_OA"/>
    <s v="Доставлен"/>
    <d v="2026-02-08T00:00:00"/>
    <x v="44"/>
    <s v="Спортпит"/>
    <s v="892721541"/>
    <x v="162"/>
    <x v="618"/>
    <n v="1001"/>
    <n v="0"/>
    <n v="0"/>
    <n v="0"/>
    <n v="0"/>
    <n v="1001"/>
    <n v="2000"/>
    <x v="861"/>
    <s v="Евгения"/>
    <s v="2026 02"/>
    <n v="999"/>
    <n v="0.99800199800199796"/>
  </r>
  <r>
    <s v="546479596"/>
    <n v="0"/>
    <s v="iHerb_VP DFD1605"/>
    <s v="Доставлен"/>
    <d v="2026-02-26T00:00:00"/>
    <x v="44"/>
    <s v="Витамины"/>
    <s v="DRB-00087"/>
    <x v="6"/>
    <x v="1891"/>
    <n v="25.67"/>
    <n v="-2.5649999999999999"/>
    <n v="-1.4741599319438536"/>
    <n v="0"/>
    <n v="0.59900322762154357"/>
    <n v="1933.0204654934071"/>
    <n v="3000"/>
    <x v="851"/>
    <s v="Любовь Виталий"/>
    <s v="2026 03"/>
    <n v="1066.9795345065929"/>
    <n v="0.55197529128810563"/>
  </r>
  <r>
    <s v="546479596"/>
    <n v="0"/>
    <s v="iHerb_VP DFD1605"/>
    <s v="Доставлен"/>
    <d v="2026-02-26T00:00:00"/>
    <x v="44"/>
    <s v="Витамины"/>
    <s v="DRB-00087"/>
    <x v="6"/>
    <x v="1891"/>
    <n v="25.67"/>
    <n v="-2.5649999999999999"/>
    <n v="-1.4741599319438536"/>
    <n v="0"/>
    <n v="0.59900322762154357"/>
    <n v="1933.0204654934071"/>
    <n v="3000"/>
    <x v="851"/>
    <s v="Надежда Витамины"/>
    <s v="2026 03"/>
    <n v="1066.9795345065929"/>
    <n v="0.55197529128810563"/>
  </r>
  <r>
    <s v="546479596"/>
    <n v="0"/>
    <s v="iHerb_VP DFD1605"/>
    <s v="Доставлен"/>
    <d v="2026-02-26T00:00:00"/>
    <x v="44"/>
    <s v="Витамины"/>
    <s v="NFS-35493"/>
    <x v="23"/>
    <x v="1383"/>
    <n v="49.39"/>
    <n v="-4.9400000000000004"/>
    <n v="-2.8360272224585286"/>
    <n v="0"/>
    <n v="1.1523779903820652"/>
    <n v="3718.7950526371756"/>
    <n v="4800"/>
    <x v="851"/>
    <s v="Оксана Черноморская"/>
    <s v="2026 03"/>
    <n v="1081.2049473628244"/>
    <n v="0.29074066520447001"/>
  </r>
  <r>
    <s v="546479596"/>
    <n v="0"/>
    <s v="iHerb_VP DFD1605"/>
    <s v="Доставлен"/>
    <d v="2026-02-26T00:00:00"/>
    <x v="44"/>
    <s v="Витамины"/>
    <s v="NCA-38663"/>
    <x v="210"/>
    <x v="1826"/>
    <n v="47.92"/>
    <n v="-4.79"/>
    <n v="-2.751807741386644"/>
    <n v="0"/>
    <n v="1.1181566417362987"/>
    <n v="3608.3606438749466"/>
    <m/>
    <x v="20"/>
    <m/>
    <s v=""/>
    <n v="-3608.3606438749466"/>
    <s v=""/>
  </r>
  <r>
    <s v="546479596"/>
    <n v="0"/>
    <s v="iHerb_VP DFD1605"/>
    <s v="Доставлен"/>
    <d v="2026-02-26T00:00:00"/>
    <x v="44"/>
    <s v="Витамины"/>
    <s v="CGN-01266"/>
    <x v="1"/>
    <x v="487"/>
    <n v="31.16"/>
    <n v="-6.23"/>
    <n v="-1.5905997447894511"/>
    <n v="0"/>
    <n v="0.64631683465072842"/>
    <n v="2085.7044018502761"/>
    <n v="3300"/>
    <x v="639"/>
    <s v="Виктория Страховка"/>
    <s v="2026 05"/>
    <n v="1214.2955981497239"/>
    <n v="0.58219927860942067"/>
  </r>
  <r>
    <s v="546479596"/>
    <n v="0"/>
    <s v="iHerb_VP DFD1605"/>
    <s v="Доставлен"/>
    <d v="2026-02-26T00:00:00"/>
    <x v="44"/>
    <s v="Витамины"/>
    <s v="NOW-01292"/>
    <x v="3"/>
    <x v="1892"/>
    <n v="32.619999999999997"/>
    <n v="-3.26"/>
    <n v="-1.8732454274776689"/>
    <n v="0"/>
    <n v="0.76116575472705128"/>
    <n v="2456.3289706507862"/>
    <n v="3800"/>
    <x v="917"/>
    <m/>
    <s v="2026 04"/>
    <n v="1343.6710293492138"/>
    <n v="0.54702405313129454"/>
  </r>
  <r>
    <s v="546742364"/>
    <n v="0"/>
    <s v="iHerb_VP DFD1605"/>
    <s v="Доставлен"/>
    <d v="2026-03-04T00:00:00"/>
    <x v="45"/>
    <s v="Витамины"/>
    <s v="PAR-77871"/>
    <x v="44"/>
    <x v="1598"/>
    <n v="15.62"/>
    <n v="-3.125"/>
    <n v="0"/>
    <n v="2.2349229662233989E-15"/>
    <n v="0.72881852300815053"/>
    <n v="1143.0697026431719"/>
    <m/>
    <x v="20"/>
    <m/>
    <s v=""/>
    <n v="-1143.0697026431719"/>
    <s v=""/>
  </r>
  <r>
    <s v="546742364"/>
    <n v="0"/>
    <s v="iHerb_VP DFD1605"/>
    <s v="Доставлен"/>
    <d v="2026-03-04T00:00:00"/>
    <x v="45"/>
    <s v="Витамины"/>
    <s v="PAR-77871"/>
    <x v="44"/>
    <x v="1598"/>
    <n v="15.62"/>
    <n v="-3.125"/>
    <n v="0"/>
    <n v="2.2349229662233989E-15"/>
    <n v="0.72881852300815053"/>
    <n v="1143.0697026431719"/>
    <m/>
    <x v="20"/>
    <m/>
    <s v=""/>
    <n v="-1143.0697026431719"/>
    <s v=""/>
  </r>
  <r>
    <s v="546742364"/>
    <n v="0"/>
    <s v="iHerb_VP DFD1605"/>
    <s v="Доставлен"/>
    <d v="2026-03-04T00:00:00"/>
    <x v="45"/>
    <s v="Витамины"/>
    <s v="PAR-77872"/>
    <x v="44"/>
    <x v="1437"/>
    <n v="15.62"/>
    <n v="-3.125"/>
    <n v="0"/>
    <n v="2.2349229662233989E-15"/>
    <n v="0.72881852300815053"/>
    <n v="1143.0697026431719"/>
    <n v="2000"/>
    <x v="920"/>
    <s v="Надежда Витамины"/>
    <s v="2026 04"/>
    <n v="856.93029735682808"/>
    <n v="0.7496745783527542"/>
  </r>
  <r>
    <s v="546742364"/>
    <n v="0"/>
    <s v="iHerb_VP DFD1605"/>
    <s v="Доставлен"/>
    <d v="2026-03-04T00:00:00"/>
    <x v="45"/>
    <s v="Витамины"/>
    <s v="PAR-77872"/>
    <x v="44"/>
    <x v="1437"/>
    <n v="15.62"/>
    <n v="-3.125"/>
    <n v="0"/>
    <n v="2.2349229662233989E-15"/>
    <n v="0.72881852300815053"/>
    <n v="1143.0697026431719"/>
    <n v="2000"/>
    <x v="568"/>
    <m/>
    <s v="2026 05"/>
    <n v="856.93029735682808"/>
    <n v="0.7496745783527542"/>
  </r>
  <r>
    <s v="546742364"/>
    <n v="0"/>
    <s v="iHerb_VP DFD1605"/>
    <s v="Доставлен"/>
    <d v="2026-03-04T00:00:00"/>
    <x v="45"/>
    <s v="Витамины"/>
    <s v="LEX-23151"/>
    <x v="7"/>
    <x v="17"/>
    <n v="20.07"/>
    <n v="-4.0149999999999997"/>
    <n v="0"/>
    <n v="2.8716837313098577E-15"/>
    <n v="0.93646909859110494"/>
    <n v="1468.7462245647159"/>
    <n v="2700"/>
    <x v="881"/>
    <m/>
    <s v="2026 03"/>
    <n v="1231.2537754352841"/>
    <n v="0.83830259771403592"/>
  </r>
  <r>
    <s v="546742364"/>
    <n v="0"/>
    <s v="iHerb_VP DFD1605"/>
    <s v="Доставлен"/>
    <d v="2026-03-04T00:00:00"/>
    <x v="45"/>
    <s v="Витамины"/>
    <s v="LEX-23151"/>
    <x v="7"/>
    <x v="17"/>
    <n v="20.07"/>
    <n v="-4.0149999999999997"/>
    <n v="0"/>
    <n v="2.8716837313098577E-15"/>
    <n v="0.93646909859110494"/>
    <n v="1468.7462245647159"/>
    <m/>
    <x v="20"/>
    <m/>
    <s v=""/>
    <n v="-1468.7462245647159"/>
    <s v=""/>
  </r>
  <r>
    <s v="546742364"/>
    <n v="0"/>
    <s v="iHerb_VP DFD1605"/>
    <s v="Доставлен"/>
    <d v="2026-03-04T00:00:00"/>
    <x v="45"/>
    <s v="Витамины"/>
    <s v="CGN-01065"/>
    <x v="1"/>
    <x v="14"/>
    <n v="6.4"/>
    <n v="-1.28"/>
    <n v="0"/>
    <n v="9.157907632704125E-16"/>
    <n v="0.29864352443391201"/>
    <n v="468.38870568491723"/>
    <m/>
    <x v="20"/>
    <m/>
    <s v=""/>
    <n v="-468.38870568491723"/>
    <s v=""/>
  </r>
  <r>
    <s v="546742364"/>
    <n v="0"/>
    <s v="iHerb_VP DFD1605"/>
    <s v="Доставлен"/>
    <d v="2026-03-04T00:00:00"/>
    <x v="45"/>
    <s v="Витамины"/>
    <s v="LKN-01663"/>
    <x v="1"/>
    <x v="1828"/>
    <n v="38.94"/>
    <n v="-7.79"/>
    <n v="0"/>
    <n v="5.5716566945065132E-15"/>
    <n v="1.8169425363508513"/>
    <n v="2849.6695668135103"/>
    <n v="4000"/>
    <x v="887"/>
    <s v="Наталья Дерматология"/>
    <s v="2026 04"/>
    <n v="1150.3304331864897"/>
    <n v="0.40367151566726556"/>
  </r>
  <r>
    <s v="546742364"/>
    <n v="0"/>
    <s v="iHerb_VP DFD1605"/>
    <s v="Доставлен"/>
    <d v="2026-03-04T00:00:00"/>
    <x v="45"/>
    <s v="Витамины"/>
    <s v="SWV-11877"/>
    <x v="89"/>
    <x v="1893"/>
    <n v="13.91"/>
    <n v="-2.78"/>
    <n v="0"/>
    <n v="1.9907717178124397E-15"/>
    <n v="0.64919969276356271"/>
    <n v="1018.1965418502206"/>
    <n v="2100"/>
    <x v="887"/>
    <s v="Наталья Дерматология"/>
    <s v="2026 04"/>
    <n v="1081.8034581497795"/>
    <n v="1.0624701751431755"/>
  </r>
  <r>
    <s v="546742364"/>
    <n v="0"/>
    <s v="iHerb_VP DFD1605"/>
    <s v="Доставлен"/>
    <d v="2026-03-04T00:00:00"/>
    <x v="45"/>
    <s v="Витамины"/>
    <s v="SWV-11877"/>
    <x v="89"/>
    <x v="1893"/>
    <n v="13.91"/>
    <n v="-2.78"/>
    <n v="0"/>
    <n v="1.9907717178124397E-15"/>
    <n v="0.64919969276356271"/>
    <n v="1018.1965418502206"/>
    <n v="2100"/>
    <x v="887"/>
    <s v="Наталья Дерматология"/>
    <s v="2026 04"/>
    <n v="1081.8034581497795"/>
    <n v="1.0624701751431755"/>
  </r>
  <r>
    <s v="546742364"/>
    <n v="0"/>
    <s v="iHerb_VP DFD1605"/>
    <s v="Доставлен"/>
    <d v="2026-03-04T00:00:00"/>
    <x v="45"/>
    <s v="Витамины"/>
    <s v="CAL-51610"/>
    <x v="138"/>
    <x v="1894"/>
    <n v="22.85"/>
    <n v="-4.57"/>
    <n v="0"/>
    <n v="3.2696592094888948E-15"/>
    <n v="1.0662507083304515"/>
    <n v="1672.294050765681"/>
    <n v="2600"/>
    <x v="920"/>
    <s v="Надежда Витамины"/>
    <s v="2026 04"/>
    <n v="927.70594923431895"/>
    <n v="0.55475049307838953"/>
  </r>
  <r>
    <s v="546390101"/>
    <n v="0"/>
    <s v="iHerb_AV CYG0792"/>
    <s v="Доставлен"/>
    <d v="2026-02-24T00:00:00"/>
    <x v="44"/>
    <s v="Витамины"/>
    <s v="NOW-00892"/>
    <x v="3"/>
    <x v="1844"/>
    <n v="15"/>
    <n v="-3"/>
    <n v="-0.68451106352605295"/>
    <n v="2.0286730499931485E-15"/>
    <n v="0.3482454639202201"/>
    <n v="1013.6309778729479"/>
    <n v="2000"/>
    <x v="885"/>
    <s v="Лариса Западный"/>
    <s v="2026 04"/>
    <n v="986.36902212705206"/>
    <n v="0.9731046541186974"/>
  </r>
  <r>
    <s v="546390101"/>
    <n v="0"/>
    <s v="iHerb_AV CYG0792"/>
    <s v="Доставлен"/>
    <d v="2026-02-24T00:00:00"/>
    <x v="44"/>
    <s v="Витамины"/>
    <s v="NOW-04739"/>
    <x v="3"/>
    <x v="1895"/>
    <n v="22.51"/>
    <n v="-4.5"/>
    <n v="-1.0273370211753512"/>
    <n v="3.0447001358647173E-15"/>
    <n v="0.52265840043359701"/>
    <n v="1521.2911592909827"/>
    <n v="2600"/>
    <x v="851"/>
    <s v="Татьяна Писарева 28"/>
    <s v="2026 03"/>
    <n v="1078.7088407090173"/>
    <n v="0.70907454770969902"/>
  </r>
  <r>
    <s v="546390101"/>
    <n v="0"/>
    <s v="iHerb_AV CYG0792"/>
    <s v="Доставлен"/>
    <d v="2026-02-24T00:00:00"/>
    <x v="44"/>
    <s v="Витамины"/>
    <s v="NOW-04739"/>
    <x v="3"/>
    <x v="1895"/>
    <n v="22.51"/>
    <n v="-4.5"/>
    <n v="-1.0273370211753512"/>
    <n v="3.0447001358647173E-15"/>
    <n v="0.52265840043359701"/>
    <n v="1521.2911592909827"/>
    <n v="2600"/>
    <x v="851"/>
    <s v="Татьяна Писарева 28"/>
    <s v="2026 03"/>
    <n v="1078.7088407090173"/>
    <n v="0.70907454770969902"/>
  </r>
  <r>
    <s v="546390101"/>
    <n v="0"/>
    <s v="iHerb_AV CYG0792"/>
    <s v="Доставлен"/>
    <d v="2026-02-24T00:00:00"/>
    <x v="44"/>
    <s v="Витамины"/>
    <s v="CGN-00956"/>
    <x v="1"/>
    <x v="305"/>
    <n v="16.79"/>
    <n v="-3.36"/>
    <n v="-0.76608196526290762"/>
    <n v="2.2704232551173321E-15"/>
    <n v="0.38974471503737962"/>
    <n v="1134.4220027361407"/>
    <m/>
    <x v="20"/>
    <m/>
    <s v=""/>
    <n v="-1134.4220027361407"/>
    <s v=""/>
  </r>
  <r>
    <s v="546390101"/>
    <n v="0"/>
    <s v="iHerb_AV CYG0792"/>
    <s v="Доставлен"/>
    <d v="2026-02-24T00:00:00"/>
    <x v="44"/>
    <s v="Витамины"/>
    <s v="NOW-03349"/>
    <x v="3"/>
    <x v="1896"/>
    <n v="65.14"/>
    <n v="-13.03"/>
    <n v="-2.9724892933618845"/>
    <n v="8.8095127195952482E-15"/>
    <n v="1.5122559270735556"/>
    <n v="4401.6925214132762"/>
    <n v="6500"/>
    <x v="851"/>
    <s v="Виктория Башня/Энгельса"/>
    <s v="2026 03"/>
    <n v="2098.3074785867238"/>
    <n v="0.4767046922016735"/>
  </r>
  <r>
    <s v="546390101"/>
    <n v="0"/>
    <s v="iHerb_AV CYG0792"/>
    <s v="Доставлен"/>
    <d v="2026-02-24T00:00:00"/>
    <x v="44"/>
    <s v="Косметика"/>
    <s v="SIO-26111"/>
    <x v="350"/>
    <x v="1897"/>
    <n v="23.18"/>
    <n v="-4.6399999999999997"/>
    <n v="-1.0575695931477518"/>
    <n v="3.1342998622394145E-15"/>
    <n v="0.53803924175674012"/>
    <n v="1566.0598608137045"/>
    <m/>
    <x v="20"/>
    <m/>
    <s v=""/>
    <n v="-1566.0598608137045"/>
    <s v=""/>
  </r>
  <r>
    <s v="546390101"/>
    <n v="0"/>
    <s v="iHerb_AV CYG0792"/>
    <s v="Доставлен"/>
    <d v="2026-02-24T00:00:00"/>
    <x v="44"/>
    <s v="Витамины"/>
    <s v="NOW-03056"/>
    <x v="3"/>
    <x v="92"/>
    <n v="22.51"/>
    <n v="-4.5"/>
    <n v="-1.0273370211753512"/>
    <n v="3.0447001358647173E-15"/>
    <n v="0.52265840043359701"/>
    <n v="1521.2911592909827"/>
    <n v="2500"/>
    <x v="851"/>
    <s v="Алена Грация"/>
    <s v="2026 03"/>
    <n v="978.7088407090173"/>
    <n v="0.64334091125932602"/>
  </r>
  <r>
    <s v="546390101"/>
    <n v="0"/>
    <s v="iHerb_AV CYG0792"/>
    <s v="Доставлен"/>
    <d v="2026-02-24T00:00:00"/>
    <x v="44"/>
    <s v="Витамины"/>
    <s v="NOW-03056"/>
    <x v="3"/>
    <x v="92"/>
    <n v="22.51"/>
    <n v="-4.5"/>
    <n v="-1.0273370211753512"/>
    <n v="3.0447001358647173E-15"/>
    <n v="0.52265840043359701"/>
    <n v="1521.2911592909827"/>
    <m/>
    <x v="20"/>
    <m/>
    <s v=""/>
    <n v="-1521.2911592909827"/>
    <s v=""/>
  </r>
  <r>
    <s v="546629917"/>
    <n v="0"/>
    <s v="iHerb_AV CYG0792"/>
    <s v="Доставлен"/>
    <d v="2026-03-02T00:00:00"/>
    <x v="45"/>
    <s v="Витамины"/>
    <s v="NCS-67322"/>
    <x v="217"/>
    <x v="1898"/>
    <n v="12.83"/>
    <n v="-2.57"/>
    <n v="-0.52094117647058813"/>
    <n v="-1.5046787345508E-15"/>
    <n v="0.48836174340150657"/>
    <n v="888.26170588235277"/>
    <m/>
    <x v="20"/>
    <m/>
    <s v=""/>
    <n v="-888.26170588235277"/>
    <s v=""/>
  </r>
  <r>
    <s v="546629917"/>
    <n v="0"/>
    <s v="iHerb_AV CYG0792"/>
    <s v="Доставлен"/>
    <d v="2026-03-02T00:00:00"/>
    <x v="45"/>
    <s v="Витамины"/>
    <s v="SOR-00448"/>
    <x v="10"/>
    <x v="1899"/>
    <n v="24.94"/>
    <n v="-4.99"/>
    <n v="-1.0129411764705882"/>
    <n v="-2.9257642060710006E-15"/>
    <n v="0.94959227883626307"/>
    <n v="1727.1755392156863"/>
    <m/>
    <x v="20"/>
    <m/>
    <s v=""/>
    <n v="-1727.1755392156863"/>
    <s v=""/>
  </r>
  <r>
    <s v="546629917"/>
    <n v="0"/>
    <s v="iHerb_AV CYG0792"/>
    <s v="Доставлен"/>
    <d v="2026-03-02T00:00:00"/>
    <x v="45"/>
    <s v="Витамины"/>
    <s v="NOW-01492"/>
    <x v="3"/>
    <x v="1405"/>
    <n v="26.16"/>
    <n v="-5.23"/>
    <n v="-1.0626996904024766"/>
    <n v="-3.0694859565446635E-15"/>
    <n v="0.99623891709488621"/>
    <n v="1812.0192499140003"/>
    <n v="2800"/>
    <x v="920"/>
    <s v="Оксана Черноморская"/>
    <s v="2026 04"/>
    <n v="987.98075008599972"/>
    <n v="0.54523744719207035"/>
  </r>
  <r>
    <s v="546629917"/>
    <n v="0"/>
    <s v="iHerb_AV CYG0792"/>
    <s v="Доставлен"/>
    <d v="2026-03-02T00:00:00"/>
    <x v="45"/>
    <s v="Витамины"/>
    <s v="VMC-47137"/>
    <x v="307"/>
    <x v="1900"/>
    <n v="25.75"/>
    <n v="-5.15"/>
    <n v="-1.0459442724458203"/>
    <n v="-3.0210898568953689E-15"/>
    <n v="0.98053137564045201"/>
    <n v="1783.4494289645681"/>
    <n v="2800"/>
    <x v="887"/>
    <s v="Юлия АТБ кольцо"/>
    <s v="2026 04"/>
    <n v="1016.5505710354319"/>
    <n v="0.56999125095776837"/>
  </r>
  <r>
    <s v="546629917"/>
    <n v="0"/>
    <s v="iHerb_AV CYG0792"/>
    <s v="Доставлен"/>
    <d v="2026-03-02T00:00:00"/>
    <x v="45"/>
    <s v="Витамины"/>
    <s v="QNL-00177"/>
    <x v="336"/>
    <x v="1901"/>
    <n v="57.3"/>
    <n v="-11.46"/>
    <n v="-2.3274798761609898"/>
    <n v="-6.7226582058293048E-15"/>
    <n v="2.1819203038523454"/>
    <n v="3968.6078555211543"/>
    <n v="5500"/>
    <x v="920"/>
    <s v="Оксана Черноморская"/>
    <s v="2026 04"/>
    <n v="1531.3921444788457"/>
    <n v="0.38587640810828977"/>
  </r>
  <r>
    <s v="546629917"/>
    <n v="0"/>
    <s v="iHerb_AV CYG0792"/>
    <s v="Доставлен"/>
    <d v="2026-03-02T00:00:00"/>
    <x v="45"/>
    <s v="Витамины"/>
    <s v="QNL-00177"/>
    <x v="336"/>
    <x v="1901"/>
    <n v="57.3"/>
    <n v="-11.46"/>
    <n v="-2.3274798761609898"/>
    <n v="-6.7226582058293048E-15"/>
    <n v="2.1819203038523454"/>
    <n v="3968.6078555211543"/>
    <n v="5800"/>
    <x v="887"/>
    <s v="Аня Мирный"/>
    <s v="2026 04"/>
    <n v="1831.3921444788457"/>
    <n v="0.46146966673237833"/>
  </r>
  <r>
    <s v="546629917"/>
    <n v="0"/>
    <s v="iHerb_AV CYG0792"/>
    <s v="Доставлен"/>
    <d v="2026-03-02T00:00:00"/>
    <x v="45"/>
    <s v="Витамины"/>
    <s v="PAR-77872"/>
    <x v="44"/>
    <x v="1437"/>
    <n v="15.62"/>
    <n v="-3.125"/>
    <n v="-0.63442105263157877"/>
    <n v="-1.8324523185392051E-15"/>
    <n v="0.59474463779744891"/>
    <n v="1081.7573114035085"/>
    <n v="2000"/>
    <x v="921"/>
    <s v="Татьяна Виноград"/>
    <s v="2026 05"/>
    <n v="918.24268859649146"/>
    <n v="0.84884352425141674"/>
  </r>
  <r>
    <s v="546629917"/>
    <n v="0"/>
    <s v="iHerb_AV CYG0792"/>
    <s v="Доставлен"/>
    <d v="2026-03-02T00:00:00"/>
    <x v="45"/>
    <s v="Витамины"/>
    <s v="PAR-77872"/>
    <x v="44"/>
    <x v="1437"/>
    <n v="15.62"/>
    <n v="-3.125"/>
    <n v="-0.63442105263157877"/>
    <n v="-1.8324523185392051E-15"/>
    <n v="0.59474463779744891"/>
    <n v="1081.7573114035085"/>
    <m/>
    <x v="20"/>
    <m/>
    <s v=""/>
    <n v="-1081.7573114035085"/>
    <s v=""/>
  </r>
  <r>
    <s v="546629917"/>
    <n v="0"/>
    <s v="iHerb_AV CYG0792"/>
    <s v="Доставлен"/>
    <d v="2026-03-02T00:00:00"/>
    <x v="45"/>
    <s v="Витамины"/>
    <s v="NOW-00670"/>
    <x v="3"/>
    <x v="1902"/>
    <n v="6.74"/>
    <n v="-1.35"/>
    <n v="-0.27367182662538697"/>
    <n v="-7.9046962760514754E-16"/>
    <n v="0.25655651042242894"/>
    <n v="466.64040884072915"/>
    <m/>
    <x v="20"/>
    <m/>
    <s v=""/>
    <n v="-466.64040884072915"/>
    <s v=""/>
  </r>
  <r>
    <s v="546265030"/>
    <n v="0"/>
    <s v="iHerb_OA CZN6870"/>
    <s v="Доставлен"/>
    <d v="2026-02-21T00:00:00"/>
    <x v="44"/>
    <s v="Витамины"/>
    <s v="NFS-35493"/>
    <x v="23"/>
    <x v="1383"/>
    <n v="49.39"/>
    <n v="-4.9400000000000004"/>
    <n v="-3.4854771002637106"/>
    <n v="0"/>
    <n v="1.1645771439186043"/>
    <n v="3669.2935552446047"/>
    <n v="5000"/>
    <x v="894"/>
    <m/>
    <s v="2026 03"/>
    <n v="1330.7064447553953"/>
    <n v="0.36266012100704953"/>
  </r>
  <r>
    <s v="546265030"/>
    <n v="0"/>
    <s v="iHerb_OA CZN6870"/>
    <s v="Доставлен"/>
    <d v="2026-02-21T00:00:00"/>
    <x v="44"/>
    <s v="Витамины"/>
    <s v="CLF-07211"/>
    <x v="72"/>
    <x v="1903"/>
    <n v="35.979999999999997"/>
    <n v="-3.6"/>
    <n v="-2.5390269630267475"/>
    <n v="0"/>
    <n v="0.84834663487253981"/>
    <n v="2672.9297034605238"/>
    <n v="2672.93"/>
    <x v="20"/>
    <m/>
    <s v=""/>
    <n v="2.9653947603947017E-4"/>
    <n v="1.1094174143657936E-7"/>
  </r>
  <r>
    <s v="546265030"/>
    <n v="0"/>
    <s v="iHerb_OA CZN6870"/>
    <s v="Доставлен"/>
    <d v="2026-02-21T00:00:00"/>
    <x v="44"/>
    <s v="Витамины"/>
    <s v="BLB-00612"/>
    <x v="186"/>
    <x v="1321"/>
    <n v="22.18"/>
    <n v="-2.2200000000000002"/>
    <n v="-1.5651321242129057"/>
    <n v="0"/>
    <n v="0.52294622705546323"/>
    <n v="1647.673776438297"/>
    <m/>
    <x v="20"/>
    <m/>
    <s v=""/>
    <n v="-1647.673776438297"/>
    <s v=""/>
  </r>
  <r>
    <s v="546265030"/>
    <n v="0"/>
    <s v="iHerb_OA CZN6870"/>
    <s v="Доставлен"/>
    <d v="2026-02-21T00:00:00"/>
    <x v="44"/>
    <s v="Витамины"/>
    <s v="CGN-01427"/>
    <x v="1"/>
    <x v="1904"/>
    <n v="73.86"/>
    <n v="-14.77"/>
    <n v="-4.6334497605080465"/>
    <n v="0"/>
    <n v="1.5481409096546754"/>
    <n v="4877.8077880630753"/>
    <n v="7200"/>
    <x v="851"/>
    <s v="Валерий Фагот"/>
    <s v="2026 03"/>
    <n v="2322.1922119369247"/>
    <n v="0.47607292309052668"/>
  </r>
  <r>
    <s v="546265030"/>
    <n v="0"/>
    <s v="iHerb_OA CZN6870"/>
    <s v="Доставлен"/>
    <d v="2026-02-21T00:00:00"/>
    <x v="44"/>
    <s v="Витамины"/>
    <s v="CGN-01378"/>
    <x v="1"/>
    <x v="1905"/>
    <n v="37.409999999999997"/>
    <n v="-7.48"/>
    <n v="-2.3469140519885903"/>
    <n v="0"/>
    <n v="0.78415734347545141"/>
    <n v="2470.6851767934982"/>
    <n v="4000"/>
    <x v="851"/>
    <s v="Татьяна Бригантина"/>
    <s v="2026 03"/>
    <n v="1529.3148232065018"/>
    <n v="0.61898409298398571"/>
  </r>
  <r>
    <s v="OZO0221"/>
    <n v="0"/>
    <s v="OZON_OA"/>
    <s v="Доставлен"/>
    <d v="2026-02-24T00:00:00"/>
    <x v="44"/>
    <s v="Витамины"/>
    <s v="NOW-00475"/>
    <x v="3"/>
    <x v="1873"/>
    <n v="1000"/>
    <n v="0"/>
    <n v="0"/>
    <n v="0"/>
    <n v="0"/>
    <n v="1000"/>
    <n v="1700"/>
    <x v="877"/>
    <m/>
    <s v="2026 03"/>
    <n v="700"/>
    <n v="0.7"/>
  </r>
  <r>
    <s v="OZO0223"/>
    <n v="0"/>
    <s v="OZON_OA"/>
    <s v="Доставлен"/>
    <d v="2026-02-24T00:00:00"/>
    <x v="44"/>
    <s v="Витамины"/>
    <s v="NOW-00475"/>
    <x v="3"/>
    <x v="1873"/>
    <n v="1107"/>
    <n v="0"/>
    <n v="0"/>
    <n v="0"/>
    <n v="0"/>
    <n v="1107"/>
    <n v="1700"/>
    <x v="877"/>
    <m/>
    <s v="2026 03"/>
    <n v="593"/>
    <n v="0.53568202348690153"/>
  </r>
  <r>
    <s v="OZO0224"/>
    <n v="0"/>
    <s v="OZON_OA"/>
    <s v="Доставлен"/>
    <d v="2026-02-25T00:00:00"/>
    <x v="44"/>
    <s v="Спортпит"/>
    <s v="892721541"/>
    <x v="162"/>
    <x v="618"/>
    <n v="993"/>
    <n v="0"/>
    <n v="0"/>
    <n v="0"/>
    <n v="0"/>
    <n v="993"/>
    <n v="2000"/>
    <x v="922"/>
    <s v="Виктория Бахчиванджи"/>
    <s v="2026 03"/>
    <n v="1007"/>
    <n v="1.0140986908358509"/>
  </r>
  <r>
    <s v="OZO0230"/>
    <n v="0"/>
    <s v="OZON_OA"/>
    <s v="Доставлен"/>
    <d v="2026-03-03T00:00:00"/>
    <x v="45"/>
    <s v="Спортпит"/>
    <s v="892721541"/>
    <x v="162"/>
    <x v="618"/>
    <n v="1038"/>
    <n v="0"/>
    <n v="0"/>
    <n v="0"/>
    <n v="0"/>
    <n v="1038"/>
    <n v="2000"/>
    <x v="923"/>
    <s v="Виктория Бахчиванджи"/>
    <s v="2026 03"/>
    <n v="962"/>
    <n v="0.92678227360308285"/>
  </r>
  <r>
    <s v="OZO0232"/>
    <n v="0"/>
    <s v="OZON_OA"/>
    <s v="Доставлен"/>
    <d v="2026-03-09T00:00:00"/>
    <x v="45"/>
    <s v="Витамины"/>
    <s v="NOW-00475"/>
    <x v="3"/>
    <x v="1873"/>
    <n v="1086"/>
    <n v="0"/>
    <n v="0"/>
    <n v="0"/>
    <n v="0"/>
    <n v="1086"/>
    <n v="1700"/>
    <x v="881"/>
    <m/>
    <s v="2026 03"/>
    <n v="614"/>
    <n v="0.56537753222836096"/>
  </r>
  <r>
    <s v="OZO0234"/>
    <n v="0"/>
    <s v="OZON_OA"/>
    <s v="Доставлен"/>
    <d v="2026-03-13T00:00:00"/>
    <x v="45"/>
    <s v="Спортпит"/>
    <s v="892721541"/>
    <x v="162"/>
    <x v="618"/>
    <n v="938"/>
    <n v="0"/>
    <n v="0"/>
    <n v="0"/>
    <n v="0"/>
    <n v="938"/>
    <n v="2000"/>
    <x v="923"/>
    <s v="Виктория Бахчиванджи"/>
    <s v="2026 03"/>
    <n v="1062"/>
    <n v="1.1321961620469083"/>
  </r>
  <r>
    <s v="OZO0234"/>
    <n v="0"/>
    <s v="OZON_OA"/>
    <s v="Доставлен"/>
    <d v="2026-03-13T00:00:00"/>
    <x v="45"/>
    <s v="Спортпит"/>
    <s v="892721541"/>
    <x v="162"/>
    <x v="618"/>
    <n v="1032"/>
    <n v="0"/>
    <n v="0"/>
    <n v="0"/>
    <n v="0"/>
    <n v="1032"/>
    <n v="2000"/>
    <x v="924"/>
    <s v="Виктория Бахчиванджи"/>
    <s v="2026 03"/>
    <n v="968"/>
    <n v="0.93798449612403101"/>
  </r>
  <r>
    <s v="OZO0236"/>
    <n v="0"/>
    <s v="OZON_OA"/>
    <s v="Доставлен"/>
    <d v="2026-03-13T00:00:00"/>
    <x v="45"/>
    <s v="Спортпит"/>
    <s v="892721541"/>
    <x v="162"/>
    <x v="618"/>
    <n v="938"/>
    <n v="0"/>
    <n v="0"/>
    <n v="0"/>
    <n v="0"/>
    <n v="938"/>
    <n v="2000"/>
    <x v="917"/>
    <s v="Евгения"/>
    <s v="2026 04"/>
    <n v="1062"/>
    <n v="1.1321961620469083"/>
  </r>
  <r>
    <s v="OZO0237"/>
    <n v="0"/>
    <s v="OZON_OA"/>
    <s v="Доставлен"/>
    <d v="2026-03-19T00:00:00"/>
    <x v="45"/>
    <s v="Витамины"/>
    <s v="NOW-00475"/>
    <x v="3"/>
    <x v="1873"/>
    <n v="1127"/>
    <n v="0"/>
    <n v="0"/>
    <n v="0"/>
    <n v="0"/>
    <n v="1127"/>
    <n v="1700"/>
    <x v="851"/>
    <m/>
    <s v="2026 03"/>
    <n v="573"/>
    <n v="0.50842945874001777"/>
  </r>
  <r>
    <s v="547144195"/>
    <n v="0"/>
    <s v="iHerb_AV CYG0792"/>
    <s v="Доставлен"/>
    <d v="2026-03-12T00:00:00"/>
    <x v="45"/>
    <s v="Витамины"/>
    <s v="NOW-00839"/>
    <x v="3"/>
    <x v="1906"/>
    <n v="34.53"/>
    <n v="-3.4550000000000001"/>
    <n v="-1.5835426219258022"/>
    <n v="-4.6019415410056506E-15"/>
    <n v="1.4714582262052205"/>
    <n v="2729.6545327045997"/>
    <n v="3700"/>
    <x v="917"/>
    <s v="Любовь Виталий"/>
    <s v="2026 04"/>
    <n v="970.34546729540034"/>
    <n v="0.35548288461762284"/>
  </r>
  <r>
    <s v="547144195"/>
    <n v="0"/>
    <s v="iHerb_AV CYG0792"/>
    <s v="Доставлен"/>
    <d v="2026-03-12T00:00:00"/>
    <x v="45"/>
    <s v="Витамины"/>
    <s v="NOW-00839"/>
    <x v="3"/>
    <x v="1906"/>
    <n v="34.53"/>
    <n v="-3.4550000000000001"/>
    <n v="-1.5835426219258022"/>
    <n v="-4.6019415410056506E-15"/>
    <n v="1.4714582262052205"/>
    <n v="2729.6545327045997"/>
    <n v="3700"/>
    <x v="917"/>
    <s v="Любовь Виталий"/>
    <s v="2026 04"/>
    <n v="970.34546729540034"/>
    <n v="0.35548288461762284"/>
  </r>
  <r>
    <s v="547144195"/>
    <n v="0"/>
    <s v="iHerb_AV CYG0792"/>
    <s v="Доставлен"/>
    <d v="2026-03-12T00:00:00"/>
    <x v="45"/>
    <s v="Витамины"/>
    <s v="SOR-01660"/>
    <x v="10"/>
    <x v="1907"/>
    <n v="8.93"/>
    <n v="-0.89"/>
    <n v="-0.4097082117548978"/>
    <n v="-1.1906551887268037E-15"/>
    <n v="0.38070874138986227"/>
    <n v="706.24046477699039"/>
    <n v="1600"/>
    <x v="917"/>
    <s v="Любовь Виталий"/>
    <s v="2026 04"/>
    <n v="893.75953522300961"/>
    <n v="1.265517312867696"/>
  </r>
  <r>
    <s v="547144195"/>
    <n v="0"/>
    <s v="iHerb_AV CYG0792"/>
    <s v="Доставлен"/>
    <d v="2026-03-12T00:00:00"/>
    <x v="45"/>
    <s v="Косметика"/>
    <s v="MAV-14757"/>
    <x v="4"/>
    <x v="1908"/>
    <n v="9.43"/>
    <n v="-0.94499999999999995"/>
    <n v="-0.43238484785327208"/>
    <n v="-1.2565558801426531E-15"/>
    <n v="0.40178030730012204"/>
    <n v="745.32964473044308"/>
    <n v="1300"/>
    <x v="917"/>
    <m/>
    <s v="2026 04"/>
    <n v="554.67035526955692"/>
    <n v="0.74419467840992659"/>
  </r>
  <r>
    <s v="547144195"/>
    <n v="0"/>
    <s v="iHerb_AV CYG0792"/>
    <s v="Доставлен"/>
    <d v="2026-03-12T00:00:00"/>
    <x v="45"/>
    <s v="Косметика"/>
    <s v="MAV-14757"/>
    <x v="4"/>
    <x v="1908"/>
    <n v="9.43"/>
    <n v="-0.94499999999999995"/>
    <n v="-0.43238484785327208"/>
    <n v="-1.2565558801426531E-15"/>
    <n v="0.40178030730012204"/>
    <n v="745.32964473044308"/>
    <n v="1300"/>
    <x v="917"/>
    <m/>
    <s v="2026 04"/>
    <n v="554.67035526955692"/>
    <n v="0.74419467840992659"/>
  </r>
  <r>
    <s v="547144195"/>
    <n v="0"/>
    <s v="iHerb_AV CYG0792"/>
    <s v="Доставлен"/>
    <d v="2026-03-12T00:00:00"/>
    <x v="45"/>
    <s v="Витамины"/>
    <s v="MII-16792"/>
    <x v="343"/>
    <x v="1909"/>
    <n v="32.15"/>
    <n v="-3.22"/>
    <n v="-1.4742361400583572"/>
    <n v="-4.2842853992371187E-15"/>
    <n v="1.3698885433344175"/>
    <n v="2541.2359012435736"/>
    <n v="3300"/>
    <x v="920"/>
    <s v="Оксана Черноморская"/>
    <s v="2026 04"/>
    <n v="758.76409875642639"/>
    <n v="0.29858074112093225"/>
  </r>
  <r>
    <s v="547144195"/>
    <n v="0"/>
    <s v="iHerb_AV CYG0792"/>
    <s v="Доставлен"/>
    <d v="2026-03-12T00:00:00"/>
    <x v="45"/>
    <s v="Витамины"/>
    <s v="FPI-30696"/>
    <x v="297"/>
    <x v="1910"/>
    <n v="34.29"/>
    <n v="-3.43"/>
    <n v="-1.5725864943726551"/>
    <n v="-4.5701018811081053E-15"/>
    <n v="1.4612775820013866"/>
    <n v="2710.7687491315828"/>
    <n v="3500"/>
    <x v="920"/>
    <s v="Оксана Черноморская"/>
    <s v="2026 04"/>
    <n v="789.23125086841719"/>
    <n v="0.29114665392289696"/>
  </r>
  <r>
    <s v="547144195"/>
    <n v="0"/>
    <s v="iHerb_AV CYG0792"/>
    <s v="Доставлен"/>
    <d v="2026-03-12T00:00:00"/>
    <x v="45"/>
    <s v="Витамины"/>
    <s v="MCL-21045"/>
    <x v="286"/>
    <x v="1545"/>
    <n v="34.32"/>
    <n v="-3.43"/>
    <n v="-1.5741152563568153"/>
    <n v="-4.5745446243496232E-15"/>
    <n v="1.462698137006573"/>
    <n v="2713.4039747464221"/>
    <n v="3500"/>
    <x v="920"/>
    <s v="Оксана Черноморская"/>
    <s v="2026 04"/>
    <n v="786.59602525357786"/>
    <n v="0.28989270767434777"/>
  </r>
  <r>
    <s v="547144195"/>
    <n v="0"/>
    <s v="iHerb_AV CYG0792"/>
    <s v="Доставлен"/>
    <d v="2026-03-12T00:00:00"/>
    <x v="45"/>
    <s v="Косметика"/>
    <s v="JAS-10029"/>
    <x v="187"/>
    <x v="1127"/>
    <n v="15.64"/>
    <n v="-1.56"/>
    <n v="-0.71749895789912443"/>
    <n v="-2.0851274946857463E-15"/>
    <n v="0.66671381576732103"/>
    <n v="1236.7992218980132"/>
    <m/>
    <x v="20"/>
    <m/>
    <s v=""/>
    <n v="-1236.7992218980132"/>
    <s v=""/>
  </r>
  <r>
    <s v="547196409"/>
    <n v="0"/>
    <s v="iHerb_MH DLE7202"/>
    <s v="Доставлен"/>
    <d v="2026-03-13T00:00:00"/>
    <x v="45"/>
    <s v="Витамины"/>
    <s v="EGM-93026"/>
    <x v="351"/>
    <x v="1911"/>
    <n v="112.69"/>
    <n v="-11.27"/>
    <n v="-5.1464852422118792"/>
    <n v="2.9490304060888795E-14"/>
    <n v="4.7151961155851838"/>
    <n v="8902.151870342901"/>
    <n v="10400"/>
    <x v="920"/>
    <s v="Оксана Черноморская"/>
    <s v="2026 04"/>
    <n v="1497.848129657099"/>
    <n v="0.16825686097842357"/>
  </r>
  <r>
    <s v="547196409"/>
    <n v="0"/>
    <s v="iHerb_MH DLE7202"/>
    <s v="Доставлен"/>
    <d v="2026-03-13T00:00:00"/>
    <x v="45"/>
    <s v="Витамины"/>
    <s v="CGN-02272"/>
    <x v="1"/>
    <x v="1912"/>
    <n v="11.94"/>
    <n v="-5.52"/>
    <n v="-0.3257783006803418"/>
    <n v="1.8667693952958594E-15"/>
    <n v="0.29847721417922379"/>
    <n v="563.5162197554863"/>
    <m/>
    <x v="20"/>
    <m/>
    <s v=""/>
    <n v="-563.5162197554863"/>
    <s v=""/>
  </r>
  <r>
    <s v="547196409"/>
    <n v="0"/>
    <s v="iHerb_MH DLE7202"/>
    <s v="Доставлен"/>
    <d v="2026-03-13T00:00:00"/>
    <x v="45"/>
    <s v="Витамины"/>
    <s v="FOA-66104"/>
    <x v="171"/>
    <x v="1913"/>
    <n v="9.44"/>
    <n v="-3.5"/>
    <n v="-0.30142104455470875"/>
    <n v="1.7271978517223371E-15"/>
    <n v="0.27616116078264624"/>
    <n v="521.38416594199202"/>
    <n v="1700"/>
    <x v="925"/>
    <s v="Лев"/>
    <s v="2026 04"/>
    <n v="1178.615834058008"/>
    <n v="2.2605516451167755"/>
  </r>
  <r>
    <s v="547196409"/>
    <n v="0"/>
    <s v="iHerb_MH DLE7202"/>
    <s v="Доставлен"/>
    <d v="2026-03-13T00:00:00"/>
    <x v="45"/>
    <s v="Витамины"/>
    <s v="CGN-01258"/>
    <x v="1"/>
    <x v="1914"/>
    <n v="22.63"/>
    <n v="-6.41"/>
    <n v="-0.82307227991201615"/>
    <n v="4.7163550765886034E-15"/>
    <n v="0.75409663769268065"/>
    <n v="1423.7123184476616"/>
    <m/>
    <x v="20"/>
    <m/>
    <s v=""/>
    <n v="-1423.7123184476616"/>
    <s v=""/>
  </r>
  <r>
    <s v="547196409"/>
    <n v="0"/>
    <s v="iHerb_MH DLE7202"/>
    <s v="Доставлен"/>
    <d v="2026-03-13T00:00:00"/>
    <x v="45"/>
    <s v="Витамины"/>
    <s v="NCS-67068"/>
    <x v="217"/>
    <x v="1915"/>
    <n v="16.05"/>
    <n v="-5.94"/>
    <n v="-0.51302470714614568"/>
    <n v="2.939725636517311E-15"/>
    <n v="0.47003187466541319"/>
    <n v="887.40638344672379"/>
    <m/>
    <x v="20"/>
    <m/>
    <s v=""/>
    <n v="-887.40638344672379"/>
    <s v=""/>
  </r>
  <r>
    <s v="547196409"/>
    <n v="0"/>
    <s v="iHerb_MH DLE7202"/>
    <s v="Доставлен"/>
    <d v="2026-03-13T00:00:00"/>
    <x v="45"/>
    <s v="Косметика"/>
    <s v="WNW-58500"/>
    <x v="231"/>
    <x v="1916"/>
    <n v="8.94"/>
    <n v="-2.5299999999999998"/>
    <n v="-0.32527085784439114"/>
    <n v="1.8638616548047443E-15"/>
    <n v="0.29801229640012844"/>
    <n v="562.63846863437186"/>
    <m/>
    <x v="20"/>
    <m/>
    <s v=""/>
    <n v="-562.63846863437186"/>
    <s v=""/>
  </r>
  <r>
    <s v="547196409"/>
    <n v="0"/>
    <s v="iHerb_MH DLE7202"/>
    <s v="Доставлен"/>
    <d v="2026-03-13T00:00:00"/>
    <x v="45"/>
    <s v="Косметика"/>
    <s v="LAG-35602"/>
    <x v="352"/>
    <x v="1917"/>
    <n v="6.44"/>
    <n v="-1.34"/>
    <n v="-0.25879584633485098"/>
    <n v="1.4829476504686735E-15"/>
    <n v="0.23710806733863576"/>
    <n v="447.65307176837712"/>
    <m/>
    <x v="20"/>
    <m/>
    <s v=""/>
    <n v="-447.65307176837712"/>
    <s v=""/>
  </r>
  <r>
    <s v="547196409"/>
    <n v="0"/>
    <s v="iHerb_MH DLE7202"/>
    <s v="Доставлен"/>
    <d v="2026-03-13T00:00:00"/>
    <x v="45"/>
    <s v="Косметика"/>
    <s v="LAG-35603"/>
    <x v="352"/>
    <x v="1918"/>
    <n v="6.44"/>
    <n v="-1.93"/>
    <n v="-0.22885671901376037"/>
    <n v="1.3113909614928858E-15"/>
    <n v="0.20967791837200928"/>
    <n v="395.86575562262368"/>
    <m/>
    <x v="20"/>
    <m/>
    <s v=""/>
    <n v="-395.86575562262368"/>
    <s v=""/>
  </r>
  <r>
    <s v="547196409"/>
    <n v="0"/>
    <s v="iHerb_MH DLE7202"/>
    <s v="Доставлен"/>
    <d v="2026-03-13T00:00:00"/>
    <x v="45"/>
    <s v="Витамины"/>
    <s v="NCS-67842"/>
    <x v="217"/>
    <x v="1919"/>
    <n v="13.91"/>
    <n v="-6.42"/>
    <n v="-0.38007468412706541"/>
    <n v="2.1778976278451694E-15"/>
    <n v="0.34822341654242772"/>
    <n v="657.43558971473408"/>
    <m/>
    <x v="20"/>
    <m/>
    <s v=""/>
    <n v="-657.43558971473408"/>
    <s v=""/>
  </r>
  <r>
    <s v="547196409"/>
    <n v="0"/>
    <s v="iHerb_MH DLE7202"/>
    <s v="Доставлен"/>
    <d v="2026-03-13T00:00:00"/>
    <x v="45"/>
    <s v="Витамины"/>
    <s v="PIF-48549"/>
    <x v="329"/>
    <x v="1920"/>
    <n v="24.53"/>
    <n v="-5.0999999999999996"/>
    <n v="-0.98596143025218708"/>
    <n v="5.6497397742365335E-15"/>
    <n v="0.90333524478229255"/>
    <n v="1705.4704283254052"/>
    <m/>
    <x v="20"/>
    <m/>
    <s v=""/>
    <n v="-1705.4704283254052"/>
    <s v=""/>
  </r>
  <r>
    <s v="547196409"/>
    <n v="0"/>
    <s v="iHerb_MH DLE7202"/>
    <s v="Доставлен"/>
    <d v="2026-03-13T00:00:00"/>
    <x v="45"/>
    <s v="Косметика"/>
    <s v="MBY-05089"/>
    <x v="30"/>
    <x v="67"/>
    <n v="14.64"/>
    <n v="-2.2000000000000002"/>
    <n v="-0.63125888792265605"/>
    <n v="3.6172291709471174E-15"/>
    <n v="0.57835771719463303"/>
    <n v="1091.9223946663942"/>
    <m/>
    <x v="20"/>
    <m/>
    <s v=""/>
    <n v="-1091.9223946663942"/>
    <s v=""/>
  </r>
  <r>
    <s v="547138039"/>
    <n v="0"/>
    <s v="iHerb_OA CZN6870"/>
    <s v="Доставлен"/>
    <d v="2026-03-12T00:00:00"/>
    <x v="45"/>
    <s v="Витамины"/>
    <s v="FBS-02503"/>
    <x v="20"/>
    <x v="1921"/>
    <n v="33.78"/>
    <n v="-5.07"/>
    <n v="-1.5442226833397041"/>
    <n v="0"/>
    <n v="1.4242711062610791"/>
    <n v="2521.2667460274124"/>
    <n v="3600"/>
    <x v="917"/>
    <s v="Любовь Виталий"/>
    <s v="2026 04"/>
    <n v="1078.7332539725876"/>
    <n v="0.42785367937457386"/>
  </r>
  <r>
    <s v="547138039"/>
    <n v="0"/>
    <s v="iHerb_OA CZN6870"/>
    <s v="Доставлен"/>
    <d v="2026-03-12T00:00:00"/>
    <x v="45"/>
    <s v="Витамины"/>
    <s v="AMN-02923"/>
    <x v="219"/>
    <x v="1922"/>
    <n v="21.22"/>
    <n v="-3.18"/>
    <n v="-0.97031616884180638"/>
    <n v="0"/>
    <n v="0.89494429665447106"/>
    <n v="1584.244238883125"/>
    <n v="3000"/>
    <x v="917"/>
    <s v="Любовь Виталий"/>
    <s v="2026 04"/>
    <n v="1415.755761116875"/>
    <n v="0.89364741014615734"/>
  </r>
  <r>
    <s v="547138039"/>
    <n v="0"/>
    <s v="iHerb_OA CZN6870"/>
    <s v="Доставлен"/>
    <d v="2026-03-12T00:00:00"/>
    <x v="45"/>
    <s v="Витамины"/>
    <s v="SOL-59205"/>
    <x v="19"/>
    <x v="1923"/>
    <n v="18.010000000000002"/>
    <n v="0"/>
    <n v="-0.96870256102222474"/>
    <n v="0"/>
    <n v="0.89345603008575536"/>
    <n v="1581.6096863794389"/>
    <n v="2400"/>
    <x v="917"/>
    <s v="Оксана 17 Цветы"/>
    <s v="2026 04"/>
    <n v="818.39031362056107"/>
    <n v="0.51744138940751505"/>
  </r>
  <r>
    <s v="547138039"/>
    <n v="0"/>
    <s v="iHerb_OA CZN6870"/>
    <s v="Доставлен"/>
    <d v="2026-03-12T00:00:00"/>
    <x v="45"/>
    <s v="Витамины"/>
    <s v="SOL-59205"/>
    <x v="19"/>
    <x v="1923"/>
    <n v="18.010000000000002"/>
    <n v="0"/>
    <n v="-0.96870256102222474"/>
    <n v="0"/>
    <n v="0.89345603008575536"/>
    <n v="1581.6096863794389"/>
    <m/>
    <x v="20"/>
    <m/>
    <s v=""/>
    <n v="-1581.6096863794389"/>
    <s v=""/>
  </r>
  <r>
    <s v="547138039"/>
    <n v="0"/>
    <s v="iHerb_OA CZN6870"/>
    <s v="Доставлен"/>
    <d v="2026-03-12T00:00:00"/>
    <x v="45"/>
    <s v="Витамины"/>
    <s v="CGN-01033"/>
    <x v="1"/>
    <x v="1924"/>
    <n v="20.25"/>
    <n v="-3.0366666666666666"/>
    <n v="-0.92585230892444348"/>
    <n v="0"/>
    <n v="0.8539342845387452"/>
    <n v="1511.64768100378"/>
    <n v="2300"/>
    <x v="920"/>
    <s v="Оксана Черноморская"/>
    <s v="2026 04"/>
    <n v="788.35231899621999"/>
    <n v="0.52151855812905434"/>
  </r>
  <r>
    <s v="547138039"/>
    <n v="0"/>
    <s v="iHerb_OA CZN6870"/>
    <s v="Доставлен"/>
    <d v="2026-03-12T00:00:00"/>
    <x v="45"/>
    <s v="Витамины"/>
    <s v="CGN-01033"/>
    <x v="1"/>
    <x v="1924"/>
    <n v="20.25"/>
    <n v="-3.0366666666666666"/>
    <n v="-0.92585230892444348"/>
    <n v="0"/>
    <n v="0.8539342845387452"/>
    <n v="1511.64768100378"/>
    <m/>
    <x v="20"/>
    <m/>
    <s v=""/>
    <n v="-1511.64768100378"/>
    <s v=""/>
  </r>
  <r>
    <s v="547138039"/>
    <n v="0"/>
    <s v="iHerb_OA CZN6870"/>
    <s v="Доставлен"/>
    <d v="2026-03-12T00:00:00"/>
    <x v="45"/>
    <s v="Витамины"/>
    <s v="CGN-01033"/>
    <x v="1"/>
    <x v="1924"/>
    <n v="20.25"/>
    <n v="-3.0366666666666666"/>
    <n v="-0.92585230892444348"/>
    <n v="0"/>
    <n v="0.8539342845387452"/>
    <n v="1511.64768100378"/>
    <m/>
    <x v="20"/>
    <m/>
    <s v=""/>
    <n v="-1511.64768100378"/>
    <s v=""/>
  </r>
  <r>
    <s v="547138039"/>
    <n v="0"/>
    <s v="iHerb_OA CZN6870"/>
    <s v="Доставлен"/>
    <d v="2026-03-12T00:00:00"/>
    <x v="45"/>
    <s v="Витамины"/>
    <s v="FPI-28123"/>
    <x v="297"/>
    <x v="1925"/>
    <n v="39.659999999999997"/>
    <n v="-5.95"/>
    <n v="-1.8131573199366566"/>
    <n v="0"/>
    <n v="1.672315534380389"/>
    <n v="2960.3588299750627"/>
    <n v="4000"/>
    <x v="920"/>
    <s v="Оксана Черноморская"/>
    <s v="2026 04"/>
    <n v="1039.6411700249373"/>
    <n v="0.35118755182583555"/>
  </r>
  <r>
    <s v="547138039"/>
    <n v="0"/>
    <s v="iHerb_OA CZN6870"/>
    <s v="Доставлен"/>
    <d v="2026-03-12T00:00:00"/>
    <x v="45"/>
    <s v="Витамины"/>
    <s v="FBS-50080"/>
    <x v="20"/>
    <x v="1879"/>
    <n v="17.66"/>
    <n v="-2.65"/>
    <n v="-0.80734177906405291"/>
    <n v="0"/>
    <n v="0.74462937321416922"/>
    <n v="1318.1544360108483"/>
    <n v="2200"/>
    <x v="920"/>
    <s v="Оксана Черноморская"/>
    <s v="2026 04"/>
    <n v="881.84556398915174"/>
    <n v="0.66900018685055984"/>
  </r>
  <r>
    <s v="547375239"/>
    <n v="0"/>
    <s v="iHerb_OA CZN6870"/>
    <s v="Доставлен"/>
    <d v="2026-03-17T00:00:00"/>
    <x v="45"/>
    <s v="Косметика"/>
    <s v="FDI-05091"/>
    <x v="318"/>
    <x v="1926"/>
    <n v="12.28"/>
    <n v="-1.23"/>
    <n v="-0.5457770703907171"/>
    <n v="-1.6124654166758955E-15"/>
    <n v="0.56451055351800661"/>
    <n v="981.1483185295474"/>
    <m/>
    <x v="20"/>
    <m/>
    <s v=""/>
    <n v="-981.1483185295474"/>
    <s v=""/>
  </r>
  <r>
    <s v="547375239"/>
    <n v="0"/>
    <s v="iHerb_OA CZN6870"/>
    <s v="Доставлен"/>
    <d v="2026-03-17T00:00:00"/>
    <x v="45"/>
    <s v="Витамины"/>
    <s v="SWV-02375"/>
    <x v="89"/>
    <x v="1927"/>
    <n v="18.07"/>
    <n v="-1.81"/>
    <n v="-0.80310725471068423"/>
    <n v="-2.3727319163031736E-15"/>
    <n v="0.83067344798215292"/>
    <n v="1443.7530913385019"/>
    <n v="2100"/>
    <x v="899"/>
    <s v="Оксана Черноморская"/>
    <s v="2026 04"/>
    <n v="656.24690866149808"/>
    <n v="0.454542340098536"/>
  </r>
  <r>
    <s v="547375239"/>
    <n v="0"/>
    <s v="iHerb_OA CZN6870"/>
    <s v="Доставлен"/>
    <d v="2026-03-17T00:00:00"/>
    <x v="45"/>
    <s v="Витамины"/>
    <s v="RMS-06809"/>
    <x v="230"/>
    <x v="1928"/>
    <n v="40.090000000000003"/>
    <n v="-4.01"/>
    <n v="-1.7820485701083326"/>
    <n v="-5.2649549532729709E-15"/>
    <n v="1.8432163593601525"/>
    <n v="3203.6046454792836"/>
    <n v="4000"/>
    <x v="899"/>
    <s v="Оксана Черноморская"/>
    <s v="2026 04"/>
    <n v="796.39535452071641"/>
    <n v="0.24859351969180629"/>
  </r>
  <r>
    <s v="547375239"/>
    <n v="0"/>
    <s v="iHerb_OA CZN6870"/>
    <s v="Доставлен"/>
    <d v="2026-03-17T00:00:00"/>
    <x v="45"/>
    <s v="Витамины"/>
    <s v="CAR-02653"/>
    <x v="154"/>
    <x v="1739"/>
    <n v="12.47"/>
    <n v="-3.88"/>
    <n v="-0.42427375879242168"/>
    <n v="-1.253491215316375E-15"/>
    <n v="0.43883671083435999"/>
    <n v="762.72072906505093"/>
    <m/>
    <x v="20"/>
    <m/>
    <s v=""/>
    <n v="-762.72072906505093"/>
    <s v=""/>
  </r>
  <r>
    <s v="547375239"/>
    <n v="0"/>
    <s v="iHerb_OA CZN6870"/>
    <s v="Доставлен"/>
    <d v="2026-03-17T00:00:00"/>
    <x v="45"/>
    <s v="Витамины"/>
    <s v="NCS-67314"/>
    <x v="217"/>
    <x v="1929"/>
    <n v="17.13"/>
    <n v="-2.57"/>
    <n v="-0.71914155157365078"/>
    <n v="-2.1246603137376506E-15"/>
    <n v="0.7438256705178441"/>
    <n v="1292.8071961801095"/>
    <m/>
    <x v="20"/>
    <m/>
    <s v=""/>
    <n v="-1292.8071961801095"/>
    <s v=""/>
  </r>
  <r>
    <s v="547375239"/>
    <n v="0"/>
    <s v="iHerb_OA CZN6870"/>
    <s v="Доставлен"/>
    <d v="2026-03-17T00:00:00"/>
    <x v="45"/>
    <s v="Витамины"/>
    <s v="DLM-92341"/>
    <x v="353"/>
    <x v="1930"/>
    <n v="23.61"/>
    <n v="-3.54"/>
    <n v="-0.99128921291780026"/>
    <n v="-2.9287041549941385E-15"/>
    <n v="1.0253146433580449"/>
    <n v="1782.0494798993682"/>
    <m/>
    <x v="20"/>
    <m/>
    <s v=""/>
    <n v="-1782.0494798993682"/>
    <s v=""/>
  </r>
  <r>
    <s v="547375239"/>
    <n v="0"/>
    <s v="iHerb_OA CZN6870"/>
    <s v="Доставлен"/>
    <d v="2026-03-17T00:00:00"/>
    <x v="45"/>
    <s v="Витамины"/>
    <s v="DLM-92348"/>
    <x v="353"/>
    <x v="1931"/>
    <n v="16.100000000000001"/>
    <n v="-6.62"/>
    <n v="-0.46823227396416273"/>
    <n v="-1.3833639954830311E-15"/>
    <n v="0.48430407668332165"/>
    <n v="841.74534476562087"/>
    <m/>
    <x v="20"/>
    <m/>
    <s v=""/>
    <n v="-841.74534476562087"/>
    <s v=""/>
  </r>
  <r>
    <s v="547375239"/>
    <n v="0"/>
    <s v="iHerb_OA CZN6870"/>
    <s v="Доставлен"/>
    <d v="2026-03-17T00:00:00"/>
    <x v="45"/>
    <s v="Витамины"/>
    <s v="THR-10403"/>
    <x v="82"/>
    <x v="1932"/>
    <n v="27"/>
    <n v="-2.7"/>
    <n v="-1.2002156389587717"/>
    <n v="-3.5459646719659973E-15"/>
    <n v="1.2414123484604132"/>
    <n v="2157.6383837346611"/>
    <n v="2850"/>
    <x v="926"/>
    <m/>
    <s v="2026 04"/>
    <n v="692.36161626533885"/>
    <n v="0.32088862595544326"/>
  </r>
  <r>
    <s v="547375239"/>
    <n v="0"/>
    <s v="iHerb_OA CZN6870"/>
    <s v="Доставлен"/>
    <d v="2026-03-17T00:00:00"/>
    <x v="45"/>
    <s v="Витамины"/>
    <s v="PAR-77891"/>
    <x v="44"/>
    <x v="1619"/>
    <n v="12.49"/>
    <n v="-1.25"/>
    <n v="-0.55516147250603265"/>
    <n v="-1.6401910663743954E-15"/>
    <n v="0.57421706982284126"/>
    <n v="998.01874210607366"/>
    <n v="1800"/>
    <x v="899"/>
    <s v="Любовь Виталий"/>
    <s v="2026 04"/>
    <n v="801.98125789392634"/>
    <n v="0.80357334392492641"/>
  </r>
  <r>
    <s v="547375239"/>
    <n v="0"/>
    <s v="iHerb_OA CZN6870"/>
    <s v="Доставлен"/>
    <d v="2026-03-17T00:00:00"/>
    <x v="45"/>
    <s v="Витамины"/>
    <s v="NCS-57239"/>
    <x v="217"/>
    <x v="1838"/>
    <n v="11.8"/>
    <n v="-1.18"/>
    <n v="-0.52453868665605574"/>
    <n v="-1.5497178936740284E-15"/>
    <n v="0.54254317451232859"/>
    <n v="942.96788622477777"/>
    <n v="1700"/>
    <x v="899"/>
    <s v="Любовь Виталий"/>
    <s v="2026 04"/>
    <n v="757.03211377522223"/>
    <n v="0.80281855282054271"/>
  </r>
  <r>
    <s v="547375239"/>
    <n v="0"/>
    <s v="iHerb_OA CZN6870"/>
    <s v="Доставлен"/>
    <d v="2026-03-17T00:00:00"/>
    <x v="45"/>
    <s v="Косметика"/>
    <s v="LOE-67294"/>
    <x v="190"/>
    <x v="1933"/>
    <n v="23.03"/>
    <n v="-9.48"/>
    <n v="-0.66925604559223684"/>
    <n v="-1.9772765969193111E-15"/>
    <n v="0.69222787331846081"/>
    <n v="1203.1275761154179"/>
    <m/>
    <x v="20"/>
    <m/>
    <s v=""/>
    <n v="-1203.1275761154179"/>
    <s v=""/>
  </r>
  <r>
    <s v="547375239"/>
    <n v="0"/>
    <s v="iHerb_OA CZN6870"/>
    <s v="Доставлен"/>
    <d v="2026-03-17T00:00:00"/>
    <x v="45"/>
    <s v="Витамины"/>
    <s v="CGN-02168"/>
    <x v="1"/>
    <x v="1934"/>
    <n v="27.56"/>
    <n v="-8.59"/>
    <n v="-0.9369584638291315"/>
    <n v="-2.7681872356870354E-15"/>
    <n v="0.96911902264584493"/>
    <n v="1684.378606561585"/>
    <m/>
    <x v="20"/>
    <m/>
    <s v=""/>
    <n v="-1684.378606561585"/>
    <s v=""/>
  </r>
  <r>
    <s v="546987712"/>
    <n v="0"/>
    <s v="iHerb_VP DFD1605"/>
    <s v="Доставлен"/>
    <d v="2026-03-09T00:00:00"/>
    <x v="45"/>
    <s v="Витамины"/>
    <s v="NCS-67592"/>
    <x v="217"/>
    <x v="1935"/>
    <n v="27.9"/>
    <n v="-4.1849999999999996"/>
    <n v="-1.1523714129543592"/>
    <n v="0"/>
    <n v="1.1863226921409873"/>
    <n v="2079.0033336977317"/>
    <n v="2950"/>
    <x v="920"/>
    <s v="Надежда Витамины"/>
    <s v="2026 04"/>
    <n v="870.9966663022683"/>
    <n v="0.41894914365197616"/>
  </r>
  <r>
    <s v="546987712"/>
    <n v="0"/>
    <s v="iHerb_VP DFD1605"/>
    <s v="Доставлен"/>
    <d v="2026-03-09T00:00:00"/>
    <x v="45"/>
    <s v="Витамины"/>
    <s v="NCS-67592"/>
    <x v="217"/>
    <x v="1935"/>
    <n v="27.9"/>
    <n v="-4.1849999999999996"/>
    <n v="-1.1523714129543592"/>
    <n v="0"/>
    <n v="1.1863226921409873"/>
    <n v="2079.0033336977317"/>
    <n v="2950"/>
    <x v="917"/>
    <s v="Любовь Виталий"/>
    <s v="2026 04"/>
    <n v="870.9966663022683"/>
    <n v="0.41894914365197616"/>
  </r>
  <r>
    <s v="546987712"/>
    <n v="0"/>
    <s v="iHerb_VP DFD1605"/>
    <s v="Доставлен"/>
    <d v="2026-03-09T00:00:00"/>
    <x v="45"/>
    <s v="Витамины"/>
    <s v="BTZ-43042"/>
    <x v="166"/>
    <x v="1936"/>
    <n v="41.5"/>
    <n v="-4.1500000000000004"/>
    <n v="-1.8149303088275486"/>
    <n v="0"/>
    <n v="1.8684019629544963"/>
    <n v="3274.3316261273571"/>
    <n v="4300"/>
    <x v="920"/>
    <s v="Надежда Витамины"/>
    <s v="2026 04"/>
    <n v="1025.6683738726429"/>
    <n v="0.31324511105972774"/>
  </r>
  <r>
    <s v="546987712"/>
    <n v="0"/>
    <s v="iHerb_VP DFD1605"/>
    <s v="Доставлен"/>
    <d v="2026-03-09T00:00:00"/>
    <x v="45"/>
    <s v="Витамины"/>
    <s v="NAP-03764"/>
    <x v="11"/>
    <x v="1937"/>
    <n v="13.26"/>
    <n v="-1.325"/>
    <n v="-0.57995162612735718"/>
    <n v="0"/>
    <n v="0.59703821761343812"/>
    <n v="1046.2957953903617"/>
    <n v="2000"/>
    <x v="887"/>
    <s v="Аня Мирный"/>
    <s v="2026 04"/>
    <n v="953.70420460963828"/>
    <n v="0.91150533989656479"/>
  </r>
  <r>
    <s v="546987712"/>
    <n v="0"/>
    <s v="iHerb_VP DFD1605"/>
    <s v="Доставлен"/>
    <d v="2026-03-09T00:00:00"/>
    <x v="45"/>
    <s v="Витамины"/>
    <s v="NAP-03764"/>
    <x v="11"/>
    <x v="1937"/>
    <n v="13.26"/>
    <n v="-1.325"/>
    <n v="-0.57995162612735718"/>
    <n v="0"/>
    <n v="0.59703821761343812"/>
    <n v="1046.2957953903617"/>
    <n v="2000"/>
    <x v="887"/>
    <m/>
    <s v="2026 04"/>
    <n v="953.70420460963828"/>
    <n v="0.91150533989656479"/>
  </r>
  <r>
    <s v="546987712"/>
    <n v="0"/>
    <s v="iHerb_VP DFD1605"/>
    <s v="Доставлен"/>
    <d v="2026-03-09T00:00:00"/>
    <x v="45"/>
    <s v="Витамины"/>
    <s v="NWY-14008"/>
    <x v="16"/>
    <x v="1876"/>
    <n v="17.53"/>
    <n v="-1.75"/>
    <n v="-0.76678983328778361"/>
    <n v="0"/>
    <n v="0.78938107029242166"/>
    <n v="1383.3722372232853"/>
    <n v="2200"/>
    <x v="887"/>
    <s v="Александр Радин"/>
    <s v="2026 04"/>
    <n v="816.62776277671469"/>
    <n v="0.59031672083853282"/>
  </r>
  <r>
    <s v="546987712"/>
    <n v="0"/>
    <s v="iHerb_VP DFD1605"/>
    <s v="Доставлен"/>
    <d v="2026-03-09T00:00:00"/>
    <x v="45"/>
    <s v="Витамины"/>
    <s v="MRM-71301"/>
    <x v="37"/>
    <x v="116"/>
    <n v="7.7"/>
    <n v="-0.77"/>
    <n v="-0.33674610549330414"/>
    <n v="0"/>
    <n v="0.34666735216264144"/>
    <n v="607.5265908718228"/>
    <n v="1100"/>
    <x v="917"/>
    <m/>
    <s v="2026 04"/>
    <n v="492.4734091281772"/>
    <n v="0.81062033584646875"/>
  </r>
  <r>
    <s v="546987712"/>
    <n v="0"/>
    <s v="iHerb_VP DFD1605"/>
    <s v="Доставлен"/>
    <d v="2026-03-09T00:00:00"/>
    <x v="45"/>
    <s v="Витамины"/>
    <s v="MRM-71301"/>
    <x v="37"/>
    <x v="116"/>
    <n v="7.7"/>
    <n v="-0.77"/>
    <n v="-0.33674610549330414"/>
    <n v="0"/>
    <n v="0.34666735216264144"/>
    <n v="607.5265908718228"/>
    <n v="1100"/>
    <x v="568"/>
    <m/>
    <s v="2026 05"/>
    <n v="492.4734091281772"/>
    <n v="0.81062033584646875"/>
  </r>
  <r>
    <s v="546987712"/>
    <n v="0"/>
    <s v="iHerb_VP DFD1605"/>
    <s v="Доставлен"/>
    <d v="2026-03-09T00:00:00"/>
    <x v="45"/>
    <s v="Витамины"/>
    <s v="NOW-02313"/>
    <x v="3"/>
    <x v="1938"/>
    <n v="24.81"/>
    <n v="-2.48"/>
    <n v="-1.0850707843673133"/>
    <n v="0"/>
    <n v="1.1170392458574001"/>
    <n v="1957.5856816980956"/>
    <n v="3000"/>
    <x v="920"/>
    <s v="Надежда Витамины"/>
    <s v="2026 04"/>
    <n v="1042.4143183019044"/>
    <n v="0.53249997077914279"/>
  </r>
  <r>
    <s v="546987712"/>
    <n v="0"/>
    <s v="iHerb_VP DFD1605"/>
    <s v="Доставлен"/>
    <d v="2026-03-09T00:00:00"/>
    <x v="45"/>
    <s v="Витамины"/>
    <s v="NOW-02313"/>
    <x v="3"/>
    <x v="1938"/>
    <n v="24.81"/>
    <n v="-2.48"/>
    <n v="-1.0850707843673133"/>
    <n v="0"/>
    <n v="1.1170392458574001"/>
    <n v="1957.5856816980956"/>
    <n v="3000"/>
    <x v="917"/>
    <s v="Любовь Виталий"/>
    <s v="2026 04"/>
    <n v="1042.4143183019044"/>
    <n v="0.53249997077914279"/>
  </r>
  <r>
    <s v="547542590"/>
    <n v="0"/>
    <s v="iHerb_MH DLE7202"/>
    <s v="Доставлен"/>
    <d v="2026-03-21T00:00:00"/>
    <x v="45"/>
    <s v="Витамины"/>
    <s v="JRW-18001"/>
    <x v="21"/>
    <x v="1939"/>
    <n v="14.21"/>
    <n v="-2.84"/>
    <n v="-1.0334266585514305"/>
    <n v="0"/>
    <n v="0.54637799058717151"/>
    <n v="1013.1266296409008"/>
    <m/>
    <x v="20"/>
    <m/>
    <s v=""/>
    <n v="-1013.1266296409008"/>
    <s v=""/>
  </r>
  <r>
    <s v="547542590"/>
    <n v="0"/>
    <s v="iHerb_MH DLE7202"/>
    <s v="Доставлен"/>
    <d v="2026-03-21T00:00:00"/>
    <x v="45"/>
    <s v="Витамины"/>
    <s v="JRW-18018"/>
    <x v="21"/>
    <x v="1940"/>
    <n v="21.87"/>
    <n v="-4.37"/>
    <n v="-1.5905863258267399"/>
    <n v="0"/>
    <n v="0.84095117284744958"/>
    <n v="1559.3417782511665"/>
    <n v="2500"/>
    <x v="899"/>
    <s v="Надежда Витамины"/>
    <s v="2026 04"/>
    <n v="940.65822174883351"/>
    <n v="0.60324056910974377"/>
  </r>
  <r>
    <s v="547542590"/>
    <n v="0"/>
    <s v="iHerb_MH DLE7202"/>
    <s v="Доставлен"/>
    <d v="2026-03-21T00:00:00"/>
    <x v="45"/>
    <s v="Витамины"/>
    <s v="CLF-06419"/>
    <x v="72"/>
    <x v="1797"/>
    <n v="29.46"/>
    <n v="-5.89"/>
    <n v="-2.1422925542706435"/>
    <n v="0"/>
    <n v="1.1326410939436795"/>
    <n v="2100.2106121931429"/>
    <m/>
    <x v="20"/>
    <m/>
    <s v=""/>
    <n v="-2100.2106121931429"/>
    <s v=""/>
  </r>
  <r>
    <s v="547542590"/>
    <n v="0"/>
    <s v="iHerb_MH DLE7202"/>
    <s v="Доставлен"/>
    <d v="2026-03-21T00:00:00"/>
    <x v="45"/>
    <s v="Витамины"/>
    <s v="SOL-03501"/>
    <x v="19"/>
    <x v="1823"/>
    <n v="11.87"/>
    <n v="0"/>
    <n v="-1.0788719821464801"/>
    <n v="0"/>
    <n v="0.57040516695424148"/>
    <n v="1057.6792518766486"/>
    <m/>
    <x v="20"/>
    <m/>
    <s v=""/>
    <n v="-1057.6792518766486"/>
    <s v=""/>
  </r>
  <r>
    <s v="547542590"/>
    <n v="0"/>
    <s v="iHerb_MH DLE7202"/>
    <s v="Доставлен"/>
    <d v="2026-03-21T00:00:00"/>
    <x v="45"/>
    <s v="Витамины"/>
    <s v="BLB-00612"/>
    <x v="186"/>
    <x v="1321"/>
    <n v="22.18"/>
    <n v="-4.4400000000000004"/>
    <n v="-1.6124000811523636"/>
    <n v="0"/>
    <n v="0.85248421750364312"/>
    <n v="1580.7270369243256"/>
    <m/>
    <x v="20"/>
    <m/>
    <s v=""/>
    <n v="-1580.7270369243256"/>
    <s v=""/>
  </r>
  <r>
    <s v="547542590"/>
    <n v="0"/>
    <s v="iHerb_MH DLE7202"/>
    <s v="Доставлен"/>
    <d v="2026-03-21T00:00:00"/>
    <x v="45"/>
    <s v="Витамины"/>
    <s v="DRB-00294"/>
    <x v="6"/>
    <x v="867"/>
    <n v="28.82"/>
    <n v="-5.76"/>
    <n v="-2.0959383242036931"/>
    <n v="0"/>
    <n v="1.108133374049268"/>
    <n v="2054.7669375126802"/>
    <m/>
    <x v="20"/>
    <m/>
    <s v=""/>
    <n v="-2054.7669375126802"/>
    <s v=""/>
  </r>
  <r>
    <s v="547542590"/>
    <n v="0"/>
    <s v="iHerb_MH DLE7202"/>
    <s v="Доставлен"/>
    <d v="2026-03-21T00:00:00"/>
    <x v="45"/>
    <s v="Витамины"/>
    <s v="CAR-01545"/>
    <x v="154"/>
    <x v="1360"/>
    <n v="63.51"/>
    <n v="-12.7"/>
    <n v="-4.6181537837289524"/>
    <n v="0"/>
    <n v="2.4416416624216524"/>
    <n v="4527.4374715966733"/>
    <n v="6400"/>
    <x v="899"/>
    <s v="Надежда Витамины"/>
    <s v="2026 04"/>
    <n v="1872.5625284033267"/>
    <n v="0.41360317843173605"/>
  </r>
  <r>
    <s v="547542590"/>
    <n v="0"/>
    <s v="iHerb_MH DLE7202"/>
    <s v="Доставлен"/>
    <d v="2026-03-21T00:00:00"/>
    <x v="45"/>
    <s v="Витамины"/>
    <s v="MII-02397"/>
    <x v="343"/>
    <x v="1941"/>
    <n v="20.39"/>
    <n v="-4.08"/>
    <n v="-1.4824264556705216"/>
    <n v="0"/>
    <n v="0.78376649309382318"/>
    <n v="1453.3065373300874"/>
    <m/>
    <x v="20"/>
    <m/>
    <s v=""/>
    <n v="-1453.3065373300874"/>
    <s v=""/>
  </r>
  <r>
    <s v="547542590"/>
    <n v="0"/>
    <s v="iHerb_MH DLE7202"/>
    <s v="Доставлен"/>
    <d v="2026-03-21T00:00:00"/>
    <x v="45"/>
    <s v="Витамины"/>
    <s v="CGN-01266"/>
    <x v="1"/>
    <x v="487"/>
    <n v="31.16"/>
    <n v="-6.23"/>
    <n v="-2.2659038344491784"/>
    <n v="0"/>
    <n v="1.1979950136621096"/>
    <n v="2221.3937446743757"/>
    <m/>
    <x v="20"/>
    <m/>
    <s v=""/>
    <n v="-2221.3937446743757"/>
    <s v=""/>
  </r>
  <r>
    <s v="WB0208"/>
    <n v="0"/>
    <s v="WBRS"/>
    <s v="Доставлен"/>
    <d v="2026-02-27T00:00:00"/>
    <x v="44"/>
    <s v="Косметика"/>
    <s v="ENO-46333"/>
    <x v="117"/>
    <x v="1446"/>
    <n v="143"/>
    <n v="0"/>
    <n v="0"/>
    <n v="0"/>
    <n v="0"/>
    <n v="143"/>
    <n v="600"/>
    <x v="851"/>
    <s v="&lt;Клиент не выбран&gt;"/>
    <s v="2026 03"/>
    <n v="457"/>
    <n v="3.1958041958041958"/>
  </r>
  <r>
    <s v="548124679"/>
    <n v="0"/>
    <s v="iHerb_OA CZN6870"/>
    <s v="Доставлен"/>
    <d v="2026-03-31T00:00:00"/>
    <x v="45"/>
    <s v="Витамины"/>
    <s v="ECN-00012"/>
    <x v="354"/>
    <x v="1942"/>
    <n v="66.12"/>
    <n v="-6.61"/>
    <n v="-2.5049004004004005"/>
    <n v="-8.4653449860027151E-15"/>
    <n v="2.840678158546377"/>
    <n v="5534.4508493493495"/>
    <n v="6600"/>
    <x v="899"/>
    <s v="Оксана Черноморская"/>
    <s v="2026 04"/>
    <n v="1065.5491506506505"/>
    <n v="0.19253024006454414"/>
  </r>
  <r>
    <s v="548124679"/>
    <n v="0"/>
    <s v="iHerb_OA CZN6870"/>
    <s v="Доставлен"/>
    <d v="2026-03-31T00:00:00"/>
    <x v="45"/>
    <s v="Витамины"/>
    <s v="PTF-10560"/>
    <x v="169"/>
    <x v="1943"/>
    <n v="20.3"/>
    <n v="-2.0299999999999998"/>
    <n v="-0.76902252252252246"/>
    <n v="-2.5989220785459519E-15"/>
    <n v="0.87210872049474542"/>
    <n v="1699.1164009009005"/>
    <n v="2500"/>
    <x v="899"/>
    <s v="Оксана Черноморская"/>
    <s v="2026 04"/>
    <n v="800.88359909909946"/>
    <n v="0.47135299186945478"/>
  </r>
  <r>
    <s v="548124679"/>
    <n v="0"/>
    <s v="iHerb_OA CZN6870"/>
    <s v="Доставлен"/>
    <d v="2026-03-31T00:00:00"/>
    <x v="45"/>
    <s v="Витамины"/>
    <s v="NRT-00526"/>
    <x v="27"/>
    <x v="1785"/>
    <n v="28.18"/>
    <n v="-2.82"/>
    <n v="-1.0674554554554554"/>
    <n v="-3.6074802360112392E-15"/>
    <n v="1.2105460947863571"/>
    <n v="2358.4888848848846"/>
    <n v="3200"/>
    <x v="899"/>
    <s v="Оксана Черноморская"/>
    <s v="2026 04"/>
    <n v="841.51111511511544"/>
    <n v="0.35680096713968135"/>
  </r>
  <r>
    <s v="548124679"/>
    <n v="0"/>
    <s v="iHerb_OA CZN6870"/>
    <s v="Доставлен"/>
    <d v="2026-03-31T00:00:00"/>
    <x v="45"/>
    <s v="Витамины"/>
    <s v="DFH-00281"/>
    <x v="346"/>
    <x v="1944"/>
    <n v="76.48"/>
    <n v="-7.65"/>
    <n v="-2.8971986986986988"/>
    <n v="-9.7911224228964353E-15"/>
    <n v="3.2855633952738552"/>
    <n v="6401.2141146146132"/>
    <n v="7600"/>
    <x v="899"/>
    <s v="Оксана Черноморская"/>
    <s v="2026 04"/>
    <n v="1198.7858853853868"/>
    <n v="0.18727476755517966"/>
  </r>
  <r>
    <s v="548124679"/>
    <n v="0"/>
    <s v="iHerb_OA CZN6870"/>
    <s v="Доставлен"/>
    <d v="2026-03-31T00:00:00"/>
    <x v="45"/>
    <s v="Витамины"/>
    <s v="CEN-22338"/>
    <x v="2"/>
    <x v="829"/>
    <n v="10.58"/>
    <n v="-1.06"/>
    <n v="-0.40071671671671666"/>
    <n v="-1.3542275964837144E-15"/>
    <n v="0.4544321302194842"/>
    <n v="885.36333533533514"/>
    <m/>
    <x v="20"/>
    <m/>
    <s v=""/>
    <n v="-885.36333533533514"/>
    <s v=""/>
  </r>
  <r>
    <s v="548124679"/>
    <n v="0"/>
    <s v="iHerb_OA CZN6870"/>
    <s v="Доставлен"/>
    <d v="2026-03-31T00:00:00"/>
    <x v="45"/>
    <s v="Витамины"/>
    <s v="NCS-67405"/>
    <x v="217"/>
    <x v="1881"/>
    <n v="20.34"/>
    <n v="-2.0299999999999998"/>
    <n v="-0.77070620620620611"/>
    <n v="-2.6046121104639503E-15"/>
    <n v="0.87401809919314655"/>
    <n v="1702.8364149149147"/>
    <n v="2500"/>
    <x v="899"/>
    <s v="Надежда Витамины"/>
    <s v="2026 04"/>
    <n v="797.16358508508529"/>
    <n v="0.46813867621272182"/>
  </r>
  <r>
    <s v="547708907"/>
    <n v="0"/>
    <s v="iHerb_AV CYG0792"/>
    <s v="Доставлен"/>
    <d v="2026-03-24T00:00:00"/>
    <x v="45"/>
    <s v="Витамины"/>
    <s v="NOW-01662"/>
    <x v="3"/>
    <x v="122"/>
    <n v="41.53"/>
    <n v="-8.31"/>
    <n v="-3.1045951092403286"/>
    <n v="4.7312546967228963E-15"/>
    <n v="1.5348967373879405"/>
    <n v="3027.5645279615155"/>
    <n v="4400"/>
    <x v="823"/>
    <s v="Аня Мирный"/>
    <s v="2026 04"/>
    <n v="1372.4354720384845"/>
    <n v="0.45331336767991426"/>
  </r>
  <r>
    <s v="547708907"/>
    <n v="0"/>
    <s v="iHerb_AV CYG0792"/>
    <s v="Доставлен"/>
    <d v="2026-03-24T00:00:00"/>
    <x v="45"/>
    <s v="Косметика"/>
    <s v="GIL-09772"/>
    <x v="259"/>
    <x v="1221"/>
    <n v="10.94"/>
    <n v="-2.19"/>
    <n v="-0.81773652034475852"/>
    <n v="1.2461914086792699E-15"/>
    <n v="0.40428496243661893"/>
    <n v="797.4470084185208"/>
    <m/>
    <x v="20"/>
    <m/>
    <s v=""/>
    <n v="-797.4470084185208"/>
    <s v=""/>
  </r>
  <r>
    <s v="547708907"/>
    <n v="0"/>
    <s v="iHerb_AV CYG0792"/>
    <s v="Доставлен"/>
    <d v="2026-03-24T00:00:00"/>
    <x v="45"/>
    <s v="Витамины"/>
    <s v="NOW-00367"/>
    <x v="3"/>
    <x v="1945"/>
    <n v="5.77"/>
    <n v="-1.1533333333333333"/>
    <n v="-0.43145336406761536"/>
    <n v="6.5751432419839566E-16"/>
    <n v="0.21330844684751132"/>
    <n v="420.74823110843863"/>
    <m/>
    <x v="20"/>
    <m/>
    <s v=""/>
    <n v="-420.74823110843863"/>
    <s v=""/>
  </r>
  <r>
    <s v="547708907"/>
    <n v="0"/>
    <s v="iHerb_AV CYG0792"/>
    <s v="Доставлен"/>
    <d v="2026-03-24T00:00:00"/>
    <x v="45"/>
    <s v="Витамины"/>
    <s v="NOW-00367"/>
    <x v="3"/>
    <x v="1945"/>
    <n v="5.77"/>
    <n v="-1.1533333333333333"/>
    <n v="-0.43145336406761536"/>
    <n v="6.5751432419839566E-16"/>
    <n v="0.21330844684751132"/>
    <n v="420.74823110843863"/>
    <m/>
    <x v="20"/>
    <m/>
    <s v=""/>
    <n v="-420.74823110843863"/>
    <s v=""/>
  </r>
  <r>
    <s v="547708907"/>
    <n v="0"/>
    <s v="iHerb_AV CYG0792"/>
    <s v="Доставлен"/>
    <d v="2026-03-24T00:00:00"/>
    <x v="45"/>
    <s v="Витамины"/>
    <s v="NOW-00367"/>
    <x v="3"/>
    <x v="1945"/>
    <n v="5.77"/>
    <n v="-1.1533333333333333"/>
    <n v="-0.43145336406761536"/>
    <n v="6.5751432419839566E-16"/>
    <n v="0.21330844684751132"/>
    <n v="420.74823110843863"/>
    <m/>
    <x v="20"/>
    <m/>
    <s v=""/>
    <n v="-420.74823110843863"/>
    <s v=""/>
  </r>
  <r>
    <s v="547708907"/>
    <n v="0"/>
    <s v="iHerb_AV CYG0792"/>
    <s v="Доставлен"/>
    <d v="2026-03-24T00:00:00"/>
    <x v="45"/>
    <s v="Витамины"/>
    <s v="NOW-00372"/>
    <x v="3"/>
    <x v="1820"/>
    <n v="8.35"/>
    <n v="-1.67"/>
    <n v="-0.62428342353176991"/>
    <n v="9.5137812685457396E-16"/>
    <n v="0.30864269132304162"/>
    <n v="608.79383042693928"/>
    <n v="1300"/>
    <x v="880"/>
    <s v="Лариса Терраспорт"/>
    <s v="2026 04"/>
    <n v="691.20616957306072"/>
    <n v="1.1353698658350837"/>
  </r>
  <r>
    <s v="547708907"/>
    <n v="0"/>
    <s v="iHerb_AV CYG0792"/>
    <s v="Доставлен"/>
    <d v="2026-03-24T00:00:00"/>
    <x v="45"/>
    <s v="Витамины"/>
    <s v="BTZ-75102"/>
    <x v="166"/>
    <x v="1814"/>
    <n v="22.98"/>
    <n v="-4.5999999999999996"/>
    <n v="-1.7177139707356188"/>
    <n v="2.6177140676028554E-15"/>
    <n v="0.84922944109543508"/>
    <n v="1675.0944016837045"/>
    <n v="2700"/>
    <x v="926"/>
    <m/>
    <s v="2026 04"/>
    <n v="1024.9055983162955"/>
    <n v="0.6118494559387947"/>
  </r>
  <r>
    <s v="547708907"/>
    <n v="0"/>
    <s v="iHerb_AV CYG0792"/>
    <s v="Доставлен"/>
    <d v="2026-03-24T00:00:00"/>
    <x v="45"/>
    <s v="Витамины"/>
    <s v="NOW-04739"/>
    <x v="3"/>
    <x v="1895"/>
    <n v="22.51"/>
    <n v="-4.5"/>
    <n v="-1.6831353978753261"/>
    <n v="2.5650179737501315E-15"/>
    <n v="0.83213396268382944"/>
    <n v="1641.3737853277216"/>
    <m/>
    <x v="20"/>
    <m/>
    <s v=""/>
    <n v="-1641.3737853277216"/>
    <s v=""/>
  </r>
  <r>
    <s v="547708907"/>
    <n v="0"/>
    <s v="iHerb_AV CYG0792"/>
    <s v="Доставлен"/>
    <d v="2026-03-24T00:00:00"/>
    <x v="45"/>
    <s v="Витамины"/>
    <s v="MII-02364"/>
    <x v="343"/>
    <x v="1882"/>
    <n v="26.83"/>
    <n v="-5.37"/>
    <n v="-2.0055572258969732"/>
    <n v="3.0563734434579574E-15"/>
    <n v="0.99153774787312465"/>
    <n v="1955.7957486470236"/>
    <n v="3100"/>
    <x v="899"/>
    <s v="Оксана Черноморская"/>
    <s v="2026 04"/>
    <n v="1144.2042513529764"/>
    <n v="0.58503258949433323"/>
  </r>
  <r>
    <s v="547708907"/>
    <n v="0"/>
    <s v="iHerb_AV CYG0792"/>
    <s v="Доставлен"/>
    <d v="2026-03-24T00:00:00"/>
    <x v="45"/>
    <s v="Витамины"/>
    <s v="NFS-35493"/>
    <x v="23"/>
    <x v="1383"/>
    <n v="49.39"/>
    <n v="-9.8800000000000008"/>
    <n v="-3.6924308478653036"/>
    <n v="5.6270882922191943E-15"/>
    <n v="1.8255198703852358"/>
    <n v="3600.8150060132298"/>
    <m/>
    <x v="20"/>
    <m/>
    <s v=""/>
    <n v="-3600.8150060132298"/>
    <s v=""/>
  </r>
  <r>
    <s v="547708907"/>
    <n v="0"/>
    <s v="iHerb_AV CYG0792"/>
    <s v="Доставлен"/>
    <d v="2026-03-24T00:00:00"/>
    <x v="45"/>
    <s v="Витамины"/>
    <s v="NOW-02313"/>
    <x v="3"/>
    <x v="1938"/>
    <n v="24.81"/>
    <n v="-4.96"/>
    <n v="-1.8550937061535377"/>
    <n v="2.8270742242609719E-15"/>
    <n v="0.91714931478478678"/>
    <n v="1809.0654990980156"/>
    <n v="3000"/>
    <x v="880"/>
    <s v="Лариса Терраспорт"/>
    <s v="2026 04"/>
    <n v="1190.9345009019844"/>
    <n v="0.65831474951889468"/>
  </r>
  <r>
    <s v="547708907"/>
    <n v="0"/>
    <s v="iHerb_AV CYG0792"/>
    <s v="Доставлен"/>
    <d v="2026-03-24T00:00:00"/>
    <x v="45"/>
    <s v="Витамины"/>
    <s v="NOW-02313"/>
    <x v="3"/>
    <x v="1938"/>
    <n v="24.81"/>
    <n v="-4.96"/>
    <n v="-1.8550937061535377"/>
    <n v="2.8270742242609719E-15"/>
    <n v="0.91714931478478678"/>
    <n v="1809.0654990980156"/>
    <n v="3000"/>
    <x v="921"/>
    <s v="Татьяна Виноград"/>
    <s v="2026 05"/>
    <n v="1190.9345009019844"/>
    <n v="0.65831474951889468"/>
  </r>
  <r>
    <s v="OZO0238"/>
    <n v="0"/>
    <s v="OZON_OA"/>
    <s v="Доставлен"/>
    <d v="2026-04-01T00:00:00"/>
    <x v="46"/>
    <s v="Витамины"/>
    <s v="892721541"/>
    <x v="162"/>
    <x v="618"/>
    <n v="985"/>
    <n v="0"/>
    <n v="0"/>
    <n v="0"/>
    <n v="0"/>
    <n v="985"/>
    <n v="2000"/>
    <x v="917"/>
    <s v="Евгения"/>
    <s v="2026 04"/>
    <n v="1015"/>
    <n v="1.0304568527918783"/>
  </r>
  <r>
    <s v="OZO0239"/>
    <n v="0"/>
    <s v="OZON_OA"/>
    <s v="Доставлен"/>
    <d v="2026-04-05T00:00:00"/>
    <x v="46"/>
    <s v="Косметика"/>
    <s v="3457386687"/>
    <x v="117"/>
    <x v="1946"/>
    <n v="707"/>
    <n v="0"/>
    <n v="0"/>
    <n v="0"/>
    <n v="0"/>
    <n v="707"/>
    <n v="1200"/>
    <x v="899"/>
    <m/>
    <s v="2026 04"/>
    <n v="493"/>
    <n v="0.6973125884016973"/>
  </r>
  <r>
    <s v="OZO0240"/>
    <n v="0"/>
    <s v="OZON_OA"/>
    <s v="Доставлен"/>
    <d v="2026-04-05T00:00:00"/>
    <x v="46"/>
    <s v="Витамины"/>
    <s v="NOW-00367"/>
    <x v="3"/>
    <x v="1945"/>
    <n v="741"/>
    <n v="0"/>
    <n v="0"/>
    <n v="0"/>
    <n v="0"/>
    <n v="741"/>
    <n v="1100"/>
    <x v="917"/>
    <m/>
    <s v="2026 04"/>
    <n v="359"/>
    <n v="0.48448043184885292"/>
  </r>
  <r>
    <s v="OZO0240"/>
    <n v="0"/>
    <s v="OZON_OA"/>
    <s v="Доставлен"/>
    <d v="2026-04-05T00:00:00"/>
    <x v="46"/>
    <s v="Витамины"/>
    <s v="NOW-00367"/>
    <x v="3"/>
    <x v="1945"/>
    <n v="741"/>
    <n v="0"/>
    <n v="0"/>
    <n v="0"/>
    <n v="0"/>
    <n v="741"/>
    <n v="1100"/>
    <x v="917"/>
    <m/>
    <s v="2026 04"/>
    <n v="359"/>
    <n v="0.48448043184885292"/>
  </r>
  <r>
    <s v="OZO0241"/>
    <n v="0"/>
    <s v="OZON_OA"/>
    <s v="Доставлен"/>
    <d v="2026-04-10T00:00:00"/>
    <x v="46"/>
    <s v="Витамины"/>
    <s v="892721541"/>
    <x v="162"/>
    <x v="618"/>
    <n v="1034"/>
    <n v="0"/>
    <n v="0"/>
    <n v="0"/>
    <n v="0"/>
    <n v="1034"/>
    <n v="2000"/>
    <x v="911"/>
    <s v="Виктория Бахчиванджи"/>
    <s v="2026 04"/>
    <n v="966"/>
    <n v="0.93423597678916825"/>
  </r>
  <r>
    <s v="OZO0241"/>
    <n v="0"/>
    <s v="OZON_OA"/>
    <s v="Доставлен"/>
    <d v="2026-04-10T00:00:00"/>
    <x v="46"/>
    <s v="Витамины"/>
    <s v="892721541"/>
    <x v="162"/>
    <x v="618"/>
    <n v="1010"/>
    <n v="0"/>
    <n v="0"/>
    <n v="0"/>
    <n v="0"/>
    <n v="1010"/>
    <n v="2000"/>
    <x v="911"/>
    <s v="Виктория Бахчиванджи"/>
    <s v="2026 04"/>
    <n v="990"/>
    <n v="0.98019801980198018"/>
  </r>
  <r>
    <s v="548665732"/>
    <n v="0"/>
    <s v="iHerb_VP DFD1605"/>
    <s v="Доставлен"/>
    <d v="2026-04-09T00:00:00"/>
    <x v="46"/>
    <s v="Витамины"/>
    <s v="NOW-02644"/>
    <x v="3"/>
    <x v="21"/>
    <n v="25.77"/>
    <n v="-5.1550000000000002"/>
    <n v="0"/>
    <n v="-2.9405949305283737E-15"/>
    <n v="0.96170807456848262"/>
    <n v="1959.7379452948551"/>
    <n v="3000"/>
    <x v="927"/>
    <s v="Виктория Страховка"/>
    <s v="2026 05"/>
    <n v="1040.2620547051449"/>
    <n v="0.53081691723258995"/>
  </r>
  <r>
    <s v="548665732"/>
    <n v="0"/>
    <s v="iHerb_VP DFD1605"/>
    <s v="Доставлен"/>
    <d v="2026-04-09T00:00:00"/>
    <x v="46"/>
    <s v="Витамины"/>
    <s v="NOW-02644"/>
    <x v="3"/>
    <x v="21"/>
    <n v="25.77"/>
    <n v="-5.1550000000000002"/>
    <n v="0"/>
    <n v="-2.9405949305283737E-15"/>
    <n v="0.96170807456848262"/>
    <n v="1959.7379452948551"/>
    <m/>
    <x v="20"/>
    <m/>
    <s v=""/>
    <n v="-1959.7379452948551"/>
    <s v=""/>
  </r>
  <r>
    <s v="548665732"/>
    <n v="0"/>
    <s v="iHerb_VP DFD1605"/>
    <s v="Доставлен"/>
    <d v="2026-04-09T00:00:00"/>
    <x v="46"/>
    <s v="Витамины"/>
    <s v="NOW-01662"/>
    <x v="3"/>
    <x v="122"/>
    <n v="41.96"/>
    <n v="-8.39"/>
    <n v="0"/>
    <n v="-4.7885409564801122E-15"/>
    <n v="1.5660703402019871"/>
    <n v="3191.2880341279792"/>
    <m/>
    <x v="20"/>
    <m/>
    <s v=""/>
    <n v="-3191.2880341279792"/>
    <s v=""/>
  </r>
  <r>
    <s v="548665732"/>
    <n v="0"/>
    <s v="iHerb_VP DFD1605"/>
    <s v="Доставлен"/>
    <d v="2026-04-09T00:00:00"/>
    <x v="46"/>
    <s v="Витамины"/>
    <s v="NOW-01662"/>
    <x v="3"/>
    <x v="122"/>
    <n v="41.96"/>
    <n v="-8.39"/>
    <n v="0"/>
    <n v="-4.7885409564801122E-15"/>
    <n v="1.5660703402019871"/>
    <n v="3191.2880341279792"/>
    <m/>
    <x v="20"/>
    <m/>
    <s v=""/>
    <n v="-3191.2880341279792"/>
    <s v=""/>
  </r>
  <r>
    <s v="548665732"/>
    <n v="0"/>
    <s v="iHerb_VP DFD1605"/>
    <s v="Доставлен"/>
    <d v="2026-04-09T00:00:00"/>
    <x v="46"/>
    <s v="Витамины"/>
    <s v="NCS-67142"/>
    <x v="217"/>
    <x v="1947"/>
    <n v="14.06"/>
    <n v="-2.81"/>
    <n v="0"/>
    <n v="-1.6047389264343539E-15"/>
    <n v="0.52482250006769005"/>
    <n v="1069.4664993726474"/>
    <m/>
    <x v="20"/>
    <m/>
    <s v=""/>
    <n v="-1069.4664993726474"/>
    <s v=""/>
  </r>
  <r>
    <s v="548665732"/>
    <n v="0"/>
    <s v="iHerb_VP DFD1605"/>
    <s v="Доставлен"/>
    <d v="2026-04-09T00:00:00"/>
    <x v="46"/>
    <s v="Витамины"/>
    <s v="CGN-01033"/>
    <x v="1"/>
    <x v="1924"/>
    <n v="20.25"/>
    <n v="-4.05"/>
    <n v="0"/>
    <n v="-2.3108240540654696E-15"/>
    <n v="0.75574440009747346"/>
    <n v="1540.0317590966117"/>
    <m/>
    <x v="20"/>
    <m/>
    <s v=""/>
    <n v="-1540.0317590966117"/>
    <s v=""/>
  </r>
  <r>
    <s v="548665732"/>
    <n v="0"/>
    <s v="iHerb_VP DFD1605"/>
    <s v="Доставлен"/>
    <d v="2026-04-09T00:00:00"/>
    <x v="46"/>
    <s v="Витамины"/>
    <s v="CGN-01033"/>
    <x v="1"/>
    <x v="1924"/>
    <n v="20.25"/>
    <n v="-4.05"/>
    <n v="0"/>
    <n v="-2.3108240540654696E-15"/>
    <n v="0.75574440009747346"/>
    <n v="1540.0317590966117"/>
    <m/>
    <x v="20"/>
    <m/>
    <s v=""/>
    <n v="-1540.0317590966117"/>
    <s v=""/>
  </r>
  <r>
    <s v="548665732"/>
    <n v="0"/>
    <s v="iHerb_VP DFD1605"/>
    <s v="Доставлен"/>
    <d v="2026-04-09T00:00:00"/>
    <x v="46"/>
    <s v="Витамины"/>
    <s v="NOW-01289"/>
    <x v="3"/>
    <x v="214"/>
    <n v="25.55"/>
    <n v="-5.1100000000000003"/>
    <n v="0"/>
    <n v="-2.915632325006062E-15"/>
    <n v="0.95354416901187422"/>
    <n v="1943.1017997490587"/>
    <m/>
    <x v="20"/>
    <m/>
    <s v=""/>
    <n v="-1943.1017997490587"/>
    <s v=""/>
  </r>
  <r>
    <s v="548665732"/>
    <n v="0"/>
    <s v="iHerb_VP DFD1605"/>
    <s v="Доставлен"/>
    <d v="2026-04-09T00:00:00"/>
    <x v="46"/>
    <s v="Витамины"/>
    <s v="NOW-02313"/>
    <x v="3"/>
    <x v="1938"/>
    <n v="25.05"/>
    <n v="-5.01"/>
    <n v="0"/>
    <n v="-2.8585749409550626E-15"/>
    <n v="0.9348838134539118"/>
    <n v="1905.0763242158087"/>
    <m/>
    <x v="20"/>
    <m/>
    <s v=""/>
    <n v="-1905.0763242158087"/>
    <s v=""/>
  </r>
  <r>
    <s v="548665732"/>
    <n v="0"/>
    <s v="iHerb_VP DFD1605"/>
    <s v="Доставлен"/>
    <d v="2026-04-09T00:00:00"/>
    <x v="46"/>
    <s v="Витамины"/>
    <s v="NOW-00372"/>
    <x v="3"/>
    <x v="1820"/>
    <n v="8.44"/>
    <n v="-1.69"/>
    <n v="0"/>
    <n v="-9.6284335586061241E-16"/>
    <n v="0.31489350004061401"/>
    <n v="641.67989962358831"/>
    <m/>
    <x v="20"/>
    <m/>
    <s v=""/>
    <n v="-641.67989962358831"/>
    <s v=""/>
  </r>
  <r>
    <s v="548542028"/>
    <n v="0"/>
    <s v="iHerb_MH DLE7202"/>
    <s v="Доставлен"/>
    <d v="2026-04-07T00:00:00"/>
    <x v="46"/>
    <s v="Витамины"/>
    <s v="NTW-00765"/>
    <x v="278"/>
    <x v="1948"/>
    <n v="53.34"/>
    <n v="-10.67"/>
    <n v="-2.1776317932569627"/>
    <n v="-6.5842572419530854E-15"/>
    <n v="2.1275179550932335"/>
    <n v="3918.0206053531674"/>
    <n v="5600"/>
    <x v="927"/>
    <s v="Александр Радин"/>
    <s v="2026 05"/>
    <n v="1681.9793946468326"/>
    <n v="0.42929314673556196"/>
  </r>
  <r>
    <s v="548542028"/>
    <n v="0"/>
    <s v="iHerb_MH DLE7202"/>
    <s v="Доставлен"/>
    <d v="2026-04-07T00:00:00"/>
    <x v="46"/>
    <s v="Витамины"/>
    <s v="NFS-04956"/>
    <x v="23"/>
    <x v="354"/>
    <n v="45.97"/>
    <n v="-9.19"/>
    <n v="-1.8770400130300233"/>
    <n v="-5.6753921105937312E-15"/>
    <n v="1.8338436931879334"/>
    <n v="3377.1923568054717"/>
    <n v="4800"/>
    <x v="927"/>
    <s v="Елена сахарный диабет"/>
    <s v="2026 05"/>
    <n v="1422.8076431945283"/>
    <n v="0.42129896460513722"/>
  </r>
  <r>
    <s v="548542028"/>
    <n v="0"/>
    <s v="iHerb_MH DLE7202"/>
    <s v="Доставлен"/>
    <d v="2026-04-07T00:00:00"/>
    <x v="46"/>
    <s v="Витамины"/>
    <s v="CGN-01266"/>
    <x v="1"/>
    <x v="487"/>
    <n v="31.16"/>
    <n v="-6.23"/>
    <n v="-1.2722840545089309"/>
    <n v="-3.8468603947009707E-15"/>
    <n v="1.2430049829030771"/>
    <n v="2289.1083593028934"/>
    <m/>
    <x v="20"/>
    <m/>
    <s v=""/>
    <n v="-2289.1083593028934"/>
    <s v=""/>
  </r>
  <r>
    <s v="548542028"/>
    <n v="0"/>
    <s v="iHerb_MH DLE7202"/>
    <s v="Доставлен"/>
    <d v="2026-04-07T00:00:00"/>
    <x v="46"/>
    <s v="Витамины"/>
    <s v="NOW-02644"/>
    <x v="3"/>
    <x v="21"/>
    <n v="25.77"/>
    <n v="-5.15"/>
    <n v="-1.0523264020848035"/>
    <n v="-3.1817994921273167E-15"/>
    <n v="1.0281092157024248"/>
    <n v="1893.3579770888753"/>
    <m/>
    <x v="20"/>
    <m/>
    <s v=""/>
    <n v="-1893.3579770888753"/>
    <s v=""/>
  </r>
  <r>
    <s v="548542028"/>
    <n v="0"/>
    <s v="iHerb_MH DLE7202"/>
    <s v="Доставлен"/>
    <d v="2026-04-07T00:00:00"/>
    <x v="46"/>
    <s v="Витамины"/>
    <s v="NOW-01290"/>
    <x v="3"/>
    <x v="1403"/>
    <n v="15.16"/>
    <n v="-3.03"/>
    <n v="-0.61904555078994505"/>
    <n v="-1.8717375285889601E-15"/>
    <n v="0.60479945618188236"/>
    <n v="1113.7939991313317"/>
    <n v="2000"/>
    <x v="927"/>
    <m/>
    <s v="2026 05"/>
    <n v="886.2060008686683"/>
    <n v="0.79566419064911154"/>
  </r>
  <r>
    <s v="548542028"/>
    <n v="0"/>
    <s v="iHerb_MH DLE7202"/>
    <s v="Доставлен"/>
    <d v="2026-04-07T00:00:00"/>
    <x v="46"/>
    <s v="Витамины"/>
    <s v="NOW-01292"/>
    <x v="3"/>
    <x v="1949"/>
    <n v="32.950000000000003"/>
    <n v="-6.59"/>
    <n v="-1.3452630435962865"/>
    <n v="-4.0675186523994227E-15"/>
    <n v="1.3143045065914609"/>
    <n v="2420.4130104783108"/>
    <m/>
    <x v="20"/>
    <m/>
    <s v=""/>
    <n v="-2420.4130104783108"/>
    <s v=""/>
  </r>
  <r>
    <s v="548542028"/>
    <n v="0"/>
    <s v="iHerb_MH DLE7202"/>
    <s v="Доставлен"/>
    <d v="2026-04-07T00:00:00"/>
    <x v="46"/>
    <s v="Витамины"/>
    <s v="SWV-01058"/>
    <x v="89"/>
    <x v="1494"/>
    <n v="25.88"/>
    <n v="-5.18"/>
    <n v="-1.0564091427330473"/>
    <n v="-3.194144010040517E-15"/>
    <n v="1.0320980002444322"/>
    <n v="1900.7036918399474"/>
    <m/>
    <x v="20"/>
    <m/>
    <s v=""/>
    <n v="-1900.7036918399474"/>
    <s v=""/>
  </r>
  <r>
    <s v="548633975"/>
    <n v="0"/>
    <s v="iHerb_AV CYG0792"/>
    <s v="Доставлен"/>
    <d v="2026-04-08T00:00:00"/>
    <x v="46"/>
    <s v="Витамины"/>
    <s v="NAP-03764"/>
    <x v="11"/>
    <x v="1937"/>
    <n v="13.41"/>
    <n v="-2.68"/>
    <n v="-0.44006301652892571"/>
    <n v="1.5752321394020406E-15"/>
    <n v="0.5131199191447442"/>
    <n v="985.12928099173575"/>
    <m/>
    <x v="20"/>
    <m/>
    <s v=""/>
    <n v="-985.12928099173575"/>
    <s v=""/>
  </r>
  <r>
    <s v="548633975"/>
    <n v="0"/>
    <s v="iHerb_AV CYG0792"/>
    <s v="Доставлен"/>
    <d v="2026-04-08T00:00:00"/>
    <x v="46"/>
    <s v="Витамины"/>
    <s v="SOR-45931"/>
    <x v="10"/>
    <x v="1950"/>
    <n v="7.44"/>
    <n v="-1.49"/>
    <n v="-0.24402376033057857"/>
    <n v="8.7349778466375967E-16"/>
    <n v="0.28453527669256556"/>
    <n v="546.27392561983493"/>
    <n v="1600"/>
    <x v="927"/>
    <s v="Надежда Витамины"/>
    <s v="2026 05"/>
    <n v="1053.7260743801651"/>
    <n v="1.9289334983077304"/>
  </r>
  <r>
    <s v="548633975"/>
    <n v="0"/>
    <s v="iHerb_AV CYG0792"/>
    <s v="Доставлен"/>
    <d v="2026-04-08T00:00:00"/>
    <x v="46"/>
    <s v="Витамины"/>
    <s v="NOW-01482"/>
    <x v="3"/>
    <x v="30"/>
    <n v="13.64"/>
    <n v="-2.73"/>
    <n v="-0.44744524793388435"/>
    <n v="1.6016572824674989E-15"/>
    <n v="0.52172770902788068"/>
    <n v="1001.6552148760333"/>
    <n v="1900"/>
    <x v="927"/>
    <s v="Надежда Витамины"/>
    <s v="2026 05"/>
    <n v="898.34478512396674"/>
    <n v="0.89686028863249878"/>
  </r>
  <r>
    <s v="548633975"/>
    <n v="0"/>
    <s v="iHerb_AV CYG0792"/>
    <s v="Доставлен"/>
    <d v="2026-04-08T00:00:00"/>
    <x v="46"/>
    <s v="Витамины"/>
    <s v="MTG-03072"/>
    <x v="288"/>
    <x v="1951"/>
    <n v="22.33"/>
    <n v="-4.47"/>
    <n v="-0.73248140495867786"/>
    <n v="2.6219614174949156E-15"/>
    <n v="0.85408404062675991"/>
    <n v="1639.7398842975213"/>
    <n v="2700"/>
    <x v="927"/>
    <s v="Надежда Витамины"/>
    <s v="2026 05"/>
    <n v="1060.2601157024787"/>
    <n v="0.6466026263407646"/>
  </r>
  <r>
    <s v="548633975"/>
    <n v="0"/>
    <s v="iHerb_AV CYG0792"/>
    <s v="Доставлен"/>
    <d v="2026-04-08T00:00:00"/>
    <x v="46"/>
    <s v="Витамины"/>
    <s v="BLB-00654"/>
    <x v="186"/>
    <x v="1952"/>
    <n v="21.24"/>
    <n v="-4.25"/>
    <n v="-0.69680061983471087"/>
    <n v="2.4942398926785335E-15"/>
    <n v="0.81247972285826697"/>
    <n v="1559.864537190083"/>
    <n v="2600"/>
    <x v="927"/>
    <s v="Надежда Витамины"/>
    <s v="2026 05"/>
    <n v="1040.135462809917"/>
    <n v="0.66681140445926268"/>
  </r>
  <r>
    <s v="548633975"/>
    <n v="0"/>
    <s v="iHerb_AV CYG0792"/>
    <s v="Доставлен"/>
    <d v="2026-04-08T00:00:00"/>
    <x v="46"/>
    <s v="Витамины"/>
    <s v="LKN-01663"/>
    <x v="1"/>
    <x v="1828"/>
    <n v="38.94"/>
    <n v="-7.79"/>
    <n v="-1.2775361570247936"/>
    <n v="4.5730178138279183E-15"/>
    <n v="1.4896258603316663"/>
    <n v="2859.9046694214881"/>
    <n v="4200"/>
    <x v="927"/>
    <s v="Надежда Витамины"/>
    <s v="2026 05"/>
    <n v="1340.0953305785119"/>
    <n v="0.46858041979755616"/>
  </r>
  <r>
    <s v="548633975"/>
    <n v="0"/>
    <s v="iHerb_AV CYG0792"/>
    <s v="Доставлен"/>
    <d v="2026-04-08T00:00:00"/>
    <x v="46"/>
    <s v="Витамины"/>
    <s v="SOR-04802"/>
    <x v="10"/>
    <x v="1807"/>
    <n v="31.08"/>
    <n v="-6.2149999999999999"/>
    <n v="-1.0197732438016531"/>
    <n v="3.6503399017923331E-15"/>
    <n v="1.189070530245486"/>
    <n v="2282.8741446280997"/>
    <n v="3500"/>
    <x v="927"/>
    <s v="Любовь Виталий"/>
    <s v="2026 05"/>
    <n v="1217.1258553719003"/>
    <n v="0.53315503977122702"/>
  </r>
  <r>
    <s v="548633975"/>
    <n v="0"/>
    <s v="iHerb_AV CYG0792"/>
    <s v="Доставлен"/>
    <d v="2026-04-08T00:00:00"/>
    <x v="46"/>
    <s v="Витамины"/>
    <s v="SOR-04802"/>
    <x v="10"/>
    <x v="1807"/>
    <n v="31.08"/>
    <n v="-6.2149999999999999"/>
    <n v="-1.0197732438016531"/>
    <n v="3.6503399017923331E-15"/>
    <n v="1.189070530245486"/>
    <n v="2282.8741446280997"/>
    <n v="3500"/>
    <x v="927"/>
    <s v="Любовь Виталий"/>
    <s v="2026 05"/>
    <n v="1217.1258553719003"/>
    <n v="0.53315503977122702"/>
  </r>
  <r>
    <s v="548633975"/>
    <n v="0"/>
    <s v="iHerb_AV CYG0792"/>
    <s v="Доставлен"/>
    <d v="2026-04-08T00:00:00"/>
    <x v="46"/>
    <s v="Витамины"/>
    <s v="CLF-06419"/>
    <x v="72"/>
    <x v="1797"/>
    <n v="29.77"/>
    <n v="-5.95"/>
    <n v="-0.97691528925619864"/>
    <n v="3.4969272656623117E-15"/>
    <n v="1.1390975278683884"/>
    <n v="2186.9319173553722"/>
    <n v="3400"/>
    <x v="927"/>
    <s v="Надежда Витамины"/>
    <s v="2026 05"/>
    <n v="1213.0680826446278"/>
    <n v="0.55468945924552371"/>
  </r>
  <r>
    <s v="548633975"/>
    <n v="0"/>
    <s v="iHerb_AV CYG0792"/>
    <s v="Доставлен"/>
    <d v="2026-04-08T00:00:00"/>
    <x v="46"/>
    <s v="Витамины"/>
    <s v="LEX-30210"/>
    <x v="7"/>
    <x v="749"/>
    <n v="20.48"/>
    <n v="-4.0999999999999996"/>
    <n v="-0.67178305785123993"/>
    <n v="2.4046880189567034E-15"/>
    <n v="0.78330887936541582"/>
    <n v="1503.8599834710749"/>
    <m/>
    <x v="20"/>
    <m/>
    <s v=""/>
    <n v="-1503.8599834710749"/>
    <s v=""/>
  </r>
  <r>
    <s v="548633975"/>
    <n v="0"/>
    <s v="iHerb_AV CYG0792"/>
    <s v="Доставлен"/>
    <d v="2026-04-08T00:00:00"/>
    <x v="46"/>
    <s v="Витамины"/>
    <s v="LEX-33510"/>
    <x v="7"/>
    <x v="750"/>
    <n v="12.6"/>
    <n v="-2.52"/>
    <n v="-0.41340495867768606"/>
    <n v="1.4798080116656635E-15"/>
    <n v="0.48203623345564051"/>
    <n v="925.45229752066132"/>
    <m/>
    <x v="20"/>
    <m/>
    <s v=""/>
    <n v="-925.45229752066132"/>
    <s v=""/>
  </r>
  <r>
    <s v="548470310"/>
    <n v="0"/>
    <s v="iHerb_OA CZN6870"/>
    <s v="Доставлен"/>
    <d v="2026-04-06T00:00:00"/>
    <x v="46"/>
    <s v="Витамины"/>
    <s v="SOL-01945"/>
    <x v="19"/>
    <x v="1953"/>
    <n v="15.67"/>
    <n v="0"/>
    <n v="-0.77788063524590167"/>
    <n v="0"/>
    <n v="0.73416804225466337"/>
    <n v="1442.515818135246"/>
    <n v="2100"/>
    <x v="927"/>
    <m/>
    <s v="2026 05"/>
    <n v="657.48418186475396"/>
    <n v="0.45578992867800233"/>
  </r>
  <r>
    <s v="548470310"/>
    <n v="0"/>
    <s v="iHerb_OA CZN6870"/>
    <s v="Доставлен"/>
    <d v="2026-04-06T00:00:00"/>
    <x v="46"/>
    <s v="Витамины"/>
    <s v="SOL-01945"/>
    <x v="19"/>
    <x v="1953"/>
    <n v="15.67"/>
    <n v="0"/>
    <n v="-0.77788063524590167"/>
    <n v="0"/>
    <n v="0.73416804225466337"/>
    <n v="1442.515818135246"/>
    <n v="2100"/>
    <x v="927"/>
    <m/>
    <s v="2026 05"/>
    <n v="657.48418186475396"/>
    <n v="0.45578992867800233"/>
  </r>
  <r>
    <s v="548470310"/>
    <n v="0"/>
    <s v="iHerb_OA CZN6870"/>
    <s v="Доставлен"/>
    <d v="2026-04-06T00:00:00"/>
    <x v="46"/>
    <s v="Витамины"/>
    <s v="NOW-00196"/>
    <x v="3"/>
    <x v="1954"/>
    <n v="34.53"/>
    <n v="-6.91"/>
    <n v="-1.3710952868852457"/>
    <n v="0"/>
    <n v="1.2940473086837143"/>
    <n v="2542.5837202868856"/>
    <n v="3900"/>
    <x v="927"/>
    <m/>
    <s v="2026 05"/>
    <n v="1357.4162797131144"/>
    <n v="0.53387279596046255"/>
  </r>
  <r>
    <s v="548470310"/>
    <n v="0"/>
    <s v="iHerb_OA CZN6870"/>
    <s v="Доставлен"/>
    <d v="2026-04-06T00:00:00"/>
    <x v="46"/>
    <s v="Витамины"/>
    <s v="WEH-08917"/>
    <x v="355"/>
    <x v="1955"/>
    <n v="46.54"/>
    <n v="-13.96"/>
    <n v="-1.6173165983606559"/>
    <n v="0"/>
    <n v="1.5264323431178641"/>
    <n v="2999.1809415983607"/>
    <m/>
    <x v="20"/>
    <m/>
    <s v=""/>
    <n v="-2999.1809415983607"/>
    <s v=""/>
  </r>
  <r>
    <s v="548470310"/>
    <n v="0"/>
    <s v="iHerb_OA CZN6870"/>
    <s v="Доставлен"/>
    <d v="2026-04-06T00:00:00"/>
    <x v="46"/>
    <s v="Витамины"/>
    <s v="CLF-06416"/>
    <x v="72"/>
    <x v="1677"/>
    <n v="49.92"/>
    <n v="-9.98"/>
    <n v="-1.9826772540983604"/>
    <n v="0"/>
    <n v="1.8712617490524097"/>
    <n v="3676.7123022540982"/>
    <n v="5300"/>
    <x v="927"/>
    <s v="Любовь Виталий"/>
    <s v="2026 05"/>
    <n v="1623.2876977459018"/>
    <n v="0.44150522649017321"/>
  </r>
  <r>
    <s v="548470310"/>
    <n v="0"/>
    <s v="iHerb_OA CZN6870"/>
    <s v="Доставлен"/>
    <d v="2026-04-06T00:00:00"/>
    <x v="46"/>
    <s v="Витамины"/>
    <s v="NOW-01418"/>
    <x v="3"/>
    <x v="1956"/>
    <n v="30.02"/>
    <n v="-6"/>
    <n v="-1.1923862704918033"/>
    <n v="0"/>
    <n v="1.1253807514331216"/>
    <n v="2211.1825112704919"/>
    <m/>
    <x v="20"/>
    <m/>
    <s v=""/>
    <n v="-2211.1825112704919"/>
    <s v=""/>
  </r>
  <r>
    <s v="548470310"/>
    <n v="0"/>
    <s v="iHerb_OA CZN6870"/>
    <s v="Доставлен"/>
    <d v="2026-04-06T00:00:00"/>
    <x v="46"/>
    <s v="Витамины"/>
    <s v="NOW-02313"/>
    <x v="3"/>
    <x v="1938"/>
    <n v="24.81"/>
    <n v="-4.96"/>
    <n v="-0.9853816598360654"/>
    <n v="0"/>
    <n v="0.93000865595118498"/>
    <n v="1827.3094441598359"/>
    <m/>
    <x v="20"/>
    <m/>
    <s v=""/>
    <n v="-1827.3094441598359"/>
    <s v=""/>
  </r>
  <r>
    <s v="548470310"/>
    <n v="0"/>
    <s v="iHerb_OA CZN6870"/>
    <s v="Доставлен"/>
    <d v="2026-04-06T00:00:00"/>
    <x v="46"/>
    <s v="Витамины"/>
    <s v="NOW-02313"/>
    <x v="3"/>
    <x v="1938"/>
    <n v="24.81"/>
    <n v="-4.96"/>
    <n v="-0.9853816598360654"/>
    <n v="0"/>
    <n v="0.93000865595118498"/>
    <n v="1827.3094441598359"/>
    <m/>
    <x v="20"/>
    <m/>
    <s v=""/>
    <n v="-1827.3094441598359"/>
    <s v=""/>
  </r>
  <r>
    <s v="PVP-000000"/>
    <n v="0"/>
    <s v="NSP_OA"/>
    <s v="Доставлен"/>
    <d v="2026-04-13T00:00:00"/>
    <x v="46"/>
    <s v="Витамины"/>
    <s v="NSP000935"/>
    <x v="131"/>
    <x v="1957"/>
    <n v="2503.38"/>
    <n v="0"/>
    <n v="0"/>
    <n v="-2.9201600725987647E-13"/>
    <n v="8.0268748869738751"/>
    <n v="2511.4068748869736"/>
    <m/>
    <x v="20"/>
    <m/>
    <s v=""/>
    <n v="-2511.4068748869736"/>
    <s v=""/>
  </r>
  <r>
    <s v="PVP-000000"/>
    <n v="0"/>
    <s v="NSP_OA"/>
    <s v="Доставлен"/>
    <d v="2026-04-13T00:00:00"/>
    <x v="46"/>
    <s v="Витамины"/>
    <s v="NSP004059"/>
    <x v="131"/>
    <x v="1958"/>
    <n v="2008.46"/>
    <n v="0"/>
    <n v="0"/>
    <n v="-2.3428423568981596E-13"/>
    <n v="6.439956033639139"/>
    <n v="2014.899956033639"/>
    <m/>
    <x v="20"/>
    <m/>
    <s v=""/>
    <n v="-2014.899956033639"/>
    <s v=""/>
  </r>
  <r>
    <s v="PVP-000000"/>
    <n v="0"/>
    <s v="NSP_OA"/>
    <s v="Доставлен"/>
    <d v="2026-04-13T00:00:00"/>
    <x v="46"/>
    <s v="Витамины"/>
    <s v="NSP001784"/>
    <x v="131"/>
    <x v="1959"/>
    <n v="1790.25"/>
    <n v="0"/>
    <n v="0"/>
    <n v="-2.0883032420047848E-13"/>
    <n v="5.7402842422664477"/>
    <n v="1795.9902842422662"/>
    <m/>
    <x v="20"/>
    <m/>
    <s v=""/>
    <n v="-1795.9902842422662"/>
    <s v=""/>
  </r>
  <r>
    <s v="PVP-000000"/>
    <n v="0"/>
    <s v="NSP_OA"/>
    <s v="Доставлен"/>
    <d v="2026-04-13T00:00:00"/>
    <x v="46"/>
    <s v="Витамины"/>
    <s v="NSP001580"/>
    <x v="131"/>
    <x v="1960"/>
    <n v="2553.13"/>
    <n v="0"/>
    <n v="0"/>
    <n v="-2.9781927977990091E-13"/>
    <n v="8.1863940273468696"/>
    <n v="2561.3163940273466"/>
    <m/>
    <x v="20"/>
    <m/>
    <s v=""/>
    <n v="-2561.3163940273466"/>
    <s v=""/>
  </r>
  <r>
    <s v="PVP-000000"/>
    <n v="0"/>
    <s v="NSP_OA"/>
    <s v="Доставлен"/>
    <d v="2026-04-13T00:00:00"/>
    <x v="46"/>
    <s v="Витамины"/>
    <s v="NSP001609"/>
    <x v="131"/>
    <x v="1961"/>
    <n v="3095.18"/>
    <n v="0"/>
    <n v="0"/>
    <n v="-3.610487042920469E-13"/>
    <n v="9.9244312140641036"/>
    <n v="3105.1044312140634"/>
    <m/>
    <x v="20"/>
    <m/>
    <s v=""/>
    <n v="-3105.1044312140634"/>
    <s v=""/>
  </r>
  <r>
    <s v="PVP-000000"/>
    <n v="0"/>
    <s v="NSP_OA"/>
    <s v="Доставлен"/>
    <d v="2026-04-13T00:00:00"/>
    <x v="46"/>
    <s v="Витамины"/>
    <s v="NSP001750"/>
    <x v="131"/>
    <x v="1032"/>
    <n v="3643.34"/>
    <n v="0"/>
    <n v="0"/>
    <n v="-4.2499085232373762E-13"/>
    <n v="11.682059595709559"/>
    <n v="3655.0220595957094"/>
    <m/>
    <x v="20"/>
    <m/>
    <s v=""/>
    <n v="-3655.0220595957094"/>
    <s v=""/>
  </r>
  <r>
    <s v="WB0209"/>
    <n v="0"/>
    <s v="WBRS"/>
    <s v="Доставлен"/>
    <d v="2026-04-01T00:00:00"/>
    <x v="46"/>
    <s v="Витамины"/>
    <s v="000000196"/>
    <x v="85"/>
    <x v="637"/>
    <n v="3092"/>
    <n v="0"/>
    <n v="0"/>
    <n v="0"/>
    <n v="0"/>
    <n v="3092"/>
    <n v="4200"/>
    <x v="883"/>
    <m/>
    <s v="2026 04"/>
    <n v="1108"/>
    <n v="0.35834411384217335"/>
  </r>
  <r>
    <s v="OZO0242"/>
    <n v="0"/>
    <s v="OZON_OA"/>
    <s v="Доставлен"/>
    <d v="2026-04-13T00:00:00"/>
    <x v="46"/>
    <s v="Витамины"/>
    <s v="892721541"/>
    <x v="162"/>
    <x v="618"/>
    <n v="1042"/>
    <n v="0"/>
    <n v="0"/>
    <n v="0"/>
    <n v="0"/>
    <n v="1042"/>
    <n v="2000"/>
    <x v="883"/>
    <s v="Виктория Бахчиванджи"/>
    <s v="2026 04"/>
    <n v="958"/>
    <n v="0.91938579654510555"/>
  </r>
  <r>
    <s v="OZO0243"/>
    <n v="0"/>
    <s v="OZON_OA"/>
    <s v="Доставлен"/>
    <d v="2026-04-16T00:00:00"/>
    <x v="46"/>
    <s v="Витамины"/>
    <s v="892721541"/>
    <x v="162"/>
    <x v="618"/>
    <n v="882"/>
    <n v="0"/>
    <n v="0"/>
    <n v="0"/>
    <n v="0"/>
    <n v="882"/>
    <n v="2000"/>
    <x v="928"/>
    <s v="Виктория Бахчиванджи"/>
    <s v="2026 05"/>
    <n v="1118"/>
    <n v="1.2675736961451247"/>
  </r>
  <r>
    <s v="OZO0244"/>
    <n v="0"/>
    <s v="OZON_OA"/>
    <s v="Доставлен"/>
    <d v="2026-04-16T00:00:00"/>
    <x v="46"/>
    <s v="Витамины"/>
    <s v="892721541"/>
    <x v="162"/>
    <x v="618"/>
    <n v="882"/>
    <n v="0"/>
    <n v="0"/>
    <n v="0"/>
    <n v="0"/>
    <n v="882"/>
    <n v="2000"/>
    <x v="639"/>
    <s v="Виктория Страховка"/>
    <s v="2026 05"/>
    <n v="1118"/>
    <n v="1.2675736961451247"/>
  </r>
  <r>
    <s v="549048707"/>
    <n v="0"/>
    <s v="iHerb_AV CYG0792"/>
    <s v="В пути"/>
    <d v="2026-04-16T00:00:00"/>
    <x v="46"/>
    <s v="Витамины"/>
    <s v="CLF-07211"/>
    <x v="72"/>
    <x v="1962"/>
    <n v="36.33"/>
    <n v="-3.63"/>
    <n v="-1.5389816575039819"/>
    <n v="0"/>
    <n v="0"/>
    <n v="2727.1141396495909"/>
    <m/>
    <x v="20"/>
    <m/>
    <s v=""/>
    <n v="-2727.1141396495909"/>
    <s v=""/>
  </r>
  <r>
    <s v="549048707"/>
    <n v="0"/>
    <s v="iHerb_AV CYG0792"/>
    <s v="В пути"/>
    <d v="2026-04-16T00:00:00"/>
    <x v="46"/>
    <s v="Витамины"/>
    <s v="DRB-00125"/>
    <x v="6"/>
    <x v="1771"/>
    <n v="18.739999999999998"/>
    <n v="-1.87"/>
    <n v="-0.79396393156245171"/>
    <n v="0"/>
    <n v="0"/>
    <n v="1406.9240225042386"/>
    <m/>
    <x v="20"/>
    <m/>
    <s v=""/>
    <n v="-1406.9240225042386"/>
    <s v=""/>
  </r>
  <r>
    <s v="549048707"/>
    <n v="0"/>
    <s v="iHerb_AV CYG0792"/>
    <s v="В пути"/>
    <d v="2026-04-16T00:00:00"/>
    <x v="46"/>
    <s v="Витамины"/>
    <s v="LEX-19456"/>
    <x v="7"/>
    <x v="558"/>
    <n v="10.47"/>
    <n v="-1.0449999999999999"/>
    <n v="-0.44357498843960341"/>
    <n v="0"/>
    <n v="0"/>
    <n v="786.02601731490518"/>
    <m/>
    <x v="20"/>
    <m/>
    <s v=""/>
    <n v="-786.02601731490518"/>
    <s v=""/>
  </r>
  <r>
    <s v="549048707"/>
    <n v="0"/>
    <s v="iHerb_AV CYG0792"/>
    <s v="В пути"/>
    <d v="2026-04-16T00:00:00"/>
    <x v="46"/>
    <s v="Витамины"/>
    <s v="LEX-19456"/>
    <x v="7"/>
    <x v="558"/>
    <n v="10.47"/>
    <n v="-1.0449999999999999"/>
    <n v="-0.44357498843960341"/>
    <n v="0"/>
    <n v="0"/>
    <n v="786.02601731490518"/>
    <m/>
    <x v="20"/>
    <m/>
    <s v=""/>
    <n v="-786.02601731490518"/>
    <s v=""/>
  </r>
  <r>
    <s v="549048707"/>
    <n v="0"/>
    <s v="iHerb_AV CYG0792"/>
    <s v="В пути"/>
    <d v="2026-04-16T00:00:00"/>
    <x v="46"/>
    <s v="Витамины"/>
    <s v="CGN-01429"/>
    <x v="1"/>
    <x v="1963"/>
    <n v="45.6"/>
    <n v="-4.5599999999999996"/>
    <n v="-1.9314925756563737"/>
    <n v="0"/>
    <n v="0"/>
    <n v="3422.6533422391203"/>
    <m/>
    <x v="20"/>
    <m/>
    <s v=""/>
    <n v="-3422.6533422391203"/>
    <s v=""/>
  </r>
  <r>
    <s v="549048707"/>
    <n v="0"/>
    <s v="iHerb_AV CYG0792"/>
    <s v="В пути"/>
    <d v="2026-04-16T00:00:00"/>
    <x v="46"/>
    <s v="Витамины"/>
    <s v="NCS-57165"/>
    <x v="217"/>
    <x v="1964"/>
    <n v="35.869999999999997"/>
    <n v="-3.59"/>
    <n v="-1.5192149206186096"/>
    <n v="0"/>
    <n v="0"/>
    <n v="2692.0869855623491"/>
    <m/>
    <x v="20"/>
    <m/>
    <s v=""/>
    <n v="-2692.0869855623491"/>
    <s v=""/>
  </r>
  <r>
    <s v="549048707"/>
    <n v="0"/>
    <s v="iHerb_AV CYG0792"/>
    <s v="В пути"/>
    <d v="2026-04-16T00:00:00"/>
    <x v="46"/>
    <s v="Витамины"/>
    <s v="NCS-57259"/>
    <x v="217"/>
    <x v="1965"/>
    <n v="47.72"/>
    <n v="-4.7699999999999996"/>
    <n v="-2.0213841648255668"/>
    <n v="0"/>
    <n v="0"/>
    <n v="3581.9434953501514"/>
    <m/>
    <x v="20"/>
    <m/>
    <s v=""/>
    <n v="-3581.9434953501514"/>
    <s v=""/>
  </r>
  <r>
    <s v="549048707"/>
    <n v="0"/>
    <s v="iHerb_AV CYG0792"/>
    <s v="В пути"/>
    <d v="2026-04-16T00:00:00"/>
    <x v="46"/>
    <s v="Витамины"/>
    <s v="NOW-00376"/>
    <x v="3"/>
    <x v="766"/>
    <n v="11.04"/>
    <n v="-1.1000000000000001"/>
    <n v="-0.4678127729538098"/>
    <n v="0"/>
    <n v="0"/>
    <n v="828.97598006473811"/>
    <m/>
    <x v="20"/>
    <m/>
    <s v=""/>
    <n v="-828.97598006473811"/>
    <s v=""/>
  </r>
  <r>
    <s v="549585146"/>
    <n v="0"/>
    <s v="iHerb_VP DFD1605"/>
    <s v="В пути"/>
    <d v="2026-04-26T00:00:00"/>
    <x v="46"/>
    <s v="Витамины"/>
    <s v="NOW-02372"/>
    <x v="3"/>
    <x v="1966"/>
    <n v="20.96"/>
    <n v="-2.1"/>
    <n v="-1.8956944373759477"/>
    <n v="-2.7280443781231588E-15"/>
    <n v="0"/>
    <n v="1469.5749625935159"/>
    <m/>
    <x v="20"/>
    <m/>
    <s v=""/>
    <n v="-1469.5749625935159"/>
    <s v=""/>
  </r>
  <r>
    <s v="549585146"/>
    <n v="0"/>
    <s v="iHerb_VP DFD1605"/>
    <s v="В пути"/>
    <d v="2026-04-26T00:00:00"/>
    <x v="46"/>
    <s v="Витамины"/>
    <s v="LKN-01550"/>
    <x v="1"/>
    <x v="1967"/>
    <n v="11.75"/>
    <n v="-1.18"/>
    <n v="-1.0624332027075167"/>
    <n v="-1.5289198874210916E-15"/>
    <n v="0"/>
    <n v="823.6165087281795"/>
    <m/>
    <x v="20"/>
    <m/>
    <s v=""/>
    <n v="-823.6165087281795"/>
    <s v=""/>
  </r>
  <r>
    <s v="549585146"/>
    <n v="0"/>
    <s v="iHerb_VP DFD1605"/>
    <s v="В пути"/>
    <d v="2026-04-26T00:00:00"/>
    <x v="46"/>
    <s v="Витамины"/>
    <s v="NFS-35493"/>
    <x v="23"/>
    <x v="1383"/>
    <n v="49.9"/>
    <n v="-4.99"/>
    <n v="-4.5140846862435735"/>
    <n v="-6.4961014327418373E-15"/>
    <n v="0"/>
    <n v="3499.3961596009972"/>
    <m/>
    <x v="20"/>
    <m/>
    <s v=""/>
    <n v="-3499.3961596009972"/>
    <s v=""/>
  </r>
  <r>
    <s v="549585146"/>
    <n v="0"/>
    <s v="iHerb_VP DFD1605"/>
    <s v="В пути"/>
    <d v="2026-04-26T00:00:00"/>
    <x v="46"/>
    <s v="Витамины"/>
    <s v="LEX-33510"/>
    <x v="7"/>
    <x v="750"/>
    <n v="12.6"/>
    <n v="-1.26"/>
    <n v="-1.1398289989312431"/>
    <n v="-1.6402981573656745E-15"/>
    <n v="0"/>
    <n v="883.61506234413957"/>
    <m/>
    <x v="20"/>
    <m/>
    <s v=""/>
    <n v="-883.61506234413957"/>
    <s v=""/>
  </r>
  <r>
    <s v="549585146"/>
    <n v="0"/>
    <s v="iHerb_VP DFD1605"/>
    <s v="В пути"/>
    <d v="2026-04-26T00:00:00"/>
    <x v="46"/>
    <s v="Витамины"/>
    <s v="LEX-30210"/>
    <x v="7"/>
    <x v="749"/>
    <n v="20.48"/>
    <n v="-2.0499999999999998"/>
    <n v="-1.8524734083159444"/>
    <n v="-2.6658461234787812E-15"/>
    <n v="0"/>
    <n v="1436.0692768079798"/>
    <m/>
    <x v="20"/>
    <m/>
    <s v=""/>
    <n v="-1436.0692768079798"/>
    <s v=""/>
  </r>
  <r>
    <s v="549585146"/>
    <n v="0"/>
    <s v="iHerb_VP DFD1605"/>
    <s v="В пути"/>
    <d v="2026-04-26T00:00:00"/>
    <x v="46"/>
    <s v="Витамины"/>
    <s v="JRW-18018"/>
    <x v="21"/>
    <x v="1940"/>
    <n v="22.1"/>
    <n v="-2.21"/>
    <n v="-1.9992238790778152"/>
    <n v="-2.8770308950620167E-15"/>
    <n v="0"/>
    <n v="1549.8327680798004"/>
    <m/>
    <x v="20"/>
    <m/>
    <s v=""/>
    <n v="-1549.8327680798004"/>
    <s v=""/>
  </r>
  <r>
    <s v="549585146"/>
    <n v="0"/>
    <s v="iHerb_VP DFD1605"/>
    <s v="В пути"/>
    <d v="2026-04-26T00:00:00"/>
    <x v="46"/>
    <s v="Витамины"/>
    <s v="SOR-68520"/>
    <x v="10"/>
    <x v="1658"/>
    <n v="20.3"/>
    <n v="-2.0299999999999998"/>
    <n v="-1.8363911649447804"/>
    <n v="-2.6427025868669199E-15"/>
    <n v="0"/>
    <n v="1423.6020448877803"/>
    <m/>
    <x v="20"/>
    <m/>
    <s v=""/>
    <n v="-1423.6020448877803"/>
    <s v=""/>
  </r>
  <r>
    <s v="549585146"/>
    <n v="0"/>
    <s v="iHerb_VP DFD1605"/>
    <s v="В пути"/>
    <d v="2026-04-26T00:00:00"/>
    <x v="46"/>
    <s v="Витамины"/>
    <s v="SOR-68520"/>
    <x v="10"/>
    <x v="1658"/>
    <n v="20.3"/>
    <n v="-2.0299999999999998"/>
    <n v="-1.8363911649447804"/>
    <n v="-2.6427025868669199E-15"/>
    <n v="0"/>
    <n v="1423.6020448877803"/>
    <m/>
    <x v="20"/>
    <m/>
    <s v=""/>
    <n v="-1423.6020448877803"/>
    <s v=""/>
  </r>
  <r>
    <s v="549585146"/>
    <n v="0"/>
    <s v="iHerb_VP DFD1605"/>
    <s v="В пути"/>
    <d v="2026-04-26T00:00:00"/>
    <x v="46"/>
    <s v="Витамины"/>
    <s v="SOR-68520"/>
    <x v="10"/>
    <x v="1658"/>
    <n v="20.3"/>
    <n v="-2.0299999999999998"/>
    <n v="-1.8363911649447804"/>
    <n v="-2.6427025868669199E-15"/>
    <n v="0"/>
    <n v="1423.6020448877803"/>
    <m/>
    <x v="20"/>
    <m/>
    <s v=""/>
    <n v="-1423.6020448877803"/>
    <s v=""/>
  </r>
  <r>
    <s v="549585146"/>
    <n v="0"/>
    <s v="iHerb_VP DFD1605"/>
    <s v="В пути"/>
    <d v="2026-04-26T00:00:00"/>
    <x v="46"/>
    <s v="Витамины"/>
    <s v="LKN-01450"/>
    <x v="1"/>
    <x v="1968"/>
    <n v="17.68"/>
    <n v="-7.49"/>
    <n v="-1.0242378747010024"/>
    <n v="-1.4739539879679208E-15"/>
    <n v="0"/>
    <n v="794.00683291770565"/>
    <m/>
    <x v="20"/>
    <m/>
    <s v=""/>
    <n v="-794.00683291770565"/>
    <s v=""/>
  </r>
  <r>
    <s v="549585146"/>
    <n v="0"/>
    <s v="iHerb_VP DFD1605"/>
    <s v="В пути"/>
    <d v="2026-04-26T00:00:00"/>
    <x v="46"/>
    <s v="Витамины"/>
    <s v="CGN-01291"/>
    <x v="1"/>
    <x v="1969"/>
    <n v="13"/>
    <n v="-5.51"/>
    <n v="-0.75285001781261118"/>
    <n v="-1.0834068076427603E-15"/>
    <n v="0"/>
    <n v="583.62229426433908"/>
    <m/>
    <x v="20"/>
    <m/>
    <s v=""/>
    <n v="-583.62229426433908"/>
    <s v=""/>
  </r>
  <r>
    <s v="549419585"/>
    <n v="0"/>
    <s v="iHerb_MH DLE7202"/>
    <s v="В пути"/>
    <d v="2026-04-23T00:00:00"/>
    <x v="46"/>
    <s v="Витамины"/>
    <s v="SOL-02028"/>
    <x v="19"/>
    <x v="1970"/>
    <n v="35.130000000000003"/>
    <n v="0"/>
    <n v="-3.4613274567076986"/>
    <n v="-5.2078794715736109E-15"/>
    <n v="0"/>
    <n v="2742.402964218652"/>
    <m/>
    <x v="20"/>
    <m/>
    <s v=""/>
    <n v="-2742.402964218652"/>
    <s v=""/>
  </r>
  <r>
    <s v="549419585"/>
    <n v="0"/>
    <s v="iHerb_MH DLE7202"/>
    <s v="В пути"/>
    <d v="2026-04-23T00:00:00"/>
    <x v="46"/>
    <s v="Витамины"/>
    <s v="SOL-02058"/>
    <x v="19"/>
    <x v="1971"/>
    <n v="38.99"/>
    <n v="0"/>
    <n v="-3.8416498017942828"/>
    <n v="-5.7801087559537456E-15"/>
    <n v="0"/>
    <n v="3043.7316132902142"/>
    <m/>
    <x v="20"/>
    <m/>
    <s v=""/>
    <n v="-3043.7316132902142"/>
    <s v=""/>
  </r>
  <r>
    <s v="549419585"/>
    <n v="0"/>
    <s v="iHerb_MH DLE7202"/>
    <s v="В пути"/>
    <d v="2026-04-23T00:00:00"/>
    <x v="46"/>
    <s v="Витамины"/>
    <s v="QNL-00177"/>
    <x v="336"/>
    <x v="1901"/>
    <n v="57.92"/>
    <n v="-5.79"/>
    <n v="-5.136322240767786"/>
    <n v="-7.7280602577037391E-15"/>
    <n v="0"/>
    <n v="4069.4980508032536"/>
    <m/>
    <x v="20"/>
    <m/>
    <s v=""/>
    <n v="-4069.4980508032536"/>
    <s v=""/>
  </r>
  <r>
    <s v="549419585"/>
    <n v="0"/>
    <s v="iHerb_MH DLE7202"/>
    <s v="В пути"/>
    <d v="2026-04-23T00:00:00"/>
    <x v="46"/>
    <s v="Витамины"/>
    <s v="NCS-67130"/>
    <x v="217"/>
    <x v="1972"/>
    <n v="72.739999999999995"/>
    <n v="-7.27"/>
    <n v="-6.4507005007302309"/>
    <n v="-9.7056609451729087E-15"/>
    <n v="0"/>
    <n v="5110.8773716878768"/>
    <m/>
    <x v="20"/>
    <m/>
    <s v=""/>
    <n v="-5110.8773716878768"/>
    <s v=""/>
  </r>
  <r>
    <s v="549915801"/>
    <n v="0"/>
    <s v="iHerb_MH DLE7202"/>
    <s v="В пути"/>
    <d v="2026-04-30T00:00:00"/>
    <x v="46"/>
    <s v="Витамины"/>
    <s v="DRB-00087"/>
    <x v="6"/>
    <x v="1891"/>
    <n v="25.93"/>
    <n v="-2.59"/>
    <n v="-1.1900505282498852"/>
    <n v="0"/>
    <n v="0"/>
    <n v="1908.3883754402084"/>
    <m/>
    <x v="20"/>
    <m/>
    <s v=""/>
    <n v="-1908.3883754402084"/>
    <s v=""/>
  </r>
  <r>
    <s v="549915801"/>
    <n v="0"/>
    <s v="iHerb_MH DLE7202"/>
    <s v="В пути"/>
    <d v="2026-04-30T00:00:00"/>
    <x v="46"/>
    <s v="Косметика"/>
    <s v="TSS-23530"/>
    <x v="356"/>
    <x v="1973"/>
    <n v="38.44"/>
    <n v="-3.84"/>
    <n v="-1.7641708773541567"/>
    <n v="0"/>
    <n v="0"/>
    <n v="2829.0590312866839"/>
    <m/>
    <x v="20"/>
    <m/>
    <s v=""/>
    <n v="-2829.0590312866839"/>
    <s v=""/>
  </r>
  <r>
    <s v="549915801"/>
    <n v="0"/>
    <s v="iHerb_MH DLE7202"/>
    <s v="В пути"/>
    <d v="2026-04-30T00:00:00"/>
    <x v="46"/>
    <s v="Косметика"/>
    <s v="AUU-73143"/>
    <x v="304"/>
    <x v="1549"/>
    <n v="22.93"/>
    <n v="-13.96"/>
    <n v="-0.45735875057418462"/>
    <n v="0"/>
    <n v="0"/>
    <n v="733.42946562547843"/>
    <m/>
    <x v="20"/>
    <m/>
    <s v=""/>
    <n v="-733.42946562547843"/>
    <s v=""/>
  </r>
  <r>
    <s v="549915801"/>
    <n v="0"/>
    <s v="iHerb_MH DLE7202"/>
    <s v="В пути"/>
    <d v="2026-04-30T00:00:00"/>
    <x v="46"/>
    <s v="Витамины"/>
    <s v="NWY-11750"/>
    <x v="16"/>
    <x v="98"/>
    <n v="10.24"/>
    <n v="-1.02"/>
    <n v="-0.47010564997703264"/>
    <n v="0"/>
    <n v="0"/>
    <n v="753.87064359720318"/>
    <m/>
    <x v="20"/>
    <m/>
    <s v=""/>
    <n v="-753.87064359720318"/>
    <s v=""/>
  </r>
  <r>
    <s v="549915801"/>
    <n v="0"/>
    <s v="iHerb_MH DLE7202"/>
    <s v="В пути"/>
    <d v="2026-04-30T00:00:00"/>
    <x v="46"/>
    <s v="Витамины"/>
    <s v="NOW-00475"/>
    <x v="3"/>
    <x v="1974"/>
    <n v="11.37"/>
    <n v="-1.135"/>
    <n v="-0.52185806155259529"/>
    <n v="0"/>
    <n v="0"/>
    <n v="836.8618261624049"/>
    <m/>
    <x v="20"/>
    <m/>
    <s v=""/>
    <n v="-836.8618261624049"/>
    <s v=""/>
  </r>
  <r>
    <s v="549915801"/>
    <n v="0"/>
    <s v="iHerb_MH DLE7202"/>
    <s v="В пути"/>
    <d v="2026-04-30T00:00:00"/>
    <x v="46"/>
    <s v="Витамины"/>
    <s v="NOW-00475"/>
    <x v="3"/>
    <x v="1974"/>
    <n v="11.37"/>
    <n v="-1.135"/>
    <n v="-0.52185806155259529"/>
    <n v="0"/>
    <n v="0"/>
    <n v="836.8618261624049"/>
    <m/>
    <x v="20"/>
    <m/>
    <s v=""/>
    <n v="-836.8618261624049"/>
    <s v=""/>
  </r>
  <r>
    <s v="549915801"/>
    <n v="0"/>
    <s v="iHerb_MH DLE7202"/>
    <s v="В пути"/>
    <d v="2026-04-30T00:00:00"/>
    <x v="46"/>
    <s v="Витамины"/>
    <s v="CAL-74810"/>
    <x v="138"/>
    <x v="1027"/>
    <n v="16.59"/>
    <n v="-1.66"/>
    <n v="-0.76124483233807994"/>
    <n v="0"/>
    <n v="0"/>
    <n v="1220.7471484713928"/>
    <m/>
    <x v="20"/>
    <m/>
    <s v=""/>
    <n v="-1220.7471484713928"/>
    <s v=""/>
  </r>
  <r>
    <s v="549915801"/>
    <n v="0"/>
    <s v="iHerb_MH DLE7202"/>
    <s v="В пути"/>
    <d v="2026-04-30T00:00:00"/>
    <x v="46"/>
    <s v="Витамины"/>
    <s v="CAL-86331"/>
    <x v="138"/>
    <x v="1975"/>
    <n v="11.28"/>
    <n v="-1.1299999999999999"/>
    <n v="-0.51752411575562696"/>
    <n v="0"/>
    <n v="0"/>
    <n v="829.91182565201848"/>
    <m/>
    <x v="20"/>
    <m/>
    <s v=""/>
    <n v="-829.91182565201848"/>
    <s v=""/>
  </r>
  <r>
    <s v="549915801"/>
    <n v="0"/>
    <s v="iHerb_MH DLE7202"/>
    <s v="В пути"/>
    <d v="2026-04-30T00:00:00"/>
    <x v="46"/>
    <s v="Витамины"/>
    <s v="NFS-26841"/>
    <x v="23"/>
    <x v="1976"/>
    <n v="62.05"/>
    <n v="-6.21"/>
    <n v="-2.8471474506201191"/>
    <n v="0"/>
    <n v="0"/>
    <n v="4565.7415117644059"/>
    <m/>
    <x v="20"/>
    <m/>
    <s v=""/>
    <n v="-4565.7415117644059"/>
    <s v=""/>
  </r>
  <r>
    <s v="549915801"/>
    <n v="0"/>
    <s v="iHerb_MH DLE7202"/>
    <s v="В пути"/>
    <d v="2026-04-30T00:00:00"/>
    <x v="46"/>
    <s v="Витамины"/>
    <s v="NFS-03544"/>
    <x v="23"/>
    <x v="1830"/>
    <n v="20.46"/>
    <n v="-2.0499999999999998"/>
    <n v="-0.93868167202572339"/>
    <n v="0"/>
    <n v="0"/>
    <n v="1505.2883458377994"/>
    <m/>
    <x v="20"/>
    <m/>
    <s v=""/>
    <n v="-1505.2883458377994"/>
    <s v=""/>
  </r>
  <r>
    <s v="549485424"/>
    <n v="0"/>
    <s v="iHerb_OA CZN6870"/>
    <s v="В пути"/>
    <d v="2026-04-24T00:00:00"/>
    <x v="46"/>
    <s v="Витамины"/>
    <s v="SNS-00803"/>
    <x v="151"/>
    <x v="1888"/>
    <n v="19.07"/>
    <n v="-1.905"/>
    <n v="-1.6906964620134639"/>
    <n v="7.4078854437346495E-15"/>
    <n v="0"/>
    <n v="1340.0819843599741"/>
    <m/>
    <x v="20"/>
    <m/>
    <s v=""/>
    <n v="-1340.0819843599741"/>
    <s v=""/>
  </r>
  <r>
    <s v="549485424"/>
    <n v="0"/>
    <s v="iHerb_OA CZN6870"/>
    <s v="В пути"/>
    <d v="2026-04-24T00:00:00"/>
    <x v="46"/>
    <s v="Витамины"/>
    <s v="SNS-00803"/>
    <x v="151"/>
    <x v="1888"/>
    <n v="19.07"/>
    <n v="-1.905"/>
    <n v="-1.6906964620134639"/>
    <n v="7.4078854437346495E-15"/>
    <n v="0"/>
    <n v="1340.0819843599741"/>
    <m/>
    <x v="20"/>
    <m/>
    <s v=""/>
    <n v="-1340.0819843599741"/>
    <s v=""/>
  </r>
  <r>
    <s v="549485424"/>
    <n v="0"/>
    <s v="iHerb_OA CZN6870"/>
    <s v="В пути"/>
    <d v="2026-04-24T00:00:00"/>
    <x v="46"/>
    <s v="Витамины"/>
    <s v="NOW-00475"/>
    <x v="3"/>
    <x v="1974"/>
    <n v="11.37"/>
    <n v="-1.1399999999999999"/>
    <n v="-1.0076216024700109"/>
    <n v="4.414952990935361E-15"/>
    <n v="0"/>
    <n v="798.6623186718632"/>
    <m/>
    <x v="20"/>
    <m/>
    <s v=""/>
    <n v="-798.6623186718632"/>
    <s v=""/>
  </r>
  <r>
    <s v="549485424"/>
    <n v="0"/>
    <s v="iHerb_OA CZN6870"/>
    <s v="В пути"/>
    <d v="2026-04-24T00:00:00"/>
    <x v="46"/>
    <s v="Витамины"/>
    <s v="NOW-00076"/>
    <x v="3"/>
    <x v="434"/>
    <n v="22.75"/>
    <n v="-2.2799999999999998"/>
    <n v="-2.0162281722933653"/>
    <n v="8.8342216739439723E-15"/>
    <n v="0"/>
    <n v="1598.1053434225844"/>
    <m/>
    <x v="20"/>
    <m/>
    <s v=""/>
    <n v="-1598.1053434225844"/>
    <s v=""/>
  </r>
  <r>
    <s v="549485424"/>
    <n v="0"/>
    <s v="iHerb_OA CZN6870"/>
    <s v="В пути"/>
    <d v="2026-04-24T00:00:00"/>
    <x v="46"/>
    <s v="Витамины"/>
    <s v="CAR-01545"/>
    <x v="154"/>
    <x v="1360"/>
    <n v="64.14"/>
    <n v="-6.41"/>
    <n v="-5.686216530849828"/>
    <n v="2.4914490338875697E-14"/>
    <n v="0"/>
    <n v="4507.016193247965"/>
    <m/>
    <x v="20"/>
    <m/>
    <s v=""/>
    <n v="-4507.016193247965"/>
    <s v=""/>
  </r>
  <r>
    <s v="549485424"/>
    <n v="0"/>
    <s v="iHerb_OA CZN6870"/>
    <s v="В пути"/>
    <d v="2026-04-24T00:00:00"/>
    <x v="46"/>
    <s v="Витамины"/>
    <s v="CGN-01033"/>
    <x v="1"/>
    <x v="1924"/>
    <n v="20.25"/>
    <n v="-6.0750000000000002"/>
    <n v="-1.3961912233638716"/>
    <n v="6.1174935138327226E-15"/>
    <n v="0"/>
    <n v="1106.6508667813941"/>
    <m/>
    <x v="20"/>
    <m/>
    <s v=""/>
    <n v="-1106.6508667813941"/>
    <s v=""/>
  </r>
  <r>
    <s v="549485424"/>
    <n v="0"/>
    <s v="iHerb_OA CZN6870"/>
    <s v="В пути"/>
    <d v="2026-04-24T00:00:00"/>
    <x v="46"/>
    <s v="Витамины"/>
    <s v="CGN-01033"/>
    <x v="1"/>
    <x v="1924"/>
    <n v="20.25"/>
    <n v="-6.0750000000000002"/>
    <n v="-1.3961912233638716"/>
    <n v="6.1174935138327226E-15"/>
    <n v="0"/>
    <n v="1106.6508667813941"/>
    <m/>
    <x v="20"/>
    <m/>
    <s v=""/>
    <n v="-1106.6508667813941"/>
    <s v=""/>
  </r>
  <r>
    <s v="549485424"/>
    <n v="0"/>
    <s v="iHerb_OA CZN6870"/>
    <s v="В пути"/>
    <d v="2026-04-24T00:00:00"/>
    <x v="46"/>
    <s v="Витамины"/>
    <s v="CGN-01033"/>
    <x v="1"/>
    <x v="1924"/>
    <n v="20.25"/>
    <n v="-6.0750000000000002"/>
    <n v="-1.3961912233638716"/>
    <n v="6.1174935138327226E-15"/>
    <n v="0"/>
    <n v="1106.6508667813941"/>
    <m/>
    <x v="20"/>
    <m/>
    <s v=""/>
    <n v="-1106.6508667813941"/>
    <s v=""/>
  </r>
  <r>
    <s v="549485424"/>
    <n v="0"/>
    <s v="iHerb_OA CZN6870"/>
    <s v="В пути"/>
    <d v="2026-04-24T00:00:00"/>
    <x v="46"/>
    <s v="Витамины"/>
    <s v="CGN-01033"/>
    <x v="1"/>
    <x v="1924"/>
    <n v="20.25"/>
    <n v="-6.0750000000000002"/>
    <n v="-1.3961912233638716"/>
    <n v="6.1174935138327226E-15"/>
    <n v="0"/>
    <n v="1106.6508667813941"/>
    <m/>
    <x v="20"/>
    <m/>
    <s v=""/>
    <n v="-1106.6508667813941"/>
    <s v=""/>
  </r>
  <r>
    <s v="549485424"/>
    <n v="0"/>
    <s v="iHerb_OA CZN6870"/>
    <s v="В пути"/>
    <d v="2026-04-24T00:00:00"/>
    <x v="46"/>
    <s v="Витамины"/>
    <s v="NOW-00105"/>
    <x v="3"/>
    <x v="485"/>
    <n v="12.89"/>
    <n v="-1.29"/>
    <n v="-1.1425621298780184"/>
    <n v="5.0062028049706933E-15"/>
    <n v="0"/>
    <n v="905.61905147542677"/>
    <m/>
    <x v="20"/>
    <m/>
    <s v=""/>
    <n v="-905.61905147542677"/>
    <s v=""/>
  </r>
  <r>
    <s v="549485424"/>
    <n v="0"/>
    <s v="iHerb_OA CZN6870"/>
    <s v="В пути"/>
    <d v="2026-04-24T00:00:00"/>
    <x v="46"/>
    <s v="Косметика"/>
    <s v="LAG-35723"/>
    <x v="352"/>
    <x v="1977"/>
    <n v="6.51"/>
    <n v="-3.26"/>
    <n v="-0.32011438983651375"/>
    <n v="1.4025999238064441E-15"/>
    <n v="0"/>
    <n v="253.72947562889112"/>
    <m/>
    <x v="20"/>
    <m/>
    <s v=""/>
    <n v="-253.72947562889112"/>
    <s v=""/>
  </r>
  <r>
    <s v="549485424"/>
    <n v="0"/>
    <s v="iHerb_OA CZN6870"/>
    <s v="В пути"/>
    <d v="2026-04-24T00:00:00"/>
    <x v="46"/>
    <s v="Косметика"/>
    <s v="LAG-35722"/>
    <x v="352"/>
    <x v="1978"/>
    <n v="6.51"/>
    <n v="-3.25"/>
    <n v="-0.32109935718985688"/>
    <n v="1.4069156158796947E-15"/>
    <n v="0"/>
    <n v="254.51018170774918"/>
    <m/>
    <x v="20"/>
    <m/>
    <s v=""/>
    <n v="-254.51018170774918"/>
    <s v=""/>
  </r>
  <r>
    <s v="OZO0248"/>
    <n v="0"/>
    <s v="OZON_OA"/>
    <s v="Доставлен"/>
    <d v="2026-04-29T00:00:00"/>
    <x v="46"/>
    <s v="Витамины"/>
    <s v="NOW-00475"/>
    <x v="3"/>
    <x v="1974"/>
    <n v="972"/>
    <n v="0"/>
    <n v="0"/>
    <n v="0"/>
    <n v="0"/>
    <n v="972"/>
    <m/>
    <x v="20"/>
    <m/>
    <s v=""/>
    <n v="-972"/>
    <s v=""/>
  </r>
  <r>
    <s v="OZO0251"/>
    <n v="0"/>
    <s v="OZON_OA"/>
    <s v="Доставлен"/>
    <d v="2026-05-01T00:00:00"/>
    <x v="47"/>
    <s v="Витамины"/>
    <s v="892721541"/>
    <x v="162"/>
    <x v="618"/>
    <n v="1028"/>
    <n v="0"/>
    <n v="0"/>
    <n v="0"/>
    <n v="0"/>
    <n v="1028"/>
    <m/>
    <x v="20"/>
    <m/>
    <s v=""/>
    <n v="-1028"/>
    <s v=""/>
  </r>
  <r>
    <s v="OZO0250"/>
    <n v="0"/>
    <s v="OZON_OA"/>
    <s v="Доставлен"/>
    <d v="2026-05-01T00:00:00"/>
    <x v="47"/>
    <s v="Витамины"/>
    <s v="892721541"/>
    <x v="162"/>
    <x v="618"/>
    <n v="1028"/>
    <n v="0"/>
    <n v="0"/>
    <n v="0"/>
    <n v="0"/>
    <n v="1028"/>
    <m/>
    <x v="20"/>
    <m/>
    <s v=""/>
    <n v="-1028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  <r>
    <m/>
    <s v=""/>
    <s v=""/>
    <s v=""/>
    <s v=""/>
    <x v="48"/>
    <m/>
    <m/>
    <x v="0"/>
    <x v="0"/>
    <m/>
    <m/>
    <n v="0"/>
    <n v="0"/>
    <n v="0"/>
    <n v="0"/>
    <m/>
    <x v="20"/>
    <m/>
    <s v="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60D54-9B2A-46A2-878D-FE473889D8EF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8">
  <location ref="A10:B58" firstHeaderRow="1" firstDataRow="1" firstDataCol="1"/>
  <pivotFields count="22">
    <pivotField showAll="0"/>
    <pivotField showAll="0"/>
    <pivotField showAll="0"/>
    <pivotField showAll="0"/>
    <pivotField showAll="0"/>
    <pivotField axis="axisRow" showAll="0" sortType="ascending">
      <items count="125">
        <item h="1" x="48"/>
        <item m="1" x="76"/>
        <item m="1" x="77"/>
        <item m="1" x="78"/>
        <item m="1" x="79"/>
        <item m="1" x="60"/>
        <item m="1" x="61"/>
        <item m="1" x="63"/>
        <item m="1" x="121"/>
        <item m="1" x="122"/>
        <item m="1" x="123"/>
        <item m="1" x="106"/>
        <item m="1" x="107"/>
        <item m="1" x="109"/>
        <item m="1" x="100"/>
        <item m="1" x="101"/>
        <item m="1" x="103"/>
        <item m="1" x="91"/>
        <item m="1" x="92"/>
        <item m="1" x="93"/>
        <item m="1" x="82"/>
        <item m="1" x="84"/>
        <item m="1" x="85"/>
        <item m="1" x="87"/>
        <item m="1" x="71"/>
        <item m="1" x="72"/>
        <item m="1" x="74"/>
        <item m="1" x="75"/>
        <item m="1" x="53"/>
        <item m="1" x="55"/>
        <item m="1" x="56"/>
        <item m="1" x="58"/>
        <item m="1" x="90"/>
        <item m="1" x="64"/>
        <item m="1" x="110"/>
        <item m="1" x="94"/>
        <item m="1" x="65"/>
        <item m="1" x="66"/>
        <item m="1" x="67"/>
        <item m="1" x="69"/>
        <item m="1" x="49"/>
        <item m="1" x="50"/>
        <item m="1" x="51"/>
        <item m="1" x="52"/>
        <item m="1" x="111"/>
        <item m="1" x="112"/>
        <item m="1" x="113"/>
        <item m="1" x="115"/>
        <item m="1" x="117"/>
        <item m="1" x="70"/>
        <item m="1" x="116"/>
        <item m="1" x="9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19"/>
        <item m="1" x="98"/>
        <item m="1" x="81"/>
        <item m="1" x="102"/>
        <item m="1" x="86"/>
        <item m="1" x="57"/>
        <item m="1" x="89"/>
        <item m="1" x="62"/>
        <item m="1" x="108"/>
        <item m="1" x="68"/>
        <item m="1" x="114"/>
        <item m="1" x="95"/>
        <item m="1" x="73"/>
        <item m="1" x="118"/>
        <item m="1" x="97"/>
        <item m="1" x="80"/>
        <item m="1" x="120"/>
        <item m="1" x="99"/>
        <item m="1" x="83"/>
        <item m="1" x="54"/>
        <item m="1" x="104"/>
        <item m="1" x="88"/>
        <item m="1" x="59"/>
        <item m="1" x="10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numFmtId="164" showAll="0"/>
    <pivotField showAll="0"/>
  </pivotFields>
  <rowFields count="1">
    <field x="5"/>
  </rowFields>
  <rowItems count="48"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Итого затрат RUB" fld="15" baseField="4" baseItem="0" numFmtId="4"/>
  </dataFields>
  <formats count="1">
    <format dxfId="106">
      <pivotArea outline="0" collapsedLevelsAreSubtotals="1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68908-CD8F-47E6-A633-923E9C328F4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B85" firstHeaderRow="1" firstDataRow="1" firstDataCol="1" rowPageCount="2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59">
        <item h="1" x="87"/>
        <item h="1" x="2"/>
        <item h="1" x="215"/>
        <item h="1" x="61"/>
        <item h="1" x="145"/>
        <item h="1" x="341"/>
        <item h="1" x="269"/>
        <item h="1" x="300"/>
        <item h="1" x="105"/>
        <item h="1" x="280"/>
        <item h="1" x="219"/>
        <item h="1" x="22"/>
        <item h="1" x="155"/>
        <item h="1" x="331"/>
        <item h="1" x="160"/>
        <item h="1" x="137"/>
        <item h="1" x="304"/>
        <item h="1" x="124"/>
        <item h="1" x="29"/>
        <item h="1" x="298"/>
        <item h="1" x="165"/>
        <item h="1" x="185"/>
        <item h="1" x="38"/>
        <item h="1" x="120"/>
        <item h="1" x="260"/>
        <item h="1" x="106"/>
        <item h="1" x="109"/>
        <item h="1" x="127"/>
        <item h="1" x="97"/>
        <item h="1" x="99"/>
        <item h="1" x="248"/>
        <item h="1" x="289"/>
        <item h="1" x="163"/>
        <item h="1" x="39"/>
        <item h="1" x="58"/>
        <item h="1" x="281"/>
        <item h="1" x="173"/>
        <item h="1" x="168"/>
        <item h="1" x="166"/>
        <item h="1" x="183"/>
        <item h="1" x="43"/>
        <item h="1" x="167"/>
        <item h="1" x="62"/>
        <item h="1" x="186"/>
        <item h="1" x="126"/>
        <item h="1" x="26"/>
        <item h="1" x="264"/>
        <item h="1" x="188"/>
        <item h="1" x="1"/>
        <item h="1" x="251"/>
        <item h="1" x="154"/>
        <item h="1" x="78"/>
        <item h="1" x="25"/>
        <item h="1" x="176"/>
        <item h="1" x="274"/>
        <item h="1" x="129"/>
        <item h="1" x="32"/>
        <item h="1" x="189"/>
        <item h="1" x="79"/>
        <item h="1" x="72"/>
        <item h="1" x="320"/>
        <item h="1" x="107"/>
        <item h="1" x="179"/>
        <item h="1" x="283"/>
        <item h="1" x="291"/>
        <item h="1" x="277"/>
        <item h="1" x="146"/>
        <item h="1" x="249"/>
        <item h="1" x="130"/>
        <item h="1" x="192"/>
        <item h="1" x="6"/>
        <item h="1" x="139"/>
        <item h="1" x="322"/>
        <item h="1" x="286"/>
        <item h="1" x="224"/>
        <item h="1" x="64"/>
        <item h="1" x="266"/>
        <item h="1" x="209"/>
        <item h="1" x="245"/>
        <item h="1" x="255"/>
        <item h="1" x="229"/>
        <item h="1" x="77"/>
        <item h="1" x="202"/>
        <item h="1" x="233"/>
        <item h="1" x="117"/>
        <item h="1" x="212"/>
        <item h="1" x="69"/>
        <item h="1" x="113"/>
        <item x="232"/>
        <item h="1" x="13"/>
        <item h="1" x="125"/>
        <item h="1" x="84"/>
        <item h="1" x="242"/>
        <item h="1" x="98"/>
        <item h="1" x="340"/>
        <item h="1" x="162"/>
        <item h="1" x="193"/>
        <item h="1" x="239"/>
        <item h="1" x="207"/>
        <item h="1" x="123"/>
        <item h="1" x="171"/>
        <item h="1" x="85"/>
        <item h="1" x="134"/>
        <item h="1" x="265"/>
        <item h="1" x="318"/>
        <item h="1" x="20"/>
        <item h="1" x="337"/>
        <item h="1" x="222"/>
        <item h="1" x="259"/>
        <item h="1" x="70"/>
        <item h="1" x="339"/>
        <item h="1" x="114"/>
        <item h="1" x="205"/>
        <item h="1" x="254"/>
        <item h="1" x="116"/>
        <item h="1" x="302"/>
        <item h="1" x="294"/>
        <item h="1" x="195"/>
        <item h="1" x="18"/>
        <item h="1" x="147"/>
        <item h="1" x="157"/>
        <item h="1" x="326"/>
        <item h="1" x="310"/>
        <item h="1" x="49"/>
        <item h="1" x="211"/>
        <item h="1" x="56"/>
        <item h="1" x="228"/>
        <item h="1" x="297"/>
        <item h="1" x="271"/>
        <item h="1" x="91"/>
        <item h="1" x="276"/>
        <item h="1" x="111"/>
        <item h="1" x="335"/>
        <item h="1" x="287"/>
        <item h="1" x="258"/>
        <item h="1" x="31"/>
        <item h="1" x="75"/>
        <item h="1" x="208"/>
        <item h="1" x="135"/>
        <item h="1" x="156"/>
        <item h="1" x="214"/>
        <item h="1" x="306"/>
        <item h="1" x="142"/>
        <item h="1" x="200"/>
        <item h="1" x="237"/>
        <item h="1" x="21"/>
        <item h="1" x="187"/>
        <item h="1" x="327"/>
        <item h="1" x="102"/>
        <item h="1" x="223"/>
        <item h="1" x="138"/>
        <item h="1" x="292"/>
        <item h="1" x="112"/>
        <item h="1" x="272"/>
        <item h="1" x="270"/>
        <item h="1" x="338"/>
        <item h="1" x="177"/>
        <item h="1" x="218"/>
        <item h="1" x="95"/>
        <item h="1" x="88"/>
        <item h="1" x="74"/>
        <item h="1" x="261"/>
        <item h="1" x="295"/>
        <item h="1" x="90"/>
        <item h="1" x="119"/>
        <item h="1" x="256"/>
        <item h="1" x="7"/>
        <item h="1" x="196"/>
        <item h="1" x="308"/>
        <item h="1" x="110"/>
        <item h="1" x="190"/>
        <item h="1" x="257"/>
        <item h="1" x="268"/>
        <item h="1" x="204"/>
        <item h="1" x="101"/>
        <item h="1" x="313"/>
        <item h="1" x="149"/>
        <item h="1" x="284"/>
        <item h="1" x="267"/>
        <item h="1" x="4"/>
        <item h="1" x="118"/>
        <item h="1" x="30"/>
        <item h="1" x="246"/>
        <item h="1" x="182"/>
        <item h="1" x="238"/>
        <item h="1" x="92"/>
        <item h="1" x="288"/>
        <item h="1" x="299"/>
        <item h="1" x="14"/>
        <item h="1" x="180"/>
        <item h="1" x="42"/>
        <item h="1" x="143"/>
        <item h="1" x="279"/>
        <item h="1" x="41"/>
        <item h="1" x="227"/>
        <item h="1" x="235"/>
        <item h="1" x="37"/>
        <item h="1" x="305"/>
        <item h="1" x="50"/>
        <item h="1" x="35"/>
        <item h="1" x="67"/>
        <item h="1" x="23"/>
        <item h="1" x="290"/>
        <item h="1" x="197"/>
        <item h="1" x="253"/>
        <item h="1" x="27"/>
        <item h="1" x="210"/>
        <item h="1" x="158"/>
        <item h="1" x="122"/>
        <item h="1" x="170"/>
        <item h="1" x="16"/>
        <item h="1" x="11"/>
        <item h="1" x="278"/>
        <item h="1" x="293"/>
        <item h="1" x="133"/>
        <item h="1" x="65"/>
        <item h="1" x="9"/>
        <item h="1" x="3"/>
        <item h="1" x="131"/>
        <item h="1" x="314"/>
        <item h="1" x="262"/>
        <item h="1" x="324"/>
        <item h="1" x="53"/>
        <item h="1" x="8"/>
        <item h="1" x="236"/>
        <item h="1" x="296"/>
        <item h="1" x="217"/>
        <item h="1" x="342"/>
        <item h="1" x="73"/>
        <item h="1" x="17"/>
        <item h="1" x="178"/>
        <item h="1" x="244"/>
        <item h="1" x="312"/>
        <item h="1" x="66"/>
        <item h="1" x="76"/>
        <item h="1" x="15"/>
        <item h="1" x="44"/>
        <item h="1" x="57"/>
        <item h="1" x="33"/>
        <item h="1" x="275"/>
        <item h="1" x="194"/>
        <item h="1" x="309"/>
        <item h="1" x="169"/>
        <item h="1" x="152"/>
        <item h="1" x="220"/>
        <item h="1" x="40"/>
        <item h="1" x="315"/>
        <item h="1" x="252"/>
        <item h="1" x="329"/>
        <item h="1" x="336"/>
        <item h="1" x="28"/>
        <item h="1" x="323"/>
        <item h="1" x="328"/>
        <item h="1" x="153"/>
        <item h="1" x="230"/>
        <item h="1" x="174"/>
        <item h="1" x="104"/>
        <item h="1" x="303"/>
        <item h="1" x="52"/>
        <item h="1" x="191"/>
        <item h="1" x="199"/>
        <item h="1" x="48"/>
        <item h="1" x="12"/>
        <item h="1" x="100"/>
        <item h="1" x="103"/>
        <item h="1" x="34"/>
        <item h="1" x="319"/>
        <item h="1" x="5"/>
        <item h="1" x="316"/>
        <item h="1" x="311"/>
        <item h="1" x="334"/>
        <item h="1" x="46"/>
        <item h="1" x="51"/>
        <item h="1" x="55"/>
        <item h="1" x="216"/>
        <item h="1" x="184"/>
        <item h="1" x="247"/>
        <item h="1" x="115"/>
        <item h="1" x="10"/>
        <item h="1" x="19"/>
        <item h="1" x="164"/>
        <item h="1" x="108"/>
        <item h="1" x="151"/>
        <item h="1" x="321"/>
        <item h="1" x="201"/>
        <item h="1" x="136"/>
        <item h="1" x="36"/>
        <item h="1" x="203"/>
        <item h="1" x="63"/>
        <item h="1" x="150"/>
        <item h="1" x="282"/>
        <item h="1" x="161"/>
        <item h="1" x="206"/>
        <item h="1" x="317"/>
        <item h="1" x="45"/>
        <item h="1" x="89"/>
        <item h="1" x="24"/>
        <item h="1" x="94"/>
        <item h="1" x="181"/>
        <item h="1" x="240"/>
        <item h="1" x="148"/>
        <item h="1" x="301"/>
        <item h="1" x="68"/>
        <item h="1" x="250"/>
        <item h="1" x="140"/>
        <item h="1" x="82"/>
        <item h="1" x="59"/>
        <item h="1" x="330"/>
        <item h="1" x="175"/>
        <item h="1" x="144"/>
        <item h="1" x="285"/>
        <item h="1" x="221"/>
        <item h="1" x="83"/>
        <item h="1" x="80"/>
        <item h="1" x="96"/>
        <item h="1" x="141"/>
        <item h="1" x="128"/>
        <item h="1" x="263"/>
        <item h="1" x="325"/>
        <item h="1" x="226"/>
        <item h="1" x="273"/>
        <item h="1" x="307"/>
        <item h="1" x="60"/>
        <item h="1" x="81"/>
        <item h="1" x="243"/>
        <item h="1" x="231"/>
        <item h="1" x="332"/>
        <item h="1" x="333"/>
        <item h="1" x="172"/>
        <item h="1" x="159"/>
        <item h="1" x="213"/>
        <item h="1" x="241"/>
        <item h="1" x="71"/>
        <item h="1" x="54"/>
        <item h="1" x="234"/>
        <item h="1" x="121"/>
        <item h="1" x="47"/>
        <item h="1" x="198"/>
        <item h="1" x="132"/>
        <item h="1" x="225"/>
        <item h="1" x="86"/>
        <item h="1" x="93"/>
        <item h="1" x="0"/>
        <item h="1" m="1" x="357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t="default"/>
      </items>
    </pivotField>
    <pivotField axis="axisRow" dataField="1" showAll="0" sortType="ascending">
      <items count="2079">
        <item x="1657"/>
        <item x="292"/>
        <item x="873"/>
        <item x="80"/>
        <item x="82"/>
        <item x="79"/>
        <item x="81"/>
        <item x="848"/>
        <item x="238"/>
        <item x="280"/>
        <item x="253"/>
        <item x="875"/>
        <item x="874"/>
        <item x="872"/>
        <item x="57"/>
        <item x="149"/>
        <item x="119"/>
        <item x="5"/>
        <item x="56"/>
        <item x="129"/>
        <item x="59"/>
        <item x="670"/>
        <item x="711"/>
        <item x="62"/>
        <item x="353"/>
        <item x="15"/>
        <item x="303"/>
        <item x="254"/>
        <item x="543"/>
        <item x="1006"/>
        <item x="612"/>
        <item x="902"/>
        <item x="428"/>
        <item x="146"/>
        <item x="4"/>
        <item x="1608"/>
        <item x="890"/>
        <item x="1647"/>
        <item x="485"/>
        <item x="468"/>
        <item x="287"/>
        <item x="1226"/>
        <item x="1466"/>
        <item x="1736"/>
        <item x="780"/>
        <item x="1018"/>
        <item x="622"/>
        <item x="1290"/>
        <item x="1589"/>
        <item x="533"/>
        <item x="534"/>
        <item x="327"/>
        <item x="1079"/>
        <item x="1080"/>
        <item x="1215"/>
        <item x="914"/>
        <item x="45"/>
        <item x="358"/>
        <item x="589"/>
        <item x="588"/>
        <item x="1455"/>
        <item x="1279"/>
        <item x="606"/>
        <item x="350"/>
        <item x="1791"/>
        <item x="393"/>
        <item x="1709"/>
        <item x="753"/>
        <item x="1085"/>
        <item x="438"/>
        <item x="1228"/>
        <item x="492"/>
        <item x="620"/>
        <item x="562"/>
        <item x="510"/>
        <item x="66"/>
        <item x="65"/>
        <item x="563"/>
        <item x="1151"/>
        <item x="398"/>
        <item x="625"/>
        <item x="1452"/>
        <item x="1373"/>
        <item x="741"/>
        <item x="96"/>
        <item x="420"/>
        <item x="1223"/>
        <item x="1222"/>
        <item x="1427"/>
        <item x="331"/>
        <item x="1399"/>
        <item x="515"/>
        <item x="1377"/>
        <item x="1742"/>
        <item x="1393"/>
        <item x="349"/>
        <item x="1494"/>
        <item x="1755"/>
        <item x="1868"/>
        <item x="444"/>
        <item x="458"/>
        <item x="459"/>
        <item x="461"/>
        <item x="460"/>
        <item x="314"/>
        <item x="317"/>
        <item x="1149"/>
        <item x="1750"/>
        <item x="1806"/>
        <item x="1464"/>
        <item x="1465"/>
        <item x="1553"/>
        <item x="1788"/>
        <item x="1548"/>
        <item x="619"/>
        <item x="320"/>
        <item x="335"/>
        <item x="418"/>
        <item x="336"/>
        <item x="291"/>
        <item x="334"/>
        <item x="108"/>
        <item x="150"/>
        <item x="169"/>
        <item x="672"/>
        <item x="634"/>
        <item x="1610"/>
        <item x="1245"/>
        <item x="1022"/>
        <item x="1254"/>
        <item x="1246"/>
        <item x="722"/>
        <item x="373"/>
        <item x="359"/>
        <item x="127"/>
        <item x="633"/>
        <item x="175"/>
        <item x="1861"/>
        <item x="897"/>
        <item x="871"/>
        <item x="1356"/>
        <item x="1088"/>
        <item x="58"/>
        <item x="849"/>
        <item x="1089"/>
        <item x="1319"/>
        <item x="1258"/>
        <item x="1718"/>
        <item x="769"/>
        <item x="1514"/>
        <item x="1520"/>
        <item x="1400"/>
        <item x="88"/>
        <item x="1714"/>
        <item x="1902"/>
        <item x="1703"/>
        <item x="1866"/>
        <item x="1140"/>
        <item x="103"/>
        <item x="752"/>
        <item x="133"/>
        <item x="131"/>
        <item x="356"/>
        <item x="686"/>
        <item x="1283"/>
        <item x="140"/>
        <item x="77"/>
        <item x="276"/>
        <item x="137"/>
        <item x="911"/>
        <item x="899"/>
        <item x="913"/>
        <item x="156"/>
        <item x="693"/>
        <item x="1286"/>
        <item x="1093"/>
        <item x="1273"/>
        <item x="1094"/>
        <item x="1250"/>
        <item x="1333"/>
        <item x="1348"/>
        <item x="11"/>
        <item x="203"/>
        <item x="830"/>
        <item x="970"/>
        <item x="1342"/>
        <item x="738"/>
        <item x="1252"/>
        <item x="47"/>
        <item x="1336"/>
        <item x="257"/>
        <item x="560"/>
        <item x="1251"/>
        <item x="660"/>
        <item x="1334"/>
        <item x="8"/>
        <item m="1" x="2033"/>
        <item x="1277"/>
        <item x="1166"/>
        <item x="600"/>
        <item x="532"/>
        <item x="1013"/>
        <item x="1165"/>
        <item x="286"/>
        <item x="1030"/>
        <item x="879"/>
        <item x="858"/>
        <item x="1160"/>
        <item x="836"/>
        <item x="807"/>
        <item x="946"/>
        <item x="717"/>
        <item x="581"/>
        <item x="806"/>
        <item x="945"/>
        <item x="947"/>
        <item x="904"/>
        <item x="1324"/>
        <item x="1020"/>
        <item x="221"/>
        <item x="288"/>
        <item x="222"/>
        <item x="624"/>
        <item x="51"/>
        <item x="20"/>
        <item x="1536"/>
        <item x="1708"/>
        <item x="74"/>
        <item x="86"/>
        <item x="1921"/>
        <item x="689"/>
        <item x="1270"/>
        <item x="1267"/>
        <item x="1269"/>
        <item x="1268"/>
        <item x="1221"/>
        <item x="1474"/>
        <item x="453"/>
        <item x="1145"/>
        <item x="593"/>
        <item x="70"/>
        <item x="69"/>
        <item x="659"/>
        <item x="770"/>
        <item x="1856"/>
        <item x="1860"/>
        <item x="1204"/>
        <item x="1924"/>
        <item x="1"/>
        <item x="145"/>
        <item x="1395"/>
        <item x="1789"/>
        <item x="966"/>
        <item x="229"/>
        <item x="495"/>
        <item x="494"/>
        <item x="480"/>
        <item x="404"/>
        <item x="614"/>
        <item x="591"/>
        <item x="590"/>
        <item x="425"/>
        <item x="227"/>
        <item x="226"/>
        <item x="232"/>
        <item x="616"/>
        <item x="426"/>
        <item x="225"/>
        <item x="481"/>
        <item x="884"/>
        <item x="864"/>
        <item x="519"/>
        <item x="228"/>
        <item x="482"/>
        <item x="615"/>
        <item x="520"/>
        <item x="341"/>
        <item x="340"/>
        <item x="681"/>
        <item x="968"/>
        <item x="1042"/>
        <item x="233"/>
        <item x="275"/>
        <item x="967"/>
        <item x="377"/>
        <item x="1363"/>
        <item x="1156"/>
        <item x="691"/>
        <item x="690"/>
        <item x="1842"/>
        <item x="447"/>
        <item x="337"/>
        <item x="462"/>
        <item x="813"/>
        <item x="824"/>
        <item x="1574"/>
        <item x="854"/>
        <item x="783"/>
        <item x="1303"/>
        <item x="699"/>
        <item x="281"/>
        <item x="1568"/>
        <item x="1335"/>
        <item x="1600"/>
        <item x="1819"/>
        <item x="1389"/>
        <item x="1729"/>
        <item x="546"/>
        <item x="545"/>
        <item x="572"/>
        <item x="573"/>
        <item x="574"/>
        <item x="1154"/>
        <item x="296"/>
        <item x="1584"/>
        <item x="36"/>
        <item x="454"/>
        <item x="785"/>
        <item x="870"/>
        <item x="1162"/>
        <item x="132"/>
        <item x="630"/>
        <item x="50"/>
        <item x="200"/>
        <item x="380"/>
        <item x="700"/>
        <item x="683"/>
        <item x="566"/>
        <item x="499"/>
        <item x="963"/>
        <item x="1763"/>
        <item x="1740"/>
        <item x="1731"/>
        <item x="1021"/>
        <item x="177"/>
        <item x="1649"/>
        <item x="1354"/>
        <item x="1844"/>
        <item x="1805"/>
        <item m="1" x="1991"/>
        <item x="1676"/>
        <item x="1654"/>
        <item x="136"/>
        <item m="1" x="2018"/>
        <item x="1598"/>
        <item x="1619"/>
        <item x="1593"/>
        <item x="1437"/>
        <item x="1274"/>
        <item x="842"/>
        <item x="1111"/>
        <item x="1189"/>
        <item x="1180"/>
        <item x="995"/>
        <item x="984"/>
        <item x="994"/>
        <item x="1325"/>
        <item x="220"/>
        <item x="219"/>
        <item x="217"/>
        <item x="466"/>
        <item x="218"/>
        <item x="815"/>
        <item x="1019"/>
        <item m="1" x="2013"/>
        <item x="1027"/>
        <item x="413"/>
        <item x="1147"/>
        <item x="1172"/>
        <item x="467"/>
        <item x="1144"/>
        <item x="878"/>
        <item x="195"/>
        <item x="196"/>
        <item x="384"/>
        <item m="1" x="2046"/>
        <item m="1" x="2030"/>
        <item m="1" x="2019"/>
        <item m="1" x="2012"/>
        <item m="1" x="2053"/>
        <item m="1" x="2022"/>
        <item m="1" x="1999"/>
        <item m="1" x="2068"/>
        <item m="1" x="1986"/>
        <item m="1" x="2050"/>
        <item m="1" x="1992"/>
        <item m="1" x="2020"/>
        <item m="1" x="2023"/>
        <item m="1" x="2038"/>
        <item m="1" x="2027"/>
        <item m="1" x="2054"/>
        <item m="1" x="2024"/>
        <item m="1" x="1983"/>
        <item m="1" x="2028"/>
        <item m="1" x="2069"/>
        <item m="1" x="2041"/>
        <item m="1" x="2051"/>
        <item m="1" x="2049"/>
        <item m="1" x="2055"/>
        <item m="1" x="2025"/>
        <item m="1" x="2000"/>
        <item m="1" x="1984"/>
        <item m="1" x="2070"/>
        <item m="1" x="2002"/>
        <item m="1" x="2042"/>
        <item m="1" x="2052"/>
        <item m="1" x="1993"/>
        <item m="1" x="2066"/>
        <item m="1" x="1989"/>
        <item m="1" x="2056"/>
        <item m="1" x="1994"/>
        <item m="1" x="2026"/>
        <item m="1" x="2067"/>
        <item m="1" x="2001"/>
        <item m="1" x="2040"/>
        <item m="1" x="1985"/>
        <item m="1" x="2029"/>
        <item m="1" x="2071"/>
        <item m="1" x="2003"/>
        <item m="1" x="2043"/>
        <item m="1" x="1987"/>
        <item m="1" x="2075"/>
        <item m="1" x="2016"/>
        <item m="1" x="2058"/>
        <item m="1" x="1997"/>
        <item m="1" x="2047"/>
        <item m="1" x="1995"/>
        <item m="1" x="1998"/>
        <item m="1" x="2074"/>
        <item m="1" x="2005"/>
        <item m="1" x="2045"/>
        <item m="1" x="2076"/>
        <item m="1" x="2007"/>
        <item m="1" x="2037"/>
        <item m="1" x="2059"/>
        <item m="1" x="2072"/>
        <item m="1" x="2060"/>
        <item m="1" x="1996"/>
        <item m="1" x="2011"/>
        <item m="1" x="2057"/>
        <item m="1" x="2065"/>
        <item m="1" x="2032"/>
        <item m="1" x="2064"/>
        <item m="1" x="2035"/>
        <item m="1" x="2039"/>
        <item x="1199"/>
        <item x="1493"/>
        <item x="1497"/>
        <item x="1025"/>
        <item x="1498"/>
        <item x="607"/>
        <item x="174"/>
        <item x="1480"/>
        <item x="1023"/>
        <item x="1793"/>
        <item x="1225"/>
        <item x="567"/>
        <item x="1208"/>
        <item x="537"/>
        <item x="571"/>
        <item x="536"/>
        <item x="608"/>
        <item x="1133"/>
        <item x="896"/>
        <item x="737"/>
        <item x="657"/>
        <item x="658"/>
        <item x="440"/>
        <item x="1447"/>
        <item x="263"/>
        <item x="264"/>
        <item x="1082"/>
        <item x="1157"/>
        <item x="500"/>
        <item x="502"/>
        <item x="1272"/>
        <item x="372"/>
        <item x="465"/>
        <item x="464"/>
        <item x="369"/>
        <item x="371"/>
        <item x="315"/>
        <item x="618"/>
        <item x="787"/>
        <item x="1050"/>
        <item x="1131"/>
        <item x="846"/>
        <item x="921"/>
        <item x="956"/>
        <item x="1209"/>
        <item x="834"/>
        <item x="483"/>
        <item m="1" x="2010"/>
        <item x="484"/>
        <item x="437"/>
        <item x="439"/>
        <item x="1518"/>
        <item x="1767"/>
        <item x="1081"/>
        <item x="1009"/>
        <item x="869"/>
        <item x="1086"/>
        <item x="985"/>
        <item x="1203"/>
        <item x="1135"/>
        <item x="986"/>
        <item x="1197"/>
        <item x="1201"/>
        <item x="944"/>
        <item x="906"/>
        <item x="662"/>
        <item x="1353"/>
        <item x="389"/>
        <item x="391"/>
        <item x="631"/>
        <item x="265"/>
        <item x="272"/>
        <item x="270"/>
        <item x="632"/>
        <item x="269"/>
        <item x="412"/>
        <item x="411"/>
        <item x="268"/>
        <item x="408"/>
        <item x="273"/>
        <item x="1352"/>
        <item x="271"/>
        <item x="407"/>
        <item x="274"/>
        <item x="390"/>
        <item x="410"/>
        <item x="406"/>
        <item x="266"/>
        <item x="638"/>
        <item x="267"/>
        <item x="409"/>
        <item x="1825"/>
        <item x="472"/>
        <item x="1271"/>
        <item x="1460"/>
        <item x="1943"/>
        <item x="729"/>
        <item x="1914"/>
        <item x="278"/>
        <item x="880"/>
        <item x="850"/>
        <item x="1690"/>
        <item x="1710"/>
        <item x="941"/>
        <item x="1192"/>
        <item x="1487"/>
        <item x="198"/>
        <item x="524"/>
        <item x="385"/>
        <item x="1864"/>
        <item x="1660"/>
        <item x="1863"/>
        <item x="1883"/>
        <item x="1420"/>
        <item x="1419"/>
        <item x="24"/>
        <item x="818"/>
        <item x="1173"/>
        <item x="1851"/>
        <item x="399"/>
        <item x="1351"/>
        <item x="1073"/>
        <item x="933"/>
        <item x="798"/>
        <item x="1716"/>
        <item x="241"/>
        <item x="40"/>
        <item x="1549"/>
        <item x="547"/>
        <item x="352"/>
        <item x="1859"/>
        <item x="1937"/>
        <item x="1858"/>
        <item x="1801"/>
        <item x="1670"/>
        <item x="602"/>
        <item x="688"/>
        <item x="1153"/>
        <item x="207"/>
        <item x="211"/>
        <item x="153"/>
        <item x="757"/>
        <item x="479"/>
        <item x="154"/>
        <item x="370"/>
        <item x="865"/>
        <item x="866"/>
        <item x="166"/>
        <item x="982"/>
        <item x="981"/>
        <item x="1925"/>
        <item x="1910"/>
        <item x="1302"/>
        <item x="301"/>
        <item x="1330"/>
        <item x="355"/>
        <item x="1287"/>
        <item x="1349"/>
        <item x="1580"/>
        <item x="1213"/>
        <item x="68"/>
        <item x="1689"/>
        <item x="1835"/>
        <item x="1421"/>
        <item x="1713"/>
        <item x="19"/>
        <item x="332"/>
        <item x="1391"/>
        <item x="733"/>
        <item x="1644"/>
        <item x="206"/>
        <item x="841"/>
        <item x="1490"/>
        <item x="1862"/>
        <item x="1368"/>
        <item x="592"/>
        <item x="855"/>
        <item x="473"/>
        <item x="474"/>
        <item x="1944"/>
        <item x="887"/>
        <item x="511"/>
        <item x="811"/>
        <item x="1048"/>
        <item x="907"/>
        <item x="448"/>
        <item x="44"/>
        <item x="330"/>
        <item x="710"/>
        <item x="654"/>
        <item x="767"/>
        <item x="1220"/>
        <item x="321"/>
        <item x="955"/>
        <item x="489"/>
        <item x="490"/>
        <item x="828"/>
        <item x="1255"/>
        <item x="611"/>
        <item x="724"/>
        <item x="980"/>
        <item x="1834"/>
        <item x="795"/>
        <item x="1848"/>
        <item x="1874"/>
        <item x="1781"/>
        <item x="1463"/>
        <item x="1759"/>
        <item x="501"/>
        <item x="383"/>
        <item x="552"/>
        <item x="1308"/>
        <item x="1307"/>
        <item x="1298"/>
        <item x="692"/>
        <item x="316"/>
        <item x="312"/>
        <item x="360"/>
        <item x="294"/>
        <item x="908"/>
        <item x="1787"/>
        <item x="1177"/>
        <item x="216"/>
        <item x="215"/>
        <item x="205"/>
        <item x="364"/>
        <item x="231"/>
        <item x="1242"/>
        <item x="300"/>
        <item x="751"/>
        <item x="419"/>
        <item x="1183"/>
        <item x="1184"/>
        <item x="1181"/>
        <item x="1188"/>
        <item x="1185"/>
        <item x="1186"/>
        <item x="961"/>
        <item x="106"/>
        <item x="262"/>
        <item x="1132"/>
        <item x="1306"/>
        <item x="903"/>
        <item x="28"/>
        <item x="1311"/>
        <item x="1205"/>
        <item x="942"/>
        <item x="831"/>
        <item x="583"/>
        <item x="949"/>
        <item x="124"/>
        <item x="915"/>
        <item x="943"/>
        <item x="190"/>
        <item x="18"/>
        <item x="799"/>
        <item x="977"/>
        <item x="351"/>
        <item x="539"/>
        <item x="1882"/>
        <item x="1865"/>
        <item x="777"/>
        <item x="778"/>
        <item x="1182"/>
        <item x="1187"/>
        <item x="1281"/>
        <item x="817"/>
        <item x="319"/>
        <item x="1675"/>
        <item x="1821"/>
        <item x="765"/>
        <item x="1230"/>
        <item x="1792"/>
        <item x="1601"/>
        <item x="1747"/>
        <item x="1784"/>
        <item x="1693"/>
        <item x="1329"/>
        <item x="1799"/>
        <item m="1" x="2062"/>
        <item x="542"/>
        <item x="42"/>
        <item x="1872"/>
        <item m="1" x="1990"/>
        <item x="550"/>
        <item x="1276"/>
        <item x="1275"/>
        <item x="125"/>
        <item x="861"/>
        <item x="1857"/>
        <item x="197"/>
        <item x="135"/>
        <item x="1291"/>
        <item x="261"/>
        <item x="1569"/>
        <item x="1100"/>
        <item x="1171"/>
        <item x="708"/>
        <item x="857"/>
        <item x="763"/>
        <item x="1102"/>
        <item x="1101"/>
        <item x="1341"/>
        <item x="1328"/>
        <item x="703"/>
        <item x="698"/>
        <item x="674"/>
        <item x="599"/>
        <item x="529"/>
        <item x="518"/>
        <item x="838"/>
        <item x="1326"/>
        <item x="417"/>
        <item x="1367"/>
        <item x="667"/>
        <item x="702"/>
        <item x="701"/>
        <item x="1340"/>
        <item x="1339"/>
        <item x="856"/>
        <item x="1098"/>
        <item x="1097"/>
        <item x="497"/>
        <item x="1369"/>
        <item x="786"/>
        <item x="958"/>
        <item x="957"/>
        <item x="779"/>
        <item x="776"/>
        <item x="1128"/>
        <item x="1163"/>
        <item x="721"/>
        <item x="1074"/>
        <item x="1049"/>
        <item x="1550"/>
        <item x="1503"/>
        <item x="1471"/>
        <item x="333"/>
        <item x="1544"/>
        <item x="486"/>
        <item x="1786"/>
        <item x="31"/>
        <item x="192"/>
        <item x="193"/>
        <item x="173"/>
        <item x="95"/>
        <item x="1280"/>
        <item x="709"/>
        <item x="1312"/>
        <item x="182"/>
        <item x="183"/>
        <item x="167"/>
        <item x="516"/>
        <item x="1362"/>
        <item x="117"/>
        <item x="1441"/>
        <item x="1191"/>
        <item x="975"/>
        <item x="1035"/>
        <item x="792"/>
        <item x="938"/>
        <item x="508"/>
        <item x="535"/>
        <item x="876"/>
        <item x="793"/>
        <item x="577"/>
        <item x="155"/>
        <item x="1515"/>
        <item x="1776"/>
        <item x="1737"/>
        <item x="76"/>
        <item x="1327"/>
        <item x="523"/>
        <item x="522"/>
        <item x="820"/>
        <item x="819"/>
        <item x="759"/>
        <item x="760"/>
        <item x="761"/>
        <item x="260"/>
        <item x="1764"/>
        <item x="1697"/>
        <item x="1964"/>
        <item x="1432"/>
        <item x="1809"/>
        <item x="1486"/>
        <item x="435"/>
        <item m="1" x="2008"/>
        <item x="258"/>
        <item x="102"/>
        <item x="46"/>
        <item m="1" x="2017"/>
        <item x="554"/>
        <item x="668"/>
        <item x="555"/>
        <item x="716"/>
        <item x="559"/>
        <item x="90"/>
        <item x="251"/>
        <item x="671"/>
        <item x="1075"/>
        <item x="925"/>
        <item x="627"/>
        <item x="1259"/>
        <item x="898"/>
        <item x="112"/>
        <item x="120"/>
        <item x="808"/>
        <item x="1168"/>
        <item x="1309"/>
        <item x="329"/>
        <item x="60"/>
        <item x="378"/>
        <item x="452"/>
        <item x="859"/>
        <item x="603"/>
        <item x="436"/>
        <item x="655"/>
        <item x="256"/>
        <item x="920"/>
        <item x="930"/>
        <item x="234"/>
        <item x="565"/>
        <item x="934"/>
        <item x="249"/>
        <item x="53"/>
        <item x="284"/>
        <item x="919"/>
        <item x="184"/>
        <item x="935"/>
        <item x="236"/>
        <item x="1263"/>
        <item x="1076"/>
        <item x="285"/>
        <item x="141"/>
        <item x="244"/>
        <item x="936"/>
        <item x="375"/>
        <item x="656"/>
        <item x="405"/>
        <item x="72"/>
        <item x="188"/>
        <item x="1206"/>
        <item x="1071"/>
        <item x="959"/>
        <item x="25"/>
        <item x="1029"/>
        <item x="1028"/>
        <item x="1072"/>
        <item m="1" x="1988"/>
        <item x="541"/>
        <item x="847"/>
        <item x="61"/>
        <item x="342"/>
        <item x="427"/>
        <item x="653"/>
        <item x="739"/>
        <item x="570"/>
        <item x="1682"/>
        <item x="1663"/>
        <item x="1837"/>
        <item x="471"/>
        <item x="1623"/>
        <item x="432"/>
        <item x="180"/>
        <item x="297"/>
        <item x="1196"/>
        <item x="1175"/>
        <item x="1174"/>
        <item x="451"/>
        <item x="804"/>
        <item x="142"/>
        <item x="877"/>
        <item x="52"/>
        <item x="844"/>
        <item x="964"/>
        <item x="651"/>
        <item x="669"/>
        <item x="1169"/>
        <item x="430"/>
        <item x="83"/>
        <item x="100"/>
        <item x="549"/>
        <item x="1294"/>
        <item m="1" x="1982"/>
        <item x="1293"/>
        <item x="1357"/>
        <item x="212"/>
        <item x="1148"/>
        <item m="1" x="2014"/>
        <item x="187"/>
        <item x="1110"/>
        <item x="553"/>
        <item x="469"/>
        <item x="345"/>
        <item m="1" x="1980"/>
        <item x="538"/>
        <item x="513"/>
        <item x="623"/>
        <item x="905"/>
        <item x="650"/>
        <item x="429"/>
        <item m="1" x="2036"/>
        <item x="893"/>
        <item x="895"/>
        <item x="105"/>
        <item x="1005"/>
        <item x="1137"/>
        <item x="576"/>
        <item x="648"/>
        <item x="960"/>
        <item x="575"/>
        <item x="952"/>
        <item x="768"/>
        <item x="1008"/>
        <item x="1109"/>
        <item x="584"/>
        <item x="346"/>
        <item x="579"/>
        <item x="932"/>
        <item x="916"/>
        <item x="147"/>
        <item x="1083"/>
        <item x="927"/>
        <item x="118"/>
        <item x="962"/>
        <item x="948"/>
        <item x="863"/>
        <item x="569"/>
        <item x="78"/>
        <item x="951"/>
        <item x="1143"/>
        <item x="732"/>
        <item x="931"/>
        <item x="1190"/>
        <item x="450"/>
        <item x="1159"/>
        <item x="937"/>
        <item x="6"/>
        <item x="115"/>
        <item x="9"/>
        <item x="32"/>
        <item x="493"/>
        <item x="143"/>
        <item x="719"/>
        <item x="503"/>
        <item x="134"/>
        <item x="685"/>
        <item m="1" x="2044"/>
        <item m="1" x="2073"/>
        <item x="366"/>
        <item x="326"/>
        <item x="248"/>
        <item x="940"/>
        <item x="304"/>
        <item x="34"/>
        <item x="715"/>
        <item x="1010"/>
        <item x="240"/>
        <item x="433"/>
        <item x="27"/>
        <item x="199"/>
        <item x="282"/>
        <item x="1229"/>
        <item x="367"/>
        <item x="1313"/>
        <item x="99"/>
        <item x="237"/>
        <item x="924"/>
        <item x="470"/>
        <item x="101"/>
        <item x="687"/>
        <item x="38"/>
        <item x="252"/>
        <item x="983"/>
        <item x="926"/>
        <item x="1015"/>
        <item x="800"/>
        <item x="213"/>
        <item x="1314"/>
        <item x="43"/>
        <item x="928"/>
        <item x="392"/>
        <item x="929"/>
        <item x="991"/>
        <item x="1248"/>
        <item x="1152"/>
        <item x="328"/>
        <item x="1256"/>
        <item x="642"/>
        <item x="641"/>
        <item x="594"/>
        <item x="747"/>
        <item x="746"/>
        <item x="596"/>
        <item x="598"/>
        <item x="595"/>
        <item x="636"/>
        <item x="742"/>
        <item x="744"/>
        <item x="457"/>
        <item x="455"/>
        <item x="643"/>
        <item x="745"/>
        <item x="639"/>
        <item x="743"/>
        <item x="597"/>
        <item x="640"/>
        <item x="635"/>
        <item x="456"/>
        <item x="1244"/>
        <item x="381"/>
        <item x="414"/>
        <item x="179"/>
        <item x="178"/>
        <item x="298"/>
        <item x="161"/>
        <item x="246"/>
        <item x="224"/>
        <item x="900"/>
        <item x="1350"/>
        <item x="661"/>
        <item x="802"/>
        <item x="71"/>
        <item x="845"/>
        <item x="544"/>
        <item x="801"/>
        <item x="1047"/>
        <item x="1320"/>
        <item x="894"/>
        <item x="1134"/>
        <item x="1337"/>
        <item x="1078"/>
        <item x="1126"/>
        <item x="368"/>
        <item x="728"/>
        <item x="204"/>
        <item x="374"/>
        <item x="1469"/>
        <item x="1704"/>
        <item x="1479"/>
        <item x="1855"/>
        <item x="1843"/>
        <item x="85"/>
        <item x="279"/>
        <item x="39"/>
        <item x="395"/>
        <item x="403"/>
        <item x="1667"/>
        <item x="1840"/>
        <item x="790"/>
        <item x="791"/>
        <item x="697"/>
        <item x="1031"/>
        <item x="1107"/>
        <item x="1108"/>
        <item x="1841"/>
        <item x="186"/>
        <item x="243"/>
        <item x="185"/>
        <item x="1770"/>
        <item x="1525"/>
        <item x="1699"/>
        <item x="1524"/>
        <item x="1720"/>
        <item x="1976"/>
        <item x="324"/>
        <item x="387"/>
        <item x="223"/>
        <item x="210"/>
        <item x="209"/>
        <item x="784"/>
        <item x="953"/>
        <item x="35"/>
        <item x="1671"/>
        <item x="969"/>
        <item x="400"/>
        <item x="704"/>
        <item x="682"/>
        <item x="208"/>
        <item x="168"/>
        <item x="1942"/>
        <item x="1754"/>
        <item x="73"/>
        <item x="1323"/>
        <item x="788"/>
        <item x="1916"/>
        <item x="775"/>
        <item x="843"/>
        <item x="652"/>
        <item x="773"/>
        <item x="789"/>
        <item x="1457"/>
        <item x="568"/>
        <item x="918"/>
        <item x="1178"/>
        <item x="1179"/>
        <item x="676"/>
        <item x="705"/>
        <item x="416"/>
        <item x="388"/>
        <item x="498"/>
        <item x="678"/>
        <item x="677"/>
        <item x="293"/>
        <item x="109"/>
        <item x="988"/>
        <item x="1810"/>
        <item x="1813"/>
        <item x="1358"/>
        <item x="1475"/>
        <item x="1869"/>
        <item x="1164"/>
        <item x="64"/>
        <item x="181"/>
        <item x="1170"/>
        <item x="578"/>
        <item x="989"/>
        <item x="707"/>
        <item x="675"/>
        <item x="1034"/>
        <item x="1626"/>
        <item x="1451"/>
        <item x="1146"/>
        <item x="1509"/>
        <item x="826"/>
        <item x="853"/>
        <item x="825"/>
        <item x="325"/>
        <item x="673"/>
        <item x="852"/>
        <item x="445"/>
        <item x="822"/>
        <item x="362"/>
        <item x="363"/>
        <item x="361"/>
        <item x="680"/>
        <item x="888"/>
        <item x="889"/>
        <item x="1033"/>
        <item x="283"/>
        <item x="160"/>
        <item x="517"/>
        <item x="917"/>
        <item x="781"/>
        <item x="812"/>
        <item x="810"/>
        <item x="152"/>
        <item x="338"/>
        <item x="1383"/>
        <item x="1092"/>
        <item x="242"/>
        <item x="1885"/>
        <item x="823"/>
        <item x="923"/>
        <item x="318"/>
        <item x="323"/>
        <item x="75"/>
        <item x="527"/>
        <item x="587"/>
        <item x="1103"/>
        <item x="528"/>
        <item x="496"/>
        <item x="762"/>
        <item x="1295"/>
        <item x="1297"/>
        <item x="1301"/>
        <item x="764"/>
        <item x="1296"/>
        <item x="12"/>
        <item x="29"/>
        <item x="3"/>
        <item x="2"/>
        <item x="158"/>
        <item x="1096"/>
        <item x="148"/>
        <item x="310"/>
        <item x="504"/>
        <item x="159"/>
        <item x="277"/>
        <item x="1538"/>
        <item x="1202"/>
        <item x="163"/>
        <item x="891"/>
        <item x="1867"/>
        <item x="1597"/>
        <item x="1605"/>
        <item x="1785"/>
        <item x="740"/>
        <item x="386"/>
        <item x="443"/>
        <item x="1278"/>
        <item x="164"/>
        <item x="33"/>
        <item x="754"/>
        <item x="1198"/>
        <item x="1200"/>
        <item x="91"/>
        <item x="730"/>
        <item x="22"/>
        <item m="1" x="2009"/>
        <item x="979"/>
        <item x="950"/>
        <item x="723"/>
        <item x="582"/>
        <item x="987"/>
        <item x="646"/>
        <item x="423"/>
        <item x="128"/>
        <item x="1104"/>
        <item x="1130"/>
        <item x="645"/>
        <item x="130"/>
        <item x="1212"/>
        <item x="41"/>
        <item x="601"/>
        <item x="1243"/>
        <item x="1211"/>
        <item x="379"/>
        <item x="1176"/>
        <item x="348"/>
        <item x="478"/>
        <item x="882"/>
        <item x="821"/>
        <item x="415"/>
        <item x="837"/>
        <item x="339"/>
        <item x="881"/>
        <item x="521"/>
        <item x="885"/>
        <item x="1338"/>
        <item x="477"/>
        <item x="564"/>
        <item x="774"/>
        <item x="712"/>
        <item x="1331"/>
        <item x="833"/>
        <item x="647"/>
        <item x="580"/>
        <item x="1344"/>
        <item x="997"/>
        <item x="1332"/>
        <item x="797"/>
        <item x="54"/>
        <item x="1502"/>
        <item m="1" x="2077"/>
        <item x="814"/>
        <item x="1795"/>
        <item x="1686"/>
        <item x="1554"/>
        <item x="476"/>
        <item x="475"/>
        <item x="954"/>
        <item x="972"/>
        <item x="556"/>
        <item x="93"/>
        <item x="1266"/>
        <item x="1380"/>
        <item x="1645"/>
        <item x="840"/>
        <item x="839"/>
        <item x="176"/>
        <item x="551"/>
        <item x="1543"/>
        <item x="617"/>
        <item x="827"/>
        <item x="1672"/>
        <item x="1526"/>
        <item x="613"/>
        <item x="157"/>
        <item x="144"/>
        <item x="1285"/>
        <item x="396"/>
        <item x="1510"/>
        <item x="235"/>
        <item x="1394"/>
        <item x="1264"/>
        <item x="1592"/>
        <item x="1581"/>
        <item x="1612"/>
        <item x="1831"/>
        <item x="901"/>
        <item x="756"/>
        <item x="295"/>
        <item x="735"/>
        <item x="736"/>
        <item x="1347"/>
        <item x="1091"/>
        <item x="695"/>
        <item x="376"/>
        <item x="299"/>
        <item x="726"/>
        <item x="694"/>
        <item x="1260"/>
        <item x="55"/>
        <item x="49"/>
        <item x="1517"/>
        <item x="322"/>
        <item x="311"/>
        <item x="1772"/>
        <item x="1681"/>
        <item x="1933"/>
        <item x="713"/>
        <item x="1070"/>
        <item x="548"/>
        <item x="1955"/>
        <item x="67"/>
        <item x="194"/>
        <item x="1158"/>
        <item m="1" x="1981"/>
        <item x="505"/>
        <item x="1606"/>
        <item x="1562"/>
        <item x="610"/>
        <item x="996"/>
        <item x="1669"/>
        <item x="431"/>
        <item x="892"/>
        <item x="170"/>
        <item x="1575"/>
        <item x="1576"/>
        <item x="1839"/>
        <item x="679"/>
        <item x="1106"/>
        <item x="1317"/>
        <item x="1316"/>
        <item x="586"/>
        <item x="1370"/>
        <item x="525"/>
        <item x="526"/>
        <item x="1299"/>
        <item x="1300"/>
        <item x="1318"/>
        <item x="939"/>
        <item x="1849"/>
        <item x="1907"/>
        <item x="1461"/>
        <item x="1436"/>
        <item x="1854"/>
        <item x="684"/>
        <item x="255"/>
        <item x="230"/>
        <item x="1733"/>
        <item x="122"/>
        <item x="1889"/>
        <item x="868"/>
        <item x="1888"/>
        <item x="424"/>
        <item x="1105"/>
        <item x="313"/>
        <item x="506"/>
        <item x="446"/>
        <item x="1247"/>
        <item x="973"/>
        <item x="1315"/>
        <item x="758"/>
        <item x="782"/>
        <item x="171"/>
        <item x="1459"/>
        <item x="1476"/>
        <item x="245"/>
        <item x="561"/>
        <item m="1" x="2034"/>
        <item x="1099"/>
        <item x="1418"/>
        <item x="1700"/>
        <item x="1818"/>
        <item x="1431"/>
        <item x="1761"/>
        <item x="1577"/>
        <item x="1830"/>
        <item x="1735"/>
        <item x="860"/>
        <item x="993"/>
        <item x="1870"/>
        <item x="1684"/>
        <item x="104"/>
        <item x="354"/>
        <item x="663"/>
        <item x="664"/>
        <item x="665"/>
        <item x="666"/>
        <item x="706"/>
        <item x="605"/>
        <item x="922"/>
        <item x="883"/>
        <item x="1227"/>
        <item x="1224"/>
        <item x="1077"/>
        <item x="1150"/>
        <item x="1087"/>
        <item x="201"/>
        <item x="540"/>
        <item x="162"/>
        <item x="1026"/>
        <item x="1289"/>
        <item x="1951"/>
        <item x="421"/>
        <item x="628"/>
        <item x="1811"/>
        <item x="621"/>
        <item x="1559"/>
        <item m="1" x="2063"/>
        <item x="1590"/>
        <item x="151"/>
        <item x="1445"/>
        <item x="1927"/>
        <item x="347"/>
        <item x="1965"/>
        <item x="1616"/>
        <item x="1537"/>
        <item x="202"/>
        <item x="1642"/>
        <item x="434"/>
        <item x="1458"/>
        <item x="1651"/>
        <item x="1694"/>
        <item x="1918"/>
        <item x="1430"/>
        <item x="1556"/>
        <item x="1774"/>
        <item x="1435"/>
        <item x="1956"/>
        <item x="1659"/>
        <item x="1210"/>
        <item x="138"/>
        <item x="114"/>
        <item x="121"/>
        <item x="1620"/>
        <item x="1505"/>
        <item x="1646"/>
        <item x="714"/>
        <item x="1609"/>
        <item x="1886"/>
        <item x="992"/>
        <item x="1940"/>
        <item x="1853"/>
        <item x="1390"/>
        <item x="609"/>
        <item x="1558"/>
        <item x="835"/>
        <item x="748"/>
        <item x="1711"/>
        <item x="239"/>
        <item x="13"/>
        <item x="1321"/>
        <item x="1355"/>
        <item x="1683"/>
        <item x="1611"/>
        <item x="1688"/>
        <item x="718"/>
        <item m="1" x="2061"/>
        <item x="344"/>
        <item x="829"/>
        <item x="84"/>
        <item x="14"/>
        <item x="1945"/>
        <item x="1803"/>
        <item x="766"/>
        <item x="365"/>
        <item m="1" x="1979"/>
        <item x="1443"/>
        <item x="1823"/>
        <item x="1967"/>
        <item x="1365"/>
        <item x="1265"/>
        <item x="247"/>
        <item x="1721"/>
        <item x="1952"/>
        <item x="626"/>
        <item x="1624"/>
        <item x="604"/>
        <item x="110"/>
        <item x="1095"/>
        <item x="1722"/>
        <item x="1820"/>
        <item x="1282"/>
        <item x="1261"/>
        <item x="809"/>
        <item x="1422"/>
        <item x="1973"/>
        <item x="734"/>
        <item x="1829"/>
        <item x="530"/>
        <item x="1284"/>
        <item x="1504"/>
        <item x="971"/>
        <item x="1477"/>
        <item x="1679"/>
        <item x="1758"/>
        <item x="1407"/>
        <item x="16"/>
        <item x="1707"/>
        <item x="1751"/>
        <item x="1827"/>
        <item x="1621"/>
        <item x="585"/>
        <item x="1596"/>
        <item x="1891"/>
        <item x="1305"/>
        <item x="1557"/>
        <item x="1467"/>
        <item x="214"/>
        <item m="1" x="2006"/>
        <item x="1909"/>
        <item x="1773"/>
        <item x="1838"/>
        <item x="1954"/>
        <item x="1972"/>
        <item x="94"/>
        <item x="696"/>
        <item x="1500"/>
        <item x="1379"/>
        <item x="306"/>
        <item x="23"/>
        <item x="1495"/>
        <item x="731"/>
        <item x="1579"/>
        <item x="1876"/>
        <item x="491"/>
        <item x="1032"/>
        <item x="1915"/>
        <item x="1090"/>
        <item x="1934"/>
        <item x="750"/>
        <item x="1387"/>
        <item x="1388"/>
        <item x="1912"/>
        <item x="1361"/>
        <item x="1539"/>
        <item x="1656"/>
        <item x="1483"/>
        <item x="1288"/>
        <item x="1935"/>
        <item x="1372"/>
        <item x="1628"/>
        <item x="1084"/>
        <item x="1346"/>
        <item x="1896"/>
        <item x="1715"/>
        <item x="976"/>
        <item x="862"/>
        <item x="1779"/>
        <item x="1627"/>
        <item x="1540"/>
        <item x="1529"/>
        <item x="1528"/>
        <item x="1573"/>
        <item x="507"/>
        <item x="531"/>
        <item x="998"/>
        <item x="999"/>
        <item x="1231"/>
        <item x="1413"/>
        <item x="1036"/>
        <item x="1232"/>
        <item x="1000"/>
        <item x="1112"/>
        <item x="1059"/>
        <item x="1116"/>
        <item x="1060"/>
        <item x="1046"/>
        <item x="1414"/>
        <item x="1415"/>
        <item x="1038"/>
        <item x="1123"/>
        <item x="1039"/>
        <item x="1062"/>
        <item x="1040"/>
        <item x="1063"/>
        <item x="1124"/>
        <item x="1484"/>
        <item x="1041"/>
        <item x="1051"/>
        <item x="1044"/>
        <item x="1118"/>
        <item x="1043"/>
        <item x="1233"/>
        <item x="1053"/>
        <item x="1054"/>
        <item x="1002"/>
        <item x="1234"/>
        <item x="1235"/>
        <item x="1003"/>
        <item x="1045"/>
        <item x="1236"/>
        <item x="1066"/>
        <item x="1067"/>
        <item x="1068"/>
        <item x="1120"/>
        <item x="1237"/>
        <item x="1439"/>
        <item x="1069"/>
        <item x="1238"/>
        <item x="1114"/>
        <item x="1239"/>
        <item x="1240"/>
        <item x="1633"/>
        <item x="1845"/>
        <item x="1634"/>
        <item x="1639"/>
        <item x="1640"/>
        <item x="1846"/>
        <item x="1635"/>
        <item x="1636"/>
        <item x="1847"/>
        <item x="1409"/>
        <item x="1410"/>
        <item x="1037"/>
        <item x="1122"/>
        <item x="1001"/>
        <item x="1061"/>
        <item x="1408"/>
        <item x="1125"/>
        <item x="1117"/>
        <item x="1194"/>
        <item x="1056"/>
        <item x="1057"/>
        <item x="1058"/>
        <item x="1438"/>
        <item x="1065"/>
        <item x="1113"/>
        <item x="1631"/>
        <item x="1637"/>
        <item x="1638"/>
        <item x="1641"/>
        <item x="1119"/>
        <item x="1217"/>
        <item x="1522"/>
        <item x="1650"/>
        <item x="1655"/>
        <item x="1903"/>
        <item x="1962"/>
        <item x="1167"/>
        <item x="1630"/>
        <item x="509"/>
        <item x="307"/>
        <item x="1877"/>
        <item x="1798"/>
        <item x="1746"/>
        <item x="1959"/>
        <item x="1887"/>
        <item x="649"/>
        <item x="1262"/>
        <item x="1930"/>
        <item x="1555"/>
        <item x="1578"/>
        <item x="1687"/>
        <item x="1719"/>
        <item x="1712"/>
        <item x="803"/>
        <item x="1665"/>
        <item x="805"/>
        <item x="1732"/>
        <item x="1966"/>
        <item x="21"/>
        <item x="1705"/>
        <item x="1604"/>
        <item x="1836"/>
        <item x="978"/>
        <item x="1571"/>
        <item x="1546"/>
        <item x="1881"/>
        <item x="92"/>
        <item x="1753"/>
        <item x="1696"/>
        <item x="1364"/>
        <item x="1778"/>
        <item x="1629"/>
        <item x="1873"/>
        <item x="1253"/>
        <item x="1974"/>
        <item x="1653"/>
        <item x="1852"/>
        <item x="1193"/>
        <item x="1396"/>
        <item x="1397"/>
        <item x="1919"/>
        <item x="1401"/>
        <item x="644"/>
        <item x="139"/>
        <item x="1777"/>
        <item x="422"/>
        <item x="1894"/>
        <item x="1587"/>
        <item x="488"/>
        <item x="1822"/>
        <item x="308"/>
        <item x="1794"/>
        <item x="1567"/>
        <item x="1648"/>
        <item x="1797"/>
        <item x="1804"/>
        <item x="1932"/>
        <item x="1884"/>
        <item x="1817"/>
        <item x="1828"/>
        <item x="1310"/>
        <item x="1375"/>
        <item x="851"/>
        <item x="1905"/>
        <item x="771"/>
        <item x="305"/>
        <item x="1618"/>
        <item x="1585"/>
        <item x="1724"/>
        <item x="1878"/>
        <item x="1433"/>
        <item x="1385"/>
        <item m="1" x="2031"/>
        <item x="48"/>
        <item x="1744"/>
        <item x="107"/>
        <item x="1345"/>
        <item x="1429"/>
        <item x="357"/>
        <item x="1583"/>
        <item x="1752"/>
        <item x="512"/>
        <item x="1527"/>
        <item x="1664"/>
        <item x="1652"/>
        <item x="1963"/>
        <item x="1381"/>
        <item x="1968"/>
        <item x="1904"/>
        <item x="1677"/>
        <item x="974"/>
        <item x="1468"/>
        <item x="1875"/>
        <item x="1898"/>
        <item x="1444"/>
        <item x="1899"/>
        <item x="1880"/>
        <item x="1161"/>
        <item x="1826"/>
        <item x="1603"/>
        <item x="10"/>
        <item x="1908"/>
        <item x="1405"/>
        <item x="1893"/>
        <item x="1214"/>
        <item x="629"/>
        <item x="1814"/>
        <item x="1607"/>
        <item x="1922"/>
        <item x="1442"/>
        <item x="1900"/>
        <item x="1668"/>
        <item x="1897"/>
        <item x="1506"/>
        <item x="1127"/>
        <item x="1812"/>
        <item x="1398"/>
        <item x="1376"/>
        <item x="1816"/>
        <item x="1780"/>
        <item x="1673"/>
        <item x="1454"/>
        <item x="1602"/>
        <item x="402"/>
        <item x="1757"/>
        <item x="343"/>
        <item x="1890"/>
        <item x="1769"/>
        <item x="126"/>
        <item x="113"/>
        <item x="1374"/>
        <item m="1" x="2021"/>
        <item x="1871"/>
        <item x="1564"/>
        <item x="1614"/>
        <item x="1322"/>
        <item x="727"/>
        <item x="1392"/>
        <item x="1978"/>
        <item x="1977"/>
        <item x="1402"/>
        <item x="1911"/>
        <item x="1748"/>
        <item x="1950"/>
        <item x="1560"/>
        <item x="441"/>
        <item m="1" x="2015"/>
        <item x="1678"/>
        <item x="189"/>
        <item x="1929"/>
        <item x="1658"/>
        <item x="1790"/>
        <item x="1939"/>
        <item x="1680"/>
        <item x="1530"/>
        <item x="1796"/>
        <item x="796"/>
        <item x="1382"/>
        <item x="1508"/>
        <item x="1958"/>
        <item x="1766"/>
        <item x="17"/>
        <item x="1371"/>
        <item x="1523"/>
        <item x="1745"/>
        <item x="1489"/>
        <item x="1488"/>
        <item x="123"/>
        <item x="1701"/>
        <item x="1424"/>
        <item x="1531"/>
        <item x="1216"/>
        <item x="1218"/>
        <item x="1632"/>
        <item x="1617"/>
        <item x="1613"/>
        <item x="755"/>
        <item x="1771"/>
        <item x="867"/>
        <item x="1499"/>
        <item x="1906"/>
        <item x="1535"/>
        <item x="725"/>
        <item x="794"/>
        <item x="1496"/>
        <item x="1360"/>
        <item x="487"/>
        <item x="1961"/>
        <item x="1343"/>
        <item x="1948"/>
        <item x="1492"/>
        <item x="89"/>
        <item x="1971"/>
        <item x="1024"/>
        <item x="1970"/>
        <item x="1423"/>
        <item x="1782"/>
        <item x="1691"/>
        <item x="1625"/>
        <item x="912"/>
        <item x="1920"/>
        <item x="1491"/>
        <item x="1734"/>
        <item x="1386"/>
        <item x="1384"/>
        <item x="1595"/>
        <item x="1513"/>
        <item x="1975"/>
        <item x="1643"/>
        <item x="1519"/>
        <item x="1055"/>
        <item x="1064"/>
        <item x="1004"/>
        <item x="1802"/>
        <item x="1138"/>
        <item x="1139"/>
        <item x="1565"/>
        <item x="116"/>
        <item x="302"/>
        <item x="382"/>
        <item x="514"/>
        <item x="1012"/>
        <item x="1969"/>
        <item x="1685"/>
        <item x="442"/>
        <item x="98"/>
        <item x="1533"/>
        <item x="1545"/>
        <item x="1511"/>
        <item x="87"/>
        <item x="1938"/>
        <item x="1832"/>
        <item x="1017"/>
        <item x="1808"/>
        <item x="1541"/>
        <item x="558"/>
        <item x="394"/>
        <item x="1512"/>
        <item x="1936"/>
        <item x="749"/>
        <item x="7"/>
        <item x="1879"/>
        <item x="1473"/>
        <item x="1241"/>
        <item x="1195"/>
        <item x="1416"/>
        <item x="1052"/>
        <item x="1115"/>
        <item x="1121"/>
        <item x="1440"/>
        <item x="1417"/>
        <item x="1411"/>
        <item x="1412"/>
        <item x="1917"/>
        <item x="886"/>
        <item x="1749"/>
        <item x="1304"/>
        <item x="1622"/>
        <item x="1588"/>
        <item x="1552"/>
        <item x="1406"/>
        <item x="1599"/>
        <item x="832"/>
        <item x="1366"/>
        <item x="1928"/>
        <item x="990"/>
        <item x="1561"/>
        <item x="1155"/>
        <item x="1692"/>
        <item x="1478"/>
        <item x="37"/>
        <item x="1450"/>
        <item x="720"/>
        <item x="463"/>
        <item x="165"/>
        <item x="30"/>
        <item x="1913"/>
        <item x="401"/>
        <item x="1765"/>
        <item x="1702"/>
        <item x="1534"/>
        <item x="772"/>
        <item x="1570"/>
        <item x="1931"/>
        <item x="191"/>
        <item x="1449"/>
        <item x="26"/>
        <item x="397"/>
        <item x="1482"/>
        <item x="1743"/>
        <item x="1807"/>
        <item x="1661"/>
        <item x="1674"/>
        <item x="1507"/>
        <item x="965"/>
        <item x="1428"/>
        <item x="1516"/>
        <item x="97"/>
        <item x="1727"/>
        <item x="1666"/>
        <item x="1249"/>
        <item x="1542"/>
        <item x="1142"/>
        <item x="1292"/>
        <item x="63"/>
        <item x="1501"/>
        <item x="1404"/>
        <item x="1551"/>
        <item x="1453"/>
        <item x="1359"/>
        <item x="1016"/>
        <item x="1698"/>
        <item x="259"/>
        <item x="1207"/>
        <item x="1485"/>
        <item x="1378"/>
        <item x="1662"/>
        <item x="289"/>
        <item x="290"/>
        <item x="1566"/>
        <item x="1462"/>
        <item x="1582"/>
        <item x="1730"/>
        <item x="1783"/>
        <item x="1901"/>
        <item x="1547"/>
        <item x="1723"/>
        <item x="1446"/>
        <item x="1926"/>
        <item x="172"/>
        <item x="1946"/>
        <item x="1775"/>
        <item x="1762"/>
        <item x="1136"/>
        <item x="449"/>
        <item x="1706"/>
        <item x="1257"/>
        <item x="1953"/>
        <item x="1739"/>
        <item x="637"/>
        <item x="1470"/>
        <item x="1756"/>
        <item x="250"/>
        <item m="1" x="2048"/>
        <item x="1824"/>
        <item m="1" x="2004"/>
        <item x="1815"/>
        <item x="1448"/>
        <item x="1219"/>
        <item x="1011"/>
        <item x="1960"/>
        <item x="1850"/>
        <item x="910"/>
        <item x="909"/>
        <item x="1741"/>
        <item x="1434"/>
        <item x="111"/>
        <item x="1425"/>
        <item x="1426"/>
        <item x="1591"/>
        <item x="1725"/>
        <item x="557"/>
        <item x="1717"/>
        <item x="1768"/>
        <item x="1923"/>
        <item x="1403"/>
        <item x="1014"/>
        <item x="1949"/>
        <item x="1892"/>
        <item x="1472"/>
        <item x="309"/>
        <item x="1726"/>
        <item x="1800"/>
        <item x="1586"/>
        <item x="1615"/>
        <item x="1572"/>
        <item x="1129"/>
        <item x="816"/>
        <item x="1760"/>
        <item x="1957"/>
        <item x="1833"/>
        <item x="1563"/>
        <item x="1141"/>
        <item x="1532"/>
        <item x="1941"/>
        <item x="1728"/>
        <item x="1521"/>
        <item x="1947"/>
        <item x="1695"/>
        <item x="1895"/>
        <item x="1007"/>
        <item x="1738"/>
        <item x="1594"/>
        <item x="1456"/>
        <item x="1481"/>
        <item x="0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showAll="0"/>
    <pivotField axis="axisPage" multipleItemSelectionAllowed="1" showAll="0">
      <items count="934">
        <item h="1" m="1" x="932"/>
        <item h="1" x="1"/>
        <item h="1" x="17"/>
        <item h="1" x="33"/>
        <item h="1" x="2"/>
        <item h="1" x="19"/>
        <item h="1" x="18"/>
        <item h="1" x="65"/>
        <item h="1" x="22"/>
        <item h="1" x="47"/>
        <item h="1" x="21"/>
        <item h="1" x="49"/>
        <item h="1" x="58"/>
        <item h="1" x="53"/>
        <item h="1" x="51"/>
        <item h="1" x="23"/>
        <item h="1" x="59"/>
        <item h="1" x="61"/>
        <item h="1" x="24"/>
        <item h="1" x="52"/>
        <item h="1" x="9"/>
        <item h="1" x="14"/>
        <item h="1" x="10"/>
        <item h="1" x="15"/>
        <item h="1" x="114"/>
        <item h="1" x="48"/>
        <item h="1" x="62"/>
        <item h="1" x="25"/>
        <item h="1" x="8"/>
        <item h="1" x="92"/>
        <item h="1" x="3"/>
        <item h="1" x="93"/>
        <item h="1" x="50"/>
        <item h="1" x="80"/>
        <item h="1" x="55"/>
        <item h="1" x="119"/>
        <item h="1" x="60"/>
        <item h="1" x="63"/>
        <item h="1" x="81"/>
        <item h="1" x="56"/>
        <item h="1" x="79"/>
        <item h="1" x="70"/>
        <item h="1" x="16"/>
        <item h="1" x="140"/>
        <item h="1" x="71"/>
        <item h="1" x="32"/>
        <item h="1" x="141"/>
        <item h="1" x="77"/>
        <item h="1" x="29"/>
        <item h="1" x="97"/>
        <item h="1" x="72"/>
        <item h="1" x="78"/>
        <item h="1" x="83"/>
        <item h="1" x="94"/>
        <item h="1" x="143"/>
        <item h="1" x="145"/>
        <item h="1" x="82"/>
        <item h="1" x="148"/>
        <item h="1" x="150"/>
        <item h="1" x="45"/>
        <item h="1" x="107"/>
        <item h="1" x="66"/>
        <item h="1" x="73"/>
        <item h="1" x="105"/>
        <item h="1" x="84"/>
        <item h="1" x="36"/>
        <item h="1" x="30"/>
        <item h="1" x="85"/>
        <item h="1" x="44"/>
        <item h="1" x="95"/>
        <item h="1" x="149"/>
        <item h="1" x="34"/>
        <item h="1" x="4"/>
        <item h="1" x="74"/>
        <item h="1" x="112"/>
        <item h="1" x="108"/>
        <item h="1" x="87"/>
        <item h="1" x="38"/>
        <item h="1" x="118"/>
        <item h="1" x="75"/>
        <item h="1" x="120"/>
        <item h="1" x="109"/>
        <item h="1" x="111"/>
        <item h="1" x="116"/>
        <item h="1" x="67"/>
        <item h="1" x="187"/>
        <item h="1" x="76"/>
        <item h="1" x="208"/>
        <item h="1" x="196"/>
        <item h="1" x="99"/>
        <item h="1" x="40"/>
        <item h="1" x="68"/>
        <item h="1" x="96"/>
        <item h="1" x="122"/>
        <item h="1" x="88"/>
        <item h="1" x="209"/>
        <item h="1" x="86"/>
        <item h="1" x="27"/>
        <item h="1" x="43"/>
        <item h="1" x="115"/>
        <item h="1" x="110"/>
        <item h="1" x="135"/>
        <item h="1" x="89"/>
        <item h="1" x="90"/>
        <item h="1" x="35"/>
        <item h="1" x="37"/>
        <item h="1" x="123"/>
        <item h="1" x="101"/>
        <item h="1" x="102"/>
        <item h="1" x="137"/>
        <item h="1" x="91"/>
        <item h="1" x="131"/>
        <item h="1" x="133"/>
        <item h="1" x="206"/>
        <item h="1" x="64"/>
        <item h="1" x="184"/>
        <item h="1" x="229"/>
        <item h="1" x="168"/>
        <item h="1" x="134"/>
        <item h="1" x="164"/>
        <item h="1" x="165"/>
        <item h="1" x="138"/>
        <item h="1" x="121"/>
        <item h="1" x="69"/>
        <item h="1" x="103"/>
        <item h="1" x="162"/>
        <item h="1" x="158"/>
        <item h="1" x="124"/>
        <item h="1" x="177"/>
        <item h="1" x="28"/>
        <item h="1" x="181"/>
        <item h="1" x="170"/>
        <item h="1" x="42"/>
        <item h="1" x="161"/>
        <item h="1" x="234"/>
        <item h="1" x="154"/>
        <item h="1" x="172"/>
        <item h="1" x="220"/>
        <item h="1" x="232"/>
        <item h="1" x="227"/>
        <item h="1" x="222"/>
        <item h="1" x="193"/>
        <item h="1" x="197"/>
        <item h="1" x="173"/>
        <item h="1" x="289"/>
        <item h="1" x="255"/>
        <item h="1" x="272"/>
        <item h="1" x="267"/>
        <item h="1" x="54"/>
        <item h="1" x="228"/>
        <item h="1" x="157"/>
        <item h="1" x="182"/>
        <item h="1" x="153"/>
        <item h="1" x="316"/>
        <item h="1" x="202"/>
        <item h="1" x="203"/>
        <item h="1" x="205"/>
        <item h="1" x="235"/>
        <item h="1" x="204"/>
        <item h="1" x="278"/>
        <item h="1" x="189"/>
        <item h="1" x="251"/>
        <item h="1" x="294"/>
        <item h="1" x="195"/>
        <item h="1" x="269"/>
        <item h="1" x="191"/>
        <item h="1" x="279"/>
        <item h="1" x="285"/>
        <item h="1" x="159"/>
        <item h="1" x="226"/>
        <item h="1" x="263"/>
        <item h="1" x="194"/>
        <item h="1" x="5"/>
        <item h="1" x="13"/>
        <item h="1" x="333"/>
        <item h="1" x="178"/>
        <item h="1" x="167"/>
        <item h="1" x="225"/>
        <item h="1" x="253"/>
        <item h="1" x="192"/>
        <item h="1" x="344"/>
        <item h="1" x="353"/>
        <item h="1" x="280"/>
        <item h="1" x="212"/>
        <item h="1" x="257"/>
        <item h="1" x="287"/>
        <item h="1" x="100"/>
        <item h="1" x="6"/>
        <item h="1" x="240"/>
        <item h="1" x="7"/>
        <item h="1" x="224"/>
        <item h="1" x="175"/>
        <item h="1" x="375"/>
        <item h="1" x="156"/>
        <item h="1" x="241"/>
        <item h="1" x="117"/>
        <item h="1" x="360"/>
        <item h="1" x="295"/>
        <item h="1" x="247"/>
        <item h="1" x="142"/>
        <item h="1" x="244"/>
        <item h="1" x="342"/>
        <item h="1" x="277"/>
        <item h="1" x="286"/>
        <item h="1" x="152"/>
        <item h="1" x="317"/>
        <item h="1" x="248"/>
        <item h="1" x="358"/>
        <item h="1" x="106"/>
        <item h="1" x="207"/>
        <item h="1" x="246"/>
        <item h="1" x="288"/>
        <item h="1" x="236"/>
        <item h="1" x="221"/>
        <item h="1" x="324"/>
        <item h="1" x="332"/>
        <item h="1" x="372"/>
        <item h="1" x="249"/>
        <item h="1" x="11"/>
        <item h="1" x="146"/>
        <item h="1" x="213"/>
        <item h="1" x="355"/>
        <item h="1" x="245"/>
        <item h="1" x="271"/>
        <item h="1" x="376"/>
        <item h="1" x="334"/>
        <item h="1" x="388"/>
        <item h="1" x="337"/>
        <item h="1" x="307"/>
        <item h="1" x="401"/>
        <item h="1" x="400"/>
        <item h="1" x="199"/>
        <item h="1" x="239"/>
        <item h="1" x="258"/>
        <item h="1" x="413"/>
        <item h="1" x="259"/>
        <item h="1" x="12"/>
        <item h="1" x="223"/>
        <item h="1" x="339"/>
        <item h="1" x="242"/>
        <item h="1" x="335"/>
        <item h="1" x="383"/>
        <item h="1" x="403"/>
        <item h="1" x="385"/>
        <item h="1" x="301"/>
        <item h="1" x="238"/>
        <item h="1" x="281"/>
        <item h="1" x="218"/>
        <item h="1" x="368"/>
        <item h="1" x="163"/>
        <item h="1" x="292"/>
        <item h="1" x="302"/>
        <item h="1" x="237"/>
        <item h="1" x="378"/>
        <item h="1" x="445"/>
        <item h="1" x="397"/>
        <item h="1" x="327"/>
        <item h="1" x="426"/>
        <item h="1" x="293"/>
        <item h="1" x="98"/>
        <item h="1" x="151"/>
        <item h="1" x="130"/>
        <item h="1" x="276"/>
        <item h="1" x="408"/>
        <item h="1" x="282"/>
        <item h="1" x="423"/>
        <item h="1" x="283"/>
        <item h="1" x="304"/>
        <item h="1" x="347"/>
        <item h="1" x="132"/>
        <item h="1" x="367"/>
        <item h="1" x="31"/>
        <item h="1" x="305"/>
        <item h="1" x="46"/>
        <item h="1" x="39"/>
        <item h="1" x="356"/>
        <item h="1" x="254"/>
        <item h="1" x="268"/>
        <item h="1" x="354"/>
        <item h="1" x="273"/>
        <item h="1" x="429"/>
        <item h="1" x="297"/>
        <item h="1" x="448"/>
        <item h="1" x="331"/>
        <item h="1" x="296"/>
        <item h="1" x="113"/>
        <item h="1" x="179"/>
        <item h="1" x="284"/>
        <item h="1" x="449"/>
        <item h="1" x="256"/>
        <item h="1" x="369"/>
        <item h="1" x="430"/>
        <item h="1" x="439"/>
        <item h="1" x="340"/>
        <item h="1" x="455"/>
        <item h="1" x="341"/>
        <item h="1" x="454"/>
        <item h="1" x="270"/>
        <item h="1" x="260"/>
        <item h="1" x="415"/>
        <item h="1" x="380"/>
        <item h="1" x="348"/>
        <item h="1" x="420"/>
        <item h="1" x="343"/>
        <item h="1" x="447"/>
        <item h="1" x="330"/>
        <item h="1" x="431"/>
        <item h="1" x="477"/>
        <item h="1" x="370"/>
        <item h="1" x="465"/>
        <item h="1" x="201"/>
        <item h="1" x="474"/>
        <item h="1" x="139"/>
        <item h="1" x="458"/>
        <item h="1" x="298"/>
        <item h="1" x="155"/>
        <item h="1" x="261"/>
        <item h="1" x="185"/>
        <item h="1" x="262"/>
        <item h="1" x="310"/>
        <item h="1" x="381"/>
        <item h="1" x="183"/>
        <item h="1" x="125"/>
        <item h="1" x="416"/>
        <item h="1" x="104"/>
        <item h="1" x="174"/>
        <item h="1" x="215"/>
        <item h="1" x="479"/>
        <item h="1" x="488"/>
        <item h="1" x="219"/>
        <item h="1" x="444"/>
        <item h="1" x="491"/>
        <item h="1" x="198"/>
        <item h="1" x="275"/>
        <item h="1" x="366"/>
        <item h="1" x="389"/>
        <item h="1" x="359"/>
        <item h="1" x="428"/>
        <item h="1" x="214"/>
        <item h="1" x="160"/>
        <item h="1" x="396"/>
        <item h="1" x="349"/>
        <item h="1" x="136"/>
        <item h="1" x="484"/>
        <item h="1" x="432"/>
        <item h="1" x="363"/>
        <item h="1" x="371"/>
        <item h="1" x="417"/>
        <item h="1" x="424"/>
        <item h="1" x="230"/>
        <item h="1" x="346"/>
        <item h="1" x="299"/>
        <item h="1" x="328"/>
        <item h="1" x="144"/>
        <item h="1" x="300"/>
        <item h="1" x="176"/>
        <item h="1" x="500"/>
        <item h="1" x="438"/>
        <item h="1" x="57"/>
        <item h="1" x="508"/>
        <item h="1" x="485"/>
        <item h="1" x="391"/>
        <item h="1" x="407"/>
        <item h="1" x="422"/>
        <item h="1" x="322"/>
        <item h="1" x="525"/>
        <item h="1" x="361"/>
        <item h="1" x="382"/>
        <item h="1" x="443"/>
        <item h="1" x="459"/>
        <item h="1" x="572"/>
        <item h="1" x="364"/>
        <item h="1" x="574"/>
        <item h="1" x="446"/>
        <item h="1" x="250"/>
        <item h="1" x="323"/>
        <item h="1" x="538"/>
        <item h="1" x="569"/>
        <item h="1" x="265"/>
        <item h="1" x="41"/>
        <item h="1" x="523"/>
        <item h="1" x="308"/>
        <item h="1" x="571"/>
        <item h="1" x="365"/>
        <item h="1" x="548"/>
        <item h="1" x="190"/>
        <item h="1" x="392"/>
        <item h="1" x="384"/>
        <item h="1" x="231"/>
        <item h="1" x="264"/>
        <item h="1" x="535"/>
        <item h="1" x="387"/>
        <item h="1" x="433"/>
        <item h="1" x="562"/>
        <item h="1" x="475"/>
        <item h="1" x="329"/>
        <item h="1" x="147"/>
        <item h="1" x="456"/>
        <item h="1" x="318"/>
        <item h="1" x="200"/>
        <item h="1" x="421"/>
        <item h="1" x="596"/>
        <item h="1" x="126"/>
        <item h="1" x="266"/>
        <item h="1" x="494"/>
        <item h="1" x="578"/>
        <item h="1" x="557"/>
        <item h="1" x="127"/>
        <item h="1" x="425"/>
        <item h="1" x="476"/>
        <item h="1" x="589"/>
        <item h="1" x="564"/>
        <item h="1" x="467"/>
        <item h="1" x="490"/>
        <item h="1" x="418"/>
        <item h="1" x="325"/>
        <item h="1" x="478"/>
        <item h="1" x="350"/>
        <item h="1" x="553"/>
        <item h="1" x="336"/>
        <item h="1" x="345"/>
        <item h="1" x="483"/>
        <item h="1" x="357"/>
        <item h="1" x="171"/>
        <item h="1" x="593"/>
        <item h="1" x="482"/>
        <item h="1" x="563"/>
        <item h="1" x="560"/>
        <item h="1" x="435"/>
        <item h="1" x="457"/>
        <item h="1" x="315"/>
        <item h="1" x="610"/>
        <item h="1" x="591"/>
        <item h="1" x="594"/>
        <item h="1" x="188"/>
        <item h="1" x="306"/>
        <item h="1" x="532"/>
        <item h="1" x="527"/>
        <item h="1" x="326"/>
        <item h="1" x="621"/>
        <item h="1" x="451"/>
        <item h="1" x="518"/>
        <item h="1" x="291"/>
        <item h="1" x="640"/>
        <item h="1" x="541"/>
        <item h="1" x="362"/>
        <item h="1" x="314"/>
        <item h="1" x="608"/>
        <item h="1" x="631"/>
        <item h="1" x="499"/>
        <item h="1" x="496"/>
        <item h="1" x="320"/>
        <item h="1" x="406"/>
        <item h="1" x="561"/>
        <item h="1" x="510"/>
        <item h="1" x="414"/>
        <item h="1" x="274"/>
        <item h="1" x="374"/>
        <item h="1" x="652"/>
        <item h="1" x="584"/>
        <item h="1" x="504"/>
        <item h="1" x="216"/>
        <item h="1" x="534"/>
        <item h="1" x="612"/>
        <item h="1" x="311"/>
        <item h="1" x="128"/>
        <item h="1" x="635"/>
        <item h="1" x="559"/>
        <item h="1" x="679"/>
        <item h="1" x="592"/>
        <item h="1" x="427"/>
        <item h="1" x="603"/>
        <item h="1" x="533"/>
        <item h="1" x="434"/>
        <item h="1" x="554"/>
        <item h="1" x="393"/>
        <item h="1" x="620"/>
        <item h="1" x="661"/>
        <item h="1" x="642"/>
        <item h="1" x="492"/>
        <item h="1" x="501"/>
        <item h="1" x="687"/>
        <item h="1" x="558"/>
        <item h="1" x="290"/>
        <item h="1" x="643"/>
        <item h="1" x="531"/>
        <item h="1" x="609"/>
        <item h="1" x="210"/>
        <item h="1" x="512"/>
        <item h="1" x="462"/>
        <item h="1" x="312"/>
        <item h="1" x="511"/>
        <item h="1" x="690"/>
        <item h="1" x="577"/>
        <item h="1" x="453"/>
        <item h="1" x="486"/>
        <item h="1" x="547"/>
        <item h="1" x="507"/>
        <item h="1" x="580"/>
        <item h="1" x="409"/>
        <item h="1" x="502"/>
        <item h="1" x="664"/>
        <item h="1" x="555"/>
        <item h="1" x="601"/>
        <item h="1" x="522"/>
        <item h="1" x="180"/>
        <item h="1" x="373"/>
        <item h="1" x="629"/>
        <item h="1" x="386"/>
        <item h="1" x="602"/>
        <item h="1" x="217"/>
        <item h="1" x="585"/>
        <item h="1" x="573"/>
        <item h="1" x="487"/>
        <item h="1" x="689"/>
        <item h="1" x="461"/>
        <item h="1" x="586"/>
        <item h="1" x="604"/>
        <item h="1" x="599"/>
        <item h="1" x="630"/>
        <item h="1" x="505"/>
        <item h="1" x="515"/>
        <item h="1" x="469"/>
        <item h="1" x="714"/>
        <item h="1" x="636"/>
        <item h="1" x="440"/>
        <item h="1" x="377"/>
        <item h="1" x="26"/>
        <item h="1" x="653"/>
        <item h="1" x="634"/>
        <item h="1" x="556"/>
        <item h="1" x="695"/>
        <item h="1" x="579"/>
        <item h="1" x="543"/>
        <item h="1" x="309"/>
        <item h="1" x="517"/>
        <item h="1" x="632"/>
        <item h="1" x="472"/>
        <item h="1" x="211"/>
        <item h="1" x="473"/>
        <item h="1" x="633"/>
        <item h="1" x="463"/>
        <item h="1" x="669"/>
        <item h="1" x="625"/>
        <item h="1" x="700"/>
        <item h="1" x="707"/>
        <item h="1" x="721"/>
        <item h="1" x="514"/>
        <item h="1" x="529"/>
        <item h="1" x="470"/>
        <item h="1" x="672"/>
        <item h="1" x="243"/>
        <item h="1" x="624"/>
        <item h="1" x="705"/>
        <item h="1" x="712"/>
        <item h="1" x="575"/>
        <item h="1" x="657"/>
        <item h="1" x="313"/>
        <item h="1" x="645"/>
        <item h="1" x="600"/>
        <item h="1" x="715"/>
        <item h="1" x="303"/>
        <item h="1" x="546"/>
        <item h="1" x="605"/>
        <item h="1" x="419"/>
        <item h="1" x="607"/>
        <item h="1" x="752"/>
        <item h="1" x="509"/>
        <item h="1" x="716"/>
        <item h="1" x="539"/>
        <item h="1" x="680"/>
        <item h="1" x="552"/>
        <item h="1" x="724"/>
        <item h="1" x="647"/>
        <item h="1" x="683"/>
        <item h="1" x="729"/>
        <item h="1" x="436"/>
        <item h="1" x="437"/>
        <item h="1" x="730"/>
        <item h="1" x="352"/>
        <item h="1" x="566"/>
        <item h="1" x="727"/>
        <item h="1" x="498"/>
        <item h="1" x="667"/>
        <item h="1" x="649"/>
        <item h="1" x="681"/>
        <item h="1" x="405"/>
        <item h="1" x="745"/>
        <item h="1" x="411"/>
        <item h="1" x="748"/>
        <item h="1" x="666"/>
        <item h="1" x="753"/>
        <item h="1" x="441"/>
        <item h="1" x="648"/>
        <item h="1" x="442"/>
        <item h="1" x="549"/>
        <item h="1" x="750"/>
        <item h="1" x="587"/>
        <item h="1" x="726"/>
        <item h="1" x="756"/>
        <item h="1" x="471"/>
        <item h="1" x="613"/>
        <item h="1" x="551"/>
        <item h="1" x="622"/>
        <item h="1" x="772"/>
        <item h="1" x="684"/>
        <item h="1" x="516"/>
        <item h="1" x="757"/>
        <item h="1" x="489"/>
        <item h="1" x="524"/>
        <item h="1" x="747"/>
        <item h="1" x="744"/>
        <item h="1" x="641"/>
        <item h="1" x="696"/>
        <item h="1" x="685"/>
        <item h="1" x="404"/>
        <item h="1" x="321"/>
        <item h="1" x="460"/>
        <item h="1" x="694"/>
        <item h="1" x="762"/>
        <item h="1" x="570"/>
        <item h="1" x="186"/>
        <item h="1" x="338"/>
        <item h="1" x="708"/>
        <item h="1" x="720"/>
        <item h="1" x="544"/>
        <item h="1" x="780"/>
        <item h="1" x="379"/>
        <item h="1" x="395"/>
        <item h="1" x="665"/>
        <item h="1" x="697"/>
        <item h="1" x="710"/>
        <item h="1" x="711"/>
        <item h="1" x="452"/>
        <item h="1" x="590"/>
        <item h="1" x="166"/>
        <item h="1" x="521"/>
        <item h="1" x="520"/>
        <item h="1" x="233"/>
        <item h="1" x="742"/>
        <item h="1" x="656"/>
        <item h="1" x="528"/>
        <item h="1" x="637"/>
        <item h="1" x="754"/>
        <item h="1" x="774"/>
        <item h="1" x="662"/>
        <item h="1" x="545"/>
        <item h="1" x="497"/>
        <item h="1" x="725"/>
        <item h="1" x="751"/>
        <item h="1" x="513"/>
        <item h="1" x="675"/>
        <item h="1" x="651"/>
        <item h="1" x="719"/>
        <item h="1" x="676"/>
        <item h="1" x="493"/>
        <item h="1" x="776"/>
        <item h="1" x="654"/>
        <item h="1" x="582"/>
        <item h="1" x="503"/>
        <item h="1" x="480"/>
        <item h="1" x="394"/>
        <item h="1" x="581"/>
        <item h="1" x="583"/>
        <item h="1" x="755"/>
        <item h="1" x="682"/>
        <item h="1" x="735"/>
        <item h="1" x="618"/>
        <item h="1" x="542"/>
        <item h="1" x="706"/>
        <item h="1" x="693"/>
        <item h="1" x="741"/>
        <item h="1" x="606"/>
        <item h="1" x="761"/>
        <item h="1" x="796"/>
        <item h="1" x="412"/>
        <item h="1" x="398"/>
        <item h="1" x="810"/>
        <item h="1" x="698"/>
        <item h="1" x="781"/>
        <item h="1" x="530"/>
        <item h="1" x="519"/>
        <item h="1" x="399"/>
        <item h="1" x="468"/>
        <item h="1" x="786"/>
        <item h="1" x="802"/>
        <item h="1" x="738"/>
        <item h="1" x="410"/>
        <item h="1" x="709"/>
        <item h="1" x="677"/>
        <item h="1" x="686"/>
        <item h="1" x="816"/>
        <item h="1" x="668"/>
        <item h="1" x="800"/>
        <item h="1" x="595"/>
        <item h="1" x="169"/>
        <item h="1" x="807"/>
        <item h="1" x="663"/>
        <item h="1" x="402"/>
        <item h="1" x="806"/>
        <item h="1" x="784"/>
        <item h="1" x="749"/>
        <item h="1" x="787"/>
        <item h="1" x="813"/>
        <item h="1" x="736"/>
        <item h="1" x="540"/>
        <item h="1" x="759"/>
        <item h="1" x="619"/>
        <item h="1" x="769"/>
        <item h="1" x="818"/>
        <item h="1" x="808"/>
        <item h="1" x="790"/>
        <item h="1" x="852"/>
        <item h="1" x="793"/>
        <item h="1" x="674"/>
        <item h="1" x="733"/>
        <item h="1" x="702"/>
        <item h="1" x="831"/>
        <item h="1" x="699"/>
        <item h="1" x="764"/>
        <item h="1" x="734"/>
        <item h="1" x="817"/>
        <item h="1" x="567"/>
        <item h="1" x="495"/>
        <item h="1" x="821"/>
        <item h="1" x="767"/>
        <item h="1" x="464"/>
        <item h="1" x="829"/>
        <item h="1" x="614"/>
        <item h="1" x="799"/>
        <item h="1" x="731"/>
        <item h="1" x="506"/>
        <item h="1" x="713"/>
        <item h="1" x="466"/>
        <item h="1" x="565"/>
        <item h="1" x="839"/>
        <item h="1" x="770"/>
        <item h="1" x="840"/>
        <item h="1" x="758"/>
        <item h="1" x="824"/>
        <item h="1" x="832"/>
        <item h="1" x="644"/>
        <item h="1" x="673"/>
        <item h="1" x="717"/>
        <item h="1" x="794"/>
        <item h="1" x="777"/>
        <item h="1" x="819"/>
        <item h="1" x="390"/>
        <item h="1" x="788"/>
        <item h="1" x="671"/>
        <item h="1" x="723"/>
        <item h="1" x="718"/>
        <item h="1" x="782"/>
        <item h="1" x="820"/>
        <item h="1" x="778"/>
        <item h="1" x="692"/>
        <item h="1" x="837"/>
        <item h="1" x="760"/>
        <item h="1" x="789"/>
        <item h="1" x="855"/>
        <item h="1" x="844"/>
        <item h="1" x="830"/>
        <item h="1" x="826"/>
        <item h="1" x="481"/>
        <item h="1" x="854"/>
        <item h="1" x="597"/>
        <item h="1" x="450"/>
        <item h="1" x="842"/>
        <item h="1" x="835"/>
        <item h="1" x="797"/>
        <item h="1" x="841"/>
        <item h="1" x="848"/>
        <item h="1" x="655"/>
        <item h="1" x="670"/>
        <item h="1" x="728"/>
        <item h="1" x="638"/>
        <item h="1" x="628"/>
        <item h="1" x="740"/>
        <item h="1" x="809"/>
        <item h="1" x="678"/>
        <item h="1" x="871"/>
        <item h="1" x="868"/>
        <item h="1" x="859"/>
        <item h="1" x="792"/>
        <item h="1" x="850"/>
        <item h="1" x="773"/>
        <item h="1" x="857"/>
        <item h="1" x="658"/>
        <item h="1" x="795"/>
        <item h="1" x="576"/>
        <item h="1" x="617"/>
        <item h="1" x="351"/>
        <item h="1" x="743"/>
        <item h="1" x="860"/>
        <item h="1" x="688"/>
        <item h="1" x="876"/>
        <item h="1" x="862"/>
        <item h="1" x="827"/>
        <item h="1" x="626"/>
        <item h="1" x="659"/>
        <item h="1" x="129"/>
        <item h="1" x="814"/>
        <item h="1" x="627"/>
        <item h="1" x="898"/>
        <item h="1" x="252"/>
        <item h="1" x="775"/>
        <item h="1" x="588"/>
        <item h="1" x="737"/>
        <item h="1" x="822"/>
        <item h="1" x="623"/>
        <item h="1" x="884"/>
        <item h="1" x="875"/>
        <item h="1" x="867"/>
        <item h="1" x="703"/>
        <item h="1" x="660"/>
        <item h="1" x="615"/>
        <item h="1" x="704"/>
        <item h="1" x="801"/>
        <item h="1" x="319"/>
        <item h="1" x="766"/>
        <item h="1" x="701"/>
        <item h="1" x="895"/>
        <item h="1" x="783"/>
        <item h="1" x="893"/>
        <item h="1" x="746"/>
        <item h="1" x="853"/>
        <item h="1" x="849"/>
        <item h="1" x="878"/>
        <item h="1" x="845"/>
        <item h="1" x="900"/>
        <item h="1" x="888"/>
        <item h="1" x="863"/>
        <item h="1" x="537"/>
        <item h="1" x="864"/>
        <item h="1" x="865"/>
        <item h="1" x="879"/>
        <item h="1" x="722"/>
        <item h="1" x="811"/>
        <item h="1" x="815"/>
        <item h="1" x="691"/>
        <item h="1" x="805"/>
        <item h="1" x="836"/>
        <item h="1" x="828"/>
        <item h="1" x="902"/>
        <item h="1" x="890"/>
        <item h="1" x="897"/>
        <item h="1" x="858"/>
        <item h="1" x="598"/>
        <item h="1" x="910"/>
        <item h="1" x="846"/>
        <item h="1" x="882"/>
        <item h="1" x="616"/>
        <item h="1" x="872"/>
        <item h="1" x="765"/>
        <item h="1" x="856"/>
        <item h="1" x="866"/>
        <item h="1" x="646"/>
        <item h="1" x="870"/>
        <item h="1" x="904"/>
        <item h="1" x="916"/>
        <item h="1" x="739"/>
        <item h="1" x="536"/>
        <item h="1" x="550"/>
        <item h="1" x="907"/>
        <item h="1" x="804"/>
        <item x="20"/>
        <item h="1" m="1" x="929"/>
        <item h="1" x="611"/>
        <item h="1" x="650"/>
        <item h="1" x="771"/>
        <item h="1" x="779"/>
        <item h="1" x="791"/>
        <item h="1" x="798"/>
        <item h="1" x="812"/>
        <item h="1" x="838"/>
        <item h="1" x="843"/>
        <item h="1" x="869"/>
        <item h="1" x="873"/>
        <item h="1" x="874"/>
        <item h="1" x="889"/>
        <item h="1" x="896"/>
        <item h="1" x="901"/>
        <item h="1" x="906"/>
        <item h="1" x="908"/>
        <item h="1" x="912"/>
        <item h="1" x="918"/>
        <item h="1" x="919"/>
        <item h="1" m="1" x="931"/>
        <item h="1" x="763"/>
        <item h="1" x="803"/>
        <item h="1" x="861"/>
        <item h="1" x="903"/>
        <item h="1" x="913"/>
        <item h="1" m="1" x="930"/>
        <item h="1" x="526"/>
        <item h="1" x="785"/>
        <item h="1" x="825"/>
        <item h="1" x="833"/>
        <item h="1" x="834"/>
        <item h="1" x="851"/>
        <item h="1" x="877"/>
        <item h="1" x="881"/>
        <item h="1" x="886"/>
        <item h="1" x="891"/>
        <item h="1" x="905"/>
        <item h="1" x="909"/>
        <item h="1" x="922"/>
        <item h="1" x="923"/>
        <item h="1" x="924"/>
        <item h="1" x="0"/>
        <item h="1" x="568"/>
        <item h="1" x="639"/>
        <item h="1" x="732"/>
        <item h="1" x="768"/>
        <item h="1" x="823"/>
        <item h="1" x="847"/>
        <item h="1" x="880"/>
        <item h="1" x="883"/>
        <item h="1" x="885"/>
        <item h="1" x="887"/>
        <item h="1" x="892"/>
        <item h="1" x="894"/>
        <item h="1" x="899"/>
        <item h="1" x="911"/>
        <item h="1" x="914"/>
        <item h="1" x="915"/>
        <item h="1" x="917"/>
        <item h="1" x="920"/>
        <item h="1" x="921"/>
        <item h="1" x="925"/>
        <item h="1" x="926"/>
        <item h="1" x="927"/>
        <item h="1" x="928"/>
        <item t="default"/>
      </items>
    </pivotField>
    <pivotField showAll="0"/>
    <pivotField showAll="0"/>
    <pivotField numFmtId="164" showAll="0"/>
    <pivotField showAll="0"/>
  </pivotFields>
  <rowFields count="1">
    <field x="9"/>
  </rowFields>
  <rowItems count="81">
    <i>
      <x v="54"/>
    </i>
    <i>
      <x v="912"/>
    </i>
    <i>
      <x v="913"/>
    </i>
    <i>
      <x v="1576"/>
    </i>
    <i>
      <x v="1599"/>
    </i>
    <i>
      <x v="1600"/>
    </i>
    <i>
      <x v="1601"/>
    </i>
    <i>
      <x v="1604"/>
    </i>
    <i>
      <x v="1606"/>
    </i>
    <i>
      <x v="1607"/>
    </i>
    <i>
      <x v="1608"/>
    </i>
    <i>
      <x v="1609"/>
    </i>
    <i>
      <x v="1610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8"/>
    </i>
    <i>
      <x v="1649"/>
    </i>
    <i>
      <x v="1650"/>
    </i>
    <i>
      <x v="1651"/>
    </i>
    <i>
      <x v="1652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853"/>
    </i>
    <i>
      <x v="1854"/>
    </i>
    <i>
      <x v="1855"/>
    </i>
    <i>
      <x v="189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 t="grand">
      <x/>
    </i>
  </rowItems>
  <colItems count="1">
    <i/>
  </colItems>
  <pageFields count="2">
    <pageField fld="8" hier="-1"/>
    <pageField fld="17" hier="-1"/>
  </pageFields>
  <dataFields count="1">
    <dataField name="Количество по полю Наименование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135C3-5ECD-4CB9-BE34-1210A3F7C4F5}" name="ТабКлиенты" displayName="ТабКлиенты" ref="A1:N298" totalsRowShown="0" headerRowDxfId="122" headerRowBorderDxfId="121" tableBorderDxfId="120" totalsRowBorderDxfId="119">
  <autoFilter ref="A1:N298" xr:uid="{FE39AB12-052E-40E8-A728-2B85C215C79C}"/>
  <sortState xmlns:xlrd2="http://schemas.microsoft.com/office/spreadsheetml/2017/richdata2" ref="A2:N298">
    <sortCondition ref="B1:B298"/>
  </sortState>
  <tableColumns count="14">
    <tableColumn id="4" xr3:uid="{DA47ABD6-295A-4DE1-8731-8BCF2DAA3653}" name="_id" dataDxfId="118"/>
    <tableColumn id="1" xr3:uid="{3066F4BA-0FAE-49D3-945E-FC1F0BEB80F5}" name="name" dataDxfId="117"/>
    <tableColumn id="6" xr3:uid="{6524558B-CC79-4CDC-B820-14719B0DA126}" name="percent" dataDxfId="116"/>
    <tableColumn id="11" xr3:uid="{51E10E9D-D5CC-4DD3-9DA0-89CDD22864E6}" name="accountManager" dataDxfId="115"/>
    <tableColumn id="10" xr3:uid="{D971DD3C-D61A-4270-ADC7-BAA241461A77}" name="__v" dataDxfId="114"/>
    <tableColumn id="14" xr3:uid="{B18D46C1-9CB1-4139-8249-B9727C232591}" name="createdAt" dataDxfId="113"/>
    <tableColumn id="13" xr3:uid="{DCFE0F41-0F42-4112-9519-F71C86EE1710}" name="updatedAt" dataDxfId="112"/>
    <tableColumn id="2" xr3:uid="{FD097C46-95F7-49C8-9DE3-5BAF8BB942CB}" name="phone" dataDxfId="111"/>
    <tableColumn id="3" xr3:uid="{3A6B893A-7F5F-4060-9E9C-D84873D25630}" name="address" dataDxfId="110"/>
    <tableColumn id="12" xr3:uid="{B48E6630-B6A9-49F2-ACFF-AA8683E47CE1}" name="gps" dataDxfId="109"/>
    <tableColumn id="7" xr3:uid="{8AEDAF55-BD6D-4ACA-9B5A-F5D6A18332A6}" name="contactPerson" dataDxfId="108"/>
    <tableColumn id="9" xr3:uid="{9E4CCA4E-B829-406E-BF02-5206D4197183}" name="contactPersonPhone"/>
    <tableColumn id="5" xr3:uid="{0E01AB57-1087-41F0-AD8C-5E1EEC201BED}" name="description"/>
    <tableColumn id="8" xr3:uid="{F4393D1E-F3C1-4CCF-B695-413C0D5E9F43}" name="email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ACD5E6-2C4D-4568-ADC2-3119DFD6B52D}" name="ТабАдрес" displayName="ТабАдрес" ref="A1:H132" totalsRowShown="0">
  <autoFilter ref="A1:H132" xr:uid="{5EACD5E6-2C4D-4568-ADC2-3119DFD6B52D}"/>
  <tableColumns count="8">
    <tableColumn id="10" xr3:uid="{6BD064C9-C4EE-4F88-BB56-6B0229214157}" name="Клиент" dataDxfId="107">
      <calculatedColumnFormula>VLOOKUP(ТабАдрес[[#This Row],[customerId]],ТабКлиенты[[#All],[_id]:[name]],2,0)</calculatedColumnFormula>
    </tableColumn>
    <tableColumn id="1" xr3:uid="{17F746A9-1F10-4949-9627-A1CB4350396F}" name="_id"/>
    <tableColumn id="2" xr3:uid="{EAB6F42F-8C39-4BA0-93E1-F87F3C4F7BF8}" name="main"/>
    <tableColumn id="3" xr3:uid="{C26DBAA9-0E93-441D-8474-E09083363F0A}" name="customerId"/>
    <tableColumn id="4" xr3:uid="{3ECB8AC0-5FAA-47D8-BC4E-039490F03F29}" name="address"/>
    <tableColumn id="5" xr3:uid="{C48534C9-D165-45D7-9724-33C27414E267}" name="gps"/>
    <tableColumn id="6" xr3:uid="{092BF003-59DC-4130-A736-02245255B97E}" name="description"/>
    <tableColumn id="7" xr3:uid="{85944C73-9280-4CE2-ABF4-841944F95D0D}" name="__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10220-E38D-4C4E-8453-361BF100E08A}" name="Таблица2" displayName="Таблица2" ref="A1:B39" totalsRowShown="0">
  <autoFilter ref="A1:B39" xr:uid="{DE910220-E38D-4C4E-8453-361BF100E08A}"/>
  <tableColumns count="2">
    <tableColumn id="1" xr3:uid="{969C85A6-99E7-4ECA-9608-98B973525C4A}" name="Названия строк"/>
    <tableColumn id="2" xr3:uid="{AFEA02B0-A03F-4C1B-ADB8-16F5A3F260C5}" name="Остаток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daddr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emex.kz/ru/site/Checkcourierexe/?number=710000950997" TargetMode="External"/><Relationship Id="rId299" Type="http://schemas.openxmlformats.org/officeDocument/2006/relationships/hyperlink" Target="https://trace.emex.kz/ru/site/Checkcourierexe/?number=720000434082" TargetMode="External"/><Relationship Id="rId21" Type="http://schemas.openxmlformats.org/officeDocument/2006/relationships/hyperlink" Target="http://gdebox.com/track/PCT000000692267" TargetMode="External"/><Relationship Id="rId63" Type="http://schemas.openxmlformats.org/officeDocument/2006/relationships/hyperlink" Target="https://trace.emex.kz/ru/site/Checkcourierexe/?number=710000741061" TargetMode="External"/><Relationship Id="rId159" Type="http://schemas.openxmlformats.org/officeDocument/2006/relationships/hyperlink" Target="https://trace.emex.kz/ru/site/Checkcourierexe/?number=710002051778" TargetMode="External"/><Relationship Id="rId324" Type="http://schemas.openxmlformats.org/officeDocument/2006/relationships/hyperlink" Target="https://trace.emex.kz/ru/site/Checkcourierexe/?number=720000534912" TargetMode="External"/><Relationship Id="rId366" Type="http://schemas.openxmlformats.org/officeDocument/2006/relationships/hyperlink" Target="https://www.emex.kz/otslezhivanie-po-kazahstanu?trace=720000699777" TargetMode="External"/><Relationship Id="rId170" Type="http://schemas.openxmlformats.org/officeDocument/2006/relationships/hyperlink" Target="https://trace.emex.kz/ru/site/Checkcourierexe/?number=720000049600" TargetMode="External"/><Relationship Id="rId226" Type="http://schemas.openxmlformats.org/officeDocument/2006/relationships/hyperlink" Target="https://trace.emex.kz/ru/site/Checkcourierexe/?number=720000225185" TargetMode="External"/><Relationship Id="rId433" Type="http://schemas.openxmlformats.org/officeDocument/2006/relationships/hyperlink" Target="https://www.iherb.com/tr/cb?pcodes=SOR-68520qty1sid0_NOW-00494qty1sid0_NOW-05978qty1sid0_DRB-00125qty2sid0_YUE-00186qty1sid0_NOW-01661qty2sid0_NOW-00107qty2sid0_CLF-07211qty1sid0&amp;rcode=DLE7202" TargetMode="External"/><Relationship Id="rId268" Type="http://schemas.openxmlformats.org/officeDocument/2006/relationships/hyperlink" Target="https://trace.emex.kz/ru/site/Checkcourierexe/?number=720000342714" TargetMode="External"/><Relationship Id="rId32" Type="http://schemas.openxmlformats.org/officeDocument/2006/relationships/hyperlink" Target="https://trace.emex.kz/ru/site/Checkcourierexe/?number=710000620079" TargetMode="External"/><Relationship Id="rId74" Type="http://schemas.openxmlformats.org/officeDocument/2006/relationships/hyperlink" Target="https://boxberrypost.kz/" TargetMode="External"/><Relationship Id="rId128" Type="http://schemas.openxmlformats.org/officeDocument/2006/relationships/hyperlink" Target="https://boxberrypost.kz/" TargetMode="External"/><Relationship Id="rId335" Type="http://schemas.openxmlformats.org/officeDocument/2006/relationships/hyperlink" Target="https://trace.emex.kz/ru/site/Checkcourierexe/?number=720000571649" TargetMode="External"/><Relationship Id="rId377" Type="http://schemas.openxmlformats.org/officeDocument/2006/relationships/hyperlink" Target="https://www.emex.kz/otslezhivanie-po-kazahstanu?trace=720000716385" TargetMode="External"/><Relationship Id="rId5" Type="http://schemas.openxmlformats.org/officeDocument/2006/relationships/hyperlink" Target="https://secure.iherb.com/tr/carrierTracking?orderNumber=513762663-0&amp;trackingNumber=IHORD0000461294NPG&amp;countryCode=UA" TargetMode="External"/><Relationship Id="rId181" Type="http://schemas.openxmlformats.org/officeDocument/2006/relationships/hyperlink" Target="https://trace.emex.kz/ru/site/Checkcourierexe/?number=720000084230" TargetMode="External"/><Relationship Id="rId237" Type="http://schemas.openxmlformats.org/officeDocument/2006/relationships/hyperlink" Target="https://trace.emex.kz/ru/site/Checkcourierexe/?number=720000237274" TargetMode="External"/><Relationship Id="rId402" Type="http://schemas.openxmlformats.org/officeDocument/2006/relationships/hyperlink" Target="https://www.emex.kz/otslezhivanie-po-kazahstanu?trace=720000793891" TargetMode="External"/><Relationship Id="rId279" Type="http://schemas.openxmlformats.org/officeDocument/2006/relationships/hyperlink" Target="https://trace.emex.kz/ru/site/Checkcourierexe/?number=720000386609" TargetMode="External"/><Relationship Id="rId43" Type="http://schemas.openxmlformats.org/officeDocument/2006/relationships/hyperlink" Target="https://trace.emex.kz/ru/site/Checkcourierexe/?number=710000652834" TargetMode="External"/><Relationship Id="rId139" Type="http://schemas.openxmlformats.org/officeDocument/2006/relationships/hyperlink" Target="https://boxberrypost.kz/" TargetMode="External"/><Relationship Id="rId290" Type="http://schemas.openxmlformats.org/officeDocument/2006/relationships/hyperlink" Target="https://boxberrypost.kz/" TargetMode="External"/><Relationship Id="rId304" Type="http://schemas.openxmlformats.org/officeDocument/2006/relationships/hyperlink" Target="https://trace.emex.kz/ru/site/Checkcourierexe/?number=720000451444" TargetMode="External"/><Relationship Id="rId346" Type="http://schemas.openxmlformats.org/officeDocument/2006/relationships/hyperlink" Target="https://trace.emex.kz/ru/site/Checkcourierexe/?number=722500428790" TargetMode="External"/><Relationship Id="rId388" Type="http://schemas.openxmlformats.org/officeDocument/2006/relationships/hyperlink" Target="https://www.emex.kz/otslezhivanie-po-kazahstanu?trace=720000749515" TargetMode="External"/><Relationship Id="rId85" Type="http://schemas.openxmlformats.org/officeDocument/2006/relationships/hyperlink" Target="https://boxberrypost.kz/" TargetMode="External"/><Relationship Id="rId150" Type="http://schemas.openxmlformats.org/officeDocument/2006/relationships/hyperlink" Target="https://trace.emex.kz/ru/site/Checkcourierexe/?number=700000967207" TargetMode="External"/><Relationship Id="rId192" Type="http://schemas.openxmlformats.org/officeDocument/2006/relationships/hyperlink" Target="https://boxberrypost.kz/" TargetMode="External"/><Relationship Id="rId206" Type="http://schemas.openxmlformats.org/officeDocument/2006/relationships/hyperlink" Target="https://trace.emex.kz/ru/site/Checkcourierexe/?number=720000157150" TargetMode="External"/><Relationship Id="rId413" Type="http://schemas.openxmlformats.org/officeDocument/2006/relationships/hyperlink" Target="https://www.emex.kz/otslezhivanie-po-kazahstanu?trace=720000811064" TargetMode="External"/><Relationship Id="rId248" Type="http://schemas.openxmlformats.org/officeDocument/2006/relationships/hyperlink" Target="https://boxberrypost.kz/" TargetMode="External"/><Relationship Id="rId12" Type="http://schemas.openxmlformats.org/officeDocument/2006/relationships/hyperlink" Target="https://www.cdek.ru/ru/tracking?order_id=1354150269" TargetMode="External"/><Relationship Id="rId108" Type="http://schemas.openxmlformats.org/officeDocument/2006/relationships/hyperlink" Target="https://trace.emex.kz/ru/site/Checkcourierexe/?number=710000902643" TargetMode="External"/><Relationship Id="rId315" Type="http://schemas.openxmlformats.org/officeDocument/2006/relationships/hyperlink" Target="https://trace.emex.kz/ru/site/Checkcourierexe/?number=720000523646" TargetMode="External"/><Relationship Id="rId357" Type="http://schemas.openxmlformats.org/officeDocument/2006/relationships/hyperlink" Target="https://www.emex.kz/otslezhivanie-po-kazahstanu?trace=720000679446" TargetMode="External"/><Relationship Id="rId54" Type="http://schemas.openxmlformats.org/officeDocument/2006/relationships/hyperlink" Target="https://boxberrypost.kz/" TargetMode="External"/><Relationship Id="rId96" Type="http://schemas.openxmlformats.org/officeDocument/2006/relationships/hyperlink" Target="https://boxberrypost.kz/" TargetMode="External"/><Relationship Id="rId161" Type="http://schemas.openxmlformats.org/officeDocument/2006/relationships/hyperlink" Target="https://tk-kit.com/?tracking=&#1050;&#1054;&#1057;&#1052;&#1040;&#1056;0113786110" TargetMode="External"/><Relationship Id="rId217" Type="http://schemas.openxmlformats.org/officeDocument/2006/relationships/hyperlink" Target="https://trace.emex.kz/ru/site/Checkcourierexe/?number=720000203344" TargetMode="External"/><Relationship Id="rId399" Type="http://schemas.openxmlformats.org/officeDocument/2006/relationships/hyperlink" Target="https://www.emex.kz/otslezhivanie-po-kazahstanu?trace=720000770136" TargetMode="External"/><Relationship Id="rId259" Type="http://schemas.openxmlformats.org/officeDocument/2006/relationships/hyperlink" Target="https://trace.emex.kz/ru/site/Checkcourierexe/?number=722500226371" TargetMode="External"/><Relationship Id="rId424" Type="http://schemas.openxmlformats.org/officeDocument/2006/relationships/hyperlink" Target="https://www.iherb.com/tr/cb?pcodes=NOW-02644qty2sid0_NOW-01662qty2sid0_NCS-67142qty1sid0_CGN-01033qty2sid0_NOW-01289qty1sid0_NOW-02313qty1sid0_NOW-00372qty1sid0&amp;rcode=DFD1605" TargetMode="External"/><Relationship Id="rId23" Type="http://schemas.openxmlformats.org/officeDocument/2006/relationships/hyperlink" Target="http://gdebox.com/track/PCT000000671708" TargetMode="External"/><Relationship Id="rId119" Type="http://schemas.openxmlformats.org/officeDocument/2006/relationships/hyperlink" Target="https://boxberrypost.kz/" TargetMode="External"/><Relationship Id="rId270" Type="http://schemas.openxmlformats.org/officeDocument/2006/relationships/hyperlink" Target="https://boxberrypost.kz/" TargetMode="External"/><Relationship Id="rId326" Type="http://schemas.openxmlformats.org/officeDocument/2006/relationships/hyperlink" Target="https://boxberrypost.kz/" TargetMode="External"/><Relationship Id="rId65" Type="http://schemas.openxmlformats.org/officeDocument/2006/relationships/hyperlink" Target="https://trace.emex.kz/ru/site/Checkcourierexe/?number=710000732635" TargetMode="External"/><Relationship Id="rId130" Type="http://schemas.openxmlformats.org/officeDocument/2006/relationships/hyperlink" Target="https://trace.emex.kz/ru/site/Checkcourierexe/?number=710000988797" TargetMode="External"/><Relationship Id="rId368" Type="http://schemas.openxmlformats.org/officeDocument/2006/relationships/hyperlink" Target="https://www.emex.kz/otslezhivanie-po-kazahstanu?trace=722500465438" TargetMode="External"/><Relationship Id="rId172" Type="http://schemas.openxmlformats.org/officeDocument/2006/relationships/hyperlink" Target="https://trace.emex.kz/ru/site/Checkcourierexe/?number=720000053678" TargetMode="External"/><Relationship Id="rId228" Type="http://schemas.openxmlformats.org/officeDocument/2006/relationships/hyperlink" Target="https://boxberrypost.kz/" TargetMode="External"/><Relationship Id="rId435" Type="http://schemas.openxmlformats.org/officeDocument/2006/relationships/hyperlink" Target="https://www.iherb.com/tr/cb?pcodes=WOR-59777qty2sid0_NOW-03770qty1sid0_NOW-03878qty1sid0_CLF-07211qty1sid0_NOW-01290qty1sid0_NOW-01292qty1sid0_CGN-00856qty2sid0_CGN-01033qty2sid0_WNW-58500qty1sid0&amp;rcode=DFD1605" TargetMode="External"/><Relationship Id="rId281" Type="http://schemas.openxmlformats.org/officeDocument/2006/relationships/hyperlink" Target="https://trace.emex.kz/ru/site/Checkcourierexe/?number=720000399898" TargetMode="External"/><Relationship Id="rId337" Type="http://schemas.openxmlformats.org/officeDocument/2006/relationships/hyperlink" Target="https://trace.emex.kz/ru/site/Checkcourierexe/?number=720000589736" TargetMode="External"/><Relationship Id="rId34" Type="http://schemas.openxmlformats.org/officeDocument/2006/relationships/hyperlink" Target="https://trace.emex.kz/ru/site/Checkcourierexe/?number=710000638956" TargetMode="External"/><Relationship Id="rId76" Type="http://schemas.openxmlformats.org/officeDocument/2006/relationships/hyperlink" Target="https://trace.emex.kz/ru/site/Checkcourierexe/?number=710000790688" TargetMode="External"/><Relationship Id="rId141" Type="http://schemas.openxmlformats.org/officeDocument/2006/relationships/hyperlink" Target="https://trace.emex.kz/ru/site/Checkcourierexe/?number=700000951790" TargetMode="External"/><Relationship Id="rId379" Type="http://schemas.openxmlformats.org/officeDocument/2006/relationships/hyperlink" Target="https://www.emex.kz/otslezhivanie-po-kazahstanu?trace=722500479387" TargetMode="External"/><Relationship Id="rId7" Type="http://schemas.openxmlformats.org/officeDocument/2006/relationships/hyperlink" Target="https://www.cdek.ru/ru/tracking?order_id=1371469533" TargetMode="External"/><Relationship Id="rId183" Type="http://schemas.openxmlformats.org/officeDocument/2006/relationships/hyperlink" Target="https://boxberrypost.kz/" TargetMode="External"/><Relationship Id="rId239" Type="http://schemas.openxmlformats.org/officeDocument/2006/relationships/hyperlink" Target="https://trace.emex.kz/ru/site/Checkcourierexe/?number=720000248019" TargetMode="External"/><Relationship Id="rId390" Type="http://schemas.openxmlformats.org/officeDocument/2006/relationships/hyperlink" Target="https://www.emex.kz/otslezhivanie-po-kazahstanu?trace=720000754823" TargetMode="External"/><Relationship Id="rId404" Type="http://schemas.openxmlformats.org/officeDocument/2006/relationships/hyperlink" Target="https://www.emex.kz/otslezhivanie-po-kazahstanu?trace=722500530069" TargetMode="External"/><Relationship Id="rId250" Type="http://schemas.openxmlformats.org/officeDocument/2006/relationships/hyperlink" Target="https://trace.emex.kz/ru/site/Checkcourierexe/?number=720000264382" TargetMode="External"/><Relationship Id="rId292" Type="http://schemas.openxmlformats.org/officeDocument/2006/relationships/hyperlink" Target="https://boxberrypost.kz/" TargetMode="External"/><Relationship Id="rId306" Type="http://schemas.openxmlformats.org/officeDocument/2006/relationships/hyperlink" Target="https://trace.emex.kz/ru/site/Checkcourierexe/?number=722500298707" TargetMode="External"/><Relationship Id="rId45" Type="http://schemas.openxmlformats.org/officeDocument/2006/relationships/hyperlink" Target="https://boxberrypost.kz/" TargetMode="External"/><Relationship Id="rId87" Type="http://schemas.openxmlformats.org/officeDocument/2006/relationships/hyperlink" Target="https://trace.emex.kz/ru/site/Checkcourierexe/?number=710000841136" TargetMode="External"/><Relationship Id="rId110" Type="http://schemas.openxmlformats.org/officeDocument/2006/relationships/hyperlink" Target="https://trace.emex.kz/ru/site/Checkcourierexe/?number=710000931146" TargetMode="External"/><Relationship Id="rId348" Type="http://schemas.openxmlformats.org/officeDocument/2006/relationships/hyperlink" Target="https://trace.emex.kz/ru/site/Checkcourierexe/?number=720000653114" TargetMode="External"/><Relationship Id="rId152" Type="http://schemas.openxmlformats.org/officeDocument/2006/relationships/hyperlink" Target="https://trace.emex.kz/ru/site/Checkcourierexe/?number=700000977560" TargetMode="External"/><Relationship Id="rId194" Type="http://schemas.openxmlformats.org/officeDocument/2006/relationships/hyperlink" Target="https://boxberrypost.kz/" TargetMode="External"/><Relationship Id="rId208" Type="http://schemas.openxmlformats.org/officeDocument/2006/relationships/hyperlink" Target="https://trace.emex.kz/ru/site/Checkcourierexe/?number=720000176291" TargetMode="External"/><Relationship Id="rId415" Type="http://schemas.openxmlformats.org/officeDocument/2006/relationships/hyperlink" Target="https://www.iherb.com/tr/cb?pcodes=PAR-77871qty2sid0_PAR-77872qty2sid0_LEX-23151qty2sid0_CGN-01065qty1sid0_LKN-01663qty1sid0_SWV-11877qty2sid0_CAL-51610qty1sid0&amp;rcode=DFD1605" TargetMode="External"/><Relationship Id="rId261" Type="http://schemas.openxmlformats.org/officeDocument/2006/relationships/hyperlink" Target="https://trace.emex.kz/ru/site/Checkcourierexe/?number=720000304255" TargetMode="External"/><Relationship Id="rId14" Type="http://schemas.openxmlformats.org/officeDocument/2006/relationships/hyperlink" Target="https://www.cdek.ru/ru/tracking?order_id=1380248137" TargetMode="External"/><Relationship Id="rId56" Type="http://schemas.openxmlformats.org/officeDocument/2006/relationships/hyperlink" Target="https://boxberrypost.kz/" TargetMode="External"/><Relationship Id="rId317" Type="http://schemas.openxmlformats.org/officeDocument/2006/relationships/hyperlink" Target="https://trace.emex.kz/ru/site/Checkcourierexe/?number=720000515302" TargetMode="External"/><Relationship Id="rId359" Type="http://schemas.openxmlformats.org/officeDocument/2006/relationships/hyperlink" Target="https://www.emex.kz/otslezhivanie-po-kazahstanu?trace=" TargetMode="External"/><Relationship Id="rId98" Type="http://schemas.openxmlformats.org/officeDocument/2006/relationships/hyperlink" Target="https://boxberrypost.kz/" TargetMode="External"/><Relationship Id="rId121" Type="http://schemas.openxmlformats.org/officeDocument/2006/relationships/hyperlink" Target="https://boxberrypost.kz/" TargetMode="External"/><Relationship Id="rId163" Type="http://schemas.openxmlformats.org/officeDocument/2006/relationships/hyperlink" Target="https://tk-kit.com/?tracking=&#1050;&#1054;&#1057;&#1052;&#1040;&#1056;0113875328" TargetMode="External"/><Relationship Id="rId219" Type="http://schemas.openxmlformats.org/officeDocument/2006/relationships/hyperlink" Target="https://boxberrypost.kz/" TargetMode="External"/><Relationship Id="rId370" Type="http://schemas.openxmlformats.org/officeDocument/2006/relationships/hyperlink" Target="https://www.emex.kz/otslezhivanie-po-kazahstanu?trace=720000707680" TargetMode="External"/><Relationship Id="rId426" Type="http://schemas.openxmlformats.org/officeDocument/2006/relationships/hyperlink" Target="https://www.iherb.com/tr/cb?pcodes=NOW-01482qty1sid0_LEX-33510qty1sid0_LEX-30210qty1sid0_CLF-06419qty1sid0_SOR-04802qty2sid0_SOR-45931qty1sid0_LKN-01663qty1sid0_BLB-00654qty1sid0_NAP-03764qty1sid0_MTG-03072qty1sid0&amp;rcode=CYG0792" TargetMode="External"/><Relationship Id="rId230" Type="http://schemas.openxmlformats.org/officeDocument/2006/relationships/hyperlink" Target="https://boxberrypost.kz/" TargetMode="External"/><Relationship Id="rId25" Type="http://schemas.openxmlformats.org/officeDocument/2006/relationships/hyperlink" Target="http://gdebox.com/track/PCT000000674949" TargetMode="External"/><Relationship Id="rId67" Type="http://schemas.openxmlformats.org/officeDocument/2006/relationships/hyperlink" Target="https://boxberrypost.kz/" TargetMode="External"/><Relationship Id="rId272" Type="http://schemas.openxmlformats.org/officeDocument/2006/relationships/hyperlink" Target="https://boxberrypost.kz/" TargetMode="External"/><Relationship Id="rId328" Type="http://schemas.openxmlformats.org/officeDocument/2006/relationships/hyperlink" Target="https://boxberrypost.kz/" TargetMode="External"/><Relationship Id="rId132" Type="http://schemas.openxmlformats.org/officeDocument/2006/relationships/hyperlink" Target="https://trace.emex.kz/ru/site/Checkcourierexe/?number=700000923063" TargetMode="External"/><Relationship Id="rId174" Type="http://schemas.openxmlformats.org/officeDocument/2006/relationships/hyperlink" Target="https://trace.emex.kz/ru/site/Checkcourierexe/?number=720000069872" TargetMode="External"/><Relationship Id="rId381" Type="http://schemas.openxmlformats.org/officeDocument/2006/relationships/hyperlink" Target="https://www.emex.kz/otslezhivanie-po-kazahstanu?trace=720000740761" TargetMode="External"/><Relationship Id="rId241" Type="http://schemas.openxmlformats.org/officeDocument/2006/relationships/hyperlink" Target="https://trace.emex.kz/ru/site/Checkcourierexe/?number=720000250552" TargetMode="External"/><Relationship Id="rId437" Type="http://schemas.openxmlformats.org/officeDocument/2006/relationships/hyperlink" Target="https://www.iherb.com/tr/cb?pcodes=MII-02378qty1sid0_NOW-02644qty1sid0_NOW-01444qty1sid0_NOW-00376qty3sid0_NCS-67377qty1sid0_PTF-10560qty1sid0_NOW-00373qty1sid0_MII-02366qty1sid0_MII-02373qty1sid0&amp;rcode=CZN6870" TargetMode="External"/><Relationship Id="rId36" Type="http://schemas.openxmlformats.org/officeDocument/2006/relationships/hyperlink" Target="https://trace.emex.kz/ru/site/Checkcourierexe/?number=710000620367" TargetMode="External"/><Relationship Id="rId283" Type="http://schemas.openxmlformats.org/officeDocument/2006/relationships/hyperlink" Target="https://trace.emex.kz/ru/site/Checkcourierexe/?number=720000392740" TargetMode="External"/><Relationship Id="rId339" Type="http://schemas.openxmlformats.org/officeDocument/2006/relationships/hyperlink" Target="https://trace.emex.kz/ru/site/Checkcourierexe/?number=722500390938" TargetMode="External"/><Relationship Id="rId78" Type="http://schemas.openxmlformats.org/officeDocument/2006/relationships/hyperlink" Target="https://boxberrypost.kz/" TargetMode="External"/><Relationship Id="rId101" Type="http://schemas.openxmlformats.org/officeDocument/2006/relationships/hyperlink" Target="https://boxberrypost.kz/" TargetMode="External"/><Relationship Id="rId143" Type="http://schemas.openxmlformats.org/officeDocument/2006/relationships/hyperlink" Target="https://boxberrypost.kz/" TargetMode="External"/><Relationship Id="rId185" Type="http://schemas.openxmlformats.org/officeDocument/2006/relationships/hyperlink" Target="https://boxberrypost.kz/" TargetMode="External"/><Relationship Id="rId350" Type="http://schemas.openxmlformats.org/officeDocument/2006/relationships/hyperlink" Target="https://www.emex.kz/otslezhivanie-po-kazahstanu?trace=720000662524" TargetMode="External"/><Relationship Id="rId406" Type="http://schemas.openxmlformats.org/officeDocument/2006/relationships/hyperlink" Target="https://www.emex.kz/otslezhivanie-po-kazahstanu?trace=720000802326" TargetMode="External"/><Relationship Id="rId9" Type="http://schemas.openxmlformats.org/officeDocument/2006/relationships/hyperlink" Target="http://gdebox.com/track/PCT000000671716" TargetMode="External"/><Relationship Id="rId210" Type="http://schemas.openxmlformats.org/officeDocument/2006/relationships/hyperlink" Target="https://boxberrypost.kz/" TargetMode="External"/><Relationship Id="rId392" Type="http://schemas.openxmlformats.org/officeDocument/2006/relationships/hyperlink" Target="https://www.emex.kz/otslezhivanie-po-kazahstanu?trace=722500504671" TargetMode="External"/><Relationship Id="rId252" Type="http://schemas.openxmlformats.org/officeDocument/2006/relationships/hyperlink" Target="https://trace.emex.kz/ru/site/Checkcourierexe/?number=720000252407" TargetMode="External"/><Relationship Id="rId294" Type="http://schemas.openxmlformats.org/officeDocument/2006/relationships/hyperlink" Target="https://boxberrypost.kz/" TargetMode="External"/><Relationship Id="rId308" Type="http://schemas.openxmlformats.org/officeDocument/2006/relationships/hyperlink" Target="https://trace.emex.kz/ru/site/Checkcourierexe/?number=720000470754" TargetMode="External"/><Relationship Id="rId47" Type="http://schemas.openxmlformats.org/officeDocument/2006/relationships/hyperlink" Target="https://boxberrypost.kz/" TargetMode="External"/><Relationship Id="rId89" Type="http://schemas.openxmlformats.org/officeDocument/2006/relationships/hyperlink" Target="https://boxberrypost.kz/" TargetMode="External"/><Relationship Id="rId112" Type="http://schemas.openxmlformats.org/officeDocument/2006/relationships/hyperlink" Target="https://trace.emex.kz/ru/site/Checkcourierexe/?number=710000927997" TargetMode="External"/><Relationship Id="rId154" Type="http://schemas.openxmlformats.org/officeDocument/2006/relationships/hyperlink" Target="https://trace.emex.kz/ru/site/Checkcourierexe/?number=700000972885" TargetMode="External"/><Relationship Id="rId361" Type="http://schemas.openxmlformats.org/officeDocument/2006/relationships/hyperlink" Target="https://www.emex.kz/otslezhivanie-po-kazahstanu?trace=720000690733" TargetMode="External"/><Relationship Id="rId196" Type="http://schemas.openxmlformats.org/officeDocument/2006/relationships/hyperlink" Target="https://boxberrypost.kz/" TargetMode="External"/><Relationship Id="rId417" Type="http://schemas.openxmlformats.org/officeDocument/2006/relationships/hyperlink" Target="https://www.iherb.com/tr/cb?pcodes=EGM-93026qty1sid0_CGN-02272qty1sid0_FOA-66104qty1sid0_CGN-01258qty1sid0_NCS-67068qty1sid0_WNW-58500qty1sid0_LAG-35602qty1sid0_LAG-35603qty1sid0_NCS-67842qty1sid0_PIF-48549qty1sid0_MBY-05089qty1sid0&amp;rcode=DLE7202" TargetMode="External"/><Relationship Id="rId16" Type="http://schemas.openxmlformats.org/officeDocument/2006/relationships/hyperlink" Target="https://www.cdek.ru/ru/tracking?order_id=1355694975" TargetMode="External"/><Relationship Id="rId221" Type="http://schemas.openxmlformats.org/officeDocument/2006/relationships/hyperlink" Target="https://trace.emex.kz/ru/site/Checkcourierexe/?number=720000209993" TargetMode="External"/><Relationship Id="rId263" Type="http://schemas.openxmlformats.org/officeDocument/2006/relationships/hyperlink" Target="https://trace.emex.kz/ru/site/Checkcourierexe/?number=720000335875" TargetMode="External"/><Relationship Id="rId319" Type="http://schemas.openxmlformats.org/officeDocument/2006/relationships/hyperlink" Target="https://trace.emex.kz/ru/site/Checkcourierexe/?number=720000539796" TargetMode="External"/><Relationship Id="rId58" Type="http://schemas.openxmlformats.org/officeDocument/2006/relationships/hyperlink" Target="https://boxberrypost.kz/" TargetMode="External"/><Relationship Id="rId123" Type="http://schemas.openxmlformats.org/officeDocument/2006/relationships/hyperlink" Target="https://trace.emex.kz/ru/site/Checkcourierexe/?number=710000983587" TargetMode="External"/><Relationship Id="rId330" Type="http://schemas.openxmlformats.org/officeDocument/2006/relationships/hyperlink" Target="https://boxberrypost.kz/" TargetMode="External"/><Relationship Id="rId165" Type="http://schemas.openxmlformats.org/officeDocument/2006/relationships/hyperlink" Target="https://tk-kit.com/?tracking=&#1050;&#1054;&#1057;&#1052;&#1040;&#1056;0113875328" TargetMode="External"/><Relationship Id="rId372" Type="http://schemas.openxmlformats.org/officeDocument/2006/relationships/hyperlink" Target="https://www.emex.kz/otslezhivanie-po-kazahstanu?trace=720000720328" TargetMode="External"/><Relationship Id="rId428" Type="http://schemas.openxmlformats.org/officeDocument/2006/relationships/hyperlink" Target="https://www.iherb.com/tr/cb?pcodes=CLF-07211qty1sid0_DRB-00125qty1sid0_LEX-19456qty2sid0_CGN-01429qty1sid0_NCS-57165qty1sid0_NCS-57259qty1sid0_NOW-00376qty1sid0&amp;rcode=CYG0792" TargetMode="External"/><Relationship Id="rId232" Type="http://schemas.openxmlformats.org/officeDocument/2006/relationships/hyperlink" Target="https://boxberrypost.kz/" TargetMode="External"/><Relationship Id="rId274" Type="http://schemas.openxmlformats.org/officeDocument/2006/relationships/hyperlink" Target="https://boxberrypost.kz/" TargetMode="External"/><Relationship Id="rId27" Type="http://schemas.openxmlformats.org/officeDocument/2006/relationships/hyperlink" Target="http://gdebox.com/track/PCT000000698310" TargetMode="External"/><Relationship Id="rId69" Type="http://schemas.openxmlformats.org/officeDocument/2006/relationships/hyperlink" Target="https://trace.emex.kz/ru/site/Checkcourierexe/?number=710000772381" TargetMode="External"/><Relationship Id="rId134" Type="http://schemas.openxmlformats.org/officeDocument/2006/relationships/hyperlink" Target="https://trace.emex.kz/ru/site/Checkcourierexe/?number=710000994812" TargetMode="External"/><Relationship Id="rId80" Type="http://schemas.openxmlformats.org/officeDocument/2006/relationships/hyperlink" Target="https://trace.emex.kz/ru/site/Checkcourierexe/?number=710000817994" TargetMode="External"/><Relationship Id="rId176" Type="http://schemas.openxmlformats.org/officeDocument/2006/relationships/hyperlink" Target="https://boxberrypost.kz/" TargetMode="External"/><Relationship Id="rId341" Type="http://schemas.openxmlformats.org/officeDocument/2006/relationships/hyperlink" Target="https://trace.emex.kz/ru/site/Checkcourierexe/?number=722500403983" TargetMode="External"/><Relationship Id="rId383" Type="http://schemas.openxmlformats.org/officeDocument/2006/relationships/hyperlink" Target="https://www.emex.kz/otslezhivanie-po-kazahstanu?trace=720000732422" TargetMode="External"/><Relationship Id="rId439" Type="http://schemas.openxmlformats.org/officeDocument/2006/relationships/hyperlink" Target="https://www.iherb.com/tr/cb?pcodes=NOW-01661qty1sid0_NOW-01662qty3sid0_CGN-00856qty1sid0_NUR-00112qty1sid0_FOA-66165qty1sid0_NOW-02313qty1sid0&amp;rcode=CYG0792" TargetMode="External"/><Relationship Id="rId201" Type="http://schemas.openxmlformats.org/officeDocument/2006/relationships/hyperlink" Target="https://trace.emex.kz/ru/site/Checkcourierexe/?number=720000144380" TargetMode="External"/><Relationship Id="rId243" Type="http://schemas.openxmlformats.org/officeDocument/2006/relationships/hyperlink" Target="https://boxberrypost.kz/" TargetMode="External"/><Relationship Id="rId285" Type="http://schemas.openxmlformats.org/officeDocument/2006/relationships/hyperlink" Target="https://trace.emex.kz/ru/site/Checkcourierexe/?number=720000399194" TargetMode="External"/><Relationship Id="rId38" Type="http://schemas.openxmlformats.org/officeDocument/2006/relationships/hyperlink" Target="https://trace.emex.kz/ru/site/Checkcourierexe/?number=710000646999" TargetMode="External"/><Relationship Id="rId103" Type="http://schemas.openxmlformats.org/officeDocument/2006/relationships/hyperlink" Target="https://trace.emex.kz/ru/site/Checkcourierexe/?number=710000910338" TargetMode="External"/><Relationship Id="rId310" Type="http://schemas.openxmlformats.org/officeDocument/2006/relationships/hyperlink" Target="https://trace.emex.kz/ru/site/Checkcourierexe/?number=720000497681" TargetMode="External"/><Relationship Id="rId91" Type="http://schemas.openxmlformats.org/officeDocument/2006/relationships/hyperlink" Target="https://boxberrypost.kz/" TargetMode="External"/><Relationship Id="rId145" Type="http://schemas.openxmlformats.org/officeDocument/2006/relationships/hyperlink" Target="https://boxberrypost.kz/" TargetMode="External"/><Relationship Id="rId187" Type="http://schemas.openxmlformats.org/officeDocument/2006/relationships/hyperlink" Target="https://trace.emex.kz/ru/site/Checkcourierexe/?number=720000111573" TargetMode="External"/><Relationship Id="rId352" Type="http://schemas.openxmlformats.org/officeDocument/2006/relationships/hyperlink" Target="https://trace.emex.kz/ru/site/Checkcourierexe/?number=722500437916" TargetMode="External"/><Relationship Id="rId394" Type="http://schemas.openxmlformats.org/officeDocument/2006/relationships/hyperlink" Target="https://www.emex.kz/otslezhivanie-po-kazahstanu?trace=720000761904" TargetMode="External"/><Relationship Id="rId408" Type="http://schemas.openxmlformats.org/officeDocument/2006/relationships/hyperlink" Target="https://www.emex.kz/otslezhivanie-po-kazahstanu?trace=720000831595" TargetMode="External"/><Relationship Id="rId212" Type="http://schemas.openxmlformats.org/officeDocument/2006/relationships/hyperlink" Target="https://trace.emex.kz/ru/site/Checkcourierexe/?number=720000180301" TargetMode="External"/><Relationship Id="rId254" Type="http://schemas.openxmlformats.org/officeDocument/2006/relationships/hyperlink" Target="https://trace.emex.kz/ru/site/Checkcourierexe/?number=720000277361" TargetMode="External"/><Relationship Id="rId49" Type="http://schemas.openxmlformats.org/officeDocument/2006/relationships/hyperlink" Target="https://trace.emex.kz/ru/site/Checkcourierexe/?number=710000681685" TargetMode="External"/><Relationship Id="rId114" Type="http://schemas.openxmlformats.org/officeDocument/2006/relationships/hyperlink" Target="https://boxberrypost.kz/" TargetMode="External"/><Relationship Id="rId296" Type="http://schemas.openxmlformats.org/officeDocument/2006/relationships/hyperlink" Target="https://boxberrypost.kz/" TargetMode="External"/><Relationship Id="rId60" Type="http://schemas.openxmlformats.org/officeDocument/2006/relationships/hyperlink" Target="https://trace.emex.kz/ru/site/Checkcourierexe/?number=710000713512" TargetMode="External"/><Relationship Id="rId156" Type="http://schemas.openxmlformats.org/officeDocument/2006/relationships/hyperlink" Target="https://trace.emex.kz/ru/site/Checkcourierexe/?number=720000011013" TargetMode="External"/><Relationship Id="rId198" Type="http://schemas.openxmlformats.org/officeDocument/2006/relationships/hyperlink" Target="https://trace.emex.kz/ru/site/Checkcourierexe/?number=720000136447" TargetMode="External"/><Relationship Id="rId321" Type="http://schemas.openxmlformats.org/officeDocument/2006/relationships/hyperlink" Target="https://trace.emex.kz/ru/site/Checkcourierexe/?number=720000537389" TargetMode="External"/><Relationship Id="rId363" Type="http://schemas.openxmlformats.org/officeDocument/2006/relationships/hyperlink" Target="https://www.emex.kz/otslezhivanie-po-kazahstanu?trace=720000682876" TargetMode="External"/><Relationship Id="rId419" Type="http://schemas.openxmlformats.org/officeDocument/2006/relationships/hyperlink" Target="https://www.iherb.com/tr/cb?pcodes=NCS-67322qty1sid0_SOR-00448qty1sid0_NOW-01492qty1sid0_VMC-47137qty1sid0_QNL-00177qty2sid0_PAR-77872qty2sid0_NOW-00670qty1sid0&amp;rcode=CYG0792" TargetMode="External"/><Relationship Id="rId202" Type="http://schemas.openxmlformats.org/officeDocument/2006/relationships/hyperlink" Target="https://trace.emex.kz/ru/site/Checkcourierexe/?number=720000163398" TargetMode="External"/><Relationship Id="rId223" Type="http://schemas.openxmlformats.org/officeDocument/2006/relationships/hyperlink" Target="https://trace.emex.kz/ru/site/Checkcourierexe/?number=720000208908" TargetMode="External"/><Relationship Id="rId244" Type="http://schemas.openxmlformats.org/officeDocument/2006/relationships/hyperlink" Target="https://boxberrypost.kz/" TargetMode="External"/><Relationship Id="rId430" Type="http://schemas.openxmlformats.org/officeDocument/2006/relationships/hyperlink" Target="https://www.iherb.com/tr/cb?pcodes=SOL-02028qty1sid0_SOL-02058qty1sid0_QNL-00177qty1sid0_NCS-67130qty1sid0&amp;rcode=DLE7202" TargetMode="External"/><Relationship Id="rId18" Type="http://schemas.openxmlformats.org/officeDocument/2006/relationships/hyperlink" Target="https://www.cdek.ru/ru/tracking?order_id=1384032712" TargetMode="External"/><Relationship Id="rId39" Type="http://schemas.openxmlformats.org/officeDocument/2006/relationships/hyperlink" Target="https://boxberrypost.kz/" TargetMode="External"/><Relationship Id="rId265" Type="http://schemas.openxmlformats.org/officeDocument/2006/relationships/hyperlink" Target="https://trace.emex.kz/ru/site/Checkcourierexe/?number=720000322434" TargetMode="External"/><Relationship Id="rId286" Type="http://schemas.openxmlformats.org/officeDocument/2006/relationships/hyperlink" Target="https://trace.emex.kz/ru/site/Checkcourierexe/?number=720000425262" TargetMode="External"/><Relationship Id="rId50" Type="http://schemas.openxmlformats.org/officeDocument/2006/relationships/hyperlink" Target="https://trace.emex.kz/ru/site/Checkcourierexe/?number=710000688854" TargetMode="External"/><Relationship Id="rId104" Type="http://schemas.openxmlformats.org/officeDocument/2006/relationships/hyperlink" Target="https://trace.emex.kz/ru/site/Checkcourierexe/?number=710000894435" TargetMode="External"/><Relationship Id="rId125" Type="http://schemas.openxmlformats.org/officeDocument/2006/relationships/hyperlink" Target="https://trace.emex.kz/ru/site/Checkcourierexe/?number=710000982348" TargetMode="External"/><Relationship Id="rId146" Type="http://schemas.openxmlformats.org/officeDocument/2006/relationships/hyperlink" Target="https://boxberrypost.kz/" TargetMode="External"/><Relationship Id="rId167" Type="http://schemas.openxmlformats.org/officeDocument/2006/relationships/hyperlink" Target="https://trace.emex.kz/ru/site/Checkcourierexe/?number=720000032862" TargetMode="External"/><Relationship Id="rId188" Type="http://schemas.openxmlformats.org/officeDocument/2006/relationships/hyperlink" Target="https://trace.emex.kz/ru/site/Checkcourierexe/?number=720000106807" TargetMode="External"/><Relationship Id="rId311" Type="http://schemas.openxmlformats.org/officeDocument/2006/relationships/hyperlink" Target="https://trace.emex.kz/ru/site/Checkcourierexe/?number=720000519891" TargetMode="External"/><Relationship Id="rId332" Type="http://schemas.openxmlformats.org/officeDocument/2006/relationships/hyperlink" Target="https://trace.emex.kz/ru/site/Checkcourierexe/?number=720000565805" TargetMode="External"/><Relationship Id="rId353" Type="http://schemas.openxmlformats.org/officeDocument/2006/relationships/hyperlink" Target="https://trace.emex.kz/ru/site/Checkcourierexe/?number=720000659818" TargetMode="External"/><Relationship Id="rId374" Type="http://schemas.openxmlformats.org/officeDocument/2006/relationships/hyperlink" Target="https://www.emex.kz/otslezhivanie-po-kazahstanu?trace=720000722201" TargetMode="External"/><Relationship Id="rId395" Type="http://schemas.openxmlformats.org/officeDocument/2006/relationships/hyperlink" Target="https://www.emex.kz/otslezhivanie-po-kazahstanu?trace=720000766767" TargetMode="External"/><Relationship Id="rId409" Type="http://schemas.openxmlformats.org/officeDocument/2006/relationships/hyperlink" Target="https://www.emex.kz/otslezhivanie-po-kazahstanu?trace=720000837761" TargetMode="External"/><Relationship Id="rId71" Type="http://schemas.openxmlformats.org/officeDocument/2006/relationships/hyperlink" Target="https://trace.emex.kz/ru/site/Checkcourierexe/?number=710000746689" TargetMode="External"/><Relationship Id="rId92" Type="http://schemas.openxmlformats.org/officeDocument/2006/relationships/hyperlink" Target="https://trace.emex.kz/ru/site/Checkcourierexe/?number=710000859578" TargetMode="External"/><Relationship Id="rId213" Type="http://schemas.openxmlformats.org/officeDocument/2006/relationships/hyperlink" Target="https://boxberrypost.kz/" TargetMode="External"/><Relationship Id="rId234" Type="http://schemas.openxmlformats.org/officeDocument/2006/relationships/hyperlink" Target="https://boxberrypost.kz/" TargetMode="External"/><Relationship Id="rId420" Type="http://schemas.openxmlformats.org/officeDocument/2006/relationships/hyperlink" Target="https://www.iherb.com/tr/cb?pcodes=FDI-05091qty1sid0_SWV-02375qty1sid0_RMS-06809qty1sid0_CAR-02653qty1sid0_NCS-67314qty1sid0_DLM-92341qty1sid0_DLM-92348qty1sid0_THR-10403qty1sid0_PAR-77891qty1sid0_NCS-57239qty1sid0_LOE-67294qty1sid0_CGN-02168qty1sid0&amp;rcode=CZN6870" TargetMode="External"/><Relationship Id="rId2" Type="http://schemas.openxmlformats.org/officeDocument/2006/relationships/hyperlink" Target="https://secure.iherb.com/tr/carrierTracking?orderNumber=514043517-0&amp;trackingNumber=IHORD0000487784NPG&amp;countryCode=UA" TargetMode="External"/><Relationship Id="rId29" Type="http://schemas.openxmlformats.org/officeDocument/2006/relationships/hyperlink" Target="http://gdebox.com/track/PCT000000703887" TargetMode="External"/><Relationship Id="rId255" Type="http://schemas.openxmlformats.org/officeDocument/2006/relationships/hyperlink" Target="https://trace.emex.kz/ru/site/Checkcourierexe/?number=720000282915" TargetMode="External"/><Relationship Id="rId276" Type="http://schemas.openxmlformats.org/officeDocument/2006/relationships/hyperlink" Target="https://trace.emex.kz/ru/site/Checkcourierexe/?number=720000375908" TargetMode="External"/><Relationship Id="rId297" Type="http://schemas.openxmlformats.org/officeDocument/2006/relationships/hyperlink" Target="https://trace.emex.kz/ru/site/Checkcourierexe/?number=720000437026" TargetMode="External"/><Relationship Id="rId441" Type="http://schemas.openxmlformats.org/officeDocument/2006/relationships/vmlDrawing" Target="../drawings/vmlDrawing1.vml"/><Relationship Id="rId40" Type="http://schemas.openxmlformats.org/officeDocument/2006/relationships/hyperlink" Target="https://boxberrypost.kz/" TargetMode="External"/><Relationship Id="rId115" Type="http://schemas.openxmlformats.org/officeDocument/2006/relationships/hyperlink" Target="https://boxberrypost.kz/" TargetMode="External"/><Relationship Id="rId136" Type="http://schemas.openxmlformats.org/officeDocument/2006/relationships/hyperlink" Target="https://boxberrypost.kz/" TargetMode="External"/><Relationship Id="rId157" Type="http://schemas.openxmlformats.org/officeDocument/2006/relationships/hyperlink" Target="https://trace.emex.kz/ru/site/Checkcourierexe/?number=700000999293" TargetMode="External"/><Relationship Id="rId178" Type="http://schemas.openxmlformats.org/officeDocument/2006/relationships/hyperlink" Target="https://boxberrypost.kz/" TargetMode="External"/><Relationship Id="rId301" Type="http://schemas.openxmlformats.org/officeDocument/2006/relationships/hyperlink" Target="https://boxberrypost.kz/" TargetMode="External"/><Relationship Id="rId322" Type="http://schemas.openxmlformats.org/officeDocument/2006/relationships/hyperlink" Target="https://trace.emex.kz/ru/site/Checkcourierexe/?number=720000543584" TargetMode="External"/><Relationship Id="rId343" Type="http://schemas.openxmlformats.org/officeDocument/2006/relationships/hyperlink" Target="https://trace.emex.kz/ru/site/Checkcourierexe/?number=722500415855" TargetMode="External"/><Relationship Id="rId364" Type="http://schemas.openxmlformats.org/officeDocument/2006/relationships/hyperlink" Target="https://www.emex.kz/otslezhivanie-po-kazahstanu?trace=720000692746" TargetMode="External"/><Relationship Id="rId61" Type="http://schemas.openxmlformats.org/officeDocument/2006/relationships/hyperlink" Target="https://boxberrypost.kz/" TargetMode="External"/><Relationship Id="rId82" Type="http://schemas.openxmlformats.org/officeDocument/2006/relationships/hyperlink" Target="https://trace.emex.kz/ru/site/Checkcourierexe/?number=710000812893" TargetMode="External"/><Relationship Id="rId199" Type="http://schemas.openxmlformats.org/officeDocument/2006/relationships/hyperlink" Target="https://boxberrypost.kz/" TargetMode="External"/><Relationship Id="rId203" Type="http://schemas.openxmlformats.org/officeDocument/2006/relationships/hyperlink" Target="https://boxberrypost.kz/" TargetMode="External"/><Relationship Id="rId385" Type="http://schemas.openxmlformats.org/officeDocument/2006/relationships/hyperlink" Target="https://www.emex.kz/otslezhivanie-po-kazahstanu?trace=720000745619" TargetMode="External"/><Relationship Id="rId19" Type="http://schemas.openxmlformats.org/officeDocument/2006/relationships/hyperlink" Target="http://gdebox.com/track/PCT000000682545" TargetMode="External"/><Relationship Id="rId224" Type="http://schemas.openxmlformats.org/officeDocument/2006/relationships/hyperlink" Target="https://trace.emex.kz/ru/site/Checkcourierexe/?number=720000218371" TargetMode="External"/><Relationship Id="rId245" Type="http://schemas.openxmlformats.org/officeDocument/2006/relationships/hyperlink" Target="https://boxberrypost.kz/" TargetMode="External"/><Relationship Id="rId266" Type="http://schemas.openxmlformats.org/officeDocument/2006/relationships/hyperlink" Target="https://trace.emex.kz/ru/site/Checkcourierexe/?number=720000332521" TargetMode="External"/><Relationship Id="rId287" Type="http://schemas.openxmlformats.org/officeDocument/2006/relationships/hyperlink" Target="https://trace.emex.kz/ru/site/Checkcourierexe/?number=720000409068" TargetMode="External"/><Relationship Id="rId410" Type="http://schemas.openxmlformats.org/officeDocument/2006/relationships/hyperlink" Target="https://www.emex.kz/otslezhivanie-po-kazahstanu?trace=722500547711" TargetMode="External"/><Relationship Id="rId431" Type="http://schemas.openxmlformats.org/officeDocument/2006/relationships/hyperlink" Target="https://www.iherb.com/tr/cb?pcodes=NFS-26841qty1sid0_NFS-03544qty1sid0_CAL-86331qty1sid0_CAL-74810qty1sid0_NOW-00475qty2sid0_NWY-11750qty1sid0_AUU-73143qty1sid0_TSS-23530qty1sid0_DRB-00087qty1sid0&amp;rcode=DLE7202" TargetMode="External"/><Relationship Id="rId30" Type="http://schemas.openxmlformats.org/officeDocument/2006/relationships/hyperlink" Target="http://gdebox.com/track/PCT000000707751" TargetMode="External"/><Relationship Id="rId105" Type="http://schemas.openxmlformats.org/officeDocument/2006/relationships/hyperlink" Target="https://trace.emex.kz/ru/site/Checkcourierexe/?number=710000917468" TargetMode="External"/><Relationship Id="rId126" Type="http://schemas.openxmlformats.org/officeDocument/2006/relationships/hyperlink" Target="https://trace.emex.kz/ru/site/Checkcourierexe/?number=710000978572" TargetMode="External"/><Relationship Id="rId147" Type="http://schemas.openxmlformats.org/officeDocument/2006/relationships/hyperlink" Target="https://trace.emex.kz/ru/site/Checkcourierexe/?number=700000955729" TargetMode="External"/><Relationship Id="rId168" Type="http://schemas.openxmlformats.org/officeDocument/2006/relationships/hyperlink" Target="https://trace.emex.kz/ru/site/Checkcourierexe/?number=720000026090" TargetMode="External"/><Relationship Id="rId312" Type="http://schemas.openxmlformats.org/officeDocument/2006/relationships/hyperlink" Target="https://trace.emex.kz/ru/site/Checkcourierexe/?number=720000501892" TargetMode="External"/><Relationship Id="rId333" Type="http://schemas.openxmlformats.org/officeDocument/2006/relationships/hyperlink" Target="https://trace.emex.kz/ru/site/Checkcourierexe/?number=720000569982" TargetMode="External"/><Relationship Id="rId354" Type="http://schemas.openxmlformats.org/officeDocument/2006/relationships/hyperlink" Target="https://www.emex.kz/otslezhivanie-po-kazahstanu?trace=720000670392" TargetMode="External"/><Relationship Id="rId51" Type="http://schemas.openxmlformats.org/officeDocument/2006/relationships/hyperlink" Target="https://trace.emex.kz/ru/site/Checkcourierexe/?number=710000677963" TargetMode="External"/><Relationship Id="rId72" Type="http://schemas.openxmlformats.org/officeDocument/2006/relationships/hyperlink" Target="https://boxberrypost.kz/" TargetMode="External"/><Relationship Id="rId93" Type="http://schemas.openxmlformats.org/officeDocument/2006/relationships/hyperlink" Target="https://trace.emex.kz/ru/site/Checkcourierexe/?number=710000853782" TargetMode="External"/><Relationship Id="rId189" Type="http://schemas.openxmlformats.org/officeDocument/2006/relationships/hyperlink" Target="https://trace.emex.kz/ru/site/Checkcourierexe/?number=720000119518" TargetMode="External"/><Relationship Id="rId375" Type="http://schemas.openxmlformats.org/officeDocument/2006/relationships/hyperlink" Target="https://www.emex.kz/otslezhivanie-po-kazahstanu?trace=720000713931" TargetMode="External"/><Relationship Id="rId396" Type="http://schemas.openxmlformats.org/officeDocument/2006/relationships/hyperlink" Target="https://www.emex.kz/otslezhivanie-po-kazahstanu?trace=722500515861" TargetMode="External"/><Relationship Id="rId3" Type="http://schemas.openxmlformats.org/officeDocument/2006/relationships/hyperlink" Target="https://secure.iherb.com/tr/carrierTracking?orderNumber=514056164-0&amp;trackingNumber=IHORD0000490976NPG&amp;countryCode=UA" TargetMode="External"/><Relationship Id="rId214" Type="http://schemas.openxmlformats.org/officeDocument/2006/relationships/hyperlink" Target="https://boxberrypost.kz/" TargetMode="External"/><Relationship Id="rId235" Type="http://schemas.openxmlformats.org/officeDocument/2006/relationships/hyperlink" Target="https://trace.emex.kz/ru/site/Checkcourierexe/?number=722500168396" TargetMode="External"/><Relationship Id="rId256" Type="http://schemas.openxmlformats.org/officeDocument/2006/relationships/hyperlink" Target="https://trace.emex.kz/ru/site/Checkcourierexe/?number=720000288230" TargetMode="External"/><Relationship Id="rId277" Type="http://schemas.openxmlformats.org/officeDocument/2006/relationships/hyperlink" Target="https://trace.emex.kz/ru/site/Checkcourierexe/?number=720000391840" TargetMode="External"/><Relationship Id="rId298" Type="http://schemas.openxmlformats.org/officeDocument/2006/relationships/hyperlink" Target="https://trace.emex.kz/ru/site/Checkcourierexe/?number=722500291418" TargetMode="External"/><Relationship Id="rId400" Type="http://schemas.openxmlformats.org/officeDocument/2006/relationships/hyperlink" Target="https://www.emex.kz/otslezhivanie-po-kazahstanu?trace=722500521438" TargetMode="External"/><Relationship Id="rId421" Type="http://schemas.openxmlformats.org/officeDocument/2006/relationships/hyperlink" Target="https://www.iherb.com/tr/cb?pcodes=FBS-02503qty1sid0_AMN-02923qty1sid0_SOL-59205qty2sid0_CGN-01033qty3sid0_FPI-28123qty1sid0_FBS-50080qty1sid0&amp;rcode=CZN6870" TargetMode="External"/><Relationship Id="rId442" Type="http://schemas.openxmlformats.org/officeDocument/2006/relationships/comments" Target="../comments1.xml"/><Relationship Id="rId116" Type="http://schemas.openxmlformats.org/officeDocument/2006/relationships/hyperlink" Target="https://boxberrypost.kz/" TargetMode="External"/><Relationship Id="rId137" Type="http://schemas.openxmlformats.org/officeDocument/2006/relationships/hyperlink" Target="https://boxberrypost.kz/" TargetMode="External"/><Relationship Id="rId158" Type="http://schemas.openxmlformats.org/officeDocument/2006/relationships/hyperlink" Target="https://trace.emex.kz/ru/site/Checkcourierexe/?number=700000985668" TargetMode="External"/><Relationship Id="rId302" Type="http://schemas.openxmlformats.org/officeDocument/2006/relationships/hyperlink" Target="https://boxberrypost.kz/" TargetMode="External"/><Relationship Id="rId323" Type="http://schemas.openxmlformats.org/officeDocument/2006/relationships/hyperlink" Target="https://trace.emex.kz/ru/site/Checkcourierexe/?number=722500364314" TargetMode="External"/><Relationship Id="rId344" Type="http://schemas.openxmlformats.org/officeDocument/2006/relationships/hyperlink" Target="https://trace.emex.kz/ru/site/Checkcourierexe/?number=722500424884" TargetMode="External"/><Relationship Id="rId20" Type="http://schemas.openxmlformats.org/officeDocument/2006/relationships/hyperlink" Target="https://www.cdek.ru/ru/tracking?order_id=1384780916" TargetMode="External"/><Relationship Id="rId41" Type="http://schemas.openxmlformats.org/officeDocument/2006/relationships/hyperlink" Target="https://boxberrypost.kz/" TargetMode="External"/><Relationship Id="rId62" Type="http://schemas.openxmlformats.org/officeDocument/2006/relationships/hyperlink" Target="https://boxberrypost.kz/" TargetMode="External"/><Relationship Id="rId83" Type="http://schemas.openxmlformats.org/officeDocument/2006/relationships/hyperlink" Target="https://boxberrypost.kz/" TargetMode="External"/><Relationship Id="rId179" Type="http://schemas.openxmlformats.org/officeDocument/2006/relationships/hyperlink" Target="https://boxberrypost.kz/" TargetMode="External"/><Relationship Id="rId365" Type="http://schemas.openxmlformats.org/officeDocument/2006/relationships/hyperlink" Target="https://www.emex.kz/otslezhivanie-po-kazahstanu?trace=720000700378" TargetMode="External"/><Relationship Id="rId386" Type="http://schemas.openxmlformats.org/officeDocument/2006/relationships/hyperlink" Target="https://www.emex.kz/otslezhivanie-po-kazahstanu?trace=720000749692" TargetMode="External"/><Relationship Id="rId190" Type="http://schemas.openxmlformats.org/officeDocument/2006/relationships/hyperlink" Target="https://trace.emex.kz/ru/site/Checkcourierexe/?number=720000122982" TargetMode="External"/><Relationship Id="rId204" Type="http://schemas.openxmlformats.org/officeDocument/2006/relationships/hyperlink" Target="https://boxberrypost.kz/" TargetMode="External"/><Relationship Id="rId225" Type="http://schemas.openxmlformats.org/officeDocument/2006/relationships/hyperlink" Target="https://trace.emex.kz/ru/site/Checkcourierexe/?number=720000216299" TargetMode="External"/><Relationship Id="rId246" Type="http://schemas.openxmlformats.org/officeDocument/2006/relationships/hyperlink" Target="https://boxberrypost.kz/" TargetMode="External"/><Relationship Id="rId267" Type="http://schemas.openxmlformats.org/officeDocument/2006/relationships/hyperlink" Target="https://trace.emex.kz/ru/site/Checkcourierexe/?number=720000339938" TargetMode="External"/><Relationship Id="rId288" Type="http://schemas.openxmlformats.org/officeDocument/2006/relationships/hyperlink" Target="https://boxberrypost.kz/" TargetMode="External"/><Relationship Id="rId411" Type="http://schemas.openxmlformats.org/officeDocument/2006/relationships/hyperlink" Target="https://www.emex.kz/otslezhivanie-po-kazahstanu?trace=720000841107" TargetMode="External"/><Relationship Id="rId432" Type="http://schemas.openxmlformats.org/officeDocument/2006/relationships/hyperlink" Target="https://www.iherb.com/tr/cb?pcodes=SNS-00803qty2sid0_NOW-00475qty1sid0_NOW-00076qty1sid0_CAR-01545qty1sid0_CGN-01033qty4sid0_NOW-00105qty1sid0_LAG-35723qty1sid0_LAG-35722qty1sid0&amp;rcode=CZN6870" TargetMode="External"/><Relationship Id="rId106" Type="http://schemas.openxmlformats.org/officeDocument/2006/relationships/hyperlink" Target="https://boxberrypost.kz/" TargetMode="External"/><Relationship Id="rId127" Type="http://schemas.openxmlformats.org/officeDocument/2006/relationships/hyperlink" Target="https://boxberrypost.kz/" TargetMode="External"/><Relationship Id="rId313" Type="http://schemas.openxmlformats.org/officeDocument/2006/relationships/hyperlink" Target="https://trace.emex.kz/ru/site/Checkcourierexe/?number=722500340867" TargetMode="External"/><Relationship Id="rId10" Type="http://schemas.openxmlformats.org/officeDocument/2006/relationships/hyperlink" Target="http://gdebox.com/track/PCT000000670638" TargetMode="External"/><Relationship Id="rId31" Type="http://schemas.openxmlformats.org/officeDocument/2006/relationships/hyperlink" Target="http://gdebox.com/track/PCT000000699622" TargetMode="External"/><Relationship Id="rId52" Type="http://schemas.openxmlformats.org/officeDocument/2006/relationships/hyperlink" Target="https://trace.emex.kz/ru/site/Checkcourierexe/?number=710000688945" TargetMode="External"/><Relationship Id="rId73" Type="http://schemas.openxmlformats.org/officeDocument/2006/relationships/hyperlink" Target="https://boxberrypost.kz/" TargetMode="External"/><Relationship Id="rId94" Type="http://schemas.openxmlformats.org/officeDocument/2006/relationships/hyperlink" Target="https://trace.emex.kz/ru/site/Checkcourierexe/?number=710000870557" TargetMode="External"/><Relationship Id="rId148" Type="http://schemas.openxmlformats.org/officeDocument/2006/relationships/hyperlink" Target="https://boxberrypost.kz/" TargetMode="External"/><Relationship Id="rId169" Type="http://schemas.openxmlformats.org/officeDocument/2006/relationships/hyperlink" Target="https://trace.emex.kz/ru/site/Checkcourierexe/?number=720000042510" TargetMode="External"/><Relationship Id="rId334" Type="http://schemas.openxmlformats.org/officeDocument/2006/relationships/hyperlink" Target="https://trace.emex.kz/ru/site/Checkcourierexe/?number=720000584737" TargetMode="External"/><Relationship Id="rId355" Type="http://schemas.openxmlformats.org/officeDocument/2006/relationships/hyperlink" Target="https://www.emex.kz/otslezhivanie-po-kazahstanu?trace=720000675438" TargetMode="External"/><Relationship Id="rId376" Type="http://schemas.openxmlformats.org/officeDocument/2006/relationships/hyperlink" Target="https://www.emex.kz/otslezhivanie-po-kazahstanu?trace=722500474002" TargetMode="External"/><Relationship Id="rId397" Type="http://schemas.openxmlformats.org/officeDocument/2006/relationships/hyperlink" Target="https://www.emex.kz/otslezhivanie-po-kazahstanu?trace=720000774895" TargetMode="External"/><Relationship Id="rId4" Type="http://schemas.openxmlformats.org/officeDocument/2006/relationships/hyperlink" Target="https://secure.iherb.com/tr/carrierTracking?orderNumber=513968611-0&amp;trackingNumber=IHORD0000480207NPG&amp;countryCode=UA" TargetMode="External"/><Relationship Id="rId180" Type="http://schemas.openxmlformats.org/officeDocument/2006/relationships/hyperlink" Target="https://trace.emex.kz/ru/site/Checkcourierexe/?number=720000088921" TargetMode="External"/><Relationship Id="rId215" Type="http://schemas.openxmlformats.org/officeDocument/2006/relationships/hyperlink" Target="https://trace.emex.kz/ru/site/Checkcourierexe/?number=722500146574" TargetMode="External"/><Relationship Id="rId236" Type="http://schemas.openxmlformats.org/officeDocument/2006/relationships/hyperlink" Target="https://trace.emex.kz/ru/site/Checkcourierexe/?number=720000233302" TargetMode="External"/><Relationship Id="rId257" Type="http://schemas.openxmlformats.org/officeDocument/2006/relationships/hyperlink" Target="https://trace.emex.kz/ru/site/Checkcourierexe/?number=720000297403" TargetMode="External"/><Relationship Id="rId278" Type="http://schemas.openxmlformats.org/officeDocument/2006/relationships/hyperlink" Target="https://trace.emex.kz/ru/site/Checkcourierexe/?number=720000375353" TargetMode="External"/><Relationship Id="rId401" Type="http://schemas.openxmlformats.org/officeDocument/2006/relationships/hyperlink" Target="https://www.emex.kz/otslezhivanie-po-kazahstanu?trace=722500514603" TargetMode="External"/><Relationship Id="rId422" Type="http://schemas.openxmlformats.org/officeDocument/2006/relationships/hyperlink" Target="https://www.iherb.com/tr/cb?pcodes=PTF-10560qty1sid0_CEN-22338qty1sid0_ECN-00012qty1sid0_NRT-00526qty1sid0_NCS-67405qty1sid0_DFH-00281qty1sid0&amp;rcode=CZN6870" TargetMode="External"/><Relationship Id="rId303" Type="http://schemas.openxmlformats.org/officeDocument/2006/relationships/hyperlink" Target="https://boxberrypost.kz/" TargetMode="External"/><Relationship Id="rId42" Type="http://schemas.openxmlformats.org/officeDocument/2006/relationships/hyperlink" Target="https://boxberrypost.kz/" TargetMode="External"/><Relationship Id="rId84" Type="http://schemas.openxmlformats.org/officeDocument/2006/relationships/hyperlink" Target="https://boxberrypost.kz/" TargetMode="External"/><Relationship Id="rId138" Type="http://schemas.openxmlformats.org/officeDocument/2006/relationships/hyperlink" Target="https://boxberrypost.kz/" TargetMode="External"/><Relationship Id="rId345" Type="http://schemas.openxmlformats.org/officeDocument/2006/relationships/hyperlink" Target="https://trace.emex.kz/ru/site/Checkcourierexe/?number=722500427619" TargetMode="External"/><Relationship Id="rId387" Type="http://schemas.openxmlformats.org/officeDocument/2006/relationships/hyperlink" Target="https://www.emex.kz/otslezhivanie-po-kazahstanu?trace=722500494773" TargetMode="External"/><Relationship Id="rId191" Type="http://schemas.openxmlformats.org/officeDocument/2006/relationships/hyperlink" Target="https://trace.emex.kz/ru/site/Checkcourierexe/?number=720000131191" TargetMode="External"/><Relationship Id="rId205" Type="http://schemas.openxmlformats.org/officeDocument/2006/relationships/hyperlink" Target="https://trace.emex.kz/ru/site/Checkcourierexe/?number=710002129861" TargetMode="External"/><Relationship Id="rId247" Type="http://schemas.openxmlformats.org/officeDocument/2006/relationships/hyperlink" Target="https://boxberrypost.kz/" TargetMode="External"/><Relationship Id="rId412" Type="http://schemas.openxmlformats.org/officeDocument/2006/relationships/hyperlink" Target="https://www.emex.kz/otslezhivanie-po-kazahstanu?trace=720000831508" TargetMode="External"/><Relationship Id="rId107" Type="http://schemas.openxmlformats.org/officeDocument/2006/relationships/hyperlink" Target="https://boxberrypost.kz/" TargetMode="External"/><Relationship Id="rId289" Type="http://schemas.openxmlformats.org/officeDocument/2006/relationships/hyperlink" Target="https://boxberrypost.kz/" TargetMode="External"/><Relationship Id="rId11" Type="http://schemas.openxmlformats.org/officeDocument/2006/relationships/hyperlink" Target="http://gdebox.com/track/PCT000000647437" TargetMode="External"/><Relationship Id="rId53" Type="http://schemas.openxmlformats.org/officeDocument/2006/relationships/hyperlink" Target="https://trace.emex.kz/ru/site/Checkcourierexe/?number=710000705343" TargetMode="External"/><Relationship Id="rId149" Type="http://schemas.openxmlformats.org/officeDocument/2006/relationships/hyperlink" Target="https://trace.emex.kz/ru/site/Checkcourierexe/?number=700000960684" TargetMode="External"/><Relationship Id="rId314" Type="http://schemas.openxmlformats.org/officeDocument/2006/relationships/hyperlink" Target="https://trace.emex.kz/ru/site/Checkcourierexe/?number=722500328205" TargetMode="External"/><Relationship Id="rId356" Type="http://schemas.openxmlformats.org/officeDocument/2006/relationships/hyperlink" Target="https://www.emex.kz/otslezhivanie-po-kazahstanu?trace=720000672400" TargetMode="External"/><Relationship Id="rId398" Type="http://schemas.openxmlformats.org/officeDocument/2006/relationships/hyperlink" Target="https://www.emex.kz/otslezhivanie-po-kazahstanu?trace=722500525193" TargetMode="External"/><Relationship Id="rId95" Type="http://schemas.openxmlformats.org/officeDocument/2006/relationships/hyperlink" Target="https://trace.emex.kz/ru/site/Checkcourierexe/?number=710000879029" TargetMode="External"/><Relationship Id="rId160" Type="http://schemas.openxmlformats.org/officeDocument/2006/relationships/hyperlink" Target="https://trace.emex.kz/ru/site/Checkcourierexe/?number=720000014985" TargetMode="External"/><Relationship Id="rId216" Type="http://schemas.openxmlformats.org/officeDocument/2006/relationships/hyperlink" Target="https://trace.emex.kz/ru/site/Checkcourierexe/?number=720000198857" TargetMode="External"/><Relationship Id="rId423" Type="http://schemas.openxmlformats.org/officeDocument/2006/relationships/hyperlink" Target="https://www.iherb.com/tr/cb?pcodes=NOW-04739qty1sid0_NOW-00367qty3sid0_NOW-01662qty1sid0_NOW-00372qty1sid0_NOW-02313qty2sid0_NFS-35493qty1sid0_BTZ-75102qty1sid0_GIL-09772qty1sid0_MII-02364qty1sid0&amp;rcode=CYG0792" TargetMode="External"/><Relationship Id="rId258" Type="http://schemas.openxmlformats.org/officeDocument/2006/relationships/hyperlink" Target="https://trace.emex.kz/ru/site/Checkcourierexe/?number=720000295321" TargetMode="External"/><Relationship Id="rId22" Type="http://schemas.openxmlformats.org/officeDocument/2006/relationships/hyperlink" Target="http://gdebox.com/track/PCT000000680747" TargetMode="External"/><Relationship Id="rId64" Type="http://schemas.openxmlformats.org/officeDocument/2006/relationships/hyperlink" Target="https://trace.emex.kz/ru/site/Checkcourierexe/?number=710000721246" TargetMode="External"/><Relationship Id="rId118" Type="http://schemas.openxmlformats.org/officeDocument/2006/relationships/hyperlink" Target="https://boxberrypost.kz/" TargetMode="External"/><Relationship Id="rId325" Type="http://schemas.openxmlformats.org/officeDocument/2006/relationships/hyperlink" Target="https://trace.emex.kz/ru/site/Checkcourierexe/?number=720000541466" TargetMode="External"/><Relationship Id="rId367" Type="http://schemas.openxmlformats.org/officeDocument/2006/relationships/hyperlink" Target="https://www.emex.kz/otslezhivanie-po-kazahstanu?trace=720000699777" TargetMode="External"/><Relationship Id="rId171" Type="http://schemas.openxmlformats.org/officeDocument/2006/relationships/hyperlink" Target="https://trace.emex.kz/ru/site/Checkcourierexe/?number=720000058933" TargetMode="External"/><Relationship Id="rId227" Type="http://schemas.openxmlformats.org/officeDocument/2006/relationships/hyperlink" Target="https://boxberrypost.kz/" TargetMode="External"/><Relationship Id="rId269" Type="http://schemas.openxmlformats.org/officeDocument/2006/relationships/hyperlink" Target="https://trace.emex.kz/ru/site/Checkcourierexe/?number=720000349789" TargetMode="External"/><Relationship Id="rId434" Type="http://schemas.openxmlformats.org/officeDocument/2006/relationships/hyperlink" Target="https://www.iherb.com/tr/cb?pcodes=NOW-06943qty1sid0_NOW-01662qty1sid0_NOW-02313qty1sid0_CGN-01033qty1sid0_SPS-90030qty1sid0_NFS-02684qty1sid0_CLF-06416qty1sid0_YOU-00316qty1sid0&amp;rcode=CYG0792" TargetMode="External"/><Relationship Id="rId33" Type="http://schemas.openxmlformats.org/officeDocument/2006/relationships/hyperlink" Target="https://trace.emex.kz/ru/site/Checkcourierexe/?number=710000606202" TargetMode="External"/><Relationship Id="rId129" Type="http://schemas.openxmlformats.org/officeDocument/2006/relationships/hyperlink" Target="https://boxberrypost.kz/" TargetMode="External"/><Relationship Id="rId280" Type="http://schemas.openxmlformats.org/officeDocument/2006/relationships/hyperlink" Target="https://trace.emex.kz/ru/site/Checkcourierexe/?number=720000383624" TargetMode="External"/><Relationship Id="rId336" Type="http://schemas.openxmlformats.org/officeDocument/2006/relationships/hyperlink" Target="https://trace.emex.kz/ru/site/Checkcourierexe/?number=720000561431" TargetMode="External"/><Relationship Id="rId75" Type="http://schemas.openxmlformats.org/officeDocument/2006/relationships/hyperlink" Target="https://boxberrypost.kz/" TargetMode="External"/><Relationship Id="rId140" Type="http://schemas.openxmlformats.org/officeDocument/2006/relationships/hyperlink" Target="https://trace.emex.kz/ru/site/Checkcourierexe/?number=700000938962" TargetMode="External"/><Relationship Id="rId182" Type="http://schemas.openxmlformats.org/officeDocument/2006/relationships/hyperlink" Target="https://trace.emex.kz/ru/site/Checkcourierexe/?number=720000093209" TargetMode="External"/><Relationship Id="rId378" Type="http://schemas.openxmlformats.org/officeDocument/2006/relationships/hyperlink" Target="https://www.emex.kz/otslezhivanie-po-kazahstanu?trace=722500484560" TargetMode="External"/><Relationship Id="rId403" Type="http://schemas.openxmlformats.org/officeDocument/2006/relationships/hyperlink" Target="https://www.emex.kz/otslezhivanie-po-kazahstanu?trace=722500536535" TargetMode="External"/><Relationship Id="rId6" Type="http://schemas.openxmlformats.org/officeDocument/2006/relationships/hyperlink" Target="https://secure.iherb.com/tr/carrierTracking?orderNumber=514200653-0&amp;trackingNumber=IHORD0000505131NPG&amp;countryCode=UA" TargetMode="External"/><Relationship Id="rId238" Type="http://schemas.openxmlformats.org/officeDocument/2006/relationships/hyperlink" Target="https://trace.emex.kz/ru/site/Checkcourierexe/?number=722500174453" TargetMode="External"/><Relationship Id="rId291" Type="http://schemas.openxmlformats.org/officeDocument/2006/relationships/hyperlink" Target="https://boxberrypost.kz/" TargetMode="External"/><Relationship Id="rId305" Type="http://schemas.openxmlformats.org/officeDocument/2006/relationships/hyperlink" Target="https://trace.emex.kz/ru/site/Checkcourierexe/?number=720000460806" TargetMode="External"/><Relationship Id="rId347" Type="http://schemas.openxmlformats.org/officeDocument/2006/relationships/hyperlink" Target="https://trace.emex.kz/ru/site/Checkcourierexe/?number=720000648074" TargetMode="External"/><Relationship Id="rId44" Type="http://schemas.openxmlformats.org/officeDocument/2006/relationships/hyperlink" Target="https://boxberrypost.kz/" TargetMode="External"/><Relationship Id="rId86" Type="http://schemas.openxmlformats.org/officeDocument/2006/relationships/hyperlink" Target="https://trace.emex.kz/ru/site/Checkcourierexe/?number=710000844692" TargetMode="External"/><Relationship Id="rId151" Type="http://schemas.openxmlformats.org/officeDocument/2006/relationships/hyperlink" Target="https://secure.iherb.com/myaccount/orderdetails?on=521435123" TargetMode="External"/><Relationship Id="rId389" Type="http://schemas.openxmlformats.org/officeDocument/2006/relationships/hyperlink" Target="https://www.emex.kz/otslezhivanie-po-kazahstanu?trace=720000750935" TargetMode="External"/><Relationship Id="rId193" Type="http://schemas.openxmlformats.org/officeDocument/2006/relationships/hyperlink" Target="https://boxberrypost.kz/" TargetMode="External"/><Relationship Id="rId207" Type="http://schemas.openxmlformats.org/officeDocument/2006/relationships/hyperlink" Target="https://trace.emex.kz/ru/site/Checkcourierexe/?number=720000166156" TargetMode="External"/><Relationship Id="rId249" Type="http://schemas.openxmlformats.org/officeDocument/2006/relationships/hyperlink" Target="https://boxberrypost.kz/" TargetMode="External"/><Relationship Id="rId414" Type="http://schemas.openxmlformats.org/officeDocument/2006/relationships/hyperlink" Target="https://www.iherb.com/tr/cb?pcodes=NCS-67592qty2sid0_BTZ-43042qty1sid0_NAP-03764qty2sid0_NWY-14008qty1sid0_MRM-71301qty2sid0_NOW-02313qty2sid0&amp;rcode=DFD1605" TargetMode="External"/><Relationship Id="rId13" Type="http://schemas.openxmlformats.org/officeDocument/2006/relationships/hyperlink" Target="https://www.cdek.ru/ru/tracking?order_id=1371469533" TargetMode="External"/><Relationship Id="rId109" Type="http://schemas.openxmlformats.org/officeDocument/2006/relationships/hyperlink" Target="https://trace.emex.kz/ru/site/Checkcourierexe/?number=710000902643" TargetMode="External"/><Relationship Id="rId260" Type="http://schemas.openxmlformats.org/officeDocument/2006/relationships/hyperlink" Target="https://trace.emex.kz/ru/site/Checkcourierexe/?number=720000316216" TargetMode="External"/><Relationship Id="rId316" Type="http://schemas.openxmlformats.org/officeDocument/2006/relationships/hyperlink" Target="https://trace.emex.kz/ru/site/Checkcourierexe/?number=720000523646" TargetMode="External"/><Relationship Id="rId55" Type="http://schemas.openxmlformats.org/officeDocument/2006/relationships/hyperlink" Target="https://boxberrypost.kz/" TargetMode="External"/><Relationship Id="rId97" Type="http://schemas.openxmlformats.org/officeDocument/2006/relationships/hyperlink" Target="https://boxberrypost.kz/" TargetMode="External"/><Relationship Id="rId120" Type="http://schemas.openxmlformats.org/officeDocument/2006/relationships/hyperlink" Target="https://trace.emex.kz/ru/site/Checkcourierexe/?number=710000960871" TargetMode="External"/><Relationship Id="rId358" Type="http://schemas.openxmlformats.org/officeDocument/2006/relationships/hyperlink" Target="https://www.emex.kz/otslezhivanie-po-kazahstanu?trace=722500450360" TargetMode="External"/><Relationship Id="rId162" Type="http://schemas.openxmlformats.org/officeDocument/2006/relationships/hyperlink" Target="https://tk-kit.com/?tracking=&#1050;&#1054;&#1057;&#1052;&#1040;&#1056;0113786110" TargetMode="External"/><Relationship Id="rId218" Type="http://schemas.openxmlformats.org/officeDocument/2006/relationships/hyperlink" Target="https://trace.emex.kz/ru/site/Checkcourierexe/?number=720000190392" TargetMode="External"/><Relationship Id="rId425" Type="http://schemas.openxmlformats.org/officeDocument/2006/relationships/hyperlink" Target="https://www.iherb.com/tr/cb?pcodes=NOW-01292qty1sid0_NOW-02644qty1sid0_NFS-04956qty1sid0_CGN-01266qty1sid0_SWV-01058qty1sid0_NOW-01290qty1sid0_NTW-00765qty1sid0&amp;rcode=DLE7202" TargetMode="External"/><Relationship Id="rId271" Type="http://schemas.openxmlformats.org/officeDocument/2006/relationships/hyperlink" Target="https://boxberrypost.kz/" TargetMode="External"/><Relationship Id="rId24" Type="http://schemas.openxmlformats.org/officeDocument/2006/relationships/hyperlink" Target="http://gdebox.com/track/PCT000000686444" TargetMode="External"/><Relationship Id="rId66" Type="http://schemas.openxmlformats.org/officeDocument/2006/relationships/hyperlink" Target="https://boxberrypost.kz/" TargetMode="External"/><Relationship Id="rId131" Type="http://schemas.openxmlformats.org/officeDocument/2006/relationships/hyperlink" Target="https://trace.emex.kz/ru/site/Checkcourierexe/?number=700000902322" TargetMode="External"/><Relationship Id="rId327" Type="http://schemas.openxmlformats.org/officeDocument/2006/relationships/hyperlink" Target="https://boxberrypost.kz/" TargetMode="External"/><Relationship Id="rId369" Type="http://schemas.openxmlformats.org/officeDocument/2006/relationships/hyperlink" Target="https://www.emex.kz/otslezhivanie-po-kazahstanu?trace=720000709614" TargetMode="External"/><Relationship Id="rId173" Type="http://schemas.openxmlformats.org/officeDocument/2006/relationships/hyperlink" Target="https://trace.emex.kz/ru/site/Checkcourierexe/?number=720000066732" TargetMode="External"/><Relationship Id="rId229" Type="http://schemas.openxmlformats.org/officeDocument/2006/relationships/hyperlink" Target="https://boxberrypost.kz/" TargetMode="External"/><Relationship Id="rId380" Type="http://schemas.openxmlformats.org/officeDocument/2006/relationships/hyperlink" Target="https://www.emex.kz/otslezhivanie-po-kazahstanu?trace=720000735117" TargetMode="External"/><Relationship Id="rId436" Type="http://schemas.openxmlformats.org/officeDocument/2006/relationships/hyperlink" Target="https://www.iherb.com/tr/cb?pcodes=NOW-02644qty2sid0_BNR-01791qty2sid0_NOW-00376qty1sid0_NOW-00470qty1sid0_PAR-77872qty1sid0_CAR-01545qty1sid0_SOR-57445qty1sid0&amp;rcode=CZN6870" TargetMode="External"/><Relationship Id="rId240" Type="http://schemas.openxmlformats.org/officeDocument/2006/relationships/hyperlink" Target="https://trace.emex.kz/ru/site/Checkcourierexe/?number=720000242369" TargetMode="External"/><Relationship Id="rId35" Type="http://schemas.openxmlformats.org/officeDocument/2006/relationships/hyperlink" Target="https://trace.emex.kz/ru/site/Checkcourierexe/?number=710000613022" TargetMode="External"/><Relationship Id="rId77" Type="http://schemas.openxmlformats.org/officeDocument/2006/relationships/hyperlink" Target="https://boxberrypost.kz/" TargetMode="External"/><Relationship Id="rId100" Type="http://schemas.openxmlformats.org/officeDocument/2006/relationships/hyperlink" Target="https://boxberrypost.kz/" TargetMode="External"/><Relationship Id="rId282" Type="http://schemas.openxmlformats.org/officeDocument/2006/relationships/hyperlink" Target="https://trace.emex.kz/ru/site/Checkcourierexe/?number=722500277354" TargetMode="External"/><Relationship Id="rId338" Type="http://schemas.openxmlformats.org/officeDocument/2006/relationships/hyperlink" Target="https://trace.emex.kz/ru/site/Checkcourierexe/?number=720000607055" TargetMode="External"/><Relationship Id="rId8" Type="http://schemas.openxmlformats.org/officeDocument/2006/relationships/hyperlink" Target="https://www.cdek.ru/ru/tracking?order_id=1375252318" TargetMode="External"/><Relationship Id="rId142" Type="http://schemas.openxmlformats.org/officeDocument/2006/relationships/hyperlink" Target="https://boxberrypost.kz/" TargetMode="External"/><Relationship Id="rId184" Type="http://schemas.openxmlformats.org/officeDocument/2006/relationships/hyperlink" Target="https://boxberrypost.kz/" TargetMode="External"/><Relationship Id="rId391" Type="http://schemas.openxmlformats.org/officeDocument/2006/relationships/hyperlink" Target="https://www.emex.kz/otslezhivanie-po-kazahstanu?trace=720000760663" TargetMode="External"/><Relationship Id="rId405" Type="http://schemas.openxmlformats.org/officeDocument/2006/relationships/hyperlink" Target="https://www.emex.kz/otslezhivanie-po-kazahstanu?trace=722500530069" TargetMode="External"/><Relationship Id="rId251" Type="http://schemas.openxmlformats.org/officeDocument/2006/relationships/hyperlink" Target="https://trace.emex.kz/ru/site/Checkcourierexe/?number=720000262320" TargetMode="External"/><Relationship Id="rId46" Type="http://schemas.openxmlformats.org/officeDocument/2006/relationships/hyperlink" Target="https://boxberrypost.kz/" TargetMode="External"/><Relationship Id="rId293" Type="http://schemas.openxmlformats.org/officeDocument/2006/relationships/hyperlink" Target="https://boxberrypost.kz/" TargetMode="External"/><Relationship Id="rId307" Type="http://schemas.openxmlformats.org/officeDocument/2006/relationships/hyperlink" Target="https://trace.emex.kz/ru/site/Checkcourierexe/?number=720000482757" TargetMode="External"/><Relationship Id="rId349" Type="http://schemas.openxmlformats.org/officeDocument/2006/relationships/hyperlink" Target="https://trace.emex.kz/ru/site/Checkcourierexe/?number=720000653114" TargetMode="External"/><Relationship Id="rId88" Type="http://schemas.openxmlformats.org/officeDocument/2006/relationships/hyperlink" Target="https://trace.emex.kz/ru/site/Checkcourierexe/?number=710000834372" TargetMode="External"/><Relationship Id="rId111" Type="http://schemas.openxmlformats.org/officeDocument/2006/relationships/hyperlink" Target="https://trace.emex.kz/ru/site/Checkcourierexe/?number=710000939289" TargetMode="External"/><Relationship Id="rId153" Type="http://schemas.openxmlformats.org/officeDocument/2006/relationships/hyperlink" Target="https://trace.emex.kz/ru/site/Checkcourierexe/?number=700000979661" TargetMode="External"/><Relationship Id="rId195" Type="http://schemas.openxmlformats.org/officeDocument/2006/relationships/hyperlink" Target="https://boxberrypost.kz/" TargetMode="External"/><Relationship Id="rId209" Type="http://schemas.openxmlformats.org/officeDocument/2006/relationships/hyperlink" Target="https://boxberrypost.kz/" TargetMode="External"/><Relationship Id="rId360" Type="http://schemas.openxmlformats.org/officeDocument/2006/relationships/hyperlink" Target="https://www.emex.kz/otslezhivanie-po-kazahstanu?trace=720000686659" TargetMode="External"/><Relationship Id="rId416" Type="http://schemas.openxmlformats.org/officeDocument/2006/relationships/hyperlink" Target="https://www.iherb.com/tr/cb?pcodes=JRW-18001qty1sid0_JRW-18018qty1sid0_CLF-06419qty1sid0_SOL-03501qty1sid0_BLB-00612qty1sid0_DRB-00294qty1sid0_CAR-01545qty1sid0_MII-02397qty1sid0_CGN-01266qty1sid0&amp;rcode=DLE7202" TargetMode="External"/><Relationship Id="rId220" Type="http://schemas.openxmlformats.org/officeDocument/2006/relationships/hyperlink" Target="https://boxberrypost.kz/" TargetMode="External"/><Relationship Id="rId15" Type="http://schemas.openxmlformats.org/officeDocument/2006/relationships/hyperlink" Target="https://www.cdek.ru/ru/tracking?order_id=1350919856" TargetMode="External"/><Relationship Id="rId57" Type="http://schemas.openxmlformats.org/officeDocument/2006/relationships/hyperlink" Target="https://boxberrypost.kz/" TargetMode="External"/><Relationship Id="rId262" Type="http://schemas.openxmlformats.org/officeDocument/2006/relationships/hyperlink" Target="https://trace.emex.kz/ru/site/Checkcourierexe/?number=720000309980" TargetMode="External"/><Relationship Id="rId318" Type="http://schemas.openxmlformats.org/officeDocument/2006/relationships/hyperlink" Target="https://trace.emex.kz/ru/site/Checkcourierexe/?number=722500331942" TargetMode="External"/><Relationship Id="rId99" Type="http://schemas.openxmlformats.org/officeDocument/2006/relationships/hyperlink" Target="https://boxberrypost.kz/" TargetMode="External"/><Relationship Id="rId122" Type="http://schemas.openxmlformats.org/officeDocument/2006/relationships/hyperlink" Target="https://trace.emex.kz/ru/site/Checkcourierexe/?number=710000971994" TargetMode="External"/><Relationship Id="rId164" Type="http://schemas.openxmlformats.org/officeDocument/2006/relationships/hyperlink" Target="https://tk-kit.com/?tracking=&#1050;&#1054;&#1057;&#1052;&#1040;&#1056;0113875328" TargetMode="External"/><Relationship Id="rId371" Type="http://schemas.openxmlformats.org/officeDocument/2006/relationships/hyperlink" Target="https://www.emex.kz/otslezhivanie-po-kazahstanu?trace=720000699777" TargetMode="External"/><Relationship Id="rId427" Type="http://schemas.openxmlformats.org/officeDocument/2006/relationships/hyperlink" Target="https://www.iherb.com/tr/cb?pcodes=SOL-01945qty2sid0_NOW-00196qty1sid0_WEH-08917qty1sid0_CLF-06416qty1sid0_NOW-01418qty1sid0_NOW-02313qty2sid0&amp;rcode=CZN6870" TargetMode="External"/><Relationship Id="rId26" Type="http://schemas.openxmlformats.org/officeDocument/2006/relationships/hyperlink" Target="http://gdebox.com/track/PCT000000697549" TargetMode="External"/><Relationship Id="rId231" Type="http://schemas.openxmlformats.org/officeDocument/2006/relationships/hyperlink" Target="https://boxberrypost.kz/" TargetMode="External"/><Relationship Id="rId273" Type="http://schemas.openxmlformats.org/officeDocument/2006/relationships/hyperlink" Target="https://boxberrypost.kz/" TargetMode="External"/><Relationship Id="rId329" Type="http://schemas.openxmlformats.org/officeDocument/2006/relationships/hyperlink" Target="https://boxberrypost.kz/" TargetMode="External"/><Relationship Id="rId68" Type="http://schemas.openxmlformats.org/officeDocument/2006/relationships/hyperlink" Target="https://trace.emex.kz/ru/site/Checkcourierexe/?number=710000769553" TargetMode="External"/><Relationship Id="rId133" Type="http://schemas.openxmlformats.org/officeDocument/2006/relationships/hyperlink" Target="https://trace.emex.kz/ru/site/Checkcourierexe/?number=700000902116" TargetMode="External"/><Relationship Id="rId175" Type="http://schemas.openxmlformats.org/officeDocument/2006/relationships/hyperlink" Target="https://trace.emex.kz/ru/site/Checkcourierexe/?number=720000079409" TargetMode="External"/><Relationship Id="rId340" Type="http://schemas.openxmlformats.org/officeDocument/2006/relationships/hyperlink" Target="https://trace.emex.kz/ru/site/Checkcourierexe/?number=722500394950" TargetMode="External"/><Relationship Id="rId200" Type="http://schemas.openxmlformats.org/officeDocument/2006/relationships/hyperlink" Target="https://trace.emex.kz/ru/site/Checkcourierexe/?number=720000150257" TargetMode="External"/><Relationship Id="rId382" Type="http://schemas.openxmlformats.org/officeDocument/2006/relationships/hyperlink" Target="https://www.emex.kz/otslezhivanie-po-kazahstanu?trace=720000732422" TargetMode="External"/><Relationship Id="rId438" Type="http://schemas.openxmlformats.org/officeDocument/2006/relationships/hyperlink" Target="https://www.iherb.com/tr/cb?pcodes=CGN-00856qty1sid0_NOW-03170qty1sid0_NAP-03764qty1sid0_NOW-00376qty2sid0_NOW-00372qty2sid0_NOW-04739qty1sid0_VPB-54130qty2sid0_FHH-12407qty1sid0_NOW-01661qty1sid0&amp;rcode=DLE7202" TargetMode="External"/><Relationship Id="rId242" Type="http://schemas.openxmlformats.org/officeDocument/2006/relationships/hyperlink" Target="https://boxberrypost.kz/" TargetMode="External"/><Relationship Id="rId284" Type="http://schemas.openxmlformats.org/officeDocument/2006/relationships/hyperlink" Target="https://trace.emex.kz/ru/site/Checkcourierexe/?number=720000415326" TargetMode="External"/><Relationship Id="rId37" Type="http://schemas.openxmlformats.org/officeDocument/2006/relationships/hyperlink" Target="https://trace.emex.kz/ru/site/Checkcourierexe/?number=710000630817" TargetMode="External"/><Relationship Id="rId79" Type="http://schemas.openxmlformats.org/officeDocument/2006/relationships/hyperlink" Target="https://trace.emex.kz/ru/site/Checkcourierexe/?number=710000782272" TargetMode="External"/><Relationship Id="rId102" Type="http://schemas.openxmlformats.org/officeDocument/2006/relationships/hyperlink" Target="https://trace.emex.kz/ru/site/Checkcourierexe/?number=710000895722" TargetMode="External"/><Relationship Id="rId144" Type="http://schemas.openxmlformats.org/officeDocument/2006/relationships/hyperlink" Target="https://boxberrypost.kz/" TargetMode="External"/><Relationship Id="rId90" Type="http://schemas.openxmlformats.org/officeDocument/2006/relationships/hyperlink" Target="https://boxberrypost.kz/" TargetMode="External"/><Relationship Id="rId186" Type="http://schemas.openxmlformats.org/officeDocument/2006/relationships/hyperlink" Target="https://trace.emex.kz/ru/site/Checkcourierexe/?number=720000099498" TargetMode="External"/><Relationship Id="rId351" Type="http://schemas.openxmlformats.org/officeDocument/2006/relationships/hyperlink" Target="https://www.emex.kz/otslezhivanie-po-kazahstanu?trace=720000667044" TargetMode="External"/><Relationship Id="rId393" Type="http://schemas.openxmlformats.org/officeDocument/2006/relationships/hyperlink" Target="https://www.emex.kz/otslezhivanie-po-kazahstanu?trace=720000756480" TargetMode="External"/><Relationship Id="rId407" Type="http://schemas.openxmlformats.org/officeDocument/2006/relationships/hyperlink" Target="https://www.emex.kz/otslezhivanie-po-kazahstanu?trace=720000811064" TargetMode="External"/><Relationship Id="rId211" Type="http://schemas.openxmlformats.org/officeDocument/2006/relationships/hyperlink" Target="https://trace.emex.kz/ru/site/Checkcourierexe/?number=710002136226" TargetMode="External"/><Relationship Id="rId253" Type="http://schemas.openxmlformats.org/officeDocument/2006/relationships/hyperlink" Target="https://trace.emex.kz/ru/site/Checkcourierexe/?number=720000260354" TargetMode="External"/><Relationship Id="rId295" Type="http://schemas.openxmlformats.org/officeDocument/2006/relationships/hyperlink" Target="https://boxberrypost.kz/" TargetMode="External"/><Relationship Id="rId309" Type="http://schemas.openxmlformats.org/officeDocument/2006/relationships/hyperlink" Target="https://trace.emex.kz/ru/site/Checkcourierexe/?number=720000489634" TargetMode="External"/><Relationship Id="rId48" Type="http://schemas.openxmlformats.org/officeDocument/2006/relationships/hyperlink" Target="https://trace.emex.kz/ru/site/Checkcourierexe/?number=710000669496" TargetMode="External"/><Relationship Id="rId113" Type="http://schemas.openxmlformats.org/officeDocument/2006/relationships/hyperlink" Target="https://boxberrypost.kz/" TargetMode="External"/><Relationship Id="rId320" Type="http://schemas.openxmlformats.org/officeDocument/2006/relationships/hyperlink" Target="https://trace.emex.kz/ru/site/Checkcourierexe/?number=720000549498" TargetMode="External"/><Relationship Id="rId155" Type="http://schemas.openxmlformats.org/officeDocument/2006/relationships/hyperlink" Target="https://trace.emex.kz/ru/site/Checkcourierexe/?number=700000994608" TargetMode="External"/><Relationship Id="rId197" Type="http://schemas.openxmlformats.org/officeDocument/2006/relationships/hyperlink" Target="https://boxberrypost.kz/" TargetMode="External"/><Relationship Id="rId362" Type="http://schemas.openxmlformats.org/officeDocument/2006/relationships/hyperlink" Target="https://www.emex.kz/otslezhivanie-po-kazahstanu?trace=720000677133" TargetMode="External"/><Relationship Id="rId418" Type="http://schemas.openxmlformats.org/officeDocument/2006/relationships/hyperlink" Target="https://www.iherb.com/tr/cb?pcodes=NOW-00839qty2sid0_SOR-01660qty1sid0_MAV-14757qty2sid0_MII-16792qty1sid0_FPI-30696qty1sid0_MCL-21045qty1sid0_JAS-10029qty1sid0&amp;rcode=CYG0792" TargetMode="External"/><Relationship Id="rId222" Type="http://schemas.openxmlformats.org/officeDocument/2006/relationships/hyperlink" Target="https://trace.emex.kz/ru/site/Checkcourierexe/?number=720000209360" TargetMode="External"/><Relationship Id="rId264" Type="http://schemas.openxmlformats.org/officeDocument/2006/relationships/hyperlink" Target="https://trace.emex.kz/ru/site/Checkcourierexe/?number=722500245507" TargetMode="External"/><Relationship Id="rId17" Type="http://schemas.openxmlformats.org/officeDocument/2006/relationships/hyperlink" Target="https://www.cdek.ru/ru/tracking?order_id=1378820167" TargetMode="External"/><Relationship Id="rId59" Type="http://schemas.openxmlformats.org/officeDocument/2006/relationships/hyperlink" Target="https://trace.emex.kz/ru/site/Checkcourierexe/?number=710000699962" TargetMode="External"/><Relationship Id="rId124" Type="http://schemas.openxmlformats.org/officeDocument/2006/relationships/hyperlink" Target="https://trace.emex.kz/ru/site/Checkcourierexe/?number=710002013499" TargetMode="External"/><Relationship Id="rId70" Type="http://schemas.openxmlformats.org/officeDocument/2006/relationships/hyperlink" Target="https://trace.emex.kz/ru/site/Checkcourierexe/?number=710000760111" TargetMode="External"/><Relationship Id="rId166" Type="http://schemas.openxmlformats.org/officeDocument/2006/relationships/hyperlink" Target="https://trace.emex.kz/ru/site/Checkcourierexe/?number=720000024990" TargetMode="External"/><Relationship Id="rId331" Type="http://schemas.openxmlformats.org/officeDocument/2006/relationships/hyperlink" Target="https://boxberrypost.kz/" TargetMode="External"/><Relationship Id="rId373" Type="http://schemas.openxmlformats.org/officeDocument/2006/relationships/hyperlink" Target="https://www.emex.kz/otslezhivanie-po-kazahstanu?trace=720000719857" TargetMode="External"/><Relationship Id="rId429" Type="http://schemas.openxmlformats.org/officeDocument/2006/relationships/hyperlink" Target="https://www.iherb.com/tr/cb?pcodes=NOW-02372qty1sid0_LKN-01550qty1sid0_NFS-35493qty1sid0_LEX-33510qty1sid0_LEX-30210qty1sid0_JRW-18018qty1sid0_SOR-68520qty3sid0_LKN-01450qty1sid0_CGN-01291qty1sid0&amp;rcode=DFD1605" TargetMode="External"/><Relationship Id="rId1" Type="http://schemas.openxmlformats.org/officeDocument/2006/relationships/hyperlink" Target="https://secure.iherb.com/tr/carrierTracking?orderNumber=514113876-0&amp;trackingNumber=IHORD0000495511NPG&amp;countryCode=UA" TargetMode="External"/><Relationship Id="rId233" Type="http://schemas.openxmlformats.org/officeDocument/2006/relationships/hyperlink" Target="https://boxberrypost.kz/" TargetMode="External"/><Relationship Id="rId440" Type="http://schemas.openxmlformats.org/officeDocument/2006/relationships/printerSettings" Target="../printerSettings/printerSettings7.bin"/><Relationship Id="rId28" Type="http://schemas.openxmlformats.org/officeDocument/2006/relationships/hyperlink" Target="http://gdebox.com/track/PCT000000695385" TargetMode="External"/><Relationship Id="rId275" Type="http://schemas.openxmlformats.org/officeDocument/2006/relationships/hyperlink" Target="https://trace.emex.kz/ru/site/Checkcourierexe/?number=720000361325" TargetMode="External"/><Relationship Id="rId300" Type="http://schemas.openxmlformats.org/officeDocument/2006/relationships/hyperlink" Target="https://trace.emex.kz/ru/site/Checkcourierexe/?number=720000447125" TargetMode="External"/><Relationship Id="rId81" Type="http://schemas.openxmlformats.org/officeDocument/2006/relationships/hyperlink" Target="https://trace.emex.kz/ru/site/Checkcourierexe/?number=710000804444" TargetMode="External"/><Relationship Id="rId135" Type="http://schemas.openxmlformats.org/officeDocument/2006/relationships/hyperlink" Target="https://trace.emex.kz/ru/site/Checkcourierexe/?number=700000911965" TargetMode="External"/><Relationship Id="rId177" Type="http://schemas.openxmlformats.org/officeDocument/2006/relationships/hyperlink" Target="https://boxberrypost.kz/" TargetMode="External"/><Relationship Id="rId342" Type="http://schemas.openxmlformats.org/officeDocument/2006/relationships/hyperlink" Target="https://trace.emex.kz/ru/site/Checkcourierexe/?number=722500403415" TargetMode="External"/><Relationship Id="rId384" Type="http://schemas.openxmlformats.org/officeDocument/2006/relationships/hyperlink" Target="https://www.emex.kz/otslezhivanie-po-kazahstanu?trace=72250049116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0D40-482B-4327-80FC-9D5133F4712E}">
  <sheetPr codeName="Лист1"/>
  <dimension ref="B1:D21"/>
  <sheetViews>
    <sheetView workbookViewId="0">
      <selection activeCell="D15" sqref="D15"/>
    </sheetView>
  </sheetViews>
  <sheetFormatPr defaultRowHeight="15" x14ac:dyDescent="0.25"/>
  <cols>
    <col min="2" max="2" width="15.28515625" bestFit="1" customWidth="1"/>
    <col min="3" max="3" width="18.140625" bestFit="1" customWidth="1"/>
  </cols>
  <sheetData>
    <row r="1" spans="2:4" x14ac:dyDescent="0.25">
      <c r="B1" t="s">
        <v>3238</v>
      </c>
      <c r="C1" t="str">
        <f t="shared" ref="C1:C21" si="0">IFERROR(REPLACE(B1,SEARCH(",",B1),2,"%2C"),"")</f>
        <v>47.1193%2C37.5172</v>
      </c>
    </row>
    <row r="2" spans="2:4" x14ac:dyDescent="0.25">
      <c r="B2" t="s">
        <v>3153</v>
      </c>
      <c r="C2" t="str">
        <f t="shared" si="0"/>
        <v>47.1281%2C37.5732</v>
      </c>
    </row>
    <row r="3" spans="2:4" x14ac:dyDescent="0.25">
      <c r="B3" t="s">
        <v>3209</v>
      </c>
      <c r="C3" t="str">
        <f t="shared" si="0"/>
        <v>47.1149%2C37.5127</v>
      </c>
    </row>
    <row r="4" spans="2:4" x14ac:dyDescent="0.25">
      <c r="B4" t="s">
        <v>3229</v>
      </c>
      <c r="C4" t="str">
        <f t="shared" si="0"/>
        <v>47.0898%2C37.5062</v>
      </c>
    </row>
    <row r="5" spans="2:4" x14ac:dyDescent="0.25">
      <c r="B5" t="s">
        <v>5136</v>
      </c>
      <c r="C5" t="str">
        <f t="shared" si="0"/>
        <v>47.087079%2C37.519275</v>
      </c>
    </row>
    <row r="6" spans="2:4" x14ac:dyDescent="0.25">
      <c r="C6" t="str">
        <f t="shared" si="0"/>
        <v/>
      </c>
    </row>
    <row r="7" spans="2:4" x14ac:dyDescent="0.25">
      <c r="C7" t="str">
        <f t="shared" si="0"/>
        <v/>
      </c>
    </row>
    <row r="8" spans="2:4" x14ac:dyDescent="0.25">
      <c r="C8" t="str">
        <f t="shared" si="0"/>
        <v/>
      </c>
    </row>
    <row r="9" spans="2:4" x14ac:dyDescent="0.25">
      <c r="C9" t="str">
        <f t="shared" si="0"/>
        <v/>
      </c>
    </row>
    <row r="10" spans="2:4" x14ac:dyDescent="0.25">
      <c r="C10" t="str">
        <f t="shared" si="0"/>
        <v/>
      </c>
    </row>
    <row r="11" spans="2:4" x14ac:dyDescent="0.25">
      <c r="C11" t="str">
        <f t="shared" si="0"/>
        <v/>
      </c>
    </row>
    <row r="12" spans="2:4" x14ac:dyDescent="0.25">
      <c r="C12" t="str">
        <f t="shared" si="0"/>
        <v/>
      </c>
    </row>
    <row r="13" spans="2:4" x14ac:dyDescent="0.25">
      <c r="C13" t="str">
        <f t="shared" si="0"/>
        <v/>
      </c>
    </row>
    <row r="14" spans="2:4" x14ac:dyDescent="0.25">
      <c r="C14" t="str">
        <f t="shared" si="0"/>
        <v/>
      </c>
    </row>
    <row r="15" spans="2:4" x14ac:dyDescent="0.25">
      <c r="C15" t="str">
        <f t="shared" si="0"/>
        <v/>
      </c>
      <c r="D15" s="16" t="str">
        <f>"https://yandex.ru/maps/?mode=routes&amp;rtext="&amp;C1&amp;"~"&amp;C2&amp;"~"&amp;C3&amp;"~"&amp;C4&amp;"~"&amp;C5&amp;"~"&amp;C6&amp;"~"&amp;C7&amp;"~"&amp;C8&amp;"~"&amp;C9&amp;"~"&amp;C10&amp;"~"&amp;C11&amp;"~"&amp;C12&amp;"~"&amp;C13&amp;"~"&amp;C14&amp;"~"&amp;C15&amp;"~"&amp;C16&amp;"~"&amp;C17&amp;"~"&amp;C18&amp;"~"&amp;C19&amp;"~"&amp;C20&amp;"~"&amp;C21</f>
        <v>https://yandex.ru/maps/?mode=routes&amp;rtext=47.1193%2C37.5172~47.1281%2C37.5732~47.1149%2C37.5127~47.0898%2C37.5062~47.087079%2C37.519275~~~~~~~~~~~~~~~~</v>
      </c>
    </row>
    <row r="16" spans="2:4" x14ac:dyDescent="0.25">
      <c r="C16" t="str">
        <f t="shared" si="0"/>
        <v/>
      </c>
    </row>
    <row r="17" spans="3:4" x14ac:dyDescent="0.25">
      <c r="C17" t="str">
        <f t="shared" si="0"/>
        <v/>
      </c>
    </row>
    <row r="18" spans="3:4" x14ac:dyDescent="0.25">
      <c r="C18" t="str">
        <f t="shared" si="0"/>
        <v/>
      </c>
    </row>
    <row r="19" spans="3:4" x14ac:dyDescent="0.25">
      <c r="C19" t="str">
        <f t="shared" si="0"/>
        <v/>
      </c>
    </row>
    <row r="20" spans="3:4" x14ac:dyDescent="0.25">
      <c r="C20" t="str">
        <f t="shared" si="0"/>
        <v/>
      </c>
    </row>
    <row r="21" spans="3:4" x14ac:dyDescent="0.25">
      <c r="C21" t="str">
        <f t="shared" si="0"/>
        <v/>
      </c>
      <c r="D21" s="16"/>
    </row>
  </sheetData>
  <hyperlinks>
    <hyperlink ref="D15" r:id="rId1" display="https://maps.google.com/?daddr=" xr:uid="{11DDBF47-1E5A-43E2-87CD-6F766FC914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6CF7-5F18-41DC-A5C9-E25F6E27F0D7}">
  <sheetPr codeName="Лист5" filterMode="1"/>
  <dimension ref="A1:K901"/>
  <sheetViews>
    <sheetView workbookViewId="0">
      <pane ySplit="1" topLeftCell="A2" activePane="bottomLeft" state="frozen"/>
      <selection activeCell="E1" sqref="E1"/>
      <selection pane="bottomLeft" activeCell="E820" sqref="E820"/>
    </sheetView>
  </sheetViews>
  <sheetFormatPr defaultRowHeight="15" x14ac:dyDescent="0.25"/>
  <cols>
    <col min="1" max="1" width="5.5703125" customWidth="1"/>
    <col min="2" max="2" width="10.140625" style="179" bestFit="1" customWidth="1"/>
    <col min="3" max="3" width="26.7109375" bestFit="1" customWidth="1"/>
    <col min="4" max="4" width="13.140625" bestFit="1" customWidth="1"/>
    <col min="5" max="5" width="38.140625" bestFit="1" customWidth="1"/>
    <col min="6" max="6" width="19.42578125" style="167" bestFit="1" customWidth="1"/>
    <col min="7" max="7" width="8" customWidth="1"/>
    <col min="8" max="8" width="7.85546875" style="167" customWidth="1"/>
    <col min="9" max="9" width="12.85546875" style="52" bestFit="1" customWidth="1"/>
    <col min="10" max="10" width="8.42578125" style="52" bestFit="1" customWidth="1"/>
  </cols>
  <sheetData>
    <row r="1" spans="1:11" x14ac:dyDescent="0.25">
      <c r="B1" s="179" t="s">
        <v>4231</v>
      </c>
      <c r="C1" t="s">
        <v>3116</v>
      </c>
      <c r="D1" t="s">
        <v>3117</v>
      </c>
      <c r="E1" t="s">
        <v>3118</v>
      </c>
      <c r="F1" s="167" t="s">
        <v>4233</v>
      </c>
      <c r="G1" t="s">
        <v>4232</v>
      </c>
      <c r="H1" s="167" t="s">
        <v>4234</v>
      </c>
      <c r="I1" s="52" t="s">
        <v>4235</v>
      </c>
      <c r="J1" s="52" t="s">
        <v>4236</v>
      </c>
      <c r="K1" t="s">
        <v>4237</v>
      </c>
    </row>
    <row r="2" spans="1:11" hidden="1" x14ac:dyDescent="0.25">
      <c r="A2">
        <v>1</v>
      </c>
      <c r="B2" s="179">
        <v>45391</v>
      </c>
      <c r="C2" s="180" t="s">
        <v>3150</v>
      </c>
      <c r="D2" t="str">
        <f>VLOOKUP($C2,ТабКлиенты[[#All],[name]:[phone]],MATCH(D$1,ТабКлиенты[#Headers],0)-1,0)</f>
        <v>+79497190408</v>
      </c>
      <c r="E2" t="str">
        <f>VLOOKUP($C2,ТабАдрес[[#All],[Клиент]:[gps]],MATCH(E$1,ТабКлиенты[#Headers],0)-4,0)</f>
        <v>Проектная 10</v>
      </c>
      <c r="F2" t="str">
        <f>VLOOKUP($C2,ТабАдрес[[#All],[Клиент]:[gps]],MATCH(F$1,ТабКлиенты[#Headers],0)-4,0)</f>
        <v>47.1281, 37.5732</v>
      </c>
      <c r="H2" s="181">
        <v>3400</v>
      </c>
      <c r="K2" t="str">
        <f t="shared" ref="K2:K41" si="0">A2&amp;". "&amp;C2&amp;CHAR(10)&amp;"Тел.: "&amp;D2&amp;CHAR(10)&amp;"Адрес: "&amp;E2&amp;" ("&amp;I2&amp;")"&amp;CHAR(10)&amp;"https://yandex.ru/maps/?text="&amp;REPLACE(F2,SEARCH(",",F2),2,"%2C")&amp;CHAR(10)&amp;"https://maps.google.com/?daddr="&amp;REPLACE(F2,SEARCH(",",F2),2,"%2C")&amp;CHAR(10)&amp;"К оплате: "&amp;H2&amp;CHAR(10)&amp;"----------------------------------------------------------"</f>
        <v>1. Елена пер. Фруктовый
Тел.: +79497190408
Адрес: Проектная 10 ()
https://yandex.ru/maps/?text=47.1281%2C37.5732
https://maps.google.com/?daddr=47.1281%2C37.5732
К оплате: 3400
----------------------------------------------------------</v>
      </c>
    </row>
    <row r="3" spans="1:11" hidden="1" x14ac:dyDescent="0.25">
      <c r="A3">
        <v>2</v>
      </c>
      <c r="B3" s="179">
        <v>45391</v>
      </c>
      <c r="C3" t="s">
        <v>3149</v>
      </c>
      <c r="D3" t="e">
        <f>VLOOKUP($C3,ТабКлиенты[[#All],[name]:[phone]],MATCH(D$1,ТабКлиенты[#Headers],0)-1,0)</f>
        <v>#N/A</v>
      </c>
      <c r="E3" t="e">
        <f>VLOOKUP($C3,ТабАдрес[[#All],[Клиент]:[gps]],MATCH(E$1,ТабКлиенты[#Headers],0)-4,0)</f>
        <v>#N/A</v>
      </c>
      <c r="F3" t="e">
        <f>VLOOKUP($C3,ТабАдрес[[#All],[Клиент]:[gps]],MATCH(F$1,ТабКлиенты[#Headers],0)-4,0)</f>
        <v>#N/A</v>
      </c>
      <c r="H3" s="181">
        <v>0</v>
      </c>
      <c r="K3" t="e">
        <f t="shared" si="0"/>
        <v>#N/A</v>
      </c>
    </row>
    <row r="4" spans="1:11" hidden="1" x14ac:dyDescent="0.25">
      <c r="A4">
        <v>3</v>
      </c>
      <c r="B4" s="179">
        <v>45391</v>
      </c>
      <c r="C4" t="s">
        <v>3125</v>
      </c>
      <c r="D4" t="e">
        <f>VLOOKUP($C4,ТабКлиенты[[#All],[name]:[phone]],MATCH(D$1,ТабКлиенты[#Headers],0)-1,0)</f>
        <v>#N/A</v>
      </c>
      <c r="E4" t="e">
        <f>VLOOKUP($C4,ТабАдрес[[#All],[Клиент]:[gps]],MATCH(E$1,ТабКлиенты[#Headers],0)-4,0)</f>
        <v>#N/A</v>
      </c>
      <c r="F4" t="e">
        <f>VLOOKUP($C4,ТабАдрес[[#All],[Клиент]:[gps]],MATCH(F$1,ТабКлиенты[#Headers],0)-4,0)</f>
        <v>#N/A</v>
      </c>
      <c r="H4" s="181">
        <v>6196</v>
      </c>
      <c r="K4" t="e">
        <f t="shared" si="0"/>
        <v>#N/A</v>
      </c>
    </row>
    <row r="5" spans="1:11" hidden="1" x14ac:dyDescent="0.25">
      <c r="A5">
        <v>4</v>
      </c>
      <c r="B5" s="179">
        <v>45391</v>
      </c>
      <c r="C5" t="s">
        <v>3132</v>
      </c>
      <c r="D5" t="e">
        <f>VLOOKUP($C5,ТабКлиенты[[#All],[name]:[phone]],MATCH(D$1,ТабКлиенты[#Headers],0)-1,0)</f>
        <v>#N/A</v>
      </c>
      <c r="E5" t="e">
        <f>VLOOKUP($C5,ТабАдрес[[#All],[Клиент]:[gps]],MATCH(E$1,ТабКлиенты[#Headers],0)-4,0)</f>
        <v>#N/A</v>
      </c>
      <c r="F5" t="e">
        <f>VLOOKUP($C5,ТабАдрес[[#All],[Клиент]:[gps]],MATCH(F$1,ТабКлиенты[#Headers],0)-4,0)</f>
        <v>#N/A</v>
      </c>
      <c r="H5" s="181">
        <v>0</v>
      </c>
      <c r="K5" t="e">
        <f t="shared" si="0"/>
        <v>#N/A</v>
      </c>
    </row>
    <row r="6" spans="1:11" hidden="1" x14ac:dyDescent="0.25">
      <c r="A6">
        <v>5</v>
      </c>
      <c r="B6" s="179">
        <v>45391</v>
      </c>
      <c r="C6" t="s">
        <v>3154</v>
      </c>
      <c r="D6" t="e">
        <f>VLOOKUP($C6,ТабКлиенты[[#All],[name]:[phone]],MATCH(D$1,ТабКлиенты[#Headers],0)-1,0)</f>
        <v>#N/A</v>
      </c>
      <c r="E6" t="e">
        <f>VLOOKUP($C6,ТабАдрес[[#All],[Клиент]:[gps]],MATCH(E$1,ТабКлиенты[#Headers],0)-4,0)</f>
        <v>#N/A</v>
      </c>
      <c r="F6" t="e">
        <f>VLOOKUP($C6,ТабАдрес[[#All],[Клиент]:[gps]],MATCH(F$1,ТабКлиенты[#Headers],0)-4,0)</f>
        <v>#N/A</v>
      </c>
      <c r="H6" s="181">
        <v>3000</v>
      </c>
      <c r="K6" t="e">
        <f t="shared" si="0"/>
        <v>#N/A</v>
      </c>
    </row>
    <row r="7" spans="1:11" hidden="1" x14ac:dyDescent="0.25">
      <c r="A7">
        <v>6</v>
      </c>
      <c r="B7" s="179">
        <v>45391</v>
      </c>
      <c r="C7" t="s">
        <v>3134</v>
      </c>
      <c r="D7" t="e">
        <f>VLOOKUP($C7,ТабКлиенты[[#All],[name]:[phone]],MATCH(D$1,ТабКлиенты[#Headers],0)-1,0)</f>
        <v>#N/A</v>
      </c>
      <c r="E7" t="e">
        <f>VLOOKUP($C7,ТабАдрес[[#All],[Клиент]:[gps]],MATCH(E$1,ТабКлиенты[#Headers],0)-4,0)</f>
        <v>#N/A</v>
      </c>
      <c r="F7" t="e">
        <f>VLOOKUP($C7,ТабАдрес[[#All],[Клиент]:[gps]],MATCH(F$1,ТабКлиенты[#Headers],0)-4,0)</f>
        <v>#N/A</v>
      </c>
      <c r="H7" s="181">
        <v>2260</v>
      </c>
      <c r="K7" t="e">
        <f t="shared" si="0"/>
        <v>#N/A</v>
      </c>
    </row>
    <row r="8" spans="1:11" hidden="1" x14ac:dyDescent="0.25">
      <c r="A8">
        <v>7</v>
      </c>
      <c r="B8" s="179">
        <v>45391</v>
      </c>
      <c r="C8" t="s">
        <v>3155</v>
      </c>
      <c r="D8" t="str">
        <f>VLOOKUP($C8,ТабКлиенты[[#All],[name]:[phone]],MATCH(D$1,ТабКлиенты[#Headers],0)-1,0)</f>
        <v>+79497385016</v>
      </c>
      <c r="E8" t="str">
        <f>VLOOKUP($C8,ТабАдрес[[#All],[Клиент]:[gps]],MATCH(E$1,ТабКлиенты[#Headers],0)-4,0)</f>
        <v>Шевченко 285А</v>
      </c>
      <c r="F8" t="str">
        <f>VLOOKUP($C8,ТабАдрес[[#All],[Клиент]:[gps]],MATCH(F$1,ТабКлиенты[#Headers],0)-4,0)</f>
        <v>47.1169, 37.5258</v>
      </c>
      <c r="H8" s="181">
        <v>1800</v>
      </c>
      <c r="K8" t="str">
        <f t="shared" si="0"/>
        <v>7. Наталья Вельвет
Тел.: +79497385016
Адрес: Шевченко 285А ()
https://yandex.ru/maps/?text=47.1169%2C37.5258
https://maps.google.com/?daddr=47.1169%2C37.5258
К оплате: 1800
----------------------------------------------------------</v>
      </c>
    </row>
    <row r="9" spans="1:11" hidden="1" x14ac:dyDescent="0.25">
      <c r="A9">
        <v>1</v>
      </c>
      <c r="B9" s="179">
        <v>45402</v>
      </c>
      <c r="C9" t="s">
        <v>3131</v>
      </c>
      <c r="D9" t="e">
        <f>VLOOKUP($C9,ТабКлиенты[[#All],[name]:[phone]],MATCH(D$1,ТабКлиенты[#Headers],0)-1,0)</f>
        <v>#N/A</v>
      </c>
      <c r="E9" t="e">
        <f>VLOOKUP($C9,ТабАдрес[[#All],[Клиент]:[gps]],MATCH(E$1,ТабКлиенты[#Headers],0)-4,0)</f>
        <v>#N/A</v>
      </c>
      <c r="F9" t="e">
        <f>VLOOKUP($C9,ТабАдрес[[#All],[Клиент]:[gps]],MATCH(F$1,ТабКлиенты[#Headers],0)-4,0)</f>
        <v>#N/A</v>
      </c>
      <c r="H9" s="181">
        <v>6067</v>
      </c>
      <c r="I9" s="52">
        <v>50</v>
      </c>
      <c r="K9" t="e">
        <f t="shared" si="0"/>
        <v>#N/A</v>
      </c>
    </row>
    <row r="10" spans="1:11" hidden="1" x14ac:dyDescent="0.25">
      <c r="A10">
        <v>2</v>
      </c>
      <c r="B10" s="179">
        <v>45402</v>
      </c>
      <c r="C10" t="s">
        <v>3133</v>
      </c>
      <c r="D10" t="e">
        <f>VLOOKUP($C10,ТабКлиенты[[#All],[name]:[phone]],MATCH(D$1,ТабКлиенты[#Headers],0)-1,0)</f>
        <v>#N/A</v>
      </c>
      <c r="E10" t="e">
        <f>VLOOKUP($C10,ТабАдрес[[#All],[Клиент]:[gps]],MATCH(E$1,ТабКлиенты[#Headers],0)-4,0)</f>
        <v>#N/A</v>
      </c>
      <c r="F10" t="e">
        <f>VLOOKUP($C10,ТабАдрес[[#All],[Клиент]:[gps]],MATCH(F$1,ТабКлиенты[#Headers],0)-4,0)</f>
        <v>#N/A</v>
      </c>
      <c r="H10" s="181">
        <v>0</v>
      </c>
      <c r="I10" s="52">
        <v>52</v>
      </c>
      <c r="K10" t="e">
        <f t="shared" si="0"/>
        <v>#N/A</v>
      </c>
    </row>
    <row r="11" spans="1:11" hidden="1" x14ac:dyDescent="0.25">
      <c r="A11">
        <v>3</v>
      </c>
      <c r="B11" s="179">
        <v>45402</v>
      </c>
      <c r="C11" t="s">
        <v>4238</v>
      </c>
      <c r="D11" t="e">
        <f>VLOOKUP($C11,ТабКлиенты[[#All],[name]:[phone]],MATCH(D$1,ТабКлиенты[#Headers],0)-1,0)</f>
        <v>#N/A</v>
      </c>
      <c r="E11" t="e">
        <f>VLOOKUP($C11,ТабАдрес[[#All],[Клиент]:[gps]],MATCH(E$1,ТабКлиенты[#Headers],0)-4,0)</f>
        <v>#N/A</v>
      </c>
      <c r="F11" t="e">
        <f>VLOOKUP($C11,ТабАдрес[[#All],[Клиент]:[gps]],MATCH(F$1,ТабКлиенты[#Headers],0)-4,0)</f>
        <v>#N/A</v>
      </c>
      <c r="H11" s="181">
        <v>3000</v>
      </c>
      <c r="I11" s="52" t="s">
        <v>5</v>
      </c>
      <c r="K11" t="e">
        <f t="shared" si="0"/>
        <v>#N/A</v>
      </c>
    </row>
    <row r="12" spans="1:11" hidden="1" x14ac:dyDescent="0.25">
      <c r="A12">
        <v>4</v>
      </c>
      <c r="B12" s="179">
        <v>45402</v>
      </c>
      <c r="C12" t="s">
        <v>3125</v>
      </c>
      <c r="D12" t="e">
        <f>VLOOKUP($C12,ТабКлиенты[[#All],[name]:[phone]],MATCH(D$1,ТабКлиенты[#Headers],0)-1,0)</f>
        <v>#N/A</v>
      </c>
      <c r="E12" t="e">
        <f>VLOOKUP($C12,ТабАдрес[[#All],[Клиент]:[gps]],MATCH(E$1,ТабКлиенты[#Headers],0)-4,0)</f>
        <v>#N/A</v>
      </c>
      <c r="F12" t="e">
        <f>VLOOKUP($C12,ТабАдрес[[#All],[Клиент]:[gps]],MATCH(F$1,ТабКлиенты[#Headers],0)-4,0)</f>
        <v>#N/A</v>
      </c>
      <c r="H12" s="181">
        <v>5887</v>
      </c>
      <c r="I12" s="52">
        <v>53.56</v>
      </c>
      <c r="K12" t="e">
        <f t="shared" si="0"/>
        <v>#N/A</v>
      </c>
    </row>
    <row r="13" spans="1:11" hidden="1" x14ac:dyDescent="0.25">
      <c r="A13">
        <v>5</v>
      </c>
      <c r="B13" s="179">
        <v>45402</v>
      </c>
      <c r="C13" t="s">
        <v>3160</v>
      </c>
      <c r="D13" t="e">
        <f>VLOOKUP($C13,ТабКлиенты[[#All],[name]:[phone]],MATCH(D$1,ТабКлиенты[#Headers],0)-1,0)</f>
        <v>#N/A</v>
      </c>
      <c r="E13" t="e">
        <f>VLOOKUP($C13,ТабАдрес[[#All],[Клиент]:[gps]],MATCH(E$1,ТабКлиенты[#Headers],0)-4,0)</f>
        <v>#N/A</v>
      </c>
      <c r="F13" t="e">
        <f>VLOOKUP($C13,ТабАдрес[[#All],[Клиент]:[gps]],MATCH(F$1,ТабКлиенты[#Headers],0)-4,0)</f>
        <v>#N/A</v>
      </c>
      <c r="H13" s="181">
        <v>0</v>
      </c>
      <c r="I13" s="52">
        <v>64</v>
      </c>
      <c r="K13" t="e">
        <f t="shared" si="0"/>
        <v>#N/A</v>
      </c>
    </row>
    <row r="14" spans="1:11" hidden="1" x14ac:dyDescent="0.25">
      <c r="A14">
        <v>6</v>
      </c>
      <c r="B14" s="179">
        <v>45402</v>
      </c>
      <c r="C14" t="s">
        <v>4239</v>
      </c>
      <c r="D14" t="e">
        <f>VLOOKUP($C14,ТабКлиенты[[#All],[name]:[phone]],MATCH(D$1,ТабКлиенты[#Headers],0)-1,0)</f>
        <v>#N/A</v>
      </c>
      <c r="E14" t="e">
        <f>VLOOKUP($C14,ТабАдрес[[#All],[Клиент]:[gps]],MATCH(E$1,ТабКлиенты[#Headers],0)-4,0)</f>
        <v>#N/A</v>
      </c>
      <c r="F14" t="e">
        <f>VLOOKUP($C14,ТабАдрес[[#All],[Клиент]:[gps]],MATCH(F$1,ТабКлиенты[#Headers],0)-4,0)</f>
        <v>#N/A</v>
      </c>
      <c r="H14" s="181">
        <v>2600</v>
      </c>
      <c r="I14" s="52" t="s">
        <v>5</v>
      </c>
      <c r="K14" t="e">
        <f t="shared" si="0"/>
        <v>#N/A</v>
      </c>
    </row>
    <row r="15" spans="1:11" hidden="1" x14ac:dyDescent="0.25">
      <c r="A15">
        <v>7</v>
      </c>
      <c r="B15" s="179">
        <v>45402</v>
      </c>
      <c r="C15" t="s">
        <v>4240</v>
      </c>
      <c r="D15">
        <f>VLOOKUP($C15,ТабКлиенты[[#All],[name]:[phone]],MATCH(D$1,ТабКлиенты[#Headers],0)-1,0)</f>
        <v>0</v>
      </c>
      <c r="E15" t="str">
        <f>VLOOKUP($C15,ТабАдрес[[#All],[Клиент]:[gps]],MATCH(E$1,ТабКлиенты[#Headers],0)-4,0)</f>
        <v>Троицкая 46</v>
      </c>
      <c r="F15" t="str">
        <f>VLOOKUP($C15,ТабАдрес[[#All],[Клиент]:[gps]],MATCH(F$1,ТабКлиенты[#Headers],0)-4,0)</f>
        <v>47.1119, 37.5147</v>
      </c>
      <c r="H15" s="181">
        <v>4100</v>
      </c>
      <c r="I15" s="52" t="s">
        <v>5</v>
      </c>
      <c r="K15" t="str">
        <f t="shared" si="0"/>
        <v>7. Оксана 17 цветы
Тел.: 0
Адрес: Троицкая 46 (Витамины)
https://yandex.ru/maps/?text=47.1119%2C37.5147
https://maps.google.com/?daddr=47.1119%2C37.5147
К оплате: 4100
----------------------------------------------------------</v>
      </c>
    </row>
    <row r="16" spans="1:11" hidden="1" x14ac:dyDescent="0.25">
      <c r="A16">
        <v>8</v>
      </c>
      <c r="B16" s="179">
        <v>45402</v>
      </c>
      <c r="C16" t="s">
        <v>4241</v>
      </c>
      <c r="D16" t="e">
        <f>VLOOKUP($C16,ТабКлиенты[[#All],[name]:[phone]],MATCH(D$1,ТабКлиенты[#Headers],0)-1,0)</f>
        <v>#N/A</v>
      </c>
      <c r="E16" t="e">
        <f>VLOOKUP($C16,ТабАдрес[[#All],[Клиент]:[gps]],MATCH(E$1,ТабКлиенты[#Headers],0)-4,0)</f>
        <v>#N/A</v>
      </c>
      <c r="F16" t="e">
        <f>VLOOKUP($C16,ТабАдрес[[#All],[Клиент]:[gps]],MATCH(F$1,ТабКлиенты[#Headers],0)-4,0)</f>
        <v>#N/A</v>
      </c>
      <c r="H16" s="181">
        <v>2400</v>
      </c>
      <c r="I16" s="52" t="s">
        <v>5</v>
      </c>
      <c r="K16" t="e">
        <f t="shared" si="0"/>
        <v>#N/A</v>
      </c>
    </row>
    <row r="17" spans="1:11" hidden="1" x14ac:dyDescent="0.25">
      <c r="A17">
        <v>9</v>
      </c>
      <c r="B17" s="179">
        <v>45402</v>
      </c>
      <c r="C17" t="s">
        <v>4242</v>
      </c>
      <c r="D17" t="e">
        <f>VLOOKUP($C17,ТабКлиенты[[#All],[name]:[phone]],MATCH(D$1,ТабКлиенты[#Headers],0)-1,0)</f>
        <v>#N/A</v>
      </c>
      <c r="E17" t="e">
        <f>VLOOKUP($C17,ТабАдрес[[#All],[Клиент]:[gps]],MATCH(E$1,ТабКлиенты[#Headers],0)-4,0)</f>
        <v>#N/A</v>
      </c>
      <c r="F17" t="e">
        <f>VLOOKUP($C17,ТабАдрес[[#All],[Клиент]:[gps]],MATCH(F$1,ТабКлиенты[#Headers],0)-4,0)</f>
        <v>#N/A</v>
      </c>
      <c r="H17" s="181">
        <v>8700</v>
      </c>
      <c r="I17" s="52" t="s">
        <v>5</v>
      </c>
      <c r="K17" t="e">
        <f t="shared" si="0"/>
        <v>#N/A</v>
      </c>
    </row>
    <row r="18" spans="1:11" hidden="1" x14ac:dyDescent="0.25">
      <c r="A18">
        <v>10</v>
      </c>
      <c r="B18" s="179">
        <v>45402</v>
      </c>
      <c r="C18" t="s">
        <v>4243</v>
      </c>
      <c r="D18" t="e">
        <f>VLOOKUP($C18,ТабКлиенты[[#All],[name]:[phone]],MATCH(D$1,ТабКлиенты[#Headers],0)-1,0)</f>
        <v>#N/A</v>
      </c>
      <c r="E18" t="e">
        <f>VLOOKUP($C18,ТабАдрес[[#All],[Клиент]:[gps]],MATCH(E$1,ТабКлиенты[#Headers],0)-4,0)</f>
        <v>#N/A</v>
      </c>
      <c r="F18" t="e">
        <f>VLOOKUP($C18,ТабАдрес[[#All],[Клиент]:[gps]],MATCH(F$1,ТабКлиенты[#Headers],0)-4,0)</f>
        <v>#N/A</v>
      </c>
      <c r="H18" s="181">
        <v>6300</v>
      </c>
      <c r="I18" s="52" t="s">
        <v>5</v>
      </c>
      <c r="K18" t="e">
        <f t="shared" si="0"/>
        <v>#N/A</v>
      </c>
    </row>
    <row r="19" spans="1:11" hidden="1" x14ac:dyDescent="0.25">
      <c r="A19">
        <v>11</v>
      </c>
      <c r="B19" s="179">
        <v>45402</v>
      </c>
      <c r="C19" t="s">
        <v>3168</v>
      </c>
      <c r="D19" t="e">
        <f>VLOOKUP($C19,ТабКлиенты[[#All],[name]:[phone]],MATCH(D$1,ТабКлиенты[#Headers],0)-1,0)</f>
        <v>#N/A</v>
      </c>
      <c r="E19" t="e">
        <f>VLOOKUP($C19,ТабАдрес[[#All],[Клиент]:[gps]],MATCH(E$1,ТабКлиенты[#Headers],0)-4,0)</f>
        <v>#N/A</v>
      </c>
      <c r="F19" t="e">
        <f>VLOOKUP($C19,ТабАдрес[[#All],[Клиент]:[gps]],MATCH(F$1,ТабКлиенты[#Headers],0)-4,0)</f>
        <v>#N/A</v>
      </c>
      <c r="H19" s="181">
        <v>0</v>
      </c>
      <c r="I19" s="52" t="s">
        <v>4244</v>
      </c>
      <c r="K19" t="e">
        <f t="shared" si="0"/>
        <v>#N/A</v>
      </c>
    </row>
    <row r="20" spans="1:11" hidden="1" x14ac:dyDescent="0.25">
      <c r="A20">
        <v>12</v>
      </c>
      <c r="B20" s="179">
        <v>45402</v>
      </c>
      <c r="C20" t="s">
        <v>3149</v>
      </c>
      <c r="D20" t="e">
        <f>VLOOKUP($C20,ТабКлиенты[[#All],[name]:[phone]],MATCH(D$1,ТабКлиенты[#Headers],0)-1,0)</f>
        <v>#N/A</v>
      </c>
      <c r="E20" t="e">
        <f>VLOOKUP($C20,ТабАдрес[[#All],[Клиент]:[gps]],MATCH(E$1,ТабКлиенты[#Headers],0)-4,0)</f>
        <v>#N/A</v>
      </c>
      <c r="F20" t="e">
        <f>VLOOKUP($C20,ТабАдрес[[#All],[Клиент]:[gps]],MATCH(F$1,ТабКлиенты[#Headers],0)-4,0)</f>
        <v>#N/A</v>
      </c>
      <c r="H20" s="181">
        <v>803</v>
      </c>
      <c r="I20" s="52">
        <v>49.59</v>
      </c>
      <c r="K20" t="e">
        <f t="shared" si="0"/>
        <v>#N/A</v>
      </c>
    </row>
    <row r="21" spans="1:11" hidden="1" x14ac:dyDescent="0.25">
      <c r="A21">
        <v>13</v>
      </c>
      <c r="B21" s="179">
        <v>45402</v>
      </c>
      <c r="C21" t="s">
        <v>4245</v>
      </c>
      <c r="D21" t="e">
        <f>VLOOKUP($C21,ТабКлиенты[[#All],[name]:[phone]],MATCH(D$1,ТабКлиенты[#Headers],0)-1,0)</f>
        <v>#N/A</v>
      </c>
      <c r="E21" t="e">
        <f>VLOOKUP($C21,ТабАдрес[[#All],[Клиент]:[gps]],MATCH(E$1,ТабКлиенты[#Headers],0)-4,0)</f>
        <v>#N/A</v>
      </c>
      <c r="F21" t="e">
        <f>VLOOKUP($C21,ТабАдрес[[#All],[Клиент]:[gps]],MATCH(F$1,ТабКлиенты[#Headers],0)-4,0)</f>
        <v>#N/A</v>
      </c>
      <c r="H21" s="181">
        <v>4600</v>
      </c>
      <c r="I21" s="52" t="s">
        <v>5</v>
      </c>
      <c r="K21" t="e">
        <f t="shared" si="0"/>
        <v>#N/A</v>
      </c>
    </row>
    <row r="22" spans="1:11" hidden="1" x14ac:dyDescent="0.25">
      <c r="A22">
        <v>1</v>
      </c>
      <c r="B22" s="179">
        <v>45409</v>
      </c>
      <c r="C22" t="s">
        <v>3143</v>
      </c>
      <c r="D22" t="e">
        <f>VLOOKUP($C22,ТабКлиенты[[#All],[name]:[phone]],MATCH(D$1,ТабКлиенты[#Headers],0)-1,0)</f>
        <v>#N/A</v>
      </c>
      <c r="E22" t="e">
        <f>VLOOKUP($C22,ТабАдрес[[#All],[Клиент]:[gps]],MATCH(E$1,ТабКлиенты[#Headers],0)-4,0)</f>
        <v>#N/A</v>
      </c>
      <c r="F22" t="e">
        <f>VLOOKUP($C22,ТабАдрес[[#All],[Клиент]:[gps]],MATCH(F$1,ТабКлиенты[#Headers],0)-4,0)</f>
        <v>#N/A</v>
      </c>
      <c r="H22" s="181">
        <v>1528</v>
      </c>
      <c r="I22" s="52">
        <v>71</v>
      </c>
      <c r="K22" t="e">
        <f t="shared" si="0"/>
        <v>#N/A</v>
      </c>
    </row>
    <row r="23" spans="1:11" hidden="1" x14ac:dyDescent="0.25">
      <c r="A23">
        <v>2</v>
      </c>
      <c r="B23" s="179">
        <v>45409</v>
      </c>
      <c r="C23" t="s">
        <v>3162</v>
      </c>
      <c r="D23" t="e">
        <f>VLOOKUP($C23,ТабКлиенты[[#All],[name]:[phone]],MATCH(D$1,ТабКлиенты[#Headers],0)-1,0)</f>
        <v>#N/A</v>
      </c>
      <c r="E23" t="e">
        <f>VLOOKUP($C23,ТабАдрес[[#All],[Клиент]:[gps]],MATCH(E$1,ТабКлиенты[#Headers],0)-4,0)</f>
        <v>#N/A</v>
      </c>
      <c r="F23" t="e">
        <f>VLOOKUP($C23,ТабАдрес[[#All],[Клиент]:[gps]],MATCH(F$1,ТабКлиенты[#Headers],0)-4,0)</f>
        <v>#N/A</v>
      </c>
      <c r="H23" s="181">
        <v>0</v>
      </c>
      <c r="I23" s="52">
        <v>67</v>
      </c>
      <c r="K23" t="e">
        <f t="shared" si="0"/>
        <v>#N/A</v>
      </c>
    </row>
    <row r="24" spans="1:11" hidden="1" x14ac:dyDescent="0.25">
      <c r="A24">
        <v>3</v>
      </c>
      <c r="B24" s="179">
        <v>45409</v>
      </c>
      <c r="C24" t="s">
        <v>3159</v>
      </c>
      <c r="D24" t="e">
        <f>VLOOKUP($C24,ТабКлиенты[[#All],[name]:[phone]],MATCH(D$1,ТабКлиенты[#Headers],0)-1,0)</f>
        <v>#N/A</v>
      </c>
      <c r="E24" t="e">
        <f>VLOOKUP($C24,ТабАдрес[[#All],[Клиент]:[gps]],MATCH(E$1,ТабКлиенты[#Headers],0)-4,0)</f>
        <v>#N/A</v>
      </c>
      <c r="F24" t="e">
        <f>VLOOKUP($C24,ТабАдрес[[#All],[Клиент]:[gps]],MATCH(F$1,ТабКлиенты[#Headers],0)-4,0)</f>
        <v>#N/A</v>
      </c>
      <c r="H24" s="181">
        <v>0</v>
      </c>
      <c r="I24" s="52">
        <v>60</v>
      </c>
      <c r="K24" t="e">
        <f t="shared" si="0"/>
        <v>#N/A</v>
      </c>
    </row>
    <row r="25" spans="1:11" hidden="1" x14ac:dyDescent="0.25">
      <c r="A25">
        <v>4</v>
      </c>
      <c r="B25" s="179">
        <v>45409</v>
      </c>
      <c r="C25" t="s">
        <v>3160</v>
      </c>
      <c r="D25" t="e">
        <f>VLOOKUP($C25,ТабКлиенты[[#All],[name]:[phone]],MATCH(D$1,ТабКлиенты[#Headers],0)-1,0)</f>
        <v>#N/A</v>
      </c>
      <c r="E25" t="e">
        <f>VLOOKUP($C25,ТабАдрес[[#All],[Клиент]:[gps]],MATCH(E$1,ТабКлиенты[#Headers],0)-4,0)</f>
        <v>#N/A</v>
      </c>
      <c r="F25" t="e">
        <f>VLOOKUP($C25,ТабАдрес[[#All],[Клиент]:[gps]],MATCH(F$1,ТабКлиенты[#Headers],0)-4,0)</f>
        <v>#N/A</v>
      </c>
      <c r="H25" s="181">
        <v>0</v>
      </c>
      <c r="I25" s="52" t="s">
        <v>4246</v>
      </c>
      <c r="K25" t="e">
        <f t="shared" si="0"/>
        <v>#N/A</v>
      </c>
    </row>
    <row r="26" spans="1:11" hidden="1" x14ac:dyDescent="0.25">
      <c r="A26">
        <v>5</v>
      </c>
      <c r="B26" s="179">
        <v>45409</v>
      </c>
      <c r="C26" t="s">
        <v>3125</v>
      </c>
      <c r="D26" t="e">
        <f>VLOOKUP($C26,ТабКлиенты[[#All],[name]:[phone]],MATCH(D$1,ТабКлиенты[#Headers],0)-1,0)</f>
        <v>#N/A</v>
      </c>
      <c r="E26" t="e">
        <f>VLOOKUP($C26,ТабАдрес[[#All],[Клиент]:[gps]],MATCH(E$1,ТабКлиенты[#Headers],0)-4,0)</f>
        <v>#N/A</v>
      </c>
      <c r="F26" t="e">
        <f>VLOOKUP($C26,ТабАдрес[[#All],[Клиент]:[gps]],MATCH(F$1,ТабКлиенты[#Headers],0)-4,0)</f>
        <v>#N/A</v>
      </c>
      <c r="H26" s="181">
        <v>0</v>
      </c>
      <c r="I26" s="52">
        <v>66</v>
      </c>
      <c r="K26" t="e">
        <f t="shared" si="0"/>
        <v>#N/A</v>
      </c>
    </row>
    <row r="27" spans="1:11" hidden="1" x14ac:dyDescent="0.25">
      <c r="A27">
        <v>6</v>
      </c>
      <c r="B27" s="179">
        <v>45409</v>
      </c>
      <c r="C27" t="s">
        <v>3149</v>
      </c>
      <c r="D27" t="e">
        <f>VLOOKUP($C27,ТабКлиенты[[#All],[name]:[phone]],MATCH(D$1,ТабКлиенты[#Headers],0)-1,0)</f>
        <v>#N/A</v>
      </c>
      <c r="E27" t="e">
        <f>VLOOKUP($C27,ТабАдрес[[#All],[Клиент]:[gps]],MATCH(E$1,ТабКлиенты[#Headers],0)-4,0)</f>
        <v>#N/A</v>
      </c>
      <c r="F27" t="e">
        <f>VLOOKUP($C27,ТабАдрес[[#All],[Клиент]:[gps]],MATCH(F$1,ТабКлиенты[#Headers],0)-4,0)</f>
        <v>#N/A</v>
      </c>
      <c r="H27" s="181">
        <f>2556+472</f>
        <v>3028</v>
      </c>
      <c r="I27" s="52" t="s">
        <v>4247</v>
      </c>
      <c r="K27" t="e">
        <f t="shared" si="0"/>
        <v>#N/A</v>
      </c>
    </row>
    <row r="28" spans="1:11" hidden="1" x14ac:dyDescent="0.25">
      <c r="A28">
        <v>7</v>
      </c>
      <c r="B28" s="179">
        <v>45409</v>
      </c>
      <c r="C28" t="s">
        <v>3144</v>
      </c>
      <c r="D28" t="e">
        <f>VLOOKUP($C28,ТабКлиенты[[#All],[name]:[phone]],MATCH(D$1,ТабКлиенты[#Headers],0)-1,0)</f>
        <v>#N/A</v>
      </c>
      <c r="E28" t="e">
        <f>VLOOKUP($C28,ТабАдрес[[#All],[Клиент]:[gps]],MATCH(E$1,ТабКлиенты[#Headers],0)-4,0)</f>
        <v>#N/A</v>
      </c>
      <c r="F28" t="e">
        <f>VLOOKUP($C28,ТабАдрес[[#All],[Клиент]:[gps]],MATCH(F$1,ТабКлиенты[#Headers],0)-4,0)</f>
        <v>#N/A</v>
      </c>
      <c r="H28" s="181">
        <v>0</v>
      </c>
      <c r="I28" s="52">
        <v>72</v>
      </c>
      <c r="K28" t="e">
        <f t="shared" si="0"/>
        <v>#N/A</v>
      </c>
    </row>
    <row r="29" spans="1:11" hidden="1" x14ac:dyDescent="0.25">
      <c r="A29">
        <v>8</v>
      </c>
      <c r="B29" s="179">
        <v>45409</v>
      </c>
      <c r="C29" t="s">
        <v>4248</v>
      </c>
      <c r="D29" t="e">
        <f>VLOOKUP($C29,ТабКлиенты[[#All],[name]:[phone]],MATCH(D$1,ТабКлиенты[#Headers],0)-1,0)</f>
        <v>#N/A</v>
      </c>
      <c r="E29" t="e">
        <f>VLOOKUP($C29,ТабАдрес[[#All],[Клиент]:[gps]],MATCH(E$1,ТабКлиенты[#Headers],0)-4,0)</f>
        <v>#N/A</v>
      </c>
      <c r="F29" t="e">
        <f>VLOOKUP($C29,ТабАдрес[[#All],[Клиент]:[gps]],MATCH(F$1,ТабКлиенты[#Headers],0)-4,0)</f>
        <v>#N/A</v>
      </c>
      <c r="H29" s="181">
        <v>0</v>
      </c>
      <c r="I29" s="52">
        <v>69</v>
      </c>
      <c r="K29" t="e">
        <f t="shared" si="0"/>
        <v>#N/A</v>
      </c>
    </row>
    <row r="30" spans="1:11" hidden="1" x14ac:dyDescent="0.25">
      <c r="A30">
        <v>9</v>
      </c>
      <c r="B30" s="179">
        <v>45409</v>
      </c>
      <c r="C30" t="s">
        <v>3163</v>
      </c>
      <c r="D30" t="str">
        <f>VLOOKUP($C30,ТабКлиенты[[#All],[name]:[phone]],MATCH(D$1,ТабКлиенты[#Headers],0)-1,0)</f>
        <v>+79497267699</v>
      </c>
      <c r="E30" t="str">
        <f>VLOOKUP($C30,ТабАдрес[[#All],[Клиент]:[gps]],MATCH(E$1,ТабКлиенты[#Headers],0)-4,0)</f>
        <v>Торговая 100</v>
      </c>
      <c r="F30" t="str">
        <f>VLOOKUP($C30,ТабАдрес[[#All],[Клиент]:[gps]],MATCH(F$1,ТабКлиенты[#Headers],0)-4,0)</f>
        <v>47.1034, 37.5633</v>
      </c>
      <c r="H30" s="181">
        <v>2200</v>
      </c>
      <c r="I30" s="52" t="s">
        <v>5</v>
      </c>
      <c r="K30" t="str">
        <f t="shared" si="0"/>
        <v>9. Татьяна Торговая 100
Тел.: +79497267699
Адрес: Торговая 100 (Витамины)
https://yandex.ru/maps/?text=47.1034%2C37.5633
https://maps.google.com/?daddr=47.1034%2C37.5633
К оплате: 2200
----------------------------------------------------------</v>
      </c>
    </row>
    <row r="31" spans="1:11" hidden="1" x14ac:dyDescent="0.25">
      <c r="A31">
        <v>10</v>
      </c>
      <c r="B31" s="179">
        <v>45409</v>
      </c>
      <c r="C31" t="s">
        <v>3131</v>
      </c>
      <c r="D31" t="e">
        <f>VLOOKUP($C31,ТабКлиенты[[#All],[name]:[phone]],MATCH(D$1,ТабКлиенты[#Headers],0)-1,0)</f>
        <v>#N/A</v>
      </c>
      <c r="E31" t="e">
        <f>VLOOKUP($C31,ТабАдрес[[#All],[Клиент]:[gps]],MATCH(E$1,ТабКлиенты[#Headers],0)-4,0)</f>
        <v>#N/A</v>
      </c>
      <c r="F31" t="e">
        <f>VLOOKUP($C31,ТабАдрес[[#All],[Клиент]:[gps]],MATCH(F$1,ТабКлиенты[#Headers],0)-4,0)</f>
        <v>#N/A</v>
      </c>
      <c r="H31" s="181">
        <v>0</v>
      </c>
      <c r="I31" s="52">
        <v>65</v>
      </c>
      <c r="K31" t="e">
        <f t="shared" si="0"/>
        <v>#N/A</v>
      </c>
    </row>
    <row r="32" spans="1:11" hidden="1" x14ac:dyDescent="0.25">
      <c r="A32">
        <v>11</v>
      </c>
      <c r="B32" s="179">
        <v>45409</v>
      </c>
      <c r="C32" t="s">
        <v>3161</v>
      </c>
      <c r="D32" t="e">
        <f>VLOOKUP($C32,ТабКлиенты[[#All],[name]:[phone]],MATCH(D$1,ТабКлиенты[#Headers],0)-1,0)</f>
        <v>#N/A</v>
      </c>
      <c r="E32" t="e">
        <f>VLOOKUP($C32,ТабАдрес[[#All],[Клиент]:[gps]],MATCH(E$1,ТабКлиенты[#Headers],0)-4,0)</f>
        <v>#N/A</v>
      </c>
      <c r="F32" t="e">
        <f>VLOOKUP($C32,ТабАдрес[[#All],[Клиент]:[gps]],MATCH(F$1,ТабКлиенты[#Headers],0)-4,0)</f>
        <v>#N/A</v>
      </c>
      <c r="H32" s="181">
        <v>200</v>
      </c>
      <c r="I32" s="52">
        <v>61</v>
      </c>
      <c r="K32" t="e">
        <f t="shared" si="0"/>
        <v>#N/A</v>
      </c>
    </row>
    <row r="33" spans="1:11" hidden="1" x14ac:dyDescent="0.25">
      <c r="A33">
        <v>1</v>
      </c>
      <c r="B33" s="179">
        <v>45416</v>
      </c>
      <c r="C33" t="s">
        <v>3127</v>
      </c>
      <c r="D33" t="e">
        <f>VLOOKUP($C33,ТабКлиенты[[#All],[name]:[phone]],MATCH(D$1,ТабКлиенты[#Headers],0)-1,0)</f>
        <v>#N/A</v>
      </c>
      <c r="E33" t="e">
        <f>VLOOKUP($C33,ТабАдрес[[#All],[Клиент]:[gps]],MATCH(E$1,ТабКлиенты[#Headers],0)-4,0)</f>
        <v>#N/A</v>
      </c>
      <c r="F33" t="e">
        <f>VLOOKUP($C33,ТабАдрес[[#All],[Клиент]:[gps]],MATCH(F$1,ТабКлиенты[#Headers],0)-4,0)</f>
        <v>#N/A</v>
      </c>
      <c r="H33" s="181">
        <v>0</v>
      </c>
      <c r="I33" s="52">
        <v>79</v>
      </c>
      <c r="K33" t="e">
        <f t="shared" si="0"/>
        <v>#N/A</v>
      </c>
    </row>
    <row r="34" spans="1:11" hidden="1" x14ac:dyDescent="0.25">
      <c r="A34">
        <v>2</v>
      </c>
      <c r="B34" s="179">
        <v>45416</v>
      </c>
      <c r="C34" t="s">
        <v>3144</v>
      </c>
      <c r="D34" t="e">
        <f>VLOOKUP($C34,ТабКлиенты[[#All],[name]:[phone]],MATCH(D$1,ТабКлиенты[#Headers],0)-1,0)</f>
        <v>#N/A</v>
      </c>
      <c r="E34" t="e">
        <f>VLOOKUP($C34,ТабАдрес[[#All],[Клиент]:[gps]],MATCH(E$1,ТабКлиенты[#Headers],0)-4,0)</f>
        <v>#N/A</v>
      </c>
      <c r="F34" t="e">
        <f>VLOOKUP($C34,ТабАдрес[[#All],[Клиент]:[gps]],MATCH(F$1,ТабКлиенты[#Headers],0)-4,0)</f>
        <v>#N/A</v>
      </c>
      <c r="H34" s="181">
        <v>0</v>
      </c>
      <c r="I34" s="52">
        <v>72</v>
      </c>
      <c r="K34" t="e">
        <f t="shared" si="0"/>
        <v>#N/A</v>
      </c>
    </row>
    <row r="35" spans="1:11" hidden="1" x14ac:dyDescent="0.25">
      <c r="A35">
        <v>3</v>
      </c>
      <c r="B35" s="179">
        <v>45416</v>
      </c>
      <c r="C35" t="s">
        <v>3143</v>
      </c>
      <c r="D35" t="e">
        <f>VLOOKUP($C35,ТабКлиенты[[#All],[name]:[phone]],MATCH(D$1,ТабКлиенты[#Headers],0)-1,0)</f>
        <v>#N/A</v>
      </c>
      <c r="E35" t="e">
        <f>VLOOKUP($C35,ТабАдрес[[#All],[Клиент]:[gps]],MATCH(E$1,ТабКлиенты[#Headers],0)-4,0)</f>
        <v>#N/A</v>
      </c>
      <c r="F35" t="e">
        <f>VLOOKUP($C35,ТабАдрес[[#All],[Клиент]:[gps]],MATCH(F$1,ТабКлиенты[#Headers],0)-4,0)</f>
        <v>#N/A</v>
      </c>
      <c r="H35" s="181">
        <v>0</v>
      </c>
      <c r="I35" s="52">
        <v>71</v>
      </c>
      <c r="K35" t="e">
        <f t="shared" si="0"/>
        <v>#N/A</v>
      </c>
    </row>
    <row r="36" spans="1:11" hidden="1" x14ac:dyDescent="0.25">
      <c r="A36">
        <v>4</v>
      </c>
      <c r="B36" s="179">
        <v>45416</v>
      </c>
      <c r="C36" t="s">
        <v>3160</v>
      </c>
      <c r="D36" t="e">
        <f>VLOOKUP($C36,ТабКлиенты[[#All],[name]:[phone]],MATCH(D$1,ТабКлиенты[#Headers],0)-1,0)</f>
        <v>#N/A</v>
      </c>
      <c r="E36" t="e">
        <f>VLOOKUP($C36,ТабАдрес[[#All],[Клиент]:[gps]],MATCH(E$1,ТабКлиенты[#Headers],0)-4,0)</f>
        <v>#N/A</v>
      </c>
      <c r="F36" t="e">
        <f>VLOOKUP($C36,ТабАдрес[[#All],[Клиент]:[gps]],MATCH(F$1,ТабКлиенты[#Headers],0)-4,0)</f>
        <v>#N/A</v>
      </c>
      <c r="H36" s="181">
        <v>0</v>
      </c>
      <c r="I36" s="52">
        <v>75</v>
      </c>
      <c r="K36" t="e">
        <f t="shared" si="0"/>
        <v>#N/A</v>
      </c>
    </row>
    <row r="37" spans="1:11" hidden="1" x14ac:dyDescent="0.25">
      <c r="A37">
        <v>5</v>
      </c>
      <c r="B37" s="179">
        <v>45416</v>
      </c>
      <c r="C37" t="s">
        <v>3149</v>
      </c>
      <c r="D37" t="e">
        <f>VLOOKUP($C37,ТабКлиенты[[#All],[name]:[phone]],MATCH(D$1,ТабКлиенты[#Headers],0)-1,0)</f>
        <v>#N/A</v>
      </c>
      <c r="E37" t="e">
        <f>VLOOKUP($C37,ТабАдрес[[#All],[Клиент]:[gps]],MATCH(E$1,ТабКлиенты[#Headers],0)-4,0)</f>
        <v>#N/A</v>
      </c>
      <c r="F37" t="e">
        <f>VLOOKUP($C37,ТабАдрес[[#All],[Клиент]:[gps]],MATCH(F$1,ТабКлиенты[#Headers],0)-4,0)</f>
        <v>#N/A</v>
      </c>
      <c r="H37" s="181">
        <v>0</v>
      </c>
      <c r="I37" s="52">
        <v>76</v>
      </c>
      <c r="K37" t="e">
        <f t="shared" si="0"/>
        <v>#N/A</v>
      </c>
    </row>
    <row r="38" spans="1:11" hidden="1" x14ac:dyDescent="0.25">
      <c r="A38">
        <v>6</v>
      </c>
      <c r="B38" s="179">
        <v>45416</v>
      </c>
      <c r="C38" t="s">
        <v>3168</v>
      </c>
      <c r="D38" t="e">
        <f>VLOOKUP($C38,ТабКлиенты[[#All],[name]:[phone]],MATCH(D$1,ТабКлиенты[#Headers],0)-1,0)</f>
        <v>#N/A</v>
      </c>
      <c r="E38" t="e">
        <f>VLOOKUP($C38,ТабАдрес[[#All],[Клиент]:[gps]],MATCH(E$1,ТабКлиенты[#Headers],0)-4,0)</f>
        <v>#N/A</v>
      </c>
      <c r="F38" t="e">
        <f>VLOOKUP($C38,ТабАдрес[[#All],[Клиент]:[gps]],MATCH(F$1,ТабКлиенты[#Headers],0)-4,0)</f>
        <v>#N/A</v>
      </c>
      <c r="H38" s="181">
        <v>1187</v>
      </c>
      <c r="I38" s="52">
        <v>78</v>
      </c>
      <c r="K38" t="e">
        <f t="shared" si="0"/>
        <v>#N/A</v>
      </c>
    </row>
    <row r="39" spans="1:11" hidden="1" x14ac:dyDescent="0.25">
      <c r="A39">
        <v>7</v>
      </c>
      <c r="B39" s="179">
        <v>45416</v>
      </c>
      <c r="C39" t="s">
        <v>3131</v>
      </c>
      <c r="D39" t="e">
        <f>VLOOKUP($C39,ТабКлиенты[[#All],[name]:[phone]],MATCH(D$1,ТабКлиенты[#Headers],0)-1,0)</f>
        <v>#N/A</v>
      </c>
      <c r="E39" t="e">
        <f>VLOOKUP($C39,ТабАдрес[[#All],[Клиент]:[gps]],MATCH(E$1,ТабКлиенты[#Headers],0)-4,0)</f>
        <v>#N/A</v>
      </c>
      <c r="F39" t="e">
        <f>VLOOKUP($C39,ТабАдрес[[#All],[Клиент]:[gps]],MATCH(F$1,ТабКлиенты[#Headers],0)-4,0)</f>
        <v>#N/A</v>
      </c>
      <c r="H39" s="181">
        <v>0</v>
      </c>
      <c r="I39" s="52">
        <v>80</v>
      </c>
      <c r="K39" t="e">
        <f t="shared" si="0"/>
        <v>#N/A</v>
      </c>
    </row>
    <row r="40" spans="1:11" hidden="1" x14ac:dyDescent="0.25">
      <c r="A40">
        <v>8</v>
      </c>
      <c r="B40" s="179">
        <v>45416</v>
      </c>
      <c r="C40" t="s">
        <v>3122</v>
      </c>
      <c r="D40" t="e">
        <f>VLOOKUP($C40,ТабКлиенты[[#All],[name]:[phone]],MATCH(D$1,ТабКлиенты[#Headers],0)-1,0)</f>
        <v>#N/A</v>
      </c>
      <c r="E40" t="e">
        <f>VLOOKUP($C40,ТабАдрес[[#All],[Клиент]:[gps]],MATCH(E$1,ТабКлиенты[#Headers],0)-4,0)</f>
        <v>#N/A</v>
      </c>
      <c r="F40" t="e">
        <f>VLOOKUP($C40,ТабАдрес[[#All],[Клиент]:[gps]],MATCH(F$1,ТабКлиенты[#Headers],0)-4,0)</f>
        <v>#N/A</v>
      </c>
      <c r="H40" s="181">
        <v>-265</v>
      </c>
      <c r="I40" s="52" t="s">
        <v>4249</v>
      </c>
      <c r="K40" t="e">
        <f t="shared" si="0"/>
        <v>#N/A</v>
      </c>
    </row>
    <row r="41" spans="1:11" hidden="1" x14ac:dyDescent="0.25">
      <c r="A41">
        <v>9</v>
      </c>
      <c r="B41" s="179">
        <v>45416</v>
      </c>
      <c r="C41" t="s">
        <v>3167</v>
      </c>
      <c r="D41" t="e">
        <f>VLOOKUP($C41,ТабКлиенты[[#All],[name]:[phone]],MATCH(D$1,ТабКлиенты[#Headers],0)-1,0)</f>
        <v>#N/A</v>
      </c>
      <c r="E41" t="e">
        <f>VLOOKUP($C41,ТабАдрес[[#All],[Клиент]:[gps]],MATCH(E$1,ТабКлиенты[#Headers],0)-4,0)</f>
        <v>#N/A</v>
      </c>
      <c r="F41" t="e">
        <f>VLOOKUP($C41,ТабАдрес[[#All],[Клиент]:[gps]],MATCH(F$1,ТабКлиенты[#Headers],0)-4,0)</f>
        <v>#N/A</v>
      </c>
      <c r="H41" s="181">
        <v>0</v>
      </c>
      <c r="I41" s="52">
        <v>77</v>
      </c>
      <c r="K41" t="e">
        <f t="shared" si="0"/>
        <v>#N/A</v>
      </c>
    </row>
    <row r="42" spans="1:11" hidden="1" x14ac:dyDescent="0.25">
      <c r="A42">
        <v>1</v>
      </c>
      <c r="B42" s="179">
        <v>45423</v>
      </c>
      <c r="C42" t="s">
        <v>3127</v>
      </c>
      <c r="D42" t="e">
        <f>VLOOKUP($C42,ТабКлиенты[[#All],[name]:[phone]],MATCH(D$1,ТабКлиенты[#Headers],0)-1,0)</f>
        <v>#N/A</v>
      </c>
      <c r="E42" t="e">
        <f>VLOOKUP($C42,ТабАдрес[[#All],[Клиент]:[gps]],MATCH(E$1,ТабКлиенты[#Headers],0)-4,0)</f>
        <v>#N/A</v>
      </c>
      <c r="F42" t="e">
        <f>VLOOKUP($C42,ТабАдрес[[#All],[Клиент]:[gps]],MATCH(F$1,ТабКлиенты[#Headers],0)-4,0)</f>
        <v>#N/A</v>
      </c>
      <c r="H42" s="181">
        <v>0</v>
      </c>
      <c r="I42" s="52" t="s">
        <v>4250</v>
      </c>
      <c r="K42" t="e">
        <f t="shared" ref="K42:K73" si="1">A42&amp;". "&amp;C42&amp;CHAR(10)&amp;"Тел.: "&amp;D42&amp;CHAR(10)&amp;"Адрес: "&amp;E42&amp;CHAR(10)&amp;"№ заказа: "&amp;I42&amp;CHAR(10)&amp;"https://yandex.ru/maps/?text="&amp;REPLACE(F42,SEARCH(",",F42),2,"%2C")&amp;CHAR(10)&amp;"https://maps.google.com/?daddr="&amp;REPLACE(F42,SEARCH(",",F42),2,"%2C")&amp;CHAR(10)&amp;"К оплате: "&amp;"**"&amp;H42&amp;CHAR(10)&amp;"**"&amp;"----------------------------------------------------------"</f>
        <v>#N/A</v>
      </c>
    </row>
    <row r="43" spans="1:11" hidden="1" x14ac:dyDescent="0.25">
      <c r="A43">
        <v>2</v>
      </c>
      <c r="B43" s="179">
        <v>45423</v>
      </c>
      <c r="C43" t="s">
        <v>3169</v>
      </c>
      <c r="D43" t="str">
        <f>VLOOKUP($C43,ТабКлиенты[[#All],[name]:[phone]],MATCH(D$1,ТабКлиенты[#Headers],0)-1,0)</f>
        <v>+79496019237</v>
      </c>
      <c r="E43" t="str">
        <f>VLOOKUP($C43,ТабАдрес[[#All],[Клиент]:[gps]],MATCH(E$1,ТабКлиенты[#Headers],0)-4,0)</f>
        <v>Металлургов 92</v>
      </c>
      <c r="F43" t="str">
        <f>VLOOKUP($C43,ТабАдрес[[#All],[Клиент]:[gps]],MATCH(F$1,ТабКлиенты[#Headers],0)-4,0)</f>
        <v>47.1053, 37.5483</v>
      </c>
      <c r="H43" s="181">
        <v>0</v>
      </c>
      <c r="I43" s="52">
        <v>87</v>
      </c>
      <c r="K43" t="str">
        <f t="shared" si="1"/>
        <v>2. Людмила Эдельвейс
Тел.: +79496019237
Адрес: Металлургов 92
№ заказа: 87
https://yandex.ru/maps/?text=47.1053%2C37.5483
https://maps.google.com/?daddr=47.1053%2C37.5483
К оплате: **0
**----------------------------------------------------------</v>
      </c>
    </row>
    <row r="44" spans="1:11" hidden="1" x14ac:dyDescent="0.25">
      <c r="A44">
        <v>3</v>
      </c>
      <c r="B44" s="179">
        <v>45423</v>
      </c>
      <c r="C44" t="s">
        <v>3149</v>
      </c>
      <c r="D44" t="e">
        <f>VLOOKUP($C44,ТабКлиенты[[#All],[name]:[phone]],MATCH(D$1,ТабКлиенты[#Headers],0)-1,0)</f>
        <v>#N/A</v>
      </c>
      <c r="E44" t="e">
        <f>VLOOKUP($C44,ТабАдрес[[#All],[Клиент]:[gps]],MATCH(E$1,ТабКлиенты[#Headers],0)-4,0)</f>
        <v>#N/A</v>
      </c>
      <c r="F44" t="e">
        <f>VLOOKUP($C44,ТабАдрес[[#All],[Клиент]:[gps]],MATCH(F$1,ТабКлиенты[#Headers],0)-4,0)</f>
        <v>#N/A</v>
      </c>
      <c r="H44" s="181">
        <f>734+4578</f>
        <v>5312</v>
      </c>
      <c r="I44" s="52" t="s">
        <v>4251</v>
      </c>
      <c r="K44" t="e">
        <f t="shared" si="1"/>
        <v>#N/A</v>
      </c>
    </row>
    <row r="45" spans="1:11" hidden="1" x14ac:dyDescent="0.25">
      <c r="A45">
        <v>4</v>
      </c>
      <c r="B45" s="179">
        <v>45423</v>
      </c>
      <c r="C45" t="s">
        <v>3172</v>
      </c>
      <c r="D45" t="str">
        <f>VLOOKUP($C45,ТабКлиенты[[#All],[name]:[phone]],MATCH(D$1,ТабКлиенты[#Headers],0)-1,0)</f>
        <v>+79497277100</v>
      </c>
      <c r="E45" t="str">
        <f>VLOOKUP($C45,ТабАдрес[[#All],[Клиент]:[gps]],MATCH(E$1,ТабКлиенты[#Headers],0)-4,0)</f>
        <v>Артема 132</v>
      </c>
      <c r="F45" t="str">
        <f>VLOOKUP($C45,ТабАдрес[[#All],[Клиент]:[gps]],MATCH(F$1,ТабКлиенты[#Headers],0)-4,0)</f>
        <v>47.1085, 37.5599</v>
      </c>
      <c r="H45" s="181">
        <v>28599</v>
      </c>
      <c r="I45" s="52" t="s">
        <v>5</v>
      </c>
      <c r="K45" t="str">
        <f t="shared" si="1"/>
        <v>4. Александр Радин
Тел.: +79497277100
Адрес: Артема 132
№ заказа: Витамины
https://yandex.ru/maps/?text=47.1085%2C37.5599
https://maps.google.com/?daddr=47.1085%2C37.5599
К оплате: **28599
**----------------------------------------------------------</v>
      </c>
    </row>
    <row r="46" spans="1:11" hidden="1" x14ac:dyDescent="0.25">
      <c r="A46">
        <v>5</v>
      </c>
      <c r="B46" s="179">
        <v>45423</v>
      </c>
      <c r="C46" t="s">
        <v>3176</v>
      </c>
      <c r="D46" t="e">
        <f>VLOOKUP($C46,ТабКлиенты[[#All],[name]:[phone]],MATCH(D$1,ТабКлиенты[#Headers],0)-1,0)</f>
        <v>#N/A</v>
      </c>
      <c r="E46" t="e">
        <f>VLOOKUP($C46,ТабАдрес[[#All],[Клиент]:[gps]],MATCH(E$1,ТабКлиенты[#Headers],0)-4,0)</f>
        <v>#N/A</v>
      </c>
      <c r="F46" t="e">
        <f>VLOOKUP($C46,ТабАдрес[[#All],[Клиент]:[gps]],MATCH(F$1,ТабКлиенты[#Headers],0)-4,0)</f>
        <v>#N/A</v>
      </c>
      <c r="H46" s="181">
        <v>3000</v>
      </c>
      <c r="I46" s="52" t="s">
        <v>5</v>
      </c>
      <c r="K46" t="e">
        <f t="shared" si="1"/>
        <v>#N/A</v>
      </c>
    </row>
    <row r="47" spans="1:11" hidden="1" x14ac:dyDescent="0.25">
      <c r="A47">
        <v>6</v>
      </c>
      <c r="B47" s="179">
        <v>45423</v>
      </c>
      <c r="C47" t="s">
        <v>3177</v>
      </c>
      <c r="D47" t="str">
        <f>VLOOKUP($C47,ТабКлиенты[[#All],[name]:[phone]],MATCH(D$1,ТабКлиенты[#Headers],0)-1,0)</f>
        <v>+79497246366</v>
      </c>
      <c r="E47" t="str">
        <f>VLOOKUP($C47,ТабАдрес[[#All],[Клиент]:[gps]],MATCH(E$1,ТабКлиенты[#Headers],0)-4,0)</f>
        <v>Азовстальская 91 подъезд 1</v>
      </c>
      <c r="F47" t="str">
        <f>VLOOKUP($C47,ТабАдрес[[#All],[Клиент]:[gps]],MATCH(F$1,ТабКлиенты[#Headers],0)-4,0)</f>
        <v>47.1008, 37.6529</v>
      </c>
      <c r="H47" s="181">
        <v>8200</v>
      </c>
      <c r="I47" s="52" t="s">
        <v>5</v>
      </c>
      <c r="K47" t="str">
        <f t="shared" si="1"/>
        <v>6. Наталья Азовстальская
Тел.: +79497246366
Адрес: Азовстальская 91 подъезд 1
№ заказа: Витамины
https://yandex.ru/maps/?text=47.1008%2C37.6529
https://maps.google.com/?daddr=47.1008%2C37.6529
К оплате: **8200
**----------------------------------------------------------</v>
      </c>
    </row>
    <row r="48" spans="1:11" hidden="1" x14ac:dyDescent="0.25">
      <c r="A48">
        <v>1</v>
      </c>
      <c r="B48" s="179">
        <v>45430</v>
      </c>
      <c r="C48" t="s">
        <v>3127</v>
      </c>
      <c r="D48" t="e">
        <f>VLOOKUP($C48,ТабКлиенты[[#All],[name]:[phone]],MATCH(D$1,ТабКлиенты[#Headers],0)-1,0)</f>
        <v>#N/A</v>
      </c>
      <c r="E48" t="e">
        <f>VLOOKUP($C48,ТабАдрес[[#All],[Клиент]:[gps]],MATCH(E$1,ТабКлиенты[#Headers],0)-4,0)</f>
        <v>#N/A</v>
      </c>
      <c r="F48" t="e">
        <f>VLOOKUP($C48,ТабАдрес[[#All],[Клиент]:[gps]],MATCH(F$1,ТабКлиенты[#Headers],0)-4,0)</f>
        <v>#N/A</v>
      </c>
      <c r="H48" s="181">
        <v>-2854</v>
      </c>
      <c r="I48" s="52">
        <v>86.98</v>
      </c>
      <c r="K48" t="e">
        <f t="shared" si="1"/>
        <v>#N/A</v>
      </c>
    </row>
    <row r="49" spans="1:11" hidden="1" x14ac:dyDescent="0.25">
      <c r="A49">
        <v>2</v>
      </c>
      <c r="B49" s="179">
        <v>45430</v>
      </c>
      <c r="C49" t="s">
        <v>3185</v>
      </c>
      <c r="D49" t="e">
        <f>VLOOKUP($C49,ТабКлиенты[[#All],[name]:[phone]],MATCH(D$1,ТабКлиенты[#Headers],0)-1,0)</f>
        <v>#N/A</v>
      </c>
      <c r="E49" t="e">
        <f>VLOOKUP($C49,ТабАдрес[[#All],[Клиент]:[gps]],MATCH(E$1,ТабКлиенты[#Headers],0)-4,0)</f>
        <v>#N/A</v>
      </c>
      <c r="F49" t="e">
        <f>VLOOKUP($C49,ТабАдрес[[#All],[Клиент]:[gps]],MATCH(F$1,ТабКлиенты[#Headers],0)-4,0)</f>
        <v>#N/A</v>
      </c>
      <c r="H49" s="181">
        <v>200</v>
      </c>
      <c r="I49" s="52">
        <v>107</v>
      </c>
      <c r="K49" t="e">
        <f t="shared" si="1"/>
        <v>#N/A</v>
      </c>
    </row>
    <row r="50" spans="1:11" hidden="1" x14ac:dyDescent="0.25">
      <c r="A50">
        <v>3</v>
      </c>
      <c r="B50" s="179">
        <v>45430</v>
      </c>
      <c r="C50" t="s">
        <v>3186</v>
      </c>
      <c r="D50" t="str">
        <f>VLOOKUP($C50,ТабКлиенты[[#All],[name]:[phone]],MATCH(D$1,ТабКлиенты[#Headers],0)-1,0)</f>
        <v>+79497428404</v>
      </c>
      <c r="E50" t="str">
        <f>VLOOKUP($C50,ТабАдрес[[#All],[Клиент]:[gps]],MATCH(E$1,ТабКлиенты[#Headers],0)-4,0)</f>
        <v>Зелинского 94</v>
      </c>
      <c r="F50" t="str">
        <f>VLOOKUP($C50,ТабАдрес[[#All],[Клиент]:[gps]],MATCH(F$1,ТабКлиенты[#Headers],0)-4,0)</f>
        <v>47.1008, 37.5167</v>
      </c>
      <c r="H50" s="181">
        <v>9000</v>
      </c>
      <c r="I50" s="52" t="s">
        <v>5</v>
      </c>
      <c r="K50" t="str">
        <f t="shared" si="1"/>
        <v>3. Наталья Зелинского
Тел.: +79497428404
Адрес: Зелинского 94
№ заказа: Витамины
https://yandex.ru/maps/?text=47.1008%2C37.5167
https://maps.google.com/?daddr=47.1008%2C37.5167
К оплате: **9000
**----------------------------------------------------------</v>
      </c>
    </row>
    <row r="51" spans="1:11" hidden="1" x14ac:dyDescent="0.25">
      <c r="A51">
        <v>4</v>
      </c>
      <c r="B51" s="179">
        <v>45430</v>
      </c>
      <c r="C51" t="s">
        <v>4252</v>
      </c>
      <c r="D51" t="e">
        <f>VLOOKUP($C51,ТабКлиенты[[#All],[name]:[phone]],MATCH(D$1,ТабКлиенты[#Headers],0)-1,0)</f>
        <v>#N/A</v>
      </c>
      <c r="E51" t="e">
        <f>VLOOKUP($C51,ТабАдрес[[#All],[Клиент]:[gps]],MATCH(E$1,ТабКлиенты[#Headers],0)-4,0)</f>
        <v>#N/A</v>
      </c>
      <c r="F51" t="e">
        <f>VLOOKUP($C51,ТабАдрес[[#All],[Клиент]:[gps]],MATCH(F$1,ТабКлиенты[#Headers],0)-4,0)</f>
        <v>#N/A</v>
      </c>
      <c r="H51" s="181">
        <v>33400</v>
      </c>
      <c r="I51" s="52" t="s">
        <v>5</v>
      </c>
      <c r="K51" t="e">
        <f t="shared" si="1"/>
        <v>#N/A</v>
      </c>
    </row>
    <row r="52" spans="1:11" hidden="1" x14ac:dyDescent="0.25">
      <c r="A52">
        <v>5</v>
      </c>
      <c r="B52" s="179">
        <v>45430</v>
      </c>
      <c r="C52" t="s">
        <v>3129</v>
      </c>
      <c r="D52" t="e">
        <f>VLOOKUP($C52,ТабКлиенты[[#All],[name]:[phone]],MATCH(D$1,ТабКлиенты[#Headers],0)-1,0)</f>
        <v>#N/A</v>
      </c>
      <c r="E52" t="e">
        <f>VLOOKUP($C52,ТабАдрес[[#All],[Клиент]:[gps]],MATCH(E$1,ТабКлиенты[#Headers],0)-4,0)</f>
        <v>#N/A</v>
      </c>
      <c r="F52" t="e">
        <f>VLOOKUP($C52,ТабАдрес[[#All],[Клиент]:[gps]],MATCH(F$1,ТабКлиенты[#Headers],0)-4,0)</f>
        <v>#N/A</v>
      </c>
      <c r="H52" s="181">
        <v>0</v>
      </c>
      <c r="I52" s="52">
        <v>89</v>
      </c>
      <c r="K52" t="e">
        <f t="shared" si="1"/>
        <v>#N/A</v>
      </c>
    </row>
    <row r="53" spans="1:11" hidden="1" x14ac:dyDescent="0.25">
      <c r="A53">
        <v>6</v>
      </c>
      <c r="B53" s="179">
        <v>45430</v>
      </c>
      <c r="C53" t="s">
        <v>3125</v>
      </c>
      <c r="D53" t="e">
        <f>VLOOKUP($C53,ТабКлиенты[[#All],[name]:[phone]],MATCH(D$1,ТабКлиенты[#Headers],0)-1,0)</f>
        <v>#N/A</v>
      </c>
      <c r="E53" t="e">
        <f>VLOOKUP($C53,ТабАдрес[[#All],[Клиент]:[gps]],MATCH(E$1,ТабКлиенты[#Headers],0)-4,0)</f>
        <v>#N/A</v>
      </c>
      <c r="F53" t="e">
        <f>VLOOKUP($C53,ТабАдрес[[#All],[Клиент]:[gps]],MATCH(F$1,ТабКлиенты[#Headers],0)-4,0)</f>
        <v>#N/A</v>
      </c>
      <c r="H53" s="181">
        <v>0</v>
      </c>
      <c r="I53" s="52">
        <v>97.105000000000004</v>
      </c>
      <c r="K53" t="e">
        <f t="shared" si="1"/>
        <v>#N/A</v>
      </c>
    </row>
    <row r="54" spans="1:11" hidden="1" x14ac:dyDescent="0.25">
      <c r="A54">
        <v>7</v>
      </c>
      <c r="B54" s="179">
        <v>45430</v>
      </c>
      <c r="C54" t="s">
        <v>3149</v>
      </c>
      <c r="D54" t="e">
        <f>VLOOKUP($C54,ТабКлиенты[[#All],[name]:[phone]],MATCH(D$1,ТабКлиенты[#Headers],0)-1,0)</f>
        <v>#N/A</v>
      </c>
      <c r="E54" t="e">
        <f>VLOOKUP($C54,ТабАдрес[[#All],[Клиент]:[gps]],MATCH(E$1,ТабКлиенты[#Headers],0)-4,0)</f>
        <v>#N/A</v>
      </c>
      <c r="F54" t="e">
        <f>VLOOKUP($C54,ТабАдрес[[#All],[Клиент]:[gps]],MATCH(F$1,ТабКлиенты[#Headers],0)-4,0)</f>
        <v>#N/A</v>
      </c>
      <c r="H54" s="181">
        <v>0</v>
      </c>
      <c r="I54" s="52">
        <v>82.95</v>
      </c>
      <c r="K54" t="e">
        <f t="shared" si="1"/>
        <v>#N/A</v>
      </c>
    </row>
    <row r="55" spans="1:11" hidden="1" x14ac:dyDescent="0.25">
      <c r="A55">
        <v>8</v>
      </c>
      <c r="B55" s="179">
        <v>45430</v>
      </c>
      <c r="C55" t="s">
        <v>3168</v>
      </c>
      <c r="D55" t="e">
        <f>VLOOKUP($C55,ТабКлиенты[[#All],[name]:[phone]],MATCH(D$1,ТабКлиенты[#Headers],0)-1,0)</f>
        <v>#N/A</v>
      </c>
      <c r="E55" t="e">
        <f>VLOOKUP($C55,ТабАдрес[[#All],[Клиент]:[gps]],MATCH(E$1,ТабКлиенты[#Headers],0)-4,0)</f>
        <v>#N/A</v>
      </c>
      <c r="F55" t="e">
        <f>VLOOKUP($C55,ТабАдрес[[#All],[Клиент]:[gps]],MATCH(F$1,ТабКлиенты[#Headers],0)-4,0)</f>
        <v>#N/A</v>
      </c>
      <c r="H55" s="181">
        <v>0</v>
      </c>
      <c r="I55" s="52">
        <v>92</v>
      </c>
      <c r="K55" t="e">
        <f t="shared" si="1"/>
        <v>#N/A</v>
      </c>
    </row>
    <row r="56" spans="1:11" hidden="1" x14ac:dyDescent="0.25">
      <c r="A56">
        <v>9</v>
      </c>
      <c r="B56" s="179">
        <v>45430</v>
      </c>
      <c r="C56" t="s">
        <v>3131</v>
      </c>
      <c r="D56" t="e">
        <f>VLOOKUP($C56,ТабКлиенты[[#All],[name]:[phone]],MATCH(D$1,ТабКлиенты[#Headers],0)-1,0)</f>
        <v>#N/A</v>
      </c>
      <c r="E56" t="e">
        <f>VLOOKUP($C56,ТабАдрес[[#All],[Клиент]:[gps]],MATCH(E$1,ТабКлиенты[#Headers],0)-4,0)</f>
        <v>#N/A</v>
      </c>
      <c r="F56" t="e">
        <f>VLOOKUP($C56,ТабАдрес[[#All],[Клиент]:[gps]],MATCH(F$1,ТабКлиенты[#Headers],0)-4,0)</f>
        <v>#N/A</v>
      </c>
      <c r="H56" s="181">
        <v>0</v>
      </c>
      <c r="I56" s="52">
        <v>80.91</v>
      </c>
      <c r="K56" t="e">
        <f t="shared" si="1"/>
        <v>#N/A</v>
      </c>
    </row>
    <row r="57" spans="1:11" hidden="1" x14ac:dyDescent="0.25">
      <c r="A57">
        <v>10</v>
      </c>
      <c r="B57" s="179">
        <v>45430</v>
      </c>
      <c r="C57" t="s">
        <v>3122</v>
      </c>
      <c r="D57" t="e">
        <f>VLOOKUP($C57,ТабКлиенты[[#All],[name]:[phone]],MATCH(D$1,ТабКлиенты[#Headers],0)-1,0)</f>
        <v>#N/A</v>
      </c>
      <c r="E57" t="e">
        <f>VLOOKUP($C57,ТабАдрес[[#All],[Клиент]:[gps]],MATCH(E$1,ТабКлиенты[#Headers],0)-4,0)</f>
        <v>#N/A</v>
      </c>
      <c r="F57" t="e">
        <f>VLOOKUP($C57,ТабАдрес[[#All],[Клиент]:[gps]],MATCH(F$1,ТабКлиенты[#Headers],0)-4,0)</f>
        <v>#N/A</v>
      </c>
      <c r="H57" s="181">
        <v>0</v>
      </c>
      <c r="I57" s="52">
        <v>96.99</v>
      </c>
      <c r="K57" t="e">
        <f t="shared" si="1"/>
        <v>#N/A</v>
      </c>
    </row>
    <row r="58" spans="1:11" hidden="1" x14ac:dyDescent="0.25">
      <c r="A58">
        <v>11</v>
      </c>
      <c r="B58" s="179">
        <v>45430</v>
      </c>
      <c r="C58" t="s">
        <v>3123</v>
      </c>
      <c r="D58" t="e">
        <f>VLOOKUP($C58,ТабКлиенты[[#All],[name]:[phone]],MATCH(D$1,ТабКлиенты[#Headers],0)-1,0)</f>
        <v>#N/A</v>
      </c>
      <c r="E58" t="e">
        <f>VLOOKUP($C58,ТабАдрес[[#All],[Клиент]:[gps]],MATCH(E$1,ТабКлиенты[#Headers],0)-4,0)</f>
        <v>#N/A</v>
      </c>
      <c r="F58" t="e">
        <f>VLOOKUP($C58,ТабАдрес[[#All],[Клиент]:[gps]],MATCH(F$1,ТабКлиенты[#Headers],0)-4,0)</f>
        <v>#N/A</v>
      </c>
      <c r="H58" s="181">
        <v>0</v>
      </c>
      <c r="I58" s="52">
        <v>102</v>
      </c>
      <c r="K58" t="e">
        <f t="shared" si="1"/>
        <v>#N/A</v>
      </c>
    </row>
    <row r="59" spans="1:11" hidden="1" x14ac:dyDescent="0.25">
      <c r="A59">
        <v>12</v>
      </c>
      <c r="B59" s="179">
        <v>45430</v>
      </c>
      <c r="C59" t="s">
        <v>3167</v>
      </c>
      <c r="D59" t="e">
        <f>VLOOKUP($C59,ТабКлиенты[[#All],[name]:[phone]],MATCH(D$1,ТабКлиенты[#Headers],0)-1,0)</f>
        <v>#N/A</v>
      </c>
      <c r="E59" t="e">
        <f>VLOOKUP($C59,ТабАдрес[[#All],[Клиент]:[gps]],MATCH(E$1,ТабКлиенты[#Headers],0)-4,0)</f>
        <v>#N/A</v>
      </c>
      <c r="F59" t="e">
        <f>VLOOKUP($C59,ТабАдрес[[#All],[Клиент]:[gps]],MATCH(F$1,ТабКлиенты[#Headers],0)-4,0)</f>
        <v>#N/A</v>
      </c>
      <c r="H59" s="181">
        <v>0</v>
      </c>
      <c r="I59" s="52">
        <v>77</v>
      </c>
      <c r="K59" t="e">
        <f t="shared" si="1"/>
        <v>#N/A</v>
      </c>
    </row>
    <row r="60" spans="1:11" hidden="1" x14ac:dyDescent="0.25">
      <c r="A60">
        <v>13</v>
      </c>
      <c r="B60" s="179">
        <v>45430</v>
      </c>
      <c r="C60" t="s">
        <v>3172</v>
      </c>
      <c r="D60" t="str">
        <f>VLOOKUP($C60,ТабКлиенты[[#All],[name]:[phone]],MATCH(D$1,ТабКлиенты[#Headers],0)-1,0)</f>
        <v>+79497277100</v>
      </c>
      <c r="E60" t="str">
        <f>VLOOKUP($C60,ТабАдрес[[#All],[Клиент]:[gps]],MATCH(E$1,ТабКлиенты[#Headers],0)-4,0)</f>
        <v>Артема 132</v>
      </c>
      <c r="F60" t="str">
        <f>VLOOKUP($C60,ТабАдрес[[#All],[Клиент]:[gps]],MATCH(F$1,ТабКлиенты[#Headers],0)-4,0)</f>
        <v>47.1085, 37.5599</v>
      </c>
      <c r="H60" s="181">
        <v>5200</v>
      </c>
      <c r="I60" s="52">
        <v>90</v>
      </c>
      <c r="K60" t="str">
        <f t="shared" si="1"/>
        <v>13. Александр Радин
Тел.: +79497277100
Адрес: Артема 132
№ заказа: 90
https://yandex.ru/maps/?text=47.1085%2C37.5599
https://maps.google.com/?daddr=47.1085%2C37.5599
К оплате: **5200
**----------------------------------------------------------</v>
      </c>
    </row>
    <row r="61" spans="1:11" hidden="1" x14ac:dyDescent="0.25">
      <c r="A61">
        <v>1</v>
      </c>
      <c r="B61" s="179">
        <v>45437</v>
      </c>
      <c r="C61" t="s">
        <v>3133</v>
      </c>
      <c r="D61" t="e">
        <f>VLOOKUP($C61,ТабКлиенты[[#All],[name]:[phone]],MATCH(D$1,ТабКлиенты[#Headers],0)-1,0)</f>
        <v>#N/A</v>
      </c>
      <c r="E61" t="e">
        <f>VLOOKUP($C61,ТабАдрес[[#All],[Клиент]:[gps]],MATCH(E$1,ТабКлиенты[#Headers],0)-4,0)</f>
        <v>#N/A</v>
      </c>
      <c r="F61" t="e">
        <f>VLOOKUP($C61,ТабАдрес[[#All],[Клиент]:[gps]],MATCH(F$1,ТабКлиенты[#Headers],0)-4,0)</f>
        <v>#N/A</v>
      </c>
      <c r="H61" s="181">
        <v>2539</v>
      </c>
      <c r="I61" s="52">
        <v>103</v>
      </c>
      <c r="K61" t="e">
        <f t="shared" si="1"/>
        <v>#N/A</v>
      </c>
    </row>
    <row r="62" spans="1:11" hidden="1" x14ac:dyDescent="0.25">
      <c r="A62">
        <v>2</v>
      </c>
      <c r="B62" s="179">
        <v>45437</v>
      </c>
      <c r="C62" t="s">
        <v>3122</v>
      </c>
      <c r="D62" t="e">
        <f>VLOOKUP($C62,ТабКлиенты[[#All],[name]:[phone]],MATCH(D$1,ТабКлиенты[#Headers],0)-1,0)</f>
        <v>#N/A</v>
      </c>
      <c r="E62" t="e">
        <f>VLOOKUP($C62,ТабАдрес[[#All],[Клиент]:[gps]],MATCH(E$1,ТабКлиенты[#Headers],0)-4,0)</f>
        <v>#N/A</v>
      </c>
      <c r="F62" t="e">
        <f>VLOOKUP($C62,ТабАдрес[[#All],[Клиент]:[gps]],MATCH(F$1,ТабКлиенты[#Headers],0)-4,0)</f>
        <v>#N/A</v>
      </c>
      <c r="H62" s="181">
        <v>0</v>
      </c>
      <c r="I62" s="52" t="s">
        <v>4253</v>
      </c>
      <c r="K62" t="e">
        <f t="shared" si="1"/>
        <v>#N/A</v>
      </c>
    </row>
    <row r="63" spans="1:11" hidden="1" x14ac:dyDescent="0.25">
      <c r="A63">
        <v>3</v>
      </c>
      <c r="B63" s="179">
        <v>45437</v>
      </c>
      <c r="C63" t="s">
        <v>3124</v>
      </c>
      <c r="D63" t="e">
        <f>VLOOKUP($C63,ТабКлиенты[[#All],[name]:[phone]],MATCH(D$1,ТабКлиенты[#Headers],0)-1,0)</f>
        <v>#N/A</v>
      </c>
      <c r="E63" t="e">
        <f>VLOOKUP($C63,ТабАдрес[[#All],[Клиент]:[gps]],MATCH(E$1,ТабКлиенты[#Headers],0)-4,0)</f>
        <v>#N/A</v>
      </c>
      <c r="F63" t="e">
        <f>VLOOKUP($C63,ТабАдрес[[#All],[Клиент]:[gps]],MATCH(F$1,ТабКлиенты[#Headers],0)-4,0)</f>
        <v>#N/A</v>
      </c>
      <c r="H63" s="181">
        <v>0</v>
      </c>
      <c r="K63" t="e">
        <f t="shared" si="1"/>
        <v>#N/A</v>
      </c>
    </row>
    <row r="64" spans="1:11" hidden="1" x14ac:dyDescent="0.25">
      <c r="A64">
        <v>4</v>
      </c>
      <c r="B64" s="179">
        <v>45437</v>
      </c>
      <c r="C64" t="s">
        <v>3149</v>
      </c>
      <c r="D64" t="e">
        <f>VLOOKUP($C64,ТабКлиенты[[#All],[name]:[phone]],MATCH(D$1,ТабКлиенты[#Headers],0)-1,0)</f>
        <v>#N/A</v>
      </c>
      <c r="E64" t="e">
        <f>VLOOKUP($C64,ТабАдрес[[#All],[Клиент]:[gps]],MATCH(E$1,ТабКлиенты[#Headers],0)-4,0)</f>
        <v>#N/A</v>
      </c>
      <c r="F64" t="e">
        <f>VLOOKUP($C64,ТабАдрес[[#All],[Клиент]:[gps]],MATCH(F$1,ТабКлиенты[#Headers],0)-4,0)</f>
        <v>#N/A</v>
      </c>
      <c r="H64" s="181">
        <v>0</v>
      </c>
      <c r="I64" s="52">
        <v>109</v>
      </c>
      <c r="K64" t="e">
        <f t="shared" si="1"/>
        <v>#N/A</v>
      </c>
    </row>
    <row r="65" spans="1:11" hidden="1" x14ac:dyDescent="0.25">
      <c r="A65">
        <v>5</v>
      </c>
      <c r="B65" s="179">
        <v>45437</v>
      </c>
      <c r="C65" t="s">
        <v>3125</v>
      </c>
      <c r="D65" t="e">
        <f>VLOOKUP($C65,ТабКлиенты[[#All],[name]:[phone]],MATCH(D$1,ТабКлиенты[#Headers],0)-1,0)</f>
        <v>#N/A</v>
      </c>
      <c r="E65" t="e">
        <f>VLOOKUP($C65,ТабАдрес[[#All],[Клиент]:[gps]],MATCH(E$1,ТабКлиенты[#Headers],0)-4,0)</f>
        <v>#N/A</v>
      </c>
      <c r="F65" t="e">
        <f>VLOOKUP($C65,ТабАдрес[[#All],[Клиент]:[gps]],MATCH(F$1,ТабКлиенты[#Headers],0)-4,0)</f>
        <v>#N/A</v>
      </c>
      <c r="H65" s="181">
        <v>0</v>
      </c>
      <c r="I65" s="52" t="s">
        <v>4254</v>
      </c>
      <c r="K65" t="e">
        <f t="shared" si="1"/>
        <v>#N/A</v>
      </c>
    </row>
    <row r="66" spans="1:11" hidden="1" x14ac:dyDescent="0.25">
      <c r="A66">
        <v>6</v>
      </c>
      <c r="B66" s="179">
        <v>45437</v>
      </c>
      <c r="C66" t="s">
        <v>3130</v>
      </c>
      <c r="D66" t="e">
        <f>VLOOKUP($C66,ТабКлиенты[[#All],[name]:[phone]],MATCH(D$1,ТабКлиенты[#Headers],0)-1,0)</f>
        <v>#N/A</v>
      </c>
      <c r="E66" t="e">
        <f>VLOOKUP($C66,ТабАдрес[[#All],[Клиент]:[gps]],MATCH(E$1,ТабКлиенты[#Headers],0)-4,0)</f>
        <v>#N/A</v>
      </c>
      <c r="F66" t="e">
        <f>VLOOKUP($C66,ТабАдрес[[#All],[Клиент]:[gps]],MATCH(F$1,ТабКлиенты[#Headers],0)-4,0)</f>
        <v>#N/A</v>
      </c>
      <c r="H66" s="181">
        <v>0</v>
      </c>
      <c r="I66" s="52">
        <v>104</v>
      </c>
      <c r="K66" t="e">
        <f t="shared" si="1"/>
        <v>#N/A</v>
      </c>
    </row>
    <row r="67" spans="1:11" hidden="1" x14ac:dyDescent="0.25">
      <c r="A67">
        <v>7</v>
      </c>
      <c r="B67" s="179">
        <v>45437</v>
      </c>
      <c r="C67" t="s">
        <v>3129</v>
      </c>
      <c r="D67" t="e">
        <f>VLOOKUP($C67,ТабКлиенты[[#All],[name]:[phone]],MATCH(D$1,ТабКлиенты[#Headers],0)-1,0)</f>
        <v>#N/A</v>
      </c>
      <c r="E67" t="e">
        <f>VLOOKUP($C67,ТабАдрес[[#All],[Клиент]:[gps]],MATCH(E$1,ТабКлиенты[#Headers],0)-4,0)</f>
        <v>#N/A</v>
      </c>
      <c r="F67" t="e">
        <f>VLOOKUP($C67,ТабАдрес[[#All],[Клиент]:[gps]],MATCH(F$1,ТабКлиенты[#Headers],0)-4,0)</f>
        <v>#N/A</v>
      </c>
      <c r="H67" s="181">
        <v>2163</v>
      </c>
      <c r="I67" s="52">
        <v>111</v>
      </c>
      <c r="K67" t="e">
        <f t="shared" si="1"/>
        <v>#N/A</v>
      </c>
    </row>
    <row r="68" spans="1:11" hidden="1" x14ac:dyDescent="0.25">
      <c r="A68">
        <v>8</v>
      </c>
      <c r="B68" s="179">
        <v>45437</v>
      </c>
      <c r="C68" t="s">
        <v>3198</v>
      </c>
      <c r="D68" t="str">
        <f>VLOOKUP($C68,ТабКлиенты[[#All],[name]:[phone]],MATCH(D$1,ТабКлиенты[#Headers],0)-1,0)</f>
        <v>+79497094719</v>
      </c>
      <c r="E68" t="str">
        <f>VLOOKUP($C68,ТабАдрес[[#All],[Клиент]:[gps]],MATCH(E$1,ТабКлиенты[#Headers],0)-4,0)</f>
        <v>60 лет СССР 2Б</v>
      </c>
      <c r="F68" t="str">
        <f>VLOOKUP($C68,ТабАдрес[[#All],[Клиент]:[gps]],MATCH(F$1,ТабКлиенты[#Headers],0)-4,0)</f>
        <v>47.1178, 37.5121</v>
      </c>
      <c r="H68" s="181">
        <v>2600</v>
      </c>
      <c r="I68" s="52" t="s">
        <v>5</v>
      </c>
      <c r="K68" t="str">
        <f t="shared" si="1"/>
        <v>8. Наталья 60 лет СССР
Тел.: +79497094719
Адрес: 60 лет СССР 2Б
№ заказа: Витамины
https://yandex.ru/maps/?text=47.1178%2C37.5121
https://maps.google.com/?daddr=47.1178%2C37.5121
К оплате: **2600
**----------------------------------------------------------</v>
      </c>
    </row>
    <row r="69" spans="1:11" hidden="1" x14ac:dyDescent="0.25">
      <c r="A69">
        <v>9</v>
      </c>
      <c r="B69" s="179">
        <v>45437</v>
      </c>
      <c r="C69" t="s">
        <v>3146</v>
      </c>
      <c r="D69" t="e">
        <f>VLOOKUP($C69,ТабКлиенты[[#All],[name]:[phone]],MATCH(D$1,ТабКлиенты[#Headers],0)-1,0)</f>
        <v>#N/A</v>
      </c>
      <c r="E69" t="e">
        <f>VLOOKUP($C69,ТабАдрес[[#All],[Клиент]:[gps]],MATCH(E$1,ТабКлиенты[#Headers],0)-4,0)</f>
        <v>#N/A</v>
      </c>
      <c r="F69" t="e">
        <f>VLOOKUP($C69,ТабАдрес[[#All],[Клиент]:[gps]],MATCH(F$1,ТабКлиенты[#Headers],0)-4,0)</f>
        <v>#N/A</v>
      </c>
      <c r="H69" s="181">
        <v>2504</v>
      </c>
      <c r="I69" s="52">
        <v>112</v>
      </c>
      <c r="K69" t="e">
        <f t="shared" si="1"/>
        <v>#N/A</v>
      </c>
    </row>
    <row r="70" spans="1:11" hidden="1" x14ac:dyDescent="0.25">
      <c r="A70">
        <v>1</v>
      </c>
      <c r="B70" s="179">
        <v>45444</v>
      </c>
      <c r="C70" t="s">
        <v>3167</v>
      </c>
      <c r="D70" t="e">
        <f>VLOOKUP($C70,ТабКлиенты[[#All],[name]:[phone]],MATCH(D$1,ТабКлиенты[#Headers],0)-1,0)</f>
        <v>#N/A</v>
      </c>
      <c r="E70" t="e">
        <f>VLOOKUP($C70,ТабАдрес[[#All],[Клиент]:[gps]],MATCH(E$1,ТабКлиенты[#Headers],0)-4,0)</f>
        <v>#N/A</v>
      </c>
      <c r="F70" t="e">
        <f>VLOOKUP($C70,ТабАдрес[[#All],[Клиент]:[gps]],MATCH(F$1,ТабКлиенты[#Headers],0)-4,0)</f>
        <v>#N/A</v>
      </c>
      <c r="H70" s="181">
        <v>0</v>
      </c>
      <c r="I70" s="52">
        <v>43</v>
      </c>
      <c r="K70" t="e">
        <f t="shared" si="1"/>
        <v>#N/A</v>
      </c>
    </row>
    <row r="71" spans="1:11" hidden="1" x14ac:dyDescent="0.25">
      <c r="A71">
        <v>2</v>
      </c>
      <c r="B71" s="179">
        <v>45444</v>
      </c>
      <c r="C71" t="s">
        <v>3203</v>
      </c>
      <c r="D71" t="str">
        <f>VLOOKUP($C71,ТабКлиенты[[#All],[name]:[phone]],MATCH(D$1,ТабКлиенты[#Headers],0)-1,0)</f>
        <v>+79497398357</v>
      </c>
      <c r="E71" t="str">
        <f>VLOOKUP($C71,ТабАдрес[[#All],[Клиент]:[gps]],MATCH(E$1,ТабКлиенты[#Headers],0)-4,0)</f>
        <v>Макара Мазая 41</v>
      </c>
      <c r="F71">
        <f>VLOOKUP($C71,ТабАдрес[[#All],[Клиент]:[gps]],MATCH(F$1,ТабКлиенты[#Headers],0)-4,0)</f>
        <v>0</v>
      </c>
      <c r="H71" s="181">
        <v>0</v>
      </c>
      <c r="I71" s="52" t="s">
        <v>5</v>
      </c>
      <c r="K71" t="e">
        <f t="shared" si="1"/>
        <v>#VALUE!</v>
      </c>
    </row>
    <row r="72" spans="1:11" hidden="1" x14ac:dyDescent="0.25">
      <c r="A72">
        <v>3</v>
      </c>
      <c r="B72" s="179">
        <v>45444</v>
      </c>
      <c r="C72" t="s">
        <v>3131</v>
      </c>
      <c r="D72" t="e">
        <f>VLOOKUP($C72,ТабКлиенты[[#All],[name]:[phone]],MATCH(D$1,ТабКлиенты[#Headers],0)-1,0)</f>
        <v>#N/A</v>
      </c>
      <c r="E72" t="e">
        <f>VLOOKUP($C72,ТабАдрес[[#All],[Клиент]:[gps]],MATCH(E$1,ТабКлиенты[#Headers],0)-4,0)</f>
        <v>#N/A</v>
      </c>
      <c r="F72" t="e">
        <f>VLOOKUP($C72,ТабАдрес[[#All],[Клиент]:[gps]],MATCH(F$1,ТабКлиенты[#Headers],0)-4,0)</f>
        <v>#N/A</v>
      </c>
      <c r="H72" s="181">
        <v>-89</v>
      </c>
      <c r="I72" s="52" t="s">
        <v>4255</v>
      </c>
      <c r="K72" t="e">
        <f t="shared" si="1"/>
        <v>#N/A</v>
      </c>
    </row>
    <row r="73" spans="1:11" hidden="1" x14ac:dyDescent="0.25">
      <c r="A73">
        <v>4</v>
      </c>
      <c r="B73" s="179">
        <v>45444</v>
      </c>
      <c r="C73" t="s">
        <v>3149</v>
      </c>
      <c r="D73" t="e">
        <f>VLOOKUP($C73,ТабКлиенты[[#All],[name]:[phone]],MATCH(D$1,ТабКлиенты[#Headers],0)-1,0)</f>
        <v>#N/A</v>
      </c>
      <c r="E73" t="e">
        <f>VLOOKUP($C73,ТабАдрес[[#All],[Клиент]:[gps]],MATCH(E$1,ТабКлиенты[#Headers],0)-4,0)</f>
        <v>#N/A</v>
      </c>
      <c r="F73" t="e">
        <f>VLOOKUP($C73,ТабАдрес[[#All],[Клиент]:[gps]],MATCH(F$1,ТабКлиенты[#Headers],0)-4,0)</f>
        <v>#N/A</v>
      </c>
      <c r="H73" s="181">
        <v>0</v>
      </c>
      <c r="I73" s="52" t="s">
        <v>4256</v>
      </c>
      <c r="K73" t="e">
        <f t="shared" si="1"/>
        <v>#N/A</v>
      </c>
    </row>
    <row r="74" spans="1:11" hidden="1" x14ac:dyDescent="0.25">
      <c r="A74">
        <v>5</v>
      </c>
      <c r="B74" s="179">
        <v>45444</v>
      </c>
      <c r="C74" t="s">
        <v>3125</v>
      </c>
      <c r="D74" t="e">
        <f>VLOOKUP($C74,ТабКлиенты[[#All],[name]:[phone]],MATCH(D$1,ТабКлиенты[#Headers],0)-1,0)</f>
        <v>#N/A</v>
      </c>
      <c r="E74" t="e">
        <f>VLOOKUP($C74,ТабАдрес[[#All],[Клиент]:[gps]],MATCH(E$1,ТабКлиенты[#Headers],0)-4,0)</f>
        <v>#N/A</v>
      </c>
      <c r="F74" t="e">
        <f>VLOOKUP($C74,ТабАдрес[[#All],[Клиент]:[gps]],MATCH(F$1,ТабКлиенты[#Headers],0)-4,0)</f>
        <v>#N/A</v>
      </c>
      <c r="H74" s="181">
        <v>7325</v>
      </c>
      <c r="I74" s="52" t="s">
        <v>4257</v>
      </c>
      <c r="K74" t="e">
        <f t="shared" ref="K74:K105" si="2">A74&amp;". "&amp;C74&amp;CHAR(10)&amp;"Тел.: "&amp;D74&amp;CHAR(10)&amp;"Адрес: "&amp;E74&amp;CHAR(10)&amp;"№ заказа: "&amp;I74&amp;CHAR(10)&amp;"https://yandex.ru/maps/?text="&amp;REPLACE(F74,SEARCH(",",F74),2,"%2C")&amp;CHAR(10)&amp;"https://maps.google.com/?daddr="&amp;REPLACE(F74,SEARCH(",",F74),2,"%2C")&amp;CHAR(10)&amp;"К оплате: "&amp;"**"&amp;H74&amp;CHAR(10)&amp;"**"&amp;"----------------------------------------------------------"</f>
        <v>#N/A</v>
      </c>
    </row>
    <row r="75" spans="1:11" hidden="1" x14ac:dyDescent="0.25">
      <c r="A75">
        <v>6</v>
      </c>
      <c r="B75" s="179">
        <v>45444</v>
      </c>
      <c r="C75" t="s">
        <v>3129</v>
      </c>
      <c r="D75" t="e">
        <f>VLOOKUP($C75,ТабКлиенты[[#All],[name]:[phone]],MATCH(D$1,ТабКлиенты[#Headers],0)-1,0)</f>
        <v>#N/A</v>
      </c>
      <c r="E75" t="e">
        <f>VLOOKUP($C75,ТабАдрес[[#All],[Клиент]:[gps]],MATCH(E$1,ТабКлиенты[#Headers],0)-4,0)</f>
        <v>#N/A</v>
      </c>
      <c r="F75" t="e">
        <f>VLOOKUP($C75,ТабАдрес[[#All],[Клиент]:[gps]],MATCH(F$1,ТабКлиенты[#Headers],0)-4,0)</f>
        <v>#N/A</v>
      </c>
      <c r="H75" s="181">
        <v>303</v>
      </c>
      <c r="I75" s="52">
        <v>117</v>
      </c>
      <c r="K75" t="e">
        <f t="shared" si="2"/>
        <v>#N/A</v>
      </c>
    </row>
    <row r="76" spans="1:11" hidden="1" x14ac:dyDescent="0.25">
      <c r="A76">
        <v>7</v>
      </c>
      <c r="B76" s="179">
        <v>45444</v>
      </c>
      <c r="C76" t="s">
        <v>3206</v>
      </c>
      <c r="D76" t="str">
        <f>VLOOKUP($C76,ТабКлиенты[[#All],[name]:[phone]],MATCH(D$1,ТабКлиенты[#Headers],0)-1,0)</f>
        <v>+79496248226</v>
      </c>
      <c r="E76" t="str">
        <f>VLOOKUP($C76,ТабАдрес[[#All],[Клиент]:[gps]],MATCH(E$1,ТабКлиенты[#Headers],0)-4,0)</f>
        <v>Шевченко 274</v>
      </c>
      <c r="F76" t="str">
        <f>VLOOKUP($C76,ТабАдрес[[#All],[Клиент]:[gps]],MATCH(F$1,ТабКлиенты[#Headers],0)-4,0)</f>
        <v>47.1149, 37.5127</v>
      </c>
      <c r="H76" s="181">
        <v>1200</v>
      </c>
      <c r="I76" s="52" t="s">
        <v>5</v>
      </c>
      <c r="K76" t="str">
        <f t="shared" si="2"/>
        <v>7. Даша Калифорния
Тел.: +79496248226
Адрес: Шевченко 274
№ заказа: Витамины
https://yandex.ru/maps/?text=47.1149%2C37.5127
https://maps.google.com/?daddr=47.1149%2C37.5127
К оплате: **1200
**----------------------------------------------------------</v>
      </c>
    </row>
    <row r="77" spans="1:11" hidden="1" x14ac:dyDescent="0.25">
      <c r="A77">
        <v>8</v>
      </c>
      <c r="B77" s="179">
        <v>45444</v>
      </c>
      <c r="C77" t="s">
        <v>3127</v>
      </c>
      <c r="D77" t="e">
        <f>VLOOKUP($C77,ТабКлиенты[[#All],[name]:[phone]],MATCH(D$1,ТабКлиенты[#Headers],0)-1,0)</f>
        <v>#N/A</v>
      </c>
      <c r="E77" t="e">
        <f>VLOOKUP($C77,ТабАдрес[[#All],[Клиент]:[gps]],MATCH(E$1,ТабКлиенты[#Headers],0)-4,0)</f>
        <v>#N/A</v>
      </c>
      <c r="F77" t="e">
        <f>VLOOKUP($C77,ТабАдрес[[#All],[Клиент]:[gps]],MATCH(F$1,ТабКлиенты[#Headers],0)-4,0)</f>
        <v>#N/A</v>
      </c>
      <c r="H77" s="181">
        <v>-2854</v>
      </c>
      <c r="I77" s="52" t="s">
        <v>4258</v>
      </c>
      <c r="K77" t="e">
        <f t="shared" si="2"/>
        <v>#N/A</v>
      </c>
    </row>
    <row r="78" spans="1:11" hidden="1" x14ac:dyDescent="0.25">
      <c r="A78">
        <v>1</v>
      </c>
      <c r="B78" s="179">
        <v>45451</v>
      </c>
      <c r="C78" t="s">
        <v>3211</v>
      </c>
      <c r="D78" t="str">
        <f>VLOOKUP($C78,ТабКлиенты[[#All],[name]:[phone]],MATCH(D$1,ТабКлиенты[#Headers],0)-1,0)</f>
        <v>+79497105263</v>
      </c>
      <c r="E78" t="str">
        <f>VLOOKUP($C78,ТабАдрес[[#All],[Клиент]:[gps]],MATCH(E$1,ТабКлиенты[#Headers],0)-4,0)</f>
        <v>Казанцева 31</v>
      </c>
      <c r="F78" t="str">
        <f>VLOOKUP($C78,ТабАдрес[[#All],[Клиент]:[gps]],MATCH(F$1,ТабКлиенты[#Headers],0)-4,0)</f>
        <v>47.1070, 37.5475</v>
      </c>
      <c r="H78" s="181">
        <v>0</v>
      </c>
      <c r="I78" s="52" t="s">
        <v>5</v>
      </c>
      <c r="K78" t="str">
        <f t="shared" si="2"/>
        <v>1. Анна соседка
Тел.: +79497105263
Адрес: Казанцева 31
№ заказа: Витамины
https://yandex.ru/maps/?text=47.1070%2C37.5475
https://maps.google.com/?daddr=47.1070%2C37.5475
К оплате: **0
**----------------------------------------------------------</v>
      </c>
    </row>
    <row r="79" spans="1:11" hidden="1" x14ac:dyDescent="0.25">
      <c r="A79">
        <v>2</v>
      </c>
      <c r="B79" s="179">
        <v>45451</v>
      </c>
      <c r="C79" t="s">
        <v>3131</v>
      </c>
      <c r="D79" t="e">
        <f>VLOOKUP($C79,ТабКлиенты[[#All],[name]:[phone]],MATCH(D$1,ТабКлиенты[#Headers],0)-1,0)</f>
        <v>#N/A</v>
      </c>
      <c r="E79" t="e">
        <f>VLOOKUP($C79,ТабАдрес[[#All],[Клиент]:[gps]],MATCH(E$1,ТабКлиенты[#Headers],0)-4,0)</f>
        <v>#N/A</v>
      </c>
      <c r="F79" t="e">
        <f>VLOOKUP($C79,ТабАдрес[[#All],[Клиент]:[gps]],MATCH(F$1,ТабКлиенты[#Headers],0)-4,0)</f>
        <v>#N/A</v>
      </c>
      <c r="H79" s="181">
        <v>0</v>
      </c>
      <c r="I79" s="52">
        <v>120</v>
      </c>
      <c r="K79" t="e">
        <f t="shared" si="2"/>
        <v>#N/A</v>
      </c>
    </row>
    <row r="80" spans="1:11" hidden="1" x14ac:dyDescent="0.25">
      <c r="A80">
        <v>3</v>
      </c>
      <c r="B80" s="179">
        <v>45451</v>
      </c>
      <c r="C80" t="s">
        <v>3210</v>
      </c>
      <c r="D80" t="e">
        <f>VLOOKUP($C80,ТабКлиенты[[#All],[name]:[phone]],MATCH(D$1,ТабКлиенты[#Headers],0)-1,0)</f>
        <v>#N/A</v>
      </c>
      <c r="E80" t="e">
        <f>VLOOKUP($C80,ТабАдрес[[#All],[Клиент]:[gps]],MATCH(E$1,ТабКлиенты[#Headers],0)-4,0)</f>
        <v>#N/A</v>
      </c>
      <c r="F80" t="e">
        <f>VLOOKUP($C80,ТабАдрес[[#All],[Клиент]:[gps]],MATCH(F$1,ТабКлиенты[#Headers],0)-4,0)</f>
        <v>#N/A</v>
      </c>
      <c r="H80" s="181">
        <v>0</v>
      </c>
      <c r="I80" s="52">
        <v>122</v>
      </c>
      <c r="K80" t="e">
        <f t="shared" si="2"/>
        <v>#N/A</v>
      </c>
    </row>
    <row r="81" spans="1:11" hidden="1" x14ac:dyDescent="0.25">
      <c r="A81">
        <v>4</v>
      </c>
      <c r="B81" s="179">
        <v>45451</v>
      </c>
      <c r="C81" t="s">
        <v>3215</v>
      </c>
      <c r="D81" t="str">
        <f>VLOOKUP($C81,ТабКлиенты[[#All],[name]:[phone]],MATCH(D$1,ТабКлиенты[#Headers],0)-1,0)</f>
        <v>+79496340956</v>
      </c>
      <c r="E81" t="str">
        <f>VLOOKUP($C81,ТабАдрес[[#All],[Клиент]:[gps]],MATCH(E$1,ТабКлиенты[#Headers],0)-4,0)</f>
        <v>Макара Мазая 41</v>
      </c>
      <c r="F81" t="str">
        <f>VLOOKUP($C81,ТабАдрес[[#All],[Клиент]:[gps]],MATCH(F$1,ТабКлиенты[#Headers],0)-4,0)</f>
        <v>47.1361, 37.5817</v>
      </c>
      <c r="H81" s="181">
        <v>2500</v>
      </c>
      <c r="I81" s="52" t="s">
        <v>5</v>
      </c>
      <c r="K81" t="str">
        <f t="shared" si="2"/>
        <v>4. Константин СТО Оптима
Тел.: +79496340956
Адрес: Макара Мазая 41
№ заказа: Витамины
https://yandex.ru/maps/?text=47.1361%2C37.5817
https://maps.google.com/?daddr=47.1361%2C37.5817
К оплате: **2500
**----------------------------------------------------------</v>
      </c>
    </row>
    <row r="82" spans="1:11" hidden="1" x14ac:dyDescent="0.25">
      <c r="A82">
        <v>5</v>
      </c>
      <c r="B82" s="179">
        <v>45451</v>
      </c>
      <c r="C82" t="s">
        <v>3202</v>
      </c>
      <c r="D82" t="e">
        <f>VLOOKUP($C82,ТабКлиенты[[#All],[name]:[phone]],MATCH(D$1,ТабКлиенты[#Headers],0)-1,0)</f>
        <v>#N/A</v>
      </c>
      <c r="E82" t="e">
        <f>VLOOKUP($C82,ТабАдрес[[#All],[Клиент]:[gps]],MATCH(E$1,ТабКлиенты[#Headers],0)-4,0)</f>
        <v>#N/A</v>
      </c>
      <c r="F82" t="e">
        <f>VLOOKUP($C82,ТабАдрес[[#All],[Клиент]:[gps]],MATCH(F$1,ТабКлиенты[#Headers],0)-4,0)</f>
        <v>#N/A</v>
      </c>
      <c r="H82" s="181">
        <v>13000</v>
      </c>
      <c r="I82" s="52" t="s">
        <v>5</v>
      </c>
      <c r="K82" t="e">
        <f t="shared" si="2"/>
        <v>#N/A</v>
      </c>
    </row>
    <row r="83" spans="1:11" hidden="1" x14ac:dyDescent="0.25">
      <c r="A83">
        <v>6</v>
      </c>
      <c r="B83" s="179">
        <v>45451</v>
      </c>
      <c r="C83" t="s">
        <v>3134</v>
      </c>
      <c r="D83" t="e">
        <f>VLOOKUP($C83,ТабКлиенты[[#All],[name]:[phone]],MATCH(D$1,ТабКлиенты[#Headers],0)-1,0)</f>
        <v>#N/A</v>
      </c>
      <c r="E83" t="e">
        <f>VLOOKUP($C83,ТабАдрес[[#All],[Клиент]:[gps]],MATCH(E$1,ТабКлиенты[#Headers],0)-4,0)</f>
        <v>#N/A</v>
      </c>
      <c r="F83" t="e">
        <f>VLOOKUP($C83,ТабАдрес[[#All],[Клиент]:[gps]],MATCH(F$1,ТабКлиенты[#Headers],0)-4,0)</f>
        <v>#N/A</v>
      </c>
      <c r="H83" s="181">
        <v>1892</v>
      </c>
      <c r="I83" s="52">
        <v>100</v>
      </c>
      <c r="K83" t="e">
        <f t="shared" si="2"/>
        <v>#N/A</v>
      </c>
    </row>
    <row r="84" spans="1:11" hidden="1" x14ac:dyDescent="0.25">
      <c r="A84">
        <v>7</v>
      </c>
      <c r="B84" s="179">
        <v>45451</v>
      </c>
      <c r="C84" t="s">
        <v>3125</v>
      </c>
      <c r="D84" t="e">
        <f>VLOOKUP($C84,ТабКлиенты[[#All],[name]:[phone]],MATCH(D$1,ТабКлиенты[#Headers],0)-1,0)</f>
        <v>#N/A</v>
      </c>
      <c r="E84" t="e">
        <f>VLOOKUP($C84,ТабАдрес[[#All],[Клиент]:[gps]],MATCH(E$1,ТабКлиенты[#Headers],0)-4,0)</f>
        <v>#N/A</v>
      </c>
      <c r="F84" t="e">
        <f>VLOOKUP($C84,ТабАдрес[[#All],[Клиент]:[gps]],MATCH(F$1,ТабКлиенты[#Headers],0)-4,0)</f>
        <v>#N/A</v>
      </c>
      <c r="H84" s="181">
        <v>0</v>
      </c>
      <c r="I84" s="52" t="s">
        <v>4259</v>
      </c>
      <c r="K84" t="e">
        <f t="shared" si="2"/>
        <v>#N/A</v>
      </c>
    </row>
    <row r="85" spans="1:11" hidden="1" x14ac:dyDescent="0.25">
      <c r="A85">
        <v>8</v>
      </c>
      <c r="B85" s="179">
        <v>45451</v>
      </c>
      <c r="C85" t="s">
        <v>3149</v>
      </c>
      <c r="D85" t="e">
        <f>VLOOKUP($C85,ТабКлиенты[[#All],[name]:[phone]],MATCH(D$1,ТабКлиенты[#Headers],0)-1,0)</f>
        <v>#N/A</v>
      </c>
      <c r="E85" t="e">
        <f>VLOOKUP($C85,ТабАдрес[[#All],[Клиент]:[gps]],MATCH(E$1,ТабКлиенты[#Headers],0)-4,0)</f>
        <v>#N/A</v>
      </c>
      <c r="F85" t="e">
        <f>VLOOKUP($C85,ТабАдрес[[#All],[Клиент]:[gps]],MATCH(F$1,ТабКлиенты[#Headers],0)-4,0)</f>
        <v>#N/A</v>
      </c>
      <c r="H85" s="181">
        <v>0</v>
      </c>
      <c r="I85" s="52" t="s">
        <v>4260</v>
      </c>
      <c r="K85" t="e">
        <f t="shared" si="2"/>
        <v>#N/A</v>
      </c>
    </row>
    <row r="86" spans="1:11" hidden="1" x14ac:dyDescent="0.25">
      <c r="A86">
        <v>1</v>
      </c>
      <c r="B86" s="179">
        <v>45458</v>
      </c>
      <c r="C86" t="s">
        <v>3169</v>
      </c>
      <c r="D86" t="str">
        <f>VLOOKUP($C86,ТабКлиенты[[#All],[name]:[phone]],MATCH(D$1,ТабКлиенты[#Headers],0)-1,0)</f>
        <v>+79496019237</v>
      </c>
      <c r="E86" t="str">
        <f>VLOOKUP($C86,ТабАдрес[[#All],[Клиент]:[gps]],MATCH(E$1,ТабКлиенты[#Headers],0)-4,0)</f>
        <v>Металлургов 92</v>
      </c>
      <c r="F86" t="str">
        <f>VLOOKUP($C86,ТабАдрес[[#All],[Клиент]:[gps]],MATCH(F$1,ТабКлиенты[#Headers],0)-4,0)</f>
        <v>47.1053, 37.5483</v>
      </c>
      <c r="H86" s="181">
        <v>0</v>
      </c>
      <c r="I86" s="52">
        <v>127</v>
      </c>
      <c r="K86" t="str">
        <f t="shared" si="2"/>
        <v>1. Людмила Эдельвейс
Тел.: +79496019237
Адрес: Металлургов 92
№ заказа: 127
https://yandex.ru/maps/?text=47.1053%2C37.5483
https://maps.google.com/?daddr=47.1053%2C37.5483
К оплате: **0
**----------------------------------------------------------</v>
      </c>
    </row>
    <row r="87" spans="1:11" hidden="1" x14ac:dyDescent="0.25">
      <c r="A87">
        <v>2</v>
      </c>
      <c r="B87" s="179">
        <v>45458</v>
      </c>
      <c r="C87" t="s">
        <v>3125</v>
      </c>
      <c r="D87" t="e">
        <f>VLOOKUP($C87,ТабКлиенты[[#All],[name]:[phone]],MATCH(D$1,ТабКлиенты[#Headers],0)-1,0)</f>
        <v>#N/A</v>
      </c>
      <c r="E87" t="e">
        <f>VLOOKUP($C87,ТабАдрес[[#All],[Клиент]:[gps]],MATCH(E$1,ТабКлиенты[#Headers],0)-4,0)</f>
        <v>#N/A</v>
      </c>
      <c r="F87" t="e">
        <f>VLOOKUP($C87,ТабАдрес[[#All],[Клиент]:[gps]],MATCH(F$1,ТабКлиенты[#Headers],0)-4,0)</f>
        <v>#N/A</v>
      </c>
      <c r="H87" s="181">
        <v>0</v>
      </c>
      <c r="I87" s="52">
        <v>70</v>
      </c>
      <c r="K87" t="e">
        <f t="shared" si="2"/>
        <v>#N/A</v>
      </c>
    </row>
    <row r="88" spans="1:11" hidden="1" x14ac:dyDescent="0.25">
      <c r="A88">
        <v>3</v>
      </c>
      <c r="B88" s="179">
        <v>45458</v>
      </c>
      <c r="C88" t="s">
        <v>3149</v>
      </c>
      <c r="D88" t="e">
        <f>VLOOKUP($C88,ТабКлиенты[[#All],[name]:[phone]],MATCH(D$1,ТабКлиенты[#Headers],0)-1,0)</f>
        <v>#N/A</v>
      </c>
      <c r="E88" t="e">
        <f>VLOOKUP($C88,ТабАдрес[[#All],[Клиент]:[gps]],MATCH(E$1,ТабКлиенты[#Headers],0)-4,0)</f>
        <v>#N/A</v>
      </c>
      <c r="F88" t="e">
        <f>VLOOKUP($C88,ТабАдрес[[#All],[Клиент]:[gps]],MATCH(F$1,ТабКлиенты[#Headers],0)-4,0)</f>
        <v>#N/A</v>
      </c>
      <c r="H88" s="181">
        <v>0</v>
      </c>
      <c r="I88" s="52">
        <v>123</v>
      </c>
      <c r="K88" t="e">
        <f t="shared" si="2"/>
        <v>#N/A</v>
      </c>
    </row>
    <row r="89" spans="1:11" hidden="1" x14ac:dyDescent="0.25">
      <c r="A89">
        <v>4</v>
      </c>
      <c r="B89" s="179">
        <v>45458</v>
      </c>
      <c r="C89" t="s">
        <v>3126</v>
      </c>
      <c r="D89" t="e">
        <f>VLOOKUP($C89,ТабКлиенты[[#All],[name]:[phone]],MATCH(D$1,ТабКлиенты[#Headers],0)-1,0)</f>
        <v>#N/A</v>
      </c>
      <c r="E89" t="e">
        <f>VLOOKUP($C89,ТабАдрес[[#All],[Клиент]:[gps]],MATCH(E$1,ТабКлиенты[#Headers],0)-4,0)</f>
        <v>#N/A</v>
      </c>
      <c r="F89" t="e">
        <f>VLOOKUP($C89,ТабАдрес[[#All],[Клиент]:[gps]],MATCH(F$1,ТабКлиенты[#Headers],0)-4,0)</f>
        <v>#N/A</v>
      </c>
      <c r="H89" s="181">
        <v>4000</v>
      </c>
      <c r="I89" s="52">
        <v>118</v>
      </c>
      <c r="K89" t="e">
        <f t="shared" si="2"/>
        <v>#N/A</v>
      </c>
    </row>
    <row r="90" spans="1:11" hidden="1" x14ac:dyDescent="0.25">
      <c r="A90">
        <v>5</v>
      </c>
      <c r="B90" s="179">
        <v>45458</v>
      </c>
      <c r="C90" t="s">
        <v>3131</v>
      </c>
      <c r="D90" t="e">
        <f>VLOOKUP($C90,ТабКлиенты[[#All],[name]:[phone]],MATCH(D$1,ТабКлиенты[#Headers],0)-1,0)</f>
        <v>#N/A</v>
      </c>
      <c r="E90" t="e">
        <f>VLOOKUP($C90,ТабАдрес[[#All],[Клиент]:[gps]],MATCH(E$1,ТабКлиенты[#Headers],0)-4,0)</f>
        <v>#N/A</v>
      </c>
      <c r="F90" t="e">
        <f>VLOOKUP($C90,ТабАдрес[[#All],[Клиент]:[gps]],MATCH(F$1,ТабКлиенты[#Headers],0)-4,0)</f>
        <v>#N/A</v>
      </c>
      <c r="H90" s="181">
        <v>0</v>
      </c>
      <c r="I90" s="52">
        <v>120</v>
      </c>
      <c r="K90" t="e">
        <f t="shared" si="2"/>
        <v>#N/A</v>
      </c>
    </row>
    <row r="91" spans="1:11" hidden="1" x14ac:dyDescent="0.25">
      <c r="A91">
        <v>6</v>
      </c>
      <c r="B91" s="179">
        <v>45458</v>
      </c>
      <c r="C91" t="s">
        <v>3210</v>
      </c>
      <c r="D91" t="e">
        <f>VLOOKUP($C91,ТабКлиенты[[#All],[name]:[phone]],MATCH(D$1,ТабКлиенты[#Headers],0)-1,0)</f>
        <v>#N/A</v>
      </c>
      <c r="E91" t="e">
        <f>VLOOKUP($C91,ТабАдрес[[#All],[Клиент]:[gps]],MATCH(E$1,ТабКлиенты[#Headers],0)-4,0)</f>
        <v>#N/A</v>
      </c>
      <c r="F91" t="e">
        <f>VLOOKUP($C91,ТабАдрес[[#All],[Клиент]:[gps]],MATCH(F$1,ТабКлиенты[#Headers],0)-4,0)</f>
        <v>#N/A</v>
      </c>
      <c r="H91" s="181">
        <v>0</v>
      </c>
      <c r="I91" s="52" t="s">
        <v>4261</v>
      </c>
      <c r="K91" t="e">
        <f t="shared" si="2"/>
        <v>#N/A</v>
      </c>
    </row>
    <row r="92" spans="1:11" hidden="1" x14ac:dyDescent="0.25">
      <c r="A92">
        <v>7</v>
      </c>
      <c r="B92" s="179">
        <v>45458</v>
      </c>
      <c r="C92" t="s">
        <v>3122</v>
      </c>
      <c r="D92" t="e">
        <f>VLOOKUP($C92,ТабКлиенты[[#All],[name]:[phone]],MATCH(D$1,ТабКлиенты[#Headers],0)-1,0)</f>
        <v>#N/A</v>
      </c>
      <c r="E92" t="e">
        <f>VLOOKUP($C92,ТабАдрес[[#All],[Клиент]:[gps]],MATCH(E$1,ТабКлиенты[#Headers],0)-4,0)</f>
        <v>#N/A</v>
      </c>
      <c r="F92" t="e">
        <f>VLOOKUP($C92,ТабАдрес[[#All],[Клиент]:[gps]],MATCH(F$1,ТабКлиенты[#Headers],0)-4,0)</f>
        <v>#N/A</v>
      </c>
      <c r="H92" s="181">
        <v>0</v>
      </c>
      <c r="I92" s="52" t="s">
        <v>4262</v>
      </c>
      <c r="K92" t="e">
        <f t="shared" si="2"/>
        <v>#N/A</v>
      </c>
    </row>
    <row r="93" spans="1:11" hidden="1" x14ac:dyDescent="0.25">
      <c r="A93">
        <v>8</v>
      </c>
      <c r="B93" s="179">
        <v>45458</v>
      </c>
      <c r="C93" t="s">
        <v>3130</v>
      </c>
      <c r="D93" t="e">
        <f>VLOOKUP($C93,ТабКлиенты[[#All],[name]:[phone]],MATCH(D$1,ТабКлиенты[#Headers],0)-1,0)</f>
        <v>#N/A</v>
      </c>
      <c r="E93" t="e">
        <f>VLOOKUP($C93,ТабАдрес[[#All],[Клиент]:[gps]],MATCH(E$1,ТабКлиенты[#Headers],0)-4,0)</f>
        <v>#N/A</v>
      </c>
      <c r="F93" t="e">
        <f>VLOOKUP($C93,ТабАдрес[[#All],[Клиент]:[gps]],MATCH(F$1,ТабКлиенты[#Headers],0)-4,0)</f>
        <v>#N/A</v>
      </c>
      <c r="H93" s="181">
        <v>852</v>
      </c>
      <c r="I93" s="52">
        <v>130</v>
      </c>
      <c r="K93" t="e">
        <f t="shared" si="2"/>
        <v>#N/A</v>
      </c>
    </row>
    <row r="94" spans="1:11" hidden="1" x14ac:dyDescent="0.25">
      <c r="A94">
        <v>9</v>
      </c>
      <c r="B94" s="179">
        <v>45458</v>
      </c>
      <c r="C94" t="s">
        <v>3129</v>
      </c>
      <c r="D94" t="e">
        <f>VLOOKUP($C94,ТабКлиенты[[#All],[name]:[phone]],MATCH(D$1,ТабКлиенты[#Headers],0)-1,0)</f>
        <v>#N/A</v>
      </c>
      <c r="E94" t="e">
        <f>VLOOKUP($C94,ТабАдрес[[#All],[Клиент]:[gps]],MATCH(E$1,ТабКлиенты[#Headers],0)-4,0)</f>
        <v>#N/A</v>
      </c>
      <c r="F94" t="e">
        <f>VLOOKUP($C94,ТабАдрес[[#All],[Клиент]:[gps]],MATCH(F$1,ТабКлиенты[#Headers],0)-4,0)</f>
        <v>#N/A</v>
      </c>
      <c r="H94" s="181">
        <v>0</v>
      </c>
      <c r="I94" s="52">
        <v>129</v>
      </c>
      <c r="K94" t="e">
        <f t="shared" si="2"/>
        <v>#N/A</v>
      </c>
    </row>
    <row r="95" spans="1:11" hidden="1" x14ac:dyDescent="0.25">
      <c r="A95">
        <v>10</v>
      </c>
      <c r="B95" s="179">
        <v>45458</v>
      </c>
      <c r="C95" t="s">
        <v>3167</v>
      </c>
      <c r="D95" t="e">
        <f>VLOOKUP($C95,ТабКлиенты[[#All],[name]:[phone]],MATCH(D$1,ТабКлиенты[#Headers],0)-1,0)</f>
        <v>#N/A</v>
      </c>
      <c r="E95" t="e">
        <f>VLOOKUP($C95,ТабАдрес[[#All],[Клиент]:[gps]],MATCH(E$1,ТабКлиенты[#Headers],0)-4,0)</f>
        <v>#N/A</v>
      </c>
      <c r="F95" t="e">
        <f>VLOOKUP($C95,ТабАдрес[[#All],[Клиент]:[gps]],MATCH(F$1,ТабКлиенты[#Headers],0)-4,0)</f>
        <v>#N/A</v>
      </c>
      <c r="H95" s="181">
        <v>2000</v>
      </c>
      <c r="I95" s="52" t="s">
        <v>4263</v>
      </c>
      <c r="K95" t="e">
        <f t="shared" si="2"/>
        <v>#N/A</v>
      </c>
    </row>
    <row r="96" spans="1:11" hidden="1" x14ac:dyDescent="0.25">
      <c r="A96">
        <v>1</v>
      </c>
      <c r="B96" s="179">
        <v>45465</v>
      </c>
      <c r="C96" t="s">
        <v>3210</v>
      </c>
      <c r="D96" t="e">
        <f>VLOOKUP($C96,ТабКлиенты[[#All],[name]:[phone]],MATCH(D$1,ТабКлиенты[#Headers],0)-1,0)</f>
        <v>#N/A</v>
      </c>
      <c r="E96" t="e">
        <f>VLOOKUP($C96,ТабАдрес[[#All],[Клиент]:[gps]],MATCH(E$1,ТабКлиенты[#Headers],0)-4,0)</f>
        <v>#N/A</v>
      </c>
      <c r="F96" t="e">
        <f>VLOOKUP($C96,ТабАдрес[[#All],[Клиент]:[gps]],MATCH(F$1,ТабКлиенты[#Headers],0)-4,0)</f>
        <v>#N/A</v>
      </c>
      <c r="H96" s="181">
        <v>0</v>
      </c>
      <c r="I96" s="52">
        <v>137</v>
      </c>
      <c r="K96" t="e">
        <f t="shared" si="2"/>
        <v>#N/A</v>
      </c>
    </row>
    <row r="97" spans="1:11" hidden="1" x14ac:dyDescent="0.25">
      <c r="A97">
        <v>2</v>
      </c>
      <c r="B97" s="179">
        <v>45465</v>
      </c>
      <c r="C97" t="s">
        <v>3202</v>
      </c>
      <c r="D97" t="e">
        <f>VLOOKUP($C97,ТабКлиенты[[#All],[name]:[phone]],MATCH(D$1,ТабКлиенты[#Headers],0)-1,0)</f>
        <v>#N/A</v>
      </c>
      <c r="E97" t="e">
        <f>VLOOKUP($C97,ТабАдрес[[#All],[Клиент]:[gps]],MATCH(E$1,ТабКлиенты[#Headers],0)-4,0)</f>
        <v>#N/A</v>
      </c>
      <c r="F97" t="e">
        <f>VLOOKUP($C97,ТабАдрес[[#All],[Клиент]:[gps]],MATCH(F$1,ТабКлиенты[#Headers],0)-4,0)</f>
        <v>#N/A</v>
      </c>
      <c r="H97" s="181">
        <v>29077</v>
      </c>
      <c r="I97" s="52" t="s">
        <v>4264</v>
      </c>
      <c r="K97" t="e">
        <f t="shared" si="2"/>
        <v>#N/A</v>
      </c>
    </row>
    <row r="98" spans="1:11" hidden="1" x14ac:dyDescent="0.25">
      <c r="A98">
        <v>3</v>
      </c>
      <c r="B98" s="179">
        <v>45465</v>
      </c>
      <c r="C98" t="s">
        <v>3219</v>
      </c>
      <c r="D98" t="e">
        <f>VLOOKUP($C98,ТабКлиенты[[#All],[name]:[phone]],MATCH(D$1,ТабКлиенты[#Headers],0)-1,0)</f>
        <v>#N/A</v>
      </c>
      <c r="E98" t="e">
        <f>VLOOKUP($C98,ТабАдрес[[#All],[Клиент]:[gps]],MATCH(E$1,ТабКлиенты[#Headers],0)-4,0)</f>
        <v>#N/A</v>
      </c>
      <c r="F98" t="e">
        <f>VLOOKUP($C98,ТабАдрес[[#All],[Клиент]:[gps]],MATCH(F$1,ТабКлиенты[#Headers],0)-4,0)</f>
        <v>#N/A</v>
      </c>
      <c r="H98" s="181">
        <v>20600</v>
      </c>
      <c r="I98" s="52" t="s">
        <v>5</v>
      </c>
      <c r="K98" t="e">
        <f t="shared" si="2"/>
        <v>#N/A</v>
      </c>
    </row>
    <row r="99" spans="1:11" hidden="1" x14ac:dyDescent="0.25">
      <c r="A99">
        <v>4</v>
      </c>
      <c r="B99" s="179">
        <v>45465</v>
      </c>
      <c r="C99" t="s">
        <v>3148</v>
      </c>
      <c r="D99" t="e">
        <f>VLOOKUP($C99,ТабКлиенты[[#All],[name]:[phone]],MATCH(D$1,ТабКлиенты[#Headers],0)-1,0)</f>
        <v>#N/A</v>
      </c>
      <c r="E99" t="e">
        <f>VLOOKUP($C99,ТабАдрес[[#All],[Клиент]:[gps]],MATCH(E$1,ТабКлиенты[#Headers],0)-4,0)</f>
        <v>#N/A</v>
      </c>
      <c r="F99" t="e">
        <f>VLOOKUP($C99,ТабАдрес[[#All],[Клиент]:[gps]],MATCH(F$1,ТабКлиенты[#Headers],0)-4,0)</f>
        <v>#N/A</v>
      </c>
      <c r="H99" s="181">
        <v>0</v>
      </c>
      <c r="I99" s="52">
        <v>141</v>
      </c>
      <c r="K99" t="e">
        <f t="shared" si="2"/>
        <v>#N/A</v>
      </c>
    </row>
    <row r="100" spans="1:11" hidden="1" x14ac:dyDescent="0.25">
      <c r="A100">
        <v>5</v>
      </c>
      <c r="B100" s="179">
        <v>45465</v>
      </c>
      <c r="C100" t="s">
        <v>3218</v>
      </c>
      <c r="D100" t="e">
        <f>VLOOKUP($C100,ТабКлиенты[[#All],[name]:[phone]],MATCH(D$1,ТабКлиенты[#Headers],0)-1,0)</f>
        <v>#N/A</v>
      </c>
      <c r="E100" t="e">
        <f>VLOOKUP($C100,ТабАдрес[[#All],[Клиент]:[gps]],MATCH(E$1,ТабКлиенты[#Headers],0)-4,0)</f>
        <v>#N/A</v>
      </c>
      <c r="F100" t="e">
        <f>VLOOKUP($C100,ТабАдрес[[#All],[Клиент]:[gps]],MATCH(F$1,ТабКлиенты[#Headers],0)-4,0)</f>
        <v>#N/A</v>
      </c>
      <c r="H100" s="181">
        <v>0</v>
      </c>
      <c r="I100" s="52">
        <v>126</v>
      </c>
      <c r="K100" t="e">
        <f t="shared" si="2"/>
        <v>#N/A</v>
      </c>
    </row>
    <row r="101" spans="1:11" hidden="1" x14ac:dyDescent="0.25">
      <c r="A101">
        <v>6</v>
      </c>
      <c r="B101" s="179">
        <v>45465</v>
      </c>
      <c r="C101" t="s">
        <v>3167</v>
      </c>
      <c r="D101" t="e">
        <f>VLOOKUP($C101,ТабКлиенты[[#All],[name]:[phone]],MATCH(D$1,ТабКлиенты[#Headers],0)-1,0)</f>
        <v>#N/A</v>
      </c>
      <c r="E101" t="e">
        <f>VLOOKUP($C101,ТабАдрес[[#All],[Клиент]:[gps]],MATCH(E$1,ТабКлиенты[#Headers],0)-4,0)</f>
        <v>#N/A</v>
      </c>
      <c r="F101" t="e">
        <f>VLOOKUP($C101,ТабАдрес[[#All],[Клиент]:[gps]],MATCH(F$1,ТабКлиенты[#Headers],0)-4,0)</f>
        <v>#N/A</v>
      </c>
      <c r="H101" s="181">
        <v>0</v>
      </c>
      <c r="I101" s="52" t="s">
        <v>4263</v>
      </c>
      <c r="K101" t="e">
        <f t="shared" si="2"/>
        <v>#N/A</v>
      </c>
    </row>
    <row r="102" spans="1:11" hidden="1" x14ac:dyDescent="0.25">
      <c r="A102">
        <v>8</v>
      </c>
      <c r="B102" s="179">
        <v>45465</v>
      </c>
      <c r="C102" t="s">
        <v>3136</v>
      </c>
      <c r="D102" t="e">
        <f>VLOOKUP($C102,ТабКлиенты[[#All],[name]:[phone]],MATCH(D$1,ТабКлиенты[#Headers],0)-1,0)</f>
        <v>#N/A</v>
      </c>
      <c r="E102" t="e">
        <f>VLOOKUP($C102,ТабАдрес[[#All],[Клиент]:[gps]],MATCH(E$1,ТабКлиенты[#Headers],0)-4,0)</f>
        <v>#N/A</v>
      </c>
      <c r="F102" t="e">
        <f>VLOOKUP($C102,ТабАдрес[[#All],[Клиент]:[gps]],MATCH(F$1,ТабКлиенты[#Headers],0)-4,0)</f>
        <v>#N/A</v>
      </c>
      <c r="H102" s="181">
        <v>1346</v>
      </c>
      <c r="I102" s="52">
        <v>131</v>
      </c>
      <c r="K102" t="e">
        <f t="shared" si="2"/>
        <v>#N/A</v>
      </c>
    </row>
    <row r="103" spans="1:11" hidden="1" x14ac:dyDescent="0.25">
      <c r="A103">
        <v>9</v>
      </c>
      <c r="B103" s="179">
        <v>45465</v>
      </c>
      <c r="C103" t="s">
        <v>3143</v>
      </c>
      <c r="D103" t="e">
        <f>VLOOKUP($C103,ТабКлиенты[[#All],[name]:[phone]],MATCH(D$1,ТабКлиенты[#Headers],0)-1,0)</f>
        <v>#N/A</v>
      </c>
      <c r="E103" t="e">
        <f>VLOOKUP($C103,ТабАдрес[[#All],[Клиент]:[gps]],MATCH(E$1,ТабКлиенты[#Headers],0)-4,0)</f>
        <v>#N/A</v>
      </c>
      <c r="F103" t="e">
        <f>VLOOKUP($C103,ТабАдрес[[#All],[Клиент]:[gps]],MATCH(F$1,ТабКлиенты[#Headers],0)-4,0)</f>
        <v>#N/A</v>
      </c>
      <c r="H103" s="181">
        <v>600</v>
      </c>
      <c r="I103" s="52">
        <v>140</v>
      </c>
      <c r="K103" t="e">
        <f t="shared" si="2"/>
        <v>#N/A</v>
      </c>
    </row>
    <row r="104" spans="1:11" hidden="1" x14ac:dyDescent="0.25">
      <c r="A104">
        <v>10</v>
      </c>
      <c r="B104" s="179">
        <v>45465</v>
      </c>
      <c r="C104" t="s">
        <v>3206</v>
      </c>
      <c r="D104" t="str">
        <f>VLOOKUP($C104,ТабКлиенты[[#All],[name]:[phone]],MATCH(D$1,ТабКлиенты[#Headers],0)-1,0)</f>
        <v>+79496248226</v>
      </c>
      <c r="E104" t="str">
        <f>VLOOKUP($C104,ТабАдрес[[#All],[Клиент]:[gps]],MATCH(E$1,ТабКлиенты[#Headers],0)-4,0)</f>
        <v>Шевченко 274</v>
      </c>
      <c r="F104" t="str">
        <f>VLOOKUP($C104,ТабАдрес[[#All],[Клиент]:[gps]],MATCH(F$1,ТабКлиенты[#Headers],0)-4,0)</f>
        <v>47.1149, 37.5127</v>
      </c>
      <c r="H104" s="181">
        <v>4000</v>
      </c>
      <c r="K104" t="str">
        <f t="shared" si="2"/>
        <v>10. Даша Калифорния
Тел.: +79496248226
Адрес: Шевченко 274
№ заказа: 
https://yandex.ru/maps/?text=47.1149%2C37.5127
https://maps.google.com/?daddr=47.1149%2C37.5127
К оплате: **4000
**----------------------------------------------------------</v>
      </c>
    </row>
    <row r="105" spans="1:11" hidden="1" x14ac:dyDescent="0.25">
      <c r="A105">
        <v>11</v>
      </c>
      <c r="B105" s="179">
        <v>45465</v>
      </c>
      <c r="C105" t="s">
        <v>3220</v>
      </c>
      <c r="D105" t="str">
        <f>VLOOKUP($C105,ТабКлиенты[[#All],[name]:[phone]],MATCH(D$1,ТабКлиенты[#Headers],0)-1,0)</f>
        <v>+79497081831</v>
      </c>
      <c r="E105" t="str">
        <f>VLOOKUP($C105,ТабАдрес[[#All],[Клиент]:[gps]],MATCH(E$1,ТабКлиенты[#Headers],0)-4,0)</f>
        <v>Шевченко 289А</v>
      </c>
      <c r="F105" t="str">
        <f>VLOOKUP($C105,ТабАдрес[[#All],[Клиент]:[gps]],MATCH(F$1,ТабКлиенты[#Headers],0)-4,0)</f>
        <v>47.1168, 37.5229</v>
      </c>
      <c r="H105" s="181">
        <v>700</v>
      </c>
      <c r="K105" t="str">
        <f t="shared" si="2"/>
        <v>11. Лида корма
Тел.: +79497081831
Адрес: Шевченко 289А
№ заказа: 
https://yandex.ru/maps/?text=47.1168%2C37.5229
https://maps.google.com/?daddr=47.1168%2C37.5229
К оплате: **700
**----------------------------------------------------------</v>
      </c>
    </row>
    <row r="106" spans="1:11" hidden="1" x14ac:dyDescent="0.25">
      <c r="A106">
        <v>12</v>
      </c>
      <c r="B106" s="179">
        <v>45465</v>
      </c>
      <c r="C106" t="s">
        <v>3129</v>
      </c>
      <c r="D106" t="e">
        <f>VLOOKUP($C106,ТабКлиенты[[#All],[name]:[phone]],MATCH(D$1,ТабКлиенты[#Headers],0)-1,0)</f>
        <v>#N/A</v>
      </c>
      <c r="E106" t="e">
        <f>VLOOKUP($C106,ТабАдрес[[#All],[Клиент]:[gps]],MATCH(E$1,ТабКлиенты[#Headers],0)-4,0)</f>
        <v>#N/A</v>
      </c>
      <c r="F106" t="e">
        <f>VLOOKUP($C106,ТабАдрес[[#All],[Клиент]:[gps]],MATCH(F$1,ТабКлиенты[#Headers],0)-4,0)</f>
        <v>#N/A</v>
      </c>
      <c r="H106" s="181">
        <v>2032</v>
      </c>
      <c r="I106" s="52" t="s">
        <v>4265</v>
      </c>
      <c r="K106" t="e">
        <f t="shared" ref="K106:K112" si="3">A106&amp;". "&amp;C106&amp;CHAR(10)&amp;"Тел.: "&amp;D106&amp;CHAR(10)&amp;"Адрес: "&amp;E106&amp;CHAR(10)&amp;"№ заказа: "&amp;I106&amp;CHAR(10)&amp;"https://yandex.ru/maps/?text="&amp;REPLACE(F106,SEARCH(",",F106),2,"%2C")&amp;CHAR(10)&amp;"https://maps.google.com/?daddr="&amp;REPLACE(F106,SEARCH(",",F106),2,"%2C")&amp;CHAR(10)&amp;"К оплате: "&amp;"**"&amp;H106&amp;CHAR(10)&amp;"**"&amp;"----------------------------------------------------------"</f>
        <v>#N/A</v>
      </c>
    </row>
    <row r="107" spans="1:11" hidden="1" x14ac:dyDescent="0.25">
      <c r="A107">
        <v>1</v>
      </c>
      <c r="B107" s="179">
        <v>45472</v>
      </c>
      <c r="C107" t="s">
        <v>3149</v>
      </c>
      <c r="D107" t="e">
        <f>VLOOKUP($C107,ТабКлиенты[[#All],[name]:[phone]],MATCH(D$1,ТабКлиенты[#Headers],0)-1,0)</f>
        <v>#N/A</v>
      </c>
      <c r="E107" t="e">
        <f>VLOOKUP($C107,ТабАдрес[[#All],[Клиент]:[gps]],MATCH(E$1,ТабКлиенты[#Headers],0)-4,0)</f>
        <v>#N/A</v>
      </c>
      <c r="F107" t="e">
        <f>VLOOKUP($C107,ТабАдрес[[#All],[Клиент]:[gps]],MATCH(F$1,ТабКлиенты[#Headers],0)-4,0)</f>
        <v>#N/A</v>
      </c>
      <c r="H107" s="181">
        <v>0</v>
      </c>
      <c r="I107" s="52">
        <v>147</v>
      </c>
      <c r="K107" t="e">
        <f t="shared" si="3"/>
        <v>#N/A</v>
      </c>
    </row>
    <row r="108" spans="1:11" hidden="1" x14ac:dyDescent="0.25">
      <c r="A108">
        <v>2</v>
      </c>
      <c r="B108" s="179">
        <v>45472</v>
      </c>
      <c r="C108" t="s">
        <v>3210</v>
      </c>
      <c r="D108" t="e">
        <f>VLOOKUP($C108,ТабКлиенты[[#All],[name]:[phone]],MATCH(D$1,ТабКлиенты[#Headers],0)-1,0)</f>
        <v>#N/A</v>
      </c>
      <c r="E108" t="e">
        <f>VLOOKUP($C108,ТабАдрес[[#All],[Клиент]:[gps]],MATCH(E$1,ТабКлиенты[#Headers],0)-4,0)</f>
        <v>#N/A</v>
      </c>
      <c r="F108" t="e">
        <f>VLOOKUP($C108,ТабАдрес[[#All],[Клиент]:[gps]],MATCH(F$1,ТабКлиенты[#Headers],0)-4,0)</f>
        <v>#N/A</v>
      </c>
      <c r="H108" s="181">
        <v>0</v>
      </c>
      <c r="I108" s="52" t="s">
        <v>4266</v>
      </c>
      <c r="K108" t="e">
        <f t="shared" si="3"/>
        <v>#N/A</v>
      </c>
    </row>
    <row r="109" spans="1:11" hidden="1" x14ac:dyDescent="0.25">
      <c r="A109">
        <v>3</v>
      </c>
      <c r="B109" s="179">
        <v>45472</v>
      </c>
      <c r="C109" t="s">
        <v>3225</v>
      </c>
      <c r="D109" t="e">
        <f>VLOOKUP($C109,ТабКлиенты[[#All],[name]:[phone]],MATCH(D$1,ТабКлиенты[#Headers],0)-1,0)</f>
        <v>#N/A</v>
      </c>
      <c r="E109" t="e">
        <f>VLOOKUP($C109,ТабАдрес[[#All],[Клиент]:[gps]],MATCH(E$1,ТабКлиенты[#Headers],0)-4,0)</f>
        <v>#N/A</v>
      </c>
      <c r="F109" t="e">
        <f>VLOOKUP($C109,ТабАдрес[[#All],[Клиент]:[gps]],MATCH(F$1,ТабКлиенты[#Headers],0)-4,0)</f>
        <v>#N/A</v>
      </c>
      <c r="H109" s="181">
        <v>1552</v>
      </c>
      <c r="I109" s="52">
        <v>150</v>
      </c>
      <c r="K109" t="e">
        <f t="shared" si="3"/>
        <v>#N/A</v>
      </c>
    </row>
    <row r="110" spans="1:11" hidden="1" x14ac:dyDescent="0.25">
      <c r="A110">
        <v>4</v>
      </c>
      <c r="B110" s="179">
        <v>45472</v>
      </c>
      <c r="C110" t="s">
        <v>4267</v>
      </c>
      <c r="D110" t="e">
        <f>VLOOKUP($C110,ТабКлиенты[[#All],[name]:[phone]],MATCH(D$1,ТабКлиенты[#Headers],0)-1,0)</f>
        <v>#N/A</v>
      </c>
      <c r="E110" t="e">
        <f>VLOOKUP($C110,ТабАдрес[[#All],[Клиент]:[gps]],MATCH(E$1,ТабКлиенты[#Headers],0)-4,0)</f>
        <v>#N/A</v>
      </c>
      <c r="F110" t="e">
        <f>VLOOKUP($C110,ТабАдрес[[#All],[Клиент]:[gps]],MATCH(F$1,ТабКлиенты[#Headers],0)-4,0)</f>
        <v>#N/A</v>
      </c>
      <c r="H110" s="181">
        <v>0</v>
      </c>
      <c r="I110" s="52">
        <v>146</v>
      </c>
      <c r="K110" t="e">
        <f t="shared" si="3"/>
        <v>#N/A</v>
      </c>
    </row>
    <row r="111" spans="1:11" hidden="1" x14ac:dyDescent="0.25">
      <c r="A111">
        <v>6</v>
      </c>
      <c r="B111" s="179">
        <v>45472</v>
      </c>
      <c r="C111" t="s">
        <v>3136</v>
      </c>
      <c r="D111" t="e">
        <f>VLOOKUP($C111,ТабКлиенты[[#All],[name]:[phone]],MATCH(D$1,ТабКлиенты[#Headers],0)-1,0)</f>
        <v>#N/A</v>
      </c>
      <c r="E111" t="e">
        <f>VLOOKUP($C111,ТабАдрес[[#All],[Клиент]:[gps]],MATCH(E$1,ТабКлиенты[#Headers],0)-4,0)</f>
        <v>#N/A</v>
      </c>
      <c r="F111" t="e">
        <f>VLOOKUP($C111,ТабАдрес[[#All],[Клиент]:[gps]],MATCH(F$1,ТабКлиенты[#Headers],0)-4,0)</f>
        <v>#N/A</v>
      </c>
      <c r="H111" s="181">
        <v>1306</v>
      </c>
      <c r="I111" s="52">
        <v>138</v>
      </c>
      <c r="K111" t="e">
        <f t="shared" si="3"/>
        <v>#N/A</v>
      </c>
    </row>
    <row r="112" spans="1:11" hidden="1" x14ac:dyDescent="0.25">
      <c r="A112">
        <v>7</v>
      </c>
      <c r="B112" s="179">
        <v>45472</v>
      </c>
      <c r="C112" t="s">
        <v>3226</v>
      </c>
      <c r="D112" t="str">
        <f>VLOOKUP($C112,ТабКлиенты[[#All],[name]:[phone]],MATCH(D$1,ТабКлиенты[#Headers],0)-1,0)</f>
        <v>+79497169864</v>
      </c>
      <c r="E112" t="str">
        <f>VLOOKUP($C112,ТабАдрес[[#All],[Клиент]:[gps]],MATCH(E$1,ТабКлиенты[#Headers],0)-4,0)</f>
        <v>Строителей, 102</v>
      </c>
      <c r="F112" t="str">
        <f>VLOOKUP($C112,ТабАдрес[[#All],[Клиент]:[gps]],MATCH(F$1,ТабКлиенты[#Headers],0)-4,0)</f>
        <v>47.100776, 37.522477</v>
      </c>
      <c r="H112" s="181"/>
      <c r="I112" s="52" t="s">
        <v>5</v>
      </c>
      <c r="K112" t="str">
        <f t="shared" si="3"/>
        <v>7. Надежда Витамины
Тел.: +79497169864
Адрес: Строителей, 102
№ заказа: Витамины
https://yandex.ru/maps/?text=47.100776%2C37.522477
https://maps.google.com/?daddr=47.100776%2C37.522477
К оплате: **
**----------------------------------------------------------</v>
      </c>
    </row>
    <row r="113" spans="1:11" hidden="1" x14ac:dyDescent="0.25">
      <c r="A113">
        <v>1</v>
      </c>
      <c r="B113" s="179">
        <v>45479</v>
      </c>
      <c r="C113" t="s">
        <v>3169</v>
      </c>
      <c r="D113" t="str">
        <f>VLOOKUP($C113,ТабКлиенты[[#All],[name]:[phone]],MATCH(D$1,ТабКлиенты[#Headers],0)-1,0)</f>
        <v>+79496019237</v>
      </c>
      <c r="E113" t="str">
        <f>VLOOKUP($C113,ТабАдрес[[#All],[Клиент]:[gps]],MATCH(E$1,ТабКлиенты[#Headers],0)-4,0)</f>
        <v>Металлургов 92</v>
      </c>
      <c r="F113" t="str">
        <f>VLOOKUP($C113,ТабАдрес[[#All],[Клиент]:[gps]],MATCH(F$1,ТабКлиенты[#Headers],0)-4,0)</f>
        <v>47.1053, 37.5483</v>
      </c>
      <c r="H113" s="181">
        <v>0</v>
      </c>
      <c r="I113" s="52" t="s">
        <v>5</v>
      </c>
      <c r="J113" s="52">
        <v>1</v>
      </c>
      <c r="K113" t="str">
        <f t="shared" ref="K113:K176" si="4">A113&amp;". "&amp;C113&amp;CHAR(10)&amp;"Тел.: "&amp;D113&amp;CHAR(10)&amp;"Адрес: "&amp;E113&amp;CHAR(10)&amp;"№ заказа: "&amp;I113&amp;CHAR(10)&amp;"Кол-во мест: "&amp;J113&amp;CHAR(10)&amp;"https://yandex.ru/maps/?text="&amp;REPLACE(F113,SEARCH(",",F113),2,"%2C")&amp;CHAR(10)&amp;"https://maps.google.com/?daddr="&amp;REPLACE(F113,SEARCH(",",F113),2,"%2C")&amp;CHAR(10)&amp;"К оплате: "&amp;"**"&amp;H113&amp;CHAR(10)&amp;"**"&amp;"----------------------------------------------------------"</f>
        <v>1. Людмила Эдельвейс
Тел.: +79496019237
Адрес: Металлургов 92
№ заказа: Витамины
Кол-во мест: 1
https://yandex.ru/maps/?text=47.1053%2C37.5483
https://maps.google.com/?daddr=47.1053%2C37.5483
К оплате: **0
**----------------------------------------------------------</v>
      </c>
    </row>
    <row r="114" spans="1:11" hidden="1" x14ac:dyDescent="0.25">
      <c r="A114">
        <v>2</v>
      </c>
      <c r="B114" s="179">
        <v>45479</v>
      </c>
      <c r="C114" t="s">
        <v>3168</v>
      </c>
      <c r="D114" t="e">
        <f>VLOOKUP($C114,ТабКлиенты[[#All],[name]:[phone]],MATCH(D$1,ТабКлиенты[#Headers],0)-1,0)</f>
        <v>#N/A</v>
      </c>
      <c r="E114" t="e">
        <f>VLOOKUP($C114,ТабАдрес[[#All],[Клиент]:[gps]],MATCH(E$1,ТабКлиенты[#Headers],0)-4,0)</f>
        <v>#N/A</v>
      </c>
      <c r="F114" t="e">
        <f>VLOOKUP($C114,ТабАдрес[[#All],[Клиент]:[gps]],MATCH(F$1,ТабКлиенты[#Headers],0)-4,0)</f>
        <v>#N/A</v>
      </c>
      <c r="H114" s="181">
        <v>0</v>
      </c>
      <c r="I114" s="52">
        <v>158</v>
      </c>
      <c r="J114" s="52">
        <v>2</v>
      </c>
      <c r="K114" t="e">
        <f t="shared" si="4"/>
        <v>#N/A</v>
      </c>
    </row>
    <row r="115" spans="1:11" hidden="1" x14ac:dyDescent="0.25">
      <c r="A115">
        <v>3</v>
      </c>
      <c r="B115" s="179">
        <v>45479</v>
      </c>
      <c r="C115" t="s">
        <v>3149</v>
      </c>
      <c r="D115" t="e">
        <f>VLOOKUP($C115,ТабКлиенты[[#All],[name]:[phone]],MATCH(D$1,ТабКлиенты[#Headers],0)-1,0)</f>
        <v>#N/A</v>
      </c>
      <c r="E115" t="e">
        <f>VLOOKUP($C115,ТабАдрес[[#All],[Клиент]:[gps]],MATCH(E$1,ТабКлиенты[#Headers],0)-4,0)</f>
        <v>#N/A</v>
      </c>
      <c r="F115" t="e">
        <f>VLOOKUP($C115,ТабАдрес[[#All],[Клиент]:[gps]],MATCH(F$1,ТабКлиенты[#Headers],0)-4,0)</f>
        <v>#N/A</v>
      </c>
      <c r="H115" s="181">
        <v>0</v>
      </c>
      <c r="I115" s="52" t="s">
        <v>4268</v>
      </c>
      <c r="J115" s="52">
        <v>1</v>
      </c>
      <c r="K115" t="e">
        <f t="shared" si="4"/>
        <v>#N/A</v>
      </c>
    </row>
    <row r="116" spans="1:11" hidden="1" x14ac:dyDescent="0.25">
      <c r="A116">
        <v>4</v>
      </c>
      <c r="B116" s="179">
        <v>45479</v>
      </c>
      <c r="C116" t="s">
        <v>3131</v>
      </c>
      <c r="D116" t="e">
        <f>VLOOKUP($C116,ТабКлиенты[[#All],[name]:[phone]],MATCH(D$1,ТабКлиенты[#Headers],0)-1,0)</f>
        <v>#N/A</v>
      </c>
      <c r="E116" t="e">
        <f>VLOOKUP($C116,ТабАдрес[[#All],[Клиент]:[gps]],MATCH(E$1,ТабКлиенты[#Headers],0)-4,0)</f>
        <v>#N/A</v>
      </c>
      <c r="F116" t="e">
        <f>VLOOKUP($C116,ТабАдрес[[#All],[Клиент]:[gps]],MATCH(F$1,ТабКлиенты[#Headers],0)-4,0)</f>
        <v>#N/A</v>
      </c>
      <c r="H116" s="181">
        <v>396</v>
      </c>
      <c r="I116" s="52">
        <v>154</v>
      </c>
      <c r="J116" s="52">
        <v>1</v>
      </c>
      <c r="K116" t="e">
        <f t="shared" si="4"/>
        <v>#N/A</v>
      </c>
    </row>
    <row r="117" spans="1:11" hidden="1" x14ac:dyDescent="0.25">
      <c r="A117">
        <v>5</v>
      </c>
      <c r="B117" s="179">
        <v>45479</v>
      </c>
      <c r="C117" t="s">
        <v>3210</v>
      </c>
      <c r="D117" t="e">
        <f>VLOOKUP($C117,ТабКлиенты[[#All],[name]:[phone]],MATCH(D$1,ТабКлиенты[#Headers],0)-1,0)</f>
        <v>#N/A</v>
      </c>
      <c r="E117" t="e">
        <f>VLOOKUP($C117,ТабАдрес[[#All],[Клиент]:[gps]],MATCH(E$1,ТабКлиенты[#Headers],0)-4,0)</f>
        <v>#N/A</v>
      </c>
      <c r="F117" t="e">
        <f>VLOOKUP($C117,ТабАдрес[[#All],[Клиент]:[gps]],MATCH(F$1,ТабКлиенты[#Headers],0)-4,0)</f>
        <v>#N/A</v>
      </c>
      <c r="H117" s="181">
        <v>0</v>
      </c>
      <c r="I117" s="52" t="s">
        <v>4269</v>
      </c>
      <c r="J117" s="52">
        <v>2</v>
      </c>
      <c r="K117" t="e">
        <f t="shared" si="4"/>
        <v>#N/A</v>
      </c>
    </row>
    <row r="118" spans="1:11" hidden="1" x14ac:dyDescent="0.25">
      <c r="A118">
        <v>6</v>
      </c>
      <c r="B118" s="179">
        <v>45479</v>
      </c>
      <c r="C118" t="s">
        <v>3224</v>
      </c>
      <c r="D118" t="e">
        <f>VLOOKUP($C118,ТабКлиенты[[#All],[name]:[phone]],MATCH(D$1,ТабКлиенты[#Headers],0)-1,0)</f>
        <v>#N/A</v>
      </c>
      <c r="E118" t="e">
        <f>VLOOKUP($C118,ТабАдрес[[#All],[Клиент]:[gps]],MATCH(E$1,ТабКлиенты[#Headers],0)-4,0)</f>
        <v>#N/A</v>
      </c>
      <c r="F118" t="e">
        <f>VLOOKUP($C118,ТабАдрес[[#All],[Клиент]:[gps]],MATCH(F$1,ТабКлиенты[#Headers],0)-4,0)</f>
        <v>#N/A</v>
      </c>
      <c r="H118" s="181">
        <v>0</v>
      </c>
      <c r="I118" s="52">
        <v>148</v>
      </c>
      <c r="J118" s="52">
        <v>1</v>
      </c>
      <c r="K118" t="e">
        <f t="shared" si="4"/>
        <v>#N/A</v>
      </c>
    </row>
    <row r="119" spans="1:11" hidden="1" x14ac:dyDescent="0.25">
      <c r="A119">
        <v>7</v>
      </c>
      <c r="B119" s="179">
        <v>45479</v>
      </c>
      <c r="C119" t="s">
        <v>3202</v>
      </c>
      <c r="D119" t="e">
        <f>VLOOKUP($C119,ТабКлиенты[[#All],[name]:[phone]],MATCH(D$1,ТабКлиенты[#Headers],0)-1,0)</f>
        <v>#N/A</v>
      </c>
      <c r="E119" t="e">
        <f>VLOOKUP($C119,ТабАдрес[[#All],[Клиент]:[gps]],MATCH(E$1,ТабКлиенты[#Headers],0)-4,0)</f>
        <v>#N/A</v>
      </c>
      <c r="F119" t="e">
        <f>VLOOKUP($C119,ТабАдрес[[#All],[Клиент]:[gps]],MATCH(F$1,ТабКлиенты[#Headers],0)-4,0)</f>
        <v>#N/A</v>
      </c>
      <c r="H119" s="181">
        <v>18200</v>
      </c>
      <c r="I119" s="52" t="s">
        <v>5</v>
      </c>
      <c r="K119" t="e">
        <f t="shared" si="4"/>
        <v>#N/A</v>
      </c>
    </row>
    <row r="120" spans="1:11" hidden="1" x14ac:dyDescent="0.25">
      <c r="A120">
        <v>8</v>
      </c>
      <c r="B120" s="179">
        <v>45479</v>
      </c>
      <c r="C120" t="s">
        <v>3167</v>
      </c>
      <c r="D120" t="e">
        <f>VLOOKUP($C120,ТабКлиенты[[#All],[name]:[phone]],MATCH(D$1,ТабКлиенты[#Headers],0)-1,0)</f>
        <v>#N/A</v>
      </c>
      <c r="E120" t="e">
        <f>VLOOKUP($C120,ТабАдрес[[#All],[Клиент]:[gps]],MATCH(E$1,ТабКлиенты[#Headers],0)-4,0)</f>
        <v>#N/A</v>
      </c>
      <c r="F120" t="e">
        <f>VLOOKUP($C120,ТабАдрес[[#All],[Клиент]:[gps]],MATCH(F$1,ТабКлиенты[#Headers],0)-4,0)</f>
        <v>#N/A</v>
      </c>
      <c r="H120" s="181">
        <v>0</v>
      </c>
      <c r="I120" s="52" t="s">
        <v>4270</v>
      </c>
      <c r="J120" s="52">
        <v>4</v>
      </c>
      <c r="K120" t="e">
        <f t="shared" si="4"/>
        <v>#N/A</v>
      </c>
    </row>
    <row r="121" spans="1:11" hidden="1" x14ac:dyDescent="0.25">
      <c r="A121">
        <v>9</v>
      </c>
      <c r="B121" s="179">
        <v>45479</v>
      </c>
      <c r="C121" t="s">
        <v>3145</v>
      </c>
      <c r="D121" t="e">
        <f>VLOOKUP($C121,ТабКлиенты[[#All],[name]:[phone]],MATCH(D$1,ТабКлиенты[#Headers],0)-1,0)</f>
        <v>#N/A</v>
      </c>
      <c r="E121" t="e">
        <f>VLOOKUP($C121,ТабАдрес[[#All],[Клиент]:[gps]],MATCH(E$1,ТабКлиенты[#Headers],0)-4,0)</f>
        <v>#N/A</v>
      </c>
      <c r="F121" t="e">
        <f>VLOOKUP($C121,ТабАдрес[[#All],[Клиент]:[gps]],MATCH(F$1,ТабКлиенты[#Headers],0)-4,0)</f>
        <v>#N/A</v>
      </c>
      <c r="H121" s="181">
        <v>692</v>
      </c>
      <c r="I121" s="52">
        <v>153</v>
      </c>
      <c r="J121" s="52">
        <v>1</v>
      </c>
      <c r="K121" t="e">
        <f t="shared" si="4"/>
        <v>#N/A</v>
      </c>
    </row>
    <row r="122" spans="1:11" hidden="1" x14ac:dyDescent="0.25">
      <c r="A122">
        <v>10</v>
      </c>
      <c r="B122" s="179">
        <v>45479</v>
      </c>
      <c r="C122" t="s">
        <v>3139</v>
      </c>
      <c r="D122" t="str">
        <f>VLOOKUP($C122,ТабКлиенты[[#All],[name]:[phone]],MATCH(D$1,ТабКлиенты[#Headers],0)-1,0)</f>
        <v>+79497243297</v>
      </c>
      <c r="E122" t="str">
        <f>VLOOKUP($C122,ТабАдрес[[#All],[Клиент]:[gps]],MATCH(E$1,ТабКлиенты[#Headers],0)-4,0)</f>
        <v>Шевченко, 309</v>
      </c>
      <c r="F122">
        <f>VLOOKUP($C122,ТабАдрес[[#All],[Клиент]:[gps]],MATCH(F$1,ТабКлиенты[#Headers],0)-4,0)</f>
        <v>0</v>
      </c>
      <c r="H122" s="181">
        <v>2238</v>
      </c>
      <c r="I122" s="52">
        <v>157</v>
      </c>
      <c r="J122" s="52">
        <v>1</v>
      </c>
      <c r="K122" t="e">
        <f t="shared" si="4"/>
        <v>#VALUE!</v>
      </c>
    </row>
    <row r="123" spans="1:11" hidden="1" x14ac:dyDescent="0.25">
      <c r="A123">
        <v>1</v>
      </c>
      <c r="B123" s="179">
        <v>45486</v>
      </c>
      <c r="C123" t="s">
        <v>3168</v>
      </c>
      <c r="D123" t="e">
        <f>VLOOKUP($C123,ТабКлиенты[[#All],[name]:[phone]],MATCH(D$1,ТабКлиенты[#Headers],0)-1,0)</f>
        <v>#N/A</v>
      </c>
      <c r="E123" t="e">
        <f>VLOOKUP($C123,ТабАдрес[[#All],[Клиент]:[gps]],MATCH(E$1,ТабКлиенты[#Headers],0)-4,0)</f>
        <v>#N/A</v>
      </c>
      <c r="F123" t="e">
        <f>VLOOKUP($C123,ТабАдрес[[#All],[Клиент]:[gps]],MATCH(F$1,ТабКлиенты[#Headers],0)-4,0)</f>
        <v>#N/A</v>
      </c>
      <c r="H123" s="181">
        <v>1837</v>
      </c>
      <c r="I123" s="52" t="s">
        <v>4271</v>
      </c>
      <c r="J123" s="52">
        <v>1</v>
      </c>
      <c r="K123" t="e">
        <f t="shared" si="4"/>
        <v>#N/A</v>
      </c>
    </row>
    <row r="124" spans="1:11" hidden="1" x14ac:dyDescent="0.25">
      <c r="A124">
        <v>2</v>
      </c>
      <c r="B124" s="179">
        <v>45486</v>
      </c>
      <c r="C124" t="s">
        <v>3149</v>
      </c>
      <c r="D124" t="e">
        <f>VLOOKUP($C124,ТабКлиенты[[#All],[name]:[phone]],MATCH(D$1,ТабКлиенты[#Headers],0)-1,0)</f>
        <v>#N/A</v>
      </c>
      <c r="E124" t="e">
        <f>VLOOKUP($C124,ТабАдрес[[#All],[Клиент]:[gps]],MATCH(E$1,ТабКлиенты[#Headers],0)-4,0)</f>
        <v>#N/A</v>
      </c>
      <c r="F124" t="e">
        <f>VLOOKUP($C124,ТабАдрес[[#All],[Клиент]:[gps]],MATCH(F$1,ТабКлиенты[#Headers],0)-4,0)</f>
        <v>#N/A</v>
      </c>
      <c r="H124" s="181">
        <v>2075</v>
      </c>
      <c r="I124" s="52" t="s">
        <v>4272</v>
      </c>
      <c r="J124" s="52">
        <v>1</v>
      </c>
      <c r="K124" t="e">
        <f t="shared" si="4"/>
        <v>#N/A</v>
      </c>
    </row>
    <row r="125" spans="1:11" hidden="1" x14ac:dyDescent="0.25">
      <c r="A125">
        <v>3</v>
      </c>
      <c r="B125" s="179">
        <v>45486</v>
      </c>
      <c r="C125" t="s">
        <v>3210</v>
      </c>
      <c r="D125" t="e">
        <f>VLOOKUP($C125,ТабКлиенты[[#All],[name]:[phone]],MATCH(D$1,ТабКлиенты[#Headers],0)-1,0)</f>
        <v>#N/A</v>
      </c>
      <c r="E125" t="e">
        <f>VLOOKUP($C125,ТабАдрес[[#All],[Клиент]:[gps]],MATCH(E$1,ТабКлиенты[#Headers],0)-4,0)</f>
        <v>#N/A</v>
      </c>
      <c r="F125" t="e">
        <f>VLOOKUP($C125,ТабАдрес[[#All],[Клиент]:[gps]],MATCH(F$1,ТабКлиенты[#Headers],0)-4,0)</f>
        <v>#N/A</v>
      </c>
      <c r="H125" s="181">
        <v>0</v>
      </c>
      <c r="I125" s="52">
        <v>162</v>
      </c>
      <c r="J125" s="52">
        <v>1</v>
      </c>
      <c r="K125" t="e">
        <f t="shared" si="4"/>
        <v>#N/A</v>
      </c>
    </row>
    <row r="126" spans="1:11" hidden="1" x14ac:dyDescent="0.25">
      <c r="A126">
        <v>4</v>
      </c>
      <c r="B126" s="179">
        <v>45486</v>
      </c>
      <c r="C126" t="s">
        <v>3131</v>
      </c>
      <c r="D126" t="e">
        <f>VLOOKUP($C126,ТабКлиенты[[#All],[name]:[phone]],MATCH(D$1,ТабКлиенты[#Headers],0)-1,0)</f>
        <v>#N/A</v>
      </c>
      <c r="E126" t="e">
        <f>VLOOKUP($C126,ТабАдрес[[#All],[Клиент]:[gps]],MATCH(E$1,ТабКлиенты[#Headers],0)-4,0)</f>
        <v>#N/A</v>
      </c>
      <c r="F126" t="e">
        <f>VLOOKUP($C126,ТабАдрес[[#All],[Клиент]:[gps]],MATCH(F$1,ТабКлиенты[#Headers],0)-4,0)</f>
        <v>#N/A</v>
      </c>
      <c r="H126" s="181">
        <v>1250</v>
      </c>
      <c r="I126" s="52">
        <v>171</v>
      </c>
      <c r="J126" s="52">
        <v>1</v>
      </c>
      <c r="K126" t="e">
        <f t="shared" si="4"/>
        <v>#N/A</v>
      </c>
    </row>
    <row r="127" spans="1:11" hidden="1" x14ac:dyDescent="0.25">
      <c r="A127">
        <v>5</v>
      </c>
      <c r="B127" s="179">
        <v>45486</v>
      </c>
      <c r="C127" t="s">
        <v>3230</v>
      </c>
      <c r="D127" t="e">
        <f>VLOOKUP($C127,ТабКлиенты[[#All],[name]:[phone]],MATCH(D$1,ТабКлиенты[#Headers],0)-1,0)</f>
        <v>#N/A</v>
      </c>
      <c r="E127" t="e">
        <f>VLOOKUP($C127,ТабАдрес[[#All],[Клиент]:[gps]],MATCH(E$1,ТабКлиенты[#Headers],0)-4,0)</f>
        <v>#N/A</v>
      </c>
      <c r="F127" t="e">
        <f>VLOOKUP($C127,ТабАдрес[[#All],[Клиент]:[gps]],MATCH(F$1,ТабКлиенты[#Headers],0)-4,0)</f>
        <v>#N/A</v>
      </c>
      <c r="H127" s="181">
        <v>0</v>
      </c>
      <c r="I127" s="52">
        <v>174</v>
      </c>
      <c r="J127" s="52">
        <v>1</v>
      </c>
      <c r="K127" t="e">
        <f t="shared" si="4"/>
        <v>#N/A</v>
      </c>
    </row>
    <row r="128" spans="1:11" hidden="1" x14ac:dyDescent="0.25">
      <c r="A128">
        <v>7</v>
      </c>
      <c r="B128" s="179">
        <v>45486</v>
      </c>
      <c r="C128" t="s">
        <v>3125</v>
      </c>
      <c r="D128" t="e">
        <f>VLOOKUP($C128,ТабКлиенты[[#All],[name]:[phone]],MATCH(D$1,ТабКлиенты[#Headers],0)-1,0)</f>
        <v>#N/A</v>
      </c>
      <c r="E128" t="e">
        <f>VLOOKUP($C128,ТабАдрес[[#All],[Клиент]:[gps]],MATCH(E$1,ТабКлиенты[#Headers],0)-4,0)</f>
        <v>#N/A</v>
      </c>
      <c r="F128" t="e">
        <f>VLOOKUP($C128,ТабАдрес[[#All],[Клиент]:[gps]],MATCH(F$1,ТабКлиенты[#Headers],0)-4,0)</f>
        <v>#N/A</v>
      </c>
      <c r="H128" s="181">
        <v>2107</v>
      </c>
      <c r="I128" s="52">
        <v>163</v>
      </c>
      <c r="J128" s="52">
        <v>1</v>
      </c>
      <c r="K128" t="e">
        <f t="shared" si="4"/>
        <v>#N/A</v>
      </c>
    </row>
    <row r="129" spans="1:11" hidden="1" x14ac:dyDescent="0.25">
      <c r="A129">
        <v>8</v>
      </c>
      <c r="B129" s="179">
        <v>45486</v>
      </c>
      <c r="C129" t="s">
        <v>3226</v>
      </c>
      <c r="D129" t="str">
        <f>VLOOKUP($C129,ТабКлиенты[[#All],[name]:[phone]],MATCH(D$1,ТабКлиенты[#Headers],0)-1,0)</f>
        <v>+79497169864</v>
      </c>
      <c r="E129" t="str">
        <f>VLOOKUP($C129,ТабАдрес[[#All],[Клиент]:[gps]],MATCH(E$1,ТабКлиенты[#Headers],0)-4,0)</f>
        <v>Строителей, 102</v>
      </c>
      <c r="F129" t="str">
        <f>VLOOKUP($C129,ТабАдрес[[#All],[Клиент]:[gps]],MATCH(F$1,ТабКлиенты[#Headers],0)-4,0)</f>
        <v>47.100776, 37.522477</v>
      </c>
      <c r="H129" s="181">
        <v>4130</v>
      </c>
      <c r="I129" s="52" t="s">
        <v>5</v>
      </c>
      <c r="J129" s="52">
        <v>1</v>
      </c>
      <c r="K129" t="str">
        <f t="shared" si="4"/>
        <v>8. Надежда Витамины
Тел.: +79497169864
Адрес: Строителей, 102
№ заказа: Витамины
Кол-во мест: 1
https://yandex.ru/maps/?text=47.100776%2C37.522477
https://maps.google.com/?daddr=47.100776%2C37.522477
К оплате: **4130
**----------------------------------------------------------</v>
      </c>
    </row>
    <row r="130" spans="1:11" hidden="1" x14ac:dyDescent="0.25">
      <c r="A130">
        <v>9</v>
      </c>
      <c r="B130" s="179">
        <v>45486</v>
      </c>
      <c r="C130" t="s">
        <v>3130</v>
      </c>
      <c r="D130" t="e">
        <f>VLOOKUP($C130,ТабКлиенты[[#All],[name]:[phone]],MATCH(D$1,ТабКлиенты[#Headers],0)-1,0)</f>
        <v>#N/A</v>
      </c>
      <c r="E130" t="e">
        <f>VLOOKUP($C130,ТабАдрес[[#All],[Клиент]:[gps]],MATCH(E$1,ТабКлиенты[#Headers],0)-4,0)</f>
        <v>#N/A</v>
      </c>
      <c r="F130" t="e">
        <f>VLOOKUP($C130,ТабАдрес[[#All],[Клиент]:[gps]],MATCH(F$1,ТабКлиенты[#Headers],0)-4,0)</f>
        <v>#N/A</v>
      </c>
      <c r="H130" s="181">
        <v>0</v>
      </c>
      <c r="I130" s="52">
        <v>156</v>
      </c>
      <c r="J130" s="52">
        <v>1</v>
      </c>
      <c r="K130" t="e">
        <f t="shared" si="4"/>
        <v>#N/A</v>
      </c>
    </row>
    <row r="131" spans="1:11" hidden="1" x14ac:dyDescent="0.25">
      <c r="A131">
        <v>10</v>
      </c>
      <c r="B131" s="179">
        <v>45486</v>
      </c>
      <c r="C131" t="s">
        <v>3231</v>
      </c>
      <c r="D131" t="str">
        <f>VLOOKUP($C131,ТабКлиенты[[#All],[name]:[phone]],MATCH(D$1,ТабКлиенты[#Headers],0)-1,0)</f>
        <v>+79497336840</v>
      </c>
      <c r="E131" t="str">
        <f>VLOOKUP($C131,ТабАдрес[[#All],[Клиент]:[gps]],MATCH(E$1,ТабКлиенты[#Headers],0)-4,0)</f>
        <v>Бригантина 152</v>
      </c>
      <c r="F131" t="str">
        <f>VLOOKUP($C131,ТабАдрес[[#All],[Клиент]:[gps]],MATCH(F$1,ТабКлиенты[#Headers],0)-4,0)</f>
        <v>47.0779, 37.4879</v>
      </c>
      <c r="H131" s="181">
        <v>0</v>
      </c>
      <c r="I131" s="52" t="s">
        <v>5</v>
      </c>
      <c r="J131" s="52">
        <v>1</v>
      </c>
      <c r="K131" t="str">
        <f t="shared" si="4"/>
        <v>10. Татьяна Бригантина
Тел.: +79497336840
Адрес: Бригантина 152
№ заказа: Витамины
Кол-во мест: 1
https://yandex.ru/maps/?text=47.0779%2C37.4879
https://maps.google.com/?daddr=47.0779%2C37.4879
К оплате: **0
**----------------------------------------------------------</v>
      </c>
    </row>
    <row r="132" spans="1:11" hidden="1" x14ac:dyDescent="0.25">
      <c r="A132">
        <v>11</v>
      </c>
      <c r="B132" s="179">
        <v>45486</v>
      </c>
      <c r="C132" t="s">
        <v>3145</v>
      </c>
      <c r="D132" t="e">
        <f>VLOOKUP($C132,ТабКлиенты[[#All],[name]:[phone]],MATCH(D$1,ТабКлиенты[#Headers],0)-1,0)</f>
        <v>#N/A</v>
      </c>
      <c r="E132" t="e">
        <f>VLOOKUP($C132,ТабАдрес[[#All],[Клиент]:[gps]],MATCH(E$1,ТабКлиенты[#Headers],0)-4,0)</f>
        <v>#N/A</v>
      </c>
      <c r="F132" t="e">
        <f>VLOOKUP($C132,ТабАдрес[[#All],[Клиент]:[gps]],MATCH(F$1,ТабКлиенты[#Headers],0)-4,0)</f>
        <v>#N/A</v>
      </c>
      <c r="H132" s="181">
        <v>452</v>
      </c>
      <c r="I132" s="52">
        <v>167</v>
      </c>
      <c r="J132" s="52">
        <v>1</v>
      </c>
      <c r="K132" t="e">
        <f t="shared" si="4"/>
        <v>#N/A</v>
      </c>
    </row>
    <row r="133" spans="1:11" hidden="1" x14ac:dyDescent="0.25">
      <c r="A133">
        <v>1</v>
      </c>
      <c r="B133" s="179">
        <v>45493</v>
      </c>
      <c r="C133" t="s">
        <v>3167</v>
      </c>
      <c r="D133" t="e">
        <f>VLOOKUP($C133,ТабКлиенты[[#All],[name]:[phone]],MATCH(D$1,ТабКлиенты[#Headers],0)-1,0)</f>
        <v>#N/A</v>
      </c>
      <c r="E133" t="e">
        <f>VLOOKUP($C133,ТабАдрес[[#All],[Клиент]:[gps]],MATCH(E$1,ТабКлиенты[#Headers],0)-4,0)</f>
        <v>#N/A</v>
      </c>
      <c r="F133" t="e">
        <f>VLOOKUP($C133,ТабАдрес[[#All],[Клиент]:[gps]],MATCH(F$1,ТабКлиенты[#Headers],0)-4,0)</f>
        <v>#N/A</v>
      </c>
      <c r="H133" s="181">
        <v>10284</v>
      </c>
      <c r="I133" s="52" t="s">
        <v>4273</v>
      </c>
      <c r="J133" s="52">
        <v>1</v>
      </c>
      <c r="K133" t="e">
        <f t="shared" si="4"/>
        <v>#N/A</v>
      </c>
    </row>
    <row r="134" spans="1:11" hidden="1" x14ac:dyDescent="0.25">
      <c r="A134">
        <v>2</v>
      </c>
      <c r="B134" s="179">
        <v>45493</v>
      </c>
      <c r="C134" t="s">
        <v>3245</v>
      </c>
      <c r="D134" t="str">
        <f>VLOOKUP($C134,ТабКлиенты[[#All],[name]:[phone]],MATCH(D$1,ТабКлиенты[#Headers],0)-1,0)</f>
        <v>+79497089129</v>
      </c>
      <c r="E134" t="str">
        <f>VLOOKUP($C134,ТабАдрес[[#All],[Клиент]:[gps]],MATCH(E$1,ТабКлиенты[#Headers],0)-4,0)</f>
        <v>Энгельса 28А</v>
      </c>
      <c r="F134" t="str">
        <f>VLOOKUP($C134,ТабАдрес[[#All],[Клиент]:[gps]],MATCH(F$1,ТабКлиенты[#Headers],0)-4,0)</f>
        <v>47.0964, 37.5459</v>
      </c>
      <c r="H134" s="181">
        <v>3090</v>
      </c>
      <c r="I134" s="52" t="s">
        <v>5</v>
      </c>
      <c r="J134" s="52">
        <v>1</v>
      </c>
      <c r="K134" t="str">
        <f t="shared" si="4"/>
        <v>2. Лакарова Татьяна
Тел.: +79497089129
Адрес: Энгельса 28А
№ заказа: Витамины
Кол-во мест: 1
https://yandex.ru/maps/?text=47.0964%2C37.5459
https://maps.google.com/?daddr=47.0964%2C37.5459
К оплате: **3090
**----------------------------------------------------------</v>
      </c>
    </row>
    <row r="135" spans="1:11" hidden="1" x14ac:dyDescent="0.25">
      <c r="A135">
        <v>3</v>
      </c>
      <c r="B135" s="179">
        <v>45493</v>
      </c>
      <c r="C135" t="s">
        <v>3239</v>
      </c>
      <c r="D135" t="e">
        <f>VLOOKUP($C135,ТабКлиенты[[#All],[name]:[phone]],MATCH(D$1,ТабКлиенты[#Headers],0)-1,0)</f>
        <v>#N/A</v>
      </c>
      <c r="E135" t="e">
        <f>VLOOKUP($C135,ТабАдрес[[#All],[Клиент]:[gps]],MATCH(E$1,ТабКлиенты[#Headers],0)-4,0)</f>
        <v>#N/A</v>
      </c>
      <c r="F135" t="e">
        <f>VLOOKUP($C135,ТабАдрес[[#All],[Клиент]:[gps]],MATCH(F$1,ТабКлиенты[#Headers],0)-4,0)</f>
        <v>#N/A</v>
      </c>
      <c r="H135" s="181">
        <v>0</v>
      </c>
      <c r="I135" s="52">
        <v>176</v>
      </c>
      <c r="J135" s="52">
        <v>1</v>
      </c>
      <c r="K135" t="e">
        <f t="shared" si="4"/>
        <v>#N/A</v>
      </c>
    </row>
    <row r="136" spans="1:11" hidden="1" x14ac:dyDescent="0.25">
      <c r="A136">
        <v>4</v>
      </c>
      <c r="B136" s="179">
        <v>45493</v>
      </c>
      <c r="C136" t="s">
        <v>4274</v>
      </c>
      <c r="D136" t="e">
        <f>VLOOKUP($C136,ТабКлиенты[[#All],[name]:[phone]],MATCH(D$1,ТабКлиенты[#Headers],0)-1,0)</f>
        <v>#N/A</v>
      </c>
      <c r="E136" t="e">
        <f>VLOOKUP($C136,ТабАдрес[[#All],[Клиент]:[gps]],MATCH(E$1,ТабКлиенты[#Headers],0)-4,0)</f>
        <v>#N/A</v>
      </c>
      <c r="F136" t="e">
        <f>VLOOKUP($C136,ТабАдрес[[#All],[Клиент]:[gps]],MATCH(F$1,ТабКлиенты[#Headers],0)-4,0)</f>
        <v>#N/A</v>
      </c>
      <c r="H136" s="181">
        <v>4200</v>
      </c>
      <c r="I136" s="52" t="s">
        <v>5</v>
      </c>
      <c r="J136" s="52">
        <v>1</v>
      </c>
      <c r="K136" t="e">
        <f t="shared" si="4"/>
        <v>#N/A</v>
      </c>
    </row>
    <row r="137" spans="1:11" hidden="1" x14ac:dyDescent="0.25">
      <c r="A137">
        <v>5</v>
      </c>
      <c r="B137" s="179">
        <v>45493</v>
      </c>
      <c r="C137" t="s">
        <v>3226</v>
      </c>
      <c r="D137" t="str">
        <f>VLOOKUP($C137,ТабКлиенты[[#All],[name]:[phone]],MATCH(D$1,ТабКлиенты[#Headers],0)-1,0)</f>
        <v>+79497169864</v>
      </c>
      <c r="E137" t="str">
        <f>VLOOKUP($C137,ТабАдрес[[#All],[Клиент]:[gps]],MATCH(E$1,ТабКлиенты[#Headers],0)-4,0)</f>
        <v>Строителей, 102</v>
      </c>
      <c r="F137" t="str">
        <f>VLOOKUP($C137,ТабАдрес[[#All],[Клиент]:[gps]],MATCH(F$1,ТабКлиенты[#Headers],0)-4,0)</f>
        <v>47.100776, 37.522477</v>
      </c>
      <c r="H137" s="181">
        <v>5500</v>
      </c>
      <c r="I137" s="52" t="s">
        <v>5</v>
      </c>
      <c r="J137" s="52">
        <v>1</v>
      </c>
      <c r="K137" t="str">
        <f t="shared" si="4"/>
        <v>5. Надежда Витамины
Тел.: +79497169864
Адрес: Строителей, 102
№ заказа: Витамины
Кол-во мест: 1
https://yandex.ru/maps/?text=47.100776%2C37.522477
https://maps.google.com/?daddr=47.100776%2C37.522477
К оплате: **5500
**----------------------------------------------------------</v>
      </c>
    </row>
    <row r="138" spans="1:11" hidden="1" x14ac:dyDescent="0.25">
      <c r="A138">
        <v>6</v>
      </c>
      <c r="B138" s="179">
        <v>45493</v>
      </c>
      <c r="C138" t="s">
        <v>3241</v>
      </c>
      <c r="D138" t="str">
        <f>VLOOKUP($C138,ТабКлиенты[[#All],[name]:[phone]],MATCH(D$1,ТабКлиенты[#Headers],0)-1,0)</f>
        <v>+79497064345</v>
      </c>
      <c r="E138" t="str">
        <f>VLOOKUP($C138,ТабАдрес[[#All],[Клиент]:[gps]],MATCH(E$1,ТабКлиенты[#Headers],0)-4,0)</f>
        <v>Шевченко 270</v>
      </c>
      <c r="F138" t="str">
        <f>VLOOKUP($C138,ТабАдрес[[#All],[Клиент]:[gps]],MATCH(F$1,ТабКлиенты[#Headers],0)-4,0)</f>
        <v>47.1157, 37.5138</v>
      </c>
      <c r="H138" s="181">
        <v>1700</v>
      </c>
      <c r="I138" s="52" t="s">
        <v>5</v>
      </c>
      <c r="J138" s="52">
        <v>1</v>
      </c>
      <c r="K138" t="str">
        <f t="shared" si="4"/>
        <v>6. Татьяна Леонидовна
Тел.: +79497064345
Адрес: Шевченко 270
№ заказа: Витамины
Кол-во мест: 1
https://yandex.ru/maps/?text=47.1157%2C37.5138
https://maps.google.com/?daddr=47.1157%2C37.5138
К оплате: **1700
**----------------------------------------------------------</v>
      </c>
    </row>
    <row r="139" spans="1:11" hidden="1" x14ac:dyDescent="0.25">
      <c r="A139">
        <v>7</v>
      </c>
      <c r="B139" s="179">
        <v>45493</v>
      </c>
      <c r="C139" t="s">
        <v>3235</v>
      </c>
      <c r="D139" t="str">
        <f>VLOOKUP($C139,ТабКлиенты[[#All],[name]:[phone]],MATCH(D$1,ТабКлиенты[#Headers],0)-1,0)</f>
        <v>+79497386112</v>
      </c>
      <c r="E139" t="str">
        <f>VLOOKUP($C139,ТабАдрес[[#All],[Клиент]:[gps]],MATCH(E$1,ТабКлиенты[#Headers],0)-4,0)</f>
        <v>Шевченко 325</v>
      </c>
      <c r="F139" t="str">
        <f>VLOOKUP($C139,ТабАдрес[[#All],[Клиент]:[gps]],MATCH(F$1,ТабКлиенты[#Headers],0)-4,0)</f>
        <v>47.1193, 37.5172</v>
      </c>
      <c r="H139" s="181">
        <v>9900</v>
      </c>
      <c r="I139" s="52" t="s">
        <v>5</v>
      </c>
      <c r="J139" s="52">
        <v>1</v>
      </c>
      <c r="K139" t="str">
        <f t="shared" si="4"/>
        <v>7. Любовь Виталий
Тел.: +79497386112
Адрес: Шевченко 325
№ заказа: Витамины
Кол-во мест: 1
https://yandex.ru/maps/?text=47.1193%2C37.5172
https://maps.google.com/?daddr=47.1193%2C37.5172
К оплате: **9900
**----------------------------------------------------------</v>
      </c>
    </row>
    <row r="140" spans="1:11" hidden="1" x14ac:dyDescent="0.25">
      <c r="A140">
        <v>8</v>
      </c>
      <c r="B140" s="179">
        <v>45493</v>
      </c>
      <c r="C140" t="s">
        <v>3125</v>
      </c>
      <c r="D140" t="e">
        <f>VLOOKUP($C140,ТабКлиенты[[#All],[name]:[phone]],MATCH(D$1,ТабКлиенты[#Headers],0)-1,0)</f>
        <v>#N/A</v>
      </c>
      <c r="E140" t="e">
        <f>VLOOKUP($C140,ТабАдрес[[#All],[Клиент]:[gps]],MATCH(E$1,ТабКлиенты[#Headers],0)-4,0)</f>
        <v>#N/A</v>
      </c>
      <c r="F140" t="e">
        <f>VLOOKUP($C140,ТабАдрес[[#All],[Клиент]:[gps]],MATCH(F$1,ТабКлиенты[#Headers],0)-4,0)</f>
        <v>#N/A</v>
      </c>
      <c r="H140" s="181">
        <v>0</v>
      </c>
      <c r="I140" s="52">
        <v>163</v>
      </c>
      <c r="J140" s="52">
        <v>1</v>
      </c>
      <c r="K140" t="e">
        <f t="shared" si="4"/>
        <v>#N/A</v>
      </c>
    </row>
    <row r="141" spans="1:11" hidden="1" x14ac:dyDescent="0.25">
      <c r="A141">
        <v>9</v>
      </c>
      <c r="B141" s="179">
        <v>45493</v>
      </c>
      <c r="C141" t="s">
        <v>3149</v>
      </c>
      <c r="D141" t="e">
        <f>VLOOKUP($C141,ТабКлиенты[[#All],[name]:[phone]],MATCH(D$1,ТабКлиенты[#Headers],0)-1,0)</f>
        <v>#N/A</v>
      </c>
      <c r="E141" t="e">
        <f>VLOOKUP($C141,ТабАдрес[[#All],[Клиент]:[gps]],MATCH(E$1,ТабКлиенты[#Headers],0)-4,0)</f>
        <v>#N/A</v>
      </c>
      <c r="F141" t="e">
        <f>VLOOKUP($C141,ТабАдрес[[#All],[Клиент]:[gps]],MATCH(F$1,ТабКлиенты[#Headers],0)-4,0)</f>
        <v>#N/A</v>
      </c>
      <c r="H141" s="181">
        <v>1467</v>
      </c>
      <c r="I141" s="52" t="s">
        <v>4275</v>
      </c>
      <c r="J141" s="52">
        <v>1</v>
      </c>
      <c r="K141" t="e">
        <f t="shared" si="4"/>
        <v>#N/A</v>
      </c>
    </row>
    <row r="142" spans="1:11" hidden="1" x14ac:dyDescent="0.25">
      <c r="A142">
        <v>10</v>
      </c>
      <c r="B142" s="179">
        <v>45493</v>
      </c>
      <c r="C142" t="s">
        <v>3168</v>
      </c>
      <c r="D142" t="e">
        <f>VLOOKUP($C142,ТабКлиенты[[#All],[name]:[phone]],MATCH(D$1,ТабКлиенты[#Headers],0)-1,0)</f>
        <v>#N/A</v>
      </c>
      <c r="E142" t="e">
        <f>VLOOKUP($C142,ТабАдрес[[#All],[Клиент]:[gps]],MATCH(E$1,ТабКлиенты[#Headers],0)-4,0)</f>
        <v>#N/A</v>
      </c>
      <c r="F142" t="e">
        <f>VLOOKUP($C142,ТабАдрес[[#All],[Клиент]:[gps]],MATCH(F$1,ТабКлиенты[#Headers],0)-4,0)</f>
        <v>#N/A</v>
      </c>
      <c r="H142" s="181">
        <v>0</v>
      </c>
      <c r="I142" s="52" t="s">
        <v>4276</v>
      </c>
      <c r="J142" s="52">
        <v>2</v>
      </c>
      <c r="K142" t="e">
        <f t="shared" si="4"/>
        <v>#N/A</v>
      </c>
    </row>
    <row r="143" spans="1:11" hidden="1" x14ac:dyDescent="0.25">
      <c r="A143">
        <v>11</v>
      </c>
      <c r="B143" s="179">
        <v>45493</v>
      </c>
      <c r="C143" t="s">
        <v>3240</v>
      </c>
      <c r="D143" t="e">
        <f>VLOOKUP($C143,ТабКлиенты[[#All],[name]:[phone]],MATCH(D$1,ТабКлиенты[#Headers],0)-1,0)</f>
        <v>#N/A</v>
      </c>
      <c r="E143" t="e">
        <f>VLOOKUP($C143,ТабАдрес[[#All],[Клиент]:[gps]],MATCH(E$1,ТабКлиенты[#Headers],0)-4,0)</f>
        <v>#N/A</v>
      </c>
      <c r="F143" t="e">
        <f>VLOOKUP($C143,ТабАдрес[[#All],[Клиент]:[gps]],MATCH(F$1,ТабКлиенты[#Headers],0)-4,0)</f>
        <v>#N/A</v>
      </c>
      <c r="H143" s="181">
        <v>200</v>
      </c>
      <c r="I143" s="52">
        <v>180</v>
      </c>
      <c r="J143" s="52">
        <v>1</v>
      </c>
      <c r="K143" t="e">
        <f t="shared" si="4"/>
        <v>#N/A</v>
      </c>
    </row>
    <row r="144" spans="1:11" hidden="1" x14ac:dyDescent="0.25">
      <c r="A144">
        <v>12</v>
      </c>
      <c r="B144" s="179">
        <v>45493</v>
      </c>
      <c r="C144" t="s">
        <v>3210</v>
      </c>
      <c r="D144" t="e">
        <f>VLOOKUP($C144,ТабКлиенты[[#All],[name]:[phone]],MATCH(D$1,ТабКлиенты[#Headers],0)-1,0)</f>
        <v>#N/A</v>
      </c>
      <c r="E144" t="e">
        <f>VLOOKUP($C144,ТабАдрес[[#All],[Клиент]:[gps]],MATCH(E$1,ТабКлиенты[#Headers],0)-4,0)</f>
        <v>#N/A</v>
      </c>
      <c r="F144" t="e">
        <f>VLOOKUP($C144,ТабАдрес[[#All],[Клиент]:[gps]],MATCH(F$1,ТабКлиенты[#Headers],0)-4,0)</f>
        <v>#N/A</v>
      </c>
      <c r="H144" s="181">
        <v>0</v>
      </c>
      <c r="I144" s="52" t="s">
        <v>4277</v>
      </c>
      <c r="J144" s="52">
        <v>1</v>
      </c>
      <c r="K144" t="e">
        <f t="shared" si="4"/>
        <v>#N/A</v>
      </c>
    </row>
    <row r="145" spans="1:11" hidden="1" x14ac:dyDescent="0.25">
      <c r="A145">
        <v>1</v>
      </c>
      <c r="B145" s="179">
        <v>45500</v>
      </c>
      <c r="C145" t="s">
        <v>3167</v>
      </c>
      <c r="D145" t="e">
        <f>VLOOKUP($C145,ТабКлиенты[[#All],[name]:[phone]],MATCH(D$1,ТабКлиенты[#Headers],0)-1,0)</f>
        <v>#N/A</v>
      </c>
      <c r="E145" t="e">
        <f>VLOOKUP($C145,ТабАдрес[[#All],[Клиент]:[gps]],MATCH(E$1,ТабКлиенты[#Headers],0)-4,0)</f>
        <v>#N/A</v>
      </c>
      <c r="F145" t="e">
        <f>VLOOKUP($C145,ТабАдрес[[#All],[Клиент]:[gps]],MATCH(F$1,ТабКлиенты[#Headers],0)-4,0)</f>
        <v>#N/A</v>
      </c>
      <c r="H145" s="181">
        <v>0</v>
      </c>
      <c r="I145" s="52" t="s">
        <v>4278</v>
      </c>
      <c r="J145" s="52">
        <v>2</v>
      </c>
      <c r="K145" t="e">
        <f t="shared" si="4"/>
        <v>#N/A</v>
      </c>
    </row>
    <row r="146" spans="1:11" hidden="1" x14ac:dyDescent="0.25">
      <c r="A146">
        <v>2</v>
      </c>
      <c r="B146" s="179">
        <v>45500</v>
      </c>
      <c r="C146" t="s">
        <v>3210</v>
      </c>
      <c r="D146" t="e">
        <f>VLOOKUP($C146,ТабКлиенты[[#All],[name]:[phone]],MATCH(D$1,ТабКлиенты[#Headers],0)-1,0)</f>
        <v>#N/A</v>
      </c>
      <c r="E146" t="e">
        <f>VLOOKUP($C146,ТабАдрес[[#All],[Клиент]:[gps]],MATCH(E$1,ТабКлиенты[#Headers],0)-4,0)</f>
        <v>#N/A</v>
      </c>
      <c r="F146" t="e">
        <f>VLOOKUP($C146,ТабАдрес[[#All],[Клиент]:[gps]],MATCH(F$1,ТабКлиенты[#Headers],0)-4,0)</f>
        <v>#N/A</v>
      </c>
      <c r="H146" s="181">
        <v>0</v>
      </c>
      <c r="I146" s="52" t="s">
        <v>4279</v>
      </c>
      <c r="J146" s="52">
        <v>2</v>
      </c>
      <c r="K146" t="e">
        <f t="shared" si="4"/>
        <v>#N/A</v>
      </c>
    </row>
    <row r="147" spans="1:11" hidden="1" x14ac:dyDescent="0.25">
      <c r="A147">
        <v>3</v>
      </c>
      <c r="B147" s="179">
        <v>45500</v>
      </c>
      <c r="C147" t="s">
        <v>3126</v>
      </c>
      <c r="D147" t="e">
        <f>VLOOKUP($C147,ТабКлиенты[[#All],[name]:[phone]],MATCH(D$1,ТабКлиенты[#Headers],0)-1,0)</f>
        <v>#N/A</v>
      </c>
      <c r="E147" t="e">
        <f>VLOOKUP($C147,ТабАдрес[[#All],[Клиент]:[gps]],MATCH(E$1,ТабКлиенты[#Headers],0)-4,0)</f>
        <v>#N/A</v>
      </c>
      <c r="F147" t="e">
        <f>VLOOKUP($C147,ТабАдрес[[#All],[Клиент]:[gps]],MATCH(F$1,ТабКлиенты[#Headers],0)-4,0)</f>
        <v>#N/A</v>
      </c>
      <c r="H147" s="181">
        <v>5000</v>
      </c>
      <c r="I147" s="52">
        <v>186</v>
      </c>
      <c r="J147" s="52">
        <v>1</v>
      </c>
      <c r="K147" t="e">
        <f t="shared" si="4"/>
        <v>#N/A</v>
      </c>
    </row>
    <row r="148" spans="1:11" hidden="1" x14ac:dyDescent="0.25">
      <c r="A148">
        <v>4</v>
      </c>
      <c r="B148" s="179">
        <v>45500</v>
      </c>
      <c r="C148" t="s">
        <v>3149</v>
      </c>
      <c r="D148" t="e">
        <f>VLOOKUP($C148,ТабКлиенты[[#All],[name]:[phone]],MATCH(D$1,ТабКлиенты[#Headers],0)-1,0)</f>
        <v>#N/A</v>
      </c>
      <c r="E148" t="e">
        <f>VLOOKUP($C148,ТабАдрес[[#All],[Клиент]:[gps]],MATCH(E$1,ТабКлиенты[#Headers],0)-4,0)</f>
        <v>#N/A</v>
      </c>
      <c r="F148" t="e">
        <f>VLOOKUP($C148,ТабАдрес[[#All],[Клиент]:[gps]],MATCH(F$1,ТабКлиенты[#Headers],0)-4,0)</f>
        <v>#N/A</v>
      </c>
      <c r="H148" s="181">
        <v>175</v>
      </c>
      <c r="I148" s="52" t="s">
        <v>4280</v>
      </c>
      <c r="J148" s="52">
        <v>2</v>
      </c>
      <c r="K148" t="e">
        <f t="shared" si="4"/>
        <v>#N/A</v>
      </c>
    </row>
    <row r="149" spans="1:11" hidden="1" x14ac:dyDescent="0.25">
      <c r="A149">
        <v>5</v>
      </c>
      <c r="B149" s="179">
        <v>45500</v>
      </c>
      <c r="C149" t="s">
        <v>3168</v>
      </c>
      <c r="D149" t="e">
        <f>VLOOKUP($C149,ТабКлиенты[[#All],[name]:[phone]],MATCH(D$1,ТабКлиенты[#Headers],0)-1,0)</f>
        <v>#N/A</v>
      </c>
      <c r="E149" t="e">
        <f>VLOOKUP($C149,ТабАдрес[[#All],[Клиент]:[gps]],MATCH(E$1,ТабКлиенты[#Headers],0)-4,0)</f>
        <v>#N/A</v>
      </c>
      <c r="F149" t="e">
        <f>VLOOKUP($C149,ТабАдрес[[#All],[Клиент]:[gps]],MATCH(F$1,ТабКлиенты[#Headers],0)-4,0)</f>
        <v>#N/A</v>
      </c>
      <c r="H149" s="181">
        <v>0</v>
      </c>
      <c r="I149" s="52">
        <v>175</v>
      </c>
      <c r="J149" s="52">
        <v>1</v>
      </c>
      <c r="K149" t="e">
        <f t="shared" si="4"/>
        <v>#N/A</v>
      </c>
    </row>
    <row r="150" spans="1:11" hidden="1" x14ac:dyDescent="0.25">
      <c r="A150">
        <v>6</v>
      </c>
      <c r="B150" s="179">
        <v>45500</v>
      </c>
      <c r="C150" t="s">
        <v>3169</v>
      </c>
      <c r="D150" t="str">
        <f>VLOOKUP($C150,ТабКлиенты[[#All],[name]:[phone]],MATCH(D$1,ТабКлиенты[#Headers],0)-1,0)</f>
        <v>+79496019237</v>
      </c>
      <c r="E150" t="str">
        <f>VLOOKUP($C150,ТабАдрес[[#All],[Клиент]:[gps]],MATCH(E$1,ТабКлиенты[#Headers],0)-4,0)</f>
        <v>Металлургов 92</v>
      </c>
      <c r="F150" t="str">
        <f>VLOOKUP($C150,ТабАдрес[[#All],[Клиент]:[gps]],MATCH(F$1,ТабКлиенты[#Headers],0)-4,0)</f>
        <v>47.1053, 37.5483</v>
      </c>
      <c r="H150" s="181">
        <v>0</v>
      </c>
      <c r="I150" s="52">
        <v>182</v>
      </c>
      <c r="J150" s="52">
        <v>1</v>
      </c>
      <c r="K150" t="str">
        <f t="shared" si="4"/>
        <v>6. Людмила Эдельвейс
Тел.: +79496019237
Адрес: Металлургов 92
№ заказа: 182
Кол-во мест: 1
https://yandex.ru/maps/?text=47.1053%2C37.5483
https://maps.google.com/?daddr=47.1053%2C37.5483
К оплате: **0
**----------------------------------------------------------</v>
      </c>
    </row>
    <row r="151" spans="1:11" hidden="1" x14ac:dyDescent="0.25">
      <c r="A151">
        <v>7</v>
      </c>
      <c r="B151" s="179">
        <v>45500</v>
      </c>
      <c r="C151" t="s">
        <v>3249</v>
      </c>
      <c r="D151" t="e">
        <f>VLOOKUP($C151,ТабКлиенты[[#All],[name]:[phone]],MATCH(D$1,ТабКлиенты[#Headers],0)-1,0)</f>
        <v>#N/A</v>
      </c>
      <c r="E151" t="e">
        <f>VLOOKUP($C151,ТабАдрес[[#All],[Клиент]:[gps]],MATCH(E$1,ТабКлиенты[#Headers],0)-4,0)</f>
        <v>#N/A</v>
      </c>
      <c r="F151" t="e">
        <f>VLOOKUP($C151,ТабАдрес[[#All],[Клиент]:[gps]],MATCH(F$1,ТабКлиенты[#Headers],0)-4,0)</f>
        <v>#N/A</v>
      </c>
      <c r="H151" s="181">
        <v>2900</v>
      </c>
      <c r="I151" s="52" t="s">
        <v>5</v>
      </c>
      <c r="J151" s="52">
        <v>1</v>
      </c>
      <c r="K151" t="e">
        <f t="shared" si="4"/>
        <v>#N/A</v>
      </c>
    </row>
    <row r="152" spans="1:11" hidden="1" x14ac:dyDescent="0.25">
      <c r="A152">
        <v>1</v>
      </c>
      <c r="B152" s="179">
        <v>45506</v>
      </c>
      <c r="C152" t="s">
        <v>3126</v>
      </c>
      <c r="D152" t="e">
        <f>VLOOKUP($C152,ТабКлиенты[[#All],[name]:[phone]],MATCH(D$1,ТабКлиенты[#Headers],0)-1,0)</f>
        <v>#N/A</v>
      </c>
      <c r="E152" t="e">
        <f>VLOOKUP($C152,ТабАдрес[[#All],[Клиент]:[gps]],MATCH(E$1,ТабКлиенты[#Headers],0)-4,0)</f>
        <v>#N/A</v>
      </c>
      <c r="F152" t="e">
        <f>VLOOKUP($C152,ТабАдрес[[#All],[Клиент]:[gps]],MATCH(F$1,ТабКлиенты[#Headers],0)-4,0)</f>
        <v>#N/A</v>
      </c>
      <c r="H152" s="181">
        <v>5000</v>
      </c>
      <c r="I152" s="52">
        <v>186</v>
      </c>
      <c r="J152" s="52">
        <v>1</v>
      </c>
      <c r="K152" t="e">
        <f t="shared" si="4"/>
        <v>#N/A</v>
      </c>
    </row>
    <row r="153" spans="1:11" hidden="1" x14ac:dyDescent="0.25">
      <c r="A153">
        <v>2</v>
      </c>
      <c r="B153" s="179">
        <v>45506</v>
      </c>
      <c r="C153" t="s">
        <v>3131</v>
      </c>
      <c r="D153" t="e">
        <f>VLOOKUP($C153,ТабКлиенты[[#All],[name]:[phone]],MATCH(D$1,ТабКлиенты[#Headers],0)-1,0)</f>
        <v>#N/A</v>
      </c>
      <c r="E153" t="e">
        <f>VLOOKUP($C153,ТабАдрес[[#All],[Клиент]:[gps]],MATCH(E$1,ТабКлиенты[#Headers],0)-4,0)</f>
        <v>#N/A</v>
      </c>
      <c r="F153" t="e">
        <f>VLOOKUP($C153,ТабАдрес[[#All],[Клиент]:[gps]],MATCH(F$1,ТабКлиенты[#Headers],0)-4,0)</f>
        <v>#N/A</v>
      </c>
      <c r="H153" s="181">
        <v>0</v>
      </c>
      <c r="I153" s="52">
        <v>190</v>
      </c>
      <c r="J153" s="52">
        <v>2</v>
      </c>
      <c r="K153" t="e">
        <f t="shared" si="4"/>
        <v>#N/A</v>
      </c>
    </row>
    <row r="154" spans="1:11" hidden="1" x14ac:dyDescent="0.25">
      <c r="A154">
        <v>3</v>
      </c>
      <c r="B154" s="179">
        <v>45506</v>
      </c>
      <c r="C154" t="s">
        <v>3122</v>
      </c>
      <c r="D154" t="e">
        <f>VLOOKUP($C154,ТабКлиенты[[#All],[name]:[phone]],MATCH(D$1,ТабКлиенты[#Headers],0)-1,0)</f>
        <v>#N/A</v>
      </c>
      <c r="E154" t="e">
        <f>VLOOKUP($C154,ТабАдрес[[#All],[Клиент]:[gps]],MATCH(E$1,ТабКлиенты[#Headers],0)-4,0)</f>
        <v>#N/A</v>
      </c>
      <c r="F154" t="e">
        <f>VLOOKUP($C154,ТабАдрес[[#All],[Клиент]:[gps]],MATCH(F$1,ТабКлиенты[#Headers],0)-4,0)</f>
        <v>#N/A</v>
      </c>
      <c r="H154" s="181">
        <v>-100</v>
      </c>
      <c r="I154" s="52">
        <v>185</v>
      </c>
      <c r="J154" s="52">
        <v>1</v>
      </c>
      <c r="K154" t="e">
        <f t="shared" si="4"/>
        <v>#N/A</v>
      </c>
    </row>
    <row r="155" spans="1:11" hidden="1" x14ac:dyDescent="0.25">
      <c r="A155">
        <v>4</v>
      </c>
      <c r="B155" s="179">
        <v>45506</v>
      </c>
      <c r="C155" t="s">
        <v>3225</v>
      </c>
      <c r="D155" t="e">
        <f>VLOOKUP($C155,ТабКлиенты[[#All],[name]:[phone]],MATCH(D$1,ТабКлиенты[#Headers],0)-1,0)</f>
        <v>#N/A</v>
      </c>
      <c r="E155" t="e">
        <f>VLOOKUP($C155,ТабАдрес[[#All],[Клиент]:[gps]],MATCH(E$1,ТабКлиенты[#Headers],0)-4,0)</f>
        <v>#N/A</v>
      </c>
      <c r="F155" t="e">
        <f>VLOOKUP($C155,ТабАдрес[[#All],[Клиент]:[gps]],MATCH(F$1,ТабКлиенты[#Headers],0)-4,0)</f>
        <v>#N/A</v>
      </c>
      <c r="H155" s="181">
        <v>1155</v>
      </c>
      <c r="I155" s="52">
        <v>194</v>
      </c>
      <c r="J155" s="52">
        <v>3</v>
      </c>
      <c r="K155" t="e">
        <f t="shared" si="4"/>
        <v>#N/A</v>
      </c>
    </row>
    <row r="156" spans="1:11" hidden="1" x14ac:dyDescent="0.25">
      <c r="A156">
        <v>5</v>
      </c>
      <c r="B156" s="179">
        <v>45506</v>
      </c>
      <c r="C156" t="s">
        <v>3256</v>
      </c>
      <c r="D156" t="str">
        <f>VLOOKUP($C156,ТабКлиенты[[#All],[name]:[phone]],MATCH(D$1,ТабКлиенты[#Headers],0)-1,0)</f>
        <v>+79497213168</v>
      </c>
      <c r="E156" t="str">
        <f>VLOOKUP($C156,ТабАдрес[[#All],[Клиент]:[gps]],MATCH(E$1,ТабКлиенты[#Headers],0)-4,0)</f>
        <v>Шопена 92</v>
      </c>
      <c r="F156" t="str">
        <f>VLOOKUP($C156,ТабАдрес[[#All],[Клиент]:[gps]],MATCH(F$1,ТабКлиенты[#Headers],0)-4,0)</f>
        <v>47.1582, 37.6032</v>
      </c>
      <c r="H156" s="181">
        <v>3400</v>
      </c>
      <c r="I156" s="52" t="s">
        <v>5</v>
      </c>
      <c r="J156" s="52">
        <v>1</v>
      </c>
      <c r="K156" t="str">
        <f t="shared" si="4"/>
        <v>5. Светлана Федоровна
Тел.: +79497213168
Адрес: Шопена 92
№ заказа: Витамины
Кол-во мест: 1
https://yandex.ru/maps/?text=47.1582%2C37.6032
https://maps.google.com/?daddr=47.1582%2C37.6032
К оплате: **3400
**----------------------------------------------------------</v>
      </c>
    </row>
    <row r="157" spans="1:11" hidden="1" x14ac:dyDescent="0.25">
      <c r="A157">
        <v>6</v>
      </c>
      <c r="B157" s="179">
        <v>45506</v>
      </c>
      <c r="C157" t="s">
        <v>3252</v>
      </c>
      <c r="D157" t="str">
        <f>VLOOKUP($C157,ТабКлиенты[[#All],[name]:[phone]],MATCH(D$1,ТабКлиенты[#Headers],0)-1,0)</f>
        <v>+79497115237</v>
      </c>
      <c r="E157" t="str">
        <f>VLOOKUP($C157,ТабАдрес[[#All],[Клиент]:[gps]],MATCH(E$1,ТабКлиенты[#Headers],0)-4,0)</f>
        <v>пер Станционный 8</v>
      </c>
      <c r="F157" t="str">
        <f>VLOOKUP($C157,ТабАдрес[[#All],[Клиент]:[gps]],MATCH(F$1,ТабКлиенты[#Headers],0)-4,0)</f>
        <v>47.1640, 37.5780</v>
      </c>
      <c r="H157" s="181">
        <v>2300</v>
      </c>
      <c r="I157" s="52" t="s">
        <v>5</v>
      </c>
      <c r="J157" s="52">
        <v>1</v>
      </c>
      <c r="K157" t="str">
        <f t="shared" si="4"/>
        <v>6. Аня Мирный
Тел.: +79497115237
Адрес: пер Станционный 8
№ заказа: Витамины
Кол-во мест: 1
https://yandex.ru/maps/?text=47.1640%2C37.5780
https://maps.google.com/?daddr=47.1640%2C37.5780
К оплате: **2300
**----------------------------------------------------------</v>
      </c>
    </row>
    <row r="158" spans="1:11" hidden="1" x14ac:dyDescent="0.25">
      <c r="A158">
        <v>7</v>
      </c>
      <c r="B158" s="179">
        <v>45506</v>
      </c>
      <c r="C158" t="s">
        <v>4267</v>
      </c>
      <c r="D158" t="e">
        <f>VLOOKUP($C158,ТабКлиенты[[#All],[name]:[phone]],MATCH(D$1,ТабКлиенты[#Headers],0)-1,0)</f>
        <v>#N/A</v>
      </c>
      <c r="E158" t="e">
        <f>VLOOKUP($C158,ТабАдрес[[#All],[Клиент]:[gps]],MATCH(E$1,ТабКлиенты[#Headers],0)-4,0)</f>
        <v>#N/A</v>
      </c>
      <c r="F158" t="e">
        <f>VLOOKUP($C158,ТабАдрес[[#All],[Клиент]:[gps]],MATCH(F$1,ТабКлиенты[#Headers],0)-4,0)</f>
        <v>#N/A</v>
      </c>
      <c r="H158" s="181">
        <v>0</v>
      </c>
      <c r="I158" s="52">
        <v>193</v>
      </c>
      <c r="J158" s="52">
        <v>1</v>
      </c>
      <c r="K158" t="e">
        <f t="shared" si="4"/>
        <v>#N/A</v>
      </c>
    </row>
    <row r="159" spans="1:11" hidden="1" x14ac:dyDescent="0.25">
      <c r="A159">
        <v>8</v>
      </c>
      <c r="B159" s="179">
        <v>45506</v>
      </c>
      <c r="C159" t="s">
        <v>3235</v>
      </c>
      <c r="D159" t="str">
        <f>VLOOKUP($C159,ТабКлиенты[[#All],[name]:[phone]],MATCH(D$1,ТабКлиенты[#Headers],0)-1,0)</f>
        <v>+79497386112</v>
      </c>
      <c r="E159" t="str">
        <f>VLOOKUP($C159,ТабАдрес[[#All],[Клиент]:[gps]],MATCH(E$1,ТабКлиенты[#Headers],0)-4,0)</f>
        <v>Шевченко 325</v>
      </c>
      <c r="F159" t="str">
        <f>VLOOKUP($C159,ТабАдрес[[#All],[Клиент]:[gps]],MATCH(F$1,ТабКлиенты[#Headers],0)-4,0)</f>
        <v>47.1193, 37.5172</v>
      </c>
      <c r="H159" s="181">
        <v>20000</v>
      </c>
      <c r="I159" s="52" t="s">
        <v>5</v>
      </c>
      <c r="J159" s="52">
        <v>1</v>
      </c>
      <c r="K159" t="str">
        <f t="shared" si="4"/>
        <v>8. Любовь Виталий
Тел.: +79497386112
Адрес: Шевченко 325
№ заказа: Витамины
Кол-во мест: 1
https://yandex.ru/maps/?text=47.1193%2C37.5172
https://maps.google.com/?daddr=47.1193%2C37.5172
К оплате: **20000
**----------------------------------------------------------</v>
      </c>
    </row>
    <row r="160" spans="1:11" hidden="1" x14ac:dyDescent="0.25">
      <c r="A160">
        <v>9</v>
      </c>
      <c r="B160" s="179">
        <v>45506</v>
      </c>
      <c r="C160" t="s">
        <v>4252</v>
      </c>
      <c r="D160" t="e">
        <f>VLOOKUP($C160,ТабКлиенты[[#All],[name]:[phone]],MATCH(D$1,ТабКлиенты[#Headers],0)-1,0)</f>
        <v>#N/A</v>
      </c>
      <c r="E160" t="e">
        <f>VLOOKUP($C160,ТабАдрес[[#All],[Клиент]:[gps]],MATCH(E$1,ТабКлиенты[#Headers],0)-4,0)</f>
        <v>#N/A</v>
      </c>
      <c r="F160" t="e">
        <f>VLOOKUP($C160,ТабАдрес[[#All],[Клиент]:[gps]],MATCH(F$1,ТабКлиенты[#Headers],0)-4,0)</f>
        <v>#N/A</v>
      </c>
      <c r="H160" s="181"/>
      <c r="I160" s="52" t="s">
        <v>5</v>
      </c>
      <c r="J160" s="52">
        <v>1</v>
      </c>
      <c r="K160" t="e">
        <f t="shared" si="4"/>
        <v>#N/A</v>
      </c>
    </row>
    <row r="161" spans="1:11" hidden="1" x14ac:dyDescent="0.25">
      <c r="A161">
        <v>10</v>
      </c>
      <c r="B161" s="179">
        <v>45506</v>
      </c>
      <c r="C161" t="s">
        <v>3206</v>
      </c>
      <c r="D161" t="str">
        <f>VLOOKUP($C161,ТабКлиенты[[#All],[name]:[phone]],MATCH(D$1,ТабКлиенты[#Headers],0)-1,0)</f>
        <v>+79496248226</v>
      </c>
      <c r="E161" t="str">
        <f>VLOOKUP($C161,ТабАдрес[[#All],[Клиент]:[gps]],MATCH(E$1,ТабКлиенты[#Headers],0)-4,0)</f>
        <v>Шевченко 274</v>
      </c>
      <c r="F161" t="str">
        <f>VLOOKUP($C161,ТабАдрес[[#All],[Клиент]:[gps]],MATCH(F$1,ТабКлиенты[#Headers],0)-4,0)</f>
        <v>47.1149, 37.5127</v>
      </c>
      <c r="H161" s="181">
        <v>2700</v>
      </c>
      <c r="I161" s="52" t="s">
        <v>5</v>
      </c>
      <c r="J161" s="52">
        <v>1</v>
      </c>
      <c r="K161" t="str">
        <f t="shared" si="4"/>
        <v>10. Даша Калифорния
Тел.: +79496248226
Адрес: Шевченко 274
№ заказа: Витамины
Кол-во мест: 1
https://yandex.ru/maps/?text=47.1149%2C37.5127
https://maps.google.com/?daddr=47.1149%2C37.5127
К оплате: **2700
**----------------------------------------------------------</v>
      </c>
    </row>
    <row r="162" spans="1:11" hidden="1" x14ac:dyDescent="0.25">
      <c r="A162">
        <v>11</v>
      </c>
      <c r="B162" s="179">
        <v>45506</v>
      </c>
      <c r="C162" t="s">
        <v>3226</v>
      </c>
      <c r="D162" t="str">
        <f>VLOOKUP($C162,ТабКлиенты[[#All],[name]:[phone]],MATCH(D$1,ТабКлиенты[#Headers],0)-1,0)</f>
        <v>+79497169864</v>
      </c>
      <c r="E162" t="str">
        <f>VLOOKUP($C162,ТабАдрес[[#All],[Клиент]:[gps]],MATCH(E$1,ТабКлиенты[#Headers],0)-4,0)</f>
        <v>Строителей, 102</v>
      </c>
      <c r="F162" t="str">
        <f>VLOOKUP($C162,ТабАдрес[[#All],[Клиент]:[gps]],MATCH(F$1,ТабКлиенты[#Headers],0)-4,0)</f>
        <v>47.100776, 37.522477</v>
      </c>
      <c r="H162" s="181">
        <v>10500</v>
      </c>
      <c r="I162" s="52" t="s">
        <v>5</v>
      </c>
      <c r="J162" s="52">
        <v>1</v>
      </c>
      <c r="K162" t="str">
        <f t="shared" si="4"/>
        <v>11. Надежда Витамины
Тел.: +79497169864
Адрес: Строителей, 102
№ заказа: Витамины
Кол-во мест: 1
https://yandex.ru/maps/?text=47.100776%2C37.522477
https://maps.google.com/?daddr=47.100776%2C37.522477
К оплате: **10500
**----------------------------------------------------------</v>
      </c>
    </row>
    <row r="163" spans="1:11" hidden="1" x14ac:dyDescent="0.25">
      <c r="A163">
        <v>12</v>
      </c>
      <c r="B163" s="179">
        <v>45506</v>
      </c>
      <c r="C163" t="s">
        <v>3149</v>
      </c>
      <c r="D163" t="e">
        <f>VLOOKUP($C163,ТабКлиенты[[#All],[name]:[phone]],MATCH(D$1,ТабКлиенты[#Headers],0)-1,0)</f>
        <v>#N/A</v>
      </c>
      <c r="E163" t="e">
        <f>VLOOKUP($C163,ТабАдрес[[#All],[Клиент]:[gps]],MATCH(E$1,ТабКлиенты[#Headers],0)-4,0)</f>
        <v>#N/A</v>
      </c>
      <c r="F163" t="e">
        <f>VLOOKUP($C163,ТабАдрес[[#All],[Клиент]:[gps]],MATCH(F$1,ТабКлиенты[#Headers],0)-4,0)</f>
        <v>#N/A</v>
      </c>
      <c r="H163" s="181">
        <v>0</v>
      </c>
      <c r="I163" s="52">
        <v>189</v>
      </c>
      <c r="J163" s="52">
        <v>1</v>
      </c>
      <c r="K163" t="e">
        <f t="shared" si="4"/>
        <v>#N/A</v>
      </c>
    </row>
    <row r="164" spans="1:11" hidden="1" x14ac:dyDescent="0.25">
      <c r="A164">
        <v>1</v>
      </c>
      <c r="B164" s="179">
        <v>45514</v>
      </c>
      <c r="C164" t="s">
        <v>3168</v>
      </c>
      <c r="D164" t="e">
        <f>VLOOKUP($C164,ТабКлиенты[[#All],[name]:[phone]],MATCH(D$1,ТабКлиенты[#Headers],0)-1,0)</f>
        <v>#N/A</v>
      </c>
      <c r="E164" t="e">
        <f>VLOOKUP($C164,ТабАдрес[[#All],[Клиент]:[gps]],MATCH(E$1,ТабКлиенты[#Headers],0)-4,0)</f>
        <v>#N/A</v>
      </c>
      <c r="F164" t="e">
        <f>VLOOKUP($C164,ТабАдрес[[#All],[Клиент]:[gps]],MATCH(F$1,ТабКлиенты[#Headers],0)-4,0)</f>
        <v>#N/A</v>
      </c>
      <c r="H164" s="181">
        <v>-4799</v>
      </c>
      <c r="I164" s="52">
        <v>192</v>
      </c>
      <c r="K164" t="e">
        <f t="shared" si="4"/>
        <v>#N/A</v>
      </c>
    </row>
    <row r="165" spans="1:11" hidden="1" x14ac:dyDescent="0.25">
      <c r="A165">
        <v>2</v>
      </c>
      <c r="B165" s="179">
        <v>45514</v>
      </c>
      <c r="C165" t="s">
        <v>3260</v>
      </c>
      <c r="D165" t="e">
        <f>VLOOKUP($C165,ТабКлиенты[[#All],[name]:[phone]],MATCH(D$1,ТабКлиенты[#Headers],0)-1,0)</f>
        <v>#N/A</v>
      </c>
      <c r="E165" t="e">
        <f>VLOOKUP($C165,ТабАдрес[[#All],[Клиент]:[gps]],MATCH(E$1,ТабКлиенты[#Headers],0)-4,0)</f>
        <v>#N/A</v>
      </c>
      <c r="F165" t="e">
        <f>VLOOKUP($C165,ТабАдрес[[#All],[Клиент]:[gps]],MATCH(F$1,ТабКлиенты[#Headers],0)-4,0)</f>
        <v>#N/A</v>
      </c>
      <c r="H165" s="181">
        <v>2872</v>
      </c>
      <c r="I165" s="52">
        <v>196</v>
      </c>
      <c r="K165" t="e">
        <f t="shared" si="4"/>
        <v>#N/A</v>
      </c>
    </row>
    <row r="166" spans="1:11" hidden="1" x14ac:dyDescent="0.25">
      <c r="A166">
        <v>3</v>
      </c>
      <c r="B166" s="179">
        <v>45514</v>
      </c>
      <c r="C166" t="s">
        <v>3252</v>
      </c>
      <c r="D166" t="str">
        <f>VLOOKUP($C166,ТабКлиенты[[#All],[name]:[phone]],MATCH(D$1,ТабКлиенты[#Headers],0)-1,0)</f>
        <v>+79497115237</v>
      </c>
      <c r="E166" t="str">
        <f>VLOOKUP($C166,ТабАдрес[[#All],[Клиент]:[gps]],MATCH(E$1,ТабКлиенты[#Headers],0)-4,0)</f>
        <v>пер Станционный 8</v>
      </c>
      <c r="F166" t="str">
        <f>VLOOKUP($C166,ТабАдрес[[#All],[Клиент]:[gps]],MATCH(F$1,ТабКлиенты[#Headers],0)-4,0)</f>
        <v>47.1640, 37.5780</v>
      </c>
      <c r="H166" s="181">
        <v>2600</v>
      </c>
      <c r="I166" s="52" t="s">
        <v>5</v>
      </c>
      <c r="K166" t="str">
        <f t="shared" si="4"/>
        <v>3. Аня Мирный
Тел.: +79497115237
Адрес: пер Станционный 8
№ заказа: Витамины
Кол-во мест: 
https://yandex.ru/maps/?text=47.1640%2C37.5780
https://maps.google.com/?daddr=47.1640%2C37.5780
К оплате: **2600
**----------------------------------------------------------</v>
      </c>
    </row>
    <row r="167" spans="1:11" hidden="1" x14ac:dyDescent="0.25">
      <c r="A167">
        <v>4</v>
      </c>
      <c r="B167" s="179">
        <v>45514</v>
      </c>
      <c r="C167" t="s">
        <v>3202</v>
      </c>
      <c r="D167" t="e">
        <f>VLOOKUP($C167,ТабКлиенты[[#All],[name]:[phone]],MATCH(D$1,ТабКлиенты[#Headers],0)-1,0)</f>
        <v>#N/A</v>
      </c>
      <c r="E167" t="e">
        <f>VLOOKUP($C167,ТабАдрес[[#All],[Клиент]:[gps]],MATCH(E$1,ТабКлиенты[#Headers],0)-4,0)</f>
        <v>#N/A</v>
      </c>
      <c r="F167" t="e">
        <f>VLOOKUP($C167,ТабАдрес[[#All],[Клиент]:[gps]],MATCH(F$1,ТабКлиенты[#Headers],0)-4,0)</f>
        <v>#N/A</v>
      </c>
      <c r="H167" s="181">
        <v>14800</v>
      </c>
      <c r="I167" s="52" t="s">
        <v>5</v>
      </c>
      <c r="K167" t="e">
        <f t="shared" si="4"/>
        <v>#N/A</v>
      </c>
    </row>
    <row r="168" spans="1:11" hidden="1" x14ac:dyDescent="0.25">
      <c r="A168">
        <v>5</v>
      </c>
      <c r="B168" s="179">
        <v>45514</v>
      </c>
      <c r="C168" t="s">
        <v>3125</v>
      </c>
      <c r="D168" t="e">
        <f>VLOOKUP($C168,ТабКлиенты[[#All],[name]:[phone]],MATCH(D$1,ТабКлиенты[#Headers],0)-1,0)</f>
        <v>#N/A</v>
      </c>
      <c r="E168" t="e">
        <f>VLOOKUP($C168,ТабАдрес[[#All],[Клиент]:[gps]],MATCH(E$1,ТабКлиенты[#Headers],0)-4,0)</f>
        <v>#N/A</v>
      </c>
      <c r="F168" t="e">
        <f>VLOOKUP($C168,ТабАдрес[[#All],[Клиент]:[gps]],MATCH(F$1,ТабКлиенты[#Headers],0)-4,0)</f>
        <v>#N/A</v>
      </c>
      <c r="H168" s="181">
        <v>3400</v>
      </c>
      <c r="I168" s="52">
        <v>199</v>
      </c>
      <c r="K168" t="e">
        <f t="shared" si="4"/>
        <v>#N/A</v>
      </c>
    </row>
    <row r="169" spans="1:11" hidden="1" x14ac:dyDescent="0.25">
      <c r="A169">
        <v>6</v>
      </c>
      <c r="B169" s="179">
        <v>45514</v>
      </c>
      <c r="C169" t="s">
        <v>3129</v>
      </c>
      <c r="D169" t="e">
        <f>VLOOKUP($C169,ТабКлиенты[[#All],[name]:[phone]],MATCH(D$1,ТабКлиенты[#Headers],0)-1,0)</f>
        <v>#N/A</v>
      </c>
      <c r="E169" t="e">
        <f>VLOOKUP($C169,ТабАдрес[[#All],[Клиент]:[gps]],MATCH(E$1,ТабКлиенты[#Headers],0)-4,0)</f>
        <v>#N/A</v>
      </c>
      <c r="F169" t="e">
        <f>VLOOKUP($C169,ТабАдрес[[#All],[Клиент]:[gps]],MATCH(F$1,ТабКлиенты[#Headers],0)-4,0)</f>
        <v>#N/A</v>
      </c>
      <c r="H169" s="181">
        <v>1020</v>
      </c>
      <c r="I169" s="52">
        <v>191</v>
      </c>
      <c r="K169" t="e">
        <f t="shared" si="4"/>
        <v>#N/A</v>
      </c>
    </row>
    <row r="170" spans="1:11" hidden="1" x14ac:dyDescent="0.25">
      <c r="A170">
        <v>7</v>
      </c>
      <c r="B170" s="179">
        <v>45514</v>
      </c>
      <c r="C170" t="s">
        <v>3262</v>
      </c>
      <c r="D170" t="e">
        <f>VLOOKUP($C170,ТабКлиенты[[#All],[name]:[phone]],MATCH(D$1,ТабКлиенты[#Headers],0)-1,0)</f>
        <v>#N/A</v>
      </c>
      <c r="E170" t="e">
        <f>VLOOKUP($C170,ТабАдрес[[#All],[Клиент]:[gps]],MATCH(E$1,ТабКлиенты[#Headers],0)-4,0)</f>
        <v>#N/A</v>
      </c>
      <c r="F170" t="e">
        <f>VLOOKUP($C170,ТабАдрес[[#All],[Клиент]:[gps]],MATCH(F$1,ТабКлиенты[#Headers],0)-4,0)</f>
        <v>#N/A</v>
      </c>
      <c r="H170" s="181">
        <v>684</v>
      </c>
      <c r="I170" s="52">
        <v>202</v>
      </c>
      <c r="K170" t="e">
        <f t="shared" si="4"/>
        <v>#N/A</v>
      </c>
    </row>
    <row r="171" spans="1:11" hidden="1" x14ac:dyDescent="0.25">
      <c r="A171">
        <v>8</v>
      </c>
      <c r="B171" s="179">
        <v>45514</v>
      </c>
      <c r="C171" t="s">
        <v>3261</v>
      </c>
      <c r="D171" t="e">
        <f>VLOOKUP($C171,ТабКлиенты[[#All],[name]:[phone]],MATCH(D$1,ТабКлиенты[#Headers],0)-1,0)</f>
        <v>#N/A</v>
      </c>
      <c r="E171" t="e">
        <f>VLOOKUP($C171,ТабАдрес[[#All],[Клиент]:[gps]],MATCH(E$1,ТабКлиенты[#Headers],0)-4,0)</f>
        <v>#N/A</v>
      </c>
      <c r="F171" t="e">
        <f>VLOOKUP($C171,ТабАдрес[[#All],[Клиент]:[gps]],MATCH(F$1,ТабКлиенты[#Headers],0)-4,0)</f>
        <v>#N/A</v>
      </c>
      <c r="H171" s="181">
        <v>2036</v>
      </c>
      <c r="I171" s="52">
        <v>198</v>
      </c>
      <c r="K171" t="e">
        <f t="shared" si="4"/>
        <v>#N/A</v>
      </c>
    </row>
    <row r="172" spans="1:11" hidden="1" x14ac:dyDescent="0.25">
      <c r="A172">
        <v>9</v>
      </c>
      <c r="B172" s="179">
        <v>45514</v>
      </c>
      <c r="C172" t="s">
        <v>3263</v>
      </c>
      <c r="D172" t="e">
        <f>VLOOKUP($C172,ТабКлиенты[[#All],[name]:[phone]],MATCH(D$1,ТабКлиенты[#Headers],0)-1,0)</f>
        <v>#N/A</v>
      </c>
      <c r="E172" t="e">
        <f>VLOOKUP($C172,ТабАдрес[[#All],[Клиент]:[gps]],MATCH(E$1,ТабКлиенты[#Headers],0)-4,0)</f>
        <v>#N/A</v>
      </c>
      <c r="F172" t="e">
        <f>VLOOKUP($C172,ТабАдрес[[#All],[Клиент]:[gps]],MATCH(F$1,ТабКлиенты[#Headers],0)-4,0)</f>
        <v>#N/A</v>
      </c>
      <c r="H172" s="181">
        <v>889</v>
      </c>
      <c r="I172" s="52">
        <v>203</v>
      </c>
      <c r="K172" t="e">
        <f t="shared" si="4"/>
        <v>#N/A</v>
      </c>
    </row>
    <row r="173" spans="1:11" hidden="1" x14ac:dyDescent="0.25">
      <c r="A173">
        <v>10</v>
      </c>
      <c r="B173" s="179">
        <v>45514</v>
      </c>
      <c r="C173" t="s">
        <v>3264</v>
      </c>
      <c r="D173" t="e">
        <f>VLOOKUP($C173,ТабКлиенты[[#All],[name]:[phone]],MATCH(D$1,ТабКлиенты[#Headers],0)-1,0)</f>
        <v>#N/A</v>
      </c>
      <c r="E173" t="e">
        <f>VLOOKUP($C173,ТабАдрес[[#All],[Клиент]:[gps]],MATCH(E$1,ТабКлиенты[#Headers],0)-4,0)</f>
        <v>#N/A</v>
      </c>
      <c r="F173" t="e">
        <f>VLOOKUP($C173,ТабАдрес[[#All],[Клиент]:[gps]],MATCH(F$1,ТабКлиенты[#Headers],0)-4,0)</f>
        <v>#N/A</v>
      </c>
      <c r="H173" s="181">
        <v>1700</v>
      </c>
      <c r="I173" s="52" t="s">
        <v>5</v>
      </c>
      <c r="K173" t="e">
        <f t="shared" si="4"/>
        <v>#N/A</v>
      </c>
    </row>
    <row r="174" spans="1:11" hidden="1" x14ac:dyDescent="0.25">
      <c r="A174">
        <v>1</v>
      </c>
      <c r="B174" s="179">
        <v>45518</v>
      </c>
      <c r="C174" t="s">
        <v>3226</v>
      </c>
      <c r="D174" t="str">
        <f>VLOOKUP($C174,ТабКлиенты[[#All],[name]:[phone]],MATCH(D$1,ТабКлиенты[#Headers],0)-1,0)</f>
        <v>+79497169864</v>
      </c>
      <c r="E174" t="str">
        <f>VLOOKUP($C174,ТабАдрес[[#All],[Клиент]:[gps]],MATCH(E$1,ТабКлиенты[#Headers],0)-4,0)</f>
        <v>Строителей, 102</v>
      </c>
      <c r="F174" t="str">
        <f>VLOOKUP($C174,ТабАдрес[[#All],[Клиент]:[gps]],MATCH(F$1,ТабКлиенты[#Headers],0)-4,0)</f>
        <v>47.100776, 37.522477</v>
      </c>
      <c r="H174" s="181">
        <v>11200</v>
      </c>
      <c r="I174" s="52" t="s">
        <v>5</v>
      </c>
      <c r="K174" t="str">
        <f t="shared" si="4"/>
        <v>1. Надежда Витамины
Тел.: +79497169864
Адрес: Строителей, 102
№ заказа: Витамины
Кол-во мест: 
https://yandex.ru/maps/?text=47.100776%2C37.522477
https://maps.google.com/?daddr=47.100776%2C37.522477
К оплате: **11200
**----------------------------------------------------------</v>
      </c>
    </row>
    <row r="175" spans="1:11" hidden="1" x14ac:dyDescent="0.25">
      <c r="A175">
        <v>2</v>
      </c>
      <c r="B175" s="179">
        <v>45518</v>
      </c>
      <c r="C175" t="s">
        <v>3263</v>
      </c>
      <c r="D175" t="e">
        <f>VLOOKUP($C175,ТабКлиенты[[#All],[name]:[phone]],MATCH(D$1,ТабКлиенты[#Headers],0)-1,0)</f>
        <v>#N/A</v>
      </c>
      <c r="E175" t="e">
        <f>VLOOKUP($C175,ТабАдрес[[#All],[Клиент]:[gps]],MATCH(E$1,ТабКлиенты[#Headers],0)-4,0)</f>
        <v>#N/A</v>
      </c>
      <c r="F175" t="e">
        <f>VLOOKUP($C175,ТабАдрес[[#All],[Клиент]:[gps]],MATCH(F$1,ТабКлиенты[#Headers],0)-4,0)</f>
        <v>#N/A</v>
      </c>
      <c r="H175" s="181">
        <v>596</v>
      </c>
      <c r="I175" s="52">
        <v>208</v>
      </c>
      <c r="J175" s="52">
        <v>1</v>
      </c>
      <c r="K175" t="e">
        <f t="shared" si="4"/>
        <v>#N/A</v>
      </c>
    </row>
    <row r="176" spans="1:11" hidden="1" x14ac:dyDescent="0.25">
      <c r="A176">
        <v>3</v>
      </c>
      <c r="B176" s="179">
        <v>45518</v>
      </c>
      <c r="C176" t="s">
        <v>3265</v>
      </c>
      <c r="D176" t="str">
        <f>VLOOKUP($C176,ТабКлиенты[[#All],[name]:[phone]],MATCH(D$1,ТабКлиенты[#Headers],0)-1,0)</f>
        <v>+79497095480</v>
      </c>
      <c r="E176" t="str">
        <f>VLOOKUP($C176,ТабАдрес[[#All],[Клиент]:[gps]],MATCH(E$1,ТабКлиенты[#Headers],0)-4,0)</f>
        <v>Трамвайный 10</v>
      </c>
      <c r="F176" t="str">
        <f>VLOOKUP($C176,ТабАдрес[[#All],[Клиент]:[gps]],MATCH(F$1,ТабКлиенты[#Headers],0)-4,0)</f>
        <v>47.1044, 37.5233</v>
      </c>
      <c r="H176" s="181">
        <v>1600</v>
      </c>
      <c r="I176" s="52" t="s">
        <v>5</v>
      </c>
      <c r="K176" t="str">
        <f t="shared" si="4"/>
        <v>3. Валентина
Тел.: +79497095480
Адрес: Трамвайный 10
№ заказа: Витамины
Кол-во мест: 
https://yandex.ru/maps/?text=47.1044%2C37.5233
https://maps.google.com/?daddr=47.1044%2C37.5233
К оплате: **1600
**----------------------------------------------------------</v>
      </c>
    </row>
    <row r="177" spans="1:11" hidden="1" x14ac:dyDescent="0.25">
      <c r="A177">
        <v>4</v>
      </c>
      <c r="B177" s="179">
        <v>45518</v>
      </c>
      <c r="C177" t="s">
        <v>4281</v>
      </c>
      <c r="D177" t="e">
        <f>VLOOKUP($C177,ТабКлиенты[[#All],[name]:[phone]],MATCH(D$1,ТабКлиенты[#Headers],0)-1,0)</f>
        <v>#N/A</v>
      </c>
      <c r="E177" t="e">
        <f>VLOOKUP($C177,ТабАдрес[[#All],[Клиент]:[gps]],MATCH(E$1,ТабКлиенты[#Headers],0)-4,0)</f>
        <v>#N/A</v>
      </c>
      <c r="F177" t="e">
        <f>VLOOKUP($C177,ТабАдрес[[#All],[Клиент]:[gps]],MATCH(F$1,ТабКлиенты[#Headers],0)-4,0)</f>
        <v>#N/A</v>
      </c>
      <c r="H177" s="181">
        <v>2100</v>
      </c>
      <c r="I177" s="52" t="s">
        <v>5</v>
      </c>
      <c r="K177" t="e">
        <f t="shared" ref="K177:K240" si="5">A177&amp;". "&amp;C177&amp;CHAR(10)&amp;"Тел.: "&amp;D177&amp;CHAR(10)&amp;"Адрес: "&amp;E177&amp;CHAR(10)&amp;"№ заказа: "&amp;I177&amp;CHAR(10)&amp;"Кол-во мест: "&amp;J177&amp;CHAR(10)&amp;"https://yandex.ru/maps/?text="&amp;REPLACE(F177,SEARCH(",",F177),2,"%2C")&amp;CHAR(10)&amp;"https://maps.google.com/?daddr="&amp;REPLACE(F177,SEARCH(",",F177),2,"%2C")&amp;CHAR(10)&amp;"К оплате: "&amp;"**"&amp;H177&amp;CHAR(10)&amp;"**"&amp;"----------------------------------------------------------"</f>
        <v>#N/A</v>
      </c>
    </row>
    <row r="178" spans="1:11" hidden="1" x14ac:dyDescent="0.25">
      <c r="A178">
        <v>5</v>
      </c>
      <c r="B178" s="179">
        <v>45518</v>
      </c>
      <c r="C178" t="s">
        <v>3235</v>
      </c>
      <c r="D178" t="str">
        <f>VLOOKUP($C178,ТабКлиенты[[#All],[name]:[phone]],MATCH(D$1,ТабКлиенты[#Headers],0)-1,0)</f>
        <v>+79497386112</v>
      </c>
      <c r="E178" t="str">
        <f>VLOOKUP($C178,ТабАдрес[[#All],[Клиент]:[gps]],MATCH(E$1,ТабКлиенты[#Headers],0)-4,0)</f>
        <v>Шевченко 325</v>
      </c>
      <c r="F178" t="str">
        <f>VLOOKUP($C178,ТабАдрес[[#All],[Клиент]:[gps]],MATCH(F$1,ТабКлиенты[#Headers],0)-4,0)</f>
        <v>47.1193, 37.5172</v>
      </c>
      <c r="H178" s="181">
        <v>12100</v>
      </c>
      <c r="I178" s="52" t="s">
        <v>5</v>
      </c>
      <c r="K178" t="str">
        <f t="shared" si="5"/>
        <v>5. Любовь Виталий
Тел.: +79497386112
Адрес: Шевченко 325
№ заказа: Витамины
Кол-во мест: 
https://yandex.ru/maps/?text=47.1193%2C37.5172
https://maps.google.com/?daddr=47.1193%2C37.5172
К оплате: **12100
**----------------------------------------------------------</v>
      </c>
    </row>
    <row r="179" spans="1:11" hidden="1" x14ac:dyDescent="0.25">
      <c r="A179">
        <v>6</v>
      </c>
      <c r="B179" s="179">
        <v>45518</v>
      </c>
      <c r="C179" t="s">
        <v>3129</v>
      </c>
      <c r="D179" t="e">
        <f>VLOOKUP($C179,ТабКлиенты[[#All],[name]:[phone]],MATCH(D$1,ТабКлиенты[#Headers],0)-1,0)</f>
        <v>#N/A</v>
      </c>
      <c r="E179" t="e">
        <f>VLOOKUP($C179,ТабАдрес[[#All],[Клиент]:[gps]],MATCH(E$1,ТабКлиенты[#Headers],0)-4,0)</f>
        <v>#N/A</v>
      </c>
      <c r="F179" t="e">
        <f>VLOOKUP($C179,ТабАдрес[[#All],[Клиент]:[gps]],MATCH(F$1,ТабКлиенты[#Headers],0)-4,0)</f>
        <v>#N/A</v>
      </c>
      <c r="H179" s="181">
        <v>0</v>
      </c>
      <c r="I179" s="52">
        <v>204</v>
      </c>
      <c r="K179" t="e">
        <f t="shared" si="5"/>
        <v>#N/A</v>
      </c>
    </row>
    <row r="180" spans="1:11" hidden="1" x14ac:dyDescent="0.25">
      <c r="A180">
        <v>7</v>
      </c>
      <c r="B180" s="179">
        <v>45518</v>
      </c>
      <c r="C180" t="s">
        <v>4252</v>
      </c>
      <c r="D180" t="e">
        <f>VLOOKUP($C180,ТабКлиенты[[#All],[name]:[phone]],MATCH(D$1,ТабКлиенты[#Headers],0)-1,0)</f>
        <v>#N/A</v>
      </c>
      <c r="E180" t="e">
        <f>VLOOKUP($C180,ТабАдрес[[#All],[Клиент]:[gps]],MATCH(E$1,ТабКлиенты[#Headers],0)-4,0)</f>
        <v>#N/A</v>
      </c>
      <c r="F180" t="e">
        <f>VLOOKUP($C180,ТабАдрес[[#All],[Клиент]:[gps]],MATCH(F$1,ТабКлиенты[#Headers],0)-4,0)</f>
        <v>#N/A</v>
      </c>
      <c r="H180" s="181">
        <v>4000</v>
      </c>
      <c r="I180" s="52" t="s">
        <v>5</v>
      </c>
      <c r="K180" t="e">
        <f t="shared" si="5"/>
        <v>#N/A</v>
      </c>
    </row>
    <row r="181" spans="1:11" hidden="1" x14ac:dyDescent="0.25">
      <c r="A181">
        <v>8</v>
      </c>
      <c r="B181" s="179">
        <v>45518</v>
      </c>
      <c r="C181" t="s">
        <v>3270</v>
      </c>
      <c r="D181" t="str">
        <f>VLOOKUP($C181,ТабКлиенты[[#All],[name]:[phone]],MATCH(D$1,ТабКлиенты[#Headers],0)-1,0)</f>
        <v>+79496334882</v>
      </c>
      <c r="E181" t="str">
        <f>VLOOKUP($C181,ТабАдрес[[#All],[Клиент]:[gps]],MATCH(E$1,ТабКлиенты[#Headers],0)-4,0)</f>
        <v>Шевченко 217</v>
      </c>
      <c r="F181" t="str">
        <f>VLOOKUP($C181,ТабАдрес[[#All],[Клиент]:[gps]],MATCH(F$1,ТабКлиенты[#Headers],0)-4,0)</f>
        <v>47.1130, 37.5406</v>
      </c>
      <c r="H181" s="181">
        <v>6200</v>
      </c>
      <c r="I181" s="52" t="s">
        <v>5</v>
      </c>
      <c r="K181" t="str">
        <f t="shared" si="5"/>
        <v>8. Елена Шевченко 217
Тел.: +79496334882
Адрес: Шевченко 217
№ заказа: Витамины
Кол-во мест: 
https://yandex.ru/maps/?text=47.1130%2C37.5406
https://maps.google.com/?daddr=47.1130%2C37.5406
К оплате: **6200
**----------------------------------------------------------</v>
      </c>
    </row>
    <row r="182" spans="1:11" hidden="1" x14ac:dyDescent="0.25">
      <c r="A182">
        <v>1</v>
      </c>
      <c r="B182" s="179">
        <v>45521</v>
      </c>
      <c r="C182" t="s">
        <v>3139</v>
      </c>
      <c r="D182" t="str">
        <f>VLOOKUP($C182,ТабКлиенты[[#All],[name]:[phone]],MATCH(D$1,ТабКлиенты[#Headers],0)-1,0)</f>
        <v>+79497243297</v>
      </c>
      <c r="E182" t="str">
        <f>VLOOKUP($C182,ТабАдрес[[#All],[Клиент]:[gps]],MATCH(E$1,ТабКлиенты[#Headers],0)-4,0)</f>
        <v>Шевченко, 309</v>
      </c>
      <c r="F182">
        <f>VLOOKUP($C182,ТабАдрес[[#All],[Клиент]:[gps]],MATCH(F$1,ТабКлиенты[#Headers],0)-4,0)</f>
        <v>0</v>
      </c>
      <c r="H182" s="181">
        <v>1988</v>
      </c>
      <c r="I182" s="52">
        <v>207</v>
      </c>
      <c r="J182" s="52">
        <v>1</v>
      </c>
      <c r="K182" t="e">
        <f t="shared" si="5"/>
        <v>#VALUE!</v>
      </c>
    </row>
    <row r="183" spans="1:11" hidden="1" x14ac:dyDescent="0.25">
      <c r="A183">
        <v>2</v>
      </c>
      <c r="B183" s="179">
        <v>45521</v>
      </c>
      <c r="C183" t="s">
        <v>3169</v>
      </c>
      <c r="D183" t="str">
        <f>VLOOKUP($C183,ТабКлиенты[[#All],[name]:[phone]],MATCH(D$1,ТабКлиенты[#Headers],0)-1,0)</f>
        <v>+79496019237</v>
      </c>
      <c r="E183" t="str">
        <f>VLOOKUP($C183,ТабАдрес[[#All],[Клиент]:[gps]],MATCH(E$1,ТабКлиенты[#Headers],0)-4,0)</f>
        <v>Металлургов 92</v>
      </c>
      <c r="F183" t="str">
        <f>VLOOKUP($C183,ТабАдрес[[#All],[Клиент]:[gps]],MATCH(F$1,ТабКлиенты[#Headers],0)-4,0)</f>
        <v>47.1053, 37.5483</v>
      </c>
      <c r="H183" s="181">
        <v>1200</v>
      </c>
      <c r="I183" s="52" t="s">
        <v>5</v>
      </c>
      <c r="J183" s="52">
        <v>1</v>
      </c>
      <c r="K183" t="str">
        <f t="shared" si="5"/>
        <v>2. Людмила Эдельвейс
Тел.: +79496019237
Адрес: Металлургов 92
№ заказа: Витамины
Кол-во мест: 1
https://yandex.ru/maps/?text=47.1053%2C37.5483
https://maps.google.com/?daddr=47.1053%2C37.5483
К оплате: **1200
**----------------------------------------------------------</v>
      </c>
    </row>
    <row r="184" spans="1:11" hidden="1" x14ac:dyDescent="0.25">
      <c r="A184">
        <v>3</v>
      </c>
      <c r="B184" s="179">
        <v>45521</v>
      </c>
      <c r="C184" t="s">
        <v>3168</v>
      </c>
      <c r="D184" t="e">
        <f>VLOOKUP($C184,ТабКлиенты[[#All],[name]:[phone]],MATCH(D$1,ТабКлиенты[#Headers],0)-1,0)</f>
        <v>#N/A</v>
      </c>
      <c r="E184" t="e">
        <f>VLOOKUP($C184,ТабАдрес[[#All],[Клиент]:[gps]],MATCH(E$1,ТабКлиенты[#Headers],0)-4,0)</f>
        <v>#N/A</v>
      </c>
      <c r="F184" t="e">
        <f>VLOOKUP($C184,ТабАдрес[[#All],[Клиент]:[gps]],MATCH(F$1,ТабКлиенты[#Headers],0)-4,0)</f>
        <v>#N/A</v>
      </c>
      <c r="H184" s="181">
        <v>6562</v>
      </c>
      <c r="I184" s="52">
        <v>205</v>
      </c>
      <c r="J184" s="52">
        <v>1</v>
      </c>
      <c r="K184" t="e">
        <f t="shared" si="5"/>
        <v>#N/A</v>
      </c>
    </row>
    <row r="185" spans="1:11" hidden="1" x14ac:dyDescent="0.25">
      <c r="A185">
        <v>4</v>
      </c>
      <c r="B185" s="179">
        <v>45521</v>
      </c>
      <c r="C185" t="s">
        <v>3125</v>
      </c>
      <c r="D185" t="e">
        <f>VLOOKUP($C185,ТабКлиенты[[#All],[name]:[phone]],MATCH(D$1,ТабКлиенты[#Headers],0)-1,0)</f>
        <v>#N/A</v>
      </c>
      <c r="E185" t="e">
        <f>VLOOKUP($C185,ТабАдрес[[#All],[Клиент]:[gps]],MATCH(E$1,ТабКлиенты[#Headers],0)-4,0)</f>
        <v>#N/A</v>
      </c>
      <c r="F185" t="e">
        <f>VLOOKUP($C185,ТабАдрес[[#All],[Клиент]:[gps]],MATCH(F$1,ТабКлиенты[#Headers],0)-4,0)</f>
        <v>#N/A</v>
      </c>
      <c r="H185" s="181">
        <v>163</v>
      </c>
      <c r="I185" s="52">
        <v>199</v>
      </c>
      <c r="J185" s="52">
        <v>1</v>
      </c>
      <c r="K185" t="e">
        <f t="shared" si="5"/>
        <v>#N/A</v>
      </c>
    </row>
    <row r="186" spans="1:11" hidden="1" x14ac:dyDescent="0.25">
      <c r="A186">
        <v>5</v>
      </c>
      <c r="B186" s="179">
        <v>45521</v>
      </c>
      <c r="C186" t="s">
        <v>3275</v>
      </c>
      <c r="D186" t="e">
        <f>VLOOKUP($C186,ТабКлиенты[[#All],[name]:[phone]],MATCH(D$1,ТабКлиенты[#Headers],0)-1,0)</f>
        <v>#N/A</v>
      </c>
      <c r="E186" t="e">
        <f>VLOOKUP($C186,ТабАдрес[[#All],[Клиент]:[gps]],MATCH(E$1,ТабКлиенты[#Headers],0)-4,0)</f>
        <v>#N/A</v>
      </c>
      <c r="F186" t="e">
        <f>VLOOKUP($C186,ТабАдрес[[#All],[Клиент]:[gps]],MATCH(F$1,ТабКлиенты[#Headers],0)-4,0)</f>
        <v>#N/A</v>
      </c>
      <c r="H186" s="181">
        <v>2000</v>
      </c>
      <c r="I186" s="52" t="s">
        <v>5</v>
      </c>
      <c r="J186" s="52">
        <v>1</v>
      </c>
      <c r="K186" t="e">
        <f t="shared" si="5"/>
        <v>#N/A</v>
      </c>
    </row>
    <row r="187" spans="1:11" hidden="1" x14ac:dyDescent="0.25">
      <c r="A187">
        <v>6</v>
      </c>
      <c r="B187" s="179">
        <v>45521</v>
      </c>
      <c r="C187" t="s">
        <v>3130</v>
      </c>
      <c r="D187" t="e">
        <f>VLOOKUP($C187,ТабКлиенты[[#All],[name]:[phone]],MATCH(D$1,ТабКлиенты[#Headers],0)-1,0)</f>
        <v>#N/A</v>
      </c>
      <c r="E187" t="e">
        <f>VLOOKUP($C187,ТабАдрес[[#All],[Клиент]:[gps]],MATCH(E$1,ТабКлиенты[#Headers],0)-4,0)</f>
        <v>#N/A</v>
      </c>
      <c r="F187" t="e">
        <f>VLOOKUP($C187,ТабАдрес[[#All],[Клиент]:[gps]],MATCH(F$1,ТабКлиенты[#Headers],0)-4,0)</f>
        <v>#N/A</v>
      </c>
      <c r="H187" s="181">
        <v>0</v>
      </c>
      <c r="I187" s="52">
        <v>206</v>
      </c>
      <c r="J187" s="52">
        <v>1</v>
      </c>
      <c r="K187" t="e">
        <f t="shared" si="5"/>
        <v>#N/A</v>
      </c>
    </row>
    <row r="188" spans="1:11" hidden="1" x14ac:dyDescent="0.25">
      <c r="A188">
        <v>7</v>
      </c>
      <c r="B188" s="179">
        <v>45521</v>
      </c>
      <c r="C188" t="s">
        <v>3274</v>
      </c>
      <c r="D188" t="e">
        <f>VLOOKUP($C188,ТабКлиенты[[#All],[name]:[phone]],MATCH(D$1,ТабКлиенты[#Headers],0)-1,0)</f>
        <v>#N/A</v>
      </c>
      <c r="E188" t="e">
        <f>VLOOKUP($C188,ТабАдрес[[#All],[Клиент]:[gps]],MATCH(E$1,ТабКлиенты[#Headers],0)-4,0)</f>
        <v>#N/A</v>
      </c>
      <c r="F188" t="e">
        <f>VLOOKUP($C188,ТабАдрес[[#All],[Клиент]:[gps]],MATCH(F$1,ТабКлиенты[#Headers],0)-4,0)</f>
        <v>#N/A</v>
      </c>
      <c r="H188" s="181">
        <v>1300</v>
      </c>
      <c r="I188" s="52">
        <v>213</v>
      </c>
      <c r="J188" s="52">
        <v>2</v>
      </c>
      <c r="K188" t="e">
        <f t="shared" si="5"/>
        <v>#N/A</v>
      </c>
    </row>
    <row r="189" spans="1:11" hidden="1" x14ac:dyDescent="0.25">
      <c r="A189">
        <v>8</v>
      </c>
      <c r="B189" s="179">
        <v>45521</v>
      </c>
      <c r="C189" t="s">
        <v>3129</v>
      </c>
      <c r="D189" t="e">
        <f>VLOOKUP($C189,ТабКлиенты[[#All],[name]:[phone]],MATCH(D$1,ТабКлиенты[#Headers],0)-1,0)</f>
        <v>#N/A</v>
      </c>
      <c r="E189" t="e">
        <f>VLOOKUP($C189,ТабАдрес[[#All],[Клиент]:[gps]],MATCH(E$1,ТабКлиенты[#Headers],0)-4,0)</f>
        <v>#N/A</v>
      </c>
      <c r="F189" t="e">
        <f>VLOOKUP($C189,ТабАдрес[[#All],[Клиент]:[gps]],MATCH(F$1,ТабКлиенты[#Headers],0)-4,0)</f>
        <v>#N/A</v>
      </c>
      <c r="H189" s="181">
        <v>0</v>
      </c>
      <c r="I189" s="52">
        <v>204</v>
      </c>
      <c r="J189" s="52">
        <v>1</v>
      </c>
      <c r="K189" t="e">
        <f t="shared" si="5"/>
        <v>#N/A</v>
      </c>
    </row>
    <row r="190" spans="1:11" hidden="1" x14ac:dyDescent="0.25">
      <c r="A190">
        <v>9</v>
      </c>
      <c r="B190" s="179">
        <v>45521</v>
      </c>
      <c r="C190" t="s">
        <v>3235</v>
      </c>
      <c r="D190" t="str">
        <f>VLOOKUP($C190,ТабКлиенты[[#All],[name]:[phone]],MATCH(D$1,ТабКлиенты[#Headers],0)-1,0)</f>
        <v>+79497386112</v>
      </c>
      <c r="E190" t="str">
        <f>VLOOKUP($C190,ТабАдрес[[#All],[Клиент]:[gps]],MATCH(E$1,ТабКлиенты[#Headers],0)-4,0)</f>
        <v>Шевченко 325</v>
      </c>
      <c r="F190" t="str">
        <f>VLOOKUP($C190,ТабАдрес[[#All],[Клиент]:[gps]],MATCH(F$1,ТабКлиенты[#Headers],0)-4,0)</f>
        <v>47.1193, 37.5172</v>
      </c>
      <c r="H190" s="181"/>
      <c r="I190" s="52" t="s">
        <v>5</v>
      </c>
      <c r="J190" s="52">
        <v>1</v>
      </c>
      <c r="K190" t="str">
        <f t="shared" si="5"/>
        <v>9. Любовь Виталий
Тел.: +79497386112
Адрес: Шевченко 325
№ заказа: Витамины
Кол-во мест: 1
https://yandex.ru/maps/?text=47.1193%2C37.5172
https://maps.google.com/?daddr=47.1193%2C37.5172
К оплате: **
**----------------------------------------------------------</v>
      </c>
    </row>
    <row r="191" spans="1:11" hidden="1" x14ac:dyDescent="0.25">
      <c r="A191">
        <v>10</v>
      </c>
      <c r="B191" s="179">
        <v>45521</v>
      </c>
      <c r="C191" t="s">
        <v>3262</v>
      </c>
      <c r="D191" t="e">
        <f>VLOOKUP($C191,ТабКлиенты[[#All],[name]:[phone]],MATCH(D$1,ТабКлиенты[#Headers],0)-1,0)</f>
        <v>#N/A</v>
      </c>
      <c r="E191" t="e">
        <f>VLOOKUP($C191,ТабАдрес[[#All],[Клиент]:[gps]],MATCH(E$1,ТабКлиенты[#Headers],0)-4,0)</f>
        <v>#N/A</v>
      </c>
      <c r="F191" t="e">
        <f>VLOOKUP($C191,ТабАдрес[[#All],[Клиент]:[gps]],MATCH(F$1,ТабКлиенты[#Headers],0)-4,0)</f>
        <v>#N/A</v>
      </c>
      <c r="H191" s="181"/>
      <c r="I191" s="52">
        <v>214</v>
      </c>
      <c r="J191" s="52">
        <v>1</v>
      </c>
      <c r="K191" t="e">
        <f t="shared" si="5"/>
        <v>#N/A</v>
      </c>
    </row>
    <row r="192" spans="1:11" hidden="1" x14ac:dyDescent="0.25">
      <c r="A192">
        <v>11</v>
      </c>
      <c r="B192" s="179">
        <v>45521</v>
      </c>
      <c r="C192" t="s">
        <v>3226</v>
      </c>
      <c r="D192" t="str">
        <f>VLOOKUP($C192,ТабКлиенты[[#All],[name]:[phone]],MATCH(D$1,ТабКлиенты[#Headers],0)-1,0)</f>
        <v>+79497169864</v>
      </c>
      <c r="E192" t="str">
        <f>VLOOKUP($C192,ТабАдрес[[#All],[Клиент]:[gps]],MATCH(E$1,ТабКлиенты[#Headers],0)-4,0)</f>
        <v>Строителей, 102</v>
      </c>
      <c r="F192" t="str">
        <f>VLOOKUP($C192,ТабАдрес[[#All],[Клиент]:[gps]],MATCH(F$1,ТабКлиенты[#Headers],0)-4,0)</f>
        <v>47.100776, 37.522477</v>
      </c>
      <c r="H192" s="181"/>
      <c r="I192" s="52" t="s">
        <v>5</v>
      </c>
      <c r="J192" s="52">
        <v>1</v>
      </c>
      <c r="K192" t="str">
        <f t="shared" si="5"/>
        <v>11. Надежда Витамины
Тел.: +79497169864
Адрес: Строителей, 102
№ заказа: Витамины
Кол-во мест: 1
https://yandex.ru/maps/?text=47.100776%2C37.522477
https://maps.google.com/?daddr=47.100776%2C37.522477
К оплате: **
**----------------------------------------------------------</v>
      </c>
    </row>
    <row r="193" spans="1:11" hidden="1" x14ac:dyDescent="0.25">
      <c r="A193">
        <v>12</v>
      </c>
      <c r="B193" s="179">
        <v>45521</v>
      </c>
      <c r="C193" t="s">
        <v>3231</v>
      </c>
      <c r="D193" t="str">
        <f>VLOOKUP($C193,ТабКлиенты[[#All],[name]:[phone]],MATCH(D$1,ТабКлиенты[#Headers],0)-1,0)</f>
        <v>+79497336840</v>
      </c>
      <c r="E193" t="str">
        <f>VLOOKUP($C193,ТабАдрес[[#All],[Клиент]:[gps]],MATCH(E$1,ТабКлиенты[#Headers],0)-4,0)</f>
        <v>Бригантина 152</v>
      </c>
      <c r="F193" t="str">
        <f>VLOOKUP($C193,ТабАдрес[[#All],[Клиент]:[gps]],MATCH(F$1,ТабКлиенты[#Headers],0)-4,0)</f>
        <v>47.0779, 37.4879</v>
      </c>
      <c r="H193" s="181">
        <v>6000</v>
      </c>
      <c r="I193" s="52" t="s">
        <v>5</v>
      </c>
      <c r="J193" s="52">
        <v>1</v>
      </c>
      <c r="K193" t="str">
        <f t="shared" si="5"/>
        <v>12. Татьяна Бригантина
Тел.: +79497336840
Адрес: Бригантина 152
№ заказа: Витамины
Кол-во мест: 1
https://yandex.ru/maps/?text=47.0779%2C37.4879
https://maps.google.com/?daddr=47.0779%2C37.4879
К оплате: **6000
**----------------------------------------------------------</v>
      </c>
    </row>
    <row r="194" spans="1:11" hidden="1" x14ac:dyDescent="0.25">
      <c r="A194">
        <v>13</v>
      </c>
      <c r="B194" s="179">
        <v>45521</v>
      </c>
      <c r="C194" t="s">
        <v>3143</v>
      </c>
      <c r="D194" t="e">
        <f>VLOOKUP($C194,ТабКлиенты[[#All],[name]:[phone]],MATCH(D$1,ТабКлиенты[#Headers],0)-1,0)</f>
        <v>#N/A</v>
      </c>
      <c r="E194" t="e">
        <f>VLOOKUP($C194,ТабАдрес[[#All],[Клиент]:[gps]],MATCH(E$1,ТабКлиенты[#Headers],0)-4,0)</f>
        <v>#N/A</v>
      </c>
      <c r="F194" t="e">
        <f>VLOOKUP($C194,ТабАдрес[[#All],[Клиент]:[gps]],MATCH(F$1,ТабКлиенты[#Headers],0)-4,0)</f>
        <v>#N/A</v>
      </c>
      <c r="H194" s="181">
        <v>433</v>
      </c>
      <c r="I194" s="52">
        <v>212</v>
      </c>
      <c r="J194" s="52">
        <v>4</v>
      </c>
      <c r="K194" t="e">
        <f t="shared" si="5"/>
        <v>#N/A</v>
      </c>
    </row>
    <row r="195" spans="1:11" hidden="1" x14ac:dyDescent="0.25">
      <c r="A195">
        <v>1</v>
      </c>
      <c r="B195" s="179">
        <v>45527</v>
      </c>
      <c r="C195" t="s">
        <v>4282</v>
      </c>
      <c r="D195" t="e">
        <f>VLOOKUP($C195,ТабКлиенты[[#All],[name]:[phone]],MATCH(D$1,ТабКлиенты[#Headers],0)-1,0)</f>
        <v>#N/A</v>
      </c>
      <c r="E195" t="e">
        <f>VLOOKUP($C195,ТабАдрес[[#All],[Клиент]:[gps]],MATCH(E$1,ТабКлиенты[#Headers],0)-4,0)</f>
        <v>#N/A</v>
      </c>
      <c r="F195" t="e">
        <f>VLOOKUP($C195,ТабАдрес[[#All],[Клиент]:[gps]],MATCH(F$1,ТабКлиенты[#Headers],0)-4,0)</f>
        <v>#N/A</v>
      </c>
      <c r="H195" s="181">
        <v>11900</v>
      </c>
      <c r="I195" s="52" t="s">
        <v>5</v>
      </c>
      <c r="J195" s="52">
        <v>1</v>
      </c>
      <c r="K195" t="e">
        <f t="shared" si="5"/>
        <v>#N/A</v>
      </c>
    </row>
    <row r="196" spans="1:11" hidden="1" x14ac:dyDescent="0.25">
      <c r="A196">
        <v>2</v>
      </c>
      <c r="B196" s="179">
        <v>45527</v>
      </c>
      <c r="C196" t="s">
        <v>4283</v>
      </c>
      <c r="D196" t="e">
        <f>VLOOKUP($C196,ТабКлиенты[[#All],[name]:[phone]],MATCH(D$1,ТабКлиенты[#Headers],0)-1,0)</f>
        <v>#N/A</v>
      </c>
      <c r="E196" t="e">
        <f>VLOOKUP($C196,ТабАдрес[[#All],[Клиент]:[gps]],MATCH(E$1,ТабКлиенты[#Headers],0)-4,0)</f>
        <v>#N/A</v>
      </c>
      <c r="F196" t="e">
        <f>VLOOKUP($C196,ТабАдрес[[#All],[Клиент]:[gps]],MATCH(F$1,ТабКлиенты[#Headers],0)-4,0)</f>
        <v>#N/A</v>
      </c>
      <c r="H196" s="181">
        <v>2000</v>
      </c>
      <c r="I196" s="52" t="s">
        <v>5</v>
      </c>
      <c r="J196" s="52">
        <v>1</v>
      </c>
      <c r="K196" t="e">
        <f t="shared" si="5"/>
        <v>#N/A</v>
      </c>
    </row>
    <row r="197" spans="1:11" hidden="1" x14ac:dyDescent="0.25">
      <c r="A197">
        <v>3</v>
      </c>
      <c r="B197" s="179">
        <v>45527</v>
      </c>
      <c r="C197" t="s">
        <v>3167</v>
      </c>
      <c r="D197" t="e">
        <f>VLOOKUP($C197,ТабКлиенты[[#All],[name]:[phone]],MATCH(D$1,ТабКлиенты[#Headers],0)-1,0)</f>
        <v>#N/A</v>
      </c>
      <c r="E197" t="e">
        <f>VLOOKUP($C197,ТабАдрес[[#All],[Клиент]:[gps]],MATCH(E$1,ТабКлиенты[#Headers],0)-4,0)</f>
        <v>#N/A</v>
      </c>
      <c r="F197" t="e">
        <f>VLOOKUP($C197,ТабАдрес[[#All],[Клиент]:[gps]],MATCH(F$1,ТабКлиенты[#Headers],0)-4,0)</f>
        <v>#N/A</v>
      </c>
      <c r="H197" s="181">
        <v>-858</v>
      </c>
      <c r="I197" s="52">
        <v>216</v>
      </c>
      <c r="J197" s="52">
        <v>2</v>
      </c>
      <c r="K197" t="e">
        <f t="shared" si="5"/>
        <v>#N/A</v>
      </c>
    </row>
    <row r="198" spans="1:11" hidden="1" x14ac:dyDescent="0.25">
      <c r="A198">
        <v>4</v>
      </c>
      <c r="B198" s="179">
        <v>45527</v>
      </c>
      <c r="C198" t="s">
        <v>3168</v>
      </c>
      <c r="D198" t="e">
        <f>VLOOKUP($C198,ТабКлиенты[[#All],[name]:[phone]],MATCH(D$1,ТабКлиенты[#Headers],0)-1,0)</f>
        <v>#N/A</v>
      </c>
      <c r="E198" t="e">
        <f>VLOOKUP($C198,ТабАдрес[[#All],[Клиент]:[gps]],MATCH(E$1,ТабКлиенты[#Headers],0)-4,0)</f>
        <v>#N/A</v>
      </c>
      <c r="F198" t="e">
        <f>VLOOKUP($C198,ТабАдрес[[#All],[Клиент]:[gps]],MATCH(F$1,ТабКлиенты[#Headers],0)-4,0)</f>
        <v>#N/A</v>
      </c>
      <c r="H198" s="181">
        <v>0</v>
      </c>
      <c r="I198" s="52" t="s">
        <v>4284</v>
      </c>
      <c r="J198" s="52">
        <v>4</v>
      </c>
      <c r="K198" t="e">
        <f t="shared" si="5"/>
        <v>#N/A</v>
      </c>
    </row>
    <row r="199" spans="1:11" hidden="1" x14ac:dyDescent="0.25">
      <c r="A199">
        <v>5</v>
      </c>
      <c r="B199" s="179">
        <v>45527</v>
      </c>
      <c r="C199" t="s">
        <v>3149</v>
      </c>
      <c r="D199" t="e">
        <f>VLOOKUP($C199,ТабКлиенты[[#All],[name]:[phone]],MATCH(D$1,ТабКлиенты[#Headers],0)-1,0)</f>
        <v>#N/A</v>
      </c>
      <c r="E199" t="e">
        <f>VLOOKUP($C199,ТабАдрес[[#All],[Клиент]:[gps]],MATCH(E$1,ТабКлиенты[#Headers],0)-4,0)</f>
        <v>#N/A</v>
      </c>
      <c r="F199" t="e">
        <f>VLOOKUP($C199,ТабАдрес[[#All],[Клиент]:[gps]],MATCH(F$1,ТабКлиенты[#Headers],0)-4,0)</f>
        <v>#N/A</v>
      </c>
      <c r="H199" s="181">
        <v>0</v>
      </c>
      <c r="I199" s="52" t="s">
        <v>4285</v>
      </c>
      <c r="J199" s="52">
        <v>1</v>
      </c>
      <c r="K199" t="e">
        <f t="shared" si="5"/>
        <v>#N/A</v>
      </c>
    </row>
    <row r="200" spans="1:11" hidden="1" x14ac:dyDescent="0.25">
      <c r="A200">
        <v>6</v>
      </c>
      <c r="B200" s="179">
        <v>45527</v>
      </c>
      <c r="C200" t="s">
        <v>3126</v>
      </c>
      <c r="D200" t="e">
        <f>VLOOKUP($C200,ТабКлиенты[[#All],[name]:[phone]],MATCH(D$1,ТабКлиенты[#Headers],0)-1,0)</f>
        <v>#N/A</v>
      </c>
      <c r="E200" t="e">
        <f>VLOOKUP($C200,ТабАдрес[[#All],[Клиент]:[gps]],MATCH(E$1,ТабКлиенты[#Headers],0)-4,0)</f>
        <v>#N/A</v>
      </c>
      <c r="F200" t="e">
        <f>VLOOKUP($C200,ТабАдрес[[#All],[Клиент]:[gps]],MATCH(F$1,ТабКлиенты[#Headers],0)-4,0)</f>
        <v>#N/A</v>
      </c>
      <c r="H200" s="181">
        <v>3000</v>
      </c>
      <c r="I200" s="52">
        <v>219</v>
      </c>
      <c r="J200" s="52">
        <v>1</v>
      </c>
      <c r="K200" t="e">
        <f t="shared" si="5"/>
        <v>#N/A</v>
      </c>
    </row>
    <row r="201" spans="1:11" hidden="1" x14ac:dyDescent="0.25">
      <c r="A201">
        <v>7</v>
      </c>
      <c r="B201" s="179">
        <v>45527</v>
      </c>
      <c r="C201" t="s">
        <v>3210</v>
      </c>
      <c r="D201" t="e">
        <f>VLOOKUP($C201,ТабКлиенты[[#All],[name]:[phone]],MATCH(D$1,ТабКлиенты[#Headers],0)-1,0)</f>
        <v>#N/A</v>
      </c>
      <c r="E201" t="e">
        <f>VLOOKUP($C201,ТабАдрес[[#All],[Клиент]:[gps]],MATCH(E$1,ТабКлиенты[#Headers],0)-4,0)</f>
        <v>#N/A</v>
      </c>
      <c r="F201" t="e">
        <f>VLOOKUP($C201,ТабАдрес[[#All],[Клиент]:[gps]],MATCH(F$1,ТабКлиенты[#Headers],0)-4,0)</f>
        <v>#N/A</v>
      </c>
      <c r="H201" s="181">
        <v>0</v>
      </c>
      <c r="I201" s="52">
        <v>217</v>
      </c>
      <c r="J201" s="52">
        <v>1</v>
      </c>
      <c r="K201" t="e">
        <f t="shared" si="5"/>
        <v>#N/A</v>
      </c>
    </row>
    <row r="202" spans="1:11" hidden="1" x14ac:dyDescent="0.25">
      <c r="A202">
        <v>8</v>
      </c>
      <c r="B202" s="179">
        <v>45527</v>
      </c>
      <c r="C202" t="s">
        <v>3252</v>
      </c>
      <c r="D202" t="str">
        <f>VLOOKUP($C202,ТабКлиенты[[#All],[name]:[phone]],MATCH(D$1,ТабКлиенты[#Headers],0)-1,0)</f>
        <v>+79497115237</v>
      </c>
      <c r="E202" t="str">
        <f>VLOOKUP($C202,ТабАдрес[[#All],[Клиент]:[gps]],MATCH(E$1,ТабКлиенты[#Headers],0)-4,0)</f>
        <v>пер Станционный 8</v>
      </c>
      <c r="F202" t="str">
        <f>VLOOKUP($C202,ТабАдрес[[#All],[Клиент]:[gps]],MATCH(F$1,ТабКлиенты[#Headers],0)-4,0)</f>
        <v>47.1640, 37.5780</v>
      </c>
      <c r="H202" s="181">
        <v>5400</v>
      </c>
      <c r="I202" s="52" t="s">
        <v>5</v>
      </c>
      <c r="J202" s="52">
        <v>1</v>
      </c>
      <c r="K202" t="str">
        <f t="shared" si="5"/>
        <v>8. Аня Мирный
Тел.: +79497115237
Адрес: пер Станционный 8
№ заказа: Витамины
Кол-во мест: 1
https://yandex.ru/maps/?text=47.1640%2C37.5780
https://maps.google.com/?daddr=47.1640%2C37.5780
К оплате: **5400
**----------------------------------------------------------</v>
      </c>
    </row>
    <row r="203" spans="1:11" hidden="1" x14ac:dyDescent="0.25">
      <c r="A203">
        <v>9</v>
      </c>
      <c r="B203" s="179">
        <v>45527</v>
      </c>
      <c r="C203" t="s">
        <v>3279</v>
      </c>
      <c r="D203" t="e">
        <f>VLOOKUP($C203,ТабКлиенты[[#All],[name]:[phone]],MATCH(D$1,ТабКлиенты[#Headers],0)-1,0)</f>
        <v>#N/A</v>
      </c>
      <c r="E203" t="e">
        <f>VLOOKUP($C203,ТабАдрес[[#All],[Клиент]:[gps]],MATCH(E$1,ТабКлиенты[#Headers],0)-4,0)</f>
        <v>#N/A</v>
      </c>
      <c r="F203" t="e">
        <f>VLOOKUP($C203,ТабАдрес[[#All],[Клиент]:[gps]],MATCH(F$1,ТабКлиенты[#Headers],0)-4,0)</f>
        <v>#N/A</v>
      </c>
      <c r="H203" s="181">
        <v>2273</v>
      </c>
      <c r="I203" s="52">
        <v>220</v>
      </c>
      <c r="J203" s="52">
        <v>4</v>
      </c>
      <c r="K203" t="e">
        <f t="shared" si="5"/>
        <v>#N/A</v>
      </c>
    </row>
    <row r="204" spans="1:11" hidden="1" x14ac:dyDescent="0.25">
      <c r="A204">
        <v>10</v>
      </c>
      <c r="B204" s="179">
        <v>45527</v>
      </c>
      <c r="C204" t="s">
        <v>3129</v>
      </c>
      <c r="D204" t="e">
        <f>VLOOKUP($C204,ТабКлиенты[[#All],[name]:[phone]],MATCH(D$1,ТабКлиенты[#Headers],0)-1,0)</f>
        <v>#N/A</v>
      </c>
      <c r="E204" t="e">
        <f>VLOOKUP($C204,ТабАдрес[[#All],[Клиент]:[gps]],MATCH(E$1,ТабКлиенты[#Headers],0)-4,0)</f>
        <v>#N/A</v>
      </c>
      <c r="F204" t="e">
        <f>VLOOKUP($C204,ТабАдрес[[#All],[Клиент]:[gps]],MATCH(F$1,ТабКлиенты[#Headers],0)-4,0)</f>
        <v>#N/A</v>
      </c>
      <c r="H204" s="181">
        <v>0</v>
      </c>
      <c r="I204" s="52" t="s">
        <v>4286</v>
      </c>
      <c r="J204" s="52">
        <v>3</v>
      </c>
      <c r="K204" t="e">
        <f t="shared" si="5"/>
        <v>#N/A</v>
      </c>
    </row>
    <row r="205" spans="1:11" hidden="1" x14ac:dyDescent="0.25">
      <c r="A205">
        <v>11</v>
      </c>
      <c r="B205" s="179">
        <v>45527</v>
      </c>
      <c r="C205" t="s">
        <v>3235</v>
      </c>
      <c r="D205" t="str">
        <f>VLOOKUP($C205,ТабКлиенты[[#All],[name]:[phone]],MATCH(D$1,ТабКлиенты[#Headers],0)-1,0)</f>
        <v>+79497386112</v>
      </c>
      <c r="E205" t="str">
        <f>VLOOKUP($C205,ТабАдрес[[#All],[Клиент]:[gps]],MATCH(E$1,ТабКлиенты[#Headers],0)-4,0)</f>
        <v>Шевченко 325</v>
      </c>
      <c r="F205" t="str">
        <f>VLOOKUP($C205,ТабАдрес[[#All],[Клиент]:[gps]],MATCH(F$1,ТабКлиенты[#Headers],0)-4,0)</f>
        <v>47.1193, 37.5172</v>
      </c>
      <c r="H205" s="181">
        <f>6200+5500+2500</f>
        <v>14200</v>
      </c>
      <c r="I205" s="52" t="s">
        <v>5</v>
      </c>
      <c r="J205" s="52">
        <v>1</v>
      </c>
      <c r="K205" t="str">
        <f t="shared" si="5"/>
        <v>11. Любовь Виталий
Тел.: +79497386112
Адрес: Шевченко 325
№ заказа: Витамины
Кол-во мест: 1
https://yandex.ru/maps/?text=47.1193%2C37.5172
https://maps.google.com/?daddr=47.1193%2C37.5172
К оплате: **14200
**----------------------------------------------------------</v>
      </c>
    </row>
    <row r="206" spans="1:11" hidden="1" x14ac:dyDescent="0.25">
      <c r="A206">
        <v>12</v>
      </c>
      <c r="B206" s="179">
        <v>45527</v>
      </c>
      <c r="C206" t="s">
        <v>3280</v>
      </c>
      <c r="D206" t="str">
        <f>VLOOKUP($C206,ТабКлиенты[[#All],[name]:[phone]],MATCH(D$1,ТабКлиенты[#Headers],0)-1,0)</f>
        <v>+79497094719</v>
      </c>
      <c r="E206" t="str">
        <f>VLOOKUP($C206,ТабАдрес[[#All],[Клиент]:[gps]],MATCH(E$1,ТабКлиенты[#Headers],0)-4,0)</f>
        <v>Апатова, 125</v>
      </c>
      <c r="F206" t="str">
        <f>VLOOKUP($C206,ТабАдрес[[#All],[Клиент]:[gps]],MATCH(F$1,ТабКлиенты[#Headers],0)-4,0)</f>
        <v>47.094114, 37.535889</v>
      </c>
      <c r="H206" s="181">
        <v>5000</v>
      </c>
      <c r="I206" s="52" t="s">
        <v>5</v>
      </c>
      <c r="J206" s="52">
        <v>1</v>
      </c>
      <c r="K206" t="str">
        <f t="shared" si="5"/>
        <v>12. Наталья магазин
Тел.: +79497094719
Адрес: Апатова, 125
№ заказа: Витамины
Кол-во мест: 1
https://yandex.ru/maps/?text=47.094114%2C37.535889
https://maps.google.com/?daddr=47.094114%2C37.535889
К оплате: **5000
**----------------------------------------------------------</v>
      </c>
    </row>
    <row r="207" spans="1:11" hidden="1" x14ac:dyDescent="0.25">
      <c r="A207">
        <v>13</v>
      </c>
      <c r="B207" s="179">
        <v>45527</v>
      </c>
      <c r="C207" t="s">
        <v>3241</v>
      </c>
      <c r="D207" t="str">
        <f>VLOOKUP($C207,ТабКлиенты[[#All],[name]:[phone]],MATCH(D$1,ТабКлиенты[#Headers],0)-1,0)</f>
        <v>+79497064345</v>
      </c>
      <c r="E207" t="str">
        <f>VLOOKUP($C207,ТабАдрес[[#All],[Клиент]:[gps]],MATCH(E$1,ТабКлиенты[#Headers],0)-4,0)</f>
        <v>Шевченко 270</v>
      </c>
      <c r="F207" t="str">
        <f>VLOOKUP($C207,ТабАдрес[[#All],[Клиент]:[gps]],MATCH(F$1,ТабКлиенты[#Headers],0)-4,0)</f>
        <v>47.1157, 37.5138</v>
      </c>
      <c r="H207" s="181">
        <v>3400</v>
      </c>
      <c r="I207" s="52" t="s">
        <v>5</v>
      </c>
      <c r="J207" s="52">
        <v>1</v>
      </c>
      <c r="K207" t="str">
        <f t="shared" si="5"/>
        <v>13. Татьяна Леонидовна
Тел.: +79497064345
Адрес: Шевченко 270
№ заказа: Витамины
Кол-во мест: 1
https://yandex.ru/maps/?text=47.1157%2C37.5138
https://maps.google.com/?daddr=47.1157%2C37.5138
К оплате: **3400
**----------------------------------------------------------</v>
      </c>
    </row>
    <row r="208" spans="1:11" hidden="1" x14ac:dyDescent="0.25">
      <c r="A208">
        <v>14</v>
      </c>
      <c r="B208" s="179">
        <v>45527</v>
      </c>
      <c r="C208" t="s">
        <v>3249</v>
      </c>
      <c r="D208" t="e">
        <f>VLOOKUP($C208,ТабКлиенты[[#All],[name]:[phone]],MATCH(D$1,ТабКлиенты[#Headers],0)-1,0)</f>
        <v>#N/A</v>
      </c>
      <c r="E208" t="e">
        <f>VLOOKUP($C208,ТабАдрес[[#All],[Клиент]:[gps]],MATCH(E$1,ТабКлиенты[#Headers],0)-4,0)</f>
        <v>#N/A</v>
      </c>
      <c r="F208" t="e">
        <f>VLOOKUP($C208,ТабАдрес[[#All],[Клиент]:[gps]],MATCH(F$1,ТабКлиенты[#Headers],0)-4,0)</f>
        <v>#N/A</v>
      </c>
      <c r="H208" s="181">
        <v>5900</v>
      </c>
      <c r="I208" s="52" t="s">
        <v>5</v>
      </c>
      <c r="J208" s="52">
        <v>1</v>
      </c>
      <c r="K208" t="e">
        <f t="shared" si="5"/>
        <v>#N/A</v>
      </c>
    </row>
    <row r="209" spans="1:11" hidden="1" x14ac:dyDescent="0.25">
      <c r="A209">
        <v>15</v>
      </c>
      <c r="B209" s="179">
        <v>45527</v>
      </c>
      <c r="C209" t="s">
        <v>4287</v>
      </c>
      <c r="D209" t="e">
        <f>VLOOKUP($C209,ТабКлиенты[[#All],[name]:[phone]],MATCH(D$1,ТабКлиенты[#Headers],0)-1,0)</f>
        <v>#N/A</v>
      </c>
      <c r="E209" t="e">
        <f>VLOOKUP($C209,ТабАдрес[[#All],[Клиент]:[gps]],MATCH(E$1,ТабКлиенты[#Headers],0)-4,0)</f>
        <v>#N/A</v>
      </c>
      <c r="F209" t="e">
        <f>VLOOKUP($C209,ТабАдрес[[#All],[Клиент]:[gps]],MATCH(F$1,ТабКлиенты[#Headers],0)-4,0)</f>
        <v>#N/A</v>
      </c>
      <c r="H209" s="181"/>
      <c r="K209" t="e">
        <f t="shared" si="5"/>
        <v>#N/A</v>
      </c>
    </row>
    <row r="210" spans="1:11" hidden="1" x14ac:dyDescent="0.25">
      <c r="A210">
        <v>16</v>
      </c>
      <c r="B210" s="179">
        <v>45527</v>
      </c>
      <c r="C210" t="s">
        <v>3263</v>
      </c>
      <c r="D210" t="e">
        <f>VLOOKUP($C210,ТабКлиенты[[#All],[name]:[phone]],MATCH(D$1,ТабКлиенты[#Headers],0)-1,0)</f>
        <v>#N/A</v>
      </c>
      <c r="E210" t="e">
        <f>VLOOKUP($C210,ТабАдрес[[#All],[Клиент]:[gps]],MATCH(E$1,ТабКлиенты[#Headers],0)-4,0)</f>
        <v>#N/A</v>
      </c>
      <c r="F210" t="e">
        <f>VLOOKUP($C210,ТабАдрес[[#All],[Клиент]:[gps]],MATCH(F$1,ТабКлиенты[#Headers],0)-4,0)</f>
        <v>#N/A</v>
      </c>
      <c r="H210" s="181">
        <v>834</v>
      </c>
      <c r="I210" s="52">
        <v>221</v>
      </c>
      <c r="J210" s="52">
        <v>3</v>
      </c>
      <c r="K210" t="e">
        <f t="shared" si="5"/>
        <v>#N/A</v>
      </c>
    </row>
    <row r="211" spans="1:11" hidden="1" x14ac:dyDescent="0.25">
      <c r="A211">
        <v>17</v>
      </c>
      <c r="B211" s="179">
        <v>45527</v>
      </c>
      <c r="C211" t="s">
        <v>3125</v>
      </c>
      <c r="D211" t="e">
        <f>VLOOKUP($C211,ТабКлиенты[[#All],[name]:[phone]],MATCH(D$1,ТабКлиенты[#Headers],0)-1,0)</f>
        <v>#N/A</v>
      </c>
      <c r="E211" t="e">
        <f>VLOOKUP($C211,ТабАдрес[[#All],[Клиент]:[gps]],MATCH(E$1,ТабКлиенты[#Headers],0)-4,0)</f>
        <v>#N/A</v>
      </c>
      <c r="F211" t="e">
        <f>VLOOKUP($C211,ТабАдрес[[#All],[Клиент]:[gps]],MATCH(F$1,ТабКлиенты[#Headers],0)-4,0)</f>
        <v>#N/A</v>
      </c>
      <c r="H211" s="181">
        <v>0</v>
      </c>
      <c r="I211" s="52">
        <v>199</v>
      </c>
      <c r="J211" s="52">
        <v>1</v>
      </c>
      <c r="K211" t="e">
        <f t="shared" si="5"/>
        <v>#N/A</v>
      </c>
    </row>
    <row r="212" spans="1:11" hidden="1" x14ac:dyDescent="0.25">
      <c r="A212">
        <v>1</v>
      </c>
      <c r="B212" s="179">
        <v>45535</v>
      </c>
      <c r="C212" t="s">
        <v>3168</v>
      </c>
      <c r="D212" t="e">
        <f>VLOOKUP($C212,ТабКлиенты[[#All],[name]:[phone]],MATCH(D$1,ТабКлиенты[#Headers],0)-1,0)</f>
        <v>#N/A</v>
      </c>
      <c r="E212" t="e">
        <f>VLOOKUP($C212,ТабАдрес[[#All],[Клиент]:[gps]],MATCH(E$1,ТабКлиенты[#Headers],0)-4,0)</f>
        <v>#N/A</v>
      </c>
      <c r="F212" t="e">
        <f>VLOOKUP($C212,ТабАдрес[[#All],[Клиент]:[gps]],MATCH(F$1,ТабКлиенты[#Headers],0)-4,0)</f>
        <v>#N/A</v>
      </c>
      <c r="H212" s="181">
        <v>7106</v>
      </c>
      <c r="I212" s="52">
        <v>222</v>
      </c>
      <c r="J212" s="52">
        <v>1</v>
      </c>
      <c r="K212" t="e">
        <f t="shared" si="5"/>
        <v>#N/A</v>
      </c>
    </row>
    <row r="213" spans="1:11" hidden="1" x14ac:dyDescent="0.25">
      <c r="A213">
        <v>3</v>
      </c>
      <c r="B213" s="179">
        <v>45535</v>
      </c>
      <c r="C213" t="s">
        <v>3210</v>
      </c>
      <c r="D213" t="e">
        <f>VLOOKUP($C213,ТабКлиенты[[#All],[name]:[phone]],MATCH(D$1,ТабКлиенты[#Headers],0)-1,0)</f>
        <v>#N/A</v>
      </c>
      <c r="E213" t="e">
        <f>VLOOKUP($C213,ТабАдрес[[#All],[Клиент]:[gps]],MATCH(E$1,ТабКлиенты[#Headers],0)-4,0)</f>
        <v>#N/A</v>
      </c>
      <c r="F213" t="e">
        <f>VLOOKUP($C213,ТабАдрес[[#All],[Клиент]:[gps]],MATCH(F$1,ТабКлиенты[#Headers],0)-4,0)</f>
        <v>#N/A</v>
      </c>
      <c r="H213" s="181">
        <v>0</v>
      </c>
      <c r="I213" s="52" t="s">
        <v>4288</v>
      </c>
      <c r="J213" s="52">
        <v>1</v>
      </c>
      <c r="K213" t="e">
        <f t="shared" si="5"/>
        <v>#N/A</v>
      </c>
    </row>
    <row r="214" spans="1:11" hidden="1" x14ac:dyDescent="0.25">
      <c r="A214">
        <v>4</v>
      </c>
      <c r="B214" s="179">
        <v>45535</v>
      </c>
      <c r="C214" t="s">
        <v>3126</v>
      </c>
      <c r="D214" t="e">
        <f>VLOOKUP($C214,ТабКлиенты[[#All],[name]:[phone]],MATCH(D$1,ТабКлиенты[#Headers],0)-1,0)</f>
        <v>#N/A</v>
      </c>
      <c r="E214" t="e">
        <f>VLOOKUP($C214,ТабАдрес[[#All],[Клиент]:[gps]],MATCH(E$1,ТабКлиенты[#Headers],0)-4,0)</f>
        <v>#N/A</v>
      </c>
      <c r="F214" t="e">
        <f>VLOOKUP($C214,ТабАдрес[[#All],[Клиент]:[gps]],MATCH(F$1,ТабКлиенты[#Headers],0)-4,0)</f>
        <v>#N/A</v>
      </c>
      <c r="H214" s="181">
        <v>3000</v>
      </c>
      <c r="I214" s="52">
        <v>219</v>
      </c>
      <c r="J214" s="52">
        <v>2</v>
      </c>
      <c r="K214" t="e">
        <f t="shared" si="5"/>
        <v>#N/A</v>
      </c>
    </row>
    <row r="215" spans="1:11" hidden="1" x14ac:dyDescent="0.25">
      <c r="A215">
        <v>5</v>
      </c>
      <c r="B215" s="179">
        <v>45535</v>
      </c>
      <c r="C215" t="s">
        <v>3294</v>
      </c>
      <c r="D215" t="e">
        <f>VLOOKUP($C215,ТабКлиенты[[#All],[name]:[phone]],MATCH(D$1,ТабКлиенты[#Headers],0)-1,0)</f>
        <v>#N/A</v>
      </c>
      <c r="E215" t="e">
        <f>VLOOKUP($C215,ТабАдрес[[#All],[Клиент]:[gps]],MATCH(E$1,ТабКлиенты[#Headers],0)-4,0)</f>
        <v>#N/A</v>
      </c>
      <c r="F215" t="e">
        <f>VLOOKUP($C215,ТабАдрес[[#All],[Клиент]:[gps]],MATCH(F$1,ТабКлиенты[#Headers],0)-4,0)</f>
        <v>#N/A</v>
      </c>
      <c r="H215" s="181">
        <v>0</v>
      </c>
      <c r="I215" s="52">
        <v>223</v>
      </c>
      <c r="J215" s="52">
        <v>1</v>
      </c>
      <c r="K215" t="e">
        <f t="shared" si="5"/>
        <v>#N/A</v>
      </c>
    </row>
    <row r="216" spans="1:11" hidden="1" x14ac:dyDescent="0.25">
      <c r="A216">
        <v>6</v>
      </c>
      <c r="B216" s="179">
        <v>45535</v>
      </c>
      <c r="C216" t="s">
        <v>3286</v>
      </c>
      <c r="D216" t="e">
        <f>VLOOKUP($C216,ТабКлиенты[[#All],[name]:[phone]],MATCH(D$1,ТабКлиенты[#Headers],0)-1,0)</f>
        <v>#N/A</v>
      </c>
      <c r="E216" t="e">
        <f>VLOOKUP($C216,ТабАдрес[[#All],[Клиент]:[gps]],MATCH(E$1,ТабКлиенты[#Headers],0)-4,0)</f>
        <v>#N/A</v>
      </c>
      <c r="F216" t="e">
        <f>VLOOKUP($C216,ТабАдрес[[#All],[Клиент]:[gps]],MATCH(F$1,ТабКлиенты[#Headers],0)-4,0)</f>
        <v>#N/A</v>
      </c>
      <c r="H216" s="181">
        <v>5700</v>
      </c>
      <c r="I216" s="52" t="s">
        <v>5</v>
      </c>
      <c r="J216" s="52">
        <v>1</v>
      </c>
      <c r="K216" t="e">
        <f t="shared" si="5"/>
        <v>#N/A</v>
      </c>
    </row>
    <row r="217" spans="1:11" hidden="1" x14ac:dyDescent="0.25">
      <c r="A217">
        <v>7</v>
      </c>
      <c r="B217" s="179">
        <v>45535</v>
      </c>
      <c r="C217" t="s">
        <v>3129</v>
      </c>
      <c r="D217" t="e">
        <f>VLOOKUP($C217,ТабКлиенты[[#All],[name]:[phone]],MATCH(D$1,ТабКлиенты[#Headers],0)-1,0)</f>
        <v>#N/A</v>
      </c>
      <c r="E217" t="e">
        <f>VLOOKUP($C217,ТабАдрес[[#All],[Клиент]:[gps]],MATCH(E$1,ТабКлиенты[#Headers],0)-4,0)</f>
        <v>#N/A</v>
      </c>
      <c r="F217" t="e">
        <f>VLOOKUP($C217,ТабАдрес[[#All],[Клиент]:[gps]],MATCH(F$1,ТабКлиенты[#Headers],0)-4,0)</f>
        <v>#N/A</v>
      </c>
      <c r="H217" s="181">
        <v>6958</v>
      </c>
      <c r="I217" s="52">
        <v>191</v>
      </c>
      <c r="J217" s="52">
        <v>4</v>
      </c>
      <c r="K217" t="e">
        <f t="shared" si="5"/>
        <v>#N/A</v>
      </c>
    </row>
    <row r="218" spans="1:11" hidden="1" x14ac:dyDescent="0.25">
      <c r="A218">
        <v>8</v>
      </c>
      <c r="B218" s="179">
        <v>45535</v>
      </c>
      <c r="C218" t="s">
        <v>4252</v>
      </c>
      <c r="D218" t="e">
        <f>VLOOKUP($C218,ТабКлиенты[[#All],[name]:[phone]],MATCH(D$1,ТабКлиенты[#Headers],0)-1,0)</f>
        <v>#N/A</v>
      </c>
      <c r="E218" t="e">
        <f>VLOOKUP($C218,ТабАдрес[[#All],[Клиент]:[gps]],MATCH(E$1,ТабКлиенты[#Headers],0)-4,0)</f>
        <v>#N/A</v>
      </c>
      <c r="F218" t="e">
        <f>VLOOKUP($C218,ТабАдрес[[#All],[Клиент]:[gps]],MATCH(F$1,ТабКлиенты[#Headers],0)-4,0)</f>
        <v>#N/A</v>
      </c>
      <c r="H218" s="181">
        <v>26340</v>
      </c>
      <c r="I218" s="52" t="s">
        <v>5</v>
      </c>
      <c r="J218" s="52">
        <v>1</v>
      </c>
      <c r="K218" t="e">
        <f t="shared" si="5"/>
        <v>#N/A</v>
      </c>
    </row>
    <row r="219" spans="1:11" hidden="1" x14ac:dyDescent="0.25">
      <c r="A219">
        <v>9</v>
      </c>
      <c r="B219" s="179">
        <v>45535</v>
      </c>
      <c r="C219" t="s">
        <v>3235</v>
      </c>
      <c r="D219" t="str">
        <f>VLOOKUP($C219,ТабКлиенты[[#All],[name]:[phone]],MATCH(D$1,ТабКлиенты[#Headers],0)-1,0)</f>
        <v>+79497386112</v>
      </c>
      <c r="E219" t="str">
        <f>VLOOKUP($C219,ТабАдрес[[#All],[Клиент]:[gps]],MATCH(E$1,ТабКлиенты[#Headers],0)-4,0)</f>
        <v>Шевченко 325</v>
      </c>
      <c r="F219" t="str">
        <f>VLOOKUP($C219,ТабАдрес[[#All],[Клиент]:[gps]],MATCH(F$1,ТабКлиенты[#Headers],0)-4,0)</f>
        <v>47.1193, 37.5172</v>
      </c>
      <c r="H219" s="181">
        <v>3500</v>
      </c>
      <c r="I219" s="52" t="s">
        <v>5</v>
      </c>
      <c r="J219" s="52">
        <v>1</v>
      </c>
      <c r="K219" t="str">
        <f t="shared" si="5"/>
        <v>9. Любовь Виталий
Тел.: +79497386112
Адрес: Шевченко 325
№ заказа: Витамины
Кол-во мест: 1
https://yandex.ru/maps/?text=47.1193%2C37.5172
https://maps.google.com/?daddr=47.1193%2C37.5172
К оплате: **3500
**----------------------------------------------------------</v>
      </c>
    </row>
    <row r="220" spans="1:11" hidden="1" x14ac:dyDescent="0.25">
      <c r="A220">
        <v>10</v>
      </c>
      <c r="B220" s="179">
        <v>45535</v>
      </c>
      <c r="C220" t="s">
        <v>3262</v>
      </c>
      <c r="D220" t="e">
        <f>VLOOKUP($C220,ТабКлиенты[[#All],[name]:[phone]],MATCH(D$1,ТабКлиенты[#Headers],0)-1,0)</f>
        <v>#N/A</v>
      </c>
      <c r="E220" t="e">
        <f>VLOOKUP($C220,ТабАдрес[[#All],[Клиент]:[gps]],MATCH(E$1,ТабКлиенты[#Headers],0)-4,0)</f>
        <v>#N/A</v>
      </c>
      <c r="F220" t="e">
        <f>VLOOKUP($C220,ТабАдрес[[#All],[Клиент]:[gps]],MATCH(F$1,ТабКлиенты[#Headers],0)-4,0)</f>
        <v>#N/A</v>
      </c>
      <c r="H220" s="181">
        <v>346</v>
      </c>
      <c r="I220" s="52">
        <v>229</v>
      </c>
      <c r="J220" s="52">
        <v>1</v>
      </c>
      <c r="K220" t="e">
        <f t="shared" si="5"/>
        <v>#N/A</v>
      </c>
    </row>
    <row r="221" spans="1:11" hidden="1" x14ac:dyDescent="0.25">
      <c r="A221">
        <v>11</v>
      </c>
      <c r="B221" s="179">
        <v>45535</v>
      </c>
      <c r="C221" t="s">
        <v>3282</v>
      </c>
      <c r="D221" t="str">
        <f>VLOOKUP($C221,ТабКлиенты[[#All],[name]:[phone]],MATCH(D$1,ТабКлиенты[#Headers],0)-1,0)</f>
        <v>+79497054056</v>
      </c>
      <c r="E221" t="str">
        <f>VLOOKUP($C221,ТабАдрес[[#All],[Клиент]:[gps]],MATCH(E$1,ТабКлиенты[#Headers],0)-4,0)</f>
        <v>пер. Новгородский 41</v>
      </c>
      <c r="F221" t="str">
        <f>VLOOKUP($C221,ТабАдрес[[#All],[Клиент]:[gps]],MATCH(F$1,ТабКлиенты[#Headers],0)-4,0)</f>
        <v>47.1100, 37.5242</v>
      </c>
      <c r="H221" s="181">
        <v>23400</v>
      </c>
      <c r="I221" s="52" t="s">
        <v>5</v>
      </c>
      <c r="J221" s="52">
        <v>2</v>
      </c>
      <c r="K221" t="str">
        <f t="shared" si="5"/>
        <v>11. Лариса Терраспорт
Тел.: +79497054056
Адрес: пер. Новгородский 41
№ заказа: Витамины
Кол-во мест: 2
https://yandex.ru/maps/?text=47.1100%2C37.5242
https://maps.google.com/?daddr=47.1100%2C37.5242
К оплате: **23400
**----------------------------------------------------------</v>
      </c>
    </row>
    <row r="222" spans="1:11" hidden="1" x14ac:dyDescent="0.25">
      <c r="A222">
        <v>12</v>
      </c>
      <c r="B222" s="179">
        <v>45535</v>
      </c>
      <c r="C222" t="s">
        <v>3263</v>
      </c>
      <c r="D222" t="e">
        <f>VLOOKUP($C222,ТабКлиенты[[#All],[name]:[phone]],MATCH(D$1,ТабКлиенты[#Headers],0)-1,0)</f>
        <v>#N/A</v>
      </c>
      <c r="E222" t="e">
        <f>VLOOKUP($C222,ТабАдрес[[#All],[Клиент]:[gps]],MATCH(E$1,ТабКлиенты[#Headers],0)-4,0)</f>
        <v>#N/A</v>
      </c>
      <c r="F222" t="e">
        <f>VLOOKUP($C222,ТабАдрес[[#All],[Клиент]:[gps]],MATCH(F$1,ТабКлиенты[#Headers],0)-4,0)</f>
        <v>#N/A</v>
      </c>
      <c r="H222" s="181">
        <v>303</v>
      </c>
      <c r="I222" s="52">
        <v>228</v>
      </c>
      <c r="J222" s="52">
        <v>1</v>
      </c>
      <c r="K222" t="e">
        <f t="shared" si="5"/>
        <v>#N/A</v>
      </c>
    </row>
    <row r="223" spans="1:11" hidden="1" x14ac:dyDescent="0.25">
      <c r="A223">
        <v>13</v>
      </c>
      <c r="B223" s="179">
        <v>45535</v>
      </c>
      <c r="C223" t="s">
        <v>3226</v>
      </c>
      <c r="D223" t="str">
        <f>VLOOKUP($C223,ТабКлиенты[[#All],[name]:[phone]],MATCH(D$1,ТабКлиенты[#Headers],0)-1,0)</f>
        <v>+79497169864</v>
      </c>
      <c r="E223" t="str">
        <f>VLOOKUP($C223,ТабАдрес[[#All],[Клиент]:[gps]],MATCH(E$1,ТабКлиенты[#Headers],0)-4,0)</f>
        <v>Строителей, 102</v>
      </c>
      <c r="F223" t="str">
        <f>VLOOKUP($C223,ТабАдрес[[#All],[Клиент]:[gps]],MATCH(F$1,ТабКлиенты[#Headers],0)-4,0)</f>
        <v>47.100776, 37.522477</v>
      </c>
      <c r="H223" s="181">
        <v>3500</v>
      </c>
      <c r="I223" s="52" t="s">
        <v>5</v>
      </c>
      <c r="J223" s="52">
        <v>1</v>
      </c>
      <c r="K223" t="str">
        <f t="shared" si="5"/>
        <v>13. Надежда Витамины
Тел.: +79497169864
Адрес: Строителей, 102
№ заказа: Витамины
Кол-во мест: 1
https://yandex.ru/maps/?text=47.100776%2C37.522477
https://maps.google.com/?daddr=47.100776%2C37.522477
К оплате: **3500
**----------------------------------------------------------</v>
      </c>
    </row>
    <row r="224" spans="1:11" hidden="1" x14ac:dyDescent="0.25">
      <c r="A224">
        <v>14</v>
      </c>
      <c r="B224" s="179">
        <v>45535</v>
      </c>
      <c r="C224" t="s">
        <v>3290</v>
      </c>
      <c r="D224" t="str">
        <f>VLOOKUP($C224,ТабКлиенты[[#All],[name]:[phone]],MATCH(D$1,ТабКлиенты[#Headers],0)-1,0)</f>
        <v>+79497179245</v>
      </c>
      <c r="E224" t="str">
        <f>VLOOKUP($C224,ТабАдрес[[#All],[Клиент]:[gps]],MATCH(E$1,ТабКлиенты[#Headers],0)-4,0)</f>
        <v>Ткаченко Петренко 3</v>
      </c>
      <c r="F224" t="str">
        <f>VLOOKUP($C224,ТабАдрес[[#All],[Клиент]:[gps]],MATCH(F$1,ТабКлиенты[#Headers],0)-4,0)</f>
        <v>47.0853, 37.5071</v>
      </c>
      <c r="H224" s="181">
        <v>2100</v>
      </c>
      <c r="I224" s="52" t="s">
        <v>5</v>
      </c>
      <c r="J224" s="52">
        <v>1</v>
      </c>
      <c r="K224" t="str">
        <f t="shared" si="5"/>
        <v>14. Светлана Кулаки
Тел.: +79497179245
Адрес: Ткаченко Петренко 3
№ заказа: Витамины
Кол-во мест: 1
https://yandex.ru/maps/?text=47.0853%2C37.5071
https://maps.google.com/?daddr=47.0853%2C37.5071
К оплате: **2100
**----------------------------------------------------------</v>
      </c>
    </row>
    <row r="225" spans="1:11" hidden="1" x14ac:dyDescent="0.25">
      <c r="A225">
        <v>15</v>
      </c>
      <c r="B225" s="179">
        <v>45535</v>
      </c>
      <c r="C225" t="s">
        <v>3281</v>
      </c>
      <c r="D225" t="e">
        <f>VLOOKUP($C225,ТабКлиенты[[#All],[name]:[phone]],MATCH(D$1,ТабКлиенты[#Headers],0)-1,0)</f>
        <v>#N/A</v>
      </c>
      <c r="E225" t="e">
        <f>VLOOKUP($C225,ТабАдрес[[#All],[Клиент]:[gps]],MATCH(E$1,ТабКлиенты[#Headers],0)-4,0)</f>
        <v>#N/A</v>
      </c>
      <c r="F225" t="e">
        <f>VLOOKUP($C225,ТабАдрес[[#All],[Клиент]:[gps]],MATCH(F$1,ТабКлиенты[#Headers],0)-4,0)</f>
        <v>#N/A</v>
      </c>
      <c r="H225" s="181">
        <v>0</v>
      </c>
      <c r="I225" s="52">
        <v>225</v>
      </c>
      <c r="J225" s="52">
        <v>1</v>
      </c>
      <c r="K225" t="e">
        <f t="shared" si="5"/>
        <v>#N/A</v>
      </c>
    </row>
    <row r="226" spans="1:11" hidden="1" x14ac:dyDescent="0.25">
      <c r="A226">
        <v>16</v>
      </c>
      <c r="B226" s="179">
        <v>45535</v>
      </c>
      <c r="C226" t="s">
        <v>3139</v>
      </c>
      <c r="D226" t="str">
        <f>VLOOKUP($C226,ТабКлиенты[[#All],[name]:[phone]],MATCH(D$1,ТабКлиенты[#Headers],0)-1,0)</f>
        <v>+79497243297</v>
      </c>
      <c r="E226" t="str">
        <f>VLOOKUP($C226,ТабАдрес[[#All],[Клиент]:[gps]],MATCH(E$1,ТабКлиенты[#Headers],0)-4,0)</f>
        <v>Шевченко, 309</v>
      </c>
      <c r="F226">
        <f>VLOOKUP($C226,ТабАдрес[[#All],[Клиент]:[gps]],MATCH(F$1,ТабКлиенты[#Headers],0)-4,0)</f>
        <v>0</v>
      </c>
      <c r="H226" s="181">
        <v>1012</v>
      </c>
      <c r="I226" s="52">
        <v>197</v>
      </c>
      <c r="J226" s="52">
        <v>1</v>
      </c>
      <c r="K226" t="e">
        <f t="shared" si="5"/>
        <v>#VALUE!</v>
      </c>
    </row>
    <row r="227" spans="1:11" hidden="1" x14ac:dyDescent="0.25">
      <c r="A227">
        <v>1</v>
      </c>
      <c r="B227" s="179">
        <v>45542</v>
      </c>
      <c r="C227" t="s">
        <v>3168</v>
      </c>
      <c r="D227" t="e">
        <f>VLOOKUP($C227,ТабКлиенты[[#All],[name]:[phone]],MATCH(D$1,ТабКлиенты[#Headers],0)-1,0)</f>
        <v>#N/A</v>
      </c>
      <c r="E227" t="e">
        <f>VLOOKUP($C227,ТабАдрес[[#All],[Клиент]:[gps]],MATCH(E$1,ТабКлиенты[#Headers],0)-4,0)</f>
        <v>#N/A</v>
      </c>
      <c r="F227" t="e">
        <f>VLOOKUP($C227,ТабАдрес[[#All],[Клиент]:[gps]],MATCH(F$1,ТабКлиенты[#Headers],0)-4,0)</f>
        <v>#N/A</v>
      </c>
      <c r="H227" s="181">
        <v>0</v>
      </c>
      <c r="I227" s="52" t="s">
        <v>4289</v>
      </c>
      <c r="J227" s="52">
        <v>1</v>
      </c>
      <c r="K227" t="e">
        <f t="shared" si="5"/>
        <v>#N/A</v>
      </c>
    </row>
    <row r="228" spans="1:11" hidden="1" x14ac:dyDescent="0.25">
      <c r="A228">
        <v>2</v>
      </c>
      <c r="B228" s="179">
        <v>45542</v>
      </c>
      <c r="C228" t="s">
        <v>3210</v>
      </c>
      <c r="D228" t="e">
        <f>VLOOKUP($C228,ТабКлиенты[[#All],[name]:[phone]],MATCH(D$1,ТабКлиенты[#Headers],0)-1,0)</f>
        <v>#N/A</v>
      </c>
      <c r="E228" t="e">
        <f>VLOOKUP($C228,ТабАдрес[[#All],[Клиент]:[gps]],MATCH(E$1,ТабКлиенты[#Headers],0)-4,0)</f>
        <v>#N/A</v>
      </c>
      <c r="F228" t="e">
        <f>VLOOKUP($C228,ТабАдрес[[#All],[Клиент]:[gps]],MATCH(F$1,ТабКлиенты[#Headers],0)-4,0)</f>
        <v>#N/A</v>
      </c>
      <c r="H228" s="181">
        <v>0</v>
      </c>
      <c r="I228" s="52" t="s">
        <v>4290</v>
      </c>
      <c r="J228" s="52">
        <v>1</v>
      </c>
      <c r="K228" t="e">
        <f t="shared" si="5"/>
        <v>#N/A</v>
      </c>
    </row>
    <row r="229" spans="1:11" hidden="1" x14ac:dyDescent="0.25">
      <c r="A229">
        <v>3</v>
      </c>
      <c r="B229" s="179">
        <v>45542</v>
      </c>
      <c r="C229" t="s">
        <v>3125</v>
      </c>
      <c r="D229" t="e">
        <f>VLOOKUP($C229,ТабКлиенты[[#All],[name]:[phone]],MATCH(D$1,ТабКлиенты[#Headers],0)-1,0)</f>
        <v>#N/A</v>
      </c>
      <c r="E229" t="e">
        <f>VLOOKUP($C229,ТабАдрес[[#All],[Клиент]:[gps]],MATCH(E$1,ТабКлиенты[#Headers],0)-4,0)</f>
        <v>#N/A</v>
      </c>
      <c r="F229" t="e">
        <f>VLOOKUP($C229,ТабАдрес[[#All],[Клиент]:[gps]],MATCH(F$1,ТабКлиенты[#Headers],0)-4,0)</f>
        <v>#N/A</v>
      </c>
      <c r="H229" s="181">
        <v>6056</v>
      </c>
      <c r="I229" s="52">
        <v>233</v>
      </c>
      <c r="J229" s="52">
        <v>1</v>
      </c>
      <c r="K229" t="e">
        <f t="shared" si="5"/>
        <v>#N/A</v>
      </c>
    </row>
    <row r="230" spans="1:11" hidden="1" x14ac:dyDescent="0.25">
      <c r="A230">
        <v>4</v>
      </c>
      <c r="B230" s="179">
        <v>45542</v>
      </c>
      <c r="C230" t="s">
        <v>3304</v>
      </c>
      <c r="D230" t="str">
        <f>VLOOKUP($C230,ТабКлиенты[[#All],[name]:[phone]],MATCH(D$1,ТабКлиенты[#Headers],0)-1,0)</f>
        <v>+79497251443</v>
      </c>
      <c r="E230" t="str">
        <f>VLOOKUP($C230,ТабАдрес[[#All],[Клиент]:[gps]],MATCH(E$1,ТабКлиенты[#Headers],0)-4,0)</f>
        <v>Шота 18</v>
      </c>
      <c r="F230" t="str">
        <f>VLOOKUP($C230,ТабАдрес[[#All],[Клиент]:[gps]],MATCH(F$1,ТабКлиенты[#Headers],0)-4,0)</f>
        <v>47.1194, 37.5396</v>
      </c>
      <c r="H230" s="181">
        <v>1800</v>
      </c>
      <c r="I230" s="52" t="s">
        <v>5</v>
      </c>
      <c r="J230" s="52">
        <v>1</v>
      </c>
      <c r="K230" t="str">
        <f t="shared" si="5"/>
        <v>4. Светлана Шота 18
Тел.: +79497251443
Адрес: Шота 18
№ заказа: Витамины
Кол-во мест: 1
https://yandex.ru/maps/?text=47.1194%2C37.5396
https://maps.google.com/?daddr=47.1194%2C37.5396
К оплате: **1800
**----------------------------------------------------------</v>
      </c>
    </row>
    <row r="231" spans="1:11" hidden="1" x14ac:dyDescent="0.25">
      <c r="A231">
        <v>5</v>
      </c>
      <c r="B231" s="179">
        <v>45542</v>
      </c>
      <c r="C231" t="s">
        <v>3129</v>
      </c>
      <c r="D231" t="e">
        <f>VLOOKUP($C231,ТабКлиенты[[#All],[name]:[phone]],MATCH(D$1,ТабКлиенты[#Headers],0)-1,0)</f>
        <v>#N/A</v>
      </c>
      <c r="E231" t="e">
        <f>VLOOKUP($C231,ТабАдрес[[#All],[Клиент]:[gps]],MATCH(E$1,ТабКлиенты[#Headers],0)-4,0)</f>
        <v>#N/A</v>
      </c>
      <c r="F231" t="e">
        <f>VLOOKUP($C231,ТабАдрес[[#All],[Клиент]:[gps]],MATCH(F$1,ТабКлиенты[#Headers],0)-4,0)</f>
        <v>#N/A</v>
      </c>
      <c r="H231" s="181">
        <v>4539</v>
      </c>
      <c r="I231" s="52" t="s">
        <v>4291</v>
      </c>
      <c r="J231" s="52">
        <v>5</v>
      </c>
      <c r="K231" t="e">
        <f t="shared" si="5"/>
        <v>#N/A</v>
      </c>
    </row>
    <row r="232" spans="1:11" hidden="1" x14ac:dyDescent="0.25">
      <c r="A232">
        <v>6</v>
      </c>
      <c r="B232" s="179">
        <v>45542</v>
      </c>
      <c r="C232" t="s">
        <v>3295</v>
      </c>
      <c r="D232" t="e">
        <f>VLOOKUP($C232,ТабКлиенты[[#All],[name]:[phone]],MATCH(D$1,ТабКлиенты[#Headers],0)-1,0)</f>
        <v>#N/A</v>
      </c>
      <c r="E232" t="e">
        <f>VLOOKUP($C232,ТабАдрес[[#All],[Клиент]:[gps]],MATCH(E$1,ТабКлиенты[#Headers],0)-4,0)</f>
        <v>#N/A</v>
      </c>
      <c r="F232" t="e">
        <f>VLOOKUP($C232,ТабАдрес[[#All],[Клиент]:[gps]],MATCH(F$1,ТабКлиенты[#Headers],0)-4,0)</f>
        <v>#N/A</v>
      </c>
      <c r="H232" s="181">
        <v>0</v>
      </c>
      <c r="I232" s="52">
        <v>231</v>
      </c>
      <c r="J232" s="52">
        <v>1</v>
      </c>
      <c r="K232" t="e">
        <f t="shared" si="5"/>
        <v>#N/A</v>
      </c>
    </row>
    <row r="233" spans="1:11" hidden="1" x14ac:dyDescent="0.25">
      <c r="A233">
        <v>7</v>
      </c>
      <c r="B233" s="179">
        <v>45542</v>
      </c>
      <c r="C233" t="s">
        <v>4252</v>
      </c>
      <c r="D233" t="e">
        <f>VLOOKUP($C233,ТабКлиенты[[#All],[name]:[phone]],MATCH(D$1,ТабКлиенты[#Headers],0)-1,0)</f>
        <v>#N/A</v>
      </c>
      <c r="E233" t="e">
        <f>VLOOKUP($C233,ТабАдрес[[#All],[Клиент]:[gps]],MATCH(E$1,ТабКлиенты[#Headers],0)-4,0)</f>
        <v>#N/A</v>
      </c>
      <c r="F233" t="e">
        <f>VLOOKUP($C233,ТабАдрес[[#All],[Клиент]:[gps]],MATCH(F$1,ТабКлиенты[#Headers],0)-4,0)</f>
        <v>#N/A</v>
      </c>
      <c r="H233" s="181">
        <v>0</v>
      </c>
      <c r="I233" s="52" t="s">
        <v>5</v>
      </c>
      <c r="J233" s="52">
        <v>1</v>
      </c>
      <c r="K233" t="e">
        <f t="shared" si="5"/>
        <v>#N/A</v>
      </c>
    </row>
    <row r="234" spans="1:11" hidden="1" x14ac:dyDescent="0.25">
      <c r="A234">
        <v>8</v>
      </c>
      <c r="B234" s="179">
        <v>45542</v>
      </c>
      <c r="C234" t="s">
        <v>3279</v>
      </c>
      <c r="D234" t="e">
        <f>VLOOKUP($C234,ТабКлиенты[[#All],[name]:[phone]],MATCH(D$1,ТабКлиенты[#Headers],0)-1,0)</f>
        <v>#N/A</v>
      </c>
      <c r="E234" t="e">
        <f>VLOOKUP($C234,ТабАдрес[[#All],[Клиент]:[gps]],MATCH(E$1,ТабКлиенты[#Headers],0)-4,0)</f>
        <v>#N/A</v>
      </c>
      <c r="F234" t="e">
        <f>VLOOKUP($C234,ТабАдрес[[#All],[Клиент]:[gps]],MATCH(F$1,ТабКлиенты[#Headers],0)-4,0)</f>
        <v>#N/A</v>
      </c>
      <c r="H234" s="181">
        <v>725</v>
      </c>
      <c r="I234" s="52">
        <v>239</v>
      </c>
      <c r="J234" s="52">
        <v>1</v>
      </c>
      <c r="K234" t="e">
        <f t="shared" si="5"/>
        <v>#N/A</v>
      </c>
    </row>
    <row r="235" spans="1:11" hidden="1" x14ac:dyDescent="0.25">
      <c r="A235">
        <v>9</v>
      </c>
      <c r="B235" s="179">
        <v>45542</v>
      </c>
      <c r="C235" t="s">
        <v>3300</v>
      </c>
      <c r="D235" t="str">
        <f>VLOOKUP($C235,ТабКлиенты[[#All],[name]:[phone]],MATCH(D$1,ТабКлиенты[#Headers],0)-1,0)</f>
        <v>+79497263506</v>
      </c>
      <c r="E235" t="str">
        <f>VLOOKUP($C235,ТабАдрес[[#All],[Клиент]:[gps]],MATCH(E$1,ТабКлиенты[#Headers],0)-4,0)</f>
        <v>Аэродромная 4</v>
      </c>
      <c r="F235" t="str">
        <f>VLOOKUP($C235,ТабАдрес[[#All],[Клиент]:[gps]],MATCH(F$1,ТабКлиенты[#Headers],0)-4,0)</f>
        <v>47.1087, 37.5254</v>
      </c>
      <c r="H235" s="181">
        <v>1300</v>
      </c>
      <c r="I235" s="52" t="s">
        <v>5</v>
      </c>
      <c r="J235" s="52">
        <v>1</v>
      </c>
      <c r="K235" t="str">
        <f t="shared" si="5"/>
        <v>9. Евгения Охотник
Тел.: +79497263506
Адрес: Аэродромная 4
№ заказа: Витамины
Кол-во мест: 1
https://yandex.ru/maps/?text=47.1087%2C37.5254
https://maps.google.com/?daddr=47.1087%2C37.5254
К оплате: **1300
**----------------------------------------------------------</v>
      </c>
    </row>
    <row r="236" spans="1:11" hidden="1" x14ac:dyDescent="0.25">
      <c r="A236">
        <v>10</v>
      </c>
      <c r="B236" s="179">
        <v>45542</v>
      </c>
      <c r="C236" t="s">
        <v>3308</v>
      </c>
      <c r="D236" t="str">
        <f>VLOOKUP($C236,ТабКлиенты[[#All],[name]:[phone]],MATCH(D$1,ТабКлиенты[#Headers],0)-1,0)</f>
        <v>+79495529124</v>
      </c>
      <c r="E236" t="str">
        <f>VLOOKUP($C236,ТабАдрес[[#All],[Клиент]:[gps]],MATCH(E$1,ТабКлиенты[#Headers],0)-4,0)</f>
        <v>Зелинского 98а</v>
      </c>
      <c r="F236" t="str">
        <f>VLOOKUP($C236,ТабАдрес[[#All],[Клиент]:[gps]],MATCH(F$1,ТабКлиенты[#Headers],0)-4,0)</f>
        <v>47.1022, 37.5165</v>
      </c>
      <c r="H236" s="181">
        <v>2400</v>
      </c>
      <c r="I236" s="52" t="s">
        <v>5</v>
      </c>
      <c r="J236" s="52">
        <v>1</v>
      </c>
      <c r="K236" t="str">
        <f t="shared" si="5"/>
        <v>10. Жанна Наташина
Тел.: +79495529124
Адрес: Зелинского 98а
№ заказа: Витамины
Кол-во мест: 1
https://yandex.ru/maps/?text=47.1022%2C37.5165
https://maps.google.com/?daddr=47.1022%2C37.5165
К оплате: **2400
**----------------------------------------------------------</v>
      </c>
    </row>
    <row r="237" spans="1:11" hidden="1" x14ac:dyDescent="0.25">
      <c r="A237">
        <v>11</v>
      </c>
      <c r="B237" s="179">
        <v>45542</v>
      </c>
      <c r="C237" t="s">
        <v>3263</v>
      </c>
      <c r="D237" t="e">
        <f>VLOOKUP($C237,ТабКлиенты[[#All],[name]:[phone]],MATCH(D$1,ТабКлиенты[#Headers],0)-1,0)</f>
        <v>#N/A</v>
      </c>
      <c r="E237" t="e">
        <f>VLOOKUP($C237,ТабАдрес[[#All],[Клиент]:[gps]],MATCH(E$1,ТабКлиенты[#Headers],0)-4,0)</f>
        <v>#N/A</v>
      </c>
      <c r="F237" t="e">
        <f>VLOOKUP($C237,ТабАдрес[[#All],[Клиент]:[gps]],MATCH(F$1,ТабКлиенты[#Headers],0)-4,0)</f>
        <v>#N/A</v>
      </c>
      <c r="H237" s="181">
        <v>542</v>
      </c>
      <c r="I237" s="52">
        <v>237</v>
      </c>
      <c r="J237" s="52">
        <v>1</v>
      </c>
      <c r="K237" t="e">
        <f t="shared" si="5"/>
        <v>#N/A</v>
      </c>
    </row>
    <row r="238" spans="1:11" hidden="1" x14ac:dyDescent="0.25">
      <c r="A238">
        <v>12</v>
      </c>
      <c r="B238" s="179">
        <v>45542</v>
      </c>
      <c r="C238" t="s">
        <v>3226</v>
      </c>
      <c r="D238" t="str">
        <f>VLOOKUP($C238,ТабКлиенты[[#All],[name]:[phone]],MATCH(D$1,ТабКлиенты[#Headers],0)-1,0)</f>
        <v>+79497169864</v>
      </c>
      <c r="E238" t="str">
        <f>VLOOKUP($C238,ТабАдрес[[#All],[Клиент]:[gps]],MATCH(E$1,ТабКлиенты[#Headers],0)-4,0)</f>
        <v>Строителей, 102</v>
      </c>
      <c r="F238" t="str">
        <f>VLOOKUP($C238,ТабАдрес[[#All],[Клиент]:[gps]],MATCH(F$1,ТабКлиенты[#Headers],0)-4,0)</f>
        <v>47.100776, 37.522477</v>
      </c>
      <c r="H238" s="181">
        <v>7000</v>
      </c>
      <c r="I238" s="52" t="s">
        <v>5</v>
      </c>
      <c r="J238" s="52">
        <v>1</v>
      </c>
      <c r="K238" t="str">
        <f t="shared" si="5"/>
        <v>12. Надежда Витамины
Тел.: +79497169864
Адрес: Строителей, 102
№ заказа: Витамины
Кол-во мест: 1
https://yandex.ru/maps/?text=47.100776%2C37.522477
https://maps.google.com/?daddr=47.100776%2C37.522477
К оплате: **7000
**----------------------------------------------------------</v>
      </c>
    </row>
    <row r="239" spans="1:11" hidden="1" x14ac:dyDescent="0.25">
      <c r="A239">
        <v>13</v>
      </c>
      <c r="B239" s="179">
        <v>45542</v>
      </c>
      <c r="C239" t="s">
        <v>3231</v>
      </c>
      <c r="D239" t="str">
        <f>VLOOKUP($C239,ТабКлиенты[[#All],[name]:[phone]],MATCH(D$1,ТабКлиенты[#Headers],0)-1,0)</f>
        <v>+79497336840</v>
      </c>
      <c r="E239" t="str">
        <f>VLOOKUP($C239,ТабАдрес[[#All],[Клиент]:[gps]],MATCH(E$1,ТабКлиенты[#Headers],0)-4,0)</f>
        <v>Бригантина 152</v>
      </c>
      <c r="F239" t="str">
        <f>VLOOKUP($C239,ТабАдрес[[#All],[Клиент]:[gps]],MATCH(F$1,ТабКлиенты[#Headers],0)-4,0)</f>
        <v>47.0779, 37.4879</v>
      </c>
      <c r="H239" s="181">
        <v>5000</v>
      </c>
      <c r="I239" s="52" t="s">
        <v>5</v>
      </c>
      <c r="J239" s="52">
        <v>1</v>
      </c>
      <c r="K239" t="str">
        <f t="shared" si="5"/>
        <v>13. Татьяна Бригантина
Тел.: +79497336840
Адрес: Бригантина 152
№ заказа: Витамины
Кол-во мест: 1
https://yandex.ru/maps/?text=47.0779%2C37.4879
https://maps.google.com/?daddr=47.0779%2C37.4879
К оплате: **5000
**----------------------------------------------------------</v>
      </c>
    </row>
    <row r="240" spans="1:11" hidden="1" x14ac:dyDescent="0.25">
      <c r="A240">
        <v>14</v>
      </c>
      <c r="B240" s="179">
        <v>45542</v>
      </c>
      <c r="C240" t="s">
        <v>3143</v>
      </c>
      <c r="D240" t="e">
        <f>VLOOKUP($C240,ТабКлиенты[[#All],[name]:[phone]],MATCH(D$1,ТабКлиенты[#Headers],0)-1,0)</f>
        <v>#N/A</v>
      </c>
      <c r="E240" t="e">
        <f>VLOOKUP($C240,ТабАдрес[[#All],[Клиент]:[gps]],MATCH(E$1,ТабКлиенты[#Headers],0)-4,0)</f>
        <v>#N/A</v>
      </c>
      <c r="F240" t="e">
        <f>VLOOKUP($C240,ТабАдрес[[#All],[Клиент]:[gps]],MATCH(F$1,ТабКлиенты[#Headers],0)-4,0)</f>
        <v>#N/A</v>
      </c>
      <c r="H240" s="181">
        <v>0</v>
      </c>
      <c r="I240" s="52">
        <v>230</v>
      </c>
      <c r="J240" s="52">
        <v>1</v>
      </c>
      <c r="K240" t="e">
        <f t="shared" si="5"/>
        <v>#N/A</v>
      </c>
    </row>
    <row r="241" spans="1:11" hidden="1" x14ac:dyDescent="0.25">
      <c r="A241">
        <v>15</v>
      </c>
      <c r="B241" s="179">
        <v>45542</v>
      </c>
      <c r="C241" t="s">
        <v>3139</v>
      </c>
      <c r="D241" t="str">
        <f>VLOOKUP($C241,ТабКлиенты[[#All],[name]:[phone]],MATCH(D$1,ТабКлиенты[#Headers],0)-1,0)</f>
        <v>+79497243297</v>
      </c>
      <c r="E241" t="str">
        <f>VLOOKUP($C241,ТабАдрес[[#All],[Клиент]:[gps]],MATCH(E$1,ТабКлиенты[#Headers],0)-4,0)</f>
        <v>Шевченко, 309</v>
      </c>
      <c r="F241">
        <f>VLOOKUP($C241,ТабАдрес[[#All],[Клиент]:[gps]],MATCH(F$1,ТабКлиенты[#Headers],0)-4,0)</f>
        <v>0</v>
      </c>
      <c r="H241" s="181">
        <v>1012</v>
      </c>
      <c r="I241" s="52">
        <v>197</v>
      </c>
      <c r="J241" s="52">
        <v>1</v>
      </c>
      <c r="K241" t="e">
        <f t="shared" ref="K241:K304" si="6">A241&amp;". "&amp;C241&amp;CHAR(10)&amp;"Тел.: "&amp;D241&amp;CHAR(10)&amp;"Адрес: "&amp;E241&amp;CHAR(10)&amp;"№ заказа: "&amp;I241&amp;CHAR(10)&amp;"Кол-во мест: "&amp;J241&amp;CHAR(10)&amp;"https://yandex.ru/maps/?text="&amp;REPLACE(F241,SEARCH(",",F241),2,"%2C")&amp;CHAR(10)&amp;"https://maps.google.com/?daddr="&amp;REPLACE(F241,SEARCH(",",F241),2,"%2C")&amp;CHAR(10)&amp;"К оплате: "&amp;"**"&amp;H241&amp;CHAR(10)&amp;"**"&amp;"----------------------------------------------------------"</f>
        <v>#VALUE!</v>
      </c>
    </row>
    <row r="242" spans="1:11" hidden="1" x14ac:dyDescent="0.25">
      <c r="A242">
        <v>1</v>
      </c>
      <c r="B242" s="179">
        <v>45548</v>
      </c>
      <c r="C242" t="s">
        <v>3168</v>
      </c>
      <c r="D242" t="e">
        <f>VLOOKUP($C242,ТабКлиенты[[#All],[name]:[phone]],MATCH(D$1,ТабКлиенты[#Headers],0)-1,0)</f>
        <v>#N/A</v>
      </c>
      <c r="E242" t="e">
        <f>VLOOKUP($C242,ТабАдрес[[#All],[Клиент]:[gps]],MATCH(E$1,ТабКлиенты[#Headers],0)-4,0)</f>
        <v>#N/A</v>
      </c>
      <c r="F242" t="e">
        <f>VLOOKUP($C242,ТабАдрес[[#All],[Клиент]:[gps]],MATCH(F$1,ТабКлиенты[#Headers],0)-4,0)</f>
        <v>#N/A</v>
      </c>
      <c r="H242" s="181">
        <v>0</v>
      </c>
      <c r="I242" s="52">
        <v>222</v>
      </c>
      <c r="J242" s="52">
        <v>5</v>
      </c>
      <c r="K242" t="e">
        <f t="shared" si="6"/>
        <v>#N/A</v>
      </c>
    </row>
    <row r="243" spans="1:11" hidden="1" x14ac:dyDescent="0.25">
      <c r="A243">
        <v>2</v>
      </c>
      <c r="B243" s="179">
        <v>45548</v>
      </c>
      <c r="C243" t="s">
        <v>3149</v>
      </c>
      <c r="D243" t="e">
        <f>VLOOKUP($C243,ТабКлиенты[[#All],[name]:[phone]],MATCH(D$1,ТабКлиенты[#Headers],0)-1,0)</f>
        <v>#N/A</v>
      </c>
      <c r="E243" t="e">
        <f>VLOOKUP($C243,ТабАдрес[[#All],[Клиент]:[gps]],MATCH(E$1,ТабКлиенты[#Headers],0)-4,0)</f>
        <v>#N/A</v>
      </c>
      <c r="F243" t="e">
        <f>VLOOKUP($C243,ТабАдрес[[#All],[Клиент]:[gps]],MATCH(F$1,ТабКлиенты[#Headers],0)-4,0)</f>
        <v>#N/A</v>
      </c>
      <c r="H243" s="181">
        <v>0</v>
      </c>
      <c r="I243" s="52">
        <v>241</v>
      </c>
      <c r="J243" s="52">
        <v>2</v>
      </c>
      <c r="K243" t="e">
        <f t="shared" si="6"/>
        <v>#N/A</v>
      </c>
    </row>
    <row r="244" spans="1:11" hidden="1" x14ac:dyDescent="0.25">
      <c r="A244">
        <v>3</v>
      </c>
      <c r="B244" s="179">
        <v>45548</v>
      </c>
      <c r="C244" t="s">
        <v>3260</v>
      </c>
      <c r="D244" t="e">
        <f>VLOOKUP($C244,ТабКлиенты[[#All],[name]:[phone]],MATCH(D$1,ТабКлиенты[#Headers],0)-1,0)</f>
        <v>#N/A</v>
      </c>
      <c r="E244" t="e">
        <f>VLOOKUP($C244,ТабАдрес[[#All],[Клиент]:[gps]],MATCH(E$1,ТабКлиенты[#Headers],0)-4,0)</f>
        <v>#N/A</v>
      </c>
      <c r="F244" t="e">
        <f>VLOOKUP($C244,ТабАдрес[[#All],[Клиент]:[gps]],MATCH(F$1,ТабКлиенты[#Headers],0)-4,0)</f>
        <v>#N/A</v>
      </c>
      <c r="H244" s="181">
        <v>0</v>
      </c>
      <c r="I244" s="52">
        <v>236</v>
      </c>
      <c r="J244" s="52">
        <v>1</v>
      </c>
      <c r="K244" t="e">
        <f t="shared" si="6"/>
        <v>#N/A</v>
      </c>
    </row>
    <row r="245" spans="1:11" hidden="1" x14ac:dyDescent="0.25">
      <c r="A245">
        <v>4</v>
      </c>
      <c r="B245" s="179">
        <v>45548</v>
      </c>
      <c r="C245" t="s">
        <v>3210</v>
      </c>
      <c r="D245" t="e">
        <f>VLOOKUP($C245,ТабКлиенты[[#All],[name]:[phone]],MATCH(D$1,ТабКлиенты[#Headers],0)-1,0)</f>
        <v>#N/A</v>
      </c>
      <c r="E245" t="e">
        <f>VLOOKUP($C245,ТабАдрес[[#All],[Клиент]:[gps]],MATCH(E$1,ТабКлиенты[#Headers],0)-4,0)</f>
        <v>#N/A</v>
      </c>
      <c r="F245" t="e">
        <f>VLOOKUP($C245,ТабАдрес[[#All],[Клиент]:[gps]],MATCH(F$1,ТабКлиенты[#Headers],0)-4,0)</f>
        <v>#N/A</v>
      </c>
      <c r="H245" s="181">
        <v>0</v>
      </c>
      <c r="I245" s="52" t="s">
        <v>4292</v>
      </c>
      <c r="J245" s="52">
        <v>1</v>
      </c>
      <c r="K245" t="e">
        <f t="shared" si="6"/>
        <v>#N/A</v>
      </c>
    </row>
    <row r="246" spans="1:11" hidden="1" x14ac:dyDescent="0.25">
      <c r="A246">
        <v>5</v>
      </c>
      <c r="B246" s="179">
        <v>45548</v>
      </c>
      <c r="C246" t="s">
        <v>3125</v>
      </c>
      <c r="D246" t="e">
        <f>VLOOKUP($C246,ТабКлиенты[[#All],[name]:[phone]],MATCH(D$1,ТабКлиенты[#Headers],0)-1,0)</f>
        <v>#N/A</v>
      </c>
      <c r="E246" t="e">
        <f>VLOOKUP($C246,ТабАдрес[[#All],[Клиент]:[gps]],MATCH(E$1,ТабКлиенты[#Headers],0)-4,0)</f>
        <v>#N/A</v>
      </c>
      <c r="F246" t="e">
        <f>VLOOKUP($C246,ТабАдрес[[#All],[Клиент]:[gps]],MATCH(F$1,ТабКлиенты[#Headers],0)-4,0)</f>
        <v>#N/A</v>
      </c>
      <c r="H246" s="181">
        <v>3602</v>
      </c>
      <c r="I246" s="52" t="s">
        <v>4293</v>
      </c>
      <c r="J246" s="52">
        <v>2</v>
      </c>
      <c r="K246" t="e">
        <f t="shared" si="6"/>
        <v>#N/A</v>
      </c>
    </row>
    <row r="247" spans="1:11" hidden="1" x14ac:dyDescent="0.25">
      <c r="A247">
        <v>6</v>
      </c>
      <c r="B247" s="179">
        <v>45548</v>
      </c>
      <c r="C247" t="s">
        <v>3129</v>
      </c>
      <c r="D247" t="e">
        <f>VLOOKUP($C247,ТабКлиенты[[#All],[name]:[phone]],MATCH(D$1,ТабКлиенты[#Headers],0)-1,0)</f>
        <v>#N/A</v>
      </c>
      <c r="E247" t="e">
        <f>VLOOKUP($C247,ТабАдрес[[#All],[Клиент]:[gps]],MATCH(E$1,ТабКлиенты[#Headers],0)-4,0)</f>
        <v>#N/A</v>
      </c>
      <c r="F247" t="e">
        <f>VLOOKUP($C247,ТабАдрес[[#All],[Клиент]:[gps]],MATCH(F$1,ТабКлиенты[#Headers],0)-4,0)</f>
        <v>#N/A</v>
      </c>
      <c r="H247" s="181">
        <v>0</v>
      </c>
      <c r="I247" s="52">
        <v>234</v>
      </c>
      <c r="J247" s="52">
        <v>1</v>
      </c>
      <c r="K247" t="e">
        <f t="shared" si="6"/>
        <v>#N/A</v>
      </c>
    </row>
    <row r="248" spans="1:11" hidden="1" x14ac:dyDescent="0.25">
      <c r="A248">
        <v>7</v>
      </c>
      <c r="B248" s="179">
        <v>45548</v>
      </c>
      <c r="C248" t="s">
        <v>3313</v>
      </c>
      <c r="D248" t="str">
        <f>VLOOKUP($C248,ТабКлиенты[[#All],[name]:[phone]],MATCH(D$1,ТабКлиенты[#Headers],0)-1,0)</f>
        <v>+79497095528</v>
      </c>
      <c r="E248" t="str">
        <f>VLOOKUP($C248,ТабАдрес[[#All],[Клиент]:[gps]],MATCH(E$1,ТабКлиенты[#Headers],0)-4,0)</f>
        <v>9 Авиадивизии 28</v>
      </c>
      <c r="F248" t="str">
        <f>VLOOKUP($C248,ТабАдрес[[#All],[Клиент]:[gps]],MATCH(F$1,ТабКлиенты[#Headers],0)-4,0)</f>
        <v>47.1235, 37.5191</v>
      </c>
      <c r="H248" s="181">
        <v>2900</v>
      </c>
      <c r="I248" s="52" t="s">
        <v>5</v>
      </c>
      <c r="J248" s="52">
        <v>1</v>
      </c>
      <c r="K248" t="str">
        <f t="shared" si="6"/>
        <v>7. Людмила Кордицепс
Тел.: +79497095528
Адрес: 9 Авиадивизии 28
№ заказа: Витамины
Кол-во мест: 1
https://yandex.ru/maps/?text=47.1235%2C37.5191
https://maps.google.com/?daddr=47.1235%2C37.5191
К оплате: **2900
**----------------------------------------------------------</v>
      </c>
    </row>
    <row r="249" spans="1:11" hidden="1" x14ac:dyDescent="0.25">
      <c r="A249">
        <v>8</v>
      </c>
      <c r="B249" s="179">
        <v>45548</v>
      </c>
      <c r="C249" t="s">
        <v>4252</v>
      </c>
      <c r="D249" t="e">
        <f>VLOOKUP($C249,ТабКлиенты[[#All],[name]:[phone]],MATCH(D$1,ТабКлиенты[#Headers],0)-1,0)</f>
        <v>#N/A</v>
      </c>
      <c r="E249" t="e">
        <f>VLOOKUP($C249,ТабАдрес[[#All],[Клиент]:[gps]],MATCH(E$1,ТабКлиенты[#Headers],0)-4,0)</f>
        <v>#N/A</v>
      </c>
      <c r="F249" t="e">
        <f>VLOOKUP($C249,ТабАдрес[[#All],[Клиент]:[gps]],MATCH(F$1,ТабКлиенты[#Headers],0)-4,0)</f>
        <v>#N/A</v>
      </c>
      <c r="H249" s="181">
        <v>4500</v>
      </c>
      <c r="I249" s="52" t="s">
        <v>5</v>
      </c>
      <c r="J249" s="52">
        <v>1</v>
      </c>
      <c r="K249" t="e">
        <f t="shared" si="6"/>
        <v>#N/A</v>
      </c>
    </row>
    <row r="250" spans="1:11" hidden="1" x14ac:dyDescent="0.25">
      <c r="A250">
        <v>9</v>
      </c>
      <c r="B250" s="179">
        <v>45548</v>
      </c>
      <c r="C250" t="s">
        <v>3279</v>
      </c>
      <c r="D250" t="e">
        <f>VLOOKUP($C250,ТабКлиенты[[#All],[name]:[phone]],MATCH(D$1,ТабКлиенты[#Headers],0)-1,0)</f>
        <v>#N/A</v>
      </c>
      <c r="E250" t="e">
        <f>VLOOKUP($C250,ТабАдрес[[#All],[Клиент]:[gps]],MATCH(E$1,ТабКлиенты[#Headers],0)-4,0)</f>
        <v>#N/A</v>
      </c>
      <c r="F250" t="e">
        <f>VLOOKUP($C250,ТабАдрес[[#All],[Клиент]:[gps]],MATCH(F$1,ТабКлиенты[#Headers],0)-4,0)</f>
        <v>#N/A</v>
      </c>
      <c r="H250" s="181">
        <v>1784</v>
      </c>
      <c r="I250" s="52">
        <v>249</v>
      </c>
      <c r="J250" s="52">
        <v>1</v>
      </c>
      <c r="K250" t="e">
        <f t="shared" si="6"/>
        <v>#N/A</v>
      </c>
    </row>
    <row r="251" spans="1:11" hidden="1" x14ac:dyDescent="0.25">
      <c r="A251">
        <v>10</v>
      </c>
      <c r="B251" s="179">
        <v>45548</v>
      </c>
      <c r="C251" t="s">
        <v>3220</v>
      </c>
      <c r="D251" t="str">
        <f>VLOOKUP($C251,ТабКлиенты[[#All],[name]:[phone]],MATCH(D$1,ТабКлиенты[#Headers],0)-1,0)</f>
        <v>+79497081831</v>
      </c>
      <c r="E251" t="str">
        <f>VLOOKUP($C251,ТабАдрес[[#All],[Клиент]:[gps]],MATCH(E$1,ТабКлиенты[#Headers],0)-4,0)</f>
        <v>Шевченко 289А</v>
      </c>
      <c r="F251" t="str">
        <f>VLOOKUP($C251,ТабАдрес[[#All],[Клиент]:[gps]],MATCH(F$1,ТабКлиенты[#Headers],0)-4,0)</f>
        <v>47.1168, 37.5229</v>
      </c>
      <c r="H251" s="181">
        <v>2200</v>
      </c>
      <c r="I251" s="52" t="s">
        <v>5</v>
      </c>
      <c r="J251" s="52">
        <v>1</v>
      </c>
      <c r="K251" t="str">
        <f t="shared" si="6"/>
        <v>10. Лида корма
Тел.: +79497081831
Адрес: Шевченко 289А
№ заказа: Витамины
Кол-во мест: 1
https://yandex.ru/maps/?text=47.1168%2C37.5229
https://maps.google.com/?daddr=47.1168%2C37.5229
К оплате: **2200
**----------------------------------------------------------</v>
      </c>
    </row>
    <row r="252" spans="1:11" hidden="1" x14ac:dyDescent="0.25">
      <c r="A252">
        <v>11</v>
      </c>
      <c r="B252" s="179">
        <v>45548</v>
      </c>
      <c r="C252" t="s">
        <v>3235</v>
      </c>
      <c r="D252" t="str">
        <f>VLOOKUP($C252,ТабКлиенты[[#All],[name]:[phone]],MATCH(D$1,ТабКлиенты[#Headers],0)-1,0)</f>
        <v>+79497386112</v>
      </c>
      <c r="E252" t="str">
        <f>VLOOKUP($C252,ТабАдрес[[#All],[Клиент]:[gps]],MATCH(E$1,ТабКлиенты[#Headers],0)-4,0)</f>
        <v>Шевченко 325</v>
      </c>
      <c r="F252" t="str">
        <f>VLOOKUP($C252,ТабАдрес[[#All],[Клиент]:[gps]],MATCH(F$1,ТабКлиенты[#Headers],0)-4,0)</f>
        <v>47.1193, 37.5172</v>
      </c>
      <c r="H252" s="181">
        <f>23870+2400</f>
        <v>26270</v>
      </c>
      <c r="I252" s="52" t="s">
        <v>5</v>
      </c>
      <c r="J252" s="52">
        <v>2</v>
      </c>
      <c r="K252" t="str">
        <f t="shared" si="6"/>
        <v>11. Любовь Виталий
Тел.: +79497386112
Адрес: Шевченко 325
№ заказа: Витамины
Кол-во мест: 2
https://yandex.ru/maps/?text=47.1193%2C37.5172
https://maps.google.com/?daddr=47.1193%2C37.5172
К оплате: **26270
**----------------------------------------------------------</v>
      </c>
    </row>
    <row r="253" spans="1:11" hidden="1" x14ac:dyDescent="0.25">
      <c r="A253">
        <v>12</v>
      </c>
      <c r="B253" s="179">
        <v>45548</v>
      </c>
      <c r="C253" t="s">
        <v>3329</v>
      </c>
      <c r="D253" t="str">
        <f>VLOOKUP($C253,ТабКлиенты[[#All],[name]:[phone]],MATCH(D$1,ТабКлиенты[#Headers],0)-1,0)</f>
        <v>+79497288148</v>
      </c>
      <c r="E253" t="str">
        <f>VLOOKUP($C253,ТабАдрес[[#All],[Клиент]:[gps]],MATCH(E$1,ТабКлиенты[#Headers],0)-4,0)</f>
        <v>Шевченко 317 Грация</v>
      </c>
      <c r="F253" t="str">
        <f>VLOOKUP($C253,ТабАдрес[[#All],[Клиент]:[gps]],MATCH(F$1,ТабКлиенты[#Headers],0)-4,0)</f>
        <v>47.1179, 37.5163</v>
      </c>
      <c r="H253" s="181">
        <v>8800</v>
      </c>
      <c r="I253" s="52" t="s">
        <v>5</v>
      </c>
      <c r="J253" s="52">
        <v>1</v>
      </c>
      <c r="K253" t="str">
        <f t="shared" si="6"/>
        <v>12. Елена Трансфер
Тел.: +79497288148
Адрес: Шевченко 317 Грация
№ заказа: Витамины
Кол-во мест: 1
https://yandex.ru/maps/?text=47.1179%2C37.5163
https://maps.google.com/?daddr=47.1179%2C37.5163
К оплате: **8800
**----------------------------------------------------------</v>
      </c>
    </row>
    <row r="254" spans="1:11" hidden="1" x14ac:dyDescent="0.25">
      <c r="A254">
        <v>13</v>
      </c>
      <c r="B254" s="179">
        <v>45548</v>
      </c>
      <c r="C254" t="s">
        <v>3325</v>
      </c>
      <c r="D254" t="str">
        <f>VLOOKUP($C254,ТабКлиенты[[#All],[name]:[phone]],MATCH(D$1,ТабКлиенты[#Headers],0)-1,0)</f>
        <v>+79497177018</v>
      </c>
      <c r="E254" t="str">
        <f>VLOOKUP($C254,ТабАдрес[[#All],[Клиент]:[gps]],MATCH(E$1,ТабКлиенты[#Headers],0)-4,0)</f>
        <v>Троицка 75, Рынок Юмовила</v>
      </c>
      <c r="F254" t="str">
        <f>VLOOKUP($C254,ТабАдрес[[#All],[Клиент]:[gps]],MATCH(F$1,ТабКлиенты[#Headers],0)-4,0)</f>
        <v>47.1121, 37.5156</v>
      </c>
      <c r="H254" s="181">
        <v>1800</v>
      </c>
      <c r="I254" s="52" t="s">
        <v>5</v>
      </c>
      <c r="J254" s="52">
        <v>1</v>
      </c>
      <c r="K254" t="str">
        <f t="shared" si="6"/>
        <v>13. Елена Индол
Тел.: +79497177018
Адрес: Троицка 75, Рынок Юмовила
№ заказа: Витамины
Кол-во мест: 1
https://yandex.ru/maps/?text=47.1121%2C37.5156
https://maps.google.com/?daddr=47.1121%2C37.5156
К оплате: **1800
**----------------------------------------------------------</v>
      </c>
    </row>
    <row r="255" spans="1:11" hidden="1" x14ac:dyDescent="0.25">
      <c r="A255">
        <v>14</v>
      </c>
      <c r="B255" s="179">
        <v>45548</v>
      </c>
      <c r="C255" t="s">
        <v>3261</v>
      </c>
      <c r="D255" t="e">
        <f>VLOOKUP($C255,ТабКлиенты[[#All],[name]:[phone]],MATCH(D$1,ТабКлиенты[#Headers],0)-1,0)</f>
        <v>#N/A</v>
      </c>
      <c r="E255" t="e">
        <f>VLOOKUP($C255,ТабАдрес[[#All],[Клиент]:[gps]],MATCH(E$1,ТабКлиенты[#Headers],0)-4,0)</f>
        <v>#N/A</v>
      </c>
      <c r="F255" t="e">
        <f>VLOOKUP($C255,ТабАдрес[[#All],[Клиент]:[gps]],MATCH(F$1,ТабКлиенты[#Headers],0)-4,0)</f>
        <v>#N/A</v>
      </c>
      <c r="H255" s="181">
        <v>3000</v>
      </c>
      <c r="I255" s="52">
        <v>243</v>
      </c>
      <c r="J255" s="52">
        <v>1</v>
      </c>
      <c r="K255" t="e">
        <f t="shared" si="6"/>
        <v>#N/A</v>
      </c>
    </row>
    <row r="256" spans="1:11" hidden="1" x14ac:dyDescent="0.25">
      <c r="A256">
        <v>15</v>
      </c>
      <c r="B256" s="179">
        <v>45548</v>
      </c>
      <c r="C256" t="s">
        <v>3262</v>
      </c>
      <c r="D256" t="e">
        <f>VLOOKUP($C256,ТабКлиенты[[#All],[name]:[phone]],MATCH(D$1,ТабКлиенты[#Headers],0)-1,0)</f>
        <v>#N/A</v>
      </c>
      <c r="E256" t="e">
        <f>VLOOKUP($C256,ТабАдрес[[#All],[Клиент]:[gps]],MATCH(E$1,ТабКлиенты[#Headers],0)-4,0)</f>
        <v>#N/A</v>
      </c>
      <c r="F256" t="e">
        <f>VLOOKUP($C256,ТабАдрес[[#All],[Клиент]:[gps]],MATCH(F$1,ТабКлиенты[#Headers],0)-4,0)</f>
        <v>#N/A</v>
      </c>
      <c r="H256" s="181">
        <v>0</v>
      </c>
      <c r="I256" s="52">
        <v>248</v>
      </c>
      <c r="J256" s="52">
        <v>1</v>
      </c>
      <c r="K256" t="e">
        <f t="shared" si="6"/>
        <v>#N/A</v>
      </c>
    </row>
    <row r="257" spans="1:11" hidden="1" x14ac:dyDescent="0.25">
      <c r="A257">
        <v>16</v>
      </c>
      <c r="B257" s="179">
        <v>45548</v>
      </c>
      <c r="C257" t="s">
        <v>3241</v>
      </c>
      <c r="D257" t="str">
        <f>VLOOKUP($C257,ТабКлиенты[[#All],[name]:[phone]],MATCH(D$1,ТабКлиенты[#Headers],0)-1,0)</f>
        <v>+79497064345</v>
      </c>
      <c r="E257" t="str">
        <f>VLOOKUP($C257,ТабАдрес[[#All],[Клиент]:[gps]],MATCH(E$1,ТабКлиенты[#Headers],0)-4,0)</f>
        <v>Шевченко 270</v>
      </c>
      <c r="F257" t="str">
        <f>VLOOKUP($C257,ТабАдрес[[#All],[Клиент]:[gps]],MATCH(F$1,ТабКлиенты[#Headers],0)-4,0)</f>
        <v>47.1157, 37.5138</v>
      </c>
      <c r="H257" s="181">
        <f>1700*3</f>
        <v>5100</v>
      </c>
      <c r="I257" s="52" t="s">
        <v>5</v>
      </c>
      <c r="J257" s="52">
        <v>1</v>
      </c>
      <c r="K257" t="str">
        <f t="shared" si="6"/>
        <v>16. Татьяна Леонидовна
Тел.: +79497064345
Адрес: Шевченко 270
№ заказа: Витамины
Кол-во мест: 1
https://yandex.ru/maps/?text=47.1157%2C37.5138
https://maps.google.com/?daddr=47.1157%2C37.5138
К оплате: **5100
**----------------------------------------------------------</v>
      </c>
    </row>
    <row r="258" spans="1:11" hidden="1" x14ac:dyDescent="0.25">
      <c r="A258">
        <v>17</v>
      </c>
      <c r="B258" s="179">
        <v>45548</v>
      </c>
      <c r="C258" t="s">
        <v>3321</v>
      </c>
      <c r="D258" t="str">
        <f>VLOOKUP($C258,ТабКлиенты[[#All],[name]:[phone]],MATCH(D$1,ТабКлиенты[#Headers],0)-1,0)</f>
        <v>+79497196221</v>
      </c>
      <c r="E258" t="str">
        <f>VLOOKUP($C258,ТабАдрес[[#All],[Клиент]:[gps]],MATCH(E$1,ТабКлиенты[#Headers],0)-4,0)</f>
        <v>Краснофлотская 132</v>
      </c>
      <c r="F258" t="str">
        <f>VLOOKUP($C258,ТабАдрес[[#All],[Клиент]:[gps]],MATCH(F$1,ТабКлиенты[#Headers],0)-4,0)</f>
        <v>47.0917, 37.4968</v>
      </c>
      <c r="H258" s="181">
        <v>4000</v>
      </c>
      <c r="I258" s="52" t="s">
        <v>5</v>
      </c>
      <c r="J258" s="52">
        <v>1</v>
      </c>
      <c r="K258" t="str">
        <f t="shared" si="6"/>
        <v>17. Валерий Фагот
Тел.: +79497196221
Адрес: Краснофлотская 132
№ заказа: Витамины
Кол-во мест: 1
https://yandex.ru/maps/?text=47.0917%2C37.4968
https://maps.google.com/?daddr=47.0917%2C37.4968
К оплате: **4000
**----------------------------------------------------------</v>
      </c>
    </row>
    <row r="259" spans="1:11" hidden="1" x14ac:dyDescent="0.25">
      <c r="A259">
        <v>18</v>
      </c>
      <c r="B259" s="179">
        <v>45548</v>
      </c>
      <c r="C259" t="s">
        <v>3143</v>
      </c>
      <c r="D259" t="e">
        <f>VLOOKUP($C259,ТабКлиенты[[#All],[name]:[phone]],MATCH(D$1,ТабКлиенты[#Headers],0)-1,0)</f>
        <v>#N/A</v>
      </c>
      <c r="E259" t="e">
        <f>VLOOKUP($C259,ТабАдрес[[#All],[Клиент]:[gps]],MATCH(E$1,ТабКлиенты[#Headers],0)-4,0)</f>
        <v>#N/A</v>
      </c>
      <c r="F259" t="e">
        <f>VLOOKUP($C259,ТабАдрес[[#All],[Клиент]:[gps]],MATCH(F$1,ТабКлиенты[#Headers],0)-4,0)</f>
        <v>#N/A</v>
      </c>
      <c r="H259" s="181">
        <v>0</v>
      </c>
      <c r="I259" s="52">
        <v>230</v>
      </c>
      <c r="J259" s="52">
        <v>1</v>
      </c>
      <c r="K259" t="e">
        <f t="shared" si="6"/>
        <v>#N/A</v>
      </c>
    </row>
    <row r="260" spans="1:11" hidden="1" x14ac:dyDescent="0.25">
      <c r="A260">
        <v>19</v>
      </c>
      <c r="B260" s="179">
        <v>45548</v>
      </c>
      <c r="C260" t="s">
        <v>3281</v>
      </c>
      <c r="D260" t="e">
        <f>VLOOKUP($C260,ТабКлиенты[[#All],[name]:[phone]],MATCH(D$1,ТабКлиенты[#Headers],0)-1,0)</f>
        <v>#N/A</v>
      </c>
      <c r="E260" t="e">
        <f>VLOOKUP($C260,ТабАдрес[[#All],[Клиент]:[gps]],MATCH(E$1,ТабКлиенты[#Headers],0)-4,0)</f>
        <v>#N/A</v>
      </c>
      <c r="F260" t="e">
        <f>VLOOKUP($C260,ТабАдрес[[#All],[Клиент]:[gps]],MATCH(F$1,ТабКлиенты[#Headers],0)-4,0)</f>
        <v>#N/A</v>
      </c>
      <c r="H260" s="181">
        <v>0</v>
      </c>
      <c r="I260" s="52">
        <v>242</v>
      </c>
      <c r="J260" s="52">
        <v>1</v>
      </c>
      <c r="K260" t="e">
        <f t="shared" si="6"/>
        <v>#N/A</v>
      </c>
    </row>
    <row r="261" spans="1:11" hidden="1" x14ac:dyDescent="0.25">
      <c r="A261">
        <v>20</v>
      </c>
      <c r="B261" s="179">
        <v>45548</v>
      </c>
      <c r="C261" t="s">
        <v>3226</v>
      </c>
      <c r="D261" t="str">
        <f>VLOOKUP($C261,ТабКлиенты[[#All],[name]:[phone]],MATCH(D$1,ТабКлиенты[#Headers],0)-1,0)</f>
        <v>+79497169864</v>
      </c>
      <c r="E261" t="str">
        <f>VLOOKUP($C261,ТабАдрес[[#All],[Клиент]:[gps]],MATCH(E$1,ТабКлиенты[#Headers],0)-4,0)</f>
        <v>Строителей, 102</v>
      </c>
      <c r="F261" t="str">
        <f>VLOOKUP($C261,ТабАдрес[[#All],[Клиент]:[gps]],MATCH(F$1,ТабКлиенты[#Headers],0)-4,0)</f>
        <v>47.100776, 37.522477</v>
      </c>
      <c r="H261" s="181">
        <v>13910</v>
      </c>
      <c r="I261" s="52" t="s">
        <v>5</v>
      </c>
      <c r="J261" s="52">
        <v>1</v>
      </c>
      <c r="K261" t="str">
        <f t="shared" si="6"/>
        <v>20. Надежда Витамины
Тел.: +79497169864
Адрес: Строителей, 102
№ заказа: Витамины
Кол-во мест: 1
https://yandex.ru/maps/?text=47.100776%2C37.522477
https://maps.google.com/?daddr=47.100776%2C37.522477
К оплате: **13910
**----------------------------------------------------------</v>
      </c>
    </row>
    <row r="262" spans="1:11" hidden="1" x14ac:dyDescent="0.25">
      <c r="A262">
        <v>21</v>
      </c>
      <c r="B262" s="179">
        <v>45548</v>
      </c>
      <c r="C262" t="s">
        <v>3317</v>
      </c>
      <c r="D262" t="str">
        <f>VLOOKUP($C262,ТабКлиенты[[#All],[name]:[phone]],MATCH(D$1,ТабКлиенты[#Headers],0)-1,0)</f>
        <v>+79497369642</v>
      </c>
      <c r="E262" t="str">
        <f>VLOOKUP($C262,ТабАдрес[[#All],[Клиент]:[gps]],MATCH(E$1,ТабКлиенты[#Headers],0)-4,0)</f>
        <v>Ленина 63/2</v>
      </c>
      <c r="F262" t="str">
        <f>VLOOKUP($C262,ТабАдрес[[#All],[Клиент]:[gps]],MATCH(F$1,ТабКлиенты[#Headers],0)-4,0)</f>
        <v>47.0971, 37.5481</v>
      </c>
      <c r="H262" s="181">
        <v>6500</v>
      </c>
      <c r="I262" s="52" t="s">
        <v>5</v>
      </c>
      <c r="J262" s="52">
        <v>1</v>
      </c>
      <c r="K262" t="str">
        <f t="shared" si="6"/>
        <v>21. Наталья Сергеевна
Тел.: +79497369642
Адрес: Ленина 63/2
№ заказа: Витамины
Кол-во мест: 1
https://yandex.ru/maps/?text=47.0971%2C37.5481
https://maps.google.com/?daddr=47.0971%2C37.5481
К оплате: **6500
**----------------------------------------------------------</v>
      </c>
    </row>
    <row r="263" spans="1:11" hidden="1" x14ac:dyDescent="0.25">
      <c r="A263">
        <v>1</v>
      </c>
      <c r="B263" s="179">
        <v>45556</v>
      </c>
      <c r="C263" t="s">
        <v>3149</v>
      </c>
      <c r="D263" t="e">
        <f>VLOOKUP($C263,ТабКлиенты[[#All],[name]:[phone]],MATCH(D$1,ТабКлиенты[#Headers],0)-1,0)</f>
        <v>#N/A</v>
      </c>
      <c r="E263" t="e">
        <f>VLOOKUP($C263,ТабАдрес[[#All],[Клиент]:[gps]],MATCH(E$1,ТабКлиенты[#Headers],0)-4,0)</f>
        <v>#N/A</v>
      </c>
      <c r="F263" t="e">
        <f>VLOOKUP($C263,ТабАдрес[[#All],[Клиент]:[gps]],MATCH(F$1,ТабКлиенты[#Headers],0)-4,0)</f>
        <v>#N/A</v>
      </c>
      <c r="H263" s="181">
        <v>0</v>
      </c>
      <c r="I263" s="52">
        <v>250</v>
      </c>
      <c r="J263" s="52">
        <v>1</v>
      </c>
      <c r="K263" t="e">
        <f t="shared" si="6"/>
        <v>#N/A</v>
      </c>
    </row>
    <row r="264" spans="1:11" hidden="1" x14ac:dyDescent="0.25">
      <c r="A264">
        <v>2</v>
      </c>
      <c r="B264" s="179">
        <v>45556</v>
      </c>
      <c r="C264" t="s">
        <v>3210</v>
      </c>
      <c r="D264" t="e">
        <f>VLOOKUP($C264,ТабКлиенты[[#All],[name]:[phone]],MATCH(D$1,ТабКлиенты[#Headers],0)-1,0)</f>
        <v>#N/A</v>
      </c>
      <c r="E264" t="e">
        <f>VLOOKUP($C264,ТабАдрес[[#All],[Клиент]:[gps]],MATCH(E$1,ТабКлиенты[#Headers],0)-4,0)</f>
        <v>#N/A</v>
      </c>
      <c r="F264" t="e">
        <f>VLOOKUP($C264,ТабАдрес[[#All],[Клиент]:[gps]],MATCH(F$1,ТабКлиенты[#Headers],0)-4,0)</f>
        <v>#N/A</v>
      </c>
      <c r="H264" s="181">
        <v>0</v>
      </c>
      <c r="I264" s="52">
        <v>245</v>
      </c>
      <c r="J264" s="52">
        <v>2</v>
      </c>
      <c r="K264" t="e">
        <f t="shared" si="6"/>
        <v>#N/A</v>
      </c>
    </row>
    <row r="265" spans="1:11" hidden="1" x14ac:dyDescent="0.25">
      <c r="A265">
        <v>3</v>
      </c>
      <c r="B265" s="179">
        <v>45556</v>
      </c>
      <c r="C265" t="s">
        <v>3133</v>
      </c>
      <c r="D265" t="e">
        <f>VLOOKUP($C265,ТабКлиенты[[#All],[name]:[phone]],MATCH(D$1,ТабКлиенты[#Headers],0)-1,0)</f>
        <v>#N/A</v>
      </c>
      <c r="E265" t="e">
        <f>VLOOKUP($C265,ТабАдрес[[#All],[Клиент]:[gps]],MATCH(E$1,ТабКлиенты[#Headers],0)-4,0)</f>
        <v>#N/A</v>
      </c>
      <c r="F265" t="e">
        <f>VLOOKUP($C265,ТабАдрес[[#All],[Клиент]:[gps]],MATCH(F$1,ТабКлиенты[#Headers],0)-4,0)</f>
        <v>#N/A</v>
      </c>
      <c r="H265" s="181">
        <v>1205</v>
      </c>
      <c r="I265" s="52">
        <v>254</v>
      </c>
      <c r="J265" s="52">
        <v>1</v>
      </c>
      <c r="K265" t="e">
        <f t="shared" si="6"/>
        <v>#N/A</v>
      </c>
    </row>
    <row r="266" spans="1:11" hidden="1" x14ac:dyDescent="0.25">
      <c r="A266">
        <v>4</v>
      </c>
      <c r="B266" s="179">
        <v>45556</v>
      </c>
      <c r="C266" t="s">
        <v>3256</v>
      </c>
      <c r="D266" t="str">
        <f>VLOOKUP($C266,ТабКлиенты[[#All],[name]:[phone]],MATCH(D$1,ТабКлиенты[#Headers],0)-1,0)</f>
        <v>+79497213168</v>
      </c>
      <c r="E266" t="str">
        <f>VLOOKUP($C266,ТабАдрес[[#All],[Клиент]:[gps]],MATCH(E$1,ТабКлиенты[#Headers],0)-4,0)</f>
        <v>Шопена 92</v>
      </c>
      <c r="F266" t="str">
        <f>VLOOKUP($C266,ТабАдрес[[#All],[Клиент]:[gps]],MATCH(F$1,ТабКлиенты[#Headers],0)-4,0)</f>
        <v>47.1582, 37.6032</v>
      </c>
      <c r="H266" s="181">
        <v>3300</v>
      </c>
      <c r="I266" s="52" t="s">
        <v>5</v>
      </c>
      <c r="J266" s="52">
        <v>1</v>
      </c>
      <c r="K266" t="str">
        <f t="shared" si="6"/>
        <v>4. Светлана Федоровна
Тел.: +79497213168
Адрес: Шопена 92
№ заказа: Витамины
Кол-во мест: 1
https://yandex.ru/maps/?text=47.1582%2C37.6032
https://maps.google.com/?daddr=47.1582%2C37.6032
К оплате: **3300
**----------------------------------------------------------</v>
      </c>
    </row>
    <row r="267" spans="1:11" hidden="1" x14ac:dyDescent="0.25">
      <c r="A267">
        <v>5</v>
      </c>
      <c r="B267" s="179">
        <v>45556</v>
      </c>
      <c r="C267" t="s">
        <v>3252</v>
      </c>
      <c r="D267" t="str">
        <f>VLOOKUP($C267,ТабКлиенты[[#All],[name]:[phone]],MATCH(D$1,ТабКлиенты[#Headers],0)-1,0)</f>
        <v>+79497115237</v>
      </c>
      <c r="E267" t="str">
        <f>VLOOKUP($C267,ТабАдрес[[#All],[Клиент]:[gps]],MATCH(E$1,ТабКлиенты[#Headers],0)-4,0)</f>
        <v>пер Станционный 8</v>
      </c>
      <c r="F267" t="str">
        <f>VLOOKUP($C267,ТабАдрес[[#All],[Клиент]:[gps]],MATCH(F$1,ТабКлиенты[#Headers],0)-4,0)</f>
        <v>47.1640, 37.5780</v>
      </c>
      <c r="H267" s="181">
        <v>2200</v>
      </c>
      <c r="I267" s="52" t="s">
        <v>5</v>
      </c>
      <c r="J267" s="52">
        <v>1</v>
      </c>
      <c r="K267" t="str">
        <f t="shared" si="6"/>
        <v>5. Аня Мирный
Тел.: +79497115237
Адрес: пер Станционный 8
№ заказа: Витамины
Кол-во мест: 1
https://yandex.ru/maps/?text=47.1640%2C37.5780
https://maps.google.com/?daddr=47.1640%2C37.5780
К оплате: **2200
**----------------------------------------------------------</v>
      </c>
    </row>
    <row r="268" spans="1:11" hidden="1" x14ac:dyDescent="0.25">
      <c r="A268">
        <v>6</v>
      </c>
      <c r="B268" s="179">
        <v>45556</v>
      </c>
      <c r="C268" t="s">
        <v>3333</v>
      </c>
      <c r="D268" t="e">
        <f>VLOOKUP($C268,ТабКлиенты[[#All],[name]:[phone]],MATCH(D$1,ТабКлиенты[#Headers],0)-1,0)</f>
        <v>#N/A</v>
      </c>
      <c r="E268" t="e">
        <f>VLOOKUP($C268,ТабАдрес[[#All],[Клиент]:[gps]],MATCH(E$1,ТабКлиенты[#Headers],0)-4,0)</f>
        <v>#N/A</v>
      </c>
      <c r="F268" t="e">
        <f>VLOOKUP($C268,ТабАдрес[[#All],[Клиент]:[gps]],MATCH(F$1,ТабКлиенты[#Headers],0)-4,0)</f>
        <v>#N/A</v>
      </c>
      <c r="H268" s="181">
        <v>9300</v>
      </c>
      <c r="I268" s="52">
        <v>255</v>
      </c>
      <c r="J268" s="52">
        <v>3</v>
      </c>
      <c r="K268" t="e">
        <f t="shared" si="6"/>
        <v>#N/A</v>
      </c>
    </row>
    <row r="269" spans="1:11" hidden="1" x14ac:dyDescent="0.25">
      <c r="A269">
        <v>7</v>
      </c>
      <c r="B269" s="179">
        <v>45556</v>
      </c>
      <c r="C269" t="s">
        <v>3279</v>
      </c>
      <c r="D269" t="e">
        <f>VLOOKUP($C269,ТабКлиенты[[#All],[name]:[phone]],MATCH(D$1,ТабКлиенты[#Headers],0)-1,0)</f>
        <v>#N/A</v>
      </c>
      <c r="E269" t="e">
        <f>VLOOKUP($C269,ТабАдрес[[#All],[Клиент]:[gps]],MATCH(E$1,ТабКлиенты[#Headers],0)-4,0)</f>
        <v>#N/A</v>
      </c>
      <c r="F269" t="e">
        <f>VLOOKUP($C269,ТабАдрес[[#All],[Клиент]:[gps]],MATCH(F$1,ТабКлиенты[#Headers],0)-4,0)</f>
        <v>#N/A</v>
      </c>
      <c r="H269" s="181">
        <v>1265</v>
      </c>
      <c r="I269" s="52">
        <v>232</v>
      </c>
      <c r="J269" s="52">
        <v>1</v>
      </c>
      <c r="K269" t="e">
        <f t="shared" si="6"/>
        <v>#N/A</v>
      </c>
    </row>
    <row r="270" spans="1:11" hidden="1" x14ac:dyDescent="0.25">
      <c r="A270">
        <v>8</v>
      </c>
      <c r="B270" s="179">
        <v>45556</v>
      </c>
      <c r="C270" t="s">
        <v>3235</v>
      </c>
      <c r="D270" t="str">
        <f>VLOOKUP($C270,ТабКлиенты[[#All],[name]:[phone]],MATCH(D$1,ТабКлиенты[#Headers],0)-1,0)</f>
        <v>+79497386112</v>
      </c>
      <c r="E270" t="str">
        <f>VLOOKUP($C270,ТабАдрес[[#All],[Клиент]:[gps]],MATCH(E$1,ТабКлиенты[#Headers],0)-4,0)</f>
        <v>Шевченко 325</v>
      </c>
      <c r="F270" t="str">
        <f>VLOOKUP($C270,ТабАдрес[[#All],[Клиент]:[gps]],MATCH(F$1,ТабКлиенты[#Headers],0)-4,0)</f>
        <v>47.1193, 37.5172</v>
      </c>
      <c r="H270" s="181">
        <v>0</v>
      </c>
      <c r="I270" s="52" t="s">
        <v>5</v>
      </c>
      <c r="J270" s="52">
        <v>1</v>
      </c>
      <c r="K270" t="str">
        <f t="shared" si="6"/>
        <v>8. Любовь Виталий
Тел.: +79497386112
Адрес: Шевченко 325
№ заказа: Витамины
Кол-во мест: 1
https://yandex.ru/maps/?text=47.1193%2C37.5172
https://maps.google.com/?daddr=47.1193%2C37.5172
К оплате: **0
**----------------------------------------------------------</v>
      </c>
    </row>
    <row r="271" spans="1:11" hidden="1" x14ac:dyDescent="0.25">
      <c r="A271">
        <v>9</v>
      </c>
      <c r="B271" s="179">
        <v>45556</v>
      </c>
      <c r="C271" t="s">
        <v>3262</v>
      </c>
      <c r="D271" t="e">
        <f>VLOOKUP($C271,ТабКлиенты[[#All],[name]:[phone]],MATCH(D$1,ТабКлиенты[#Headers],0)-1,0)</f>
        <v>#N/A</v>
      </c>
      <c r="E271" t="e">
        <f>VLOOKUP($C271,ТабАдрес[[#All],[Клиент]:[gps]],MATCH(E$1,ТабКлиенты[#Headers],0)-4,0)</f>
        <v>#N/A</v>
      </c>
      <c r="F271" t="e">
        <f>VLOOKUP($C271,ТабАдрес[[#All],[Клиент]:[gps]],MATCH(F$1,ТабКлиенты[#Headers],0)-4,0)</f>
        <v>#N/A</v>
      </c>
      <c r="H271" s="181">
        <v>672</v>
      </c>
      <c r="I271" s="52">
        <v>246</v>
      </c>
      <c r="J271" s="52">
        <v>1</v>
      </c>
      <c r="K271" t="e">
        <f t="shared" si="6"/>
        <v>#N/A</v>
      </c>
    </row>
    <row r="272" spans="1:11" hidden="1" x14ac:dyDescent="0.25">
      <c r="A272">
        <v>10</v>
      </c>
      <c r="B272" s="179">
        <v>45556</v>
      </c>
      <c r="C272" t="s">
        <v>3263</v>
      </c>
      <c r="D272" t="e">
        <f>VLOOKUP($C272,ТабКлиенты[[#All],[name]:[phone]],MATCH(D$1,ТабКлиенты[#Headers],0)-1,0)</f>
        <v>#N/A</v>
      </c>
      <c r="E272" t="e">
        <f>VLOOKUP($C272,ТабАдрес[[#All],[Клиент]:[gps]],MATCH(E$1,ТабКлиенты[#Headers],0)-4,0)</f>
        <v>#N/A</v>
      </c>
      <c r="F272" t="e">
        <f>VLOOKUP($C272,ТабАдрес[[#All],[Клиент]:[gps]],MATCH(F$1,ТабКлиенты[#Headers],0)-4,0)</f>
        <v>#N/A</v>
      </c>
      <c r="H272" s="181">
        <v>719</v>
      </c>
      <c r="I272" s="52">
        <v>259</v>
      </c>
      <c r="J272" s="52">
        <v>2</v>
      </c>
      <c r="K272" t="e">
        <f t="shared" si="6"/>
        <v>#N/A</v>
      </c>
    </row>
    <row r="273" spans="1:11" hidden="1" x14ac:dyDescent="0.25">
      <c r="A273">
        <v>11</v>
      </c>
      <c r="B273" s="179">
        <v>45556</v>
      </c>
      <c r="C273" t="s">
        <v>3226</v>
      </c>
      <c r="D273" t="str">
        <f>VLOOKUP($C273,ТабКлиенты[[#All],[name]:[phone]],MATCH(D$1,ТабКлиенты[#Headers],0)-1,0)</f>
        <v>+79497169864</v>
      </c>
      <c r="E273" t="str">
        <f>VLOOKUP($C273,ТабАдрес[[#All],[Клиент]:[gps]],MATCH(E$1,ТабКлиенты[#Headers],0)-4,0)</f>
        <v>Строителей, 102</v>
      </c>
      <c r="F273" t="str">
        <f>VLOOKUP($C273,ТабАдрес[[#All],[Клиент]:[gps]],MATCH(F$1,ТабКлиенты[#Headers],0)-4,0)</f>
        <v>47.100776, 37.522477</v>
      </c>
      <c r="H273" s="181">
        <v>0</v>
      </c>
      <c r="I273" s="52" t="s">
        <v>5</v>
      </c>
      <c r="J273" s="52">
        <v>1</v>
      </c>
      <c r="K273" t="str">
        <f t="shared" si="6"/>
        <v>11. Надежда Витамины
Тел.: +79497169864
Адрес: Строителей, 102
№ заказа: Витамины
Кол-во мест: 1
https://yandex.ru/maps/?text=47.100776%2C37.522477
https://maps.google.com/?daddr=47.100776%2C37.522477
К оплате: **0
**----------------------------------------------------------</v>
      </c>
    </row>
    <row r="274" spans="1:11" hidden="1" x14ac:dyDescent="0.25">
      <c r="A274">
        <v>12</v>
      </c>
      <c r="B274" s="179">
        <v>45556</v>
      </c>
      <c r="C274" t="s">
        <v>3335</v>
      </c>
      <c r="D274" t="e">
        <f>VLOOKUP($C274,ТабКлиенты[[#All],[name]:[phone]],MATCH(D$1,ТабКлиенты[#Headers],0)-1,0)</f>
        <v>#N/A</v>
      </c>
      <c r="E274" t="e">
        <f>VLOOKUP($C274,ТабАдрес[[#All],[Клиент]:[gps]],MATCH(E$1,ТабКлиенты[#Headers],0)-4,0)</f>
        <v>#N/A</v>
      </c>
      <c r="F274" t="e">
        <f>VLOOKUP($C274,ТабАдрес[[#All],[Клиент]:[gps]],MATCH(F$1,ТабКлиенты[#Headers],0)-4,0)</f>
        <v>#N/A</v>
      </c>
      <c r="H274" s="181">
        <v>1118</v>
      </c>
      <c r="I274" s="52">
        <v>260</v>
      </c>
      <c r="J274" s="52">
        <v>1</v>
      </c>
      <c r="K274" t="e">
        <f t="shared" si="6"/>
        <v>#N/A</v>
      </c>
    </row>
    <row r="275" spans="1:11" hidden="1" x14ac:dyDescent="0.25">
      <c r="A275">
        <v>13</v>
      </c>
      <c r="B275" s="179">
        <v>45556</v>
      </c>
      <c r="C275" t="s">
        <v>3312</v>
      </c>
      <c r="D275" t="e">
        <f>VLOOKUP($C275,ТабКлиенты[[#All],[name]:[phone]],MATCH(D$1,ТабКлиенты[#Headers],0)-1,0)</f>
        <v>#N/A</v>
      </c>
      <c r="E275" t="e">
        <f>VLOOKUP($C275,ТабАдрес[[#All],[Клиент]:[gps]],MATCH(E$1,ТабКлиенты[#Headers],0)-4,0)</f>
        <v>#N/A</v>
      </c>
      <c r="F275" t="e">
        <f>VLOOKUP($C275,ТабАдрес[[#All],[Клиент]:[gps]],MATCH(F$1,ТабКлиенты[#Headers],0)-4,0)</f>
        <v>#N/A</v>
      </c>
      <c r="H275" s="181">
        <v>3000</v>
      </c>
      <c r="I275" s="52">
        <v>247</v>
      </c>
      <c r="J275" s="52">
        <v>1</v>
      </c>
      <c r="K275" t="e">
        <f t="shared" si="6"/>
        <v>#N/A</v>
      </c>
    </row>
    <row r="276" spans="1:11" hidden="1" x14ac:dyDescent="0.25">
      <c r="A276">
        <v>14</v>
      </c>
      <c r="B276" s="179">
        <v>45556</v>
      </c>
      <c r="C276" t="s">
        <v>3139</v>
      </c>
      <c r="D276" t="str">
        <f>VLOOKUP($C276,ТабКлиенты[[#All],[name]:[phone]],MATCH(D$1,ТабКлиенты[#Headers],0)-1,0)</f>
        <v>+79497243297</v>
      </c>
      <c r="E276" t="str">
        <f>VLOOKUP($C276,ТабАдрес[[#All],[Клиент]:[gps]],MATCH(E$1,ТабКлиенты[#Headers],0)-4,0)</f>
        <v>Шевченко, 309</v>
      </c>
      <c r="F276">
        <f>VLOOKUP($C276,ТабАдрес[[#All],[Клиент]:[gps]],MATCH(F$1,ТабКлиенты[#Headers],0)-4,0)</f>
        <v>0</v>
      </c>
      <c r="H276" s="181">
        <v>4274</v>
      </c>
      <c r="I276" s="52">
        <v>253</v>
      </c>
      <c r="J276" s="52">
        <v>1</v>
      </c>
      <c r="K276" t="e">
        <f t="shared" si="6"/>
        <v>#VALUE!</v>
      </c>
    </row>
    <row r="277" spans="1:11" hidden="1" x14ac:dyDescent="0.25">
      <c r="A277">
        <v>1</v>
      </c>
      <c r="B277" s="179">
        <v>45563</v>
      </c>
      <c r="C277" t="s">
        <v>3149</v>
      </c>
      <c r="D277" t="e">
        <f>VLOOKUP($C277,ТабКлиенты[[#All],[name]:[phone]],MATCH(D$1,ТабКлиенты[#Headers],0)-1,0)</f>
        <v>#N/A</v>
      </c>
      <c r="E277" t="e">
        <f>VLOOKUP($C277,ТабАдрес[[#All],[Клиент]:[gps]],MATCH(E$1,ТабКлиенты[#Headers],0)-4,0)</f>
        <v>#N/A</v>
      </c>
      <c r="F277" t="e">
        <f>VLOOKUP($C277,ТабАдрес[[#All],[Клиент]:[gps]],MATCH(F$1,ТабКлиенты[#Headers],0)-4,0)</f>
        <v>#N/A</v>
      </c>
      <c r="H277" s="181">
        <v>0</v>
      </c>
      <c r="I277" s="52">
        <v>261</v>
      </c>
      <c r="J277" s="52">
        <v>1</v>
      </c>
      <c r="K277" t="e">
        <f t="shared" si="6"/>
        <v>#N/A</v>
      </c>
    </row>
    <row r="278" spans="1:11" hidden="1" x14ac:dyDescent="0.25">
      <c r="A278">
        <v>2</v>
      </c>
      <c r="B278" s="179">
        <v>45563</v>
      </c>
      <c r="C278" t="s">
        <v>3336</v>
      </c>
      <c r="D278" t="e">
        <f>VLOOKUP($C278,ТабКлиенты[[#All],[name]:[phone]],MATCH(D$1,ТабКлиенты[#Headers],0)-1,0)</f>
        <v>#N/A</v>
      </c>
      <c r="E278" t="e">
        <f>VLOOKUP($C278,ТабАдрес[[#All],[Клиент]:[gps]],MATCH(E$1,ТабКлиенты[#Headers],0)-4,0)</f>
        <v>#N/A</v>
      </c>
      <c r="F278" t="e">
        <f>VLOOKUP($C278,ТабАдрес[[#All],[Клиент]:[gps]],MATCH(F$1,ТабКлиенты[#Headers],0)-4,0)</f>
        <v>#N/A</v>
      </c>
      <c r="H278" s="181">
        <v>493</v>
      </c>
      <c r="I278" s="52">
        <v>262</v>
      </c>
      <c r="J278" s="52">
        <v>1</v>
      </c>
      <c r="K278" t="e">
        <f t="shared" si="6"/>
        <v>#N/A</v>
      </c>
    </row>
    <row r="279" spans="1:11" hidden="1" x14ac:dyDescent="0.25">
      <c r="A279">
        <v>3</v>
      </c>
      <c r="B279" s="179">
        <v>45563</v>
      </c>
      <c r="C279" t="s">
        <v>3130</v>
      </c>
      <c r="D279" t="e">
        <f>VLOOKUP($C279,ТабКлиенты[[#All],[name]:[phone]],MATCH(D$1,ТабКлиенты[#Headers],0)-1,0)</f>
        <v>#N/A</v>
      </c>
      <c r="E279" t="e">
        <f>VLOOKUP($C279,ТабАдрес[[#All],[Клиент]:[gps]],MATCH(E$1,ТабКлиенты[#Headers],0)-4,0)</f>
        <v>#N/A</v>
      </c>
      <c r="F279" t="e">
        <f>VLOOKUP($C279,ТабАдрес[[#All],[Клиент]:[gps]],MATCH(F$1,ТабКлиенты[#Headers],0)-4,0)</f>
        <v>#N/A</v>
      </c>
      <c r="H279" s="181">
        <v>-507</v>
      </c>
      <c r="I279" s="52">
        <v>251</v>
      </c>
      <c r="J279" s="52">
        <v>1</v>
      </c>
      <c r="K279" t="e">
        <f t="shared" si="6"/>
        <v>#N/A</v>
      </c>
    </row>
    <row r="280" spans="1:11" hidden="1" x14ac:dyDescent="0.25">
      <c r="A280">
        <v>4</v>
      </c>
      <c r="B280" s="179">
        <v>45563</v>
      </c>
      <c r="C280" t="s">
        <v>3279</v>
      </c>
      <c r="D280" t="e">
        <f>VLOOKUP($C280,ТабКлиенты[[#All],[name]:[phone]],MATCH(D$1,ТабКлиенты[#Headers],0)-1,0)</f>
        <v>#N/A</v>
      </c>
      <c r="E280" t="e">
        <f>VLOOKUP($C280,ТабАдрес[[#All],[Клиент]:[gps]],MATCH(E$1,ТабКлиенты[#Headers],0)-4,0)</f>
        <v>#N/A</v>
      </c>
      <c r="F280" t="e">
        <f>VLOOKUP($C280,ТабАдрес[[#All],[Клиент]:[gps]],MATCH(F$1,ТабКлиенты[#Headers],0)-4,0)</f>
        <v>#N/A</v>
      </c>
      <c r="H280" s="181">
        <v>600</v>
      </c>
      <c r="I280" s="52">
        <v>266</v>
      </c>
      <c r="J280" s="52">
        <v>1</v>
      </c>
      <c r="K280" t="e">
        <f t="shared" si="6"/>
        <v>#N/A</v>
      </c>
    </row>
    <row r="281" spans="1:11" hidden="1" x14ac:dyDescent="0.25">
      <c r="A281">
        <v>5</v>
      </c>
      <c r="B281" s="179">
        <v>45563</v>
      </c>
      <c r="C281" t="s">
        <v>3128</v>
      </c>
      <c r="D281" t="e">
        <f>VLOOKUP($C281,ТабКлиенты[[#All],[name]:[phone]],MATCH(D$1,ТабКлиенты[#Headers],0)-1,0)</f>
        <v>#N/A</v>
      </c>
      <c r="E281" t="e">
        <f>VLOOKUP($C281,ТабАдрес[[#All],[Клиент]:[gps]],MATCH(E$1,ТабКлиенты[#Headers],0)-4,0)</f>
        <v>#N/A</v>
      </c>
      <c r="F281" t="e">
        <f>VLOOKUP($C281,ТабАдрес[[#All],[Клиент]:[gps]],MATCH(F$1,ТабКлиенты[#Headers],0)-4,0)</f>
        <v>#N/A</v>
      </c>
      <c r="H281" s="181">
        <v>0</v>
      </c>
      <c r="I281" s="52">
        <v>218</v>
      </c>
      <c r="J281" s="52">
        <v>1</v>
      </c>
      <c r="K281" t="e">
        <f t="shared" si="6"/>
        <v>#N/A</v>
      </c>
    </row>
    <row r="282" spans="1:11" hidden="1" x14ac:dyDescent="0.25">
      <c r="A282">
        <v>6</v>
      </c>
      <c r="B282" s="179">
        <v>45563</v>
      </c>
      <c r="C282" t="s">
        <v>3263</v>
      </c>
      <c r="D282" t="e">
        <f>VLOOKUP($C282,ТабКлиенты[[#All],[name]:[phone]],MATCH(D$1,ТабКлиенты[#Headers],0)-1,0)</f>
        <v>#N/A</v>
      </c>
      <c r="E282" t="e">
        <f>VLOOKUP($C282,ТабАдрес[[#All],[Клиент]:[gps]],MATCH(E$1,ТабКлиенты[#Headers],0)-4,0)</f>
        <v>#N/A</v>
      </c>
      <c r="F282" t="e">
        <f>VLOOKUP($C282,ТабАдрес[[#All],[Клиент]:[gps]],MATCH(F$1,ТабКлиенты[#Headers],0)-4,0)</f>
        <v>#N/A</v>
      </c>
      <c r="H282" s="181">
        <v>664</v>
      </c>
      <c r="I282" s="52">
        <v>269</v>
      </c>
      <c r="J282" s="52">
        <v>1</v>
      </c>
      <c r="K282" t="e">
        <f t="shared" si="6"/>
        <v>#N/A</v>
      </c>
    </row>
    <row r="283" spans="1:11" hidden="1" x14ac:dyDescent="0.25">
      <c r="A283">
        <v>7</v>
      </c>
      <c r="B283" s="179">
        <v>45563</v>
      </c>
      <c r="C283" t="s">
        <v>3337</v>
      </c>
      <c r="D283" t="e">
        <f>VLOOKUP($C283,ТабКлиенты[[#All],[name]:[phone]],MATCH(D$1,ТабКлиенты[#Headers],0)-1,0)</f>
        <v>#N/A</v>
      </c>
      <c r="E283" t="e">
        <f>VLOOKUP($C283,ТабАдрес[[#All],[Клиент]:[gps]],MATCH(E$1,ТабКлиенты[#Headers],0)-4,0)</f>
        <v>#N/A</v>
      </c>
      <c r="F283" t="e">
        <f>VLOOKUP($C283,ТабАдрес[[#All],[Клиент]:[gps]],MATCH(F$1,ТабКлиенты[#Headers],0)-4,0)</f>
        <v>#N/A</v>
      </c>
      <c r="H283" s="181">
        <v>200</v>
      </c>
      <c r="I283" s="52">
        <v>265</v>
      </c>
      <c r="J283" s="52">
        <v>1</v>
      </c>
      <c r="K283" t="e">
        <f t="shared" si="6"/>
        <v>#N/A</v>
      </c>
    </row>
    <row r="284" spans="1:11" hidden="1" x14ac:dyDescent="0.25">
      <c r="A284">
        <v>8</v>
      </c>
      <c r="B284" s="179">
        <v>45563</v>
      </c>
      <c r="C284" t="s">
        <v>3172</v>
      </c>
      <c r="D284" t="str">
        <f>VLOOKUP($C284,ТабКлиенты[[#All],[name]:[phone]],MATCH(D$1,ТабКлиенты[#Headers],0)-1,0)</f>
        <v>+79497277100</v>
      </c>
      <c r="E284" t="str">
        <f>VLOOKUP($C284,ТабАдрес[[#All],[Клиент]:[gps]],MATCH(E$1,ТабКлиенты[#Headers],0)-4,0)</f>
        <v>Артема 132</v>
      </c>
      <c r="F284" t="str">
        <f>VLOOKUP($C284,ТабАдрес[[#All],[Клиент]:[gps]],MATCH(F$1,ТабКлиенты[#Headers],0)-4,0)</f>
        <v>47.1085, 37.5599</v>
      </c>
      <c r="H284" s="181">
        <f>758+8700</f>
        <v>9458</v>
      </c>
      <c r="I284" s="52">
        <v>257</v>
      </c>
      <c r="J284" s="52">
        <v>1</v>
      </c>
      <c r="K284" t="str">
        <f t="shared" si="6"/>
        <v>8. Александр Радин
Тел.: +79497277100
Адрес: Артема 132
№ заказа: 257
Кол-во мест: 1
https://yandex.ru/maps/?text=47.1085%2C37.5599
https://maps.google.com/?daddr=47.1085%2C37.5599
К оплате: **9458
**----------------------------------------------------------</v>
      </c>
    </row>
    <row r="285" spans="1:11" hidden="1" x14ac:dyDescent="0.25">
      <c r="A285">
        <v>1</v>
      </c>
      <c r="B285" s="179">
        <v>45570</v>
      </c>
      <c r="C285" t="s">
        <v>3131</v>
      </c>
      <c r="D285" t="e">
        <f>VLOOKUP($C285,ТабКлиенты[[#All],[name]:[phone]],MATCH(D$1,ТабКлиенты[#Headers],0)-1,0)</f>
        <v>#N/A</v>
      </c>
      <c r="E285" t="e">
        <f>VLOOKUP($C285,ТабАдрес[[#All],[Клиент]:[gps]],MATCH(E$1,ТабКлиенты[#Headers],0)-4,0)</f>
        <v>#N/A</v>
      </c>
      <c r="F285" t="e">
        <f>VLOOKUP($C285,ТабАдрес[[#All],[Клиент]:[gps]],MATCH(F$1,ТабКлиенты[#Headers],0)-4,0)</f>
        <v>#N/A</v>
      </c>
      <c r="H285" s="181">
        <v>604</v>
      </c>
      <c r="I285" s="52">
        <v>264</v>
      </c>
      <c r="J285" s="52">
        <v>1</v>
      </c>
      <c r="K285" t="e">
        <f t="shared" si="6"/>
        <v>#N/A</v>
      </c>
    </row>
    <row r="286" spans="1:11" hidden="1" x14ac:dyDescent="0.25">
      <c r="A286">
        <v>2</v>
      </c>
      <c r="B286" s="179">
        <v>45570</v>
      </c>
      <c r="C286" t="s">
        <v>3149</v>
      </c>
      <c r="D286" t="e">
        <f>VLOOKUP($C286,ТабКлиенты[[#All],[name]:[phone]],MATCH(D$1,ТабКлиенты[#Headers],0)-1,0)</f>
        <v>#N/A</v>
      </c>
      <c r="E286" t="e">
        <f>VLOOKUP($C286,ТабАдрес[[#All],[Клиент]:[gps]],MATCH(E$1,ТабКлиенты[#Headers],0)-4,0)</f>
        <v>#N/A</v>
      </c>
      <c r="F286" t="e">
        <f>VLOOKUP($C286,ТабАдрес[[#All],[Клиент]:[gps]],MATCH(F$1,ТабКлиенты[#Headers],0)-4,0)</f>
        <v>#N/A</v>
      </c>
      <c r="H286" s="181"/>
      <c r="I286" s="52">
        <v>271</v>
      </c>
      <c r="J286" s="52">
        <v>1</v>
      </c>
      <c r="K286" t="e">
        <f t="shared" si="6"/>
        <v>#N/A</v>
      </c>
    </row>
    <row r="287" spans="1:11" hidden="1" x14ac:dyDescent="0.25">
      <c r="A287">
        <v>3</v>
      </c>
      <c r="B287" s="179">
        <v>45570</v>
      </c>
      <c r="C287" t="s">
        <v>3125</v>
      </c>
      <c r="D287" t="e">
        <f>VLOOKUP($C287,ТабКлиенты[[#All],[name]:[phone]],MATCH(D$1,ТабКлиенты[#Headers],0)-1,0)</f>
        <v>#N/A</v>
      </c>
      <c r="E287" t="e">
        <f>VLOOKUP($C287,ТабАдрес[[#All],[Клиент]:[gps]],MATCH(E$1,ТабКлиенты[#Headers],0)-4,0)</f>
        <v>#N/A</v>
      </c>
      <c r="F287" t="e">
        <f>VLOOKUP($C287,ТабАдрес[[#All],[Клиент]:[gps]],MATCH(F$1,ТабКлиенты[#Headers],0)-4,0)</f>
        <v>#N/A</v>
      </c>
      <c r="H287" s="181"/>
      <c r="I287" s="52">
        <v>272</v>
      </c>
      <c r="J287" s="52">
        <v>1</v>
      </c>
      <c r="K287" t="e">
        <f t="shared" si="6"/>
        <v>#N/A</v>
      </c>
    </row>
    <row r="288" spans="1:11" hidden="1" x14ac:dyDescent="0.25">
      <c r="A288">
        <v>4</v>
      </c>
      <c r="B288" s="179">
        <v>45570</v>
      </c>
      <c r="C288" t="s">
        <v>3312</v>
      </c>
      <c r="D288" t="e">
        <f>VLOOKUP($C288,ТабКлиенты[[#All],[name]:[phone]],MATCH(D$1,ТабКлиенты[#Headers],0)-1,0)</f>
        <v>#N/A</v>
      </c>
      <c r="E288" t="e">
        <f>VLOOKUP($C288,ТабАдрес[[#All],[Клиент]:[gps]],MATCH(E$1,ТабКлиенты[#Headers],0)-4,0)</f>
        <v>#N/A</v>
      </c>
      <c r="F288" t="e">
        <f>VLOOKUP($C288,ТабАдрес[[#All],[Клиент]:[gps]],MATCH(F$1,ТабКлиенты[#Headers],0)-4,0)</f>
        <v>#N/A</v>
      </c>
      <c r="H288" s="181">
        <v>562</v>
      </c>
      <c r="I288" s="52">
        <v>247</v>
      </c>
      <c r="J288" s="52">
        <v>1</v>
      </c>
      <c r="K288" t="e">
        <f t="shared" si="6"/>
        <v>#N/A</v>
      </c>
    </row>
    <row r="289" spans="1:11" hidden="1" x14ac:dyDescent="0.25">
      <c r="A289">
        <v>5</v>
      </c>
      <c r="B289" s="179">
        <v>45570</v>
      </c>
      <c r="C289" t="s">
        <v>3235</v>
      </c>
      <c r="D289" t="str">
        <f>VLOOKUP($C289,ТабКлиенты[[#All],[name]:[phone]],MATCH(D$1,ТабКлиенты[#Headers],0)-1,0)</f>
        <v>+79497386112</v>
      </c>
      <c r="E289" t="str">
        <f>VLOOKUP($C289,ТабАдрес[[#All],[Клиент]:[gps]],MATCH(E$1,ТабКлиенты[#Headers],0)-4,0)</f>
        <v>Шевченко 325</v>
      </c>
      <c r="F289" t="str">
        <f>VLOOKUP($C289,ТабАдрес[[#All],[Клиент]:[gps]],MATCH(F$1,ТабКлиенты[#Headers],0)-4,0)</f>
        <v>47.1193, 37.5172</v>
      </c>
      <c r="H289" s="181"/>
      <c r="I289" s="52" t="s">
        <v>5</v>
      </c>
      <c r="J289" s="52">
        <v>1</v>
      </c>
      <c r="K289" t="str">
        <f t="shared" si="6"/>
        <v>5. Любовь Виталий
Тел.: +79497386112
Адрес: Шевченко 325
№ заказа: Витамины
Кол-во мест: 1
https://yandex.ru/maps/?text=47.1193%2C37.5172
https://maps.google.com/?daddr=47.1193%2C37.5172
К оплате: **
**----------------------------------------------------------</v>
      </c>
    </row>
    <row r="290" spans="1:11" hidden="1" x14ac:dyDescent="0.25">
      <c r="A290">
        <v>6</v>
      </c>
      <c r="B290" s="179">
        <v>45570</v>
      </c>
      <c r="C290" t="s">
        <v>3338</v>
      </c>
      <c r="D290" t="e">
        <f>VLOOKUP($C290,ТабКлиенты[[#All],[name]:[phone]],MATCH(D$1,ТабКлиенты[#Headers],0)-1,0)</f>
        <v>#N/A</v>
      </c>
      <c r="E290" t="e">
        <f>VLOOKUP($C290,ТабАдрес[[#All],[Клиент]:[gps]],MATCH(E$1,ТабКлиенты[#Headers],0)-4,0)</f>
        <v>#N/A</v>
      </c>
      <c r="F290" t="e">
        <f>VLOOKUP($C290,ТабАдрес[[#All],[Клиент]:[gps]],MATCH(F$1,ТабКлиенты[#Headers],0)-4,0)</f>
        <v>#N/A</v>
      </c>
      <c r="H290" s="181">
        <v>0</v>
      </c>
      <c r="I290" s="52">
        <v>270</v>
      </c>
      <c r="J290" s="52">
        <v>1</v>
      </c>
      <c r="K290" t="e">
        <f t="shared" si="6"/>
        <v>#N/A</v>
      </c>
    </row>
    <row r="291" spans="1:11" hidden="1" x14ac:dyDescent="0.25">
      <c r="A291">
        <v>7</v>
      </c>
      <c r="B291" s="179">
        <v>45570</v>
      </c>
      <c r="C291" t="s">
        <v>3344</v>
      </c>
      <c r="D291" t="str">
        <f>VLOOKUP($C291,ТабКлиенты[[#All],[name]:[phone]],MATCH(D$1,ТабКлиенты[#Headers],0)-1,0)</f>
        <v>+79497169849</v>
      </c>
      <c r="E291" t="str">
        <f>VLOOKUP($C291,ТабАдрес[[#All],[Клиент]:[gps]],MATCH(E$1,ТабКлиенты[#Headers],0)-4,0)</f>
        <v>17 рынок Грация</v>
      </c>
      <c r="F291" t="str">
        <f>VLOOKUP($C291,ТабАдрес[[#All],[Клиент]:[gps]],MATCH(F$1,ТабКлиенты[#Headers],0)-4,0)</f>
        <v>47.1122, 37.5146</v>
      </c>
      <c r="H291" s="181"/>
      <c r="I291" s="52" t="s">
        <v>5</v>
      </c>
      <c r="J291" s="52">
        <v>1</v>
      </c>
      <c r="K291" t="str">
        <f t="shared" si="6"/>
        <v>7. Вера Надеждына
Тел.: +79497169849
Адрес: 17 рынок Грация
№ заказа: Витамины
Кол-во мест: 1
https://yandex.ru/maps/?text=47.1122%2C37.5146
https://maps.google.com/?daddr=47.1122%2C37.5146
К оплате: **
**----------------------------------------------------------</v>
      </c>
    </row>
    <row r="292" spans="1:11" hidden="1" x14ac:dyDescent="0.25">
      <c r="A292">
        <v>8</v>
      </c>
      <c r="B292" s="179">
        <v>45570</v>
      </c>
      <c r="C292" t="s">
        <v>3339</v>
      </c>
      <c r="D292" t="e">
        <f>VLOOKUP($C292,ТабКлиенты[[#All],[name]:[phone]],MATCH(D$1,ТабКлиенты[#Headers],0)-1,0)</f>
        <v>#N/A</v>
      </c>
      <c r="E292" t="e">
        <f>VLOOKUP($C292,ТабАдрес[[#All],[Клиент]:[gps]],MATCH(E$1,ТабКлиенты[#Headers],0)-4,0)</f>
        <v>#N/A</v>
      </c>
      <c r="F292" t="e">
        <f>VLOOKUP($C292,ТабАдрес[[#All],[Клиент]:[gps]],MATCH(F$1,ТабКлиенты[#Headers],0)-4,0)</f>
        <v>#N/A</v>
      </c>
      <c r="H292" s="181">
        <v>670</v>
      </c>
      <c r="I292" s="52">
        <v>277</v>
      </c>
      <c r="J292" s="52">
        <v>1</v>
      </c>
      <c r="K292" t="e">
        <f t="shared" si="6"/>
        <v>#N/A</v>
      </c>
    </row>
    <row r="293" spans="1:11" hidden="1" x14ac:dyDescent="0.25">
      <c r="A293">
        <v>9</v>
      </c>
      <c r="B293" s="179">
        <v>45570</v>
      </c>
      <c r="C293" t="s">
        <v>3335</v>
      </c>
      <c r="D293" t="e">
        <f>VLOOKUP($C293,ТабКлиенты[[#All],[name]:[phone]],MATCH(D$1,ТабКлиенты[#Headers],0)-1,0)</f>
        <v>#N/A</v>
      </c>
      <c r="E293" t="e">
        <f>VLOOKUP($C293,ТабАдрес[[#All],[Клиент]:[gps]],MATCH(E$1,ТабКлиенты[#Headers],0)-4,0)</f>
        <v>#N/A</v>
      </c>
      <c r="F293" t="e">
        <f>VLOOKUP($C293,ТабАдрес[[#All],[Клиент]:[gps]],MATCH(F$1,ТабКлиенты[#Headers],0)-4,0)</f>
        <v>#N/A</v>
      </c>
      <c r="H293" s="181">
        <v>1326</v>
      </c>
      <c r="I293" s="52" t="s">
        <v>4294</v>
      </c>
      <c r="J293" s="52">
        <v>1</v>
      </c>
      <c r="K293" t="e">
        <f t="shared" si="6"/>
        <v>#N/A</v>
      </c>
    </row>
    <row r="294" spans="1:11" hidden="1" x14ac:dyDescent="0.25">
      <c r="A294">
        <v>10</v>
      </c>
      <c r="B294" s="179">
        <v>45570</v>
      </c>
      <c r="C294" t="s">
        <v>3340</v>
      </c>
      <c r="D294" t="str">
        <f>VLOOKUP($C294,ТабКлиенты[[#All],[name]:[phone]],MATCH(D$1,ТабКлиенты[#Headers],0)-1,0)</f>
        <v>+79497084226</v>
      </c>
      <c r="E294" t="str">
        <f>VLOOKUP($C294,ТабАдрес[[#All],[Клиент]:[gps]],MATCH(E$1,ТабКлиенты[#Headers],0)-4,0)</f>
        <v>Халтурина 93</v>
      </c>
      <c r="F294" t="str">
        <f>VLOOKUP($C294,ТабАдрес[[#All],[Клиент]:[gps]],MATCH(F$1,ТабКлиенты[#Headers],0)-4,0)</f>
        <v>47.1148, 37.5300</v>
      </c>
      <c r="H294" s="181"/>
      <c r="I294" s="52" t="s">
        <v>5</v>
      </c>
      <c r="J294" s="52">
        <v>1</v>
      </c>
      <c r="K294" t="str">
        <f t="shared" si="6"/>
        <v>10. Татьяна Дьяченко
Тел.: +79497084226
Адрес: Халтурина 93
№ заказа: Витамины
Кол-во мест: 1
https://yandex.ru/maps/?text=47.1148%2C37.5300
https://maps.google.com/?daddr=47.1148%2C37.5300
К оплате: **
**----------------------------------------------------------</v>
      </c>
    </row>
    <row r="295" spans="1:11" hidden="1" x14ac:dyDescent="0.25">
      <c r="A295">
        <v>1</v>
      </c>
      <c r="B295" s="179">
        <v>45577</v>
      </c>
      <c r="C295" t="s">
        <v>3149</v>
      </c>
      <c r="D295" t="e">
        <f>VLOOKUP($C295,ТабКлиенты[[#All],[name]:[phone]],MATCH(D$1,ТабКлиенты[#Headers],0)-1,0)</f>
        <v>#N/A</v>
      </c>
      <c r="E295" t="e">
        <f>VLOOKUP($C295,ТабАдрес[[#All],[Клиент]:[gps]],MATCH(E$1,ТабКлиенты[#Headers],0)-4,0)</f>
        <v>#N/A</v>
      </c>
      <c r="F295" t="e">
        <f>VLOOKUP($C295,ТабАдрес[[#All],[Клиент]:[gps]],MATCH(F$1,ТабКлиенты[#Headers],0)-4,0)</f>
        <v>#N/A</v>
      </c>
      <c r="H295" s="181">
        <v>2400</v>
      </c>
      <c r="I295" s="52">
        <v>278</v>
      </c>
      <c r="J295" s="52">
        <v>1</v>
      </c>
      <c r="K295" t="e">
        <f t="shared" si="6"/>
        <v>#N/A</v>
      </c>
    </row>
    <row r="296" spans="1:11" hidden="1" x14ac:dyDescent="0.25">
      <c r="A296">
        <v>2</v>
      </c>
      <c r="B296" s="179">
        <v>45577</v>
      </c>
      <c r="C296" t="s">
        <v>3210</v>
      </c>
      <c r="D296" t="e">
        <f>VLOOKUP($C296,ТабКлиенты[[#All],[name]:[phone]],MATCH(D$1,ТабКлиенты[#Headers],0)-1,0)</f>
        <v>#N/A</v>
      </c>
      <c r="E296" t="e">
        <f>VLOOKUP($C296,ТабАдрес[[#All],[Клиент]:[gps]],MATCH(E$1,ТабКлиенты[#Headers],0)-4,0)</f>
        <v>#N/A</v>
      </c>
      <c r="F296" t="e">
        <f>VLOOKUP($C296,ТабАдрес[[#All],[Клиент]:[gps]],MATCH(F$1,ТабКлиенты[#Headers],0)-4,0)</f>
        <v>#N/A</v>
      </c>
      <c r="H296" s="181">
        <v>-393</v>
      </c>
      <c r="I296" s="52">
        <v>273</v>
      </c>
      <c r="J296" s="52">
        <v>1</v>
      </c>
      <c r="K296" t="e">
        <f t="shared" si="6"/>
        <v>#N/A</v>
      </c>
    </row>
    <row r="297" spans="1:11" hidden="1" x14ac:dyDescent="0.25">
      <c r="A297">
        <v>3</v>
      </c>
      <c r="B297" s="179">
        <v>45577</v>
      </c>
      <c r="C297" t="s">
        <v>3126</v>
      </c>
      <c r="D297" t="e">
        <f>VLOOKUP($C297,ТабКлиенты[[#All],[name]:[phone]],MATCH(D$1,ТабКлиенты[#Headers],0)-1,0)</f>
        <v>#N/A</v>
      </c>
      <c r="E297" t="e">
        <f>VLOOKUP($C297,ТабАдрес[[#All],[Клиент]:[gps]],MATCH(E$1,ТабКлиенты[#Headers],0)-4,0)</f>
        <v>#N/A</v>
      </c>
      <c r="F297" t="e">
        <f>VLOOKUP($C297,ТабАдрес[[#All],[Клиент]:[gps]],MATCH(F$1,ТабКлиенты[#Headers],0)-4,0)</f>
        <v>#N/A</v>
      </c>
      <c r="H297" s="181">
        <v>2000</v>
      </c>
      <c r="I297" s="52">
        <v>279</v>
      </c>
      <c r="J297" s="52">
        <v>1</v>
      </c>
      <c r="K297" t="e">
        <f t="shared" si="6"/>
        <v>#N/A</v>
      </c>
    </row>
    <row r="298" spans="1:11" hidden="1" x14ac:dyDescent="0.25">
      <c r="A298">
        <v>4</v>
      </c>
      <c r="B298" s="179">
        <v>45577</v>
      </c>
      <c r="C298" t="s">
        <v>3125</v>
      </c>
      <c r="D298" t="e">
        <f>VLOOKUP($C298,ТабКлиенты[[#All],[name]:[phone]],MATCH(D$1,ТабКлиенты[#Headers],0)-1,0)</f>
        <v>#N/A</v>
      </c>
      <c r="E298" t="e">
        <f>VLOOKUP($C298,ТабАдрес[[#All],[Клиент]:[gps]],MATCH(E$1,ТабКлиенты[#Headers],0)-4,0)</f>
        <v>#N/A</v>
      </c>
      <c r="F298" t="e">
        <f>VLOOKUP($C298,ТабАдрес[[#All],[Клиент]:[gps]],MATCH(F$1,ТабКлиенты[#Headers],0)-4,0)</f>
        <v>#N/A</v>
      </c>
      <c r="H298" s="181">
        <v>0</v>
      </c>
      <c r="I298" s="52">
        <v>272</v>
      </c>
      <c r="J298" s="52">
        <v>1</v>
      </c>
      <c r="K298" t="e">
        <f t="shared" si="6"/>
        <v>#N/A</v>
      </c>
    </row>
    <row r="299" spans="1:11" hidden="1" x14ac:dyDescent="0.25">
      <c r="A299">
        <v>5</v>
      </c>
      <c r="B299" s="179">
        <v>45577</v>
      </c>
      <c r="C299" t="s">
        <v>3279</v>
      </c>
      <c r="D299" t="e">
        <f>VLOOKUP($C299,ТабКлиенты[[#All],[name]:[phone]],MATCH(D$1,ТабКлиенты[#Headers],0)-1,0)</f>
        <v>#N/A</v>
      </c>
      <c r="E299" t="e">
        <f>VLOOKUP($C299,ТабАдрес[[#All],[Клиент]:[gps]],MATCH(E$1,ТабКлиенты[#Headers],0)-4,0)</f>
        <v>#N/A</v>
      </c>
      <c r="F299" t="e">
        <f>VLOOKUP($C299,ТабАдрес[[#All],[Клиент]:[gps]],MATCH(F$1,ТабКлиенты[#Headers],0)-4,0)</f>
        <v>#N/A</v>
      </c>
      <c r="H299" s="181">
        <v>3896</v>
      </c>
      <c r="I299" s="52">
        <v>286</v>
      </c>
      <c r="J299" s="52">
        <v>3</v>
      </c>
      <c r="K299" t="e">
        <f t="shared" si="6"/>
        <v>#N/A</v>
      </c>
    </row>
    <row r="300" spans="1:11" hidden="1" x14ac:dyDescent="0.25">
      <c r="A300">
        <v>6</v>
      </c>
      <c r="B300" s="179">
        <v>45577</v>
      </c>
      <c r="C300" t="s">
        <v>3263</v>
      </c>
      <c r="D300" t="e">
        <f>VLOOKUP($C300,ТабКлиенты[[#All],[name]:[phone]],MATCH(D$1,ТабКлиенты[#Headers],0)-1,0)</f>
        <v>#N/A</v>
      </c>
      <c r="E300" t="e">
        <f>VLOOKUP($C300,ТабАдрес[[#All],[Клиент]:[gps]],MATCH(E$1,ТабКлиенты[#Headers],0)-4,0)</f>
        <v>#N/A</v>
      </c>
      <c r="F300" t="e">
        <f>VLOOKUP($C300,ТабАдрес[[#All],[Клиент]:[gps]],MATCH(F$1,ТабКлиенты[#Headers],0)-4,0)</f>
        <v>#N/A</v>
      </c>
      <c r="H300" s="181">
        <v>-134</v>
      </c>
      <c r="I300" s="52">
        <v>287</v>
      </c>
      <c r="J300" s="52">
        <v>1</v>
      </c>
      <c r="K300" t="e">
        <f t="shared" si="6"/>
        <v>#N/A</v>
      </c>
    </row>
    <row r="301" spans="1:11" hidden="1" x14ac:dyDescent="0.25">
      <c r="A301">
        <v>7</v>
      </c>
      <c r="B301" s="179">
        <v>45577</v>
      </c>
      <c r="C301" t="s">
        <v>3143</v>
      </c>
      <c r="D301" t="e">
        <f>VLOOKUP($C301,ТабКлиенты[[#All],[name]:[phone]],MATCH(D$1,ТабКлиенты[#Headers],0)-1,0)</f>
        <v>#N/A</v>
      </c>
      <c r="E301" t="e">
        <f>VLOOKUP($C301,ТабАдрес[[#All],[Клиент]:[gps]],MATCH(E$1,ТабКлиенты[#Headers],0)-4,0)</f>
        <v>#N/A</v>
      </c>
      <c r="F301" t="e">
        <f>VLOOKUP($C301,ТабАдрес[[#All],[Клиент]:[gps]],MATCH(F$1,ТабКлиенты[#Headers],0)-4,0)</f>
        <v>#N/A</v>
      </c>
      <c r="H301" s="181">
        <v>0</v>
      </c>
      <c r="I301" s="52">
        <v>281</v>
      </c>
      <c r="J301" s="52">
        <v>1</v>
      </c>
      <c r="K301" t="e">
        <f t="shared" si="6"/>
        <v>#N/A</v>
      </c>
    </row>
    <row r="302" spans="1:11" hidden="1" x14ac:dyDescent="0.25">
      <c r="A302">
        <v>8</v>
      </c>
      <c r="B302" s="179">
        <v>45577</v>
      </c>
      <c r="C302" t="s">
        <v>3348</v>
      </c>
      <c r="D302" t="e">
        <f>VLOOKUP($C302,ТабКлиенты[[#All],[name]:[phone]],MATCH(D$1,ТабКлиенты[#Headers],0)-1,0)</f>
        <v>#N/A</v>
      </c>
      <c r="E302" t="e">
        <f>VLOOKUP($C302,ТабАдрес[[#All],[Клиент]:[gps]],MATCH(E$1,ТабКлиенты[#Headers],0)-4,0)</f>
        <v>#N/A</v>
      </c>
      <c r="F302" t="e">
        <f>VLOOKUP($C302,ТабАдрес[[#All],[Клиент]:[gps]],MATCH(F$1,ТабКлиенты[#Headers],0)-4,0)</f>
        <v>#N/A</v>
      </c>
      <c r="H302" s="181">
        <v>421</v>
      </c>
      <c r="I302" s="52">
        <v>285</v>
      </c>
      <c r="J302" s="52">
        <v>1</v>
      </c>
      <c r="K302" t="e">
        <f t="shared" si="6"/>
        <v>#N/A</v>
      </c>
    </row>
    <row r="303" spans="1:11" hidden="1" x14ac:dyDescent="0.25">
      <c r="A303">
        <v>1</v>
      </c>
      <c r="B303" s="179">
        <v>45583</v>
      </c>
      <c r="C303" t="s">
        <v>3149</v>
      </c>
      <c r="D303" t="e">
        <f>VLOOKUP($C303,ТабКлиенты[[#All],[name]:[phone]],MATCH(D$1,ТабКлиенты[#Headers],0)-1,0)</f>
        <v>#N/A</v>
      </c>
      <c r="E303" t="e">
        <f>VLOOKUP($C303,ТабАдрес[[#All],[Клиент]:[gps]],MATCH(E$1,ТабКлиенты[#Headers],0)-4,0)</f>
        <v>#N/A</v>
      </c>
      <c r="F303" t="e">
        <f>VLOOKUP($C303,ТабАдрес[[#All],[Клиент]:[gps]],MATCH(F$1,ТабКлиенты[#Headers],0)-4,0)</f>
        <v>#N/A</v>
      </c>
      <c r="H303" s="181">
        <v>0</v>
      </c>
      <c r="I303" s="52">
        <v>291</v>
      </c>
      <c r="J303" s="52">
        <v>1</v>
      </c>
      <c r="K303" t="e">
        <f t="shared" si="6"/>
        <v>#N/A</v>
      </c>
    </row>
    <row r="304" spans="1:11" hidden="1" x14ac:dyDescent="0.25">
      <c r="A304">
        <v>2</v>
      </c>
      <c r="B304" s="179">
        <v>45583</v>
      </c>
      <c r="C304" t="s">
        <v>3210</v>
      </c>
      <c r="D304" t="e">
        <f>VLOOKUP($C304,ТабКлиенты[[#All],[name]:[phone]],MATCH(D$1,ТабКлиенты[#Headers],0)-1,0)</f>
        <v>#N/A</v>
      </c>
      <c r="E304" t="e">
        <f>VLOOKUP($C304,ТабАдрес[[#All],[Клиент]:[gps]],MATCH(E$1,ТабКлиенты[#Headers],0)-4,0)</f>
        <v>#N/A</v>
      </c>
      <c r="F304" t="e">
        <f>VLOOKUP($C304,ТабАдрес[[#All],[Клиент]:[gps]],MATCH(F$1,ТабКлиенты[#Headers],0)-4,0)</f>
        <v>#N/A</v>
      </c>
      <c r="H304" s="181">
        <v>0</v>
      </c>
      <c r="I304" s="52" t="s">
        <v>4295</v>
      </c>
      <c r="J304" s="52">
        <v>1</v>
      </c>
      <c r="K304" t="e">
        <f t="shared" si="6"/>
        <v>#N/A</v>
      </c>
    </row>
    <row r="305" spans="1:11" hidden="1" x14ac:dyDescent="0.25">
      <c r="A305">
        <v>3</v>
      </c>
      <c r="B305" s="179">
        <v>45583</v>
      </c>
      <c r="C305" t="s">
        <v>3133</v>
      </c>
      <c r="D305" t="e">
        <f>VLOOKUP($C305,ТабКлиенты[[#All],[name]:[phone]],MATCH(D$1,ТабКлиенты[#Headers],0)-1,0)</f>
        <v>#N/A</v>
      </c>
      <c r="E305" t="e">
        <f>VLOOKUP($C305,ТабАдрес[[#All],[Клиент]:[gps]],MATCH(E$1,ТабКлиенты[#Headers],0)-4,0)</f>
        <v>#N/A</v>
      </c>
      <c r="F305" t="e">
        <f>VLOOKUP($C305,ТабАдрес[[#All],[Клиент]:[gps]],MATCH(F$1,ТабКлиенты[#Headers],0)-4,0)</f>
        <v>#N/A</v>
      </c>
      <c r="H305" s="181">
        <v>2913</v>
      </c>
      <c r="I305" s="52">
        <v>290</v>
      </c>
      <c r="J305" s="52">
        <v>1</v>
      </c>
      <c r="K305" t="e">
        <f t="shared" ref="K305:K368" si="7">A305&amp;". "&amp;C305&amp;CHAR(10)&amp;"Тел.: "&amp;D305&amp;CHAR(10)&amp;"Адрес: "&amp;E305&amp;CHAR(10)&amp;"№ заказа: "&amp;I305&amp;CHAR(10)&amp;"Кол-во мест: "&amp;J305&amp;CHAR(10)&amp;"https://yandex.ru/maps/?text="&amp;REPLACE(F305,SEARCH(",",F305),2,"%2C")&amp;CHAR(10)&amp;"https://maps.google.com/?daddr="&amp;REPLACE(F305,SEARCH(",",F305),2,"%2C")&amp;CHAR(10)&amp;"К оплате: "&amp;"**"&amp;H305&amp;CHAR(10)&amp;"**"&amp;"----------------------------------------------------------"</f>
        <v>#N/A</v>
      </c>
    </row>
    <row r="306" spans="1:11" hidden="1" x14ac:dyDescent="0.25">
      <c r="A306">
        <v>4</v>
      </c>
      <c r="B306" s="179">
        <v>45583</v>
      </c>
      <c r="C306" t="s">
        <v>3131</v>
      </c>
      <c r="D306" t="e">
        <f>VLOOKUP($C306,ТабКлиенты[[#All],[name]:[phone]],MATCH(D$1,ТабКлиенты[#Headers],0)-1,0)</f>
        <v>#N/A</v>
      </c>
      <c r="E306" t="e">
        <f>VLOOKUP($C306,ТабАдрес[[#All],[Клиент]:[gps]],MATCH(E$1,ТабКлиенты[#Headers],0)-4,0)</f>
        <v>#N/A</v>
      </c>
      <c r="F306" t="e">
        <f>VLOOKUP($C306,ТабАдрес[[#All],[Клиент]:[gps]],MATCH(F$1,ТабКлиенты[#Headers],0)-4,0)</f>
        <v>#N/A</v>
      </c>
      <c r="H306" s="181">
        <v>0</v>
      </c>
      <c r="I306" s="52">
        <v>282</v>
      </c>
      <c r="J306" s="52">
        <v>1</v>
      </c>
      <c r="K306" t="e">
        <f t="shared" si="7"/>
        <v>#N/A</v>
      </c>
    </row>
    <row r="307" spans="1:11" hidden="1" x14ac:dyDescent="0.25">
      <c r="A307">
        <v>5</v>
      </c>
      <c r="B307" s="179">
        <v>45583</v>
      </c>
      <c r="C307" t="s">
        <v>4252</v>
      </c>
      <c r="D307" t="e">
        <f>VLOOKUP($C307,ТабКлиенты[[#All],[name]:[phone]],MATCH(D$1,ТабКлиенты[#Headers],0)-1,0)</f>
        <v>#N/A</v>
      </c>
      <c r="E307" t="e">
        <f>VLOOKUP($C307,ТабАдрес[[#All],[Клиент]:[gps]],MATCH(E$1,ТабКлиенты[#Headers],0)-4,0)</f>
        <v>#N/A</v>
      </c>
      <c r="F307" t="e">
        <f>VLOOKUP($C307,ТабАдрес[[#All],[Клиент]:[gps]],MATCH(F$1,ТабКлиенты[#Headers],0)-4,0)</f>
        <v>#N/A</v>
      </c>
      <c r="H307" s="181">
        <v>26680</v>
      </c>
      <c r="I307" s="52" t="s">
        <v>5</v>
      </c>
      <c r="J307" s="52">
        <v>1</v>
      </c>
      <c r="K307" t="e">
        <f t="shared" si="7"/>
        <v>#N/A</v>
      </c>
    </row>
    <row r="308" spans="1:11" hidden="1" x14ac:dyDescent="0.25">
      <c r="A308">
        <v>6</v>
      </c>
      <c r="B308" s="179">
        <v>45583</v>
      </c>
      <c r="C308" t="s">
        <v>3279</v>
      </c>
      <c r="D308" t="e">
        <f>VLOOKUP($C308,ТабКлиенты[[#All],[name]:[phone]],MATCH(D$1,ТабКлиенты[#Headers],0)-1,0)</f>
        <v>#N/A</v>
      </c>
      <c r="E308" t="e">
        <f>VLOOKUP($C308,ТабАдрес[[#All],[Клиент]:[gps]],MATCH(E$1,ТабКлиенты[#Headers],0)-4,0)</f>
        <v>#N/A</v>
      </c>
      <c r="F308" t="e">
        <f>VLOOKUP($C308,ТабАдрес[[#All],[Клиент]:[gps]],MATCH(F$1,ТабКлиенты[#Headers],0)-4,0)</f>
        <v>#N/A</v>
      </c>
      <c r="H308" s="181">
        <v>1242</v>
      </c>
      <c r="I308" s="52">
        <v>296</v>
      </c>
      <c r="J308" s="52">
        <v>1</v>
      </c>
      <c r="K308" t="e">
        <f t="shared" si="7"/>
        <v>#N/A</v>
      </c>
    </row>
    <row r="309" spans="1:11" hidden="1" x14ac:dyDescent="0.25">
      <c r="A309">
        <v>7</v>
      </c>
      <c r="B309" s="179">
        <v>45583</v>
      </c>
      <c r="C309" t="s">
        <v>3128</v>
      </c>
      <c r="D309" t="e">
        <f>VLOOKUP($C309,ТабКлиенты[[#All],[name]:[phone]],MATCH(D$1,ТабКлиенты[#Headers],0)-1,0)</f>
        <v>#N/A</v>
      </c>
      <c r="E309" t="e">
        <f>VLOOKUP($C309,ТабАдрес[[#All],[Клиент]:[gps]],MATCH(E$1,ТабКлиенты[#Headers],0)-4,0)</f>
        <v>#N/A</v>
      </c>
      <c r="F309" t="e">
        <f>VLOOKUP($C309,ТабАдрес[[#All],[Клиент]:[gps]],MATCH(F$1,ТабКлиенты[#Headers],0)-4,0)</f>
        <v>#N/A</v>
      </c>
      <c r="H309" s="181">
        <v>0</v>
      </c>
      <c r="I309" s="52">
        <v>293</v>
      </c>
      <c r="J309" s="52">
        <v>1</v>
      </c>
      <c r="K309" t="e">
        <f t="shared" si="7"/>
        <v>#N/A</v>
      </c>
    </row>
    <row r="310" spans="1:11" hidden="1" x14ac:dyDescent="0.25">
      <c r="A310">
        <v>8</v>
      </c>
      <c r="B310" s="179">
        <v>45583</v>
      </c>
      <c r="C310" t="s">
        <v>4296</v>
      </c>
      <c r="D310" t="e">
        <f>VLOOKUP($C310,ТабКлиенты[[#All],[name]:[phone]],MATCH(D$1,ТабКлиенты[#Headers],0)-1,0)</f>
        <v>#N/A</v>
      </c>
      <c r="E310" t="e">
        <f>VLOOKUP($C310,ТабАдрес[[#All],[Клиент]:[gps]],MATCH(E$1,ТабКлиенты[#Headers],0)-4,0)</f>
        <v>#N/A</v>
      </c>
      <c r="F310" t="e">
        <f>VLOOKUP($C310,ТабАдрес[[#All],[Клиент]:[gps]],MATCH(F$1,ТабКлиенты[#Headers],0)-4,0)</f>
        <v>#N/A</v>
      </c>
      <c r="H310" s="181">
        <v>14850</v>
      </c>
      <c r="I310" s="52" t="s">
        <v>5</v>
      </c>
      <c r="J310" s="52">
        <v>1</v>
      </c>
      <c r="K310" t="e">
        <f t="shared" si="7"/>
        <v>#N/A</v>
      </c>
    </row>
    <row r="311" spans="1:11" hidden="1" x14ac:dyDescent="0.25">
      <c r="A311">
        <v>9</v>
      </c>
      <c r="B311" s="179">
        <v>45583</v>
      </c>
      <c r="C311" t="s">
        <v>4297</v>
      </c>
      <c r="D311" t="e">
        <f>VLOOKUP($C311,ТабКлиенты[[#All],[name]:[phone]],MATCH(D$1,ТабКлиенты[#Headers],0)-1,0)</f>
        <v>#N/A</v>
      </c>
      <c r="E311" t="e">
        <f>VLOOKUP($C311,ТабАдрес[[#All],[Клиент]:[gps]],MATCH(E$1,ТабКлиенты[#Headers],0)-4,0)</f>
        <v>#N/A</v>
      </c>
      <c r="F311" t="e">
        <f>VLOOKUP($C311,ТабАдрес[[#All],[Клиент]:[gps]],MATCH(F$1,ТабКлиенты[#Headers],0)-4,0)</f>
        <v>#N/A</v>
      </c>
      <c r="H311" s="181">
        <v>4600</v>
      </c>
      <c r="I311" s="52" t="s">
        <v>5</v>
      </c>
      <c r="J311" s="52">
        <v>1</v>
      </c>
      <c r="K311" t="e">
        <f t="shared" si="7"/>
        <v>#N/A</v>
      </c>
    </row>
    <row r="312" spans="1:11" hidden="1" x14ac:dyDescent="0.25">
      <c r="A312">
        <v>10</v>
      </c>
      <c r="B312" s="179">
        <v>45583</v>
      </c>
      <c r="C312" t="s">
        <v>3334</v>
      </c>
      <c r="D312" t="e">
        <f>VLOOKUP($C312,ТабКлиенты[[#All],[name]:[phone]],MATCH(D$1,ТабКлиенты[#Headers],0)-1,0)</f>
        <v>#N/A</v>
      </c>
      <c r="E312" t="e">
        <f>VLOOKUP($C312,ТабАдрес[[#All],[Клиент]:[gps]],MATCH(E$1,ТабКлиенты[#Headers],0)-4,0)</f>
        <v>#N/A</v>
      </c>
      <c r="F312" t="e">
        <f>VLOOKUP($C312,ТабАдрес[[#All],[Клиент]:[gps]],MATCH(F$1,ТабКлиенты[#Headers],0)-4,0)</f>
        <v>#N/A</v>
      </c>
      <c r="H312" s="181">
        <v>0</v>
      </c>
      <c r="I312" s="52">
        <v>258</v>
      </c>
      <c r="J312" s="52">
        <v>1</v>
      </c>
      <c r="K312" t="e">
        <f t="shared" si="7"/>
        <v>#N/A</v>
      </c>
    </row>
    <row r="313" spans="1:11" hidden="1" x14ac:dyDescent="0.25">
      <c r="A313">
        <v>11</v>
      </c>
      <c r="B313" s="179">
        <v>45583</v>
      </c>
      <c r="C313" t="s">
        <v>3263</v>
      </c>
      <c r="D313" t="e">
        <f>VLOOKUP($C313,ТабКлиенты[[#All],[name]:[phone]],MATCH(D$1,ТабКлиенты[#Headers],0)-1,0)</f>
        <v>#N/A</v>
      </c>
      <c r="E313" t="e">
        <f>VLOOKUP($C313,ТабАдрес[[#All],[Клиент]:[gps]],MATCH(E$1,ТабКлиенты[#Headers],0)-4,0)</f>
        <v>#N/A</v>
      </c>
      <c r="F313" t="e">
        <f>VLOOKUP($C313,ТабАдрес[[#All],[Клиент]:[gps]],MATCH(F$1,ТабКлиенты[#Headers],0)-4,0)</f>
        <v>#N/A</v>
      </c>
      <c r="H313" s="181">
        <v>104</v>
      </c>
      <c r="I313" s="52">
        <v>297</v>
      </c>
      <c r="J313" s="52">
        <v>1</v>
      </c>
      <c r="K313" t="e">
        <f t="shared" si="7"/>
        <v>#N/A</v>
      </c>
    </row>
    <row r="314" spans="1:11" hidden="1" x14ac:dyDescent="0.25">
      <c r="A314">
        <v>12</v>
      </c>
      <c r="B314" s="179">
        <v>45583</v>
      </c>
      <c r="C314" t="s">
        <v>3321</v>
      </c>
      <c r="D314" t="str">
        <f>VLOOKUP($C314,ТабКлиенты[[#All],[name]:[phone]],MATCH(D$1,ТабКлиенты[#Headers],0)-1,0)</f>
        <v>+79497196221</v>
      </c>
      <c r="E314" t="str">
        <f>VLOOKUP($C314,ТабАдрес[[#All],[Клиент]:[gps]],MATCH(E$1,ТабКлиенты[#Headers],0)-4,0)</f>
        <v>Краснофлотская 132</v>
      </c>
      <c r="F314" t="str">
        <f>VLOOKUP($C314,ТабАдрес[[#All],[Клиент]:[gps]],MATCH(F$1,ТабКлиенты[#Headers],0)-4,0)</f>
        <v>47.0917, 37.4968</v>
      </c>
      <c r="H314" s="181">
        <v>11800</v>
      </c>
      <c r="I314" s="52" t="s">
        <v>5</v>
      </c>
      <c r="J314" s="52">
        <v>1</v>
      </c>
      <c r="K314" t="str">
        <f t="shared" si="7"/>
        <v>12. Валерий Фагот
Тел.: +79497196221
Адрес: Краснофлотская 132
№ заказа: Витамины
Кол-во мест: 1
https://yandex.ru/maps/?text=47.0917%2C37.4968
https://maps.google.com/?daddr=47.0917%2C37.4968
К оплате: **11800
**----------------------------------------------------------</v>
      </c>
    </row>
    <row r="315" spans="1:11" hidden="1" x14ac:dyDescent="0.25">
      <c r="A315">
        <v>13</v>
      </c>
      <c r="B315" s="179">
        <v>45583</v>
      </c>
      <c r="C315" t="s">
        <v>3143</v>
      </c>
      <c r="D315" t="e">
        <f>VLOOKUP($C315,ТабКлиенты[[#All],[name]:[phone]],MATCH(D$1,ТабКлиенты[#Headers],0)-1,0)</f>
        <v>#N/A</v>
      </c>
      <c r="E315" t="e">
        <f>VLOOKUP($C315,ТабАдрес[[#All],[Клиент]:[gps]],MATCH(E$1,ТабКлиенты[#Headers],0)-4,0)</f>
        <v>#N/A</v>
      </c>
      <c r="F315" t="e">
        <f>VLOOKUP($C315,ТабАдрес[[#All],[Клиент]:[gps]],MATCH(F$1,ТабКлиенты[#Headers],0)-4,0)</f>
        <v>#N/A</v>
      </c>
      <c r="H315" s="181">
        <v>0</v>
      </c>
      <c r="I315" s="52">
        <v>281</v>
      </c>
      <c r="J315" s="52">
        <v>1</v>
      </c>
      <c r="K315" t="e">
        <f t="shared" si="7"/>
        <v>#N/A</v>
      </c>
    </row>
    <row r="316" spans="1:11" hidden="1" x14ac:dyDescent="0.25">
      <c r="A316">
        <v>14</v>
      </c>
      <c r="B316" s="179">
        <v>45583</v>
      </c>
      <c r="C316" t="s">
        <v>3348</v>
      </c>
      <c r="D316" t="e">
        <f>VLOOKUP($C316,ТабКлиенты[[#All],[name]:[phone]],MATCH(D$1,ТабКлиенты[#Headers],0)-1,0)</f>
        <v>#N/A</v>
      </c>
      <c r="E316" t="e">
        <f>VLOOKUP($C316,ТабАдрес[[#All],[Клиент]:[gps]],MATCH(E$1,ТабКлиенты[#Headers],0)-4,0)</f>
        <v>#N/A</v>
      </c>
      <c r="F316" t="e">
        <f>VLOOKUP($C316,ТабАдрес[[#All],[Клиент]:[gps]],MATCH(F$1,ТабКлиенты[#Headers],0)-4,0)</f>
        <v>#N/A</v>
      </c>
      <c r="H316" s="181">
        <v>478</v>
      </c>
      <c r="I316" s="52">
        <v>298</v>
      </c>
      <c r="J316" s="52">
        <v>1</v>
      </c>
      <c r="K316" t="e">
        <f t="shared" si="7"/>
        <v>#N/A</v>
      </c>
    </row>
    <row r="317" spans="1:11" hidden="1" x14ac:dyDescent="0.25">
      <c r="A317">
        <v>15</v>
      </c>
      <c r="B317" s="179">
        <v>45583</v>
      </c>
      <c r="C317" t="s">
        <v>3349</v>
      </c>
      <c r="D317" t="e">
        <f>VLOOKUP($C317,ТабКлиенты[[#All],[name]:[phone]],MATCH(D$1,ТабКлиенты[#Headers],0)-1,0)</f>
        <v>#N/A</v>
      </c>
      <c r="E317" t="e">
        <f>VLOOKUP($C317,ТабАдрес[[#All],[Клиент]:[gps]],MATCH(E$1,ТабКлиенты[#Headers],0)-4,0)</f>
        <v>#N/A</v>
      </c>
      <c r="F317" t="e">
        <f>VLOOKUP($C317,ТабАдрес[[#All],[Клиент]:[gps]],MATCH(F$1,ТабКлиенты[#Headers],0)-4,0)</f>
        <v>#N/A</v>
      </c>
      <c r="H317" s="181">
        <v>0</v>
      </c>
      <c r="I317" s="52">
        <v>292</v>
      </c>
      <c r="J317" s="52">
        <v>1</v>
      </c>
      <c r="K317" t="e">
        <f t="shared" si="7"/>
        <v>#N/A</v>
      </c>
    </row>
    <row r="318" spans="1:11" hidden="1" x14ac:dyDescent="0.25">
      <c r="A318">
        <v>1</v>
      </c>
      <c r="B318" s="179">
        <v>45591</v>
      </c>
      <c r="C318" t="s">
        <v>3210</v>
      </c>
      <c r="D318" t="e">
        <f>VLOOKUP($C318,ТабКлиенты[[#All],[name]:[phone]],MATCH(D$1,ТабКлиенты[#Headers],0)-1,0)</f>
        <v>#N/A</v>
      </c>
      <c r="E318" t="e">
        <f>VLOOKUP($C318,ТабАдрес[[#All],[Клиент]:[gps]],MATCH(E$1,ТабКлиенты[#Headers],0)-4,0)</f>
        <v>#N/A</v>
      </c>
      <c r="F318" t="e">
        <f>VLOOKUP($C318,ТабАдрес[[#All],[Клиент]:[gps]],MATCH(F$1,ТабКлиенты[#Headers],0)-4,0)</f>
        <v>#N/A</v>
      </c>
      <c r="H318" s="181">
        <v>0</v>
      </c>
      <c r="I318" s="52">
        <v>295</v>
      </c>
      <c r="J318" s="52">
        <v>2</v>
      </c>
      <c r="K318" t="e">
        <f t="shared" si="7"/>
        <v>#N/A</v>
      </c>
    </row>
    <row r="319" spans="1:11" hidden="1" x14ac:dyDescent="0.25">
      <c r="A319">
        <v>2</v>
      </c>
      <c r="B319" s="179">
        <v>45591</v>
      </c>
      <c r="C319" t="s">
        <v>3133</v>
      </c>
      <c r="D319" t="e">
        <f>VLOOKUP($C319,ТабКлиенты[[#All],[name]:[phone]],MATCH(D$1,ТабКлиенты[#Headers],0)-1,0)</f>
        <v>#N/A</v>
      </c>
      <c r="E319" t="e">
        <f>VLOOKUP($C319,ТабАдрес[[#All],[Клиент]:[gps]],MATCH(E$1,ТабКлиенты[#Headers],0)-4,0)</f>
        <v>#N/A</v>
      </c>
      <c r="F319" t="e">
        <f>VLOOKUP($C319,ТабАдрес[[#All],[Клиент]:[gps]],MATCH(F$1,ТабКлиенты[#Headers],0)-4,0)</f>
        <v>#N/A</v>
      </c>
      <c r="H319" s="181">
        <v>4202</v>
      </c>
      <c r="I319" s="52">
        <v>290</v>
      </c>
      <c r="J319" s="52">
        <v>1</v>
      </c>
      <c r="K319" t="e">
        <f t="shared" si="7"/>
        <v>#N/A</v>
      </c>
    </row>
    <row r="320" spans="1:11" hidden="1" x14ac:dyDescent="0.25">
      <c r="A320">
        <v>3</v>
      </c>
      <c r="B320" s="179">
        <v>45591</v>
      </c>
      <c r="C320" t="s">
        <v>3131</v>
      </c>
      <c r="D320" t="e">
        <f>VLOOKUP($C320,ТабКлиенты[[#All],[name]:[phone]],MATCH(D$1,ТабКлиенты[#Headers],0)-1,0)</f>
        <v>#N/A</v>
      </c>
      <c r="E320" t="e">
        <f>VLOOKUP($C320,ТабАдрес[[#All],[Клиент]:[gps]],MATCH(E$1,ТабКлиенты[#Headers],0)-4,0)</f>
        <v>#N/A</v>
      </c>
      <c r="F320" t="e">
        <f>VLOOKUP($C320,ТабАдрес[[#All],[Клиент]:[gps]],MATCH(F$1,ТабКлиенты[#Headers],0)-4,0)</f>
        <v>#N/A</v>
      </c>
      <c r="H320" s="181">
        <v>200</v>
      </c>
      <c r="I320" s="52">
        <v>308</v>
      </c>
      <c r="J320" s="52">
        <v>1</v>
      </c>
      <c r="K320" t="e">
        <f t="shared" si="7"/>
        <v>#N/A</v>
      </c>
    </row>
    <row r="321" spans="1:11" hidden="1" x14ac:dyDescent="0.25">
      <c r="A321">
        <v>4</v>
      </c>
      <c r="B321" s="179">
        <v>45591</v>
      </c>
      <c r="C321" t="s">
        <v>3149</v>
      </c>
      <c r="D321" t="e">
        <f>VLOOKUP($C321,ТабКлиенты[[#All],[name]:[phone]],MATCH(D$1,ТабКлиенты[#Headers],0)-1,0)</f>
        <v>#N/A</v>
      </c>
      <c r="E321" t="e">
        <f>VLOOKUP($C321,ТабАдрес[[#All],[Клиент]:[gps]],MATCH(E$1,ТабКлиенты[#Headers],0)-4,0)</f>
        <v>#N/A</v>
      </c>
      <c r="F321" t="e">
        <f>VLOOKUP($C321,ТабАдрес[[#All],[Клиент]:[gps]],MATCH(F$1,ТабКлиенты[#Headers],0)-4,0)</f>
        <v>#N/A</v>
      </c>
      <c r="H321" s="181">
        <v>0</v>
      </c>
      <c r="I321" s="52">
        <v>302</v>
      </c>
      <c r="J321" s="52">
        <v>1</v>
      </c>
      <c r="K321" t="e">
        <f t="shared" si="7"/>
        <v>#N/A</v>
      </c>
    </row>
    <row r="322" spans="1:11" hidden="1" x14ac:dyDescent="0.25">
      <c r="A322">
        <v>5</v>
      </c>
      <c r="B322" s="179">
        <v>45591</v>
      </c>
      <c r="C322" t="s">
        <v>3125</v>
      </c>
      <c r="D322" t="e">
        <f>VLOOKUP($C322,ТабКлиенты[[#All],[name]:[phone]],MATCH(D$1,ТабКлиенты[#Headers],0)-1,0)</f>
        <v>#N/A</v>
      </c>
      <c r="E322" t="e">
        <f>VLOOKUP($C322,ТабАдрес[[#All],[Клиент]:[gps]],MATCH(E$1,ТабКлиенты[#Headers],0)-4,0)</f>
        <v>#N/A</v>
      </c>
      <c r="F322" t="e">
        <f>VLOOKUP($C322,ТабАдрес[[#All],[Клиент]:[gps]],MATCH(F$1,ТабКлиенты[#Headers],0)-4,0)</f>
        <v>#N/A</v>
      </c>
      <c r="H322" s="181">
        <v>0</v>
      </c>
      <c r="I322" s="52" t="s">
        <v>4298</v>
      </c>
      <c r="J322" s="52">
        <v>1</v>
      </c>
      <c r="K322" t="e">
        <f t="shared" si="7"/>
        <v>#N/A</v>
      </c>
    </row>
    <row r="323" spans="1:11" hidden="1" x14ac:dyDescent="0.25">
      <c r="A323">
        <v>6</v>
      </c>
      <c r="B323" s="179">
        <v>45591</v>
      </c>
      <c r="C323" t="s">
        <v>3128</v>
      </c>
      <c r="D323" t="e">
        <f>VLOOKUP($C323,ТабКлиенты[[#All],[name]:[phone]],MATCH(D$1,ТабКлиенты[#Headers],0)-1,0)</f>
        <v>#N/A</v>
      </c>
      <c r="E323" t="e">
        <f>VLOOKUP($C323,ТабАдрес[[#All],[Клиент]:[gps]],MATCH(E$1,ТабКлиенты[#Headers],0)-4,0)</f>
        <v>#N/A</v>
      </c>
      <c r="F323" t="e">
        <f>VLOOKUP($C323,ТабАдрес[[#All],[Клиент]:[gps]],MATCH(F$1,ТабКлиенты[#Headers],0)-4,0)</f>
        <v>#N/A</v>
      </c>
      <c r="H323" s="181">
        <v>0</v>
      </c>
      <c r="I323" s="52" t="s">
        <v>4299</v>
      </c>
      <c r="J323" s="52">
        <v>2</v>
      </c>
      <c r="K323" t="e">
        <f t="shared" si="7"/>
        <v>#N/A</v>
      </c>
    </row>
    <row r="324" spans="1:11" hidden="1" x14ac:dyDescent="0.25">
      <c r="A324">
        <v>7</v>
      </c>
      <c r="B324" s="179">
        <v>45591</v>
      </c>
      <c r="C324" t="s">
        <v>4252</v>
      </c>
      <c r="D324" t="e">
        <f>VLOOKUP($C324,ТабКлиенты[[#All],[name]:[phone]],MATCH(D$1,ТабКлиенты[#Headers],0)-1,0)</f>
        <v>#N/A</v>
      </c>
      <c r="E324" t="e">
        <f>VLOOKUP($C324,ТабАдрес[[#All],[Клиент]:[gps]],MATCH(E$1,ТабКлиенты[#Headers],0)-4,0)</f>
        <v>#N/A</v>
      </c>
      <c r="F324" t="e">
        <f>VLOOKUP($C324,ТабАдрес[[#All],[Клиент]:[gps]],MATCH(F$1,ТабКлиенты[#Headers],0)-4,0)</f>
        <v>#N/A</v>
      </c>
      <c r="H324" s="181">
        <v>0</v>
      </c>
      <c r="I324" s="52" t="s">
        <v>5</v>
      </c>
      <c r="J324" s="52">
        <v>1</v>
      </c>
      <c r="K324" t="e">
        <f t="shared" si="7"/>
        <v>#N/A</v>
      </c>
    </row>
    <row r="325" spans="1:11" hidden="1" x14ac:dyDescent="0.25">
      <c r="A325">
        <v>8</v>
      </c>
      <c r="B325" s="179">
        <v>45591</v>
      </c>
      <c r="C325" t="s">
        <v>3355</v>
      </c>
      <c r="D325" t="str">
        <f>VLOOKUP($C325,ТабКлиенты[[#All],[name]:[phone]],MATCH(D$1,ТабКлиенты[#Headers],0)-1,0)</f>
        <v>+79496299684</v>
      </c>
      <c r="E325" t="str">
        <f>VLOOKUP($C325,ТабАдрес[[#All],[Клиент]:[gps]],MATCH(E$1,ТабКлиенты[#Headers],0)-4,0)</f>
        <v>Шевченко 313</v>
      </c>
      <c r="F325" t="str">
        <f>VLOOKUP($C325,ТабАдрес[[#All],[Клиент]:[gps]],MATCH(F$1,ТабКлиенты[#Headers],0)-4,0)</f>
        <v>47.1174, 37.5172</v>
      </c>
      <c r="H325" s="181">
        <v>1400</v>
      </c>
      <c r="I325" s="52" t="s">
        <v>5</v>
      </c>
      <c r="J325" s="52">
        <v>1</v>
      </c>
      <c r="K325" t="str">
        <f t="shared" si="7"/>
        <v>8. Светлана Стамбул
Тел.: +79496299684
Адрес: Шевченко 313
№ заказа: Витамины
Кол-во мест: 1
https://yandex.ru/maps/?text=47.1174%2C37.5172
https://maps.google.com/?daddr=47.1174%2C37.5172
К оплате: **1400
**----------------------------------------------------------</v>
      </c>
    </row>
    <row r="326" spans="1:11" hidden="1" x14ac:dyDescent="0.25">
      <c r="A326">
        <v>9</v>
      </c>
      <c r="B326" s="179">
        <v>45591</v>
      </c>
      <c r="C326" t="s">
        <v>3334</v>
      </c>
      <c r="D326" t="e">
        <f>VLOOKUP($C326,ТабКлиенты[[#All],[name]:[phone]],MATCH(D$1,ТабКлиенты[#Headers],0)-1,0)</f>
        <v>#N/A</v>
      </c>
      <c r="E326" t="e">
        <f>VLOOKUP($C326,ТабАдрес[[#All],[Клиент]:[gps]],MATCH(E$1,ТабКлиенты[#Headers],0)-4,0)</f>
        <v>#N/A</v>
      </c>
      <c r="F326" t="e">
        <f>VLOOKUP($C326,ТабАдрес[[#All],[Клиент]:[gps]],MATCH(F$1,ТабКлиенты[#Headers],0)-4,0)</f>
        <v>#N/A</v>
      </c>
      <c r="H326" s="181">
        <v>0</v>
      </c>
      <c r="I326" s="52" t="s">
        <v>4300</v>
      </c>
      <c r="J326" s="52">
        <v>1</v>
      </c>
      <c r="K326" t="e">
        <f t="shared" si="7"/>
        <v>#N/A</v>
      </c>
    </row>
    <row r="327" spans="1:11" hidden="1" x14ac:dyDescent="0.25">
      <c r="A327">
        <v>10</v>
      </c>
      <c r="B327" s="179">
        <v>45591</v>
      </c>
      <c r="C327" t="s">
        <v>3143</v>
      </c>
      <c r="D327" t="e">
        <f>VLOOKUP($C327,ТабКлиенты[[#All],[name]:[phone]],MATCH(D$1,ТабКлиенты[#Headers],0)-1,0)</f>
        <v>#N/A</v>
      </c>
      <c r="E327" t="e">
        <f>VLOOKUP($C327,ТабАдрес[[#All],[Клиент]:[gps]],MATCH(E$1,ТабКлиенты[#Headers],0)-4,0)</f>
        <v>#N/A</v>
      </c>
      <c r="F327" t="e">
        <f>VLOOKUP($C327,ТабАдрес[[#All],[Клиент]:[gps]],MATCH(F$1,ТабКлиенты[#Headers],0)-4,0)</f>
        <v>#N/A</v>
      </c>
      <c r="H327" s="181">
        <v>0</v>
      </c>
      <c r="I327" s="52">
        <v>300</v>
      </c>
      <c r="J327" s="52">
        <v>1</v>
      </c>
      <c r="K327" t="e">
        <f t="shared" si="7"/>
        <v>#N/A</v>
      </c>
    </row>
    <row r="328" spans="1:11" hidden="1" x14ac:dyDescent="0.25">
      <c r="A328">
        <v>11</v>
      </c>
      <c r="B328" s="179">
        <v>45591</v>
      </c>
      <c r="C328" t="s">
        <v>3348</v>
      </c>
      <c r="D328" t="e">
        <f>VLOOKUP($C328,ТабКлиенты[[#All],[name]:[phone]],MATCH(D$1,ТабКлиенты[#Headers],0)-1,0)</f>
        <v>#N/A</v>
      </c>
      <c r="E328" t="e">
        <f>VLOOKUP($C328,ТабАдрес[[#All],[Клиент]:[gps]],MATCH(E$1,ТабКлиенты[#Headers],0)-4,0)</f>
        <v>#N/A</v>
      </c>
      <c r="F328" t="e">
        <f>VLOOKUP($C328,ТабАдрес[[#All],[Клиент]:[gps]],MATCH(F$1,ТабКлиенты[#Headers],0)-4,0)</f>
        <v>#N/A</v>
      </c>
      <c r="H328" s="181">
        <v>557</v>
      </c>
      <c r="I328" s="52">
        <v>309</v>
      </c>
      <c r="J328" s="52">
        <v>1</v>
      </c>
      <c r="K328" t="e">
        <f t="shared" si="7"/>
        <v>#N/A</v>
      </c>
    </row>
    <row r="329" spans="1:11" hidden="1" x14ac:dyDescent="0.25">
      <c r="A329">
        <v>12</v>
      </c>
      <c r="B329" s="179">
        <v>45591</v>
      </c>
      <c r="C329" t="s">
        <v>3351</v>
      </c>
      <c r="D329" t="str">
        <f>VLOOKUP($C329,ТабКлиенты[[#All],[name]:[phone]],MATCH(D$1,ТабКлиенты[#Headers],0)-1,0)</f>
        <v>+79497253811</v>
      </c>
      <c r="E329" t="str">
        <f>VLOOKUP($C329,ТабАдрес[[#All],[Клиент]:[gps]],MATCH(E$1,ТабКлиенты[#Headers],0)-4,0)</f>
        <v>Ленина 91</v>
      </c>
      <c r="F329" t="str">
        <f>VLOOKUP($C329,ТабАдрес[[#All],[Клиент]:[gps]],MATCH(F$1,ТабКлиенты[#Headers],0)-4,0)</f>
        <v>47.0992, 37.5338</v>
      </c>
      <c r="H329" s="181">
        <v>3200</v>
      </c>
      <c r="I329" s="52" t="s">
        <v>5</v>
      </c>
      <c r="J329" s="52">
        <v>1</v>
      </c>
      <c r="K329" t="str">
        <f t="shared" si="7"/>
        <v>12. Татьяна маг Лидия
Тел.: +79497253811
Адрес: Ленина 91
№ заказа: Витамины
Кол-во мест: 1
https://yandex.ru/maps/?text=47.0992%2C37.5338
https://maps.google.com/?daddr=47.0992%2C37.5338
К оплате: **3200
**----------------------------------------------------------</v>
      </c>
    </row>
    <row r="330" spans="1:11" hidden="1" x14ac:dyDescent="0.25">
      <c r="A330">
        <v>1</v>
      </c>
      <c r="B330" s="179">
        <v>45598</v>
      </c>
      <c r="C330" t="s">
        <v>3168</v>
      </c>
      <c r="D330" t="e">
        <f>VLOOKUP($C330,ТабКлиенты[[#All],[name]:[phone]],MATCH(D$1,ТабКлиенты[#Headers],0)-1,0)</f>
        <v>#N/A</v>
      </c>
      <c r="E330" t="e">
        <f>VLOOKUP($C330,ТабАдрес[[#All],[Клиент]:[gps]],MATCH(E$1,ТабКлиенты[#Headers],0)-4,0)</f>
        <v>#N/A</v>
      </c>
      <c r="F330" t="e">
        <f>VLOOKUP($C330,ТабАдрес[[#All],[Клиент]:[gps]],MATCH(F$1,ТабКлиенты[#Headers],0)-4,0)</f>
        <v>#N/A</v>
      </c>
      <c r="H330" s="181">
        <v>0</v>
      </c>
      <c r="I330" s="52">
        <v>312</v>
      </c>
      <c r="J330" s="52">
        <v>1</v>
      </c>
      <c r="K330" t="e">
        <f t="shared" si="7"/>
        <v>#N/A</v>
      </c>
    </row>
    <row r="331" spans="1:11" hidden="1" x14ac:dyDescent="0.25">
      <c r="A331">
        <v>2</v>
      </c>
      <c r="B331" s="179">
        <v>45598</v>
      </c>
      <c r="C331" t="s">
        <v>3149</v>
      </c>
      <c r="D331" t="e">
        <f>VLOOKUP($C331,ТабКлиенты[[#All],[name]:[phone]],MATCH(D$1,ТабКлиенты[#Headers],0)-1,0)</f>
        <v>#N/A</v>
      </c>
      <c r="E331" t="e">
        <f>VLOOKUP($C331,ТабАдрес[[#All],[Клиент]:[gps]],MATCH(E$1,ТабКлиенты[#Headers],0)-4,0)</f>
        <v>#N/A</v>
      </c>
      <c r="F331" t="e">
        <f>VLOOKUP($C331,ТабАдрес[[#All],[Клиент]:[gps]],MATCH(F$1,ТабКлиенты[#Headers],0)-4,0)</f>
        <v>#N/A</v>
      </c>
      <c r="H331" s="181">
        <v>0</v>
      </c>
      <c r="I331" s="52">
        <v>302</v>
      </c>
      <c r="J331" s="52">
        <v>1</v>
      </c>
      <c r="K331" t="e">
        <f t="shared" si="7"/>
        <v>#N/A</v>
      </c>
    </row>
    <row r="332" spans="1:11" hidden="1" x14ac:dyDescent="0.25">
      <c r="A332">
        <v>3</v>
      </c>
      <c r="B332" s="179">
        <v>45598</v>
      </c>
      <c r="C332" t="s">
        <v>3210</v>
      </c>
      <c r="D332" t="e">
        <f>VLOOKUP($C332,ТабКлиенты[[#All],[name]:[phone]],MATCH(D$1,ТабКлиенты[#Headers],0)-1,0)</f>
        <v>#N/A</v>
      </c>
      <c r="E332" t="e">
        <f>VLOOKUP($C332,ТабАдрес[[#All],[Клиент]:[gps]],MATCH(E$1,ТабКлиенты[#Headers],0)-4,0)</f>
        <v>#N/A</v>
      </c>
      <c r="F332" t="e">
        <f>VLOOKUP($C332,ТабАдрес[[#All],[Клиент]:[gps]],MATCH(F$1,ТабКлиенты[#Headers],0)-4,0)</f>
        <v>#N/A</v>
      </c>
      <c r="H332" s="181">
        <v>0</v>
      </c>
      <c r="I332" s="52" t="s">
        <v>4301</v>
      </c>
      <c r="J332" s="52">
        <v>1</v>
      </c>
      <c r="K332" t="e">
        <f t="shared" si="7"/>
        <v>#N/A</v>
      </c>
    </row>
    <row r="333" spans="1:11" hidden="1" x14ac:dyDescent="0.25">
      <c r="A333">
        <v>4</v>
      </c>
      <c r="B333" s="179">
        <v>45598</v>
      </c>
      <c r="C333" t="s">
        <v>3260</v>
      </c>
      <c r="D333" t="e">
        <f>VLOOKUP($C333,ТабКлиенты[[#All],[name]:[phone]],MATCH(D$1,ТабКлиенты[#Headers],0)-1,0)</f>
        <v>#N/A</v>
      </c>
      <c r="E333" t="e">
        <f>VLOOKUP($C333,ТабАдрес[[#All],[Клиент]:[gps]],MATCH(E$1,ТабКлиенты[#Headers],0)-4,0)</f>
        <v>#N/A</v>
      </c>
      <c r="F333" t="e">
        <f>VLOOKUP($C333,ТабАдрес[[#All],[Клиент]:[gps]],MATCH(F$1,ТабКлиенты[#Headers],0)-4,0)</f>
        <v>#N/A</v>
      </c>
      <c r="H333" s="181">
        <v>3201</v>
      </c>
      <c r="I333" s="52" t="s">
        <v>4302</v>
      </c>
      <c r="J333" s="52">
        <v>1</v>
      </c>
      <c r="K333" t="e">
        <f t="shared" si="7"/>
        <v>#N/A</v>
      </c>
    </row>
    <row r="334" spans="1:11" hidden="1" x14ac:dyDescent="0.25">
      <c r="A334">
        <v>5</v>
      </c>
      <c r="B334" s="179">
        <v>45598</v>
      </c>
      <c r="C334" t="s">
        <v>3350</v>
      </c>
      <c r="D334" t="e">
        <f>VLOOKUP($C334,ТабКлиенты[[#All],[name]:[phone]],MATCH(D$1,ТабКлиенты[#Headers],0)-1,0)</f>
        <v>#N/A</v>
      </c>
      <c r="E334" t="e">
        <f>VLOOKUP($C334,ТабАдрес[[#All],[Клиент]:[gps]],MATCH(E$1,ТабКлиенты[#Headers],0)-4,0)</f>
        <v>#N/A</v>
      </c>
      <c r="F334" t="e">
        <f>VLOOKUP($C334,ТабАдрес[[#All],[Клиент]:[gps]],MATCH(F$1,ТабКлиенты[#Headers],0)-4,0)</f>
        <v>#N/A</v>
      </c>
      <c r="H334" s="181">
        <v>516</v>
      </c>
      <c r="I334" s="52">
        <v>301</v>
      </c>
      <c r="J334" s="52">
        <v>1</v>
      </c>
      <c r="K334" t="e">
        <f t="shared" si="7"/>
        <v>#N/A</v>
      </c>
    </row>
    <row r="335" spans="1:11" hidden="1" x14ac:dyDescent="0.25">
      <c r="A335">
        <v>6</v>
      </c>
      <c r="B335" s="179">
        <v>45598</v>
      </c>
      <c r="C335" t="s">
        <v>3279</v>
      </c>
      <c r="D335" t="e">
        <f>VLOOKUP($C335,ТабКлиенты[[#All],[name]:[phone]],MATCH(D$1,ТабКлиенты[#Headers],0)-1,0)</f>
        <v>#N/A</v>
      </c>
      <c r="E335" t="e">
        <f>VLOOKUP($C335,ТабАдрес[[#All],[Клиент]:[gps]],MATCH(E$1,ТабКлиенты[#Headers],0)-4,0)</f>
        <v>#N/A</v>
      </c>
      <c r="F335" t="e">
        <f>VLOOKUP($C335,ТабАдрес[[#All],[Клиент]:[gps]],MATCH(F$1,ТабКлиенты[#Headers],0)-4,0)</f>
        <v>#N/A</v>
      </c>
      <c r="H335" s="181">
        <v>505</v>
      </c>
      <c r="I335" s="52">
        <v>321</v>
      </c>
      <c r="J335" s="52">
        <v>1</v>
      </c>
      <c r="K335" t="e">
        <f t="shared" si="7"/>
        <v>#N/A</v>
      </c>
    </row>
    <row r="336" spans="1:11" hidden="1" x14ac:dyDescent="0.25">
      <c r="A336">
        <v>7</v>
      </c>
      <c r="B336" s="179">
        <v>45598</v>
      </c>
      <c r="C336" t="s">
        <v>3128</v>
      </c>
      <c r="D336" t="e">
        <f>VLOOKUP($C336,ТабКлиенты[[#All],[name]:[phone]],MATCH(D$1,ТабКлиенты[#Headers],0)-1,0)</f>
        <v>#N/A</v>
      </c>
      <c r="E336" t="e">
        <f>VLOOKUP($C336,ТабАдрес[[#All],[Клиент]:[gps]],MATCH(E$1,ТабКлиенты[#Headers],0)-4,0)</f>
        <v>#N/A</v>
      </c>
      <c r="F336" t="e">
        <f>VLOOKUP($C336,ТабАдрес[[#All],[Клиент]:[gps]],MATCH(F$1,ТабКлиенты[#Headers],0)-4,0)</f>
        <v>#N/A</v>
      </c>
      <c r="H336" s="181">
        <v>0</v>
      </c>
      <c r="I336" s="52">
        <v>304</v>
      </c>
      <c r="J336" s="52">
        <v>1</v>
      </c>
      <c r="K336" t="e">
        <f t="shared" si="7"/>
        <v>#N/A</v>
      </c>
    </row>
    <row r="337" spans="1:11" hidden="1" x14ac:dyDescent="0.25">
      <c r="A337">
        <v>8</v>
      </c>
      <c r="B337" s="179">
        <v>45598</v>
      </c>
      <c r="C337" t="s">
        <v>3334</v>
      </c>
      <c r="D337" t="e">
        <f>VLOOKUP($C337,ТабКлиенты[[#All],[name]:[phone]],MATCH(D$1,ТабКлиенты[#Headers],0)-1,0)</f>
        <v>#N/A</v>
      </c>
      <c r="E337" t="e">
        <f>VLOOKUP($C337,ТабАдрес[[#All],[Клиент]:[gps]],MATCH(E$1,ТабКлиенты[#Headers],0)-4,0)</f>
        <v>#N/A</v>
      </c>
      <c r="F337" t="e">
        <f>VLOOKUP($C337,ТабАдрес[[#All],[Клиент]:[gps]],MATCH(F$1,ТабКлиенты[#Headers],0)-4,0)</f>
        <v>#N/A</v>
      </c>
      <c r="H337" s="181">
        <v>0</v>
      </c>
      <c r="I337" s="52">
        <v>299</v>
      </c>
      <c r="J337" s="52">
        <v>1</v>
      </c>
      <c r="K337" t="e">
        <f t="shared" si="7"/>
        <v>#N/A</v>
      </c>
    </row>
    <row r="338" spans="1:11" hidden="1" x14ac:dyDescent="0.25">
      <c r="A338">
        <v>9</v>
      </c>
      <c r="B338" s="179">
        <v>45598</v>
      </c>
      <c r="C338" t="s">
        <v>3338</v>
      </c>
      <c r="D338" t="e">
        <f>VLOOKUP($C338,ТабКлиенты[[#All],[name]:[phone]],MATCH(D$1,ТабКлиенты[#Headers],0)-1,0)</f>
        <v>#N/A</v>
      </c>
      <c r="E338" t="e">
        <f>VLOOKUP($C338,ТабАдрес[[#All],[Клиент]:[gps]],MATCH(E$1,ТабКлиенты[#Headers],0)-4,0)</f>
        <v>#N/A</v>
      </c>
      <c r="F338" t="e">
        <f>VLOOKUP($C338,ТабАдрес[[#All],[Клиент]:[gps]],MATCH(F$1,ТабКлиенты[#Headers],0)-4,0)</f>
        <v>#N/A</v>
      </c>
      <c r="H338" s="181">
        <v>0</v>
      </c>
      <c r="I338" s="52">
        <v>315</v>
      </c>
      <c r="J338" s="52">
        <v>1</v>
      </c>
      <c r="K338" t="e">
        <f t="shared" si="7"/>
        <v>#N/A</v>
      </c>
    </row>
    <row r="339" spans="1:11" hidden="1" x14ac:dyDescent="0.25">
      <c r="A339">
        <v>10</v>
      </c>
      <c r="B339" s="179">
        <v>45598</v>
      </c>
      <c r="C339" t="s">
        <v>3143</v>
      </c>
      <c r="D339" t="e">
        <f>VLOOKUP($C339,ТабКлиенты[[#All],[name]:[phone]],MATCH(D$1,ТабКлиенты[#Headers],0)-1,0)</f>
        <v>#N/A</v>
      </c>
      <c r="E339" t="e">
        <f>VLOOKUP($C339,ТабАдрес[[#All],[Клиент]:[gps]],MATCH(E$1,ТабКлиенты[#Headers],0)-4,0)</f>
        <v>#N/A</v>
      </c>
      <c r="F339" t="e">
        <f>VLOOKUP($C339,ТабАдрес[[#All],[Клиент]:[gps]],MATCH(F$1,ТабКлиенты[#Headers],0)-4,0)</f>
        <v>#N/A</v>
      </c>
      <c r="H339" s="181">
        <v>0</v>
      </c>
      <c r="I339" s="52">
        <v>303</v>
      </c>
      <c r="J339" s="52">
        <v>1</v>
      </c>
      <c r="K339" t="e">
        <f t="shared" si="7"/>
        <v>#N/A</v>
      </c>
    </row>
    <row r="340" spans="1:11" hidden="1" x14ac:dyDescent="0.25">
      <c r="A340">
        <v>11</v>
      </c>
      <c r="B340" s="179">
        <v>45598</v>
      </c>
      <c r="C340" t="s">
        <v>3348</v>
      </c>
      <c r="D340" t="e">
        <f>VLOOKUP($C340,ТабКлиенты[[#All],[name]:[phone]],MATCH(D$1,ТабКлиенты[#Headers],0)-1,0)</f>
        <v>#N/A</v>
      </c>
      <c r="E340" t="e">
        <f>VLOOKUP($C340,ТабАдрес[[#All],[Клиент]:[gps]],MATCH(E$1,ТабКлиенты[#Headers],0)-4,0)</f>
        <v>#N/A</v>
      </c>
      <c r="F340" t="e">
        <f>VLOOKUP($C340,ТабАдрес[[#All],[Клиент]:[gps]],MATCH(F$1,ТабКлиенты[#Headers],0)-4,0)</f>
        <v>#N/A</v>
      </c>
      <c r="H340" s="181">
        <v>633</v>
      </c>
      <c r="I340" s="52">
        <v>322</v>
      </c>
      <c r="J340" s="52">
        <v>1</v>
      </c>
      <c r="K340" t="e">
        <f t="shared" si="7"/>
        <v>#N/A</v>
      </c>
    </row>
    <row r="341" spans="1:11" hidden="1" x14ac:dyDescent="0.25">
      <c r="A341">
        <v>1</v>
      </c>
      <c r="B341" s="179">
        <v>45605</v>
      </c>
      <c r="C341" s="182" t="s">
        <v>3360</v>
      </c>
      <c r="D341" t="e">
        <f>VLOOKUP($C341,ТабКлиенты[[#All],[name]:[phone]],MATCH(D$1,ТабКлиенты[#Headers],0)-1,0)</f>
        <v>#N/A</v>
      </c>
      <c r="E341" t="e">
        <f>VLOOKUP($C341,ТабАдрес[[#All],[Клиент]:[gps]],MATCH(E$1,ТабКлиенты[#Headers],0)-4,0)</f>
        <v>#N/A</v>
      </c>
      <c r="F341" t="e">
        <f>VLOOKUP($C341,ТабАдрес[[#All],[Клиент]:[gps]],MATCH(F$1,ТабКлиенты[#Headers],0)-4,0)</f>
        <v>#N/A</v>
      </c>
      <c r="H341" s="181">
        <v>0</v>
      </c>
      <c r="I341" s="52">
        <v>324</v>
      </c>
      <c r="J341" s="52">
        <v>1</v>
      </c>
      <c r="K341" t="e">
        <f t="shared" si="7"/>
        <v>#N/A</v>
      </c>
    </row>
    <row r="342" spans="1:11" hidden="1" x14ac:dyDescent="0.25">
      <c r="A342">
        <v>2</v>
      </c>
      <c r="B342" s="179">
        <v>45605</v>
      </c>
      <c r="C342" s="182" t="s">
        <v>3260</v>
      </c>
      <c r="D342" t="e">
        <f>VLOOKUP($C342,ТабКлиенты[[#All],[name]:[phone]],MATCH(D$1,ТабКлиенты[#Headers],0)-1,0)</f>
        <v>#N/A</v>
      </c>
      <c r="E342" t="e">
        <f>VLOOKUP($C342,ТабАдрес[[#All],[Клиент]:[gps]],MATCH(E$1,ТабКлиенты[#Headers],0)-4,0)</f>
        <v>#N/A</v>
      </c>
      <c r="F342" t="e">
        <f>VLOOKUP($C342,ТабАдрес[[#All],[Клиент]:[gps]],MATCH(F$1,ТабКлиенты[#Headers],0)-4,0)</f>
        <v>#N/A</v>
      </c>
      <c r="H342" s="181">
        <v>0</v>
      </c>
      <c r="I342" s="52" t="s">
        <v>4303</v>
      </c>
      <c r="J342" s="52">
        <v>1</v>
      </c>
      <c r="K342" t="e">
        <f t="shared" si="7"/>
        <v>#N/A</v>
      </c>
    </row>
    <row r="343" spans="1:11" hidden="1" x14ac:dyDescent="0.25">
      <c r="A343">
        <v>3</v>
      </c>
      <c r="B343" s="179">
        <v>45605</v>
      </c>
      <c r="C343" t="s">
        <v>3361</v>
      </c>
      <c r="D343" t="e">
        <f>VLOOKUP($C343,ТабКлиенты[[#All],[name]:[phone]],MATCH(D$1,ТабКлиенты[#Headers],0)-1,0)</f>
        <v>#N/A</v>
      </c>
      <c r="E343" t="e">
        <f>VLOOKUP($C343,ТабАдрес[[#All],[Клиент]:[gps]],MATCH(E$1,ТабКлиенты[#Headers],0)-4,0)</f>
        <v>#N/A</v>
      </c>
      <c r="F343" t="e">
        <f>VLOOKUP($C343,ТабАдрес[[#All],[Клиент]:[gps]],MATCH(F$1,ТабКлиенты[#Headers],0)-4,0)</f>
        <v>#N/A</v>
      </c>
      <c r="H343" s="181">
        <v>2560</v>
      </c>
      <c r="I343" s="52">
        <v>327</v>
      </c>
      <c r="J343" s="52">
        <v>1</v>
      </c>
      <c r="K343" t="e">
        <f t="shared" si="7"/>
        <v>#N/A</v>
      </c>
    </row>
    <row r="344" spans="1:11" hidden="1" x14ac:dyDescent="0.25">
      <c r="A344">
        <v>4</v>
      </c>
      <c r="B344" s="179">
        <v>45605</v>
      </c>
      <c r="C344" t="s">
        <v>3133</v>
      </c>
      <c r="D344" t="e">
        <f>VLOOKUP($C344,ТабКлиенты[[#All],[name]:[phone]],MATCH(D$1,ТабКлиенты[#Headers],0)-1,0)</f>
        <v>#N/A</v>
      </c>
      <c r="E344" t="e">
        <f>VLOOKUP($C344,ТабАдрес[[#All],[Клиент]:[gps]],MATCH(E$1,ТабКлиенты[#Headers],0)-4,0)</f>
        <v>#N/A</v>
      </c>
      <c r="F344" t="e">
        <f>VLOOKUP($C344,ТабАдрес[[#All],[Клиент]:[gps]],MATCH(F$1,ТабКлиенты[#Headers],0)-4,0)</f>
        <v>#N/A</v>
      </c>
      <c r="H344" s="181">
        <v>5462</v>
      </c>
      <c r="I344" s="52">
        <v>313</v>
      </c>
      <c r="J344" s="52">
        <v>1</v>
      </c>
      <c r="K344" t="e">
        <f t="shared" si="7"/>
        <v>#N/A</v>
      </c>
    </row>
    <row r="345" spans="1:11" hidden="1" x14ac:dyDescent="0.25">
      <c r="A345">
        <v>5</v>
      </c>
      <c r="B345" s="179">
        <v>45605</v>
      </c>
      <c r="C345" s="182" t="s">
        <v>3359</v>
      </c>
      <c r="D345" t="e">
        <f>VLOOKUP($C345,ТабКлиенты[[#All],[name]:[phone]],MATCH(D$1,ТабКлиенты[#Headers],0)-1,0)</f>
        <v>#N/A</v>
      </c>
      <c r="E345" t="e">
        <f>VLOOKUP($C345,ТабАдрес[[#All],[Клиент]:[gps]],MATCH(E$1,ТабКлиенты[#Headers],0)-4,0)</f>
        <v>#N/A</v>
      </c>
      <c r="F345" t="e">
        <f>VLOOKUP($C345,ТабАдрес[[#All],[Клиент]:[gps]],MATCH(F$1,ТабКлиенты[#Headers],0)-4,0)</f>
        <v>#N/A</v>
      </c>
      <c r="H345" s="181">
        <v>0</v>
      </c>
      <c r="I345" s="52">
        <v>319</v>
      </c>
      <c r="J345" s="52">
        <v>1</v>
      </c>
      <c r="K345" t="e">
        <f t="shared" si="7"/>
        <v>#N/A</v>
      </c>
    </row>
    <row r="346" spans="1:11" hidden="1" x14ac:dyDescent="0.25">
      <c r="A346">
        <v>6</v>
      </c>
      <c r="B346" s="179">
        <v>45605</v>
      </c>
      <c r="C346" s="182" t="s">
        <v>3130</v>
      </c>
      <c r="D346" t="e">
        <f>VLOOKUP($C346,ТабКлиенты[[#All],[name]:[phone]],MATCH(D$1,ТабКлиенты[#Headers],0)-1,0)</f>
        <v>#N/A</v>
      </c>
      <c r="E346" t="e">
        <f>VLOOKUP($C346,ТабАдрес[[#All],[Клиент]:[gps]],MATCH(E$1,ТабКлиенты[#Headers],0)-4,0)</f>
        <v>#N/A</v>
      </c>
      <c r="F346" t="e">
        <f>VLOOKUP($C346,ТабАдрес[[#All],[Клиент]:[gps]],MATCH(F$1,ТабКлиенты[#Headers],0)-4,0)</f>
        <v>#N/A</v>
      </c>
      <c r="H346" s="181">
        <v>-150</v>
      </c>
      <c r="I346" s="52">
        <v>311</v>
      </c>
      <c r="J346" s="52">
        <v>1</v>
      </c>
      <c r="K346" t="e">
        <f t="shared" si="7"/>
        <v>#N/A</v>
      </c>
    </row>
    <row r="347" spans="1:11" hidden="1" x14ac:dyDescent="0.25">
      <c r="A347">
        <v>7</v>
      </c>
      <c r="B347" s="179">
        <v>45605</v>
      </c>
      <c r="C347" t="s">
        <v>3282</v>
      </c>
      <c r="D347" t="str">
        <f>VLOOKUP($C347,ТабКлиенты[[#All],[name]:[phone]],MATCH(D$1,ТабКлиенты[#Headers],0)-1,0)</f>
        <v>+79497054056</v>
      </c>
      <c r="E347" t="str">
        <f>VLOOKUP($C347,ТабАдрес[[#All],[Клиент]:[gps]],MATCH(E$1,ТабКлиенты[#Headers],0)-4,0)</f>
        <v>пер. Новгородский 41</v>
      </c>
      <c r="F347" t="str">
        <f>VLOOKUP($C347,ТабАдрес[[#All],[Клиент]:[gps]],MATCH(F$1,ТабКлиенты[#Headers],0)-4,0)</f>
        <v>47.1100, 37.5242</v>
      </c>
      <c r="H347" s="181">
        <v>1900</v>
      </c>
      <c r="I347" s="52" t="s">
        <v>5</v>
      </c>
      <c r="J347" s="52">
        <v>1</v>
      </c>
      <c r="K347" t="str">
        <f t="shared" si="7"/>
        <v>7. Лариса Терраспорт
Тел.: +79497054056
Адрес: пер. Новгородский 41
№ заказа: Витамины
Кол-во мест: 1
https://yandex.ru/maps/?text=47.1100%2C37.5242
https://maps.google.com/?daddr=47.1100%2C37.5242
К оплате: **1900
**----------------------------------------------------------</v>
      </c>
    </row>
    <row r="348" spans="1:11" hidden="1" x14ac:dyDescent="0.25">
      <c r="A348">
        <v>8</v>
      </c>
      <c r="B348" s="179">
        <v>45605</v>
      </c>
      <c r="C348" t="s">
        <v>3235</v>
      </c>
      <c r="D348" t="str">
        <f>VLOOKUP($C348,ТабКлиенты[[#All],[name]:[phone]],MATCH(D$1,ТабКлиенты[#Headers],0)-1,0)</f>
        <v>+79497386112</v>
      </c>
      <c r="E348" t="str">
        <f>VLOOKUP($C348,ТабАдрес[[#All],[Клиент]:[gps]],MATCH(E$1,ТабКлиенты[#Headers],0)-4,0)</f>
        <v>Шевченко 325</v>
      </c>
      <c r="F348" t="str">
        <f>VLOOKUP($C348,ТабАдрес[[#All],[Клиент]:[gps]],MATCH(F$1,ТабКлиенты[#Headers],0)-4,0)</f>
        <v>47.1193, 37.5172</v>
      </c>
      <c r="H348" s="181">
        <v>2400</v>
      </c>
      <c r="I348" s="52" t="s">
        <v>5</v>
      </c>
      <c r="J348" s="52">
        <v>1</v>
      </c>
      <c r="K348" t="str">
        <f t="shared" si="7"/>
        <v>8. Любовь Виталий
Тел.: +79497386112
Адрес: Шевченко 325
№ заказа: Витамины
Кол-во мест: 1
https://yandex.ru/maps/?text=47.1193%2C37.5172
https://maps.google.com/?daddr=47.1193%2C37.5172
К оплате: **2400
**----------------------------------------------------------</v>
      </c>
    </row>
    <row r="349" spans="1:11" hidden="1" x14ac:dyDescent="0.25">
      <c r="A349">
        <v>9</v>
      </c>
      <c r="B349" s="179">
        <v>45605</v>
      </c>
      <c r="C349" t="s">
        <v>3369</v>
      </c>
      <c r="D349" t="str">
        <f>VLOOKUP($C349,ТабКлиенты[[#All],[name]:[phone]],MATCH(D$1,ТабКлиенты[#Headers],0)-1,0)</f>
        <v>+79497271852</v>
      </c>
      <c r="E349" t="str">
        <f>VLOOKUP($C349,ТабАдрес[[#All],[Клиент]:[gps]],MATCH(E$1,ТабКлиенты[#Headers],0)-4,0)</f>
        <v>Запорожское шоссе 2</v>
      </c>
      <c r="F349" t="str">
        <f>VLOOKUP($C349,ТабАдрес[[#All],[Клиент]:[gps]],MATCH(F$1,ТабКлиенты[#Headers],0)-4,0)</f>
        <v>47.1176, 37.5083</v>
      </c>
      <c r="H349" s="181">
        <v>1000</v>
      </c>
      <c r="I349" s="52" t="s">
        <v>5</v>
      </c>
      <c r="J349" s="52">
        <v>1</v>
      </c>
      <c r="K349" t="str">
        <f t="shared" si="7"/>
        <v>9. Виктория Порт Сити
Тел.: +79497271852
Адрес: Запорожское шоссе 2
№ заказа: Витамины
Кол-во мест: 1
https://yandex.ru/maps/?text=47.1176%2C37.5083
https://maps.google.com/?daddr=47.1176%2C37.5083
К оплате: **1000
**----------------------------------------------------------</v>
      </c>
    </row>
    <row r="350" spans="1:11" hidden="1" x14ac:dyDescent="0.25">
      <c r="A350">
        <v>10</v>
      </c>
      <c r="B350" s="179">
        <v>45605</v>
      </c>
      <c r="C350" t="s">
        <v>3334</v>
      </c>
      <c r="D350" t="e">
        <f>VLOOKUP($C350,ТабКлиенты[[#All],[name]:[phone]],MATCH(D$1,ТабКлиенты[#Headers],0)-1,0)</f>
        <v>#N/A</v>
      </c>
      <c r="E350" t="e">
        <f>VLOOKUP($C350,ТабАдрес[[#All],[Клиент]:[gps]],MATCH(E$1,ТабКлиенты[#Headers],0)-4,0)</f>
        <v>#N/A</v>
      </c>
      <c r="F350" t="e">
        <f>VLOOKUP($C350,ТабАдрес[[#All],[Клиент]:[gps]],MATCH(F$1,ТабКлиенты[#Headers],0)-4,0)</f>
        <v>#N/A</v>
      </c>
      <c r="H350" s="181">
        <v>0</v>
      </c>
      <c r="I350" s="52">
        <v>323</v>
      </c>
      <c r="J350" s="52">
        <v>1</v>
      </c>
      <c r="K350" t="e">
        <f t="shared" si="7"/>
        <v>#N/A</v>
      </c>
    </row>
    <row r="351" spans="1:11" hidden="1" x14ac:dyDescent="0.25">
      <c r="A351">
        <v>11</v>
      </c>
      <c r="B351" s="179">
        <v>45605</v>
      </c>
      <c r="C351" t="s">
        <v>3263</v>
      </c>
      <c r="D351" t="e">
        <f>VLOOKUP($C351,ТабКлиенты[[#All],[name]:[phone]],MATCH(D$1,ТабКлиенты[#Headers],0)-1,0)</f>
        <v>#N/A</v>
      </c>
      <c r="E351" t="e">
        <f>VLOOKUP($C351,ТабАдрес[[#All],[Клиент]:[gps]],MATCH(E$1,ТабКлиенты[#Headers],0)-4,0)</f>
        <v>#N/A</v>
      </c>
      <c r="F351" t="e">
        <f>VLOOKUP($C351,ТабАдрес[[#All],[Клиент]:[gps]],MATCH(F$1,ТабКлиенты[#Headers],0)-4,0)</f>
        <v>#N/A</v>
      </c>
      <c r="H351" s="181">
        <v>529</v>
      </c>
      <c r="I351" s="52">
        <v>329</v>
      </c>
      <c r="J351" s="52">
        <v>1</v>
      </c>
      <c r="K351" t="e">
        <f t="shared" si="7"/>
        <v>#N/A</v>
      </c>
    </row>
    <row r="352" spans="1:11" hidden="1" x14ac:dyDescent="0.25">
      <c r="A352">
        <v>12</v>
      </c>
      <c r="B352" s="179">
        <v>45605</v>
      </c>
      <c r="C352" t="s">
        <v>3226</v>
      </c>
      <c r="D352" t="str">
        <f>VLOOKUP($C352,ТабКлиенты[[#All],[name]:[phone]],MATCH(D$1,ТабКлиенты[#Headers],0)-1,0)</f>
        <v>+79497169864</v>
      </c>
      <c r="E352" t="str">
        <f>VLOOKUP($C352,ТабАдрес[[#All],[Клиент]:[gps]],MATCH(E$1,ТабКлиенты[#Headers],0)-4,0)</f>
        <v>Строителей, 102</v>
      </c>
      <c r="F352" t="str">
        <f>VLOOKUP($C352,ТабАдрес[[#All],[Клиент]:[gps]],MATCH(F$1,ТабКлиенты[#Headers],0)-4,0)</f>
        <v>47.100776, 37.522477</v>
      </c>
      <c r="H352" s="181">
        <v>8700</v>
      </c>
      <c r="I352" s="52" t="s">
        <v>5</v>
      </c>
      <c r="J352" s="52">
        <v>1</v>
      </c>
      <c r="K352" t="str">
        <f t="shared" si="7"/>
        <v>12. Надежда Витамины
Тел.: +79497169864
Адрес: Строителей, 102
№ заказа: Витамины
Кол-во мест: 1
https://yandex.ru/maps/?text=47.100776%2C37.522477
https://maps.google.com/?daddr=47.100776%2C37.522477
К оплате: **8700
**----------------------------------------------------------</v>
      </c>
    </row>
    <row r="353" spans="1:11" hidden="1" x14ac:dyDescent="0.25">
      <c r="A353">
        <v>13</v>
      </c>
      <c r="B353" s="179">
        <v>45605</v>
      </c>
      <c r="C353" t="s">
        <v>3290</v>
      </c>
      <c r="D353" t="str">
        <f>VLOOKUP($C353,ТабКлиенты[[#All],[name]:[phone]],MATCH(D$1,ТабКлиенты[#Headers],0)-1,0)</f>
        <v>+79497179245</v>
      </c>
      <c r="E353" t="str">
        <f>VLOOKUP($C353,ТабАдрес[[#All],[Клиент]:[gps]],MATCH(E$1,ТабКлиенты[#Headers],0)-4,0)</f>
        <v>Ткаченко Петренко 3</v>
      </c>
      <c r="F353" t="str">
        <f>VLOOKUP($C353,ТабАдрес[[#All],[Клиент]:[gps]],MATCH(F$1,ТабКлиенты[#Headers],0)-4,0)</f>
        <v>47.0853, 37.5071</v>
      </c>
      <c r="H353" s="181">
        <v>18800</v>
      </c>
      <c r="I353" s="52" t="s">
        <v>5</v>
      </c>
      <c r="J353" s="52">
        <v>1</v>
      </c>
      <c r="K353" t="str">
        <f t="shared" si="7"/>
        <v>13. Светлана Кулаки
Тел.: +79497179245
Адрес: Ткаченко Петренко 3
№ заказа: Витамины
Кол-во мест: 1
https://yandex.ru/maps/?text=47.0853%2C37.5071
https://maps.google.com/?daddr=47.0853%2C37.5071
К оплате: **18800
**----------------------------------------------------------</v>
      </c>
    </row>
    <row r="354" spans="1:11" hidden="1" x14ac:dyDescent="0.25">
      <c r="A354">
        <v>14</v>
      </c>
      <c r="B354" s="179">
        <v>45605</v>
      </c>
      <c r="C354" t="s">
        <v>3231</v>
      </c>
      <c r="D354" t="str">
        <f>VLOOKUP($C354,ТабКлиенты[[#All],[name]:[phone]],MATCH(D$1,ТабКлиенты[#Headers],0)-1,0)</f>
        <v>+79497336840</v>
      </c>
      <c r="E354" t="str">
        <f>VLOOKUP($C354,ТабАдрес[[#All],[Клиент]:[gps]],MATCH(E$1,ТабКлиенты[#Headers],0)-4,0)</f>
        <v>Бригантина 152</v>
      </c>
      <c r="F354" t="str">
        <f>VLOOKUP($C354,ТабАдрес[[#All],[Клиент]:[gps]],MATCH(F$1,ТабКлиенты[#Headers],0)-4,0)</f>
        <v>47.0779, 37.4879</v>
      </c>
      <c r="H354" s="181">
        <v>800</v>
      </c>
      <c r="I354" s="52" t="s">
        <v>5</v>
      </c>
      <c r="J354" s="52">
        <v>1</v>
      </c>
      <c r="K354" t="str">
        <f t="shared" si="7"/>
        <v>14. Татьяна Бригантина
Тел.: +79497336840
Адрес: Бригантина 152
№ заказа: Витамины
Кол-во мест: 1
https://yandex.ru/maps/?text=47.0779%2C37.4879
https://maps.google.com/?daddr=47.0779%2C37.4879
К оплате: **800
**----------------------------------------------------------</v>
      </c>
    </row>
    <row r="355" spans="1:11" hidden="1" x14ac:dyDescent="0.25">
      <c r="A355">
        <v>15</v>
      </c>
      <c r="B355" s="179">
        <v>45605</v>
      </c>
      <c r="C355" t="s">
        <v>3348</v>
      </c>
      <c r="D355" t="e">
        <f>VLOOKUP($C355,ТабКлиенты[[#All],[name]:[phone]],MATCH(D$1,ТабКлиенты[#Headers],0)-1,0)</f>
        <v>#N/A</v>
      </c>
      <c r="E355" t="e">
        <f>VLOOKUP($C355,ТабАдрес[[#All],[Клиент]:[gps]],MATCH(E$1,ТабКлиенты[#Headers],0)-4,0)</f>
        <v>#N/A</v>
      </c>
      <c r="F355" t="e">
        <f>VLOOKUP($C355,ТабАдрес[[#All],[Клиент]:[gps]],MATCH(F$1,ТабКлиенты[#Headers],0)-4,0)</f>
        <v>#N/A</v>
      </c>
      <c r="H355" s="181">
        <v>246</v>
      </c>
      <c r="I355" s="52">
        <v>330</v>
      </c>
      <c r="J355" s="52">
        <v>1</v>
      </c>
      <c r="K355" t="e">
        <f t="shared" si="7"/>
        <v>#N/A</v>
      </c>
    </row>
    <row r="356" spans="1:11" hidden="1" x14ac:dyDescent="0.25">
      <c r="A356">
        <v>16</v>
      </c>
      <c r="B356" s="179">
        <v>45605</v>
      </c>
      <c r="C356" t="s">
        <v>3365</v>
      </c>
      <c r="D356" t="str">
        <f>VLOOKUP($C356,ТабКлиенты[[#All],[name]:[phone]],MATCH(D$1,ТабКлиенты[#Headers],0)-1,0)</f>
        <v>+79490023562</v>
      </c>
      <c r="E356" t="str">
        <f>VLOOKUP($C356,ТабАдрес[[#All],[Клиент]:[gps]],MATCH(E$1,ТабКлиенты[#Headers],0)-4,0)</f>
        <v>Ленина 46/54</v>
      </c>
      <c r="F356" t="str">
        <f>VLOOKUP($C356,ТабАдрес[[#All],[Клиент]:[gps]],MATCH(F$1,ТабКлиенты[#Headers],0)-4,0)</f>
        <v>47.0947, 37.5488</v>
      </c>
      <c r="H356" s="181">
        <v>2300</v>
      </c>
      <c r="I356" s="52" t="s">
        <v>5</v>
      </c>
      <c r="J356" s="52">
        <v>1</v>
      </c>
      <c r="K356" t="str">
        <f t="shared" si="7"/>
        <v>16. Ольга Мелованова
Тел.: +79490023562
Адрес: Ленина 46/54
№ заказа: Витамины
Кол-во мест: 1
https://yandex.ru/maps/?text=47.0947%2C37.5488
https://maps.google.com/?daddr=47.0947%2C37.5488
К оплате: **2300
**----------------------------------------------------------</v>
      </c>
    </row>
    <row r="357" spans="1:11" hidden="1" x14ac:dyDescent="0.25">
      <c r="A357">
        <v>17</v>
      </c>
      <c r="B357" s="179">
        <v>45605</v>
      </c>
      <c r="C357" t="s">
        <v>3167</v>
      </c>
      <c r="D357" t="e">
        <f>VLOOKUP($C357,ТабКлиенты[[#All],[name]:[phone]],MATCH(D$1,ТабКлиенты[#Headers],0)-1,0)</f>
        <v>#N/A</v>
      </c>
      <c r="E357" t="e">
        <f>VLOOKUP($C357,ТабАдрес[[#All],[Клиент]:[gps]],MATCH(E$1,ТабКлиенты[#Headers],0)-4,0)</f>
        <v>#N/A</v>
      </c>
      <c r="F357" t="e">
        <f>VLOOKUP($C357,ТабАдрес[[#All],[Клиент]:[gps]],MATCH(F$1,ТабКлиенты[#Headers],0)-4,0)</f>
        <v>#N/A</v>
      </c>
      <c r="H357" s="181">
        <v>5838</v>
      </c>
      <c r="I357" s="52">
        <v>316</v>
      </c>
      <c r="J357" s="52">
        <v>7</v>
      </c>
      <c r="K357" t="e">
        <f t="shared" si="7"/>
        <v>#N/A</v>
      </c>
    </row>
    <row r="358" spans="1:11" hidden="1" x14ac:dyDescent="0.25">
      <c r="A358">
        <v>18</v>
      </c>
      <c r="B358" s="179">
        <v>45605</v>
      </c>
      <c r="C358" t="s">
        <v>3172</v>
      </c>
      <c r="D358" t="str">
        <f>VLOOKUP($C358,ТабКлиенты[[#All],[name]:[phone]],MATCH(D$1,ТабКлиенты[#Headers],0)-1,0)</f>
        <v>+79497277100</v>
      </c>
      <c r="E358" t="str">
        <f>VLOOKUP($C358,ТабАдрес[[#All],[Клиент]:[gps]],MATCH(E$1,ТабКлиенты[#Headers],0)-4,0)</f>
        <v>Артема 132</v>
      </c>
      <c r="F358" t="str">
        <f>VLOOKUP($C358,ТабАдрес[[#All],[Клиент]:[gps]],MATCH(F$1,ТабКлиенты[#Headers],0)-4,0)</f>
        <v>47.1085, 37.5599</v>
      </c>
      <c r="H358" s="181">
        <f>1500+7020</f>
        <v>8520</v>
      </c>
      <c r="I358" s="52">
        <v>328</v>
      </c>
      <c r="J358" s="52">
        <v>1</v>
      </c>
      <c r="K358" t="str">
        <f t="shared" si="7"/>
        <v>18. Александр Радин
Тел.: +79497277100
Адрес: Артема 132
№ заказа: 328
Кол-во мест: 1
https://yandex.ru/maps/?text=47.1085%2C37.5599
https://maps.google.com/?daddr=47.1085%2C37.5599
К оплате: **8520
**----------------------------------------------------------</v>
      </c>
    </row>
    <row r="359" spans="1:11" hidden="1" x14ac:dyDescent="0.25">
      <c r="A359">
        <v>19</v>
      </c>
      <c r="B359" s="179">
        <v>45605</v>
      </c>
      <c r="C359" t="s">
        <v>3168</v>
      </c>
      <c r="D359" t="e">
        <f>VLOOKUP($C359,ТабКлиенты[[#All],[name]:[phone]],MATCH(D$1,ТабКлиенты[#Headers],0)-1,0)</f>
        <v>#N/A</v>
      </c>
      <c r="E359" t="e">
        <f>VLOOKUP($C359,ТабАдрес[[#All],[Клиент]:[gps]],MATCH(E$1,ТабКлиенты[#Headers],0)-4,0)</f>
        <v>#N/A</v>
      </c>
      <c r="F359" t="e">
        <f>VLOOKUP($C359,ТабАдрес[[#All],[Клиент]:[gps]],MATCH(F$1,ТабКлиенты[#Headers],0)-4,0)</f>
        <v>#N/A</v>
      </c>
      <c r="H359" s="181">
        <v>0</v>
      </c>
      <c r="I359" s="52">
        <v>312</v>
      </c>
      <c r="J359" s="52">
        <v>1</v>
      </c>
      <c r="K359" t="e">
        <f t="shared" si="7"/>
        <v>#N/A</v>
      </c>
    </row>
    <row r="360" spans="1:11" hidden="1" x14ac:dyDescent="0.25">
      <c r="A360">
        <v>20</v>
      </c>
      <c r="B360" s="179">
        <v>45605</v>
      </c>
      <c r="C360" t="s">
        <v>3149</v>
      </c>
      <c r="D360" t="e">
        <f>VLOOKUP($C360,ТабКлиенты[[#All],[name]:[phone]],MATCH(D$1,ТабКлиенты[#Headers],0)-1,0)</f>
        <v>#N/A</v>
      </c>
      <c r="E360" t="e">
        <f>VLOOKUP($C360,ТабАдрес[[#All],[Клиент]:[gps]],MATCH(E$1,ТабКлиенты[#Headers],0)-4,0)</f>
        <v>#N/A</v>
      </c>
      <c r="F360" t="e">
        <f>VLOOKUP($C360,ТабАдрес[[#All],[Клиент]:[gps]],MATCH(F$1,ТабКлиенты[#Headers],0)-4,0)</f>
        <v>#N/A</v>
      </c>
      <c r="H360" s="181">
        <v>0</v>
      </c>
      <c r="I360" s="52">
        <v>318</v>
      </c>
      <c r="J360" s="52">
        <v>1</v>
      </c>
      <c r="K360" t="e">
        <f t="shared" si="7"/>
        <v>#N/A</v>
      </c>
    </row>
    <row r="361" spans="1:11" hidden="1" x14ac:dyDescent="0.25">
      <c r="A361">
        <v>1</v>
      </c>
      <c r="B361" s="179">
        <v>45612</v>
      </c>
      <c r="C361" t="s">
        <v>3149</v>
      </c>
      <c r="D361" t="e">
        <f>VLOOKUP($C361,ТабКлиенты[[#All],[name]:[phone]],MATCH(D$1,ТабКлиенты[#Headers],0)-1,0)</f>
        <v>#N/A</v>
      </c>
      <c r="E361" t="e">
        <f>VLOOKUP($C361,ТабАдрес[[#All],[Клиент]:[gps]],MATCH(E$1,ТабКлиенты[#Headers],0)-4,0)</f>
        <v>#N/A</v>
      </c>
      <c r="F361" t="e">
        <f>VLOOKUP($C361,ТабАдрес[[#All],[Клиент]:[gps]],MATCH(F$1,ТабКлиенты[#Headers],0)-4,0)</f>
        <v>#N/A</v>
      </c>
      <c r="H361" s="181">
        <v>0</v>
      </c>
      <c r="I361" s="52">
        <v>331</v>
      </c>
      <c r="J361" s="52">
        <v>2</v>
      </c>
      <c r="K361" t="e">
        <f t="shared" si="7"/>
        <v>#N/A</v>
      </c>
    </row>
    <row r="362" spans="1:11" hidden="1" x14ac:dyDescent="0.25">
      <c r="A362">
        <v>2</v>
      </c>
      <c r="B362" s="179">
        <v>45612</v>
      </c>
      <c r="C362" t="s">
        <v>3172</v>
      </c>
      <c r="D362" t="str">
        <f>VLOOKUP($C362,ТабКлиенты[[#All],[name]:[phone]],MATCH(D$1,ТабКлиенты[#Headers],0)-1,0)</f>
        <v>+79497277100</v>
      </c>
      <c r="E362" t="str">
        <f>VLOOKUP($C362,ТабАдрес[[#All],[Клиент]:[gps]],MATCH(E$1,ТабКлиенты[#Headers],0)-4,0)</f>
        <v>Артема 132</v>
      </c>
      <c r="F362" t="str">
        <f>VLOOKUP($C362,ТабАдрес[[#All],[Клиент]:[gps]],MATCH(F$1,ТабКлиенты[#Headers],0)-4,0)</f>
        <v>47.1085, 37.5599</v>
      </c>
      <c r="H362" s="181">
        <v>7400</v>
      </c>
      <c r="I362" s="52" t="s">
        <v>5</v>
      </c>
      <c r="J362" s="52">
        <v>1</v>
      </c>
      <c r="K362" t="str">
        <f t="shared" si="7"/>
        <v>2. Александр Радин
Тел.: +79497277100
Адрес: Артема 132
№ заказа: Витамины
Кол-во мест: 1
https://yandex.ru/maps/?text=47.1085%2C37.5599
https://maps.google.com/?daddr=47.1085%2C37.5599
К оплате: **7400
**----------------------------------------------------------</v>
      </c>
    </row>
    <row r="363" spans="1:11" hidden="1" x14ac:dyDescent="0.25">
      <c r="A363">
        <v>3</v>
      </c>
      <c r="B363" s="179">
        <v>45612</v>
      </c>
      <c r="C363" t="s">
        <v>3210</v>
      </c>
      <c r="D363" t="e">
        <f>VLOOKUP($C363,ТабКлиенты[[#All],[name]:[phone]],MATCH(D$1,ТабКлиенты[#Headers],0)-1,0)</f>
        <v>#N/A</v>
      </c>
      <c r="E363" t="e">
        <f>VLOOKUP($C363,ТабАдрес[[#All],[Клиент]:[gps]],MATCH(E$1,ТабКлиенты[#Headers],0)-4,0)</f>
        <v>#N/A</v>
      </c>
      <c r="F363" t="e">
        <f>VLOOKUP($C363,ТабАдрес[[#All],[Клиент]:[gps]],MATCH(F$1,ТабКлиенты[#Headers],0)-4,0)</f>
        <v>#N/A</v>
      </c>
      <c r="H363" s="181">
        <v>0</v>
      </c>
      <c r="I363" s="52">
        <v>332</v>
      </c>
      <c r="J363" s="52">
        <v>1</v>
      </c>
      <c r="K363" t="e">
        <f t="shared" si="7"/>
        <v>#N/A</v>
      </c>
    </row>
    <row r="364" spans="1:11" hidden="1" x14ac:dyDescent="0.25">
      <c r="A364">
        <v>4</v>
      </c>
      <c r="B364" s="179">
        <v>45612</v>
      </c>
      <c r="C364" t="s">
        <v>3360</v>
      </c>
      <c r="D364" t="e">
        <f>VLOOKUP($C364,ТабКлиенты[[#All],[name]:[phone]],MATCH(D$1,ТабКлиенты[#Headers],0)-1,0)</f>
        <v>#N/A</v>
      </c>
      <c r="E364" t="e">
        <f>VLOOKUP($C364,ТабАдрес[[#All],[Клиент]:[gps]],MATCH(E$1,ТабКлиенты[#Headers],0)-4,0)</f>
        <v>#N/A</v>
      </c>
      <c r="F364" t="e">
        <f>VLOOKUP($C364,ТабАдрес[[#All],[Клиент]:[gps]],MATCH(F$1,ТабКлиенты[#Headers],0)-4,0)</f>
        <v>#N/A</v>
      </c>
      <c r="H364" s="181">
        <v>0</v>
      </c>
      <c r="I364" s="52">
        <v>324</v>
      </c>
      <c r="J364" s="52">
        <v>2</v>
      </c>
      <c r="K364" t="e">
        <f t="shared" si="7"/>
        <v>#N/A</v>
      </c>
    </row>
    <row r="365" spans="1:11" hidden="1" x14ac:dyDescent="0.25">
      <c r="A365">
        <v>5</v>
      </c>
      <c r="B365" s="179">
        <v>45612</v>
      </c>
      <c r="C365" t="s">
        <v>3260</v>
      </c>
      <c r="D365" t="e">
        <f>VLOOKUP($C365,ТабКлиенты[[#All],[name]:[phone]],MATCH(D$1,ТабКлиенты[#Headers],0)-1,0)</f>
        <v>#N/A</v>
      </c>
      <c r="E365" t="e">
        <f>VLOOKUP($C365,ТабАдрес[[#All],[Клиент]:[gps]],MATCH(E$1,ТабКлиенты[#Headers],0)-4,0)</f>
        <v>#N/A</v>
      </c>
      <c r="F365" t="e">
        <f>VLOOKUP($C365,ТабАдрес[[#All],[Клиент]:[gps]],MATCH(F$1,ТабКлиенты[#Headers],0)-4,0)</f>
        <v>#N/A</v>
      </c>
      <c r="H365" s="181">
        <v>0</v>
      </c>
      <c r="I365" s="52">
        <v>317</v>
      </c>
      <c r="J365" s="52">
        <v>1</v>
      </c>
      <c r="K365" t="e">
        <f t="shared" si="7"/>
        <v>#N/A</v>
      </c>
    </row>
    <row r="366" spans="1:11" hidden="1" x14ac:dyDescent="0.25">
      <c r="A366">
        <v>6</v>
      </c>
      <c r="B366" s="179">
        <v>45612</v>
      </c>
      <c r="C366" t="s">
        <v>3126</v>
      </c>
      <c r="D366" t="e">
        <f>VLOOKUP($C366,ТабКлиенты[[#All],[name]:[phone]],MATCH(D$1,ТабКлиенты[#Headers],0)-1,0)</f>
        <v>#N/A</v>
      </c>
      <c r="E366" t="e">
        <f>VLOOKUP($C366,ТабАдрес[[#All],[Клиент]:[gps]],MATCH(E$1,ТабКлиенты[#Headers],0)-4,0)</f>
        <v>#N/A</v>
      </c>
      <c r="F366" t="e">
        <f>VLOOKUP($C366,ТабАдрес[[#All],[Клиент]:[gps]],MATCH(F$1,ТабКлиенты[#Headers],0)-4,0)</f>
        <v>#N/A</v>
      </c>
      <c r="H366" s="181">
        <v>2000</v>
      </c>
      <c r="I366" s="52">
        <v>336</v>
      </c>
      <c r="J366" s="52">
        <v>1</v>
      </c>
      <c r="K366" t="e">
        <f t="shared" si="7"/>
        <v>#N/A</v>
      </c>
    </row>
    <row r="367" spans="1:11" hidden="1" x14ac:dyDescent="0.25">
      <c r="A367">
        <v>7</v>
      </c>
      <c r="B367" s="179">
        <v>45612</v>
      </c>
      <c r="C367" t="s">
        <v>3125</v>
      </c>
      <c r="D367" t="e">
        <f>VLOOKUP($C367,ТабКлиенты[[#All],[name]:[phone]],MATCH(D$1,ТабКлиенты[#Headers],0)-1,0)</f>
        <v>#N/A</v>
      </c>
      <c r="E367" t="e">
        <f>VLOOKUP($C367,ТабАдрес[[#All],[Клиент]:[gps]],MATCH(E$1,ТабКлиенты[#Headers],0)-4,0)</f>
        <v>#N/A</v>
      </c>
      <c r="F367" t="e">
        <f>VLOOKUP($C367,ТабАдрес[[#All],[Клиент]:[gps]],MATCH(F$1,ТабКлиенты[#Headers],0)-4,0)</f>
        <v>#N/A</v>
      </c>
      <c r="H367" s="181">
        <v>6091</v>
      </c>
      <c r="I367" s="52">
        <v>335</v>
      </c>
      <c r="J367" s="52">
        <v>1</v>
      </c>
      <c r="K367" t="e">
        <f t="shared" si="7"/>
        <v>#N/A</v>
      </c>
    </row>
    <row r="368" spans="1:11" hidden="1" x14ac:dyDescent="0.25">
      <c r="A368">
        <v>8</v>
      </c>
      <c r="B368" s="179">
        <v>45612</v>
      </c>
      <c r="C368" t="s">
        <v>4252</v>
      </c>
      <c r="D368" t="e">
        <f>VLOOKUP($C368,ТабКлиенты[[#All],[name]:[phone]],MATCH(D$1,ТабКлиенты[#Headers],0)-1,0)</f>
        <v>#N/A</v>
      </c>
      <c r="E368" t="e">
        <f>VLOOKUP($C368,ТабАдрес[[#All],[Клиент]:[gps]],MATCH(E$1,ТабКлиенты[#Headers],0)-4,0)</f>
        <v>#N/A</v>
      </c>
      <c r="F368" t="e">
        <f>VLOOKUP($C368,ТабАдрес[[#All],[Клиент]:[gps]],MATCH(F$1,ТабКлиенты[#Headers],0)-4,0)</f>
        <v>#N/A</v>
      </c>
      <c r="H368" s="181">
        <v>0</v>
      </c>
      <c r="I368" s="52" t="s">
        <v>5</v>
      </c>
      <c r="J368" s="52">
        <v>1</v>
      </c>
      <c r="K368" t="e">
        <f t="shared" si="7"/>
        <v>#N/A</v>
      </c>
    </row>
    <row r="369" spans="1:11" hidden="1" x14ac:dyDescent="0.25">
      <c r="A369">
        <v>9</v>
      </c>
      <c r="B369" s="179">
        <v>45612</v>
      </c>
      <c r="C369" t="s">
        <v>3279</v>
      </c>
      <c r="D369" t="e">
        <f>VLOOKUP($C369,ТабКлиенты[[#All],[name]:[phone]],MATCH(D$1,ТабКлиенты[#Headers],0)-1,0)</f>
        <v>#N/A</v>
      </c>
      <c r="E369" t="e">
        <f>VLOOKUP($C369,ТабАдрес[[#All],[Клиент]:[gps]],MATCH(E$1,ТабКлиенты[#Headers],0)-4,0)</f>
        <v>#N/A</v>
      </c>
      <c r="F369" t="e">
        <f>VLOOKUP($C369,ТабАдрес[[#All],[Клиент]:[gps]],MATCH(F$1,ТабКлиенты[#Headers],0)-4,0)</f>
        <v>#N/A</v>
      </c>
      <c r="H369" s="181">
        <v>200</v>
      </c>
      <c r="I369" s="52">
        <v>341</v>
      </c>
      <c r="J369" s="52">
        <v>1</v>
      </c>
      <c r="K369" t="e">
        <f t="shared" ref="K369:K404" si="8">A369&amp;". "&amp;C369&amp;CHAR(10)&amp;"Тел.: "&amp;D369&amp;CHAR(10)&amp;"Адрес: "&amp;E369&amp;CHAR(10)&amp;"№ заказа: "&amp;I369&amp;CHAR(10)&amp;"Кол-во мест: "&amp;J369&amp;CHAR(10)&amp;"https://yandex.ru/maps/?text="&amp;REPLACE(F369,SEARCH(",",F369),2,"%2C")&amp;CHAR(10)&amp;"https://maps.google.com/?daddr="&amp;REPLACE(F369,SEARCH(",",F369),2,"%2C")&amp;CHAR(10)&amp;"К оплате: "&amp;"**"&amp;H369&amp;CHAR(10)&amp;"**"&amp;"----------------------------------------------------------"</f>
        <v>#N/A</v>
      </c>
    </row>
    <row r="370" spans="1:11" hidden="1" x14ac:dyDescent="0.25">
      <c r="A370">
        <v>10</v>
      </c>
      <c r="B370" s="179">
        <v>45612</v>
      </c>
      <c r="C370" t="s">
        <v>3334</v>
      </c>
      <c r="D370" t="e">
        <f>VLOOKUP($C370,ТабКлиенты[[#All],[name]:[phone]],MATCH(D$1,ТабКлиенты[#Headers],0)-1,0)</f>
        <v>#N/A</v>
      </c>
      <c r="E370" t="e">
        <f>VLOOKUP($C370,ТабАдрес[[#All],[Клиент]:[gps]],MATCH(E$1,ТабКлиенты[#Headers],0)-4,0)</f>
        <v>#N/A</v>
      </c>
      <c r="F370" t="e">
        <f>VLOOKUP($C370,ТабАдрес[[#All],[Клиент]:[gps]],MATCH(F$1,ТабКлиенты[#Headers],0)-4,0)</f>
        <v>#N/A</v>
      </c>
      <c r="H370" s="181">
        <v>0</v>
      </c>
      <c r="I370" s="52">
        <v>323</v>
      </c>
      <c r="J370" s="52">
        <v>1</v>
      </c>
      <c r="K370" t="e">
        <f t="shared" si="8"/>
        <v>#N/A</v>
      </c>
    </row>
    <row r="371" spans="1:11" hidden="1" x14ac:dyDescent="0.25">
      <c r="A371">
        <v>11</v>
      </c>
      <c r="B371" s="179">
        <v>45612</v>
      </c>
      <c r="C371" t="s">
        <v>3263</v>
      </c>
      <c r="D371" t="e">
        <f>VLOOKUP($C371,ТабКлиенты[[#All],[name]:[phone]],MATCH(D$1,ТабКлиенты[#Headers],0)-1,0)</f>
        <v>#N/A</v>
      </c>
      <c r="E371" t="e">
        <f>VLOOKUP($C371,ТабАдрес[[#All],[Клиент]:[gps]],MATCH(E$1,ТабКлиенты[#Headers],0)-4,0)</f>
        <v>#N/A</v>
      </c>
      <c r="F371" t="e">
        <f>VLOOKUP($C371,ТабАдрес[[#All],[Клиент]:[gps]],MATCH(F$1,ТабКлиенты[#Headers],0)-4,0)</f>
        <v>#N/A</v>
      </c>
      <c r="H371" s="181">
        <v>200</v>
      </c>
      <c r="I371" s="52">
        <v>342</v>
      </c>
      <c r="J371" s="52">
        <v>1</v>
      </c>
      <c r="K371" t="e">
        <f t="shared" si="8"/>
        <v>#N/A</v>
      </c>
    </row>
    <row r="372" spans="1:11" hidden="1" x14ac:dyDescent="0.25">
      <c r="A372">
        <v>12</v>
      </c>
      <c r="B372" s="179">
        <v>45612</v>
      </c>
      <c r="C372" t="s">
        <v>3373</v>
      </c>
      <c r="D372" t="str">
        <f>VLOOKUP($C372,ТабКлиенты[[#All],[name]:[phone]],MATCH(D$1,ТабКлиенты[#Headers],0)-1,0)</f>
        <v>+79497178192</v>
      </c>
      <c r="E372" t="str">
        <f>VLOOKUP($C372,ТабАдрес[[#All],[Клиент]:[gps]],MATCH(E$1,ТабКлиенты[#Headers],0)-4,0)</f>
        <v>Новороссийская 28, ЖД Больница</v>
      </c>
      <c r="F372" t="str">
        <f>VLOOKUP($C372,ТабАдрес[[#All],[Клиент]:[gps]],MATCH(F$1,ТабКлиенты[#Headers],0)-4,0)</f>
        <v>47.0718, 37.4881</v>
      </c>
      <c r="H372" s="181">
        <v>11400</v>
      </c>
      <c r="I372" s="52" t="s">
        <v>5</v>
      </c>
      <c r="J372" s="52">
        <v>1</v>
      </c>
      <c r="K372" t="str">
        <f t="shared" si="8"/>
        <v>12. Ольга ЖД больница
Тел.: +79497178192
Адрес: Новороссийская 28, ЖД Больница
№ заказа: Витамины
Кол-во мест: 1
https://yandex.ru/maps/?text=47.0718%2C37.4881
https://maps.google.com/?daddr=47.0718%2C37.4881
К оплате: **11400
**----------------------------------------------------------</v>
      </c>
    </row>
    <row r="373" spans="1:11" hidden="1" x14ac:dyDescent="0.25">
      <c r="A373">
        <v>13</v>
      </c>
      <c r="B373" s="179">
        <v>45612</v>
      </c>
      <c r="C373" t="s">
        <v>3348</v>
      </c>
      <c r="D373" t="e">
        <f>VLOOKUP($C373,ТабКлиенты[[#All],[name]:[phone]],MATCH(D$1,ТабКлиенты[#Headers],0)-1,0)</f>
        <v>#N/A</v>
      </c>
      <c r="E373" t="e">
        <f>VLOOKUP($C373,ТабАдрес[[#All],[Клиент]:[gps]],MATCH(E$1,ТабКлиенты[#Headers],0)-4,0)</f>
        <v>#N/A</v>
      </c>
      <c r="F373" t="e">
        <f>VLOOKUP($C373,ТабАдрес[[#All],[Клиент]:[gps]],MATCH(F$1,ТабКлиенты[#Headers],0)-4,0)</f>
        <v>#N/A</v>
      </c>
      <c r="H373" s="181">
        <v>200</v>
      </c>
      <c r="I373" s="52">
        <v>343</v>
      </c>
      <c r="J373" s="52">
        <v>1</v>
      </c>
      <c r="K373" t="e">
        <f t="shared" si="8"/>
        <v>#N/A</v>
      </c>
    </row>
    <row r="374" spans="1:11" hidden="1" x14ac:dyDescent="0.25">
      <c r="A374">
        <v>1</v>
      </c>
      <c r="B374" s="179">
        <v>45619</v>
      </c>
      <c r="C374" t="s">
        <v>3260</v>
      </c>
      <c r="D374" t="e">
        <f>VLOOKUP($C374,ТабКлиенты[[#All],[name]:[phone]],MATCH(D$1,ТабКлиенты[#Headers],0)-1,0)</f>
        <v>#N/A</v>
      </c>
      <c r="E374" t="e">
        <f>VLOOKUP($C374,ТабАдрес[[#All],[Клиент]:[gps]],MATCH(E$1,ТабКлиенты[#Headers],0)-4,0)</f>
        <v>#N/A</v>
      </c>
      <c r="F374" t="e">
        <f>VLOOKUP($C374,ТабАдрес[[#All],[Клиент]:[gps]],MATCH(F$1,ТабКлиенты[#Headers],0)-4,0)</f>
        <v>#N/A</v>
      </c>
      <c r="H374" s="181">
        <v>0</v>
      </c>
      <c r="I374" s="52">
        <v>345</v>
      </c>
      <c r="J374" s="52">
        <v>1</v>
      </c>
      <c r="K374" t="e">
        <f t="shared" si="8"/>
        <v>#N/A</v>
      </c>
    </row>
    <row r="375" spans="1:11" hidden="1" x14ac:dyDescent="0.25">
      <c r="A375">
        <v>2</v>
      </c>
      <c r="B375" s="179">
        <v>45619</v>
      </c>
      <c r="C375" t="s">
        <v>3380</v>
      </c>
      <c r="D375" t="str">
        <f>VLOOKUP($C375,ТабКлиенты[[#All],[name]:[phone]],MATCH(D$1,ТабКлиенты[#Headers],0)-1,0)</f>
        <v>+79496057692</v>
      </c>
      <c r="E375" t="str">
        <f>VLOOKUP($C375,ТабАдрес[[#All],[Клиент]:[gps]],MATCH(E$1,ТабКлиенты[#Headers],0)-4,0)</f>
        <v>Ровная 43а подъезд 6</v>
      </c>
      <c r="F375" t="str">
        <f>VLOOKUP($C375,ТабАдрес[[#All],[Клиент]:[gps]],MATCH(F$1,ТабКлиенты[#Headers],0)-4,0)</f>
        <v>47.1500, 37.6147</v>
      </c>
      <c r="H375" s="181">
        <v>2300</v>
      </c>
      <c r="I375" s="52" t="s">
        <v>5</v>
      </c>
      <c r="J375" s="52">
        <v>1</v>
      </c>
      <c r="K375" t="str">
        <f t="shared" si="8"/>
        <v>2. Татьяна Тулина
Тел.: +79496057692
Адрес: Ровная 43а подъезд 6
№ заказа: Витамины
Кол-во мест: 1
https://yandex.ru/maps/?text=47.1500%2C37.6147
https://maps.google.com/?daddr=47.1500%2C37.6147
К оплате: **2300
**----------------------------------------------------------</v>
      </c>
    </row>
    <row r="376" spans="1:11" hidden="1" x14ac:dyDescent="0.25">
      <c r="A376">
        <v>3</v>
      </c>
      <c r="B376" s="179">
        <v>45619</v>
      </c>
      <c r="C376" t="s">
        <v>3252</v>
      </c>
      <c r="D376" t="str">
        <f>VLOOKUP($C376,ТабКлиенты[[#All],[name]:[phone]],MATCH(D$1,ТабКлиенты[#Headers],0)-1,0)</f>
        <v>+79497115237</v>
      </c>
      <c r="E376" t="str">
        <f>VLOOKUP($C376,ТабАдрес[[#All],[Клиент]:[gps]],MATCH(E$1,ТабКлиенты[#Headers],0)-4,0)</f>
        <v>пер Станционный 8</v>
      </c>
      <c r="F376" t="str">
        <f>VLOOKUP($C376,ТабАдрес[[#All],[Клиент]:[gps]],MATCH(F$1,ТабКлиенты[#Headers],0)-4,0)</f>
        <v>47.1640, 37.5780</v>
      </c>
      <c r="H376" s="181">
        <v>9000</v>
      </c>
      <c r="I376" s="52" t="s">
        <v>5</v>
      </c>
      <c r="J376" s="52">
        <v>1</v>
      </c>
      <c r="K376" t="str">
        <f t="shared" si="8"/>
        <v>3. Аня Мирный
Тел.: +79497115237
Адрес: пер Станционный 8
№ заказа: Витамины
Кол-во мест: 1
https://yandex.ru/maps/?text=47.1640%2C37.5780
https://maps.google.com/?daddr=47.1640%2C37.5780
К оплате: **9000
**----------------------------------------------------------</v>
      </c>
    </row>
    <row r="377" spans="1:11" hidden="1" x14ac:dyDescent="0.25">
      <c r="A377">
        <v>4</v>
      </c>
      <c r="B377" s="179">
        <v>45619</v>
      </c>
      <c r="C377" t="s">
        <v>3125</v>
      </c>
      <c r="D377" t="e">
        <f>VLOOKUP($C377,ТабКлиенты[[#All],[name]:[phone]],MATCH(D$1,ТабКлиенты[#Headers],0)-1,0)</f>
        <v>#N/A</v>
      </c>
      <c r="E377" t="e">
        <f>VLOOKUP($C377,ТабАдрес[[#All],[Клиент]:[gps]],MATCH(E$1,ТабКлиенты[#Headers],0)-4,0)</f>
        <v>#N/A</v>
      </c>
      <c r="F377" t="e">
        <f>VLOOKUP($C377,ТабАдрес[[#All],[Клиент]:[gps]],MATCH(F$1,ТабКлиенты[#Headers],0)-4,0)</f>
        <v>#N/A</v>
      </c>
      <c r="H377" s="181">
        <v>-536</v>
      </c>
      <c r="I377" s="52">
        <v>335</v>
      </c>
      <c r="J377" s="52">
        <v>1</v>
      </c>
      <c r="K377" t="e">
        <f t="shared" si="8"/>
        <v>#N/A</v>
      </c>
    </row>
    <row r="378" spans="1:11" hidden="1" x14ac:dyDescent="0.25">
      <c r="A378">
        <v>5</v>
      </c>
      <c r="B378" s="179">
        <v>45619</v>
      </c>
      <c r="C378" t="s">
        <v>3235</v>
      </c>
      <c r="D378" t="str">
        <f>VLOOKUP($C378,ТабКлиенты[[#All],[name]:[phone]],MATCH(D$1,ТабКлиенты[#Headers],0)-1,0)</f>
        <v>+79497386112</v>
      </c>
      <c r="E378" t="str">
        <f>VLOOKUP($C378,ТабАдрес[[#All],[Клиент]:[gps]],MATCH(E$1,ТабКлиенты[#Headers],0)-4,0)</f>
        <v>Шевченко 325</v>
      </c>
      <c r="F378" t="str">
        <f>VLOOKUP($C378,ТабАдрес[[#All],[Клиент]:[gps]],MATCH(F$1,ТабКлиенты[#Headers],0)-4,0)</f>
        <v>47.1193, 37.5172</v>
      </c>
      <c r="H378" s="181">
        <v>34900</v>
      </c>
      <c r="I378" s="52" t="s">
        <v>5</v>
      </c>
      <c r="J378" s="52">
        <v>1</v>
      </c>
      <c r="K378" t="str">
        <f t="shared" si="8"/>
        <v>5. Любовь Виталий
Тел.: +79497386112
Адрес: Шевченко 325
№ заказа: Витамины
Кол-во мест: 1
https://yandex.ru/maps/?text=47.1193%2C37.5172
https://maps.google.com/?daddr=47.1193%2C37.5172
К оплате: **34900
**----------------------------------------------------------</v>
      </c>
    </row>
    <row r="379" spans="1:11" hidden="1" x14ac:dyDescent="0.25">
      <c r="A379">
        <v>6</v>
      </c>
      <c r="B379" s="179">
        <v>45619</v>
      </c>
      <c r="C379" t="s">
        <v>3388</v>
      </c>
      <c r="D379" t="str">
        <f>VLOOKUP($C379,ТабКлиенты[[#All],[name]:[phone]],MATCH(D$1,ТабКлиенты[#Headers],0)-1,0)</f>
        <v>+79497309448</v>
      </c>
      <c r="E379" t="str">
        <f>VLOOKUP($C379,ТабАдрес[[#All],[Клиент]:[gps]],MATCH(E$1,ТабКлиенты[#Headers],0)-4,0)</f>
        <v>Урицкого 93а</v>
      </c>
      <c r="F379" t="str">
        <f>VLOOKUP($C379,ТабАдрес[[#All],[Клиент]:[gps]],MATCH(F$1,ТабКлиенты[#Headers],0)-4,0)</f>
        <v>47.1238, 37.5116</v>
      </c>
      <c r="H379" s="181">
        <v>2900</v>
      </c>
      <c r="I379" s="52" t="s">
        <v>5</v>
      </c>
      <c r="J379" s="52">
        <v>1</v>
      </c>
      <c r="K379" t="str">
        <f t="shared" si="8"/>
        <v>6. Виктория Урицкого 93а
Тел.: +79497309448
Адрес: Урицкого 93а
№ заказа: Витамины
Кол-во мест: 1
https://yandex.ru/maps/?text=47.1238%2C37.5116
https://maps.google.com/?daddr=47.1238%2C37.5116
К оплате: **2900
**----------------------------------------------------------</v>
      </c>
    </row>
    <row r="380" spans="1:11" hidden="1" x14ac:dyDescent="0.25">
      <c r="A380">
        <v>7</v>
      </c>
      <c r="B380" s="179">
        <v>45619</v>
      </c>
      <c r="C380" t="s">
        <v>3379</v>
      </c>
      <c r="D380" t="e">
        <f>VLOOKUP($C380,ТабКлиенты[[#All],[name]:[phone]],MATCH(D$1,ТабКлиенты[#Headers],0)-1,0)</f>
        <v>#N/A</v>
      </c>
      <c r="E380" t="e">
        <f>VLOOKUP($C380,ТабАдрес[[#All],[Клиент]:[gps]],MATCH(E$1,ТабКлиенты[#Headers],0)-4,0)</f>
        <v>#N/A</v>
      </c>
      <c r="F380" t="e">
        <f>VLOOKUP($C380,ТабАдрес[[#All],[Клиент]:[gps]],MATCH(F$1,ТабКлиенты[#Headers],0)-4,0)</f>
        <v>#N/A</v>
      </c>
      <c r="H380" s="181">
        <v>721</v>
      </c>
      <c r="I380" s="52">
        <v>354</v>
      </c>
      <c r="J380" s="52">
        <v>2</v>
      </c>
      <c r="K380" t="e">
        <f t="shared" si="8"/>
        <v>#N/A</v>
      </c>
    </row>
    <row r="381" spans="1:11" hidden="1" x14ac:dyDescent="0.25">
      <c r="A381">
        <v>8</v>
      </c>
      <c r="B381" s="179">
        <v>45619</v>
      </c>
      <c r="C381" t="s">
        <v>3334</v>
      </c>
      <c r="D381" t="e">
        <f>VLOOKUP($C381,ТабКлиенты[[#All],[name]:[phone]],MATCH(D$1,ТабКлиенты[#Headers],0)-1,0)</f>
        <v>#N/A</v>
      </c>
      <c r="E381" t="e">
        <f>VLOOKUP($C381,ТабАдрес[[#All],[Клиент]:[gps]],MATCH(E$1,ТабКлиенты[#Headers],0)-4,0)</f>
        <v>#N/A</v>
      </c>
      <c r="F381" t="e">
        <f>VLOOKUP($C381,ТабАдрес[[#All],[Клиент]:[gps]],MATCH(F$1,ТабКлиенты[#Headers],0)-4,0)</f>
        <v>#N/A</v>
      </c>
      <c r="H381" s="181">
        <v>0</v>
      </c>
      <c r="I381" s="52">
        <v>337</v>
      </c>
      <c r="J381" s="52">
        <v>1</v>
      </c>
      <c r="K381" t="e">
        <f t="shared" si="8"/>
        <v>#N/A</v>
      </c>
    </row>
    <row r="382" spans="1:11" hidden="1" x14ac:dyDescent="0.25">
      <c r="A382">
        <v>9</v>
      </c>
      <c r="B382" s="179">
        <v>45619</v>
      </c>
      <c r="C382" t="s">
        <v>3338</v>
      </c>
      <c r="D382" t="e">
        <f>VLOOKUP($C382,ТабКлиенты[[#All],[name]:[phone]],MATCH(D$1,ТабКлиенты[#Headers],0)-1,0)</f>
        <v>#N/A</v>
      </c>
      <c r="E382" t="e">
        <f>VLOOKUP($C382,ТабАдрес[[#All],[Клиент]:[gps]],MATCH(E$1,ТабКлиенты[#Headers],0)-4,0)</f>
        <v>#N/A</v>
      </c>
      <c r="F382" t="e">
        <f>VLOOKUP($C382,ТабАдрес[[#All],[Клиент]:[gps]],MATCH(F$1,ТабКлиенты[#Headers],0)-4,0)</f>
        <v>#N/A</v>
      </c>
      <c r="H382" s="181">
        <v>0</v>
      </c>
      <c r="I382" s="52">
        <v>348</v>
      </c>
      <c r="J382" s="52">
        <v>1</v>
      </c>
      <c r="K382" t="e">
        <f t="shared" si="8"/>
        <v>#N/A</v>
      </c>
    </row>
    <row r="383" spans="1:11" hidden="1" x14ac:dyDescent="0.25">
      <c r="A383">
        <v>10</v>
      </c>
      <c r="B383" s="179">
        <v>45619</v>
      </c>
      <c r="C383" t="s">
        <v>3226</v>
      </c>
      <c r="D383" t="str">
        <f>VLOOKUP($C383,ТабКлиенты[[#All],[name]:[phone]],MATCH(D$1,ТабКлиенты[#Headers],0)-1,0)</f>
        <v>+79497169864</v>
      </c>
      <c r="E383" t="str">
        <f>VLOOKUP($C383,ТабАдрес[[#All],[Клиент]:[gps]],MATCH(E$1,ТабКлиенты[#Headers],0)-4,0)</f>
        <v>Строителей, 102</v>
      </c>
      <c r="F383" t="str">
        <f>VLOOKUP($C383,ТабАдрес[[#All],[Клиент]:[gps]],MATCH(F$1,ТабКлиенты[#Headers],0)-4,0)</f>
        <v>47.100776, 37.522477</v>
      </c>
      <c r="H383" s="181">
        <v>13200</v>
      </c>
      <c r="I383" s="52" t="s">
        <v>5</v>
      </c>
      <c r="J383" s="52">
        <v>1</v>
      </c>
      <c r="K383" t="str">
        <f t="shared" si="8"/>
        <v>10. Надежда Витамины
Тел.: +79497169864
Адрес: Строителей, 102
№ заказа: Витамины
Кол-во мест: 1
https://yandex.ru/maps/?text=47.100776%2C37.522477
https://maps.google.com/?daddr=47.100776%2C37.522477
К оплате: **13200
**----------------------------------------------------------</v>
      </c>
    </row>
    <row r="384" spans="1:11" hidden="1" x14ac:dyDescent="0.25">
      <c r="A384">
        <v>11</v>
      </c>
      <c r="B384" s="179">
        <v>45619</v>
      </c>
      <c r="C384" t="s">
        <v>3290</v>
      </c>
      <c r="D384" t="str">
        <f>VLOOKUP($C384,ТабКлиенты[[#All],[name]:[phone]],MATCH(D$1,ТабКлиенты[#Headers],0)-1,0)</f>
        <v>+79497179245</v>
      </c>
      <c r="E384" t="str">
        <f>VLOOKUP($C384,ТабАдрес[[#All],[Клиент]:[gps]],MATCH(E$1,ТабКлиенты[#Headers],0)-4,0)</f>
        <v>Ткаченко Петренко 3</v>
      </c>
      <c r="F384" t="str">
        <f>VLOOKUP($C384,ТабАдрес[[#All],[Клиент]:[gps]],MATCH(F$1,ТабКлиенты[#Headers],0)-4,0)</f>
        <v>47.0853, 37.5071</v>
      </c>
      <c r="H384" s="181">
        <v>1300</v>
      </c>
      <c r="I384" s="52" t="s">
        <v>5</v>
      </c>
      <c r="J384" s="52">
        <v>1</v>
      </c>
      <c r="K384" t="str">
        <f t="shared" si="8"/>
        <v>11. Светлана Кулаки
Тел.: +79497179245
Адрес: Ткаченко Петренко 3
№ заказа: Витамины
Кол-во мест: 1
https://yandex.ru/maps/?text=47.0853%2C37.5071
https://maps.google.com/?daddr=47.0853%2C37.5071
К оплате: **1300
**----------------------------------------------------------</v>
      </c>
    </row>
    <row r="385" spans="1:11" hidden="1" x14ac:dyDescent="0.25">
      <c r="A385">
        <v>12</v>
      </c>
      <c r="B385" s="179">
        <v>45619</v>
      </c>
      <c r="C385" t="s">
        <v>3335</v>
      </c>
      <c r="D385" t="e">
        <f>VLOOKUP($C385,ТабКлиенты[[#All],[name]:[phone]],MATCH(D$1,ТабКлиенты[#Headers],0)-1,0)</f>
        <v>#N/A</v>
      </c>
      <c r="E385" t="e">
        <f>VLOOKUP($C385,ТабАдрес[[#All],[Клиент]:[gps]],MATCH(E$1,ТабКлиенты[#Headers],0)-4,0)</f>
        <v>#N/A</v>
      </c>
      <c r="F385" t="e">
        <f>VLOOKUP($C385,ТабАдрес[[#All],[Клиент]:[gps]],MATCH(F$1,ТабКлиенты[#Headers],0)-4,0)</f>
        <v>#N/A</v>
      </c>
      <c r="H385" s="181">
        <v>1383</v>
      </c>
      <c r="I385" s="52">
        <v>353</v>
      </c>
      <c r="J385" s="52">
        <v>1</v>
      </c>
      <c r="K385" t="e">
        <f t="shared" si="8"/>
        <v>#N/A</v>
      </c>
    </row>
    <row r="386" spans="1:11" hidden="1" x14ac:dyDescent="0.25">
      <c r="A386">
        <v>13</v>
      </c>
      <c r="B386" s="179">
        <v>45619</v>
      </c>
      <c r="C386" t="s">
        <v>3348</v>
      </c>
      <c r="D386" t="e">
        <f>VLOOKUP($C386,ТабКлиенты[[#All],[name]:[phone]],MATCH(D$1,ТабКлиенты[#Headers],0)-1,0)</f>
        <v>#N/A</v>
      </c>
      <c r="E386" t="e">
        <f>VLOOKUP($C386,ТабАдрес[[#All],[Клиент]:[gps]],MATCH(E$1,ТабКлиенты[#Headers],0)-4,0)</f>
        <v>#N/A</v>
      </c>
      <c r="F386" t="e">
        <f>VLOOKUP($C386,ТабАдрес[[#All],[Клиент]:[gps]],MATCH(F$1,ТабКлиенты[#Headers],0)-4,0)</f>
        <v>#N/A</v>
      </c>
      <c r="H386" s="181">
        <v>200</v>
      </c>
      <c r="I386" s="52">
        <v>352</v>
      </c>
      <c r="J386" s="52">
        <v>1</v>
      </c>
      <c r="K386" t="e">
        <f t="shared" si="8"/>
        <v>#N/A</v>
      </c>
    </row>
    <row r="387" spans="1:11" hidden="1" x14ac:dyDescent="0.25">
      <c r="A387">
        <v>14</v>
      </c>
      <c r="B387" s="179">
        <v>45619</v>
      </c>
      <c r="C387" t="s">
        <v>3384</v>
      </c>
      <c r="D387" t="str">
        <f>VLOOKUP($C387,ТабКлиенты[[#All],[name]:[phone]],MATCH(D$1,ТабКлиенты[#Headers],0)-1,0)</f>
        <v>+79497388231</v>
      </c>
      <c r="E387" t="str">
        <f>VLOOKUP($C387,ТабАдрес[[#All],[Клиент]:[gps]],MATCH(E$1,ТабКлиенты[#Headers],0)-4,0)</f>
        <v>Леваневского 58</v>
      </c>
      <c r="F387" t="str">
        <f>VLOOKUP($C387,ТабАдрес[[#All],[Клиент]:[gps]],MATCH(F$1,ТабКлиенты[#Headers],0)-4,0)</f>
        <v>47.1007, 37.5310</v>
      </c>
      <c r="H387" s="181">
        <v>7500</v>
      </c>
      <c r="I387" s="52" t="s">
        <v>5</v>
      </c>
      <c r="J387" s="52">
        <v>1</v>
      </c>
      <c r="K387" t="str">
        <f t="shared" si="8"/>
        <v>14. Валентина Сычева
Тел.: +79497388231
Адрес: Леваневского 58
№ заказа: Витамины
Кол-во мест: 1
https://yandex.ru/maps/?text=47.1007%2C37.5310
https://maps.google.com/?daddr=47.1007%2C37.5310
К оплате: **7500
**----------------------------------------------------------</v>
      </c>
    </row>
    <row r="388" spans="1:11" hidden="1" x14ac:dyDescent="0.25">
      <c r="A388">
        <v>1</v>
      </c>
      <c r="B388" s="179">
        <v>45626</v>
      </c>
      <c r="C388" t="s">
        <v>3245</v>
      </c>
      <c r="D388" t="str">
        <f>VLOOKUP($C388,ТабКлиенты[[#All],[name]:[phone]],MATCH(D$1,ТабКлиенты[#Headers],0)-1,0)</f>
        <v>+79497089129</v>
      </c>
      <c r="E388" t="str">
        <f>VLOOKUP($C388,ТабАдрес[[#All],[Клиент]:[gps]],MATCH(E$1,ТабКлиенты[#Headers],0)-4,0)</f>
        <v>Энгельса 28А</v>
      </c>
      <c r="F388" t="str">
        <f>VLOOKUP($C388,ТабАдрес[[#All],[Клиент]:[gps]],MATCH(F$1,ТабКлиенты[#Headers],0)-4,0)</f>
        <v>47.0964, 37.5459</v>
      </c>
      <c r="H388" s="181">
        <v>0</v>
      </c>
      <c r="I388" s="52">
        <v>347</v>
      </c>
      <c r="J388" s="52">
        <v>1</v>
      </c>
      <c r="K388" t="str">
        <f t="shared" si="8"/>
        <v>1. Лакарова Татьяна
Тел.: +79497089129
Адрес: Энгельса 28А
№ заказа: 347
Кол-во мест: 1
https://yandex.ru/maps/?text=47.0964%2C37.5459
https://maps.google.com/?daddr=47.0964%2C37.5459
К оплате: **0
**----------------------------------------------------------</v>
      </c>
    </row>
    <row r="389" spans="1:11" hidden="1" x14ac:dyDescent="0.25">
      <c r="A389">
        <v>2</v>
      </c>
      <c r="B389" s="179">
        <v>45626</v>
      </c>
      <c r="C389" t="s">
        <v>3378</v>
      </c>
      <c r="D389" t="e">
        <f>VLOOKUP($C389,ТабКлиенты[[#All],[name]:[phone]],MATCH(D$1,ТабКлиенты[#Headers],0)-1,0)</f>
        <v>#N/A</v>
      </c>
      <c r="E389" t="e">
        <f>VLOOKUP($C389,ТабАдрес[[#All],[Клиент]:[gps]],MATCH(E$1,ТабКлиенты[#Headers],0)-4,0)</f>
        <v>#N/A</v>
      </c>
      <c r="F389" t="e">
        <f>VLOOKUP($C389,ТабАдрес[[#All],[Клиент]:[gps]],MATCH(F$1,ТабКлиенты[#Headers],0)-4,0)</f>
        <v>#N/A</v>
      </c>
      <c r="H389" s="181">
        <v>-166</v>
      </c>
      <c r="I389" s="52">
        <v>350</v>
      </c>
      <c r="J389" s="52">
        <v>1</v>
      </c>
      <c r="K389" t="e">
        <f t="shared" si="8"/>
        <v>#N/A</v>
      </c>
    </row>
    <row r="390" spans="1:11" hidden="1" x14ac:dyDescent="0.25">
      <c r="A390">
        <v>3</v>
      </c>
      <c r="B390" s="179">
        <v>45626</v>
      </c>
      <c r="C390" t="s">
        <v>3392</v>
      </c>
      <c r="D390" t="e">
        <f>VLOOKUP($C390,ТабКлиенты[[#All],[name]:[phone]],MATCH(D$1,ТабКлиенты[#Headers],0)-1,0)</f>
        <v>#N/A</v>
      </c>
      <c r="E390" t="e">
        <f>VLOOKUP($C390,ТабАдрес[[#All],[Клиент]:[gps]],MATCH(E$1,ТабКлиенты[#Headers],0)-4,0)</f>
        <v>#N/A</v>
      </c>
      <c r="F390" t="e">
        <f>VLOOKUP($C390,ТабАдрес[[#All],[Клиент]:[gps]],MATCH(F$1,ТабКлиенты[#Headers],0)-4,0)</f>
        <v>#N/A</v>
      </c>
      <c r="H390" s="181">
        <v>0</v>
      </c>
      <c r="I390" s="52">
        <v>357</v>
      </c>
      <c r="J390" s="52">
        <v>1</v>
      </c>
      <c r="K390" t="e">
        <f t="shared" si="8"/>
        <v>#N/A</v>
      </c>
    </row>
    <row r="391" spans="1:11" hidden="1" x14ac:dyDescent="0.25">
      <c r="A391">
        <v>4</v>
      </c>
      <c r="B391" s="179">
        <v>45626</v>
      </c>
      <c r="C391" t="s">
        <v>3172</v>
      </c>
      <c r="D391" t="str">
        <f>VLOOKUP($C391,ТабКлиенты[[#All],[name]:[phone]],MATCH(D$1,ТабКлиенты[#Headers],0)-1,0)</f>
        <v>+79497277100</v>
      </c>
      <c r="E391" t="str">
        <f>VLOOKUP($C391,ТабАдрес[[#All],[Клиент]:[gps]],MATCH(E$1,ТабКлиенты[#Headers],0)-4,0)</f>
        <v>Артема 132</v>
      </c>
      <c r="F391" t="str">
        <f>VLOOKUP($C391,ТабАдрес[[#All],[Клиент]:[gps]],MATCH(F$1,ТабКлиенты[#Headers],0)-4,0)</f>
        <v>47.1085, 37.5599</v>
      </c>
      <c r="H391" s="181">
        <v>5600</v>
      </c>
      <c r="I391" s="52">
        <v>339</v>
      </c>
      <c r="J391" s="52">
        <v>1</v>
      </c>
      <c r="K391" t="str">
        <f t="shared" si="8"/>
        <v>4. Александр Радин
Тел.: +79497277100
Адрес: Артема 132
№ заказа: 339
Кол-во мест: 1
https://yandex.ru/maps/?text=47.1085%2C37.5599
https://maps.google.com/?daddr=47.1085%2C37.5599
К оплате: **5600
**----------------------------------------------------------</v>
      </c>
    </row>
    <row r="392" spans="1:11" hidden="1" x14ac:dyDescent="0.25">
      <c r="A392">
        <v>5</v>
      </c>
      <c r="B392" s="179">
        <v>45626</v>
      </c>
      <c r="C392" t="s">
        <v>3210</v>
      </c>
      <c r="D392" t="e">
        <f>VLOOKUP($C392,ТабКлиенты[[#All],[name]:[phone]],MATCH(D$1,ТабКлиенты[#Headers],0)-1,0)</f>
        <v>#N/A</v>
      </c>
      <c r="E392" t="e">
        <f>VLOOKUP($C392,ТабАдрес[[#All],[Клиент]:[gps]],MATCH(E$1,ТабКлиенты[#Headers],0)-4,0)</f>
        <v>#N/A</v>
      </c>
      <c r="F392" t="e">
        <f>VLOOKUP($C392,ТабАдрес[[#All],[Клиент]:[gps]],MATCH(F$1,ТабКлиенты[#Headers],0)-4,0)</f>
        <v>#N/A</v>
      </c>
      <c r="H392" s="181">
        <v>0</v>
      </c>
      <c r="I392" s="52">
        <v>355</v>
      </c>
      <c r="J392" s="52">
        <v>2</v>
      </c>
      <c r="K392" t="e">
        <f t="shared" si="8"/>
        <v>#N/A</v>
      </c>
    </row>
    <row r="393" spans="1:11" hidden="1" x14ac:dyDescent="0.25">
      <c r="A393">
        <v>6</v>
      </c>
      <c r="B393" s="179">
        <v>45626</v>
      </c>
      <c r="C393" t="s">
        <v>3260</v>
      </c>
      <c r="D393" t="e">
        <f>VLOOKUP($C393,ТабКлиенты[[#All],[name]:[phone]],MATCH(D$1,ТабКлиенты[#Headers],0)-1,0)</f>
        <v>#N/A</v>
      </c>
      <c r="E393" t="e">
        <f>VLOOKUP($C393,ТабАдрес[[#All],[Клиент]:[gps]],MATCH(E$1,ТабКлиенты[#Headers],0)-4,0)</f>
        <v>#N/A</v>
      </c>
      <c r="F393" t="e">
        <f>VLOOKUP($C393,ТабАдрес[[#All],[Клиент]:[gps]],MATCH(F$1,ТабКлиенты[#Headers],0)-4,0)</f>
        <v>#N/A</v>
      </c>
      <c r="H393" s="181">
        <v>0</v>
      </c>
      <c r="I393" s="52">
        <v>349</v>
      </c>
      <c r="J393" s="52">
        <v>2</v>
      </c>
      <c r="K393" t="e">
        <f t="shared" si="8"/>
        <v>#N/A</v>
      </c>
    </row>
    <row r="394" spans="1:11" hidden="1" x14ac:dyDescent="0.25">
      <c r="A394">
        <v>7</v>
      </c>
      <c r="B394" s="179">
        <v>45626</v>
      </c>
      <c r="C394" t="s">
        <v>3361</v>
      </c>
      <c r="D394" t="e">
        <f>VLOOKUP($C394,ТабКлиенты[[#All],[name]:[phone]],MATCH(D$1,ТабКлиенты[#Headers],0)-1,0)</f>
        <v>#N/A</v>
      </c>
      <c r="E394" t="e">
        <f>VLOOKUP($C394,ТабАдрес[[#All],[Клиент]:[gps]],MATCH(E$1,ТабКлиенты[#Headers],0)-4,0)</f>
        <v>#N/A</v>
      </c>
      <c r="F394" t="e">
        <f>VLOOKUP($C394,ТабАдрес[[#All],[Клиент]:[gps]],MATCH(F$1,ТабКлиенты[#Headers],0)-4,0)</f>
        <v>#N/A</v>
      </c>
      <c r="H394" s="181">
        <v>2300</v>
      </c>
      <c r="I394" s="52" t="s">
        <v>5</v>
      </c>
      <c r="J394" s="52">
        <v>1</v>
      </c>
      <c r="K394" t="e">
        <f t="shared" si="8"/>
        <v>#N/A</v>
      </c>
    </row>
    <row r="395" spans="1:11" hidden="1" x14ac:dyDescent="0.25">
      <c r="A395">
        <v>8</v>
      </c>
      <c r="B395" s="179">
        <v>45626</v>
      </c>
      <c r="C395" t="s">
        <v>3252</v>
      </c>
      <c r="D395" t="str">
        <f>VLOOKUP($C395,ТабКлиенты[[#All],[name]:[phone]],MATCH(D$1,ТабКлиенты[#Headers],0)-1,0)</f>
        <v>+79497115237</v>
      </c>
      <c r="E395" t="str">
        <f>VLOOKUP($C395,ТабАдрес[[#All],[Клиент]:[gps]],MATCH(E$1,ТабКлиенты[#Headers],0)-4,0)</f>
        <v>пер Станционный 8</v>
      </c>
      <c r="F395" t="str">
        <f>VLOOKUP($C395,ТабАдрес[[#All],[Клиент]:[gps]],MATCH(F$1,ТабКлиенты[#Headers],0)-4,0)</f>
        <v>47.1640, 37.5780</v>
      </c>
      <c r="H395" s="181">
        <v>4150</v>
      </c>
      <c r="I395" s="52" t="s">
        <v>5</v>
      </c>
      <c r="J395" s="52">
        <v>1</v>
      </c>
      <c r="K395" t="str">
        <f t="shared" si="8"/>
        <v>8. Аня Мирный
Тел.: +79497115237
Адрес: пер Станционный 8
№ заказа: Витамины
Кол-во мест: 1
https://yandex.ru/maps/?text=47.1640%2C37.5780
https://maps.google.com/?daddr=47.1640%2C37.5780
К оплате: **4150
**----------------------------------------------------------</v>
      </c>
    </row>
    <row r="396" spans="1:11" hidden="1" x14ac:dyDescent="0.25">
      <c r="A396">
        <v>9</v>
      </c>
      <c r="B396" s="179">
        <v>45626</v>
      </c>
      <c r="C396" t="s">
        <v>3359</v>
      </c>
      <c r="D396" t="e">
        <f>VLOOKUP($C396,ТабКлиенты[[#All],[name]:[phone]],MATCH(D$1,ТабКлиенты[#Headers],0)-1,0)</f>
        <v>#N/A</v>
      </c>
      <c r="E396" t="e">
        <f>VLOOKUP($C396,ТабАдрес[[#All],[Клиент]:[gps]],MATCH(E$1,ТабКлиенты[#Headers],0)-4,0)</f>
        <v>#N/A</v>
      </c>
      <c r="F396" t="e">
        <f>VLOOKUP($C396,ТабАдрес[[#All],[Клиент]:[gps]],MATCH(F$1,ТабКлиенты[#Headers],0)-4,0)</f>
        <v>#N/A</v>
      </c>
      <c r="H396" s="181"/>
      <c r="I396" s="52">
        <v>358</v>
      </c>
      <c r="J396" s="52">
        <v>1</v>
      </c>
      <c r="K396" t="e">
        <f t="shared" si="8"/>
        <v>#N/A</v>
      </c>
    </row>
    <row r="397" spans="1:11" hidden="1" x14ac:dyDescent="0.25">
      <c r="A397">
        <v>10</v>
      </c>
      <c r="B397" s="179">
        <v>45626</v>
      </c>
      <c r="C397" t="s">
        <v>3125</v>
      </c>
      <c r="D397" t="e">
        <f>VLOOKUP($C397,ТабКлиенты[[#All],[name]:[phone]],MATCH(D$1,ТабКлиенты[#Headers],0)-1,0)</f>
        <v>#N/A</v>
      </c>
      <c r="E397" t="e">
        <f>VLOOKUP($C397,ТабАдрес[[#All],[Клиент]:[gps]],MATCH(E$1,ТабКлиенты[#Headers],0)-4,0)</f>
        <v>#N/A</v>
      </c>
      <c r="F397" t="e">
        <f>VLOOKUP($C397,ТабАдрес[[#All],[Клиент]:[gps]],MATCH(F$1,ТабКлиенты[#Headers],0)-4,0)</f>
        <v>#N/A</v>
      </c>
      <c r="H397" s="181">
        <v>-536</v>
      </c>
      <c r="I397" s="52">
        <v>335</v>
      </c>
      <c r="J397" s="52">
        <v>1</v>
      </c>
      <c r="K397" t="e">
        <f t="shared" si="8"/>
        <v>#N/A</v>
      </c>
    </row>
    <row r="398" spans="1:11" hidden="1" x14ac:dyDescent="0.25">
      <c r="A398">
        <v>11</v>
      </c>
      <c r="B398" s="179">
        <v>45626</v>
      </c>
      <c r="C398" t="s">
        <v>3393</v>
      </c>
      <c r="D398" t="e">
        <f>VLOOKUP($C398,ТабКлиенты[[#All],[name]:[phone]],MATCH(D$1,ТабКлиенты[#Headers],0)-1,0)</f>
        <v>#N/A</v>
      </c>
      <c r="E398" t="e">
        <f>VLOOKUP($C398,ТабАдрес[[#All],[Клиент]:[gps]],MATCH(E$1,ТабКлиенты[#Headers],0)-4,0)</f>
        <v>#N/A</v>
      </c>
      <c r="F398" t="e">
        <f>VLOOKUP($C398,ТабАдрес[[#All],[Клиент]:[gps]],MATCH(F$1,ТабКлиенты[#Headers],0)-4,0)</f>
        <v>#N/A</v>
      </c>
      <c r="H398" s="181">
        <v>0</v>
      </c>
      <c r="I398" s="52">
        <v>363</v>
      </c>
      <c r="J398" s="52">
        <v>1</v>
      </c>
      <c r="K398" t="e">
        <f t="shared" si="8"/>
        <v>#N/A</v>
      </c>
    </row>
    <row r="399" spans="1:11" hidden="1" x14ac:dyDescent="0.25">
      <c r="A399">
        <v>12</v>
      </c>
      <c r="B399" s="179">
        <v>45626</v>
      </c>
      <c r="C399" t="s">
        <v>3377</v>
      </c>
      <c r="D399" t="e">
        <f>VLOOKUP($C399,ТабКлиенты[[#All],[name]:[phone]],MATCH(D$1,ТабКлиенты[#Headers],0)-1,0)</f>
        <v>#N/A</v>
      </c>
      <c r="E399" t="e">
        <f>VLOOKUP($C399,ТабАдрес[[#All],[Клиент]:[gps]],MATCH(E$1,ТабКлиенты[#Headers],0)-4,0)</f>
        <v>#N/A</v>
      </c>
      <c r="F399" t="e">
        <f>VLOOKUP($C399,ТабАдрес[[#All],[Клиент]:[gps]],MATCH(F$1,ТабКлиенты[#Headers],0)-4,0)</f>
        <v>#N/A</v>
      </c>
      <c r="H399" s="181">
        <v>637</v>
      </c>
      <c r="I399" s="52">
        <v>344</v>
      </c>
      <c r="J399" s="52">
        <v>1</v>
      </c>
      <c r="K399" t="e">
        <f t="shared" si="8"/>
        <v>#N/A</v>
      </c>
    </row>
    <row r="400" spans="1:11" hidden="1" x14ac:dyDescent="0.25">
      <c r="A400">
        <v>13</v>
      </c>
      <c r="B400" s="179">
        <v>45626</v>
      </c>
      <c r="C400" t="s">
        <v>3334</v>
      </c>
      <c r="D400" t="e">
        <f>VLOOKUP($C400,ТабКлиенты[[#All],[name]:[phone]],MATCH(D$1,ТабКлиенты[#Headers],0)-1,0)</f>
        <v>#N/A</v>
      </c>
      <c r="E400" t="e">
        <f>VLOOKUP($C400,ТабАдрес[[#All],[Клиент]:[gps]],MATCH(E$1,ТабКлиенты[#Headers],0)-4,0)</f>
        <v>#N/A</v>
      </c>
      <c r="F400" t="e">
        <f>VLOOKUP($C400,ТабАдрес[[#All],[Клиент]:[gps]],MATCH(F$1,ТабКлиенты[#Headers],0)-4,0)</f>
        <v>#N/A</v>
      </c>
      <c r="H400" s="181">
        <v>0</v>
      </c>
      <c r="I400" s="52">
        <v>356</v>
      </c>
      <c r="J400" s="52">
        <v>1</v>
      </c>
      <c r="K400" t="e">
        <f t="shared" si="8"/>
        <v>#N/A</v>
      </c>
    </row>
    <row r="401" spans="1:11" hidden="1" x14ac:dyDescent="0.25">
      <c r="A401">
        <v>14</v>
      </c>
      <c r="B401" s="179">
        <v>45626</v>
      </c>
      <c r="C401" t="s">
        <v>3231</v>
      </c>
      <c r="D401" t="str">
        <f>VLOOKUP($C401,ТабКлиенты[[#All],[name]:[phone]],MATCH(D$1,ТабКлиенты[#Headers],0)-1,0)</f>
        <v>+79497336840</v>
      </c>
      <c r="E401" t="str">
        <f>VLOOKUP($C401,ТабАдрес[[#All],[Клиент]:[gps]],MATCH(E$1,ТабКлиенты[#Headers],0)-4,0)</f>
        <v>Бригантина 152</v>
      </c>
      <c r="F401" t="str">
        <f>VLOOKUP($C401,ТабАдрес[[#All],[Клиент]:[gps]],MATCH(F$1,ТабКлиенты[#Headers],0)-4,0)</f>
        <v>47.0779, 37.4879</v>
      </c>
      <c r="H401" s="181">
        <v>8000</v>
      </c>
      <c r="I401" s="52" t="s">
        <v>5</v>
      </c>
      <c r="J401" s="52">
        <v>1</v>
      </c>
      <c r="K401" t="str">
        <f t="shared" si="8"/>
        <v>14. Татьяна Бригантина
Тел.: +79497336840
Адрес: Бригантина 152
№ заказа: Витамины
Кол-во мест: 1
https://yandex.ru/maps/?text=47.0779%2C37.4879
https://maps.google.com/?daddr=47.0779%2C37.4879
К оплате: **8000
**----------------------------------------------------------</v>
      </c>
    </row>
    <row r="402" spans="1:11" hidden="1" x14ac:dyDescent="0.25">
      <c r="A402">
        <v>15</v>
      </c>
      <c r="B402" s="179">
        <v>45626</v>
      </c>
      <c r="C402" t="s">
        <v>3394</v>
      </c>
      <c r="D402" t="str">
        <f>VLOOKUP($C402,ТабКлиенты[[#All],[name]:[phone]],MATCH(D$1,ТабКлиенты[#Headers],0)-1,0)</f>
        <v>+79495228017</v>
      </c>
      <c r="E402" t="str">
        <f>VLOOKUP($C402,ТабАдрес[[#All],[Клиент]:[gps]],MATCH(E$1,ТабКлиенты[#Headers],0)-4,0)</f>
        <v>Вахтангова 15а</v>
      </c>
      <c r="F402" t="str">
        <f>VLOOKUP($C402,ТабАдрес[[#All],[Клиент]:[gps]],MATCH(F$1,ТабКлиенты[#Headers],0)-4,0)</f>
        <v>47.0882, 37.5117</v>
      </c>
      <c r="H402" s="181">
        <v>4800</v>
      </c>
      <c r="I402" s="52" t="s">
        <v>5</v>
      </c>
      <c r="J402" s="52">
        <v>1</v>
      </c>
      <c r="K402" t="str">
        <f t="shared" si="8"/>
        <v>15. Татьяна Вахтангова
Тел.: +79495228017
Адрес: Вахтангова 15а
№ заказа: Витамины
Кол-во мест: 1
https://yandex.ru/maps/?text=47.0882%2C37.5117
https://maps.google.com/?daddr=47.0882%2C37.5117
К оплате: **4800
**----------------------------------------------------------</v>
      </c>
    </row>
    <row r="403" spans="1:11" hidden="1" x14ac:dyDescent="0.25">
      <c r="A403">
        <v>16</v>
      </c>
      <c r="B403" s="179">
        <v>45626</v>
      </c>
      <c r="C403" t="s">
        <v>3398</v>
      </c>
      <c r="D403" t="e">
        <f>VLOOKUP($C403,ТабКлиенты[[#All],[name]:[phone]],MATCH(D$1,ТабКлиенты[#Headers],0)-1,0)</f>
        <v>#N/A</v>
      </c>
      <c r="E403" t="e">
        <f>VLOOKUP($C403,ТабАдрес[[#All],[Клиент]:[gps]],MATCH(E$1,ТабКлиенты[#Headers],0)-4,0)</f>
        <v>#N/A</v>
      </c>
      <c r="F403" t="e">
        <f>VLOOKUP($C403,ТабАдрес[[#All],[Клиент]:[gps]],MATCH(F$1,ТабКлиенты[#Headers],0)-4,0)</f>
        <v>#N/A</v>
      </c>
      <c r="H403" s="181">
        <v>624</v>
      </c>
      <c r="I403" s="52">
        <v>364</v>
      </c>
      <c r="J403" s="52">
        <v>1</v>
      </c>
      <c r="K403" t="e">
        <f t="shared" si="8"/>
        <v>#N/A</v>
      </c>
    </row>
    <row r="404" spans="1:11" hidden="1" x14ac:dyDescent="0.25">
      <c r="A404">
        <v>17</v>
      </c>
      <c r="B404" s="179">
        <v>45626</v>
      </c>
      <c r="C404" t="s">
        <v>3146</v>
      </c>
      <c r="D404" t="e">
        <f>VLOOKUP($C404,ТабКлиенты[[#All],[name]:[phone]],MATCH(D$1,ТабКлиенты[#Headers],0)-1,0)</f>
        <v>#N/A</v>
      </c>
      <c r="E404" t="e">
        <f>VLOOKUP($C404,ТабАдрес[[#All],[Клиент]:[gps]],MATCH(E$1,ТабКлиенты[#Headers],0)-4,0)</f>
        <v>#N/A</v>
      </c>
      <c r="F404" t="e">
        <f>VLOOKUP($C404,ТабАдрес[[#All],[Клиент]:[gps]],MATCH(F$1,ТабКлиенты[#Headers],0)-4,0)</f>
        <v>#N/A</v>
      </c>
      <c r="H404" s="181">
        <v>600</v>
      </c>
      <c r="I404" s="52">
        <v>351</v>
      </c>
      <c r="J404" s="52">
        <v>1</v>
      </c>
      <c r="K404" t="e">
        <f t="shared" si="8"/>
        <v>#N/A</v>
      </c>
    </row>
    <row r="405" spans="1:11" hidden="1" x14ac:dyDescent="0.25">
      <c r="A405">
        <v>1</v>
      </c>
      <c r="B405" s="179">
        <v>45633</v>
      </c>
      <c r="C405" t="s">
        <v>3168</v>
      </c>
      <c r="D405" t="e">
        <f>VLOOKUP($C405,ТабКлиенты[[#All],[name]:[phone]],MATCH(D$1,ТабКлиенты[#Headers],0)-1,0)</f>
        <v>#N/A</v>
      </c>
      <c r="E405" t="e">
        <f>VLOOKUP($C405,ТабАдрес[[#All],[Клиент]:[gps]],MATCH(E$1,ТабКлиенты[#Headers],0)-4,0)</f>
        <v>#N/A</v>
      </c>
      <c r="F405" t="e">
        <f>VLOOKUP($C405,ТабАдрес[[#All],[Клиент]:[gps]],MATCH(F$1,ТабКлиенты[#Headers],0)-4,0)</f>
        <v>#N/A</v>
      </c>
      <c r="G405" s="183">
        <v>0.39583333333333331</v>
      </c>
      <c r="H405" s="181">
        <v>0</v>
      </c>
      <c r="I405" s="52">
        <v>360</v>
      </c>
      <c r="K405" t="e">
        <f t="shared" ref="K405:K468" si="9">A405&amp;". "&amp;TEXT(G405,"ЧЧ:ММ")&amp;" "&amp;C405&amp;CHAR(10)&amp;"Тел.: "&amp;D405&amp;CHAR(10)&amp;"Адрес: "&amp;E405&amp;CHAR(10)&amp;"№ заказа: "&amp;I405&amp;CHAR(10)&amp;"Кол-во мест: "&amp;J405&amp;CHAR(10)&amp;"https://yandex.ru/maps/?text="&amp;REPLACE(F405,SEARCH(",",F405),2,"%2C")&amp;CHAR(10)&amp;"https://maps.google.com/?daddr="&amp;REPLACE(F405,SEARCH(",",F405),2,"%2C")&amp;CHAR(10)&amp;"К оплате: "&amp;"**"&amp;H405&amp;CHAR(10)&amp;"**"&amp;"--------------------------------"</f>
        <v>#N/A</v>
      </c>
    </row>
    <row r="406" spans="1:11" hidden="1" x14ac:dyDescent="0.25">
      <c r="A406">
        <v>2</v>
      </c>
      <c r="B406" s="179">
        <v>45633</v>
      </c>
      <c r="C406" t="s">
        <v>3210</v>
      </c>
      <c r="D406" t="e">
        <f>VLOOKUP($C406,ТабКлиенты[[#All],[name]:[phone]],MATCH(D$1,ТабКлиенты[#Headers],0)-1,0)</f>
        <v>#N/A</v>
      </c>
      <c r="E406" t="e">
        <f>VLOOKUP($C406,ТабАдрес[[#All],[Клиент]:[gps]],MATCH(E$1,ТабКлиенты[#Headers],0)-4,0)</f>
        <v>#N/A</v>
      </c>
      <c r="F406" t="e">
        <f>VLOOKUP($C406,ТабАдрес[[#All],[Клиент]:[gps]],MATCH(F$1,ТабКлиенты[#Headers],0)-4,0)</f>
        <v>#N/A</v>
      </c>
      <c r="G406" s="183">
        <v>0.40277777777777779</v>
      </c>
      <c r="H406" s="181">
        <v>0</v>
      </c>
      <c r="I406" s="52">
        <v>355</v>
      </c>
      <c r="K406" t="e">
        <f t="shared" si="9"/>
        <v>#N/A</v>
      </c>
    </row>
    <row r="407" spans="1:11" hidden="1" x14ac:dyDescent="0.25">
      <c r="A407">
        <v>3</v>
      </c>
      <c r="B407" s="179">
        <v>45633</v>
      </c>
      <c r="C407" t="s">
        <v>3260</v>
      </c>
      <c r="D407" t="e">
        <f>VLOOKUP($C407,ТабКлиенты[[#All],[name]:[phone]],MATCH(D$1,ТабКлиенты[#Headers],0)-1,0)</f>
        <v>#N/A</v>
      </c>
      <c r="E407" t="e">
        <f>VLOOKUP($C407,ТабАдрес[[#All],[Клиент]:[gps]],MATCH(E$1,ТабКлиенты[#Headers],0)-4,0)</f>
        <v>#N/A</v>
      </c>
      <c r="F407" t="e">
        <f>VLOOKUP($C407,ТабАдрес[[#All],[Клиент]:[gps]],MATCH(F$1,ТабКлиенты[#Headers],0)-4,0)</f>
        <v>#N/A</v>
      </c>
      <c r="G407" s="183">
        <v>0.40972222222222221</v>
      </c>
      <c r="H407" s="181">
        <v>0</v>
      </c>
      <c r="I407" s="52">
        <v>366</v>
      </c>
      <c r="K407" t="e">
        <f t="shared" si="9"/>
        <v>#N/A</v>
      </c>
    </row>
    <row r="408" spans="1:11" hidden="1" x14ac:dyDescent="0.25">
      <c r="A408">
        <v>4</v>
      </c>
      <c r="B408" s="179">
        <v>45633</v>
      </c>
      <c r="C408" t="s">
        <v>3126</v>
      </c>
      <c r="D408" t="e">
        <f>VLOOKUP($C408,ТабКлиенты[[#All],[name]:[phone]],MATCH(D$1,ТабКлиенты[#Headers],0)-1,0)</f>
        <v>#N/A</v>
      </c>
      <c r="E408" t="e">
        <f>VLOOKUP($C408,ТабАдрес[[#All],[Клиент]:[gps]],MATCH(E$1,ТабКлиенты[#Headers],0)-4,0)</f>
        <v>#N/A</v>
      </c>
      <c r="F408" t="e">
        <f>VLOOKUP($C408,ТабАдрес[[#All],[Клиент]:[gps]],MATCH(F$1,ТабКлиенты[#Headers],0)-4,0)</f>
        <v>#N/A</v>
      </c>
      <c r="G408" s="183">
        <v>0.41666666666666669</v>
      </c>
      <c r="H408" s="181">
        <v>0</v>
      </c>
      <c r="I408" s="52">
        <v>336</v>
      </c>
      <c r="K408" t="e">
        <f t="shared" si="9"/>
        <v>#N/A</v>
      </c>
    </row>
    <row r="409" spans="1:11" hidden="1" x14ac:dyDescent="0.25">
      <c r="A409">
        <v>5</v>
      </c>
      <c r="B409" s="179">
        <v>45633</v>
      </c>
      <c r="C409" t="s">
        <v>3359</v>
      </c>
      <c r="D409" t="e">
        <f>VLOOKUP($C409,ТабКлиенты[[#All],[name]:[phone]],MATCH(D$1,ТабКлиенты[#Headers],0)-1,0)</f>
        <v>#N/A</v>
      </c>
      <c r="E409" t="e">
        <f>VLOOKUP($C409,ТабАдрес[[#All],[Клиент]:[gps]],MATCH(E$1,ТабКлиенты[#Headers],0)-4,0)</f>
        <v>#N/A</v>
      </c>
      <c r="F409" t="e">
        <f>VLOOKUP($C409,ТабАдрес[[#All],[Клиент]:[gps]],MATCH(F$1,ТабКлиенты[#Headers],0)-4,0)</f>
        <v>#N/A</v>
      </c>
      <c r="G409" s="183">
        <v>0.4236111111111111</v>
      </c>
      <c r="H409" s="181">
        <v>0</v>
      </c>
      <c r="I409" s="52">
        <v>367</v>
      </c>
      <c r="K409" t="e">
        <f t="shared" si="9"/>
        <v>#N/A</v>
      </c>
    </row>
    <row r="410" spans="1:11" hidden="1" x14ac:dyDescent="0.25">
      <c r="A410">
        <v>6</v>
      </c>
      <c r="B410" s="179">
        <v>45633</v>
      </c>
      <c r="C410" t="s">
        <v>3279</v>
      </c>
      <c r="D410" t="e">
        <f>VLOOKUP($C410,ТабКлиенты[[#All],[name]:[phone]],MATCH(D$1,ТабКлиенты[#Headers],0)-1,0)</f>
        <v>#N/A</v>
      </c>
      <c r="E410" t="e">
        <f>VLOOKUP($C410,ТабАдрес[[#All],[Клиент]:[gps]],MATCH(E$1,ТабКлиенты[#Headers],0)-4,0)</f>
        <v>#N/A</v>
      </c>
      <c r="F410" t="e">
        <f>VLOOKUP($C410,ТабАдрес[[#All],[Клиент]:[gps]],MATCH(F$1,ТабКлиенты[#Headers],0)-4,0)</f>
        <v>#N/A</v>
      </c>
      <c r="G410" s="183">
        <v>0.45833333333333331</v>
      </c>
      <c r="H410" s="181">
        <v>5459</v>
      </c>
      <c r="I410" s="52">
        <v>372</v>
      </c>
      <c r="K410" t="e">
        <f t="shared" si="9"/>
        <v>#N/A</v>
      </c>
    </row>
    <row r="411" spans="1:11" hidden="1" x14ac:dyDescent="0.25">
      <c r="A411">
        <v>7</v>
      </c>
      <c r="B411" s="179">
        <v>45633</v>
      </c>
      <c r="C411" t="s">
        <v>3198</v>
      </c>
      <c r="D411" t="str">
        <f>VLOOKUP($C411,ТабКлиенты[[#All],[name]:[phone]],MATCH(D$1,ТабКлиенты[#Headers],0)-1,0)</f>
        <v>+79497094719</v>
      </c>
      <c r="E411" t="str">
        <f>VLOOKUP($C411,ТабАдрес[[#All],[Клиент]:[gps]],MATCH(E$1,ТабКлиенты[#Headers],0)-4,0)</f>
        <v>60 лет СССР 2Б</v>
      </c>
      <c r="F411" t="str">
        <f>VLOOKUP($C411,ТабАдрес[[#All],[Клиент]:[gps]],MATCH(F$1,ТабКлиенты[#Headers],0)-4,0)</f>
        <v>47.1178, 37.5121</v>
      </c>
      <c r="G411" s="183">
        <v>0.4861111111111111</v>
      </c>
      <c r="H411" s="181">
        <v>1500</v>
      </c>
      <c r="I411" s="52" t="s">
        <v>5</v>
      </c>
      <c r="K411" t="str">
        <f t="shared" si="9"/>
        <v>7. 11:40 Наталья 60 лет СССР
Тел.: +79497094719
Адрес: 60 лет СССР 2Б
№ заказа: Витамины
Кол-во мест: 
https://yandex.ru/maps/?text=47.1178%2C37.5121
https://maps.google.com/?daddr=47.1178%2C37.5121
К оплате: **1500
**--------------------------------</v>
      </c>
    </row>
    <row r="412" spans="1:11" hidden="1" x14ac:dyDescent="0.25">
      <c r="A412">
        <v>8</v>
      </c>
      <c r="B412" s="179">
        <v>45633</v>
      </c>
      <c r="C412" t="s">
        <v>3377</v>
      </c>
      <c r="D412" t="e">
        <f>VLOOKUP($C412,ТабКлиенты[[#All],[name]:[phone]],MATCH(D$1,ТабКлиенты[#Headers],0)-1,0)</f>
        <v>#N/A</v>
      </c>
      <c r="E412" t="e">
        <f>VLOOKUP($C412,ТабАдрес[[#All],[Клиент]:[gps]],MATCH(E$1,ТабКлиенты[#Headers],0)-4,0)</f>
        <v>#N/A</v>
      </c>
      <c r="F412" t="e">
        <f>VLOOKUP($C412,ТабАдрес[[#All],[Клиент]:[gps]],MATCH(F$1,ТабКлиенты[#Headers],0)-4,0)</f>
        <v>#N/A</v>
      </c>
      <c r="G412" s="183">
        <v>0.5</v>
      </c>
      <c r="H412" s="181">
        <v>2257</v>
      </c>
      <c r="I412" s="52">
        <v>368</v>
      </c>
      <c r="K412" t="e">
        <f t="shared" si="9"/>
        <v>#N/A</v>
      </c>
    </row>
    <row r="413" spans="1:11" hidden="1" x14ac:dyDescent="0.25">
      <c r="A413">
        <v>9</v>
      </c>
      <c r="B413" s="179">
        <v>45633</v>
      </c>
      <c r="C413" t="s">
        <v>3334</v>
      </c>
      <c r="D413" t="e">
        <f>VLOOKUP($C413,ТабКлиенты[[#All],[name]:[phone]],MATCH(D$1,ТабКлиенты[#Headers],0)-1,0)</f>
        <v>#N/A</v>
      </c>
      <c r="E413" t="e">
        <f>VLOOKUP($C413,ТабАдрес[[#All],[Клиент]:[gps]],MATCH(E$1,ТабКлиенты[#Headers],0)-4,0)</f>
        <v>#N/A</v>
      </c>
      <c r="F413" t="e">
        <f>VLOOKUP($C413,ТабАдрес[[#All],[Клиент]:[gps]],MATCH(F$1,ТабКлиенты[#Headers],0)-4,0)</f>
        <v>#N/A</v>
      </c>
      <c r="G413" s="183">
        <v>0.50694444444444442</v>
      </c>
      <c r="H413" s="181">
        <v>0</v>
      </c>
      <c r="I413" s="52">
        <v>365</v>
      </c>
      <c r="K413" t="e">
        <f t="shared" si="9"/>
        <v>#N/A</v>
      </c>
    </row>
    <row r="414" spans="1:11" hidden="1" x14ac:dyDescent="0.25">
      <c r="A414">
        <v>10</v>
      </c>
      <c r="B414" s="179">
        <v>45633</v>
      </c>
      <c r="C414" t="s">
        <v>3263</v>
      </c>
      <c r="D414" t="e">
        <f>VLOOKUP($C414,ТабКлиенты[[#All],[name]:[phone]],MATCH(D$1,ТабКлиенты[#Headers],0)-1,0)</f>
        <v>#N/A</v>
      </c>
      <c r="E414" t="e">
        <f>VLOOKUP($C414,ТабАдрес[[#All],[Клиент]:[gps]],MATCH(E$1,ТабКлиенты[#Headers],0)-4,0)</f>
        <v>#N/A</v>
      </c>
      <c r="F414" t="e">
        <f>VLOOKUP($C414,ТабАдрес[[#All],[Клиент]:[gps]],MATCH(F$1,ТабКлиенты[#Headers],0)-4,0)</f>
        <v>#N/A</v>
      </c>
      <c r="G414" s="183">
        <v>0.52083333333333337</v>
      </c>
      <c r="H414" s="181">
        <v>413</v>
      </c>
      <c r="I414" s="52">
        <v>373</v>
      </c>
      <c r="K414" t="e">
        <f t="shared" si="9"/>
        <v>#N/A</v>
      </c>
    </row>
    <row r="415" spans="1:11" hidden="1" x14ac:dyDescent="0.25">
      <c r="A415">
        <v>11</v>
      </c>
      <c r="B415" s="179">
        <v>45633</v>
      </c>
      <c r="C415" t="s">
        <v>3398</v>
      </c>
      <c r="D415" t="e">
        <f>VLOOKUP($C415,ТабКлиенты[[#All],[name]:[phone]],MATCH(D$1,ТабКлиенты[#Headers],0)-1,0)</f>
        <v>#N/A</v>
      </c>
      <c r="E415" t="e">
        <f>VLOOKUP($C415,ТабАдрес[[#All],[Клиент]:[gps]],MATCH(E$1,ТабКлиенты[#Headers],0)-4,0)</f>
        <v>#N/A</v>
      </c>
      <c r="F415" t="e">
        <f>VLOOKUP($C415,ТабАдрес[[#All],[Клиент]:[gps]],MATCH(F$1,ТабКлиенты[#Headers],0)-4,0)</f>
        <v>#N/A</v>
      </c>
      <c r="G415" s="183">
        <v>0.53125</v>
      </c>
      <c r="H415" s="181">
        <v>463</v>
      </c>
      <c r="I415" s="52">
        <v>375</v>
      </c>
      <c r="K415" t="e">
        <f t="shared" si="9"/>
        <v>#N/A</v>
      </c>
    </row>
    <row r="416" spans="1:11" hidden="1" x14ac:dyDescent="0.25">
      <c r="A416">
        <v>12</v>
      </c>
      <c r="B416" s="179">
        <v>45633</v>
      </c>
      <c r="C416" t="s">
        <v>3167</v>
      </c>
      <c r="D416" t="e">
        <f>VLOOKUP($C416,ТабКлиенты[[#All],[name]:[phone]],MATCH(D$1,ТабКлиенты[#Headers],0)-1,0)</f>
        <v>#N/A</v>
      </c>
      <c r="E416" t="e">
        <f>VLOOKUP($C416,ТабАдрес[[#All],[Клиент]:[gps]],MATCH(E$1,ТабКлиенты[#Headers],0)-4,0)</f>
        <v>#N/A</v>
      </c>
      <c r="F416" t="e">
        <f>VLOOKUP($C416,ТабАдрес[[#All],[Клиент]:[gps]],MATCH(F$1,ТабКлиенты[#Headers],0)-4,0)</f>
        <v>#N/A</v>
      </c>
      <c r="G416" s="183">
        <v>0.54166666666666663</v>
      </c>
      <c r="H416" s="181">
        <v>0</v>
      </c>
      <c r="I416" s="52">
        <v>370</v>
      </c>
      <c r="K416" t="e">
        <f t="shared" si="9"/>
        <v>#N/A</v>
      </c>
    </row>
    <row r="417" spans="1:11" hidden="1" x14ac:dyDescent="0.25">
      <c r="A417">
        <v>1</v>
      </c>
      <c r="B417" s="179">
        <v>45640</v>
      </c>
      <c r="C417" t="s">
        <v>3210</v>
      </c>
      <c r="D417" t="e">
        <f>VLOOKUP($C417,ТабКлиенты[[#All],[name]:[phone]],MATCH(D$1,ТабКлиенты[#Headers],0)-1,0)</f>
        <v>#N/A</v>
      </c>
      <c r="E417" t="e">
        <f>VLOOKUP($C417,ТабАдрес[[#All],[Клиент]:[gps]],MATCH(E$1,ТабКлиенты[#Headers],0)-4,0)</f>
        <v>#N/A</v>
      </c>
      <c r="F417" t="e">
        <f>VLOOKUP($C417,ТабАдрес[[#All],[Клиент]:[gps]],MATCH(F$1,ТабКлиенты[#Headers],0)-4,0)</f>
        <v>#N/A</v>
      </c>
      <c r="G417" s="183">
        <v>0.40625</v>
      </c>
      <c r="H417" s="181">
        <v>0</v>
      </c>
      <c r="I417" s="52">
        <v>380</v>
      </c>
      <c r="J417" s="52">
        <v>3</v>
      </c>
      <c r="K417" t="e">
        <f t="shared" si="9"/>
        <v>#N/A</v>
      </c>
    </row>
    <row r="418" spans="1:11" hidden="1" x14ac:dyDescent="0.25">
      <c r="A418">
        <v>2</v>
      </c>
      <c r="B418" s="179">
        <v>45640</v>
      </c>
      <c r="C418" t="s">
        <v>3260</v>
      </c>
      <c r="D418" t="e">
        <f>VLOOKUP($C418,ТабКлиенты[[#All],[name]:[phone]],MATCH(D$1,ТабКлиенты[#Headers],0)-1,0)</f>
        <v>#N/A</v>
      </c>
      <c r="E418" t="e">
        <f>VLOOKUP($C418,ТабАдрес[[#All],[Клиент]:[gps]],MATCH(E$1,ТабКлиенты[#Headers],0)-4,0)</f>
        <v>#N/A</v>
      </c>
      <c r="F418" t="e">
        <f>VLOOKUP($C418,ТабАдрес[[#All],[Клиент]:[gps]],MATCH(F$1,ТабКлиенты[#Headers],0)-4,0)</f>
        <v>#N/A</v>
      </c>
      <c r="G418" s="183">
        <v>0.40972222222222221</v>
      </c>
      <c r="H418" s="181">
        <v>0</v>
      </c>
      <c r="I418" s="52">
        <v>366</v>
      </c>
      <c r="J418" s="52">
        <v>4</v>
      </c>
      <c r="K418" t="e">
        <f t="shared" si="9"/>
        <v>#N/A</v>
      </c>
    </row>
    <row r="419" spans="1:11" hidden="1" x14ac:dyDescent="0.25">
      <c r="A419">
        <v>3</v>
      </c>
      <c r="B419" s="179">
        <v>45640</v>
      </c>
      <c r="C419" t="s">
        <v>3359</v>
      </c>
      <c r="D419" t="e">
        <f>VLOOKUP($C419,ТабКлиенты[[#All],[name]:[phone]],MATCH(D$1,ТабКлиенты[#Headers],0)-1,0)</f>
        <v>#N/A</v>
      </c>
      <c r="E419" t="e">
        <f>VLOOKUP($C419,ТабАдрес[[#All],[Клиент]:[gps]],MATCH(E$1,ТабКлиенты[#Headers],0)-4,0)</f>
        <v>#N/A</v>
      </c>
      <c r="F419" t="e">
        <f>VLOOKUP($C419,ТабАдрес[[#All],[Клиент]:[gps]],MATCH(F$1,ТабКлиенты[#Headers],0)-4,0)</f>
        <v>#N/A</v>
      </c>
      <c r="G419" s="183">
        <v>0.41666666666666669</v>
      </c>
      <c r="H419" s="181">
        <v>0</v>
      </c>
      <c r="I419" s="52">
        <v>367</v>
      </c>
      <c r="J419" s="52">
        <v>1</v>
      </c>
      <c r="K419" t="e">
        <f t="shared" si="9"/>
        <v>#N/A</v>
      </c>
    </row>
    <row r="420" spans="1:11" hidden="1" x14ac:dyDescent="0.25">
      <c r="A420">
        <v>4</v>
      </c>
      <c r="B420" s="179">
        <v>45640</v>
      </c>
      <c r="C420" t="s">
        <v>3125</v>
      </c>
      <c r="D420" t="e">
        <f>VLOOKUP($C420,ТабКлиенты[[#All],[name]:[phone]],MATCH(D$1,ТабКлиенты[#Headers],0)-1,0)</f>
        <v>#N/A</v>
      </c>
      <c r="E420" t="e">
        <f>VLOOKUP($C420,ТабАдрес[[#All],[Клиент]:[gps]],MATCH(E$1,ТабКлиенты[#Headers],0)-4,0)</f>
        <v>#N/A</v>
      </c>
      <c r="F420" t="e">
        <f>VLOOKUP($C420,ТабАдрес[[#All],[Клиент]:[gps]],MATCH(F$1,ТабКлиенты[#Headers],0)-4,0)</f>
        <v>#N/A</v>
      </c>
      <c r="G420" s="183">
        <v>0.4236111111111111</v>
      </c>
      <c r="H420" s="181">
        <v>0</v>
      </c>
      <c r="I420" s="52">
        <v>382</v>
      </c>
      <c r="J420" s="52">
        <v>1</v>
      </c>
      <c r="K420" t="e">
        <f t="shared" si="9"/>
        <v>#N/A</v>
      </c>
    </row>
    <row r="421" spans="1:11" hidden="1" x14ac:dyDescent="0.25">
      <c r="A421">
        <v>5</v>
      </c>
      <c r="B421" s="179">
        <v>45640</v>
      </c>
      <c r="C421" t="s">
        <v>3404</v>
      </c>
      <c r="D421" t="str">
        <f>VLOOKUP($C421,ТабКлиенты[[#All],[name]:[phone]],MATCH(D$1,ТабКлиенты[#Headers],0)-1,0)</f>
        <v>+79497195898</v>
      </c>
      <c r="E421" t="str">
        <f>VLOOKUP($C421,ТабАдрес[[#All],[Клиент]:[gps]],MATCH(E$1,ТабКлиенты[#Headers],0)-4,0)</f>
        <v>Пугачева 23</v>
      </c>
      <c r="F421" t="str">
        <f>VLOOKUP($C421,ТабАдрес[[#All],[Клиент]:[gps]],MATCH(F$1,ТабКлиенты[#Headers],0)-4,0)</f>
        <v>47.1190, 37.5327</v>
      </c>
      <c r="G421" s="183">
        <v>0.43055555555555558</v>
      </c>
      <c r="H421" s="181">
        <v>2000</v>
      </c>
      <c r="I421" s="52" t="s">
        <v>5</v>
      </c>
      <c r="J421" s="52">
        <v>1</v>
      </c>
      <c r="K421" t="str">
        <f t="shared" si="9"/>
        <v>5. 10:20 Олеся Пугачева 23
Тел.: +79497195898
Адрес: Пугачева 23
№ заказа: Витамины
Кол-во мест: 1
https://yandex.ru/maps/?text=47.1190%2C37.5327
https://maps.google.com/?daddr=47.1190%2C37.5327
К оплате: **2000
**--------------------------------</v>
      </c>
    </row>
    <row r="422" spans="1:11" hidden="1" x14ac:dyDescent="0.25">
      <c r="A422">
        <v>6</v>
      </c>
      <c r="B422" s="179">
        <v>45640</v>
      </c>
      <c r="C422" t="s">
        <v>3130</v>
      </c>
      <c r="D422" t="e">
        <f>VLOOKUP($C422,ТабКлиенты[[#All],[name]:[phone]],MATCH(D$1,ТабКлиенты[#Headers],0)-1,0)</f>
        <v>#N/A</v>
      </c>
      <c r="E422" t="e">
        <f>VLOOKUP($C422,ТабАдрес[[#All],[Клиент]:[gps]],MATCH(E$1,ТабКлиенты[#Headers],0)-4,0)</f>
        <v>#N/A</v>
      </c>
      <c r="F422" t="e">
        <f>VLOOKUP($C422,ТабАдрес[[#All],[Клиент]:[gps]],MATCH(F$1,ТабКлиенты[#Headers],0)-4,0)</f>
        <v>#N/A</v>
      </c>
      <c r="G422" s="183">
        <v>0.4375</v>
      </c>
      <c r="H422" s="181">
        <v>0</v>
      </c>
      <c r="I422" s="52">
        <v>377</v>
      </c>
      <c r="J422" s="52">
        <v>1</v>
      </c>
      <c r="K422" t="e">
        <f t="shared" si="9"/>
        <v>#N/A</v>
      </c>
    </row>
    <row r="423" spans="1:11" hidden="1" x14ac:dyDescent="0.25">
      <c r="A423">
        <v>7</v>
      </c>
      <c r="B423" s="179">
        <v>45640</v>
      </c>
      <c r="C423" t="s">
        <v>3181</v>
      </c>
      <c r="D423" t="str">
        <f>VLOOKUP($C423,ТабКлиенты[[#All],[name]:[phone]],MATCH(D$1,ТабКлиенты[#Headers],0)-1,0)</f>
        <v>+79497106271</v>
      </c>
      <c r="E423" t="str">
        <f>VLOOKUP($C423,ТабАдрес[[#All],[Клиент]:[gps]],MATCH(E$1,ТабКлиенты[#Headers],0)-4,0)</f>
        <v>Урицкого 77</v>
      </c>
      <c r="F423" t="str">
        <f>VLOOKUP($C423,ТабАдрес[[#All],[Клиент]:[gps]],MATCH(F$1,ТабКлиенты[#Headers],0)-4,0)</f>
        <v>47.1228, 37.5167</v>
      </c>
      <c r="G423" s="183">
        <v>0.44791666666666669</v>
      </c>
      <c r="H423" s="181">
        <v>5200</v>
      </c>
      <c r="I423" s="52" t="s">
        <v>5</v>
      </c>
      <c r="J423" s="52">
        <v>1</v>
      </c>
      <c r="K423" t="str">
        <f t="shared" si="9"/>
        <v>7. 10:45 Наталья Школа 53
Тел.: +79497106271
Адрес: Урицкого 77
№ заказа: Витамины
Кол-во мест: 1
https://yandex.ru/maps/?text=47.1228%2C37.5167
https://maps.google.com/?daddr=47.1228%2C37.5167
К оплате: **5200
**--------------------------------</v>
      </c>
    </row>
    <row r="424" spans="1:11" hidden="1" x14ac:dyDescent="0.25">
      <c r="A424">
        <v>8</v>
      </c>
      <c r="B424" s="179">
        <v>45640</v>
      </c>
      <c r="C424" t="s">
        <v>3235</v>
      </c>
      <c r="D424" t="str">
        <f>VLOOKUP($C424,ТабКлиенты[[#All],[name]:[phone]],MATCH(D$1,ТабКлиенты[#Headers],0)-1,0)</f>
        <v>+79497386112</v>
      </c>
      <c r="E424" t="str">
        <f>VLOOKUP($C424,ТабАдрес[[#All],[Клиент]:[gps]],MATCH(E$1,ТабКлиенты[#Headers],0)-4,0)</f>
        <v>Шевченко 325</v>
      </c>
      <c r="F424" t="str">
        <f>VLOOKUP($C424,ТабАдрес[[#All],[Клиент]:[gps]],MATCH(F$1,ТабКлиенты[#Headers],0)-4,0)</f>
        <v>47.1193, 37.5172</v>
      </c>
      <c r="G424" s="183">
        <v>0.46527777777777779</v>
      </c>
      <c r="H424" s="181">
        <v>17700</v>
      </c>
      <c r="I424" s="52" t="s">
        <v>5</v>
      </c>
      <c r="J424" s="52">
        <v>1</v>
      </c>
      <c r="K424" t="str">
        <f t="shared" si="9"/>
        <v>8. 11:10 Любовь Виталий
Тел.: +79497386112
Адрес: Шевченко 325
№ заказа: Витамины
Кол-во мест: 1
https://yandex.ru/maps/?text=47.1193%2C37.5172
https://maps.google.com/?daddr=47.1193%2C37.5172
К оплате: **17700
**--------------------------------</v>
      </c>
    </row>
    <row r="425" spans="1:11" hidden="1" x14ac:dyDescent="0.25">
      <c r="A425">
        <v>9</v>
      </c>
      <c r="B425" s="179">
        <v>45640</v>
      </c>
      <c r="C425" t="s">
        <v>3355</v>
      </c>
      <c r="D425" t="str">
        <f>VLOOKUP($C425,ТабКлиенты[[#All],[name]:[phone]],MATCH(D$1,ТабКлиенты[#Headers],0)-1,0)</f>
        <v>+79496299684</v>
      </c>
      <c r="E425" t="str">
        <f>VLOOKUP($C425,ТабАдрес[[#All],[Клиент]:[gps]],MATCH(E$1,ТабКлиенты[#Headers],0)-4,0)</f>
        <v>Шевченко 313</v>
      </c>
      <c r="F425" t="str">
        <f>VLOOKUP($C425,ТабАдрес[[#All],[Клиент]:[gps]],MATCH(F$1,ТабКлиенты[#Headers],0)-4,0)</f>
        <v>47.1174, 37.5172</v>
      </c>
      <c r="G425" s="183">
        <v>0.47916666666666669</v>
      </c>
      <c r="H425" s="181">
        <v>1100</v>
      </c>
      <c r="I425" s="52" t="s">
        <v>5</v>
      </c>
      <c r="J425" s="52">
        <v>1</v>
      </c>
      <c r="K425" t="str">
        <f t="shared" si="9"/>
        <v>9. 11:30 Светлана Стамбул
Тел.: +79496299684
Адрес: Шевченко 313
№ заказа: Витамины
Кол-во мест: 1
https://yandex.ru/maps/?text=47.1174%2C37.5172
https://maps.google.com/?daddr=47.1174%2C37.5172
К оплате: **1100
**--------------------------------</v>
      </c>
    </row>
    <row r="426" spans="1:11" hidden="1" x14ac:dyDescent="0.25">
      <c r="A426">
        <v>10</v>
      </c>
      <c r="B426" s="179">
        <v>45640</v>
      </c>
      <c r="C426" t="s">
        <v>3334</v>
      </c>
      <c r="D426" t="e">
        <f>VLOOKUP($C426,ТабКлиенты[[#All],[name]:[phone]],MATCH(D$1,ТабКлиенты[#Headers],0)-1,0)</f>
        <v>#N/A</v>
      </c>
      <c r="E426" t="e">
        <f>VLOOKUP($C426,ТабАдрес[[#All],[Клиент]:[gps]],MATCH(E$1,ТабКлиенты[#Headers],0)-4,0)</f>
        <v>#N/A</v>
      </c>
      <c r="F426" t="e">
        <f>VLOOKUP($C426,ТабАдрес[[#All],[Клиент]:[gps]],MATCH(F$1,ТабКлиенты[#Headers],0)-4,0)</f>
        <v>#N/A</v>
      </c>
      <c r="G426" s="183">
        <v>0.50694444444444442</v>
      </c>
      <c r="H426" s="181">
        <v>0</v>
      </c>
      <c r="I426" s="52">
        <v>383</v>
      </c>
      <c r="J426" s="52">
        <v>1</v>
      </c>
      <c r="K426" t="e">
        <f t="shared" si="9"/>
        <v>#N/A</v>
      </c>
    </row>
    <row r="427" spans="1:11" hidden="1" x14ac:dyDescent="0.25">
      <c r="A427">
        <v>11</v>
      </c>
      <c r="B427" s="179">
        <v>45640</v>
      </c>
      <c r="C427" t="s">
        <v>3338</v>
      </c>
      <c r="D427" t="e">
        <f>VLOOKUP($C427,ТабКлиенты[[#All],[name]:[phone]],MATCH(D$1,ТабКлиенты[#Headers],0)-1,0)</f>
        <v>#N/A</v>
      </c>
      <c r="E427" t="e">
        <f>VLOOKUP($C427,ТабАдрес[[#All],[Клиент]:[gps]],MATCH(E$1,ТабКлиенты[#Headers],0)-4,0)</f>
        <v>#N/A</v>
      </c>
      <c r="F427" t="e">
        <f>VLOOKUP($C427,ТабАдрес[[#All],[Клиент]:[gps]],MATCH(F$1,ТабКлиенты[#Headers],0)-4,0)</f>
        <v>#N/A</v>
      </c>
      <c r="G427" s="183">
        <v>0.51388888888888884</v>
      </c>
      <c r="H427" s="181">
        <v>0</v>
      </c>
      <c r="I427" s="52">
        <v>384</v>
      </c>
      <c r="J427" s="52">
        <v>1</v>
      </c>
      <c r="K427" t="e">
        <f t="shared" si="9"/>
        <v>#N/A</v>
      </c>
    </row>
    <row r="428" spans="1:11" hidden="1" x14ac:dyDescent="0.25">
      <c r="A428">
        <v>12</v>
      </c>
      <c r="B428" s="179">
        <v>45640</v>
      </c>
      <c r="C428" t="s">
        <v>3400</v>
      </c>
      <c r="D428" t="e">
        <f>VLOOKUP($C428,ТабКлиенты[[#All],[name]:[phone]],MATCH(D$1,ТабКлиенты[#Headers],0)-1,0)</f>
        <v>#N/A</v>
      </c>
      <c r="E428" t="e">
        <f>VLOOKUP($C428,ТабАдрес[[#All],[Клиент]:[gps]],MATCH(E$1,ТабКлиенты[#Headers],0)-4,0)</f>
        <v>#N/A</v>
      </c>
      <c r="F428" t="e">
        <f>VLOOKUP($C428,ТабАдрес[[#All],[Клиент]:[gps]],MATCH(F$1,ТабКлиенты[#Headers],0)-4,0)</f>
        <v>#N/A</v>
      </c>
      <c r="G428" s="183">
        <v>0.52083333333333337</v>
      </c>
      <c r="H428" s="181">
        <v>2500</v>
      </c>
      <c r="I428" s="52" t="s">
        <v>5</v>
      </c>
      <c r="J428" s="52">
        <v>1</v>
      </c>
      <c r="K428" t="e">
        <f t="shared" si="9"/>
        <v>#N/A</v>
      </c>
    </row>
    <row r="429" spans="1:11" hidden="1" x14ac:dyDescent="0.25">
      <c r="A429">
        <v>13</v>
      </c>
      <c r="B429" s="179">
        <v>45640</v>
      </c>
      <c r="C429" t="s">
        <v>3263</v>
      </c>
      <c r="D429" t="e">
        <f>VLOOKUP($C429,ТабКлиенты[[#All],[name]:[phone]],MATCH(D$1,ТабКлиенты[#Headers],0)-1,0)</f>
        <v>#N/A</v>
      </c>
      <c r="E429" t="e">
        <f>VLOOKUP($C429,ТабАдрес[[#All],[Клиент]:[gps]],MATCH(E$1,ТабКлиенты[#Headers],0)-4,0)</f>
        <v>#N/A</v>
      </c>
      <c r="F429" t="e">
        <f>VLOOKUP($C429,ТабАдрес[[#All],[Клиент]:[gps]],MATCH(F$1,ТабКлиенты[#Headers],0)-4,0)</f>
        <v>#N/A</v>
      </c>
      <c r="G429" s="183">
        <v>0.52777777777777779</v>
      </c>
      <c r="H429" s="181">
        <v>113</v>
      </c>
      <c r="I429" s="52">
        <v>390</v>
      </c>
      <c r="J429" s="52">
        <v>1</v>
      </c>
      <c r="K429" t="e">
        <f t="shared" si="9"/>
        <v>#N/A</v>
      </c>
    </row>
    <row r="430" spans="1:11" hidden="1" x14ac:dyDescent="0.25">
      <c r="A430">
        <v>14</v>
      </c>
      <c r="B430" s="179">
        <v>45640</v>
      </c>
      <c r="C430" t="s">
        <v>3226</v>
      </c>
      <c r="D430" t="str">
        <f>VLOOKUP($C430,ТабКлиенты[[#All],[name]:[phone]],MATCH(D$1,ТабКлиенты[#Headers],0)-1,0)</f>
        <v>+79497169864</v>
      </c>
      <c r="E430" t="str">
        <f>VLOOKUP($C430,ТабАдрес[[#All],[Клиент]:[gps]],MATCH(E$1,ТабКлиенты[#Headers],0)-4,0)</f>
        <v>Строителей, 102</v>
      </c>
      <c r="F430" t="str">
        <f>VLOOKUP($C430,ТабАдрес[[#All],[Клиент]:[gps]],MATCH(F$1,ТабКлиенты[#Headers],0)-4,0)</f>
        <v>47.100776, 37.522477</v>
      </c>
      <c r="G430" s="183">
        <v>0.53819444444444442</v>
      </c>
      <c r="H430" s="181">
        <v>5700</v>
      </c>
      <c r="I430" s="52" t="s">
        <v>5</v>
      </c>
      <c r="J430" s="52">
        <v>1</v>
      </c>
      <c r="K430" t="str">
        <f t="shared" si="9"/>
        <v>14. 12:55 Надежда Витамины
Тел.: +79497169864
Адрес: Строителей, 102
№ заказа: Витамины
Кол-во мест: 1
https://yandex.ru/maps/?text=47.100776%2C37.522477
https://maps.google.com/?daddr=47.100776%2C37.522477
К оплате: **5700
**--------------------------------</v>
      </c>
    </row>
    <row r="431" spans="1:11" hidden="1" x14ac:dyDescent="0.25">
      <c r="A431">
        <v>15</v>
      </c>
      <c r="B431" s="179">
        <v>45640</v>
      </c>
      <c r="C431" t="s">
        <v>3290</v>
      </c>
      <c r="D431" t="str">
        <f>VLOOKUP($C431,ТабКлиенты[[#All],[name]:[phone]],MATCH(D$1,ТабКлиенты[#Headers],0)-1,0)</f>
        <v>+79497179245</v>
      </c>
      <c r="E431" t="str">
        <f>VLOOKUP($C431,ТабАдрес[[#All],[Клиент]:[gps]],MATCH(E$1,ТабКлиенты[#Headers],0)-4,0)</f>
        <v>Ткаченко Петренко 3</v>
      </c>
      <c r="F431" t="str">
        <f>VLOOKUP($C431,ТабАдрес[[#All],[Клиент]:[gps]],MATCH(F$1,ТабКлиенты[#Headers],0)-4,0)</f>
        <v>47.0853, 37.5071</v>
      </c>
      <c r="G431" s="183">
        <v>0.54861111111111116</v>
      </c>
      <c r="H431" s="181">
        <v>2200</v>
      </c>
      <c r="I431" s="52" t="s">
        <v>5</v>
      </c>
      <c r="J431" s="52">
        <v>1</v>
      </c>
      <c r="K431" t="str">
        <f t="shared" si="9"/>
        <v>15. 13:10 Светлана Кулаки
Тел.: +79497179245
Адрес: Ткаченко Петренко 3
№ заказа: Витамины
Кол-во мест: 1
https://yandex.ru/maps/?text=47.0853%2C37.5071
https://maps.google.com/?daddr=47.0853%2C37.5071
К оплате: **2200
**--------------------------------</v>
      </c>
    </row>
    <row r="432" spans="1:11" hidden="1" x14ac:dyDescent="0.25">
      <c r="A432">
        <v>16</v>
      </c>
      <c r="B432" s="179">
        <v>45640</v>
      </c>
      <c r="C432" t="s">
        <v>3335</v>
      </c>
      <c r="D432" t="e">
        <f>VLOOKUP($C432,ТабКлиенты[[#All],[name]:[phone]],MATCH(D$1,ТабКлиенты[#Headers],0)-1,0)</f>
        <v>#N/A</v>
      </c>
      <c r="E432" t="e">
        <f>VLOOKUP($C432,ТабАдрес[[#All],[Клиент]:[gps]],MATCH(E$1,ТабКлиенты[#Headers],0)-4,0)</f>
        <v>#N/A</v>
      </c>
      <c r="F432" t="e">
        <f>VLOOKUP($C432,ТабАдрес[[#All],[Клиент]:[gps]],MATCH(F$1,ТабКлиенты[#Headers],0)-4,0)</f>
        <v>#N/A</v>
      </c>
      <c r="G432" s="183">
        <v>0.55555555555555558</v>
      </c>
      <c r="H432" s="181">
        <v>1005</v>
      </c>
      <c r="I432" s="52">
        <v>389</v>
      </c>
      <c r="J432" s="52">
        <v>1</v>
      </c>
      <c r="K432" t="e">
        <f t="shared" si="9"/>
        <v>#N/A</v>
      </c>
    </row>
    <row r="433" spans="1:11" hidden="1" x14ac:dyDescent="0.25">
      <c r="A433">
        <v>17</v>
      </c>
      <c r="B433" s="179">
        <v>45640</v>
      </c>
      <c r="C433" t="s">
        <v>3399</v>
      </c>
      <c r="D433" t="e">
        <f>VLOOKUP($C433,ТабКлиенты[[#All],[name]:[phone]],MATCH(D$1,ТабКлиенты[#Headers],0)-1,0)</f>
        <v>#N/A</v>
      </c>
      <c r="E433" t="e">
        <f>VLOOKUP($C433,ТабАдрес[[#All],[Клиент]:[gps]],MATCH(E$1,ТабКлиенты[#Headers],0)-4,0)</f>
        <v>#N/A</v>
      </c>
      <c r="F433" t="e">
        <f>VLOOKUP($C433,ТабАдрес[[#All],[Клиент]:[gps]],MATCH(F$1,ТабКлиенты[#Headers],0)-4,0)</f>
        <v>#N/A</v>
      </c>
      <c r="G433" s="183">
        <v>0.56944444444444442</v>
      </c>
      <c r="H433" s="181">
        <v>0</v>
      </c>
      <c r="I433" s="52">
        <v>378</v>
      </c>
      <c r="J433" s="52">
        <v>1</v>
      </c>
      <c r="K433" t="e">
        <f t="shared" si="9"/>
        <v>#N/A</v>
      </c>
    </row>
    <row r="434" spans="1:11" hidden="1" x14ac:dyDescent="0.25">
      <c r="A434">
        <v>18</v>
      </c>
      <c r="B434" s="179">
        <v>45640</v>
      </c>
      <c r="C434" t="s">
        <v>3348</v>
      </c>
      <c r="D434" t="e">
        <f>VLOOKUP($C434,ТабКлиенты[[#All],[name]:[phone]],MATCH(D$1,ТабКлиенты[#Headers],0)-1,0)</f>
        <v>#N/A</v>
      </c>
      <c r="E434" t="e">
        <f>VLOOKUP($C434,ТабАдрес[[#All],[Клиент]:[gps]],MATCH(E$1,ТабКлиенты[#Headers],0)-4,0)</f>
        <v>#N/A</v>
      </c>
      <c r="F434" t="e">
        <f>VLOOKUP($C434,ТабАдрес[[#All],[Клиент]:[gps]],MATCH(F$1,ТабКлиенты[#Headers],0)-4,0)</f>
        <v>#N/A</v>
      </c>
      <c r="G434" s="183">
        <v>0.57986111111111116</v>
      </c>
      <c r="H434" s="181">
        <v>200</v>
      </c>
      <c r="I434" s="52">
        <v>391</v>
      </c>
      <c r="J434" s="52">
        <v>1</v>
      </c>
      <c r="K434" t="e">
        <f t="shared" si="9"/>
        <v>#N/A</v>
      </c>
    </row>
    <row r="435" spans="1:11" hidden="1" x14ac:dyDescent="0.25">
      <c r="A435">
        <v>19</v>
      </c>
      <c r="B435" s="179">
        <v>45640</v>
      </c>
      <c r="C435" t="s">
        <v>3167</v>
      </c>
      <c r="D435" t="e">
        <f>VLOOKUP($C435,ТабКлиенты[[#All],[name]:[phone]],MATCH(D$1,ТабКлиенты[#Headers],0)-1,0)</f>
        <v>#N/A</v>
      </c>
      <c r="E435" t="e">
        <f>VLOOKUP($C435,ТабАдрес[[#All],[Клиент]:[gps]],MATCH(E$1,ТабКлиенты[#Headers],0)-4,0)</f>
        <v>#N/A</v>
      </c>
      <c r="F435" t="e">
        <f>VLOOKUP($C435,ТабАдрес[[#All],[Клиент]:[gps]],MATCH(F$1,ТабКлиенты[#Headers],0)-4,0)</f>
        <v>#N/A</v>
      </c>
      <c r="G435" s="183">
        <v>0.59375</v>
      </c>
      <c r="H435" s="181">
        <v>0</v>
      </c>
      <c r="I435" s="52">
        <v>370</v>
      </c>
      <c r="J435" s="52">
        <v>1</v>
      </c>
      <c r="K435" t="e">
        <f t="shared" si="9"/>
        <v>#N/A</v>
      </c>
    </row>
    <row r="436" spans="1:11" hidden="1" x14ac:dyDescent="0.25">
      <c r="A436">
        <v>20</v>
      </c>
      <c r="B436" s="179">
        <v>45640</v>
      </c>
      <c r="C436" t="s">
        <v>3168</v>
      </c>
      <c r="D436" t="e">
        <f>VLOOKUP($C436,ТабКлиенты[[#All],[name]:[phone]],MATCH(D$1,ТабКлиенты[#Headers],0)-1,0)</f>
        <v>#N/A</v>
      </c>
      <c r="E436" t="e">
        <f>VLOOKUP($C436,ТабАдрес[[#All],[Клиент]:[gps]],MATCH(E$1,ТабКлиенты[#Headers],0)-4,0)</f>
        <v>#N/A</v>
      </c>
      <c r="F436" t="e">
        <f>VLOOKUP($C436,ТабАдрес[[#All],[Клиент]:[gps]],MATCH(F$1,ТабКлиенты[#Headers],0)-4,0)</f>
        <v>#N/A</v>
      </c>
      <c r="G436" s="183">
        <v>0.60416666666666663</v>
      </c>
      <c r="H436" s="181">
        <v>0</v>
      </c>
      <c r="I436" s="52">
        <v>385</v>
      </c>
      <c r="J436" s="52">
        <v>1</v>
      </c>
      <c r="K436" t="e">
        <f t="shared" si="9"/>
        <v>#N/A</v>
      </c>
    </row>
    <row r="437" spans="1:11" hidden="1" x14ac:dyDescent="0.25">
      <c r="A437">
        <v>1</v>
      </c>
      <c r="B437" s="179">
        <v>45647</v>
      </c>
      <c r="C437" t="s">
        <v>3168</v>
      </c>
      <c r="D437" t="e">
        <f>VLOOKUP($C437,ТабКлиенты[[#All],[name]:[phone]],MATCH(D$1,ТабКлиенты[#Headers],0)-1,0)</f>
        <v>#N/A</v>
      </c>
      <c r="E437" t="e">
        <f>VLOOKUP($C437,ТабАдрес[[#All],[Клиент]:[gps]],MATCH(E$1,ТабКлиенты[#Headers],0)-4,0)</f>
        <v>#N/A</v>
      </c>
      <c r="F437" t="e">
        <f>VLOOKUP($C437,ТабАдрес[[#All],[Клиент]:[gps]],MATCH(F$1,ТабКлиенты[#Headers],0)-4,0)</f>
        <v>#N/A</v>
      </c>
      <c r="G437" s="183">
        <v>0.39583333333333331</v>
      </c>
      <c r="H437" s="181">
        <v>0</v>
      </c>
      <c r="I437" s="52">
        <v>385</v>
      </c>
      <c r="J437" s="52">
        <v>1</v>
      </c>
      <c r="K437" t="e">
        <f t="shared" si="9"/>
        <v>#N/A</v>
      </c>
    </row>
    <row r="438" spans="1:11" hidden="1" x14ac:dyDescent="0.25">
      <c r="A438">
        <v>2</v>
      </c>
      <c r="B438" s="179">
        <v>45647</v>
      </c>
      <c r="C438" t="s">
        <v>3210</v>
      </c>
      <c r="D438" t="e">
        <f>VLOOKUP($C438,ТабКлиенты[[#All],[name]:[phone]],MATCH(D$1,ТабКлиенты[#Headers],0)-1,0)</f>
        <v>#N/A</v>
      </c>
      <c r="E438" t="e">
        <f>VLOOKUP($C438,ТабАдрес[[#All],[Клиент]:[gps]],MATCH(E$1,ТабКлиенты[#Headers],0)-4,0)</f>
        <v>#N/A</v>
      </c>
      <c r="F438" t="e">
        <f>VLOOKUP($C438,ТабАдрес[[#All],[Клиент]:[gps]],MATCH(F$1,ТабКлиенты[#Headers],0)-4,0)</f>
        <v>#N/A</v>
      </c>
      <c r="G438" s="183">
        <v>0.40625</v>
      </c>
      <c r="H438" s="181">
        <v>0</v>
      </c>
      <c r="I438" s="52">
        <v>380</v>
      </c>
      <c r="J438" s="52">
        <v>1</v>
      </c>
      <c r="K438" t="e">
        <f t="shared" si="9"/>
        <v>#N/A</v>
      </c>
    </row>
    <row r="439" spans="1:11" hidden="1" x14ac:dyDescent="0.25">
      <c r="A439">
        <v>3</v>
      </c>
      <c r="B439" s="179">
        <v>45647</v>
      </c>
      <c r="C439" t="s">
        <v>3260</v>
      </c>
      <c r="D439" t="e">
        <f>VLOOKUP($C439,ТабКлиенты[[#All],[name]:[phone]],MATCH(D$1,ТабКлиенты[#Headers],0)-1,0)</f>
        <v>#N/A</v>
      </c>
      <c r="E439" t="e">
        <f>VLOOKUP($C439,ТабАдрес[[#All],[Клиент]:[gps]],MATCH(E$1,ТабКлиенты[#Headers],0)-4,0)</f>
        <v>#N/A</v>
      </c>
      <c r="F439" t="e">
        <f>VLOOKUP($C439,ТабАдрес[[#All],[Клиент]:[gps]],MATCH(F$1,ТабКлиенты[#Headers],0)-4,0)</f>
        <v>#N/A</v>
      </c>
      <c r="G439" s="183">
        <v>0.41319444444444442</v>
      </c>
      <c r="H439" s="181">
        <v>0</v>
      </c>
      <c r="I439" s="52">
        <v>392</v>
      </c>
      <c r="J439" s="52">
        <v>1</v>
      </c>
      <c r="K439" t="e">
        <f t="shared" si="9"/>
        <v>#N/A</v>
      </c>
    </row>
    <row r="440" spans="1:11" hidden="1" x14ac:dyDescent="0.25">
      <c r="A440">
        <v>4</v>
      </c>
      <c r="B440" s="179">
        <v>45647</v>
      </c>
      <c r="C440" t="s">
        <v>3359</v>
      </c>
      <c r="D440" t="e">
        <f>VLOOKUP($C440,ТабКлиенты[[#All],[name]:[phone]],MATCH(D$1,ТабКлиенты[#Headers],0)-1,0)</f>
        <v>#N/A</v>
      </c>
      <c r="E440" t="e">
        <f>VLOOKUP($C440,ТабАдрес[[#All],[Клиент]:[gps]],MATCH(E$1,ТабКлиенты[#Headers],0)-4,0)</f>
        <v>#N/A</v>
      </c>
      <c r="F440" t="e">
        <f>VLOOKUP($C440,ТабАдрес[[#All],[Клиент]:[gps]],MATCH(F$1,ТабКлиенты[#Headers],0)-4,0)</f>
        <v>#N/A</v>
      </c>
      <c r="G440" s="183">
        <v>0.41666666666666669</v>
      </c>
      <c r="H440" s="181">
        <v>0</v>
      </c>
      <c r="I440" s="52">
        <v>396</v>
      </c>
      <c r="J440" s="52">
        <v>1</v>
      </c>
      <c r="K440" t="e">
        <f t="shared" si="9"/>
        <v>#N/A</v>
      </c>
    </row>
    <row r="441" spans="1:11" hidden="1" x14ac:dyDescent="0.25">
      <c r="A441">
        <v>5</v>
      </c>
      <c r="B441" s="179">
        <v>45647</v>
      </c>
      <c r="C441" t="s">
        <v>3125</v>
      </c>
      <c r="D441" t="e">
        <f>VLOOKUP($C441,ТабКлиенты[[#All],[name]:[phone]],MATCH(D$1,ТабКлиенты[#Headers],0)-1,0)</f>
        <v>#N/A</v>
      </c>
      <c r="E441" t="e">
        <f>VLOOKUP($C441,ТабАдрес[[#All],[Клиент]:[gps]],MATCH(E$1,ТабКлиенты[#Headers],0)-4,0)</f>
        <v>#N/A</v>
      </c>
      <c r="F441" t="e">
        <f>VLOOKUP($C441,ТабАдрес[[#All],[Клиент]:[gps]],MATCH(F$1,ТабКлиенты[#Headers],0)-4,0)</f>
        <v>#N/A</v>
      </c>
      <c r="G441" s="183">
        <v>0.4236111111111111</v>
      </c>
      <c r="H441" s="181">
        <v>260</v>
      </c>
      <c r="I441" s="52">
        <v>382</v>
      </c>
      <c r="J441" s="52">
        <v>1</v>
      </c>
      <c r="K441" t="e">
        <f t="shared" si="9"/>
        <v>#N/A</v>
      </c>
    </row>
    <row r="442" spans="1:11" hidden="1" x14ac:dyDescent="0.25">
      <c r="A442">
        <v>6</v>
      </c>
      <c r="B442" s="179">
        <v>45647</v>
      </c>
      <c r="C442" t="s">
        <v>3128</v>
      </c>
      <c r="D442" t="e">
        <f>VLOOKUP($C442,ТабКлиенты[[#All],[name]:[phone]],MATCH(D$1,ТабКлиенты[#Headers],0)-1,0)</f>
        <v>#N/A</v>
      </c>
      <c r="E442" t="e">
        <f>VLOOKUP($C442,ТабАдрес[[#All],[Клиент]:[gps]],MATCH(E$1,ТабКлиенты[#Headers],0)-4,0)</f>
        <v>#N/A</v>
      </c>
      <c r="F442" t="e">
        <f>VLOOKUP($C442,ТабАдрес[[#All],[Клиент]:[gps]],MATCH(F$1,ТабКлиенты[#Headers],0)-4,0)</f>
        <v>#N/A</v>
      </c>
      <c r="G442" s="183">
        <v>0.43055555555555558</v>
      </c>
      <c r="H442" s="181">
        <v>0</v>
      </c>
      <c r="I442" s="52">
        <v>393</v>
      </c>
      <c r="J442" s="52">
        <v>2</v>
      </c>
      <c r="K442" t="e">
        <f t="shared" si="9"/>
        <v>#N/A</v>
      </c>
    </row>
    <row r="443" spans="1:11" hidden="1" x14ac:dyDescent="0.25">
      <c r="A443">
        <v>7</v>
      </c>
      <c r="B443" s="179">
        <v>45647</v>
      </c>
      <c r="C443" t="s">
        <v>3181</v>
      </c>
      <c r="D443" t="str">
        <f>VLOOKUP($C443,ТабКлиенты[[#All],[name]:[phone]],MATCH(D$1,ТабКлиенты[#Headers],0)-1,0)</f>
        <v>+79497106271</v>
      </c>
      <c r="E443" t="str">
        <f>VLOOKUP($C443,ТабАдрес[[#All],[Клиент]:[gps]],MATCH(E$1,ТабКлиенты[#Headers],0)-4,0)</f>
        <v>Урицкого 77</v>
      </c>
      <c r="F443" t="str">
        <f>VLOOKUP($C443,ТабАдрес[[#All],[Клиент]:[gps]],MATCH(F$1,ТабКлиенты[#Headers],0)-4,0)</f>
        <v>47.1228, 37.5167</v>
      </c>
      <c r="G443" s="183">
        <v>0.4375</v>
      </c>
      <c r="H443" s="181">
        <v>0</v>
      </c>
      <c r="I443" s="52" t="s">
        <v>5</v>
      </c>
      <c r="J443" s="52">
        <v>1</v>
      </c>
      <c r="K443" t="str">
        <f t="shared" si="9"/>
        <v>7. 10:30 Наталья Школа 53
Тел.: +79497106271
Адрес: Урицкого 77
№ заказа: Витамины
Кол-во мест: 1
https://yandex.ru/maps/?text=47.1228%2C37.5167
https://maps.google.com/?daddr=47.1228%2C37.5167
К оплате: **0
**--------------------------------</v>
      </c>
    </row>
    <row r="444" spans="1:11" hidden="1" x14ac:dyDescent="0.25">
      <c r="A444">
        <v>8</v>
      </c>
      <c r="B444" s="179">
        <v>45647</v>
      </c>
      <c r="C444" t="s">
        <v>3334</v>
      </c>
      <c r="D444" t="e">
        <f>VLOOKUP($C444,ТабКлиенты[[#All],[name]:[phone]],MATCH(D$1,ТабКлиенты[#Headers],0)-1,0)</f>
        <v>#N/A</v>
      </c>
      <c r="E444" t="e">
        <f>VLOOKUP($C444,ТабАдрес[[#All],[Клиент]:[gps]],MATCH(E$1,ТабКлиенты[#Headers],0)-4,0)</f>
        <v>#N/A</v>
      </c>
      <c r="F444" t="e">
        <f>VLOOKUP($C444,ТабАдрес[[#All],[Клиент]:[gps]],MATCH(F$1,ТабКлиенты[#Headers],0)-4,0)</f>
        <v>#N/A</v>
      </c>
      <c r="G444" s="183">
        <v>0.4513888888888889</v>
      </c>
      <c r="H444" s="181">
        <v>0</v>
      </c>
      <c r="I444" s="52">
        <v>397</v>
      </c>
      <c r="J444" s="52">
        <v>1</v>
      </c>
      <c r="K444" t="e">
        <f t="shared" si="9"/>
        <v>#N/A</v>
      </c>
    </row>
    <row r="445" spans="1:11" hidden="1" x14ac:dyDescent="0.25">
      <c r="A445">
        <v>9</v>
      </c>
      <c r="B445" s="179">
        <v>45647</v>
      </c>
      <c r="C445" t="s">
        <v>3338</v>
      </c>
      <c r="D445" t="e">
        <f>VLOOKUP($C445,ТабКлиенты[[#All],[name]:[phone]],MATCH(D$1,ТабКлиенты[#Headers],0)-1,0)</f>
        <v>#N/A</v>
      </c>
      <c r="E445" t="e">
        <f>VLOOKUP($C445,ТабАдрес[[#All],[Клиент]:[gps]],MATCH(E$1,ТабКлиенты[#Headers],0)-4,0)</f>
        <v>#N/A</v>
      </c>
      <c r="F445" t="e">
        <f>VLOOKUP($C445,ТабАдрес[[#All],[Клиент]:[gps]],MATCH(F$1,ТабКлиенты[#Headers],0)-4,0)</f>
        <v>#N/A</v>
      </c>
      <c r="G445" s="183">
        <v>0.45833333333333331</v>
      </c>
      <c r="H445" s="181">
        <v>0</v>
      </c>
      <c r="I445" s="52">
        <v>384</v>
      </c>
      <c r="J445" s="52">
        <v>1</v>
      </c>
      <c r="K445" t="e">
        <f t="shared" si="9"/>
        <v>#N/A</v>
      </c>
    </row>
    <row r="446" spans="1:11" hidden="1" x14ac:dyDescent="0.25">
      <c r="A446">
        <v>10</v>
      </c>
      <c r="B446" s="179">
        <v>45647</v>
      </c>
      <c r="C446" t="s">
        <v>3263</v>
      </c>
      <c r="D446" t="e">
        <f>VLOOKUP($C446,ТабКлиенты[[#All],[name]:[phone]],MATCH(D$1,ТабКлиенты[#Headers],0)-1,0)</f>
        <v>#N/A</v>
      </c>
      <c r="E446" t="e">
        <f>VLOOKUP($C446,ТабАдрес[[#All],[Клиент]:[gps]],MATCH(E$1,ТабКлиенты[#Headers],0)-4,0)</f>
        <v>#N/A</v>
      </c>
      <c r="F446" t="e">
        <f>VLOOKUP($C446,ТабАдрес[[#All],[Клиент]:[gps]],MATCH(F$1,ТабКлиенты[#Headers],0)-4,0)</f>
        <v>#N/A</v>
      </c>
      <c r="G446" s="183">
        <v>0.46527777777777779</v>
      </c>
      <c r="H446" s="181">
        <v>388</v>
      </c>
      <c r="I446" s="52">
        <v>399</v>
      </c>
      <c r="J446" s="52">
        <v>2</v>
      </c>
      <c r="K446" t="e">
        <f t="shared" si="9"/>
        <v>#N/A</v>
      </c>
    </row>
    <row r="447" spans="1:11" hidden="1" x14ac:dyDescent="0.25">
      <c r="A447">
        <v>11</v>
      </c>
      <c r="B447" s="179">
        <v>45647</v>
      </c>
      <c r="C447" t="s">
        <v>3231</v>
      </c>
      <c r="D447" t="str">
        <f>VLOOKUP($C447,ТабКлиенты[[#All],[name]:[phone]],MATCH(D$1,ТабКлиенты[#Headers],0)-1,0)</f>
        <v>+79497336840</v>
      </c>
      <c r="E447" t="str">
        <f>VLOOKUP($C447,ТабАдрес[[#All],[Клиент]:[gps]],MATCH(E$1,ТабКлиенты[#Headers],0)-4,0)</f>
        <v>Бригантина 152</v>
      </c>
      <c r="F447" t="str">
        <f>VLOOKUP($C447,ТабАдрес[[#All],[Клиент]:[gps]],MATCH(F$1,ТабКлиенты[#Headers],0)-4,0)</f>
        <v>47.0779, 37.4879</v>
      </c>
      <c r="G447" s="183">
        <v>0.47916666666666669</v>
      </c>
      <c r="H447" s="181">
        <v>4500</v>
      </c>
      <c r="I447" s="52" t="s">
        <v>5</v>
      </c>
      <c r="J447" s="52">
        <v>1</v>
      </c>
      <c r="K447" t="str">
        <f t="shared" si="9"/>
        <v>11. 11:30 Татьяна Бригантина
Тел.: +79497336840
Адрес: Бригантина 152
№ заказа: Витамины
Кол-во мест: 1
https://yandex.ru/maps/?text=47.0779%2C37.4879
https://maps.google.com/?daddr=47.0779%2C37.4879
К оплате: **4500
**--------------------------------</v>
      </c>
    </row>
    <row r="448" spans="1:11" hidden="1" x14ac:dyDescent="0.25">
      <c r="A448">
        <v>12</v>
      </c>
      <c r="B448" s="179">
        <v>45647</v>
      </c>
      <c r="C448" t="s">
        <v>3348</v>
      </c>
      <c r="D448" t="e">
        <f>VLOOKUP($C448,ТабКлиенты[[#All],[name]:[phone]],MATCH(D$1,ТабКлиенты[#Headers],0)-1,0)</f>
        <v>#N/A</v>
      </c>
      <c r="E448" t="e">
        <f>VLOOKUP($C448,ТабАдрес[[#All],[Клиент]:[gps]],MATCH(E$1,ТабКлиенты[#Headers],0)-4,0)</f>
        <v>#N/A</v>
      </c>
      <c r="F448" t="e">
        <f>VLOOKUP($C448,ТабАдрес[[#All],[Клиент]:[gps]],MATCH(F$1,ТабКлиенты[#Headers],0)-4,0)</f>
        <v>#N/A</v>
      </c>
      <c r="G448" s="183">
        <v>0.48958333333333331</v>
      </c>
      <c r="H448" s="181">
        <v>435</v>
      </c>
      <c r="I448" s="52">
        <v>400</v>
      </c>
      <c r="J448" s="52">
        <v>1</v>
      </c>
      <c r="K448" t="e">
        <f t="shared" si="9"/>
        <v>#N/A</v>
      </c>
    </row>
    <row r="449" spans="1:11" hidden="1" x14ac:dyDescent="0.25">
      <c r="A449">
        <v>13</v>
      </c>
      <c r="B449" s="179">
        <v>45647</v>
      </c>
      <c r="C449" t="s">
        <v>3398</v>
      </c>
      <c r="D449" t="e">
        <f>VLOOKUP($C449,ТабКлиенты[[#All],[name]:[phone]],MATCH(D$1,ТабКлиенты[#Headers],0)-1,0)</f>
        <v>#N/A</v>
      </c>
      <c r="E449" t="e">
        <f>VLOOKUP($C449,ТабАдрес[[#All],[Клиент]:[gps]],MATCH(E$1,ТабКлиенты[#Headers],0)-4,0)</f>
        <v>#N/A</v>
      </c>
      <c r="F449" t="e">
        <f>VLOOKUP($C449,ТабАдрес[[#All],[Клиент]:[gps]],MATCH(F$1,ТабКлиенты[#Headers],0)-4,0)</f>
        <v>#N/A</v>
      </c>
      <c r="G449" s="183">
        <v>0.5</v>
      </c>
      <c r="H449" s="181">
        <v>1235</v>
      </c>
      <c r="I449" s="52">
        <v>398</v>
      </c>
      <c r="J449" s="52">
        <v>2</v>
      </c>
      <c r="K449" t="e">
        <f t="shared" si="9"/>
        <v>#N/A</v>
      </c>
    </row>
    <row r="450" spans="1:11" hidden="1" x14ac:dyDescent="0.25">
      <c r="A450">
        <v>14</v>
      </c>
      <c r="B450" s="179">
        <v>45647</v>
      </c>
      <c r="C450" t="s">
        <v>3167</v>
      </c>
      <c r="D450" t="e">
        <f>VLOOKUP($C450,ТабКлиенты[[#All],[name]:[phone]],MATCH(D$1,ТабКлиенты[#Headers],0)-1,0)</f>
        <v>#N/A</v>
      </c>
      <c r="E450" t="e">
        <f>VLOOKUP($C450,ТабАдрес[[#All],[Клиент]:[gps]],MATCH(E$1,ТабКлиенты[#Headers],0)-4,0)</f>
        <v>#N/A</v>
      </c>
      <c r="F450" t="e">
        <f>VLOOKUP($C450,ТабАдрес[[#All],[Клиент]:[gps]],MATCH(F$1,ТабКлиенты[#Headers],0)-4,0)</f>
        <v>#N/A</v>
      </c>
      <c r="G450" s="183">
        <v>0.52083333333333337</v>
      </c>
      <c r="H450" s="181">
        <v>0</v>
      </c>
      <c r="I450" s="52">
        <v>376</v>
      </c>
      <c r="J450" s="52">
        <v>1</v>
      </c>
      <c r="K450" t="e">
        <f t="shared" si="9"/>
        <v>#N/A</v>
      </c>
    </row>
    <row r="451" spans="1:11" hidden="1" x14ac:dyDescent="0.25">
      <c r="A451">
        <v>1</v>
      </c>
      <c r="B451" s="179">
        <v>45654</v>
      </c>
      <c r="C451" t="s">
        <v>3168</v>
      </c>
      <c r="D451" t="e">
        <f>VLOOKUP($C451,ТабКлиенты[[#All],[name]:[phone]],MATCH(D$1,ТабКлиенты[#Headers],0)-1,0)</f>
        <v>#N/A</v>
      </c>
      <c r="E451" t="e">
        <f>VLOOKUP($C451,ТабАдрес[[#All],[Клиент]:[gps]],MATCH(E$1,ТабКлиенты[#Headers],0)-4,0)</f>
        <v>#N/A</v>
      </c>
      <c r="F451" t="e">
        <f>VLOOKUP($C451,ТабАдрес[[#All],[Клиент]:[gps]],MATCH(F$1,ТабКлиенты[#Headers],0)-4,0)</f>
        <v>#N/A</v>
      </c>
      <c r="G451" s="183">
        <v>0.39583333333333331</v>
      </c>
      <c r="H451" s="181">
        <v>0</v>
      </c>
      <c r="I451" s="52">
        <v>360</v>
      </c>
      <c r="J451" s="52">
        <v>1</v>
      </c>
      <c r="K451" t="e">
        <f t="shared" si="9"/>
        <v>#N/A</v>
      </c>
    </row>
    <row r="452" spans="1:11" hidden="1" x14ac:dyDescent="0.25">
      <c r="A452">
        <v>2</v>
      </c>
      <c r="B452" s="179">
        <v>45654</v>
      </c>
      <c r="C452" t="s">
        <v>3172</v>
      </c>
      <c r="D452" t="str">
        <f>VLOOKUP($C452,ТабКлиенты[[#All],[name]:[phone]],MATCH(D$1,ТабКлиенты[#Headers],0)-1,0)</f>
        <v>+79497277100</v>
      </c>
      <c r="E452" t="str">
        <f>VLOOKUP($C452,ТабАдрес[[#All],[Клиент]:[gps]],MATCH(E$1,ТабКлиенты[#Headers],0)-4,0)</f>
        <v>Артема 132</v>
      </c>
      <c r="F452" t="str">
        <f>VLOOKUP($C452,ТабАдрес[[#All],[Клиент]:[gps]],MATCH(F$1,ТабКлиенты[#Headers],0)-4,0)</f>
        <v>47.1085, 37.5599</v>
      </c>
      <c r="G452" s="183">
        <v>0.40277777777777779</v>
      </c>
      <c r="H452" s="181">
        <v>2165</v>
      </c>
      <c r="I452" s="52">
        <v>387</v>
      </c>
      <c r="J452" s="52">
        <v>2</v>
      </c>
      <c r="K452" t="str">
        <f t="shared" si="9"/>
        <v>2. 09:40 Александр Радин
Тел.: +79497277100
Адрес: Артема 132
№ заказа: 387
Кол-во мест: 2
https://yandex.ru/maps/?text=47.1085%2C37.5599
https://maps.google.com/?daddr=47.1085%2C37.5599
К оплате: **2165
**--------------------------------</v>
      </c>
    </row>
    <row r="453" spans="1:11" hidden="1" x14ac:dyDescent="0.25">
      <c r="A453">
        <v>3</v>
      </c>
      <c r="B453" s="179">
        <v>45654</v>
      </c>
      <c r="C453" t="s">
        <v>3210</v>
      </c>
      <c r="D453" t="e">
        <f>VLOOKUP($C453,ТабКлиенты[[#All],[name]:[phone]],MATCH(D$1,ТабКлиенты[#Headers],0)-1,0)</f>
        <v>#N/A</v>
      </c>
      <c r="E453" t="e">
        <f>VLOOKUP($C453,ТабАдрес[[#All],[Клиент]:[gps]],MATCH(E$1,ТабКлиенты[#Headers],0)-4,0)</f>
        <v>#N/A</v>
      </c>
      <c r="F453" t="e">
        <f>VLOOKUP($C453,ТабАдрес[[#All],[Клиент]:[gps]],MATCH(F$1,ТабКлиенты[#Headers],0)-4,0)</f>
        <v>#N/A</v>
      </c>
      <c r="G453" s="183">
        <v>0.40972222222222221</v>
      </c>
      <c r="H453" s="181">
        <v>0</v>
      </c>
      <c r="I453" s="52">
        <v>408</v>
      </c>
      <c r="J453" s="52">
        <v>1</v>
      </c>
      <c r="K453" t="e">
        <f t="shared" si="9"/>
        <v>#N/A</v>
      </c>
    </row>
    <row r="454" spans="1:11" hidden="1" x14ac:dyDescent="0.25">
      <c r="A454">
        <v>4</v>
      </c>
      <c r="B454" s="179">
        <v>45654</v>
      </c>
      <c r="C454" t="s">
        <v>3359</v>
      </c>
      <c r="D454" t="e">
        <f>VLOOKUP($C454,ТабКлиенты[[#All],[name]:[phone]],MATCH(D$1,ТабКлиенты[#Headers],0)-1,0)</f>
        <v>#N/A</v>
      </c>
      <c r="E454" t="e">
        <f>VLOOKUP($C454,ТабАдрес[[#All],[Клиент]:[gps]],MATCH(E$1,ТабКлиенты[#Headers],0)-4,0)</f>
        <v>#N/A</v>
      </c>
      <c r="F454" t="e">
        <f>VLOOKUP($C454,ТабАдрес[[#All],[Клиент]:[gps]],MATCH(F$1,ТабКлиенты[#Headers],0)-4,0)</f>
        <v>#N/A</v>
      </c>
      <c r="G454" s="183">
        <v>0.41666666666666669</v>
      </c>
      <c r="H454" s="181">
        <v>0</v>
      </c>
      <c r="I454" s="52">
        <v>396</v>
      </c>
      <c r="J454" s="52">
        <v>1</v>
      </c>
      <c r="K454" t="e">
        <f t="shared" si="9"/>
        <v>#N/A</v>
      </c>
    </row>
    <row r="455" spans="1:11" hidden="1" x14ac:dyDescent="0.25">
      <c r="A455">
        <v>5</v>
      </c>
      <c r="B455" s="179">
        <v>45654</v>
      </c>
      <c r="C455" t="s">
        <v>3125</v>
      </c>
      <c r="D455" t="e">
        <f>VLOOKUP($C455,ТабКлиенты[[#All],[name]:[phone]],MATCH(D$1,ТабКлиенты[#Headers],0)-1,0)</f>
        <v>#N/A</v>
      </c>
      <c r="E455" t="e">
        <f>VLOOKUP($C455,ТабАдрес[[#All],[Клиент]:[gps]],MATCH(E$1,ТабКлиенты[#Headers],0)-4,0)</f>
        <v>#N/A</v>
      </c>
      <c r="F455" t="e">
        <f>VLOOKUP($C455,ТабАдрес[[#All],[Клиент]:[gps]],MATCH(F$1,ТабКлиенты[#Headers],0)-4,0)</f>
        <v>#N/A</v>
      </c>
      <c r="G455" s="183">
        <v>0.4236111111111111</v>
      </c>
      <c r="H455" s="181">
        <v>6055</v>
      </c>
      <c r="I455" s="52">
        <v>403</v>
      </c>
      <c r="J455" s="52">
        <v>1</v>
      </c>
      <c r="K455" t="e">
        <f t="shared" si="9"/>
        <v>#N/A</v>
      </c>
    </row>
    <row r="456" spans="1:11" hidden="1" x14ac:dyDescent="0.25">
      <c r="A456">
        <v>6</v>
      </c>
      <c r="B456" s="179">
        <v>45654</v>
      </c>
      <c r="C456" t="s">
        <v>3417</v>
      </c>
      <c r="D456" t="e">
        <f>VLOOKUP($C456,ТабКлиенты[[#All],[name]:[phone]],MATCH(D$1,ТабКлиенты[#Headers],0)-1,0)</f>
        <v>#N/A</v>
      </c>
      <c r="E456" t="e">
        <f>VLOOKUP($C456,ТабАдрес[[#All],[Клиент]:[gps]],MATCH(E$1,ТабКлиенты[#Headers],0)-4,0)</f>
        <v>#N/A</v>
      </c>
      <c r="F456" t="e">
        <f>VLOOKUP($C456,ТабАдрес[[#All],[Клиент]:[gps]],MATCH(F$1,ТабКлиенты[#Headers],0)-4,0)</f>
        <v>#N/A</v>
      </c>
      <c r="G456" s="183">
        <v>0.43055555555555558</v>
      </c>
      <c r="H456" s="181">
        <v>2129</v>
      </c>
      <c r="I456" s="52">
        <v>404</v>
      </c>
      <c r="J456" s="52">
        <v>1</v>
      </c>
      <c r="K456" t="e">
        <f t="shared" si="9"/>
        <v>#N/A</v>
      </c>
    </row>
    <row r="457" spans="1:11" hidden="1" x14ac:dyDescent="0.25">
      <c r="A457">
        <v>7</v>
      </c>
      <c r="B457" s="179">
        <v>45654</v>
      </c>
      <c r="C457" t="s">
        <v>3128</v>
      </c>
      <c r="D457" t="e">
        <f>VLOOKUP($C457,ТабКлиенты[[#All],[name]:[phone]],MATCH(D$1,ТабКлиенты[#Headers],0)-1,0)</f>
        <v>#N/A</v>
      </c>
      <c r="E457" t="e">
        <f>VLOOKUP($C457,ТабАдрес[[#All],[Клиент]:[gps]],MATCH(E$1,ТабКлиенты[#Headers],0)-4,0)</f>
        <v>#N/A</v>
      </c>
      <c r="F457" t="e">
        <f>VLOOKUP($C457,ТабАдрес[[#All],[Клиент]:[gps]],MATCH(F$1,ТабКлиенты[#Headers],0)-4,0)</f>
        <v>#N/A</v>
      </c>
      <c r="G457" s="183">
        <v>0.4375</v>
      </c>
      <c r="H457" s="181">
        <v>0</v>
      </c>
      <c r="I457" s="52">
        <v>393</v>
      </c>
      <c r="J457" s="52">
        <v>1</v>
      </c>
      <c r="K457" t="e">
        <f t="shared" si="9"/>
        <v>#N/A</v>
      </c>
    </row>
    <row r="458" spans="1:11" hidden="1" x14ac:dyDescent="0.25">
      <c r="A458">
        <v>8</v>
      </c>
      <c r="B458" s="179">
        <v>45654</v>
      </c>
      <c r="C458" t="s">
        <v>3410</v>
      </c>
      <c r="D458" t="str">
        <f>VLOOKUP($C458,ТабКлиенты[[#All],[name]:[phone]],MATCH(D$1,ТабКлиенты[#Headers],0)-1,0)</f>
        <v>+79495872741</v>
      </c>
      <c r="E458" t="str">
        <f>VLOOKUP($C458,ТабАдрес[[#All],[Клиент]:[gps]],MATCH(E$1,ТабКлиенты[#Headers],0)-4,0)</f>
        <v>Гранитная 148 подъезд 2, кв. 68</v>
      </c>
      <c r="F458" t="str">
        <f>VLOOKUP($C458,ТабАдрес[[#All],[Клиент]:[gps]],MATCH(F$1,ТабКлиенты[#Headers],0)-4,0)</f>
        <v>47.1253, 37.5129</v>
      </c>
      <c r="G458" s="183">
        <v>0.44791666666666669</v>
      </c>
      <c r="H458" s="181">
        <v>0</v>
      </c>
      <c r="I458" s="52">
        <v>406</v>
      </c>
      <c r="J458" s="52">
        <v>2</v>
      </c>
      <c r="K458" t="str">
        <f t="shared" si="9"/>
        <v>8. 10:45 Оксана Моцная
Тел.: +79495872741
Адрес: Гранитная 148 подъезд 2, кв. 68
№ заказа: 406
Кол-во мест: 2
https://yandex.ru/maps/?text=47.1253%2C37.5129
https://maps.google.com/?daddr=47.1253%2C37.5129
К оплате: **0
**--------------------------------</v>
      </c>
    </row>
    <row r="459" spans="1:11" hidden="1" x14ac:dyDescent="0.25">
      <c r="A459">
        <v>9</v>
      </c>
      <c r="B459" s="179">
        <v>45654</v>
      </c>
      <c r="C459" t="s">
        <v>3379</v>
      </c>
      <c r="D459" t="e">
        <f>VLOOKUP($C459,ТабКлиенты[[#All],[name]:[phone]],MATCH(D$1,ТабКлиенты[#Headers],0)-1,0)</f>
        <v>#N/A</v>
      </c>
      <c r="E459" t="e">
        <f>VLOOKUP($C459,ТабАдрес[[#All],[Клиент]:[gps]],MATCH(E$1,ТабКлиенты[#Headers],0)-4,0)</f>
        <v>#N/A</v>
      </c>
      <c r="F459" t="e">
        <f>VLOOKUP($C459,ТабАдрес[[#All],[Клиент]:[gps]],MATCH(F$1,ТабКлиенты[#Headers],0)-4,0)</f>
        <v>#N/A</v>
      </c>
      <c r="G459" s="183">
        <v>0.4513888888888889</v>
      </c>
      <c r="H459" s="181">
        <v>1171</v>
      </c>
      <c r="I459" s="52">
        <v>410</v>
      </c>
      <c r="J459" s="52">
        <v>1</v>
      </c>
      <c r="K459" t="e">
        <f t="shared" si="9"/>
        <v>#N/A</v>
      </c>
    </row>
    <row r="460" spans="1:11" hidden="1" x14ac:dyDescent="0.25">
      <c r="A460">
        <v>10</v>
      </c>
      <c r="B460" s="179">
        <v>45654</v>
      </c>
      <c r="C460" t="s">
        <v>3334</v>
      </c>
      <c r="D460" t="e">
        <f>VLOOKUP($C460,ТабКлиенты[[#All],[name]:[phone]],MATCH(D$1,ТабКлиенты[#Headers],0)-1,0)</f>
        <v>#N/A</v>
      </c>
      <c r="E460" t="e">
        <f>VLOOKUP($C460,ТабАдрес[[#All],[Клиент]:[gps]],MATCH(E$1,ТабКлиенты[#Headers],0)-4,0)</f>
        <v>#N/A</v>
      </c>
      <c r="F460" t="e">
        <f>VLOOKUP($C460,ТабАдрес[[#All],[Клиент]:[gps]],MATCH(F$1,ТабКлиенты[#Headers],0)-4,0)</f>
        <v>#N/A</v>
      </c>
      <c r="G460" s="183">
        <v>0.5</v>
      </c>
      <c r="H460" s="181">
        <v>0</v>
      </c>
      <c r="I460" s="52">
        <v>397</v>
      </c>
      <c r="J460" s="52">
        <v>1</v>
      </c>
      <c r="K460" t="e">
        <f t="shared" si="9"/>
        <v>#N/A</v>
      </c>
    </row>
    <row r="461" spans="1:11" hidden="1" x14ac:dyDescent="0.25">
      <c r="A461">
        <v>11</v>
      </c>
      <c r="B461" s="179">
        <v>45654</v>
      </c>
      <c r="C461" t="s">
        <v>3281</v>
      </c>
      <c r="D461" t="e">
        <f>VLOOKUP($C461,ТабКлиенты[[#All],[name]:[phone]],MATCH(D$1,ТабКлиенты[#Headers],0)-1,0)</f>
        <v>#N/A</v>
      </c>
      <c r="E461" t="e">
        <f>VLOOKUP($C461,ТабАдрес[[#All],[Клиент]:[gps]],MATCH(E$1,ТабКлиенты[#Headers],0)-4,0)</f>
        <v>#N/A</v>
      </c>
      <c r="F461" t="e">
        <f>VLOOKUP($C461,ТабАдрес[[#All],[Клиент]:[gps]],MATCH(F$1,ТабКлиенты[#Headers],0)-4,0)</f>
        <v>#N/A</v>
      </c>
      <c r="G461" s="183">
        <v>0.51041666666666663</v>
      </c>
      <c r="H461" s="181">
        <v>0</v>
      </c>
      <c r="I461" s="52">
        <v>413</v>
      </c>
      <c r="J461" s="52">
        <v>1</v>
      </c>
      <c r="K461" t="e">
        <f t="shared" si="9"/>
        <v>#N/A</v>
      </c>
    </row>
    <row r="462" spans="1:11" hidden="1" x14ac:dyDescent="0.25">
      <c r="A462">
        <v>12</v>
      </c>
      <c r="B462" s="179">
        <v>45654</v>
      </c>
      <c r="C462" t="s">
        <v>3348</v>
      </c>
      <c r="D462" t="e">
        <f>VLOOKUP($C462,ТабКлиенты[[#All],[name]:[phone]],MATCH(D$1,ТабКлиенты[#Headers],0)-1,0)</f>
        <v>#N/A</v>
      </c>
      <c r="E462" t="e">
        <f>VLOOKUP($C462,ТабАдрес[[#All],[Клиент]:[gps]],MATCH(E$1,ТабКлиенты[#Headers],0)-4,0)</f>
        <v>#N/A</v>
      </c>
      <c r="F462" t="e">
        <f>VLOOKUP($C462,ТабАдрес[[#All],[Клиент]:[gps]],MATCH(F$1,ТабКлиенты[#Headers],0)-4,0)</f>
        <v>#N/A</v>
      </c>
      <c r="G462" s="183">
        <v>0.51736111111111116</v>
      </c>
      <c r="H462" s="181">
        <v>200</v>
      </c>
      <c r="I462" s="52">
        <v>412</v>
      </c>
      <c r="J462" s="52">
        <v>1</v>
      </c>
      <c r="K462" t="e">
        <f t="shared" si="9"/>
        <v>#N/A</v>
      </c>
    </row>
    <row r="463" spans="1:11" hidden="1" x14ac:dyDescent="0.25">
      <c r="A463">
        <v>13</v>
      </c>
      <c r="B463" s="179">
        <v>45654</v>
      </c>
      <c r="C463" t="s">
        <v>3414</v>
      </c>
      <c r="D463">
        <f>VLOOKUP($C463,ТабКлиенты[[#All],[name]:[phone]],MATCH(D$1,ТабКлиенты[#Headers],0)-1,0)</f>
        <v>0</v>
      </c>
      <c r="E463" t="str">
        <f>VLOOKUP($C463,ТабАдрес[[#All],[Клиент]:[gps]],MATCH(E$1,ТабКлиенты[#Headers],0)-4,0)</f>
        <v>Варганова 7</v>
      </c>
      <c r="F463" t="str">
        <f>VLOOKUP($C463,ТабАдрес[[#All],[Клиент]:[gps]],MATCH(F$1,ТабКлиенты[#Headers],0)-4,0)</f>
        <v>47.0989, 37.5429</v>
      </c>
      <c r="G463" s="183">
        <v>0.53125</v>
      </c>
      <c r="H463" s="181">
        <v>6600</v>
      </c>
      <c r="I463" s="52" t="s">
        <v>8</v>
      </c>
      <c r="J463" s="52">
        <v>1</v>
      </c>
      <c r="K463" t="str">
        <f t="shared" si="9"/>
        <v>13. 12:45 Елизавета Водоканал
Тел.: 0
Адрес: Варганова 7
№ заказа: Парфюм
Кол-во мест: 1
https://yandex.ru/maps/?text=47.0989%2C37.5429
https://maps.google.com/?daddr=47.0989%2C37.5429
К оплате: **6600
**--------------------------------</v>
      </c>
    </row>
    <row r="464" spans="1:11" hidden="1" x14ac:dyDescent="0.25">
      <c r="A464">
        <v>14</v>
      </c>
      <c r="B464" s="179">
        <v>45654</v>
      </c>
      <c r="C464" t="s">
        <v>3167</v>
      </c>
      <c r="D464" t="e">
        <f>VLOOKUP($C464,ТабКлиенты[[#All],[name]:[phone]],MATCH(D$1,ТабКлиенты[#Headers],0)-1,0)</f>
        <v>#N/A</v>
      </c>
      <c r="E464" t="e">
        <f>VLOOKUP($C464,ТабАдрес[[#All],[Клиент]:[gps]],MATCH(E$1,ТабКлиенты[#Headers],0)-4,0)</f>
        <v>#N/A</v>
      </c>
      <c r="F464" t="e">
        <f>VLOOKUP($C464,ТабАдрес[[#All],[Клиент]:[gps]],MATCH(F$1,ТабКлиенты[#Headers],0)-4,0)</f>
        <v>#N/A</v>
      </c>
      <c r="G464" s="183">
        <v>0.54166666666666663</v>
      </c>
      <c r="H464" s="181">
        <v>0</v>
      </c>
      <c r="I464" s="52">
        <v>394</v>
      </c>
      <c r="J464" s="52">
        <v>1</v>
      </c>
      <c r="K464" t="e">
        <f t="shared" si="9"/>
        <v>#N/A</v>
      </c>
    </row>
    <row r="465" spans="1:11" hidden="1" x14ac:dyDescent="0.25">
      <c r="A465">
        <v>15</v>
      </c>
      <c r="B465" s="179">
        <v>45654</v>
      </c>
      <c r="C465" t="s">
        <v>3409</v>
      </c>
      <c r="D465" t="e">
        <f>VLOOKUP($C465,ТабКлиенты[[#All],[name]:[phone]],MATCH(D$1,ТабКлиенты[#Headers],0)-1,0)</f>
        <v>#N/A</v>
      </c>
      <c r="E465" t="e">
        <f>VLOOKUP($C465,ТабАдрес[[#All],[Клиент]:[gps]],MATCH(E$1,ТабКлиенты[#Headers],0)-4,0)</f>
        <v>#N/A</v>
      </c>
      <c r="F465" t="e">
        <f>VLOOKUP($C465,ТабАдрес[[#All],[Клиент]:[gps]],MATCH(F$1,ТабКлиенты[#Headers],0)-4,0)</f>
        <v>#N/A</v>
      </c>
      <c r="G465" s="183">
        <v>0.58333333333333337</v>
      </c>
      <c r="H465" s="181">
        <v>3394</v>
      </c>
      <c r="I465" s="52">
        <v>405</v>
      </c>
      <c r="J465" s="52">
        <v>1</v>
      </c>
      <c r="K465" t="e">
        <f t="shared" si="9"/>
        <v>#N/A</v>
      </c>
    </row>
    <row r="466" spans="1:11" hidden="1" x14ac:dyDescent="0.25">
      <c r="A466">
        <v>1</v>
      </c>
      <c r="B466" s="179">
        <v>45661</v>
      </c>
      <c r="C466" t="s">
        <v>3168</v>
      </c>
      <c r="D466" t="e">
        <f>VLOOKUP($C466,ТабКлиенты[[#All],[name]:[phone]],MATCH(D$1,ТабКлиенты[#Headers],0)-1,0)</f>
        <v>#N/A</v>
      </c>
      <c r="E466" t="e">
        <f>VLOOKUP($C466,ТабАдрес[[#All],[Клиент]:[gps]],MATCH(E$1,ТабКлиенты[#Headers],0)-4,0)</f>
        <v>#N/A</v>
      </c>
      <c r="F466" t="e">
        <f>VLOOKUP($C466,ТабАдрес[[#All],[Клиент]:[gps]],MATCH(F$1,ТабКлиенты[#Headers],0)-4,0)</f>
        <v>#N/A</v>
      </c>
      <c r="G466" s="183">
        <v>0.41666666666666669</v>
      </c>
      <c r="H466" s="181">
        <v>0</v>
      </c>
      <c r="I466" s="52">
        <v>385</v>
      </c>
      <c r="J466" s="52">
        <v>1</v>
      </c>
      <c r="K466" t="e">
        <f t="shared" si="9"/>
        <v>#N/A</v>
      </c>
    </row>
    <row r="467" spans="1:11" hidden="1" x14ac:dyDescent="0.25">
      <c r="A467">
        <v>2</v>
      </c>
      <c r="B467" s="179">
        <v>45661</v>
      </c>
      <c r="C467" t="s">
        <v>3125</v>
      </c>
      <c r="D467" t="e">
        <f>VLOOKUP($C467,ТабКлиенты[[#All],[name]:[phone]],MATCH(D$1,ТабКлиенты[#Headers],0)-1,0)</f>
        <v>#N/A</v>
      </c>
      <c r="E467" t="e">
        <f>VLOOKUP($C467,ТабАдрес[[#All],[Клиент]:[gps]],MATCH(E$1,ТабКлиенты[#Headers],0)-4,0)</f>
        <v>#N/A</v>
      </c>
      <c r="F467" t="e">
        <f>VLOOKUP($C467,ТабАдрес[[#All],[Клиент]:[gps]],MATCH(F$1,ТабКлиенты[#Headers],0)-4,0)</f>
        <v>#N/A</v>
      </c>
      <c r="G467" s="183">
        <v>0.4236111111111111</v>
      </c>
      <c r="H467" s="181">
        <v>0</v>
      </c>
      <c r="I467" s="52">
        <v>403</v>
      </c>
      <c r="J467" s="52">
        <v>1</v>
      </c>
      <c r="K467" t="e">
        <f t="shared" si="9"/>
        <v>#N/A</v>
      </c>
    </row>
    <row r="468" spans="1:11" hidden="1" x14ac:dyDescent="0.25">
      <c r="A468">
        <v>3</v>
      </c>
      <c r="B468" s="179">
        <v>45661</v>
      </c>
      <c r="C468" t="s">
        <v>3172</v>
      </c>
      <c r="D468" t="str">
        <f>VLOOKUP($C468,ТабКлиенты[[#All],[name]:[phone]],MATCH(D$1,ТабКлиенты[#Headers],0)-1,0)</f>
        <v>+79497277100</v>
      </c>
      <c r="E468" t="str">
        <f>VLOOKUP($C468,ТабАдрес[[#All],[Клиент]:[gps]],MATCH(E$1,ТабКлиенты[#Headers],0)-4,0)</f>
        <v>Артема 132</v>
      </c>
      <c r="F468" t="str">
        <f>VLOOKUP($C468,ТабАдрес[[#All],[Клиент]:[gps]],MATCH(F$1,ТабКлиенты[#Headers],0)-4,0)</f>
        <v>47.1085, 37.5599</v>
      </c>
      <c r="G468" s="183">
        <v>0.42708333333333331</v>
      </c>
      <c r="H468" s="181">
        <v>7500</v>
      </c>
      <c r="I468" s="52" t="s">
        <v>4304</v>
      </c>
      <c r="J468" s="52">
        <v>1</v>
      </c>
      <c r="K468" t="str">
        <f t="shared" si="9"/>
        <v>3. 10:15 Александр Радин
Тел.: +79497277100
Адрес: Артема 132
№ заказа: Витамины 1
Кол-во мест: 1
https://yandex.ru/maps/?text=47.1085%2C37.5599
https://maps.google.com/?daddr=47.1085%2C37.5599
К оплате: **7500
**--------------------------------</v>
      </c>
    </row>
    <row r="469" spans="1:11" hidden="1" x14ac:dyDescent="0.25">
      <c r="A469">
        <v>4</v>
      </c>
      <c r="B469" s="179">
        <v>45661</v>
      </c>
      <c r="C469" t="s">
        <v>3210</v>
      </c>
      <c r="D469" t="e">
        <f>VLOOKUP($C469,ТабКлиенты[[#All],[name]:[phone]],MATCH(D$1,ТабКлиенты[#Headers],0)-1,0)</f>
        <v>#N/A</v>
      </c>
      <c r="E469" t="e">
        <f>VLOOKUP($C469,ТабАдрес[[#All],[Клиент]:[gps]],MATCH(E$1,ТабКлиенты[#Headers],0)-4,0)</f>
        <v>#N/A</v>
      </c>
      <c r="F469" t="e">
        <f>VLOOKUP($C469,ТабАдрес[[#All],[Клиент]:[gps]],MATCH(F$1,ТабКлиенты[#Headers],0)-4,0)</f>
        <v>#N/A</v>
      </c>
      <c r="G469" s="183">
        <v>0.43402777777777779</v>
      </c>
      <c r="H469" s="181">
        <v>0</v>
      </c>
      <c r="I469" s="52">
        <v>408</v>
      </c>
      <c r="J469" s="52">
        <v>1</v>
      </c>
      <c r="K469" t="e">
        <f t="shared" ref="K469:K532" si="10">A469&amp;". "&amp;TEXT(G469,"ЧЧ:ММ")&amp;" "&amp;C469&amp;CHAR(10)&amp;"Тел.: "&amp;D469&amp;CHAR(10)&amp;"Адрес: "&amp;E469&amp;CHAR(10)&amp;"№ заказа: "&amp;I469&amp;CHAR(10)&amp;"Кол-во мест: "&amp;J469&amp;CHAR(10)&amp;"https://yandex.ru/maps/?text="&amp;REPLACE(F469,SEARCH(",",F469),2,"%2C")&amp;CHAR(10)&amp;"https://maps.google.com/?daddr="&amp;REPLACE(F469,SEARCH(",",F469),2,"%2C")&amp;CHAR(10)&amp;"К оплате: "&amp;"**"&amp;H469&amp;CHAR(10)&amp;"**"&amp;"--------------------------------"</f>
        <v>#N/A</v>
      </c>
    </row>
    <row r="470" spans="1:11" hidden="1" x14ac:dyDescent="0.25">
      <c r="A470">
        <v>5</v>
      </c>
      <c r="B470" s="179">
        <v>45661</v>
      </c>
      <c r="C470" t="s">
        <v>3252</v>
      </c>
      <c r="D470" t="str">
        <f>VLOOKUP($C470,ТабКлиенты[[#All],[name]:[phone]],MATCH(D$1,ТабКлиенты[#Headers],0)-1,0)</f>
        <v>+79497115237</v>
      </c>
      <c r="E470" t="str">
        <f>VLOOKUP($C470,ТабАдрес[[#All],[Клиент]:[gps]],MATCH(E$1,ТабКлиенты[#Headers],0)-4,0)</f>
        <v>пер Станционный 8</v>
      </c>
      <c r="F470" t="str">
        <f>VLOOKUP($C470,ТабАдрес[[#All],[Клиент]:[gps]],MATCH(F$1,ТабКлиенты[#Headers],0)-4,0)</f>
        <v>47.1640, 37.5780</v>
      </c>
      <c r="G470" s="183">
        <v>0.4513888888888889</v>
      </c>
      <c r="H470" s="181">
        <v>4100</v>
      </c>
      <c r="I470" s="52" t="s">
        <v>4305</v>
      </c>
      <c r="J470" s="52">
        <v>1</v>
      </c>
      <c r="K470" t="str">
        <f t="shared" si="10"/>
        <v>5. 10:50 Аня Мирный
Тел.: +79497115237
Адрес: пер Станционный 8
№ заказа: Витамины 2
Кол-во мест: 1
https://yandex.ru/maps/?text=47.1640%2C37.5780
https://maps.google.com/?daddr=47.1640%2C37.5780
К оплате: **4100
**--------------------------------</v>
      </c>
    </row>
    <row r="471" spans="1:11" hidden="1" x14ac:dyDescent="0.25">
      <c r="A471">
        <v>6</v>
      </c>
      <c r="B471" s="179">
        <v>45661</v>
      </c>
      <c r="C471" t="s">
        <v>3417</v>
      </c>
      <c r="D471" t="e">
        <f>VLOOKUP($C471,ТабКлиенты[[#All],[name]:[phone]],MATCH(D$1,ТабКлиенты[#Headers],0)-1,0)</f>
        <v>#N/A</v>
      </c>
      <c r="E471" t="e">
        <f>VLOOKUP($C471,ТабАдрес[[#All],[Клиент]:[gps]],MATCH(E$1,ТабКлиенты[#Headers],0)-4,0)</f>
        <v>#N/A</v>
      </c>
      <c r="F471" t="e">
        <f>VLOOKUP($C471,ТабАдрес[[#All],[Клиент]:[gps]],MATCH(F$1,ТабКлиенты[#Headers],0)-4,0)</f>
        <v>#N/A</v>
      </c>
      <c r="G471" s="183">
        <v>0.46875</v>
      </c>
      <c r="H471" s="181">
        <v>5943</v>
      </c>
      <c r="I471" s="52">
        <v>417</v>
      </c>
      <c r="J471" s="52">
        <v>1</v>
      </c>
      <c r="K471" t="e">
        <f t="shared" si="10"/>
        <v>#N/A</v>
      </c>
    </row>
    <row r="472" spans="1:11" hidden="1" x14ac:dyDescent="0.25">
      <c r="A472">
        <v>7</v>
      </c>
      <c r="B472" s="179">
        <v>45661</v>
      </c>
      <c r="C472" t="s">
        <v>3249</v>
      </c>
      <c r="D472" t="e">
        <f>VLOOKUP($C472,ТабКлиенты[[#All],[name]:[phone]],MATCH(D$1,ТабКлиенты[#Headers],0)-1,0)</f>
        <v>#N/A</v>
      </c>
      <c r="E472" t="e">
        <f>VLOOKUP($C472,ТабАдрес[[#All],[Клиент]:[gps]],MATCH(E$1,ТабКлиенты[#Headers],0)-4,0)</f>
        <v>#N/A</v>
      </c>
      <c r="F472" t="e">
        <f>VLOOKUP($C472,ТабАдрес[[#All],[Клиент]:[gps]],MATCH(F$1,ТабКлиенты[#Headers],0)-4,0)</f>
        <v>#N/A</v>
      </c>
      <c r="G472" s="183">
        <v>0.47569444444444442</v>
      </c>
      <c r="H472" s="181">
        <v>0</v>
      </c>
      <c r="I472" s="52" t="s">
        <v>4306</v>
      </c>
      <c r="J472" s="52">
        <v>1</v>
      </c>
      <c r="K472" t="e">
        <f t="shared" si="10"/>
        <v>#N/A</v>
      </c>
    </row>
    <row r="473" spans="1:11" hidden="1" x14ac:dyDescent="0.25">
      <c r="A473">
        <v>8</v>
      </c>
      <c r="B473" s="179">
        <v>45661</v>
      </c>
      <c r="C473" t="s">
        <v>3334</v>
      </c>
      <c r="D473" t="e">
        <f>VLOOKUP($C473,ТабКлиенты[[#All],[name]:[phone]],MATCH(D$1,ТабКлиенты[#Headers],0)-1,0)</f>
        <v>#N/A</v>
      </c>
      <c r="E473" t="e">
        <f>VLOOKUP($C473,ТабАдрес[[#All],[Клиент]:[gps]],MATCH(E$1,ТабКлиенты[#Headers],0)-4,0)</f>
        <v>#N/A</v>
      </c>
      <c r="F473" t="e">
        <f>VLOOKUP($C473,ТабАдрес[[#All],[Клиент]:[gps]],MATCH(F$1,ТабКлиенты[#Headers],0)-4,0)</f>
        <v>#N/A</v>
      </c>
      <c r="G473" s="183">
        <v>0.4826388888888889</v>
      </c>
      <c r="H473" s="181">
        <v>0</v>
      </c>
      <c r="I473" s="52">
        <v>326</v>
      </c>
      <c r="J473" s="52">
        <v>1</v>
      </c>
      <c r="K473" t="e">
        <f t="shared" si="10"/>
        <v>#N/A</v>
      </c>
    </row>
    <row r="474" spans="1:11" hidden="1" x14ac:dyDescent="0.25">
      <c r="A474">
        <v>9</v>
      </c>
      <c r="B474" s="179">
        <v>45661</v>
      </c>
      <c r="C474" t="s">
        <v>3394</v>
      </c>
      <c r="D474" t="str">
        <f>VLOOKUP($C474,ТабКлиенты[[#All],[name]:[phone]],MATCH(D$1,ТабКлиенты[#Headers],0)-1,0)</f>
        <v>+79495228017</v>
      </c>
      <c r="E474" t="str">
        <f>VLOOKUP($C474,ТабАдрес[[#All],[Клиент]:[gps]],MATCH(E$1,ТабКлиенты[#Headers],0)-4,0)</f>
        <v>Вахтангова 15а</v>
      </c>
      <c r="F474" t="str">
        <f>VLOOKUP($C474,ТабАдрес[[#All],[Клиент]:[gps]],MATCH(F$1,ТабКлиенты[#Headers],0)-4,0)</f>
        <v>47.0882, 37.5117</v>
      </c>
      <c r="G474" s="183">
        <v>0.49652777777777779</v>
      </c>
      <c r="H474" s="181">
        <v>7400</v>
      </c>
      <c r="I474" s="52" t="s">
        <v>4307</v>
      </c>
      <c r="J474" s="52">
        <v>1</v>
      </c>
      <c r="K474" t="str">
        <f t="shared" si="10"/>
        <v>9. 11:55 Татьяна Вахтангова
Тел.: +79495228017
Адрес: Вахтангова 15а
№ заказа: Витамины 4
Кол-во мест: 1
https://yandex.ru/maps/?text=47.0882%2C37.5117
https://maps.google.com/?daddr=47.0882%2C37.5117
К оплате: **7400
**--------------------------------</v>
      </c>
    </row>
    <row r="475" spans="1:11" hidden="1" x14ac:dyDescent="0.25">
      <c r="A475">
        <v>10</v>
      </c>
      <c r="B475" s="179">
        <v>45661</v>
      </c>
      <c r="C475" t="s">
        <v>4308</v>
      </c>
      <c r="D475" t="e">
        <f>VLOOKUP($C475,ТабКлиенты[[#All],[name]:[phone]],MATCH(D$1,ТабКлиенты[#Headers],0)-1,0)</f>
        <v>#N/A</v>
      </c>
      <c r="E475" t="e">
        <f>VLOOKUP($C475,ТабАдрес[[#All],[Клиент]:[gps]],MATCH(E$1,ТабКлиенты[#Headers],0)-4,0)</f>
        <v>#N/A</v>
      </c>
      <c r="F475" t="e">
        <f>VLOOKUP($C475,ТабАдрес[[#All],[Клиент]:[gps]],MATCH(F$1,ТабКлиенты[#Headers],0)-4,0)</f>
        <v>#N/A</v>
      </c>
      <c r="G475" s="183">
        <v>0.51388888888888884</v>
      </c>
      <c r="H475" s="181">
        <v>3000</v>
      </c>
      <c r="I475" s="52" t="s">
        <v>4309</v>
      </c>
      <c r="J475" s="52">
        <v>1</v>
      </c>
      <c r="K475" t="e">
        <f t="shared" si="10"/>
        <v>#N/A</v>
      </c>
    </row>
    <row r="476" spans="1:11" hidden="1" x14ac:dyDescent="0.25">
      <c r="A476">
        <v>11</v>
      </c>
      <c r="B476" s="179">
        <v>45661</v>
      </c>
      <c r="C476" t="s">
        <v>3211</v>
      </c>
      <c r="D476" t="str">
        <f>VLOOKUP($C476,ТабКлиенты[[#All],[name]:[phone]],MATCH(D$1,ТабКлиенты[#Headers],0)-1,0)</f>
        <v>+79497105263</v>
      </c>
      <c r="E476" t="str">
        <f>VLOOKUP($C476,ТабАдрес[[#All],[Клиент]:[gps]],MATCH(E$1,ТабКлиенты[#Headers],0)-4,0)</f>
        <v>Казанцева 31</v>
      </c>
      <c r="F476" t="str">
        <f>VLOOKUP($C476,ТабАдрес[[#All],[Клиент]:[gps]],MATCH(F$1,ТабКлиенты[#Headers],0)-4,0)</f>
        <v>47.1070, 37.5475</v>
      </c>
      <c r="G476" s="183">
        <v>0.52083333333333337</v>
      </c>
      <c r="H476" s="181">
        <v>0</v>
      </c>
      <c r="I476" s="52" t="s">
        <v>4310</v>
      </c>
      <c r="J476" s="52">
        <v>1</v>
      </c>
      <c r="K476" t="str">
        <f t="shared" si="10"/>
        <v>11. 12:30 Анна соседка
Тел.: +79497105263
Адрес: Казанцева 31
№ заказа: Витамины 6
Кол-во мест: 1
https://yandex.ru/maps/?text=47.1070%2C37.5475
https://maps.google.com/?daddr=47.1070%2C37.5475
К оплате: **0
**--------------------------------</v>
      </c>
    </row>
    <row r="477" spans="1:11" hidden="1" x14ac:dyDescent="0.25">
      <c r="A477">
        <v>1</v>
      </c>
      <c r="B477" s="179">
        <v>45668</v>
      </c>
      <c r="C477" t="s">
        <v>3260</v>
      </c>
      <c r="D477" t="e">
        <f>VLOOKUP($C477,ТабКлиенты[[#All],[name]:[phone]],MATCH(D$1,ТабКлиенты[#Headers],0)-1,0)</f>
        <v>#N/A</v>
      </c>
      <c r="E477" t="e">
        <f>VLOOKUP($C477,ТабАдрес[[#All],[Клиент]:[gps]],MATCH(E$1,ТабКлиенты[#Headers],0)-4,0)</f>
        <v>#N/A</v>
      </c>
      <c r="F477" t="e">
        <f>VLOOKUP($C477,ТабАдрес[[#All],[Клиент]:[gps]],MATCH(F$1,ТабКлиенты[#Headers],0)-4,0)</f>
        <v>#N/A</v>
      </c>
      <c r="G477" s="183">
        <v>0.40277777777777779</v>
      </c>
      <c r="H477" s="181">
        <v>0</v>
      </c>
      <c r="I477" s="52">
        <v>262</v>
      </c>
      <c r="J477" s="52">
        <v>1</v>
      </c>
      <c r="K477" t="e">
        <f t="shared" si="10"/>
        <v>#N/A</v>
      </c>
    </row>
    <row r="478" spans="1:11" hidden="1" x14ac:dyDescent="0.25">
      <c r="A478">
        <v>2</v>
      </c>
      <c r="B478" s="179">
        <v>45668</v>
      </c>
      <c r="C478" t="s">
        <v>3131</v>
      </c>
      <c r="D478" t="e">
        <f>VLOOKUP($C478,ТабКлиенты[[#All],[name]:[phone]],MATCH(D$1,ТабКлиенты[#Headers],0)-1,0)</f>
        <v>#N/A</v>
      </c>
      <c r="E478" t="e">
        <f>VLOOKUP($C478,ТабАдрес[[#All],[Клиент]:[gps]],MATCH(E$1,ТабКлиенты[#Headers],0)-4,0)</f>
        <v>#N/A</v>
      </c>
      <c r="F478" t="e">
        <f>VLOOKUP($C478,ТабАдрес[[#All],[Клиент]:[gps]],MATCH(F$1,ТабКлиенты[#Headers],0)-4,0)</f>
        <v>#N/A</v>
      </c>
      <c r="G478" s="183">
        <v>0.40972222222222221</v>
      </c>
      <c r="H478" s="181">
        <v>1028</v>
      </c>
      <c r="I478" s="52">
        <v>409</v>
      </c>
      <c r="J478" s="52">
        <v>1</v>
      </c>
      <c r="K478" t="e">
        <f t="shared" si="10"/>
        <v>#N/A</v>
      </c>
    </row>
    <row r="479" spans="1:11" hidden="1" x14ac:dyDescent="0.25">
      <c r="A479">
        <v>3</v>
      </c>
      <c r="B479" s="179">
        <v>45668</v>
      </c>
      <c r="C479" t="s">
        <v>3420</v>
      </c>
      <c r="D479" t="e">
        <f>VLOOKUP($C479,ТабКлиенты[[#All],[name]:[phone]],MATCH(D$1,ТабКлиенты[#Headers],0)-1,0)</f>
        <v>#N/A</v>
      </c>
      <c r="E479" t="e">
        <f>VLOOKUP($C479,ТабАдрес[[#All],[Клиент]:[gps]],MATCH(E$1,ТабКлиенты[#Headers],0)-4,0)</f>
        <v>#N/A</v>
      </c>
      <c r="F479" t="e">
        <f>VLOOKUP($C479,ТабАдрес[[#All],[Клиент]:[gps]],MATCH(F$1,ТабКлиенты[#Headers],0)-4,0)</f>
        <v>#N/A</v>
      </c>
      <c r="G479" s="183">
        <v>0.41666666666666669</v>
      </c>
      <c r="H479" s="181">
        <v>0</v>
      </c>
      <c r="I479" s="52">
        <v>427</v>
      </c>
      <c r="J479" s="52">
        <v>1</v>
      </c>
      <c r="K479" t="e">
        <f t="shared" si="10"/>
        <v>#N/A</v>
      </c>
    </row>
    <row r="480" spans="1:11" hidden="1" x14ac:dyDescent="0.25">
      <c r="A480">
        <v>4</v>
      </c>
      <c r="B480" s="179">
        <v>45668</v>
      </c>
      <c r="C480" t="s">
        <v>3125</v>
      </c>
      <c r="D480" t="e">
        <f>VLOOKUP($C480,ТабКлиенты[[#All],[name]:[phone]],MATCH(D$1,ТабКлиенты[#Headers],0)-1,0)</f>
        <v>#N/A</v>
      </c>
      <c r="E480" t="e">
        <f>VLOOKUP($C480,ТабАдрес[[#All],[Клиент]:[gps]],MATCH(E$1,ТабКлиенты[#Headers],0)-4,0)</f>
        <v>#N/A</v>
      </c>
      <c r="F480" t="e">
        <f>VLOOKUP($C480,ТабАдрес[[#All],[Клиент]:[gps]],MATCH(F$1,ТабКлиенты[#Headers],0)-4,0)</f>
        <v>#N/A</v>
      </c>
      <c r="G480" s="183">
        <v>0.4236111111111111</v>
      </c>
      <c r="H480" s="181">
        <v>0</v>
      </c>
      <c r="I480" s="52">
        <v>403</v>
      </c>
      <c r="J480" s="52">
        <v>1</v>
      </c>
      <c r="K480" t="e">
        <f t="shared" si="10"/>
        <v>#N/A</v>
      </c>
    </row>
    <row r="481" spans="1:11" hidden="1" x14ac:dyDescent="0.25">
      <c r="A481">
        <v>5</v>
      </c>
      <c r="B481" s="179">
        <v>45668</v>
      </c>
      <c r="C481" t="s">
        <v>3417</v>
      </c>
      <c r="D481" t="e">
        <f>VLOOKUP($C481,ТабКлиенты[[#All],[name]:[phone]],MATCH(D$1,ТабКлиенты[#Headers],0)-1,0)</f>
        <v>#N/A</v>
      </c>
      <c r="E481" t="e">
        <f>VLOOKUP($C481,ТабАдрес[[#All],[Клиент]:[gps]],MATCH(E$1,ТабКлиенты[#Headers],0)-4,0)</f>
        <v>#N/A</v>
      </c>
      <c r="F481" t="e">
        <f>VLOOKUP($C481,ТабАдрес[[#All],[Клиент]:[gps]],MATCH(F$1,ТабКлиенты[#Headers],0)-4,0)</f>
        <v>#N/A</v>
      </c>
      <c r="G481" s="183">
        <v>0.43055555555555558</v>
      </c>
      <c r="H481" s="181">
        <v>0</v>
      </c>
      <c r="I481" s="52">
        <v>417</v>
      </c>
      <c r="J481" s="52">
        <v>1</v>
      </c>
      <c r="K481" t="e">
        <f t="shared" si="10"/>
        <v>#N/A</v>
      </c>
    </row>
    <row r="482" spans="1:11" hidden="1" x14ac:dyDescent="0.25">
      <c r="A482">
        <v>6</v>
      </c>
      <c r="B482" s="179">
        <v>45668</v>
      </c>
      <c r="C482" t="s">
        <v>3279</v>
      </c>
      <c r="D482" t="e">
        <f>VLOOKUP($C482,ТабКлиенты[[#All],[name]:[phone]],MATCH(D$1,ТабКлиенты[#Headers],0)-1,0)</f>
        <v>#N/A</v>
      </c>
      <c r="E482" t="e">
        <f>VLOOKUP($C482,ТабАдрес[[#All],[Клиент]:[gps]],MATCH(E$1,ТабКлиенты[#Headers],0)-4,0)</f>
        <v>#N/A</v>
      </c>
      <c r="F482" t="e">
        <f>VLOOKUP($C482,ТабАдрес[[#All],[Клиент]:[gps]],MATCH(F$1,ТабКлиенты[#Headers],0)-4,0)</f>
        <v>#N/A</v>
      </c>
      <c r="G482" s="183">
        <v>0.4375</v>
      </c>
      <c r="H482" s="181">
        <v>1281</v>
      </c>
      <c r="I482" s="52">
        <v>424</v>
      </c>
      <c r="J482" s="52">
        <v>1</v>
      </c>
      <c r="K482" t="e">
        <f t="shared" si="10"/>
        <v>#N/A</v>
      </c>
    </row>
    <row r="483" spans="1:11" hidden="1" x14ac:dyDescent="0.25">
      <c r="A483">
        <v>7</v>
      </c>
      <c r="B483" s="179">
        <v>45668</v>
      </c>
      <c r="C483" t="s">
        <v>3421</v>
      </c>
      <c r="D483" t="str">
        <f>VLOOKUP($C483,ТабКлиенты[[#All],[name]:[phone]],MATCH(D$1,ТабКлиенты[#Headers],0)-1,0)</f>
        <v>+79497399662</v>
      </c>
      <c r="E483" t="str">
        <f>VLOOKUP($C483,ТабАдрес[[#All],[Клиент]:[gps]],MATCH(E$1,ТабКлиенты[#Headers],0)-4,0)</f>
        <v>Шевченко 295 подъезд 3</v>
      </c>
      <c r="F483" t="str">
        <f>VLOOKUP($C483,ТабАдрес[[#All],[Клиент]:[gps]],MATCH(F$1,ТабКлиенты[#Headers],0)-4,0)</f>
        <v>47.1179, 37.5217</v>
      </c>
      <c r="G483" s="183">
        <v>0.44444444444444442</v>
      </c>
      <c r="H483" s="181">
        <v>0</v>
      </c>
      <c r="I483" s="52" t="s">
        <v>5</v>
      </c>
      <c r="J483" s="52">
        <v>1</v>
      </c>
      <c r="K483" t="str">
        <f t="shared" si="10"/>
        <v>7. 10:40 Наталья Шевченко
Тел.: +79497399662
Адрес: Шевченко 295 подъезд 3
№ заказа: Витамины
Кол-во мест: 1
https://yandex.ru/maps/?text=47.1179%2C37.5217
https://maps.google.com/?daddr=47.1179%2C37.5217
К оплате: **0
**--------------------------------</v>
      </c>
    </row>
    <row r="484" spans="1:11" hidden="1" x14ac:dyDescent="0.25">
      <c r="A484">
        <v>8</v>
      </c>
      <c r="B484" s="179">
        <v>45668</v>
      </c>
      <c r="C484" t="s">
        <v>3334</v>
      </c>
      <c r="D484" t="e">
        <f>VLOOKUP($C484,ТабКлиенты[[#All],[name]:[phone]],MATCH(D$1,ТабКлиенты[#Headers],0)-1,0)</f>
        <v>#N/A</v>
      </c>
      <c r="E484" t="e">
        <f>VLOOKUP($C484,ТабАдрес[[#All],[Клиент]:[gps]],MATCH(E$1,ТабКлиенты[#Headers],0)-4,0)</f>
        <v>#N/A</v>
      </c>
      <c r="F484" t="e">
        <f>VLOOKUP($C484,ТабАдрес[[#All],[Клиент]:[gps]],MATCH(F$1,ТабКлиенты[#Headers],0)-4,0)</f>
        <v>#N/A</v>
      </c>
      <c r="G484" s="183">
        <v>0.4513888888888889</v>
      </c>
      <c r="H484" s="181">
        <v>0</v>
      </c>
      <c r="I484" s="52">
        <v>407</v>
      </c>
      <c r="J484" s="52">
        <v>1</v>
      </c>
      <c r="K484" t="e">
        <f t="shared" si="10"/>
        <v>#N/A</v>
      </c>
    </row>
    <row r="485" spans="1:11" hidden="1" x14ac:dyDescent="0.25">
      <c r="A485">
        <v>9</v>
      </c>
      <c r="B485" s="179">
        <v>45668</v>
      </c>
      <c r="C485" t="s">
        <v>3263</v>
      </c>
      <c r="D485" t="e">
        <f>VLOOKUP($C485,ТабКлиенты[[#All],[name]:[phone]],MATCH(D$1,ТабКлиенты[#Headers],0)-1,0)</f>
        <v>#N/A</v>
      </c>
      <c r="E485" t="e">
        <f>VLOOKUP($C485,ТабАдрес[[#All],[Клиент]:[gps]],MATCH(E$1,ТабКлиенты[#Headers],0)-4,0)</f>
        <v>#N/A</v>
      </c>
      <c r="F485" t="e">
        <f>VLOOKUP($C485,ТабАдрес[[#All],[Клиент]:[gps]],MATCH(F$1,ТабКлиенты[#Headers],0)-4,0)</f>
        <v>#N/A</v>
      </c>
      <c r="G485" s="183">
        <v>0.45833333333333331</v>
      </c>
      <c r="H485" s="181">
        <v>368</v>
      </c>
      <c r="I485" s="52">
        <v>425</v>
      </c>
      <c r="J485" s="52">
        <v>1</v>
      </c>
      <c r="K485" t="e">
        <f t="shared" si="10"/>
        <v>#N/A</v>
      </c>
    </row>
    <row r="486" spans="1:11" hidden="1" x14ac:dyDescent="0.25">
      <c r="A486">
        <v>10</v>
      </c>
      <c r="B486" s="179">
        <v>45668</v>
      </c>
      <c r="C486" t="s">
        <v>3143</v>
      </c>
      <c r="D486" t="e">
        <f>VLOOKUP($C486,ТабКлиенты[[#All],[name]:[phone]],MATCH(D$1,ТабКлиенты[#Headers],0)-1,0)</f>
        <v>#N/A</v>
      </c>
      <c r="E486" t="e">
        <f>VLOOKUP($C486,ТабАдрес[[#All],[Клиент]:[gps]],MATCH(E$1,ТабКлиенты[#Headers],0)-4,0)</f>
        <v>#N/A</v>
      </c>
      <c r="F486" t="e">
        <f>VLOOKUP($C486,ТабАдрес[[#All],[Клиент]:[gps]],MATCH(F$1,ТабКлиенты[#Headers],0)-4,0)</f>
        <v>#N/A</v>
      </c>
      <c r="G486" s="183">
        <v>0.46875</v>
      </c>
      <c r="H486" s="181">
        <v>0</v>
      </c>
      <c r="I486" s="52">
        <v>414</v>
      </c>
      <c r="J486" s="52">
        <v>1</v>
      </c>
      <c r="K486" t="e">
        <f t="shared" si="10"/>
        <v>#N/A</v>
      </c>
    </row>
    <row r="487" spans="1:11" hidden="1" x14ac:dyDescent="0.25">
      <c r="A487">
        <v>11</v>
      </c>
      <c r="B487" s="179">
        <v>45668</v>
      </c>
      <c r="C487" t="s">
        <v>3144</v>
      </c>
      <c r="D487" t="e">
        <f>VLOOKUP($C487,ТабКлиенты[[#All],[name]:[phone]],MATCH(D$1,ТабКлиенты[#Headers],0)-1,0)</f>
        <v>#N/A</v>
      </c>
      <c r="E487" t="e">
        <f>VLOOKUP($C487,ТабАдрес[[#All],[Клиент]:[gps]],MATCH(E$1,ТабКлиенты[#Headers],0)-4,0)</f>
        <v>#N/A</v>
      </c>
      <c r="F487" t="e">
        <f>VLOOKUP($C487,ТабАдрес[[#All],[Клиент]:[gps]],MATCH(F$1,ТабКлиенты[#Headers],0)-4,0)</f>
        <v>#N/A</v>
      </c>
      <c r="G487" s="183">
        <v>0.47222222222222221</v>
      </c>
      <c r="H487" s="181">
        <v>0</v>
      </c>
      <c r="I487" s="52">
        <v>426</v>
      </c>
      <c r="J487" s="52">
        <v>1</v>
      </c>
      <c r="K487" t="e">
        <f t="shared" si="10"/>
        <v>#N/A</v>
      </c>
    </row>
    <row r="488" spans="1:11" hidden="1" x14ac:dyDescent="0.25">
      <c r="A488">
        <v>12</v>
      </c>
      <c r="B488" s="179">
        <v>45668</v>
      </c>
      <c r="C488" t="s">
        <v>3167</v>
      </c>
      <c r="D488" t="e">
        <f>VLOOKUP($C488,ТабКлиенты[[#All],[name]:[phone]],MATCH(D$1,ТабКлиенты[#Headers],0)-1,0)</f>
        <v>#N/A</v>
      </c>
      <c r="E488" t="e">
        <f>VLOOKUP($C488,ТабАдрес[[#All],[Клиент]:[gps]],MATCH(E$1,ТабКлиенты[#Headers],0)-4,0)</f>
        <v>#N/A</v>
      </c>
      <c r="F488" t="e">
        <f>VLOOKUP($C488,ТабАдрес[[#All],[Клиент]:[gps]],MATCH(F$1,ТабКлиенты[#Headers],0)-4,0)</f>
        <v>#N/A</v>
      </c>
      <c r="G488" s="183">
        <v>0.47916666666666669</v>
      </c>
      <c r="H488" s="181">
        <v>0</v>
      </c>
      <c r="I488" s="52">
        <v>418</v>
      </c>
      <c r="J488" s="52">
        <v>1</v>
      </c>
      <c r="K488" t="e">
        <f t="shared" si="10"/>
        <v>#N/A</v>
      </c>
    </row>
    <row r="489" spans="1:11" hidden="1" x14ac:dyDescent="0.25">
      <c r="A489">
        <v>1</v>
      </c>
      <c r="B489" s="179">
        <v>45675</v>
      </c>
      <c r="C489" t="s">
        <v>3430</v>
      </c>
      <c r="D489" t="str">
        <f>VLOOKUP($C489,ТабКлиенты[[#All],[name]:[phone]],MATCH(D$1,ТабКлиенты[#Headers],0)-1,0)</f>
        <v>+79497248825</v>
      </c>
      <c r="E489" t="str">
        <f>VLOOKUP($C489,ТабАдрес[[#All],[Клиент]:[gps]],MATCH(E$1,ТабКлиенты[#Headers],0)-4,0)</f>
        <v>Писарева 28</v>
      </c>
      <c r="F489" t="str">
        <f>VLOOKUP($C489,ТабАдрес[[#All],[Клиент]:[gps]],MATCH(F$1,ТабКлиенты[#Headers],0)-4,0)</f>
        <v>47.1067, 37.5486</v>
      </c>
      <c r="G489" s="183">
        <v>0.375</v>
      </c>
      <c r="H489" s="181">
        <v>3600</v>
      </c>
      <c r="I489" s="52" t="s">
        <v>4311</v>
      </c>
      <c r="J489" s="52">
        <v>1</v>
      </c>
      <c r="K489" t="str">
        <f t="shared" si="10"/>
        <v>1. 09:00 Лиля Эдельвейс
Тел.: +79497248825
Адрес: Писарева 28
№ заказа: Витамины 8
Кол-во мест: 1
https://yandex.ru/maps/?text=47.1067%2C37.5486
https://maps.google.com/?daddr=47.1067%2C37.5486
К оплате: **3600
**--------------------------------</v>
      </c>
    </row>
    <row r="490" spans="1:11" hidden="1" x14ac:dyDescent="0.25">
      <c r="A490">
        <v>2</v>
      </c>
      <c r="B490" s="179">
        <v>45675</v>
      </c>
      <c r="C490" t="s">
        <v>3296</v>
      </c>
      <c r="D490" t="e">
        <f>VLOOKUP($C490,ТабКлиенты[[#All],[name]:[phone]],MATCH(D$1,ТабКлиенты[#Headers],0)-1,0)</f>
        <v>#N/A</v>
      </c>
      <c r="E490" t="e">
        <f>VLOOKUP($C490,ТабАдрес[[#All],[Клиент]:[gps]],MATCH(E$1,ТабКлиенты[#Headers],0)-4,0)</f>
        <v>#N/A</v>
      </c>
      <c r="F490" t="e">
        <f>VLOOKUP($C490,ТабАдрес[[#All],[Клиент]:[gps]],MATCH(F$1,ТабКлиенты[#Headers],0)-4,0)</f>
        <v>#N/A</v>
      </c>
      <c r="G490" s="183">
        <v>0.38194444444444442</v>
      </c>
      <c r="H490" s="181">
        <v>5000</v>
      </c>
      <c r="I490" s="52" t="s">
        <v>4307</v>
      </c>
      <c r="J490" s="52">
        <v>1</v>
      </c>
      <c r="K490" t="e">
        <f t="shared" si="10"/>
        <v>#N/A</v>
      </c>
    </row>
    <row r="491" spans="1:11" hidden="1" x14ac:dyDescent="0.25">
      <c r="A491">
        <v>3</v>
      </c>
      <c r="B491" s="179">
        <v>45675</v>
      </c>
      <c r="C491" t="s">
        <v>3260</v>
      </c>
      <c r="D491" t="e">
        <f>VLOOKUP($C491,ТабКлиенты[[#All],[name]:[phone]],MATCH(D$1,ТабКлиенты[#Headers],0)-1,0)</f>
        <v>#N/A</v>
      </c>
      <c r="E491" t="e">
        <f>VLOOKUP($C491,ТабАдрес[[#All],[Клиент]:[gps]],MATCH(E$1,ТабКлиенты[#Headers],0)-4,0)</f>
        <v>#N/A</v>
      </c>
      <c r="F491" t="e">
        <f>VLOOKUP($C491,ТабАдрес[[#All],[Клиент]:[gps]],MATCH(F$1,ТабКлиенты[#Headers],0)-4,0)</f>
        <v>#N/A</v>
      </c>
      <c r="G491" s="183">
        <v>0.3888888888888889</v>
      </c>
      <c r="H491" s="181">
        <v>0</v>
      </c>
      <c r="I491" s="52">
        <v>428</v>
      </c>
      <c r="J491" s="52">
        <v>5</v>
      </c>
      <c r="K491" t="e">
        <f t="shared" si="10"/>
        <v>#N/A</v>
      </c>
    </row>
    <row r="492" spans="1:11" hidden="1" x14ac:dyDescent="0.25">
      <c r="A492">
        <v>4</v>
      </c>
      <c r="B492" s="179">
        <v>45675</v>
      </c>
      <c r="C492" t="s">
        <v>3425</v>
      </c>
      <c r="D492" t="e">
        <f>VLOOKUP($C492,ТабКлиенты[[#All],[name]:[phone]],MATCH(D$1,ТабКлиенты[#Headers],0)-1,0)</f>
        <v>#N/A</v>
      </c>
      <c r="E492" t="e">
        <f>VLOOKUP($C492,ТабАдрес[[#All],[Клиент]:[gps]],MATCH(E$1,ТабКлиенты[#Headers],0)-4,0)</f>
        <v>#N/A</v>
      </c>
      <c r="F492" t="e">
        <f>VLOOKUP($C492,ТабАдрес[[#All],[Клиент]:[gps]],MATCH(F$1,ТабКлиенты[#Headers],0)-4,0)</f>
        <v>#N/A</v>
      </c>
      <c r="G492" s="183">
        <v>0.39583333333333331</v>
      </c>
      <c r="H492" s="181">
        <v>1683</v>
      </c>
      <c r="I492" s="52">
        <v>430</v>
      </c>
      <c r="J492" s="52">
        <v>1</v>
      </c>
      <c r="K492" t="e">
        <f t="shared" si="10"/>
        <v>#N/A</v>
      </c>
    </row>
    <row r="493" spans="1:11" hidden="1" x14ac:dyDescent="0.25">
      <c r="A493">
        <v>5</v>
      </c>
      <c r="B493" s="179">
        <v>45675</v>
      </c>
      <c r="C493" t="s">
        <v>3210</v>
      </c>
      <c r="D493" t="e">
        <f>VLOOKUP($C493,ТабКлиенты[[#All],[name]:[phone]],MATCH(D$1,ТабКлиенты[#Headers],0)-1,0)</f>
        <v>#N/A</v>
      </c>
      <c r="E493" t="e">
        <f>VLOOKUP($C493,ТабАдрес[[#All],[Клиент]:[gps]],MATCH(E$1,ТабКлиенты[#Headers],0)-4,0)</f>
        <v>#N/A</v>
      </c>
      <c r="F493" t="e">
        <f>VLOOKUP($C493,ТабАдрес[[#All],[Клиент]:[gps]],MATCH(F$1,ТабКлиенты[#Headers],0)-4,0)</f>
        <v>#N/A</v>
      </c>
      <c r="G493" s="183">
        <v>0.39930555555555558</v>
      </c>
      <c r="H493" s="181">
        <v>0</v>
      </c>
      <c r="I493" s="52">
        <v>420</v>
      </c>
      <c r="J493" s="52">
        <v>1</v>
      </c>
      <c r="K493" t="e">
        <f t="shared" si="10"/>
        <v>#N/A</v>
      </c>
    </row>
    <row r="494" spans="1:11" hidden="1" x14ac:dyDescent="0.25">
      <c r="A494">
        <v>6</v>
      </c>
      <c r="B494" s="179">
        <v>45675</v>
      </c>
      <c r="C494" t="s">
        <v>3131</v>
      </c>
      <c r="D494" t="e">
        <f>VLOOKUP($C494,ТабКлиенты[[#All],[name]:[phone]],MATCH(D$1,ТабКлиенты[#Headers],0)-1,0)</f>
        <v>#N/A</v>
      </c>
      <c r="E494" t="e">
        <f>VLOOKUP($C494,ТабАдрес[[#All],[Клиент]:[gps]],MATCH(E$1,ТабКлиенты[#Headers],0)-4,0)</f>
        <v>#N/A</v>
      </c>
      <c r="F494" t="e">
        <f>VLOOKUP($C494,ТабАдрес[[#All],[Клиент]:[gps]],MATCH(F$1,ТабКлиенты[#Headers],0)-4,0)</f>
        <v>#N/A</v>
      </c>
      <c r="G494" s="183">
        <v>0.40277777777777779</v>
      </c>
      <c r="H494" s="181">
        <v>0</v>
      </c>
      <c r="I494" s="52">
        <v>409</v>
      </c>
      <c r="J494" s="52">
        <v>1</v>
      </c>
      <c r="K494" t="e">
        <f t="shared" si="10"/>
        <v>#N/A</v>
      </c>
    </row>
    <row r="495" spans="1:11" hidden="1" x14ac:dyDescent="0.25">
      <c r="A495">
        <v>7</v>
      </c>
      <c r="B495" s="179">
        <v>45675</v>
      </c>
      <c r="C495" t="s">
        <v>3252</v>
      </c>
      <c r="D495" t="str">
        <f>VLOOKUP($C495,ТабКлиенты[[#All],[name]:[phone]],MATCH(D$1,ТабКлиенты[#Headers],0)-1,0)</f>
        <v>+79497115237</v>
      </c>
      <c r="E495" t="str">
        <f>VLOOKUP($C495,ТабАдрес[[#All],[Клиент]:[gps]],MATCH(E$1,ТабКлиенты[#Headers],0)-4,0)</f>
        <v>пер Станционный 8</v>
      </c>
      <c r="F495" t="str">
        <f>VLOOKUP($C495,ТабАдрес[[#All],[Клиент]:[gps]],MATCH(F$1,ТабКлиенты[#Headers],0)-4,0)</f>
        <v>47.1640, 37.5780</v>
      </c>
      <c r="G495" s="183">
        <v>0.41666666666666669</v>
      </c>
      <c r="H495" s="181">
        <v>3100</v>
      </c>
      <c r="I495" s="52" t="s">
        <v>4304</v>
      </c>
      <c r="J495" s="52">
        <v>1</v>
      </c>
      <c r="K495" t="str">
        <f t="shared" si="10"/>
        <v>7. 10:00 Аня Мирный
Тел.: +79497115237
Адрес: пер Станционный 8
№ заказа: Витамины 1
Кол-во мест: 1
https://yandex.ru/maps/?text=47.1640%2C37.5780
https://maps.google.com/?daddr=47.1640%2C37.5780
К оплате: **3100
**--------------------------------</v>
      </c>
    </row>
    <row r="496" spans="1:11" hidden="1" x14ac:dyDescent="0.25">
      <c r="A496">
        <v>8</v>
      </c>
      <c r="B496" s="179">
        <v>45675</v>
      </c>
      <c r="C496" t="s">
        <v>3181</v>
      </c>
      <c r="D496" t="str">
        <f>VLOOKUP($C496,ТабКлиенты[[#All],[name]:[phone]],MATCH(D$1,ТабКлиенты[#Headers],0)-1,0)</f>
        <v>+79497106271</v>
      </c>
      <c r="E496" t="str">
        <f>VLOOKUP($C496,ТабАдрес[[#All],[Клиент]:[gps]],MATCH(E$1,ТабКлиенты[#Headers],0)-4,0)</f>
        <v>Урицкого 77</v>
      </c>
      <c r="F496" t="str">
        <f>VLOOKUP($C496,ТабАдрес[[#All],[Клиент]:[gps]],MATCH(F$1,ТабКлиенты[#Headers],0)-4,0)</f>
        <v>47.1228, 37.5167</v>
      </c>
      <c r="G496" s="183">
        <v>0.43402777777777779</v>
      </c>
      <c r="H496" s="181">
        <v>0</v>
      </c>
      <c r="I496" s="52" t="s">
        <v>4305</v>
      </c>
      <c r="J496" s="52">
        <v>1</v>
      </c>
      <c r="K496" t="str">
        <f t="shared" si="10"/>
        <v>8. 10:25 Наталья Школа 53
Тел.: +79497106271
Адрес: Урицкого 77
№ заказа: Витамины 2
Кол-во мест: 1
https://yandex.ru/maps/?text=47.1228%2C37.5167
https://maps.google.com/?daddr=47.1228%2C37.5167
К оплате: **0
**--------------------------------</v>
      </c>
    </row>
    <row r="497" spans="1:11" hidden="1" x14ac:dyDescent="0.25">
      <c r="A497">
        <v>9</v>
      </c>
      <c r="B497" s="179">
        <v>45675</v>
      </c>
      <c r="C497" t="s">
        <v>3198</v>
      </c>
      <c r="D497" t="str">
        <f>VLOOKUP($C497,ТабКлиенты[[#All],[name]:[phone]],MATCH(D$1,ТабКлиенты[#Headers],0)-1,0)</f>
        <v>+79497094719</v>
      </c>
      <c r="E497" t="str">
        <f>VLOOKUP($C497,ТабАдрес[[#All],[Клиент]:[gps]],MATCH(E$1,ТабКлиенты[#Headers],0)-4,0)</f>
        <v>60 лет СССР 2Б</v>
      </c>
      <c r="F497" t="str">
        <f>VLOOKUP($C497,ТабАдрес[[#All],[Клиент]:[gps]],MATCH(F$1,ТабКлиенты[#Headers],0)-4,0)</f>
        <v>47.1178, 37.5121</v>
      </c>
      <c r="G497" s="183">
        <v>0.44097222222222221</v>
      </c>
      <c r="H497" s="181">
        <v>2500</v>
      </c>
      <c r="I497" s="52" t="s">
        <v>4306</v>
      </c>
      <c r="J497" s="52">
        <v>1</v>
      </c>
      <c r="K497" t="str">
        <f t="shared" si="10"/>
        <v>9. 10:35 Наталья 60 лет СССР
Тел.: +79497094719
Адрес: 60 лет СССР 2Б
№ заказа: Витамины 3
Кол-во мест: 1
https://yandex.ru/maps/?text=47.1178%2C37.5121
https://maps.google.com/?daddr=47.1178%2C37.5121
К оплате: **2500
**--------------------------------</v>
      </c>
    </row>
    <row r="498" spans="1:11" hidden="1" x14ac:dyDescent="0.25">
      <c r="A498">
        <v>10</v>
      </c>
      <c r="B498" s="179">
        <v>45675</v>
      </c>
      <c r="C498" t="s">
        <v>3419</v>
      </c>
      <c r="D498" t="e">
        <f>VLOOKUP($C498,ТабКлиенты[[#All],[name]:[phone]],MATCH(D$1,ТабКлиенты[#Headers],0)-1,0)</f>
        <v>#N/A</v>
      </c>
      <c r="E498" t="e">
        <f>VLOOKUP($C498,ТабАдрес[[#All],[Клиент]:[gps]],MATCH(E$1,ТабКлиенты[#Headers],0)-4,0)</f>
        <v>#N/A</v>
      </c>
      <c r="F498" t="e">
        <f>VLOOKUP($C498,ТабАдрес[[#All],[Клиент]:[gps]],MATCH(F$1,ТабКлиенты[#Headers],0)-4,0)</f>
        <v>#N/A</v>
      </c>
      <c r="G498" s="183">
        <v>0.44791666666666669</v>
      </c>
      <c r="H498" s="181">
        <v>0</v>
      </c>
      <c r="I498" s="52">
        <v>423</v>
      </c>
      <c r="J498" s="52">
        <v>1</v>
      </c>
      <c r="K498" t="e">
        <f t="shared" si="10"/>
        <v>#N/A</v>
      </c>
    </row>
    <row r="499" spans="1:11" hidden="1" x14ac:dyDescent="0.25">
      <c r="A499">
        <v>11</v>
      </c>
      <c r="B499" s="179">
        <v>45675</v>
      </c>
      <c r="C499" t="s">
        <v>3282</v>
      </c>
      <c r="D499" t="str">
        <f>VLOOKUP($C499,ТабКлиенты[[#All],[name]:[phone]],MATCH(D$1,ТабКлиенты[#Headers],0)-1,0)</f>
        <v>+79497054056</v>
      </c>
      <c r="E499" t="str">
        <f>VLOOKUP($C499,ТабАдрес[[#All],[Клиент]:[gps]],MATCH(E$1,ТабКлиенты[#Headers],0)-4,0)</f>
        <v>пер. Новгородский 41</v>
      </c>
      <c r="F499" t="str">
        <f>VLOOKUP($C499,ТабАдрес[[#All],[Клиент]:[gps]],MATCH(F$1,ТабКлиенты[#Headers],0)-4,0)</f>
        <v>47.1100, 37.5242</v>
      </c>
      <c r="G499" s="183">
        <v>0.4548611111111111</v>
      </c>
      <c r="H499" s="181">
        <v>5750</v>
      </c>
      <c r="I499" s="52" t="s">
        <v>4310</v>
      </c>
      <c r="J499" s="52">
        <v>1</v>
      </c>
      <c r="K499" t="str">
        <f t="shared" si="10"/>
        <v>11. 10:55 Лариса Терраспорт
Тел.: +79497054056
Адрес: пер. Новгородский 41
№ заказа: Витамины 6
Кол-во мест: 1
https://yandex.ru/maps/?text=47.1100%2C37.5242
https://maps.google.com/?daddr=47.1100%2C37.5242
К оплате: **5750
**--------------------------------</v>
      </c>
    </row>
    <row r="500" spans="1:11" hidden="1" x14ac:dyDescent="0.25">
      <c r="A500">
        <v>12</v>
      </c>
      <c r="B500" s="179">
        <v>45675</v>
      </c>
      <c r="C500" t="s">
        <v>3338</v>
      </c>
      <c r="D500" t="e">
        <f>VLOOKUP($C500,ТабКлиенты[[#All],[name]:[phone]],MATCH(D$1,ТабКлиенты[#Headers],0)-1,0)</f>
        <v>#N/A</v>
      </c>
      <c r="E500" t="e">
        <f>VLOOKUP($C500,ТабАдрес[[#All],[Клиент]:[gps]],MATCH(E$1,ТабКлиенты[#Headers],0)-4,0)</f>
        <v>#N/A</v>
      </c>
      <c r="F500" t="e">
        <f>VLOOKUP($C500,ТабАдрес[[#All],[Клиент]:[gps]],MATCH(F$1,ТабКлиенты[#Headers],0)-4,0)</f>
        <v>#N/A</v>
      </c>
      <c r="G500" s="183">
        <v>0.46527777777777779</v>
      </c>
      <c r="H500" s="181">
        <v>0</v>
      </c>
      <c r="I500" s="52">
        <v>432</v>
      </c>
      <c r="J500" s="52">
        <v>1</v>
      </c>
      <c r="K500" t="e">
        <f t="shared" si="10"/>
        <v>#N/A</v>
      </c>
    </row>
    <row r="501" spans="1:11" hidden="1" x14ac:dyDescent="0.25">
      <c r="A501">
        <v>13</v>
      </c>
      <c r="B501" s="179">
        <v>45675</v>
      </c>
      <c r="C501" t="s">
        <v>3263</v>
      </c>
      <c r="D501" t="e">
        <f>VLOOKUP($C501,ТабКлиенты[[#All],[name]:[phone]],MATCH(D$1,ТабКлиенты[#Headers],0)-1,0)</f>
        <v>#N/A</v>
      </c>
      <c r="E501" t="e">
        <f>VLOOKUP($C501,ТабАдрес[[#All],[Клиент]:[gps]],MATCH(E$1,ТабКлиенты[#Headers],0)-4,0)</f>
        <v>#N/A</v>
      </c>
      <c r="F501" t="e">
        <f>VLOOKUP($C501,ТабАдрес[[#All],[Клиент]:[gps]],MATCH(F$1,ТабКлиенты[#Headers],0)-4,0)</f>
        <v>#N/A</v>
      </c>
      <c r="G501" s="183">
        <v>0.47222222222222221</v>
      </c>
      <c r="H501" s="181">
        <v>431</v>
      </c>
      <c r="I501" s="52">
        <v>435</v>
      </c>
      <c r="J501" s="52">
        <v>1</v>
      </c>
      <c r="K501" t="e">
        <f t="shared" si="10"/>
        <v>#N/A</v>
      </c>
    </row>
    <row r="502" spans="1:11" hidden="1" x14ac:dyDescent="0.25">
      <c r="A502">
        <v>14</v>
      </c>
      <c r="B502" s="179">
        <v>45675</v>
      </c>
      <c r="C502" t="s">
        <v>3226</v>
      </c>
      <c r="D502" t="str">
        <f>VLOOKUP($C502,ТабКлиенты[[#All],[name]:[phone]],MATCH(D$1,ТабКлиенты[#Headers],0)-1,0)</f>
        <v>+79497169864</v>
      </c>
      <c r="E502" t="str">
        <f>VLOOKUP($C502,ТабАдрес[[#All],[Клиент]:[gps]],MATCH(E$1,ТабКлиенты[#Headers],0)-4,0)</f>
        <v>Строителей, 102</v>
      </c>
      <c r="F502" t="str">
        <f>VLOOKUP($C502,ТабАдрес[[#All],[Клиент]:[gps]],MATCH(F$1,ТабКлиенты[#Headers],0)-4,0)</f>
        <v>47.100776, 37.522477</v>
      </c>
      <c r="G502" s="183">
        <v>0.47916666666666669</v>
      </c>
      <c r="H502" s="181">
        <v>0</v>
      </c>
      <c r="I502" s="52" t="s">
        <v>4309</v>
      </c>
      <c r="J502" s="52">
        <v>1</v>
      </c>
      <c r="K502" t="str">
        <f t="shared" si="10"/>
        <v>14. 11:30 Надежда Витамины
Тел.: +79497169864
Адрес: Строителей, 102
№ заказа: Витамины 5
Кол-во мест: 1
https://yandex.ru/maps/?text=47.100776%2C37.522477
https://maps.google.com/?daddr=47.100776%2C37.522477
К оплате: **0
**--------------------------------</v>
      </c>
    </row>
    <row r="503" spans="1:11" hidden="1" x14ac:dyDescent="0.25">
      <c r="A503">
        <v>15</v>
      </c>
      <c r="B503" s="179">
        <v>45675</v>
      </c>
      <c r="C503" t="s">
        <v>3335</v>
      </c>
      <c r="D503" t="e">
        <f>VLOOKUP($C503,ТабКлиенты[[#All],[name]:[phone]],MATCH(D$1,ТабКлиенты[#Headers],0)-1,0)</f>
        <v>#N/A</v>
      </c>
      <c r="E503" t="e">
        <f>VLOOKUP($C503,ТабАдрес[[#All],[Клиент]:[gps]],MATCH(E$1,ТабКлиенты[#Headers],0)-4,0)</f>
        <v>#N/A</v>
      </c>
      <c r="F503" t="e">
        <f>VLOOKUP($C503,ТабАдрес[[#All],[Клиент]:[gps]],MATCH(F$1,ТабКлиенты[#Headers],0)-4,0)</f>
        <v>#N/A</v>
      </c>
      <c r="G503" s="183">
        <v>0.4861111111111111</v>
      </c>
      <c r="H503" s="181">
        <v>1669</v>
      </c>
      <c r="I503" s="52">
        <v>434</v>
      </c>
      <c r="J503" s="52">
        <v>2</v>
      </c>
      <c r="K503" t="e">
        <f t="shared" si="10"/>
        <v>#N/A</v>
      </c>
    </row>
    <row r="504" spans="1:11" hidden="1" x14ac:dyDescent="0.25">
      <c r="A504">
        <v>16</v>
      </c>
      <c r="B504" s="179">
        <v>45675</v>
      </c>
      <c r="C504" t="s">
        <v>3281</v>
      </c>
      <c r="D504" t="e">
        <f>VLOOKUP($C504,ТабКлиенты[[#All],[name]:[phone]],MATCH(D$1,ТабКлиенты[#Headers],0)-1,0)</f>
        <v>#N/A</v>
      </c>
      <c r="E504" t="e">
        <f>VLOOKUP($C504,ТабАдрес[[#All],[Клиент]:[gps]],MATCH(E$1,ТабКлиенты[#Headers],0)-4,0)</f>
        <v>#N/A</v>
      </c>
      <c r="F504" t="e">
        <f>VLOOKUP($C504,ТабАдрес[[#All],[Клиент]:[gps]],MATCH(F$1,ТабКлиенты[#Headers],0)-4,0)</f>
        <v>#N/A</v>
      </c>
      <c r="G504" s="183">
        <v>0.49305555555555558</v>
      </c>
      <c r="H504" s="181">
        <v>0</v>
      </c>
      <c r="I504" s="52">
        <v>436</v>
      </c>
      <c r="J504" s="52">
        <v>1</v>
      </c>
      <c r="K504" t="e">
        <f t="shared" si="10"/>
        <v>#N/A</v>
      </c>
    </row>
    <row r="505" spans="1:11" hidden="1" x14ac:dyDescent="0.25">
      <c r="A505">
        <v>17</v>
      </c>
      <c r="B505" s="179">
        <v>45675</v>
      </c>
      <c r="C505" t="s">
        <v>3143</v>
      </c>
      <c r="D505" t="e">
        <f>VLOOKUP($C505,ТабКлиенты[[#All],[name]:[phone]],MATCH(D$1,ТабКлиенты[#Headers],0)-1,0)</f>
        <v>#N/A</v>
      </c>
      <c r="E505" t="e">
        <f>VLOOKUP($C505,ТабАдрес[[#All],[Клиент]:[gps]],MATCH(E$1,ТабКлиенты[#Headers],0)-4,0)</f>
        <v>#N/A</v>
      </c>
      <c r="F505" t="e">
        <f>VLOOKUP($C505,ТабАдрес[[#All],[Клиент]:[gps]],MATCH(F$1,ТабКлиенты[#Headers],0)-4,0)</f>
        <v>#N/A</v>
      </c>
      <c r="G505" s="183">
        <v>0.5</v>
      </c>
      <c r="H505" s="181">
        <v>0</v>
      </c>
      <c r="I505" s="52">
        <v>414</v>
      </c>
      <c r="J505" s="52">
        <v>1</v>
      </c>
      <c r="K505" t="e">
        <f t="shared" si="10"/>
        <v>#N/A</v>
      </c>
    </row>
    <row r="506" spans="1:11" hidden="1" x14ac:dyDescent="0.25">
      <c r="A506">
        <v>18</v>
      </c>
      <c r="B506" s="179">
        <v>45675</v>
      </c>
      <c r="C506" t="s">
        <v>3348</v>
      </c>
      <c r="D506" t="e">
        <f>VLOOKUP($C506,ТабКлиенты[[#All],[name]:[phone]],MATCH(D$1,ТабКлиенты[#Headers],0)-1,0)</f>
        <v>#N/A</v>
      </c>
      <c r="E506" t="e">
        <f>VLOOKUP($C506,ТабАдрес[[#All],[Клиент]:[gps]],MATCH(E$1,ТабКлиенты[#Headers],0)-4,0)</f>
        <v>#N/A</v>
      </c>
      <c r="F506" t="e">
        <f>VLOOKUP($C506,ТабАдрес[[#All],[Клиент]:[gps]],MATCH(F$1,ТабКлиенты[#Headers],0)-4,0)</f>
        <v>#N/A</v>
      </c>
      <c r="G506" s="183">
        <v>0.51041666666666663</v>
      </c>
      <c r="H506" s="181">
        <v>240</v>
      </c>
      <c r="I506" s="52">
        <v>437</v>
      </c>
      <c r="J506" s="52">
        <v>1</v>
      </c>
      <c r="K506" t="e">
        <f t="shared" si="10"/>
        <v>#N/A</v>
      </c>
    </row>
    <row r="507" spans="1:11" hidden="1" x14ac:dyDescent="0.25">
      <c r="A507">
        <v>20</v>
      </c>
      <c r="B507" s="179">
        <v>45675</v>
      </c>
      <c r="C507" t="s">
        <v>3426</v>
      </c>
      <c r="D507" t="str">
        <f>VLOOKUP($C507,ТабКлиенты[[#All],[name]:[phone]],MATCH(D$1,ТабКлиенты[#Headers],0)-1,0)</f>
        <v>+79497377568</v>
      </c>
      <c r="E507" t="str">
        <f>VLOOKUP($C507,ТабАдрес[[#All],[Клиент]:[gps]],MATCH(E$1,ТабКлиенты[#Headers],0)-4,0)</f>
        <v>Металлургов 33</v>
      </c>
      <c r="F507" t="str">
        <f>VLOOKUP($C507,ТабАдрес[[#All],[Клиент]:[gps]],MATCH(F$1,ТабКлиенты[#Headers],0)-4,0)</f>
        <v>47.0952, 37.5438</v>
      </c>
      <c r="G507" s="183">
        <v>0.625</v>
      </c>
      <c r="H507" s="181">
        <v>4300</v>
      </c>
      <c r="I507" s="52" t="s">
        <v>4312</v>
      </c>
      <c r="J507" s="52">
        <v>1</v>
      </c>
      <c r="K507" t="str">
        <f t="shared" si="10"/>
        <v>20. 15:00 Власта консалтинг
Тел.: +79497377568
Адрес: Металлургов 33
№ заказа: Витамины 7
Кол-во мест: 1
https://yandex.ru/maps/?text=47.0952%2C37.5438
https://maps.google.com/?daddr=47.0952%2C37.5438
К оплате: **4300
**--------------------------------</v>
      </c>
    </row>
    <row r="508" spans="1:11" hidden="1" x14ac:dyDescent="0.25">
      <c r="A508">
        <v>21</v>
      </c>
      <c r="B508" s="179">
        <v>45675</v>
      </c>
      <c r="C508" t="s">
        <v>3167</v>
      </c>
      <c r="D508" t="e">
        <f>VLOOKUP($C508,ТабКлиенты[[#All],[name]:[phone]],MATCH(D$1,ТабКлиенты[#Headers],0)-1,0)</f>
        <v>#N/A</v>
      </c>
      <c r="E508" t="e">
        <f>VLOOKUP($C508,ТабАдрес[[#All],[Клиент]:[gps]],MATCH(E$1,ТабКлиенты[#Headers],0)-4,0)</f>
        <v>#N/A</v>
      </c>
      <c r="F508" t="e">
        <f>VLOOKUP($C508,ТабАдрес[[#All],[Клиент]:[gps]],MATCH(F$1,ТабКлиенты[#Headers],0)-4,0)</f>
        <v>#N/A</v>
      </c>
      <c r="G508" s="183">
        <v>0.63541666666666663</v>
      </c>
      <c r="H508" s="181">
        <v>0</v>
      </c>
      <c r="I508" s="52">
        <v>431</v>
      </c>
      <c r="J508" s="52">
        <v>1</v>
      </c>
      <c r="K508" t="e">
        <f t="shared" si="10"/>
        <v>#N/A</v>
      </c>
    </row>
    <row r="509" spans="1:11" hidden="1" x14ac:dyDescent="0.25">
      <c r="A509">
        <v>1</v>
      </c>
      <c r="B509" s="179">
        <v>45682</v>
      </c>
      <c r="C509" t="s">
        <v>3137</v>
      </c>
      <c r="D509" t="e">
        <f>VLOOKUP($C509,ТабКлиенты[[#All],[name]:[phone]],MATCH(D$1,ТабКлиенты[#Headers],0)-1,0)</f>
        <v>#N/A</v>
      </c>
      <c r="E509" t="e">
        <f>VLOOKUP($C509,ТабАдрес[[#All],[Клиент]:[gps]],MATCH(E$1,ТабКлиенты[#Headers],0)-4,0)</f>
        <v>#N/A</v>
      </c>
      <c r="F509" t="e">
        <f>VLOOKUP($C509,ТабАдрес[[#All],[Клиент]:[gps]],MATCH(F$1,ТабКлиенты[#Headers],0)-4,0)</f>
        <v>#N/A</v>
      </c>
      <c r="G509" s="183">
        <v>0.39583333333333331</v>
      </c>
      <c r="H509" s="181">
        <v>200</v>
      </c>
      <c r="I509" s="52">
        <v>445</v>
      </c>
      <c r="J509" s="52">
        <v>1</v>
      </c>
      <c r="K509" t="e">
        <f t="shared" si="10"/>
        <v>#N/A</v>
      </c>
    </row>
    <row r="510" spans="1:11" hidden="1" x14ac:dyDescent="0.25">
      <c r="A510">
        <v>2</v>
      </c>
      <c r="B510" s="179">
        <v>45682</v>
      </c>
      <c r="C510" t="s">
        <v>3260</v>
      </c>
      <c r="D510" t="e">
        <f>VLOOKUP($C510,ТабКлиенты[[#All],[name]:[phone]],MATCH(D$1,ТабКлиенты[#Headers],0)-1,0)</f>
        <v>#N/A</v>
      </c>
      <c r="E510" t="e">
        <f>VLOOKUP($C510,ТабАдрес[[#All],[Клиент]:[gps]],MATCH(E$1,ТабКлиенты[#Headers],0)-4,0)</f>
        <v>#N/A</v>
      </c>
      <c r="F510" t="e">
        <f>VLOOKUP($C510,ТабАдрес[[#All],[Клиент]:[gps]],MATCH(F$1,ТабКлиенты[#Headers],0)-4,0)</f>
        <v>#N/A</v>
      </c>
      <c r="G510" s="183">
        <v>0.40277777777777779</v>
      </c>
      <c r="H510" s="181">
        <v>0</v>
      </c>
      <c r="I510" s="52">
        <v>428</v>
      </c>
      <c r="J510" s="52">
        <v>1</v>
      </c>
      <c r="K510" t="e">
        <f t="shared" si="10"/>
        <v>#N/A</v>
      </c>
    </row>
    <row r="511" spans="1:11" hidden="1" x14ac:dyDescent="0.25">
      <c r="A511">
        <v>3</v>
      </c>
      <c r="B511" s="179">
        <v>45682</v>
      </c>
      <c r="C511" t="s">
        <v>3252</v>
      </c>
      <c r="D511" t="str">
        <f>VLOOKUP($C511,ТабКлиенты[[#All],[name]:[phone]],MATCH(D$1,ТабКлиенты[#Headers],0)-1,0)</f>
        <v>+79497115237</v>
      </c>
      <c r="E511" t="str">
        <f>VLOOKUP($C511,ТабАдрес[[#All],[Клиент]:[gps]],MATCH(E$1,ТабКлиенты[#Headers],0)-4,0)</f>
        <v>пер Станционный 8</v>
      </c>
      <c r="F511" t="str">
        <f>VLOOKUP($C511,ТабАдрес[[#All],[Клиент]:[gps]],MATCH(F$1,ТабКлиенты[#Headers],0)-4,0)</f>
        <v>47.1640, 37.5780</v>
      </c>
      <c r="G511" s="183">
        <v>0.40972222222222221</v>
      </c>
      <c r="H511" s="181">
        <v>6850</v>
      </c>
      <c r="I511" s="52" t="s">
        <v>4305</v>
      </c>
      <c r="J511" s="52">
        <v>1</v>
      </c>
      <c r="K511" t="str">
        <f t="shared" si="10"/>
        <v>3. 09:50 Аня Мирный
Тел.: +79497115237
Адрес: пер Станционный 8
№ заказа: Витамины 2
Кол-во мест: 1
https://yandex.ru/maps/?text=47.1640%2C37.5780
https://maps.google.com/?daddr=47.1640%2C37.5780
К оплате: **6850
**--------------------------------</v>
      </c>
    </row>
    <row r="512" spans="1:11" hidden="1" x14ac:dyDescent="0.25">
      <c r="A512">
        <v>4</v>
      </c>
      <c r="B512" s="179">
        <v>45682</v>
      </c>
      <c r="C512" t="s">
        <v>3434</v>
      </c>
      <c r="D512" t="e">
        <f>VLOOKUP($C512,ТабКлиенты[[#All],[name]:[phone]],MATCH(D$1,ТабКлиенты[#Headers],0)-1,0)</f>
        <v>#N/A</v>
      </c>
      <c r="E512" t="e">
        <f>VLOOKUP($C512,ТабАдрес[[#All],[Клиент]:[gps]],MATCH(E$1,ТабКлиенты[#Headers],0)-4,0)</f>
        <v>#N/A</v>
      </c>
      <c r="F512" t="e">
        <f>VLOOKUP($C512,ТабАдрес[[#All],[Клиент]:[gps]],MATCH(F$1,ТабКлиенты[#Headers],0)-4,0)</f>
        <v>#N/A</v>
      </c>
      <c r="G512" s="183">
        <v>0.42708333333333331</v>
      </c>
      <c r="H512" s="181">
        <v>0</v>
      </c>
      <c r="I512" s="52">
        <v>440</v>
      </c>
      <c r="J512" s="52">
        <v>1</v>
      </c>
      <c r="K512" t="e">
        <f t="shared" si="10"/>
        <v>#N/A</v>
      </c>
    </row>
    <row r="513" spans="1:11" hidden="1" x14ac:dyDescent="0.25">
      <c r="A513">
        <v>5</v>
      </c>
      <c r="B513" s="179">
        <v>45682</v>
      </c>
      <c r="C513" t="s">
        <v>3144</v>
      </c>
      <c r="D513" t="e">
        <f>VLOOKUP($C513,ТабКлиенты[[#All],[name]:[phone]],MATCH(D$1,ТабКлиенты[#Headers],0)-1,0)</f>
        <v>#N/A</v>
      </c>
      <c r="E513" t="e">
        <f>VLOOKUP($C513,ТабАдрес[[#All],[Клиент]:[gps]],MATCH(E$1,ТабКлиенты[#Headers],0)-4,0)</f>
        <v>#N/A</v>
      </c>
      <c r="F513" t="e">
        <f>VLOOKUP($C513,ТабАдрес[[#All],[Клиент]:[gps]],MATCH(F$1,ТабКлиенты[#Headers],0)-4,0)</f>
        <v>#N/A</v>
      </c>
      <c r="G513" s="183">
        <v>0.43402777777777779</v>
      </c>
      <c r="H513" s="181">
        <v>0</v>
      </c>
      <c r="I513" s="52">
        <v>416</v>
      </c>
      <c r="J513" s="52">
        <v>1</v>
      </c>
      <c r="K513" t="e">
        <f t="shared" si="10"/>
        <v>#N/A</v>
      </c>
    </row>
    <row r="514" spans="1:11" hidden="1" x14ac:dyDescent="0.25">
      <c r="A514">
        <v>6</v>
      </c>
      <c r="B514" s="179">
        <v>45682</v>
      </c>
      <c r="C514" t="s">
        <v>3125</v>
      </c>
      <c r="D514" t="e">
        <f>VLOOKUP($C514,ТабКлиенты[[#All],[name]:[phone]],MATCH(D$1,ТабКлиенты[#Headers],0)-1,0)</f>
        <v>#N/A</v>
      </c>
      <c r="E514" t="e">
        <f>VLOOKUP($C514,ТабАдрес[[#All],[Клиент]:[gps]],MATCH(E$1,ТабКлиенты[#Headers],0)-4,0)</f>
        <v>#N/A</v>
      </c>
      <c r="F514" t="e">
        <f>VLOOKUP($C514,ТабАдрес[[#All],[Клиент]:[gps]],MATCH(F$1,ТабКлиенты[#Headers],0)-4,0)</f>
        <v>#N/A</v>
      </c>
      <c r="G514" s="183">
        <v>0.44444444444444442</v>
      </c>
      <c r="H514" s="181">
        <v>0</v>
      </c>
      <c r="I514" s="52">
        <v>442</v>
      </c>
      <c r="J514" s="52">
        <v>1</v>
      </c>
      <c r="K514" t="e">
        <f t="shared" si="10"/>
        <v>#N/A</v>
      </c>
    </row>
    <row r="515" spans="1:11" hidden="1" x14ac:dyDescent="0.25">
      <c r="A515">
        <v>7</v>
      </c>
      <c r="B515" s="179">
        <v>45682</v>
      </c>
      <c r="C515" t="s">
        <v>3417</v>
      </c>
      <c r="D515" t="e">
        <f>VLOOKUP($C515,ТабКлиенты[[#All],[name]:[phone]],MATCH(D$1,ТабКлиенты[#Headers],0)-1,0)</f>
        <v>#N/A</v>
      </c>
      <c r="E515" t="e">
        <f>VLOOKUP($C515,ТабАдрес[[#All],[Клиент]:[gps]],MATCH(E$1,ТабКлиенты[#Headers],0)-4,0)</f>
        <v>#N/A</v>
      </c>
      <c r="F515" t="e">
        <f>VLOOKUP($C515,ТабАдрес[[#All],[Клиент]:[gps]],MATCH(F$1,ТабКлиенты[#Headers],0)-4,0)</f>
        <v>#N/A</v>
      </c>
      <c r="G515" s="183">
        <v>0.4513888888888889</v>
      </c>
      <c r="H515" s="181">
        <v>0</v>
      </c>
      <c r="I515" s="52">
        <v>417</v>
      </c>
      <c r="J515" s="52">
        <v>1</v>
      </c>
      <c r="K515" t="e">
        <f t="shared" si="10"/>
        <v>#N/A</v>
      </c>
    </row>
    <row r="516" spans="1:11" hidden="1" x14ac:dyDescent="0.25">
      <c r="A516">
        <v>8</v>
      </c>
      <c r="B516" s="179">
        <v>45682</v>
      </c>
      <c r="C516" t="s">
        <v>3282</v>
      </c>
      <c r="D516" t="str">
        <f>VLOOKUP($C516,ТабКлиенты[[#All],[name]:[phone]],MATCH(D$1,ТабКлиенты[#Headers],0)-1,0)</f>
        <v>+79497054056</v>
      </c>
      <c r="E516" t="str">
        <f>VLOOKUP($C516,ТабАдрес[[#All],[Клиент]:[gps]],MATCH(E$1,ТабКлиенты[#Headers],0)-4,0)</f>
        <v>пер. Новгородский 41</v>
      </c>
      <c r="F516" t="str">
        <f>VLOOKUP($C516,ТабАдрес[[#All],[Клиент]:[gps]],MATCH(F$1,ТабКлиенты[#Headers],0)-4,0)</f>
        <v>47.1100, 37.5242</v>
      </c>
      <c r="G516" s="183">
        <v>0.45833333333333331</v>
      </c>
      <c r="H516" s="181">
        <v>4200</v>
      </c>
      <c r="I516" s="52" t="s">
        <v>4313</v>
      </c>
      <c r="J516" s="52">
        <v>1</v>
      </c>
      <c r="K516" t="str">
        <f t="shared" si="10"/>
        <v>8. 11:00 Лариса Терраспорт
Тел.: +79497054056
Адрес: пер. Новгородский 41
№ заказа: Витамины 9
Кол-во мест: 1
https://yandex.ru/maps/?text=47.1100%2C37.5242
https://maps.google.com/?daddr=47.1100%2C37.5242
К оплате: **4200
**--------------------------------</v>
      </c>
    </row>
    <row r="517" spans="1:11" hidden="1" x14ac:dyDescent="0.25">
      <c r="A517">
        <v>9</v>
      </c>
      <c r="B517" s="179">
        <v>45682</v>
      </c>
      <c r="C517" t="s">
        <v>3220</v>
      </c>
      <c r="D517" t="str">
        <f>VLOOKUP($C517,ТабКлиенты[[#All],[name]:[phone]],MATCH(D$1,ТабКлиенты[#Headers],0)-1,0)</f>
        <v>+79497081831</v>
      </c>
      <c r="E517" t="str">
        <f>VLOOKUP($C517,ТабАдрес[[#All],[Клиент]:[gps]],MATCH(E$1,ТабКлиенты[#Headers],0)-4,0)</f>
        <v>Шевченко 289А</v>
      </c>
      <c r="F517" t="str">
        <f>VLOOKUP($C517,ТабАдрес[[#All],[Клиент]:[gps]],MATCH(F$1,ТабКлиенты[#Headers],0)-4,0)</f>
        <v>47.1168, 37.5229</v>
      </c>
      <c r="G517" s="183">
        <v>0.46527777777777779</v>
      </c>
      <c r="H517" s="181">
        <v>12400</v>
      </c>
      <c r="I517" s="52" t="s">
        <v>4309</v>
      </c>
      <c r="J517" s="52">
        <v>1</v>
      </c>
      <c r="K517" t="str">
        <f t="shared" si="10"/>
        <v>9. 11:10 Лида корма
Тел.: +79497081831
Адрес: Шевченко 289А
№ заказа: Витамины 5
Кол-во мест: 1
https://yandex.ru/maps/?text=47.1168%2C37.5229
https://maps.google.com/?daddr=47.1168%2C37.5229
К оплате: **12400
**--------------------------------</v>
      </c>
    </row>
    <row r="518" spans="1:11" hidden="1" x14ac:dyDescent="0.25">
      <c r="A518">
        <v>10</v>
      </c>
      <c r="B518" s="179">
        <v>45682</v>
      </c>
      <c r="C518" t="s">
        <v>3235</v>
      </c>
      <c r="D518" t="str">
        <f>VLOOKUP($C518,ТабКлиенты[[#All],[name]:[phone]],MATCH(D$1,ТабКлиенты[#Headers],0)-1,0)</f>
        <v>+79497386112</v>
      </c>
      <c r="E518" t="str">
        <f>VLOOKUP($C518,ТабАдрес[[#All],[Клиент]:[gps]],MATCH(E$1,ТабКлиенты[#Headers],0)-4,0)</f>
        <v>Шевченко 325</v>
      </c>
      <c r="F518" t="str">
        <f>VLOOKUP($C518,ТабАдрес[[#All],[Клиент]:[gps]],MATCH(F$1,ТабКлиенты[#Headers],0)-4,0)</f>
        <v>47.1193, 37.5172</v>
      </c>
      <c r="G518" s="183">
        <v>0.47222222222222221</v>
      </c>
      <c r="H518" s="181">
        <v>6700</v>
      </c>
      <c r="I518" s="52" t="s">
        <v>4306</v>
      </c>
      <c r="J518" s="52">
        <v>1</v>
      </c>
      <c r="K518" t="str">
        <f t="shared" si="10"/>
        <v>10. 11:20 Любовь Виталий
Тел.: +79497386112
Адрес: Шевченко 325
№ заказа: Витамины 3
Кол-во мест: 1
https://yandex.ru/maps/?text=47.1193%2C37.5172
https://maps.google.com/?daddr=47.1193%2C37.5172
К оплате: **6700
**--------------------------------</v>
      </c>
    </row>
    <row r="519" spans="1:11" hidden="1" x14ac:dyDescent="0.25">
      <c r="A519">
        <v>11</v>
      </c>
      <c r="B519" s="179">
        <v>45682</v>
      </c>
      <c r="C519" t="s">
        <v>4314</v>
      </c>
      <c r="D519" t="e">
        <f>VLOOKUP($C519,ТабКлиенты[[#All],[name]:[phone]],MATCH(D$1,ТабКлиенты[#Headers],0)-1,0)</f>
        <v>#N/A</v>
      </c>
      <c r="E519" t="e">
        <f>VLOOKUP($C519,ТабАдрес[[#All],[Клиент]:[gps]],MATCH(E$1,ТабКлиенты[#Headers],0)-4,0)</f>
        <v>#N/A</v>
      </c>
      <c r="F519" t="e">
        <f>VLOOKUP($C519,ТабАдрес[[#All],[Клиент]:[gps]],MATCH(F$1,ТабКлиенты[#Headers],0)-4,0)</f>
        <v>#N/A</v>
      </c>
      <c r="G519" s="183">
        <v>0.47916666666666669</v>
      </c>
      <c r="H519" s="181" t="s">
        <v>4315</v>
      </c>
      <c r="I519" s="52" t="s">
        <v>4315</v>
      </c>
      <c r="J519" s="52" t="s">
        <v>4315</v>
      </c>
      <c r="K519" t="e">
        <f t="shared" si="10"/>
        <v>#N/A</v>
      </c>
    </row>
    <row r="520" spans="1:11" hidden="1" x14ac:dyDescent="0.25">
      <c r="A520">
        <v>12</v>
      </c>
      <c r="B520" s="179">
        <v>45682</v>
      </c>
      <c r="C520" t="s">
        <v>3241</v>
      </c>
      <c r="D520" t="str">
        <f>VLOOKUP($C520,ТабКлиенты[[#All],[name]:[phone]],MATCH(D$1,ТабКлиенты[#Headers],0)-1,0)</f>
        <v>+79497064345</v>
      </c>
      <c r="E520" t="str">
        <f>VLOOKUP($C520,ТабАдрес[[#All],[Клиент]:[gps]],MATCH(E$1,ТабКлиенты[#Headers],0)-4,0)</f>
        <v>Шевченко 270</v>
      </c>
      <c r="F520" t="str">
        <f>VLOOKUP($C520,ТабАдрес[[#All],[Клиент]:[gps]],MATCH(F$1,ТабКлиенты[#Headers],0)-4,0)</f>
        <v>47.1157, 37.5138</v>
      </c>
      <c r="G520" s="183">
        <v>0.49305555555555558</v>
      </c>
      <c r="H520" s="181">
        <v>1700</v>
      </c>
      <c r="I520" s="52" t="s">
        <v>4311</v>
      </c>
      <c r="J520" s="52">
        <v>1</v>
      </c>
      <c r="K520" t="str">
        <f t="shared" si="10"/>
        <v>12. 11:50 Татьяна Леонидовна
Тел.: +79497064345
Адрес: Шевченко 270
№ заказа: Витамины 8
Кол-во мест: 1
https://yandex.ru/maps/?text=47.1157%2C37.5138
https://maps.google.com/?daddr=47.1157%2C37.5138
К оплате: **1700
**--------------------------------</v>
      </c>
    </row>
    <row r="521" spans="1:11" hidden="1" x14ac:dyDescent="0.25">
      <c r="A521">
        <v>13</v>
      </c>
      <c r="B521" s="179">
        <v>45682</v>
      </c>
      <c r="C521" t="s">
        <v>3435</v>
      </c>
      <c r="D521" t="e">
        <f>VLOOKUP($C521,ТабКлиенты[[#All],[name]:[phone]],MATCH(D$1,ТабКлиенты[#Headers],0)-1,0)</f>
        <v>#N/A</v>
      </c>
      <c r="E521" t="e">
        <f>VLOOKUP($C521,ТабАдрес[[#All],[Клиент]:[gps]],MATCH(E$1,ТабКлиенты[#Headers],0)-4,0)</f>
        <v>#N/A</v>
      </c>
      <c r="F521" t="e">
        <f>VLOOKUP($C521,ТабАдрес[[#All],[Клиент]:[gps]],MATCH(F$1,ТабКлиенты[#Headers],0)-4,0)</f>
        <v>#N/A</v>
      </c>
      <c r="G521" s="183">
        <v>0.5</v>
      </c>
      <c r="H521" s="181">
        <v>14501</v>
      </c>
      <c r="I521" s="52">
        <v>441</v>
      </c>
      <c r="J521" s="52">
        <v>1</v>
      </c>
      <c r="K521" t="e">
        <f t="shared" si="10"/>
        <v>#N/A</v>
      </c>
    </row>
    <row r="522" spans="1:11" hidden="1" x14ac:dyDescent="0.25">
      <c r="A522">
        <v>14</v>
      </c>
      <c r="B522" s="179">
        <v>45682</v>
      </c>
      <c r="C522" t="s">
        <v>3338</v>
      </c>
      <c r="D522" t="e">
        <f>VLOOKUP($C522,ТабКлиенты[[#All],[name]:[phone]],MATCH(D$1,ТабКлиенты[#Headers],0)-1,0)</f>
        <v>#N/A</v>
      </c>
      <c r="E522" t="e">
        <f>VLOOKUP($C522,ТабАдрес[[#All],[Клиент]:[gps]],MATCH(E$1,ТабКлиенты[#Headers],0)-4,0)</f>
        <v>#N/A</v>
      </c>
      <c r="F522" t="e">
        <f>VLOOKUP($C522,ТабАдрес[[#All],[Клиент]:[gps]],MATCH(F$1,ТабКлиенты[#Headers],0)-4,0)</f>
        <v>#N/A</v>
      </c>
      <c r="G522" s="183">
        <v>0.50694444444444442</v>
      </c>
      <c r="H522" s="181">
        <v>0</v>
      </c>
      <c r="I522" s="52">
        <v>432</v>
      </c>
      <c r="J522" s="52">
        <v>1</v>
      </c>
      <c r="K522" t="e">
        <f t="shared" si="10"/>
        <v>#N/A</v>
      </c>
    </row>
    <row r="523" spans="1:11" hidden="1" x14ac:dyDescent="0.25">
      <c r="A523">
        <v>15</v>
      </c>
      <c r="B523" s="179">
        <v>45682</v>
      </c>
      <c r="C523" t="s">
        <v>3263</v>
      </c>
      <c r="D523" t="e">
        <f>VLOOKUP($C523,ТабКлиенты[[#All],[name]:[phone]],MATCH(D$1,ТабКлиенты[#Headers],0)-1,0)</f>
        <v>#N/A</v>
      </c>
      <c r="E523" t="e">
        <f>VLOOKUP($C523,ТабАдрес[[#All],[Клиент]:[gps]],MATCH(E$1,ТабКлиенты[#Headers],0)-4,0)</f>
        <v>#N/A</v>
      </c>
      <c r="F523" t="e">
        <f>VLOOKUP($C523,ТабАдрес[[#All],[Клиент]:[gps]],MATCH(F$1,ТабКлиенты[#Headers],0)-4,0)</f>
        <v>#N/A</v>
      </c>
      <c r="G523" s="183">
        <v>0.51388888888888884</v>
      </c>
      <c r="H523" s="181">
        <v>200</v>
      </c>
      <c r="I523" s="52">
        <v>447</v>
      </c>
      <c r="J523" s="52">
        <v>1</v>
      </c>
      <c r="K523" t="e">
        <f t="shared" si="10"/>
        <v>#N/A</v>
      </c>
    </row>
    <row r="524" spans="1:11" hidden="1" x14ac:dyDescent="0.25">
      <c r="A524">
        <v>16</v>
      </c>
      <c r="B524" s="179">
        <v>45682</v>
      </c>
      <c r="C524" t="s">
        <v>3321</v>
      </c>
      <c r="D524" t="str">
        <f>VLOOKUP($C524,ТабКлиенты[[#All],[name]:[phone]],MATCH(D$1,ТабКлиенты[#Headers],0)-1,0)</f>
        <v>+79497196221</v>
      </c>
      <c r="E524" t="str">
        <f>VLOOKUP($C524,ТабАдрес[[#All],[Клиент]:[gps]],MATCH(E$1,ТабКлиенты[#Headers],0)-4,0)</f>
        <v>Краснофлотская 132</v>
      </c>
      <c r="F524" t="str">
        <f>VLOOKUP($C524,ТабАдрес[[#All],[Клиент]:[gps]],MATCH(F$1,ТабКлиенты[#Headers],0)-4,0)</f>
        <v>47.0917, 37.4968</v>
      </c>
      <c r="G524" s="183">
        <v>0.52430555555555558</v>
      </c>
      <c r="H524" s="181">
        <v>4800</v>
      </c>
      <c r="I524" s="52" t="s">
        <v>4312</v>
      </c>
      <c r="J524" s="52">
        <v>1</v>
      </c>
      <c r="K524" t="str">
        <f t="shared" si="10"/>
        <v>16. 12:35 Валерий Фагот
Тел.: +79497196221
Адрес: Краснофлотская 132
№ заказа: Витамины 7
Кол-во мест: 1
https://yandex.ru/maps/?text=47.0917%2C37.4968
https://maps.google.com/?daddr=47.0917%2C37.4968
К оплате: **4800
**--------------------------------</v>
      </c>
    </row>
    <row r="525" spans="1:11" hidden="1" x14ac:dyDescent="0.25">
      <c r="A525">
        <v>17</v>
      </c>
      <c r="B525" s="179">
        <v>45682</v>
      </c>
      <c r="C525" t="s">
        <v>3226</v>
      </c>
      <c r="D525" t="str">
        <f>VLOOKUP($C525,ТабКлиенты[[#All],[name]:[phone]],MATCH(D$1,ТабКлиенты[#Headers],0)-1,0)</f>
        <v>+79497169864</v>
      </c>
      <c r="E525" t="str">
        <f>VLOOKUP($C525,ТабАдрес[[#All],[Клиент]:[gps]],MATCH(E$1,ТабКлиенты[#Headers],0)-4,0)</f>
        <v>Строителей, 102</v>
      </c>
      <c r="F525" t="str">
        <f>VLOOKUP($C525,ТабАдрес[[#All],[Клиент]:[gps]],MATCH(F$1,ТабКлиенты[#Headers],0)-4,0)</f>
        <v>47.100776, 37.522477</v>
      </c>
      <c r="G525" s="183">
        <v>0.53125</v>
      </c>
      <c r="H525" s="181">
        <v>15600</v>
      </c>
      <c r="I525" s="52" t="s">
        <v>4307</v>
      </c>
      <c r="J525" s="52">
        <v>1</v>
      </c>
      <c r="K525" t="str">
        <f t="shared" si="10"/>
        <v>17. 12:45 Надежда Витамины
Тел.: +79497169864
Адрес: Строителей, 102
№ заказа: Витамины 4
Кол-во мест: 1
https://yandex.ru/maps/?text=47.100776%2C37.522477
https://maps.google.com/?daddr=47.100776%2C37.522477
К оплате: **15600
**--------------------------------</v>
      </c>
    </row>
    <row r="526" spans="1:11" hidden="1" x14ac:dyDescent="0.25">
      <c r="A526">
        <v>18</v>
      </c>
      <c r="B526" s="179">
        <v>45682</v>
      </c>
      <c r="C526" t="s">
        <v>3394</v>
      </c>
      <c r="D526" t="str">
        <f>VLOOKUP($C526,ТабКлиенты[[#All],[name]:[phone]],MATCH(D$1,ТабКлиенты[#Headers],0)-1,0)</f>
        <v>+79495228017</v>
      </c>
      <c r="E526" t="str">
        <f>VLOOKUP($C526,ТабАдрес[[#All],[Клиент]:[gps]],MATCH(E$1,ТабКлиенты[#Headers],0)-4,0)</f>
        <v>Вахтангова 15а</v>
      </c>
      <c r="F526" t="str">
        <f>VLOOKUP($C526,ТабАдрес[[#All],[Клиент]:[gps]],MATCH(F$1,ТабКлиенты[#Headers],0)-4,0)</f>
        <v>47.0882, 37.5117</v>
      </c>
      <c r="G526" s="183">
        <v>0.53472222222222221</v>
      </c>
      <c r="H526" s="181">
        <v>600</v>
      </c>
      <c r="I526" s="52" t="s">
        <v>4304</v>
      </c>
      <c r="J526" s="52">
        <v>1</v>
      </c>
      <c r="K526" t="str">
        <f t="shared" si="10"/>
        <v>18. 12:50 Татьяна Вахтангова
Тел.: +79495228017
Адрес: Вахтангова 15а
№ заказа: Витамины 1
Кол-во мест: 1
https://yandex.ru/maps/?text=47.0882%2C37.5117
https://maps.google.com/?daddr=47.0882%2C37.5117
К оплате: **600
**--------------------------------</v>
      </c>
    </row>
    <row r="527" spans="1:11" hidden="1" x14ac:dyDescent="0.25">
      <c r="A527">
        <v>19</v>
      </c>
      <c r="B527" s="179">
        <v>45682</v>
      </c>
      <c r="C527" t="s">
        <v>3348</v>
      </c>
      <c r="D527" t="e">
        <f>VLOOKUP($C527,ТабКлиенты[[#All],[name]:[phone]],MATCH(D$1,ТабКлиенты[#Headers],0)-1,0)</f>
        <v>#N/A</v>
      </c>
      <c r="E527" t="e">
        <f>VLOOKUP($C527,ТабАдрес[[#All],[Клиент]:[gps]],MATCH(E$1,ТабКлиенты[#Headers],0)-4,0)</f>
        <v>#N/A</v>
      </c>
      <c r="F527" t="e">
        <f>VLOOKUP($C527,ТабАдрес[[#All],[Клиент]:[gps]],MATCH(F$1,ТабКлиенты[#Headers],0)-4,0)</f>
        <v>#N/A</v>
      </c>
      <c r="G527" s="183">
        <v>0.54166666666666663</v>
      </c>
      <c r="H527" s="181">
        <v>396</v>
      </c>
      <c r="I527" s="52">
        <v>448</v>
      </c>
      <c r="J527" s="52">
        <v>1</v>
      </c>
      <c r="K527" t="e">
        <f t="shared" si="10"/>
        <v>#N/A</v>
      </c>
    </row>
    <row r="528" spans="1:11" hidden="1" x14ac:dyDescent="0.25">
      <c r="A528">
        <v>20</v>
      </c>
      <c r="B528" s="179">
        <v>45682</v>
      </c>
      <c r="C528" t="s">
        <v>3437</v>
      </c>
      <c r="D528" t="str">
        <f>VLOOKUP($C528,ТабКлиенты[[#All],[name]:[phone]],MATCH(D$1,ТабКлиенты[#Headers],0)-1,0)</f>
        <v>+79495807738</v>
      </c>
      <c r="E528" t="str">
        <f>VLOOKUP($C528,ТабАдрес[[#All],[Клиент]:[gps]],MATCH(E$1,ТабКлиенты[#Headers],0)-4,0)</f>
        <v>Ленина 85б подъезд 4</v>
      </c>
      <c r="F528" t="str">
        <f>VLOOKUP($C528,ТабАдрес[[#All],[Клиент]:[gps]],MATCH(F$1,ТабКлиенты[#Headers],0)-4,0)</f>
        <v>47.0991, 37.5384</v>
      </c>
      <c r="G528" s="183">
        <v>0.55208333333333337</v>
      </c>
      <c r="H528" s="181">
        <v>13900</v>
      </c>
      <c r="I528" s="52" t="s">
        <v>4310</v>
      </c>
      <c r="J528" s="52">
        <v>1</v>
      </c>
      <c r="K528" t="str">
        <f t="shared" si="10"/>
        <v>20. 13:15 Юлия АТБ кольцо
Тел.: +79495807738
Адрес: Ленина 85б подъезд 4
№ заказа: Витамины 6
Кол-во мест: 1
https://yandex.ru/maps/?text=47.0991%2C37.5384
https://maps.google.com/?daddr=47.0991%2C37.5384
К оплате: **13900
**--------------------------------</v>
      </c>
    </row>
    <row r="529" spans="1:11" hidden="1" x14ac:dyDescent="0.25">
      <c r="A529">
        <v>21</v>
      </c>
      <c r="B529" s="179">
        <v>45682</v>
      </c>
      <c r="C529" t="s">
        <v>3167</v>
      </c>
      <c r="D529" t="e">
        <f>VLOOKUP($C529,ТабКлиенты[[#All],[name]:[phone]],MATCH(D$1,ТабКлиенты[#Headers],0)-1,0)</f>
        <v>#N/A</v>
      </c>
      <c r="E529" t="e">
        <f>VLOOKUP($C529,ТабАдрес[[#All],[Клиент]:[gps]],MATCH(E$1,ТабКлиенты[#Headers],0)-4,0)</f>
        <v>#N/A</v>
      </c>
      <c r="F529" t="e">
        <f>VLOOKUP($C529,ТабАдрес[[#All],[Клиент]:[gps]],MATCH(F$1,ТабКлиенты[#Headers],0)-4,0)</f>
        <v>#N/A</v>
      </c>
      <c r="G529" s="183">
        <v>0.55902777777777779</v>
      </c>
      <c r="H529" s="181">
        <v>0</v>
      </c>
      <c r="I529" s="52">
        <v>438</v>
      </c>
      <c r="J529" s="52">
        <v>1</v>
      </c>
      <c r="K529" t="e">
        <f t="shared" si="10"/>
        <v>#N/A</v>
      </c>
    </row>
    <row r="530" spans="1:11" hidden="1" x14ac:dyDescent="0.25">
      <c r="A530">
        <v>1</v>
      </c>
      <c r="B530" s="179">
        <v>45689</v>
      </c>
      <c r="C530" t="s">
        <v>3441</v>
      </c>
      <c r="D530" t="str">
        <f>VLOOKUP($C530,ТабКлиенты[[#All],[name]:[phone]],MATCH(D$1,ТабКлиенты[#Headers],0)-1,0)</f>
        <v>+79497124527</v>
      </c>
      <c r="E530" t="str">
        <f>VLOOKUP($C530,ТабАдрес[[#All],[Клиент]:[gps]],MATCH(E$1,ТабКлиенты[#Headers],0)-4,0)</f>
        <v>Писарева 28</v>
      </c>
      <c r="F530" t="str">
        <f>VLOOKUP($C530,ТабАдрес[[#All],[Клиент]:[gps]],MATCH(F$1,ТабКлиенты[#Headers],0)-4,0)</f>
        <v>47.1065, 37.5478</v>
      </c>
      <c r="G530" s="183">
        <v>0.39583333333333331</v>
      </c>
      <c r="H530" s="181">
        <v>2500</v>
      </c>
      <c r="I530" s="52" t="s">
        <v>4304</v>
      </c>
      <c r="J530" s="52">
        <v>1</v>
      </c>
      <c r="K530" t="str">
        <f t="shared" si="10"/>
        <v>1. 09:30 Татьяна Писарева 28
Тел.: +79497124527
Адрес: Писарева 28
№ заказа: Витамины 1
Кол-во мест: 1
https://yandex.ru/maps/?text=47.1065%2C37.5478
https://maps.google.com/?daddr=47.1065%2C37.5478
К оплате: **2500
**--------------------------------</v>
      </c>
    </row>
    <row r="531" spans="1:11" hidden="1" x14ac:dyDescent="0.25">
      <c r="A531">
        <v>2</v>
      </c>
      <c r="B531" s="179">
        <v>45689</v>
      </c>
      <c r="C531" t="s">
        <v>3260</v>
      </c>
      <c r="D531" t="e">
        <f>VLOOKUP($C531,ТабКлиенты[[#All],[name]:[phone]],MATCH(D$1,ТабКлиенты[#Headers],0)-1,0)</f>
        <v>#N/A</v>
      </c>
      <c r="E531" t="e">
        <f>VLOOKUP($C531,ТабАдрес[[#All],[Клиент]:[gps]],MATCH(E$1,ТабКлиенты[#Headers],0)-4,0)</f>
        <v>#N/A</v>
      </c>
      <c r="F531" t="e">
        <f>VLOOKUP($C531,ТабАдрес[[#All],[Клиент]:[gps]],MATCH(F$1,ТабКлиенты[#Headers],0)-4,0)</f>
        <v>#N/A</v>
      </c>
      <c r="G531" s="183">
        <v>0.41666666666666669</v>
      </c>
      <c r="H531" s="181">
        <v>0</v>
      </c>
      <c r="I531" s="52">
        <v>453</v>
      </c>
      <c r="J531" s="52">
        <v>3</v>
      </c>
      <c r="K531" t="e">
        <f t="shared" si="10"/>
        <v>#N/A</v>
      </c>
    </row>
    <row r="532" spans="1:11" hidden="1" x14ac:dyDescent="0.25">
      <c r="A532">
        <v>3</v>
      </c>
      <c r="B532" s="179">
        <v>45689</v>
      </c>
      <c r="C532" t="s">
        <v>3436</v>
      </c>
      <c r="D532" t="e">
        <f>VLOOKUP($C532,ТабКлиенты[[#All],[name]:[phone]],MATCH(D$1,ТабКлиенты[#Headers],0)-1,0)</f>
        <v>#N/A</v>
      </c>
      <c r="E532" t="e">
        <f>VLOOKUP($C532,ТабАдрес[[#All],[Клиент]:[gps]],MATCH(E$1,ТабКлиенты[#Headers],0)-4,0)</f>
        <v>#N/A</v>
      </c>
      <c r="F532" t="e">
        <f>VLOOKUP($C532,ТабАдрес[[#All],[Клиент]:[gps]],MATCH(F$1,ТабКлиенты[#Headers],0)-4,0)</f>
        <v>#N/A</v>
      </c>
      <c r="G532" s="183">
        <v>0.4236111111111111</v>
      </c>
      <c r="H532" s="181">
        <v>255</v>
      </c>
      <c r="I532" s="52">
        <v>443</v>
      </c>
      <c r="J532" s="52">
        <v>1</v>
      </c>
      <c r="K532" t="e">
        <f t="shared" si="10"/>
        <v>#N/A</v>
      </c>
    </row>
    <row r="533" spans="1:11" hidden="1" x14ac:dyDescent="0.25">
      <c r="A533">
        <v>4</v>
      </c>
      <c r="B533" s="179">
        <v>45689</v>
      </c>
      <c r="C533" t="s">
        <v>3125</v>
      </c>
      <c r="D533" t="e">
        <f>VLOOKUP($C533,ТабКлиенты[[#All],[name]:[phone]],MATCH(D$1,ТабКлиенты[#Headers],0)-1,0)</f>
        <v>#N/A</v>
      </c>
      <c r="E533" t="e">
        <f>VLOOKUP($C533,ТабАдрес[[#All],[Клиент]:[gps]],MATCH(E$1,ТабКлиенты[#Headers],0)-4,0)</f>
        <v>#N/A</v>
      </c>
      <c r="F533" t="e">
        <f>VLOOKUP($C533,ТабАдрес[[#All],[Клиент]:[gps]],MATCH(F$1,ТабКлиенты[#Headers],0)-4,0)</f>
        <v>#N/A</v>
      </c>
      <c r="G533" s="183">
        <v>0.43402777777777779</v>
      </c>
      <c r="H533" s="181">
        <v>0</v>
      </c>
      <c r="I533" s="52">
        <v>442</v>
      </c>
      <c r="J533" s="52">
        <v>2</v>
      </c>
      <c r="K533" t="e">
        <f t="shared" ref="K533:K596" si="11">A533&amp;". "&amp;TEXT(G533,"ЧЧ:ММ")&amp;" "&amp;C533&amp;CHAR(10)&amp;"Тел.: "&amp;D533&amp;CHAR(10)&amp;"Адрес: "&amp;E533&amp;CHAR(10)&amp;"№ заказа: "&amp;I533&amp;CHAR(10)&amp;"Кол-во мест: "&amp;J533&amp;CHAR(10)&amp;"https://yandex.ru/maps/?text="&amp;REPLACE(F533,SEARCH(",",F533),2,"%2C")&amp;CHAR(10)&amp;"https://maps.google.com/?daddr="&amp;REPLACE(F533,SEARCH(",",F533),2,"%2C")&amp;CHAR(10)&amp;"К оплате: "&amp;"**"&amp;H533&amp;CHAR(10)&amp;"**"&amp;"--------------------------------"</f>
        <v>#N/A</v>
      </c>
    </row>
    <row r="534" spans="1:11" hidden="1" x14ac:dyDescent="0.25">
      <c r="A534">
        <v>5</v>
      </c>
      <c r="B534" s="179">
        <v>45689</v>
      </c>
      <c r="C534" t="s">
        <v>3417</v>
      </c>
      <c r="D534" t="e">
        <f>VLOOKUP($C534,ТабКлиенты[[#All],[name]:[phone]],MATCH(D$1,ТабКлиенты[#Headers],0)-1,0)</f>
        <v>#N/A</v>
      </c>
      <c r="E534" t="e">
        <f>VLOOKUP($C534,ТабАдрес[[#All],[Клиент]:[gps]],MATCH(E$1,ТабКлиенты[#Headers],0)-4,0)</f>
        <v>#N/A</v>
      </c>
      <c r="F534" t="e">
        <f>VLOOKUP($C534,ТабАдрес[[#All],[Клиент]:[gps]],MATCH(F$1,ТабКлиенты[#Headers],0)-4,0)</f>
        <v>#N/A</v>
      </c>
      <c r="G534" s="183">
        <v>0.44444444444444442</v>
      </c>
      <c r="H534" s="181">
        <v>3931</v>
      </c>
      <c r="I534" s="52">
        <v>450</v>
      </c>
      <c r="J534" s="52">
        <v>1</v>
      </c>
      <c r="K534" t="e">
        <f t="shared" si="11"/>
        <v>#N/A</v>
      </c>
    </row>
    <row r="535" spans="1:11" hidden="1" x14ac:dyDescent="0.25">
      <c r="A535">
        <v>6</v>
      </c>
      <c r="B535" s="179">
        <v>45689</v>
      </c>
      <c r="C535" t="s">
        <v>3181</v>
      </c>
      <c r="D535" t="str">
        <f>VLOOKUP($C535,ТабКлиенты[[#All],[name]:[phone]],MATCH(D$1,ТабКлиенты[#Headers],0)-1,0)</f>
        <v>+79497106271</v>
      </c>
      <c r="E535" t="str">
        <f>VLOOKUP($C535,ТабАдрес[[#All],[Клиент]:[gps]],MATCH(E$1,ТабКлиенты[#Headers],0)-4,0)</f>
        <v>Урицкого 77</v>
      </c>
      <c r="F535" t="str">
        <f>VLOOKUP($C535,ТабАдрес[[#All],[Клиент]:[gps]],MATCH(F$1,ТабКлиенты[#Headers],0)-4,0)</f>
        <v>47.1228, 37.5167</v>
      </c>
      <c r="G535" s="183">
        <v>0.4513888888888889</v>
      </c>
      <c r="H535" s="181">
        <v>0</v>
      </c>
      <c r="I535" s="52" t="s">
        <v>4306</v>
      </c>
      <c r="J535" s="52">
        <v>1</v>
      </c>
      <c r="K535" t="str">
        <f t="shared" si="11"/>
        <v>6. 10:50 Наталья Школа 53
Тел.: +79497106271
Адрес: Урицкого 77
№ заказа: Витамины 3
Кол-во мест: 1
https://yandex.ru/maps/?text=47.1228%2C37.5167
https://maps.google.com/?daddr=47.1228%2C37.5167
К оплате: **0
**--------------------------------</v>
      </c>
    </row>
    <row r="536" spans="1:11" hidden="1" x14ac:dyDescent="0.25">
      <c r="A536">
        <v>7</v>
      </c>
      <c r="B536" s="179">
        <v>45689</v>
      </c>
      <c r="C536" t="s">
        <v>3444</v>
      </c>
      <c r="D536" t="str">
        <f>VLOOKUP($C536,ТабКлиенты[[#All],[name]:[phone]],MATCH(D$1,ТабКлиенты[#Headers],0)-1,0)</f>
        <v>+79497168896</v>
      </c>
      <c r="E536" t="str">
        <f>VLOOKUP($C536,ТабАдрес[[#All],[Клиент]:[gps]],MATCH(E$1,ТабКлиенты[#Headers],0)-4,0)</f>
        <v>Шевченко 240 подъезд 3</v>
      </c>
      <c r="F536" t="str">
        <f>VLOOKUP($C536,ТабАдрес[[#All],[Клиент]:[gps]],MATCH(F$1,ТабКлиенты[#Headers],0)-4,0)</f>
        <v>47.1153, 37.5222</v>
      </c>
      <c r="G536" s="183">
        <v>0.4861111111111111</v>
      </c>
      <c r="H536" s="181">
        <v>1300</v>
      </c>
      <c r="I536" s="52" t="s">
        <v>4305</v>
      </c>
      <c r="J536" s="52">
        <v>1</v>
      </c>
      <c r="K536" t="str">
        <f t="shared" si="11"/>
        <v>7. 11:40 Оксана Шевченко 240
Тел.: +79497168896
Адрес: Шевченко 240 подъезд 3
№ заказа: Витамины 2
Кол-во мест: 1
https://yandex.ru/maps/?text=47.1153%2C37.5222
https://maps.google.com/?daddr=47.1153%2C37.5222
К оплате: **1300
**--------------------------------</v>
      </c>
    </row>
    <row r="537" spans="1:11" hidden="1" x14ac:dyDescent="0.25">
      <c r="A537">
        <v>8</v>
      </c>
      <c r="B537" s="179">
        <v>45689</v>
      </c>
      <c r="C537" t="s">
        <v>3435</v>
      </c>
      <c r="D537" t="e">
        <f>VLOOKUP($C537,ТабКлиенты[[#All],[name]:[phone]],MATCH(D$1,ТабКлиенты[#Headers],0)-1,0)</f>
        <v>#N/A</v>
      </c>
      <c r="E537" t="e">
        <f>VLOOKUP($C537,ТабАдрес[[#All],[Клиент]:[gps]],MATCH(E$1,ТабКлиенты[#Headers],0)-4,0)</f>
        <v>#N/A</v>
      </c>
      <c r="F537" t="e">
        <f>VLOOKUP($C537,ТабАдрес[[#All],[Клиент]:[gps]],MATCH(F$1,ТабКлиенты[#Headers],0)-4,0)</f>
        <v>#N/A</v>
      </c>
      <c r="G537" s="183">
        <v>0.49305555555555558</v>
      </c>
      <c r="H537" s="181">
        <v>0</v>
      </c>
      <c r="I537" s="52">
        <v>441</v>
      </c>
      <c r="J537" s="52">
        <v>2</v>
      </c>
      <c r="K537" t="e">
        <f t="shared" si="11"/>
        <v>#N/A</v>
      </c>
    </row>
    <row r="538" spans="1:11" hidden="1" x14ac:dyDescent="0.25">
      <c r="A538">
        <v>9</v>
      </c>
      <c r="B538" s="179">
        <v>45689</v>
      </c>
      <c r="C538" t="s">
        <v>3418</v>
      </c>
      <c r="D538" t="e">
        <f>VLOOKUP($C538,ТабКлиенты[[#All],[name]:[phone]],MATCH(D$1,ТабКлиенты[#Headers],0)-1,0)</f>
        <v>#N/A</v>
      </c>
      <c r="E538" t="e">
        <f>VLOOKUP($C538,ТабАдрес[[#All],[Клиент]:[gps]],MATCH(E$1,ТабКлиенты[#Headers],0)-4,0)</f>
        <v>#N/A</v>
      </c>
      <c r="F538" t="e">
        <f>VLOOKUP($C538,ТабАдрес[[#All],[Клиент]:[gps]],MATCH(F$1,ТабКлиенты[#Headers],0)-4,0)</f>
        <v>#N/A</v>
      </c>
      <c r="G538" s="183">
        <v>0.5</v>
      </c>
      <c r="H538" s="181">
        <v>0</v>
      </c>
      <c r="I538" s="52">
        <v>415</v>
      </c>
      <c r="J538" s="52">
        <v>1</v>
      </c>
      <c r="K538" t="e">
        <f t="shared" si="11"/>
        <v>#N/A</v>
      </c>
    </row>
    <row r="539" spans="1:11" hidden="1" x14ac:dyDescent="0.25">
      <c r="A539">
        <v>10</v>
      </c>
      <c r="B539" s="179">
        <v>45689</v>
      </c>
      <c r="C539" t="s">
        <v>3338</v>
      </c>
      <c r="D539" t="e">
        <f>VLOOKUP($C539,ТабКлиенты[[#All],[name]:[phone]],MATCH(D$1,ТабКлиенты[#Headers],0)-1,0)</f>
        <v>#N/A</v>
      </c>
      <c r="E539" t="e">
        <f>VLOOKUP($C539,ТабАдрес[[#All],[Клиент]:[gps]],MATCH(E$1,ТабКлиенты[#Headers],0)-4,0)</f>
        <v>#N/A</v>
      </c>
      <c r="F539" t="e">
        <f>VLOOKUP($C539,ТабАдрес[[#All],[Клиент]:[gps]],MATCH(F$1,ТабКлиенты[#Headers],0)-4,0)</f>
        <v>#N/A</v>
      </c>
      <c r="G539" s="183">
        <v>0.50694444444444442</v>
      </c>
      <c r="H539" s="181">
        <v>0</v>
      </c>
      <c r="I539" s="52">
        <v>457</v>
      </c>
      <c r="J539" s="52">
        <v>1</v>
      </c>
      <c r="K539" t="e">
        <f t="shared" si="11"/>
        <v>#N/A</v>
      </c>
    </row>
    <row r="540" spans="1:11" hidden="1" x14ac:dyDescent="0.25">
      <c r="A540">
        <v>11</v>
      </c>
      <c r="B540" s="179">
        <v>45689</v>
      </c>
      <c r="C540" t="s">
        <v>3263</v>
      </c>
      <c r="D540" t="e">
        <f>VLOOKUP($C540,ТабКлиенты[[#All],[name]:[phone]],MATCH(D$1,ТабКлиенты[#Headers],0)-1,0)</f>
        <v>#N/A</v>
      </c>
      <c r="E540" t="e">
        <f>VLOOKUP($C540,ТабАдрес[[#All],[Клиент]:[gps]],MATCH(E$1,ТабКлиенты[#Headers],0)-4,0)</f>
        <v>#N/A</v>
      </c>
      <c r="F540" t="e">
        <f>VLOOKUP($C540,ТабАдрес[[#All],[Клиент]:[gps]],MATCH(F$1,ТабКлиенты[#Headers],0)-4,0)</f>
        <v>#N/A</v>
      </c>
      <c r="G540" s="183">
        <v>0.51388888888888884</v>
      </c>
      <c r="H540" s="181">
        <v>782</v>
      </c>
      <c r="I540" s="52">
        <v>458</v>
      </c>
      <c r="J540" s="52">
        <v>1</v>
      </c>
      <c r="K540" t="e">
        <f t="shared" si="11"/>
        <v>#N/A</v>
      </c>
    </row>
    <row r="541" spans="1:11" hidden="1" x14ac:dyDescent="0.25">
      <c r="A541">
        <v>12</v>
      </c>
      <c r="B541" s="179">
        <v>45689</v>
      </c>
      <c r="C541" t="s">
        <v>3135</v>
      </c>
      <c r="D541" t="e">
        <f>VLOOKUP($C541,ТабКлиенты[[#All],[name]:[phone]],MATCH(D$1,ТабКлиенты[#Headers],0)-1,0)</f>
        <v>#N/A</v>
      </c>
      <c r="E541" t="e">
        <f>VLOOKUP($C541,ТабАдрес[[#All],[Клиент]:[gps]],MATCH(E$1,ТабКлиенты[#Headers],0)-4,0)</f>
        <v>#N/A</v>
      </c>
      <c r="F541" t="e">
        <f>VLOOKUP($C541,ТабАдрес[[#All],[Клиент]:[gps]],MATCH(F$1,ТабКлиенты[#Headers],0)-4,0)</f>
        <v>#N/A</v>
      </c>
      <c r="G541" s="183">
        <v>0.58333333333333337</v>
      </c>
      <c r="H541" s="181">
        <v>2635</v>
      </c>
      <c r="I541" s="52">
        <v>433</v>
      </c>
      <c r="J541" s="52">
        <v>2</v>
      </c>
      <c r="K541" t="e">
        <f t="shared" si="11"/>
        <v>#N/A</v>
      </c>
    </row>
    <row r="542" spans="1:11" hidden="1" x14ac:dyDescent="0.25">
      <c r="A542">
        <v>13</v>
      </c>
      <c r="B542" s="179">
        <v>45689</v>
      </c>
      <c r="C542" t="s">
        <v>3252</v>
      </c>
      <c r="D542" t="str">
        <f>VLOOKUP($C542,ТабКлиенты[[#All],[name]:[phone]],MATCH(D$1,ТабКлиенты[#Headers],0)-1,0)</f>
        <v>+79497115237</v>
      </c>
      <c r="E542" t="str">
        <f>VLOOKUP($C542,ТабАдрес[[#All],[Клиент]:[gps]],MATCH(E$1,ТабКлиенты[#Headers],0)-4,0)</f>
        <v>пер Станционный 8</v>
      </c>
      <c r="F542" t="str">
        <f>VLOOKUP($C542,ТабАдрес[[#All],[Клиент]:[gps]],MATCH(F$1,ТабКлиенты[#Headers],0)-4,0)</f>
        <v>47.1640, 37.5780</v>
      </c>
      <c r="G542" s="183">
        <v>0.58333333333333337</v>
      </c>
      <c r="H542" s="181">
        <v>2700</v>
      </c>
      <c r="I542" s="52" t="s">
        <v>4307</v>
      </c>
      <c r="J542" s="52">
        <v>1</v>
      </c>
      <c r="K542" t="str">
        <f t="shared" si="11"/>
        <v>13. 14:00 Аня Мирный
Тел.: +79497115237
Адрес: пер Станционный 8
№ заказа: Витамины 4
Кол-во мест: 1
https://yandex.ru/maps/?text=47.1640%2C37.5780
https://maps.google.com/?daddr=47.1640%2C37.5780
К оплате: **2700
**--------------------------------</v>
      </c>
    </row>
    <row r="543" spans="1:11" hidden="1" x14ac:dyDescent="0.25">
      <c r="A543">
        <v>1</v>
      </c>
      <c r="B543" s="179">
        <v>45696</v>
      </c>
      <c r="C543" t="s">
        <v>3210</v>
      </c>
      <c r="D543" t="e">
        <f>VLOOKUP($C543,ТабКлиенты[[#All],[name]:[phone]],MATCH(D$1,ТабКлиенты[#Headers],0)-1,0)</f>
        <v>#N/A</v>
      </c>
      <c r="E543" t="e">
        <f>VLOOKUP($C543,ТабАдрес[[#All],[Клиент]:[gps]],MATCH(E$1,ТабКлиенты[#Headers],0)-4,0)</f>
        <v>#N/A</v>
      </c>
      <c r="F543" t="e">
        <f>VLOOKUP($C543,ТабАдрес[[#All],[Клиент]:[gps]],MATCH(F$1,ТабКлиенты[#Headers],0)-4,0)</f>
        <v>#N/A</v>
      </c>
      <c r="G543" s="183">
        <v>0.40972222222222221</v>
      </c>
      <c r="H543" s="181">
        <v>0</v>
      </c>
      <c r="I543" s="52">
        <v>465</v>
      </c>
      <c r="J543" s="52">
        <v>2</v>
      </c>
      <c r="K543" t="e">
        <f t="shared" si="11"/>
        <v>#N/A</v>
      </c>
    </row>
    <row r="544" spans="1:11" hidden="1" x14ac:dyDescent="0.25">
      <c r="A544">
        <v>2</v>
      </c>
      <c r="B544" s="179">
        <v>45696</v>
      </c>
      <c r="C544" t="s">
        <v>3260</v>
      </c>
      <c r="D544" t="e">
        <f>VLOOKUP($C544,ТабКлиенты[[#All],[name]:[phone]],MATCH(D$1,ТабКлиенты[#Headers],0)-1,0)</f>
        <v>#N/A</v>
      </c>
      <c r="E544" t="e">
        <f>VLOOKUP($C544,ТабАдрес[[#All],[Клиент]:[gps]],MATCH(E$1,ТабКлиенты[#Headers],0)-4,0)</f>
        <v>#N/A</v>
      </c>
      <c r="F544" t="e">
        <f>VLOOKUP($C544,ТабАдрес[[#All],[Клиент]:[gps]],MATCH(F$1,ТабКлиенты[#Headers],0)-4,0)</f>
        <v>#N/A</v>
      </c>
      <c r="G544" s="183">
        <v>0.41666666666666669</v>
      </c>
      <c r="H544" s="181">
        <v>0</v>
      </c>
      <c r="I544" s="52">
        <v>460</v>
      </c>
      <c r="J544" s="52">
        <v>1</v>
      </c>
      <c r="K544" t="e">
        <f t="shared" si="11"/>
        <v>#N/A</v>
      </c>
    </row>
    <row r="545" spans="1:11" hidden="1" x14ac:dyDescent="0.25">
      <c r="A545">
        <v>3</v>
      </c>
      <c r="B545" s="179">
        <v>45696</v>
      </c>
      <c r="C545" t="s">
        <v>3448</v>
      </c>
      <c r="D545" t="str">
        <f>VLOOKUP($C545,ТабКлиенты[[#All],[name]:[phone]],MATCH(D$1,ТабКлиенты[#Headers],0)-1,0)</f>
        <v>+79498079642</v>
      </c>
      <c r="E545" t="str">
        <f>VLOOKUP($C545,ТабАдрес[[#All],[Клиент]:[gps]],MATCH(E$1,ТабКлиенты[#Headers],0)-4,0)</f>
        <v>26 квартал 3</v>
      </c>
      <c r="F545" t="str">
        <f>VLOOKUP($C545,ТабАдрес[[#All],[Клиент]:[gps]],MATCH(F$1,ТабКлиенты[#Headers],0)-4,0)</f>
        <v>47.1295, 37.5580</v>
      </c>
      <c r="G545" s="183">
        <v>0.4236111111111111</v>
      </c>
      <c r="H545" s="181">
        <v>4600</v>
      </c>
      <c r="I545" s="52" t="s">
        <v>5</v>
      </c>
      <c r="J545" s="52">
        <v>1</v>
      </c>
      <c r="K545" t="str">
        <f t="shared" si="11"/>
        <v>3. 10:10 Татьяна Лаванда
Тел.: +79498079642
Адрес: 26 квартал 3
№ заказа: Витамины
Кол-во мест: 1
https://yandex.ru/maps/?text=47.1295%2C37.5580
https://maps.google.com/?daddr=47.1295%2C37.5580
К оплате: **4600
**--------------------------------</v>
      </c>
    </row>
    <row r="546" spans="1:11" hidden="1" x14ac:dyDescent="0.25">
      <c r="A546">
        <v>4</v>
      </c>
      <c r="B546" s="179">
        <v>45696</v>
      </c>
      <c r="C546" t="s">
        <v>3296</v>
      </c>
      <c r="D546" t="e">
        <f>VLOOKUP($C546,ТабКлиенты[[#All],[name]:[phone]],MATCH(D$1,ТабКлиенты[#Headers],0)-1,0)</f>
        <v>#N/A</v>
      </c>
      <c r="E546" t="e">
        <f>VLOOKUP($C546,ТабАдрес[[#All],[Клиент]:[gps]],MATCH(E$1,ТабКлиенты[#Headers],0)-4,0)</f>
        <v>#N/A</v>
      </c>
      <c r="F546" t="e">
        <f>VLOOKUP($C546,ТабАдрес[[#All],[Клиент]:[gps]],MATCH(F$1,ТабКлиенты[#Headers],0)-4,0)</f>
        <v>#N/A</v>
      </c>
      <c r="G546" s="183">
        <v>0.43402777777777779</v>
      </c>
      <c r="H546" s="181">
        <v>5000</v>
      </c>
      <c r="I546" s="52" t="s">
        <v>5</v>
      </c>
      <c r="J546" s="52">
        <v>1</v>
      </c>
      <c r="K546" t="e">
        <f t="shared" si="11"/>
        <v>#N/A</v>
      </c>
    </row>
    <row r="547" spans="1:11" hidden="1" x14ac:dyDescent="0.25">
      <c r="A547">
        <v>5</v>
      </c>
      <c r="B547" s="179">
        <v>45696</v>
      </c>
      <c r="C547" t="s">
        <v>3128</v>
      </c>
      <c r="D547" t="e">
        <f>VLOOKUP($C547,ТабКлиенты[[#All],[name]:[phone]],MATCH(D$1,ТабКлиенты[#Headers],0)-1,0)</f>
        <v>#N/A</v>
      </c>
      <c r="E547" t="e">
        <f>VLOOKUP($C547,ТабАдрес[[#All],[Клиент]:[gps]],MATCH(E$1,ТабКлиенты[#Headers],0)-4,0)</f>
        <v>#N/A</v>
      </c>
      <c r="F547" t="e">
        <f>VLOOKUP($C547,ТабАдрес[[#All],[Клиент]:[gps]],MATCH(F$1,ТабКлиенты[#Headers],0)-4,0)</f>
        <v>#N/A</v>
      </c>
      <c r="G547" s="183">
        <v>0.44097222222222221</v>
      </c>
      <c r="H547" s="181">
        <v>0</v>
      </c>
      <c r="I547" s="52">
        <v>462</v>
      </c>
      <c r="J547" s="52">
        <v>1</v>
      </c>
      <c r="K547" t="e">
        <f t="shared" si="11"/>
        <v>#N/A</v>
      </c>
    </row>
    <row r="548" spans="1:11" hidden="1" x14ac:dyDescent="0.25">
      <c r="A548">
        <v>6</v>
      </c>
      <c r="B548" s="179">
        <v>45696</v>
      </c>
      <c r="C548" t="s">
        <v>3181</v>
      </c>
      <c r="D548" t="str">
        <f>VLOOKUP($C548,ТабКлиенты[[#All],[name]:[phone]],MATCH(D$1,ТабКлиенты[#Headers],0)-1,0)</f>
        <v>+79497106271</v>
      </c>
      <c r="E548" t="str">
        <f>VLOOKUP($C548,ТабАдрес[[#All],[Клиент]:[gps]],MATCH(E$1,ТабКлиенты[#Headers],0)-4,0)</f>
        <v>Урицкого 77</v>
      </c>
      <c r="F548" t="str">
        <f>VLOOKUP($C548,ТабАдрес[[#All],[Клиент]:[gps]],MATCH(F$1,ТабКлиенты[#Headers],0)-4,0)</f>
        <v>47.1228, 37.5167</v>
      </c>
      <c r="G548" s="183">
        <v>0.44444444444444448</v>
      </c>
      <c r="H548" s="181">
        <v>3200</v>
      </c>
      <c r="I548" s="52" t="s">
        <v>5</v>
      </c>
      <c r="J548" s="52">
        <v>1</v>
      </c>
      <c r="K548" t="str">
        <f t="shared" si="11"/>
        <v>6. 10:40 Наталья Школа 53
Тел.: +79497106271
Адрес: Урицкого 77
№ заказа: Витамины
Кол-во мест: 1
https://yandex.ru/maps/?text=47.1228%2C37.5167
https://maps.google.com/?daddr=47.1228%2C37.5167
К оплате: **3200
**--------------------------------</v>
      </c>
    </row>
    <row r="549" spans="1:11" hidden="1" x14ac:dyDescent="0.25">
      <c r="A549">
        <v>7</v>
      </c>
      <c r="B549" s="179">
        <v>45696</v>
      </c>
      <c r="C549" t="s">
        <v>3206</v>
      </c>
      <c r="D549" t="str">
        <f>VLOOKUP($C549,ТабКлиенты[[#All],[name]:[phone]],MATCH(D$1,ТабКлиенты[#Headers],0)-1,0)</f>
        <v>+79496248226</v>
      </c>
      <c r="E549" t="str">
        <f>VLOOKUP($C549,ТабАдрес[[#All],[Клиент]:[gps]],MATCH(E$1,ТабКлиенты[#Headers],0)-4,0)</f>
        <v>Шевченко 274</v>
      </c>
      <c r="F549" t="str">
        <f>VLOOKUP($C549,ТабАдрес[[#All],[Клиент]:[gps]],MATCH(F$1,ТабКлиенты[#Headers],0)-4,0)</f>
        <v>47.1149, 37.5127</v>
      </c>
      <c r="G549" s="183">
        <v>0.46875</v>
      </c>
      <c r="H549" s="181">
        <v>7900</v>
      </c>
      <c r="I549" s="52" t="s">
        <v>5</v>
      </c>
      <c r="J549" s="52">
        <v>1</v>
      </c>
      <c r="K549" t="str">
        <f t="shared" si="11"/>
        <v>7. 11:15 Даша Калифорния
Тел.: +79496248226
Адрес: Шевченко 274
№ заказа: Витамины
Кол-во мест: 1
https://yandex.ru/maps/?text=47.1149%2C37.5127
https://maps.google.com/?daddr=47.1149%2C37.5127
К оплате: **7900
**--------------------------------</v>
      </c>
    </row>
    <row r="550" spans="1:11" hidden="1" x14ac:dyDescent="0.25">
      <c r="A550">
        <v>8</v>
      </c>
      <c r="B550" s="179">
        <v>45696</v>
      </c>
      <c r="C550" t="s">
        <v>3453</v>
      </c>
      <c r="D550" t="str">
        <f>VLOOKUP($C550,ТабКлиенты[[#All],[name]:[phone]],MATCH(D$1,ТабКлиенты[#Headers],0)-1,0)</f>
        <v>+79496433686</v>
      </c>
      <c r="E550" t="str">
        <f>VLOOKUP($C550,ТабАдрес[[#All],[Клиент]:[gps]],MATCH(E$1,ТабКлиенты[#Headers],0)-4,0)</f>
        <v>Зелинского 106а</v>
      </c>
      <c r="F550" t="str">
        <f>VLOOKUP($C550,ТабАдрес[[#All],[Клиент]:[gps]],MATCH(F$1,ТабКлиенты[#Headers],0)-4,0)</f>
        <v>47.1059, 37.5155</v>
      </c>
      <c r="G550" s="183">
        <v>0.47569444444444442</v>
      </c>
      <c r="H550" s="181">
        <v>2300</v>
      </c>
      <c r="I550" s="52" t="s">
        <v>5</v>
      </c>
      <c r="J550" s="52">
        <v>1</v>
      </c>
      <c r="K550" t="str">
        <f t="shared" si="11"/>
        <v>8. 11:25 Ирина Зелинского 106а
Тел.: +79496433686
Адрес: Зелинского 106а
№ заказа: Витамины
Кол-во мест: 1
https://yandex.ru/maps/?text=47.1059%2C37.5155
https://maps.google.com/?daddr=47.1059%2C37.5155
К оплате: **2300
**--------------------------------</v>
      </c>
    </row>
    <row r="551" spans="1:11" hidden="1" x14ac:dyDescent="0.25">
      <c r="A551">
        <v>9</v>
      </c>
      <c r="B551" s="179">
        <v>45696</v>
      </c>
      <c r="C551" t="s">
        <v>3452</v>
      </c>
      <c r="D551" t="e">
        <f>VLOOKUP($C551,ТабКлиенты[[#All],[name]:[phone]],MATCH(D$1,ТабКлиенты[#Headers],0)-1,0)</f>
        <v>#N/A</v>
      </c>
      <c r="E551" t="e">
        <f>VLOOKUP($C551,ТабАдрес[[#All],[Клиент]:[gps]],MATCH(E$1,ТабКлиенты[#Headers],0)-4,0)</f>
        <v>#N/A</v>
      </c>
      <c r="F551" t="e">
        <f>VLOOKUP($C551,ТабАдрес[[#All],[Клиент]:[gps]],MATCH(F$1,ТабКлиенты[#Headers],0)-4,0)</f>
        <v>#N/A</v>
      </c>
      <c r="G551" s="183">
        <v>0.47916666666666669</v>
      </c>
      <c r="H551" s="181">
        <v>0</v>
      </c>
      <c r="I551" s="52">
        <v>469</v>
      </c>
      <c r="J551" s="52">
        <v>1</v>
      </c>
      <c r="K551" t="e">
        <f t="shared" si="11"/>
        <v>#N/A</v>
      </c>
    </row>
    <row r="552" spans="1:11" hidden="1" x14ac:dyDescent="0.25">
      <c r="A552">
        <v>10</v>
      </c>
      <c r="B552" s="179">
        <v>45696</v>
      </c>
      <c r="C552" t="s">
        <v>3263</v>
      </c>
      <c r="D552" t="e">
        <f>VLOOKUP($C552,ТабКлиенты[[#All],[name]:[phone]],MATCH(D$1,ТабКлиенты[#Headers],0)-1,0)</f>
        <v>#N/A</v>
      </c>
      <c r="E552" t="e">
        <f>VLOOKUP($C552,ТабАдрес[[#All],[Клиент]:[gps]],MATCH(E$1,ТабКлиенты[#Headers],0)-4,0)</f>
        <v>#N/A</v>
      </c>
      <c r="F552" t="e">
        <f>VLOOKUP($C552,ТабАдрес[[#All],[Клиент]:[gps]],MATCH(F$1,ТабКлиенты[#Headers],0)-4,0)</f>
        <v>#N/A</v>
      </c>
      <c r="G552" s="183">
        <v>0.5</v>
      </c>
      <c r="H552" s="181">
        <v>377</v>
      </c>
      <c r="I552" s="52">
        <v>468</v>
      </c>
      <c r="J552" s="52">
        <v>1</v>
      </c>
      <c r="K552" t="e">
        <f t="shared" si="11"/>
        <v>#N/A</v>
      </c>
    </row>
    <row r="553" spans="1:11" hidden="1" x14ac:dyDescent="0.25">
      <c r="A553">
        <v>1</v>
      </c>
      <c r="B553" s="179">
        <v>45703</v>
      </c>
      <c r="C553" t="s">
        <v>3210</v>
      </c>
      <c r="D553" t="e">
        <f>VLOOKUP($C553,ТабКлиенты[[#All],[name]:[phone]],MATCH(D$1,ТабКлиенты[#Headers],0)-1,0)</f>
        <v>#N/A</v>
      </c>
      <c r="E553" t="e">
        <f>VLOOKUP($C553,ТабАдрес[[#All],[Клиент]:[gps]],MATCH(E$1,ТабКлиенты[#Headers],0)-4,0)</f>
        <v>#N/A</v>
      </c>
      <c r="F553" t="e">
        <f>VLOOKUP($C553,ТабАдрес[[#All],[Клиент]:[gps]],MATCH(F$1,ТабКлиенты[#Headers],0)-4,0)</f>
        <v>#N/A</v>
      </c>
      <c r="H553" s="181">
        <v>0</v>
      </c>
      <c r="I553" s="52">
        <v>465</v>
      </c>
      <c r="J553" s="52">
        <v>1</v>
      </c>
      <c r="K553" t="e">
        <f t="shared" si="11"/>
        <v>#N/A</v>
      </c>
    </row>
    <row r="554" spans="1:11" hidden="1" x14ac:dyDescent="0.25">
      <c r="A554">
        <v>2</v>
      </c>
      <c r="B554" s="179">
        <v>45703</v>
      </c>
      <c r="C554" t="s">
        <v>3256</v>
      </c>
      <c r="D554" t="str">
        <f>VLOOKUP($C554,ТабКлиенты[[#All],[name]:[phone]],MATCH(D$1,ТабКлиенты[#Headers],0)-1,0)</f>
        <v>+79497213168</v>
      </c>
      <c r="E554" t="str">
        <f>VLOOKUP($C554,ТабАдрес[[#All],[Клиент]:[gps]],MATCH(E$1,ТабКлиенты[#Headers],0)-4,0)</f>
        <v>Шопена 92</v>
      </c>
      <c r="F554" t="str">
        <f>VLOOKUP($C554,ТабАдрес[[#All],[Клиент]:[gps]],MATCH(F$1,ТабКлиенты[#Headers],0)-4,0)</f>
        <v>47.1582, 37.6032</v>
      </c>
      <c r="H554" s="181">
        <v>3500</v>
      </c>
      <c r="I554" s="52" t="s">
        <v>5</v>
      </c>
      <c r="J554" s="52">
        <v>1</v>
      </c>
      <c r="K554" t="str">
        <f t="shared" si="11"/>
        <v>2. 00:00 Светлана Федоровна
Тел.: +79497213168
Адрес: Шопена 92
№ заказа: Витамины
Кол-во мест: 1
https://yandex.ru/maps/?text=47.1582%2C37.6032
https://maps.google.com/?daddr=47.1582%2C37.6032
К оплате: **3500
**--------------------------------</v>
      </c>
    </row>
    <row r="555" spans="1:11" hidden="1" x14ac:dyDescent="0.25">
      <c r="A555">
        <v>3</v>
      </c>
      <c r="B555" s="179">
        <v>45703</v>
      </c>
      <c r="C555" t="s">
        <v>3312</v>
      </c>
      <c r="D555" t="e">
        <f>VLOOKUP($C555,ТабКлиенты[[#All],[name]:[phone]],MATCH(D$1,ТабКлиенты[#Headers],0)-1,0)</f>
        <v>#N/A</v>
      </c>
      <c r="E555" t="e">
        <f>VLOOKUP($C555,ТабАдрес[[#All],[Клиент]:[gps]],MATCH(E$1,ТабКлиенты[#Headers],0)-4,0)</f>
        <v>#N/A</v>
      </c>
      <c r="F555" t="e">
        <f>VLOOKUP($C555,ТабАдрес[[#All],[Клиент]:[gps]],MATCH(F$1,ТабКлиенты[#Headers],0)-4,0)</f>
        <v>#N/A</v>
      </c>
      <c r="H555" s="181">
        <v>0</v>
      </c>
      <c r="I555" s="52">
        <v>461</v>
      </c>
      <c r="J555" s="52">
        <v>1</v>
      </c>
      <c r="K555" t="e">
        <f t="shared" si="11"/>
        <v>#N/A</v>
      </c>
    </row>
    <row r="556" spans="1:11" hidden="1" x14ac:dyDescent="0.25">
      <c r="A556">
        <v>4</v>
      </c>
      <c r="B556" s="179">
        <v>45703</v>
      </c>
      <c r="C556" t="s">
        <v>3457</v>
      </c>
      <c r="D556" t="str">
        <f>VLOOKUP($C556,ТабКлиенты[[#All],[name]:[phone]],MATCH(D$1,ТабКлиенты[#Headers],0)-1,0)</f>
        <v>+79497185141</v>
      </c>
      <c r="E556" t="str">
        <f>VLOOKUP($C556,ТабАдрес[[#All],[Клиент]:[gps]],MATCH(E$1,ТабКлиенты[#Headers],0)-4,0)</f>
        <v>Урицкого, 118/16</v>
      </c>
      <c r="F556" t="str">
        <f>VLOOKUP($C556,ТабАдрес[[#All],[Клиент]:[gps]],MATCH(F$1,ТабКлиенты[#Headers],0)-4,0)</f>
        <v>47.1223, 37.5125</v>
      </c>
      <c r="H556" s="181">
        <v>4200</v>
      </c>
      <c r="I556" s="52" t="s">
        <v>5</v>
      </c>
      <c r="J556" s="52">
        <v>1</v>
      </c>
      <c r="K556" t="str">
        <f t="shared" si="11"/>
        <v>4. 00:00 Лариса Западный
Тел.: +79497185141
Адрес: Урицкого, 118/16
№ заказа: Витамины
Кол-во мест: 1
https://yandex.ru/maps/?text=47.1223%2C37.5125
https://maps.google.com/?daddr=47.1223%2C37.5125
К оплате: **4200
**--------------------------------</v>
      </c>
    </row>
    <row r="557" spans="1:11" hidden="1" x14ac:dyDescent="0.25">
      <c r="A557">
        <v>5</v>
      </c>
      <c r="B557" s="179">
        <v>45703</v>
      </c>
      <c r="C557" t="s">
        <v>3128</v>
      </c>
      <c r="D557" t="e">
        <f>VLOOKUP($C557,ТабКлиенты[[#All],[name]:[phone]],MATCH(D$1,ТабКлиенты[#Headers],0)-1,0)</f>
        <v>#N/A</v>
      </c>
      <c r="E557" t="e">
        <f>VLOOKUP($C557,ТабАдрес[[#All],[Клиент]:[gps]],MATCH(E$1,ТабКлиенты[#Headers],0)-4,0)</f>
        <v>#N/A</v>
      </c>
      <c r="F557" t="e">
        <f>VLOOKUP($C557,ТабАдрес[[#All],[Клиент]:[gps]],MATCH(F$1,ТабКлиенты[#Headers],0)-4,0)</f>
        <v>#N/A</v>
      </c>
      <c r="H557" s="181">
        <v>0</v>
      </c>
      <c r="I557" s="52">
        <v>462</v>
      </c>
      <c r="J557" s="52">
        <v>1</v>
      </c>
      <c r="K557" t="e">
        <f t="shared" si="11"/>
        <v>#N/A</v>
      </c>
    </row>
    <row r="558" spans="1:11" hidden="1" x14ac:dyDescent="0.25">
      <c r="A558">
        <v>6</v>
      </c>
      <c r="B558" s="179">
        <v>45703</v>
      </c>
      <c r="C558" t="s">
        <v>3452</v>
      </c>
      <c r="D558" t="e">
        <f>VLOOKUP($C558,ТабКлиенты[[#All],[name]:[phone]],MATCH(D$1,ТабКлиенты[#Headers],0)-1,0)</f>
        <v>#N/A</v>
      </c>
      <c r="E558" t="e">
        <f>VLOOKUP($C558,ТабАдрес[[#All],[Клиент]:[gps]],MATCH(E$1,ТабКлиенты[#Headers],0)-4,0)</f>
        <v>#N/A</v>
      </c>
      <c r="F558" t="e">
        <f>VLOOKUP($C558,ТабАдрес[[#All],[Клиент]:[gps]],MATCH(F$1,ТабКлиенты[#Headers],0)-4,0)</f>
        <v>#N/A</v>
      </c>
      <c r="H558" s="181">
        <v>0</v>
      </c>
      <c r="I558" s="52">
        <v>469</v>
      </c>
      <c r="J558" s="52">
        <v>1</v>
      </c>
      <c r="K558" t="e">
        <f t="shared" si="11"/>
        <v>#N/A</v>
      </c>
    </row>
    <row r="559" spans="1:11" hidden="1" x14ac:dyDescent="0.25">
      <c r="A559">
        <v>7</v>
      </c>
      <c r="B559" s="179">
        <v>45703</v>
      </c>
      <c r="C559" t="s">
        <v>3338</v>
      </c>
      <c r="D559" t="e">
        <f>VLOOKUP($C559,ТабКлиенты[[#All],[name]:[phone]],MATCH(D$1,ТабКлиенты[#Headers],0)-1,0)</f>
        <v>#N/A</v>
      </c>
      <c r="E559" t="e">
        <f>VLOOKUP($C559,ТабАдрес[[#All],[Клиент]:[gps]],MATCH(E$1,ТабКлиенты[#Headers],0)-4,0)</f>
        <v>#N/A</v>
      </c>
      <c r="F559" t="e">
        <f>VLOOKUP($C559,ТабАдрес[[#All],[Клиент]:[gps]],MATCH(F$1,ТабКлиенты[#Headers],0)-4,0)</f>
        <v>#N/A</v>
      </c>
      <c r="H559" s="181">
        <v>0</v>
      </c>
      <c r="I559" s="52">
        <v>471</v>
      </c>
      <c r="J559" s="52">
        <v>1</v>
      </c>
      <c r="K559" t="e">
        <f t="shared" si="11"/>
        <v>#N/A</v>
      </c>
    </row>
    <row r="560" spans="1:11" hidden="1" x14ac:dyDescent="0.25">
      <c r="A560">
        <v>1</v>
      </c>
      <c r="B560" s="179">
        <v>45708</v>
      </c>
      <c r="C560" t="s">
        <v>4316</v>
      </c>
      <c r="D560" t="e">
        <f>VLOOKUP($C560,ТабКлиенты[[#All],[name]:[phone]],MATCH(D$1,ТабКлиенты[#Headers],0)-1,0)</f>
        <v>#N/A</v>
      </c>
      <c r="E560" t="e">
        <f>VLOOKUP($C560,ТабАдрес[[#All],[Клиент]:[gps]],MATCH(E$1,ТабКлиенты[#Headers],0)-4,0)</f>
        <v>#N/A</v>
      </c>
      <c r="F560" t="e">
        <f>VLOOKUP($C560,ТабАдрес[[#All],[Клиент]:[gps]],MATCH(F$1,ТабКлиенты[#Headers],0)-4,0)</f>
        <v>#N/A</v>
      </c>
      <c r="H560" s="181">
        <v>0</v>
      </c>
      <c r="I560" s="52" t="s">
        <v>5</v>
      </c>
      <c r="K560" t="e">
        <f t="shared" si="11"/>
        <v>#N/A</v>
      </c>
    </row>
    <row r="561" spans="1:11" hidden="1" x14ac:dyDescent="0.25">
      <c r="A561">
        <v>2</v>
      </c>
      <c r="B561" s="179">
        <v>45708</v>
      </c>
      <c r="C561" t="s">
        <v>3448</v>
      </c>
      <c r="D561" t="str">
        <f>VLOOKUP($C561,ТабКлиенты[[#All],[name]:[phone]],MATCH(D$1,ТабКлиенты[#Headers],0)-1,0)</f>
        <v>+79498079642</v>
      </c>
      <c r="E561" t="str">
        <f>VLOOKUP($C561,ТабАдрес[[#All],[Клиент]:[gps]],MATCH(E$1,ТабКлиенты[#Headers],0)-4,0)</f>
        <v>26 квартал 3</v>
      </c>
      <c r="F561" t="str">
        <f>VLOOKUP($C561,ТабАдрес[[#All],[Клиент]:[gps]],MATCH(F$1,ТабКлиенты[#Headers],0)-4,0)</f>
        <v>47.1295, 37.5580</v>
      </c>
      <c r="H561" s="181">
        <v>2600</v>
      </c>
      <c r="I561" s="52" t="s">
        <v>5</v>
      </c>
      <c r="K561" t="str">
        <f t="shared" si="11"/>
        <v>2. 00:00 Татьяна Лаванда
Тел.: +79498079642
Адрес: 26 квартал 3
№ заказа: Витамины
Кол-во мест: 
https://yandex.ru/maps/?text=47.1295%2C37.5580
https://maps.google.com/?daddr=47.1295%2C37.5580
К оплате: **2600
**--------------------------------</v>
      </c>
    </row>
    <row r="562" spans="1:11" hidden="1" x14ac:dyDescent="0.25">
      <c r="A562">
        <v>3</v>
      </c>
      <c r="B562" s="179">
        <v>45708</v>
      </c>
      <c r="C562" t="s">
        <v>4317</v>
      </c>
      <c r="D562" t="e">
        <f>VLOOKUP($C562,ТабКлиенты[[#All],[name]:[phone]],MATCH(D$1,ТабКлиенты[#Headers],0)-1,0)</f>
        <v>#N/A</v>
      </c>
      <c r="E562" t="e">
        <f>VLOOKUP($C562,ТабАдрес[[#All],[Клиент]:[gps]],MATCH(E$1,ТабКлиенты[#Headers],0)-4,0)</f>
        <v>#N/A</v>
      </c>
      <c r="F562" t="e">
        <f>VLOOKUP($C562,ТабАдрес[[#All],[Клиент]:[gps]],MATCH(F$1,ТабКлиенты[#Headers],0)-4,0)</f>
        <v>#N/A</v>
      </c>
      <c r="H562" s="181">
        <v>8300</v>
      </c>
      <c r="I562" s="52" t="s">
        <v>5</v>
      </c>
      <c r="K562" t="e">
        <f t="shared" si="11"/>
        <v>#N/A</v>
      </c>
    </row>
    <row r="563" spans="1:11" hidden="1" x14ac:dyDescent="0.25">
      <c r="A563">
        <v>4</v>
      </c>
      <c r="B563" s="179">
        <v>45708</v>
      </c>
      <c r="C563" t="s">
        <v>3466</v>
      </c>
      <c r="D563" t="str">
        <f>VLOOKUP($C563,ТабКлиенты[[#All],[name]:[phone]],MATCH(D$1,ТабКлиенты[#Headers],0)-1,0)</f>
        <v>+79497135589</v>
      </c>
      <c r="E563" t="str">
        <f>VLOOKUP($C563,ТабАдрес[[#All],[Клиент]:[gps]],MATCH(E$1,ТабКлиенты[#Headers],0)-4,0)</f>
        <v>Бахмутская 20</v>
      </c>
      <c r="F563" t="str">
        <f>VLOOKUP($C563,ТабАдрес[[#All],[Клиент]:[gps]],MATCH(F$1,ТабКлиенты[#Headers],0)-4,0)</f>
        <v>47.1164, 37.5459</v>
      </c>
      <c r="H563" s="181">
        <v>7000</v>
      </c>
      <c r="I563" s="52" t="s">
        <v>5</v>
      </c>
      <c r="K563" t="str">
        <f t="shared" si="11"/>
        <v>4. 00:00 Оксана молокозавод
Тел.: +79497135589
Адрес: Бахмутская 20
№ заказа: Витамины
Кол-во мест: 
https://yandex.ru/maps/?text=47.1164%2C37.5459
https://maps.google.com/?daddr=47.1164%2C37.5459
К оплате: **7000
**--------------------------------</v>
      </c>
    </row>
    <row r="564" spans="1:11" hidden="1" x14ac:dyDescent="0.25">
      <c r="A564">
        <v>5</v>
      </c>
      <c r="B564" s="179">
        <v>45708</v>
      </c>
      <c r="C564" t="s">
        <v>3270</v>
      </c>
      <c r="D564" t="str">
        <f>VLOOKUP($C564,ТабКлиенты[[#All],[name]:[phone]],MATCH(D$1,ТабКлиенты[#Headers],0)-1,0)</f>
        <v>+79496334882</v>
      </c>
      <c r="E564" t="str">
        <f>VLOOKUP($C564,ТабАдрес[[#All],[Клиент]:[gps]],MATCH(E$1,ТабКлиенты[#Headers],0)-4,0)</f>
        <v>Шевченко 217</v>
      </c>
      <c r="F564" t="str">
        <f>VLOOKUP($C564,ТабАдрес[[#All],[Клиент]:[gps]],MATCH(F$1,ТабКлиенты[#Headers],0)-4,0)</f>
        <v>47.1130, 37.5406</v>
      </c>
      <c r="H564" s="181">
        <v>2300</v>
      </c>
      <c r="I564" s="52" t="s">
        <v>5</v>
      </c>
      <c r="K564" t="str">
        <f t="shared" si="11"/>
        <v>5. 00:00 Елена Шевченко 217
Тел.: +79496334882
Адрес: Шевченко 217
№ заказа: Витамины
Кол-во мест: 
https://yandex.ru/maps/?text=47.1130%2C37.5406
https://maps.google.com/?daddr=47.1130%2C37.5406
К оплате: **2300
**--------------------------------</v>
      </c>
    </row>
    <row r="565" spans="1:11" hidden="1" x14ac:dyDescent="0.25">
      <c r="A565">
        <v>6</v>
      </c>
      <c r="B565" s="179">
        <v>45708</v>
      </c>
      <c r="C565" t="s">
        <v>3462</v>
      </c>
      <c r="D565" t="str">
        <f>VLOOKUP($C565,ТабКлиенты[[#All],[name]:[phone]],MATCH(D$1,ТабКлиенты[#Headers],0)-1,0)</f>
        <v>+79496243970</v>
      </c>
      <c r="E565" t="str">
        <f>VLOOKUP($C565,ТабАдрес[[#All],[Клиент]:[gps]],MATCH(E$1,ТабКлиенты[#Headers],0)-4,0)</f>
        <v>Урицкого 104 подъезд 2 кв. 43</v>
      </c>
      <c r="F565" t="str">
        <f>VLOOKUP($C565,ТабАдрес[[#All],[Клиент]:[gps]],MATCH(F$1,ТабКлиенты[#Headers],0)-4,0)</f>
        <v>47.1212, 37.5174</v>
      </c>
      <c r="H565" s="181">
        <v>3850</v>
      </c>
      <c r="I565" s="52" t="s">
        <v>5</v>
      </c>
      <c r="K565" t="str">
        <f t="shared" si="11"/>
        <v>6. 00:00 Людмила Федоровна
Тел.: +79496243970
Адрес: Урицкого 104 подъезд 2 кв. 43
№ заказа: Витамины
Кол-во мест: 
https://yandex.ru/maps/?text=47.1212%2C37.5174
https://maps.google.com/?daddr=47.1212%2C37.5174
К оплате: **3850
**--------------------------------</v>
      </c>
    </row>
    <row r="566" spans="1:11" hidden="1" x14ac:dyDescent="0.25">
      <c r="A566">
        <v>7</v>
      </c>
      <c r="B566" s="179">
        <v>45708</v>
      </c>
      <c r="C566" t="s">
        <v>4318</v>
      </c>
      <c r="D566" t="e">
        <f>VLOOKUP($C566,ТабКлиенты[[#All],[name]:[phone]],MATCH(D$1,ТабКлиенты[#Headers],0)-1,0)</f>
        <v>#N/A</v>
      </c>
      <c r="E566" t="e">
        <f>VLOOKUP($C566,ТабАдрес[[#All],[Клиент]:[gps]],MATCH(E$1,ТабКлиенты[#Headers],0)-4,0)</f>
        <v>#N/A</v>
      </c>
      <c r="F566" t="e">
        <f>VLOOKUP($C566,ТабАдрес[[#All],[Клиент]:[gps]],MATCH(F$1,ТабКлиенты[#Headers],0)-4,0)</f>
        <v>#N/A</v>
      </c>
      <c r="H566" s="181">
        <v>0</v>
      </c>
      <c r="I566" s="52" t="s">
        <v>5</v>
      </c>
      <c r="K566" t="e">
        <f t="shared" si="11"/>
        <v>#N/A</v>
      </c>
    </row>
    <row r="567" spans="1:11" hidden="1" x14ac:dyDescent="0.25">
      <c r="A567">
        <v>1</v>
      </c>
      <c r="B567" s="179">
        <v>45710</v>
      </c>
      <c r="C567" t="s">
        <v>4319</v>
      </c>
      <c r="D567" t="e">
        <f>VLOOKUP($C567,ТабКлиенты[[#All],[name]:[phone]],MATCH(D$1,ТабКлиенты[#Headers],0)-1,0)</f>
        <v>#N/A</v>
      </c>
      <c r="E567" t="e">
        <f>VLOOKUP($C567,ТабАдрес[[#All],[Клиент]:[gps]],MATCH(E$1,ТабКлиенты[#Headers],0)-4,0)</f>
        <v>#N/A</v>
      </c>
      <c r="F567" t="e">
        <f>VLOOKUP($C567,ТабАдрес[[#All],[Клиент]:[gps]],MATCH(F$1,ТабКлиенты[#Headers],0)-4,0)</f>
        <v>#N/A</v>
      </c>
      <c r="G567" s="183">
        <v>0.35416666666666669</v>
      </c>
      <c r="H567" s="181">
        <v>0</v>
      </c>
      <c r="I567" s="52" t="s">
        <v>4320</v>
      </c>
      <c r="J567" s="52">
        <v>1</v>
      </c>
      <c r="K567" t="e">
        <f t="shared" si="11"/>
        <v>#N/A</v>
      </c>
    </row>
    <row r="568" spans="1:11" hidden="1" x14ac:dyDescent="0.25">
      <c r="A568">
        <v>2</v>
      </c>
      <c r="B568" s="179">
        <v>45710</v>
      </c>
      <c r="C568" t="s">
        <v>3211</v>
      </c>
      <c r="D568" t="str">
        <f>VLOOKUP($C568,ТабКлиенты[[#All],[name]:[phone]],MATCH(D$1,ТабКлиенты[#Headers],0)-1,0)</f>
        <v>+79497105263</v>
      </c>
      <c r="E568" t="str">
        <f>VLOOKUP($C568,ТабАдрес[[#All],[Клиент]:[gps]],MATCH(E$1,ТабКлиенты[#Headers],0)-4,0)</f>
        <v>Казанцева 31</v>
      </c>
      <c r="F568" t="str">
        <f>VLOOKUP($C568,ТабАдрес[[#All],[Клиент]:[gps]],MATCH(F$1,ТабКлиенты[#Headers],0)-4,0)</f>
        <v>47.1070, 37.5475</v>
      </c>
      <c r="G568" s="183">
        <v>0.36458333333333331</v>
      </c>
      <c r="H568" s="181">
        <v>3000</v>
      </c>
      <c r="I568" s="52" t="s">
        <v>5</v>
      </c>
      <c r="J568" s="52">
        <v>1</v>
      </c>
      <c r="K568" t="str">
        <f t="shared" si="11"/>
        <v>2. 08:45 Анна соседка
Тел.: +79497105263
Адрес: Казанцева 31
№ заказа: Витамины
Кол-во мест: 1
https://yandex.ru/maps/?text=47.1070%2C37.5475
https://maps.google.com/?daddr=47.1070%2C37.5475
К оплате: **3000
**--------------------------------</v>
      </c>
    </row>
    <row r="569" spans="1:11" hidden="1" x14ac:dyDescent="0.25">
      <c r="A569">
        <v>3</v>
      </c>
      <c r="B569" s="179">
        <v>45710</v>
      </c>
      <c r="C569" t="s">
        <v>3441</v>
      </c>
      <c r="D569" t="str">
        <f>VLOOKUP($C569,ТабКлиенты[[#All],[name]:[phone]],MATCH(D$1,ТабКлиенты[#Headers],0)-1,0)</f>
        <v>+79497124527</v>
      </c>
      <c r="E569" t="str">
        <f>VLOOKUP($C569,ТабАдрес[[#All],[Клиент]:[gps]],MATCH(E$1,ТабКлиенты[#Headers],0)-4,0)</f>
        <v>Писарева 28</v>
      </c>
      <c r="F569" t="str">
        <f>VLOOKUP($C569,ТабАдрес[[#All],[Клиент]:[gps]],MATCH(F$1,ТабКлиенты[#Headers],0)-4,0)</f>
        <v>47.1065, 37.5478</v>
      </c>
      <c r="G569" s="183">
        <v>0.36805555555555558</v>
      </c>
      <c r="H569" s="181">
        <v>1000</v>
      </c>
      <c r="I569" s="52" t="s">
        <v>5</v>
      </c>
      <c r="J569" s="52">
        <v>1</v>
      </c>
      <c r="K569" t="str">
        <f t="shared" si="11"/>
        <v>3. 08:50 Татьяна Писарева 28
Тел.: +79497124527
Адрес: Писарева 28
№ заказа: Витамины
Кол-во мест: 1
https://yandex.ru/maps/?text=47.1065%2C37.5478
https://maps.google.com/?daddr=47.1065%2C37.5478
К оплате: **1000
**--------------------------------</v>
      </c>
    </row>
    <row r="570" spans="1:11" hidden="1" x14ac:dyDescent="0.25">
      <c r="A570">
        <v>4</v>
      </c>
      <c r="B570" s="179">
        <v>45710</v>
      </c>
      <c r="C570" t="s">
        <v>3172</v>
      </c>
      <c r="D570" t="str">
        <f>VLOOKUP($C570,ТабКлиенты[[#All],[name]:[phone]],MATCH(D$1,ТабКлиенты[#Headers],0)-1,0)</f>
        <v>+79497277100</v>
      </c>
      <c r="E570" t="str">
        <f>VLOOKUP($C570,ТабАдрес[[#All],[Клиент]:[gps]],MATCH(E$1,ТабКлиенты[#Headers],0)-4,0)</f>
        <v>Артема 132</v>
      </c>
      <c r="F570" t="str">
        <f>VLOOKUP($C570,ТабАдрес[[#All],[Клиент]:[gps]],MATCH(F$1,ТабКлиенты[#Headers],0)-4,0)</f>
        <v>47.1085, 37.5599</v>
      </c>
      <c r="G570" s="183">
        <v>0.38194444444444442</v>
      </c>
      <c r="H570" s="181">
        <f>2250+3200</f>
        <v>5450</v>
      </c>
      <c r="I570" s="52">
        <v>472</v>
      </c>
      <c r="J570" s="52">
        <v>1</v>
      </c>
      <c r="K570" t="str">
        <f t="shared" si="11"/>
        <v>4. 09:10 Александр Радин
Тел.: +79497277100
Адрес: Артема 132
№ заказа: 472
Кол-во мест: 1
https://yandex.ru/maps/?text=47.1085%2C37.5599
https://maps.google.com/?daddr=47.1085%2C37.5599
К оплате: **5450
**--------------------------------</v>
      </c>
    </row>
    <row r="571" spans="1:11" hidden="1" x14ac:dyDescent="0.25">
      <c r="A571">
        <v>5</v>
      </c>
      <c r="B571" s="179">
        <v>45710</v>
      </c>
      <c r="C571" t="s">
        <v>3470</v>
      </c>
      <c r="D571" t="str">
        <f>VLOOKUP($C571,ТабКлиенты[[#All],[name]:[phone]],MATCH(D$1,ТабКлиенты[#Headers],0)-1,0)</f>
        <v>+79495256416</v>
      </c>
      <c r="E571" t="str">
        <f>VLOOKUP($C571,ТабАдрес[[#All],[Клиент]:[gps]],MATCH(E$1,ТабКлиенты[#Headers],0)-4,0)</f>
        <v>Металлургов 129</v>
      </c>
      <c r="F571" t="str">
        <f>VLOOKUP($C571,ТабАдрес[[#All],[Клиент]:[gps]],MATCH(F$1,ТабКлиенты[#Headers],0)-4,0)</f>
        <v>47.1123, 37.5582</v>
      </c>
      <c r="G571" s="183">
        <v>0.3888888888888889</v>
      </c>
      <c r="H571" s="181">
        <v>0</v>
      </c>
      <c r="I571" s="52" t="s">
        <v>5</v>
      </c>
      <c r="J571" s="52">
        <v>1</v>
      </c>
      <c r="K571" t="str">
        <f t="shared" si="11"/>
        <v>5. 09:20 Екатерина Металлургов 129
Тел.: +79495256416
Адрес: Металлургов 129
№ заказа: Витамины
Кол-во мест: 1
https://yandex.ru/maps/?text=47.1123%2C37.5582
https://maps.google.com/?daddr=47.1123%2C37.5582
К оплате: **0
**--------------------------------</v>
      </c>
    </row>
    <row r="572" spans="1:11" hidden="1" x14ac:dyDescent="0.25">
      <c r="A572">
        <v>6</v>
      </c>
      <c r="B572" s="179">
        <v>45710</v>
      </c>
      <c r="C572" t="s">
        <v>3210</v>
      </c>
      <c r="D572" t="e">
        <f>VLOOKUP($C572,ТабКлиенты[[#All],[name]:[phone]],MATCH(D$1,ТабКлиенты[#Headers],0)-1,0)</f>
        <v>#N/A</v>
      </c>
      <c r="E572" t="e">
        <f>VLOOKUP($C572,ТабАдрес[[#All],[Клиент]:[gps]],MATCH(E$1,ТабКлиенты[#Headers],0)-4,0)</f>
        <v>#N/A</v>
      </c>
      <c r="F572" t="e">
        <f>VLOOKUP($C572,ТабАдрес[[#All],[Клиент]:[gps]],MATCH(F$1,ТабКлиенты[#Headers],0)-4,0)</f>
        <v>#N/A</v>
      </c>
      <c r="G572" s="183">
        <v>0.39583333333333331</v>
      </c>
      <c r="H572" s="181">
        <v>0</v>
      </c>
      <c r="I572" s="52">
        <v>478</v>
      </c>
      <c r="J572" s="52">
        <v>1</v>
      </c>
      <c r="K572" t="e">
        <f t="shared" si="11"/>
        <v>#N/A</v>
      </c>
    </row>
    <row r="573" spans="1:11" hidden="1" x14ac:dyDescent="0.25">
      <c r="A573">
        <v>7</v>
      </c>
      <c r="B573" s="179">
        <v>45710</v>
      </c>
      <c r="C573" t="s">
        <v>3260</v>
      </c>
      <c r="D573" t="e">
        <f>VLOOKUP($C573,ТабКлиенты[[#All],[name]:[phone]],MATCH(D$1,ТабКлиенты[#Headers],0)-1,0)</f>
        <v>#N/A</v>
      </c>
      <c r="E573" t="e">
        <f>VLOOKUP($C573,ТабАдрес[[#All],[Клиент]:[gps]],MATCH(E$1,ТабКлиенты[#Headers],0)-4,0)</f>
        <v>#N/A</v>
      </c>
      <c r="F573" t="e">
        <f>VLOOKUP($C573,ТабАдрес[[#All],[Клиент]:[gps]],MATCH(F$1,ТабКлиенты[#Headers],0)-4,0)</f>
        <v>#N/A</v>
      </c>
      <c r="G573" s="183">
        <v>0.40277777777777779</v>
      </c>
      <c r="H573" s="181">
        <v>0</v>
      </c>
      <c r="I573" s="52">
        <v>474</v>
      </c>
      <c r="J573" s="52">
        <v>2</v>
      </c>
      <c r="K573" t="e">
        <f t="shared" si="11"/>
        <v>#N/A</v>
      </c>
    </row>
    <row r="574" spans="1:11" hidden="1" x14ac:dyDescent="0.25">
      <c r="A574">
        <v>8</v>
      </c>
      <c r="B574" s="179">
        <v>45710</v>
      </c>
      <c r="C574" t="s">
        <v>3444</v>
      </c>
      <c r="D574" t="str">
        <f>VLOOKUP($C574,ТабКлиенты[[#All],[name]:[phone]],MATCH(D$1,ТабКлиенты[#Headers],0)-1,0)</f>
        <v>+79497168896</v>
      </c>
      <c r="E574" t="str">
        <f>VLOOKUP($C574,ТабАдрес[[#All],[Клиент]:[gps]],MATCH(E$1,ТабКлиенты[#Headers],0)-4,0)</f>
        <v>Шевченко 240 подъезд 3</v>
      </c>
      <c r="F574" t="str">
        <f>VLOOKUP($C574,ТабАдрес[[#All],[Клиент]:[gps]],MATCH(F$1,ТабКлиенты[#Headers],0)-4,0)</f>
        <v>47.1153, 37.5222</v>
      </c>
      <c r="G574" s="183">
        <v>0.40972222222222221</v>
      </c>
      <c r="H574" s="181">
        <v>3500</v>
      </c>
      <c r="I574" s="52" t="s">
        <v>5</v>
      </c>
      <c r="J574" s="52">
        <v>1</v>
      </c>
      <c r="K574" t="str">
        <f t="shared" si="11"/>
        <v>8. 09:50 Оксана Шевченко 240
Тел.: +79497168896
Адрес: Шевченко 240 подъезд 3
№ заказа: Витамины
Кол-во мест: 1
https://yandex.ru/maps/?text=47.1153%2C37.5222
https://maps.google.com/?daddr=47.1153%2C37.5222
К оплате: **3500
**--------------------------------</v>
      </c>
    </row>
    <row r="575" spans="1:11" hidden="1" x14ac:dyDescent="0.25">
      <c r="A575">
        <v>9</v>
      </c>
      <c r="B575" s="179">
        <v>45710</v>
      </c>
      <c r="C575" t="s">
        <v>3461</v>
      </c>
      <c r="D575" t="e">
        <f>VLOOKUP($C575,ТабКлиенты[[#All],[name]:[phone]],MATCH(D$1,ТабКлиенты[#Headers],0)-1,0)</f>
        <v>#N/A</v>
      </c>
      <c r="E575" t="e">
        <f>VLOOKUP($C575,ТабАдрес[[#All],[Клиент]:[gps]],MATCH(E$1,ТабКлиенты[#Headers],0)-4,0)</f>
        <v>#N/A</v>
      </c>
      <c r="F575" t="e">
        <f>VLOOKUP($C575,ТабАдрес[[#All],[Клиент]:[gps]],MATCH(F$1,ТабКлиенты[#Headers],0)-4,0)</f>
        <v>#N/A</v>
      </c>
      <c r="G575" s="183">
        <v>0.41666666666666669</v>
      </c>
      <c r="H575" s="181">
        <v>0</v>
      </c>
      <c r="I575" s="52">
        <v>477</v>
      </c>
      <c r="J575" s="52">
        <v>1</v>
      </c>
      <c r="K575" t="e">
        <f t="shared" si="11"/>
        <v>#N/A</v>
      </c>
    </row>
    <row r="576" spans="1:11" hidden="1" x14ac:dyDescent="0.25">
      <c r="A576">
        <v>10</v>
      </c>
      <c r="B576" s="179">
        <v>45710</v>
      </c>
      <c r="C576" t="s">
        <v>3469</v>
      </c>
      <c r="D576" t="e">
        <f>VLOOKUP($C576,ТабКлиенты[[#All],[name]:[phone]],MATCH(D$1,ТабКлиенты[#Headers],0)-1,0)</f>
        <v>#N/A</v>
      </c>
      <c r="E576" t="e">
        <f>VLOOKUP($C576,ТабАдрес[[#All],[Клиент]:[gps]],MATCH(E$1,ТабКлиенты[#Headers],0)-4,0)</f>
        <v>#N/A</v>
      </c>
      <c r="F576" t="e">
        <f>VLOOKUP($C576,ТабАдрес[[#All],[Клиент]:[gps]],MATCH(F$1,ТабКлиенты[#Headers],0)-4,0)</f>
        <v>#N/A</v>
      </c>
      <c r="G576" s="183">
        <v>0.4236111111111111</v>
      </c>
      <c r="H576" s="181">
        <v>400</v>
      </c>
      <c r="I576" s="52">
        <v>483</v>
      </c>
      <c r="J576" s="52">
        <v>1</v>
      </c>
      <c r="K576" t="e">
        <f t="shared" si="11"/>
        <v>#N/A</v>
      </c>
    </row>
    <row r="577" spans="1:11" hidden="1" x14ac:dyDescent="0.25">
      <c r="A577">
        <v>11</v>
      </c>
      <c r="B577" s="179">
        <v>45710</v>
      </c>
      <c r="C577" t="s">
        <v>3252</v>
      </c>
      <c r="D577" t="str">
        <f>VLOOKUP($C577,ТабКлиенты[[#All],[name]:[phone]],MATCH(D$1,ТабКлиенты[#Headers],0)-1,0)</f>
        <v>+79497115237</v>
      </c>
      <c r="E577" t="str">
        <f>VLOOKUP($C577,ТабАдрес[[#All],[Клиент]:[gps]],MATCH(E$1,ТабКлиенты[#Headers],0)-4,0)</f>
        <v>пер Станционный 8</v>
      </c>
      <c r="F577" t="str">
        <f>VLOOKUP($C577,ТабАдрес[[#All],[Клиент]:[gps]],MATCH(F$1,ТабКлиенты[#Headers],0)-4,0)</f>
        <v>47.1640, 37.5780</v>
      </c>
      <c r="G577" s="183">
        <v>0.43055555555555558</v>
      </c>
      <c r="H577" s="181">
        <v>8000</v>
      </c>
      <c r="I577" s="52" t="s">
        <v>5</v>
      </c>
      <c r="J577" s="52">
        <v>1</v>
      </c>
      <c r="K577" t="str">
        <f t="shared" si="11"/>
        <v>11. 10:20 Аня Мирный
Тел.: +79497115237
Адрес: пер Станционный 8
№ заказа: Витамины
Кол-во мест: 1
https://yandex.ru/maps/?text=47.1640%2C37.5780
https://maps.google.com/?daddr=47.1640%2C37.5780
К оплате: **8000
**--------------------------------</v>
      </c>
    </row>
    <row r="578" spans="1:11" hidden="1" x14ac:dyDescent="0.25">
      <c r="A578">
        <v>12</v>
      </c>
      <c r="B578" s="179">
        <v>45710</v>
      </c>
      <c r="C578" t="s">
        <v>3125</v>
      </c>
      <c r="D578" t="e">
        <f>VLOOKUP($C578,ТабКлиенты[[#All],[name]:[phone]],MATCH(D$1,ТабКлиенты[#Headers],0)-1,0)</f>
        <v>#N/A</v>
      </c>
      <c r="E578" t="e">
        <f>VLOOKUP($C578,ТабАдрес[[#All],[Клиент]:[gps]],MATCH(E$1,ТабКлиенты[#Headers],0)-4,0)</f>
        <v>#N/A</v>
      </c>
      <c r="F578" t="e">
        <f>VLOOKUP($C578,ТабАдрес[[#All],[Клиент]:[gps]],MATCH(F$1,ТабКлиенты[#Headers],0)-4,0)</f>
        <v>#N/A</v>
      </c>
      <c r="G578" s="183">
        <v>0.4375</v>
      </c>
      <c r="H578" s="181">
        <v>2929</v>
      </c>
      <c r="I578" s="52">
        <v>476</v>
      </c>
      <c r="J578" s="52">
        <v>1</v>
      </c>
      <c r="K578" t="e">
        <f t="shared" si="11"/>
        <v>#N/A</v>
      </c>
    </row>
    <row r="579" spans="1:11" hidden="1" x14ac:dyDescent="0.25">
      <c r="A579">
        <v>13</v>
      </c>
      <c r="B579" s="179">
        <v>45710</v>
      </c>
      <c r="C579" t="s">
        <v>3241</v>
      </c>
      <c r="D579" t="str">
        <f>VLOOKUP($C579,ТабКлиенты[[#All],[name]:[phone]],MATCH(D$1,ТабКлиенты[#Headers],0)-1,0)</f>
        <v>+79497064345</v>
      </c>
      <c r="E579" t="str">
        <f>VLOOKUP($C579,ТабАдрес[[#All],[Клиент]:[gps]],MATCH(E$1,ТабКлиенты[#Headers],0)-4,0)</f>
        <v>Шевченко 270</v>
      </c>
      <c r="F579" t="str">
        <f>VLOOKUP($C579,ТабАдрес[[#All],[Клиент]:[gps]],MATCH(F$1,ТабКлиенты[#Headers],0)-4,0)</f>
        <v>47.1157, 37.5138</v>
      </c>
      <c r="G579" s="183">
        <v>0.46875</v>
      </c>
      <c r="H579" s="181">
        <v>1700</v>
      </c>
      <c r="I579" s="52" t="s">
        <v>5</v>
      </c>
      <c r="J579" s="52">
        <v>1</v>
      </c>
      <c r="K579" t="str">
        <f t="shared" si="11"/>
        <v>13. 11:15 Татьяна Леонидовна
Тел.: +79497064345
Адрес: Шевченко 270
№ заказа: Витамины
Кол-во мест: 1
https://yandex.ru/maps/?text=47.1157%2C37.5138
https://maps.google.com/?daddr=47.1157%2C37.5138
К оплате: **1700
**--------------------------------</v>
      </c>
    </row>
    <row r="580" spans="1:11" hidden="1" x14ac:dyDescent="0.25">
      <c r="A580">
        <v>14</v>
      </c>
      <c r="B580" s="179">
        <v>45710</v>
      </c>
      <c r="C580" t="s">
        <v>3338</v>
      </c>
      <c r="D580" t="e">
        <f>VLOOKUP($C580,ТабКлиенты[[#All],[name]:[phone]],MATCH(D$1,ТабКлиенты[#Headers],0)-1,0)</f>
        <v>#N/A</v>
      </c>
      <c r="E580" t="e">
        <f>VLOOKUP($C580,ТабАдрес[[#All],[Клиент]:[gps]],MATCH(E$1,ТабКлиенты[#Headers],0)-4,0)</f>
        <v>#N/A</v>
      </c>
      <c r="F580" t="e">
        <f>VLOOKUP($C580,ТабАдрес[[#All],[Клиент]:[gps]],MATCH(F$1,ТабКлиенты[#Headers],0)-4,0)</f>
        <v>#N/A</v>
      </c>
      <c r="G580" s="183">
        <v>0.47569444444444442</v>
      </c>
      <c r="H580" s="181">
        <v>0</v>
      </c>
      <c r="I580" s="52">
        <v>471</v>
      </c>
      <c r="J580" s="52">
        <v>1</v>
      </c>
      <c r="K580" t="e">
        <f t="shared" si="11"/>
        <v>#N/A</v>
      </c>
    </row>
    <row r="581" spans="1:11" hidden="1" x14ac:dyDescent="0.25">
      <c r="A581">
        <v>15</v>
      </c>
      <c r="B581" s="179">
        <v>45710</v>
      </c>
      <c r="C581" t="s">
        <v>3226</v>
      </c>
      <c r="D581" t="str">
        <f>VLOOKUP($C581,ТабКлиенты[[#All],[name]:[phone]],MATCH(D$1,ТабКлиенты[#Headers],0)-1,0)</f>
        <v>+79497169864</v>
      </c>
      <c r="E581" t="str">
        <f>VLOOKUP($C581,ТабАдрес[[#All],[Клиент]:[gps]],MATCH(E$1,ТабКлиенты[#Headers],0)-4,0)</f>
        <v>Строителей, 102</v>
      </c>
      <c r="F581" t="str">
        <f>VLOOKUP($C581,ТабАдрес[[#All],[Клиент]:[gps]],MATCH(F$1,ТабКлиенты[#Headers],0)-4,0)</f>
        <v>47.100776, 37.522477</v>
      </c>
      <c r="G581" s="183">
        <v>0.4861111111111111</v>
      </c>
      <c r="H581" s="181">
        <v>9200</v>
      </c>
      <c r="I581" s="52" t="s">
        <v>5</v>
      </c>
      <c r="J581" s="52">
        <v>1</v>
      </c>
      <c r="K581" t="str">
        <f t="shared" si="11"/>
        <v>15. 11:40 Надежда Витамины
Тел.: +79497169864
Адрес: Строителей, 102
№ заказа: Витамины
Кол-во мест: 1
https://yandex.ru/maps/?text=47.100776%2C37.522477
https://maps.google.com/?daddr=47.100776%2C37.522477
К оплате: **9200
**--------------------------------</v>
      </c>
    </row>
    <row r="582" spans="1:11" hidden="1" x14ac:dyDescent="0.25">
      <c r="A582">
        <v>16</v>
      </c>
      <c r="B582" s="179">
        <v>45710</v>
      </c>
      <c r="C582" t="s">
        <v>3281</v>
      </c>
      <c r="D582" t="e">
        <f>VLOOKUP($C582,ТабКлиенты[[#All],[name]:[phone]],MATCH(D$1,ТабКлиенты[#Headers],0)-1,0)</f>
        <v>#N/A</v>
      </c>
      <c r="E582" t="e">
        <f>VLOOKUP($C582,ТабАдрес[[#All],[Клиент]:[gps]],MATCH(E$1,ТабКлиенты[#Headers],0)-4,0)</f>
        <v>#N/A</v>
      </c>
      <c r="F582" t="e">
        <f>VLOOKUP($C582,ТабАдрес[[#All],[Клиент]:[gps]],MATCH(F$1,ТабКлиенты[#Headers],0)-4,0)</f>
        <v>#N/A</v>
      </c>
      <c r="G582" s="183">
        <v>0.49305555555555558</v>
      </c>
      <c r="H582" s="181">
        <v>0</v>
      </c>
      <c r="I582" s="52">
        <v>482</v>
      </c>
      <c r="J582" s="52">
        <v>1</v>
      </c>
      <c r="K582" t="e">
        <f t="shared" si="11"/>
        <v>#N/A</v>
      </c>
    </row>
    <row r="583" spans="1:11" hidden="1" x14ac:dyDescent="0.25">
      <c r="A583">
        <v>17</v>
      </c>
      <c r="B583" s="179">
        <v>45710</v>
      </c>
      <c r="C583" t="s">
        <v>4321</v>
      </c>
      <c r="D583" t="e">
        <f>VLOOKUP($C583,ТабКлиенты[[#All],[name]:[phone]],MATCH(D$1,ТабКлиенты[#Headers],0)-1,0)</f>
        <v>#N/A</v>
      </c>
      <c r="E583" t="e">
        <f>VLOOKUP($C583,ТабАдрес[[#All],[Клиент]:[gps]],MATCH(E$1,ТабКлиенты[#Headers],0)-4,0)</f>
        <v>#N/A</v>
      </c>
      <c r="F583" t="e">
        <f>VLOOKUP($C583,ТабАдрес[[#All],[Клиент]:[gps]],MATCH(F$1,ТабКлиенты[#Headers],0)-4,0)</f>
        <v>#N/A</v>
      </c>
      <c r="G583" s="183">
        <v>0.50694444444444442</v>
      </c>
      <c r="H583" s="181">
        <v>0</v>
      </c>
      <c r="I583" s="52" t="s">
        <v>4320</v>
      </c>
      <c r="J583" s="52">
        <v>1</v>
      </c>
      <c r="K583" t="e">
        <f t="shared" si="11"/>
        <v>#N/A</v>
      </c>
    </row>
    <row r="584" spans="1:11" hidden="1" x14ac:dyDescent="0.25">
      <c r="A584">
        <v>18</v>
      </c>
      <c r="B584" s="179">
        <v>45710</v>
      </c>
      <c r="C584" t="s">
        <v>3348</v>
      </c>
      <c r="D584" t="e">
        <f>VLOOKUP($C584,ТабКлиенты[[#All],[name]:[phone]],MATCH(D$1,ТабКлиенты[#Headers],0)-1,0)</f>
        <v>#N/A</v>
      </c>
      <c r="E584" t="e">
        <f>VLOOKUP($C584,ТабАдрес[[#All],[Клиент]:[gps]],MATCH(E$1,ТабКлиенты[#Headers],0)-4,0)</f>
        <v>#N/A</v>
      </c>
      <c r="F584" t="e">
        <f>VLOOKUP($C584,ТабАдрес[[#All],[Клиент]:[gps]],MATCH(F$1,ТабКлиенты[#Headers],0)-4,0)</f>
        <v>#N/A</v>
      </c>
      <c r="G584" s="183">
        <v>0.51736111111111116</v>
      </c>
      <c r="H584" s="181">
        <v>200</v>
      </c>
      <c r="I584" s="52">
        <v>481</v>
      </c>
      <c r="J584" s="52">
        <v>2</v>
      </c>
      <c r="K584" t="e">
        <f t="shared" si="11"/>
        <v>#N/A</v>
      </c>
    </row>
    <row r="585" spans="1:11" hidden="1" x14ac:dyDescent="0.25">
      <c r="A585">
        <v>1</v>
      </c>
      <c r="B585" s="179">
        <v>45717</v>
      </c>
      <c r="C585" t="s">
        <v>3125</v>
      </c>
      <c r="D585" t="e">
        <f>VLOOKUP($C585,ТабКлиенты[[#All],[name]:[phone]],MATCH(D$1,ТабКлиенты[#Headers],0)-1,0)</f>
        <v>#N/A</v>
      </c>
      <c r="E585" t="e">
        <f>VLOOKUP($C585,ТабАдрес[[#All],[Клиент]:[gps]],MATCH(E$1,ТабКлиенты[#Headers],0)-4,0)</f>
        <v>#N/A</v>
      </c>
      <c r="F585" t="e">
        <f>VLOOKUP($C585,ТабАдрес[[#All],[Клиент]:[gps]],MATCH(F$1,ТабКлиенты[#Headers],0)-4,0)</f>
        <v>#N/A</v>
      </c>
      <c r="G585" s="183">
        <v>0.41666666666666669</v>
      </c>
      <c r="H585" s="181">
        <v>0</v>
      </c>
      <c r="I585" s="52">
        <v>476</v>
      </c>
      <c r="J585" s="52">
        <v>1</v>
      </c>
      <c r="K585" t="e">
        <f t="shared" si="11"/>
        <v>#N/A</v>
      </c>
    </row>
    <row r="586" spans="1:11" hidden="1" x14ac:dyDescent="0.25">
      <c r="A586">
        <v>2</v>
      </c>
      <c r="B586" s="179">
        <v>45717</v>
      </c>
      <c r="C586" t="s">
        <v>3210</v>
      </c>
      <c r="D586" t="e">
        <f>VLOOKUP($C586,ТабКлиенты[[#All],[name]:[phone]],MATCH(D$1,ТабКлиенты[#Headers],0)-1,0)</f>
        <v>#N/A</v>
      </c>
      <c r="E586" t="e">
        <f>VLOOKUP($C586,ТабАдрес[[#All],[Клиент]:[gps]],MATCH(E$1,ТабКлиенты[#Headers],0)-4,0)</f>
        <v>#N/A</v>
      </c>
      <c r="F586" t="e">
        <f>VLOOKUP($C586,ТабАдрес[[#All],[Клиент]:[gps]],MATCH(F$1,ТабКлиенты[#Headers],0)-4,0)</f>
        <v>#N/A</v>
      </c>
      <c r="G586" s="183">
        <v>0.4236111111111111</v>
      </c>
      <c r="H586" s="181">
        <v>0</v>
      </c>
      <c r="I586" s="52">
        <v>493</v>
      </c>
      <c r="J586" s="52">
        <v>1</v>
      </c>
      <c r="K586" t="e">
        <f t="shared" si="11"/>
        <v>#N/A</v>
      </c>
    </row>
    <row r="587" spans="1:11" hidden="1" x14ac:dyDescent="0.25">
      <c r="A587">
        <v>3</v>
      </c>
      <c r="B587" s="179">
        <v>45717</v>
      </c>
      <c r="C587" t="s">
        <v>3133</v>
      </c>
      <c r="D587" t="e">
        <f>VLOOKUP($C587,ТабКлиенты[[#All],[name]:[phone]],MATCH(D$1,ТабКлиенты[#Headers],0)-1,0)</f>
        <v>#N/A</v>
      </c>
      <c r="E587" t="e">
        <f>VLOOKUP($C587,ТабАдрес[[#All],[Клиент]:[gps]],MATCH(E$1,ТабКлиенты[#Headers],0)-4,0)</f>
        <v>#N/A</v>
      </c>
      <c r="F587" t="e">
        <f>VLOOKUP($C587,ТабАдрес[[#All],[Клиент]:[gps]],MATCH(F$1,ТабКлиенты[#Headers],0)-4,0)</f>
        <v>#N/A</v>
      </c>
      <c r="G587" s="183">
        <v>0.42708333333333331</v>
      </c>
      <c r="H587" s="181">
        <v>0</v>
      </c>
      <c r="I587" s="52">
        <v>492</v>
      </c>
      <c r="J587" s="52">
        <v>1</v>
      </c>
      <c r="K587" t="e">
        <f t="shared" si="11"/>
        <v>#N/A</v>
      </c>
    </row>
    <row r="588" spans="1:11" hidden="1" x14ac:dyDescent="0.25">
      <c r="A588">
        <v>4</v>
      </c>
      <c r="B588" s="179">
        <v>45717</v>
      </c>
      <c r="C588" t="s">
        <v>3260</v>
      </c>
      <c r="D588" t="e">
        <f>VLOOKUP($C588,ТабКлиенты[[#All],[name]:[phone]],MATCH(D$1,ТабКлиенты[#Headers],0)-1,0)</f>
        <v>#N/A</v>
      </c>
      <c r="E588" t="e">
        <f>VLOOKUP($C588,ТабАдрес[[#All],[Клиент]:[gps]],MATCH(E$1,ТабКлиенты[#Headers],0)-4,0)</f>
        <v>#N/A</v>
      </c>
      <c r="F588" t="e">
        <f>VLOOKUP($C588,ТабАдрес[[#All],[Клиент]:[gps]],MATCH(F$1,ТабКлиенты[#Headers],0)-4,0)</f>
        <v>#N/A</v>
      </c>
      <c r="G588" s="183">
        <v>0.42708333333333331</v>
      </c>
      <c r="H588" s="181">
        <v>0</v>
      </c>
      <c r="I588" s="52">
        <v>491</v>
      </c>
      <c r="J588" s="52">
        <v>2</v>
      </c>
      <c r="K588" t="e">
        <f t="shared" si="11"/>
        <v>#N/A</v>
      </c>
    </row>
    <row r="589" spans="1:11" hidden="1" x14ac:dyDescent="0.25">
      <c r="A589">
        <v>5</v>
      </c>
      <c r="B589" s="179">
        <v>45717</v>
      </c>
      <c r="C589" t="s">
        <v>3461</v>
      </c>
      <c r="D589" t="e">
        <f>VLOOKUP($C589,ТабКлиенты[[#All],[name]:[phone]],MATCH(D$1,ТабКлиенты[#Headers],0)-1,0)</f>
        <v>#N/A</v>
      </c>
      <c r="E589" t="e">
        <f>VLOOKUP($C589,ТабАдрес[[#All],[Клиент]:[gps]],MATCH(E$1,ТабКлиенты[#Headers],0)-4,0)</f>
        <v>#N/A</v>
      </c>
      <c r="F589" t="e">
        <f>VLOOKUP($C589,ТабАдрес[[#All],[Клиент]:[gps]],MATCH(F$1,ТабКлиенты[#Headers],0)-4,0)</f>
        <v>#N/A</v>
      </c>
      <c r="G589" s="183">
        <v>0.4513888888888889</v>
      </c>
      <c r="H589" s="181">
        <v>0</v>
      </c>
      <c r="I589" s="52">
        <v>494</v>
      </c>
      <c r="J589" s="52">
        <v>1</v>
      </c>
      <c r="K589" t="e">
        <f t="shared" si="11"/>
        <v>#N/A</v>
      </c>
    </row>
    <row r="590" spans="1:11" hidden="1" x14ac:dyDescent="0.25">
      <c r="A590">
        <v>6</v>
      </c>
      <c r="B590" s="179">
        <v>45717</v>
      </c>
      <c r="C590" t="s">
        <v>4322</v>
      </c>
      <c r="D590" t="e">
        <f>VLOOKUP($C590,ТабКлиенты[[#All],[name]:[phone]],MATCH(D$1,ТабКлиенты[#Headers],0)-1,0)</f>
        <v>#N/A</v>
      </c>
      <c r="E590" t="e">
        <f>VLOOKUP($C590,ТабАдрес[[#All],[Клиент]:[gps]],MATCH(E$1,ТабКлиенты[#Headers],0)-4,0)</f>
        <v>#N/A</v>
      </c>
      <c r="F590" t="e">
        <f>VLOOKUP($C590,ТабАдрес[[#All],[Клиент]:[gps]],MATCH(F$1,ТабКлиенты[#Headers],0)-4,0)</f>
        <v>#N/A</v>
      </c>
      <c r="G590" s="183">
        <v>0.4548611111111111</v>
      </c>
      <c r="H590" s="181">
        <v>818</v>
      </c>
      <c r="I590" s="52" t="s">
        <v>5</v>
      </c>
      <c r="J590" s="52">
        <v>1</v>
      </c>
      <c r="K590" t="e">
        <f t="shared" si="11"/>
        <v>#N/A</v>
      </c>
    </row>
    <row r="591" spans="1:11" hidden="1" x14ac:dyDescent="0.25">
      <c r="A591">
        <v>7</v>
      </c>
      <c r="B591" s="179">
        <v>45717</v>
      </c>
      <c r="C591" t="s">
        <v>4323</v>
      </c>
      <c r="D591" t="e">
        <f>VLOOKUP($C591,ТабКлиенты[[#All],[name]:[phone]],MATCH(D$1,ТабКлиенты[#Headers],0)-1,0)</f>
        <v>#N/A</v>
      </c>
      <c r="E591" t="e">
        <f>VLOOKUP($C591,ТабАдрес[[#All],[Клиент]:[gps]],MATCH(E$1,ТабКлиенты[#Headers],0)-4,0)</f>
        <v>#N/A</v>
      </c>
      <c r="F591" t="e">
        <f>VLOOKUP($C591,ТабАдрес[[#All],[Клиент]:[gps]],MATCH(F$1,ТабКлиенты[#Headers],0)-4,0)</f>
        <v>#N/A</v>
      </c>
      <c r="G591" s="183">
        <v>0.46180555555555552</v>
      </c>
      <c r="H591" s="181">
        <v>3855</v>
      </c>
      <c r="I591" s="52">
        <v>490</v>
      </c>
      <c r="J591" s="52">
        <v>4</v>
      </c>
      <c r="K591" t="e">
        <f t="shared" si="11"/>
        <v>#N/A</v>
      </c>
    </row>
    <row r="592" spans="1:11" hidden="1" x14ac:dyDescent="0.25">
      <c r="A592">
        <v>8</v>
      </c>
      <c r="B592" s="179">
        <v>45717</v>
      </c>
      <c r="C592" t="s">
        <v>3348</v>
      </c>
      <c r="D592" t="e">
        <f>VLOOKUP($C592,ТабКлиенты[[#All],[name]:[phone]],MATCH(D$1,ТабКлиенты[#Headers],0)-1,0)</f>
        <v>#N/A</v>
      </c>
      <c r="E592" t="e">
        <f>VLOOKUP($C592,ТабАдрес[[#All],[Клиент]:[gps]],MATCH(E$1,ТабКлиенты[#Headers],0)-4,0)</f>
        <v>#N/A</v>
      </c>
      <c r="F592" t="e">
        <f>VLOOKUP($C592,ТабАдрес[[#All],[Клиент]:[gps]],MATCH(F$1,ТабКлиенты[#Headers],0)-4,0)</f>
        <v>#N/A</v>
      </c>
      <c r="G592" s="183">
        <v>0.47569444444444442</v>
      </c>
      <c r="H592" s="181">
        <v>334</v>
      </c>
      <c r="I592" s="52">
        <v>497</v>
      </c>
      <c r="J592" s="52">
        <v>1</v>
      </c>
      <c r="K592" t="e">
        <f t="shared" si="11"/>
        <v>#N/A</v>
      </c>
    </row>
    <row r="593" spans="1:11" hidden="1" x14ac:dyDescent="0.25">
      <c r="A593">
        <v>9</v>
      </c>
      <c r="B593" s="179">
        <v>45717</v>
      </c>
      <c r="C593" t="s">
        <v>3475</v>
      </c>
      <c r="D593" t="str">
        <f>VLOOKUP($C593,ТабКлиенты[[#All],[name]:[phone]],MATCH(D$1,ТабКлиенты[#Headers],0)-1,0)</f>
        <v>+79497078921</v>
      </c>
      <c r="E593" t="str">
        <f>VLOOKUP($C593,ТабАдрес[[#All],[Клиент]:[gps]],MATCH(E$1,ТабКлиенты[#Headers],0)-4,0)</f>
        <v>Черноморская 17</v>
      </c>
      <c r="F593" t="str">
        <f>VLOOKUP($C593,ТабАдрес[[#All],[Клиент]:[gps]],MATCH(F$1,ТабКлиенты[#Headers],0)-4,0)</f>
        <v>47.0767, 37.5101</v>
      </c>
      <c r="G593" s="183">
        <v>0.4861111111111111</v>
      </c>
      <c r="H593" s="181">
        <v>10500</v>
      </c>
      <c r="I593" s="52" t="s">
        <v>5</v>
      </c>
      <c r="J593" s="52">
        <v>1</v>
      </c>
      <c r="K593" t="str">
        <f t="shared" si="11"/>
        <v>9. 11:40 Оксана Черноморская
Тел.: +79497078921
Адрес: Черноморская 17
№ заказа: Витамины
Кол-во мест: 1
https://yandex.ru/maps/?text=47.0767%2C37.5101
https://maps.google.com/?daddr=47.0767%2C37.5101
К оплате: **10500
**--------------------------------</v>
      </c>
    </row>
    <row r="594" spans="1:11" hidden="1" x14ac:dyDescent="0.25">
      <c r="A594">
        <v>10</v>
      </c>
      <c r="B594" s="179">
        <v>45717</v>
      </c>
      <c r="C594" t="s">
        <v>3479</v>
      </c>
      <c r="D594" t="str">
        <f>VLOOKUP($C594,ТабКлиенты[[#All],[name]:[phone]],MATCH(D$1,ТабКлиенты[#Headers],0)-1,0)</f>
        <v>+79497183952</v>
      </c>
      <c r="E594" t="str">
        <f>VLOOKUP($C594,ТабАдрес[[#All],[Клиент]:[gps]],MATCH(E$1,ТабКлиенты[#Headers],0)-4,0)</f>
        <v>Краснофлотская 167</v>
      </c>
      <c r="F594" t="str">
        <f>VLOOKUP($C594,ТабАдрес[[#All],[Клиент]:[gps]],MATCH(F$1,ТабКлиенты[#Headers],0)-4,0)</f>
        <v>47.0910, 37.4981</v>
      </c>
      <c r="G594" s="183">
        <v>0.49305555555555558</v>
      </c>
      <c r="H594" s="181">
        <v>1500</v>
      </c>
      <c r="I594" s="52" t="s">
        <v>5</v>
      </c>
      <c r="J594" s="52">
        <v>1</v>
      </c>
      <c r="K594" t="str">
        <f t="shared" si="11"/>
        <v>10. 11:50 Ксения Краснофлотская
Тел.: +79497183952
Адрес: Краснофлотская 167
№ заказа: Витамины
Кол-во мест: 1
https://yandex.ru/maps/?text=47.0910%2C37.4981
https://maps.google.com/?daddr=47.0910%2C37.4981
К оплате: **1500
**--------------------------------</v>
      </c>
    </row>
    <row r="595" spans="1:11" hidden="1" x14ac:dyDescent="0.25">
      <c r="A595">
        <v>1</v>
      </c>
      <c r="B595" s="179">
        <v>45723</v>
      </c>
      <c r="C595" t="s">
        <v>3210</v>
      </c>
      <c r="D595" t="e">
        <f>VLOOKUP($C595,ТабКлиенты[[#All],[name]:[phone]],MATCH(D$1,ТабКлиенты[#Headers],0)-1,0)</f>
        <v>#N/A</v>
      </c>
      <c r="E595" t="e">
        <f>VLOOKUP($C595,ТабАдрес[[#All],[Клиент]:[gps]],MATCH(E$1,ТабКлиенты[#Headers],0)-4,0)</f>
        <v>#N/A</v>
      </c>
      <c r="F595" t="e">
        <f>VLOOKUP($C595,ТабАдрес[[#All],[Клиент]:[gps]],MATCH(F$1,ТабКлиенты[#Headers],0)-4,0)</f>
        <v>#N/A</v>
      </c>
      <c r="G595" s="183">
        <v>0.41666666666666669</v>
      </c>
      <c r="H595" s="181">
        <v>0</v>
      </c>
      <c r="I595" s="52">
        <v>500</v>
      </c>
      <c r="J595" s="52">
        <v>1</v>
      </c>
      <c r="K595" t="e">
        <f t="shared" si="11"/>
        <v>#N/A</v>
      </c>
    </row>
    <row r="596" spans="1:11" hidden="1" x14ac:dyDescent="0.25">
      <c r="A596">
        <v>2</v>
      </c>
      <c r="B596" s="179">
        <v>45723</v>
      </c>
      <c r="C596" t="s">
        <v>3133</v>
      </c>
      <c r="D596" t="e">
        <f>VLOOKUP($C596,ТабКлиенты[[#All],[name]:[phone]],MATCH(D$1,ТабКлиенты[#Headers],0)-1,0)</f>
        <v>#N/A</v>
      </c>
      <c r="E596" t="e">
        <f>VLOOKUP($C596,ТабАдрес[[#All],[Клиент]:[gps]],MATCH(E$1,ТабКлиенты[#Headers],0)-4,0)</f>
        <v>#N/A</v>
      </c>
      <c r="F596" t="e">
        <f>VLOOKUP($C596,ТабАдрес[[#All],[Клиент]:[gps]],MATCH(F$1,ТабКлиенты[#Headers],0)-4,0)</f>
        <v>#N/A</v>
      </c>
      <c r="G596" s="183">
        <v>0.4236111111111111</v>
      </c>
      <c r="H596" s="181">
        <v>0</v>
      </c>
      <c r="I596" s="52">
        <v>492</v>
      </c>
      <c r="J596" s="52">
        <v>1</v>
      </c>
      <c r="K596" t="e">
        <f t="shared" si="11"/>
        <v>#N/A</v>
      </c>
    </row>
    <row r="597" spans="1:11" hidden="1" x14ac:dyDescent="0.25">
      <c r="A597">
        <v>3</v>
      </c>
      <c r="B597" s="179">
        <v>45723</v>
      </c>
      <c r="C597" t="s">
        <v>3260</v>
      </c>
      <c r="D597" t="e">
        <f>VLOOKUP($C597,ТабКлиенты[[#All],[name]:[phone]],MATCH(D$1,ТабКлиенты[#Headers],0)-1,0)</f>
        <v>#N/A</v>
      </c>
      <c r="E597" t="e">
        <f>VLOOKUP($C597,ТабАдрес[[#All],[Клиент]:[gps]],MATCH(E$1,ТабКлиенты[#Headers],0)-4,0)</f>
        <v>#N/A</v>
      </c>
      <c r="F597" t="e">
        <f>VLOOKUP($C597,ТабАдрес[[#All],[Клиент]:[gps]],MATCH(F$1,ТабКлиенты[#Headers],0)-4,0)</f>
        <v>#N/A</v>
      </c>
      <c r="G597" s="183">
        <v>0.4236111111111111</v>
      </c>
      <c r="H597" s="181">
        <v>0</v>
      </c>
      <c r="I597" s="52">
        <v>495</v>
      </c>
      <c r="J597" s="52">
        <v>1</v>
      </c>
      <c r="K597" t="e">
        <f t="shared" ref="K597:K660" si="12">A597&amp;". "&amp;TEXT(G597,"ЧЧ:ММ")&amp;" "&amp;C597&amp;CHAR(10)&amp;"Тел.: "&amp;D597&amp;CHAR(10)&amp;"Адрес: "&amp;E597&amp;CHAR(10)&amp;"№ заказа: "&amp;I597&amp;CHAR(10)&amp;"Кол-во мест: "&amp;J597&amp;CHAR(10)&amp;"https://yandex.ru/maps/?text="&amp;REPLACE(F597,SEARCH(",",F597),2,"%2C")&amp;CHAR(10)&amp;"https://maps.google.com/?daddr="&amp;REPLACE(F597,SEARCH(",",F597),2,"%2C")&amp;CHAR(10)&amp;"К оплате: "&amp;"**"&amp;H597&amp;CHAR(10)&amp;"**"&amp;"--------------------------------"</f>
        <v>#N/A</v>
      </c>
    </row>
    <row r="598" spans="1:11" hidden="1" x14ac:dyDescent="0.25">
      <c r="A598">
        <v>4</v>
      </c>
      <c r="B598" s="179">
        <v>45723</v>
      </c>
      <c r="C598" t="s">
        <v>3461</v>
      </c>
      <c r="D598" t="e">
        <f>VLOOKUP($C598,ТабКлиенты[[#All],[name]:[phone]],MATCH(D$1,ТабКлиенты[#Headers],0)-1,0)</f>
        <v>#N/A</v>
      </c>
      <c r="E598" t="e">
        <f>VLOOKUP($C598,ТабАдрес[[#All],[Клиент]:[gps]],MATCH(E$1,ТабКлиенты[#Headers],0)-4,0)</f>
        <v>#N/A</v>
      </c>
      <c r="F598" t="e">
        <f>VLOOKUP($C598,ТабАдрес[[#All],[Клиент]:[gps]],MATCH(F$1,ТабКлиенты[#Headers],0)-4,0)</f>
        <v>#N/A</v>
      </c>
      <c r="G598" s="183">
        <v>0.43055555555555558</v>
      </c>
      <c r="H598" s="181">
        <v>0</v>
      </c>
      <c r="I598" s="52">
        <v>494</v>
      </c>
      <c r="J598" s="52">
        <v>1</v>
      </c>
      <c r="K598" t="e">
        <f t="shared" si="12"/>
        <v>#N/A</v>
      </c>
    </row>
    <row r="599" spans="1:11" hidden="1" x14ac:dyDescent="0.25">
      <c r="A599">
        <v>5</v>
      </c>
      <c r="B599" s="179">
        <v>45723</v>
      </c>
      <c r="C599" t="s">
        <v>3474</v>
      </c>
      <c r="D599" t="e">
        <f>VLOOKUP($C599,ТабКлиенты[[#All],[name]:[phone]],MATCH(D$1,ТабКлиенты[#Headers],0)-1,0)</f>
        <v>#N/A</v>
      </c>
      <c r="E599" t="e">
        <f>VLOOKUP($C599,ТабАдрес[[#All],[Клиент]:[gps]],MATCH(E$1,ТабКлиенты[#Headers],0)-4,0)</f>
        <v>#N/A</v>
      </c>
      <c r="F599" t="e">
        <f>VLOOKUP($C599,ТабАдрес[[#All],[Клиент]:[gps]],MATCH(F$1,ТабКлиенты[#Headers],0)-4,0)</f>
        <v>#N/A</v>
      </c>
      <c r="G599" s="183">
        <v>0.4375</v>
      </c>
      <c r="H599" s="181">
        <v>2526</v>
      </c>
      <c r="I599" s="52">
        <v>498</v>
      </c>
      <c r="J599" s="52">
        <v>2</v>
      </c>
      <c r="K599" t="e">
        <f t="shared" si="12"/>
        <v>#N/A</v>
      </c>
    </row>
    <row r="600" spans="1:11" hidden="1" x14ac:dyDescent="0.25">
      <c r="A600">
        <v>6</v>
      </c>
      <c r="B600" s="179">
        <v>45723</v>
      </c>
      <c r="C600" t="s">
        <v>3125</v>
      </c>
      <c r="D600" t="e">
        <f>VLOOKUP($C600,ТабКлиенты[[#All],[name]:[phone]],MATCH(D$1,ТабКлиенты[#Headers],0)-1,0)</f>
        <v>#N/A</v>
      </c>
      <c r="E600" t="e">
        <f>VLOOKUP($C600,ТабАдрес[[#All],[Клиент]:[gps]],MATCH(E$1,ТабКлиенты[#Headers],0)-4,0)</f>
        <v>#N/A</v>
      </c>
      <c r="F600" t="e">
        <f>VLOOKUP($C600,ТабАдрес[[#All],[Клиент]:[gps]],MATCH(F$1,ТабКлиенты[#Headers],0)-4,0)</f>
        <v>#N/A</v>
      </c>
      <c r="G600" s="183">
        <v>0.44444444444444448</v>
      </c>
      <c r="H600" s="181">
        <v>2701</v>
      </c>
      <c r="I600" s="52">
        <v>501</v>
      </c>
      <c r="J600" s="52">
        <v>1</v>
      </c>
      <c r="K600" t="e">
        <f t="shared" si="12"/>
        <v>#N/A</v>
      </c>
    </row>
    <row r="601" spans="1:11" hidden="1" x14ac:dyDescent="0.25">
      <c r="A601">
        <v>7</v>
      </c>
      <c r="B601" s="179">
        <v>45723</v>
      </c>
      <c r="C601" t="s">
        <v>3270</v>
      </c>
      <c r="D601" t="str">
        <f>VLOOKUP($C601,ТабКлиенты[[#All],[name]:[phone]],MATCH(D$1,ТабКлиенты[#Headers],0)-1,0)</f>
        <v>+79496334882</v>
      </c>
      <c r="E601" t="str">
        <f>VLOOKUP($C601,ТабАдрес[[#All],[Клиент]:[gps]],MATCH(E$1,ТабКлиенты[#Headers],0)-4,0)</f>
        <v>Шевченко 217</v>
      </c>
      <c r="F601" t="str">
        <f>VLOOKUP($C601,ТабАдрес[[#All],[Клиент]:[gps]],MATCH(F$1,ТабКлиенты[#Headers],0)-4,0)</f>
        <v>47.1130, 37.5406</v>
      </c>
      <c r="G601" s="183">
        <v>0.44791666666666669</v>
      </c>
      <c r="H601" s="181">
        <v>2600</v>
      </c>
      <c r="I601" s="52" t="s">
        <v>4304</v>
      </c>
      <c r="J601" s="52">
        <v>1</v>
      </c>
      <c r="K601" t="str">
        <f t="shared" si="12"/>
        <v>7. 10:45 Елена Шевченко 217
Тел.: +79496334882
Адрес: Шевченко 217
№ заказа: Витамины 1
Кол-во мест: 1
https://yandex.ru/maps/?text=47.1130%2C37.5406
https://maps.google.com/?daddr=47.1130%2C37.5406
К оплате: **2600
**--------------------------------</v>
      </c>
    </row>
    <row r="602" spans="1:11" hidden="1" x14ac:dyDescent="0.25">
      <c r="A602">
        <v>8</v>
      </c>
      <c r="B602" s="179">
        <v>45723</v>
      </c>
      <c r="C602" t="s">
        <v>4318</v>
      </c>
      <c r="D602" t="e">
        <f>VLOOKUP($C602,ТабКлиенты[[#All],[name]:[phone]],MATCH(D$1,ТабКлиенты[#Headers],0)-1,0)</f>
        <v>#N/A</v>
      </c>
      <c r="E602" t="e">
        <f>VLOOKUP($C602,ТабАдрес[[#All],[Клиент]:[gps]],MATCH(E$1,ТабКлиенты[#Headers],0)-4,0)</f>
        <v>#N/A</v>
      </c>
      <c r="F602" t="e">
        <f>VLOOKUP($C602,ТабАдрес[[#All],[Клиент]:[gps]],MATCH(F$1,ТабКлиенты[#Headers],0)-4,0)</f>
        <v>#N/A</v>
      </c>
      <c r="G602" s="183">
        <v>0.48958333333333337</v>
      </c>
      <c r="H602" s="181">
        <v>0</v>
      </c>
      <c r="I602" s="52" t="s">
        <v>4305</v>
      </c>
      <c r="J602" s="52">
        <v>1</v>
      </c>
      <c r="K602" t="e">
        <f t="shared" si="12"/>
        <v>#N/A</v>
      </c>
    </row>
    <row r="603" spans="1:11" hidden="1" x14ac:dyDescent="0.25">
      <c r="A603">
        <v>9</v>
      </c>
      <c r="B603" s="179">
        <v>45723</v>
      </c>
      <c r="C603" t="s">
        <v>4324</v>
      </c>
      <c r="D603" t="e">
        <f>VLOOKUP($C603,ТабКлиенты[[#All],[name]:[phone]],MATCH(D$1,ТабКлиенты[#Headers],0)-1,0)</f>
        <v>#N/A</v>
      </c>
      <c r="E603" t="e">
        <f>VLOOKUP($C603,ТабАдрес[[#All],[Клиент]:[gps]],MATCH(E$1,ТабКлиенты[#Headers],0)-4,0)</f>
        <v>#N/A</v>
      </c>
      <c r="F603" t="e">
        <f>VLOOKUP($C603,ТабАдрес[[#All],[Клиент]:[gps]],MATCH(F$1,ТабКлиенты[#Headers],0)-4,0)</f>
        <v>#N/A</v>
      </c>
      <c r="G603" s="183">
        <v>0.49652777777777779</v>
      </c>
      <c r="H603" s="181">
        <v>5000</v>
      </c>
      <c r="I603" s="52" t="s">
        <v>4306</v>
      </c>
      <c r="J603" s="52">
        <v>1</v>
      </c>
      <c r="K603" t="e">
        <f t="shared" si="12"/>
        <v>#N/A</v>
      </c>
    </row>
    <row r="604" spans="1:11" hidden="1" x14ac:dyDescent="0.25">
      <c r="A604">
        <v>10</v>
      </c>
      <c r="B604" s="179">
        <v>45723</v>
      </c>
      <c r="C604" t="s">
        <v>3475</v>
      </c>
      <c r="D604" t="str">
        <f>VLOOKUP($C604,ТабКлиенты[[#All],[name]:[phone]],MATCH(D$1,ТабКлиенты[#Headers],0)-1,0)</f>
        <v>+79497078921</v>
      </c>
      <c r="E604" t="str">
        <f>VLOOKUP($C604,ТабАдрес[[#All],[Клиент]:[gps]],MATCH(E$1,ТабКлиенты[#Headers],0)-4,0)</f>
        <v>Черноморская 17</v>
      </c>
      <c r="F604" t="str">
        <f>VLOOKUP($C604,ТабАдрес[[#All],[Клиент]:[gps]],MATCH(F$1,ТабКлиенты[#Headers],0)-4,0)</f>
        <v>47.0767, 37.5101</v>
      </c>
      <c r="G604" s="183">
        <v>0.50347222222222221</v>
      </c>
      <c r="H604" s="181">
        <v>7500</v>
      </c>
      <c r="I604" s="52" t="s">
        <v>4307</v>
      </c>
      <c r="J604" s="52">
        <v>1</v>
      </c>
      <c r="K604" t="str">
        <f t="shared" si="12"/>
        <v>10. 12:05 Оксана Черноморская
Тел.: +79497078921
Адрес: Черноморская 17
№ заказа: Витамины 4
Кол-во мест: 1
https://yandex.ru/maps/?text=47.0767%2C37.5101
https://maps.google.com/?daddr=47.0767%2C37.5101
К оплате: **7500
**--------------------------------</v>
      </c>
    </row>
    <row r="605" spans="1:11" hidden="1" x14ac:dyDescent="0.25">
      <c r="A605">
        <v>11</v>
      </c>
      <c r="B605" s="179">
        <v>45723</v>
      </c>
      <c r="C605" t="s">
        <v>3483</v>
      </c>
      <c r="D605" t="e">
        <f>VLOOKUP($C605,ТабКлиенты[[#All],[name]:[phone]],MATCH(D$1,ТабКлиенты[#Headers],0)-1,0)</f>
        <v>#N/A</v>
      </c>
      <c r="E605" t="e">
        <f>VLOOKUP($C605,ТабАдрес[[#All],[Клиент]:[gps]],MATCH(E$1,ТабКлиенты[#Headers],0)-4,0)</f>
        <v>#N/A</v>
      </c>
      <c r="F605" t="e">
        <f>VLOOKUP($C605,ТабАдрес[[#All],[Клиент]:[gps]],MATCH(F$1,ТабКлиенты[#Headers],0)-4,0)</f>
        <v>#N/A</v>
      </c>
      <c r="H605" s="181"/>
      <c r="I605" s="52">
        <v>499</v>
      </c>
      <c r="J605" s="52">
        <v>2</v>
      </c>
      <c r="K605" t="e">
        <f t="shared" si="12"/>
        <v>#N/A</v>
      </c>
    </row>
    <row r="606" spans="1:11" hidden="1" x14ac:dyDescent="0.25">
      <c r="A606">
        <v>1</v>
      </c>
      <c r="B606" s="179">
        <v>45731</v>
      </c>
      <c r="C606" t="s">
        <v>3172</v>
      </c>
      <c r="D606" t="str">
        <f>VLOOKUP($C606,ТабКлиенты[[#All],[name]:[phone]],MATCH(D$1,ТабКлиенты[#Headers],0)-1,0)</f>
        <v>+79497277100</v>
      </c>
      <c r="E606" t="str">
        <f>VLOOKUP($C606,ТабАдрес[[#All],[Клиент]:[gps]],MATCH(E$1,ТабКлиенты[#Headers],0)-4,0)</f>
        <v>Артема 132</v>
      </c>
      <c r="F606" t="str">
        <f>VLOOKUP($C606,ТабАдрес[[#All],[Клиент]:[gps]],MATCH(F$1,ТабКлиенты[#Headers],0)-4,0)</f>
        <v>47.1085, 37.5599</v>
      </c>
      <c r="G606" s="183">
        <v>0.40625</v>
      </c>
      <c r="H606" s="181">
        <v>2573</v>
      </c>
      <c r="I606" s="52" t="s">
        <v>5</v>
      </c>
      <c r="J606" s="52">
        <v>2</v>
      </c>
      <c r="K606" t="str">
        <f t="shared" si="12"/>
        <v>1. 09:45 Александр Радин
Тел.: +79497277100
Адрес: Артема 132
№ заказа: Витамины
Кол-во мест: 2
https://yandex.ru/maps/?text=47.1085%2C37.5599
https://maps.google.com/?daddr=47.1085%2C37.5599
К оплате: **2573
**--------------------------------</v>
      </c>
    </row>
    <row r="607" spans="1:11" hidden="1" x14ac:dyDescent="0.25">
      <c r="A607">
        <v>2</v>
      </c>
      <c r="B607" s="179">
        <v>45731</v>
      </c>
      <c r="C607" t="s">
        <v>3210</v>
      </c>
      <c r="D607" t="e">
        <f>VLOOKUP($C607,ТабКлиенты[[#All],[name]:[phone]],MATCH(D$1,ТабКлиенты[#Headers],0)-1,0)</f>
        <v>#N/A</v>
      </c>
      <c r="E607" t="e">
        <f>VLOOKUP($C607,ТабАдрес[[#All],[Клиент]:[gps]],MATCH(E$1,ТабКлиенты[#Headers],0)-4,0)</f>
        <v>#N/A</v>
      </c>
      <c r="F607" t="e">
        <f>VLOOKUP($C607,ТабАдрес[[#All],[Клиент]:[gps]],MATCH(F$1,ТабКлиенты[#Headers],0)-4,0)</f>
        <v>#N/A</v>
      </c>
      <c r="G607" s="183">
        <v>0.40972222222222221</v>
      </c>
      <c r="H607" s="181">
        <v>0</v>
      </c>
      <c r="I607" s="52">
        <v>509</v>
      </c>
      <c r="J607" s="52">
        <v>3</v>
      </c>
      <c r="K607" t="e">
        <f t="shared" si="12"/>
        <v>#N/A</v>
      </c>
    </row>
    <row r="608" spans="1:11" hidden="1" x14ac:dyDescent="0.25">
      <c r="A608">
        <v>3</v>
      </c>
      <c r="B608" s="179">
        <v>45731</v>
      </c>
      <c r="C608" t="s">
        <v>3260</v>
      </c>
      <c r="D608" t="e">
        <f>VLOOKUP($C608,ТабКлиенты[[#All],[name]:[phone]],MATCH(D$1,ТабКлиенты[#Headers],0)-1,0)</f>
        <v>#N/A</v>
      </c>
      <c r="E608" t="e">
        <f>VLOOKUP($C608,ТабАдрес[[#All],[Клиент]:[gps]],MATCH(E$1,ТабКлиенты[#Headers],0)-4,0)</f>
        <v>#N/A</v>
      </c>
      <c r="F608" t="e">
        <f>VLOOKUP($C608,ТабАдрес[[#All],[Клиент]:[gps]],MATCH(F$1,ТабКлиенты[#Headers],0)-4,0)</f>
        <v>#N/A</v>
      </c>
      <c r="G608" s="183">
        <v>0.41666666666666669</v>
      </c>
      <c r="H608" s="181">
        <v>0</v>
      </c>
      <c r="I608" s="52">
        <v>512</v>
      </c>
      <c r="J608" s="52">
        <v>4</v>
      </c>
      <c r="K608" t="e">
        <f t="shared" si="12"/>
        <v>#N/A</v>
      </c>
    </row>
    <row r="609" spans="1:11" hidden="1" x14ac:dyDescent="0.25">
      <c r="A609">
        <v>4</v>
      </c>
      <c r="B609" s="179">
        <v>45731</v>
      </c>
      <c r="C609" t="s">
        <v>3425</v>
      </c>
      <c r="D609" t="e">
        <f>VLOOKUP($C609,ТабКлиенты[[#All],[name]:[phone]],MATCH(D$1,ТабКлиенты[#Headers],0)-1,0)</f>
        <v>#N/A</v>
      </c>
      <c r="E609" t="e">
        <f>VLOOKUP($C609,ТабАдрес[[#All],[Клиент]:[gps]],MATCH(E$1,ТабКлиенты[#Headers],0)-4,0)</f>
        <v>#N/A</v>
      </c>
      <c r="F609" t="e">
        <f>VLOOKUP($C609,ТабАдрес[[#All],[Клиент]:[gps]],MATCH(F$1,ТабКлиенты[#Headers],0)-4,0)</f>
        <v>#N/A</v>
      </c>
      <c r="G609" s="183">
        <v>0.4236111111111111</v>
      </c>
      <c r="H609" s="181">
        <v>0</v>
      </c>
      <c r="I609" s="52">
        <v>503</v>
      </c>
      <c r="J609" s="52">
        <v>1</v>
      </c>
      <c r="K609" t="e">
        <f t="shared" si="12"/>
        <v>#N/A</v>
      </c>
    </row>
    <row r="610" spans="1:11" hidden="1" x14ac:dyDescent="0.25">
      <c r="A610">
        <v>5</v>
      </c>
      <c r="B610" s="179">
        <v>45731</v>
      </c>
      <c r="C610" t="s">
        <v>3474</v>
      </c>
      <c r="D610" t="e">
        <f>VLOOKUP($C610,ТабКлиенты[[#All],[name]:[phone]],MATCH(D$1,ТабКлиенты[#Headers],0)-1,0)</f>
        <v>#N/A</v>
      </c>
      <c r="E610" t="e">
        <f>VLOOKUP($C610,ТабАдрес[[#All],[Клиент]:[gps]],MATCH(E$1,ТабКлиенты[#Headers],0)-4,0)</f>
        <v>#N/A</v>
      </c>
      <c r="F610" t="e">
        <f>VLOOKUP($C610,ТабАдрес[[#All],[Клиент]:[gps]],MATCH(F$1,ТабКлиенты[#Headers],0)-4,0)</f>
        <v>#N/A</v>
      </c>
      <c r="G610" s="183">
        <v>0.43055555555555558</v>
      </c>
      <c r="H610" s="181">
        <v>2526</v>
      </c>
      <c r="I610" s="52">
        <v>498</v>
      </c>
      <c r="J610" s="52">
        <v>1</v>
      </c>
      <c r="K610" t="e">
        <f t="shared" si="12"/>
        <v>#N/A</v>
      </c>
    </row>
    <row r="611" spans="1:11" hidden="1" x14ac:dyDescent="0.25">
      <c r="A611">
        <v>6</v>
      </c>
      <c r="B611" s="179">
        <v>45731</v>
      </c>
      <c r="C611" t="s">
        <v>2601</v>
      </c>
      <c r="D611" t="e">
        <f>VLOOKUP($C611,ТабКлиенты[[#All],[name]:[phone]],MATCH(D$1,ТабКлиенты[#Headers],0)-1,0)</f>
        <v>#N/A</v>
      </c>
      <c r="E611" t="e">
        <f>VLOOKUP($C611,ТабАдрес[[#All],[Клиент]:[gps]],MATCH(E$1,ТабКлиенты[#Headers],0)-4,0)</f>
        <v>#N/A</v>
      </c>
      <c r="F611" t="e">
        <f>VLOOKUP($C611,ТабАдрес[[#All],[Клиент]:[gps]],MATCH(F$1,ТабКлиенты[#Headers],0)-4,0)</f>
        <v>#N/A</v>
      </c>
      <c r="G611" s="183">
        <v>0.4375</v>
      </c>
      <c r="H611" s="167">
        <v>-2100</v>
      </c>
      <c r="I611" s="52" t="s">
        <v>5</v>
      </c>
      <c r="J611" s="52">
        <v>1</v>
      </c>
      <c r="K611" t="e">
        <f t="shared" si="12"/>
        <v>#N/A</v>
      </c>
    </row>
    <row r="612" spans="1:11" hidden="1" x14ac:dyDescent="0.25">
      <c r="A612">
        <v>7</v>
      </c>
      <c r="B612" s="179">
        <v>45731</v>
      </c>
      <c r="C612" t="s">
        <v>3125</v>
      </c>
      <c r="D612" t="e">
        <f>VLOOKUP($C612,ТабКлиенты[[#All],[name]:[phone]],MATCH(D$1,ТабКлиенты[#Headers],0)-1,0)</f>
        <v>#N/A</v>
      </c>
      <c r="E612" t="e">
        <f>VLOOKUP($C612,ТабАдрес[[#All],[Клиент]:[gps]],MATCH(E$1,ТабКлиенты[#Headers],0)-4,0)</f>
        <v>#N/A</v>
      </c>
      <c r="F612" t="e">
        <f>VLOOKUP($C612,ТабАдрес[[#All],[Клиент]:[gps]],MATCH(F$1,ТабКлиенты[#Headers],0)-4,0)</f>
        <v>#N/A</v>
      </c>
      <c r="G612" s="183">
        <v>0.44791666666666669</v>
      </c>
      <c r="H612" s="181">
        <v>2305</v>
      </c>
      <c r="I612" s="52">
        <v>510</v>
      </c>
      <c r="J612" s="52">
        <v>1</v>
      </c>
      <c r="K612" t="e">
        <f t="shared" si="12"/>
        <v>#N/A</v>
      </c>
    </row>
    <row r="613" spans="1:11" hidden="1" x14ac:dyDescent="0.25">
      <c r="A613">
        <v>8</v>
      </c>
      <c r="B613" s="179">
        <v>45731</v>
      </c>
      <c r="C613" t="s">
        <v>4296</v>
      </c>
      <c r="D613" t="e">
        <f>VLOOKUP($C613,ТабКлиенты[[#All],[name]:[phone]],MATCH(D$1,ТабКлиенты[#Headers],0)-1,0)</f>
        <v>#N/A</v>
      </c>
      <c r="E613" t="e">
        <f>VLOOKUP($C613,ТабАдрес[[#All],[Клиент]:[gps]],MATCH(E$1,ТабКлиенты[#Headers],0)-4,0)</f>
        <v>#N/A</v>
      </c>
      <c r="F613" t="e">
        <f>VLOOKUP($C613,ТабАдрес[[#All],[Клиент]:[gps]],MATCH(F$1,ТабКлиенты[#Headers],0)-4,0)</f>
        <v>#N/A</v>
      </c>
      <c r="G613" s="183">
        <v>0.4513888888888889</v>
      </c>
      <c r="H613" s="181">
        <v>18500</v>
      </c>
      <c r="I613" s="52" t="s">
        <v>5</v>
      </c>
      <c r="J613" s="52">
        <v>1</v>
      </c>
      <c r="K613" t="e">
        <f t="shared" si="12"/>
        <v>#N/A</v>
      </c>
    </row>
    <row r="614" spans="1:11" hidden="1" x14ac:dyDescent="0.25">
      <c r="A614">
        <v>9</v>
      </c>
      <c r="B614" s="179">
        <v>45731</v>
      </c>
      <c r="C614" t="s">
        <v>3338</v>
      </c>
      <c r="D614" t="e">
        <f>VLOOKUP($C614,ТабКлиенты[[#All],[name]:[phone]],MATCH(D$1,ТабКлиенты[#Headers],0)-1,0)</f>
        <v>#N/A</v>
      </c>
      <c r="E614" t="e">
        <f>VLOOKUP($C614,ТабАдрес[[#All],[Клиент]:[gps]],MATCH(E$1,ТабКлиенты[#Headers],0)-4,0)</f>
        <v>#N/A</v>
      </c>
      <c r="F614" t="e">
        <f>VLOOKUP($C614,ТабАдрес[[#All],[Клиент]:[gps]],MATCH(F$1,ТабКлиенты[#Headers],0)-4,0)</f>
        <v>#N/A</v>
      </c>
      <c r="G614" s="183">
        <v>0.47916666666666669</v>
      </c>
      <c r="H614" s="181">
        <v>0</v>
      </c>
      <c r="I614" s="52">
        <v>513</v>
      </c>
      <c r="J614" s="52">
        <v>1</v>
      </c>
      <c r="K614" t="e">
        <f t="shared" si="12"/>
        <v>#N/A</v>
      </c>
    </row>
    <row r="615" spans="1:11" hidden="1" x14ac:dyDescent="0.25">
      <c r="A615">
        <v>10</v>
      </c>
      <c r="B615" s="179">
        <v>45731</v>
      </c>
      <c r="C615" t="s">
        <v>3394</v>
      </c>
      <c r="D615" t="str">
        <f>VLOOKUP($C615,ТабКлиенты[[#All],[name]:[phone]],MATCH(D$1,ТабКлиенты[#Headers],0)-1,0)</f>
        <v>+79495228017</v>
      </c>
      <c r="E615" t="str">
        <f>VLOOKUP($C615,ТабАдрес[[#All],[Клиент]:[gps]],MATCH(E$1,ТабКлиенты[#Headers],0)-4,0)</f>
        <v>Вахтангова 15а</v>
      </c>
      <c r="F615" t="str">
        <f>VLOOKUP($C615,ТабАдрес[[#All],[Клиент]:[gps]],MATCH(F$1,ТабКлиенты[#Headers],0)-4,0)</f>
        <v>47.0882, 37.5117</v>
      </c>
      <c r="G615" s="183">
        <v>0.4861111111111111</v>
      </c>
      <c r="H615" s="181">
        <v>2000</v>
      </c>
      <c r="I615" s="52" t="s">
        <v>5</v>
      </c>
      <c r="J615" s="52">
        <v>1</v>
      </c>
      <c r="K615" t="str">
        <f t="shared" si="12"/>
        <v>10. 11:40 Татьяна Вахтангова
Тел.: +79495228017
Адрес: Вахтангова 15а
№ заказа: Витамины
Кол-во мест: 1
https://yandex.ru/maps/?text=47.0882%2C37.5117
https://maps.google.com/?daddr=47.0882%2C37.5117
К оплате: **2000
**--------------------------------</v>
      </c>
    </row>
    <row r="616" spans="1:11" hidden="1" x14ac:dyDescent="0.25">
      <c r="A616">
        <v>11</v>
      </c>
      <c r="B616" s="179">
        <v>45731</v>
      </c>
      <c r="C616" t="s">
        <v>3335</v>
      </c>
      <c r="D616" t="e">
        <f>VLOOKUP($C616,ТабКлиенты[[#All],[name]:[phone]],MATCH(D$1,ТабКлиенты[#Headers],0)-1,0)</f>
        <v>#N/A</v>
      </c>
      <c r="E616" t="e">
        <f>VLOOKUP($C616,ТабАдрес[[#All],[Клиент]:[gps]],MATCH(E$1,ТабКлиенты[#Headers],0)-4,0)</f>
        <v>#N/A</v>
      </c>
      <c r="F616" t="e">
        <f>VLOOKUP($C616,ТабАдрес[[#All],[Клиент]:[gps]],MATCH(F$1,ТабКлиенты[#Headers],0)-4,0)</f>
        <v>#N/A</v>
      </c>
      <c r="G616" s="183">
        <v>0.49305555555555558</v>
      </c>
      <c r="H616" s="181">
        <v>1158</v>
      </c>
      <c r="I616" s="52">
        <v>521</v>
      </c>
      <c r="J616" s="52">
        <v>1</v>
      </c>
      <c r="K616" t="e">
        <f t="shared" si="12"/>
        <v>#N/A</v>
      </c>
    </row>
    <row r="617" spans="1:11" hidden="1" x14ac:dyDescent="0.25">
      <c r="A617">
        <v>12</v>
      </c>
      <c r="B617" s="179">
        <v>45731</v>
      </c>
      <c r="C617" t="s">
        <v>3348</v>
      </c>
      <c r="D617" t="e">
        <f>VLOOKUP($C617,ТабКлиенты[[#All],[name]:[phone]],MATCH(D$1,ТабКлиенты[#Headers],0)-1,0)</f>
        <v>#N/A</v>
      </c>
      <c r="E617" t="e">
        <f>VLOOKUP($C617,ТабАдрес[[#All],[Клиент]:[gps]],MATCH(E$1,ТабКлиенты[#Headers],0)-4,0)</f>
        <v>#N/A</v>
      </c>
      <c r="F617" t="e">
        <f>VLOOKUP($C617,ТабАдрес[[#All],[Клиент]:[gps]],MATCH(F$1,ТабКлиенты[#Headers],0)-4,0)</f>
        <v>#N/A</v>
      </c>
      <c r="G617" s="183">
        <v>0.5</v>
      </c>
      <c r="H617" s="181">
        <v>392</v>
      </c>
      <c r="I617" s="52">
        <v>522</v>
      </c>
      <c r="J617" s="52">
        <v>1</v>
      </c>
      <c r="K617" t="e">
        <f t="shared" si="12"/>
        <v>#N/A</v>
      </c>
    </row>
    <row r="618" spans="1:11" hidden="1" x14ac:dyDescent="0.25">
      <c r="A618">
        <v>1</v>
      </c>
      <c r="B618" s="179">
        <v>45738</v>
      </c>
      <c r="C618" t="s">
        <v>3210</v>
      </c>
      <c r="D618" t="e">
        <f>VLOOKUP($C618,ТабКлиенты[[#All],[name]:[phone]],MATCH(D$1,ТабКлиенты[#Headers],0)-1,0)</f>
        <v>#N/A</v>
      </c>
      <c r="E618" t="e">
        <f>VLOOKUP($C618,ТабАдрес[[#All],[Клиент]:[gps]],MATCH(E$1,ТабКлиенты[#Headers],0)-4,0)</f>
        <v>#N/A</v>
      </c>
      <c r="F618" t="e">
        <f>VLOOKUP($C618,ТабАдрес[[#All],[Клиент]:[gps]],MATCH(F$1,ТабКлиенты[#Headers],0)-4,0)</f>
        <v>#N/A</v>
      </c>
      <c r="G618" s="183">
        <v>0.39583333333333331</v>
      </c>
      <c r="H618" s="181">
        <v>0</v>
      </c>
      <c r="I618" s="52">
        <v>529</v>
      </c>
      <c r="J618" s="52">
        <v>1</v>
      </c>
      <c r="K618" t="e">
        <f t="shared" si="12"/>
        <v>#N/A</v>
      </c>
    </row>
    <row r="619" spans="1:11" hidden="1" x14ac:dyDescent="0.25">
      <c r="A619">
        <v>2</v>
      </c>
      <c r="B619" s="179">
        <v>45738</v>
      </c>
      <c r="C619" t="s">
        <v>3260</v>
      </c>
      <c r="D619" t="e">
        <f>VLOOKUP($C619,ТабКлиенты[[#All],[name]:[phone]],MATCH(D$1,ТабКлиенты[#Headers],0)-1,0)</f>
        <v>#N/A</v>
      </c>
      <c r="E619" t="e">
        <f>VLOOKUP($C619,ТабАдрес[[#All],[Клиент]:[gps]],MATCH(E$1,ТабКлиенты[#Headers],0)-4,0)</f>
        <v>#N/A</v>
      </c>
      <c r="F619" t="e">
        <f>VLOOKUP($C619,ТабАдрес[[#All],[Клиент]:[gps]],MATCH(F$1,ТабКлиенты[#Headers],0)-4,0)</f>
        <v>#N/A</v>
      </c>
      <c r="G619" s="183">
        <v>0.39930555555555558</v>
      </c>
      <c r="H619" s="181">
        <v>0</v>
      </c>
      <c r="I619" s="52">
        <v>527</v>
      </c>
      <c r="J619" s="52">
        <v>2</v>
      </c>
      <c r="K619" t="e">
        <f t="shared" si="12"/>
        <v>#N/A</v>
      </c>
    </row>
    <row r="620" spans="1:11" hidden="1" x14ac:dyDescent="0.25">
      <c r="A620">
        <v>3</v>
      </c>
      <c r="B620" s="179">
        <v>45738</v>
      </c>
      <c r="C620" t="s">
        <v>3461</v>
      </c>
      <c r="D620" t="e">
        <f>VLOOKUP($C620,ТабКлиенты[[#All],[name]:[phone]],MATCH(D$1,ТабКлиенты[#Headers],0)-1,0)</f>
        <v>#N/A</v>
      </c>
      <c r="E620" t="e">
        <f>VLOOKUP($C620,ТабАдрес[[#All],[Клиент]:[gps]],MATCH(E$1,ТабКлиенты[#Headers],0)-4,0)</f>
        <v>#N/A</v>
      </c>
      <c r="F620" t="e">
        <f>VLOOKUP($C620,ТабАдрес[[#All],[Клиент]:[gps]],MATCH(F$1,ТабКлиенты[#Headers],0)-4,0)</f>
        <v>#N/A</v>
      </c>
      <c r="G620" s="183">
        <v>0.40277777777777779</v>
      </c>
      <c r="H620" s="181">
        <v>0</v>
      </c>
      <c r="I620" s="52">
        <v>528</v>
      </c>
      <c r="J620" s="52">
        <v>1</v>
      </c>
      <c r="K620" t="e">
        <f t="shared" si="12"/>
        <v>#N/A</v>
      </c>
    </row>
    <row r="621" spans="1:11" hidden="1" x14ac:dyDescent="0.25">
      <c r="A621">
        <v>4</v>
      </c>
      <c r="B621" s="179">
        <v>45738</v>
      </c>
      <c r="C621" t="s">
        <v>4322</v>
      </c>
      <c r="D621" t="e">
        <f>VLOOKUP($C621,ТабКлиенты[[#All],[name]:[phone]],MATCH(D$1,ТабКлиенты[#Headers],0)-1,0)</f>
        <v>#N/A</v>
      </c>
      <c r="E621" t="e">
        <f>VLOOKUP($C621,ТабАдрес[[#All],[Клиент]:[gps]],MATCH(E$1,ТабКлиенты[#Headers],0)-4,0)</f>
        <v>#N/A</v>
      </c>
      <c r="F621" t="e">
        <f>VLOOKUP($C621,ТабАдрес[[#All],[Клиент]:[gps]],MATCH(F$1,ТабКлиенты[#Headers],0)-4,0)</f>
        <v>#N/A</v>
      </c>
      <c r="G621" s="183">
        <v>0.40972222222222221</v>
      </c>
      <c r="H621" s="181">
        <v>556</v>
      </c>
      <c r="I621" s="52" t="s">
        <v>5</v>
      </c>
      <c r="J621" s="52">
        <v>1</v>
      </c>
      <c r="K621" t="e">
        <f t="shared" si="12"/>
        <v>#N/A</v>
      </c>
    </row>
    <row r="622" spans="1:11" hidden="1" x14ac:dyDescent="0.25">
      <c r="A622">
        <v>5</v>
      </c>
      <c r="B622" s="179">
        <v>45738</v>
      </c>
      <c r="C622" t="s">
        <v>3474</v>
      </c>
      <c r="D622" t="e">
        <f>VLOOKUP($C622,ТабКлиенты[[#All],[name]:[phone]],MATCH(D$1,ТабКлиенты[#Headers],0)-1,0)</f>
        <v>#N/A</v>
      </c>
      <c r="E622" t="e">
        <f>VLOOKUP($C622,ТабАдрес[[#All],[Клиент]:[gps]],MATCH(E$1,ТабКлиенты[#Headers],0)-4,0)</f>
        <v>#N/A</v>
      </c>
      <c r="F622" t="e">
        <f>VLOOKUP($C622,ТабАдрес[[#All],[Клиент]:[gps]],MATCH(F$1,ТабКлиенты[#Headers],0)-4,0)</f>
        <v>#N/A</v>
      </c>
      <c r="G622" s="183">
        <v>0.41319444444444442</v>
      </c>
      <c r="H622" s="181">
        <v>1180</v>
      </c>
      <c r="I622" s="52">
        <v>525</v>
      </c>
      <c r="J622" s="52">
        <v>1</v>
      </c>
      <c r="K622" t="e">
        <f t="shared" si="12"/>
        <v>#N/A</v>
      </c>
    </row>
    <row r="623" spans="1:11" hidden="1" x14ac:dyDescent="0.25">
      <c r="A623">
        <v>6</v>
      </c>
      <c r="B623" s="179">
        <v>45738</v>
      </c>
      <c r="C623" t="s">
        <v>3125</v>
      </c>
      <c r="D623" t="e">
        <f>VLOOKUP($C623,ТабКлиенты[[#All],[name]:[phone]],MATCH(D$1,ТабКлиенты[#Headers],0)-1,0)</f>
        <v>#N/A</v>
      </c>
      <c r="E623" t="e">
        <f>VLOOKUP($C623,ТабАдрес[[#All],[Клиент]:[gps]],MATCH(E$1,ТабКлиенты[#Headers],0)-4,0)</f>
        <v>#N/A</v>
      </c>
      <c r="F623" t="e">
        <f>VLOOKUP($C623,ТабАдрес[[#All],[Клиент]:[gps]],MATCH(F$1,ТабКлиенты[#Headers],0)-4,0)</f>
        <v>#N/A</v>
      </c>
      <c r="G623" s="183">
        <v>0.4236111111111111</v>
      </c>
      <c r="H623" s="181">
        <v>7963</v>
      </c>
      <c r="I623" s="52">
        <v>531</v>
      </c>
      <c r="J623" s="52">
        <v>1</v>
      </c>
      <c r="K623" t="e">
        <f t="shared" si="12"/>
        <v>#N/A</v>
      </c>
    </row>
    <row r="624" spans="1:11" hidden="1" x14ac:dyDescent="0.25">
      <c r="A624">
        <v>7</v>
      </c>
      <c r="B624" s="179">
        <v>45738</v>
      </c>
      <c r="C624" t="s">
        <v>4325</v>
      </c>
      <c r="D624" t="e">
        <f>VLOOKUP($C624,ТабКлиенты[[#All],[name]:[phone]],MATCH(D$1,ТабКлиенты[#Headers],0)-1,0)</f>
        <v>#N/A</v>
      </c>
      <c r="E624" t="e">
        <f>VLOOKUP($C624,ТабАдрес[[#All],[Клиент]:[gps]],MATCH(E$1,ТабКлиенты[#Headers],0)-4,0)</f>
        <v>#N/A</v>
      </c>
      <c r="F624" t="e">
        <f>VLOOKUP($C624,ТабАдрес[[#All],[Клиент]:[gps]],MATCH(F$1,ТабКлиенты[#Headers],0)-4,0)</f>
        <v>#N/A</v>
      </c>
      <c r="G624" s="183">
        <v>0.46875</v>
      </c>
      <c r="H624" s="181">
        <v>0</v>
      </c>
      <c r="I624" s="52">
        <v>513</v>
      </c>
      <c r="J624" s="52">
        <v>1</v>
      </c>
      <c r="K624" t="e">
        <f t="shared" si="12"/>
        <v>#N/A</v>
      </c>
    </row>
    <row r="625" spans="1:11" hidden="1" x14ac:dyDescent="0.25">
      <c r="A625">
        <v>8</v>
      </c>
      <c r="B625" s="179">
        <v>45738</v>
      </c>
      <c r="C625" t="s">
        <v>3263</v>
      </c>
      <c r="D625" t="e">
        <f>VLOOKUP($C625,ТабКлиенты[[#All],[name]:[phone]],MATCH(D$1,ТабКлиенты[#Headers],0)-1,0)</f>
        <v>#N/A</v>
      </c>
      <c r="E625" t="e">
        <f>VLOOKUP($C625,ТабАдрес[[#All],[Клиент]:[gps]],MATCH(E$1,ТабКлиенты[#Headers],0)-4,0)</f>
        <v>#N/A</v>
      </c>
      <c r="F625" t="e">
        <f>VLOOKUP($C625,ТабАдрес[[#All],[Клиент]:[gps]],MATCH(F$1,ТабКлиенты[#Headers],0)-4,0)</f>
        <v>#N/A</v>
      </c>
      <c r="G625" s="183">
        <v>0.47569444444444442</v>
      </c>
      <c r="H625" s="181">
        <v>2312</v>
      </c>
      <c r="I625" s="52">
        <v>535</v>
      </c>
      <c r="J625" s="52">
        <v>1</v>
      </c>
      <c r="K625" t="e">
        <f t="shared" si="12"/>
        <v>#N/A</v>
      </c>
    </row>
    <row r="626" spans="1:11" hidden="1" x14ac:dyDescent="0.25">
      <c r="A626">
        <v>1</v>
      </c>
      <c r="B626" s="179">
        <v>45745</v>
      </c>
      <c r="C626" t="s">
        <v>3125</v>
      </c>
      <c r="D626" t="e">
        <f>VLOOKUP($C626,ТабКлиенты[[#All],[name]:[phone]],MATCH(D$1,ТабКлиенты[#Headers],0)-1,0)</f>
        <v>#N/A</v>
      </c>
      <c r="E626" t="e">
        <f>VLOOKUP($C626,ТабАдрес[[#All],[Клиент]:[gps]],MATCH(E$1,ТабКлиенты[#Headers],0)-4,0)</f>
        <v>#N/A</v>
      </c>
      <c r="F626" t="e">
        <f>VLOOKUP($C626,ТабАдрес[[#All],[Клиент]:[gps]],MATCH(F$1,ТабКлиенты[#Headers],0)-4,0)</f>
        <v>#N/A</v>
      </c>
      <c r="G626" s="183">
        <v>0.41666666666666669</v>
      </c>
      <c r="H626" s="181">
        <v>0</v>
      </c>
      <c r="I626" s="52">
        <v>541</v>
      </c>
      <c r="J626" s="52">
        <v>2</v>
      </c>
      <c r="K626" t="e">
        <f t="shared" si="12"/>
        <v>#N/A</v>
      </c>
    </row>
    <row r="627" spans="1:11" hidden="1" x14ac:dyDescent="0.25">
      <c r="A627">
        <v>2</v>
      </c>
      <c r="B627" s="179">
        <v>45745</v>
      </c>
      <c r="C627" t="s">
        <v>3210</v>
      </c>
      <c r="D627" t="e">
        <f>VLOOKUP($C627,ТабКлиенты[[#All],[name]:[phone]],MATCH(D$1,ТабКлиенты[#Headers],0)-1,0)</f>
        <v>#N/A</v>
      </c>
      <c r="E627" t="e">
        <f>VLOOKUP($C627,ТабАдрес[[#All],[Клиент]:[gps]],MATCH(E$1,ТабКлиенты[#Headers],0)-4,0)</f>
        <v>#N/A</v>
      </c>
      <c r="F627" t="e">
        <f>VLOOKUP($C627,ТабАдрес[[#All],[Клиент]:[gps]],MATCH(F$1,ТабКлиенты[#Headers],0)-4,0)</f>
        <v>#N/A</v>
      </c>
      <c r="G627" s="183">
        <v>0.4236111111111111</v>
      </c>
      <c r="H627" s="181">
        <v>0</v>
      </c>
      <c r="I627" s="52">
        <v>539</v>
      </c>
      <c r="J627" s="52">
        <v>1</v>
      </c>
      <c r="K627" t="e">
        <f t="shared" si="12"/>
        <v>#N/A</v>
      </c>
    </row>
    <row r="628" spans="1:11" hidden="1" x14ac:dyDescent="0.25">
      <c r="A628">
        <v>3</v>
      </c>
      <c r="B628" s="179">
        <v>45745</v>
      </c>
      <c r="C628" t="s">
        <v>3260</v>
      </c>
      <c r="D628" t="e">
        <f>VLOOKUP($C628,ТабКлиенты[[#All],[name]:[phone]],MATCH(D$1,ТабКлиенты[#Headers],0)-1,0)</f>
        <v>#N/A</v>
      </c>
      <c r="E628" t="e">
        <f>VLOOKUP($C628,ТабАдрес[[#All],[Клиент]:[gps]],MATCH(E$1,ТабКлиенты[#Headers],0)-4,0)</f>
        <v>#N/A</v>
      </c>
      <c r="F628" t="e">
        <f>VLOOKUP($C628,ТабАдрес[[#All],[Клиент]:[gps]],MATCH(F$1,ТабКлиенты[#Headers],0)-4,0)</f>
        <v>#N/A</v>
      </c>
      <c r="G628" s="183">
        <v>0.42708333333333331</v>
      </c>
      <c r="H628" s="181">
        <v>0</v>
      </c>
      <c r="I628" s="52">
        <v>527</v>
      </c>
      <c r="J628" s="52">
        <v>1</v>
      </c>
      <c r="K628" t="e">
        <f t="shared" si="12"/>
        <v>#N/A</v>
      </c>
    </row>
    <row r="629" spans="1:11" hidden="1" x14ac:dyDescent="0.25">
      <c r="A629">
        <v>4</v>
      </c>
      <c r="B629" s="179">
        <v>45745</v>
      </c>
      <c r="C629" t="s">
        <v>3131</v>
      </c>
      <c r="D629" t="e">
        <f>VLOOKUP($C629,ТабКлиенты[[#All],[name]:[phone]],MATCH(D$1,ТабКлиенты[#Headers],0)-1,0)</f>
        <v>#N/A</v>
      </c>
      <c r="E629" t="e">
        <f>VLOOKUP($C629,ТабАдрес[[#All],[Клиент]:[gps]],MATCH(E$1,ТабКлиенты[#Headers],0)-4,0)</f>
        <v>#N/A</v>
      </c>
      <c r="F629" t="e">
        <f>VLOOKUP($C629,ТабАдрес[[#All],[Клиент]:[gps]],MATCH(F$1,ТабКлиенты[#Headers],0)-4,0)</f>
        <v>#N/A</v>
      </c>
      <c r="G629" s="183">
        <v>0.43055555555555558</v>
      </c>
      <c r="H629" s="181">
        <v>0</v>
      </c>
      <c r="I629" s="52">
        <v>530</v>
      </c>
      <c r="J629" s="52">
        <v>1</v>
      </c>
      <c r="K629" t="e">
        <f t="shared" si="12"/>
        <v>#N/A</v>
      </c>
    </row>
    <row r="630" spans="1:11" hidden="1" x14ac:dyDescent="0.25">
      <c r="A630">
        <v>5</v>
      </c>
      <c r="B630" s="179">
        <v>45745</v>
      </c>
      <c r="C630" t="s">
        <v>3461</v>
      </c>
      <c r="D630" t="e">
        <f>VLOOKUP($C630,ТабКлиенты[[#All],[name]:[phone]],MATCH(D$1,ТабКлиенты[#Headers],0)-1,0)</f>
        <v>#N/A</v>
      </c>
      <c r="E630" t="e">
        <f>VLOOKUP($C630,ТабАдрес[[#All],[Клиент]:[gps]],MATCH(E$1,ТабКлиенты[#Headers],0)-4,0)</f>
        <v>#N/A</v>
      </c>
      <c r="F630" t="e">
        <f>VLOOKUP($C630,ТабАдрес[[#All],[Клиент]:[gps]],MATCH(F$1,ТабКлиенты[#Headers],0)-4,0)</f>
        <v>#N/A</v>
      </c>
      <c r="G630" s="183">
        <v>0.4375</v>
      </c>
      <c r="H630" s="181">
        <v>0</v>
      </c>
      <c r="I630" s="52">
        <v>528</v>
      </c>
      <c r="J630" s="52">
        <v>1</v>
      </c>
      <c r="K630" t="e">
        <f t="shared" si="12"/>
        <v>#N/A</v>
      </c>
    </row>
    <row r="631" spans="1:11" hidden="1" x14ac:dyDescent="0.25">
      <c r="A631">
        <v>6</v>
      </c>
      <c r="B631" s="179">
        <v>45745</v>
      </c>
      <c r="C631" t="s">
        <v>3474</v>
      </c>
      <c r="D631" t="e">
        <f>VLOOKUP($C631,ТабКлиенты[[#All],[name]:[phone]],MATCH(D$1,ТабКлиенты[#Headers],0)-1,0)</f>
        <v>#N/A</v>
      </c>
      <c r="E631" t="e">
        <f>VLOOKUP($C631,ТабАдрес[[#All],[Клиент]:[gps]],MATCH(E$1,ТабКлиенты[#Headers],0)-4,0)</f>
        <v>#N/A</v>
      </c>
      <c r="F631" t="e">
        <f>VLOOKUP($C631,ТабАдрес[[#All],[Клиент]:[gps]],MATCH(F$1,ТабКлиенты[#Headers],0)-4,0)</f>
        <v>#N/A</v>
      </c>
      <c r="G631" s="183">
        <v>0.44444444444444442</v>
      </c>
      <c r="H631" s="181">
        <v>0</v>
      </c>
      <c r="I631" s="52">
        <v>490</v>
      </c>
      <c r="J631" s="52">
        <v>1</v>
      </c>
      <c r="K631" t="e">
        <f t="shared" si="12"/>
        <v>#N/A</v>
      </c>
    </row>
    <row r="632" spans="1:11" hidden="1" x14ac:dyDescent="0.25">
      <c r="A632">
        <v>7</v>
      </c>
      <c r="B632" s="179">
        <v>45745</v>
      </c>
      <c r="C632" t="s">
        <v>3133</v>
      </c>
      <c r="D632" t="e">
        <f>VLOOKUP($C632,ТабКлиенты[[#All],[name]:[phone]],MATCH(D$1,ТабКлиенты[#Headers],0)-1,0)</f>
        <v>#N/A</v>
      </c>
      <c r="E632" t="e">
        <f>VLOOKUP($C632,ТабАдрес[[#All],[Клиент]:[gps]],MATCH(E$1,ТабКлиенты[#Headers],0)-4,0)</f>
        <v>#N/A</v>
      </c>
      <c r="F632" t="e">
        <f>VLOOKUP($C632,ТабАдрес[[#All],[Клиент]:[gps]],MATCH(F$1,ТабКлиенты[#Headers],0)-4,0)</f>
        <v>#N/A</v>
      </c>
      <c r="G632" s="183">
        <v>0.4548611111111111</v>
      </c>
      <c r="H632" s="181">
        <v>0</v>
      </c>
      <c r="I632" s="52">
        <v>537</v>
      </c>
      <c r="J632" s="52">
        <v>1</v>
      </c>
      <c r="K632" t="e">
        <f t="shared" si="12"/>
        <v>#N/A</v>
      </c>
    </row>
    <row r="633" spans="1:11" hidden="1" x14ac:dyDescent="0.25">
      <c r="A633">
        <v>8</v>
      </c>
      <c r="B633" s="179">
        <v>45745</v>
      </c>
      <c r="C633" t="s">
        <v>3485</v>
      </c>
      <c r="D633" t="e">
        <f>VLOOKUP($C633,ТабКлиенты[[#All],[name]:[phone]],MATCH(D$1,ТабКлиенты[#Headers],0)-1,0)</f>
        <v>#N/A</v>
      </c>
      <c r="E633" t="e">
        <f>VLOOKUP($C633,ТабАдрес[[#All],[Клиент]:[gps]],MATCH(E$1,ТабКлиенты[#Headers],0)-4,0)</f>
        <v>#N/A</v>
      </c>
      <c r="F633" t="e">
        <f>VLOOKUP($C633,ТабАдрес[[#All],[Клиент]:[gps]],MATCH(F$1,ТабКлиенты[#Headers],0)-4,0)</f>
        <v>#N/A</v>
      </c>
      <c r="G633" s="183">
        <v>0.46180555555555558</v>
      </c>
      <c r="H633" s="181">
        <v>0</v>
      </c>
      <c r="I633" s="52">
        <v>546</v>
      </c>
      <c r="J633" s="52">
        <v>1</v>
      </c>
      <c r="K633" t="e">
        <f t="shared" si="12"/>
        <v>#N/A</v>
      </c>
    </row>
    <row r="634" spans="1:11" hidden="1" x14ac:dyDescent="0.25">
      <c r="A634">
        <v>9</v>
      </c>
      <c r="B634" s="179">
        <v>45745</v>
      </c>
      <c r="C634" t="s">
        <v>3338</v>
      </c>
      <c r="D634" t="e">
        <f>VLOOKUP($C634,ТабКлиенты[[#All],[name]:[phone]],MATCH(D$1,ТабКлиенты[#Headers],0)-1,0)</f>
        <v>#N/A</v>
      </c>
      <c r="E634" t="e">
        <f>VLOOKUP($C634,ТабАдрес[[#All],[Клиент]:[gps]],MATCH(E$1,ТабКлиенты[#Headers],0)-4,0)</f>
        <v>#N/A</v>
      </c>
      <c r="F634" t="e">
        <f>VLOOKUP($C634,ТабАдрес[[#All],[Клиент]:[gps]],MATCH(F$1,ТабКлиенты[#Headers],0)-4,0)</f>
        <v>#N/A</v>
      </c>
      <c r="G634" s="183">
        <v>0.46875</v>
      </c>
      <c r="H634" s="181">
        <v>0</v>
      </c>
      <c r="I634" s="52">
        <v>543</v>
      </c>
      <c r="J634" s="52">
        <v>1</v>
      </c>
      <c r="K634" t="e">
        <f t="shared" si="12"/>
        <v>#N/A</v>
      </c>
    </row>
    <row r="635" spans="1:11" hidden="1" x14ac:dyDescent="0.25">
      <c r="A635">
        <v>10</v>
      </c>
      <c r="B635" s="179">
        <v>45745</v>
      </c>
      <c r="C635" t="s">
        <v>3484</v>
      </c>
      <c r="D635" t="e">
        <f>VLOOKUP($C635,ТабКлиенты[[#All],[name]:[phone]],MATCH(D$1,ТабКлиенты[#Headers],0)-1,0)</f>
        <v>#N/A</v>
      </c>
      <c r="E635" t="e">
        <f>VLOOKUP($C635,ТабАдрес[[#All],[Клиент]:[gps]],MATCH(E$1,ТабКлиенты[#Headers],0)-4,0)</f>
        <v>#N/A</v>
      </c>
      <c r="F635" t="e">
        <f>VLOOKUP($C635,ТабАдрес[[#All],[Клиент]:[gps]],MATCH(F$1,ТабКлиенты[#Headers],0)-4,0)</f>
        <v>#N/A</v>
      </c>
      <c r="G635" s="183">
        <v>0.46875</v>
      </c>
      <c r="H635" s="181">
        <v>0</v>
      </c>
      <c r="I635" s="52">
        <v>538</v>
      </c>
      <c r="J635" s="52">
        <v>1</v>
      </c>
      <c r="K635" t="e">
        <f t="shared" si="12"/>
        <v>#N/A</v>
      </c>
    </row>
    <row r="636" spans="1:11" hidden="1" x14ac:dyDescent="0.25">
      <c r="A636">
        <v>11</v>
      </c>
      <c r="B636" s="179">
        <v>45745</v>
      </c>
      <c r="C636" t="s">
        <v>3452</v>
      </c>
      <c r="D636" t="e">
        <f>VLOOKUP($C636,ТабКлиенты[[#All],[name]:[phone]],MATCH(D$1,ТабКлиенты[#Headers],0)-1,0)</f>
        <v>#N/A</v>
      </c>
      <c r="E636" t="e">
        <f>VLOOKUP($C636,ТабАдрес[[#All],[Клиент]:[gps]],MATCH(E$1,ТабКлиенты[#Headers],0)-4,0)</f>
        <v>#N/A</v>
      </c>
      <c r="F636" t="e">
        <f>VLOOKUP($C636,ТабАдрес[[#All],[Клиент]:[gps]],MATCH(F$1,ТабКлиенты[#Headers],0)-4,0)</f>
        <v>#N/A</v>
      </c>
      <c r="G636" s="183">
        <v>0.47569444444444442</v>
      </c>
      <c r="H636" s="181">
        <v>0</v>
      </c>
      <c r="I636" s="52">
        <v>545</v>
      </c>
      <c r="J636" s="52">
        <v>1</v>
      </c>
      <c r="K636" t="e">
        <f t="shared" si="12"/>
        <v>#N/A</v>
      </c>
    </row>
    <row r="637" spans="1:11" hidden="1" x14ac:dyDescent="0.25">
      <c r="A637">
        <v>12</v>
      </c>
      <c r="B637" s="179">
        <v>45745</v>
      </c>
      <c r="C637" t="s">
        <v>3128</v>
      </c>
      <c r="D637" t="e">
        <f>VLOOKUP($C637,ТабКлиенты[[#All],[name]:[phone]],MATCH(D$1,ТабКлиенты[#Headers],0)-1,0)</f>
        <v>#N/A</v>
      </c>
      <c r="E637" t="e">
        <f>VLOOKUP($C637,ТабАдрес[[#All],[Клиент]:[gps]],MATCH(E$1,ТабКлиенты[#Headers],0)-4,0)</f>
        <v>#N/A</v>
      </c>
      <c r="F637" t="e">
        <f>VLOOKUP($C637,ТабАдрес[[#All],[Клиент]:[gps]],MATCH(F$1,ТабКлиенты[#Headers],0)-4,0)</f>
        <v>#N/A</v>
      </c>
      <c r="G637" s="183">
        <v>0.4826388888888889</v>
      </c>
      <c r="H637" s="181">
        <v>0</v>
      </c>
      <c r="I637" s="52">
        <v>544</v>
      </c>
      <c r="J637" s="52">
        <v>2</v>
      </c>
      <c r="K637" t="e">
        <f t="shared" si="12"/>
        <v>#N/A</v>
      </c>
    </row>
    <row r="638" spans="1:11" hidden="1" x14ac:dyDescent="0.25">
      <c r="A638">
        <v>1</v>
      </c>
      <c r="B638" s="179">
        <v>45749</v>
      </c>
      <c r="C638" t="s">
        <v>3493</v>
      </c>
      <c r="D638" t="str">
        <f>VLOOKUP($C638,ТабКлиенты[[#All],[name]:[phone]],MATCH(D$1,ТабКлиенты[#Headers],0)-1,0)</f>
        <v>+79497163227</v>
      </c>
      <c r="E638" t="str">
        <f>VLOOKUP($C638,ТабАдрес[[#All],[Клиент]:[gps]],MATCH(E$1,ТабКлиенты[#Headers],0)-4,0)</f>
        <v>Артема 44</v>
      </c>
      <c r="F638" t="str">
        <f>VLOOKUP($C638,ТабАдрес[[#All],[Клиент]:[gps]],MATCH(F$1,ТабКлиенты[#Headers],0)-4,0)</f>
        <v>47.0943, 37.5487</v>
      </c>
      <c r="G638" s="183">
        <v>0.39583333333333331</v>
      </c>
      <c r="H638" s="181">
        <v>5500</v>
      </c>
      <c r="I638" s="52" t="s">
        <v>4304</v>
      </c>
      <c r="J638" s="52">
        <v>1</v>
      </c>
      <c r="K638" t="str">
        <f t="shared" si="12"/>
        <v>1. 09:30 Виктория Страховка
Тел.: +79497163227
Адрес: Артема 44
№ заказа: Витамины 1
Кол-во мест: 1
https://yandex.ru/maps/?text=47.0943%2C37.5487
https://maps.google.com/?daddr=47.0943%2C37.5487
К оплате: **5500
**--------------------------------</v>
      </c>
    </row>
    <row r="639" spans="1:11" hidden="1" x14ac:dyDescent="0.25">
      <c r="A639">
        <v>2</v>
      </c>
      <c r="B639" s="179">
        <v>45749</v>
      </c>
      <c r="C639" t="s">
        <v>3150</v>
      </c>
      <c r="D639" t="str">
        <f>VLOOKUP($C639,ТабКлиенты[[#All],[name]:[phone]],MATCH(D$1,ТабКлиенты[#Headers],0)-1,0)</f>
        <v>+79497190408</v>
      </c>
      <c r="E639" t="str">
        <f>VLOOKUP($C639,ТабАдрес[[#All],[Клиент]:[gps]],MATCH(E$1,ТабКлиенты[#Headers],0)-4,0)</f>
        <v>Проектная 10</v>
      </c>
      <c r="F639" t="str">
        <f>VLOOKUP($C639,ТабАдрес[[#All],[Клиент]:[gps]],MATCH(F$1,ТабКлиенты[#Headers],0)-4,0)</f>
        <v>47.1281, 37.5732</v>
      </c>
      <c r="G639" s="183">
        <v>0.40625</v>
      </c>
      <c r="H639" s="181">
        <v>3000</v>
      </c>
      <c r="I639" s="52" t="s">
        <v>4305</v>
      </c>
      <c r="J639" s="52">
        <v>1</v>
      </c>
      <c r="K639" t="str">
        <f t="shared" si="12"/>
        <v>2. 09:45 Елена пер. Фруктовый
Тел.: +79497190408
Адрес: Проектная 10
№ заказа: Витамины 2
Кол-во мест: 1
https://yandex.ru/maps/?text=47.1281%2C37.5732
https://maps.google.com/?daddr=47.1281%2C37.5732
К оплате: **3000
**--------------------------------</v>
      </c>
    </row>
    <row r="640" spans="1:11" hidden="1" x14ac:dyDescent="0.25">
      <c r="A640">
        <v>3</v>
      </c>
      <c r="B640" s="179">
        <v>45749</v>
      </c>
      <c r="C640" t="s">
        <v>3487</v>
      </c>
      <c r="D640" t="str">
        <f>VLOOKUP($C640,ТабКлиенты[[#All],[name]:[phone]],MATCH(D$1,ТабКлиенты[#Headers],0)-1,0)</f>
        <v>+79497379017</v>
      </c>
      <c r="E640" t="str">
        <f>VLOOKUP($C640,ТабАдрес[[#All],[Клиент]:[gps]],MATCH(E$1,ТабКлиенты[#Headers],0)-4,0)</f>
        <v>Металлургов 158</v>
      </c>
      <c r="F640" t="str">
        <f>VLOOKUP($C640,ТабАдрес[[#All],[Клиент]:[gps]],MATCH(F$1,ТабКлиенты[#Headers],0)-4,0)</f>
        <v>47.1266, 37.5631</v>
      </c>
      <c r="G640" s="183">
        <v>0.41666666666666669</v>
      </c>
      <c r="H640" s="181">
        <v>4500</v>
      </c>
      <c r="I640" s="52" t="s">
        <v>4306</v>
      </c>
      <c r="J640" s="52">
        <v>1</v>
      </c>
      <c r="K640" t="str">
        <f t="shared" si="12"/>
        <v>3. 10:00 Любовь Металлургов 158
Тел.: +79497379017
Адрес: Металлургов 158
№ заказа: Витамины 3
Кол-во мест: 1
https://yandex.ru/maps/?text=47.1266%2C37.5631
https://maps.google.com/?daddr=47.1266%2C37.5631
К оплате: **4500
**--------------------------------</v>
      </c>
    </row>
    <row r="641" spans="1:11" hidden="1" x14ac:dyDescent="0.25">
      <c r="A641">
        <v>4</v>
      </c>
      <c r="B641" s="179">
        <v>45749</v>
      </c>
      <c r="C641" t="s">
        <v>3499</v>
      </c>
      <c r="D641" t="str">
        <f>VLOOKUP($C641,ТабКлиенты[[#All],[name]:[phone]],MATCH(D$1,ТабКлиенты[#Headers],0)-1,0)</f>
        <v>+79497108197</v>
      </c>
      <c r="E641" t="str">
        <f>VLOOKUP($C641,ТабАдрес[[#All],[Клиент]:[gps]],MATCH(E$1,ТабКлиенты[#Headers],0)-4,0)</f>
        <v>Леси Украинки 24</v>
      </c>
      <c r="F641" t="str">
        <f>VLOOKUP($C641,ТабАдрес[[#All],[Клиент]:[gps]],MATCH(F$1,ТабКлиенты[#Headers],0)-4,0)</f>
        <v>47.1035, 37.5324</v>
      </c>
      <c r="G641" s="183">
        <v>0.4236111111111111</v>
      </c>
      <c r="H641" s="181">
        <v>7800</v>
      </c>
      <c r="I641" s="52" t="s">
        <v>4307</v>
      </c>
      <c r="J641" s="52">
        <v>1</v>
      </c>
      <c r="K641" t="str">
        <f t="shared" si="12"/>
        <v>4. 10:10 Лилия Леси Украинки
Тел.: +79497108197
Адрес: Леси Украинки 24
№ заказа: Витамины 4
Кол-во мест: 1
https://yandex.ru/maps/?text=47.1035%2C37.5324
https://maps.google.com/?daddr=47.1035%2C37.5324
К оплате: **7800
**--------------------------------</v>
      </c>
    </row>
    <row r="642" spans="1:11" hidden="1" x14ac:dyDescent="0.25">
      <c r="A642">
        <v>5</v>
      </c>
      <c r="B642" s="179">
        <v>45749</v>
      </c>
      <c r="C642" t="s">
        <v>3497</v>
      </c>
      <c r="D642" t="str">
        <f>VLOOKUP($C642,ТабКлиенты[[#All],[name]:[phone]],MATCH(D$1,ТабКлиенты[#Headers],0)-1,0)</f>
        <v>+79497049936</v>
      </c>
      <c r="E642" t="str">
        <f>VLOOKUP($C642,ТабАдрес[[#All],[Клиент]:[gps]],MATCH(E$1,ТабКлиенты[#Headers],0)-4,0)</f>
        <v>Шевченко 317 Грация</v>
      </c>
      <c r="F642" t="str">
        <f>VLOOKUP($C642,ТабАдрес[[#All],[Клиент]:[gps]],MATCH(F$1,ТабКлиенты[#Headers],0)-4,0)</f>
        <v>47.1179, 37.5163</v>
      </c>
      <c r="G642" s="183">
        <v>0.43055555555555558</v>
      </c>
      <c r="H642" s="181">
        <v>5000</v>
      </c>
      <c r="I642" s="52" t="s">
        <v>4309</v>
      </c>
      <c r="J642" s="52">
        <v>1</v>
      </c>
      <c r="K642" t="str">
        <f t="shared" si="12"/>
        <v>5. 10:20 Алена Грация
Тел.: +79497049936
Адрес: Шевченко 317 Грация
№ заказа: Витамины 5
Кол-во мест: 1
https://yandex.ru/maps/?text=47.1179%2C37.5163
https://maps.google.com/?daddr=47.1179%2C37.5163
К оплате: **5000
**--------------------------------</v>
      </c>
    </row>
    <row r="643" spans="1:11" hidden="1" x14ac:dyDescent="0.25">
      <c r="A643">
        <v>6</v>
      </c>
      <c r="B643" s="179">
        <v>45749</v>
      </c>
      <c r="C643" t="s">
        <v>3491</v>
      </c>
      <c r="D643" t="str">
        <f>VLOOKUP($C643,ТабКлиенты[[#All],[name]:[phone]],MATCH(D$1,ТабКлиенты[#Headers],0)-1,0)</f>
        <v>+79495600470</v>
      </c>
      <c r="E643" t="str">
        <f>VLOOKUP($C643,ТабАдрес[[#All],[Клиент]:[gps]],MATCH(E$1,ТабКлиенты[#Headers],0)-4,0)</f>
        <v>50 Лет СССР 16</v>
      </c>
      <c r="F643" t="str">
        <f>VLOOKUP($C643,ТабАдрес[[#All],[Клиент]:[gps]],MATCH(F$1,ТабКлиенты[#Headers],0)-4,0)</f>
        <v>47.1106, 37.5233</v>
      </c>
      <c r="G643" s="183">
        <v>0.4375</v>
      </c>
      <c r="H643" s="181">
        <v>2000</v>
      </c>
      <c r="I643" s="52" t="s">
        <v>4310</v>
      </c>
      <c r="J643" s="52">
        <v>1</v>
      </c>
      <c r="K643" t="str">
        <f t="shared" si="12"/>
        <v>6. 10:30 Марина 50 Лет СССР 16
Тел.: +79495600470
Адрес: 50 Лет СССР 16
№ заказа: Витамины 6
Кол-во мест: 1
https://yandex.ru/maps/?text=47.1106%2C37.5233
https://maps.google.com/?daddr=47.1106%2C37.5233
К оплате: **2000
**--------------------------------</v>
      </c>
    </row>
    <row r="644" spans="1:11" hidden="1" x14ac:dyDescent="0.25">
      <c r="A644">
        <v>7</v>
      </c>
      <c r="B644" s="179">
        <v>45749</v>
      </c>
      <c r="C644" t="s">
        <v>3231</v>
      </c>
      <c r="D644" t="str">
        <f>VLOOKUP($C644,ТабКлиенты[[#All],[name]:[phone]],MATCH(D$1,ТабКлиенты[#Headers],0)-1,0)</f>
        <v>+79497336840</v>
      </c>
      <c r="E644" t="str">
        <f>VLOOKUP($C644,ТабАдрес[[#All],[Клиент]:[gps]],MATCH(E$1,ТабКлиенты[#Headers],0)-4,0)</f>
        <v>Бригантина 152</v>
      </c>
      <c r="F644" t="str">
        <f>VLOOKUP($C644,ТабАдрес[[#All],[Клиент]:[gps]],MATCH(F$1,ТабКлиенты[#Headers],0)-4,0)</f>
        <v>47.0779, 37.4879</v>
      </c>
      <c r="G644" s="183">
        <v>0.44444444444444442</v>
      </c>
      <c r="H644" s="181">
        <v>7000</v>
      </c>
      <c r="I644" s="52" t="s">
        <v>4312</v>
      </c>
      <c r="J644" s="52">
        <v>1</v>
      </c>
      <c r="K644" t="str">
        <f t="shared" si="12"/>
        <v>7. 10:40 Татьяна Бригантина
Тел.: +79497336840
Адрес: Бригантина 152
№ заказа: Витамины 7
Кол-во мест: 1
https://yandex.ru/maps/?text=47.0779%2C37.4879
https://maps.google.com/?daddr=47.0779%2C37.4879
К оплате: **7000
**--------------------------------</v>
      </c>
    </row>
    <row r="645" spans="1:11" hidden="1" x14ac:dyDescent="0.25">
      <c r="A645">
        <v>8</v>
      </c>
      <c r="B645" s="179">
        <v>45749</v>
      </c>
      <c r="C645" t="s">
        <v>3226</v>
      </c>
      <c r="D645" t="str">
        <f>VLOOKUP($C645,ТабКлиенты[[#All],[name]:[phone]],MATCH(D$1,ТабКлиенты[#Headers],0)-1,0)</f>
        <v>+79497169864</v>
      </c>
      <c r="E645" t="str">
        <f>VLOOKUP($C645,ТабАдрес[[#All],[Клиент]:[gps]],MATCH(E$1,ТабКлиенты[#Headers],0)-4,0)</f>
        <v>Строителей, 102</v>
      </c>
      <c r="F645" t="str">
        <f>VLOOKUP($C645,ТабАдрес[[#All],[Клиент]:[gps]],MATCH(F$1,ТабКлиенты[#Headers],0)-4,0)</f>
        <v>47.100776, 37.522477</v>
      </c>
      <c r="G645" s="183">
        <v>0.47916666666666669</v>
      </c>
      <c r="H645" s="181">
        <v>11300</v>
      </c>
      <c r="I645" s="52" t="s">
        <v>4311</v>
      </c>
      <c r="J645" s="52">
        <v>1</v>
      </c>
      <c r="K645" t="str">
        <f t="shared" si="12"/>
        <v>8. 11:30 Надежда Витамины
Тел.: +79497169864
Адрес: Строителей, 102
№ заказа: Витамины 8
Кол-во мест: 1
https://yandex.ru/maps/?text=47.100776%2C37.522477
https://maps.google.com/?daddr=47.100776%2C37.522477
К оплате: **11300
**--------------------------------</v>
      </c>
    </row>
    <row r="646" spans="1:11" hidden="1" x14ac:dyDescent="0.25">
      <c r="A646">
        <v>9</v>
      </c>
      <c r="B646" s="179">
        <v>45749</v>
      </c>
      <c r="C646" t="s">
        <v>3475</v>
      </c>
      <c r="D646" t="str">
        <f>VLOOKUP($C646,ТабКлиенты[[#All],[name]:[phone]],MATCH(D$1,ТабКлиенты[#Headers],0)-1,0)</f>
        <v>+79497078921</v>
      </c>
      <c r="E646" t="str">
        <f>VLOOKUP($C646,ТабАдрес[[#All],[Клиент]:[gps]],MATCH(E$1,ТабКлиенты[#Headers],0)-4,0)</f>
        <v>Черноморская 17</v>
      </c>
      <c r="F646" t="str">
        <f>VLOOKUP($C646,ТабАдрес[[#All],[Клиент]:[gps]],MATCH(F$1,ТабКлиенты[#Headers],0)-4,0)</f>
        <v>47.0767, 37.5101</v>
      </c>
      <c r="G646" s="183">
        <v>0.4861111111111111</v>
      </c>
      <c r="H646" s="181">
        <v>9200</v>
      </c>
      <c r="I646" s="52" t="s">
        <v>4313</v>
      </c>
      <c r="J646" s="52">
        <v>1</v>
      </c>
      <c r="K646" t="str">
        <f t="shared" si="12"/>
        <v>9. 11:40 Оксана Черноморская
Тел.: +79497078921
Адрес: Черноморская 17
№ заказа: Витамины 9
Кол-во мест: 1
https://yandex.ru/maps/?text=47.0767%2C37.5101
https://maps.google.com/?daddr=47.0767%2C37.5101
К оплате: **9200
**--------------------------------</v>
      </c>
    </row>
    <row r="647" spans="1:11" hidden="1" x14ac:dyDescent="0.25">
      <c r="A647">
        <v>10</v>
      </c>
      <c r="B647" s="179">
        <v>45749</v>
      </c>
      <c r="C647" t="s">
        <v>3373</v>
      </c>
      <c r="D647" t="str">
        <f>VLOOKUP($C647,ТабКлиенты[[#All],[name]:[phone]],MATCH(D$1,ТабКлиенты[#Headers],0)-1,0)</f>
        <v>+79497178192</v>
      </c>
      <c r="E647" t="str">
        <f>VLOOKUP($C647,ТабАдрес[[#All],[Клиент]:[gps]],MATCH(E$1,ТабКлиенты[#Headers],0)-4,0)</f>
        <v>Новороссийская 28, ЖД Больница</v>
      </c>
      <c r="F647" t="str">
        <f>VLOOKUP($C647,ТабАдрес[[#All],[Клиент]:[gps]],MATCH(F$1,ТабКлиенты[#Headers],0)-4,0)</f>
        <v>47.0718, 37.4881</v>
      </c>
      <c r="G647" s="183">
        <v>0.49305555555555558</v>
      </c>
      <c r="H647" s="181">
        <v>4700</v>
      </c>
      <c r="I647" s="52" t="s">
        <v>4326</v>
      </c>
      <c r="J647" s="52">
        <v>1</v>
      </c>
      <c r="K647" t="str">
        <f t="shared" si="12"/>
        <v>10. 11:50 Ольга ЖД больница
Тел.: +79497178192
Адрес: Новороссийская 28, ЖД Больница
№ заказа: Витамины 10
Кол-во мест: 1
https://yandex.ru/maps/?text=47.0718%2C37.4881
https://maps.google.com/?daddr=47.0718%2C37.4881
К оплате: **4700
**--------------------------------</v>
      </c>
    </row>
    <row r="648" spans="1:11" hidden="1" x14ac:dyDescent="0.25">
      <c r="A648">
        <v>1</v>
      </c>
      <c r="B648" s="179">
        <v>45752</v>
      </c>
      <c r="C648" t="s">
        <v>3210</v>
      </c>
      <c r="D648" t="e">
        <f>VLOOKUP($C648,ТабКлиенты[[#All],[name]:[phone]],MATCH(D$1,ТабКлиенты[#Headers],0)-1,0)</f>
        <v>#N/A</v>
      </c>
      <c r="E648" t="e">
        <f>VLOOKUP($C648,ТабАдрес[[#All],[Клиент]:[gps]],MATCH(E$1,ТабКлиенты[#Headers],0)-4,0)</f>
        <v>#N/A</v>
      </c>
      <c r="F648" t="e">
        <f>VLOOKUP($C648,ТабАдрес[[#All],[Клиент]:[gps]],MATCH(F$1,ТабКлиенты[#Headers],0)-4,0)</f>
        <v>#N/A</v>
      </c>
      <c r="G648" s="183">
        <v>0.40625</v>
      </c>
      <c r="H648" s="181">
        <v>0</v>
      </c>
      <c r="I648" s="52">
        <v>542</v>
      </c>
      <c r="J648" s="52">
        <v>1</v>
      </c>
      <c r="K648" t="e">
        <f t="shared" si="12"/>
        <v>#N/A</v>
      </c>
    </row>
    <row r="649" spans="1:11" hidden="1" x14ac:dyDescent="0.25">
      <c r="A649">
        <v>2</v>
      </c>
      <c r="B649" s="179">
        <v>45752</v>
      </c>
      <c r="C649" t="s">
        <v>3425</v>
      </c>
      <c r="D649" t="e">
        <f>VLOOKUP($C649,ТабКлиенты[[#All],[name]:[phone]],MATCH(D$1,ТабКлиенты[#Headers],0)-1,0)</f>
        <v>#N/A</v>
      </c>
      <c r="E649" t="e">
        <f>VLOOKUP($C649,ТабАдрес[[#All],[Клиент]:[gps]],MATCH(E$1,ТабКлиенты[#Headers],0)-4,0)</f>
        <v>#N/A</v>
      </c>
      <c r="F649" t="e">
        <f>VLOOKUP($C649,ТабАдрес[[#All],[Клиент]:[gps]],MATCH(F$1,ТабКлиенты[#Headers],0)-4,0)</f>
        <v>#N/A</v>
      </c>
      <c r="G649" s="183">
        <v>0.40972222222222221</v>
      </c>
      <c r="H649" s="181">
        <v>0</v>
      </c>
      <c r="I649" s="52">
        <v>550</v>
      </c>
      <c r="J649" s="52">
        <v>1</v>
      </c>
      <c r="K649" t="e">
        <f t="shared" si="12"/>
        <v>#N/A</v>
      </c>
    </row>
    <row r="650" spans="1:11" hidden="1" x14ac:dyDescent="0.25">
      <c r="A650">
        <v>3</v>
      </c>
      <c r="B650" s="179">
        <v>45752</v>
      </c>
      <c r="C650" t="s">
        <v>3125</v>
      </c>
      <c r="D650" t="e">
        <f>VLOOKUP($C650,ТабКлиенты[[#All],[name]:[phone]],MATCH(D$1,ТабКлиенты[#Headers],0)-1,0)</f>
        <v>#N/A</v>
      </c>
      <c r="E650" t="e">
        <f>VLOOKUP($C650,ТабАдрес[[#All],[Клиент]:[gps]],MATCH(E$1,ТабКлиенты[#Headers],0)-4,0)</f>
        <v>#N/A</v>
      </c>
      <c r="F650" t="e">
        <f>VLOOKUP($C650,ТабАдрес[[#All],[Клиент]:[gps]],MATCH(F$1,ТабКлиенты[#Headers],0)-4,0)</f>
        <v>#N/A</v>
      </c>
      <c r="G650" s="183">
        <v>0.41666666666666669</v>
      </c>
      <c r="H650" s="181">
        <v>1407</v>
      </c>
      <c r="I650" s="52">
        <v>548</v>
      </c>
      <c r="J650" s="52">
        <v>1</v>
      </c>
      <c r="K650" t="e">
        <f t="shared" si="12"/>
        <v>#N/A</v>
      </c>
    </row>
    <row r="651" spans="1:11" hidden="1" x14ac:dyDescent="0.25">
      <c r="A651">
        <v>4</v>
      </c>
      <c r="B651" s="179">
        <v>45752</v>
      </c>
      <c r="C651" t="s">
        <v>3452</v>
      </c>
      <c r="D651" t="e">
        <f>VLOOKUP($C651,ТабКлиенты[[#All],[name]:[phone]],MATCH(D$1,ТабКлиенты[#Headers],0)-1,0)</f>
        <v>#N/A</v>
      </c>
      <c r="E651" t="e">
        <f>VLOOKUP($C651,ТабАдрес[[#All],[Клиент]:[gps]],MATCH(E$1,ТабКлиенты[#Headers],0)-4,0)</f>
        <v>#N/A</v>
      </c>
      <c r="F651" t="e">
        <f>VLOOKUP($C651,ТабАдрес[[#All],[Клиент]:[gps]],MATCH(F$1,ТабКлиенты[#Headers],0)-4,0)</f>
        <v>#N/A</v>
      </c>
      <c r="G651" s="183">
        <v>0.4236111111111111</v>
      </c>
      <c r="H651" s="181">
        <v>0</v>
      </c>
      <c r="I651" s="52">
        <v>545</v>
      </c>
      <c r="J651" s="52">
        <v>1</v>
      </c>
      <c r="K651" t="e">
        <f t="shared" si="12"/>
        <v>#N/A</v>
      </c>
    </row>
    <row r="652" spans="1:11" hidden="1" x14ac:dyDescent="0.25">
      <c r="A652">
        <v>5</v>
      </c>
      <c r="B652" s="179">
        <v>45752</v>
      </c>
      <c r="C652" t="s">
        <v>3128</v>
      </c>
      <c r="D652" t="e">
        <f>VLOOKUP($C652,ТабКлиенты[[#All],[name]:[phone]],MATCH(D$1,ТабКлиенты[#Headers],0)-1,0)</f>
        <v>#N/A</v>
      </c>
      <c r="E652" t="e">
        <f>VLOOKUP($C652,ТабАдрес[[#All],[Клиент]:[gps]],MATCH(E$1,ТабКлиенты[#Headers],0)-4,0)</f>
        <v>#N/A</v>
      </c>
      <c r="F652" t="e">
        <f>VLOOKUP($C652,ТабАдрес[[#All],[Клиент]:[gps]],MATCH(F$1,ТабКлиенты[#Headers],0)-4,0)</f>
        <v>#N/A</v>
      </c>
      <c r="G652" s="183">
        <v>0.43055555555555558</v>
      </c>
      <c r="H652" s="181">
        <v>0</v>
      </c>
      <c r="I652" s="52">
        <v>544</v>
      </c>
      <c r="J652" s="52">
        <v>1</v>
      </c>
      <c r="K652" t="e">
        <f t="shared" si="12"/>
        <v>#N/A</v>
      </c>
    </row>
    <row r="653" spans="1:11" hidden="1" x14ac:dyDescent="0.25">
      <c r="A653">
        <v>6</v>
      </c>
      <c r="B653" s="179">
        <v>45752</v>
      </c>
      <c r="C653" t="s">
        <v>3503</v>
      </c>
      <c r="D653" t="e">
        <f>VLOOKUP($C653,ТабКлиенты[[#All],[name]:[phone]],MATCH(D$1,ТабКлиенты[#Headers],0)-1,0)</f>
        <v>#N/A</v>
      </c>
      <c r="E653" t="e">
        <f>VLOOKUP($C653,ТабАдрес[[#All],[Клиент]:[gps]],MATCH(E$1,ТабКлиенты[#Headers],0)-4,0)</f>
        <v>#N/A</v>
      </c>
      <c r="F653" t="e">
        <f>VLOOKUP($C653,ТабАдрес[[#All],[Клиент]:[gps]],MATCH(F$1,ТабКлиенты[#Headers],0)-4,0)</f>
        <v>#N/A</v>
      </c>
      <c r="G653" s="183">
        <v>0.43402777777777779</v>
      </c>
      <c r="H653" s="181">
        <v>200</v>
      </c>
      <c r="I653" s="52">
        <v>560</v>
      </c>
      <c r="J653" s="52">
        <v>1</v>
      </c>
      <c r="K653" t="e">
        <f t="shared" si="12"/>
        <v>#N/A</v>
      </c>
    </row>
    <row r="654" spans="1:11" hidden="1" x14ac:dyDescent="0.25">
      <c r="A654">
        <v>7</v>
      </c>
      <c r="B654" s="179">
        <v>45752</v>
      </c>
      <c r="C654" t="s">
        <v>3486</v>
      </c>
      <c r="D654" t="e">
        <f>VLOOKUP($C654,ТабКлиенты[[#All],[name]:[phone]],MATCH(D$1,ТабКлиенты[#Headers],0)-1,0)</f>
        <v>#N/A</v>
      </c>
      <c r="E654" t="e">
        <f>VLOOKUP($C654,ТабАдрес[[#All],[Клиент]:[gps]],MATCH(E$1,ТабКлиенты[#Headers],0)-4,0)</f>
        <v>#N/A</v>
      </c>
      <c r="F654" t="e">
        <f>VLOOKUP($C654,ТабАдрес[[#All],[Клиент]:[gps]],MATCH(F$1,ТабКлиенты[#Headers],0)-4,0)</f>
        <v>#N/A</v>
      </c>
      <c r="G654" s="183">
        <v>0.44444444444444442</v>
      </c>
      <c r="H654" s="181">
        <v>4044</v>
      </c>
      <c r="I654" s="52">
        <v>547</v>
      </c>
      <c r="J654" s="52">
        <v>1</v>
      </c>
      <c r="K654" t="e">
        <f t="shared" si="12"/>
        <v>#N/A</v>
      </c>
    </row>
    <row r="655" spans="1:11" hidden="1" x14ac:dyDescent="0.25">
      <c r="A655">
        <v>8</v>
      </c>
      <c r="B655" s="179">
        <v>45752</v>
      </c>
      <c r="C655" t="s">
        <v>3348</v>
      </c>
      <c r="D655" t="e">
        <f>VLOOKUP($C655,ТабКлиенты[[#All],[name]:[phone]],MATCH(D$1,ТабКлиенты[#Headers],0)-1,0)</f>
        <v>#N/A</v>
      </c>
      <c r="E655" t="e">
        <f>VLOOKUP($C655,ТабАдрес[[#All],[Клиент]:[gps]],MATCH(E$1,ТабКлиенты[#Headers],0)-4,0)</f>
        <v>#N/A</v>
      </c>
      <c r="F655" t="e">
        <f>VLOOKUP($C655,ТабАдрес[[#All],[Клиент]:[gps]],MATCH(F$1,ТабКлиенты[#Headers],0)-4,0)</f>
        <v>#N/A</v>
      </c>
      <c r="G655" s="183">
        <v>0.47916666666666669</v>
      </c>
      <c r="H655" s="181">
        <v>200</v>
      </c>
      <c r="I655" s="52">
        <v>559</v>
      </c>
      <c r="J655" s="52">
        <v>1</v>
      </c>
      <c r="K655" t="e">
        <f t="shared" si="12"/>
        <v>#N/A</v>
      </c>
    </row>
    <row r="656" spans="1:11" hidden="1" x14ac:dyDescent="0.25">
      <c r="A656">
        <v>1</v>
      </c>
      <c r="B656" s="179">
        <v>45759</v>
      </c>
      <c r="C656" t="s">
        <v>3137</v>
      </c>
      <c r="D656" t="e">
        <f>VLOOKUP($C656,ТабКлиенты[[#All],[name]:[phone]],MATCH(D$1,ТабКлиенты[#Headers],0)-1,0)</f>
        <v>#N/A</v>
      </c>
      <c r="E656" t="e">
        <f>VLOOKUP($C656,ТабАдрес[[#All],[Клиент]:[gps]],MATCH(E$1,ТабКлиенты[#Headers],0)-4,0)</f>
        <v>#N/A</v>
      </c>
      <c r="F656" t="e">
        <f>VLOOKUP($C656,ТабАдрес[[#All],[Клиент]:[gps]],MATCH(F$1,ТабКлиенты[#Headers],0)-4,0)</f>
        <v>#N/A</v>
      </c>
      <c r="G656" s="183">
        <v>0.39583333333333331</v>
      </c>
      <c r="H656" s="181">
        <v>327</v>
      </c>
      <c r="I656" s="52">
        <v>564</v>
      </c>
      <c r="J656" s="52">
        <v>2</v>
      </c>
      <c r="K656" t="e">
        <f t="shared" si="12"/>
        <v>#N/A</v>
      </c>
    </row>
    <row r="657" spans="1:11" hidden="1" x14ac:dyDescent="0.25">
      <c r="A657">
        <v>2</v>
      </c>
      <c r="B657" s="179">
        <v>45759</v>
      </c>
      <c r="C657" t="s">
        <v>3210</v>
      </c>
      <c r="D657" t="e">
        <f>VLOOKUP($C657,ТабКлиенты[[#All],[name]:[phone]],MATCH(D$1,ТабКлиенты[#Headers],0)-1,0)</f>
        <v>#N/A</v>
      </c>
      <c r="E657" t="e">
        <f>VLOOKUP($C657,ТабАдрес[[#All],[Клиент]:[gps]],MATCH(E$1,ТабКлиенты[#Headers],0)-4,0)</f>
        <v>#N/A</v>
      </c>
      <c r="F657" t="e">
        <f>VLOOKUP($C657,ТабАдрес[[#All],[Клиент]:[gps]],MATCH(F$1,ТабКлиенты[#Headers],0)-4,0)</f>
        <v>#N/A</v>
      </c>
      <c r="G657" s="183">
        <v>0.40277777777777779</v>
      </c>
      <c r="H657" s="181">
        <v>0</v>
      </c>
      <c r="I657" s="52">
        <v>562</v>
      </c>
      <c r="J657" s="52">
        <v>1</v>
      </c>
      <c r="K657" t="e">
        <f t="shared" si="12"/>
        <v>#N/A</v>
      </c>
    </row>
    <row r="658" spans="1:11" hidden="1" x14ac:dyDescent="0.25">
      <c r="A658">
        <v>3</v>
      </c>
      <c r="B658" s="179">
        <v>45759</v>
      </c>
      <c r="C658" t="s">
        <v>3360</v>
      </c>
      <c r="D658" t="e">
        <f>VLOOKUP($C658,ТабКлиенты[[#All],[name]:[phone]],MATCH(D$1,ТабКлиенты[#Headers],0)-1,0)</f>
        <v>#N/A</v>
      </c>
      <c r="E658" t="e">
        <f>VLOOKUP($C658,ТабАдрес[[#All],[Клиент]:[gps]],MATCH(E$1,ТабКлиенты[#Headers],0)-4,0)</f>
        <v>#N/A</v>
      </c>
      <c r="F658" t="e">
        <f>VLOOKUP($C658,ТабАдрес[[#All],[Клиент]:[gps]],MATCH(F$1,ТабКлиенты[#Headers],0)-4,0)</f>
        <v>#N/A</v>
      </c>
      <c r="G658" s="183">
        <v>0.40625</v>
      </c>
      <c r="H658" s="181">
        <v>0</v>
      </c>
      <c r="I658" s="52">
        <v>563</v>
      </c>
      <c r="J658" s="52">
        <v>1</v>
      </c>
      <c r="K658" t="e">
        <f t="shared" si="12"/>
        <v>#N/A</v>
      </c>
    </row>
    <row r="659" spans="1:11" hidden="1" x14ac:dyDescent="0.25">
      <c r="A659">
        <v>4</v>
      </c>
      <c r="B659" s="179">
        <v>45759</v>
      </c>
      <c r="C659" t="s">
        <v>3504</v>
      </c>
      <c r="D659" t="e">
        <f>VLOOKUP($C659,ТабКлиенты[[#All],[name]:[phone]],MATCH(D$1,ТабКлиенты[#Headers],0)-1,0)</f>
        <v>#N/A</v>
      </c>
      <c r="E659" t="e">
        <f>VLOOKUP($C659,ТабАдрес[[#All],[Клиент]:[gps]],MATCH(E$1,ТабКлиенты[#Headers],0)-4,0)</f>
        <v>#N/A</v>
      </c>
      <c r="F659" t="e">
        <f>VLOOKUP($C659,ТабАдрес[[#All],[Клиент]:[gps]],MATCH(F$1,ТабКлиенты[#Headers],0)-4,0)</f>
        <v>#N/A</v>
      </c>
      <c r="G659" s="183">
        <v>0.40972222222222221</v>
      </c>
      <c r="H659" s="181">
        <v>0</v>
      </c>
      <c r="I659" s="52">
        <v>566</v>
      </c>
      <c r="J659" s="52">
        <v>1</v>
      </c>
      <c r="K659" t="e">
        <f t="shared" si="12"/>
        <v>#N/A</v>
      </c>
    </row>
    <row r="660" spans="1:11" hidden="1" x14ac:dyDescent="0.25">
      <c r="A660">
        <v>5</v>
      </c>
      <c r="B660" s="179">
        <v>45759</v>
      </c>
      <c r="C660" t="s">
        <v>3425</v>
      </c>
      <c r="D660" t="e">
        <f>VLOOKUP($C660,ТабКлиенты[[#All],[name]:[phone]],MATCH(D$1,ТабКлиенты[#Headers],0)-1,0)</f>
        <v>#N/A</v>
      </c>
      <c r="E660" t="e">
        <f>VLOOKUP($C660,ТабАдрес[[#All],[Клиент]:[gps]],MATCH(E$1,ТабКлиенты[#Headers],0)-4,0)</f>
        <v>#N/A</v>
      </c>
      <c r="F660" t="e">
        <f>VLOOKUP($C660,ТабАдрес[[#All],[Клиент]:[gps]],MATCH(F$1,ТабКлиенты[#Headers],0)-4,0)</f>
        <v>#N/A</v>
      </c>
      <c r="G660" s="183">
        <v>0.41319444444444442</v>
      </c>
      <c r="H660" s="181">
        <v>0</v>
      </c>
      <c r="I660" s="52">
        <v>550</v>
      </c>
      <c r="J660" s="52">
        <v>1</v>
      </c>
      <c r="K660" t="e">
        <f t="shared" si="12"/>
        <v>#N/A</v>
      </c>
    </row>
    <row r="661" spans="1:11" hidden="1" x14ac:dyDescent="0.25">
      <c r="A661">
        <v>6</v>
      </c>
      <c r="B661" s="179">
        <v>45759</v>
      </c>
      <c r="C661" t="s">
        <v>3461</v>
      </c>
      <c r="D661" t="e">
        <f>VLOOKUP($C661,ТабКлиенты[[#All],[name]:[phone]],MATCH(D$1,ТабКлиенты[#Headers],0)-1,0)</f>
        <v>#N/A</v>
      </c>
      <c r="E661" t="e">
        <f>VLOOKUP($C661,ТабАдрес[[#All],[Клиент]:[gps]],MATCH(E$1,ТабКлиенты[#Headers],0)-4,0)</f>
        <v>#N/A</v>
      </c>
      <c r="F661" t="e">
        <f>VLOOKUP($C661,ТабАдрес[[#All],[Клиент]:[gps]],MATCH(F$1,ТабКлиенты[#Headers],0)-4,0)</f>
        <v>#N/A</v>
      </c>
      <c r="G661" s="183">
        <v>0.41666666666666669</v>
      </c>
      <c r="H661" s="181">
        <v>0</v>
      </c>
      <c r="I661" s="52">
        <v>561</v>
      </c>
      <c r="J661" s="52">
        <v>1</v>
      </c>
      <c r="K661" t="e">
        <f t="shared" ref="K661:K724" si="13">A661&amp;". "&amp;TEXT(G661,"ЧЧ:ММ")&amp;" "&amp;C661&amp;CHAR(10)&amp;"Тел.: "&amp;D661&amp;CHAR(10)&amp;"Адрес: "&amp;E661&amp;CHAR(10)&amp;"№ заказа: "&amp;I661&amp;CHAR(10)&amp;"Кол-во мест: "&amp;J661&amp;CHAR(10)&amp;"https://yandex.ru/maps/?text="&amp;REPLACE(F661,SEARCH(",",F661),2,"%2C")&amp;CHAR(10)&amp;"https://maps.google.com/?daddr="&amp;REPLACE(F661,SEARCH(",",F661),2,"%2C")&amp;CHAR(10)&amp;"К оплате: "&amp;"**"&amp;H661&amp;CHAR(10)&amp;"**"&amp;"--------------------------------"</f>
        <v>#N/A</v>
      </c>
    </row>
    <row r="662" spans="1:11" hidden="1" x14ac:dyDescent="0.25">
      <c r="A662">
        <v>7</v>
      </c>
      <c r="B662" s="179">
        <v>45759</v>
      </c>
      <c r="C662" t="s">
        <v>3256</v>
      </c>
      <c r="D662" t="str">
        <f>VLOOKUP($C662,ТабКлиенты[[#All],[name]:[phone]],MATCH(D$1,ТабКлиенты[#Headers],0)-1,0)</f>
        <v>+79497213168</v>
      </c>
      <c r="E662" t="str">
        <f>VLOOKUP($C662,ТабАдрес[[#All],[Клиент]:[gps]],MATCH(E$1,ТабКлиенты[#Headers],0)-4,0)</f>
        <v>Шопена 92</v>
      </c>
      <c r="F662" t="str">
        <f>VLOOKUP($C662,ТабАдрес[[#All],[Клиент]:[gps]],MATCH(F$1,ТабКлиенты[#Headers],0)-4,0)</f>
        <v>47.1582, 37.6032</v>
      </c>
      <c r="G662" s="183">
        <v>0.43055555555555558</v>
      </c>
      <c r="H662" s="181">
        <v>3700</v>
      </c>
      <c r="I662" s="52" t="s">
        <v>5</v>
      </c>
      <c r="J662" s="52">
        <v>1</v>
      </c>
      <c r="K662" t="str">
        <f t="shared" si="13"/>
        <v>7. 10:20 Светлана Федоровна
Тел.: +79497213168
Адрес: Шопена 92
№ заказа: Витамины
Кол-во мест: 1
https://yandex.ru/maps/?text=47.1582%2C37.6032
https://maps.google.com/?daddr=47.1582%2C37.6032
К оплате: **3700
**--------------------------------</v>
      </c>
    </row>
    <row r="663" spans="1:11" hidden="1" x14ac:dyDescent="0.25">
      <c r="A663">
        <v>8</v>
      </c>
      <c r="B663" s="179">
        <v>45759</v>
      </c>
      <c r="C663" t="s">
        <v>3125</v>
      </c>
      <c r="D663" t="e">
        <f>VLOOKUP($C663,ТабКлиенты[[#All],[name]:[phone]],MATCH(D$1,ТабКлиенты[#Headers],0)-1,0)</f>
        <v>#N/A</v>
      </c>
      <c r="E663" t="e">
        <f>VLOOKUP($C663,ТабАдрес[[#All],[Клиент]:[gps]],MATCH(E$1,ТабКлиенты[#Headers],0)-4,0)</f>
        <v>#N/A</v>
      </c>
      <c r="F663" t="e">
        <f>VLOOKUP($C663,ТабАдрес[[#All],[Клиент]:[gps]],MATCH(F$1,ТабКлиенты[#Headers],0)-4,0)</f>
        <v>#N/A</v>
      </c>
      <c r="G663" s="183">
        <v>0.44791666666666669</v>
      </c>
      <c r="H663" s="181">
        <v>0</v>
      </c>
      <c r="I663" s="52">
        <v>548</v>
      </c>
      <c r="J663" s="52">
        <v>1</v>
      </c>
      <c r="K663" t="e">
        <f t="shared" si="13"/>
        <v>#N/A</v>
      </c>
    </row>
    <row r="664" spans="1:11" hidden="1" x14ac:dyDescent="0.25">
      <c r="A664">
        <v>9</v>
      </c>
      <c r="B664" s="179">
        <v>45759</v>
      </c>
      <c r="C664" t="s">
        <v>3281</v>
      </c>
      <c r="D664" t="e">
        <f>VLOOKUP($C664,ТабКлиенты[[#All],[name]:[phone]],MATCH(D$1,ТабКлиенты[#Headers],0)-1,0)</f>
        <v>#N/A</v>
      </c>
      <c r="E664" t="e">
        <f>VLOOKUP($C664,ТабАдрес[[#All],[Клиент]:[gps]],MATCH(E$1,ТабКлиенты[#Headers],0)-4,0)</f>
        <v>#N/A</v>
      </c>
      <c r="F664" t="e">
        <f>VLOOKUP($C664,ТабАдрес[[#All],[Клиент]:[gps]],MATCH(F$1,ТабКлиенты[#Headers],0)-4,0)</f>
        <v>#N/A</v>
      </c>
      <c r="G664" s="183">
        <v>0.45833333333333331</v>
      </c>
      <c r="H664" s="181">
        <v>0</v>
      </c>
      <c r="I664" s="52">
        <v>568</v>
      </c>
      <c r="J664" s="52">
        <v>1</v>
      </c>
      <c r="K664" t="e">
        <f t="shared" si="13"/>
        <v>#N/A</v>
      </c>
    </row>
    <row r="665" spans="1:11" hidden="1" x14ac:dyDescent="0.25">
      <c r="A665">
        <v>10</v>
      </c>
      <c r="B665" s="179">
        <v>45759</v>
      </c>
      <c r="C665" t="s">
        <v>3263</v>
      </c>
      <c r="D665" t="e">
        <f>VLOOKUP($C665,ТабКлиенты[[#All],[name]:[phone]],MATCH(D$1,ТабКлиенты[#Headers],0)-1,0)</f>
        <v>#N/A</v>
      </c>
      <c r="E665" t="e">
        <f>VLOOKUP($C665,ТабАдрес[[#All],[Клиент]:[gps]],MATCH(E$1,ТабКлиенты[#Headers],0)-4,0)</f>
        <v>#N/A</v>
      </c>
      <c r="F665" t="e">
        <f>VLOOKUP($C665,ТабАдрес[[#All],[Клиент]:[gps]],MATCH(F$1,ТабКлиенты[#Headers],0)-4,0)</f>
        <v>#N/A</v>
      </c>
      <c r="G665" s="183">
        <v>0.46527777777777779</v>
      </c>
      <c r="H665" s="181">
        <v>200</v>
      </c>
      <c r="I665" s="52">
        <v>569</v>
      </c>
      <c r="J665" s="52">
        <v>1</v>
      </c>
      <c r="K665" t="e">
        <f t="shared" si="13"/>
        <v>#N/A</v>
      </c>
    </row>
    <row r="666" spans="1:11" hidden="1" x14ac:dyDescent="0.25">
      <c r="A666">
        <v>1</v>
      </c>
      <c r="B666" s="179">
        <v>45764</v>
      </c>
      <c r="C666" t="s">
        <v>3466</v>
      </c>
      <c r="D666" t="str">
        <f>VLOOKUP($C666,ТабКлиенты[[#All],[name]:[phone]],MATCH(D$1,ТабКлиенты[#Headers],0)-1,0)</f>
        <v>+79497135589</v>
      </c>
      <c r="E666" t="str">
        <f>VLOOKUP($C666,ТабАдрес[[#All],[Клиент]:[gps]],MATCH(E$1,ТабКлиенты[#Headers],0)-4,0)</f>
        <v>Бахмутская 20</v>
      </c>
      <c r="F666" t="str">
        <f>VLOOKUP($C666,ТабАдрес[[#All],[Клиент]:[gps]],MATCH(F$1,ТабКлиенты[#Headers],0)-4,0)</f>
        <v>47.1164, 37.5459</v>
      </c>
      <c r="G666" s="183"/>
      <c r="H666" s="181">
        <v>13750</v>
      </c>
      <c r="K666" t="str">
        <f t="shared" si="13"/>
        <v>1. 00:00 Оксана молокозавод
Тел.: +79497135589
Адрес: Бахмутская 20
№ заказа: 
Кол-во мест: 
https://yandex.ru/maps/?text=47.1164%2C37.5459
https://maps.google.com/?daddr=47.1164%2C37.5459
К оплате: **13750
**--------------------------------</v>
      </c>
    </row>
    <row r="667" spans="1:11" hidden="1" x14ac:dyDescent="0.25">
      <c r="A667">
        <v>2</v>
      </c>
      <c r="B667" s="179">
        <v>45764</v>
      </c>
      <c r="C667" t="s">
        <v>3313</v>
      </c>
      <c r="D667" t="str">
        <f>VLOOKUP($C667,ТабКлиенты[[#All],[name]:[phone]],MATCH(D$1,ТабКлиенты[#Headers],0)-1,0)</f>
        <v>+79497095528</v>
      </c>
      <c r="E667" t="str">
        <f>VLOOKUP($C667,ТабАдрес[[#All],[Клиент]:[gps]],MATCH(E$1,ТабКлиенты[#Headers],0)-4,0)</f>
        <v>9 Авиадивизии 28</v>
      </c>
      <c r="F667" t="str">
        <f>VLOOKUP($C667,ТабАдрес[[#All],[Клиент]:[gps]],MATCH(F$1,ТабКлиенты[#Headers],0)-4,0)</f>
        <v>47.1235, 37.5191</v>
      </c>
      <c r="G667" s="183"/>
      <c r="H667" s="181">
        <v>2900</v>
      </c>
      <c r="K667" t="str">
        <f t="shared" si="13"/>
        <v>2. 00:00 Людмила Кордицепс
Тел.: +79497095528
Адрес: 9 Авиадивизии 28
№ заказа: 
Кол-во мест: 
https://yandex.ru/maps/?text=47.1235%2C37.5191
https://maps.google.com/?daddr=47.1235%2C37.5191
К оплате: **2900
**--------------------------------</v>
      </c>
    </row>
    <row r="668" spans="1:11" hidden="1" x14ac:dyDescent="0.25">
      <c r="A668">
        <v>3</v>
      </c>
      <c r="B668" s="179">
        <v>45764</v>
      </c>
      <c r="C668" t="s">
        <v>4337</v>
      </c>
      <c r="D668" t="e">
        <f>VLOOKUP($C668,ТабКлиенты[[#All],[name]:[phone]],MATCH(D$1,ТабКлиенты[#Headers],0)-1,0)</f>
        <v>#N/A</v>
      </c>
      <c r="E668" t="e">
        <f>VLOOKUP($C668,ТабАдрес[[#All],[Клиент]:[gps]],MATCH(E$1,ТабКлиенты[#Headers],0)-4,0)</f>
        <v>#N/A</v>
      </c>
      <c r="F668" t="e">
        <f>VLOOKUP($C668,ТабАдрес[[#All],[Клиент]:[gps]],MATCH(F$1,ТабКлиенты[#Headers],0)-4,0)</f>
        <v>#N/A</v>
      </c>
      <c r="G668" s="183"/>
      <c r="H668" s="181">
        <v>0</v>
      </c>
      <c r="K668" t="e">
        <f t="shared" si="13"/>
        <v>#N/A</v>
      </c>
    </row>
    <row r="669" spans="1:11" hidden="1" x14ac:dyDescent="0.25">
      <c r="A669">
        <v>4</v>
      </c>
      <c r="B669" s="179">
        <v>45764</v>
      </c>
      <c r="C669" t="s">
        <v>4327</v>
      </c>
      <c r="D669" t="e">
        <f>VLOOKUP($C669,ТабКлиенты[[#All],[name]:[phone]],MATCH(D$1,ТабКлиенты[#Headers],0)-1,0)</f>
        <v>#N/A</v>
      </c>
      <c r="E669" t="e">
        <f>VLOOKUP($C669,ТабАдрес[[#All],[Клиент]:[gps]],MATCH(E$1,ТабКлиенты[#Headers],0)-4,0)</f>
        <v>#N/A</v>
      </c>
      <c r="F669" t="e">
        <f>VLOOKUP($C669,ТабАдрес[[#All],[Клиент]:[gps]],MATCH(F$1,ТабКлиенты[#Headers],0)-4,0)</f>
        <v>#N/A</v>
      </c>
      <c r="G669" s="183"/>
      <c r="H669" s="181">
        <v>2900</v>
      </c>
      <c r="K669" t="e">
        <f t="shared" si="13"/>
        <v>#N/A</v>
      </c>
    </row>
    <row r="670" spans="1:11" hidden="1" x14ac:dyDescent="0.25">
      <c r="A670">
        <v>5</v>
      </c>
      <c r="B670" s="179">
        <v>45764</v>
      </c>
      <c r="C670" t="s">
        <v>3475</v>
      </c>
      <c r="D670" t="str">
        <f>VLOOKUP($C670,ТабКлиенты[[#All],[name]:[phone]],MATCH(D$1,ТабКлиенты[#Headers],0)-1,0)</f>
        <v>+79497078921</v>
      </c>
      <c r="E670" t="str">
        <f>VLOOKUP($C670,ТабАдрес[[#All],[Клиент]:[gps]],MATCH(E$1,ТабКлиенты[#Headers],0)-4,0)</f>
        <v>Черноморская 17</v>
      </c>
      <c r="F670" t="str">
        <f>VLOOKUP($C670,ТабАдрес[[#All],[Клиент]:[gps]],MATCH(F$1,ТабКлиенты[#Headers],0)-4,0)</f>
        <v>47.0767, 37.5101</v>
      </c>
      <c r="G670" s="183"/>
      <c r="H670" s="181">
        <v>12400</v>
      </c>
      <c r="K670" t="str">
        <f t="shared" si="13"/>
        <v>5. 00:00 Оксана Черноморская
Тел.: +79497078921
Адрес: Черноморская 17
№ заказа: 
Кол-во мест: 
https://yandex.ru/maps/?text=47.0767%2C37.5101
https://maps.google.com/?daddr=47.0767%2C37.5101
К оплате: **12400
**--------------------------------</v>
      </c>
    </row>
    <row r="671" spans="1:11" hidden="1" x14ac:dyDescent="0.25">
      <c r="A671">
        <v>6</v>
      </c>
      <c r="B671" s="179">
        <v>45764</v>
      </c>
      <c r="C671" t="s">
        <v>3505</v>
      </c>
      <c r="D671" t="str">
        <f>VLOOKUP($C671,ТабКлиенты[[#All],[name]:[phone]],MATCH(D$1,ТабКлиенты[#Headers],0)-1,0)</f>
        <v>+79495524078</v>
      </c>
      <c r="E671" t="str">
        <f>VLOOKUP($C671,ТабАдрес[[#All],[Клиент]:[gps]],MATCH(E$1,ТабКлиенты[#Headers],0)-4,0)</f>
        <v>Ленина 87</v>
      </c>
      <c r="F671" t="str">
        <f>VLOOKUP($C671,ТабАдрес[[#All],[Клиент]:[gps]],MATCH(F$1,ТабКлиенты[#Headers],0)-4,0)</f>
        <v>47.0980, 37.5374</v>
      </c>
      <c r="G671" s="183"/>
      <c r="H671" s="181">
        <v>2800</v>
      </c>
      <c r="K671" t="str">
        <f t="shared" si="13"/>
        <v>6. 00:00 Елена Ленина 87
Тел.: +79495524078
Адрес: Ленина 87
№ заказа: 
Кол-во мест: 
https://yandex.ru/maps/?text=47.0980%2C37.5374
https://maps.google.com/?daddr=47.0980%2C37.5374
К оплате: **2800
**--------------------------------</v>
      </c>
    </row>
    <row r="672" spans="1:11" hidden="1" x14ac:dyDescent="0.25">
      <c r="A672">
        <v>1</v>
      </c>
      <c r="B672" s="179">
        <v>45766</v>
      </c>
      <c r="C672" t="s">
        <v>3137</v>
      </c>
      <c r="D672" t="e">
        <f>VLOOKUP($C672,ТабКлиенты[[#All],[name]:[phone]],MATCH(D$1,ТабКлиенты[#Headers],0)-1,0)</f>
        <v>#N/A</v>
      </c>
      <c r="E672" t="e">
        <f>VLOOKUP($C672,ТабАдрес[[#All],[Клиент]:[gps]],MATCH(E$1,ТабКлиенты[#Headers],0)-4,0)</f>
        <v>#N/A</v>
      </c>
      <c r="F672" t="e">
        <f>VLOOKUP($C672,ТабАдрес[[#All],[Клиент]:[gps]],MATCH(F$1,ТабКлиенты[#Headers],0)-4,0)</f>
        <v>#N/A</v>
      </c>
      <c r="G672" s="183">
        <v>0.39583333333333331</v>
      </c>
      <c r="H672" s="181">
        <v>0</v>
      </c>
      <c r="I672" s="52">
        <v>571</v>
      </c>
      <c r="J672" s="52">
        <v>1</v>
      </c>
      <c r="K672" t="e">
        <f t="shared" si="13"/>
        <v>#N/A</v>
      </c>
    </row>
    <row r="673" spans="1:11" hidden="1" x14ac:dyDescent="0.25">
      <c r="A673">
        <v>2</v>
      </c>
      <c r="B673" s="179">
        <v>45766</v>
      </c>
      <c r="C673" t="s">
        <v>3172</v>
      </c>
      <c r="D673" t="str">
        <f>VLOOKUP($C673,ТабКлиенты[[#All],[name]:[phone]],MATCH(D$1,ТабКлиенты[#Headers],0)-1,0)</f>
        <v>+79497277100</v>
      </c>
      <c r="E673" t="str">
        <f>VLOOKUP($C673,ТабАдрес[[#All],[Клиент]:[gps]],MATCH(E$1,ТабКлиенты[#Headers],0)-4,0)</f>
        <v>Артема 132</v>
      </c>
      <c r="F673" t="str">
        <f>VLOOKUP($C673,ТабАдрес[[#All],[Клиент]:[gps]],MATCH(F$1,ТабКлиенты[#Headers],0)-4,0)</f>
        <v>47.1085, 37.5599</v>
      </c>
      <c r="G673" s="183">
        <v>0.40277777777777779</v>
      </c>
      <c r="H673" s="181">
        <v>7000</v>
      </c>
      <c r="I673" s="52" t="s">
        <v>5</v>
      </c>
      <c r="J673" s="52">
        <v>1</v>
      </c>
      <c r="K673" t="str">
        <f t="shared" si="13"/>
        <v>2. 09:40 Александр Радин
Тел.: +79497277100
Адрес: Артема 132
№ заказа: Витамины
Кол-во мест: 1
https://yandex.ru/maps/?text=47.1085%2C37.5599
https://maps.google.com/?daddr=47.1085%2C37.5599
К оплате: **7000
**--------------------------------</v>
      </c>
    </row>
    <row r="674" spans="1:11" hidden="1" x14ac:dyDescent="0.25">
      <c r="A674">
        <v>3</v>
      </c>
      <c r="B674" s="179">
        <v>45766</v>
      </c>
      <c r="C674" t="s">
        <v>3210</v>
      </c>
      <c r="D674" t="e">
        <f>VLOOKUP($C674,ТабКлиенты[[#All],[name]:[phone]],MATCH(D$1,ТабКлиенты[#Headers],0)-1,0)</f>
        <v>#N/A</v>
      </c>
      <c r="E674" t="e">
        <f>VLOOKUP($C674,ТабАдрес[[#All],[Клиент]:[gps]],MATCH(E$1,ТабКлиенты[#Headers],0)-4,0)</f>
        <v>#N/A</v>
      </c>
      <c r="F674" t="e">
        <f>VLOOKUP($C674,ТабАдрес[[#All],[Клиент]:[gps]],MATCH(F$1,ТабКлиенты[#Headers],0)-4,0)</f>
        <v>#N/A</v>
      </c>
      <c r="G674" s="183">
        <v>0.40972222222222221</v>
      </c>
      <c r="H674" s="181">
        <v>0</v>
      </c>
      <c r="I674" s="52">
        <v>562</v>
      </c>
      <c r="J674" s="52">
        <v>1</v>
      </c>
      <c r="K674" t="e">
        <f t="shared" si="13"/>
        <v>#N/A</v>
      </c>
    </row>
    <row r="675" spans="1:11" hidden="1" x14ac:dyDescent="0.25">
      <c r="A675">
        <v>4</v>
      </c>
      <c r="B675" s="179">
        <v>45766</v>
      </c>
      <c r="C675" t="s">
        <v>3360</v>
      </c>
      <c r="D675" t="e">
        <f>VLOOKUP($C675,ТабКлиенты[[#All],[name]:[phone]],MATCH(D$1,ТабКлиенты[#Headers],0)-1,0)</f>
        <v>#N/A</v>
      </c>
      <c r="E675" t="e">
        <f>VLOOKUP($C675,ТабАдрес[[#All],[Клиент]:[gps]],MATCH(E$1,ТабКлиенты[#Headers],0)-4,0)</f>
        <v>#N/A</v>
      </c>
      <c r="F675" t="e">
        <f>VLOOKUP($C675,ТабАдрес[[#All],[Клиент]:[gps]],MATCH(F$1,ТабКлиенты[#Headers],0)-4,0)</f>
        <v>#N/A</v>
      </c>
      <c r="G675" s="183">
        <v>0.41319444444444442</v>
      </c>
      <c r="H675" s="181">
        <v>0</v>
      </c>
      <c r="I675" s="52">
        <v>563</v>
      </c>
      <c r="J675" s="52">
        <v>1</v>
      </c>
      <c r="K675" t="e">
        <f t="shared" si="13"/>
        <v>#N/A</v>
      </c>
    </row>
    <row r="676" spans="1:11" hidden="1" x14ac:dyDescent="0.25">
      <c r="A676">
        <v>5</v>
      </c>
      <c r="B676" s="179">
        <v>45766</v>
      </c>
      <c r="C676" t="s">
        <v>3260</v>
      </c>
      <c r="D676" t="e">
        <f>VLOOKUP($C676,ТабКлиенты[[#All],[name]:[phone]],MATCH(D$1,ТабКлиенты[#Headers],0)-1,0)</f>
        <v>#N/A</v>
      </c>
      <c r="E676" t="e">
        <f>VLOOKUP($C676,ТабАдрес[[#All],[Клиент]:[gps]],MATCH(E$1,ТабКлиенты[#Headers],0)-4,0)</f>
        <v>#N/A</v>
      </c>
      <c r="F676" t="e">
        <f>VLOOKUP($C676,ТабАдрес[[#All],[Клиент]:[gps]],MATCH(F$1,ТабКлиенты[#Headers],0)-4,0)</f>
        <v>#N/A</v>
      </c>
      <c r="G676" s="183">
        <v>0.41666666666666669</v>
      </c>
      <c r="H676" s="181">
        <v>0</v>
      </c>
      <c r="I676" s="52">
        <v>504</v>
      </c>
      <c r="J676" s="52">
        <v>1</v>
      </c>
      <c r="K676" t="e">
        <f t="shared" si="13"/>
        <v>#N/A</v>
      </c>
    </row>
    <row r="677" spans="1:11" hidden="1" x14ac:dyDescent="0.25">
      <c r="A677">
        <v>6</v>
      </c>
      <c r="B677" s="179">
        <v>45766</v>
      </c>
      <c r="C677" t="s">
        <v>3252</v>
      </c>
      <c r="D677" t="str">
        <f>VLOOKUP($C677,ТабКлиенты[[#All],[name]:[phone]],MATCH(D$1,ТабКлиенты[#Headers],0)-1,0)</f>
        <v>+79497115237</v>
      </c>
      <c r="E677" t="str">
        <f>VLOOKUP($C677,ТабАдрес[[#All],[Клиент]:[gps]],MATCH(E$1,ТабКлиенты[#Headers],0)-4,0)</f>
        <v>пер Станционный 8</v>
      </c>
      <c r="F677" t="str">
        <f>VLOOKUP($C677,ТабАдрес[[#All],[Клиент]:[gps]],MATCH(F$1,ТабКлиенты[#Headers],0)-4,0)</f>
        <v>47.1640, 37.5780</v>
      </c>
      <c r="G677" s="183">
        <v>0.4236111111111111</v>
      </c>
      <c r="H677" s="181">
        <v>2900</v>
      </c>
      <c r="I677" s="52" t="s">
        <v>5</v>
      </c>
      <c r="J677" s="52">
        <v>1</v>
      </c>
      <c r="K677" t="str">
        <f t="shared" si="13"/>
        <v>6. 10:10 Аня Мирный
Тел.: +79497115237
Адрес: пер Станционный 8
№ заказа: Витамины
Кол-во мест: 1
https://yandex.ru/maps/?text=47.1640%2C37.5780
https://maps.google.com/?daddr=47.1640%2C37.5780
К оплате: **2900
**--------------------------------</v>
      </c>
    </row>
    <row r="678" spans="1:11" hidden="1" x14ac:dyDescent="0.25">
      <c r="A678">
        <v>7</v>
      </c>
      <c r="B678" s="179">
        <v>45766</v>
      </c>
      <c r="C678" t="s">
        <v>3486</v>
      </c>
      <c r="D678" t="e">
        <f>VLOOKUP($C678,ТабКлиенты[[#All],[name]:[phone]],MATCH(D$1,ТабКлиенты[#Headers],0)-1,0)</f>
        <v>#N/A</v>
      </c>
      <c r="E678" t="e">
        <f>VLOOKUP($C678,ТабАдрес[[#All],[Клиент]:[gps]],MATCH(E$1,ТабКлиенты[#Headers],0)-4,0)</f>
        <v>#N/A</v>
      </c>
      <c r="F678" t="e">
        <f>VLOOKUP($C678,ТабАдрес[[#All],[Клиент]:[gps]],MATCH(F$1,ТабКлиенты[#Headers],0)-4,0)</f>
        <v>#N/A</v>
      </c>
      <c r="G678" s="183">
        <v>0.4375</v>
      </c>
      <c r="H678" s="181">
        <v>0</v>
      </c>
      <c r="I678" s="52">
        <v>570</v>
      </c>
      <c r="J678" s="52">
        <v>1</v>
      </c>
      <c r="K678" t="e">
        <f t="shared" si="13"/>
        <v>#N/A</v>
      </c>
    </row>
    <row r="679" spans="1:11" hidden="1" x14ac:dyDescent="0.25">
      <c r="A679">
        <v>8</v>
      </c>
      <c r="B679" s="179">
        <v>45766</v>
      </c>
      <c r="C679" t="s">
        <v>3334</v>
      </c>
      <c r="D679" t="e">
        <f>VLOOKUP($C679,ТабКлиенты[[#All],[name]:[phone]],MATCH(D$1,ТабКлиенты[#Headers],0)-1,0)</f>
        <v>#N/A</v>
      </c>
      <c r="E679" t="e">
        <f>VLOOKUP($C679,ТабАдрес[[#All],[Клиент]:[gps]],MATCH(E$1,ТабКлиенты[#Headers],0)-4,0)</f>
        <v>#N/A</v>
      </c>
      <c r="F679" t="e">
        <f>VLOOKUP($C679,ТабАдрес[[#All],[Клиент]:[gps]],MATCH(F$1,ТабКлиенты[#Headers],0)-4,0)</f>
        <v>#N/A</v>
      </c>
      <c r="G679" s="183">
        <v>0.47916666666666669</v>
      </c>
      <c r="H679" s="181">
        <v>0</v>
      </c>
      <c r="I679" s="52">
        <v>565</v>
      </c>
      <c r="J679" s="52">
        <v>1</v>
      </c>
      <c r="K679" t="e">
        <f t="shared" si="13"/>
        <v>#N/A</v>
      </c>
    </row>
    <row r="680" spans="1:11" hidden="1" x14ac:dyDescent="0.25">
      <c r="A680">
        <v>9</v>
      </c>
      <c r="B680" s="179">
        <v>45766</v>
      </c>
      <c r="C680" t="s">
        <v>3491</v>
      </c>
      <c r="D680" t="str">
        <f>VLOOKUP($C680,ТабКлиенты[[#All],[name]:[phone]],MATCH(D$1,ТабКлиенты[#Headers],0)-1,0)</f>
        <v>+79495600470</v>
      </c>
      <c r="E680" t="str">
        <f>VLOOKUP($C680,ТабАдрес[[#All],[Клиент]:[gps]],MATCH(E$1,ТабКлиенты[#Headers],0)-4,0)</f>
        <v>50 Лет СССР 16</v>
      </c>
      <c r="F680" t="str">
        <f>VLOOKUP($C680,ТабАдрес[[#All],[Клиент]:[gps]],MATCH(F$1,ТабКлиенты[#Headers],0)-4,0)</f>
        <v>47.1106, 37.5233</v>
      </c>
      <c r="G680" s="183">
        <v>0.48958333333333331</v>
      </c>
      <c r="H680" s="181">
        <v>1200</v>
      </c>
      <c r="I680" s="52" t="s">
        <v>5</v>
      </c>
      <c r="J680" s="52">
        <v>1</v>
      </c>
      <c r="K680" t="str">
        <f t="shared" si="13"/>
        <v>9. 11:45 Марина 50 Лет СССР 16
Тел.: +79495600470
Адрес: 50 Лет СССР 16
№ заказа: Витамины
Кол-во мест: 1
https://yandex.ru/maps/?text=47.1106%2C37.5233
https://maps.google.com/?daddr=47.1106%2C37.5233
К оплате: **1200
**--------------------------------</v>
      </c>
    </row>
    <row r="681" spans="1:11" hidden="1" x14ac:dyDescent="0.25">
      <c r="A681">
        <v>1</v>
      </c>
      <c r="B681" s="179">
        <v>45773</v>
      </c>
      <c r="C681" t="s">
        <v>3131</v>
      </c>
      <c r="D681" t="e">
        <f>VLOOKUP($C681,ТабКлиенты[[#All],[name]:[phone]],MATCH(D$1,ТабКлиенты[#Headers],0)-1,0)</f>
        <v>#N/A</v>
      </c>
      <c r="E681" t="e">
        <f>VLOOKUP($C681,ТабАдрес[[#All],[Клиент]:[gps]],MATCH(E$1,ТабКлиенты[#Headers],0)-4,0)</f>
        <v>#N/A</v>
      </c>
      <c r="F681" t="e">
        <f>VLOOKUP($C681,ТабАдрес[[#All],[Клиент]:[gps]],MATCH(F$1,ТабКлиенты[#Headers],0)-4,0)</f>
        <v>#N/A</v>
      </c>
      <c r="G681" s="183">
        <v>0.39583333333333337</v>
      </c>
      <c r="H681" s="181">
        <v>0</v>
      </c>
      <c r="I681" s="52">
        <v>578</v>
      </c>
      <c r="J681" s="52">
        <v>1</v>
      </c>
      <c r="K681" t="e">
        <f t="shared" si="13"/>
        <v>#N/A</v>
      </c>
    </row>
    <row r="682" spans="1:11" hidden="1" x14ac:dyDescent="0.25">
      <c r="A682">
        <v>2</v>
      </c>
      <c r="B682" s="179">
        <v>45773</v>
      </c>
      <c r="C682" t="s">
        <v>4328</v>
      </c>
      <c r="D682" t="e">
        <f>VLOOKUP($C682,ТабКлиенты[[#All],[name]:[phone]],MATCH(D$1,ТабКлиенты[#Headers],0)-1,0)</f>
        <v>#N/A</v>
      </c>
      <c r="E682" t="e">
        <f>VLOOKUP($C682,ТабАдрес[[#All],[Клиент]:[gps]],MATCH(E$1,ТабКлиенты[#Headers],0)-4,0)</f>
        <v>#N/A</v>
      </c>
      <c r="F682" t="e">
        <f>VLOOKUP($C682,ТабАдрес[[#All],[Клиент]:[gps]],MATCH(F$1,ТабКлиенты[#Headers],0)-4,0)</f>
        <v>#N/A</v>
      </c>
      <c r="G682" s="183">
        <v>0.40277777777777779</v>
      </c>
      <c r="H682" s="181">
        <v>2700</v>
      </c>
      <c r="I682" s="52" t="s">
        <v>5</v>
      </c>
      <c r="J682" s="52">
        <v>1</v>
      </c>
      <c r="K682" t="e">
        <f t="shared" si="13"/>
        <v>#N/A</v>
      </c>
    </row>
    <row r="683" spans="1:11" hidden="1" x14ac:dyDescent="0.25">
      <c r="A683">
        <v>3</v>
      </c>
      <c r="B683" s="179">
        <v>45773</v>
      </c>
      <c r="C683" t="s">
        <v>4329</v>
      </c>
      <c r="D683" t="e">
        <f>VLOOKUP($C683,ТабКлиенты[[#All],[name]:[phone]],MATCH(D$1,ТабКлиенты[#Headers],0)-1,0)</f>
        <v>#N/A</v>
      </c>
      <c r="E683" t="e">
        <f>VLOOKUP($C683,ТабАдрес[[#All],[Клиент]:[gps]],MATCH(E$1,ТабКлиенты[#Headers],0)-4,0)</f>
        <v>#N/A</v>
      </c>
      <c r="F683" t="e">
        <f>VLOOKUP($C683,ТабАдрес[[#All],[Клиент]:[gps]],MATCH(F$1,ТабКлиенты[#Headers],0)-4,0)</f>
        <v>#N/A</v>
      </c>
      <c r="G683" s="183">
        <v>0.41666666666666669</v>
      </c>
      <c r="H683" s="181">
        <v>350</v>
      </c>
      <c r="I683" s="52" t="s">
        <v>4330</v>
      </c>
      <c r="J683" s="52">
        <v>1</v>
      </c>
      <c r="K683" t="e">
        <f t="shared" si="13"/>
        <v>#N/A</v>
      </c>
    </row>
    <row r="684" spans="1:11" hidden="1" x14ac:dyDescent="0.25">
      <c r="A684">
        <v>4</v>
      </c>
      <c r="B684" s="179">
        <v>45773</v>
      </c>
      <c r="C684" t="s">
        <v>3128</v>
      </c>
      <c r="D684" t="e">
        <f>VLOOKUP($C684,ТабКлиенты[[#All],[name]:[phone]],MATCH(D$1,ТабКлиенты[#Headers],0)-1,0)</f>
        <v>#N/A</v>
      </c>
      <c r="E684" t="e">
        <f>VLOOKUP($C684,ТабАдрес[[#All],[Клиент]:[gps]],MATCH(E$1,ТабКлиенты[#Headers],0)-4,0)</f>
        <v>#N/A</v>
      </c>
      <c r="F684" t="e">
        <f>VLOOKUP($C684,ТабАдрес[[#All],[Клиент]:[gps]],MATCH(F$1,ТабКлиенты[#Headers],0)-4,0)</f>
        <v>#N/A</v>
      </c>
      <c r="G684" s="183">
        <v>0.4236111111111111</v>
      </c>
      <c r="H684" s="181">
        <v>0</v>
      </c>
      <c r="I684" s="52">
        <v>576</v>
      </c>
      <c r="J684" s="52">
        <v>1</v>
      </c>
      <c r="K684" t="e">
        <f t="shared" si="13"/>
        <v>#N/A</v>
      </c>
    </row>
    <row r="685" spans="1:11" hidden="1" x14ac:dyDescent="0.25">
      <c r="A685">
        <v>5</v>
      </c>
      <c r="B685" s="179">
        <v>45773</v>
      </c>
      <c r="C685" t="s">
        <v>4331</v>
      </c>
      <c r="D685" t="e">
        <f>VLOOKUP($C685,ТабКлиенты[[#All],[name]:[phone]],MATCH(D$1,ТабКлиенты[#Headers],0)-1,0)</f>
        <v>#N/A</v>
      </c>
      <c r="E685" t="e">
        <f>VLOOKUP($C685,ТабАдрес[[#All],[Клиент]:[gps]],MATCH(E$1,ТабКлиенты[#Headers],0)-4,0)</f>
        <v>#N/A</v>
      </c>
      <c r="F685" t="e">
        <f>VLOOKUP($C685,ТабАдрес[[#All],[Клиент]:[gps]],MATCH(F$1,ТабКлиенты[#Headers],0)-4,0)</f>
        <v>#N/A</v>
      </c>
      <c r="G685" s="183">
        <v>0.42708333333333337</v>
      </c>
      <c r="H685" s="181">
        <v>0</v>
      </c>
      <c r="I685" s="52" t="s">
        <v>5</v>
      </c>
      <c r="J685" s="52">
        <v>1</v>
      </c>
      <c r="K685" t="e">
        <f t="shared" si="13"/>
        <v>#N/A</v>
      </c>
    </row>
    <row r="686" spans="1:11" hidden="1" x14ac:dyDescent="0.25">
      <c r="A686">
        <v>6</v>
      </c>
      <c r="B686" s="179">
        <v>45773</v>
      </c>
      <c r="C686" t="s">
        <v>3235</v>
      </c>
      <c r="D686" t="str">
        <f>VLOOKUP($C686,ТабКлиенты[[#All],[name]:[phone]],MATCH(D$1,ТабКлиенты[#Headers],0)-1,0)</f>
        <v>+79497386112</v>
      </c>
      <c r="E686" t="str">
        <f>VLOOKUP($C686,ТабАдрес[[#All],[Клиент]:[gps]],MATCH(E$1,ТабКлиенты[#Headers],0)-4,0)</f>
        <v>Шевченко 325</v>
      </c>
      <c r="F686" t="str">
        <f>VLOOKUP($C686,ТабАдрес[[#All],[Клиент]:[gps]],MATCH(F$1,ТабКлиенты[#Headers],0)-4,0)</f>
        <v>47.1193, 37.5172</v>
      </c>
      <c r="G686" s="183">
        <v>0.43055555555555558</v>
      </c>
      <c r="H686" s="181">
        <v>2500</v>
      </c>
      <c r="I686" s="52" t="s">
        <v>5</v>
      </c>
      <c r="J686" s="52">
        <v>1</v>
      </c>
      <c r="K686" t="str">
        <f t="shared" si="13"/>
        <v>6. 10:20 Любовь Виталий
Тел.: +79497386112
Адрес: Шевченко 325
№ заказа: Витамины
Кол-во мест: 1
https://yandex.ru/maps/?text=47.1193%2C37.5172
https://maps.google.com/?daddr=47.1193%2C37.5172
К оплате: **2500
**--------------------------------</v>
      </c>
    </row>
    <row r="687" spans="1:11" hidden="1" x14ac:dyDescent="0.25">
      <c r="A687">
        <v>7</v>
      </c>
      <c r="B687" s="179">
        <v>45773</v>
      </c>
      <c r="C687" t="s">
        <v>3263</v>
      </c>
      <c r="D687" t="e">
        <f>VLOOKUP($C687,ТабКлиенты[[#All],[name]:[phone]],MATCH(D$1,ТабКлиенты[#Headers],0)-1,0)</f>
        <v>#N/A</v>
      </c>
      <c r="E687" t="e">
        <f>VLOOKUP($C687,ТабАдрес[[#All],[Клиент]:[gps]],MATCH(E$1,ТабКлиенты[#Headers],0)-4,0)</f>
        <v>#N/A</v>
      </c>
      <c r="F687" t="e">
        <f>VLOOKUP($C687,ТабАдрес[[#All],[Клиент]:[gps]],MATCH(F$1,ТабКлиенты[#Headers],0)-4,0)</f>
        <v>#N/A</v>
      </c>
      <c r="G687" s="183">
        <v>0.4513888888888889</v>
      </c>
      <c r="H687" s="181">
        <v>200</v>
      </c>
      <c r="I687" s="52">
        <v>581</v>
      </c>
      <c r="J687" s="52">
        <v>1</v>
      </c>
      <c r="K687" t="e">
        <f t="shared" si="13"/>
        <v>#N/A</v>
      </c>
    </row>
    <row r="688" spans="1:11" hidden="1" x14ac:dyDescent="0.25">
      <c r="A688">
        <v>8</v>
      </c>
      <c r="B688" s="179">
        <v>45773</v>
      </c>
      <c r="C688" t="s">
        <v>3475</v>
      </c>
      <c r="D688" t="str">
        <f>VLOOKUP($C688,ТабКлиенты[[#All],[name]:[phone]],MATCH(D$1,ТабКлиенты[#Headers],0)-1,0)</f>
        <v>+79497078921</v>
      </c>
      <c r="E688" t="str">
        <f>VLOOKUP($C688,ТабАдрес[[#All],[Клиент]:[gps]],MATCH(E$1,ТабКлиенты[#Headers],0)-4,0)</f>
        <v>Черноморская 17</v>
      </c>
      <c r="F688" t="str">
        <f>VLOOKUP($C688,ТабАдрес[[#All],[Клиент]:[gps]],MATCH(F$1,ТабКлиенты[#Headers],0)-4,0)</f>
        <v>47.0767, 37.5101</v>
      </c>
      <c r="G688" s="183">
        <v>0.45833333333333331</v>
      </c>
      <c r="H688" s="181">
        <v>9000</v>
      </c>
      <c r="I688" s="52" t="s">
        <v>5</v>
      </c>
      <c r="J688" s="52">
        <v>1</v>
      </c>
      <c r="K688" t="str">
        <f t="shared" si="13"/>
        <v>8. 11:00 Оксана Черноморская
Тел.: +79497078921
Адрес: Черноморская 17
№ заказа: Витамины
Кол-во мест: 1
https://yandex.ru/maps/?text=47.0767%2C37.5101
https://maps.google.com/?daddr=47.0767%2C37.5101
К оплате: **9000
**--------------------------------</v>
      </c>
    </row>
    <row r="689" spans="1:11" hidden="1" x14ac:dyDescent="0.25">
      <c r="A689">
        <v>9</v>
      </c>
      <c r="B689" s="179">
        <v>45773</v>
      </c>
      <c r="C689" t="s">
        <v>4332</v>
      </c>
      <c r="D689" t="e">
        <f>VLOOKUP($C689,ТабКлиенты[[#All],[name]:[phone]],MATCH(D$1,ТабКлиенты[#Headers],0)-1,0)</f>
        <v>#N/A</v>
      </c>
      <c r="E689" t="e">
        <f>VLOOKUP($C689,ТабАдрес[[#All],[Клиент]:[gps]],MATCH(E$1,ТабКлиенты[#Headers],0)-4,0)</f>
        <v>#N/A</v>
      </c>
      <c r="F689" t="e">
        <f>VLOOKUP($C689,ТабАдрес[[#All],[Клиент]:[gps]],MATCH(F$1,ТабКлиенты[#Headers],0)-4,0)</f>
        <v>#N/A</v>
      </c>
      <c r="G689" s="183">
        <v>0.46527777777777779</v>
      </c>
      <c r="H689" s="181">
        <v>1100</v>
      </c>
      <c r="I689" s="52" t="s">
        <v>5</v>
      </c>
      <c r="J689" s="52">
        <v>1</v>
      </c>
      <c r="K689" t="e">
        <f t="shared" si="13"/>
        <v>#N/A</v>
      </c>
    </row>
    <row r="690" spans="1:11" hidden="1" x14ac:dyDescent="0.25">
      <c r="A690">
        <v>1</v>
      </c>
      <c r="B690" s="179">
        <v>45781</v>
      </c>
      <c r="C690" t="s">
        <v>3360</v>
      </c>
      <c r="D690" t="e">
        <f>VLOOKUP($C690,ТабКлиенты[[#All],[name]:[phone]],MATCH(D$1,ТабКлиенты[#Headers],0)-1,0)</f>
        <v>#N/A</v>
      </c>
      <c r="E690" t="e">
        <f>VLOOKUP($C690,ТабАдрес[[#All],[Клиент]:[gps]],MATCH(E$1,ТабКлиенты[#Headers],0)-4,0)</f>
        <v>#N/A</v>
      </c>
      <c r="F690" t="e">
        <f>VLOOKUP($C690,ТабАдрес[[#All],[Клиент]:[gps]],MATCH(F$1,ТабКлиенты[#Headers],0)-4,0)</f>
        <v>#N/A</v>
      </c>
      <c r="G690" s="183">
        <v>0.41666666666666669</v>
      </c>
      <c r="H690" s="181">
        <v>0</v>
      </c>
      <c r="I690" s="52">
        <v>582</v>
      </c>
      <c r="J690" s="52">
        <v>1</v>
      </c>
      <c r="K690" t="e">
        <f t="shared" si="13"/>
        <v>#N/A</v>
      </c>
    </row>
    <row r="691" spans="1:11" hidden="1" x14ac:dyDescent="0.25">
      <c r="A691">
        <v>2</v>
      </c>
      <c r="B691" s="179">
        <v>45781</v>
      </c>
      <c r="C691" t="s">
        <v>3474</v>
      </c>
      <c r="D691" t="e">
        <f>VLOOKUP($C691,ТабКлиенты[[#All],[name]:[phone]],MATCH(D$1,ТабКлиенты[#Headers],0)-1,0)</f>
        <v>#N/A</v>
      </c>
      <c r="E691" t="e">
        <f>VLOOKUP($C691,ТабАдрес[[#All],[Клиент]:[gps]],MATCH(E$1,ТабКлиенты[#Headers],0)-4,0)</f>
        <v>#N/A</v>
      </c>
      <c r="F691" t="e">
        <f>VLOOKUP($C691,ТабАдрес[[#All],[Клиент]:[gps]],MATCH(F$1,ТабКлиенты[#Headers],0)-4,0)</f>
        <v>#N/A</v>
      </c>
      <c r="G691" s="183">
        <v>0.4236111111111111</v>
      </c>
      <c r="H691" s="181">
        <v>522</v>
      </c>
      <c r="I691" s="52">
        <v>572</v>
      </c>
      <c r="J691" s="52">
        <v>1</v>
      </c>
      <c r="K691" t="e">
        <f t="shared" si="13"/>
        <v>#N/A</v>
      </c>
    </row>
    <row r="692" spans="1:11" hidden="1" x14ac:dyDescent="0.25">
      <c r="A692">
        <v>3</v>
      </c>
      <c r="B692" s="179">
        <v>45781</v>
      </c>
      <c r="C692" t="s">
        <v>3380</v>
      </c>
      <c r="D692" t="str">
        <f>VLOOKUP($C692,ТабКлиенты[[#All],[name]:[phone]],MATCH(D$1,ТабКлиенты[#Headers],0)-1,0)</f>
        <v>+79496057692</v>
      </c>
      <c r="E692" t="str">
        <f>VLOOKUP($C692,ТабАдрес[[#All],[Клиент]:[gps]],MATCH(E$1,ТабКлиенты[#Headers],0)-4,0)</f>
        <v>Ровная 43а подъезд 6</v>
      </c>
      <c r="F692" t="str">
        <f>VLOOKUP($C692,ТабАдрес[[#All],[Клиент]:[gps]],MATCH(F$1,ТабКлиенты[#Headers],0)-4,0)</f>
        <v>47.1500, 37.6147</v>
      </c>
      <c r="G692" s="183">
        <v>0.4375</v>
      </c>
      <c r="H692" s="181">
        <v>3000</v>
      </c>
      <c r="I692" s="52" t="s">
        <v>5</v>
      </c>
      <c r="J692" s="52">
        <v>1</v>
      </c>
      <c r="K692" t="str">
        <f t="shared" si="13"/>
        <v>3. 10:30 Татьяна Тулина
Тел.: +79496057692
Адрес: Ровная 43а подъезд 6
№ заказа: Витамины
Кол-во мест: 1
https://yandex.ru/maps/?text=47.1500%2C37.6147
https://maps.google.com/?daddr=47.1500%2C37.6147
К оплате: **3000
**--------------------------------</v>
      </c>
    </row>
    <row r="693" spans="1:11" hidden="1" x14ac:dyDescent="0.25">
      <c r="A693">
        <v>5</v>
      </c>
      <c r="B693" s="179">
        <v>45781</v>
      </c>
      <c r="C693" t="s">
        <v>4215</v>
      </c>
      <c r="D693" t="e">
        <f>VLOOKUP($C693,ТабКлиенты[[#All],[name]:[phone]],MATCH(D$1,ТабКлиенты[#Headers],0)-1,0)</f>
        <v>#N/A</v>
      </c>
      <c r="E693" t="e">
        <f>VLOOKUP($C693,ТабАдрес[[#All],[Клиент]:[gps]],MATCH(E$1,ТабКлиенты[#Headers],0)-4,0)</f>
        <v>#N/A</v>
      </c>
      <c r="F693" t="e">
        <f>VLOOKUP($C693,ТабАдрес[[#All],[Клиент]:[gps]],MATCH(F$1,ТабКлиенты[#Headers],0)-4,0)</f>
        <v>#N/A</v>
      </c>
      <c r="G693" s="183">
        <v>0.45833333333333331</v>
      </c>
      <c r="H693" s="181">
        <v>3500</v>
      </c>
      <c r="I693" s="52" t="s">
        <v>5</v>
      </c>
      <c r="J693" s="52">
        <v>1</v>
      </c>
      <c r="K693" t="e">
        <f t="shared" si="13"/>
        <v>#N/A</v>
      </c>
    </row>
    <row r="694" spans="1:11" hidden="1" x14ac:dyDescent="0.25">
      <c r="A694">
        <v>6</v>
      </c>
      <c r="B694" s="179">
        <v>45781</v>
      </c>
      <c r="C694" t="s">
        <v>3334</v>
      </c>
      <c r="D694" t="e">
        <f>VLOOKUP($C694,ТабКлиенты[[#All],[name]:[phone]],MATCH(D$1,ТабКлиенты[#Headers],0)-1,0)</f>
        <v>#N/A</v>
      </c>
      <c r="E694" t="e">
        <f>VLOOKUP($C694,ТабАдрес[[#All],[Клиент]:[gps]],MATCH(E$1,ТабКлиенты[#Headers],0)-4,0)</f>
        <v>#N/A</v>
      </c>
      <c r="F694" t="e">
        <f>VLOOKUP($C694,ТабАдрес[[#All],[Клиент]:[gps]],MATCH(F$1,ТабКлиенты[#Headers],0)-4,0)</f>
        <v>#N/A</v>
      </c>
      <c r="G694" s="183">
        <v>0.47916666666666669</v>
      </c>
      <c r="H694" s="181">
        <v>0</v>
      </c>
      <c r="I694" s="52">
        <v>565</v>
      </c>
      <c r="J694" s="52">
        <v>1</v>
      </c>
      <c r="K694" t="e">
        <f t="shared" si="13"/>
        <v>#N/A</v>
      </c>
    </row>
    <row r="695" spans="1:11" hidden="1" x14ac:dyDescent="0.25">
      <c r="A695">
        <v>7</v>
      </c>
      <c r="B695" s="179">
        <v>45781</v>
      </c>
      <c r="C695" t="s">
        <v>3475</v>
      </c>
      <c r="D695" t="str">
        <f>VLOOKUP($C695,ТабКлиенты[[#All],[name]:[phone]],MATCH(D$1,ТабКлиенты[#Headers],0)-1,0)</f>
        <v>+79497078921</v>
      </c>
      <c r="E695" t="str">
        <f>VLOOKUP($C695,ТабАдрес[[#All],[Клиент]:[gps]],MATCH(E$1,ТабКлиенты[#Headers],0)-4,0)</f>
        <v>Черноморская 17</v>
      </c>
      <c r="F695" t="str">
        <f>VLOOKUP($C695,ТабАдрес[[#All],[Клиент]:[gps]],MATCH(F$1,ТабКлиенты[#Headers],0)-4,0)</f>
        <v>47.0767, 37.5101</v>
      </c>
      <c r="G695" s="183">
        <v>0.48958333333333331</v>
      </c>
      <c r="H695" s="181">
        <v>2900</v>
      </c>
      <c r="I695" s="52" t="s">
        <v>5</v>
      </c>
      <c r="J695" s="52">
        <v>1</v>
      </c>
      <c r="K695" t="str">
        <f t="shared" si="13"/>
        <v>7. 11:45 Оксана Черноморская
Тел.: +79497078921
Адрес: Черноморская 17
№ заказа: Витамины
Кол-во мест: 1
https://yandex.ru/maps/?text=47.0767%2C37.5101
https://maps.google.com/?daddr=47.0767%2C37.5101
К оплате: **2900
**--------------------------------</v>
      </c>
    </row>
    <row r="696" spans="1:11" hidden="1" x14ac:dyDescent="0.25">
      <c r="A696">
        <v>1</v>
      </c>
      <c r="B696" s="179">
        <v>45792</v>
      </c>
      <c r="C696" t="s">
        <v>3361</v>
      </c>
      <c r="D696" t="e">
        <f>VLOOKUP($C696,ТабКлиенты[[#All],[name]:[phone]],MATCH(D$1,ТабКлиенты[#Headers],0)-1,0)</f>
        <v>#N/A</v>
      </c>
      <c r="E696" t="e">
        <f>VLOOKUP($C696,ТабАдрес[[#All],[Клиент]:[gps]],MATCH(E$1,ТабКлиенты[#Headers],0)-4,0)</f>
        <v>#N/A</v>
      </c>
      <c r="F696" t="e">
        <f>VLOOKUP($C696,ТабАдрес[[#All],[Клиент]:[gps]],MATCH(F$1,ТабКлиенты[#Headers],0)-4,0)</f>
        <v>#N/A</v>
      </c>
      <c r="G696" s="183">
        <v>0.45833333333333331</v>
      </c>
      <c r="H696" s="181">
        <v>0</v>
      </c>
      <c r="I696" s="52" t="s">
        <v>4304</v>
      </c>
      <c r="J696" s="52">
        <v>1</v>
      </c>
      <c r="K696" t="e">
        <f t="shared" si="13"/>
        <v>#N/A</v>
      </c>
    </row>
    <row r="697" spans="1:11" hidden="1" x14ac:dyDescent="0.25">
      <c r="A697">
        <v>2</v>
      </c>
      <c r="B697" s="179">
        <v>45792</v>
      </c>
      <c r="C697" t="s">
        <v>4337</v>
      </c>
      <c r="D697" t="e">
        <f>VLOOKUP($C697,ТабКлиенты[[#All],[name]:[phone]],MATCH(D$1,ТабКлиенты[#Headers],0)-1,0)</f>
        <v>#N/A</v>
      </c>
      <c r="E697" t="e">
        <f>VLOOKUP($C697,ТабАдрес[[#All],[Клиент]:[gps]],MATCH(E$1,ТабКлиенты[#Headers],0)-4,0)</f>
        <v>#N/A</v>
      </c>
      <c r="F697" t="e">
        <f>VLOOKUP($C697,ТабАдрес[[#All],[Клиент]:[gps]],MATCH(F$1,ТабКлиенты[#Headers],0)-4,0)</f>
        <v>#N/A</v>
      </c>
      <c r="G697" s="183">
        <v>0.46527777777777779</v>
      </c>
      <c r="H697" s="181">
        <v>1800</v>
      </c>
      <c r="I697" s="52" t="s">
        <v>4305</v>
      </c>
      <c r="J697" s="52">
        <v>1</v>
      </c>
      <c r="K697" t="e">
        <f t="shared" si="13"/>
        <v>#N/A</v>
      </c>
    </row>
    <row r="698" spans="1:11" hidden="1" x14ac:dyDescent="0.25">
      <c r="A698">
        <v>3</v>
      </c>
      <c r="B698" s="179">
        <v>45792</v>
      </c>
      <c r="C698" t="s">
        <v>3235</v>
      </c>
      <c r="D698" t="str">
        <f>VLOOKUP($C698,ТабКлиенты[[#All],[name]:[phone]],MATCH(D$1,ТабКлиенты[#Headers],0)-1,0)</f>
        <v>+79497386112</v>
      </c>
      <c r="E698" t="str">
        <f>VLOOKUP($C698,ТабАдрес[[#All],[Клиент]:[gps]],MATCH(E$1,ТабКлиенты[#Headers],0)-4,0)</f>
        <v>Шевченко 325</v>
      </c>
      <c r="F698" t="str">
        <f>VLOOKUP($C698,ТабАдрес[[#All],[Клиент]:[gps]],MATCH(F$1,ТабКлиенты[#Headers],0)-4,0)</f>
        <v>47.1193, 37.5172</v>
      </c>
      <c r="G698" s="183">
        <v>0.47222222222222221</v>
      </c>
      <c r="H698" s="181">
        <v>10400</v>
      </c>
      <c r="I698" s="52" t="s">
        <v>4306</v>
      </c>
      <c r="J698" s="52">
        <v>1</v>
      </c>
      <c r="K698" t="str">
        <f t="shared" si="13"/>
        <v>3. 11:20 Любовь Виталий
Тел.: +79497386112
Адрес: Шевченко 325
№ заказа: Витамины 3
Кол-во мест: 1
https://yandex.ru/maps/?text=47.1193%2C37.5172
https://maps.google.com/?daddr=47.1193%2C37.5172
К оплате: **10400
**--------------------------------</v>
      </c>
    </row>
    <row r="699" spans="1:11" hidden="1" x14ac:dyDescent="0.25">
      <c r="A699">
        <v>4</v>
      </c>
      <c r="B699" s="179">
        <v>45792</v>
      </c>
      <c r="C699" t="s">
        <v>4218</v>
      </c>
      <c r="D699" t="e">
        <f>VLOOKUP($C699,ТабКлиенты[[#All],[name]:[phone]],MATCH(D$1,ТабКлиенты[#Headers],0)-1,0)</f>
        <v>#N/A</v>
      </c>
      <c r="E699" t="e">
        <f>VLOOKUP($C699,ТабАдрес[[#All],[Клиент]:[gps]],MATCH(E$1,ТабКлиенты[#Headers],0)-4,0)</f>
        <v>#N/A</v>
      </c>
      <c r="F699" t="e">
        <f>VLOOKUP($C699,ТабАдрес[[#All],[Клиент]:[gps]],MATCH(F$1,ТабКлиенты[#Headers],0)-4,0)</f>
        <v>#N/A</v>
      </c>
      <c r="G699" s="183">
        <v>0.47916666666666669</v>
      </c>
      <c r="H699" s="181">
        <v>2300</v>
      </c>
      <c r="I699" s="52" t="s">
        <v>4307</v>
      </c>
      <c r="J699" s="52">
        <v>1</v>
      </c>
      <c r="K699" t="e">
        <f t="shared" si="13"/>
        <v>#N/A</v>
      </c>
    </row>
    <row r="700" spans="1:11" hidden="1" x14ac:dyDescent="0.25">
      <c r="A700">
        <v>5</v>
      </c>
      <c r="B700" s="179">
        <v>45792</v>
      </c>
      <c r="C700" t="s">
        <v>4333</v>
      </c>
      <c r="D700" t="e">
        <f>VLOOKUP($C700,ТабКлиенты[[#All],[name]:[phone]],MATCH(D$1,ТабКлиенты[#Headers],0)-1,0)</f>
        <v>#N/A</v>
      </c>
      <c r="E700" t="e">
        <f>VLOOKUP($C700,ТабАдрес[[#All],[Клиент]:[gps]],MATCH(E$1,ТабКлиенты[#Headers],0)-4,0)</f>
        <v>#N/A</v>
      </c>
      <c r="F700" t="e">
        <f>VLOOKUP($C700,ТабАдрес[[#All],[Клиент]:[gps]],MATCH(F$1,ТабКлиенты[#Headers],0)-4,0)</f>
        <v>#N/A</v>
      </c>
      <c r="G700" s="183">
        <v>0.48958333333333331</v>
      </c>
      <c r="H700" s="181">
        <v>2000</v>
      </c>
      <c r="I700" s="52" t="s">
        <v>4309</v>
      </c>
      <c r="J700" s="52">
        <v>1</v>
      </c>
      <c r="K700" t="e">
        <f t="shared" si="13"/>
        <v>#N/A</v>
      </c>
    </row>
    <row r="701" spans="1:11" hidden="1" x14ac:dyDescent="0.25">
      <c r="A701">
        <v>6</v>
      </c>
      <c r="B701" s="179">
        <v>45792</v>
      </c>
      <c r="C701" t="s">
        <v>4219</v>
      </c>
      <c r="D701" t="e">
        <f>VLOOKUP($C701,ТабКлиенты[[#All],[name]:[phone]],MATCH(D$1,ТабКлиенты[#Headers],0)-1,0)</f>
        <v>#N/A</v>
      </c>
      <c r="E701" t="e">
        <f>VLOOKUP($C701,ТабАдрес[[#All],[Клиент]:[gps]],MATCH(E$1,ТабКлиенты[#Headers],0)-4,0)</f>
        <v>#N/A</v>
      </c>
      <c r="F701" t="e">
        <f>VLOOKUP($C701,ТабАдрес[[#All],[Клиент]:[gps]],MATCH(F$1,ТабКлиенты[#Headers],0)-4,0)</f>
        <v>#N/A</v>
      </c>
      <c r="G701" s="183">
        <v>0.5</v>
      </c>
      <c r="H701" s="181">
        <v>2900</v>
      </c>
      <c r="I701" s="52" t="s">
        <v>4310</v>
      </c>
      <c r="J701" s="52">
        <v>1</v>
      </c>
      <c r="K701" t="e">
        <f t="shared" si="13"/>
        <v>#N/A</v>
      </c>
    </row>
    <row r="702" spans="1:11" hidden="1" x14ac:dyDescent="0.25">
      <c r="A702">
        <v>7</v>
      </c>
      <c r="B702" s="179">
        <v>45792</v>
      </c>
      <c r="C702" t="s">
        <v>4332</v>
      </c>
      <c r="D702" t="e">
        <f>VLOOKUP($C702,ТабКлиенты[[#All],[name]:[phone]],MATCH(D$1,ТабКлиенты[#Headers],0)-1,0)</f>
        <v>#N/A</v>
      </c>
      <c r="E702" t="e">
        <f>VLOOKUP($C702,ТабАдрес[[#All],[Клиент]:[gps]],MATCH(E$1,ТабКлиенты[#Headers],0)-4,0)</f>
        <v>#N/A</v>
      </c>
      <c r="F702" t="e">
        <f>VLOOKUP($C702,ТабАдрес[[#All],[Клиент]:[gps]],MATCH(F$1,ТабКлиенты[#Headers],0)-4,0)</f>
        <v>#N/A</v>
      </c>
      <c r="G702" s="183">
        <v>0.50694444444444442</v>
      </c>
      <c r="H702" s="181">
        <v>0</v>
      </c>
      <c r="I702" s="52" t="s">
        <v>4312</v>
      </c>
      <c r="J702" s="52">
        <v>1</v>
      </c>
      <c r="K702" t="e">
        <f t="shared" si="13"/>
        <v>#N/A</v>
      </c>
    </row>
    <row r="703" spans="1:11" hidden="1" x14ac:dyDescent="0.25">
      <c r="A703">
        <v>8</v>
      </c>
      <c r="B703" s="179">
        <v>45792</v>
      </c>
      <c r="C703" t="s">
        <v>3475</v>
      </c>
      <c r="D703" t="str">
        <f>VLOOKUP($C703,ТабКлиенты[[#All],[name]:[phone]],MATCH(D$1,ТабКлиенты[#Headers],0)-1,0)</f>
        <v>+79497078921</v>
      </c>
      <c r="E703" t="str">
        <f>VLOOKUP($C703,ТабАдрес[[#All],[Клиент]:[gps]],MATCH(E$1,ТабКлиенты[#Headers],0)-4,0)</f>
        <v>Черноморская 17</v>
      </c>
      <c r="F703" t="str">
        <f>VLOOKUP($C703,ТабАдрес[[#All],[Клиент]:[gps]],MATCH(F$1,ТабКлиенты[#Headers],0)-4,0)</f>
        <v>47.0767, 37.5101</v>
      </c>
      <c r="G703" s="183">
        <v>0.51388888888888884</v>
      </c>
      <c r="H703" s="181">
        <v>5800</v>
      </c>
      <c r="I703" s="52" t="s">
        <v>4311</v>
      </c>
      <c r="J703" s="52">
        <v>1</v>
      </c>
      <c r="K703" t="str">
        <f t="shared" si="13"/>
        <v>8. 12:20 Оксана Черноморская
Тел.: +79497078921
Адрес: Черноморская 17
№ заказа: Витамины 8
Кол-во мест: 1
https://yandex.ru/maps/?text=47.0767%2C37.5101
https://maps.google.com/?daddr=47.0767%2C37.5101
К оплате: **5800
**--------------------------------</v>
      </c>
    </row>
    <row r="704" spans="1:11" hidden="1" x14ac:dyDescent="0.25">
      <c r="A704">
        <v>9</v>
      </c>
      <c r="B704" s="179">
        <v>45792</v>
      </c>
      <c r="C704" t="s">
        <v>4220</v>
      </c>
      <c r="D704" t="e">
        <f>VLOOKUP($C704,ТабКлиенты[[#All],[name]:[phone]],MATCH(D$1,ТабКлиенты[#Headers],0)-1,0)</f>
        <v>#N/A</v>
      </c>
      <c r="E704" t="e">
        <f>VLOOKUP($C704,ТабАдрес[[#All],[Клиент]:[gps]],MATCH(E$1,ТабКлиенты[#Headers],0)-4,0)</f>
        <v>#N/A</v>
      </c>
      <c r="F704" t="e">
        <f>VLOOKUP($C704,ТабАдрес[[#All],[Клиент]:[gps]],MATCH(F$1,ТабКлиенты[#Headers],0)-4,0)</f>
        <v>#N/A</v>
      </c>
      <c r="G704" s="183">
        <v>0.52083333333333337</v>
      </c>
      <c r="H704" s="181">
        <v>3000</v>
      </c>
      <c r="I704" s="52" t="s">
        <v>4313</v>
      </c>
      <c r="J704" s="52">
        <v>1</v>
      </c>
      <c r="K704" t="e">
        <f t="shared" si="13"/>
        <v>#N/A</v>
      </c>
    </row>
    <row r="705" spans="1:11" hidden="1" x14ac:dyDescent="0.25">
      <c r="A705">
        <v>1</v>
      </c>
      <c r="B705" s="179">
        <v>45794</v>
      </c>
      <c r="C705" t="s">
        <v>4216</v>
      </c>
      <c r="D705" t="e">
        <f>VLOOKUP($C705,ТабКлиенты[[#All],[name]:[phone]],MATCH(D$1,ТабКлиенты[#Headers],0)-1,0)</f>
        <v>#N/A</v>
      </c>
      <c r="E705" t="e">
        <f>VLOOKUP($C705,ТабАдрес[[#All],[Клиент]:[gps]],MATCH(E$1,ТабКлиенты[#Headers],0)-4,0)</f>
        <v>#N/A</v>
      </c>
      <c r="F705" t="e">
        <f>VLOOKUP($C705,ТабАдрес[[#All],[Клиент]:[gps]],MATCH(F$1,ТабКлиенты[#Headers],0)-4,0)</f>
        <v>#N/A</v>
      </c>
      <c r="G705" s="183">
        <v>0.40972222222222221</v>
      </c>
      <c r="H705" s="181">
        <v>0</v>
      </c>
      <c r="I705" s="52">
        <v>588</v>
      </c>
      <c r="J705" s="52">
        <v>1</v>
      </c>
      <c r="K705" t="e">
        <f t="shared" si="13"/>
        <v>#N/A</v>
      </c>
    </row>
    <row r="706" spans="1:11" hidden="1" x14ac:dyDescent="0.25">
      <c r="A706">
        <v>2</v>
      </c>
      <c r="B706" s="179">
        <v>45794</v>
      </c>
      <c r="C706" t="s">
        <v>3125</v>
      </c>
      <c r="D706" t="e">
        <f>VLOOKUP($C706,ТабКлиенты[[#All],[name]:[phone]],MATCH(D$1,ТабКлиенты[#Headers],0)-1,0)</f>
        <v>#N/A</v>
      </c>
      <c r="E706" t="e">
        <f>VLOOKUP($C706,ТабАдрес[[#All],[Клиент]:[gps]],MATCH(E$1,ТабКлиенты[#Headers],0)-4,0)</f>
        <v>#N/A</v>
      </c>
      <c r="F706" t="e">
        <f>VLOOKUP($C706,ТабАдрес[[#All],[Клиент]:[gps]],MATCH(F$1,ТабКлиенты[#Headers],0)-4,0)</f>
        <v>#N/A</v>
      </c>
      <c r="G706" s="183">
        <v>0.41666666666666669</v>
      </c>
      <c r="H706" s="181">
        <v>0</v>
      </c>
      <c r="I706" s="52">
        <v>592</v>
      </c>
      <c r="J706" s="52">
        <v>1</v>
      </c>
      <c r="K706" t="e">
        <f t="shared" si="13"/>
        <v>#N/A</v>
      </c>
    </row>
    <row r="707" spans="1:11" hidden="1" x14ac:dyDescent="0.25">
      <c r="A707">
        <v>3</v>
      </c>
      <c r="B707" s="179">
        <v>45794</v>
      </c>
      <c r="C707" t="s">
        <v>3235</v>
      </c>
      <c r="D707" t="str">
        <f>VLOOKUP($C707,ТабКлиенты[[#All],[name]:[phone]],MATCH(D$1,ТабКлиенты[#Headers],0)-1,0)</f>
        <v>+79497386112</v>
      </c>
      <c r="E707" t="str">
        <f>VLOOKUP($C707,ТабАдрес[[#All],[Клиент]:[gps]],MATCH(E$1,ТабКлиенты[#Headers],0)-4,0)</f>
        <v>Шевченко 325</v>
      </c>
      <c r="F707" t="str">
        <f>VLOOKUP($C707,ТабАдрес[[#All],[Клиент]:[gps]],MATCH(F$1,ТабКлиенты[#Headers],0)-4,0)</f>
        <v>47.1193, 37.5172</v>
      </c>
      <c r="G707" s="183">
        <v>0.4236111111111111</v>
      </c>
      <c r="H707" s="181">
        <f>5500</f>
        <v>5500</v>
      </c>
      <c r="I707" s="52" t="s">
        <v>4305</v>
      </c>
      <c r="J707" s="52">
        <v>1</v>
      </c>
      <c r="K707" t="str">
        <f t="shared" si="13"/>
        <v>3. 10:10 Любовь Виталий
Тел.: +79497386112
Адрес: Шевченко 325
№ заказа: Витамины 2
Кол-во мест: 1
https://yandex.ru/maps/?text=47.1193%2C37.5172
https://maps.google.com/?daddr=47.1193%2C37.5172
К оплате: **5500
**--------------------------------</v>
      </c>
    </row>
    <row r="708" spans="1:11" hidden="1" x14ac:dyDescent="0.25">
      <c r="A708">
        <v>4</v>
      </c>
      <c r="B708" s="179">
        <v>45794</v>
      </c>
      <c r="C708" t="s">
        <v>3334</v>
      </c>
      <c r="D708" t="e">
        <f>VLOOKUP($C708,ТабКлиенты[[#All],[name]:[phone]],MATCH(D$1,ТабКлиенты[#Headers],0)-1,0)</f>
        <v>#N/A</v>
      </c>
      <c r="E708" t="e">
        <f>VLOOKUP($C708,ТабАдрес[[#All],[Клиент]:[gps]],MATCH(E$1,ТабКлиенты[#Headers],0)-4,0)</f>
        <v>#N/A</v>
      </c>
      <c r="F708" t="e">
        <f>VLOOKUP($C708,ТабАдрес[[#All],[Клиент]:[gps]],MATCH(F$1,ТабКлиенты[#Headers],0)-4,0)</f>
        <v>#N/A</v>
      </c>
      <c r="G708" s="183">
        <v>0.44791666666666669</v>
      </c>
      <c r="H708" s="181">
        <v>0</v>
      </c>
      <c r="I708" s="52">
        <v>573</v>
      </c>
      <c r="J708" s="52">
        <v>1</v>
      </c>
      <c r="K708" t="e">
        <f t="shared" si="13"/>
        <v>#N/A</v>
      </c>
    </row>
    <row r="709" spans="1:11" hidden="1" x14ac:dyDescent="0.25">
      <c r="A709">
        <v>5</v>
      </c>
      <c r="B709" s="179">
        <v>45794</v>
      </c>
      <c r="C709" t="s">
        <v>4217</v>
      </c>
      <c r="D709" t="e">
        <f>VLOOKUP($C709,ТабКлиенты[[#All],[name]:[phone]],MATCH(D$1,ТабКлиенты[#Headers],0)-1,0)</f>
        <v>#N/A</v>
      </c>
      <c r="E709" t="e">
        <f>VLOOKUP($C709,ТабАдрес[[#All],[Клиент]:[gps]],MATCH(E$1,ТабКлиенты[#Headers],0)-4,0)</f>
        <v>#N/A</v>
      </c>
      <c r="F709" t="e">
        <f>VLOOKUP($C709,ТабАдрес[[#All],[Клиент]:[gps]],MATCH(F$1,ТабКлиенты[#Headers],0)-4,0)</f>
        <v>#N/A</v>
      </c>
      <c r="G709" s="183">
        <v>0.4513888888888889</v>
      </c>
      <c r="H709" s="181">
        <v>0</v>
      </c>
      <c r="I709" s="52">
        <v>597</v>
      </c>
      <c r="J709" s="52">
        <v>1</v>
      </c>
      <c r="K709" t="e">
        <f t="shared" si="13"/>
        <v>#N/A</v>
      </c>
    </row>
    <row r="710" spans="1:11" hidden="1" x14ac:dyDescent="0.25">
      <c r="A710">
        <v>6</v>
      </c>
      <c r="B710" s="179">
        <v>45794</v>
      </c>
      <c r="C710" t="s">
        <v>3226</v>
      </c>
      <c r="D710" t="str">
        <f>VLOOKUP($C710,ТабКлиенты[[#All],[name]:[phone]],MATCH(D$1,ТабКлиенты[#Headers],0)-1,0)</f>
        <v>+79497169864</v>
      </c>
      <c r="E710" t="str">
        <f>VLOOKUP($C710,ТабАдрес[[#All],[Клиент]:[gps]],MATCH(E$1,ТабКлиенты[#Headers],0)-4,0)</f>
        <v>Строителей, 102</v>
      </c>
      <c r="F710" t="str">
        <f>VLOOKUP($C710,ТабАдрес[[#All],[Клиент]:[gps]],MATCH(F$1,ТабКлиенты[#Headers],0)-4,0)</f>
        <v>47.100776, 37.522477</v>
      </c>
      <c r="G710" s="183">
        <v>0.45833333333333331</v>
      </c>
      <c r="H710" s="181">
        <f>5500+1700</f>
        <v>7200</v>
      </c>
      <c r="I710" s="52" t="s">
        <v>4304</v>
      </c>
      <c r="J710" s="52">
        <v>1</v>
      </c>
      <c r="K710" t="str">
        <f t="shared" si="13"/>
        <v>6. 11:00 Надежда Витамины
Тел.: +79497169864
Адрес: Строителей, 102
№ заказа: Витамины 1
Кол-во мест: 1
https://yandex.ru/maps/?text=47.100776%2C37.522477
https://maps.google.com/?daddr=47.100776%2C37.522477
К оплате: **7200
**--------------------------------</v>
      </c>
    </row>
    <row r="711" spans="1:11" hidden="1" x14ac:dyDescent="0.25">
      <c r="A711">
        <v>7</v>
      </c>
      <c r="B711" s="179">
        <v>45794</v>
      </c>
      <c r="C711" t="s">
        <v>3143</v>
      </c>
      <c r="D711" t="e">
        <f>VLOOKUP($C711,ТабКлиенты[[#All],[name]:[phone]],MATCH(D$1,ТабКлиенты[#Headers],0)-1,0)</f>
        <v>#N/A</v>
      </c>
      <c r="E711" t="e">
        <f>VLOOKUP($C711,ТабАдрес[[#All],[Клиент]:[gps]],MATCH(E$1,ТабКлиенты[#Headers],0)-4,0)</f>
        <v>#N/A</v>
      </c>
      <c r="F711" t="e">
        <f>VLOOKUP($C711,ТабАдрес[[#All],[Клиент]:[gps]],MATCH(F$1,ТабКлиенты[#Headers],0)-4,0)</f>
        <v>#N/A</v>
      </c>
      <c r="G711" s="183">
        <v>0.46875</v>
      </c>
      <c r="H711" s="181">
        <v>0</v>
      </c>
      <c r="I711" s="52">
        <v>577</v>
      </c>
      <c r="J711" s="52">
        <v>1</v>
      </c>
      <c r="K711" t="e">
        <f t="shared" si="13"/>
        <v>#N/A</v>
      </c>
    </row>
    <row r="712" spans="1:11" hidden="1" x14ac:dyDescent="0.25">
      <c r="A712">
        <v>1</v>
      </c>
      <c r="B712" s="179">
        <v>45801</v>
      </c>
      <c r="C712" t="s">
        <v>3263</v>
      </c>
      <c r="D712" t="e">
        <f>VLOOKUP($C712,ТабКлиенты[[#All],[name]:[phone]],MATCH(D$1,ТабКлиенты[#Headers],0)-1,0)</f>
        <v>#N/A</v>
      </c>
      <c r="E712" t="e">
        <f>VLOOKUP($C712,ТабАдрес[[#All],[Клиент]:[gps]],MATCH(E$1,ТабКлиенты[#Headers],0)-4,0)</f>
        <v>#N/A</v>
      </c>
      <c r="F712" t="e">
        <f>VLOOKUP($C712,ТабАдрес[[#All],[Клиент]:[gps]],MATCH(F$1,ТабКлиенты[#Headers],0)-4,0)</f>
        <v>#N/A</v>
      </c>
      <c r="G712" s="183">
        <v>0.39583333333333331</v>
      </c>
      <c r="H712" s="181">
        <v>253</v>
      </c>
      <c r="I712" s="52">
        <v>607</v>
      </c>
      <c r="J712" s="52">
        <v>1</v>
      </c>
      <c r="K712" t="e">
        <f t="shared" si="13"/>
        <v>#N/A</v>
      </c>
    </row>
    <row r="713" spans="1:11" hidden="1" x14ac:dyDescent="0.25">
      <c r="A713">
        <v>2</v>
      </c>
      <c r="B713" s="179">
        <v>45801</v>
      </c>
      <c r="C713" t="s">
        <v>4221</v>
      </c>
      <c r="D713" t="e">
        <f>VLOOKUP($C713,ТабКлиенты[[#All],[name]:[phone]],MATCH(D$1,ТабКлиенты[#Headers],0)-1,0)</f>
        <v>#N/A</v>
      </c>
      <c r="E713" t="e">
        <f>VLOOKUP($C713,ТабАдрес[[#All],[Клиент]:[gps]],MATCH(E$1,ТабКлиенты[#Headers],0)-4,0)</f>
        <v>#N/A</v>
      </c>
      <c r="F713" t="e">
        <f>VLOOKUP($C713,ТабАдрес[[#All],[Клиент]:[gps]],MATCH(F$1,ТабКлиенты[#Headers],0)-4,0)</f>
        <v>#N/A</v>
      </c>
      <c r="G713" s="183">
        <v>0.40625</v>
      </c>
      <c r="H713" s="181">
        <v>0</v>
      </c>
      <c r="I713" s="52">
        <v>605</v>
      </c>
      <c r="J713" s="52">
        <v>1</v>
      </c>
      <c r="K713" t="e">
        <f t="shared" si="13"/>
        <v>#N/A</v>
      </c>
    </row>
    <row r="714" spans="1:11" hidden="1" x14ac:dyDescent="0.25">
      <c r="A714">
        <v>3</v>
      </c>
      <c r="B714" s="179">
        <v>45801</v>
      </c>
      <c r="C714" t="s">
        <v>3235</v>
      </c>
      <c r="D714" t="str">
        <f>VLOOKUP($C714,ТабКлиенты[[#All],[name]:[phone]],MATCH(D$1,ТабКлиенты[#Headers],0)-1,0)</f>
        <v>+79497386112</v>
      </c>
      <c r="E714" t="str">
        <f>VLOOKUP($C714,ТабАдрес[[#All],[Клиент]:[gps]],MATCH(E$1,ТабКлиенты[#Headers],0)-4,0)</f>
        <v>Шевченко 325</v>
      </c>
      <c r="F714" t="str">
        <f>VLOOKUP($C714,ТабАдрес[[#All],[Клиент]:[gps]],MATCH(F$1,ТабКлиенты[#Headers],0)-4,0)</f>
        <v>47.1193, 37.5172</v>
      </c>
      <c r="G714" s="183">
        <v>0.41319444444444442</v>
      </c>
      <c r="H714" s="181">
        <v>1400</v>
      </c>
      <c r="I714" s="52" t="s">
        <v>5</v>
      </c>
      <c r="J714" s="52">
        <v>1</v>
      </c>
      <c r="K714" t="str">
        <f t="shared" si="13"/>
        <v>3. 09:55 Любовь Виталий
Тел.: +79497386112
Адрес: Шевченко 325
№ заказа: Витамины
Кол-во мест: 1
https://yandex.ru/maps/?text=47.1193%2C37.5172
https://maps.google.com/?daddr=47.1193%2C37.5172
К оплате: **1400
**--------------------------------</v>
      </c>
    </row>
    <row r="715" spans="1:11" hidden="1" x14ac:dyDescent="0.25">
      <c r="A715">
        <v>4</v>
      </c>
      <c r="B715" s="179">
        <v>45801</v>
      </c>
      <c r="C715" t="s">
        <v>3172</v>
      </c>
      <c r="D715" t="str">
        <f>VLOOKUP($C715,ТабКлиенты[[#All],[name]:[phone]],MATCH(D$1,ТабКлиенты[#Headers],0)-1,0)</f>
        <v>+79497277100</v>
      </c>
      <c r="E715" t="str">
        <f>VLOOKUP($C715,ТабАдрес[[#All],[Клиент]:[gps]],MATCH(E$1,ТабКлиенты[#Headers],0)-4,0)</f>
        <v>Артема 132</v>
      </c>
      <c r="F715" t="str">
        <f>VLOOKUP($C715,ТабАдрес[[#All],[Клиент]:[gps]],MATCH(F$1,ТабКлиенты[#Headers],0)-4,0)</f>
        <v>47.1085, 37.5599</v>
      </c>
      <c r="G715" s="183">
        <v>0.44791666666666669</v>
      </c>
      <c r="H715" s="181">
        <v>5400</v>
      </c>
      <c r="I715" s="52" t="s">
        <v>5</v>
      </c>
      <c r="J715" s="52">
        <v>1</v>
      </c>
      <c r="K715" t="str">
        <f t="shared" si="13"/>
        <v>4. 10:45 Александр Радин
Тел.: +79497277100
Адрес: Артема 132
№ заказа: Витамины
Кол-во мест: 1
https://yandex.ru/maps/?text=47.1085%2C37.5599
https://maps.google.com/?daddr=47.1085%2C37.5599
К оплате: **5400
**--------------------------------</v>
      </c>
    </row>
    <row r="716" spans="1:11" hidden="1" x14ac:dyDescent="0.25">
      <c r="A716">
        <v>5</v>
      </c>
      <c r="B716" s="179">
        <v>45801</v>
      </c>
      <c r="C716" t="s">
        <v>3474</v>
      </c>
      <c r="D716" t="e">
        <f>VLOOKUP($C716,ТабКлиенты[[#All],[name]:[phone]],MATCH(D$1,ТабКлиенты[#Headers],0)-1,0)</f>
        <v>#N/A</v>
      </c>
      <c r="E716" t="e">
        <f>VLOOKUP($C716,ТабАдрес[[#All],[Клиент]:[gps]],MATCH(E$1,ТабКлиенты[#Headers],0)-4,0)</f>
        <v>#N/A</v>
      </c>
      <c r="F716" t="e">
        <f>VLOOKUP($C716,ТабАдрес[[#All],[Клиент]:[gps]],MATCH(F$1,ТабКлиенты[#Headers],0)-4,0)</f>
        <v>#N/A</v>
      </c>
      <c r="G716" s="183">
        <v>0.45833333333333331</v>
      </c>
      <c r="H716" s="181">
        <v>5000</v>
      </c>
      <c r="I716" s="52">
        <v>598</v>
      </c>
      <c r="J716" s="52">
        <v>1</v>
      </c>
      <c r="K716" t="e">
        <f t="shared" si="13"/>
        <v>#N/A</v>
      </c>
    </row>
    <row r="717" spans="1:11" hidden="1" x14ac:dyDescent="0.25">
      <c r="A717">
        <v>6</v>
      </c>
      <c r="B717" s="179">
        <v>45801</v>
      </c>
      <c r="C717" t="s">
        <v>4334</v>
      </c>
      <c r="D717" t="e">
        <f>VLOOKUP($C717,ТабКлиенты[[#All],[name]:[phone]],MATCH(D$1,ТабКлиенты[#Headers],0)-1,0)</f>
        <v>#N/A</v>
      </c>
      <c r="E717" t="e">
        <f>VLOOKUP($C717,ТабАдрес[[#All],[Клиент]:[gps]],MATCH(E$1,ТабКлиенты[#Headers],0)-4,0)</f>
        <v>#N/A</v>
      </c>
      <c r="F717" t="e">
        <f>VLOOKUP($C717,ТабАдрес[[#All],[Клиент]:[gps]],MATCH(F$1,ТабКлиенты[#Headers],0)-4,0)</f>
        <v>#N/A</v>
      </c>
      <c r="G717" s="183">
        <v>0.46527777777777779</v>
      </c>
      <c r="H717" s="181">
        <v>0</v>
      </c>
      <c r="I717" s="52" t="s">
        <v>4335</v>
      </c>
      <c r="J717" s="52">
        <v>1</v>
      </c>
      <c r="K717" t="e">
        <f t="shared" si="13"/>
        <v>#N/A</v>
      </c>
    </row>
    <row r="718" spans="1:11" hidden="1" x14ac:dyDescent="0.25">
      <c r="A718">
        <v>1</v>
      </c>
      <c r="B718" s="179">
        <v>45808</v>
      </c>
      <c r="C718" t="s">
        <v>3210</v>
      </c>
      <c r="D718" t="e">
        <f>VLOOKUP($C718,ТабКлиенты[[#All],[name]:[phone]],MATCH(D$1,ТабКлиенты[#Headers],0)-1,0)</f>
        <v>#N/A</v>
      </c>
      <c r="E718" t="e">
        <f>VLOOKUP($C718,ТабАдрес[[#All],[Клиент]:[gps]],MATCH(E$1,ТабКлиенты[#Headers],0)-4,0)</f>
        <v>#N/A</v>
      </c>
      <c r="F718" t="e">
        <f>VLOOKUP($C718,ТабАдрес[[#All],[Клиент]:[gps]],MATCH(F$1,ТабКлиенты[#Headers],0)-4,0)</f>
        <v>#N/A</v>
      </c>
      <c r="G718" s="183">
        <v>0.44444444444444448</v>
      </c>
      <c r="H718" s="181">
        <v>0</v>
      </c>
      <c r="I718" s="52">
        <v>608</v>
      </c>
      <c r="J718" s="52">
        <v>1</v>
      </c>
      <c r="K718" t="e">
        <f t="shared" si="13"/>
        <v>#N/A</v>
      </c>
    </row>
    <row r="719" spans="1:11" hidden="1" x14ac:dyDescent="0.25">
      <c r="A719">
        <v>2</v>
      </c>
      <c r="B719" s="179">
        <v>45808</v>
      </c>
      <c r="C719" t="s">
        <v>4337</v>
      </c>
      <c r="D719" t="e">
        <f>VLOOKUP($C719,ТабКлиенты[[#All],[name]:[phone]],MATCH(D$1,ТабКлиенты[#Headers],0)-1,0)</f>
        <v>#N/A</v>
      </c>
      <c r="E719" t="e">
        <f>VLOOKUP($C719,ТабАдрес[[#All],[Клиент]:[gps]],MATCH(E$1,ТабКлиенты[#Headers],0)-4,0)</f>
        <v>#N/A</v>
      </c>
      <c r="F719" t="e">
        <f>VLOOKUP($C719,ТабАдрес[[#All],[Клиент]:[gps]],MATCH(F$1,ТабКлиенты[#Headers],0)-4,0)</f>
        <v>#N/A</v>
      </c>
      <c r="G719" s="183">
        <v>0.4513888888888889</v>
      </c>
      <c r="H719" s="181">
        <v>7200</v>
      </c>
      <c r="I719" s="52" t="s">
        <v>4304</v>
      </c>
      <c r="K719" t="e">
        <f t="shared" si="13"/>
        <v>#N/A</v>
      </c>
    </row>
    <row r="720" spans="1:11" hidden="1" x14ac:dyDescent="0.25">
      <c r="A720">
        <v>3</v>
      </c>
      <c r="B720" s="179">
        <v>45808</v>
      </c>
      <c r="C720" t="s">
        <v>4222</v>
      </c>
      <c r="D720" t="e">
        <f>VLOOKUP($C720,ТабКлиенты[[#All],[name]:[phone]],MATCH(D$1,ТабКлиенты[#Headers],0)-1,0)</f>
        <v>#N/A</v>
      </c>
      <c r="E720" t="e">
        <f>VLOOKUP($C720,ТабАдрес[[#All],[Клиент]:[gps]],MATCH(E$1,ТабКлиенты[#Headers],0)-4,0)</f>
        <v>#N/A</v>
      </c>
      <c r="F720" t="e">
        <f>VLOOKUP($C720,ТабАдрес[[#All],[Клиент]:[gps]],MATCH(F$1,ТабКлиенты[#Headers],0)-4,0)</f>
        <v>#N/A</v>
      </c>
      <c r="G720" s="183">
        <v>0.45833333333333337</v>
      </c>
      <c r="H720" s="181">
        <v>7100</v>
      </c>
      <c r="I720" s="52" t="s">
        <v>4307</v>
      </c>
      <c r="K720" t="e">
        <f t="shared" si="13"/>
        <v>#N/A</v>
      </c>
    </row>
    <row r="721" spans="1:11" hidden="1" x14ac:dyDescent="0.25">
      <c r="A721">
        <v>4</v>
      </c>
      <c r="B721" s="179">
        <v>45808</v>
      </c>
      <c r="C721" t="s">
        <v>3220</v>
      </c>
      <c r="D721" t="str">
        <f>VLOOKUP($C721,ТабКлиенты[[#All],[name]:[phone]],MATCH(D$1,ТабКлиенты[#Headers],0)-1,0)</f>
        <v>+79497081831</v>
      </c>
      <c r="E721" t="str">
        <f>VLOOKUP($C721,ТабАдрес[[#All],[Клиент]:[gps]],MATCH(E$1,ТабКлиенты[#Headers],0)-4,0)</f>
        <v>Шевченко 289А</v>
      </c>
      <c r="F721" t="str">
        <f>VLOOKUP($C721,ТабАдрес[[#All],[Клиент]:[gps]],MATCH(F$1,ТабКлиенты[#Headers],0)-4,0)</f>
        <v>47.1168, 37.5229</v>
      </c>
      <c r="G721" s="183">
        <v>0.46527777777777779</v>
      </c>
      <c r="H721" s="181">
        <v>4900</v>
      </c>
      <c r="K721" t="str">
        <f t="shared" si="13"/>
        <v>4. 11:10 Лида корма
Тел.: +79497081831
Адрес: Шевченко 289А
№ заказа: 
Кол-во мест: 
https://yandex.ru/maps/?text=47.1168%2C37.5229
https://maps.google.com/?daddr=47.1168%2C37.5229
К оплате: **4900
**--------------------------------</v>
      </c>
    </row>
    <row r="722" spans="1:11" hidden="1" x14ac:dyDescent="0.25">
      <c r="A722">
        <v>5</v>
      </c>
      <c r="B722" s="179">
        <v>45808</v>
      </c>
      <c r="C722" t="s">
        <v>4215</v>
      </c>
      <c r="D722" t="e">
        <f>VLOOKUP($C722,ТабКлиенты[[#All],[name]:[phone]],MATCH(D$1,ТабКлиенты[#Headers],0)-1,0)</f>
        <v>#N/A</v>
      </c>
      <c r="E722" t="e">
        <f>VLOOKUP($C722,ТабАдрес[[#All],[Клиент]:[gps]],MATCH(E$1,ТабКлиенты[#Headers],0)-4,0)</f>
        <v>#N/A</v>
      </c>
      <c r="F722" t="e">
        <f>VLOOKUP($C722,ТабАдрес[[#All],[Клиент]:[gps]],MATCH(F$1,ТабКлиенты[#Headers],0)-4,0)</f>
        <v>#N/A</v>
      </c>
      <c r="G722" s="183">
        <v>0.46875</v>
      </c>
      <c r="H722" s="181">
        <v>8000</v>
      </c>
      <c r="I722" s="52" t="s">
        <v>4309</v>
      </c>
      <c r="K722" t="e">
        <f t="shared" si="13"/>
        <v>#N/A</v>
      </c>
    </row>
    <row r="723" spans="1:11" hidden="1" x14ac:dyDescent="0.25">
      <c r="A723">
        <v>6</v>
      </c>
      <c r="B723" s="179">
        <v>45808</v>
      </c>
      <c r="C723" t="s">
        <v>4221</v>
      </c>
      <c r="D723" t="e">
        <f>VLOOKUP($C723,ТабКлиенты[[#All],[name]:[phone]],MATCH(D$1,ТабКлиенты[#Headers],0)-1,0)</f>
        <v>#N/A</v>
      </c>
      <c r="E723" t="e">
        <f>VLOOKUP($C723,ТабАдрес[[#All],[Клиент]:[gps]],MATCH(E$1,ТабКлиенты[#Headers],0)-4,0)</f>
        <v>#N/A</v>
      </c>
      <c r="F723" t="e">
        <f>VLOOKUP($C723,ТабАдрес[[#All],[Клиент]:[gps]],MATCH(F$1,ТабКлиенты[#Headers],0)-4,0)</f>
        <v>#N/A</v>
      </c>
      <c r="G723" s="183">
        <v>0.4861111111111111</v>
      </c>
      <c r="H723" s="181">
        <v>0</v>
      </c>
      <c r="I723" s="52">
        <v>605</v>
      </c>
      <c r="J723" s="52">
        <v>1</v>
      </c>
      <c r="K723" t="e">
        <f t="shared" si="13"/>
        <v>#N/A</v>
      </c>
    </row>
    <row r="724" spans="1:11" hidden="1" x14ac:dyDescent="0.25">
      <c r="A724">
        <v>7</v>
      </c>
      <c r="B724" s="179">
        <v>45808</v>
      </c>
      <c r="C724" t="s">
        <v>3206</v>
      </c>
      <c r="D724" t="str">
        <f>VLOOKUP($C724,ТабКлиенты[[#All],[name]:[phone]],MATCH(D$1,ТабКлиенты[#Headers],0)-1,0)</f>
        <v>+79496248226</v>
      </c>
      <c r="E724" t="str">
        <f>VLOOKUP($C724,ТабАдрес[[#All],[Клиент]:[gps]],MATCH(E$1,ТабКлиенты[#Headers],0)-4,0)</f>
        <v>Шевченко 274</v>
      </c>
      <c r="F724" t="str">
        <f>VLOOKUP($C724,ТабАдрес[[#All],[Клиент]:[gps]],MATCH(F$1,ТабКлиенты[#Headers],0)-4,0)</f>
        <v>47.1149, 37.5127</v>
      </c>
      <c r="G724" s="183">
        <v>0.49305555555555552</v>
      </c>
      <c r="H724" s="181">
        <v>2300</v>
      </c>
      <c r="I724" s="52" t="s">
        <v>4306</v>
      </c>
      <c r="K724" t="str">
        <f t="shared" si="13"/>
        <v>7. 11:50 Даша Калифорния
Тел.: +79496248226
Адрес: Шевченко 274
№ заказа: Витамины 3
Кол-во мест: 
https://yandex.ru/maps/?text=47.1149%2C37.5127
https://maps.google.com/?daddr=47.1149%2C37.5127
К оплате: **2300
**--------------------------------</v>
      </c>
    </row>
    <row r="725" spans="1:11" hidden="1" x14ac:dyDescent="0.25">
      <c r="A725">
        <v>8</v>
      </c>
      <c r="B725" s="179">
        <v>45808</v>
      </c>
      <c r="C725" t="s">
        <v>3338</v>
      </c>
      <c r="D725" t="e">
        <f>VLOOKUP($C725,ТабКлиенты[[#All],[name]:[phone]],MATCH(D$1,ТабКлиенты[#Headers],0)-1,0)</f>
        <v>#N/A</v>
      </c>
      <c r="E725" t="e">
        <f>VLOOKUP($C725,ТабАдрес[[#All],[Клиент]:[gps]],MATCH(E$1,ТабКлиенты[#Headers],0)-4,0)</f>
        <v>#N/A</v>
      </c>
      <c r="F725" t="e">
        <f>VLOOKUP($C725,ТабАдрес[[#All],[Клиент]:[gps]],MATCH(F$1,ТабКлиенты[#Headers],0)-4,0)</f>
        <v>#N/A</v>
      </c>
      <c r="G725" s="183">
        <v>0.49652777777777773</v>
      </c>
      <c r="H725" s="181">
        <v>0</v>
      </c>
      <c r="I725" s="52">
        <v>609</v>
      </c>
      <c r="J725" s="52">
        <v>1</v>
      </c>
      <c r="K725" t="e">
        <f t="shared" ref="K725:K788" si="14">A725&amp;". "&amp;TEXT(G725,"ЧЧ:ММ")&amp;" "&amp;C725&amp;CHAR(10)&amp;"Тел.: "&amp;D725&amp;CHAR(10)&amp;"Адрес: "&amp;E725&amp;CHAR(10)&amp;"№ заказа: "&amp;I725&amp;CHAR(10)&amp;"Кол-во мест: "&amp;J725&amp;CHAR(10)&amp;"https://yandex.ru/maps/?text="&amp;REPLACE(F725,SEARCH(",",F725),2,"%2C")&amp;CHAR(10)&amp;"https://maps.google.com/?daddr="&amp;REPLACE(F725,SEARCH(",",F725),2,"%2C")&amp;CHAR(10)&amp;"К оплате: "&amp;"**"&amp;H725&amp;CHAR(10)&amp;"**"&amp;"--------------------------------"</f>
        <v>#N/A</v>
      </c>
    </row>
    <row r="726" spans="1:11" hidden="1" x14ac:dyDescent="0.25">
      <c r="A726">
        <v>9</v>
      </c>
      <c r="B726" s="179">
        <v>45808</v>
      </c>
      <c r="C726" t="s">
        <v>3226</v>
      </c>
      <c r="D726" t="str">
        <f>VLOOKUP($C726,ТабКлиенты[[#All],[name]:[phone]],MATCH(D$1,ТабКлиенты[#Headers],0)-1,0)</f>
        <v>+79497169864</v>
      </c>
      <c r="E726" t="str">
        <f>VLOOKUP($C726,ТабАдрес[[#All],[Клиент]:[gps]],MATCH(E$1,ТабКлиенты[#Headers],0)-4,0)</f>
        <v>Строителей, 102</v>
      </c>
      <c r="F726" t="str">
        <f>VLOOKUP($C726,ТабАдрес[[#All],[Клиент]:[gps]],MATCH(F$1,ТабКлиенты[#Headers],0)-4,0)</f>
        <v>47.100776, 37.522477</v>
      </c>
      <c r="G726" s="183">
        <v>0.50694444444444453</v>
      </c>
      <c r="H726" s="181">
        <v>2700</v>
      </c>
      <c r="K726" t="str">
        <f t="shared" si="14"/>
        <v>9. 12:10 Надежда Витамины
Тел.: +79497169864
Адрес: Строителей, 102
№ заказа: 
Кол-во мест: 
https://yandex.ru/maps/?text=47.100776%2C37.522477
https://maps.google.com/?daddr=47.100776%2C37.522477
К оплате: **2700
**--------------------------------</v>
      </c>
    </row>
    <row r="727" spans="1:11" hidden="1" x14ac:dyDescent="0.25">
      <c r="A727">
        <v>10</v>
      </c>
      <c r="B727" s="179">
        <v>45808</v>
      </c>
      <c r="C727" t="s">
        <v>3475</v>
      </c>
      <c r="D727" t="str">
        <f>VLOOKUP($C727,ТабКлиенты[[#All],[name]:[phone]],MATCH(D$1,ТабКлиенты[#Headers],0)-1,0)</f>
        <v>+79497078921</v>
      </c>
      <c r="E727" t="str">
        <f>VLOOKUP($C727,ТабАдрес[[#All],[Клиент]:[gps]],MATCH(E$1,ТабКлиенты[#Headers],0)-4,0)</f>
        <v>Черноморская 17</v>
      </c>
      <c r="F727" t="str">
        <f>VLOOKUP($C727,ТабАдрес[[#All],[Клиент]:[gps]],MATCH(F$1,ТабКлиенты[#Headers],0)-4,0)</f>
        <v>47.0767, 37.5101</v>
      </c>
      <c r="G727" s="183">
        <v>0.51388888888888895</v>
      </c>
      <c r="H727" s="181">
        <v>21000</v>
      </c>
      <c r="I727" s="52" t="s">
        <v>4305</v>
      </c>
      <c r="K727" t="str">
        <f t="shared" si="14"/>
        <v>10. 12:20 Оксана Черноморская
Тел.: +79497078921
Адрес: Черноморская 17
№ заказа: Витамины 2
Кол-во мест: 
https://yandex.ru/maps/?text=47.0767%2C37.5101
https://maps.google.com/?daddr=47.0767%2C37.5101
К оплате: **21000
**--------------------------------</v>
      </c>
    </row>
    <row r="728" spans="1:11" hidden="1" x14ac:dyDescent="0.25">
      <c r="A728">
        <v>11</v>
      </c>
      <c r="B728" s="179">
        <v>45808</v>
      </c>
      <c r="C728" t="s">
        <v>4223</v>
      </c>
      <c r="D728" t="e">
        <f>VLOOKUP($C728,ТабКлиенты[[#All],[name]:[phone]],MATCH(D$1,ТабКлиенты[#Headers],0)-1,0)</f>
        <v>#N/A</v>
      </c>
      <c r="E728" t="e">
        <f>VLOOKUP($C728,ТабАдрес[[#All],[Клиент]:[gps]],MATCH(E$1,ТабКлиенты[#Headers],0)-4,0)</f>
        <v>#N/A</v>
      </c>
      <c r="F728" t="e">
        <f>VLOOKUP($C728,ТабАдрес[[#All],[Клиент]:[gps]],MATCH(F$1,ТабКлиенты[#Headers],0)-4,0)</f>
        <v>#N/A</v>
      </c>
      <c r="G728" s="183">
        <v>0.52430555555555558</v>
      </c>
      <c r="H728" s="181"/>
      <c r="K728" t="e">
        <f t="shared" si="14"/>
        <v>#N/A</v>
      </c>
    </row>
    <row r="729" spans="1:11" hidden="1" x14ac:dyDescent="0.25">
      <c r="A729">
        <v>12</v>
      </c>
      <c r="B729" s="179">
        <v>45808</v>
      </c>
      <c r="C729" t="s">
        <v>4336</v>
      </c>
      <c r="D729" t="e">
        <f>VLOOKUP($C729,ТабКлиенты[[#All],[name]:[phone]],MATCH(D$1,ТабКлиенты[#Headers],0)-1,0)</f>
        <v>#N/A</v>
      </c>
      <c r="E729" t="e">
        <f>VLOOKUP($C729,ТабАдрес[[#All],[Клиент]:[gps]],MATCH(E$1,ТабКлиенты[#Headers],0)-4,0)</f>
        <v>#N/A</v>
      </c>
      <c r="F729" t="e">
        <f>VLOOKUP($C729,ТабАдрес[[#All],[Клиент]:[gps]],MATCH(F$1,ТабКлиенты[#Headers],0)-4,0)</f>
        <v>#N/A</v>
      </c>
      <c r="G729" s="183">
        <v>0.53819444444444453</v>
      </c>
      <c r="H729" s="181"/>
      <c r="K729" t="e">
        <f t="shared" si="14"/>
        <v>#N/A</v>
      </c>
    </row>
    <row r="730" spans="1:11" hidden="1" x14ac:dyDescent="0.25">
      <c r="A730">
        <v>1</v>
      </c>
      <c r="B730" s="179">
        <v>45821</v>
      </c>
      <c r="C730" t="s">
        <v>3384</v>
      </c>
      <c r="D730" t="str">
        <f>VLOOKUP($C730,ТабКлиенты[[#All],[name]:[phone]],MATCH(D$1,ТабКлиенты[#Headers],0)-1,0)</f>
        <v>+79497388231</v>
      </c>
      <c r="E730" t="str">
        <f>VLOOKUP($C730,ТабАдрес[[#All],[Клиент]:[gps]],MATCH(E$1,ТабКлиенты[#Headers],0)-4,0)</f>
        <v>Леваневского 58</v>
      </c>
      <c r="F730" t="str">
        <f>VLOOKUP($C730,ТабАдрес[[#All],[Клиент]:[gps]],MATCH(F$1,ТабКлиенты[#Headers],0)-4,0)</f>
        <v>47.1007, 37.5310</v>
      </c>
      <c r="G730" s="183">
        <v>0.42708333333333331</v>
      </c>
      <c r="H730" s="181">
        <v>2900</v>
      </c>
      <c r="I730" s="52">
        <v>1</v>
      </c>
      <c r="J730" s="52">
        <v>1</v>
      </c>
      <c r="K730" t="str">
        <f t="shared" si="14"/>
        <v>1. 10:15 Валентина Сычева
Тел.: +79497388231
Адрес: Леваневского 58
№ заказа: 1
Кол-во мест: 1
https://yandex.ru/maps/?text=47.1007%2C37.5310
https://maps.google.com/?daddr=47.1007%2C37.5310
К оплате: **2900
**--------------------------------</v>
      </c>
    </row>
    <row r="731" spans="1:11" hidden="1" x14ac:dyDescent="0.25">
      <c r="A731">
        <v>2</v>
      </c>
      <c r="B731" s="179">
        <v>45821</v>
      </c>
      <c r="C731" t="s">
        <v>3220</v>
      </c>
      <c r="D731" t="str">
        <f>VLOOKUP($C731,ТабКлиенты[[#All],[name]:[phone]],MATCH(D$1,ТабКлиенты[#Headers],0)-1,0)</f>
        <v>+79497081831</v>
      </c>
      <c r="E731" t="str">
        <f>VLOOKUP($C731,ТабАдрес[[#All],[Клиент]:[gps]],MATCH(E$1,ТабКлиенты[#Headers],0)-4,0)</f>
        <v>Шевченко 289А</v>
      </c>
      <c r="F731" t="str">
        <f>VLOOKUP($C731,ТабАдрес[[#All],[Клиент]:[gps]],MATCH(F$1,ТабКлиенты[#Headers],0)-4,0)</f>
        <v>47.1168, 37.5229</v>
      </c>
      <c r="G731" s="183">
        <v>0.43402777777777779</v>
      </c>
      <c r="H731" s="181">
        <v>2400</v>
      </c>
      <c r="I731" s="52">
        <v>2</v>
      </c>
      <c r="J731" s="52">
        <v>1</v>
      </c>
      <c r="K731" t="str">
        <f t="shared" si="14"/>
        <v>2. 10:25 Лида корма
Тел.: +79497081831
Адрес: Шевченко 289А
№ заказа: 2
Кол-во мест: 1
https://yandex.ru/maps/?text=47.1168%2C37.5229
https://maps.google.com/?daddr=47.1168%2C37.5229
К оплате: **2400
**--------------------------------</v>
      </c>
    </row>
    <row r="732" spans="1:11" hidden="1" x14ac:dyDescent="0.25">
      <c r="A732">
        <v>3</v>
      </c>
      <c r="B732" s="179">
        <v>45821</v>
      </c>
      <c r="C732" t="s">
        <v>3235</v>
      </c>
      <c r="D732" t="str">
        <f>VLOOKUP($C732,ТабКлиенты[[#All],[name]:[phone]],MATCH(D$1,ТабКлиенты[#Headers],0)-1,0)</f>
        <v>+79497386112</v>
      </c>
      <c r="E732" t="str">
        <f>VLOOKUP($C732,ТабАдрес[[#All],[Клиент]:[gps]],MATCH(E$1,ТабКлиенты[#Headers],0)-4,0)</f>
        <v>Шевченко 325</v>
      </c>
      <c r="F732" t="str">
        <f>VLOOKUP($C732,ТабАдрес[[#All],[Клиент]:[gps]],MATCH(F$1,ТабКлиенты[#Headers],0)-4,0)</f>
        <v>47.1193, 37.5172</v>
      </c>
      <c r="G732" s="183">
        <v>0.4375</v>
      </c>
      <c r="H732" s="181">
        <v>15100</v>
      </c>
      <c r="I732" s="52">
        <v>3</v>
      </c>
      <c r="J732" s="52">
        <v>1</v>
      </c>
      <c r="K732" t="str">
        <f t="shared" si="14"/>
        <v>3. 10:30 Любовь Виталий
Тел.: +79497386112
Адрес: Шевченко 325
№ заказа: 3
Кол-во мест: 1
https://yandex.ru/maps/?text=47.1193%2C37.5172
https://maps.google.com/?daddr=47.1193%2C37.5172
К оплате: **15100
**--------------------------------</v>
      </c>
    </row>
    <row r="733" spans="1:11" hidden="1" x14ac:dyDescent="0.25">
      <c r="A733">
        <v>4</v>
      </c>
      <c r="B733" s="179">
        <v>45821</v>
      </c>
      <c r="C733" t="s">
        <v>3181</v>
      </c>
      <c r="D733" t="str">
        <f>VLOOKUP($C733,ТабКлиенты[[#All],[name]:[phone]],MATCH(D$1,ТабКлиенты[#Headers],0)-1,0)</f>
        <v>+79497106271</v>
      </c>
      <c r="E733" t="str">
        <f>VLOOKUP($C733,ТабАдрес[[#All],[Клиент]:[gps]],MATCH(E$1,ТабКлиенты[#Headers],0)-4,0)</f>
        <v>Урицкого 77</v>
      </c>
      <c r="F733" t="str">
        <f>VLOOKUP($C733,ТабАдрес[[#All],[Клиент]:[gps]],MATCH(F$1,ТабКлиенты[#Headers],0)-4,0)</f>
        <v>47.1228, 37.5167</v>
      </c>
      <c r="G733" s="183">
        <v>0.44444444444444442</v>
      </c>
      <c r="H733" s="181">
        <v>6200</v>
      </c>
      <c r="I733" s="52">
        <v>4</v>
      </c>
      <c r="J733" s="52">
        <v>1</v>
      </c>
      <c r="K733" t="str">
        <f t="shared" si="14"/>
        <v>4. 10:40 Наталья Школа 53
Тел.: +79497106271
Адрес: Урицкого 77
№ заказа: 4
Кол-во мест: 1
https://yandex.ru/maps/?text=47.1228%2C37.5167
https://maps.google.com/?daddr=47.1228%2C37.5167
К оплате: **6200
**--------------------------------</v>
      </c>
    </row>
    <row r="734" spans="1:11" hidden="1" x14ac:dyDescent="0.25">
      <c r="A734">
        <v>5</v>
      </c>
      <c r="B734" s="179">
        <v>45821</v>
      </c>
      <c r="C734" t="s">
        <v>3394</v>
      </c>
      <c r="D734" t="str">
        <f>VLOOKUP($C734,ТабКлиенты[[#All],[name]:[phone]],MATCH(D$1,ТабКлиенты[#Headers],0)-1,0)</f>
        <v>+79495228017</v>
      </c>
      <c r="E734" t="str">
        <f>VLOOKUP($C734,ТабАдрес[[#All],[Клиент]:[gps]],MATCH(E$1,ТабКлиенты[#Headers],0)-4,0)</f>
        <v>Вахтангова 15а</v>
      </c>
      <c r="F734" t="str">
        <f>VLOOKUP($C734,ТабАдрес[[#All],[Клиент]:[gps]],MATCH(F$1,ТабКлиенты[#Headers],0)-4,0)</f>
        <v>47.0882, 37.5117</v>
      </c>
      <c r="G734" s="183">
        <v>0.47222222222222221</v>
      </c>
      <c r="H734" s="181">
        <v>5000</v>
      </c>
      <c r="I734" s="52">
        <v>5</v>
      </c>
      <c r="J734" s="52">
        <v>1</v>
      </c>
      <c r="K734" t="str">
        <f t="shared" si="14"/>
        <v>5. 11:20 Татьяна Вахтангова
Тел.: +79495228017
Адрес: Вахтангова 15а
№ заказа: 5
Кол-во мест: 1
https://yandex.ru/maps/?text=47.0882%2C37.5117
https://maps.google.com/?daddr=47.0882%2C37.5117
К оплате: **5000
**--------------------------------</v>
      </c>
    </row>
    <row r="735" spans="1:11" hidden="1" x14ac:dyDescent="0.25">
      <c r="A735">
        <v>6</v>
      </c>
      <c r="B735" s="179">
        <v>45821</v>
      </c>
      <c r="C735" t="s">
        <v>3226</v>
      </c>
      <c r="D735" t="str">
        <f>VLOOKUP($C735,ТабКлиенты[[#All],[name]:[phone]],MATCH(D$1,ТабКлиенты[#Headers],0)-1,0)</f>
        <v>+79497169864</v>
      </c>
      <c r="E735" t="str">
        <f>VLOOKUP($C735,ТабАдрес[[#All],[Клиент]:[gps]],MATCH(E$1,ТабКлиенты[#Headers],0)-4,0)</f>
        <v>Строителей, 102</v>
      </c>
      <c r="F735" t="str">
        <f>VLOOKUP($C735,ТабАдрес[[#All],[Клиент]:[gps]],MATCH(F$1,ТабКлиенты[#Headers],0)-4,0)</f>
        <v>47.100776, 37.522477</v>
      </c>
      <c r="G735" s="183">
        <v>0.47916666666666669</v>
      </c>
      <c r="H735" s="181">
        <v>4900</v>
      </c>
      <c r="I735" s="52">
        <v>6</v>
      </c>
      <c r="J735" s="52">
        <v>1</v>
      </c>
      <c r="K735" t="str">
        <f t="shared" si="14"/>
        <v>6. 11:30 Надежда Витамины
Тел.: +79497169864
Адрес: Строителей, 102
№ заказа: 6
Кол-во мест: 1
https://yandex.ru/maps/?text=47.100776%2C37.522477
https://maps.google.com/?daddr=47.100776%2C37.522477
К оплате: **4900
**--------------------------------</v>
      </c>
    </row>
    <row r="736" spans="1:11" hidden="1" x14ac:dyDescent="0.25">
      <c r="A736">
        <v>7</v>
      </c>
      <c r="B736" s="179">
        <v>45821</v>
      </c>
      <c r="C736" t="s">
        <v>3290</v>
      </c>
      <c r="D736" t="str">
        <f>VLOOKUP($C736,ТабКлиенты[[#All],[name]:[phone]],MATCH(D$1,ТабКлиенты[#Headers],0)-1,0)</f>
        <v>+79497179245</v>
      </c>
      <c r="E736" t="str">
        <f>VLOOKUP($C736,ТабАдрес[[#All],[Клиент]:[gps]],MATCH(E$1,ТабКлиенты[#Headers],0)-4,0)</f>
        <v>Ткаченко Петренко 3</v>
      </c>
      <c r="F736" t="str">
        <f>VLOOKUP($C736,ТабАдрес[[#All],[Клиент]:[gps]],MATCH(F$1,ТабКлиенты[#Headers],0)-4,0)</f>
        <v>47.0853, 37.5071</v>
      </c>
      <c r="G736" s="183">
        <v>0.48958333333333331</v>
      </c>
      <c r="H736" s="181">
        <v>2800</v>
      </c>
      <c r="I736" s="52">
        <v>7</v>
      </c>
      <c r="J736" s="52">
        <v>1</v>
      </c>
      <c r="K736" t="str">
        <f t="shared" si="14"/>
        <v>7. 11:45 Светлана Кулаки
Тел.: +79497179245
Адрес: Ткаченко Петренко 3
№ заказа: 7
Кол-во мест: 1
https://yandex.ru/maps/?text=47.0853%2C37.5071
https://maps.google.com/?daddr=47.0853%2C37.5071
К оплате: **2800
**--------------------------------</v>
      </c>
    </row>
    <row r="737" spans="1:11" hidden="1" x14ac:dyDescent="0.25">
      <c r="A737">
        <v>8</v>
      </c>
      <c r="B737" s="179">
        <v>45821</v>
      </c>
      <c r="C737" t="s">
        <v>3475</v>
      </c>
      <c r="D737" t="str">
        <f>VLOOKUP($C737,ТабКлиенты[[#All],[name]:[phone]],MATCH(D$1,ТабКлиенты[#Headers],0)-1,0)</f>
        <v>+79497078921</v>
      </c>
      <c r="E737" t="str">
        <f>VLOOKUP($C737,ТабАдрес[[#All],[Клиент]:[gps]],MATCH(E$1,ТабКлиенты[#Headers],0)-4,0)</f>
        <v>Черноморская 17</v>
      </c>
      <c r="F737" t="str">
        <f>VLOOKUP($C737,ТабАдрес[[#All],[Клиент]:[gps]],MATCH(F$1,ТабКлиенты[#Headers],0)-4,0)</f>
        <v>47.0767, 37.5101</v>
      </c>
      <c r="G737" s="183">
        <v>0.5</v>
      </c>
      <c r="H737" s="181">
        <v>6050</v>
      </c>
      <c r="I737" s="52">
        <v>8</v>
      </c>
      <c r="J737" s="52">
        <v>1</v>
      </c>
      <c r="K737" t="str">
        <f t="shared" si="14"/>
        <v>8. 12:00 Оксана Черноморская
Тел.: +79497078921
Адрес: Черноморская 17
№ заказа: 8
Кол-во мест: 1
https://yandex.ru/maps/?text=47.0767%2C37.5101
https://maps.google.com/?daddr=47.0767%2C37.5101
К оплате: **6050
**--------------------------------</v>
      </c>
    </row>
    <row r="738" spans="1:11" hidden="1" x14ac:dyDescent="0.25">
      <c r="A738">
        <v>1</v>
      </c>
      <c r="B738" s="179">
        <v>45835</v>
      </c>
      <c r="C738" t="s">
        <v>3384</v>
      </c>
      <c r="D738" t="str">
        <f>VLOOKUP($C738,ТабКлиенты[[#All],[name]:[phone]],MATCH(D$1,ТабКлиенты[#Headers],0)-1,0)</f>
        <v>+79497388231</v>
      </c>
      <c r="E738" t="str">
        <f>VLOOKUP($C738,ТабАдрес[[#All],[Клиент]:[gps]],MATCH(E$1,ТабКлиенты[#Headers],0)-4,0)</f>
        <v>Леваневского 58</v>
      </c>
      <c r="F738" t="str">
        <f>VLOOKUP($C738,ТабАдрес[[#All],[Клиент]:[gps]],MATCH(F$1,ТабКлиенты[#Headers],0)-4,0)</f>
        <v>47.1007, 37.5310</v>
      </c>
      <c r="G738" s="183">
        <v>0.34375</v>
      </c>
      <c r="H738" s="181">
        <v>0</v>
      </c>
      <c r="I738" s="52">
        <v>1</v>
      </c>
      <c r="J738" s="52">
        <v>1</v>
      </c>
      <c r="K738" t="str">
        <f t="shared" si="14"/>
        <v>1. 08:15 Валентина Сычева
Тел.: +79497388231
Адрес: Леваневского 58
№ заказа: 1
Кол-во мест: 1
https://yandex.ru/maps/?text=47.1007%2C37.5310
https://maps.google.com/?daddr=47.1007%2C37.5310
К оплате: **0
**--------------------------------</v>
      </c>
    </row>
    <row r="739" spans="1:11" hidden="1" x14ac:dyDescent="0.25">
      <c r="A739">
        <v>2</v>
      </c>
      <c r="B739" s="179">
        <v>45835</v>
      </c>
      <c r="C739" t="s">
        <v>3235</v>
      </c>
      <c r="D739" t="str">
        <f>VLOOKUP($C739,ТабКлиенты[[#All],[name]:[phone]],MATCH(D$1,ТабКлиенты[#Headers],0)-1,0)</f>
        <v>+79497386112</v>
      </c>
      <c r="E739" t="str">
        <f>VLOOKUP($C739,ТабАдрес[[#All],[Клиент]:[gps]],MATCH(E$1,ТабКлиенты[#Headers],0)-4,0)</f>
        <v>Шевченко 325</v>
      </c>
      <c r="F739" t="str">
        <f>VLOOKUP($C739,ТабАдрес[[#All],[Клиент]:[gps]],MATCH(F$1,ТабКлиенты[#Headers],0)-4,0)</f>
        <v>47.1193, 37.5172</v>
      </c>
      <c r="G739" s="183">
        <v>0.35416666666666669</v>
      </c>
      <c r="H739" s="181">
        <v>15000</v>
      </c>
      <c r="I739" s="52">
        <v>2</v>
      </c>
      <c r="J739" s="52">
        <v>1</v>
      </c>
      <c r="K739" t="str">
        <f t="shared" si="14"/>
        <v>2. 08:30 Любовь Виталий
Тел.: +79497386112
Адрес: Шевченко 325
№ заказа: 2
Кол-во мест: 1
https://yandex.ru/maps/?text=47.1193%2C37.5172
https://maps.google.com/?daddr=47.1193%2C37.5172
К оплате: **15000
**--------------------------------</v>
      </c>
    </row>
    <row r="740" spans="1:11" hidden="1" x14ac:dyDescent="0.25">
      <c r="A740">
        <v>3</v>
      </c>
      <c r="B740" s="179">
        <v>45835</v>
      </c>
      <c r="C740" t="s">
        <v>3475</v>
      </c>
      <c r="D740" t="str">
        <f>VLOOKUP($C740,ТабКлиенты[[#All],[name]:[phone]],MATCH(D$1,ТабКлиенты[#Headers],0)-1,0)</f>
        <v>+79497078921</v>
      </c>
      <c r="E740" t="str">
        <f>VLOOKUP($C740,ТабАдрес[[#All],[Клиент]:[gps]],MATCH(E$1,ТабКлиенты[#Headers],0)-4,0)</f>
        <v>Черноморская 17</v>
      </c>
      <c r="F740" t="str">
        <f>VLOOKUP($C740,ТабАдрес[[#All],[Клиент]:[gps]],MATCH(F$1,ТабКлиенты[#Headers],0)-4,0)</f>
        <v>47.0767, 37.5101</v>
      </c>
      <c r="G740" s="183">
        <v>0.39583333333333331</v>
      </c>
      <c r="H740" s="181">
        <v>10250</v>
      </c>
      <c r="I740" s="52">
        <v>3</v>
      </c>
      <c r="J740" s="52">
        <v>1</v>
      </c>
      <c r="K740" t="str">
        <f t="shared" si="14"/>
        <v>3. 09:30 Оксана Черноморская
Тел.: +79497078921
Адрес: Черноморская 17
№ заказа: 3
Кол-во мест: 1
https://yandex.ru/maps/?text=47.0767%2C37.5101
https://maps.google.com/?daddr=47.0767%2C37.5101
К оплате: **10250
**--------------------------------</v>
      </c>
    </row>
    <row r="741" spans="1:11" hidden="1" x14ac:dyDescent="0.25">
      <c r="A741">
        <v>4</v>
      </c>
      <c r="B741" s="179">
        <v>45835</v>
      </c>
      <c r="C741" t="s">
        <v>3172</v>
      </c>
      <c r="D741" t="str">
        <f>VLOOKUP($C741,ТабКлиенты[[#All],[name]:[phone]],MATCH(D$1,ТабКлиенты[#Headers],0)-1,0)</f>
        <v>+79497277100</v>
      </c>
      <c r="E741" t="str">
        <f>VLOOKUP($C741,ТабАдрес[[#All],[Клиент]:[gps]],MATCH(E$1,ТабКлиенты[#Headers],0)-4,0)</f>
        <v>Артема 132</v>
      </c>
      <c r="F741" t="str">
        <f>VLOOKUP($C741,ТабАдрес[[#All],[Клиент]:[gps]],MATCH(F$1,ТабКлиенты[#Headers],0)-4,0)</f>
        <v>47.1085, 37.5599</v>
      </c>
      <c r="G741" s="183">
        <v>0.40625</v>
      </c>
      <c r="H741" s="181">
        <v>13150</v>
      </c>
      <c r="I741" s="52">
        <v>4</v>
      </c>
      <c r="J741" s="52">
        <v>1</v>
      </c>
      <c r="K741" t="str">
        <f t="shared" si="14"/>
        <v>4. 09:45 Александр Радин
Тел.: +79497277100
Адрес: Артема 132
№ заказа: 4
Кол-во мест: 1
https://yandex.ru/maps/?text=47.1085%2C37.5599
https://maps.google.com/?daddr=47.1085%2C37.5599
К оплате: **13150
**--------------------------------</v>
      </c>
    </row>
    <row r="742" spans="1:11" hidden="1" x14ac:dyDescent="0.25">
      <c r="A742">
        <v>5</v>
      </c>
      <c r="B742" s="179">
        <v>45835</v>
      </c>
      <c r="C742" t="s">
        <v>4224</v>
      </c>
      <c r="D742" t="e">
        <f>VLOOKUP($C742,ТабКлиенты[[#All],[name]:[phone]],MATCH(D$1,ТабКлиенты[#Headers],0)-1,0)</f>
        <v>#N/A</v>
      </c>
      <c r="E742" t="e">
        <f>VLOOKUP($C742,ТабАдрес[[#All],[Клиент]:[gps]],MATCH(E$1,ТабКлиенты[#Headers],0)-4,0)</f>
        <v>#N/A</v>
      </c>
      <c r="F742" t="e">
        <f>VLOOKUP($C742,ТабАдрес[[#All],[Клиент]:[gps]],MATCH(F$1,ТабКлиенты[#Headers],0)-4,0)</f>
        <v>#N/A</v>
      </c>
      <c r="G742" s="183">
        <v>0.41666666666666669</v>
      </c>
      <c r="H742" s="181">
        <v>2500</v>
      </c>
      <c r="I742" s="52">
        <v>5</v>
      </c>
      <c r="J742" s="52">
        <v>1</v>
      </c>
      <c r="K742" t="e">
        <f t="shared" si="14"/>
        <v>#N/A</v>
      </c>
    </row>
    <row r="743" spans="1:11" hidden="1" x14ac:dyDescent="0.25">
      <c r="A743">
        <v>1</v>
      </c>
      <c r="B743" s="179">
        <v>45881</v>
      </c>
      <c r="C743" t="s">
        <v>3475</v>
      </c>
      <c r="D743" t="str">
        <f>VLOOKUP($C743,ТабКлиенты[[#All],[name]:[phone]],MATCH(D$1,ТабКлиенты[#Headers],0)-1,0)</f>
        <v>+79497078921</v>
      </c>
      <c r="E743" t="str">
        <f>VLOOKUP($C743,ТабАдрес[[#All],[Клиент]:[gps]],MATCH(E$1,ТабКлиенты[#Headers],0)-4,0)</f>
        <v>Черноморская 17</v>
      </c>
      <c r="F743" t="str">
        <f>VLOOKUP($C743,ТабАдрес[[#All],[Клиент]:[gps]],MATCH(F$1,ТабКлиенты[#Headers],0)-4,0)</f>
        <v>47.0767, 37.5101</v>
      </c>
      <c r="G743" s="183">
        <v>0.33333333333333331</v>
      </c>
      <c r="H743" s="181">
        <v>9000</v>
      </c>
      <c r="I743" s="52">
        <v>1</v>
      </c>
      <c r="J743" s="52">
        <v>1</v>
      </c>
      <c r="K743" t="str">
        <f t="shared" si="14"/>
        <v>1. 08:00 Оксана Черноморская
Тел.: +79497078921
Адрес: Черноморская 17
№ заказа: 1
Кол-во мест: 1
https://yandex.ru/maps/?text=47.0767%2C37.5101
https://maps.google.com/?daddr=47.0767%2C37.5101
К оплате: **9000
**--------------------------------</v>
      </c>
    </row>
    <row r="744" spans="1:11" hidden="1" x14ac:dyDescent="0.25">
      <c r="A744">
        <v>2</v>
      </c>
      <c r="B744" s="179">
        <v>45881</v>
      </c>
      <c r="C744" t="s">
        <v>4226</v>
      </c>
      <c r="D744" t="e">
        <f>VLOOKUP($C744,ТабКлиенты[[#All],[name]:[phone]],MATCH(D$1,ТабКлиенты[#Headers],0)-1,0)</f>
        <v>#N/A</v>
      </c>
      <c r="E744" t="e">
        <f>VLOOKUP($C744,ТабАдрес[[#All],[Клиент]:[gps]],MATCH(E$1,ТабКлиенты[#Headers],0)-4,0)</f>
        <v>#N/A</v>
      </c>
      <c r="F744" t="e">
        <f>VLOOKUP($C744,ТабАдрес[[#All],[Клиент]:[gps]],MATCH(F$1,ТабКлиенты[#Headers],0)-4,0)</f>
        <v>#N/A</v>
      </c>
      <c r="G744" s="183">
        <v>0.34375</v>
      </c>
      <c r="H744" s="181">
        <v>9300</v>
      </c>
      <c r="I744" s="52">
        <f>I743+1</f>
        <v>2</v>
      </c>
      <c r="J744" s="52">
        <v>1</v>
      </c>
      <c r="K744" t="e">
        <f t="shared" si="14"/>
        <v>#N/A</v>
      </c>
    </row>
    <row r="745" spans="1:11" hidden="1" x14ac:dyDescent="0.25">
      <c r="A745">
        <v>3</v>
      </c>
      <c r="B745" s="179">
        <v>45881</v>
      </c>
      <c r="C745" t="s">
        <v>4225</v>
      </c>
      <c r="D745" t="e">
        <f>VLOOKUP($C745,ТабКлиенты[[#All],[name]:[phone]],MATCH(D$1,ТабКлиенты[#Headers],0)-1,0)</f>
        <v>#N/A</v>
      </c>
      <c r="E745" t="e">
        <f>VLOOKUP($C745,ТабАдрес[[#All],[Клиент]:[gps]],MATCH(E$1,ТабКлиенты[#Headers],0)-4,0)</f>
        <v>#N/A</v>
      </c>
      <c r="F745" t="e">
        <f>VLOOKUP($C745,ТабАдрес[[#All],[Клиент]:[gps]],MATCH(F$1,ТабКлиенты[#Headers],0)-4,0)</f>
        <v>#N/A</v>
      </c>
      <c r="G745" s="183">
        <v>0.34722222222222221</v>
      </c>
      <c r="H745" s="181">
        <v>12400</v>
      </c>
      <c r="I745" s="52">
        <f t="shared" ref="I745:I752" si="15">I744+1</f>
        <v>3</v>
      </c>
      <c r="J745" s="52">
        <v>1</v>
      </c>
      <c r="K745" t="e">
        <f t="shared" si="14"/>
        <v>#N/A</v>
      </c>
    </row>
    <row r="746" spans="1:11" hidden="1" x14ac:dyDescent="0.25">
      <c r="A746">
        <v>4</v>
      </c>
      <c r="B746" s="179">
        <v>45881</v>
      </c>
      <c r="C746" t="s">
        <v>4228</v>
      </c>
      <c r="D746" t="e">
        <f>VLOOKUP($C746,ТабКлиенты[[#All],[name]:[phone]],MATCH(D$1,ТабКлиенты[#Headers],0)-1,0)</f>
        <v>#N/A</v>
      </c>
      <c r="E746" t="e">
        <f>VLOOKUP($C746,ТабАдрес[[#All],[Клиент]:[gps]],MATCH(E$1,ТабКлиенты[#Headers],0)-4,0)</f>
        <v>#N/A</v>
      </c>
      <c r="F746" t="e">
        <f>VLOOKUP($C746,ТабАдрес[[#All],[Клиент]:[gps]],MATCH(F$1,ТабКлиенты[#Headers],0)-4,0)</f>
        <v>#N/A</v>
      </c>
      <c r="G746" s="183">
        <v>0.375</v>
      </c>
      <c r="H746" s="181">
        <v>4000</v>
      </c>
      <c r="I746" s="52">
        <f t="shared" si="15"/>
        <v>4</v>
      </c>
      <c r="J746" s="52">
        <v>1</v>
      </c>
      <c r="K746" t="e">
        <f t="shared" si="14"/>
        <v>#N/A</v>
      </c>
    </row>
    <row r="747" spans="1:11" hidden="1" x14ac:dyDescent="0.25">
      <c r="A747">
        <v>5</v>
      </c>
      <c r="B747" s="179">
        <v>45881</v>
      </c>
      <c r="C747" t="s">
        <v>4333</v>
      </c>
      <c r="D747" t="e">
        <f>VLOOKUP($C747,ТабКлиенты[[#All],[name]:[phone]],MATCH(D$1,ТабКлиенты[#Headers],0)-1,0)</f>
        <v>#N/A</v>
      </c>
      <c r="E747" t="e">
        <f>VLOOKUP($C747,ТабАдрес[[#All],[Клиент]:[gps]],MATCH(E$1,ТабКлиенты[#Headers],0)-4,0)</f>
        <v>#N/A</v>
      </c>
      <c r="F747" t="e">
        <f>VLOOKUP($C747,ТабАдрес[[#All],[Клиент]:[gps]],MATCH(F$1,ТабКлиенты[#Headers],0)-4,0)</f>
        <v>#N/A</v>
      </c>
      <c r="G747" s="183">
        <v>0.38541666666666669</v>
      </c>
      <c r="H747" s="181">
        <v>3700</v>
      </c>
      <c r="I747" s="52">
        <f t="shared" si="15"/>
        <v>5</v>
      </c>
      <c r="J747" s="52">
        <v>1</v>
      </c>
      <c r="K747" t="e">
        <f t="shared" si="14"/>
        <v>#N/A</v>
      </c>
    </row>
    <row r="748" spans="1:11" hidden="1" x14ac:dyDescent="0.25">
      <c r="A748">
        <v>6</v>
      </c>
      <c r="B748" s="179">
        <v>45881</v>
      </c>
      <c r="C748" t="s">
        <v>3325</v>
      </c>
      <c r="D748" t="str">
        <f>VLOOKUP($C748,ТабКлиенты[[#All],[name]:[phone]],MATCH(D$1,ТабКлиенты[#Headers],0)-1,0)</f>
        <v>+79497177018</v>
      </c>
      <c r="E748" t="str">
        <f>VLOOKUP($C748,ТабАдрес[[#All],[Клиент]:[gps]],MATCH(E$1,ТабКлиенты[#Headers],0)-4,0)</f>
        <v>Троицка 75, Рынок Юмовила</v>
      </c>
      <c r="F748" t="str">
        <f>VLOOKUP($C748,ТабАдрес[[#All],[Клиент]:[gps]],MATCH(F$1,ТабКлиенты[#Headers],0)-4,0)</f>
        <v>47.1121, 37.5156</v>
      </c>
      <c r="G748" s="183">
        <v>0.39583333333333331</v>
      </c>
      <c r="H748" s="181">
        <v>1100</v>
      </c>
      <c r="I748" s="52">
        <f t="shared" si="15"/>
        <v>6</v>
      </c>
      <c r="J748" s="52">
        <v>1</v>
      </c>
      <c r="K748" t="str">
        <f t="shared" si="14"/>
        <v>6. 09:30 Елена Индол
Тел.: +79497177018
Адрес: Троицка 75, Рынок Юмовила
№ заказа: 6
Кол-во мест: 1
https://yandex.ru/maps/?text=47.1121%2C37.5156
https://maps.google.com/?daddr=47.1121%2C37.5156
К оплате: **1100
**--------------------------------</v>
      </c>
    </row>
    <row r="749" spans="1:11" hidden="1" x14ac:dyDescent="0.25">
      <c r="A749">
        <v>7</v>
      </c>
      <c r="B749" s="179">
        <v>45881</v>
      </c>
      <c r="C749" t="s">
        <v>3466</v>
      </c>
      <c r="D749" t="str">
        <f>VLOOKUP($C749,ТабКлиенты[[#All],[name]:[phone]],MATCH(D$1,ТабКлиенты[#Headers],0)-1,0)</f>
        <v>+79497135589</v>
      </c>
      <c r="E749" t="str">
        <f>VLOOKUP($C749,ТабАдрес[[#All],[Клиент]:[gps]],MATCH(E$1,ТабКлиенты[#Headers],0)-4,0)</f>
        <v>Бахмутская 20</v>
      </c>
      <c r="F749" t="str">
        <f>VLOOKUP($C749,ТабАдрес[[#All],[Клиент]:[gps]],MATCH(F$1,ТабКлиенты[#Headers],0)-4,0)</f>
        <v>47.1164, 37.5459</v>
      </c>
      <c r="G749" s="183">
        <v>0.41666666666666669</v>
      </c>
      <c r="H749" s="181">
        <v>10000</v>
      </c>
      <c r="I749" s="52">
        <f t="shared" si="15"/>
        <v>7</v>
      </c>
      <c r="J749" s="52">
        <v>1</v>
      </c>
      <c r="K749" t="str">
        <f t="shared" si="14"/>
        <v>7. 10:00 Оксана молокозавод
Тел.: +79497135589
Адрес: Бахмутская 20
№ заказа: 7
Кол-во мест: 1
https://yandex.ru/maps/?text=47.1164%2C37.5459
https://maps.google.com/?daddr=47.1164%2C37.5459
К оплате: **10000
**--------------------------------</v>
      </c>
    </row>
    <row r="750" spans="1:11" hidden="1" x14ac:dyDescent="0.25">
      <c r="A750">
        <v>8</v>
      </c>
      <c r="B750" s="179">
        <v>45881</v>
      </c>
      <c r="C750" t="s">
        <v>4337</v>
      </c>
      <c r="D750" t="e">
        <f>VLOOKUP($C750,ТабКлиенты[[#All],[name]:[phone]],MATCH(D$1,ТабКлиенты[#Headers],0)-1,0)</f>
        <v>#N/A</v>
      </c>
      <c r="E750" t="e">
        <f>VLOOKUP($C750,ТабАдрес[[#All],[Клиент]:[gps]],MATCH(E$1,ТабКлиенты[#Headers],0)-4,0)</f>
        <v>#N/A</v>
      </c>
      <c r="F750" t="e">
        <f>VLOOKUP($C750,ТабАдрес[[#All],[Клиент]:[gps]],MATCH(F$1,ТабКлиенты[#Headers],0)-4,0)</f>
        <v>#N/A</v>
      </c>
      <c r="G750" s="183">
        <v>0.42708333333333331</v>
      </c>
      <c r="H750" s="181">
        <v>2900</v>
      </c>
      <c r="I750" s="52">
        <f t="shared" si="15"/>
        <v>8</v>
      </c>
      <c r="J750" s="52">
        <v>1</v>
      </c>
      <c r="K750" t="e">
        <f t="shared" si="14"/>
        <v>#N/A</v>
      </c>
    </row>
    <row r="751" spans="1:11" hidden="1" x14ac:dyDescent="0.25">
      <c r="A751">
        <v>9</v>
      </c>
      <c r="B751" s="179">
        <v>45881</v>
      </c>
      <c r="C751" t="s">
        <v>4227</v>
      </c>
      <c r="D751" t="str">
        <f>VLOOKUP($C751,ТабКлиенты[[#All],[name]:[phone]],MATCH(D$1,ТабКлиенты[#Headers],0)-1,0)</f>
        <v>+79497318244</v>
      </c>
      <c r="E751" t="str">
        <f>VLOOKUP($C751,ТабАдрес[[#All],[Клиент]:[gps]],MATCH(E$1,ТабКлиенты[#Headers],0)-4,0)</f>
        <v>АТБ</v>
      </c>
      <c r="F751" t="str">
        <f>VLOOKUP($C751,ТабАдрес[[#All],[Клиент]:[gps]],MATCH(F$1,ТабКлиенты[#Headers],0)-4,0)</f>
        <v>47.133497, 37.566194</v>
      </c>
      <c r="G751" s="183">
        <v>0.43055555555555558</v>
      </c>
      <c r="H751" s="181">
        <v>2500</v>
      </c>
      <c r="I751" s="52">
        <f t="shared" si="15"/>
        <v>9</v>
      </c>
      <c r="J751" s="52">
        <v>1</v>
      </c>
      <c r="K751" t="str">
        <f t="shared" si="14"/>
        <v>9. 10:20 Светлана АТБ
Тел.: +79497318244
Адрес: АТБ
№ заказа: 9
Кол-во мест: 1
https://yandex.ru/maps/?text=47.133497%2C37.566194
https://maps.google.com/?daddr=47.133497%2C37.566194
К оплате: **2500
**--------------------------------</v>
      </c>
    </row>
    <row r="752" spans="1:11" hidden="1" x14ac:dyDescent="0.25">
      <c r="A752">
        <v>10</v>
      </c>
      <c r="B752" s="179">
        <v>45881</v>
      </c>
      <c r="C752" t="s">
        <v>3441</v>
      </c>
      <c r="D752" t="str">
        <f>VLOOKUP($C752,ТабКлиенты[[#All],[name]:[phone]],MATCH(D$1,ТабКлиенты[#Headers],0)-1,0)</f>
        <v>+79497124527</v>
      </c>
      <c r="E752" t="str">
        <f>VLOOKUP($C752,ТабАдрес[[#All],[Клиент]:[gps]],MATCH(E$1,ТабКлиенты[#Headers],0)-4,0)</f>
        <v>Писарева 28</v>
      </c>
      <c r="F752" t="str">
        <f>VLOOKUP($C752,ТабАдрес[[#All],[Клиент]:[gps]],MATCH(F$1,ТабКлиенты[#Headers],0)-4,0)</f>
        <v>47.1065, 37.5478</v>
      </c>
      <c r="G752" s="183">
        <v>0.4375</v>
      </c>
      <c r="H752" s="181">
        <v>2500</v>
      </c>
      <c r="I752" s="52">
        <f t="shared" si="15"/>
        <v>10</v>
      </c>
      <c r="J752" s="52">
        <v>1</v>
      </c>
      <c r="K752" t="str">
        <f t="shared" si="14"/>
        <v>10. 10:30 Татьяна Писарева 28
Тел.: +79497124527
Адрес: Писарева 28
№ заказа: 10
Кол-во мест: 1
https://yandex.ru/maps/?text=47.1065%2C37.5478
https://maps.google.com/?daddr=47.1065%2C37.5478
К оплате: **2500
**--------------------------------</v>
      </c>
    </row>
    <row r="753" spans="1:11" hidden="1" x14ac:dyDescent="0.25">
      <c r="A753">
        <v>1</v>
      </c>
      <c r="B753" s="179">
        <v>45898</v>
      </c>
      <c r="C753" t="s">
        <v>3235</v>
      </c>
      <c r="D753" t="str">
        <f>VLOOKUP($C753,ТабКлиенты[[#All],[name]:[phone]],MATCH(D$1,ТабКлиенты[#Headers],0)-1,0)</f>
        <v>+79497386112</v>
      </c>
      <c r="E753" t="str">
        <f>VLOOKUP($C753,ТабАдрес[[#All],[Клиент]:[gps]],MATCH(E$1,ТабКлиенты[#Headers],0)-4,0)</f>
        <v>Шевченко 325</v>
      </c>
      <c r="F753" t="str">
        <f>VLOOKUP($C753,ТабАдрес[[#All],[Клиент]:[gps]],MATCH(F$1,ТабКлиенты[#Headers],0)-4,0)</f>
        <v>47.1193, 37.5172</v>
      </c>
      <c r="G753" s="183">
        <v>0.39583333333333331</v>
      </c>
      <c r="H753" s="181">
        <f>13700+21200</f>
        <v>34900</v>
      </c>
      <c r="K753" t="str">
        <f t="shared" si="14"/>
        <v>1. 09:30 Любовь Виталий
Тел.: +79497386112
Адрес: Шевченко 325
№ заказа: 
Кол-во мест: 
https://yandex.ru/maps/?text=47.1193%2C37.5172
https://maps.google.com/?daddr=47.1193%2C37.5172
К оплате: **34900
**--------------------------------</v>
      </c>
    </row>
    <row r="754" spans="1:11" hidden="1" x14ac:dyDescent="0.25">
      <c r="A754">
        <v>2</v>
      </c>
      <c r="B754" s="179">
        <v>45898</v>
      </c>
      <c r="C754" t="s">
        <v>3206</v>
      </c>
      <c r="D754" t="str">
        <f>VLOOKUP($C754,ТабКлиенты[[#All],[name]:[phone]],MATCH(D$1,ТабКлиенты[#Headers],0)-1,0)</f>
        <v>+79496248226</v>
      </c>
      <c r="E754" t="str">
        <f>VLOOKUP($C754,ТабАдрес[[#All],[Клиент]:[gps]],MATCH(E$1,ТабКлиенты[#Headers],0)-4,0)</f>
        <v>Шевченко 274</v>
      </c>
      <c r="F754" t="str">
        <f>VLOOKUP($C754,ТабАдрес[[#All],[Клиент]:[gps]],MATCH(F$1,ТабКлиенты[#Headers],0)-4,0)</f>
        <v>47.1149, 37.5127</v>
      </c>
      <c r="G754" s="183">
        <v>0.41666666666666669</v>
      </c>
      <c r="H754" s="181">
        <v>1600</v>
      </c>
      <c r="K754" t="str">
        <f t="shared" si="14"/>
        <v>2. 10:00 Даша Калифорния
Тел.: +79496248226
Адрес: Шевченко 274
№ заказа: 
Кол-во мест: 
https://yandex.ru/maps/?text=47.1149%2C37.5127
https://maps.google.com/?daddr=47.1149%2C37.5127
К оплате: **1600
**--------------------------------</v>
      </c>
    </row>
    <row r="755" spans="1:11" hidden="1" x14ac:dyDescent="0.25">
      <c r="A755">
        <v>3</v>
      </c>
      <c r="B755" s="179">
        <v>45898</v>
      </c>
      <c r="C755" t="s">
        <v>3270</v>
      </c>
      <c r="D755" t="str">
        <f>VLOOKUP($C755,ТабКлиенты[[#All],[name]:[phone]],MATCH(D$1,ТабКлиенты[#Headers],0)-1,0)</f>
        <v>+79496334882</v>
      </c>
      <c r="E755" t="str">
        <f>VLOOKUP($C755,ТабАдрес[[#All],[Клиент]:[gps]],MATCH(E$1,ТабКлиенты[#Headers],0)-4,0)</f>
        <v>Шевченко 217</v>
      </c>
      <c r="F755" t="str">
        <f>VLOOKUP($C755,ТабАдрес[[#All],[Клиент]:[gps]],MATCH(F$1,ТабКлиенты[#Headers],0)-4,0)</f>
        <v>47.1130, 37.5406</v>
      </c>
      <c r="G755" s="183">
        <v>0.42708333333333331</v>
      </c>
      <c r="H755" s="181">
        <v>2300</v>
      </c>
      <c r="K755" t="str">
        <f t="shared" si="14"/>
        <v>3. 10:15 Елена Шевченко 217
Тел.: +79496334882
Адрес: Шевченко 217
№ заказа: 
Кол-во мест: 
https://yandex.ru/maps/?text=47.1130%2C37.5406
https://maps.google.com/?daddr=47.1130%2C37.5406
К оплате: **2300
**--------------------------------</v>
      </c>
    </row>
    <row r="756" spans="1:11" hidden="1" x14ac:dyDescent="0.25">
      <c r="A756">
        <v>4</v>
      </c>
      <c r="B756" s="179">
        <v>45898</v>
      </c>
      <c r="C756" t="s">
        <v>3290</v>
      </c>
      <c r="D756" t="str">
        <f>VLOOKUP($C756,ТабКлиенты[[#All],[name]:[phone]],MATCH(D$1,ТабКлиенты[#Headers],0)-1,0)</f>
        <v>+79497179245</v>
      </c>
      <c r="E756" t="str">
        <f>VLOOKUP($C756,ТабАдрес[[#All],[Клиент]:[gps]],MATCH(E$1,ТабКлиенты[#Headers],0)-4,0)</f>
        <v>Ткаченко Петренко 3</v>
      </c>
      <c r="F756" t="str">
        <f>VLOOKUP($C756,ТабАдрес[[#All],[Клиент]:[gps]],MATCH(F$1,ТабКлиенты[#Headers],0)-4,0)</f>
        <v>47.0853, 37.5071</v>
      </c>
      <c r="G756" s="183">
        <v>0.4375</v>
      </c>
      <c r="H756" s="181">
        <v>5700</v>
      </c>
      <c r="K756" t="str">
        <f t="shared" si="14"/>
        <v>4. 10:30 Светлана Кулаки
Тел.: +79497179245
Адрес: Ткаченко Петренко 3
№ заказа: 
Кол-во мест: 
https://yandex.ru/maps/?text=47.0853%2C37.5071
https://maps.google.com/?daddr=47.0853%2C37.5071
К оплате: **5700
**--------------------------------</v>
      </c>
    </row>
    <row r="757" spans="1:11" hidden="1" x14ac:dyDescent="0.25">
      <c r="A757">
        <v>5</v>
      </c>
      <c r="B757" s="179">
        <v>45898</v>
      </c>
      <c r="C757" t="s">
        <v>3475</v>
      </c>
      <c r="D757" t="str">
        <f>VLOOKUP($C757,ТабКлиенты[[#All],[name]:[phone]],MATCH(D$1,ТабКлиенты[#Headers],0)-1,0)</f>
        <v>+79497078921</v>
      </c>
      <c r="E757" t="str">
        <f>VLOOKUP($C757,ТабАдрес[[#All],[Клиент]:[gps]],MATCH(E$1,ТабКлиенты[#Headers],0)-4,0)</f>
        <v>Черноморская 17</v>
      </c>
      <c r="F757" t="str">
        <f>VLOOKUP($C757,ТабАдрес[[#All],[Клиент]:[gps]],MATCH(F$1,ТабКлиенты[#Headers],0)-4,0)</f>
        <v>47.0767, 37.5101</v>
      </c>
      <c r="G757" s="183">
        <v>0.44444444444444442</v>
      </c>
      <c r="H757" s="181">
        <v>22300</v>
      </c>
      <c r="K757" t="str">
        <f t="shared" si="14"/>
        <v>5. 10:40 Оксана Черноморская
Тел.: +79497078921
Адрес: Черноморская 17
№ заказа: 
Кол-во мест: 
https://yandex.ru/maps/?text=47.0767%2C37.5101
https://maps.google.com/?daddr=47.0767%2C37.5101
К оплате: **22300
**--------------------------------</v>
      </c>
    </row>
    <row r="758" spans="1:11" hidden="1" x14ac:dyDescent="0.25">
      <c r="A758">
        <v>6</v>
      </c>
      <c r="B758" s="179">
        <v>45898</v>
      </c>
      <c r="C758" t="s">
        <v>3505</v>
      </c>
      <c r="D758" t="str">
        <f>VLOOKUP($C758,ТабКлиенты[[#All],[name]:[phone]],MATCH(D$1,ТабКлиенты[#Headers],0)-1,0)</f>
        <v>+79495524078</v>
      </c>
      <c r="E758" t="str">
        <f>VLOOKUP($C758,ТабАдрес[[#All],[Клиент]:[gps]],MATCH(E$1,ТабКлиенты[#Headers],0)-4,0)</f>
        <v>Ленина 87</v>
      </c>
      <c r="F758" t="str">
        <f>VLOOKUP($C758,ТабАдрес[[#All],[Клиент]:[gps]],MATCH(F$1,ТабКлиенты[#Headers],0)-4,0)</f>
        <v>47.0980, 37.5374</v>
      </c>
      <c r="G758" s="183">
        <v>0.45833333333333331</v>
      </c>
      <c r="H758" s="181">
        <v>2800</v>
      </c>
      <c r="K758" t="str">
        <f t="shared" si="14"/>
        <v>6. 11:00 Елена Ленина 87
Тел.: +79495524078
Адрес: Ленина 87
№ заказа: 
Кол-во мест: 
https://yandex.ru/maps/?text=47.0980%2C37.5374
https://maps.google.com/?daddr=47.0980%2C37.5374
К оплате: **2800
**--------------------------------</v>
      </c>
    </row>
    <row r="759" spans="1:11" hidden="1" x14ac:dyDescent="0.25">
      <c r="A759">
        <v>1</v>
      </c>
      <c r="B759" s="179">
        <v>45906</v>
      </c>
      <c r="C759" t="s">
        <v>3172</v>
      </c>
      <c r="D759" t="str">
        <f>VLOOKUP($C759,ТабКлиенты[[#All],[name]:[phone]],MATCH(D$1,ТабКлиенты[#Headers],0)-1,0)</f>
        <v>+79497277100</v>
      </c>
      <c r="E759" t="str">
        <f>VLOOKUP($C759,ТабАдрес[[#All],[Клиент]:[gps]],MATCH(E$1,ТабКлиенты[#Headers],0)-4,0)</f>
        <v>Артема 132</v>
      </c>
      <c r="F759" t="str">
        <f>VLOOKUP($C759,ТабАдрес[[#All],[Клиент]:[gps]],MATCH(F$1,ТабКлиенты[#Headers],0)-4,0)</f>
        <v>47.1085, 37.5599</v>
      </c>
      <c r="G759" s="183">
        <v>0.45833333333333331</v>
      </c>
      <c r="H759" s="181">
        <v>1000</v>
      </c>
      <c r="K759" t="str">
        <f t="shared" si="14"/>
        <v>1. 11:00 Александр Радин
Тел.: +79497277100
Адрес: Артема 132
№ заказа: 
Кол-во мест: 
https://yandex.ru/maps/?text=47.1085%2C37.5599
https://maps.google.com/?daddr=47.1085%2C37.5599
К оплате: **1000
**--------------------------------</v>
      </c>
    </row>
    <row r="760" spans="1:11" hidden="1" x14ac:dyDescent="0.25">
      <c r="A760">
        <v>2</v>
      </c>
      <c r="B760" s="179">
        <v>45906</v>
      </c>
      <c r="C760" t="s">
        <v>4229</v>
      </c>
      <c r="D760" t="e">
        <f>VLOOKUP($C760,ТабКлиенты[[#All],[name]:[phone]],MATCH(D$1,ТабКлиенты[#Headers],0)-1,0)</f>
        <v>#N/A</v>
      </c>
      <c r="E760" t="e">
        <f>VLOOKUP($C760,ТабАдрес[[#All],[Клиент]:[gps]],MATCH(E$1,ТабКлиенты[#Headers],0)-4,0)</f>
        <v>#N/A</v>
      </c>
      <c r="F760" t="e">
        <f>VLOOKUP($C760,ТабАдрес[[#All],[Клиент]:[gps]],MATCH(F$1,ТабКлиенты[#Headers],0)-4,0)</f>
        <v>#N/A</v>
      </c>
      <c r="G760" s="183">
        <v>0.46875</v>
      </c>
      <c r="H760" s="181">
        <v>14300</v>
      </c>
      <c r="K760" t="e">
        <f t="shared" si="14"/>
        <v>#N/A</v>
      </c>
    </row>
    <row r="761" spans="1:11" hidden="1" x14ac:dyDescent="0.25">
      <c r="A761">
        <v>3</v>
      </c>
      <c r="B761" s="179">
        <v>45906</v>
      </c>
      <c r="C761" t="s">
        <v>3198</v>
      </c>
      <c r="D761" t="str">
        <f>VLOOKUP($C761,ТабКлиенты[[#All],[name]:[phone]],MATCH(D$1,ТабКлиенты[#Headers],0)-1,0)</f>
        <v>+79497094719</v>
      </c>
      <c r="E761" t="str">
        <f>VLOOKUP($C761,ТабАдрес[[#All],[Клиент]:[gps]],MATCH(E$1,ТабКлиенты[#Headers],0)-4,0)</f>
        <v>60 лет СССР 2Б</v>
      </c>
      <c r="F761" t="str">
        <f>VLOOKUP($C761,ТабАдрес[[#All],[Клиент]:[gps]],MATCH(F$1,ТабКлиенты[#Headers],0)-4,0)</f>
        <v>47.1178, 37.5121</v>
      </c>
      <c r="G761" s="183">
        <v>0.48958333333333331</v>
      </c>
      <c r="H761" s="181">
        <v>2400</v>
      </c>
      <c r="K761" t="str">
        <f t="shared" si="14"/>
        <v>3. 11:45 Наталья 60 лет СССР
Тел.: +79497094719
Адрес: 60 лет СССР 2Б
№ заказа: 
Кол-во мест: 
https://yandex.ru/maps/?text=47.1178%2C37.5121
https://maps.google.com/?daddr=47.1178%2C37.5121
К оплате: **2400
**--------------------------------</v>
      </c>
    </row>
    <row r="762" spans="1:11" hidden="1" x14ac:dyDescent="0.25">
      <c r="A762">
        <v>4</v>
      </c>
      <c r="B762" s="179">
        <v>45906</v>
      </c>
      <c r="C762" t="s">
        <v>3325</v>
      </c>
      <c r="D762" t="str">
        <f>VLOOKUP($C762,ТабКлиенты[[#All],[name]:[phone]],MATCH(D$1,ТабКлиенты[#Headers],0)-1,0)</f>
        <v>+79497177018</v>
      </c>
      <c r="E762" t="str">
        <f>VLOOKUP($C762,ТабАдрес[[#All],[Клиент]:[gps]],MATCH(E$1,ТабКлиенты[#Headers],0)-4,0)</f>
        <v>Троицка 75, Рынок Юмовила</v>
      </c>
      <c r="F762" t="str">
        <f>VLOOKUP($C762,ТабАдрес[[#All],[Клиент]:[gps]],MATCH(F$1,ТабКлиенты[#Headers],0)-4,0)</f>
        <v>47.1121, 37.5156</v>
      </c>
      <c r="G762" s="183">
        <v>0.5</v>
      </c>
      <c r="H762" s="181">
        <v>0</v>
      </c>
      <c r="K762" t="str">
        <f t="shared" si="14"/>
        <v>4. 12:00 Елена Индол
Тел.: +79497177018
Адрес: Троицка 75, Рынок Юмовила
№ заказа: 
Кол-во мест: 
https://yandex.ru/maps/?text=47.1121%2C37.5156
https://maps.google.com/?daddr=47.1121%2C37.5156
К оплате: **0
**--------------------------------</v>
      </c>
    </row>
    <row r="763" spans="1:11" hidden="1" x14ac:dyDescent="0.25">
      <c r="A763">
        <v>5</v>
      </c>
      <c r="B763" s="179">
        <v>45906</v>
      </c>
      <c r="C763" t="s">
        <v>4230</v>
      </c>
      <c r="D763" t="e">
        <f>VLOOKUP($C763,ТабКлиенты[[#All],[name]:[phone]],MATCH(D$1,ТабКлиенты[#Headers],0)-1,0)</f>
        <v>#N/A</v>
      </c>
      <c r="E763" t="e">
        <f>VLOOKUP($C763,ТабАдрес[[#All],[Клиент]:[gps]],MATCH(E$1,ТабКлиенты[#Headers],0)-4,0)</f>
        <v>#N/A</v>
      </c>
      <c r="F763" t="e">
        <f>VLOOKUP($C763,ТабАдрес[[#All],[Клиент]:[gps]],MATCH(F$1,ТабКлиенты[#Headers],0)-4,0)</f>
        <v>#N/A</v>
      </c>
      <c r="G763" s="183">
        <v>0.50694444444444442</v>
      </c>
      <c r="H763" s="181">
        <v>4600</v>
      </c>
      <c r="K763" t="e">
        <f t="shared" si="14"/>
        <v>#N/A</v>
      </c>
    </row>
    <row r="764" spans="1:11" hidden="1" x14ac:dyDescent="0.25">
      <c r="A764">
        <v>6</v>
      </c>
      <c r="B764" s="179">
        <v>45906</v>
      </c>
      <c r="C764" t="s">
        <v>3226</v>
      </c>
      <c r="D764" t="str">
        <f>VLOOKUP($C764,ТабКлиенты[[#All],[name]:[phone]],MATCH(D$1,ТабКлиенты[#Headers],0)-1,0)</f>
        <v>+79497169864</v>
      </c>
      <c r="E764" t="str">
        <f>VLOOKUP($C764,ТабАдрес[[#All],[Клиент]:[gps]],MATCH(E$1,ТабКлиенты[#Headers],0)-4,0)</f>
        <v>Строителей, 102</v>
      </c>
      <c r="F764" t="str">
        <f>VLOOKUP($C764,ТабАдрес[[#All],[Клиент]:[gps]],MATCH(F$1,ТабКлиенты[#Headers],0)-4,0)</f>
        <v>47.100776, 37.522477</v>
      </c>
      <c r="G764" s="183">
        <v>0.51388888888888884</v>
      </c>
      <c r="H764" s="181">
        <v>19000</v>
      </c>
      <c r="K764" t="str">
        <f t="shared" si="14"/>
        <v>6. 12:20 Надежда Витамины
Тел.: +79497169864
Адрес: Строителей, 102
№ заказа: 
Кол-во мест: 
https://yandex.ru/maps/?text=47.100776%2C37.522477
https://maps.google.com/?daddr=47.100776%2C37.522477
К оплате: **19000
**--------------------------------</v>
      </c>
    </row>
    <row r="765" spans="1:11" hidden="1" x14ac:dyDescent="0.25">
      <c r="A765">
        <v>7</v>
      </c>
      <c r="B765" s="179">
        <v>45906</v>
      </c>
      <c r="C765" t="s">
        <v>3475</v>
      </c>
      <c r="D765" t="str">
        <f>VLOOKUP($C765,ТабКлиенты[[#All],[name]:[phone]],MATCH(D$1,ТабКлиенты[#Headers],0)-1,0)</f>
        <v>+79497078921</v>
      </c>
      <c r="E765" t="str">
        <f>VLOOKUP($C765,ТабАдрес[[#All],[Клиент]:[gps]],MATCH(E$1,ТабКлиенты[#Headers],0)-4,0)</f>
        <v>Черноморская 17</v>
      </c>
      <c r="F765" t="str">
        <f>VLOOKUP($C765,ТабАдрес[[#All],[Клиент]:[gps]],MATCH(F$1,ТабКлиенты[#Headers],0)-4,0)</f>
        <v>47.0767, 37.5101</v>
      </c>
      <c r="G765" s="183">
        <v>0.52083333333333337</v>
      </c>
      <c r="H765" s="181">
        <v>23500</v>
      </c>
      <c r="K765" t="str">
        <f t="shared" si="14"/>
        <v>7. 12:30 Оксана Черноморская
Тел.: +79497078921
Адрес: Черноморская 17
№ заказа: 
Кол-во мест: 
https://yandex.ru/maps/?text=47.0767%2C37.5101
https://maps.google.com/?daddr=47.0767%2C37.5101
К оплате: **23500
**--------------------------------</v>
      </c>
    </row>
    <row r="766" spans="1:11" hidden="1" x14ac:dyDescent="0.25">
      <c r="A766">
        <v>8</v>
      </c>
      <c r="B766" s="179">
        <v>45906</v>
      </c>
      <c r="C766" t="s">
        <v>4223</v>
      </c>
      <c r="D766" t="e">
        <f>VLOOKUP($C766,ТабКлиенты[[#All],[name]:[phone]],MATCH(D$1,ТабКлиенты[#Headers],0)-1,0)</f>
        <v>#N/A</v>
      </c>
      <c r="E766" t="e">
        <f>VLOOKUP($C766,ТабАдрес[[#All],[Клиент]:[gps]],MATCH(E$1,ТабКлиенты[#Headers],0)-4,0)</f>
        <v>#N/A</v>
      </c>
      <c r="F766" t="e">
        <f>VLOOKUP($C766,ТабАдрес[[#All],[Клиент]:[gps]],MATCH(F$1,ТабКлиенты[#Headers],0)-4,0)</f>
        <v>#N/A</v>
      </c>
      <c r="G766" s="183">
        <v>0.53125</v>
      </c>
      <c r="H766" s="181">
        <v>2900</v>
      </c>
      <c r="K766" t="e">
        <f t="shared" si="14"/>
        <v>#N/A</v>
      </c>
    </row>
    <row r="767" spans="1:11" hidden="1" x14ac:dyDescent="0.25">
      <c r="A767">
        <v>1</v>
      </c>
      <c r="B767" s="179">
        <v>45923</v>
      </c>
      <c r="C767" t="s">
        <v>3437</v>
      </c>
      <c r="D767" t="str">
        <f>VLOOKUP($C767,ТабКлиенты[[#All],[name]:[phone]],MATCH(D$1,ТабКлиенты[#Headers],0)-1,0)</f>
        <v>+79495807738</v>
      </c>
      <c r="E767" t="str">
        <f>VLOOKUP($C767,ТабАдрес[[#All],[Клиент]:[gps]],MATCH(E$1,ТабКлиенты[#Headers],0)-4,0)</f>
        <v>Ленина 85б подъезд 4</v>
      </c>
      <c r="F767" t="str">
        <f>VLOOKUP($C767,ТабАдрес[[#All],[Клиент]:[gps]],MATCH(F$1,ТабКлиенты[#Headers],0)-4,0)</f>
        <v>47.0991, 37.5384</v>
      </c>
      <c r="G767" s="183">
        <v>0.41666666666666669</v>
      </c>
      <c r="H767" s="181">
        <v>7000</v>
      </c>
      <c r="K767" t="str">
        <f t="shared" si="14"/>
        <v>1. 10:00 Юлия АТБ кольцо
Тел.: +79495807738
Адрес: Ленина 85б подъезд 4
№ заказа: 
Кол-во мест: 
https://yandex.ru/maps/?text=47.0991%2C37.5384
https://maps.google.com/?daddr=47.0991%2C37.5384
К оплате: **7000
**--------------------------------</v>
      </c>
    </row>
    <row r="768" spans="1:11" hidden="1" x14ac:dyDescent="0.25">
      <c r="A768">
        <v>2</v>
      </c>
      <c r="B768" s="179">
        <v>45923</v>
      </c>
      <c r="C768" t="s">
        <v>3384</v>
      </c>
      <c r="D768" t="str">
        <f>VLOOKUP($C768,ТабКлиенты[[#All],[name]:[phone]],MATCH(D$1,ТабКлиенты[#Headers],0)-1,0)</f>
        <v>+79497388231</v>
      </c>
      <c r="E768" t="str">
        <f>VLOOKUP($C768,ТабАдрес[[#All],[Клиент]:[gps]],MATCH(E$1,ТабКлиенты[#Headers],0)-4,0)</f>
        <v>Леваневского 58</v>
      </c>
      <c r="F768" t="str">
        <f>VLOOKUP($C768,ТабАдрес[[#All],[Клиент]:[gps]],MATCH(F$1,ТабКлиенты[#Headers],0)-4,0)</f>
        <v>47.1007, 37.5310</v>
      </c>
      <c r="G768" s="183">
        <v>0.4236111111111111</v>
      </c>
      <c r="H768" s="181">
        <v>2300</v>
      </c>
      <c r="K768" t="str">
        <f t="shared" si="14"/>
        <v>2. 10:10 Валентина Сычева
Тел.: +79497388231
Адрес: Леваневского 58
№ заказа: 
Кол-во мест: 
https://yandex.ru/maps/?text=47.1007%2C37.5310
https://maps.google.com/?daddr=47.1007%2C37.5310
К оплате: **2300
**--------------------------------</v>
      </c>
    </row>
    <row r="769" spans="1:11" hidden="1" x14ac:dyDescent="0.25">
      <c r="A769">
        <v>3</v>
      </c>
      <c r="B769" s="179">
        <v>45923</v>
      </c>
      <c r="C769" t="s">
        <v>3475</v>
      </c>
      <c r="D769" t="str">
        <f>VLOOKUP($C769,ТабКлиенты[[#All],[name]:[phone]],MATCH(D$1,ТабКлиенты[#Headers],0)-1,0)</f>
        <v>+79497078921</v>
      </c>
      <c r="E769" t="str">
        <f>VLOOKUP($C769,ТабАдрес[[#All],[Клиент]:[gps]],MATCH(E$1,ТабКлиенты[#Headers],0)-4,0)</f>
        <v>Черноморская 17</v>
      </c>
      <c r="F769" t="str">
        <f>VLOOKUP($C769,ТабАдрес[[#All],[Клиент]:[gps]],MATCH(F$1,ТабКлиенты[#Headers],0)-4,0)</f>
        <v>47.0767, 37.5101</v>
      </c>
      <c r="G769" s="183">
        <v>0.4375</v>
      </c>
      <c r="H769" s="181">
        <v>16900</v>
      </c>
      <c r="K769" t="str">
        <f t="shared" si="14"/>
        <v>3. 10:30 Оксана Черноморская
Тел.: +79497078921
Адрес: Черноморская 17
№ заказа: 
Кол-во мест: 
https://yandex.ru/maps/?text=47.0767%2C37.5101
https://maps.google.com/?daddr=47.0767%2C37.5101
К оплате: **16900
**--------------------------------</v>
      </c>
    </row>
    <row r="770" spans="1:11" hidden="1" x14ac:dyDescent="0.25">
      <c r="A770">
        <v>4</v>
      </c>
      <c r="B770" s="179">
        <v>45923</v>
      </c>
      <c r="C770" t="s">
        <v>4225</v>
      </c>
      <c r="D770" t="e">
        <f>VLOOKUP($C770,ТабКлиенты[[#All],[name]:[phone]],MATCH(D$1,ТабКлиенты[#Headers],0)-1,0)</f>
        <v>#N/A</v>
      </c>
      <c r="E770" t="e">
        <f>VLOOKUP($C770,ТабАдрес[[#All],[Клиент]:[gps]],MATCH(E$1,ТабКлиенты[#Headers],0)-4,0)</f>
        <v>#N/A</v>
      </c>
      <c r="F770" t="e">
        <f>VLOOKUP($C770,ТабАдрес[[#All],[Клиент]:[gps]],MATCH(F$1,ТабКлиенты[#Headers],0)-4,0)</f>
        <v>#N/A</v>
      </c>
      <c r="G770" s="183">
        <v>0.44791666666666669</v>
      </c>
      <c r="H770" s="181">
        <v>8500</v>
      </c>
      <c r="K770" t="e">
        <f t="shared" si="14"/>
        <v>#N/A</v>
      </c>
    </row>
    <row r="771" spans="1:11" hidden="1" x14ac:dyDescent="0.25">
      <c r="A771">
        <v>5</v>
      </c>
      <c r="B771" s="179">
        <v>45923</v>
      </c>
      <c r="C771" t="s">
        <v>4333</v>
      </c>
      <c r="D771" t="e">
        <f>VLOOKUP($C771,ТабКлиенты[[#All],[name]:[phone]],MATCH(D$1,ТабКлиенты[#Headers],0)-1,0)</f>
        <v>#N/A</v>
      </c>
      <c r="E771" t="e">
        <f>VLOOKUP($C771,ТабАдрес[[#All],[Клиент]:[gps]],MATCH(E$1,ТабКлиенты[#Headers],0)-4,0)</f>
        <v>#N/A</v>
      </c>
      <c r="F771" t="e">
        <f>VLOOKUP($C771,ТабАдрес[[#All],[Клиент]:[gps]],MATCH(F$1,ТабКлиенты[#Headers],0)-4,0)</f>
        <v>#N/A</v>
      </c>
      <c r="G771" s="183">
        <v>0.4548611111111111</v>
      </c>
      <c r="H771" s="181">
        <v>0</v>
      </c>
      <c r="K771" t="e">
        <f t="shared" si="14"/>
        <v>#N/A</v>
      </c>
    </row>
    <row r="772" spans="1:11" hidden="1" x14ac:dyDescent="0.25">
      <c r="A772">
        <v>6</v>
      </c>
      <c r="B772" s="179">
        <v>45923</v>
      </c>
      <c r="C772" t="s">
        <v>3241</v>
      </c>
      <c r="D772" t="str">
        <f>VLOOKUP($C772,ТабКлиенты[[#All],[name]:[phone]],MATCH(D$1,ТабКлиенты[#Headers],0)-1,0)</f>
        <v>+79497064345</v>
      </c>
      <c r="E772" t="str">
        <f>VLOOKUP($C772,ТабАдрес[[#All],[Клиент]:[gps]],MATCH(E$1,ТабКлиенты[#Headers],0)-4,0)</f>
        <v>Шевченко 270</v>
      </c>
      <c r="F772" t="str">
        <f>VLOOKUP($C772,ТабАдрес[[#All],[Клиент]:[gps]],MATCH(F$1,ТабКлиенты[#Headers],0)-4,0)</f>
        <v>47.1157, 37.5138</v>
      </c>
      <c r="G772" s="183">
        <v>0.46180555555555558</v>
      </c>
      <c r="H772" s="181">
        <v>1700</v>
      </c>
      <c r="K772" t="str">
        <f t="shared" si="14"/>
        <v>6. 11:05 Татьяна Леонидовна
Тел.: +79497064345
Адрес: Шевченко 270
№ заказа: 
Кол-во мест: 
https://yandex.ru/maps/?text=47.1157%2C37.5138
https://maps.google.com/?daddr=47.1157%2C37.5138
К оплате: **1700
**--------------------------------</v>
      </c>
    </row>
    <row r="773" spans="1:11" hidden="1" x14ac:dyDescent="0.25">
      <c r="A773">
        <v>7</v>
      </c>
      <c r="B773" s="179">
        <v>45923</v>
      </c>
      <c r="C773" t="s">
        <v>3497</v>
      </c>
      <c r="D773" t="str">
        <f>VLOOKUP($C773,ТабКлиенты[[#All],[name]:[phone]],MATCH(D$1,ТабКлиенты[#Headers],0)-1,0)</f>
        <v>+79497049936</v>
      </c>
      <c r="E773" t="str">
        <f>VLOOKUP($C773,ТабАдрес[[#All],[Клиент]:[gps]],MATCH(E$1,ТабКлиенты[#Headers],0)-4,0)</f>
        <v>Шевченко 317 Грация</v>
      </c>
      <c r="F773" t="str">
        <f>VLOOKUP($C773,ТабАдрес[[#All],[Клиент]:[gps]],MATCH(F$1,ТабКлиенты[#Headers],0)-4,0)</f>
        <v>47.1179, 37.5163</v>
      </c>
      <c r="G773" s="183">
        <v>0.46527777777777779</v>
      </c>
      <c r="H773" s="181">
        <v>4800</v>
      </c>
      <c r="K773" t="str">
        <f t="shared" si="14"/>
        <v>7. 11:10 Алена Грация
Тел.: +79497049936
Адрес: Шевченко 317 Грация
№ заказа: 
Кол-во мест: 
https://yandex.ru/maps/?text=47.1179%2C37.5163
https://maps.google.com/?daddr=47.1179%2C37.5163
К оплате: **4800
**--------------------------------</v>
      </c>
    </row>
    <row r="774" spans="1:11" hidden="1" x14ac:dyDescent="0.25">
      <c r="A774">
        <v>8</v>
      </c>
      <c r="B774" s="179">
        <v>45923</v>
      </c>
      <c r="C774" t="s">
        <v>3235</v>
      </c>
      <c r="D774" t="str">
        <f>VLOOKUP($C774,ТабКлиенты[[#All],[name]:[phone]],MATCH(D$1,ТабКлиенты[#Headers],0)-1,0)</f>
        <v>+79497386112</v>
      </c>
      <c r="E774" t="str">
        <f>VLOOKUP($C774,ТабАдрес[[#All],[Клиент]:[gps]],MATCH(E$1,ТабКлиенты[#Headers],0)-4,0)</f>
        <v>Шевченко 325</v>
      </c>
      <c r="F774" t="str">
        <f>VLOOKUP($C774,ТабАдрес[[#All],[Клиент]:[gps]],MATCH(F$1,ТабКлиенты[#Headers],0)-4,0)</f>
        <v>47.1193, 37.5172</v>
      </c>
      <c r="G774" s="183">
        <v>0.4861111111111111</v>
      </c>
      <c r="H774" s="181">
        <v>12900</v>
      </c>
      <c r="K774" t="str">
        <f t="shared" si="14"/>
        <v>8. 11:40 Любовь Виталий
Тел.: +79497386112
Адрес: Шевченко 325
№ заказа: 
Кол-во мест: 
https://yandex.ru/maps/?text=47.1193%2C37.5172
https://maps.google.com/?daddr=47.1193%2C37.5172
К оплате: **12900
**--------------------------------</v>
      </c>
    </row>
    <row r="775" spans="1:11" hidden="1" x14ac:dyDescent="0.25">
      <c r="A775">
        <v>9</v>
      </c>
      <c r="B775" s="179">
        <v>45923</v>
      </c>
      <c r="C775" t="s">
        <v>4338</v>
      </c>
      <c r="D775" t="e">
        <f>VLOOKUP($C775,ТабКлиенты[[#All],[name]:[phone]],MATCH(D$1,ТабКлиенты[#Headers],0)-1,0)</f>
        <v>#N/A</v>
      </c>
      <c r="E775" t="e">
        <f>VLOOKUP($C775,ТабАдрес[[#All],[Клиент]:[gps]],MATCH(E$1,ТабКлиенты[#Headers],0)-4,0)</f>
        <v>#N/A</v>
      </c>
      <c r="F775" t="e">
        <f>VLOOKUP($C775,ТабАдрес[[#All],[Клиент]:[gps]],MATCH(F$1,ТабКлиенты[#Headers],0)-4,0)</f>
        <v>#N/A</v>
      </c>
      <c r="G775" s="183">
        <v>0.49305555555555558</v>
      </c>
      <c r="H775" s="181">
        <v>3000</v>
      </c>
      <c r="K775" t="e">
        <f t="shared" si="14"/>
        <v>#N/A</v>
      </c>
    </row>
    <row r="776" spans="1:11" hidden="1" x14ac:dyDescent="0.25">
      <c r="A776">
        <v>10</v>
      </c>
      <c r="B776" s="179">
        <v>45923</v>
      </c>
      <c r="C776" t="s">
        <v>3270</v>
      </c>
      <c r="D776" t="str">
        <f>VLOOKUP($C776,ТабКлиенты[[#All],[name]:[phone]],MATCH(D$1,ТабКлиенты[#Headers],0)-1,0)</f>
        <v>+79496334882</v>
      </c>
      <c r="E776" t="str">
        <f>VLOOKUP($C776,ТабАдрес[[#All],[Клиент]:[gps]],MATCH(E$1,ТабКлиенты[#Headers],0)-4,0)</f>
        <v>Шевченко 217</v>
      </c>
      <c r="F776" t="str">
        <f>VLOOKUP($C776,ТабАдрес[[#All],[Клиент]:[gps]],MATCH(F$1,ТабКлиенты[#Headers],0)-4,0)</f>
        <v>47.1130, 37.5406</v>
      </c>
      <c r="G776" s="183">
        <v>0.50347222222222221</v>
      </c>
      <c r="H776" s="181">
        <v>2500</v>
      </c>
      <c r="K776" t="str">
        <f t="shared" si="14"/>
        <v>10. 12:05 Елена Шевченко 217
Тел.: +79496334882
Адрес: Шевченко 217
№ заказа: 
Кол-во мест: 
https://yandex.ru/maps/?text=47.1130%2C37.5406
https://maps.google.com/?daddr=47.1130%2C37.5406
К оплате: **2500
**--------------------------------</v>
      </c>
    </row>
    <row r="777" spans="1:11" hidden="1" x14ac:dyDescent="0.25">
      <c r="A777">
        <v>11</v>
      </c>
      <c r="B777" s="179">
        <v>45923</v>
      </c>
      <c r="C777" t="s">
        <v>3361</v>
      </c>
      <c r="D777" t="e">
        <f>VLOOKUP($C777,ТабКлиенты[[#All],[name]:[phone]],MATCH(D$1,ТабКлиенты[#Headers],0)-1,0)</f>
        <v>#N/A</v>
      </c>
      <c r="E777" t="e">
        <f>VLOOKUP($C777,ТабАдрес[[#All],[Клиент]:[gps]],MATCH(E$1,ТабКлиенты[#Headers],0)-4,0)</f>
        <v>#N/A</v>
      </c>
      <c r="F777" t="e">
        <f>VLOOKUP($C777,ТабАдрес[[#All],[Клиент]:[gps]],MATCH(F$1,ТабКлиенты[#Headers],0)-4,0)</f>
        <v>#N/A</v>
      </c>
      <c r="G777" s="183">
        <v>0.51388888888888884</v>
      </c>
      <c r="H777" s="181">
        <v>1700</v>
      </c>
      <c r="K777" t="e">
        <f t="shared" si="14"/>
        <v>#N/A</v>
      </c>
    </row>
    <row r="778" spans="1:11" hidden="1" x14ac:dyDescent="0.25">
      <c r="A778">
        <v>12</v>
      </c>
      <c r="B778" s="179">
        <v>45923</v>
      </c>
      <c r="C778" t="s">
        <v>4337</v>
      </c>
      <c r="D778" t="e">
        <f>VLOOKUP($C778,ТабКлиенты[[#All],[name]:[phone]],MATCH(D$1,ТабКлиенты[#Headers],0)-1,0)</f>
        <v>#N/A</v>
      </c>
      <c r="E778" t="e">
        <f>VLOOKUP($C778,ТабАдрес[[#All],[Клиент]:[gps]],MATCH(E$1,ТабКлиенты[#Headers],0)-4,0)</f>
        <v>#N/A</v>
      </c>
      <c r="F778" t="e">
        <f>VLOOKUP($C778,ТабАдрес[[#All],[Клиент]:[gps]],MATCH(F$1,ТабКлиенты[#Headers],0)-4,0)</f>
        <v>#N/A</v>
      </c>
      <c r="G778" s="183">
        <v>0.52083333333333337</v>
      </c>
      <c r="H778" s="181">
        <v>0</v>
      </c>
      <c r="K778" t="e">
        <f t="shared" si="14"/>
        <v>#N/A</v>
      </c>
    </row>
    <row r="779" spans="1:11" hidden="1" x14ac:dyDescent="0.25">
      <c r="B779" s="179">
        <v>45924</v>
      </c>
      <c r="C779" t="s">
        <v>3206</v>
      </c>
      <c r="D779" t="str">
        <f>VLOOKUP($C779,ТабКлиенты[[#All],[name]:[phone]],MATCH(D$1,ТабКлиенты[#Headers],0)-1,0)</f>
        <v>+79496248226</v>
      </c>
      <c r="E779" t="str">
        <f>VLOOKUP($C779,ТабАдрес[[#All],[Клиент]:[gps]],MATCH(E$1,ТабКлиенты[#Headers],0)-4,0)</f>
        <v>Шевченко 274</v>
      </c>
      <c r="F779" t="str">
        <f>VLOOKUP($C779,ТабАдрес[[#All],[Клиент]:[gps]],MATCH(F$1,ТабКлиенты[#Headers],0)-4,0)</f>
        <v>47.1149, 37.5127</v>
      </c>
      <c r="G779" s="183"/>
      <c r="H779" s="181">
        <v>3100</v>
      </c>
      <c r="K779" t="str">
        <f t="shared" si="14"/>
        <v>. 00:00 Даша Калифорния
Тел.: +79496248226
Адрес: Шевченко 274
№ заказа: 
Кол-во мест: 
https://yandex.ru/maps/?text=47.1149%2C37.5127
https://maps.google.com/?daddr=47.1149%2C37.5127
К оплате: **3100
**--------------------------------</v>
      </c>
    </row>
    <row r="780" spans="1:11" hidden="1" x14ac:dyDescent="0.25">
      <c r="B780" s="179">
        <v>45924</v>
      </c>
      <c r="C780" t="s">
        <v>3282</v>
      </c>
      <c r="D780" t="str">
        <f>VLOOKUP($C780,ТабКлиенты[[#All],[name]:[phone]],MATCH(D$1,ТабКлиенты[#Headers],0)-1,0)</f>
        <v>+79497054056</v>
      </c>
      <c r="E780" t="str">
        <f>VLOOKUP($C780,ТабАдрес[[#All],[Клиент]:[gps]],MATCH(E$1,ТабКлиенты[#Headers],0)-4,0)</f>
        <v>пер. Новгородский 41</v>
      </c>
      <c r="F780" t="str">
        <f>VLOOKUP($C780,ТабАдрес[[#All],[Клиент]:[gps]],MATCH(F$1,ТабКлиенты[#Headers],0)-4,0)</f>
        <v>47.1100, 37.5242</v>
      </c>
      <c r="G780" s="183"/>
      <c r="H780" s="181">
        <v>7100</v>
      </c>
      <c r="K780" t="str">
        <f t="shared" si="14"/>
        <v>. 00:00 Лариса Терраспорт
Тел.: +79497054056
Адрес: пер. Новгородский 41
№ заказа: 
Кол-во мест: 
https://yandex.ru/maps/?text=47.1100%2C37.5242
https://maps.google.com/?daddr=47.1100%2C37.5242
К оплате: **7100
**--------------------------------</v>
      </c>
    </row>
    <row r="781" spans="1:11" hidden="1" x14ac:dyDescent="0.25">
      <c r="B781" s="179">
        <v>45924</v>
      </c>
      <c r="C781" t="s">
        <v>4630</v>
      </c>
      <c r="D781" t="str">
        <f>VLOOKUP($C781,ТабКлиенты[[#All],[name]:[phone]],MATCH(D$1,ТабКлиенты[#Headers],0)-1,0)</f>
        <v>+79497113670</v>
      </c>
      <c r="E781" t="str">
        <f>VLOOKUP($C781,ТабАдрес[[#All],[Клиент]:[gps]],MATCH(E$1,ТабКлиенты[#Headers],0)-4,0)</f>
        <v>Шевченко, 295</v>
      </c>
      <c r="F781" t="str">
        <f>VLOOKUP($C781,ТабАдрес[[#All],[Клиент]:[gps]],MATCH(F$1,ТабКлиенты[#Headers],0)-4,0)</f>
        <v>47.116917, 37.521872</v>
      </c>
      <c r="G781" s="183"/>
      <c r="H781" s="181">
        <v>2700</v>
      </c>
      <c r="K781" t="str">
        <f t="shared" si="14"/>
        <v>. 00:00 Полина Цветы
Тел.: +79497113670
Адрес: Шевченко, 295
№ заказа: 
Кол-во мест: 
https://yandex.ru/maps/?text=47.116917%2C37.521872
https://maps.google.com/?daddr=47.116917%2C37.521872
К оплате: **2700
**--------------------------------</v>
      </c>
    </row>
    <row r="782" spans="1:11" hidden="1" x14ac:dyDescent="0.25">
      <c r="A782">
        <v>13</v>
      </c>
      <c r="B782" s="179">
        <v>45923</v>
      </c>
      <c r="C782" t="s">
        <v>3252</v>
      </c>
      <c r="D782" t="str">
        <f>VLOOKUP($C782,ТабКлиенты[[#All],[name]:[phone]],MATCH(D$1,ТабКлиенты[#Headers],0)-1,0)</f>
        <v>+79497115237</v>
      </c>
      <c r="E782" t="str">
        <f>VLOOKUP($C782,ТабАдрес[[#All],[Клиент]:[gps]],MATCH(E$1,ТабКлиенты[#Headers],0)-4,0)</f>
        <v>пер Станционный 8</v>
      </c>
      <c r="F782" t="str">
        <f>VLOOKUP($C782,ТабАдрес[[#All],[Клиент]:[gps]],MATCH(F$1,ТабКлиенты[#Headers],0)-4,0)</f>
        <v>47.1640, 37.5780</v>
      </c>
      <c r="G782" s="183">
        <v>0.54166666666666663</v>
      </c>
      <c r="H782" s="181">
        <v>8000</v>
      </c>
      <c r="K782" t="str">
        <f t="shared" si="14"/>
        <v>13. 13:00 Аня Мирный
Тел.: +79497115237
Адрес: пер Станционный 8
№ заказа: 
Кол-во мест: 
https://yandex.ru/maps/?text=47.1640%2C37.5780
https://maps.google.com/?daddr=47.1640%2C37.5780
К оплате: **8000
**--------------------------------</v>
      </c>
    </row>
    <row r="783" spans="1:11" hidden="1" x14ac:dyDescent="0.25">
      <c r="A783">
        <v>1</v>
      </c>
      <c r="B783" s="179">
        <v>45940</v>
      </c>
      <c r="C783" t="s">
        <v>4568</v>
      </c>
      <c r="D783">
        <f>VLOOKUP($C783,ТабКлиенты[[#All],[name]:[phone]],MATCH(D$1,ТабКлиенты[#Headers],0)-1,0)</f>
        <v>0</v>
      </c>
      <c r="E783" t="str">
        <f>VLOOKUP($C783,ТабАдрес[[#All],[Клиент]:[gps]],MATCH(E$1,ТабКлиенты[#Headers],0)-4,0)</f>
        <v>рынок Калифорния</v>
      </c>
      <c r="F783" t="str">
        <f>VLOOKUP($C783,ТабАдрес[[#All],[Клиент]:[gps]],MATCH(F$1,ТабКлиенты[#Headers],0)-4,0)</f>
        <v>47.105156, 37.539071</v>
      </c>
      <c r="G783" s="183">
        <v>0.41666666666666669</v>
      </c>
      <c r="H783" s="181">
        <v>3200</v>
      </c>
      <c r="J783" s="52">
        <v>1</v>
      </c>
      <c r="K783" t="str">
        <f t="shared" si="14"/>
        <v>1. 10:00 Татьяна Константинова
Тел.: 0
Адрес: рынок Калифорния
№ заказа: 
Кол-во мест: 1
https://yandex.ru/maps/?text=47.105156%2C37.539071
https://maps.google.com/?daddr=47.105156%2C37.539071
К оплате: **3200
**--------------------------------</v>
      </c>
    </row>
    <row r="784" spans="1:11" hidden="1" x14ac:dyDescent="0.25">
      <c r="A784">
        <v>2</v>
      </c>
      <c r="B784" s="179">
        <v>45940</v>
      </c>
      <c r="C784" t="s">
        <v>3235</v>
      </c>
      <c r="D784" t="str">
        <f>VLOOKUP($C784,ТабКлиенты[[#All],[name]:[phone]],MATCH(D$1,ТабКлиенты[#Headers],0)-1,0)</f>
        <v>+79497386112</v>
      </c>
      <c r="E784" t="str">
        <f>VLOOKUP($C784,ТабАдрес[[#All],[Клиент]:[gps]],MATCH(E$1,ТабКлиенты[#Headers],0)-4,0)</f>
        <v>Шевченко 325</v>
      </c>
      <c r="F784" t="str">
        <f>VLOOKUP($C784,ТабАдрес[[#All],[Клиент]:[gps]],MATCH(F$1,ТабКлиенты[#Headers],0)-4,0)</f>
        <v>47.1193, 37.5172</v>
      </c>
      <c r="G784" s="183">
        <v>0.42708333333333331</v>
      </c>
      <c r="H784" s="181">
        <v>7000</v>
      </c>
      <c r="I784" s="52" t="s">
        <v>4573</v>
      </c>
      <c r="J784" s="52">
        <v>2</v>
      </c>
      <c r="K784" t="str">
        <f t="shared" si="14"/>
        <v>2. 10:15 Любовь Виталий
Тел.: +79497386112
Адрес: Шевченко 325
№ заказа: Долг 3600
Кол-во мест: 2
https://yandex.ru/maps/?text=47.1193%2C37.5172
https://maps.google.com/?daddr=47.1193%2C37.5172
К оплате: **7000
**--------------------------------</v>
      </c>
    </row>
    <row r="785" spans="1:11" hidden="1" x14ac:dyDescent="0.25">
      <c r="A785">
        <v>3</v>
      </c>
      <c r="B785" s="179">
        <v>45940</v>
      </c>
      <c r="C785" t="s">
        <v>3226</v>
      </c>
      <c r="D785" t="str">
        <f>VLOOKUP($C785,ТабКлиенты[[#All],[name]:[phone]],MATCH(D$1,ТабКлиенты[#Headers],0)-1,0)</f>
        <v>+79497169864</v>
      </c>
      <c r="E785" t="str">
        <f>VLOOKUP($C785,ТабАдрес[[#All],[Клиент]:[gps]],MATCH(E$1,ТабКлиенты[#Headers],0)-4,0)</f>
        <v>Строителей, 102</v>
      </c>
      <c r="F785" t="str">
        <f>VLOOKUP($C785,ТабАдрес[[#All],[Клиент]:[gps]],MATCH(F$1,ТабКлиенты[#Headers],0)-4,0)</f>
        <v>47.100776, 37.522477</v>
      </c>
      <c r="G785" s="183">
        <v>0.45833333333333331</v>
      </c>
      <c r="H785" s="181">
        <v>11300</v>
      </c>
      <c r="J785" s="52">
        <v>3</v>
      </c>
      <c r="K785" t="str">
        <f t="shared" si="14"/>
        <v>3. 11:00 Надежда Витамины
Тел.: +79497169864
Адрес: Строителей, 102
№ заказа: 
Кол-во мест: 3
https://yandex.ru/maps/?text=47.100776%2C37.522477
https://maps.google.com/?daddr=47.100776%2C37.522477
К оплате: **11300
**--------------------------------</v>
      </c>
    </row>
    <row r="786" spans="1:11" hidden="1" x14ac:dyDescent="0.25">
      <c r="A786">
        <v>4</v>
      </c>
      <c r="B786" s="179">
        <v>45940</v>
      </c>
      <c r="C786" t="s">
        <v>4563</v>
      </c>
      <c r="D786" t="str">
        <f>VLOOKUP($C786,ТабКлиенты[[#All],[name]:[phone]],MATCH(D$1,ТабКлиенты[#Headers],0)-1,0)</f>
        <v>+79497093373</v>
      </c>
      <c r="E786" t="str">
        <f>VLOOKUP($C786,ТабАдрес[[#All],[Клиент]:[gps]],MATCH(E$1,ТабКлиенты[#Headers],0)-4,0)</f>
        <v>Зелинского, 11</v>
      </c>
      <c r="F786" t="str">
        <f>VLOOKUP($C786,ТабАдрес[[#All],[Клиент]:[gps]],MATCH(F$1,ТабКлиенты[#Headers],0)-4,0)</f>
        <v>47.089456, 37.516851</v>
      </c>
      <c r="G786" s="183">
        <v>0.46875</v>
      </c>
      <c r="H786" s="181">
        <v>2500</v>
      </c>
      <c r="J786" s="52">
        <v>1</v>
      </c>
      <c r="K786" t="str">
        <f t="shared" si="14"/>
        <v>4. 11:15 Ольга Электромех. Колледж
Тел.: +79497093373
Адрес: Зелинского, 11
№ заказа: 
Кол-во мест: 1
https://yandex.ru/maps/?text=47.089456%2C37.516851
https://maps.google.com/?daddr=47.089456%2C37.516851
К оплате: **2500
**--------------------------------</v>
      </c>
    </row>
    <row r="787" spans="1:11" hidden="1" x14ac:dyDescent="0.25">
      <c r="A787">
        <v>5</v>
      </c>
      <c r="B787" s="179">
        <v>45940</v>
      </c>
      <c r="C787" t="s">
        <v>3475</v>
      </c>
      <c r="D787" t="str">
        <f>VLOOKUP($C787,ТабКлиенты[[#All],[name]:[phone]],MATCH(D$1,ТабКлиенты[#Headers],0)-1,0)</f>
        <v>+79497078921</v>
      </c>
      <c r="E787" t="str">
        <f>VLOOKUP($C787,ТабАдрес[[#All],[Клиент]:[gps]],MATCH(E$1,ТабКлиенты[#Headers],0)-4,0)</f>
        <v>Черноморская 17</v>
      </c>
      <c r="F787" t="str">
        <f>VLOOKUP($C787,ТабАдрес[[#All],[Клиент]:[gps]],MATCH(F$1,ТабКлиенты[#Headers],0)-4,0)</f>
        <v>47.0767, 37.5101</v>
      </c>
      <c r="G787" s="183">
        <v>0.47916666666666669</v>
      </c>
      <c r="H787" s="181">
        <v>29550</v>
      </c>
      <c r="J787" s="52">
        <v>7</v>
      </c>
      <c r="K787" t="str">
        <f t="shared" si="14"/>
        <v>5. 11:30 Оксана Черноморская
Тел.: +79497078921
Адрес: Черноморская 17
№ заказа: 
Кол-во мест: 7
https://yandex.ru/maps/?text=47.0767%2C37.5101
https://maps.google.com/?daddr=47.0767%2C37.5101
К оплате: **29550
**--------------------------------</v>
      </c>
    </row>
    <row r="788" spans="1:11" hidden="1" x14ac:dyDescent="0.25">
      <c r="A788">
        <v>1</v>
      </c>
      <c r="B788" s="179">
        <v>45952</v>
      </c>
      <c r="C788" t="s">
        <v>3280</v>
      </c>
      <c r="D788" t="str">
        <f>VLOOKUP($C788,ТабКлиенты[[#All],[name]:[phone]],MATCH(D$1,ТабКлиенты[#Headers],0)-1,0)</f>
        <v>+79497094719</v>
      </c>
      <c r="E788" t="str">
        <f>VLOOKUP($C788,ТабАдрес[[#All],[Клиент]:[gps]],MATCH(E$1,ТабКлиенты[#Headers],0)-4,0)</f>
        <v>Апатова, 125</v>
      </c>
      <c r="F788" t="str">
        <f>VLOOKUP($C788,ТабАдрес[[#All],[Клиент]:[gps]],MATCH(F$1,ТабКлиенты[#Headers],0)-4,0)</f>
        <v>47.094114, 37.535889</v>
      </c>
      <c r="G788" s="183">
        <v>0.41666666666666669</v>
      </c>
      <c r="H788" s="181">
        <v>1900</v>
      </c>
      <c r="J788" s="52">
        <v>1</v>
      </c>
      <c r="K788" t="str">
        <f t="shared" si="14"/>
        <v>1. 10:00 Наталья магазин
Тел.: +79497094719
Адрес: Апатова, 125
№ заказа: 
Кол-во мест: 1
https://yandex.ru/maps/?text=47.094114%2C37.535889
https://maps.google.com/?daddr=47.094114%2C37.535889
К оплате: **1900
**--------------------------------</v>
      </c>
    </row>
    <row r="789" spans="1:11" hidden="1" x14ac:dyDescent="0.25">
      <c r="A789">
        <v>2</v>
      </c>
      <c r="B789" s="179">
        <v>45952</v>
      </c>
      <c r="C789" t="s">
        <v>3475</v>
      </c>
      <c r="D789" t="str">
        <f>VLOOKUP($C789,ТабКлиенты[[#All],[name]:[phone]],MATCH(D$1,ТабКлиенты[#Headers],0)-1,0)</f>
        <v>+79497078921</v>
      </c>
      <c r="E789" t="str">
        <f>VLOOKUP($C789,ТабАдрес[[#All],[Клиент]:[gps]],MATCH(E$1,ТабКлиенты[#Headers],0)-4,0)</f>
        <v>Черноморская 17</v>
      </c>
      <c r="F789" t="str">
        <f>VLOOKUP($C789,ТабАдрес[[#All],[Клиент]:[gps]],MATCH(F$1,ТабКлиенты[#Headers],0)-4,0)</f>
        <v>47.0767, 37.5101</v>
      </c>
      <c r="G789" s="183">
        <v>0.4236111111111111</v>
      </c>
      <c r="H789" s="181">
        <v>3000</v>
      </c>
      <c r="J789" s="52">
        <v>1</v>
      </c>
      <c r="K789" t="str">
        <f t="shared" ref="K789:K852" si="16">A789&amp;". "&amp;TEXT(G789,"ЧЧ:ММ")&amp;" "&amp;C789&amp;CHAR(10)&amp;"Тел.: "&amp;D789&amp;CHAR(10)&amp;"Адрес: "&amp;E789&amp;CHAR(10)&amp;"№ заказа: "&amp;I789&amp;CHAR(10)&amp;"Кол-во мест: "&amp;J789&amp;CHAR(10)&amp;"https://yandex.ru/maps/?text="&amp;REPLACE(F789,SEARCH(",",F789),2,"%2C")&amp;CHAR(10)&amp;"https://maps.google.com/?daddr="&amp;REPLACE(F789,SEARCH(",",F789),2,"%2C")&amp;CHAR(10)&amp;"К оплате: "&amp;"**"&amp;H789&amp;CHAR(10)&amp;"**"&amp;"--------------------------------"</f>
        <v>2. 10:10 Оксана Черноморская
Тел.: +79497078921
Адрес: Черноморская 17
№ заказа: 
Кол-во мест: 1
https://yandex.ru/maps/?text=47.0767%2C37.5101
https://maps.google.com/?daddr=47.0767%2C37.5101
К оплате: **3000
**--------------------------------</v>
      </c>
    </row>
    <row r="790" spans="1:11" hidden="1" x14ac:dyDescent="0.25">
      <c r="A790">
        <v>3</v>
      </c>
      <c r="B790" s="179">
        <v>45952</v>
      </c>
      <c r="C790" t="s">
        <v>4771</v>
      </c>
      <c r="D790" t="str">
        <f>VLOOKUP($C790,ТабКлиенты[[#All],[name]:[phone]],MATCH(D$1,ТабКлиенты[#Headers],0)-1,0)</f>
        <v>+79497179245</v>
      </c>
      <c r="E790" t="str">
        <f>VLOOKUP($C790,ТабАдрес[[#All],[Клиент]:[gps]],MATCH(E$1,ТабКлиенты[#Headers],0)-4,0)</f>
        <v>Ткаченко Петренко 3</v>
      </c>
      <c r="F790" t="str">
        <f>VLOOKUP($C790,ТабАдрес[[#All],[Клиент]:[gps]],MATCH(F$1,ТабКлиенты[#Headers],0)-4,0)</f>
        <v>47.0853, 37.5071</v>
      </c>
      <c r="G790" s="183">
        <v>0.43055555555555558</v>
      </c>
      <c r="H790" s="181">
        <v>4400</v>
      </c>
      <c r="J790" s="52">
        <v>2</v>
      </c>
      <c r="K790" t="str">
        <f t="shared" si="16"/>
        <v>3. 10:20 Светлана кулаки
Тел.: +79497179245
Адрес: Ткаченко Петренко 3
№ заказа: 
Кол-во мест: 2
https://yandex.ru/maps/?text=47.0853%2C37.5071
https://maps.google.com/?daddr=47.0853%2C37.5071
К оплате: **4400
**--------------------------------</v>
      </c>
    </row>
    <row r="791" spans="1:11" hidden="1" x14ac:dyDescent="0.25">
      <c r="A791">
        <v>4</v>
      </c>
      <c r="B791" s="179">
        <v>45952</v>
      </c>
      <c r="C791" t="s">
        <v>4769</v>
      </c>
      <c r="D791" t="str">
        <f>VLOOKUP($C791,ТабКлиенты[[#All],[name]:[phone]],MATCH(D$1,ТабКлиенты[#Headers],0)-1,0)</f>
        <v>+79498485492</v>
      </c>
      <c r="E791" t="str">
        <f>VLOOKUP($C791,ТабАдрес[[#All],[Клиент]:[gps]],MATCH(E$1,ТабКлиенты[#Headers],0)-4,0)</f>
        <v>Строителей, 60</v>
      </c>
      <c r="F791" t="str">
        <f>VLOOKUP($C791,ТабАдрес[[#All],[Клиент]:[gps]],MATCH(F$1,ТабКлиенты[#Headers],0)-4,0)</f>
        <v>47.091097, 37.521829</v>
      </c>
      <c r="G791" s="183">
        <v>0.44444444444444442</v>
      </c>
      <c r="H791" s="181">
        <v>1600</v>
      </c>
      <c r="J791" s="52">
        <v>1</v>
      </c>
      <c r="K791" t="str">
        <f t="shared" si="16"/>
        <v>4. 10:40 Алена бахчик
Тел.: +79498485492
Адрес: Строителей, 60
№ заказа: 
Кол-во мест: 1
https://yandex.ru/maps/?text=47.091097%2C37.521829
https://maps.google.com/?daddr=47.091097%2C37.521829
К оплате: **1600
**--------------------------------</v>
      </c>
    </row>
    <row r="792" spans="1:11" hidden="1" x14ac:dyDescent="0.25">
      <c r="A792">
        <v>5</v>
      </c>
      <c r="B792" s="179">
        <v>45952</v>
      </c>
      <c r="C792" t="s">
        <v>4768</v>
      </c>
      <c r="D792" t="str">
        <f>VLOOKUP($C792,ТабКлиенты[[#All],[name]:[phone]],MATCH(D$1,ТабКлиенты[#Headers],0)-1,0)</f>
        <v>+79497169864</v>
      </c>
      <c r="E792" t="str">
        <f>VLOOKUP($C792,ТабАдрес[[#All],[Клиент]:[gps]],MATCH(E$1,ТабКлиенты[#Headers],0)-4,0)</f>
        <v>Строителей, 102</v>
      </c>
      <c r="F792" t="str">
        <f>VLOOKUP($C792,ТабАдрес[[#All],[Клиент]:[gps]],MATCH(F$1,ТабКлиенты[#Headers],0)-4,0)</f>
        <v>47.100776, 37.522477</v>
      </c>
      <c r="G792" s="183">
        <v>0.4513888888888889</v>
      </c>
      <c r="H792" s="181">
        <v>7900</v>
      </c>
      <c r="J792" s="52">
        <v>3</v>
      </c>
      <c r="K792" t="str">
        <f t="shared" si="16"/>
        <v>5. 10:50 Надежда витамины
Тел.: +79497169864
Адрес: Строителей, 102
№ заказа: 
Кол-во мест: 3
https://yandex.ru/maps/?text=47.100776%2C37.522477
https://maps.google.com/?daddr=47.100776%2C37.522477
К оплате: **7900
**--------------------------------</v>
      </c>
    </row>
    <row r="793" spans="1:11" hidden="1" x14ac:dyDescent="0.25">
      <c r="A793">
        <v>6</v>
      </c>
      <c r="B793" s="179">
        <v>45952</v>
      </c>
      <c r="C793" t="s">
        <v>4630</v>
      </c>
      <c r="D793" t="str">
        <f>VLOOKUP($C793,ТабКлиенты[[#All],[name]:[phone]],MATCH(D$1,ТабКлиенты[#Headers],0)-1,0)</f>
        <v>+79497113670</v>
      </c>
      <c r="E793" t="str">
        <f>VLOOKUP($C793,ТабАдрес[[#All],[Клиент]:[gps]],MATCH(E$1,ТабКлиенты[#Headers],0)-4,0)</f>
        <v>Шевченко, 295</v>
      </c>
      <c r="F793" t="str">
        <f>VLOOKUP($C793,ТабАдрес[[#All],[Клиент]:[gps]],MATCH(F$1,ТабКлиенты[#Headers],0)-4,0)</f>
        <v>47.116917, 37.521872</v>
      </c>
      <c r="G793" s="183">
        <v>0.46527777777777779</v>
      </c>
      <c r="H793" s="181">
        <v>2600</v>
      </c>
      <c r="J793" s="52">
        <v>1</v>
      </c>
      <c r="K793" t="str">
        <f t="shared" si="16"/>
        <v>6. 11:10 Полина Цветы
Тел.: +79497113670
Адрес: Шевченко, 295
№ заказа: 
Кол-во мест: 1
https://yandex.ru/maps/?text=47.116917%2C37.521872
https://maps.google.com/?daddr=47.116917%2C37.521872
К оплате: **2600
**--------------------------------</v>
      </c>
    </row>
    <row r="794" spans="1:11" hidden="1" x14ac:dyDescent="0.25">
      <c r="A794">
        <v>7</v>
      </c>
      <c r="B794" s="179">
        <v>45952</v>
      </c>
      <c r="C794" t="s">
        <v>3235</v>
      </c>
      <c r="D794" t="str">
        <f>VLOOKUP($C794,ТабКлиенты[[#All],[name]:[phone]],MATCH(D$1,ТабКлиенты[#Headers],0)-1,0)</f>
        <v>+79497386112</v>
      </c>
      <c r="E794" t="str">
        <f>VLOOKUP($C794,ТабАдрес[[#All],[Клиент]:[gps]],MATCH(E$1,ТабКлиенты[#Headers],0)-4,0)</f>
        <v>Шевченко 325</v>
      </c>
      <c r="F794" t="str">
        <f>VLOOKUP($C794,ТабАдрес[[#All],[Клиент]:[gps]],MATCH(F$1,ТабКлиенты[#Headers],0)-4,0)</f>
        <v>47.1193, 37.5172</v>
      </c>
      <c r="G794" s="183">
        <v>0.47222222222222221</v>
      </c>
      <c r="H794" s="181">
        <v>7000</v>
      </c>
      <c r="J794" s="52">
        <v>3</v>
      </c>
      <c r="K794" t="str">
        <f t="shared" si="16"/>
        <v>7. 11:20 Любовь Виталий
Тел.: +79497386112
Адрес: Шевченко 325
№ заказа: 
Кол-во мест: 3
https://yandex.ru/maps/?text=47.1193%2C37.5172
https://maps.google.com/?daddr=47.1193%2C37.5172
К оплате: **7000
**--------------------------------</v>
      </c>
    </row>
    <row r="795" spans="1:11" hidden="1" x14ac:dyDescent="0.25">
      <c r="A795">
        <v>8</v>
      </c>
      <c r="B795" s="179">
        <v>45952</v>
      </c>
      <c r="C795" t="s">
        <v>4641</v>
      </c>
      <c r="D795" t="str">
        <f>VLOOKUP($C795,ТабКлиенты[[#All],[name]:[phone]],MATCH(D$1,ТабКлиенты[#Headers],0)-1,0)</f>
        <v>+79498079642</v>
      </c>
      <c r="E795" t="str">
        <f>VLOOKUP($C795,ТабАдрес[[#All],[Клиент]:[gps]],MATCH(E$1,ТабКлиенты[#Headers],0)-4,0)</f>
        <v>Шевченко, 160</v>
      </c>
      <c r="F795" t="str">
        <f>VLOOKUP($C795,ТабАдрес[[#All],[Клиент]:[gps]],MATCH(F$1,ТабКлиенты[#Headers],0)-4,0)</f>
        <v>47.112856, 37.540032</v>
      </c>
      <c r="G795" s="183">
        <v>0.5</v>
      </c>
      <c r="H795" s="181">
        <v>5200</v>
      </c>
      <c r="J795" s="52">
        <v>3</v>
      </c>
      <c r="K795" t="str">
        <f t="shared" si="16"/>
        <v>8. 12:00 Татьяна от Елены б-р Шевченко
Тел.: +79498079642
Адрес: Шевченко, 160
№ заказа: 
Кол-во мест: 3
https://yandex.ru/maps/?text=47.112856%2C37.540032
https://maps.google.com/?daddr=47.112856%2C37.540032
К оплате: **5200
**--------------------------------</v>
      </c>
    </row>
    <row r="796" spans="1:11" hidden="1" x14ac:dyDescent="0.25">
      <c r="A796">
        <v>9</v>
      </c>
      <c r="B796" s="179">
        <v>45952</v>
      </c>
      <c r="C796" t="s">
        <v>4638</v>
      </c>
      <c r="D796" t="str">
        <f>VLOOKUP($C796,ТабКлиенты[[#All],[name]:[phone]],MATCH(D$1,ТабКлиенты[#Headers],0)-1,0)</f>
        <v>+79497200824</v>
      </c>
      <c r="E796" t="str">
        <f>VLOOKUP($C796,ТабАдрес[[#All],[Клиент]:[gps]],MATCH(E$1,ТабКлиенты[#Headers],0)-4,0)</f>
        <v>Металлургов, 81а</v>
      </c>
      <c r="F796" t="str">
        <f>VLOOKUP($C796,ТабАдрес[[#All],[Клиент]:[gps]],MATCH(F$1,ТабКлиенты[#Headers],0)-4,0)</f>
        <v>47.104947, 37.551863</v>
      </c>
      <c r="G796" s="183">
        <v>0.51041666666666663</v>
      </c>
      <c r="H796" s="181">
        <v>6600</v>
      </c>
      <c r="J796" s="52">
        <v>2</v>
      </c>
      <c r="K796" t="str">
        <f t="shared" si="16"/>
        <v>9. 12:15 Алёна Чайка
Тел.: +79497200824
Адрес: Металлургов, 81а
№ заказа: 
Кол-во мест: 2
https://yandex.ru/maps/?text=47.104947%2C37.551863
https://maps.google.com/?daddr=47.104947%2C37.551863
К оплате: **6600
**--------------------------------</v>
      </c>
    </row>
    <row r="797" spans="1:11" hidden="1" x14ac:dyDescent="0.25">
      <c r="A797">
        <v>1</v>
      </c>
      <c r="B797" s="179">
        <v>45962</v>
      </c>
      <c r="C797" t="s">
        <v>3252</v>
      </c>
      <c r="D797" t="str">
        <f>VLOOKUP($C797,ТабКлиенты[[#All],[name]:[phone]],MATCH(D$1,ТабКлиенты[#Headers],0)-1,0)</f>
        <v>+79497115237</v>
      </c>
      <c r="E797" t="str">
        <f>VLOOKUP($C797,ТабАдрес[[#All],[Клиент]:[gps]],MATCH(E$1,ТабКлиенты[#Headers],0)-4,0)</f>
        <v>пер Станционный 8</v>
      </c>
      <c r="F797" t="str">
        <f>VLOOKUP($C797,ТабАдрес[[#All],[Клиент]:[gps]],MATCH(F$1,ТабКлиенты[#Headers],0)-4,0)</f>
        <v>47.1640, 37.5780</v>
      </c>
      <c r="G797" s="183">
        <v>0.41666666666666669</v>
      </c>
      <c r="H797" s="181">
        <f>2800+2300</f>
        <v>5100</v>
      </c>
      <c r="J797" s="52">
        <v>2</v>
      </c>
      <c r="K797" t="str">
        <f t="shared" ref="K797:K807" si="17">A797&amp;". "&amp;TEXT(G797,"ЧЧ:ММ")&amp;" "&amp;C797&amp;CHAR(10)&amp;"Тел.: "&amp;D797&amp;CHAR(10)&amp;"Адрес: "&amp;E797&amp;CHAR(10)&amp;"№ заказа: "&amp;I797&amp;CHAR(10)&amp;"Кол-во мест: "&amp;J797&amp;CHAR(10)&amp;"https://yandex.ru/maps/?text="&amp;REPLACE(F797,SEARCH(",",F797),2,"%2C")&amp;CHAR(10)&amp;"https://maps.google.com/?daddr="&amp;REPLACE(F797,SEARCH(",",F797),2,"%2C")&amp;CHAR(10)&amp;"К оплате: "&amp;"**"&amp;H797&amp;CHAR(10)&amp;"**"&amp;"--------------------------------"</f>
        <v>1. 10:00 Аня Мирный
Тел.: +79497115237
Адрес: пер Станционный 8
№ заказа: 
Кол-во мест: 2
https://yandex.ru/maps/?text=47.1640%2C37.5780
https://maps.google.com/?daddr=47.1640%2C37.5780
К оплате: **5100
**--------------------------------</v>
      </c>
    </row>
    <row r="798" spans="1:11" hidden="1" x14ac:dyDescent="0.25">
      <c r="A798">
        <v>2</v>
      </c>
      <c r="B798" s="179">
        <v>45962</v>
      </c>
      <c r="C798" t="s">
        <v>3150</v>
      </c>
      <c r="D798" t="str">
        <f>VLOOKUP($C798,ТабКлиенты[[#All],[name]:[phone]],MATCH(D$1,ТабКлиенты[#Headers],0)-1,0)</f>
        <v>+79497190408</v>
      </c>
      <c r="E798" t="str">
        <f>VLOOKUP($C798,ТабАдрес[[#All],[Клиент]:[gps]],MATCH(E$1,ТабКлиенты[#Headers],0)-4,0)</f>
        <v>Проектная 10</v>
      </c>
      <c r="F798" t="str">
        <f>VLOOKUP($C798,ТабАдрес[[#All],[Клиент]:[gps]],MATCH(F$1,ТабКлиенты[#Headers],0)-4,0)</f>
        <v>47.1281, 37.5732</v>
      </c>
      <c r="G798" s="183">
        <v>0.4236111111111111</v>
      </c>
      <c r="H798" s="181">
        <v>0</v>
      </c>
      <c r="J798" s="52">
        <v>2</v>
      </c>
      <c r="K798" t="str">
        <f t="shared" si="17"/>
        <v>2. 10:10 Елена пер. Фруктовый
Тел.: +79497190408
Адрес: Проектная 10
№ заказа: 
Кол-во мест: 2
https://yandex.ru/maps/?text=47.1281%2C37.5732
https://maps.google.com/?daddr=47.1281%2C37.5732
К оплате: **0
**--------------------------------</v>
      </c>
    </row>
    <row r="799" spans="1:11" hidden="1" x14ac:dyDescent="0.25">
      <c r="A799">
        <v>3</v>
      </c>
      <c r="B799" s="179">
        <v>45962</v>
      </c>
      <c r="C799" t="s">
        <v>3493</v>
      </c>
      <c r="D799" t="str">
        <f>VLOOKUP($C799,ТабКлиенты[[#All],[name]:[phone]],MATCH(D$1,ТабКлиенты[#Headers],0)-1,0)</f>
        <v>+79497163227</v>
      </c>
      <c r="E799" t="str">
        <f>VLOOKUP($C799,ТабАдрес[[#All],[Клиент]:[gps]],MATCH(E$1,ТабКлиенты[#Headers],0)-4,0)</f>
        <v>Артема 44</v>
      </c>
      <c r="F799" t="str">
        <f>VLOOKUP($C799,ТабАдрес[[#All],[Клиент]:[gps]],MATCH(F$1,ТабКлиенты[#Headers],0)-4,0)</f>
        <v>47.0943, 37.5487</v>
      </c>
      <c r="G799" s="183">
        <v>0.4375</v>
      </c>
      <c r="H799" s="181">
        <v>1900</v>
      </c>
      <c r="J799" s="52">
        <v>1</v>
      </c>
      <c r="K799" t="str">
        <f t="shared" si="17"/>
        <v>3. 10:30 Виктория Страховка
Тел.: +79497163227
Адрес: Артема 44
№ заказа: 
Кол-во мест: 1
https://yandex.ru/maps/?text=47.0943%2C37.5487
https://maps.google.com/?daddr=47.0943%2C37.5487
К оплате: **1900
**--------------------------------</v>
      </c>
    </row>
    <row r="800" spans="1:11" hidden="1" x14ac:dyDescent="0.25">
      <c r="A800">
        <v>4</v>
      </c>
      <c r="B800" s="179">
        <v>45962</v>
      </c>
      <c r="C800" t="s">
        <v>4911</v>
      </c>
      <c r="D800" t="str">
        <f>VLOOKUP($C800,ТабКлиенты[[#All],[name]:[phone]],MATCH(D$1,ТабКлиенты[#Headers],0)-1,0)</f>
        <v>+79490371889</v>
      </c>
      <c r="E800" t="str">
        <f>VLOOKUP($C800,ТабАдрес[[#All],[Клиент]:[gps]],MATCH(E$1,ТабКлиенты[#Headers],0)-4,0)</f>
        <v>пр. Строителей, 60</v>
      </c>
      <c r="F800" t="str">
        <f>VLOOKUP($C800,ТабАдрес[[#All],[Клиент]:[gps]],MATCH(F$1,ТабКлиенты[#Headers],0)-4,0)</f>
        <v>47.091120, 37.520662</v>
      </c>
      <c r="G800" s="183">
        <v>0.4513888888888889</v>
      </c>
      <c r="H800" s="181">
        <v>2000</v>
      </c>
      <c r="J800" s="52">
        <v>1</v>
      </c>
      <c r="K800" t="str">
        <f t="shared" si="17"/>
        <v>4. 10:50 Виктория Бахчиванджи
Тел.: +79490371889
Адрес: пр. Строителей, 60
№ заказа: 
Кол-во мест: 1
https://yandex.ru/maps/?text=47.091120%2C37.520662
https://maps.google.com/?daddr=47.091120%2C37.520662
К оплате: **2000
**--------------------------------</v>
      </c>
    </row>
    <row r="801" spans="1:11" hidden="1" x14ac:dyDescent="0.25">
      <c r="A801">
        <v>5</v>
      </c>
      <c r="B801" s="179">
        <v>45962</v>
      </c>
      <c r="C801" t="s">
        <v>3384</v>
      </c>
      <c r="D801" t="str">
        <f>VLOOKUP($C801,ТабКлиенты[[#All],[name]:[phone]],MATCH(D$1,ТабКлиенты[#Headers],0)-1,0)</f>
        <v>+79497388231</v>
      </c>
      <c r="E801" t="str">
        <f>VLOOKUP($C801,ТабАдрес[[#All],[Клиент]:[gps]],MATCH(E$1,ТабКлиенты[#Headers],0)-4,0)</f>
        <v>Леваневского 58</v>
      </c>
      <c r="F801" t="str">
        <f>VLOOKUP($C801,ТабАдрес[[#All],[Клиент]:[gps]],MATCH(F$1,ТабКлиенты[#Headers],0)-4,0)</f>
        <v>47.1007, 37.5310</v>
      </c>
      <c r="G801" s="183">
        <v>0.46180555555555558</v>
      </c>
      <c r="H801" s="181">
        <v>0</v>
      </c>
      <c r="J801" s="52">
        <v>3</v>
      </c>
      <c r="K801" t="str">
        <f t="shared" si="17"/>
        <v>5. 11:05 Валентина Сычева
Тел.: +79497388231
Адрес: Леваневского 58
№ заказа: 
Кол-во мест: 3
https://yandex.ru/maps/?text=47.1007%2C37.5310
https://maps.google.com/?daddr=47.1007%2C37.5310
К оплате: **0
**--------------------------------</v>
      </c>
    </row>
    <row r="802" spans="1:11" hidden="1" x14ac:dyDescent="0.25">
      <c r="A802">
        <v>6</v>
      </c>
      <c r="B802" s="179">
        <v>45962</v>
      </c>
      <c r="C802" t="s">
        <v>3231</v>
      </c>
      <c r="D802" t="str">
        <f>VLOOKUP($C802,ТабКлиенты[[#All],[name]:[phone]],MATCH(D$1,ТабКлиенты[#Headers],0)-1,0)</f>
        <v>+79497336840</v>
      </c>
      <c r="E802" t="str">
        <f>VLOOKUP($C802,ТабАдрес[[#All],[Клиент]:[gps]],MATCH(E$1,ТабКлиенты[#Headers],0)-4,0)</f>
        <v>Бригантина 152</v>
      </c>
      <c r="F802" t="str">
        <f>VLOOKUP($C802,ТабАдрес[[#All],[Клиент]:[gps]],MATCH(F$1,ТабКлиенты[#Headers],0)-4,0)</f>
        <v>47.0779, 37.4879</v>
      </c>
      <c r="G802" s="183">
        <v>0.46875</v>
      </c>
      <c r="H802" s="181">
        <v>0</v>
      </c>
      <c r="J802" s="52">
        <v>2</v>
      </c>
      <c r="K802" t="str">
        <f t="shared" si="17"/>
        <v>6. 11:15 Татьяна Бригантина
Тел.: +79497336840
Адрес: Бригантина 152
№ заказа: 
Кол-во мест: 2
https://yandex.ru/maps/?text=47.0779%2C37.4879
https://maps.google.com/?daddr=47.0779%2C37.4879
К оплате: **0
**--------------------------------</v>
      </c>
    </row>
    <row r="803" spans="1:11" hidden="1" x14ac:dyDescent="0.25">
      <c r="A803">
        <v>7</v>
      </c>
      <c r="B803" s="179">
        <v>45962</v>
      </c>
      <c r="C803" t="s">
        <v>4630</v>
      </c>
      <c r="D803" t="str">
        <f>VLOOKUP($C803,ТабКлиенты[[#All],[name]:[phone]],MATCH(D$1,ТабКлиенты[#Headers],0)-1,0)</f>
        <v>+79497113670</v>
      </c>
      <c r="E803" t="str">
        <f>VLOOKUP($C803,ТабАдрес[[#All],[Клиент]:[gps]],MATCH(E$1,ТабКлиенты[#Headers],0)-4,0)</f>
        <v>Шевченко, 295</v>
      </c>
      <c r="F803" t="str">
        <f>VLOOKUP($C803,ТабАдрес[[#All],[Клиент]:[gps]],MATCH(F$1,ТабКлиенты[#Headers],0)-4,0)</f>
        <v>47.116917, 37.521872</v>
      </c>
      <c r="G803" s="183">
        <v>0.5</v>
      </c>
      <c r="H803" s="181">
        <v>2600</v>
      </c>
      <c r="J803" s="52">
        <v>1</v>
      </c>
      <c r="K803" t="str">
        <f t="shared" si="17"/>
        <v>7. 12:00 Полина Цветы
Тел.: +79497113670
Адрес: Шевченко, 295
№ заказа: 
Кол-во мест: 1
https://yandex.ru/maps/?text=47.116917%2C37.521872
https://maps.google.com/?daddr=47.116917%2C37.521872
К оплате: **2600
**--------------------------------</v>
      </c>
    </row>
    <row r="804" spans="1:11" hidden="1" x14ac:dyDescent="0.25">
      <c r="A804">
        <v>8</v>
      </c>
      <c r="B804" s="179">
        <v>45962</v>
      </c>
      <c r="C804" t="s">
        <v>4872</v>
      </c>
      <c r="D804" t="str">
        <f>VLOOKUP($C804,ТабКлиенты[[#All],[name]:[phone]],MATCH(D$1,ТабКлиенты[#Headers],0)-1,0)</f>
        <v>+7949</v>
      </c>
      <c r="E804" t="str">
        <f>VLOOKUP($C804,ТабАдрес[[#All],[Клиент]:[gps]],MATCH(E$1,ТабКлиенты[#Headers],0)-4,0)</f>
        <v>Мариуполь, б. Шевченко, 295А</v>
      </c>
      <c r="F804" t="str">
        <f>VLOOKUP($C804,ТабАдрес[[#All],[Клиент]:[gps]],MATCH(F$1,ТабКлиенты[#Headers],0)-4,0)</f>
        <v>47.116991, 37.521160</v>
      </c>
      <c r="G804" s="183">
        <v>0.50347222222222221</v>
      </c>
      <c r="H804" s="181">
        <v>5200</v>
      </c>
      <c r="J804" s="52">
        <v>2</v>
      </c>
      <c r="K804" t="str">
        <f t="shared" si="17"/>
        <v>8. 12:05 Антонина Космос
Тел.: +7949
Адрес: Мариуполь, б. Шевченко, 295А
№ заказа: 
Кол-во мест: 2
https://yandex.ru/maps/?text=47.116991%2C37.521160
https://maps.google.com/?daddr=47.116991%2C37.521160
К оплате: **5200
**--------------------------------</v>
      </c>
    </row>
    <row r="805" spans="1:11" hidden="1" x14ac:dyDescent="0.25">
      <c r="A805">
        <v>9</v>
      </c>
      <c r="B805" s="179">
        <v>45962</v>
      </c>
      <c r="C805" t="s">
        <v>3181</v>
      </c>
      <c r="D805" t="str">
        <f>VLOOKUP($C805,ТабКлиенты[[#All],[name]:[phone]],MATCH(D$1,ТабКлиенты[#Headers],0)-1,0)</f>
        <v>+79497106271</v>
      </c>
      <c r="E805" t="str">
        <f>VLOOKUP($C805,ТабАдрес[[#All],[Клиент]:[gps]],MATCH(E$1,ТабКлиенты[#Headers],0)-4,0)</f>
        <v>Урицкого 77</v>
      </c>
      <c r="F805" t="str">
        <f>VLOOKUP($C805,ТабАдрес[[#All],[Клиент]:[gps]],MATCH(F$1,ТабКлиенты[#Headers],0)-4,0)</f>
        <v>47.1228, 37.5167</v>
      </c>
      <c r="G805" s="183">
        <v>0.51041666666666663</v>
      </c>
      <c r="H805" s="181">
        <f>7200+13000</f>
        <v>20200</v>
      </c>
      <c r="J805" s="52">
        <v>5</v>
      </c>
      <c r="K805" t="str">
        <f t="shared" si="17"/>
        <v>9. 12:15 Наталья Школа 53
Тел.: +79497106271
Адрес: Урицкого 77
№ заказа: 
Кол-во мест: 5
https://yandex.ru/maps/?text=47.1228%2C37.5167
https://maps.google.com/?daddr=47.1228%2C37.5167
К оплате: **20200
**--------------------------------</v>
      </c>
    </row>
    <row r="806" spans="1:11" hidden="1" x14ac:dyDescent="0.25">
      <c r="A806">
        <v>10</v>
      </c>
      <c r="B806" s="179">
        <v>45962</v>
      </c>
      <c r="C806" t="s">
        <v>3466</v>
      </c>
      <c r="D806" t="str">
        <f>VLOOKUP($C806,ТабКлиенты[[#All],[name]:[phone]],MATCH(D$1,ТабКлиенты[#Headers],0)-1,0)</f>
        <v>+79497135589</v>
      </c>
      <c r="E806" t="str">
        <f>VLOOKUP($C806,ТабАдрес[[#All],[Клиент]:[gps]],MATCH(E$1,ТабКлиенты[#Headers],0)-4,0)</f>
        <v>Бахмутская 20</v>
      </c>
      <c r="F806" t="str">
        <f>VLOOKUP($C806,ТабАдрес[[#All],[Клиент]:[gps]],MATCH(F$1,ТабКлиенты[#Headers],0)-4,0)</f>
        <v>47.1164, 37.5459</v>
      </c>
      <c r="G806" s="183">
        <v>0.52083333333333337</v>
      </c>
      <c r="H806" s="181">
        <v>10180</v>
      </c>
      <c r="J806" s="52">
        <v>6</v>
      </c>
      <c r="K806" t="str">
        <f t="shared" si="17"/>
        <v>10. 12:30 Оксана молокозавод
Тел.: +79497135589
Адрес: Бахмутская 20
№ заказа: 
Кол-во мест: 6
https://yandex.ru/maps/?text=47.1164%2C37.5459
https://maps.google.com/?daddr=47.1164%2C37.5459
К оплате: **10180
**--------------------------------</v>
      </c>
    </row>
    <row r="807" spans="1:11" hidden="1" x14ac:dyDescent="0.25">
      <c r="A807">
        <v>11</v>
      </c>
      <c r="B807" s="179">
        <v>45962</v>
      </c>
      <c r="C807" t="s">
        <v>4831</v>
      </c>
      <c r="D807" t="str">
        <f>VLOOKUP($C807,ТабКлиенты[[#All],[name]:[phone]],MATCH(D$1,ТабКлиенты[#Headers],0)-1,0)</f>
        <v>+79497057045</v>
      </c>
      <c r="E807" t="str">
        <f>VLOOKUP($C807,ТабАдрес[[#All],[Клиент]:[gps]],MATCH(E$1,ТабКлиенты[#Headers],0)-4,0)</f>
        <v>Бахмутская 20</v>
      </c>
      <c r="F807" t="str">
        <f>VLOOKUP($C807,ТабАдрес[[#All],[Клиент]:[gps]],MATCH(F$1,ТабКлиенты[#Headers],0)-4,0)</f>
        <v>47.1157, 37.5479</v>
      </c>
      <c r="G807" s="183">
        <v>0.52430555555555558</v>
      </c>
      <c r="H807" s="181">
        <v>2500</v>
      </c>
      <c r="J807" s="52">
        <v>1</v>
      </c>
      <c r="K807" t="str">
        <f t="shared" si="17"/>
        <v>11. 12:35 Виктория БСМП
Тел.: +79497057045
Адрес: Бахмутская 20
№ заказа: 
Кол-во мест: 1
https://yandex.ru/maps/?text=47.1157%2C37.5479
https://maps.google.com/?daddr=47.1157%2C37.5479
К оплате: **2500
**--------------------------------</v>
      </c>
    </row>
    <row r="808" spans="1:11" hidden="1" x14ac:dyDescent="0.25">
      <c r="B808" s="179">
        <v>45985</v>
      </c>
      <c r="C808" t="s">
        <v>4983</v>
      </c>
      <c r="D808" t="str">
        <f>VLOOKUP($C808,ТабКлиенты[[#All],[name]:[phone]],MATCH(D$1,ТабКлиенты[#Headers],0)-1,0)</f>
        <v>+79497320091</v>
      </c>
      <c r="E808" t="str">
        <f>VLOOKUP($C808,ТабАдрес[[#All],[Клиент]:[gps]],MATCH(E$1,ТабКлиенты[#Headers],0)-4,0)</f>
        <v>Лавицкого, 17, подъезд 2, кв. 56, этаж 5</v>
      </c>
      <c r="F808" t="str">
        <f>VLOOKUP($C808,ТабАдрес[[#All],[Клиент]:[gps]],MATCH(F$1,ТабКлиенты[#Headers],0)-4,0)</f>
        <v>47.089911, 37.518821</v>
      </c>
      <c r="G808" s="183">
        <v>0.3611111111111111</v>
      </c>
      <c r="H808" s="181">
        <v>7500</v>
      </c>
      <c r="I808" s="52" t="s">
        <v>5029</v>
      </c>
      <c r="J808" s="52">
        <v>2</v>
      </c>
      <c r="K808" t="str">
        <f t="shared" si="16"/>
        <v>. 08:40 Ольга Лавицкого, 17
Тел.: +79497320091
Адрес: Лавицкого, 17, подъезд 2, кв. 56, этаж 5
№ заказа: ЗК000194
Кол-во мест: 2
https://yandex.ru/maps/?text=47.089911%2C37.518821
https://maps.google.com/?daddr=47.089911%2C37.518821
К оплате: **7500
**--------------------------------</v>
      </c>
    </row>
    <row r="809" spans="1:11" hidden="1" x14ac:dyDescent="0.25">
      <c r="B809" s="179">
        <v>45985</v>
      </c>
      <c r="C809" t="s">
        <v>3394</v>
      </c>
      <c r="D809" t="str">
        <f>VLOOKUP($C809,ТабКлиенты[[#All],[name]:[phone]],MATCH(D$1,ТабКлиенты[#Headers],0)-1,0)</f>
        <v>+79495228017</v>
      </c>
      <c r="E809" t="str">
        <f>VLOOKUP($C809,ТабАдрес[[#All],[Клиент]:[gps]],MATCH(E$1,ТабКлиенты[#Headers],0)-4,0)</f>
        <v>Вахтангова 15а</v>
      </c>
      <c r="F809" t="str">
        <f>VLOOKUP($C809,ТабАдрес[[#All],[Клиент]:[gps]],MATCH(F$1,ТабКлиенты[#Headers],0)-4,0)</f>
        <v>47.0882, 37.5117</v>
      </c>
      <c r="G809" s="183">
        <v>0.37152777777777779</v>
      </c>
      <c r="H809" s="181">
        <v>2000</v>
      </c>
      <c r="I809" s="52" t="s">
        <v>5030</v>
      </c>
      <c r="J809" s="52">
        <v>1</v>
      </c>
      <c r="K809" t="str">
        <f t="shared" si="16"/>
        <v>. 08:55 Татьяна Вахтангова
Тел.: +79495228017
Адрес: Вахтангова 15а
№ заказа: ЗК000146
Кол-во мест: 1
https://yandex.ru/maps/?text=47.0882%2C37.5117
https://maps.google.com/?daddr=47.0882%2C37.5117
К оплате: **2000
**--------------------------------</v>
      </c>
    </row>
    <row r="810" spans="1:11" hidden="1" x14ac:dyDescent="0.25">
      <c r="B810" s="179">
        <v>45985</v>
      </c>
      <c r="C810" t="s">
        <v>3226</v>
      </c>
      <c r="D810" t="str">
        <f>VLOOKUP($C810,ТабКлиенты[[#All],[name]:[phone]],MATCH(D$1,ТабКлиенты[#Headers],0)-1,0)</f>
        <v>+79497169864</v>
      </c>
      <c r="E810" t="str">
        <f>VLOOKUP($C810,ТабАдрес[[#All],[Клиент]:[gps]],MATCH(E$1,ТабКлиенты[#Headers],0)-4,0)</f>
        <v>Строителей, 102</v>
      </c>
      <c r="F810" t="str">
        <f>VLOOKUP($C810,ТабАдрес[[#All],[Клиент]:[gps]],MATCH(F$1,ТабКлиенты[#Headers],0)-4,0)</f>
        <v>47.100776, 37.522477</v>
      </c>
      <c r="G810" s="183">
        <v>0.37847222222222221</v>
      </c>
      <c r="H810" s="181">
        <v>1600</v>
      </c>
      <c r="I810" s="52" t="s">
        <v>5031</v>
      </c>
      <c r="J810" s="52">
        <v>1</v>
      </c>
      <c r="K810" t="str">
        <f t="shared" si="16"/>
        <v>. 09:05 Надежда Витамины
Тел.: +79497169864
Адрес: Строителей, 102
№ заказа: ЗК000161
Кол-во мест: 1
https://yandex.ru/maps/?text=47.100776%2C37.522477
https://maps.google.com/?daddr=47.100776%2C37.522477
К оплате: **1600
**--------------------------------</v>
      </c>
    </row>
    <row r="811" spans="1:11" hidden="1" x14ac:dyDescent="0.25">
      <c r="B811" s="179">
        <v>45985</v>
      </c>
      <c r="C811" t="s">
        <v>4523</v>
      </c>
      <c r="D811" t="str">
        <f>VLOOKUP($C811,ТабКлиенты[[#All],[name]:[phone]],MATCH(D$1,ТабКлиенты[#Headers],0)-1,0)</f>
        <v>+7 949 704-99-29</v>
      </c>
      <c r="E811" t="str">
        <f>VLOOKUP($C811,ТабАдрес[[#All],[Клиент]:[gps]],MATCH(E$1,ТабКлиенты[#Headers],0)-4,0)</f>
        <v>Б-р Шевченко 317 Грация</v>
      </c>
      <c r="F811" t="str">
        <f>VLOOKUP($C811,ТабАдрес[[#All],[Клиент]:[gps]],MATCH(F$1,ТабКлиенты[#Headers],0)-4,0)</f>
        <v>47.117993, 37.516302</v>
      </c>
      <c r="G811" s="183">
        <v>0.3888888888888889</v>
      </c>
      <c r="H811" s="181">
        <v>3800</v>
      </c>
      <c r="I811" s="52" t="s">
        <v>5032</v>
      </c>
      <c r="J811" s="52">
        <v>1</v>
      </c>
      <c r="K811" t="str">
        <f t="shared" si="16"/>
        <v>. 09:20 Александр Космос
Тел.: +7 949 704-99-29
Адрес: Б-р Шевченко 317 Грация
№ заказа: ЗК000195
Кол-во мест: 1
https://yandex.ru/maps/?text=47.117993%2C37.516302
https://maps.google.com/?daddr=47.117993%2C37.516302
К оплате: **3800
**--------------------------------</v>
      </c>
    </row>
    <row r="812" spans="1:11" hidden="1" x14ac:dyDescent="0.25">
      <c r="B812" s="179">
        <v>45985</v>
      </c>
      <c r="C812" t="s">
        <v>3235</v>
      </c>
      <c r="D812" t="str">
        <f>VLOOKUP($C812,ТабКлиенты[[#All],[name]:[phone]],MATCH(D$1,ТабКлиенты[#Headers],0)-1,0)</f>
        <v>+79497386112</v>
      </c>
      <c r="E812" t="str">
        <f>VLOOKUP($C812,ТабАдрес[[#All],[Клиент]:[gps]],MATCH(E$1,ТабКлиенты[#Headers],0)-4,0)</f>
        <v>Шевченко 325</v>
      </c>
      <c r="F812" t="str">
        <f>VLOOKUP($C812,ТабАдрес[[#All],[Клиент]:[gps]],MATCH(F$1,ТабКлиенты[#Headers],0)-4,0)</f>
        <v>47.1193, 37.5172</v>
      </c>
      <c r="G812" s="183">
        <v>0.39583333333333331</v>
      </c>
      <c r="H812" s="181">
        <v>5200</v>
      </c>
      <c r="I812" s="52" t="s">
        <v>5033</v>
      </c>
      <c r="J812" s="52">
        <v>3</v>
      </c>
      <c r="K812" t="str">
        <f t="shared" si="16"/>
        <v>. 09:30 Любовь Виталий
Тел.: +79497386112
Адрес: Шевченко 325
№ заказа: ЗК000162
Кол-во мест: 3
https://yandex.ru/maps/?text=47.1193%2C37.5172
https://maps.google.com/?daddr=47.1193%2C37.5172
К оплате: **5200
**--------------------------------</v>
      </c>
    </row>
    <row r="813" spans="1:11" hidden="1" x14ac:dyDescent="0.25">
      <c r="B813" s="179">
        <v>45985</v>
      </c>
      <c r="C813" t="s">
        <v>4641</v>
      </c>
      <c r="D813" t="str">
        <f>VLOOKUP($C813,ТабКлиенты[[#All],[name]:[phone]],MATCH(D$1,ТабКлиенты[#Headers],0)-1,0)</f>
        <v>+79498079642</v>
      </c>
      <c r="E813" t="str">
        <f>VLOOKUP($C813,ТабАдрес[[#All],[Клиент]:[gps]],MATCH(E$1,ТабКлиенты[#Headers],0)-4,0)</f>
        <v>Шевченко, 160</v>
      </c>
      <c r="F813" t="str">
        <f>VLOOKUP($C813,ТабАдрес[[#All],[Клиент]:[gps]],MATCH(F$1,ТабКлиенты[#Headers],0)-4,0)</f>
        <v>47.112856, 37.540032</v>
      </c>
      <c r="G813" s="183">
        <v>0.41666666666666669</v>
      </c>
      <c r="H813" s="181">
        <v>2500</v>
      </c>
      <c r="I813" s="52" t="s">
        <v>5034</v>
      </c>
      <c r="J813" s="52">
        <v>1</v>
      </c>
      <c r="K813" t="str">
        <f t="shared" si="16"/>
        <v>. 10:00 Татьяна от Елены б-р Шевченко
Тел.: +79498079642
Адрес: Шевченко, 160
№ заказа: ЗК000151
Кол-во мест: 1
https://yandex.ru/maps/?text=47.112856%2C37.540032
https://maps.google.com/?daddr=47.112856%2C37.540032
К оплате: **2500
**--------------------------------</v>
      </c>
    </row>
    <row r="814" spans="1:11" hidden="1" x14ac:dyDescent="0.25">
      <c r="B814" s="179">
        <v>45985</v>
      </c>
      <c r="C814" t="s">
        <v>4875</v>
      </c>
      <c r="D814" t="str">
        <f>VLOOKUP($C814,ТабКлиенты[[#All],[name]:[phone]],MATCH(D$1,ТабКлиенты[#Headers],0)-1,0)</f>
        <v>+79497237097</v>
      </c>
      <c r="E814" t="str">
        <f>VLOOKUP($C814,ТабАдрес[[#All],[Клиент]:[gps]],MATCH(E$1,ТабКлиенты[#Headers],0)-4,0)</f>
        <v>Мариуполь, Звенигородская, 91</v>
      </c>
      <c r="F814" t="str">
        <f>VLOOKUP($C814,ТабАдрес[[#All],[Клиент]:[gps]],MATCH(F$1,ТабКлиенты[#Headers],0)-4,0)</f>
        <v>47.124859, 37.673933</v>
      </c>
      <c r="G814" s="183">
        <v>0.4375</v>
      </c>
      <c r="H814" s="181">
        <v>1600</v>
      </c>
      <c r="I814" s="52" t="s">
        <v>5035</v>
      </c>
      <c r="J814" s="52">
        <v>1</v>
      </c>
      <c r="K814" t="str">
        <f t="shared" si="16"/>
        <v>. 10:30 Светлана Звенигородская
Тел.: +79497237097
Адрес: Мариуполь, Звенигородская, 91
№ заказа: ЗК000148
Кол-во мест: 1
https://yandex.ru/maps/?text=47.124859%2C37.673933
https://maps.google.com/?daddr=47.124859%2C37.673933
К оплате: **1600
**--------------------------------</v>
      </c>
    </row>
    <row r="815" spans="1:11" hidden="1" x14ac:dyDescent="0.25">
      <c r="B815" s="179">
        <v>45985</v>
      </c>
      <c r="C815" t="s">
        <v>4996</v>
      </c>
      <c r="D815" t="str">
        <f>VLOOKUP($C815,ТабКлиенты[[#All],[name]:[phone]],MATCH(D$1,ТабКлиенты[#Headers],0)-1,0)</f>
        <v>+79497068957</v>
      </c>
      <c r="E815" t="str">
        <f>VLOOKUP($C815,ТабАдрес[[#All],[Клиент]:[gps]],MATCH(E$1,ТабКлиенты[#Headers],0)-4,0)</f>
        <v>пер. Звенигородский, 21/32</v>
      </c>
      <c r="F815" t="str">
        <f>VLOOKUP($C815,ТабАдрес[[#All],[Клиент]:[gps]],MATCH(F$1,ТабКлиенты[#Headers],0)-4,0)</f>
        <v>47.120465, 37.670966</v>
      </c>
      <c r="G815" s="183">
        <v>0.44097222222222221</v>
      </c>
      <c r="H815" s="181">
        <v>3400</v>
      </c>
      <c r="I815" s="52" t="s">
        <v>5036</v>
      </c>
      <c r="J815" s="52">
        <v>1</v>
      </c>
      <c r="K815" t="str">
        <f t="shared" si="16"/>
        <v>. 10:35 Надежда Sumbucol
Тел.: +79497068957
Адрес: пер. Звенигородский, 21/32
№ заказа: ЗК000199
Кол-во мест: 1
https://yandex.ru/maps/?text=47.120465%2C37.670966
https://maps.google.com/?daddr=47.120465%2C37.670966
К оплате: **3400
**--------------------------------</v>
      </c>
    </row>
    <row r="816" spans="1:11" x14ac:dyDescent="0.25">
      <c r="A816">
        <v>1</v>
      </c>
      <c r="B816" s="179">
        <v>45997</v>
      </c>
      <c r="C816" t="s">
        <v>3150</v>
      </c>
      <c r="D816" t="str">
        <f>VLOOKUP($C816,ТабКлиенты[[#All],[name]:[phone]],MATCH(D$1,ТабКлиенты[#Headers],0)-1,0)</f>
        <v>+79497190408</v>
      </c>
      <c r="E816" t="str">
        <f>VLOOKUP($C816,ТабАдрес[[#All],[Клиент]:[gps]],MATCH(E$1,ТабКлиенты[#Headers],0)-4,0)</f>
        <v>Проектная 10</v>
      </c>
      <c r="F816" t="str">
        <f>VLOOKUP($C816,ТабАдрес[[#All],[Клиент]:[gps]],MATCH(F$1,ТабКлиенты[#Headers],0)-4,0)</f>
        <v>47.1281, 37.5732</v>
      </c>
      <c r="G816" s="183">
        <v>0.47916666666666669</v>
      </c>
      <c r="H816" s="181">
        <v>4800</v>
      </c>
      <c r="J816" s="52">
        <v>3</v>
      </c>
      <c r="K816" t="str">
        <f>A816&amp;". "&amp;TEXT(G816,"ЧЧ:ММ")&amp;" "&amp;C816&amp;CHAR(10)&amp;"Тел.: "&amp;D816&amp;CHAR(10)&amp;"Адрес: "&amp;E816&amp;CHAR(10)&amp;"№ заказа: "&amp;I816&amp;CHAR(10)&amp;"Кол-во мест: "&amp;J816&amp;CHAR(10)&amp;"https://yandex.ru/maps/?text="&amp;REPLACE(F816,SEARCH(",",F816),2,"%2C")&amp;CHAR(10)&amp;"https://maps.google.com/?daddr="&amp;REPLACE(F816,SEARCH(",",F816),2,"%2C")&amp;CHAR(10)&amp;"К оплате: "&amp;"**"&amp;H816&amp;CHAR(10)&amp;"**"&amp;"--------------------------------"</f>
        <v>1. 11:30 Елена пер. Фруктовый
Тел.: +79497190408
Адрес: Проектная 10
№ заказа: 
Кол-во мест: 3
https://yandex.ru/maps/?text=47.1281%2C37.5732
https://maps.google.com/?daddr=47.1281%2C37.5732
К оплате: **4800
**--------------------------------</v>
      </c>
    </row>
    <row r="817" spans="1:11" x14ac:dyDescent="0.25">
      <c r="A817">
        <v>2</v>
      </c>
      <c r="B817" s="179">
        <v>45997</v>
      </c>
      <c r="C817" t="s">
        <v>3235</v>
      </c>
      <c r="D817" t="str">
        <f>VLOOKUP($C817,ТабКлиенты[[#All],[name]:[phone]],MATCH(D$1,ТабКлиенты[#Headers],0)-1,0)</f>
        <v>+79497386112</v>
      </c>
      <c r="E817" t="str">
        <f>VLOOKUP($C817,ТабАдрес[[#All],[Клиент]:[gps]],MATCH(E$1,ТабКлиенты[#Headers],0)-4,0)</f>
        <v>Шевченко 325</v>
      </c>
      <c r="F817" t="str">
        <f>VLOOKUP($C817,ТабАдрес[[#All],[Клиент]:[gps]],MATCH(F$1,ТабКлиенты[#Headers],0)-4,0)</f>
        <v>47.1193, 37.5172</v>
      </c>
      <c r="G817" s="183">
        <v>0.5</v>
      </c>
      <c r="H817" s="181">
        <v>29100</v>
      </c>
      <c r="J817" s="52">
        <v>11</v>
      </c>
      <c r="K817" t="str">
        <f>A817&amp;". "&amp;TEXT(G817,"ЧЧ:ММ")&amp;" "&amp;C817&amp;CHAR(10)&amp;"Тел.: "&amp;D817&amp;CHAR(10)&amp;"Адрес: "&amp;E817&amp;CHAR(10)&amp;"№ заказа: "&amp;I817&amp;CHAR(10)&amp;"Кол-во мест: "&amp;J817&amp;CHAR(10)&amp;"https://yandex.ru/maps/?text="&amp;REPLACE(F817,SEARCH(",",F817),2,"%2C")&amp;CHAR(10)&amp;"https://maps.google.com/?daddr="&amp;REPLACE(F817,SEARCH(",",F817),2,"%2C")&amp;CHAR(10)&amp;"К оплате: "&amp;"**"&amp;H817&amp;CHAR(10)&amp;"**"&amp;"--------------------------------"</f>
        <v>2. 12:00 Любовь Виталий
Тел.: +79497386112
Адрес: Шевченко 325
№ заказа: 
Кол-во мест: 11
https://yandex.ru/maps/?text=47.1193%2C37.5172
https://maps.google.com/?daddr=47.1193%2C37.5172
К оплате: **29100
**--------------------------------</v>
      </c>
    </row>
    <row r="818" spans="1:11" x14ac:dyDescent="0.25">
      <c r="A818">
        <v>3</v>
      </c>
      <c r="B818" s="179">
        <v>45997</v>
      </c>
      <c r="C818" t="s">
        <v>3206</v>
      </c>
      <c r="D818" t="str">
        <f>VLOOKUP($C818,ТабКлиенты[[#All],[name]:[phone]],MATCH(D$1,ТабКлиенты[#Headers],0)-1,0)</f>
        <v>+79496248226</v>
      </c>
      <c r="E818" t="str">
        <f>VLOOKUP($C818,ТабАдрес[[#All],[Клиент]:[gps]],MATCH(E$1,ТабКлиенты[#Headers],0)-4,0)</f>
        <v>Шевченко 274</v>
      </c>
      <c r="F818" t="str">
        <f>VLOOKUP($C818,ТабАдрес[[#All],[Клиент]:[gps]],MATCH(F$1,ТабКлиенты[#Headers],0)-4,0)</f>
        <v>47.1149, 37.5127</v>
      </c>
      <c r="G818" s="183">
        <v>0.51041666666666663</v>
      </c>
      <c r="H818" s="181">
        <v>3300</v>
      </c>
      <c r="J818" s="52">
        <v>1</v>
      </c>
      <c r="K818" t="str">
        <f>A818&amp;". "&amp;TEXT(G818,"ЧЧ:ММ")&amp;" "&amp;C818&amp;CHAR(10)&amp;"Тел.: "&amp;D818&amp;CHAR(10)&amp;"Адрес: "&amp;E818&amp;CHAR(10)&amp;"№ заказа: "&amp;I818&amp;CHAR(10)&amp;"Кол-во мест: "&amp;J818&amp;CHAR(10)&amp;"https://yandex.ru/maps/?text="&amp;REPLACE(F818,SEARCH(",",F818),2,"%2C")&amp;CHAR(10)&amp;"https://maps.google.com/?daddr="&amp;REPLACE(F818,SEARCH(",",F818),2,"%2C")&amp;CHAR(10)&amp;"К оплате: "&amp;"**"&amp;H818&amp;CHAR(10)&amp;"**"&amp;"--------------------------------"</f>
        <v>3. 12:15 Даша Калифорния
Тел.: +79496248226
Адрес: Шевченко 274
№ заказа: 
Кол-во мест: 1
https://yandex.ru/maps/?text=47.1149%2C37.5127
https://maps.google.com/?daddr=47.1149%2C37.5127
К оплате: **3300
**--------------------------------</v>
      </c>
    </row>
    <row r="819" spans="1:11" x14ac:dyDescent="0.25">
      <c r="A819">
        <v>4</v>
      </c>
      <c r="B819" s="179">
        <v>45997</v>
      </c>
      <c r="C819" t="s">
        <v>3226</v>
      </c>
      <c r="D819" t="str">
        <f>VLOOKUP($C819,ТабКлиенты[[#All],[name]:[phone]],MATCH(D$1,ТабКлиенты[#Headers],0)-1,0)</f>
        <v>+79497169864</v>
      </c>
      <c r="E819" t="s">
        <v>3228</v>
      </c>
      <c r="F819" t="s">
        <v>3229</v>
      </c>
      <c r="G819" s="183">
        <v>0.52083333333333337</v>
      </c>
      <c r="H819" s="181">
        <v>4000</v>
      </c>
      <c r="J819" s="52">
        <v>2</v>
      </c>
      <c r="K819" t="str">
        <f>A819&amp;". "&amp;TEXT(G819,"ЧЧ:ММ")&amp;" "&amp;C819&amp;CHAR(10)&amp;"Тел.: "&amp;D819&amp;CHAR(10)&amp;"Адрес: "&amp;E819&amp;CHAR(10)&amp;"№ заказа: "&amp;I819&amp;CHAR(10)&amp;"Кол-во мест: "&amp;J819&amp;CHAR(10)&amp;"https://yandex.ru/maps/?text="&amp;REPLACE(F819,SEARCH(",",F819),2,"%2C")&amp;CHAR(10)&amp;"https://maps.google.com/?daddr="&amp;REPLACE(F819,SEARCH(",",F819),2,"%2C")&amp;CHAR(10)&amp;"К оплате: "&amp;"**"&amp;H819&amp;CHAR(10)&amp;"**"&amp;"--------------------------------"</f>
        <v>4. 12:30 Надежда Витамины
Тел.: +79497169864
Адрес: пер. Ейский 9
№ заказа: 
Кол-во мест: 2
https://yandex.ru/maps/?text=47.0898%2C37.5062
https://maps.google.com/?daddr=47.0898%2C37.5062
К оплате: **4000
**--------------------------------</v>
      </c>
    </row>
    <row r="820" spans="1:11" x14ac:dyDescent="0.25">
      <c r="A820">
        <v>5</v>
      </c>
      <c r="B820" s="179">
        <v>45997</v>
      </c>
      <c r="C820" t="s">
        <v>4961</v>
      </c>
      <c r="D820">
        <f>VLOOKUP($C820,ТабКлиенты[[#All],[name]:[phone]],MATCH(D$1,ТабКлиенты[#Headers],0)-1,0)</f>
        <v>0</v>
      </c>
      <c r="E820" t="str">
        <f>VLOOKUP($C820,ТабАдрес[[#All],[Клиент]:[gps]],MATCH(E$1,ТабКлиенты[#Headers],0)-4,0)</f>
        <v>Лавицкого, 16, 16</v>
      </c>
      <c r="F820" t="str">
        <f>VLOOKUP($C820,ТабАдрес[[#All],[Клиент]:[gps]],MATCH(F$1,ТабКлиенты[#Headers],0)-4,0)</f>
        <v>47.087079, 37.519275</v>
      </c>
      <c r="G820" s="183">
        <v>0.52777777777777779</v>
      </c>
      <c r="H820" s="181">
        <v>3100</v>
      </c>
      <c r="J820" s="52">
        <v>1</v>
      </c>
      <c r="K820" t="str">
        <f>A820&amp;". "&amp;TEXT(G820,"ЧЧ:ММ")&amp;" "&amp;C820&amp;CHAR(10)&amp;"Тел.: "&amp;D820&amp;CHAR(10)&amp;"Адрес: "&amp;E820&amp;CHAR(10)&amp;"№ заказа: "&amp;I820&amp;CHAR(10)&amp;"Кол-во мест: "&amp;J820&amp;CHAR(10)&amp;"https://yandex.ru/maps/?text="&amp;REPLACE(F820,SEARCH(",",F820),2,"%2C")&amp;CHAR(10)&amp;"https://maps.google.com/?daddr="&amp;REPLACE(F820,SEARCH(",",F820),2,"%2C")&amp;CHAR(10)&amp;"К оплате: "&amp;"**"&amp;H820&amp;CHAR(10)&amp;"**"&amp;"--------------------------------"</f>
        <v>5. 12:40 Елена Строителей, 35
Тел.: 0
Адрес: Лавицкого, 16, 16
№ заказа: 
Кол-во мест: 1
https://yandex.ru/maps/?text=47.087079%2C37.519275
https://maps.google.com/?daddr=47.087079%2C37.519275
К оплате: **3100
**--------------------------------</v>
      </c>
    </row>
    <row r="821" spans="1:11" hidden="1" x14ac:dyDescent="0.25">
      <c r="D821" t="e">
        <f>VLOOKUP($C821,ТабКлиенты[[#All],[name]:[phone]],MATCH(D$1,ТабКлиенты[#Headers],0)-1,0)</f>
        <v>#N/A</v>
      </c>
      <c r="E821" t="e">
        <f>VLOOKUP($C821,ТабАдрес[[#All],[Клиент]:[gps]],MATCH(E$1,ТабКлиенты[#Headers],0)-4,0)</f>
        <v>#N/A</v>
      </c>
      <c r="F821" t="e">
        <f>VLOOKUP($C821,ТабАдрес[[#All],[Клиент]:[gps]],MATCH(F$1,ТабКлиенты[#Headers],0)-4,0)</f>
        <v>#N/A</v>
      </c>
      <c r="G821" s="183"/>
      <c r="H821" s="181"/>
      <c r="K821" t="e">
        <f t="shared" si="16"/>
        <v>#N/A</v>
      </c>
    </row>
    <row r="822" spans="1:11" hidden="1" x14ac:dyDescent="0.25">
      <c r="D822" t="e">
        <f>VLOOKUP($C822,ТабКлиенты[[#All],[name]:[phone]],MATCH(D$1,ТабКлиенты[#Headers],0)-1,0)</f>
        <v>#N/A</v>
      </c>
      <c r="E822" t="e">
        <f>VLOOKUP($C822,ТабАдрес[[#All],[Клиент]:[gps]],MATCH(E$1,ТабКлиенты[#Headers],0)-4,0)</f>
        <v>#N/A</v>
      </c>
      <c r="F822" t="e">
        <f>VLOOKUP($C822,ТабАдрес[[#All],[Клиент]:[gps]],MATCH(F$1,ТабКлиенты[#Headers],0)-4,0)</f>
        <v>#N/A</v>
      </c>
      <c r="G822" s="183"/>
      <c r="H822" s="181"/>
      <c r="K822" t="e">
        <f t="shared" si="16"/>
        <v>#N/A</v>
      </c>
    </row>
    <row r="823" spans="1:11" hidden="1" x14ac:dyDescent="0.25">
      <c r="D823" t="e">
        <f>VLOOKUP($C823,ТабКлиенты[[#All],[name]:[phone]],MATCH(D$1,ТабКлиенты[#Headers],0)-1,0)</f>
        <v>#N/A</v>
      </c>
      <c r="E823" t="e">
        <f>VLOOKUP($C823,ТабАдрес[[#All],[Клиент]:[gps]],MATCH(E$1,ТабКлиенты[#Headers],0)-4,0)</f>
        <v>#N/A</v>
      </c>
      <c r="F823" t="e">
        <f>VLOOKUP($C823,ТабАдрес[[#All],[Клиент]:[gps]],MATCH(F$1,ТабКлиенты[#Headers],0)-4,0)</f>
        <v>#N/A</v>
      </c>
      <c r="G823" s="183"/>
      <c r="H823" s="181"/>
      <c r="K823" t="e">
        <f t="shared" si="16"/>
        <v>#N/A</v>
      </c>
    </row>
    <row r="824" spans="1:11" hidden="1" x14ac:dyDescent="0.25">
      <c r="D824" t="e">
        <f>VLOOKUP($C824,ТабКлиенты[[#All],[name]:[phone]],MATCH(D$1,ТабКлиенты[#Headers],0)-1,0)</f>
        <v>#N/A</v>
      </c>
      <c r="E824" t="e">
        <f>VLOOKUP($C824,ТабАдрес[[#All],[Клиент]:[gps]],MATCH(E$1,ТабКлиенты[#Headers],0)-4,0)</f>
        <v>#N/A</v>
      </c>
      <c r="F824" t="e">
        <f>VLOOKUP($C824,ТабАдрес[[#All],[Клиент]:[gps]],MATCH(F$1,ТабКлиенты[#Headers],0)-4,0)</f>
        <v>#N/A</v>
      </c>
      <c r="G824" s="183"/>
      <c r="H824" s="181"/>
      <c r="K824" t="e">
        <f t="shared" si="16"/>
        <v>#N/A</v>
      </c>
    </row>
    <row r="825" spans="1:11" hidden="1" x14ac:dyDescent="0.25">
      <c r="D825" t="e">
        <f>VLOOKUP($C825,ТабКлиенты[[#All],[name]:[phone]],MATCH(D$1,ТабКлиенты[#Headers],0)-1,0)</f>
        <v>#N/A</v>
      </c>
      <c r="E825" t="e">
        <f>VLOOKUP($C825,ТабАдрес[[#All],[Клиент]:[gps]],MATCH(E$1,ТабКлиенты[#Headers],0)-4,0)</f>
        <v>#N/A</v>
      </c>
      <c r="F825" t="e">
        <f>VLOOKUP($C825,ТабАдрес[[#All],[Клиент]:[gps]],MATCH(F$1,ТабКлиенты[#Headers],0)-4,0)</f>
        <v>#N/A</v>
      </c>
      <c r="G825" s="183"/>
      <c r="H825" s="181"/>
      <c r="K825" t="e">
        <f t="shared" si="16"/>
        <v>#N/A</v>
      </c>
    </row>
    <row r="826" spans="1:11" hidden="1" x14ac:dyDescent="0.25">
      <c r="D826" t="e">
        <f>VLOOKUP($C826,ТабКлиенты[[#All],[name]:[phone]],MATCH(D$1,ТабКлиенты[#Headers],0)-1,0)</f>
        <v>#N/A</v>
      </c>
      <c r="E826" t="e">
        <f>VLOOKUP($C826,ТабАдрес[[#All],[Клиент]:[gps]],MATCH(E$1,ТабКлиенты[#Headers],0)-4,0)</f>
        <v>#N/A</v>
      </c>
      <c r="F826" t="e">
        <f>VLOOKUP($C826,ТабАдрес[[#All],[Клиент]:[gps]],MATCH(F$1,ТабКлиенты[#Headers],0)-4,0)</f>
        <v>#N/A</v>
      </c>
      <c r="G826" s="183"/>
      <c r="H826" s="181"/>
      <c r="K826" t="e">
        <f t="shared" si="16"/>
        <v>#N/A</v>
      </c>
    </row>
    <row r="827" spans="1:11" hidden="1" x14ac:dyDescent="0.25">
      <c r="D827" t="e">
        <f>VLOOKUP($C827,ТабКлиенты[[#All],[name]:[phone]],MATCH(D$1,ТабКлиенты[#Headers],0)-1,0)</f>
        <v>#N/A</v>
      </c>
      <c r="E827" t="e">
        <f>VLOOKUP($C827,ТабАдрес[[#All],[Клиент]:[gps]],MATCH(E$1,ТабКлиенты[#Headers],0)-4,0)</f>
        <v>#N/A</v>
      </c>
      <c r="F827" t="e">
        <f>VLOOKUP($C827,ТабАдрес[[#All],[Клиент]:[gps]],MATCH(F$1,ТабКлиенты[#Headers],0)-4,0)</f>
        <v>#N/A</v>
      </c>
      <c r="G827" s="183"/>
      <c r="H827" s="181"/>
      <c r="K827" t="e">
        <f t="shared" si="16"/>
        <v>#N/A</v>
      </c>
    </row>
    <row r="828" spans="1:11" hidden="1" x14ac:dyDescent="0.25">
      <c r="D828" t="e">
        <f>VLOOKUP($C828,ТабКлиенты[[#All],[name]:[phone]],MATCH(D$1,ТабКлиенты[#Headers],0)-1,0)</f>
        <v>#N/A</v>
      </c>
      <c r="E828" t="e">
        <f>VLOOKUP($C828,ТабАдрес[[#All],[Клиент]:[gps]],MATCH(E$1,ТабКлиенты[#Headers],0)-4,0)</f>
        <v>#N/A</v>
      </c>
      <c r="F828" t="e">
        <f>VLOOKUP($C828,ТабАдрес[[#All],[Клиент]:[gps]],MATCH(F$1,ТабКлиенты[#Headers],0)-4,0)</f>
        <v>#N/A</v>
      </c>
      <c r="G828" s="183"/>
      <c r="H828" s="181"/>
      <c r="K828" t="e">
        <f t="shared" si="16"/>
        <v>#N/A</v>
      </c>
    </row>
    <row r="829" spans="1:11" hidden="1" x14ac:dyDescent="0.25">
      <c r="D829" t="e">
        <f>VLOOKUP($C829,ТабКлиенты[[#All],[name]:[phone]],MATCH(D$1,ТабКлиенты[#Headers],0)-1,0)</f>
        <v>#N/A</v>
      </c>
      <c r="E829" t="e">
        <f>VLOOKUP($C829,ТабАдрес[[#All],[Клиент]:[gps]],MATCH(E$1,ТабКлиенты[#Headers],0)-4,0)</f>
        <v>#N/A</v>
      </c>
      <c r="F829" t="e">
        <f>VLOOKUP($C829,ТабАдрес[[#All],[Клиент]:[gps]],MATCH(F$1,ТабКлиенты[#Headers],0)-4,0)</f>
        <v>#N/A</v>
      </c>
      <c r="G829" s="183"/>
      <c r="H829" s="181"/>
      <c r="K829" t="e">
        <f t="shared" si="16"/>
        <v>#N/A</v>
      </c>
    </row>
    <row r="830" spans="1:11" hidden="1" x14ac:dyDescent="0.25">
      <c r="D830" t="e">
        <f>VLOOKUP($C830,ТабКлиенты[[#All],[name]:[phone]],MATCH(D$1,ТабКлиенты[#Headers],0)-1,0)</f>
        <v>#N/A</v>
      </c>
      <c r="E830" t="e">
        <f>VLOOKUP($C830,ТабАдрес[[#All],[Клиент]:[gps]],MATCH(E$1,ТабКлиенты[#Headers],0)-4,0)</f>
        <v>#N/A</v>
      </c>
      <c r="F830" t="e">
        <f>VLOOKUP($C830,ТабАдрес[[#All],[Клиент]:[gps]],MATCH(F$1,ТабКлиенты[#Headers],0)-4,0)</f>
        <v>#N/A</v>
      </c>
      <c r="G830" s="183"/>
      <c r="H830" s="181"/>
      <c r="K830" t="e">
        <f t="shared" si="16"/>
        <v>#N/A</v>
      </c>
    </row>
    <row r="831" spans="1:11" hidden="1" x14ac:dyDescent="0.25">
      <c r="D831" t="e">
        <f>VLOOKUP($C831,ТабКлиенты[[#All],[name]:[phone]],MATCH(D$1,ТабКлиенты[#Headers],0)-1,0)</f>
        <v>#N/A</v>
      </c>
      <c r="E831" t="e">
        <f>VLOOKUP($C831,ТабАдрес[[#All],[Клиент]:[gps]],MATCH(E$1,ТабКлиенты[#Headers],0)-4,0)</f>
        <v>#N/A</v>
      </c>
      <c r="F831" t="e">
        <f>VLOOKUP($C831,ТабАдрес[[#All],[Клиент]:[gps]],MATCH(F$1,ТабКлиенты[#Headers],0)-4,0)</f>
        <v>#N/A</v>
      </c>
      <c r="G831" s="183"/>
      <c r="H831" s="181"/>
      <c r="K831" t="e">
        <f t="shared" si="16"/>
        <v>#N/A</v>
      </c>
    </row>
    <row r="832" spans="1:11" hidden="1" x14ac:dyDescent="0.25">
      <c r="D832" t="e">
        <f>VLOOKUP($C832,ТабКлиенты[[#All],[name]:[phone]],MATCH(D$1,ТабКлиенты[#Headers],0)-1,0)</f>
        <v>#N/A</v>
      </c>
      <c r="E832" t="e">
        <f>VLOOKUP($C832,ТабАдрес[[#All],[Клиент]:[gps]],MATCH(E$1,ТабКлиенты[#Headers],0)-4,0)</f>
        <v>#N/A</v>
      </c>
      <c r="F832" t="e">
        <f>VLOOKUP($C832,ТабАдрес[[#All],[Клиент]:[gps]],MATCH(F$1,ТабКлиенты[#Headers],0)-4,0)</f>
        <v>#N/A</v>
      </c>
      <c r="G832" s="183"/>
      <c r="H832" s="181"/>
      <c r="K832" t="e">
        <f t="shared" si="16"/>
        <v>#N/A</v>
      </c>
    </row>
    <row r="833" spans="4:11" hidden="1" x14ac:dyDescent="0.25">
      <c r="D833" t="e">
        <f>VLOOKUP($C833,ТабКлиенты[[#All],[name]:[phone]],MATCH(D$1,ТабКлиенты[#Headers],0)-1,0)</f>
        <v>#N/A</v>
      </c>
      <c r="E833" t="e">
        <f>VLOOKUP($C833,ТабАдрес[[#All],[Клиент]:[gps]],MATCH(E$1,ТабКлиенты[#Headers],0)-4,0)</f>
        <v>#N/A</v>
      </c>
      <c r="F833" t="e">
        <f>VLOOKUP($C833,ТабАдрес[[#All],[Клиент]:[gps]],MATCH(F$1,ТабКлиенты[#Headers],0)-4,0)</f>
        <v>#N/A</v>
      </c>
      <c r="G833" s="183"/>
      <c r="H833" s="181"/>
      <c r="K833" t="e">
        <f t="shared" si="16"/>
        <v>#N/A</v>
      </c>
    </row>
    <row r="834" spans="4:11" hidden="1" x14ac:dyDescent="0.25">
      <c r="D834" t="e">
        <f>VLOOKUP($C834,ТабКлиенты[[#All],[name]:[phone]],MATCH(D$1,ТабКлиенты[#Headers],0)-1,0)</f>
        <v>#N/A</v>
      </c>
      <c r="E834" t="e">
        <f>VLOOKUP($C834,ТабАдрес[[#All],[Клиент]:[gps]],MATCH(E$1,ТабКлиенты[#Headers],0)-4,0)</f>
        <v>#N/A</v>
      </c>
      <c r="F834" t="e">
        <f>VLOOKUP($C834,ТабАдрес[[#All],[Клиент]:[gps]],MATCH(F$1,ТабКлиенты[#Headers],0)-4,0)</f>
        <v>#N/A</v>
      </c>
      <c r="G834" s="183"/>
      <c r="H834" s="181"/>
      <c r="K834" t="e">
        <f t="shared" si="16"/>
        <v>#N/A</v>
      </c>
    </row>
    <row r="835" spans="4:11" hidden="1" x14ac:dyDescent="0.25">
      <c r="D835" t="e">
        <f>VLOOKUP($C835,ТабКлиенты[[#All],[name]:[phone]],MATCH(D$1,ТабКлиенты[#Headers],0)-1,0)</f>
        <v>#N/A</v>
      </c>
      <c r="E835" t="e">
        <f>VLOOKUP($C835,ТабАдрес[[#All],[Клиент]:[gps]],MATCH(E$1,ТабКлиенты[#Headers],0)-4,0)</f>
        <v>#N/A</v>
      </c>
      <c r="F835" t="e">
        <f>VLOOKUP($C835,ТабАдрес[[#All],[Клиент]:[gps]],MATCH(F$1,ТабКлиенты[#Headers],0)-4,0)</f>
        <v>#N/A</v>
      </c>
      <c r="G835" s="183"/>
      <c r="H835" s="181"/>
      <c r="K835" t="e">
        <f t="shared" si="16"/>
        <v>#N/A</v>
      </c>
    </row>
    <row r="836" spans="4:11" hidden="1" x14ac:dyDescent="0.25">
      <c r="D836" t="e">
        <f>VLOOKUP($C836,ТабКлиенты[[#All],[name]:[phone]],MATCH(D$1,ТабКлиенты[#Headers],0)-1,0)</f>
        <v>#N/A</v>
      </c>
      <c r="E836" t="e">
        <f>VLOOKUP($C836,ТабАдрес[[#All],[Клиент]:[gps]],MATCH(E$1,ТабКлиенты[#Headers],0)-4,0)</f>
        <v>#N/A</v>
      </c>
      <c r="F836" t="e">
        <f>VLOOKUP($C836,ТабАдрес[[#All],[Клиент]:[gps]],MATCH(F$1,ТабКлиенты[#Headers],0)-4,0)</f>
        <v>#N/A</v>
      </c>
      <c r="G836" s="183"/>
      <c r="H836" s="181"/>
      <c r="K836" t="e">
        <f t="shared" si="16"/>
        <v>#N/A</v>
      </c>
    </row>
    <row r="837" spans="4:11" hidden="1" x14ac:dyDescent="0.25">
      <c r="D837" t="e">
        <f>VLOOKUP($C837,ТабКлиенты[[#All],[name]:[phone]],MATCH(D$1,ТабКлиенты[#Headers],0)-1,0)</f>
        <v>#N/A</v>
      </c>
      <c r="E837" t="e">
        <f>VLOOKUP($C837,ТабАдрес[[#All],[Клиент]:[gps]],MATCH(E$1,ТабКлиенты[#Headers],0)-4,0)</f>
        <v>#N/A</v>
      </c>
      <c r="F837" t="e">
        <f>VLOOKUP($C837,ТабАдрес[[#All],[Клиент]:[gps]],MATCH(F$1,ТабКлиенты[#Headers],0)-4,0)</f>
        <v>#N/A</v>
      </c>
      <c r="G837" s="183"/>
      <c r="H837" s="181"/>
      <c r="K837" t="e">
        <f t="shared" si="16"/>
        <v>#N/A</v>
      </c>
    </row>
    <row r="838" spans="4:11" hidden="1" x14ac:dyDescent="0.25">
      <c r="D838" t="e">
        <f>VLOOKUP($C838,ТабКлиенты[[#All],[name]:[phone]],MATCH(D$1,ТабКлиенты[#Headers],0)-1,0)</f>
        <v>#N/A</v>
      </c>
      <c r="E838" t="e">
        <f>VLOOKUP($C838,ТабАдрес[[#All],[Клиент]:[gps]],MATCH(E$1,ТабКлиенты[#Headers],0)-4,0)</f>
        <v>#N/A</v>
      </c>
      <c r="F838" t="e">
        <f>VLOOKUP($C838,ТабАдрес[[#All],[Клиент]:[gps]],MATCH(F$1,ТабКлиенты[#Headers],0)-4,0)</f>
        <v>#N/A</v>
      </c>
      <c r="G838" s="183"/>
      <c r="H838" s="181"/>
      <c r="K838" t="e">
        <f t="shared" si="16"/>
        <v>#N/A</v>
      </c>
    </row>
    <row r="839" spans="4:11" hidden="1" x14ac:dyDescent="0.25">
      <c r="D839" t="e">
        <f>VLOOKUP($C839,ТабКлиенты[[#All],[name]:[phone]],MATCH(D$1,ТабКлиенты[#Headers],0)-1,0)</f>
        <v>#N/A</v>
      </c>
      <c r="E839" t="e">
        <f>VLOOKUP($C839,ТабАдрес[[#All],[Клиент]:[gps]],MATCH(E$1,ТабКлиенты[#Headers],0)-4,0)</f>
        <v>#N/A</v>
      </c>
      <c r="F839" t="e">
        <f>VLOOKUP($C839,ТабАдрес[[#All],[Клиент]:[gps]],MATCH(F$1,ТабКлиенты[#Headers],0)-4,0)</f>
        <v>#N/A</v>
      </c>
      <c r="G839" s="183"/>
      <c r="H839" s="181"/>
      <c r="K839" t="e">
        <f t="shared" si="16"/>
        <v>#N/A</v>
      </c>
    </row>
    <row r="840" spans="4:11" hidden="1" x14ac:dyDescent="0.25">
      <c r="D840" t="e">
        <f>VLOOKUP($C840,ТабКлиенты[[#All],[name]:[phone]],MATCH(D$1,ТабКлиенты[#Headers],0)-1,0)</f>
        <v>#N/A</v>
      </c>
      <c r="E840" t="e">
        <f>VLOOKUP($C840,ТабАдрес[[#All],[Клиент]:[gps]],MATCH(E$1,ТабКлиенты[#Headers],0)-4,0)</f>
        <v>#N/A</v>
      </c>
      <c r="F840" t="e">
        <f>VLOOKUP($C840,ТабАдрес[[#All],[Клиент]:[gps]],MATCH(F$1,ТабКлиенты[#Headers],0)-4,0)</f>
        <v>#N/A</v>
      </c>
      <c r="G840" s="183"/>
      <c r="H840" s="181"/>
      <c r="K840" t="e">
        <f t="shared" si="16"/>
        <v>#N/A</v>
      </c>
    </row>
    <row r="841" spans="4:11" hidden="1" x14ac:dyDescent="0.25">
      <c r="D841" t="e">
        <f>VLOOKUP($C841,ТабКлиенты[[#All],[name]:[phone]],MATCH(D$1,ТабКлиенты[#Headers],0)-1,0)</f>
        <v>#N/A</v>
      </c>
      <c r="E841" t="e">
        <f>VLOOKUP($C841,ТабАдрес[[#All],[Клиент]:[gps]],MATCH(E$1,ТабКлиенты[#Headers],0)-4,0)</f>
        <v>#N/A</v>
      </c>
      <c r="F841" t="e">
        <f>VLOOKUP($C841,ТабАдрес[[#All],[Клиент]:[gps]],MATCH(F$1,ТабКлиенты[#Headers],0)-4,0)</f>
        <v>#N/A</v>
      </c>
      <c r="G841" s="183"/>
      <c r="H841" s="181"/>
      <c r="K841" t="e">
        <f t="shared" si="16"/>
        <v>#N/A</v>
      </c>
    </row>
    <row r="842" spans="4:11" hidden="1" x14ac:dyDescent="0.25">
      <c r="D842" t="e">
        <f>VLOOKUP($C842,ТабКлиенты[[#All],[name]:[phone]],MATCH(D$1,ТабКлиенты[#Headers],0)-1,0)</f>
        <v>#N/A</v>
      </c>
      <c r="E842" t="e">
        <f>VLOOKUP($C842,ТабАдрес[[#All],[Клиент]:[gps]],MATCH(E$1,ТабКлиенты[#Headers],0)-4,0)</f>
        <v>#N/A</v>
      </c>
      <c r="F842" t="e">
        <f>VLOOKUP($C842,ТабАдрес[[#All],[Клиент]:[gps]],MATCH(F$1,ТабКлиенты[#Headers],0)-4,0)</f>
        <v>#N/A</v>
      </c>
      <c r="G842" s="183"/>
      <c r="H842" s="181"/>
      <c r="K842" t="e">
        <f t="shared" si="16"/>
        <v>#N/A</v>
      </c>
    </row>
    <row r="843" spans="4:11" hidden="1" x14ac:dyDescent="0.25">
      <c r="D843" t="e">
        <f>VLOOKUP($C843,ТабКлиенты[[#All],[name]:[phone]],MATCH(D$1,ТабКлиенты[#Headers],0)-1,0)</f>
        <v>#N/A</v>
      </c>
      <c r="E843" t="e">
        <f>VLOOKUP($C843,ТабАдрес[[#All],[Клиент]:[gps]],MATCH(E$1,ТабКлиенты[#Headers],0)-4,0)</f>
        <v>#N/A</v>
      </c>
      <c r="F843" t="e">
        <f>VLOOKUP($C843,ТабАдрес[[#All],[Клиент]:[gps]],MATCH(F$1,ТабКлиенты[#Headers],0)-4,0)</f>
        <v>#N/A</v>
      </c>
      <c r="G843" s="183"/>
      <c r="H843" s="181"/>
      <c r="K843" t="e">
        <f t="shared" si="16"/>
        <v>#N/A</v>
      </c>
    </row>
    <row r="844" spans="4:11" hidden="1" x14ac:dyDescent="0.25">
      <c r="D844" t="e">
        <f>VLOOKUP($C844,ТабКлиенты[[#All],[name]:[phone]],MATCH(D$1,ТабКлиенты[#Headers],0)-1,0)</f>
        <v>#N/A</v>
      </c>
      <c r="E844" t="e">
        <f>VLOOKUP($C844,ТабАдрес[[#All],[Клиент]:[gps]],MATCH(E$1,ТабКлиенты[#Headers],0)-4,0)</f>
        <v>#N/A</v>
      </c>
      <c r="F844" t="e">
        <f>VLOOKUP($C844,ТабАдрес[[#All],[Клиент]:[gps]],MATCH(F$1,ТабКлиенты[#Headers],0)-4,0)</f>
        <v>#N/A</v>
      </c>
      <c r="G844" s="183"/>
      <c r="H844" s="181"/>
      <c r="K844" t="e">
        <f t="shared" si="16"/>
        <v>#N/A</v>
      </c>
    </row>
    <row r="845" spans="4:11" hidden="1" x14ac:dyDescent="0.25">
      <c r="D845" t="e">
        <f>VLOOKUP($C845,ТабКлиенты[[#All],[name]:[phone]],MATCH(D$1,ТабКлиенты[#Headers],0)-1,0)</f>
        <v>#N/A</v>
      </c>
      <c r="E845" t="e">
        <f>VLOOKUP($C845,ТабАдрес[[#All],[Клиент]:[gps]],MATCH(E$1,ТабКлиенты[#Headers],0)-4,0)</f>
        <v>#N/A</v>
      </c>
      <c r="F845" t="e">
        <f>VLOOKUP($C845,ТабАдрес[[#All],[Клиент]:[gps]],MATCH(F$1,ТабКлиенты[#Headers],0)-4,0)</f>
        <v>#N/A</v>
      </c>
      <c r="G845" s="183"/>
      <c r="H845" s="181"/>
      <c r="K845" t="e">
        <f t="shared" si="16"/>
        <v>#N/A</v>
      </c>
    </row>
    <row r="846" spans="4:11" hidden="1" x14ac:dyDescent="0.25">
      <c r="D846" t="e">
        <f>VLOOKUP($C846,ТабКлиенты[[#All],[name]:[phone]],MATCH(D$1,ТабКлиенты[#Headers],0)-1,0)</f>
        <v>#N/A</v>
      </c>
      <c r="E846" t="e">
        <f>VLOOKUP($C846,ТабАдрес[[#All],[Клиент]:[gps]],MATCH(E$1,ТабКлиенты[#Headers],0)-4,0)</f>
        <v>#N/A</v>
      </c>
      <c r="F846" t="e">
        <f>VLOOKUP($C846,ТабАдрес[[#All],[Клиент]:[gps]],MATCH(F$1,ТабКлиенты[#Headers],0)-4,0)</f>
        <v>#N/A</v>
      </c>
      <c r="G846" s="183"/>
      <c r="H846" s="181"/>
      <c r="K846" t="e">
        <f t="shared" si="16"/>
        <v>#N/A</v>
      </c>
    </row>
    <row r="847" spans="4:11" hidden="1" x14ac:dyDescent="0.25">
      <c r="D847" t="e">
        <f>VLOOKUP($C847,ТабКлиенты[[#All],[name]:[phone]],MATCH(D$1,ТабКлиенты[#Headers],0)-1,0)</f>
        <v>#N/A</v>
      </c>
      <c r="E847" t="e">
        <f>VLOOKUP($C847,ТабАдрес[[#All],[Клиент]:[gps]],MATCH(E$1,ТабКлиенты[#Headers],0)-4,0)</f>
        <v>#N/A</v>
      </c>
      <c r="F847" t="e">
        <f>VLOOKUP($C847,ТабАдрес[[#All],[Клиент]:[gps]],MATCH(F$1,ТабКлиенты[#Headers],0)-4,0)</f>
        <v>#N/A</v>
      </c>
      <c r="G847" s="183"/>
      <c r="H847" s="181"/>
      <c r="K847" t="e">
        <f t="shared" si="16"/>
        <v>#N/A</v>
      </c>
    </row>
    <row r="848" spans="4:11" hidden="1" x14ac:dyDescent="0.25">
      <c r="D848" t="e">
        <f>VLOOKUP($C848,ТабКлиенты[[#All],[name]:[phone]],MATCH(D$1,ТабКлиенты[#Headers],0)-1,0)</f>
        <v>#N/A</v>
      </c>
      <c r="E848" t="e">
        <f>VLOOKUP($C848,ТабАдрес[[#All],[Клиент]:[gps]],MATCH(E$1,ТабКлиенты[#Headers],0)-4,0)</f>
        <v>#N/A</v>
      </c>
      <c r="F848" t="e">
        <f>VLOOKUP($C848,ТабАдрес[[#All],[Клиент]:[gps]],MATCH(F$1,ТабКлиенты[#Headers],0)-4,0)</f>
        <v>#N/A</v>
      </c>
      <c r="G848" s="183"/>
      <c r="H848" s="181"/>
      <c r="K848" t="e">
        <f t="shared" si="16"/>
        <v>#N/A</v>
      </c>
    </row>
    <row r="849" spans="4:11" hidden="1" x14ac:dyDescent="0.25">
      <c r="D849" t="e">
        <f>VLOOKUP($C849,ТабКлиенты[[#All],[name]:[phone]],MATCH(D$1,ТабКлиенты[#Headers],0)-1,0)</f>
        <v>#N/A</v>
      </c>
      <c r="E849" t="e">
        <f>VLOOKUP($C849,ТабАдрес[[#All],[Клиент]:[gps]],MATCH(E$1,ТабКлиенты[#Headers],0)-4,0)</f>
        <v>#N/A</v>
      </c>
      <c r="F849" t="e">
        <f>VLOOKUP($C849,ТабАдрес[[#All],[Клиент]:[gps]],MATCH(F$1,ТабКлиенты[#Headers],0)-4,0)</f>
        <v>#N/A</v>
      </c>
      <c r="G849" s="183"/>
      <c r="H849" s="181"/>
      <c r="K849" t="e">
        <f t="shared" si="16"/>
        <v>#N/A</v>
      </c>
    </row>
    <row r="850" spans="4:11" hidden="1" x14ac:dyDescent="0.25">
      <c r="D850" t="e">
        <f>VLOOKUP($C850,ТабКлиенты[[#All],[name]:[phone]],MATCH(D$1,ТабКлиенты[#Headers],0)-1,0)</f>
        <v>#N/A</v>
      </c>
      <c r="E850" t="e">
        <f>VLOOKUP($C850,ТабАдрес[[#All],[Клиент]:[gps]],MATCH(E$1,ТабКлиенты[#Headers],0)-4,0)</f>
        <v>#N/A</v>
      </c>
      <c r="F850" t="e">
        <f>VLOOKUP($C850,ТабАдрес[[#All],[Клиент]:[gps]],MATCH(F$1,ТабКлиенты[#Headers],0)-4,0)</f>
        <v>#N/A</v>
      </c>
      <c r="G850" s="183"/>
      <c r="H850" s="181"/>
      <c r="K850" t="e">
        <f t="shared" si="16"/>
        <v>#N/A</v>
      </c>
    </row>
    <row r="851" spans="4:11" hidden="1" x14ac:dyDescent="0.25">
      <c r="D851" t="e">
        <f>VLOOKUP($C851,ТабКлиенты[[#All],[name]:[phone]],MATCH(D$1,ТабКлиенты[#Headers],0)-1,0)</f>
        <v>#N/A</v>
      </c>
      <c r="E851" t="e">
        <f>VLOOKUP($C851,ТабАдрес[[#All],[Клиент]:[gps]],MATCH(E$1,ТабКлиенты[#Headers],0)-4,0)</f>
        <v>#N/A</v>
      </c>
      <c r="F851" t="e">
        <f>VLOOKUP($C851,ТабАдрес[[#All],[Клиент]:[gps]],MATCH(F$1,ТабКлиенты[#Headers],0)-4,0)</f>
        <v>#N/A</v>
      </c>
      <c r="G851" s="183"/>
      <c r="H851" s="181"/>
      <c r="K851" t="e">
        <f t="shared" si="16"/>
        <v>#N/A</v>
      </c>
    </row>
    <row r="852" spans="4:11" hidden="1" x14ac:dyDescent="0.25">
      <c r="D852" t="e">
        <f>VLOOKUP($C852,ТабКлиенты[[#All],[name]:[phone]],MATCH(D$1,ТабКлиенты[#Headers],0)-1,0)</f>
        <v>#N/A</v>
      </c>
      <c r="E852" t="e">
        <f>VLOOKUP($C852,ТабАдрес[[#All],[Клиент]:[gps]],MATCH(E$1,ТабКлиенты[#Headers],0)-4,0)</f>
        <v>#N/A</v>
      </c>
      <c r="F852" t="e">
        <f>VLOOKUP($C852,ТабАдрес[[#All],[Клиент]:[gps]],MATCH(F$1,ТабКлиенты[#Headers],0)-4,0)</f>
        <v>#N/A</v>
      </c>
      <c r="G852" s="183"/>
      <c r="H852" s="181"/>
      <c r="K852" t="e">
        <f t="shared" si="16"/>
        <v>#N/A</v>
      </c>
    </row>
    <row r="853" spans="4:11" hidden="1" x14ac:dyDescent="0.25">
      <c r="D853" t="e">
        <f>VLOOKUP($C853,ТабКлиенты[[#All],[name]:[phone]],MATCH(D$1,ТабКлиенты[#Headers],0)-1,0)</f>
        <v>#N/A</v>
      </c>
      <c r="E853" t="e">
        <f>VLOOKUP($C853,ТабАдрес[[#All],[Клиент]:[gps]],MATCH(E$1,ТабКлиенты[#Headers],0)-4,0)</f>
        <v>#N/A</v>
      </c>
      <c r="F853" t="e">
        <f>VLOOKUP($C853,ТабАдрес[[#All],[Клиент]:[gps]],MATCH(F$1,ТабКлиенты[#Headers],0)-4,0)</f>
        <v>#N/A</v>
      </c>
      <c r="G853" s="183"/>
      <c r="H853" s="181"/>
      <c r="K853" t="e">
        <f t="shared" ref="K853:K886" si="18">A853&amp;". "&amp;TEXT(G853,"ЧЧ:ММ")&amp;" "&amp;C853&amp;CHAR(10)&amp;"Тел.: "&amp;D853&amp;CHAR(10)&amp;"Адрес: "&amp;E853&amp;CHAR(10)&amp;"№ заказа: "&amp;I853&amp;CHAR(10)&amp;"Кол-во мест: "&amp;J853&amp;CHAR(10)&amp;"https://yandex.ru/maps/?text="&amp;REPLACE(F853,SEARCH(",",F853),2,"%2C")&amp;CHAR(10)&amp;"https://maps.google.com/?daddr="&amp;REPLACE(F853,SEARCH(",",F853),2,"%2C")&amp;CHAR(10)&amp;"К оплате: "&amp;"**"&amp;H853&amp;CHAR(10)&amp;"**"&amp;"--------------------------------"</f>
        <v>#N/A</v>
      </c>
    </row>
    <row r="854" spans="4:11" hidden="1" x14ac:dyDescent="0.25">
      <c r="D854" t="e">
        <f>VLOOKUP($C854,ТабКлиенты[[#All],[name]:[phone]],MATCH(D$1,ТабКлиенты[#Headers],0)-1,0)</f>
        <v>#N/A</v>
      </c>
      <c r="E854" t="e">
        <f>VLOOKUP($C854,ТабАдрес[[#All],[Клиент]:[gps]],MATCH(E$1,ТабКлиенты[#Headers],0)-4,0)</f>
        <v>#N/A</v>
      </c>
      <c r="F854" t="e">
        <f>VLOOKUP($C854,ТабАдрес[[#All],[Клиент]:[gps]],MATCH(F$1,ТабКлиенты[#Headers],0)-4,0)</f>
        <v>#N/A</v>
      </c>
      <c r="G854" s="183"/>
      <c r="H854" s="181"/>
      <c r="K854" t="e">
        <f t="shared" si="18"/>
        <v>#N/A</v>
      </c>
    </row>
    <row r="855" spans="4:11" hidden="1" x14ac:dyDescent="0.25">
      <c r="D855" t="e">
        <f>VLOOKUP($C855,ТабКлиенты[[#All],[name]:[phone]],MATCH(D$1,ТабКлиенты[#Headers],0)-1,0)</f>
        <v>#N/A</v>
      </c>
      <c r="E855" t="e">
        <f>VLOOKUP($C855,ТабАдрес[[#All],[Клиент]:[gps]],MATCH(E$1,ТабКлиенты[#Headers],0)-4,0)</f>
        <v>#N/A</v>
      </c>
      <c r="F855" t="e">
        <f>VLOOKUP($C855,ТабАдрес[[#All],[Клиент]:[gps]],MATCH(F$1,ТабКлиенты[#Headers],0)-4,0)</f>
        <v>#N/A</v>
      </c>
      <c r="G855" s="183"/>
      <c r="H855" s="181"/>
      <c r="K855" t="e">
        <f t="shared" si="18"/>
        <v>#N/A</v>
      </c>
    </row>
    <row r="856" spans="4:11" hidden="1" x14ac:dyDescent="0.25">
      <c r="D856" t="e">
        <f>VLOOKUP($C856,ТабКлиенты[[#All],[name]:[phone]],MATCH(D$1,ТабКлиенты[#Headers],0)-1,0)</f>
        <v>#N/A</v>
      </c>
      <c r="E856" t="e">
        <f>VLOOKUP($C856,ТабАдрес[[#All],[Клиент]:[gps]],MATCH(E$1,ТабКлиенты[#Headers],0)-4,0)</f>
        <v>#N/A</v>
      </c>
      <c r="F856" t="e">
        <f>VLOOKUP($C856,ТабАдрес[[#All],[Клиент]:[gps]],MATCH(F$1,ТабКлиенты[#Headers],0)-4,0)</f>
        <v>#N/A</v>
      </c>
      <c r="G856" s="183"/>
      <c r="H856" s="181"/>
      <c r="K856" t="e">
        <f t="shared" si="18"/>
        <v>#N/A</v>
      </c>
    </row>
    <row r="857" spans="4:11" hidden="1" x14ac:dyDescent="0.25">
      <c r="D857" t="e">
        <f>VLOOKUP($C857,ТабКлиенты[[#All],[name]:[phone]],MATCH(D$1,ТабКлиенты[#Headers],0)-1,0)</f>
        <v>#N/A</v>
      </c>
      <c r="E857" t="e">
        <f>VLOOKUP($C857,ТабАдрес[[#All],[Клиент]:[gps]],MATCH(E$1,ТабКлиенты[#Headers],0)-4,0)</f>
        <v>#N/A</v>
      </c>
      <c r="F857" t="e">
        <f>VLOOKUP($C857,ТабАдрес[[#All],[Клиент]:[gps]],MATCH(F$1,ТабКлиенты[#Headers],0)-4,0)</f>
        <v>#N/A</v>
      </c>
      <c r="G857" s="183"/>
      <c r="H857" s="181"/>
      <c r="K857" t="e">
        <f t="shared" si="18"/>
        <v>#N/A</v>
      </c>
    </row>
    <row r="858" spans="4:11" hidden="1" x14ac:dyDescent="0.25">
      <c r="D858" t="e">
        <f>VLOOKUP($C858,ТабКлиенты[[#All],[name]:[phone]],MATCH(D$1,ТабКлиенты[#Headers],0)-1,0)</f>
        <v>#N/A</v>
      </c>
      <c r="E858" t="e">
        <f>VLOOKUP($C858,ТабАдрес[[#All],[Клиент]:[gps]],MATCH(E$1,ТабКлиенты[#Headers],0)-4,0)</f>
        <v>#N/A</v>
      </c>
      <c r="F858" t="e">
        <f>VLOOKUP($C858,ТабАдрес[[#All],[Клиент]:[gps]],MATCH(F$1,ТабКлиенты[#Headers],0)-4,0)</f>
        <v>#N/A</v>
      </c>
      <c r="G858" s="183"/>
      <c r="H858" s="181"/>
      <c r="K858" t="e">
        <f t="shared" si="18"/>
        <v>#N/A</v>
      </c>
    </row>
    <row r="859" spans="4:11" hidden="1" x14ac:dyDescent="0.25">
      <c r="D859" t="e">
        <f>VLOOKUP($C859,ТабКлиенты[[#All],[name]:[phone]],MATCH(D$1,ТабКлиенты[#Headers],0)-1,0)</f>
        <v>#N/A</v>
      </c>
      <c r="E859" t="e">
        <f>VLOOKUP($C859,ТабАдрес[[#All],[Клиент]:[gps]],MATCH(E$1,ТабКлиенты[#Headers],0)-4,0)</f>
        <v>#N/A</v>
      </c>
      <c r="F859" t="e">
        <f>VLOOKUP($C859,ТабАдрес[[#All],[Клиент]:[gps]],MATCH(F$1,ТабКлиенты[#Headers],0)-4,0)</f>
        <v>#N/A</v>
      </c>
      <c r="G859" s="183"/>
      <c r="H859" s="181"/>
      <c r="K859" t="e">
        <f t="shared" si="18"/>
        <v>#N/A</v>
      </c>
    </row>
    <row r="860" spans="4:11" hidden="1" x14ac:dyDescent="0.25">
      <c r="D860" t="e">
        <f>VLOOKUP($C860,ТабКлиенты[[#All],[name]:[phone]],MATCH(D$1,ТабКлиенты[#Headers],0)-1,0)</f>
        <v>#N/A</v>
      </c>
      <c r="E860" t="e">
        <f>VLOOKUP($C860,ТабАдрес[[#All],[Клиент]:[gps]],MATCH(E$1,ТабКлиенты[#Headers],0)-4,0)</f>
        <v>#N/A</v>
      </c>
      <c r="F860" t="e">
        <f>VLOOKUP($C860,ТабАдрес[[#All],[Клиент]:[gps]],MATCH(F$1,ТабКлиенты[#Headers],0)-4,0)</f>
        <v>#N/A</v>
      </c>
      <c r="G860" s="183"/>
      <c r="H860" s="181"/>
      <c r="K860" t="e">
        <f t="shared" si="18"/>
        <v>#N/A</v>
      </c>
    </row>
    <row r="861" spans="4:11" hidden="1" x14ac:dyDescent="0.25">
      <c r="D861" t="e">
        <f>VLOOKUP($C861,ТабКлиенты[[#All],[name]:[phone]],MATCH(D$1,ТабКлиенты[#Headers],0)-1,0)</f>
        <v>#N/A</v>
      </c>
      <c r="E861" t="e">
        <f>VLOOKUP($C861,ТабАдрес[[#All],[Клиент]:[gps]],MATCH(E$1,ТабКлиенты[#Headers],0)-4,0)</f>
        <v>#N/A</v>
      </c>
      <c r="F861" t="e">
        <f>VLOOKUP($C861,ТабАдрес[[#All],[Клиент]:[gps]],MATCH(F$1,ТабКлиенты[#Headers],0)-4,0)</f>
        <v>#N/A</v>
      </c>
      <c r="G861" s="183"/>
      <c r="H861" s="181"/>
      <c r="K861" t="e">
        <f t="shared" si="18"/>
        <v>#N/A</v>
      </c>
    </row>
    <row r="862" spans="4:11" hidden="1" x14ac:dyDescent="0.25">
      <c r="D862" t="e">
        <f>VLOOKUP($C862,ТабКлиенты[[#All],[name]:[phone]],MATCH(D$1,ТабКлиенты[#Headers],0)-1,0)</f>
        <v>#N/A</v>
      </c>
      <c r="E862" t="e">
        <f>VLOOKUP($C862,ТабАдрес[[#All],[Клиент]:[gps]],MATCH(E$1,ТабКлиенты[#Headers],0)-4,0)</f>
        <v>#N/A</v>
      </c>
      <c r="F862" t="e">
        <f>VLOOKUP($C862,ТабАдрес[[#All],[Клиент]:[gps]],MATCH(F$1,ТабКлиенты[#Headers],0)-4,0)</f>
        <v>#N/A</v>
      </c>
      <c r="G862" s="183"/>
      <c r="H862" s="181"/>
      <c r="K862" t="e">
        <f t="shared" si="18"/>
        <v>#N/A</v>
      </c>
    </row>
    <row r="863" spans="4:11" hidden="1" x14ac:dyDescent="0.25">
      <c r="D863" t="e">
        <f>VLOOKUP($C863,ТабКлиенты[[#All],[name]:[phone]],MATCH(D$1,ТабКлиенты[#Headers],0)-1,0)</f>
        <v>#N/A</v>
      </c>
      <c r="E863" t="e">
        <f>VLOOKUP($C863,ТабАдрес[[#All],[Клиент]:[gps]],MATCH(E$1,ТабКлиенты[#Headers],0)-4,0)</f>
        <v>#N/A</v>
      </c>
      <c r="F863" t="e">
        <f>VLOOKUP($C863,ТабАдрес[[#All],[Клиент]:[gps]],MATCH(F$1,ТабКлиенты[#Headers],0)-4,0)</f>
        <v>#N/A</v>
      </c>
      <c r="G863" s="183"/>
      <c r="H863" s="181"/>
      <c r="K863" t="e">
        <f t="shared" si="18"/>
        <v>#N/A</v>
      </c>
    </row>
    <row r="864" spans="4:11" hidden="1" x14ac:dyDescent="0.25">
      <c r="D864" t="e">
        <f>VLOOKUP($C864,ТабКлиенты[[#All],[name]:[phone]],MATCH(D$1,ТабКлиенты[#Headers],0)-1,0)</f>
        <v>#N/A</v>
      </c>
      <c r="E864" t="e">
        <f>VLOOKUP($C864,ТабАдрес[[#All],[Клиент]:[gps]],MATCH(E$1,ТабКлиенты[#Headers],0)-4,0)</f>
        <v>#N/A</v>
      </c>
      <c r="F864" t="e">
        <f>VLOOKUP($C864,ТабАдрес[[#All],[Клиент]:[gps]],MATCH(F$1,ТабКлиенты[#Headers],0)-4,0)</f>
        <v>#N/A</v>
      </c>
      <c r="G864" s="183"/>
      <c r="H864" s="181"/>
      <c r="K864" t="e">
        <f t="shared" si="18"/>
        <v>#N/A</v>
      </c>
    </row>
    <row r="865" spans="4:11" hidden="1" x14ac:dyDescent="0.25">
      <c r="D865" t="e">
        <f>VLOOKUP($C865,ТабКлиенты[[#All],[name]:[phone]],MATCH(D$1,ТабКлиенты[#Headers],0)-1,0)</f>
        <v>#N/A</v>
      </c>
      <c r="E865" t="e">
        <f>VLOOKUP($C865,ТабАдрес[[#All],[Клиент]:[gps]],MATCH(E$1,ТабКлиенты[#Headers],0)-4,0)</f>
        <v>#N/A</v>
      </c>
      <c r="F865" t="e">
        <f>VLOOKUP($C865,ТабАдрес[[#All],[Клиент]:[gps]],MATCH(F$1,ТабКлиенты[#Headers],0)-4,0)</f>
        <v>#N/A</v>
      </c>
      <c r="G865" s="183"/>
      <c r="H865" s="181"/>
      <c r="K865" t="e">
        <f t="shared" si="18"/>
        <v>#N/A</v>
      </c>
    </row>
    <row r="866" spans="4:11" hidden="1" x14ac:dyDescent="0.25">
      <c r="D866" t="e">
        <f>VLOOKUP($C866,ТабКлиенты[[#All],[name]:[phone]],MATCH(D$1,ТабКлиенты[#Headers],0)-1,0)</f>
        <v>#N/A</v>
      </c>
      <c r="E866" t="e">
        <f>VLOOKUP($C866,ТабАдрес[[#All],[Клиент]:[gps]],MATCH(E$1,ТабКлиенты[#Headers],0)-4,0)</f>
        <v>#N/A</v>
      </c>
      <c r="F866" t="e">
        <f>VLOOKUP($C866,ТабАдрес[[#All],[Клиент]:[gps]],MATCH(F$1,ТабКлиенты[#Headers],0)-4,0)</f>
        <v>#N/A</v>
      </c>
      <c r="G866" s="183"/>
      <c r="H866" s="181"/>
      <c r="K866" t="e">
        <f t="shared" si="18"/>
        <v>#N/A</v>
      </c>
    </row>
    <row r="867" spans="4:11" hidden="1" x14ac:dyDescent="0.25">
      <c r="D867" t="e">
        <f>VLOOKUP($C867,ТабКлиенты[[#All],[name]:[phone]],MATCH(D$1,ТабКлиенты[#Headers],0)-1,0)</f>
        <v>#N/A</v>
      </c>
      <c r="E867" t="e">
        <f>VLOOKUP($C867,ТабАдрес[[#All],[Клиент]:[gps]],MATCH(E$1,ТабКлиенты[#Headers],0)-4,0)</f>
        <v>#N/A</v>
      </c>
      <c r="F867" t="e">
        <f>VLOOKUP($C867,ТабАдрес[[#All],[Клиент]:[gps]],MATCH(F$1,ТабКлиенты[#Headers],0)-4,0)</f>
        <v>#N/A</v>
      </c>
      <c r="G867" s="183"/>
      <c r="H867" s="181"/>
      <c r="K867" t="e">
        <f t="shared" si="18"/>
        <v>#N/A</v>
      </c>
    </row>
    <row r="868" spans="4:11" hidden="1" x14ac:dyDescent="0.25">
      <c r="D868" t="e">
        <f>VLOOKUP($C868,ТабКлиенты[[#All],[name]:[phone]],MATCH(D$1,ТабКлиенты[#Headers],0)-1,0)</f>
        <v>#N/A</v>
      </c>
      <c r="E868" t="e">
        <f>VLOOKUP($C868,ТабАдрес[[#All],[Клиент]:[gps]],MATCH(E$1,ТабКлиенты[#Headers],0)-4,0)</f>
        <v>#N/A</v>
      </c>
      <c r="F868" t="e">
        <f>VLOOKUP($C868,ТабАдрес[[#All],[Клиент]:[gps]],MATCH(F$1,ТабКлиенты[#Headers],0)-4,0)</f>
        <v>#N/A</v>
      </c>
      <c r="G868" s="183"/>
      <c r="H868" s="181"/>
      <c r="K868" t="e">
        <f t="shared" si="18"/>
        <v>#N/A</v>
      </c>
    </row>
    <row r="869" spans="4:11" hidden="1" x14ac:dyDescent="0.25">
      <c r="D869" t="e">
        <f>VLOOKUP($C869,ТабКлиенты[[#All],[name]:[phone]],MATCH(D$1,ТабКлиенты[#Headers],0)-1,0)</f>
        <v>#N/A</v>
      </c>
      <c r="E869" t="e">
        <f>VLOOKUP($C869,ТабАдрес[[#All],[Клиент]:[gps]],MATCH(E$1,ТабКлиенты[#Headers],0)-4,0)</f>
        <v>#N/A</v>
      </c>
      <c r="F869" t="e">
        <f>VLOOKUP($C869,ТабАдрес[[#All],[Клиент]:[gps]],MATCH(F$1,ТабКлиенты[#Headers],0)-4,0)</f>
        <v>#N/A</v>
      </c>
      <c r="G869" s="183"/>
      <c r="H869" s="181"/>
      <c r="K869" t="e">
        <f t="shared" si="18"/>
        <v>#N/A</v>
      </c>
    </row>
    <row r="870" spans="4:11" hidden="1" x14ac:dyDescent="0.25">
      <c r="D870" t="e">
        <f>VLOOKUP($C870,ТабКлиенты[[#All],[name]:[phone]],MATCH(D$1,ТабКлиенты[#Headers],0)-1,0)</f>
        <v>#N/A</v>
      </c>
      <c r="E870" t="e">
        <f>VLOOKUP($C870,ТабАдрес[[#All],[Клиент]:[gps]],MATCH(E$1,ТабКлиенты[#Headers],0)-4,0)</f>
        <v>#N/A</v>
      </c>
      <c r="F870" t="e">
        <f>VLOOKUP($C870,ТабАдрес[[#All],[Клиент]:[gps]],MATCH(F$1,ТабКлиенты[#Headers],0)-4,0)</f>
        <v>#N/A</v>
      </c>
      <c r="G870" s="183"/>
      <c r="H870" s="181"/>
      <c r="K870" t="e">
        <f t="shared" si="18"/>
        <v>#N/A</v>
      </c>
    </row>
    <row r="871" spans="4:11" hidden="1" x14ac:dyDescent="0.25">
      <c r="D871" t="e">
        <f>VLOOKUP($C871,ТабКлиенты[[#All],[name]:[phone]],MATCH(D$1,ТабКлиенты[#Headers],0)-1,0)</f>
        <v>#N/A</v>
      </c>
      <c r="E871" t="e">
        <f>VLOOKUP($C871,ТабАдрес[[#All],[Клиент]:[gps]],MATCH(E$1,ТабКлиенты[#Headers],0)-4,0)</f>
        <v>#N/A</v>
      </c>
      <c r="F871" t="e">
        <f>VLOOKUP($C871,ТабАдрес[[#All],[Клиент]:[gps]],MATCH(F$1,ТабКлиенты[#Headers],0)-4,0)</f>
        <v>#N/A</v>
      </c>
      <c r="G871" s="183"/>
      <c r="H871" s="181"/>
      <c r="K871" t="e">
        <f t="shared" si="18"/>
        <v>#N/A</v>
      </c>
    </row>
    <row r="872" spans="4:11" hidden="1" x14ac:dyDescent="0.25">
      <c r="D872" t="e">
        <f>VLOOKUP($C872,ТабКлиенты[[#All],[name]:[phone]],MATCH(D$1,ТабКлиенты[#Headers],0)-1,0)</f>
        <v>#N/A</v>
      </c>
      <c r="E872" t="e">
        <f>VLOOKUP($C872,ТабАдрес[[#All],[Клиент]:[gps]],MATCH(E$1,ТабКлиенты[#Headers],0)-4,0)</f>
        <v>#N/A</v>
      </c>
      <c r="F872" t="e">
        <f>VLOOKUP($C872,ТабАдрес[[#All],[Клиент]:[gps]],MATCH(F$1,ТабКлиенты[#Headers],0)-4,0)</f>
        <v>#N/A</v>
      </c>
      <c r="G872" s="183"/>
      <c r="H872" s="181"/>
      <c r="K872" t="e">
        <f t="shared" si="18"/>
        <v>#N/A</v>
      </c>
    </row>
    <row r="873" spans="4:11" hidden="1" x14ac:dyDescent="0.25">
      <c r="D873" t="e">
        <f>VLOOKUP($C873,ТабКлиенты[[#All],[name]:[phone]],MATCH(D$1,ТабКлиенты[#Headers],0)-1,0)</f>
        <v>#N/A</v>
      </c>
      <c r="E873" t="e">
        <f>VLOOKUP($C873,ТабАдрес[[#All],[Клиент]:[gps]],MATCH(E$1,ТабКлиенты[#Headers],0)-4,0)</f>
        <v>#N/A</v>
      </c>
      <c r="F873" t="e">
        <f>VLOOKUP($C873,ТабАдрес[[#All],[Клиент]:[gps]],MATCH(F$1,ТабКлиенты[#Headers],0)-4,0)</f>
        <v>#N/A</v>
      </c>
      <c r="G873" s="183"/>
      <c r="H873" s="181"/>
      <c r="K873" t="e">
        <f t="shared" si="18"/>
        <v>#N/A</v>
      </c>
    </row>
    <row r="874" spans="4:11" hidden="1" x14ac:dyDescent="0.25">
      <c r="D874" t="e">
        <f>VLOOKUP($C874,ТабКлиенты[[#All],[name]:[phone]],MATCH(D$1,ТабКлиенты[#Headers],0)-1,0)</f>
        <v>#N/A</v>
      </c>
      <c r="E874" t="e">
        <f>VLOOKUP($C874,ТабАдрес[[#All],[Клиент]:[gps]],MATCH(E$1,ТабКлиенты[#Headers],0)-4,0)</f>
        <v>#N/A</v>
      </c>
      <c r="F874" t="e">
        <f>VLOOKUP($C874,ТабАдрес[[#All],[Клиент]:[gps]],MATCH(F$1,ТабКлиенты[#Headers],0)-4,0)</f>
        <v>#N/A</v>
      </c>
      <c r="G874" s="183"/>
      <c r="H874" s="181"/>
      <c r="K874" t="e">
        <f t="shared" si="18"/>
        <v>#N/A</v>
      </c>
    </row>
    <row r="875" spans="4:11" hidden="1" x14ac:dyDescent="0.25">
      <c r="D875" t="e">
        <f>VLOOKUP($C875,ТабКлиенты[[#All],[name]:[phone]],MATCH(D$1,ТабКлиенты[#Headers],0)-1,0)</f>
        <v>#N/A</v>
      </c>
      <c r="E875" t="e">
        <f>VLOOKUP($C875,ТабАдрес[[#All],[Клиент]:[gps]],MATCH(E$1,ТабКлиенты[#Headers],0)-4,0)</f>
        <v>#N/A</v>
      </c>
      <c r="F875" t="e">
        <f>VLOOKUP($C875,ТабАдрес[[#All],[Клиент]:[gps]],MATCH(F$1,ТабКлиенты[#Headers],0)-4,0)</f>
        <v>#N/A</v>
      </c>
      <c r="G875" s="183"/>
      <c r="H875" s="181"/>
      <c r="K875" t="e">
        <f t="shared" si="18"/>
        <v>#N/A</v>
      </c>
    </row>
    <row r="876" spans="4:11" hidden="1" x14ac:dyDescent="0.25">
      <c r="D876" t="e">
        <f>VLOOKUP($C876,ТабКлиенты[[#All],[name]:[phone]],MATCH(D$1,ТабКлиенты[#Headers],0)-1,0)</f>
        <v>#N/A</v>
      </c>
      <c r="E876" t="e">
        <f>VLOOKUP($C876,ТабАдрес[[#All],[Клиент]:[gps]],MATCH(E$1,ТабКлиенты[#Headers],0)-4,0)</f>
        <v>#N/A</v>
      </c>
      <c r="F876" t="e">
        <f>VLOOKUP($C876,ТабАдрес[[#All],[Клиент]:[gps]],MATCH(F$1,ТабКлиенты[#Headers],0)-4,0)</f>
        <v>#N/A</v>
      </c>
      <c r="G876" s="183"/>
      <c r="H876" s="181"/>
      <c r="K876" t="e">
        <f t="shared" si="18"/>
        <v>#N/A</v>
      </c>
    </row>
    <row r="877" spans="4:11" hidden="1" x14ac:dyDescent="0.25">
      <c r="D877" t="e">
        <f>VLOOKUP($C877,ТабКлиенты[[#All],[name]:[phone]],MATCH(D$1,ТабКлиенты[#Headers],0)-1,0)</f>
        <v>#N/A</v>
      </c>
      <c r="E877" t="e">
        <f>VLOOKUP($C877,ТабАдрес[[#All],[Клиент]:[gps]],MATCH(E$1,ТабКлиенты[#Headers],0)-4,0)</f>
        <v>#N/A</v>
      </c>
      <c r="F877" t="e">
        <f>VLOOKUP($C877,ТабАдрес[[#All],[Клиент]:[gps]],MATCH(F$1,ТабКлиенты[#Headers],0)-4,0)</f>
        <v>#N/A</v>
      </c>
      <c r="G877" s="183"/>
      <c r="H877" s="181"/>
      <c r="K877" t="e">
        <f t="shared" si="18"/>
        <v>#N/A</v>
      </c>
    </row>
    <row r="878" spans="4:11" hidden="1" x14ac:dyDescent="0.25">
      <c r="D878" t="e">
        <f>VLOOKUP($C878,ТабКлиенты[[#All],[name]:[phone]],MATCH(D$1,ТабКлиенты[#Headers],0)-1,0)</f>
        <v>#N/A</v>
      </c>
      <c r="E878" t="e">
        <f>VLOOKUP($C878,ТабАдрес[[#All],[Клиент]:[gps]],MATCH(E$1,ТабКлиенты[#Headers],0)-4,0)</f>
        <v>#N/A</v>
      </c>
      <c r="F878" t="e">
        <f>VLOOKUP($C878,ТабАдрес[[#All],[Клиент]:[gps]],MATCH(F$1,ТабКлиенты[#Headers],0)-4,0)</f>
        <v>#N/A</v>
      </c>
      <c r="G878" s="183"/>
      <c r="H878" s="181"/>
      <c r="K878" t="e">
        <f t="shared" si="18"/>
        <v>#N/A</v>
      </c>
    </row>
    <row r="879" spans="4:11" hidden="1" x14ac:dyDescent="0.25">
      <c r="D879" t="e">
        <f>VLOOKUP($C879,ТабКлиенты[[#All],[name]:[phone]],MATCH(D$1,ТабКлиенты[#Headers],0)-1,0)</f>
        <v>#N/A</v>
      </c>
      <c r="E879" t="e">
        <f>VLOOKUP($C879,ТабАдрес[[#All],[Клиент]:[gps]],MATCH(E$1,ТабКлиенты[#Headers],0)-4,0)</f>
        <v>#N/A</v>
      </c>
      <c r="F879" t="e">
        <f>VLOOKUP($C879,ТабАдрес[[#All],[Клиент]:[gps]],MATCH(F$1,ТабКлиенты[#Headers],0)-4,0)</f>
        <v>#N/A</v>
      </c>
      <c r="G879" s="183"/>
      <c r="H879" s="181"/>
      <c r="K879" t="e">
        <f t="shared" si="18"/>
        <v>#N/A</v>
      </c>
    </row>
    <row r="880" spans="4:11" hidden="1" x14ac:dyDescent="0.25">
      <c r="D880" t="e">
        <f>VLOOKUP($C880,ТабКлиенты[[#All],[name]:[phone]],MATCH(D$1,ТабКлиенты[#Headers],0)-1,0)</f>
        <v>#N/A</v>
      </c>
      <c r="E880" t="e">
        <f>VLOOKUP($C880,ТабАдрес[[#All],[Клиент]:[gps]],MATCH(E$1,ТабКлиенты[#Headers],0)-4,0)</f>
        <v>#N/A</v>
      </c>
      <c r="F880" t="e">
        <f>VLOOKUP($C880,ТабАдрес[[#All],[Клиент]:[gps]],MATCH(F$1,ТабКлиенты[#Headers],0)-4,0)</f>
        <v>#N/A</v>
      </c>
      <c r="G880" s="183"/>
      <c r="H880" s="181"/>
      <c r="K880" t="e">
        <f t="shared" si="18"/>
        <v>#N/A</v>
      </c>
    </row>
    <row r="881" spans="4:11" hidden="1" x14ac:dyDescent="0.25">
      <c r="D881" t="e">
        <f>VLOOKUP($C881,ТабКлиенты[[#All],[name]:[phone]],MATCH(D$1,ТабКлиенты[#Headers],0)-1,0)</f>
        <v>#N/A</v>
      </c>
      <c r="E881" t="e">
        <f>VLOOKUP($C881,ТабАдрес[[#All],[Клиент]:[gps]],MATCH(E$1,ТабКлиенты[#Headers],0)-4,0)</f>
        <v>#N/A</v>
      </c>
      <c r="F881" t="e">
        <f>VLOOKUP($C881,ТабАдрес[[#All],[Клиент]:[gps]],MATCH(F$1,ТабКлиенты[#Headers],0)-4,0)</f>
        <v>#N/A</v>
      </c>
      <c r="G881" s="183"/>
      <c r="H881" s="181"/>
      <c r="K881" t="e">
        <f t="shared" si="18"/>
        <v>#N/A</v>
      </c>
    </row>
    <row r="882" spans="4:11" hidden="1" x14ac:dyDescent="0.25">
      <c r="D882" t="e">
        <f>VLOOKUP($C882,ТабКлиенты[[#All],[name]:[phone]],MATCH(D$1,ТабКлиенты[#Headers],0)-1,0)</f>
        <v>#N/A</v>
      </c>
      <c r="E882" t="e">
        <f>VLOOKUP($C882,ТабАдрес[[#All],[Клиент]:[gps]],MATCH(E$1,ТабКлиенты[#Headers],0)-4,0)</f>
        <v>#N/A</v>
      </c>
      <c r="F882" t="e">
        <f>VLOOKUP($C882,ТабАдрес[[#All],[Клиент]:[gps]],MATCH(F$1,ТабКлиенты[#Headers],0)-4,0)</f>
        <v>#N/A</v>
      </c>
      <c r="G882" s="183"/>
      <c r="H882" s="181"/>
      <c r="K882" t="e">
        <f t="shared" si="18"/>
        <v>#N/A</v>
      </c>
    </row>
    <row r="883" spans="4:11" hidden="1" x14ac:dyDescent="0.25">
      <c r="D883" t="e">
        <f>VLOOKUP($C883,ТабКлиенты[[#All],[name]:[phone]],MATCH(D$1,ТабКлиенты[#Headers],0)-1,0)</f>
        <v>#N/A</v>
      </c>
      <c r="E883" t="e">
        <f>VLOOKUP($C883,ТабАдрес[[#All],[Клиент]:[gps]],MATCH(E$1,ТабКлиенты[#Headers],0)-4,0)</f>
        <v>#N/A</v>
      </c>
      <c r="F883" t="e">
        <f>VLOOKUP($C883,ТабАдрес[[#All],[Клиент]:[gps]],MATCH(F$1,ТабКлиенты[#Headers],0)-4,0)</f>
        <v>#N/A</v>
      </c>
      <c r="G883" s="183"/>
      <c r="H883" s="181"/>
      <c r="K883" t="e">
        <f t="shared" si="18"/>
        <v>#N/A</v>
      </c>
    </row>
    <row r="884" spans="4:11" hidden="1" x14ac:dyDescent="0.25">
      <c r="D884" t="e">
        <f>VLOOKUP($C884,ТабКлиенты[[#All],[name]:[phone]],MATCH(D$1,ТабКлиенты[#Headers],0)-1,0)</f>
        <v>#N/A</v>
      </c>
      <c r="E884" t="e">
        <f>VLOOKUP($C884,ТабАдрес[[#All],[Клиент]:[gps]],MATCH(E$1,ТабКлиенты[#Headers],0)-4,0)</f>
        <v>#N/A</v>
      </c>
      <c r="F884" t="e">
        <f>VLOOKUP($C884,ТабАдрес[[#All],[Клиент]:[gps]],MATCH(F$1,ТабКлиенты[#Headers],0)-4,0)</f>
        <v>#N/A</v>
      </c>
      <c r="G884" s="183"/>
      <c r="H884" s="181"/>
      <c r="K884" t="e">
        <f t="shared" si="18"/>
        <v>#N/A</v>
      </c>
    </row>
    <row r="885" spans="4:11" hidden="1" x14ac:dyDescent="0.25">
      <c r="D885" t="e">
        <f>VLOOKUP($C885,ТабКлиенты[[#All],[name]:[phone]],MATCH(D$1,ТабКлиенты[#Headers],0)-1,0)</f>
        <v>#N/A</v>
      </c>
      <c r="E885" t="e">
        <f>VLOOKUP($C885,ТабАдрес[[#All],[Клиент]:[gps]],MATCH(E$1,ТабКлиенты[#Headers],0)-4,0)</f>
        <v>#N/A</v>
      </c>
      <c r="F885" t="e">
        <f>VLOOKUP($C885,ТабАдрес[[#All],[Клиент]:[gps]],MATCH(F$1,ТабКлиенты[#Headers],0)-4,0)</f>
        <v>#N/A</v>
      </c>
      <c r="G885" s="183"/>
      <c r="H885" s="181"/>
      <c r="K885" t="e">
        <f t="shared" si="18"/>
        <v>#N/A</v>
      </c>
    </row>
    <row r="886" spans="4:11" hidden="1" x14ac:dyDescent="0.25">
      <c r="D886" t="e">
        <f>VLOOKUP($C886,ТабКлиенты[[#All],[name]:[phone]],MATCH(D$1,ТабКлиенты[#Headers],0)-1,0)</f>
        <v>#N/A</v>
      </c>
      <c r="E886" t="e">
        <f>VLOOKUP($C886,ТабАдрес[[#All],[Клиент]:[gps]],MATCH(E$1,ТабКлиенты[#Headers],0)-4,0)</f>
        <v>#N/A</v>
      </c>
      <c r="F886" t="e">
        <f>VLOOKUP($C886,ТабАдрес[[#All],[Клиент]:[gps]],MATCH(F$1,ТабКлиенты[#Headers],0)-4,0)</f>
        <v>#N/A</v>
      </c>
      <c r="G886" s="183"/>
      <c r="H886" s="181"/>
      <c r="K886" t="e">
        <f t="shared" si="18"/>
        <v>#N/A</v>
      </c>
    </row>
    <row r="887" spans="4:11" x14ac:dyDescent="0.25">
      <c r="H887" s="184"/>
    </row>
    <row r="888" spans="4:11" x14ac:dyDescent="0.25">
      <c r="G888" s="185"/>
      <c r="H888" s="184"/>
      <c r="J888" s="186"/>
    </row>
    <row r="889" spans="4:11" x14ac:dyDescent="0.25">
      <c r="H889" s="184"/>
    </row>
    <row r="890" spans="4:11" x14ac:dyDescent="0.25">
      <c r="H890" s="184"/>
      <c r="J890" s="186"/>
    </row>
    <row r="891" spans="4:11" x14ac:dyDescent="0.25">
      <c r="G891" s="184"/>
      <c r="H891" s="184"/>
      <c r="J891" s="186"/>
    </row>
    <row r="892" spans="4:11" x14ac:dyDescent="0.25">
      <c r="G892" s="184"/>
      <c r="H892" s="184"/>
      <c r="J892" s="186"/>
    </row>
    <row r="893" spans="4:11" x14ac:dyDescent="0.25">
      <c r="G893" s="184"/>
      <c r="H893" s="184"/>
      <c r="J893" s="186"/>
    </row>
    <row r="894" spans="4:11" x14ac:dyDescent="0.25">
      <c r="G894" s="184"/>
      <c r="H894" s="184"/>
      <c r="J894" s="186"/>
    </row>
    <row r="895" spans="4:11" x14ac:dyDescent="0.25">
      <c r="G895" s="184"/>
      <c r="H895" s="184"/>
      <c r="J895" s="186"/>
    </row>
    <row r="896" spans="4:11" x14ac:dyDescent="0.25">
      <c r="G896" s="184"/>
      <c r="H896" s="184"/>
      <c r="J896" s="186"/>
    </row>
    <row r="897" spans="7:10" x14ac:dyDescent="0.25">
      <c r="G897" s="184"/>
      <c r="H897" s="184"/>
      <c r="J897" s="186"/>
    </row>
    <row r="898" spans="7:10" x14ac:dyDescent="0.25">
      <c r="G898" s="184"/>
      <c r="H898" s="184"/>
      <c r="J898" s="186"/>
    </row>
    <row r="899" spans="7:10" x14ac:dyDescent="0.25">
      <c r="G899" s="184"/>
      <c r="H899" s="184"/>
      <c r="J899" s="186"/>
    </row>
    <row r="900" spans="7:10" x14ac:dyDescent="0.25">
      <c r="G900" s="184"/>
      <c r="H900" s="184"/>
    </row>
    <row r="901" spans="7:10" x14ac:dyDescent="0.25">
      <c r="H901" s="184"/>
    </row>
  </sheetData>
  <autoFilter ref="A1:K886" xr:uid="{3D0B4335-AB25-4784-959E-517502C9BFD4}">
    <filterColumn colId="1">
      <filters>
        <filter val="06.12.2025"/>
      </filters>
    </filterColumn>
    <sortState xmlns:xlrd2="http://schemas.microsoft.com/office/spreadsheetml/2017/richdata2" ref="A816:K820">
      <sortCondition ref="A1:A886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E471-C6A4-41F3-9D4B-071E9A7E139E}">
  <sheetPr codeName="Лист6"/>
  <dimension ref="A1:N298"/>
  <sheetViews>
    <sheetView zoomScaleNormal="100" workbookViewId="0">
      <pane ySplit="1" topLeftCell="A50" activePane="bottomLeft" state="frozen"/>
      <selection activeCell="E1" sqref="E1"/>
      <selection pane="bottomLeft" activeCell="B50" sqref="B50"/>
    </sheetView>
  </sheetViews>
  <sheetFormatPr defaultRowHeight="15" x14ac:dyDescent="0.25"/>
  <cols>
    <col min="1" max="1" width="29" bestFit="1" customWidth="1"/>
    <col min="2" max="2" width="28.7109375" bestFit="1" customWidth="1"/>
    <col min="3" max="3" width="17.28515625" bestFit="1" customWidth="1"/>
    <col min="4" max="5" width="17.28515625" customWidth="1"/>
    <col min="6" max="7" width="28.28515625" customWidth="1"/>
    <col min="8" max="8" width="19.140625" bestFit="1" customWidth="1"/>
    <col min="9" max="9" width="17.7109375" bestFit="1" customWidth="1"/>
    <col min="10" max="10" width="28.28515625" bestFit="1" customWidth="1"/>
    <col min="19" max="19" width="21.140625" customWidth="1"/>
    <col min="21" max="21" width="27.28515625" bestFit="1" customWidth="1"/>
  </cols>
  <sheetData>
    <row r="1" spans="1:14" s="167" customFormat="1" x14ac:dyDescent="0.25">
      <c r="A1" s="164" t="s">
        <v>4214</v>
      </c>
      <c r="B1" s="164" t="s">
        <v>3116</v>
      </c>
      <c r="C1" s="166" t="s">
        <v>3120</v>
      </c>
      <c r="D1" s="166" t="s">
        <v>4816</v>
      </c>
      <c r="E1" s="166" t="s">
        <v>4645</v>
      </c>
      <c r="F1" s="166" t="s">
        <v>4817</v>
      </c>
      <c r="G1" s="166" t="s">
        <v>4818</v>
      </c>
      <c r="H1" s="165" t="s">
        <v>3117</v>
      </c>
      <c r="I1" s="166" t="s">
        <v>3118</v>
      </c>
      <c r="J1" s="166" t="s">
        <v>3119</v>
      </c>
      <c r="K1" s="193" t="s">
        <v>4542</v>
      </c>
      <c r="L1" s="193" t="s">
        <v>4544</v>
      </c>
      <c r="M1" s="193" t="s">
        <v>4431</v>
      </c>
      <c r="N1" s="193" t="s">
        <v>4543</v>
      </c>
    </row>
    <row r="2" spans="1:14" x14ac:dyDescent="0.25">
      <c r="A2" s="169" t="s">
        <v>4524</v>
      </c>
      <c r="B2" s="168" t="s">
        <v>4523</v>
      </c>
      <c r="C2" s="173">
        <v>0</v>
      </c>
      <c r="D2" s="173" t="s">
        <v>4819</v>
      </c>
      <c r="E2" s="173">
        <v>0</v>
      </c>
      <c r="F2" s="169" t="s">
        <v>4837</v>
      </c>
      <c r="G2" s="169" t="s">
        <v>4837</v>
      </c>
      <c r="H2" s="172" t="s">
        <v>4525</v>
      </c>
      <c r="I2" s="169" t="s">
        <v>4526</v>
      </c>
      <c r="J2" s="169" t="s">
        <v>4527</v>
      </c>
    </row>
    <row r="3" spans="1:14" ht="15" customHeight="1" x14ac:dyDescent="0.25">
      <c r="A3" s="169" t="s">
        <v>4440</v>
      </c>
      <c r="B3" s="168" t="s">
        <v>3172</v>
      </c>
      <c r="C3" s="171">
        <v>15</v>
      </c>
      <c r="D3" s="171" t="s">
        <v>4819</v>
      </c>
      <c r="E3" s="171">
        <v>0</v>
      </c>
      <c r="F3" s="169"/>
      <c r="G3" s="169"/>
      <c r="H3" s="170" t="s">
        <v>3173</v>
      </c>
      <c r="I3" s="169" t="s">
        <v>3174</v>
      </c>
      <c r="J3" s="169" t="s">
        <v>3175</v>
      </c>
    </row>
    <row r="4" spans="1:14" x14ac:dyDescent="0.25">
      <c r="A4" s="169" t="s">
        <v>4445</v>
      </c>
      <c r="B4" s="168" t="s">
        <v>3194</v>
      </c>
      <c r="C4" s="171">
        <v>15</v>
      </c>
      <c r="D4" s="171" t="s">
        <v>4819</v>
      </c>
      <c r="E4" s="171">
        <v>0</v>
      </c>
      <c r="F4" s="169"/>
      <c r="G4" s="169"/>
      <c r="H4" s="170" t="s">
        <v>3195</v>
      </c>
      <c r="I4" s="169" t="s">
        <v>3196</v>
      </c>
      <c r="J4" s="169" t="s">
        <v>3197</v>
      </c>
    </row>
    <row r="5" spans="1:14" x14ac:dyDescent="0.25">
      <c r="A5" s="195" t="s">
        <v>4635</v>
      </c>
      <c r="B5" s="168" t="s">
        <v>4634</v>
      </c>
      <c r="C5" s="171">
        <v>0</v>
      </c>
      <c r="D5" s="171" t="s">
        <v>4819</v>
      </c>
      <c r="E5" s="171">
        <v>0</v>
      </c>
      <c r="F5" s="169" t="s">
        <v>4857</v>
      </c>
      <c r="G5" s="169" t="s">
        <v>4857</v>
      </c>
      <c r="H5" s="170" t="s">
        <v>4636</v>
      </c>
      <c r="I5" s="169"/>
      <c r="J5" s="169"/>
      <c r="M5" t="s">
        <v>4637</v>
      </c>
    </row>
    <row r="6" spans="1:14" x14ac:dyDescent="0.25">
      <c r="A6" s="169" t="s">
        <v>4517</v>
      </c>
      <c r="B6" s="168" t="s">
        <v>3497</v>
      </c>
      <c r="C6" s="171">
        <v>15</v>
      </c>
      <c r="D6" s="171" t="s">
        <v>4819</v>
      </c>
      <c r="E6" s="171">
        <v>0</v>
      </c>
      <c r="F6" s="169"/>
      <c r="G6" s="169"/>
      <c r="H6" s="170" t="s">
        <v>3498</v>
      </c>
      <c r="I6" s="169" t="s">
        <v>3331</v>
      </c>
      <c r="J6" s="169" t="s">
        <v>3332</v>
      </c>
    </row>
    <row r="7" spans="1:14" x14ac:dyDescent="0.25">
      <c r="A7" s="169" t="s">
        <v>4639</v>
      </c>
      <c r="B7" s="168" t="s">
        <v>4638</v>
      </c>
      <c r="C7" s="171">
        <v>0</v>
      </c>
      <c r="D7" s="171" t="s">
        <v>4819</v>
      </c>
      <c r="E7" s="171">
        <v>0</v>
      </c>
      <c r="F7" s="169" t="s">
        <v>4858</v>
      </c>
      <c r="G7" s="169" t="s">
        <v>4859</v>
      </c>
      <c r="H7" s="170" t="s">
        <v>4640</v>
      </c>
      <c r="I7" s="169"/>
      <c r="J7" s="169"/>
    </row>
    <row r="8" spans="1:14" x14ac:dyDescent="0.25">
      <c r="A8" s="169" t="s">
        <v>5108</v>
      </c>
      <c r="B8" s="168" t="s">
        <v>5109</v>
      </c>
      <c r="C8" s="171">
        <v>0</v>
      </c>
      <c r="D8" s="171" t="s">
        <v>4819</v>
      </c>
      <c r="E8" s="171">
        <v>0</v>
      </c>
      <c r="F8" s="169" t="s">
        <v>5110</v>
      </c>
      <c r="G8" s="169" t="s">
        <v>5111</v>
      </c>
      <c r="H8" s="170" t="s">
        <v>5112</v>
      </c>
      <c r="I8" s="169"/>
      <c r="J8" s="169"/>
    </row>
    <row r="9" spans="1:14" x14ac:dyDescent="0.25">
      <c r="A9" s="169" t="s">
        <v>5090</v>
      </c>
      <c r="B9" s="168" t="s">
        <v>5091</v>
      </c>
      <c r="C9" s="171">
        <v>0</v>
      </c>
      <c r="D9" s="171" t="s">
        <v>4819</v>
      </c>
      <c r="E9" s="171">
        <v>0</v>
      </c>
      <c r="F9" s="169" t="s">
        <v>5092</v>
      </c>
      <c r="G9" s="169" t="s">
        <v>5093</v>
      </c>
      <c r="H9" s="170" t="s">
        <v>5094</v>
      </c>
      <c r="I9" s="169"/>
      <c r="J9" s="169"/>
    </row>
    <row r="10" spans="1:14" x14ac:dyDescent="0.25">
      <c r="A10" s="196" t="s">
        <v>4986</v>
      </c>
      <c r="B10" s="168" t="s">
        <v>4987</v>
      </c>
      <c r="C10" s="173">
        <v>0</v>
      </c>
      <c r="D10" s="173" t="s">
        <v>4819</v>
      </c>
      <c r="E10" s="173">
        <v>0</v>
      </c>
      <c r="F10" s="169" t="s">
        <v>4988</v>
      </c>
      <c r="G10" s="169" t="s">
        <v>4989</v>
      </c>
      <c r="H10" s="172" t="s">
        <v>4990</v>
      </c>
      <c r="I10" s="169"/>
      <c r="J10" s="169"/>
    </row>
    <row r="11" spans="1:14" x14ac:dyDescent="0.25">
      <c r="A11" s="169" t="s">
        <v>4449</v>
      </c>
      <c r="B11" s="168" t="s">
        <v>3211</v>
      </c>
      <c r="C11" s="171">
        <v>15</v>
      </c>
      <c r="D11" s="171" t="s">
        <v>4819</v>
      </c>
      <c r="E11" s="171">
        <v>0</v>
      </c>
      <c r="F11" s="169"/>
      <c r="G11" s="169"/>
      <c r="H11" s="170" t="s">
        <v>3212</v>
      </c>
      <c r="I11" s="169" t="s">
        <v>3213</v>
      </c>
      <c r="J11" s="169" t="s">
        <v>3214</v>
      </c>
    </row>
    <row r="12" spans="1:14" x14ac:dyDescent="0.25">
      <c r="A12" s="169" t="s">
        <v>4801</v>
      </c>
      <c r="B12" s="168" t="s">
        <v>4872</v>
      </c>
      <c r="C12" s="173">
        <v>0</v>
      </c>
      <c r="D12" s="173" t="s">
        <v>4819</v>
      </c>
      <c r="E12" s="173">
        <v>0</v>
      </c>
      <c r="F12" s="169" t="s">
        <v>4874</v>
      </c>
      <c r="G12" s="169" t="s">
        <v>4874</v>
      </c>
      <c r="H12" s="172" t="s">
        <v>4873</v>
      </c>
      <c r="I12" s="169"/>
      <c r="J12" s="169"/>
    </row>
    <row r="13" spans="1:14" x14ac:dyDescent="0.25">
      <c r="A13" s="169" t="s">
        <v>4459</v>
      </c>
      <c r="B13" s="168" t="s">
        <v>3252</v>
      </c>
      <c r="C13" s="171">
        <v>15</v>
      </c>
      <c r="D13" s="171" t="s">
        <v>4819</v>
      </c>
      <c r="E13" s="171">
        <v>0</v>
      </c>
      <c r="F13" s="169" t="s">
        <v>4827</v>
      </c>
      <c r="G13" s="169" t="s">
        <v>4827</v>
      </c>
      <c r="H13" s="170" t="s">
        <v>3253</v>
      </c>
      <c r="I13" s="169" t="s">
        <v>3254</v>
      </c>
      <c r="J13" s="169" t="s">
        <v>3255</v>
      </c>
    </row>
    <row r="14" spans="1:14" x14ac:dyDescent="0.25">
      <c r="A14" s="169" t="s">
        <v>4461</v>
      </c>
      <c r="B14" s="168" t="s">
        <v>3265</v>
      </c>
      <c r="C14" s="171">
        <v>15</v>
      </c>
      <c r="D14" s="171" t="s">
        <v>4819</v>
      </c>
      <c r="E14" s="171">
        <v>0</v>
      </c>
      <c r="F14" s="169"/>
      <c r="G14" s="169"/>
      <c r="H14" s="170" t="s">
        <v>3266</v>
      </c>
      <c r="I14" s="169" t="s">
        <v>3267</v>
      </c>
      <c r="J14" s="169" t="s">
        <v>3268</v>
      </c>
    </row>
    <row r="15" spans="1:14" x14ac:dyDescent="0.25">
      <c r="A15" s="169" t="s">
        <v>4790</v>
      </c>
      <c r="B15" s="168" t="s">
        <v>4865</v>
      </c>
      <c r="C15" s="173">
        <v>0</v>
      </c>
      <c r="D15" s="173" t="s">
        <v>4819</v>
      </c>
      <c r="E15" s="173">
        <v>0</v>
      </c>
      <c r="F15" s="169" t="s">
        <v>4867</v>
      </c>
      <c r="G15" s="169" t="s">
        <v>4867</v>
      </c>
      <c r="H15" s="172" t="s">
        <v>4866</v>
      </c>
      <c r="I15" s="169"/>
      <c r="J15" s="169"/>
    </row>
    <row r="16" spans="1:14" x14ac:dyDescent="0.25">
      <c r="A16" s="169" t="s">
        <v>4489</v>
      </c>
      <c r="B16" s="168" t="s">
        <v>3384</v>
      </c>
      <c r="C16" s="171">
        <v>15</v>
      </c>
      <c r="D16" s="171" t="s">
        <v>4819</v>
      </c>
      <c r="E16" s="171">
        <v>0</v>
      </c>
      <c r="F16" s="169"/>
      <c r="G16" s="169"/>
      <c r="H16" s="170" t="s">
        <v>3385</v>
      </c>
      <c r="I16" s="169" t="s">
        <v>3386</v>
      </c>
      <c r="J16" s="169" t="s">
        <v>3387</v>
      </c>
    </row>
    <row r="17" spans="1:13" x14ac:dyDescent="0.25">
      <c r="A17" s="187" t="s">
        <v>4447</v>
      </c>
      <c r="B17" s="194" t="s">
        <v>3203</v>
      </c>
      <c r="C17" s="173">
        <v>15</v>
      </c>
      <c r="D17" s="173" t="s">
        <v>4819</v>
      </c>
      <c r="E17" s="173">
        <v>0</v>
      </c>
      <c r="F17" s="169"/>
      <c r="G17" s="169"/>
      <c r="H17" s="172" t="s">
        <v>3204</v>
      </c>
      <c r="I17" s="169" t="s">
        <v>3205</v>
      </c>
      <c r="J17" s="169"/>
    </row>
    <row r="18" spans="1:13" x14ac:dyDescent="0.25">
      <c r="A18" s="169" t="s">
        <v>4476</v>
      </c>
      <c r="B18" s="168" t="s">
        <v>3321</v>
      </c>
      <c r="C18" s="171">
        <v>15</v>
      </c>
      <c r="D18" s="171" t="s">
        <v>4819</v>
      </c>
      <c r="E18" s="171">
        <v>0</v>
      </c>
      <c r="F18" s="169"/>
      <c r="G18" s="169"/>
      <c r="H18" s="170" t="s">
        <v>3322</v>
      </c>
      <c r="I18" s="169" t="s">
        <v>3323</v>
      </c>
      <c r="J18" s="169" t="s">
        <v>3324</v>
      </c>
    </row>
    <row r="19" spans="1:13" x14ac:dyDescent="0.25">
      <c r="A19" s="187" t="s">
        <v>4480</v>
      </c>
      <c r="B19" s="194" t="s">
        <v>3344</v>
      </c>
      <c r="C19" s="173">
        <v>15</v>
      </c>
      <c r="D19" s="173" t="s">
        <v>4819</v>
      </c>
      <c r="E19" s="173">
        <v>0</v>
      </c>
      <c r="F19" s="169"/>
      <c r="G19" s="169"/>
      <c r="H19" s="172" t="s">
        <v>3345</v>
      </c>
      <c r="I19" s="169" t="s">
        <v>3346</v>
      </c>
      <c r="J19" s="169" t="s">
        <v>3347</v>
      </c>
    </row>
    <row r="20" spans="1:13" x14ac:dyDescent="0.25">
      <c r="A20" s="169" t="s">
        <v>4529</v>
      </c>
      <c r="B20" s="168" t="s">
        <v>4528</v>
      </c>
      <c r="C20" s="171">
        <v>0</v>
      </c>
      <c r="D20" s="171" t="s">
        <v>4819</v>
      </c>
      <c r="E20" s="171">
        <v>0</v>
      </c>
      <c r="F20" s="169" t="s">
        <v>4838</v>
      </c>
      <c r="G20" s="169" t="s">
        <v>4839</v>
      </c>
      <c r="H20" s="170" t="s">
        <v>4530</v>
      </c>
      <c r="I20" s="169" t="s">
        <v>4531</v>
      </c>
      <c r="J20" s="169" t="s">
        <v>4532</v>
      </c>
    </row>
    <row r="21" spans="1:13" x14ac:dyDescent="0.25">
      <c r="A21" s="169" t="s">
        <v>4561</v>
      </c>
      <c r="B21" s="168" t="s">
        <v>4559</v>
      </c>
      <c r="C21" s="171">
        <v>0</v>
      </c>
      <c r="D21" s="171" t="s">
        <v>4819</v>
      </c>
      <c r="E21" s="171">
        <v>0</v>
      </c>
      <c r="F21" s="169" t="s">
        <v>4845</v>
      </c>
      <c r="G21" s="169" t="s">
        <v>4845</v>
      </c>
      <c r="H21" s="170"/>
      <c r="I21" s="169"/>
      <c r="J21" s="169"/>
      <c r="M21" t="s">
        <v>4562</v>
      </c>
    </row>
    <row r="22" spans="1:13" x14ac:dyDescent="0.25">
      <c r="A22" s="169" t="s">
        <v>4910</v>
      </c>
      <c r="B22" s="168" t="s">
        <v>4911</v>
      </c>
      <c r="C22" s="171">
        <v>0</v>
      </c>
      <c r="D22" s="171" t="s">
        <v>4819</v>
      </c>
      <c r="E22" s="171">
        <v>0</v>
      </c>
      <c r="F22" s="169" t="s">
        <v>4913</v>
      </c>
      <c r="G22" s="169" t="s">
        <v>4913</v>
      </c>
      <c r="H22" s="170" t="s">
        <v>4912</v>
      </c>
      <c r="I22" s="169"/>
      <c r="J22" s="169"/>
    </row>
    <row r="23" spans="1:13" x14ac:dyDescent="0.25">
      <c r="A23" s="169" t="s">
        <v>4991</v>
      </c>
      <c r="B23" s="168" t="s">
        <v>4992</v>
      </c>
      <c r="C23" s="171">
        <v>0</v>
      </c>
      <c r="D23" s="171" t="s">
        <v>4819</v>
      </c>
      <c r="E23" s="171">
        <v>0</v>
      </c>
      <c r="F23" s="169" t="s">
        <v>4993</v>
      </c>
      <c r="G23" s="169" t="s">
        <v>4993</v>
      </c>
      <c r="H23" s="170" t="s">
        <v>4994</v>
      </c>
      <c r="I23" s="169"/>
      <c r="J23" s="169"/>
    </row>
    <row r="24" spans="1:13" x14ac:dyDescent="0.25">
      <c r="A24" s="169" t="s">
        <v>4467</v>
      </c>
      <c r="B24" s="168" t="s">
        <v>4831</v>
      </c>
      <c r="C24" s="171">
        <v>15</v>
      </c>
      <c r="D24" s="171" t="s">
        <v>4819</v>
      </c>
      <c r="E24" s="171">
        <v>0</v>
      </c>
      <c r="F24" s="169" t="s">
        <v>4832</v>
      </c>
      <c r="G24" s="169" t="s">
        <v>4832</v>
      </c>
      <c r="H24" s="170" t="s">
        <v>3287</v>
      </c>
      <c r="I24" s="169" t="s">
        <v>3288</v>
      </c>
      <c r="J24" s="169" t="s">
        <v>3289</v>
      </c>
    </row>
    <row r="25" spans="1:13" x14ac:dyDescent="0.25">
      <c r="A25" s="169" t="s">
        <v>4486</v>
      </c>
      <c r="B25" s="168" t="s">
        <v>3369</v>
      </c>
      <c r="C25" s="173">
        <v>15</v>
      </c>
      <c r="D25" s="173" t="s">
        <v>4819</v>
      </c>
      <c r="E25" s="173">
        <v>0</v>
      </c>
      <c r="F25" s="169"/>
      <c r="G25" s="169"/>
      <c r="H25" s="172" t="s">
        <v>3370</v>
      </c>
      <c r="I25" s="169" t="s">
        <v>3371</v>
      </c>
      <c r="J25" s="169" t="s">
        <v>3372</v>
      </c>
    </row>
    <row r="26" spans="1:13" x14ac:dyDescent="0.25">
      <c r="A26" s="169" t="s">
        <v>4516</v>
      </c>
      <c r="B26" s="168" t="s">
        <v>3493</v>
      </c>
      <c r="C26" s="171">
        <v>15</v>
      </c>
      <c r="D26" s="171" t="s">
        <v>4819</v>
      </c>
      <c r="E26" s="171">
        <v>0</v>
      </c>
      <c r="F26" s="169"/>
      <c r="G26" s="169"/>
      <c r="H26" s="170" t="s">
        <v>3494</v>
      </c>
      <c r="I26" s="169" t="s">
        <v>3495</v>
      </c>
      <c r="J26" s="169" t="s">
        <v>3496</v>
      </c>
    </row>
    <row r="27" spans="1:13" x14ac:dyDescent="0.25">
      <c r="A27" s="169" t="s">
        <v>4490</v>
      </c>
      <c r="B27" s="168" t="s">
        <v>3388</v>
      </c>
      <c r="C27" s="173">
        <v>15</v>
      </c>
      <c r="D27" s="173" t="s">
        <v>4819</v>
      </c>
      <c r="E27" s="173">
        <v>0</v>
      </c>
      <c r="F27" s="169"/>
      <c r="G27" s="169"/>
      <c r="H27" s="172" t="s">
        <v>3389</v>
      </c>
      <c r="I27" s="169" t="s">
        <v>3390</v>
      </c>
      <c r="J27" s="169" t="s">
        <v>3391</v>
      </c>
    </row>
    <row r="28" spans="1:13" x14ac:dyDescent="0.25">
      <c r="A28" s="169" t="s">
        <v>4901</v>
      </c>
      <c r="B28" s="168" t="s">
        <v>4902</v>
      </c>
      <c r="C28" s="171">
        <v>0</v>
      </c>
      <c r="D28" s="171" t="s">
        <v>4819</v>
      </c>
      <c r="E28" s="171">
        <v>0</v>
      </c>
      <c r="F28" s="169" t="s">
        <v>4904</v>
      </c>
      <c r="G28" s="169" t="s">
        <v>4904</v>
      </c>
      <c r="H28" s="170" t="s">
        <v>4903</v>
      </c>
      <c r="I28" s="169"/>
      <c r="J28" s="169"/>
    </row>
    <row r="29" spans="1:13" x14ac:dyDescent="0.25">
      <c r="A29" s="169" t="s">
        <v>4556</v>
      </c>
      <c r="B29" s="168" t="s">
        <v>4555</v>
      </c>
      <c r="C29" s="171">
        <v>0</v>
      </c>
      <c r="D29" s="171" t="s">
        <v>4819</v>
      </c>
      <c r="E29" s="171">
        <v>0</v>
      </c>
      <c r="F29" s="169" t="s">
        <v>4844</v>
      </c>
      <c r="G29" s="169" t="s">
        <v>4844</v>
      </c>
      <c r="H29" s="170" t="s">
        <v>4557</v>
      </c>
      <c r="I29" s="169" t="s">
        <v>4558</v>
      </c>
      <c r="J29" s="169"/>
      <c r="K29" t="s">
        <v>4559</v>
      </c>
      <c r="L29" t="s">
        <v>4560</v>
      </c>
    </row>
    <row r="30" spans="1:13" x14ac:dyDescent="0.25">
      <c r="A30" s="169" t="s">
        <v>4499</v>
      </c>
      <c r="B30" s="168" t="s">
        <v>3426</v>
      </c>
      <c r="C30" s="171">
        <v>15</v>
      </c>
      <c r="D30" s="171" t="s">
        <v>4819</v>
      </c>
      <c r="E30" s="171">
        <v>0</v>
      </c>
      <c r="F30" s="169"/>
      <c r="G30" s="169"/>
      <c r="H30" s="170" t="s">
        <v>3427</v>
      </c>
      <c r="I30" s="169" t="s">
        <v>3428</v>
      </c>
      <c r="J30" s="169" t="s">
        <v>3429</v>
      </c>
    </row>
    <row r="31" spans="1:13" x14ac:dyDescent="0.25">
      <c r="A31" s="169" t="s">
        <v>4434</v>
      </c>
      <c r="B31" s="168" t="s">
        <v>3147</v>
      </c>
      <c r="C31" s="171">
        <v>15</v>
      </c>
      <c r="D31" s="171" t="s">
        <v>4819</v>
      </c>
      <c r="E31" s="171">
        <v>0</v>
      </c>
      <c r="F31" s="169"/>
      <c r="G31" s="169"/>
      <c r="H31" s="170"/>
      <c r="I31" s="169"/>
      <c r="J31" s="169"/>
    </row>
    <row r="32" spans="1:13" x14ac:dyDescent="0.25">
      <c r="A32" s="169" t="s">
        <v>4448</v>
      </c>
      <c r="B32" s="168" t="s">
        <v>3206</v>
      </c>
      <c r="C32" s="171">
        <v>15</v>
      </c>
      <c r="D32" s="171" t="s">
        <v>4819</v>
      </c>
      <c r="E32" s="171">
        <v>0</v>
      </c>
      <c r="F32" s="169"/>
      <c r="G32" s="169"/>
      <c r="H32" s="170" t="s">
        <v>3207</v>
      </c>
      <c r="I32" s="169" t="s">
        <v>3208</v>
      </c>
      <c r="J32" s="169" t="s">
        <v>3209</v>
      </c>
    </row>
    <row r="33" spans="1:12" x14ac:dyDescent="0.25">
      <c r="A33" s="169" t="s">
        <v>4614</v>
      </c>
      <c r="B33" s="168" t="s">
        <v>4613</v>
      </c>
      <c r="C33" s="171">
        <v>0</v>
      </c>
      <c r="D33" s="171" t="s">
        <v>4819</v>
      </c>
      <c r="E33" s="171">
        <v>0</v>
      </c>
      <c r="F33" s="169" t="s">
        <v>4850</v>
      </c>
      <c r="G33" s="169" t="s">
        <v>4851</v>
      </c>
      <c r="H33" s="170" t="s">
        <v>4615</v>
      </c>
      <c r="I33" s="169" t="s">
        <v>4616</v>
      </c>
      <c r="J33" s="169" t="s">
        <v>4617</v>
      </c>
    </row>
    <row r="34" spans="1:12" x14ac:dyDescent="0.25">
      <c r="A34" s="169" t="s">
        <v>4471</v>
      </c>
      <c r="B34" s="168" t="s">
        <v>3300</v>
      </c>
      <c r="C34" s="173">
        <v>15</v>
      </c>
      <c r="D34" s="173" t="s">
        <v>4819</v>
      </c>
      <c r="E34" s="173">
        <v>0</v>
      </c>
      <c r="F34" s="169"/>
      <c r="G34" s="169"/>
      <c r="H34" s="172" t="s">
        <v>3301</v>
      </c>
      <c r="I34" s="169" t="s">
        <v>3302</v>
      </c>
      <c r="J34" s="169" t="s">
        <v>3303</v>
      </c>
    </row>
    <row r="35" spans="1:12" x14ac:dyDescent="0.25">
      <c r="A35" s="169" t="s">
        <v>4509</v>
      </c>
      <c r="B35" s="168" t="s">
        <v>3470</v>
      </c>
      <c r="C35" s="171">
        <v>15</v>
      </c>
      <c r="D35" s="171" t="s">
        <v>4819</v>
      </c>
      <c r="E35" s="171">
        <v>0</v>
      </c>
      <c r="F35" s="169"/>
      <c r="G35" s="169"/>
      <c r="H35" s="170" t="s">
        <v>3471</v>
      </c>
      <c r="I35" s="169" t="s">
        <v>3472</v>
      </c>
      <c r="J35" s="169" t="s">
        <v>3473</v>
      </c>
    </row>
    <row r="36" spans="1:12" x14ac:dyDescent="0.25">
      <c r="A36" s="169" t="s">
        <v>4477</v>
      </c>
      <c r="B36" s="168" t="s">
        <v>3325</v>
      </c>
      <c r="C36" s="173">
        <v>15</v>
      </c>
      <c r="D36" s="173" t="s">
        <v>4819</v>
      </c>
      <c r="E36" s="173">
        <v>0</v>
      </c>
      <c r="F36" s="169"/>
      <c r="G36" s="169"/>
      <c r="H36" s="172" t="s">
        <v>3326</v>
      </c>
      <c r="I36" s="169" t="s">
        <v>3327</v>
      </c>
      <c r="J36" s="169" t="s">
        <v>3328</v>
      </c>
    </row>
    <row r="37" spans="1:12" x14ac:dyDescent="0.25">
      <c r="A37" s="169" t="s">
        <v>5095</v>
      </c>
      <c r="B37" s="168" t="s">
        <v>5096</v>
      </c>
      <c r="C37" s="171">
        <v>0</v>
      </c>
      <c r="D37" s="171" t="s">
        <v>4819</v>
      </c>
      <c r="E37" s="171">
        <v>0</v>
      </c>
      <c r="F37" s="169" t="s">
        <v>5097</v>
      </c>
      <c r="G37" s="169" t="s">
        <v>5098</v>
      </c>
      <c r="H37" s="170" t="s">
        <v>5099</v>
      </c>
      <c r="I37" s="169"/>
      <c r="J37" s="169"/>
    </row>
    <row r="38" spans="1:12" x14ac:dyDescent="0.25">
      <c r="A38" s="169" t="s">
        <v>4519</v>
      </c>
      <c r="B38" s="168" t="s">
        <v>3505</v>
      </c>
      <c r="C38" s="173">
        <v>15</v>
      </c>
      <c r="D38" s="173" t="s">
        <v>4819</v>
      </c>
      <c r="E38" s="173">
        <v>0</v>
      </c>
      <c r="F38" s="169"/>
      <c r="G38" s="169"/>
      <c r="H38" s="172" t="s">
        <v>3506</v>
      </c>
      <c r="I38" s="169" t="s">
        <v>3507</v>
      </c>
      <c r="J38" s="169" t="s">
        <v>3508</v>
      </c>
    </row>
    <row r="39" spans="1:12" x14ac:dyDescent="0.25">
      <c r="A39" s="196" t="s">
        <v>4435</v>
      </c>
      <c r="B39" s="168" t="s">
        <v>3150</v>
      </c>
      <c r="C39" s="171">
        <v>10</v>
      </c>
      <c r="D39" s="171" t="s">
        <v>4819</v>
      </c>
      <c r="E39" s="171">
        <v>0</v>
      </c>
      <c r="F39" s="169" t="s">
        <v>4821</v>
      </c>
      <c r="G39" s="169" t="s">
        <v>4821</v>
      </c>
      <c r="H39" s="170" t="s">
        <v>3151</v>
      </c>
      <c r="I39" s="169" t="s">
        <v>3152</v>
      </c>
      <c r="J39" s="169" t="s">
        <v>3153</v>
      </c>
    </row>
    <row r="40" spans="1:12" x14ac:dyDescent="0.25">
      <c r="A40" s="169" t="s">
        <v>4484</v>
      </c>
      <c r="B40" s="168" t="s">
        <v>4483</v>
      </c>
      <c r="C40" s="171">
        <v>15</v>
      </c>
      <c r="D40" s="171" t="s">
        <v>4819</v>
      </c>
      <c r="E40" s="171">
        <v>0</v>
      </c>
      <c r="F40" s="169" t="s">
        <v>4835</v>
      </c>
      <c r="G40" s="169" t="s">
        <v>4835</v>
      </c>
      <c r="H40" s="170" t="s">
        <v>3362</v>
      </c>
      <c r="I40" s="169" t="s">
        <v>3363</v>
      </c>
      <c r="J40" s="169" t="s">
        <v>3364</v>
      </c>
    </row>
    <row r="41" spans="1:12" x14ac:dyDescent="0.25">
      <c r="A41" s="169" t="s">
        <v>4432</v>
      </c>
      <c r="B41" s="168" t="s">
        <v>4961</v>
      </c>
      <c r="C41" s="171"/>
      <c r="D41" s="171" t="s">
        <v>4819</v>
      </c>
      <c r="E41" s="171">
        <v>0</v>
      </c>
      <c r="F41" s="169" t="s">
        <v>4962</v>
      </c>
      <c r="G41" s="169" t="s">
        <v>4962</v>
      </c>
      <c r="H41" s="170"/>
      <c r="I41" s="169"/>
      <c r="J41" s="169"/>
      <c r="K41" t="s">
        <v>5088</v>
      </c>
      <c r="L41" t="s">
        <v>5089</v>
      </c>
    </row>
    <row r="42" spans="1:12" x14ac:dyDescent="0.25">
      <c r="A42" s="169" t="s">
        <v>4478</v>
      </c>
      <c r="B42" s="168" t="s">
        <v>3329</v>
      </c>
      <c r="C42" s="173">
        <v>15</v>
      </c>
      <c r="D42" s="173" t="s">
        <v>4819</v>
      </c>
      <c r="E42" s="173">
        <v>0</v>
      </c>
      <c r="F42" s="169"/>
      <c r="G42" s="169"/>
      <c r="H42" s="172" t="s">
        <v>3330</v>
      </c>
      <c r="I42" s="169" t="s">
        <v>3331</v>
      </c>
      <c r="J42" s="169" t="s">
        <v>3332</v>
      </c>
    </row>
    <row r="43" spans="1:12" x14ac:dyDescent="0.25">
      <c r="A43" s="169" t="s">
        <v>4462</v>
      </c>
      <c r="B43" s="168" t="s">
        <v>3270</v>
      </c>
      <c r="C43" s="171">
        <v>15</v>
      </c>
      <c r="D43" s="171" t="s">
        <v>4819</v>
      </c>
      <c r="E43" s="171">
        <v>0</v>
      </c>
      <c r="F43" s="169"/>
      <c r="G43" s="169"/>
      <c r="H43" s="170" t="s">
        <v>3271</v>
      </c>
      <c r="I43" s="169" t="s">
        <v>3272</v>
      </c>
      <c r="J43" s="169" t="s">
        <v>3273</v>
      </c>
    </row>
    <row r="44" spans="1:12" x14ac:dyDescent="0.25">
      <c r="A44" s="169" t="s">
        <v>4497</v>
      </c>
      <c r="B44" s="168" t="s">
        <v>3414</v>
      </c>
      <c r="C44" s="171">
        <v>15</v>
      </c>
      <c r="D44" s="171" t="s">
        <v>4819</v>
      </c>
      <c r="E44" s="171">
        <v>0</v>
      </c>
      <c r="F44" s="169"/>
      <c r="G44" s="169"/>
      <c r="H44" s="170"/>
      <c r="I44" s="169" t="s">
        <v>3415</v>
      </c>
      <c r="J44" s="169" t="s">
        <v>3416</v>
      </c>
    </row>
    <row r="45" spans="1:12" x14ac:dyDescent="0.25">
      <c r="A45" s="169" t="s">
        <v>4473</v>
      </c>
      <c r="B45" s="168" t="s">
        <v>3308</v>
      </c>
      <c r="C45" s="171">
        <v>15</v>
      </c>
      <c r="D45" s="171" t="s">
        <v>4819</v>
      </c>
      <c r="E45" s="171">
        <v>0</v>
      </c>
      <c r="F45" s="169"/>
      <c r="G45" s="169"/>
      <c r="H45" s="170" t="s">
        <v>3309</v>
      </c>
      <c r="I45" s="169" t="s">
        <v>3310</v>
      </c>
      <c r="J45" s="169" t="s">
        <v>3311</v>
      </c>
    </row>
    <row r="46" spans="1:12" x14ac:dyDescent="0.25">
      <c r="A46" s="169" t="s">
        <v>4505</v>
      </c>
      <c r="B46" s="168" t="s">
        <v>3453</v>
      </c>
      <c r="C46" s="173">
        <v>15</v>
      </c>
      <c r="D46" s="173" t="s">
        <v>4819</v>
      </c>
      <c r="E46" s="173">
        <v>0</v>
      </c>
      <c r="F46" s="169"/>
      <c r="G46" s="169"/>
      <c r="H46" s="172" t="s">
        <v>3454</v>
      </c>
      <c r="I46" s="169" t="s">
        <v>3455</v>
      </c>
      <c r="J46" s="169" t="s">
        <v>3456</v>
      </c>
    </row>
    <row r="47" spans="1:12" x14ac:dyDescent="0.25">
      <c r="A47" s="169" t="s">
        <v>5113</v>
      </c>
      <c r="B47" s="168" t="s">
        <v>5114</v>
      </c>
      <c r="C47" s="171">
        <v>0</v>
      </c>
      <c r="D47" s="171" t="s">
        <v>4819</v>
      </c>
      <c r="E47" s="171">
        <v>0</v>
      </c>
      <c r="F47" s="169" t="s">
        <v>5115</v>
      </c>
      <c r="G47" s="169" t="s">
        <v>5116</v>
      </c>
      <c r="H47" s="170"/>
      <c r="I47" s="169"/>
      <c r="J47" s="169"/>
    </row>
    <row r="48" spans="1:12" x14ac:dyDescent="0.25">
      <c r="A48" s="169" t="s">
        <v>4450</v>
      </c>
      <c r="B48" s="168" t="s">
        <v>3215</v>
      </c>
      <c r="C48" s="171">
        <v>15</v>
      </c>
      <c r="D48" s="171" t="s">
        <v>4819</v>
      </c>
      <c r="E48" s="171">
        <v>0</v>
      </c>
      <c r="F48" s="169"/>
      <c r="G48" s="169"/>
      <c r="H48" s="170" t="s">
        <v>3216</v>
      </c>
      <c r="I48" s="169" t="s">
        <v>3205</v>
      </c>
      <c r="J48" s="169" t="s">
        <v>3217</v>
      </c>
    </row>
    <row r="49" spans="1:10" x14ac:dyDescent="0.25">
      <c r="A49" s="169" t="s">
        <v>4495</v>
      </c>
      <c r="B49" s="168" t="s">
        <v>3408</v>
      </c>
      <c r="C49" s="171">
        <v>15</v>
      </c>
      <c r="D49" s="171" t="s">
        <v>4819</v>
      </c>
      <c r="E49" s="171">
        <v>0</v>
      </c>
      <c r="F49" s="169"/>
      <c r="G49" s="169"/>
      <c r="H49" s="170"/>
      <c r="I49" s="169"/>
      <c r="J49" s="169"/>
    </row>
    <row r="50" spans="1:10" x14ac:dyDescent="0.25">
      <c r="A50" s="169" t="s">
        <v>4511</v>
      </c>
      <c r="B50" s="168" t="s">
        <v>3479</v>
      </c>
      <c r="C50" s="173">
        <v>15</v>
      </c>
      <c r="D50" s="173" t="s">
        <v>4819</v>
      </c>
      <c r="E50" s="173">
        <v>0</v>
      </c>
      <c r="F50" s="169"/>
      <c r="G50" s="169"/>
      <c r="H50" s="172" t="s">
        <v>3480</v>
      </c>
      <c r="I50" s="169" t="s">
        <v>3481</v>
      </c>
      <c r="J50" s="169" t="s">
        <v>3482</v>
      </c>
    </row>
    <row r="51" spans="1:10" x14ac:dyDescent="0.25">
      <c r="A51" s="169" t="s">
        <v>4456</v>
      </c>
      <c r="B51" s="168" t="s">
        <v>3245</v>
      </c>
      <c r="C51" s="173">
        <v>15</v>
      </c>
      <c r="D51" s="173" t="s">
        <v>4819</v>
      </c>
      <c r="E51" s="173">
        <v>0</v>
      </c>
      <c r="F51" s="169"/>
      <c r="G51" s="169"/>
      <c r="H51" s="172" t="s">
        <v>3246</v>
      </c>
      <c r="I51" s="169" t="s">
        <v>3247</v>
      </c>
      <c r="J51" s="169" t="s">
        <v>3248</v>
      </c>
    </row>
    <row r="52" spans="1:10" x14ac:dyDescent="0.25">
      <c r="A52" s="169" t="s">
        <v>4506</v>
      </c>
      <c r="B52" s="168" t="s">
        <v>3457</v>
      </c>
      <c r="C52" s="171">
        <v>15</v>
      </c>
      <c r="D52" s="171" t="s">
        <v>4819</v>
      </c>
      <c r="E52" s="171">
        <v>0</v>
      </c>
      <c r="F52" s="169" t="s">
        <v>4963</v>
      </c>
      <c r="G52" s="169" t="s">
        <v>4963</v>
      </c>
      <c r="H52" s="170" t="s">
        <v>3458</v>
      </c>
      <c r="I52" s="169" t="s">
        <v>3459</v>
      </c>
      <c r="J52" s="169" t="s">
        <v>3460</v>
      </c>
    </row>
    <row r="53" spans="1:10" x14ac:dyDescent="0.25">
      <c r="A53" s="169" t="s">
        <v>4466</v>
      </c>
      <c r="B53" s="168" t="s">
        <v>3282</v>
      </c>
      <c r="C53" s="171">
        <v>15</v>
      </c>
      <c r="D53" s="171" t="s">
        <v>4819</v>
      </c>
      <c r="E53" s="171">
        <v>0</v>
      </c>
      <c r="F53" s="169"/>
      <c r="G53" s="169"/>
      <c r="H53" s="170" t="s">
        <v>3283</v>
      </c>
      <c r="I53" s="169" t="s">
        <v>3284</v>
      </c>
      <c r="J53" s="169" t="s">
        <v>3285</v>
      </c>
    </row>
    <row r="54" spans="1:10" x14ac:dyDescent="0.25">
      <c r="A54" s="169" t="s">
        <v>5100</v>
      </c>
      <c r="B54" s="168" t="s">
        <v>5101</v>
      </c>
      <c r="C54" s="171">
        <v>0</v>
      </c>
      <c r="D54" s="171" t="s">
        <v>4819</v>
      </c>
      <c r="E54" s="171">
        <v>0</v>
      </c>
      <c r="F54" s="169" t="s">
        <v>5102</v>
      </c>
      <c r="G54" s="169" t="s">
        <v>5102</v>
      </c>
      <c r="H54" s="170" t="s">
        <v>5103</v>
      </c>
      <c r="I54" s="169"/>
      <c r="J54" s="169"/>
    </row>
    <row r="55" spans="1:10" x14ac:dyDescent="0.25">
      <c r="A55" s="169" t="s">
        <v>4451</v>
      </c>
      <c r="B55" s="168" t="s">
        <v>3220</v>
      </c>
      <c r="C55" s="171">
        <v>15</v>
      </c>
      <c r="D55" s="171" t="s">
        <v>4819</v>
      </c>
      <c r="E55" s="171">
        <v>0</v>
      </c>
      <c r="F55" s="169"/>
      <c r="G55" s="169"/>
      <c r="H55" s="170" t="s">
        <v>3221</v>
      </c>
      <c r="I55" s="169" t="s">
        <v>3222</v>
      </c>
      <c r="J55" s="169" t="s">
        <v>3223</v>
      </c>
    </row>
    <row r="56" spans="1:10" x14ac:dyDescent="0.25">
      <c r="A56" s="169" t="s">
        <v>4464</v>
      </c>
      <c r="B56" s="168" t="s">
        <v>4463</v>
      </c>
      <c r="C56" s="171">
        <v>15</v>
      </c>
      <c r="D56" s="171" t="s">
        <v>4819</v>
      </c>
      <c r="E56" s="171">
        <v>0</v>
      </c>
      <c r="F56" s="169" t="s">
        <v>4828</v>
      </c>
      <c r="G56" s="169" t="s">
        <v>4828</v>
      </c>
      <c r="H56" s="170" t="s">
        <v>3276</v>
      </c>
      <c r="I56" s="169" t="s">
        <v>3277</v>
      </c>
      <c r="J56" s="169" t="s">
        <v>3278</v>
      </c>
    </row>
    <row r="57" spans="1:10" x14ac:dyDescent="0.25">
      <c r="A57" s="169" t="s">
        <v>4518</v>
      </c>
      <c r="B57" s="168" t="s">
        <v>3499</v>
      </c>
      <c r="C57" s="171">
        <v>15</v>
      </c>
      <c r="D57" s="171" t="s">
        <v>4819</v>
      </c>
      <c r="E57" s="171">
        <v>0</v>
      </c>
      <c r="F57" s="169"/>
      <c r="G57" s="169"/>
      <c r="H57" s="170" t="s">
        <v>3500</v>
      </c>
      <c r="I57" s="169" t="s">
        <v>3501</v>
      </c>
      <c r="J57" s="169" t="s">
        <v>3502</v>
      </c>
    </row>
    <row r="58" spans="1:10" x14ac:dyDescent="0.25">
      <c r="A58" s="169" t="s">
        <v>4500</v>
      </c>
      <c r="B58" s="168" t="s">
        <v>3430</v>
      </c>
      <c r="C58" s="171">
        <v>15</v>
      </c>
      <c r="D58" s="171" t="s">
        <v>4819</v>
      </c>
      <c r="E58" s="171">
        <v>0</v>
      </c>
      <c r="F58" s="169"/>
      <c r="G58" s="169"/>
      <c r="H58" s="170" t="s">
        <v>3431</v>
      </c>
      <c r="I58" s="169" t="s">
        <v>3432</v>
      </c>
      <c r="J58" s="169" t="s">
        <v>3433</v>
      </c>
    </row>
    <row r="59" spans="1:10" x14ac:dyDescent="0.25">
      <c r="A59" s="169" t="s">
        <v>4520</v>
      </c>
      <c r="B59" s="168" t="s">
        <v>3509</v>
      </c>
      <c r="C59" s="171">
        <v>15</v>
      </c>
      <c r="D59" s="171" t="s">
        <v>4819</v>
      </c>
      <c r="E59" s="171">
        <v>0</v>
      </c>
      <c r="F59" s="169"/>
      <c r="G59" s="169"/>
      <c r="H59" s="170" t="s">
        <v>3510</v>
      </c>
      <c r="I59" s="169" t="s">
        <v>4521</v>
      </c>
      <c r="J59" s="169" t="s">
        <v>4522</v>
      </c>
    </row>
    <row r="60" spans="1:10" x14ac:dyDescent="0.25">
      <c r="A60" s="169" t="s">
        <v>4454</v>
      </c>
      <c r="B60" s="168" t="s">
        <v>3235</v>
      </c>
      <c r="C60" s="171">
        <v>15</v>
      </c>
      <c r="D60" s="171" t="s">
        <v>4819</v>
      </c>
      <c r="E60" s="171">
        <v>0</v>
      </c>
      <c r="F60" s="169"/>
      <c r="G60" s="169"/>
      <c r="H60" s="170" t="s">
        <v>3236</v>
      </c>
      <c r="I60" s="169" t="s">
        <v>3237</v>
      </c>
      <c r="J60" s="169" t="s">
        <v>3238</v>
      </c>
    </row>
    <row r="61" spans="1:10" x14ac:dyDescent="0.25">
      <c r="A61" s="169" t="s">
        <v>4512</v>
      </c>
      <c r="B61" s="168" t="s">
        <v>3487</v>
      </c>
      <c r="C61" s="171">
        <v>15</v>
      </c>
      <c r="D61" s="171" t="s">
        <v>4819</v>
      </c>
      <c r="E61" s="171">
        <v>0</v>
      </c>
      <c r="F61" s="169"/>
      <c r="G61" s="169"/>
      <c r="H61" s="170" t="s">
        <v>3488</v>
      </c>
      <c r="I61" s="169" t="s">
        <v>3489</v>
      </c>
      <c r="J61" s="169" t="s">
        <v>3490</v>
      </c>
    </row>
    <row r="62" spans="1:10" x14ac:dyDescent="0.25">
      <c r="A62" s="169" t="s">
        <v>4474</v>
      </c>
      <c r="B62" s="168" t="s">
        <v>3313</v>
      </c>
      <c r="C62" s="171">
        <v>15</v>
      </c>
      <c r="D62" s="171" t="s">
        <v>4819</v>
      </c>
      <c r="E62" s="171">
        <v>0</v>
      </c>
      <c r="F62" s="169"/>
      <c r="G62" s="169"/>
      <c r="H62" s="170" t="s">
        <v>3314</v>
      </c>
      <c r="I62" s="169" t="s">
        <v>3315</v>
      </c>
      <c r="J62" s="169" t="s">
        <v>3316</v>
      </c>
    </row>
    <row r="63" spans="1:10" x14ac:dyDescent="0.25">
      <c r="A63" s="169" t="s">
        <v>4507</v>
      </c>
      <c r="B63" s="168" t="s">
        <v>3462</v>
      </c>
      <c r="C63" s="173">
        <v>15</v>
      </c>
      <c r="D63" s="173" t="s">
        <v>4819</v>
      </c>
      <c r="E63" s="173">
        <v>0</v>
      </c>
      <c r="F63" s="169"/>
      <c r="G63" s="169"/>
      <c r="H63" s="172" t="s">
        <v>3463</v>
      </c>
      <c r="I63" s="169" t="s">
        <v>3464</v>
      </c>
      <c r="J63" s="169" t="s">
        <v>3465</v>
      </c>
    </row>
    <row r="64" spans="1:10" x14ac:dyDescent="0.25">
      <c r="A64" s="169" t="s">
        <v>4439</v>
      </c>
      <c r="B64" s="168" t="s">
        <v>3169</v>
      </c>
      <c r="C64" s="171">
        <v>15</v>
      </c>
      <c r="D64" s="171" t="s">
        <v>4819</v>
      </c>
      <c r="E64" s="171">
        <v>0</v>
      </c>
      <c r="F64" s="169"/>
      <c r="G64" s="169"/>
      <c r="H64" s="170" t="s">
        <v>3170</v>
      </c>
      <c r="I64" s="169" t="s">
        <v>3138</v>
      </c>
      <c r="J64" s="169" t="s">
        <v>3171</v>
      </c>
    </row>
    <row r="65" spans="1:13" x14ac:dyDescent="0.25">
      <c r="A65" s="169" t="s">
        <v>4968</v>
      </c>
      <c r="B65" s="168" t="s">
        <v>4969</v>
      </c>
      <c r="C65" s="171">
        <v>0</v>
      </c>
      <c r="D65" s="171" t="s">
        <v>4819</v>
      </c>
      <c r="E65" s="171">
        <v>0</v>
      </c>
      <c r="F65" s="169" t="s">
        <v>4970</v>
      </c>
      <c r="G65" s="169" t="s">
        <v>4970</v>
      </c>
      <c r="H65" s="170" t="s">
        <v>4971</v>
      </c>
      <c r="I65" s="169"/>
      <c r="J65" s="169"/>
    </row>
    <row r="66" spans="1:13" x14ac:dyDescent="0.25">
      <c r="A66" s="169" t="s">
        <v>4513</v>
      </c>
      <c r="B66" s="168" t="s">
        <v>3491</v>
      </c>
      <c r="C66" s="171">
        <v>15</v>
      </c>
      <c r="D66" s="171" t="s">
        <v>4819</v>
      </c>
      <c r="E66" s="171">
        <v>0</v>
      </c>
      <c r="F66" s="169"/>
      <c r="G66" s="169"/>
      <c r="H66" s="170" t="s">
        <v>3492</v>
      </c>
      <c r="I66" s="169" t="s">
        <v>4514</v>
      </c>
      <c r="J66" s="169" t="s">
        <v>4515</v>
      </c>
    </row>
    <row r="67" spans="1:13" x14ac:dyDescent="0.25">
      <c r="A67" s="169" t="s">
        <v>4611</v>
      </c>
      <c r="B67" s="168" t="s">
        <v>4610</v>
      </c>
      <c r="C67" s="173">
        <v>0</v>
      </c>
      <c r="D67" s="173" t="s">
        <v>4819</v>
      </c>
      <c r="E67" s="173">
        <v>0</v>
      </c>
      <c r="F67" s="169" t="s">
        <v>4849</v>
      </c>
      <c r="G67" s="169" t="s">
        <v>4849</v>
      </c>
      <c r="H67" s="172" t="s">
        <v>4612</v>
      </c>
      <c r="I67" s="169"/>
      <c r="J67" s="169"/>
    </row>
    <row r="68" spans="1:13" x14ac:dyDescent="0.25">
      <c r="A68" s="169" t="s">
        <v>4995</v>
      </c>
      <c r="B68" s="168" t="s">
        <v>4996</v>
      </c>
      <c r="C68" s="171">
        <v>0</v>
      </c>
      <c r="D68" s="171" t="s">
        <v>4819</v>
      </c>
      <c r="E68" s="171">
        <v>0</v>
      </c>
      <c r="F68" s="169" t="s">
        <v>4997</v>
      </c>
      <c r="G68" s="169" t="s">
        <v>4997</v>
      </c>
      <c r="H68" s="170" t="s">
        <v>4998</v>
      </c>
      <c r="I68" s="169"/>
      <c r="J68" s="169"/>
    </row>
    <row r="69" spans="1:13" x14ac:dyDescent="0.25">
      <c r="A69" s="169" t="s">
        <v>4452</v>
      </c>
      <c r="B69" s="168" t="s">
        <v>3226</v>
      </c>
      <c r="C69" s="171">
        <v>15</v>
      </c>
      <c r="D69" s="171" t="s">
        <v>4819</v>
      </c>
      <c r="E69" s="171">
        <v>0</v>
      </c>
      <c r="F69" s="169" t="s">
        <v>4824</v>
      </c>
      <c r="G69" s="169" t="s">
        <v>4824</v>
      </c>
      <c r="H69" s="170" t="s">
        <v>3227</v>
      </c>
      <c r="I69" s="169" t="s">
        <v>3228</v>
      </c>
      <c r="J69" s="169" t="s">
        <v>3229</v>
      </c>
    </row>
    <row r="70" spans="1:13" x14ac:dyDescent="0.25">
      <c r="A70" s="169" t="s">
        <v>4446</v>
      </c>
      <c r="B70" s="168" t="s">
        <v>3198</v>
      </c>
      <c r="C70" s="173">
        <v>15</v>
      </c>
      <c r="D70" s="173" t="s">
        <v>4819</v>
      </c>
      <c r="E70" s="173">
        <v>0</v>
      </c>
      <c r="F70" s="169"/>
      <c r="G70" s="169"/>
      <c r="H70" s="172" t="s">
        <v>3199</v>
      </c>
      <c r="I70" s="169" t="s">
        <v>3200</v>
      </c>
      <c r="J70" s="169" t="s">
        <v>3201</v>
      </c>
    </row>
    <row r="71" spans="1:13" x14ac:dyDescent="0.25">
      <c r="A71" s="169" t="s">
        <v>4441</v>
      </c>
      <c r="B71" s="168" t="s">
        <v>3177</v>
      </c>
      <c r="C71" s="171">
        <v>15</v>
      </c>
      <c r="D71" s="171" t="s">
        <v>4819</v>
      </c>
      <c r="E71" s="171">
        <v>0</v>
      </c>
      <c r="F71" s="169"/>
      <c r="G71" s="169"/>
      <c r="H71" s="170" t="s">
        <v>3178</v>
      </c>
      <c r="I71" s="169" t="s">
        <v>3179</v>
      </c>
      <c r="J71" s="169" t="s">
        <v>3180</v>
      </c>
    </row>
    <row r="72" spans="1:13" x14ac:dyDescent="0.25">
      <c r="A72" s="169" t="s">
        <v>4977</v>
      </c>
      <c r="B72" s="168" t="s">
        <v>4978</v>
      </c>
      <c r="C72" s="171">
        <v>0</v>
      </c>
      <c r="D72" s="171" t="s">
        <v>4819</v>
      </c>
      <c r="E72" s="171">
        <v>0</v>
      </c>
      <c r="F72" s="169" t="s">
        <v>4979</v>
      </c>
      <c r="G72" s="169" t="s">
        <v>4979</v>
      </c>
      <c r="H72" s="170"/>
      <c r="I72" s="169"/>
      <c r="J72" s="169"/>
      <c r="K72" t="s">
        <v>4980</v>
      </c>
      <c r="L72" t="s">
        <v>4981</v>
      </c>
    </row>
    <row r="73" spans="1:13" x14ac:dyDescent="0.25">
      <c r="A73" s="169" t="s">
        <v>4436</v>
      </c>
      <c r="B73" s="168" t="s">
        <v>3155</v>
      </c>
      <c r="C73" s="171">
        <v>15</v>
      </c>
      <c r="D73" s="171" t="s">
        <v>4819</v>
      </c>
      <c r="E73" s="171">
        <v>0</v>
      </c>
      <c r="F73" s="169" t="s">
        <v>4822</v>
      </c>
      <c r="G73" s="169" t="s">
        <v>4822</v>
      </c>
      <c r="H73" s="170" t="s">
        <v>3156</v>
      </c>
      <c r="I73" s="169" t="s">
        <v>3157</v>
      </c>
      <c r="J73" s="169" t="s">
        <v>3158</v>
      </c>
    </row>
    <row r="74" spans="1:13" x14ac:dyDescent="0.25">
      <c r="A74" s="196" t="s">
        <v>4470</v>
      </c>
      <c r="B74" s="168" t="s">
        <v>4469</v>
      </c>
      <c r="C74" s="171">
        <v>15</v>
      </c>
      <c r="D74" s="171" t="s">
        <v>4819</v>
      </c>
      <c r="E74" s="171">
        <v>0</v>
      </c>
      <c r="F74" s="169" t="s">
        <v>4834</v>
      </c>
      <c r="G74" s="169" t="s">
        <v>4834</v>
      </c>
      <c r="H74" s="170" t="s">
        <v>3297</v>
      </c>
      <c r="I74" s="169" t="s">
        <v>3298</v>
      </c>
      <c r="J74" s="169" t="s">
        <v>3299</v>
      </c>
    </row>
    <row r="75" spans="1:13" x14ac:dyDescent="0.25">
      <c r="A75" s="169" t="s">
        <v>4443</v>
      </c>
      <c r="B75" s="168" t="s">
        <v>3186</v>
      </c>
      <c r="C75" s="171">
        <v>15</v>
      </c>
      <c r="D75" s="171" t="s">
        <v>4819</v>
      </c>
      <c r="E75" s="171">
        <v>0</v>
      </c>
      <c r="F75" s="169"/>
      <c r="G75" s="169"/>
      <c r="H75" s="170" t="s">
        <v>3187</v>
      </c>
      <c r="I75" s="169" t="s">
        <v>3188</v>
      </c>
      <c r="J75" s="169" t="s">
        <v>3189</v>
      </c>
    </row>
    <row r="76" spans="1:13" x14ac:dyDescent="0.25">
      <c r="A76" s="196" t="s">
        <v>4618</v>
      </c>
      <c r="B76" s="168" t="s">
        <v>3280</v>
      </c>
      <c r="C76" s="173">
        <v>0</v>
      </c>
      <c r="D76" s="173" t="s">
        <v>4819</v>
      </c>
      <c r="E76" s="173">
        <v>0</v>
      </c>
      <c r="F76" s="169" t="s">
        <v>4852</v>
      </c>
      <c r="G76" s="169" t="s">
        <v>4852</v>
      </c>
      <c r="H76" s="172" t="s">
        <v>3199</v>
      </c>
      <c r="I76" s="169" t="s">
        <v>4620</v>
      </c>
      <c r="J76" s="169"/>
      <c r="M76" t="s">
        <v>4621</v>
      </c>
    </row>
    <row r="77" spans="1:13" x14ac:dyDescent="0.25">
      <c r="A77" s="169" t="s">
        <v>4465</v>
      </c>
      <c r="B77" s="168" t="s">
        <v>4829</v>
      </c>
      <c r="C77" s="173">
        <v>15</v>
      </c>
      <c r="D77" s="173" t="s">
        <v>4819</v>
      </c>
      <c r="E77" s="173">
        <v>0</v>
      </c>
      <c r="F77" s="169" t="s">
        <v>4830</v>
      </c>
      <c r="G77" s="169" t="s">
        <v>4830</v>
      </c>
      <c r="H77" s="172" t="s">
        <v>4619</v>
      </c>
      <c r="I77" s="169" t="s">
        <v>3269</v>
      </c>
      <c r="J77" s="169" t="s">
        <v>3201</v>
      </c>
    </row>
    <row r="78" spans="1:13" x14ac:dyDescent="0.25">
      <c r="A78" s="169" t="s">
        <v>4475</v>
      </c>
      <c r="B78" s="168" t="s">
        <v>3317</v>
      </c>
      <c r="C78" s="171">
        <v>15</v>
      </c>
      <c r="D78" s="171" t="s">
        <v>4819</v>
      </c>
      <c r="E78" s="171">
        <v>0</v>
      </c>
      <c r="F78" s="169"/>
      <c r="G78" s="169"/>
      <c r="H78" s="170" t="s">
        <v>3318</v>
      </c>
      <c r="I78" s="169" t="s">
        <v>3319</v>
      </c>
      <c r="J78" s="169" t="s">
        <v>3320</v>
      </c>
    </row>
    <row r="79" spans="1:13" x14ac:dyDescent="0.25">
      <c r="A79" s="169" t="s">
        <v>4498</v>
      </c>
      <c r="B79" s="168" t="s">
        <v>3421</v>
      </c>
      <c r="C79" s="171">
        <v>15</v>
      </c>
      <c r="D79" s="171" t="s">
        <v>4819</v>
      </c>
      <c r="E79" s="171">
        <v>0</v>
      </c>
      <c r="F79" s="169"/>
      <c r="G79" s="169"/>
      <c r="H79" s="170" t="s">
        <v>3422</v>
      </c>
      <c r="I79" s="169" t="s">
        <v>3423</v>
      </c>
      <c r="J79" s="169" t="s">
        <v>3424</v>
      </c>
    </row>
    <row r="80" spans="1:13" x14ac:dyDescent="0.25">
      <c r="A80" s="169" t="s">
        <v>4442</v>
      </c>
      <c r="B80" s="168" t="s">
        <v>3181</v>
      </c>
      <c r="C80" s="171">
        <v>15</v>
      </c>
      <c r="D80" s="171" t="s">
        <v>4819</v>
      </c>
      <c r="E80" s="171">
        <v>0</v>
      </c>
      <c r="F80" s="169"/>
      <c r="G80" s="169"/>
      <c r="H80" s="170" t="s">
        <v>3182</v>
      </c>
      <c r="I80" s="169" t="s">
        <v>3183</v>
      </c>
      <c r="J80" s="169" t="s">
        <v>3184</v>
      </c>
    </row>
    <row r="81" spans="1:13" x14ac:dyDescent="0.25">
      <c r="A81" s="169" t="s">
        <v>4458</v>
      </c>
      <c r="B81" s="168" t="s">
        <v>4457</v>
      </c>
      <c r="C81" s="171">
        <v>15</v>
      </c>
      <c r="D81" s="171" t="s">
        <v>4819</v>
      </c>
      <c r="E81" s="171">
        <v>0</v>
      </c>
      <c r="F81" s="169" t="s">
        <v>4826</v>
      </c>
      <c r="G81" s="169" t="s">
        <v>4826</v>
      </c>
      <c r="H81" s="170"/>
      <c r="I81" s="169" t="s">
        <v>3250</v>
      </c>
      <c r="J81" s="169" t="s">
        <v>3251</v>
      </c>
    </row>
    <row r="82" spans="1:13" x14ac:dyDescent="0.25">
      <c r="A82" s="169" t="s">
        <v>4508</v>
      </c>
      <c r="B82" s="168" t="s">
        <v>3466</v>
      </c>
      <c r="C82" s="171">
        <v>15</v>
      </c>
      <c r="D82" s="171" t="s">
        <v>4819</v>
      </c>
      <c r="E82" s="171">
        <v>0</v>
      </c>
      <c r="F82" s="169"/>
      <c r="G82" s="169"/>
      <c r="H82" s="170" t="s">
        <v>3467</v>
      </c>
      <c r="I82" s="169" t="s">
        <v>3288</v>
      </c>
      <c r="J82" s="169" t="s">
        <v>3468</v>
      </c>
    </row>
    <row r="83" spans="1:13" x14ac:dyDescent="0.25">
      <c r="A83" s="169" t="s">
        <v>4496</v>
      </c>
      <c r="B83" s="168" t="s">
        <v>3410</v>
      </c>
      <c r="C83" s="171">
        <v>15</v>
      </c>
      <c r="D83" s="171" t="s">
        <v>4819</v>
      </c>
      <c r="E83" s="171">
        <v>0</v>
      </c>
      <c r="F83" s="169"/>
      <c r="G83" s="169"/>
      <c r="H83" s="170" t="s">
        <v>3411</v>
      </c>
      <c r="I83" s="169" t="s">
        <v>3412</v>
      </c>
      <c r="J83" s="169" t="s">
        <v>3413</v>
      </c>
    </row>
    <row r="84" spans="1:13" x14ac:dyDescent="0.25">
      <c r="A84" s="169" t="s">
        <v>4510</v>
      </c>
      <c r="B84" s="168" t="s">
        <v>3475</v>
      </c>
      <c r="C84" s="171">
        <v>15</v>
      </c>
      <c r="D84" s="171" t="s">
        <v>4819</v>
      </c>
      <c r="E84" s="171">
        <v>0</v>
      </c>
      <c r="F84" s="169"/>
      <c r="G84" s="169"/>
      <c r="H84" s="170" t="s">
        <v>3476</v>
      </c>
      <c r="I84" s="169" t="s">
        <v>3477</v>
      </c>
      <c r="J84" s="169" t="s">
        <v>3478</v>
      </c>
    </row>
    <row r="85" spans="1:13" x14ac:dyDescent="0.25">
      <c r="A85" s="169" t="s">
        <v>4503</v>
      </c>
      <c r="B85" s="168" t="s">
        <v>3444</v>
      </c>
      <c r="C85" s="171">
        <v>15</v>
      </c>
      <c r="D85" s="171" t="s">
        <v>4819</v>
      </c>
      <c r="E85" s="171">
        <v>0</v>
      </c>
      <c r="F85" s="169"/>
      <c r="G85" s="169"/>
      <c r="H85" s="170" t="s">
        <v>3445</v>
      </c>
      <c r="I85" s="169" t="s">
        <v>3446</v>
      </c>
      <c r="J85" s="169" t="s">
        <v>3447</v>
      </c>
    </row>
    <row r="86" spans="1:13" x14ac:dyDescent="0.25">
      <c r="A86" s="169" t="s">
        <v>4794</v>
      </c>
      <c r="B86" s="168" t="s">
        <v>4868</v>
      </c>
      <c r="C86" s="171">
        <v>0</v>
      </c>
      <c r="D86" s="171" t="s">
        <v>4819</v>
      </c>
      <c r="E86" s="171">
        <v>0</v>
      </c>
      <c r="F86" s="169" t="s">
        <v>4870</v>
      </c>
      <c r="G86" s="169" t="s">
        <v>4870</v>
      </c>
      <c r="H86" s="170" t="s">
        <v>4869</v>
      </c>
      <c r="I86" s="169"/>
      <c r="J86" s="169"/>
      <c r="M86" t="s">
        <v>4871</v>
      </c>
    </row>
    <row r="87" spans="1:13" x14ac:dyDescent="0.25">
      <c r="A87" s="169" t="s">
        <v>4538</v>
      </c>
      <c r="B87" s="168" t="s">
        <v>4537</v>
      </c>
      <c r="C87" s="171">
        <v>0</v>
      </c>
      <c r="D87" s="171" t="s">
        <v>4819</v>
      </c>
      <c r="E87" s="171">
        <v>0</v>
      </c>
      <c r="F87" s="169" t="s">
        <v>4841</v>
      </c>
      <c r="G87" s="169" t="s">
        <v>4841</v>
      </c>
      <c r="H87" s="170" t="s">
        <v>4539</v>
      </c>
      <c r="I87" s="169" t="s">
        <v>4540</v>
      </c>
      <c r="J87" s="169" t="s">
        <v>4541</v>
      </c>
    </row>
    <row r="88" spans="1:13" x14ac:dyDescent="0.25">
      <c r="A88" s="169" t="s">
        <v>4494</v>
      </c>
      <c r="B88" s="168" t="s">
        <v>3404</v>
      </c>
      <c r="C88" s="173">
        <v>15</v>
      </c>
      <c r="D88" s="173" t="s">
        <v>4819</v>
      </c>
      <c r="E88" s="173">
        <v>0</v>
      </c>
      <c r="F88" s="169"/>
      <c r="G88" s="169"/>
      <c r="H88" s="172" t="s">
        <v>3405</v>
      </c>
      <c r="I88" s="169" t="s">
        <v>3406</v>
      </c>
      <c r="J88" s="169" t="s">
        <v>3407</v>
      </c>
    </row>
    <row r="89" spans="1:13" x14ac:dyDescent="0.25">
      <c r="A89" s="169" t="s">
        <v>4487</v>
      </c>
      <c r="B89" s="168" t="s">
        <v>3373</v>
      </c>
      <c r="C89" s="171">
        <v>15</v>
      </c>
      <c r="D89" s="171" t="s">
        <v>4819</v>
      </c>
      <c r="E89" s="171">
        <v>0</v>
      </c>
      <c r="F89" s="169"/>
      <c r="G89" s="169"/>
      <c r="H89" s="170" t="s">
        <v>3374</v>
      </c>
      <c r="I89" s="169" t="s">
        <v>3375</v>
      </c>
      <c r="J89" s="169" t="s">
        <v>3376</v>
      </c>
    </row>
    <row r="90" spans="1:13" x14ac:dyDescent="0.25">
      <c r="A90" s="169" t="s">
        <v>4982</v>
      </c>
      <c r="B90" s="168" t="s">
        <v>4983</v>
      </c>
      <c r="C90" s="173">
        <v>0</v>
      </c>
      <c r="D90" s="173" t="s">
        <v>4819</v>
      </c>
      <c r="E90" s="173">
        <v>0</v>
      </c>
      <c r="F90" s="169" t="s">
        <v>4984</v>
      </c>
      <c r="G90" s="169" t="s">
        <v>4984</v>
      </c>
      <c r="H90" s="172" t="s">
        <v>4985</v>
      </c>
      <c r="I90" s="169"/>
      <c r="J90" s="169"/>
    </row>
    <row r="91" spans="1:13" x14ac:dyDescent="0.25">
      <c r="A91" s="169" t="s">
        <v>4485</v>
      </c>
      <c r="B91" s="168" t="s">
        <v>3365</v>
      </c>
      <c r="C91" s="171">
        <v>15</v>
      </c>
      <c r="D91" s="171" t="s">
        <v>4819</v>
      </c>
      <c r="E91" s="171">
        <v>0</v>
      </c>
      <c r="F91" s="169"/>
      <c r="G91" s="169"/>
      <c r="H91" s="170" t="s">
        <v>3366</v>
      </c>
      <c r="I91" s="169" t="s">
        <v>3367</v>
      </c>
      <c r="J91" s="169" t="s">
        <v>3368</v>
      </c>
    </row>
    <row r="92" spans="1:13" x14ac:dyDescent="0.25">
      <c r="A92" s="169" t="s">
        <v>4564</v>
      </c>
      <c r="B92" s="168" t="s">
        <v>4563</v>
      </c>
      <c r="C92" s="171">
        <v>0</v>
      </c>
      <c r="D92" s="171" t="s">
        <v>4819</v>
      </c>
      <c r="E92" s="171">
        <v>0</v>
      </c>
      <c r="F92" s="169" t="s">
        <v>4846</v>
      </c>
      <c r="G92" s="169" t="s">
        <v>4846</v>
      </c>
      <c r="H92" s="170" t="s">
        <v>4565</v>
      </c>
      <c r="I92" s="169" t="s">
        <v>4566</v>
      </c>
      <c r="J92" s="169" t="s">
        <v>4567</v>
      </c>
    </row>
    <row r="93" spans="1:13" x14ac:dyDescent="0.25">
      <c r="A93" s="169" t="s">
        <v>4631</v>
      </c>
      <c r="B93" s="168" t="s">
        <v>4630</v>
      </c>
      <c r="C93" s="171">
        <v>0</v>
      </c>
      <c r="D93" s="171" t="s">
        <v>4819</v>
      </c>
      <c r="E93" s="171">
        <v>0</v>
      </c>
      <c r="F93" s="169" t="s">
        <v>4855</v>
      </c>
      <c r="G93" s="169" t="s">
        <v>4856</v>
      </c>
      <c r="H93" s="170" t="s">
        <v>4632</v>
      </c>
      <c r="I93" s="169"/>
      <c r="J93" s="169"/>
      <c r="M93" t="s">
        <v>4633</v>
      </c>
    </row>
    <row r="94" spans="1:13" x14ac:dyDescent="0.25">
      <c r="A94" s="169" t="s">
        <v>4782</v>
      </c>
      <c r="B94" s="168" t="s">
        <v>4862</v>
      </c>
      <c r="C94" s="171">
        <v>0</v>
      </c>
      <c r="D94" s="171" t="s">
        <v>4819</v>
      </c>
      <c r="E94" s="171">
        <v>0</v>
      </c>
      <c r="F94" s="169" t="s">
        <v>4864</v>
      </c>
      <c r="G94" s="169" t="s">
        <v>4864</v>
      </c>
      <c r="H94" s="170" t="s">
        <v>4863</v>
      </c>
      <c r="I94" s="169"/>
      <c r="J94" s="169"/>
    </row>
    <row r="95" spans="1:13" x14ac:dyDescent="0.25">
      <c r="A95" s="169" t="s">
        <v>4433</v>
      </c>
      <c r="B95" s="168" t="s">
        <v>3139</v>
      </c>
      <c r="C95" s="171">
        <v>10</v>
      </c>
      <c r="D95" s="171" t="s">
        <v>4819</v>
      </c>
      <c r="E95" s="171">
        <v>0</v>
      </c>
      <c r="F95" s="169" t="s">
        <v>4820</v>
      </c>
      <c r="G95" s="169" t="s">
        <v>4820</v>
      </c>
      <c r="H95" s="170" t="s">
        <v>3140</v>
      </c>
      <c r="I95" s="169" t="s">
        <v>3141</v>
      </c>
      <c r="J95" s="169" t="s">
        <v>3142</v>
      </c>
      <c r="K95" t="s">
        <v>3139</v>
      </c>
      <c r="L95" t="s">
        <v>4603</v>
      </c>
    </row>
    <row r="96" spans="1:13" x14ac:dyDescent="0.25">
      <c r="A96" s="169" t="s">
        <v>4551</v>
      </c>
      <c r="B96" s="168" t="s">
        <v>4227</v>
      </c>
      <c r="C96" s="171">
        <v>0</v>
      </c>
      <c r="D96" s="171" t="s">
        <v>4819</v>
      </c>
      <c r="E96" s="171">
        <v>0</v>
      </c>
      <c r="F96" s="169" t="s">
        <v>4843</v>
      </c>
      <c r="G96" s="169" t="s">
        <v>4843</v>
      </c>
      <c r="H96" s="170" t="s">
        <v>4552</v>
      </c>
      <c r="I96" s="169" t="s">
        <v>4553</v>
      </c>
      <c r="J96" s="169" t="s">
        <v>4554</v>
      </c>
    </row>
    <row r="97" spans="1:12" x14ac:dyDescent="0.25">
      <c r="A97" s="196" t="s">
        <v>4905</v>
      </c>
      <c r="B97" s="168" t="s">
        <v>4906</v>
      </c>
      <c r="C97" s="171">
        <v>0</v>
      </c>
      <c r="D97" s="171" t="s">
        <v>4819</v>
      </c>
      <c r="E97" s="171">
        <v>0</v>
      </c>
      <c r="F97" s="169" t="s">
        <v>4908</v>
      </c>
      <c r="G97" s="169" t="s">
        <v>4909</v>
      </c>
      <c r="H97" s="170" t="s">
        <v>4907</v>
      </c>
      <c r="I97" s="169"/>
      <c r="J97" s="169"/>
    </row>
    <row r="98" spans="1:12" x14ac:dyDescent="0.25">
      <c r="A98" s="169" t="s">
        <v>4964</v>
      </c>
      <c r="B98" s="168" t="s">
        <v>4965</v>
      </c>
      <c r="C98" s="171">
        <v>0</v>
      </c>
      <c r="D98" s="171" t="s">
        <v>4819</v>
      </c>
      <c r="E98" s="171">
        <v>0</v>
      </c>
      <c r="F98" s="169" t="s">
        <v>4966</v>
      </c>
      <c r="G98" s="169" t="s">
        <v>4966</v>
      </c>
      <c r="H98" s="170" t="s">
        <v>4967</v>
      </c>
      <c r="I98" s="169"/>
      <c r="J98" s="169"/>
    </row>
    <row r="99" spans="1:12" x14ac:dyDescent="0.25">
      <c r="A99" s="169" t="s">
        <v>4806</v>
      </c>
      <c r="B99" s="168" t="s">
        <v>4875</v>
      </c>
      <c r="C99" s="171">
        <v>0</v>
      </c>
      <c r="D99" s="171" t="s">
        <v>4819</v>
      </c>
      <c r="E99" s="171">
        <v>0</v>
      </c>
      <c r="F99" s="169" t="s">
        <v>4877</v>
      </c>
      <c r="G99" s="169" t="s">
        <v>4877</v>
      </c>
      <c r="H99" s="170" t="s">
        <v>4876</v>
      </c>
      <c r="I99" s="169"/>
      <c r="J99" s="169"/>
    </row>
    <row r="100" spans="1:12" x14ac:dyDescent="0.25">
      <c r="A100" s="169" t="s">
        <v>4972</v>
      </c>
      <c r="B100" s="168" t="s">
        <v>4973</v>
      </c>
      <c r="C100" s="171">
        <v>0</v>
      </c>
      <c r="D100" s="171" t="s">
        <v>4819</v>
      </c>
      <c r="E100" s="171">
        <v>0</v>
      </c>
      <c r="F100" s="169" t="s">
        <v>4974</v>
      </c>
      <c r="G100" s="169" t="s">
        <v>4975</v>
      </c>
      <c r="H100" s="170" t="s">
        <v>4976</v>
      </c>
      <c r="I100" s="169"/>
      <c r="J100" s="169"/>
    </row>
    <row r="101" spans="1:12" x14ac:dyDescent="0.25">
      <c r="A101" s="169" t="s">
        <v>4468</v>
      </c>
      <c r="B101" s="168" t="s">
        <v>3290</v>
      </c>
      <c r="C101" s="173">
        <v>15</v>
      </c>
      <c r="D101" s="173" t="s">
        <v>4819</v>
      </c>
      <c r="E101" s="173">
        <v>0</v>
      </c>
      <c r="F101" s="169" t="s">
        <v>4833</v>
      </c>
      <c r="G101" s="169" t="s">
        <v>4833</v>
      </c>
      <c r="H101" s="172" t="s">
        <v>3291</v>
      </c>
      <c r="I101" s="169" t="s">
        <v>3292</v>
      </c>
      <c r="J101" s="169" t="s">
        <v>3293</v>
      </c>
    </row>
    <row r="102" spans="1:12" x14ac:dyDescent="0.25">
      <c r="A102" s="169" t="s">
        <v>5104</v>
      </c>
      <c r="B102" s="168" t="s">
        <v>5105</v>
      </c>
      <c r="C102" s="171">
        <v>0</v>
      </c>
      <c r="D102" s="171" t="s">
        <v>4819</v>
      </c>
      <c r="E102" s="171">
        <v>0</v>
      </c>
      <c r="F102" s="169" t="s">
        <v>5106</v>
      </c>
      <c r="G102" s="169" t="s">
        <v>5106</v>
      </c>
      <c r="H102" s="170" t="s">
        <v>5107</v>
      </c>
      <c r="I102" s="169"/>
      <c r="J102" s="169"/>
    </row>
    <row r="103" spans="1:12" x14ac:dyDescent="0.25">
      <c r="A103" s="169" t="s">
        <v>4482</v>
      </c>
      <c r="B103" s="168" t="s">
        <v>3355</v>
      </c>
      <c r="C103" s="171">
        <v>15</v>
      </c>
      <c r="D103" s="171" t="s">
        <v>4819</v>
      </c>
      <c r="E103" s="171">
        <v>0</v>
      </c>
      <c r="F103" s="169"/>
      <c r="G103" s="169"/>
      <c r="H103" s="170" t="s">
        <v>3356</v>
      </c>
      <c r="I103" s="169" t="s">
        <v>3357</v>
      </c>
      <c r="J103" s="169" t="s">
        <v>3358</v>
      </c>
    </row>
    <row r="104" spans="1:12" x14ac:dyDescent="0.25">
      <c r="A104" s="169" t="s">
        <v>4460</v>
      </c>
      <c r="B104" s="168" t="s">
        <v>3256</v>
      </c>
      <c r="C104" s="171">
        <v>15</v>
      </c>
      <c r="D104" s="171" t="s">
        <v>4819</v>
      </c>
      <c r="E104" s="171">
        <v>0</v>
      </c>
      <c r="F104" s="169"/>
      <c r="G104" s="169"/>
      <c r="H104" s="170" t="s">
        <v>3257</v>
      </c>
      <c r="I104" s="169" t="s">
        <v>3258</v>
      </c>
      <c r="J104" s="169" t="s">
        <v>3259</v>
      </c>
    </row>
    <row r="105" spans="1:12" x14ac:dyDescent="0.25">
      <c r="A105" s="169" t="s">
        <v>4472</v>
      </c>
      <c r="B105" s="168" t="s">
        <v>3304</v>
      </c>
      <c r="C105" s="171">
        <v>15</v>
      </c>
      <c r="D105" s="171" t="s">
        <v>4819</v>
      </c>
      <c r="E105" s="171">
        <v>0</v>
      </c>
      <c r="F105" s="169"/>
      <c r="G105" s="169"/>
      <c r="H105" s="170" t="s">
        <v>3305</v>
      </c>
      <c r="I105" s="169" t="s">
        <v>3306</v>
      </c>
      <c r="J105" s="169" t="s">
        <v>3307</v>
      </c>
    </row>
    <row r="106" spans="1:12" x14ac:dyDescent="0.25">
      <c r="A106" s="169" t="s">
        <v>4606</v>
      </c>
      <c r="B106" s="168" t="s">
        <v>4605</v>
      </c>
      <c r="C106" s="171">
        <v>0</v>
      </c>
      <c r="D106" s="171" t="s">
        <v>4819</v>
      </c>
      <c r="E106" s="171">
        <v>0</v>
      </c>
      <c r="F106" s="169" t="s">
        <v>4848</v>
      </c>
      <c r="G106" s="169" t="s">
        <v>4848</v>
      </c>
      <c r="H106" s="170" t="s">
        <v>4607</v>
      </c>
      <c r="I106" s="169" t="s">
        <v>4608</v>
      </c>
      <c r="J106" s="169" t="s">
        <v>4609</v>
      </c>
    </row>
    <row r="107" spans="1:12" x14ac:dyDescent="0.25">
      <c r="A107" s="169" t="s">
        <v>4453</v>
      </c>
      <c r="B107" s="168" t="s">
        <v>3231</v>
      </c>
      <c r="C107" s="171">
        <v>15</v>
      </c>
      <c r="D107" s="171" t="s">
        <v>4819</v>
      </c>
      <c r="E107" s="171">
        <v>0</v>
      </c>
      <c r="F107" s="169" t="s">
        <v>4825</v>
      </c>
      <c r="G107" s="169" t="s">
        <v>4825</v>
      </c>
      <c r="H107" s="170" t="s">
        <v>3232</v>
      </c>
      <c r="I107" s="169" t="s">
        <v>3233</v>
      </c>
      <c r="J107" s="169" t="s">
        <v>3234</v>
      </c>
    </row>
    <row r="108" spans="1:12" x14ac:dyDescent="0.25">
      <c r="A108" s="169" t="s">
        <v>4491</v>
      </c>
      <c r="B108" s="168" t="s">
        <v>3394</v>
      </c>
      <c r="C108" s="171">
        <v>15</v>
      </c>
      <c r="D108" s="171" t="s">
        <v>4819</v>
      </c>
      <c r="E108" s="171">
        <v>0</v>
      </c>
      <c r="F108" s="169"/>
      <c r="G108" s="169"/>
      <c r="H108" s="170" t="s">
        <v>3395</v>
      </c>
      <c r="I108" s="169" t="s">
        <v>3396</v>
      </c>
      <c r="J108" s="169" t="s">
        <v>3397</v>
      </c>
    </row>
    <row r="109" spans="1:12" x14ac:dyDescent="0.25">
      <c r="A109" s="169" t="s">
        <v>4534</v>
      </c>
      <c r="B109" s="168" t="s">
        <v>4533</v>
      </c>
      <c r="C109" s="171">
        <v>0</v>
      </c>
      <c r="D109" s="171" t="s">
        <v>4819</v>
      </c>
      <c r="E109" s="171">
        <v>0</v>
      </c>
      <c r="F109" s="169" t="s">
        <v>4840</v>
      </c>
      <c r="G109" s="169" t="s">
        <v>4840</v>
      </c>
      <c r="H109" s="170" t="s">
        <v>4545</v>
      </c>
      <c r="I109" s="169" t="s">
        <v>4535</v>
      </c>
      <c r="J109" s="169" t="s">
        <v>4536</v>
      </c>
    </row>
    <row r="110" spans="1:12" x14ac:dyDescent="0.25">
      <c r="A110" s="169" t="s">
        <v>4479</v>
      </c>
      <c r="B110" s="168" t="s">
        <v>3340</v>
      </c>
      <c r="C110" s="171">
        <v>15</v>
      </c>
      <c r="D110" s="171" t="s">
        <v>4819</v>
      </c>
      <c r="E110" s="171">
        <v>0</v>
      </c>
      <c r="F110" s="169"/>
      <c r="G110" s="169"/>
      <c r="H110" s="170" t="s">
        <v>3341</v>
      </c>
      <c r="I110" s="169" t="s">
        <v>3342</v>
      </c>
      <c r="J110" s="169" t="s">
        <v>3343</v>
      </c>
    </row>
    <row r="111" spans="1:12" x14ac:dyDescent="0.25">
      <c r="A111" s="169" t="s">
        <v>4628</v>
      </c>
      <c r="B111" s="168" t="s">
        <v>4627</v>
      </c>
      <c r="C111" s="171">
        <v>0</v>
      </c>
      <c r="D111" s="171" t="s">
        <v>4819</v>
      </c>
      <c r="E111" s="171">
        <v>0</v>
      </c>
      <c r="F111" s="169" t="s">
        <v>4854</v>
      </c>
      <c r="G111" s="169" t="s">
        <v>4854</v>
      </c>
      <c r="H111" s="170" t="s">
        <v>4629</v>
      </c>
      <c r="I111" s="169"/>
      <c r="J111" s="169"/>
    </row>
    <row r="112" spans="1:12" x14ac:dyDescent="0.25">
      <c r="A112" s="169" t="s">
        <v>4569</v>
      </c>
      <c r="B112" s="168" t="s">
        <v>4568</v>
      </c>
      <c r="C112" s="171">
        <v>0</v>
      </c>
      <c r="D112" s="171" t="s">
        <v>4819</v>
      </c>
      <c r="E112" s="171">
        <v>0</v>
      </c>
      <c r="F112" s="169" t="s">
        <v>4847</v>
      </c>
      <c r="G112" s="169" t="s">
        <v>4847</v>
      </c>
      <c r="H112" s="170"/>
      <c r="I112" s="169" t="s">
        <v>4570</v>
      </c>
      <c r="J112" s="169" t="s">
        <v>4571</v>
      </c>
      <c r="K112" t="s">
        <v>4572</v>
      </c>
      <c r="L112" t="s">
        <v>4604</v>
      </c>
    </row>
    <row r="113" spans="1:13" x14ac:dyDescent="0.25">
      <c r="A113" s="169" t="s">
        <v>4493</v>
      </c>
      <c r="B113" s="168" t="s">
        <v>4492</v>
      </c>
      <c r="C113" s="173">
        <v>15</v>
      </c>
      <c r="D113" s="173" t="s">
        <v>4819</v>
      </c>
      <c r="E113" s="173">
        <v>0</v>
      </c>
      <c r="F113" s="169" t="s">
        <v>4836</v>
      </c>
      <c r="G113" s="169" t="s">
        <v>4836</v>
      </c>
      <c r="H113" s="172" t="s">
        <v>3401</v>
      </c>
      <c r="I113" s="169" t="s">
        <v>3402</v>
      </c>
      <c r="J113" s="169" t="s">
        <v>3403</v>
      </c>
    </row>
    <row r="114" spans="1:13" x14ac:dyDescent="0.25">
      <c r="A114" s="169" t="s">
        <v>4504</v>
      </c>
      <c r="B114" s="168" t="s">
        <v>3448</v>
      </c>
      <c r="C114" s="171">
        <v>15</v>
      </c>
      <c r="D114" s="171" t="s">
        <v>4819</v>
      </c>
      <c r="E114" s="171">
        <v>0</v>
      </c>
      <c r="F114" s="169"/>
      <c r="G114" s="169"/>
      <c r="H114" s="170" t="s">
        <v>3449</v>
      </c>
      <c r="I114" s="169" t="s">
        <v>3450</v>
      </c>
      <c r="J114" s="169" t="s">
        <v>3451</v>
      </c>
    </row>
    <row r="115" spans="1:13" x14ac:dyDescent="0.25">
      <c r="A115" s="169" t="s">
        <v>4455</v>
      </c>
      <c r="B115" s="168" t="s">
        <v>3241</v>
      </c>
      <c r="C115" s="171">
        <v>15</v>
      </c>
      <c r="D115" s="171" t="s">
        <v>4819</v>
      </c>
      <c r="E115" s="171">
        <v>0</v>
      </c>
      <c r="F115" s="169"/>
      <c r="G115" s="169"/>
      <c r="H115" s="170" t="s">
        <v>3242</v>
      </c>
      <c r="I115" s="169" t="s">
        <v>3243</v>
      </c>
      <c r="J115" s="169" t="s">
        <v>3244</v>
      </c>
    </row>
    <row r="116" spans="1:13" x14ac:dyDescent="0.25">
      <c r="A116" s="169" t="s">
        <v>4481</v>
      </c>
      <c r="B116" s="168" t="s">
        <v>3351</v>
      </c>
      <c r="C116" s="171">
        <v>15</v>
      </c>
      <c r="D116" s="171" t="s">
        <v>4819</v>
      </c>
      <c r="E116" s="171">
        <v>0</v>
      </c>
      <c r="F116" s="169"/>
      <c r="G116" s="169"/>
      <c r="H116" s="170" t="s">
        <v>3352</v>
      </c>
      <c r="I116" s="169" t="s">
        <v>3353</v>
      </c>
      <c r="J116" s="169" t="s">
        <v>3354</v>
      </c>
    </row>
    <row r="117" spans="1:13" x14ac:dyDescent="0.25">
      <c r="A117" s="169" t="s">
        <v>4444</v>
      </c>
      <c r="B117" s="168" t="s">
        <v>3190</v>
      </c>
      <c r="C117" s="171">
        <v>15</v>
      </c>
      <c r="D117" s="171" t="s">
        <v>4819</v>
      </c>
      <c r="E117" s="171">
        <v>0</v>
      </c>
      <c r="F117" s="169"/>
      <c r="G117" s="169"/>
      <c r="H117" s="170" t="s">
        <v>3191</v>
      </c>
      <c r="I117" s="169" t="s">
        <v>3192</v>
      </c>
      <c r="J117" s="169" t="s">
        <v>3193</v>
      </c>
    </row>
    <row r="118" spans="1:13" x14ac:dyDescent="0.25">
      <c r="A118" s="169" t="s">
        <v>4642</v>
      </c>
      <c r="B118" s="168" t="s">
        <v>4641</v>
      </c>
      <c r="C118" s="171">
        <v>0</v>
      </c>
      <c r="D118" s="171" t="s">
        <v>4819</v>
      </c>
      <c r="E118" s="171">
        <v>0</v>
      </c>
      <c r="F118" s="169" t="s">
        <v>4860</v>
      </c>
      <c r="G118" s="169" t="s">
        <v>4861</v>
      </c>
      <c r="H118" s="170" t="s">
        <v>3449</v>
      </c>
      <c r="I118" s="169"/>
      <c r="J118" s="169"/>
    </row>
    <row r="119" spans="1:13" x14ac:dyDescent="0.25">
      <c r="A119" s="169" t="s">
        <v>4502</v>
      </c>
      <c r="B119" s="168" t="s">
        <v>3441</v>
      </c>
      <c r="C119" s="171">
        <v>15</v>
      </c>
      <c r="D119" s="171" t="s">
        <v>4819</v>
      </c>
      <c r="E119" s="171">
        <v>0</v>
      </c>
      <c r="F119" s="169"/>
      <c r="G119" s="169"/>
      <c r="H119" s="170" t="s">
        <v>3442</v>
      </c>
      <c r="I119" s="169" t="s">
        <v>3432</v>
      </c>
      <c r="J119" s="169" t="s">
        <v>3443</v>
      </c>
    </row>
    <row r="120" spans="1:13" x14ac:dyDescent="0.25">
      <c r="A120" s="169" t="s">
        <v>4437</v>
      </c>
      <c r="B120" s="168" t="s">
        <v>3163</v>
      </c>
      <c r="C120" s="173">
        <v>15</v>
      </c>
      <c r="D120" s="173" t="s">
        <v>4819</v>
      </c>
      <c r="E120" s="173">
        <v>0</v>
      </c>
      <c r="F120" s="169" t="s">
        <v>4823</v>
      </c>
      <c r="G120" s="169" t="s">
        <v>4823</v>
      </c>
      <c r="H120" s="172" t="s">
        <v>3164</v>
      </c>
      <c r="I120" s="169" t="s">
        <v>3165</v>
      </c>
      <c r="J120" s="169" t="s">
        <v>3166</v>
      </c>
      <c r="M120" t="s">
        <v>4438</v>
      </c>
    </row>
    <row r="121" spans="1:13" x14ac:dyDescent="0.25">
      <c r="A121" s="169" t="s">
        <v>4488</v>
      </c>
      <c r="B121" s="168" t="s">
        <v>3380</v>
      </c>
      <c r="C121" s="173">
        <v>15</v>
      </c>
      <c r="D121" s="173" t="s">
        <v>4819</v>
      </c>
      <c r="E121" s="173">
        <v>0</v>
      </c>
      <c r="F121" s="169"/>
      <c r="G121" s="169"/>
      <c r="H121" s="172" t="s">
        <v>3381</v>
      </c>
      <c r="I121" s="169" t="s">
        <v>3382</v>
      </c>
      <c r="J121" s="169" t="s">
        <v>3383</v>
      </c>
    </row>
    <row r="122" spans="1:13" x14ac:dyDescent="0.25">
      <c r="A122" s="169" t="s">
        <v>4547</v>
      </c>
      <c r="B122" s="168" t="s">
        <v>4546</v>
      </c>
      <c r="C122" s="171">
        <v>0</v>
      </c>
      <c r="D122" s="171" t="s">
        <v>4819</v>
      </c>
      <c r="E122" s="171">
        <v>0</v>
      </c>
      <c r="F122" s="169" t="s">
        <v>4842</v>
      </c>
      <c r="G122" s="169" t="s">
        <v>4842</v>
      </c>
      <c r="H122" s="170" t="s">
        <v>4548</v>
      </c>
      <c r="I122" s="169" t="s">
        <v>4549</v>
      </c>
      <c r="J122" s="169" t="s">
        <v>4550</v>
      </c>
    </row>
    <row r="123" spans="1:13" x14ac:dyDescent="0.25">
      <c r="A123" s="169" t="s">
        <v>4810</v>
      </c>
      <c r="B123" s="168" t="s">
        <v>4878</v>
      </c>
      <c r="C123" s="171">
        <v>0</v>
      </c>
      <c r="D123" s="171" t="s">
        <v>4819</v>
      </c>
      <c r="E123" s="171">
        <v>0</v>
      </c>
      <c r="F123" s="169" t="s">
        <v>4879</v>
      </c>
      <c r="G123" s="169" t="s">
        <v>4879</v>
      </c>
      <c r="H123" s="170"/>
      <c r="I123" s="169"/>
      <c r="J123" s="169"/>
    </row>
    <row r="124" spans="1:13" x14ac:dyDescent="0.25">
      <c r="A124" s="169" t="s">
        <v>4501</v>
      </c>
      <c r="B124" s="168" t="s">
        <v>3437</v>
      </c>
      <c r="C124" s="171">
        <v>15</v>
      </c>
      <c r="D124" s="171" t="s">
        <v>4819</v>
      </c>
      <c r="E124" s="171">
        <v>0</v>
      </c>
      <c r="F124" s="169"/>
      <c r="G124" s="169"/>
      <c r="H124" s="170" t="s">
        <v>3438</v>
      </c>
      <c r="I124" s="169" t="s">
        <v>3439</v>
      </c>
      <c r="J124" s="169" t="s">
        <v>3440</v>
      </c>
    </row>
    <row r="125" spans="1:13" x14ac:dyDescent="0.25">
      <c r="A125" s="169" t="s">
        <v>4623</v>
      </c>
      <c r="B125" s="168" t="s">
        <v>4622</v>
      </c>
      <c r="C125" s="173">
        <v>0</v>
      </c>
      <c r="D125" s="173" t="s">
        <v>4819</v>
      </c>
      <c r="E125" s="173">
        <v>0</v>
      </c>
      <c r="F125" s="169" t="s">
        <v>4853</v>
      </c>
      <c r="G125" s="169" t="s">
        <v>4853</v>
      </c>
      <c r="H125" s="172" t="s">
        <v>4624</v>
      </c>
      <c r="I125" s="169" t="s">
        <v>4625</v>
      </c>
      <c r="J125" s="169" t="s">
        <v>4626</v>
      </c>
    </row>
    <row r="126" spans="1:13" x14ac:dyDescent="0.25">
      <c r="A126" s="169"/>
      <c r="B126" s="168"/>
      <c r="C126" s="171"/>
      <c r="D126" s="171"/>
      <c r="E126" s="171"/>
      <c r="F126" s="169"/>
      <c r="G126" s="169"/>
      <c r="H126" s="170"/>
      <c r="I126" s="169"/>
      <c r="J126" s="169"/>
    </row>
    <row r="127" spans="1:13" x14ac:dyDescent="0.25">
      <c r="A127" s="169"/>
      <c r="B127" s="168"/>
      <c r="C127" s="171"/>
      <c r="D127" s="171"/>
      <c r="E127" s="171"/>
      <c r="F127" s="169"/>
      <c r="G127" s="169"/>
      <c r="H127" s="170"/>
      <c r="I127" s="169"/>
      <c r="J127" s="169"/>
    </row>
    <row r="128" spans="1:13" x14ac:dyDescent="0.25">
      <c r="A128" s="169"/>
      <c r="B128" s="168"/>
      <c r="C128" s="171"/>
      <c r="D128" s="171"/>
      <c r="E128" s="171"/>
      <c r="F128" s="169"/>
      <c r="G128" s="169"/>
      <c r="H128" s="170"/>
      <c r="I128" s="169"/>
      <c r="J128" s="169"/>
    </row>
    <row r="129" spans="1:10" x14ac:dyDescent="0.25">
      <c r="A129" s="169"/>
      <c r="B129" s="168"/>
      <c r="C129" s="171"/>
      <c r="D129" s="171"/>
      <c r="E129" s="171"/>
      <c r="F129" s="169"/>
      <c r="G129" s="169"/>
      <c r="H129" s="170"/>
      <c r="I129" s="169"/>
      <c r="J129" s="169"/>
    </row>
    <row r="130" spans="1:10" x14ac:dyDescent="0.25">
      <c r="A130" s="169"/>
      <c r="B130" s="168"/>
      <c r="C130" s="171"/>
      <c r="D130" s="171"/>
      <c r="E130" s="171"/>
      <c r="F130" s="169"/>
      <c r="G130" s="169"/>
      <c r="H130" s="170"/>
      <c r="I130" s="169"/>
      <c r="J130" s="169"/>
    </row>
    <row r="131" spans="1:10" x14ac:dyDescent="0.25">
      <c r="A131" s="169"/>
      <c r="B131" s="168"/>
      <c r="C131" s="171"/>
      <c r="D131" s="171"/>
      <c r="E131" s="171"/>
      <c r="F131" s="169"/>
      <c r="G131" s="169"/>
      <c r="H131" s="170"/>
      <c r="I131" s="169"/>
      <c r="J131" s="169"/>
    </row>
    <row r="132" spans="1:10" x14ac:dyDescent="0.25">
      <c r="A132" s="169"/>
      <c r="B132" s="168"/>
      <c r="C132" s="171"/>
      <c r="D132" s="171"/>
      <c r="E132" s="171"/>
      <c r="F132" s="169"/>
      <c r="G132" s="169"/>
      <c r="H132" s="170"/>
      <c r="I132" s="169"/>
      <c r="J132" s="169"/>
    </row>
    <row r="133" spans="1:10" x14ac:dyDescent="0.25">
      <c r="A133" s="169"/>
      <c r="B133" s="168"/>
      <c r="C133" s="171"/>
      <c r="D133" s="171"/>
      <c r="E133" s="171"/>
      <c r="F133" s="169"/>
      <c r="G133" s="169"/>
      <c r="H133" s="174"/>
      <c r="I133" s="169"/>
      <c r="J133" s="169"/>
    </row>
    <row r="134" spans="1:10" x14ac:dyDescent="0.25">
      <c r="A134" s="169"/>
      <c r="B134" s="168"/>
      <c r="C134" s="171"/>
      <c r="D134" s="171"/>
      <c r="E134" s="171"/>
      <c r="F134" s="169"/>
      <c r="G134" s="169"/>
      <c r="H134" s="170"/>
      <c r="I134" s="169"/>
      <c r="J134" s="169"/>
    </row>
    <row r="135" spans="1:10" x14ac:dyDescent="0.25">
      <c r="A135" s="169"/>
      <c r="B135" s="168"/>
      <c r="C135" s="171"/>
      <c r="D135" s="171"/>
      <c r="E135" s="171"/>
      <c r="F135" s="169"/>
      <c r="G135" s="169"/>
      <c r="H135" s="170"/>
      <c r="I135" s="169"/>
      <c r="J135" s="169"/>
    </row>
    <row r="136" spans="1:10" x14ac:dyDescent="0.25">
      <c r="A136" s="169"/>
      <c r="B136" s="168"/>
      <c r="C136" s="171"/>
      <c r="D136" s="171"/>
      <c r="E136" s="171"/>
      <c r="F136" s="169"/>
      <c r="G136" s="169"/>
      <c r="H136" s="170"/>
      <c r="I136" s="169"/>
      <c r="J136" s="169"/>
    </row>
    <row r="137" spans="1:10" x14ac:dyDescent="0.25">
      <c r="A137" s="169"/>
      <c r="B137" s="168"/>
      <c r="C137" s="171"/>
      <c r="D137" s="171"/>
      <c r="E137" s="171"/>
      <c r="F137" s="169"/>
      <c r="G137" s="169"/>
      <c r="H137" s="170"/>
      <c r="I137" s="169"/>
      <c r="J137" s="169"/>
    </row>
    <row r="138" spans="1:10" x14ac:dyDescent="0.25">
      <c r="A138" s="169"/>
      <c r="B138" s="168"/>
      <c r="C138" s="171"/>
      <c r="D138" s="171"/>
      <c r="E138" s="171"/>
      <c r="F138" s="169"/>
      <c r="G138" s="169"/>
      <c r="H138" s="170"/>
      <c r="I138" s="169"/>
      <c r="J138" s="169"/>
    </row>
    <row r="139" spans="1:10" x14ac:dyDescent="0.25">
      <c r="A139" s="169"/>
      <c r="B139" s="168"/>
      <c r="C139" s="171"/>
      <c r="D139" s="171"/>
      <c r="E139" s="171"/>
      <c r="F139" s="169"/>
      <c r="G139" s="169"/>
      <c r="H139" s="170"/>
      <c r="I139" s="169"/>
      <c r="J139" s="169"/>
    </row>
    <row r="140" spans="1:10" x14ac:dyDescent="0.25">
      <c r="A140" s="169"/>
      <c r="B140" s="168"/>
      <c r="C140" s="171"/>
      <c r="D140" s="171"/>
      <c r="E140" s="171"/>
      <c r="F140" s="169"/>
      <c r="G140" s="169"/>
      <c r="H140" s="170"/>
      <c r="I140" s="169"/>
      <c r="J140" s="169"/>
    </row>
    <row r="141" spans="1:10" x14ac:dyDescent="0.25">
      <c r="A141" s="169"/>
      <c r="B141" s="168"/>
      <c r="C141" s="171"/>
      <c r="D141" s="171"/>
      <c r="E141" s="171"/>
      <c r="F141" s="169"/>
      <c r="G141" s="169"/>
      <c r="H141" s="170"/>
      <c r="I141" s="169"/>
      <c r="J141" s="169"/>
    </row>
    <row r="142" spans="1:10" x14ac:dyDescent="0.25">
      <c r="A142" s="169"/>
      <c r="B142" s="168"/>
      <c r="C142" s="171"/>
      <c r="D142" s="171"/>
      <c r="E142" s="171"/>
      <c r="F142" s="169"/>
      <c r="G142" s="169"/>
      <c r="H142" s="170"/>
      <c r="I142" s="169"/>
      <c r="J142" s="169"/>
    </row>
    <row r="143" spans="1:10" x14ac:dyDescent="0.25">
      <c r="A143" s="169"/>
      <c r="B143" s="168"/>
      <c r="C143" s="171"/>
      <c r="D143" s="171"/>
      <c r="E143" s="171"/>
      <c r="F143" s="169"/>
      <c r="G143" s="169"/>
      <c r="H143" s="170"/>
      <c r="I143" s="169"/>
      <c r="J143" s="169"/>
    </row>
    <row r="144" spans="1:10" x14ac:dyDescent="0.25">
      <c r="A144" s="169"/>
      <c r="B144" s="168"/>
      <c r="C144" s="171"/>
      <c r="D144" s="171"/>
      <c r="E144" s="171"/>
      <c r="F144" s="169"/>
      <c r="G144" s="169"/>
      <c r="H144" s="170"/>
      <c r="I144" s="169"/>
      <c r="J144" s="169"/>
    </row>
    <row r="145" spans="1:10" x14ac:dyDescent="0.25">
      <c r="A145" s="169"/>
      <c r="B145" s="168"/>
      <c r="C145" s="171"/>
      <c r="D145" s="171"/>
      <c r="E145" s="171"/>
      <c r="F145" s="169"/>
      <c r="G145" s="169"/>
      <c r="H145" s="170"/>
      <c r="I145" s="169"/>
      <c r="J145" s="169"/>
    </row>
    <row r="146" spans="1:10" x14ac:dyDescent="0.25">
      <c r="A146" s="169"/>
      <c r="B146" s="168"/>
      <c r="C146" s="171"/>
      <c r="D146" s="171"/>
      <c r="E146" s="171"/>
      <c r="F146" s="169"/>
      <c r="G146" s="169"/>
      <c r="H146" s="170"/>
      <c r="I146" s="169"/>
      <c r="J146" s="169"/>
    </row>
    <row r="147" spans="1:10" x14ac:dyDescent="0.25">
      <c r="A147" s="169"/>
      <c r="B147" s="168"/>
      <c r="C147" s="171"/>
      <c r="D147" s="171"/>
      <c r="E147" s="171"/>
      <c r="F147" s="169"/>
      <c r="G147" s="169"/>
      <c r="H147" s="170"/>
      <c r="I147" s="169"/>
      <c r="J147" s="169"/>
    </row>
    <row r="148" spans="1:10" x14ac:dyDescent="0.25">
      <c r="A148" s="169"/>
      <c r="B148" s="168"/>
      <c r="C148" s="171"/>
      <c r="D148" s="171"/>
      <c r="E148" s="171"/>
      <c r="F148" s="169"/>
      <c r="G148" s="169"/>
      <c r="H148" s="170"/>
      <c r="I148" s="169"/>
      <c r="J148" s="169"/>
    </row>
    <row r="149" spans="1:10" x14ac:dyDescent="0.25">
      <c r="A149" s="169"/>
      <c r="B149" s="168"/>
      <c r="C149" s="171"/>
      <c r="D149" s="171"/>
      <c r="E149" s="171"/>
      <c r="F149" s="169"/>
      <c r="G149" s="169"/>
      <c r="H149" s="170"/>
      <c r="I149" s="169"/>
      <c r="J149" s="169"/>
    </row>
    <row r="150" spans="1:10" x14ac:dyDescent="0.25">
      <c r="A150" s="169"/>
      <c r="B150" s="168"/>
      <c r="C150" s="171"/>
      <c r="D150" s="171"/>
      <c r="E150" s="171"/>
      <c r="F150" s="169"/>
      <c r="G150" s="169"/>
      <c r="H150" s="170"/>
      <c r="I150" s="169"/>
      <c r="J150" s="169"/>
    </row>
    <row r="151" spans="1:10" x14ac:dyDescent="0.25">
      <c r="A151" s="169"/>
      <c r="B151" s="168"/>
      <c r="C151" s="171"/>
      <c r="D151" s="171"/>
      <c r="E151" s="171"/>
      <c r="F151" s="169"/>
      <c r="G151" s="169"/>
      <c r="H151" s="170"/>
      <c r="I151" s="169"/>
      <c r="J151" s="169"/>
    </row>
    <row r="152" spans="1:10" x14ac:dyDescent="0.25">
      <c r="A152" s="169"/>
      <c r="B152" s="168"/>
      <c r="C152" s="171"/>
      <c r="D152" s="171"/>
      <c r="E152" s="171"/>
      <c r="F152" s="169"/>
      <c r="G152" s="169"/>
      <c r="H152" s="170"/>
      <c r="I152" s="169"/>
      <c r="J152" s="169"/>
    </row>
    <row r="153" spans="1:10" x14ac:dyDescent="0.25">
      <c r="A153" s="169"/>
      <c r="B153" s="168"/>
      <c r="C153" s="171"/>
      <c r="D153" s="171"/>
      <c r="E153" s="171"/>
      <c r="F153" s="169"/>
      <c r="G153" s="169"/>
      <c r="H153" s="170"/>
      <c r="I153" s="169"/>
      <c r="J153" s="169"/>
    </row>
    <row r="154" spans="1:10" x14ac:dyDescent="0.25">
      <c r="A154" s="169"/>
      <c r="B154" s="168"/>
      <c r="C154" s="171"/>
      <c r="D154" s="171"/>
      <c r="E154" s="171"/>
      <c r="F154" s="169"/>
      <c r="G154" s="169"/>
      <c r="H154" s="170"/>
      <c r="I154" s="169"/>
      <c r="J154" s="169"/>
    </row>
    <row r="155" spans="1:10" x14ac:dyDescent="0.25">
      <c r="A155" s="169"/>
      <c r="B155" s="168"/>
      <c r="C155" s="171"/>
      <c r="D155" s="171"/>
      <c r="E155" s="171"/>
      <c r="F155" s="169"/>
      <c r="G155" s="169"/>
      <c r="H155" s="170"/>
      <c r="I155" s="169"/>
      <c r="J155" s="169"/>
    </row>
    <row r="156" spans="1:10" x14ac:dyDescent="0.25">
      <c r="A156" s="169"/>
      <c r="B156" s="168"/>
      <c r="C156" s="171"/>
      <c r="D156" s="171"/>
      <c r="E156" s="171"/>
      <c r="F156" s="169"/>
      <c r="G156" s="169"/>
      <c r="H156" s="170"/>
      <c r="I156" s="169"/>
      <c r="J156" s="169"/>
    </row>
    <row r="157" spans="1:10" x14ac:dyDescent="0.25">
      <c r="A157" s="169"/>
      <c r="B157" s="168"/>
      <c r="C157" s="171"/>
      <c r="D157" s="171"/>
      <c r="E157" s="171"/>
      <c r="F157" s="169"/>
      <c r="G157" s="169"/>
      <c r="H157" s="170"/>
      <c r="I157" s="169"/>
      <c r="J157" s="169"/>
    </row>
    <row r="158" spans="1:10" x14ac:dyDescent="0.25">
      <c r="A158" s="169"/>
      <c r="B158" s="168"/>
      <c r="C158" s="171"/>
      <c r="D158" s="171"/>
      <c r="E158" s="171"/>
      <c r="F158" s="169"/>
      <c r="G158" s="169"/>
      <c r="H158" s="170"/>
      <c r="I158" s="169"/>
      <c r="J158" s="169"/>
    </row>
    <row r="159" spans="1:10" x14ac:dyDescent="0.25">
      <c r="A159" s="169"/>
      <c r="B159" s="168"/>
      <c r="C159" s="171"/>
      <c r="D159" s="171"/>
      <c r="E159" s="171"/>
      <c r="F159" s="169"/>
      <c r="G159" s="169"/>
      <c r="H159" s="170"/>
      <c r="I159" s="169"/>
      <c r="J159" s="169"/>
    </row>
    <row r="160" spans="1:10" x14ac:dyDescent="0.25">
      <c r="A160" s="169"/>
      <c r="B160" s="168"/>
      <c r="C160" s="171"/>
      <c r="D160" s="171"/>
      <c r="E160" s="171"/>
      <c r="F160" s="169"/>
      <c r="G160" s="169"/>
      <c r="H160" s="170"/>
      <c r="I160" s="169"/>
      <c r="J160" s="169"/>
    </row>
    <row r="161" spans="1:10" x14ac:dyDescent="0.25">
      <c r="A161" s="169"/>
      <c r="B161" s="168"/>
      <c r="C161" s="171"/>
      <c r="D161" s="171"/>
      <c r="E161" s="171"/>
      <c r="F161" s="169"/>
      <c r="G161" s="169"/>
      <c r="H161" s="170"/>
      <c r="I161" s="169"/>
      <c r="J161" s="169"/>
    </row>
    <row r="162" spans="1:10" x14ac:dyDescent="0.25">
      <c r="A162" s="169"/>
      <c r="B162" s="168"/>
      <c r="C162" s="171"/>
      <c r="D162" s="171"/>
      <c r="E162" s="171"/>
      <c r="F162" s="169"/>
      <c r="G162" s="169"/>
      <c r="H162" s="170"/>
      <c r="I162" s="169"/>
      <c r="J162" s="169"/>
    </row>
    <row r="163" spans="1:10" x14ac:dyDescent="0.25">
      <c r="A163" s="169"/>
      <c r="B163" s="168"/>
      <c r="C163" s="171"/>
      <c r="D163" s="171"/>
      <c r="E163" s="171"/>
      <c r="F163" s="169"/>
      <c r="G163" s="169"/>
      <c r="H163" s="170"/>
      <c r="I163" s="169"/>
      <c r="J163" s="169"/>
    </row>
    <row r="164" spans="1:10" x14ac:dyDescent="0.25">
      <c r="A164" s="169"/>
      <c r="B164" s="168"/>
      <c r="C164" s="171"/>
      <c r="D164" s="171"/>
      <c r="E164" s="171"/>
      <c r="F164" s="169"/>
      <c r="G164" s="169"/>
      <c r="H164" s="170"/>
      <c r="I164" s="169"/>
      <c r="J164" s="169"/>
    </row>
    <row r="165" spans="1:10" x14ac:dyDescent="0.25">
      <c r="A165" s="169"/>
      <c r="B165" s="168"/>
      <c r="C165" s="171"/>
      <c r="D165" s="171"/>
      <c r="E165" s="171"/>
      <c r="F165" s="169"/>
      <c r="G165" s="169"/>
      <c r="H165" s="170"/>
      <c r="I165" s="169"/>
      <c r="J165" s="169"/>
    </row>
    <row r="166" spans="1:10" x14ac:dyDescent="0.25">
      <c r="A166" s="169"/>
      <c r="B166" s="168"/>
      <c r="C166" s="171"/>
      <c r="D166" s="171"/>
      <c r="E166" s="171"/>
      <c r="F166" s="169"/>
      <c r="G166" s="169"/>
      <c r="H166" s="170"/>
      <c r="I166" s="169"/>
      <c r="J166" s="169"/>
    </row>
    <row r="167" spans="1:10" x14ac:dyDescent="0.25">
      <c r="A167" s="169"/>
      <c r="B167" s="168"/>
      <c r="C167" s="171"/>
      <c r="D167" s="171"/>
      <c r="E167" s="171"/>
      <c r="F167" s="169"/>
      <c r="G167" s="169"/>
      <c r="H167" s="170"/>
      <c r="I167" s="169"/>
      <c r="J167" s="169"/>
    </row>
    <row r="168" spans="1:10" x14ac:dyDescent="0.25">
      <c r="A168" s="169"/>
      <c r="B168" s="168"/>
      <c r="C168" s="171"/>
      <c r="D168" s="171"/>
      <c r="E168" s="171"/>
      <c r="F168" s="169"/>
      <c r="G168" s="169"/>
      <c r="H168" s="170"/>
      <c r="I168" s="169"/>
      <c r="J168" s="169"/>
    </row>
    <row r="169" spans="1:10" x14ac:dyDescent="0.25">
      <c r="A169" s="169"/>
      <c r="B169" s="168"/>
      <c r="C169" s="171"/>
      <c r="D169" s="171"/>
      <c r="E169" s="171"/>
      <c r="F169" s="169"/>
      <c r="G169" s="169"/>
      <c r="H169" s="170"/>
      <c r="I169" s="169"/>
      <c r="J169" s="169"/>
    </row>
    <row r="170" spans="1:10" x14ac:dyDescent="0.25">
      <c r="A170" s="169"/>
      <c r="B170" s="168"/>
      <c r="C170" s="171"/>
      <c r="D170" s="171"/>
      <c r="E170" s="171"/>
      <c r="F170" s="169"/>
      <c r="G170" s="169"/>
      <c r="H170" s="170"/>
      <c r="I170" s="169"/>
      <c r="J170" s="169"/>
    </row>
    <row r="171" spans="1:10" x14ac:dyDescent="0.25">
      <c r="A171" s="169"/>
      <c r="B171" s="168"/>
      <c r="C171" s="171"/>
      <c r="D171" s="171"/>
      <c r="E171" s="171"/>
      <c r="F171" s="169"/>
      <c r="G171" s="169"/>
      <c r="H171" s="170"/>
      <c r="I171" s="169"/>
      <c r="J171" s="169"/>
    </row>
    <row r="172" spans="1:10" x14ac:dyDescent="0.25">
      <c r="A172" s="169"/>
      <c r="B172" s="168"/>
      <c r="C172" s="171"/>
      <c r="D172" s="171"/>
      <c r="E172" s="171"/>
      <c r="F172" s="169"/>
      <c r="G172" s="169"/>
      <c r="H172" s="170"/>
      <c r="I172" s="169"/>
      <c r="J172" s="169"/>
    </row>
    <row r="173" spans="1:10" x14ac:dyDescent="0.25">
      <c r="A173" s="169"/>
      <c r="B173" s="168"/>
      <c r="C173" s="171"/>
      <c r="D173" s="171"/>
      <c r="E173" s="171"/>
      <c r="F173" s="169"/>
      <c r="G173" s="169"/>
      <c r="H173" s="170"/>
      <c r="I173" s="169"/>
      <c r="J173" s="169"/>
    </row>
    <row r="174" spans="1:10" x14ac:dyDescent="0.25">
      <c r="A174" s="169"/>
      <c r="B174" s="168"/>
      <c r="C174" s="171"/>
      <c r="D174" s="171"/>
      <c r="E174" s="171"/>
      <c r="F174" s="169"/>
      <c r="G174" s="169"/>
      <c r="H174" s="170"/>
      <c r="I174" s="169"/>
      <c r="J174" s="169"/>
    </row>
    <row r="175" spans="1:10" x14ac:dyDescent="0.25">
      <c r="A175" s="169"/>
      <c r="B175" s="168"/>
      <c r="C175" s="171"/>
      <c r="D175" s="171"/>
      <c r="E175" s="171"/>
      <c r="F175" s="169"/>
      <c r="G175" s="169"/>
      <c r="H175" s="170"/>
      <c r="I175" s="169"/>
      <c r="J175" s="169"/>
    </row>
    <row r="176" spans="1:10" x14ac:dyDescent="0.25">
      <c r="A176" s="169"/>
      <c r="B176" s="168"/>
      <c r="C176" s="171"/>
      <c r="D176" s="171"/>
      <c r="E176" s="171"/>
      <c r="F176" s="169"/>
      <c r="G176" s="169"/>
      <c r="H176" s="170"/>
      <c r="I176" s="169"/>
      <c r="J176" s="169"/>
    </row>
    <row r="177" spans="1:10" x14ac:dyDescent="0.25">
      <c r="A177" s="169"/>
      <c r="B177" s="168"/>
      <c r="C177" s="171"/>
      <c r="D177" s="171"/>
      <c r="E177" s="171"/>
      <c r="F177" s="169"/>
      <c r="G177" s="169"/>
      <c r="H177" s="170"/>
      <c r="I177" s="169"/>
      <c r="J177" s="169"/>
    </row>
    <row r="178" spans="1:10" x14ac:dyDescent="0.25">
      <c r="A178" s="169"/>
      <c r="B178" s="168"/>
      <c r="C178" s="171"/>
      <c r="D178" s="171"/>
      <c r="E178" s="171"/>
      <c r="F178" s="169"/>
      <c r="G178" s="169"/>
      <c r="H178" s="170"/>
      <c r="I178" s="169"/>
      <c r="J178" s="169"/>
    </row>
    <row r="179" spans="1:10" x14ac:dyDescent="0.25">
      <c r="A179" s="169"/>
      <c r="B179" s="168"/>
      <c r="C179" s="171"/>
      <c r="D179" s="171"/>
      <c r="E179" s="171"/>
      <c r="F179" s="169"/>
      <c r="G179" s="169"/>
      <c r="H179" s="170"/>
      <c r="I179" s="169"/>
      <c r="J179" s="169"/>
    </row>
    <row r="180" spans="1:10" x14ac:dyDescent="0.25">
      <c r="A180" s="169"/>
      <c r="B180" s="168"/>
      <c r="C180" s="171"/>
      <c r="D180" s="171"/>
      <c r="E180" s="171"/>
      <c r="F180" s="169"/>
      <c r="G180" s="169"/>
      <c r="H180" s="170"/>
      <c r="I180" s="169"/>
      <c r="J180" s="169"/>
    </row>
    <row r="181" spans="1:10" x14ac:dyDescent="0.25">
      <c r="A181" s="169"/>
      <c r="B181" s="168"/>
      <c r="C181" s="171"/>
      <c r="D181" s="171"/>
      <c r="E181" s="171"/>
      <c r="F181" s="169"/>
      <c r="G181" s="169"/>
      <c r="H181" s="170"/>
      <c r="I181" s="169"/>
      <c r="J181" s="169"/>
    </row>
    <row r="182" spans="1:10" x14ac:dyDescent="0.25">
      <c r="A182" s="169"/>
      <c r="B182" s="168"/>
      <c r="C182" s="171"/>
      <c r="D182" s="171"/>
      <c r="E182" s="171"/>
      <c r="F182" s="169"/>
      <c r="G182" s="169"/>
      <c r="H182" s="170"/>
      <c r="I182" s="169"/>
      <c r="J182" s="169"/>
    </row>
    <row r="183" spans="1:10" x14ac:dyDescent="0.25">
      <c r="A183" s="169"/>
      <c r="B183" s="168"/>
      <c r="C183" s="171"/>
      <c r="D183" s="171"/>
      <c r="E183" s="171"/>
      <c r="F183" s="169"/>
      <c r="G183" s="169"/>
      <c r="H183" s="170"/>
      <c r="I183" s="169"/>
      <c r="J183" s="169"/>
    </row>
    <row r="184" spans="1:10" x14ac:dyDescent="0.25">
      <c r="A184" s="169"/>
      <c r="B184" s="168"/>
      <c r="C184" s="171"/>
      <c r="D184" s="171"/>
      <c r="E184" s="171"/>
      <c r="F184" s="169"/>
      <c r="G184" s="169"/>
      <c r="H184" s="170"/>
      <c r="I184" s="169"/>
      <c r="J184" s="169"/>
    </row>
    <row r="185" spans="1:10" x14ac:dyDescent="0.25">
      <c r="A185" s="169"/>
      <c r="B185" s="168"/>
      <c r="C185" s="171"/>
      <c r="D185" s="171"/>
      <c r="E185" s="171"/>
      <c r="F185" s="169"/>
      <c r="G185" s="169"/>
      <c r="H185" s="170"/>
      <c r="I185" s="169"/>
      <c r="J185" s="169"/>
    </row>
    <row r="186" spans="1:10" x14ac:dyDescent="0.25">
      <c r="A186" s="169"/>
      <c r="B186" s="168"/>
      <c r="C186" s="171"/>
      <c r="D186" s="171"/>
      <c r="E186" s="171"/>
      <c r="F186" s="169"/>
      <c r="G186" s="169"/>
      <c r="H186" s="170"/>
      <c r="I186" s="169"/>
      <c r="J186" s="169"/>
    </row>
    <row r="187" spans="1:10" x14ac:dyDescent="0.25">
      <c r="A187" s="169"/>
      <c r="B187" s="168"/>
      <c r="C187" s="171"/>
      <c r="D187" s="171"/>
      <c r="E187" s="171"/>
      <c r="F187" s="169"/>
      <c r="G187" s="169"/>
      <c r="H187" s="170"/>
      <c r="I187" s="169"/>
      <c r="J187" s="169"/>
    </row>
    <row r="188" spans="1:10" x14ac:dyDescent="0.25">
      <c r="A188" s="169"/>
      <c r="B188" s="168"/>
      <c r="C188" s="171"/>
      <c r="D188" s="171"/>
      <c r="E188" s="171"/>
      <c r="F188" s="169"/>
      <c r="G188" s="169"/>
      <c r="H188" s="170"/>
      <c r="I188" s="169"/>
      <c r="J188" s="169"/>
    </row>
    <row r="189" spans="1:10" x14ac:dyDescent="0.25">
      <c r="A189" s="169"/>
      <c r="B189" s="168"/>
      <c r="C189" s="171"/>
      <c r="D189" s="171"/>
      <c r="E189" s="171"/>
      <c r="F189" s="169"/>
      <c r="G189" s="169"/>
      <c r="H189" s="170"/>
      <c r="I189" s="169"/>
      <c r="J189" s="169"/>
    </row>
    <row r="190" spans="1:10" x14ac:dyDescent="0.25">
      <c r="A190" s="169"/>
      <c r="B190" s="168"/>
      <c r="C190" s="171"/>
      <c r="D190" s="171"/>
      <c r="E190" s="171"/>
      <c r="F190" s="169"/>
      <c r="G190" s="169"/>
      <c r="H190" s="170"/>
      <c r="I190" s="169"/>
      <c r="J190" s="169"/>
    </row>
    <row r="191" spans="1:10" x14ac:dyDescent="0.25">
      <c r="A191" s="169"/>
      <c r="B191" s="168"/>
      <c r="C191" s="171"/>
      <c r="D191" s="171"/>
      <c r="E191" s="171"/>
      <c r="F191" s="169"/>
      <c r="G191" s="169"/>
      <c r="H191" s="170"/>
      <c r="I191" s="169"/>
      <c r="J191" s="169"/>
    </row>
    <row r="192" spans="1:10" x14ac:dyDescent="0.25">
      <c r="A192" s="169"/>
      <c r="B192" s="168"/>
      <c r="C192" s="171"/>
      <c r="D192" s="171"/>
      <c r="E192" s="171"/>
      <c r="F192" s="169"/>
      <c r="G192" s="169"/>
      <c r="H192" s="170"/>
      <c r="I192" s="169"/>
      <c r="J192" s="169"/>
    </row>
    <row r="193" spans="1:10" x14ac:dyDescent="0.25">
      <c r="A193" s="169"/>
      <c r="B193" s="168"/>
      <c r="C193" s="171"/>
      <c r="D193" s="171"/>
      <c r="E193" s="171"/>
      <c r="F193" s="169"/>
      <c r="G193" s="169"/>
      <c r="H193" s="170"/>
      <c r="I193" s="169"/>
      <c r="J193" s="169"/>
    </row>
    <row r="194" spans="1:10" x14ac:dyDescent="0.25">
      <c r="A194" s="169"/>
      <c r="B194" s="168"/>
      <c r="C194" s="171"/>
      <c r="D194" s="171"/>
      <c r="E194" s="171"/>
      <c r="F194" s="169"/>
      <c r="G194" s="169"/>
      <c r="H194" s="170"/>
      <c r="I194" s="169"/>
      <c r="J194" s="169"/>
    </row>
    <row r="195" spans="1:10" x14ac:dyDescent="0.25">
      <c r="A195" s="169"/>
      <c r="B195" s="168"/>
      <c r="C195" s="171"/>
      <c r="D195" s="171"/>
      <c r="E195" s="171"/>
      <c r="F195" s="169"/>
      <c r="G195" s="169"/>
      <c r="H195" s="170"/>
      <c r="I195" s="169"/>
      <c r="J195" s="169"/>
    </row>
    <row r="196" spans="1:10" x14ac:dyDescent="0.25">
      <c r="A196" s="169"/>
      <c r="B196" s="168"/>
      <c r="C196" s="171"/>
      <c r="D196" s="171"/>
      <c r="E196" s="171"/>
      <c r="F196" s="169"/>
      <c r="G196" s="169"/>
      <c r="H196" s="170"/>
      <c r="I196" s="169"/>
      <c r="J196" s="169"/>
    </row>
    <row r="197" spans="1:10" x14ac:dyDescent="0.25">
      <c r="A197" s="169"/>
      <c r="B197" s="168"/>
      <c r="C197" s="171"/>
      <c r="D197" s="171"/>
      <c r="E197" s="171"/>
      <c r="F197" s="169"/>
      <c r="G197" s="169"/>
      <c r="H197" s="170"/>
      <c r="I197" s="169"/>
      <c r="J197" s="169"/>
    </row>
    <row r="198" spans="1:10" x14ac:dyDescent="0.25">
      <c r="A198" s="169"/>
      <c r="B198" s="168"/>
      <c r="C198" s="171"/>
      <c r="D198" s="171"/>
      <c r="E198" s="171"/>
      <c r="F198" s="169"/>
      <c r="G198" s="169"/>
      <c r="H198" s="170"/>
      <c r="I198" s="169"/>
      <c r="J198" s="169"/>
    </row>
    <row r="199" spans="1:10" x14ac:dyDescent="0.25">
      <c r="A199" s="169"/>
      <c r="B199" s="168"/>
      <c r="C199" s="171"/>
      <c r="D199" s="171"/>
      <c r="E199" s="171"/>
      <c r="F199" s="169"/>
      <c r="G199" s="169"/>
      <c r="H199" s="170"/>
      <c r="I199" s="169"/>
      <c r="J199" s="169"/>
    </row>
    <row r="200" spans="1:10" x14ac:dyDescent="0.25">
      <c r="A200" s="169"/>
      <c r="B200" s="168"/>
      <c r="C200" s="171"/>
      <c r="D200" s="171"/>
      <c r="E200" s="171"/>
      <c r="F200" s="169"/>
      <c r="G200" s="169"/>
      <c r="H200" s="170"/>
      <c r="I200" s="169"/>
      <c r="J200" s="169"/>
    </row>
    <row r="201" spans="1:10" x14ac:dyDescent="0.25">
      <c r="A201" s="169"/>
      <c r="B201" s="168"/>
      <c r="C201" s="171"/>
      <c r="D201" s="171"/>
      <c r="E201" s="171"/>
      <c r="F201" s="169"/>
      <c r="G201" s="169"/>
      <c r="H201" s="170"/>
      <c r="I201" s="169"/>
      <c r="J201" s="169"/>
    </row>
    <row r="202" spans="1:10" x14ac:dyDescent="0.25">
      <c r="A202" s="169"/>
      <c r="B202" s="168"/>
      <c r="C202" s="171"/>
      <c r="D202" s="171"/>
      <c r="E202" s="171"/>
      <c r="F202" s="169"/>
      <c r="G202" s="169"/>
      <c r="H202" s="170"/>
      <c r="I202" s="169"/>
      <c r="J202" s="169"/>
    </row>
    <row r="203" spans="1:10" x14ac:dyDescent="0.25">
      <c r="A203" s="169"/>
      <c r="B203" s="168"/>
      <c r="C203" s="171"/>
      <c r="D203" s="171"/>
      <c r="E203" s="171"/>
      <c r="F203" s="169"/>
      <c r="G203" s="169"/>
      <c r="H203" s="170"/>
      <c r="I203" s="169"/>
      <c r="J203" s="169"/>
    </row>
    <row r="204" spans="1:10" x14ac:dyDescent="0.25">
      <c r="A204" s="169"/>
      <c r="B204" s="168"/>
      <c r="C204" s="171"/>
      <c r="D204" s="171"/>
      <c r="E204" s="171"/>
      <c r="F204" s="169"/>
      <c r="G204" s="169"/>
      <c r="H204" s="170"/>
      <c r="I204" s="169"/>
      <c r="J204" s="169"/>
    </row>
    <row r="205" spans="1:10" x14ac:dyDescent="0.25">
      <c r="A205" s="169"/>
      <c r="B205" s="168"/>
      <c r="C205" s="171"/>
      <c r="D205" s="171"/>
      <c r="E205" s="171"/>
      <c r="F205" s="169"/>
      <c r="G205" s="169"/>
      <c r="H205" s="170"/>
      <c r="I205" s="169"/>
      <c r="J205" s="169"/>
    </row>
    <row r="206" spans="1:10" x14ac:dyDescent="0.25">
      <c r="A206" s="169"/>
      <c r="B206" s="168"/>
      <c r="C206" s="171"/>
      <c r="D206" s="171"/>
      <c r="E206" s="171"/>
      <c r="F206" s="169"/>
      <c r="G206" s="169"/>
      <c r="H206" s="170"/>
      <c r="I206" s="169"/>
      <c r="J206" s="169"/>
    </row>
    <row r="207" spans="1:10" x14ac:dyDescent="0.25">
      <c r="A207" s="169"/>
      <c r="B207" s="168"/>
      <c r="C207" s="171"/>
      <c r="D207" s="171"/>
      <c r="E207" s="171"/>
      <c r="F207" s="169"/>
      <c r="G207" s="169"/>
      <c r="H207" s="170"/>
      <c r="I207" s="169"/>
      <c r="J207" s="169"/>
    </row>
    <row r="208" spans="1:10" x14ac:dyDescent="0.25">
      <c r="A208" s="169"/>
      <c r="B208" s="168"/>
      <c r="C208" s="171"/>
      <c r="D208" s="171"/>
      <c r="E208" s="171"/>
      <c r="F208" s="169"/>
      <c r="G208" s="169"/>
      <c r="H208" s="170"/>
      <c r="I208" s="169"/>
      <c r="J208" s="169"/>
    </row>
    <row r="209" spans="1:10" x14ac:dyDescent="0.25">
      <c r="A209" s="169"/>
      <c r="B209" s="168"/>
      <c r="C209" s="171"/>
      <c r="D209" s="171"/>
      <c r="E209" s="171"/>
      <c r="F209" s="169"/>
      <c r="G209" s="169"/>
      <c r="H209" s="170"/>
      <c r="I209" s="169"/>
      <c r="J209" s="169"/>
    </row>
    <row r="210" spans="1:10" x14ac:dyDescent="0.25">
      <c r="A210" s="169"/>
      <c r="B210" s="168"/>
      <c r="C210" s="171"/>
      <c r="D210" s="171"/>
      <c r="E210" s="171"/>
      <c r="F210" s="169"/>
      <c r="G210" s="169"/>
      <c r="H210" s="170"/>
      <c r="I210" s="169"/>
      <c r="J210" s="169"/>
    </row>
    <row r="211" spans="1:10" x14ac:dyDescent="0.25">
      <c r="A211" s="169"/>
      <c r="B211" s="168"/>
      <c r="C211" s="171"/>
      <c r="D211" s="171"/>
      <c r="E211" s="171"/>
      <c r="F211" s="169"/>
      <c r="G211" s="169"/>
      <c r="H211" s="170"/>
      <c r="I211" s="169"/>
      <c r="J211" s="169"/>
    </row>
    <row r="212" spans="1:10" x14ac:dyDescent="0.25">
      <c r="A212" s="169"/>
      <c r="B212" s="168"/>
      <c r="C212" s="171"/>
      <c r="D212" s="171"/>
      <c r="E212" s="171"/>
      <c r="F212" s="169"/>
      <c r="G212" s="169"/>
      <c r="H212" s="170"/>
      <c r="I212" s="169"/>
      <c r="J212" s="169"/>
    </row>
    <row r="213" spans="1:10" x14ac:dyDescent="0.25">
      <c r="A213" s="169"/>
      <c r="B213" s="168"/>
      <c r="C213" s="171"/>
      <c r="D213" s="171"/>
      <c r="E213" s="171"/>
      <c r="F213" s="169"/>
      <c r="G213" s="169"/>
      <c r="H213" s="170"/>
      <c r="I213" s="169"/>
      <c r="J213" s="169"/>
    </row>
    <row r="214" spans="1:10" x14ac:dyDescent="0.25">
      <c r="A214" s="169"/>
      <c r="B214" s="168"/>
      <c r="C214" s="171"/>
      <c r="D214" s="171"/>
      <c r="E214" s="171"/>
      <c r="F214" s="169"/>
      <c r="G214" s="169"/>
      <c r="H214" s="170"/>
      <c r="I214" s="169"/>
      <c r="J214" s="169"/>
    </row>
    <row r="215" spans="1:10" x14ac:dyDescent="0.25">
      <c r="A215" s="169"/>
      <c r="B215" s="168"/>
      <c r="C215" s="171"/>
      <c r="D215" s="171"/>
      <c r="E215" s="171"/>
      <c r="F215" s="169"/>
      <c r="G215" s="169"/>
      <c r="H215" s="170"/>
      <c r="I215" s="169"/>
      <c r="J215" s="169"/>
    </row>
    <row r="216" spans="1:10" x14ac:dyDescent="0.25">
      <c r="A216" s="169"/>
      <c r="B216" s="168"/>
      <c r="C216" s="171"/>
      <c r="D216" s="171"/>
      <c r="E216" s="171"/>
      <c r="F216" s="169"/>
      <c r="G216" s="169"/>
      <c r="H216" s="170"/>
      <c r="I216" s="169"/>
      <c r="J216" s="169"/>
    </row>
    <row r="217" spans="1:10" x14ac:dyDescent="0.25">
      <c r="A217" s="169"/>
      <c r="B217" s="168"/>
      <c r="C217" s="171"/>
      <c r="D217" s="171"/>
      <c r="E217" s="171"/>
      <c r="F217" s="169"/>
      <c r="G217" s="169"/>
      <c r="H217" s="170"/>
      <c r="I217" s="169"/>
      <c r="J217" s="169"/>
    </row>
    <row r="218" spans="1:10" x14ac:dyDescent="0.25">
      <c r="A218" s="169"/>
      <c r="B218" s="168"/>
      <c r="C218" s="171"/>
      <c r="D218" s="171"/>
      <c r="E218" s="171"/>
      <c r="F218" s="169"/>
      <c r="G218" s="169"/>
      <c r="H218" s="170"/>
      <c r="I218" s="169"/>
      <c r="J218" s="169"/>
    </row>
    <row r="219" spans="1:10" x14ac:dyDescent="0.25">
      <c r="A219" s="169"/>
      <c r="B219" s="168"/>
      <c r="C219" s="171"/>
      <c r="D219" s="171"/>
      <c r="E219" s="171"/>
      <c r="F219" s="169"/>
      <c r="G219" s="169"/>
      <c r="H219" s="170"/>
      <c r="I219" s="169"/>
      <c r="J219" s="169"/>
    </row>
    <row r="220" spans="1:10" x14ac:dyDescent="0.25">
      <c r="A220" s="169"/>
      <c r="B220" s="168"/>
      <c r="C220" s="171"/>
      <c r="D220" s="171"/>
      <c r="E220" s="171"/>
      <c r="F220" s="169"/>
      <c r="G220" s="169"/>
      <c r="H220" s="170"/>
      <c r="I220" s="169"/>
      <c r="J220" s="169"/>
    </row>
    <row r="221" spans="1:10" x14ac:dyDescent="0.25">
      <c r="A221" s="169"/>
      <c r="B221" s="168"/>
      <c r="C221" s="171"/>
      <c r="D221" s="171"/>
      <c r="E221" s="171"/>
      <c r="F221" s="169"/>
      <c r="G221" s="169"/>
      <c r="H221" s="170"/>
      <c r="I221" s="169"/>
      <c r="J221" s="169"/>
    </row>
    <row r="222" spans="1:10" x14ac:dyDescent="0.25">
      <c r="A222" s="169"/>
      <c r="B222" s="168"/>
      <c r="C222" s="171"/>
      <c r="D222" s="171"/>
      <c r="E222" s="171"/>
      <c r="F222" s="169"/>
      <c r="G222" s="169"/>
      <c r="H222" s="170"/>
      <c r="I222" s="169"/>
      <c r="J222" s="169"/>
    </row>
    <row r="223" spans="1:10" x14ac:dyDescent="0.25">
      <c r="A223" s="169"/>
      <c r="B223" s="168"/>
      <c r="C223" s="171"/>
      <c r="D223" s="171"/>
      <c r="E223" s="171"/>
      <c r="F223" s="169"/>
      <c r="G223" s="169"/>
      <c r="H223" s="170"/>
      <c r="I223" s="169"/>
      <c r="J223" s="169"/>
    </row>
    <row r="224" spans="1:10" x14ac:dyDescent="0.25">
      <c r="A224" s="169"/>
      <c r="B224" s="168"/>
      <c r="C224" s="171"/>
      <c r="D224" s="171"/>
      <c r="E224" s="171"/>
      <c r="F224" s="169"/>
      <c r="G224" s="169"/>
      <c r="H224" s="170"/>
      <c r="I224" s="169"/>
      <c r="J224" s="169"/>
    </row>
    <row r="225" spans="1:10" x14ac:dyDescent="0.25">
      <c r="A225" s="169"/>
      <c r="B225" s="168"/>
      <c r="C225" s="171"/>
      <c r="D225" s="171"/>
      <c r="E225" s="171"/>
      <c r="F225" s="169"/>
      <c r="G225" s="169"/>
      <c r="H225" s="170"/>
      <c r="I225" s="169"/>
      <c r="J225" s="169"/>
    </row>
    <row r="226" spans="1:10" x14ac:dyDescent="0.25">
      <c r="A226" s="169"/>
      <c r="B226" s="168"/>
      <c r="C226" s="171"/>
      <c r="D226" s="171"/>
      <c r="E226" s="171"/>
      <c r="F226" s="169"/>
      <c r="G226" s="169"/>
      <c r="H226" s="170"/>
      <c r="I226" s="169"/>
      <c r="J226" s="169"/>
    </row>
    <row r="227" spans="1:10" x14ac:dyDescent="0.25">
      <c r="A227" s="169"/>
      <c r="B227" s="168"/>
      <c r="C227" s="171"/>
      <c r="D227" s="171"/>
      <c r="E227" s="171"/>
      <c r="F227" s="169"/>
      <c r="G227" s="169"/>
      <c r="H227" s="170"/>
      <c r="I227" s="169"/>
      <c r="J227" s="169"/>
    </row>
    <row r="228" spans="1:10" x14ac:dyDescent="0.25">
      <c r="A228" s="169"/>
      <c r="B228" s="168"/>
      <c r="C228" s="171"/>
      <c r="D228" s="171"/>
      <c r="E228" s="171"/>
      <c r="F228" s="169"/>
      <c r="G228" s="169"/>
      <c r="H228" s="170"/>
      <c r="I228" s="169"/>
      <c r="J228" s="169"/>
    </row>
    <row r="229" spans="1:10" x14ac:dyDescent="0.25">
      <c r="A229" s="169"/>
      <c r="B229" s="168"/>
      <c r="C229" s="171"/>
      <c r="D229" s="171"/>
      <c r="E229" s="171"/>
      <c r="F229" s="169"/>
      <c r="G229" s="169"/>
      <c r="H229" s="170"/>
      <c r="I229" s="169"/>
      <c r="J229" s="169"/>
    </row>
    <row r="230" spans="1:10" x14ac:dyDescent="0.25">
      <c r="A230" s="169"/>
      <c r="B230" s="168"/>
      <c r="C230" s="171"/>
      <c r="D230" s="171"/>
      <c r="E230" s="171"/>
      <c r="F230" s="169"/>
      <c r="G230" s="169"/>
      <c r="H230" s="170"/>
      <c r="I230" s="169"/>
      <c r="J230" s="169"/>
    </row>
    <row r="231" spans="1:10" x14ac:dyDescent="0.25">
      <c r="A231" s="169"/>
      <c r="B231" s="168"/>
      <c r="C231" s="171"/>
      <c r="D231" s="171"/>
      <c r="E231" s="171"/>
      <c r="F231" s="169"/>
      <c r="G231" s="169"/>
      <c r="H231" s="170"/>
      <c r="I231" s="169"/>
      <c r="J231" s="169"/>
    </row>
    <row r="232" spans="1:10" x14ac:dyDescent="0.25">
      <c r="A232" s="169"/>
      <c r="B232" s="168"/>
      <c r="C232" s="171"/>
      <c r="D232" s="171"/>
      <c r="E232" s="171"/>
      <c r="F232" s="169"/>
      <c r="G232" s="169"/>
      <c r="H232" s="170"/>
      <c r="I232" s="169"/>
      <c r="J232" s="169"/>
    </row>
    <row r="233" spans="1:10" x14ac:dyDescent="0.25">
      <c r="A233" s="169"/>
      <c r="B233" s="168"/>
      <c r="C233" s="171"/>
      <c r="D233" s="171"/>
      <c r="E233" s="171"/>
      <c r="F233" s="169"/>
      <c r="G233" s="169"/>
      <c r="H233" s="170"/>
      <c r="I233" s="169"/>
      <c r="J233" s="169"/>
    </row>
    <row r="234" spans="1:10" x14ac:dyDescent="0.25">
      <c r="A234" s="169"/>
      <c r="B234" s="168"/>
      <c r="C234" s="171"/>
      <c r="D234" s="171"/>
      <c r="E234" s="171"/>
      <c r="F234" s="169"/>
      <c r="G234" s="169"/>
      <c r="H234" s="170"/>
      <c r="I234" s="169"/>
      <c r="J234" s="169"/>
    </row>
    <row r="235" spans="1:10" x14ac:dyDescent="0.25">
      <c r="A235" s="169"/>
      <c r="B235" s="168"/>
      <c r="C235" s="171"/>
      <c r="D235" s="171"/>
      <c r="E235" s="171"/>
      <c r="F235" s="169"/>
      <c r="G235" s="169"/>
      <c r="H235" s="170"/>
      <c r="I235" s="169"/>
      <c r="J235" s="169"/>
    </row>
    <row r="236" spans="1:10" x14ac:dyDescent="0.25">
      <c r="A236" s="169"/>
      <c r="B236" s="168"/>
      <c r="C236" s="171"/>
      <c r="D236" s="171"/>
      <c r="E236" s="171"/>
      <c r="F236" s="170"/>
      <c r="G236" s="170"/>
      <c r="H236" s="170"/>
      <c r="I236" s="170"/>
      <c r="J236" s="170"/>
    </row>
    <row r="237" spans="1:10" x14ac:dyDescent="0.25">
      <c r="A237" s="169"/>
      <c r="B237" s="168"/>
      <c r="C237" s="171"/>
      <c r="D237" s="171"/>
      <c r="E237" s="171"/>
      <c r="F237" s="169"/>
      <c r="G237" s="169"/>
      <c r="H237" s="170"/>
      <c r="I237" s="169"/>
      <c r="J237" s="169"/>
    </row>
    <row r="238" spans="1:10" x14ac:dyDescent="0.25">
      <c r="A238" s="169"/>
      <c r="B238" s="168"/>
      <c r="C238" s="171"/>
      <c r="D238" s="171"/>
      <c r="E238" s="171"/>
      <c r="F238" s="169"/>
      <c r="G238" s="169"/>
      <c r="H238" s="170"/>
      <c r="I238" s="169"/>
      <c r="J238" s="169"/>
    </row>
    <row r="239" spans="1:10" x14ac:dyDescent="0.25">
      <c r="A239" s="169"/>
      <c r="B239" s="168"/>
      <c r="C239" s="171"/>
      <c r="D239" s="171"/>
      <c r="E239" s="171"/>
      <c r="F239" s="169"/>
      <c r="G239" s="169"/>
      <c r="H239" s="170"/>
      <c r="I239" s="169"/>
      <c r="J239" s="169"/>
    </row>
    <row r="240" spans="1:10" x14ac:dyDescent="0.25">
      <c r="A240" s="169"/>
      <c r="B240" s="168"/>
      <c r="C240" s="171"/>
      <c r="D240" s="171"/>
      <c r="E240" s="171"/>
      <c r="F240" s="169"/>
      <c r="G240" s="169"/>
      <c r="H240" s="170"/>
      <c r="I240" s="169"/>
      <c r="J240" s="169"/>
    </row>
    <row r="241" spans="1:10" x14ac:dyDescent="0.25">
      <c r="A241" s="169"/>
      <c r="B241" s="168"/>
      <c r="C241" s="171"/>
      <c r="D241" s="171"/>
      <c r="E241" s="171"/>
      <c r="F241" s="169"/>
      <c r="G241" s="169"/>
      <c r="H241" s="170"/>
      <c r="I241" s="169"/>
      <c r="J241" s="169"/>
    </row>
    <row r="242" spans="1:10" x14ac:dyDescent="0.25">
      <c r="A242" s="169"/>
      <c r="B242" s="168"/>
      <c r="C242" s="171"/>
      <c r="D242" s="171"/>
      <c r="E242" s="171"/>
      <c r="F242" s="169"/>
      <c r="G242" s="169"/>
      <c r="H242" s="170"/>
      <c r="I242" s="169"/>
      <c r="J242" s="169"/>
    </row>
    <row r="243" spans="1:10" x14ac:dyDescent="0.25">
      <c r="A243" s="169"/>
      <c r="B243" s="168"/>
      <c r="C243" s="171"/>
      <c r="D243" s="171"/>
      <c r="E243" s="171"/>
      <c r="F243" s="169"/>
      <c r="G243" s="169"/>
      <c r="H243" s="170"/>
      <c r="I243" s="169"/>
      <c r="J243" s="169"/>
    </row>
    <row r="244" spans="1:10" x14ac:dyDescent="0.25">
      <c r="A244" s="169"/>
      <c r="B244" s="168"/>
      <c r="C244" s="171"/>
      <c r="D244" s="171"/>
      <c r="E244" s="171"/>
      <c r="F244" s="169"/>
      <c r="G244" s="169"/>
      <c r="H244" s="170"/>
      <c r="I244" s="169"/>
      <c r="J244" s="169"/>
    </row>
    <row r="245" spans="1:10" x14ac:dyDescent="0.25">
      <c r="A245" s="169"/>
      <c r="B245" s="168"/>
      <c r="C245" s="171"/>
      <c r="D245" s="171"/>
      <c r="E245" s="171"/>
      <c r="F245" s="169"/>
      <c r="G245" s="169"/>
      <c r="H245" s="170"/>
      <c r="I245" s="169"/>
      <c r="J245" s="169"/>
    </row>
    <row r="246" spans="1:10" x14ac:dyDescent="0.25">
      <c r="A246" s="169"/>
      <c r="B246" s="168"/>
      <c r="C246" s="171"/>
      <c r="D246" s="171"/>
      <c r="E246" s="171"/>
      <c r="F246" s="169"/>
      <c r="G246" s="169"/>
      <c r="H246" s="170"/>
      <c r="I246" s="169"/>
      <c r="J246" s="169"/>
    </row>
    <row r="247" spans="1:10" x14ac:dyDescent="0.25">
      <c r="A247" s="169"/>
      <c r="B247" s="168"/>
      <c r="C247" s="171"/>
      <c r="D247" s="171"/>
      <c r="E247" s="171"/>
      <c r="F247" s="169"/>
      <c r="G247" s="169"/>
      <c r="H247" s="170"/>
      <c r="I247" s="169"/>
      <c r="J247" s="169"/>
    </row>
    <row r="248" spans="1:10" x14ac:dyDescent="0.25">
      <c r="A248" s="169"/>
      <c r="B248" s="168"/>
      <c r="C248" s="171"/>
      <c r="D248" s="171"/>
      <c r="E248" s="171"/>
      <c r="F248" s="169"/>
      <c r="G248" s="169"/>
      <c r="H248" s="170"/>
      <c r="I248" s="169"/>
      <c r="J248" s="169"/>
    </row>
    <row r="249" spans="1:10" x14ac:dyDescent="0.25">
      <c r="A249" s="169"/>
      <c r="B249" s="168"/>
      <c r="C249" s="171"/>
      <c r="D249" s="171"/>
      <c r="E249" s="171"/>
      <c r="F249" s="169"/>
      <c r="G249" s="169"/>
      <c r="H249" s="170"/>
      <c r="I249" s="169"/>
      <c r="J249" s="169"/>
    </row>
    <row r="250" spans="1:10" x14ac:dyDescent="0.25">
      <c r="A250" s="169"/>
      <c r="B250" s="168"/>
      <c r="C250" s="171"/>
      <c r="D250" s="171"/>
      <c r="E250" s="171"/>
      <c r="F250" s="169"/>
      <c r="G250" s="169"/>
      <c r="H250" s="170"/>
      <c r="I250" s="169"/>
      <c r="J250" s="169"/>
    </row>
    <row r="251" spans="1:10" x14ac:dyDescent="0.25">
      <c r="A251" s="169"/>
      <c r="B251" s="168"/>
      <c r="C251" s="171"/>
      <c r="D251" s="171"/>
      <c r="E251" s="171"/>
      <c r="F251" s="169"/>
      <c r="G251" s="169"/>
      <c r="H251" s="170"/>
      <c r="I251" s="169"/>
      <c r="J251" s="169"/>
    </row>
    <row r="252" spans="1:10" x14ac:dyDescent="0.25">
      <c r="A252" s="169"/>
      <c r="B252" s="168"/>
      <c r="C252" s="171"/>
      <c r="D252" s="171"/>
      <c r="E252" s="171"/>
      <c r="F252" s="169"/>
      <c r="G252" s="169"/>
      <c r="H252" s="170"/>
      <c r="I252" s="169"/>
      <c r="J252" s="169"/>
    </row>
    <row r="253" spans="1:10" x14ac:dyDescent="0.25">
      <c r="A253" s="169"/>
      <c r="B253" s="168"/>
      <c r="C253" s="171"/>
      <c r="D253" s="171"/>
      <c r="E253" s="171"/>
      <c r="F253" s="169"/>
      <c r="G253" s="169"/>
      <c r="H253" s="170"/>
      <c r="I253" s="169"/>
      <c r="J253" s="169"/>
    </row>
    <row r="254" spans="1:10" x14ac:dyDescent="0.25">
      <c r="A254" s="169"/>
      <c r="B254" s="168"/>
      <c r="C254" s="171"/>
      <c r="D254" s="171"/>
      <c r="E254" s="171"/>
      <c r="F254" s="169"/>
      <c r="G254" s="169"/>
      <c r="H254" s="170"/>
      <c r="I254" s="169"/>
      <c r="J254" s="169"/>
    </row>
    <row r="255" spans="1:10" x14ac:dyDescent="0.25">
      <c r="A255" s="169"/>
      <c r="B255" s="168"/>
      <c r="C255" s="171"/>
      <c r="D255" s="171"/>
      <c r="E255" s="171"/>
      <c r="F255" s="169"/>
      <c r="G255" s="169"/>
      <c r="H255" s="170"/>
      <c r="I255" s="169"/>
      <c r="J255" s="169"/>
    </row>
    <row r="256" spans="1:10" x14ac:dyDescent="0.25">
      <c r="A256" s="169"/>
      <c r="B256" s="168"/>
      <c r="C256" s="171"/>
      <c r="D256" s="171"/>
      <c r="E256" s="171"/>
      <c r="F256" s="169"/>
      <c r="G256" s="169"/>
      <c r="H256" s="170"/>
      <c r="I256" s="169"/>
      <c r="J256" s="169"/>
    </row>
    <row r="257" spans="1:10" x14ac:dyDescent="0.25">
      <c r="A257" s="169"/>
      <c r="B257" s="168"/>
      <c r="C257" s="171"/>
      <c r="D257" s="171"/>
      <c r="E257" s="171"/>
      <c r="F257" s="169"/>
      <c r="G257" s="169"/>
      <c r="H257" s="170"/>
      <c r="I257" s="169"/>
      <c r="J257" s="169"/>
    </row>
    <row r="258" spans="1:10" x14ac:dyDescent="0.25">
      <c r="A258" s="169"/>
      <c r="B258" s="168"/>
      <c r="C258" s="171"/>
      <c r="D258" s="171"/>
      <c r="E258" s="171"/>
      <c r="F258" s="169"/>
      <c r="G258" s="169"/>
      <c r="H258" s="170"/>
      <c r="I258" s="169"/>
      <c r="J258" s="169"/>
    </row>
    <row r="259" spans="1:10" x14ac:dyDescent="0.25">
      <c r="A259" s="169"/>
      <c r="B259" s="168"/>
      <c r="C259" s="171"/>
      <c r="D259" s="171"/>
      <c r="E259" s="171"/>
      <c r="F259" s="169"/>
      <c r="G259" s="169"/>
      <c r="H259" s="170"/>
      <c r="I259" s="169"/>
      <c r="J259" s="169"/>
    </row>
    <row r="260" spans="1:10" x14ac:dyDescent="0.25">
      <c r="A260" s="169"/>
      <c r="B260" s="168"/>
      <c r="C260" s="171"/>
      <c r="D260" s="171"/>
      <c r="E260" s="171"/>
      <c r="F260" s="169"/>
      <c r="G260" s="169"/>
      <c r="H260" s="170"/>
      <c r="I260" s="169"/>
      <c r="J260" s="169"/>
    </row>
    <row r="261" spans="1:10" x14ac:dyDescent="0.25">
      <c r="A261" s="168"/>
      <c r="B261" s="168"/>
      <c r="C261" s="171"/>
      <c r="D261" s="171"/>
      <c r="E261" s="171"/>
      <c r="F261" s="169"/>
      <c r="G261" s="169"/>
      <c r="H261" s="170"/>
      <c r="I261" s="169"/>
      <c r="J261" s="169"/>
    </row>
    <row r="262" spans="1:10" x14ac:dyDescent="0.25">
      <c r="A262" s="168"/>
      <c r="B262" s="168"/>
      <c r="C262" s="171"/>
      <c r="D262" s="171"/>
      <c r="E262" s="171"/>
      <c r="F262" s="169"/>
      <c r="G262" s="169"/>
      <c r="H262" s="170"/>
      <c r="I262" s="169"/>
      <c r="J262" s="169"/>
    </row>
    <row r="263" spans="1:10" x14ac:dyDescent="0.25">
      <c r="A263" s="168"/>
      <c r="B263" s="168"/>
      <c r="C263" s="171"/>
      <c r="D263" s="171"/>
      <c r="E263" s="171"/>
      <c r="F263" s="169"/>
      <c r="G263" s="169"/>
      <c r="H263" s="170"/>
      <c r="I263" s="169"/>
      <c r="J263" s="169"/>
    </row>
    <row r="264" spans="1:10" x14ac:dyDescent="0.25">
      <c r="A264" s="168"/>
      <c r="B264" s="168"/>
      <c r="C264" s="171"/>
      <c r="D264" s="171"/>
      <c r="E264" s="171"/>
      <c r="F264" s="169"/>
      <c r="G264" s="169"/>
      <c r="H264" s="170"/>
      <c r="I264" s="169"/>
      <c r="J264" s="169"/>
    </row>
    <row r="265" spans="1:10" x14ac:dyDescent="0.25">
      <c r="A265" s="168"/>
      <c r="B265" s="168"/>
      <c r="C265" s="171"/>
      <c r="D265" s="171"/>
      <c r="E265" s="171"/>
      <c r="F265" s="169"/>
      <c r="G265" s="169"/>
      <c r="H265" s="170"/>
      <c r="I265" s="169"/>
      <c r="J265" s="169"/>
    </row>
    <row r="266" spans="1:10" x14ac:dyDescent="0.25">
      <c r="A266" s="168"/>
      <c r="B266" s="168"/>
      <c r="C266" s="171"/>
      <c r="D266" s="171"/>
      <c r="E266" s="171"/>
      <c r="F266" s="169"/>
      <c r="G266" s="169"/>
      <c r="H266" s="170"/>
      <c r="I266" s="169"/>
      <c r="J266" s="169"/>
    </row>
    <row r="267" spans="1:10" x14ac:dyDescent="0.25">
      <c r="A267" s="168"/>
      <c r="B267" s="168"/>
      <c r="C267" s="171"/>
      <c r="D267" s="171"/>
      <c r="E267" s="171"/>
      <c r="F267" s="169"/>
      <c r="G267" s="169"/>
      <c r="H267" s="170"/>
      <c r="I267" s="169"/>
      <c r="J267" s="169"/>
    </row>
    <row r="268" spans="1:10" x14ac:dyDescent="0.25">
      <c r="A268" s="168"/>
      <c r="B268" s="168"/>
      <c r="C268" s="171"/>
      <c r="D268" s="171"/>
      <c r="E268" s="171"/>
      <c r="F268" s="169"/>
      <c r="G268" s="169"/>
      <c r="H268" s="170"/>
      <c r="I268" s="169"/>
      <c r="J268" s="169"/>
    </row>
    <row r="269" spans="1:10" x14ac:dyDescent="0.25">
      <c r="A269" s="168"/>
      <c r="B269" s="168"/>
      <c r="C269" s="171"/>
      <c r="D269" s="171"/>
      <c r="E269" s="171"/>
      <c r="F269" s="169"/>
      <c r="G269" s="169"/>
      <c r="H269" s="170"/>
      <c r="I269" s="169"/>
      <c r="J269" s="169"/>
    </row>
    <row r="270" spans="1:10" x14ac:dyDescent="0.25">
      <c r="A270" s="168"/>
      <c r="B270" s="168"/>
      <c r="C270" s="171"/>
      <c r="D270" s="171"/>
      <c r="E270" s="171"/>
      <c r="F270" s="169"/>
      <c r="G270" s="169"/>
      <c r="H270" s="170"/>
      <c r="I270" s="169"/>
      <c r="J270" s="169"/>
    </row>
    <row r="271" spans="1:10" x14ac:dyDescent="0.25">
      <c r="A271" s="168"/>
      <c r="B271" s="168"/>
      <c r="C271" s="171"/>
      <c r="D271" s="171"/>
      <c r="E271" s="171"/>
      <c r="F271" s="169"/>
      <c r="G271" s="169"/>
      <c r="H271" s="170"/>
      <c r="I271" s="169"/>
      <c r="J271" s="169"/>
    </row>
    <row r="272" spans="1:10" x14ac:dyDescent="0.25">
      <c r="A272" s="168"/>
      <c r="B272" s="168"/>
      <c r="C272" s="171"/>
      <c r="D272" s="171"/>
      <c r="E272" s="171"/>
      <c r="F272" s="169"/>
      <c r="G272" s="169"/>
      <c r="H272" s="170"/>
      <c r="I272" s="169"/>
      <c r="J272" s="169"/>
    </row>
    <row r="273" spans="1:10" x14ac:dyDescent="0.25">
      <c r="A273" s="168"/>
      <c r="B273" s="168"/>
      <c r="C273" s="171"/>
      <c r="D273" s="171"/>
      <c r="E273" s="171"/>
      <c r="F273" s="169"/>
      <c r="G273" s="169"/>
      <c r="H273" s="170"/>
      <c r="I273" s="169"/>
      <c r="J273" s="169"/>
    </row>
    <row r="274" spans="1:10" x14ac:dyDescent="0.25">
      <c r="A274" s="168"/>
      <c r="B274" s="168"/>
      <c r="C274" s="171"/>
      <c r="D274" s="171"/>
      <c r="E274" s="171"/>
      <c r="F274" s="169"/>
      <c r="G274" s="169"/>
      <c r="H274" s="170"/>
      <c r="I274" s="169"/>
      <c r="J274" s="169"/>
    </row>
    <row r="275" spans="1:10" x14ac:dyDescent="0.25">
      <c r="A275" s="168"/>
      <c r="B275" s="168"/>
      <c r="C275" s="171"/>
      <c r="D275" s="171"/>
      <c r="E275" s="171"/>
      <c r="F275" s="169"/>
      <c r="G275" s="169"/>
      <c r="H275" s="170"/>
      <c r="I275" s="169"/>
      <c r="J275" s="169"/>
    </row>
    <row r="276" spans="1:10" x14ac:dyDescent="0.25">
      <c r="A276" s="168"/>
      <c r="B276" s="168"/>
      <c r="C276" s="171"/>
      <c r="D276" s="171"/>
      <c r="E276" s="171"/>
      <c r="F276" s="169"/>
      <c r="G276" s="169"/>
      <c r="H276" s="170"/>
      <c r="I276" s="169"/>
      <c r="J276" s="169"/>
    </row>
    <row r="277" spans="1:10" x14ac:dyDescent="0.25">
      <c r="A277" s="168"/>
      <c r="B277" s="168"/>
      <c r="C277" s="171"/>
      <c r="D277" s="171"/>
      <c r="E277" s="171"/>
      <c r="F277" s="169"/>
      <c r="G277" s="169"/>
      <c r="H277" s="170"/>
      <c r="I277" s="169"/>
      <c r="J277" s="169"/>
    </row>
    <row r="278" spans="1:10" x14ac:dyDescent="0.25">
      <c r="A278" s="168"/>
      <c r="B278" s="168"/>
      <c r="C278" s="171"/>
      <c r="D278" s="171"/>
      <c r="E278" s="171"/>
      <c r="F278" s="169"/>
      <c r="G278" s="169"/>
      <c r="H278" s="170"/>
      <c r="I278" s="169"/>
      <c r="J278" s="169"/>
    </row>
    <row r="279" spans="1:10" x14ac:dyDescent="0.25">
      <c r="A279" s="168"/>
      <c r="B279" s="168"/>
      <c r="C279" s="171"/>
      <c r="D279" s="171"/>
      <c r="E279" s="171"/>
      <c r="F279" s="169"/>
      <c r="G279" s="169"/>
      <c r="H279" s="170"/>
      <c r="I279" s="169"/>
      <c r="J279" s="169"/>
    </row>
    <row r="280" spans="1:10" x14ac:dyDescent="0.25">
      <c r="A280" s="168"/>
      <c r="B280" s="168"/>
      <c r="C280" s="171"/>
      <c r="D280" s="171"/>
      <c r="E280" s="171"/>
      <c r="F280" s="169"/>
      <c r="G280" s="169"/>
      <c r="H280" s="170"/>
      <c r="I280" s="169"/>
      <c r="J280" s="169"/>
    </row>
    <row r="281" spans="1:10" x14ac:dyDescent="0.25">
      <c r="A281" s="168"/>
      <c r="B281" s="168"/>
      <c r="C281" s="171"/>
      <c r="D281" s="171"/>
      <c r="E281" s="171"/>
      <c r="F281" s="169"/>
      <c r="G281" s="169"/>
      <c r="H281" s="170"/>
      <c r="I281" s="169"/>
      <c r="J281" s="169"/>
    </row>
    <row r="282" spans="1:10" x14ac:dyDescent="0.25">
      <c r="A282" s="168"/>
      <c r="B282" s="168"/>
      <c r="C282" s="171"/>
      <c r="D282" s="171"/>
      <c r="E282" s="171"/>
      <c r="F282" s="169"/>
      <c r="G282" s="169"/>
      <c r="H282" s="170"/>
      <c r="I282" s="169"/>
      <c r="J282" s="169"/>
    </row>
    <row r="283" spans="1:10" x14ac:dyDescent="0.25">
      <c r="A283" s="168"/>
      <c r="B283" s="168"/>
      <c r="C283" s="171"/>
      <c r="D283" s="171"/>
      <c r="E283" s="171"/>
      <c r="F283" s="169"/>
      <c r="G283" s="169"/>
      <c r="H283" s="170"/>
      <c r="I283" s="169"/>
      <c r="J283" s="169"/>
    </row>
    <row r="284" spans="1:10" x14ac:dyDescent="0.25">
      <c r="A284" s="168"/>
      <c r="B284" s="188"/>
      <c r="C284" s="191"/>
      <c r="D284" s="191"/>
      <c r="E284" s="191"/>
      <c r="F284" s="190"/>
      <c r="G284" s="190"/>
      <c r="H284" s="189"/>
      <c r="I284" s="190"/>
      <c r="J284" s="190"/>
    </row>
    <row r="285" spans="1:10" x14ac:dyDescent="0.25">
      <c r="A285" s="168"/>
      <c r="B285" s="188"/>
      <c r="C285" s="191"/>
      <c r="D285" s="191"/>
      <c r="E285" s="191"/>
      <c r="F285" s="190"/>
      <c r="G285" s="190"/>
      <c r="H285" s="189"/>
      <c r="I285" s="190"/>
      <c r="J285" s="190"/>
    </row>
    <row r="286" spans="1:10" x14ac:dyDescent="0.25">
      <c r="A286" s="168"/>
      <c r="B286" s="188"/>
      <c r="C286" s="191"/>
      <c r="D286" s="191"/>
      <c r="E286" s="191"/>
      <c r="F286" s="190"/>
      <c r="G286" s="190"/>
      <c r="H286" s="189"/>
      <c r="I286" s="190"/>
      <c r="J286" s="190"/>
    </row>
    <row r="287" spans="1:10" x14ac:dyDescent="0.25">
      <c r="A287" s="168"/>
      <c r="B287" s="188"/>
      <c r="C287" s="191"/>
      <c r="D287" s="191"/>
      <c r="E287" s="191"/>
      <c r="F287" s="190"/>
      <c r="G287" s="190"/>
      <c r="H287" s="189"/>
      <c r="I287" s="190"/>
      <c r="J287" s="190"/>
    </row>
    <row r="288" spans="1:10" x14ac:dyDescent="0.25">
      <c r="A288" s="168"/>
      <c r="B288" s="188"/>
      <c r="C288" s="191"/>
      <c r="D288" s="191"/>
      <c r="E288" s="191"/>
      <c r="F288" s="190"/>
      <c r="G288" s="190"/>
      <c r="H288" s="189"/>
      <c r="I288" s="190"/>
      <c r="J288" s="190"/>
    </row>
    <row r="289" spans="1:10" x14ac:dyDescent="0.25">
      <c r="A289" s="168"/>
      <c r="B289" s="188"/>
      <c r="C289" s="191"/>
      <c r="D289" s="191"/>
      <c r="E289" s="191"/>
      <c r="F289" s="190"/>
      <c r="G289" s="190"/>
      <c r="H289" s="189"/>
      <c r="I289" s="190"/>
      <c r="J289" s="190"/>
    </row>
    <row r="290" spans="1:10" x14ac:dyDescent="0.25">
      <c r="A290" s="168"/>
      <c r="B290" s="188"/>
      <c r="C290" s="191"/>
      <c r="D290" s="191"/>
      <c r="E290" s="191"/>
      <c r="F290" s="190"/>
      <c r="G290" s="190"/>
      <c r="H290" s="189"/>
      <c r="I290" s="190"/>
      <c r="J290" s="190"/>
    </row>
    <row r="291" spans="1:10" x14ac:dyDescent="0.25">
      <c r="A291" s="168"/>
      <c r="B291" s="188"/>
      <c r="C291" s="191"/>
      <c r="D291" s="191"/>
      <c r="E291" s="191"/>
      <c r="F291" s="190"/>
      <c r="G291" s="190"/>
      <c r="H291" s="189"/>
      <c r="I291" s="190"/>
      <c r="J291" s="190"/>
    </row>
    <row r="292" spans="1:10" x14ac:dyDescent="0.25">
      <c r="A292" s="168"/>
      <c r="B292" s="188"/>
      <c r="C292" s="191"/>
      <c r="D292" s="191"/>
      <c r="E292" s="191"/>
      <c r="F292" s="190"/>
      <c r="G292" s="190"/>
      <c r="H292" s="189"/>
      <c r="I292" s="190"/>
      <c r="J292" s="190"/>
    </row>
    <row r="293" spans="1:10" x14ac:dyDescent="0.25">
      <c r="A293" s="168"/>
      <c r="B293" s="188"/>
      <c r="C293" s="191"/>
      <c r="D293" s="191"/>
      <c r="E293" s="191"/>
      <c r="F293" s="190"/>
      <c r="G293" s="190"/>
      <c r="H293" s="189"/>
      <c r="I293" s="190"/>
      <c r="J293" s="190"/>
    </row>
    <row r="294" spans="1:10" x14ac:dyDescent="0.25">
      <c r="A294" s="168"/>
      <c r="B294" s="188"/>
      <c r="C294" s="191"/>
      <c r="D294" s="191"/>
      <c r="E294" s="191"/>
      <c r="F294" s="190"/>
      <c r="G294" s="190"/>
      <c r="H294" s="189"/>
      <c r="I294" s="190"/>
      <c r="J294" s="190"/>
    </row>
    <row r="295" spans="1:10" x14ac:dyDescent="0.25">
      <c r="A295" s="168"/>
      <c r="B295" s="188"/>
      <c r="C295" s="191"/>
      <c r="D295" s="191"/>
      <c r="E295" s="191"/>
      <c r="F295" s="190"/>
      <c r="G295" s="190"/>
      <c r="H295" s="189"/>
      <c r="I295" s="190"/>
      <c r="J295" s="190"/>
    </row>
    <row r="296" spans="1:10" x14ac:dyDescent="0.25">
      <c r="A296" s="168"/>
      <c r="B296" s="188"/>
      <c r="C296" s="191"/>
      <c r="D296" s="191"/>
      <c r="E296" s="191"/>
      <c r="F296" s="190"/>
      <c r="G296" s="190"/>
      <c r="H296" s="189"/>
      <c r="I296" s="190"/>
      <c r="J296" s="190"/>
    </row>
    <row r="297" spans="1:10" x14ac:dyDescent="0.25">
      <c r="A297" s="168"/>
      <c r="B297" s="188"/>
      <c r="C297" s="191"/>
      <c r="D297" s="191"/>
      <c r="E297" s="191"/>
      <c r="F297" s="190"/>
      <c r="G297" s="190"/>
      <c r="H297" s="189"/>
      <c r="I297" s="190"/>
      <c r="J297" s="190"/>
    </row>
    <row r="298" spans="1:10" x14ac:dyDescent="0.25">
      <c r="A298" s="168"/>
      <c r="B298" s="188"/>
      <c r="C298" s="191"/>
      <c r="D298" s="191"/>
      <c r="E298" s="191"/>
      <c r="F298" s="190"/>
      <c r="G298" s="190"/>
      <c r="H298" s="189"/>
      <c r="I298" s="190"/>
      <c r="J298" s="190"/>
    </row>
  </sheetData>
  <conditionalFormatting sqref="A2:G298">
    <cfRule type="expression" dxfId="124" priority="2">
      <formula>COUNTIF($B:$B,A2)&gt;1</formula>
    </cfRule>
  </conditionalFormatting>
  <conditionalFormatting sqref="H2:H298 F236:G236 I236:K236">
    <cfRule type="expression" dxfId="123" priority="20">
      <formula>AND(F2&lt;&gt;"",COUNTIF($A:$A,F2)&gt;1)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F187-F879-4998-A194-2B184F9E94F5}">
  <sheetPr codeName="Лист10"/>
  <dimension ref="A1:H132"/>
  <sheetViews>
    <sheetView topLeftCell="A109" workbookViewId="0">
      <selection activeCell="B122" sqref="B122"/>
    </sheetView>
  </sheetViews>
  <sheetFormatPr defaultRowHeight="15" x14ac:dyDescent="0.25"/>
  <cols>
    <col min="1" max="1" width="30.7109375" bestFit="1" customWidth="1"/>
    <col min="2" max="2" width="26.42578125" bestFit="1" customWidth="1"/>
    <col min="3" max="3" width="7.7109375" bestFit="1" customWidth="1"/>
    <col min="4" max="4" width="26.28515625" bestFit="1" customWidth="1"/>
    <col min="5" max="5" width="36" bestFit="1" customWidth="1"/>
    <col min="6" max="6" width="19.42578125" bestFit="1" customWidth="1"/>
    <col min="7" max="7" width="16.140625" bestFit="1" customWidth="1"/>
    <col min="8" max="8" width="6.28515625" bestFit="1" customWidth="1"/>
  </cols>
  <sheetData>
    <row r="1" spans="1:8" x14ac:dyDescent="0.25">
      <c r="A1" t="s">
        <v>3511</v>
      </c>
      <c r="B1" t="s">
        <v>4214</v>
      </c>
      <c r="C1" t="s">
        <v>4643</v>
      </c>
      <c r="D1" t="s">
        <v>4644</v>
      </c>
      <c r="E1" t="s">
        <v>3118</v>
      </c>
      <c r="F1" t="s">
        <v>3119</v>
      </c>
      <c r="G1" t="s">
        <v>4431</v>
      </c>
      <c r="H1" t="s">
        <v>4645</v>
      </c>
    </row>
    <row r="2" spans="1:8" x14ac:dyDescent="0.25">
      <c r="A2" t="str">
        <f>VLOOKUP(ТабАдрес[[#This Row],[customerId]],ТабКлиенты[[#All],[_id]:[name]],2,0)</f>
        <v>Людмила Эдельвейс</v>
      </c>
      <c r="B2" t="s">
        <v>4646</v>
      </c>
      <c r="C2" t="s">
        <v>4647</v>
      </c>
      <c r="D2" t="s">
        <v>4439</v>
      </c>
      <c r="E2" t="s">
        <v>3138</v>
      </c>
      <c r="F2" t="s">
        <v>3171</v>
      </c>
      <c r="H2">
        <v>0</v>
      </c>
    </row>
    <row r="3" spans="1:8" x14ac:dyDescent="0.25">
      <c r="A3" t="str">
        <f>VLOOKUP(ТабАдрес[[#This Row],[customerId]],ТабКлиенты[[#All],[_id]:[name]],2,0)</f>
        <v>Наталья Вельвет</v>
      </c>
      <c r="B3" t="s">
        <v>4648</v>
      </c>
      <c r="C3" t="s">
        <v>4647</v>
      </c>
      <c r="D3" t="s">
        <v>4436</v>
      </c>
      <c r="E3" t="s">
        <v>3157</v>
      </c>
      <c r="F3" t="s">
        <v>3158</v>
      </c>
      <c r="H3">
        <v>0</v>
      </c>
    </row>
    <row r="4" spans="1:8" x14ac:dyDescent="0.25">
      <c r="A4" t="str">
        <f>VLOOKUP(ТабАдрес[[#This Row],[customerId]],ТабКлиенты[[#All],[_id]:[name]],2,0)</f>
        <v>Наталья Школа 53</v>
      </c>
      <c r="B4" t="s">
        <v>4649</v>
      </c>
      <c r="C4" t="s">
        <v>4647</v>
      </c>
      <c r="D4" t="s">
        <v>4442</v>
      </c>
      <c r="E4" t="s">
        <v>3183</v>
      </c>
      <c r="F4" t="s">
        <v>3184</v>
      </c>
      <c r="H4">
        <v>0</v>
      </c>
    </row>
    <row r="5" spans="1:8" x14ac:dyDescent="0.25">
      <c r="A5" t="str">
        <f>VLOOKUP(ТабАдрес[[#This Row],[customerId]],ТабКлиенты[[#All],[_id]:[name]],2,0)</f>
        <v>Наталья Зелинского</v>
      </c>
      <c r="B5" t="s">
        <v>4650</v>
      </c>
      <c r="C5" t="s">
        <v>4647</v>
      </c>
      <c r="D5" t="s">
        <v>4443</v>
      </c>
      <c r="E5" t="s">
        <v>3188</v>
      </c>
      <c r="F5" t="s">
        <v>3189</v>
      </c>
      <c r="H5">
        <v>0</v>
      </c>
    </row>
    <row r="6" spans="1:8" x14ac:dyDescent="0.25">
      <c r="A6" t="str">
        <f>VLOOKUP(ТабАдрес[[#This Row],[customerId]],ТабКлиенты[[#All],[_id]:[name]],2,0)</f>
        <v>Татьяна Торговая 100</v>
      </c>
      <c r="B6" t="s">
        <v>4651</v>
      </c>
      <c r="C6" t="s">
        <v>4647</v>
      </c>
      <c r="D6" t="s">
        <v>4437</v>
      </c>
      <c r="E6" t="s">
        <v>3165</v>
      </c>
      <c r="F6" t="s">
        <v>3166</v>
      </c>
      <c r="G6" t="s">
        <v>4438</v>
      </c>
      <c r="H6">
        <v>0</v>
      </c>
    </row>
    <row r="7" spans="1:8" x14ac:dyDescent="0.25">
      <c r="A7" t="str">
        <f>VLOOKUP(ТабАдрес[[#This Row],[customerId]],ТабКлиенты[[#All],[_id]:[name]],2,0)</f>
        <v>Александра 50 лет СССР</v>
      </c>
      <c r="B7" t="s">
        <v>4652</v>
      </c>
      <c r="C7" t="s">
        <v>4647</v>
      </c>
      <c r="D7" t="s">
        <v>4445</v>
      </c>
      <c r="E7" t="s">
        <v>3196</v>
      </c>
      <c r="F7" t="s">
        <v>3197</v>
      </c>
      <c r="H7">
        <v>0</v>
      </c>
    </row>
    <row r="8" spans="1:8" x14ac:dyDescent="0.25">
      <c r="A8" t="str">
        <f>VLOOKUP(ТабАдрес[[#This Row],[customerId]],ТабКлиенты[[#All],[_id]:[name]],2,0)</f>
        <v>Наталья 60 лет СССР</v>
      </c>
      <c r="B8" t="s">
        <v>4653</v>
      </c>
      <c r="C8" t="s">
        <v>4647</v>
      </c>
      <c r="D8" t="s">
        <v>4446</v>
      </c>
      <c r="E8" t="s">
        <v>3200</v>
      </c>
      <c r="F8" t="s">
        <v>3201</v>
      </c>
      <c r="H8">
        <v>0</v>
      </c>
    </row>
    <row r="9" spans="1:8" x14ac:dyDescent="0.25">
      <c r="A9" t="str">
        <f>VLOOKUP(ТабАдрес[[#This Row],[customerId]],ТабКлиенты[[#All],[_id]:[name]],2,0)</f>
        <v>Валерий СТО ОРИОН</v>
      </c>
      <c r="B9" t="s">
        <v>4654</v>
      </c>
      <c r="C9" t="s">
        <v>4647</v>
      </c>
      <c r="D9" t="s">
        <v>4447</v>
      </c>
      <c r="E9" t="s">
        <v>3205</v>
      </c>
      <c r="H9">
        <v>0</v>
      </c>
    </row>
    <row r="10" spans="1:8" x14ac:dyDescent="0.25">
      <c r="A10" t="str">
        <f>VLOOKUP(ТабАдрес[[#This Row],[customerId]],ТабКлиенты[[#All],[_id]:[name]],2,0)</f>
        <v>Анна соседка</v>
      </c>
      <c r="B10" t="s">
        <v>4655</v>
      </c>
      <c r="C10" t="s">
        <v>4647</v>
      </c>
      <c r="D10" t="s">
        <v>4449</v>
      </c>
      <c r="E10" t="s">
        <v>3213</v>
      </c>
      <c r="F10" t="s">
        <v>3214</v>
      </c>
      <c r="H10">
        <v>0</v>
      </c>
    </row>
    <row r="11" spans="1:8" x14ac:dyDescent="0.25">
      <c r="A11" t="str">
        <f>VLOOKUP(ТабАдрес[[#This Row],[customerId]],ТабКлиенты[[#All],[_id]:[name]],2,0)</f>
        <v>Даша Калифорния</v>
      </c>
      <c r="B11" t="s">
        <v>4656</v>
      </c>
      <c r="C11" t="s">
        <v>4647</v>
      </c>
      <c r="D11" t="s">
        <v>4448</v>
      </c>
      <c r="E11" t="s">
        <v>3208</v>
      </c>
      <c r="F11" t="s">
        <v>3209</v>
      </c>
      <c r="H11">
        <v>0</v>
      </c>
    </row>
    <row r="12" spans="1:8" x14ac:dyDescent="0.25">
      <c r="A12" t="str">
        <f>VLOOKUP(ТабАдрес[[#This Row],[customerId]],ТабКлиенты[[#All],[_id]:[name]],2,0)</f>
        <v>Константин СТО Оптима</v>
      </c>
      <c r="B12" t="s">
        <v>4657</v>
      </c>
      <c r="C12" t="s">
        <v>4647</v>
      </c>
      <c r="D12" t="s">
        <v>4450</v>
      </c>
      <c r="E12" t="s">
        <v>3205</v>
      </c>
      <c r="F12" t="s">
        <v>3217</v>
      </c>
      <c r="H12">
        <v>0</v>
      </c>
    </row>
    <row r="13" spans="1:8" x14ac:dyDescent="0.25">
      <c r="A13" t="str">
        <f>VLOOKUP(ТабАдрес[[#This Row],[customerId]],ТабКлиенты[[#All],[_id]:[name]],2,0)</f>
        <v>Татьяна Олимпийская 65</v>
      </c>
      <c r="B13" t="s">
        <v>4658</v>
      </c>
      <c r="C13" t="s">
        <v>4647</v>
      </c>
      <c r="D13" t="s">
        <v>4444</v>
      </c>
      <c r="E13" t="s">
        <v>3192</v>
      </c>
      <c r="F13" t="s">
        <v>3193</v>
      </c>
      <c r="H13">
        <v>0</v>
      </c>
    </row>
    <row r="14" spans="1:8" x14ac:dyDescent="0.25">
      <c r="A14" t="str">
        <f>VLOOKUP(ТабАдрес[[#This Row],[customerId]],ТабКлиенты[[#All],[_id]:[name]],2,0)</f>
        <v>Лида корма</v>
      </c>
      <c r="B14" t="s">
        <v>4659</v>
      </c>
      <c r="C14" t="s">
        <v>4647</v>
      </c>
      <c r="D14" t="s">
        <v>4451</v>
      </c>
      <c r="E14" t="s">
        <v>3222</v>
      </c>
      <c r="F14" t="s">
        <v>3223</v>
      </c>
      <c r="H14">
        <v>0</v>
      </c>
    </row>
    <row r="15" spans="1:8" x14ac:dyDescent="0.25">
      <c r="A15" t="str">
        <f>VLOOKUP(ТабАдрес[[#This Row],[customerId]],ТабКлиенты[[#All],[_id]:[name]],2,0)</f>
        <v>Татьяна Леонидовна</v>
      </c>
      <c r="B15" t="s">
        <v>4661</v>
      </c>
      <c r="C15" t="s">
        <v>4647</v>
      </c>
      <c r="D15" t="s">
        <v>4455</v>
      </c>
      <c r="E15" t="s">
        <v>3243</v>
      </c>
      <c r="F15" t="s">
        <v>3244</v>
      </c>
      <c r="H15">
        <v>0</v>
      </c>
    </row>
    <row r="16" spans="1:8" x14ac:dyDescent="0.25">
      <c r="A16" t="str">
        <f>VLOOKUP(ТабАдрес[[#This Row],[customerId]],ТабКлиенты[[#All],[_id]:[name]],2,0)</f>
        <v>Лакарова Татьяна</v>
      </c>
      <c r="B16" t="s">
        <v>4662</v>
      </c>
      <c r="C16" t="s">
        <v>4647</v>
      </c>
      <c r="D16" t="s">
        <v>4456</v>
      </c>
      <c r="E16" t="s">
        <v>3247</v>
      </c>
      <c r="F16" t="s">
        <v>3248</v>
      </c>
      <c r="H16">
        <v>0</v>
      </c>
    </row>
    <row r="17" spans="1:8" x14ac:dyDescent="0.25">
      <c r="A17" t="str">
        <f>VLOOKUP(ТабАдрес[[#This Row],[customerId]],ТабКлиенты[[#All],[_id]:[name]],2,0)</f>
        <v>Любовь Виталий</v>
      </c>
      <c r="B17" t="s">
        <v>4663</v>
      </c>
      <c r="C17" t="s">
        <v>4647</v>
      </c>
      <c r="D17" t="s">
        <v>4454</v>
      </c>
      <c r="E17" t="s">
        <v>3237</v>
      </c>
      <c r="F17" t="s">
        <v>3238</v>
      </c>
      <c r="H17">
        <v>0</v>
      </c>
    </row>
    <row r="18" spans="1:8" x14ac:dyDescent="0.25">
      <c r="A18" t="str">
        <f>VLOOKUP(ТабАдрес[[#This Row],[customerId]],ТабКлиенты[[#All],[_id]:[name]],2,0)</f>
        <v>Светлана Федоровна</v>
      </c>
      <c r="B18" t="s">
        <v>4664</v>
      </c>
      <c r="C18" t="s">
        <v>4647</v>
      </c>
      <c r="D18" t="s">
        <v>4460</v>
      </c>
      <c r="E18" t="s">
        <v>3258</v>
      </c>
      <c r="F18" t="s">
        <v>3259</v>
      </c>
      <c r="H18">
        <v>0</v>
      </c>
    </row>
    <row r="19" spans="1:8" x14ac:dyDescent="0.25">
      <c r="A19" t="str">
        <f>VLOOKUP(ТабАдрес[[#This Row],[customerId]],ТабКлиенты[[#All],[_id]:[name]],2,0)</f>
        <v>Александр Радин</v>
      </c>
      <c r="B19" t="s">
        <v>4666</v>
      </c>
      <c r="C19" t="s">
        <v>4647</v>
      </c>
      <c r="D19" t="s">
        <v>4440</v>
      </c>
      <c r="E19" t="s">
        <v>3174</v>
      </c>
      <c r="F19" t="s">
        <v>3175</v>
      </c>
      <c r="H19">
        <v>0</v>
      </c>
    </row>
    <row r="20" spans="1:8" x14ac:dyDescent="0.25">
      <c r="A20" t="str">
        <f>VLOOKUP(ТабАдрес[[#This Row],[customerId]],ТабКлиенты[[#All],[_id]:[name]],2,0)</f>
        <v>Лариса Терраспорт</v>
      </c>
      <c r="B20" t="s">
        <v>4667</v>
      </c>
      <c r="C20" t="s">
        <v>4647</v>
      </c>
      <c r="D20" t="s">
        <v>4466</v>
      </c>
      <c r="E20" t="s">
        <v>3284</v>
      </c>
      <c r="F20" t="s">
        <v>3285</v>
      </c>
      <c r="H20">
        <v>0</v>
      </c>
    </row>
    <row r="21" spans="1:8" x14ac:dyDescent="0.25">
      <c r="A21" t="str">
        <f>VLOOKUP(ТабАдрес[[#This Row],[customerId]],ТабКлиенты[[#All],[_id]:[name]],2,0)</f>
        <v>Лидия Живописная</v>
      </c>
      <c r="B21" t="s">
        <v>4668</v>
      </c>
      <c r="C21" t="s">
        <v>4647</v>
      </c>
      <c r="D21" t="s">
        <v>4464</v>
      </c>
      <c r="E21" t="s">
        <v>3277</v>
      </c>
      <c r="F21" t="s">
        <v>3278</v>
      </c>
      <c r="H21">
        <v>0</v>
      </c>
    </row>
    <row r="22" spans="1:8" x14ac:dyDescent="0.25">
      <c r="A22" t="str">
        <f>VLOOKUP(ТабАдрес[[#This Row],[customerId]],ТабКлиенты[[#All],[_id]:[name]],2,0)</f>
        <v>Наталья Азовстальская</v>
      </c>
      <c r="B22" t="s">
        <v>4670</v>
      </c>
      <c r="C22" t="s">
        <v>4647</v>
      </c>
      <c r="D22" t="s">
        <v>4441</v>
      </c>
      <c r="E22" t="s">
        <v>3179</v>
      </c>
      <c r="F22" t="s">
        <v>3180</v>
      </c>
      <c r="H22">
        <v>0</v>
      </c>
    </row>
    <row r="23" spans="1:8" x14ac:dyDescent="0.25">
      <c r="A23" t="str">
        <f>VLOOKUP(ТабАдрес[[#This Row],[customerId]],ТабКлиенты[[#All],[_id]:[name]],2,0)</f>
        <v>Наталья Дерматология</v>
      </c>
      <c r="B23" t="s">
        <v>4671</v>
      </c>
      <c r="C23" t="s">
        <v>4647</v>
      </c>
      <c r="D23" t="s">
        <v>4470</v>
      </c>
      <c r="E23" t="s">
        <v>3298</v>
      </c>
      <c r="F23" t="s">
        <v>3299</v>
      </c>
      <c r="H23">
        <v>0</v>
      </c>
    </row>
    <row r="24" spans="1:8" x14ac:dyDescent="0.25">
      <c r="A24" t="str">
        <f>VLOOKUP(ТабАдрес[[#This Row],[customerId]],ТабКлиенты[[#All],[_id]:[name]],2,0)</f>
        <v>Валентина</v>
      </c>
      <c r="B24" t="s">
        <v>4672</v>
      </c>
      <c r="C24" t="s">
        <v>4647</v>
      </c>
      <c r="D24" t="s">
        <v>4461</v>
      </c>
      <c r="E24" t="s">
        <v>3267</v>
      </c>
      <c r="F24" t="s">
        <v>3268</v>
      </c>
      <c r="H24">
        <v>0</v>
      </c>
    </row>
    <row r="25" spans="1:8" x14ac:dyDescent="0.25">
      <c r="A25" t="str">
        <f>VLOOKUP(ТабАдрес[[#This Row],[customerId]],ТабКлиенты[[#All],[_id]:[name]],2,0)</f>
        <v>Светлана Шота 18</v>
      </c>
      <c r="B25" t="s">
        <v>4673</v>
      </c>
      <c r="C25" t="s">
        <v>4647</v>
      </c>
      <c r="D25" t="s">
        <v>4472</v>
      </c>
      <c r="E25" t="s">
        <v>3306</v>
      </c>
      <c r="F25" t="s">
        <v>3307</v>
      </c>
      <c r="H25">
        <v>0</v>
      </c>
    </row>
    <row r="26" spans="1:8" x14ac:dyDescent="0.25">
      <c r="A26" t="str">
        <f>VLOOKUP(ТабАдрес[[#This Row],[customerId]],ТабКлиенты[[#All],[_id]:[name]],2,0)</f>
        <v>Евгения Охотник</v>
      </c>
      <c r="B26" t="s">
        <v>4674</v>
      </c>
      <c r="C26" t="s">
        <v>4647</v>
      </c>
      <c r="D26" t="s">
        <v>4471</v>
      </c>
      <c r="E26" t="s">
        <v>3302</v>
      </c>
      <c r="F26" t="s">
        <v>3303</v>
      </c>
      <c r="H26">
        <v>0</v>
      </c>
    </row>
    <row r="27" spans="1:8" x14ac:dyDescent="0.25">
      <c r="A27" t="str">
        <f>VLOOKUP(ТабАдрес[[#This Row],[customerId]],ТабКлиенты[[#All],[_id]:[name]],2,0)</f>
        <v>Жанна Наташина</v>
      </c>
      <c r="B27" t="s">
        <v>4675</v>
      </c>
      <c r="C27" t="s">
        <v>4647</v>
      </c>
      <c r="D27" t="s">
        <v>4473</v>
      </c>
      <c r="E27" t="s">
        <v>3310</v>
      </c>
      <c r="F27" t="s">
        <v>3311</v>
      </c>
      <c r="H27">
        <v>0</v>
      </c>
    </row>
    <row r="28" spans="1:8" x14ac:dyDescent="0.25">
      <c r="A28" t="str">
        <f>VLOOKUP(ТабАдрес[[#This Row],[customerId]],ТабКлиенты[[#All],[_id]:[name]],2,0)</f>
        <v>Наталья Сергеевна</v>
      </c>
      <c r="B28" t="s">
        <v>4676</v>
      </c>
      <c r="C28" t="s">
        <v>4647</v>
      </c>
      <c r="D28" t="s">
        <v>4475</v>
      </c>
      <c r="E28" t="s">
        <v>3319</v>
      </c>
      <c r="F28" t="s">
        <v>3320</v>
      </c>
      <c r="H28">
        <v>0</v>
      </c>
    </row>
    <row r="29" spans="1:8" x14ac:dyDescent="0.25">
      <c r="A29" t="str">
        <f>VLOOKUP(ТабАдрес[[#This Row],[customerId]],ТабКлиенты[[#All],[_id]:[name]],2,0)</f>
        <v>Людмила Кордицепс</v>
      </c>
      <c r="B29" t="s">
        <v>4677</v>
      </c>
      <c r="C29" t="s">
        <v>4647</v>
      </c>
      <c r="D29" t="s">
        <v>4474</v>
      </c>
      <c r="E29" t="s">
        <v>3315</v>
      </c>
      <c r="F29" t="s">
        <v>3316</v>
      </c>
      <c r="H29">
        <v>0</v>
      </c>
    </row>
    <row r="30" spans="1:8" x14ac:dyDescent="0.25">
      <c r="A30" t="str">
        <f>VLOOKUP(ТабАдрес[[#This Row],[customerId]],ТабКлиенты[[#All],[_id]:[name]],2,0)</f>
        <v>Елена Индол</v>
      </c>
      <c r="B30" t="s">
        <v>4678</v>
      </c>
      <c r="C30" t="s">
        <v>4647</v>
      </c>
      <c r="D30" t="s">
        <v>4477</v>
      </c>
      <c r="E30" t="s">
        <v>3327</v>
      </c>
      <c r="F30" t="s">
        <v>3328</v>
      </c>
      <c r="H30">
        <v>0</v>
      </c>
    </row>
    <row r="31" spans="1:8" x14ac:dyDescent="0.25">
      <c r="A31" t="str">
        <f>VLOOKUP(ТабАдрес[[#This Row],[customerId]],ТабКлиенты[[#All],[_id]:[name]],2,0)</f>
        <v>Татьяна Дьяченко</v>
      </c>
      <c r="B31" t="s">
        <v>4679</v>
      </c>
      <c r="C31" t="s">
        <v>4647</v>
      </c>
      <c r="D31" t="s">
        <v>4479</v>
      </c>
      <c r="E31" t="s">
        <v>3342</v>
      </c>
      <c r="F31" t="s">
        <v>3343</v>
      </c>
      <c r="H31">
        <v>0</v>
      </c>
    </row>
    <row r="32" spans="1:8" x14ac:dyDescent="0.25">
      <c r="A32" t="str">
        <f>VLOOKUP(ТабАдрес[[#This Row],[customerId]],ТабКлиенты[[#All],[_id]:[name]],2,0)</f>
        <v>Елена Трансфер</v>
      </c>
      <c r="B32" t="s">
        <v>4680</v>
      </c>
      <c r="C32" t="s">
        <v>4647</v>
      </c>
      <c r="D32" t="s">
        <v>4478</v>
      </c>
      <c r="E32" t="s">
        <v>3331</v>
      </c>
      <c r="F32" t="s">
        <v>3332</v>
      </c>
      <c r="H32">
        <v>0</v>
      </c>
    </row>
    <row r="33" spans="1:8" x14ac:dyDescent="0.25">
      <c r="A33" t="str">
        <f>VLOOKUP(ТабАдрес[[#This Row],[customerId]],ТабКлиенты[[#All],[_id]:[name]],2,0)</f>
        <v>Вера Надеждына</v>
      </c>
      <c r="B33" t="s">
        <v>4681</v>
      </c>
      <c r="C33" t="s">
        <v>4647</v>
      </c>
      <c r="D33" t="s">
        <v>4480</v>
      </c>
      <c r="E33" t="s">
        <v>3346</v>
      </c>
      <c r="F33" t="s">
        <v>3347</v>
      </c>
      <c r="H33">
        <v>0</v>
      </c>
    </row>
    <row r="34" spans="1:8" x14ac:dyDescent="0.25">
      <c r="A34" t="str">
        <f>VLOOKUP(ТабАдрес[[#This Row],[customerId]],ТабКлиенты[[#All],[_id]:[name]],2,0)</f>
        <v>Татьяна маг Лидия</v>
      </c>
      <c r="B34" t="s">
        <v>4682</v>
      </c>
      <c r="C34" t="s">
        <v>4647</v>
      </c>
      <c r="D34" t="s">
        <v>4481</v>
      </c>
      <c r="E34" t="s">
        <v>3353</v>
      </c>
      <c r="F34" t="s">
        <v>3354</v>
      </c>
      <c r="H34">
        <v>0</v>
      </c>
    </row>
    <row r="35" spans="1:8" x14ac:dyDescent="0.25">
      <c r="A35" t="str">
        <f>VLOOKUP(ТабАдрес[[#This Row],[customerId]],ТабКлиенты[[#All],[_id]:[name]],2,0)</f>
        <v>Светлана Стамбул</v>
      </c>
      <c r="B35" t="s">
        <v>4683</v>
      </c>
      <c r="C35" t="s">
        <v>4647</v>
      </c>
      <c r="D35" t="s">
        <v>4482</v>
      </c>
      <c r="E35" t="s">
        <v>3357</v>
      </c>
      <c r="F35" t="s">
        <v>3358</v>
      </c>
      <c r="H35">
        <v>0</v>
      </c>
    </row>
    <row r="36" spans="1:8" x14ac:dyDescent="0.25">
      <c r="A36" t="str">
        <f>VLOOKUP(ТабАдрес[[#This Row],[customerId]],ТабКлиенты[[#All],[_id]:[name]],2,0)</f>
        <v>Ольга Мелованова</v>
      </c>
      <c r="B36" t="s">
        <v>4684</v>
      </c>
      <c r="C36" t="s">
        <v>4647</v>
      </c>
      <c r="D36" t="s">
        <v>4485</v>
      </c>
      <c r="E36" t="s">
        <v>3367</v>
      </c>
      <c r="F36" t="s">
        <v>3368</v>
      </c>
      <c r="H36">
        <v>0</v>
      </c>
    </row>
    <row r="37" spans="1:8" x14ac:dyDescent="0.25">
      <c r="A37" t="str">
        <f>VLOOKUP(ТабАдрес[[#This Row],[customerId]],ТабКлиенты[[#All],[_id]:[name]],2,0)</f>
        <v>Татьяна Тулина</v>
      </c>
      <c r="B37" t="s">
        <v>4685</v>
      </c>
      <c r="C37" t="s">
        <v>4647</v>
      </c>
      <c r="D37" t="s">
        <v>4488</v>
      </c>
      <c r="E37" t="s">
        <v>3382</v>
      </c>
      <c r="F37" t="s">
        <v>3383</v>
      </c>
      <c r="H37">
        <v>0</v>
      </c>
    </row>
    <row r="38" spans="1:8" x14ac:dyDescent="0.25">
      <c r="A38" t="str">
        <f>VLOOKUP(ТабАдрес[[#This Row],[customerId]],ТабКлиенты[[#All],[_id]:[name]],2,0)</f>
        <v>Елена сахарный диабет</v>
      </c>
      <c r="B38" t="s">
        <v>4686</v>
      </c>
      <c r="C38" t="s">
        <v>4647</v>
      </c>
      <c r="D38" t="s">
        <v>4484</v>
      </c>
      <c r="E38" t="s">
        <v>3363</v>
      </c>
      <c r="F38" t="s">
        <v>3364</v>
      </c>
      <c r="H38">
        <v>0</v>
      </c>
    </row>
    <row r="39" spans="1:8" x14ac:dyDescent="0.25">
      <c r="A39" t="str">
        <f>VLOOKUP(ТабАдрес[[#This Row],[customerId]],ТабКлиенты[[#All],[_id]:[name]],2,0)</f>
        <v>Елена пер. Фруктовый</v>
      </c>
      <c r="B39" t="s">
        <v>4687</v>
      </c>
      <c r="C39" t="s">
        <v>4647</v>
      </c>
      <c r="D39" t="s">
        <v>4435</v>
      </c>
      <c r="E39" t="s">
        <v>3152</v>
      </c>
      <c r="F39" t="s">
        <v>3153</v>
      </c>
      <c r="H39">
        <v>0</v>
      </c>
    </row>
    <row r="40" spans="1:8" x14ac:dyDescent="0.25">
      <c r="A40" t="str">
        <f>VLOOKUP(ТабАдрес[[#This Row],[customerId]],ТабКлиенты[[#All],[_id]:[name]],2,0)</f>
        <v>Виктория Порт Сити</v>
      </c>
      <c r="B40" t="s">
        <v>4688</v>
      </c>
      <c r="C40" t="s">
        <v>4647</v>
      </c>
      <c r="D40" t="s">
        <v>4486</v>
      </c>
      <c r="E40" t="s">
        <v>3371</v>
      </c>
      <c r="F40" t="s">
        <v>3372</v>
      </c>
      <c r="H40">
        <v>0</v>
      </c>
    </row>
    <row r="41" spans="1:8" x14ac:dyDescent="0.25">
      <c r="A41" t="str">
        <f>VLOOKUP(ТабАдрес[[#This Row],[customerId]],ТабКлиенты[[#All],[_id]:[name]],2,0)</f>
        <v>Валентина Сычева</v>
      </c>
      <c r="B41" t="s">
        <v>4689</v>
      </c>
      <c r="C41" t="s">
        <v>4647</v>
      </c>
      <c r="D41" t="s">
        <v>4489</v>
      </c>
      <c r="E41" t="s">
        <v>3386</v>
      </c>
      <c r="F41" t="s">
        <v>3387</v>
      </c>
      <c r="H41">
        <v>0</v>
      </c>
    </row>
    <row r="42" spans="1:8" x14ac:dyDescent="0.25">
      <c r="A42" t="str">
        <f>VLOOKUP(ТабАдрес[[#This Row],[customerId]],ТабКлиенты[[#All],[_id]:[name]],2,0)</f>
        <v>Татьяна Вахтангова</v>
      </c>
      <c r="B42" t="s">
        <v>4690</v>
      </c>
      <c r="C42" t="s">
        <v>4647</v>
      </c>
      <c r="D42" t="s">
        <v>4491</v>
      </c>
      <c r="E42" t="s">
        <v>3396</v>
      </c>
      <c r="F42" t="s">
        <v>3397</v>
      </c>
      <c r="H42">
        <v>0</v>
      </c>
    </row>
    <row r="43" spans="1:8" x14ac:dyDescent="0.25">
      <c r="A43" t="str">
        <f>VLOOKUP(ТабАдрес[[#This Row],[customerId]],ТабКлиенты[[#All],[_id]:[name]],2,0)</f>
        <v>Виктория Урицкого 93а</v>
      </c>
      <c r="B43" t="s">
        <v>4691</v>
      </c>
      <c r="C43" t="s">
        <v>4647</v>
      </c>
      <c r="D43" t="s">
        <v>4490</v>
      </c>
      <c r="E43" t="s">
        <v>3390</v>
      </c>
      <c r="F43" t="s">
        <v>3391</v>
      </c>
      <c r="H43">
        <v>0</v>
      </c>
    </row>
    <row r="44" spans="1:8" x14ac:dyDescent="0.25">
      <c r="A44" t="str">
        <f>VLOOKUP(ТабАдрес[[#This Row],[customerId]],ТабКлиенты[[#All],[_id]:[name]],2,0)</f>
        <v>Елена Шевченко 217</v>
      </c>
      <c r="B44" t="s">
        <v>4692</v>
      </c>
      <c r="C44" t="s">
        <v>4647</v>
      </c>
      <c r="D44" t="s">
        <v>4462</v>
      </c>
      <c r="E44" t="s">
        <v>3272</v>
      </c>
      <c r="F44" t="s">
        <v>3273</v>
      </c>
      <c r="H44">
        <v>0</v>
      </c>
    </row>
    <row r="45" spans="1:8" x14ac:dyDescent="0.25">
      <c r="A45" t="str">
        <f>VLOOKUP(ТабАдрес[[#This Row],[customerId]],ТабКлиенты[[#All],[_id]:[name]],2,0)</f>
        <v>Оксана Моцная</v>
      </c>
      <c r="B45" t="s">
        <v>4694</v>
      </c>
      <c r="C45" t="s">
        <v>4647</v>
      </c>
      <c r="D45" t="s">
        <v>4496</v>
      </c>
      <c r="E45" t="s">
        <v>3412</v>
      </c>
      <c r="F45" t="s">
        <v>3413</v>
      </c>
      <c r="H45">
        <v>0</v>
      </c>
    </row>
    <row r="46" spans="1:8" x14ac:dyDescent="0.25">
      <c r="A46" t="str">
        <f>VLOOKUP(ТабАдрес[[#This Row],[customerId]],ТабКлиенты[[#All],[_id]:[name]],2,0)</f>
        <v>Елизавета Водоканал</v>
      </c>
      <c r="B46" t="s">
        <v>4695</v>
      </c>
      <c r="C46" t="s">
        <v>4647</v>
      </c>
      <c r="D46" t="s">
        <v>4497</v>
      </c>
      <c r="E46" t="s">
        <v>3415</v>
      </c>
      <c r="F46" t="s">
        <v>3416</v>
      </c>
      <c r="H46">
        <v>0</v>
      </c>
    </row>
    <row r="47" spans="1:8" x14ac:dyDescent="0.25">
      <c r="A47" t="str">
        <f>VLOOKUP(ТабАдрес[[#This Row],[customerId]],ТабКлиенты[[#All],[_id]:[name]],2,0)</f>
        <v>Власта консалтинг</v>
      </c>
      <c r="B47" t="s">
        <v>4696</v>
      </c>
      <c r="C47" t="s">
        <v>4647</v>
      </c>
      <c r="D47" t="s">
        <v>4499</v>
      </c>
      <c r="E47" t="s">
        <v>3428</v>
      </c>
      <c r="F47" t="s">
        <v>3429</v>
      </c>
      <c r="H47">
        <v>0</v>
      </c>
    </row>
    <row r="48" spans="1:8" x14ac:dyDescent="0.25">
      <c r="A48" t="str">
        <f>VLOOKUP(ТабАдрес[[#This Row],[customerId]],ТабКлиенты[[#All],[_id]:[name]],2,0)</f>
        <v>Лиля Эдельвейс</v>
      </c>
      <c r="B48" t="s">
        <v>4697</v>
      </c>
      <c r="C48" t="s">
        <v>4647</v>
      </c>
      <c r="D48" t="s">
        <v>4500</v>
      </c>
      <c r="E48" t="s">
        <v>3432</v>
      </c>
      <c r="F48" t="s">
        <v>3433</v>
      </c>
      <c r="H48">
        <v>0</v>
      </c>
    </row>
    <row r="49" spans="1:8" x14ac:dyDescent="0.25">
      <c r="A49" t="str">
        <f>VLOOKUP(ТабАдрес[[#This Row],[customerId]],ТабКлиенты[[#All],[_id]:[name]],2,0)</f>
        <v>Татьяна Писарева 28</v>
      </c>
      <c r="B49" t="s">
        <v>4698</v>
      </c>
      <c r="C49" t="s">
        <v>4647</v>
      </c>
      <c r="D49" t="s">
        <v>4502</v>
      </c>
      <c r="E49" t="s">
        <v>3432</v>
      </c>
      <c r="F49" t="s">
        <v>3443</v>
      </c>
      <c r="H49">
        <v>0</v>
      </c>
    </row>
    <row r="50" spans="1:8" x14ac:dyDescent="0.25">
      <c r="A50" t="str">
        <f>VLOOKUP(ТабАдрес[[#This Row],[customerId]],ТабКлиенты[[#All],[_id]:[name]],2,0)</f>
        <v>Наталья Шевченко</v>
      </c>
      <c r="B50" t="s">
        <v>4699</v>
      </c>
      <c r="C50" t="s">
        <v>4647</v>
      </c>
      <c r="D50" t="s">
        <v>4498</v>
      </c>
      <c r="E50" t="s">
        <v>3423</v>
      </c>
      <c r="F50" t="s">
        <v>3424</v>
      </c>
      <c r="H50">
        <v>0</v>
      </c>
    </row>
    <row r="51" spans="1:8" x14ac:dyDescent="0.25">
      <c r="A51" t="str">
        <f>VLOOKUP(ТабАдрес[[#This Row],[customerId]],ТабКлиенты[[#All],[_id]:[name]],2,0)</f>
        <v>Юлия АТБ кольцо</v>
      </c>
      <c r="B51" t="s">
        <v>4700</v>
      </c>
      <c r="C51" t="s">
        <v>4647</v>
      </c>
      <c r="D51" t="s">
        <v>4501</v>
      </c>
      <c r="E51" t="s">
        <v>3439</v>
      </c>
      <c r="F51" t="s">
        <v>3440</v>
      </c>
      <c r="H51">
        <v>0</v>
      </c>
    </row>
    <row r="52" spans="1:8" x14ac:dyDescent="0.25">
      <c r="A52" t="str">
        <f>VLOOKUP(ТабАдрес[[#This Row],[customerId]],ТабКлиенты[[#All],[_id]:[name]],2,0)</f>
        <v>Ирина Зелинского 106а</v>
      </c>
      <c r="B52" t="s">
        <v>4701</v>
      </c>
      <c r="C52" t="s">
        <v>4647</v>
      </c>
      <c r="D52" t="s">
        <v>4505</v>
      </c>
      <c r="E52" t="s">
        <v>3455</v>
      </c>
      <c r="F52" t="s">
        <v>3456</v>
      </c>
      <c r="H52">
        <v>0</v>
      </c>
    </row>
    <row r="53" spans="1:8" x14ac:dyDescent="0.25">
      <c r="A53" t="str">
        <f>VLOOKUP(ТабАдрес[[#This Row],[customerId]],ТабКлиенты[[#All],[_id]:[name]],2,0)</f>
        <v>Оксана Шевченко 240</v>
      </c>
      <c r="B53" t="s">
        <v>4702</v>
      </c>
      <c r="C53" t="s">
        <v>4647</v>
      </c>
      <c r="D53" t="s">
        <v>4503</v>
      </c>
      <c r="E53" t="s">
        <v>3446</v>
      </c>
      <c r="F53" t="s">
        <v>3447</v>
      </c>
      <c r="H53">
        <v>0</v>
      </c>
    </row>
    <row r="54" spans="1:8" x14ac:dyDescent="0.25">
      <c r="A54" t="str">
        <f>VLOOKUP(ТабАдрес[[#This Row],[customerId]],ТабКлиенты[[#All],[_id]:[name]],2,0)</f>
        <v>Татьяна Лаванда</v>
      </c>
      <c r="B54" t="s">
        <v>4703</v>
      </c>
      <c r="C54" t="s">
        <v>4647</v>
      </c>
      <c r="D54" t="s">
        <v>4504</v>
      </c>
      <c r="E54" t="s">
        <v>3450</v>
      </c>
      <c r="F54" t="s">
        <v>3451</v>
      </c>
      <c r="H54">
        <v>0</v>
      </c>
    </row>
    <row r="55" spans="1:8" x14ac:dyDescent="0.25">
      <c r="A55" t="str">
        <f>VLOOKUP(ТабАдрес[[#This Row],[customerId]],ТабКлиенты[[#All],[_id]:[name]],2,0)</f>
        <v>Людмила Федоровна</v>
      </c>
      <c r="B55" t="s">
        <v>4705</v>
      </c>
      <c r="C55" t="s">
        <v>4647</v>
      </c>
      <c r="D55" t="s">
        <v>4507</v>
      </c>
      <c r="E55" t="s">
        <v>3464</v>
      </c>
      <c r="F55" t="s">
        <v>3465</v>
      </c>
      <c r="H55">
        <v>0</v>
      </c>
    </row>
    <row r="56" spans="1:8" x14ac:dyDescent="0.25">
      <c r="A56" t="str">
        <f>VLOOKUP(ТабАдрес[[#This Row],[customerId]],ТабКлиенты[[#All],[_id]:[name]],2,0)</f>
        <v>Оксана молокозавод</v>
      </c>
      <c r="B56" t="s">
        <v>4706</v>
      </c>
      <c r="C56" t="s">
        <v>4647</v>
      </c>
      <c r="D56" t="s">
        <v>4508</v>
      </c>
      <c r="E56" t="s">
        <v>3288</v>
      </c>
      <c r="F56" t="s">
        <v>3468</v>
      </c>
      <c r="H56">
        <v>0</v>
      </c>
    </row>
    <row r="57" spans="1:8" x14ac:dyDescent="0.25">
      <c r="A57" t="str">
        <f>VLOOKUP(ТабАдрес[[#This Row],[customerId]],ТабКлиенты[[#All],[_id]:[name]],2,0)</f>
        <v>Любовь Металлургов 158</v>
      </c>
      <c r="B57" t="s">
        <v>4707</v>
      </c>
      <c r="C57" t="s">
        <v>4647</v>
      </c>
      <c r="D57" t="s">
        <v>4512</v>
      </c>
      <c r="E57" t="s">
        <v>3489</v>
      </c>
      <c r="F57" t="s">
        <v>3490</v>
      </c>
      <c r="H57">
        <v>0</v>
      </c>
    </row>
    <row r="58" spans="1:8" x14ac:dyDescent="0.25">
      <c r="A58" t="str">
        <f>VLOOKUP(ТабАдрес[[#This Row],[customerId]],ТабКлиенты[[#All],[_id]:[name]],2,0)</f>
        <v>Оксана Черноморская</v>
      </c>
      <c r="B58" t="s">
        <v>4708</v>
      </c>
      <c r="C58" t="s">
        <v>4647</v>
      </c>
      <c r="D58" t="s">
        <v>4510</v>
      </c>
      <c r="E58" t="s">
        <v>3477</v>
      </c>
      <c r="F58" t="s">
        <v>3478</v>
      </c>
      <c r="H58">
        <v>0</v>
      </c>
    </row>
    <row r="59" spans="1:8" x14ac:dyDescent="0.25">
      <c r="A59" t="str">
        <f>VLOOKUP(ТабАдрес[[#This Row],[customerId]],ТабКлиенты[[#All],[_id]:[name]],2,0)</f>
        <v>Ксения Краснофлотская</v>
      </c>
      <c r="B59" t="s">
        <v>4709</v>
      </c>
      <c r="C59" t="s">
        <v>4647</v>
      </c>
      <c r="D59" t="s">
        <v>4511</v>
      </c>
      <c r="E59" t="s">
        <v>3481</v>
      </c>
      <c r="F59" t="s">
        <v>3482</v>
      </c>
      <c r="H59">
        <v>0</v>
      </c>
    </row>
    <row r="60" spans="1:8" x14ac:dyDescent="0.25">
      <c r="A60" t="str">
        <f>VLOOKUP(ТабАдрес[[#This Row],[customerId]],ТабКлиенты[[#All],[_id]:[name]],2,0)</f>
        <v>Екатерина Металлургов 129</v>
      </c>
      <c r="B60" t="s">
        <v>4710</v>
      </c>
      <c r="C60" t="s">
        <v>4647</v>
      </c>
      <c r="D60" t="s">
        <v>4509</v>
      </c>
      <c r="E60" t="s">
        <v>3472</v>
      </c>
      <c r="F60" t="s">
        <v>3473</v>
      </c>
      <c r="H60">
        <v>0</v>
      </c>
    </row>
    <row r="61" spans="1:8" x14ac:dyDescent="0.25">
      <c r="A61" t="str">
        <f>VLOOKUP(ТабАдрес[[#This Row],[customerId]],ТабКлиенты[[#All],[_id]:[name]],2,0)</f>
        <v>Алена Грация</v>
      </c>
      <c r="B61" t="s">
        <v>4711</v>
      </c>
      <c r="C61" t="s">
        <v>4647</v>
      </c>
      <c r="D61" t="s">
        <v>4517</v>
      </c>
      <c r="E61" t="s">
        <v>3331</v>
      </c>
      <c r="F61" t="s">
        <v>3332</v>
      </c>
      <c r="H61">
        <v>0</v>
      </c>
    </row>
    <row r="62" spans="1:8" x14ac:dyDescent="0.25">
      <c r="A62" t="str">
        <f>VLOOKUP(ТабАдрес[[#This Row],[customerId]],ТабКлиенты[[#All],[_id]:[name]],2,0)</f>
        <v>Виктория Страховка</v>
      </c>
      <c r="B62" t="s">
        <v>4712</v>
      </c>
      <c r="C62" t="s">
        <v>4647</v>
      </c>
      <c r="D62" t="s">
        <v>4516</v>
      </c>
      <c r="E62" t="s">
        <v>3495</v>
      </c>
      <c r="F62" t="s">
        <v>3496</v>
      </c>
      <c r="H62">
        <v>0</v>
      </c>
    </row>
    <row r="63" spans="1:8" x14ac:dyDescent="0.25">
      <c r="A63" t="str">
        <f>VLOOKUP(ТабАдрес[[#This Row],[customerId]],ТабКлиенты[[#All],[_id]:[name]],2,0)</f>
        <v>Марина 50 Лет СССР 16</v>
      </c>
      <c r="B63" t="s">
        <v>4713</v>
      </c>
      <c r="C63" t="s">
        <v>4647</v>
      </c>
      <c r="D63" t="s">
        <v>4513</v>
      </c>
      <c r="E63" t="s">
        <v>4514</v>
      </c>
      <c r="F63" t="s">
        <v>4515</v>
      </c>
      <c r="H63">
        <v>0</v>
      </c>
    </row>
    <row r="64" spans="1:8" x14ac:dyDescent="0.25">
      <c r="A64" t="str">
        <f>VLOOKUP(ТабАдрес[[#This Row],[customerId]],ТабКлиенты[[#All],[_id]:[name]],2,0)</f>
        <v>Елена Ленина 87</v>
      </c>
      <c r="B64" t="s">
        <v>4714</v>
      </c>
      <c r="C64" t="s">
        <v>4647</v>
      </c>
      <c r="D64" t="s">
        <v>4519</v>
      </c>
      <c r="E64" t="s">
        <v>3507</v>
      </c>
      <c r="F64" t="s">
        <v>3508</v>
      </c>
      <c r="H64">
        <v>0</v>
      </c>
    </row>
    <row r="65" spans="1:8" x14ac:dyDescent="0.25">
      <c r="A65" t="str">
        <f>VLOOKUP(ТабАдрес[[#This Row],[customerId]],ТабКлиенты[[#All],[_id]:[name]],2,0)</f>
        <v>Лилия Леси Украинки</v>
      </c>
      <c r="B65" t="s">
        <v>4715</v>
      </c>
      <c r="C65" t="s">
        <v>4647</v>
      </c>
      <c r="D65" t="s">
        <v>4518</v>
      </c>
      <c r="E65" t="s">
        <v>3501</v>
      </c>
      <c r="F65" t="s">
        <v>3502</v>
      </c>
      <c r="H65">
        <v>0</v>
      </c>
    </row>
    <row r="66" spans="1:8" x14ac:dyDescent="0.25">
      <c r="A66" t="str">
        <f>VLOOKUP(ТабАдрес[[#This Row],[customerId]],ТабКлиенты[[#All],[_id]:[name]],2,0)</f>
        <v>Любовь 17</v>
      </c>
      <c r="B66" t="s">
        <v>4716</v>
      </c>
      <c r="C66" t="s">
        <v>4647</v>
      </c>
      <c r="D66" t="s">
        <v>4520</v>
      </c>
      <c r="E66" t="s">
        <v>4521</v>
      </c>
      <c r="F66" t="s">
        <v>4522</v>
      </c>
      <c r="H66">
        <v>0</v>
      </c>
    </row>
    <row r="67" spans="1:8" x14ac:dyDescent="0.25">
      <c r="A67" t="str">
        <f>VLOOKUP(ТабАдрес[[#This Row],[customerId]],ТабКлиенты[[#All],[_id]:[name]],2,0)</f>
        <v>Вероника стоматолог</v>
      </c>
      <c r="B67" t="s">
        <v>4717</v>
      </c>
      <c r="C67" t="s">
        <v>4647</v>
      </c>
      <c r="D67" t="s">
        <v>4529</v>
      </c>
      <c r="E67" t="s">
        <v>4531</v>
      </c>
      <c r="F67" t="s">
        <v>4532</v>
      </c>
      <c r="H67">
        <v>0</v>
      </c>
    </row>
    <row r="68" spans="1:8" x14ac:dyDescent="0.25">
      <c r="A68" t="str">
        <f>VLOOKUP(ТабАдрес[[#This Row],[customerId]],ТабКлиенты[[#All],[_id]:[name]],2,0)</f>
        <v>Светлана АТБ</v>
      </c>
      <c r="B68" t="s">
        <v>4718</v>
      </c>
      <c r="C68" t="s">
        <v>4647</v>
      </c>
      <c r="D68" t="s">
        <v>4551</v>
      </c>
      <c r="E68" t="s">
        <v>4553</v>
      </c>
      <c r="F68" t="s">
        <v>4554</v>
      </c>
      <c r="H68">
        <v>0</v>
      </c>
    </row>
    <row r="69" spans="1:8" x14ac:dyDescent="0.25">
      <c r="A69" t="str">
        <f>VLOOKUP(ТабАдрес[[#This Row],[customerId]],ТабКлиенты[[#All],[_id]:[name]],2,0)</f>
        <v>Александр Космос</v>
      </c>
      <c r="B69" t="s">
        <v>4719</v>
      </c>
      <c r="C69" t="s">
        <v>4647</v>
      </c>
      <c r="D69" t="s">
        <v>4524</v>
      </c>
      <c r="E69" t="s">
        <v>4526</v>
      </c>
      <c r="F69" t="s">
        <v>4527</v>
      </c>
      <c r="H69">
        <v>0</v>
      </c>
    </row>
    <row r="70" spans="1:8" x14ac:dyDescent="0.25">
      <c r="A70" t="str">
        <f>VLOOKUP(ТабАдрес[[#This Row],[customerId]],ТабКлиенты[[#All],[_id]:[name]],2,0)</f>
        <v>Татьяна Виноград</v>
      </c>
      <c r="B70" t="s">
        <v>4720</v>
      </c>
      <c r="C70" t="s">
        <v>4647</v>
      </c>
      <c r="D70" t="s">
        <v>4534</v>
      </c>
      <c r="E70" t="s">
        <v>4535</v>
      </c>
      <c r="F70" t="s">
        <v>4536</v>
      </c>
      <c r="H70">
        <v>0</v>
      </c>
    </row>
    <row r="71" spans="1:8" x14ac:dyDescent="0.25">
      <c r="A71" t="str">
        <f>VLOOKUP(ТабАдрес[[#This Row],[customerId]],ТабКлиенты[[#All],[_id]:[name]],2,0)</f>
        <v>Элла</v>
      </c>
      <c r="B71" t="s">
        <v>4721</v>
      </c>
      <c r="C71" t="s">
        <v>4647</v>
      </c>
      <c r="D71" t="s">
        <v>4547</v>
      </c>
      <c r="E71" t="s">
        <v>4549</v>
      </c>
      <c r="F71" t="s">
        <v>4550</v>
      </c>
      <c r="H71">
        <v>0</v>
      </c>
    </row>
    <row r="72" spans="1:8" x14ac:dyDescent="0.25">
      <c r="A72" t="str">
        <f>VLOOKUP(ТабАдрес[[#This Row],[customerId]],ТабКлиенты[[#All],[_id]:[name]],2,0)</f>
        <v>Олеся</v>
      </c>
      <c r="B72" t="s">
        <v>4722</v>
      </c>
      <c r="C72" t="s">
        <v>4647</v>
      </c>
      <c r="D72" t="s">
        <v>4538</v>
      </c>
      <c r="E72" t="s">
        <v>4540</v>
      </c>
      <c r="F72" t="s">
        <v>4541</v>
      </c>
      <c r="H72">
        <v>0</v>
      </c>
    </row>
    <row r="73" spans="1:8" x14ac:dyDescent="0.25">
      <c r="A73" t="str">
        <f>VLOOKUP(ТабАдрес[[#This Row],[customerId]],ТабКлиенты[[#All],[_id]:[name]],2,0)</f>
        <v>Виталий Черемушки</v>
      </c>
      <c r="B73" t="s">
        <v>4723</v>
      </c>
      <c r="C73" t="s">
        <v>4647</v>
      </c>
      <c r="D73" t="s">
        <v>4556</v>
      </c>
      <c r="E73" t="s">
        <v>4558</v>
      </c>
      <c r="H73">
        <v>0</v>
      </c>
    </row>
    <row r="74" spans="1:8" x14ac:dyDescent="0.25">
      <c r="A74" t="str">
        <f>VLOOKUP(ТабАдрес[[#This Row],[customerId]],ТабКлиенты[[#All],[_id]:[name]],2,0)</f>
        <v>Ольга Электромех. Колледж</v>
      </c>
      <c r="B74" t="s">
        <v>4724</v>
      </c>
      <c r="C74" t="s">
        <v>4647</v>
      </c>
      <c r="D74" t="s">
        <v>4564</v>
      </c>
      <c r="E74" t="s">
        <v>4566</v>
      </c>
      <c r="F74" t="s">
        <v>4567</v>
      </c>
      <c r="H74">
        <v>0</v>
      </c>
    </row>
    <row r="75" spans="1:8" x14ac:dyDescent="0.25">
      <c r="A75" t="str">
        <f>VLOOKUP(ТабАдрес[[#This Row],[customerId]],ТабКлиенты[[#All],[_id]:[name]],2,0)</f>
        <v>Олеся Пугачева 23</v>
      </c>
      <c r="B75" t="s">
        <v>4725</v>
      </c>
      <c r="C75" t="s">
        <v>4647</v>
      </c>
      <c r="D75" s="197" t="s">
        <v>4494</v>
      </c>
      <c r="E75" t="s">
        <v>3406</v>
      </c>
      <c r="F75" t="s">
        <v>3407</v>
      </c>
      <c r="H75">
        <v>0</v>
      </c>
    </row>
    <row r="76" spans="1:8" x14ac:dyDescent="0.25">
      <c r="A76" t="str">
        <f>VLOOKUP(ТабАдрес[[#This Row],[customerId]],ТабКлиенты[[#All],[_id]:[name]],2,0)</f>
        <v>Евгения</v>
      </c>
      <c r="B76" t="s">
        <v>4726</v>
      </c>
      <c r="C76" t="s">
        <v>4647</v>
      </c>
      <c r="D76" t="s">
        <v>4614</v>
      </c>
      <c r="E76" t="s">
        <v>4616</v>
      </c>
      <c r="F76" t="s">
        <v>4617</v>
      </c>
      <c r="H76">
        <v>0</v>
      </c>
    </row>
    <row r="77" spans="1:8" x14ac:dyDescent="0.25">
      <c r="A77" t="str">
        <f>VLOOKUP(ТабАдрес[[#This Row],[customerId]],ТабКлиенты[[#All],[_id]:[name]],2,0)</f>
        <v>Софи</v>
      </c>
      <c r="B77" t="s">
        <v>4727</v>
      </c>
      <c r="C77" t="s">
        <v>4647</v>
      </c>
      <c r="D77" t="s">
        <v>4606</v>
      </c>
      <c r="E77" t="s">
        <v>4608</v>
      </c>
      <c r="F77" t="s">
        <v>4609</v>
      </c>
      <c r="H77">
        <v>0</v>
      </c>
    </row>
    <row r="78" spans="1:8" x14ac:dyDescent="0.25">
      <c r="A78" t="str">
        <f>VLOOKUP(ТабАдрес[[#This Row],[customerId]],ТабКлиенты[[#All],[_id]:[name]],2,0)</f>
        <v>Татьяна Константинова</v>
      </c>
      <c r="B78" t="s">
        <v>4730</v>
      </c>
      <c r="C78" t="s">
        <v>4647</v>
      </c>
      <c r="D78" t="s">
        <v>4569</v>
      </c>
      <c r="E78" t="s">
        <v>4570</v>
      </c>
      <c r="F78" t="s">
        <v>4571</v>
      </c>
      <c r="H78">
        <v>0</v>
      </c>
    </row>
    <row r="79" spans="1:8" x14ac:dyDescent="0.25">
      <c r="A79" t="str">
        <f>VLOOKUP(ТабАдрес[[#This Row],[customerId]],ТабКлиенты[[#All],[_id]:[name]],2,0)</f>
        <v>Татьяна Куприна 13</v>
      </c>
      <c r="B79" t="s">
        <v>4731</v>
      </c>
      <c r="C79" t="s">
        <v>4647</v>
      </c>
      <c r="D79" t="s">
        <v>4493</v>
      </c>
      <c r="E79" t="s">
        <v>3402</v>
      </c>
      <c r="F79" t="s">
        <v>3403</v>
      </c>
      <c r="H79">
        <v>0</v>
      </c>
    </row>
    <row r="80" spans="1:8" x14ac:dyDescent="0.25">
      <c r="A80" t="str">
        <f>VLOOKUP(ТабАдрес[[#This Row],[customerId]],ТабКлиенты[[#All],[_id]:[name]],2,0)</f>
        <v>Валерий Фагот</v>
      </c>
      <c r="B80" t="s">
        <v>4732</v>
      </c>
      <c r="C80" t="s">
        <v>4647</v>
      </c>
      <c r="D80" t="s">
        <v>4476</v>
      </c>
      <c r="E80" t="s">
        <v>3323</v>
      </c>
      <c r="F80" t="s">
        <v>3324</v>
      </c>
      <c r="H80">
        <v>0</v>
      </c>
    </row>
    <row r="81" spans="1:8" x14ac:dyDescent="0.25">
      <c r="A81" t="str">
        <f>VLOOKUP(ТабАдрес[[#This Row],[customerId]],ТабКлиенты[[#All],[_id]:[name]],2,0)</f>
        <v>Ольга ЖД больница</v>
      </c>
      <c r="B81" t="s">
        <v>4733</v>
      </c>
      <c r="C81" t="s">
        <v>4647</v>
      </c>
      <c r="D81" t="s">
        <v>4487</v>
      </c>
      <c r="E81" t="s">
        <v>3375</v>
      </c>
      <c r="F81" t="s">
        <v>3376</v>
      </c>
      <c r="H81">
        <v>0</v>
      </c>
    </row>
    <row r="82" spans="1:8" x14ac:dyDescent="0.25">
      <c r="A82" t="str">
        <f>VLOOKUP(ТабАдрес[[#This Row],[customerId]],ТабКлиенты[[#All],[_id]:[name]],2,0)</f>
        <v>Руденко Юля</v>
      </c>
      <c r="B82" t="s">
        <v>4734</v>
      </c>
      <c r="C82" t="s">
        <v>4735</v>
      </c>
      <c r="D82" s="197" t="s">
        <v>4433</v>
      </c>
      <c r="E82" t="s">
        <v>4736</v>
      </c>
      <c r="H82">
        <v>0</v>
      </c>
    </row>
    <row r="83" spans="1:8" x14ac:dyDescent="0.25">
      <c r="A83" t="str">
        <f>VLOOKUP(ТабАдрес[[#This Row],[customerId]],ТабКлиенты[[#All],[_id]:[name]],2,0)</f>
        <v>Руденко Юля</v>
      </c>
      <c r="B83" t="s">
        <v>4737</v>
      </c>
      <c r="C83" t="s">
        <v>4647</v>
      </c>
      <c r="D83" t="s">
        <v>4433</v>
      </c>
      <c r="E83" t="s">
        <v>3141</v>
      </c>
      <c r="F83" t="s">
        <v>3142</v>
      </c>
      <c r="H83">
        <v>0</v>
      </c>
    </row>
    <row r="84" spans="1:8" x14ac:dyDescent="0.25">
      <c r="A84" t="str">
        <f>VLOOKUP(ТабАдрес[[#This Row],[customerId]],ТабКлиенты[[#All],[_id]:[name]],2,0)</f>
        <v>Оксана 17 Цветы</v>
      </c>
      <c r="B84" t="s">
        <v>4738</v>
      </c>
      <c r="C84" t="s">
        <v>4647</v>
      </c>
      <c r="D84" t="s">
        <v>4458</v>
      </c>
      <c r="E84" t="s">
        <v>3250</v>
      </c>
      <c r="F84" t="s">
        <v>3251</v>
      </c>
      <c r="H84">
        <v>0</v>
      </c>
    </row>
    <row r="85" spans="1:8" x14ac:dyDescent="0.25">
      <c r="A85" t="str">
        <f>VLOOKUP(ТабАдрес[[#This Row],[customerId]],ТабКлиенты[[#All],[_id]:[name]],2,0)</f>
        <v>Оксана 17 Цветы</v>
      </c>
      <c r="B85" t="s">
        <v>4739</v>
      </c>
      <c r="C85" t="s">
        <v>4735</v>
      </c>
      <c r="D85" t="s">
        <v>4458</v>
      </c>
      <c r="E85" t="s">
        <v>4740</v>
      </c>
      <c r="F85" t="s">
        <v>4741</v>
      </c>
      <c r="G85" t="s">
        <v>4742</v>
      </c>
      <c r="H85">
        <v>0</v>
      </c>
    </row>
    <row r="86" spans="1:8" x14ac:dyDescent="0.25">
      <c r="A86" t="str">
        <f>VLOOKUP(ТабАдрес[[#This Row],[customerId]],ТабКлиенты[[#All],[_id]:[name]],2,0)</f>
        <v>Татьяна Индол</v>
      </c>
      <c r="B86" t="s">
        <v>4743</v>
      </c>
      <c r="C86" t="s">
        <v>4647</v>
      </c>
      <c r="D86" t="s">
        <v>4628</v>
      </c>
      <c r="E86" t="s">
        <v>4744</v>
      </c>
      <c r="H86">
        <v>0</v>
      </c>
    </row>
    <row r="87" spans="1:8" x14ac:dyDescent="0.25">
      <c r="A87" t="str">
        <f>VLOOKUP(ТабАдрес[[#This Row],[customerId]],ТабКлиенты[[#All],[_id]:[name]],2,0)</f>
        <v>Светлана Кулаки</v>
      </c>
      <c r="B87" t="s">
        <v>4745</v>
      </c>
      <c r="C87" t="s">
        <v>4647</v>
      </c>
      <c r="D87" t="s">
        <v>4468</v>
      </c>
      <c r="E87" t="s">
        <v>3292</v>
      </c>
      <c r="F87" t="s">
        <v>3293</v>
      </c>
      <c r="H87">
        <v>0</v>
      </c>
    </row>
    <row r="88" spans="1:8" x14ac:dyDescent="0.25">
      <c r="A88" t="str">
        <f>VLOOKUP(ТабАдрес[[#This Row],[customerId]],ТабКлиенты[[#All],[_id]:[name]],2,0)</f>
        <v>Светлана Кулаки</v>
      </c>
      <c r="B88" t="s">
        <v>4746</v>
      </c>
      <c r="C88" t="s">
        <v>4735</v>
      </c>
      <c r="D88" t="s">
        <v>4468</v>
      </c>
      <c r="E88" t="s">
        <v>4747</v>
      </c>
      <c r="F88" t="s">
        <v>4748</v>
      </c>
      <c r="G88" t="s">
        <v>4749</v>
      </c>
      <c r="H88">
        <v>0</v>
      </c>
    </row>
    <row r="89" spans="1:8" x14ac:dyDescent="0.25">
      <c r="A89" t="str">
        <f>VLOOKUP(ТабАдрес[[#This Row],[customerId]],ТабКлиенты[[#All],[_id]:[name]],2,0)</f>
        <v>Надежда Витамины</v>
      </c>
      <c r="B89" t="s">
        <v>4750</v>
      </c>
      <c r="C89" t="s">
        <v>4735</v>
      </c>
      <c r="D89" t="s">
        <v>4452</v>
      </c>
      <c r="E89" t="s">
        <v>4751</v>
      </c>
      <c r="F89" t="s">
        <v>4752</v>
      </c>
      <c r="G89" t="s">
        <v>4753</v>
      </c>
      <c r="H89">
        <v>0</v>
      </c>
    </row>
    <row r="90" spans="1:8" x14ac:dyDescent="0.25">
      <c r="A90" t="str">
        <f>VLOOKUP(ТабАдрес[[#This Row],[customerId]],ТабКлиенты[[#All],[_id]:[name]],2,0)</f>
        <v>Надежда Витамины</v>
      </c>
      <c r="B90" t="s">
        <v>4754</v>
      </c>
      <c r="C90" t="s">
        <v>4647</v>
      </c>
      <c r="D90" t="s">
        <v>4452</v>
      </c>
      <c r="E90" t="s">
        <v>3228</v>
      </c>
      <c r="F90" t="s">
        <v>3229</v>
      </c>
      <c r="H90">
        <v>0</v>
      </c>
    </row>
    <row r="91" spans="1:8" x14ac:dyDescent="0.25">
      <c r="A91" t="str">
        <f>VLOOKUP(ТабАдрес[[#This Row],[customerId]],ТабКлиенты[[#All],[_id]:[name]],2,0)</f>
        <v>Алена Бахчик</v>
      </c>
      <c r="B91" t="s">
        <v>4755</v>
      </c>
      <c r="C91" t="s">
        <v>4647</v>
      </c>
      <c r="D91" t="s">
        <v>4635</v>
      </c>
      <c r="E91" t="s">
        <v>4756</v>
      </c>
      <c r="F91" t="s">
        <v>4757</v>
      </c>
      <c r="G91" t="s">
        <v>4758</v>
      </c>
      <c r="H91">
        <v>0</v>
      </c>
    </row>
    <row r="92" spans="1:8" x14ac:dyDescent="0.25">
      <c r="A92" t="str">
        <f>VLOOKUP(ТабАдрес[[#This Row],[customerId]],ТабКлиенты[[#All],[_id]:[name]],2,0)</f>
        <v>Полина Цветы</v>
      </c>
      <c r="B92" t="s">
        <v>4759</v>
      </c>
      <c r="C92" t="s">
        <v>4647</v>
      </c>
      <c r="D92" t="s">
        <v>4631</v>
      </c>
      <c r="E92" t="s">
        <v>4740</v>
      </c>
      <c r="F92" t="s">
        <v>4760</v>
      </c>
      <c r="G92" t="s">
        <v>4761</v>
      </c>
      <c r="H92">
        <v>0</v>
      </c>
    </row>
    <row r="93" spans="1:8" x14ac:dyDescent="0.25">
      <c r="A93" t="str">
        <f>VLOOKUP(ТабАдрес[[#This Row],[customerId]],ТабКлиенты[[#All],[_id]:[name]],2,0)</f>
        <v>Алёна Чайка</v>
      </c>
      <c r="B93" t="s">
        <v>4765</v>
      </c>
      <c r="C93" t="s">
        <v>4647</v>
      </c>
      <c r="D93" t="s">
        <v>4639</v>
      </c>
      <c r="E93" t="s">
        <v>4766</v>
      </c>
      <c r="F93" t="s">
        <v>4767</v>
      </c>
      <c r="H93">
        <v>0</v>
      </c>
    </row>
    <row r="94" spans="1:8" x14ac:dyDescent="0.25">
      <c r="A94" t="str">
        <f>VLOOKUP(ТабАдрес[[#This Row],[customerId]],ТабКлиенты[[#All],[_id]:[name]],2,0)</f>
        <v>Наталья магазин (Удалить)</v>
      </c>
      <c r="B94" t="s">
        <v>4669</v>
      </c>
      <c r="C94" t="s">
        <v>4647</v>
      </c>
      <c r="D94" t="s">
        <v>4465</v>
      </c>
      <c r="E94" t="s">
        <v>3269</v>
      </c>
      <c r="F94" t="s">
        <v>3201</v>
      </c>
      <c r="H94">
        <v>0</v>
      </c>
    </row>
    <row r="95" spans="1:8" x14ac:dyDescent="0.25">
      <c r="A95" t="str">
        <f>VLOOKUP(ТабАдрес[[#This Row],[customerId]],ТабКлиенты[[#All],[_id]:[name]],2,0)</f>
        <v>Аня Мирный</v>
      </c>
      <c r="B95" t="s">
        <v>4665</v>
      </c>
      <c r="C95" t="s">
        <v>4647</v>
      </c>
      <c r="D95" t="s">
        <v>4459</v>
      </c>
      <c r="E95" t="s">
        <v>3254</v>
      </c>
      <c r="F95" t="s">
        <v>3255</v>
      </c>
      <c r="H95">
        <v>0</v>
      </c>
    </row>
    <row r="96" spans="1:8" x14ac:dyDescent="0.25">
      <c r="A96" t="str">
        <f>VLOOKUP(ТабАдрес[[#This Row],[customerId]],ТабКлиенты[[#All],[_id]:[name]],2,0)</f>
        <v>Аня Мирный</v>
      </c>
      <c r="B96" t="s">
        <v>4773</v>
      </c>
      <c r="C96" t="s">
        <v>4735</v>
      </c>
      <c r="D96" t="s">
        <v>4459</v>
      </c>
      <c r="E96" t="s">
        <v>4774</v>
      </c>
      <c r="F96" t="s">
        <v>4775</v>
      </c>
      <c r="G96" t="s">
        <v>4776</v>
      </c>
      <c r="H96">
        <v>0</v>
      </c>
    </row>
    <row r="97" spans="1:8" x14ac:dyDescent="0.25">
      <c r="A97" t="str">
        <f>VLOOKUP(ТабАдрес[[#This Row],[customerId]],ТабКлиенты[[#All],[_id]:[name]],2,0)</f>
        <v>Татьяна Бригантина</v>
      </c>
      <c r="B97" t="s">
        <v>4660</v>
      </c>
      <c r="C97" t="s">
        <v>4647</v>
      </c>
      <c r="D97" t="s">
        <v>4453</v>
      </c>
      <c r="E97" t="s">
        <v>3233</v>
      </c>
      <c r="F97" t="s">
        <v>3234</v>
      </c>
      <c r="H97">
        <v>0</v>
      </c>
    </row>
    <row r="98" spans="1:8" x14ac:dyDescent="0.25">
      <c r="A98" t="str">
        <f>VLOOKUP(ТабАдрес[[#This Row],[customerId]],ТабКлиенты[[#All],[_id]:[name]],2,0)</f>
        <v>Татьяна Бригантина</v>
      </c>
      <c r="B98" t="s">
        <v>4777</v>
      </c>
      <c r="C98" t="s">
        <v>4735</v>
      </c>
      <c r="D98" t="s">
        <v>4453</v>
      </c>
      <c r="E98" t="s">
        <v>4778</v>
      </c>
      <c r="F98" t="s">
        <v>4779</v>
      </c>
      <c r="G98" t="s">
        <v>4780</v>
      </c>
      <c r="H98">
        <v>0</v>
      </c>
    </row>
    <row r="99" spans="1:8" x14ac:dyDescent="0.25">
      <c r="A99" t="str">
        <f>VLOOKUP(ТабАдрес[[#This Row],[customerId]],ТабКлиенты[[#All],[_id]:[name]],2,0)</f>
        <v>Римма Омск</v>
      </c>
      <c r="B99" t="s">
        <v>4781</v>
      </c>
      <c r="C99" t="s">
        <v>4647</v>
      </c>
      <c r="D99" t="s">
        <v>4782</v>
      </c>
      <c r="E99" t="s">
        <v>4783</v>
      </c>
      <c r="F99" t="s">
        <v>4784</v>
      </c>
      <c r="G99" t="s">
        <v>4785</v>
      </c>
      <c r="H99">
        <v>0</v>
      </c>
    </row>
    <row r="100" spans="1:8" x14ac:dyDescent="0.25">
      <c r="A100" t="str">
        <f>VLOOKUP(ТабАдрес[[#This Row],[customerId]],ТабКлиенты[[#All],[_id]:[name]],2,0)</f>
        <v>Римма Омск</v>
      </c>
      <c r="B100" t="s">
        <v>4786</v>
      </c>
      <c r="C100" t="s">
        <v>4735</v>
      </c>
      <c r="D100" t="s">
        <v>4782</v>
      </c>
      <c r="E100" t="s">
        <v>4787</v>
      </c>
      <c r="F100" t="s">
        <v>4788</v>
      </c>
      <c r="H100">
        <v>0</v>
      </c>
    </row>
    <row r="101" spans="1:8" x14ac:dyDescent="0.25">
      <c r="A101" t="str">
        <f>VLOOKUP(ТабАдрес[[#This Row],[customerId]],ТабКлиенты[[#All],[_id]:[name]],2,0)</f>
        <v>Валентина Кострова</v>
      </c>
      <c r="B101" t="s">
        <v>4789</v>
      </c>
      <c r="C101" t="s">
        <v>4647</v>
      </c>
      <c r="D101" t="s">
        <v>4790</v>
      </c>
      <c r="E101" t="s">
        <v>4744</v>
      </c>
      <c r="F101" t="s">
        <v>4791</v>
      </c>
      <c r="G101" t="s">
        <v>4792</v>
      </c>
      <c r="H101">
        <v>0</v>
      </c>
    </row>
    <row r="102" spans="1:8" x14ac:dyDescent="0.25">
      <c r="A102" s="178" t="str">
        <f>VLOOKUP(ТабАдрес[[#This Row],[customerId]],ТабКлиенты[[#All],[_id]:[name]],2,0)</f>
        <v>Олег Алешин</v>
      </c>
      <c r="B102" t="s">
        <v>4793</v>
      </c>
      <c r="C102" t="s">
        <v>4647</v>
      </c>
      <c r="D102" t="s">
        <v>4794</v>
      </c>
      <c r="E102" t="s">
        <v>4795</v>
      </c>
      <c r="F102" t="s">
        <v>4796</v>
      </c>
      <c r="H102">
        <v>0</v>
      </c>
    </row>
    <row r="103" spans="1:8" x14ac:dyDescent="0.25">
      <c r="A103" s="178" t="str">
        <f>VLOOKUP(ТабАдрес[[#This Row],[customerId]],ТабКлиенты[[#All],[_id]:[name]],2,0)</f>
        <v>Олег Алешин</v>
      </c>
      <c r="B103" t="s">
        <v>4797</v>
      </c>
      <c r="C103" t="s">
        <v>4735</v>
      </c>
      <c r="D103" t="s">
        <v>4794</v>
      </c>
      <c r="E103" t="s">
        <v>4798</v>
      </c>
      <c r="F103" t="s">
        <v>4799</v>
      </c>
      <c r="H103">
        <v>0</v>
      </c>
    </row>
    <row r="104" spans="1:8" x14ac:dyDescent="0.25">
      <c r="A104" s="178" t="str">
        <f>VLOOKUP(ТабАдрес[[#This Row],[customerId]],ТабКлиенты[[#All],[_id]:[name]],2,0)</f>
        <v>Антонина Космос</v>
      </c>
      <c r="B104" t="s">
        <v>4800</v>
      </c>
      <c r="C104" t="s">
        <v>4647</v>
      </c>
      <c r="D104" t="s">
        <v>4801</v>
      </c>
      <c r="E104" t="s">
        <v>4802</v>
      </c>
      <c r="F104" t="s">
        <v>4803</v>
      </c>
      <c r="G104" t="s">
        <v>4804</v>
      </c>
      <c r="H104">
        <v>0</v>
      </c>
    </row>
    <row r="105" spans="1:8" x14ac:dyDescent="0.25">
      <c r="A105" s="178" t="str">
        <f>VLOOKUP(ТабАдрес[[#This Row],[customerId]],ТабКлиенты[[#All],[_id]:[name]],2,0)</f>
        <v>Виктория БСМП</v>
      </c>
      <c r="B105" t="s">
        <v>4693</v>
      </c>
      <c r="C105" t="s">
        <v>4647</v>
      </c>
      <c r="D105" t="s">
        <v>4467</v>
      </c>
      <c r="E105" t="s">
        <v>3288</v>
      </c>
      <c r="F105" t="s">
        <v>3289</v>
      </c>
      <c r="H105">
        <v>0</v>
      </c>
    </row>
    <row r="106" spans="1:8" x14ac:dyDescent="0.25">
      <c r="A106" s="178" t="str">
        <f>VLOOKUP(ТабАдрес[[#This Row],[customerId]],ТабКлиенты[[#All],[_id]:[name]],2,0)</f>
        <v>Светлана Звенигородская</v>
      </c>
      <c r="B106" t="s">
        <v>4805</v>
      </c>
      <c r="C106" t="s">
        <v>4647</v>
      </c>
      <c r="D106" t="s">
        <v>4806</v>
      </c>
      <c r="E106" t="s">
        <v>4807</v>
      </c>
      <c r="F106" t="s">
        <v>4808</v>
      </c>
      <c r="H106">
        <v>0</v>
      </c>
    </row>
    <row r="107" spans="1:8" x14ac:dyDescent="0.25">
      <c r="A107" s="178" t="str">
        <f>VLOOKUP(ТабАдрес[[#This Row],[customerId]],ТабКлиенты[[#All],[_id]:[name]],2,0)</f>
        <v>Юлиана Афонина</v>
      </c>
      <c r="B107" t="s">
        <v>4809</v>
      </c>
      <c r="C107" t="s">
        <v>4647</v>
      </c>
      <c r="D107" t="s">
        <v>4810</v>
      </c>
      <c r="E107" t="s">
        <v>4811</v>
      </c>
      <c r="F107" t="s">
        <v>4812</v>
      </c>
      <c r="G107" t="s">
        <v>4813</v>
      </c>
      <c r="H107">
        <v>0</v>
      </c>
    </row>
    <row r="108" spans="1:8" x14ac:dyDescent="0.25">
      <c r="A108" s="178" t="str">
        <f>VLOOKUP(ТабАдрес[[#This Row],[customerId]],ТабКлиенты[[#All],[_id]:[name]],2,0)</f>
        <v>Юлиана Афонина</v>
      </c>
      <c r="B108" t="s">
        <v>4814</v>
      </c>
      <c r="C108" t="s">
        <v>4735</v>
      </c>
      <c r="D108" t="s">
        <v>4810</v>
      </c>
      <c r="E108" t="s">
        <v>4802</v>
      </c>
      <c r="F108" t="s">
        <v>4815</v>
      </c>
      <c r="G108" t="s">
        <v>4813</v>
      </c>
      <c r="H108">
        <v>0</v>
      </c>
    </row>
    <row r="109" spans="1:8" x14ac:dyDescent="0.25">
      <c r="A109" s="178" t="str">
        <f>VLOOKUP(ТабАдрес[[#This Row],[customerId]],ТабКлиенты[[#All],[_id]:[name]],2,0)</f>
        <v>Наталья магазин</v>
      </c>
      <c r="B109" t="s">
        <v>4728</v>
      </c>
      <c r="C109" t="s">
        <v>4647</v>
      </c>
      <c r="D109" t="s">
        <v>4618</v>
      </c>
      <c r="E109" t="s">
        <v>4620</v>
      </c>
      <c r="F109" t="s">
        <v>4770</v>
      </c>
      <c r="G109" t="s">
        <v>4621</v>
      </c>
      <c r="H109">
        <v>0</v>
      </c>
    </row>
    <row r="110" spans="1:8" x14ac:dyDescent="0.25">
      <c r="A110" s="178" t="str">
        <f>VLOOKUP(ТабАдрес[[#This Row],[customerId]],ТабКлиенты[[#All],[_id]:[name]],2,0)</f>
        <v>Наталья магазин</v>
      </c>
      <c r="B110" t="s">
        <v>4772</v>
      </c>
      <c r="C110" t="s">
        <v>4735</v>
      </c>
      <c r="D110" t="s">
        <v>4618</v>
      </c>
      <c r="E110" t="s">
        <v>3269</v>
      </c>
      <c r="F110" t="s">
        <v>3201</v>
      </c>
      <c r="H110">
        <v>0</v>
      </c>
    </row>
    <row r="111" spans="1:8" x14ac:dyDescent="0.25">
      <c r="A111" s="178" t="str">
        <f>VLOOKUP(ТабАдрес[[#This Row],[customerId]],ТабКлиенты[[#All],[_id]:[name]],2,0)</f>
        <v>Виталий Тополиная, 12А</v>
      </c>
      <c r="B111" t="s">
        <v>4914</v>
      </c>
      <c r="C111" t="s">
        <v>4647</v>
      </c>
      <c r="D111" t="s">
        <v>4901</v>
      </c>
      <c r="E111" t="s">
        <v>4915</v>
      </c>
      <c r="F111" t="s">
        <v>4916</v>
      </c>
      <c r="H111">
        <v>0</v>
      </c>
    </row>
    <row r="112" spans="1:8" x14ac:dyDescent="0.25">
      <c r="A112" s="178" t="str">
        <f>VLOOKUP(ТабАдрес[[#This Row],[customerId]],ТабКлиенты[[#All],[_id]:[name]],2,0)</f>
        <v>Светлана ГАИ</v>
      </c>
      <c r="B112" t="s">
        <v>4917</v>
      </c>
      <c r="C112" t="s">
        <v>4647</v>
      </c>
      <c r="D112" t="s">
        <v>4905</v>
      </c>
      <c r="E112" t="s">
        <v>4918</v>
      </c>
      <c r="F112" t="s">
        <v>4919</v>
      </c>
      <c r="H112">
        <v>0</v>
      </c>
    </row>
    <row r="113" spans="1:8" x14ac:dyDescent="0.25">
      <c r="A113" s="178" t="str">
        <f>VLOOKUP(ТабАдрес[[#This Row],[customerId]],ТабКлиенты[[#All],[_id]:[name]],2,0)</f>
        <v>Виктория Бахчиванджи</v>
      </c>
      <c r="B113" t="s">
        <v>4920</v>
      </c>
      <c r="C113" t="s">
        <v>4647</v>
      </c>
      <c r="D113" t="s">
        <v>4910</v>
      </c>
      <c r="E113" t="s">
        <v>4921</v>
      </c>
      <c r="F113" t="s">
        <v>4922</v>
      </c>
      <c r="G113" t="s">
        <v>4923</v>
      </c>
      <c r="H113">
        <v>0</v>
      </c>
    </row>
    <row r="114" spans="1:8" x14ac:dyDescent="0.25">
      <c r="A114" s="178" t="str">
        <f>VLOOKUP(ТабАдрес[[#This Row],[customerId]],ТабКлиенты[[#All],[_id]:[name]],2,0)</f>
        <v>Лариса Западный</v>
      </c>
      <c r="B114" t="s">
        <v>4704</v>
      </c>
      <c r="C114" t="s">
        <v>4647</v>
      </c>
      <c r="D114" t="s">
        <v>4506</v>
      </c>
      <c r="E114" t="s">
        <v>3459</v>
      </c>
      <c r="F114" t="s">
        <v>3460</v>
      </c>
      <c r="H114">
        <v>0</v>
      </c>
    </row>
    <row r="115" spans="1:8" x14ac:dyDescent="0.25">
      <c r="A115" s="178" t="str">
        <f>VLOOKUP(ТабАдрес[[#This Row],[customerId]],ТабКлиенты[[#All],[_id]:[name]],2,0)</f>
        <v>Лариса Западный</v>
      </c>
      <c r="B115" t="s">
        <v>5002</v>
      </c>
      <c r="C115" t="s">
        <v>4735</v>
      </c>
      <c r="D115" t="s">
        <v>4506</v>
      </c>
      <c r="E115" t="s">
        <v>5003</v>
      </c>
      <c r="F115" t="s">
        <v>5004</v>
      </c>
      <c r="H115">
        <v>0</v>
      </c>
    </row>
    <row r="116" spans="1:8" x14ac:dyDescent="0.25">
      <c r="A116" s="178" t="str">
        <f>VLOOKUP(ТабАдрес[[#This Row],[customerId]],ТабКлиенты[[#All],[_id]:[name]],2,0)</f>
        <v>Юлия рынок на Нептуне</v>
      </c>
      <c r="B116" t="s">
        <v>5005</v>
      </c>
      <c r="C116" t="s">
        <v>4735</v>
      </c>
      <c r="D116" t="s">
        <v>4623</v>
      </c>
      <c r="E116" t="s">
        <v>5006</v>
      </c>
      <c r="F116" t="s">
        <v>5007</v>
      </c>
      <c r="H116">
        <v>0</v>
      </c>
    </row>
    <row r="117" spans="1:8" x14ac:dyDescent="0.25">
      <c r="A117" s="178" t="str">
        <f>VLOOKUP(ТабАдрес[[#This Row],[customerId]],ТабКлиенты[[#All],[_id]:[name]],2,0)</f>
        <v>Юлия рынок на Нептуне</v>
      </c>
      <c r="B117" t="s">
        <v>4729</v>
      </c>
      <c r="C117" t="s">
        <v>4647</v>
      </c>
      <c r="D117" t="s">
        <v>4623</v>
      </c>
      <c r="E117" t="s">
        <v>4625</v>
      </c>
      <c r="F117" t="s">
        <v>4626</v>
      </c>
      <c r="H117">
        <v>0</v>
      </c>
    </row>
    <row r="118" spans="1:8" x14ac:dyDescent="0.25">
      <c r="A118" s="178" t="str">
        <f>VLOOKUP(ТабАдрес[[#This Row],[customerId]],ТабКлиенты[[#All],[_id]:[name]],2,0)</f>
        <v>Светлана Драмтеатр</v>
      </c>
      <c r="B118" t="s">
        <v>5008</v>
      </c>
      <c r="C118" t="s">
        <v>4647</v>
      </c>
      <c r="D118" t="s">
        <v>4964</v>
      </c>
      <c r="E118" t="s">
        <v>5009</v>
      </c>
      <c r="F118" t="s">
        <v>5010</v>
      </c>
      <c r="H118">
        <v>0</v>
      </c>
    </row>
    <row r="119" spans="1:8" x14ac:dyDescent="0.25">
      <c r="A119" s="178" t="str">
        <f>VLOOKUP(ТабАдрес[[#This Row],[customerId]],ТабКлиенты[[#All],[_id]:[name]],2,0)</f>
        <v>Светлана Ильинична Лиходед</v>
      </c>
      <c r="B119" t="s">
        <v>5011</v>
      </c>
      <c r="C119" t="s">
        <v>4647</v>
      </c>
      <c r="D119" t="s">
        <v>4972</v>
      </c>
      <c r="E119" t="s">
        <v>3213</v>
      </c>
      <c r="F119" t="s">
        <v>5012</v>
      </c>
      <c r="H119">
        <v>0</v>
      </c>
    </row>
    <row r="120" spans="1:8" x14ac:dyDescent="0.25">
      <c r="A120" s="178" t="str">
        <f>VLOOKUP(ТабАдрес[[#This Row],[customerId]],ТабКлиенты[[#All],[_id]:[name]],2,0)</f>
        <v>Наталья Балабан</v>
      </c>
      <c r="B120" t="s">
        <v>5013</v>
      </c>
      <c r="C120" t="s">
        <v>4647</v>
      </c>
      <c r="D120" t="s">
        <v>4977</v>
      </c>
      <c r="E120" t="s">
        <v>5014</v>
      </c>
      <c r="F120" t="s">
        <v>5015</v>
      </c>
      <c r="H120">
        <v>0</v>
      </c>
    </row>
    <row r="121" spans="1:8" x14ac:dyDescent="0.25">
      <c r="A121" s="178" t="str">
        <f>VLOOKUP(ТабАдрес[[#This Row],[customerId]],ТабКлиенты[[#All],[_id]:[name]],2,0)</f>
        <v>Ольга Лавицкого, 17</v>
      </c>
      <c r="B121" t="s">
        <v>5016</v>
      </c>
      <c r="C121" t="s">
        <v>4647</v>
      </c>
      <c r="D121" t="s">
        <v>4982</v>
      </c>
      <c r="E121" t="s">
        <v>5017</v>
      </c>
      <c r="F121" t="s">
        <v>5018</v>
      </c>
      <c r="H121">
        <v>0</v>
      </c>
    </row>
    <row r="122" spans="1:8" x14ac:dyDescent="0.25">
      <c r="A122" s="178" t="str">
        <f>VLOOKUP(ТабАдрес[[#This Row],[customerId]],ТабКлиенты[[#All],[_id]:[name]],2,0)</f>
        <v>Анна Володарское шоссе</v>
      </c>
      <c r="B122" t="s">
        <v>5019</v>
      </c>
      <c r="C122" t="s">
        <v>4647</v>
      </c>
      <c r="D122" t="s">
        <v>4986</v>
      </c>
      <c r="E122" t="s">
        <v>5020</v>
      </c>
      <c r="F122" t="s">
        <v>5021</v>
      </c>
      <c r="G122" t="s">
        <v>5022</v>
      </c>
      <c r="H122">
        <v>0</v>
      </c>
    </row>
    <row r="123" spans="1:8" x14ac:dyDescent="0.25">
      <c r="A123" s="178" t="str">
        <f>VLOOKUP(ТабАдрес[[#This Row],[customerId]],ТабКлиенты[[#All],[_id]:[name]],2,0)</f>
        <v>Виктория Башня/Энгельса</v>
      </c>
      <c r="B123" t="s">
        <v>5023</v>
      </c>
      <c r="C123" t="s">
        <v>4647</v>
      </c>
      <c r="D123" t="s">
        <v>4991</v>
      </c>
      <c r="E123" t="s">
        <v>5024</v>
      </c>
      <c r="F123" t="s">
        <v>5025</v>
      </c>
      <c r="H123">
        <v>0</v>
      </c>
    </row>
    <row r="124" spans="1:8" x14ac:dyDescent="0.25">
      <c r="A124" s="178" t="str">
        <f>VLOOKUP(ТабАдрес[[#This Row],[customerId]],ТабКлиенты[[#All],[_id]:[name]],2,0)</f>
        <v>Надежда Sumbucol</v>
      </c>
      <c r="B124" t="s">
        <v>5026</v>
      </c>
      <c r="C124" t="s">
        <v>4647</v>
      </c>
      <c r="D124" t="s">
        <v>4995</v>
      </c>
      <c r="E124" t="s">
        <v>5027</v>
      </c>
      <c r="F124" t="s">
        <v>5028</v>
      </c>
      <c r="H124">
        <v>0</v>
      </c>
    </row>
    <row r="125" spans="1:8" x14ac:dyDescent="0.25">
      <c r="A125" s="178" t="str">
        <f>VLOOKUP(ТабАдрес[[#This Row],[customerId]],ТабКлиенты[[#All],[_id]:[name]],2,0)</f>
        <v>Алина стоматология Лекарь</v>
      </c>
      <c r="B125" t="s">
        <v>5117</v>
      </c>
      <c r="C125" t="s">
        <v>4647</v>
      </c>
      <c r="D125" t="s">
        <v>5090</v>
      </c>
      <c r="E125" t="s">
        <v>5118</v>
      </c>
      <c r="F125" t="s">
        <v>5119</v>
      </c>
      <c r="G125" t="s">
        <v>5120</v>
      </c>
      <c r="H125">
        <v>0</v>
      </c>
    </row>
    <row r="126" spans="1:8" x14ac:dyDescent="0.25">
      <c r="A126" s="178" t="str">
        <f>VLOOKUP(ТабАдрес[[#This Row],[customerId]],ТабКлиенты[[#All],[_id]:[name]],2,0)</f>
        <v>Татьяна от Елены б-р Шевченко</v>
      </c>
      <c r="B126" t="s">
        <v>4762</v>
      </c>
      <c r="C126" t="s">
        <v>4647</v>
      </c>
      <c r="D126" t="s">
        <v>4642</v>
      </c>
      <c r="E126" t="s">
        <v>4763</v>
      </c>
      <c r="F126" t="s">
        <v>4764</v>
      </c>
      <c r="H126">
        <v>0</v>
      </c>
    </row>
    <row r="127" spans="1:8" x14ac:dyDescent="0.25">
      <c r="A127" s="178" t="str">
        <f>VLOOKUP(ТабАдрес[[#This Row],[customerId]],ТабКлиенты[[#All],[_id]:[name]],2,0)</f>
        <v>Елена казначейство</v>
      </c>
      <c r="B127" t="s">
        <v>5121</v>
      </c>
      <c r="C127" t="s">
        <v>4647</v>
      </c>
      <c r="D127" t="s">
        <v>5095</v>
      </c>
      <c r="E127" t="s">
        <v>5122</v>
      </c>
      <c r="F127" t="s">
        <v>5123</v>
      </c>
      <c r="G127" t="s">
        <v>5124</v>
      </c>
      <c r="H127">
        <v>0</v>
      </c>
    </row>
    <row r="128" spans="1:8" x14ac:dyDescent="0.25">
      <c r="A128" s="178" t="str">
        <f>VLOOKUP(ТабАдрес[[#This Row],[customerId]],ТабКлиенты[[#All],[_id]:[name]],2,0)</f>
        <v>Лев</v>
      </c>
      <c r="B128" t="s">
        <v>5125</v>
      </c>
      <c r="C128" t="s">
        <v>4647</v>
      </c>
      <c r="D128" t="s">
        <v>5100</v>
      </c>
      <c r="E128" t="s">
        <v>5126</v>
      </c>
      <c r="F128" t="s">
        <v>5127</v>
      </c>
      <c r="H128">
        <v>0</v>
      </c>
    </row>
    <row r="129" spans="1:8" x14ac:dyDescent="0.25">
      <c r="A129" s="178" t="str">
        <f>VLOOKUP(ТабАдрес[[#This Row],[customerId]],ТабКлиенты[[#All],[_id]:[name]],2,0)</f>
        <v>Светлана от Надежды</v>
      </c>
      <c r="B129" t="s">
        <v>5128</v>
      </c>
      <c r="C129" t="s">
        <v>4647</v>
      </c>
      <c r="D129" t="s">
        <v>5104</v>
      </c>
      <c r="E129" t="s">
        <v>5129</v>
      </c>
      <c r="F129" t="s">
        <v>5130</v>
      </c>
      <c r="H129">
        <v>0</v>
      </c>
    </row>
    <row r="130" spans="1:8" x14ac:dyDescent="0.25">
      <c r="A130" s="178" t="str">
        <f>VLOOKUP(ТабАдрес[[#This Row],[customerId]],ТабКлиенты[[#All],[_id]:[name]],2,0)</f>
        <v>Алёна Шевченко, 295</v>
      </c>
      <c r="B130" t="s">
        <v>5131</v>
      </c>
      <c r="C130" t="s">
        <v>4647</v>
      </c>
      <c r="D130" t="s">
        <v>5108</v>
      </c>
      <c r="E130" t="s">
        <v>5132</v>
      </c>
      <c r="F130" t="s">
        <v>5133</v>
      </c>
      <c r="H130">
        <v>0</v>
      </c>
    </row>
    <row r="131" spans="1:8" x14ac:dyDescent="0.25">
      <c r="A131" s="178" t="str">
        <f>VLOOKUP(ТабАдрес[[#This Row],[customerId]],ТабКлиенты[[#All],[_id]:[name]],2,0)</f>
        <v>Елена Строителей, 35</v>
      </c>
      <c r="B131" t="s">
        <v>5134</v>
      </c>
      <c r="C131" t="s">
        <v>4735</v>
      </c>
      <c r="D131" t="s">
        <v>4432</v>
      </c>
      <c r="E131" t="s">
        <v>5135</v>
      </c>
      <c r="F131" t="s">
        <v>5136</v>
      </c>
      <c r="G131" t="s">
        <v>5137</v>
      </c>
      <c r="H131">
        <v>0</v>
      </c>
    </row>
    <row r="132" spans="1:8" x14ac:dyDescent="0.25">
      <c r="A132" s="178" t="str">
        <f>VLOOKUP(ТабАдрес[[#This Row],[customerId]],ТабКлиенты[[#All],[_id]:[name]],2,0)</f>
        <v>Елена Строителей, 35</v>
      </c>
      <c r="B132" t="s">
        <v>4999</v>
      </c>
      <c r="C132" t="s">
        <v>4647</v>
      </c>
      <c r="D132" t="s">
        <v>4432</v>
      </c>
      <c r="E132" t="s">
        <v>5000</v>
      </c>
      <c r="F132" t="s">
        <v>5001</v>
      </c>
      <c r="H13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CBC8-6F0C-4428-A40A-573DE9FBDF89}">
  <sheetPr codeName="Лист3">
    <pageSetUpPr fitToPage="1"/>
  </sheetPr>
  <dimension ref="A1:Q82"/>
  <sheetViews>
    <sheetView topLeftCell="A28" workbookViewId="0">
      <selection activeCell="Q9" sqref="Q9"/>
    </sheetView>
  </sheetViews>
  <sheetFormatPr defaultRowHeight="15" x14ac:dyDescent="0.25"/>
  <cols>
    <col min="12" max="14" width="9.140625" style="152"/>
  </cols>
  <sheetData>
    <row r="1" spans="1:17" x14ac:dyDescent="0.25">
      <c r="A1" s="207" t="s">
        <v>2416</v>
      </c>
      <c r="B1" s="207"/>
      <c r="C1" s="207"/>
      <c r="D1" s="207"/>
      <c r="G1" s="203" t="s">
        <v>1651</v>
      </c>
      <c r="H1" s="204"/>
      <c r="I1" s="204"/>
      <c r="J1" s="204"/>
      <c r="K1" s="148"/>
    </row>
    <row r="2" spans="1:17" x14ac:dyDescent="0.25">
      <c r="A2" s="207" t="s">
        <v>2417</v>
      </c>
      <c r="B2" s="207"/>
      <c r="C2" s="208" t="s">
        <v>2418</v>
      </c>
      <c r="D2" s="208"/>
      <c r="G2" s="205"/>
      <c r="H2" s="206"/>
      <c r="I2" s="206"/>
      <c r="J2" s="206"/>
      <c r="K2" s="148"/>
      <c r="Q2" t="s">
        <v>1701</v>
      </c>
    </row>
    <row r="3" spans="1:17" x14ac:dyDescent="0.25">
      <c r="A3" s="128" t="s">
        <v>8</v>
      </c>
      <c r="B3" s="134" t="s">
        <v>2291</v>
      </c>
      <c r="C3" s="134" t="s">
        <v>8</v>
      </c>
      <c r="D3" s="134" t="s">
        <v>2291</v>
      </c>
      <c r="G3" s="128" t="s">
        <v>2417</v>
      </c>
      <c r="H3" s="128" t="s">
        <v>2418</v>
      </c>
      <c r="I3" s="134" t="s">
        <v>2292</v>
      </c>
      <c r="J3" s="134" t="s">
        <v>2353</v>
      </c>
      <c r="K3" s="151" t="s">
        <v>2419</v>
      </c>
      <c r="Q3" t="s">
        <v>1732</v>
      </c>
    </row>
    <row r="4" spans="1:17" x14ac:dyDescent="0.25">
      <c r="A4" s="129" t="s">
        <v>2313</v>
      </c>
      <c r="B4" s="132" t="s">
        <v>2392</v>
      </c>
      <c r="C4" s="144" t="s">
        <v>2395</v>
      </c>
      <c r="D4" s="132" t="s">
        <v>2394</v>
      </c>
      <c r="G4" s="146" t="s">
        <v>2289</v>
      </c>
      <c r="H4" s="129" t="s">
        <v>2293</v>
      </c>
      <c r="I4" s="135" t="s">
        <v>2293</v>
      </c>
      <c r="J4" s="135" t="s">
        <v>2293</v>
      </c>
      <c r="K4" s="150" t="s">
        <v>2398</v>
      </c>
      <c r="L4" s="153"/>
      <c r="M4" s="149"/>
      <c r="Q4" t="s">
        <v>1611</v>
      </c>
    </row>
    <row r="5" spans="1:17" x14ac:dyDescent="0.25">
      <c r="A5" s="141" t="s">
        <v>2314</v>
      </c>
      <c r="B5" s="132" t="s">
        <v>2391</v>
      </c>
      <c r="C5" s="131" t="s">
        <v>2293</v>
      </c>
      <c r="D5" s="144" t="s">
        <v>2395</v>
      </c>
      <c r="G5" s="147" t="s">
        <v>2290</v>
      </c>
      <c r="H5" s="129" t="s">
        <v>2294</v>
      </c>
      <c r="I5" s="135" t="s">
        <v>2294</v>
      </c>
      <c r="J5" s="135" t="s">
        <v>2294</v>
      </c>
      <c r="K5" s="150" t="s">
        <v>2399</v>
      </c>
      <c r="L5" s="153"/>
      <c r="M5" s="149"/>
      <c r="Q5" t="s">
        <v>1785</v>
      </c>
    </row>
    <row r="6" spans="1:17" x14ac:dyDescent="0.25">
      <c r="A6" s="141" t="s">
        <v>2315</v>
      </c>
      <c r="B6" s="132" t="s">
        <v>2355</v>
      </c>
      <c r="C6" s="131" t="s">
        <v>2294</v>
      </c>
      <c r="D6" s="131" t="s">
        <v>2293</v>
      </c>
      <c r="G6" s="129" t="s">
        <v>2313</v>
      </c>
      <c r="H6" s="129" t="s">
        <v>2295</v>
      </c>
      <c r="I6" s="135" t="s">
        <v>2295</v>
      </c>
      <c r="J6" s="135" t="s">
        <v>2295</v>
      </c>
      <c r="K6" s="150" t="s">
        <v>2400</v>
      </c>
      <c r="L6" s="153"/>
      <c r="M6" s="149"/>
      <c r="Q6" t="s">
        <v>1614</v>
      </c>
    </row>
    <row r="7" spans="1:17" x14ac:dyDescent="0.25">
      <c r="A7" s="141" t="s">
        <v>2316</v>
      </c>
      <c r="B7" s="131" t="s">
        <v>2313</v>
      </c>
      <c r="C7" s="131" t="s">
        <v>2295</v>
      </c>
      <c r="D7" s="131" t="s">
        <v>2294</v>
      </c>
      <c r="G7" s="129" t="s">
        <v>2317</v>
      </c>
      <c r="H7" s="129" t="s">
        <v>2297</v>
      </c>
      <c r="I7" s="135" t="s">
        <v>2296</v>
      </c>
      <c r="J7" s="135" t="s">
        <v>2296</v>
      </c>
      <c r="K7" s="150" t="s">
        <v>2401</v>
      </c>
      <c r="L7" s="153"/>
      <c r="M7" s="149"/>
      <c r="Q7" t="s">
        <v>1624</v>
      </c>
    </row>
    <row r="8" spans="1:17" x14ac:dyDescent="0.25">
      <c r="A8" s="129" t="s">
        <v>2317</v>
      </c>
      <c r="B8" s="131" t="s">
        <v>2314</v>
      </c>
      <c r="C8" s="144" t="s">
        <v>2396</v>
      </c>
      <c r="D8" s="145" t="s">
        <v>2295</v>
      </c>
      <c r="G8" s="129" t="s">
        <v>2318</v>
      </c>
      <c r="H8" s="129" t="s">
        <v>2301</v>
      </c>
      <c r="I8" s="135" t="s">
        <v>2297</v>
      </c>
      <c r="J8" s="135" t="s">
        <v>2297</v>
      </c>
      <c r="K8" s="150" t="s">
        <v>2402</v>
      </c>
      <c r="L8" s="153"/>
      <c r="M8" s="149"/>
      <c r="Q8" t="s">
        <v>1612</v>
      </c>
    </row>
    <row r="9" spans="1:17" x14ac:dyDescent="0.25">
      <c r="A9" s="129" t="s">
        <v>2318</v>
      </c>
      <c r="B9" s="131" t="s">
        <v>2315</v>
      </c>
      <c r="C9" s="144" t="s">
        <v>2296</v>
      </c>
      <c r="D9" s="144" t="s">
        <v>2396</v>
      </c>
      <c r="G9" s="129" t="s">
        <v>2319</v>
      </c>
      <c r="H9" s="129" t="s">
        <v>2302</v>
      </c>
      <c r="I9" s="135" t="s">
        <v>2298</v>
      </c>
      <c r="J9" s="135" t="s">
        <v>2298</v>
      </c>
      <c r="K9" s="150" t="s">
        <v>2403</v>
      </c>
      <c r="L9" s="153"/>
      <c r="M9" s="149"/>
      <c r="Q9" t="s">
        <v>1630</v>
      </c>
    </row>
    <row r="10" spans="1:17" x14ac:dyDescent="0.25">
      <c r="A10" s="141" t="s">
        <v>2358</v>
      </c>
      <c r="B10" s="131" t="s">
        <v>2316</v>
      </c>
      <c r="C10" s="131" t="s">
        <v>2297</v>
      </c>
      <c r="D10" s="131" t="s">
        <v>2296</v>
      </c>
      <c r="G10" s="129" t="s">
        <v>2320</v>
      </c>
      <c r="H10" s="129" t="s">
        <v>2305</v>
      </c>
      <c r="I10" s="135" t="s">
        <v>2299</v>
      </c>
      <c r="J10" s="135" t="s">
        <v>2299</v>
      </c>
      <c r="K10" s="150" t="s">
        <v>2383</v>
      </c>
      <c r="L10" s="153"/>
      <c r="M10" s="149"/>
      <c r="Q10" t="s">
        <v>1275</v>
      </c>
    </row>
    <row r="11" spans="1:17" x14ac:dyDescent="0.25">
      <c r="A11" s="129" t="s">
        <v>2319</v>
      </c>
      <c r="B11" s="131" t="s">
        <v>2317</v>
      </c>
      <c r="C11" s="144" t="s">
        <v>2298</v>
      </c>
      <c r="D11" s="145" t="s">
        <v>2297</v>
      </c>
      <c r="G11" s="129" t="s">
        <v>2323</v>
      </c>
      <c r="H11" s="133" t="s">
        <v>2307</v>
      </c>
      <c r="I11" s="135" t="s">
        <v>2300</v>
      </c>
      <c r="J11" s="135" t="s">
        <v>2300</v>
      </c>
      <c r="K11" s="150" t="s">
        <v>2384</v>
      </c>
      <c r="L11" s="153"/>
      <c r="M11" s="149"/>
      <c r="Q11" t="s">
        <v>1613</v>
      </c>
    </row>
    <row r="12" spans="1:17" x14ac:dyDescent="0.25">
      <c r="A12" s="141" t="s">
        <v>2393</v>
      </c>
      <c r="B12" s="132" t="s">
        <v>2356</v>
      </c>
      <c r="C12" s="144" t="s">
        <v>2299</v>
      </c>
      <c r="D12" s="145" t="s">
        <v>2298</v>
      </c>
      <c r="G12" s="129" t="s">
        <v>2326</v>
      </c>
      <c r="H12" s="133" t="s">
        <v>2309</v>
      </c>
      <c r="I12" s="135" t="s">
        <v>2301</v>
      </c>
      <c r="J12" s="135" t="s">
        <v>2301</v>
      </c>
      <c r="K12" s="150" t="s">
        <v>2375</v>
      </c>
      <c r="L12" s="153"/>
      <c r="M12" s="149"/>
      <c r="Q12" t="s">
        <v>1631</v>
      </c>
    </row>
    <row r="13" spans="1:17" x14ac:dyDescent="0.25">
      <c r="A13" s="129" t="s">
        <v>2320</v>
      </c>
      <c r="B13" s="131" t="s">
        <v>2318</v>
      </c>
      <c r="C13" s="144" t="s">
        <v>2300</v>
      </c>
      <c r="D13" s="145" t="s">
        <v>2299</v>
      </c>
      <c r="G13" s="129" t="s">
        <v>2327</v>
      </c>
      <c r="H13" s="133" t="s">
        <v>2310</v>
      </c>
      <c r="I13" s="135" t="s">
        <v>2302</v>
      </c>
      <c r="J13" s="135" t="s">
        <v>2302</v>
      </c>
      <c r="K13" s="150" t="s">
        <v>2385</v>
      </c>
      <c r="L13" s="153"/>
      <c r="M13" s="149"/>
      <c r="Q13" t="s">
        <v>1276</v>
      </c>
    </row>
    <row r="14" spans="1:17" x14ac:dyDescent="0.25">
      <c r="A14" s="141" t="s">
        <v>2321</v>
      </c>
      <c r="B14" s="132" t="s">
        <v>2357</v>
      </c>
      <c r="C14" s="144" t="s">
        <v>2397</v>
      </c>
      <c r="D14" s="145" t="s">
        <v>2300</v>
      </c>
      <c r="G14" s="129" t="s">
        <v>2328</v>
      </c>
      <c r="H14" s="129" t="s">
        <v>2400</v>
      </c>
      <c r="I14" s="135" t="s">
        <v>2303</v>
      </c>
      <c r="J14" s="135" t="s">
        <v>2303</v>
      </c>
      <c r="K14" s="150" t="s">
        <v>2389</v>
      </c>
      <c r="L14" s="153"/>
      <c r="M14" s="149"/>
      <c r="Q14" t="s">
        <v>1264</v>
      </c>
    </row>
    <row r="15" spans="1:17" x14ac:dyDescent="0.25">
      <c r="A15" s="141" t="s">
        <v>2322</v>
      </c>
      <c r="B15" s="144" t="s">
        <v>2358</v>
      </c>
      <c r="C15" s="131" t="s">
        <v>2301</v>
      </c>
      <c r="D15" s="132" t="s">
        <v>2407</v>
      </c>
      <c r="G15" s="129" t="s">
        <v>2329</v>
      </c>
      <c r="H15" s="129" t="s">
        <v>2401</v>
      </c>
      <c r="I15" s="135" t="s">
        <v>2304</v>
      </c>
      <c r="J15" s="135" t="s">
        <v>2304</v>
      </c>
      <c r="K15" s="150" t="s">
        <v>2382</v>
      </c>
      <c r="L15" s="153"/>
      <c r="M15" s="149"/>
      <c r="Q15" t="s">
        <v>1786</v>
      </c>
    </row>
    <row r="16" spans="1:17" x14ac:dyDescent="0.25">
      <c r="A16" s="129" t="s">
        <v>2323</v>
      </c>
      <c r="B16" s="131" t="s">
        <v>2319</v>
      </c>
      <c r="C16" s="131" t="s">
        <v>2302</v>
      </c>
      <c r="D16" s="132" t="s">
        <v>2408</v>
      </c>
      <c r="G16" s="129" t="s">
        <v>2330</v>
      </c>
      <c r="H16" s="129" t="s">
        <v>2403</v>
      </c>
      <c r="I16" s="135" t="s">
        <v>2305</v>
      </c>
      <c r="J16" s="135" t="s">
        <v>2305</v>
      </c>
      <c r="K16" s="150" t="s">
        <v>2376</v>
      </c>
      <c r="L16" s="153"/>
      <c r="M16" s="149"/>
      <c r="Q16" t="s">
        <v>1266</v>
      </c>
    </row>
    <row r="17" spans="1:17" x14ac:dyDescent="0.25">
      <c r="A17" s="141" t="s">
        <v>2324</v>
      </c>
      <c r="B17" s="131" t="s">
        <v>2320</v>
      </c>
      <c r="C17" s="144" t="s">
        <v>2303</v>
      </c>
      <c r="D17" s="132" t="s">
        <v>2409</v>
      </c>
      <c r="G17" s="129" t="s">
        <v>2331</v>
      </c>
      <c r="H17" s="129"/>
      <c r="I17" s="135" t="s">
        <v>2306</v>
      </c>
      <c r="J17" s="135" t="s">
        <v>2306</v>
      </c>
      <c r="K17" s="150" t="s">
        <v>2377</v>
      </c>
      <c r="L17" s="153"/>
      <c r="M17" s="149"/>
      <c r="Q17" t="s">
        <v>1267</v>
      </c>
    </row>
    <row r="18" spans="1:17" x14ac:dyDescent="0.25">
      <c r="A18" s="141" t="s">
        <v>2325</v>
      </c>
      <c r="B18" s="131" t="s">
        <v>2321</v>
      </c>
      <c r="C18" s="144" t="s">
        <v>2304</v>
      </c>
      <c r="D18" s="144" t="s">
        <v>2397</v>
      </c>
      <c r="G18" s="129" t="s">
        <v>2332</v>
      </c>
      <c r="H18" s="129"/>
      <c r="I18" s="135" t="s">
        <v>2307</v>
      </c>
      <c r="J18" s="135" t="s">
        <v>2307</v>
      </c>
      <c r="K18" s="150" t="s">
        <v>2381</v>
      </c>
      <c r="L18" s="153"/>
      <c r="M18" s="149"/>
      <c r="Q18" t="s">
        <v>1268</v>
      </c>
    </row>
    <row r="19" spans="1:17" x14ac:dyDescent="0.25">
      <c r="A19" s="129" t="s">
        <v>2326</v>
      </c>
      <c r="B19" s="131" t="s">
        <v>2322</v>
      </c>
      <c r="C19" s="131" t="s">
        <v>2305</v>
      </c>
      <c r="D19" s="132" t="s">
        <v>2410</v>
      </c>
      <c r="G19" s="129" t="s">
        <v>2334</v>
      </c>
      <c r="H19" s="129"/>
      <c r="I19" s="135" t="s">
        <v>2308</v>
      </c>
      <c r="J19" s="135" t="s">
        <v>2308</v>
      </c>
      <c r="K19" s="150" t="s">
        <v>2388</v>
      </c>
      <c r="L19" s="153"/>
      <c r="M19" s="149"/>
      <c r="Q19" t="s">
        <v>1787</v>
      </c>
    </row>
    <row r="20" spans="1:17" x14ac:dyDescent="0.25">
      <c r="A20" s="129" t="s">
        <v>2327</v>
      </c>
      <c r="B20" s="131" t="s">
        <v>2323</v>
      </c>
      <c r="C20" s="144" t="s">
        <v>2306</v>
      </c>
      <c r="D20" s="131" t="s">
        <v>2301</v>
      </c>
      <c r="G20" s="129" t="s">
        <v>2368</v>
      </c>
      <c r="H20" s="129"/>
      <c r="I20" s="135" t="s">
        <v>2309</v>
      </c>
      <c r="J20" s="135" t="s">
        <v>2309</v>
      </c>
      <c r="K20" s="150" t="s">
        <v>2378</v>
      </c>
      <c r="L20" s="153"/>
      <c r="M20" s="149"/>
      <c r="Q20" t="s">
        <v>1788</v>
      </c>
    </row>
    <row r="21" spans="1:17" x14ac:dyDescent="0.25">
      <c r="A21" s="129" t="s">
        <v>2328</v>
      </c>
      <c r="B21" s="132" t="s">
        <v>2359</v>
      </c>
      <c r="C21" s="132" t="s">
        <v>2307</v>
      </c>
      <c r="D21" s="131" t="s">
        <v>2302</v>
      </c>
      <c r="G21" s="147" t="s">
        <v>2370</v>
      </c>
      <c r="H21" s="129"/>
      <c r="I21" s="135" t="s">
        <v>2310</v>
      </c>
      <c r="J21" s="135" t="s">
        <v>2310</v>
      </c>
      <c r="K21" s="150" t="s">
        <v>2386</v>
      </c>
      <c r="L21" s="153"/>
      <c r="M21" s="149"/>
      <c r="Q21" t="s">
        <v>1272</v>
      </c>
    </row>
    <row r="22" spans="1:17" x14ac:dyDescent="0.25">
      <c r="A22" s="129" t="s">
        <v>2329</v>
      </c>
      <c r="B22" s="131" t="s">
        <v>2324</v>
      </c>
      <c r="C22" s="144" t="s">
        <v>2308</v>
      </c>
      <c r="D22" s="132" t="s">
        <v>2411</v>
      </c>
      <c r="G22" s="129" t="s">
        <v>2341</v>
      </c>
      <c r="H22" s="129"/>
      <c r="I22" s="135" t="s">
        <v>2311</v>
      </c>
      <c r="J22" s="135" t="s">
        <v>2311</v>
      </c>
      <c r="K22" s="150" t="s">
        <v>2379</v>
      </c>
      <c r="L22" s="153"/>
      <c r="M22" s="149"/>
      <c r="Q22" t="s">
        <v>1277</v>
      </c>
    </row>
    <row r="23" spans="1:17" x14ac:dyDescent="0.25">
      <c r="A23" s="129" t="s">
        <v>2330</v>
      </c>
      <c r="B23" s="131" t="s">
        <v>2325</v>
      </c>
      <c r="C23" s="132" t="s">
        <v>2309</v>
      </c>
      <c r="D23" s="131" t="s">
        <v>2303</v>
      </c>
      <c r="G23" s="147" t="s">
        <v>2342</v>
      </c>
      <c r="H23" s="129"/>
      <c r="I23" s="135" t="s">
        <v>2312</v>
      </c>
      <c r="J23" s="135" t="s">
        <v>2312</v>
      </c>
      <c r="K23" s="150" t="s">
        <v>2370</v>
      </c>
      <c r="L23" s="153"/>
      <c r="M23" s="149"/>
      <c r="Q23" t="s">
        <v>1791</v>
      </c>
    </row>
    <row r="24" spans="1:17" x14ac:dyDescent="0.25">
      <c r="A24" s="129" t="s">
        <v>2331</v>
      </c>
      <c r="B24" s="132" t="s">
        <v>2360</v>
      </c>
      <c r="C24" s="132" t="s">
        <v>2310</v>
      </c>
      <c r="D24" s="131" t="s">
        <v>2304</v>
      </c>
      <c r="G24" s="133" t="s">
        <v>2343</v>
      </c>
      <c r="H24" s="129"/>
      <c r="I24" s="135" t="s">
        <v>2313</v>
      </c>
      <c r="J24" s="135" t="s">
        <v>2313</v>
      </c>
      <c r="K24" s="150" t="s">
        <v>2420</v>
      </c>
      <c r="L24" s="153"/>
      <c r="M24" s="149"/>
      <c r="Q24" t="s">
        <v>1279</v>
      </c>
    </row>
    <row r="25" spans="1:17" x14ac:dyDescent="0.25">
      <c r="A25" s="129" t="s">
        <v>2332</v>
      </c>
      <c r="B25" s="131" t="s">
        <v>2326</v>
      </c>
      <c r="C25" s="132" t="s">
        <v>2311</v>
      </c>
      <c r="D25" s="131" t="s">
        <v>2305</v>
      </c>
      <c r="G25" s="147" t="s">
        <v>2346</v>
      </c>
      <c r="H25" s="129"/>
      <c r="I25" s="135" t="s">
        <v>2314</v>
      </c>
      <c r="J25" s="135" t="s">
        <v>2314</v>
      </c>
      <c r="K25" s="150" t="s">
        <v>2421</v>
      </c>
      <c r="L25" s="153"/>
      <c r="M25" s="149"/>
      <c r="Q25" t="s">
        <v>1280</v>
      </c>
    </row>
    <row r="26" spans="1:17" x14ac:dyDescent="0.25">
      <c r="A26" s="141" t="s">
        <v>2333</v>
      </c>
      <c r="B26" s="131" t="s">
        <v>2327</v>
      </c>
      <c r="C26" s="144" t="s">
        <v>2312</v>
      </c>
      <c r="D26" s="132" t="s">
        <v>2412</v>
      </c>
      <c r="G26" s="147" t="s">
        <v>2347</v>
      </c>
      <c r="H26" s="129"/>
      <c r="I26" s="135" t="s">
        <v>2315</v>
      </c>
      <c r="J26" s="135" t="s">
        <v>2315</v>
      </c>
      <c r="K26" s="150"/>
      <c r="Q26" t="s">
        <v>1792</v>
      </c>
    </row>
    <row r="27" spans="1:17" x14ac:dyDescent="0.25">
      <c r="A27" s="141" t="s">
        <v>2366</v>
      </c>
      <c r="B27" s="131" t="s">
        <v>2328</v>
      </c>
      <c r="C27" s="145" t="s">
        <v>2398</v>
      </c>
      <c r="D27" s="132" t="s">
        <v>2413</v>
      </c>
      <c r="G27" s="133" t="s">
        <v>2349</v>
      </c>
      <c r="H27" s="129"/>
      <c r="I27" s="135" t="s">
        <v>2316</v>
      </c>
      <c r="J27" s="135" t="s">
        <v>2316</v>
      </c>
      <c r="K27" s="150"/>
      <c r="Q27" t="s">
        <v>1281</v>
      </c>
    </row>
    <row r="28" spans="1:17" x14ac:dyDescent="0.25">
      <c r="A28" s="129" t="s">
        <v>2334</v>
      </c>
      <c r="B28" s="131" t="s">
        <v>2329</v>
      </c>
      <c r="C28" s="145" t="s">
        <v>2399</v>
      </c>
      <c r="D28" s="132" t="s">
        <v>2414</v>
      </c>
      <c r="G28" s="147" t="s">
        <v>2350</v>
      </c>
      <c r="H28" s="129"/>
      <c r="I28" s="135" t="s">
        <v>2317</v>
      </c>
      <c r="J28" s="135" t="s">
        <v>2317</v>
      </c>
      <c r="K28" s="150"/>
      <c r="Q28" t="s">
        <v>1793</v>
      </c>
    </row>
    <row r="29" spans="1:17" x14ac:dyDescent="0.25">
      <c r="A29" s="141" t="s">
        <v>2367</v>
      </c>
      <c r="B29" s="132" t="s">
        <v>2361</v>
      </c>
      <c r="C29" s="131" t="s">
        <v>2400</v>
      </c>
      <c r="D29" s="132" t="s">
        <v>2415</v>
      </c>
      <c r="G29" s="129" t="s">
        <v>2352</v>
      </c>
      <c r="H29" s="129"/>
      <c r="I29" s="135" t="s">
        <v>2318</v>
      </c>
      <c r="J29" s="135" t="s">
        <v>2318</v>
      </c>
      <c r="K29" s="150"/>
      <c r="Q29" t="s">
        <v>1622</v>
      </c>
    </row>
    <row r="30" spans="1:17" x14ac:dyDescent="0.25">
      <c r="A30" s="141" t="s">
        <v>2335</v>
      </c>
      <c r="B30" s="132" t="s">
        <v>2362</v>
      </c>
      <c r="C30" s="131" t="s">
        <v>2401</v>
      </c>
      <c r="D30" s="131" t="s">
        <v>2306</v>
      </c>
      <c r="G30" s="129" t="s">
        <v>2375</v>
      </c>
      <c r="H30" s="129"/>
      <c r="I30" s="135" t="s">
        <v>2319</v>
      </c>
      <c r="J30" s="135" t="s">
        <v>2319</v>
      </c>
      <c r="K30" s="150"/>
      <c r="Q30" t="s">
        <v>1794</v>
      </c>
    </row>
    <row r="31" spans="1:17" x14ac:dyDescent="0.25">
      <c r="A31" s="129" t="s">
        <v>2368</v>
      </c>
      <c r="B31" s="131" t="s">
        <v>2330</v>
      </c>
      <c r="C31" s="145" t="s">
        <v>2402</v>
      </c>
      <c r="D31" s="131" t="s">
        <v>2307</v>
      </c>
      <c r="G31" s="129" t="s">
        <v>2377</v>
      </c>
      <c r="H31" s="129"/>
      <c r="I31" s="135" t="s">
        <v>2320</v>
      </c>
      <c r="J31" s="135" t="s">
        <v>2320</v>
      </c>
      <c r="K31" s="150"/>
      <c r="Q31" t="s">
        <v>1629</v>
      </c>
    </row>
    <row r="32" spans="1:17" x14ac:dyDescent="0.25">
      <c r="A32" s="133" t="s">
        <v>2371</v>
      </c>
      <c r="B32" s="132" t="s">
        <v>2363</v>
      </c>
      <c r="C32" s="131" t="s">
        <v>2403</v>
      </c>
      <c r="D32" s="131" t="s">
        <v>2308</v>
      </c>
      <c r="G32" s="129" t="s">
        <v>2378</v>
      </c>
      <c r="H32" s="129"/>
      <c r="I32" s="135" t="s">
        <v>2321</v>
      </c>
      <c r="J32" s="135" t="s">
        <v>2321</v>
      </c>
      <c r="K32" s="150"/>
      <c r="Q32" t="s">
        <v>1615</v>
      </c>
    </row>
    <row r="33" spans="1:17" x14ac:dyDescent="0.25">
      <c r="A33" s="141" t="s">
        <v>2339</v>
      </c>
      <c r="B33" s="131" t="s">
        <v>2331</v>
      </c>
      <c r="C33" s="144" t="s">
        <v>2404</v>
      </c>
      <c r="D33" s="131" t="s">
        <v>2309</v>
      </c>
      <c r="G33" s="129" t="s">
        <v>2380</v>
      </c>
      <c r="H33" s="129"/>
      <c r="I33" s="135" t="s">
        <v>2322</v>
      </c>
      <c r="J33" s="135" t="s">
        <v>2322</v>
      </c>
      <c r="K33" s="150"/>
      <c r="Q33" t="s">
        <v>1274</v>
      </c>
    </row>
    <row r="34" spans="1:17" x14ac:dyDescent="0.25">
      <c r="A34" s="129" t="s">
        <v>2341</v>
      </c>
      <c r="B34" s="131" t="s">
        <v>2332</v>
      </c>
      <c r="C34" s="131"/>
      <c r="D34" s="131" t="s">
        <v>2310</v>
      </c>
      <c r="G34" s="129" t="s">
        <v>2382</v>
      </c>
      <c r="H34" s="129"/>
      <c r="I34" s="135" t="s">
        <v>2323</v>
      </c>
      <c r="J34" s="135" t="s">
        <v>2323</v>
      </c>
      <c r="K34" s="150"/>
      <c r="Q34" t="s">
        <v>1625</v>
      </c>
    </row>
    <row r="35" spans="1:17" x14ac:dyDescent="0.25">
      <c r="A35" s="133" t="s">
        <v>2343</v>
      </c>
      <c r="B35" s="132" t="s">
        <v>2364</v>
      </c>
      <c r="C35" s="131"/>
      <c r="D35" s="131" t="s">
        <v>2311</v>
      </c>
      <c r="G35" s="129" t="s">
        <v>2383</v>
      </c>
      <c r="H35" s="129"/>
      <c r="I35" s="135" t="s">
        <v>2324</v>
      </c>
      <c r="J35" s="135" t="s">
        <v>2324</v>
      </c>
      <c r="K35" s="150"/>
      <c r="Q35" t="s">
        <v>1731</v>
      </c>
    </row>
    <row r="36" spans="1:17" x14ac:dyDescent="0.25">
      <c r="A36" s="141" t="s">
        <v>2348</v>
      </c>
      <c r="B36" s="131" t="s">
        <v>2333</v>
      </c>
      <c r="C36" s="131"/>
      <c r="D36" s="131" t="s">
        <v>2312</v>
      </c>
      <c r="G36" s="129" t="s">
        <v>2384</v>
      </c>
      <c r="H36" s="129"/>
      <c r="I36" s="135" t="s">
        <v>2325</v>
      </c>
      <c r="J36" s="135" t="s">
        <v>2325</v>
      </c>
      <c r="K36" s="150"/>
      <c r="Q36" t="s">
        <v>1270</v>
      </c>
    </row>
    <row r="37" spans="1:17" x14ac:dyDescent="0.25">
      <c r="A37" s="133" t="s">
        <v>2349</v>
      </c>
      <c r="B37" s="132" t="s">
        <v>2365</v>
      </c>
      <c r="C37" s="131"/>
      <c r="D37" s="145" t="s">
        <v>2398</v>
      </c>
      <c r="G37" s="129" t="s">
        <v>2385</v>
      </c>
      <c r="H37" s="129"/>
      <c r="I37" s="135" t="s">
        <v>2326</v>
      </c>
      <c r="J37" s="135" t="s">
        <v>2326</v>
      </c>
      <c r="K37" s="150"/>
      <c r="Q37" t="s">
        <v>1271</v>
      </c>
    </row>
    <row r="38" spans="1:17" x14ac:dyDescent="0.25">
      <c r="A38" s="121" t="s">
        <v>2351</v>
      </c>
      <c r="B38" s="144" t="s">
        <v>2366</v>
      </c>
      <c r="C38" s="131"/>
      <c r="D38" s="145" t="s">
        <v>2399</v>
      </c>
      <c r="G38" s="129" t="s">
        <v>2388</v>
      </c>
      <c r="H38" s="129"/>
      <c r="I38" s="135" t="s">
        <v>2327</v>
      </c>
      <c r="J38" s="135" t="s">
        <v>2327</v>
      </c>
      <c r="K38" s="150"/>
      <c r="Q38" t="s">
        <v>1278</v>
      </c>
    </row>
    <row r="39" spans="1:17" x14ac:dyDescent="0.25">
      <c r="A39" s="142" t="s">
        <v>2352</v>
      </c>
      <c r="B39" s="131" t="s">
        <v>2334</v>
      </c>
      <c r="C39" s="131"/>
      <c r="D39" s="145" t="s">
        <v>2400</v>
      </c>
      <c r="G39" s="129" t="s">
        <v>2389</v>
      </c>
      <c r="H39" s="129"/>
      <c r="I39" s="135" t="s">
        <v>2328</v>
      </c>
      <c r="J39" s="135" t="s">
        <v>2328</v>
      </c>
      <c r="K39" s="150"/>
      <c r="Q39" t="s">
        <v>1621</v>
      </c>
    </row>
    <row r="40" spans="1:17" x14ac:dyDescent="0.25">
      <c r="A40" s="129" t="s">
        <v>2375</v>
      </c>
      <c r="B40" s="144" t="s">
        <v>2367</v>
      </c>
      <c r="C40" s="131"/>
      <c r="D40" s="145" t="s">
        <v>2401</v>
      </c>
      <c r="G40" s="129"/>
      <c r="H40" s="129"/>
      <c r="I40" s="135" t="s">
        <v>2329</v>
      </c>
      <c r="J40" s="135" t="s">
        <v>2329</v>
      </c>
      <c r="K40" s="150"/>
      <c r="Q40" t="s">
        <v>1766</v>
      </c>
    </row>
    <row r="41" spans="1:17" x14ac:dyDescent="0.25">
      <c r="A41" s="141" t="s">
        <v>2376</v>
      </c>
      <c r="B41" s="131" t="s">
        <v>2335</v>
      </c>
      <c r="C41" s="131"/>
      <c r="D41" s="145" t="s">
        <v>2402</v>
      </c>
      <c r="G41" s="129"/>
      <c r="H41" s="129"/>
      <c r="I41" s="135" t="s">
        <v>2330</v>
      </c>
      <c r="J41" s="135" t="s">
        <v>2330</v>
      </c>
      <c r="K41" s="150"/>
      <c r="Q41" t="s">
        <v>1767</v>
      </c>
    </row>
    <row r="42" spans="1:17" x14ac:dyDescent="0.25">
      <c r="A42" s="129" t="s">
        <v>2377</v>
      </c>
      <c r="B42" s="132" t="s">
        <v>2336</v>
      </c>
      <c r="C42" s="131"/>
      <c r="D42" s="145" t="s">
        <v>2403</v>
      </c>
      <c r="G42" s="129"/>
      <c r="H42" s="129"/>
      <c r="I42" s="135" t="s">
        <v>2331</v>
      </c>
      <c r="J42" s="135" t="s">
        <v>2331</v>
      </c>
      <c r="K42" s="150"/>
      <c r="Q42" t="s">
        <v>1616</v>
      </c>
    </row>
    <row r="43" spans="1:17" x14ac:dyDescent="0.25">
      <c r="A43" s="129" t="s">
        <v>2378</v>
      </c>
      <c r="B43" s="144" t="s">
        <v>2368</v>
      </c>
      <c r="C43" s="131"/>
      <c r="D43" s="132" t="s">
        <v>2405</v>
      </c>
      <c r="G43" s="129"/>
      <c r="H43" s="129"/>
      <c r="I43" s="135" t="s">
        <v>2332</v>
      </c>
      <c r="J43" s="135" t="s">
        <v>2332</v>
      </c>
      <c r="K43" s="150"/>
      <c r="Q43" t="s">
        <v>1795</v>
      </c>
    </row>
    <row r="44" spans="1:17" x14ac:dyDescent="0.25">
      <c r="A44" s="141" t="s">
        <v>2379</v>
      </c>
      <c r="B44" s="132" t="s">
        <v>2337</v>
      </c>
      <c r="C44" s="131"/>
      <c r="D44" s="132" t="s">
        <v>2406</v>
      </c>
      <c r="G44" s="129"/>
      <c r="H44" s="129"/>
      <c r="I44" s="136" t="s">
        <v>2333</v>
      </c>
      <c r="J44" s="135" t="s">
        <v>2333</v>
      </c>
      <c r="K44" s="150"/>
      <c r="Q44" t="s">
        <v>1265</v>
      </c>
    </row>
    <row r="45" spans="1:17" x14ac:dyDescent="0.25">
      <c r="A45" s="143" t="s">
        <v>2380</v>
      </c>
      <c r="B45" s="132" t="s">
        <v>2369</v>
      </c>
      <c r="C45" s="131"/>
      <c r="D45" s="131"/>
      <c r="G45" s="129"/>
      <c r="H45" s="129"/>
      <c r="I45" s="136" t="s">
        <v>2334</v>
      </c>
      <c r="J45" s="135" t="s">
        <v>2334</v>
      </c>
      <c r="K45" s="150"/>
      <c r="Q45" t="s">
        <v>1623</v>
      </c>
    </row>
    <row r="46" spans="1:17" x14ac:dyDescent="0.25">
      <c r="A46" s="141" t="s">
        <v>2381</v>
      </c>
      <c r="B46" s="132" t="s">
        <v>2370</v>
      </c>
      <c r="C46" s="131"/>
      <c r="D46" s="131"/>
      <c r="G46" s="129"/>
      <c r="H46" s="129"/>
      <c r="I46" s="136" t="s">
        <v>2335</v>
      </c>
      <c r="J46" s="135" t="s">
        <v>2335</v>
      </c>
      <c r="K46" s="150"/>
      <c r="Q46" t="s">
        <v>1626</v>
      </c>
    </row>
    <row r="47" spans="1:17" x14ac:dyDescent="0.25">
      <c r="A47" s="129" t="s">
        <v>2382</v>
      </c>
      <c r="B47" s="144" t="s">
        <v>2371</v>
      </c>
      <c r="C47" s="131"/>
      <c r="D47" s="131"/>
      <c r="G47" s="129"/>
      <c r="H47" s="129"/>
      <c r="I47" s="139" t="s">
        <v>2336</v>
      </c>
      <c r="J47" s="138" t="s">
        <v>2336</v>
      </c>
      <c r="K47" s="150"/>
      <c r="Q47" t="s">
        <v>2269</v>
      </c>
    </row>
    <row r="48" spans="1:17" x14ac:dyDescent="0.25">
      <c r="A48" s="129" t="s">
        <v>2383</v>
      </c>
      <c r="B48" s="132" t="s">
        <v>2338</v>
      </c>
      <c r="C48" s="131"/>
      <c r="D48" s="131"/>
      <c r="G48" s="129"/>
      <c r="H48" s="129"/>
      <c r="I48" s="139" t="s">
        <v>2337</v>
      </c>
      <c r="J48" s="138" t="s">
        <v>2337</v>
      </c>
      <c r="K48" s="150"/>
      <c r="Q48" t="s">
        <v>2271</v>
      </c>
    </row>
    <row r="49" spans="1:17" x14ac:dyDescent="0.25">
      <c r="A49" s="129" t="s">
        <v>2384</v>
      </c>
      <c r="B49" s="132" t="s">
        <v>2354</v>
      </c>
      <c r="C49" s="131"/>
      <c r="D49" s="131"/>
      <c r="G49" s="129"/>
      <c r="H49" s="129"/>
      <c r="I49" s="139" t="s">
        <v>2338</v>
      </c>
      <c r="J49" s="138" t="s">
        <v>2354</v>
      </c>
      <c r="K49" s="150"/>
      <c r="Q49" t="s">
        <v>2272</v>
      </c>
    </row>
    <row r="50" spans="1:17" x14ac:dyDescent="0.25">
      <c r="A50" s="129" t="s">
        <v>2385</v>
      </c>
      <c r="B50" s="131" t="s">
        <v>2339</v>
      </c>
      <c r="C50" s="131"/>
      <c r="D50" s="131"/>
      <c r="G50" s="129"/>
      <c r="H50" s="129"/>
      <c r="I50" s="136" t="s">
        <v>2339</v>
      </c>
      <c r="J50" s="135" t="s">
        <v>2339</v>
      </c>
      <c r="K50" s="150"/>
      <c r="Q50" t="s">
        <v>2252</v>
      </c>
    </row>
    <row r="51" spans="1:17" x14ac:dyDescent="0.25">
      <c r="A51" s="141" t="s">
        <v>2386</v>
      </c>
      <c r="B51" s="132" t="s">
        <v>2372</v>
      </c>
      <c r="C51" s="131"/>
      <c r="D51" s="131"/>
      <c r="G51" s="129"/>
      <c r="H51" s="129"/>
      <c r="I51" s="139" t="s">
        <v>2340</v>
      </c>
      <c r="J51" s="138" t="s">
        <v>2340</v>
      </c>
      <c r="K51" s="150"/>
      <c r="Q51" t="s">
        <v>2513</v>
      </c>
    </row>
    <row r="52" spans="1:17" x14ac:dyDescent="0.25">
      <c r="A52" s="141" t="s">
        <v>2387</v>
      </c>
      <c r="B52" s="132" t="s">
        <v>2340</v>
      </c>
      <c r="C52" s="131"/>
      <c r="D52" s="131"/>
      <c r="G52" s="129"/>
      <c r="H52" s="129"/>
      <c r="I52" s="136" t="s">
        <v>2341</v>
      </c>
      <c r="J52" s="135" t="s">
        <v>2341</v>
      </c>
      <c r="K52" s="150"/>
      <c r="Q52" t="s">
        <v>2515</v>
      </c>
    </row>
    <row r="53" spans="1:17" x14ac:dyDescent="0.25">
      <c r="A53" s="129" t="s">
        <v>2388</v>
      </c>
      <c r="B53" s="132" t="s">
        <v>2373</v>
      </c>
      <c r="C53" s="131"/>
      <c r="D53" s="131"/>
      <c r="G53" s="129"/>
      <c r="H53" s="129"/>
      <c r="I53" s="137" t="s">
        <v>2342</v>
      </c>
      <c r="J53" s="138" t="s">
        <v>2342</v>
      </c>
      <c r="K53" s="150"/>
      <c r="Q53" t="s">
        <v>2516</v>
      </c>
    </row>
    <row r="54" spans="1:17" x14ac:dyDescent="0.25">
      <c r="A54" s="129" t="s">
        <v>2389</v>
      </c>
      <c r="B54" s="132" t="s">
        <v>2374</v>
      </c>
      <c r="C54" s="131"/>
      <c r="D54" s="131"/>
      <c r="G54" s="129"/>
      <c r="H54" s="129"/>
      <c r="I54" s="135" t="s">
        <v>2343</v>
      </c>
      <c r="J54" s="135" t="s">
        <v>2343</v>
      </c>
      <c r="K54" s="150"/>
      <c r="Q54" t="s">
        <v>2517</v>
      </c>
    </row>
    <row r="55" spans="1:17" x14ac:dyDescent="0.25">
      <c r="A55" s="141" t="s">
        <v>2390</v>
      </c>
      <c r="B55" s="131" t="s">
        <v>2341</v>
      </c>
      <c r="C55" s="131"/>
      <c r="D55" s="131"/>
      <c r="G55" s="129"/>
      <c r="H55" s="129"/>
      <c r="I55" s="140" t="s">
        <v>2344</v>
      </c>
      <c r="J55" s="138" t="s">
        <v>2344</v>
      </c>
      <c r="K55" s="150"/>
      <c r="Q55" t="s">
        <v>2255</v>
      </c>
    </row>
    <row r="56" spans="1:17" x14ac:dyDescent="0.25">
      <c r="A56" s="129"/>
      <c r="B56" s="132" t="s">
        <v>2342</v>
      </c>
      <c r="C56" s="131"/>
      <c r="D56" s="131"/>
      <c r="G56" s="129"/>
      <c r="H56" s="129"/>
      <c r="I56" s="140" t="s">
        <v>2345</v>
      </c>
      <c r="J56" s="138" t="s">
        <v>2345</v>
      </c>
      <c r="K56" s="150"/>
      <c r="Q56" t="s">
        <v>2256</v>
      </c>
    </row>
    <row r="57" spans="1:17" x14ac:dyDescent="0.25">
      <c r="A57" s="129"/>
      <c r="B57" s="131" t="s">
        <v>2343</v>
      </c>
      <c r="C57" s="131"/>
      <c r="D57" s="131"/>
      <c r="G57" s="129"/>
      <c r="H57" s="129"/>
      <c r="I57" s="138" t="s">
        <v>2346</v>
      </c>
      <c r="J57" s="138" t="s">
        <v>2346</v>
      </c>
      <c r="K57" s="150"/>
      <c r="Q57" t="s">
        <v>2253</v>
      </c>
    </row>
    <row r="58" spans="1:17" x14ac:dyDescent="0.25">
      <c r="A58" s="129"/>
      <c r="B58" s="132" t="s">
        <v>2344</v>
      </c>
      <c r="C58" s="131"/>
      <c r="D58" s="131"/>
      <c r="G58" s="129"/>
      <c r="H58" s="129"/>
      <c r="I58" s="138" t="s">
        <v>2347</v>
      </c>
      <c r="J58" s="138" t="s">
        <v>2347</v>
      </c>
      <c r="K58" s="150"/>
      <c r="Q58" t="s">
        <v>2254</v>
      </c>
    </row>
    <row r="59" spans="1:17" x14ac:dyDescent="0.25">
      <c r="A59" s="129"/>
      <c r="B59" s="132" t="s">
        <v>2345</v>
      </c>
      <c r="C59" s="131"/>
      <c r="D59" s="131"/>
      <c r="G59" s="129"/>
      <c r="H59" s="129"/>
      <c r="I59" s="135" t="s">
        <v>2348</v>
      </c>
      <c r="J59" s="135" t="s">
        <v>2348</v>
      </c>
      <c r="K59" s="150"/>
      <c r="Q59" t="s">
        <v>2514</v>
      </c>
    </row>
    <row r="60" spans="1:17" x14ac:dyDescent="0.25">
      <c r="A60" s="129"/>
      <c r="B60" s="132" t="s">
        <v>2346</v>
      </c>
      <c r="C60" s="131"/>
      <c r="D60" s="131"/>
      <c r="G60" s="129"/>
      <c r="H60" s="129"/>
      <c r="I60" s="135" t="s">
        <v>2349</v>
      </c>
      <c r="J60" s="135" t="s">
        <v>2349</v>
      </c>
      <c r="K60" s="150"/>
      <c r="Q60" t="s">
        <v>2273</v>
      </c>
    </row>
    <row r="61" spans="1:17" x14ac:dyDescent="0.25">
      <c r="A61" s="129"/>
      <c r="B61" s="132" t="s">
        <v>2347</v>
      </c>
      <c r="C61" s="131"/>
      <c r="D61" s="131"/>
      <c r="G61" s="129"/>
      <c r="H61" s="129"/>
      <c r="I61" s="138" t="s">
        <v>2350</v>
      </c>
      <c r="J61" s="138" t="s">
        <v>2350</v>
      </c>
      <c r="K61" s="150"/>
      <c r="Q61" t="s">
        <v>2275</v>
      </c>
    </row>
    <row r="62" spans="1:17" x14ac:dyDescent="0.25">
      <c r="A62" s="129"/>
      <c r="B62" s="131" t="s">
        <v>2348</v>
      </c>
      <c r="C62" s="131"/>
      <c r="D62" s="131"/>
      <c r="G62" s="129"/>
      <c r="H62" s="129"/>
      <c r="I62" s="135" t="s">
        <v>2351</v>
      </c>
      <c r="J62" s="135" t="s">
        <v>2351</v>
      </c>
      <c r="K62" s="150"/>
      <c r="Q62" t="s">
        <v>2518</v>
      </c>
    </row>
    <row r="63" spans="1:17" x14ac:dyDescent="0.25">
      <c r="A63" s="129"/>
      <c r="B63" s="131" t="s">
        <v>2349</v>
      </c>
      <c r="C63" s="131"/>
      <c r="D63" s="131"/>
      <c r="G63" s="129"/>
      <c r="H63" s="129"/>
      <c r="I63" s="135" t="s">
        <v>2352</v>
      </c>
      <c r="J63" s="135" t="s">
        <v>2352</v>
      </c>
      <c r="K63" s="150"/>
      <c r="Q63" t="s">
        <v>2274</v>
      </c>
    </row>
    <row r="64" spans="1:17" x14ac:dyDescent="0.25">
      <c r="A64" s="129"/>
      <c r="B64" s="132" t="s">
        <v>2350</v>
      </c>
      <c r="C64" s="131"/>
      <c r="D64" s="131"/>
      <c r="I64" s="130"/>
      <c r="J64" s="130"/>
      <c r="K64" s="130"/>
      <c r="Q64" t="s">
        <v>2257</v>
      </c>
    </row>
    <row r="65" spans="1:17" x14ac:dyDescent="0.25">
      <c r="A65" s="129"/>
      <c r="B65" s="131" t="s">
        <v>2351</v>
      </c>
      <c r="C65" s="131"/>
      <c r="D65" s="131"/>
      <c r="I65" s="130"/>
      <c r="J65" s="130"/>
      <c r="K65" s="130"/>
      <c r="Q65" t="s">
        <v>2258</v>
      </c>
    </row>
    <row r="66" spans="1:17" x14ac:dyDescent="0.25">
      <c r="A66" s="129"/>
      <c r="B66" s="131" t="s">
        <v>2352</v>
      </c>
      <c r="C66" s="131"/>
      <c r="D66" s="131"/>
      <c r="I66" s="130"/>
      <c r="J66" s="130"/>
      <c r="K66" s="130"/>
    </row>
    <row r="67" spans="1:17" x14ac:dyDescent="0.25">
      <c r="A67" s="129"/>
      <c r="B67" s="145" t="s">
        <v>2375</v>
      </c>
      <c r="C67" s="131"/>
      <c r="D67" s="131"/>
      <c r="I67" s="130"/>
      <c r="J67" s="130"/>
      <c r="K67" s="130"/>
    </row>
    <row r="68" spans="1:17" x14ac:dyDescent="0.25">
      <c r="A68" s="129"/>
      <c r="B68" s="145" t="s">
        <v>2376</v>
      </c>
      <c r="C68" s="131"/>
      <c r="D68" s="131"/>
      <c r="I68" s="130"/>
      <c r="J68" s="130"/>
      <c r="K68" s="130"/>
    </row>
    <row r="69" spans="1:17" x14ac:dyDescent="0.25">
      <c r="A69" s="129"/>
      <c r="B69" s="145" t="s">
        <v>2377</v>
      </c>
      <c r="C69" s="131"/>
      <c r="D69" s="131"/>
      <c r="I69" s="130"/>
      <c r="J69" s="130"/>
      <c r="K69" s="130"/>
    </row>
    <row r="70" spans="1:17" x14ac:dyDescent="0.25">
      <c r="A70" s="129"/>
      <c r="B70" s="145" t="s">
        <v>2378</v>
      </c>
      <c r="C70" s="131"/>
      <c r="D70" s="131"/>
      <c r="I70" s="130"/>
      <c r="J70" s="130"/>
      <c r="K70" s="130"/>
    </row>
    <row r="71" spans="1:17" x14ac:dyDescent="0.25">
      <c r="A71" s="129"/>
      <c r="B71" s="145" t="s">
        <v>2379</v>
      </c>
      <c r="C71" s="131"/>
      <c r="D71" s="131"/>
      <c r="I71" s="130"/>
      <c r="J71" s="130"/>
      <c r="K71" s="130"/>
    </row>
    <row r="72" spans="1:17" x14ac:dyDescent="0.25">
      <c r="A72" s="129"/>
      <c r="B72" s="144" t="s">
        <v>2380</v>
      </c>
      <c r="C72" s="131"/>
      <c r="D72" s="131"/>
      <c r="I72" s="130"/>
      <c r="J72" s="130"/>
      <c r="K72" s="130"/>
    </row>
    <row r="73" spans="1:17" x14ac:dyDescent="0.25">
      <c r="A73" s="129"/>
      <c r="B73" s="145" t="s">
        <v>2381</v>
      </c>
      <c r="C73" s="131"/>
      <c r="D73" s="131"/>
      <c r="I73" s="130"/>
      <c r="J73" s="130"/>
      <c r="K73" s="130"/>
    </row>
    <row r="74" spans="1:17" x14ac:dyDescent="0.25">
      <c r="A74" s="129"/>
      <c r="B74" s="145" t="s">
        <v>2382</v>
      </c>
      <c r="C74" s="131"/>
      <c r="D74" s="131"/>
      <c r="I74" s="130"/>
      <c r="J74" s="130"/>
      <c r="K74" s="130"/>
    </row>
    <row r="75" spans="1:17" x14ac:dyDescent="0.25">
      <c r="A75" s="129"/>
      <c r="B75" s="145" t="s">
        <v>2383</v>
      </c>
      <c r="C75" s="131"/>
      <c r="D75" s="131"/>
      <c r="I75" s="130"/>
      <c r="J75" s="130"/>
      <c r="K75" s="130"/>
    </row>
    <row r="76" spans="1:17" x14ac:dyDescent="0.25">
      <c r="A76" s="129"/>
      <c r="B76" s="145" t="s">
        <v>2384</v>
      </c>
      <c r="C76" s="131"/>
      <c r="D76" s="131"/>
      <c r="I76" s="130"/>
      <c r="J76" s="130"/>
      <c r="K76" s="130"/>
    </row>
    <row r="77" spans="1:17" x14ac:dyDescent="0.25">
      <c r="A77" s="129"/>
      <c r="B77" s="145" t="s">
        <v>2385</v>
      </c>
      <c r="C77" s="131"/>
      <c r="D77" s="131"/>
      <c r="I77" s="130"/>
      <c r="J77" s="130"/>
      <c r="K77" s="130"/>
    </row>
    <row r="78" spans="1:17" x14ac:dyDescent="0.25">
      <c r="A78" s="129"/>
      <c r="B78" s="145" t="s">
        <v>2386</v>
      </c>
      <c r="C78" s="131"/>
      <c r="D78" s="131"/>
      <c r="I78" s="130"/>
      <c r="J78" s="130"/>
      <c r="K78" s="130"/>
    </row>
    <row r="79" spans="1:17" x14ac:dyDescent="0.25">
      <c r="A79" s="129"/>
      <c r="B79" s="144" t="s">
        <v>2387</v>
      </c>
      <c r="C79" s="131"/>
      <c r="D79" s="131"/>
      <c r="I79" s="130"/>
      <c r="J79" s="130"/>
      <c r="K79" s="130"/>
    </row>
    <row r="80" spans="1:17" x14ac:dyDescent="0.25">
      <c r="A80" s="129"/>
      <c r="B80" s="145" t="s">
        <v>2388</v>
      </c>
      <c r="C80" s="131"/>
      <c r="D80" s="131"/>
      <c r="I80" s="130"/>
      <c r="J80" s="130"/>
      <c r="K80" s="130"/>
    </row>
    <row r="81" spans="1:11" x14ac:dyDescent="0.25">
      <c r="A81" s="129"/>
      <c r="B81" s="145" t="s">
        <v>2389</v>
      </c>
      <c r="C81" s="131"/>
      <c r="D81" s="131"/>
      <c r="I81" s="130"/>
      <c r="J81" s="130"/>
      <c r="K81" s="130"/>
    </row>
    <row r="82" spans="1:11" x14ac:dyDescent="0.25">
      <c r="A82" s="129"/>
      <c r="B82" s="144" t="s">
        <v>2390</v>
      </c>
      <c r="C82" s="131"/>
      <c r="D82" s="131"/>
      <c r="I82" s="130"/>
      <c r="J82" s="130"/>
      <c r="K82" s="130"/>
    </row>
  </sheetData>
  <autoFilter ref="A3:J82" xr:uid="{71FCCBC8-6F0C-4428-A40A-573DE9FBDF89}"/>
  <sortState xmlns:xlrd2="http://schemas.microsoft.com/office/spreadsheetml/2017/richdata2" ref="Q1:Q72">
    <sortCondition ref="Q1:Q72"/>
  </sortState>
  <mergeCells count="4">
    <mergeCell ref="G1:J2"/>
    <mergeCell ref="A2:B2"/>
    <mergeCell ref="C2:D2"/>
    <mergeCell ref="A1:D1"/>
  </mergeCells>
  <pageMargins left="0.41" right="0.3" top="0.17" bottom="0.13" header="0.3" footer="0.11"/>
  <pageSetup paperSize="9" scale="6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EB0C-B63D-46A1-9559-A75AC1719449}">
  <sheetPr codeName="Лист2"/>
  <dimension ref="A2:I58"/>
  <sheetViews>
    <sheetView topLeftCell="E34" zoomScaleNormal="100" workbookViewId="0">
      <selection activeCell="N64" sqref="N64"/>
    </sheetView>
  </sheetViews>
  <sheetFormatPr defaultRowHeight="15" x14ac:dyDescent="0.25"/>
  <cols>
    <col min="1" max="1" width="17.28515625" bestFit="1" customWidth="1"/>
    <col min="2" max="2" width="16.7109375" bestFit="1" customWidth="1"/>
    <col min="3" max="3" width="12.85546875" customWidth="1"/>
    <col min="4" max="4" width="12.5703125" style="1" customWidth="1"/>
    <col min="5" max="5" width="10.7109375" customWidth="1"/>
    <col min="6" max="7" width="11" customWidth="1"/>
    <col min="8" max="8" width="9.28515625" customWidth="1"/>
    <col min="9" max="9" width="12.42578125" customWidth="1"/>
    <col min="10" max="16" width="5.5703125" bestFit="1" customWidth="1"/>
    <col min="17" max="400" width="6.5703125" bestFit="1" customWidth="1"/>
    <col min="401" max="536" width="7.5703125" bestFit="1" customWidth="1"/>
    <col min="537" max="537" width="11.85546875" bestFit="1" customWidth="1"/>
  </cols>
  <sheetData>
    <row r="2" spans="1:9" x14ac:dyDescent="0.25">
      <c r="A2" s="207" t="s">
        <v>1651</v>
      </c>
      <c r="B2" s="207"/>
      <c r="C2" s="158" t="s">
        <v>1505</v>
      </c>
      <c r="D2"/>
    </row>
    <row r="3" spans="1:9" x14ac:dyDescent="0.25">
      <c r="A3" s="154" t="s">
        <v>5</v>
      </c>
      <c r="B3" s="120">
        <f>SUMIFS(Journal!$U:$U,Journal!$T:$T,"",Journal!$G:$G,A3)</f>
        <v>-503103.24910692219</v>
      </c>
      <c r="C3" s="129">
        <f>SUMIFS(Journal!$U:$U,Journal!$T:$T,"",Journal!$G:$G,$A3,Journal!$D:$D,"&lt;&gt;Доставлен")</f>
        <v>-118761.36271078335</v>
      </c>
      <c r="D3"/>
    </row>
    <row r="4" spans="1:9" x14ac:dyDescent="0.25">
      <c r="A4" s="155" t="s">
        <v>6</v>
      </c>
      <c r="B4" s="120">
        <f>SUMIFS(Journal!$U:$U,Journal!$T:$T,"",Journal!$G:$G,A4)</f>
        <v>-33152.913082074949</v>
      </c>
      <c r="C4" s="129">
        <f>SUMIFS(Journal!$U:$U,Journal!$T:$T,"",Journal!$G:$G,$A4,Journal!$D:$D,"&lt;&gt;Доставлен")</f>
        <v>0</v>
      </c>
      <c r="D4"/>
    </row>
    <row r="5" spans="1:9" x14ac:dyDescent="0.25">
      <c r="A5" s="156" t="s">
        <v>7</v>
      </c>
      <c r="B5" s="120">
        <f>SUMIFS(Journal!$U:$U,Journal!$T:$T,"",Journal!$G:$G,A5)</f>
        <v>-139327.61765272793</v>
      </c>
      <c r="C5" s="129">
        <f>SUMIFS(Journal!$U:$U,Journal!$T:$T,"",Journal!$G:$G,$A5,Journal!$D:$D,"&lt;&gt;Доставлен")</f>
        <v>-7656.3671397506587</v>
      </c>
      <c r="D5"/>
    </row>
    <row r="6" spans="1:9" x14ac:dyDescent="0.25">
      <c r="A6" s="157" t="s">
        <v>8</v>
      </c>
      <c r="B6" s="120">
        <f>SUMIFS(Journal!$U:$U,Journal!$T:$T,"",Journal!$G:$G,A6)</f>
        <v>-94394.209991560027</v>
      </c>
      <c r="C6" s="129">
        <f>SUMIFS(Journal!$U:$U,Journal!$T:$T,"",Journal!$G:$G,$A6,Journal!$D:$D,"&lt;&gt;Доставлен")</f>
        <v>0</v>
      </c>
      <c r="D6"/>
    </row>
    <row r="7" spans="1:9" s="123" customFormat="1" x14ac:dyDescent="0.25">
      <c r="A7" s="121" t="s">
        <v>1652</v>
      </c>
      <c r="B7" s="122">
        <f>SUM(B3:B6)</f>
        <v>-769977.9898332851</v>
      </c>
      <c r="C7" s="122">
        <f>SUM(C3:C6)</f>
        <v>-126417.729850534</v>
      </c>
    </row>
    <row r="8" spans="1:9" x14ac:dyDescent="0.25">
      <c r="B8" s="1"/>
    </row>
    <row r="9" spans="1:9" x14ac:dyDescent="0.25">
      <c r="B9" s="63"/>
      <c r="C9" s="64"/>
      <c r="D9" s="210" t="s">
        <v>0</v>
      </c>
      <c r="E9" s="210"/>
      <c r="F9" s="210"/>
      <c r="G9" s="115"/>
      <c r="H9" s="209" t="s">
        <v>1</v>
      </c>
      <c r="I9" s="62"/>
    </row>
    <row r="10" spans="1:9" x14ac:dyDescent="0.25">
      <c r="A10" s="51" t="s">
        <v>2</v>
      </c>
      <c r="B10" t="s">
        <v>3</v>
      </c>
      <c r="C10" s="65" t="s">
        <v>4</v>
      </c>
      <c r="D10" s="108" t="s">
        <v>5</v>
      </c>
      <c r="E10" s="109" t="s">
        <v>6</v>
      </c>
      <c r="F10" s="110" t="s">
        <v>7</v>
      </c>
      <c r="G10" s="116" t="s">
        <v>8</v>
      </c>
      <c r="H10" s="209"/>
      <c r="I10" s="62" t="s">
        <v>9</v>
      </c>
    </row>
    <row r="11" spans="1:9" x14ac:dyDescent="0.25">
      <c r="A11" s="52" t="s">
        <v>5207</v>
      </c>
      <c r="B11" s="53">
        <v>12475.57</v>
      </c>
      <c r="C11" s="53">
        <f>SUMIF(Journal!$T:$T,A11,Journal!$Q:$Q)</f>
        <v>0</v>
      </c>
      <c r="D11" s="53">
        <f>SUMIFS(Journal!$U:$U,Journal!$T:$T,$A11,Journal!$G:$G,$D$10)</f>
        <v>0</v>
      </c>
      <c r="E11" s="53">
        <f>SUMIFS(Journal!$U:$U,Journal!$T:$T,$A11,Journal!$G:$G,$E$10)</f>
        <v>0</v>
      </c>
      <c r="F11" s="53">
        <f>SUMIFS(Journal!$U:$U,Journal!$T:$T,$A11,Journal!$G:$G,$F$10)</f>
        <v>0</v>
      </c>
      <c r="G11" s="53"/>
      <c r="H11" s="53"/>
      <c r="I11" s="53">
        <f>SUM(D11:F11)</f>
        <v>0</v>
      </c>
    </row>
    <row r="12" spans="1:9" x14ac:dyDescent="0.25">
      <c r="A12" s="52" t="s">
        <v>5208</v>
      </c>
      <c r="B12" s="53">
        <v>36480.994999999995</v>
      </c>
      <c r="C12" s="53">
        <f>SUMIF(Journal!$T:$T,A12,Journal!$Q:$Q)</f>
        <v>21400</v>
      </c>
      <c r="D12" s="53">
        <f>SUMIFS(Journal!$U:$U,Journal!$T:$T,$A12,Journal!$G:$G,$D$10)</f>
        <v>8820.1843614437512</v>
      </c>
      <c r="E12" s="53">
        <f>SUMIFS(Journal!$U:$U,Journal!$T:$T,$A12,Journal!$G:$G,$E$10)</f>
        <v>0</v>
      </c>
      <c r="F12" s="53">
        <f>SUMIFS(Journal!$U:$U,Journal!$T:$T,$A12,Journal!$G:$G,$F$10)</f>
        <v>546.73281749039529</v>
      </c>
      <c r="G12" s="53">
        <f>SUMIFS(Journal!$U:$U,Journal!$T:$T,$A12,Journal!$G:$G,$G$10)</f>
        <v>0</v>
      </c>
      <c r="H12" s="106">
        <f t="shared" ref="H12:H28" si="0">I12/(C12-I12)</f>
        <v>0.77843037550907968</v>
      </c>
      <c r="I12" s="53">
        <f>SUM(D12:G12)</f>
        <v>9366.9171789341472</v>
      </c>
    </row>
    <row r="13" spans="1:9" x14ac:dyDescent="0.25">
      <c r="A13" s="52" t="s">
        <v>5209</v>
      </c>
      <c r="B13" s="53">
        <v>23308.387500000004</v>
      </c>
      <c r="C13" s="53">
        <f>SUMIF(Journal!$T:$T,A13,Journal!$Q:$Q)</f>
        <v>50902.59</v>
      </c>
      <c r="D13" s="53">
        <f>SUMIFS(Journal!$U:$U,Journal!$T:$T,$A13,Journal!$G:$G,$D$10)</f>
        <v>20454.989369533323</v>
      </c>
      <c r="E13" s="53">
        <f>SUMIFS(Journal!$U:$U,Journal!$T:$T,$A13,Journal!$G:$G,$E$10)</f>
        <v>4536</v>
      </c>
      <c r="F13" s="53">
        <f>SUMIFS(Journal!$U:$U,Journal!$T:$T,$A13,Journal!$G:$G,$F$10)</f>
        <v>495.37889027128938</v>
      </c>
      <c r="G13" s="53">
        <f>SUMIFS(Journal!$U:$U,Journal!$T:$T,$A13,Journal!$G:$G,$G$10)</f>
        <v>0</v>
      </c>
      <c r="H13" s="106">
        <f t="shared" si="0"/>
        <v>1.0027599113796797</v>
      </c>
      <c r="I13" s="53">
        <f t="shared" ref="I13:I28" si="1">SUM(D13:G13)</f>
        <v>25486.368259804611</v>
      </c>
    </row>
    <row r="14" spans="1:9" x14ac:dyDescent="0.25">
      <c r="A14" s="52" t="s">
        <v>5210</v>
      </c>
      <c r="B14" s="53">
        <v>56582.404999999992</v>
      </c>
      <c r="C14" s="53">
        <f>SUMIF(Journal!$T:$T,A14,Journal!$Q:$Q)</f>
        <v>53127.22</v>
      </c>
      <c r="D14" s="53">
        <f>SUMIFS(Journal!$U:$U,Journal!$T:$T,$A14,Journal!$G:$G,$D$10)</f>
        <v>27582.365506384442</v>
      </c>
      <c r="E14" s="53">
        <f>SUMIFS(Journal!$U:$U,Journal!$T:$T,$A14,Journal!$G:$G,$E$10)</f>
        <v>1343.2793800931317</v>
      </c>
      <c r="F14" s="53">
        <f>SUMIFS(Journal!$U:$U,Journal!$T:$T,$A14,Journal!$G:$G,$F$10)</f>
        <v>131.15023838178115</v>
      </c>
      <c r="G14" s="53">
        <f>SUMIFS(Journal!$U:$U,Journal!$T:$T,$A14,Journal!$G:$G,$G$10)</f>
        <v>0</v>
      </c>
      <c r="H14" s="106">
        <f t="shared" si="0"/>
        <v>1.2071575502129386</v>
      </c>
      <c r="I14" s="53">
        <f t="shared" si="1"/>
        <v>29056.795124859356</v>
      </c>
    </row>
    <row r="15" spans="1:9" x14ac:dyDescent="0.25">
      <c r="A15" s="52" t="s">
        <v>5211</v>
      </c>
      <c r="B15" s="53">
        <v>203204.94800000018</v>
      </c>
      <c r="C15" s="53">
        <f>SUMIF(Journal!$T:$T,A15,Journal!$Q:$Q)</f>
        <v>136450</v>
      </c>
      <c r="D15" s="53">
        <f>SUMIFS(Journal!$U:$U,Journal!$T:$T,$A15,Journal!$G:$G,$D$10)</f>
        <v>63310.407444849727</v>
      </c>
      <c r="E15" s="53">
        <f>SUMIFS(Journal!$U:$U,Journal!$T:$T,$A15,Journal!$G:$G,$E$10)</f>
        <v>4271.240915516104</v>
      </c>
      <c r="F15" s="53">
        <f>SUMIFS(Journal!$U:$U,Journal!$T:$T,$A15,Journal!$G:$G,$F$10)</f>
        <v>4328.7095177458668</v>
      </c>
      <c r="G15" s="53">
        <f>SUMIFS(Journal!$U:$U,Journal!$T:$T,$A15,Journal!$G:$G,$G$10)</f>
        <v>0</v>
      </c>
      <c r="H15" s="106">
        <f t="shared" si="0"/>
        <v>1.1142044720716486</v>
      </c>
      <c r="I15" s="53">
        <f t="shared" si="1"/>
        <v>71910.357878111696</v>
      </c>
    </row>
    <row r="16" spans="1:9" x14ac:dyDescent="0.25">
      <c r="A16" s="52" t="s">
        <v>5212</v>
      </c>
      <c r="B16" s="53">
        <v>137714.46753333343</v>
      </c>
      <c r="C16" s="53">
        <f>SUMIF(Journal!$T:$T,A16,Journal!$Q:$Q)</f>
        <v>129424.33353854914</v>
      </c>
      <c r="D16" s="53">
        <f>SUMIFS(Journal!$U:$U,Journal!$T:$T,$A16,Journal!$G:$G,$D$10)</f>
        <v>47648.290145975894</v>
      </c>
      <c r="E16" s="53">
        <f>SUMIFS(Journal!$U:$U,Journal!$T:$T,$A16,Journal!$G:$G,$E$10)</f>
        <v>1709.2160255279405</v>
      </c>
      <c r="F16" s="53">
        <f>SUMIFS(Journal!$U:$U,Journal!$T:$T,$A16,Journal!$G:$G,$F$10)</f>
        <v>2311.3848719390708</v>
      </c>
      <c r="G16" s="53">
        <f>SUMIFS(Journal!$U:$U,Journal!$T:$T,$A16,Journal!$G:$G,$G$10)</f>
        <v>0</v>
      </c>
      <c r="H16" s="106">
        <f t="shared" si="0"/>
        <v>0.66450513797403754</v>
      </c>
      <c r="I16" s="53">
        <f t="shared" si="1"/>
        <v>51668.891043442905</v>
      </c>
    </row>
    <row r="17" spans="1:9" x14ac:dyDescent="0.25">
      <c r="A17" s="52" t="s">
        <v>5213</v>
      </c>
      <c r="B17" s="53">
        <v>218003.17216666683</v>
      </c>
      <c r="C17" s="53">
        <f>SUMIF(Journal!$T:$T,A17,Journal!$Q:$Q)</f>
        <v>258998.13591960544</v>
      </c>
      <c r="D17" s="53">
        <f>SUMIFS(Journal!$U:$U,Journal!$T:$T,$A17,Journal!$G:$G,$D$10)</f>
        <v>85277.333037182034</v>
      </c>
      <c r="E17" s="53">
        <f>SUMIFS(Journal!$U:$U,Journal!$T:$T,$A17,Journal!$G:$G,$E$10)</f>
        <v>25338.219619563071</v>
      </c>
      <c r="F17" s="53">
        <f>SUMIFS(Journal!$U:$U,Journal!$T:$T,$A17,Journal!$G:$G,$F$10)</f>
        <v>6806.7826706807964</v>
      </c>
      <c r="G17" s="53">
        <f>SUMIFS(Journal!$U:$U,Journal!$T:$T,$A17,Journal!$G:$G,$G$10)</f>
        <v>0</v>
      </c>
      <c r="H17" s="106">
        <f t="shared" si="0"/>
        <v>0.82939552406749495</v>
      </c>
      <c r="I17" s="53">
        <f t="shared" si="1"/>
        <v>117422.3353274259</v>
      </c>
    </row>
    <row r="18" spans="1:9" x14ac:dyDescent="0.25">
      <c r="A18" s="52" t="s">
        <v>5214</v>
      </c>
      <c r="B18" s="53">
        <v>250819.22600000002</v>
      </c>
      <c r="C18" s="53">
        <f>SUMIF(Journal!$T:$T,A18,Journal!$Q:$Q)</f>
        <v>244757.31000000006</v>
      </c>
      <c r="D18" s="53">
        <f>SUMIFS(Journal!$U:$U,Journal!$T:$T,$A18,Journal!$G:$G,$D$10)</f>
        <v>77435.300731324969</v>
      </c>
      <c r="E18" s="53">
        <f>SUMIFS(Journal!$U:$U,Journal!$T:$T,$A18,Journal!$G:$G,$E$10)</f>
        <v>24839.476489607463</v>
      </c>
      <c r="F18" s="53">
        <f>SUMIFS(Journal!$U:$U,Journal!$T:$T,$A18,Journal!$G:$G,$F$10)</f>
        <v>3137.033173547105</v>
      </c>
      <c r="G18" s="53">
        <f>SUMIFS(Journal!$U:$U,Journal!$T:$T,$A18,Journal!$G:$G,$G$10)</f>
        <v>0</v>
      </c>
      <c r="H18" s="106">
        <f t="shared" si="0"/>
        <v>0.75647803978524331</v>
      </c>
      <c r="I18" s="53">
        <f t="shared" si="1"/>
        <v>105411.81039447954</v>
      </c>
    </row>
    <row r="19" spans="1:9" x14ac:dyDescent="0.25">
      <c r="A19" s="52" t="s">
        <v>5215</v>
      </c>
      <c r="B19" s="53">
        <v>211470.11000000002</v>
      </c>
      <c r="C19" s="53">
        <f>SUMIF(Journal!$T:$T,A19,Journal!$Q:$Q)</f>
        <v>397722.32</v>
      </c>
      <c r="D19" s="53">
        <f>SUMIFS(Journal!$U:$U,Journal!$T:$T,$A19,Journal!$G:$G,$D$10)</f>
        <v>147314.42880183985</v>
      </c>
      <c r="E19" s="53">
        <f>SUMIFS(Journal!$U:$U,Journal!$T:$T,$A19,Journal!$G:$G,$E$10)</f>
        <v>18476.174611389866</v>
      </c>
      <c r="F19" s="53">
        <f>SUMIFS(Journal!$U:$U,Journal!$T:$T,$A19,Journal!$G:$G,$F$10)</f>
        <v>13217.423256846148</v>
      </c>
      <c r="G19" s="53">
        <f>SUMIFS(Journal!$U:$U,Journal!$T:$T,$A19,Journal!$G:$G,$G$10)</f>
        <v>0</v>
      </c>
      <c r="H19" s="106">
        <f t="shared" si="0"/>
        <v>0.81845600461076162</v>
      </c>
      <c r="I19" s="53">
        <f t="shared" si="1"/>
        <v>179008.02667007587</v>
      </c>
    </row>
    <row r="20" spans="1:9" x14ac:dyDescent="0.25">
      <c r="A20" s="52" t="s">
        <v>5216</v>
      </c>
      <c r="B20" s="53">
        <v>201384.13000000006</v>
      </c>
      <c r="C20" s="53">
        <f>SUMIF(Journal!$T:$T,A20,Journal!$Q:$Q)</f>
        <v>218200.4</v>
      </c>
      <c r="D20" s="53">
        <f>SUMIFS(Journal!$U:$U,Journal!$T:$T,$A20,Journal!$G:$G,$D$10)</f>
        <v>58999.878421745401</v>
      </c>
      <c r="E20" s="53">
        <f>SUMIFS(Journal!$U:$U,Journal!$T:$T,$A20,Journal!$G:$G,$E$10)</f>
        <v>28237.462840694177</v>
      </c>
      <c r="F20" s="53">
        <f>SUMIFS(Journal!$U:$U,Journal!$T:$T,$A20,Journal!$G:$G,$F$10)</f>
        <v>4980.6626613888247</v>
      </c>
      <c r="G20" s="53">
        <f>SUMIFS(Journal!$U:$U,Journal!$T:$T,$A20,Journal!$G:$G,$G$10)</f>
        <v>0</v>
      </c>
      <c r="H20" s="106">
        <f t="shared" si="0"/>
        <v>0.73199118921401907</v>
      </c>
      <c r="I20" s="53">
        <f t="shared" si="1"/>
        <v>92218.003923828408</v>
      </c>
    </row>
    <row r="21" spans="1:9" x14ac:dyDescent="0.25">
      <c r="A21" s="52" t="s">
        <v>5217</v>
      </c>
      <c r="B21" s="53">
        <v>202220.41961958213</v>
      </c>
      <c r="C21" s="53">
        <f>SUMIF(Journal!$T:$T,A21,Journal!$Q:$Q)</f>
        <v>187411.48999999996</v>
      </c>
      <c r="D21" s="53">
        <f>SUMIFS(Journal!$U:$U,Journal!$T:$T,$A21,Journal!$G:$G,$D$10)</f>
        <v>55273.410209546433</v>
      </c>
      <c r="E21" s="53">
        <f>SUMIFS(Journal!$U:$U,Journal!$T:$T,$A21,Journal!$G:$G,$E$10)</f>
        <v>15291.583834616056</v>
      </c>
      <c r="F21" s="53">
        <f>SUMIFS(Journal!$U:$U,Journal!$T:$T,$A21,Journal!$G:$G,$F$10)</f>
        <v>1458.2753724900101</v>
      </c>
      <c r="G21" s="53">
        <f>SUMIFS(Journal!$U:$U,Journal!$T:$T,$A21,Journal!$G:$G,$G$10)</f>
        <v>0</v>
      </c>
      <c r="H21" s="106">
        <f t="shared" si="0"/>
        <v>0.62418216567113549</v>
      </c>
      <c r="I21" s="53">
        <f t="shared" si="1"/>
        <v>72023.269416652503</v>
      </c>
    </row>
    <row r="22" spans="1:9" x14ac:dyDescent="0.25">
      <c r="A22" s="52" t="s">
        <v>5218</v>
      </c>
      <c r="B22" s="53">
        <v>175586.89</v>
      </c>
      <c r="C22" s="53">
        <f>SUMIF(Journal!$T:$T,A22,Journal!$Q:$Q)</f>
        <v>244424.19</v>
      </c>
      <c r="D22" s="53">
        <f>SUMIFS(Journal!$U:$U,Journal!$T:$T,$A22,Journal!$G:$G,$D$10)</f>
        <v>65617.326123483057</v>
      </c>
      <c r="E22" s="53">
        <f>SUMIFS(Journal!$U:$U,Journal!$T:$T,$A22,Journal!$G:$G,$E$10)</f>
        <v>11996.514507537469</v>
      </c>
      <c r="F22" s="53">
        <f>SUMIFS(Journal!$U:$U,Journal!$T:$T,$A22,Journal!$G:$G,$F$10)</f>
        <v>3431.8754778021962</v>
      </c>
      <c r="G22" s="53">
        <f>SUMIFS(Journal!$U:$U,Journal!$T:$T,$A22,Journal!$G:$G,$G$10)</f>
        <v>0</v>
      </c>
      <c r="H22" s="106">
        <f t="shared" si="0"/>
        <v>0.49606116508840364</v>
      </c>
      <c r="I22" s="53">
        <f t="shared" si="1"/>
        <v>81045.716108822729</v>
      </c>
    </row>
    <row r="23" spans="1:9" x14ac:dyDescent="0.25">
      <c r="A23" s="52" t="s">
        <v>5219</v>
      </c>
      <c r="B23" s="53">
        <v>138647.70000000007</v>
      </c>
      <c r="C23" s="53">
        <f>SUMIF(Journal!$T:$T,A23,Journal!$Q:$Q)</f>
        <v>264715.82000000007</v>
      </c>
      <c r="D23" s="53">
        <f>SUMIFS(Journal!$U:$U,Journal!$T:$T,$A23,Journal!$G:$G,$D$10)</f>
        <v>59673.983414574948</v>
      </c>
      <c r="E23" s="53">
        <f>SUMIFS(Journal!$U:$U,Journal!$T:$T,$A23,Journal!$G:$G,$E$10)</f>
        <v>27240.61869227593</v>
      </c>
      <c r="F23" s="53">
        <f>SUMIFS(Journal!$U:$U,Journal!$T:$T,$A23,Journal!$G:$G,$F$10)</f>
        <v>861.54394644199044</v>
      </c>
      <c r="G23" s="53">
        <f>SUMIFS(Journal!$U:$U,Journal!$T:$T,$A23,Journal!$G:$G,$G$10)</f>
        <v>0</v>
      </c>
      <c r="H23" s="106">
        <f t="shared" si="0"/>
        <v>0.49607950605656903</v>
      </c>
      <c r="I23" s="53">
        <f t="shared" si="1"/>
        <v>87776.146053292876</v>
      </c>
    </row>
    <row r="24" spans="1:9" x14ac:dyDescent="0.25">
      <c r="A24" s="52" t="s">
        <v>5220</v>
      </c>
      <c r="B24" s="53">
        <v>154524.26379999996</v>
      </c>
      <c r="C24" s="53">
        <f>SUMIF(Journal!$T:$T,A24,Journal!$Q:$Q)</f>
        <v>204553.93999999997</v>
      </c>
      <c r="D24" s="53">
        <f>SUMIFS(Journal!$U:$U,Journal!$T:$T,$A24,Journal!$G:$G,$D$10)</f>
        <v>61473.978623258074</v>
      </c>
      <c r="E24" s="53">
        <f>SUMIFS(Journal!$U:$U,Journal!$T:$T,$A24,Journal!$G:$G,$E$10)</f>
        <v>11622.159895232122</v>
      </c>
      <c r="F24" s="53">
        <f>SUMIFS(Journal!$U:$U,Journal!$T:$T,$A24,Journal!$G:$G,$F$10)</f>
        <v>970.96821604911042</v>
      </c>
      <c r="G24" s="53">
        <f>SUMIFS(Journal!$U:$U,Journal!$T:$T,$A24,Journal!$G:$G,$G$10)</f>
        <v>0</v>
      </c>
      <c r="H24" s="106">
        <f t="shared" si="0"/>
        <v>0.56762130615782636</v>
      </c>
      <c r="I24" s="53">
        <f t="shared" si="1"/>
        <v>74067.106734539295</v>
      </c>
    </row>
    <row r="25" spans="1:9" x14ac:dyDescent="0.25">
      <c r="A25" s="52" t="s">
        <v>5221</v>
      </c>
      <c r="B25" s="53">
        <v>295742.48184084136</v>
      </c>
      <c r="C25" s="53">
        <f>SUMIF(Journal!$T:$T,A25,Journal!$Q:$Q)</f>
        <v>319700.23</v>
      </c>
      <c r="D25" s="53">
        <f>SUMIFS(Journal!$U:$U,Journal!$T:$T,$A25,Journal!$G:$G,$D$10)</f>
        <v>86145.129951098046</v>
      </c>
      <c r="E25" s="53">
        <f>SUMIFS(Journal!$U:$U,Journal!$T:$T,$A25,Journal!$G:$G,$E$10)</f>
        <v>28475.794147340279</v>
      </c>
      <c r="F25" s="53">
        <f>SUMIFS(Journal!$U:$U,Journal!$T:$T,$A25,Journal!$G:$G,$F$10)</f>
        <v>1949.1027809668929</v>
      </c>
      <c r="G25" s="53">
        <f>SUMIFS(Journal!$U:$U,Journal!$T:$T,$A25,Journal!$G:$G,$G$10)</f>
        <v>0</v>
      </c>
      <c r="H25" s="106">
        <f t="shared" si="0"/>
        <v>0.57386850940231504</v>
      </c>
      <c r="I25" s="53">
        <f t="shared" si="1"/>
        <v>116570.02687940521</v>
      </c>
    </row>
    <row r="26" spans="1:9" x14ac:dyDescent="0.25">
      <c r="A26" s="52" t="s">
        <v>5222</v>
      </c>
      <c r="B26" s="53">
        <v>297362.39999999985</v>
      </c>
      <c r="C26" s="53">
        <f>SUMIF(Journal!$T:$T,A26,Journal!$Q:$Q)</f>
        <v>366719.99</v>
      </c>
      <c r="D26" s="53">
        <f>SUMIFS(Journal!$U:$U,Journal!$T:$T,$A26,Journal!$G:$G,$D$10)</f>
        <v>94344.207881834402</v>
      </c>
      <c r="E26" s="53">
        <f>SUMIFS(Journal!$U:$U,Journal!$T:$T,$A26,Journal!$G:$G,$E$10)</f>
        <v>31322.321706715979</v>
      </c>
      <c r="F26" s="53">
        <f>SUMIFS(Journal!$U:$U,Journal!$T:$T,$A26,Journal!$G:$G,$F$10)</f>
        <v>2382.8126260368108</v>
      </c>
      <c r="G26" s="53">
        <f>SUMIFS(Journal!$U:$U,Journal!$T:$T,$A26,Journal!$G:$G,$G$10)</f>
        <v>0</v>
      </c>
      <c r="H26" s="106">
        <f t="shared" si="0"/>
        <v>0.53651064093023926</v>
      </c>
      <c r="I26" s="53">
        <f t="shared" si="1"/>
        <v>128049.3422145872</v>
      </c>
    </row>
    <row r="27" spans="1:9" x14ac:dyDescent="0.25">
      <c r="A27" s="52" t="s">
        <v>5223</v>
      </c>
      <c r="B27" s="53">
        <v>250653.80599999972</v>
      </c>
      <c r="C27" s="53">
        <f>SUMIF(Journal!$T:$T,A27,Journal!$Q:$Q)</f>
        <v>345905.48</v>
      </c>
      <c r="D27" s="53">
        <f>SUMIFS(Journal!$U:$U,Journal!$T:$T,$A27,Journal!$G:$G,$D$10)</f>
        <v>89608.594983530056</v>
      </c>
      <c r="E27" s="53">
        <f>SUMIFS(Journal!$U:$U,Journal!$T:$T,$A27,Journal!$G:$G,$E$10)</f>
        <v>24656.637493597296</v>
      </c>
      <c r="F27" s="53">
        <f>SUMIFS(Journal!$U:$U,Journal!$T:$T,$A27,Journal!$G:$G,$F$10)</f>
        <v>7503.5125125912091</v>
      </c>
      <c r="G27" s="53">
        <f>SUMIFS(Journal!$U:$U,Journal!$T:$T,$A27,Journal!$G:$G,$G$10)</f>
        <v>0</v>
      </c>
      <c r="H27" s="106">
        <f t="shared" si="0"/>
        <v>0.54327883817943945</v>
      </c>
      <c r="I27" s="53">
        <f t="shared" si="1"/>
        <v>121768.74498971857</v>
      </c>
    </row>
    <row r="28" spans="1:9" x14ac:dyDescent="0.25">
      <c r="A28" s="52" t="s">
        <v>5224</v>
      </c>
      <c r="B28" s="53">
        <v>179860.47151614603</v>
      </c>
      <c r="C28" s="53">
        <f>SUMIF(Journal!$T:$T,A28,Journal!$Q:$Q)</f>
        <v>286357.26777604973</v>
      </c>
      <c r="D28" s="53">
        <f>SUMIFS(Journal!$U:$U,Journal!$T:$T,$A28,Journal!$G:$G,$D$10)</f>
        <v>98995.193835314072</v>
      </c>
      <c r="E28" s="53">
        <f>SUMIFS(Journal!$U:$U,Journal!$T:$T,$A28,Journal!$G:$G,$E$10)</f>
        <v>8250.7148477904575</v>
      </c>
      <c r="F28" s="53">
        <f>SUMIFS(Journal!$U:$U,Journal!$T:$T,$A28,Journal!$G:$G,$F$10)</f>
        <v>2555.8658289121045</v>
      </c>
      <c r="G28" s="53">
        <f>SUMIFS(Journal!$U:$U,Journal!$T:$T,$A28,Journal!$G:$G,$G$10)</f>
        <v>1152.3099530391462</v>
      </c>
      <c r="H28" s="106">
        <f t="shared" si="0"/>
        <v>0.63256596813486332</v>
      </c>
      <c r="I28" s="53">
        <f t="shared" si="1"/>
        <v>110954.08446505578</v>
      </c>
    </row>
    <row r="29" spans="1:9" x14ac:dyDescent="0.25">
      <c r="A29" s="52" t="s">
        <v>5225</v>
      </c>
      <c r="B29" s="53">
        <v>255895.79848385396</v>
      </c>
      <c r="C29" s="53">
        <f>SUMIF(Journal!$T:$T,A29,Journal!$Q:$Q)</f>
        <v>336958.21</v>
      </c>
      <c r="D29" s="53">
        <f>SUMIFS(Journal!$U:$U,Journal!$T:$T,$A29,Journal!$G:$G,$D$10)</f>
        <v>97628.562416079149</v>
      </c>
      <c r="E29" s="53">
        <f>SUMIFS(Journal!$U:$U,Journal!$T:$T,$A29,Journal!$G:$G,$E$10)</f>
        <v>20036.981195085831</v>
      </c>
      <c r="F29" s="53">
        <f>SUMIFS(Journal!$U:$U,Journal!$T:$T,$A29,Journal!$G:$G,$F$10)</f>
        <v>1984.639152914951</v>
      </c>
      <c r="G29" s="53">
        <f>SUMIFS(Journal!$U:$U,Journal!$T:$T,$A29,Journal!$G:$G,$G$10)</f>
        <v>3236.304709210759</v>
      </c>
      <c r="H29" s="106">
        <f t="shared" ref="H29" si="2">I29/(C29-I29)</f>
        <v>0.57404353093836757</v>
      </c>
      <c r="I29" s="53">
        <f t="shared" ref="I29" si="3">SUM(D29:G29)</f>
        <v>122886.48747329069</v>
      </c>
    </row>
    <row r="30" spans="1:9" x14ac:dyDescent="0.25">
      <c r="A30" s="52" t="s">
        <v>5226</v>
      </c>
      <c r="B30" s="53">
        <v>231006.70999999985</v>
      </c>
      <c r="C30" s="53">
        <f>SUMIF(Journal!$T:$T,A30,Journal!$Q:$Q)</f>
        <v>308820.32</v>
      </c>
      <c r="D30" s="53">
        <f>SUMIFS(Journal!$U:$U,Journal!$T:$T,$A30,Journal!$G:$G,$D$10)</f>
        <v>77595.628318633608</v>
      </c>
      <c r="E30" s="53">
        <f>SUMIFS(Journal!$U:$U,Journal!$T:$T,$A30,Journal!$G:$G,$E$10)</f>
        <v>20196.65333883854</v>
      </c>
      <c r="F30" s="53">
        <f>SUMIFS(Journal!$U:$U,Journal!$T:$T,$A30,Journal!$G:$G,$F$10)</f>
        <v>1821.1416488279103</v>
      </c>
      <c r="G30" s="53">
        <f>SUMIFS(Journal!$U:$U,Journal!$T:$T,$A30,Journal!$G:$G,$G$10)</f>
        <v>10742.059682516116</v>
      </c>
      <c r="H30" s="106">
        <f t="shared" ref="H30" si="4">I30/(C30-I30)</f>
        <v>0.5560455174364084</v>
      </c>
      <c r="I30" s="53">
        <f t="shared" ref="I30" si="5">SUM(D30:G30)</f>
        <v>110355.48298881618</v>
      </c>
    </row>
    <row r="31" spans="1:9" x14ac:dyDescent="0.25">
      <c r="A31" s="52" t="s">
        <v>5227</v>
      </c>
      <c r="B31" s="53">
        <v>187718.22000000012</v>
      </c>
      <c r="C31" s="53">
        <f>SUMIF(Journal!$T:$T,A31,Journal!$Q:$Q)</f>
        <v>273602.90000000002</v>
      </c>
      <c r="D31" s="53">
        <f>SUMIFS(Journal!$U:$U,Journal!$T:$T,$A31,Journal!$G:$G,$D$10)</f>
        <v>79057.056640651543</v>
      </c>
      <c r="E31" s="53">
        <f>SUMIFS(Journal!$U:$U,Journal!$T:$T,$A31,Journal!$G:$G,$E$10)</f>
        <v>9733.7277540123578</v>
      </c>
      <c r="F31" s="53">
        <f>SUMIFS(Journal!$U:$U,Journal!$T:$T,$A31,Journal!$G:$G,$F$10)</f>
        <v>4345.7904251587734</v>
      </c>
      <c r="G31" s="53">
        <f>SUMIFS(Journal!$U:$U,Journal!$T:$T,$A31,Journal!$G:$G,$G$10)</f>
        <v>4069.975865554713</v>
      </c>
      <c r="H31" s="106">
        <f t="shared" ref="H31" si="6">I31/(C31-I31)</f>
        <v>0.55106894821274688</v>
      </c>
      <c r="I31" s="53">
        <f t="shared" ref="I31" si="7">SUM(D31:G31)</f>
        <v>97206.550685377399</v>
      </c>
    </row>
    <row r="32" spans="1:9" x14ac:dyDescent="0.25">
      <c r="A32" s="52" t="s">
        <v>5228</v>
      </c>
      <c r="B32" s="53">
        <v>175719.82666666675</v>
      </c>
      <c r="C32" s="53">
        <f>SUMIF(Journal!$T:$T,A32,Journal!$Q:$Q)</f>
        <v>192655.56000000003</v>
      </c>
      <c r="D32" s="53">
        <f>SUMIFS(Journal!$U:$U,Journal!$T:$T,$A32,Journal!$G:$G,$D$10)</f>
        <v>62687.195559299325</v>
      </c>
      <c r="E32" s="53">
        <f>SUMIFS(Journal!$U:$U,Journal!$T:$T,$A32,Journal!$G:$G,$E$10)</f>
        <v>8275.6503302157598</v>
      </c>
      <c r="F32" s="53">
        <f>SUMIFS(Journal!$U:$U,Journal!$T:$T,$A32,Journal!$G:$G,$F$10)</f>
        <v>1743.6066426230709</v>
      </c>
      <c r="G32" s="53">
        <f>SUMIFS(Journal!$U:$U,Journal!$T:$T,$A32,Journal!$G:$G,$G$10)</f>
        <v>4309.7653490384637</v>
      </c>
      <c r="H32" s="106">
        <f t="shared" ref="H32" si="8">I32/(C32-I32)</f>
        <v>0.66600359765139272</v>
      </c>
      <c r="I32" s="53">
        <f t="shared" ref="I32" si="9">SUM(D32:G32)</f>
        <v>77016.217881176621</v>
      </c>
    </row>
    <row r="33" spans="1:9" x14ac:dyDescent="0.25">
      <c r="A33" s="52" t="s">
        <v>5229</v>
      </c>
      <c r="B33" s="53">
        <v>140011.49678845869</v>
      </c>
      <c r="C33" s="53">
        <f>SUMIF(Journal!$T:$T,A33,Journal!$Q:$Q)</f>
        <v>242253.18</v>
      </c>
      <c r="D33" s="53">
        <f>SUMIFS(Journal!$U:$U,Journal!$T:$T,$A33,Journal!$G:$G,$D$10)</f>
        <v>82453.011478682514</v>
      </c>
      <c r="E33" s="53">
        <f>SUMIFS(Journal!$U:$U,Journal!$T:$T,$A33,Journal!$G:$G,$E$10)</f>
        <v>5408.0119380588203</v>
      </c>
      <c r="F33" s="53">
        <f>SUMIFS(Journal!$U:$U,Journal!$T:$T,$A33,Journal!$G:$G,$F$10)</f>
        <v>3160.2361355313706</v>
      </c>
      <c r="G33" s="53">
        <f>SUMIFS(Journal!$U:$U,Journal!$T:$T,$A33,Journal!$G:$G,$G$10)</f>
        <v>2370.1947374963001</v>
      </c>
      <c r="H33" s="106">
        <f t="shared" ref="H33" si="10">I33/(C33-I33)</f>
        <v>0.62737049328288408</v>
      </c>
      <c r="I33" s="53">
        <f t="shared" ref="I33" si="11">SUM(D33:G33)</f>
        <v>93391.454289769012</v>
      </c>
    </row>
    <row r="34" spans="1:9" x14ac:dyDescent="0.25">
      <c r="A34" s="52" t="s">
        <v>5230</v>
      </c>
      <c r="B34" s="53">
        <v>133896.62499999997</v>
      </c>
      <c r="C34" s="53">
        <f>SUMIF(Journal!$T:$T,A34,Journal!$Q:$Q)</f>
        <v>203611.99999999997</v>
      </c>
      <c r="D34" s="53">
        <f>SUMIFS(Journal!$U:$U,Journal!$T:$T,$A34,Journal!$G:$G,$D$10)</f>
        <v>56200.302862901168</v>
      </c>
      <c r="E34" s="53">
        <f>SUMIFS(Journal!$U:$U,Journal!$T:$T,$A34,Journal!$G:$G,$E$10)</f>
        <v>13984.262160601475</v>
      </c>
      <c r="F34" s="53">
        <f>SUMIFS(Journal!$U:$U,Journal!$T:$T,$A34,Journal!$G:$G,$F$10)</f>
        <v>3052.7490965917232</v>
      </c>
      <c r="G34" s="53">
        <f>SUMIFS(Journal!$U:$U,Journal!$T:$T,$A34,Journal!$G:$G,$G$10)</f>
        <v>0</v>
      </c>
      <c r="H34" s="106">
        <f t="shared" ref="H34" si="12">I34/(C34-I34)</f>
        <v>0.56174489415496487</v>
      </c>
      <c r="I34" s="53">
        <f t="shared" ref="I34" si="13">SUM(D34:G34)</f>
        <v>73237.314120094365</v>
      </c>
    </row>
    <row r="35" spans="1:9" x14ac:dyDescent="0.25">
      <c r="A35" s="52" t="s">
        <v>5231</v>
      </c>
      <c r="B35" s="53">
        <v>168200.02499999999</v>
      </c>
      <c r="C35" s="53">
        <f>SUMIF(Journal!$T:$T,A35,Journal!$Q:$Q)</f>
        <v>182877.76</v>
      </c>
      <c r="D35" s="53">
        <f>SUMIFS(Journal!$U:$U,Journal!$T:$T,$A35,Journal!$G:$G,$D$10)</f>
        <v>54043.982707034178</v>
      </c>
      <c r="E35" s="53">
        <f>SUMIFS(Journal!$U:$U,Journal!$T:$T,$A35,Journal!$G:$G,$E$10)</f>
        <v>9556.0969738231961</v>
      </c>
      <c r="F35" s="53">
        <f>SUMIFS(Journal!$U:$U,Journal!$T:$T,$A35,Journal!$G:$G,$F$10)</f>
        <v>1965.6715480481153</v>
      </c>
      <c r="G35" s="53">
        <f>SUMIFS(Journal!$U:$U,Journal!$T:$T,$A35,Journal!$G:$G,$G$10)</f>
        <v>0</v>
      </c>
      <c r="H35" s="106">
        <f t="shared" ref="H35" si="14">I35/(C35-I35)</f>
        <v>0.55890059266516268</v>
      </c>
      <c r="I35" s="53">
        <f t="shared" ref="I35" si="15">SUM(D35:G35)</f>
        <v>65565.751228905487</v>
      </c>
    </row>
    <row r="36" spans="1:9" x14ac:dyDescent="0.25">
      <c r="A36" s="52" t="s">
        <v>5232</v>
      </c>
      <c r="B36" s="53">
        <v>155383.41500000004</v>
      </c>
      <c r="C36" s="53">
        <f>SUMIF(Journal!$T:$T,A36,Journal!$Q:$Q)</f>
        <v>369555.14</v>
      </c>
      <c r="D36" s="53">
        <f>SUMIFS(Journal!$U:$U,Journal!$T:$T,$A36,Journal!$G:$G,$D$10)</f>
        <v>122114.41648847106</v>
      </c>
      <c r="E36" s="53">
        <f>SUMIFS(Journal!$U:$U,Journal!$T:$T,$A36,Journal!$G:$G,$E$10)</f>
        <v>18828.581586287779</v>
      </c>
      <c r="F36" s="53">
        <f>SUMIFS(Journal!$U:$U,Journal!$T:$T,$A36,Journal!$G:$G,$F$10)</f>
        <v>724</v>
      </c>
      <c r="G36" s="53">
        <f>SUMIFS(Journal!$U:$U,Journal!$T:$T,$A36,Journal!$G:$G,$G$10)</f>
        <v>0</v>
      </c>
      <c r="H36" s="106">
        <f t="shared" ref="H36" si="16">I36/(C36-I36)</f>
        <v>0.62165146847014441</v>
      </c>
      <c r="I36" s="53">
        <f t="shared" ref="I36" si="17">SUM(D36:G36)</f>
        <v>141666.99807475886</v>
      </c>
    </row>
    <row r="37" spans="1:9" x14ac:dyDescent="0.25">
      <c r="A37" s="52" t="s">
        <v>5233</v>
      </c>
      <c r="B37" s="53">
        <v>288341.87134093989</v>
      </c>
      <c r="C37" s="53">
        <f>SUMIF(Journal!$T:$T,A37,Journal!$Q:$Q)</f>
        <v>327715.21000000002</v>
      </c>
      <c r="D37" s="53">
        <f>SUMIFS(Journal!$U:$U,Journal!$T:$T,$A37,Journal!$G:$G,$D$10)</f>
        <v>89143.063174527575</v>
      </c>
      <c r="E37" s="53">
        <f>SUMIFS(Journal!$U:$U,Journal!$T:$T,$A37,Journal!$G:$G,$E$10)</f>
        <v>15155.596772284094</v>
      </c>
      <c r="F37" s="53">
        <f>SUMIFS(Journal!$U:$U,Journal!$T:$T,$A37,Journal!$G:$G,$F$10)</f>
        <v>2480.2268467928693</v>
      </c>
      <c r="G37" s="53">
        <f>SUMIFS(Journal!$U:$U,Journal!$T:$T,$A37,Journal!$G:$G,$G$10)</f>
        <v>0</v>
      </c>
      <c r="H37" s="106">
        <f t="shared" ref="H37" si="18">I37/(C37-I37)</f>
        <v>0.48330163752138333</v>
      </c>
      <c r="I37" s="53">
        <f t="shared" ref="I37" si="19">SUM(D37:G37)</f>
        <v>106778.88679360454</v>
      </c>
    </row>
    <row r="38" spans="1:9" x14ac:dyDescent="0.25">
      <c r="A38" s="52" t="s">
        <v>5234</v>
      </c>
      <c r="B38" s="53">
        <v>214737.61666666676</v>
      </c>
      <c r="C38" s="53">
        <f>SUMIF(Journal!$T:$T,A38,Journal!$Q:$Q)</f>
        <v>415101</v>
      </c>
      <c r="D38" s="53">
        <f>SUMIFS(Journal!$U:$U,Journal!$T:$T,$A38,Journal!$G:$G,$D$10)</f>
        <v>118453.31516183146</v>
      </c>
      <c r="E38" s="53">
        <f>SUMIFS(Journal!$U:$U,Journal!$T:$T,$A38,Journal!$G:$G,$E$10)</f>
        <v>9856.9815830032276</v>
      </c>
      <c r="F38" s="53">
        <f>SUMIFS(Journal!$U:$U,Journal!$T:$T,$A38,Journal!$G:$G,$F$10)</f>
        <v>4084.44088651743</v>
      </c>
      <c r="G38" s="53">
        <f>SUMIFS(Journal!$U:$U,Journal!$T:$T,$A38,Journal!$G:$G,$G$10)</f>
        <v>18276.721852650313</v>
      </c>
      <c r="H38" s="106">
        <f t="shared" ref="H38" si="20">I38/(C38-I38)</f>
        <v>0.56979813673611501</v>
      </c>
      <c r="I38" s="53">
        <f t="shared" ref="I38" si="21">SUM(D38:G38)</f>
        <v>150671.45948400244</v>
      </c>
    </row>
    <row r="39" spans="1:9" x14ac:dyDescent="0.25">
      <c r="A39" s="52" t="s">
        <v>5235</v>
      </c>
      <c r="B39" s="53">
        <v>85882.783333333326</v>
      </c>
      <c r="C39" s="53">
        <f>SUMIF(Journal!$T:$T,A39,Journal!$Q:$Q)</f>
        <v>230024.39</v>
      </c>
      <c r="D39" s="53">
        <f>SUMIFS(Journal!$U:$U,Journal!$T:$T,$A39,Journal!$G:$G,$D$10)</f>
        <v>82238.952369747756</v>
      </c>
      <c r="E39" s="53">
        <f>SUMIFS(Journal!$U:$U,Journal!$T:$T,$A39,Journal!$G:$G,$E$10)</f>
        <v>3735</v>
      </c>
      <c r="F39" s="53">
        <f>SUMIFS(Journal!$U:$U,Journal!$T:$T,$A39,Journal!$G:$G,$F$10)</f>
        <v>1000</v>
      </c>
      <c r="G39" s="53">
        <f>SUMIFS(Journal!$U:$U,Journal!$T:$T,$A39,Journal!$G:$G,$G$10)</f>
        <v>1175.3572689350187</v>
      </c>
      <c r="H39" s="106">
        <f t="shared" ref="H39" si="22">I39/(C39-I39)</f>
        <v>0.62131636799211298</v>
      </c>
      <c r="I39" s="53">
        <f t="shared" ref="I39" si="23">SUM(D39:G39)</f>
        <v>88149.309638682782</v>
      </c>
    </row>
    <row r="40" spans="1:9" x14ac:dyDescent="0.25">
      <c r="A40" s="52" t="s">
        <v>5236</v>
      </c>
      <c r="B40" s="53">
        <v>216511.87333333332</v>
      </c>
      <c r="C40" s="53">
        <f>SUMIF(Journal!$T:$T,A40,Journal!$Q:$Q)</f>
        <v>255196.01000000004</v>
      </c>
      <c r="D40" s="53">
        <f>SUMIFS(Journal!$U:$U,Journal!$T:$T,$A40,Journal!$G:$G,$D$10)</f>
        <v>92077.409010989024</v>
      </c>
      <c r="E40" s="53">
        <f>SUMIFS(Journal!$U:$U,Journal!$T:$T,$A40,Journal!$G:$G,$E$10)</f>
        <v>2731.9085560308481</v>
      </c>
      <c r="F40" s="53">
        <f>SUMIFS(Journal!$U:$U,Journal!$T:$T,$A40,Journal!$G:$G,$F$10)</f>
        <v>2683.959193358809</v>
      </c>
      <c r="G40" s="53">
        <f>SUMIFS(Journal!$U:$U,Journal!$T:$T,$A40,Journal!$G:$G,$G$10)</f>
        <v>2974.8669205444958</v>
      </c>
      <c r="H40" s="106">
        <f t="shared" ref="H40" si="24">I40/(C40-I40)</f>
        <v>0.64932158680285601</v>
      </c>
      <c r="I40" s="53">
        <f t="shared" ref="I40" si="25">SUM(D40:G40)</f>
        <v>100468.14368092317</v>
      </c>
    </row>
    <row r="41" spans="1:9" x14ac:dyDescent="0.25">
      <c r="A41" s="52" t="s">
        <v>5237</v>
      </c>
      <c r="B41" s="53">
        <v>152318.33333333328</v>
      </c>
      <c r="C41" s="53">
        <f>SUMIF(Journal!$T:$T,A41,Journal!$Q:$Q)</f>
        <v>268291.75999999995</v>
      </c>
      <c r="D41" s="53">
        <f>SUMIFS(Journal!$U:$U,Journal!$T:$T,$A41,Journal!$G:$G,$D$10)</f>
        <v>102411.46255877339</v>
      </c>
      <c r="E41" s="53">
        <f>SUMIFS(Journal!$U:$U,Journal!$T:$T,$A41,Journal!$G:$G,$E$10)</f>
        <v>2078.703288171856</v>
      </c>
      <c r="F41" s="53">
        <f>SUMIFS(Journal!$U:$U,Journal!$T:$T,$A41,Journal!$G:$G,$F$10)</f>
        <v>1687.5561537299218</v>
      </c>
      <c r="G41" s="53">
        <f>SUMIFS(Journal!$U:$U,Journal!$T:$T,$A41,Journal!$G:$G,$G$10)</f>
        <v>0</v>
      </c>
      <c r="H41" s="106">
        <f t="shared" ref="H41" si="26">I41/(C41-I41)</f>
        <v>0.65495698775399946</v>
      </c>
      <c r="I41" s="53">
        <f t="shared" ref="I41" si="27">SUM(D41:G41)</f>
        <v>106177.72200067517</v>
      </c>
    </row>
    <row r="42" spans="1:9" x14ac:dyDescent="0.25">
      <c r="A42" s="52" t="s">
        <v>5238</v>
      </c>
      <c r="B42" s="53">
        <v>99647.018999999971</v>
      </c>
      <c r="C42" s="53">
        <f>SUMIF(Journal!$T:$T,A42,Journal!$Q:$Q)</f>
        <v>233250</v>
      </c>
      <c r="D42" s="53">
        <f>SUMIFS(Journal!$U:$U,Journal!$T:$T,$A42,Journal!$G:$G,$D$10)</f>
        <v>78098.121723609511</v>
      </c>
      <c r="E42" s="53">
        <f>SUMIFS(Journal!$U:$U,Journal!$T:$T,$A42,Journal!$G:$G,$E$10)</f>
        <v>4514.6884511278204</v>
      </c>
      <c r="F42" s="53">
        <f>SUMIFS(Journal!$U:$U,Journal!$T:$T,$A42,Journal!$G:$G,$F$10)</f>
        <v>-234.91719156414797</v>
      </c>
      <c r="G42" s="53">
        <f>SUMIFS(Journal!$U:$U,Journal!$T:$T,$A42,Journal!$G:$G,$G$10)</f>
        <v>0</v>
      </c>
      <c r="H42" s="106">
        <f t="shared" ref="H42" si="28">I42/(C42-I42)</f>
        <v>0.54601141729919334</v>
      </c>
      <c r="I42" s="53">
        <f t="shared" ref="I42" si="29">SUM(D42:G42)</f>
        <v>82377.89298317318</v>
      </c>
    </row>
    <row r="43" spans="1:9" x14ac:dyDescent="0.25">
      <c r="A43" s="52" t="s">
        <v>5239</v>
      </c>
      <c r="B43" s="53">
        <v>169581.69</v>
      </c>
      <c r="C43" s="53">
        <f>SUMIF(Journal!$T:$T,A43,Journal!$Q:$Q)</f>
        <v>215169.47</v>
      </c>
      <c r="D43" s="53">
        <f>SUMIFS(Journal!$U:$U,Journal!$T:$T,$A43,Journal!$G:$G,$D$10)</f>
        <v>67580.589848831863</v>
      </c>
      <c r="E43" s="53">
        <f>SUMIFS(Journal!$U:$U,Journal!$T:$T,$A43,Journal!$G:$G,$E$10)</f>
        <v>1842.5204099917037</v>
      </c>
      <c r="F43" s="53">
        <f>SUMIFS(Journal!$U:$U,Journal!$T:$T,$A43,Journal!$G:$G,$F$10)</f>
        <v>688</v>
      </c>
      <c r="G43" s="53">
        <f>SUMIFS(Journal!$U:$U,Journal!$T:$T,$A43,Journal!$G:$G,$G$10)</f>
        <v>3270.5828790489409</v>
      </c>
      <c r="H43" s="106">
        <f t="shared" ref="H43" si="30">I43/(C43-I43)</f>
        <v>0.51754597442646899</v>
      </c>
      <c r="I43" s="53">
        <f t="shared" ref="I43" si="31">SUM(D43:G43)</f>
        <v>73381.693137872513</v>
      </c>
    </row>
    <row r="44" spans="1:9" x14ac:dyDescent="0.25">
      <c r="A44" s="52" t="s">
        <v>5240</v>
      </c>
      <c r="B44" s="53">
        <v>166992.42999999993</v>
      </c>
      <c r="C44" s="53">
        <f>SUMIF(Journal!$T:$T,A44,Journal!$Q:$Q)</f>
        <v>339104.59</v>
      </c>
      <c r="D44" s="53">
        <f>SUMIFS(Journal!$U:$U,Journal!$T:$T,$A44,Journal!$G:$G,$D$10)</f>
        <v>115651.77116786203</v>
      </c>
      <c r="E44" s="53">
        <f>SUMIFS(Journal!$U:$U,Journal!$T:$T,$A44,Journal!$G:$G,$E$10)</f>
        <v>4679</v>
      </c>
      <c r="F44" s="53">
        <f>SUMIFS(Journal!$U:$U,Journal!$T:$T,$A44,Journal!$G:$G,$F$10)</f>
        <v>2722.6732469029107</v>
      </c>
      <c r="G44" s="53">
        <f>SUMIFS(Journal!$U:$U,Journal!$T:$T,$A44,Journal!$G:$G,$G$10)</f>
        <v>0</v>
      </c>
      <c r="H44" s="106">
        <f t="shared" ref="H44" si="32">I44/(C44-I44)</f>
        <v>0.56955700966750344</v>
      </c>
      <c r="I44" s="53">
        <f t="shared" ref="I44" si="33">SUM(D44:G44)</f>
        <v>123053.44441476493</v>
      </c>
    </row>
    <row r="45" spans="1:9" x14ac:dyDescent="0.25">
      <c r="A45" s="52" t="s">
        <v>5241</v>
      </c>
      <c r="B45" s="53">
        <v>184305.264</v>
      </c>
      <c r="C45" s="53">
        <f>SUMIF(Journal!$T:$T,A45,Journal!$Q:$Q)</f>
        <v>300850</v>
      </c>
      <c r="D45" s="53">
        <f>SUMIFS(Journal!$U:$U,Journal!$T:$T,$A45,Journal!$G:$G,$D$10)</f>
        <v>90443.115764565315</v>
      </c>
      <c r="E45" s="53">
        <f>SUMIFS(Journal!$U:$U,Journal!$T:$T,$A45,Journal!$G:$G,$E$10)</f>
        <v>8604.7779971190812</v>
      </c>
      <c r="F45" s="53">
        <f>SUMIFS(Journal!$U:$U,Journal!$T:$T,$A45,Journal!$G:$G,$F$10)</f>
        <v>2477.5930960275564</v>
      </c>
      <c r="G45" s="53">
        <f>SUMIFS(Journal!$U:$U,Journal!$T:$T,$A45,Journal!$G:$G,$G$10)</f>
        <v>0</v>
      </c>
      <c r="H45" s="106">
        <f t="shared" ref="H45" si="34">I45/(C45-I45)</f>
        <v>0.50934772275218276</v>
      </c>
      <c r="I45" s="53">
        <f t="shared" ref="I45" si="35">SUM(D45:G45)</f>
        <v>101525.48685771195</v>
      </c>
    </row>
    <row r="46" spans="1:9" x14ac:dyDescent="0.25">
      <c r="A46" s="52" t="s">
        <v>5242</v>
      </c>
      <c r="B46" s="53">
        <v>182586.0100000001</v>
      </c>
      <c r="C46" s="53">
        <f>SUMIF(Journal!$T:$T,A46,Journal!$Q:$Q)</f>
        <v>195550</v>
      </c>
      <c r="D46" s="53">
        <f>SUMIFS(Journal!$U:$U,Journal!$T:$T,$A46,Journal!$G:$G,$D$10)</f>
        <v>67091.244189586141</v>
      </c>
      <c r="E46" s="53">
        <f>SUMIFS(Journal!$U:$U,Journal!$T:$T,$A46,Journal!$G:$G,$E$10)</f>
        <v>2282.9646211646836</v>
      </c>
      <c r="F46" s="53">
        <f>SUMIFS(Journal!$U:$U,Journal!$T:$T,$A46,Journal!$G:$G,$F$10)</f>
        <v>6932.2002173131968</v>
      </c>
      <c r="G46" s="53">
        <f>SUMIFS(Journal!$U:$U,Journal!$T:$T,$A46,Journal!$G:$G,$G$10)</f>
        <v>0</v>
      </c>
      <c r="H46" s="106">
        <f t="shared" ref="H46" si="36">I46/(C46-I46)</f>
        <v>0.63992042176944142</v>
      </c>
      <c r="I46" s="53">
        <f t="shared" ref="I46" si="37">SUM(D46:G46)</f>
        <v>76306.409028064023</v>
      </c>
    </row>
    <row r="47" spans="1:9" x14ac:dyDescent="0.25">
      <c r="A47" s="52" t="s">
        <v>5243</v>
      </c>
      <c r="B47" s="53">
        <v>138714.5019737019</v>
      </c>
      <c r="C47" s="53">
        <f>SUMIF(Journal!$T:$T,A47,Journal!$Q:$Q)</f>
        <v>318070</v>
      </c>
      <c r="D47" s="53">
        <f>SUMIFS(Journal!$U:$U,Journal!$T:$T,$A47,Journal!$G:$G,$D$10)</f>
        <v>121562.45099598693</v>
      </c>
      <c r="E47" s="53">
        <f>SUMIFS(Journal!$U:$U,Journal!$T:$T,$A47,Journal!$G:$G,$E$10)</f>
        <v>3452.6933333333336</v>
      </c>
      <c r="F47" s="53">
        <f>SUMIFS(Journal!$U:$U,Journal!$T:$T,$A47,Journal!$G:$G,$F$10)</f>
        <v>0</v>
      </c>
      <c r="G47" s="53">
        <f>SUMIFS(Journal!$U:$U,Journal!$T:$T,$A47,Journal!$G:$G,$G$10)</f>
        <v>1956.6666666666667</v>
      </c>
      <c r="H47" s="106">
        <f t="shared" ref="H47" si="38">I47/(C47-I47)</f>
        <v>0.66443230915872531</v>
      </c>
      <c r="I47" s="53">
        <f t="shared" ref="I47" si="39">SUM(D47:G47)</f>
        <v>126971.81099598693</v>
      </c>
    </row>
    <row r="48" spans="1:9" x14ac:dyDescent="0.25">
      <c r="A48" s="52" t="s">
        <v>5244</v>
      </c>
      <c r="B48" s="53">
        <v>218147.42999999993</v>
      </c>
      <c r="C48" s="53">
        <f>SUMIF(Journal!$T:$T,A48,Journal!$Q:$Q)</f>
        <v>324100</v>
      </c>
      <c r="D48" s="53">
        <f>SUMIFS(Journal!$U:$U,Journal!$T:$T,$A48,Journal!$G:$G,$D$10)</f>
        <v>122562.47164443145</v>
      </c>
      <c r="E48" s="53">
        <f>SUMIFS(Journal!$U:$U,Journal!$T:$T,$A48,Journal!$G:$G,$E$10)</f>
        <v>654</v>
      </c>
      <c r="F48" s="53">
        <f>SUMIFS(Journal!$U:$U,Journal!$T:$T,$A48,Journal!$G:$G,$F$10)</f>
        <v>959.17910769891773</v>
      </c>
      <c r="G48" s="53">
        <f>SUMIFS(Journal!$U:$U,Journal!$T:$T,$A48,Journal!$G:$G,$G$10)</f>
        <v>0</v>
      </c>
      <c r="H48" s="106">
        <f t="shared" ref="H48" si="40">I48/(C48-I48)</f>
        <v>0.62111319216137739</v>
      </c>
      <c r="I48" s="53">
        <f t="shared" ref="I48" si="41">SUM(D48:G48)</f>
        <v>124175.65075213037</v>
      </c>
    </row>
    <row r="49" spans="1:9" x14ac:dyDescent="0.25">
      <c r="A49" s="52" t="s">
        <v>5245</v>
      </c>
      <c r="B49" s="53">
        <v>140500.50405122232</v>
      </c>
      <c r="C49" s="53">
        <f>SUMIF(Journal!$T:$T,A49,Journal!$Q:$Q)</f>
        <v>281600</v>
      </c>
      <c r="D49" s="53">
        <f>SUMIFS(Journal!$U:$U,Journal!$T:$T,$A49,Journal!$G:$G,$D$10)</f>
        <v>110087.14662471188</v>
      </c>
      <c r="E49" s="53">
        <f>SUMIFS(Journal!$U:$U,Journal!$T:$T,$A49,Journal!$G:$G,$E$10)</f>
        <v>2384</v>
      </c>
      <c r="F49" s="53">
        <f>SUMIFS(Journal!$U:$U,Journal!$T:$T,$A49,Journal!$G:$G,$F$10)</f>
        <v>351.3846160047467</v>
      </c>
      <c r="G49" s="53">
        <f>SUMIFS(Journal!$U:$U,Journal!$T:$T,$A49,Journal!$G:$G,$G$10)</f>
        <v>0</v>
      </c>
      <c r="H49" s="106">
        <f t="shared" ref="H49" si="42">I49/(C49-I49)</f>
        <v>0.66846915094827175</v>
      </c>
      <c r="I49" s="53">
        <f t="shared" ref="I49" si="43">SUM(D49:G49)</f>
        <v>112822.53124071662</v>
      </c>
    </row>
    <row r="50" spans="1:9" x14ac:dyDescent="0.25">
      <c r="A50" s="52" t="s">
        <v>5246</v>
      </c>
      <c r="B50" s="53">
        <v>187807.37606184141</v>
      </c>
      <c r="C50" s="53">
        <f>SUMIF(Journal!$T:$T,A50,Journal!$Q:$Q)</f>
        <v>252100</v>
      </c>
      <c r="D50" s="53">
        <f>SUMIFS(Journal!$U:$U,Journal!$T:$T,$A50,Journal!$G:$G,$D$10)</f>
        <v>100049.62246128332</v>
      </c>
      <c r="E50" s="53">
        <f>SUMIFS(Journal!$U:$U,Journal!$T:$T,$A50,Journal!$G:$G,$E$10)</f>
        <v>2676.7000000000003</v>
      </c>
      <c r="F50" s="53">
        <f>SUMIFS(Journal!$U:$U,Journal!$T:$T,$A50,Journal!$G:$G,$F$10)</f>
        <v>2041.2891867435155</v>
      </c>
      <c r="G50" s="53">
        <f>SUMIFS(Journal!$U:$U,Journal!$T:$T,$A50,Journal!$G:$G,$G$10)</f>
        <v>0</v>
      </c>
      <c r="H50" s="106">
        <f t="shared" ref="H50" si="44">I50/(C50-I50)</f>
        <v>0.71109694765647713</v>
      </c>
      <c r="I50" s="53">
        <f t="shared" ref="I50" si="45">SUM(D50:G50)</f>
        <v>104767.61164802682</v>
      </c>
    </row>
    <row r="51" spans="1:9" x14ac:dyDescent="0.25">
      <c r="A51" s="52" t="s">
        <v>5247</v>
      </c>
      <c r="B51" s="53">
        <v>161124.43000000005</v>
      </c>
      <c r="C51" s="53">
        <f>SUMIF(Journal!$T:$T,A51,Journal!$Q:$Q)</f>
        <v>283100</v>
      </c>
      <c r="D51" s="53">
        <f>SUMIFS(Journal!$U:$U,Journal!$T:$T,$A51,Journal!$G:$G,$D$10)</f>
        <v>111995.53871735012</v>
      </c>
      <c r="E51" s="53">
        <f>SUMIFS(Journal!$U:$U,Journal!$T:$T,$A51,Journal!$G:$G,$E$10)</f>
        <v>3688.3163986121344</v>
      </c>
      <c r="F51" s="53">
        <f>SUMIFS(Journal!$U:$U,Journal!$T:$T,$A51,Journal!$G:$G,$F$10)</f>
        <v>850.59851485760157</v>
      </c>
      <c r="G51" s="53">
        <f>SUMIFS(Journal!$U:$U,Journal!$T:$T,$A51,Journal!$G:$G,$G$10)</f>
        <v>964.21340617586111</v>
      </c>
      <c r="H51" s="106">
        <f t="shared" ref="H51" si="46">I51/(C51-I51)</f>
        <v>0.70952730231492267</v>
      </c>
      <c r="I51" s="53">
        <f t="shared" ref="I51" si="47">SUM(D51:G51)</f>
        <v>117498.66703699571</v>
      </c>
    </row>
    <row r="52" spans="1:9" x14ac:dyDescent="0.25">
      <c r="A52" s="52" t="s">
        <v>5248</v>
      </c>
      <c r="B52" s="53">
        <v>171590.79000000004</v>
      </c>
      <c r="C52" s="53">
        <f>SUMIF(Journal!$T:$T,A52,Journal!$Q:$Q)</f>
        <v>310000</v>
      </c>
      <c r="D52" s="53">
        <f>SUMIFS(Journal!$U:$U,Journal!$T:$T,$A52,Journal!$G:$G,$D$10)</f>
        <v>112649.70434192845</v>
      </c>
      <c r="E52" s="53">
        <f>SUMIFS(Journal!$U:$U,Journal!$T:$T,$A52,Journal!$G:$G,$E$10)</f>
        <v>9215.8106499429887</v>
      </c>
      <c r="F52" s="53">
        <f>SUMIFS(Journal!$U:$U,Journal!$T:$T,$A52,Journal!$G:$G,$F$10)</f>
        <v>0</v>
      </c>
      <c r="G52" s="53">
        <f>SUMIFS(Journal!$U:$U,Journal!$T:$T,$A52,Journal!$G:$G,$G$10)</f>
        <v>0</v>
      </c>
      <c r="H52" s="106">
        <f t="shared" ref="H52" si="48">I52/(C52-I52)</f>
        <v>0.64775745385863781</v>
      </c>
      <c r="I52" s="53">
        <f t="shared" ref="I52" si="49">SUM(D52:G52)</f>
        <v>121865.51499187143</v>
      </c>
    </row>
    <row r="53" spans="1:9" x14ac:dyDescent="0.25">
      <c r="A53" s="52" t="s">
        <v>5249</v>
      </c>
      <c r="B53" s="53">
        <v>142353.65406172335</v>
      </c>
      <c r="C53" s="53">
        <f>SUMIF(Journal!$T:$T,A53,Journal!$Q:$Q)</f>
        <v>218650</v>
      </c>
      <c r="D53" s="53">
        <f>SUMIFS(Journal!$U:$U,Journal!$T:$T,$A53,Journal!$G:$G,$D$10)</f>
        <v>92176.177561208824</v>
      </c>
      <c r="E53" s="53">
        <f>SUMIFS(Journal!$U:$U,Journal!$T:$T,$A53,Journal!$G:$G,$E$10)</f>
        <v>1736.2922532854338</v>
      </c>
      <c r="F53" s="53">
        <f>SUMIFS(Journal!$U:$U,Journal!$T:$T,$A53,Journal!$G:$G,$F$10)</f>
        <v>0</v>
      </c>
      <c r="G53" s="53">
        <f>SUMIFS(Journal!$U:$U,Journal!$T:$T,$A53,Journal!$G:$G,$G$10)</f>
        <v>1240</v>
      </c>
      <c r="H53" s="106">
        <f t="shared" ref="H53" si="50">I53/(C53-I53)</f>
        <v>0.77048075108518888</v>
      </c>
      <c r="I53" s="53">
        <f t="shared" ref="I53" si="51">SUM(D53:G53)</f>
        <v>95152.469814494252</v>
      </c>
    </row>
    <row r="54" spans="1:9" x14ac:dyDescent="0.25">
      <c r="A54" s="52" t="s">
        <v>5506</v>
      </c>
      <c r="B54" s="53">
        <v>155395.22999999998</v>
      </c>
      <c r="C54" s="53">
        <f>SUMIF(Journal!$T:$T,A54,Journal!$Q:$Q)</f>
        <v>271400</v>
      </c>
      <c r="D54" s="53">
        <f>SUMIFS(Journal!$U:$U,Journal!$T:$T,$A54,Journal!$G:$G,$D$10)</f>
        <v>96985.886861833584</v>
      </c>
      <c r="E54" s="53">
        <f>SUMIFS(Journal!$U:$U,Journal!$T:$T,$A54,Journal!$G:$G,$E$10)</f>
        <v>8512</v>
      </c>
      <c r="F54" s="53">
        <f>SUMIFS(Journal!$U:$U,Journal!$T:$T,$A54,Journal!$G:$G,$F$10)</f>
        <v>0</v>
      </c>
      <c r="G54" s="53">
        <f>SUMIFS(Journal!$U:$U,Journal!$T:$T,$A54,Journal!$G:$G,$G$10)</f>
        <v>1140</v>
      </c>
      <c r="H54" s="106">
        <f t="shared" ref="H54" si="52">I54/(C54-I54)</f>
        <v>0.64722335026383793</v>
      </c>
      <c r="I54" s="53">
        <f t="shared" ref="I54" si="53">SUM(D54:G54)</f>
        <v>106637.88686183358</v>
      </c>
    </row>
    <row r="55" spans="1:9" x14ac:dyDescent="0.25">
      <c r="A55" s="52" t="s">
        <v>5536</v>
      </c>
      <c r="B55" s="53">
        <v>175242.7600000001</v>
      </c>
      <c r="C55" s="53">
        <f>SUMIF(Journal!$T:$T,A55,Journal!$Q:$Q)</f>
        <v>265900</v>
      </c>
      <c r="D55" s="53">
        <f>SUMIFS(Journal!$U:$U,Journal!$T:$T,$A55,Journal!$G:$G,$D$10)</f>
        <v>97362.026680525669</v>
      </c>
      <c r="E55" s="53">
        <f>SUMIFS(Journal!$U:$U,Journal!$T:$T,$A55,Journal!$G:$G,$E$10)</f>
        <v>6554.0304288574034</v>
      </c>
      <c r="F55" s="53">
        <f>SUMIFS(Journal!$U:$U,Journal!$T:$T,$A55,Journal!$G:$G,$F$10)</f>
        <v>457</v>
      </c>
      <c r="G55" s="53">
        <f>SUMIFS(Journal!$U:$U,Journal!$T:$T,$A55,Journal!$G:$G,$G$10)</f>
        <v>0</v>
      </c>
      <c r="H55" s="106">
        <f t="shared" ref="H55" si="54">I55/(C55-I55)</f>
        <v>0.64616500034958602</v>
      </c>
      <c r="I55" s="53">
        <f t="shared" ref="I55" si="55">SUM(D55:G55)</f>
        <v>104373.05710938307</v>
      </c>
    </row>
    <row r="56" spans="1:9" x14ac:dyDescent="0.25">
      <c r="A56" s="52" t="s">
        <v>5716</v>
      </c>
      <c r="B56" s="53">
        <v>177283.00999999995</v>
      </c>
      <c r="C56" s="53">
        <f>SUMIF(Journal!$T:$T,A56,Journal!$Q:$Q)</f>
        <v>301450</v>
      </c>
      <c r="D56" s="53">
        <f>SUMIFS(Journal!$U:$U,Journal!$T:$T,$A56,Journal!$G:$G,$D$10)</f>
        <v>104542.18863975037</v>
      </c>
      <c r="E56" s="53">
        <f>SUMIFS(Journal!$U:$U,Journal!$T:$T,$A56,Journal!$G:$G,$E$10)</f>
        <v>1062</v>
      </c>
      <c r="F56" s="53">
        <f>SUMIFS(Journal!$U:$U,Journal!$T:$T,$A56,Journal!$G:$G,$F$10)</f>
        <v>1602.3407105391138</v>
      </c>
      <c r="G56" s="53">
        <f>SUMIFS(Journal!$U:$U,Journal!$T:$T,$A56,Journal!$G:$G,$G$10)</f>
        <v>0</v>
      </c>
      <c r="H56" s="106">
        <f t="shared" ref="H56:H58" si="56">I56/(C56-I56)</f>
        <v>0.55191831669657854</v>
      </c>
      <c r="I56" s="53">
        <f t="shared" ref="I56:I57" si="57">SUM(D56:G56)</f>
        <v>107206.52935028948</v>
      </c>
    </row>
    <row r="57" spans="1:9" x14ac:dyDescent="0.25">
      <c r="A57" s="52" t="s">
        <v>5717</v>
      </c>
      <c r="B57" s="53">
        <v>2056</v>
      </c>
      <c r="C57" s="53">
        <f>SUMIF(Journal!$T:$T,A57,Journal!$Q:$Q)</f>
        <v>255350</v>
      </c>
      <c r="D57" s="53">
        <f>SUMIFS(Journal!$U:$U,Journal!$T:$T,$A57,Journal!$G:$G,$D$10)</f>
        <v>89358.924610065311</v>
      </c>
      <c r="E57" s="53">
        <f>SUMIFS(Journal!$U:$U,Journal!$T:$T,$A57,Journal!$G:$G,$E$10)</f>
        <v>2457</v>
      </c>
      <c r="F57" s="53">
        <f>SUMIFS(Journal!$U:$U,Journal!$T:$T,$A57,Journal!$G:$G,$F$10)</f>
        <v>847.85517276578366</v>
      </c>
      <c r="G57" s="53">
        <f>SUMIFS(Journal!$U:$U,Journal!$T:$T,$A57,Journal!$G:$G,$G$10)</f>
        <v>0</v>
      </c>
      <c r="H57" s="106">
        <f t="shared" si="56"/>
        <v>0.56958591612205844</v>
      </c>
      <c r="I57" s="53">
        <f t="shared" si="57"/>
        <v>92663.779782831101</v>
      </c>
    </row>
    <row r="58" spans="1:9" x14ac:dyDescent="0.25">
      <c r="A58" s="52" t="s">
        <v>10</v>
      </c>
      <c r="B58" s="53">
        <v>7924994.5380716454</v>
      </c>
      <c r="C58" s="54">
        <f>SUM(C$11:C57)</f>
        <v>11703078.217234202</v>
      </c>
      <c r="D58" s="54">
        <f>SUM(D$11:D57)</f>
        <v>3842276.3434240702</v>
      </c>
      <c r="E58" s="54">
        <f>SUM(E$11:E57)</f>
        <v>471502.36502734578</v>
      </c>
      <c r="F58" s="54">
        <f>SUM(F$11:F57)</f>
        <v>107498.42926696574</v>
      </c>
      <c r="G58" s="54">
        <f>SUM(G$11:G57)</f>
        <v>56879.019290876793</v>
      </c>
      <c r="H58" s="111">
        <f t="shared" si="56"/>
        <v>0.61982068729331519</v>
      </c>
      <c r="I58" s="54">
        <f>SUM(I$11:I57)</f>
        <v>4478156.1570092589</v>
      </c>
    </row>
  </sheetData>
  <mergeCells count="3">
    <mergeCell ref="H9:H10"/>
    <mergeCell ref="D9:F9"/>
    <mergeCell ref="A2:B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4533-58D0-4E9C-A723-20258164C92F}">
  <sheetPr codeName="Лист7"/>
  <dimension ref="A1:B85"/>
  <sheetViews>
    <sheetView topLeftCell="A46" workbookViewId="0">
      <selection activeCell="A4" sqref="A4:B82"/>
    </sheetView>
  </sheetViews>
  <sheetFormatPr defaultRowHeight="15" x14ac:dyDescent="0.25"/>
  <cols>
    <col min="1" max="1" width="53.85546875" bestFit="1" customWidth="1"/>
    <col min="2" max="2" width="34.85546875" bestFit="1" customWidth="1"/>
    <col min="3" max="96" width="73.42578125" bestFit="1" customWidth="1"/>
    <col min="97" max="97" width="11.85546875" bestFit="1" customWidth="1"/>
  </cols>
  <sheetData>
    <row r="1" spans="1:2" x14ac:dyDescent="0.25">
      <c r="A1" s="51" t="s">
        <v>19</v>
      </c>
      <c r="B1" t="s">
        <v>2243</v>
      </c>
    </row>
    <row r="2" spans="1:2" x14ac:dyDescent="0.25">
      <c r="A2" s="51" t="s">
        <v>27</v>
      </c>
      <c r="B2" t="s">
        <v>4085</v>
      </c>
    </row>
    <row r="4" spans="1:2" x14ac:dyDescent="0.25">
      <c r="A4" s="51" t="s">
        <v>2</v>
      </c>
      <c r="B4" t="s">
        <v>4086</v>
      </c>
    </row>
    <row r="5" spans="1:2" x14ac:dyDescent="0.25">
      <c r="A5" s="52" t="s">
        <v>5353</v>
      </c>
      <c r="B5" s="178">
        <v>1</v>
      </c>
    </row>
    <row r="6" spans="1:2" x14ac:dyDescent="0.25">
      <c r="A6" s="52" t="s">
        <v>5349</v>
      </c>
      <c r="B6" s="178">
        <v>1</v>
      </c>
    </row>
    <row r="7" spans="1:2" x14ac:dyDescent="0.25">
      <c r="A7" s="52" t="s">
        <v>5348</v>
      </c>
      <c r="B7" s="178">
        <v>1</v>
      </c>
    </row>
    <row r="8" spans="1:2" x14ac:dyDescent="0.25">
      <c r="A8" s="52" t="s">
        <v>2768</v>
      </c>
      <c r="B8" s="178">
        <v>1</v>
      </c>
    </row>
    <row r="9" spans="1:2" x14ac:dyDescent="0.25">
      <c r="A9" s="52" t="s">
        <v>5317</v>
      </c>
      <c r="B9" s="178">
        <v>1</v>
      </c>
    </row>
    <row r="10" spans="1:2" x14ac:dyDescent="0.25">
      <c r="A10" s="52" t="s">
        <v>5358</v>
      </c>
      <c r="B10" s="178">
        <v>1</v>
      </c>
    </row>
    <row r="11" spans="1:2" x14ac:dyDescent="0.25">
      <c r="A11" s="52" t="s">
        <v>5312</v>
      </c>
      <c r="B11" s="178">
        <v>1</v>
      </c>
    </row>
    <row r="12" spans="1:2" x14ac:dyDescent="0.25">
      <c r="A12" s="52" t="s">
        <v>5341</v>
      </c>
      <c r="B12" s="178">
        <v>1</v>
      </c>
    </row>
    <row r="13" spans="1:2" x14ac:dyDescent="0.25">
      <c r="A13" s="52" t="s">
        <v>3957</v>
      </c>
      <c r="B13" s="178">
        <v>1</v>
      </c>
    </row>
    <row r="14" spans="1:2" x14ac:dyDescent="0.25">
      <c r="A14" s="52" t="s">
        <v>2271</v>
      </c>
      <c r="B14" s="178">
        <v>1</v>
      </c>
    </row>
    <row r="15" spans="1:2" x14ac:dyDescent="0.25">
      <c r="A15" s="52" t="s">
        <v>2272</v>
      </c>
      <c r="B15" s="178">
        <v>1</v>
      </c>
    </row>
    <row r="16" spans="1:2" x14ac:dyDescent="0.25">
      <c r="A16" s="52" t="s">
        <v>5318</v>
      </c>
      <c r="B16" s="178">
        <v>1</v>
      </c>
    </row>
    <row r="17" spans="1:2" x14ac:dyDescent="0.25">
      <c r="A17" s="52" t="s">
        <v>5346</v>
      </c>
      <c r="B17" s="178">
        <v>2</v>
      </c>
    </row>
    <row r="18" spans="1:2" x14ac:dyDescent="0.25">
      <c r="A18" s="52" t="s">
        <v>5333</v>
      </c>
      <c r="B18" s="178">
        <v>1</v>
      </c>
    </row>
    <row r="19" spans="1:2" x14ac:dyDescent="0.25">
      <c r="A19" s="52" t="s">
        <v>5319</v>
      </c>
      <c r="B19" s="178">
        <v>1</v>
      </c>
    </row>
    <row r="20" spans="1:2" x14ac:dyDescent="0.25">
      <c r="A20" s="52" t="s">
        <v>3958</v>
      </c>
      <c r="B20" s="178">
        <v>1</v>
      </c>
    </row>
    <row r="21" spans="1:2" x14ac:dyDescent="0.25">
      <c r="A21" s="52" t="s">
        <v>5347</v>
      </c>
      <c r="B21" s="178">
        <v>1</v>
      </c>
    </row>
    <row r="22" spans="1:2" x14ac:dyDescent="0.25">
      <c r="A22" s="52" t="s">
        <v>3959</v>
      </c>
      <c r="B22" s="178">
        <v>1</v>
      </c>
    </row>
    <row r="23" spans="1:2" x14ac:dyDescent="0.25">
      <c r="A23" s="52" t="s">
        <v>5320</v>
      </c>
      <c r="B23" s="178">
        <v>1</v>
      </c>
    </row>
    <row r="24" spans="1:2" x14ac:dyDescent="0.25">
      <c r="A24" s="52" t="s">
        <v>5323</v>
      </c>
      <c r="B24" s="178">
        <v>2</v>
      </c>
    </row>
    <row r="25" spans="1:2" x14ac:dyDescent="0.25">
      <c r="A25" s="52" t="s">
        <v>5359</v>
      </c>
      <c r="B25" s="178">
        <v>1</v>
      </c>
    </row>
    <row r="26" spans="1:2" x14ac:dyDescent="0.25">
      <c r="A26" s="52" t="s">
        <v>5325</v>
      </c>
      <c r="B26" s="178">
        <v>1</v>
      </c>
    </row>
    <row r="27" spans="1:2" x14ac:dyDescent="0.25">
      <c r="A27" s="52" t="s">
        <v>5326</v>
      </c>
      <c r="B27" s="178">
        <v>2</v>
      </c>
    </row>
    <row r="28" spans="1:2" x14ac:dyDescent="0.25">
      <c r="A28" s="52" t="s">
        <v>5314</v>
      </c>
      <c r="B28" s="178">
        <v>2</v>
      </c>
    </row>
    <row r="29" spans="1:2" x14ac:dyDescent="0.25">
      <c r="A29" s="52" t="s">
        <v>5360</v>
      </c>
      <c r="B29" s="178">
        <v>1</v>
      </c>
    </row>
    <row r="30" spans="1:2" x14ac:dyDescent="0.25">
      <c r="A30" s="52" t="s">
        <v>5361</v>
      </c>
      <c r="B30" s="178">
        <v>1</v>
      </c>
    </row>
    <row r="31" spans="1:2" x14ac:dyDescent="0.25">
      <c r="A31" s="52" t="s">
        <v>5315</v>
      </c>
      <c r="B31" s="178">
        <v>1</v>
      </c>
    </row>
    <row r="32" spans="1:2" x14ac:dyDescent="0.25">
      <c r="A32" s="52" t="s">
        <v>3960</v>
      </c>
      <c r="B32" s="178">
        <v>1</v>
      </c>
    </row>
    <row r="33" spans="1:2" x14ac:dyDescent="0.25">
      <c r="A33" s="52" t="s">
        <v>5362</v>
      </c>
      <c r="B33" s="178">
        <v>1</v>
      </c>
    </row>
    <row r="34" spans="1:2" x14ac:dyDescent="0.25">
      <c r="A34" s="52" t="s">
        <v>2513</v>
      </c>
      <c r="B34" s="178">
        <v>1</v>
      </c>
    </row>
    <row r="35" spans="1:2" x14ac:dyDescent="0.25">
      <c r="A35" s="52" t="s">
        <v>5336</v>
      </c>
      <c r="B35" s="178">
        <v>1</v>
      </c>
    </row>
    <row r="36" spans="1:2" x14ac:dyDescent="0.25">
      <c r="A36" s="52" t="s">
        <v>5309</v>
      </c>
      <c r="B36" s="178">
        <v>1</v>
      </c>
    </row>
    <row r="37" spans="1:2" x14ac:dyDescent="0.25">
      <c r="A37" s="52" t="s">
        <v>2515</v>
      </c>
      <c r="B37" s="178">
        <v>1</v>
      </c>
    </row>
    <row r="38" spans="1:2" x14ac:dyDescent="0.25">
      <c r="A38" s="52" t="s">
        <v>5363</v>
      </c>
      <c r="B38" s="178">
        <v>1</v>
      </c>
    </row>
    <row r="39" spans="1:2" x14ac:dyDescent="0.25">
      <c r="A39" s="52" t="s">
        <v>2516</v>
      </c>
      <c r="B39" s="178">
        <v>1</v>
      </c>
    </row>
    <row r="40" spans="1:2" x14ac:dyDescent="0.25">
      <c r="A40" s="52" t="s">
        <v>5310</v>
      </c>
      <c r="B40" s="178">
        <v>1</v>
      </c>
    </row>
    <row r="41" spans="1:2" x14ac:dyDescent="0.25">
      <c r="A41" s="52" t="s">
        <v>5364</v>
      </c>
      <c r="B41" s="178">
        <v>1</v>
      </c>
    </row>
    <row r="42" spans="1:2" x14ac:dyDescent="0.25">
      <c r="A42" s="52" t="s">
        <v>5339</v>
      </c>
      <c r="B42" s="178">
        <v>2</v>
      </c>
    </row>
    <row r="43" spans="1:2" x14ac:dyDescent="0.25">
      <c r="A43" s="52" t="s">
        <v>5365</v>
      </c>
      <c r="B43" s="178">
        <v>1</v>
      </c>
    </row>
    <row r="44" spans="1:2" x14ac:dyDescent="0.25">
      <c r="A44" s="52" t="s">
        <v>2517</v>
      </c>
      <c r="B44" s="178">
        <v>1</v>
      </c>
    </row>
    <row r="45" spans="1:2" x14ac:dyDescent="0.25">
      <c r="A45" s="52" t="s">
        <v>3966</v>
      </c>
      <c r="B45" s="178">
        <v>2</v>
      </c>
    </row>
    <row r="46" spans="1:2" x14ac:dyDescent="0.25">
      <c r="A46" s="52" t="s">
        <v>5416</v>
      </c>
      <c r="B46" s="178">
        <v>1</v>
      </c>
    </row>
    <row r="47" spans="1:2" x14ac:dyDescent="0.25">
      <c r="A47" s="52" t="s">
        <v>3968</v>
      </c>
      <c r="B47" s="178">
        <v>1</v>
      </c>
    </row>
    <row r="48" spans="1:2" x14ac:dyDescent="0.25">
      <c r="A48" s="52" t="s">
        <v>3977</v>
      </c>
      <c r="B48" s="178">
        <v>1</v>
      </c>
    </row>
    <row r="49" spans="1:2" x14ac:dyDescent="0.25">
      <c r="A49" s="52" t="s">
        <v>3970</v>
      </c>
      <c r="B49" s="178">
        <v>1</v>
      </c>
    </row>
    <row r="50" spans="1:2" x14ac:dyDescent="0.25">
      <c r="A50" s="52" t="s">
        <v>3972</v>
      </c>
      <c r="B50" s="178">
        <v>1</v>
      </c>
    </row>
    <row r="51" spans="1:2" x14ac:dyDescent="0.25">
      <c r="A51" s="52" t="s">
        <v>5419</v>
      </c>
      <c r="B51" s="178">
        <v>1</v>
      </c>
    </row>
    <row r="52" spans="1:2" x14ac:dyDescent="0.25">
      <c r="A52" s="52" t="s">
        <v>2255</v>
      </c>
      <c r="B52" s="178">
        <v>1</v>
      </c>
    </row>
    <row r="53" spans="1:2" x14ac:dyDescent="0.25">
      <c r="A53" s="52" t="s">
        <v>2256</v>
      </c>
      <c r="B53" s="178">
        <v>1</v>
      </c>
    </row>
    <row r="54" spans="1:2" x14ac:dyDescent="0.25">
      <c r="A54" s="52" t="s">
        <v>5345</v>
      </c>
      <c r="B54" s="178">
        <v>1</v>
      </c>
    </row>
    <row r="55" spans="1:2" x14ac:dyDescent="0.25">
      <c r="A55" s="52" t="s">
        <v>5313</v>
      </c>
      <c r="B55" s="178">
        <v>1</v>
      </c>
    </row>
    <row r="56" spans="1:2" x14ac:dyDescent="0.25">
      <c r="A56" s="52" t="s">
        <v>5332</v>
      </c>
      <c r="B56" s="178">
        <v>1</v>
      </c>
    </row>
    <row r="57" spans="1:2" x14ac:dyDescent="0.25">
      <c r="A57" s="52" t="s">
        <v>2253</v>
      </c>
      <c r="B57" s="178">
        <v>1</v>
      </c>
    </row>
    <row r="58" spans="1:2" x14ac:dyDescent="0.25">
      <c r="A58" s="52" t="s">
        <v>2254</v>
      </c>
      <c r="B58" s="178">
        <v>1</v>
      </c>
    </row>
    <row r="59" spans="1:2" x14ac:dyDescent="0.25">
      <c r="A59" s="52" t="s">
        <v>5342</v>
      </c>
      <c r="B59" s="178">
        <v>1</v>
      </c>
    </row>
    <row r="60" spans="1:2" x14ac:dyDescent="0.25">
      <c r="A60" s="52" t="s">
        <v>5350</v>
      </c>
      <c r="B60" s="178">
        <v>1</v>
      </c>
    </row>
    <row r="61" spans="1:2" x14ac:dyDescent="0.25">
      <c r="A61" s="52" t="s">
        <v>5328</v>
      </c>
      <c r="B61" s="178">
        <v>1</v>
      </c>
    </row>
    <row r="62" spans="1:2" x14ac:dyDescent="0.25">
      <c r="A62" s="52" t="s">
        <v>5329</v>
      </c>
      <c r="B62" s="178">
        <v>1</v>
      </c>
    </row>
    <row r="63" spans="1:2" x14ac:dyDescent="0.25">
      <c r="A63" s="52" t="s">
        <v>2514</v>
      </c>
      <c r="B63" s="178">
        <v>1</v>
      </c>
    </row>
    <row r="64" spans="1:2" x14ac:dyDescent="0.25">
      <c r="A64" s="52" t="s">
        <v>5335</v>
      </c>
      <c r="B64" s="178">
        <v>1</v>
      </c>
    </row>
    <row r="65" spans="1:2" x14ac:dyDescent="0.25">
      <c r="A65" s="52" t="s">
        <v>5338</v>
      </c>
      <c r="B65" s="178">
        <v>1</v>
      </c>
    </row>
    <row r="66" spans="1:2" x14ac:dyDescent="0.25">
      <c r="A66" s="52" t="s">
        <v>3961</v>
      </c>
      <c r="B66" s="178">
        <v>1</v>
      </c>
    </row>
    <row r="67" spans="1:2" x14ac:dyDescent="0.25">
      <c r="A67" s="52" t="s">
        <v>3974</v>
      </c>
      <c r="B67" s="178">
        <v>1</v>
      </c>
    </row>
    <row r="68" spans="1:2" x14ac:dyDescent="0.25">
      <c r="A68" s="52" t="s">
        <v>3975</v>
      </c>
      <c r="B68" s="178">
        <v>1</v>
      </c>
    </row>
    <row r="69" spans="1:2" x14ac:dyDescent="0.25">
      <c r="A69" s="52" t="s">
        <v>3979</v>
      </c>
      <c r="B69" s="178">
        <v>1</v>
      </c>
    </row>
    <row r="70" spans="1:2" x14ac:dyDescent="0.25">
      <c r="A70" s="52" t="s">
        <v>2273</v>
      </c>
      <c r="B70" s="178">
        <v>1</v>
      </c>
    </row>
    <row r="71" spans="1:2" x14ac:dyDescent="0.25">
      <c r="A71" s="52" t="s">
        <v>5354</v>
      </c>
      <c r="B71" s="178">
        <v>1</v>
      </c>
    </row>
    <row r="72" spans="1:2" x14ac:dyDescent="0.25">
      <c r="A72" s="52" t="s">
        <v>5356</v>
      </c>
      <c r="B72" s="178">
        <v>1</v>
      </c>
    </row>
    <row r="73" spans="1:2" x14ac:dyDescent="0.25">
      <c r="A73" s="52" t="s">
        <v>3963</v>
      </c>
      <c r="B73" s="178">
        <v>1</v>
      </c>
    </row>
    <row r="74" spans="1:2" x14ac:dyDescent="0.25">
      <c r="A74" s="52" t="s">
        <v>5316</v>
      </c>
      <c r="B74" s="178">
        <v>1</v>
      </c>
    </row>
    <row r="75" spans="1:2" x14ac:dyDescent="0.25">
      <c r="A75" s="52" t="s">
        <v>5366</v>
      </c>
      <c r="B75" s="178">
        <v>1</v>
      </c>
    </row>
    <row r="76" spans="1:2" x14ac:dyDescent="0.25">
      <c r="A76" s="52" t="s">
        <v>5351</v>
      </c>
      <c r="B76" s="178">
        <v>1</v>
      </c>
    </row>
    <row r="77" spans="1:2" x14ac:dyDescent="0.25">
      <c r="A77" s="52" t="s">
        <v>2275</v>
      </c>
      <c r="B77" s="178">
        <v>1</v>
      </c>
    </row>
    <row r="78" spans="1:2" x14ac:dyDescent="0.25">
      <c r="A78" s="52" t="s">
        <v>5324</v>
      </c>
      <c r="B78" s="178">
        <v>1</v>
      </c>
    </row>
    <row r="79" spans="1:2" x14ac:dyDescent="0.25">
      <c r="A79" s="52" t="s">
        <v>5340</v>
      </c>
      <c r="B79" s="178">
        <v>1</v>
      </c>
    </row>
    <row r="80" spans="1:2" x14ac:dyDescent="0.25">
      <c r="A80" s="52" t="s">
        <v>5344</v>
      </c>
      <c r="B80" s="178">
        <v>1</v>
      </c>
    </row>
    <row r="81" spans="1:2" x14ac:dyDescent="0.25">
      <c r="A81" s="52" t="s">
        <v>2518</v>
      </c>
      <c r="B81" s="178">
        <v>1</v>
      </c>
    </row>
    <row r="82" spans="1:2" x14ac:dyDescent="0.25">
      <c r="A82" s="52" t="s">
        <v>2274</v>
      </c>
      <c r="B82" s="178">
        <v>1</v>
      </c>
    </row>
    <row r="83" spans="1:2" x14ac:dyDescent="0.25">
      <c r="A83" s="52" t="s">
        <v>2257</v>
      </c>
      <c r="B83" s="178">
        <v>1</v>
      </c>
    </row>
    <row r="84" spans="1:2" x14ac:dyDescent="0.25">
      <c r="A84" s="52" t="s">
        <v>2258</v>
      </c>
      <c r="B84" s="178">
        <v>1</v>
      </c>
    </row>
    <row r="85" spans="1:2" x14ac:dyDescent="0.25">
      <c r="A85" s="52" t="s">
        <v>10</v>
      </c>
      <c r="B85" s="178">
        <v>86</v>
      </c>
    </row>
  </sheetData>
  <pageMargins left="0.19" right="0.2" top="0.24" bottom="0.75" header="0.3" footer="0.3"/>
  <pageSetup paperSize="9" orientation="portrait" horizontalDpi="4294967293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1D87-4AFF-4320-957D-8FB75E7CFA14}">
  <sheetPr codeName="Лист8">
    <pageSetUpPr fitToPage="1"/>
  </sheetPr>
  <dimension ref="A1:E40"/>
  <sheetViews>
    <sheetView workbookViewId="0">
      <selection activeCell="A15" sqref="A15"/>
    </sheetView>
  </sheetViews>
  <sheetFormatPr defaultRowHeight="15" x14ac:dyDescent="0.25"/>
  <cols>
    <col min="1" max="1" width="23.85546875" bestFit="1" customWidth="1"/>
    <col min="2" max="2" width="10.28515625" bestFit="1" customWidth="1"/>
    <col min="3" max="3" width="3.28515625" customWidth="1"/>
    <col min="4" max="4" width="48.85546875" customWidth="1"/>
    <col min="5" max="5" width="8.140625" bestFit="1" customWidth="1"/>
  </cols>
  <sheetData>
    <row r="1" spans="1:5" ht="15.75" thickBot="1" x14ac:dyDescent="0.3">
      <c r="A1" t="s">
        <v>2</v>
      </c>
      <c r="B1" t="s">
        <v>5367</v>
      </c>
      <c r="D1" s="199" t="s">
        <v>2</v>
      </c>
      <c r="E1" s="199" t="s">
        <v>5367</v>
      </c>
    </row>
    <row r="2" spans="1:5" x14ac:dyDescent="0.25">
      <c r="A2" t="s">
        <v>5353</v>
      </c>
      <c r="B2">
        <v>1</v>
      </c>
      <c r="D2" s="200" t="s">
        <v>5365</v>
      </c>
      <c r="E2" s="200">
        <v>1</v>
      </c>
    </row>
    <row r="3" spans="1:5" x14ac:dyDescent="0.25">
      <c r="A3" t="s">
        <v>5349</v>
      </c>
      <c r="B3">
        <v>1</v>
      </c>
      <c r="D3" s="201" t="s">
        <v>2517</v>
      </c>
      <c r="E3" s="201">
        <v>1</v>
      </c>
    </row>
    <row r="4" spans="1:5" x14ac:dyDescent="0.25">
      <c r="A4" t="s">
        <v>5348</v>
      </c>
      <c r="B4">
        <v>1</v>
      </c>
      <c r="D4" s="200" t="s">
        <v>3966</v>
      </c>
      <c r="E4" s="200">
        <v>1</v>
      </c>
    </row>
    <row r="5" spans="1:5" x14ac:dyDescent="0.25">
      <c r="A5" t="s">
        <v>2768</v>
      </c>
      <c r="B5">
        <v>1</v>
      </c>
      <c r="D5" s="201" t="s">
        <v>3968</v>
      </c>
      <c r="E5" s="201">
        <v>1</v>
      </c>
    </row>
    <row r="6" spans="1:5" x14ac:dyDescent="0.25">
      <c r="A6" t="s">
        <v>5317</v>
      </c>
      <c r="B6">
        <v>1</v>
      </c>
      <c r="D6" s="200" t="s">
        <v>3977</v>
      </c>
      <c r="E6" s="200">
        <v>1</v>
      </c>
    </row>
    <row r="7" spans="1:5" x14ac:dyDescent="0.25">
      <c r="A7" t="s">
        <v>5358</v>
      </c>
      <c r="B7">
        <v>1</v>
      </c>
      <c r="D7" s="201" t="s">
        <v>3970</v>
      </c>
      <c r="E7" s="201">
        <v>1</v>
      </c>
    </row>
    <row r="8" spans="1:5" x14ac:dyDescent="0.25">
      <c r="A8" t="s">
        <v>5312</v>
      </c>
      <c r="B8">
        <v>1</v>
      </c>
      <c r="D8" s="200" t="s">
        <v>2255</v>
      </c>
      <c r="E8" s="200">
        <v>1</v>
      </c>
    </row>
    <row r="9" spans="1:5" x14ac:dyDescent="0.25">
      <c r="A9" t="s">
        <v>5341</v>
      </c>
      <c r="B9">
        <v>1</v>
      </c>
      <c r="D9" s="201" t="s">
        <v>2256</v>
      </c>
      <c r="E9" s="201">
        <v>1</v>
      </c>
    </row>
    <row r="10" spans="1:5" x14ac:dyDescent="0.25">
      <c r="A10" t="s">
        <v>3957</v>
      </c>
      <c r="B10">
        <v>1</v>
      </c>
      <c r="D10" s="200" t="s">
        <v>5345</v>
      </c>
      <c r="E10" s="200">
        <v>1</v>
      </c>
    </row>
    <row r="11" spans="1:5" x14ac:dyDescent="0.25">
      <c r="A11" t="s">
        <v>2271</v>
      </c>
      <c r="B11">
        <v>1</v>
      </c>
      <c r="D11" s="201" t="s">
        <v>5313</v>
      </c>
      <c r="E11" s="201">
        <v>1</v>
      </c>
    </row>
    <row r="12" spans="1:5" x14ac:dyDescent="0.25">
      <c r="A12" t="s">
        <v>2272</v>
      </c>
      <c r="B12">
        <v>1</v>
      </c>
      <c r="D12" s="200" t="s">
        <v>5332</v>
      </c>
      <c r="E12" s="200">
        <v>1</v>
      </c>
    </row>
    <row r="13" spans="1:5" x14ac:dyDescent="0.25">
      <c r="A13" t="s">
        <v>5318</v>
      </c>
      <c r="B13">
        <v>1</v>
      </c>
      <c r="D13" s="201" t="s">
        <v>2253</v>
      </c>
      <c r="E13" s="201">
        <v>1</v>
      </c>
    </row>
    <row r="14" spans="1:5" x14ac:dyDescent="0.25">
      <c r="A14" t="s">
        <v>5346</v>
      </c>
      <c r="B14">
        <v>2</v>
      </c>
      <c r="D14" s="200" t="s">
        <v>2254</v>
      </c>
      <c r="E14" s="200">
        <v>1</v>
      </c>
    </row>
    <row r="15" spans="1:5" x14ac:dyDescent="0.25">
      <c r="A15" t="s">
        <v>5333</v>
      </c>
      <c r="B15">
        <v>1</v>
      </c>
      <c r="D15" s="201" t="s">
        <v>5342</v>
      </c>
      <c r="E15" s="201">
        <v>1</v>
      </c>
    </row>
    <row r="16" spans="1:5" x14ac:dyDescent="0.25">
      <c r="A16" t="s">
        <v>5319</v>
      </c>
      <c r="B16">
        <v>1</v>
      </c>
      <c r="D16" s="200" t="s">
        <v>5350</v>
      </c>
      <c r="E16" s="200">
        <v>1</v>
      </c>
    </row>
    <row r="17" spans="1:5" x14ac:dyDescent="0.25">
      <c r="A17" t="s">
        <v>3958</v>
      </c>
      <c r="B17">
        <v>1</v>
      </c>
      <c r="D17" s="201" t="s">
        <v>5328</v>
      </c>
      <c r="E17" s="201">
        <v>1</v>
      </c>
    </row>
    <row r="18" spans="1:5" x14ac:dyDescent="0.25">
      <c r="A18" t="s">
        <v>5347</v>
      </c>
      <c r="B18">
        <v>1</v>
      </c>
      <c r="D18" s="200" t="s">
        <v>5329</v>
      </c>
      <c r="E18" s="200">
        <v>1</v>
      </c>
    </row>
    <row r="19" spans="1:5" x14ac:dyDescent="0.25">
      <c r="A19" t="s">
        <v>3959</v>
      </c>
      <c r="B19">
        <v>1</v>
      </c>
      <c r="D19" s="201" t="s">
        <v>2514</v>
      </c>
      <c r="E19" s="201">
        <v>1</v>
      </c>
    </row>
    <row r="20" spans="1:5" x14ac:dyDescent="0.25">
      <c r="A20" t="s">
        <v>5320</v>
      </c>
      <c r="B20">
        <v>1</v>
      </c>
      <c r="D20" s="200" t="s">
        <v>5335</v>
      </c>
      <c r="E20" s="200">
        <v>1</v>
      </c>
    </row>
    <row r="21" spans="1:5" x14ac:dyDescent="0.25">
      <c r="A21" t="s">
        <v>5323</v>
      </c>
      <c r="B21">
        <v>2</v>
      </c>
      <c r="D21" s="201" t="s">
        <v>5338</v>
      </c>
      <c r="E21" s="201">
        <v>1</v>
      </c>
    </row>
    <row r="22" spans="1:5" x14ac:dyDescent="0.25">
      <c r="A22" t="s">
        <v>5359</v>
      </c>
      <c r="B22">
        <v>1</v>
      </c>
      <c r="D22" s="200" t="s">
        <v>3961</v>
      </c>
      <c r="E22" s="200">
        <v>1</v>
      </c>
    </row>
    <row r="23" spans="1:5" x14ac:dyDescent="0.25">
      <c r="A23" t="s">
        <v>5325</v>
      </c>
      <c r="B23">
        <v>1</v>
      </c>
      <c r="D23" s="201" t="s">
        <v>3974</v>
      </c>
      <c r="E23" s="201">
        <v>1</v>
      </c>
    </row>
    <row r="24" spans="1:5" x14ac:dyDescent="0.25">
      <c r="A24" t="s">
        <v>5326</v>
      </c>
      <c r="B24">
        <v>2</v>
      </c>
      <c r="D24" s="200" t="s">
        <v>3975</v>
      </c>
      <c r="E24" s="200">
        <v>1</v>
      </c>
    </row>
    <row r="25" spans="1:5" x14ac:dyDescent="0.25">
      <c r="A25" t="s">
        <v>5314</v>
      </c>
      <c r="B25">
        <v>2</v>
      </c>
      <c r="D25" s="201" t="s">
        <v>3979</v>
      </c>
      <c r="E25" s="201">
        <v>1</v>
      </c>
    </row>
    <row r="26" spans="1:5" x14ac:dyDescent="0.25">
      <c r="A26" t="s">
        <v>5360</v>
      </c>
      <c r="B26">
        <v>1</v>
      </c>
      <c r="D26" s="200" t="s">
        <v>2273</v>
      </c>
      <c r="E26" s="200">
        <v>1</v>
      </c>
    </row>
    <row r="27" spans="1:5" x14ac:dyDescent="0.25">
      <c r="A27" t="s">
        <v>5361</v>
      </c>
      <c r="B27">
        <v>1</v>
      </c>
      <c r="D27" s="201" t="s">
        <v>5354</v>
      </c>
      <c r="E27" s="201">
        <v>1</v>
      </c>
    </row>
    <row r="28" spans="1:5" x14ac:dyDescent="0.25">
      <c r="A28" t="s">
        <v>5315</v>
      </c>
      <c r="B28">
        <v>1</v>
      </c>
      <c r="D28" s="200" t="s">
        <v>5356</v>
      </c>
      <c r="E28" s="200">
        <v>1</v>
      </c>
    </row>
    <row r="29" spans="1:5" x14ac:dyDescent="0.25">
      <c r="A29" t="s">
        <v>3960</v>
      </c>
      <c r="B29">
        <v>1</v>
      </c>
      <c r="D29" s="201" t="s">
        <v>3963</v>
      </c>
      <c r="E29" s="201">
        <v>1</v>
      </c>
    </row>
    <row r="30" spans="1:5" x14ac:dyDescent="0.25">
      <c r="A30" t="s">
        <v>5362</v>
      </c>
      <c r="B30">
        <v>1</v>
      </c>
      <c r="D30" s="200" t="s">
        <v>5316</v>
      </c>
      <c r="E30" s="200">
        <v>1</v>
      </c>
    </row>
    <row r="31" spans="1:5" x14ac:dyDescent="0.25">
      <c r="A31" t="s">
        <v>2513</v>
      </c>
      <c r="B31">
        <v>1</v>
      </c>
      <c r="D31" s="201" t="s">
        <v>5366</v>
      </c>
      <c r="E31" s="201">
        <v>1</v>
      </c>
    </row>
    <row r="32" spans="1:5" x14ac:dyDescent="0.25">
      <c r="A32" t="s">
        <v>5336</v>
      </c>
      <c r="B32">
        <v>1</v>
      </c>
      <c r="D32" s="200" t="s">
        <v>5351</v>
      </c>
      <c r="E32" s="200">
        <v>1</v>
      </c>
    </row>
    <row r="33" spans="1:5" x14ac:dyDescent="0.25">
      <c r="A33" t="s">
        <v>5309</v>
      </c>
      <c r="B33">
        <v>1</v>
      </c>
      <c r="D33" s="201" t="s">
        <v>2275</v>
      </c>
      <c r="E33" s="201">
        <v>1</v>
      </c>
    </row>
    <row r="34" spans="1:5" x14ac:dyDescent="0.25">
      <c r="A34" t="s">
        <v>2515</v>
      </c>
      <c r="B34">
        <v>1</v>
      </c>
      <c r="D34" s="200" t="s">
        <v>5324</v>
      </c>
      <c r="E34" s="200">
        <v>1</v>
      </c>
    </row>
    <row r="35" spans="1:5" x14ac:dyDescent="0.25">
      <c r="A35" t="s">
        <v>5363</v>
      </c>
      <c r="B35">
        <v>1</v>
      </c>
      <c r="D35" s="201" t="s">
        <v>5340</v>
      </c>
      <c r="E35" s="201">
        <v>1</v>
      </c>
    </row>
    <row r="36" spans="1:5" x14ac:dyDescent="0.25">
      <c r="A36" t="s">
        <v>2516</v>
      </c>
      <c r="B36">
        <v>1</v>
      </c>
      <c r="D36" s="200" t="s">
        <v>5344</v>
      </c>
      <c r="E36" s="200">
        <v>1</v>
      </c>
    </row>
    <row r="37" spans="1:5" x14ac:dyDescent="0.25">
      <c r="A37" t="s">
        <v>5310</v>
      </c>
      <c r="B37">
        <v>1</v>
      </c>
      <c r="D37" s="201" t="s">
        <v>2518</v>
      </c>
      <c r="E37" s="201">
        <v>1</v>
      </c>
    </row>
    <row r="38" spans="1:5" x14ac:dyDescent="0.25">
      <c r="A38" t="s">
        <v>5364</v>
      </c>
      <c r="B38">
        <v>1</v>
      </c>
      <c r="D38" s="200" t="s">
        <v>2274</v>
      </c>
      <c r="E38" s="200">
        <v>1</v>
      </c>
    </row>
    <row r="39" spans="1:5" x14ac:dyDescent="0.25">
      <c r="A39" t="s">
        <v>5339</v>
      </c>
      <c r="B39">
        <v>2</v>
      </c>
      <c r="D39" s="201" t="s">
        <v>2257</v>
      </c>
      <c r="E39" s="201">
        <v>1</v>
      </c>
    </row>
    <row r="40" spans="1:5" x14ac:dyDescent="0.25">
      <c r="D40" s="200" t="s">
        <v>2258</v>
      </c>
      <c r="E40" s="200">
        <v>1</v>
      </c>
    </row>
  </sheetData>
  <pageMargins left="0.28999999999999998" right="0.2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F7D3-E7C2-44BF-B258-B82FABBBEE2C}">
  <sheetPr codeName="Лист23"/>
  <dimension ref="A1:AF6349"/>
  <sheetViews>
    <sheetView zoomScaleNormal="100" workbookViewId="0">
      <pane ySplit="2" topLeftCell="A5911" activePane="bottomLeft" state="frozen"/>
      <selection activeCell="H4889" sqref="H4889:L4899"/>
      <selection pane="bottomLeft" activeCell="L5936" sqref="L5936"/>
    </sheetView>
  </sheetViews>
  <sheetFormatPr defaultColWidth="6.5703125" defaultRowHeight="12.75" outlineLevelCol="1" x14ac:dyDescent="0.2"/>
  <cols>
    <col min="1" max="1" width="12.5703125" style="37" bestFit="1" customWidth="1"/>
    <col min="2" max="2" width="11.85546875" style="37" customWidth="1" outlineLevel="1"/>
    <col min="3" max="3" width="10.7109375" style="37" customWidth="1" outlineLevel="1"/>
    <col min="4" max="4" width="13" style="37" customWidth="1" outlineLevel="1"/>
    <col min="5" max="5" width="11.28515625" style="38" customWidth="1" outlineLevel="1"/>
    <col min="6" max="6" width="10.5703125" style="38" customWidth="1" outlineLevel="1"/>
    <col min="7" max="7" width="13.7109375" style="2" customWidth="1"/>
    <col min="8" max="8" width="11.7109375" style="162" customWidth="1"/>
    <col min="9" max="9" width="15.42578125" style="2" customWidth="1"/>
    <col min="10" max="10" width="80.28515625" style="33" customWidth="1"/>
    <col min="11" max="11" width="10.140625" style="36" customWidth="1" outlineLevel="1"/>
    <col min="12" max="12" width="11" style="36" customWidth="1" outlineLevel="1"/>
    <col min="13" max="13" width="10" style="36" customWidth="1" outlineLevel="1"/>
    <col min="14" max="14" width="9.7109375" style="36" customWidth="1" outlineLevel="1"/>
    <col min="15" max="15" width="10.28515625" style="36" customWidth="1" outlineLevel="1"/>
    <col min="16" max="17" width="11.28515625" style="36" customWidth="1"/>
    <col min="18" max="18" width="10.28515625" style="38" customWidth="1"/>
    <col min="19" max="19" width="22.7109375" style="38" customWidth="1"/>
    <col min="20" max="20" width="10.28515625" style="38" customWidth="1"/>
    <col min="21" max="21" width="12.85546875" style="39" customWidth="1"/>
    <col min="22" max="22" width="10.28515625" style="40" customWidth="1"/>
    <col min="23" max="23" width="6.85546875" style="33" customWidth="1"/>
    <col min="24" max="24" width="11.85546875" style="35" customWidth="1"/>
    <col min="25" max="25" width="11.5703125" style="35" customWidth="1"/>
    <col min="26" max="26" width="15" style="33" bestFit="1" customWidth="1"/>
    <col min="27" max="34" width="16.28515625" style="33" customWidth="1"/>
    <col min="35" max="35" width="7.28515625" style="33" bestFit="1" customWidth="1"/>
    <col min="36" max="16384" width="6.5703125" style="33"/>
  </cols>
  <sheetData>
    <row r="1" spans="1:32" s="42" customFormat="1" ht="38.25" customHeight="1" x14ac:dyDescent="0.25">
      <c r="A1" s="76" t="s">
        <v>11</v>
      </c>
      <c r="B1" s="77" t="s">
        <v>12</v>
      </c>
      <c r="C1" s="77" t="s">
        <v>13</v>
      </c>
      <c r="D1" s="77" t="s">
        <v>14</v>
      </c>
      <c r="E1" s="78" t="s">
        <v>15</v>
      </c>
      <c r="F1" s="78" t="s">
        <v>16</v>
      </c>
      <c r="G1" s="79" t="s">
        <v>18</v>
      </c>
      <c r="H1" s="76" t="s">
        <v>17</v>
      </c>
      <c r="I1" s="79" t="s">
        <v>19</v>
      </c>
      <c r="J1" s="79" t="s">
        <v>20</v>
      </c>
      <c r="K1" s="80" t="s">
        <v>21</v>
      </c>
      <c r="L1" s="80" t="s">
        <v>3611</v>
      </c>
      <c r="M1" s="80" t="s">
        <v>22</v>
      </c>
      <c r="N1" s="80" t="s">
        <v>23</v>
      </c>
      <c r="O1" s="80" t="s">
        <v>24</v>
      </c>
      <c r="P1" s="80" t="s">
        <v>25</v>
      </c>
      <c r="Q1" s="80" t="s">
        <v>26</v>
      </c>
      <c r="R1" s="81" t="s">
        <v>27</v>
      </c>
      <c r="S1" s="81" t="s">
        <v>3511</v>
      </c>
      <c r="T1" s="81" t="s">
        <v>28</v>
      </c>
      <c r="U1" s="82" t="s">
        <v>29</v>
      </c>
      <c r="V1" s="83" t="s">
        <v>30</v>
      </c>
      <c r="X1" s="43"/>
      <c r="Y1" s="43" t="s">
        <v>1651</v>
      </c>
    </row>
    <row r="2" spans="1:32" s="28" customFormat="1" x14ac:dyDescent="0.25">
      <c r="A2" s="84"/>
      <c r="B2" s="85"/>
      <c r="C2" s="85"/>
      <c r="D2" s="86"/>
      <c r="E2" s="87"/>
      <c r="F2" s="87"/>
      <c r="G2" s="88"/>
      <c r="H2" s="84"/>
      <c r="I2" s="89"/>
      <c r="J2" s="88"/>
      <c r="K2" s="90">
        <f>SUBTOTAL(3,K$3:K$6343)</f>
        <v>5935</v>
      </c>
      <c r="L2" s="90">
        <f t="shared" ref="L2:Q2" si="0">SUBTOTAL(9,L$3:L$6343)</f>
        <v>-105536.6360155521</v>
      </c>
      <c r="M2" s="90">
        <f t="shared" si="0"/>
        <v>-39087.917000000052</v>
      </c>
      <c r="N2" s="90">
        <f t="shared" si="0"/>
        <v>-1012.3829844478884</v>
      </c>
      <c r="O2" s="90">
        <f t="shared" si="0"/>
        <v>139361.50124683266</v>
      </c>
      <c r="P2" s="90">
        <f t="shared" si="0"/>
        <v>8064317.4580716323</v>
      </c>
      <c r="Q2" s="90">
        <f t="shared" si="0"/>
        <v>11773267.637234207</v>
      </c>
      <c r="R2" s="104">
        <f>SUBTOTAL(3,R$3:R$6343)</f>
        <v>5176</v>
      </c>
      <c r="S2" s="104"/>
      <c r="T2" s="104">
        <f>SUBTOTAL(2,T$3:T$6343)</f>
        <v>0</v>
      </c>
      <c r="U2" s="91">
        <f>SUBTOTAL(9,U$3:U$6343)</f>
        <v>3708950.1791625554</v>
      </c>
      <c r="V2" s="92">
        <f>SUBTOTAL(1,V$3:V$6343)</f>
        <v>0.81620417365594111</v>
      </c>
      <c r="X2" s="43"/>
      <c r="Y2" s="91" t="s">
        <v>5</v>
      </c>
      <c r="Z2" s="91">
        <f>SUMIFS($U:$U,$T:$T,"",$G:$G,Y2)</f>
        <v>-503103.24910692219</v>
      </c>
      <c r="AA2" s="91" t="s">
        <v>6</v>
      </c>
      <c r="AB2" s="91">
        <f>SUMIFS($U:$U,$T:$T,"",$G:$G,AA2)</f>
        <v>-33152.913082074949</v>
      </c>
      <c r="AC2" s="91" t="s">
        <v>7</v>
      </c>
      <c r="AD2" s="91">
        <f>SUMIFS($U:$U,$T:$T,"",$G:$G,AC2)</f>
        <v>-139327.61765272793</v>
      </c>
      <c r="AE2" s="91" t="s">
        <v>8</v>
      </c>
      <c r="AF2" s="91">
        <f>SUMIFS($U:$U,$T:$T,"",$G:$G,AE2)</f>
        <v>-94394.209991560027</v>
      </c>
    </row>
    <row r="3" spans="1:32" x14ac:dyDescent="0.2">
      <c r="A3" s="93" t="s">
        <v>31</v>
      </c>
      <c r="B3" s="94" t="str">
        <f>IFERROR(VLOOKUP($A3,HeadJournal!$A$1:$NTR$890,COLUMN(HeadJournal!B$1),0),"")</f>
        <v>1Z095EE70248804009</v>
      </c>
      <c r="C3" s="94" t="str">
        <f>IFERROR(VLOOKUP($A3,HeadJournal!$A$1:$NTR$890,COLUMN(HeadJournal!C$1),0),"")</f>
        <v>iHerb_OA CZN6870</v>
      </c>
      <c r="D3" s="125" t="str">
        <f>IFERROR(VLOOKUP($A3,HeadJournal!$A$1:$NTR$890,COLUMN(HeadJournal!D$1),0),"")</f>
        <v>Доставлен</v>
      </c>
      <c r="E3" s="95">
        <f>IFERROR(VLOOKUP($A3,HeadJournal!$A$1:$NTR$890,COLUMN(HeadJournal!G$1),0),"")</f>
        <v>44754</v>
      </c>
      <c r="F3" s="95" t="str">
        <f>IFERROR(TEXT(E3, "ГГГГ ММ"),"")</f>
        <v>2022 07</v>
      </c>
      <c r="G3" s="96" t="s">
        <v>5</v>
      </c>
      <c r="H3" s="161" t="s">
        <v>2051</v>
      </c>
      <c r="I3" s="97" t="s">
        <v>2052</v>
      </c>
      <c r="J3" s="97" t="s">
        <v>3097</v>
      </c>
      <c r="K3" s="29">
        <v>534.78</v>
      </c>
      <c r="L3" s="29">
        <v>-106.95666666666666</v>
      </c>
      <c r="M3" s="30">
        <f>IFERROR(VLOOKUP($A3,HeadJournal!$A$1:$J$890,COLUMN(HeadJournal!I$1),0)*($K3+$L3)/(SUMIF($A:$A,$A3,$K:$K)+SUMIF($A:$A,$A3,$L:$L)),0)</f>
        <v>-70.365271859201584</v>
      </c>
      <c r="N3" s="30">
        <f>IFERROR((VLOOKUP($A3,HeadJournal!$A$1:$K$890,COLUMN(HeadJournal!K$1),0)-VLOOKUP($A3,HeadJournal!$A$1:$K$890,COLUMN(HeadJournal!J$1),0))*($K3+$L3)/(SUMIF($A:$A,$A3,$K:$K)+SUMIF($A:$A,$A3,$L:$L)),0)</f>
        <v>66.505573402789778</v>
      </c>
      <c r="O3" s="30">
        <f>IFERROR((VLOOKUP($A3,HeadJournal!$A$1:$L$890,COLUMN(HeadJournal!L$1),0)*($K3+$L3)/(SUMIF($A:$A,$A3,$K:$K)+SUMIF($A:$A,$A3,$L:$L)))/VLOOKUP($A3,HeadJournal!$A$1:$L$890,COLUMN(HeadJournal!H$1),0),0)</f>
        <v>237.03697292461851</v>
      </c>
      <c r="P3" s="30">
        <f>IFERROR(SUM(K3:O3)*VLOOKUP($A3,HeadJournal!$A$1:$L$890,COLUMN(HeadJournal!H$1),0),0)</f>
        <v>1322.00121560308</v>
      </c>
      <c r="Q3" s="29">
        <v>1100</v>
      </c>
      <c r="R3" s="31">
        <v>44804</v>
      </c>
      <c r="S3" s="31" t="s">
        <v>3121</v>
      </c>
      <c r="T3" s="95" t="str">
        <f>IF(R3="","",TEXT(R3,"ГГГГ ММ"))</f>
        <v>2022 08</v>
      </c>
      <c r="U3" s="32">
        <f t="shared" ref="U3:U66" si="1">Q3-P3</f>
        <v>-222.00121560308003</v>
      </c>
      <c r="V3" s="22">
        <f t="shared" ref="V3:V66" si="2">IF(Q3&lt;&gt;0,IFERROR(U3/P3,""),"")</f>
        <v>-0.16792814785862803</v>
      </c>
      <c r="X3" s="33"/>
      <c r="Y3" s="33"/>
    </row>
    <row r="4" spans="1:32" x14ac:dyDescent="0.2">
      <c r="A4" s="93" t="s">
        <v>31</v>
      </c>
      <c r="B4" s="94" t="str">
        <f>IFERROR(VLOOKUP($A4,HeadJournal!$A$1:$NTR$890,COLUMN(HeadJournal!B$1),0),"")</f>
        <v>1Z095EE70248804009</v>
      </c>
      <c r="C4" s="94" t="str">
        <f>IFERROR(VLOOKUP($A4,HeadJournal!$A$1:$NTR$890,COLUMN(HeadJournal!C$1),0),"")</f>
        <v>iHerb_OA CZN6870</v>
      </c>
      <c r="D4" s="125" t="str">
        <f>IFERROR(VLOOKUP($A4,HeadJournal!$A$1:$NTR$890,COLUMN(HeadJournal!D$1),0),"")</f>
        <v>Доставлен</v>
      </c>
      <c r="E4" s="95">
        <f>IFERROR(VLOOKUP($A4,HeadJournal!$A$1:$NTR$890,COLUMN(HeadJournal!G$1),0),"")</f>
        <v>44754</v>
      </c>
      <c r="F4" s="95" t="str">
        <f t="shared" ref="F4:F67" si="3">IFERROR(TEXT(E4, "ГГГГ ММ"),"")</f>
        <v>2022 07</v>
      </c>
      <c r="G4" s="96" t="s">
        <v>5</v>
      </c>
      <c r="H4" s="161" t="s">
        <v>2051</v>
      </c>
      <c r="I4" s="97" t="s">
        <v>2052</v>
      </c>
      <c r="J4" s="97" t="s">
        <v>3097</v>
      </c>
      <c r="K4" s="29">
        <v>534.78</v>
      </c>
      <c r="L4" s="29">
        <v>-106.95666666666666</v>
      </c>
      <c r="M4" s="30">
        <f>IFERROR(VLOOKUP($A4,HeadJournal!$A$1:$J$890,COLUMN(HeadJournal!I$1),0)*($K4+$L4)/(SUMIF($A:$A,$A4,$K:$K)+SUMIF($A:$A,$A4,$L:$L)),0)</f>
        <v>-70.365271859201584</v>
      </c>
      <c r="N4" s="30">
        <f>IFERROR((VLOOKUP($A4,HeadJournal!$A$1:$K$890,COLUMN(HeadJournal!K$1),0)-VLOOKUP($A4,HeadJournal!$A$1:$K$890,COLUMN(HeadJournal!J$1),0))*($K4+$L4)/(SUMIF($A:$A,$A4,$K:$K)+SUMIF($A:$A,$A4,$L:$L)),0)</f>
        <v>66.505573402789778</v>
      </c>
      <c r="O4" s="30">
        <f>IFERROR((VLOOKUP($A4,HeadJournal!$A$1:$L$890,COLUMN(HeadJournal!L$1),0)*($K4+$L4)/(SUMIF($A:$A,$A4,$K:$K)+SUMIF($A:$A,$A4,$L:$L)))/VLOOKUP($A4,HeadJournal!$A$1:$L$890,COLUMN(HeadJournal!H$1),0),0)</f>
        <v>237.03697292461851</v>
      </c>
      <c r="P4" s="30">
        <f>IFERROR(SUM(K4:O4)*VLOOKUP($A4,HeadJournal!$A$1:$L$890,COLUMN(HeadJournal!H$1),0),0)</f>
        <v>1322.00121560308</v>
      </c>
      <c r="Q4" s="29">
        <v>1100</v>
      </c>
      <c r="R4" s="31">
        <v>44804</v>
      </c>
      <c r="S4" s="31" t="s">
        <v>3121</v>
      </c>
      <c r="T4" s="95" t="str">
        <f t="shared" ref="T4:T67" si="4">IF(R4="","",TEXT(R4,"ГГГГ ММ"))</f>
        <v>2022 08</v>
      </c>
      <c r="U4" s="32">
        <f t="shared" si="1"/>
        <v>-222.00121560308003</v>
      </c>
      <c r="V4" s="22">
        <f t="shared" si="2"/>
        <v>-0.16792814785862803</v>
      </c>
      <c r="X4" s="33"/>
      <c r="Y4" s="39"/>
    </row>
    <row r="5" spans="1:32" x14ac:dyDescent="0.2">
      <c r="A5" s="93" t="s">
        <v>31</v>
      </c>
      <c r="B5" s="94" t="str">
        <f>IFERROR(VLOOKUP($A5,HeadJournal!$A$1:$NTR$890,COLUMN(HeadJournal!B$1),0),"")</f>
        <v>1Z095EE70248804009</v>
      </c>
      <c r="C5" s="94" t="str">
        <f>IFERROR(VLOOKUP($A5,HeadJournal!$A$1:$NTR$890,COLUMN(HeadJournal!C$1),0),"")</f>
        <v>iHerb_OA CZN6870</v>
      </c>
      <c r="D5" s="125" t="str">
        <f>IFERROR(VLOOKUP($A5,HeadJournal!$A$1:$NTR$890,COLUMN(HeadJournal!D$1),0),"")</f>
        <v>Доставлен</v>
      </c>
      <c r="E5" s="95">
        <f>IFERROR(VLOOKUP($A5,HeadJournal!$A$1:$NTR$890,COLUMN(HeadJournal!G$1),0),"")</f>
        <v>44754</v>
      </c>
      <c r="F5" s="95" t="str">
        <f t="shared" si="3"/>
        <v>2022 07</v>
      </c>
      <c r="G5" s="96" t="s">
        <v>5</v>
      </c>
      <c r="H5" s="161" t="s">
        <v>2051</v>
      </c>
      <c r="I5" s="97" t="s">
        <v>2052</v>
      </c>
      <c r="J5" s="97" t="s">
        <v>3097</v>
      </c>
      <c r="K5" s="29">
        <v>534.78</v>
      </c>
      <c r="L5" s="29">
        <v>-106.95666666666666</v>
      </c>
      <c r="M5" s="30">
        <f>IFERROR(VLOOKUP($A5,HeadJournal!$A$1:$J$890,COLUMN(HeadJournal!I$1),0)*($K5+$L5)/(SUMIF($A:$A,$A5,$K:$K)+SUMIF($A:$A,$A5,$L:$L)),0)</f>
        <v>-70.365271859201584</v>
      </c>
      <c r="N5" s="30">
        <f>IFERROR((VLOOKUP($A5,HeadJournal!$A$1:$K$890,COLUMN(HeadJournal!K$1),0)-VLOOKUP($A5,HeadJournal!$A$1:$K$890,COLUMN(HeadJournal!J$1),0))*($K5+$L5)/(SUMIF($A:$A,$A5,$K:$K)+SUMIF($A:$A,$A5,$L:$L)),0)</f>
        <v>66.505573402789778</v>
      </c>
      <c r="O5" s="30">
        <f>IFERROR((VLOOKUP($A5,HeadJournal!$A$1:$L$890,COLUMN(HeadJournal!L$1),0)*($K5+$L5)/(SUMIF($A:$A,$A5,$K:$K)+SUMIF($A:$A,$A5,$L:$L)))/VLOOKUP($A5,HeadJournal!$A$1:$L$890,COLUMN(HeadJournal!H$1),0),0)</f>
        <v>237.03697292461851</v>
      </c>
      <c r="P5" s="30">
        <f>IFERROR(SUM(K5:O5)*VLOOKUP($A5,HeadJournal!$A$1:$L$890,COLUMN(HeadJournal!H$1),0),0)</f>
        <v>1322.00121560308</v>
      </c>
      <c r="Q5" s="29">
        <v>1800</v>
      </c>
      <c r="R5" s="31">
        <v>44804</v>
      </c>
      <c r="S5" s="31" t="s">
        <v>3121</v>
      </c>
      <c r="T5" s="95" t="str">
        <f t="shared" si="4"/>
        <v>2022 08</v>
      </c>
      <c r="U5" s="32">
        <f t="shared" si="1"/>
        <v>477.99878439691997</v>
      </c>
      <c r="V5" s="22">
        <f t="shared" si="2"/>
        <v>0.36157212168588138</v>
      </c>
      <c r="X5" s="33"/>
      <c r="Y5" s="33"/>
    </row>
    <row r="6" spans="1:32" x14ac:dyDescent="0.2">
      <c r="A6" s="93" t="s">
        <v>31</v>
      </c>
      <c r="B6" s="94" t="str">
        <f>IFERROR(VLOOKUP($A6,HeadJournal!$A$1:$NTR$890,COLUMN(HeadJournal!B$1),0),"")</f>
        <v>1Z095EE70248804009</v>
      </c>
      <c r="C6" s="94" t="str">
        <f>IFERROR(VLOOKUP($A6,HeadJournal!$A$1:$NTR$890,COLUMN(HeadJournal!C$1),0),"")</f>
        <v>iHerb_OA CZN6870</v>
      </c>
      <c r="D6" s="125" t="str">
        <f>IFERROR(VLOOKUP($A6,HeadJournal!$A$1:$NTR$890,COLUMN(HeadJournal!D$1),0),"")</f>
        <v>Доставлен</v>
      </c>
      <c r="E6" s="95">
        <f>IFERROR(VLOOKUP($A6,HeadJournal!$A$1:$NTR$890,COLUMN(HeadJournal!G$1),0),"")</f>
        <v>44754</v>
      </c>
      <c r="F6" s="95" t="str">
        <f t="shared" si="3"/>
        <v>2022 07</v>
      </c>
      <c r="G6" s="96" t="s">
        <v>5</v>
      </c>
      <c r="H6" s="161" t="s">
        <v>2659</v>
      </c>
      <c r="I6" s="97" t="s">
        <v>2218</v>
      </c>
      <c r="J6" s="97" t="s">
        <v>2660</v>
      </c>
      <c r="K6" s="29">
        <v>248.13</v>
      </c>
      <c r="L6" s="29">
        <v>-24.82</v>
      </c>
      <c r="M6" s="30">
        <f>IFERROR(VLOOKUP($A6,HeadJournal!$A$1:$J$890,COLUMN(HeadJournal!I$1),0)*($K6+$L6)/(SUMIF($A:$A,$A6,$K:$K)+SUMIF($A:$A,$A6,$L:$L)),0)</f>
        <v>-36.728405476275192</v>
      </c>
      <c r="N6" s="30">
        <f>IFERROR((VLOOKUP($A6,HeadJournal!$A$1:$K$890,COLUMN(HeadJournal!K$1),0)-VLOOKUP($A6,HeadJournal!$A$1:$K$890,COLUMN(HeadJournal!J$1),0))*($K6+$L6)/(SUMIF($A:$A,$A6,$K:$K)+SUMIF($A:$A,$A6,$L:$L)),0)</f>
        <v>34.713767201205293</v>
      </c>
      <c r="O6" s="30">
        <f>IFERROR((VLOOKUP($A6,HeadJournal!$A$1:$L$890,COLUMN(HeadJournal!L$1),0)*($K6+$L6)/(SUMIF($A:$A,$A6,$K:$K)+SUMIF($A:$A,$A6,$L:$L)))/VLOOKUP($A6,HeadJournal!$A$1:$L$890,COLUMN(HeadJournal!H$1),0),0)</f>
        <v>123.72566501078302</v>
      </c>
      <c r="P6" s="30">
        <f>IFERROR(SUM(K6:O6)*VLOOKUP($A6,HeadJournal!$A$1:$L$890,COLUMN(HeadJournal!H$1),0),0)</f>
        <v>690.04205347142624</v>
      </c>
      <c r="Q6" s="29">
        <v>1500</v>
      </c>
      <c r="R6" s="31">
        <v>44804</v>
      </c>
      <c r="S6" s="31" t="s">
        <v>3121</v>
      </c>
      <c r="T6" s="95" t="str">
        <f t="shared" si="4"/>
        <v>2022 08</v>
      </c>
      <c r="U6" s="32">
        <f t="shared" si="1"/>
        <v>809.95794652857376</v>
      </c>
      <c r="V6" s="22">
        <f t="shared" si="2"/>
        <v>1.1737805579440863</v>
      </c>
      <c r="X6" s="33"/>
      <c r="Y6" s="33"/>
    </row>
    <row r="7" spans="1:32" x14ac:dyDescent="0.2">
      <c r="A7" s="93" t="s">
        <v>31</v>
      </c>
      <c r="B7" s="94" t="str">
        <f>IFERROR(VLOOKUP($A7,HeadJournal!$A$1:$NTR$890,COLUMN(HeadJournal!B$1),0),"")</f>
        <v>1Z095EE70248804009</v>
      </c>
      <c r="C7" s="94" t="str">
        <f>IFERROR(VLOOKUP($A7,HeadJournal!$A$1:$NTR$890,COLUMN(HeadJournal!C$1),0),"")</f>
        <v>iHerb_OA CZN6870</v>
      </c>
      <c r="D7" s="125" t="str">
        <f>IFERROR(VLOOKUP($A7,HeadJournal!$A$1:$NTR$890,COLUMN(HeadJournal!D$1),0),"")</f>
        <v>Доставлен</v>
      </c>
      <c r="E7" s="95">
        <f>IFERROR(VLOOKUP($A7,HeadJournal!$A$1:$NTR$890,COLUMN(HeadJournal!G$1),0),"")</f>
        <v>44754</v>
      </c>
      <c r="F7" s="95" t="str">
        <f t="shared" si="3"/>
        <v>2022 07</v>
      </c>
      <c r="G7" s="96" t="s">
        <v>5</v>
      </c>
      <c r="H7" s="161" t="s">
        <v>2788</v>
      </c>
      <c r="I7" s="97" t="s">
        <v>2218</v>
      </c>
      <c r="J7" s="97" t="s">
        <v>2789</v>
      </c>
      <c r="K7" s="29">
        <v>248.89</v>
      </c>
      <c r="L7" s="29">
        <v>-24.89</v>
      </c>
      <c r="M7" s="30">
        <f>IFERROR(VLOOKUP($A7,HeadJournal!$A$1:$J$890,COLUMN(HeadJournal!I$1),0)*($K7+$L7)/(SUMIF($A:$A,$A7,$K:$K)+SUMIF($A:$A,$A7,$L:$L)),0)</f>
        <v>-36.841891660407697</v>
      </c>
      <c r="N7" s="30">
        <f>IFERROR((VLOOKUP($A7,HeadJournal!$A$1:$K$890,COLUMN(HeadJournal!K$1),0)-VLOOKUP($A7,HeadJournal!$A$1:$K$890,COLUMN(HeadJournal!J$1),0))*($K7+$L7)/(SUMIF($A:$A,$A7,$K:$K)+SUMIF($A:$A,$A7,$L:$L)),0)</f>
        <v>34.821028404773571</v>
      </c>
      <c r="O7" s="30">
        <f>IFERROR((VLOOKUP($A7,HeadJournal!$A$1:$L$890,COLUMN(HeadJournal!L$1),0)*($K7+$L7)/(SUMIF($A:$A,$A7,$K:$K)+SUMIF($A:$A,$A7,$L:$L)))/VLOOKUP($A7,HeadJournal!$A$1:$L$890,COLUMN(HeadJournal!H$1),0),0)</f>
        <v>124.10796185757644</v>
      </c>
      <c r="P7" s="30">
        <f>IFERROR(SUM(K7:O7)*VLOOKUP($A7,HeadJournal!$A$1:$L$890,COLUMN(HeadJournal!H$1),0),0)</f>
        <v>692.17419720388466</v>
      </c>
      <c r="Q7" s="29">
        <v>1500</v>
      </c>
      <c r="R7" s="31">
        <v>44804</v>
      </c>
      <c r="S7" s="31" t="s">
        <v>3121</v>
      </c>
      <c r="T7" s="95" t="str">
        <f t="shared" si="4"/>
        <v>2022 08</v>
      </c>
      <c r="U7" s="32">
        <f t="shared" si="1"/>
        <v>807.82580279611534</v>
      </c>
      <c r="V7" s="22">
        <f t="shared" si="2"/>
        <v>1.1670845374754193</v>
      </c>
      <c r="X7" s="33"/>
      <c r="Y7" s="33"/>
    </row>
    <row r="8" spans="1:32" x14ac:dyDescent="0.2">
      <c r="A8" s="93" t="s">
        <v>31</v>
      </c>
      <c r="B8" s="94" t="str">
        <f>IFERROR(VLOOKUP($A8,HeadJournal!$A$1:$NTR$890,COLUMN(HeadJournal!B$1),0),"")</f>
        <v>1Z095EE70248804009</v>
      </c>
      <c r="C8" s="94" t="str">
        <f>IFERROR(VLOOKUP($A8,HeadJournal!$A$1:$NTR$890,COLUMN(HeadJournal!C$1),0),"")</f>
        <v>iHerb_OA CZN6870</v>
      </c>
      <c r="D8" s="125" t="str">
        <f>IFERROR(VLOOKUP($A8,HeadJournal!$A$1:$NTR$890,COLUMN(HeadJournal!D$1),0),"")</f>
        <v>Доставлен</v>
      </c>
      <c r="E8" s="95">
        <f>IFERROR(VLOOKUP($A8,HeadJournal!$A$1:$NTR$890,COLUMN(HeadJournal!G$1),0),"")</f>
        <v>44754</v>
      </c>
      <c r="F8" s="95" t="str">
        <f t="shared" si="3"/>
        <v>2022 07</v>
      </c>
      <c r="G8" s="96" t="s">
        <v>5</v>
      </c>
      <c r="H8" s="160" t="str">
        <f>RIGHT(Journal!$J8,9)</f>
        <v>CEN-28026</v>
      </c>
      <c r="I8" s="96" t="str">
        <f t="shared" ref="I8:I66" si="5">IFERROR(LEFT(J8,FIND(",",J8)-1),"")</f>
        <v>21st Century</v>
      </c>
      <c r="J8" s="97" t="s">
        <v>32</v>
      </c>
      <c r="K8" s="29">
        <v>62.92</v>
      </c>
      <c r="L8" s="29">
        <v>-6.29</v>
      </c>
      <c r="M8" s="30">
        <f>IFERROR(VLOOKUP($A8,HeadJournal!$A$1:$J$890,COLUMN(HeadJournal!I$1),0)*($K8+$L8)/(SUMIF($A:$A,$A8,$K:$K)+SUMIF($A:$A,$A8,$L:$L)),0)</f>
        <v>-9.314090735396821</v>
      </c>
      <c r="N8" s="30">
        <f>IFERROR((VLOOKUP($A8,HeadJournal!$A$1:$K$890,COLUMN(HeadJournal!K$1),0)-VLOOKUP($A8,HeadJournal!$A$1:$K$890,COLUMN(HeadJournal!J$1),0))*($K8+$L8)/(SUMIF($A:$A,$A8,$K:$K)+SUMIF($A:$A,$A8,$L:$L)),0)</f>
        <v>8.8031912435818178</v>
      </c>
      <c r="O8" s="30">
        <f>IFERROR((VLOOKUP($A8,HeadJournal!$A$1:$L$890,COLUMN(HeadJournal!L$1),0)*($K8+$L8)/(SUMIF($A:$A,$A8,$K:$K)+SUMIF($A:$A,$A8,$L:$L)))/VLOOKUP($A8,HeadJournal!$A$1:$L$890,COLUMN(HeadJournal!H$1),0),0)</f>
        <v>31.376044107118549</v>
      </c>
      <c r="P8" s="30">
        <f>IFERROR(SUM(K8:O8)*VLOOKUP($A8,HeadJournal!$A$1:$L$890,COLUMN(HeadJournal!H$1),0),0)</f>
        <v>174.99028923060709</v>
      </c>
      <c r="Q8" s="29">
        <v>450</v>
      </c>
      <c r="R8" s="31">
        <v>44821</v>
      </c>
      <c r="S8" s="31" t="s">
        <v>3121</v>
      </c>
      <c r="T8" s="95" t="str">
        <f t="shared" si="4"/>
        <v>2022 09</v>
      </c>
      <c r="U8" s="32">
        <f t="shared" si="1"/>
        <v>275.00971076939288</v>
      </c>
      <c r="V8" s="22">
        <f t="shared" si="2"/>
        <v>1.5715712682032168</v>
      </c>
      <c r="X8" s="33"/>
      <c r="Y8" s="33"/>
    </row>
    <row r="9" spans="1:32" x14ac:dyDescent="0.2">
      <c r="A9" s="93" t="s">
        <v>31</v>
      </c>
      <c r="B9" s="94" t="str">
        <f>IFERROR(VLOOKUP($A9,HeadJournal!$A$1:$NTR$890,COLUMN(HeadJournal!B$1),0),"")</f>
        <v>1Z095EE70248804009</v>
      </c>
      <c r="C9" s="94" t="str">
        <f>IFERROR(VLOOKUP($A9,HeadJournal!$A$1:$NTR$890,COLUMN(HeadJournal!C$1),0),"")</f>
        <v>iHerb_OA CZN6870</v>
      </c>
      <c r="D9" s="125" t="str">
        <f>IFERROR(VLOOKUP($A9,HeadJournal!$A$1:$NTR$890,COLUMN(HeadJournal!D$1),0),"")</f>
        <v>Доставлен</v>
      </c>
      <c r="E9" s="95">
        <f>IFERROR(VLOOKUP($A9,HeadJournal!$A$1:$NTR$890,COLUMN(HeadJournal!G$1),0),"")</f>
        <v>44754</v>
      </c>
      <c r="F9" s="95" t="str">
        <f t="shared" si="3"/>
        <v>2022 07</v>
      </c>
      <c r="G9" s="96" t="s">
        <v>5</v>
      </c>
      <c r="H9" s="160" t="str">
        <f>RIGHT(Journal!$J9,9)</f>
        <v>CEN-27116</v>
      </c>
      <c r="I9" s="96" t="str">
        <f t="shared" si="5"/>
        <v>21st Century</v>
      </c>
      <c r="J9" s="97" t="s">
        <v>33</v>
      </c>
      <c r="K9" s="29">
        <v>186.22</v>
      </c>
      <c r="L9" s="29">
        <v>-18.62</v>
      </c>
      <c r="M9" s="30">
        <f>IFERROR(VLOOKUP($A9,HeadJournal!$A$1:$J$890,COLUMN(HeadJournal!I$1),0)*($K9+$L9)/(SUMIF($A:$A,$A9,$K:$K)+SUMIF($A:$A,$A9,$L:$L)),0)</f>
        <v>-27.565629653055041</v>
      </c>
      <c r="N9" s="30">
        <f>IFERROR((VLOOKUP($A9,HeadJournal!$A$1:$K$890,COLUMN(HeadJournal!K$1),0)-VLOOKUP($A9,HeadJournal!$A$1:$K$890,COLUMN(HeadJournal!J$1),0))*($K9+$L9)/(SUMIF($A:$A,$A9,$K:$K)+SUMIF($A:$A,$A9,$L:$L)),0)</f>
        <v>26.05359089571451</v>
      </c>
      <c r="O9" s="30">
        <f>IFERROR((VLOOKUP($A9,HeadJournal!$A$1:$L$890,COLUMN(HeadJournal!L$1),0)*($K9+$L9)/(SUMIF($A:$A,$A9,$K:$K)+SUMIF($A:$A,$A9,$L:$L)))/VLOOKUP($A9,HeadJournal!$A$1:$L$890,COLUMN(HeadJournal!H$1),0),0)</f>
        <v>92.859350032722375</v>
      </c>
      <c r="P9" s="30">
        <f>IFERROR(SUM(K9:O9)*VLOOKUP($A9,HeadJournal!$A$1:$L$890,COLUMN(HeadJournal!H$1),0),0)</f>
        <v>517.89462255076364</v>
      </c>
      <c r="Q9" s="29">
        <v>700</v>
      </c>
      <c r="R9" s="31">
        <v>44804</v>
      </c>
      <c r="S9" s="31" t="s">
        <v>3121</v>
      </c>
      <c r="T9" s="95" t="str">
        <f t="shared" si="4"/>
        <v>2022 08</v>
      </c>
      <c r="U9" s="32">
        <f t="shared" si="1"/>
        <v>182.10537744923636</v>
      </c>
      <c r="V9" s="22">
        <f t="shared" si="2"/>
        <v>0.35162631454314147</v>
      </c>
      <c r="X9" s="33"/>
      <c r="Y9" s="33"/>
    </row>
    <row r="10" spans="1:32" x14ac:dyDescent="0.2">
      <c r="A10" s="93" t="s">
        <v>31</v>
      </c>
      <c r="B10" s="94" t="str">
        <f>IFERROR(VLOOKUP($A10,HeadJournal!$A$1:$NTR$890,COLUMN(HeadJournal!B$1),0),"")</f>
        <v>1Z095EE70248804009</v>
      </c>
      <c r="C10" s="94" t="str">
        <f>IFERROR(VLOOKUP($A10,HeadJournal!$A$1:$NTR$890,COLUMN(HeadJournal!C$1),0),"")</f>
        <v>iHerb_OA CZN6870</v>
      </c>
      <c r="D10" s="125" t="str">
        <f>IFERROR(VLOOKUP($A10,HeadJournal!$A$1:$NTR$890,COLUMN(HeadJournal!D$1),0),"")</f>
        <v>Доставлен</v>
      </c>
      <c r="E10" s="95">
        <f>IFERROR(VLOOKUP($A10,HeadJournal!$A$1:$NTR$890,COLUMN(HeadJournal!G$1),0),"")</f>
        <v>44754</v>
      </c>
      <c r="F10" s="95" t="str">
        <f t="shared" si="3"/>
        <v>2022 07</v>
      </c>
      <c r="G10" s="96" t="s">
        <v>5</v>
      </c>
      <c r="H10" s="160" t="str">
        <f>RIGHT(Journal!$J10,9)</f>
        <v>NOW-01685</v>
      </c>
      <c r="I10" s="96" t="str">
        <f t="shared" si="5"/>
        <v>NOW Foods</v>
      </c>
      <c r="J10" s="97" t="s">
        <v>34</v>
      </c>
      <c r="K10" s="29">
        <v>378.49</v>
      </c>
      <c r="L10" s="29">
        <v>-56.77</v>
      </c>
      <c r="M10" s="30">
        <f>IFERROR(VLOOKUP($A10,HeadJournal!$A$1:$J$890,COLUMN(HeadJournal!I$1),0)*($K10+$L10)/(SUMIF($A:$A,$A10,$K:$K)+SUMIF($A:$A,$A10,$L:$L)),0)</f>
        <v>-52.914166897260557</v>
      </c>
      <c r="N10" s="30">
        <f>IFERROR((VLOOKUP($A10,HeadJournal!$A$1:$K$890,COLUMN(HeadJournal!K$1),0)-VLOOKUP($A10,HeadJournal!$A$1:$K$890,COLUMN(HeadJournal!J$1),0))*($K10+$L10)/(SUMIF($A:$A,$A10,$K:$K)+SUMIF($A:$A,$A10,$L:$L)),0)</f>
        <v>50.011702046356049</v>
      </c>
      <c r="O10" s="30">
        <f>IFERROR((VLOOKUP($A10,HeadJournal!$A$1:$L$890,COLUMN(HeadJournal!L$1),0)*($K10+$L10)/(SUMIF($A:$A,$A10,$K:$K)+SUMIF($A:$A,$A10,$L:$L)))/VLOOKUP($A10,HeadJournal!$A$1:$L$890,COLUMN(HeadJournal!H$1),0),0)</f>
        <v>178.2500602179442</v>
      </c>
      <c r="P10" s="30">
        <f>IFERROR(SUM(K10:O10)*VLOOKUP($A10,HeadJournal!$A$1:$L$890,COLUMN(HeadJournal!H$1),0),0)</f>
        <v>994.13519073407952</v>
      </c>
      <c r="Q10" s="29">
        <v>1400</v>
      </c>
      <c r="R10" s="31">
        <v>44804</v>
      </c>
      <c r="S10" s="31" t="s">
        <v>3121</v>
      </c>
      <c r="T10" s="95" t="str">
        <f t="shared" si="4"/>
        <v>2022 08</v>
      </c>
      <c r="U10" s="32">
        <f t="shared" si="1"/>
        <v>405.86480926592048</v>
      </c>
      <c r="V10" s="22">
        <f t="shared" si="2"/>
        <v>0.40825917143746393</v>
      </c>
      <c r="X10" s="33"/>
      <c r="Y10" s="33"/>
    </row>
    <row r="11" spans="1:32" x14ac:dyDescent="0.2">
      <c r="A11" s="93" t="s">
        <v>35</v>
      </c>
      <c r="B11" s="94" t="str">
        <f>IFERROR(VLOOKUP($A11,HeadJournal!$A$1:$NTR$890,COLUMN(HeadJournal!B$1),0),"")</f>
        <v>1LSCXLZ000YQI0M</v>
      </c>
      <c r="C11" s="94" t="str">
        <f>IFERROR(VLOOKUP($A11,HeadJournal!$A$1:$NTR$890,COLUMN(HeadJournal!C$1),0),"")</f>
        <v>iHerb_AV CYG0792</v>
      </c>
      <c r="D11" s="125" t="str">
        <f>IFERROR(VLOOKUP($A11,HeadJournal!$A$1:$NTR$890,COLUMN(HeadJournal!D$1),0),"")</f>
        <v>Доставлен</v>
      </c>
      <c r="E11" s="95">
        <f>IFERROR(VLOOKUP($A11,HeadJournal!$A$1:$NTR$890,COLUMN(HeadJournal!G$1),0),"")</f>
        <v>44768</v>
      </c>
      <c r="F11" s="95" t="str">
        <f t="shared" si="3"/>
        <v>2022 07</v>
      </c>
      <c r="G11" s="96" t="s">
        <v>5</v>
      </c>
      <c r="H11" s="161" t="s">
        <v>2771</v>
      </c>
      <c r="I11" s="97" t="s">
        <v>2052</v>
      </c>
      <c r="J11" s="97" t="s">
        <v>3858</v>
      </c>
      <c r="K11" s="29">
        <v>258.3</v>
      </c>
      <c r="L11" s="29">
        <v>-125.45999999999998</v>
      </c>
      <c r="M11" s="30">
        <f>IFERROR(VLOOKUP($A11,HeadJournal!$A$1:$J$890,COLUMN(HeadJournal!I$1),0)*($K11+$L11)/(SUMIF($A:$A,$A11,$K:$K)+SUMIF($A:$A,$A11,$L:$L)),0)</f>
        <v>-40.85237879767292</v>
      </c>
      <c r="N11" s="30">
        <f>IFERROR((VLOOKUP($A11,HeadJournal!$A$1:$K$890,COLUMN(HeadJournal!K$1),0)-VLOOKUP($A11,HeadJournal!$A$1:$K$890,COLUMN(HeadJournal!J$1),0))*($K11+$L11)/(SUMIF($A:$A,$A11,$K:$K)+SUMIF($A:$A,$A11,$L:$L)),0)</f>
        <v>2.9088558498312564E-4</v>
      </c>
      <c r="O11" s="30">
        <f>IFERROR((VLOOKUP($A11,HeadJournal!$A$1:$L$890,COLUMN(HeadJournal!L$1),0)*($K11+$L11)/(SUMIF($A:$A,$A11,$K:$K)+SUMIF($A:$A,$A11,$L:$L)))/VLOOKUP($A11,HeadJournal!$A$1:$L$890,COLUMN(HeadJournal!H$1),0),0)</f>
        <v>66.26344537815126</v>
      </c>
      <c r="P11" s="30">
        <f>IFERROR(SUM(K11:O11)*VLOOKUP($A11,HeadJournal!$A$1:$L$890,COLUMN(HeadJournal!H$1),0),0)</f>
        <v>316.50271493212676</v>
      </c>
      <c r="Q11" s="29">
        <v>1000</v>
      </c>
      <c r="R11" s="31">
        <v>44880</v>
      </c>
      <c r="S11" s="31" t="s">
        <v>3121</v>
      </c>
      <c r="T11" s="95" t="str">
        <f t="shared" si="4"/>
        <v>2022 11</v>
      </c>
      <c r="U11" s="32">
        <f t="shared" si="1"/>
        <v>683.49728506787324</v>
      </c>
      <c r="V11" s="22">
        <f t="shared" si="2"/>
        <v>2.1595305595228389</v>
      </c>
      <c r="X11" s="33"/>
      <c r="Y11" s="33"/>
    </row>
    <row r="12" spans="1:32" x14ac:dyDescent="0.2">
      <c r="A12" s="93" t="s">
        <v>35</v>
      </c>
      <c r="B12" s="94" t="str">
        <f>IFERROR(VLOOKUP($A12,HeadJournal!$A$1:$NTR$890,COLUMN(HeadJournal!B$1),0),"")</f>
        <v>1LSCXLZ000YQI0M</v>
      </c>
      <c r="C12" s="94" t="str">
        <f>IFERROR(VLOOKUP($A12,HeadJournal!$A$1:$NTR$890,COLUMN(HeadJournal!C$1),0),"")</f>
        <v>iHerb_AV CYG0792</v>
      </c>
      <c r="D12" s="125" t="str">
        <f>IFERROR(VLOOKUP($A12,HeadJournal!$A$1:$NTR$890,COLUMN(HeadJournal!D$1),0),"")</f>
        <v>Доставлен</v>
      </c>
      <c r="E12" s="95">
        <f>IFERROR(VLOOKUP($A12,HeadJournal!$A$1:$NTR$890,COLUMN(HeadJournal!G$1),0),"")</f>
        <v>44768</v>
      </c>
      <c r="F12" s="95" t="str">
        <f t="shared" si="3"/>
        <v>2022 07</v>
      </c>
      <c r="G12" s="96" t="s">
        <v>5</v>
      </c>
      <c r="H12" s="161" t="s">
        <v>2771</v>
      </c>
      <c r="I12" s="97" t="s">
        <v>2052</v>
      </c>
      <c r="J12" s="97" t="s">
        <v>3858</v>
      </c>
      <c r="K12" s="29">
        <v>258.3</v>
      </c>
      <c r="L12" s="29">
        <v>-125.45999999999998</v>
      </c>
      <c r="M12" s="30">
        <f>IFERROR(VLOOKUP($A12,HeadJournal!$A$1:$J$890,COLUMN(HeadJournal!I$1),0)*($K12+$L12)/(SUMIF($A:$A,$A12,$K:$K)+SUMIF($A:$A,$A12,$L:$L)),0)</f>
        <v>-40.85237879767292</v>
      </c>
      <c r="N12" s="30">
        <f>IFERROR((VLOOKUP($A12,HeadJournal!$A$1:$K$890,COLUMN(HeadJournal!K$1),0)-VLOOKUP($A12,HeadJournal!$A$1:$K$890,COLUMN(HeadJournal!J$1),0))*($K12+$L12)/(SUMIF($A:$A,$A12,$K:$K)+SUMIF($A:$A,$A12,$L:$L)),0)</f>
        <v>2.9088558498312564E-4</v>
      </c>
      <c r="O12" s="30">
        <f>IFERROR((VLOOKUP($A12,HeadJournal!$A$1:$L$890,COLUMN(HeadJournal!L$1),0)*($K12+$L12)/(SUMIF($A:$A,$A12,$K:$K)+SUMIF($A:$A,$A12,$L:$L)))/VLOOKUP($A12,HeadJournal!$A$1:$L$890,COLUMN(HeadJournal!H$1),0),0)</f>
        <v>66.26344537815126</v>
      </c>
      <c r="P12" s="30">
        <f>IFERROR(SUM(K12:O12)*VLOOKUP($A12,HeadJournal!$A$1:$L$890,COLUMN(HeadJournal!H$1),0),0)</f>
        <v>316.50271493212676</v>
      </c>
      <c r="Q12" s="29">
        <v>1200</v>
      </c>
      <c r="R12" s="31">
        <v>44935</v>
      </c>
      <c r="S12" s="31" t="s">
        <v>3121</v>
      </c>
      <c r="T12" s="95" t="str">
        <f t="shared" si="4"/>
        <v>2023 01</v>
      </c>
      <c r="U12" s="32">
        <f t="shared" si="1"/>
        <v>883.49728506787324</v>
      </c>
      <c r="V12" s="22">
        <f t="shared" si="2"/>
        <v>2.7914366714274066</v>
      </c>
      <c r="X12" s="33"/>
      <c r="Y12" s="33"/>
    </row>
    <row r="13" spans="1:32" x14ac:dyDescent="0.2">
      <c r="A13" s="93" t="s">
        <v>35</v>
      </c>
      <c r="B13" s="94" t="str">
        <f>IFERROR(VLOOKUP($A13,HeadJournal!$A$1:$NTR$890,COLUMN(HeadJournal!B$1),0),"")</f>
        <v>1LSCXLZ000YQI0M</v>
      </c>
      <c r="C13" s="94" t="str">
        <f>IFERROR(VLOOKUP($A13,HeadJournal!$A$1:$NTR$890,COLUMN(HeadJournal!C$1),0),"")</f>
        <v>iHerb_AV CYG0792</v>
      </c>
      <c r="D13" s="125" t="str">
        <f>IFERROR(VLOOKUP($A13,HeadJournal!$A$1:$NTR$890,COLUMN(HeadJournal!D$1),0),"")</f>
        <v>Доставлен</v>
      </c>
      <c r="E13" s="95">
        <f>IFERROR(VLOOKUP($A13,HeadJournal!$A$1:$NTR$890,COLUMN(HeadJournal!G$1),0),"")</f>
        <v>44768</v>
      </c>
      <c r="F13" s="95" t="str">
        <f t="shared" si="3"/>
        <v>2022 07</v>
      </c>
      <c r="G13" s="96" t="s">
        <v>5</v>
      </c>
      <c r="H13" s="161" t="s">
        <v>2771</v>
      </c>
      <c r="I13" s="97" t="s">
        <v>2052</v>
      </c>
      <c r="J13" s="97" t="s">
        <v>3858</v>
      </c>
      <c r="K13" s="29">
        <v>258.3</v>
      </c>
      <c r="L13" s="29">
        <v>-125.45999999999998</v>
      </c>
      <c r="M13" s="30">
        <f>IFERROR(VLOOKUP($A13,HeadJournal!$A$1:$J$890,COLUMN(HeadJournal!I$1),0)*($K13+$L13)/(SUMIF($A:$A,$A13,$K:$K)+SUMIF($A:$A,$A13,$L:$L)),0)</f>
        <v>-40.85237879767292</v>
      </c>
      <c r="N13" s="30">
        <f>IFERROR((VLOOKUP($A13,HeadJournal!$A$1:$K$890,COLUMN(HeadJournal!K$1),0)-VLOOKUP($A13,HeadJournal!$A$1:$K$890,COLUMN(HeadJournal!J$1),0))*($K13+$L13)/(SUMIF($A:$A,$A13,$K:$K)+SUMIF($A:$A,$A13,$L:$L)),0)</f>
        <v>2.9088558498312564E-4</v>
      </c>
      <c r="O13" s="30">
        <f>IFERROR((VLOOKUP($A13,HeadJournal!$A$1:$L$890,COLUMN(HeadJournal!L$1),0)*($K13+$L13)/(SUMIF($A:$A,$A13,$K:$K)+SUMIF($A:$A,$A13,$L:$L)))/VLOOKUP($A13,HeadJournal!$A$1:$L$890,COLUMN(HeadJournal!H$1),0),0)</f>
        <v>66.26344537815126</v>
      </c>
      <c r="P13" s="30">
        <f>IFERROR(SUM(K13:O13)*VLOOKUP($A13,HeadJournal!$A$1:$L$890,COLUMN(HeadJournal!H$1),0),0)</f>
        <v>316.50271493212676</v>
      </c>
      <c r="Q13" s="29">
        <v>1100</v>
      </c>
      <c r="R13" s="31">
        <v>45052</v>
      </c>
      <c r="S13" s="31" t="s">
        <v>3121</v>
      </c>
      <c r="T13" s="95" t="str">
        <f t="shared" si="4"/>
        <v>2023 05</v>
      </c>
      <c r="U13" s="32">
        <f t="shared" si="1"/>
        <v>783.49728506787324</v>
      </c>
      <c r="V13" s="22">
        <f t="shared" si="2"/>
        <v>2.4754836154751225</v>
      </c>
      <c r="X13" s="33"/>
      <c r="Y13" s="33"/>
    </row>
    <row r="14" spans="1:32" x14ac:dyDescent="0.2">
      <c r="A14" s="93" t="s">
        <v>35</v>
      </c>
      <c r="B14" s="94" t="str">
        <f>IFERROR(VLOOKUP($A14,HeadJournal!$A$1:$NTR$890,COLUMN(HeadJournal!B$1),0),"")</f>
        <v>1LSCXLZ000YQI0M</v>
      </c>
      <c r="C14" s="94" t="str">
        <f>IFERROR(VLOOKUP($A14,HeadJournal!$A$1:$NTR$890,COLUMN(HeadJournal!C$1),0),"")</f>
        <v>iHerb_AV CYG0792</v>
      </c>
      <c r="D14" s="125" t="str">
        <f>IFERROR(VLOOKUP($A14,HeadJournal!$A$1:$NTR$890,COLUMN(HeadJournal!D$1),0),"")</f>
        <v>Доставлен</v>
      </c>
      <c r="E14" s="95">
        <f>IFERROR(VLOOKUP($A14,HeadJournal!$A$1:$NTR$890,COLUMN(HeadJournal!G$1),0),"")</f>
        <v>44768</v>
      </c>
      <c r="F14" s="95" t="str">
        <f t="shared" si="3"/>
        <v>2022 07</v>
      </c>
      <c r="G14" s="96" t="s">
        <v>5</v>
      </c>
      <c r="H14" s="160" t="str">
        <f>RIGHT(Journal!$J14,9)</f>
        <v>MLI-00953</v>
      </c>
      <c r="I14" s="96" t="str">
        <f t="shared" si="5"/>
        <v>California Gold Nutrition</v>
      </c>
      <c r="J14" s="97" t="s">
        <v>2772</v>
      </c>
      <c r="K14" s="29">
        <v>627.29999999999995</v>
      </c>
      <c r="L14" s="29">
        <v>-125.45999999999998</v>
      </c>
      <c r="M14" s="30">
        <f>IFERROR(VLOOKUP($A14,HeadJournal!$A$1:$J$890,COLUMN(HeadJournal!I$1),0)*($K14+$L14)/(SUMIF($A:$A,$A14,$K:$K)+SUMIF($A:$A,$A14,$L:$L)),0)</f>
        <v>-154.33120879120878</v>
      </c>
      <c r="N14" s="30">
        <f>IFERROR((VLOOKUP($A14,HeadJournal!$A$1:$K$890,COLUMN(HeadJournal!K$1),0)-VLOOKUP($A14,HeadJournal!$A$1:$K$890,COLUMN(HeadJournal!J$1),0))*($K14+$L14)/(SUMIF($A:$A,$A14,$K:$K)+SUMIF($A:$A,$A14,$L:$L)),0)</f>
        <v>1.098901098825141E-3</v>
      </c>
      <c r="O14" s="30">
        <f>IFERROR((VLOOKUP($A14,HeadJournal!$A$1:$L$890,COLUMN(HeadJournal!L$1),0)*($K14+$L14)/(SUMIF($A:$A,$A14,$K:$K)+SUMIF($A:$A,$A14,$L:$L)))/VLOOKUP($A14,HeadJournal!$A$1:$L$890,COLUMN(HeadJournal!H$1),0),0)</f>
        <v>250.32857142857137</v>
      </c>
      <c r="P14" s="30">
        <f>IFERROR(SUM(K14:O14)*VLOOKUP($A14,HeadJournal!$A$1:$L$890,COLUMN(HeadJournal!H$1),0),0)</f>
        <v>1195.6769230769228</v>
      </c>
      <c r="Q14" s="29">
        <v>2300</v>
      </c>
      <c r="R14" s="31">
        <v>45072</v>
      </c>
      <c r="S14" s="31" t="s">
        <v>3121</v>
      </c>
      <c r="T14" s="95" t="str">
        <f t="shared" si="4"/>
        <v>2023 05</v>
      </c>
      <c r="U14" s="32">
        <f t="shared" si="1"/>
        <v>1104.3230769230772</v>
      </c>
      <c r="V14" s="22">
        <f t="shared" si="2"/>
        <v>0.92359654653302325</v>
      </c>
      <c r="X14" s="33"/>
      <c r="Y14" s="33"/>
    </row>
    <row r="15" spans="1:32" x14ac:dyDescent="0.2">
      <c r="A15" s="93" t="s">
        <v>35</v>
      </c>
      <c r="B15" s="94" t="str">
        <f>IFERROR(VLOOKUP($A15,HeadJournal!$A$1:$NTR$890,COLUMN(HeadJournal!B$1),0),"")</f>
        <v>1LSCXLZ000YQI0M</v>
      </c>
      <c r="C15" s="94" t="str">
        <f>IFERROR(VLOOKUP($A15,HeadJournal!$A$1:$NTR$890,COLUMN(HeadJournal!C$1),0),"")</f>
        <v>iHerb_AV CYG0792</v>
      </c>
      <c r="D15" s="125" t="str">
        <f>IFERROR(VLOOKUP($A15,HeadJournal!$A$1:$NTR$890,COLUMN(HeadJournal!D$1),0),"")</f>
        <v>Доставлен</v>
      </c>
      <c r="E15" s="95">
        <f>IFERROR(VLOOKUP($A15,HeadJournal!$A$1:$NTR$890,COLUMN(HeadJournal!G$1),0),"")</f>
        <v>44768</v>
      </c>
      <c r="F15" s="95" t="str">
        <f t="shared" si="3"/>
        <v>2022 07</v>
      </c>
      <c r="G15" s="96" t="s">
        <v>5</v>
      </c>
      <c r="H15" s="161" t="s">
        <v>2051</v>
      </c>
      <c r="I15" s="97" t="s">
        <v>2052</v>
      </c>
      <c r="J15" s="97" t="s">
        <v>3097</v>
      </c>
      <c r="K15" s="29">
        <v>627.29999999999995</v>
      </c>
      <c r="L15" s="29">
        <v>-125.45999999999998</v>
      </c>
      <c r="M15" s="30">
        <f>IFERROR(VLOOKUP($A15,HeadJournal!$A$1:$J$890,COLUMN(HeadJournal!I$1),0)*($K15+$L15)/(SUMIF($A:$A,$A15,$K:$K)+SUMIF($A:$A,$A15,$L:$L)),0)</f>
        <v>-154.33120879120878</v>
      </c>
      <c r="N15" s="30">
        <f>IFERROR((VLOOKUP($A15,HeadJournal!$A$1:$K$890,COLUMN(HeadJournal!K$1),0)-VLOOKUP($A15,HeadJournal!$A$1:$K$890,COLUMN(HeadJournal!J$1),0))*($K15+$L15)/(SUMIF($A:$A,$A15,$K:$K)+SUMIF($A:$A,$A15,$L:$L)),0)</f>
        <v>1.098901098825141E-3</v>
      </c>
      <c r="O15" s="30">
        <f>IFERROR((VLOOKUP($A15,HeadJournal!$A$1:$L$890,COLUMN(HeadJournal!L$1),0)*($K15+$L15)/(SUMIF($A:$A,$A15,$K:$K)+SUMIF($A:$A,$A15,$L:$L)))/VLOOKUP($A15,HeadJournal!$A$1:$L$890,COLUMN(HeadJournal!H$1),0),0)</f>
        <v>250.32857142857137</v>
      </c>
      <c r="P15" s="30">
        <f>IFERROR(SUM(K15:O15)*VLOOKUP($A15,HeadJournal!$A$1:$L$890,COLUMN(HeadJournal!H$1),0),0)</f>
        <v>1195.6769230769228</v>
      </c>
      <c r="Q15" s="29">
        <v>2100</v>
      </c>
      <c r="R15" s="31">
        <v>45078</v>
      </c>
      <c r="S15" s="31" t="s">
        <v>3121</v>
      </c>
      <c r="T15" s="95" t="str">
        <f t="shared" si="4"/>
        <v>2023 06</v>
      </c>
      <c r="U15" s="32">
        <f t="shared" si="1"/>
        <v>904.32307692307722</v>
      </c>
      <c r="V15" s="22">
        <f t="shared" si="2"/>
        <v>0.75632728161710827</v>
      </c>
      <c r="X15" s="33"/>
      <c r="Y15" s="33"/>
    </row>
    <row r="16" spans="1:32" x14ac:dyDescent="0.2">
      <c r="A16" s="93" t="s">
        <v>35</v>
      </c>
      <c r="B16" s="94" t="str">
        <f>IFERROR(VLOOKUP($A16,HeadJournal!$A$1:$NTR$890,COLUMN(HeadJournal!B$1),0),"")</f>
        <v>1LSCXLZ000YQI0M</v>
      </c>
      <c r="C16" s="94" t="str">
        <f>IFERROR(VLOOKUP($A16,HeadJournal!$A$1:$NTR$890,COLUMN(HeadJournal!C$1),0),"")</f>
        <v>iHerb_AV CYG0792</v>
      </c>
      <c r="D16" s="125" t="str">
        <f>IFERROR(VLOOKUP($A16,HeadJournal!$A$1:$NTR$890,COLUMN(HeadJournal!D$1),0),"")</f>
        <v>Доставлен</v>
      </c>
      <c r="E16" s="95">
        <f>IFERROR(VLOOKUP($A16,HeadJournal!$A$1:$NTR$890,COLUMN(HeadJournal!G$1),0),"")</f>
        <v>44768</v>
      </c>
      <c r="F16" s="95" t="str">
        <f t="shared" si="3"/>
        <v>2022 07</v>
      </c>
      <c r="G16" s="96" t="s">
        <v>5</v>
      </c>
      <c r="H16" s="161" t="s">
        <v>2051</v>
      </c>
      <c r="I16" s="97" t="s">
        <v>2052</v>
      </c>
      <c r="J16" s="97" t="s">
        <v>3097</v>
      </c>
      <c r="K16" s="29">
        <v>627.29999999999995</v>
      </c>
      <c r="L16" s="29">
        <v>-125.45999999999998</v>
      </c>
      <c r="M16" s="30">
        <f>IFERROR(VLOOKUP($A16,HeadJournal!$A$1:$J$890,COLUMN(HeadJournal!I$1),0)*($K16+$L16)/(SUMIF($A:$A,$A16,$K:$K)+SUMIF($A:$A,$A16,$L:$L)),0)</f>
        <v>-154.33120879120878</v>
      </c>
      <c r="N16" s="30">
        <f>IFERROR((VLOOKUP($A16,HeadJournal!$A$1:$K$890,COLUMN(HeadJournal!K$1),0)-VLOOKUP($A16,HeadJournal!$A$1:$K$890,COLUMN(HeadJournal!J$1),0))*($K16+$L16)/(SUMIF($A:$A,$A16,$K:$K)+SUMIF($A:$A,$A16,$L:$L)),0)</f>
        <v>1.098901098825141E-3</v>
      </c>
      <c r="O16" s="30">
        <f>IFERROR((VLOOKUP($A16,HeadJournal!$A$1:$L$890,COLUMN(HeadJournal!L$1),0)*($K16+$L16)/(SUMIF($A:$A,$A16,$K:$K)+SUMIF($A:$A,$A16,$L:$L)))/VLOOKUP($A16,HeadJournal!$A$1:$L$890,COLUMN(HeadJournal!H$1),0),0)</f>
        <v>250.32857142857137</v>
      </c>
      <c r="P16" s="30">
        <f>IFERROR(SUM(K16:O16)*VLOOKUP($A16,HeadJournal!$A$1:$L$890,COLUMN(HeadJournal!H$1),0),0)</f>
        <v>1195.6769230769228</v>
      </c>
      <c r="Q16" s="29">
        <v>2100</v>
      </c>
      <c r="R16" s="31">
        <v>45078</v>
      </c>
      <c r="S16" s="31" t="s">
        <v>3121</v>
      </c>
      <c r="T16" s="95" t="str">
        <f t="shared" si="4"/>
        <v>2023 06</v>
      </c>
      <c r="U16" s="32">
        <f t="shared" si="1"/>
        <v>904.32307692307722</v>
      </c>
      <c r="V16" s="22">
        <f t="shared" si="2"/>
        <v>0.75632728161710827</v>
      </c>
      <c r="X16" s="33"/>
      <c r="Y16" s="33"/>
    </row>
    <row r="17" spans="1:25" x14ac:dyDescent="0.2">
      <c r="A17" s="93" t="s">
        <v>35</v>
      </c>
      <c r="B17" s="94" t="str">
        <f>IFERROR(VLOOKUP($A17,HeadJournal!$A$1:$NTR$890,COLUMN(HeadJournal!B$1),0),"")</f>
        <v>1LSCXLZ000YQI0M</v>
      </c>
      <c r="C17" s="94" t="str">
        <f>IFERROR(VLOOKUP($A17,HeadJournal!$A$1:$NTR$890,COLUMN(HeadJournal!C$1),0),"")</f>
        <v>iHerb_AV CYG0792</v>
      </c>
      <c r="D17" s="125" t="str">
        <f>IFERROR(VLOOKUP($A17,HeadJournal!$A$1:$NTR$890,COLUMN(HeadJournal!D$1),0),"")</f>
        <v>Доставлен</v>
      </c>
      <c r="E17" s="95">
        <f>IFERROR(VLOOKUP($A17,HeadJournal!$A$1:$NTR$890,COLUMN(HeadJournal!G$1),0),"")</f>
        <v>44768</v>
      </c>
      <c r="F17" s="95" t="str">
        <f t="shared" si="3"/>
        <v>2022 07</v>
      </c>
      <c r="G17" s="96" t="s">
        <v>5</v>
      </c>
      <c r="H17" s="160" t="str">
        <f>RIGHT(Journal!$J17,9)</f>
        <v>NOW-01650</v>
      </c>
      <c r="I17" s="96" t="str">
        <f t="shared" si="5"/>
        <v>NOW Foods</v>
      </c>
      <c r="J17" s="97" t="s">
        <v>36</v>
      </c>
      <c r="K17" s="29">
        <v>244.27799999999999</v>
      </c>
      <c r="L17" s="29">
        <v>-34.317</v>
      </c>
      <c r="M17" s="30">
        <f>IFERROR(VLOOKUP($A17,HeadJournal!$A$1:$J$890,COLUMN(HeadJournal!I$1),0)*($K17+$L17)/(SUMIF($A:$A,$A17,$K:$K)+SUMIF($A:$A,$A17,$L:$L)),0)</f>
        <v>-64.569454266321898</v>
      </c>
      <c r="N17" s="30">
        <f>IFERROR((VLOOKUP($A17,HeadJournal!$A$1:$K$890,COLUMN(HeadJournal!K$1),0)-VLOOKUP($A17,HeadJournal!$A$1:$K$890,COLUMN(HeadJournal!J$1),0))*($K17+$L17)/(SUMIF($A:$A,$A17,$K:$K)+SUMIF($A:$A,$A17,$L:$L)),0)</f>
        <v>4.5976082737610673E-4</v>
      </c>
      <c r="O17" s="30">
        <f>IFERROR((VLOOKUP($A17,HeadJournal!$A$1:$L$890,COLUMN(HeadJournal!L$1),0)*($K17+$L17)/(SUMIF($A:$A,$A17,$K:$K)+SUMIF($A:$A,$A17,$L:$L)))/VLOOKUP($A17,HeadJournal!$A$1:$L$890,COLUMN(HeadJournal!H$1),0),0)</f>
        <v>104.73305672268904</v>
      </c>
      <c r="P17" s="30">
        <f>IFERROR(SUM(K17:O17)*VLOOKUP($A17,HeadJournal!$A$1:$L$890,COLUMN(HeadJournal!H$1),0),0)</f>
        <v>500.25012443438897</v>
      </c>
      <c r="Q17" s="29">
        <v>1000</v>
      </c>
      <c r="R17" s="31">
        <v>44877</v>
      </c>
      <c r="S17" s="31" t="s">
        <v>3121</v>
      </c>
      <c r="T17" s="95" t="str">
        <f t="shared" si="4"/>
        <v>2022 11</v>
      </c>
      <c r="U17" s="32">
        <f t="shared" si="1"/>
        <v>499.74987556561103</v>
      </c>
      <c r="V17" s="22">
        <f t="shared" si="2"/>
        <v>0.99900000251005727</v>
      </c>
      <c r="X17" s="33"/>
      <c r="Y17" s="33"/>
    </row>
    <row r="18" spans="1:25" x14ac:dyDescent="0.2">
      <c r="A18" s="93" t="s">
        <v>35</v>
      </c>
      <c r="B18" s="94" t="str">
        <f>IFERROR(VLOOKUP($A18,HeadJournal!$A$1:$NTR$890,COLUMN(HeadJournal!B$1),0),"")</f>
        <v>1LSCXLZ000YQI0M</v>
      </c>
      <c r="C18" s="94" t="str">
        <f>IFERROR(VLOOKUP($A18,HeadJournal!$A$1:$NTR$890,COLUMN(HeadJournal!C$1),0),"")</f>
        <v>iHerb_AV CYG0792</v>
      </c>
      <c r="D18" s="125" t="str">
        <f>IFERROR(VLOOKUP($A18,HeadJournal!$A$1:$NTR$890,COLUMN(HeadJournal!D$1),0),"")</f>
        <v>Доставлен</v>
      </c>
      <c r="E18" s="95">
        <f>IFERROR(VLOOKUP($A18,HeadJournal!$A$1:$NTR$890,COLUMN(HeadJournal!G$1),0),"")</f>
        <v>44768</v>
      </c>
      <c r="F18" s="95" t="str">
        <f t="shared" si="3"/>
        <v>2022 07</v>
      </c>
      <c r="G18" s="96" t="s">
        <v>7</v>
      </c>
      <c r="H18" s="161" t="s">
        <v>2228</v>
      </c>
      <c r="I18" s="97" t="s">
        <v>2229</v>
      </c>
      <c r="J18" s="97" t="s">
        <v>2230</v>
      </c>
      <c r="K18" s="29">
        <v>188.18999999999997</v>
      </c>
      <c r="L18" s="29">
        <v>-18.818999999999999</v>
      </c>
      <c r="M18" s="30">
        <f>IFERROR(VLOOKUP($A18,HeadJournal!$A$1:$J$890,COLUMN(HeadJournal!I$1),0)*($K18+$L18)/(SUMIF($A:$A,$A18,$K:$K)+SUMIF($A:$A,$A18,$L:$L)),0)</f>
        <v>-52.086782967032953</v>
      </c>
      <c r="N18" s="30">
        <f>IFERROR((VLOOKUP($A18,HeadJournal!$A$1:$K$890,COLUMN(HeadJournal!K$1),0)-VLOOKUP($A18,HeadJournal!$A$1:$K$890,COLUMN(HeadJournal!J$1),0))*($K18+$L18)/(SUMIF($A:$A,$A18,$K:$K)+SUMIF($A:$A,$A18,$L:$L)),0)</f>
        <v>3.7087912085348505E-4</v>
      </c>
      <c r="O18" s="30">
        <f>IFERROR((VLOOKUP($A18,HeadJournal!$A$1:$L$890,COLUMN(HeadJournal!L$1),0)*($K18+$L18)/(SUMIF($A:$A,$A18,$K:$K)+SUMIF($A:$A,$A18,$L:$L)))/VLOOKUP($A18,HeadJournal!$A$1:$L$890,COLUMN(HeadJournal!H$1),0),0)</f>
        <v>84.485892857142829</v>
      </c>
      <c r="P18" s="30">
        <f>IFERROR(SUM(K18:O18)*VLOOKUP($A18,HeadJournal!$A$1:$L$890,COLUMN(HeadJournal!H$1),0),0)</f>
        <v>403.54096153846143</v>
      </c>
      <c r="Q18" s="29">
        <v>800</v>
      </c>
      <c r="R18" s="31">
        <v>44867</v>
      </c>
      <c r="S18" s="31" t="s">
        <v>3121</v>
      </c>
      <c r="T18" s="95" t="str">
        <f t="shared" si="4"/>
        <v>2022 11</v>
      </c>
      <c r="U18" s="32">
        <f t="shared" si="1"/>
        <v>396.45903846153857</v>
      </c>
      <c r="V18" s="22">
        <f t="shared" si="2"/>
        <v>0.98245054715158608</v>
      </c>
      <c r="X18" s="33"/>
      <c r="Y18" s="33"/>
    </row>
    <row r="19" spans="1:25" x14ac:dyDescent="0.2">
      <c r="A19" s="93" t="s">
        <v>37</v>
      </c>
      <c r="B19" s="94" t="str">
        <f>IFERROR(VLOOKUP($A19,HeadJournal!$A$1:$NTR$890,COLUMN(HeadJournal!B$1),0),"")</f>
        <v>1LSCXLZ000Z8LTB</v>
      </c>
      <c r="C19" s="94" t="str">
        <f>IFERROR(VLOOKUP($A19,HeadJournal!$A$1:$NTR$890,COLUMN(HeadJournal!C$1),0),"")</f>
        <v>iHerb_VP DFD1605</v>
      </c>
      <c r="D19" s="125" t="str">
        <f>IFERROR(VLOOKUP($A19,HeadJournal!$A$1:$NTR$890,COLUMN(HeadJournal!D$1),0),"")</f>
        <v>Доставлен</v>
      </c>
      <c r="E19" s="95">
        <f>IFERROR(VLOOKUP($A19,HeadJournal!$A$1:$NTR$890,COLUMN(HeadJournal!G$1),0),"")</f>
        <v>44777</v>
      </c>
      <c r="F19" s="95" t="str">
        <f t="shared" si="3"/>
        <v>2022 08</v>
      </c>
      <c r="G19" s="96" t="s">
        <v>5</v>
      </c>
      <c r="H19" s="160" t="str">
        <f>RIGHT(Journal!$J19,9)</f>
        <v>CGN-01066</v>
      </c>
      <c r="I19" s="96" t="str">
        <f t="shared" si="5"/>
        <v>California Gold Nutrition</v>
      </c>
      <c r="J19" s="97" t="s">
        <v>38</v>
      </c>
      <c r="K19" s="29">
        <v>251.6</v>
      </c>
      <c r="L19" s="29">
        <v>-214.6</v>
      </c>
      <c r="M19" s="30">
        <f>IFERROR(VLOOKUP($A19,HeadJournal!$A$1:$J$890,COLUMN(HeadJournal!I$1),0)*($K19+$L19)/(SUMIF($A:$A,$A19,$K:$K)+SUMIF($A:$A,$A19,$L:$L)),0)</f>
        <v>-4.2805362462760677</v>
      </c>
      <c r="N19" s="30">
        <f>IFERROR((VLOOKUP($A19,HeadJournal!$A$1:$K$890,COLUMN(HeadJournal!K$1),0)-VLOOKUP($A19,HeadJournal!$A$1:$K$890,COLUMN(HeadJournal!J$1),0))*($K19+$L19)/(SUMIF($A:$A,$A19,$K:$K)+SUMIF($A:$A,$A19,$L:$L)),0)</f>
        <v>3.7632187263030798E-15</v>
      </c>
      <c r="O19" s="30">
        <f>IFERROR((VLOOKUP($A19,HeadJournal!$A$1:$L$890,COLUMN(HeadJournal!L$1),0)*($K19+$L19)/(SUMIF($A:$A,$A19,$K:$K)+SUMIF($A:$A,$A19,$L:$L)))/VLOOKUP($A19,HeadJournal!$A$1:$L$890,COLUMN(HeadJournal!H$1),0),0)</f>
        <v>25.135054617676264</v>
      </c>
      <c r="P19" s="30">
        <f>IFERROR(SUM(K19:O19)*VLOOKUP($A19,HeadJournal!$A$1:$L$890,COLUMN(HeadJournal!H$1),0),0)</f>
        <v>86.781777557100298</v>
      </c>
      <c r="Q19" s="29">
        <v>1500</v>
      </c>
      <c r="R19" s="31">
        <v>44869</v>
      </c>
      <c r="S19" s="31" t="s">
        <v>3121</v>
      </c>
      <c r="T19" s="95" t="str">
        <f t="shared" si="4"/>
        <v>2022 11</v>
      </c>
      <c r="U19" s="32">
        <f t="shared" si="1"/>
        <v>1413.2182224428998</v>
      </c>
      <c r="V19" s="22">
        <f t="shared" si="2"/>
        <v>16.284734678464456</v>
      </c>
      <c r="X19" s="33"/>
      <c r="Y19" s="33"/>
    </row>
    <row r="20" spans="1:25" x14ac:dyDescent="0.2">
      <c r="A20" s="93" t="s">
        <v>37</v>
      </c>
      <c r="B20" s="94" t="str">
        <f>IFERROR(VLOOKUP($A20,HeadJournal!$A$1:$NTR$890,COLUMN(HeadJournal!B$1),0),"")</f>
        <v>1LSCXLZ000Z8LTB</v>
      </c>
      <c r="C20" s="94" t="str">
        <f>IFERROR(VLOOKUP($A20,HeadJournal!$A$1:$NTR$890,COLUMN(HeadJournal!C$1),0),"")</f>
        <v>iHerb_VP DFD1605</v>
      </c>
      <c r="D20" s="125" t="str">
        <f>IFERROR(VLOOKUP($A20,HeadJournal!$A$1:$NTR$890,COLUMN(HeadJournal!D$1),0),"")</f>
        <v>Доставлен</v>
      </c>
      <c r="E20" s="95">
        <f>IFERROR(VLOOKUP($A20,HeadJournal!$A$1:$NTR$890,COLUMN(HeadJournal!G$1),0),"")</f>
        <v>44777</v>
      </c>
      <c r="F20" s="95" t="str">
        <f t="shared" si="3"/>
        <v>2022 08</v>
      </c>
      <c r="G20" s="96" t="s">
        <v>5</v>
      </c>
      <c r="H20" s="161" t="s">
        <v>2051</v>
      </c>
      <c r="I20" s="97" t="s">
        <v>2052</v>
      </c>
      <c r="J20" s="97" t="s">
        <v>3097</v>
      </c>
      <c r="K20" s="29">
        <v>629</v>
      </c>
      <c r="L20" s="29">
        <v>-125.8</v>
      </c>
      <c r="M20" s="30">
        <f>IFERROR(VLOOKUP($A20,HeadJournal!$A$1:$J$890,COLUMN(HeadJournal!I$1),0)*($K20+$L20)/(SUMIF($A:$A,$A20,$K:$K)+SUMIF($A:$A,$A20,$L:$L)),0)</f>
        <v>-58.21529294935452</v>
      </c>
      <c r="N20" s="30">
        <f>IFERROR((VLOOKUP($A20,HeadJournal!$A$1:$K$890,COLUMN(HeadJournal!K$1),0)-VLOOKUP($A20,HeadJournal!$A$1:$K$890,COLUMN(HeadJournal!J$1),0))*($K20+$L20)/(SUMIF($A:$A,$A20,$K:$K)+SUMIF($A:$A,$A20,$L:$L)),0)</f>
        <v>5.1179774677721882E-14</v>
      </c>
      <c r="O20" s="30">
        <f>IFERROR((VLOOKUP($A20,HeadJournal!$A$1:$L$890,COLUMN(HeadJournal!L$1),0)*($K20+$L20)/(SUMIF($A:$A,$A20,$K:$K)+SUMIF($A:$A,$A20,$L:$L)))/VLOOKUP($A20,HeadJournal!$A$1:$L$890,COLUMN(HeadJournal!H$1),0),0)</f>
        <v>341.83674280039719</v>
      </c>
      <c r="P20" s="30">
        <f>IFERROR(SUM(K20:O20)*VLOOKUP($A20,HeadJournal!$A$1:$L$890,COLUMN(HeadJournal!H$1),0),0)</f>
        <v>1180.2321747765641</v>
      </c>
      <c r="Q20" s="29">
        <v>2100</v>
      </c>
      <c r="R20" s="31">
        <v>45113</v>
      </c>
      <c r="S20" s="31" t="s">
        <v>3121</v>
      </c>
      <c r="T20" s="95" t="str">
        <f t="shared" si="4"/>
        <v>2023 07</v>
      </c>
      <c r="U20" s="32">
        <f t="shared" si="1"/>
        <v>919.76782522343592</v>
      </c>
      <c r="V20" s="22">
        <f t="shared" si="2"/>
        <v>0.77931092278310576</v>
      </c>
      <c r="X20" s="33"/>
      <c r="Y20" s="33"/>
    </row>
    <row r="21" spans="1:25" x14ac:dyDescent="0.2">
      <c r="A21" s="93" t="s">
        <v>37</v>
      </c>
      <c r="B21" s="94" t="str">
        <f>IFERROR(VLOOKUP($A21,HeadJournal!$A$1:$NTR$890,COLUMN(HeadJournal!B$1),0),"")</f>
        <v>1LSCXLZ000Z8LTB</v>
      </c>
      <c r="C21" s="94" t="str">
        <f>IFERROR(VLOOKUP($A21,HeadJournal!$A$1:$NTR$890,COLUMN(HeadJournal!C$1),0),"")</f>
        <v>iHerb_VP DFD1605</v>
      </c>
      <c r="D21" s="125" t="str">
        <f>IFERROR(VLOOKUP($A21,HeadJournal!$A$1:$NTR$890,COLUMN(HeadJournal!D$1),0),"")</f>
        <v>Доставлен</v>
      </c>
      <c r="E21" s="95">
        <f>IFERROR(VLOOKUP($A21,HeadJournal!$A$1:$NTR$890,COLUMN(HeadJournal!G$1),0),"")</f>
        <v>44777</v>
      </c>
      <c r="F21" s="95" t="str">
        <f t="shared" si="3"/>
        <v>2022 08</v>
      </c>
      <c r="G21" s="96" t="s">
        <v>5</v>
      </c>
      <c r="H21" s="161" t="s">
        <v>2051</v>
      </c>
      <c r="I21" s="97" t="s">
        <v>2052</v>
      </c>
      <c r="J21" s="97" t="s">
        <v>3097</v>
      </c>
      <c r="K21" s="29">
        <v>629</v>
      </c>
      <c r="L21" s="29">
        <v>-125.8</v>
      </c>
      <c r="M21" s="30">
        <f>IFERROR(VLOOKUP($A21,HeadJournal!$A$1:$J$890,COLUMN(HeadJournal!I$1),0)*($K21+$L21)/(SUMIF($A:$A,$A21,$K:$K)+SUMIF($A:$A,$A21,$L:$L)),0)</f>
        <v>-58.21529294935452</v>
      </c>
      <c r="N21" s="30">
        <f>IFERROR((VLOOKUP($A21,HeadJournal!$A$1:$K$890,COLUMN(HeadJournal!K$1),0)-VLOOKUP($A21,HeadJournal!$A$1:$K$890,COLUMN(HeadJournal!J$1),0))*($K21+$L21)/(SUMIF($A:$A,$A21,$K:$K)+SUMIF($A:$A,$A21,$L:$L)),0)</f>
        <v>5.1179774677721882E-14</v>
      </c>
      <c r="O21" s="30">
        <f>IFERROR((VLOOKUP($A21,HeadJournal!$A$1:$L$890,COLUMN(HeadJournal!L$1),0)*($K21+$L21)/(SUMIF($A:$A,$A21,$K:$K)+SUMIF($A:$A,$A21,$L:$L)))/VLOOKUP($A21,HeadJournal!$A$1:$L$890,COLUMN(HeadJournal!H$1),0),0)</f>
        <v>341.83674280039719</v>
      </c>
      <c r="P21" s="30">
        <f>IFERROR(SUM(K21:O21)*VLOOKUP($A21,HeadJournal!$A$1:$L$890,COLUMN(HeadJournal!H$1),0),0)</f>
        <v>1180.2321747765641</v>
      </c>
      <c r="Q21" s="29">
        <v>2100</v>
      </c>
      <c r="R21" s="31">
        <v>45139</v>
      </c>
      <c r="S21" s="31" t="s">
        <v>3121</v>
      </c>
      <c r="T21" s="95" t="str">
        <f t="shared" si="4"/>
        <v>2023 08</v>
      </c>
      <c r="U21" s="32">
        <f t="shared" si="1"/>
        <v>919.76782522343592</v>
      </c>
      <c r="V21" s="22">
        <f t="shared" si="2"/>
        <v>0.77931092278310576</v>
      </c>
      <c r="X21" s="33"/>
      <c r="Y21" s="33"/>
    </row>
    <row r="22" spans="1:25" x14ac:dyDescent="0.2">
      <c r="A22" s="93" t="s">
        <v>37</v>
      </c>
      <c r="B22" s="94" t="str">
        <f>IFERROR(VLOOKUP($A22,HeadJournal!$A$1:$NTR$890,COLUMN(HeadJournal!B$1),0),"")</f>
        <v>1LSCXLZ000Z8LTB</v>
      </c>
      <c r="C22" s="94" t="str">
        <f>IFERROR(VLOOKUP($A22,HeadJournal!$A$1:$NTR$890,COLUMN(HeadJournal!C$1),0),"")</f>
        <v>iHerb_VP DFD1605</v>
      </c>
      <c r="D22" s="125" t="str">
        <f>IFERROR(VLOOKUP($A22,HeadJournal!$A$1:$NTR$890,COLUMN(HeadJournal!D$1),0),"")</f>
        <v>Доставлен</v>
      </c>
      <c r="E22" s="95">
        <f>IFERROR(VLOOKUP($A22,HeadJournal!$A$1:$NTR$890,COLUMN(HeadJournal!G$1),0),"")</f>
        <v>44777</v>
      </c>
      <c r="F22" s="95" t="str">
        <f t="shared" si="3"/>
        <v>2022 08</v>
      </c>
      <c r="G22" s="96" t="s">
        <v>5</v>
      </c>
      <c r="H22" s="161" t="s">
        <v>2771</v>
      </c>
      <c r="I22" s="97" t="s">
        <v>2052</v>
      </c>
      <c r="J22" s="97" t="s">
        <v>3858</v>
      </c>
      <c r="K22" s="29">
        <v>259</v>
      </c>
      <c r="L22" s="29">
        <v>-125.985</v>
      </c>
      <c r="M22" s="30">
        <f>IFERROR(VLOOKUP($A22,HeadJournal!$A$1:$J$890,COLUMN(HeadJournal!I$1),0)*($K22+$L22)/(SUMIF($A:$A,$A22,$K:$K)+SUMIF($A:$A,$A22,$L:$L)),0)</f>
        <v>-15.388527805362461</v>
      </c>
      <c r="N22" s="30">
        <f>IFERROR((VLOOKUP($A22,HeadJournal!$A$1:$K$890,COLUMN(HeadJournal!K$1),0)-VLOOKUP($A22,HeadJournal!$A$1:$K$890,COLUMN(HeadJournal!J$1),0))*($K22+$L22)/(SUMIF($A:$A,$A22,$K:$K)+SUMIF($A:$A,$A22,$L:$L)),0)</f>
        <v>1.352877132105957E-14</v>
      </c>
      <c r="O22" s="30">
        <f>IFERROR((VLOOKUP($A22,HeadJournal!$A$1:$L$890,COLUMN(HeadJournal!L$1),0)*($K22+$L22)/(SUMIF($A:$A,$A22,$K:$K)+SUMIF($A:$A,$A22,$L:$L)))/VLOOKUP($A22,HeadJournal!$A$1:$L$890,COLUMN(HeadJournal!H$1),0),0)</f>
        <v>90.360521350546151</v>
      </c>
      <c r="P22" s="30">
        <f>IFERROR(SUM(K22:O22)*VLOOKUP($A22,HeadJournal!$A$1:$L$890,COLUMN(HeadJournal!H$1),0),0)</f>
        <v>311.98049031777555</v>
      </c>
      <c r="Q22" s="29">
        <v>1000</v>
      </c>
      <c r="R22" s="31">
        <v>45054</v>
      </c>
      <c r="S22" s="31" t="s">
        <v>3121</v>
      </c>
      <c r="T22" s="95" t="str">
        <f t="shared" si="4"/>
        <v>2023 05</v>
      </c>
      <c r="U22" s="32">
        <f t="shared" si="1"/>
        <v>688.01950968222445</v>
      </c>
      <c r="V22" s="22">
        <f t="shared" si="2"/>
        <v>2.2053286376382859</v>
      </c>
      <c r="X22" s="33"/>
      <c r="Y22" s="33"/>
    </row>
    <row r="23" spans="1:25" x14ac:dyDescent="0.2">
      <c r="A23" s="93" t="s">
        <v>37</v>
      </c>
      <c r="B23" s="94" t="str">
        <f>IFERROR(VLOOKUP($A23,HeadJournal!$A$1:$NTR$890,COLUMN(HeadJournal!B$1),0),"")</f>
        <v>1LSCXLZ000Z8LTB</v>
      </c>
      <c r="C23" s="94" t="str">
        <f>IFERROR(VLOOKUP($A23,HeadJournal!$A$1:$NTR$890,COLUMN(HeadJournal!C$1),0),"")</f>
        <v>iHerb_VP DFD1605</v>
      </c>
      <c r="D23" s="125" t="str">
        <f>IFERROR(VLOOKUP($A23,HeadJournal!$A$1:$NTR$890,COLUMN(HeadJournal!D$1),0),"")</f>
        <v>Доставлен</v>
      </c>
      <c r="E23" s="95">
        <f>IFERROR(VLOOKUP($A23,HeadJournal!$A$1:$NTR$890,COLUMN(HeadJournal!G$1),0),"")</f>
        <v>44777</v>
      </c>
      <c r="F23" s="95" t="str">
        <f t="shared" si="3"/>
        <v>2022 08</v>
      </c>
      <c r="G23" s="96" t="s">
        <v>5</v>
      </c>
      <c r="H23" s="161" t="s">
        <v>2771</v>
      </c>
      <c r="I23" s="97" t="s">
        <v>2052</v>
      </c>
      <c r="J23" s="97" t="s">
        <v>3858</v>
      </c>
      <c r="K23" s="29">
        <v>259</v>
      </c>
      <c r="L23" s="29">
        <v>-125.985</v>
      </c>
      <c r="M23" s="30">
        <f>IFERROR(VLOOKUP($A23,HeadJournal!$A$1:$J$890,COLUMN(HeadJournal!I$1),0)*($K23+$L23)/(SUMIF($A:$A,$A23,$K:$K)+SUMIF($A:$A,$A23,$L:$L)),0)</f>
        <v>-15.388527805362461</v>
      </c>
      <c r="N23" s="30">
        <f>IFERROR((VLOOKUP($A23,HeadJournal!$A$1:$K$890,COLUMN(HeadJournal!K$1),0)-VLOOKUP($A23,HeadJournal!$A$1:$K$890,COLUMN(HeadJournal!J$1),0))*($K23+$L23)/(SUMIF($A:$A,$A23,$K:$K)+SUMIF($A:$A,$A23,$L:$L)),0)</f>
        <v>1.352877132105957E-14</v>
      </c>
      <c r="O23" s="30">
        <f>IFERROR((VLOOKUP($A23,HeadJournal!$A$1:$L$890,COLUMN(HeadJournal!L$1),0)*($K23+$L23)/(SUMIF($A:$A,$A23,$K:$K)+SUMIF($A:$A,$A23,$L:$L)))/VLOOKUP($A23,HeadJournal!$A$1:$L$890,COLUMN(HeadJournal!H$1),0),0)</f>
        <v>90.360521350546151</v>
      </c>
      <c r="P23" s="30">
        <f>IFERROR(SUM(K23:O23)*VLOOKUP($A23,HeadJournal!$A$1:$L$890,COLUMN(HeadJournal!H$1),0),0)</f>
        <v>311.98049031777555</v>
      </c>
      <c r="Q23" s="29">
        <v>1000</v>
      </c>
      <c r="R23" s="31">
        <v>45054</v>
      </c>
      <c r="S23" s="31" t="s">
        <v>3121</v>
      </c>
      <c r="T23" s="95" t="str">
        <f t="shared" si="4"/>
        <v>2023 05</v>
      </c>
      <c r="U23" s="32">
        <f t="shared" si="1"/>
        <v>688.01950968222445</v>
      </c>
      <c r="V23" s="22">
        <f t="shared" si="2"/>
        <v>2.2053286376382859</v>
      </c>
      <c r="X23" s="33"/>
      <c r="Y23" s="33"/>
    </row>
    <row r="24" spans="1:25" x14ac:dyDescent="0.2">
      <c r="A24" s="93" t="s">
        <v>37</v>
      </c>
      <c r="B24" s="94" t="str">
        <f>IFERROR(VLOOKUP($A24,HeadJournal!$A$1:$NTR$890,COLUMN(HeadJournal!B$1),0),"")</f>
        <v>1LSCXLZ000Z8LTB</v>
      </c>
      <c r="C24" s="94" t="str">
        <f>IFERROR(VLOOKUP($A24,HeadJournal!$A$1:$NTR$890,COLUMN(HeadJournal!C$1),0),"")</f>
        <v>iHerb_VP DFD1605</v>
      </c>
      <c r="D24" s="125" t="str">
        <f>IFERROR(VLOOKUP($A24,HeadJournal!$A$1:$NTR$890,COLUMN(HeadJournal!D$1),0),"")</f>
        <v>Доставлен</v>
      </c>
      <c r="E24" s="95">
        <f>IFERROR(VLOOKUP($A24,HeadJournal!$A$1:$NTR$890,COLUMN(HeadJournal!G$1),0),"")</f>
        <v>44777</v>
      </c>
      <c r="F24" s="95" t="str">
        <f t="shared" si="3"/>
        <v>2022 08</v>
      </c>
      <c r="G24" s="96" t="s">
        <v>7</v>
      </c>
      <c r="H24" s="160" t="str">
        <f>RIGHT(Journal!$J24,9)</f>
        <v>SKE-99153</v>
      </c>
      <c r="I24" s="96" t="str">
        <f t="shared" si="5"/>
        <v>Secret Key</v>
      </c>
      <c r="J24" s="97" t="s">
        <v>39</v>
      </c>
      <c r="K24" s="29">
        <v>310.8</v>
      </c>
      <c r="L24" s="29">
        <v>-59.2</v>
      </c>
      <c r="M24" s="30">
        <f>IFERROR(VLOOKUP($A24,HeadJournal!$A$1:$J$890,COLUMN(HeadJournal!I$1),0)*($K24+$L24)/(SUMIF($A:$A,$A24,$K:$K)+SUMIF($A:$A,$A24,$L:$L)),0)</f>
        <v>-29.10764647467726</v>
      </c>
      <c r="N24" s="30">
        <f>IFERROR((VLOOKUP($A24,HeadJournal!$A$1:$K$890,COLUMN(HeadJournal!K$1),0)-VLOOKUP($A24,HeadJournal!$A$1:$K$890,COLUMN(HeadJournal!J$1),0))*($K24+$L24)/(SUMIF($A:$A,$A24,$K:$K)+SUMIF($A:$A,$A24,$L:$L)),0)</f>
        <v>2.5589887338860944E-14</v>
      </c>
      <c r="O24" s="30">
        <f>IFERROR((VLOOKUP($A24,HeadJournal!$A$1:$L$890,COLUMN(HeadJournal!L$1),0)*($K24+$L24)/(SUMIF($A:$A,$A24,$K:$K)+SUMIF($A:$A,$A24,$L:$L)))/VLOOKUP($A24,HeadJournal!$A$1:$L$890,COLUMN(HeadJournal!H$1),0),0)</f>
        <v>170.91837140019859</v>
      </c>
      <c r="P24" s="30">
        <f>IFERROR(SUM(K24:O24)*VLOOKUP($A24,HeadJournal!$A$1:$L$890,COLUMN(HeadJournal!H$1),0),0)</f>
        <v>590.11608738828204</v>
      </c>
      <c r="Q24" s="29">
        <v>900</v>
      </c>
      <c r="R24" s="31">
        <v>44868</v>
      </c>
      <c r="S24" s="31" t="s">
        <v>3121</v>
      </c>
      <c r="T24" s="95" t="str">
        <f t="shared" si="4"/>
        <v>2022 11</v>
      </c>
      <c r="U24" s="32">
        <f t="shared" si="1"/>
        <v>309.88391261171796</v>
      </c>
      <c r="V24" s="22">
        <f t="shared" si="2"/>
        <v>0.52512364809980494</v>
      </c>
      <c r="X24" s="33"/>
      <c r="Y24" s="33"/>
    </row>
    <row r="25" spans="1:25" x14ac:dyDescent="0.2">
      <c r="A25" s="93" t="s">
        <v>37</v>
      </c>
      <c r="B25" s="94" t="str">
        <f>IFERROR(VLOOKUP($A25,HeadJournal!$A$1:$NTR$890,COLUMN(HeadJournal!B$1),0),"")</f>
        <v>1LSCXLZ000Z8LTB</v>
      </c>
      <c r="C25" s="94" t="str">
        <f>IFERROR(VLOOKUP($A25,HeadJournal!$A$1:$NTR$890,COLUMN(HeadJournal!C$1),0),"")</f>
        <v>iHerb_VP DFD1605</v>
      </c>
      <c r="D25" s="125" t="str">
        <f>IFERROR(VLOOKUP($A25,HeadJournal!$A$1:$NTR$890,COLUMN(HeadJournal!D$1),0),"")</f>
        <v>Доставлен</v>
      </c>
      <c r="E25" s="95">
        <f>IFERROR(VLOOKUP($A25,HeadJournal!$A$1:$NTR$890,COLUMN(HeadJournal!G$1),0),"")</f>
        <v>44777</v>
      </c>
      <c r="F25" s="95" t="str">
        <f t="shared" si="3"/>
        <v>2022 08</v>
      </c>
      <c r="G25" s="96" t="s">
        <v>5</v>
      </c>
      <c r="H25" s="161" t="s">
        <v>2027</v>
      </c>
      <c r="I25" s="97" t="s">
        <v>2005</v>
      </c>
      <c r="J25" s="97" t="s">
        <v>4110</v>
      </c>
      <c r="K25" s="29">
        <v>213.86</v>
      </c>
      <c r="L25" s="29">
        <v>-42.919999999999995</v>
      </c>
      <c r="M25" s="30">
        <f>IFERROR(VLOOKUP($A25,HeadJournal!$A$1:$J$890,COLUMN(HeadJournal!I$1),0)*($K25+$L25)/(SUMIF($A:$A,$A25,$K:$K)+SUMIF($A:$A,$A25,$L:$L)),0)</f>
        <v>-19.776077457795438</v>
      </c>
      <c r="N25" s="30">
        <f>IFERROR((VLOOKUP($A25,HeadJournal!$A$1:$K$890,COLUMN(HeadJournal!K$1),0)-VLOOKUP($A25,HeadJournal!$A$1:$K$890,COLUMN(HeadJournal!J$1),0))*($K25+$L25)/(SUMIF($A:$A,$A25,$K:$K)+SUMIF($A:$A,$A25,$L:$L)),0)</f>
        <v>1.7386070515520229E-14</v>
      </c>
      <c r="O25" s="30">
        <f>IFERROR((VLOOKUP($A25,HeadJournal!$A$1:$L$890,COLUMN(HeadJournal!L$1),0)*($K25+$L25)/(SUMIF($A:$A,$A25,$K:$K)+SUMIF($A:$A,$A25,$L:$L)))/VLOOKUP($A25,HeadJournal!$A$1:$L$890,COLUMN(HeadJournal!H$1),0),0)</f>
        <v>116.12395233366436</v>
      </c>
      <c r="P25" s="30">
        <f>IFERROR(SUM(K25:O25)*VLOOKUP($A25,HeadJournal!$A$1:$L$890,COLUMN(HeadJournal!H$1),0),0)</f>
        <v>400.93181231380345</v>
      </c>
      <c r="Q25" s="29">
        <v>1000</v>
      </c>
      <c r="R25" s="31">
        <v>44869</v>
      </c>
      <c r="S25" s="31" t="s">
        <v>3121</v>
      </c>
      <c r="T25" s="95" t="str">
        <f t="shared" si="4"/>
        <v>2022 11</v>
      </c>
      <c r="U25" s="32">
        <f t="shared" si="1"/>
        <v>599.06818768619655</v>
      </c>
      <c r="V25" s="22">
        <f t="shared" si="2"/>
        <v>1.4941897082921289</v>
      </c>
      <c r="X25" s="33"/>
      <c r="Y25" s="33"/>
    </row>
    <row r="26" spans="1:25" x14ac:dyDescent="0.2">
      <c r="A26" s="93" t="s">
        <v>37</v>
      </c>
      <c r="B26" s="94" t="str">
        <f>IFERROR(VLOOKUP($A26,HeadJournal!$A$1:$NTR$890,COLUMN(HeadJournal!B$1),0),"")</f>
        <v>1LSCXLZ000Z8LTB</v>
      </c>
      <c r="C26" s="94" t="str">
        <f>IFERROR(VLOOKUP($A26,HeadJournal!$A$1:$NTR$890,COLUMN(HeadJournal!C$1),0),"")</f>
        <v>iHerb_VP DFD1605</v>
      </c>
      <c r="D26" s="125" t="str">
        <f>IFERROR(VLOOKUP($A26,HeadJournal!$A$1:$NTR$890,COLUMN(HeadJournal!D$1),0),"")</f>
        <v>Доставлен</v>
      </c>
      <c r="E26" s="95">
        <f>IFERROR(VLOOKUP($A26,HeadJournal!$A$1:$NTR$890,COLUMN(HeadJournal!G$1),0),"")</f>
        <v>44777</v>
      </c>
      <c r="F26" s="95" t="str">
        <f t="shared" si="3"/>
        <v>2022 08</v>
      </c>
      <c r="G26" s="96" t="s">
        <v>5</v>
      </c>
      <c r="H26" s="161" t="s">
        <v>3011</v>
      </c>
      <c r="I26" s="97" t="s">
        <v>2052</v>
      </c>
      <c r="J26" s="97" t="s">
        <v>3012</v>
      </c>
      <c r="K26" s="29">
        <v>222</v>
      </c>
      <c r="L26" s="29">
        <v>-111</v>
      </c>
      <c r="M26" s="30">
        <f>IFERROR(VLOOKUP($A26,HeadJournal!$A$1:$J$890,COLUMN(HeadJournal!I$1),0)*($K26+$L26)/(SUMIF($A:$A,$A26,$K:$K)+SUMIF($A:$A,$A26,$L:$L)),0)</f>
        <v>-12.841608738828203</v>
      </c>
      <c r="N26" s="30">
        <f>IFERROR((VLOOKUP($A26,HeadJournal!$A$1:$K$890,COLUMN(HeadJournal!K$1),0)-VLOOKUP($A26,HeadJournal!$A$1:$K$890,COLUMN(HeadJournal!J$1),0))*($K26+$L26)/(SUMIF($A:$A,$A26,$K:$K)+SUMIF($A:$A,$A26,$L:$L)),0)</f>
        <v>1.1289656178909238E-14</v>
      </c>
      <c r="O26" s="30">
        <f>IFERROR((VLOOKUP($A26,HeadJournal!$A$1:$L$890,COLUMN(HeadJournal!L$1),0)*($K26+$L26)/(SUMIF($A:$A,$A26,$K:$K)+SUMIF($A:$A,$A26,$L:$L)))/VLOOKUP($A26,HeadJournal!$A$1:$L$890,COLUMN(HeadJournal!H$1),0),0)</f>
        <v>75.405163853028796</v>
      </c>
      <c r="P26" s="30">
        <f>IFERROR(SUM(K26:O26)*VLOOKUP($A26,HeadJournal!$A$1:$L$890,COLUMN(HeadJournal!H$1),0),0)</f>
        <v>260.34533267130087</v>
      </c>
      <c r="Q26" s="29">
        <v>700</v>
      </c>
      <c r="R26" s="31">
        <v>44871</v>
      </c>
      <c r="S26" s="31" t="s">
        <v>3121</v>
      </c>
      <c r="T26" s="95" t="str">
        <f t="shared" si="4"/>
        <v>2022 11</v>
      </c>
      <c r="U26" s="32">
        <f t="shared" si="1"/>
        <v>439.65466732869913</v>
      </c>
      <c r="V26" s="22">
        <f t="shared" si="2"/>
        <v>1.6887365055389156</v>
      </c>
      <c r="X26" s="33"/>
      <c r="Y26" s="33"/>
    </row>
    <row r="27" spans="1:25" x14ac:dyDescent="0.2">
      <c r="A27" s="93" t="s">
        <v>37</v>
      </c>
      <c r="B27" s="94" t="str">
        <f>IFERROR(VLOOKUP($A27,HeadJournal!$A$1:$NTR$890,COLUMN(HeadJournal!B$1),0),"")</f>
        <v>1LSCXLZ000Z8LTB</v>
      </c>
      <c r="C27" s="94" t="str">
        <f>IFERROR(VLOOKUP($A27,HeadJournal!$A$1:$NTR$890,COLUMN(HeadJournal!C$1),0),"")</f>
        <v>iHerb_VP DFD1605</v>
      </c>
      <c r="D27" s="125" t="str">
        <f>IFERROR(VLOOKUP($A27,HeadJournal!$A$1:$NTR$890,COLUMN(HeadJournal!D$1),0),"")</f>
        <v>Доставлен</v>
      </c>
      <c r="E27" s="95">
        <f>IFERROR(VLOOKUP($A27,HeadJournal!$A$1:$NTR$890,COLUMN(HeadJournal!G$1),0),"")</f>
        <v>44777</v>
      </c>
      <c r="F27" s="95" t="str">
        <f t="shared" si="3"/>
        <v>2022 08</v>
      </c>
      <c r="G27" s="96" t="s">
        <v>5</v>
      </c>
      <c r="H27" s="160" t="str">
        <f>RIGHT(Journal!$J27,9)</f>
        <v>CEN-22713</v>
      </c>
      <c r="I27" s="96" t="str">
        <f t="shared" si="5"/>
        <v>21st Century</v>
      </c>
      <c r="J27" s="97" t="s">
        <v>40</v>
      </c>
      <c r="K27" s="29">
        <v>103.6</v>
      </c>
      <c r="L27" s="29">
        <v>-10.360000000000001</v>
      </c>
      <c r="M27" s="30">
        <f>IFERROR(VLOOKUP($A27,HeadJournal!$A$1:$J$890,COLUMN(HeadJournal!I$1),0)*($K27+$L27)/(SUMIF($A:$A,$A27,$K:$K)+SUMIF($A:$A,$A27,$L:$L)),0)</f>
        <v>-10.78695134061569</v>
      </c>
      <c r="N27" s="30">
        <f>IFERROR((VLOOKUP($A27,HeadJournal!$A$1:$K$890,COLUMN(HeadJournal!K$1),0)-VLOOKUP($A27,HeadJournal!$A$1:$K$890,COLUMN(HeadJournal!J$1),0))*($K27+$L27)/(SUMIF($A:$A,$A27,$K:$K)+SUMIF($A:$A,$A27,$L:$L)),0)</f>
        <v>9.4833111902837592E-15</v>
      </c>
      <c r="O27" s="30">
        <f>IFERROR((VLOOKUP($A27,HeadJournal!$A$1:$L$890,COLUMN(HeadJournal!L$1),0)*($K27+$L27)/(SUMIF($A:$A,$A27,$K:$K)+SUMIF($A:$A,$A27,$L:$L)))/VLOOKUP($A27,HeadJournal!$A$1:$L$890,COLUMN(HeadJournal!H$1),0),0)</f>
        <v>63.340337636544184</v>
      </c>
      <c r="P27" s="30">
        <f>IFERROR(SUM(K27:O27)*VLOOKUP($A27,HeadJournal!$A$1:$L$890,COLUMN(HeadJournal!H$1),0),0)</f>
        <v>218.69007944389278</v>
      </c>
      <c r="Q27" s="29">
        <v>1200</v>
      </c>
      <c r="R27" s="31">
        <v>44871</v>
      </c>
      <c r="S27" s="31" t="s">
        <v>3121</v>
      </c>
      <c r="T27" s="95" t="str">
        <f t="shared" si="4"/>
        <v>2022 11</v>
      </c>
      <c r="U27" s="32">
        <f t="shared" si="1"/>
        <v>981.30992055610727</v>
      </c>
      <c r="V27" s="22">
        <f t="shared" si="2"/>
        <v>4.4872173582426838</v>
      </c>
      <c r="X27" s="33"/>
      <c r="Y27" s="33"/>
    </row>
    <row r="28" spans="1:25" x14ac:dyDescent="0.2">
      <c r="A28" s="93" t="s">
        <v>37</v>
      </c>
      <c r="B28" s="94" t="str">
        <f>IFERROR(VLOOKUP($A28,HeadJournal!$A$1:$NTR$890,COLUMN(HeadJournal!B$1),0),"")</f>
        <v>1LSCXLZ000Z8LTB</v>
      </c>
      <c r="C28" s="94" t="str">
        <f>IFERROR(VLOOKUP($A28,HeadJournal!$A$1:$NTR$890,COLUMN(HeadJournal!C$1),0),"")</f>
        <v>iHerb_VP DFD1605</v>
      </c>
      <c r="D28" s="125" t="str">
        <f>IFERROR(VLOOKUP($A28,HeadJournal!$A$1:$NTR$890,COLUMN(HeadJournal!D$1),0),"")</f>
        <v>Доставлен</v>
      </c>
      <c r="E28" s="95">
        <f>IFERROR(VLOOKUP($A28,HeadJournal!$A$1:$NTR$890,COLUMN(HeadJournal!G$1),0),"")</f>
        <v>44777</v>
      </c>
      <c r="F28" s="95" t="str">
        <f t="shared" si="3"/>
        <v>2022 08</v>
      </c>
      <c r="G28" s="96" t="s">
        <v>5</v>
      </c>
      <c r="H28" s="161" t="s">
        <v>2223</v>
      </c>
      <c r="I28" s="97" t="s">
        <v>2008</v>
      </c>
      <c r="J28" s="97" t="s">
        <v>2224</v>
      </c>
      <c r="K28" s="29">
        <v>332.26</v>
      </c>
      <c r="L28" s="29">
        <v>-32.93</v>
      </c>
      <c r="M28" s="30">
        <f>IFERROR(VLOOKUP($A28,HeadJournal!$A$1:$J$890,COLUMN(HeadJournal!I$1),0)*($K28+$L28)/(SUMIF($A:$A,$A28,$K:$K)+SUMIF($A:$A,$A28,$L:$L)),0)</f>
        <v>-34.629538232373385</v>
      </c>
      <c r="N28" s="30">
        <f>IFERROR((VLOOKUP($A28,HeadJournal!$A$1:$K$890,COLUMN(HeadJournal!K$1),0)-VLOOKUP($A28,HeadJournal!$A$1:$K$890,COLUMN(HeadJournal!J$1),0))*($K28+$L28)/(SUMIF($A:$A,$A28,$K:$K)+SUMIF($A:$A,$A28,$L:$L)),0)</f>
        <v>3.0444439495791913E-14</v>
      </c>
      <c r="O28" s="30">
        <f>IFERROR((VLOOKUP($A28,HeadJournal!$A$1:$L$890,COLUMN(HeadJournal!L$1),0)*($K28+$L28)/(SUMIF($A:$A,$A28,$K:$K)+SUMIF($A:$A,$A28,$L:$L)))/VLOOKUP($A28,HeadJournal!$A$1:$L$890,COLUMN(HeadJournal!H$1),0),0)</f>
        <v>203.34259185700094</v>
      </c>
      <c r="P28" s="30">
        <f>IFERROR(SUM(K28:O28)*VLOOKUP($A28,HeadJournal!$A$1:$L$890,COLUMN(HeadJournal!H$1),0),0)</f>
        <v>702.06458043694147</v>
      </c>
      <c r="Q28" s="29">
        <v>1500</v>
      </c>
      <c r="R28" s="31">
        <v>44894</v>
      </c>
      <c r="S28" s="31" t="s">
        <v>3121</v>
      </c>
      <c r="T28" s="95" t="str">
        <f t="shared" si="4"/>
        <v>2022 11</v>
      </c>
      <c r="U28" s="32">
        <f t="shared" si="1"/>
        <v>797.93541956305853</v>
      </c>
      <c r="V28" s="22">
        <f t="shared" si="2"/>
        <v>1.1365555844826274</v>
      </c>
      <c r="X28" s="33"/>
      <c r="Y28" s="33"/>
    </row>
    <row r="29" spans="1:25" x14ac:dyDescent="0.2">
      <c r="A29" s="98" t="s">
        <v>41</v>
      </c>
      <c r="B29" s="94" t="str">
        <f>IFERROR(VLOOKUP($A29,HeadJournal!$A$1:$NTR$890,COLUMN(HeadJournal!B$1),0),"")</f>
        <v>IHORD0000446652NPG</v>
      </c>
      <c r="C29" s="94" t="str">
        <f>IFERROR(VLOOKUP($A29,HeadJournal!$A$1:$NTR$890,COLUMN(HeadJournal!C$1),0),"")</f>
        <v>iHerb_MH DLE7202</v>
      </c>
      <c r="D29" s="125" t="str">
        <f>IFERROR(VLOOKUP($A29,HeadJournal!$A$1:$NTR$890,COLUMN(HeadJournal!D$1),0),"")</f>
        <v>Доставлен</v>
      </c>
      <c r="E29" s="95">
        <f>IFERROR(VLOOKUP($A29,HeadJournal!$A$1:$NTR$890,COLUMN(HeadJournal!G$1),0),"")</f>
        <v>44788</v>
      </c>
      <c r="F29" s="95" t="str">
        <f t="shared" si="3"/>
        <v>2022 08</v>
      </c>
      <c r="G29" s="96" t="s">
        <v>5</v>
      </c>
      <c r="H29" s="161" t="s">
        <v>2471</v>
      </c>
      <c r="I29" s="97" t="s">
        <v>2039</v>
      </c>
      <c r="J29" s="97" t="s">
        <v>2472</v>
      </c>
      <c r="K29" s="34">
        <v>713.84</v>
      </c>
      <c r="L29" s="34">
        <v>-71.38</v>
      </c>
      <c r="M29" s="30">
        <f>IFERROR(VLOOKUP($A29,HeadJournal!$A$1:$J$890,COLUMN(HeadJournal!I$1),0)*($K29+$L29)/(SUMIF($A:$A,$A29,$K:$K)+SUMIF($A:$A,$A29,$L:$L)),0)</f>
        <v>-101.40832257959437</v>
      </c>
      <c r="N29" s="30">
        <f>IFERROR((VLOOKUP($A29,HeadJournal!$A$1:$K$890,COLUMN(HeadJournal!K$1),0)-VLOOKUP($A29,HeadJournal!$A$1:$K$890,COLUMN(HeadJournal!J$1),0))*($K29+$L29)/(SUMIF($A:$A,$A29,$K:$K)+SUMIF($A:$A,$A29,$L:$L)),0)</f>
        <v>13.755905838663733</v>
      </c>
      <c r="O29" s="30">
        <f>IFERROR((VLOOKUP($A29,HeadJournal!$A$1:$L$890,COLUMN(HeadJournal!L$1),0)*($K29+$L29)/(SUMIF($A:$A,$A29,$K:$K)+SUMIF($A:$A,$A29,$L:$L)))/VLOOKUP($A29,HeadJournal!$A$1:$L$890,COLUMN(HeadJournal!H$1),0),0)</f>
        <v>99.658812132606442</v>
      </c>
      <c r="P29" s="30">
        <f>IFERROR(SUM(K29:O29)*VLOOKUP($A29,HeadJournal!$A$1:$L$890,COLUMN(HeadJournal!H$1),0),0)</f>
        <v>981.69959308751379</v>
      </c>
      <c r="Q29" s="29">
        <v>2200</v>
      </c>
      <c r="R29" s="31">
        <v>44821</v>
      </c>
      <c r="S29" s="31" t="s">
        <v>3121</v>
      </c>
      <c r="T29" s="95" t="str">
        <f t="shared" si="4"/>
        <v>2022 09</v>
      </c>
      <c r="U29" s="32">
        <f t="shared" si="1"/>
        <v>1218.3004069124863</v>
      </c>
      <c r="V29" s="22">
        <f t="shared" si="2"/>
        <v>1.2410114208979617</v>
      </c>
      <c r="X29" s="33"/>
      <c r="Y29" s="33"/>
    </row>
    <row r="30" spans="1:25" x14ac:dyDescent="0.2">
      <c r="A30" s="98" t="s">
        <v>41</v>
      </c>
      <c r="B30" s="94" t="str">
        <f>IFERROR(VLOOKUP($A30,HeadJournal!$A$1:$NTR$890,COLUMN(HeadJournal!B$1),0),"")</f>
        <v>IHORD0000446652NPG</v>
      </c>
      <c r="C30" s="94" t="str">
        <f>IFERROR(VLOOKUP($A30,HeadJournal!$A$1:$NTR$890,COLUMN(HeadJournal!C$1),0),"")</f>
        <v>iHerb_MH DLE7202</v>
      </c>
      <c r="D30" s="125" t="str">
        <f>IFERROR(VLOOKUP($A30,HeadJournal!$A$1:$NTR$890,COLUMN(HeadJournal!D$1),0),"")</f>
        <v>Доставлен</v>
      </c>
      <c r="E30" s="95">
        <f>IFERROR(VLOOKUP($A30,HeadJournal!$A$1:$NTR$890,COLUMN(HeadJournal!G$1),0),"")</f>
        <v>44788</v>
      </c>
      <c r="F30" s="95" t="str">
        <f t="shared" si="3"/>
        <v>2022 08</v>
      </c>
      <c r="G30" s="96" t="s">
        <v>5</v>
      </c>
      <c r="H30" s="160" t="str">
        <f>RIGHT(Journal!$J30,9)</f>
        <v>LEX-23166</v>
      </c>
      <c r="I30" s="96" t="str">
        <f t="shared" si="5"/>
        <v>Life Extension</v>
      </c>
      <c r="J30" s="99" t="s">
        <v>42</v>
      </c>
      <c r="K30" s="34">
        <v>387.16</v>
      </c>
      <c r="L30" s="34">
        <v>-38.74</v>
      </c>
      <c r="M30" s="30">
        <f>IFERROR(VLOOKUP($A30,HeadJournal!$A$1:$J$890,COLUMN(HeadJournal!I$1),0)*($K30+$L30)/(SUMIF($A:$A,$A30,$K:$K)+SUMIF($A:$A,$A30,$L:$L)),0)</f>
        <v>-54.995933993061463</v>
      </c>
      <c r="N30" s="30">
        <f>IFERROR((VLOOKUP($A30,HeadJournal!$A$1:$K$890,COLUMN(HeadJournal!K$1),0)-VLOOKUP($A30,HeadJournal!$A$1:$K$890,COLUMN(HeadJournal!J$1),0))*($K30+$L30)/(SUMIF($A:$A,$A30,$K:$K)+SUMIF($A:$A,$A30,$L:$L)),0)</f>
        <v>7.4601262526962273</v>
      </c>
      <c r="O30" s="30">
        <f>IFERROR((VLOOKUP($A30,HeadJournal!$A$1:$L$890,COLUMN(HeadJournal!L$1),0)*($K30+$L30)/(SUMIF($A:$A,$A30,$K:$K)+SUMIF($A:$A,$A30,$L:$L)))/VLOOKUP($A30,HeadJournal!$A$1:$L$890,COLUMN(HeadJournal!H$1),0),0)</f>
        <v>54.047136511600314</v>
      </c>
      <c r="P30" s="30">
        <f>IFERROR(SUM(K30:O30)*VLOOKUP($A30,HeadJournal!$A$1:$L$890,COLUMN(HeadJournal!H$1),0),0)</f>
        <v>532.39699315685266</v>
      </c>
      <c r="Q30" s="29">
        <v>1500</v>
      </c>
      <c r="R30" s="31">
        <v>44821</v>
      </c>
      <c r="S30" s="31" t="s">
        <v>3121</v>
      </c>
      <c r="T30" s="95" t="str">
        <f t="shared" si="4"/>
        <v>2022 09</v>
      </c>
      <c r="U30" s="32">
        <f t="shared" si="1"/>
        <v>967.60300684314734</v>
      </c>
      <c r="V30" s="22">
        <f t="shared" si="2"/>
        <v>1.817446415513613</v>
      </c>
      <c r="X30" s="33"/>
      <c r="Y30" s="33"/>
    </row>
    <row r="31" spans="1:25" x14ac:dyDescent="0.2">
      <c r="A31" s="98" t="s">
        <v>41</v>
      </c>
      <c r="B31" s="94" t="str">
        <f>IFERROR(VLOOKUP($A31,HeadJournal!$A$1:$NTR$890,COLUMN(HeadJournal!B$1),0),"")</f>
        <v>IHORD0000446652NPG</v>
      </c>
      <c r="C31" s="94" t="str">
        <f>IFERROR(VLOOKUP($A31,HeadJournal!$A$1:$NTR$890,COLUMN(HeadJournal!C$1),0),"")</f>
        <v>iHerb_MH DLE7202</v>
      </c>
      <c r="D31" s="125" t="str">
        <f>IFERROR(VLOOKUP($A31,HeadJournal!$A$1:$NTR$890,COLUMN(HeadJournal!D$1),0),"")</f>
        <v>Доставлен</v>
      </c>
      <c r="E31" s="95">
        <f>IFERROR(VLOOKUP($A31,HeadJournal!$A$1:$NTR$890,COLUMN(HeadJournal!G$1),0),"")</f>
        <v>44788</v>
      </c>
      <c r="F31" s="95" t="str">
        <f t="shared" si="3"/>
        <v>2022 08</v>
      </c>
      <c r="G31" s="96" t="s">
        <v>5</v>
      </c>
      <c r="H31" s="161" t="s">
        <v>2426</v>
      </c>
      <c r="I31" s="97" t="s">
        <v>2125</v>
      </c>
      <c r="J31" s="97" t="s">
        <v>2427</v>
      </c>
      <c r="K31" s="34">
        <v>389.25</v>
      </c>
      <c r="L31" s="34">
        <v>-38.924999999999997</v>
      </c>
      <c r="M31" s="30">
        <f>IFERROR(VLOOKUP($A31,HeadJournal!$A$1:$J$890,COLUMN(HeadJournal!I$1),0)*($K31+$L31)/(SUMIF($A:$A,$A31,$K:$K)+SUMIF($A:$A,$A31,$L:$L)),0)</f>
        <v>-55.296626416736281</v>
      </c>
      <c r="N31" s="30">
        <f>IFERROR((VLOOKUP($A31,HeadJournal!$A$1:$K$890,COLUMN(HeadJournal!K$1),0)-VLOOKUP($A31,HeadJournal!$A$1:$K$890,COLUMN(HeadJournal!J$1),0))*($K31+$L31)/(SUMIF($A:$A,$A31,$K:$K)+SUMIF($A:$A,$A31,$L:$L)),0)</f>
        <v>7.5009147852471312</v>
      </c>
      <c r="O31" s="30">
        <f>IFERROR((VLOOKUP($A31,HeadJournal!$A$1:$L$890,COLUMN(HeadJournal!L$1),0)*($K31+$L31)/(SUMIF($A:$A,$A31,$K:$K)+SUMIF($A:$A,$A31,$L:$L)))/VLOOKUP($A31,HeadJournal!$A$1:$L$890,COLUMN(HeadJournal!H$1),0),0)</f>
        <v>54.342641347874348</v>
      </c>
      <c r="P31" s="30">
        <f>IFERROR(SUM(K31:O31)*VLOOKUP($A31,HeadJournal!$A$1:$L$890,COLUMN(HeadJournal!H$1),0),0)</f>
        <v>535.30789457457774</v>
      </c>
      <c r="Q31" s="29">
        <v>1700</v>
      </c>
      <c r="R31" s="31">
        <v>44804</v>
      </c>
      <c r="S31" s="31" t="s">
        <v>3121</v>
      </c>
      <c r="T31" s="95" t="str">
        <f t="shared" si="4"/>
        <v>2022 08</v>
      </c>
      <c r="U31" s="32">
        <f t="shared" si="1"/>
        <v>1164.6921054254221</v>
      </c>
      <c r="V31" s="22">
        <f t="shared" si="2"/>
        <v>2.1757424413683109</v>
      </c>
      <c r="X31" s="33"/>
      <c r="Y31" s="33"/>
    </row>
    <row r="32" spans="1:25" x14ac:dyDescent="0.2">
      <c r="A32" s="93" t="s">
        <v>41</v>
      </c>
      <c r="B32" s="94" t="str">
        <f>IFERROR(VLOOKUP($A32,HeadJournal!$A$1:$NTR$890,COLUMN(HeadJournal!B$1),0),"")</f>
        <v>IHORD0000446652NPG</v>
      </c>
      <c r="C32" s="94" t="str">
        <f>IFERROR(VLOOKUP($A32,HeadJournal!$A$1:$NTR$890,COLUMN(HeadJournal!C$1),0),"")</f>
        <v>iHerb_MH DLE7202</v>
      </c>
      <c r="D32" s="125" t="str">
        <f>IFERROR(VLOOKUP($A32,HeadJournal!$A$1:$NTR$890,COLUMN(HeadJournal!D$1),0),"")</f>
        <v>Доставлен</v>
      </c>
      <c r="E32" s="95">
        <f>IFERROR(VLOOKUP($A32,HeadJournal!$A$1:$NTR$890,COLUMN(HeadJournal!G$1),0),"")</f>
        <v>44788</v>
      </c>
      <c r="F32" s="95" t="str">
        <f t="shared" si="3"/>
        <v>2022 08</v>
      </c>
      <c r="G32" s="96" t="s">
        <v>5</v>
      </c>
      <c r="H32" s="161" t="s">
        <v>2426</v>
      </c>
      <c r="I32" s="97" t="s">
        <v>2125</v>
      </c>
      <c r="J32" s="97" t="s">
        <v>2427</v>
      </c>
      <c r="K32" s="29">
        <v>389.25</v>
      </c>
      <c r="L32" s="29">
        <v>-38.924999999999997</v>
      </c>
      <c r="M32" s="30">
        <f>IFERROR(VLOOKUP($A32,HeadJournal!$A$1:$J$890,COLUMN(HeadJournal!I$1),0)*($K32+$L32)/(SUMIF($A:$A,$A32,$K:$K)+SUMIF($A:$A,$A32,$L:$L)),0)</f>
        <v>-55.296626416736281</v>
      </c>
      <c r="N32" s="30">
        <f>IFERROR((VLOOKUP($A32,HeadJournal!$A$1:$K$890,COLUMN(HeadJournal!K$1),0)-VLOOKUP($A32,HeadJournal!$A$1:$K$890,COLUMN(HeadJournal!J$1),0))*($K32+$L32)/(SUMIF($A:$A,$A32,$K:$K)+SUMIF($A:$A,$A32,$L:$L)),0)</f>
        <v>7.5009147852471312</v>
      </c>
      <c r="O32" s="30">
        <f>IFERROR((VLOOKUP($A32,HeadJournal!$A$1:$L$890,COLUMN(HeadJournal!L$1),0)*($K32+$L32)/(SUMIF($A:$A,$A32,$K:$K)+SUMIF($A:$A,$A32,$L:$L)))/VLOOKUP($A32,HeadJournal!$A$1:$L$890,COLUMN(HeadJournal!H$1),0),0)</f>
        <v>54.342641347874348</v>
      </c>
      <c r="P32" s="30">
        <f>IFERROR(SUM(K32:O32)*VLOOKUP($A32,HeadJournal!$A$1:$L$890,COLUMN(HeadJournal!H$1),0),0)</f>
        <v>535.30789457457774</v>
      </c>
      <c r="Q32" s="29">
        <v>1700</v>
      </c>
      <c r="R32" s="31">
        <v>44804</v>
      </c>
      <c r="S32" s="31" t="s">
        <v>3121</v>
      </c>
      <c r="T32" s="95" t="str">
        <f t="shared" si="4"/>
        <v>2022 08</v>
      </c>
      <c r="U32" s="32">
        <f t="shared" si="1"/>
        <v>1164.6921054254221</v>
      </c>
      <c r="V32" s="22">
        <f t="shared" si="2"/>
        <v>2.1757424413683109</v>
      </c>
      <c r="X32" s="33"/>
      <c r="Y32" s="33"/>
    </row>
    <row r="33" spans="1:25" x14ac:dyDescent="0.2">
      <c r="A33" s="93" t="s">
        <v>41</v>
      </c>
      <c r="B33" s="94" t="str">
        <f>IFERROR(VLOOKUP($A33,HeadJournal!$A$1:$NTR$890,COLUMN(HeadJournal!B$1),0),"")</f>
        <v>IHORD0000446652NPG</v>
      </c>
      <c r="C33" s="94" t="str">
        <f>IFERROR(VLOOKUP($A33,HeadJournal!$A$1:$NTR$890,COLUMN(HeadJournal!C$1),0),"")</f>
        <v>iHerb_MH DLE7202</v>
      </c>
      <c r="D33" s="125" t="str">
        <f>IFERROR(VLOOKUP($A33,HeadJournal!$A$1:$NTR$890,COLUMN(HeadJournal!D$1),0),"")</f>
        <v>Доставлен</v>
      </c>
      <c r="E33" s="95">
        <f>IFERROR(VLOOKUP($A33,HeadJournal!$A$1:$NTR$890,COLUMN(HeadJournal!G$1),0),"")</f>
        <v>44788</v>
      </c>
      <c r="F33" s="95" t="str">
        <f t="shared" si="3"/>
        <v>2022 08</v>
      </c>
      <c r="G33" s="96" t="s">
        <v>5</v>
      </c>
      <c r="H33" s="161" t="s">
        <v>2158</v>
      </c>
      <c r="I33" s="97" t="s">
        <v>2159</v>
      </c>
      <c r="J33" s="97" t="s">
        <v>2852</v>
      </c>
      <c r="K33" s="29">
        <v>567.03</v>
      </c>
      <c r="L33" s="29">
        <v>-56.7</v>
      </c>
      <c r="M33" s="30">
        <f>IFERROR(VLOOKUP($A33,HeadJournal!$A$1:$J$890,COLUMN(HeadJournal!I$1),0)*($K33+$L33)/(SUMIF($A:$A,$A33,$K:$K)+SUMIF($A:$A,$A33,$L:$L)),0)</f>
        <v>-80.552422348542137</v>
      </c>
      <c r="N33" s="30">
        <f>IFERROR((VLOOKUP($A33,HeadJournal!$A$1:$K$890,COLUMN(HeadJournal!K$1),0)-VLOOKUP($A33,HeadJournal!$A$1:$K$890,COLUMN(HeadJournal!J$1),0))*($K33+$L33)/(SUMIF($A:$A,$A33,$K:$K)+SUMIF($A:$A,$A33,$L:$L)),0)</f>
        <v>10.926830349975505</v>
      </c>
      <c r="O33" s="30">
        <f>IFERROR((VLOOKUP($A33,HeadJournal!$A$1:$L$890,COLUMN(HeadJournal!L$1),0)*($K33+$L33)/(SUMIF($A:$A,$A33,$K:$K)+SUMIF($A:$A,$A33,$L:$L)))/VLOOKUP($A33,HeadJournal!$A$1:$L$890,COLUMN(HeadJournal!H$1),0),0)</f>
        <v>79.162720785158683</v>
      </c>
      <c r="P33" s="30">
        <f>IFERROR(SUM(K33:O33)*VLOOKUP($A33,HeadJournal!$A$1:$L$890,COLUMN(HeadJournal!H$1),0),0)</f>
        <v>779.80069317988807</v>
      </c>
      <c r="Q33" s="29">
        <v>2100</v>
      </c>
      <c r="R33" s="31">
        <v>44804</v>
      </c>
      <c r="S33" s="31" t="s">
        <v>3121</v>
      </c>
      <c r="T33" s="95" t="str">
        <f t="shared" si="4"/>
        <v>2022 08</v>
      </c>
      <c r="U33" s="32">
        <f t="shared" si="1"/>
        <v>1320.1993068201118</v>
      </c>
      <c r="V33" s="22">
        <f t="shared" si="2"/>
        <v>1.6929958108097785</v>
      </c>
      <c r="X33" s="33"/>
      <c r="Y33" s="33"/>
    </row>
    <row r="34" spans="1:25" x14ac:dyDescent="0.2">
      <c r="A34" s="93" t="s">
        <v>41</v>
      </c>
      <c r="B34" s="94" t="str">
        <f>IFERROR(VLOOKUP($A34,HeadJournal!$A$1:$NTR$890,COLUMN(HeadJournal!B$1),0),"")</f>
        <v>IHORD0000446652NPG</v>
      </c>
      <c r="C34" s="94" t="str">
        <f>IFERROR(VLOOKUP($A34,HeadJournal!$A$1:$NTR$890,COLUMN(HeadJournal!C$1),0),"")</f>
        <v>iHerb_MH DLE7202</v>
      </c>
      <c r="D34" s="125" t="str">
        <f>IFERROR(VLOOKUP($A34,HeadJournal!$A$1:$NTR$890,COLUMN(HeadJournal!D$1),0),"")</f>
        <v>Доставлен</v>
      </c>
      <c r="E34" s="95">
        <f>IFERROR(VLOOKUP($A34,HeadJournal!$A$1:$NTR$890,COLUMN(HeadJournal!G$1),0),"")</f>
        <v>44788</v>
      </c>
      <c r="F34" s="95" t="str">
        <f t="shared" si="3"/>
        <v>2022 08</v>
      </c>
      <c r="G34" s="96" t="s">
        <v>5</v>
      </c>
      <c r="H34" s="161" t="s">
        <v>2089</v>
      </c>
      <c r="I34" s="97" t="s">
        <v>2005</v>
      </c>
      <c r="J34" s="97" t="s">
        <v>3781</v>
      </c>
      <c r="K34" s="29">
        <v>641.03</v>
      </c>
      <c r="L34" s="29">
        <v>-64.099999999999994</v>
      </c>
      <c r="M34" s="30">
        <f>IFERROR(VLOOKUP($A34,HeadJournal!$A$1:$J$890,COLUMN(HeadJournal!I$1),0)*($K34+$L34)/(SUMIF($A:$A,$A34,$K:$K)+SUMIF($A:$A,$A34,$L:$L)),0)</f>
        <v>-91.064818892764322</v>
      </c>
      <c r="N34" s="30">
        <f>IFERROR((VLOOKUP($A34,HeadJournal!$A$1:$K$890,COLUMN(HeadJournal!K$1),0)-VLOOKUP($A34,HeadJournal!$A$1:$K$890,COLUMN(HeadJournal!J$1),0))*($K34+$L34)/(SUMIF($A:$A,$A34,$K:$K)+SUMIF($A:$A,$A34,$L:$L)),0)</f>
        <v>12.352823141518954</v>
      </c>
      <c r="O34" s="30">
        <f>IFERROR((VLOOKUP($A34,HeadJournal!$A$1:$L$890,COLUMN(HeadJournal!L$1),0)*($K34+$L34)/(SUMIF($A:$A,$A34,$K:$K)+SUMIF($A:$A,$A34,$L:$L)))/VLOOKUP($A34,HeadJournal!$A$1:$L$890,COLUMN(HeadJournal!H$1),0),0)</f>
        <v>89.493756006077646</v>
      </c>
      <c r="P34" s="30">
        <f>IFERROR(SUM(K34:O34)*VLOOKUP($A34,HeadJournal!$A$1:$L$890,COLUMN(HeadJournal!H$1),0),0)</f>
        <v>881.56764038224833</v>
      </c>
      <c r="Q34" s="29">
        <v>881.57</v>
      </c>
      <c r="R34" s="31">
        <v>44805</v>
      </c>
      <c r="S34" s="31" t="s">
        <v>3121</v>
      </c>
      <c r="T34" s="95" t="str">
        <f t="shared" si="4"/>
        <v>2022 09</v>
      </c>
      <c r="U34" s="32">
        <f t="shared" si="1"/>
        <v>2.3596177517219985E-3</v>
      </c>
      <c r="V34" s="22">
        <f t="shared" si="2"/>
        <v>2.676615660142501E-6</v>
      </c>
      <c r="X34" s="33"/>
      <c r="Y34" s="33"/>
    </row>
    <row r="35" spans="1:25" x14ac:dyDescent="0.2">
      <c r="A35" s="93" t="s">
        <v>41</v>
      </c>
      <c r="B35" s="94" t="str">
        <f>IFERROR(VLOOKUP($A35,HeadJournal!$A$1:$NTR$890,COLUMN(HeadJournal!B$1),0),"")</f>
        <v>IHORD0000446652NPG</v>
      </c>
      <c r="C35" s="94" t="str">
        <f>IFERROR(VLOOKUP($A35,HeadJournal!$A$1:$NTR$890,COLUMN(HeadJournal!C$1),0),"")</f>
        <v>iHerb_MH DLE7202</v>
      </c>
      <c r="D35" s="125" t="str">
        <f>IFERROR(VLOOKUP($A35,HeadJournal!$A$1:$NTR$890,COLUMN(HeadJournal!D$1),0),"")</f>
        <v>Доставлен</v>
      </c>
      <c r="E35" s="95">
        <f>IFERROR(VLOOKUP($A35,HeadJournal!$A$1:$NTR$890,COLUMN(HeadJournal!G$1),0),"")</f>
        <v>44788</v>
      </c>
      <c r="F35" s="95" t="str">
        <f t="shared" si="3"/>
        <v>2022 08</v>
      </c>
      <c r="G35" s="96" t="s">
        <v>5</v>
      </c>
      <c r="H35" s="161" t="s">
        <v>2771</v>
      </c>
      <c r="I35" s="97" t="s">
        <v>2052</v>
      </c>
      <c r="J35" s="97" t="s">
        <v>3858</v>
      </c>
      <c r="K35" s="29">
        <v>269.72000000000003</v>
      </c>
      <c r="L35" s="29">
        <v>-131.01</v>
      </c>
      <c r="M35" s="30">
        <f>IFERROR(VLOOKUP($A35,HeadJournal!$A$1:$J$890,COLUMN(HeadJournal!I$1),0)*($K35+$L35)/(SUMIF($A:$A,$A35,$K:$K)+SUMIF($A:$A,$A35,$L:$L)),0)</f>
        <v>-21.894512382118009</v>
      </c>
      <c r="N35" s="30">
        <f>IFERROR((VLOOKUP($A35,HeadJournal!$A$1:$K$890,COLUMN(HeadJournal!K$1),0)-VLOOKUP($A35,HeadJournal!$A$1:$K$890,COLUMN(HeadJournal!J$1),0))*($K35+$L35)/(SUMIF($A:$A,$A35,$K:$K)+SUMIF($A:$A,$A35,$L:$L)),0)</f>
        <v>2.9699618635884675</v>
      </c>
      <c r="O35" s="30">
        <f>IFERROR((VLOOKUP($A35,HeadJournal!$A$1:$L$890,COLUMN(HeadJournal!L$1),0)*($K35+$L35)/(SUMIF($A:$A,$A35,$K:$K)+SUMIF($A:$A,$A35,$L:$L)))/VLOOKUP($A35,HeadJournal!$A$1:$L$890,COLUMN(HeadJournal!H$1),0),0)</f>
        <v>21.516785217622644</v>
      </c>
      <c r="P35" s="30">
        <f>IFERROR(SUM(K35:O35)*VLOOKUP($A35,HeadJournal!$A$1:$L$890,COLUMN(HeadJournal!H$1),0),0)</f>
        <v>211.95335204863972</v>
      </c>
      <c r="Q35" s="29">
        <v>900</v>
      </c>
      <c r="R35" s="31">
        <v>44821</v>
      </c>
      <c r="S35" s="31" t="s">
        <v>3121</v>
      </c>
      <c r="T35" s="95" t="str">
        <f t="shared" si="4"/>
        <v>2022 09</v>
      </c>
      <c r="U35" s="32">
        <f t="shared" si="1"/>
        <v>688.04664795136023</v>
      </c>
      <c r="V35" s="22">
        <f t="shared" si="2"/>
        <v>3.2462173459444279</v>
      </c>
      <c r="X35" s="33"/>
      <c r="Y35" s="33"/>
    </row>
    <row r="36" spans="1:25" x14ac:dyDescent="0.2">
      <c r="A36" s="93" t="s">
        <v>41</v>
      </c>
      <c r="B36" s="94" t="str">
        <f>IFERROR(VLOOKUP($A36,HeadJournal!$A$1:$NTR$890,COLUMN(HeadJournal!B$1),0),"")</f>
        <v>IHORD0000446652NPG</v>
      </c>
      <c r="C36" s="94" t="str">
        <f>IFERROR(VLOOKUP($A36,HeadJournal!$A$1:$NTR$890,COLUMN(HeadJournal!C$1),0),"")</f>
        <v>iHerb_MH DLE7202</v>
      </c>
      <c r="D36" s="125" t="str">
        <f>IFERROR(VLOOKUP($A36,HeadJournal!$A$1:$NTR$890,COLUMN(HeadJournal!D$1),0),"")</f>
        <v>Доставлен</v>
      </c>
      <c r="E36" s="95">
        <f>IFERROR(VLOOKUP($A36,HeadJournal!$A$1:$NTR$890,COLUMN(HeadJournal!G$1),0),"")</f>
        <v>44788</v>
      </c>
      <c r="F36" s="95" t="str">
        <f t="shared" si="3"/>
        <v>2022 08</v>
      </c>
      <c r="G36" s="96" t="s">
        <v>5</v>
      </c>
      <c r="H36" s="161" t="s">
        <v>2771</v>
      </c>
      <c r="I36" s="97" t="s">
        <v>2052</v>
      </c>
      <c r="J36" s="97" t="s">
        <v>3858</v>
      </c>
      <c r="K36" s="29">
        <v>269.72000000000003</v>
      </c>
      <c r="L36" s="29">
        <v>-131.01</v>
      </c>
      <c r="M36" s="30">
        <f>IFERROR(VLOOKUP($A36,HeadJournal!$A$1:$J$890,COLUMN(HeadJournal!I$1),0)*($K36+$L36)/(SUMIF($A:$A,$A36,$K:$K)+SUMIF($A:$A,$A36,$L:$L)),0)</f>
        <v>-21.894512382118009</v>
      </c>
      <c r="N36" s="30">
        <f>IFERROR((VLOOKUP($A36,HeadJournal!$A$1:$K$890,COLUMN(HeadJournal!K$1),0)-VLOOKUP($A36,HeadJournal!$A$1:$K$890,COLUMN(HeadJournal!J$1),0))*($K36+$L36)/(SUMIF($A:$A,$A36,$K:$K)+SUMIF($A:$A,$A36,$L:$L)),0)</f>
        <v>2.9699618635884675</v>
      </c>
      <c r="O36" s="30">
        <f>IFERROR((VLOOKUP($A36,HeadJournal!$A$1:$L$890,COLUMN(HeadJournal!L$1),0)*($K36+$L36)/(SUMIF($A:$A,$A36,$K:$K)+SUMIF($A:$A,$A36,$L:$L)))/VLOOKUP($A36,HeadJournal!$A$1:$L$890,COLUMN(HeadJournal!H$1),0),0)</f>
        <v>21.516785217622644</v>
      </c>
      <c r="P36" s="30">
        <f>IFERROR(SUM(K36:O36)*VLOOKUP($A36,HeadJournal!$A$1:$L$890,COLUMN(HeadJournal!H$1),0),0)</f>
        <v>211.95335204863972</v>
      </c>
      <c r="Q36" s="29">
        <v>900</v>
      </c>
      <c r="R36" s="31">
        <v>44821</v>
      </c>
      <c r="S36" s="31" t="s">
        <v>3121</v>
      </c>
      <c r="T36" s="95" t="str">
        <f t="shared" si="4"/>
        <v>2022 09</v>
      </c>
      <c r="U36" s="32">
        <f t="shared" si="1"/>
        <v>688.04664795136023</v>
      </c>
      <c r="V36" s="22">
        <f t="shared" si="2"/>
        <v>3.2462173459444279</v>
      </c>
      <c r="X36" s="33"/>
      <c r="Y36" s="33"/>
    </row>
    <row r="37" spans="1:25" x14ac:dyDescent="0.2">
      <c r="A37" s="93" t="s">
        <v>41</v>
      </c>
      <c r="B37" s="94" t="str">
        <f>IFERROR(VLOOKUP($A37,HeadJournal!$A$1:$NTR$890,COLUMN(HeadJournal!B$1),0),"")</f>
        <v>IHORD0000446652NPG</v>
      </c>
      <c r="C37" s="94" t="str">
        <f>IFERROR(VLOOKUP($A37,HeadJournal!$A$1:$NTR$890,COLUMN(HeadJournal!C$1),0),"")</f>
        <v>iHerb_MH DLE7202</v>
      </c>
      <c r="D37" s="125" t="str">
        <f>IFERROR(VLOOKUP($A37,HeadJournal!$A$1:$NTR$890,COLUMN(HeadJournal!D$1),0),"")</f>
        <v>Доставлен</v>
      </c>
      <c r="E37" s="95">
        <f>IFERROR(VLOOKUP($A37,HeadJournal!$A$1:$NTR$890,COLUMN(HeadJournal!G$1),0),"")</f>
        <v>44788</v>
      </c>
      <c r="F37" s="95" t="str">
        <f t="shared" si="3"/>
        <v>2022 08</v>
      </c>
      <c r="G37" s="96" t="s">
        <v>5</v>
      </c>
      <c r="H37" s="160" t="str">
        <f>RIGHT(Journal!$J37,9)</f>
        <v>SOR-45931</v>
      </c>
      <c r="I37" s="96" t="str">
        <f t="shared" si="5"/>
        <v>Solaray</v>
      </c>
      <c r="J37" s="97" t="s">
        <v>43</v>
      </c>
      <c r="K37" s="29">
        <v>180.27</v>
      </c>
      <c r="L37" s="29">
        <v>-18.02</v>
      </c>
      <c r="M37" s="30">
        <f>IFERROR(VLOOKUP($A37,HeadJournal!$A$1:$J$890,COLUMN(HeadJournal!I$1),0)*($K37+$L37)/(SUMIF($A:$A,$A37,$K:$K)+SUMIF($A:$A,$A37,$L:$L)),0)</f>
        <v>-25.610155244745485</v>
      </c>
      <c r="N37" s="30">
        <f>IFERROR((VLOOKUP($A37,HeadJournal!$A$1:$K$890,COLUMN(HeadJournal!K$1),0)-VLOOKUP($A37,HeadJournal!$A$1:$K$890,COLUMN(HeadJournal!J$1),0))*($K37+$L37)/(SUMIF($A:$A,$A37,$K:$K)+SUMIF($A:$A,$A37,$L:$L)),0)</f>
        <v>3.4739839403592301</v>
      </c>
      <c r="O37" s="30">
        <f>IFERROR((VLOOKUP($A37,HeadJournal!$A$1:$L$890,COLUMN(HeadJournal!L$1),0)*($K37+$L37)/(SUMIF($A:$A,$A37,$K:$K)+SUMIF($A:$A,$A37,$L:$L)))/VLOOKUP($A37,HeadJournal!$A$1:$L$890,COLUMN(HeadJournal!H$1),0),0)</f>
        <v>25.168325294205705</v>
      </c>
      <c r="P37" s="30">
        <f>IFERROR(SUM(K37:O37)*VLOOKUP($A37,HeadJournal!$A$1:$L$890,COLUMN(HeadJournal!H$1),0),0)</f>
        <v>247.92323098472917</v>
      </c>
      <c r="Q37" s="29">
        <v>900</v>
      </c>
      <c r="R37" s="31">
        <v>44804</v>
      </c>
      <c r="S37" s="31" t="s">
        <v>3121</v>
      </c>
      <c r="T37" s="95" t="str">
        <f t="shared" si="4"/>
        <v>2022 08</v>
      </c>
      <c r="U37" s="32">
        <f t="shared" si="1"/>
        <v>652.07676901527088</v>
      </c>
      <c r="V37" s="22">
        <f t="shared" si="2"/>
        <v>2.6301559818548652</v>
      </c>
      <c r="X37" s="33"/>
      <c r="Y37" s="33"/>
    </row>
    <row r="38" spans="1:25" x14ac:dyDescent="0.2">
      <c r="A38" s="93" t="s">
        <v>41</v>
      </c>
      <c r="B38" s="94" t="str">
        <f>IFERROR(VLOOKUP($A38,HeadJournal!$A$1:$NTR$890,COLUMN(HeadJournal!B$1),0),"")</f>
        <v>IHORD0000446652NPG</v>
      </c>
      <c r="C38" s="94" t="str">
        <f>IFERROR(VLOOKUP($A38,HeadJournal!$A$1:$NTR$890,COLUMN(HeadJournal!C$1),0),"")</f>
        <v>iHerb_MH DLE7202</v>
      </c>
      <c r="D38" s="125" t="str">
        <f>IFERROR(VLOOKUP($A38,HeadJournal!$A$1:$NTR$890,COLUMN(HeadJournal!D$1),0),"")</f>
        <v>Доставлен</v>
      </c>
      <c r="E38" s="95">
        <f>IFERROR(VLOOKUP($A38,HeadJournal!$A$1:$NTR$890,COLUMN(HeadJournal!G$1),0),"")</f>
        <v>44788</v>
      </c>
      <c r="F38" s="95" t="str">
        <f t="shared" si="3"/>
        <v>2022 08</v>
      </c>
      <c r="G38" s="96" t="s">
        <v>5</v>
      </c>
      <c r="H38" s="161" t="s">
        <v>2217</v>
      </c>
      <c r="I38" s="97" t="s">
        <v>2218</v>
      </c>
      <c r="J38" s="97" t="s">
        <v>2219</v>
      </c>
      <c r="K38" s="29">
        <v>808.85</v>
      </c>
      <c r="L38" s="29">
        <v>-80.88</v>
      </c>
      <c r="M38" s="30">
        <f>IFERROR(VLOOKUP($A38,HeadJournal!$A$1:$J$890,COLUMN(HeadJournal!I$1),0)*($K38+$L38)/(SUMIF($A:$A,$A38,$K:$K)+SUMIF($A:$A,$A38,$L:$L)),0)</f>
        <v>-114.90554522969104</v>
      </c>
      <c r="N38" s="30">
        <f>IFERROR((VLOOKUP($A38,HeadJournal!$A$1:$K$890,COLUMN(HeadJournal!K$1),0)-VLOOKUP($A38,HeadJournal!$A$1:$K$890,COLUMN(HeadJournal!J$1),0))*($K38+$L38)/(SUMIF($A:$A,$A38,$K:$K)+SUMIF($A:$A,$A38,$L:$L)),0)</f>
        <v>15.586786373271549</v>
      </c>
      <c r="O38" s="30">
        <f>IFERROR((VLOOKUP($A38,HeadJournal!$A$1:$L$890,COLUMN(HeadJournal!L$1),0)*($K38+$L38)/(SUMIF($A:$A,$A38,$K:$K)+SUMIF($A:$A,$A38,$L:$L)))/VLOOKUP($A38,HeadJournal!$A$1:$L$890,COLUMN(HeadJournal!H$1),0),0)</f>
        <v>112.92317882541094</v>
      </c>
      <c r="P38" s="30">
        <f>IFERROR(SUM(K38:O38)*VLOOKUP($A38,HeadJournal!$A$1:$L$890,COLUMN(HeadJournal!H$1),0),0)</f>
        <v>1112.3616299534872</v>
      </c>
      <c r="Q38" s="29">
        <v>2500</v>
      </c>
      <c r="R38" s="31">
        <v>44804</v>
      </c>
      <c r="S38" s="31" t="s">
        <v>3121</v>
      </c>
      <c r="T38" s="95" t="str">
        <f t="shared" si="4"/>
        <v>2022 08</v>
      </c>
      <c r="U38" s="32">
        <f t="shared" si="1"/>
        <v>1387.6383700465128</v>
      </c>
      <c r="V38" s="22">
        <f t="shared" si="2"/>
        <v>1.2474705461609066</v>
      </c>
      <c r="X38" s="33"/>
      <c r="Y38" s="33"/>
    </row>
    <row r="39" spans="1:25" x14ac:dyDescent="0.2">
      <c r="A39" s="93" t="s">
        <v>41</v>
      </c>
      <c r="B39" s="94" t="str">
        <f>IFERROR(VLOOKUP($A39,HeadJournal!$A$1:$NTR$890,COLUMN(HeadJournal!B$1),0),"")</f>
        <v>IHORD0000446652NPG</v>
      </c>
      <c r="C39" s="94" t="str">
        <f>IFERROR(VLOOKUP($A39,HeadJournal!$A$1:$NTR$890,COLUMN(HeadJournal!C$1),0),"")</f>
        <v>iHerb_MH DLE7202</v>
      </c>
      <c r="D39" s="125" t="str">
        <f>IFERROR(VLOOKUP($A39,HeadJournal!$A$1:$NTR$890,COLUMN(HeadJournal!D$1),0),"")</f>
        <v>Доставлен</v>
      </c>
      <c r="E39" s="95">
        <f>IFERROR(VLOOKUP($A39,HeadJournal!$A$1:$NTR$890,COLUMN(HeadJournal!G$1),0),"")</f>
        <v>44788</v>
      </c>
      <c r="F39" s="95" t="str">
        <f t="shared" si="3"/>
        <v>2022 08</v>
      </c>
      <c r="G39" s="96" t="s">
        <v>5</v>
      </c>
      <c r="H39" s="161" t="s">
        <v>2623</v>
      </c>
      <c r="I39" s="97" t="s">
        <v>2052</v>
      </c>
      <c r="J39" s="97" t="s">
        <v>3915</v>
      </c>
      <c r="K39" s="29">
        <v>192.66</v>
      </c>
      <c r="L39" s="29">
        <v>-154.13</v>
      </c>
      <c r="M39" s="30">
        <f>IFERROR(VLOOKUP($A39,HeadJournal!$A$1:$J$890,COLUMN(HeadJournal!I$1),0)*($K39+$L39)/(SUMIF($A:$A,$A39,$K:$K)+SUMIF($A:$A,$A39,$L:$L)),0)</f>
        <v>-6.0817213040372486</v>
      </c>
      <c r="N39" s="30">
        <f>IFERROR((VLOOKUP($A39,HeadJournal!$A$1:$K$890,COLUMN(HeadJournal!K$1),0)-VLOOKUP($A39,HeadJournal!$A$1:$K$890,COLUMN(HeadJournal!J$1),0))*($K39+$L39)/(SUMIF($A:$A,$A39,$K:$K)+SUMIF($A:$A,$A39,$L:$L)),0)</f>
        <v>0.82497751138392061</v>
      </c>
      <c r="O39" s="30">
        <f>IFERROR((VLOOKUP($A39,HeadJournal!$A$1:$L$890,COLUMN(HeadJournal!L$1),0)*($K39+$L39)/(SUMIF($A:$A,$A39,$K:$K)+SUMIF($A:$A,$A39,$L:$L)))/VLOOKUP($A39,HeadJournal!$A$1:$L$890,COLUMN(HeadJournal!H$1),0),0)</f>
        <v>5.9767986045346424</v>
      </c>
      <c r="P39" s="30">
        <f>IFERROR(SUM(K39:O39)*VLOOKUP($A39,HeadJournal!$A$1:$L$890,COLUMN(HeadJournal!H$1),0),0)</f>
        <v>58.875082217821983</v>
      </c>
      <c r="Q39" s="29">
        <v>600</v>
      </c>
      <c r="R39" s="31">
        <v>44828</v>
      </c>
      <c r="S39" s="31" t="s">
        <v>3121</v>
      </c>
      <c r="T39" s="95" t="str">
        <f t="shared" si="4"/>
        <v>2022 09</v>
      </c>
      <c r="U39" s="32">
        <f t="shared" si="1"/>
        <v>541.12491778217804</v>
      </c>
      <c r="V39" s="22">
        <f t="shared" si="2"/>
        <v>9.191068570913604</v>
      </c>
      <c r="X39" s="33"/>
      <c r="Y39" s="33"/>
    </row>
    <row r="40" spans="1:25" x14ac:dyDescent="0.2">
      <c r="A40" s="93" t="s">
        <v>41</v>
      </c>
      <c r="B40" s="94" t="str">
        <f>IFERROR(VLOOKUP($A40,HeadJournal!$A$1:$NTR$890,COLUMN(HeadJournal!B$1),0),"")</f>
        <v>IHORD0000446652NPG</v>
      </c>
      <c r="C40" s="94" t="str">
        <f>IFERROR(VLOOKUP($A40,HeadJournal!$A$1:$NTR$890,COLUMN(HeadJournal!C$1),0),"")</f>
        <v>iHerb_MH DLE7202</v>
      </c>
      <c r="D40" s="125" t="str">
        <f>IFERROR(VLOOKUP($A40,HeadJournal!$A$1:$NTR$890,COLUMN(HeadJournal!D$1),0),"")</f>
        <v>Доставлен</v>
      </c>
      <c r="E40" s="95">
        <f>IFERROR(VLOOKUP($A40,HeadJournal!$A$1:$NTR$890,COLUMN(HeadJournal!G$1),0),"")</f>
        <v>44788</v>
      </c>
      <c r="F40" s="95" t="str">
        <f t="shared" si="3"/>
        <v>2022 08</v>
      </c>
      <c r="G40" s="96" t="s">
        <v>5</v>
      </c>
      <c r="H40" s="160" t="str">
        <f>RIGHT(Journal!$J40,9)</f>
        <v>NAP-03770</v>
      </c>
      <c r="I40" s="96" t="str">
        <f t="shared" si="5"/>
        <v>NaturesPlus</v>
      </c>
      <c r="J40" s="97" t="s">
        <v>44</v>
      </c>
      <c r="K40" s="29">
        <v>347.52</v>
      </c>
      <c r="L40" s="29">
        <v>-34.75</v>
      </c>
      <c r="M40" s="30">
        <f>IFERROR(VLOOKUP($A40,HeadJournal!$A$1:$J$890,COLUMN(HeadJournal!I$1),0)*($K40+$L40)/(SUMIF($A:$A,$A40,$K:$K)+SUMIF($A:$A,$A40,$L:$L)),0)</f>
        <v>-49.368802809855438</v>
      </c>
      <c r="N40" s="30">
        <f>IFERROR((VLOOKUP($A40,HeadJournal!$A$1:$K$890,COLUMN(HeadJournal!K$1),0)-VLOOKUP($A40,HeadJournal!$A$1:$K$890,COLUMN(HeadJournal!J$1),0))*($K40+$L40)/(SUMIF($A:$A,$A40,$K:$K)+SUMIF($A:$A,$A40,$L:$L)),0)</f>
        <v>6.6968132944601315</v>
      </c>
      <c r="O40" s="30">
        <f>IFERROR((VLOOKUP($A40,HeadJournal!$A$1:$L$890,COLUMN(HeadJournal!L$1),0)*($K40+$L40)/(SUMIF($A:$A,$A40,$K:$K)+SUMIF($A:$A,$A40,$L:$L)))/VLOOKUP($A40,HeadJournal!$A$1:$L$890,COLUMN(HeadJournal!H$1),0),0)</f>
        <v>48.517085376078391</v>
      </c>
      <c r="P40" s="30">
        <f>IFERROR(SUM(K40:O40)*VLOOKUP($A40,HeadJournal!$A$1:$L$890,COLUMN(HeadJournal!H$1),0),0)</f>
        <v>477.9226437910246</v>
      </c>
      <c r="Q40" s="29">
        <v>1000</v>
      </c>
      <c r="R40" s="31">
        <v>44804</v>
      </c>
      <c r="S40" s="31" t="s">
        <v>3121</v>
      </c>
      <c r="T40" s="95" t="str">
        <f t="shared" si="4"/>
        <v>2022 08</v>
      </c>
      <c r="U40" s="32">
        <f t="shared" si="1"/>
        <v>522.0773562089754</v>
      </c>
      <c r="V40" s="22">
        <f t="shared" si="2"/>
        <v>1.0923888269191484</v>
      </c>
      <c r="X40" s="33"/>
      <c r="Y40" s="33"/>
    </row>
    <row r="41" spans="1:25" x14ac:dyDescent="0.2">
      <c r="A41" s="93" t="s">
        <v>45</v>
      </c>
      <c r="B41" s="94" t="str">
        <f>IFERROR(VLOOKUP($A41,HeadJournal!$A$1:$NTR$890,COLUMN(HeadJournal!B$1),0),"")</f>
        <v>IHORD0000452586NPG</v>
      </c>
      <c r="C41" s="94" t="str">
        <f>IFERROR(VLOOKUP($A41,HeadJournal!$A$1:$NTR$890,COLUMN(HeadJournal!C$1),0),"")</f>
        <v>iHerb_OA CZN6870</v>
      </c>
      <c r="D41" s="125" t="str">
        <f>IFERROR(VLOOKUP($A41,HeadJournal!$A$1:$NTR$890,COLUMN(HeadJournal!D$1),0),"")</f>
        <v>Доставлен</v>
      </c>
      <c r="E41" s="95">
        <f>IFERROR(VLOOKUP($A41,HeadJournal!$A$1:$NTR$890,COLUMN(HeadJournal!G$1),0),"")</f>
        <v>44793</v>
      </c>
      <c r="F41" s="95" t="str">
        <f t="shared" si="3"/>
        <v>2022 08</v>
      </c>
      <c r="G41" s="96" t="s">
        <v>5</v>
      </c>
      <c r="H41" s="175" t="s">
        <v>3660</v>
      </c>
      <c r="I41" s="176" t="s">
        <v>3689</v>
      </c>
      <c r="J41" s="97" t="s">
        <v>3712</v>
      </c>
      <c r="K41" s="29">
        <v>892.38</v>
      </c>
      <c r="L41" s="29">
        <v>-89.26</v>
      </c>
      <c r="M41" s="30">
        <f>IFERROR(VLOOKUP($A41,HeadJournal!$A$1:$J$890,COLUMN(HeadJournal!I$1),0)*($K41+$L41)/(SUMIF($A:$A,$A41,$K:$K)+SUMIF($A:$A,$A41,$L:$L)),0)</f>
        <v>-0.85966256248842832</v>
      </c>
      <c r="N41" s="30">
        <f>IFERROR((VLOOKUP($A41,HeadJournal!$A$1:$K$890,COLUMN(HeadJournal!K$1),0)-VLOOKUP($A41,HeadJournal!$A$1:$K$890,COLUMN(HeadJournal!J$1),0))*($K41+$L41)/(SUMIF($A:$A,$A41,$K:$K)+SUMIF($A:$A,$A41,$L:$L)),0)</f>
        <v>20.40188367894844</v>
      </c>
      <c r="O41" s="30">
        <f>IFERROR((VLOOKUP($A41,HeadJournal!$A$1:$L$890,COLUMN(HeadJournal!L$1),0)*($K41+$L41)/(SUMIF($A:$A,$A41,$K:$K)+SUMIF($A:$A,$A41,$L:$L)))/VLOOKUP($A41,HeadJournal!$A$1:$L$890,COLUMN(HeadJournal!H$1),0),0)</f>
        <v>154.89415540332041</v>
      </c>
      <c r="P41" s="30">
        <f>IFERROR(SUM(K41:O41)*VLOOKUP($A41,HeadJournal!$A$1:$L$890,COLUMN(HeadJournal!H$1),0),0)</f>
        <v>1466.3345647796707</v>
      </c>
      <c r="Q41" s="29">
        <v>2600</v>
      </c>
      <c r="R41" s="31">
        <v>44828</v>
      </c>
      <c r="S41" s="31" t="s">
        <v>3121</v>
      </c>
      <c r="T41" s="95" t="str">
        <f t="shared" si="4"/>
        <v>2022 09</v>
      </c>
      <c r="U41" s="32">
        <f t="shared" si="1"/>
        <v>1133.6654352203293</v>
      </c>
      <c r="V41" s="22">
        <f t="shared" si="2"/>
        <v>0.77312876777931794</v>
      </c>
      <c r="X41" s="33"/>
      <c r="Y41" s="33"/>
    </row>
    <row r="42" spans="1:25" x14ac:dyDescent="0.2">
      <c r="A42" s="93" t="s">
        <v>45</v>
      </c>
      <c r="B42" s="94" t="str">
        <f>IFERROR(VLOOKUP($A42,HeadJournal!$A$1:$NTR$890,COLUMN(HeadJournal!B$1),0),"")</f>
        <v>IHORD0000452586NPG</v>
      </c>
      <c r="C42" s="94" t="str">
        <f>IFERROR(VLOOKUP($A42,HeadJournal!$A$1:$NTR$890,COLUMN(HeadJournal!C$1),0),"")</f>
        <v>iHerb_OA CZN6870</v>
      </c>
      <c r="D42" s="125" t="str">
        <f>IFERROR(VLOOKUP($A42,HeadJournal!$A$1:$NTR$890,COLUMN(HeadJournal!D$1),0),"")</f>
        <v>Доставлен</v>
      </c>
      <c r="E42" s="95">
        <f>IFERROR(VLOOKUP($A42,HeadJournal!$A$1:$NTR$890,COLUMN(HeadJournal!G$1),0),"")</f>
        <v>44793</v>
      </c>
      <c r="F42" s="95" t="str">
        <f t="shared" si="3"/>
        <v>2022 08</v>
      </c>
      <c r="G42" s="96" t="s">
        <v>5</v>
      </c>
      <c r="H42" s="160" t="str">
        <f>RIGHT(Journal!$J42,9)</f>
        <v>NOW-02120</v>
      </c>
      <c r="I42" s="96" t="str">
        <f t="shared" si="5"/>
        <v>NOW Foods</v>
      </c>
      <c r="J42" s="97" t="s">
        <v>46</v>
      </c>
      <c r="K42" s="29">
        <v>327.73</v>
      </c>
      <c r="L42" s="29">
        <v>-32.770000000000003</v>
      </c>
      <c r="M42" s="30">
        <f>IFERROR(VLOOKUP($A42,HeadJournal!$A$1:$J$890,COLUMN(HeadJournal!I$1),0)*($K42+$L42)/(SUMIF($A:$A,$A42,$K:$K)+SUMIF($A:$A,$A42,$L:$L)),0)</f>
        <v>-0.31572625439733393</v>
      </c>
      <c r="N42" s="30">
        <f>IFERROR((VLOOKUP($A42,HeadJournal!$A$1:$K$890,COLUMN(HeadJournal!K$1),0)-VLOOKUP($A42,HeadJournal!$A$1:$K$890,COLUMN(HeadJournal!J$1),0))*($K42+$L42)/(SUMIF($A:$A,$A42,$K:$K)+SUMIF($A:$A,$A42,$L:$L)),0)</f>
        <v>7.4929519996297342</v>
      </c>
      <c r="O42" s="30">
        <f>IFERROR((VLOOKUP($A42,HeadJournal!$A$1:$L$890,COLUMN(HeadJournal!L$1),0)*($K42+$L42)/(SUMIF($A:$A,$A42,$K:$K)+SUMIF($A:$A,$A42,$L:$L)))/VLOOKUP($A42,HeadJournal!$A$1:$L$890,COLUMN(HeadJournal!H$1),0),0)</f>
        <v>56.887613404925041</v>
      </c>
      <c r="P42" s="30">
        <f>IFERROR(SUM(K42:O42)*VLOOKUP($A42,HeadJournal!$A$1:$L$890,COLUMN(HeadJournal!H$1),0),0)</f>
        <v>538.53725872523614</v>
      </c>
      <c r="Q42" s="29">
        <v>905</v>
      </c>
      <c r="R42" s="31">
        <v>44821</v>
      </c>
      <c r="S42" s="31" t="s">
        <v>3121</v>
      </c>
      <c r="T42" s="95" t="str">
        <f t="shared" si="4"/>
        <v>2022 09</v>
      </c>
      <c r="U42" s="32">
        <f t="shared" si="1"/>
        <v>366.46274127476386</v>
      </c>
      <c r="V42" s="22">
        <f t="shared" si="2"/>
        <v>0.68047797127762821</v>
      </c>
      <c r="X42" s="33"/>
      <c r="Y42" s="33"/>
    </row>
    <row r="43" spans="1:25" x14ac:dyDescent="0.2">
      <c r="A43" s="93" t="s">
        <v>45</v>
      </c>
      <c r="B43" s="94" t="str">
        <f>IFERROR(VLOOKUP($A43,HeadJournal!$A$1:$NTR$890,COLUMN(HeadJournal!B$1),0),"")</f>
        <v>IHORD0000452586NPG</v>
      </c>
      <c r="C43" s="94" t="str">
        <f>IFERROR(VLOOKUP($A43,HeadJournal!$A$1:$NTR$890,COLUMN(HeadJournal!C$1),0),"")</f>
        <v>iHerb_OA CZN6870</v>
      </c>
      <c r="D43" s="125" t="str">
        <f>IFERROR(VLOOKUP($A43,HeadJournal!$A$1:$NTR$890,COLUMN(HeadJournal!D$1),0),"")</f>
        <v>Доставлен</v>
      </c>
      <c r="E43" s="95">
        <f>IFERROR(VLOOKUP($A43,HeadJournal!$A$1:$NTR$890,COLUMN(HeadJournal!G$1),0),"")</f>
        <v>44793</v>
      </c>
      <c r="F43" s="95" t="str">
        <f t="shared" si="3"/>
        <v>2022 08</v>
      </c>
      <c r="G43" s="96" t="s">
        <v>5</v>
      </c>
      <c r="H43" s="161" t="s">
        <v>2771</v>
      </c>
      <c r="I43" s="97" t="s">
        <v>2052</v>
      </c>
      <c r="J43" s="97" t="s">
        <v>3858</v>
      </c>
      <c r="K43" s="29">
        <v>269.72000000000003</v>
      </c>
      <c r="L43" s="29">
        <v>-131.01</v>
      </c>
      <c r="M43" s="30">
        <f>IFERROR(VLOOKUP($A43,HeadJournal!$A$1:$J$890,COLUMN(HeadJournal!I$1),0)*($K43+$L43)/(SUMIF($A:$A,$A43,$K:$K)+SUMIF($A:$A,$A43,$L:$L)),0)</f>
        <v>-0.14847568737270883</v>
      </c>
      <c r="N43" s="30">
        <f>IFERROR((VLOOKUP($A43,HeadJournal!$A$1:$K$890,COLUMN(HeadJournal!K$1),0)-VLOOKUP($A43,HeadJournal!$A$1:$K$890,COLUMN(HeadJournal!J$1),0))*($K43+$L43)/(SUMIF($A:$A,$A43,$K:$K)+SUMIF($A:$A,$A43,$L:$L)),0)</f>
        <v>3.5236892184317896</v>
      </c>
      <c r="O43" s="30">
        <f>IFERROR((VLOOKUP($A43,HeadJournal!$A$1:$L$890,COLUMN(HeadJournal!L$1),0)*($K43+$L43)/(SUMIF($A:$A,$A43,$K:$K)+SUMIF($A:$A,$A43,$L:$L)))/VLOOKUP($A43,HeadJournal!$A$1:$L$890,COLUMN(HeadJournal!H$1),0),0)</f>
        <v>26.75237610319078</v>
      </c>
      <c r="P43" s="30">
        <f>IFERROR(SUM(K43:O43)*VLOOKUP($A43,HeadJournal!$A$1:$L$890,COLUMN(HeadJournal!H$1),0),0)</f>
        <v>253.25638445137488</v>
      </c>
      <c r="Q43" s="29">
        <v>900</v>
      </c>
      <c r="R43" s="31">
        <v>44825</v>
      </c>
      <c r="S43" s="31" t="s">
        <v>3121</v>
      </c>
      <c r="T43" s="95" t="str">
        <f t="shared" si="4"/>
        <v>2022 09</v>
      </c>
      <c r="U43" s="32">
        <f t="shared" si="1"/>
        <v>646.74361554862514</v>
      </c>
      <c r="V43" s="22">
        <f t="shared" si="2"/>
        <v>2.5537110029808532</v>
      </c>
      <c r="X43" s="33"/>
      <c r="Y43" s="33"/>
    </row>
    <row r="44" spans="1:25" x14ac:dyDescent="0.2">
      <c r="A44" s="93" t="s">
        <v>45</v>
      </c>
      <c r="B44" s="94" t="str">
        <f>IFERROR(VLOOKUP($A44,HeadJournal!$A$1:$NTR$890,COLUMN(HeadJournal!B$1),0),"")</f>
        <v>IHORD0000452586NPG</v>
      </c>
      <c r="C44" s="94" t="str">
        <f>IFERROR(VLOOKUP($A44,HeadJournal!$A$1:$NTR$890,COLUMN(HeadJournal!C$1),0),"")</f>
        <v>iHerb_OA CZN6870</v>
      </c>
      <c r="D44" s="125" t="str">
        <f>IFERROR(VLOOKUP($A44,HeadJournal!$A$1:$NTR$890,COLUMN(HeadJournal!D$1),0),"")</f>
        <v>Доставлен</v>
      </c>
      <c r="E44" s="95">
        <f>IFERROR(VLOOKUP($A44,HeadJournal!$A$1:$NTR$890,COLUMN(HeadJournal!G$1),0),"")</f>
        <v>44793</v>
      </c>
      <c r="F44" s="95" t="str">
        <f t="shared" si="3"/>
        <v>2022 08</v>
      </c>
      <c r="G44" s="96" t="s">
        <v>5</v>
      </c>
      <c r="H44" s="161" t="s">
        <v>2771</v>
      </c>
      <c r="I44" s="97" t="s">
        <v>2052</v>
      </c>
      <c r="J44" s="97" t="s">
        <v>3858</v>
      </c>
      <c r="K44" s="29">
        <v>269.72000000000003</v>
      </c>
      <c r="L44" s="29">
        <v>-131.01</v>
      </c>
      <c r="M44" s="30">
        <f>IFERROR(VLOOKUP($A44,HeadJournal!$A$1:$J$890,COLUMN(HeadJournal!I$1),0)*($K44+$L44)/(SUMIF($A:$A,$A44,$K:$K)+SUMIF($A:$A,$A44,$L:$L)),0)</f>
        <v>-0.14847568737270883</v>
      </c>
      <c r="N44" s="30">
        <f>IFERROR((VLOOKUP($A44,HeadJournal!$A$1:$K$890,COLUMN(HeadJournal!K$1),0)-VLOOKUP($A44,HeadJournal!$A$1:$K$890,COLUMN(HeadJournal!J$1),0))*($K44+$L44)/(SUMIF($A:$A,$A44,$K:$K)+SUMIF($A:$A,$A44,$L:$L)),0)</f>
        <v>3.5236892184317896</v>
      </c>
      <c r="O44" s="30">
        <f>IFERROR((VLOOKUP($A44,HeadJournal!$A$1:$L$890,COLUMN(HeadJournal!L$1),0)*($K44+$L44)/(SUMIF($A:$A,$A44,$K:$K)+SUMIF($A:$A,$A44,$L:$L)))/VLOOKUP($A44,HeadJournal!$A$1:$L$890,COLUMN(HeadJournal!H$1),0),0)</f>
        <v>26.75237610319078</v>
      </c>
      <c r="P44" s="30">
        <f>IFERROR(SUM(K44:O44)*VLOOKUP($A44,HeadJournal!$A$1:$L$890,COLUMN(HeadJournal!H$1),0),0)</f>
        <v>253.25638445137488</v>
      </c>
      <c r="Q44" s="29">
        <v>900</v>
      </c>
      <c r="R44" s="31">
        <v>44828</v>
      </c>
      <c r="S44" s="31" t="s">
        <v>3121</v>
      </c>
      <c r="T44" s="95" t="str">
        <f t="shared" si="4"/>
        <v>2022 09</v>
      </c>
      <c r="U44" s="32">
        <f t="shared" si="1"/>
        <v>646.74361554862514</v>
      </c>
      <c r="V44" s="22">
        <f t="shared" si="2"/>
        <v>2.5537110029808532</v>
      </c>
      <c r="X44" s="33"/>
      <c r="Y44" s="33"/>
    </row>
    <row r="45" spans="1:25" x14ac:dyDescent="0.2">
      <c r="A45" s="93" t="s">
        <v>45</v>
      </c>
      <c r="B45" s="94" t="str">
        <f>IFERROR(VLOOKUP($A45,HeadJournal!$A$1:$NTR$890,COLUMN(HeadJournal!B$1),0),"")</f>
        <v>IHORD0000452586NPG</v>
      </c>
      <c r="C45" s="94" t="str">
        <f>IFERROR(VLOOKUP($A45,HeadJournal!$A$1:$NTR$890,COLUMN(HeadJournal!C$1),0),"")</f>
        <v>iHerb_OA CZN6870</v>
      </c>
      <c r="D45" s="125" t="str">
        <f>IFERROR(VLOOKUP($A45,HeadJournal!$A$1:$NTR$890,COLUMN(HeadJournal!D$1),0),"")</f>
        <v>Доставлен</v>
      </c>
      <c r="E45" s="95">
        <f>IFERROR(VLOOKUP($A45,HeadJournal!$A$1:$NTR$890,COLUMN(HeadJournal!G$1),0),"")</f>
        <v>44793</v>
      </c>
      <c r="F45" s="95" t="str">
        <f t="shared" si="3"/>
        <v>2022 08</v>
      </c>
      <c r="G45" s="96" t="s">
        <v>5</v>
      </c>
      <c r="H45" s="160" t="str">
        <f>RIGHT(Journal!$J45,9)</f>
        <v>LEX-36110</v>
      </c>
      <c r="I45" s="96" t="str">
        <f t="shared" si="5"/>
        <v>Life Extension</v>
      </c>
      <c r="J45" s="97" t="s">
        <v>47</v>
      </c>
      <c r="K45" s="29">
        <v>225.02</v>
      </c>
      <c r="L45" s="29">
        <v>-22.5</v>
      </c>
      <c r="M45" s="30">
        <f>IFERROR(VLOOKUP($A45,HeadJournal!$A$1:$J$890,COLUMN(HeadJournal!I$1),0)*($K45+$L45)/(SUMIF($A:$A,$A45,$K:$K)+SUMIF($A:$A,$A45,$L:$L)),0)</f>
        <v>-0.21677814293649331</v>
      </c>
      <c r="N45" s="30">
        <f>IFERROR((VLOOKUP($A45,HeadJournal!$A$1:$K$890,COLUMN(HeadJournal!K$1),0)-VLOOKUP($A45,HeadJournal!$A$1:$K$890,COLUMN(HeadJournal!J$1),0))*($K45+$L45)/(SUMIF($A:$A,$A45,$K:$K)+SUMIF($A:$A,$A45,$L:$L)),0)</f>
        <v>5.1446726300685306</v>
      </c>
      <c r="O45" s="30">
        <f>IFERROR((VLOOKUP($A45,HeadJournal!$A$1:$L$890,COLUMN(HeadJournal!L$1),0)*($K45+$L45)/(SUMIF($A:$A,$A45,$K:$K)+SUMIF($A:$A,$A45,$L:$L)))/VLOOKUP($A45,HeadJournal!$A$1:$L$890,COLUMN(HeadJournal!H$1),0),0)</f>
        <v>39.059124853422212</v>
      </c>
      <c r="P45" s="30">
        <f>IFERROR(SUM(K45:O45)*VLOOKUP($A45,HeadJournal!$A$1:$L$890,COLUMN(HeadJournal!H$1),0),0)</f>
        <v>369.76052901083136</v>
      </c>
      <c r="Q45" s="29">
        <v>745</v>
      </c>
      <c r="R45" s="31">
        <v>44821</v>
      </c>
      <c r="S45" s="31" t="s">
        <v>3121</v>
      </c>
      <c r="T45" s="95" t="str">
        <f t="shared" si="4"/>
        <v>2022 09</v>
      </c>
      <c r="U45" s="32">
        <f t="shared" si="1"/>
        <v>375.23947098916864</v>
      </c>
      <c r="V45" s="22">
        <f t="shared" si="2"/>
        <v>1.0148175414855509</v>
      </c>
      <c r="X45" s="33"/>
      <c r="Y45" s="33"/>
    </row>
    <row r="46" spans="1:25" x14ac:dyDescent="0.2">
      <c r="A46" s="93" t="s">
        <v>45</v>
      </c>
      <c r="B46" s="94" t="str">
        <f>IFERROR(VLOOKUP($A46,HeadJournal!$A$1:$NTR$890,COLUMN(HeadJournal!B$1),0),"")</f>
        <v>IHORD0000452586NPG</v>
      </c>
      <c r="C46" s="94" t="str">
        <f>IFERROR(VLOOKUP($A46,HeadJournal!$A$1:$NTR$890,COLUMN(HeadJournal!C$1),0),"")</f>
        <v>iHerb_OA CZN6870</v>
      </c>
      <c r="D46" s="125" t="str">
        <f>IFERROR(VLOOKUP($A46,HeadJournal!$A$1:$NTR$890,COLUMN(HeadJournal!D$1),0),"")</f>
        <v>Доставлен</v>
      </c>
      <c r="E46" s="95">
        <f>IFERROR(VLOOKUP($A46,HeadJournal!$A$1:$NTR$890,COLUMN(HeadJournal!G$1),0),"")</f>
        <v>44793</v>
      </c>
      <c r="F46" s="95" t="str">
        <f t="shared" si="3"/>
        <v>2022 08</v>
      </c>
      <c r="G46" s="96" t="s">
        <v>7</v>
      </c>
      <c r="H46" s="161" t="s">
        <v>2724</v>
      </c>
      <c r="I46" s="97" t="s">
        <v>2725</v>
      </c>
      <c r="J46" s="97" t="s">
        <v>2726</v>
      </c>
      <c r="K46" s="29">
        <v>580.12</v>
      </c>
      <c r="L46" s="29">
        <v>-58.01</v>
      </c>
      <c r="M46" s="30">
        <f>IFERROR(VLOOKUP($A46,HeadJournal!$A$1:$J$890,COLUMN(HeadJournal!I$1),0)*($K46+$L46)/(SUMIF($A:$A,$A46,$K:$K)+SUMIF($A:$A,$A46,$L:$L)),0)</f>
        <v>-0.55886843871505298</v>
      </c>
      <c r="N46" s="30">
        <f>IFERROR((VLOOKUP($A46,HeadJournal!$A$1:$K$890,COLUMN(HeadJournal!K$1),0)-VLOOKUP($A46,HeadJournal!$A$1:$K$890,COLUMN(HeadJournal!J$1),0))*($K46+$L46)/(SUMIF($A:$A,$A46,$K:$K)+SUMIF($A:$A,$A46,$L:$L)),0)</f>
        <v>13.263307460424057</v>
      </c>
      <c r="O46" s="30">
        <f>IFERROR((VLOOKUP($A46,HeadJournal!$A$1:$L$890,COLUMN(HeadJournal!L$1),0)*($K46+$L46)/(SUMIF($A:$A,$A46,$K:$K)+SUMIF($A:$A,$A46,$L:$L)))/VLOOKUP($A46,HeadJournal!$A$1:$L$890,COLUMN(HeadJournal!H$1),0),0)</f>
        <v>100.6970159846942</v>
      </c>
      <c r="P46" s="30">
        <f>IFERROR(SUM(K46:O46)*VLOOKUP($A46,HeadJournal!$A$1:$L$890,COLUMN(HeadJournal!H$1),0),0)</f>
        <v>953.26718250960471</v>
      </c>
      <c r="Q46" s="29">
        <v>1500</v>
      </c>
      <c r="R46" s="31">
        <v>44804</v>
      </c>
      <c r="S46" s="31" t="s">
        <v>3121</v>
      </c>
      <c r="T46" s="95" t="str">
        <f t="shared" si="4"/>
        <v>2022 08</v>
      </c>
      <c r="U46" s="32">
        <f t="shared" si="1"/>
        <v>546.73281749039529</v>
      </c>
      <c r="V46" s="22">
        <f t="shared" si="2"/>
        <v>0.57353575946152602</v>
      </c>
      <c r="X46" s="33"/>
      <c r="Y46" s="33"/>
    </row>
    <row r="47" spans="1:25" x14ac:dyDescent="0.2">
      <c r="A47" s="93" t="s">
        <v>45</v>
      </c>
      <c r="B47" s="94" t="str">
        <f>IFERROR(VLOOKUP($A47,HeadJournal!$A$1:$NTR$890,COLUMN(HeadJournal!B$1),0),"")</f>
        <v>IHORD0000452586NPG</v>
      </c>
      <c r="C47" s="94" t="str">
        <f>IFERROR(VLOOKUP($A47,HeadJournal!$A$1:$NTR$890,COLUMN(HeadJournal!C$1),0),"")</f>
        <v>iHerb_OA CZN6870</v>
      </c>
      <c r="D47" s="125" t="str">
        <f>IFERROR(VLOOKUP($A47,HeadJournal!$A$1:$NTR$890,COLUMN(HeadJournal!D$1),0),"")</f>
        <v>Доставлен</v>
      </c>
      <c r="E47" s="95">
        <f>IFERROR(VLOOKUP($A47,HeadJournal!$A$1:$NTR$890,COLUMN(HeadJournal!G$1),0),"")</f>
        <v>44793</v>
      </c>
      <c r="F47" s="95" t="str">
        <f t="shared" si="3"/>
        <v>2022 08</v>
      </c>
      <c r="G47" s="96" t="s">
        <v>7</v>
      </c>
      <c r="H47" s="161" t="s">
        <v>2724</v>
      </c>
      <c r="I47" s="97" t="s">
        <v>2725</v>
      </c>
      <c r="J47" s="97" t="s">
        <v>2726</v>
      </c>
      <c r="K47" s="29">
        <v>580.12</v>
      </c>
      <c r="L47" s="29">
        <v>-58.01</v>
      </c>
      <c r="M47" s="30">
        <f>IFERROR(VLOOKUP($A47,HeadJournal!$A$1:$J$890,COLUMN(HeadJournal!I$1),0)*($K47+$L47)/(SUMIF($A:$A,$A47,$K:$K)+SUMIF($A:$A,$A47,$L:$L)),0)</f>
        <v>-0.55886843871505298</v>
      </c>
      <c r="N47" s="30">
        <f>IFERROR((VLOOKUP($A47,HeadJournal!$A$1:$K$890,COLUMN(HeadJournal!K$1),0)-VLOOKUP($A47,HeadJournal!$A$1:$K$890,COLUMN(HeadJournal!J$1),0))*($K47+$L47)/(SUMIF($A:$A,$A47,$K:$K)+SUMIF($A:$A,$A47,$L:$L)),0)</f>
        <v>13.263307460424057</v>
      </c>
      <c r="O47" s="30">
        <f>IFERROR((VLOOKUP($A47,HeadJournal!$A$1:$L$890,COLUMN(HeadJournal!L$1),0)*($K47+$L47)/(SUMIF($A:$A,$A47,$K:$K)+SUMIF($A:$A,$A47,$L:$L)))/VLOOKUP($A47,HeadJournal!$A$1:$L$890,COLUMN(HeadJournal!H$1),0),0)</f>
        <v>100.6970159846942</v>
      </c>
      <c r="P47" s="30">
        <f>IFERROR(SUM(K47:O47)*VLOOKUP($A47,HeadJournal!$A$1:$L$890,COLUMN(HeadJournal!H$1),0),0)</f>
        <v>953.26718250960471</v>
      </c>
      <c r="Q47" s="29"/>
      <c r="R47" s="31"/>
      <c r="S47" s="31"/>
      <c r="T47" s="95" t="str">
        <f t="shared" si="4"/>
        <v/>
      </c>
      <c r="U47" s="32">
        <f t="shared" si="1"/>
        <v>-953.26718250960471</v>
      </c>
      <c r="V47" s="22" t="str">
        <f t="shared" si="2"/>
        <v/>
      </c>
      <c r="X47" s="33"/>
      <c r="Y47" s="33"/>
    </row>
    <row r="48" spans="1:25" x14ac:dyDescent="0.2">
      <c r="A48" s="93" t="s">
        <v>45</v>
      </c>
      <c r="B48" s="94" t="str">
        <f>IFERROR(VLOOKUP($A48,HeadJournal!$A$1:$NTR$890,COLUMN(HeadJournal!B$1),0),"")</f>
        <v>IHORD0000452586NPG</v>
      </c>
      <c r="C48" s="94" t="str">
        <f>IFERROR(VLOOKUP($A48,HeadJournal!$A$1:$NTR$890,COLUMN(HeadJournal!C$1),0),"")</f>
        <v>iHerb_OA CZN6870</v>
      </c>
      <c r="D48" s="125" t="str">
        <f>IFERROR(VLOOKUP($A48,HeadJournal!$A$1:$NTR$890,COLUMN(HeadJournal!D$1),0),"")</f>
        <v>Доставлен</v>
      </c>
      <c r="E48" s="95">
        <f>IFERROR(VLOOKUP($A48,HeadJournal!$A$1:$NTR$890,COLUMN(HeadJournal!G$1),0),"")</f>
        <v>44793</v>
      </c>
      <c r="F48" s="95" t="str">
        <f t="shared" si="3"/>
        <v>2022 08</v>
      </c>
      <c r="G48" s="96" t="s">
        <v>5</v>
      </c>
      <c r="H48" s="161" t="s">
        <v>2548</v>
      </c>
      <c r="I48" s="97" t="s">
        <v>2005</v>
      </c>
      <c r="J48" s="97" t="s">
        <v>2549</v>
      </c>
      <c r="K48" s="29">
        <v>323.10000000000002</v>
      </c>
      <c r="L48" s="29">
        <v>-32.299999999999997</v>
      </c>
      <c r="M48" s="30">
        <f>IFERROR(VLOOKUP($A48,HeadJournal!$A$1:$J$890,COLUMN(HeadJournal!I$1),0)*($K48+$L48)/(SUMIF($A:$A,$A48,$K:$K)+SUMIF($A:$A,$A48,$L:$L)),0)</f>
        <v>-0.31127337530087029</v>
      </c>
      <c r="N48" s="30">
        <f>IFERROR((VLOOKUP($A48,HeadJournal!$A$1:$K$890,COLUMN(HeadJournal!K$1),0)-VLOOKUP($A48,HeadJournal!$A$1:$K$890,COLUMN(HeadJournal!J$1),0))*($K48+$L48)/(SUMIF($A:$A,$A48,$K:$K)+SUMIF($A:$A,$A48,$L:$L)),0)</f>
        <v>7.3872743473431202</v>
      </c>
      <c r="O48" s="30">
        <f>IFERROR((VLOOKUP($A48,HeadJournal!$A$1:$L$890,COLUMN(HeadJournal!L$1),0)*($K48+$L48)/(SUMIF($A:$A,$A48,$K:$K)+SUMIF($A:$A,$A48,$L:$L)))/VLOOKUP($A48,HeadJournal!$A$1:$L$890,COLUMN(HeadJournal!H$1),0),0)</f>
        <v>56.08529284700365</v>
      </c>
      <c r="P48" s="30">
        <f>IFERROR(SUM(K48:O48)*VLOOKUP($A48,HeadJournal!$A$1:$L$890,COLUMN(HeadJournal!H$1),0),0)</f>
        <v>530.94194072856885</v>
      </c>
      <c r="Q48" s="29">
        <v>900</v>
      </c>
      <c r="R48" s="31">
        <v>44804</v>
      </c>
      <c r="S48" s="31" t="s">
        <v>3121</v>
      </c>
      <c r="T48" s="95" t="str">
        <f t="shared" si="4"/>
        <v>2022 08</v>
      </c>
      <c r="U48" s="32">
        <f t="shared" si="1"/>
        <v>369.05805927143115</v>
      </c>
      <c r="V48" s="22">
        <f t="shared" si="2"/>
        <v>0.69510059567907279</v>
      </c>
      <c r="X48" s="33"/>
      <c r="Y48" s="33"/>
    </row>
    <row r="49" spans="1:25" x14ac:dyDescent="0.2">
      <c r="A49" s="93" t="s">
        <v>45</v>
      </c>
      <c r="B49" s="94" t="str">
        <f>IFERROR(VLOOKUP($A49,HeadJournal!$A$1:$NTR$890,COLUMN(HeadJournal!B$1),0),"")</f>
        <v>IHORD0000452586NPG</v>
      </c>
      <c r="C49" s="94" t="str">
        <f>IFERROR(VLOOKUP($A49,HeadJournal!$A$1:$NTR$890,COLUMN(HeadJournal!C$1),0),"")</f>
        <v>iHerb_OA CZN6870</v>
      </c>
      <c r="D49" s="125" t="str">
        <f>IFERROR(VLOOKUP($A49,HeadJournal!$A$1:$NTR$890,COLUMN(HeadJournal!D$1),0),"")</f>
        <v>Доставлен</v>
      </c>
      <c r="E49" s="95">
        <f>IFERROR(VLOOKUP($A49,HeadJournal!$A$1:$NTR$890,COLUMN(HeadJournal!G$1),0),"")</f>
        <v>44793</v>
      </c>
      <c r="F49" s="95" t="str">
        <f t="shared" si="3"/>
        <v>2022 08</v>
      </c>
      <c r="G49" s="96" t="s">
        <v>7</v>
      </c>
      <c r="H49" s="160" t="str">
        <f>RIGHT(Journal!$J49,9)</f>
        <v>MBN-01707</v>
      </c>
      <c r="I49" s="96" t="str">
        <f t="shared" si="5"/>
        <v>Mild By Nature</v>
      </c>
      <c r="J49" s="97" t="s">
        <v>48</v>
      </c>
      <c r="K49" s="29">
        <v>115.6</v>
      </c>
      <c r="L49" s="29">
        <v>-23.12</v>
      </c>
      <c r="M49" s="30">
        <f>IFERROR(VLOOKUP($A49,HeadJournal!$A$1:$J$890,COLUMN(HeadJournal!I$1),0)*($K49+$L49)/(SUMIF($A:$A,$A49,$K:$K)+SUMIF($A:$A,$A49,$L:$L)),0)</f>
        <v>-9.8990927605998896E-2</v>
      </c>
      <c r="N49" s="30">
        <f>IFERROR((VLOOKUP($A49,HeadJournal!$A$1:$K$890,COLUMN(HeadJournal!K$1),0)-VLOOKUP($A49,HeadJournal!$A$1:$K$890,COLUMN(HeadJournal!J$1),0))*($K49+$L49)/(SUMIF($A:$A,$A49,$K:$K)+SUMIF($A:$A,$A49,$L:$L)),0)</f>
        <v>2.3492955008331897</v>
      </c>
      <c r="O49" s="30">
        <f>IFERROR((VLOOKUP($A49,HeadJournal!$A$1:$L$890,COLUMN(HeadJournal!L$1),0)*($K49+$L49)/(SUMIF($A:$A,$A49,$K:$K)+SUMIF($A:$A,$A49,$L:$L)))/VLOOKUP($A49,HeadJournal!$A$1:$L$890,COLUMN(HeadJournal!H$1),0),0)</f>
        <v>17.836203172252052</v>
      </c>
      <c r="P49" s="30">
        <f>IFERROR(SUM(K49:O49)*VLOOKUP($A49,HeadJournal!$A$1:$L$890,COLUMN(HeadJournal!H$1),0),0)</f>
        <v>168.84976161821885</v>
      </c>
      <c r="Q49" s="29">
        <v>300</v>
      </c>
      <c r="R49" s="31">
        <v>44850</v>
      </c>
      <c r="S49" s="31" t="s">
        <v>3121</v>
      </c>
      <c r="T49" s="95" t="str">
        <f t="shared" si="4"/>
        <v>2022 10</v>
      </c>
      <c r="U49" s="32">
        <f t="shared" si="1"/>
        <v>131.15023838178115</v>
      </c>
      <c r="V49" s="22">
        <f t="shared" si="2"/>
        <v>0.77672741213766727</v>
      </c>
      <c r="X49" s="33"/>
      <c r="Y49" s="33"/>
    </row>
    <row r="50" spans="1:25" x14ac:dyDescent="0.2">
      <c r="A50" s="93" t="s">
        <v>45</v>
      </c>
      <c r="B50" s="94" t="str">
        <f>IFERROR(VLOOKUP($A50,HeadJournal!$A$1:$NTR$890,COLUMN(HeadJournal!B$1),0),"")</f>
        <v>IHORD0000452586NPG</v>
      </c>
      <c r="C50" s="94" t="str">
        <f>IFERROR(VLOOKUP($A50,HeadJournal!$A$1:$NTR$890,COLUMN(HeadJournal!C$1),0),"")</f>
        <v>iHerb_OA CZN6870</v>
      </c>
      <c r="D50" s="125" t="str">
        <f>IFERROR(VLOOKUP($A50,HeadJournal!$A$1:$NTR$890,COLUMN(HeadJournal!D$1),0),"")</f>
        <v>Доставлен</v>
      </c>
      <c r="E50" s="95">
        <f>IFERROR(VLOOKUP($A50,HeadJournal!$A$1:$NTR$890,COLUMN(HeadJournal!G$1),0),"")</f>
        <v>44793</v>
      </c>
      <c r="F50" s="95" t="str">
        <f t="shared" si="3"/>
        <v>2022 08</v>
      </c>
      <c r="G50" s="96" t="s">
        <v>5</v>
      </c>
      <c r="H50" s="161" t="s">
        <v>3011</v>
      </c>
      <c r="I50" s="97" t="s">
        <v>2052</v>
      </c>
      <c r="J50" s="97" t="s">
        <v>3012</v>
      </c>
      <c r="K50" s="29">
        <v>231.19</v>
      </c>
      <c r="L50" s="29">
        <v>-192.66</v>
      </c>
      <c r="M50" s="30">
        <f>IFERROR(VLOOKUP($A50,HeadJournal!$A$1:$J$890,COLUMN(HeadJournal!I$1),0)*($K50+$L50)/(SUMIF($A:$A,$A50,$K:$K)+SUMIF($A:$A,$A50,$L:$L)),0)</f>
        <v>-4.1242651823736355E-2</v>
      </c>
      <c r="N50" s="30">
        <f>IFERROR((VLOOKUP($A50,HeadJournal!$A$1:$K$890,COLUMN(HeadJournal!K$1),0)-VLOOKUP($A50,HeadJournal!$A$1:$K$890,COLUMN(HeadJournal!J$1),0))*($K50+$L50)/(SUMIF($A:$A,$A50,$K:$K)+SUMIF($A:$A,$A50,$L:$L)),0)</f>
        <v>0.97878844774116369</v>
      </c>
      <c r="O50" s="30">
        <f>IFERROR((VLOOKUP($A50,HeadJournal!$A$1:$L$890,COLUMN(HeadJournal!L$1),0)*($K50+$L50)/(SUMIF($A:$A,$A50,$K:$K)+SUMIF($A:$A,$A50,$L:$L)))/VLOOKUP($A50,HeadJournal!$A$1:$L$890,COLUMN(HeadJournal!H$1),0),0)</f>
        <v>7.4311084367092528</v>
      </c>
      <c r="P50" s="30">
        <f>IFERROR(SUM(K50:O50)*VLOOKUP($A50,HeadJournal!$A$1:$L$890,COLUMN(HeadJournal!H$1),0),0)</f>
        <v>70.347981348940024</v>
      </c>
      <c r="Q50" s="29">
        <v>700</v>
      </c>
      <c r="R50" s="31">
        <v>44828</v>
      </c>
      <c r="S50" s="31" t="s">
        <v>3121</v>
      </c>
      <c r="T50" s="95" t="str">
        <f t="shared" si="4"/>
        <v>2022 09</v>
      </c>
      <c r="U50" s="32">
        <f t="shared" si="1"/>
        <v>629.65201865105996</v>
      </c>
      <c r="V50" s="22">
        <f t="shared" si="2"/>
        <v>8.9505342808325992</v>
      </c>
      <c r="X50" s="33"/>
      <c r="Y50" s="33"/>
    </row>
    <row r="51" spans="1:25" x14ac:dyDescent="0.2">
      <c r="A51" s="93" t="s">
        <v>45</v>
      </c>
      <c r="B51" s="94" t="str">
        <f>IFERROR(VLOOKUP($A51,HeadJournal!$A$1:$NTR$890,COLUMN(HeadJournal!B$1),0),"")</f>
        <v>IHORD0000452586NPG</v>
      </c>
      <c r="C51" s="94" t="str">
        <f>IFERROR(VLOOKUP($A51,HeadJournal!$A$1:$NTR$890,COLUMN(HeadJournal!C$1),0),"")</f>
        <v>iHerb_OA CZN6870</v>
      </c>
      <c r="D51" s="125" t="str">
        <f>IFERROR(VLOOKUP($A51,HeadJournal!$A$1:$NTR$890,COLUMN(HeadJournal!D$1),0),"")</f>
        <v>Доставлен</v>
      </c>
      <c r="E51" s="95">
        <f>IFERROR(VLOOKUP($A51,HeadJournal!$A$1:$NTR$890,COLUMN(HeadJournal!G$1),0),"")</f>
        <v>44793</v>
      </c>
      <c r="F51" s="95" t="str">
        <f t="shared" si="3"/>
        <v>2022 08</v>
      </c>
      <c r="G51" s="96" t="s">
        <v>5</v>
      </c>
      <c r="H51" s="160" t="str">
        <f>RIGHT(Journal!$J51,9)</f>
        <v>NOW-01648</v>
      </c>
      <c r="I51" s="96" t="str">
        <f t="shared" si="5"/>
        <v>NOW Foods</v>
      </c>
      <c r="J51" s="97" t="s">
        <v>49</v>
      </c>
      <c r="K51" s="29">
        <v>485.4</v>
      </c>
      <c r="L51" s="29">
        <v>-72.81</v>
      </c>
      <c r="M51" s="30">
        <f>IFERROR(VLOOKUP($A51,HeadJournal!$A$1:$J$890,COLUMN(HeadJournal!I$1),0)*($K51+$L51)/(SUMIF($A:$A,$A51,$K:$K)+SUMIF($A:$A,$A51,$L:$L)),0)</f>
        <v>-0.44163783327161649</v>
      </c>
      <c r="N51" s="30">
        <f>IFERROR((VLOOKUP($A51,HeadJournal!$A$1:$K$890,COLUMN(HeadJournal!K$1),0)-VLOOKUP($A51,HeadJournal!$A$1:$K$890,COLUMN(HeadJournal!J$1),0))*($K51+$L51)/(SUMIF($A:$A,$A51,$K:$K)+SUMIF($A:$A,$A51,$L:$L)),0)</f>
        <v>10.481140037724543</v>
      </c>
      <c r="O51" s="30">
        <f>IFERROR((VLOOKUP($A51,HeadJournal!$A$1:$L$890,COLUMN(HeadJournal!L$1),0)*($K51+$L51)/(SUMIF($A:$A,$A51,$K:$K)+SUMIF($A:$A,$A51,$L:$L)))/VLOOKUP($A51,HeadJournal!$A$1:$L$890,COLUMN(HeadJournal!H$1),0),0)</f>
        <v>79.574384373264223</v>
      </c>
      <c r="P51" s="30">
        <f>IFERROR(SUM(K51:O51)*VLOOKUP($A51,HeadJournal!$A$1:$L$890,COLUMN(HeadJournal!H$1),0),0)</f>
        <v>753.30582986657578</v>
      </c>
      <c r="Q51" s="29">
        <v>1600</v>
      </c>
      <c r="R51" s="31">
        <v>44850</v>
      </c>
      <c r="S51" s="31" t="s">
        <v>3121</v>
      </c>
      <c r="T51" s="95" t="str">
        <f t="shared" si="4"/>
        <v>2022 10</v>
      </c>
      <c r="U51" s="32">
        <f t="shared" si="1"/>
        <v>846.69417013342422</v>
      </c>
      <c r="V51" s="22">
        <f t="shared" si="2"/>
        <v>1.1239713494363759</v>
      </c>
      <c r="X51" s="33"/>
      <c r="Y51" s="33"/>
    </row>
    <row r="52" spans="1:25" x14ac:dyDescent="0.2">
      <c r="A52" s="93" t="s">
        <v>50</v>
      </c>
      <c r="B52" s="94" t="str">
        <f>IFERROR(VLOOKUP($A52,HeadJournal!$A$1:$NTR$890,COLUMN(HeadJournal!B$1),0),"")</f>
        <v>IHORD0000457374NPG</v>
      </c>
      <c r="C52" s="94" t="str">
        <f>IFERROR(VLOOKUP($A52,HeadJournal!$A$1:$NTR$890,COLUMN(HeadJournal!C$1),0),"")</f>
        <v>iHerb_MH DLE7202</v>
      </c>
      <c r="D52" s="125" t="str">
        <f>IFERROR(VLOOKUP($A52,HeadJournal!$A$1:$NTR$890,COLUMN(HeadJournal!D$1),0),"")</f>
        <v>Доставлен</v>
      </c>
      <c r="E52" s="95">
        <f>IFERROR(VLOOKUP($A52,HeadJournal!$A$1:$NTR$890,COLUMN(HeadJournal!G$1),0),"")</f>
        <v>44797</v>
      </c>
      <c r="F52" s="95" t="str">
        <f t="shared" si="3"/>
        <v>2022 08</v>
      </c>
      <c r="G52" s="96" t="s">
        <v>5</v>
      </c>
      <c r="H52" s="160" t="str">
        <f>RIGHT(Journal!$J52,9)</f>
        <v>SOR-46105</v>
      </c>
      <c r="I52" s="96" t="str">
        <f t="shared" si="5"/>
        <v>Solaray</v>
      </c>
      <c r="J52" s="97" t="s">
        <v>51</v>
      </c>
      <c r="K52" s="29">
        <v>239.85</v>
      </c>
      <c r="L52" s="29">
        <v>-36.01</v>
      </c>
      <c r="M52" s="30">
        <f>IFERROR(VLOOKUP($A52,HeadJournal!$A$1:$J$890,COLUMN(HeadJournal!I$1),0)*($K52+$L52)/(SUMIF($A:$A,$A52,$K:$K)+SUMIF($A:$A,$A52,$L:$L)),0)</f>
        <v>0</v>
      </c>
      <c r="N52" s="30">
        <f>IFERROR((VLOOKUP($A52,HeadJournal!$A$1:$K$890,COLUMN(HeadJournal!K$1),0)-VLOOKUP($A52,HeadJournal!$A$1:$K$890,COLUMN(HeadJournal!J$1),0))*($K52+$L52)/(SUMIF($A:$A,$A52,$K:$K)+SUMIF($A:$A,$A52,$L:$L)),0)</f>
        <v>5.1862688875812273</v>
      </c>
      <c r="O52" s="30">
        <f>IFERROR((VLOOKUP($A52,HeadJournal!$A$1:$L$890,COLUMN(HeadJournal!L$1),0)*($K52+$L52)/(SUMIF($A:$A,$A52,$K:$K)+SUMIF($A:$A,$A52,$L:$L)))/VLOOKUP($A52,HeadJournal!$A$1:$L$890,COLUMN(HeadJournal!H$1),0),0)</f>
        <v>32.639597769478037</v>
      </c>
      <c r="P52" s="30">
        <f>IFERROR(SUM(K52:O52)*VLOOKUP($A52,HeadJournal!$A$1:$L$890,COLUMN(HeadJournal!H$1),0),0)</f>
        <v>362.4987999855889</v>
      </c>
      <c r="Q52" s="29">
        <v>750</v>
      </c>
      <c r="R52" s="31">
        <v>44821</v>
      </c>
      <c r="S52" s="31" t="s">
        <v>3121</v>
      </c>
      <c r="T52" s="95" t="str">
        <f t="shared" si="4"/>
        <v>2022 09</v>
      </c>
      <c r="U52" s="32">
        <f t="shared" si="1"/>
        <v>387.5012000144111</v>
      </c>
      <c r="V52" s="22">
        <f t="shared" si="2"/>
        <v>1.0689723663356021</v>
      </c>
      <c r="X52" s="33"/>
      <c r="Y52" s="33"/>
    </row>
    <row r="53" spans="1:25" x14ac:dyDescent="0.2">
      <c r="A53" s="93" t="s">
        <v>50</v>
      </c>
      <c r="B53" s="94" t="str">
        <f>IFERROR(VLOOKUP($A53,HeadJournal!$A$1:$NTR$890,COLUMN(HeadJournal!B$1),0),"")</f>
        <v>IHORD0000457374NPG</v>
      </c>
      <c r="C53" s="94" t="str">
        <f>IFERROR(VLOOKUP($A53,HeadJournal!$A$1:$NTR$890,COLUMN(HeadJournal!C$1),0),"")</f>
        <v>iHerb_MH DLE7202</v>
      </c>
      <c r="D53" s="125" t="str">
        <f>IFERROR(VLOOKUP($A53,HeadJournal!$A$1:$NTR$890,COLUMN(HeadJournal!D$1),0),"")</f>
        <v>Доставлен</v>
      </c>
      <c r="E53" s="95">
        <f>IFERROR(VLOOKUP($A53,HeadJournal!$A$1:$NTR$890,COLUMN(HeadJournal!G$1),0),"")</f>
        <v>44797</v>
      </c>
      <c r="F53" s="95" t="str">
        <f t="shared" si="3"/>
        <v>2022 08</v>
      </c>
      <c r="G53" s="96" t="s">
        <v>5</v>
      </c>
      <c r="H53" s="160" t="str">
        <f>RIGHT(Journal!$J53,9)</f>
        <v>NOW-01277</v>
      </c>
      <c r="I53" s="96" t="str">
        <f t="shared" si="5"/>
        <v>NOW Foods</v>
      </c>
      <c r="J53" s="97" t="s">
        <v>52</v>
      </c>
      <c r="K53" s="29">
        <v>443.58</v>
      </c>
      <c r="L53" s="29">
        <v>-66.53</v>
      </c>
      <c r="M53" s="30">
        <f>IFERROR(VLOOKUP($A53,HeadJournal!$A$1:$J$890,COLUMN(HeadJournal!I$1),0)*($K53+$L53)/(SUMIF($A:$A,$A53,$K:$K)+SUMIF($A:$A,$A53,$L:$L)),0)</f>
        <v>0</v>
      </c>
      <c r="N53" s="30">
        <f>IFERROR((VLOOKUP($A53,HeadJournal!$A$1:$K$890,COLUMN(HeadJournal!K$1),0)-VLOOKUP($A53,HeadJournal!$A$1:$K$890,COLUMN(HeadJournal!J$1),0))*($K53+$L53)/(SUMIF($A:$A,$A53,$K:$K)+SUMIF($A:$A,$A53,$L:$L)),0)</f>
        <v>9.5932235285640779</v>
      </c>
      <c r="O53" s="30">
        <f>IFERROR((VLOOKUP($A53,HeadJournal!$A$1:$L$890,COLUMN(HeadJournal!L$1),0)*($K53+$L53)/(SUMIF($A:$A,$A53,$K:$K)+SUMIF($A:$A,$A53,$L:$L)))/VLOOKUP($A53,HeadJournal!$A$1:$L$890,COLUMN(HeadJournal!H$1),0),0)</f>
        <v>60.37460919830108</v>
      </c>
      <c r="P53" s="30">
        <f>IFERROR(SUM(K53:O53)*VLOOKUP($A53,HeadJournal!$A$1:$L$890,COLUMN(HeadJournal!H$1),0),0)</f>
        <v>670.5267490902977</v>
      </c>
      <c r="Q53" s="29">
        <v>1500</v>
      </c>
      <c r="R53" s="31">
        <v>44828</v>
      </c>
      <c r="S53" s="31" t="s">
        <v>3121</v>
      </c>
      <c r="T53" s="95" t="str">
        <f t="shared" si="4"/>
        <v>2022 09</v>
      </c>
      <c r="U53" s="32">
        <f t="shared" si="1"/>
        <v>829.4732509097023</v>
      </c>
      <c r="V53" s="22">
        <f t="shared" si="2"/>
        <v>1.2370472200177651</v>
      </c>
      <c r="X53" s="33"/>
      <c r="Y53" s="33"/>
    </row>
    <row r="54" spans="1:25" x14ac:dyDescent="0.2">
      <c r="A54" s="93" t="s">
        <v>50</v>
      </c>
      <c r="B54" s="94" t="str">
        <f>IFERROR(VLOOKUP($A54,HeadJournal!$A$1:$NTR$890,COLUMN(HeadJournal!B$1),0),"")</f>
        <v>IHORD0000457374NPG</v>
      </c>
      <c r="C54" s="94" t="str">
        <f>IFERROR(VLOOKUP($A54,HeadJournal!$A$1:$NTR$890,COLUMN(HeadJournal!C$1),0),"")</f>
        <v>iHerb_MH DLE7202</v>
      </c>
      <c r="D54" s="125" t="str">
        <f>IFERROR(VLOOKUP($A54,HeadJournal!$A$1:$NTR$890,COLUMN(HeadJournal!D$1),0),"")</f>
        <v>Доставлен</v>
      </c>
      <c r="E54" s="95">
        <f>IFERROR(VLOOKUP($A54,HeadJournal!$A$1:$NTR$890,COLUMN(HeadJournal!G$1),0),"")</f>
        <v>44797</v>
      </c>
      <c r="F54" s="95" t="str">
        <f t="shared" si="3"/>
        <v>2022 08</v>
      </c>
      <c r="G54" s="96" t="s">
        <v>7</v>
      </c>
      <c r="H54" s="160" t="str">
        <f>RIGHT(Journal!$J54,9)</f>
        <v>PAL-04545</v>
      </c>
      <c r="I54" s="96" t="str">
        <f t="shared" si="5"/>
        <v>Palmer's</v>
      </c>
      <c r="J54" s="97" t="s">
        <v>53</v>
      </c>
      <c r="K54" s="29">
        <v>399.98</v>
      </c>
      <c r="L54" s="29">
        <v>-59.99</v>
      </c>
      <c r="M54" s="30">
        <f>IFERROR(VLOOKUP($A54,HeadJournal!$A$1:$J$890,COLUMN(HeadJournal!I$1),0)*($K54+$L54)/(SUMIF($A:$A,$A54,$K:$K)+SUMIF($A:$A,$A54,$L:$L)),0)</f>
        <v>0</v>
      </c>
      <c r="N54" s="30">
        <f>IFERROR((VLOOKUP($A54,HeadJournal!$A$1:$K$890,COLUMN(HeadJournal!K$1),0)-VLOOKUP($A54,HeadJournal!$A$1:$K$890,COLUMN(HeadJournal!J$1),0))*($K54+$L54)/(SUMIF($A:$A,$A54,$K:$K)+SUMIF($A:$A,$A54,$L:$L)),0)</f>
        <v>8.6503118087163529</v>
      </c>
      <c r="O54" s="30">
        <f>IFERROR((VLOOKUP($A54,HeadJournal!$A$1:$L$890,COLUMN(HeadJournal!L$1),0)*($K54+$L54)/(SUMIF($A:$A,$A54,$K:$K)+SUMIF($A:$A,$A54,$L:$L)))/VLOOKUP($A54,HeadJournal!$A$1:$L$890,COLUMN(HeadJournal!H$1),0),0)</f>
        <v>54.44042801042405</v>
      </c>
      <c r="P54" s="30">
        <f>IFERROR(SUM(K54:O54)*VLOOKUP($A54,HeadJournal!$A$1:$L$890,COLUMN(HeadJournal!H$1),0),0)</f>
        <v>604.62110972871062</v>
      </c>
      <c r="Q54" s="29">
        <v>1100</v>
      </c>
      <c r="R54" s="31">
        <v>44821</v>
      </c>
      <c r="S54" s="31" t="s">
        <v>3121</v>
      </c>
      <c r="T54" s="95" t="str">
        <f t="shared" si="4"/>
        <v>2022 09</v>
      </c>
      <c r="U54" s="32">
        <f t="shared" si="1"/>
        <v>495.37889027128938</v>
      </c>
      <c r="V54" s="22">
        <f t="shared" si="2"/>
        <v>0.81932119520862001</v>
      </c>
      <c r="X54" s="33"/>
      <c r="Y54" s="33"/>
    </row>
    <row r="55" spans="1:25" x14ac:dyDescent="0.2">
      <c r="A55" s="93" t="s">
        <v>50</v>
      </c>
      <c r="B55" s="94" t="str">
        <f>IFERROR(VLOOKUP($A55,HeadJournal!$A$1:$NTR$890,COLUMN(HeadJournal!B$1),0),"")</f>
        <v>IHORD0000457374NPG</v>
      </c>
      <c r="C55" s="94" t="str">
        <f>IFERROR(VLOOKUP($A55,HeadJournal!$A$1:$NTR$890,COLUMN(HeadJournal!C$1),0),"")</f>
        <v>iHerb_MH DLE7202</v>
      </c>
      <c r="D55" s="125" t="str">
        <f>IFERROR(VLOOKUP($A55,HeadJournal!$A$1:$NTR$890,COLUMN(HeadJournal!D$1),0),"")</f>
        <v>Доставлен</v>
      </c>
      <c r="E55" s="95">
        <f>IFERROR(VLOOKUP($A55,HeadJournal!$A$1:$NTR$890,COLUMN(HeadJournal!G$1),0),"")</f>
        <v>44797</v>
      </c>
      <c r="F55" s="95" t="str">
        <f t="shared" si="3"/>
        <v>2022 08</v>
      </c>
      <c r="G55" s="96" t="s">
        <v>5</v>
      </c>
      <c r="H55" s="161" t="s">
        <v>2439</v>
      </c>
      <c r="I55" s="97" t="s">
        <v>2042</v>
      </c>
      <c r="J55" s="97" t="s">
        <v>2440</v>
      </c>
      <c r="K55" s="29">
        <v>1202.0999999999999</v>
      </c>
      <c r="L55" s="29">
        <v>-180.315</v>
      </c>
      <c r="M55" s="30">
        <f>IFERROR(VLOOKUP($A55,HeadJournal!$A$1:$J$890,COLUMN(HeadJournal!I$1),0)*($K55+$L55)/(SUMIF($A:$A,$A55,$K:$K)+SUMIF($A:$A,$A55,$L:$L)),0)</f>
        <v>0</v>
      </c>
      <c r="N55" s="30">
        <f>IFERROR((VLOOKUP($A55,HeadJournal!$A$1:$K$890,COLUMN(HeadJournal!K$1),0)-VLOOKUP($A55,HeadJournal!$A$1:$K$890,COLUMN(HeadJournal!J$1),0))*($K55+$L55)/(SUMIF($A:$A,$A55,$K:$K)+SUMIF($A:$A,$A55,$L:$L)),0)</f>
        <v>25.997114184150231</v>
      </c>
      <c r="O55" s="30">
        <f>IFERROR((VLOOKUP($A55,HeadJournal!$A$1:$L$890,COLUMN(HeadJournal!L$1),0)*($K55+$L55)/(SUMIF($A:$A,$A55,$K:$K)+SUMIF($A:$A,$A55,$L:$L)))/VLOOKUP($A55,HeadJournal!$A$1:$L$890,COLUMN(HeadJournal!H$1),0),0)</f>
        <v>163.61190839327961</v>
      </c>
      <c r="P55" s="30">
        <f>IFERROR(SUM(K55:O55)*VLOOKUP($A55,HeadJournal!$A$1:$L$890,COLUMN(HeadJournal!H$1),0),0)</f>
        <v>1817.0910338661447</v>
      </c>
      <c r="Q55" s="29">
        <v>4450</v>
      </c>
      <c r="R55" s="31">
        <v>44821</v>
      </c>
      <c r="S55" s="31" t="s">
        <v>3121</v>
      </c>
      <c r="T55" s="95" t="str">
        <f t="shared" si="4"/>
        <v>2022 09</v>
      </c>
      <c r="U55" s="32">
        <f t="shared" si="1"/>
        <v>2632.9089661338553</v>
      </c>
      <c r="V55" s="22">
        <f t="shared" si="2"/>
        <v>1.4489692134641876</v>
      </c>
      <c r="X55" s="33"/>
      <c r="Y55" s="33"/>
    </row>
    <row r="56" spans="1:25" x14ac:dyDescent="0.2">
      <c r="A56" s="93" t="s">
        <v>50</v>
      </c>
      <c r="B56" s="94" t="str">
        <f>IFERROR(VLOOKUP($A56,HeadJournal!$A$1:$NTR$890,COLUMN(HeadJournal!B$1),0),"")</f>
        <v>IHORD0000457374NPG</v>
      </c>
      <c r="C56" s="94" t="str">
        <f>IFERROR(VLOOKUP($A56,HeadJournal!$A$1:$NTR$890,COLUMN(HeadJournal!C$1),0),"")</f>
        <v>iHerb_MH DLE7202</v>
      </c>
      <c r="D56" s="125" t="str">
        <f>IFERROR(VLOOKUP($A56,HeadJournal!$A$1:$NTR$890,COLUMN(HeadJournal!D$1),0),"")</f>
        <v>Доставлен</v>
      </c>
      <c r="E56" s="95">
        <f>IFERROR(VLOOKUP($A56,HeadJournal!$A$1:$NTR$890,COLUMN(HeadJournal!G$1),0),"")</f>
        <v>44797</v>
      </c>
      <c r="F56" s="95" t="str">
        <f t="shared" si="3"/>
        <v>2022 08</v>
      </c>
      <c r="G56" s="96" t="s">
        <v>5</v>
      </c>
      <c r="H56" s="161" t="s">
        <v>2439</v>
      </c>
      <c r="I56" s="97" t="s">
        <v>2042</v>
      </c>
      <c r="J56" s="97" t="s">
        <v>2440</v>
      </c>
      <c r="K56" s="29">
        <v>1202.0999999999999</v>
      </c>
      <c r="L56" s="29">
        <v>-180.315</v>
      </c>
      <c r="M56" s="30">
        <f>IFERROR(VLOOKUP($A56,HeadJournal!$A$1:$J$890,COLUMN(HeadJournal!I$1),0)*($K56+$L56)/(SUMIF($A:$A,$A56,$K:$K)+SUMIF($A:$A,$A56,$L:$L)),0)</f>
        <v>0</v>
      </c>
      <c r="N56" s="30">
        <f>IFERROR((VLOOKUP($A56,HeadJournal!$A$1:$K$890,COLUMN(HeadJournal!K$1),0)-VLOOKUP($A56,HeadJournal!$A$1:$K$890,COLUMN(HeadJournal!J$1),0))*($K56+$L56)/(SUMIF($A:$A,$A56,$K:$K)+SUMIF($A:$A,$A56,$L:$L)),0)</f>
        <v>25.997114184150231</v>
      </c>
      <c r="O56" s="30">
        <f>IFERROR((VLOOKUP($A56,HeadJournal!$A$1:$L$890,COLUMN(HeadJournal!L$1),0)*($K56+$L56)/(SUMIF($A:$A,$A56,$K:$K)+SUMIF($A:$A,$A56,$L:$L)))/VLOOKUP($A56,HeadJournal!$A$1:$L$890,COLUMN(HeadJournal!H$1),0),0)</f>
        <v>163.61190839327961</v>
      </c>
      <c r="P56" s="30">
        <f>IFERROR(SUM(K56:O56)*VLOOKUP($A56,HeadJournal!$A$1:$L$890,COLUMN(HeadJournal!H$1),0),0)</f>
        <v>1817.0910338661447</v>
      </c>
      <c r="Q56" s="29">
        <v>4450</v>
      </c>
      <c r="R56" s="31">
        <v>44821</v>
      </c>
      <c r="S56" s="31" t="s">
        <v>3121</v>
      </c>
      <c r="T56" s="95" t="str">
        <f t="shared" si="4"/>
        <v>2022 09</v>
      </c>
      <c r="U56" s="32">
        <f t="shared" si="1"/>
        <v>2632.9089661338553</v>
      </c>
      <c r="V56" s="22">
        <f t="shared" si="2"/>
        <v>1.4489692134641876</v>
      </c>
      <c r="X56" s="33"/>
      <c r="Y56" s="33"/>
    </row>
    <row r="57" spans="1:25" x14ac:dyDescent="0.2">
      <c r="A57" s="93" t="s">
        <v>50</v>
      </c>
      <c r="B57" s="94" t="str">
        <f>IFERROR(VLOOKUP($A57,HeadJournal!$A$1:$NTR$890,COLUMN(HeadJournal!B$1),0),"")</f>
        <v>IHORD0000457374NPG</v>
      </c>
      <c r="C57" s="94" t="str">
        <f>IFERROR(VLOOKUP($A57,HeadJournal!$A$1:$NTR$890,COLUMN(HeadJournal!C$1),0),"")</f>
        <v>iHerb_MH DLE7202</v>
      </c>
      <c r="D57" s="125" t="str">
        <f>IFERROR(VLOOKUP($A57,HeadJournal!$A$1:$NTR$890,COLUMN(HeadJournal!D$1),0),"")</f>
        <v>Доставлен</v>
      </c>
      <c r="E57" s="95">
        <f>IFERROR(VLOOKUP($A57,HeadJournal!$A$1:$NTR$890,COLUMN(HeadJournal!G$1),0),"")</f>
        <v>44797</v>
      </c>
      <c r="F57" s="95" t="str">
        <f t="shared" si="3"/>
        <v>2022 08</v>
      </c>
      <c r="G57" s="96" t="s">
        <v>5</v>
      </c>
      <c r="H57" s="161" t="s">
        <v>2771</v>
      </c>
      <c r="I57" s="97" t="s">
        <v>2052</v>
      </c>
      <c r="J57" s="97" t="s">
        <v>3858</v>
      </c>
      <c r="K57" s="29">
        <v>269.72000000000003</v>
      </c>
      <c r="L57" s="29">
        <v>-138.71</v>
      </c>
      <c r="M57" s="30">
        <f>IFERROR(VLOOKUP($A57,HeadJournal!$A$1:$J$890,COLUMN(HeadJournal!I$1),0)*($K57+$L57)/(SUMIF($A:$A,$A57,$K:$K)+SUMIF($A:$A,$A57,$L:$L)),0)</f>
        <v>0</v>
      </c>
      <c r="N57" s="30">
        <f>IFERROR((VLOOKUP($A57,HeadJournal!$A$1:$K$890,COLUMN(HeadJournal!K$1),0)-VLOOKUP($A57,HeadJournal!$A$1:$K$890,COLUMN(HeadJournal!J$1),0))*($K57+$L57)/(SUMIF($A:$A,$A57,$K:$K)+SUMIF($A:$A,$A57,$L:$L)),0)</f>
        <v>3.3332667139031433</v>
      </c>
      <c r="O57" s="30">
        <f>IFERROR((VLOOKUP($A57,HeadJournal!$A$1:$L$890,COLUMN(HeadJournal!L$1),0)*($K57+$L57)/(SUMIF($A:$A,$A57,$K:$K)+SUMIF($A:$A,$A57,$L:$L)))/VLOOKUP($A57,HeadJournal!$A$1:$L$890,COLUMN(HeadJournal!H$1),0),0)</f>
        <v>20.977794857630094</v>
      </c>
      <c r="P57" s="30">
        <f>IFERROR(SUM(K57:O57)*VLOOKUP($A57,HeadJournal!$A$1:$L$890,COLUMN(HeadJournal!H$1),0),0)</f>
        <v>232.98159235729992</v>
      </c>
      <c r="Q57" s="29">
        <v>900</v>
      </c>
      <c r="R57" s="31">
        <v>44842</v>
      </c>
      <c r="S57" s="31" t="s">
        <v>3121</v>
      </c>
      <c r="T57" s="95" t="str">
        <f t="shared" si="4"/>
        <v>2022 10</v>
      </c>
      <c r="U57" s="32">
        <f t="shared" si="1"/>
        <v>667.01840764270014</v>
      </c>
      <c r="V57" s="22">
        <f t="shared" si="2"/>
        <v>2.8629661291857023</v>
      </c>
      <c r="X57" s="33"/>
      <c r="Y57" s="33"/>
    </row>
    <row r="58" spans="1:25" x14ac:dyDescent="0.2">
      <c r="A58" s="93" t="s">
        <v>50</v>
      </c>
      <c r="B58" s="94" t="str">
        <f>IFERROR(VLOOKUP($A58,HeadJournal!$A$1:$NTR$890,COLUMN(HeadJournal!B$1),0),"")</f>
        <v>IHORD0000457374NPG</v>
      </c>
      <c r="C58" s="94" t="str">
        <f>IFERROR(VLOOKUP($A58,HeadJournal!$A$1:$NTR$890,COLUMN(HeadJournal!C$1),0),"")</f>
        <v>iHerb_MH DLE7202</v>
      </c>
      <c r="D58" s="125" t="str">
        <f>IFERROR(VLOOKUP($A58,HeadJournal!$A$1:$NTR$890,COLUMN(HeadJournal!D$1),0),"")</f>
        <v>Доставлен</v>
      </c>
      <c r="E58" s="95">
        <f>IFERROR(VLOOKUP($A58,HeadJournal!$A$1:$NTR$890,COLUMN(HeadJournal!G$1),0),"")</f>
        <v>44797</v>
      </c>
      <c r="F58" s="95" t="str">
        <f t="shared" si="3"/>
        <v>2022 08</v>
      </c>
      <c r="G58" s="96" t="s">
        <v>5</v>
      </c>
      <c r="H58" s="161" t="s">
        <v>2832</v>
      </c>
      <c r="I58" s="97" t="s">
        <v>2005</v>
      </c>
      <c r="J58" s="97" t="s">
        <v>2833</v>
      </c>
      <c r="K58" s="29">
        <v>467.99</v>
      </c>
      <c r="L58" s="29">
        <v>-70.194999999999993</v>
      </c>
      <c r="M58" s="30">
        <f>IFERROR(VLOOKUP($A58,HeadJournal!$A$1:$J$890,COLUMN(HeadJournal!I$1),0)*($K58+$L58)/(SUMIF($A:$A,$A58,$K:$K)+SUMIF($A:$A,$A58,$L:$L)),0)</f>
        <v>0</v>
      </c>
      <c r="N58" s="30">
        <f>IFERROR((VLOOKUP($A58,HeadJournal!$A$1:$K$890,COLUMN(HeadJournal!K$1),0)-VLOOKUP($A58,HeadJournal!$A$1:$K$890,COLUMN(HeadJournal!J$1),0))*($K58+$L58)/(SUMIF($A:$A,$A58,$K:$K)+SUMIF($A:$A,$A58,$L:$L)),0)</f>
        <v>10.121035283238689</v>
      </c>
      <c r="O58" s="30">
        <f>IFERROR((VLOOKUP($A58,HeadJournal!$A$1:$L$890,COLUMN(HeadJournal!L$1),0)*($K58+$L58)/(SUMIF($A:$A,$A58,$K:$K)+SUMIF($A:$A,$A58,$L:$L)))/VLOOKUP($A58,HeadJournal!$A$1:$L$890,COLUMN(HeadJournal!H$1),0),0)</f>
        <v>63.696373600419527</v>
      </c>
      <c r="P58" s="30">
        <f>IFERROR(SUM(K58:O58)*VLOOKUP($A58,HeadJournal!$A$1:$L$890,COLUMN(HeadJournal!H$1),0),0)</f>
        <v>707.4186133254874</v>
      </c>
      <c r="Q58" s="29">
        <v>1500</v>
      </c>
      <c r="R58" s="31">
        <v>44857</v>
      </c>
      <c r="S58" s="31" t="s">
        <v>3121</v>
      </c>
      <c r="T58" s="95" t="str">
        <f t="shared" si="4"/>
        <v>2022 10</v>
      </c>
      <c r="U58" s="32">
        <f t="shared" si="1"/>
        <v>792.5813866745126</v>
      </c>
      <c r="V58" s="22">
        <f t="shared" si="2"/>
        <v>1.1203852595123072</v>
      </c>
      <c r="X58" s="33"/>
      <c r="Y58" s="33"/>
    </row>
    <row r="59" spans="1:25" x14ac:dyDescent="0.2">
      <c r="A59" s="93" t="s">
        <v>50</v>
      </c>
      <c r="B59" s="94" t="str">
        <f>IFERROR(VLOOKUP($A59,HeadJournal!$A$1:$NTR$890,COLUMN(HeadJournal!B$1),0),"")</f>
        <v>IHORD0000457374NPG</v>
      </c>
      <c r="C59" s="94" t="str">
        <f>IFERROR(VLOOKUP($A59,HeadJournal!$A$1:$NTR$890,COLUMN(HeadJournal!C$1),0),"")</f>
        <v>iHerb_MH DLE7202</v>
      </c>
      <c r="D59" s="125" t="str">
        <f>IFERROR(VLOOKUP($A59,HeadJournal!$A$1:$NTR$890,COLUMN(HeadJournal!D$1),0),"")</f>
        <v>Доставлен</v>
      </c>
      <c r="E59" s="95">
        <f>IFERROR(VLOOKUP($A59,HeadJournal!$A$1:$NTR$890,COLUMN(HeadJournal!G$1),0),"")</f>
        <v>44797</v>
      </c>
      <c r="F59" s="95" t="str">
        <f t="shared" si="3"/>
        <v>2022 08</v>
      </c>
      <c r="G59" s="96" t="s">
        <v>5</v>
      </c>
      <c r="H59" s="161" t="s">
        <v>2832</v>
      </c>
      <c r="I59" s="97" t="s">
        <v>2005</v>
      </c>
      <c r="J59" s="97" t="s">
        <v>2833</v>
      </c>
      <c r="K59" s="29">
        <v>467.99</v>
      </c>
      <c r="L59" s="29">
        <v>-70.194999999999993</v>
      </c>
      <c r="M59" s="30">
        <f>IFERROR(VLOOKUP($A59,HeadJournal!$A$1:$J$890,COLUMN(HeadJournal!I$1),0)*($K59+$L59)/(SUMIF($A:$A,$A59,$K:$K)+SUMIF($A:$A,$A59,$L:$L)),0)</f>
        <v>0</v>
      </c>
      <c r="N59" s="30">
        <f>IFERROR((VLOOKUP($A59,HeadJournal!$A$1:$K$890,COLUMN(HeadJournal!K$1),0)-VLOOKUP($A59,HeadJournal!$A$1:$K$890,COLUMN(HeadJournal!J$1),0))*($K59+$L59)/(SUMIF($A:$A,$A59,$K:$K)+SUMIF($A:$A,$A59,$L:$L)),0)</f>
        <v>10.121035283238689</v>
      </c>
      <c r="O59" s="30">
        <f>IFERROR((VLOOKUP($A59,HeadJournal!$A$1:$L$890,COLUMN(HeadJournal!L$1),0)*($K59+$L59)/(SUMIF($A:$A,$A59,$K:$K)+SUMIF($A:$A,$A59,$L:$L)))/VLOOKUP($A59,HeadJournal!$A$1:$L$890,COLUMN(HeadJournal!H$1),0),0)</f>
        <v>63.696373600419527</v>
      </c>
      <c r="P59" s="30">
        <f>IFERROR(SUM(K59:O59)*VLOOKUP($A59,HeadJournal!$A$1:$L$890,COLUMN(HeadJournal!H$1),0),0)</f>
        <v>707.4186133254874</v>
      </c>
      <c r="Q59" s="29">
        <v>1500</v>
      </c>
      <c r="R59" s="31">
        <v>44863</v>
      </c>
      <c r="S59" s="31" t="s">
        <v>3121</v>
      </c>
      <c r="T59" s="95" t="str">
        <f t="shared" si="4"/>
        <v>2022 10</v>
      </c>
      <c r="U59" s="32">
        <f t="shared" si="1"/>
        <v>792.5813866745126</v>
      </c>
      <c r="V59" s="22">
        <f t="shared" si="2"/>
        <v>1.1203852595123072</v>
      </c>
      <c r="X59" s="33"/>
      <c r="Y59" s="33"/>
    </row>
    <row r="60" spans="1:25" x14ac:dyDescent="0.2">
      <c r="A60" s="93" t="s">
        <v>50</v>
      </c>
      <c r="B60" s="94" t="str">
        <f>IFERROR(VLOOKUP($A60,HeadJournal!$A$1:$NTR$890,COLUMN(HeadJournal!B$1),0),"")</f>
        <v>IHORD0000457374NPG</v>
      </c>
      <c r="C60" s="94" t="str">
        <f>IFERROR(VLOOKUP($A60,HeadJournal!$A$1:$NTR$890,COLUMN(HeadJournal!C$1),0),"")</f>
        <v>iHerb_MH DLE7202</v>
      </c>
      <c r="D60" s="125" t="str">
        <f>IFERROR(VLOOKUP($A60,HeadJournal!$A$1:$NTR$890,COLUMN(HeadJournal!D$1),0),"")</f>
        <v>Доставлен</v>
      </c>
      <c r="E60" s="95">
        <f>IFERROR(VLOOKUP($A60,HeadJournal!$A$1:$NTR$890,COLUMN(HeadJournal!G$1),0),"")</f>
        <v>44797</v>
      </c>
      <c r="F60" s="95" t="str">
        <f t="shared" si="3"/>
        <v>2022 08</v>
      </c>
      <c r="G60" s="96" t="s">
        <v>5</v>
      </c>
      <c r="H60" s="160" t="str">
        <f>RIGHT(Journal!$J60,9)</f>
        <v>NOW-04738</v>
      </c>
      <c r="I60" s="96" t="str">
        <f t="shared" si="5"/>
        <v>NOW Foods</v>
      </c>
      <c r="J60" s="97" t="s">
        <v>54</v>
      </c>
      <c r="K60" s="29">
        <v>320.47000000000003</v>
      </c>
      <c r="L60" s="29">
        <v>-48.07</v>
      </c>
      <c r="M60" s="30">
        <f>IFERROR(VLOOKUP($A60,HeadJournal!$A$1:$J$890,COLUMN(HeadJournal!I$1),0)*($K60+$L60)/(SUMIF($A:$A,$A60,$K:$K)+SUMIF($A:$A,$A60,$L:$L)),0)</f>
        <v>0</v>
      </c>
      <c r="N60" s="30">
        <f>IFERROR((VLOOKUP($A60,HeadJournal!$A$1:$K$890,COLUMN(HeadJournal!K$1),0)-VLOOKUP($A60,HeadJournal!$A$1:$K$890,COLUMN(HeadJournal!J$1),0))*($K60+$L60)/(SUMIF($A:$A,$A60,$K:$K)+SUMIF($A:$A,$A60,$L:$L)),0)</f>
        <v>6.9306301264576451</v>
      </c>
      <c r="O60" s="30">
        <f>IFERROR((VLOOKUP($A60,HeadJournal!$A$1:$L$890,COLUMN(HeadJournal!L$1),0)*($K60+$L60)/(SUMIF($A:$A,$A60,$K:$K)+SUMIF($A:$A,$A60,$L:$L)))/VLOOKUP($A60,HeadJournal!$A$1:$L$890,COLUMN(HeadJournal!H$1),0),0)</f>
        <v>43.617672843435145</v>
      </c>
      <c r="P60" s="30">
        <f>IFERROR(SUM(K60:O60)*VLOOKUP($A60,HeadJournal!$A$1:$L$890,COLUMN(HeadJournal!H$1),0),0)</f>
        <v>484.42245445483917</v>
      </c>
      <c r="Q60" s="29">
        <v>1000</v>
      </c>
      <c r="R60" s="31">
        <v>44876</v>
      </c>
      <c r="S60" s="31" t="s">
        <v>3121</v>
      </c>
      <c r="T60" s="95" t="str">
        <f t="shared" si="4"/>
        <v>2022 11</v>
      </c>
      <c r="U60" s="32">
        <f t="shared" si="1"/>
        <v>515.57754554516077</v>
      </c>
      <c r="V60" s="22">
        <f t="shared" si="2"/>
        <v>1.0643138871945625</v>
      </c>
      <c r="X60" s="33"/>
      <c r="Y60" s="33"/>
    </row>
    <row r="61" spans="1:25" x14ac:dyDescent="0.2">
      <c r="A61" s="93" t="s">
        <v>55</v>
      </c>
      <c r="B61" s="94" t="str">
        <f>IFERROR(VLOOKUP($A61,HeadJournal!$A$1:$NTR$890,COLUMN(HeadJournal!B$1),0),"")</f>
        <v>IHORD0000461294NPG</v>
      </c>
      <c r="C61" s="94" t="str">
        <f>IFERROR(VLOOKUP($A61,HeadJournal!$A$1:$NTR$890,COLUMN(HeadJournal!C$1),0),"")</f>
        <v>iHerb_OA CZN6870</v>
      </c>
      <c r="D61" s="125" t="str">
        <f>IFERROR(VLOOKUP($A61,HeadJournal!$A$1:$NTR$890,COLUMN(HeadJournal!D$1),0),"")</f>
        <v>Доставлен</v>
      </c>
      <c r="E61" s="95">
        <f>IFERROR(VLOOKUP($A61,HeadJournal!$A$1:$NTR$890,COLUMN(HeadJournal!G$1),0),"")</f>
        <v>44802</v>
      </c>
      <c r="F61" s="95" t="str">
        <f t="shared" si="3"/>
        <v>2022 08</v>
      </c>
      <c r="G61" s="96" t="s">
        <v>5</v>
      </c>
      <c r="H61" s="160" t="str">
        <f>RIGHT(Journal!$J61,9)</f>
        <v>OAD-58701</v>
      </c>
      <c r="I61" s="96" t="str">
        <f t="shared" si="5"/>
        <v>One-A-Day</v>
      </c>
      <c r="J61" s="97" t="s">
        <v>56</v>
      </c>
      <c r="K61" s="29">
        <v>524.95000000000005</v>
      </c>
      <c r="L61" s="29">
        <v>-78.78</v>
      </c>
      <c r="M61" s="30">
        <f>IFERROR(VLOOKUP($A61,HeadJournal!$A$1:$J$890,COLUMN(HeadJournal!I$1),0)*($K61+$L61)/(SUMIF($A:$A,$A61,$K:$K)+SUMIF($A:$A,$A61,$L:$L)),0)</f>
        <v>-0.44221160852048702</v>
      </c>
      <c r="N61" s="30">
        <f>IFERROR((VLOOKUP($A61,HeadJournal!$A$1:$K$890,COLUMN(HeadJournal!K$1),0)-VLOOKUP($A61,HeadJournal!$A$1:$K$890,COLUMN(HeadJournal!J$1),0))*($K61+$L61)/(SUMIF($A:$A,$A61,$K:$K)+SUMIF($A:$A,$A61,$L:$L)),0)</f>
        <v>11.333764009729121</v>
      </c>
      <c r="O61" s="30">
        <f>IFERROR((VLOOKUP($A61,HeadJournal!$A$1:$L$890,COLUMN(HeadJournal!L$1),0)*($K61+$L61)/(SUMIF($A:$A,$A61,$K:$K)+SUMIF($A:$A,$A61,$L:$L)))/VLOOKUP($A61,HeadJournal!$A$1:$L$890,COLUMN(HeadJournal!H$1),0),0)</f>
        <v>79.677767300988634</v>
      </c>
      <c r="P61" s="30">
        <f>IFERROR(SUM(K61:O61)*VLOOKUP($A61,HeadJournal!$A$1:$L$890,COLUMN(HeadJournal!H$1),0),0)</f>
        <v>805.10897955329597</v>
      </c>
      <c r="Q61" s="29">
        <v>1700</v>
      </c>
      <c r="R61" s="31">
        <v>44821</v>
      </c>
      <c r="S61" s="31" t="s">
        <v>3121</v>
      </c>
      <c r="T61" s="95" t="str">
        <f t="shared" si="4"/>
        <v>2022 09</v>
      </c>
      <c r="U61" s="32">
        <f t="shared" si="1"/>
        <v>894.89102044670403</v>
      </c>
      <c r="V61" s="22">
        <f t="shared" si="2"/>
        <v>1.1115153888150924</v>
      </c>
      <c r="X61" s="33"/>
      <c r="Y61" s="33"/>
    </row>
    <row r="62" spans="1:25" x14ac:dyDescent="0.2">
      <c r="A62" s="93" t="s">
        <v>55</v>
      </c>
      <c r="B62" s="94" t="str">
        <f>IFERROR(VLOOKUP($A62,HeadJournal!$A$1:$NTR$890,COLUMN(HeadJournal!B$1),0),"")</f>
        <v>IHORD0000461294NPG</v>
      </c>
      <c r="C62" s="94" t="str">
        <f>IFERROR(VLOOKUP($A62,HeadJournal!$A$1:$NTR$890,COLUMN(HeadJournal!C$1),0),"")</f>
        <v>iHerb_OA CZN6870</v>
      </c>
      <c r="D62" s="125" t="str">
        <f>IFERROR(VLOOKUP($A62,HeadJournal!$A$1:$NTR$890,COLUMN(HeadJournal!D$1),0),"")</f>
        <v>Доставлен</v>
      </c>
      <c r="E62" s="95">
        <f>IFERROR(VLOOKUP($A62,HeadJournal!$A$1:$NTR$890,COLUMN(HeadJournal!G$1),0),"")</f>
        <v>44802</v>
      </c>
      <c r="F62" s="95" t="str">
        <f t="shared" si="3"/>
        <v>2022 08</v>
      </c>
      <c r="G62" s="96" t="s">
        <v>5</v>
      </c>
      <c r="H62" s="160" t="str">
        <f>RIGHT(Journal!$J62,9)</f>
        <v>HBI-02027</v>
      </c>
      <c r="I62" s="96" t="str">
        <f t="shared" si="5"/>
        <v>HealthyBiom</v>
      </c>
      <c r="J62" s="97" t="s">
        <v>57</v>
      </c>
      <c r="K62" s="29">
        <v>346.79</v>
      </c>
      <c r="L62" s="29">
        <v>-52.01</v>
      </c>
      <c r="M62" s="30">
        <f>IFERROR(VLOOKUP($A62,HeadJournal!$A$1:$J$890,COLUMN(HeadJournal!I$1),0)*($K62+$L62)/(SUMIF($A:$A,$A62,$K:$K)+SUMIF($A:$A,$A62,$L:$L)),0)</f>
        <v>-0.29216473084176242</v>
      </c>
      <c r="N62" s="30">
        <f>IFERROR((VLOOKUP($A62,HeadJournal!$A$1:$K$890,COLUMN(HeadJournal!K$1),0)-VLOOKUP($A62,HeadJournal!$A$1:$K$890,COLUMN(HeadJournal!J$1),0))*($K62+$L62)/(SUMIF($A:$A,$A62,$K:$K)+SUMIF($A:$A,$A62,$L:$L)),0)</f>
        <v>7.488103088033597</v>
      </c>
      <c r="O62" s="30">
        <f>IFERROR((VLOOKUP($A62,HeadJournal!$A$1:$L$890,COLUMN(HeadJournal!L$1),0)*($K62+$L62)/(SUMIF($A:$A,$A62,$K:$K)+SUMIF($A:$A,$A62,$L:$L)))/VLOOKUP($A62,HeadJournal!$A$1:$L$890,COLUMN(HeadJournal!H$1),0),0)</f>
        <v>52.642293845362609</v>
      </c>
      <c r="P62" s="30">
        <f>IFERROR(SUM(K62:O62)*VLOOKUP($A62,HeadJournal!$A$1:$L$890,COLUMN(HeadJournal!H$1),0),0)</f>
        <v>531.92734830383165</v>
      </c>
      <c r="Q62" s="29">
        <v>1000</v>
      </c>
      <c r="R62" s="31">
        <v>44842</v>
      </c>
      <c r="S62" s="31" t="s">
        <v>3121</v>
      </c>
      <c r="T62" s="95" t="str">
        <f t="shared" si="4"/>
        <v>2022 10</v>
      </c>
      <c r="U62" s="32">
        <f t="shared" si="1"/>
        <v>468.07265169616835</v>
      </c>
      <c r="V62" s="22">
        <f t="shared" si="2"/>
        <v>0.87995598118562968</v>
      </c>
      <c r="X62" s="33"/>
      <c r="Y62" s="33"/>
    </row>
    <row r="63" spans="1:25" x14ac:dyDescent="0.2">
      <c r="A63" s="93" t="s">
        <v>55</v>
      </c>
      <c r="B63" s="94" t="str">
        <f>IFERROR(VLOOKUP($A63,HeadJournal!$A$1:$NTR$890,COLUMN(HeadJournal!B$1),0),"")</f>
        <v>IHORD0000461294NPG</v>
      </c>
      <c r="C63" s="94" t="str">
        <f>IFERROR(VLOOKUP($A63,HeadJournal!$A$1:$NTR$890,COLUMN(HeadJournal!C$1),0),"")</f>
        <v>iHerb_OA CZN6870</v>
      </c>
      <c r="D63" s="125" t="str">
        <f>IFERROR(VLOOKUP($A63,HeadJournal!$A$1:$NTR$890,COLUMN(HeadJournal!D$1),0),"")</f>
        <v>Доставлен</v>
      </c>
      <c r="E63" s="95">
        <f>IFERROR(VLOOKUP($A63,HeadJournal!$A$1:$NTR$890,COLUMN(HeadJournal!G$1),0),"")</f>
        <v>44802</v>
      </c>
      <c r="F63" s="95" t="str">
        <f t="shared" si="3"/>
        <v>2022 08</v>
      </c>
      <c r="G63" s="96" t="s">
        <v>5</v>
      </c>
      <c r="H63" s="160" t="str">
        <f>RIGHT(Journal!$J63,9)</f>
        <v>SOL-00102</v>
      </c>
      <c r="I63" s="96" t="str">
        <f t="shared" si="5"/>
        <v>Solgar</v>
      </c>
      <c r="J63" s="97" t="s">
        <v>58</v>
      </c>
      <c r="K63" s="29">
        <v>913.54</v>
      </c>
      <c r="L63" s="29"/>
      <c r="M63" s="30">
        <f>IFERROR(VLOOKUP($A63,HeadJournal!$A$1:$J$890,COLUMN(HeadJournal!I$1),0)*($K63+$L63)/(SUMIF($A:$A,$A63,$K:$K)+SUMIF($A:$A,$A63,$L:$L)),0)</f>
        <v>-0.90543513200754333</v>
      </c>
      <c r="N63" s="30">
        <f>IFERROR((VLOOKUP($A63,HeadJournal!$A$1:$K$890,COLUMN(HeadJournal!K$1),0)-VLOOKUP($A63,HeadJournal!$A$1:$K$890,COLUMN(HeadJournal!J$1),0))*($K63+$L63)/(SUMIF($A:$A,$A63,$K:$K)+SUMIF($A:$A,$A63,$L:$L)),0)</f>
        <v>23.206057721155478</v>
      </c>
      <c r="O63" s="30">
        <f>IFERROR((VLOOKUP($A63,HeadJournal!$A$1:$L$890,COLUMN(HeadJournal!L$1),0)*($K63+$L63)/(SUMIF($A:$A,$A63,$K:$K)+SUMIF($A:$A,$A63,$L:$L)))/VLOOKUP($A63,HeadJournal!$A$1:$L$890,COLUMN(HeadJournal!H$1),0),0)</f>
        <v>163.14146522658439</v>
      </c>
      <c r="P63" s="30">
        <f>IFERROR(SUM(K63:O63)*VLOOKUP($A63,HeadJournal!$A$1:$L$890,COLUMN(HeadJournal!H$1),0),0)</f>
        <v>1648.4731317235983</v>
      </c>
      <c r="Q63" s="29">
        <v>2800</v>
      </c>
      <c r="R63" s="31">
        <v>44821</v>
      </c>
      <c r="S63" s="31" t="s">
        <v>3121</v>
      </c>
      <c r="T63" s="95" t="str">
        <f t="shared" si="4"/>
        <v>2022 09</v>
      </c>
      <c r="U63" s="32">
        <f t="shared" si="1"/>
        <v>1151.5268682764017</v>
      </c>
      <c r="V63" s="22">
        <f t="shared" si="2"/>
        <v>0.69854148430820762</v>
      </c>
      <c r="X63" s="33"/>
      <c r="Y63" s="33"/>
    </row>
    <row r="64" spans="1:25" x14ac:dyDescent="0.2">
      <c r="A64" s="93" t="s">
        <v>55</v>
      </c>
      <c r="B64" s="94" t="str">
        <f>IFERROR(VLOOKUP($A64,HeadJournal!$A$1:$NTR$890,COLUMN(HeadJournal!B$1),0),"")</f>
        <v>IHORD0000461294NPG</v>
      </c>
      <c r="C64" s="94" t="str">
        <f>IFERROR(VLOOKUP($A64,HeadJournal!$A$1:$NTR$890,COLUMN(HeadJournal!C$1),0),"")</f>
        <v>iHerb_OA CZN6870</v>
      </c>
      <c r="D64" s="125" t="str">
        <f>IFERROR(VLOOKUP($A64,HeadJournal!$A$1:$NTR$890,COLUMN(HeadJournal!D$1),0),"")</f>
        <v>Доставлен</v>
      </c>
      <c r="E64" s="95">
        <f>IFERROR(VLOOKUP($A64,HeadJournal!$A$1:$NTR$890,COLUMN(HeadJournal!G$1),0),"")</f>
        <v>44802</v>
      </c>
      <c r="F64" s="95" t="str">
        <f t="shared" si="3"/>
        <v>2022 08</v>
      </c>
      <c r="G64" s="96" t="s">
        <v>5</v>
      </c>
      <c r="H64" s="161" t="s">
        <v>2430</v>
      </c>
      <c r="I64" s="97" t="s">
        <v>2221</v>
      </c>
      <c r="J64" s="97" t="s">
        <v>4197</v>
      </c>
      <c r="K64" s="29">
        <v>249.02</v>
      </c>
      <c r="L64" s="29">
        <v>-37.35</v>
      </c>
      <c r="M64" s="30">
        <f>IFERROR(VLOOKUP($A64,HeadJournal!$A$1:$J$890,COLUMN(HeadJournal!I$1),0)*($K64+$L64)/(SUMIF($A:$A,$A64,$K:$K)+SUMIF($A:$A,$A64,$L:$L)),0)</f>
        <v>-0.20979207740442313</v>
      </c>
      <c r="N64" s="30">
        <f>IFERROR((VLOOKUP($A64,HeadJournal!$A$1:$K$890,COLUMN(HeadJournal!K$1),0)-VLOOKUP($A64,HeadJournal!$A$1:$K$890,COLUMN(HeadJournal!J$1),0))*($K64+$L64)/(SUMIF($A:$A,$A64,$K:$K)+SUMIF($A:$A,$A64,$L:$L)),0)</f>
        <v>5.3769142433139008</v>
      </c>
      <c r="O64" s="30">
        <f>IFERROR((VLOOKUP($A64,HeadJournal!$A$1:$L$890,COLUMN(HeadJournal!L$1),0)*($K64+$L64)/(SUMIF($A:$A,$A64,$K:$K)+SUMIF($A:$A,$A64,$L:$L)))/VLOOKUP($A64,HeadJournal!$A$1:$L$890,COLUMN(HeadJournal!H$1),0),0)</f>
        <v>37.800374307103269</v>
      </c>
      <c r="P64" s="30">
        <f>IFERROR(SUM(K64:O64)*VLOOKUP($A64,HeadJournal!$A$1:$L$890,COLUMN(HeadJournal!H$1),0),0)</f>
        <v>381.95624470951918</v>
      </c>
      <c r="Q64" s="29">
        <v>900</v>
      </c>
      <c r="R64" s="31">
        <v>44821</v>
      </c>
      <c r="S64" s="31" t="s">
        <v>3121</v>
      </c>
      <c r="T64" s="95" t="str">
        <f t="shared" si="4"/>
        <v>2022 09</v>
      </c>
      <c r="U64" s="32">
        <f t="shared" si="1"/>
        <v>518.04375529048082</v>
      </c>
      <c r="V64" s="22">
        <f t="shared" si="2"/>
        <v>1.3562908381939331</v>
      </c>
      <c r="X64" s="33"/>
      <c r="Y64" s="33"/>
    </row>
    <row r="65" spans="1:25" x14ac:dyDescent="0.2">
      <c r="A65" s="93" t="s">
        <v>55</v>
      </c>
      <c r="B65" s="94" t="str">
        <f>IFERROR(VLOOKUP($A65,HeadJournal!$A$1:$NTR$890,COLUMN(HeadJournal!B$1),0),"")</f>
        <v>IHORD0000461294NPG</v>
      </c>
      <c r="C65" s="94" t="str">
        <f>IFERROR(VLOOKUP($A65,HeadJournal!$A$1:$NTR$890,COLUMN(HeadJournal!C$1),0),"")</f>
        <v>iHerb_OA CZN6870</v>
      </c>
      <c r="D65" s="125" t="str">
        <f>IFERROR(VLOOKUP($A65,HeadJournal!$A$1:$NTR$890,COLUMN(HeadJournal!D$1),0),"")</f>
        <v>Доставлен</v>
      </c>
      <c r="E65" s="95">
        <f>IFERROR(VLOOKUP($A65,HeadJournal!$A$1:$NTR$890,COLUMN(HeadJournal!G$1),0),"")</f>
        <v>44802</v>
      </c>
      <c r="F65" s="95" t="str">
        <f t="shared" si="3"/>
        <v>2022 08</v>
      </c>
      <c r="G65" s="96" t="s">
        <v>5</v>
      </c>
      <c r="H65" s="160" t="str">
        <f>RIGHT(Journal!$J65,9)</f>
        <v>NOW-01294</v>
      </c>
      <c r="I65" s="96" t="str">
        <f t="shared" si="5"/>
        <v>NOW Foods</v>
      </c>
      <c r="J65" s="97" t="s">
        <v>59</v>
      </c>
      <c r="K65" s="29">
        <v>456.73</v>
      </c>
      <c r="L65" s="29">
        <v>-68.5</v>
      </c>
      <c r="M65" s="30">
        <f>IFERROR(VLOOKUP($A65,HeadJournal!$A$1:$J$890,COLUMN(HeadJournal!I$1),0)*($K65+$L65)/(SUMIF($A:$A,$A65,$K:$K)+SUMIF($A:$A,$A65,$L:$L)),0)</f>
        <v>-0.38478564846562668</v>
      </c>
      <c r="N65" s="30">
        <f>IFERROR((VLOOKUP($A65,HeadJournal!$A$1:$K$890,COLUMN(HeadJournal!K$1),0)-VLOOKUP($A65,HeadJournal!$A$1:$K$890,COLUMN(HeadJournal!J$1),0))*($K65+$L65)/(SUMIF($A:$A,$A65,$K:$K)+SUMIF($A:$A,$A65,$L:$L)),0)</f>
        <v>9.8619521740527976</v>
      </c>
      <c r="O65" s="30">
        <f>IFERROR((VLOOKUP($A65,HeadJournal!$A$1:$L$890,COLUMN(HeadJournal!L$1),0)*($K65+$L65)/(SUMIF($A:$A,$A65,$K:$K)+SUMIF($A:$A,$A65,$L:$L)))/VLOOKUP($A65,HeadJournal!$A$1:$L$890,COLUMN(HeadJournal!H$1),0),0)</f>
        <v>69.330747471284084</v>
      </c>
      <c r="P65" s="30">
        <f>IFERROR(SUM(K65:O65)*VLOOKUP($A65,HeadJournal!$A$1:$L$890,COLUMN(HeadJournal!H$1),0),0)</f>
        <v>700.55687099530689</v>
      </c>
      <c r="Q65" s="29">
        <v>1350</v>
      </c>
      <c r="R65" s="31">
        <v>44821</v>
      </c>
      <c r="S65" s="31" t="s">
        <v>3121</v>
      </c>
      <c r="T65" s="95" t="str">
        <f t="shared" si="4"/>
        <v>2022 09</v>
      </c>
      <c r="U65" s="32">
        <f t="shared" si="1"/>
        <v>649.44312900469311</v>
      </c>
      <c r="V65" s="22">
        <f t="shared" si="2"/>
        <v>0.92703841171667534</v>
      </c>
      <c r="X65" s="33"/>
      <c r="Y65" s="33"/>
    </row>
    <row r="66" spans="1:25" x14ac:dyDescent="0.2">
      <c r="A66" s="93" t="s">
        <v>55</v>
      </c>
      <c r="B66" s="94" t="str">
        <f>IFERROR(VLOOKUP($A66,HeadJournal!$A$1:$NTR$890,COLUMN(HeadJournal!B$1),0),"")</f>
        <v>IHORD0000461294NPG</v>
      </c>
      <c r="C66" s="94" t="str">
        <f>IFERROR(VLOOKUP($A66,HeadJournal!$A$1:$NTR$890,COLUMN(HeadJournal!C$1),0),"")</f>
        <v>iHerb_OA CZN6870</v>
      </c>
      <c r="D66" s="125" t="str">
        <f>IFERROR(VLOOKUP($A66,HeadJournal!$A$1:$NTR$890,COLUMN(HeadJournal!D$1),0),"")</f>
        <v>Доставлен</v>
      </c>
      <c r="E66" s="95">
        <f>IFERROR(VLOOKUP($A66,HeadJournal!$A$1:$NTR$890,COLUMN(HeadJournal!G$1),0),"")</f>
        <v>44802</v>
      </c>
      <c r="F66" s="95" t="str">
        <f t="shared" si="3"/>
        <v>2022 08</v>
      </c>
      <c r="G66" s="96" t="s">
        <v>5</v>
      </c>
      <c r="H66" s="160" t="str">
        <f>RIGHT(Journal!$J66,9)</f>
        <v>JRW-13008</v>
      </c>
      <c r="I66" s="96" t="str">
        <f t="shared" si="5"/>
        <v>Jarrow Formulas</v>
      </c>
      <c r="J66" s="97" t="s">
        <v>60</v>
      </c>
      <c r="K66" s="29">
        <v>373.56</v>
      </c>
      <c r="L66" s="29">
        <v>-56.03</v>
      </c>
      <c r="M66" s="30">
        <f>IFERROR(VLOOKUP($A66,HeadJournal!$A$1:$J$890,COLUMN(HeadJournal!I$1),0)*($K66+$L66)/(SUMIF($A:$A,$A66,$K:$K)+SUMIF($A:$A,$A66,$L:$L)),0)</f>
        <v>-0.31471289430824617</v>
      </c>
      <c r="N66" s="30">
        <f>IFERROR((VLOOKUP($A66,HeadJournal!$A$1:$K$890,COLUMN(HeadJournal!K$1),0)-VLOOKUP($A66,HeadJournal!$A$1:$K$890,COLUMN(HeadJournal!J$1),0))*($K66+$L66)/(SUMIF($A:$A,$A66,$K:$K)+SUMIF($A:$A,$A66,$L:$L)),0)</f>
        <v>8.0660064235813405</v>
      </c>
      <c r="O66" s="30">
        <f>IFERROR((VLOOKUP($A66,HeadJournal!$A$1:$L$890,COLUMN(HeadJournal!L$1),0)*($K66+$L66)/(SUMIF($A:$A,$A66,$K:$K)+SUMIF($A:$A,$A66,$L:$L)))/VLOOKUP($A66,HeadJournal!$A$1:$L$890,COLUMN(HeadJournal!H$1),0),0)</f>
        <v>56.705026001485805</v>
      </c>
      <c r="P66" s="30">
        <f>IFERROR(SUM(K66:O66)*VLOOKUP($A66,HeadJournal!$A$1:$L$890,COLUMN(HeadJournal!H$1),0),0)</f>
        <v>572.97947929613827</v>
      </c>
      <c r="Q66" s="29">
        <v>1050</v>
      </c>
      <c r="R66" s="31">
        <v>44821</v>
      </c>
      <c r="S66" s="31" t="s">
        <v>3121</v>
      </c>
      <c r="T66" s="95" t="str">
        <f t="shared" si="4"/>
        <v>2022 09</v>
      </c>
      <c r="U66" s="32">
        <f t="shared" si="1"/>
        <v>477.02052070386173</v>
      </c>
      <c r="V66" s="22">
        <f t="shared" si="2"/>
        <v>0.83252636078668152</v>
      </c>
      <c r="X66" s="33"/>
      <c r="Y66" s="33"/>
    </row>
    <row r="67" spans="1:25" x14ac:dyDescent="0.2">
      <c r="A67" s="93" t="s">
        <v>55</v>
      </c>
      <c r="B67" s="94" t="str">
        <f>IFERROR(VLOOKUP($A67,HeadJournal!$A$1:$NTR$890,COLUMN(HeadJournal!B$1),0),"")</f>
        <v>IHORD0000461294NPG</v>
      </c>
      <c r="C67" s="94" t="str">
        <f>IFERROR(VLOOKUP($A67,HeadJournal!$A$1:$NTR$890,COLUMN(HeadJournal!C$1),0),"")</f>
        <v>iHerb_OA CZN6870</v>
      </c>
      <c r="D67" s="125" t="str">
        <f>IFERROR(VLOOKUP($A67,HeadJournal!$A$1:$NTR$890,COLUMN(HeadJournal!D$1),0),"")</f>
        <v>Доставлен</v>
      </c>
      <c r="E67" s="95">
        <f>IFERROR(VLOOKUP($A67,HeadJournal!$A$1:$NTR$890,COLUMN(HeadJournal!G$1),0),"")</f>
        <v>44802</v>
      </c>
      <c r="F67" s="95" t="str">
        <f t="shared" si="3"/>
        <v>2022 08</v>
      </c>
      <c r="G67" s="96" t="s">
        <v>5</v>
      </c>
      <c r="H67" s="160" t="str">
        <f>RIGHT(Journal!$J67,9)</f>
        <v>AMH-16971</v>
      </c>
      <c r="I67" s="96" t="str">
        <f t="shared" ref="I67:I127" si="6">IFERROR(LEFT(J67,FIND(",",J67)-1),"")</f>
        <v>American Health</v>
      </c>
      <c r="J67" s="97" t="s">
        <v>61</v>
      </c>
      <c r="K67" s="29">
        <v>362.19</v>
      </c>
      <c r="L67" s="29">
        <v>-54.32</v>
      </c>
      <c r="M67" s="30">
        <f>IFERROR(VLOOKUP($A67,HeadJournal!$A$1:$J$890,COLUMN(HeadJournal!I$1),0)*($K67+$L67)/(SUMIF($A:$A,$A67,$K:$K)+SUMIF($A:$A,$A67,$L:$L)),0)</f>
        <v>-0.30513859720555464</v>
      </c>
      <c r="N67" s="30">
        <f>IFERROR((VLOOKUP($A67,HeadJournal!$A$1:$K$890,COLUMN(HeadJournal!K$1),0)-VLOOKUP($A67,HeadJournal!$A$1:$K$890,COLUMN(HeadJournal!J$1),0))*($K67+$L67)/(SUMIF($A:$A,$A67,$K:$K)+SUMIF($A:$A,$A67,$L:$L)),0)</f>
        <v>7.8206197764872218</v>
      </c>
      <c r="O67" s="30">
        <f>IFERROR((VLOOKUP($A67,HeadJournal!$A$1:$L$890,COLUMN(HeadJournal!L$1),0)*($K67+$L67)/(SUMIF($A:$A,$A67,$K:$K)+SUMIF($A:$A,$A67,$L:$L)))/VLOOKUP($A67,HeadJournal!$A$1:$L$890,COLUMN(HeadJournal!H$1),0),0)</f>
        <v>54.979927424424254</v>
      </c>
      <c r="P67" s="30">
        <f>IFERROR(SUM(K67:O67)*VLOOKUP($A67,HeadJournal!$A$1:$L$890,COLUMN(HeadJournal!H$1),0),0)</f>
        <v>555.54811290555892</v>
      </c>
      <c r="Q67" s="29">
        <v>1050</v>
      </c>
      <c r="R67" s="31">
        <v>44821</v>
      </c>
      <c r="S67" s="31" t="s">
        <v>3121</v>
      </c>
      <c r="T67" s="95" t="str">
        <f t="shared" si="4"/>
        <v>2022 09</v>
      </c>
      <c r="U67" s="32">
        <f t="shared" ref="U67:U130" si="7">Q67-P67</f>
        <v>494.45188709444108</v>
      </c>
      <c r="V67" s="22">
        <f t="shared" ref="V67:V130" si="8">IF(Q67&lt;&gt;0,IFERROR(U67/P67,""),"")</f>
        <v>0.89002532023449787</v>
      </c>
      <c r="X67" s="33"/>
      <c r="Y67" s="33"/>
    </row>
    <row r="68" spans="1:25" x14ac:dyDescent="0.2">
      <c r="A68" s="93" t="s">
        <v>55</v>
      </c>
      <c r="B68" s="94" t="str">
        <f>IFERROR(VLOOKUP($A68,HeadJournal!$A$1:$NTR$890,COLUMN(HeadJournal!B$1),0),"")</f>
        <v>IHORD0000461294NPG</v>
      </c>
      <c r="C68" s="94" t="str">
        <f>IFERROR(VLOOKUP($A68,HeadJournal!$A$1:$NTR$890,COLUMN(HeadJournal!C$1),0),"")</f>
        <v>iHerb_OA CZN6870</v>
      </c>
      <c r="D68" s="125" t="str">
        <f>IFERROR(VLOOKUP($A68,HeadJournal!$A$1:$NTR$890,COLUMN(HeadJournal!D$1),0),"")</f>
        <v>Доставлен</v>
      </c>
      <c r="E68" s="95">
        <f>IFERROR(VLOOKUP($A68,HeadJournal!$A$1:$NTR$890,COLUMN(HeadJournal!G$1),0),"")</f>
        <v>44802</v>
      </c>
      <c r="F68" s="95" t="str">
        <f t="shared" ref="F68:F131" si="9">IFERROR(TEXT(E68, "ГГГГ ММ"),"")</f>
        <v>2022 08</v>
      </c>
      <c r="G68" s="96" t="s">
        <v>5</v>
      </c>
      <c r="H68" s="160" t="str">
        <f>RIGHT(Journal!$J68,9)</f>
        <v>NFS-03549</v>
      </c>
      <c r="I68" s="96" t="str">
        <f t="shared" si="6"/>
        <v>Natural Factors</v>
      </c>
      <c r="J68" s="97" t="s">
        <v>62</v>
      </c>
      <c r="K68" s="29">
        <v>572.36</v>
      </c>
      <c r="L68" s="29">
        <v>-85.85</v>
      </c>
      <c r="M68" s="30">
        <f>IFERROR(VLOOKUP($A68,HeadJournal!$A$1:$J$890,COLUMN(HeadJournal!I$1),0)*($K68+$L68)/(SUMIF($A:$A,$A68,$K:$K)+SUMIF($A:$A,$A68,$L:$L)),0)</f>
        <v>-0.48219371464083666</v>
      </c>
      <c r="N68" s="30">
        <f>IFERROR((VLOOKUP($A68,HeadJournal!$A$1:$K$890,COLUMN(HeadJournal!K$1),0)-VLOOKUP($A68,HeadJournal!$A$1:$K$890,COLUMN(HeadJournal!J$1),0))*($K68+$L68)/(SUMIF($A:$A,$A68,$K:$K)+SUMIF($A:$A,$A68,$L:$L)),0)</f>
        <v>12.358494583619056</v>
      </c>
      <c r="O68" s="30">
        <f>IFERROR((VLOOKUP($A68,HeadJournal!$A$1:$L$890,COLUMN(HeadJournal!L$1),0)*($K68+$L68)/(SUMIF($A:$A,$A68,$K:$K)+SUMIF($A:$A,$A68,$L:$L)))/VLOOKUP($A68,HeadJournal!$A$1:$L$890,COLUMN(HeadJournal!H$1),0),0)</f>
        <v>86.881750385736325</v>
      </c>
      <c r="P68" s="30">
        <f>IFERROR(SUM(K68:O68)*VLOOKUP($A68,HeadJournal!$A$1:$L$890,COLUMN(HeadJournal!H$1),0),0)</f>
        <v>877.9020768820717</v>
      </c>
      <c r="Q68" s="29">
        <v>1650</v>
      </c>
      <c r="R68" s="31">
        <v>44821</v>
      </c>
      <c r="S68" s="31" t="s">
        <v>3121</v>
      </c>
      <c r="T68" s="95" t="str">
        <f t="shared" ref="T68:T131" si="10">IF(R68="","",TEXT(R68,"ГГГГ ММ"))</f>
        <v>2022 09</v>
      </c>
      <c r="U68" s="32">
        <f t="shared" si="7"/>
        <v>772.0979231179283</v>
      </c>
      <c r="V68" s="22">
        <f t="shared" si="8"/>
        <v>0.87948068862086082</v>
      </c>
      <c r="X68" s="33"/>
      <c r="Y68" s="33"/>
    </row>
    <row r="69" spans="1:25" x14ac:dyDescent="0.2">
      <c r="A69" s="93" t="s">
        <v>55</v>
      </c>
      <c r="B69" s="94" t="str">
        <f>IFERROR(VLOOKUP($A69,HeadJournal!$A$1:$NTR$890,COLUMN(HeadJournal!B$1),0),"")</f>
        <v>IHORD0000461294NPG</v>
      </c>
      <c r="C69" s="94" t="str">
        <f>IFERROR(VLOOKUP($A69,HeadJournal!$A$1:$NTR$890,COLUMN(HeadJournal!C$1),0),"")</f>
        <v>iHerb_OA CZN6870</v>
      </c>
      <c r="D69" s="125" t="str">
        <f>IFERROR(VLOOKUP($A69,HeadJournal!$A$1:$NTR$890,COLUMN(HeadJournal!D$1),0),"")</f>
        <v>Доставлен</v>
      </c>
      <c r="E69" s="95">
        <f>IFERROR(VLOOKUP($A69,HeadJournal!$A$1:$NTR$890,COLUMN(HeadJournal!G$1),0),"")</f>
        <v>44802</v>
      </c>
      <c r="F69" s="95" t="str">
        <f t="shared" si="9"/>
        <v>2022 08</v>
      </c>
      <c r="G69" s="96" t="s">
        <v>5</v>
      </c>
      <c r="H69" s="160" t="str">
        <f>RIGHT(Journal!$J69,9)</f>
        <v>CGN-01066</v>
      </c>
      <c r="I69" s="96" t="str">
        <f t="shared" si="6"/>
        <v>California Gold Nutrition</v>
      </c>
      <c r="J69" s="97" t="s">
        <v>38</v>
      </c>
      <c r="K69" s="29">
        <v>524.03</v>
      </c>
      <c r="L69" s="29">
        <v>-157.21</v>
      </c>
      <c r="M69" s="30">
        <f>IFERROR(VLOOKUP($A69,HeadJournal!$A$1:$J$890,COLUMN(HeadJournal!I$1),0)*($K69+$L69)/(SUMIF($A:$A,$A69,$K:$K)+SUMIF($A:$A,$A69,$L:$L)),0)</f>
        <v>-0.36356559660552029</v>
      </c>
      <c r="N69" s="30">
        <f>IFERROR((VLOOKUP($A69,HeadJournal!$A$1:$K$890,COLUMN(HeadJournal!K$1),0)-VLOOKUP($A69,HeadJournal!$A$1:$K$890,COLUMN(HeadJournal!J$1),0))*($K69+$L69)/(SUMIF($A:$A,$A69,$K:$K)+SUMIF($A:$A,$A69,$L:$L)),0)</f>
        <v>9.3180879800274212</v>
      </c>
      <c r="O69" s="30">
        <f>IFERROR((VLOOKUP($A69,HeadJournal!$A$1:$L$890,COLUMN(HeadJournal!L$1),0)*($K69+$L69)/(SUMIF($A:$A,$A69,$K:$K)+SUMIF($A:$A,$A69,$L:$L)))/VLOOKUP($A69,HeadJournal!$A$1:$L$890,COLUMN(HeadJournal!H$1),0),0)</f>
        <v>65.507314703697347</v>
      </c>
      <c r="P69" s="30">
        <f>IFERROR(SUM(K69:O69)*VLOOKUP($A69,HeadJournal!$A$1:$L$890,COLUMN(HeadJournal!H$1),0),0)</f>
        <v>661.92275563067892</v>
      </c>
      <c r="Q69" s="29">
        <v>1500</v>
      </c>
      <c r="R69" s="31">
        <v>44821</v>
      </c>
      <c r="S69" s="31" t="s">
        <v>3121</v>
      </c>
      <c r="T69" s="95" t="str">
        <f t="shared" si="10"/>
        <v>2022 09</v>
      </c>
      <c r="U69" s="32">
        <f t="shared" si="7"/>
        <v>838.07724436932108</v>
      </c>
      <c r="V69" s="22">
        <f t="shared" si="8"/>
        <v>1.2661254462702412</v>
      </c>
      <c r="X69" s="33"/>
      <c r="Y69" s="33"/>
    </row>
    <row r="70" spans="1:25" x14ac:dyDescent="0.2">
      <c r="A70" s="93" t="s">
        <v>63</v>
      </c>
      <c r="B70" s="94" t="str">
        <f>IFERROR(VLOOKUP($A70,HeadJournal!$A$1:$NTR$890,COLUMN(HeadJournal!B$1),0),"")</f>
        <v>IHORD0000480207NPG</v>
      </c>
      <c r="C70" s="94" t="str">
        <f>IFERROR(VLOOKUP($A70,HeadJournal!$A$1:$NTR$890,COLUMN(HeadJournal!C$1),0),"")</f>
        <v>iHerb_OA CZN6870</v>
      </c>
      <c r="D70" s="125" t="str">
        <f>IFERROR(VLOOKUP($A70,HeadJournal!$A$1:$NTR$890,COLUMN(HeadJournal!D$1),0),"")</f>
        <v>Жанна</v>
      </c>
      <c r="E70" s="95">
        <f>IFERROR(VLOOKUP($A70,HeadJournal!$A$1:$NTR$890,COLUMN(HeadJournal!G$1),0),"")</f>
        <v>44814</v>
      </c>
      <c r="F70" s="95" t="str">
        <f t="shared" si="9"/>
        <v>2022 09</v>
      </c>
      <c r="G70" s="96" t="s">
        <v>5</v>
      </c>
      <c r="H70" s="160" t="str">
        <f>RIGHT(Journal!$J70,9)</f>
        <v>CGN-01274</v>
      </c>
      <c r="I70" s="96" t="str">
        <f t="shared" si="6"/>
        <v>California Gold Nutrition</v>
      </c>
      <c r="J70" s="97" t="s">
        <v>64</v>
      </c>
      <c r="K70" s="29">
        <v>1078.8900000000001</v>
      </c>
      <c r="L70" s="29">
        <v>-280.51</v>
      </c>
      <c r="M70" s="30">
        <f>IFERROR(VLOOKUP($A70,HeadJournal!$A$1:$J$890,COLUMN(HeadJournal!I$1),0)*($K70+$L70)/(SUMIF($A:$A,$A70,$K:$K)+SUMIF($A:$A,$A70,$L:$L)),0)</f>
        <v>-1.7651769655032303</v>
      </c>
      <c r="N70" s="30">
        <f>IFERROR((VLOOKUP($A70,HeadJournal!$A$1:$K$890,COLUMN(HeadJournal!K$1),0)-VLOOKUP($A70,HeadJournal!$A$1:$K$890,COLUMN(HeadJournal!J$1),0))*($K70+$L70)/(SUMIF($A:$A,$A70,$K:$K)+SUMIF($A:$A,$A70,$L:$L)),0)</f>
        <v>20.256598366288433</v>
      </c>
      <c r="O70" s="30">
        <f>IFERROR((VLOOKUP($A70,HeadJournal!$A$1:$L$890,COLUMN(HeadJournal!L$1),0)*($K70+$L70)/(SUMIF($A:$A,$A70,$K:$K)+SUMIF($A:$A,$A70,$L:$L)))/VLOOKUP($A70,HeadJournal!$A$1:$L$890,COLUMN(HeadJournal!H$1),0),0)</f>
        <v>66.790479775797891</v>
      </c>
      <c r="P70" s="30">
        <f>IFERROR(SUM(K70:O70)*VLOOKUP($A70,HeadJournal!$A$1:$L$890,COLUMN(HeadJournal!H$1),0),0)</f>
        <v>1104.577376470729</v>
      </c>
      <c r="Q70" s="29">
        <v>5000</v>
      </c>
      <c r="R70" s="31">
        <v>45535</v>
      </c>
      <c r="S70" s="31" t="s">
        <v>3121</v>
      </c>
      <c r="T70" s="95" t="str">
        <f t="shared" si="10"/>
        <v>2024 08</v>
      </c>
      <c r="U70" s="32">
        <f t="shared" si="7"/>
        <v>3895.4226235292708</v>
      </c>
      <c r="V70" s="22">
        <f t="shared" si="8"/>
        <v>3.5266181496272013</v>
      </c>
    </row>
    <row r="71" spans="1:25" x14ac:dyDescent="0.2">
      <c r="A71" s="93" t="s">
        <v>63</v>
      </c>
      <c r="B71" s="94" t="str">
        <f>IFERROR(VLOOKUP($A71,HeadJournal!$A$1:$NTR$890,COLUMN(HeadJournal!B$1),0),"")</f>
        <v>IHORD0000480207NPG</v>
      </c>
      <c r="C71" s="94" t="str">
        <f>IFERROR(VLOOKUP($A71,HeadJournal!$A$1:$NTR$890,COLUMN(HeadJournal!C$1),0),"")</f>
        <v>iHerb_OA CZN6870</v>
      </c>
      <c r="D71" s="125" t="str">
        <f>IFERROR(VLOOKUP($A71,HeadJournal!$A$1:$NTR$890,COLUMN(HeadJournal!D$1),0),"")</f>
        <v>Жанна</v>
      </c>
      <c r="E71" s="95">
        <f>IFERROR(VLOOKUP($A71,HeadJournal!$A$1:$NTR$890,COLUMN(HeadJournal!G$1),0),"")</f>
        <v>44814</v>
      </c>
      <c r="F71" s="95" t="str">
        <f t="shared" si="9"/>
        <v>2022 09</v>
      </c>
      <c r="G71" s="96" t="s">
        <v>5</v>
      </c>
      <c r="H71" s="161" t="s">
        <v>2024</v>
      </c>
      <c r="I71" s="97" t="s">
        <v>2005</v>
      </c>
      <c r="J71" s="97" t="s">
        <v>4140</v>
      </c>
      <c r="K71" s="29">
        <v>571.6</v>
      </c>
      <c r="L71" s="29">
        <v>-148.61666666666667</v>
      </c>
      <c r="M71" s="30">
        <f>IFERROR(VLOOKUP($A71,HeadJournal!$A$1:$J$890,COLUMN(HeadJournal!I$1),0)*($K71+$L71)/(SUMIF($A:$A,$A71,$K:$K)+SUMIF($A:$A,$A71,$L:$L)),0)</f>
        <v>-0.93519431447653312</v>
      </c>
      <c r="N71" s="30">
        <f>IFERROR((VLOOKUP($A71,HeadJournal!$A$1:$K$890,COLUMN(HeadJournal!K$1),0)-VLOOKUP($A71,HeadJournal!$A$1:$K$890,COLUMN(HeadJournal!J$1),0))*($K71+$L71)/(SUMIF($A:$A,$A71,$K:$K)+SUMIF($A:$A,$A71,$L:$L)),0)</f>
        <v>10.731986646668549</v>
      </c>
      <c r="O71" s="30">
        <f>IFERROR((VLOOKUP($A71,HeadJournal!$A$1:$L$890,COLUMN(HeadJournal!L$1),0)*($K71+$L71)/(SUMIF($A:$A,$A71,$K:$K)+SUMIF($A:$A,$A71,$L:$L)))/VLOOKUP($A71,HeadJournal!$A$1:$L$890,COLUMN(HeadJournal!H$1),0),0)</f>
        <v>35.385730818030986</v>
      </c>
      <c r="P71" s="30">
        <f>IFERROR(SUM(K71:O71)*VLOOKUP($A71,HeadJournal!$A$1:$L$890,COLUMN(HeadJournal!H$1),0),0)</f>
        <v>585.20732060444539</v>
      </c>
      <c r="Q71" s="29">
        <v>586.25</v>
      </c>
      <c r="R71" s="31">
        <v>44963</v>
      </c>
      <c r="S71" s="31" t="s">
        <v>3121</v>
      </c>
      <c r="T71" s="95" t="str">
        <f t="shared" si="10"/>
        <v>2023 02</v>
      </c>
      <c r="U71" s="32">
        <f t="shared" si="7"/>
        <v>1.0426793955546145</v>
      </c>
      <c r="V71" s="22">
        <f t="shared" si="8"/>
        <v>1.7817265075865049E-3</v>
      </c>
    </row>
    <row r="72" spans="1:25" x14ac:dyDescent="0.2">
      <c r="A72" s="93" t="s">
        <v>63</v>
      </c>
      <c r="B72" s="94" t="str">
        <f>IFERROR(VLOOKUP($A72,HeadJournal!$A$1:$NTR$890,COLUMN(HeadJournal!B$1),0),"")</f>
        <v>IHORD0000480207NPG</v>
      </c>
      <c r="C72" s="94" t="str">
        <f>IFERROR(VLOOKUP($A72,HeadJournal!$A$1:$NTR$890,COLUMN(HeadJournal!C$1),0),"")</f>
        <v>iHerb_OA CZN6870</v>
      </c>
      <c r="D72" s="125" t="str">
        <f>IFERROR(VLOOKUP($A72,HeadJournal!$A$1:$NTR$890,COLUMN(HeadJournal!D$1),0),"")</f>
        <v>Жанна</v>
      </c>
      <c r="E72" s="95">
        <f>IFERROR(VLOOKUP($A72,HeadJournal!$A$1:$NTR$890,COLUMN(HeadJournal!G$1),0),"")</f>
        <v>44814</v>
      </c>
      <c r="F72" s="95" t="str">
        <f t="shared" si="9"/>
        <v>2022 09</v>
      </c>
      <c r="G72" s="96" t="s">
        <v>5</v>
      </c>
      <c r="H72" s="161" t="s">
        <v>2024</v>
      </c>
      <c r="I72" s="97" t="s">
        <v>2005</v>
      </c>
      <c r="J72" s="97" t="s">
        <v>4140</v>
      </c>
      <c r="K72" s="29">
        <v>571.6</v>
      </c>
      <c r="L72" s="29">
        <v>-148.61666666666667</v>
      </c>
      <c r="M72" s="30">
        <f>IFERROR(VLOOKUP($A72,HeadJournal!$A$1:$J$890,COLUMN(HeadJournal!I$1),0)*($K72+$L72)/(SUMIF($A:$A,$A72,$K:$K)+SUMIF($A:$A,$A72,$L:$L)),0)</f>
        <v>-0.93519431447653312</v>
      </c>
      <c r="N72" s="30">
        <f>IFERROR((VLOOKUP($A72,HeadJournal!$A$1:$K$890,COLUMN(HeadJournal!K$1),0)-VLOOKUP($A72,HeadJournal!$A$1:$K$890,COLUMN(HeadJournal!J$1),0))*($K72+$L72)/(SUMIF($A:$A,$A72,$K:$K)+SUMIF($A:$A,$A72,$L:$L)),0)</f>
        <v>10.731986646668549</v>
      </c>
      <c r="O72" s="30">
        <f>IFERROR((VLOOKUP($A72,HeadJournal!$A$1:$L$890,COLUMN(HeadJournal!L$1),0)*($K72+$L72)/(SUMIF($A:$A,$A72,$K:$K)+SUMIF($A:$A,$A72,$L:$L)))/VLOOKUP($A72,HeadJournal!$A$1:$L$890,COLUMN(HeadJournal!H$1),0),0)</f>
        <v>35.385730818030986</v>
      </c>
      <c r="P72" s="30">
        <f>IFERROR(SUM(K72:O72)*VLOOKUP($A72,HeadJournal!$A$1:$L$890,COLUMN(HeadJournal!H$1),0),0)</f>
        <v>585.20732060444539</v>
      </c>
      <c r="Q72" s="29">
        <v>586.25</v>
      </c>
      <c r="R72" s="31">
        <v>44963</v>
      </c>
      <c r="S72" s="31" t="s">
        <v>3121</v>
      </c>
      <c r="T72" s="95" t="str">
        <f t="shared" si="10"/>
        <v>2023 02</v>
      </c>
      <c r="U72" s="32">
        <f t="shared" si="7"/>
        <v>1.0426793955546145</v>
      </c>
      <c r="V72" s="22">
        <f t="shared" si="8"/>
        <v>1.7817265075865049E-3</v>
      </c>
    </row>
    <row r="73" spans="1:25" x14ac:dyDescent="0.2">
      <c r="A73" s="93" t="s">
        <v>63</v>
      </c>
      <c r="B73" s="94" t="str">
        <f>IFERROR(VLOOKUP($A73,HeadJournal!$A$1:$NTR$890,COLUMN(HeadJournal!B$1),0),"")</f>
        <v>IHORD0000480207NPG</v>
      </c>
      <c r="C73" s="94" t="str">
        <f>IFERROR(VLOOKUP($A73,HeadJournal!$A$1:$NTR$890,COLUMN(HeadJournal!C$1),0),"")</f>
        <v>iHerb_OA CZN6870</v>
      </c>
      <c r="D73" s="125" t="str">
        <f>IFERROR(VLOOKUP($A73,HeadJournal!$A$1:$NTR$890,COLUMN(HeadJournal!D$1),0),"")</f>
        <v>Жанна</v>
      </c>
      <c r="E73" s="95">
        <f>IFERROR(VLOOKUP($A73,HeadJournal!$A$1:$NTR$890,COLUMN(HeadJournal!G$1),0),"")</f>
        <v>44814</v>
      </c>
      <c r="F73" s="95" t="str">
        <f t="shared" si="9"/>
        <v>2022 09</v>
      </c>
      <c r="G73" s="96" t="s">
        <v>5</v>
      </c>
      <c r="H73" s="161" t="s">
        <v>2024</v>
      </c>
      <c r="I73" s="97" t="s">
        <v>2005</v>
      </c>
      <c r="J73" s="97" t="s">
        <v>4140</v>
      </c>
      <c r="K73" s="29">
        <v>571.6</v>
      </c>
      <c r="L73" s="29">
        <v>-148.61666666666667</v>
      </c>
      <c r="M73" s="30">
        <f>IFERROR(VLOOKUP($A73,HeadJournal!$A$1:$J$890,COLUMN(HeadJournal!I$1),0)*($K73+$L73)/(SUMIF($A:$A,$A73,$K:$K)+SUMIF($A:$A,$A73,$L:$L)),0)</f>
        <v>-0.93519431447653312</v>
      </c>
      <c r="N73" s="30">
        <f>IFERROR((VLOOKUP($A73,HeadJournal!$A$1:$K$890,COLUMN(HeadJournal!K$1),0)-VLOOKUP($A73,HeadJournal!$A$1:$K$890,COLUMN(HeadJournal!J$1),0))*($K73+$L73)/(SUMIF($A:$A,$A73,$K:$K)+SUMIF($A:$A,$A73,$L:$L)),0)</f>
        <v>10.731986646668549</v>
      </c>
      <c r="O73" s="30">
        <f>IFERROR((VLOOKUP($A73,HeadJournal!$A$1:$L$890,COLUMN(HeadJournal!L$1),0)*($K73+$L73)/(SUMIF($A:$A,$A73,$K:$K)+SUMIF($A:$A,$A73,$L:$L)))/VLOOKUP($A73,HeadJournal!$A$1:$L$890,COLUMN(HeadJournal!H$1),0),0)</f>
        <v>35.385730818030986</v>
      </c>
      <c r="P73" s="30">
        <f>IFERROR(SUM(K73:O73)*VLOOKUP($A73,HeadJournal!$A$1:$L$890,COLUMN(HeadJournal!H$1),0),0)</f>
        <v>585.20732060444539</v>
      </c>
      <c r="Q73" s="29">
        <v>600</v>
      </c>
      <c r="R73" s="31">
        <v>45000</v>
      </c>
      <c r="S73" s="31" t="s">
        <v>3121</v>
      </c>
      <c r="T73" s="95" t="str">
        <f t="shared" si="10"/>
        <v>2023 03</v>
      </c>
      <c r="U73" s="32">
        <f t="shared" si="7"/>
        <v>14.792679395554615</v>
      </c>
      <c r="V73" s="22">
        <f t="shared" si="8"/>
        <v>2.5277673184736723E-2</v>
      </c>
    </row>
    <row r="74" spans="1:25" x14ac:dyDescent="0.2">
      <c r="A74" s="93" t="s">
        <v>63</v>
      </c>
      <c r="B74" s="94" t="str">
        <f>IFERROR(VLOOKUP($A74,HeadJournal!$A$1:$NTR$890,COLUMN(HeadJournal!B$1),0),"")</f>
        <v>IHORD0000480207NPG</v>
      </c>
      <c r="C74" s="94" t="str">
        <f>IFERROR(VLOOKUP($A74,HeadJournal!$A$1:$NTR$890,COLUMN(HeadJournal!C$1),0),"")</f>
        <v>iHerb_OA CZN6870</v>
      </c>
      <c r="D74" s="125" t="str">
        <f>IFERROR(VLOOKUP($A74,HeadJournal!$A$1:$NTR$890,COLUMN(HeadJournal!D$1),0),"")</f>
        <v>Жанна</v>
      </c>
      <c r="E74" s="95">
        <f>IFERROR(VLOOKUP($A74,HeadJournal!$A$1:$NTR$890,COLUMN(HeadJournal!G$1),0),"")</f>
        <v>44814</v>
      </c>
      <c r="F74" s="95" t="str">
        <f t="shared" si="9"/>
        <v>2022 09</v>
      </c>
      <c r="G74" s="96" t="s">
        <v>5</v>
      </c>
      <c r="H74" s="161" t="s">
        <v>2832</v>
      </c>
      <c r="I74" s="97" t="s">
        <v>2005</v>
      </c>
      <c r="J74" s="97" t="s">
        <v>2833</v>
      </c>
      <c r="K74" s="29">
        <v>467.99</v>
      </c>
      <c r="L74" s="29">
        <v>-121.68</v>
      </c>
      <c r="M74" s="30">
        <f>IFERROR(VLOOKUP($A74,HeadJournal!$A$1:$J$890,COLUMN(HeadJournal!I$1),0)*($K74+$L74)/(SUMIF($A:$A,$A74,$K:$K)+SUMIF($A:$A,$A74,$L:$L)),0)</f>
        <v>-0.76567353255770876</v>
      </c>
      <c r="N74" s="30">
        <f>IFERROR((VLOOKUP($A74,HeadJournal!$A$1:$K$890,COLUMN(HeadJournal!K$1),0)-VLOOKUP($A74,HeadJournal!$A$1:$K$890,COLUMN(HeadJournal!J$1),0))*($K74+$L74)/(SUMIF($A:$A,$A74,$K:$K)+SUMIF($A:$A,$A74,$L:$L)),0)</f>
        <v>8.786621133081173</v>
      </c>
      <c r="O74" s="30">
        <f>IFERROR((VLOOKUP($A74,HeadJournal!$A$1:$L$890,COLUMN(HeadJournal!L$1),0)*($K74+$L74)/(SUMIF($A:$A,$A74,$K:$K)+SUMIF($A:$A,$A74,$L:$L)))/VLOOKUP($A74,HeadJournal!$A$1:$L$890,COLUMN(HeadJournal!H$1),0),0)</f>
        <v>28.971430961643033</v>
      </c>
      <c r="P74" s="30">
        <f>IFERROR(SUM(K74:O74)*VLOOKUP($A74,HeadJournal!$A$1:$L$890,COLUMN(HeadJournal!H$1),0),0)</f>
        <v>479.12797320270812</v>
      </c>
      <c r="Q74" s="29">
        <v>479.12797320270812</v>
      </c>
      <c r="R74" s="31">
        <v>44901</v>
      </c>
      <c r="S74" s="31" t="s">
        <v>3121</v>
      </c>
      <c r="T74" s="95" t="str">
        <f t="shared" si="10"/>
        <v>2022 12</v>
      </c>
      <c r="U74" s="32">
        <f t="shared" si="7"/>
        <v>0</v>
      </c>
      <c r="V74" s="22">
        <f t="shared" si="8"/>
        <v>0</v>
      </c>
    </row>
    <row r="75" spans="1:25" x14ac:dyDescent="0.2">
      <c r="A75" s="93" t="s">
        <v>63</v>
      </c>
      <c r="B75" s="94" t="str">
        <f>IFERROR(VLOOKUP($A75,HeadJournal!$A$1:$NTR$890,COLUMN(HeadJournal!B$1),0),"")</f>
        <v>IHORD0000480207NPG</v>
      </c>
      <c r="C75" s="94" t="str">
        <f>IFERROR(VLOOKUP($A75,HeadJournal!$A$1:$NTR$890,COLUMN(HeadJournal!C$1),0),"")</f>
        <v>iHerb_OA CZN6870</v>
      </c>
      <c r="D75" s="125" t="str">
        <f>IFERROR(VLOOKUP($A75,HeadJournal!$A$1:$NTR$890,COLUMN(HeadJournal!D$1),0),"")</f>
        <v>Жанна</v>
      </c>
      <c r="E75" s="95">
        <f>IFERROR(VLOOKUP($A75,HeadJournal!$A$1:$NTR$890,COLUMN(HeadJournal!G$1),0),"")</f>
        <v>44814</v>
      </c>
      <c r="F75" s="95" t="str">
        <f t="shared" si="9"/>
        <v>2022 09</v>
      </c>
      <c r="G75" s="96" t="s">
        <v>5</v>
      </c>
      <c r="H75" s="160" t="str">
        <f>RIGHT(Journal!$J75,9)</f>
        <v>SYI-02109</v>
      </c>
      <c r="I75" s="96" t="str">
        <f t="shared" si="6"/>
        <v>Sympli Beautiful</v>
      </c>
      <c r="J75" s="97" t="s">
        <v>65</v>
      </c>
      <c r="K75" s="29">
        <v>308.25</v>
      </c>
      <c r="L75" s="29">
        <v>-154.12</v>
      </c>
      <c r="M75" s="30">
        <f>IFERROR(VLOOKUP($A75,HeadJournal!$A$1:$J$890,COLUMN(HeadJournal!I$1),0)*($K75+$L75)/(SUMIF($A:$A,$A75,$K:$K)+SUMIF($A:$A,$A75,$L:$L)),0)</f>
        <v>-0.34077347339990083</v>
      </c>
      <c r="N75" s="30">
        <f>IFERROR((VLOOKUP($A75,HeadJournal!$A$1:$K$890,COLUMN(HeadJournal!K$1),0)-VLOOKUP($A75,HeadJournal!$A$1:$K$890,COLUMN(HeadJournal!J$1),0))*($K75+$L75)/(SUMIF($A:$A,$A75,$K:$K)+SUMIF($A:$A,$A75,$L:$L)),0)</f>
        <v>3.9106058596107571</v>
      </c>
      <c r="O75" s="30">
        <f>IFERROR((VLOOKUP($A75,HeadJournal!$A$1:$L$890,COLUMN(HeadJournal!L$1),0)*($K75+$L75)/(SUMIF($A:$A,$A75,$K:$K)+SUMIF($A:$A,$A75,$L:$L)))/VLOOKUP($A75,HeadJournal!$A$1:$L$890,COLUMN(HeadJournal!H$1),0),0)</f>
        <v>12.894131425942192</v>
      </c>
      <c r="P75" s="30">
        <f>IFERROR(SUM(K75:O75)*VLOOKUP($A75,HeadJournal!$A$1:$L$890,COLUMN(HeadJournal!H$1),0),0)</f>
        <v>213.24245476519133</v>
      </c>
      <c r="Q75" s="29">
        <v>218.69</v>
      </c>
      <c r="R75" s="31">
        <v>44927</v>
      </c>
      <c r="S75" s="31" t="s">
        <v>3121</v>
      </c>
      <c r="T75" s="95" t="str">
        <f t="shared" si="10"/>
        <v>2023 01</v>
      </c>
      <c r="U75" s="32">
        <f t="shared" si="7"/>
        <v>5.4475452348086719</v>
      </c>
      <c r="V75" s="22">
        <f t="shared" si="8"/>
        <v>2.5546250819552575E-2</v>
      </c>
    </row>
    <row r="76" spans="1:25" x14ac:dyDescent="0.2">
      <c r="A76" s="93" t="s">
        <v>63</v>
      </c>
      <c r="B76" s="94" t="str">
        <f>IFERROR(VLOOKUP($A76,HeadJournal!$A$1:$NTR$890,COLUMN(HeadJournal!B$1),0),"")</f>
        <v>IHORD0000480207NPG</v>
      </c>
      <c r="C76" s="94" t="str">
        <f>IFERROR(VLOOKUP($A76,HeadJournal!$A$1:$NTR$890,COLUMN(HeadJournal!C$1),0),"")</f>
        <v>iHerb_OA CZN6870</v>
      </c>
      <c r="D76" s="125" t="str">
        <f>IFERROR(VLOOKUP($A76,HeadJournal!$A$1:$NTR$890,COLUMN(HeadJournal!D$1),0),"")</f>
        <v>Жанна</v>
      </c>
      <c r="E76" s="95">
        <f>IFERROR(VLOOKUP($A76,HeadJournal!$A$1:$NTR$890,COLUMN(HeadJournal!G$1),0),"")</f>
        <v>44814</v>
      </c>
      <c r="F76" s="95" t="str">
        <f t="shared" si="9"/>
        <v>2022 09</v>
      </c>
      <c r="G76" s="96" t="s">
        <v>5</v>
      </c>
      <c r="H76" s="160" t="str">
        <f>RIGHT(Journal!$J76,9)</f>
        <v>DRB-00081</v>
      </c>
      <c r="I76" s="96" t="str">
        <f t="shared" si="6"/>
        <v>Doctor's Best</v>
      </c>
      <c r="J76" s="97" t="s">
        <v>66</v>
      </c>
      <c r="K76" s="29">
        <v>1052.99</v>
      </c>
      <c r="L76" s="29">
        <v>-273.77999999999997</v>
      </c>
      <c r="M76" s="30">
        <f>IFERROR(VLOOKUP($A76,HeadJournal!$A$1:$J$890,COLUMN(HeadJournal!I$1),0)*($K76+$L76)/(SUMIF($A:$A,$A76,$K:$K)+SUMIF($A:$A,$A76,$L:$L)),0)</f>
        <v>-1.7227930851095616</v>
      </c>
      <c r="N76" s="30">
        <f>IFERROR((VLOOKUP($A76,HeadJournal!$A$1:$K$890,COLUMN(HeadJournal!K$1),0)-VLOOKUP($A76,HeadJournal!$A$1:$K$890,COLUMN(HeadJournal!J$1),0))*($K76+$L76)/(SUMIF($A:$A,$A76,$K:$K)+SUMIF($A:$A,$A76,$L:$L)),0)</f>
        <v>19.770214701014066</v>
      </c>
      <c r="O76" s="30">
        <f>IFERROR((VLOOKUP($A76,HeadJournal!$A$1:$L$890,COLUMN(HeadJournal!L$1),0)*($K76+$L76)/(SUMIF($A:$A,$A76,$K:$K)+SUMIF($A:$A,$A76,$L:$L)))/VLOOKUP($A76,HeadJournal!$A$1:$L$890,COLUMN(HeadJournal!H$1),0),0)</f>
        <v>65.186765382523944</v>
      </c>
      <c r="P76" s="30">
        <f>IFERROR(SUM(K76:O76)*VLOOKUP($A76,HeadJournal!$A$1:$L$890,COLUMN(HeadJournal!H$1),0),0)</f>
        <v>1078.0552337480358</v>
      </c>
      <c r="Q76" s="29">
        <v>3400</v>
      </c>
      <c r="R76" s="31">
        <v>45187</v>
      </c>
      <c r="S76" s="31" t="s">
        <v>3121</v>
      </c>
      <c r="T76" s="95" t="str">
        <f t="shared" si="10"/>
        <v>2023 09</v>
      </c>
      <c r="U76" s="32">
        <f t="shared" si="7"/>
        <v>2321.9447662519642</v>
      </c>
      <c r="V76" s="22">
        <f t="shared" si="8"/>
        <v>2.1538272748598812</v>
      </c>
    </row>
    <row r="77" spans="1:25" x14ac:dyDescent="0.2">
      <c r="A77" s="93" t="s">
        <v>67</v>
      </c>
      <c r="B77" s="94" t="str">
        <f>IFERROR(VLOOKUP($A77,HeadJournal!$A$1:$NTR$890,COLUMN(HeadJournal!B$1),0),"")</f>
        <v>IHORD0000487784NPG</v>
      </c>
      <c r="C77" s="94" t="str">
        <f>IFERROR(VLOOKUP($A77,HeadJournal!$A$1:$NTR$890,COLUMN(HeadJournal!C$1),0),"")</f>
        <v>iHerb_AV CYG0792</v>
      </c>
      <c r="D77" s="125" t="str">
        <f>IFERROR(VLOOKUP($A77,HeadJournal!$A$1:$NTR$890,COLUMN(HeadJournal!D$1),0),"")</f>
        <v>Жанна</v>
      </c>
      <c r="E77" s="95">
        <f>IFERROR(VLOOKUP($A77,HeadJournal!$A$1:$NTR$890,COLUMN(HeadJournal!G$1),0),"")</f>
        <v>44818</v>
      </c>
      <c r="F77" s="95" t="str">
        <f t="shared" si="9"/>
        <v>2022 09</v>
      </c>
      <c r="G77" s="96" t="s">
        <v>5</v>
      </c>
      <c r="H77" s="160" t="str">
        <f>RIGHT(Journal!$J77,9)</f>
        <v>CDL-10900</v>
      </c>
      <c r="I77" s="96" t="str">
        <f t="shared" si="6"/>
        <v>ChildLife Essentials</v>
      </c>
      <c r="J77" s="97" t="s">
        <v>3601</v>
      </c>
      <c r="K77" s="29">
        <v>280.62</v>
      </c>
      <c r="L77" s="29">
        <v>-72.959999999999994</v>
      </c>
      <c r="M77" s="30">
        <f>IFERROR(VLOOKUP($A77,HeadJournal!$A$1:$J$890,COLUMN(HeadJournal!I$1),0)*($K77+$L77)/(SUMIF($A:$A,$A77,$K:$K)+SUMIF($A:$A,$A77,$L:$L)),0)</f>
        <v>-13.844439925005565</v>
      </c>
      <c r="N77" s="30">
        <f>IFERROR((VLOOKUP($A77,HeadJournal!$A$1:$K$890,COLUMN(HeadJournal!K$1),0)-VLOOKUP($A77,HeadJournal!$A$1:$K$890,COLUMN(HeadJournal!J$1),0))*($K77+$L77)/(SUMIF($A:$A,$A77,$K:$K)+SUMIF($A:$A,$A77,$L:$L)),0)</f>
        <v>4.9425574374781904</v>
      </c>
      <c r="O77" s="30">
        <f>IFERROR((VLOOKUP($A77,HeadJournal!$A$1:$L$890,COLUMN(HeadJournal!L$1),0)*($K77+$L77)/(SUMIF($A:$A,$A77,$K:$K)+SUMIF($A:$A,$A77,$L:$L)))/VLOOKUP($A77,HeadJournal!$A$1:$L$890,COLUMN(HeadJournal!H$1),0),0)</f>
        <v>36.953700467126389</v>
      </c>
      <c r="P77" s="30">
        <f>IFERROR(SUM(K77:O77)*VLOOKUP($A77,HeadJournal!$A$1:$L$890,COLUMN(HeadJournal!H$1),0),0)</f>
        <v>294.63977247449884</v>
      </c>
      <c r="Q77" s="29">
        <v>295</v>
      </c>
      <c r="R77" s="31">
        <v>44898</v>
      </c>
      <c r="S77" s="31" t="s">
        <v>3121</v>
      </c>
      <c r="T77" s="95" t="str">
        <f t="shared" si="10"/>
        <v>2022 12</v>
      </c>
      <c r="U77" s="32">
        <f t="shared" si="7"/>
        <v>0.36022752550115911</v>
      </c>
      <c r="V77" s="22">
        <f t="shared" si="8"/>
        <v>1.2226031892294408E-3</v>
      </c>
    </row>
    <row r="78" spans="1:25" x14ac:dyDescent="0.2">
      <c r="A78" s="93" t="s">
        <v>67</v>
      </c>
      <c r="B78" s="94" t="str">
        <f>IFERROR(VLOOKUP($A78,HeadJournal!$A$1:$NTR$890,COLUMN(HeadJournal!B$1),0),"")</f>
        <v>IHORD0000487784NPG</v>
      </c>
      <c r="C78" s="94" t="str">
        <f>IFERROR(VLOOKUP($A78,HeadJournal!$A$1:$NTR$890,COLUMN(HeadJournal!C$1),0),"")</f>
        <v>iHerb_AV CYG0792</v>
      </c>
      <c r="D78" s="125" t="str">
        <f>IFERROR(VLOOKUP($A78,HeadJournal!$A$1:$NTR$890,COLUMN(HeadJournal!D$1),0),"")</f>
        <v>Жанна</v>
      </c>
      <c r="E78" s="95">
        <f>IFERROR(VLOOKUP($A78,HeadJournal!$A$1:$NTR$890,COLUMN(HeadJournal!G$1),0),"")</f>
        <v>44818</v>
      </c>
      <c r="F78" s="95" t="str">
        <f t="shared" si="9"/>
        <v>2022 09</v>
      </c>
      <c r="G78" s="96" t="s">
        <v>5</v>
      </c>
      <c r="H78" s="160" t="str">
        <f>RIGHT(Journal!$J78,9)</f>
        <v>NOR-01710</v>
      </c>
      <c r="I78" s="96" t="str">
        <f t="shared" si="6"/>
        <v>Nordic Naturals</v>
      </c>
      <c r="J78" s="97" t="s">
        <v>68</v>
      </c>
      <c r="K78" s="29">
        <v>474.77</v>
      </c>
      <c r="L78" s="29">
        <v>-123.44</v>
      </c>
      <c r="M78" s="30">
        <f>IFERROR(VLOOKUP($A78,HeadJournal!$A$1:$J$890,COLUMN(HeadJournal!I$1),0)*($K78+$L78)/(SUMIF($A:$A,$A78,$K:$K)+SUMIF($A:$A,$A78,$L:$L)),0)</f>
        <v>-23.422744288029492</v>
      </c>
      <c r="N78" s="30">
        <f>IFERROR((VLOOKUP($A78,HeadJournal!$A$1:$K$890,COLUMN(HeadJournal!K$1),0)-VLOOKUP($A78,HeadJournal!$A$1:$K$890,COLUMN(HeadJournal!J$1),0))*($K78+$L78)/(SUMIF($A:$A,$A78,$K:$K)+SUMIF($A:$A,$A78,$L:$L)),0)</f>
        <v>8.3620760113127819</v>
      </c>
      <c r="O78" s="30">
        <f>IFERROR((VLOOKUP($A78,HeadJournal!$A$1:$L$890,COLUMN(HeadJournal!L$1),0)*($K78+$L78)/(SUMIF($A:$A,$A78,$K:$K)+SUMIF($A:$A,$A78,$L:$L)))/VLOOKUP($A78,HeadJournal!$A$1:$L$890,COLUMN(HeadJournal!H$1),0),0)</f>
        <v>62.520194477104461</v>
      </c>
      <c r="P78" s="30">
        <f>IFERROR(SUM(K78:O78)*VLOOKUP($A78,HeadJournal!$A$1:$L$890,COLUMN(HeadJournal!H$1),0),0)</f>
        <v>498.48690775048465</v>
      </c>
      <c r="Q78" s="29">
        <v>498.49</v>
      </c>
      <c r="R78" s="31">
        <v>44819</v>
      </c>
      <c r="S78" s="31" t="s">
        <v>3121</v>
      </c>
      <c r="T78" s="95" t="str">
        <f t="shared" si="10"/>
        <v>2022 09</v>
      </c>
      <c r="U78" s="32">
        <f t="shared" si="7"/>
        <v>3.0922495153618001E-3</v>
      </c>
      <c r="V78" s="22">
        <f t="shared" si="8"/>
        <v>6.2032712740965534E-6</v>
      </c>
    </row>
    <row r="79" spans="1:25" x14ac:dyDescent="0.2">
      <c r="A79" s="93" t="s">
        <v>67</v>
      </c>
      <c r="B79" s="94" t="str">
        <f>IFERROR(VLOOKUP($A79,HeadJournal!$A$1:$NTR$890,COLUMN(HeadJournal!B$1),0),"")</f>
        <v>IHORD0000487784NPG</v>
      </c>
      <c r="C79" s="94" t="str">
        <f>IFERROR(VLOOKUP($A79,HeadJournal!$A$1:$NTR$890,COLUMN(HeadJournal!C$1),0),"")</f>
        <v>iHerb_AV CYG0792</v>
      </c>
      <c r="D79" s="125" t="str">
        <f>IFERROR(VLOOKUP($A79,HeadJournal!$A$1:$NTR$890,COLUMN(HeadJournal!D$1),0),"")</f>
        <v>Жанна</v>
      </c>
      <c r="E79" s="95">
        <f>IFERROR(VLOOKUP($A79,HeadJournal!$A$1:$NTR$890,COLUMN(HeadJournal!G$1),0),"")</f>
        <v>44818</v>
      </c>
      <c r="F79" s="95" t="str">
        <f t="shared" si="9"/>
        <v>2022 09</v>
      </c>
      <c r="G79" s="96" t="s">
        <v>5</v>
      </c>
      <c r="H79" s="160" t="str">
        <f>RIGHT(Journal!$J79,9)</f>
        <v>NWY-15788</v>
      </c>
      <c r="I79" s="96" t="str">
        <f t="shared" si="6"/>
        <v>Nature's Way</v>
      </c>
      <c r="J79" s="97" t="s">
        <v>69</v>
      </c>
      <c r="K79" s="29">
        <v>385.96</v>
      </c>
      <c r="L79" s="29">
        <v>-100.35</v>
      </c>
      <c r="M79" s="30">
        <f>IFERROR(VLOOKUP($A79,HeadJournal!$A$1:$J$890,COLUMN(HeadJournal!I$1),0)*($K79+$L79)/(SUMIF($A:$A,$A79,$K:$K)+SUMIF($A:$A,$A79,$L:$L)),0)</f>
        <v>-19.041271727732056</v>
      </c>
      <c r="N79" s="30">
        <f>IFERROR((VLOOKUP($A79,HeadJournal!$A$1:$K$890,COLUMN(HeadJournal!K$1),0)-VLOOKUP($A79,HeadJournal!$A$1:$K$890,COLUMN(HeadJournal!J$1),0))*($K79+$L79)/(SUMIF($A:$A,$A79,$K:$K)+SUMIF($A:$A,$A79,$L:$L)),0)</f>
        <v>6.7978610696241253</v>
      </c>
      <c r="O79" s="30">
        <f>IFERROR((VLOOKUP($A79,HeadJournal!$A$1:$L$890,COLUMN(HeadJournal!L$1),0)*($K79+$L79)/(SUMIF($A:$A,$A79,$K:$K)+SUMIF($A:$A,$A79,$L:$L)))/VLOOKUP($A79,HeadJournal!$A$1:$L$890,COLUMN(HeadJournal!H$1),0),0)</f>
        <v>50.825129492516453</v>
      </c>
      <c r="P79" s="30">
        <f>IFERROR(SUM(K79:O79)*VLOOKUP($A79,HeadJournal!$A$1:$L$890,COLUMN(HeadJournal!H$1),0),0)</f>
        <v>405.23964854301062</v>
      </c>
      <c r="Q79" s="29">
        <v>405.23964854301062</v>
      </c>
      <c r="R79" s="31">
        <v>44901</v>
      </c>
      <c r="S79" s="31" t="s">
        <v>3121</v>
      </c>
      <c r="T79" s="95" t="str">
        <f t="shared" si="10"/>
        <v>2022 12</v>
      </c>
      <c r="U79" s="32">
        <f t="shared" si="7"/>
        <v>0</v>
      </c>
      <c r="V79" s="22">
        <f t="shared" si="8"/>
        <v>0</v>
      </c>
    </row>
    <row r="80" spans="1:25" x14ac:dyDescent="0.2">
      <c r="A80" s="93" t="s">
        <v>67</v>
      </c>
      <c r="B80" s="94" t="str">
        <f>IFERROR(VLOOKUP($A80,HeadJournal!$A$1:$NTR$890,COLUMN(HeadJournal!B$1),0),"")</f>
        <v>IHORD0000487784NPG</v>
      </c>
      <c r="C80" s="94" t="str">
        <f>IFERROR(VLOOKUP($A80,HeadJournal!$A$1:$NTR$890,COLUMN(HeadJournal!C$1),0),"")</f>
        <v>iHerb_AV CYG0792</v>
      </c>
      <c r="D80" s="125" t="str">
        <f>IFERROR(VLOOKUP($A80,HeadJournal!$A$1:$NTR$890,COLUMN(HeadJournal!D$1),0),"")</f>
        <v>Жанна</v>
      </c>
      <c r="E80" s="95">
        <f>IFERROR(VLOOKUP($A80,HeadJournal!$A$1:$NTR$890,COLUMN(HeadJournal!G$1),0),"")</f>
        <v>44818</v>
      </c>
      <c r="F80" s="95" t="str">
        <f t="shared" si="9"/>
        <v>2022 09</v>
      </c>
      <c r="G80" s="96" t="s">
        <v>5</v>
      </c>
      <c r="H80" s="161" t="s">
        <v>4137</v>
      </c>
      <c r="I80" s="97" t="s">
        <v>2666</v>
      </c>
      <c r="J80" s="97" t="s">
        <v>4138</v>
      </c>
      <c r="K80" s="29">
        <v>375.64</v>
      </c>
      <c r="L80" s="29">
        <v>-97.67</v>
      </c>
      <c r="M80" s="30">
        <f>IFERROR(VLOOKUP($A80,HeadJournal!$A$1:$J$890,COLUMN(HeadJournal!I$1),0)*($K80+$L80)/(SUMIF($A:$A,$A80,$K:$K)+SUMIF($A:$A,$A80,$L:$L)),0)</f>
        <v>-18.531922209158221</v>
      </c>
      <c r="N80" s="30">
        <f>IFERROR((VLOOKUP($A80,HeadJournal!$A$1:$K$890,COLUMN(HeadJournal!K$1),0)-VLOOKUP($A80,HeadJournal!$A$1:$K$890,COLUMN(HeadJournal!J$1),0))*($K80+$L80)/(SUMIF($A:$A,$A80,$K:$K)+SUMIF($A:$A,$A80,$L:$L)),0)</f>
        <v>6.6160198925927585</v>
      </c>
      <c r="O80" s="30">
        <f>IFERROR((VLOOKUP($A80,HeadJournal!$A$1:$L$890,COLUMN(HeadJournal!L$1),0)*($K80+$L80)/(SUMIF($A:$A,$A80,$K:$K)+SUMIF($A:$A,$A80,$L:$L)))/VLOOKUP($A80,HeadJournal!$A$1:$L$890,COLUMN(HeadJournal!H$1),0),0)</f>
        <v>49.465569290412787</v>
      </c>
      <c r="P80" s="30">
        <f>IFERROR(SUM(K80:O80)*VLOOKUP($A80,HeadJournal!$A$1:$L$890,COLUMN(HeadJournal!H$1),0),0)</f>
        <v>394.3995837173091</v>
      </c>
      <c r="Q80" s="29">
        <v>394.3995837173091</v>
      </c>
      <c r="R80" s="31">
        <v>44901</v>
      </c>
      <c r="S80" s="31" t="s">
        <v>3121</v>
      </c>
      <c r="T80" s="95" t="str">
        <f t="shared" si="10"/>
        <v>2022 12</v>
      </c>
      <c r="U80" s="32">
        <f t="shared" si="7"/>
        <v>0</v>
      </c>
      <c r="V80" s="22">
        <f t="shared" si="8"/>
        <v>0</v>
      </c>
    </row>
    <row r="81" spans="1:22" x14ac:dyDescent="0.2">
      <c r="A81" s="93" t="s">
        <v>67</v>
      </c>
      <c r="B81" s="94" t="str">
        <f>IFERROR(VLOOKUP($A81,HeadJournal!$A$1:$NTR$890,COLUMN(HeadJournal!B$1),0),"")</f>
        <v>IHORD0000487784NPG</v>
      </c>
      <c r="C81" s="94" t="str">
        <f>IFERROR(VLOOKUP($A81,HeadJournal!$A$1:$NTR$890,COLUMN(HeadJournal!C$1),0),"")</f>
        <v>iHerb_AV CYG0792</v>
      </c>
      <c r="D81" s="125" t="str">
        <f>IFERROR(VLOOKUP($A81,HeadJournal!$A$1:$NTR$890,COLUMN(HeadJournal!D$1),0),"")</f>
        <v>Жанна</v>
      </c>
      <c r="E81" s="95">
        <f>IFERROR(VLOOKUP($A81,HeadJournal!$A$1:$NTR$890,COLUMN(HeadJournal!G$1),0),"")</f>
        <v>44818</v>
      </c>
      <c r="F81" s="95" t="str">
        <f t="shared" si="9"/>
        <v>2022 09</v>
      </c>
      <c r="G81" s="96" t="s">
        <v>7</v>
      </c>
      <c r="H81" s="160" t="str">
        <f>RIGHT(Journal!$J81,9)</f>
        <v>SYI-02110</v>
      </c>
      <c r="I81" s="96" t="str">
        <f t="shared" si="6"/>
        <v>Sympli Beautiful</v>
      </c>
      <c r="J81" s="97" t="s">
        <v>70</v>
      </c>
      <c r="K81" s="29">
        <v>308.25</v>
      </c>
      <c r="L81" s="29">
        <v>-154.12</v>
      </c>
      <c r="M81" s="30">
        <f>IFERROR(VLOOKUP($A81,HeadJournal!$A$1:$J$890,COLUMN(HeadJournal!I$1),0)*($K81+$L81)/(SUMIF($A:$A,$A81,$K:$K)+SUMIF($A:$A,$A81,$L:$L)),0)</f>
        <v>-10.275659855731039</v>
      </c>
      <c r="N81" s="30">
        <f>IFERROR((VLOOKUP($A81,HeadJournal!$A$1:$K$890,COLUMN(HeadJournal!K$1),0)-VLOOKUP($A81,HeadJournal!$A$1:$K$890,COLUMN(HeadJournal!J$1),0))*($K81+$L81)/(SUMIF($A:$A,$A81,$K:$K)+SUMIF($A:$A,$A81,$L:$L)),0)</f>
        <v>3.6684791381995248</v>
      </c>
      <c r="O81" s="30">
        <f>IFERROR((VLOOKUP($A81,HeadJournal!$A$1:$L$890,COLUMN(HeadJournal!L$1),0)*($K81+$L81)/(SUMIF($A:$A,$A81,$K:$K)+SUMIF($A:$A,$A81,$L:$L)))/VLOOKUP($A81,HeadJournal!$A$1:$L$890,COLUMN(HeadJournal!H$1),0),0)</f>
        <v>27.427881407099051</v>
      </c>
      <c r="P81" s="30">
        <f>IFERROR(SUM(K81:O81)*VLOOKUP($A81,HeadJournal!$A$1:$L$890,COLUMN(HeadJournal!H$1),0),0)</f>
        <v>218.6883758619594</v>
      </c>
      <c r="Q81" s="29"/>
      <c r="R81" s="31"/>
      <c r="S81" s="31"/>
      <c r="T81" s="95" t="str">
        <f t="shared" si="10"/>
        <v/>
      </c>
      <c r="U81" s="32">
        <f t="shared" si="7"/>
        <v>-218.6883758619594</v>
      </c>
      <c r="V81" s="22" t="str">
        <f t="shared" si="8"/>
        <v/>
      </c>
    </row>
    <row r="82" spans="1:22" x14ac:dyDescent="0.2">
      <c r="A82" s="93" t="s">
        <v>67</v>
      </c>
      <c r="B82" s="94" t="str">
        <f>IFERROR(VLOOKUP($A82,HeadJournal!$A$1:$NTR$890,COLUMN(HeadJournal!B$1),0),"")</f>
        <v>IHORD0000487784NPG</v>
      </c>
      <c r="C82" s="94" t="str">
        <f>IFERROR(VLOOKUP($A82,HeadJournal!$A$1:$NTR$890,COLUMN(HeadJournal!C$1),0),"")</f>
        <v>iHerb_AV CYG0792</v>
      </c>
      <c r="D82" s="125" t="str">
        <f>IFERROR(VLOOKUP($A82,HeadJournal!$A$1:$NTR$890,COLUMN(HeadJournal!D$1),0),"")</f>
        <v>Жанна</v>
      </c>
      <c r="E82" s="95">
        <f>IFERROR(VLOOKUP($A82,HeadJournal!$A$1:$NTR$890,COLUMN(HeadJournal!G$1),0),"")</f>
        <v>44818</v>
      </c>
      <c r="F82" s="95" t="str">
        <f t="shared" si="9"/>
        <v>2022 09</v>
      </c>
      <c r="G82" s="96" t="s">
        <v>5</v>
      </c>
      <c r="H82" s="160" t="str">
        <f>RIGHT(Journal!$J82,9)</f>
        <v>CEN-27452</v>
      </c>
      <c r="I82" s="96" t="str">
        <f t="shared" si="6"/>
        <v>21st Century</v>
      </c>
      <c r="J82" s="97" t="s">
        <v>71</v>
      </c>
      <c r="K82" s="29">
        <v>180.94</v>
      </c>
      <c r="L82" s="29">
        <v>-18.09</v>
      </c>
      <c r="M82" s="30">
        <f>IFERROR(VLOOKUP($A82,HeadJournal!$A$1:$J$890,COLUMN(HeadJournal!I$1),0)*($K82+$L82)/(SUMIF($A:$A,$A82,$K:$K)+SUMIF($A:$A,$A82,$L:$L)),0)</f>
        <v>-10.857011662270807</v>
      </c>
      <c r="N82" s="30">
        <f>IFERROR((VLOOKUP($A82,HeadJournal!$A$1:$K$890,COLUMN(HeadJournal!K$1),0)-VLOOKUP($A82,HeadJournal!$A$1:$K$890,COLUMN(HeadJournal!J$1),0))*($K82+$L82)/(SUMIF($A:$A,$A82,$K:$K)+SUMIF($A:$A,$A82,$L:$L)),0)</f>
        <v>3.876025612507576</v>
      </c>
      <c r="O82" s="30">
        <f>IFERROR((VLOOKUP($A82,HeadJournal!$A$1:$L$890,COLUMN(HeadJournal!L$1),0)*($K82+$L82)/(SUMIF($A:$A,$A82,$K:$K)+SUMIF($A:$A,$A82,$L:$L)))/VLOOKUP($A82,HeadJournal!$A$1:$L$890,COLUMN(HeadJournal!H$1),0),0)</f>
        <v>28.979630747719984</v>
      </c>
      <c r="P82" s="30">
        <f>IFERROR(SUM(K82:O82)*VLOOKUP($A82,HeadJournal!$A$1:$L$890,COLUMN(HeadJournal!H$1),0),0)</f>
        <v>231.06080587244594</v>
      </c>
      <c r="Q82" s="29">
        <v>231.25</v>
      </c>
      <c r="R82" s="31">
        <v>44934</v>
      </c>
      <c r="S82" s="31" t="s">
        <v>3121</v>
      </c>
      <c r="T82" s="95" t="str">
        <f t="shared" si="10"/>
        <v>2023 01</v>
      </c>
      <c r="U82" s="32">
        <f t="shared" si="7"/>
        <v>0.18919412755406029</v>
      </c>
      <c r="V82" s="22">
        <f t="shared" si="8"/>
        <v>8.1880666363858521E-4</v>
      </c>
    </row>
    <row r="83" spans="1:22" x14ac:dyDescent="0.2">
      <c r="A83" s="93" t="s">
        <v>67</v>
      </c>
      <c r="B83" s="94" t="str">
        <f>IFERROR(VLOOKUP($A83,HeadJournal!$A$1:$NTR$890,COLUMN(HeadJournal!B$1),0),"")</f>
        <v>IHORD0000487784NPG</v>
      </c>
      <c r="C83" s="94" t="str">
        <f>IFERROR(VLOOKUP($A83,HeadJournal!$A$1:$NTR$890,COLUMN(HeadJournal!C$1),0),"")</f>
        <v>iHerb_AV CYG0792</v>
      </c>
      <c r="D83" s="125" t="str">
        <f>IFERROR(VLOOKUP($A83,HeadJournal!$A$1:$NTR$890,COLUMN(HeadJournal!D$1),0),"")</f>
        <v>Жанна</v>
      </c>
      <c r="E83" s="95">
        <f>IFERROR(VLOOKUP($A83,HeadJournal!$A$1:$NTR$890,COLUMN(HeadJournal!G$1),0),"")</f>
        <v>44818</v>
      </c>
      <c r="F83" s="95" t="str">
        <f t="shared" si="9"/>
        <v>2022 09</v>
      </c>
      <c r="G83" s="96" t="s">
        <v>5</v>
      </c>
      <c r="H83" s="160" t="str">
        <f>RIGHT(Journal!$J83,9)</f>
        <v>CEN-27313</v>
      </c>
      <c r="I83" s="96" t="str">
        <f t="shared" si="6"/>
        <v>21st Century</v>
      </c>
      <c r="J83" s="97" t="s">
        <v>72</v>
      </c>
      <c r="K83" s="29">
        <v>180.94</v>
      </c>
      <c r="L83" s="29">
        <v>-47.04</v>
      </c>
      <c r="M83" s="30">
        <f>IFERROR(VLOOKUP($A83,HeadJournal!$A$1:$J$890,COLUMN(HeadJournal!I$1),0)*($K83+$L83)/(SUMIF($A:$A,$A83,$K:$K)+SUMIF($A:$A,$A83,$L:$L)),0)</f>
        <v>-8.9269503320728347</v>
      </c>
      <c r="N83" s="30">
        <f>IFERROR((VLOOKUP($A83,HeadJournal!$A$1:$K$890,COLUMN(HeadJournal!K$1),0)-VLOOKUP($A83,HeadJournal!$A$1:$K$890,COLUMN(HeadJournal!J$1),0))*($K83+$L83)/(SUMIF($A:$A,$A83,$K:$K)+SUMIF($A:$A,$A83,$L:$L)),0)</f>
        <v>3.1869808382853204</v>
      </c>
      <c r="O83" s="30">
        <f>IFERROR((VLOOKUP($A83,HeadJournal!$A$1:$L$890,COLUMN(HeadJournal!L$1),0)*($K83+$L83)/(SUMIF($A:$A,$A83,$K:$K)+SUMIF($A:$A,$A83,$L:$L)))/VLOOKUP($A83,HeadJournal!$A$1:$L$890,COLUMN(HeadJournal!H$1),0),0)</f>
        <v>23.827894118020915</v>
      </c>
      <c r="P83" s="30">
        <f>IFERROR(SUM(K83:O83)*VLOOKUP($A83,HeadJournal!$A$1:$L$890,COLUMN(HeadJournal!H$1),0),0)</f>
        <v>189.98490578029174</v>
      </c>
      <c r="Q83" s="29">
        <v>190</v>
      </c>
      <c r="R83" s="31">
        <v>44970</v>
      </c>
      <c r="S83" s="31" t="s">
        <v>3121</v>
      </c>
      <c r="T83" s="95" t="str">
        <f t="shared" si="10"/>
        <v>2023 02</v>
      </c>
      <c r="U83" s="32">
        <f t="shared" si="7"/>
        <v>1.5094219708259971E-2</v>
      </c>
      <c r="V83" s="22">
        <f t="shared" si="8"/>
        <v>7.9449573355662784E-5</v>
      </c>
    </row>
    <row r="84" spans="1:22" x14ac:dyDescent="0.2">
      <c r="A84" s="93" t="s">
        <v>73</v>
      </c>
      <c r="B84" s="94" t="str">
        <f>IFERROR(VLOOKUP($A84,HeadJournal!$A$1:$NTR$890,COLUMN(HeadJournal!B$1),0),"")</f>
        <v>IHORD0000490976NPG</v>
      </c>
      <c r="C84" s="94" t="str">
        <f>IFERROR(VLOOKUP($A84,HeadJournal!$A$1:$NTR$890,COLUMN(HeadJournal!C$1),0),"")</f>
        <v>iHerb_OA CZN6870</v>
      </c>
      <c r="D84" s="125" t="str">
        <f>IFERROR(VLOOKUP($A84,HeadJournal!$A$1:$NTR$890,COLUMN(HeadJournal!D$1),0),"")</f>
        <v>Жанна</v>
      </c>
      <c r="E84" s="95">
        <f>IFERROR(VLOOKUP($A84,HeadJournal!$A$1:$NTR$890,COLUMN(HeadJournal!G$1),0),"")</f>
        <v>44819</v>
      </c>
      <c r="F84" s="95" t="str">
        <f t="shared" si="9"/>
        <v>2022 09</v>
      </c>
      <c r="G84" s="96" t="s">
        <v>5</v>
      </c>
      <c r="H84" s="160" t="str">
        <f>RIGHT(Journal!$J84,9)</f>
        <v>BOS-56913</v>
      </c>
      <c r="I84" s="96" t="str">
        <f t="shared" si="6"/>
        <v>Boiron</v>
      </c>
      <c r="J84" s="97" t="s">
        <v>74</v>
      </c>
      <c r="K84" s="29">
        <v>293.33</v>
      </c>
      <c r="L84" s="29">
        <v>0</v>
      </c>
      <c r="M84" s="30">
        <f>IFERROR(VLOOKUP($A84,HeadJournal!$A$1:$J$890,COLUMN(HeadJournal!I$1),0)*($K84+$L84)/(SUMIF($A:$A,$A84,$K:$K)+SUMIF($A:$A,$A84,$L:$L)),0)</f>
        <v>-0.41797291104238959</v>
      </c>
      <c r="N84" s="30">
        <f>IFERROR((VLOOKUP($A84,HeadJournal!$A$1:$K$890,COLUMN(HeadJournal!K$1),0)-VLOOKUP($A84,HeadJournal!$A$1:$K$890,COLUMN(HeadJournal!J$1),0))*($K84+$L84)/(SUMIF($A:$A,$A84,$K:$K)+SUMIF($A:$A,$A84,$L:$L)),0)</f>
        <v>7.4783261381098125</v>
      </c>
      <c r="O84" s="30">
        <f>IFERROR((VLOOKUP($A84,HeadJournal!$A$1:$L$890,COLUMN(HeadJournal!L$1),0)*($K84+$L84)/(SUMIF($A:$A,$A84,$K:$K)+SUMIF($A:$A,$A84,$L:$L)))/VLOOKUP($A84,HeadJournal!$A$1:$L$890,COLUMN(HeadJournal!H$1),0),0)</f>
        <v>31.63038245726192</v>
      </c>
      <c r="P84" s="30">
        <f>IFERROR(SUM(K84:O84)*VLOOKUP($A84,HeadJournal!$A$1:$L$890,COLUMN(HeadJournal!H$1),0),0)</f>
        <v>415.02591960541167</v>
      </c>
      <c r="Q84" s="29">
        <v>415.02591960541167</v>
      </c>
      <c r="R84" s="31">
        <v>44927</v>
      </c>
      <c r="S84" s="31" t="s">
        <v>3121</v>
      </c>
      <c r="T84" s="95" t="str">
        <f t="shared" si="10"/>
        <v>2023 01</v>
      </c>
      <c r="U84" s="32">
        <f t="shared" si="7"/>
        <v>0</v>
      </c>
      <c r="V84" s="22">
        <f t="shared" si="8"/>
        <v>0</v>
      </c>
    </row>
    <row r="85" spans="1:22" x14ac:dyDescent="0.2">
      <c r="A85" s="93" t="s">
        <v>73</v>
      </c>
      <c r="B85" s="94" t="str">
        <f>IFERROR(VLOOKUP($A85,HeadJournal!$A$1:$NTR$890,COLUMN(HeadJournal!B$1),0),"")</f>
        <v>IHORD0000490976NPG</v>
      </c>
      <c r="C85" s="94" t="str">
        <f>IFERROR(VLOOKUP($A85,HeadJournal!$A$1:$NTR$890,COLUMN(HeadJournal!C$1),0),"")</f>
        <v>iHerb_OA CZN6870</v>
      </c>
      <c r="D85" s="125" t="str">
        <f>IFERROR(VLOOKUP($A85,HeadJournal!$A$1:$NTR$890,COLUMN(HeadJournal!D$1),0),"")</f>
        <v>Жанна</v>
      </c>
      <c r="E85" s="95">
        <f>IFERROR(VLOOKUP($A85,HeadJournal!$A$1:$NTR$890,COLUMN(HeadJournal!G$1),0),"")</f>
        <v>44819</v>
      </c>
      <c r="F85" s="95" t="str">
        <f t="shared" si="9"/>
        <v>2022 09</v>
      </c>
      <c r="G85" s="96" t="s">
        <v>5</v>
      </c>
      <c r="H85" s="161" t="s">
        <v>2051</v>
      </c>
      <c r="I85" s="97" t="s">
        <v>2052</v>
      </c>
      <c r="J85" s="97" t="s">
        <v>3097</v>
      </c>
      <c r="K85" s="29">
        <v>655.04</v>
      </c>
      <c r="L85" s="29">
        <v>-170.31</v>
      </c>
      <c r="M85" s="30">
        <f>IFERROR(VLOOKUP($A85,HeadJournal!$A$1:$J$890,COLUMN(HeadJournal!I$1),0)*($K85+$L85)/(SUMIF($A:$A,$A85,$K:$K)+SUMIF($A:$A,$A85,$L:$L)),0)</f>
        <v>-0.6907033347069087</v>
      </c>
      <c r="N85" s="30">
        <f>IFERROR((VLOOKUP($A85,HeadJournal!$A$1:$K$890,COLUMN(HeadJournal!K$1),0)-VLOOKUP($A85,HeadJournal!$A$1:$K$890,COLUMN(HeadJournal!J$1),0))*($K85+$L85)/(SUMIF($A:$A,$A85,$K:$K)+SUMIF($A:$A,$A85,$L:$L)),0)</f>
        <v>12.357989393945282</v>
      </c>
      <c r="O85" s="30">
        <f>IFERROR((VLOOKUP($A85,HeadJournal!$A$1:$L$890,COLUMN(HeadJournal!L$1),0)*($K85+$L85)/(SUMIF($A:$A,$A85,$K:$K)+SUMIF($A:$A,$A85,$L:$L)))/VLOOKUP($A85,HeadJournal!$A$1:$L$890,COLUMN(HeadJournal!H$1),0),0)</f>
        <v>52.269441545387679</v>
      </c>
      <c r="P85" s="30">
        <f>IFERROR(SUM(K85:O85)*VLOOKUP($A85,HeadJournal!$A$1:$L$890,COLUMN(HeadJournal!H$1),0),0)</f>
        <v>685.83340950578247</v>
      </c>
      <c r="Q85" s="29">
        <v>686.25</v>
      </c>
      <c r="R85" s="31">
        <v>44925</v>
      </c>
      <c r="S85" s="31" t="s">
        <v>3121</v>
      </c>
      <c r="T85" s="95" t="str">
        <f t="shared" si="10"/>
        <v>2022 12</v>
      </c>
      <c r="U85" s="32">
        <f t="shared" si="7"/>
        <v>0.41659049421753025</v>
      </c>
      <c r="V85" s="22">
        <f t="shared" si="8"/>
        <v>6.0742228133465971E-4</v>
      </c>
    </row>
    <row r="86" spans="1:22" x14ac:dyDescent="0.2">
      <c r="A86" s="93" t="s">
        <v>73</v>
      </c>
      <c r="B86" s="94" t="str">
        <f>IFERROR(VLOOKUP($A86,HeadJournal!$A$1:$NTR$890,COLUMN(HeadJournal!B$1),0),"")</f>
        <v>IHORD0000490976NPG</v>
      </c>
      <c r="C86" s="94" t="str">
        <f>IFERROR(VLOOKUP($A86,HeadJournal!$A$1:$NTR$890,COLUMN(HeadJournal!C$1),0),"")</f>
        <v>iHerb_OA CZN6870</v>
      </c>
      <c r="D86" s="125" t="str">
        <f>IFERROR(VLOOKUP($A86,HeadJournal!$A$1:$NTR$890,COLUMN(HeadJournal!D$1),0),"")</f>
        <v>Жанна</v>
      </c>
      <c r="E86" s="95">
        <f>IFERROR(VLOOKUP($A86,HeadJournal!$A$1:$NTR$890,COLUMN(HeadJournal!G$1),0),"")</f>
        <v>44819</v>
      </c>
      <c r="F86" s="95" t="str">
        <f t="shared" si="9"/>
        <v>2022 09</v>
      </c>
      <c r="G86" s="96" t="s">
        <v>5</v>
      </c>
      <c r="H86" s="160" t="str">
        <f>RIGHT(Journal!$J86,9)</f>
        <v>CEN-22263</v>
      </c>
      <c r="I86" s="96" t="str">
        <f t="shared" si="6"/>
        <v>21st Century</v>
      </c>
      <c r="J86" s="97" t="s">
        <v>75</v>
      </c>
      <c r="K86" s="29">
        <v>180.4</v>
      </c>
      <c r="L86" s="29">
        <v>-46.9</v>
      </c>
      <c r="M86" s="30">
        <f>IFERROR(VLOOKUP($A86,HeadJournal!$A$1:$J$890,COLUMN(HeadJournal!I$1),0)*($K86+$L86)/(SUMIF($A:$A,$A86,$K:$K)+SUMIF($A:$A,$A86,$L:$L)),0)</f>
        <v>-0.19022733312023665</v>
      </c>
      <c r="N86" s="30">
        <f>IFERROR((VLOOKUP($A86,HeadJournal!$A$1:$K$890,COLUMN(HeadJournal!K$1),0)-VLOOKUP($A86,HeadJournal!$A$1:$K$890,COLUMN(HeadJournal!J$1),0))*($K86+$L86)/(SUMIF($A:$A,$A86,$K:$K)+SUMIF($A:$A,$A86,$L:$L)),0)</f>
        <v>3.4035268790701942</v>
      </c>
      <c r="O86" s="30">
        <f>IFERROR((VLOOKUP($A86,HeadJournal!$A$1:$L$890,COLUMN(HeadJournal!L$1),0)*($K86+$L86)/(SUMIF($A:$A,$A86,$K:$K)+SUMIF($A:$A,$A86,$L:$L)))/VLOOKUP($A86,HeadJournal!$A$1:$L$890,COLUMN(HeadJournal!H$1),0),0)</f>
        <v>14.395581965855746</v>
      </c>
      <c r="P86" s="30">
        <f>IFERROR(SUM(K86:O86)*VLOOKUP($A86,HeadJournal!$A$1:$L$890,COLUMN(HeadJournal!H$1),0),0)</f>
        <v>188.88610188975713</v>
      </c>
      <c r="Q86" s="29">
        <v>188.88610188975713</v>
      </c>
      <c r="R86" s="31">
        <v>44901</v>
      </c>
      <c r="S86" s="31" t="s">
        <v>3121</v>
      </c>
      <c r="T86" s="95" t="str">
        <f t="shared" si="10"/>
        <v>2022 12</v>
      </c>
      <c r="U86" s="32">
        <f t="shared" si="7"/>
        <v>0</v>
      </c>
      <c r="V86" s="22">
        <f t="shared" si="8"/>
        <v>0</v>
      </c>
    </row>
    <row r="87" spans="1:22" x14ac:dyDescent="0.2">
      <c r="A87" s="93" t="s">
        <v>73</v>
      </c>
      <c r="B87" s="94" t="str">
        <f>IFERROR(VLOOKUP($A87,HeadJournal!$A$1:$NTR$890,COLUMN(HeadJournal!B$1),0),"")</f>
        <v>IHORD0000490976NPG</v>
      </c>
      <c r="C87" s="94" t="str">
        <f>IFERROR(VLOOKUP($A87,HeadJournal!$A$1:$NTR$890,COLUMN(HeadJournal!C$1),0),"")</f>
        <v>iHerb_OA CZN6870</v>
      </c>
      <c r="D87" s="125" t="str">
        <f>IFERROR(VLOOKUP($A87,HeadJournal!$A$1:$NTR$890,COLUMN(HeadJournal!D$1),0),"")</f>
        <v>Жанна</v>
      </c>
      <c r="E87" s="95">
        <f>IFERROR(VLOOKUP($A87,HeadJournal!$A$1:$NTR$890,COLUMN(HeadJournal!G$1),0),"")</f>
        <v>44819</v>
      </c>
      <c r="F87" s="95" t="str">
        <f t="shared" si="9"/>
        <v>2022 09</v>
      </c>
      <c r="G87" s="96" t="s">
        <v>5</v>
      </c>
      <c r="H87" s="160" t="str">
        <f>RIGHT(Journal!$J87,9)</f>
        <v>CEN-27116</v>
      </c>
      <c r="I87" s="96" t="str">
        <f t="shared" si="6"/>
        <v>21st Century</v>
      </c>
      <c r="J87" s="97" t="s">
        <v>33</v>
      </c>
      <c r="K87" s="29">
        <v>249.1</v>
      </c>
      <c r="L87" s="29">
        <v>-64.77</v>
      </c>
      <c r="M87" s="30">
        <f>IFERROR(VLOOKUP($A87,HeadJournal!$A$1:$J$890,COLUMN(HeadJournal!I$1),0)*($K87+$L87)/(SUMIF($A:$A,$A87,$K:$K)+SUMIF($A:$A,$A87,$L:$L)),0)</f>
        <v>-0.26265621209028628</v>
      </c>
      <c r="N87" s="30">
        <f>IFERROR((VLOOKUP($A87,HeadJournal!$A$1:$K$890,COLUMN(HeadJournal!K$1),0)-VLOOKUP($A87,HeadJournal!$A$1:$K$890,COLUMN(HeadJournal!J$1),0))*($K87+$L87)/(SUMIF($A:$A,$A87,$K:$K)+SUMIF($A:$A,$A87,$L:$L)),0)</f>
        <v>4.6994165514532495</v>
      </c>
      <c r="O87" s="30">
        <f>IFERROR((VLOOKUP($A87,HeadJournal!$A$1:$L$890,COLUMN(HeadJournal!L$1),0)*($K87+$L87)/(SUMIF($A:$A,$A87,$K:$K)+SUMIF($A:$A,$A87,$L:$L)))/VLOOKUP($A87,HeadJournal!$A$1:$L$890,COLUMN(HeadJournal!H$1),0),0)</f>
        <v>19.876686320345989</v>
      </c>
      <c r="P87" s="30">
        <f>IFERROR(SUM(K87:O87)*VLOOKUP($A87,HeadJournal!$A$1:$L$890,COLUMN(HeadJournal!H$1),0),0)</f>
        <v>260.80430832463617</v>
      </c>
      <c r="Q87" s="29">
        <v>260.80430832463617</v>
      </c>
      <c r="R87" s="31">
        <v>44901</v>
      </c>
      <c r="S87" s="31" t="s">
        <v>3121</v>
      </c>
      <c r="T87" s="95" t="str">
        <f t="shared" si="10"/>
        <v>2022 12</v>
      </c>
      <c r="U87" s="32">
        <f t="shared" si="7"/>
        <v>0</v>
      </c>
      <c r="V87" s="22">
        <f t="shared" si="8"/>
        <v>0</v>
      </c>
    </row>
    <row r="88" spans="1:22" x14ac:dyDescent="0.2">
      <c r="A88" s="93" t="s">
        <v>73</v>
      </c>
      <c r="B88" s="94" t="str">
        <f>IFERROR(VLOOKUP($A88,HeadJournal!$A$1:$NTR$890,COLUMN(HeadJournal!B$1),0),"")</f>
        <v>IHORD0000490976NPG</v>
      </c>
      <c r="C88" s="94" t="str">
        <f>IFERROR(VLOOKUP($A88,HeadJournal!$A$1:$NTR$890,COLUMN(HeadJournal!C$1),0),"")</f>
        <v>iHerb_OA CZN6870</v>
      </c>
      <c r="D88" s="125" t="str">
        <f>IFERROR(VLOOKUP($A88,HeadJournal!$A$1:$NTR$890,COLUMN(HeadJournal!D$1),0),"")</f>
        <v>Жанна</v>
      </c>
      <c r="E88" s="95">
        <f>IFERROR(VLOOKUP($A88,HeadJournal!$A$1:$NTR$890,COLUMN(HeadJournal!G$1),0),"")</f>
        <v>44819</v>
      </c>
      <c r="F88" s="95" t="str">
        <f t="shared" si="9"/>
        <v>2022 09</v>
      </c>
      <c r="G88" s="96" t="s">
        <v>5</v>
      </c>
      <c r="H88" s="160" t="str">
        <f>RIGHT(Journal!$J88,9)</f>
        <v>NRT-04290</v>
      </c>
      <c r="I88" s="96" t="str">
        <f t="shared" si="6"/>
        <v>Nature's Bounty</v>
      </c>
      <c r="J88" s="97" t="s">
        <v>76</v>
      </c>
      <c r="K88" s="29">
        <v>258.38</v>
      </c>
      <c r="L88" s="29">
        <v>-67.180000000000007</v>
      </c>
      <c r="M88" s="30">
        <f>IFERROR(VLOOKUP($A88,HeadJournal!$A$1:$J$890,COLUMN(HeadJournal!I$1),0)*($K88+$L88)/(SUMIF($A:$A,$A88,$K:$K)+SUMIF($A:$A,$A88,$L:$L)),0)</f>
        <v>-0.27244543889579959</v>
      </c>
      <c r="N88" s="30">
        <f>IFERROR((VLOOKUP($A88,HeadJournal!$A$1:$K$890,COLUMN(HeadJournal!K$1),0)-VLOOKUP($A88,HeadJournal!$A$1:$K$890,COLUMN(HeadJournal!J$1),0))*($K88+$L88)/(SUMIF($A:$A,$A88,$K:$K)+SUMIF($A:$A,$A88,$L:$L)),0)</f>
        <v>4.8745643391627045</v>
      </c>
      <c r="O88" s="30">
        <f>IFERROR((VLOOKUP($A88,HeadJournal!$A$1:$L$890,COLUMN(HeadJournal!L$1),0)*($K88+$L88)/(SUMIF($A:$A,$A88,$K:$K)+SUMIF($A:$A,$A88,$L:$L)))/VLOOKUP($A88,HeadJournal!$A$1:$L$890,COLUMN(HeadJournal!H$1),0),0)</f>
        <v>20.617492673195645</v>
      </c>
      <c r="P88" s="30">
        <f>IFERROR(SUM(K88:O88)*VLOOKUP($A88,HeadJournal!$A$1:$L$890,COLUMN(HeadJournal!H$1),0),0)</f>
        <v>270.52451446682818</v>
      </c>
      <c r="Q88" s="29">
        <v>270.52451446682818</v>
      </c>
      <c r="R88" s="31">
        <v>44901</v>
      </c>
      <c r="S88" s="31" t="s">
        <v>3121</v>
      </c>
      <c r="T88" s="95" t="str">
        <f t="shared" si="10"/>
        <v>2022 12</v>
      </c>
      <c r="U88" s="32">
        <f t="shared" si="7"/>
        <v>0</v>
      </c>
      <c r="V88" s="22">
        <f t="shared" si="8"/>
        <v>0</v>
      </c>
    </row>
    <row r="89" spans="1:22" x14ac:dyDescent="0.2">
      <c r="A89" s="93" t="s">
        <v>73</v>
      </c>
      <c r="B89" s="94" t="str">
        <f>IFERROR(VLOOKUP($A89,HeadJournal!$A$1:$NTR$890,COLUMN(HeadJournal!B$1),0),"")</f>
        <v>IHORD0000490976NPG</v>
      </c>
      <c r="C89" s="94" t="str">
        <f>IFERROR(VLOOKUP($A89,HeadJournal!$A$1:$NTR$890,COLUMN(HeadJournal!C$1),0),"")</f>
        <v>iHerb_OA CZN6870</v>
      </c>
      <c r="D89" s="125" t="str">
        <f>IFERROR(VLOOKUP($A89,HeadJournal!$A$1:$NTR$890,COLUMN(HeadJournal!D$1),0),"")</f>
        <v>Жанна</v>
      </c>
      <c r="E89" s="95">
        <f>IFERROR(VLOOKUP($A89,HeadJournal!$A$1:$NTR$890,COLUMN(HeadJournal!G$1),0),"")</f>
        <v>44819</v>
      </c>
      <c r="F89" s="95" t="str">
        <f t="shared" si="9"/>
        <v>2022 09</v>
      </c>
      <c r="G89" s="96" t="s">
        <v>5</v>
      </c>
      <c r="H89" s="160" t="str">
        <f>RIGHT(Journal!$J89,9)</f>
        <v>NAP-29996</v>
      </c>
      <c r="I89" s="96" t="str">
        <f t="shared" si="6"/>
        <v>NaturesPlus</v>
      </c>
      <c r="J89" s="97" t="s">
        <v>77</v>
      </c>
      <c r="K89" s="29">
        <v>355.75</v>
      </c>
      <c r="L89" s="29">
        <v>-92.5</v>
      </c>
      <c r="M89" s="30">
        <f>IFERROR(VLOOKUP($A89,HeadJournal!$A$1:$J$890,COLUMN(HeadJournal!I$1),0)*($K89+$L89)/(SUMIF($A:$A,$A89,$K:$K)+SUMIF($A:$A,$A89,$L:$L)),0)</f>
        <v>-0.37511120182698354</v>
      </c>
      <c r="N89" s="30">
        <f>IFERROR((VLOOKUP($A89,HeadJournal!$A$1:$K$890,COLUMN(HeadJournal!K$1),0)-VLOOKUP($A89,HeadJournal!$A$1:$K$890,COLUMN(HeadJournal!J$1),0))*($K89+$L89)/(SUMIF($A:$A,$A89,$K:$K)+SUMIF($A:$A,$A89,$L:$L)),0)</f>
        <v>6.7114490705260561</v>
      </c>
      <c r="O89" s="30">
        <f>IFERROR((VLOOKUP($A89,HeadJournal!$A$1:$L$890,COLUMN(HeadJournal!L$1),0)*($K89+$L89)/(SUMIF($A:$A,$A89,$K:$K)+SUMIF($A:$A,$A89,$L:$L)))/VLOOKUP($A89,HeadJournal!$A$1:$L$890,COLUMN(HeadJournal!H$1),0),0)</f>
        <v>28.386793651771722</v>
      </c>
      <c r="P89" s="30">
        <f>IFERROR(SUM(K89:O89)*VLOOKUP($A89,HeadJournal!$A$1:$L$890,COLUMN(HeadJournal!H$1),0),0)</f>
        <v>372.46641440058846</v>
      </c>
      <c r="Q89" s="29">
        <v>372.5</v>
      </c>
      <c r="R89" s="31">
        <v>44971</v>
      </c>
      <c r="S89" s="31" t="s">
        <v>3121</v>
      </c>
      <c r="T89" s="95" t="str">
        <f t="shared" si="10"/>
        <v>2023 02</v>
      </c>
      <c r="U89" s="32">
        <f t="shared" si="7"/>
        <v>3.3585599411537714E-2</v>
      </c>
      <c r="V89" s="22">
        <f t="shared" si="8"/>
        <v>9.0170813026423175E-5</v>
      </c>
    </row>
    <row r="90" spans="1:22" x14ac:dyDescent="0.2">
      <c r="A90" s="93" t="s">
        <v>73</v>
      </c>
      <c r="B90" s="94" t="str">
        <f>IFERROR(VLOOKUP($A90,HeadJournal!$A$1:$NTR$890,COLUMN(HeadJournal!B$1),0),"")</f>
        <v>IHORD0000490976NPG</v>
      </c>
      <c r="C90" s="94" t="str">
        <f>IFERROR(VLOOKUP($A90,HeadJournal!$A$1:$NTR$890,COLUMN(HeadJournal!C$1),0),"")</f>
        <v>iHerb_OA CZN6870</v>
      </c>
      <c r="D90" s="125" t="str">
        <f>IFERROR(VLOOKUP($A90,HeadJournal!$A$1:$NTR$890,COLUMN(HeadJournal!D$1),0),"")</f>
        <v>Жанна</v>
      </c>
      <c r="E90" s="95">
        <f>IFERROR(VLOOKUP($A90,HeadJournal!$A$1:$NTR$890,COLUMN(HeadJournal!G$1),0),"")</f>
        <v>44819</v>
      </c>
      <c r="F90" s="95" t="str">
        <f t="shared" si="9"/>
        <v>2022 09</v>
      </c>
      <c r="G90" s="96" t="s">
        <v>5</v>
      </c>
      <c r="H90" s="160" t="str">
        <f>RIGHT(Journal!$J90,9)</f>
        <v>NOW-01277</v>
      </c>
      <c r="I90" s="96" t="str">
        <f t="shared" si="6"/>
        <v>NOW Foods</v>
      </c>
      <c r="J90" s="97" t="s">
        <v>52</v>
      </c>
      <c r="K90" s="29">
        <v>443.58</v>
      </c>
      <c r="L90" s="29">
        <v>-115.33</v>
      </c>
      <c r="M90" s="30">
        <f>IFERROR(VLOOKUP($A90,HeadJournal!$A$1:$J$890,COLUMN(HeadJournal!I$1),0)*($K90+$L90)/(SUMIF($A:$A,$A90,$K:$K)+SUMIF($A:$A,$A90,$L:$L)),0)</f>
        <v>-0.46773125166080659</v>
      </c>
      <c r="N90" s="30">
        <f>IFERROR((VLOOKUP($A90,HeadJournal!$A$1:$K$890,COLUMN(HeadJournal!K$1),0)-VLOOKUP($A90,HeadJournal!$A$1:$K$890,COLUMN(HeadJournal!J$1),0))*($K90+$L90)/(SUMIF($A:$A,$A90,$K:$K)+SUMIF($A:$A,$A90,$L:$L)),0)</f>
        <v>8.3685969891744652</v>
      </c>
      <c r="O90" s="30">
        <f>IFERROR((VLOOKUP($A90,HeadJournal!$A$1:$L$890,COLUMN(HeadJournal!L$1),0)*($K90+$L90)/(SUMIF($A:$A,$A90,$K:$K)+SUMIF($A:$A,$A90,$L:$L)))/VLOOKUP($A90,HeadJournal!$A$1:$L$890,COLUMN(HeadJournal!H$1),0),0)</f>
        <v>35.395878504061038</v>
      </c>
      <c r="P90" s="30">
        <f>IFERROR(SUM(K90:O90)*VLOOKUP($A90,HeadJournal!$A$1:$L$890,COLUMN(HeadJournal!H$1),0),0)</f>
        <v>464.43343030196843</v>
      </c>
      <c r="Q90" s="29">
        <v>464.43343030196843</v>
      </c>
      <c r="R90" s="31">
        <v>44901</v>
      </c>
      <c r="S90" s="31" t="s">
        <v>3121</v>
      </c>
      <c r="T90" s="95" t="str">
        <f t="shared" si="10"/>
        <v>2022 12</v>
      </c>
      <c r="U90" s="32">
        <f t="shared" si="7"/>
        <v>0</v>
      </c>
      <c r="V90" s="22">
        <f t="shared" si="8"/>
        <v>0</v>
      </c>
    </row>
    <row r="91" spans="1:22" x14ac:dyDescent="0.2">
      <c r="A91" s="93" t="s">
        <v>73</v>
      </c>
      <c r="B91" s="94" t="str">
        <f>IFERROR(VLOOKUP($A91,HeadJournal!$A$1:$NTR$890,COLUMN(HeadJournal!B$1),0),"")</f>
        <v>IHORD0000490976NPG</v>
      </c>
      <c r="C91" s="94" t="str">
        <f>IFERROR(VLOOKUP($A91,HeadJournal!$A$1:$NTR$890,COLUMN(HeadJournal!C$1),0),"")</f>
        <v>iHerb_OA CZN6870</v>
      </c>
      <c r="D91" s="125" t="str">
        <f>IFERROR(VLOOKUP($A91,HeadJournal!$A$1:$NTR$890,COLUMN(HeadJournal!D$1),0),"")</f>
        <v>Жанна</v>
      </c>
      <c r="E91" s="95">
        <f>IFERROR(VLOOKUP($A91,HeadJournal!$A$1:$NTR$890,COLUMN(HeadJournal!G$1),0),"")</f>
        <v>44819</v>
      </c>
      <c r="F91" s="95" t="str">
        <f t="shared" si="9"/>
        <v>2022 09</v>
      </c>
      <c r="G91" s="96" t="s">
        <v>5</v>
      </c>
      <c r="H91" s="160" t="str">
        <f>RIGHT(Journal!$J91,9)</f>
        <v>CEN-27844</v>
      </c>
      <c r="I91" s="96" t="str">
        <f t="shared" si="6"/>
        <v>21st Century</v>
      </c>
      <c r="J91" s="97" t="s">
        <v>78</v>
      </c>
      <c r="K91" s="29">
        <v>272.60000000000002</v>
      </c>
      <c r="L91" s="29">
        <v>-70.88</v>
      </c>
      <c r="M91" s="30">
        <f>IFERROR(VLOOKUP($A91,HeadJournal!$A$1:$J$890,COLUMN(HeadJournal!I$1),0)*($K91+$L91)/(SUMIF($A:$A,$A91,$K:$K)+SUMIF($A:$A,$A91,$L:$L)),0)</f>
        <v>-0.28743563773044301</v>
      </c>
      <c r="N91" s="30">
        <f>IFERROR((VLOOKUP($A91,HeadJournal!$A$1:$K$890,COLUMN(HeadJournal!K$1),0)-VLOOKUP($A91,HeadJournal!$A$1:$K$890,COLUMN(HeadJournal!J$1),0))*($K91+$L91)/(SUMIF($A:$A,$A91,$K:$K)+SUMIF($A:$A,$A91,$L:$L)),0)</f>
        <v>5.1427673561501095</v>
      </c>
      <c r="O91" s="30">
        <f>IFERROR((VLOOKUP($A91,HeadJournal!$A$1:$L$890,COLUMN(HeadJournal!L$1),0)*($K91+$L91)/(SUMIF($A:$A,$A91,$K:$K)+SUMIF($A:$A,$A91,$L:$L)))/VLOOKUP($A91,HeadJournal!$A$1:$L$890,COLUMN(HeadJournal!H$1),0),0)</f>
        <v>21.751886098520011</v>
      </c>
      <c r="P91" s="30">
        <f>IFERROR(SUM(K91:O91)*VLOOKUP($A91,HeadJournal!$A$1:$L$890,COLUMN(HeadJournal!H$1),0),0)</f>
        <v>285.40902227117459</v>
      </c>
      <c r="Q91" s="29">
        <v>286.25</v>
      </c>
      <c r="R91" s="31">
        <v>44940</v>
      </c>
      <c r="S91" s="31" t="s">
        <v>3121</v>
      </c>
      <c r="T91" s="95" t="str">
        <f t="shared" si="10"/>
        <v>2023 01</v>
      </c>
      <c r="U91" s="32">
        <f t="shared" si="7"/>
        <v>0.84097772882540767</v>
      </c>
      <c r="V91" s="22">
        <f t="shared" si="8"/>
        <v>2.9465702314987528E-3</v>
      </c>
    </row>
    <row r="92" spans="1:22" x14ac:dyDescent="0.2">
      <c r="A92" s="93" t="s">
        <v>73</v>
      </c>
      <c r="B92" s="94" t="str">
        <f>IFERROR(VLOOKUP($A92,HeadJournal!$A$1:$NTR$890,COLUMN(HeadJournal!B$1),0),"")</f>
        <v>IHORD0000490976NPG</v>
      </c>
      <c r="C92" s="94" t="str">
        <f>IFERROR(VLOOKUP($A92,HeadJournal!$A$1:$NTR$890,COLUMN(HeadJournal!C$1),0),"")</f>
        <v>iHerb_OA CZN6870</v>
      </c>
      <c r="D92" s="125" t="str">
        <f>IFERROR(VLOOKUP($A92,HeadJournal!$A$1:$NTR$890,COLUMN(HeadJournal!D$1),0),"")</f>
        <v>Жанна</v>
      </c>
      <c r="E92" s="95">
        <f>IFERROR(VLOOKUP($A92,HeadJournal!$A$1:$NTR$890,COLUMN(HeadJournal!G$1),0),"")</f>
        <v>44819</v>
      </c>
      <c r="F92" s="95" t="str">
        <f t="shared" si="9"/>
        <v>2022 09</v>
      </c>
      <c r="G92" s="96" t="s">
        <v>5</v>
      </c>
      <c r="H92" s="175" t="s">
        <v>3623</v>
      </c>
      <c r="I92" s="176" t="s">
        <v>2218</v>
      </c>
      <c r="J92" s="97" t="s">
        <v>3665</v>
      </c>
      <c r="K92" s="29">
        <v>541.52</v>
      </c>
      <c r="L92" s="29">
        <v>-140.80000000000001</v>
      </c>
      <c r="M92" s="30">
        <f>IFERROR(VLOOKUP($A92,HeadJournal!$A$1:$J$890,COLUMN(HeadJournal!I$1),0)*($K92+$L92)/(SUMIF($A:$A,$A92,$K:$K)+SUMIF($A:$A,$A92,$L:$L)),0)</f>
        <v>-0.57099548260630129</v>
      </c>
      <c r="N92" s="30">
        <f>IFERROR((VLOOKUP($A92,HeadJournal!$A$1:$K$890,COLUMN(HeadJournal!K$1),0)-VLOOKUP($A92,HeadJournal!$A$1:$K$890,COLUMN(HeadJournal!J$1),0))*($K92+$L92)/(SUMIF($A:$A,$A92,$K:$K)+SUMIF($A:$A,$A92,$L:$L)),0)</f>
        <v>10.216189445550622</v>
      </c>
      <c r="O92" s="30">
        <f>IFERROR((VLOOKUP($A92,HeadJournal!$A$1:$L$890,COLUMN(HeadJournal!L$1),0)*($K92+$L92)/(SUMIF($A:$A,$A92,$K:$K)+SUMIF($A:$A,$A92,$L:$L)))/VLOOKUP($A92,HeadJournal!$A$1:$L$890,COLUMN(HeadJournal!H$1),0),0)</f>
        <v>43.210468953990372</v>
      </c>
      <c r="P92" s="30">
        <f>IFERROR(SUM(K92:O92)*VLOOKUP($A92,HeadJournal!$A$1:$L$890,COLUMN(HeadJournal!H$1),0),0)</f>
        <v>566.96957864616832</v>
      </c>
      <c r="Q92" s="29">
        <v>2300</v>
      </c>
      <c r="R92" s="31">
        <v>45190</v>
      </c>
      <c r="S92" s="31" t="s">
        <v>3121</v>
      </c>
      <c r="T92" s="95" t="str">
        <f t="shared" si="10"/>
        <v>2023 09</v>
      </c>
      <c r="U92" s="32">
        <f t="shared" si="7"/>
        <v>1733.0304213538316</v>
      </c>
      <c r="V92" s="22">
        <f t="shared" si="8"/>
        <v>3.0566550422194223</v>
      </c>
    </row>
    <row r="93" spans="1:22" x14ac:dyDescent="0.2">
      <c r="A93" s="93" t="s">
        <v>73</v>
      </c>
      <c r="B93" s="94" t="str">
        <f>IFERROR(VLOOKUP($A93,HeadJournal!$A$1:$NTR$890,COLUMN(HeadJournal!B$1),0),"")</f>
        <v>IHORD0000490976NPG</v>
      </c>
      <c r="C93" s="94" t="str">
        <f>IFERROR(VLOOKUP($A93,HeadJournal!$A$1:$NTR$890,COLUMN(HeadJournal!C$1),0),"")</f>
        <v>iHerb_OA CZN6870</v>
      </c>
      <c r="D93" s="125" t="str">
        <f>IFERROR(VLOOKUP($A93,HeadJournal!$A$1:$NTR$890,COLUMN(HeadJournal!D$1),0),"")</f>
        <v>Жанна</v>
      </c>
      <c r="E93" s="95">
        <f>IFERROR(VLOOKUP($A93,HeadJournal!$A$1:$NTR$890,COLUMN(HeadJournal!G$1),0),"")</f>
        <v>44819</v>
      </c>
      <c r="F93" s="95" t="str">
        <f t="shared" si="9"/>
        <v>2022 09</v>
      </c>
      <c r="G93" s="96" t="s">
        <v>7</v>
      </c>
      <c r="H93" s="160" t="str">
        <f>RIGHT(Journal!$J93,9)</f>
        <v>RSE-01956</v>
      </c>
      <c r="I93" s="96" t="str">
        <f t="shared" si="6"/>
        <v>Radiant Seoul</v>
      </c>
      <c r="J93" s="97" t="s">
        <v>79</v>
      </c>
      <c r="K93" s="29">
        <v>231.19</v>
      </c>
      <c r="L93" s="29">
        <v>-115.59</v>
      </c>
      <c r="M93" s="30">
        <f>IFERROR(VLOOKUP($A93,HeadJournal!$A$1:$J$890,COLUMN(HeadJournal!I$1),0)*($K93+$L93)/(SUMIF($A:$A,$A93,$K:$K)+SUMIF($A:$A,$A93,$L:$L)),0)</f>
        <v>-0.16472119631984536</v>
      </c>
      <c r="N93" s="30">
        <f>IFERROR((VLOOKUP($A93,HeadJournal!$A$1:$K$890,COLUMN(HeadJournal!K$1),0)-VLOOKUP($A93,HeadJournal!$A$1:$K$890,COLUMN(HeadJournal!J$1),0))*($K93+$L93)/(SUMIF($A:$A,$A93,$K:$K)+SUMIF($A:$A,$A93,$L:$L)),0)</f>
        <v>2.9471738368577856</v>
      </c>
      <c r="O93" s="30">
        <f>IFERROR((VLOOKUP($A93,HeadJournal!$A$1:$L$890,COLUMN(HeadJournal!L$1),0)*($K93+$L93)/(SUMIF($A:$A,$A93,$K:$K)+SUMIF($A:$A,$A93,$L:$L)))/VLOOKUP($A93,HeadJournal!$A$1:$L$890,COLUMN(HeadJournal!H$1),0),0)</f>
        <v>12.46538782960992</v>
      </c>
      <c r="P93" s="30">
        <f>IFERROR(SUM(K93:O93)*VLOOKUP($A93,HeadJournal!$A$1:$L$890,COLUMN(HeadJournal!H$1),0),0)</f>
        <v>163.5598005876848</v>
      </c>
      <c r="Q93" s="29">
        <v>337.5</v>
      </c>
      <c r="R93" s="31">
        <v>44955</v>
      </c>
      <c r="S93" s="31" t="s">
        <v>3121</v>
      </c>
      <c r="T93" s="95" t="str">
        <f t="shared" si="10"/>
        <v>2023 01</v>
      </c>
      <c r="U93" s="32">
        <f t="shared" si="7"/>
        <v>173.9401994123152</v>
      </c>
      <c r="V93" s="22">
        <f t="shared" si="8"/>
        <v>1.0634654651530064</v>
      </c>
    </row>
    <row r="94" spans="1:22" x14ac:dyDescent="0.2">
      <c r="A94" s="93" t="s">
        <v>80</v>
      </c>
      <c r="B94" s="94" t="str">
        <f>IFERROR(VLOOKUP($A94,HeadJournal!$A$1:$NTR$890,COLUMN(HeadJournal!B$1),0),"")</f>
        <v>IHORD0000495511NPG</v>
      </c>
      <c r="C94" s="94" t="str">
        <f>IFERROR(VLOOKUP($A94,HeadJournal!$A$1:$NTR$890,COLUMN(HeadJournal!C$1),0),"")</f>
        <v>iHerb_MH DLE7202</v>
      </c>
      <c r="D94" s="125" t="str">
        <f>IFERROR(VLOOKUP($A94,HeadJournal!$A$1:$NTR$890,COLUMN(HeadJournal!D$1),0),"")</f>
        <v>Жанна</v>
      </c>
      <c r="E94" s="95">
        <f>IFERROR(VLOOKUP($A94,HeadJournal!$A$1:$NTR$890,COLUMN(HeadJournal!G$1),0),"")</f>
        <v>44822</v>
      </c>
      <c r="F94" s="95" t="str">
        <f t="shared" si="9"/>
        <v>2022 09</v>
      </c>
      <c r="G94" s="96" t="s">
        <v>7</v>
      </c>
      <c r="H94" s="161" t="s">
        <v>2724</v>
      </c>
      <c r="I94" s="97" t="s">
        <v>2725</v>
      </c>
      <c r="J94" s="97" t="s">
        <v>2726</v>
      </c>
      <c r="K94" s="29">
        <v>614.53</v>
      </c>
      <c r="L94" s="29">
        <v>-159.78</v>
      </c>
      <c r="M94" s="30">
        <f>IFERROR(VLOOKUP($A94,HeadJournal!$A$1:$J$890,COLUMN(HeadJournal!I$1),0)*($K94+$L94)/(SUMIF($A:$A,$A94,$K:$K)+SUMIF($A:$A,$A94,$L:$L)),0)</f>
        <v>0</v>
      </c>
      <c r="N94" s="30">
        <f>IFERROR((VLOOKUP($A94,HeadJournal!$A$1:$K$890,COLUMN(HeadJournal!K$1),0)-VLOOKUP($A94,HeadJournal!$A$1:$K$890,COLUMN(HeadJournal!J$1),0))*($K94+$L94)/(SUMIF($A:$A,$A94,$K:$K)+SUMIF($A:$A,$A94,$L:$L)),0)</f>
        <v>11.573231854335827</v>
      </c>
      <c r="O94" s="30">
        <f>IFERROR((VLOOKUP($A94,HeadJournal!$A$1:$L$890,COLUMN(HeadJournal!L$1),0)*($K94+$L94)/(SUMIF($A:$A,$A94,$K:$K)+SUMIF($A:$A,$A94,$L:$L)))/VLOOKUP($A94,HeadJournal!$A$1:$L$890,COLUMN(HeadJournal!H$1),0),0)</f>
        <v>35.288085802178308</v>
      </c>
      <c r="P94" s="30">
        <f>IFERROR(SUM(K94:O94)*VLOOKUP($A94,HeadJournal!$A$1:$L$890,COLUMN(HeadJournal!H$1),0),0)</f>
        <v>627.01414707064271</v>
      </c>
      <c r="Q94" s="29"/>
      <c r="R94" s="31"/>
      <c r="S94" s="31"/>
      <c r="T94" s="95" t="str">
        <f t="shared" si="10"/>
        <v/>
      </c>
      <c r="U94" s="32">
        <f t="shared" si="7"/>
        <v>-627.01414707064271</v>
      </c>
      <c r="V94" s="22" t="str">
        <f t="shared" si="8"/>
        <v/>
      </c>
    </row>
    <row r="95" spans="1:22" x14ac:dyDescent="0.2">
      <c r="A95" s="93" t="s">
        <v>80</v>
      </c>
      <c r="B95" s="94" t="str">
        <f>IFERROR(VLOOKUP($A95,HeadJournal!$A$1:$NTR$890,COLUMN(HeadJournal!B$1),0),"")</f>
        <v>IHORD0000495511NPG</v>
      </c>
      <c r="C95" s="94" t="str">
        <f>IFERROR(VLOOKUP($A95,HeadJournal!$A$1:$NTR$890,COLUMN(HeadJournal!C$1),0),"")</f>
        <v>iHerb_MH DLE7202</v>
      </c>
      <c r="D95" s="125" t="str">
        <f>IFERROR(VLOOKUP($A95,HeadJournal!$A$1:$NTR$890,COLUMN(HeadJournal!D$1),0),"")</f>
        <v>Жанна</v>
      </c>
      <c r="E95" s="95">
        <f>IFERROR(VLOOKUP($A95,HeadJournal!$A$1:$NTR$890,COLUMN(HeadJournal!G$1),0),"")</f>
        <v>44822</v>
      </c>
      <c r="F95" s="95" t="str">
        <f t="shared" si="9"/>
        <v>2022 09</v>
      </c>
      <c r="G95" s="96" t="s">
        <v>7</v>
      </c>
      <c r="H95" s="161" t="s">
        <v>2724</v>
      </c>
      <c r="I95" s="97" t="s">
        <v>2725</v>
      </c>
      <c r="J95" s="97" t="s">
        <v>2726</v>
      </c>
      <c r="K95" s="29">
        <v>614.53</v>
      </c>
      <c r="L95" s="29">
        <v>-159.78</v>
      </c>
      <c r="M95" s="30">
        <f>IFERROR(VLOOKUP($A95,HeadJournal!$A$1:$J$890,COLUMN(HeadJournal!I$1),0)*($K95+$L95)/(SUMIF($A:$A,$A95,$K:$K)+SUMIF($A:$A,$A95,$L:$L)),0)</f>
        <v>0</v>
      </c>
      <c r="N95" s="30">
        <f>IFERROR((VLOOKUP($A95,HeadJournal!$A$1:$K$890,COLUMN(HeadJournal!K$1),0)-VLOOKUP($A95,HeadJournal!$A$1:$K$890,COLUMN(HeadJournal!J$1),0))*($K95+$L95)/(SUMIF($A:$A,$A95,$K:$K)+SUMIF($A:$A,$A95,$L:$L)),0)</f>
        <v>11.573231854335827</v>
      </c>
      <c r="O95" s="30">
        <f>IFERROR((VLOOKUP($A95,HeadJournal!$A$1:$L$890,COLUMN(HeadJournal!L$1),0)*($K95+$L95)/(SUMIF($A:$A,$A95,$K:$K)+SUMIF($A:$A,$A95,$L:$L)))/VLOOKUP($A95,HeadJournal!$A$1:$L$890,COLUMN(HeadJournal!H$1),0),0)</f>
        <v>35.288085802178308</v>
      </c>
      <c r="P95" s="30">
        <f>IFERROR(SUM(K95:O95)*VLOOKUP($A95,HeadJournal!$A$1:$L$890,COLUMN(HeadJournal!H$1),0),0)</f>
        <v>627.01414707064271</v>
      </c>
      <c r="Q95" s="29"/>
      <c r="R95" s="31"/>
      <c r="S95" s="31"/>
      <c r="T95" s="95" t="str">
        <f t="shared" si="10"/>
        <v/>
      </c>
      <c r="U95" s="32">
        <f t="shared" si="7"/>
        <v>-627.01414707064271</v>
      </c>
      <c r="V95" s="22" t="str">
        <f t="shared" si="8"/>
        <v/>
      </c>
    </row>
    <row r="96" spans="1:22" x14ac:dyDescent="0.2">
      <c r="A96" s="93" t="s">
        <v>80</v>
      </c>
      <c r="B96" s="94" t="str">
        <f>IFERROR(VLOOKUP($A96,HeadJournal!$A$1:$NTR$890,COLUMN(HeadJournal!B$1),0),"")</f>
        <v>IHORD0000495511NPG</v>
      </c>
      <c r="C96" s="94" t="str">
        <f>IFERROR(VLOOKUP($A96,HeadJournal!$A$1:$NTR$890,COLUMN(HeadJournal!C$1),0),"")</f>
        <v>iHerb_MH DLE7202</v>
      </c>
      <c r="D96" s="125" t="str">
        <f>IFERROR(VLOOKUP($A96,HeadJournal!$A$1:$NTR$890,COLUMN(HeadJournal!D$1),0),"")</f>
        <v>Жанна</v>
      </c>
      <c r="E96" s="95">
        <f>IFERROR(VLOOKUP($A96,HeadJournal!$A$1:$NTR$890,COLUMN(HeadJournal!G$1),0),"")</f>
        <v>44822</v>
      </c>
      <c r="F96" s="95" t="str">
        <f t="shared" si="9"/>
        <v>2022 09</v>
      </c>
      <c r="G96" s="96" t="s">
        <v>5</v>
      </c>
      <c r="H96" s="161" t="s">
        <v>2771</v>
      </c>
      <c r="I96" s="97" t="s">
        <v>2052</v>
      </c>
      <c r="J96" s="97" t="s">
        <v>3858</v>
      </c>
      <c r="K96" s="29">
        <v>269.72000000000003</v>
      </c>
      <c r="L96" s="29">
        <v>-115.60000000000001</v>
      </c>
      <c r="M96" s="30">
        <f>IFERROR(VLOOKUP($A96,HeadJournal!$A$1:$J$890,COLUMN(HeadJournal!I$1),0)*($K96+$L96)/(SUMIF($A:$A,$A96,$K:$K)+SUMIF($A:$A,$A96,$L:$L)),0)</f>
        <v>0</v>
      </c>
      <c r="N96" s="30">
        <f>IFERROR((VLOOKUP($A96,HeadJournal!$A$1:$K$890,COLUMN(HeadJournal!K$1),0)-VLOOKUP($A96,HeadJournal!$A$1:$K$890,COLUMN(HeadJournal!J$1),0))*($K96+$L96)/(SUMIF($A:$A,$A96,$K:$K)+SUMIF($A:$A,$A96,$L:$L)),0)</f>
        <v>3.9223012498960697</v>
      </c>
      <c r="O96" s="30">
        <f>IFERROR((VLOOKUP($A96,HeadJournal!$A$1:$L$890,COLUMN(HeadJournal!L$1),0)*($K96+$L96)/(SUMIF($A:$A,$A96,$K:$K)+SUMIF($A:$A,$A96,$L:$L)))/VLOOKUP($A96,HeadJournal!$A$1:$L$890,COLUMN(HeadJournal!H$1),0),0)</f>
        <v>11.959537732450183</v>
      </c>
      <c r="P96" s="30">
        <f>IFERROR(SUM(K96:O96)*VLOOKUP($A96,HeadJournal!$A$1:$L$890,COLUMN(HeadJournal!H$1),0),0)</f>
        <v>212.50229872793281</v>
      </c>
      <c r="Q96" s="29">
        <v>212.50229872793281</v>
      </c>
      <c r="R96" s="31">
        <v>44901</v>
      </c>
      <c r="S96" s="31" t="s">
        <v>3121</v>
      </c>
      <c r="T96" s="95" t="str">
        <f t="shared" si="10"/>
        <v>2022 12</v>
      </c>
      <c r="U96" s="32">
        <f t="shared" si="7"/>
        <v>0</v>
      </c>
      <c r="V96" s="22">
        <f t="shared" si="8"/>
        <v>0</v>
      </c>
    </row>
    <row r="97" spans="1:25" x14ac:dyDescent="0.2">
      <c r="A97" s="93" t="s">
        <v>80</v>
      </c>
      <c r="B97" s="94" t="str">
        <f>IFERROR(VLOOKUP($A97,HeadJournal!$A$1:$NTR$890,COLUMN(HeadJournal!B$1),0),"")</f>
        <v>IHORD0000495511NPG</v>
      </c>
      <c r="C97" s="94" t="str">
        <f>IFERROR(VLOOKUP($A97,HeadJournal!$A$1:$NTR$890,COLUMN(HeadJournal!C$1),0),"")</f>
        <v>iHerb_MH DLE7202</v>
      </c>
      <c r="D97" s="125" t="str">
        <f>IFERROR(VLOOKUP($A97,HeadJournal!$A$1:$NTR$890,COLUMN(HeadJournal!D$1),0),"")</f>
        <v>Жанна</v>
      </c>
      <c r="E97" s="95">
        <f>IFERROR(VLOOKUP($A97,HeadJournal!$A$1:$NTR$890,COLUMN(HeadJournal!G$1),0),"")</f>
        <v>44822</v>
      </c>
      <c r="F97" s="95" t="str">
        <f t="shared" si="9"/>
        <v>2022 09</v>
      </c>
      <c r="G97" s="96" t="s">
        <v>5</v>
      </c>
      <c r="H97" s="161" t="s">
        <v>2771</v>
      </c>
      <c r="I97" s="97" t="s">
        <v>2052</v>
      </c>
      <c r="J97" s="97" t="s">
        <v>3858</v>
      </c>
      <c r="K97" s="29">
        <v>269.72000000000003</v>
      </c>
      <c r="L97" s="29">
        <v>-115.60000000000001</v>
      </c>
      <c r="M97" s="30">
        <f>IFERROR(VLOOKUP($A97,HeadJournal!$A$1:$J$890,COLUMN(HeadJournal!I$1),0)*($K97+$L97)/(SUMIF($A:$A,$A97,$K:$K)+SUMIF($A:$A,$A97,$L:$L)),0)</f>
        <v>0</v>
      </c>
      <c r="N97" s="30">
        <f>IFERROR((VLOOKUP($A97,HeadJournal!$A$1:$K$890,COLUMN(HeadJournal!K$1),0)-VLOOKUP($A97,HeadJournal!$A$1:$K$890,COLUMN(HeadJournal!J$1),0))*($K97+$L97)/(SUMIF($A:$A,$A97,$K:$K)+SUMIF($A:$A,$A97,$L:$L)),0)</f>
        <v>3.9223012498960697</v>
      </c>
      <c r="O97" s="30">
        <f>IFERROR((VLOOKUP($A97,HeadJournal!$A$1:$L$890,COLUMN(HeadJournal!L$1),0)*($K97+$L97)/(SUMIF($A:$A,$A97,$K:$K)+SUMIF($A:$A,$A97,$L:$L)))/VLOOKUP($A97,HeadJournal!$A$1:$L$890,COLUMN(HeadJournal!H$1),0),0)</f>
        <v>11.959537732450183</v>
      </c>
      <c r="P97" s="30">
        <f>IFERROR(SUM(K97:O97)*VLOOKUP($A97,HeadJournal!$A$1:$L$890,COLUMN(HeadJournal!H$1),0),0)</f>
        <v>212.50229872793281</v>
      </c>
      <c r="Q97" s="29">
        <v>212.50229872793281</v>
      </c>
      <c r="R97" s="31">
        <v>44901</v>
      </c>
      <c r="S97" s="31" t="s">
        <v>3121</v>
      </c>
      <c r="T97" s="95" t="str">
        <f t="shared" si="10"/>
        <v>2022 12</v>
      </c>
      <c r="U97" s="32">
        <f t="shared" si="7"/>
        <v>0</v>
      </c>
      <c r="V97" s="22">
        <f t="shared" si="8"/>
        <v>0</v>
      </c>
    </row>
    <row r="98" spans="1:25" x14ac:dyDescent="0.2">
      <c r="A98" s="93" t="s">
        <v>80</v>
      </c>
      <c r="B98" s="94" t="str">
        <f>IFERROR(VLOOKUP($A98,HeadJournal!$A$1:$NTR$890,COLUMN(HeadJournal!B$1),0),"")</f>
        <v>IHORD0000495511NPG</v>
      </c>
      <c r="C98" s="94" t="str">
        <f>IFERROR(VLOOKUP($A98,HeadJournal!$A$1:$NTR$890,COLUMN(HeadJournal!C$1),0),"")</f>
        <v>iHerb_MH DLE7202</v>
      </c>
      <c r="D98" s="125" t="str">
        <f>IFERROR(VLOOKUP($A98,HeadJournal!$A$1:$NTR$890,COLUMN(HeadJournal!D$1),0),"")</f>
        <v>Жанна</v>
      </c>
      <c r="E98" s="95">
        <f>IFERROR(VLOOKUP($A98,HeadJournal!$A$1:$NTR$890,COLUMN(HeadJournal!G$1),0),"")</f>
        <v>44822</v>
      </c>
      <c r="F98" s="95" t="str">
        <f t="shared" si="9"/>
        <v>2022 09</v>
      </c>
      <c r="G98" s="96" t="s">
        <v>5</v>
      </c>
      <c r="H98" s="161" t="s">
        <v>2771</v>
      </c>
      <c r="I98" s="97" t="s">
        <v>2052</v>
      </c>
      <c r="J98" s="97" t="s">
        <v>3858</v>
      </c>
      <c r="K98" s="29">
        <v>269.72000000000003</v>
      </c>
      <c r="L98" s="29">
        <v>-115.60000000000001</v>
      </c>
      <c r="M98" s="30">
        <f>IFERROR(VLOOKUP($A98,HeadJournal!$A$1:$J$890,COLUMN(HeadJournal!I$1),0)*($K98+$L98)/(SUMIF($A:$A,$A98,$K:$K)+SUMIF($A:$A,$A98,$L:$L)),0)</f>
        <v>0</v>
      </c>
      <c r="N98" s="30">
        <f>IFERROR((VLOOKUP($A98,HeadJournal!$A$1:$K$890,COLUMN(HeadJournal!K$1),0)-VLOOKUP($A98,HeadJournal!$A$1:$K$890,COLUMN(HeadJournal!J$1),0))*($K98+$L98)/(SUMIF($A:$A,$A98,$K:$K)+SUMIF($A:$A,$A98,$L:$L)),0)</f>
        <v>3.9223012498960697</v>
      </c>
      <c r="O98" s="30">
        <f>IFERROR((VLOOKUP($A98,HeadJournal!$A$1:$L$890,COLUMN(HeadJournal!L$1),0)*($K98+$L98)/(SUMIF($A:$A,$A98,$K:$K)+SUMIF($A:$A,$A98,$L:$L)))/VLOOKUP($A98,HeadJournal!$A$1:$L$890,COLUMN(HeadJournal!H$1),0),0)</f>
        <v>11.959537732450183</v>
      </c>
      <c r="P98" s="30">
        <f>IFERROR(SUM(K98:O98)*VLOOKUP($A98,HeadJournal!$A$1:$L$890,COLUMN(HeadJournal!H$1),0),0)</f>
        <v>212.50229872793281</v>
      </c>
      <c r="Q98" s="29">
        <v>212.50229872793281</v>
      </c>
      <c r="R98" s="31">
        <v>44901</v>
      </c>
      <c r="S98" s="31" t="s">
        <v>3121</v>
      </c>
      <c r="T98" s="95" t="str">
        <f t="shared" si="10"/>
        <v>2022 12</v>
      </c>
      <c r="U98" s="32">
        <f t="shared" si="7"/>
        <v>0</v>
      </c>
      <c r="V98" s="22">
        <f t="shared" si="8"/>
        <v>0</v>
      </c>
    </row>
    <row r="99" spans="1:25" x14ac:dyDescent="0.2">
      <c r="A99" s="93" t="s">
        <v>80</v>
      </c>
      <c r="B99" s="94" t="str">
        <f>IFERROR(VLOOKUP($A99,HeadJournal!$A$1:$NTR$890,COLUMN(HeadJournal!B$1),0),"")</f>
        <v>IHORD0000495511NPG</v>
      </c>
      <c r="C99" s="94" t="str">
        <f>IFERROR(VLOOKUP($A99,HeadJournal!$A$1:$NTR$890,COLUMN(HeadJournal!C$1),0),"")</f>
        <v>iHerb_MH DLE7202</v>
      </c>
      <c r="D99" s="125" t="str">
        <f>IFERROR(VLOOKUP($A99,HeadJournal!$A$1:$NTR$890,COLUMN(HeadJournal!D$1),0),"")</f>
        <v>Жанна</v>
      </c>
      <c r="E99" s="95">
        <f>IFERROR(VLOOKUP($A99,HeadJournal!$A$1:$NTR$890,COLUMN(HeadJournal!G$1),0),"")</f>
        <v>44822</v>
      </c>
      <c r="F99" s="95" t="str">
        <f t="shared" si="9"/>
        <v>2022 09</v>
      </c>
      <c r="G99" s="96" t="s">
        <v>7</v>
      </c>
      <c r="H99" s="160" t="str">
        <f>RIGHT(Journal!$J99,9)</f>
        <v>ARH-19744</v>
      </c>
      <c r="I99" s="96" t="str">
        <f t="shared" si="6"/>
        <v>Arm &amp; Hammer</v>
      </c>
      <c r="J99" s="97" t="s">
        <v>81</v>
      </c>
      <c r="K99" s="29">
        <v>152.15</v>
      </c>
      <c r="L99" s="29">
        <v>-39.56</v>
      </c>
      <c r="M99" s="30">
        <f>IFERROR(VLOOKUP($A99,HeadJournal!$A$1:$J$890,COLUMN(HeadJournal!I$1),0)*($K99+$L99)/(SUMIF($A:$A,$A99,$K:$K)+SUMIF($A:$A,$A99,$L:$L)),0)</f>
        <v>0</v>
      </c>
      <c r="N99" s="30">
        <f>IFERROR((VLOOKUP($A99,HeadJournal!$A$1:$K$890,COLUMN(HeadJournal!K$1),0)-VLOOKUP($A99,HeadJournal!$A$1:$K$890,COLUMN(HeadJournal!J$1),0))*($K99+$L99)/(SUMIF($A:$A,$A99,$K:$K)+SUMIF($A:$A,$A99,$L:$L)),0)</f>
        <v>2.8653769642213764</v>
      </c>
      <c r="O99" s="30">
        <f>IFERROR((VLOOKUP($A99,HeadJournal!$A$1:$L$890,COLUMN(HeadJournal!L$1),0)*($K99+$L99)/(SUMIF($A:$A,$A99,$K:$K)+SUMIF($A:$A,$A99,$L:$L)))/VLOOKUP($A99,HeadJournal!$A$1:$L$890,COLUMN(HeadJournal!H$1),0),0)</f>
        <v>8.7368566915167811</v>
      </c>
      <c r="P99" s="30">
        <f>IFERROR(SUM(K99:O99)*VLOOKUP($A99,HeadJournal!$A$1:$L$890,COLUMN(HeadJournal!H$1),0),0)</f>
        <v>155.24029206967271</v>
      </c>
      <c r="Q99" s="29">
        <v>155.24</v>
      </c>
      <c r="R99" s="31">
        <v>45323</v>
      </c>
      <c r="S99" s="31" t="s">
        <v>3121</v>
      </c>
      <c r="T99" s="95" t="str">
        <f t="shared" si="10"/>
        <v>2024 02</v>
      </c>
      <c r="U99" s="32">
        <f t="shared" si="7"/>
        <v>-2.9206967269601591E-4</v>
      </c>
      <c r="V99" s="22">
        <f t="shared" si="8"/>
        <v>-1.8814037824982539E-6</v>
      </c>
    </row>
    <row r="100" spans="1:25" x14ac:dyDescent="0.2">
      <c r="A100" s="93" t="s">
        <v>80</v>
      </c>
      <c r="B100" s="94" t="str">
        <f>IFERROR(VLOOKUP($A100,HeadJournal!$A$1:$NTR$890,COLUMN(HeadJournal!B$1),0),"")</f>
        <v>IHORD0000495511NPG</v>
      </c>
      <c r="C100" s="94" t="str">
        <f>IFERROR(VLOOKUP($A100,HeadJournal!$A$1:$NTR$890,COLUMN(HeadJournal!C$1),0),"")</f>
        <v>iHerb_MH DLE7202</v>
      </c>
      <c r="D100" s="125" t="str">
        <f>IFERROR(VLOOKUP($A100,HeadJournal!$A$1:$NTR$890,COLUMN(HeadJournal!D$1),0),"")</f>
        <v>Жанна</v>
      </c>
      <c r="E100" s="95">
        <f>IFERROR(VLOOKUP($A100,HeadJournal!$A$1:$NTR$890,COLUMN(HeadJournal!G$1),0),"")</f>
        <v>44822</v>
      </c>
      <c r="F100" s="95" t="str">
        <f t="shared" si="9"/>
        <v>2022 09</v>
      </c>
      <c r="G100" s="96" t="s">
        <v>7</v>
      </c>
      <c r="H100" s="160" t="str">
        <f>RIGHT(Journal!$J100,9)</f>
        <v>ARH-19470</v>
      </c>
      <c r="I100" s="96" t="str">
        <f t="shared" si="6"/>
        <v>Arm &amp; Hammer</v>
      </c>
      <c r="J100" s="97" t="s">
        <v>82</v>
      </c>
      <c r="K100" s="29">
        <v>152.15</v>
      </c>
      <c r="L100" s="29">
        <v>-39.56</v>
      </c>
      <c r="M100" s="30">
        <f>IFERROR(VLOOKUP($A100,HeadJournal!$A$1:$J$890,COLUMN(HeadJournal!I$1),0)*($K100+$L100)/(SUMIF($A:$A,$A100,$K:$K)+SUMIF($A:$A,$A100,$L:$L)),0)</f>
        <v>0</v>
      </c>
      <c r="N100" s="30">
        <f>IFERROR((VLOOKUP($A100,HeadJournal!$A$1:$K$890,COLUMN(HeadJournal!K$1),0)-VLOOKUP($A100,HeadJournal!$A$1:$K$890,COLUMN(HeadJournal!J$1),0))*($K100+$L100)/(SUMIF($A:$A,$A100,$K:$K)+SUMIF($A:$A,$A100,$L:$L)),0)</f>
        <v>2.8653769642213764</v>
      </c>
      <c r="O100" s="30">
        <f>IFERROR((VLOOKUP($A100,HeadJournal!$A$1:$L$890,COLUMN(HeadJournal!L$1),0)*($K100+$L100)/(SUMIF($A:$A,$A100,$K:$K)+SUMIF($A:$A,$A100,$L:$L)))/VLOOKUP($A100,HeadJournal!$A$1:$L$890,COLUMN(HeadJournal!H$1),0),0)</f>
        <v>8.7368566915167811</v>
      </c>
      <c r="P100" s="30">
        <f>IFERROR(SUM(K100:O100)*VLOOKUP($A100,HeadJournal!$A$1:$L$890,COLUMN(HeadJournal!H$1),0),0)</f>
        <v>155.24029206967271</v>
      </c>
      <c r="Q100" s="29">
        <v>155.24</v>
      </c>
      <c r="R100" s="31">
        <v>45323</v>
      </c>
      <c r="S100" s="31" t="s">
        <v>3121</v>
      </c>
      <c r="T100" s="95" t="str">
        <f t="shared" si="10"/>
        <v>2024 02</v>
      </c>
      <c r="U100" s="32">
        <f t="shared" si="7"/>
        <v>-2.9206967269601591E-4</v>
      </c>
      <c r="V100" s="22">
        <f t="shared" si="8"/>
        <v>-1.8814037824982539E-6</v>
      </c>
    </row>
    <row r="101" spans="1:25" x14ac:dyDescent="0.2">
      <c r="A101" s="93" t="s">
        <v>80</v>
      </c>
      <c r="B101" s="94" t="str">
        <f>IFERROR(VLOOKUP($A101,HeadJournal!$A$1:$NTR$890,COLUMN(HeadJournal!B$1),0),"")</f>
        <v>IHORD0000495511NPG</v>
      </c>
      <c r="C101" s="94" t="str">
        <f>IFERROR(VLOOKUP($A101,HeadJournal!$A$1:$NTR$890,COLUMN(HeadJournal!C$1),0),"")</f>
        <v>iHerb_MH DLE7202</v>
      </c>
      <c r="D101" s="125" t="str">
        <f>IFERROR(VLOOKUP($A101,HeadJournal!$A$1:$NTR$890,COLUMN(HeadJournal!D$1),0),"")</f>
        <v>Жанна</v>
      </c>
      <c r="E101" s="95">
        <f>IFERROR(VLOOKUP($A101,HeadJournal!$A$1:$NTR$890,COLUMN(HeadJournal!G$1),0),"")</f>
        <v>44822</v>
      </c>
      <c r="F101" s="95" t="str">
        <f t="shared" si="9"/>
        <v>2022 09</v>
      </c>
      <c r="G101" s="96" t="s">
        <v>7</v>
      </c>
      <c r="H101" s="161" t="s">
        <v>2152</v>
      </c>
      <c r="I101" s="97" t="s">
        <v>2153</v>
      </c>
      <c r="J101" s="97" t="s">
        <v>2644</v>
      </c>
      <c r="K101" s="29">
        <v>374.39</v>
      </c>
      <c r="L101" s="29">
        <v>-97.34</v>
      </c>
      <c r="M101" s="30">
        <f>IFERROR(VLOOKUP($A101,HeadJournal!$A$1:$J$890,COLUMN(HeadJournal!I$1),0)*($K101+$L101)/(SUMIF($A:$A,$A101,$K:$K)+SUMIF($A:$A,$A101,$L:$L)),0)</f>
        <v>0</v>
      </c>
      <c r="N101" s="30">
        <f>IFERROR((VLOOKUP($A101,HeadJournal!$A$1:$K$890,COLUMN(HeadJournal!K$1),0)-VLOOKUP($A101,HeadJournal!$A$1:$K$890,COLUMN(HeadJournal!J$1),0))*($K101+$L101)/(SUMIF($A:$A,$A101,$K:$K)+SUMIF($A:$A,$A101,$L:$L)),0)</f>
        <v>7.0508276750824423</v>
      </c>
      <c r="O101" s="30">
        <f>IFERROR((VLOOKUP($A101,HeadJournal!$A$1:$L$890,COLUMN(HeadJournal!L$1),0)*($K101+$L101)/(SUMIF($A:$A,$A101,$K:$K)+SUMIF($A:$A,$A101,$L:$L)))/VLOOKUP($A101,HeadJournal!$A$1:$L$890,COLUMN(HeadJournal!H$1),0),0)</f>
        <v>21.498766732256183</v>
      </c>
      <c r="P101" s="30">
        <f>IFERROR(SUM(K101:O101)*VLOOKUP($A101,HeadJournal!$A$1:$L$890,COLUMN(HeadJournal!H$1),0),0)</f>
        <v>381.99949300917319</v>
      </c>
      <c r="Q101" s="29">
        <v>382</v>
      </c>
      <c r="R101" s="31">
        <v>45323</v>
      </c>
      <c r="S101" s="31" t="s">
        <v>3121</v>
      </c>
      <c r="T101" s="95" t="str">
        <f t="shared" si="10"/>
        <v>2024 02</v>
      </c>
      <c r="U101" s="32">
        <f t="shared" si="7"/>
        <v>5.0699082680694119E-4</v>
      </c>
      <c r="V101" s="22">
        <f t="shared" si="8"/>
        <v>1.3272028787608012E-6</v>
      </c>
    </row>
    <row r="102" spans="1:25" x14ac:dyDescent="0.2">
      <c r="A102" s="93" t="s">
        <v>80</v>
      </c>
      <c r="B102" s="94" t="str">
        <f>IFERROR(VLOOKUP($A102,HeadJournal!$A$1:$NTR$890,COLUMN(HeadJournal!B$1),0),"")</f>
        <v>IHORD0000495511NPG</v>
      </c>
      <c r="C102" s="94" t="str">
        <f>IFERROR(VLOOKUP($A102,HeadJournal!$A$1:$NTR$890,COLUMN(HeadJournal!C$1),0),"")</f>
        <v>iHerb_MH DLE7202</v>
      </c>
      <c r="D102" s="125" t="str">
        <f>IFERROR(VLOOKUP($A102,HeadJournal!$A$1:$NTR$890,COLUMN(HeadJournal!D$1),0),"")</f>
        <v>Жанна</v>
      </c>
      <c r="E102" s="95">
        <f>IFERROR(VLOOKUP($A102,HeadJournal!$A$1:$NTR$890,COLUMN(HeadJournal!G$1),0),"")</f>
        <v>44822</v>
      </c>
      <c r="F102" s="95" t="str">
        <f t="shared" si="9"/>
        <v>2022 09</v>
      </c>
      <c r="G102" s="96" t="s">
        <v>7</v>
      </c>
      <c r="H102" s="161" t="s">
        <v>2152</v>
      </c>
      <c r="I102" s="97" t="s">
        <v>2153</v>
      </c>
      <c r="J102" s="97" t="s">
        <v>2644</v>
      </c>
      <c r="K102" s="29">
        <v>374.39</v>
      </c>
      <c r="L102" s="29">
        <v>-97.34</v>
      </c>
      <c r="M102" s="30">
        <f>IFERROR(VLOOKUP($A102,HeadJournal!$A$1:$J$890,COLUMN(HeadJournal!I$1),0)*($K102+$L102)/(SUMIF($A:$A,$A102,$K:$K)+SUMIF($A:$A,$A102,$L:$L)),0)</f>
        <v>0</v>
      </c>
      <c r="N102" s="30">
        <f>IFERROR((VLOOKUP($A102,HeadJournal!$A$1:$K$890,COLUMN(HeadJournal!K$1),0)-VLOOKUP($A102,HeadJournal!$A$1:$K$890,COLUMN(HeadJournal!J$1),0))*($K102+$L102)/(SUMIF($A:$A,$A102,$K:$K)+SUMIF($A:$A,$A102,$L:$L)),0)</f>
        <v>7.0508276750824423</v>
      </c>
      <c r="O102" s="30">
        <f>IFERROR((VLOOKUP($A102,HeadJournal!$A$1:$L$890,COLUMN(HeadJournal!L$1),0)*($K102+$L102)/(SUMIF($A:$A,$A102,$K:$K)+SUMIF($A:$A,$A102,$L:$L)))/VLOOKUP($A102,HeadJournal!$A$1:$L$890,COLUMN(HeadJournal!H$1),0),0)</f>
        <v>21.498766732256183</v>
      </c>
      <c r="P102" s="30">
        <f>IFERROR(SUM(K102:O102)*VLOOKUP($A102,HeadJournal!$A$1:$L$890,COLUMN(HeadJournal!H$1),0),0)</f>
        <v>381.99949300917319</v>
      </c>
      <c r="Q102" s="29">
        <v>382</v>
      </c>
      <c r="R102" s="31">
        <v>45323</v>
      </c>
      <c r="S102" s="31" t="s">
        <v>3121</v>
      </c>
      <c r="T102" s="95" t="str">
        <f t="shared" si="10"/>
        <v>2024 02</v>
      </c>
      <c r="U102" s="32">
        <f t="shared" si="7"/>
        <v>5.0699082680694119E-4</v>
      </c>
      <c r="V102" s="22">
        <f t="shared" si="8"/>
        <v>1.3272028787608012E-6</v>
      </c>
    </row>
    <row r="103" spans="1:25" x14ac:dyDescent="0.2">
      <c r="A103" s="93" t="s">
        <v>80</v>
      </c>
      <c r="B103" s="94" t="str">
        <f>IFERROR(VLOOKUP($A103,HeadJournal!$A$1:$NTR$890,COLUMN(HeadJournal!B$1),0),"")</f>
        <v>IHORD0000495511NPG</v>
      </c>
      <c r="C103" s="94" t="str">
        <f>IFERROR(VLOOKUP($A103,HeadJournal!$A$1:$NTR$890,COLUMN(HeadJournal!C$1),0),"")</f>
        <v>iHerb_MH DLE7202</v>
      </c>
      <c r="D103" s="125" t="str">
        <f>IFERROR(VLOOKUP($A103,HeadJournal!$A$1:$NTR$890,COLUMN(HeadJournal!D$1),0),"")</f>
        <v>Жанна</v>
      </c>
      <c r="E103" s="95">
        <f>IFERROR(VLOOKUP($A103,HeadJournal!$A$1:$NTR$890,COLUMN(HeadJournal!G$1),0),"")</f>
        <v>44822</v>
      </c>
      <c r="F103" s="95" t="str">
        <f t="shared" si="9"/>
        <v>2022 09</v>
      </c>
      <c r="G103" s="96" t="s">
        <v>7</v>
      </c>
      <c r="H103" s="160" t="str">
        <f>RIGHT(Journal!$J103,9)</f>
        <v>IMF-05216</v>
      </c>
      <c r="I103" s="96" t="str">
        <f t="shared" si="6"/>
        <v>I'm From</v>
      </c>
      <c r="J103" s="97" t="s">
        <v>83</v>
      </c>
      <c r="K103" s="29">
        <v>178.16</v>
      </c>
      <c r="L103" s="29">
        <v>-46.32</v>
      </c>
      <c r="M103" s="30">
        <f>IFERROR(VLOOKUP($A103,HeadJournal!$A$1:$J$890,COLUMN(HeadJournal!I$1),0)*($K103+$L103)/(SUMIF($A:$A,$A103,$K:$K)+SUMIF($A:$A,$A103,$L:$L)),0)</f>
        <v>0</v>
      </c>
      <c r="N103" s="30">
        <f>IFERROR((VLOOKUP($A103,HeadJournal!$A$1:$K$890,COLUMN(HeadJournal!K$1),0)-VLOOKUP($A103,HeadJournal!$A$1:$K$890,COLUMN(HeadJournal!J$1),0))*($K103+$L103)/(SUMIF($A:$A,$A103,$K:$K)+SUMIF($A:$A,$A103,$L:$L)),0)</f>
        <v>3.3552828755923816</v>
      </c>
      <c r="O103" s="30">
        <f>IFERROR((VLOOKUP($A103,HeadJournal!$A$1:$L$890,COLUMN(HeadJournal!L$1),0)*($K103+$L103)/(SUMIF($A:$A,$A103,$K:$K)+SUMIF($A:$A,$A103,$L:$L)))/VLOOKUP($A103,HeadJournal!$A$1:$L$890,COLUMN(HeadJournal!H$1),0),0)</f>
        <v>10.23063492503395</v>
      </c>
      <c r="P103" s="30">
        <f>IFERROR(SUM(K103:O103)*VLOOKUP($A103,HeadJournal!$A$1:$L$890,COLUMN(HeadJournal!H$1),0),0)</f>
        <v>181.78239725078294</v>
      </c>
      <c r="Q103" s="29"/>
      <c r="R103" s="31"/>
      <c r="S103" s="31"/>
      <c r="T103" s="95" t="str">
        <f t="shared" si="10"/>
        <v/>
      </c>
      <c r="U103" s="32">
        <f t="shared" si="7"/>
        <v>-181.78239725078294</v>
      </c>
      <c r="V103" s="22" t="str">
        <f t="shared" si="8"/>
        <v/>
      </c>
    </row>
    <row r="104" spans="1:25" x14ac:dyDescent="0.2">
      <c r="A104" s="93" t="s">
        <v>80</v>
      </c>
      <c r="B104" s="94" t="str">
        <f>IFERROR(VLOOKUP($A104,HeadJournal!$A$1:$NTR$890,COLUMN(HeadJournal!B$1),0),"")</f>
        <v>IHORD0000495511NPG</v>
      </c>
      <c r="C104" s="94" t="str">
        <f>IFERROR(VLOOKUP($A104,HeadJournal!$A$1:$NTR$890,COLUMN(HeadJournal!C$1),0),"")</f>
        <v>iHerb_MH DLE7202</v>
      </c>
      <c r="D104" s="125" t="str">
        <f>IFERROR(VLOOKUP($A104,HeadJournal!$A$1:$NTR$890,COLUMN(HeadJournal!D$1),0),"")</f>
        <v>Жанна</v>
      </c>
      <c r="E104" s="95">
        <f>IFERROR(VLOOKUP($A104,HeadJournal!$A$1:$NTR$890,COLUMN(HeadJournal!G$1),0),"")</f>
        <v>44822</v>
      </c>
      <c r="F104" s="95" t="str">
        <f t="shared" si="9"/>
        <v>2022 09</v>
      </c>
      <c r="G104" s="96" t="s">
        <v>7</v>
      </c>
      <c r="H104" s="160" t="str">
        <f>RIGHT(Journal!$J104,9)</f>
        <v>COC-09855</v>
      </c>
      <c r="I104" s="96" t="str">
        <f t="shared" si="6"/>
        <v>Cococare</v>
      </c>
      <c r="J104" s="97" t="s">
        <v>84</v>
      </c>
      <c r="K104" s="29">
        <v>90.31</v>
      </c>
      <c r="L104" s="29">
        <v>-23.48</v>
      </c>
      <c r="M104" s="30">
        <f>IFERROR(VLOOKUP($A104,HeadJournal!$A$1:$J$890,COLUMN(HeadJournal!I$1),0)*($K104+$L104)/(SUMIF($A:$A,$A104,$K:$K)+SUMIF($A:$A,$A104,$L:$L)),0)</f>
        <v>0</v>
      </c>
      <c r="N104" s="30">
        <f>IFERROR((VLOOKUP($A104,HeadJournal!$A$1:$K$890,COLUMN(HeadJournal!K$1),0)-VLOOKUP($A104,HeadJournal!$A$1:$K$890,COLUMN(HeadJournal!J$1),0))*($K104+$L104)/(SUMIF($A:$A,$A104,$K:$K)+SUMIF($A:$A,$A104,$L:$L)),0)</f>
        <v>1.7008006263337292</v>
      </c>
      <c r="O104" s="30">
        <f>IFERROR((VLOOKUP($A104,HeadJournal!$A$1:$L$890,COLUMN(HeadJournal!L$1),0)*($K104+$L104)/(SUMIF($A:$A,$A104,$K:$K)+SUMIF($A:$A,$A104,$L:$L)))/VLOOKUP($A104,HeadJournal!$A$1:$L$890,COLUMN(HeadJournal!H$1),0),0)</f>
        <v>5.1859324335559673</v>
      </c>
      <c r="P104" s="30">
        <f>IFERROR(SUM(K104:O104)*VLOOKUP($A104,HeadJournal!$A$1:$L$890,COLUMN(HeadJournal!H$1),0),0)</f>
        <v>92.145916324862114</v>
      </c>
      <c r="Q104" s="29"/>
      <c r="R104" s="31"/>
      <c r="S104" s="31"/>
      <c r="T104" s="95" t="str">
        <f t="shared" si="10"/>
        <v/>
      </c>
      <c r="U104" s="32">
        <f t="shared" si="7"/>
        <v>-92.145916324862114</v>
      </c>
      <c r="V104" s="22" t="str">
        <f t="shared" si="8"/>
        <v/>
      </c>
    </row>
    <row r="105" spans="1:25" x14ac:dyDescent="0.2">
      <c r="A105" s="93" t="s">
        <v>80</v>
      </c>
      <c r="B105" s="94" t="str">
        <f>IFERROR(VLOOKUP($A105,HeadJournal!$A$1:$NTR$890,COLUMN(HeadJournal!B$1),0),"")</f>
        <v>IHORD0000495511NPG</v>
      </c>
      <c r="C105" s="94" t="str">
        <f>IFERROR(VLOOKUP($A105,HeadJournal!$A$1:$NTR$890,COLUMN(HeadJournal!C$1),0),"")</f>
        <v>iHerb_MH DLE7202</v>
      </c>
      <c r="D105" s="125" t="str">
        <f>IFERROR(VLOOKUP($A105,HeadJournal!$A$1:$NTR$890,COLUMN(HeadJournal!D$1),0),"")</f>
        <v>Жанна</v>
      </c>
      <c r="E105" s="95">
        <f>IFERROR(VLOOKUP($A105,HeadJournal!$A$1:$NTR$890,COLUMN(HeadJournal!G$1),0),"")</f>
        <v>44822</v>
      </c>
      <c r="F105" s="95" t="str">
        <f t="shared" si="9"/>
        <v>2022 09</v>
      </c>
      <c r="G105" s="96" t="s">
        <v>7</v>
      </c>
      <c r="H105" s="160" t="str">
        <f>RIGHT(Journal!$J105,9)</f>
        <v>COC-09015</v>
      </c>
      <c r="I105" s="96" t="str">
        <f t="shared" si="6"/>
        <v>Cococare</v>
      </c>
      <c r="J105" s="97" t="s">
        <v>85</v>
      </c>
      <c r="K105" s="29">
        <v>261.51</v>
      </c>
      <c r="L105" s="29">
        <v>-67.989999999999995</v>
      </c>
      <c r="M105" s="30">
        <f>IFERROR(VLOOKUP($A105,HeadJournal!$A$1:$J$890,COLUMN(HeadJournal!I$1),0)*($K105+$L105)/(SUMIF($A:$A,$A105,$K:$K)+SUMIF($A:$A,$A105,$L:$L)),0)</f>
        <v>0</v>
      </c>
      <c r="N105" s="30">
        <f>IFERROR((VLOOKUP($A105,HeadJournal!$A$1:$K$890,COLUMN(HeadJournal!K$1),0)-VLOOKUP($A105,HeadJournal!$A$1:$K$890,COLUMN(HeadJournal!J$1),0))*($K105+$L105)/(SUMIF($A:$A,$A105,$K:$K)+SUMIF($A:$A,$A105,$L:$L)),0)</f>
        <v>4.9250177645982829</v>
      </c>
      <c r="O105" s="30">
        <f>IFERROR((VLOOKUP($A105,HeadJournal!$A$1:$L$890,COLUMN(HeadJournal!L$1),0)*($K105+$L105)/(SUMIF($A:$A,$A105,$K:$K)+SUMIF($A:$A,$A105,$L:$L)))/VLOOKUP($A105,HeadJournal!$A$1:$L$890,COLUMN(HeadJournal!H$1),0),0)</f>
        <v>15.01693318183078</v>
      </c>
      <c r="P105" s="30">
        <f>IFERROR(SUM(K105:O105)*VLOOKUP($A105,HeadJournal!$A$1:$L$890,COLUMN(HeadJournal!H$1),0),0)</f>
        <v>266.82743868303635</v>
      </c>
      <c r="Q105" s="29"/>
      <c r="R105" s="31"/>
      <c r="S105" s="31"/>
      <c r="T105" s="95" t="str">
        <f t="shared" si="10"/>
        <v/>
      </c>
      <c r="U105" s="32">
        <f t="shared" si="7"/>
        <v>-266.82743868303635</v>
      </c>
      <c r="V105" s="22" t="str">
        <f t="shared" si="8"/>
        <v/>
      </c>
    </row>
    <row r="106" spans="1:25" x14ac:dyDescent="0.2">
      <c r="A106" s="93" t="s">
        <v>80</v>
      </c>
      <c r="B106" s="94" t="str">
        <f>IFERROR(VLOOKUP($A106,HeadJournal!$A$1:$NTR$890,COLUMN(HeadJournal!B$1),0),"")</f>
        <v>IHORD0000495511NPG</v>
      </c>
      <c r="C106" s="94" t="str">
        <f>IFERROR(VLOOKUP($A106,HeadJournal!$A$1:$NTR$890,COLUMN(HeadJournal!C$1),0),"")</f>
        <v>iHerb_MH DLE7202</v>
      </c>
      <c r="D106" s="125" t="str">
        <f>IFERROR(VLOOKUP($A106,HeadJournal!$A$1:$NTR$890,COLUMN(HeadJournal!D$1),0),"")</f>
        <v>Жанна</v>
      </c>
      <c r="E106" s="95">
        <f>IFERROR(VLOOKUP($A106,HeadJournal!$A$1:$NTR$890,COLUMN(HeadJournal!G$1),0),"")</f>
        <v>44822</v>
      </c>
      <c r="F106" s="95" t="str">
        <f t="shared" si="9"/>
        <v>2022 09</v>
      </c>
      <c r="G106" s="96" t="s">
        <v>7</v>
      </c>
      <c r="H106" s="160" t="str">
        <f>RIGHT(Journal!$J106,9)</f>
        <v>NBC-01065</v>
      </c>
      <c r="I106" s="96" t="str">
        <f t="shared" si="6"/>
        <v>NutriBiotic</v>
      </c>
      <c r="J106" s="97" t="s">
        <v>86</v>
      </c>
      <c r="K106" s="29">
        <v>174.95</v>
      </c>
      <c r="L106" s="29">
        <v>-45.49</v>
      </c>
      <c r="M106" s="30">
        <f>IFERROR(VLOOKUP($A106,HeadJournal!$A$1:$J$890,COLUMN(HeadJournal!I$1),0)*($K106+$L106)/(SUMIF($A:$A,$A106,$K:$K)+SUMIF($A:$A,$A106,$L:$L)),0)</f>
        <v>0</v>
      </c>
      <c r="N106" s="30">
        <f>IFERROR((VLOOKUP($A106,HeadJournal!$A$1:$K$890,COLUMN(HeadJournal!K$1),0)-VLOOKUP($A106,HeadJournal!$A$1:$K$890,COLUMN(HeadJournal!J$1),0))*($K106+$L106)/(SUMIF($A:$A,$A106,$K:$K)+SUMIF($A:$A,$A106,$L:$L)),0)</f>
        <v>3.2947126901865111</v>
      </c>
      <c r="O106" s="30">
        <f>IFERROR((VLOOKUP($A106,HeadJournal!$A$1:$L$890,COLUMN(HeadJournal!L$1),0)*($K106+$L106)/(SUMIF($A:$A,$A106,$K:$K)+SUMIF($A:$A,$A106,$L:$L)))/VLOOKUP($A106,HeadJournal!$A$1:$L$890,COLUMN(HeadJournal!H$1),0),0)</f>
        <v>10.045949616162734</v>
      </c>
      <c r="P106" s="30">
        <f>IFERROR(SUM(K106:O106)*VLOOKUP($A106,HeadJournal!$A$1:$L$890,COLUMN(HeadJournal!H$1),0),0)</f>
        <v>178.50082788293656</v>
      </c>
      <c r="Q106" s="29"/>
      <c r="R106" s="31"/>
      <c r="S106" s="31"/>
      <c r="T106" s="95" t="str">
        <f t="shared" si="10"/>
        <v/>
      </c>
      <c r="U106" s="32">
        <f t="shared" si="7"/>
        <v>-178.50082788293656</v>
      </c>
      <c r="V106" s="22" t="str">
        <f t="shared" si="8"/>
        <v/>
      </c>
    </row>
    <row r="107" spans="1:25" x14ac:dyDescent="0.2">
      <c r="A107" s="93" t="s">
        <v>80</v>
      </c>
      <c r="B107" s="94" t="str">
        <f>IFERROR(VLOOKUP($A107,HeadJournal!$A$1:$NTR$890,COLUMN(HeadJournal!B$1),0),"")</f>
        <v>IHORD0000495511NPG</v>
      </c>
      <c r="C107" s="94" t="str">
        <f>IFERROR(VLOOKUP($A107,HeadJournal!$A$1:$NTR$890,COLUMN(HeadJournal!C$1),0),"")</f>
        <v>iHerb_MH DLE7202</v>
      </c>
      <c r="D107" s="125" t="str">
        <f>IFERROR(VLOOKUP($A107,HeadJournal!$A$1:$NTR$890,COLUMN(HeadJournal!D$1),0),"")</f>
        <v>Жанна</v>
      </c>
      <c r="E107" s="95">
        <f>IFERROR(VLOOKUP($A107,HeadJournal!$A$1:$NTR$890,COLUMN(HeadJournal!G$1),0),"")</f>
        <v>44822</v>
      </c>
      <c r="F107" s="95" t="str">
        <f t="shared" si="9"/>
        <v>2022 09</v>
      </c>
      <c r="G107" s="96" t="s">
        <v>5</v>
      </c>
      <c r="H107" s="160" t="str">
        <f>RIGHT(Journal!$J107,9)</f>
        <v>NWY-41051</v>
      </c>
      <c r="I107" s="96" t="str">
        <f t="shared" si="6"/>
        <v>Nature's Way</v>
      </c>
      <c r="J107" s="97" t="s">
        <v>87</v>
      </c>
      <c r="K107" s="29">
        <v>310.70999999999998</v>
      </c>
      <c r="L107" s="29">
        <v>-46.61</v>
      </c>
      <c r="M107" s="30">
        <f>IFERROR(VLOOKUP($A107,HeadJournal!$A$1:$J$890,COLUMN(HeadJournal!I$1),0)*($K107+$L107)/(SUMIF($A:$A,$A107,$K:$K)+SUMIF($A:$A,$A107,$L:$L)),0)</f>
        <v>0</v>
      </c>
      <c r="N107" s="30">
        <f>IFERROR((VLOOKUP($A107,HeadJournal!$A$1:$K$890,COLUMN(HeadJournal!K$1),0)-VLOOKUP($A107,HeadJournal!$A$1:$K$890,COLUMN(HeadJournal!J$1),0))*($K107+$L107)/(SUMIF($A:$A,$A107,$K:$K)+SUMIF($A:$A,$A107,$L:$L)),0)</f>
        <v>6.721254607432857</v>
      </c>
      <c r="O107" s="30">
        <f>IFERROR((VLOOKUP($A107,HeadJournal!$A$1:$L$890,COLUMN(HeadJournal!L$1),0)*($K107+$L107)/(SUMIF($A:$A,$A107,$K:$K)+SUMIF($A:$A,$A107,$L:$L)))/VLOOKUP($A107,HeadJournal!$A$1:$L$890,COLUMN(HeadJournal!H$1),0),0)</f>
        <v>20.493861375162815</v>
      </c>
      <c r="P107" s="30">
        <f>IFERROR(SUM(K107:O107)*VLOOKUP($A107,HeadJournal!$A$1:$L$890,COLUMN(HeadJournal!H$1),0),0)</f>
        <v>364.14389497824453</v>
      </c>
      <c r="Q107" s="29">
        <v>365</v>
      </c>
      <c r="R107" s="31">
        <v>44934</v>
      </c>
      <c r="S107" s="31" t="s">
        <v>3121</v>
      </c>
      <c r="T107" s="95" t="str">
        <f t="shared" si="10"/>
        <v>2023 01</v>
      </c>
      <c r="U107" s="32">
        <f t="shared" si="7"/>
        <v>0.85610502175546799</v>
      </c>
      <c r="V107" s="22">
        <f t="shared" si="8"/>
        <v>2.3510074823762054E-3</v>
      </c>
    </row>
    <row r="108" spans="1:25" x14ac:dyDescent="0.2">
      <c r="A108" s="93" t="s">
        <v>80</v>
      </c>
      <c r="B108" s="94" t="str">
        <f>IFERROR(VLOOKUP($A108,HeadJournal!$A$1:$NTR$890,COLUMN(HeadJournal!B$1),0),"")</f>
        <v>IHORD0000495511NPG</v>
      </c>
      <c r="C108" s="94" t="str">
        <f>IFERROR(VLOOKUP($A108,HeadJournal!$A$1:$NTR$890,COLUMN(HeadJournal!C$1),0),"")</f>
        <v>iHerb_MH DLE7202</v>
      </c>
      <c r="D108" s="125" t="str">
        <f>IFERROR(VLOOKUP($A108,HeadJournal!$A$1:$NTR$890,COLUMN(HeadJournal!D$1),0),"")</f>
        <v>Жанна</v>
      </c>
      <c r="E108" s="95">
        <f>IFERROR(VLOOKUP($A108,HeadJournal!$A$1:$NTR$890,COLUMN(HeadJournal!G$1),0),"")</f>
        <v>44822</v>
      </c>
      <c r="F108" s="95" t="str">
        <f t="shared" si="9"/>
        <v>2022 09</v>
      </c>
      <c r="G108" s="96" t="s">
        <v>7</v>
      </c>
      <c r="H108" s="160" t="str">
        <f>RIGHT(Journal!$J108,9)</f>
        <v>PTT-85000</v>
      </c>
      <c r="I108" s="96" t="str">
        <f t="shared" si="6"/>
        <v>Petitfee</v>
      </c>
      <c r="J108" s="97" t="s">
        <v>88</v>
      </c>
      <c r="K108" s="29">
        <v>284.01</v>
      </c>
      <c r="L108" s="29">
        <v>-73.84</v>
      </c>
      <c r="M108" s="30">
        <f>IFERROR(VLOOKUP($A108,HeadJournal!$A$1:$J$890,COLUMN(HeadJournal!I$1),0)*($K108+$L108)/(SUMIF($A:$A,$A108,$K:$K)+SUMIF($A:$A,$A108,$L:$L)),0)</f>
        <v>0</v>
      </c>
      <c r="N108" s="30">
        <f>IFERROR((VLOOKUP($A108,HeadJournal!$A$1:$K$890,COLUMN(HeadJournal!K$1),0)-VLOOKUP($A108,HeadJournal!$A$1:$K$890,COLUMN(HeadJournal!J$1),0))*($K108+$L108)/(SUMIF($A:$A,$A108,$K:$K)+SUMIF($A:$A,$A108,$L:$L)),0)</f>
        <v>5.348754565862035</v>
      </c>
      <c r="O108" s="30">
        <f>IFERROR((VLOOKUP($A108,HeadJournal!$A$1:$L$890,COLUMN(HeadJournal!L$1),0)*($K108+$L108)/(SUMIF($A:$A,$A108,$K:$K)+SUMIF($A:$A,$A108,$L:$L)))/VLOOKUP($A108,HeadJournal!$A$1:$L$890,COLUMN(HeadJournal!H$1),0),0)</f>
        <v>16.308954355236537</v>
      </c>
      <c r="P108" s="30">
        <f>IFERROR(SUM(K108:O108)*VLOOKUP($A108,HeadJournal!$A$1:$L$890,COLUMN(HeadJournal!H$1),0),0)</f>
        <v>289.78463615137321</v>
      </c>
      <c r="Q108" s="29"/>
      <c r="R108" s="31"/>
      <c r="S108" s="31"/>
      <c r="T108" s="95" t="str">
        <f t="shared" si="10"/>
        <v/>
      </c>
      <c r="U108" s="32">
        <f t="shared" si="7"/>
        <v>-289.78463615137321</v>
      </c>
      <c r="V108" s="22" t="str">
        <f t="shared" si="8"/>
        <v/>
      </c>
    </row>
    <row r="109" spans="1:25" x14ac:dyDescent="0.2">
      <c r="A109" s="93" t="s">
        <v>80</v>
      </c>
      <c r="B109" s="94" t="str">
        <f>IFERROR(VLOOKUP($A109,HeadJournal!$A$1:$NTR$890,COLUMN(HeadJournal!B$1),0),"")</f>
        <v>IHORD0000495511NPG</v>
      </c>
      <c r="C109" s="94" t="str">
        <f>IFERROR(VLOOKUP($A109,HeadJournal!$A$1:$NTR$890,COLUMN(HeadJournal!C$1),0),"")</f>
        <v>iHerb_MH DLE7202</v>
      </c>
      <c r="D109" s="125" t="str">
        <f>IFERROR(VLOOKUP($A109,HeadJournal!$A$1:$NTR$890,COLUMN(HeadJournal!D$1),0),"")</f>
        <v>Жанна</v>
      </c>
      <c r="E109" s="95">
        <f>IFERROR(VLOOKUP($A109,HeadJournal!$A$1:$NTR$890,COLUMN(HeadJournal!G$1),0),"")</f>
        <v>44822</v>
      </c>
      <c r="F109" s="95" t="str">
        <f t="shared" si="9"/>
        <v>2022 09</v>
      </c>
      <c r="G109" s="96" t="s">
        <v>5</v>
      </c>
      <c r="H109" s="175" t="s">
        <v>3647</v>
      </c>
      <c r="I109" s="176" t="s">
        <v>2042</v>
      </c>
      <c r="J109" s="97" t="s">
        <v>3696</v>
      </c>
      <c r="K109" s="29">
        <v>542.63</v>
      </c>
      <c r="L109" s="29">
        <v>-81.39</v>
      </c>
      <c r="M109" s="30">
        <f>IFERROR(VLOOKUP($A109,HeadJournal!$A$1:$J$890,COLUMN(HeadJournal!I$1),0)*($K109+$L109)/(SUMIF($A:$A,$A109,$K:$K)+SUMIF($A:$A,$A109,$L:$L)),0)</f>
        <v>0</v>
      </c>
      <c r="N109" s="30">
        <f>IFERROR((VLOOKUP($A109,HeadJournal!$A$1:$K$890,COLUMN(HeadJournal!K$1),0)-VLOOKUP($A109,HeadJournal!$A$1:$K$890,COLUMN(HeadJournal!J$1),0))*($K109+$L109)/(SUMIF($A:$A,$A109,$K:$K)+SUMIF($A:$A,$A109,$L:$L)),0)</f>
        <v>11.738400133026623</v>
      </c>
      <c r="O109" s="30">
        <f>IFERROR((VLOOKUP($A109,HeadJournal!$A$1:$L$890,COLUMN(HeadJournal!L$1),0)*($K109+$L109)/(SUMIF($A:$A,$A109,$K:$K)+SUMIF($A:$A,$A109,$L:$L)))/VLOOKUP($A109,HeadJournal!$A$1:$L$890,COLUMN(HeadJournal!H$1),0),0)</f>
        <v>35.791702463764096</v>
      </c>
      <c r="P109" s="30">
        <f>IFERROR(SUM(K109:O109)*VLOOKUP($A109,HeadJournal!$A$1:$L$890,COLUMN(HeadJournal!H$1),0),0)</f>
        <v>635.96262824598841</v>
      </c>
      <c r="Q109" s="29">
        <v>635.96262824598841</v>
      </c>
      <c r="R109" s="31">
        <v>44901</v>
      </c>
      <c r="S109" s="31" t="s">
        <v>3121</v>
      </c>
      <c r="T109" s="95" t="str">
        <f t="shared" si="10"/>
        <v>2022 12</v>
      </c>
      <c r="U109" s="32">
        <f t="shared" si="7"/>
        <v>0</v>
      </c>
      <c r="V109" s="22">
        <f t="shared" si="8"/>
        <v>0</v>
      </c>
    </row>
    <row r="110" spans="1:25" x14ac:dyDescent="0.2">
      <c r="A110" s="93" t="s">
        <v>89</v>
      </c>
      <c r="B110" s="94">
        <f>IFERROR(VLOOKUP($A110,HeadJournal!$A$1:$NTR$890,COLUMN(HeadJournal!B$1),0),"")</f>
        <v>0</v>
      </c>
      <c r="C110" s="94" t="str">
        <f>IFERROR(VLOOKUP($A110,HeadJournal!$A$1:$NTR$890,COLUMN(HeadJournal!C$1),0),"")</f>
        <v>Protein</v>
      </c>
      <c r="D110" s="125" t="str">
        <f>IFERROR(VLOOKUP($A110,HeadJournal!$A$1:$NTR$890,COLUMN(HeadJournal!D$1),0),"")</f>
        <v>Доставлен</v>
      </c>
      <c r="E110" s="95">
        <f>IFERROR(VLOOKUP($A110,HeadJournal!$A$1:$NTR$890,COLUMN(HeadJournal!G$1),0),"")</f>
        <v>44814</v>
      </c>
      <c r="F110" s="95" t="str">
        <f t="shared" si="9"/>
        <v>2022 09</v>
      </c>
      <c r="G110" s="96" t="s">
        <v>6</v>
      </c>
      <c r="H110" s="160" t="s">
        <v>3738</v>
      </c>
      <c r="I110" s="96" t="str">
        <f t="shared" si="6"/>
        <v>Scitec Nutrition</v>
      </c>
      <c r="J110" s="97" t="s">
        <v>90</v>
      </c>
      <c r="K110" s="29">
        <v>756</v>
      </c>
      <c r="L110" s="29"/>
      <c r="M110" s="30">
        <f>IFERROR(VLOOKUP($A110,HeadJournal!$A$1:$J$890,COLUMN(HeadJournal!I$1),0)*($K110+$L110)/(SUMIF($A:$A,$A110,$K:$K)+SUMIF($A:$A,$A110,$L:$L)),0)</f>
        <v>0</v>
      </c>
      <c r="N110" s="30">
        <f>IFERROR((VLOOKUP($A110,HeadJournal!$A$1:$K$890,COLUMN(HeadJournal!K$1),0)-VLOOKUP($A110,HeadJournal!$A$1:$K$890,COLUMN(HeadJournal!J$1),0))*($K110+$L110)/(SUMIF($A:$A,$A110,$K:$K)+SUMIF($A:$A,$A110,$L:$L)),0)</f>
        <v>0</v>
      </c>
      <c r="O110" s="30">
        <f>IFERROR((VLOOKUP($A110,HeadJournal!$A$1:$L$890,COLUMN(HeadJournal!L$1),0)*($K110+$L110)/(SUMIF($A:$A,$A110,$K:$K)+SUMIF($A:$A,$A110,$L:$L)))/VLOOKUP($A110,HeadJournal!$A$1:$L$890,COLUMN(HeadJournal!H$1),0),0)</f>
        <v>800</v>
      </c>
      <c r="P110" s="30">
        <f>IFERROR(SUM(K110:O110)*VLOOKUP($A110,HeadJournal!$A$1:$L$890,COLUMN(HeadJournal!H$1),0),0)</f>
        <v>1945</v>
      </c>
      <c r="Q110" s="29">
        <v>2500</v>
      </c>
      <c r="R110" s="31">
        <v>44819</v>
      </c>
      <c r="S110" s="31" t="s">
        <v>3121</v>
      </c>
      <c r="T110" s="95" t="str">
        <f t="shared" si="10"/>
        <v>2022 09</v>
      </c>
      <c r="U110" s="32">
        <f t="shared" si="7"/>
        <v>555</v>
      </c>
      <c r="V110" s="22">
        <f t="shared" si="8"/>
        <v>0.28534704370179947</v>
      </c>
      <c r="X110" s="33"/>
      <c r="Y110" s="33"/>
    </row>
    <row r="111" spans="1:25" x14ac:dyDescent="0.2">
      <c r="A111" s="93" t="s">
        <v>91</v>
      </c>
      <c r="B111" s="94">
        <f>IFERROR(VLOOKUP($A111,HeadJournal!$A$1:$NTR$890,COLUMN(HeadJournal!B$1),0),"")</f>
        <v>0</v>
      </c>
      <c r="C111" s="94" t="str">
        <f>IFERROR(VLOOKUP($A111,HeadJournal!$A$1:$NTR$890,COLUMN(HeadJournal!C$1),0),"")</f>
        <v>Protein</v>
      </c>
      <c r="D111" s="125" t="str">
        <f>IFERROR(VLOOKUP($A111,HeadJournal!$A$1:$NTR$890,COLUMN(HeadJournal!D$1),0),"")</f>
        <v>Доставлен</v>
      </c>
      <c r="E111" s="95">
        <f>IFERROR(VLOOKUP($A111,HeadJournal!$A$1:$NTR$890,COLUMN(HeadJournal!G$1),0),"")</f>
        <v>44802</v>
      </c>
      <c r="F111" s="95" t="str">
        <f t="shared" si="9"/>
        <v>2022 08</v>
      </c>
      <c r="G111" s="96" t="s">
        <v>6</v>
      </c>
      <c r="H111" s="160" t="s">
        <v>3839</v>
      </c>
      <c r="I111" s="96" t="str">
        <f t="shared" si="6"/>
        <v>Mutant Mass</v>
      </c>
      <c r="J111" s="97" t="s">
        <v>92</v>
      </c>
      <c r="K111" s="29">
        <v>2146</v>
      </c>
      <c r="L111" s="29"/>
      <c r="M111" s="30">
        <f>IFERROR(VLOOKUP($A111,HeadJournal!$A$1:$J$890,COLUMN(HeadJournal!I$1),0)*($K111+$L111)/(SUMIF($A:$A,$A111,$K:$K)+SUMIF($A:$A,$A111,$L:$L)),0)</f>
        <v>0</v>
      </c>
      <c r="N111" s="30">
        <f>IFERROR((VLOOKUP($A111,HeadJournal!$A$1:$K$890,COLUMN(HeadJournal!K$1),0)-VLOOKUP($A111,HeadJournal!$A$1:$K$890,COLUMN(HeadJournal!J$1),0))*($K111+$L111)/(SUMIF($A:$A,$A111,$K:$K)+SUMIF($A:$A,$A111,$L:$L)),0)</f>
        <v>0</v>
      </c>
      <c r="O111" s="30">
        <f>IFERROR((VLOOKUP($A111,HeadJournal!$A$1:$L$890,COLUMN(HeadJournal!L$1),0)*($K111+$L111)/(SUMIF($A:$A,$A111,$K:$K)+SUMIF($A:$A,$A111,$L:$L)))/VLOOKUP($A111,HeadJournal!$A$1:$L$890,COLUMN(HeadJournal!H$1),0),0)</f>
        <v>666.66666666666663</v>
      </c>
      <c r="P111" s="30">
        <f>IFERROR(SUM(K111:O111)*VLOOKUP($A111,HeadJournal!$A$1:$L$890,COLUMN(HeadJournal!H$1),0),0)</f>
        <v>4219</v>
      </c>
      <c r="Q111" s="29">
        <v>8200</v>
      </c>
      <c r="R111" s="31">
        <v>44805</v>
      </c>
      <c r="S111" s="31" t="s">
        <v>3121</v>
      </c>
      <c r="T111" s="95" t="str">
        <f t="shared" si="10"/>
        <v>2022 09</v>
      </c>
      <c r="U111" s="32">
        <f t="shared" si="7"/>
        <v>3981</v>
      </c>
      <c r="V111" s="22">
        <f t="shared" si="8"/>
        <v>0.94358852808722449</v>
      </c>
      <c r="X111" s="33"/>
      <c r="Y111" s="33"/>
    </row>
    <row r="112" spans="1:25" x14ac:dyDescent="0.2">
      <c r="A112" s="93" t="s">
        <v>93</v>
      </c>
      <c r="B112" s="94" t="str">
        <f>IFERROR(VLOOKUP($A112,HeadJournal!$A$1:$NTR$890,COLUMN(HeadJournal!B$1),0),"")</f>
        <v>HORD0000505131NPG</v>
      </c>
      <c r="C112" s="94" t="str">
        <f>IFERROR(VLOOKUP($A112,HeadJournal!$A$1:$NTR$890,COLUMN(HeadJournal!C$1),0),"")</f>
        <v>iHerb_OA CZN6870</v>
      </c>
      <c r="D112" s="125" t="str">
        <f>IFERROR(VLOOKUP($A112,HeadJournal!$A$1:$NTR$890,COLUMN(HeadJournal!D$1),0),"")</f>
        <v>Жанна</v>
      </c>
      <c r="E112" s="95">
        <f>IFERROR(VLOOKUP($A112,HeadJournal!$A$1:$NTR$890,COLUMN(HeadJournal!G$1),0),"")</f>
        <v>44827</v>
      </c>
      <c r="F112" s="95" t="str">
        <f t="shared" si="9"/>
        <v>2022 09</v>
      </c>
      <c r="G112" s="96" t="s">
        <v>5</v>
      </c>
      <c r="H112" s="160" t="str">
        <f>RIGHT(Journal!$J112,9)</f>
        <v>CGN-00934</v>
      </c>
      <c r="I112" s="96" t="str">
        <f t="shared" si="6"/>
        <v>California Gold Nutrition</v>
      </c>
      <c r="J112" s="97" t="s">
        <v>94</v>
      </c>
      <c r="K112" s="29">
        <v>500.91</v>
      </c>
      <c r="L112" s="29">
        <v>-130.24</v>
      </c>
      <c r="M112" s="30">
        <f>IFERROR(VLOOKUP($A112,HeadJournal!$A$1:$J$890,COLUMN(HeadJournal!I$1),0)*($K112+$L112)/(SUMIF($A:$A,$A112,$K:$K)+SUMIF($A:$A,$A112,$L:$L)),0)</f>
        <v>0</v>
      </c>
      <c r="N112" s="30">
        <f>IFERROR((VLOOKUP($A112,HeadJournal!$A$1:$K$890,COLUMN(HeadJournal!K$1),0)-VLOOKUP($A112,HeadJournal!$A$1:$K$890,COLUMN(HeadJournal!J$1),0))*($K112+$L112)/(SUMIF($A:$A,$A112,$K:$K)+SUMIF($A:$A,$A112,$L:$L)),0)</f>
        <v>13.157198129921927</v>
      </c>
      <c r="O112" s="30">
        <f>IFERROR((VLOOKUP($A112,HeadJournal!$A$1:$L$890,COLUMN(HeadJournal!L$1),0)*($K112+$L112)/(SUMIF($A:$A,$A112,$K:$K)+SUMIF($A:$A,$A112,$L:$L)))/VLOOKUP($A112,HeadJournal!$A$1:$L$890,COLUMN(HeadJournal!H$1),0),0)</f>
        <v>24.420094633290116</v>
      </c>
      <c r="P112" s="30">
        <f>IFERROR(SUM(K112:O112)*VLOOKUP($A112,HeadJournal!$A$1:$L$890,COLUMN(HeadJournal!H$1),0),0)</f>
        <v>510.30911595401506</v>
      </c>
      <c r="Q112" s="29">
        <v>511.25</v>
      </c>
      <c r="R112" s="31">
        <v>45003</v>
      </c>
      <c r="S112" s="31" t="s">
        <v>3121</v>
      </c>
      <c r="T112" s="95" t="str">
        <f t="shared" si="10"/>
        <v>2023 03</v>
      </c>
      <c r="U112" s="32">
        <f t="shared" si="7"/>
        <v>0.94088404598494435</v>
      </c>
      <c r="V112" s="22">
        <f t="shared" si="8"/>
        <v>1.8437531617007783E-3</v>
      </c>
    </row>
    <row r="113" spans="1:26" x14ac:dyDescent="0.2">
      <c r="A113" s="93" t="s">
        <v>93</v>
      </c>
      <c r="B113" s="94" t="str">
        <f>IFERROR(VLOOKUP($A113,HeadJournal!$A$1:$NTR$890,COLUMN(HeadJournal!B$1),0),"")</f>
        <v>HORD0000505131NPG</v>
      </c>
      <c r="C113" s="94" t="str">
        <f>IFERROR(VLOOKUP($A113,HeadJournal!$A$1:$NTR$890,COLUMN(HeadJournal!C$1),0),"")</f>
        <v>iHerb_OA CZN6870</v>
      </c>
      <c r="D113" s="125" t="str">
        <f>IFERROR(VLOOKUP($A113,HeadJournal!$A$1:$NTR$890,COLUMN(HeadJournal!D$1),0),"")</f>
        <v>Жанна</v>
      </c>
      <c r="E113" s="95">
        <f>IFERROR(VLOOKUP($A113,HeadJournal!$A$1:$NTR$890,COLUMN(HeadJournal!G$1),0),"")</f>
        <v>44827</v>
      </c>
      <c r="F113" s="95" t="str">
        <f t="shared" si="9"/>
        <v>2022 09</v>
      </c>
      <c r="G113" s="96" t="s">
        <v>5</v>
      </c>
      <c r="H113" s="160" t="str">
        <f>RIGHT(Journal!$J113,9)</f>
        <v>NOW-04682</v>
      </c>
      <c r="I113" s="96" t="str">
        <f t="shared" si="6"/>
        <v>NOW Foods</v>
      </c>
      <c r="J113" s="97" t="s">
        <v>95</v>
      </c>
      <c r="K113" s="29">
        <v>305.54000000000002</v>
      </c>
      <c r="L113" s="29">
        <v>-79.44</v>
      </c>
      <c r="M113" s="30">
        <f>IFERROR(VLOOKUP($A113,HeadJournal!$A$1:$J$890,COLUMN(HeadJournal!I$1),0)*($K113+$L113)/(SUMIF($A:$A,$A113,$K:$K)+SUMIF($A:$A,$A113,$L:$L)),0)</f>
        <v>0</v>
      </c>
      <c r="N113" s="30">
        <f>IFERROR((VLOOKUP($A113,HeadJournal!$A$1:$K$890,COLUMN(HeadJournal!K$1),0)-VLOOKUP($A113,HeadJournal!$A$1:$K$890,COLUMN(HeadJournal!J$1),0))*($K113+$L113)/(SUMIF($A:$A,$A113,$K:$K)+SUMIF($A:$A,$A113,$L:$L)),0)</f>
        <v>8.0255820464978225</v>
      </c>
      <c r="O113" s="30">
        <f>IFERROR((VLOOKUP($A113,HeadJournal!$A$1:$L$890,COLUMN(HeadJournal!L$1),0)*($K113+$L113)/(SUMIF($A:$A,$A113,$K:$K)+SUMIF($A:$A,$A113,$L:$L)))/VLOOKUP($A113,HeadJournal!$A$1:$L$890,COLUMN(HeadJournal!H$1),0),0)</f>
        <v>14.895684561973985</v>
      </c>
      <c r="P113" s="30">
        <f>IFERROR(SUM(K113:O113)*VLOOKUP($A113,HeadJournal!$A$1:$L$890,COLUMN(HeadJournal!H$1),0),0)</f>
        <v>311.27658326058975</v>
      </c>
      <c r="Q113" s="29">
        <v>312.5</v>
      </c>
      <c r="R113" s="31">
        <v>44964</v>
      </c>
      <c r="S113" s="31" t="s">
        <v>3121</v>
      </c>
      <c r="T113" s="95" t="str">
        <f t="shared" si="10"/>
        <v>2023 02</v>
      </c>
      <c r="U113" s="32">
        <f t="shared" si="7"/>
        <v>1.2234167394102542</v>
      </c>
      <c r="V113" s="22">
        <f t="shared" si="8"/>
        <v>3.9303205098022197E-3</v>
      </c>
    </row>
    <row r="114" spans="1:26" x14ac:dyDescent="0.2">
      <c r="A114" s="93" t="s">
        <v>93</v>
      </c>
      <c r="B114" s="94" t="str">
        <f>IFERROR(VLOOKUP($A114,HeadJournal!$A$1:$NTR$890,COLUMN(HeadJournal!B$1),0),"")</f>
        <v>HORD0000505131NPG</v>
      </c>
      <c r="C114" s="94" t="str">
        <f>IFERROR(VLOOKUP($A114,HeadJournal!$A$1:$NTR$890,COLUMN(HeadJournal!C$1),0),"")</f>
        <v>iHerb_OA CZN6870</v>
      </c>
      <c r="D114" s="125" t="str">
        <f>IFERROR(VLOOKUP($A114,HeadJournal!$A$1:$NTR$890,COLUMN(HeadJournal!D$1),0),"")</f>
        <v>Жанна</v>
      </c>
      <c r="E114" s="95">
        <f>IFERROR(VLOOKUP($A114,HeadJournal!$A$1:$NTR$890,COLUMN(HeadJournal!G$1),0),"")</f>
        <v>44827</v>
      </c>
      <c r="F114" s="95" t="str">
        <f t="shared" si="9"/>
        <v>2022 09</v>
      </c>
      <c r="G114" s="96" t="s">
        <v>5</v>
      </c>
      <c r="H114" s="160" t="str">
        <f>RIGHT(Journal!$J114,9)</f>
        <v>CGN-01066</v>
      </c>
      <c r="I114" s="96" t="str">
        <f t="shared" si="6"/>
        <v>California Gold Nutrition</v>
      </c>
      <c r="J114" s="97" t="s">
        <v>38</v>
      </c>
      <c r="K114" s="29">
        <v>524.03</v>
      </c>
      <c r="L114" s="29">
        <v>-262.01499999999999</v>
      </c>
      <c r="M114" s="30">
        <f>IFERROR(VLOOKUP($A114,HeadJournal!$A$1:$J$890,COLUMN(HeadJournal!I$1),0)*($K114+$L114)/(SUMIF($A:$A,$A114,$K:$K)+SUMIF($A:$A,$A114,$L:$L)),0)</f>
        <v>0</v>
      </c>
      <c r="N114" s="30">
        <f>IFERROR((VLOOKUP($A114,HeadJournal!$A$1:$K$890,COLUMN(HeadJournal!K$1),0)-VLOOKUP($A114,HeadJournal!$A$1:$K$890,COLUMN(HeadJournal!J$1),0))*($K114+$L114)/(SUMIF($A:$A,$A114,$K:$K)+SUMIF($A:$A,$A114,$L:$L)),0)</f>
        <v>9.3004107913008696</v>
      </c>
      <c r="O114" s="30">
        <f>IFERROR((VLOOKUP($A114,HeadJournal!$A$1:$L$890,COLUMN(HeadJournal!L$1),0)*($K114+$L114)/(SUMIF($A:$A,$A114,$K:$K)+SUMIF($A:$A,$A114,$L:$L)))/VLOOKUP($A114,HeadJournal!$A$1:$L$890,COLUMN(HeadJournal!H$1),0),0)</f>
        <v>17.2617991619001</v>
      </c>
      <c r="P114" s="30">
        <f>IFERROR(SUM(K114:O114)*VLOOKUP($A114,HeadJournal!$A$1:$L$890,COLUMN(HeadJournal!H$1),0),0)</f>
        <v>360.7215124415012</v>
      </c>
      <c r="Q114" s="29">
        <v>1200</v>
      </c>
      <c r="R114" s="31">
        <v>45190</v>
      </c>
      <c r="S114" s="31" t="s">
        <v>3121</v>
      </c>
      <c r="T114" s="95" t="str">
        <f t="shared" si="10"/>
        <v>2023 09</v>
      </c>
      <c r="U114" s="32">
        <f t="shared" si="7"/>
        <v>839.2784875584988</v>
      </c>
      <c r="V114" s="22">
        <f t="shared" si="8"/>
        <v>2.3266660252058187</v>
      </c>
    </row>
    <row r="115" spans="1:26" x14ac:dyDescent="0.2">
      <c r="A115" s="93" t="s">
        <v>93</v>
      </c>
      <c r="B115" s="94" t="str">
        <f>IFERROR(VLOOKUP($A115,HeadJournal!$A$1:$NTR$890,COLUMN(HeadJournal!B$1),0),"")</f>
        <v>HORD0000505131NPG</v>
      </c>
      <c r="C115" s="94" t="str">
        <f>IFERROR(VLOOKUP($A115,HeadJournal!$A$1:$NTR$890,COLUMN(HeadJournal!C$1),0),"")</f>
        <v>iHerb_OA CZN6870</v>
      </c>
      <c r="D115" s="125" t="str">
        <f>IFERROR(VLOOKUP($A115,HeadJournal!$A$1:$NTR$890,COLUMN(HeadJournal!D$1),0),"")</f>
        <v>Жанна</v>
      </c>
      <c r="E115" s="95">
        <f>IFERROR(VLOOKUP($A115,HeadJournal!$A$1:$NTR$890,COLUMN(HeadJournal!G$1),0),"")</f>
        <v>44827</v>
      </c>
      <c r="F115" s="95" t="str">
        <f t="shared" si="9"/>
        <v>2022 09</v>
      </c>
      <c r="G115" s="96" t="s">
        <v>5</v>
      </c>
      <c r="H115" s="160" t="str">
        <f>RIGHT(Journal!$J115,9)</f>
        <v>CGN-01066</v>
      </c>
      <c r="I115" s="96" t="str">
        <f t="shared" si="6"/>
        <v>California Gold Nutrition</v>
      </c>
      <c r="J115" s="97" t="s">
        <v>38</v>
      </c>
      <c r="K115" s="29">
        <v>524.03</v>
      </c>
      <c r="L115" s="29">
        <v>-262.01499999999999</v>
      </c>
      <c r="M115" s="30">
        <f>IFERROR(VLOOKUP($A115,HeadJournal!$A$1:$J$890,COLUMN(HeadJournal!I$1),0)*($K115+$L115)/(SUMIF($A:$A,$A115,$K:$K)+SUMIF($A:$A,$A115,$L:$L)),0)</f>
        <v>0</v>
      </c>
      <c r="N115" s="30">
        <f>IFERROR((VLOOKUP($A115,HeadJournal!$A$1:$K$890,COLUMN(HeadJournal!K$1),0)-VLOOKUP($A115,HeadJournal!$A$1:$K$890,COLUMN(HeadJournal!J$1),0))*($K115+$L115)/(SUMIF($A:$A,$A115,$K:$K)+SUMIF($A:$A,$A115,$L:$L)),0)</f>
        <v>9.3004107913008696</v>
      </c>
      <c r="O115" s="30">
        <f>IFERROR((VLOOKUP($A115,HeadJournal!$A$1:$L$890,COLUMN(HeadJournal!L$1),0)*($K115+$L115)/(SUMIF($A:$A,$A115,$K:$K)+SUMIF($A:$A,$A115,$L:$L)))/VLOOKUP($A115,HeadJournal!$A$1:$L$890,COLUMN(HeadJournal!H$1),0),0)</f>
        <v>17.2617991619001</v>
      </c>
      <c r="P115" s="30">
        <f>IFERROR(SUM(K115:O115)*VLOOKUP($A115,HeadJournal!$A$1:$L$890,COLUMN(HeadJournal!H$1),0),0)</f>
        <v>360.7215124415012</v>
      </c>
      <c r="Q115" s="29"/>
      <c r="R115" s="31"/>
      <c r="S115" s="31"/>
      <c r="T115" s="95" t="str">
        <f t="shared" si="10"/>
        <v/>
      </c>
      <c r="U115" s="32">
        <f t="shared" si="7"/>
        <v>-360.7215124415012</v>
      </c>
      <c r="V115" s="22" t="str">
        <f t="shared" si="8"/>
        <v/>
      </c>
    </row>
    <row r="116" spans="1:26" x14ac:dyDescent="0.2">
      <c r="A116" s="93" t="s">
        <v>93</v>
      </c>
      <c r="B116" s="94" t="str">
        <f>IFERROR(VLOOKUP($A116,HeadJournal!$A$1:$NTR$890,COLUMN(HeadJournal!B$1),0),"")</f>
        <v>HORD0000505131NPG</v>
      </c>
      <c r="C116" s="94" t="str">
        <f>IFERROR(VLOOKUP($A116,HeadJournal!$A$1:$NTR$890,COLUMN(HeadJournal!C$1),0),"")</f>
        <v>iHerb_OA CZN6870</v>
      </c>
      <c r="D116" s="125" t="str">
        <f>IFERROR(VLOOKUP($A116,HeadJournal!$A$1:$NTR$890,COLUMN(HeadJournal!D$1),0),"")</f>
        <v>Жанна</v>
      </c>
      <c r="E116" s="95">
        <f>IFERROR(VLOOKUP($A116,HeadJournal!$A$1:$NTR$890,COLUMN(HeadJournal!G$1),0),"")</f>
        <v>44827</v>
      </c>
      <c r="F116" s="95" t="str">
        <f t="shared" si="9"/>
        <v>2022 09</v>
      </c>
      <c r="G116" s="96" t="s">
        <v>5</v>
      </c>
      <c r="H116" s="161" t="s">
        <v>2771</v>
      </c>
      <c r="I116" s="97" t="s">
        <v>2052</v>
      </c>
      <c r="J116" s="97" t="s">
        <v>3858</v>
      </c>
      <c r="K116" s="29">
        <v>269.72000000000003</v>
      </c>
      <c r="L116" s="29">
        <v>-155.66999999999999</v>
      </c>
      <c r="M116" s="30">
        <f>IFERROR(VLOOKUP($A116,HeadJournal!$A$1:$J$890,COLUMN(HeadJournal!I$1),0)*($K116+$L116)/(SUMIF($A:$A,$A116,$K:$K)+SUMIF($A:$A,$A116,$L:$L)),0)</f>
        <v>0</v>
      </c>
      <c r="N116" s="30">
        <f>IFERROR((VLOOKUP($A116,HeadJournal!$A$1:$K$890,COLUMN(HeadJournal!K$1),0)-VLOOKUP($A116,HeadJournal!$A$1:$K$890,COLUMN(HeadJournal!J$1),0))*($K116+$L116)/(SUMIF($A:$A,$A116,$K:$K)+SUMIF($A:$A,$A116,$L:$L)),0)</f>
        <v>4.0482867421630999</v>
      </c>
      <c r="O116" s="30">
        <f>IFERROR((VLOOKUP($A116,HeadJournal!$A$1:$L$890,COLUMN(HeadJournal!L$1),0)*($K116+$L116)/(SUMIF($A:$A,$A116,$K:$K)+SUMIF($A:$A,$A116,$L:$L)))/VLOOKUP($A116,HeadJournal!$A$1:$L$890,COLUMN(HeadJournal!H$1),0),0)</f>
        <v>7.5137232388020037</v>
      </c>
      <c r="P116" s="30">
        <f>IFERROR(SUM(K116:O116)*VLOOKUP($A116,HeadJournal!$A$1:$L$890,COLUMN(HeadJournal!H$1),0),0)</f>
        <v>157.01501247620644</v>
      </c>
      <c r="Q116" s="29">
        <v>212.50229872793281</v>
      </c>
      <c r="R116" s="31">
        <v>44901</v>
      </c>
      <c r="S116" s="31" t="s">
        <v>3121</v>
      </c>
      <c r="T116" s="95" t="str">
        <f t="shared" si="10"/>
        <v>2022 12</v>
      </c>
      <c r="U116" s="32">
        <f t="shared" si="7"/>
        <v>55.487286251726374</v>
      </c>
      <c r="V116" s="22">
        <f t="shared" si="8"/>
        <v>0.35338841411826621</v>
      </c>
    </row>
    <row r="117" spans="1:26" x14ac:dyDescent="0.2">
      <c r="A117" s="93" t="s">
        <v>93</v>
      </c>
      <c r="B117" s="94" t="str">
        <f>IFERROR(VLOOKUP($A117,HeadJournal!$A$1:$NTR$890,COLUMN(HeadJournal!B$1),0),"")</f>
        <v>HORD0000505131NPG</v>
      </c>
      <c r="C117" s="94" t="str">
        <f>IFERROR(VLOOKUP($A117,HeadJournal!$A$1:$NTR$890,COLUMN(HeadJournal!C$1),0),"")</f>
        <v>iHerb_OA CZN6870</v>
      </c>
      <c r="D117" s="125" t="str">
        <f>IFERROR(VLOOKUP($A117,HeadJournal!$A$1:$NTR$890,COLUMN(HeadJournal!D$1),0),"")</f>
        <v>Жанна</v>
      </c>
      <c r="E117" s="95">
        <f>IFERROR(VLOOKUP($A117,HeadJournal!$A$1:$NTR$890,COLUMN(HeadJournal!G$1),0),"")</f>
        <v>44827</v>
      </c>
      <c r="F117" s="95" t="str">
        <f t="shared" si="9"/>
        <v>2022 09</v>
      </c>
      <c r="G117" s="96" t="s">
        <v>5</v>
      </c>
      <c r="H117" s="160" t="str">
        <f>RIGHT(Journal!$J117,9)</f>
        <v>CEN-27303</v>
      </c>
      <c r="I117" s="96" t="str">
        <f t="shared" si="6"/>
        <v>21st Century</v>
      </c>
      <c r="J117" s="97" t="s">
        <v>96</v>
      </c>
      <c r="K117" s="29">
        <v>204.67</v>
      </c>
      <c r="L117" s="29">
        <v>-53.21</v>
      </c>
      <c r="M117" s="30">
        <f>IFERROR(VLOOKUP($A117,HeadJournal!$A$1:$J$890,COLUMN(HeadJournal!I$1),0)*($K117+$L117)/(SUMIF($A:$A,$A117,$K:$K)+SUMIF($A:$A,$A117,$L:$L)),0)</f>
        <v>0</v>
      </c>
      <c r="N117" s="30">
        <f>IFERROR((VLOOKUP($A117,HeadJournal!$A$1:$K$890,COLUMN(HeadJournal!K$1),0)-VLOOKUP($A117,HeadJournal!$A$1:$K$890,COLUMN(HeadJournal!J$1),0))*($K117+$L117)/(SUMIF($A:$A,$A117,$K:$K)+SUMIF($A:$A,$A117,$L:$L)),0)</f>
        <v>5.376181586742856</v>
      </c>
      <c r="O117" s="30">
        <f>IFERROR((VLOOKUP($A117,HeadJournal!$A$1:$L$890,COLUMN(HeadJournal!L$1),0)*($K117+$L117)/(SUMIF($A:$A,$A117,$K:$K)+SUMIF($A:$A,$A117,$L:$L)))/VLOOKUP($A117,HeadJournal!$A$1:$L$890,COLUMN(HeadJournal!H$1),0),0)</f>
        <v>9.9783298706615611</v>
      </c>
      <c r="P117" s="30">
        <f>IFERROR(SUM(K117:O117)*VLOOKUP($A117,HeadJournal!$A$1:$L$890,COLUMN(HeadJournal!H$1),0),0)</f>
        <v>208.51813932175548</v>
      </c>
      <c r="Q117" s="29">
        <v>208.75</v>
      </c>
      <c r="R117" s="31">
        <v>44930</v>
      </c>
      <c r="S117" s="31" t="s">
        <v>3121</v>
      </c>
      <c r="T117" s="95" t="str">
        <f t="shared" si="10"/>
        <v>2023 01</v>
      </c>
      <c r="U117" s="32">
        <f t="shared" si="7"/>
        <v>0.23186067824451584</v>
      </c>
      <c r="V117" s="22">
        <f t="shared" si="8"/>
        <v>1.1119448840215358E-3</v>
      </c>
    </row>
    <row r="118" spans="1:26" x14ac:dyDescent="0.2">
      <c r="A118" s="93" t="s">
        <v>93</v>
      </c>
      <c r="B118" s="94" t="str">
        <f>IFERROR(VLOOKUP($A118,HeadJournal!$A$1:$NTR$890,COLUMN(HeadJournal!B$1),0),"")</f>
        <v>HORD0000505131NPG</v>
      </c>
      <c r="C118" s="94" t="str">
        <f>IFERROR(VLOOKUP($A118,HeadJournal!$A$1:$NTR$890,COLUMN(HeadJournal!C$1),0),"")</f>
        <v>iHerb_OA CZN6870</v>
      </c>
      <c r="D118" s="125" t="str">
        <f>IFERROR(VLOOKUP($A118,HeadJournal!$A$1:$NTR$890,COLUMN(HeadJournal!D$1),0),"")</f>
        <v>Жанна</v>
      </c>
      <c r="E118" s="95">
        <f>IFERROR(VLOOKUP($A118,HeadJournal!$A$1:$NTR$890,COLUMN(HeadJournal!G$1),0),"")</f>
        <v>44827</v>
      </c>
      <c r="F118" s="95" t="str">
        <f t="shared" si="9"/>
        <v>2022 09</v>
      </c>
      <c r="G118" s="96" t="s">
        <v>5</v>
      </c>
      <c r="H118" s="160" t="str">
        <f>RIGHT(Journal!$J118,9)</f>
        <v>CEN-27304</v>
      </c>
      <c r="I118" s="96" t="str">
        <f t="shared" si="6"/>
        <v>21st Century</v>
      </c>
      <c r="J118" s="97" t="s">
        <v>97</v>
      </c>
      <c r="K118" s="29">
        <v>254.42</v>
      </c>
      <c r="L118" s="29">
        <v>-66.150000000000006</v>
      </c>
      <c r="M118" s="30">
        <f>IFERROR(VLOOKUP($A118,HeadJournal!$A$1:$J$890,COLUMN(HeadJournal!I$1),0)*($K118+$L118)/(SUMIF($A:$A,$A118,$K:$K)+SUMIF($A:$A,$A118,$L:$L)),0)</f>
        <v>0</v>
      </c>
      <c r="N118" s="30">
        <f>IFERROR((VLOOKUP($A118,HeadJournal!$A$1:$K$890,COLUMN(HeadJournal!K$1),0)-VLOOKUP($A118,HeadJournal!$A$1:$K$890,COLUMN(HeadJournal!J$1),0))*($K118+$L118)/(SUMIF($A:$A,$A118,$K:$K)+SUMIF($A:$A,$A118,$L:$L)),0)</f>
        <v>6.6827789999741034</v>
      </c>
      <c r="O118" s="30">
        <f>IFERROR((VLOOKUP($A118,HeadJournal!$A$1:$L$890,COLUMN(HeadJournal!L$1),0)*($K118+$L118)/(SUMIF($A:$A,$A118,$K:$K)+SUMIF($A:$A,$A118,$L:$L)))/VLOOKUP($A118,HeadJournal!$A$1:$L$890,COLUMN(HeadJournal!H$1),0),0)</f>
        <v>12.403407927832117</v>
      </c>
      <c r="P118" s="30">
        <f>IFERROR(SUM(K118:O118)*VLOOKUP($A118,HeadJournal!$A$1:$L$890,COLUMN(HeadJournal!H$1),0),0)</f>
        <v>259.19523365975772</v>
      </c>
      <c r="Q118" s="29">
        <v>260</v>
      </c>
      <c r="R118" s="31">
        <v>44925</v>
      </c>
      <c r="S118" s="31" t="s">
        <v>3121</v>
      </c>
      <c r="T118" s="95" t="str">
        <f t="shared" si="10"/>
        <v>2022 12</v>
      </c>
      <c r="U118" s="32">
        <f t="shared" si="7"/>
        <v>0.80476634024228133</v>
      </c>
      <c r="V118" s="22">
        <f t="shared" si="8"/>
        <v>3.104865505739538E-3</v>
      </c>
    </row>
    <row r="119" spans="1:26" x14ac:dyDescent="0.2">
      <c r="A119" s="93" t="s">
        <v>93</v>
      </c>
      <c r="B119" s="94" t="str">
        <f>IFERROR(VLOOKUP($A119,HeadJournal!$A$1:$NTR$890,COLUMN(HeadJournal!B$1),0),"")</f>
        <v>HORD0000505131NPG</v>
      </c>
      <c r="C119" s="94" t="str">
        <f>IFERROR(VLOOKUP($A119,HeadJournal!$A$1:$NTR$890,COLUMN(HeadJournal!C$1),0),"")</f>
        <v>iHerb_OA CZN6870</v>
      </c>
      <c r="D119" s="125" t="str">
        <f>IFERROR(VLOOKUP($A119,HeadJournal!$A$1:$NTR$890,COLUMN(HeadJournal!D$1),0),"")</f>
        <v>Жанна</v>
      </c>
      <c r="E119" s="95">
        <f>IFERROR(VLOOKUP($A119,HeadJournal!$A$1:$NTR$890,COLUMN(HeadJournal!G$1),0),"")</f>
        <v>44827</v>
      </c>
      <c r="F119" s="95" t="str">
        <f t="shared" si="9"/>
        <v>2022 09</v>
      </c>
      <c r="G119" s="96" t="s">
        <v>5</v>
      </c>
      <c r="H119" s="160" t="str">
        <f>RIGHT(Journal!$J119,9)</f>
        <v>CEN-27304</v>
      </c>
      <c r="I119" s="96" t="str">
        <f t="shared" si="6"/>
        <v>21st Century</v>
      </c>
      <c r="J119" s="97" t="s">
        <v>97</v>
      </c>
      <c r="K119" s="29">
        <v>254.42</v>
      </c>
      <c r="L119" s="29">
        <v>-66.150000000000006</v>
      </c>
      <c r="M119" s="30">
        <f>IFERROR(VLOOKUP($A119,HeadJournal!$A$1:$J$890,COLUMN(HeadJournal!I$1),0)*($K119+$L119)/(SUMIF($A:$A,$A119,$K:$K)+SUMIF($A:$A,$A119,$L:$L)),0)</f>
        <v>0</v>
      </c>
      <c r="N119" s="30">
        <f>IFERROR((VLOOKUP($A119,HeadJournal!$A$1:$K$890,COLUMN(HeadJournal!K$1),0)-VLOOKUP($A119,HeadJournal!$A$1:$K$890,COLUMN(HeadJournal!J$1),0))*($K119+$L119)/(SUMIF($A:$A,$A119,$K:$K)+SUMIF($A:$A,$A119,$L:$L)),0)</f>
        <v>6.6827789999741034</v>
      </c>
      <c r="O119" s="30">
        <f>IFERROR((VLOOKUP($A119,HeadJournal!$A$1:$L$890,COLUMN(HeadJournal!L$1),0)*($K119+$L119)/(SUMIF($A:$A,$A119,$K:$K)+SUMIF($A:$A,$A119,$L:$L)))/VLOOKUP($A119,HeadJournal!$A$1:$L$890,COLUMN(HeadJournal!H$1),0),0)</f>
        <v>12.403407927832117</v>
      </c>
      <c r="P119" s="30">
        <f>IFERROR(SUM(K119:O119)*VLOOKUP($A119,HeadJournal!$A$1:$L$890,COLUMN(HeadJournal!H$1),0),0)</f>
        <v>259.19523365975772</v>
      </c>
      <c r="Q119" s="29">
        <v>260</v>
      </c>
      <c r="R119" s="31">
        <v>44925</v>
      </c>
      <c r="S119" s="31" t="s">
        <v>3121</v>
      </c>
      <c r="T119" s="95" t="str">
        <f t="shared" si="10"/>
        <v>2022 12</v>
      </c>
      <c r="U119" s="32">
        <f t="shared" si="7"/>
        <v>0.80476634024228133</v>
      </c>
      <c r="V119" s="22">
        <f t="shared" si="8"/>
        <v>3.104865505739538E-3</v>
      </c>
    </row>
    <row r="120" spans="1:26" x14ac:dyDescent="0.2">
      <c r="A120" s="93" t="s">
        <v>93</v>
      </c>
      <c r="B120" s="94" t="str">
        <f>IFERROR(VLOOKUP($A120,HeadJournal!$A$1:$NTR$890,COLUMN(HeadJournal!B$1),0),"")</f>
        <v>HORD0000505131NPG</v>
      </c>
      <c r="C120" s="94" t="str">
        <f>IFERROR(VLOOKUP($A120,HeadJournal!$A$1:$NTR$890,COLUMN(HeadJournal!C$1),0),"")</f>
        <v>iHerb_OA CZN6870</v>
      </c>
      <c r="D120" s="125" t="str">
        <f>IFERROR(VLOOKUP($A120,HeadJournal!$A$1:$NTR$890,COLUMN(HeadJournal!D$1),0),"")</f>
        <v>Жанна</v>
      </c>
      <c r="E120" s="95">
        <f>IFERROR(VLOOKUP($A120,HeadJournal!$A$1:$NTR$890,COLUMN(HeadJournal!G$1),0),"")</f>
        <v>44827</v>
      </c>
      <c r="F120" s="95" t="str">
        <f t="shared" si="9"/>
        <v>2022 09</v>
      </c>
      <c r="G120" s="96" t="s">
        <v>5</v>
      </c>
      <c r="H120" s="160" t="str">
        <f>RIGHT(Journal!$J120,9)</f>
        <v>CEN-27308</v>
      </c>
      <c r="I120" s="96" t="str">
        <f t="shared" si="6"/>
        <v>21st Century</v>
      </c>
      <c r="J120" s="97" t="s">
        <v>98</v>
      </c>
      <c r="K120" s="29">
        <v>257.56</v>
      </c>
      <c r="L120" s="29">
        <v>-66.97</v>
      </c>
      <c r="M120" s="30">
        <f>IFERROR(VLOOKUP($A120,HeadJournal!$A$1:$J$890,COLUMN(HeadJournal!I$1),0)*($K120+$L120)/(SUMIF($A:$A,$A120,$K:$K)+SUMIF($A:$A,$A120,$L:$L)),0)</f>
        <v>0</v>
      </c>
      <c r="N120" s="30">
        <f>IFERROR((VLOOKUP($A120,HeadJournal!$A$1:$K$890,COLUMN(HeadJournal!K$1),0)-VLOOKUP($A120,HeadJournal!$A$1:$K$890,COLUMN(HeadJournal!J$1),0))*($K120+$L120)/(SUMIF($A:$A,$A120,$K:$K)+SUMIF($A:$A,$A120,$L:$L)),0)</f>
        <v>6.7651290678550193</v>
      </c>
      <c r="O120" s="30">
        <f>IFERROR((VLOOKUP($A120,HeadJournal!$A$1:$L$890,COLUMN(HeadJournal!L$1),0)*($K120+$L120)/(SUMIF($A:$A,$A120,$K:$K)+SUMIF($A:$A,$A120,$L:$L)))/VLOOKUP($A120,HeadJournal!$A$1:$L$890,COLUMN(HeadJournal!H$1),0),0)</f>
        <v>12.556251749962943</v>
      </c>
      <c r="P120" s="30">
        <f>IFERROR(SUM(K120:O120)*VLOOKUP($A120,HeadJournal!$A$1:$L$890,COLUMN(HeadJournal!H$1),0),0)</f>
        <v>262.38922602227245</v>
      </c>
      <c r="Q120" s="29">
        <v>262.5</v>
      </c>
      <c r="R120" s="31">
        <v>45000</v>
      </c>
      <c r="S120" s="31" t="s">
        <v>3121</v>
      </c>
      <c r="T120" s="95" t="str">
        <f t="shared" si="10"/>
        <v>2023 03</v>
      </c>
      <c r="U120" s="32">
        <f t="shared" si="7"/>
        <v>0.11077397772754694</v>
      </c>
      <c r="V120" s="22">
        <f t="shared" si="8"/>
        <v>4.2217426152300962E-4</v>
      </c>
    </row>
    <row r="121" spans="1:26" x14ac:dyDescent="0.2">
      <c r="A121" s="93" t="s">
        <v>93</v>
      </c>
      <c r="B121" s="94" t="str">
        <f>IFERROR(VLOOKUP($A121,HeadJournal!$A$1:$NTR$890,COLUMN(HeadJournal!B$1),0),"")</f>
        <v>HORD0000505131NPG</v>
      </c>
      <c r="C121" s="94" t="str">
        <f>IFERROR(VLOOKUP($A121,HeadJournal!$A$1:$NTR$890,COLUMN(HeadJournal!C$1),0),"")</f>
        <v>iHerb_OA CZN6870</v>
      </c>
      <c r="D121" s="125" t="str">
        <f>IFERROR(VLOOKUP($A121,HeadJournal!$A$1:$NTR$890,COLUMN(HeadJournal!D$1),0),"")</f>
        <v>Жанна</v>
      </c>
      <c r="E121" s="95">
        <f>IFERROR(VLOOKUP($A121,HeadJournal!$A$1:$NTR$890,COLUMN(HeadJournal!G$1),0),"")</f>
        <v>44827</v>
      </c>
      <c r="F121" s="95" t="str">
        <f t="shared" si="9"/>
        <v>2022 09</v>
      </c>
      <c r="G121" s="96" t="s">
        <v>5</v>
      </c>
      <c r="H121" s="160" t="str">
        <f>RIGHT(Journal!$J121,9)</f>
        <v>CEN-27305</v>
      </c>
      <c r="I121" s="96" t="str">
        <f t="shared" si="6"/>
        <v>21st Century</v>
      </c>
      <c r="J121" s="97" t="s">
        <v>99</v>
      </c>
      <c r="K121" s="29">
        <v>254.42</v>
      </c>
      <c r="L121" s="29">
        <v>-66.150000000000006</v>
      </c>
      <c r="M121" s="30">
        <f>IFERROR(VLOOKUP($A121,HeadJournal!$A$1:$J$890,COLUMN(HeadJournal!I$1),0)*($K121+$L121)/(SUMIF($A:$A,$A121,$K:$K)+SUMIF($A:$A,$A121,$L:$L)),0)</f>
        <v>0</v>
      </c>
      <c r="N121" s="30">
        <f>IFERROR((VLOOKUP($A121,HeadJournal!$A$1:$K$890,COLUMN(HeadJournal!K$1),0)-VLOOKUP($A121,HeadJournal!$A$1:$K$890,COLUMN(HeadJournal!J$1),0))*($K121+$L121)/(SUMIF($A:$A,$A121,$K:$K)+SUMIF($A:$A,$A121,$L:$L)),0)</f>
        <v>6.6827789999741034</v>
      </c>
      <c r="O121" s="30">
        <f>IFERROR((VLOOKUP($A121,HeadJournal!$A$1:$L$890,COLUMN(HeadJournal!L$1),0)*($K121+$L121)/(SUMIF($A:$A,$A121,$K:$K)+SUMIF($A:$A,$A121,$L:$L)))/VLOOKUP($A121,HeadJournal!$A$1:$L$890,COLUMN(HeadJournal!H$1),0),0)</f>
        <v>12.403407927832117</v>
      </c>
      <c r="P121" s="30">
        <f>IFERROR(SUM(K121:O121)*VLOOKUP($A121,HeadJournal!$A$1:$L$890,COLUMN(HeadJournal!H$1),0),0)</f>
        <v>259.19523365975772</v>
      </c>
      <c r="Q121" s="29">
        <v>260</v>
      </c>
      <c r="R121" s="31">
        <v>44917</v>
      </c>
      <c r="S121" s="31" t="s">
        <v>3121</v>
      </c>
      <c r="T121" s="95" t="str">
        <f t="shared" si="10"/>
        <v>2022 12</v>
      </c>
      <c r="U121" s="32">
        <f t="shared" si="7"/>
        <v>0.80476634024228133</v>
      </c>
      <c r="V121" s="22">
        <f t="shared" si="8"/>
        <v>3.104865505739538E-3</v>
      </c>
    </row>
    <row r="122" spans="1:26" x14ac:dyDescent="0.2">
      <c r="A122" s="93" t="s">
        <v>93</v>
      </c>
      <c r="B122" s="94" t="str">
        <f>IFERROR(VLOOKUP($A122,HeadJournal!$A$1:$NTR$890,COLUMN(HeadJournal!B$1),0),"")</f>
        <v>HORD0000505131NPG</v>
      </c>
      <c r="C122" s="94" t="str">
        <f>IFERROR(VLOOKUP($A122,HeadJournal!$A$1:$NTR$890,COLUMN(HeadJournal!C$1),0),"")</f>
        <v>iHerb_OA CZN6870</v>
      </c>
      <c r="D122" s="125" t="str">
        <f>IFERROR(VLOOKUP($A122,HeadJournal!$A$1:$NTR$890,COLUMN(HeadJournal!D$1),0),"")</f>
        <v>Жанна</v>
      </c>
      <c r="E122" s="95">
        <f>IFERROR(VLOOKUP($A122,HeadJournal!$A$1:$NTR$890,COLUMN(HeadJournal!G$1),0),"")</f>
        <v>44827</v>
      </c>
      <c r="F122" s="95" t="str">
        <f t="shared" si="9"/>
        <v>2022 09</v>
      </c>
      <c r="G122" s="96" t="s">
        <v>5</v>
      </c>
      <c r="H122" s="161" t="s">
        <v>2471</v>
      </c>
      <c r="I122" s="97" t="s">
        <v>2039</v>
      </c>
      <c r="J122" s="97" t="s">
        <v>2472</v>
      </c>
      <c r="K122" s="29">
        <v>841.35</v>
      </c>
      <c r="L122" s="29">
        <v>-218.75</v>
      </c>
      <c r="M122" s="30">
        <f>IFERROR(VLOOKUP($A122,HeadJournal!$A$1:$J$890,COLUMN(HeadJournal!I$1),0)*($K122+$L122)/(SUMIF($A:$A,$A122,$K:$K)+SUMIF($A:$A,$A122,$L:$L)),0)</f>
        <v>0</v>
      </c>
      <c r="N122" s="30">
        <f>IFERROR((VLOOKUP($A122,HeadJournal!$A$1:$K$890,COLUMN(HeadJournal!K$1),0)-VLOOKUP($A122,HeadJournal!$A$1:$K$890,COLUMN(HeadJournal!J$1),0))*($K122+$L122)/(SUMIF($A:$A,$A122,$K:$K)+SUMIF($A:$A,$A122,$L:$L)),0)</f>
        <v>22.099634595973214</v>
      </c>
      <c r="O122" s="30">
        <f>IFERROR((VLOOKUP($A122,HeadJournal!$A$1:$L$890,COLUMN(HeadJournal!L$1),0)*($K122+$L122)/(SUMIF($A:$A,$A122,$K:$K)+SUMIF($A:$A,$A122,$L:$L)))/VLOOKUP($A122,HeadJournal!$A$1:$L$890,COLUMN(HeadJournal!H$1),0),0)</f>
        <v>41.017484335625838</v>
      </c>
      <c r="P122" s="30">
        <f>IFERROR(SUM(K122:O122)*VLOOKUP($A122,HeadJournal!$A$1:$L$890,COLUMN(HeadJournal!H$1),0),0)</f>
        <v>857.14639866449886</v>
      </c>
      <c r="Q122" s="29">
        <v>857.5</v>
      </c>
      <c r="R122" s="31">
        <v>44901</v>
      </c>
      <c r="S122" s="31" t="s">
        <v>3121</v>
      </c>
      <c r="T122" s="95" t="str">
        <f t="shared" si="10"/>
        <v>2022 12</v>
      </c>
      <c r="U122" s="32">
        <f t="shared" si="7"/>
        <v>0.35360133550113915</v>
      </c>
      <c r="V122" s="22">
        <f t="shared" si="8"/>
        <v>4.1253318692358466E-4</v>
      </c>
    </row>
    <row r="123" spans="1:26" x14ac:dyDescent="0.2">
      <c r="A123" s="93" t="s">
        <v>93</v>
      </c>
      <c r="B123" s="94" t="str">
        <f>IFERROR(VLOOKUP($A123,HeadJournal!$A$1:$NTR$890,COLUMN(HeadJournal!B$1),0),"")</f>
        <v>HORD0000505131NPG</v>
      </c>
      <c r="C123" s="94" t="str">
        <f>IFERROR(VLOOKUP($A123,HeadJournal!$A$1:$NTR$890,COLUMN(HeadJournal!C$1),0),"")</f>
        <v>iHerb_OA CZN6870</v>
      </c>
      <c r="D123" s="125" t="str">
        <f>IFERROR(VLOOKUP($A123,HeadJournal!$A$1:$NTR$890,COLUMN(HeadJournal!D$1),0),"")</f>
        <v>Жанна</v>
      </c>
      <c r="E123" s="95">
        <f>IFERROR(VLOOKUP($A123,HeadJournal!$A$1:$NTR$890,COLUMN(HeadJournal!G$1),0),"")</f>
        <v>44827</v>
      </c>
      <c r="F123" s="95" t="str">
        <f t="shared" si="9"/>
        <v>2022 09</v>
      </c>
      <c r="G123" s="96" t="s">
        <v>5</v>
      </c>
      <c r="H123" s="160" t="str">
        <f>RIGHT(Journal!$J123,9)</f>
        <v>NOW-03212</v>
      </c>
      <c r="I123" s="96" t="str">
        <f t="shared" si="6"/>
        <v>NOW Foods</v>
      </c>
      <c r="J123" s="97" t="s">
        <v>100</v>
      </c>
      <c r="K123" s="29">
        <v>956.75</v>
      </c>
      <c r="L123" s="29">
        <v>-248.76</v>
      </c>
      <c r="M123" s="30">
        <f>IFERROR(VLOOKUP($A123,HeadJournal!$A$1:$J$890,COLUMN(HeadJournal!I$1),0)*($K123+$L123)/(SUMIF($A:$A,$A123,$K:$K)+SUMIF($A:$A,$A123,$L:$L)),0)</f>
        <v>0</v>
      </c>
      <c r="N123" s="30">
        <f>IFERROR((VLOOKUP($A123,HeadJournal!$A$1:$K$890,COLUMN(HeadJournal!K$1),0)-VLOOKUP($A123,HeadJournal!$A$1:$K$890,COLUMN(HeadJournal!J$1),0))*($K123+$L123)/(SUMIF($A:$A,$A123,$K:$K)+SUMIF($A:$A,$A123,$L:$L)),0)</f>
        <v>25.130614034055693</v>
      </c>
      <c r="O123" s="30">
        <f>IFERROR((VLOOKUP($A123,HeadJournal!$A$1:$L$890,COLUMN(HeadJournal!L$1),0)*($K123+$L123)/(SUMIF($A:$A,$A123,$K:$K)+SUMIF($A:$A,$A123,$L:$L)))/VLOOKUP($A123,HeadJournal!$A$1:$L$890,COLUMN(HeadJournal!H$1),0),0)</f>
        <v>46.64305932344962</v>
      </c>
      <c r="P123" s="30">
        <f>IFERROR(SUM(K123:O123)*VLOOKUP($A123,HeadJournal!$A$1:$L$890,COLUMN(HeadJournal!H$1),0),0)</f>
        <v>974.70459169688172</v>
      </c>
      <c r="Q123" s="29">
        <v>3200</v>
      </c>
      <c r="R123" s="31">
        <v>45189</v>
      </c>
      <c r="S123" s="31" t="s">
        <v>3121</v>
      </c>
      <c r="T123" s="95" t="str">
        <f t="shared" si="10"/>
        <v>2023 09</v>
      </c>
      <c r="U123" s="32">
        <f t="shared" si="7"/>
        <v>2225.2954083031182</v>
      </c>
      <c r="V123" s="22">
        <f t="shared" si="8"/>
        <v>2.2830459887636922</v>
      </c>
    </row>
    <row r="124" spans="1:26" x14ac:dyDescent="0.2">
      <c r="A124" s="93" t="s">
        <v>93</v>
      </c>
      <c r="B124" s="94" t="str">
        <f>IFERROR(VLOOKUP($A124,HeadJournal!$A$1:$NTR$890,COLUMN(HeadJournal!B$1),0),"")</f>
        <v>HORD0000505131NPG</v>
      </c>
      <c r="C124" s="94" t="str">
        <f>IFERROR(VLOOKUP($A124,HeadJournal!$A$1:$NTR$890,COLUMN(HeadJournal!C$1),0),"")</f>
        <v>iHerb_OA CZN6870</v>
      </c>
      <c r="D124" s="125" t="str">
        <f>IFERROR(VLOOKUP($A124,HeadJournal!$A$1:$NTR$890,COLUMN(HeadJournal!D$1),0),"")</f>
        <v>Жанна</v>
      </c>
      <c r="E124" s="95">
        <f>IFERROR(VLOOKUP($A124,HeadJournal!$A$1:$NTR$890,COLUMN(HeadJournal!G$1),0),"")</f>
        <v>44827</v>
      </c>
      <c r="F124" s="95" t="str">
        <f t="shared" si="9"/>
        <v>2022 09</v>
      </c>
      <c r="G124" s="96" t="s">
        <v>5</v>
      </c>
      <c r="H124" s="161" t="s">
        <v>2696</v>
      </c>
      <c r="I124" s="97" t="s">
        <v>2052</v>
      </c>
      <c r="J124" s="97" t="s">
        <v>2697</v>
      </c>
      <c r="K124" s="29">
        <v>308.25</v>
      </c>
      <c r="L124" s="29">
        <v>-154.125</v>
      </c>
      <c r="M124" s="30">
        <f>IFERROR(VLOOKUP($A124,HeadJournal!$A$1:$J$890,COLUMN(HeadJournal!I$1),0)*($K124+$L124)/(SUMIF($A:$A,$A124,$K:$K)+SUMIF($A:$A,$A124,$L:$L)),0)</f>
        <v>0</v>
      </c>
      <c r="N124" s="30">
        <f>IFERROR((VLOOKUP($A124,HeadJournal!$A$1:$K$890,COLUMN(HeadJournal!K$1),0)-VLOOKUP($A124,HeadJournal!$A$1:$K$890,COLUMN(HeadJournal!J$1),0))*($K124+$L124)/(SUMIF($A:$A,$A124,$K:$K)+SUMIF($A:$A,$A124,$L:$L)),0)</f>
        <v>5.470777677649167</v>
      </c>
      <c r="O124" s="30">
        <f>IFERROR((VLOOKUP($A124,HeadJournal!$A$1:$L$890,COLUMN(HeadJournal!L$1),0)*($K124+$L124)/(SUMIF($A:$A,$A124,$K:$K)+SUMIF($A:$A,$A124,$L:$L)))/VLOOKUP($A124,HeadJournal!$A$1:$L$890,COLUMN(HeadJournal!H$1),0),0)</f>
        <v>10.153902623238567</v>
      </c>
      <c r="P124" s="30">
        <f>IFERROR(SUM(K124:O124)*VLOOKUP($A124,HeadJournal!$A$1:$L$890,COLUMN(HeadJournal!H$1),0),0)</f>
        <v>212.18710037610964</v>
      </c>
      <c r="Q124" s="29">
        <v>212.18710037610964</v>
      </c>
      <c r="R124" s="31">
        <v>44901</v>
      </c>
      <c r="S124" s="31" t="s">
        <v>3121</v>
      </c>
      <c r="T124" s="95" t="str">
        <f t="shared" si="10"/>
        <v>2022 12</v>
      </c>
      <c r="U124" s="32">
        <f t="shared" si="7"/>
        <v>0</v>
      </c>
      <c r="V124" s="22">
        <f t="shared" si="8"/>
        <v>0</v>
      </c>
    </row>
    <row r="125" spans="1:26" x14ac:dyDescent="0.2">
      <c r="A125" s="93" t="s">
        <v>93</v>
      </c>
      <c r="B125" s="94" t="str">
        <f>IFERROR(VLOOKUP($A125,HeadJournal!$A$1:$NTR$890,COLUMN(HeadJournal!B$1),0),"")</f>
        <v>HORD0000505131NPG</v>
      </c>
      <c r="C125" s="94" t="str">
        <f>IFERROR(VLOOKUP($A125,HeadJournal!$A$1:$NTR$890,COLUMN(HeadJournal!C$1),0),"")</f>
        <v>iHerb_OA CZN6870</v>
      </c>
      <c r="D125" s="125" t="str">
        <f>IFERROR(VLOOKUP($A125,HeadJournal!$A$1:$NTR$890,COLUMN(HeadJournal!D$1),0),"")</f>
        <v>Жанна</v>
      </c>
      <c r="E125" s="95">
        <f>IFERROR(VLOOKUP($A125,HeadJournal!$A$1:$NTR$890,COLUMN(HeadJournal!G$1),0),"")</f>
        <v>44827</v>
      </c>
      <c r="F125" s="95" t="str">
        <f t="shared" si="9"/>
        <v>2022 09</v>
      </c>
      <c r="G125" s="96" t="s">
        <v>5</v>
      </c>
      <c r="H125" s="161" t="s">
        <v>2696</v>
      </c>
      <c r="I125" s="97" t="s">
        <v>2052</v>
      </c>
      <c r="J125" s="97" t="s">
        <v>2697</v>
      </c>
      <c r="K125" s="29">
        <v>308.25</v>
      </c>
      <c r="L125" s="29">
        <v>-154.125</v>
      </c>
      <c r="M125" s="30">
        <f>IFERROR(VLOOKUP($A125,HeadJournal!$A$1:$J$890,COLUMN(HeadJournal!I$1),0)*($K125+$L125)/(SUMIF($A:$A,$A125,$K:$K)+SUMIF($A:$A,$A125,$L:$L)),0)</f>
        <v>0</v>
      </c>
      <c r="N125" s="30">
        <f>IFERROR((VLOOKUP($A125,HeadJournal!$A$1:$K$890,COLUMN(HeadJournal!K$1),0)-VLOOKUP($A125,HeadJournal!$A$1:$K$890,COLUMN(HeadJournal!J$1),0))*($K125+$L125)/(SUMIF($A:$A,$A125,$K:$K)+SUMIF($A:$A,$A125,$L:$L)),0)</f>
        <v>5.470777677649167</v>
      </c>
      <c r="O125" s="30">
        <f>IFERROR((VLOOKUP($A125,HeadJournal!$A$1:$L$890,COLUMN(HeadJournal!L$1),0)*($K125+$L125)/(SUMIF($A:$A,$A125,$K:$K)+SUMIF($A:$A,$A125,$L:$L)))/VLOOKUP($A125,HeadJournal!$A$1:$L$890,COLUMN(HeadJournal!H$1),0),0)</f>
        <v>10.153902623238567</v>
      </c>
      <c r="P125" s="30">
        <f>IFERROR(SUM(K125:O125)*VLOOKUP($A125,HeadJournal!$A$1:$L$890,COLUMN(HeadJournal!H$1),0),0)</f>
        <v>212.18710037610964</v>
      </c>
      <c r="Q125" s="29">
        <v>212.18710037610964</v>
      </c>
      <c r="R125" s="31">
        <v>44901</v>
      </c>
      <c r="S125" s="31" t="s">
        <v>3121</v>
      </c>
      <c r="T125" s="95" t="str">
        <f t="shared" si="10"/>
        <v>2022 12</v>
      </c>
      <c r="U125" s="32">
        <f t="shared" si="7"/>
        <v>0</v>
      </c>
      <c r="V125" s="22">
        <f t="shared" si="8"/>
        <v>0</v>
      </c>
    </row>
    <row r="126" spans="1:26" x14ac:dyDescent="0.2">
      <c r="A126" s="93" t="s">
        <v>93</v>
      </c>
      <c r="B126" s="94" t="str">
        <f>IFERROR(VLOOKUP($A126,HeadJournal!$A$1:$NTR$890,COLUMN(HeadJournal!B$1),0),"")</f>
        <v>HORD0000505131NPG</v>
      </c>
      <c r="C126" s="94" t="str">
        <f>IFERROR(VLOOKUP($A126,HeadJournal!$A$1:$NTR$890,COLUMN(HeadJournal!C$1),0),"")</f>
        <v>iHerb_OA CZN6870</v>
      </c>
      <c r="D126" s="125" t="str">
        <f>IFERROR(VLOOKUP($A126,HeadJournal!$A$1:$NTR$890,COLUMN(HeadJournal!D$1),0),"")</f>
        <v>Жанна</v>
      </c>
      <c r="E126" s="95">
        <f>IFERROR(VLOOKUP($A126,HeadJournal!$A$1:$NTR$890,COLUMN(HeadJournal!G$1),0),"")</f>
        <v>44827</v>
      </c>
      <c r="F126" s="95" t="str">
        <f t="shared" si="9"/>
        <v>2022 09</v>
      </c>
      <c r="G126" s="96" t="s">
        <v>5</v>
      </c>
      <c r="H126" s="161" t="s">
        <v>2623</v>
      </c>
      <c r="I126" s="97" t="s">
        <v>2052</v>
      </c>
      <c r="J126" s="97" t="s">
        <v>3915</v>
      </c>
      <c r="K126" s="29">
        <v>192.66</v>
      </c>
      <c r="L126" s="29">
        <v>-154.13</v>
      </c>
      <c r="M126" s="30">
        <f>IFERROR(VLOOKUP($A126,HeadJournal!$A$1:$J$890,COLUMN(HeadJournal!I$1),0)*($K126+$L126)/(SUMIF($A:$A,$A126,$K:$K)+SUMIF($A:$A,$A126,$L:$L)),0)</f>
        <v>0</v>
      </c>
      <c r="N126" s="30">
        <f>IFERROR((VLOOKUP($A126,HeadJournal!$A$1:$K$890,COLUMN(HeadJournal!K$1),0)-VLOOKUP($A126,HeadJournal!$A$1:$K$890,COLUMN(HeadJournal!J$1),0))*($K126+$L126)/(SUMIF($A:$A,$A126,$K:$K)+SUMIF($A:$A,$A126,$L:$L)),0)</f>
        <v>1.367650049763649</v>
      </c>
      <c r="O126" s="30">
        <f>IFERROR((VLOOKUP($A126,HeadJournal!$A$1:$L$890,COLUMN(HeadJournal!L$1),0)*($K126+$L126)/(SUMIF($A:$A,$A126,$K:$K)+SUMIF($A:$A,$A126,$L:$L)))/VLOOKUP($A126,HeadJournal!$A$1:$L$890,COLUMN(HeadJournal!H$1),0),0)</f>
        <v>2.5383933046123728</v>
      </c>
      <c r="P126" s="30">
        <f>IFERROR(SUM(K126:O126)*VLOOKUP($A126,HeadJournal!$A$1:$L$890,COLUMN(HeadJournal!H$1),0),0)</f>
        <v>53.045054192970021</v>
      </c>
      <c r="Q126" s="29">
        <v>53.045054192970021</v>
      </c>
      <c r="R126" s="31">
        <v>44901</v>
      </c>
      <c r="S126" s="31" t="s">
        <v>3121</v>
      </c>
      <c r="T126" s="95" t="str">
        <f t="shared" si="10"/>
        <v>2022 12</v>
      </c>
      <c r="U126" s="32">
        <f t="shared" si="7"/>
        <v>0</v>
      </c>
      <c r="V126" s="22">
        <f t="shared" si="8"/>
        <v>0</v>
      </c>
    </row>
    <row r="127" spans="1:26" x14ac:dyDescent="0.2">
      <c r="A127" s="93" t="s">
        <v>93</v>
      </c>
      <c r="B127" s="94" t="str">
        <f>IFERROR(VLOOKUP($A127,HeadJournal!$A$1:$NTR$890,COLUMN(HeadJournal!B$1),0),"")</f>
        <v>HORD0000505131NPG</v>
      </c>
      <c r="C127" s="94" t="str">
        <f>IFERROR(VLOOKUP($A127,HeadJournal!$A$1:$NTR$890,COLUMN(HeadJournal!C$1),0),"")</f>
        <v>iHerb_OA CZN6870</v>
      </c>
      <c r="D127" s="125" t="str">
        <f>IFERROR(VLOOKUP($A127,HeadJournal!$A$1:$NTR$890,COLUMN(HeadJournal!D$1),0),"")</f>
        <v>Жанна</v>
      </c>
      <c r="E127" s="95">
        <f>IFERROR(VLOOKUP($A127,HeadJournal!$A$1:$NTR$890,COLUMN(HeadJournal!G$1),0),"")</f>
        <v>44827</v>
      </c>
      <c r="F127" s="95" t="str">
        <f t="shared" si="9"/>
        <v>2022 09</v>
      </c>
      <c r="G127" s="96" t="s">
        <v>5</v>
      </c>
      <c r="H127" s="160" t="str">
        <f>RIGHT(Journal!$J127,9)</f>
        <v>OAD-58700</v>
      </c>
      <c r="I127" s="96" t="str">
        <f t="shared" si="6"/>
        <v>One-A-Day</v>
      </c>
      <c r="J127" s="97" t="s">
        <v>101</v>
      </c>
      <c r="K127" s="29">
        <v>582.44000000000005</v>
      </c>
      <c r="L127" s="29">
        <v>-151.43</v>
      </c>
      <c r="M127" s="30">
        <f>IFERROR(VLOOKUP($A127,HeadJournal!$A$1:$J$890,COLUMN(HeadJournal!I$1),0)*($K127+$L127)/(SUMIF($A:$A,$A127,$K:$K)+SUMIF($A:$A,$A127,$L:$L)),0)</f>
        <v>0</v>
      </c>
      <c r="N127" s="30">
        <f>IFERROR((VLOOKUP($A127,HeadJournal!$A$1:$K$890,COLUMN(HeadJournal!K$1),0)-VLOOKUP($A127,HeadJournal!$A$1:$K$890,COLUMN(HeadJournal!J$1),0))*($K127+$L127)/(SUMIF($A:$A,$A127,$K:$K)+SUMIF($A:$A,$A127,$L:$L)),0)</f>
        <v>15.299009809204009</v>
      </c>
      <c r="O127" s="30">
        <f>IFERROR((VLOOKUP($A127,HeadJournal!$A$1:$L$890,COLUMN(HeadJournal!L$1),0)*($K127+$L127)/(SUMIF($A:$A,$A127,$K:$K)+SUMIF($A:$A,$A127,$L:$L)))/VLOOKUP($A127,HeadJournal!$A$1:$L$890,COLUMN(HeadJournal!H$1),0),0)</f>
        <v>28.395351627847884</v>
      </c>
      <c r="P127" s="30">
        <f>IFERROR(SUM(K127:O127)*VLOOKUP($A127,HeadJournal!$A$1:$L$890,COLUMN(HeadJournal!H$1),0),0)</f>
        <v>593.3804517963149</v>
      </c>
      <c r="Q127" s="29"/>
      <c r="R127" s="31"/>
      <c r="S127" s="31"/>
      <c r="T127" s="95" t="str">
        <f t="shared" si="10"/>
        <v/>
      </c>
      <c r="U127" s="32">
        <f t="shared" si="7"/>
        <v>-593.3804517963149</v>
      </c>
      <c r="V127" s="22" t="str">
        <f t="shared" si="8"/>
        <v/>
      </c>
    </row>
    <row r="128" spans="1:26" x14ac:dyDescent="0.2">
      <c r="A128" s="93" t="s">
        <v>102</v>
      </c>
      <c r="B128" s="94">
        <f>IFERROR(VLOOKUP($A128,HeadJournal!$A$1:$NTR$890,COLUMN(HeadJournal!B$1),0),"")</f>
        <v>0</v>
      </c>
      <c r="C128" s="94" t="str">
        <f>IFERROR(VLOOKUP($A128,HeadJournal!$A$1:$NTR$890,COLUMN(HeadJournal!C$1),0),"")</f>
        <v>Anna</v>
      </c>
      <c r="D128" s="125" t="str">
        <f>IFERROR(VLOOKUP($A128,HeadJournal!$A$1:$NTR$890,COLUMN(HeadJournal!D$1),0),"")</f>
        <v>Доставлен</v>
      </c>
      <c r="E128" s="95">
        <f>IFERROR(VLOOKUP($A128,HeadJournal!$A$1:$NTR$890,COLUMN(HeadJournal!G$1),0),"")</f>
        <v>44849</v>
      </c>
      <c r="F128" s="95" t="str">
        <f t="shared" si="9"/>
        <v>2022 10</v>
      </c>
      <c r="G128" s="96" t="s">
        <v>5</v>
      </c>
      <c r="H128" s="175" t="s">
        <v>3647</v>
      </c>
      <c r="I128" s="176" t="s">
        <v>2042</v>
      </c>
      <c r="J128" s="97" t="s">
        <v>3696</v>
      </c>
      <c r="K128" s="29">
        <v>560</v>
      </c>
      <c r="L128" s="29"/>
      <c r="M128" s="30">
        <f>IFERROR(VLOOKUP($A128,HeadJournal!$A$1:$J$890,COLUMN(HeadJournal!I$1),0)*($K128+$L128)/(SUMIF($A:$A,$A128,$K:$K)+SUMIF($A:$A,$A128,$L:$L)),0)</f>
        <v>0</v>
      </c>
      <c r="N128" s="30">
        <f>IFERROR((VLOOKUP($A128,HeadJournal!$A$1:$K$890,COLUMN(HeadJournal!K$1),0)-VLOOKUP($A128,HeadJournal!$A$1:$K$890,COLUMN(HeadJournal!J$1),0))*($K128+$L128)/(SUMIF($A:$A,$A128,$K:$K)+SUMIF($A:$A,$A128,$L:$L)),0)</f>
        <v>-17.849270181709841</v>
      </c>
      <c r="O128" s="30">
        <f>IFERROR((VLOOKUP($A128,HeadJournal!$A$1:$L$890,COLUMN(HeadJournal!L$1),0)*($K128+$L128)/(SUMIF($A:$A,$A128,$K:$K)+SUMIF($A:$A,$A128,$L:$L)))/VLOOKUP($A128,HeadJournal!$A$1:$L$890,COLUMN(HeadJournal!H$1),0),0)</f>
        <v>0</v>
      </c>
      <c r="P128" s="30">
        <f>IFERROR(SUM(K128:O128)*VLOOKUP($A128,HeadJournal!$A$1:$L$890,COLUMN(HeadJournal!H$1),0),0)</f>
        <v>677.68841227286271</v>
      </c>
      <c r="Q128" s="29">
        <v>1600</v>
      </c>
      <c r="R128" s="31">
        <v>44850</v>
      </c>
      <c r="S128" s="31" t="s">
        <v>3121</v>
      </c>
      <c r="T128" s="95" t="str">
        <f t="shared" si="10"/>
        <v>2022 10</v>
      </c>
      <c r="U128" s="32">
        <f t="shared" si="7"/>
        <v>922.31158772713729</v>
      </c>
      <c r="V128" s="22">
        <f t="shared" si="8"/>
        <v>1.3609670329670329</v>
      </c>
      <c r="X128" s="36"/>
      <c r="Y128" s="36"/>
      <c r="Z128" s="36"/>
    </row>
    <row r="129" spans="1:26" x14ac:dyDescent="0.2">
      <c r="A129" s="93" t="s">
        <v>102</v>
      </c>
      <c r="B129" s="94">
        <f>IFERROR(VLOOKUP($A129,HeadJournal!$A$1:$NTR$890,COLUMN(HeadJournal!B$1),0),"")</f>
        <v>0</v>
      </c>
      <c r="C129" s="94" t="str">
        <f>IFERROR(VLOOKUP($A129,HeadJournal!$A$1:$NTR$890,COLUMN(HeadJournal!C$1),0),"")</f>
        <v>Anna</v>
      </c>
      <c r="D129" s="125" t="str">
        <f>IFERROR(VLOOKUP($A129,HeadJournal!$A$1:$NTR$890,COLUMN(HeadJournal!D$1),0),"")</f>
        <v>Доставлен</v>
      </c>
      <c r="E129" s="95">
        <f>IFERROR(VLOOKUP($A129,HeadJournal!$A$1:$NTR$890,COLUMN(HeadJournal!G$1),0),"")</f>
        <v>44849</v>
      </c>
      <c r="F129" s="95" t="str">
        <f t="shared" si="9"/>
        <v>2022 10</v>
      </c>
      <c r="G129" s="96" t="s">
        <v>5</v>
      </c>
      <c r="H129" s="175" t="s">
        <v>3647</v>
      </c>
      <c r="I129" s="176" t="s">
        <v>2042</v>
      </c>
      <c r="J129" s="97" t="s">
        <v>3696</v>
      </c>
      <c r="K129" s="29">
        <v>560</v>
      </c>
      <c r="L129" s="29"/>
      <c r="M129" s="30">
        <f>IFERROR(VLOOKUP($A129,HeadJournal!$A$1:$J$890,COLUMN(HeadJournal!I$1),0)*($K129+$L129)/(SUMIF($A:$A,$A129,$K:$K)+SUMIF($A:$A,$A129,$L:$L)),0)</f>
        <v>0</v>
      </c>
      <c r="N129" s="30">
        <f>IFERROR((VLOOKUP($A129,HeadJournal!$A$1:$K$890,COLUMN(HeadJournal!K$1),0)-VLOOKUP($A129,HeadJournal!$A$1:$K$890,COLUMN(HeadJournal!J$1),0))*($K129+$L129)/(SUMIF($A:$A,$A129,$K:$K)+SUMIF($A:$A,$A129,$L:$L)),0)</f>
        <v>-17.849270181709841</v>
      </c>
      <c r="O129" s="30">
        <f>IFERROR((VLOOKUP($A129,HeadJournal!$A$1:$L$890,COLUMN(HeadJournal!L$1),0)*($K129+$L129)/(SUMIF($A:$A,$A129,$K:$K)+SUMIF($A:$A,$A129,$L:$L)))/VLOOKUP($A129,HeadJournal!$A$1:$L$890,COLUMN(HeadJournal!H$1),0),0)</f>
        <v>0</v>
      </c>
      <c r="P129" s="30">
        <f>IFERROR(SUM(K129:O129)*VLOOKUP($A129,HeadJournal!$A$1:$L$890,COLUMN(HeadJournal!H$1),0),0)</f>
        <v>677.68841227286271</v>
      </c>
      <c r="Q129" s="29">
        <v>1700</v>
      </c>
      <c r="R129" s="31">
        <v>44869</v>
      </c>
      <c r="S129" s="31" t="s">
        <v>3121</v>
      </c>
      <c r="T129" s="95" t="str">
        <f t="shared" si="10"/>
        <v>2022 11</v>
      </c>
      <c r="U129" s="32">
        <f t="shared" si="7"/>
        <v>1022.3115877271373</v>
      </c>
      <c r="V129" s="22">
        <f t="shared" si="8"/>
        <v>1.5085274725274724</v>
      </c>
      <c r="X129" s="36"/>
      <c r="Y129" s="36"/>
      <c r="Z129" s="36"/>
    </row>
    <row r="130" spans="1:26" x14ac:dyDescent="0.2">
      <c r="A130" s="93" t="s">
        <v>102</v>
      </c>
      <c r="B130" s="94">
        <f>IFERROR(VLOOKUP($A130,HeadJournal!$A$1:$NTR$890,COLUMN(HeadJournal!B$1),0),"")</f>
        <v>0</v>
      </c>
      <c r="C130" s="94" t="str">
        <f>IFERROR(VLOOKUP($A130,HeadJournal!$A$1:$NTR$890,COLUMN(HeadJournal!C$1),0),"")</f>
        <v>Anna</v>
      </c>
      <c r="D130" s="125" t="str">
        <f>IFERROR(VLOOKUP($A130,HeadJournal!$A$1:$NTR$890,COLUMN(HeadJournal!D$1),0),"")</f>
        <v>Доставлен</v>
      </c>
      <c r="E130" s="95">
        <f>IFERROR(VLOOKUP($A130,HeadJournal!$A$1:$NTR$890,COLUMN(HeadJournal!G$1),0),"")</f>
        <v>44849</v>
      </c>
      <c r="F130" s="95" t="str">
        <f t="shared" si="9"/>
        <v>2022 10</v>
      </c>
      <c r="G130" s="96" t="s">
        <v>5</v>
      </c>
      <c r="H130" s="175" t="s">
        <v>3648</v>
      </c>
      <c r="I130" s="176" t="s">
        <v>2042</v>
      </c>
      <c r="J130" s="97" t="s">
        <v>3697</v>
      </c>
      <c r="K130" s="29">
        <v>560</v>
      </c>
      <c r="L130" s="29"/>
      <c r="M130" s="30">
        <f>IFERROR(VLOOKUP($A130,HeadJournal!$A$1:$J$890,COLUMN(HeadJournal!I$1),0)*($K130+$L130)/(SUMIF($A:$A,$A130,$K:$K)+SUMIF($A:$A,$A130,$L:$L)),0)</f>
        <v>0</v>
      </c>
      <c r="N130" s="30">
        <f>IFERROR((VLOOKUP($A130,HeadJournal!$A$1:$K$890,COLUMN(HeadJournal!K$1),0)-VLOOKUP($A130,HeadJournal!$A$1:$K$890,COLUMN(HeadJournal!J$1),0))*($K130+$L130)/(SUMIF($A:$A,$A130,$K:$K)+SUMIF($A:$A,$A130,$L:$L)),0)</f>
        <v>-17.849270181709841</v>
      </c>
      <c r="O130" s="30">
        <f>IFERROR((VLOOKUP($A130,HeadJournal!$A$1:$L$890,COLUMN(HeadJournal!L$1),0)*($K130+$L130)/(SUMIF($A:$A,$A130,$K:$K)+SUMIF($A:$A,$A130,$L:$L)))/VLOOKUP($A130,HeadJournal!$A$1:$L$890,COLUMN(HeadJournal!H$1),0),0)</f>
        <v>0</v>
      </c>
      <c r="P130" s="30">
        <f>IFERROR(SUM(K130:O130)*VLOOKUP($A130,HeadJournal!$A$1:$L$890,COLUMN(HeadJournal!H$1),0),0)</f>
        <v>677.68841227286271</v>
      </c>
      <c r="Q130" s="29">
        <v>1700</v>
      </c>
      <c r="R130" s="31">
        <v>44869</v>
      </c>
      <c r="S130" s="31" t="s">
        <v>3121</v>
      </c>
      <c r="T130" s="95" t="str">
        <f t="shared" si="10"/>
        <v>2022 11</v>
      </c>
      <c r="U130" s="32">
        <f t="shared" si="7"/>
        <v>1022.3115877271373</v>
      </c>
      <c r="V130" s="22">
        <f t="shared" si="8"/>
        <v>1.5085274725274724</v>
      </c>
      <c r="X130" s="36"/>
      <c r="Y130" s="36"/>
      <c r="Z130" s="36"/>
    </row>
    <row r="131" spans="1:26" x14ac:dyDescent="0.2">
      <c r="A131" s="93" t="s">
        <v>102</v>
      </c>
      <c r="B131" s="94">
        <f>IFERROR(VLOOKUP($A131,HeadJournal!$A$1:$NTR$890,COLUMN(HeadJournal!B$1),0),"")</f>
        <v>0</v>
      </c>
      <c r="C131" s="94" t="str">
        <f>IFERROR(VLOOKUP($A131,HeadJournal!$A$1:$NTR$890,COLUMN(HeadJournal!C$1),0),"")</f>
        <v>Anna</v>
      </c>
      <c r="D131" s="125" t="str">
        <f>IFERROR(VLOOKUP($A131,HeadJournal!$A$1:$NTR$890,COLUMN(HeadJournal!D$1),0),"")</f>
        <v>Доставлен</v>
      </c>
      <c r="E131" s="95">
        <f>IFERROR(VLOOKUP($A131,HeadJournal!$A$1:$NTR$890,COLUMN(HeadJournal!G$1),0),"")</f>
        <v>44849</v>
      </c>
      <c r="F131" s="95" t="str">
        <f t="shared" si="9"/>
        <v>2022 10</v>
      </c>
      <c r="G131" s="96" t="s">
        <v>5</v>
      </c>
      <c r="H131" s="175" t="s">
        <v>3648</v>
      </c>
      <c r="I131" s="176" t="s">
        <v>2042</v>
      </c>
      <c r="J131" s="97" t="s">
        <v>3697</v>
      </c>
      <c r="K131" s="29">
        <v>560</v>
      </c>
      <c r="L131" s="29"/>
      <c r="M131" s="30">
        <f>IFERROR(VLOOKUP($A131,HeadJournal!$A$1:$J$890,COLUMN(HeadJournal!I$1),0)*($K131+$L131)/(SUMIF($A:$A,$A131,$K:$K)+SUMIF($A:$A,$A131,$L:$L)),0)</f>
        <v>0</v>
      </c>
      <c r="N131" s="30">
        <f>IFERROR((VLOOKUP($A131,HeadJournal!$A$1:$K$890,COLUMN(HeadJournal!K$1),0)-VLOOKUP($A131,HeadJournal!$A$1:$K$890,COLUMN(HeadJournal!J$1),0))*($K131+$L131)/(SUMIF($A:$A,$A131,$K:$K)+SUMIF($A:$A,$A131,$L:$L)),0)</f>
        <v>-17.849270181709841</v>
      </c>
      <c r="O131" s="30">
        <f>IFERROR((VLOOKUP($A131,HeadJournal!$A$1:$L$890,COLUMN(HeadJournal!L$1),0)*($K131+$L131)/(SUMIF($A:$A,$A131,$K:$K)+SUMIF($A:$A,$A131,$L:$L)))/VLOOKUP($A131,HeadJournal!$A$1:$L$890,COLUMN(HeadJournal!H$1),0),0)</f>
        <v>0</v>
      </c>
      <c r="P131" s="30">
        <f>IFERROR(SUM(K131:O131)*VLOOKUP($A131,HeadJournal!$A$1:$L$890,COLUMN(HeadJournal!H$1),0),0)</f>
        <v>677.68841227286271</v>
      </c>
      <c r="Q131" s="29">
        <v>1700</v>
      </c>
      <c r="R131" s="31">
        <v>44871</v>
      </c>
      <c r="S131" s="31" t="s">
        <v>3121</v>
      </c>
      <c r="T131" s="95" t="str">
        <f t="shared" si="10"/>
        <v>2022 11</v>
      </c>
      <c r="U131" s="32">
        <f t="shared" ref="U131:U194" si="11">Q131-P131</f>
        <v>1022.3115877271373</v>
      </c>
      <c r="V131" s="22">
        <f t="shared" ref="V131:V194" si="12">IF(Q131&lt;&gt;0,IFERROR(U131/P131,""),"")</f>
        <v>1.5085274725274724</v>
      </c>
      <c r="X131" s="36"/>
      <c r="Y131" s="36"/>
      <c r="Z131" s="36"/>
    </row>
    <row r="132" spans="1:26" x14ac:dyDescent="0.2">
      <c r="A132" s="93" t="s">
        <v>102</v>
      </c>
      <c r="B132" s="94">
        <f>IFERROR(VLOOKUP($A132,HeadJournal!$A$1:$NTR$890,COLUMN(HeadJournal!B$1),0),"")</f>
        <v>0</v>
      </c>
      <c r="C132" s="94" t="str">
        <f>IFERROR(VLOOKUP($A132,HeadJournal!$A$1:$NTR$890,COLUMN(HeadJournal!C$1),0),"")</f>
        <v>Anna</v>
      </c>
      <c r="D132" s="125" t="str">
        <f>IFERROR(VLOOKUP($A132,HeadJournal!$A$1:$NTR$890,COLUMN(HeadJournal!D$1),0),"")</f>
        <v>Доставлен</v>
      </c>
      <c r="E132" s="95">
        <f>IFERROR(VLOOKUP($A132,HeadJournal!$A$1:$NTR$890,COLUMN(HeadJournal!G$1),0),"")</f>
        <v>44849</v>
      </c>
      <c r="F132" s="95" t="str">
        <f t="shared" ref="F132:F195" si="13">IFERROR(TEXT(E132, "ГГГГ ММ"),"")</f>
        <v>2022 10</v>
      </c>
      <c r="G132" s="96" t="s">
        <v>5</v>
      </c>
      <c r="H132" s="161" t="s">
        <v>3011</v>
      </c>
      <c r="I132" s="97" t="s">
        <v>2052</v>
      </c>
      <c r="J132" s="97" t="s">
        <v>3012</v>
      </c>
      <c r="K132" s="29">
        <v>160</v>
      </c>
      <c r="L132" s="29"/>
      <c r="M132" s="30">
        <f>IFERROR(VLOOKUP($A132,HeadJournal!$A$1:$J$890,COLUMN(HeadJournal!I$1),0)*($K132+$L132)/(SUMIF($A:$A,$A132,$K:$K)+SUMIF($A:$A,$A132,$L:$L)),0)</f>
        <v>0</v>
      </c>
      <c r="N132" s="30">
        <f>IFERROR((VLOOKUP($A132,HeadJournal!$A$1:$K$890,COLUMN(HeadJournal!K$1),0)-VLOOKUP($A132,HeadJournal!$A$1:$K$890,COLUMN(HeadJournal!J$1),0))*($K132+$L132)/(SUMIF($A:$A,$A132,$K:$K)+SUMIF($A:$A,$A132,$L:$L)),0)</f>
        <v>-5.099791480488526</v>
      </c>
      <c r="O132" s="30">
        <f>IFERROR((VLOOKUP($A132,HeadJournal!$A$1:$L$890,COLUMN(HeadJournal!L$1),0)*($K132+$L132)/(SUMIF($A:$A,$A132,$K:$K)+SUMIF($A:$A,$A132,$L:$L)))/VLOOKUP($A132,HeadJournal!$A$1:$L$890,COLUMN(HeadJournal!H$1),0),0)</f>
        <v>0</v>
      </c>
      <c r="P132" s="30">
        <f>IFERROR(SUM(K132:O132)*VLOOKUP($A132,HeadJournal!$A$1:$L$890,COLUMN(HeadJournal!H$1),0),0)</f>
        <v>193.62526064938933</v>
      </c>
      <c r="Q132" s="29">
        <v>700</v>
      </c>
      <c r="R132" s="31">
        <v>44871</v>
      </c>
      <c r="S132" s="31" t="s">
        <v>3121</v>
      </c>
      <c r="T132" s="95" t="str">
        <f t="shared" ref="T132:T195" si="14">IF(R132="","",TEXT(R132,"ГГГГ ММ"))</f>
        <v>2022 11</v>
      </c>
      <c r="U132" s="32">
        <f t="shared" si="11"/>
        <v>506.37473935061064</v>
      </c>
      <c r="V132" s="22">
        <f t="shared" si="12"/>
        <v>2.6152307692307692</v>
      </c>
      <c r="X132" s="36"/>
      <c r="Y132" s="36"/>
      <c r="Z132" s="36"/>
    </row>
    <row r="133" spans="1:26" x14ac:dyDescent="0.2">
      <c r="A133" s="93" t="s">
        <v>102</v>
      </c>
      <c r="B133" s="94">
        <f>IFERROR(VLOOKUP($A133,HeadJournal!$A$1:$NTR$890,COLUMN(HeadJournal!B$1),0),"")</f>
        <v>0</v>
      </c>
      <c r="C133" s="94" t="str">
        <f>IFERROR(VLOOKUP($A133,HeadJournal!$A$1:$NTR$890,COLUMN(HeadJournal!C$1),0),"")</f>
        <v>Anna</v>
      </c>
      <c r="D133" s="125" t="str">
        <f>IFERROR(VLOOKUP($A133,HeadJournal!$A$1:$NTR$890,COLUMN(HeadJournal!D$1),0),"")</f>
        <v>Доставлен</v>
      </c>
      <c r="E133" s="95">
        <f>IFERROR(VLOOKUP($A133,HeadJournal!$A$1:$NTR$890,COLUMN(HeadJournal!G$1),0),"")</f>
        <v>44849</v>
      </c>
      <c r="F133" s="95" t="str">
        <f t="shared" si="13"/>
        <v>2022 10</v>
      </c>
      <c r="G133" s="96" t="s">
        <v>5</v>
      </c>
      <c r="H133" s="161" t="s">
        <v>3011</v>
      </c>
      <c r="I133" s="97" t="s">
        <v>2052</v>
      </c>
      <c r="J133" s="97" t="s">
        <v>3012</v>
      </c>
      <c r="K133" s="29">
        <v>160</v>
      </c>
      <c r="L133" s="29"/>
      <c r="M133" s="30">
        <f>IFERROR(VLOOKUP($A133,HeadJournal!$A$1:$J$890,COLUMN(HeadJournal!I$1),0)*($K133+$L133)/(SUMIF($A:$A,$A133,$K:$K)+SUMIF($A:$A,$A133,$L:$L)),0)</f>
        <v>0</v>
      </c>
      <c r="N133" s="30">
        <f>IFERROR((VLOOKUP($A133,HeadJournal!$A$1:$K$890,COLUMN(HeadJournal!K$1),0)-VLOOKUP($A133,HeadJournal!$A$1:$K$890,COLUMN(HeadJournal!J$1),0))*($K133+$L133)/(SUMIF($A:$A,$A133,$K:$K)+SUMIF($A:$A,$A133,$L:$L)),0)</f>
        <v>-5.099791480488526</v>
      </c>
      <c r="O133" s="30">
        <f>IFERROR((VLOOKUP($A133,HeadJournal!$A$1:$L$890,COLUMN(HeadJournal!L$1),0)*($K133+$L133)/(SUMIF($A:$A,$A133,$K:$K)+SUMIF($A:$A,$A133,$L:$L)))/VLOOKUP($A133,HeadJournal!$A$1:$L$890,COLUMN(HeadJournal!H$1),0),0)</f>
        <v>0</v>
      </c>
      <c r="P133" s="30">
        <f>IFERROR(SUM(K133:O133)*VLOOKUP($A133,HeadJournal!$A$1:$L$890,COLUMN(HeadJournal!H$1),0),0)</f>
        <v>193.62526064938933</v>
      </c>
      <c r="Q133" s="29">
        <v>700</v>
      </c>
      <c r="R133" s="31">
        <v>44877</v>
      </c>
      <c r="S133" s="31" t="s">
        <v>3121</v>
      </c>
      <c r="T133" s="95" t="str">
        <f t="shared" si="14"/>
        <v>2022 11</v>
      </c>
      <c r="U133" s="32">
        <f t="shared" si="11"/>
        <v>506.37473935061064</v>
      </c>
      <c r="V133" s="22">
        <f t="shared" si="12"/>
        <v>2.6152307692307692</v>
      </c>
      <c r="X133" s="36"/>
      <c r="Y133" s="36"/>
      <c r="Z133" s="36"/>
    </row>
    <row r="134" spans="1:26" x14ac:dyDescent="0.2">
      <c r="A134" s="93" t="s">
        <v>102</v>
      </c>
      <c r="B134" s="94">
        <f>IFERROR(VLOOKUP($A134,HeadJournal!$A$1:$NTR$890,COLUMN(HeadJournal!B$1),0),"")</f>
        <v>0</v>
      </c>
      <c r="C134" s="94" t="str">
        <f>IFERROR(VLOOKUP($A134,HeadJournal!$A$1:$NTR$890,COLUMN(HeadJournal!C$1),0),"")</f>
        <v>Anna</v>
      </c>
      <c r="D134" s="125" t="str">
        <f>IFERROR(VLOOKUP($A134,HeadJournal!$A$1:$NTR$890,COLUMN(HeadJournal!D$1),0),"")</f>
        <v>Доставлен</v>
      </c>
      <c r="E134" s="95">
        <f>IFERROR(VLOOKUP($A134,HeadJournal!$A$1:$NTR$890,COLUMN(HeadJournal!G$1),0),"")</f>
        <v>44849</v>
      </c>
      <c r="F134" s="95" t="str">
        <f t="shared" si="13"/>
        <v>2022 10</v>
      </c>
      <c r="G134" s="96" t="s">
        <v>5</v>
      </c>
      <c r="H134" s="160" t="str">
        <f>RIGHT(Journal!$J134,9)</f>
        <v>CGN-01066</v>
      </c>
      <c r="I134" s="96" t="str">
        <f t="shared" ref="I134:I189" si="15">IFERROR(LEFT(J134,FIND(",",J134)-1),"")</f>
        <v>California Gold Nutrition</v>
      </c>
      <c r="J134" s="97" t="s">
        <v>38</v>
      </c>
      <c r="K134" s="29">
        <v>360</v>
      </c>
      <c r="L134" s="29"/>
      <c r="M134" s="30">
        <f>IFERROR(VLOOKUP($A134,HeadJournal!$A$1:$J$890,COLUMN(HeadJournal!I$1),0)*($K134+$L134)/(SUMIF($A:$A,$A134,$K:$K)+SUMIF($A:$A,$A134,$L:$L)),0)</f>
        <v>0</v>
      </c>
      <c r="N134" s="30">
        <f>IFERROR((VLOOKUP($A134,HeadJournal!$A$1:$K$890,COLUMN(HeadJournal!K$1),0)-VLOOKUP($A134,HeadJournal!$A$1:$K$890,COLUMN(HeadJournal!J$1),0))*($K134+$L134)/(SUMIF($A:$A,$A134,$K:$K)+SUMIF($A:$A,$A134,$L:$L)),0)</f>
        <v>-11.474530831099184</v>
      </c>
      <c r="O134" s="30">
        <f>IFERROR((VLOOKUP($A134,HeadJournal!$A$1:$L$890,COLUMN(HeadJournal!L$1),0)*($K134+$L134)/(SUMIF($A:$A,$A134,$K:$K)+SUMIF($A:$A,$A134,$L:$L)))/VLOOKUP($A134,HeadJournal!$A$1:$L$890,COLUMN(HeadJournal!H$1),0),0)</f>
        <v>0</v>
      </c>
      <c r="P134" s="30">
        <f>IFERROR(SUM(K134:O134)*VLOOKUP($A134,HeadJournal!$A$1:$L$890,COLUMN(HeadJournal!H$1),0),0)</f>
        <v>435.65683646112603</v>
      </c>
      <c r="Q134" s="29">
        <v>1500</v>
      </c>
      <c r="R134" s="31">
        <v>44850</v>
      </c>
      <c r="S134" s="31" t="s">
        <v>3121</v>
      </c>
      <c r="T134" s="95" t="str">
        <f t="shared" si="14"/>
        <v>2022 10</v>
      </c>
      <c r="U134" s="32">
        <f t="shared" si="11"/>
        <v>1064.343163538874</v>
      </c>
      <c r="V134" s="22">
        <f t="shared" si="12"/>
        <v>2.4430769230769229</v>
      </c>
      <c r="X134" s="36"/>
      <c r="Y134" s="36"/>
      <c r="Z134" s="36"/>
    </row>
    <row r="135" spans="1:26" x14ac:dyDescent="0.2">
      <c r="A135" s="93" t="s">
        <v>102</v>
      </c>
      <c r="B135" s="94">
        <f>IFERROR(VLOOKUP($A135,HeadJournal!$A$1:$NTR$890,COLUMN(HeadJournal!B$1),0),"")</f>
        <v>0</v>
      </c>
      <c r="C135" s="94" t="str">
        <f>IFERROR(VLOOKUP($A135,HeadJournal!$A$1:$NTR$890,COLUMN(HeadJournal!C$1),0),"")</f>
        <v>Anna</v>
      </c>
      <c r="D135" s="125" t="str">
        <f>IFERROR(VLOOKUP($A135,HeadJournal!$A$1:$NTR$890,COLUMN(HeadJournal!D$1),0),"")</f>
        <v>Доставлен</v>
      </c>
      <c r="E135" s="95">
        <f>IFERROR(VLOOKUP($A135,HeadJournal!$A$1:$NTR$890,COLUMN(HeadJournal!G$1),0),"")</f>
        <v>44849</v>
      </c>
      <c r="F135" s="95" t="str">
        <f t="shared" si="13"/>
        <v>2022 10</v>
      </c>
      <c r="G135" s="96" t="s">
        <v>5</v>
      </c>
      <c r="H135" s="161" t="s">
        <v>2624</v>
      </c>
      <c r="I135" s="97" t="s">
        <v>2005</v>
      </c>
      <c r="J135" s="97" t="s">
        <v>2625</v>
      </c>
      <c r="K135" s="29">
        <v>640</v>
      </c>
      <c r="L135" s="29"/>
      <c r="M135" s="30">
        <f>IFERROR(VLOOKUP($A135,HeadJournal!$A$1:$J$890,COLUMN(HeadJournal!I$1),0)*($K135+$L135)/(SUMIF($A:$A,$A135,$K:$K)+SUMIF($A:$A,$A135,$L:$L)),0)</f>
        <v>0</v>
      </c>
      <c r="N135" s="30">
        <f>IFERROR((VLOOKUP($A135,HeadJournal!$A$1:$K$890,COLUMN(HeadJournal!K$1),0)-VLOOKUP($A135,HeadJournal!$A$1:$K$890,COLUMN(HeadJournal!J$1),0))*($K135+$L135)/(SUMIF($A:$A,$A135,$K:$K)+SUMIF($A:$A,$A135,$L:$L)),0)</f>
        <v>-20.399165921954104</v>
      </c>
      <c r="O135" s="30">
        <f>IFERROR((VLOOKUP($A135,HeadJournal!$A$1:$L$890,COLUMN(HeadJournal!L$1),0)*($K135+$L135)/(SUMIF($A:$A,$A135,$K:$K)+SUMIF($A:$A,$A135,$L:$L)))/VLOOKUP($A135,HeadJournal!$A$1:$L$890,COLUMN(HeadJournal!H$1),0),0)</f>
        <v>0</v>
      </c>
      <c r="P135" s="30">
        <f>IFERROR(SUM(K135:O135)*VLOOKUP($A135,HeadJournal!$A$1:$L$890,COLUMN(HeadJournal!H$1),0),0)</f>
        <v>774.50104259755733</v>
      </c>
      <c r="Q135" s="29">
        <v>1600</v>
      </c>
      <c r="R135" s="31">
        <v>44849</v>
      </c>
      <c r="S135" s="31" t="s">
        <v>3121</v>
      </c>
      <c r="T135" s="95" t="str">
        <f t="shared" si="14"/>
        <v>2022 10</v>
      </c>
      <c r="U135" s="32">
        <f t="shared" si="11"/>
        <v>825.49895740244267</v>
      </c>
      <c r="V135" s="22">
        <f t="shared" si="12"/>
        <v>1.0658461538461539</v>
      </c>
      <c r="X135" s="36"/>
      <c r="Y135" s="36"/>
      <c r="Z135" s="36"/>
    </row>
    <row r="136" spans="1:26" x14ac:dyDescent="0.2">
      <c r="A136" s="93" t="s">
        <v>102</v>
      </c>
      <c r="B136" s="94">
        <f>IFERROR(VLOOKUP($A136,HeadJournal!$A$1:$NTR$890,COLUMN(HeadJournal!B$1),0),"")</f>
        <v>0</v>
      </c>
      <c r="C136" s="94" t="str">
        <f>IFERROR(VLOOKUP($A136,HeadJournal!$A$1:$NTR$890,COLUMN(HeadJournal!C$1),0),"")</f>
        <v>Anna</v>
      </c>
      <c r="D136" s="125" t="str">
        <f>IFERROR(VLOOKUP($A136,HeadJournal!$A$1:$NTR$890,COLUMN(HeadJournal!D$1),0),"")</f>
        <v>Доставлен</v>
      </c>
      <c r="E136" s="95">
        <f>IFERROR(VLOOKUP($A136,HeadJournal!$A$1:$NTR$890,COLUMN(HeadJournal!G$1),0),"")</f>
        <v>44849</v>
      </c>
      <c r="F136" s="95" t="str">
        <f t="shared" si="13"/>
        <v>2022 10</v>
      </c>
      <c r="G136" s="96" t="s">
        <v>5</v>
      </c>
      <c r="H136" s="175" t="s">
        <v>3652</v>
      </c>
      <c r="I136" s="176" t="s">
        <v>2005</v>
      </c>
      <c r="J136" s="97" t="s">
        <v>3701</v>
      </c>
      <c r="K136" s="29">
        <v>360</v>
      </c>
      <c r="L136" s="29"/>
      <c r="M136" s="30">
        <f>IFERROR(VLOOKUP($A136,HeadJournal!$A$1:$J$890,COLUMN(HeadJournal!I$1),0)*($K136+$L136)/(SUMIF($A:$A,$A136,$K:$K)+SUMIF($A:$A,$A136,$L:$L)),0)</f>
        <v>0</v>
      </c>
      <c r="N136" s="30">
        <f>IFERROR((VLOOKUP($A136,HeadJournal!$A$1:$K$890,COLUMN(HeadJournal!K$1),0)-VLOOKUP($A136,HeadJournal!$A$1:$K$890,COLUMN(HeadJournal!J$1),0))*($K136+$L136)/(SUMIF($A:$A,$A136,$K:$K)+SUMIF($A:$A,$A136,$L:$L)),0)</f>
        <v>-11.474530831099184</v>
      </c>
      <c r="O136" s="30">
        <f>IFERROR((VLOOKUP($A136,HeadJournal!$A$1:$L$890,COLUMN(HeadJournal!L$1),0)*($K136+$L136)/(SUMIF($A:$A,$A136,$K:$K)+SUMIF($A:$A,$A136,$L:$L)))/VLOOKUP($A136,HeadJournal!$A$1:$L$890,COLUMN(HeadJournal!H$1),0),0)</f>
        <v>0</v>
      </c>
      <c r="P136" s="30">
        <f>IFERROR(SUM(K136:O136)*VLOOKUP($A136,HeadJournal!$A$1:$L$890,COLUMN(HeadJournal!H$1),0),0)</f>
        <v>435.65683646112603</v>
      </c>
      <c r="Q136" s="29">
        <v>1000</v>
      </c>
      <c r="R136" s="31">
        <v>44849</v>
      </c>
      <c r="S136" s="31" t="s">
        <v>3121</v>
      </c>
      <c r="T136" s="95" t="str">
        <f t="shared" si="14"/>
        <v>2022 10</v>
      </c>
      <c r="U136" s="32">
        <f t="shared" si="11"/>
        <v>564.34316353887402</v>
      </c>
      <c r="V136" s="22">
        <f t="shared" si="12"/>
        <v>1.2953846153846154</v>
      </c>
      <c r="X136" s="36"/>
      <c r="Y136" s="36"/>
      <c r="Z136" s="36"/>
    </row>
    <row r="137" spans="1:26" x14ac:dyDescent="0.2">
      <c r="A137" s="93" t="s">
        <v>102</v>
      </c>
      <c r="B137" s="94">
        <f>IFERROR(VLOOKUP($A137,HeadJournal!$A$1:$NTR$890,COLUMN(HeadJournal!B$1),0),"")</f>
        <v>0</v>
      </c>
      <c r="C137" s="94" t="str">
        <f>IFERROR(VLOOKUP($A137,HeadJournal!$A$1:$NTR$890,COLUMN(HeadJournal!C$1),0),"")</f>
        <v>Anna</v>
      </c>
      <c r="D137" s="125" t="str">
        <f>IFERROR(VLOOKUP($A137,HeadJournal!$A$1:$NTR$890,COLUMN(HeadJournal!D$1),0),"")</f>
        <v>Доставлен</v>
      </c>
      <c r="E137" s="95">
        <f>IFERROR(VLOOKUP($A137,HeadJournal!$A$1:$NTR$890,COLUMN(HeadJournal!G$1),0),"")</f>
        <v>44849</v>
      </c>
      <c r="F137" s="95" t="str">
        <f t="shared" si="13"/>
        <v>2022 10</v>
      </c>
      <c r="G137" s="96" t="s">
        <v>5</v>
      </c>
      <c r="H137" s="161" t="s">
        <v>2771</v>
      </c>
      <c r="I137" s="97" t="s">
        <v>2052</v>
      </c>
      <c r="J137" s="97" t="s">
        <v>3858</v>
      </c>
      <c r="K137" s="29">
        <v>304</v>
      </c>
      <c r="L137" s="29"/>
      <c r="M137" s="30">
        <f>IFERROR(VLOOKUP($A137,HeadJournal!$A$1:$J$890,COLUMN(HeadJournal!I$1),0)*($K137+$L137)/(SUMIF($A:$A,$A137,$K:$K)+SUMIF($A:$A,$A137,$L:$L)),0)</f>
        <v>0</v>
      </c>
      <c r="N137" s="30">
        <f>IFERROR((VLOOKUP($A137,HeadJournal!$A$1:$K$890,COLUMN(HeadJournal!K$1),0)-VLOOKUP($A137,HeadJournal!$A$1:$K$890,COLUMN(HeadJournal!J$1),0))*($K137+$L137)/(SUMIF($A:$A,$A137,$K:$K)+SUMIF($A:$A,$A137,$L:$L)),0)</f>
        <v>-9.6896038129281994</v>
      </c>
      <c r="O137" s="30">
        <f>IFERROR((VLOOKUP($A137,HeadJournal!$A$1:$L$890,COLUMN(HeadJournal!L$1),0)*($K137+$L137)/(SUMIF($A:$A,$A137,$K:$K)+SUMIF($A:$A,$A137,$L:$L)))/VLOOKUP($A137,HeadJournal!$A$1:$L$890,COLUMN(HeadJournal!H$1),0),0)</f>
        <v>0</v>
      </c>
      <c r="P137" s="30">
        <f>IFERROR(SUM(K137:O137)*VLOOKUP($A137,HeadJournal!$A$1:$L$890,COLUMN(HeadJournal!H$1),0),0)</f>
        <v>367.88799523383972</v>
      </c>
      <c r="Q137" s="29">
        <v>900</v>
      </c>
      <c r="R137" s="31">
        <v>44850</v>
      </c>
      <c r="S137" s="31" t="s">
        <v>3121</v>
      </c>
      <c r="T137" s="95" t="str">
        <f t="shared" si="14"/>
        <v>2022 10</v>
      </c>
      <c r="U137" s="32">
        <f t="shared" si="11"/>
        <v>532.11200476616023</v>
      </c>
      <c r="V137" s="22">
        <f t="shared" si="12"/>
        <v>1.4463967611336033</v>
      </c>
      <c r="X137" s="36"/>
      <c r="Y137" s="36"/>
      <c r="Z137" s="36"/>
    </row>
    <row r="138" spans="1:26" x14ac:dyDescent="0.2">
      <c r="A138" s="93" t="s">
        <v>102</v>
      </c>
      <c r="B138" s="94">
        <f>IFERROR(VLOOKUP($A138,HeadJournal!$A$1:$NTR$890,COLUMN(HeadJournal!B$1),0),"")</f>
        <v>0</v>
      </c>
      <c r="C138" s="94" t="str">
        <f>IFERROR(VLOOKUP($A138,HeadJournal!$A$1:$NTR$890,COLUMN(HeadJournal!C$1),0),"")</f>
        <v>Anna</v>
      </c>
      <c r="D138" s="125" t="str">
        <f>IFERROR(VLOOKUP($A138,HeadJournal!$A$1:$NTR$890,COLUMN(HeadJournal!D$1),0),"")</f>
        <v>Доставлен</v>
      </c>
      <c r="E138" s="95">
        <f>IFERROR(VLOOKUP($A138,HeadJournal!$A$1:$NTR$890,COLUMN(HeadJournal!G$1),0),"")</f>
        <v>44849</v>
      </c>
      <c r="F138" s="95" t="str">
        <f t="shared" si="13"/>
        <v>2022 10</v>
      </c>
      <c r="G138" s="96" t="s">
        <v>5</v>
      </c>
      <c r="H138" s="175" t="s">
        <v>3630</v>
      </c>
      <c r="I138" s="176" t="s">
        <v>2052</v>
      </c>
      <c r="J138" s="97" t="s">
        <v>3673</v>
      </c>
      <c r="K138" s="29">
        <v>648</v>
      </c>
      <c r="L138" s="29"/>
      <c r="M138" s="30">
        <f>IFERROR(VLOOKUP($A138,HeadJournal!$A$1:$J$890,COLUMN(HeadJournal!I$1),0)*($K138+$L138)/(SUMIF($A:$A,$A138,$K:$K)+SUMIF($A:$A,$A138,$L:$L)),0)</f>
        <v>0</v>
      </c>
      <c r="N138" s="30">
        <f>IFERROR((VLOOKUP($A138,HeadJournal!$A$1:$K$890,COLUMN(HeadJournal!K$1),0)-VLOOKUP($A138,HeadJournal!$A$1:$K$890,COLUMN(HeadJournal!J$1),0))*($K138+$L138)/(SUMIF($A:$A,$A138,$K:$K)+SUMIF($A:$A,$A138,$L:$L)),0)</f>
        <v>-20.654155495978532</v>
      </c>
      <c r="O138" s="30">
        <f>IFERROR((VLOOKUP($A138,HeadJournal!$A$1:$L$890,COLUMN(HeadJournal!L$1),0)*($K138+$L138)/(SUMIF($A:$A,$A138,$K:$K)+SUMIF($A:$A,$A138,$L:$L)))/VLOOKUP($A138,HeadJournal!$A$1:$L$890,COLUMN(HeadJournal!H$1),0),0)</f>
        <v>0</v>
      </c>
      <c r="P138" s="30">
        <f>IFERROR(SUM(K138:O138)*VLOOKUP($A138,HeadJournal!$A$1:$L$890,COLUMN(HeadJournal!H$1),0),0)</f>
        <v>784.1823056300268</v>
      </c>
      <c r="Q138" s="29">
        <v>2000</v>
      </c>
      <c r="R138" s="31">
        <v>44850</v>
      </c>
      <c r="S138" s="31" t="s">
        <v>3121</v>
      </c>
      <c r="T138" s="95" t="str">
        <f t="shared" si="14"/>
        <v>2022 10</v>
      </c>
      <c r="U138" s="32">
        <f t="shared" si="11"/>
        <v>1215.8176943699732</v>
      </c>
      <c r="V138" s="22">
        <f t="shared" si="12"/>
        <v>1.5504273504273505</v>
      </c>
      <c r="X138" s="36"/>
      <c r="Y138" s="36"/>
      <c r="Z138" s="36"/>
    </row>
    <row r="139" spans="1:26" x14ac:dyDescent="0.2">
      <c r="A139" s="93" t="s">
        <v>102</v>
      </c>
      <c r="B139" s="94">
        <f>IFERROR(VLOOKUP($A139,HeadJournal!$A$1:$NTR$890,COLUMN(HeadJournal!B$1),0),"")</f>
        <v>0</v>
      </c>
      <c r="C139" s="94" t="str">
        <f>IFERROR(VLOOKUP($A139,HeadJournal!$A$1:$NTR$890,COLUMN(HeadJournal!C$1),0),"")</f>
        <v>Anna</v>
      </c>
      <c r="D139" s="125" t="str">
        <f>IFERROR(VLOOKUP($A139,HeadJournal!$A$1:$NTR$890,COLUMN(HeadJournal!D$1),0),"")</f>
        <v>Доставлен</v>
      </c>
      <c r="E139" s="95">
        <f>IFERROR(VLOOKUP($A139,HeadJournal!$A$1:$NTR$890,COLUMN(HeadJournal!G$1),0),"")</f>
        <v>44849</v>
      </c>
      <c r="F139" s="95" t="str">
        <f t="shared" si="13"/>
        <v>2022 10</v>
      </c>
      <c r="G139" s="96" t="s">
        <v>5</v>
      </c>
      <c r="H139" s="160" t="str">
        <f>RIGHT(Journal!$J139,9)</f>
        <v>NFS-02071</v>
      </c>
      <c r="I139" s="96" t="str">
        <f t="shared" si="15"/>
        <v>Natural Factors</v>
      </c>
      <c r="J139" s="97" t="s">
        <v>103</v>
      </c>
      <c r="K139" s="29">
        <v>496</v>
      </c>
      <c r="L139" s="29"/>
      <c r="M139" s="30">
        <f>IFERROR(VLOOKUP($A139,HeadJournal!$A$1:$J$890,COLUMN(HeadJournal!I$1),0)*($K139+$L139)/(SUMIF($A:$A,$A139,$K:$K)+SUMIF($A:$A,$A139,$L:$L)),0)</f>
        <v>0</v>
      </c>
      <c r="N139" s="30">
        <f>IFERROR((VLOOKUP($A139,HeadJournal!$A$1:$K$890,COLUMN(HeadJournal!K$1),0)-VLOOKUP($A139,HeadJournal!$A$1:$K$890,COLUMN(HeadJournal!J$1),0))*($K139+$L139)/(SUMIF($A:$A,$A139,$K:$K)+SUMIF($A:$A,$A139,$L:$L)),0)</f>
        <v>-15.809353589514432</v>
      </c>
      <c r="O139" s="30">
        <f>IFERROR((VLOOKUP($A139,HeadJournal!$A$1:$L$890,COLUMN(HeadJournal!L$1),0)*($K139+$L139)/(SUMIF($A:$A,$A139,$K:$K)+SUMIF($A:$A,$A139,$L:$L)))/VLOOKUP($A139,HeadJournal!$A$1:$L$890,COLUMN(HeadJournal!H$1),0),0)</f>
        <v>0</v>
      </c>
      <c r="P139" s="30">
        <f>IFERROR(SUM(K139:O139)*VLOOKUP($A139,HeadJournal!$A$1:$L$890,COLUMN(HeadJournal!H$1),0),0)</f>
        <v>600.23830801310692</v>
      </c>
      <c r="Q139" s="29">
        <v>1200</v>
      </c>
      <c r="R139" s="31">
        <v>44874</v>
      </c>
      <c r="S139" s="31" t="s">
        <v>3121</v>
      </c>
      <c r="T139" s="95" t="str">
        <f t="shared" si="14"/>
        <v>2022 11</v>
      </c>
      <c r="U139" s="32">
        <f t="shared" si="11"/>
        <v>599.76169198689308</v>
      </c>
      <c r="V139" s="22">
        <f t="shared" si="12"/>
        <v>0.99920595533498768</v>
      </c>
      <c r="X139" s="36"/>
      <c r="Y139" s="36"/>
      <c r="Z139" s="36"/>
    </row>
    <row r="140" spans="1:26" x14ac:dyDescent="0.2">
      <c r="A140" s="93" t="s">
        <v>102</v>
      </c>
      <c r="B140" s="94">
        <f>IFERROR(VLOOKUP($A140,HeadJournal!$A$1:$NTR$890,COLUMN(HeadJournal!B$1),0),"")</f>
        <v>0</v>
      </c>
      <c r="C140" s="94" t="str">
        <f>IFERROR(VLOOKUP($A140,HeadJournal!$A$1:$NTR$890,COLUMN(HeadJournal!C$1),0),"")</f>
        <v>Anna</v>
      </c>
      <c r="D140" s="125" t="str">
        <f>IFERROR(VLOOKUP($A140,HeadJournal!$A$1:$NTR$890,COLUMN(HeadJournal!D$1),0),"")</f>
        <v>Доставлен</v>
      </c>
      <c r="E140" s="95">
        <f>IFERROR(VLOOKUP($A140,HeadJournal!$A$1:$NTR$890,COLUMN(HeadJournal!G$1),0),"")</f>
        <v>44849</v>
      </c>
      <c r="F140" s="95" t="str">
        <f t="shared" si="13"/>
        <v>2022 10</v>
      </c>
      <c r="G140" s="96" t="s">
        <v>5</v>
      </c>
      <c r="H140" s="160" t="str">
        <f>RIGHT(Journal!$J140,9)</f>
        <v xml:space="preserve"> таблеток</v>
      </c>
      <c r="I140" s="96" t="str">
        <f t="shared" si="15"/>
        <v>Solaray</v>
      </c>
      <c r="J140" s="97" t="s">
        <v>104</v>
      </c>
      <c r="K140" s="29">
        <v>472</v>
      </c>
      <c r="L140" s="29"/>
      <c r="M140" s="30">
        <f>IFERROR(VLOOKUP($A140,HeadJournal!$A$1:$J$890,COLUMN(HeadJournal!I$1),0)*($K140+$L140)/(SUMIF($A:$A,$A140,$K:$K)+SUMIF($A:$A,$A140,$L:$L)),0)</f>
        <v>0</v>
      </c>
      <c r="N140" s="30">
        <f>IFERROR((VLOOKUP($A140,HeadJournal!$A$1:$K$890,COLUMN(HeadJournal!K$1),0)-VLOOKUP($A140,HeadJournal!$A$1:$K$890,COLUMN(HeadJournal!J$1),0))*($K140+$L140)/(SUMIF($A:$A,$A140,$K:$K)+SUMIF($A:$A,$A140,$L:$L)),0)</f>
        <v>-15.044384867441151</v>
      </c>
      <c r="O140" s="30">
        <f>IFERROR((VLOOKUP($A140,HeadJournal!$A$1:$L$890,COLUMN(HeadJournal!L$1),0)*($K140+$L140)/(SUMIF($A:$A,$A140,$K:$K)+SUMIF($A:$A,$A140,$L:$L)))/VLOOKUP($A140,HeadJournal!$A$1:$L$890,COLUMN(HeadJournal!H$1),0),0)</f>
        <v>0</v>
      </c>
      <c r="P140" s="30">
        <f>IFERROR(SUM(K140:O140)*VLOOKUP($A140,HeadJournal!$A$1:$L$890,COLUMN(HeadJournal!H$1),0),0)</f>
        <v>571.19451891569861</v>
      </c>
      <c r="Q140" s="29">
        <v>1200</v>
      </c>
      <c r="R140" s="31">
        <v>44857</v>
      </c>
      <c r="S140" s="31" t="s">
        <v>3121</v>
      </c>
      <c r="T140" s="95" t="str">
        <f t="shared" si="14"/>
        <v>2022 10</v>
      </c>
      <c r="U140" s="32">
        <f t="shared" si="11"/>
        <v>628.80548108430139</v>
      </c>
      <c r="V140" s="22">
        <f t="shared" si="12"/>
        <v>1.1008604954367665</v>
      </c>
      <c r="X140" s="36"/>
      <c r="Y140" s="36"/>
      <c r="Z140" s="36"/>
    </row>
    <row r="141" spans="1:26" x14ac:dyDescent="0.2">
      <c r="A141" s="93" t="s">
        <v>102</v>
      </c>
      <c r="B141" s="94">
        <f>IFERROR(VLOOKUP($A141,HeadJournal!$A$1:$NTR$890,COLUMN(HeadJournal!B$1),0),"")</f>
        <v>0</v>
      </c>
      <c r="C141" s="94" t="str">
        <f>IFERROR(VLOOKUP($A141,HeadJournal!$A$1:$NTR$890,COLUMN(HeadJournal!C$1),0),"")</f>
        <v>Anna</v>
      </c>
      <c r="D141" s="125" t="str">
        <f>IFERROR(VLOOKUP($A141,HeadJournal!$A$1:$NTR$890,COLUMN(HeadJournal!D$1),0),"")</f>
        <v>Доставлен</v>
      </c>
      <c r="E141" s="95">
        <f>IFERROR(VLOOKUP($A141,HeadJournal!$A$1:$NTR$890,COLUMN(HeadJournal!G$1),0),"")</f>
        <v>44849</v>
      </c>
      <c r="F141" s="95" t="str">
        <f t="shared" si="13"/>
        <v>2022 10</v>
      </c>
      <c r="G141" s="96" t="s">
        <v>5</v>
      </c>
      <c r="H141" s="160" t="str">
        <f>RIGHT(Journal!$J141,9)</f>
        <v>NWY-15788</v>
      </c>
      <c r="I141" s="96" t="str">
        <f t="shared" si="15"/>
        <v>Nature's Way</v>
      </c>
      <c r="J141" s="97" t="s">
        <v>69</v>
      </c>
      <c r="K141" s="29">
        <v>503.2</v>
      </c>
      <c r="L141" s="29"/>
      <c r="M141" s="30">
        <f>IFERROR(VLOOKUP($A141,HeadJournal!$A$1:$J$890,COLUMN(HeadJournal!I$1),0)*($K141+$L141)/(SUMIF($A:$A,$A141,$K:$K)+SUMIF($A:$A,$A141,$L:$L)),0)</f>
        <v>0</v>
      </c>
      <c r="N141" s="30">
        <f>IFERROR((VLOOKUP($A141,HeadJournal!$A$1:$K$890,COLUMN(HeadJournal!K$1),0)-VLOOKUP($A141,HeadJournal!$A$1:$K$890,COLUMN(HeadJournal!J$1),0))*($K141+$L141)/(SUMIF($A:$A,$A141,$K:$K)+SUMIF($A:$A,$A141,$L:$L)),0)</f>
        <v>-16.038844206136414</v>
      </c>
      <c r="O141" s="30">
        <f>IFERROR((VLOOKUP($A141,HeadJournal!$A$1:$L$890,COLUMN(HeadJournal!L$1),0)*($K141+$L141)/(SUMIF($A:$A,$A141,$K:$K)+SUMIF($A:$A,$A141,$L:$L)))/VLOOKUP($A141,HeadJournal!$A$1:$L$890,COLUMN(HeadJournal!H$1),0),0)</f>
        <v>0</v>
      </c>
      <c r="P141" s="30">
        <f>IFERROR(SUM(K141:O141)*VLOOKUP($A141,HeadJournal!$A$1:$L$890,COLUMN(HeadJournal!H$1),0),0)</f>
        <v>608.9514447423295</v>
      </c>
      <c r="Q141" s="29">
        <v>1200</v>
      </c>
      <c r="R141" s="31">
        <v>44851</v>
      </c>
      <c r="S141" s="31" t="s">
        <v>3121</v>
      </c>
      <c r="T141" s="95" t="str">
        <f t="shared" si="14"/>
        <v>2022 10</v>
      </c>
      <c r="U141" s="32">
        <f t="shared" si="11"/>
        <v>591.0485552576705</v>
      </c>
      <c r="V141" s="22">
        <f t="shared" si="12"/>
        <v>0.97060046471811168</v>
      </c>
      <c r="X141" s="36"/>
      <c r="Y141" s="36"/>
      <c r="Z141" s="36"/>
    </row>
    <row r="142" spans="1:26" x14ac:dyDescent="0.2">
      <c r="A142" s="93" t="s">
        <v>102</v>
      </c>
      <c r="B142" s="94">
        <f>IFERROR(VLOOKUP($A142,HeadJournal!$A$1:$NTR$890,COLUMN(HeadJournal!B$1),0),"")</f>
        <v>0</v>
      </c>
      <c r="C142" s="94" t="str">
        <f>IFERROR(VLOOKUP($A142,HeadJournal!$A$1:$NTR$890,COLUMN(HeadJournal!C$1),0),"")</f>
        <v>Anna</v>
      </c>
      <c r="D142" s="125" t="str">
        <f>IFERROR(VLOOKUP($A142,HeadJournal!$A$1:$NTR$890,COLUMN(HeadJournal!D$1),0),"")</f>
        <v>Доставлен</v>
      </c>
      <c r="E142" s="95">
        <f>IFERROR(VLOOKUP($A142,HeadJournal!$A$1:$NTR$890,COLUMN(HeadJournal!G$1),0),"")</f>
        <v>44849</v>
      </c>
      <c r="F142" s="95" t="str">
        <f t="shared" si="13"/>
        <v>2022 10</v>
      </c>
      <c r="G142" s="96" t="s">
        <v>5</v>
      </c>
      <c r="H142" s="160" t="str">
        <f>RIGHT(Journal!$J142,9)</f>
        <v>NWY-15788</v>
      </c>
      <c r="I142" s="96" t="str">
        <f t="shared" si="15"/>
        <v>Nature's Way</v>
      </c>
      <c r="J142" s="97" t="s">
        <v>69</v>
      </c>
      <c r="K142" s="29">
        <v>503.2</v>
      </c>
      <c r="L142" s="29"/>
      <c r="M142" s="30">
        <f>IFERROR(VLOOKUP($A142,HeadJournal!$A$1:$J$890,COLUMN(HeadJournal!I$1),0)*($K142+$L142)/(SUMIF($A:$A,$A142,$K:$K)+SUMIF($A:$A,$A142,$L:$L)),0)</f>
        <v>0</v>
      </c>
      <c r="N142" s="30">
        <f>IFERROR((VLOOKUP($A142,HeadJournal!$A$1:$K$890,COLUMN(HeadJournal!K$1),0)-VLOOKUP($A142,HeadJournal!$A$1:$K$890,COLUMN(HeadJournal!J$1),0))*($K142+$L142)/(SUMIF($A:$A,$A142,$K:$K)+SUMIF($A:$A,$A142,$L:$L)),0)</f>
        <v>-16.038844206136414</v>
      </c>
      <c r="O142" s="30">
        <f>IFERROR((VLOOKUP($A142,HeadJournal!$A$1:$L$890,COLUMN(HeadJournal!L$1),0)*($K142+$L142)/(SUMIF($A:$A,$A142,$K:$K)+SUMIF($A:$A,$A142,$L:$L)))/VLOOKUP($A142,HeadJournal!$A$1:$L$890,COLUMN(HeadJournal!H$1),0),0)</f>
        <v>0</v>
      </c>
      <c r="P142" s="30">
        <f>IFERROR(SUM(K142:O142)*VLOOKUP($A142,HeadJournal!$A$1:$L$890,COLUMN(HeadJournal!H$1),0),0)</f>
        <v>608.9514447423295</v>
      </c>
      <c r="Q142" s="29">
        <v>1200</v>
      </c>
      <c r="R142" s="31">
        <v>44857</v>
      </c>
      <c r="S142" s="31" t="s">
        <v>3121</v>
      </c>
      <c r="T142" s="95" t="str">
        <f t="shared" si="14"/>
        <v>2022 10</v>
      </c>
      <c r="U142" s="32">
        <f t="shared" si="11"/>
        <v>591.0485552576705</v>
      </c>
      <c r="V142" s="22">
        <f t="shared" si="12"/>
        <v>0.97060046471811168</v>
      </c>
      <c r="X142" s="36"/>
      <c r="Y142" s="36"/>
      <c r="Z142" s="36"/>
    </row>
    <row r="143" spans="1:26" x14ac:dyDescent="0.2">
      <c r="A143" s="93" t="s">
        <v>102</v>
      </c>
      <c r="B143" s="94">
        <f>IFERROR(VLOOKUP($A143,HeadJournal!$A$1:$NTR$890,COLUMN(HeadJournal!B$1),0),"")</f>
        <v>0</v>
      </c>
      <c r="C143" s="94" t="str">
        <f>IFERROR(VLOOKUP($A143,HeadJournal!$A$1:$NTR$890,COLUMN(HeadJournal!C$1),0),"")</f>
        <v>Anna</v>
      </c>
      <c r="D143" s="125" t="str">
        <f>IFERROR(VLOOKUP($A143,HeadJournal!$A$1:$NTR$890,COLUMN(HeadJournal!D$1),0),"")</f>
        <v>Доставлен</v>
      </c>
      <c r="E143" s="95">
        <f>IFERROR(VLOOKUP($A143,HeadJournal!$A$1:$NTR$890,COLUMN(HeadJournal!G$1),0),"")</f>
        <v>44849</v>
      </c>
      <c r="F143" s="95" t="str">
        <f t="shared" si="13"/>
        <v>2022 10</v>
      </c>
      <c r="G143" s="96" t="s">
        <v>5</v>
      </c>
      <c r="H143" s="161" t="s">
        <v>4137</v>
      </c>
      <c r="I143" s="97" t="s">
        <v>2666</v>
      </c>
      <c r="J143" s="97" t="s">
        <v>4138</v>
      </c>
      <c r="K143" s="29">
        <v>456</v>
      </c>
      <c r="L143" s="29"/>
      <c r="M143" s="30">
        <f>IFERROR(VLOOKUP($A143,HeadJournal!$A$1:$J$890,COLUMN(HeadJournal!I$1),0)*($K143+$L143)/(SUMIF($A:$A,$A143,$K:$K)+SUMIF($A:$A,$A143,$L:$L)),0)</f>
        <v>0</v>
      </c>
      <c r="N143" s="30">
        <f>IFERROR((VLOOKUP($A143,HeadJournal!$A$1:$K$890,COLUMN(HeadJournal!K$1),0)-VLOOKUP($A143,HeadJournal!$A$1:$K$890,COLUMN(HeadJournal!J$1),0))*($K143+$L143)/(SUMIF($A:$A,$A143,$K:$K)+SUMIF($A:$A,$A143,$L:$L)),0)</f>
        <v>-14.534405719392302</v>
      </c>
      <c r="O143" s="30">
        <f>IFERROR((VLOOKUP($A143,HeadJournal!$A$1:$L$890,COLUMN(HeadJournal!L$1),0)*($K143+$L143)/(SUMIF($A:$A,$A143,$K:$K)+SUMIF($A:$A,$A143,$L:$L)))/VLOOKUP($A143,HeadJournal!$A$1:$L$890,COLUMN(HeadJournal!H$1),0),0)</f>
        <v>0</v>
      </c>
      <c r="P143" s="30">
        <f>IFERROR(SUM(K143:O143)*VLOOKUP($A143,HeadJournal!$A$1:$L$890,COLUMN(HeadJournal!H$1),0),0)</f>
        <v>551.83199285075966</v>
      </c>
      <c r="Q143" s="29">
        <v>1200</v>
      </c>
      <c r="R143" s="31">
        <v>44857</v>
      </c>
      <c r="S143" s="31" t="s">
        <v>3121</v>
      </c>
      <c r="T143" s="95" t="str">
        <f t="shared" si="14"/>
        <v>2022 10</v>
      </c>
      <c r="U143" s="32">
        <f t="shared" si="11"/>
        <v>648.16800714924034</v>
      </c>
      <c r="V143" s="22">
        <f t="shared" si="12"/>
        <v>1.174574898785425</v>
      </c>
      <c r="X143" s="36"/>
      <c r="Y143" s="36"/>
      <c r="Z143" s="36"/>
    </row>
    <row r="144" spans="1:26" x14ac:dyDescent="0.2">
      <c r="A144" s="93" t="s">
        <v>102</v>
      </c>
      <c r="B144" s="94">
        <f>IFERROR(VLOOKUP($A144,HeadJournal!$A$1:$NTR$890,COLUMN(HeadJournal!B$1),0),"")</f>
        <v>0</v>
      </c>
      <c r="C144" s="94" t="str">
        <f>IFERROR(VLOOKUP($A144,HeadJournal!$A$1:$NTR$890,COLUMN(HeadJournal!C$1),0),"")</f>
        <v>Anna</v>
      </c>
      <c r="D144" s="125" t="str">
        <f>IFERROR(VLOOKUP($A144,HeadJournal!$A$1:$NTR$890,COLUMN(HeadJournal!D$1),0),"")</f>
        <v>Доставлен</v>
      </c>
      <c r="E144" s="95">
        <f>IFERROR(VLOOKUP($A144,HeadJournal!$A$1:$NTR$890,COLUMN(HeadJournal!G$1),0),"")</f>
        <v>44849</v>
      </c>
      <c r="F144" s="95" t="str">
        <f t="shared" si="13"/>
        <v>2022 10</v>
      </c>
      <c r="G144" s="96" t="s">
        <v>5</v>
      </c>
      <c r="H144" s="175" t="s">
        <v>3656</v>
      </c>
      <c r="I144" s="176" t="s">
        <v>2005</v>
      </c>
      <c r="J144" s="97" t="s">
        <v>3705</v>
      </c>
      <c r="K144" s="29">
        <v>720</v>
      </c>
      <c r="L144" s="29"/>
      <c r="M144" s="30">
        <f>IFERROR(VLOOKUP($A144,HeadJournal!$A$1:$J$890,COLUMN(HeadJournal!I$1),0)*($K144+$L144)/(SUMIF($A:$A,$A144,$K:$K)+SUMIF($A:$A,$A144,$L:$L)),0)</f>
        <v>0</v>
      </c>
      <c r="N144" s="30">
        <f>IFERROR((VLOOKUP($A144,HeadJournal!$A$1:$K$890,COLUMN(HeadJournal!K$1),0)-VLOOKUP($A144,HeadJournal!$A$1:$K$890,COLUMN(HeadJournal!J$1),0))*($K144+$L144)/(SUMIF($A:$A,$A144,$K:$K)+SUMIF($A:$A,$A144,$L:$L)),0)</f>
        <v>-22.949061662198368</v>
      </c>
      <c r="O144" s="30">
        <f>IFERROR((VLOOKUP($A144,HeadJournal!$A$1:$L$890,COLUMN(HeadJournal!L$1),0)*($K144+$L144)/(SUMIF($A:$A,$A144,$K:$K)+SUMIF($A:$A,$A144,$L:$L)))/VLOOKUP($A144,HeadJournal!$A$1:$L$890,COLUMN(HeadJournal!H$1),0),0)</f>
        <v>0</v>
      </c>
      <c r="P144" s="30">
        <f>IFERROR(SUM(K144:O144)*VLOOKUP($A144,HeadJournal!$A$1:$L$890,COLUMN(HeadJournal!H$1),0),0)</f>
        <v>871.31367292225207</v>
      </c>
      <c r="Q144" s="29">
        <v>1900</v>
      </c>
      <c r="R144" s="31">
        <v>44883</v>
      </c>
      <c r="S144" s="31" t="s">
        <v>3121</v>
      </c>
      <c r="T144" s="95" t="str">
        <f t="shared" si="14"/>
        <v>2022 11</v>
      </c>
      <c r="U144" s="32">
        <f t="shared" si="11"/>
        <v>1028.686327077748</v>
      </c>
      <c r="V144" s="22">
        <f t="shared" si="12"/>
        <v>1.1806153846153846</v>
      </c>
      <c r="X144" s="36"/>
      <c r="Y144" s="36"/>
      <c r="Z144" s="36"/>
    </row>
    <row r="145" spans="1:26" x14ac:dyDescent="0.2">
      <c r="A145" s="93" t="s">
        <v>102</v>
      </c>
      <c r="B145" s="94">
        <f>IFERROR(VLOOKUP($A145,HeadJournal!$A$1:$NTR$890,COLUMN(HeadJournal!B$1),0),"")</f>
        <v>0</v>
      </c>
      <c r="C145" s="94" t="str">
        <f>IFERROR(VLOOKUP($A145,HeadJournal!$A$1:$NTR$890,COLUMN(HeadJournal!C$1),0),"")</f>
        <v>Anna</v>
      </c>
      <c r="D145" s="125" t="str">
        <f>IFERROR(VLOOKUP($A145,HeadJournal!$A$1:$NTR$890,COLUMN(HeadJournal!D$1),0),"")</f>
        <v>Доставлен</v>
      </c>
      <c r="E145" s="95">
        <f>IFERROR(VLOOKUP($A145,HeadJournal!$A$1:$NTR$890,COLUMN(HeadJournal!G$1),0),"")</f>
        <v>44849</v>
      </c>
      <c r="F145" s="95" t="str">
        <f t="shared" si="13"/>
        <v>2022 10</v>
      </c>
      <c r="G145" s="96" t="s">
        <v>5</v>
      </c>
      <c r="H145" s="161" t="s">
        <v>2624</v>
      </c>
      <c r="I145" s="97" t="s">
        <v>2005</v>
      </c>
      <c r="J145" s="97" t="s">
        <v>2625</v>
      </c>
      <c r="K145" s="29">
        <v>640</v>
      </c>
      <c r="L145" s="29"/>
      <c r="M145" s="30">
        <f>IFERROR(VLOOKUP($A145,HeadJournal!$A$1:$J$890,COLUMN(HeadJournal!I$1),0)*($K145+$L145)/(SUMIF($A:$A,$A145,$K:$K)+SUMIF($A:$A,$A145,$L:$L)),0)</f>
        <v>0</v>
      </c>
      <c r="N145" s="30">
        <f>IFERROR((VLOOKUP($A145,HeadJournal!$A$1:$K$890,COLUMN(HeadJournal!K$1),0)-VLOOKUP($A145,HeadJournal!$A$1:$K$890,COLUMN(HeadJournal!J$1),0))*($K145+$L145)/(SUMIF($A:$A,$A145,$K:$K)+SUMIF($A:$A,$A145,$L:$L)),0)</f>
        <v>-20.399165921954104</v>
      </c>
      <c r="O145" s="30">
        <f>IFERROR((VLOOKUP($A145,HeadJournal!$A$1:$L$890,COLUMN(HeadJournal!L$1),0)*($K145+$L145)/(SUMIF($A:$A,$A145,$K:$K)+SUMIF($A:$A,$A145,$L:$L)))/VLOOKUP($A145,HeadJournal!$A$1:$L$890,COLUMN(HeadJournal!H$1),0),0)</f>
        <v>0</v>
      </c>
      <c r="P145" s="30">
        <f>IFERROR(SUM(K145:O145)*VLOOKUP($A145,HeadJournal!$A$1:$L$890,COLUMN(HeadJournal!H$1),0),0)</f>
        <v>774.50104259755733</v>
      </c>
      <c r="Q145" s="29">
        <v>1700</v>
      </c>
      <c r="R145" s="31">
        <v>44850</v>
      </c>
      <c r="S145" s="31" t="s">
        <v>3121</v>
      </c>
      <c r="T145" s="95" t="str">
        <f t="shared" si="14"/>
        <v>2022 10</v>
      </c>
      <c r="U145" s="32">
        <f t="shared" si="11"/>
        <v>925.49895740244267</v>
      </c>
      <c r="V145" s="22">
        <f t="shared" si="12"/>
        <v>1.1949615384615384</v>
      </c>
      <c r="X145" s="36"/>
      <c r="Y145" s="36"/>
      <c r="Z145" s="36"/>
    </row>
    <row r="146" spans="1:26" x14ac:dyDescent="0.2">
      <c r="A146" s="93" t="s">
        <v>102</v>
      </c>
      <c r="B146" s="94">
        <f>IFERROR(VLOOKUP($A146,HeadJournal!$A$1:$NTR$890,COLUMN(HeadJournal!B$1),0),"")</f>
        <v>0</v>
      </c>
      <c r="C146" s="94" t="str">
        <f>IFERROR(VLOOKUP($A146,HeadJournal!$A$1:$NTR$890,COLUMN(HeadJournal!C$1),0),"")</f>
        <v>Anna</v>
      </c>
      <c r="D146" s="125" t="str">
        <f>IFERROR(VLOOKUP($A146,HeadJournal!$A$1:$NTR$890,COLUMN(HeadJournal!D$1),0),"")</f>
        <v>Доставлен</v>
      </c>
      <c r="E146" s="95">
        <f>IFERROR(VLOOKUP($A146,HeadJournal!$A$1:$NTR$890,COLUMN(HeadJournal!G$1),0),"")</f>
        <v>44849</v>
      </c>
      <c r="F146" s="95" t="str">
        <f t="shared" si="13"/>
        <v>2022 10</v>
      </c>
      <c r="G146" s="96" t="s">
        <v>5</v>
      </c>
      <c r="H146" s="161" t="s">
        <v>2624</v>
      </c>
      <c r="I146" s="97" t="s">
        <v>2005</v>
      </c>
      <c r="J146" s="97" t="s">
        <v>2625</v>
      </c>
      <c r="K146" s="29">
        <v>640</v>
      </c>
      <c r="L146" s="29"/>
      <c r="M146" s="30">
        <f>IFERROR(VLOOKUP($A146,HeadJournal!$A$1:$J$890,COLUMN(HeadJournal!I$1),0)*($K146+$L146)/(SUMIF($A:$A,$A146,$K:$K)+SUMIF($A:$A,$A146,$L:$L)),0)</f>
        <v>0</v>
      </c>
      <c r="N146" s="30">
        <f>IFERROR((VLOOKUP($A146,HeadJournal!$A$1:$K$890,COLUMN(HeadJournal!K$1),0)-VLOOKUP($A146,HeadJournal!$A$1:$K$890,COLUMN(HeadJournal!J$1),0))*($K146+$L146)/(SUMIF($A:$A,$A146,$K:$K)+SUMIF($A:$A,$A146,$L:$L)),0)</f>
        <v>-20.399165921954104</v>
      </c>
      <c r="O146" s="30">
        <f>IFERROR((VLOOKUP($A146,HeadJournal!$A$1:$L$890,COLUMN(HeadJournal!L$1),0)*($K146+$L146)/(SUMIF($A:$A,$A146,$K:$K)+SUMIF($A:$A,$A146,$L:$L)))/VLOOKUP($A146,HeadJournal!$A$1:$L$890,COLUMN(HeadJournal!H$1),0),0)</f>
        <v>0</v>
      </c>
      <c r="P146" s="30">
        <f>IFERROR(SUM(K146:O146)*VLOOKUP($A146,HeadJournal!$A$1:$L$890,COLUMN(HeadJournal!H$1),0),0)</f>
        <v>774.50104259755733</v>
      </c>
      <c r="Q146" s="29">
        <v>1700</v>
      </c>
      <c r="R146" s="31">
        <v>44856</v>
      </c>
      <c r="S146" s="31" t="s">
        <v>3121</v>
      </c>
      <c r="T146" s="95" t="str">
        <f t="shared" si="14"/>
        <v>2022 10</v>
      </c>
      <c r="U146" s="32">
        <f t="shared" si="11"/>
        <v>925.49895740244267</v>
      </c>
      <c r="V146" s="22">
        <f t="shared" si="12"/>
        <v>1.1949615384615384</v>
      </c>
      <c r="X146" s="36"/>
      <c r="Y146" s="36"/>
      <c r="Z146" s="36"/>
    </row>
    <row r="147" spans="1:26" x14ac:dyDescent="0.2">
      <c r="A147" s="93" t="s">
        <v>102</v>
      </c>
      <c r="B147" s="94">
        <f>IFERROR(VLOOKUP($A147,HeadJournal!$A$1:$NTR$890,COLUMN(HeadJournal!B$1),0),"")</f>
        <v>0</v>
      </c>
      <c r="C147" s="94" t="str">
        <f>IFERROR(VLOOKUP($A147,HeadJournal!$A$1:$NTR$890,COLUMN(HeadJournal!C$1),0),"")</f>
        <v>Anna</v>
      </c>
      <c r="D147" s="125" t="str">
        <f>IFERROR(VLOOKUP($A147,HeadJournal!$A$1:$NTR$890,COLUMN(HeadJournal!D$1),0),"")</f>
        <v>Доставлен</v>
      </c>
      <c r="E147" s="95">
        <f>IFERROR(VLOOKUP($A147,HeadJournal!$A$1:$NTR$890,COLUMN(HeadJournal!G$1),0),"")</f>
        <v>44849</v>
      </c>
      <c r="F147" s="95" t="str">
        <f t="shared" si="13"/>
        <v>2022 10</v>
      </c>
      <c r="G147" s="96" t="s">
        <v>5</v>
      </c>
      <c r="H147" s="161" t="s">
        <v>2624</v>
      </c>
      <c r="I147" s="97" t="s">
        <v>2005</v>
      </c>
      <c r="J147" s="97" t="s">
        <v>2625</v>
      </c>
      <c r="K147" s="29">
        <v>640</v>
      </c>
      <c r="L147" s="29"/>
      <c r="M147" s="30">
        <f>IFERROR(VLOOKUP($A147,HeadJournal!$A$1:$J$890,COLUMN(HeadJournal!I$1),0)*($K147+$L147)/(SUMIF($A:$A,$A147,$K:$K)+SUMIF($A:$A,$A147,$L:$L)),0)</f>
        <v>0</v>
      </c>
      <c r="N147" s="30">
        <f>IFERROR((VLOOKUP($A147,HeadJournal!$A$1:$K$890,COLUMN(HeadJournal!K$1),0)-VLOOKUP($A147,HeadJournal!$A$1:$K$890,COLUMN(HeadJournal!J$1),0))*($K147+$L147)/(SUMIF($A:$A,$A147,$K:$K)+SUMIF($A:$A,$A147,$L:$L)),0)</f>
        <v>-20.399165921954104</v>
      </c>
      <c r="O147" s="30">
        <f>IFERROR((VLOOKUP($A147,HeadJournal!$A$1:$L$890,COLUMN(HeadJournal!L$1),0)*($K147+$L147)/(SUMIF($A:$A,$A147,$K:$K)+SUMIF($A:$A,$A147,$L:$L)))/VLOOKUP($A147,HeadJournal!$A$1:$L$890,COLUMN(HeadJournal!H$1),0),0)</f>
        <v>0</v>
      </c>
      <c r="P147" s="30">
        <f>IFERROR(SUM(K147:O147)*VLOOKUP($A147,HeadJournal!$A$1:$L$890,COLUMN(HeadJournal!H$1),0),0)</f>
        <v>774.50104259755733</v>
      </c>
      <c r="Q147" s="29">
        <v>1700</v>
      </c>
      <c r="R147" s="31">
        <v>44864</v>
      </c>
      <c r="S147" s="31" t="s">
        <v>3121</v>
      </c>
      <c r="T147" s="95" t="str">
        <f t="shared" si="14"/>
        <v>2022 10</v>
      </c>
      <c r="U147" s="32">
        <f t="shared" si="11"/>
        <v>925.49895740244267</v>
      </c>
      <c r="V147" s="22">
        <f t="shared" si="12"/>
        <v>1.1949615384615384</v>
      </c>
      <c r="X147" s="36"/>
      <c r="Y147" s="36"/>
      <c r="Z147" s="36"/>
    </row>
    <row r="148" spans="1:26" x14ac:dyDescent="0.2">
      <c r="A148" s="93" t="s">
        <v>102</v>
      </c>
      <c r="B148" s="94">
        <f>IFERROR(VLOOKUP($A148,HeadJournal!$A$1:$NTR$890,COLUMN(HeadJournal!B$1),0),"")</f>
        <v>0</v>
      </c>
      <c r="C148" s="94" t="str">
        <f>IFERROR(VLOOKUP($A148,HeadJournal!$A$1:$NTR$890,COLUMN(HeadJournal!C$1),0),"")</f>
        <v>Anna</v>
      </c>
      <c r="D148" s="125" t="str">
        <f>IFERROR(VLOOKUP($A148,HeadJournal!$A$1:$NTR$890,COLUMN(HeadJournal!D$1),0),"")</f>
        <v>Доставлен</v>
      </c>
      <c r="E148" s="95">
        <f>IFERROR(VLOOKUP($A148,HeadJournal!$A$1:$NTR$890,COLUMN(HeadJournal!G$1),0),"")</f>
        <v>44849</v>
      </c>
      <c r="F148" s="95" t="str">
        <f t="shared" si="13"/>
        <v>2022 10</v>
      </c>
      <c r="G148" s="96" t="s">
        <v>5</v>
      </c>
      <c r="H148" s="161" t="s">
        <v>2771</v>
      </c>
      <c r="I148" s="97" t="s">
        <v>2052</v>
      </c>
      <c r="J148" s="97" t="s">
        <v>3858</v>
      </c>
      <c r="K148" s="29">
        <v>304</v>
      </c>
      <c r="L148" s="29"/>
      <c r="M148" s="30">
        <f>IFERROR(VLOOKUP($A148,HeadJournal!$A$1:$J$890,COLUMN(HeadJournal!I$1),0)*($K148+$L148)/(SUMIF($A:$A,$A148,$K:$K)+SUMIF($A:$A,$A148,$L:$L)),0)</f>
        <v>0</v>
      </c>
      <c r="N148" s="30">
        <f>IFERROR((VLOOKUP($A148,HeadJournal!$A$1:$K$890,COLUMN(HeadJournal!K$1),0)-VLOOKUP($A148,HeadJournal!$A$1:$K$890,COLUMN(HeadJournal!J$1),0))*($K148+$L148)/(SUMIF($A:$A,$A148,$K:$K)+SUMIF($A:$A,$A148,$L:$L)),0)</f>
        <v>-9.6896038129281994</v>
      </c>
      <c r="O148" s="30">
        <f>IFERROR((VLOOKUP($A148,HeadJournal!$A$1:$L$890,COLUMN(HeadJournal!L$1),0)*($K148+$L148)/(SUMIF($A:$A,$A148,$K:$K)+SUMIF($A:$A,$A148,$L:$L)))/VLOOKUP($A148,HeadJournal!$A$1:$L$890,COLUMN(HeadJournal!H$1),0),0)</f>
        <v>0</v>
      </c>
      <c r="P148" s="30">
        <f>IFERROR(SUM(K148:O148)*VLOOKUP($A148,HeadJournal!$A$1:$L$890,COLUMN(HeadJournal!H$1),0),0)</f>
        <v>367.88799523383972</v>
      </c>
      <c r="Q148" s="29">
        <v>900</v>
      </c>
      <c r="R148" s="31">
        <v>44855</v>
      </c>
      <c r="S148" s="31" t="s">
        <v>3121</v>
      </c>
      <c r="T148" s="95" t="str">
        <f t="shared" si="14"/>
        <v>2022 10</v>
      </c>
      <c r="U148" s="32">
        <f t="shared" si="11"/>
        <v>532.11200476616023</v>
      </c>
      <c r="V148" s="22">
        <f t="shared" si="12"/>
        <v>1.4463967611336033</v>
      </c>
      <c r="X148" s="36"/>
      <c r="Y148" s="36"/>
      <c r="Z148" s="36"/>
    </row>
    <row r="149" spans="1:26" x14ac:dyDescent="0.2">
      <c r="A149" s="93" t="s">
        <v>102</v>
      </c>
      <c r="B149" s="94">
        <f>IFERROR(VLOOKUP($A149,HeadJournal!$A$1:$NTR$890,COLUMN(HeadJournal!B$1),0),"")</f>
        <v>0</v>
      </c>
      <c r="C149" s="94" t="str">
        <f>IFERROR(VLOOKUP($A149,HeadJournal!$A$1:$NTR$890,COLUMN(HeadJournal!C$1),0),"")</f>
        <v>Anna</v>
      </c>
      <c r="D149" s="125" t="str">
        <f>IFERROR(VLOOKUP($A149,HeadJournal!$A$1:$NTR$890,COLUMN(HeadJournal!D$1),0),"")</f>
        <v>Доставлен</v>
      </c>
      <c r="E149" s="95">
        <f>IFERROR(VLOOKUP($A149,HeadJournal!$A$1:$NTR$890,COLUMN(HeadJournal!G$1),0),"")</f>
        <v>44849</v>
      </c>
      <c r="F149" s="95" t="str">
        <f t="shared" si="13"/>
        <v>2022 10</v>
      </c>
      <c r="G149" s="96" t="s">
        <v>5</v>
      </c>
      <c r="H149" s="160" t="str">
        <f>RIGHT(Journal!$J149,9)</f>
        <v>NFS-02071</v>
      </c>
      <c r="I149" s="96" t="str">
        <f t="shared" si="15"/>
        <v>Natural Factors</v>
      </c>
      <c r="J149" s="97" t="s">
        <v>103</v>
      </c>
      <c r="K149" s="29">
        <v>496</v>
      </c>
      <c r="L149" s="29"/>
      <c r="M149" s="30">
        <f>IFERROR(VLOOKUP($A149,HeadJournal!$A$1:$J$890,COLUMN(HeadJournal!I$1),0)*($K149+$L149)/(SUMIF($A:$A,$A149,$K:$K)+SUMIF($A:$A,$A149,$L:$L)),0)</f>
        <v>0</v>
      </c>
      <c r="N149" s="30">
        <f>IFERROR((VLOOKUP($A149,HeadJournal!$A$1:$K$890,COLUMN(HeadJournal!K$1),0)-VLOOKUP($A149,HeadJournal!$A$1:$K$890,COLUMN(HeadJournal!J$1),0))*($K149+$L149)/(SUMIF($A:$A,$A149,$K:$K)+SUMIF($A:$A,$A149,$L:$L)),0)</f>
        <v>-15.809353589514432</v>
      </c>
      <c r="O149" s="30">
        <f>IFERROR((VLOOKUP($A149,HeadJournal!$A$1:$L$890,COLUMN(HeadJournal!L$1),0)*($K149+$L149)/(SUMIF($A:$A,$A149,$K:$K)+SUMIF($A:$A,$A149,$L:$L)))/VLOOKUP($A149,HeadJournal!$A$1:$L$890,COLUMN(HeadJournal!H$1),0),0)</f>
        <v>0</v>
      </c>
      <c r="P149" s="30">
        <f>IFERROR(SUM(K149:O149)*VLOOKUP($A149,HeadJournal!$A$1:$L$890,COLUMN(HeadJournal!H$1),0),0)</f>
        <v>600.23830801310692</v>
      </c>
      <c r="Q149" s="29">
        <v>1200</v>
      </c>
      <c r="R149" s="31">
        <v>44864</v>
      </c>
      <c r="S149" s="31" t="s">
        <v>3121</v>
      </c>
      <c r="T149" s="95" t="str">
        <f t="shared" si="14"/>
        <v>2022 10</v>
      </c>
      <c r="U149" s="32">
        <f t="shared" si="11"/>
        <v>599.76169198689308</v>
      </c>
      <c r="V149" s="22">
        <f t="shared" si="12"/>
        <v>0.99920595533498768</v>
      </c>
      <c r="X149" s="36"/>
      <c r="Y149" s="36"/>
      <c r="Z149" s="36"/>
    </row>
    <row r="150" spans="1:26" x14ac:dyDescent="0.2">
      <c r="A150" s="93" t="s">
        <v>105</v>
      </c>
      <c r="B150" s="94">
        <f>IFERROR(VLOOKUP($A150,HeadJournal!$A$1:$NTR$890,COLUMN(HeadJournal!B$1),0),"")</f>
        <v>0</v>
      </c>
      <c r="C150" s="94" t="str">
        <f>IFERROR(VLOOKUP($A150,HeadJournal!$A$1:$NTR$890,COLUMN(HeadJournal!C$1),0),"")</f>
        <v>Anna</v>
      </c>
      <c r="D150" s="125" t="str">
        <f>IFERROR(VLOOKUP($A150,HeadJournal!$A$1:$NTR$890,COLUMN(HeadJournal!D$1),0),"")</f>
        <v>Доставлен</v>
      </c>
      <c r="E150" s="95">
        <f>IFERROR(VLOOKUP($A150,HeadJournal!$A$1:$NTR$890,COLUMN(HeadJournal!G$1),0),"")</f>
        <v>44850</v>
      </c>
      <c r="F150" s="95" t="str">
        <f t="shared" si="13"/>
        <v>2022 10</v>
      </c>
      <c r="G150" s="96" t="s">
        <v>5</v>
      </c>
      <c r="H150" s="160" t="str">
        <f>RIGHT(Journal!$J150,9)</f>
        <v>SRE-01145</v>
      </c>
      <c r="I150" s="96" t="str">
        <f t="shared" si="15"/>
        <v>Sports Research</v>
      </c>
      <c r="J150" s="97" t="s">
        <v>106</v>
      </c>
      <c r="K150" s="29">
        <v>424</v>
      </c>
      <c r="L150" s="29"/>
      <c r="M150" s="30">
        <f>IFERROR(VLOOKUP($A150,HeadJournal!$A$1:$J$890,COLUMN(HeadJournal!I$1),0)*($K150+$L150)/(SUMIF($A:$A,$A150,$K:$K)+SUMIF($A:$A,$A150,$L:$L)),0)</f>
        <v>0</v>
      </c>
      <c r="N150" s="30">
        <f>IFERROR((VLOOKUP($A150,HeadJournal!$A$1:$K$890,COLUMN(HeadJournal!K$1),0)-VLOOKUP($A150,HeadJournal!$A$1:$K$890,COLUMN(HeadJournal!J$1),0))*($K150+$L150)/(SUMIF($A:$A,$A150,$K:$K)+SUMIF($A:$A,$A150,$L:$L)),0)</f>
        <v>-17.966101694915253</v>
      </c>
      <c r="O150" s="30">
        <f>IFERROR((VLOOKUP($A150,HeadJournal!$A$1:$L$890,COLUMN(HeadJournal!L$1),0)*($K150+$L150)/(SUMIF($A:$A,$A150,$K:$K)+SUMIF($A:$A,$A150,$L:$L)))/VLOOKUP($A150,HeadJournal!$A$1:$L$890,COLUMN(HeadJournal!H$1),0),0)</f>
        <v>0</v>
      </c>
      <c r="P150" s="30">
        <f>IFERROR(SUM(K150:O150)*VLOOKUP($A150,HeadJournal!$A$1:$L$890,COLUMN(HeadJournal!H$1),0),0)</f>
        <v>507.5423728813559</v>
      </c>
      <c r="Q150" s="29"/>
      <c r="R150" s="31"/>
      <c r="S150" s="31"/>
      <c r="T150" s="95" t="str">
        <f t="shared" si="14"/>
        <v/>
      </c>
      <c r="U150" s="32">
        <f t="shared" si="11"/>
        <v>-507.5423728813559</v>
      </c>
      <c r="V150" s="22" t="str">
        <f t="shared" si="12"/>
        <v/>
      </c>
      <c r="X150" s="33"/>
      <c r="Y150" s="33"/>
    </row>
    <row r="151" spans="1:26" x14ac:dyDescent="0.2">
      <c r="A151" s="93" t="s">
        <v>105</v>
      </c>
      <c r="B151" s="94">
        <f>IFERROR(VLOOKUP($A151,HeadJournal!$A$1:$NTR$890,COLUMN(HeadJournal!B$1),0),"")</f>
        <v>0</v>
      </c>
      <c r="C151" s="94" t="str">
        <f>IFERROR(VLOOKUP($A151,HeadJournal!$A$1:$NTR$890,COLUMN(HeadJournal!C$1),0),"")</f>
        <v>Anna</v>
      </c>
      <c r="D151" s="125" t="str">
        <f>IFERROR(VLOOKUP($A151,HeadJournal!$A$1:$NTR$890,COLUMN(HeadJournal!D$1),0),"")</f>
        <v>Доставлен</v>
      </c>
      <c r="E151" s="95">
        <f>IFERROR(VLOOKUP($A151,HeadJournal!$A$1:$NTR$890,COLUMN(HeadJournal!G$1),0),"")</f>
        <v>44850</v>
      </c>
      <c r="F151" s="95" t="str">
        <f t="shared" si="13"/>
        <v>2022 10</v>
      </c>
      <c r="G151" s="96" t="s">
        <v>5</v>
      </c>
      <c r="H151" s="175" t="s">
        <v>3642</v>
      </c>
      <c r="I151" s="176" t="s">
        <v>2681</v>
      </c>
      <c r="J151" s="97" t="s">
        <v>3691</v>
      </c>
      <c r="K151" s="29">
        <v>720</v>
      </c>
      <c r="L151" s="29"/>
      <c r="M151" s="30">
        <f>IFERROR(VLOOKUP($A151,HeadJournal!$A$1:$J$890,COLUMN(HeadJournal!I$1),0)*($K151+$L151)/(SUMIF($A:$A,$A151,$K:$K)+SUMIF($A:$A,$A151,$L:$L)),0)</f>
        <v>0</v>
      </c>
      <c r="N151" s="30">
        <f>IFERROR((VLOOKUP($A151,HeadJournal!$A$1:$K$890,COLUMN(HeadJournal!K$1),0)-VLOOKUP($A151,HeadJournal!$A$1:$K$890,COLUMN(HeadJournal!J$1),0))*($K151+$L151)/(SUMIF($A:$A,$A151,$K:$K)+SUMIF($A:$A,$A151,$L:$L)),0)</f>
        <v>-30.508474576271187</v>
      </c>
      <c r="O151" s="30">
        <f>IFERROR((VLOOKUP($A151,HeadJournal!$A$1:$L$890,COLUMN(HeadJournal!L$1),0)*($K151+$L151)/(SUMIF($A:$A,$A151,$K:$K)+SUMIF($A:$A,$A151,$L:$L)))/VLOOKUP($A151,HeadJournal!$A$1:$L$890,COLUMN(HeadJournal!H$1),0),0)</f>
        <v>0</v>
      </c>
      <c r="P151" s="30">
        <f>IFERROR(SUM(K151:O151)*VLOOKUP($A151,HeadJournal!$A$1:$L$890,COLUMN(HeadJournal!H$1),0),0)</f>
        <v>861.86440677966107</v>
      </c>
      <c r="Q151" s="29">
        <v>1800</v>
      </c>
      <c r="R151" s="31">
        <v>44883</v>
      </c>
      <c r="S151" s="31" t="s">
        <v>3121</v>
      </c>
      <c r="T151" s="95" t="str">
        <f t="shared" si="14"/>
        <v>2022 11</v>
      </c>
      <c r="U151" s="32">
        <f t="shared" si="11"/>
        <v>938.13559322033893</v>
      </c>
      <c r="V151" s="22">
        <f t="shared" si="12"/>
        <v>1.0884955752212389</v>
      </c>
      <c r="X151" s="33"/>
      <c r="Y151" s="33"/>
    </row>
    <row r="152" spans="1:26" x14ac:dyDescent="0.2">
      <c r="A152" s="93" t="s">
        <v>105</v>
      </c>
      <c r="B152" s="94">
        <f>IFERROR(VLOOKUP($A152,HeadJournal!$A$1:$NTR$890,COLUMN(HeadJournal!B$1),0),"")</f>
        <v>0</v>
      </c>
      <c r="C152" s="94" t="str">
        <f>IFERROR(VLOOKUP($A152,HeadJournal!$A$1:$NTR$890,COLUMN(HeadJournal!C$1),0),"")</f>
        <v>Anna</v>
      </c>
      <c r="D152" s="125" t="str">
        <f>IFERROR(VLOOKUP($A152,HeadJournal!$A$1:$NTR$890,COLUMN(HeadJournal!D$1),0),"")</f>
        <v>Доставлен</v>
      </c>
      <c r="E152" s="95">
        <f>IFERROR(VLOOKUP($A152,HeadJournal!$A$1:$NTR$890,COLUMN(HeadJournal!G$1),0),"")</f>
        <v>44850</v>
      </c>
      <c r="F152" s="95" t="str">
        <f t="shared" si="13"/>
        <v>2022 10</v>
      </c>
      <c r="G152" s="96" t="s">
        <v>7</v>
      </c>
      <c r="H152" s="160" t="str">
        <f>RIGHT(Journal!$J152,9)</f>
        <v>MBN-01231</v>
      </c>
      <c r="I152" s="96" t="str">
        <f t="shared" si="15"/>
        <v>Mild By Nature</v>
      </c>
      <c r="J152" s="97" t="s">
        <v>107</v>
      </c>
      <c r="K152" s="29">
        <v>436</v>
      </c>
      <c r="L152" s="29"/>
      <c r="M152" s="30">
        <f>IFERROR(VLOOKUP($A152,HeadJournal!$A$1:$J$890,COLUMN(HeadJournal!I$1),0)*($K152+$L152)/(SUMIF($A:$A,$A152,$K:$K)+SUMIF($A:$A,$A152,$L:$L)),0)</f>
        <v>0</v>
      </c>
      <c r="N152" s="30">
        <f>IFERROR((VLOOKUP($A152,HeadJournal!$A$1:$K$890,COLUMN(HeadJournal!K$1),0)-VLOOKUP($A152,HeadJournal!$A$1:$K$890,COLUMN(HeadJournal!J$1),0))*($K152+$L152)/(SUMIF($A:$A,$A152,$K:$K)+SUMIF($A:$A,$A152,$L:$L)),0)</f>
        <v>-18.474576271186439</v>
      </c>
      <c r="O152" s="30">
        <f>IFERROR((VLOOKUP($A152,HeadJournal!$A$1:$L$890,COLUMN(HeadJournal!L$1),0)*($K152+$L152)/(SUMIF($A:$A,$A152,$K:$K)+SUMIF($A:$A,$A152,$L:$L)))/VLOOKUP($A152,HeadJournal!$A$1:$L$890,COLUMN(HeadJournal!H$1),0),0)</f>
        <v>0</v>
      </c>
      <c r="P152" s="30">
        <f>IFERROR(SUM(K152:O152)*VLOOKUP($A152,HeadJournal!$A$1:$L$890,COLUMN(HeadJournal!H$1),0),0)</f>
        <v>521.90677966101691</v>
      </c>
      <c r="Q152" s="29">
        <v>1200</v>
      </c>
      <c r="R152" s="31">
        <v>45020</v>
      </c>
      <c r="S152" s="31" t="s">
        <v>3121</v>
      </c>
      <c r="T152" s="95" t="str">
        <f t="shared" si="14"/>
        <v>2023 04</v>
      </c>
      <c r="U152" s="32">
        <f t="shared" si="11"/>
        <v>678.09322033898309</v>
      </c>
      <c r="V152" s="22">
        <f t="shared" si="12"/>
        <v>1.2992611837298045</v>
      </c>
      <c r="X152" s="33"/>
      <c r="Y152" s="33"/>
    </row>
    <row r="153" spans="1:26" x14ac:dyDescent="0.2">
      <c r="A153" s="93" t="s">
        <v>105</v>
      </c>
      <c r="B153" s="94">
        <f>IFERROR(VLOOKUP($A153,HeadJournal!$A$1:$NTR$890,COLUMN(HeadJournal!B$1),0),"")</f>
        <v>0</v>
      </c>
      <c r="C153" s="94" t="str">
        <f>IFERROR(VLOOKUP($A153,HeadJournal!$A$1:$NTR$890,COLUMN(HeadJournal!C$1),0),"")</f>
        <v>Anna</v>
      </c>
      <c r="D153" s="125" t="str">
        <f>IFERROR(VLOOKUP($A153,HeadJournal!$A$1:$NTR$890,COLUMN(HeadJournal!D$1),0),"")</f>
        <v>Доставлен</v>
      </c>
      <c r="E153" s="95">
        <f>IFERROR(VLOOKUP($A153,HeadJournal!$A$1:$NTR$890,COLUMN(HeadJournal!G$1),0),"")</f>
        <v>44850</v>
      </c>
      <c r="F153" s="95" t="str">
        <f t="shared" si="13"/>
        <v>2022 10</v>
      </c>
      <c r="G153" s="96" t="s">
        <v>7</v>
      </c>
      <c r="H153" s="160" t="str">
        <f>RIGHT(Journal!$J153,9)</f>
        <v>AVA-36102</v>
      </c>
      <c r="I153" s="96" t="str">
        <f t="shared" si="15"/>
        <v>Avalon Organics</v>
      </c>
      <c r="J153" s="97" t="s">
        <v>108</v>
      </c>
      <c r="K153" s="29">
        <v>620</v>
      </c>
      <c r="L153" s="29"/>
      <c r="M153" s="30">
        <f>IFERROR(VLOOKUP($A153,HeadJournal!$A$1:$J$890,COLUMN(HeadJournal!I$1),0)*($K153+$L153)/(SUMIF($A:$A,$A153,$K:$K)+SUMIF($A:$A,$A153,$L:$L)),0)</f>
        <v>0</v>
      </c>
      <c r="N153" s="30">
        <f>IFERROR((VLOOKUP($A153,HeadJournal!$A$1:$K$890,COLUMN(HeadJournal!K$1),0)-VLOOKUP($A153,HeadJournal!$A$1:$K$890,COLUMN(HeadJournal!J$1),0))*($K153+$L153)/(SUMIF($A:$A,$A153,$K:$K)+SUMIF($A:$A,$A153,$L:$L)),0)</f>
        <v>-26.271186440677965</v>
      </c>
      <c r="O153" s="30">
        <f>IFERROR((VLOOKUP($A153,HeadJournal!$A$1:$L$890,COLUMN(HeadJournal!L$1),0)*($K153+$L153)/(SUMIF($A:$A,$A153,$K:$K)+SUMIF($A:$A,$A153,$L:$L)))/VLOOKUP($A153,HeadJournal!$A$1:$L$890,COLUMN(HeadJournal!H$1),0),0)</f>
        <v>0</v>
      </c>
      <c r="P153" s="30">
        <f>IFERROR(SUM(K153:O153)*VLOOKUP($A153,HeadJournal!$A$1:$L$890,COLUMN(HeadJournal!H$1),0),0)</f>
        <v>742.16101694915255</v>
      </c>
      <c r="Q153" s="29">
        <v>1400</v>
      </c>
      <c r="R153" s="31">
        <v>44886</v>
      </c>
      <c r="S153" s="31" t="s">
        <v>3121</v>
      </c>
      <c r="T153" s="95" t="str">
        <f t="shared" si="14"/>
        <v>2022 11</v>
      </c>
      <c r="U153" s="32">
        <f t="shared" si="11"/>
        <v>657.83898305084745</v>
      </c>
      <c r="V153" s="22">
        <f t="shared" si="12"/>
        <v>0.88638310019982869</v>
      </c>
      <c r="X153" s="33"/>
      <c r="Y153" s="33"/>
    </row>
    <row r="154" spans="1:26" x14ac:dyDescent="0.2">
      <c r="A154" s="93" t="s">
        <v>105</v>
      </c>
      <c r="B154" s="94">
        <f>IFERROR(VLOOKUP($A154,HeadJournal!$A$1:$NTR$890,COLUMN(HeadJournal!B$1),0),"")</f>
        <v>0</v>
      </c>
      <c r="C154" s="94" t="str">
        <f>IFERROR(VLOOKUP($A154,HeadJournal!$A$1:$NTR$890,COLUMN(HeadJournal!C$1),0),"")</f>
        <v>Anna</v>
      </c>
      <c r="D154" s="125" t="str">
        <f>IFERROR(VLOOKUP($A154,HeadJournal!$A$1:$NTR$890,COLUMN(HeadJournal!D$1),0),"")</f>
        <v>Доставлен</v>
      </c>
      <c r="E154" s="95">
        <f>IFERROR(VLOOKUP($A154,HeadJournal!$A$1:$NTR$890,COLUMN(HeadJournal!G$1),0),"")</f>
        <v>44850</v>
      </c>
      <c r="F154" s="95" t="str">
        <f t="shared" si="13"/>
        <v>2022 10</v>
      </c>
      <c r="G154" s="96" t="s">
        <v>5</v>
      </c>
      <c r="H154" s="161" t="s">
        <v>2127</v>
      </c>
      <c r="I154" s="97" t="s">
        <v>2125</v>
      </c>
      <c r="J154" s="97" t="s">
        <v>2128</v>
      </c>
      <c r="K154" s="29">
        <v>316</v>
      </c>
      <c r="L154" s="29"/>
      <c r="M154" s="30">
        <f>IFERROR(VLOOKUP($A154,HeadJournal!$A$1:$J$890,COLUMN(HeadJournal!I$1),0)*($K154+$L154)/(SUMIF($A:$A,$A154,$K:$K)+SUMIF($A:$A,$A154,$L:$L)),0)</f>
        <v>0</v>
      </c>
      <c r="N154" s="30">
        <f>IFERROR((VLOOKUP($A154,HeadJournal!$A$1:$K$890,COLUMN(HeadJournal!K$1),0)-VLOOKUP($A154,HeadJournal!$A$1:$K$890,COLUMN(HeadJournal!J$1),0))*($K154+$L154)/(SUMIF($A:$A,$A154,$K:$K)+SUMIF($A:$A,$A154,$L:$L)),0)</f>
        <v>-13.389830508474576</v>
      </c>
      <c r="O154" s="30">
        <f>IFERROR((VLOOKUP($A154,HeadJournal!$A$1:$L$890,COLUMN(HeadJournal!L$1),0)*($K154+$L154)/(SUMIF($A:$A,$A154,$K:$K)+SUMIF($A:$A,$A154,$L:$L)))/VLOOKUP($A154,HeadJournal!$A$1:$L$890,COLUMN(HeadJournal!H$1),0),0)</f>
        <v>0</v>
      </c>
      <c r="P154" s="30">
        <f>IFERROR(SUM(K154:O154)*VLOOKUP($A154,HeadJournal!$A$1:$L$890,COLUMN(HeadJournal!H$1),0),0)</f>
        <v>378.26271186440681</v>
      </c>
      <c r="Q154" s="29">
        <v>900</v>
      </c>
      <c r="R154" s="31">
        <v>44857</v>
      </c>
      <c r="S154" s="31" t="s">
        <v>3121</v>
      </c>
      <c r="T154" s="95" t="str">
        <f t="shared" si="14"/>
        <v>2022 10</v>
      </c>
      <c r="U154" s="32">
        <f t="shared" si="11"/>
        <v>521.73728813559319</v>
      </c>
      <c r="V154" s="22">
        <f t="shared" si="12"/>
        <v>1.3792987565811581</v>
      </c>
      <c r="X154" s="33"/>
      <c r="Y154" s="33"/>
    </row>
    <row r="155" spans="1:26" x14ac:dyDescent="0.2">
      <c r="A155" s="93" t="s">
        <v>105</v>
      </c>
      <c r="B155" s="94">
        <f>IFERROR(VLOOKUP($A155,HeadJournal!$A$1:$NTR$890,COLUMN(HeadJournal!B$1),0),"")</f>
        <v>0</v>
      </c>
      <c r="C155" s="94" t="str">
        <f>IFERROR(VLOOKUP($A155,HeadJournal!$A$1:$NTR$890,COLUMN(HeadJournal!C$1),0),"")</f>
        <v>Anna</v>
      </c>
      <c r="D155" s="125" t="str">
        <f>IFERROR(VLOOKUP($A155,HeadJournal!$A$1:$NTR$890,COLUMN(HeadJournal!D$1),0),"")</f>
        <v>Доставлен</v>
      </c>
      <c r="E155" s="95">
        <f>IFERROR(VLOOKUP($A155,HeadJournal!$A$1:$NTR$890,COLUMN(HeadJournal!G$1),0),"")</f>
        <v>44850</v>
      </c>
      <c r="F155" s="95" t="str">
        <f t="shared" si="13"/>
        <v>2022 10</v>
      </c>
      <c r="G155" s="96" t="s">
        <v>5</v>
      </c>
      <c r="H155" s="161" t="s">
        <v>2899</v>
      </c>
      <c r="I155" s="97" t="s">
        <v>2042</v>
      </c>
      <c r="J155" s="97" t="s">
        <v>2900</v>
      </c>
      <c r="K155" s="29">
        <v>388</v>
      </c>
      <c r="L155" s="29"/>
      <c r="M155" s="30">
        <f>IFERROR(VLOOKUP($A155,HeadJournal!$A$1:$J$890,COLUMN(HeadJournal!I$1),0)*($K155+$L155)/(SUMIF($A:$A,$A155,$K:$K)+SUMIF($A:$A,$A155,$L:$L)),0)</f>
        <v>0</v>
      </c>
      <c r="N155" s="30">
        <f>IFERROR((VLOOKUP($A155,HeadJournal!$A$1:$K$890,COLUMN(HeadJournal!K$1),0)-VLOOKUP($A155,HeadJournal!$A$1:$K$890,COLUMN(HeadJournal!J$1),0))*($K155+$L155)/(SUMIF($A:$A,$A155,$K:$K)+SUMIF($A:$A,$A155,$L:$L)),0)</f>
        <v>-16.440677966101696</v>
      </c>
      <c r="O155" s="30">
        <f>IFERROR((VLOOKUP($A155,HeadJournal!$A$1:$L$890,COLUMN(HeadJournal!L$1),0)*($K155+$L155)/(SUMIF($A:$A,$A155,$K:$K)+SUMIF($A:$A,$A155,$L:$L)))/VLOOKUP($A155,HeadJournal!$A$1:$L$890,COLUMN(HeadJournal!H$1),0),0)</f>
        <v>0</v>
      </c>
      <c r="P155" s="30">
        <f>IFERROR(SUM(K155:O155)*VLOOKUP($A155,HeadJournal!$A$1:$L$890,COLUMN(HeadJournal!H$1),0),0)</f>
        <v>464.44915254237287</v>
      </c>
      <c r="Q155" s="29">
        <v>1200</v>
      </c>
      <c r="R155" s="31">
        <v>44891</v>
      </c>
      <c r="S155" s="31" t="s">
        <v>3121</v>
      </c>
      <c r="T155" s="95" t="str">
        <f t="shared" si="14"/>
        <v>2022 11</v>
      </c>
      <c r="U155" s="32">
        <f t="shared" si="11"/>
        <v>735.55084745762713</v>
      </c>
      <c r="V155" s="22">
        <f t="shared" si="12"/>
        <v>1.5837058662530792</v>
      </c>
      <c r="X155" s="33"/>
      <c r="Y155" s="33"/>
    </row>
    <row r="156" spans="1:26" x14ac:dyDescent="0.2">
      <c r="A156" s="93" t="s">
        <v>105</v>
      </c>
      <c r="B156" s="94">
        <f>IFERROR(VLOOKUP($A156,HeadJournal!$A$1:$NTR$890,COLUMN(HeadJournal!B$1),0),"")</f>
        <v>0</v>
      </c>
      <c r="C156" s="94" t="str">
        <f>IFERROR(VLOOKUP($A156,HeadJournal!$A$1:$NTR$890,COLUMN(HeadJournal!C$1),0),"")</f>
        <v>Anna</v>
      </c>
      <c r="D156" s="125" t="str">
        <f>IFERROR(VLOOKUP($A156,HeadJournal!$A$1:$NTR$890,COLUMN(HeadJournal!D$1),0),"")</f>
        <v>Доставлен</v>
      </c>
      <c r="E156" s="95">
        <f>IFERROR(VLOOKUP($A156,HeadJournal!$A$1:$NTR$890,COLUMN(HeadJournal!G$1),0),"")</f>
        <v>44850</v>
      </c>
      <c r="F156" s="95" t="str">
        <f t="shared" si="13"/>
        <v>2022 10</v>
      </c>
      <c r="G156" s="96" t="s">
        <v>5</v>
      </c>
      <c r="H156" s="160" t="str">
        <f>RIGHT(Journal!$J156,9)</f>
        <v>NOW-05975</v>
      </c>
      <c r="I156" s="96" t="str">
        <f t="shared" si="15"/>
        <v>NOW Foods</v>
      </c>
      <c r="J156" s="97" t="s">
        <v>109</v>
      </c>
      <c r="K156" s="29">
        <v>480</v>
      </c>
      <c r="L156" s="29"/>
      <c r="M156" s="30">
        <f>IFERROR(VLOOKUP($A156,HeadJournal!$A$1:$J$890,COLUMN(HeadJournal!I$1),0)*($K156+$L156)/(SUMIF($A:$A,$A156,$K:$K)+SUMIF($A:$A,$A156,$L:$L)),0)</f>
        <v>0</v>
      </c>
      <c r="N156" s="30">
        <f>IFERROR((VLOOKUP($A156,HeadJournal!$A$1:$K$890,COLUMN(HeadJournal!K$1),0)-VLOOKUP($A156,HeadJournal!$A$1:$K$890,COLUMN(HeadJournal!J$1),0))*($K156+$L156)/(SUMIF($A:$A,$A156,$K:$K)+SUMIF($A:$A,$A156,$L:$L)),0)</f>
        <v>-20.338983050847457</v>
      </c>
      <c r="O156" s="30">
        <f>IFERROR((VLOOKUP($A156,HeadJournal!$A$1:$L$890,COLUMN(HeadJournal!L$1),0)*($K156+$L156)/(SUMIF($A:$A,$A156,$K:$K)+SUMIF($A:$A,$A156,$L:$L)))/VLOOKUP($A156,HeadJournal!$A$1:$L$890,COLUMN(HeadJournal!H$1),0),0)</f>
        <v>0</v>
      </c>
      <c r="P156" s="30">
        <f>IFERROR(SUM(K156:O156)*VLOOKUP($A156,HeadJournal!$A$1:$L$890,COLUMN(HeadJournal!H$1),0),0)</f>
        <v>574.57627118644064</v>
      </c>
      <c r="Q156" s="29">
        <v>1900</v>
      </c>
      <c r="R156" s="31">
        <v>45299</v>
      </c>
      <c r="S156" s="31" t="s">
        <v>3121</v>
      </c>
      <c r="T156" s="95" t="str">
        <f t="shared" si="14"/>
        <v>2024 01</v>
      </c>
      <c r="U156" s="32">
        <f t="shared" si="11"/>
        <v>1325.4237288135594</v>
      </c>
      <c r="V156" s="22">
        <f t="shared" si="12"/>
        <v>2.306784660766962</v>
      </c>
      <c r="X156" s="33"/>
      <c r="Y156" s="33"/>
    </row>
    <row r="157" spans="1:26" x14ac:dyDescent="0.2">
      <c r="A157" s="93" t="s">
        <v>105</v>
      </c>
      <c r="B157" s="94">
        <f>IFERROR(VLOOKUP($A157,HeadJournal!$A$1:$NTR$890,COLUMN(HeadJournal!B$1),0),"")</f>
        <v>0</v>
      </c>
      <c r="C157" s="94" t="str">
        <f>IFERROR(VLOOKUP($A157,HeadJournal!$A$1:$NTR$890,COLUMN(HeadJournal!C$1),0),"")</f>
        <v>Anna</v>
      </c>
      <c r="D157" s="125" t="str">
        <f>IFERROR(VLOOKUP($A157,HeadJournal!$A$1:$NTR$890,COLUMN(HeadJournal!D$1),0),"")</f>
        <v>Доставлен</v>
      </c>
      <c r="E157" s="95">
        <f>IFERROR(VLOOKUP($A157,HeadJournal!$A$1:$NTR$890,COLUMN(HeadJournal!G$1),0),"")</f>
        <v>44850</v>
      </c>
      <c r="F157" s="95" t="str">
        <f t="shared" si="13"/>
        <v>2022 10</v>
      </c>
      <c r="G157" s="96" t="s">
        <v>5</v>
      </c>
      <c r="H157" s="160" t="str">
        <f>RIGHT(Journal!$J157,9)</f>
        <v>NOW-03775</v>
      </c>
      <c r="I157" s="96" t="str">
        <f t="shared" si="15"/>
        <v>NOW Foods</v>
      </c>
      <c r="J157" s="97" t="s">
        <v>110</v>
      </c>
      <c r="K157" s="29">
        <v>260</v>
      </c>
      <c r="L157" s="29"/>
      <c r="M157" s="30">
        <f>IFERROR(VLOOKUP($A157,HeadJournal!$A$1:$J$890,COLUMN(HeadJournal!I$1),0)*($K157+$L157)/(SUMIF($A:$A,$A157,$K:$K)+SUMIF($A:$A,$A157,$L:$L)),0)</f>
        <v>0</v>
      </c>
      <c r="N157" s="30">
        <f>IFERROR((VLOOKUP($A157,HeadJournal!$A$1:$K$890,COLUMN(HeadJournal!K$1),0)-VLOOKUP($A157,HeadJournal!$A$1:$K$890,COLUMN(HeadJournal!J$1),0))*($K157+$L157)/(SUMIF($A:$A,$A157,$K:$K)+SUMIF($A:$A,$A157,$L:$L)),0)</f>
        <v>-11.016949152542374</v>
      </c>
      <c r="O157" s="30">
        <f>IFERROR((VLOOKUP($A157,HeadJournal!$A$1:$L$890,COLUMN(HeadJournal!L$1),0)*($K157+$L157)/(SUMIF($A:$A,$A157,$K:$K)+SUMIF($A:$A,$A157,$L:$L)))/VLOOKUP($A157,HeadJournal!$A$1:$L$890,COLUMN(HeadJournal!H$1),0),0)</f>
        <v>0</v>
      </c>
      <c r="P157" s="30">
        <f>IFERROR(SUM(K157:O157)*VLOOKUP($A157,HeadJournal!$A$1:$L$890,COLUMN(HeadJournal!H$1),0),0)</f>
        <v>311.22881355932202</v>
      </c>
      <c r="Q157" s="29">
        <v>800</v>
      </c>
      <c r="R157" s="31">
        <v>44851</v>
      </c>
      <c r="S157" s="31" t="s">
        <v>3121</v>
      </c>
      <c r="T157" s="95" t="str">
        <f t="shared" si="14"/>
        <v>2022 10</v>
      </c>
      <c r="U157" s="32">
        <f t="shared" si="11"/>
        <v>488.77118644067798</v>
      </c>
      <c r="V157" s="22">
        <f t="shared" si="12"/>
        <v>1.5704560925799864</v>
      </c>
      <c r="X157" s="33"/>
      <c r="Y157" s="33"/>
    </row>
    <row r="158" spans="1:26" x14ac:dyDescent="0.2">
      <c r="A158" s="93" t="s">
        <v>105</v>
      </c>
      <c r="B158" s="94">
        <f>IFERROR(VLOOKUP($A158,HeadJournal!$A$1:$NTR$890,COLUMN(HeadJournal!B$1),0),"")</f>
        <v>0</v>
      </c>
      <c r="C158" s="94" t="str">
        <f>IFERROR(VLOOKUP($A158,HeadJournal!$A$1:$NTR$890,COLUMN(HeadJournal!C$1),0),"")</f>
        <v>Anna</v>
      </c>
      <c r="D158" s="125" t="str">
        <f>IFERROR(VLOOKUP($A158,HeadJournal!$A$1:$NTR$890,COLUMN(HeadJournal!D$1),0),"")</f>
        <v>Доставлен</v>
      </c>
      <c r="E158" s="95">
        <f>IFERROR(VLOOKUP($A158,HeadJournal!$A$1:$NTR$890,COLUMN(HeadJournal!G$1),0),"")</f>
        <v>44850</v>
      </c>
      <c r="F158" s="95" t="str">
        <f t="shared" si="13"/>
        <v>2022 10</v>
      </c>
      <c r="G158" s="96" t="s">
        <v>5</v>
      </c>
      <c r="H158" s="160" t="str">
        <f>RIGHT(Journal!$J158,9)</f>
        <v>NOW-02696</v>
      </c>
      <c r="I158" s="96" t="str">
        <f t="shared" si="15"/>
        <v>NOW Foods</v>
      </c>
      <c r="J158" s="97" t="s">
        <v>111</v>
      </c>
      <c r="K158" s="29">
        <v>276</v>
      </c>
      <c r="L158" s="29"/>
      <c r="M158" s="30">
        <f>IFERROR(VLOOKUP($A158,HeadJournal!$A$1:$J$890,COLUMN(HeadJournal!I$1),0)*($K158+$L158)/(SUMIF($A:$A,$A158,$K:$K)+SUMIF($A:$A,$A158,$L:$L)),0)</f>
        <v>0</v>
      </c>
      <c r="N158" s="30">
        <f>IFERROR((VLOOKUP($A158,HeadJournal!$A$1:$K$890,COLUMN(HeadJournal!K$1),0)-VLOOKUP($A158,HeadJournal!$A$1:$K$890,COLUMN(HeadJournal!J$1),0))*($K158+$L158)/(SUMIF($A:$A,$A158,$K:$K)+SUMIF($A:$A,$A158,$L:$L)),0)</f>
        <v>-11.694915254237289</v>
      </c>
      <c r="O158" s="30">
        <f>IFERROR((VLOOKUP($A158,HeadJournal!$A$1:$L$890,COLUMN(HeadJournal!L$1),0)*($K158+$L158)/(SUMIF($A:$A,$A158,$K:$K)+SUMIF($A:$A,$A158,$L:$L)))/VLOOKUP($A158,HeadJournal!$A$1:$L$890,COLUMN(HeadJournal!H$1),0),0)</f>
        <v>0</v>
      </c>
      <c r="P158" s="30">
        <f>IFERROR(SUM(K158:O158)*VLOOKUP($A158,HeadJournal!$A$1:$L$890,COLUMN(HeadJournal!H$1),0),0)</f>
        <v>330.38135593220341</v>
      </c>
      <c r="Q158" s="29">
        <v>900</v>
      </c>
      <c r="R158" s="31">
        <v>44877</v>
      </c>
      <c r="S158" s="31" t="s">
        <v>3121</v>
      </c>
      <c r="T158" s="95" t="str">
        <f t="shared" si="14"/>
        <v>2022 11</v>
      </c>
      <c r="U158" s="32">
        <f t="shared" si="11"/>
        <v>569.61864406779659</v>
      </c>
      <c r="V158" s="22">
        <f t="shared" si="12"/>
        <v>1.7241246633320506</v>
      </c>
      <c r="X158" s="33"/>
      <c r="Y158" s="33"/>
    </row>
    <row r="159" spans="1:26" x14ac:dyDescent="0.2">
      <c r="A159" s="93" t="s">
        <v>105</v>
      </c>
      <c r="B159" s="94">
        <f>IFERROR(VLOOKUP($A159,HeadJournal!$A$1:$NTR$890,COLUMN(HeadJournal!B$1),0),"")</f>
        <v>0</v>
      </c>
      <c r="C159" s="94" t="str">
        <f>IFERROR(VLOOKUP($A159,HeadJournal!$A$1:$NTR$890,COLUMN(HeadJournal!C$1),0),"")</f>
        <v>Anna</v>
      </c>
      <c r="D159" s="125" t="str">
        <f>IFERROR(VLOOKUP($A159,HeadJournal!$A$1:$NTR$890,COLUMN(HeadJournal!D$1),0),"")</f>
        <v>Доставлен</v>
      </c>
      <c r="E159" s="95">
        <f>IFERROR(VLOOKUP($A159,HeadJournal!$A$1:$NTR$890,COLUMN(HeadJournal!G$1),0),"")</f>
        <v>44850</v>
      </c>
      <c r="F159" s="95" t="str">
        <f t="shared" si="13"/>
        <v>2022 10</v>
      </c>
      <c r="G159" s="96" t="s">
        <v>5</v>
      </c>
      <c r="H159" s="160" t="str">
        <f>RIGHT(Journal!$J159,9)</f>
        <v>NFS-02815</v>
      </c>
      <c r="I159" s="96" t="str">
        <f t="shared" si="15"/>
        <v>Natural Factors</v>
      </c>
      <c r="J159" s="97" t="s">
        <v>112</v>
      </c>
      <c r="K159" s="29">
        <v>456</v>
      </c>
      <c r="L159" s="29"/>
      <c r="M159" s="30">
        <f>IFERROR(VLOOKUP($A159,HeadJournal!$A$1:$J$890,COLUMN(HeadJournal!I$1),0)*($K159+$L159)/(SUMIF($A:$A,$A159,$K:$K)+SUMIF($A:$A,$A159,$L:$L)),0)</f>
        <v>0</v>
      </c>
      <c r="N159" s="30">
        <f>IFERROR((VLOOKUP($A159,HeadJournal!$A$1:$K$890,COLUMN(HeadJournal!K$1),0)-VLOOKUP($A159,HeadJournal!$A$1:$K$890,COLUMN(HeadJournal!J$1),0))*($K159+$L159)/(SUMIF($A:$A,$A159,$K:$K)+SUMIF($A:$A,$A159,$L:$L)),0)</f>
        <v>-19.322033898305083</v>
      </c>
      <c r="O159" s="30">
        <f>IFERROR((VLOOKUP($A159,HeadJournal!$A$1:$L$890,COLUMN(HeadJournal!L$1),0)*($K159+$L159)/(SUMIF($A:$A,$A159,$K:$K)+SUMIF($A:$A,$A159,$L:$L)))/VLOOKUP($A159,HeadJournal!$A$1:$L$890,COLUMN(HeadJournal!H$1),0),0)</f>
        <v>0</v>
      </c>
      <c r="P159" s="30">
        <f>IFERROR(SUM(K159:O159)*VLOOKUP($A159,HeadJournal!$A$1:$L$890,COLUMN(HeadJournal!H$1),0),0)</f>
        <v>545.84745762711862</v>
      </c>
      <c r="Q159" s="29">
        <v>1300</v>
      </c>
      <c r="R159" s="31">
        <v>44894</v>
      </c>
      <c r="S159" s="31" t="s">
        <v>3121</v>
      </c>
      <c r="T159" s="95" t="str">
        <f t="shared" si="14"/>
        <v>2022 11</v>
      </c>
      <c r="U159" s="32">
        <f t="shared" si="11"/>
        <v>754.15254237288138</v>
      </c>
      <c r="V159" s="22">
        <f t="shared" si="12"/>
        <v>1.3816177612172025</v>
      </c>
      <c r="X159" s="33"/>
      <c r="Y159" s="33"/>
    </row>
    <row r="160" spans="1:26" x14ac:dyDescent="0.2">
      <c r="A160" s="93" t="s">
        <v>105</v>
      </c>
      <c r="B160" s="94">
        <f>IFERROR(VLOOKUP($A160,HeadJournal!$A$1:$NTR$890,COLUMN(HeadJournal!B$1),0),"")</f>
        <v>0</v>
      </c>
      <c r="C160" s="94" t="str">
        <f>IFERROR(VLOOKUP($A160,HeadJournal!$A$1:$NTR$890,COLUMN(HeadJournal!C$1),0),"")</f>
        <v>Anna</v>
      </c>
      <c r="D160" s="125" t="str">
        <f>IFERROR(VLOOKUP($A160,HeadJournal!$A$1:$NTR$890,COLUMN(HeadJournal!D$1),0),"")</f>
        <v>Доставлен</v>
      </c>
      <c r="E160" s="95">
        <f>IFERROR(VLOOKUP($A160,HeadJournal!$A$1:$NTR$890,COLUMN(HeadJournal!G$1),0),"")</f>
        <v>44850</v>
      </c>
      <c r="F160" s="95" t="str">
        <f t="shared" si="13"/>
        <v>2022 10</v>
      </c>
      <c r="G160" s="96" t="s">
        <v>5</v>
      </c>
      <c r="H160" s="160" t="str">
        <f>RIGHT(Journal!$J160,9)</f>
        <v>AMH-16971</v>
      </c>
      <c r="I160" s="96" t="str">
        <f t="shared" si="15"/>
        <v>American Health</v>
      </c>
      <c r="J160" s="97" t="s">
        <v>61</v>
      </c>
      <c r="K160" s="29">
        <v>464</v>
      </c>
      <c r="L160" s="29"/>
      <c r="M160" s="30">
        <f>IFERROR(VLOOKUP($A160,HeadJournal!$A$1:$J$890,COLUMN(HeadJournal!I$1),0)*($K160+$L160)/(SUMIF($A:$A,$A160,$K:$K)+SUMIF($A:$A,$A160,$L:$L)),0)</f>
        <v>0</v>
      </c>
      <c r="N160" s="30">
        <f>IFERROR((VLOOKUP($A160,HeadJournal!$A$1:$K$890,COLUMN(HeadJournal!K$1),0)-VLOOKUP($A160,HeadJournal!$A$1:$K$890,COLUMN(HeadJournal!J$1),0))*($K160+$L160)/(SUMIF($A:$A,$A160,$K:$K)+SUMIF($A:$A,$A160,$L:$L)),0)</f>
        <v>-19.661016949152543</v>
      </c>
      <c r="O160" s="30">
        <f>IFERROR((VLOOKUP($A160,HeadJournal!$A$1:$L$890,COLUMN(HeadJournal!L$1),0)*($K160+$L160)/(SUMIF($A:$A,$A160,$K:$K)+SUMIF($A:$A,$A160,$L:$L)))/VLOOKUP($A160,HeadJournal!$A$1:$L$890,COLUMN(HeadJournal!H$1),0),0)</f>
        <v>0</v>
      </c>
      <c r="P160" s="30">
        <f>IFERROR(SUM(K160:O160)*VLOOKUP($A160,HeadJournal!$A$1:$L$890,COLUMN(HeadJournal!H$1),0),0)</f>
        <v>555.42372881355936</v>
      </c>
      <c r="Q160" s="29">
        <v>1200</v>
      </c>
      <c r="R160" s="31">
        <v>44852</v>
      </c>
      <c r="S160" s="31" t="s">
        <v>3121</v>
      </c>
      <c r="T160" s="95" t="str">
        <f t="shared" si="14"/>
        <v>2022 10</v>
      </c>
      <c r="U160" s="32">
        <f t="shared" si="11"/>
        <v>644.57627118644064</v>
      </c>
      <c r="V160" s="22">
        <f t="shared" si="12"/>
        <v>1.1605126640219712</v>
      </c>
      <c r="X160" s="33"/>
      <c r="Y160" s="33"/>
    </row>
    <row r="161" spans="1:25" x14ac:dyDescent="0.2">
      <c r="A161" s="93" t="s">
        <v>105</v>
      </c>
      <c r="B161" s="94">
        <f>IFERROR(VLOOKUP($A161,HeadJournal!$A$1:$NTR$890,COLUMN(HeadJournal!B$1),0),"")</f>
        <v>0</v>
      </c>
      <c r="C161" s="94" t="str">
        <f>IFERROR(VLOOKUP($A161,HeadJournal!$A$1:$NTR$890,COLUMN(HeadJournal!C$1),0),"")</f>
        <v>Anna</v>
      </c>
      <c r="D161" s="125" t="str">
        <f>IFERROR(VLOOKUP($A161,HeadJournal!$A$1:$NTR$890,COLUMN(HeadJournal!D$1),0),"")</f>
        <v>Доставлен</v>
      </c>
      <c r="E161" s="95">
        <f>IFERROR(VLOOKUP($A161,HeadJournal!$A$1:$NTR$890,COLUMN(HeadJournal!G$1),0),"")</f>
        <v>44850</v>
      </c>
      <c r="F161" s="95" t="str">
        <f t="shared" si="13"/>
        <v>2022 10</v>
      </c>
      <c r="G161" s="96" t="s">
        <v>6</v>
      </c>
      <c r="H161" s="160" t="str">
        <f>RIGHT(Journal!$J161,9)</f>
        <v>CGN-01126</v>
      </c>
      <c r="I161" s="96" t="str">
        <f t="shared" si="15"/>
        <v>California Gold Nutrition</v>
      </c>
      <c r="J161" s="97" t="s">
        <v>113</v>
      </c>
      <c r="K161" s="29">
        <v>208</v>
      </c>
      <c r="L161" s="29"/>
      <c r="M161" s="30">
        <f>IFERROR(VLOOKUP($A161,HeadJournal!$A$1:$J$890,COLUMN(HeadJournal!I$1),0)*($K161+$L161)/(SUMIF($A:$A,$A161,$K:$K)+SUMIF($A:$A,$A161,$L:$L)),0)</f>
        <v>0</v>
      </c>
      <c r="N161" s="30">
        <f>IFERROR((VLOOKUP($A161,HeadJournal!$A$1:$K$890,COLUMN(HeadJournal!K$1),0)-VLOOKUP($A161,HeadJournal!$A$1:$K$890,COLUMN(HeadJournal!J$1),0))*($K161+$L161)/(SUMIF($A:$A,$A161,$K:$K)+SUMIF($A:$A,$A161,$L:$L)),0)</f>
        <v>-8.8135593220338979</v>
      </c>
      <c r="O161" s="30">
        <f>IFERROR((VLOOKUP($A161,HeadJournal!$A$1:$L$890,COLUMN(HeadJournal!L$1),0)*($K161+$L161)/(SUMIF($A:$A,$A161,$K:$K)+SUMIF($A:$A,$A161,$L:$L)))/VLOOKUP($A161,HeadJournal!$A$1:$L$890,COLUMN(HeadJournal!H$1),0),0)</f>
        <v>0</v>
      </c>
      <c r="P161" s="30">
        <f>IFERROR(SUM(K161:O161)*VLOOKUP($A161,HeadJournal!$A$1:$L$890,COLUMN(HeadJournal!H$1),0),0)</f>
        <v>248.9830508474576</v>
      </c>
      <c r="Q161" s="29">
        <v>800</v>
      </c>
      <c r="R161" s="31">
        <v>44880</v>
      </c>
      <c r="S161" s="31" t="s">
        <v>3121</v>
      </c>
      <c r="T161" s="95" t="str">
        <f t="shared" si="14"/>
        <v>2022 11</v>
      </c>
      <c r="U161" s="32">
        <f t="shared" si="11"/>
        <v>551.01694915254234</v>
      </c>
      <c r="V161" s="22">
        <f t="shared" si="12"/>
        <v>2.213070115724983</v>
      </c>
      <c r="X161" s="33"/>
      <c r="Y161" s="33"/>
    </row>
    <row r="162" spans="1:25" x14ac:dyDescent="0.2">
      <c r="A162" s="93" t="s">
        <v>105</v>
      </c>
      <c r="B162" s="94">
        <f>IFERROR(VLOOKUP($A162,HeadJournal!$A$1:$NTR$890,COLUMN(HeadJournal!B$1),0),"")</f>
        <v>0</v>
      </c>
      <c r="C162" s="94" t="str">
        <f>IFERROR(VLOOKUP($A162,HeadJournal!$A$1:$NTR$890,COLUMN(HeadJournal!C$1),0),"")</f>
        <v>Anna</v>
      </c>
      <c r="D162" s="125" t="str">
        <f>IFERROR(VLOOKUP($A162,HeadJournal!$A$1:$NTR$890,COLUMN(HeadJournal!D$1),0),"")</f>
        <v>Доставлен</v>
      </c>
      <c r="E162" s="95">
        <f>IFERROR(VLOOKUP($A162,HeadJournal!$A$1:$NTR$890,COLUMN(HeadJournal!G$1),0),"")</f>
        <v>44850</v>
      </c>
      <c r="F162" s="95" t="str">
        <f t="shared" si="13"/>
        <v>2022 10</v>
      </c>
      <c r="G162" s="96" t="s">
        <v>5</v>
      </c>
      <c r="H162" s="175" t="s">
        <v>3643</v>
      </c>
      <c r="I162" s="176" t="s">
        <v>2102</v>
      </c>
      <c r="J162" s="97" t="s">
        <v>3693</v>
      </c>
      <c r="K162" s="29">
        <v>600</v>
      </c>
      <c r="L162" s="29"/>
      <c r="M162" s="30">
        <f>IFERROR(VLOOKUP($A162,HeadJournal!$A$1:$J$890,COLUMN(HeadJournal!I$1),0)*($K162+$L162)/(SUMIF($A:$A,$A162,$K:$K)+SUMIF($A:$A,$A162,$L:$L)),0)</f>
        <v>0</v>
      </c>
      <c r="N162" s="30">
        <f>IFERROR((VLOOKUP($A162,HeadJournal!$A$1:$K$890,COLUMN(HeadJournal!K$1),0)-VLOOKUP($A162,HeadJournal!$A$1:$K$890,COLUMN(HeadJournal!J$1),0))*($K162+$L162)/(SUMIF($A:$A,$A162,$K:$K)+SUMIF($A:$A,$A162,$L:$L)),0)</f>
        <v>-25.423728813559322</v>
      </c>
      <c r="O162" s="30">
        <f>IFERROR((VLOOKUP($A162,HeadJournal!$A$1:$L$890,COLUMN(HeadJournal!L$1),0)*($K162+$L162)/(SUMIF($A:$A,$A162,$K:$K)+SUMIF($A:$A,$A162,$L:$L)))/VLOOKUP($A162,HeadJournal!$A$1:$L$890,COLUMN(HeadJournal!H$1),0),0)</f>
        <v>0</v>
      </c>
      <c r="P162" s="30">
        <f>IFERROR(SUM(K162:O162)*VLOOKUP($A162,HeadJournal!$A$1:$L$890,COLUMN(HeadJournal!H$1),0),0)</f>
        <v>718.22033898305085</v>
      </c>
      <c r="Q162" s="29">
        <v>718.22</v>
      </c>
      <c r="R162" s="31">
        <v>44805</v>
      </c>
      <c r="S162" s="31" t="s">
        <v>3121</v>
      </c>
      <c r="T162" s="95" t="str">
        <f t="shared" si="14"/>
        <v>2022 09</v>
      </c>
      <c r="U162" s="32">
        <f t="shared" si="11"/>
        <v>-3.3898305082402658E-4</v>
      </c>
      <c r="V162" s="22">
        <f t="shared" si="12"/>
        <v>-4.7197640114731723E-7</v>
      </c>
      <c r="X162" s="33"/>
      <c r="Y162" s="33"/>
    </row>
    <row r="163" spans="1:25" x14ac:dyDescent="0.2">
      <c r="A163" s="93" t="s">
        <v>105</v>
      </c>
      <c r="B163" s="94">
        <f>IFERROR(VLOOKUP($A163,HeadJournal!$A$1:$NTR$890,COLUMN(HeadJournal!B$1),0),"")</f>
        <v>0</v>
      </c>
      <c r="C163" s="94" t="str">
        <f>IFERROR(VLOOKUP($A163,HeadJournal!$A$1:$NTR$890,COLUMN(HeadJournal!C$1),0),"")</f>
        <v>Anna</v>
      </c>
      <c r="D163" s="125" t="str">
        <f>IFERROR(VLOOKUP($A163,HeadJournal!$A$1:$NTR$890,COLUMN(HeadJournal!D$1),0),"")</f>
        <v>Доставлен</v>
      </c>
      <c r="E163" s="95">
        <f>IFERROR(VLOOKUP($A163,HeadJournal!$A$1:$NTR$890,COLUMN(HeadJournal!G$1),0),"")</f>
        <v>44850</v>
      </c>
      <c r="F163" s="95" t="str">
        <f t="shared" si="13"/>
        <v>2022 10</v>
      </c>
      <c r="G163" s="96" t="s">
        <v>5</v>
      </c>
      <c r="H163" s="160" t="str">
        <f>RIGHT(Journal!$J163,9)</f>
        <v>NOW-07756</v>
      </c>
      <c r="I163" s="96" t="str">
        <f t="shared" si="15"/>
        <v>NOW Foods</v>
      </c>
      <c r="J163" s="97" t="s">
        <v>114</v>
      </c>
      <c r="K163" s="29">
        <v>388</v>
      </c>
      <c r="L163" s="29"/>
      <c r="M163" s="30">
        <f>IFERROR(VLOOKUP($A163,HeadJournal!$A$1:$J$890,COLUMN(HeadJournal!I$1),0)*($K163+$L163)/(SUMIF($A:$A,$A163,$K:$K)+SUMIF($A:$A,$A163,$L:$L)),0)</f>
        <v>0</v>
      </c>
      <c r="N163" s="30">
        <f>IFERROR((VLOOKUP($A163,HeadJournal!$A$1:$K$890,COLUMN(HeadJournal!K$1),0)-VLOOKUP($A163,HeadJournal!$A$1:$K$890,COLUMN(HeadJournal!J$1),0))*($K163+$L163)/(SUMIF($A:$A,$A163,$K:$K)+SUMIF($A:$A,$A163,$L:$L)),0)</f>
        <v>-16.440677966101696</v>
      </c>
      <c r="O163" s="30">
        <f>IFERROR((VLOOKUP($A163,HeadJournal!$A$1:$L$890,COLUMN(HeadJournal!L$1),0)*($K163+$L163)/(SUMIF($A:$A,$A163,$K:$K)+SUMIF($A:$A,$A163,$L:$L)))/VLOOKUP($A163,HeadJournal!$A$1:$L$890,COLUMN(HeadJournal!H$1),0),0)</f>
        <v>0</v>
      </c>
      <c r="P163" s="30">
        <f>IFERROR(SUM(K163:O163)*VLOOKUP($A163,HeadJournal!$A$1:$L$890,COLUMN(HeadJournal!H$1),0),0)</f>
        <v>464.44915254237287</v>
      </c>
      <c r="Q163" s="29">
        <v>900</v>
      </c>
      <c r="R163" s="31">
        <v>44877</v>
      </c>
      <c r="S163" s="31" t="s">
        <v>3121</v>
      </c>
      <c r="T163" s="95" t="str">
        <f t="shared" si="14"/>
        <v>2022 11</v>
      </c>
      <c r="U163" s="32">
        <f t="shared" si="11"/>
        <v>435.55084745762713</v>
      </c>
      <c r="V163" s="22">
        <f t="shared" si="12"/>
        <v>0.93777939968980939</v>
      </c>
      <c r="X163" s="33"/>
      <c r="Y163" s="33"/>
    </row>
    <row r="164" spans="1:25" x14ac:dyDescent="0.2">
      <c r="A164" s="93" t="s">
        <v>105</v>
      </c>
      <c r="B164" s="94">
        <f>IFERROR(VLOOKUP($A164,HeadJournal!$A$1:$NTR$890,COLUMN(HeadJournal!B$1),0),"")</f>
        <v>0</v>
      </c>
      <c r="C164" s="94" t="str">
        <f>IFERROR(VLOOKUP($A164,HeadJournal!$A$1:$NTR$890,COLUMN(HeadJournal!C$1),0),"")</f>
        <v>Anna</v>
      </c>
      <c r="D164" s="125" t="str">
        <f>IFERROR(VLOOKUP($A164,HeadJournal!$A$1:$NTR$890,COLUMN(HeadJournal!D$1),0),"")</f>
        <v>Доставлен</v>
      </c>
      <c r="E164" s="95">
        <f>IFERROR(VLOOKUP($A164,HeadJournal!$A$1:$NTR$890,COLUMN(HeadJournal!G$1),0),"")</f>
        <v>44850</v>
      </c>
      <c r="F164" s="95" t="str">
        <f t="shared" si="13"/>
        <v>2022 10</v>
      </c>
      <c r="G164" s="96" t="s">
        <v>5</v>
      </c>
      <c r="H164" s="161" t="s">
        <v>2223</v>
      </c>
      <c r="I164" s="97" t="s">
        <v>2008</v>
      </c>
      <c r="J164" s="97" t="s">
        <v>2224</v>
      </c>
      <c r="K164" s="29">
        <v>452</v>
      </c>
      <c r="L164" s="29"/>
      <c r="M164" s="30">
        <f>IFERROR(VLOOKUP($A164,HeadJournal!$A$1:$J$890,COLUMN(HeadJournal!I$1),0)*($K164+$L164)/(SUMIF($A:$A,$A164,$K:$K)+SUMIF($A:$A,$A164,$L:$L)),0)</f>
        <v>0</v>
      </c>
      <c r="N164" s="30">
        <f>IFERROR((VLOOKUP($A164,HeadJournal!$A$1:$K$890,COLUMN(HeadJournal!K$1),0)-VLOOKUP($A164,HeadJournal!$A$1:$K$890,COLUMN(HeadJournal!J$1),0))*($K164+$L164)/(SUMIF($A:$A,$A164,$K:$K)+SUMIF($A:$A,$A164,$L:$L)),0)</f>
        <v>-19.152542372881356</v>
      </c>
      <c r="O164" s="30">
        <f>IFERROR((VLOOKUP($A164,HeadJournal!$A$1:$L$890,COLUMN(HeadJournal!L$1),0)*($K164+$L164)/(SUMIF($A:$A,$A164,$K:$K)+SUMIF($A:$A,$A164,$L:$L)))/VLOOKUP($A164,HeadJournal!$A$1:$L$890,COLUMN(HeadJournal!H$1),0),0)</f>
        <v>0</v>
      </c>
      <c r="P164" s="30">
        <f>IFERROR(SUM(K164:O164)*VLOOKUP($A164,HeadJournal!$A$1:$L$890,COLUMN(HeadJournal!H$1),0),0)</f>
        <v>541.0593220338983</v>
      </c>
      <c r="Q164" s="29">
        <v>1400</v>
      </c>
      <c r="R164" s="31">
        <v>44898</v>
      </c>
      <c r="S164" s="31" t="s">
        <v>3121</v>
      </c>
      <c r="T164" s="95" t="str">
        <f t="shared" si="14"/>
        <v>2022 12</v>
      </c>
      <c r="U164" s="32">
        <f t="shared" si="11"/>
        <v>858.9406779661017</v>
      </c>
      <c r="V164" s="22">
        <f t="shared" si="12"/>
        <v>1.5875166418670217</v>
      </c>
      <c r="X164" s="33"/>
      <c r="Y164" s="33"/>
    </row>
    <row r="165" spans="1:25" x14ac:dyDescent="0.2">
      <c r="A165" s="93" t="s">
        <v>105</v>
      </c>
      <c r="B165" s="94">
        <f>IFERROR(VLOOKUP($A165,HeadJournal!$A$1:$NTR$890,COLUMN(HeadJournal!B$1),0),"")</f>
        <v>0</v>
      </c>
      <c r="C165" s="94" t="str">
        <f>IFERROR(VLOOKUP($A165,HeadJournal!$A$1:$NTR$890,COLUMN(HeadJournal!C$1),0),"")</f>
        <v>Anna</v>
      </c>
      <c r="D165" s="125" t="str">
        <f>IFERROR(VLOOKUP($A165,HeadJournal!$A$1:$NTR$890,COLUMN(HeadJournal!D$1),0),"")</f>
        <v>Доставлен</v>
      </c>
      <c r="E165" s="95">
        <f>IFERROR(VLOOKUP($A165,HeadJournal!$A$1:$NTR$890,COLUMN(HeadJournal!G$1),0),"")</f>
        <v>44850</v>
      </c>
      <c r="F165" s="95" t="str">
        <f t="shared" si="13"/>
        <v>2022 10</v>
      </c>
      <c r="G165" s="96" t="s">
        <v>5</v>
      </c>
      <c r="H165" s="160" t="str">
        <f>RIGHT(Journal!$J165,9)</f>
        <v>LEX-17406</v>
      </c>
      <c r="I165" s="96" t="str">
        <f t="shared" si="15"/>
        <v>Life Extension</v>
      </c>
      <c r="J165" s="97" t="s">
        <v>115</v>
      </c>
      <c r="K165" s="29">
        <v>276</v>
      </c>
      <c r="L165" s="29"/>
      <c r="M165" s="30">
        <f>IFERROR(VLOOKUP($A165,HeadJournal!$A$1:$J$890,COLUMN(HeadJournal!I$1),0)*($K165+$L165)/(SUMIF($A:$A,$A165,$K:$K)+SUMIF($A:$A,$A165,$L:$L)),0)</f>
        <v>0</v>
      </c>
      <c r="N165" s="30">
        <f>IFERROR((VLOOKUP($A165,HeadJournal!$A$1:$K$890,COLUMN(HeadJournal!K$1),0)-VLOOKUP($A165,HeadJournal!$A$1:$K$890,COLUMN(HeadJournal!J$1),0))*($K165+$L165)/(SUMIF($A:$A,$A165,$K:$K)+SUMIF($A:$A,$A165,$L:$L)),0)</f>
        <v>-11.694915254237289</v>
      </c>
      <c r="O165" s="30">
        <f>IFERROR((VLOOKUP($A165,HeadJournal!$A$1:$L$890,COLUMN(HeadJournal!L$1),0)*($K165+$L165)/(SUMIF($A:$A,$A165,$K:$K)+SUMIF($A:$A,$A165,$L:$L)))/VLOOKUP($A165,HeadJournal!$A$1:$L$890,COLUMN(HeadJournal!H$1),0),0)</f>
        <v>0</v>
      </c>
      <c r="P165" s="30">
        <f>IFERROR(SUM(K165:O165)*VLOOKUP($A165,HeadJournal!$A$1:$L$890,COLUMN(HeadJournal!H$1),0),0)</f>
        <v>330.38135593220341</v>
      </c>
      <c r="Q165" s="29">
        <v>900</v>
      </c>
      <c r="R165" s="31">
        <v>44876</v>
      </c>
      <c r="S165" s="31" t="s">
        <v>3121</v>
      </c>
      <c r="T165" s="95" t="str">
        <f t="shared" si="14"/>
        <v>2022 11</v>
      </c>
      <c r="U165" s="32">
        <f t="shared" si="11"/>
        <v>569.61864406779659</v>
      </c>
      <c r="V165" s="22">
        <f t="shared" si="12"/>
        <v>1.7241246633320506</v>
      </c>
      <c r="X165" s="33"/>
      <c r="Y165" s="33"/>
    </row>
    <row r="166" spans="1:25" x14ac:dyDescent="0.2">
      <c r="A166" s="93" t="s">
        <v>105</v>
      </c>
      <c r="B166" s="94">
        <f>IFERROR(VLOOKUP($A166,HeadJournal!$A$1:$NTR$890,COLUMN(HeadJournal!B$1),0),"")</f>
        <v>0</v>
      </c>
      <c r="C166" s="94" t="str">
        <f>IFERROR(VLOOKUP($A166,HeadJournal!$A$1:$NTR$890,COLUMN(HeadJournal!C$1),0),"")</f>
        <v>Anna</v>
      </c>
      <c r="D166" s="125" t="str">
        <f>IFERROR(VLOOKUP($A166,HeadJournal!$A$1:$NTR$890,COLUMN(HeadJournal!D$1),0),"")</f>
        <v>Доставлен</v>
      </c>
      <c r="E166" s="95">
        <f>IFERROR(VLOOKUP($A166,HeadJournal!$A$1:$NTR$890,COLUMN(HeadJournal!G$1),0),"")</f>
        <v>44850</v>
      </c>
      <c r="F166" s="95" t="str">
        <f t="shared" si="13"/>
        <v>2022 10</v>
      </c>
      <c r="G166" s="96" t="s">
        <v>5</v>
      </c>
      <c r="H166" s="175" t="s">
        <v>3650</v>
      </c>
      <c r="I166" s="176" t="s">
        <v>2042</v>
      </c>
      <c r="J166" s="97" t="s">
        <v>3699</v>
      </c>
      <c r="K166" s="29">
        <v>604</v>
      </c>
      <c r="L166" s="29"/>
      <c r="M166" s="30">
        <f>IFERROR(VLOOKUP($A166,HeadJournal!$A$1:$J$890,COLUMN(HeadJournal!I$1),0)*($K166+$L166)/(SUMIF($A:$A,$A166,$K:$K)+SUMIF($A:$A,$A166,$L:$L)),0)</f>
        <v>0</v>
      </c>
      <c r="N166" s="30">
        <f>IFERROR((VLOOKUP($A166,HeadJournal!$A$1:$K$890,COLUMN(HeadJournal!K$1),0)-VLOOKUP($A166,HeadJournal!$A$1:$K$890,COLUMN(HeadJournal!J$1),0))*($K166+$L166)/(SUMIF($A:$A,$A166,$K:$K)+SUMIF($A:$A,$A166,$L:$L)),0)</f>
        <v>-25.593220338983052</v>
      </c>
      <c r="O166" s="30">
        <f>IFERROR((VLOOKUP($A166,HeadJournal!$A$1:$L$890,COLUMN(HeadJournal!L$1),0)*($K166+$L166)/(SUMIF($A:$A,$A166,$K:$K)+SUMIF($A:$A,$A166,$L:$L)))/VLOOKUP($A166,HeadJournal!$A$1:$L$890,COLUMN(HeadJournal!H$1),0),0)</f>
        <v>0</v>
      </c>
      <c r="P166" s="30">
        <f>IFERROR(SUM(K166:O166)*VLOOKUP($A166,HeadJournal!$A$1:$L$890,COLUMN(HeadJournal!H$1),0),0)</f>
        <v>723.00847457627117</v>
      </c>
      <c r="Q166" s="29">
        <v>1700</v>
      </c>
      <c r="R166" s="31">
        <v>44857</v>
      </c>
      <c r="S166" s="31" t="s">
        <v>3121</v>
      </c>
      <c r="T166" s="95" t="str">
        <f t="shared" si="14"/>
        <v>2022 10</v>
      </c>
      <c r="U166" s="32">
        <f t="shared" si="11"/>
        <v>976.99152542372883</v>
      </c>
      <c r="V166" s="22">
        <f t="shared" si="12"/>
        <v>1.3512864091894743</v>
      </c>
      <c r="X166" s="33"/>
      <c r="Y166" s="33"/>
    </row>
    <row r="167" spans="1:25" x14ac:dyDescent="0.2">
      <c r="A167" s="93" t="s">
        <v>105</v>
      </c>
      <c r="B167" s="94">
        <f>IFERROR(VLOOKUP($A167,HeadJournal!$A$1:$NTR$890,COLUMN(HeadJournal!B$1),0),"")</f>
        <v>0</v>
      </c>
      <c r="C167" s="94" t="str">
        <f>IFERROR(VLOOKUP($A167,HeadJournal!$A$1:$NTR$890,COLUMN(HeadJournal!C$1),0),"")</f>
        <v>Anna</v>
      </c>
      <c r="D167" s="125" t="str">
        <f>IFERROR(VLOOKUP($A167,HeadJournal!$A$1:$NTR$890,COLUMN(HeadJournal!D$1),0),"")</f>
        <v>Доставлен</v>
      </c>
      <c r="E167" s="95">
        <f>IFERROR(VLOOKUP($A167,HeadJournal!$A$1:$NTR$890,COLUMN(HeadJournal!G$1),0),"")</f>
        <v>44850</v>
      </c>
      <c r="F167" s="95" t="str">
        <f t="shared" si="13"/>
        <v>2022 10</v>
      </c>
      <c r="G167" s="96" t="s">
        <v>5</v>
      </c>
      <c r="H167" s="161" t="s">
        <v>2696</v>
      </c>
      <c r="I167" s="97" t="s">
        <v>2052</v>
      </c>
      <c r="J167" s="97" t="s">
        <v>2697</v>
      </c>
      <c r="K167" s="29">
        <v>380</v>
      </c>
      <c r="L167" s="29"/>
      <c r="M167" s="30">
        <f>IFERROR(VLOOKUP($A167,HeadJournal!$A$1:$J$890,COLUMN(HeadJournal!I$1),0)*($K167+$L167)/(SUMIF($A:$A,$A167,$K:$K)+SUMIF($A:$A,$A167,$L:$L)),0)</f>
        <v>0</v>
      </c>
      <c r="N167" s="30">
        <f>IFERROR((VLOOKUP($A167,HeadJournal!$A$1:$K$890,COLUMN(HeadJournal!K$1),0)-VLOOKUP($A167,HeadJournal!$A$1:$K$890,COLUMN(HeadJournal!J$1),0))*($K167+$L167)/(SUMIF($A:$A,$A167,$K:$K)+SUMIF($A:$A,$A167,$L:$L)),0)</f>
        <v>-16.101694915254239</v>
      </c>
      <c r="O167" s="30">
        <f>IFERROR((VLOOKUP($A167,HeadJournal!$A$1:$L$890,COLUMN(HeadJournal!L$1),0)*($K167+$L167)/(SUMIF($A:$A,$A167,$K:$K)+SUMIF($A:$A,$A167,$L:$L)))/VLOOKUP($A167,HeadJournal!$A$1:$L$890,COLUMN(HeadJournal!H$1),0),0)</f>
        <v>0</v>
      </c>
      <c r="P167" s="30">
        <f>IFERROR(SUM(K167:O167)*VLOOKUP($A167,HeadJournal!$A$1:$L$890,COLUMN(HeadJournal!H$1),0),0)</f>
        <v>454.87288135593218</v>
      </c>
      <c r="Q167" s="29">
        <v>900</v>
      </c>
      <c r="R167" s="31">
        <v>44857</v>
      </c>
      <c r="S167" s="31" t="s">
        <v>3121</v>
      </c>
      <c r="T167" s="95" t="str">
        <f t="shared" si="14"/>
        <v>2022 10</v>
      </c>
      <c r="U167" s="32">
        <f t="shared" si="11"/>
        <v>445.12711864406782</v>
      </c>
      <c r="V167" s="22">
        <f t="shared" si="12"/>
        <v>0.97857475547275274</v>
      </c>
      <c r="X167" s="33"/>
      <c r="Y167" s="33"/>
    </row>
    <row r="168" spans="1:25" x14ac:dyDescent="0.2">
      <c r="A168" s="93" t="s">
        <v>105</v>
      </c>
      <c r="B168" s="94">
        <f>IFERROR(VLOOKUP($A168,HeadJournal!$A$1:$NTR$890,COLUMN(HeadJournal!B$1),0),"")</f>
        <v>0</v>
      </c>
      <c r="C168" s="94" t="str">
        <f>IFERROR(VLOOKUP($A168,HeadJournal!$A$1:$NTR$890,COLUMN(HeadJournal!C$1),0),"")</f>
        <v>Anna</v>
      </c>
      <c r="D168" s="125" t="str">
        <f>IFERROR(VLOOKUP($A168,HeadJournal!$A$1:$NTR$890,COLUMN(HeadJournal!D$1),0),"")</f>
        <v>Доставлен</v>
      </c>
      <c r="E168" s="95">
        <f>IFERROR(VLOOKUP($A168,HeadJournal!$A$1:$NTR$890,COLUMN(HeadJournal!G$1),0),"")</f>
        <v>44850</v>
      </c>
      <c r="F168" s="95" t="str">
        <f t="shared" si="13"/>
        <v>2022 10</v>
      </c>
      <c r="G168" s="96" t="s">
        <v>5</v>
      </c>
      <c r="H168" s="161" t="s">
        <v>2696</v>
      </c>
      <c r="I168" s="97" t="s">
        <v>2052</v>
      </c>
      <c r="J168" s="97" t="s">
        <v>2697</v>
      </c>
      <c r="K168" s="29">
        <v>380</v>
      </c>
      <c r="L168" s="29"/>
      <c r="M168" s="30">
        <f>IFERROR(VLOOKUP($A168,HeadJournal!$A$1:$J$890,COLUMN(HeadJournal!I$1),0)*($K168+$L168)/(SUMIF($A:$A,$A168,$K:$K)+SUMIF($A:$A,$A168,$L:$L)),0)</f>
        <v>0</v>
      </c>
      <c r="N168" s="30">
        <f>IFERROR((VLOOKUP($A168,HeadJournal!$A$1:$K$890,COLUMN(HeadJournal!K$1),0)-VLOOKUP($A168,HeadJournal!$A$1:$K$890,COLUMN(HeadJournal!J$1),0))*($K168+$L168)/(SUMIF($A:$A,$A168,$K:$K)+SUMIF($A:$A,$A168,$L:$L)),0)</f>
        <v>-16.101694915254239</v>
      </c>
      <c r="O168" s="30">
        <f>IFERROR((VLOOKUP($A168,HeadJournal!$A$1:$L$890,COLUMN(HeadJournal!L$1),0)*($K168+$L168)/(SUMIF($A:$A,$A168,$K:$K)+SUMIF($A:$A,$A168,$L:$L)))/VLOOKUP($A168,HeadJournal!$A$1:$L$890,COLUMN(HeadJournal!H$1),0),0)</f>
        <v>0</v>
      </c>
      <c r="P168" s="30">
        <f>IFERROR(SUM(K168:O168)*VLOOKUP($A168,HeadJournal!$A$1:$L$890,COLUMN(HeadJournal!H$1),0),0)</f>
        <v>454.87288135593218</v>
      </c>
      <c r="Q168" s="29">
        <v>900</v>
      </c>
      <c r="R168" s="31">
        <v>44857</v>
      </c>
      <c r="S168" s="31" t="s">
        <v>3121</v>
      </c>
      <c r="T168" s="95" t="str">
        <f t="shared" si="14"/>
        <v>2022 10</v>
      </c>
      <c r="U168" s="32">
        <f t="shared" si="11"/>
        <v>445.12711864406782</v>
      </c>
      <c r="V168" s="22">
        <f t="shared" si="12"/>
        <v>0.97857475547275274</v>
      </c>
      <c r="X168" s="33"/>
      <c r="Y168" s="33"/>
    </row>
    <row r="169" spans="1:25" x14ac:dyDescent="0.2">
      <c r="A169" s="93" t="s">
        <v>105</v>
      </c>
      <c r="B169" s="94">
        <f>IFERROR(VLOOKUP($A169,HeadJournal!$A$1:$NTR$890,COLUMN(HeadJournal!B$1),0),"")</f>
        <v>0</v>
      </c>
      <c r="C169" s="94" t="str">
        <f>IFERROR(VLOOKUP($A169,HeadJournal!$A$1:$NTR$890,COLUMN(HeadJournal!C$1),0),"")</f>
        <v>Anna</v>
      </c>
      <c r="D169" s="125" t="str">
        <f>IFERROR(VLOOKUP($A169,HeadJournal!$A$1:$NTR$890,COLUMN(HeadJournal!D$1),0),"")</f>
        <v>Доставлен</v>
      </c>
      <c r="E169" s="95">
        <f>IFERROR(VLOOKUP($A169,HeadJournal!$A$1:$NTR$890,COLUMN(HeadJournal!G$1),0),"")</f>
        <v>44850</v>
      </c>
      <c r="F169" s="95" t="str">
        <f t="shared" si="13"/>
        <v>2022 10</v>
      </c>
      <c r="G169" s="96" t="s">
        <v>5</v>
      </c>
      <c r="H169" s="161" t="s">
        <v>2223</v>
      </c>
      <c r="I169" s="97" t="s">
        <v>2008</v>
      </c>
      <c r="J169" s="97" t="s">
        <v>2224</v>
      </c>
      <c r="K169" s="29">
        <v>452</v>
      </c>
      <c r="L169" s="29"/>
      <c r="M169" s="30">
        <f>IFERROR(VLOOKUP($A169,HeadJournal!$A$1:$J$890,COLUMN(HeadJournal!I$1),0)*($K169+$L169)/(SUMIF($A:$A,$A169,$K:$K)+SUMIF($A:$A,$A169,$L:$L)),0)</f>
        <v>0</v>
      </c>
      <c r="N169" s="30">
        <f>IFERROR((VLOOKUP($A169,HeadJournal!$A$1:$K$890,COLUMN(HeadJournal!K$1),0)-VLOOKUP($A169,HeadJournal!$A$1:$K$890,COLUMN(HeadJournal!J$1),0))*($K169+$L169)/(SUMIF($A:$A,$A169,$K:$K)+SUMIF($A:$A,$A169,$L:$L)),0)</f>
        <v>-19.152542372881356</v>
      </c>
      <c r="O169" s="30">
        <f>IFERROR((VLOOKUP($A169,HeadJournal!$A$1:$L$890,COLUMN(HeadJournal!L$1),0)*($K169+$L169)/(SUMIF($A:$A,$A169,$K:$K)+SUMIF($A:$A,$A169,$L:$L)))/VLOOKUP($A169,HeadJournal!$A$1:$L$890,COLUMN(HeadJournal!H$1),0),0)</f>
        <v>0</v>
      </c>
      <c r="P169" s="30">
        <f>IFERROR(SUM(K169:O169)*VLOOKUP($A169,HeadJournal!$A$1:$L$890,COLUMN(HeadJournal!H$1),0),0)</f>
        <v>541.0593220338983</v>
      </c>
      <c r="Q169" s="29">
        <v>1400</v>
      </c>
      <c r="R169" s="31">
        <v>44857</v>
      </c>
      <c r="S169" s="31" t="s">
        <v>3121</v>
      </c>
      <c r="T169" s="95" t="str">
        <f t="shared" si="14"/>
        <v>2022 10</v>
      </c>
      <c r="U169" s="32">
        <f t="shared" si="11"/>
        <v>858.9406779661017</v>
      </c>
      <c r="V169" s="22">
        <f t="shared" si="12"/>
        <v>1.5875166418670217</v>
      </c>
      <c r="X169" s="33"/>
      <c r="Y169" s="33"/>
    </row>
    <row r="170" spans="1:25" x14ac:dyDescent="0.2">
      <c r="A170" s="93" t="s">
        <v>105</v>
      </c>
      <c r="B170" s="94">
        <f>IFERROR(VLOOKUP($A170,HeadJournal!$A$1:$NTR$890,COLUMN(HeadJournal!B$1),0),"")</f>
        <v>0</v>
      </c>
      <c r="C170" s="94" t="str">
        <f>IFERROR(VLOOKUP($A170,HeadJournal!$A$1:$NTR$890,COLUMN(HeadJournal!C$1),0),"")</f>
        <v>Anna</v>
      </c>
      <c r="D170" s="125" t="str">
        <f>IFERROR(VLOOKUP($A170,HeadJournal!$A$1:$NTR$890,COLUMN(HeadJournal!D$1),0),"")</f>
        <v>Доставлен</v>
      </c>
      <c r="E170" s="95">
        <f>IFERROR(VLOOKUP($A170,HeadJournal!$A$1:$NTR$890,COLUMN(HeadJournal!G$1),0),"")</f>
        <v>44850</v>
      </c>
      <c r="F170" s="95" t="str">
        <f t="shared" si="13"/>
        <v>2022 10</v>
      </c>
      <c r="G170" s="96" t="s">
        <v>5</v>
      </c>
      <c r="H170" s="160" t="str">
        <f>RIGHT(Journal!$J170,9)</f>
        <v>NOW-03775</v>
      </c>
      <c r="I170" s="96" t="str">
        <f t="shared" si="15"/>
        <v>NOW Foods</v>
      </c>
      <c r="J170" s="97" t="s">
        <v>110</v>
      </c>
      <c r="K170" s="29">
        <v>260</v>
      </c>
      <c r="L170" s="29"/>
      <c r="M170" s="30">
        <f>IFERROR(VLOOKUP($A170,HeadJournal!$A$1:$J$890,COLUMN(HeadJournal!I$1),0)*($K170+$L170)/(SUMIF($A:$A,$A170,$K:$K)+SUMIF($A:$A,$A170,$L:$L)),0)</f>
        <v>0</v>
      </c>
      <c r="N170" s="30">
        <f>IFERROR((VLOOKUP($A170,HeadJournal!$A$1:$K$890,COLUMN(HeadJournal!K$1),0)-VLOOKUP($A170,HeadJournal!$A$1:$K$890,COLUMN(HeadJournal!J$1),0))*($K170+$L170)/(SUMIF($A:$A,$A170,$K:$K)+SUMIF($A:$A,$A170,$L:$L)),0)</f>
        <v>-11.016949152542374</v>
      </c>
      <c r="O170" s="30">
        <f>IFERROR((VLOOKUP($A170,HeadJournal!$A$1:$L$890,COLUMN(HeadJournal!L$1),0)*($K170+$L170)/(SUMIF($A:$A,$A170,$K:$K)+SUMIF($A:$A,$A170,$L:$L)))/VLOOKUP($A170,HeadJournal!$A$1:$L$890,COLUMN(HeadJournal!H$1),0),0)</f>
        <v>0</v>
      </c>
      <c r="P170" s="30">
        <f>IFERROR(SUM(K170:O170)*VLOOKUP($A170,HeadJournal!$A$1:$L$890,COLUMN(HeadJournal!H$1),0),0)</f>
        <v>311.22881355932202</v>
      </c>
      <c r="Q170" s="29">
        <v>800</v>
      </c>
      <c r="R170" s="31">
        <v>44867</v>
      </c>
      <c r="S170" s="31" t="s">
        <v>3121</v>
      </c>
      <c r="T170" s="95" t="str">
        <f t="shared" si="14"/>
        <v>2022 11</v>
      </c>
      <c r="U170" s="32">
        <f t="shared" si="11"/>
        <v>488.77118644067798</v>
      </c>
      <c r="V170" s="22">
        <f t="shared" si="12"/>
        <v>1.5704560925799864</v>
      </c>
      <c r="X170" s="33"/>
      <c r="Y170" s="33"/>
    </row>
    <row r="171" spans="1:25" x14ac:dyDescent="0.2">
      <c r="A171" s="93" t="s">
        <v>105</v>
      </c>
      <c r="B171" s="94">
        <f>IFERROR(VLOOKUP($A171,HeadJournal!$A$1:$NTR$890,COLUMN(HeadJournal!B$1),0),"")</f>
        <v>0</v>
      </c>
      <c r="C171" s="94" t="str">
        <f>IFERROR(VLOOKUP($A171,HeadJournal!$A$1:$NTR$890,COLUMN(HeadJournal!C$1),0),"")</f>
        <v>Anna</v>
      </c>
      <c r="D171" s="125" t="str">
        <f>IFERROR(VLOOKUP($A171,HeadJournal!$A$1:$NTR$890,COLUMN(HeadJournal!D$1),0),"")</f>
        <v>Доставлен</v>
      </c>
      <c r="E171" s="95">
        <f>IFERROR(VLOOKUP($A171,HeadJournal!$A$1:$NTR$890,COLUMN(HeadJournal!G$1),0),"")</f>
        <v>44850</v>
      </c>
      <c r="F171" s="95" t="str">
        <f t="shared" si="13"/>
        <v>2022 10</v>
      </c>
      <c r="G171" s="96" t="s">
        <v>5</v>
      </c>
      <c r="H171" s="175" t="s">
        <v>3643</v>
      </c>
      <c r="I171" s="176" t="s">
        <v>2102</v>
      </c>
      <c r="J171" s="97" t="s">
        <v>3693</v>
      </c>
      <c r="K171" s="29">
        <v>600</v>
      </c>
      <c r="L171" s="29"/>
      <c r="M171" s="30">
        <f>IFERROR(VLOOKUP($A171,HeadJournal!$A$1:$J$890,COLUMN(HeadJournal!I$1),0)*($K171+$L171)/(SUMIF($A:$A,$A171,$K:$K)+SUMIF($A:$A,$A171,$L:$L)),0)</f>
        <v>0</v>
      </c>
      <c r="N171" s="30">
        <f>IFERROR((VLOOKUP($A171,HeadJournal!$A$1:$K$890,COLUMN(HeadJournal!K$1),0)-VLOOKUP($A171,HeadJournal!$A$1:$K$890,COLUMN(HeadJournal!J$1),0))*($K171+$L171)/(SUMIF($A:$A,$A171,$K:$K)+SUMIF($A:$A,$A171,$L:$L)),0)</f>
        <v>-25.423728813559322</v>
      </c>
      <c r="O171" s="30">
        <f>IFERROR((VLOOKUP($A171,HeadJournal!$A$1:$L$890,COLUMN(HeadJournal!L$1),0)*($K171+$L171)/(SUMIF($A:$A,$A171,$K:$K)+SUMIF($A:$A,$A171,$L:$L)))/VLOOKUP($A171,HeadJournal!$A$1:$L$890,COLUMN(HeadJournal!H$1),0),0)</f>
        <v>0</v>
      </c>
      <c r="P171" s="30">
        <f>IFERROR(SUM(K171:O171)*VLOOKUP($A171,HeadJournal!$A$1:$L$890,COLUMN(HeadJournal!H$1),0),0)</f>
        <v>718.22033898305085</v>
      </c>
      <c r="Q171" s="29">
        <v>1700</v>
      </c>
      <c r="R171" s="31">
        <v>44852</v>
      </c>
      <c r="S171" s="31" t="s">
        <v>3121</v>
      </c>
      <c r="T171" s="95" t="str">
        <f t="shared" si="14"/>
        <v>2022 10</v>
      </c>
      <c r="U171" s="32">
        <f t="shared" si="11"/>
        <v>981.77966101694915</v>
      </c>
      <c r="V171" s="22">
        <f t="shared" si="12"/>
        <v>1.3669616519174042</v>
      </c>
      <c r="X171" s="33"/>
      <c r="Y171" s="33"/>
    </row>
    <row r="172" spans="1:25" x14ac:dyDescent="0.2">
      <c r="A172" s="93" t="s">
        <v>116</v>
      </c>
      <c r="B172" s="94">
        <f>IFERROR(VLOOKUP($A172,HeadJournal!$A$1:$NTR$890,COLUMN(HeadJournal!B$1),0),"")</f>
        <v>0</v>
      </c>
      <c r="C172" s="94" t="str">
        <f>IFERROR(VLOOKUP($A172,HeadJournal!$A$1:$NTR$890,COLUMN(HeadJournal!C$1),0),"")</f>
        <v>OZON_AV</v>
      </c>
      <c r="D172" s="125" t="str">
        <f>IFERROR(VLOOKUP($A172,HeadJournal!$A$1:$NTR$890,COLUMN(HeadJournal!D$1),0),"")</f>
        <v>Доставлен</v>
      </c>
      <c r="E172" s="95">
        <f>IFERROR(VLOOKUP($A172,HeadJournal!$A$1:$NTR$890,COLUMN(HeadJournal!G$1),0),"")</f>
        <v>44853</v>
      </c>
      <c r="F172" s="95" t="str">
        <f t="shared" si="13"/>
        <v>2022 10</v>
      </c>
      <c r="G172" s="96" t="s">
        <v>6</v>
      </c>
      <c r="H172" s="160" t="str">
        <f>RIGHT(Journal!$J172,9)</f>
        <v>310130219</v>
      </c>
      <c r="I172" s="96" t="str">
        <f t="shared" si="15"/>
        <v>BIG</v>
      </c>
      <c r="J172" s="97" t="s">
        <v>117</v>
      </c>
      <c r="K172" s="29">
        <v>535.20000000000005</v>
      </c>
      <c r="L172" s="29"/>
      <c r="M172" s="30">
        <f>IFERROR(VLOOKUP($A172,HeadJournal!$A$1:$J$890,COLUMN(HeadJournal!I$1),0)*($K172+$L172)/(SUMIF($A:$A,$A172,$K:$K)+SUMIF($A:$A,$A172,$L:$L)),0)</f>
        <v>0</v>
      </c>
      <c r="N172" s="30">
        <f>IFERROR((VLOOKUP($A172,HeadJournal!$A$1:$K$890,COLUMN(HeadJournal!K$1),0)-VLOOKUP($A172,HeadJournal!$A$1:$K$890,COLUMN(HeadJournal!J$1),0))*($K172+$L172)/(SUMIF($A:$A,$A172,$K:$K)+SUMIF($A:$A,$A172,$L:$L)),0)</f>
        <v>-4.6339348079162175</v>
      </c>
      <c r="O172" s="30">
        <f>IFERROR((VLOOKUP($A172,HeadJournal!$A$1:$L$890,COLUMN(HeadJournal!L$1),0)*($K172+$L172)/(SUMIF($A:$A,$A172,$K:$K)+SUMIF($A:$A,$A172,$L:$L)))/VLOOKUP($A172,HeadJournal!$A$1:$L$890,COLUMN(HeadJournal!H$1),0),0)</f>
        <v>61.370430733410942</v>
      </c>
      <c r="P172" s="30">
        <f>IFERROR(SUM(K172:O172)*VLOOKUP($A172,HeadJournal!$A$1:$L$890,COLUMN(HeadJournal!H$1),0),0)</f>
        <v>739.9206199068683</v>
      </c>
      <c r="Q172" s="29">
        <v>1500</v>
      </c>
      <c r="R172" s="31">
        <v>44857</v>
      </c>
      <c r="S172" s="31" t="s">
        <v>3121</v>
      </c>
      <c r="T172" s="95" t="str">
        <f t="shared" si="14"/>
        <v>2022 10</v>
      </c>
      <c r="U172" s="32">
        <f t="shared" si="11"/>
        <v>760.0793800931317</v>
      </c>
      <c r="V172" s="22">
        <f t="shared" si="12"/>
        <v>1.0272444903465465</v>
      </c>
      <c r="X172" s="33"/>
      <c r="Y172" s="33"/>
    </row>
    <row r="173" spans="1:25" x14ac:dyDescent="0.2">
      <c r="A173" s="93" t="s">
        <v>116</v>
      </c>
      <c r="B173" s="94">
        <f>IFERROR(VLOOKUP($A173,HeadJournal!$A$1:$NTR$890,COLUMN(HeadJournal!B$1),0),"")</f>
        <v>0</v>
      </c>
      <c r="C173" s="94" t="str">
        <f>IFERROR(VLOOKUP($A173,HeadJournal!$A$1:$NTR$890,COLUMN(HeadJournal!C$1),0),"")</f>
        <v>OZON_AV</v>
      </c>
      <c r="D173" s="125" t="str">
        <f>IFERROR(VLOOKUP($A173,HeadJournal!$A$1:$NTR$890,COLUMN(HeadJournal!D$1),0),"")</f>
        <v>Доставлен</v>
      </c>
      <c r="E173" s="95">
        <f>IFERROR(VLOOKUP($A173,HeadJournal!$A$1:$NTR$890,COLUMN(HeadJournal!G$1),0),"")</f>
        <v>44853</v>
      </c>
      <c r="F173" s="95" t="str">
        <f t="shared" si="13"/>
        <v>2022 10</v>
      </c>
      <c r="G173" s="96" t="s">
        <v>6</v>
      </c>
      <c r="H173" s="160" t="str">
        <f>RIGHT(Journal!$J173,9)</f>
        <v>170919152</v>
      </c>
      <c r="I173" s="96" t="str">
        <f t="shared" si="15"/>
        <v>PRIMEKRAFT</v>
      </c>
      <c r="J173" s="97" t="s">
        <v>1054</v>
      </c>
      <c r="K173" s="29">
        <v>839.2</v>
      </c>
      <c r="L173" s="29"/>
      <c r="M173" s="30">
        <f>IFERROR(VLOOKUP($A173,HeadJournal!$A$1:$J$890,COLUMN(HeadJournal!I$1),0)*($K173+$L173)/(SUMIF($A:$A,$A173,$K:$K)+SUMIF($A:$A,$A173,$L:$L)),0)</f>
        <v>0</v>
      </c>
      <c r="N173" s="30">
        <f>IFERROR((VLOOKUP($A173,HeadJournal!$A$1:$K$890,COLUMN(HeadJournal!K$1),0)-VLOOKUP($A173,HeadJournal!$A$1:$K$890,COLUMN(HeadJournal!J$1),0))*($K173+$L173)/(SUMIF($A:$A,$A173,$K:$K)+SUMIF($A:$A,$A173,$L:$L)),0)</f>
        <v>-7.2660651920838735</v>
      </c>
      <c r="O173" s="30">
        <f>IFERROR((VLOOKUP($A173,HeadJournal!$A$1:$L$890,COLUMN(HeadJournal!L$1),0)*($K173+$L173)/(SUMIF($A:$A,$A173,$K:$K)+SUMIF($A:$A,$A173,$L:$L)))/VLOOKUP($A173,HeadJournal!$A$1:$L$890,COLUMN(HeadJournal!H$1),0),0)</f>
        <v>96.229569266589067</v>
      </c>
      <c r="P173" s="30">
        <f>IFERROR(SUM(K173:O173)*VLOOKUP($A173,HeadJournal!$A$1:$L$890,COLUMN(HeadJournal!H$1),0),0)</f>
        <v>1160.2043800931315</v>
      </c>
      <c r="Q173" s="29">
        <v>1700</v>
      </c>
      <c r="R173" s="31">
        <v>44869</v>
      </c>
      <c r="S173" s="31" t="s">
        <v>3121</v>
      </c>
      <c r="T173" s="95" t="str">
        <f t="shared" si="14"/>
        <v>2022 11</v>
      </c>
      <c r="U173" s="32">
        <f t="shared" si="11"/>
        <v>539.79561990686852</v>
      </c>
      <c r="V173" s="22">
        <f t="shared" si="12"/>
        <v>0.46525907777002035</v>
      </c>
      <c r="X173" s="33"/>
      <c r="Y173" s="33"/>
    </row>
    <row r="174" spans="1:25" x14ac:dyDescent="0.2">
      <c r="A174" s="93" t="s">
        <v>118</v>
      </c>
      <c r="B174" s="94">
        <f>IFERROR(VLOOKUP($A174,HeadJournal!$A$1:$NTR$890,COLUMN(HeadJournal!B$1),0),"")</f>
        <v>0</v>
      </c>
      <c r="C174" s="94" t="str">
        <f>IFERROR(VLOOKUP($A174,HeadJournal!$A$1:$NTR$890,COLUMN(HeadJournal!C$1),0),"")</f>
        <v>Roman</v>
      </c>
      <c r="D174" s="125" t="str">
        <f>IFERROR(VLOOKUP($A174,HeadJournal!$A$1:$NTR$890,COLUMN(HeadJournal!D$1),0),"")</f>
        <v>Доставлен</v>
      </c>
      <c r="E174" s="95">
        <f>IFERROR(VLOOKUP($A174,HeadJournal!$A$1:$NTR$890,COLUMN(HeadJournal!G$1),0),"")</f>
        <v>44858</v>
      </c>
      <c r="F174" s="95" t="str">
        <f t="shared" si="13"/>
        <v>2022 10</v>
      </c>
      <c r="G174" s="96" t="s">
        <v>5</v>
      </c>
      <c r="H174" s="161" t="s">
        <v>2051</v>
      </c>
      <c r="I174" s="97" t="s">
        <v>2052</v>
      </c>
      <c r="J174" s="97" t="s">
        <v>3097</v>
      </c>
      <c r="K174" s="29">
        <v>800</v>
      </c>
      <c r="L174" s="29"/>
      <c r="M174" s="30">
        <f>IFERROR(VLOOKUP($A174,HeadJournal!$A$1:$J$890,COLUMN(HeadJournal!I$1),0)*($K174+$L174)/(SUMIF($A:$A,$A174,$K:$K)+SUMIF($A:$A,$A174,$L:$L)),0)</f>
        <v>0</v>
      </c>
      <c r="N174" s="30">
        <f>IFERROR((VLOOKUP($A174,HeadJournal!$A$1:$K$890,COLUMN(HeadJournal!K$1),0)-VLOOKUP($A174,HeadJournal!$A$1:$K$890,COLUMN(HeadJournal!J$1),0))*($K174+$L174)/(SUMIF($A:$A,$A174,$K:$K)+SUMIF($A:$A,$A174,$L:$L)),0)</f>
        <v>0</v>
      </c>
      <c r="O174" s="30">
        <f>IFERROR((VLOOKUP($A174,HeadJournal!$A$1:$L$890,COLUMN(HeadJournal!L$1),0)*($K174+$L174)/(SUMIF($A:$A,$A174,$K:$K)+SUMIF($A:$A,$A174,$L:$L)))/VLOOKUP($A174,HeadJournal!$A$1:$L$890,COLUMN(HeadJournal!H$1),0),0)</f>
        <v>0</v>
      </c>
      <c r="P174" s="30">
        <f>IFERROR(SUM(K174:O174)*VLOOKUP($A174,HeadJournal!$A$1:$L$890,COLUMN(HeadJournal!H$1),0),0)</f>
        <v>1000</v>
      </c>
      <c r="Q174" s="29">
        <v>2000</v>
      </c>
      <c r="R174" s="31">
        <v>44859</v>
      </c>
      <c r="S174" s="31" t="s">
        <v>3121</v>
      </c>
      <c r="T174" s="95" t="str">
        <f t="shared" si="14"/>
        <v>2022 10</v>
      </c>
      <c r="U174" s="32">
        <f t="shared" si="11"/>
        <v>1000</v>
      </c>
      <c r="V174" s="22">
        <f t="shared" si="12"/>
        <v>1</v>
      </c>
      <c r="X174" s="33"/>
      <c r="Y174" s="33"/>
    </row>
    <row r="175" spans="1:25" x14ac:dyDescent="0.2">
      <c r="A175" s="93" t="s">
        <v>118</v>
      </c>
      <c r="B175" s="94">
        <f>IFERROR(VLOOKUP($A175,HeadJournal!$A$1:$NTR$890,COLUMN(HeadJournal!B$1),0),"")</f>
        <v>0</v>
      </c>
      <c r="C175" s="94" t="str">
        <f>IFERROR(VLOOKUP($A175,HeadJournal!$A$1:$NTR$890,COLUMN(HeadJournal!C$1),0),"")</f>
        <v>Roman</v>
      </c>
      <c r="D175" s="125" t="str">
        <f>IFERROR(VLOOKUP($A175,HeadJournal!$A$1:$NTR$890,COLUMN(HeadJournal!D$1),0),"")</f>
        <v>Доставлен</v>
      </c>
      <c r="E175" s="95">
        <f>IFERROR(VLOOKUP($A175,HeadJournal!$A$1:$NTR$890,COLUMN(HeadJournal!G$1),0),"")</f>
        <v>44858</v>
      </c>
      <c r="F175" s="95" t="str">
        <f t="shared" si="13"/>
        <v>2022 10</v>
      </c>
      <c r="G175" s="96" t="s">
        <v>5</v>
      </c>
      <c r="H175" s="161" t="s">
        <v>2051</v>
      </c>
      <c r="I175" s="97" t="s">
        <v>2052</v>
      </c>
      <c r="J175" s="97" t="s">
        <v>3097</v>
      </c>
      <c r="K175" s="29">
        <v>800</v>
      </c>
      <c r="L175" s="29"/>
      <c r="M175" s="30">
        <f>IFERROR(VLOOKUP($A175,HeadJournal!$A$1:$J$890,COLUMN(HeadJournal!I$1),0)*($K175+$L175)/(SUMIF($A:$A,$A175,$K:$K)+SUMIF($A:$A,$A175,$L:$L)),0)</f>
        <v>0</v>
      </c>
      <c r="N175" s="30">
        <f>IFERROR((VLOOKUP($A175,HeadJournal!$A$1:$K$890,COLUMN(HeadJournal!K$1),0)-VLOOKUP($A175,HeadJournal!$A$1:$K$890,COLUMN(HeadJournal!J$1),0))*($K175+$L175)/(SUMIF($A:$A,$A175,$K:$K)+SUMIF($A:$A,$A175,$L:$L)),0)</f>
        <v>0</v>
      </c>
      <c r="O175" s="30">
        <f>IFERROR((VLOOKUP($A175,HeadJournal!$A$1:$L$890,COLUMN(HeadJournal!L$1),0)*($K175+$L175)/(SUMIF($A:$A,$A175,$K:$K)+SUMIF($A:$A,$A175,$L:$L)))/VLOOKUP($A175,HeadJournal!$A$1:$L$890,COLUMN(HeadJournal!H$1),0),0)</f>
        <v>0</v>
      </c>
      <c r="P175" s="30">
        <f>IFERROR(SUM(K175:O175)*VLOOKUP($A175,HeadJournal!$A$1:$L$890,COLUMN(HeadJournal!H$1),0),0)</f>
        <v>1000</v>
      </c>
      <c r="Q175" s="29">
        <v>2000</v>
      </c>
      <c r="R175" s="31">
        <v>44863</v>
      </c>
      <c r="S175" s="31" t="s">
        <v>3121</v>
      </c>
      <c r="T175" s="95" t="str">
        <f t="shared" si="14"/>
        <v>2022 10</v>
      </c>
      <c r="U175" s="32">
        <f t="shared" si="11"/>
        <v>1000</v>
      </c>
      <c r="V175" s="22">
        <f t="shared" si="12"/>
        <v>1</v>
      </c>
      <c r="X175" s="33"/>
      <c r="Y175" s="33"/>
    </row>
    <row r="176" spans="1:25" x14ac:dyDescent="0.2">
      <c r="A176" s="93" t="s">
        <v>118</v>
      </c>
      <c r="B176" s="94">
        <f>IFERROR(VLOOKUP($A176,HeadJournal!$A$1:$NTR$890,COLUMN(HeadJournal!B$1),0),"")</f>
        <v>0</v>
      </c>
      <c r="C176" s="94" t="str">
        <f>IFERROR(VLOOKUP($A176,HeadJournal!$A$1:$NTR$890,COLUMN(HeadJournal!C$1),0),"")</f>
        <v>Roman</v>
      </c>
      <c r="D176" s="125" t="str">
        <f>IFERROR(VLOOKUP($A176,HeadJournal!$A$1:$NTR$890,COLUMN(HeadJournal!D$1),0),"")</f>
        <v>Доставлен</v>
      </c>
      <c r="E176" s="95">
        <f>IFERROR(VLOOKUP($A176,HeadJournal!$A$1:$NTR$890,COLUMN(HeadJournal!G$1),0),"")</f>
        <v>44858</v>
      </c>
      <c r="F176" s="95" t="str">
        <f t="shared" si="13"/>
        <v>2022 10</v>
      </c>
      <c r="G176" s="96" t="s">
        <v>5</v>
      </c>
      <c r="H176" s="161" t="s">
        <v>2051</v>
      </c>
      <c r="I176" s="97" t="s">
        <v>2052</v>
      </c>
      <c r="J176" s="97" t="s">
        <v>3097</v>
      </c>
      <c r="K176" s="29">
        <v>800</v>
      </c>
      <c r="L176" s="29"/>
      <c r="M176" s="30">
        <f>IFERROR(VLOOKUP($A176,HeadJournal!$A$1:$J$890,COLUMN(HeadJournal!I$1),0)*($K176+$L176)/(SUMIF($A:$A,$A176,$K:$K)+SUMIF($A:$A,$A176,$L:$L)),0)</f>
        <v>0</v>
      </c>
      <c r="N176" s="30">
        <f>IFERROR((VLOOKUP($A176,HeadJournal!$A$1:$K$890,COLUMN(HeadJournal!K$1),0)-VLOOKUP($A176,HeadJournal!$A$1:$K$890,COLUMN(HeadJournal!J$1),0))*($K176+$L176)/(SUMIF($A:$A,$A176,$K:$K)+SUMIF($A:$A,$A176,$L:$L)),0)</f>
        <v>0</v>
      </c>
      <c r="O176" s="30">
        <f>IFERROR((VLOOKUP($A176,HeadJournal!$A$1:$L$890,COLUMN(HeadJournal!L$1),0)*($K176+$L176)/(SUMIF($A:$A,$A176,$K:$K)+SUMIF($A:$A,$A176,$L:$L)))/VLOOKUP($A176,HeadJournal!$A$1:$L$890,COLUMN(HeadJournal!H$1),0),0)</f>
        <v>0</v>
      </c>
      <c r="P176" s="30">
        <f>IFERROR(SUM(K176:O176)*VLOOKUP($A176,HeadJournal!$A$1:$L$890,COLUMN(HeadJournal!H$1),0),0)</f>
        <v>1000</v>
      </c>
      <c r="Q176" s="29">
        <v>2000</v>
      </c>
      <c r="R176" s="31">
        <v>44864</v>
      </c>
      <c r="S176" s="31" t="s">
        <v>3121</v>
      </c>
      <c r="T176" s="95" t="str">
        <f t="shared" si="14"/>
        <v>2022 10</v>
      </c>
      <c r="U176" s="32">
        <f t="shared" si="11"/>
        <v>1000</v>
      </c>
      <c r="V176" s="22">
        <f t="shared" si="12"/>
        <v>1</v>
      </c>
      <c r="X176" s="33"/>
      <c r="Y176" s="33"/>
    </row>
    <row r="177" spans="1:25" x14ac:dyDescent="0.2">
      <c r="A177" s="93" t="s">
        <v>118</v>
      </c>
      <c r="B177" s="94">
        <f>IFERROR(VLOOKUP($A177,HeadJournal!$A$1:$NTR$890,COLUMN(HeadJournal!B$1),0),"")</f>
        <v>0</v>
      </c>
      <c r="C177" s="94" t="str">
        <f>IFERROR(VLOOKUP($A177,HeadJournal!$A$1:$NTR$890,COLUMN(HeadJournal!C$1),0),"")</f>
        <v>Roman</v>
      </c>
      <c r="D177" s="125" t="str">
        <f>IFERROR(VLOOKUP($A177,HeadJournal!$A$1:$NTR$890,COLUMN(HeadJournal!D$1),0),"")</f>
        <v>Доставлен</v>
      </c>
      <c r="E177" s="95">
        <f>IFERROR(VLOOKUP($A177,HeadJournal!$A$1:$NTR$890,COLUMN(HeadJournal!G$1),0),"")</f>
        <v>44858</v>
      </c>
      <c r="F177" s="95" t="str">
        <f t="shared" si="13"/>
        <v>2022 10</v>
      </c>
      <c r="G177" s="96" t="s">
        <v>5</v>
      </c>
      <c r="H177" s="161" t="s">
        <v>2051</v>
      </c>
      <c r="I177" s="97" t="s">
        <v>2052</v>
      </c>
      <c r="J177" s="97" t="s">
        <v>3097</v>
      </c>
      <c r="K177" s="29">
        <v>800</v>
      </c>
      <c r="L177" s="29"/>
      <c r="M177" s="30">
        <f>IFERROR(VLOOKUP($A177,HeadJournal!$A$1:$J$890,COLUMN(HeadJournal!I$1),0)*($K177+$L177)/(SUMIF($A:$A,$A177,$K:$K)+SUMIF($A:$A,$A177,$L:$L)),0)</f>
        <v>0</v>
      </c>
      <c r="N177" s="30">
        <f>IFERROR((VLOOKUP($A177,HeadJournal!$A$1:$K$890,COLUMN(HeadJournal!K$1),0)-VLOOKUP($A177,HeadJournal!$A$1:$K$890,COLUMN(HeadJournal!J$1),0))*($K177+$L177)/(SUMIF($A:$A,$A177,$K:$K)+SUMIF($A:$A,$A177,$L:$L)),0)</f>
        <v>0</v>
      </c>
      <c r="O177" s="30">
        <f>IFERROR((VLOOKUP($A177,HeadJournal!$A$1:$L$890,COLUMN(HeadJournal!L$1),0)*($K177+$L177)/(SUMIF($A:$A,$A177,$K:$K)+SUMIF($A:$A,$A177,$L:$L)))/VLOOKUP($A177,HeadJournal!$A$1:$L$890,COLUMN(HeadJournal!H$1),0),0)</f>
        <v>0</v>
      </c>
      <c r="P177" s="30">
        <f>IFERROR(SUM(K177:O177)*VLOOKUP($A177,HeadJournal!$A$1:$L$890,COLUMN(HeadJournal!H$1),0),0)</f>
        <v>1000</v>
      </c>
      <c r="Q177" s="29">
        <v>2000</v>
      </c>
      <c r="R177" s="31">
        <v>44867</v>
      </c>
      <c r="S177" s="31" t="s">
        <v>3121</v>
      </c>
      <c r="T177" s="95" t="str">
        <f t="shared" si="14"/>
        <v>2022 11</v>
      </c>
      <c r="U177" s="32">
        <f t="shared" si="11"/>
        <v>1000</v>
      </c>
      <c r="V177" s="22">
        <f t="shared" si="12"/>
        <v>1</v>
      </c>
      <c r="X177" s="33"/>
      <c r="Y177" s="33"/>
    </row>
    <row r="178" spans="1:25" x14ac:dyDescent="0.2">
      <c r="A178" s="93" t="s">
        <v>118</v>
      </c>
      <c r="B178" s="94">
        <f>IFERROR(VLOOKUP($A178,HeadJournal!$A$1:$NTR$890,COLUMN(HeadJournal!B$1),0),"")</f>
        <v>0</v>
      </c>
      <c r="C178" s="94" t="str">
        <f>IFERROR(VLOOKUP($A178,HeadJournal!$A$1:$NTR$890,COLUMN(HeadJournal!C$1),0),"")</f>
        <v>Roman</v>
      </c>
      <c r="D178" s="125" t="str">
        <f>IFERROR(VLOOKUP($A178,HeadJournal!$A$1:$NTR$890,COLUMN(HeadJournal!D$1),0),"")</f>
        <v>Доставлен</v>
      </c>
      <c r="E178" s="95">
        <f>IFERROR(VLOOKUP($A178,HeadJournal!$A$1:$NTR$890,COLUMN(HeadJournal!G$1),0),"")</f>
        <v>44858</v>
      </c>
      <c r="F178" s="95" t="str">
        <f t="shared" si="13"/>
        <v>2022 10</v>
      </c>
      <c r="G178" s="96" t="s">
        <v>5</v>
      </c>
      <c r="H178" s="161" t="s">
        <v>2051</v>
      </c>
      <c r="I178" s="97" t="s">
        <v>2052</v>
      </c>
      <c r="J178" s="97" t="s">
        <v>3097</v>
      </c>
      <c r="K178" s="29">
        <v>800</v>
      </c>
      <c r="L178" s="29"/>
      <c r="M178" s="30">
        <f>IFERROR(VLOOKUP($A178,HeadJournal!$A$1:$J$890,COLUMN(HeadJournal!I$1),0)*($K178+$L178)/(SUMIF($A:$A,$A178,$K:$K)+SUMIF($A:$A,$A178,$L:$L)),0)</f>
        <v>0</v>
      </c>
      <c r="N178" s="30">
        <f>IFERROR((VLOOKUP($A178,HeadJournal!$A$1:$K$890,COLUMN(HeadJournal!K$1),0)-VLOOKUP($A178,HeadJournal!$A$1:$K$890,COLUMN(HeadJournal!J$1),0))*($K178+$L178)/(SUMIF($A:$A,$A178,$K:$K)+SUMIF($A:$A,$A178,$L:$L)),0)</f>
        <v>0</v>
      </c>
      <c r="O178" s="30">
        <f>IFERROR((VLOOKUP($A178,HeadJournal!$A$1:$L$890,COLUMN(HeadJournal!L$1),0)*($K178+$L178)/(SUMIF($A:$A,$A178,$K:$K)+SUMIF($A:$A,$A178,$L:$L)))/VLOOKUP($A178,HeadJournal!$A$1:$L$890,COLUMN(HeadJournal!H$1),0),0)</f>
        <v>0</v>
      </c>
      <c r="P178" s="30">
        <f>IFERROR(SUM(K178:O178)*VLOOKUP($A178,HeadJournal!$A$1:$L$890,COLUMN(HeadJournal!H$1),0),0)</f>
        <v>1000</v>
      </c>
      <c r="Q178" s="29">
        <v>2000</v>
      </c>
      <c r="R178" s="31">
        <v>44868</v>
      </c>
      <c r="S178" s="31" t="s">
        <v>3121</v>
      </c>
      <c r="T178" s="95" t="str">
        <f t="shared" si="14"/>
        <v>2022 11</v>
      </c>
      <c r="U178" s="32">
        <f t="shared" si="11"/>
        <v>1000</v>
      </c>
      <c r="V178" s="22">
        <f t="shared" si="12"/>
        <v>1</v>
      </c>
      <c r="X178" s="33"/>
      <c r="Y178" s="33"/>
    </row>
    <row r="179" spans="1:25" x14ac:dyDescent="0.2">
      <c r="A179" s="93" t="s">
        <v>118</v>
      </c>
      <c r="B179" s="94">
        <f>IFERROR(VLOOKUP($A179,HeadJournal!$A$1:$NTR$890,COLUMN(HeadJournal!B$1),0),"")</f>
        <v>0</v>
      </c>
      <c r="C179" s="94" t="str">
        <f>IFERROR(VLOOKUP($A179,HeadJournal!$A$1:$NTR$890,COLUMN(HeadJournal!C$1),0),"")</f>
        <v>Roman</v>
      </c>
      <c r="D179" s="125" t="str">
        <f>IFERROR(VLOOKUP($A179,HeadJournal!$A$1:$NTR$890,COLUMN(HeadJournal!D$1),0),"")</f>
        <v>Доставлен</v>
      </c>
      <c r="E179" s="95">
        <f>IFERROR(VLOOKUP($A179,HeadJournal!$A$1:$NTR$890,COLUMN(HeadJournal!G$1),0),"")</f>
        <v>44858</v>
      </c>
      <c r="F179" s="95" t="str">
        <f t="shared" si="13"/>
        <v>2022 10</v>
      </c>
      <c r="G179" s="96" t="s">
        <v>5</v>
      </c>
      <c r="H179" s="161" t="s">
        <v>2051</v>
      </c>
      <c r="I179" s="97" t="s">
        <v>2052</v>
      </c>
      <c r="J179" s="97" t="s">
        <v>3097</v>
      </c>
      <c r="K179" s="29">
        <v>800</v>
      </c>
      <c r="L179" s="29"/>
      <c r="M179" s="30">
        <f>IFERROR(VLOOKUP($A179,HeadJournal!$A$1:$J$890,COLUMN(HeadJournal!I$1),0)*($K179+$L179)/(SUMIF($A:$A,$A179,$K:$K)+SUMIF($A:$A,$A179,$L:$L)),0)</f>
        <v>0</v>
      </c>
      <c r="N179" s="30">
        <f>IFERROR((VLOOKUP($A179,HeadJournal!$A$1:$K$890,COLUMN(HeadJournal!K$1),0)-VLOOKUP($A179,HeadJournal!$A$1:$K$890,COLUMN(HeadJournal!J$1),0))*($K179+$L179)/(SUMIF($A:$A,$A179,$K:$K)+SUMIF($A:$A,$A179,$L:$L)),0)</f>
        <v>0</v>
      </c>
      <c r="O179" s="30">
        <f>IFERROR((VLOOKUP($A179,HeadJournal!$A$1:$L$890,COLUMN(HeadJournal!L$1),0)*($K179+$L179)/(SUMIF($A:$A,$A179,$K:$K)+SUMIF($A:$A,$A179,$L:$L)))/VLOOKUP($A179,HeadJournal!$A$1:$L$890,COLUMN(HeadJournal!H$1),0),0)</f>
        <v>0</v>
      </c>
      <c r="P179" s="30">
        <f>IFERROR(SUM(K179:O179)*VLOOKUP($A179,HeadJournal!$A$1:$L$890,COLUMN(HeadJournal!H$1),0),0)</f>
        <v>1000</v>
      </c>
      <c r="Q179" s="29">
        <v>2000</v>
      </c>
      <c r="R179" s="31">
        <v>44869</v>
      </c>
      <c r="S179" s="31" t="s">
        <v>3121</v>
      </c>
      <c r="T179" s="95" t="str">
        <f t="shared" si="14"/>
        <v>2022 11</v>
      </c>
      <c r="U179" s="32">
        <f t="shared" si="11"/>
        <v>1000</v>
      </c>
      <c r="V179" s="22">
        <f t="shared" si="12"/>
        <v>1</v>
      </c>
      <c r="X179" s="33"/>
      <c r="Y179" s="33"/>
    </row>
    <row r="180" spans="1:25" x14ac:dyDescent="0.2">
      <c r="A180" s="93" t="s">
        <v>118</v>
      </c>
      <c r="B180" s="94">
        <f>IFERROR(VLOOKUP($A180,HeadJournal!$A$1:$NTR$890,COLUMN(HeadJournal!B$1),0),"")</f>
        <v>0</v>
      </c>
      <c r="C180" s="94" t="str">
        <f>IFERROR(VLOOKUP($A180,HeadJournal!$A$1:$NTR$890,COLUMN(HeadJournal!C$1),0),"")</f>
        <v>Roman</v>
      </c>
      <c r="D180" s="125" t="str">
        <f>IFERROR(VLOOKUP($A180,HeadJournal!$A$1:$NTR$890,COLUMN(HeadJournal!D$1),0),"")</f>
        <v>Доставлен</v>
      </c>
      <c r="E180" s="95">
        <f>IFERROR(VLOOKUP($A180,HeadJournal!$A$1:$NTR$890,COLUMN(HeadJournal!G$1),0),"")</f>
        <v>44858</v>
      </c>
      <c r="F180" s="95" t="str">
        <f t="shared" si="13"/>
        <v>2022 10</v>
      </c>
      <c r="G180" s="96" t="s">
        <v>5</v>
      </c>
      <c r="H180" s="161" t="s">
        <v>2051</v>
      </c>
      <c r="I180" s="97" t="s">
        <v>2052</v>
      </c>
      <c r="J180" s="97" t="s">
        <v>3097</v>
      </c>
      <c r="K180" s="29">
        <v>800</v>
      </c>
      <c r="L180" s="29"/>
      <c r="M180" s="30">
        <f>IFERROR(VLOOKUP($A180,HeadJournal!$A$1:$J$890,COLUMN(HeadJournal!I$1),0)*($K180+$L180)/(SUMIF($A:$A,$A180,$K:$K)+SUMIF($A:$A,$A180,$L:$L)),0)</f>
        <v>0</v>
      </c>
      <c r="N180" s="30">
        <f>IFERROR((VLOOKUP($A180,HeadJournal!$A$1:$K$890,COLUMN(HeadJournal!K$1),0)-VLOOKUP($A180,HeadJournal!$A$1:$K$890,COLUMN(HeadJournal!J$1),0))*($K180+$L180)/(SUMIF($A:$A,$A180,$K:$K)+SUMIF($A:$A,$A180,$L:$L)),0)</f>
        <v>0</v>
      </c>
      <c r="O180" s="30">
        <f>IFERROR((VLOOKUP($A180,HeadJournal!$A$1:$L$890,COLUMN(HeadJournal!L$1),0)*($K180+$L180)/(SUMIF($A:$A,$A180,$K:$K)+SUMIF($A:$A,$A180,$L:$L)))/VLOOKUP($A180,HeadJournal!$A$1:$L$890,COLUMN(HeadJournal!H$1),0),0)</f>
        <v>0</v>
      </c>
      <c r="P180" s="30">
        <f>IFERROR(SUM(K180:O180)*VLOOKUP($A180,HeadJournal!$A$1:$L$890,COLUMN(HeadJournal!H$1),0),0)</f>
        <v>1000</v>
      </c>
      <c r="Q180" s="29">
        <v>2000</v>
      </c>
      <c r="R180" s="31">
        <v>44883</v>
      </c>
      <c r="S180" s="31" t="s">
        <v>3121</v>
      </c>
      <c r="T180" s="95" t="str">
        <f t="shared" si="14"/>
        <v>2022 11</v>
      </c>
      <c r="U180" s="32">
        <f t="shared" si="11"/>
        <v>1000</v>
      </c>
      <c r="V180" s="22">
        <f t="shared" si="12"/>
        <v>1</v>
      </c>
      <c r="X180" s="33"/>
      <c r="Y180" s="33"/>
    </row>
    <row r="181" spans="1:25" x14ac:dyDescent="0.2">
      <c r="A181" s="93" t="s">
        <v>118</v>
      </c>
      <c r="B181" s="94">
        <f>IFERROR(VLOOKUP($A181,HeadJournal!$A$1:$NTR$890,COLUMN(HeadJournal!B$1),0),"")</f>
        <v>0</v>
      </c>
      <c r="C181" s="94" t="str">
        <f>IFERROR(VLOOKUP($A181,HeadJournal!$A$1:$NTR$890,COLUMN(HeadJournal!C$1),0),"")</f>
        <v>Roman</v>
      </c>
      <c r="D181" s="125" t="str">
        <f>IFERROR(VLOOKUP($A181,HeadJournal!$A$1:$NTR$890,COLUMN(HeadJournal!D$1),0),"")</f>
        <v>Доставлен</v>
      </c>
      <c r="E181" s="95">
        <f>IFERROR(VLOOKUP($A181,HeadJournal!$A$1:$NTR$890,COLUMN(HeadJournal!G$1),0),"")</f>
        <v>44858</v>
      </c>
      <c r="F181" s="95" t="str">
        <f t="shared" si="13"/>
        <v>2022 10</v>
      </c>
      <c r="G181" s="96" t="s">
        <v>5</v>
      </c>
      <c r="H181" s="161" t="s">
        <v>2051</v>
      </c>
      <c r="I181" s="97" t="s">
        <v>2052</v>
      </c>
      <c r="J181" s="97" t="s">
        <v>3097</v>
      </c>
      <c r="K181" s="29">
        <v>800</v>
      </c>
      <c r="L181" s="29"/>
      <c r="M181" s="30">
        <f>IFERROR(VLOOKUP($A181,HeadJournal!$A$1:$J$890,COLUMN(HeadJournal!I$1),0)*($K181+$L181)/(SUMIF($A:$A,$A181,$K:$K)+SUMIF($A:$A,$A181,$L:$L)),0)</f>
        <v>0</v>
      </c>
      <c r="N181" s="30">
        <f>IFERROR((VLOOKUP($A181,HeadJournal!$A$1:$K$890,COLUMN(HeadJournal!K$1),0)-VLOOKUP($A181,HeadJournal!$A$1:$K$890,COLUMN(HeadJournal!J$1),0))*($K181+$L181)/(SUMIF($A:$A,$A181,$K:$K)+SUMIF($A:$A,$A181,$L:$L)),0)</f>
        <v>0</v>
      </c>
      <c r="O181" s="30">
        <f>IFERROR((VLOOKUP($A181,HeadJournal!$A$1:$L$890,COLUMN(HeadJournal!L$1),0)*($K181+$L181)/(SUMIF($A:$A,$A181,$K:$K)+SUMIF($A:$A,$A181,$L:$L)))/VLOOKUP($A181,HeadJournal!$A$1:$L$890,COLUMN(HeadJournal!H$1),0),0)</f>
        <v>0</v>
      </c>
      <c r="P181" s="30">
        <f>IFERROR(SUM(K181:O181)*VLOOKUP($A181,HeadJournal!$A$1:$L$890,COLUMN(HeadJournal!H$1),0),0)</f>
        <v>1000</v>
      </c>
      <c r="Q181" s="29">
        <v>2000</v>
      </c>
      <c r="R181" s="31">
        <v>44883</v>
      </c>
      <c r="S181" s="31" t="s">
        <v>3121</v>
      </c>
      <c r="T181" s="95" t="str">
        <f t="shared" si="14"/>
        <v>2022 11</v>
      </c>
      <c r="U181" s="32">
        <f t="shared" si="11"/>
        <v>1000</v>
      </c>
      <c r="V181" s="22">
        <f t="shared" si="12"/>
        <v>1</v>
      </c>
      <c r="X181" s="33"/>
      <c r="Y181" s="33"/>
    </row>
    <row r="182" spans="1:25" x14ac:dyDescent="0.2">
      <c r="A182" s="93" t="s">
        <v>118</v>
      </c>
      <c r="B182" s="94">
        <f>IFERROR(VLOOKUP($A182,HeadJournal!$A$1:$NTR$890,COLUMN(HeadJournal!B$1),0),"")</f>
        <v>0</v>
      </c>
      <c r="C182" s="94" t="str">
        <f>IFERROR(VLOOKUP($A182,HeadJournal!$A$1:$NTR$890,COLUMN(HeadJournal!C$1),0),"")</f>
        <v>Roman</v>
      </c>
      <c r="D182" s="125" t="str">
        <f>IFERROR(VLOOKUP($A182,HeadJournal!$A$1:$NTR$890,COLUMN(HeadJournal!D$1),0),"")</f>
        <v>Доставлен</v>
      </c>
      <c r="E182" s="95">
        <f>IFERROR(VLOOKUP($A182,HeadJournal!$A$1:$NTR$890,COLUMN(HeadJournal!G$1),0),"")</f>
        <v>44858</v>
      </c>
      <c r="F182" s="95" t="str">
        <f t="shared" si="13"/>
        <v>2022 10</v>
      </c>
      <c r="G182" s="96" t="s">
        <v>5</v>
      </c>
      <c r="H182" s="161" t="s">
        <v>2051</v>
      </c>
      <c r="I182" s="97" t="s">
        <v>2052</v>
      </c>
      <c r="J182" s="97" t="s">
        <v>3097</v>
      </c>
      <c r="K182" s="29">
        <v>800</v>
      </c>
      <c r="L182" s="29"/>
      <c r="M182" s="30">
        <f>IFERROR(VLOOKUP($A182,HeadJournal!$A$1:$J$890,COLUMN(HeadJournal!I$1),0)*($K182+$L182)/(SUMIF($A:$A,$A182,$K:$K)+SUMIF($A:$A,$A182,$L:$L)),0)</f>
        <v>0</v>
      </c>
      <c r="N182" s="30">
        <f>IFERROR((VLOOKUP($A182,HeadJournal!$A$1:$K$890,COLUMN(HeadJournal!K$1),0)-VLOOKUP($A182,HeadJournal!$A$1:$K$890,COLUMN(HeadJournal!J$1),0))*($K182+$L182)/(SUMIF($A:$A,$A182,$K:$K)+SUMIF($A:$A,$A182,$L:$L)),0)</f>
        <v>0</v>
      </c>
      <c r="O182" s="30">
        <f>IFERROR((VLOOKUP($A182,HeadJournal!$A$1:$L$890,COLUMN(HeadJournal!L$1),0)*($K182+$L182)/(SUMIF($A:$A,$A182,$K:$K)+SUMIF($A:$A,$A182,$L:$L)))/VLOOKUP($A182,HeadJournal!$A$1:$L$890,COLUMN(HeadJournal!H$1),0),0)</f>
        <v>0</v>
      </c>
      <c r="P182" s="30">
        <f>IFERROR(SUM(K182:O182)*VLOOKUP($A182,HeadJournal!$A$1:$L$890,COLUMN(HeadJournal!H$1),0),0)</f>
        <v>1000</v>
      </c>
      <c r="Q182" s="29">
        <v>2000</v>
      </c>
      <c r="R182" s="31">
        <v>44883</v>
      </c>
      <c r="S182" s="31" t="s">
        <v>3121</v>
      </c>
      <c r="T182" s="95" t="str">
        <f t="shared" si="14"/>
        <v>2022 11</v>
      </c>
      <c r="U182" s="32">
        <f t="shared" si="11"/>
        <v>1000</v>
      </c>
      <c r="V182" s="22">
        <f t="shared" si="12"/>
        <v>1</v>
      </c>
      <c r="X182" s="33"/>
      <c r="Y182" s="33"/>
    </row>
    <row r="183" spans="1:25" x14ac:dyDescent="0.2">
      <c r="A183" s="93" t="s">
        <v>118</v>
      </c>
      <c r="B183" s="94">
        <f>IFERROR(VLOOKUP($A183,HeadJournal!$A$1:$NTR$890,COLUMN(HeadJournal!B$1),0),"")</f>
        <v>0</v>
      </c>
      <c r="C183" s="94" t="str">
        <f>IFERROR(VLOOKUP($A183,HeadJournal!$A$1:$NTR$890,COLUMN(HeadJournal!C$1),0),"")</f>
        <v>Roman</v>
      </c>
      <c r="D183" s="125" t="str">
        <f>IFERROR(VLOOKUP($A183,HeadJournal!$A$1:$NTR$890,COLUMN(HeadJournal!D$1),0),"")</f>
        <v>Доставлен</v>
      </c>
      <c r="E183" s="95">
        <f>IFERROR(VLOOKUP($A183,HeadJournal!$A$1:$NTR$890,COLUMN(HeadJournal!G$1),0),"")</f>
        <v>44858</v>
      </c>
      <c r="F183" s="95" t="str">
        <f t="shared" si="13"/>
        <v>2022 10</v>
      </c>
      <c r="G183" s="96" t="s">
        <v>5</v>
      </c>
      <c r="H183" s="161" t="s">
        <v>2051</v>
      </c>
      <c r="I183" s="97" t="s">
        <v>2052</v>
      </c>
      <c r="J183" s="97" t="s">
        <v>3097</v>
      </c>
      <c r="K183" s="29">
        <v>800</v>
      </c>
      <c r="L183" s="29"/>
      <c r="M183" s="30">
        <f>IFERROR(VLOOKUP($A183,HeadJournal!$A$1:$J$890,COLUMN(HeadJournal!I$1),0)*($K183+$L183)/(SUMIF($A:$A,$A183,$K:$K)+SUMIF($A:$A,$A183,$L:$L)),0)</f>
        <v>0</v>
      </c>
      <c r="N183" s="30">
        <f>IFERROR((VLOOKUP($A183,HeadJournal!$A$1:$K$890,COLUMN(HeadJournal!K$1),0)-VLOOKUP($A183,HeadJournal!$A$1:$K$890,COLUMN(HeadJournal!J$1),0))*($K183+$L183)/(SUMIF($A:$A,$A183,$K:$K)+SUMIF($A:$A,$A183,$L:$L)),0)</f>
        <v>0</v>
      </c>
      <c r="O183" s="30">
        <f>IFERROR((VLOOKUP($A183,HeadJournal!$A$1:$L$890,COLUMN(HeadJournal!L$1),0)*($K183+$L183)/(SUMIF($A:$A,$A183,$K:$K)+SUMIF($A:$A,$A183,$L:$L)))/VLOOKUP($A183,HeadJournal!$A$1:$L$890,COLUMN(HeadJournal!H$1),0),0)</f>
        <v>0</v>
      </c>
      <c r="P183" s="30">
        <f>IFERROR(SUM(K183:O183)*VLOOKUP($A183,HeadJournal!$A$1:$L$890,COLUMN(HeadJournal!H$1),0),0)</f>
        <v>1000</v>
      </c>
      <c r="Q183" s="29">
        <v>2000</v>
      </c>
      <c r="R183" s="31">
        <v>44888</v>
      </c>
      <c r="S183" s="31" t="s">
        <v>3121</v>
      </c>
      <c r="T183" s="95" t="str">
        <f t="shared" si="14"/>
        <v>2022 11</v>
      </c>
      <c r="U183" s="32">
        <f t="shared" si="11"/>
        <v>1000</v>
      </c>
      <c r="V183" s="22">
        <f t="shared" si="12"/>
        <v>1</v>
      </c>
      <c r="X183" s="33"/>
      <c r="Y183" s="33"/>
    </row>
    <row r="184" spans="1:25" x14ac:dyDescent="0.2">
      <c r="A184" s="93" t="s">
        <v>119</v>
      </c>
      <c r="B184" s="94">
        <f>IFERROR(VLOOKUP($A184,HeadJournal!$A$1:$NTR$890,COLUMN(HeadJournal!B$1),0),"")</f>
        <v>0</v>
      </c>
      <c r="C184" s="94" t="str">
        <f>IFERROR(VLOOKUP($A184,HeadJournal!$A$1:$NTR$890,COLUMN(HeadJournal!C$1),0),"")</f>
        <v>Anna</v>
      </c>
      <c r="D184" s="125" t="str">
        <f>IFERROR(VLOOKUP($A184,HeadJournal!$A$1:$NTR$890,COLUMN(HeadJournal!D$1),0),"")</f>
        <v>Доставлен</v>
      </c>
      <c r="E184" s="95">
        <f>IFERROR(VLOOKUP($A184,HeadJournal!$A$1:$NTR$890,COLUMN(HeadJournal!G$1),0),"")</f>
        <v>44861</v>
      </c>
      <c r="F184" s="95" t="str">
        <f t="shared" si="13"/>
        <v>2022 10</v>
      </c>
      <c r="G184" s="96" t="s">
        <v>5</v>
      </c>
      <c r="H184" s="175" t="s">
        <v>3621</v>
      </c>
      <c r="I184" s="176" t="s">
        <v>2218</v>
      </c>
      <c r="J184" s="97" t="s">
        <v>3663</v>
      </c>
      <c r="K184" s="29">
        <v>328</v>
      </c>
      <c r="L184" s="29"/>
      <c r="M184" s="30">
        <f>IFERROR(VLOOKUP($A184,HeadJournal!$A$1:$J$890,COLUMN(HeadJournal!I$1),0)*($K184+$L184)/(SUMIF($A:$A,$A184,$K:$K)+SUMIF($A:$A,$A184,$L:$L)),0)</f>
        <v>0</v>
      </c>
      <c r="N184" s="30">
        <f>IFERROR((VLOOKUP($A184,HeadJournal!$A$1:$K$890,COLUMN(HeadJournal!K$1),0)-VLOOKUP($A184,HeadJournal!$A$1:$K$890,COLUMN(HeadJournal!J$1),0))*($K184+$L184)/(SUMIF($A:$A,$A184,$K:$K)+SUMIF($A:$A,$A184,$L:$L)),0)</f>
        <v>-17.081081081081081</v>
      </c>
      <c r="O184" s="30">
        <f>IFERROR((VLOOKUP($A184,HeadJournal!$A$1:$L$890,COLUMN(HeadJournal!L$1),0)*($K184+$L184)/(SUMIF($A:$A,$A184,$K:$K)+SUMIF($A:$A,$A184,$L:$L)))/VLOOKUP($A184,HeadJournal!$A$1:$L$890,COLUMN(HeadJournal!H$1),0),0)</f>
        <v>0</v>
      </c>
      <c r="P184" s="30">
        <f>IFERROR(SUM(K184:O184)*VLOOKUP($A184,HeadJournal!$A$1:$L$890,COLUMN(HeadJournal!H$1),0),0)</f>
        <v>388.64864864864865</v>
      </c>
      <c r="Q184" s="29">
        <v>1000</v>
      </c>
      <c r="R184" s="31">
        <v>44863</v>
      </c>
      <c r="S184" s="31" t="s">
        <v>3121</v>
      </c>
      <c r="T184" s="95" t="str">
        <f t="shared" si="14"/>
        <v>2022 10</v>
      </c>
      <c r="U184" s="32">
        <f t="shared" si="11"/>
        <v>611.35135135135135</v>
      </c>
      <c r="V184" s="22">
        <f t="shared" si="12"/>
        <v>1.573018080667594</v>
      </c>
      <c r="X184" s="33"/>
      <c r="Y184" s="33"/>
    </row>
    <row r="185" spans="1:25" x14ac:dyDescent="0.2">
      <c r="A185" s="93" t="s">
        <v>119</v>
      </c>
      <c r="B185" s="94">
        <f>IFERROR(VLOOKUP($A185,HeadJournal!$A$1:$NTR$890,COLUMN(HeadJournal!B$1),0),"")</f>
        <v>0</v>
      </c>
      <c r="C185" s="94" t="str">
        <f>IFERROR(VLOOKUP($A185,HeadJournal!$A$1:$NTR$890,COLUMN(HeadJournal!C$1),0),"")</f>
        <v>Anna</v>
      </c>
      <c r="D185" s="125" t="str">
        <f>IFERROR(VLOOKUP($A185,HeadJournal!$A$1:$NTR$890,COLUMN(HeadJournal!D$1),0),"")</f>
        <v>Доставлен</v>
      </c>
      <c r="E185" s="95">
        <f>IFERROR(VLOOKUP($A185,HeadJournal!$A$1:$NTR$890,COLUMN(HeadJournal!G$1),0),"")</f>
        <v>44861</v>
      </c>
      <c r="F185" s="95" t="str">
        <f t="shared" si="13"/>
        <v>2022 10</v>
      </c>
      <c r="G185" s="96" t="s">
        <v>5</v>
      </c>
      <c r="H185" s="175" t="s">
        <v>3621</v>
      </c>
      <c r="I185" s="176" t="s">
        <v>2218</v>
      </c>
      <c r="J185" s="97" t="s">
        <v>3663</v>
      </c>
      <c r="K185" s="29">
        <v>328</v>
      </c>
      <c r="L185" s="29"/>
      <c r="M185" s="30">
        <f>IFERROR(VLOOKUP($A185,HeadJournal!$A$1:$J$890,COLUMN(HeadJournal!I$1),0)*($K185+$L185)/(SUMIF($A:$A,$A185,$K:$K)+SUMIF($A:$A,$A185,$L:$L)),0)</f>
        <v>0</v>
      </c>
      <c r="N185" s="30">
        <f>IFERROR((VLOOKUP($A185,HeadJournal!$A$1:$K$890,COLUMN(HeadJournal!K$1),0)-VLOOKUP($A185,HeadJournal!$A$1:$K$890,COLUMN(HeadJournal!J$1),0))*($K185+$L185)/(SUMIF($A:$A,$A185,$K:$K)+SUMIF($A:$A,$A185,$L:$L)),0)</f>
        <v>-17.081081081081081</v>
      </c>
      <c r="O185" s="30">
        <f>IFERROR((VLOOKUP($A185,HeadJournal!$A$1:$L$890,COLUMN(HeadJournal!L$1),0)*($K185+$L185)/(SUMIF($A:$A,$A185,$K:$K)+SUMIF($A:$A,$A185,$L:$L)))/VLOOKUP($A185,HeadJournal!$A$1:$L$890,COLUMN(HeadJournal!H$1),0),0)</f>
        <v>0</v>
      </c>
      <c r="P185" s="30">
        <f>IFERROR(SUM(K185:O185)*VLOOKUP($A185,HeadJournal!$A$1:$L$890,COLUMN(HeadJournal!H$1),0),0)</f>
        <v>388.64864864864865</v>
      </c>
      <c r="Q185" s="29">
        <v>1100</v>
      </c>
      <c r="R185" s="31">
        <v>44871</v>
      </c>
      <c r="S185" s="31" t="s">
        <v>3121</v>
      </c>
      <c r="T185" s="95" t="str">
        <f t="shared" si="14"/>
        <v>2022 11</v>
      </c>
      <c r="U185" s="32">
        <f t="shared" si="11"/>
        <v>711.35135135135135</v>
      </c>
      <c r="V185" s="22">
        <f t="shared" si="12"/>
        <v>1.8303198887343533</v>
      </c>
      <c r="X185" s="33"/>
      <c r="Y185" s="33"/>
    </row>
    <row r="186" spans="1:25" x14ac:dyDescent="0.2">
      <c r="A186" s="93" t="s">
        <v>119</v>
      </c>
      <c r="B186" s="94">
        <f>IFERROR(VLOOKUP($A186,HeadJournal!$A$1:$NTR$890,COLUMN(HeadJournal!B$1),0),"")</f>
        <v>0</v>
      </c>
      <c r="C186" s="94" t="str">
        <f>IFERROR(VLOOKUP($A186,HeadJournal!$A$1:$NTR$890,COLUMN(HeadJournal!C$1),0),"")</f>
        <v>Anna</v>
      </c>
      <c r="D186" s="125" t="str">
        <f>IFERROR(VLOOKUP($A186,HeadJournal!$A$1:$NTR$890,COLUMN(HeadJournal!D$1),0),"")</f>
        <v>Доставлен</v>
      </c>
      <c r="E186" s="95">
        <f>IFERROR(VLOOKUP($A186,HeadJournal!$A$1:$NTR$890,COLUMN(HeadJournal!G$1),0),"")</f>
        <v>44861</v>
      </c>
      <c r="F186" s="95" t="str">
        <f t="shared" si="13"/>
        <v>2022 10</v>
      </c>
      <c r="G186" s="96" t="s">
        <v>5</v>
      </c>
      <c r="H186" s="161" t="s">
        <v>2851</v>
      </c>
      <c r="I186" s="97" t="s">
        <v>2102</v>
      </c>
      <c r="J186" s="97" t="s">
        <v>4165</v>
      </c>
      <c r="K186" s="29">
        <v>184</v>
      </c>
      <c r="L186" s="29"/>
      <c r="M186" s="30">
        <f>IFERROR(VLOOKUP($A186,HeadJournal!$A$1:$J$890,COLUMN(HeadJournal!I$1),0)*($K186+$L186)/(SUMIF($A:$A,$A186,$K:$K)+SUMIF($A:$A,$A186,$L:$L)),0)</f>
        <v>0</v>
      </c>
      <c r="N186" s="30">
        <f>IFERROR((VLOOKUP($A186,HeadJournal!$A$1:$K$890,COLUMN(HeadJournal!K$1),0)-VLOOKUP($A186,HeadJournal!$A$1:$K$890,COLUMN(HeadJournal!J$1),0))*($K186+$L186)/(SUMIF($A:$A,$A186,$K:$K)+SUMIF($A:$A,$A186,$L:$L)),0)</f>
        <v>-9.5820698747528024</v>
      </c>
      <c r="O186" s="30">
        <f>IFERROR((VLOOKUP($A186,HeadJournal!$A$1:$L$890,COLUMN(HeadJournal!L$1),0)*($K186+$L186)/(SUMIF($A:$A,$A186,$K:$K)+SUMIF($A:$A,$A186,$L:$L)))/VLOOKUP($A186,HeadJournal!$A$1:$L$890,COLUMN(HeadJournal!H$1),0),0)</f>
        <v>0</v>
      </c>
      <c r="P186" s="30">
        <f>IFERROR(SUM(K186:O186)*VLOOKUP($A186,HeadJournal!$A$1:$L$890,COLUMN(HeadJournal!H$1),0),0)</f>
        <v>218.02241265655903</v>
      </c>
      <c r="Q186" s="29">
        <v>600</v>
      </c>
      <c r="R186" s="31">
        <v>44871</v>
      </c>
      <c r="S186" s="31" t="s">
        <v>3121</v>
      </c>
      <c r="T186" s="95" t="str">
        <f t="shared" si="14"/>
        <v>2022 11</v>
      </c>
      <c r="U186" s="32">
        <f t="shared" si="11"/>
        <v>381.97758734344097</v>
      </c>
      <c r="V186" s="22">
        <f t="shared" si="12"/>
        <v>1.7520106428009914</v>
      </c>
      <c r="X186" s="33"/>
      <c r="Y186" s="33"/>
    </row>
    <row r="187" spans="1:25" x14ac:dyDescent="0.2">
      <c r="A187" s="93" t="s">
        <v>119</v>
      </c>
      <c r="B187" s="94">
        <f>IFERROR(VLOOKUP($A187,HeadJournal!$A$1:$NTR$890,COLUMN(HeadJournal!B$1),0),"")</f>
        <v>0</v>
      </c>
      <c r="C187" s="94" t="str">
        <f>IFERROR(VLOOKUP($A187,HeadJournal!$A$1:$NTR$890,COLUMN(HeadJournal!C$1),0),"")</f>
        <v>Anna</v>
      </c>
      <c r="D187" s="125" t="str">
        <f>IFERROR(VLOOKUP($A187,HeadJournal!$A$1:$NTR$890,COLUMN(HeadJournal!D$1),0),"")</f>
        <v>Доставлен</v>
      </c>
      <c r="E187" s="95">
        <f>IFERROR(VLOOKUP($A187,HeadJournal!$A$1:$NTR$890,COLUMN(HeadJournal!G$1),0),"")</f>
        <v>44861</v>
      </c>
      <c r="F187" s="95" t="str">
        <f t="shared" si="13"/>
        <v>2022 10</v>
      </c>
      <c r="G187" s="96" t="s">
        <v>5</v>
      </c>
      <c r="H187" s="161" t="s">
        <v>2851</v>
      </c>
      <c r="I187" s="97" t="s">
        <v>2102</v>
      </c>
      <c r="J187" s="97" t="s">
        <v>4165</v>
      </c>
      <c r="K187" s="29">
        <v>184</v>
      </c>
      <c r="L187" s="29"/>
      <c r="M187" s="30">
        <f>IFERROR(VLOOKUP($A187,HeadJournal!$A$1:$J$890,COLUMN(HeadJournal!I$1),0)*($K187+$L187)/(SUMIF($A:$A,$A187,$K:$K)+SUMIF($A:$A,$A187,$L:$L)),0)</f>
        <v>0</v>
      </c>
      <c r="N187" s="30">
        <f>IFERROR((VLOOKUP($A187,HeadJournal!$A$1:$K$890,COLUMN(HeadJournal!K$1),0)-VLOOKUP($A187,HeadJournal!$A$1:$K$890,COLUMN(HeadJournal!J$1),0))*($K187+$L187)/(SUMIF($A:$A,$A187,$K:$K)+SUMIF($A:$A,$A187,$L:$L)),0)</f>
        <v>-9.5820698747528024</v>
      </c>
      <c r="O187" s="30">
        <f>IFERROR((VLOOKUP($A187,HeadJournal!$A$1:$L$890,COLUMN(HeadJournal!L$1),0)*($K187+$L187)/(SUMIF($A:$A,$A187,$K:$K)+SUMIF($A:$A,$A187,$L:$L)))/VLOOKUP($A187,HeadJournal!$A$1:$L$890,COLUMN(HeadJournal!H$1),0),0)</f>
        <v>0</v>
      </c>
      <c r="P187" s="30">
        <f>IFERROR(SUM(K187:O187)*VLOOKUP($A187,HeadJournal!$A$1:$L$890,COLUMN(HeadJournal!H$1),0),0)</f>
        <v>218.02241265655903</v>
      </c>
      <c r="Q187" s="29">
        <v>600</v>
      </c>
      <c r="R187" s="31">
        <v>44871</v>
      </c>
      <c r="S187" s="31" t="s">
        <v>3121</v>
      </c>
      <c r="T187" s="95" t="str">
        <f t="shared" si="14"/>
        <v>2022 11</v>
      </c>
      <c r="U187" s="32">
        <f t="shared" si="11"/>
        <v>381.97758734344097</v>
      </c>
      <c r="V187" s="22">
        <f t="shared" si="12"/>
        <v>1.7520106428009914</v>
      </c>
      <c r="X187" s="33"/>
      <c r="Y187" s="33"/>
    </row>
    <row r="188" spans="1:25" x14ac:dyDescent="0.2">
      <c r="A188" s="93" t="s">
        <v>119</v>
      </c>
      <c r="B188" s="94">
        <f>IFERROR(VLOOKUP($A188,HeadJournal!$A$1:$NTR$890,COLUMN(HeadJournal!B$1),0),"")</f>
        <v>0</v>
      </c>
      <c r="C188" s="94" t="str">
        <f>IFERROR(VLOOKUP($A188,HeadJournal!$A$1:$NTR$890,COLUMN(HeadJournal!C$1),0),"")</f>
        <v>Anna</v>
      </c>
      <c r="D188" s="125" t="str">
        <f>IFERROR(VLOOKUP($A188,HeadJournal!$A$1:$NTR$890,COLUMN(HeadJournal!D$1),0),"")</f>
        <v>Доставлен</v>
      </c>
      <c r="E188" s="95">
        <f>IFERROR(VLOOKUP($A188,HeadJournal!$A$1:$NTR$890,COLUMN(HeadJournal!G$1),0),"")</f>
        <v>44861</v>
      </c>
      <c r="F188" s="95" t="str">
        <f t="shared" si="13"/>
        <v>2022 10</v>
      </c>
      <c r="G188" s="96" t="s">
        <v>5</v>
      </c>
      <c r="H188" s="160" t="str">
        <f>RIGHT(Journal!$J188,9)</f>
        <v>NFS-01652</v>
      </c>
      <c r="I188" s="96" t="str">
        <f t="shared" si="15"/>
        <v>Natural Factors</v>
      </c>
      <c r="J188" s="97" t="s">
        <v>120</v>
      </c>
      <c r="K188" s="29">
        <v>280</v>
      </c>
      <c r="L188" s="29"/>
      <c r="M188" s="30">
        <f>IFERROR(VLOOKUP($A188,HeadJournal!$A$1:$J$890,COLUMN(HeadJournal!I$1),0)*($K188+$L188)/(SUMIF($A:$A,$A188,$K:$K)+SUMIF($A:$A,$A188,$L:$L)),0)</f>
        <v>0</v>
      </c>
      <c r="N188" s="30">
        <f>IFERROR((VLOOKUP($A188,HeadJournal!$A$1:$K$890,COLUMN(HeadJournal!K$1),0)-VLOOKUP($A188,HeadJournal!$A$1:$K$890,COLUMN(HeadJournal!J$1),0))*($K188+$L188)/(SUMIF($A:$A,$A188,$K:$K)+SUMIF($A:$A,$A188,$L:$L)),0)</f>
        <v>-14.581410678971654</v>
      </c>
      <c r="O188" s="30">
        <f>IFERROR((VLOOKUP($A188,HeadJournal!$A$1:$L$890,COLUMN(HeadJournal!L$1),0)*($K188+$L188)/(SUMIF($A:$A,$A188,$K:$K)+SUMIF($A:$A,$A188,$L:$L)))/VLOOKUP($A188,HeadJournal!$A$1:$L$890,COLUMN(HeadJournal!H$1),0),0)</f>
        <v>0</v>
      </c>
      <c r="P188" s="30">
        <f>IFERROR(SUM(K188:O188)*VLOOKUP($A188,HeadJournal!$A$1:$L$890,COLUMN(HeadJournal!H$1),0),0)</f>
        <v>331.7732366512854</v>
      </c>
      <c r="Q188" s="29">
        <v>900</v>
      </c>
      <c r="R188" s="31">
        <v>44869</v>
      </c>
      <c r="S188" s="31" t="s">
        <v>3121</v>
      </c>
      <c r="T188" s="95" t="str">
        <f t="shared" si="14"/>
        <v>2022 11</v>
      </c>
      <c r="U188" s="32">
        <f t="shared" si="11"/>
        <v>568.2267633487146</v>
      </c>
      <c r="V188" s="22">
        <f t="shared" si="12"/>
        <v>1.7126962050466921</v>
      </c>
      <c r="X188" s="33"/>
      <c r="Y188" s="33"/>
    </row>
    <row r="189" spans="1:25" x14ac:dyDescent="0.2">
      <c r="A189" s="93" t="s">
        <v>119</v>
      </c>
      <c r="B189" s="94">
        <f>IFERROR(VLOOKUP($A189,HeadJournal!$A$1:$NTR$890,COLUMN(HeadJournal!B$1),0),"")</f>
        <v>0</v>
      </c>
      <c r="C189" s="94" t="str">
        <f>IFERROR(VLOOKUP($A189,HeadJournal!$A$1:$NTR$890,COLUMN(HeadJournal!C$1),0),"")</f>
        <v>Anna</v>
      </c>
      <c r="D189" s="125" t="str">
        <f>IFERROR(VLOOKUP($A189,HeadJournal!$A$1:$NTR$890,COLUMN(HeadJournal!D$1),0),"")</f>
        <v>Доставлен</v>
      </c>
      <c r="E189" s="95">
        <f>IFERROR(VLOOKUP($A189,HeadJournal!$A$1:$NTR$890,COLUMN(HeadJournal!G$1),0),"")</f>
        <v>44861</v>
      </c>
      <c r="F189" s="95" t="str">
        <f t="shared" si="13"/>
        <v>2022 10</v>
      </c>
      <c r="G189" s="96" t="s">
        <v>5</v>
      </c>
      <c r="H189" s="160" t="str">
        <f>RIGHT(Journal!$J189,9)</f>
        <v>NFS-01652</v>
      </c>
      <c r="I189" s="96" t="str">
        <f t="shared" si="15"/>
        <v>Natural Factors</v>
      </c>
      <c r="J189" s="97" t="s">
        <v>120</v>
      </c>
      <c r="K189" s="29">
        <v>280</v>
      </c>
      <c r="L189" s="29"/>
      <c r="M189" s="30">
        <f>IFERROR(VLOOKUP($A189,HeadJournal!$A$1:$J$890,COLUMN(HeadJournal!I$1),0)*($K189+$L189)/(SUMIF($A:$A,$A189,$K:$K)+SUMIF($A:$A,$A189,$L:$L)),0)</f>
        <v>0</v>
      </c>
      <c r="N189" s="30">
        <f>IFERROR((VLOOKUP($A189,HeadJournal!$A$1:$K$890,COLUMN(HeadJournal!K$1),0)-VLOOKUP($A189,HeadJournal!$A$1:$K$890,COLUMN(HeadJournal!J$1),0))*($K189+$L189)/(SUMIF($A:$A,$A189,$K:$K)+SUMIF($A:$A,$A189,$L:$L)),0)</f>
        <v>-14.581410678971654</v>
      </c>
      <c r="O189" s="30">
        <f>IFERROR((VLOOKUP($A189,HeadJournal!$A$1:$L$890,COLUMN(HeadJournal!L$1),0)*($K189+$L189)/(SUMIF($A:$A,$A189,$K:$K)+SUMIF($A:$A,$A189,$L:$L)))/VLOOKUP($A189,HeadJournal!$A$1:$L$890,COLUMN(HeadJournal!H$1),0),0)</f>
        <v>0</v>
      </c>
      <c r="P189" s="30">
        <f>IFERROR(SUM(K189:O189)*VLOOKUP($A189,HeadJournal!$A$1:$L$890,COLUMN(HeadJournal!H$1),0),0)</f>
        <v>331.7732366512854</v>
      </c>
      <c r="Q189" s="29">
        <v>900</v>
      </c>
      <c r="R189" s="31">
        <v>44930</v>
      </c>
      <c r="S189" s="31" t="s">
        <v>3121</v>
      </c>
      <c r="T189" s="95" t="str">
        <f t="shared" si="14"/>
        <v>2023 01</v>
      </c>
      <c r="U189" s="32">
        <f t="shared" si="11"/>
        <v>568.2267633487146</v>
      </c>
      <c r="V189" s="22">
        <f t="shared" si="12"/>
        <v>1.7126962050466921</v>
      </c>
      <c r="X189" s="33"/>
      <c r="Y189" s="33"/>
    </row>
    <row r="190" spans="1:25" x14ac:dyDescent="0.2">
      <c r="A190" s="93" t="s">
        <v>119</v>
      </c>
      <c r="B190" s="94">
        <f>IFERROR(VLOOKUP($A190,HeadJournal!$A$1:$NTR$890,COLUMN(HeadJournal!B$1),0),"")</f>
        <v>0</v>
      </c>
      <c r="C190" s="94" t="str">
        <f>IFERROR(VLOOKUP($A190,HeadJournal!$A$1:$NTR$890,COLUMN(HeadJournal!C$1),0),"")</f>
        <v>Anna</v>
      </c>
      <c r="D190" s="125" t="str">
        <f>IFERROR(VLOOKUP($A190,HeadJournal!$A$1:$NTR$890,COLUMN(HeadJournal!D$1),0),"")</f>
        <v>Доставлен</v>
      </c>
      <c r="E190" s="95">
        <f>IFERROR(VLOOKUP($A190,HeadJournal!$A$1:$NTR$890,COLUMN(HeadJournal!G$1),0),"")</f>
        <v>44861</v>
      </c>
      <c r="F190" s="95" t="str">
        <f t="shared" si="13"/>
        <v>2022 10</v>
      </c>
      <c r="G190" s="96" t="s">
        <v>5</v>
      </c>
      <c r="H190" s="175" t="s">
        <v>3632</v>
      </c>
      <c r="I190" s="176" t="s">
        <v>2008</v>
      </c>
      <c r="J190" s="97" t="s">
        <v>3675</v>
      </c>
      <c r="K190" s="29">
        <v>424</v>
      </c>
      <c r="L190" s="29"/>
      <c r="M190" s="30">
        <f>IFERROR(VLOOKUP($A190,HeadJournal!$A$1:$J$890,COLUMN(HeadJournal!I$1),0)*($K190+$L190)/(SUMIF($A:$A,$A190,$K:$K)+SUMIF($A:$A,$A190,$L:$L)),0)</f>
        <v>0</v>
      </c>
      <c r="N190" s="30">
        <f>IFERROR((VLOOKUP($A190,HeadJournal!$A$1:$K$890,COLUMN(HeadJournal!K$1),0)-VLOOKUP($A190,HeadJournal!$A$1:$K$890,COLUMN(HeadJournal!J$1),0))*($K190+$L190)/(SUMIF($A:$A,$A190,$K:$K)+SUMIF($A:$A,$A190,$L:$L)),0)</f>
        <v>-22.080421885299934</v>
      </c>
      <c r="O190" s="30">
        <f>IFERROR((VLOOKUP($A190,HeadJournal!$A$1:$L$890,COLUMN(HeadJournal!L$1),0)*($K190+$L190)/(SUMIF($A:$A,$A190,$K:$K)+SUMIF($A:$A,$A190,$L:$L)))/VLOOKUP($A190,HeadJournal!$A$1:$L$890,COLUMN(HeadJournal!H$1),0),0)</f>
        <v>0</v>
      </c>
      <c r="P190" s="30">
        <f>IFERROR(SUM(K190:O190)*VLOOKUP($A190,HeadJournal!$A$1:$L$890,COLUMN(HeadJournal!H$1),0),0)</f>
        <v>502.39947264337508</v>
      </c>
      <c r="Q190" s="29">
        <v>1200</v>
      </c>
      <c r="R190" s="31">
        <v>44862</v>
      </c>
      <c r="S190" s="31" t="s">
        <v>3121</v>
      </c>
      <c r="T190" s="95" t="str">
        <f t="shared" si="14"/>
        <v>2022 10</v>
      </c>
      <c r="U190" s="32">
        <f t="shared" si="11"/>
        <v>697.60052735662498</v>
      </c>
      <c r="V190" s="22">
        <f t="shared" si="12"/>
        <v>1.3885375390348231</v>
      </c>
      <c r="X190" s="33"/>
      <c r="Y190" s="33"/>
    </row>
    <row r="191" spans="1:25" x14ac:dyDescent="0.2">
      <c r="A191" s="93" t="s">
        <v>119</v>
      </c>
      <c r="B191" s="94">
        <f>IFERROR(VLOOKUP($A191,HeadJournal!$A$1:$NTR$890,COLUMN(HeadJournal!B$1),0),"")</f>
        <v>0</v>
      </c>
      <c r="C191" s="94" t="str">
        <f>IFERROR(VLOOKUP($A191,HeadJournal!$A$1:$NTR$890,COLUMN(HeadJournal!C$1),0),"")</f>
        <v>Anna</v>
      </c>
      <c r="D191" s="125" t="str">
        <f>IFERROR(VLOOKUP($A191,HeadJournal!$A$1:$NTR$890,COLUMN(HeadJournal!D$1),0),"")</f>
        <v>Доставлен</v>
      </c>
      <c r="E191" s="95">
        <f>IFERROR(VLOOKUP($A191,HeadJournal!$A$1:$NTR$890,COLUMN(HeadJournal!G$1),0),"")</f>
        <v>44861</v>
      </c>
      <c r="F191" s="95" t="str">
        <f t="shared" si="13"/>
        <v>2022 10</v>
      </c>
      <c r="G191" s="96" t="s">
        <v>5</v>
      </c>
      <c r="H191" s="175" t="s">
        <v>3632</v>
      </c>
      <c r="I191" s="176" t="s">
        <v>2008</v>
      </c>
      <c r="J191" s="97" t="s">
        <v>3675</v>
      </c>
      <c r="K191" s="29">
        <v>424</v>
      </c>
      <c r="L191" s="29"/>
      <c r="M191" s="30">
        <f>IFERROR(VLOOKUP($A191,HeadJournal!$A$1:$J$890,COLUMN(HeadJournal!I$1),0)*($K191+$L191)/(SUMIF($A:$A,$A191,$K:$K)+SUMIF($A:$A,$A191,$L:$L)),0)</f>
        <v>0</v>
      </c>
      <c r="N191" s="30">
        <f>IFERROR((VLOOKUP($A191,HeadJournal!$A$1:$K$890,COLUMN(HeadJournal!K$1),0)-VLOOKUP($A191,HeadJournal!$A$1:$K$890,COLUMN(HeadJournal!J$1),0))*($K191+$L191)/(SUMIF($A:$A,$A191,$K:$K)+SUMIF($A:$A,$A191,$L:$L)),0)</f>
        <v>-22.080421885299934</v>
      </c>
      <c r="O191" s="30">
        <f>IFERROR((VLOOKUP($A191,HeadJournal!$A$1:$L$890,COLUMN(HeadJournal!L$1),0)*($K191+$L191)/(SUMIF($A:$A,$A191,$K:$K)+SUMIF($A:$A,$A191,$L:$L)))/VLOOKUP($A191,HeadJournal!$A$1:$L$890,COLUMN(HeadJournal!H$1),0),0)</f>
        <v>0</v>
      </c>
      <c r="P191" s="30">
        <f>IFERROR(SUM(K191:O191)*VLOOKUP($A191,HeadJournal!$A$1:$L$890,COLUMN(HeadJournal!H$1),0),0)</f>
        <v>502.39947264337508</v>
      </c>
      <c r="Q191" s="29">
        <v>1500</v>
      </c>
      <c r="R191" s="31">
        <v>44871</v>
      </c>
      <c r="S191" s="31" t="s">
        <v>3121</v>
      </c>
      <c r="T191" s="95" t="str">
        <f t="shared" si="14"/>
        <v>2022 11</v>
      </c>
      <c r="U191" s="32">
        <f t="shared" si="11"/>
        <v>997.60052735662498</v>
      </c>
      <c r="V191" s="22">
        <f t="shared" si="12"/>
        <v>1.985671923793529</v>
      </c>
      <c r="X191" s="33"/>
      <c r="Y191" s="33"/>
    </row>
    <row r="192" spans="1:25" ht="15" customHeight="1" x14ac:dyDescent="0.2">
      <c r="A192" s="93" t="s">
        <v>119</v>
      </c>
      <c r="B192" s="94">
        <f>IFERROR(VLOOKUP($A192,HeadJournal!$A$1:$NTR$890,COLUMN(HeadJournal!B$1),0),"")</f>
        <v>0</v>
      </c>
      <c r="C192" s="94" t="str">
        <f>IFERROR(VLOOKUP($A192,HeadJournal!$A$1:$NTR$890,COLUMN(HeadJournal!C$1),0),"")</f>
        <v>Anna</v>
      </c>
      <c r="D192" s="125" t="str">
        <f>IFERROR(VLOOKUP($A192,HeadJournal!$A$1:$NTR$890,COLUMN(HeadJournal!D$1),0),"")</f>
        <v>Доставлен</v>
      </c>
      <c r="E192" s="95">
        <f>IFERROR(VLOOKUP($A192,HeadJournal!$A$1:$NTR$890,COLUMN(HeadJournal!G$1),0),"")</f>
        <v>44861</v>
      </c>
      <c r="F192" s="95" t="str">
        <f t="shared" si="13"/>
        <v>2022 10</v>
      </c>
      <c r="G192" s="96" t="s">
        <v>5</v>
      </c>
      <c r="H192" s="175" t="s">
        <v>3652</v>
      </c>
      <c r="I192" s="176" t="s">
        <v>2005</v>
      </c>
      <c r="J192" s="97" t="s">
        <v>3701</v>
      </c>
      <c r="K192" s="29">
        <v>360</v>
      </c>
      <c r="L192" s="29"/>
      <c r="M192" s="30">
        <f>IFERROR(VLOOKUP($A192,HeadJournal!$A$1:$J$890,COLUMN(HeadJournal!I$1),0)*($K192+$L192)/(SUMIF($A:$A,$A192,$K:$K)+SUMIF($A:$A,$A192,$L:$L)),0)</f>
        <v>0</v>
      </c>
      <c r="N192" s="30">
        <f>IFERROR((VLOOKUP($A192,HeadJournal!$A$1:$K$890,COLUMN(HeadJournal!K$1),0)-VLOOKUP($A192,HeadJournal!$A$1:$K$890,COLUMN(HeadJournal!J$1),0))*($K192+$L192)/(SUMIF($A:$A,$A192,$K:$K)+SUMIF($A:$A,$A192,$L:$L)),0)</f>
        <v>-18.747528015820698</v>
      </c>
      <c r="O192" s="30">
        <f>IFERROR((VLOOKUP($A192,HeadJournal!$A$1:$L$890,COLUMN(HeadJournal!L$1),0)*($K192+$L192)/(SUMIF($A:$A,$A192,$K:$K)+SUMIF($A:$A,$A192,$L:$L)))/VLOOKUP($A192,HeadJournal!$A$1:$L$890,COLUMN(HeadJournal!H$1),0),0)</f>
        <v>0</v>
      </c>
      <c r="P192" s="30">
        <f>IFERROR(SUM(K192:O192)*VLOOKUP($A192,HeadJournal!$A$1:$L$890,COLUMN(HeadJournal!H$1),0),0)</f>
        <v>426.5655899802241</v>
      </c>
      <c r="Q192" s="29">
        <v>1100</v>
      </c>
      <c r="R192" s="31">
        <v>44875</v>
      </c>
      <c r="S192" s="31" t="s">
        <v>3121</v>
      </c>
      <c r="T192" s="95" t="str">
        <f t="shared" si="14"/>
        <v>2022 11</v>
      </c>
      <c r="U192" s="32">
        <f t="shared" si="11"/>
        <v>673.4344100197759</v>
      </c>
      <c r="V192" s="22">
        <f t="shared" si="12"/>
        <v>1.5787358986246331</v>
      </c>
      <c r="X192" s="33"/>
      <c r="Y192" s="33"/>
    </row>
    <row r="193" spans="1:25" x14ac:dyDescent="0.2">
      <c r="A193" s="93" t="s">
        <v>119</v>
      </c>
      <c r="B193" s="94">
        <f>IFERROR(VLOOKUP($A193,HeadJournal!$A$1:$NTR$890,COLUMN(HeadJournal!B$1),0),"")</f>
        <v>0</v>
      </c>
      <c r="C193" s="94" t="str">
        <f>IFERROR(VLOOKUP($A193,HeadJournal!$A$1:$NTR$890,COLUMN(HeadJournal!C$1),0),"")</f>
        <v>Anna</v>
      </c>
      <c r="D193" s="125" t="str">
        <f>IFERROR(VLOOKUP($A193,HeadJournal!$A$1:$NTR$890,COLUMN(HeadJournal!D$1),0),"")</f>
        <v>Доставлен</v>
      </c>
      <c r="E193" s="95">
        <f>IFERROR(VLOOKUP($A193,HeadJournal!$A$1:$NTR$890,COLUMN(HeadJournal!G$1),0),"")</f>
        <v>44861</v>
      </c>
      <c r="F193" s="95" t="str">
        <f t="shared" si="13"/>
        <v>2022 10</v>
      </c>
      <c r="G193" s="96" t="s">
        <v>5</v>
      </c>
      <c r="H193" s="175" t="s">
        <v>3652</v>
      </c>
      <c r="I193" s="176" t="s">
        <v>2005</v>
      </c>
      <c r="J193" s="97" t="s">
        <v>3701</v>
      </c>
      <c r="K193" s="29">
        <v>360</v>
      </c>
      <c r="L193" s="29"/>
      <c r="M193" s="30">
        <f>IFERROR(VLOOKUP($A193,HeadJournal!$A$1:$J$890,COLUMN(HeadJournal!I$1),0)*($K193+$L193)/(SUMIF($A:$A,$A193,$K:$K)+SUMIF($A:$A,$A193,$L:$L)),0)</f>
        <v>0</v>
      </c>
      <c r="N193" s="30">
        <f>IFERROR((VLOOKUP($A193,HeadJournal!$A$1:$K$890,COLUMN(HeadJournal!K$1),0)-VLOOKUP($A193,HeadJournal!$A$1:$K$890,COLUMN(HeadJournal!J$1),0))*($K193+$L193)/(SUMIF($A:$A,$A193,$K:$K)+SUMIF($A:$A,$A193,$L:$L)),0)</f>
        <v>-18.747528015820698</v>
      </c>
      <c r="O193" s="30">
        <f>IFERROR((VLOOKUP($A193,HeadJournal!$A$1:$L$890,COLUMN(HeadJournal!L$1),0)*($K193+$L193)/(SUMIF($A:$A,$A193,$K:$K)+SUMIF($A:$A,$A193,$L:$L)))/VLOOKUP($A193,HeadJournal!$A$1:$L$890,COLUMN(HeadJournal!H$1),0),0)</f>
        <v>0</v>
      </c>
      <c r="P193" s="30">
        <f>IFERROR(SUM(K193:O193)*VLOOKUP($A193,HeadJournal!$A$1:$L$890,COLUMN(HeadJournal!H$1),0),0)</f>
        <v>426.5655899802241</v>
      </c>
      <c r="Q193" s="29">
        <v>1100</v>
      </c>
      <c r="R193" s="31">
        <v>44889</v>
      </c>
      <c r="S193" s="31" t="s">
        <v>3121</v>
      </c>
      <c r="T193" s="95" t="str">
        <f t="shared" si="14"/>
        <v>2022 11</v>
      </c>
      <c r="U193" s="32">
        <f t="shared" si="11"/>
        <v>673.4344100197759</v>
      </c>
      <c r="V193" s="22">
        <f t="shared" si="12"/>
        <v>1.5787358986246331</v>
      </c>
      <c r="X193" s="33"/>
      <c r="Y193" s="33"/>
    </row>
    <row r="194" spans="1:25" x14ac:dyDescent="0.2">
      <c r="A194" s="93" t="s">
        <v>119</v>
      </c>
      <c r="B194" s="94">
        <f>IFERROR(VLOOKUP($A194,HeadJournal!$A$1:$NTR$890,COLUMN(HeadJournal!B$1),0),"")</f>
        <v>0</v>
      </c>
      <c r="C194" s="94" t="str">
        <f>IFERROR(VLOOKUP($A194,HeadJournal!$A$1:$NTR$890,COLUMN(HeadJournal!C$1),0),"")</f>
        <v>Anna</v>
      </c>
      <c r="D194" s="125" t="str">
        <f>IFERROR(VLOOKUP($A194,HeadJournal!$A$1:$NTR$890,COLUMN(HeadJournal!D$1),0),"")</f>
        <v>Доставлен</v>
      </c>
      <c r="E194" s="95">
        <f>IFERROR(VLOOKUP($A194,HeadJournal!$A$1:$NTR$890,COLUMN(HeadJournal!G$1),0),"")</f>
        <v>44861</v>
      </c>
      <c r="F194" s="95" t="str">
        <f t="shared" si="13"/>
        <v>2022 10</v>
      </c>
      <c r="G194" s="96" t="s">
        <v>5</v>
      </c>
      <c r="H194" s="161" t="s">
        <v>2623</v>
      </c>
      <c r="I194" s="97" t="s">
        <v>2052</v>
      </c>
      <c r="J194" s="97" t="s">
        <v>3915</v>
      </c>
      <c r="K194" s="29">
        <v>160</v>
      </c>
      <c r="L194" s="29"/>
      <c r="M194" s="30">
        <f>IFERROR(VLOOKUP($A194,HeadJournal!$A$1:$J$890,COLUMN(HeadJournal!I$1),0)*($K194+$L194)/(SUMIF($A:$A,$A194,$K:$K)+SUMIF($A:$A,$A194,$L:$L)),0)</f>
        <v>0</v>
      </c>
      <c r="N194" s="30">
        <f>IFERROR((VLOOKUP($A194,HeadJournal!$A$1:$K$890,COLUMN(HeadJournal!K$1),0)-VLOOKUP($A194,HeadJournal!$A$1:$K$890,COLUMN(HeadJournal!J$1),0))*($K194+$L194)/(SUMIF($A:$A,$A194,$K:$K)+SUMIF($A:$A,$A194,$L:$L)),0)</f>
        <v>-8.332234673698089</v>
      </c>
      <c r="O194" s="30">
        <f>IFERROR((VLOOKUP($A194,HeadJournal!$A$1:$L$890,COLUMN(HeadJournal!L$1),0)*($K194+$L194)/(SUMIF($A:$A,$A194,$K:$K)+SUMIF($A:$A,$A194,$L:$L)))/VLOOKUP($A194,HeadJournal!$A$1:$L$890,COLUMN(HeadJournal!H$1),0),0)</f>
        <v>0</v>
      </c>
      <c r="P194" s="30">
        <f>IFERROR(SUM(K194:O194)*VLOOKUP($A194,HeadJournal!$A$1:$L$890,COLUMN(HeadJournal!H$1),0),0)</f>
        <v>189.5847066578774</v>
      </c>
      <c r="Q194" s="29">
        <v>700</v>
      </c>
      <c r="R194" s="31">
        <v>44869</v>
      </c>
      <c r="S194" s="31" t="s">
        <v>3121</v>
      </c>
      <c r="T194" s="95" t="str">
        <f t="shared" si="14"/>
        <v>2022 11</v>
      </c>
      <c r="U194" s="32">
        <f t="shared" si="11"/>
        <v>510.4152933421226</v>
      </c>
      <c r="V194" s="22">
        <f t="shared" si="12"/>
        <v>2.692280945757997</v>
      </c>
      <c r="X194" s="33"/>
      <c r="Y194" s="33"/>
    </row>
    <row r="195" spans="1:25" x14ac:dyDescent="0.2">
      <c r="A195" s="93" t="s">
        <v>119</v>
      </c>
      <c r="B195" s="94">
        <f>IFERROR(VLOOKUP($A195,HeadJournal!$A$1:$NTR$890,COLUMN(HeadJournal!B$1),0),"")</f>
        <v>0</v>
      </c>
      <c r="C195" s="94" t="str">
        <f>IFERROR(VLOOKUP($A195,HeadJournal!$A$1:$NTR$890,COLUMN(HeadJournal!C$1),0),"")</f>
        <v>Anna</v>
      </c>
      <c r="D195" s="125" t="str">
        <f>IFERROR(VLOOKUP($A195,HeadJournal!$A$1:$NTR$890,COLUMN(HeadJournal!D$1),0),"")</f>
        <v>Доставлен</v>
      </c>
      <c r="E195" s="95">
        <f>IFERROR(VLOOKUP($A195,HeadJournal!$A$1:$NTR$890,COLUMN(HeadJournal!G$1),0),"")</f>
        <v>44861</v>
      </c>
      <c r="F195" s="95" t="str">
        <f t="shared" si="13"/>
        <v>2022 10</v>
      </c>
      <c r="G195" s="96" t="s">
        <v>5</v>
      </c>
      <c r="H195" s="161" t="s">
        <v>2771</v>
      </c>
      <c r="I195" s="97" t="s">
        <v>2052</v>
      </c>
      <c r="J195" s="97" t="s">
        <v>3858</v>
      </c>
      <c r="K195" s="29">
        <v>304</v>
      </c>
      <c r="L195" s="29"/>
      <c r="M195" s="30">
        <f>IFERROR(VLOOKUP($A195,HeadJournal!$A$1:$J$890,COLUMN(HeadJournal!I$1),0)*($K195+$L195)/(SUMIF($A:$A,$A195,$K:$K)+SUMIF($A:$A,$A195,$L:$L)),0)</f>
        <v>0</v>
      </c>
      <c r="N195" s="30">
        <f>IFERROR((VLOOKUP($A195,HeadJournal!$A$1:$K$890,COLUMN(HeadJournal!K$1),0)-VLOOKUP($A195,HeadJournal!$A$1:$K$890,COLUMN(HeadJournal!J$1),0))*($K195+$L195)/(SUMIF($A:$A,$A195,$K:$K)+SUMIF($A:$A,$A195,$L:$L)),0)</f>
        <v>-15.831245880026367</v>
      </c>
      <c r="O195" s="30">
        <f>IFERROR((VLOOKUP($A195,HeadJournal!$A$1:$L$890,COLUMN(HeadJournal!L$1),0)*($K195+$L195)/(SUMIF($A:$A,$A195,$K:$K)+SUMIF($A:$A,$A195,$L:$L)))/VLOOKUP($A195,HeadJournal!$A$1:$L$890,COLUMN(HeadJournal!H$1),0),0)</f>
        <v>0</v>
      </c>
      <c r="P195" s="30">
        <f>IFERROR(SUM(K195:O195)*VLOOKUP($A195,HeadJournal!$A$1:$L$890,COLUMN(HeadJournal!H$1),0),0)</f>
        <v>360.21094264996702</v>
      </c>
      <c r="Q195" s="29">
        <v>900</v>
      </c>
      <c r="R195" s="31">
        <v>44864</v>
      </c>
      <c r="S195" s="31" t="s">
        <v>3121</v>
      </c>
      <c r="T195" s="95" t="str">
        <f t="shared" si="14"/>
        <v>2022 10</v>
      </c>
      <c r="U195" s="32">
        <f t="shared" ref="U195:U258" si="16">Q195-P195</f>
        <v>539.78905735003298</v>
      </c>
      <c r="V195" s="22">
        <f t="shared" ref="V195:V258" si="17">IF(Q195&lt;&gt;0,IFERROR(U195/P195,""),"")</f>
        <v>1.4985359783324794</v>
      </c>
      <c r="X195" s="33"/>
      <c r="Y195" s="33"/>
    </row>
    <row r="196" spans="1:25" x14ac:dyDescent="0.2">
      <c r="A196" s="93" t="s">
        <v>119</v>
      </c>
      <c r="B196" s="94">
        <f>IFERROR(VLOOKUP($A196,HeadJournal!$A$1:$NTR$890,COLUMN(HeadJournal!B$1),0),"")</f>
        <v>0</v>
      </c>
      <c r="C196" s="94" t="str">
        <f>IFERROR(VLOOKUP($A196,HeadJournal!$A$1:$NTR$890,COLUMN(HeadJournal!C$1),0),"")</f>
        <v>Anna</v>
      </c>
      <c r="D196" s="125" t="str">
        <f>IFERROR(VLOOKUP($A196,HeadJournal!$A$1:$NTR$890,COLUMN(HeadJournal!D$1),0),"")</f>
        <v>Доставлен</v>
      </c>
      <c r="E196" s="95">
        <f>IFERROR(VLOOKUP($A196,HeadJournal!$A$1:$NTR$890,COLUMN(HeadJournal!G$1),0),"")</f>
        <v>44861</v>
      </c>
      <c r="F196" s="95" t="str">
        <f t="shared" ref="F196:F259" si="18">IFERROR(TEXT(E196, "ГГГГ ММ"),"")</f>
        <v>2022 10</v>
      </c>
      <c r="G196" s="96" t="s">
        <v>5</v>
      </c>
      <c r="H196" s="161" t="s">
        <v>2771</v>
      </c>
      <c r="I196" s="97" t="s">
        <v>2052</v>
      </c>
      <c r="J196" s="97" t="s">
        <v>3858</v>
      </c>
      <c r="K196" s="29">
        <v>304</v>
      </c>
      <c r="L196" s="29"/>
      <c r="M196" s="30">
        <f>IFERROR(VLOOKUP($A196,HeadJournal!$A$1:$J$890,COLUMN(HeadJournal!I$1),0)*($K196+$L196)/(SUMIF($A:$A,$A196,$K:$K)+SUMIF($A:$A,$A196,$L:$L)),0)</f>
        <v>0</v>
      </c>
      <c r="N196" s="30">
        <f>IFERROR((VLOOKUP($A196,HeadJournal!$A$1:$K$890,COLUMN(HeadJournal!K$1),0)-VLOOKUP($A196,HeadJournal!$A$1:$K$890,COLUMN(HeadJournal!J$1),0))*($K196+$L196)/(SUMIF($A:$A,$A196,$K:$K)+SUMIF($A:$A,$A196,$L:$L)),0)</f>
        <v>-15.831245880026367</v>
      </c>
      <c r="O196" s="30">
        <f>IFERROR((VLOOKUP($A196,HeadJournal!$A$1:$L$890,COLUMN(HeadJournal!L$1),0)*($K196+$L196)/(SUMIF($A:$A,$A196,$K:$K)+SUMIF($A:$A,$A196,$L:$L)))/VLOOKUP($A196,HeadJournal!$A$1:$L$890,COLUMN(HeadJournal!H$1),0),0)</f>
        <v>0</v>
      </c>
      <c r="P196" s="30">
        <f>IFERROR(SUM(K196:O196)*VLOOKUP($A196,HeadJournal!$A$1:$L$890,COLUMN(HeadJournal!H$1),0),0)</f>
        <v>360.21094264996702</v>
      </c>
      <c r="Q196" s="29">
        <v>900</v>
      </c>
      <c r="R196" s="31">
        <v>44864</v>
      </c>
      <c r="S196" s="31" t="s">
        <v>3121</v>
      </c>
      <c r="T196" s="95" t="str">
        <f t="shared" ref="T196:T259" si="19">IF(R196="","",TEXT(R196,"ГГГГ ММ"))</f>
        <v>2022 10</v>
      </c>
      <c r="U196" s="32">
        <f t="shared" si="16"/>
        <v>539.78905735003298</v>
      </c>
      <c r="V196" s="22">
        <f t="shared" si="17"/>
        <v>1.4985359783324794</v>
      </c>
      <c r="X196" s="33"/>
      <c r="Y196" s="33"/>
    </row>
    <row r="197" spans="1:25" x14ac:dyDescent="0.2">
      <c r="A197" s="93" t="s">
        <v>119</v>
      </c>
      <c r="B197" s="94">
        <f>IFERROR(VLOOKUP($A197,HeadJournal!$A$1:$NTR$890,COLUMN(HeadJournal!B$1),0),"")</f>
        <v>0</v>
      </c>
      <c r="C197" s="94" t="str">
        <f>IFERROR(VLOOKUP($A197,HeadJournal!$A$1:$NTR$890,COLUMN(HeadJournal!C$1),0),"")</f>
        <v>Anna</v>
      </c>
      <c r="D197" s="125" t="str">
        <f>IFERROR(VLOOKUP($A197,HeadJournal!$A$1:$NTR$890,COLUMN(HeadJournal!D$1),0),"")</f>
        <v>Доставлен</v>
      </c>
      <c r="E197" s="95">
        <f>IFERROR(VLOOKUP($A197,HeadJournal!$A$1:$NTR$890,COLUMN(HeadJournal!G$1),0),"")</f>
        <v>44861</v>
      </c>
      <c r="F197" s="95" t="str">
        <f t="shared" si="18"/>
        <v>2022 10</v>
      </c>
      <c r="G197" s="96" t="s">
        <v>5</v>
      </c>
      <c r="H197" s="161" t="s">
        <v>2771</v>
      </c>
      <c r="I197" s="97" t="s">
        <v>2052</v>
      </c>
      <c r="J197" s="97" t="s">
        <v>3858</v>
      </c>
      <c r="K197" s="29">
        <v>304</v>
      </c>
      <c r="L197" s="29"/>
      <c r="M197" s="30">
        <f>IFERROR(VLOOKUP($A197,HeadJournal!$A$1:$J$890,COLUMN(HeadJournal!I$1),0)*($K197+$L197)/(SUMIF($A:$A,$A197,$K:$K)+SUMIF($A:$A,$A197,$L:$L)),0)</f>
        <v>0</v>
      </c>
      <c r="N197" s="30">
        <f>IFERROR((VLOOKUP($A197,HeadJournal!$A$1:$K$890,COLUMN(HeadJournal!K$1),0)-VLOOKUP($A197,HeadJournal!$A$1:$K$890,COLUMN(HeadJournal!J$1),0))*($K197+$L197)/(SUMIF($A:$A,$A197,$K:$K)+SUMIF($A:$A,$A197,$L:$L)),0)</f>
        <v>-15.831245880026367</v>
      </c>
      <c r="O197" s="30">
        <f>IFERROR((VLOOKUP($A197,HeadJournal!$A$1:$L$890,COLUMN(HeadJournal!L$1),0)*($K197+$L197)/(SUMIF($A:$A,$A197,$K:$K)+SUMIF($A:$A,$A197,$L:$L)))/VLOOKUP($A197,HeadJournal!$A$1:$L$890,COLUMN(HeadJournal!H$1),0),0)</f>
        <v>0</v>
      </c>
      <c r="P197" s="30">
        <f>IFERROR(SUM(K197:O197)*VLOOKUP($A197,HeadJournal!$A$1:$L$890,COLUMN(HeadJournal!H$1),0),0)</f>
        <v>360.21094264996702</v>
      </c>
      <c r="Q197" s="29">
        <v>900</v>
      </c>
      <c r="R197" s="31">
        <v>44864</v>
      </c>
      <c r="S197" s="31" t="s">
        <v>3121</v>
      </c>
      <c r="T197" s="95" t="str">
        <f t="shared" si="19"/>
        <v>2022 10</v>
      </c>
      <c r="U197" s="32">
        <f t="shared" si="16"/>
        <v>539.78905735003298</v>
      </c>
      <c r="V197" s="22">
        <f t="shared" si="17"/>
        <v>1.4985359783324794</v>
      </c>
      <c r="X197" s="33"/>
      <c r="Y197" s="33"/>
    </row>
    <row r="198" spans="1:25" x14ac:dyDescent="0.2">
      <c r="A198" s="93" t="s">
        <v>119</v>
      </c>
      <c r="B198" s="94">
        <f>IFERROR(VLOOKUP($A198,HeadJournal!$A$1:$NTR$890,COLUMN(HeadJournal!B$1),0),"")</f>
        <v>0</v>
      </c>
      <c r="C198" s="94" t="str">
        <f>IFERROR(VLOOKUP($A198,HeadJournal!$A$1:$NTR$890,COLUMN(HeadJournal!C$1),0),"")</f>
        <v>Anna</v>
      </c>
      <c r="D198" s="125" t="str">
        <f>IFERROR(VLOOKUP($A198,HeadJournal!$A$1:$NTR$890,COLUMN(HeadJournal!D$1),0),"")</f>
        <v>Доставлен</v>
      </c>
      <c r="E198" s="95">
        <f>IFERROR(VLOOKUP($A198,HeadJournal!$A$1:$NTR$890,COLUMN(HeadJournal!G$1),0),"")</f>
        <v>44861</v>
      </c>
      <c r="F198" s="95" t="str">
        <f t="shared" si="18"/>
        <v>2022 10</v>
      </c>
      <c r="G198" s="96" t="s">
        <v>5</v>
      </c>
      <c r="H198" s="175" t="s">
        <v>3630</v>
      </c>
      <c r="I198" s="176" t="s">
        <v>2052</v>
      </c>
      <c r="J198" s="97" t="s">
        <v>3673</v>
      </c>
      <c r="K198" s="29">
        <v>648</v>
      </c>
      <c r="L198" s="29"/>
      <c r="M198" s="30">
        <f>IFERROR(VLOOKUP($A198,HeadJournal!$A$1:$J$890,COLUMN(HeadJournal!I$1),0)*($K198+$L198)/(SUMIF($A:$A,$A198,$K:$K)+SUMIF($A:$A,$A198,$L:$L)),0)</f>
        <v>0</v>
      </c>
      <c r="N198" s="30">
        <f>IFERROR((VLOOKUP($A198,HeadJournal!$A$1:$K$890,COLUMN(HeadJournal!K$1),0)-VLOOKUP($A198,HeadJournal!$A$1:$K$890,COLUMN(HeadJournal!J$1),0))*($K198+$L198)/(SUMIF($A:$A,$A198,$K:$K)+SUMIF($A:$A,$A198,$L:$L)),0)</f>
        <v>-33.745550428477259</v>
      </c>
      <c r="O198" s="30">
        <f>IFERROR((VLOOKUP($A198,HeadJournal!$A$1:$L$890,COLUMN(HeadJournal!L$1),0)*($K198+$L198)/(SUMIF($A:$A,$A198,$K:$K)+SUMIF($A:$A,$A198,$L:$L)))/VLOOKUP($A198,HeadJournal!$A$1:$L$890,COLUMN(HeadJournal!H$1),0),0)</f>
        <v>0</v>
      </c>
      <c r="P198" s="30">
        <f>IFERROR(SUM(K198:O198)*VLOOKUP($A198,HeadJournal!$A$1:$L$890,COLUMN(HeadJournal!H$1),0),0)</f>
        <v>767.81806196440346</v>
      </c>
      <c r="Q198" s="29">
        <v>2000</v>
      </c>
      <c r="R198" s="31">
        <v>44862</v>
      </c>
      <c r="S198" s="31" t="s">
        <v>3121</v>
      </c>
      <c r="T198" s="95" t="str">
        <f t="shared" si="19"/>
        <v>2022 10</v>
      </c>
      <c r="U198" s="32">
        <f t="shared" si="16"/>
        <v>1232.1819380355964</v>
      </c>
      <c r="V198" s="22">
        <f t="shared" si="17"/>
        <v>1.6047837359844774</v>
      </c>
      <c r="X198" s="33"/>
      <c r="Y198" s="33"/>
    </row>
    <row r="199" spans="1:25" x14ac:dyDescent="0.2">
      <c r="A199" s="93" t="s">
        <v>119</v>
      </c>
      <c r="B199" s="94">
        <f>IFERROR(VLOOKUP($A199,HeadJournal!$A$1:$NTR$890,COLUMN(HeadJournal!B$1),0),"")</f>
        <v>0</v>
      </c>
      <c r="C199" s="94" t="str">
        <f>IFERROR(VLOOKUP($A199,HeadJournal!$A$1:$NTR$890,COLUMN(HeadJournal!C$1),0),"")</f>
        <v>Anna</v>
      </c>
      <c r="D199" s="125" t="str">
        <f>IFERROR(VLOOKUP($A199,HeadJournal!$A$1:$NTR$890,COLUMN(HeadJournal!D$1),0),"")</f>
        <v>Доставлен</v>
      </c>
      <c r="E199" s="95">
        <f>IFERROR(VLOOKUP($A199,HeadJournal!$A$1:$NTR$890,COLUMN(HeadJournal!G$1),0),"")</f>
        <v>44861</v>
      </c>
      <c r="F199" s="95" t="str">
        <f t="shared" si="18"/>
        <v>2022 10</v>
      </c>
      <c r="G199" s="96" t="s">
        <v>5</v>
      </c>
      <c r="H199" s="161" t="s">
        <v>2696</v>
      </c>
      <c r="I199" s="97" t="s">
        <v>2052</v>
      </c>
      <c r="J199" s="97" t="s">
        <v>2697</v>
      </c>
      <c r="K199" s="29">
        <v>376</v>
      </c>
      <c r="L199" s="29"/>
      <c r="M199" s="30">
        <f>IFERROR(VLOOKUP($A199,HeadJournal!$A$1:$J$890,COLUMN(HeadJournal!I$1),0)*($K199+$L199)/(SUMIF($A:$A,$A199,$K:$K)+SUMIF($A:$A,$A199,$L:$L)),0)</f>
        <v>0</v>
      </c>
      <c r="N199" s="30">
        <f>IFERROR((VLOOKUP($A199,HeadJournal!$A$1:$K$890,COLUMN(HeadJournal!K$1),0)-VLOOKUP($A199,HeadJournal!$A$1:$K$890,COLUMN(HeadJournal!J$1),0))*($K199+$L199)/(SUMIF($A:$A,$A199,$K:$K)+SUMIF($A:$A,$A199,$L:$L)),0)</f>
        <v>-19.580751483190507</v>
      </c>
      <c r="O199" s="30">
        <f>IFERROR((VLOOKUP($A199,HeadJournal!$A$1:$L$890,COLUMN(HeadJournal!L$1),0)*($K199+$L199)/(SUMIF($A:$A,$A199,$K:$K)+SUMIF($A:$A,$A199,$L:$L)))/VLOOKUP($A199,HeadJournal!$A$1:$L$890,COLUMN(HeadJournal!H$1),0),0)</f>
        <v>0</v>
      </c>
      <c r="P199" s="30">
        <f>IFERROR(SUM(K199:O199)*VLOOKUP($A199,HeadJournal!$A$1:$L$890,COLUMN(HeadJournal!H$1),0),0)</f>
        <v>445.52406064601189</v>
      </c>
      <c r="Q199" s="29">
        <v>800</v>
      </c>
      <c r="R199" s="31">
        <v>44981</v>
      </c>
      <c r="S199" s="31" t="s">
        <v>3121</v>
      </c>
      <c r="T199" s="95" t="str">
        <f t="shared" si="19"/>
        <v>2023 02</v>
      </c>
      <c r="U199" s="32">
        <f t="shared" si="16"/>
        <v>354.47593935398811</v>
      </c>
      <c r="V199" s="22">
        <f t="shared" si="17"/>
        <v>0.79563814991270376</v>
      </c>
      <c r="X199" s="33"/>
      <c r="Y199" s="33"/>
    </row>
    <row r="200" spans="1:25" x14ac:dyDescent="0.2">
      <c r="A200" s="93" t="s">
        <v>119</v>
      </c>
      <c r="B200" s="94">
        <f>IFERROR(VLOOKUP($A200,HeadJournal!$A$1:$NTR$890,COLUMN(HeadJournal!B$1),0),"")</f>
        <v>0</v>
      </c>
      <c r="C200" s="94" t="str">
        <f>IFERROR(VLOOKUP($A200,HeadJournal!$A$1:$NTR$890,COLUMN(HeadJournal!C$1),0),"")</f>
        <v>Anna</v>
      </c>
      <c r="D200" s="125" t="str">
        <f>IFERROR(VLOOKUP($A200,HeadJournal!$A$1:$NTR$890,COLUMN(HeadJournal!D$1),0),"")</f>
        <v>Доставлен</v>
      </c>
      <c r="E200" s="95">
        <f>IFERROR(VLOOKUP($A200,HeadJournal!$A$1:$NTR$890,COLUMN(HeadJournal!G$1),0),"")</f>
        <v>44861</v>
      </c>
      <c r="F200" s="95" t="str">
        <f t="shared" si="18"/>
        <v>2022 10</v>
      </c>
      <c r="G200" s="96" t="s">
        <v>5</v>
      </c>
      <c r="H200" s="160" t="str">
        <f>RIGHT(Journal!$J200,9)</f>
        <v>CGN-01066</v>
      </c>
      <c r="I200" s="96" t="str">
        <f t="shared" ref="I200:I255" si="20">IFERROR(LEFT(J200,FIND(",",J200)-1),"")</f>
        <v>California Gold Nutrition</v>
      </c>
      <c r="J200" s="97" t="s">
        <v>38</v>
      </c>
      <c r="K200" s="29">
        <v>180</v>
      </c>
      <c r="L200" s="29"/>
      <c r="M200" s="30">
        <f>IFERROR(VLOOKUP($A200,HeadJournal!$A$1:$J$890,COLUMN(HeadJournal!I$1),0)*($K200+$L200)/(SUMIF($A:$A,$A200,$K:$K)+SUMIF($A:$A,$A200,$L:$L)),0)</f>
        <v>0</v>
      </c>
      <c r="N200" s="30">
        <f>IFERROR((VLOOKUP($A200,HeadJournal!$A$1:$K$890,COLUMN(HeadJournal!K$1),0)-VLOOKUP($A200,HeadJournal!$A$1:$K$890,COLUMN(HeadJournal!J$1),0))*($K200+$L200)/(SUMIF($A:$A,$A200,$K:$K)+SUMIF($A:$A,$A200,$L:$L)),0)</f>
        <v>-9.3737640079103492</v>
      </c>
      <c r="O200" s="30">
        <f>IFERROR((VLOOKUP($A200,HeadJournal!$A$1:$L$890,COLUMN(HeadJournal!L$1),0)*($K200+$L200)/(SUMIF($A:$A,$A200,$K:$K)+SUMIF($A:$A,$A200,$L:$L)))/VLOOKUP($A200,HeadJournal!$A$1:$L$890,COLUMN(HeadJournal!H$1),0),0)</f>
        <v>0</v>
      </c>
      <c r="P200" s="30">
        <f>IFERROR(SUM(K200:O200)*VLOOKUP($A200,HeadJournal!$A$1:$L$890,COLUMN(HeadJournal!H$1),0),0)</f>
        <v>213.28279499011205</v>
      </c>
      <c r="Q200" s="29">
        <v>1500</v>
      </c>
      <c r="R200" s="31">
        <v>44871</v>
      </c>
      <c r="S200" s="31" t="s">
        <v>3121</v>
      </c>
      <c r="T200" s="95" t="str">
        <f t="shared" si="19"/>
        <v>2022 11</v>
      </c>
      <c r="U200" s="32">
        <f t="shared" si="16"/>
        <v>1286.7172050098879</v>
      </c>
      <c r="V200" s="22">
        <f t="shared" si="17"/>
        <v>6.0329160871580907</v>
      </c>
      <c r="X200" s="33"/>
      <c r="Y200" s="33"/>
    </row>
    <row r="201" spans="1:25" x14ac:dyDescent="0.2">
      <c r="A201" s="93" t="s">
        <v>119</v>
      </c>
      <c r="B201" s="94">
        <f>IFERROR(VLOOKUP($A201,HeadJournal!$A$1:$NTR$890,COLUMN(HeadJournal!B$1),0),"")</f>
        <v>0</v>
      </c>
      <c r="C201" s="94" t="str">
        <f>IFERROR(VLOOKUP($A201,HeadJournal!$A$1:$NTR$890,COLUMN(HeadJournal!C$1),0),"")</f>
        <v>Anna</v>
      </c>
      <c r="D201" s="125" t="str">
        <f>IFERROR(VLOOKUP($A201,HeadJournal!$A$1:$NTR$890,COLUMN(HeadJournal!D$1),0),"")</f>
        <v>Доставлен</v>
      </c>
      <c r="E201" s="95">
        <f>IFERROR(VLOOKUP($A201,HeadJournal!$A$1:$NTR$890,COLUMN(HeadJournal!G$1),0),"")</f>
        <v>44861</v>
      </c>
      <c r="F201" s="95" t="str">
        <f t="shared" si="18"/>
        <v>2022 10</v>
      </c>
      <c r="G201" s="96" t="s">
        <v>5</v>
      </c>
      <c r="H201" s="161" t="s">
        <v>2624</v>
      </c>
      <c r="I201" s="97" t="s">
        <v>2005</v>
      </c>
      <c r="J201" s="97" t="s">
        <v>2625</v>
      </c>
      <c r="K201" s="29">
        <v>640</v>
      </c>
      <c r="L201" s="29"/>
      <c r="M201" s="30">
        <f>IFERROR(VLOOKUP($A201,HeadJournal!$A$1:$J$890,COLUMN(HeadJournal!I$1),0)*($K201+$L201)/(SUMIF($A:$A,$A201,$K:$K)+SUMIF($A:$A,$A201,$L:$L)),0)</f>
        <v>0</v>
      </c>
      <c r="N201" s="30">
        <f>IFERROR((VLOOKUP($A201,HeadJournal!$A$1:$K$890,COLUMN(HeadJournal!K$1),0)-VLOOKUP($A201,HeadJournal!$A$1:$K$890,COLUMN(HeadJournal!J$1),0))*($K201+$L201)/(SUMIF($A:$A,$A201,$K:$K)+SUMIF($A:$A,$A201,$L:$L)),0)</f>
        <v>-33.328938694792356</v>
      </c>
      <c r="O201" s="30">
        <f>IFERROR((VLOOKUP($A201,HeadJournal!$A$1:$L$890,COLUMN(HeadJournal!L$1),0)*($K201+$L201)/(SUMIF($A:$A,$A201,$K:$K)+SUMIF($A:$A,$A201,$L:$L)))/VLOOKUP($A201,HeadJournal!$A$1:$L$890,COLUMN(HeadJournal!H$1),0),0)</f>
        <v>0</v>
      </c>
      <c r="P201" s="30">
        <f>IFERROR(SUM(K201:O201)*VLOOKUP($A201,HeadJournal!$A$1:$L$890,COLUMN(HeadJournal!H$1),0),0)</f>
        <v>758.33882663150962</v>
      </c>
      <c r="Q201" s="29">
        <v>1800</v>
      </c>
      <c r="R201" s="31">
        <v>44877</v>
      </c>
      <c r="S201" s="31" t="s">
        <v>3121</v>
      </c>
      <c r="T201" s="95" t="str">
        <f t="shared" si="19"/>
        <v>2022 11</v>
      </c>
      <c r="U201" s="32">
        <f t="shared" si="16"/>
        <v>1041.6611733684904</v>
      </c>
      <c r="V201" s="22">
        <f t="shared" si="17"/>
        <v>1.3736091794158551</v>
      </c>
      <c r="X201" s="33"/>
      <c r="Y201" s="33"/>
    </row>
    <row r="202" spans="1:25" x14ac:dyDescent="0.2">
      <c r="A202" s="93" t="s">
        <v>121</v>
      </c>
      <c r="B202" s="94">
        <f>IFERROR(VLOOKUP($A202,HeadJournal!$A$1:$NTR$890,COLUMN(HeadJournal!B$1),0),"")</f>
        <v>0</v>
      </c>
      <c r="C202" s="94" t="str">
        <f>IFERROR(VLOOKUP($A202,HeadJournal!$A$1:$NTR$890,COLUMN(HeadJournal!C$1),0),"")</f>
        <v>Roman</v>
      </c>
      <c r="D202" s="125" t="str">
        <f>IFERROR(VLOOKUP($A202,HeadJournal!$A$1:$NTR$890,COLUMN(HeadJournal!D$1),0),"")</f>
        <v>Доставлен</v>
      </c>
      <c r="E202" s="95">
        <f>IFERROR(VLOOKUP($A202,HeadJournal!$A$1:$NTR$890,COLUMN(HeadJournal!G$1),0),"")</f>
        <v>44867</v>
      </c>
      <c r="F202" s="95" t="str">
        <f t="shared" si="18"/>
        <v>2022 11</v>
      </c>
      <c r="G202" s="96" t="s">
        <v>5</v>
      </c>
      <c r="H202" s="175" t="s">
        <v>3654</v>
      </c>
      <c r="I202" s="176" t="s">
        <v>2005</v>
      </c>
      <c r="J202" s="97" t="s">
        <v>3703</v>
      </c>
      <c r="K202" s="29">
        <v>436</v>
      </c>
      <c r="L202" s="29"/>
      <c r="M202" s="30">
        <f>IFERROR(VLOOKUP($A202,HeadJournal!$A$1:$J$890,COLUMN(HeadJournal!I$1),0)*($K202+$L202)/(SUMIF($A:$A,$A202,$K:$K)+SUMIF($A:$A,$A202,$L:$L)),0)</f>
        <v>0</v>
      </c>
      <c r="N202" s="30">
        <f>IFERROR((VLOOKUP($A202,HeadJournal!$A$1:$K$890,COLUMN(HeadJournal!K$1),0)-VLOOKUP($A202,HeadJournal!$A$1:$K$890,COLUMN(HeadJournal!J$1),0))*($K202+$L202)/(SUMIF($A:$A,$A202,$K:$K)+SUMIF($A:$A,$A202,$L:$L)),0)</f>
        <v>-14.222342607282318</v>
      </c>
      <c r="O202" s="30">
        <f>IFERROR((VLOOKUP($A202,HeadJournal!$A$1:$L$890,COLUMN(HeadJournal!L$1),0)*($K202+$L202)/(SUMIF($A:$A,$A202,$K:$K)+SUMIF($A:$A,$A202,$L:$L)))/VLOOKUP($A202,HeadJournal!$A$1:$L$890,COLUMN(HeadJournal!H$1),0),0)</f>
        <v>0</v>
      </c>
      <c r="P202" s="30">
        <f>IFERROR(SUM(K202:O202)*VLOOKUP($A202,HeadJournal!$A$1:$L$890,COLUMN(HeadJournal!H$1),0),0)</f>
        <v>527.22207174089715</v>
      </c>
      <c r="Q202" s="29">
        <v>527.22</v>
      </c>
      <c r="R202" s="31">
        <v>44836</v>
      </c>
      <c r="S202" s="31" t="s">
        <v>3121</v>
      </c>
      <c r="T202" s="95" t="str">
        <f t="shared" si="19"/>
        <v>2022 10</v>
      </c>
      <c r="U202" s="32">
        <f t="shared" si="16"/>
        <v>-2.071740897122254E-3</v>
      </c>
      <c r="V202" s="22">
        <f t="shared" si="17"/>
        <v>-3.9295412847214964E-6</v>
      </c>
      <c r="X202" s="33"/>
      <c r="Y202" s="33"/>
    </row>
    <row r="203" spans="1:25" x14ac:dyDescent="0.2">
      <c r="A203" s="93" t="s">
        <v>121</v>
      </c>
      <c r="B203" s="94">
        <f>IFERROR(VLOOKUP($A203,HeadJournal!$A$1:$NTR$890,COLUMN(HeadJournal!B$1),0),"")</f>
        <v>0</v>
      </c>
      <c r="C203" s="94" t="str">
        <f>IFERROR(VLOOKUP($A203,HeadJournal!$A$1:$NTR$890,COLUMN(HeadJournal!C$1),0),"")</f>
        <v>Roman</v>
      </c>
      <c r="D203" s="125" t="str">
        <f>IFERROR(VLOOKUP($A203,HeadJournal!$A$1:$NTR$890,COLUMN(HeadJournal!D$1),0),"")</f>
        <v>Доставлен</v>
      </c>
      <c r="E203" s="95">
        <f>IFERROR(VLOOKUP($A203,HeadJournal!$A$1:$NTR$890,COLUMN(HeadJournal!G$1),0),"")</f>
        <v>44867</v>
      </c>
      <c r="F203" s="95" t="str">
        <f t="shared" si="18"/>
        <v>2022 11</v>
      </c>
      <c r="G203" s="96" t="s">
        <v>5</v>
      </c>
      <c r="H203" s="160" t="str">
        <f>RIGHT(Journal!$J203,9)</f>
        <v>CEN-27116</v>
      </c>
      <c r="I203" s="96" t="str">
        <f t="shared" si="20"/>
        <v>21st Century</v>
      </c>
      <c r="J203" s="97" t="s">
        <v>33</v>
      </c>
      <c r="K203" s="29">
        <v>336.8</v>
      </c>
      <c r="L203" s="29"/>
      <c r="M203" s="30">
        <f>IFERROR(VLOOKUP($A203,HeadJournal!$A$1:$J$890,COLUMN(HeadJournal!I$1),0)*($K203+$L203)/(SUMIF($A:$A,$A203,$K:$K)+SUMIF($A:$A,$A203,$L:$L)),0)</f>
        <v>0</v>
      </c>
      <c r="N203" s="30">
        <f>IFERROR((VLOOKUP($A203,HeadJournal!$A$1:$K$890,COLUMN(HeadJournal!K$1),0)-VLOOKUP($A203,HeadJournal!$A$1:$K$890,COLUMN(HeadJournal!J$1),0))*($K203+$L203)/(SUMIF($A:$A,$A203,$K:$K)+SUMIF($A:$A,$A203,$L:$L)),0)</f>
        <v>-10.986433463607074</v>
      </c>
      <c r="O203" s="30">
        <f>IFERROR((VLOOKUP($A203,HeadJournal!$A$1:$L$890,COLUMN(HeadJournal!L$1),0)*($K203+$L203)/(SUMIF($A:$A,$A203,$K:$K)+SUMIF($A:$A,$A203,$L:$L)))/VLOOKUP($A203,HeadJournal!$A$1:$L$890,COLUMN(HeadJournal!H$1),0),0)</f>
        <v>0</v>
      </c>
      <c r="P203" s="30">
        <f>IFERROR(SUM(K203:O203)*VLOOKUP($A203,HeadJournal!$A$1:$L$890,COLUMN(HeadJournal!H$1),0),0)</f>
        <v>407.26695817049119</v>
      </c>
      <c r="Q203" s="29">
        <v>850</v>
      </c>
      <c r="R203" s="31">
        <v>44868</v>
      </c>
      <c r="S203" s="31" t="s">
        <v>3121</v>
      </c>
      <c r="T203" s="95" t="str">
        <f t="shared" si="19"/>
        <v>2022 11</v>
      </c>
      <c r="U203" s="32">
        <f t="shared" si="16"/>
        <v>442.73304182950881</v>
      </c>
      <c r="V203" s="22">
        <f t="shared" si="17"/>
        <v>1.0870831353919232</v>
      </c>
      <c r="X203" s="33"/>
      <c r="Y203" s="33"/>
    </row>
    <row r="204" spans="1:25" x14ac:dyDescent="0.2">
      <c r="A204" s="93" t="s">
        <v>121</v>
      </c>
      <c r="B204" s="94">
        <f>IFERROR(VLOOKUP($A204,HeadJournal!$A$1:$NTR$890,COLUMN(HeadJournal!B$1),0),"")</f>
        <v>0</v>
      </c>
      <c r="C204" s="94" t="str">
        <f>IFERROR(VLOOKUP($A204,HeadJournal!$A$1:$NTR$890,COLUMN(HeadJournal!C$1),0),"")</f>
        <v>Roman</v>
      </c>
      <c r="D204" s="125" t="str">
        <f>IFERROR(VLOOKUP($A204,HeadJournal!$A$1:$NTR$890,COLUMN(HeadJournal!D$1),0),"")</f>
        <v>Доставлен</v>
      </c>
      <c r="E204" s="95">
        <f>IFERROR(VLOOKUP($A204,HeadJournal!$A$1:$NTR$890,COLUMN(HeadJournal!G$1),0),"")</f>
        <v>44867</v>
      </c>
      <c r="F204" s="95" t="str">
        <f t="shared" si="18"/>
        <v>2022 11</v>
      </c>
      <c r="G204" s="96" t="s">
        <v>5</v>
      </c>
      <c r="H204" s="160" t="str">
        <f>RIGHT(Journal!$J204,9)</f>
        <v>CEN-27116</v>
      </c>
      <c r="I204" s="96" t="str">
        <f t="shared" si="20"/>
        <v>21st Century</v>
      </c>
      <c r="J204" s="97" t="s">
        <v>33</v>
      </c>
      <c r="K204" s="29">
        <v>336.8</v>
      </c>
      <c r="L204" s="29"/>
      <c r="M204" s="30">
        <f>IFERROR(VLOOKUP($A204,HeadJournal!$A$1:$J$890,COLUMN(HeadJournal!I$1),0)*($K204+$L204)/(SUMIF($A:$A,$A204,$K:$K)+SUMIF($A:$A,$A204,$L:$L)),0)</f>
        <v>0</v>
      </c>
      <c r="N204" s="30">
        <f>IFERROR((VLOOKUP($A204,HeadJournal!$A$1:$K$890,COLUMN(HeadJournal!K$1),0)-VLOOKUP($A204,HeadJournal!$A$1:$K$890,COLUMN(HeadJournal!J$1),0))*($K204+$L204)/(SUMIF($A:$A,$A204,$K:$K)+SUMIF($A:$A,$A204,$L:$L)),0)</f>
        <v>-10.986433463607074</v>
      </c>
      <c r="O204" s="30">
        <f>IFERROR((VLOOKUP($A204,HeadJournal!$A$1:$L$890,COLUMN(HeadJournal!L$1),0)*($K204+$L204)/(SUMIF($A:$A,$A204,$K:$K)+SUMIF($A:$A,$A204,$L:$L)))/VLOOKUP($A204,HeadJournal!$A$1:$L$890,COLUMN(HeadJournal!H$1),0),0)</f>
        <v>0</v>
      </c>
      <c r="P204" s="30">
        <f>IFERROR(SUM(K204:O204)*VLOOKUP($A204,HeadJournal!$A$1:$L$890,COLUMN(HeadJournal!H$1),0),0)</f>
        <v>407.26695817049119</v>
      </c>
      <c r="Q204" s="29">
        <v>850</v>
      </c>
      <c r="R204" s="31">
        <v>44868</v>
      </c>
      <c r="S204" s="31" t="s">
        <v>3121</v>
      </c>
      <c r="T204" s="95" t="str">
        <f t="shared" si="19"/>
        <v>2022 11</v>
      </c>
      <c r="U204" s="32">
        <f t="shared" si="16"/>
        <v>442.73304182950881</v>
      </c>
      <c r="V204" s="22">
        <f t="shared" si="17"/>
        <v>1.0870831353919232</v>
      </c>
      <c r="X204" s="33"/>
      <c r="Y204" s="33"/>
    </row>
    <row r="205" spans="1:25" x14ac:dyDescent="0.2">
      <c r="A205" s="93" t="s">
        <v>121</v>
      </c>
      <c r="B205" s="94">
        <f>IFERROR(VLOOKUP($A205,HeadJournal!$A$1:$NTR$890,COLUMN(HeadJournal!B$1),0),"")</f>
        <v>0</v>
      </c>
      <c r="C205" s="94" t="str">
        <f>IFERROR(VLOOKUP($A205,HeadJournal!$A$1:$NTR$890,COLUMN(HeadJournal!C$1),0),"")</f>
        <v>Roman</v>
      </c>
      <c r="D205" s="125" t="str">
        <f>IFERROR(VLOOKUP($A205,HeadJournal!$A$1:$NTR$890,COLUMN(HeadJournal!D$1),0),"")</f>
        <v>Доставлен</v>
      </c>
      <c r="E205" s="95">
        <f>IFERROR(VLOOKUP($A205,HeadJournal!$A$1:$NTR$890,COLUMN(HeadJournal!G$1),0),"")</f>
        <v>44867</v>
      </c>
      <c r="F205" s="95" t="str">
        <f t="shared" si="18"/>
        <v>2022 11</v>
      </c>
      <c r="G205" s="96" t="s">
        <v>5</v>
      </c>
      <c r="H205" s="161" t="s">
        <v>2832</v>
      </c>
      <c r="I205" s="97" t="s">
        <v>2005</v>
      </c>
      <c r="J205" s="97" t="s">
        <v>2833</v>
      </c>
      <c r="K205" s="29">
        <v>600</v>
      </c>
      <c r="L205" s="29"/>
      <c r="M205" s="30">
        <f>IFERROR(VLOOKUP($A205,HeadJournal!$A$1:$J$890,COLUMN(HeadJournal!I$1),0)*($K205+$L205)/(SUMIF($A:$A,$A205,$K:$K)+SUMIF($A:$A,$A205,$L:$L)),0)</f>
        <v>0</v>
      </c>
      <c r="N205" s="30">
        <f>IFERROR((VLOOKUP($A205,HeadJournal!$A$1:$K$890,COLUMN(HeadJournal!K$1),0)-VLOOKUP($A205,HeadJournal!$A$1:$K$890,COLUMN(HeadJournal!J$1),0))*($K205+$L205)/(SUMIF($A:$A,$A205,$K:$K)+SUMIF($A:$A,$A205,$L:$L)),0)</f>
        <v>-19.572031110938969</v>
      </c>
      <c r="O205" s="30">
        <f>IFERROR((VLOOKUP($A205,HeadJournal!$A$1:$L$890,COLUMN(HeadJournal!L$1),0)*($K205+$L205)/(SUMIF($A:$A,$A205,$K:$K)+SUMIF($A:$A,$A205,$L:$L)))/VLOOKUP($A205,HeadJournal!$A$1:$L$890,COLUMN(HeadJournal!H$1),0),0)</f>
        <v>0</v>
      </c>
      <c r="P205" s="30">
        <f>IFERROR(SUM(K205:O205)*VLOOKUP($A205,HeadJournal!$A$1:$L$890,COLUMN(HeadJournal!H$1),0),0)</f>
        <v>725.53496111132631</v>
      </c>
      <c r="Q205" s="29">
        <v>1600</v>
      </c>
      <c r="R205" s="31">
        <v>44869</v>
      </c>
      <c r="S205" s="31" t="s">
        <v>3121</v>
      </c>
      <c r="T205" s="95" t="str">
        <f t="shared" si="19"/>
        <v>2022 11</v>
      </c>
      <c r="U205" s="32">
        <f t="shared" si="16"/>
        <v>874.46503888867369</v>
      </c>
      <c r="V205" s="22">
        <f t="shared" si="17"/>
        <v>1.2052693333333326</v>
      </c>
      <c r="X205" s="33"/>
      <c r="Y205" s="33"/>
    </row>
    <row r="206" spans="1:25" x14ac:dyDescent="0.2">
      <c r="A206" s="93" t="s">
        <v>121</v>
      </c>
      <c r="B206" s="94">
        <f>IFERROR(VLOOKUP($A206,HeadJournal!$A$1:$NTR$890,COLUMN(HeadJournal!B$1),0),"")</f>
        <v>0</v>
      </c>
      <c r="C206" s="94" t="str">
        <f>IFERROR(VLOOKUP($A206,HeadJournal!$A$1:$NTR$890,COLUMN(HeadJournal!C$1),0),"")</f>
        <v>Roman</v>
      </c>
      <c r="D206" s="125" t="str">
        <f>IFERROR(VLOOKUP($A206,HeadJournal!$A$1:$NTR$890,COLUMN(HeadJournal!D$1),0),"")</f>
        <v>Доставлен</v>
      </c>
      <c r="E206" s="95">
        <f>IFERROR(VLOOKUP($A206,HeadJournal!$A$1:$NTR$890,COLUMN(HeadJournal!G$1),0),"")</f>
        <v>44867</v>
      </c>
      <c r="F206" s="95" t="str">
        <f t="shared" si="18"/>
        <v>2022 11</v>
      </c>
      <c r="G206" s="96" t="s">
        <v>5</v>
      </c>
      <c r="H206" s="161" t="s">
        <v>2832</v>
      </c>
      <c r="I206" s="97" t="s">
        <v>2005</v>
      </c>
      <c r="J206" s="97" t="s">
        <v>2833</v>
      </c>
      <c r="K206" s="29">
        <v>600</v>
      </c>
      <c r="L206" s="29"/>
      <c r="M206" s="30">
        <f>IFERROR(VLOOKUP($A206,HeadJournal!$A$1:$J$890,COLUMN(HeadJournal!I$1),0)*($K206+$L206)/(SUMIF($A:$A,$A206,$K:$K)+SUMIF($A:$A,$A206,$L:$L)),0)</f>
        <v>0</v>
      </c>
      <c r="N206" s="30">
        <f>IFERROR((VLOOKUP($A206,HeadJournal!$A$1:$K$890,COLUMN(HeadJournal!K$1),0)-VLOOKUP($A206,HeadJournal!$A$1:$K$890,COLUMN(HeadJournal!J$1),0))*($K206+$L206)/(SUMIF($A:$A,$A206,$K:$K)+SUMIF($A:$A,$A206,$L:$L)),0)</f>
        <v>-19.572031110938969</v>
      </c>
      <c r="O206" s="30">
        <f>IFERROR((VLOOKUP($A206,HeadJournal!$A$1:$L$890,COLUMN(HeadJournal!L$1),0)*($K206+$L206)/(SUMIF($A:$A,$A206,$K:$K)+SUMIF($A:$A,$A206,$L:$L)))/VLOOKUP($A206,HeadJournal!$A$1:$L$890,COLUMN(HeadJournal!H$1),0),0)</f>
        <v>0</v>
      </c>
      <c r="P206" s="30">
        <f>IFERROR(SUM(K206:O206)*VLOOKUP($A206,HeadJournal!$A$1:$L$890,COLUMN(HeadJournal!H$1),0),0)</f>
        <v>725.53496111132631</v>
      </c>
      <c r="Q206" s="29">
        <v>2500</v>
      </c>
      <c r="R206" s="31">
        <v>44869</v>
      </c>
      <c r="S206" s="31" t="s">
        <v>3121</v>
      </c>
      <c r="T206" s="95" t="str">
        <f t="shared" si="19"/>
        <v>2022 11</v>
      </c>
      <c r="U206" s="32">
        <f t="shared" si="16"/>
        <v>1774.4650388886737</v>
      </c>
      <c r="V206" s="22">
        <f t="shared" si="17"/>
        <v>2.4457333333333322</v>
      </c>
      <c r="X206" s="33"/>
      <c r="Y206" s="33"/>
    </row>
    <row r="207" spans="1:25" x14ac:dyDescent="0.2">
      <c r="A207" s="93" t="s">
        <v>121</v>
      </c>
      <c r="B207" s="94">
        <f>IFERROR(VLOOKUP($A207,HeadJournal!$A$1:$NTR$890,COLUMN(HeadJournal!B$1),0),"")</f>
        <v>0</v>
      </c>
      <c r="C207" s="94" t="str">
        <f>IFERROR(VLOOKUP($A207,HeadJournal!$A$1:$NTR$890,COLUMN(HeadJournal!C$1),0),"")</f>
        <v>Roman</v>
      </c>
      <c r="D207" s="125" t="str">
        <f>IFERROR(VLOOKUP($A207,HeadJournal!$A$1:$NTR$890,COLUMN(HeadJournal!D$1),0),"")</f>
        <v>Доставлен</v>
      </c>
      <c r="E207" s="95">
        <f>IFERROR(VLOOKUP($A207,HeadJournal!$A$1:$NTR$890,COLUMN(HeadJournal!G$1),0),"")</f>
        <v>44867</v>
      </c>
      <c r="F207" s="95" t="str">
        <f t="shared" si="18"/>
        <v>2022 11</v>
      </c>
      <c r="G207" s="96" t="s">
        <v>5</v>
      </c>
      <c r="H207" s="161" t="s">
        <v>2832</v>
      </c>
      <c r="I207" s="97" t="s">
        <v>2005</v>
      </c>
      <c r="J207" s="97" t="s">
        <v>2833</v>
      </c>
      <c r="K207" s="29">
        <v>600</v>
      </c>
      <c r="L207" s="29"/>
      <c r="M207" s="30">
        <f>IFERROR(VLOOKUP($A207,HeadJournal!$A$1:$J$890,COLUMN(HeadJournal!I$1),0)*($K207+$L207)/(SUMIF($A:$A,$A207,$K:$K)+SUMIF($A:$A,$A207,$L:$L)),0)</f>
        <v>0</v>
      </c>
      <c r="N207" s="30">
        <f>IFERROR((VLOOKUP($A207,HeadJournal!$A$1:$K$890,COLUMN(HeadJournal!K$1),0)-VLOOKUP($A207,HeadJournal!$A$1:$K$890,COLUMN(HeadJournal!J$1),0))*($K207+$L207)/(SUMIF($A:$A,$A207,$K:$K)+SUMIF($A:$A,$A207,$L:$L)),0)</f>
        <v>-19.572031110938969</v>
      </c>
      <c r="O207" s="30">
        <f>IFERROR((VLOOKUP($A207,HeadJournal!$A$1:$L$890,COLUMN(HeadJournal!L$1),0)*($K207+$L207)/(SUMIF($A:$A,$A207,$K:$K)+SUMIF($A:$A,$A207,$L:$L)))/VLOOKUP($A207,HeadJournal!$A$1:$L$890,COLUMN(HeadJournal!H$1),0),0)</f>
        <v>0</v>
      </c>
      <c r="P207" s="30">
        <f>IFERROR(SUM(K207:O207)*VLOOKUP($A207,HeadJournal!$A$1:$L$890,COLUMN(HeadJournal!H$1),0),0)</f>
        <v>725.53496111132631</v>
      </c>
      <c r="Q207" s="29">
        <v>1600</v>
      </c>
      <c r="R207" s="31">
        <v>44869</v>
      </c>
      <c r="S207" s="31" t="s">
        <v>3121</v>
      </c>
      <c r="T207" s="95" t="str">
        <f t="shared" si="19"/>
        <v>2022 11</v>
      </c>
      <c r="U207" s="32">
        <f t="shared" si="16"/>
        <v>874.46503888867369</v>
      </c>
      <c r="V207" s="22">
        <f t="shared" si="17"/>
        <v>1.2052693333333326</v>
      </c>
      <c r="X207" s="33"/>
      <c r="Y207" s="33"/>
    </row>
    <row r="208" spans="1:25" x14ac:dyDescent="0.2">
      <c r="A208" s="93" t="s">
        <v>121</v>
      </c>
      <c r="B208" s="94">
        <f>IFERROR(VLOOKUP($A208,HeadJournal!$A$1:$NTR$890,COLUMN(HeadJournal!B$1),0),"")</f>
        <v>0</v>
      </c>
      <c r="C208" s="94" t="str">
        <f>IFERROR(VLOOKUP($A208,HeadJournal!$A$1:$NTR$890,COLUMN(HeadJournal!C$1),0),"")</f>
        <v>Roman</v>
      </c>
      <c r="D208" s="125" t="str">
        <f>IFERROR(VLOOKUP($A208,HeadJournal!$A$1:$NTR$890,COLUMN(HeadJournal!D$1),0),"")</f>
        <v>Доставлен</v>
      </c>
      <c r="E208" s="95">
        <f>IFERROR(VLOOKUP($A208,HeadJournal!$A$1:$NTR$890,COLUMN(HeadJournal!G$1),0),"")</f>
        <v>44867</v>
      </c>
      <c r="F208" s="95" t="str">
        <f t="shared" si="18"/>
        <v>2022 11</v>
      </c>
      <c r="G208" s="96" t="s">
        <v>5</v>
      </c>
      <c r="H208" s="161" t="s">
        <v>2832</v>
      </c>
      <c r="I208" s="97" t="s">
        <v>2005</v>
      </c>
      <c r="J208" s="97" t="s">
        <v>2833</v>
      </c>
      <c r="K208" s="29">
        <v>600</v>
      </c>
      <c r="L208" s="29"/>
      <c r="M208" s="30">
        <f>IFERROR(VLOOKUP($A208,HeadJournal!$A$1:$J$890,COLUMN(HeadJournal!I$1),0)*($K208+$L208)/(SUMIF($A:$A,$A208,$K:$K)+SUMIF($A:$A,$A208,$L:$L)),0)</f>
        <v>0</v>
      </c>
      <c r="N208" s="30">
        <f>IFERROR((VLOOKUP($A208,HeadJournal!$A$1:$K$890,COLUMN(HeadJournal!K$1),0)-VLOOKUP($A208,HeadJournal!$A$1:$K$890,COLUMN(HeadJournal!J$1),0))*($K208+$L208)/(SUMIF($A:$A,$A208,$K:$K)+SUMIF($A:$A,$A208,$L:$L)),0)</f>
        <v>-19.572031110938969</v>
      </c>
      <c r="O208" s="30">
        <f>IFERROR((VLOOKUP($A208,HeadJournal!$A$1:$L$890,COLUMN(HeadJournal!L$1),0)*($K208+$L208)/(SUMIF($A:$A,$A208,$K:$K)+SUMIF($A:$A,$A208,$L:$L)))/VLOOKUP($A208,HeadJournal!$A$1:$L$890,COLUMN(HeadJournal!H$1),0),0)</f>
        <v>0</v>
      </c>
      <c r="P208" s="30">
        <f>IFERROR(SUM(K208:O208)*VLOOKUP($A208,HeadJournal!$A$1:$L$890,COLUMN(HeadJournal!H$1),0),0)</f>
        <v>725.53496111132631</v>
      </c>
      <c r="Q208" s="29">
        <v>1600</v>
      </c>
      <c r="R208" s="31">
        <v>44889</v>
      </c>
      <c r="S208" s="31" t="s">
        <v>3121</v>
      </c>
      <c r="T208" s="95" t="str">
        <f t="shared" si="19"/>
        <v>2022 11</v>
      </c>
      <c r="U208" s="32">
        <f t="shared" si="16"/>
        <v>874.46503888867369</v>
      </c>
      <c r="V208" s="22">
        <f t="shared" si="17"/>
        <v>1.2052693333333326</v>
      </c>
      <c r="X208" s="33"/>
      <c r="Y208" s="33"/>
    </row>
    <row r="209" spans="1:25" x14ac:dyDescent="0.2">
      <c r="A209" s="93" t="s">
        <v>121</v>
      </c>
      <c r="B209" s="94">
        <f>IFERROR(VLOOKUP($A209,HeadJournal!$A$1:$NTR$890,COLUMN(HeadJournal!B$1),0),"")</f>
        <v>0</v>
      </c>
      <c r="C209" s="94" t="str">
        <f>IFERROR(VLOOKUP($A209,HeadJournal!$A$1:$NTR$890,COLUMN(HeadJournal!C$1),0),"")</f>
        <v>Roman</v>
      </c>
      <c r="D209" s="125" t="str">
        <f>IFERROR(VLOOKUP($A209,HeadJournal!$A$1:$NTR$890,COLUMN(HeadJournal!D$1),0),"")</f>
        <v>Доставлен</v>
      </c>
      <c r="E209" s="95">
        <f>IFERROR(VLOOKUP($A209,HeadJournal!$A$1:$NTR$890,COLUMN(HeadJournal!G$1),0),"")</f>
        <v>44867</v>
      </c>
      <c r="F209" s="95" t="str">
        <f t="shared" si="18"/>
        <v>2022 11</v>
      </c>
      <c r="G209" s="96" t="s">
        <v>5</v>
      </c>
      <c r="H209" s="161" t="s">
        <v>2832</v>
      </c>
      <c r="I209" s="97" t="s">
        <v>2005</v>
      </c>
      <c r="J209" s="97" t="s">
        <v>2833</v>
      </c>
      <c r="K209" s="29">
        <v>600</v>
      </c>
      <c r="L209" s="29"/>
      <c r="M209" s="30">
        <f>IFERROR(VLOOKUP($A209,HeadJournal!$A$1:$J$890,COLUMN(HeadJournal!I$1),0)*($K209+$L209)/(SUMIF($A:$A,$A209,$K:$K)+SUMIF($A:$A,$A209,$L:$L)),0)</f>
        <v>0</v>
      </c>
      <c r="N209" s="30">
        <f>IFERROR((VLOOKUP($A209,HeadJournal!$A$1:$K$890,COLUMN(HeadJournal!K$1),0)-VLOOKUP($A209,HeadJournal!$A$1:$K$890,COLUMN(HeadJournal!J$1),0))*($K209+$L209)/(SUMIF($A:$A,$A209,$K:$K)+SUMIF($A:$A,$A209,$L:$L)),0)</f>
        <v>-19.572031110938969</v>
      </c>
      <c r="O209" s="30">
        <f>IFERROR((VLOOKUP($A209,HeadJournal!$A$1:$L$890,COLUMN(HeadJournal!L$1),0)*($K209+$L209)/(SUMIF($A:$A,$A209,$K:$K)+SUMIF($A:$A,$A209,$L:$L)))/VLOOKUP($A209,HeadJournal!$A$1:$L$890,COLUMN(HeadJournal!H$1),0),0)</f>
        <v>0</v>
      </c>
      <c r="P209" s="30">
        <f>IFERROR(SUM(K209:O209)*VLOOKUP($A209,HeadJournal!$A$1:$L$890,COLUMN(HeadJournal!H$1),0),0)</f>
        <v>725.53496111132631</v>
      </c>
      <c r="Q209" s="29">
        <v>2000</v>
      </c>
      <c r="R209" s="31">
        <v>44930</v>
      </c>
      <c r="S209" s="31" t="s">
        <v>3121</v>
      </c>
      <c r="T209" s="95" t="str">
        <f t="shared" si="19"/>
        <v>2023 01</v>
      </c>
      <c r="U209" s="32">
        <f t="shared" si="16"/>
        <v>1274.4650388886737</v>
      </c>
      <c r="V209" s="22">
        <f t="shared" si="17"/>
        <v>1.7565866666666659</v>
      </c>
      <c r="X209" s="33"/>
      <c r="Y209" s="33"/>
    </row>
    <row r="210" spans="1:25" x14ac:dyDescent="0.2">
      <c r="A210" s="93" t="s">
        <v>121</v>
      </c>
      <c r="B210" s="94">
        <f>IFERROR(VLOOKUP($A210,HeadJournal!$A$1:$NTR$890,COLUMN(HeadJournal!B$1),0),"")</f>
        <v>0</v>
      </c>
      <c r="C210" s="94" t="str">
        <f>IFERROR(VLOOKUP($A210,HeadJournal!$A$1:$NTR$890,COLUMN(HeadJournal!C$1),0),"")</f>
        <v>Roman</v>
      </c>
      <c r="D210" s="125" t="str">
        <f>IFERROR(VLOOKUP($A210,HeadJournal!$A$1:$NTR$890,COLUMN(HeadJournal!D$1),0),"")</f>
        <v>Доставлен</v>
      </c>
      <c r="E210" s="95">
        <f>IFERROR(VLOOKUP($A210,HeadJournal!$A$1:$NTR$890,COLUMN(HeadJournal!G$1),0),"")</f>
        <v>44867</v>
      </c>
      <c r="F210" s="95" t="str">
        <f t="shared" si="18"/>
        <v>2022 11</v>
      </c>
      <c r="G210" s="96" t="s">
        <v>5</v>
      </c>
      <c r="H210" s="160" t="str">
        <f>RIGHT(Journal!$J210,9)</f>
        <v>NOW-01653</v>
      </c>
      <c r="I210" s="96" t="str">
        <f t="shared" si="20"/>
        <v>NOW Foods</v>
      </c>
      <c r="J210" s="97" t="s">
        <v>122</v>
      </c>
      <c r="K210" s="29">
        <v>1334.4</v>
      </c>
      <c r="L210" s="29"/>
      <c r="M210" s="30">
        <f>IFERROR(VLOOKUP($A210,HeadJournal!$A$1:$J$890,COLUMN(HeadJournal!I$1),0)*($K210+$L210)/(SUMIF($A:$A,$A210,$K:$K)+SUMIF($A:$A,$A210,$L:$L)),0)</f>
        <v>0</v>
      </c>
      <c r="N210" s="30">
        <f>IFERROR((VLOOKUP($A210,HeadJournal!$A$1:$K$890,COLUMN(HeadJournal!K$1),0)-VLOOKUP($A210,HeadJournal!$A$1:$K$890,COLUMN(HeadJournal!J$1),0))*($K210+$L210)/(SUMIF($A:$A,$A210,$K:$K)+SUMIF($A:$A,$A210,$L:$L)),0)</f>
        <v>-43.528197190728271</v>
      </c>
      <c r="O210" s="30">
        <f>IFERROR((VLOOKUP($A210,HeadJournal!$A$1:$L$890,COLUMN(HeadJournal!L$1),0)*($K210+$L210)/(SUMIF($A:$A,$A210,$K:$K)+SUMIF($A:$A,$A210,$L:$L)))/VLOOKUP($A210,HeadJournal!$A$1:$L$890,COLUMN(HeadJournal!H$1),0),0)</f>
        <v>0</v>
      </c>
      <c r="P210" s="30">
        <f>IFERROR(SUM(K210:O210)*VLOOKUP($A210,HeadJournal!$A$1:$L$890,COLUMN(HeadJournal!H$1),0),0)</f>
        <v>1613.5897535115898</v>
      </c>
      <c r="Q210" s="29">
        <v>3200</v>
      </c>
      <c r="R210" s="31">
        <v>44919</v>
      </c>
      <c r="S210" s="31" t="s">
        <v>3121</v>
      </c>
      <c r="T210" s="95" t="str">
        <f t="shared" si="19"/>
        <v>2022 12</v>
      </c>
      <c r="U210" s="32">
        <f t="shared" si="16"/>
        <v>1586.4102464884102</v>
      </c>
      <c r="V210" s="22">
        <f t="shared" si="17"/>
        <v>0.98315587529975945</v>
      </c>
      <c r="X210" s="33"/>
      <c r="Y210" s="33"/>
    </row>
    <row r="211" spans="1:25" x14ac:dyDescent="0.2">
      <c r="A211" s="93" t="s">
        <v>121</v>
      </c>
      <c r="B211" s="94">
        <f>IFERROR(VLOOKUP($A211,HeadJournal!$A$1:$NTR$890,COLUMN(HeadJournal!B$1),0),"")</f>
        <v>0</v>
      </c>
      <c r="C211" s="94" t="str">
        <f>IFERROR(VLOOKUP($A211,HeadJournal!$A$1:$NTR$890,COLUMN(HeadJournal!C$1),0),"")</f>
        <v>Roman</v>
      </c>
      <c r="D211" s="125" t="str">
        <f>IFERROR(VLOOKUP($A211,HeadJournal!$A$1:$NTR$890,COLUMN(HeadJournal!D$1),0),"")</f>
        <v>Доставлен</v>
      </c>
      <c r="E211" s="95">
        <f>IFERROR(VLOOKUP($A211,HeadJournal!$A$1:$NTR$890,COLUMN(HeadJournal!G$1),0),"")</f>
        <v>44867</v>
      </c>
      <c r="F211" s="95" t="str">
        <f t="shared" si="18"/>
        <v>2022 11</v>
      </c>
      <c r="G211" s="96" t="s">
        <v>5</v>
      </c>
      <c r="H211" s="161" t="s">
        <v>2223</v>
      </c>
      <c r="I211" s="97" t="s">
        <v>2008</v>
      </c>
      <c r="J211" s="97" t="s">
        <v>2224</v>
      </c>
      <c r="K211" s="29">
        <v>458.4</v>
      </c>
      <c r="L211" s="29"/>
      <c r="M211" s="30">
        <f>IFERROR(VLOOKUP($A211,HeadJournal!$A$1:$J$890,COLUMN(HeadJournal!I$1),0)*($K211+$L211)/(SUMIF($A:$A,$A211,$K:$K)+SUMIF($A:$A,$A211,$L:$L)),0)</f>
        <v>0</v>
      </c>
      <c r="N211" s="30">
        <f>IFERROR((VLOOKUP($A211,HeadJournal!$A$1:$K$890,COLUMN(HeadJournal!K$1),0)-VLOOKUP($A211,HeadJournal!$A$1:$K$890,COLUMN(HeadJournal!J$1),0))*($K211+$L211)/(SUMIF($A:$A,$A211,$K:$K)+SUMIF($A:$A,$A211,$L:$L)),0)</f>
        <v>-14.953031768757373</v>
      </c>
      <c r="O211" s="30">
        <f>IFERROR((VLOOKUP($A211,HeadJournal!$A$1:$L$890,COLUMN(HeadJournal!L$1),0)*($K211+$L211)/(SUMIF($A:$A,$A211,$K:$K)+SUMIF($A:$A,$A211,$L:$L)))/VLOOKUP($A211,HeadJournal!$A$1:$L$890,COLUMN(HeadJournal!H$1),0),0)</f>
        <v>0</v>
      </c>
      <c r="P211" s="30">
        <f>IFERROR(SUM(K211:O211)*VLOOKUP($A211,HeadJournal!$A$1:$L$890,COLUMN(HeadJournal!H$1),0),0)</f>
        <v>554.30871028905324</v>
      </c>
      <c r="Q211" s="29">
        <v>1500</v>
      </c>
      <c r="R211" s="31">
        <v>44947</v>
      </c>
      <c r="S211" s="31" t="s">
        <v>3121</v>
      </c>
      <c r="T211" s="95" t="str">
        <f t="shared" si="19"/>
        <v>2023 01</v>
      </c>
      <c r="U211" s="32">
        <f t="shared" si="16"/>
        <v>945.69128971094676</v>
      </c>
      <c r="V211" s="22">
        <f t="shared" si="17"/>
        <v>1.7060732984293188</v>
      </c>
      <c r="X211" s="33"/>
      <c r="Y211" s="33"/>
    </row>
    <row r="212" spans="1:25" x14ac:dyDescent="0.2">
      <c r="A212" s="93" t="s">
        <v>121</v>
      </c>
      <c r="B212" s="94">
        <f>IFERROR(VLOOKUP($A212,HeadJournal!$A$1:$NTR$890,COLUMN(HeadJournal!B$1),0),"")</f>
        <v>0</v>
      </c>
      <c r="C212" s="94" t="str">
        <f>IFERROR(VLOOKUP($A212,HeadJournal!$A$1:$NTR$890,COLUMN(HeadJournal!C$1),0),"")</f>
        <v>Roman</v>
      </c>
      <c r="D212" s="125" t="str">
        <f>IFERROR(VLOOKUP($A212,HeadJournal!$A$1:$NTR$890,COLUMN(HeadJournal!D$1),0),"")</f>
        <v>Доставлен</v>
      </c>
      <c r="E212" s="95">
        <f>IFERROR(VLOOKUP($A212,HeadJournal!$A$1:$NTR$890,COLUMN(HeadJournal!G$1),0),"")</f>
        <v>44867</v>
      </c>
      <c r="F212" s="95" t="str">
        <f t="shared" si="18"/>
        <v>2022 11</v>
      </c>
      <c r="G212" s="96" t="s">
        <v>5</v>
      </c>
      <c r="H212" s="161" t="s">
        <v>2223</v>
      </c>
      <c r="I212" s="97" t="s">
        <v>2008</v>
      </c>
      <c r="J212" s="97" t="s">
        <v>2224</v>
      </c>
      <c r="K212" s="29">
        <v>458.4</v>
      </c>
      <c r="L212" s="29"/>
      <c r="M212" s="30">
        <f>IFERROR(VLOOKUP($A212,HeadJournal!$A$1:$J$890,COLUMN(HeadJournal!I$1),0)*($K212+$L212)/(SUMIF($A:$A,$A212,$K:$K)+SUMIF($A:$A,$A212,$L:$L)),0)</f>
        <v>0</v>
      </c>
      <c r="N212" s="30">
        <f>IFERROR((VLOOKUP($A212,HeadJournal!$A$1:$K$890,COLUMN(HeadJournal!K$1),0)-VLOOKUP($A212,HeadJournal!$A$1:$K$890,COLUMN(HeadJournal!J$1),0))*($K212+$L212)/(SUMIF($A:$A,$A212,$K:$K)+SUMIF($A:$A,$A212,$L:$L)),0)</f>
        <v>-14.953031768757373</v>
      </c>
      <c r="O212" s="30">
        <f>IFERROR((VLOOKUP($A212,HeadJournal!$A$1:$L$890,COLUMN(HeadJournal!L$1),0)*($K212+$L212)/(SUMIF($A:$A,$A212,$K:$K)+SUMIF($A:$A,$A212,$L:$L)))/VLOOKUP($A212,HeadJournal!$A$1:$L$890,COLUMN(HeadJournal!H$1),0),0)</f>
        <v>0</v>
      </c>
      <c r="P212" s="30">
        <f>IFERROR(SUM(K212:O212)*VLOOKUP($A212,HeadJournal!$A$1:$L$890,COLUMN(HeadJournal!H$1),0),0)</f>
        <v>554.30871028905324</v>
      </c>
      <c r="Q212" s="29">
        <v>1650</v>
      </c>
      <c r="R212" s="31">
        <v>44956</v>
      </c>
      <c r="S212" s="31" t="s">
        <v>3121</v>
      </c>
      <c r="T212" s="95" t="str">
        <f t="shared" si="19"/>
        <v>2023 01</v>
      </c>
      <c r="U212" s="32">
        <f t="shared" si="16"/>
        <v>1095.6912897109469</v>
      </c>
      <c r="V212" s="22">
        <f t="shared" si="17"/>
        <v>1.9766806282722509</v>
      </c>
      <c r="X212" s="33"/>
      <c r="Y212" s="33"/>
    </row>
    <row r="213" spans="1:25" x14ac:dyDescent="0.2">
      <c r="A213" s="93" t="s">
        <v>121</v>
      </c>
      <c r="B213" s="94">
        <f>IFERROR(VLOOKUP($A213,HeadJournal!$A$1:$NTR$890,COLUMN(HeadJournal!B$1),0),"")</f>
        <v>0</v>
      </c>
      <c r="C213" s="94" t="str">
        <f>IFERROR(VLOOKUP($A213,HeadJournal!$A$1:$NTR$890,COLUMN(HeadJournal!C$1),0),"")</f>
        <v>Roman</v>
      </c>
      <c r="D213" s="125" t="str">
        <f>IFERROR(VLOOKUP($A213,HeadJournal!$A$1:$NTR$890,COLUMN(HeadJournal!D$1),0),"")</f>
        <v>Доставлен</v>
      </c>
      <c r="E213" s="95">
        <f>IFERROR(VLOOKUP($A213,HeadJournal!$A$1:$NTR$890,COLUMN(HeadJournal!G$1),0),"")</f>
        <v>44867</v>
      </c>
      <c r="F213" s="95" t="str">
        <f t="shared" si="18"/>
        <v>2022 11</v>
      </c>
      <c r="G213" s="96" t="s">
        <v>5</v>
      </c>
      <c r="H213" s="161" t="s">
        <v>2223</v>
      </c>
      <c r="I213" s="97" t="s">
        <v>2008</v>
      </c>
      <c r="J213" s="97" t="s">
        <v>2224</v>
      </c>
      <c r="K213" s="29">
        <v>458.4</v>
      </c>
      <c r="L213" s="29"/>
      <c r="M213" s="30">
        <f>IFERROR(VLOOKUP($A213,HeadJournal!$A$1:$J$890,COLUMN(HeadJournal!I$1),0)*($K213+$L213)/(SUMIF($A:$A,$A213,$K:$K)+SUMIF($A:$A,$A213,$L:$L)),0)</f>
        <v>0</v>
      </c>
      <c r="N213" s="30">
        <f>IFERROR((VLOOKUP($A213,HeadJournal!$A$1:$K$890,COLUMN(HeadJournal!K$1),0)-VLOOKUP($A213,HeadJournal!$A$1:$K$890,COLUMN(HeadJournal!J$1),0))*($K213+$L213)/(SUMIF($A:$A,$A213,$K:$K)+SUMIF($A:$A,$A213,$L:$L)),0)</f>
        <v>-14.953031768757373</v>
      </c>
      <c r="O213" s="30">
        <f>IFERROR((VLOOKUP($A213,HeadJournal!$A$1:$L$890,COLUMN(HeadJournal!L$1),0)*($K213+$L213)/(SUMIF($A:$A,$A213,$K:$K)+SUMIF($A:$A,$A213,$L:$L)))/VLOOKUP($A213,HeadJournal!$A$1:$L$890,COLUMN(HeadJournal!H$1),0),0)</f>
        <v>0</v>
      </c>
      <c r="P213" s="30">
        <f>IFERROR(SUM(K213:O213)*VLOOKUP($A213,HeadJournal!$A$1:$L$890,COLUMN(HeadJournal!H$1),0),0)</f>
        <v>554.30871028905324</v>
      </c>
      <c r="Q213" s="29">
        <v>1700</v>
      </c>
      <c r="R213" s="31">
        <v>44991</v>
      </c>
      <c r="S213" s="31" t="s">
        <v>3121</v>
      </c>
      <c r="T213" s="95" t="str">
        <f t="shared" si="19"/>
        <v>2023 03</v>
      </c>
      <c r="U213" s="32">
        <f t="shared" si="16"/>
        <v>1145.6912897109469</v>
      </c>
      <c r="V213" s="22">
        <f t="shared" si="17"/>
        <v>2.066883071553228</v>
      </c>
      <c r="X213" s="33"/>
      <c r="Y213" s="33"/>
    </row>
    <row r="214" spans="1:25" x14ac:dyDescent="0.2">
      <c r="A214" s="93" t="s">
        <v>121</v>
      </c>
      <c r="B214" s="94">
        <f>IFERROR(VLOOKUP($A214,HeadJournal!$A$1:$NTR$890,COLUMN(HeadJournal!B$1),0),"")</f>
        <v>0</v>
      </c>
      <c r="C214" s="94" t="str">
        <f>IFERROR(VLOOKUP($A214,HeadJournal!$A$1:$NTR$890,COLUMN(HeadJournal!C$1),0),"")</f>
        <v>Roman</v>
      </c>
      <c r="D214" s="125" t="str">
        <f>IFERROR(VLOOKUP($A214,HeadJournal!$A$1:$NTR$890,COLUMN(HeadJournal!D$1),0),"")</f>
        <v>Доставлен</v>
      </c>
      <c r="E214" s="95">
        <f>IFERROR(VLOOKUP($A214,HeadJournal!$A$1:$NTR$890,COLUMN(HeadJournal!G$1),0),"")</f>
        <v>44867</v>
      </c>
      <c r="F214" s="95" t="str">
        <f t="shared" si="18"/>
        <v>2022 11</v>
      </c>
      <c r="G214" s="96" t="s">
        <v>5</v>
      </c>
      <c r="H214" s="161" t="s">
        <v>2223</v>
      </c>
      <c r="I214" s="97" t="s">
        <v>2008</v>
      </c>
      <c r="J214" s="97" t="s">
        <v>2224</v>
      </c>
      <c r="K214" s="29">
        <v>458.4</v>
      </c>
      <c r="L214" s="29"/>
      <c r="M214" s="30">
        <f>IFERROR(VLOOKUP($A214,HeadJournal!$A$1:$J$890,COLUMN(HeadJournal!I$1),0)*($K214+$L214)/(SUMIF($A:$A,$A214,$K:$K)+SUMIF($A:$A,$A214,$L:$L)),0)</f>
        <v>0</v>
      </c>
      <c r="N214" s="30">
        <f>IFERROR((VLOOKUP($A214,HeadJournal!$A$1:$K$890,COLUMN(HeadJournal!K$1),0)-VLOOKUP($A214,HeadJournal!$A$1:$K$890,COLUMN(HeadJournal!J$1),0))*($K214+$L214)/(SUMIF($A:$A,$A214,$K:$K)+SUMIF($A:$A,$A214,$L:$L)),0)</f>
        <v>-14.953031768757373</v>
      </c>
      <c r="O214" s="30">
        <f>IFERROR((VLOOKUP($A214,HeadJournal!$A$1:$L$890,COLUMN(HeadJournal!L$1),0)*($K214+$L214)/(SUMIF($A:$A,$A214,$K:$K)+SUMIF($A:$A,$A214,$L:$L)))/VLOOKUP($A214,HeadJournal!$A$1:$L$890,COLUMN(HeadJournal!H$1),0),0)</f>
        <v>0</v>
      </c>
      <c r="P214" s="30">
        <f>IFERROR(SUM(K214:O214)*VLOOKUP($A214,HeadJournal!$A$1:$L$890,COLUMN(HeadJournal!H$1),0),0)</f>
        <v>554.30871028905324</v>
      </c>
      <c r="Q214" s="29">
        <v>554.30999999999995</v>
      </c>
      <c r="R214" s="31">
        <v>44805</v>
      </c>
      <c r="S214" s="31" t="s">
        <v>3121</v>
      </c>
      <c r="T214" s="95" t="str">
        <f t="shared" si="19"/>
        <v>2022 09</v>
      </c>
      <c r="U214" s="32">
        <f t="shared" si="16"/>
        <v>1.2897109467076007E-3</v>
      </c>
      <c r="V214" s="22">
        <f t="shared" si="17"/>
        <v>2.3267015703849575E-6</v>
      </c>
      <c r="X214" s="33"/>
      <c r="Y214" s="33"/>
    </row>
    <row r="215" spans="1:25" x14ac:dyDescent="0.2">
      <c r="A215" s="93" t="s">
        <v>121</v>
      </c>
      <c r="B215" s="94">
        <f>IFERROR(VLOOKUP($A215,HeadJournal!$A$1:$NTR$890,COLUMN(HeadJournal!B$1),0),"")</f>
        <v>0</v>
      </c>
      <c r="C215" s="94" t="str">
        <f>IFERROR(VLOOKUP($A215,HeadJournal!$A$1:$NTR$890,COLUMN(HeadJournal!C$1),0),"")</f>
        <v>Roman</v>
      </c>
      <c r="D215" s="125" t="str">
        <f>IFERROR(VLOOKUP($A215,HeadJournal!$A$1:$NTR$890,COLUMN(HeadJournal!D$1),0),"")</f>
        <v>Доставлен</v>
      </c>
      <c r="E215" s="95">
        <f>IFERROR(VLOOKUP($A215,HeadJournal!$A$1:$NTR$890,COLUMN(HeadJournal!G$1),0),"")</f>
        <v>44867</v>
      </c>
      <c r="F215" s="95" t="str">
        <f t="shared" si="18"/>
        <v>2022 11</v>
      </c>
      <c r="G215" s="96" t="s">
        <v>5</v>
      </c>
      <c r="H215" s="161" t="s">
        <v>2223</v>
      </c>
      <c r="I215" s="97" t="s">
        <v>2008</v>
      </c>
      <c r="J215" s="97" t="s">
        <v>2224</v>
      </c>
      <c r="K215" s="29">
        <v>458.4</v>
      </c>
      <c r="L215" s="29"/>
      <c r="M215" s="30">
        <f>IFERROR(VLOOKUP($A215,HeadJournal!$A$1:$J$890,COLUMN(HeadJournal!I$1),0)*($K215+$L215)/(SUMIF($A:$A,$A215,$K:$K)+SUMIF($A:$A,$A215,$L:$L)),0)</f>
        <v>0</v>
      </c>
      <c r="N215" s="30">
        <f>IFERROR((VLOOKUP($A215,HeadJournal!$A$1:$K$890,COLUMN(HeadJournal!K$1),0)-VLOOKUP($A215,HeadJournal!$A$1:$K$890,COLUMN(HeadJournal!J$1),0))*($K215+$L215)/(SUMIF($A:$A,$A215,$K:$K)+SUMIF($A:$A,$A215,$L:$L)),0)</f>
        <v>-14.953031768757373</v>
      </c>
      <c r="O215" s="30">
        <f>IFERROR((VLOOKUP($A215,HeadJournal!$A$1:$L$890,COLUMN(HeadJournal!L$1),0)*($K215+$L215)/(SUMIF($A:$A,$A215,$K:$K)+SUMIF($A:$A,$A215,$L:$L)))/VLOOKUP($A215,HeadJournal!$A$1:$L$890,COLUMN(HeadJournal!H$1),0),0)</f>
        <v>0</v>
      </c>
      <c r="P215" s="30">
        <f>IFERROR(SUM(K215:O215)*VLOOKUP($A215,HeadJournal!$A$1:$L$890,COLUMN(HeadJournal!H$1),0),0)</f>
        <v>554.30871028905324</v>
      </c>
      <c r="Q215" s="29">
        <v>1600</v>
      </c>
      <c r="R215" s="31">
        <v>45000</v>
      </c>
      <c r="S215" s="31" t="s">
        <v>3121</v>
      </c>
      <c r="T215" s="95" t="str">
        <f t="shared" si="19"/>
        <v>2023 03</v>
      </c>
      <c r="U215" s="32">
        <f t="shared" si="16"/>
        <v>1045.6912897109469</v>
      </c>
      <c r="V215" s="22">
        <f t="shared" si="17"/>
        <v>1.8864781849912737</v>
      </c>
      <c r="X215" s="33"/>
      <c r="Y215" s="33"/>
    </row>
    <row r="216" spans="1:25" x14ac:dyDescent="0.2">
      <c r="A216" s="93" t="s">
        <v>121</v>
      </c>
      <c r="B216" s="94">
        <f>IFERROR(VLOOKUP($A216,HeadJournal!$A$1:$NTR$890,COLUMN(HeadJournal!B$1),0),"")</f>
        <v>0</v>
      </c>
      <c r="C216" s="94" t="str">
        <f>IFERROR(VLOOKUP($A216,HeadJournal!$A$1:$NTR$890,COLUMN(HeadJournal!C$1),0),"")</f>
        <v>Roman</v>
      </c>
      <c r="D216" s="125" t="str">
        <f>IFERROR(VLOOKUP($A216,HeadJournal!$A$1:$NTR$890,COLUMN(HeadJournal!D$1),0),"")</f>
        <v>Доставлен</v>
      </c>
      <c r="E216" s="95">
        <f>IFERROR(VLOOKUP($A216,HeadJournal!$A$1:$NTR$890,COLUMN(HeadJournal!G$1),0),"")</f>
        <v>44867</v>
      </c>
      <c r="F216" s="95" t="str">
        <f t="shared" si="18"/>
        <v>2022 11</v>
      </c>
      <c r="G216" s="96" t="s">
        <v>5</v>
      </c>
      <c r="H216" s="160" t="str">
        <f>RIGHT(Journal!$J216,9)</f>
        <v>NOW-01277</v>
      </c>
      <c r="I216" s="96" t="str">
        <f t="shared" si="20"/>
        <v>NOW Foods</v>
      </c>
      <c r="J216" s="97" t="s">
        <v>52</v>
      </c>
      <c r="K216" s="29">
        <v>570.4</v>
      </c>
      <c r="L216" s="29"/>
      <c r="M216" s="30">
        <f>IFERROR(VLOOKUP($A216,HeadJournal!$A$1:$J$890,COLUMN(HeadJournal!I$1),0)*($K216+$L216)/(SUMIF($A:$A,$A216,$K:$K)+SUMIF($A:$A,$A216,$L:$L)),0)</f>
        <v>0</v>
      </c>
      <c r="N216" s="30">
        <f>IFERROR((VLOOKUP($A216,HeadJournal!$A$1:$K$890,COLUMN(HeadJournal!K$1),0)-VLOOKUP($A216,HeadJournal!$A$1:$K$890,COLUMN(HeadJournal!J$1),0))*($K216+$L216)/(SUMIF($A:$A,$A216,$K:$K)+SUMIF($A:$A,$A216,$L:$L)),0)</f>
        <v>-18.606477576132647</v>
      </c>
      <c r="O216" s="30">
        <f>IFERROR((VLOOKUP($A216,HeadJournal!$A$1:$L$890,COLUMN(HeadJournal!L$1),0)*($K216+$L216)/(SUMIF($A:$A,$A216,$K:$K)+SUMIF($A:$A,$A216,$L:$L)))/VLOOKUP($A216,HeadJournal!$A$1:$L$890,COLUMN(HeadJournal!H$1),0),0)</f>
        <v>0</v>
      </c>
      <c r="P216" s="30">
        <f>IFERROR(SUM(K216:O216)*VLOOKUP($A216,HeadJournal!$A$1:$L$890,COLUMN(HeadJournal!H$1),0),0)</f>
        <v>689.74190302983413</v>
      </c>
      <c r="Q216" s="29">
        <v>1600</v>
      </c>
      <c r="R216" s="31">
        <v>44898</v>
      </c>
      <c r="S216" s="31" t="s">
        <v>3121</v>
      </c>
      <c r="T216" s="95" t="str">
        <f t="shared" si="19"/>
        <v>2022 12</v>
      </c>
      <c r="U216" s="32">
        <f t="shared" si="16"/>
        <v>910.25809697016587</v>
      </c>
      <c r="V216" s="22">
        <f t="shared" si="17"/>
        <v>1.3197082748948101</v>
      </c>
      <c r="X216" s="33"/>
      <c r="Y216" s="33"/>
    </row>
    <row r="217" spans="1:25" x14ac:dyDescent="0.2">
      <c r="A217" s="93" t="s">
        <v>121</v>
      </c>
      <c r="B217" s="94">
        <f>IFERROR(VLOOKUP($A217,HeadJournal!$A$1:$NTR$890,COLUMN(HeadJournal!B$1),0),"")</f>
        <v>0</v>
      </c>
      <c r="C217" s="94" t="str">
        <f>IFERROR(VLOOKUP($A217,HeadJournal!$A$1:$NTR$890,COLUMN(HeadJournal!C$1),0),"")</f>
        <v>Roman</v>
      </c>
      <c r="D217" s="125" t="str">
        <f>IFERROR(VLOOKUP($A217,HeadJournal!$A$1:$NTR$890,COLUMN(HeadJournal!D$1),0),"")</f>
        <v>Доставлен</v>
      </c>
      <c r="E217" s="95">
        <f>IFERROR(VLOOKUP($A217,HeadJournal!$A$1:$NTR$890,COLUMN(HeadJournal!G$1),0),"")</f>
        <v>44867</v>
      </c>
      <c r="F217" s="95" t="str">
        <f t="shared" si="18"/>
        <v>2022 11</v>
      </c>
      <c r="G217" s="96" t="s">
        <v>5</v>
      </c>
      <c r="H217" s="160" t="str">
        <f>RIGHT(Journal!$J217,9)</f>
        <v>NOW-01277</v>
      </c>
      <c r="I217" s="96" t="str">
        <f t="shared" si="20"/>
        <v>NOW Foods</v>
      </c>
      <c r="J217" s="97" t="s">
        <v>52</v>
      </c>
      <c r="K217" s="29">
        <v>570.4</v>
      </c>
      <c r="L217" s="29"/>
      <c r="M217" s="30">
        <f>IFERROR(VLOOKUP($A217,HeadJournal!$A$1:$J$890,COLUMN(HeadJournal!I$1),0)*($K217+$L217)/(SUMIF($A:$A,$A217,$K:$K)+SUMIF($A:$A,$A217,$L:$L)),0)</f>
        <v>0</v>
      </c>
      <c r="N217" s="30">
        <f>IFERROR((VLOOKUP($A217,HeadJournal!$A$1:$K$890,COLUMN(HeadJournal!K$1),0)-VLOOKUP($A217,HeadJournal!$A$1:$K$890,COLUMN(HeadJournal!J$1),0))*($K217+$L217)/(SUMIF($A:$A,$A217,$K:$K)+SUMIF($A:$A,$A217,$L:$L)),0)</f>
        <v>-18.606477576132647</v>
      </c>
      <c r="O217" s="30">
        <f>IFERROR((VLOOKUP($A217,HeadJournal!$A$1:$L$890,COLUMN(HeadJournal!L$1),0)*($K217+$L217)/(SUMIF($A:$A,$A217,$K:$K)+SUMIF($A:$A,$A217,$L:$L)))/VLOOKUP($A217,HeadJournal!$A$1:$L$890,COLUMN(HeadJournal!H$1),0),0)</f>
        <v>0</v>
      </c>
      <c r="P217" s="30">
        <f>IFERROR(SUM(K217:O217)*VLOOKUP($A217,HeadJournal!$A$1:$L$890,COLUMN(HeadJournal!H$1),0),0)</f>
        <v>689.74190302983413</v>
      </c>
      <c r="Q217" s="29">
        <v>1600</v>
      </c>
      <c r="R217" s="31">
        <v>44898</v>
      </c>
      <c r="S217" s="31" t="s">
        <v>3121</v>
      </c>
      <c r="T217" s="95" t="str">
        <f t="shared" si="19"/>
        <v>2022 12</v>
      </c>
      <c r="U217" s="32">
        <f t="shared" si="16"/>
        <v>910.25809697016587</v>
      </c>
      <c r="V217" s="22">
        <f t="shared" si="17"/>
        <v>1.3197082748948101</v>
      </c>
      <c r="X217" s="33"/>
      <c r="Y217" s="33"/>
    </row>
    <row r="218" spans="1:25" x14ac:dyDescent="0.2">
      <c r="A218" s="93" t="s">
        <v>121</v>
      </c>
      <c r="B218" s="94">
        <f>IFERROR(VLOOKUP($A218,HeadJournal!$A$1:$NTR$890,COLUMN(HeadJournal!B$1),0),"")</f>
        <v>0</v>
      </c>
      <c r="C218" s="94" t="str">
        <f>IFERROR(VLOOKUP($A218,HeadJournal!$A$1:$NTR$890,COLUMN(HeadJournal!C$1),0),"")</f>
        <v>Roman</v>
      </c>
      <c r="D218" s="125" t="str">
        <f>IFERROR(VLOOKUP($A218,HeadJournal!$A$1:$NTR$890,COLUMN(HeadJournal!D$1),0),"")</f>
        <v>Доставлен</v>
      </c>
      <c r="E218" s="95">
        <f>IFERROR(VLOOKUP($A218,HeadJournal!$A$1:$NTR$890,COLUMN(HeadJournal!G$1),0),"")</f>
        <v>44867</v>
      </c>
      <c r="F218" s="95" t="str">
        <f t="shared" si="18"/>
        <v>2022 11</v>
      </c>
      <c r="G218" s="96" t="s">
        <v>5</v>
      </c>
      <c r="H218" s="160" t="str">
        <f>RIGHT(Journal!$J218,9)</f>
        <v>NOW-01277</v>
      </c>
      <c r="I218" s="96" t="str">
        <f t="shared" si="20"/>
        <v>NOW Foods</v>
      </c>
      <c r="J218" s="97" t="s">
        <v>52</v>
      </c>
      <c r="K218" s="29">
        <v>570.4</v>
      </c>
      <c r="L218" s="29"/>
      <c r="M218" s="30">
        <f>IFERROR(VLOOKUP($A218,HeadJournal!$A$1:$J$890,COLUMN(HeadJournal!I$1),0)*($K218+$L218)/(SUMIF($A:$A,$A218,$K:$K)+SUMIF($A:$A,$A218,$L:$L)),0)</f>
        <v>0</v>
      </c>
      <c r="N218" s="30">
        <f>IFERROR((VLOOKUP($A218,HeadJournal!$A$1:$K$890,COLUMN(HeadJournal!K$1),0)-VLOOKUP($A218,HeadJournal!$A$1:$K$890,COLUMN(HeadJournal!J$1),0))*($K218+$L218)/(SUMIF($A:$A,$A218,$K:$K)+SUMIF($A:$A,$A218,$L:$L)),0)</f>
        <v>-18.606477576132647</v>
      </c>
      <c r="O218" s="30">
        <f>IFERROR((VLOOKUP($A218,HeadJournal!$A$1:$L$890,COLUMN(HeadJournal!L$1),0)*($K218+$L218)/(SUMIF($A:$A,$A218,$K:$K)+SUMIF($A:$A,$A218,$L:$L)))/VLOOKUP($A218,HeadJournal!$A$1:$L$890,COLUMN(HeadJournal!H$1),0),0)</f>
        <v>0</v>
      </c>
      <c r="P218" s="30">
        <f>IFERROR(SUM(K218:O218)*VLOOKUP($A218,HeadJournal!$A$1:$L$890,COLUMN(HeadJournal!H$1),0),0)</f>
        <v>689.74190302983413</v>
      </c>
      <c r="Q218" s="29">
        <v>1700</v>
      </c>
      <c r="R218" s="31">
        <v>44919</v>
      </c>
      <c r="S218" s="31" t="s">
        <v>3121</v>
      </c>
      <c r="T218" s="95" t="str">
        <f t="shared" si="19"/>
        <v>2022 12</v>
      </c>
      <c r="U218" s="32">
        <f t="shared" si="16"/>
        <v>1010.2580969701659</v>
      </c>
      <c r="V218" s="22">
        <f t="shared" si="17"/>
        <v>1.4646900420757358</v>
      </c>
      <c r="X218" s="33"/>
      <c r="Y218" s="33"/>
    </row>
    <row r="219" spans="1:25" x14ac:dyDescent="0.2">
      <c r="A219" s="93" t="s">
        <v>121</v>
      </c>
      <c r="B219" s="94">
        <f>IFERROR(VLOOKUP($A219,HeadJournal!$A$1:$NTR$890,COLUMN(HeadJournal!B$1),0),"")</f>
        <v>0</v>
      </c>
      <c r="C219" s="94" t="str">
        <f>IFERROR(VLOOKUP($A219,HeadJournal!$A$1:$NTR$890,COLUMN(HeadJournal!C$1),0),"")</f>
        <v>Roman</v>
      </c>
      <c r="D219" s="125" t="str">
        <f>IFERROR(VLOOKUP($A219,HeadJournal!$A$1:$NTR$890,COLUMN(HeadJournal!D$1),0),"")</f>
        <v>Доставлен</v>
      </c>
      <c r="E219" s="95">
        <f>IFERROR(VLOOKUP($A219,HeadJournal!$A$1:$NTR$890,COLUMN(HeadJournal!G$1),0),"")</f>
        <v>44867</v>
      </c>
      <c r="F219" s="95" t="str">
        <f t="shared" si="18"/>
        <v>2022 11</v>
      </c>
      <c r="G219" s="96" t="s">
        <v>5</v>
      </c>
      <c r="H219" s="161" t="s">
        <v>2051</v>
      </c>
      <c r="I219" s="97" t="s">
        <v>2052</v>
      </c>
      <c r="J219" s="97" t="s">
        <v>3097</v>
      </c>
      <c r="K219" s="29">
        <v>800</v>
      </c>
      <c r="L219" s="29"/>
      <c r="M219" s="30">
        <f>IFERROR(VLOOKUP($A219,HeadJournal!$A$1:$J$890,COLUMN(HeadJournal!I$1),0)*($K219+$L219)/(SUMIF($A:$A,$A219,$K:$K)+SUMIF($A:$A,$A219,$L:$L)),0)</f>
        <v>0</v>
      </c>
      <c r="N219" s="30">
        <f>IFERROR((VLOOKUP($A219,HeadJournal!$A$1:$K$890,COLUMN(HeadJournal!K$1),0)-VLOOKUP($A219,HeadJournal!$A$1:$K$890,COLUMN(HeadJournal!J$1),0))*($K219+$L219)/(SUMIF($A:$A,$A219,$K:$K)+SUMIF($A:$A,$A219,$L:$L)),0)</f>
        <v>-26.096041481251959</v>
      </c>
      <c r="O219" s="30">
        <f>IFERROR((VLOOKUP($A219,HeadJournal!$A$1:$L$890,COLUMN(HeadJournal!L$1),0)*($K219+$L219)/(SUMIF($A:$A,$A219,$K:$K)+SUMIF($A:$A,$A219,$L:$L)))/VLOOKUP($A219,HeadJournal!$A$1:$L$890,COLUMN(HeadJournal!H$1),0),0)</f>
        <v>0</v>
      </c>
      <c r="P219" s="30">
        <f>IFERROR(SUM(K219:O219)*VLOOKUP($A219,HeadJournal!$A$1:$L$890,COLUMN(HeadJournal!H$1),0),0)</f>
        <v>967.37994814843501</v>
      </c>
      <c r="Q219" s="29">
        <v>2000</v>
      </c>
      <c r="R219" s="31">
        <v>44891</v>
      </c>
      <c r="S219" s="31" t="s">
        <v>3121</v>
      </c>
      <c r="T219" s="95" t="str">
        <f t="shared" si="19"/>
        <v>2022 11</v>
      </c>
      <c r="U219" s="32">
        <f t="shared" si="16"/>
        <v>1032.620051851565</v>
      </c>
      <c r="V219" s="22">
        <f t="shared" si="17"/>
        <v>1.0674399999999995</v>
      </c>
      <c r="X219" s="33"/>
      <c r="Y219" s="33"/>
    </row>
    <row r="220" spans="1:25" x14ac:dyDescent="0.2">
      <c r="A220" s="93" t="s">
        <v>121</v>
      </c>
      <c r="B220" s="94">
        <f>IFERROR(VLOOKUP($A220,HeadJournal!$A$1:$NTR$890,COLUMN(HeadJournal!B$1),0),"")</f>
        <v>0</v>
      </c>
      <c r="C220" s="94" t="str">
        <f>IFERROR(VLOOKUP($A220,HeadJournal!$A$1:$NTR$890,COLUMN(HeadJournal!C$1),0),"")</f>
        <v>Roman</v>
      </c>
      <c r="D220" s="125" t="str">
        <f>IFERROR(VLOOKUP($A220,HeadJournal!$A$1:$NTR$890,COLUMN(HeadJournal!D$1),0),"")</f>
        <v>Доставлен</v>
      </c>
      <c r="E220" s="95">
        <f>IFERROR(VLOOKUP($A220,HeadJournal!$A$1:$NTR$890,COLUMN(HeadJournal!G$1),0),"")</f>
        <v>44867</v>
      </c>
      <c r="F220" s="95" t="str">
        <f t="shared" si="18"/>
        <v>2022 11</v>
      </c>
      <c r="G220" s="96" t="s">
        <v>5</v>
      </c>
      <c r="H220" s="161" t="s">
        <v>2051</v>
      </c>
      <c r="I220" s="97" t="s">
        <v>2052</v>
      </c>
      <c r="J220" s="97" t="s">
        <v>3097</v>
      </c>
      <c r="K220" s="29">
        <v>800</v>
      </c>
      <c r="L220" s="29"/>
      <c r="M220" s="30">
        <f>IFERROR(VLOOKUP($A220,HeadJournal!$A$1:$J$890,COLUMN(HeadJournal!I$1),0)*($K220+$L220)/(SUMIF($A:$A,$A220,$K:$K)+SUMIF($A:$A,$A220,$L:$L)),0)</f>
        <v>0</v>
      </c>
      <c r="N220" s="30">
        <f>IFERROR((VLOOKUP($A220,HeadJournal!$A$1:$K$890,COLUMN(HeadJournal!K$1),0)-VLOOKUP($A220,HeadJournal!$A$1:$K$890,COLUMN(HeadJournal!J$1),0))*($K220+$L220)/(SUMIF($A:$A,$A220,$K:$K)+SUMIF($A:$A,$A220,$L:$L)),0)</f>
        <v>-26.096041481251959</v>
      </c>
      <c r="O220" s="30">
        <f>IFERROR((VLOOKUP($A220,HeadJournal!$A$1:$L$890,COLUMN(HeadJournal!L$1),0)*($K220+$L220)/(SUMIF($A:$A,$A220,$K:$K)+SUMIF($A:$A,$A220,$L:$L)))/VLOOKUP($A220,HeadJournal!$A$1:$L$890,COLUMN(HeadJournal!H$1),0),0)</f>
        <v>0</v>
      </c>
      <c r="P220" s="30">
        <f>IFERROR(SUM(K220:O220)*VLOOKUP($A220,HeadJournal!$A$1:$L$890,COLUMN(HeadJournal!H$1),0),0)</f>
        <v>967.37994814843501</v>
      </c>
      <c r="Q220" s="29">
        <v>2000</v>
      </c>
      <c r="R220" s="31">
        <v>44893</v>
      </c>
      <c r="S220" s="31" t="s">
        <v>3121</v>
      </c>
      <c r="T220" s="95" t="str">
        <f t="shared" si="19"/>
        <v>2022 11</v>
      </c>
      <c r="U220" s="32">
        <f t="shared" si="16"/>
        <v>1032.620051851565</v>
      </c>
      <c r="V220" s="22">
        <f t="shared" si="17"/>
        <v>1.0674399999999995</v>
      </c>
      <c r="X220" s="33"/>
      <c r="Y220" s="33"/>
    </row>
    <row r="221" spans="1:25" x14ac:dyDescent="0.2">
      <c r="A221" s="93" t="s">
        <v>121</v>
      </c>
      <c r="B221" s="94">
        <f>IFERROR(VLOOKUP($A221,HeadJournal!$A$1:$NTR$890,COLUMN(HeadJournal!B$1),0),"")</f>
        <v>0</v>
      </c>
      <c r="C221" s="94" t="str">
        <f>IFERROR(VLOOKUP($A221,HeadJournal!$A$1:$NTR$890,COLUMN(HeadJournal!C$1),0),"")</f>
        <v>Roman</v>
      </c>
      <c r="D221" s="125" t="str">
        <f>IFERROR(VLOOKUP($A221,HeadJournal!$A$1:$NTR$890,COLUMN(HeadJournal!D$1),0),"")</f>
        <v>Доставлен</v>
      </c>
      <c r="E221" s="95">
        <f>IFERROR(VLOOKUP($A221,HeadJournal!$A$1:$NTR$890,COLUMN(HeadJournal!G$1),0),"")</f>
        <v>44867</v>
      </c>
      <c r="F221" s="95" t="str">
        <f t="shared" si="18"/>
        <v>2022 11</v>
      </c>
      <c r="G221" s="96" t="s">
        <v>5</v>
      </c>
      <c r="H221" s="161" t="s">
        <v>2051</v>
      </c>
      <c r="I221" s="97" t="s">
        <v>2052</v>
      </c>
      <c r="J221" s="97" t="s">
        <v>3097</v>
      </c>
      <c r="K221" s="29">
        <v>800</v>
      </c>
      <c r="L221" s="29"/>
      <c r="M221" s="30">
        <f>IFERROR(VLOOKUP($A221,HeadJournal!$A$1:$J$890,COLUMN(HeadJournal!I$1),0)*($K221+$L221)/(SUMIF($A:$A,$A221,$K:$K)+SUMIF($A:$A,$A221,$L:$L)),0)</f>
        <v>0</v>
      </c>
      <c r="N221" s="30">
        <f>IFERROR((VLOOKUP($A221,HeadJournal!$A$1:$K$890,COLUMN(HeadJournal!K$1),0)-VLOOKUP($A221,HeadJournal!$A$1:$K$890,COLUMN(HeadJournal!J$1),0))*($K221+$L221)/(SUMIF($A:$A,$A221,$K:$K)+SUMIF($A:$A,$A221,$L:$L)),0)</f>
        <v>-26.096041481251959</v>
      </c>
      <c r="O221" s="30">
        <f>IFERROR((VLOOKUP($A221,HeadJournal!$A$1:$L$890,COLUMN(HeadJournal!L$1),0)*($K221+$L221)/(SUMIF($A:$A,$A221,$K:$K)+SUMIF($A:$A,$A221,$L:$L)))/VLOOKUP($A221,HeadJournal!$A$1:$L$890,COLUMN(HeadJournal!H$1),0),0)</f>
        <v>0</v>
      </c>
      <c r="P221" s="30">
        <f>IFERROR(SUM(K221:O221)*VLOOKUP($A221,HeadJournal!$A$1:$L$890,COLUMN(HeadJournal!H$1),0),0)</f>
        <v>967.37994814843501</v>
      </c>
      <c r="Q221" s="29">
        <v>2000</v>
      </c>
      <c r="R221" s="31">
        <v>44897</v>
      </c>
      <c r="S221" s="31" t="s">
        <v>3121</v>
      </c>
      <c r="T221" s="95" t="str">
        <f t="shared" si="19"/>
        <v>2022 12</v>
      </c>
      <c r="U221" s="32">
        <f t="shared" si="16"/>
        <v>1032.620051851565</v>
      </c>
      <c r="V221" s="22">
        <f t="shared" si="17"/>
        <v>1.0674399999999995</v>
      </c>
      <c r="X221" s="33"/>
      <c r="Y221" s="33"/>
    </row>
    <row r="222" spans="1:25" x14ac:dyDescent="0.2">
      <c r="A222" s="93" t="s">
        <v>121</v>
      </c>
      <c r="B222" s="94">
        <f>IFERROR(VLOOKUP($A222,HeadJournal!$A$1:$NTR$890,COLUMN(HeadJournal!B$1),0),"")</f>
        <v>0</v>
      </c>
      <c r="C222" s="94" t="str">
        <f>IFERROR(VLOOKUP($A222,HeadJournal!$A$1:$NTR$890,COLUMN(HeadJournal!C$1),0),"")</f>
        <v>Roman</v>
      </c>
      <c r="D222" s="125" t="str">
        <f>IFERROR(VLOOKUP($A222,HeadJournal!$A$1:$NTR$890,COLUMN(HeadJournal!D$1),0),"")</f>
        <v>Доставлен</v>
      </c>
      <c r="E222" s="95">
        <f>IFERROR(VLOOKUP($A222,HeadJournal!$A$1:$NTR$890,COLUMN(HeadJournal!G$1),0),"")</f>
        <v>44867</v>
      </c>
      <c r="F222" s="95" t="str">
        <f t="shared" si="18"/>
        <v>2022 11</v>
      </c>
      <c r="G222" s="96" t="s">
        <v>5</v>
      </c>
      <c r="H222" s="161" t="s">
        <v>2051</v>
      </c>
      <c r="I222" s="97" t="s">
        <v>2052</v>
      </c>
      <c r="J222" s="97" t="s">
        <v>3097</v>
      </c>
      <c r="K222" s="29">
        <v>800</v>
      </c>
      <c r="L222" s="29"/>
      <c r="M222" s="30">
        <f>IFERROR(VLOOKUP($A222,HeadJournal!$A$1:$J$890,COLUMN(HeadJournal!I$1),0)*($K222+$L222)/(SUMIF($A:$A,$A222,$K:$K)+SUMIF($A:$A,$A222,$L:$L)),0)</f>
        <v>0</v>
      </c>
      <c r="N222" s="30">
        <f>IFERROR((VLOOKUP($A222,HeadJournal!$A$1:$K$890,COLUMN(HeadJournal!K$1),0)-VLOOKUP($A222,HeadJournal!$A$1:$K$890,COLUMN(HeadJournal!J$1),0))*($K222+$L222)/(SUMIF($A:$A,$A222,$K:$K)+SUMIF($A:$A,$A222,$L:$L)),0)</f>
        <v>-26.096041481251959</v>
      </c>
      <c r="O222" s="30">
        <f>IFERROR((VLOOKUP($A222,HeadJournal!$A$1:$L$890,COLUMN(HeadJournal!L$1),0)*($K222+$L222)/(SUMIF($A:$A,$A222,$K:$K)+SUMIF($A:$A,$A222,$L:$L)))/VLOOKUP($A222,HeadJournal!$A$1:$L$890,COLUMN(HeadJournal!H$1),0),0)</f>
        <v>0</v>
      </c>
      <c r="P222" s="30">
        <f>IFERROR(SUM(K222:O222)*VLOOKUP($A222,HeadJournal!$A$1:$L$890,COLUMN(HeadJournal!H$1),0),0)</f>
        <v>967.37994814843501</v>
      </c>
      <c r="Q222" s="29">
        <v>1950</v>
      </c>
      <c r="R222" s="31">
        <v>44905</v>
      </c>
      <c r="S222" s="31" t="s">
        <v>3121</v>
      </c>
      <c r="T222" s="95" t="str">
        <f t="shared" si="19"/>
        <v>2022 12</v>
      </c>
      <c r="U222" s="32">
        <f t="shared" si="16"/>
        <v>982.62005185156499</v>
      </c>
      <c r="V222" s="22">
        <f t="shared" si="17"/>
        <v>1.0157539999999996</v>
      </c>
      <c r="X222" s="33"/>
      <c r="Y222" s="33"/>
    </row>
    <row r="223" spans="1:25" x14ac:dyDescent="0.2">
      <c r="A223" s="93" t="s">
        <v>121</v>
      </c>
      <c r="B223" s="94">
        <f>IFERROR(VLOOKUP($A223,HeadJournal!$A$1:$NTR$890,COLUMN(HeadJournal!B$1),0),"")</f>
        <v>0</v>
      </c>
      <c r="C223" s="94" t="str">
        <f>IFERROR(VLOOKUP($A223,HeadJournal!$A$1:$NTR$890,COLUMN(HeadJournal!C$1),0),"")</f>
        <v>Roman</v>
      </c>
      <c r="D223" s="125" t="str">
        <f>IFERROR(VLOOKUP($A223,HeadJournal!$A$1:$NTR$890,COLUMN(HeadJournal!D$1),0),"")</f>
        <v>Доставлен</v>
      </c>
      <c r="E223" s="95">
        <f>IFERROR(VLOOKUP($A223,HeadJournal!$A$1:$NTR$890,COLUMN(HeadJournal!G$1),0),"")</f>
        <v>44867</v>
      </c>
      <c r="F223" s="95" t="str">
        <f t="shared" si="18"/>
        <v>2022 11</v>
      </c>
      <c r="G223" s="96" t="s">
        <v>5</v>
      </c>
      <c r="H223" s="161" t="s">
        <v>2051</v>
      </c>
      <c r="I223" s="97" t="s">
        <v>2052</v>
      </c>
      <c r="J223" s="97" t="s">
        <v>3097</v>
      </c>
      <c r="K223" s="29">
        <v>800</v>
      </c>
      <c r="L223" s="29"/>
      <c r="M223" s="30">
        <f>IFERROR(VLOOKUP($A223,HeadJournal!$A$1:$J$890,COLUMN(HeadJournal!I$1),0)*($K223+$L223)/(SUMIF($A:$A,$A223,$K:$K)+SUMIF($A:$A,$A223,$L:$L)),0)</f>
        <v>0</v>
      </c>
      <c r="N223" s="30">
        <f>IFERROR((VLOOKUP($A223,HeadJournal!$A$1:$K$890,COLUMN(HeadJournal!K$1),0)-VLOOKUP($A223,HeadJournal!$A$1:$K$890,COLUMN(HeadJournal!J$1),0))*($K223+$L223)/(SUMIF($A:$A,$A223,$K:$K)+SUMIF($A:$A,$A223,$L:$L)),0)</f>
        <v>-26.096041481251959</v>
      </c>
      <c r="O223" s="30">
        <f>IFERROR((VLOOKUP($A223,HeadJournal!$A$1:$L$890,COLUMN(HeadJournal!L$1),0)*($K223+$L223)/(SUMIF($A:$A,$A223,$K:$K)+SUMIF($A:$A,$A223,$L:$L)))/VLOOKUP($A223,HeadJournal!$A$1:$L$890,COLUMN(HeadJournal!H$1),0),0)</f>
        <v>0</v>
      </c>
      <c r="P223" s="30">
        <f>IFERROR(SUM(K223:O223)*VLOOKUP($A223,HeadJournal!$A$1:$L$890,COLUMN(HeadJournal!H$1),0),0)</f>
        <v>967.37994814843501</v>
      </c>
      <c r="Q223" s="29">
        <v>1900</v>
      </c>
      <c r="R223" s="31">
        <v>44921</v>
      </c>
      <c r="S223" s="31" t="s">
        <v>3121</v>
      </c>
      <c r="T223" s="95" t="str">
        <f t="shared" si="19"/>
        <v>2022 12</v>
      </c>
      <c r="U223" s="32">
        <f t="shared" si="16"/>
        <v>932.62005185156499</v>
      </c>
      <c r="V223" s="22">
        <f t="shared" si="17"/>
        <v>0.96406799999999959</v>
      </c>
      <c r="X223" s="33"/>
      <c r="Y223" s="33"/>
    </row>
    <row r="224" spans="1:25" x14ac:dyDescent="0.2">
      <c r="A224" s="93" t="s">
        <v>121</v>
      </c>
      <c r="B224" s="94">
        <f>IFERROR(VLOOKUP($A224,HeadJournal!$A$1:$NTR$890,COLUMN(HeadJournal!B$1),0),"")</f>
        <v>0</v>
      </c>
      <c r="C224" s="94" t="str">
        <f>IFERROR(VLOOKUP($A224,HeadJournal!$A$1:$NTR$890,COLUMN(HeadJournal!C$1),0),"")</f>
        <v>Roman</v>
      </c>
      <c r="D224" s="125" t="str">
        <f>IFERROR(VLOOKUP($A224,HeadJournal!$A$1:$NTR$890,COLUMN(HeadJournal!D$1),0),"")</f>
        <v>Доставлен</v>
      </c>
      <c r="E224" s="95">
        <f>IFERROR(VLOOKUP($A224,HeadJournal!$A$1:$NTR$890,COLUMN(HeadJournal!G$1),0),"")</f>
        <v>44867</v>
      </c>
      <c r="F224" s="95" t="str">
        <f t="shared" si="18"/>
        <v>2022 11</v>
      </c>
      <c r="G224" s="96" t="s">
        <v>5</v>
      </c>
      <c r="H224" s="161" t="s">
        <v>2051</v>
      </c>
      <c r="I224" s="97" t="s">
        <v>2052</v>
      </c>
      <c r="J224" s="97" t="s">
        <v>3097</v>
      </c>
      <c r="K224" s="29">
        <v>800</v>
      </c>
      <c r="L224" s="29"/>
      <c r="M224" s="30">
        <f>IFERROR(VLOOKUP($A224,HeadJournal!$A$1:$J$890,COLUMN(HeadJournal!I$1),0)*($K224+$L224)/(SUMIF($A:$A,$A224,$K:$K)+SUMIF($A:$A,$A224,$L:$L)),0)</f>
        <v>0</v>
      </c>
      <c r="N224" s="30">
        <f>IFERROR((VLOOKUP($A224,HeadJournal!$A$1:$K$890,COLUMN(HeadJournal!K$1),0)-VLOOKUP($A224,HeadJournal!$A$1:$K$890,COLUMN(HeadJournal!J$1),0))*($K224+$L224)/(SUMIF($A:$A,$A224,$K:$K)+SUMIF($A:$A,$A224,$L:$L)),0)</f>
        <v>-26.096041481251959</v>
      </c>
      <c r="O224" s="30">
        <f>IFERROR((VLOOKUP($A224,HeadJournal!$A$1:$L$890,COLUMN(HeadJournal!L$1),0)*($K224+$L224)/(SUMIF($A:$A,$A224,$K:$K)+SUMIF($A:$A,$A224,$L:$L)))/VLOOKUP($A224,HeadJournal!$A$1:$L$890,COLUMN(HeadJournal!H$1),0),0)</f>
        <v>0</v>
      </c>
      <c r="P224" s="30">
        <f>IFERROR(SUM(K224:O224)*VLOOKUP($A224,HeadJournal!$A$1:$L$890,COLUMN(HeadJournal!H$1),0),0)</f>
        <v>967.37994814843501</v>
      </c>
      <c r="Q224" s="29">
        <v>2400</v>
      </c>
      <c r="R224" s="31">
        <v>44930</v>
      </c>
      <c r="S224" s="31" t="s">
        <v>3121</v>
      </c>
      <c r="T224" s="95" t="str">
        <f t="shared" si="19"/>
        <v>2023 01</v>
      </c>
      <c r="U224" s="32">
        <f t="shared" si="16"/>
        <v>1432.620051851565</v>
      </c>
      <c r="V224" s="22">
        <f t="shared" si="17"/>
        <v>1.4809279999999994</v>
      </c>
      <c r="X224" s="33"/>
      <c r="Y224" s="33"/>
    </row>
    <row r="225" spans="1:25" x14ac:dyDescent="0.2">
      <c r="A225" s="93" t="s">
        <v>121</v>
      </c>
      <c r="B225" s="94">
        <f>IFERROR(VLOOKUP($A225,HeadJournal!$A$1:$NTR$890,COLUMN(HeadJournal!B$1),0),"")</f>
        <v>0</v>
      </c>
      <c r="C225" s="94" t="str">
        <f>IFERROR(VLOOKUP($A225,HeadJournal!$A$1:$NTR$890,COLUMN(HeadJournal!C$1),0),"")</f>
        <v>Roman</v>
      </c>
      <c r="D225" s="125" t="str">
        <f>IFERROR(VLOOKUP($A225,HeadJournal!$A$1:$NTR$890,COLUMN(HeadJournal!D$1),0),"")</f>
        <v>Доставлен</v>
      </c>
      <c r="E225" s="95">
        <f>IFERROR(VLOOKUP($A225,HeadJournal!$A$1:$NTR$890,COLUMN(HeadJournal!G$1),0),"")</f>
        <v>44867</v>
      </c>
      <c r="F225" s="95" t="str">
        <f t="shared" si="18"/>
        <v>2022 11</v>
      </c>
      <c r="G225" s="96" t="s">
        <v>5</v>
      </c>
      <c r="H225" s="161" t="s">
        <v>2051</v>
      </c>
      <c r="I225" s="97" t="s">
        <v>2052</v>
      </c>
      <c r="J225" s="97" t="s">
        <v>3097</v>
      </c>
      <c r="K225" s="29">
        <v>800</v>
      </c>
      <c r="L225" s="29"/>
      <c r="M225" s="30">
        <f>IFERROR(VLOOKUP($A225,HeadJournal!$A$1:$J$890,COLUMN(HeadJournal!I$1),0)*($K225+$L225)/(SUMIF($A:$A,$A225,$K:$K)+SUMIF($A:$A,$A225,$L:$L)),0)</f>
        <v>0</v>
      </c>
      <c r="N225" s="30">
        <f>IFERROR((VLOOKUP($A225,HeadJournal!$A$1:$K$890,COLUMN(HeadJournal!K$1),0)-VLOOKUP($A225,HeadJournal!$A$1:$K$890,COLUMN(HeadJournal!J$1),0))*($K225+$L225)/(SUMIF($A:$A,$A225,$K:$K)+SUMIF($A:$A,$A225,$L:$L)),0)</f>
        <v>-26.096041481251959</v>
      </c>
      <c r="O225" s="30">
        <f>IFERROR((VLOOKUP($A225,HeadJournal!$A$1:$L$890,COLUMN(HeadJournal!L$1),0)*($K225+$L225)/(SUMIF($A:$A,$A225,$K:$K)+SUMIF($A:$A,$A225,$L:$L)))/VLOOKUP($A225,HeadJournal!$A$1:$L$890,COLUMN(HeadJournal!H$1),0),0)</f>
        <v>0</v>
      </c>
      <c r="P225" s="30">
        <f>IFERROR(SUM(K225:O225)*VLOOKUP($A225,HeadJournal!$A$1:$L$890,COLUMN(HeadJournal!H$1),0),0)</f>
        <v>967.37994814843501</v>
      </c>
      <c r="Q225" s="29">
        <v>2500</v>
      </c>
      <c r="R225" s="31">
        <v>44935</v>
      </c>
      <c r="S225" s="31" t="s">
        <v>3121</v>
      </c>
      <c r="T225" s="95" t="str">
        <f t="shared" si="19"/>
        <v>2023 01</v>
      </c>
      <c r="U225" s="32">
        <f t="shared" si="16"/>
        <v>1532.620051851565</v>
      </c>
      <c r="V225" s="22">
        <f t="shared" si="17"/>
        <v>1.5842999999999994</v>
      </c>
      <c r="X225" s="33"/>
      <c r="Y225" s="33"/>
    </row>
    <row r="226" spans="1:25" x14ac:dyDescent="0.2">
      <c r="A226" s="93" t="s">
        <v>121</v>
      </c>
      <c r="B226" s="94">
        <f>IFERROR(VLOOKUP($A226,HeadJournal!$A$1:$NTR$890,COLUMN(HeadJournal!B$1),0),"")</f>
        <v>0</v>
      </c>
      <c r="C226" s="94" t="str">
        <f>IFERROR(VLOOKUP($A226,HeadJournal!$A$1:$NTR$890,COLUMN(HeadJournal!C$1),0),"")</f>
        <v>Roman</v>
      </c>
      <c r="D226" s="125" t="str">
        <f>IFERROR(VLOOKUP($A226,HeadJournal!$A$1:$NTR$890,COLUMN(HeadJournal!D$1),0),"")</f>
        <v>Доставлен</v>
      </c>
      <c r="E226" s="95">
        <f>IFERROR(VLOOKUP($A226,HeadJournal!$A$1:$NTR$890,COLUMN(HeadJournal!G$1),0),"")</f>
        <v>44867</v>
      </c>
      <c r="F226" s="95" t="str">
        <f t="shared" si="18"/>
        <v>2022 11</v>
      </c>
      <c r="G226" s="96" t="s">
        <v>5</v>
      </c>
      <c r="H226" s="161" t="s">
        <v>2051</v>
      </c>
      <c r="I226" s="97" t="s">
        <v>2052</v>
      </c>
      <c r="J226" s="97" t="s">
        <v>3097</v>
      </c>
      <c r="K226" s="29">
        <v>800</v>
      </c>
      <c r="L226" s="29"/>
      <c r="M226" s="30">
        <f>IFERROR(VLOOKUP($A226,HeadJournal!$A$1:$J$890,COLUMN(HeadJournal!I$1),0)*($K226+$L226)/(SUMIF($A:$A,$A226,$K:$K)+SUMIF($A:$A,$A226,$L:$L)),0)</f>
        <v>0</v>
      </c>
      <c r="N226" s="30">
        <f>IFERROR((VLOOKUP($A226,HeadJournal!$A$1:$K$890,COLUMN(HeadJournal!K$1),0)-VLOOKUP($A226,HeadJournal!$A$1:$K$890,COLUMN(HeadJournal!J$1),0))*($K226+$L226)/(SUMIF($A:$A,$A226,$K:$K)+SUMIF($A:$A,$A226,$L:$L)),0)</f>
        <v>-26.096041481251959</v>
      </c>
      <c r="O226" s="30">
        <f>IFERROR((VLOOKUP($A226,HeadJournal!$A$1:$L$890,COLUMN(HeadJournal!L$1),0)*($K226+$L226)/(SUMIF($A:$A,$A226,$K:$K)+SUMIF($A:$A,$A226,$L:$L)))/VLOOKUP($A226,HeadJournal!$A$1:$L$890,COLUMN(HeadJournal!H$1),0),0)</f>
        <v>0</v>
      </c>
      <c r="P226" s="30">
        <f>IFERROR(SUM(K226:O226)*VLOOKUP($A226,HeadJournal!$A$1:$L$890,COLUMN(HeadJournal!H$1),0),0)</f>
        <v>967.37994814843501</v>
      </c>
      <c r="Q226" s="29">
        <v>2300</v>
      </c>
      <c r="R226" s="31">
        <v>44936</v>
      </c>
      <c r="S226" s="31" t="s">
        <v>3121</v>
      </c>
      <c r="T226" s="95" t="str">
        <f t="shared" si="19"/>
        <v>2023 01</v>
      </c>
      <c r="U226" s="32">
        <f t="shared" si="16"/>
        <v>1332.620051851565</v>
      </c>
      <c r="V226" s="22">
        <f t="shared" si="17"/>
        <v>1.3775559999999993</v>
      </c>
      <c r="X226" s="33"/>
      <c r="Y226" s="33"/>
    </row>
    <row r="227" spans="1:25" x14ac:dyDescent="0.2">
      <c r="A227" s="93" t="s">
        <v>121</v>
      </c>
      <c r="B227" s="94">
        <f>IFERROR(VLOOKUP($A227,HeadJournal!$A$1:$NTR$890,COLUMN(HeadJournal!B$1),0),"")</f>
        <v>0</v>
      </c>
      <c r="C227" s="94" t="str">
        <f>IFERROR(VLOOKUP($A227,HeadJournal!$A$1:$NTR$890,COLUMN(HeadJournal!C$1),0),"")</f>
        <v>Roman</v>
      </c>
      <c r="D227" s="125" t="str">
        <f>IFERROR(VLOOKUP($A227,HeadJournal!$A$1:$NTR$890,COLUMN(HeadJournal!D$1),0),"")</f>
        <v>Доставлен</v>
      </c>
      <c r="E227" s="95">
        <f>IFERROR(VLOOKUP($A227,HeadJournal!$A$1:$NTR$890,COLUMN(HeadJournal!G$1),0),"")</f>
        <v>44867</v>
      </c>
      <c r="F227" s="95" t="str">
        <f t="shared" si="18"/>
        <v>2022 11</v>
      </c>
      <c r="G227" s="96" t="s">
        <v>5</v>
      </c>
      <c r="H227" s="161" t="s">
        <v>2051</v>
      </c>
      <c r="I227" s="97" t="s">
        <v>2052</v>
      </c>
      <c r="J227" s="97" t="s">
        <v>3097</v>
      </c>
      <c r="K227" s="29">
        <v>800</v>
      </c>
      <c r="L227" s="29"/>
      <c r="M227" s="30">
        <f>IFERROR(VLOOKUP($A227,HeadJournal!$A$1:$J$890,COLUMN(HeadJournal!I$1),0)*($K227+$L227)/(SUMIF($A:$A,$A227,$K:$K)+SUMIF($A:$A,$A227,$L:$L)),0)</f>
        <v>0</v>
      </c>
      <c r="N227" s="30">
        <f>IFERROR((VLOOKUP($A227,HeadJournal!$A$1:$K$890,COLUMN(HeadJournal!K$1),0)-VLOOKUP($A227,HeadJournal!$A$1:$K$890,COLUMN(HeadJournal!J$1),0))*($K227+$L227)/(SUMIF($A:$A,$A227,$K:$K)+SUMIF($A:$A,$A227,$L:$L)),0)</f>
        <v>-26.096041481251959</v>
      </c>
      <c r="O227" s="30">
        <f>IFERROR((VLOOKUP($A227,HeadJournal!$A$1:$L$890,COLUMN(HeadJournal!L$1),0)*($K227+$L227)/(SUMIF($A:$A,$A227,$K:$K)+SUMIF($A:$A,$A227,$L:$L)))/VLOOKUP($A227,HeadJournal!$A$1:$L$890,COLUMN(HeadJournal!H$1),0),0)</f>
        <v>0</v>
      </c>
      <c r="P227" s="30">
        <f>IFERROR(SUM(K227:O227)*VLOOKUP($A227,HeadJournal!$A$1:$L$890,COLUMN(HeadJournal!H$1),0),0)</f>
        <v>967.37994814843501</v>
      </c>
      <c r="Q227" s="29">
        <v>2300</v>
      </c>
      <c r="R227" s="31">
        <v>44942</v>
      </c>
      <c r="S227" s="31" t="s">
        <v>3121</v>
      </c>
      <c r="T227" s="95" t="str">
        <f t="shared" si="19"/>
        <v>2023 01</v>
      </c>
      <c r="U227" s="32">
        <f t="shared" si="16"/>
        <v>1332.620051851565</v>
      </c>
      <c r="V227" s="22">
        <f t="shared" si="17"/>
        <v>1.3775559999999993</v>
      </c>
      <c r="X227" s="33"/>
      <c r="Y227" s="33"/>
    </row>
    <row r="228" spans="1:25" x14ac:dyDescent="0.2">
      <c r="A228" s="93" t="s">
        <v>121</v>
      </c>
      <c r="B228" s="94">
        <f>IFERROR(VLOOKUP($A228,HeadJournal!$A$1:$NTR$890,COLUMN(HeadJournal!B$1),0),"")</f>
        <v>0</v>
      </c>
      <c r="C228" s="94" t="str">
        <f>IFERROR(VLOOKUP($A228,HeadJournal!$A$1:$NTR$890,COLUMN(HeadJournal!C$1),0),"")</f>
        <v>Roman</v>
      </c>
      <c r="D228" s="125" t="str">
        <f>IFERROR(VLOOKUP($A228,HeadJournal!$A$1:$NTR$890,COLUMN(HeadJournal!D$1),0),"")</f>
        <v>Доставлен</v>
      </c>
      <c r="E228" s="95">
        <f>IFERROR(VLOOKUP($A228,HeadJournal!$A$1:$NTR$890,COLUMN(HeadJournal!G$1),0),"")</f>
        <v>44867</v>
      </c>
      <c r="F228" s="95" t="str">
        <f t="shared" si="18"/>
        <v>2022 11</v>
      </c>
      <c r="G228" s="96" t="s">
        <v>5</v>
      </c>
      <c r="H228" s="161" t="s">
        <v>2051</v>
      </c>
      <c r="I228" s="97" t="s">
        <v>2052</v>
      </c>
      <c r="J228" s="97" t="s">
        <v>3097</v>
      </c>
      <c r="K228" s="29">
        <v>800</v>
      </c>
      <c r="L228" s="29"/>
      <c r="M228" s="30">
        <f>IFERROR(VLOOKUP($A228,HeadJournal!$A$1:$J$890,COLUMN(HeadJournal!I$1),0)*($K228+$L228)/(SUMIF($A:$A,$A228,$K:$K)+SUMIF($A:$A,$A228,$L:$L)),0)</f>
        <v>0</v>
      </c>
      <c r="N228" s="30">
        <f>IFERROR((VLOOKUP($A228,HeadJournal!$A$1:$K$890,COLUMN(HeadJournal!K$1),0)-VLOOKUP($A228,HeadJournal!$A$1:$K$890,COLUMN(HeadJournal!J$1),0))*($K228+$L228)/(SUMIF($A:$A,$A228,$K:$K)+SUMIF($A:$A,$A228,$L:$L)),0)</f>
        <v>-26.096041481251959</v>
      </c>
      <c r="O228" s="30">
        <f>IFERROR((VLOOKUP($A228,HeadJournal!$A$1:$L$890,COLUMN(HeadJournal!L$1),0)*($K228+$L228)/(SUMIF($A:$A,$A228,$K:$K)+SUMIF($A:$A,$A228,$L:$L)))/VLOOKUP($A228,HeadJournal!$A$1:$L$890,COLUMN(HeadJournal!H$1),0),0)</f>
        <v>0</v>
      </c>
      <c r="P228" s="30">
        <f>IFERROR(SUM(K228:O228)*VLOOKUP($A228,HeadJournal!$A$1:$L$890,COLUMN(HeadJournal!H$1),0),0)</f>
        <v>967.37994814843501</v>
      </c>
      <c r="Q228" s="29">
        <v>2300</v>
      </c>
      <c r="R228" s="31">
        <v>44950</v>
      </c>
      <c r="S228" s="31" t="s">
        <v>3121</v>
      </c>
      <c r="T228" s="95" t="str">
        <f t="shared" si="19"/>
        <v>2023 01</v>
      </c>
      <c r="U228" s="32">
        <f t="shared" si="16"/>
        <v>1332.620051851565</v>
      </c>
      <c r="V228" s="22">
        <f t="shared" si="17"/>
        <v>1.3775559999999993</v>
      </c>
      <c r="X228" s="33"/>
      <c r="Y228" s="33"/>
    </row>
    <row r="229" spans="1:25" x14ac:dyDescent="0.2">
      <c r="A229" s="93" t="s">
        <v>121</v>
      </c>
      <c r="B229" s="94">
        <f>IFERROR(VLOOKUP($A229,HeadJournal!$A$1:$NTR$890,COLUMN(HeadJournal!B$1),0),"")</f>
        <v>0</v>
      </c>
      <c r="C229" s="94" t="str">
        <f>IFERROR(VLOOKUP($A229,HeadJournal!$A$1:$NTR$890,COLUMN(HeadJournal!C$1),0),"")</f>
        <v>Roman</v>
      </c>
      <c r="D229" s="125" t="str">
        <f>IFERROR(VLOOKUP($A229,HeadJournal!$A$1:$NTR$890,COLUMN(HeadJournal!D$1),0),"")</f>
        <v>Доставлен</v>
      </c>
      <c r="E229" s="95">
        <f>IFERROR(VLOOKUP($A229,HeadJournal!$A$1:$NTR$890,COLUMN(HeadJournal!G$1),0),"")</f>
        <v>44867</v>
      </c>
      <c r="F229" s="95" t="str">
        <f t="shared" si="18"/>
        <v>2022 11</v>
      </c>
      <c r="G229" s="96" t="s">
        <v>5</v>
      </c>
      <c r="H229" s="161" t="s">
        <v>2624</v>
      </c>
      <c r="I229" s="97" t="s">
        <v>2005</v>
      </c>
      <c r="J229" s="97" t="s">
        <v>2625</v>
      </c>
      <c r="K229" s="29">
        <v>740.8</v>
      </c>
      <c r="L229" s="29"/>
      <c r="M229" s="30">
        <f>IFERROR(VLOOKUP($A229,HeadJournal!$A$1:$J$890,COLUMN(HeadJournal!I$1),0)*($K229+$L229)/(SUMIF($A:$A,$A229,$K:$K)+SUMIF($A:$A,$A229,$L:$L)),0)</f>
        <v>0</v>
      </c>
      <c r="N229" s="30">
        <f>IFERROR((VLOOKUP($A229,HeadJournal!$A$1:$K$890,COLUMN(HeadJournal!K$1),0)-VLOOKUP($A229,HeadJournal!$A$1:$K$890,COLUMN(HeadJournal!J$1),0))*($K229+$L229)/(SUMIF($A:$A,$A229,$K:$K)+SUMIF($A:$A,$A229,$L:$L)),0)</f>
        <v>-24.164934411639312</v>
      </c>
      <c r="O229" s="30">
        <f>IFERROR((VLOOKUP($A229,HeadJournal!$A$1:$L$890,COLUMN(HeadJournal!L$1),0)*($K229+$L229)/(SUMIF($A:$A,$A229,$K:$K)+SUMIF($A:$A,$A229,$L:$L)))/VLOOKUP($A229,HeadJournal!$A$1:$L$890,COLUMN(HeadJournal!H$1),0),0)</f>
        <v>0</v>
      </c>
      <c r="P229" s="30">
        <f>IFERROR(SUM(K229:O229)*VLOOKUP($A229,HeadJournal!$A$1:$L$890,COLUMN(HeadJournal!H$1),0),0)</f>
        <v>895.79383198545077</v>
      </c>
      <c r="Q229" s="29">
        <v>1800</v>
      </c>
      <c r="R229" s="31">
        <v>44900</v>
      </c>
      <c r="S229" s="31" t="s">
        <v>3121</v>
      </c>
      <c r="T229" s="95" t="str">
        <f t="shared" si="19"/>
        <v>2022 12</v>
      </c>
      <c r="U229" s="32">
        <f t="shared" si="16"/>
        <v>904.20616801454923</v>
      </c>
      <c r="V229" s="22">
        <f t="shared" si="17"/>
        <v>1.0093909287257017</v>
      </c>
      <c r="X229" s="33"/>
      <c r="Y229" s="33"/>
    </row>
    <row r="230" spans="1:25" x14ac:dyDescent="0.2">
      <c r="A230" s="93" t="s">
        <v>121</v>
      </c>
      <c r="B230" s="94">
        <f>IFERROR(VLOOKUP($A230,HeadJournal!$A$1:$NTR$890,COLUMN(HeadJournal!B$1),0),"")</f>
        <v>0</v>
      </c>
      <c r="C230" s="94" t="str">
        <f>IFERROR(VLOOKUP($A230,HeadJournal!$A$1:$NTR$890,COLUMN(HeadJournal!C$1),0),"")</f>
        <v>Roman</v>
      </c>
      <c r="D230" s="125" t="str">
        <f>IFERROR(VLOOKUP($A230,HeadJournal!$A$1:$NTR$890,COLUMN(HeadJournal!D$1),0),"")</f>
        <v>Доставлен</v>
      </c>
      <c r="E230" s="95">
        <f>IFERROR(VLOOKUP($A230,HeadJournal!$A$1:$NTR$890,COLUMN(HeadJournal!G$1),0),"")</f>
        <v>44867</v>
      </c>
      <c r="F230" s="95" t="str">
        <f t="shared" si="18"/>
        <v>2022 11</v>
      </c>
      <c r="G230" s="96" t="s">
        <v>5</v>
      </c>
      <c r="H230" s="161" t="s">
        <v>2624</v>
      </c>
      <c r="I230" s="97" t="s">
        <v>2005</v>
      </c>
      <c r="J230" s="97" t="s">
        <v>2625</v>
      </c>
      <c r="K230" s="29">
        <v>740.8</v>
      </c>
      <c r="L230" s="29"/>
      <c r="M230" s="30">
        <f>IFERROR(VLOOKUP($A230,HeadJournal!$A$1:$J$890,COLUMN(HeadJournal!I$1),0)*($K230+$L230)/(SUMIF($A:$A,$A230,$K:$K)+SUMIF($A:$A,$A230,$L:$L)),0)</f>
        <v>0</v>
      </c>
      <c r="N230" s="30">
        <f>IFERROR((VLOOKUP($A230,HeadJournal!$A$1:$K$890,COLUMN(HeadJournal!K$1),0)-VLOOKUP($A230,HeadJournal!$A$1:$K$890,COLUMN(HeadJournal!J$1),0))*($K230+$L230)/(SUMIF($A:$A,$A230,$K:$K)+SUMIF($A:$A,$A230,$L:$L)),0)</f>
        <v>-24.164934411639312</v>
      </c>
      <c r="O230" s="30">
        <f>IFERROR((VLOOKUP($A230,HeadJournal!$A$1:$L$890,COLUMN(HeadJournal!L$1),0)*($K230+$L230)/(SUMIF($A:$A,$A230,$K:$K)+SUMIF($A:$A,$A230,$L:$L)))/VLOOKUP($A230,HeadJournal!$A$1:$L$890,COLUMN(HeadJournal!H$1),0),0)</f>
        <v>0</v>
      </c>
      <c r="P230" s="30">
        <f>IFERROR(SUM(K230:O230)*VLOOKUP($A230,HeadJournal!$A$1:$L$890,COLUMN(HeadJournal!H$1),0),0)</f>
        <v>895.79383198545077</v>
      </c>
      <c r="Q230" s="29">
        <v>1800</v>
      </c>
      <c r="R230" s="31">
        <v>44906</v>
      </c>
      <c r="S230" s="31" t="s">
        <v>3121</v>
      </c>
      <c r="T230" s="95" t="str">
        <f t="shared" si="19"/>
        <v>2022 12</v>
      </c>
      <c r="U230" s="32">
        <f t="shared" si="16"/>
        <v>904.20616801454923</v>
      </c>
      <c r="V230" s="22">
        <f t="shared" si="17"/>
        <v>1.0093909287257017</v>
      </c>
      <c r="X230" s="33"/>
      <c r="Y230" s="33"/>
    </row>
    <row r="231" spans="1:25" x14ac:dyDescent="0.2">
      <c r="A231" s="93" t="s">
        <v>121</v>
      </c>
      <c r="B231" s="94">
        <f>IFERROR(VLOOKUP($A231,HeadJournal!$A$1:$NTR$890,COLUMN(HeadJournal!B$1),0),"")</f>
        <v>0</v>
      </c>
      <c r="C231" s="94" t="str">
        <f>IFERROR(VLOOKUP($A231,HeadJournal!$A$1:$NTR$890,COLUMN(HeadJournal!C$1),0),"")</f>
        <v>Roman</v>
      </c>
      <c r="D231" s="125" t="str">
        <f>IFERROR(VLOOKUP($A231,HeadJournal!$A$1:$NTR$890,COLUMN(HeadJournal!D$1),0),"")</f>
        <v>Доставлен</v>
      </c>
      <c r="E231" s="95">
        <f>IFERROR(VLOOKUP($A231,HeadJournal!$A$1:$NTR$890,COLUMN(HeadJournal!G$1),0),"")</f>
        <v>44867</v>
      </c>
      <c r="F231" s="95" t="str">
        <f t="shared" si="18"/>
        <v>2022 11</v>
      </c>
      <c r="G231" s="96" t="s">
        <v>5</v>
      </c>
      <c r="H231" s="161" t="s">
        <v>2624</v>
      </c>
      <c r="I231" s="97" t="s">
        <v>2005</v>
      </c>
      <c r="J231" s="97" t="s">
        <v>2625</v>
      </c>
      <c r="K231" s="29">
        <v>740.8</v>
      </c>
      <c r="L231" s="29"/>
      <c r="M231" s="30">
        <f>IFERROR(VLOOKUP($A231,HeadJournal!$A$1:$J$890,COLUMN(HeadJournal!I$1),0)*($K231+$L231)/(SUMIF($A:$A,$A231,$K:$K)+SUMIF($A:$A,$A231,$L:$L)),0)</f>
        <v>0</v>
      </c>
      <c r="N231" s="30">
        <f>IFERROR((VLOOKUP($A231,HeadJournal!$A$1:$K$890,COLUMN(HeadJournal!K$1),0)-VLOOKUP($A231,HeadJournal!$A$1:$K$890,COLUMN(HeadJournal!J$1),0))*($K231+$L231)/(SUMIF($A:$A,$A231,$K:$K)+SUMIF($A:$A,$A231,$L:$L)),0)</f>
        <v>-24.164934411639312</v>
      </c>
      <c r="O231" s="30">
        <f>IFERROR((VLOOKUP($A231,HeadJournal!$A$1:$L$890,COLUMN(HeadJournal!L$1),0)*($K231+$L231)/(SUMIF($A:$A,$A231,$K:$K)+SUMIF($A:$A,$A231,$L:$L)))/VLOOKUP($A231,HeadJournal!$A$1:$L$890,COLUMN(HeadJournal!H$1),0),0)</f>
        <v>0</v>
      </c>
      <c r="P231" s="30">
        <f>IFERROR(SUM(K231:O231)*VLOOKUP($A231,HeadJournal!$A$1:$L$890,COLUMN(HeadJournal!H$1),0),0)</f>
        <v>895.79383198545077</v>
      </c>
      <c r="Q231" s="29">
        <v>1800</v>
      </c>
      <c r="R231" s="31">
        <v>44919</v>
      </c>
      <c r="S231" s="31" t="s">
        <v>3121</v>
      </c>
      <c r="T231" s="95" t="str">
        <f t="shared" si="19"/>
        <v>2022 12</v>
      </c>
      <c r="U231" s="32">
        <f t="shared" si="16"/>
        <v>904.20616801454923</v>
      </c>
      <c r="V231" s="22">
        <f t="shared" si="17"/>
        <v>1.0093909287257017</v>
      </c>
      <c r="X231" s="33"/>
      <c r="Y231" s="33"/>
    </row>
    <row r="232" spans="1:25" x14ac:dyDescent="0.2">
      <c r="A232" s="93" t="s">
        <v>121</v>
      </c>
      <c r="B232" s="94">
        <f>IFERROR(VLOOKUP($A232,HeadJournal!$A$1:$NTR$890,COLUMN(HeadJournal!B$1),0),"")</f>
        <v>0</v>
      </c>
      <c r="C232" s="94" t="str">
        <f>IFERROR(VLOOKUP($A232,HeadJournal!$A$1:$NTR$890,COLUMN(HeadJournal!C$1),0),"")</f>
        <v>Roman</v>
      </c>
      <c r="D232" s="125" t="str">
        <f>IFERROR(VLOOKUP($A232,HeadJournal!$A$1:$NTR$890,COLUMN(HeadJournal!D$1),0),"")</f>
        <v>Доставлен</v>
      </c>
      <c r="E232" s="95">
        <f>IFERROR(VLOOKUP($A232,HeadJournal!$A$1:$NTR$890,COLUMN(HeadJournal!G$1),0),"")</f>
        <v>44867</v>
      </c>
      <c r="F232" s="95" t="str">
        <f t="shared" si="18"/>
        <v>2022 11</v>
      </c>
      <c r="G232" s="96" t="s">
        <v>5</v>
      </c>
      <c r="H232" s="161" t="s">
        <v>2624</v>
      </c>
      <c r="I232" s="97" t="s">
        <v>2005</v>
      </c>
      <c r="J232" s="97" t="s">
        <v>2625</v>
      </c>
      <c r="K232" s="29">
        <v>740.8</v>
      </c>
      <c r="L232" s="29"/>
      <c r="M232" s="30">
        <f>IFERROR(VLOOKUP($A232,HeadJournal!$A$1:$J$890,COLUMN(HeadJournal!I$1),0)*($K232+$L232)/(SUMIF($A:$A,$A232,$K:$K)+SUMIF($A:$A,$A232,$L:$L)),0)</f>
        <v>0</v>
      </c>
      <c r="N232" s="30">
        <f>IFERROR((VLOOKUP($A232,HeadJournal!$A$1:$K$890,COLUMN(HeadJournal!K$1),0)-VLOOKUP($A232,HeadJournal!$A$1:$K$890,COLUMN(HeadJournal!J$1),0))*($K232+$L232)/(SUMIF($A:$A,$A232,$K:$K)+SUMIF($A:$A,$A232,$L:$L)),0)</f>
        <v>-24.164934411639312</v>
      </c>
      <c r="O232" s="30">
        <f>IFERROR((VLOOKUP($A232,HeadJournal!$A$1:$L$890,COLUMN(HeadJournal!L$1),0)*($K232+$L232)/(SUMIF($A:$A,$A232,$K:$K)+SUMIF($A:$A,$A232,$L:$L)))/VLOOKUP($A232,HeadJournal!$A$1:$L$890,COLUMN(HeadJournal!H$1),0),0)</f>
        <v>0</v>
      </c>
      <c r="P232" s="30">
        <f>IFERROR(SUM(K232:O232)*VLOOKUP($A232,HeadJournal!$A$1:$L$890,COLUMN(HeadJournal!H$1),0),0)</f>
        <v>895.79383198545077</v>
      </c>
      <c r="Q232" s="29">
        <v>2200</v>
      </c>
      <c r="R232" s="31">
        <v>44930</v>
      </c>
      <c r="S232" s="31" t="s">
        <v>3121</v>
      </c>
      <c r="T232" s="95" t="str">
        <f t="shared" si="19"/>
        <v>2023 01</v>
      </c>
      <c r="U232" s="32">
        <f t="shared" si="16"/>
        <v>1304.2061680145493</v>
      </c>
      <c r="V232" s="22">
        <f t="shared" si="17"/>
        <v>1.4559222462203021</v>
      </c>
      <c r="X232" s="33"/>
      <c r="Y232" s="33"/>
    </row>
    <row r="233" spans="1:25" x14ac:dyDescent="0.2">
      <c r="A233" s="93" t="s">
        <v>121</v>
      </c>
      <c r="B233" s="94">
        <f>IFERROR(VLOOKUP($A233,HeadJournal!$A$1:$NTR$890,COLUMN(HeadJournal!B$1),0),"")</f>
        <v>0</v>
      </c>
      <c r="C233" s="94" t="str">
        <f>IFERROR(VLOOKUP($A233,HeadJournal!$A$1:$NTR$890,COLUMN(HeadJournal!C$1),0),"")</f>
        <v>Roman</v>
      </c>
      <c r="D233" s="125" t="str">
        <f>IFERROR(VLOOKUP($A233,HeadJournal!$A$1:$NTR$890,COLUMN(HeadJournal!D$1),0),"")</f>
        <v>Доставлен</v>
      </c>
      <c r="E233" s="95">
        <f>IFERROR(VLOOKUP($A233,HeadJournal!$A$1:$NTR$890,COLUMN(HeadJournal!G$1),0),"")</f>
        <v>44867</v>
      </c>
      <c r="F233" s="95" t="str">
        <f t="shared" si="18"/>
        <v>2022 11</v>
      </c>
      <c r="G233" s="96" t="s">
        <v>5</v>
      </c>
      <c r="H233" s="161" t="s">
        <v>2680</v>
      </c>
      <c r="I233" s="97" t="s">
        <v>2681</v>
      </c>
      <c r="J233" s="97" t="s">
        <v>3853</v>
      </c>
      <c r="K233" s="29">
        <v>264</v>
      </c>
      <c r="L233" s="29"/>
      <c r="M233" s="30">
        <f>IFERROR(VLOOKUP($A233,HeadJournal!$A$1:$J$890,COLUMN(HeadJournal!I$1),0)*($K233+$L233)/(SUMIF($A:$A,$A233,$K:$K)+SUMIF($A:$A,$A233,$L:$L)),0)</f>
        <v>0</v>
      </c>
      <c r="N233" s="30">
        <f>IFERROR((VLOOKUP($A233,HeadJournal!$A$1:$K$890,COLUMN(HeadJournal!K$1),0)-VLOOKUP($A233,HeadJournal!$A$1:$K$890,COLUMN(HeadJournal!J$1),0))*($K233+$L233)/(SUMIF($A:$A,$A233,$K:$K)+SUMIF($A:$A,$A233,$L:$L)),0)</f>
        <v>-8.6116936888131459</v>
      </c>
      <c r="O233" s="30">
        <f>IFERROR((VLOOKUP($A233,HeadJournal!$A$1:$L$890,COLUMN(HeadJournal!L$1),0)*($K233+$L233)/(SUMIF($A:$A,$A233,$K:$K)+SUMIF($A:$A,$A233,$L:$L)))/VLOOKUP($A233,HeadJournal!$A$1:$L$890,COLUMN(HeadJournal!H$1),0),0)</f>
        <v>0</v>
      </c>
      <c r="P233" s="30">
        <f>IFERROR(SUM(K233:O233)*VLOOKUP($A233,HeadJournal!$A$1:$L$890,COLUMN(HeadJournal!H$1),0),0)</f>
        <v>319.23538288898357</v>
      </c>
      <c r="Q233" s="29">
        <v>850</v>
      </c>
      <c r="R233" s="31">
        <v>44901</v>
      </c>
      <c r="S233" s="31" t="s">
        <v>3121</v>
      </c>
      <c r="T233" s="95" t="str">
        <f t="shared" si="19"/>
        <v>2022 12</v>
      </c>
      <c r="U233" s="32">
        <f t="shared" si="16"/>
        <v>530.76461711101638</v>
      </c>
      <c r="V233" s="22">
        <f t="shared" si="17"/>
        <v>1.6626121212121203</v>
      </c>
      <c r="X233" s="33"/>
      <c r="Y233" s="33"/>
    </row>
    <row r="234" spans="1:25" ht="12.75" customHeight="1" x14ac:dyDescent="0.2">
      <c r="A234" s="93" t="s">
        <v>123</v>
      </c>
      <c r="B234" s="94">
        <f>IFERROR(VLOOKUP($A234,HeadJournal!$A$1:$NTR$890,COLUMN(HeadJournal!B$1),0),"")</f>
        <v>0</v>
      </c>
      <c r="C234" s="94" t="str">
        <f>IFERROR(VLOOKUP($A234,HeadJournal!$A$1:$NTR$890,COLUMN(HeadJournal!C$1),0),"")</f>
        <v>OZON_AV</v>
      </c>
      <c r="D234" s="125" t="str">
        <f>IFERROR(VLOOKUP($A234,HeadJournal!$A$1:$NTR$890,COLUMN(HeadJournal!D$1),0),"")</f>
        <v>Доставлен</v>
      </c>
      <c r="E234" s="95">
        <f>IFERROR(VLOOKUP($A234,HeadJournal!$A$1:$NTR$890,COLUMN(HeadJournal!G$1),0),"")</f>
        <v>44859</v>
      </c>
      <c r="F234" s="95" t="str">
        <f t="shared" si="18"/>
        <v>2022 10</v>
      </c>
      <c r="G234" s="96" t="s">
        <v>6</v>
      </c>
      <c r="H234" s="160" t="s">
        <v>3616</v>
      </c>
      <c r="I234" s="96" t="str">
        <f t="shared" si="20"/>
        <v>MoodBooster</v>
      </c>
      <c r="J234" s="97" t="s">
        <v>124</v>
      </c>
      <c r="K234" s="29">
        <v>512</v>
      </c>
      <c r="L234" s="29"/>
      <c r="M234" s="30">
        <f>IFERROR(VLOOKUP($A234,HeadJournal!$A$1:$J$890,COLUMN(HeadJournal!I$1),0)*($K234+$L234)/(SUMIF($A:$A,$A234,$K:$K)+SUMIF($A:$A,$A234,$L:$L)),0)</f>
        <v>0</v>
      </c>
      <c r="N234" s="30">
        <f>IFERROR((VLOOKUP($A234,HeadJournal!$A$1:$K$890,COLUMN(HeadJournal!K$1),0)-VLOOKUP($A234,HeadJournal!$A$1:$K$890,COLUMN(HeadJournal!J$1),0))*($K234+$L234)/(SUMIF($A:$A,$A234,$K:$K)+SUMIF($A:$A,$A234,$L:$L)),0)</f>
        <v>0</v>
      </c>
      <c r="O234" s="30">
        <f>IFERROR((VLOOKUP($A234,HeadJournal!$A$1:$L$890,COLUMN(HeadJournal!L$1),0)*($K234+$L234)/(SUMIF($A:$A,$A234,$K:$K)+SUMIF($A:$A,$A234,$L:$L)))/VLOOKUP($A234,HeadJournal!$A$1:$L$890,COLUMN(HeadJournal!H$1),0),0)</f>
        <v>61.44</v>
      </c>
      <c r="P234" s="30">
        <f>IFERROR(SUM(K234:O234)*VLOOKUP($A234,HeadJournal!$A$1:$L$890,COLUMN(HeadJournal!H$1),0),0)</f>
        <v>716.80000000000007</v>
      </c>
      <c r="Q234" s="29">
        <v>1300</v>
      </c>
      <c r="R234" s="31">
        <v>44857</v>
      </c>
      <c r="S234" s="31" t="s">
        <v>3121</v>
      </c>
      <c r="T234" s="95" t="str">
        <f t="shared" si="19"/>
        <v>2022 10</v>
      </c>
      <c r="U234" s="32">
        <f t="shared" si="16"/>
        <v>583.19999999999993</v>
      </c>
      <c r="V234" s="22">
        <f t="shared" si="17"/>
        <v>0.81361607142857129</v>
      </c>
      <c r="X234" s="33"/>
      <c r="Y234" s="33"/>
    </row>
    <row r="235" spans="1:25" x14ac:dyDescent="0.2">
      <c r="A235" s="93" t="s">
        <v>125</v>
      </c>
      <c r="B235" s="94">
        <f>IFERROR(VLOOKUP($A235,HeadJournal!$A$1:$NTR$890,COLUMN(HeadJournal!B$1),0),"")</f>
        <v>0</v>
      </c>
      <c r="C235" s="94" t="str">
        <f>IFERROR(VLOOKUP($A235,HeadJournal!$A$1:$NTR$890,COLUMN(HeadJournal!C$1),0),"")</f>
        <v>Anna</v>
      </c>
      <c r="D235" s="125" t="str">
        <f>IFERROR(VLOOKUP($A235,HeadJournal!$A$1:$NTR$890,COLUMN(HeadJournal!D$1),0),"")</f>
        <v>Доставлен</v>
      </c>
      <c r="E235" s="95">
        <f>IFERROR(VLOOKUP($A235,HeadJournal!$A$1:$NTR$890,COLUMN(HeadJournal!G$1),0),"")</f>
        <v>44874</v>
      </c>
      <c r="F235" s="95" t="str">
        <f t="shared" si="18"/>
        <v>2022 11</v>
      </c>
      <c r="G235" s="96" t="s">
        <v>5</v>
      </c>
      <c r="H235" s="160" t="str">
        <f>RIGHT(Journal!$J235,9)</f>
        <v>NOW-00369</v>
      </c>
      <c r="I235" s="96" t="str">
        <f t="shared" si="20"/>
        <v>NOW Foods</v>
      </c>
      <c r="J235" s="97" t="s">
        <v>126</v>
      </c>
      <c r="K235" s="29">
        <v>360</v>
      </c>
      <c r="L235" s="29"/>
      <c r="M235" s="30">
        <f>IFERROR(VLOOKUP($A235,HeadJournal!$A$1:$J$890,COLUMN(HeadJournal!I$1),0)*($K235+$L235)/(SUMIF($A:$A,$A235,$K:$K)+SUMIF($A:$A,$A235,$L:$L)),0)</f>
        <v>0</v>
      </c>
      <c r="N235" s="30">
        <f>IFERROR((VLOOKUP($A235,HeadJournal!$A$1:$K$890,COLUMN(HeadJournal!K$1),0)-VLOOKUP($A235,HeadJournal!$A$1:$K$890,COLUMN(HeadJournal!J$1),0))*($K235+$L235)/(SUMIF($A:$A,$A235,$K:$K)+SUMIF($A:$A,$A235,$L:$L)),0)</f>
        <v>-9.0667197748492701</v>
      </c>
      <c r="O235" s="30">
        <f>IFERROR((VLOOKUP($A235,HeadJournal!$A$1:$L$890,COLUMN(HeadJournal!L$1),0)*($K235+$L235)/(SUMIF($A:$A,$A235,$K:$K)+SUMIF($A:$A,$A235,$L:$L)))/VLOOKUP($A235,HeadJournal!$A$1:$L$890,COLUMN(HeadJournal!H$1),0),0)</f>
        <v>0</v>
      </c>
      <c r="P235" s="30">
        <f>IFERROR(SUM(K235:O235)*VLOOKUP($A235,HeadJournal!$A$1:$L$890,COLUMN(HeadJournal!H$1),0),0)</f>
        <v>438.66660028143838</v>
      </c>
      <c r="Q235" s="29">
        <v>1100</v>
      </c>
      <c r="R235" s="31">
        <v>44877</v>
      </c>
      <c r="S235" s="31" t="s">
        <v>3121</v>
      </c>
      <c r="T235" s="95" t="str">
        <f t="shared" si="19"/>
        <v>2022 11</v>
      </c>
      <c r="U235" s="32">
        <f t="shared" si="16"/>
        <v>661.33339971856162</v>
      </c>
      <c r="V235" s="22">
        <f t="shared" si="17"/>
        <v>1.5075991636798092</v>
      </c>
      <c r="X235" s="33"/>
      <c r="Y235" s="33"/>
    </row>
    <row r="236" spans="1:25" x14ac:dyDescent="0.2">
      <c r="A236" s="93" t="s">
        <v>125</v>
      </c>
      <c r="B236" s="94">
        <f>IFERROR(VLOOKUP($A236,HeadJournal!$A$1:$NTR$890,COLUMN(HeadJournal!B$1),0),"")</f>
        <v>0</v>
      </c>
      <c r="C236" s="94" t="str">
        <f>IFERROR(VLOOKUP($A236,HeadJournal!$A$1:$NTR$890,COLUMN(HeadJournal!C$1),0),"")</f>
        <v>Anna</v>
      </c>
      <c r="D236" s="125" t="str">
        <f>IFERROR(VLOOKUP($A236,HeadJournal!$A$1:$NTR$890,COLUMN(HeadJournal!D$1),0),"")</f>
        <v>Доставлен</v>
      </c>
      <c r="E236" s="95">
        <f>IFERROR(VLOOKUP($A236,HeadJournal!$A$1:$NTR$890,COLUMN(HeadJournal!G$1),0),"")</f>
        <v>44874</v>
      </c>
      <c r="F236" s="95" t="str">
        <f t="shared" si="18"/>
        <v>2022 11</v>
      </c>
      <c r="G236" s="96" t="s">
        <v>5</v>
      </c>
      <c r="H236" s="161" t="s">
        <v>3011</v>
      </c>
      <c r="I236" s="97" t="s">
        <v>2052</v>
      </c>
      <c r="J236" s="97" t="s">
        <v>3012</v>
      </c>
      <c r="K236" s="29">
        <v>160</v>
      </c>
      <c r="L236" s="29"/>
      <c r="M236" s="30">
        <f>IFERROR(VLOOKUP($A236,HeadJournal!$A$1:$J$890,COLUMN(HeadJournal!I$1),0)*($K236+$L236)/(SUMIF($A:$A,$A236,$K:$K)+SUMIF($A:$A,$A236,$L:$L)),0)</f>
        <v>0</v>
      </c>
      <c r="N236" s="30">
        <f>IFERROR((VLOOKUP($A236,HeadJournal!$A$1:$K$890,COLUMN(HeadJournal!K$1),0)-VLOOKUP($A236,HeadJournal!$A$1:$K$890,COLUMN(HeadJournal!J$1),0))*($K236+$L236)/(SUMIF($A:$A,$A236,$K:$K)+SUMIF($A:$A,$A236,$L:$L)),0)</f>
        <v>-4.0296532332663419</v>
      </c>
      <c r="O236" s="30">
        <f>IFERROR((VLOOKUP($A236,HeadJournal!$A$1:$L$890,COLUMN(HeadJournal!L$1),0)*($K236+$L236)/(SUMIF($A:$A,$A236,$K:$K)+SUMIF($A:$A,$A236,$L:$L)))/VLOOKUP($A236,HeadJournal!$A$1:$L$890,COLUMN(HeadJournal!H$1),0),0)</f>
        <v>0</v>
      </c>
      <c r="P236" s="30">
        <f>IFERROR(SUM(K236:O236)*VLOOKUP($A236,HeadJournal!$A$1:$L$890,COLUMN(HeadJournal!H$1),0),0)</f>
        <v>194.96293345841707</v>
      </c>
      <c r="Q236" s="29">
        <v>700</v>
      </c>
      <c r="R236" s="31">
        <v>44877</v>
      </c>
      <c r="S236" s="31" t="s">
        <v>3121</v>
      </c>
      <c r="T236" s="95" t="str">
        <f t="shared" si="19"/>
        <v>2022 11</v>
      </c>
      <c r="U236" s="32">
        <f t="shared" si="16"/>
        <v>505.03706654158293</v>
      </c>
      <c r="V236" s="22">
        <f t="shared" si="17"/>
        <v>2.5904260752688173</v>
      </c>
      <c r="X236" s="33"/>
      <c r="Y236" s="33"/>
    </row>
    <row r="237" spans="1:25" x14ac:dyDescent="0.2">
      <c r="A237" s="93" t="s">
        <v>125</v>
      </c>
      <c r="B237" s="94">
        <f>IFERROR(VLOOKUP($A237,HeadJournal!$A$1:$NTR$890,COLUMN(HeadJournal!B$1),0),"")</f>
        <v>0</v>
      </c>
      <c r="C237" s="94" t="str">
        <f>IFERROR(VLOOKUP($A237,HeadJournal!$A$1:$NTR$890,COLUMN(HeadJournal!C$1),0),"")</f>
        <v>Anna</v>
      </c>
      <c r="D237" s="125" t="str">
        <f>IFERROR(VLOOKUP($A237,HeadJournal!$A$1:$NTR$890,COLUMN(HeadJournal!D$1),0),"")</f>
        <v>Доставлен</v>
      </c>
      <c r="E237" s="95">
        <f>IFERROR(VLOOKUP($A237,HeadJournal!$A$1:$NTR$890,COLUMN(HeadJournal!G$1),0),"")</f>
        <v>44874</v>
      </c>
      <c r="F237" s="95" t="str">
        <f t="shared" si="18"/>
        <v>2022 11</v>
      </c>
      <c r="G237" s="96" t="s">
        <v>5</v>
      </c>
      <c r="H237" s="161" t="s">
        <v>3011</v>
      </c>
      <c r="I237" s="97" t="s">
        <v>2052</v>
      </c>
      <c r="J237" s="97" t="s">
        <v>3012</v>
      </c>
      <c r="K237" s="29">
        <v>160</v>
      </c>
      <c r="L237" s="29"/>
      <c r="M237" s="30">
        <f>IFERROR(VLOOKUP($A237,HeadJournal!$A$1:$J$890,COLUMN(HeadJournal!I$1),0)*($K237+$L237)/(SUMIF($A:$A,$A237,$K:$K)+SUMIF($A:$A,$A237,$L:$L)),0)</f>
        <v>0</v>
      </c>
      <c r="N237" s="30">
        <f>IFERROR((VLOOKUP($A237,HeadJournal!$A$1:$K$890,COLUMN(HeadJournal!K$1),0)-VLOOKUP($A237,HeadJournal!$A$1:$K$890,COLUMN(HeadJournal!J$1),0))*($K237+$L237)/(SUMIF($A:$A,$A237,$K:$K)+SUMIF($A:$A,$A237,$L:$L)),0)</f>
        <v>-4.0296532332663419</v>
      </c>
      <c r="O237" s="30">
        <f>IFERROR((VLOOKUP($A237,HeadJournal!$A$1:$L$890,COLUMN(HeadJournal!L$1),0)*($K237+$L237)/(SUMIF($A:$A,$A237,$K:$K)+SUMIF($A:$A,$A237,$L:$L)))/VLOOKUP($A237,HeadJournal!$A$1:$L$890,COLUMN(HeadJournal!H$1),0),0)</f>
        <v>0</v>
      </c>
      <c r="P237" s="30">
        <f>IFERROR(SUM(K237:O237)*VLOOKUP($A237,HeadJournal!$A$1:$L$890,COLUMN(HeadJournal!H$1),0),0)</f>
        <v>194.96293345841707</v>
      </c>
      <c r="Q237" s="29">
        <v>700</v>
      </c>
      <c r="R237" s="31">
        <v>44888</v>
      </c>
      <c r="S237" s="31" t="s">
        <v>3121</v>
      </c>
      <c r="T237" s="95" t="str">
        <f t="shared" si="19"/>
        <v>2022 11</v>
      </c>
      <c r="U237" s="32">
        <f t="shared" si="16"/>
        <v>505.03706654158293</v>
      </c>
      <c r="V237" s="22">
        <f t="shared" si="17"/>
        <v>2.5904260752688173</v>
      </c>
      <c r="X237" s="33"/>
      <c r="Y237" s="33"/>
    </row>
    <row r="238" spans="1:25" x14ac:dyDescent="0.2">
      <c r="A238" s="93" t="s">
        <v>125</v>
      </c>
      <c r="B238" s="94">
        <f>IFERROR(VLOOKUP($A238,HeadJournal!$A$1:$NTR$890,COLUMN(HeadJournal!B$1),0),"")</f>
        <v>0</v>
      </c>
      <c r="C238" s="94" t="str">
        <f>IFERROR(VLOOKUP($A238,HeadJournal!$A$1:$NTR$890,COLUMN(HeadJournal!C$1),0),"")</f>
        <v>Anna</v>
      </c>
      <c r="D238" s="125" t="str">
        <f>IFERROR(VLOOKUP($A238,HeadJournal!$A$1:$NTR$890,COLUMN(HeadJournal!D$1),0),"")</f>
        <v>Доставлен</v>
      </c>
      <c r="E238" s="95">
        <f>IFERROR(VLOOKUP($A238,HeadJournal!$A$1:$NTR$890,COLUMN(HeadJournal!G$1),0),"")</f>
        <v>44874</v>
      </c>
      <c r="F238" s="95" t="str">
        <f t="shared" si="18"/>
        <v>2022 11</v>
      </c>
      <c r="G238" s="96" t="s">
        <v>5</v>
      </c>
      <c r="H238" s="161" t="s">
        <v>3011</v>
      </c>
      <c r="I238" s="97" t="s">
        <v>2052</v>
      </c>
      <c r="J238" s="97" t="s">
        <v>3012</v>
      </c>
      <c r="K238" s="29">
        <v>160</v>
      </c>
      <c r="L238" s="29"/>
      <c r="M238" s="30">
        <f>IFERROR(VLOOKUP($A238,HeadJournal!$A$1:$J$890,COLUMN(HeadJournal!I$1),0)*($K238+$L238)/(SUMIF($A:$A,$A238,$K:$K)+SUMIF($A:$A,$A238,$L:$L)),0)</f>
        <v>0</v>
      </c>
      <c r="N238" s="30">
        <f>IFERROR((VLOOKUP($A238,HeadJournal!$A$1:$K$890,COLUMN(HeadJournal!K$1),0)-VLOOKUP($A238,HeadJournal!$A$1:$K$890,COLUMN(HeadJournal!J$1),0))*($K238+$L238)/(SUMIF($A:$A,$A238,$K:$K)+SUMIF($A:$A,$A238,$L:$L)),0)</f>
        <v>-4.0296532332663419</v>
      </c>
      <c r="O238" s="30">
        <f>IFERROR((VLOOKUP($A238,HeadJournal!$A$1:$L$890,COLUMN(HeadJournal!L$1),0)*($K238+$L238)/(SUMIF($A:$A,$A238,$K:$K)+SUMIF($A:$A,$A238,$L:$L)))/VLOOKUP($A238,HeadJournal!$A$1:$L$890,COLUMN(HeadJournal!H$1),0),0)</f>
        <v>0</v>
      </c>
      <c r="P238" s="30">
        <f>IFERROR(SUM(K238:O238)*VLOOKUP($A238,HeadJournal!$A$1:$L$890,COLUMN(HeadJournal!H$1),0),0)</f>
        <v>194.96293345841707</v>
      </c>
      <c r="Q238" s="29">
        <v>700</v>
      </c>
      <c r="R238" s="31">
        <v>44892</v>
      </c>
      <c r="S238" s="31" t="s">
        <v>3121</v>
      </c>
      <c r="T238" s="95" t="str">
        <f t="shared" si="19"/>
        <v>2022 11</v>
      </c>
      <c r="U238" s="32">
        <f t="shared" si="16"/>
        <v>505.03706654158293</v>
      </c>
      <c r="V238" s="22">
        <f t="shared" si="17"/>
        <v>2.5904260752688173</v>
      </c>
      <c r="X238" s="33"/>
      <c r="Y238" s="33"/>
    </row>
    <row r="239" spans="1:25" x14ac:dyDescent="0.2">
      <c r="A239" s="93" t="s">
        <v>125</v>
      </c>
      <c r="B239" s="94">
        <f>IFERROR(VLOOKUP($A239,HeadJournal!$A$1:$NTR$890,COLUMN(HeadJournal!B$1),0),"")</f>
        <v>0</v>
      </c>
      <c r="C239" s="94" t="str">
        <f>IFERROR(VLOOKUP($A239,HeadJournal!$A$1:$NTR$890,COLUMN(HeadJournal!C$1),0),"")</f>
        <v>Anna</v>
      </c>
      <c r="D239" s="125" t="str">
        <f>IFERROR(VLOOKUP($A239,HeadJournal!$A$1:$NTR$890,COLUMN(HeadJournal!D$1),0),"")</f>
        <v>Доставлен</v>
      </c>
      <c r="E239" s="95">
        <f>IFERROR(VLOOKUP($A239,HeadJournal!$A$1:$NTR$890,COLUMN(HeadJournal!G$1),0),"")</f>
        <v>44874</v>
      </c>
      <c r="F239" s="95" t="str">
        <f t="shared" si="18"/>
        <v>2022 11</v>
      </c>
      <c r="G239" s="96" t="s">
        <v>5</v>
      </c>
      <c r="H239" s="160" t="str">
        <f>RIGHT(Journal!$J239,9)</f>
        <v>CGN-01066</v>
      </c>
      <c r="I239" s="96" t="str">
        <f t="shared" si="20"/>
        <v>California Gold Nutrition</v>
      </c>
      <c r="J239" s="97" t="s">
        <v>38</v>
      </c>
      <c r="K239" s="29">
        <v>180</v>
      </c>
      <c r="L239" s="29"/>
      <c r="M239" s="30">
        <f>IFERROR(VLOOKUP($A239,HeadJournal!$A$1:$J$890,COLUMN(HeadJournal!I$1),0)*($K239+$L239)/(SUMIF($A:$A,$A239,$K:$K)+SUMIF($A:$A,$A239,$L:$L)),0)</f>
        <v>0</v>
      </c>
      <c r="N239" s="30">
        <f>IFERROR((VLOOKUP($A239,HeadJournal!$A$1:$K$890,COLUMN(HeadJournal!K$1),0)-VLOOKUP($A239,HeadJournal!$A$1:$K$890,COLUMN(HeadJournal!J$1),0))*($K239+$L239)/(SUMIF($A:$A,$A239,$K:$K)+SUMIF($A:$A,$A239,$L:$L)),0)</f>
        <v>-4.533359887424635</v>
      </c>
      <c r="O239" s="30">
        <f>IFERROR((VLOOKUP($A239,HeadJournal!$A$1:$L$890,COLUMN(HeadJournal!L$1),0)*($K239+$L239)/(SUMIF($A:$A,$A239,$K:$K)+SUMIF($A:$A,$A239,$L:$L)))/VLOOKUP($A239,HeadJournal!$A$1:$L$890,COLUMN(HeadJournal!H$1),0),0)</f>
        <v>0</v>
      </c>
      <c r="P239" s="30">
        <f>IFERROR(SUM(K239:O239)*VLOOKUP($A239,HeadJournal!$A$1:$L$890,COLUMN(HeadJournal!H$1),0),0)</f>
        <v>219.33330014071919</v>
      </c>
      <c r="Q239" s="29">
        <v>1500</v>
      </c>
      <c r="R239" s="31">
        <v>44885</v>
      </c>
      <c r="S239" s="31" t="s">
        <v>3121</v>
      </c>
      <c r="T239" s="95" t="str">
        <f t="shared" si="19"/>
        <v>2022 11</v>
      </c>
      <c r="U239" s="32">
        <f t="shared" si="16"/>
        <v>1280.6666998592809</v>
      </c>
      <c r="V239" s="22">
        <f t="shared" si="17"/>
        <v>5.8389068100358434</v>
      </c>
      <c r="X239" s="33"/>
      <c r="Y239" s="33"/>
    </row>
    <row r="240" spans="1:25" x14ac:dyDescent="0.2">
      <c r="A240" s="93" t="s">
        <v>125</v>
      </c>
      <c r="B240" s="94">
        <f>IFERROR(VLOOKUP($A240,HeadJournal!$A$1:$NTR$890,COLUMN(HeadJournal!B$1),0),"")</f>
        <v>0</v>
      </c>
      <c r="C240" s="94" t="str">
        <f>IFERROR(VLOOKUP($A240,HeadJournal!$A$1:$NTR$890,COLUMN(HeadJournal!C$1),0),"")</f>
        <v>Anna</v>
      </c>
      <c r="D240" s="125" t="str">
        <f>IFERROR(VLOOKUP($A240,HeadJournal!$A$1:$NTR$890,COLUMN(HeadJournal!D$1),0),"")</f>
        <v>Доставлен</v>
      </c>
      <c r="E240" s="95">
        <f>IFERROR(VLOOKUP($A240,HeadJournal!$A$1:$NTR$890,COLUMN(HeadJournal!G$1),0),"")</f>
        <v>44874</v>
      </c>
      <c r="F240" s="95" t="str">
        <f t="shared" si="18"/>
        <v>2022 11</v>
      </c>
      <c r="G240" s="96" t="s">
        <v>5</v>
      </c>
      <c r="H240" s="160" t="str">
        <f>RIGHT(Journal!$J240,9)</f>
        <v>CGN-01066</v>
      </c>
      <c r="I240" s="96" t="str">
        <f t="shared" si="20"/>
        <v>California Gold Nutrition</v>
      </c>
      <c r="J240" s="97" t="s">
        <v>38</v>
      </c>
      <c r="K240" s="29">
        <v>180</v>
      </c>
      <c r="L240" s="29"/>
      <c r="M240" s="30">
        <f>IFERROR(VLOOKUP($A240,HeadJournal!$A$1:$J$890,COLUMN(HeadJournal!I$1),0)*($K240+$L240)/(SUMIF($A:$A,$A240,$K:$K)+SUMIF($A:$A,$A240,$L:$L)),0)</f>
        <v>0</v>
      </c>
      <c r="N240" s="30">
        <f>IFERROR((VLOOKUP($A240,HeadJournal!$A$1:$K$890,COLUMN(HeadJournal!K$1),0)-VLOOKUP($A240,HeadJournal!$A$1:$K$890,COLUMN(HeadJournal!J$1),0))*($K240+$L240)/(SUMIF($A:$A,$A240,$K:$K)+SUMIF($A:$A,$A240,$L:$L)),0)</f>
        <v>-4.533359887424635</v>
      </c>
      <c r="O240" s="30">
        <f>IFERROR((VLOOKUP($A240,HeadJournal!$A$1:$L$890,COLUMN(HeadJournal!L$1),0)*($K240+$L240)/(SUMIF($A:$A,$A240,$K:$K)+SUMIF($A:$A,$A240,$L:$L)))/VLOOKUP($A240,HeadJournal!$A$1:$L$890,COLUMN(HeadJournal!H$1),0),0)</f>
        <v>0</v>
      </c>
      <c r="P240" s="30">
        <f>IFERROR(SUM(K240:O240)*VLOOKUP($A240,HeadJournal!$A$1:$L$890,COLUMN(HeadJournal!H$1),0),0)</f>
        <v>219.33330014071919</v>
      </c>
      <c r="Q240" s="29">
        <v>1500</v>
      </c>
      <c r="R240" s="31">
        <v>44894</v>
      </c>
      <c r="S240" s="31" t="s">
        <v>3121</v>
      </c>
      <c r="T240" s="95" t="str">
        <f t="shared" si="19"/>
        <v>2022 11</v>
      </c>
      <c r="U240" s="32">
        <f t="shared" si="16"/>
        <v>1280.6666998592809</v>
      </c>
      <c r="V240" s="22">
        <f t="shared" si="17"/>
        <v>5.8389068100358434</v>
      </c>
      <c r="X240" s="33"/>
      <c r="Y240" s="33"/>
    </row>
    <row r="241" spans="1:25" x14ac:dyDescent="0.2">
      <c r="A241" s="93" t="s">
        <v>125</v>
      </c>
      <c r="B241" s="94">
        <f>IFERROR(VLOOKUP($A241,HeadJournal!$A$1:$NTR$890,COLUMN(HeadJournal!B$1),0),"")</f>
        <v>0</v>
      </c>
      <c r="C241" s="94" t="str">
        <f>IFERROR(VLOOKUP($A241,HeadJournal!$A$1:$NTR$890,COLUMN(HeadJournal!C$1),0),"")</f>
        <v>Anna</v>
      </c>
      <c r="D241" s="125" t="str">
        <f>IFERROR(VLOOKUP($A241,HeadJournal!$A$1:$NTR$890,COLUMN(HeadJournal!D$1),0),"")</f>
        <v>Доставлен</v>
      </c>
      <c r="E241" s="95">
        <f>IFERROR(VLOOKUP($A241,HeadJournal!$A$1:$NTR$890,COLUMN(HeadJournal!G$1),0),"")</f>
        <v>44874</v>
      </c>
      <c r="F241" s="95" t="str">
        <f t="shared" si="18"/>
        <v>2022 11</v>
      </c>
      <c r="G241" s="96" t="s">
        <v>5</v>
      </c>
      <c r="H241" s="160" t="str">
        <f>RIGHT(Journal!$J241,9)</f>
        <v>CGN-01066</v>
      </c>
      <c r="I241" s="96" t="str">
        <f t="shared" si="20"/>
        <v>California Gold Nutrition</v>
      </c>
      <c r="J241" s="97" t="s">
        <v>38</v>
      </c>
      <c r="K241" s="29">
        <v>180</v>
      </c>
      <c r="L241" s="29"/>
      <c r="M241" s="30">
        <f>IFERROR(VLOOKUP($A241,HeadJournal!$A$1:$J$890,COLUMN(HeadJournal!I$1),0)*($K241+$L241)/(SUMIF($A:$A,$A241,$K:$K)+SUMIF($A:$A,$A241,$L:$L)),0)</f>
        <v>0</v>
      </c>
      <c r="N241" s="30">
        <f>IFERROR((VLOOKUP($A241,HeadJournal!$A$1:$K$890,COLUMN(HeadJournal!K$1),0)-VLOOKUP($A241,HeadJournal!$A$1:$K$890,COLUMN(HeadJournal!J$1),0))*($K241+$L241)/(SUMIF($A:$A,$A241,$K:$K)+SUMIF($A:$A,$A241,$L:$L)),0)</f>
        <v>-4.533359887424635</v>
      </c>
      <c r="O241" s="30">
        <f>IFERROR((VLOOKUP($A241,HeadJournal!$A$1:$L$890,COLUMN(HeadJournal!L$1),0)*($K241+$L241)/(SUMIF($A:$A,$A241,$K:$K)+SUMIF($A:$A,$A241,$L:$L)))/VLOOKUP($A241,HeadJournal!$A$1:$L$890,COLUMN(HeadJournal!H$1),0),0)</f>
        <v>0</v>
      </c>
      <c r="P241" s="30">
        <f>IFERROR(SUM(K241:O241)*VLOOKUP($A241,HeadJournal!$A$1:$L$890,COLUMN(HeadJournal!H$1),0),0)</f>
        <v>219.33330014071919</v>
      </c>
      <c r="Q241" s="29">
        <v>1500</v>
      </c>
      <c r="R241" s="31">
        <v>44897</v>
      </c>
      <c r="S241" s="31" t="s">
        <v>3121</v>
      </c>
      <c r="T241" s="95" t="str">
        <f t="shared" si="19"/>
        <v>2022 12</v>
      </c>
      <c r="U241" s="32">
        <f t="shared" si="16"/>
        <v>1280.6666998592809</v>
      </c>
      <c r="V241" s="22">
        <f t="shared" si="17"/>
        <v>5.8389068100358434</v>
      </c>
      <c r="X241" s="33"/>
      <c r="Y241" s="33"/>
    </row>
    <row r="242" spans="1:25" x14ac:dyDescent="0.2">
      <c r="A242" s="93" t="s">
        <v>125</v>
      </c>
      <c r="B242" s="94">
        <f>IFERROR(VLOOKUP($A242,HeadJournal!$A$1:$NTR$890,COLUMN(HeadJournal!B$1),0),"")</f>
        <v>0</v>
      </c>
      <c r="C242" s="94" t="str">
        <f>IFERROR(VLOOKUP($A242,HeadJournal!$A$1:$NTR$890,COLUMN(HeadJournal!C$1),0),"")</f>
        <v>Anna</v>
      </c>
      <c r="D242" s="125" t="str">
        <f>IFERROR(VLOOKUP($A242,HeadJournal!$A$1:$NTR$890,COLUMN(HeadJournal!D$1),0),"")</f>
        <v>Доставлен</v>
      </c>
      <c r="E242" s="95">
        <f>IFERROR(VLOOKUP($A242,HeadJournal!$A$1:$NTR$890,COLUMN(HeadJournal!G$1),0),"")</f>
        <v>44874</v>
      </c>
      <c r="F242" s="95" t="str">
        <f t="shared" si="18"/>
        <v>2022 11</v>
      </c>
      <c r="G242" s="96" t="s">
        <v>5</v>
      </c>
      <c r="H242" s="160" t="str">
        <f>RIGHT(Journal!$J242,9)</f>
        <v>CGN-01066</v>
      </c>
      <c r="I242" s="96" t="str">
        <f t="shared" si="20"/>
        <v>California Gold Nutrition</v>
      </c>
      <c r="J242" s="97" t="s">
        <v>38</v>
      </c>
      <c r="K242" s="29">
        <v>180</v>
      </c>
      <c r="L242" s="29"/>
      <c r="M242" s="30">
        <f>IFERROR(VLOOKUP($A242,HeadJournal!$A$1:$J$890,COLUMN(HeadJournal!I$1),0)*($K242+$L242)/(SUMIF($A:$A,$A242,$K:$K)+SUMIF($A:$A,$A242,$L:$L)),0)</f>
        <v>0</v>
      </c>
      <c r="N242" s="30">
        <f>IFERROR((VLOOKUP($A242,HeadJournal!$A$1:$K$890,COLUMN(HeadJournal!K$1),0)-VLOOKUP($A242,HeadJournal!$A$1:$K$890,COLUMN(HeadJournal!J$1),0))*($K242+$L242)/(SUMIF($A:$A,$A242,$K:$K)+SUMIF($A:$A,$A242,$L:$L)),0)</f>
        <v>-4.533359887424635</v>
      </c>
      <c r="O242" s="30">
        <f>IFERROR((VLOOKUP($A242,HeadJournal!$A$1:$L$890,COLUMN(HeadJournal!L$1),0)*($K242+$L242)/(SUMIF($A:$A,$A242,$K:$K)+SUMIF($A:$A,$A242,$L:$L)))/VLOOKUP($A242,HeadJournal!$A$1:$L$890,COLUMN(HeadJournal!H$1),0),0)</f>
        <v>0</v>
      </c>
      <c r="P242" s="30">
        <f>IFERROR(SUM(K242:O242)*VLOOKUP($A242,HeadJournal!$A$1:$L$890,COLUMN(HeadJournal!H$1),0),0)</f>
        <v>219.33330014071919</v>
      </c>
      <c r="Q242" s="29">
        <v>1500</v>
      </c>
      <c r="R242" s="31">
        <v>44901</v>
      </c>
      <c r="S242" s="31" t="s">
        <v>3121</v>
      </c>
      <c r="T242" s="95" t="str">
        <f t="shared" si="19"/>
        <v>2022 12</v>
      </c>
      <c r="U242" s="32">
        <f t="shared" si="16"/>
        <v>1280.6666998592809</v>
      </c>
      <c r="V242" s="22">
        <f t="shared" si="17"/>
        <v>5.8389068100358434</v>
      </c>
      <c r="X242" s="33"/>
      <c r="Y242" s="33"/>
    </row>
    <row r="243" spans="1:25" x14ac:dyDescent="0.2">
      <c r="A243" s="93" t="s">
        <v>125</v>
      </c>
      <c r="B243" s="94">
        <f>IFERROR(VLOOKUP($A243,HeadJournal!$A$1:$NTR$890,COLUMN(HeadJournal!B$1),0),"")</f>
        <v>0</v>
      </c>
      <c r="C243" s="94" t="str">
        <f>IFERROR(VLOOKUP($A243,HeadJournal!$A$1:$NTR$890,COLUMN(HeadJournal!C$1),0),"")</f>
        <v>Anna</v>
      </c>
      <c r="D243" s="125" t="str">
        <f>IFERROR(VLOOKUP($A243,HeadJournal!$A$1:$NTR$890,COLUMN(HeadJournal!D$1),0),"")</f>
        <v>Доставлен</v>
      </c>
      <c r="E243" s="95">
        <f>IFERROR(VLOOKUP($A243,HeadJournal!$A$1:$NTR$890,COLUMN(HeadJournal!G$1),0),"")</f>
        <v>44874</v>
      </c>
      <c r="F243" s="95" t="str">
        <f t="shared" si="18"/>
        <v>2022 11</v>
      </c>
      <c r="G243" s="96" t="s">
        <v>5</v>
      </c>
      <c r="H243" s="175" t="s">
        <v>3648</v>
      </c>
      <c r="I243" s="176" t="s">
        <v>2042</v>
      </c>
      <c r="J243" s="97" t="s">
        <v>3697</v>
      </c>
      <c r="K243" s="29">
        <v>560</v>
      </c>
      <c r="L243" s="29"/>
      <c r="M243" s="30">
        <f>IFERROR(VLOOKUP($A243,HeadJournal!$A$1:$J$890,COLUMN(HeadJournal!I$1),0)*($K243+$L243)/(SUMIF($A:$A,$A243,$K:$K)+SUMIF($A:$A,$A243,$L:$L)),0)</f>
        <v>0</v>
      </c>
      <c r="N243" s="30">
        <f>IFERROR((VLOOKUP($A243,HeadJournal!$A$1:$K$890,COLUMN(HeadJournal!K$1),0)-VLOOKUP($A243,HeadJournal!$A$1:$K$890,COLUMN(HeadJournal!J$1),0))*($K243+$L243)/(SUMIF($A:$A,$A243,$K:$K)+SUMIF($A:$A,$A243,$L:$L)),0)</f>
        <v>-14.103786316432197</v>
      </c>
      <c r="O243" s="30">
        <f>IFERROR((VLOOKUP($A243,HeadJournal!$A$1:$L$890,COLUMN(HeadJournal!L$1),0)*($K243+$L243)/(SUMIF($A:$A,$A243,$K:$K)+SUMIF($A:$A,$A243,$L:$L)))/VLOOKUP($A243,HeadJournal!$A$1:$L$890,COLUMN(HeadJournal!H$1),0),0)</f>
        <v>0</v>
      </c>
      <c r="P243" s="30">
        <f>IFERROR(SUM(K243:O243)*VLOOKUP($A243,HeadJournal!$A$1:$L$890,COLUMN(HeadJournal!H$1),0),0)</f>
        <v>682.3702671044598</v>
      </c>
      <c r="Q243" s="29">
        <v>1700</v>
      </c>
      <c r="R243" s="31">
        <v>44890</v>
      </c>
      <c r="S243" s="31" t="s">
        <v>3121</v>
      </c>
      <c r="T243" s="95" t="str">
        <f t="shared" si="19"/>
        <v>2022 11</v>
      </c>
      <c r="U243" s="32">
        <f t="shared" si="16"/>
        <v>1017.6297328955402</v>
      </c>
      <c r="V243" s="22">
        <f t="shared" si="17"/>
        <v>1.4913160522273425</v>
      </c>
      <c r="X243" s="33"/>
      <c r="Y243" s="33"/>
    </row>
    <row r="244" spans="1:25" x14ac:dyDescent="0.2">
      <c r="A244" s="93" t="s">
        <v>125</v>
      </c>
      <c r="B244" s="94">
        <f>IFERROR(VLOOKUP($A244,HeadJournal!$A$1:$NTR$890,COLUMN(HeadJournal!B$1),0),"")</f>
        <v>0</v>
      </c>
      <c r="C244" s="94" t="str">
        <f>IFERROR(VLOOKUP($A244,HeadJournal!$A$1:$NTR$890,COLUMN(HeadJournal!C$1),0),"")</f>
        <v>Anna</v>
      </c>
      <c r="D244" s="125" t="str">
        <f>IFERROR(VLOOKUP($A244,HeadJournal!$A$1:$NTR$890,COLUMN(HeadJournal!D$1),0),"")</f>
        <v>Доставлен</v>
      </c>
      <c r="E244" s="95">
        <f>IFERROR(VLOOKUP($A244,HeadJournal!$A$1:$NTR$890,COLUMN(HeadJournal!G$1),0),"")</f>
        <v>44874</v>
      </c>
      <c r="F244" s="95" t="str">
        <f t="shared" si="18"/>
        <v>2022 11</v>
      </c>
      <c r="G244" s="96" t="s">
        <v>5</v>
      </c>
      <c r="H244" s="175" t="s">
        <v>3648</v>
      </c>
      <c r="I244" s="176" t="s">
        <v>2042</v>
      </c>
      <c r="J244" s="97" t="s">
        <v>3697</v>
      </c>
      <c r="K244" s="29">
        <v>560</v>
      </c>
      <c r="L244" s="29"/>
      <c r="M244" s="30">
        <f>IFERROR(VLOOKUP($A244,HeadJournal!$A$1:$J$890,COLUMN(HeadJournal!I$1),0)*($K244+$L244)/(SUMIF($A:$A,$A244,$K:$K)+SUMIF($A:$A,$A244,$L:$L)),0)</f>
        <v>0</v>
      </c>
      <c r="N244" s="30">
        <f>IFERROR((VLOOKUP($A244,HeadJournal!$A$1:$K$890,COLUMN(HeadJournal!K$1),0)-VLOOKUP($A244,HeadJournal!$A$1:$K$890,COLUMN(HeadJournal!J$1),0))*($K244+$L244)/(SUMIF($A:$A,$A244,$K:$K)+SUMIF($A:$A,$A244,$L:$L)),0)</f>
        <v>-14.103786316432197</v>
      </c>
      <c r="O244" s="30">
        <f>IFERROR((VLOOKUP($A244,HeadJournal!$A$1:$L$890,COLUMN(HeadJournal!L$1),0)*($K244+$L244)/(SUMIF($A:$A,$A244,$K:$K)+SUMIF($A:$A,$A244,$L:$L)))/VLOOKUP($A244,HeadJournal!$A$1:$L$890,COLUMN(HeadJournal!H$1),0),0)</f>
        <v>0</v>
      </c>
      <c r="P244" s="30">
        <f>IFERROR(SUM(K244:O244)*VLOOKUP($A244,HeadJournal!$A$1:$L$890,COLUMN(HeadJournal!H$1),0),0)</f>
        <v>682.3702671044598</v>
      </c>
      <c r="Q244" s="29">
        <v>1650</v>
      </c>
      <c r="R244" s="31">
        <v>44892</v>
      </c>
      <c r="S244" s="31" t="s">
        <v>3121</v>
      </c>
      <c r="T244" s="95" t="str">
        <f t="shared" si="19"/>
        <v>2022 11</v>
      </c>
      <c r="U244" s="32">
        <f t="shared" si="16"/>
        <v>967.6297328955402</v>
      </c>
      <c r="V244" s="22">
        <f t="shared" si="17"/>
        <v>1.4180420506912441</v>
      </c>
      <c r="X244" s="33"/>
      <c r="Y244" s="33"/>
    </row>
    <row r="245" spans="1:25" x14ac:dyDescent="0.2">
      <c r="A245" s="93" t="s">
        <v>125</v>
      </c>
      <c r="B245" s="94">
        <f>IFERROR(VLOOKUP($A245,HeadJournal!$A$1:$NTR$890,COLUMN(HeadJournal!B$1),0),"")</f>
        <v>0</v>
      </c>
      <c r="C245" s="94" t="str">
        <f>IFERROR(VLOOKUP($A245,HeadJournal!$A$1:$NTR$890,COLUMN(HeadJournal!C$1),0),"")</f>
        <v>Anna</v>
      </c>
      <c r="D245" s="125" t="str">
        <f>IFERROR(VLOOKUP($A245,HeadJournal!$A$1:$NTR$890,COLUMN(HeadJournal!D$1),0),"")</f>
        <v>Доставлен</v>
      </c>
      <c r="E245" s="95">
        <f>IFERROR(VLOOKUP($A245,HeadJournal!$A$1:$NTR$890,COLUMN(HeadJournal!G$1),0),"")</f>
        <v>44874</v>
      </c>
      <c r="F245" s="95" t="str">
        <f t="shared" si="18"/>
        <v>2022 11</v>
      </c>
      <c r="G245" s="96" t="s">
        <v>5</v>
      </c>
      <c r="H245" s="175" t="s">
        <v>3647</v>
      </c>
      <c r="I245" s="176" t="s">
        <v>2042</v>
      </c>
      <c r="J245" s="97" t="s">
        <v>3696</v>
      </c>
      <c r="K245" s="29">
        <v>560</v>
      </c>
      <c r="L245" s="29"/>
      <c r="M245" s="30">
        <f>IFERROR(VLOOKUP($A245,HeadJournal!$A$1:$J$890,COLUMN(HeadJournal!I$1),0)*($K245+$L245)/(SUMIF($A:$A,$A245,$K:$K)+SUMIF($A:$A,$A245,$L:$L)),0)</f>
        <v>0</v>
      </c>
      <c r="N245" s="30">
        <f>IFERROR((VLOOKUP($A245,HeadJournal!$A$1:$K$890,COLUMN(HeadJournal!K$1),0)-VLOOKUP($A245,HeadJournal!$A$1:$K$890,COLUMN(HeadJournal!J$1),0))*($K245+$L245)/(SUMIF($A:$A,$A245,$K:$K)+SUMIF($A:$A,$A245,$L:$L)),0)</f>
        <v>-14.103786316432197</v>
      </c>
      <c r="O245" s="30">
        <f>IFERROR((VLOOKUP($A245,HeadJournal!$A$1:$L$890,COLUMN(HeadJournal!L$1),0)*($K245+$L245)/(SUMIF($A:$A,$A245,$K:$K)+SUMIF($A:$A,$A245,$L:$L)))/VLOOKUP($A245,HeadJournal!$A$1:$L$890,COLUMN(HeadJournal!H$1),0),0)</f>
        <v>0</v>
      </c>
      <c r="P245" s="30">
        <f>IFERROR(SUM(K245:O245)*VLOOKUP($A245,HeadJournal!$A$1:$L$890,COLUMN(HeadJournal!H$1),0),0)</f>
        <v>682.3702671044598</v>
      </c>
      <c r="Q245" s="29">
        <v>1600</v>
      </c>
      <c r="R245" s="31">
        <v>44921</v>
      </c>
      <c r="S245" s="31" t="s">
        <v>3121</v>
      </c>
      <c r="T245" s="95" t="str">
        <f t="shared" si="19"/>
        <v>2022 12</v>
      </c>
      <c r="U245" s="32">
        <f t="shared" si="16"/>
        <v>917.6297328955402</v>
      </c>
      <c r="V245" s="22">
        <f t="shared" si="17"/>
        <v>1.3447680491551459</v>
      </c>
      <c r="X245" s="33"/>
      <c r="Y245" s="33"/>
    </row>
    <row r="246" spans="1:25" x14ac:dyDescent="0.2">
      <c r="A246" s="93" t="s">
        <v>125</v>
      </c>
      <c r="B246" s="94">
        <f>IFERROR(VLOOKUP($A246,HeadJournal!$A$1:$NTR$890,COLUMN(HeadJournal!B$1),0),"")</f>
        <v>0</v>
      </c>
      <c r="C246" s="94" t="str">
        <f>IFERROR(VLOOKUP($A246,HeadJournal!$A$1:$NTR$890,COLUMN(HeadJournal!C$1),0),"")</f>
        <v>Anna</v>
      </c>
      <c r="D246" s="125" t="str">
        <f>IFERROR(VLOOKUP($A246,HeadJournal!$A$1:$NTR$890,COLUMN(HeadJournal!D$1),0),"")</f>
        <v>Доставлен</v>
      </c>
      <c r="E246" s="95">
        <f>IFERROR(VLOOKUP($A246,HeadJournal!$A$1:$NTR$890,COLUMN(HeadJournal!G$1),0),"")</f>
        <v>44874</v>
      </c>
      <c r="F246" s="95" t="str">
        <f t="shared" si="18"/>
        <v>2022 11</v>
      </c>
      <c r="G246" s="96" t="s">
        <v>5</v>
      </c>
      <c r="H246" s="160" t="str">
        <f>RIGHT(Journal!$J246,9)</f>
        <v xml:space="preserve"> таблеток</v>
      </c>
      <c r="I246" s="96" t="str">
        <f t="shared" si="20"/>
        <v>Solaray</v>
      </c>
      <c r="J246" s="97" t="s">
        <v>104</v>
      </c>
      <c r="K246" s="29">
        <v>472</v>
      </c>
      <c r="L246" s="29"/>
      <c r="M246" s="30">
        <f>IFERROR(VLOOKUP($A246,HeadJournal!$A$1:$J$890,COLUMN(HeadJournal!I$1),0)*($K246+$L246)/(SUMIF($A:$A,$A246,$K:$K)+SUMIF($A:$A,$A246,$L:$L)),0)</f>
        <v>0</v>
      </c>
      <c r="N246" s="30">
        <f>IFERROR((VLOOKUP($A246,HeadJournal!$A$1:$K$890,COLUMN(HeadJournal!K$1),0)-VLOOKUP($A246,HeadJournal!$A$1:$K$890,COLUMN(HeadJournal!J$1),0))*($K246+$L246)/(SUMIF($A:$A,$A246,$K:$K)+SUMIF($A:$A,$A246,$L:$L)),0)</f>
        <v>-11.887477038135707</v>
      </c>
      <c r="O246" s="30">
        <f>IFERROR((VLOOKUP($A246,HeadJournal!$A$1:$L$890,COLUMN(HeadJournal!L$1),0)*($K246+$L246)/(SUMIF($A:$A,$A246,$K:$K)+SUMIF($A:$A,$A246,$L:$L)))/VLOOKUP($A246,HeadJournal!$A$1:$L$890,COLUMN(HeadJournal!H$1),0),0)</f>
        <v>0</v>
      </c>
      <c r="P246" s="30">
        <f>IFERROR(SUM(K246:O246)*VLOOKUP($A246,HeadJournal!$A$1:$L$890,COLUMN(HeadJournal!H$1),0),0)</f>
        <v>575.14065370233038</v>
      </c>
      <c r="Q246" s="29">
        <v>1200</v>
      </c>
      <c r="R246" s="31">
        <v>44914</v>
      </c>
      <c r="S246" s="31" t="s">
        <v>3121</v>
      </c>
      <c r="T246" s="95" t="str">
        <f t="shared" si="19"/>
        <v>2022 12</v>
      </c>
      <c r="U246" s="32">
        <f t="shared" si="16"/>
        <v>624.85934629766962</v>
      </c>
      <c r="V246" s="22">
        <f t="shared" si="17"/>
        <v>1.0864461454346637</v>
      </c>
      <c r="X246" s="33"/>
      <c r="Y246" s="33"/>
    </row>
    <row r="247" spans="1:25" x14ac:dyDescent="0.2">
      <c r="A247" s="93" t="s">
        <v>125</v>
      </c>
      <c r="B247" s="94">
        <f>IFERROR(VLOOKUP($A247,HeadJournal!$A$1:$NTR$890,COLUMN(HeadJournal!B$1),0),"")</f>
        <v>0</v>
      </c>
      <c r="C247" s="94" t="str">
        <f>IFERROR(VLOOKUP($A247,HeadJournal!$A$1:$NTR$890,COLUMN(HeadJournal!C$1),0),"")</f>
        <v>Anna</v>
      </c>
      <c r="D247" s="125" t="str">
        <f>IFERROR(VLOOKUP($A247,HeadJournal!$A$1:$NTR$890,COLUMN(HeadJournal!D$1),0),"")</f>
        <v>Доставлен</v>
      </c>
      <c r="E247" s="95">
        <f>IFERROR(VLOOKUP($A247,HeadJournal!$A$1:$NTR$890,COLUMN(HeadJournal!G$1),0),"")</f>
        <v>44874</v>
      </c>
      <c r="F247" s="95" t="str">
        <f t="shared" si="18"/>
        <v>2022 11</v>
      </c>
      <c r="G247" s="96" t="s">
        <v>5</v>
      </c>
      <c r="H247" s="160" t="str">
        <f>RIGHT(Journal!$J247,9)</f>
        <v>NWY-15788</v>
      </c>
      <c r="I247" s="96" t="str">
        <f t="shared" si="20"/>
        <v>Nature's Way</v>
      </c>
      <c r="J247" s="97" t="s">
        <v>69</v>
      </c>
      <c r="K247" s="29">
        <v>503.2</v>
      </c>
      <c r="L247" s="29"/>
      <c r="M247" s="30">
        <f>IFERROR(VLOOKUP($A247,HeadJournal!$A$1:$J$890,COLUMN(HeadJournal!I$1),0)*($K247+$L247)/(SUMIF($A:$A,$A247,$K:$K)+SUMIF($A:$A,$A247,$L:$L)),0)</f>
        <v>0</v>
      </c>
      <c r="N247" s="30">
        <f>IFERROR((VLOOKUP($A247,HeadJournal!$A$1:$K$890,COLUMN(HeadJournal!K$1),0)-VLOOKUP($A247,HeadJournal!$A$1:$K$890,COLUMN(HeadJournal!J$1),0))*($K247+$L247)/(SUMIF($A:$A,$A247,$K:$K)+SUMIF($A:$A,$A247,$L:$L)),0)</f>
        <v>-12.673259418622644</v>
      </c>
      <c r="O247" s="30">
        <f>IFERROR((VLOOKUP($A247,HeadJournal!$A$1:$L$890,COLUMN(HeadJournal!L$1),0)*($K247+$L247)/(SUMIF($A:$A,$A247,$K:$K)+SUMIF($A:$A,$A247,$L:$L)))/VLOOKUP($A247,HeadJournal!$A$1:$L$890,COLUMN(HeadJournal!H$1),0),0)</f>
        <v>0</v>
      </c>
      <c r="P247" s="30">
        <f>IFERROR(SUM(K247:O247)*VLOOKUP($A247,HeadJournal!$A$1:$L$890,COLUMN(HeadJournal!H$1),0),0)</f>
        <v>613.1584257267217</v>
      </c>
      <c r="Q247" s="29">
        <v>1200</v>
      </c>
      <c r="R247" s="31">
        <v>44876</v>
      </c>
      <c r="S247" s="31" t="s">
        <v>3121</v>
      </c>
      <c r="T247" s="95" t="str">
        <f t="shared" si="19"/>
        <v>2022 11</v>
      </c>
      <c r="U247" s="32">
        <f t="shared" si="16"/>
        <v>586.8415742732783</v>
      </c>
      <c r="V247" s="22">
        <f t="shared" si="17"/>
        <v>0.95707985024873077</v>
      </c>
      <c r="X247" s="33"/>
      <c r="Y247" s="33"/>
    </row>
    <row r="248" spans="1:25" x14ac:dyDescent="0.2">
      <c r="A248" s="93" t="s">
        <v>125</v>
      </c>
      <c r="B248" s="94">
        <f>IFERROR(VLOOKUP($A248,HeadJournal!$A$1:$NTR$890,COLUMN(HeadJournal!B$1),0),"")</f>
        <v>0</v>
      </c>
      <c r="C248" s="94" t="str">
        <f>IFERROR(VLOOKUP($A248,HeadJournal!$A$1:$NTR$890,COLUMN(HeadJournal!C$1),0),"")</f>
        <v>Anna</v>
      </c>
      <c r="D248" s="125" t="str">
        <f>IFERROR(VLOOKUP($A248,HeadJournal!$A$1:$NTR$890,COLUMN(HeadJournal!D$1),0),"")</f>
        <v>Доставлен</v>
      </c>
      <c r="E248" s="95">
        <f>IFERROR(VLOOKUP($A248,HeadJournal!$A$1:$NTR$890,COLUMN(HeadJournal!G$1),0),"")</f>
        <v>44874</v>
      </c>
      <c r="F248" s="95" t="str">
        <f t="shared" si="18"/>
        <v>2022 11</v>
      </c>
      <c r="G248" s="96" t="s">
        <v>5</v>
      </c>
      <c r="H248" s="160" t="str">
        <f>RIGHT(Journal!$J248,9)</f>
        <v>CEN-27757</v>
      </c>
      <c r="I248" s="96" t="str">
        <f t="shared" si="20"/>
        <v>21st Century</v>
      </c>
      <c r="J248" s="97" t="s">
        <v>127</v>
      </c>
      <c r="K248" s="29">
        <v>312</v>
      </c>
      <c r="L248" s="29"/>
      <c r="M248" s="30">
        <f>IFERROR(VLOOKUP($A248,HeadJournal!$A$1:$J$890,COLUMN(HeadJournal!I$1),0)*($K248+$L248)/(SUMIF($A:$A,$A248,$K:$K)+SUMIF($A:$A,$A248,$L:$L)),0)</f>
        <v>0</v>
      </c>
      <c r="N248" s="30">
        <f>IFERROR((VLOOKUP($A248,HeadJournal!$A$1:$K$890,COLUMN(HeadJournal!K$1),0)-VLOOKUP($A248,HeadJournal!$A$1:$K$890,COLUMN(HeadJournal!J$1),0))*($K248+$L248)/(SUMIF($A:$A,$A248,$K:$K)+SUMIF($A:$A,$A248,$L:$L)),0)</f>
        <v>-7.8578238048693665</v>
      </c>
      <c r="O248" s="30">
        <f>IFERROR((VLOOKUP($A248,HeadJournal!$A$1:$L$890,COLUMN(HeadJournal!L$1),0)*($K248+$L248)/(SUMIF($A:$A,$A248,$K:$K)+SUMIF($A:$A,$A248,$L:$L)))/VLOOKUP($A248,HeadJournal!$A$1:$L$890,COLUMN(HeadJournal!H$1),0),0)</f>
        <v>0</v>
      </c>
      <c r="P248" s="30">
        <f>IFERROR(SUM(K248:O248)*VLOOKUP($A248,HeadJournal!$A$1:$L$890,COLUMN(HeadJournal!H$1),0),0)</f>
        <v>380.17772024391326</v>
      </c>
      <c r="Q248" s="29">
        <v>1300</v>
      </c>
      <c r="R248" s="31">
        <v>44876</v>
      </c>
      <c r="S248" s="31" t="s">
        <v>3121</v>
      </c>
      <c r="T248" s="95" t="str">
        <f t="shared" si="19"/>
        <v>2022 11</v>
      </c>
      <c r="U248" s="32">
        <f t="shared" si="16"/>
        <v>919.8222797560868</v>
      </c>
      <c r="V248" s="22">
        <f t="shared" si="17"/>
        <v>2.4194534050179217</v>
      </c>
      <c r="X248" s="33"/>
      <c r="Y248" s="33"/>
    </row>
    <row r="249" spans="1:25" x14ac:dyDescent="0.2">
      <c r="A249" s="93" t="s">
        <v>125</v>
      </c>
      <c r="B249" s="94">
        <f>IFERROR(VLOOKUP($A249,HeadJournal!$A$1:$NTR$890,COLUMN(HeadJournal!B$1),0),"")</f>
        <v>0</v>
      </c>
      <c r="C249" s="94" t="str">
        <f>IFERROR(VLOOKUP($A249,HeadJournal!$A$1:$NTR$890,COLUMN(HeadJournal!C$1),0),"")</f>
        <v>Anna</v>
      </c>
      <c r="D249" s="125" t="str">
        <f>IFERROR(VLOOKUP($A249,HeadJournal!$A$1:$NTR$890,COLUMN(HeadJournal!D$1),0),"")</f>
        <v>Доставлен</v>
      </c>
      <c r="E249" s="95">
        <f>IFERROR(VLOOKUP($A249,HeadJournal!$A$1:$NTR$890,COLUMN(HeadJournal!G$1),0),"")</f>
        <v>44874</v>
      </c>
      <c r="F249" s="95" t="str">
        <f t="shared" si="18"/>
        <v>2022 11</v>
      </c>
      <c r="G249" s="96" t="s">
        <v>5</v>
      </c>
      <c r="H249" s="160" t="str">
        <f>RIGHT(Journal!$J249,9)</f>
        <v>CEN-27757</v>
      </c>
      <c r="I249" s="96" t="str">
        <f t="shared" si="20"/>
        <v>21st Century</v>
      </c>
      <c r="J249" s="97" t="s">
        <v>127</v>
      </c>
      <c r="K249" s="29">
        <v>312</v>
      </c>
      <c r="L249" s="29"/>
      <c r="M249" s="30">
        <f>IFERROR(VLOOKUP($A249,HeadJournal!$A$1:$J$890,COLUMN(HeadJournal!I$1),0)*($K249+$L249)/(SUMIF($A:$A,$A249,$K:$K)+SUMIF($A:$A,$A249,$L:$L)),0)</f>
        <v>0</v>
      </c>
      <c r="N249" s="30">
        <f>IFERROR((VLOOKUP($A249,HeadJournal!$A$1:$K$890,COLUMN(HeadJournal!K$1),0)-VLOOKUP($A249,HeadJournal!$A$1:$K$890,COLUMN(HeadJournal!J$1),0))*($K249+$L249)/(SUMIF($A:$A,$A249,$K:$K)+SUMIF($A:$A,$A249,$L:$L)),0)</f>
        <v>-7.8578238048693665</v>
      </c>
      <c r="O249" s="30">
        <f>IFERROR((VLOOKUP($A249,HeadJournal!$A$1:$L$890,COLUMN(HeadJournal!L$1),0)*($K249+$L249)/(SUMIF($A:$A,$A249,$K:$K)+SUMIF($A:$A,$A249,$L:$L)))/VLOOKUP($A249,HeadJournal!$A$1:$L$890,COLUMN(HeadJournal!H$1),0),0)</f>
        <v>0</v>
      </c>
      <c r="P249" s="30">
        <f>IFERROR(SUM(K249:O249)*VLOOKUP($A249,HeadJournal!$A$1:$L$890,COLUMN(HeadJournal!H$1),0),0)</f>
        <v>380.17772024391326</v>
      </c>
      <c r="Q249" s="29">
        <v>1300</v>
      </c>
      <c r="R249" s="31">
        <v>44883</v>
      </c>
      <c r="S249" s="31" t="s">
        <v>3121</v>
      </c>
      <c r="T249" s="95" t="str">
        <f t="shared" si="19"/>
        <v>2022 11</v>
      </c>
      <c r="U249" s="32">
        <f t="shared" si="16"/>
        <v>919.8222797560868</v>
      </c>
      <c r="V249" s="22">
        <f t="shared" si="17"/>
        <v>2.4194534050179217</v>
      </c>
      <c r="X249" s="33"/>
      <c r="Y249" s="33"/>
    </row>
    <row r="250" spans="1:25" x14ac:dyDescent="0.2">
      <c r="A250" s="93" t="s">
        <v>125</v>
      </c>
      <c r="B250" s="94">
        <f>IFERROR(VLOOKUP($A250,HeadJournal!$A$1:$NTR$890,COLUMN(HeadJournal!B$1),0),"")</f>
        <v>0</v>
      </c>
      <c r="C250" s="94" t="str">
        <f>IFERROR(VLOOKUP($A250,HeadJournal!$A$1:$NTR$890,COLUMN(HeadJournal!C$1),0),"")</f>
        <v>Anna</v>
      </c>
      <c r="D250" s="125" t="str">
        <f>IFERROR(VLOOKUP($A250,HeadJournal!$A$1:$NTR$890,COLUMN(HeadJournal!D$1),0),"")</f>
        <v>Доставлен</v>
      </c>
      <c r="E250" s="95">
        <f>IFERROR(VLOOKUP($A250,HeadJournal!$A$1:$NTR$890,COLUMN(HeadJournal!G$1),0),"")</f>
        <v>44874</v>
      </c>
      <c r="F250" s="95" t="str">
        <f t="shared" si="18"/>
        <v>2022 11</v>
      </c>
      <c r="G250" s="96" t="s">
        <v>5</v>
      </c>
      <c r="H250" s="160" t="str">
        <f>RIGHT(Journal!$J250,9)</f>
        <v>NFS-01678</v>
      </c>
      <c r="I250" s="96" t="str">
        <f t="shared" si="20"/>
        <v>Natural Factors</v>
      </c>
      <c r="J250" s="97" t="s">
        <v>128</v>
      </c>
      <c r="K250" s="29">
        <v>192</v>
      </c>
      <c r="L250" s="29"/>
      <c r="M250" s="30">
        <f>IFERROR(VLOOKUP($A250,HeadJournal!$A$1:$J$890,COLUMN(HeadJournal!I$1),0)*($K250+$L250)/(SUMIF($A:$A,$A250,$K:$K)+SUMIF($A:$A,$A250,$L:$L)),0)</f>
        <v>0</v>
      </c>
      <c r="N250" s="30">
        <f>IFERROR((VLOOKUP($A250,HeadJournal!$A$1:$K$890,COLUMN(HeadJournal!K$1),0)-VLOOKUP($A250,HeadJournal!$A$1:$K$890,COLUMN(HeadJournal!J$1),0))*($K250+$L250)/(SUMIF($A:$A,$A250,$K:$K)+SUMIF($A:$A,$A250,$L:$L)),0)</f>
        <v>-4.8355838799196098</v>
      </c>
      <c r="O250" s="30">
        <f>IFERROR((VLOOKUP($A250,HeadJournal!$A$1:$L$890,COLUMN(HeadJournal!L$1),0)*($K250+$L250)/(SUMIF($A:$A,$A250,$K:$K)+SUMIF($A:$A,$A250,$L:$L)))/VLOOKUP($A250,HeadJournal!$A$1:$L$890,COLUMN(HeadJournal!H$1),0),0)</f>
        <v>0</v>
      </c>
      <c r="P250" s="30">
        <f>IFERROR(SUM(K250:O250)*VLOOKUP($A250,HeadJournal!$A$1:$L$890,COLUMN(HeadJournal!H$1),0),0)</f>
        <v>233.95552015010051</v>
      </c>
      <c r="Q250" s="29">
        <v>650</v>
      </c>
      <c r="R250" s="31">
        <v>44880</v>
      </c>
      <c r="S250" s="31" t="s">
        <v>3121</v>
      </c>
      <c r="T250" s="95" t="str">
        <f t="shared" si="19"/>
        <v>2022 11</v>
      </c>
      <c r="U250" s="32">
        <f t="shared" si="16"/>
        <v>416.04447984989952</v>
      </c>
      <c r="V250" s="22">
        <f t="shared" si="17"/>
        <v>1.7783058915770609</v>
      </c>
      <c r="X250" s="33"/>
      <c r="Y250" s="33"/>
    </row>
    <row r="251" spans="1:25" x14ac:dyDescent="0.2">
      <c r="A251" s="93" t="s">
        <v>125</v>
      </c>
      <c r="B251" s="94">
        <f>IFERROR(VLOOKUP($A251,HeadJournal!$A$1:$NTR$890,COLUMN(HeadJournal!B$1),0),"")</f>
        <v>0</v>
      </c>
      <c r="C251" s="94" t="str">
        <f>IFERROR(VLOOKUP($A251,HeadJournal!$A$1:$NTR$890,COLUMN(HeadJournal!C$1),0),"")</f>
        <v>Anna</v>
      </c>
      <c r="D251" s="125" t="str">
        <f>IFERROR(VLOOKUP($A251,HeadJournal!$A$1:$NTR$890,COLUMN(HeadJournal!D$1),0),"")</f>
        <v>Доставлен</v>
      </c>
      <c r="E251" s="95">
        <f>IFERROR(VLOOKUP($A251,HeadJournal!$A$1:$NTR$890,COLUMN(HeadJournal!G$1),0),"")</f>
        <v>44874</v>
      </c>
      <c r="F251" s="95" t="str">
        <f t="shared" si="18"/>
        <v>2022 11</v>
      </c>
      <c r="G251" s="96" t="s">
        <v>5</v>
      </c>
      <c r="H251" s="160" t="str">
        <f>RIGHT(Journal!$J251,9)</f>
        <v>NFS-01678</v>
      </c>
      <c r="I251" s="96" t="str">
        <f t="shared" si="20"/>
        <v>Natural Factors</v>
      </c>
      <c r="J251" s="97" t="s">
        <v>128</v>
      </c>
      <c r="K251" s="29">
        <v>192</v>
      </c>
      <c r="L251" s="29"/>
      <c r="M251" s="30">
        <f>IFERROR(VLOOKUP($A251,HeadJournal!$A$1:$J$890,COLUMN(HeadJournal!I$1),0)*($K251+$L251)/(SUMIF($A:$A,$A251,$K:$K)+SUMIF($A:$A,$A251,$L:$L)),0)</f>
        <v>0</v>
      </c>
      <c r="N251" s="30">
        <f>IFERROR((VLOOKUP($A251,HeadJournal!$A$1:$K$890,COLUMN(HeadJournal!K$1),0)-VLOOKUP($A251,HeadJournal!$A$1:$K$890,COLUMN(HeadJournal!J$1),0))*($K251+$L251)/(SUMIF($A:$A,$A251,$K:$K)+SUMIF($A:$A,$A251,$L:$L)),0)</f>
        <v>-4.8355838799196098</v>
      </c>
      <c r="O251" s="30">
        <f>IFERROR((VLOOKUP($A251,HeadJournal!$A$1:$L$890,COLUMN(HeadJournal!L$1),0)*($K251+$L251)/(SUMIF($A:$A,$A251,$K:$K)+SUMIF($A:$A,$A251,$L:$L)))/VLOOKUP($A251,HeadJournal!$A$1:$L$890,COLUMN(HeadJournal!H$1),0),0)</f>
        <v>0</v>
      </c>
      <c r="P251" s="30">
        <f>IFERROR(SUM(K251:O251)*VLOOKUP($A251,HeadJournal!$A$1:$L$890,COLUMN(HeadJournal!H$1),0),0)</f>
        <v>233.95552015010051</v>
      </c>
      <c r="Q251" s="29">
        <v>650</v>
      </c>
      <c r="R251" s="31">
        <v>44880</v>
      </c>
      <c r="S251" s="31" t="s">
        <v>3121</v>
      </c>
      <c r="T251" s="95" t="str">
        <f t="shared" si="19"/>
        <v>2022 11</v>
      </c>
      <c r="U251" s="32">
        <f t="shared" si="16"/>
        <v>416.04447984989952</v>
      </c>
      <c r="V251" s="22">
        <f t="shared" si="17"/>
        <v>1.7783058915770609</v>
      </c>
      <c r="X251" s="33"/>
      <c r="Y251" s="33"/>
    </row>
    <row r="252" spans="1:25" x14ac:dyDescent="0.2">
      <c r="A252" s="93" t="s">
        <v>125</v>
      </c>
      <c r="B252" s="94">
        <f>IFERROR(VLOOKUP($A252,HeadJournal!$A$1:$NTR$890,COLUMN(HeadJournal!B$1),0),"")</f>
        <v>0</v>
      </c>
      <c r="C252" s="94" t="str">
        <f>IFERROR(VLOOKUP($A252,HeadJournal!$A$1:$NTR$890,COLUMN(HeadJournal!C$1),0),"")</f>
        <v>Anna</v>
      </c>
      <c r="D252" s="125" t="str">
        <f>IFERROR(VLOOKUP($A252,HeadJournal!$A$1:$NTR$890,COLUMN(HeadJournal!D$1),0),"")</f>
        <v>Доставлен</v>
      </c>
      <c r="E252" s="95">
        <f>IFERROR(VLOOKUP($A252,HeadJournal!$A$1:$NTR$890,COLUMN(HeadJournal!G$1),0),"")</f>
        <v>44874</v>
      </c>
      <c r="F252" s="95" t="str">
        <f t="shared" si="18"/>
        <v>2022 11</v>
      </c>
      <c r="G252" s="96" t="s">
        <v>5</v>
      </c>
      <c r="H252" s="175" t="s">
        <v>3630</v>
      </c>
      <c r="I252" s="176" t="s">
        <v>2052</v>
      </c>
      <c r="J252" s="97" t="s">
        <v>3673</v>
      </c>
      <c r="K252" s="29">
        <v>648</v>
      </c>
      <c r="L252" s="29"/>
      <c r="M252" s="30">
        <f>IFERROR(VLOOKUP($A252,HeadJournal!$A$1:$J$890,COLUMN(HeadJournal!I$1),0)*($K252+$L252)/(SUMIF($A:$A,$A252,$K:$K)+SUMIF($A:$A,$A252,$L:$L)),0)</f>
        <v>0</v>
      </c>
      <c r="N252" s="30">
        <f>IFERROR((VLOOKUP($A252,HeadJournal!$A$1:$K$890,COLUMN(HeadJournal!K$1),0)-VLOOKUP($A252,HeadJournal!$A$1:$K$890,COLUMN(HeadJournal!J$1),0))*($K252+$L252)/(SUMIF($A:$A,$A252,$K:$K)+SUMIF($A:$A,$A252,$L:$L)),0)</f>
        <v>-16.320095594728684</v>
      </c>
      <c r="O252" s="30">
        <f>IFERROR((VLOOKUP($A252,HeadJournal!$A$1:$L$890,COLUMN(HeadJournal!L$1),0)*($K252+$L252)/(SUMIF($A:$A,$A252,$K:$K)+SUMIF($A:$A,$A252,$L:$L)))/VLOOKUP($A252,HeadJournal!$A$1:$L$890,COLUMN(HeadJournal!H$1),0),0)</f>
        <v>0</v>
      </c>
      <c r="P252" s="30">
        <f>IFERROR(SUM(K252:O252)*VLOOKUP($A252,HeadJournal!$A$1:$L$890,COLUMN(HeadJournal!H$1),0),0)</f>
        <v>789.59988050658922</v>
      </c>
      <c r="Q252" s="29">
        <v>2000</v>
      </c>
      <c r="R252" s="31">
        <v>44900</v>
      </c>
      <c r="S252" s="31" t="s">
        <v>3121</v>
      </c>
      <c r="T252" s="95" t="str">
        <f t="shared" si="19"/>
        <v>2022 12</v>
      </c>
      <c r="U252" s="32">
        <f t="shared" si="16"/>
        <v>1210.4001194934108</v>
      </c>
      <c r="V252" s="22">
        <f t="shared" si="17"/>
        <v>1.5329284481614229</v>
      </c>
      <c r="X252" s="33"/>
      <c r="Y252" s="33"/>
    </row>
    <row r="253" spans="1:25" x14ac:dyDescent="0.2">
      <c r="A253" s="93" t="s">
        <v>125</v>
      </c>
      <c r="B253" s="94">
        <f>IFERROR(VLOOKUP($A253,HeadJournal!$A$1:$NTR$890,COLUMN(HeadJournal!B$1),0),"")</f>
        <v>0</v>
      </c>
      <c r="C253" s="94" t="str">
        <f>IFERROR(VLOOKUP($A253,HeadJournal!$A$1:$NTR$890,COLUMN(HeadJournal!C$1),0),"")</f>
        <v>Anna</v>
      </c>
      <c r="D253" s="125" t="str">
        <f>IFERROR(VLOOKUP($A253,HeadJournal!$A$1:$NTR$890,COLUMN(HeadJournal!D$1),0),"")</f>
        <v>Доставлен</v>
      </c>
      <c r="E253" s="95">
        <f>IFERROR(VLOOKUP($A253,HeadJournal!$A$1:$NTR$890,COLUMN(HeadJournal!G$1),0),"")</f>
        <v>44874</v>
      </c>
      <c r="F253" s="95" t="str">
        <f t="shared" si="18"/>
        <v>2022 11</v>
      </c>
      <c r="G253" s="96" t="s">
        <v>5</v>
      </c>
      <c r="H253" s="175" t="s">
        <v>3630</v>
      </c>
      <c r="I253" s="176" t="s">
        <v>2052</v>
      </c>
      <c r="J253" s="97" t="s">
        <v>3673</v>
      </c>
      <c r="K253" s="29">
        <v>648</v>
      </c>
      <c r="L253" s="29"/>
      <c r="M253" s="30">
        <f>IFERROR(VLOOKUP($A253,HeadJournal!$A$1:$J$890,COLUMN(HeadJournal!I$1),0)*($K253+$L253)/(SUMIF($A:$A,$A253,$K:$K)+SUMIF($A:$A,$A253,$L:$L)),0)</f>
        <v>0</v>
      </c>
      <c r="N253" s="30">
        <f>IFERROR((VLOOKUP($A253,HeadJournal!$A$1:$K$890,COLUMN(HeadJournal!K$1),0)-VLOOKUP($A253,HeadJournal!$A$1:$K$890,COLUMN(HeadJournal!J$1),0))*($K253+$L253)/(SUMIF($A:$A,$A253,$K:$K)+SUMIF($A:$A,$A253,$L:$L)),0)</f>
        <v>-16.320095594728684</v>
      </c>
      <c r="O253" s="30">
        <f>IFERROR((VLOOKUP($A253,HeadJournal!$A$1:$L$890,COLUMN(HeadJournal!L$1),0)*($K253+$L253)/(SUMIF($A:$A,$A253,$K:$K)+SUMIF($A:$A,$A253,$L:$L)))/VLOOKUP($A253,HeadJournal!$A$1:$L$890,COLUMN(HeadJournal!H$1),0),0)</f>
        <v>0</v>
      </c>
      <c r="P253" s="30">
        <f>IFERROR(SUM(K253:O253)*VLOOKUP($A253,HeadJournal!$A$1:$L$890,COLUMN(HeadJournal!H$1),0),0)</f>
        <v>789.59988050658922</v>
      </c>
      <c r="Q253" s="29">
        <v>2000</v>
      </c>
      <c r="R253" s="31">
        <v>44919</v>
      </c>
      <c r="S253" s="31" t="s">
        <v>3121</v>
      </c>
      <c r="T253" s="95" t="str">
        <f t="shared" si="19"/>
        <v>2022 12</v>
      </c>
      <c r="U253" s="32">
        <f t="shared" si="16"/>
        <v>1210.4001194934108</v>
      </c>
      <c r="V253" s="22">
        <f t="shared" si="17"/>
        <v>1.5329284481614229</v>
      </c>
      <c r="X253" s="33"/>
      <c r="Y253" s="33"/>
    </row>
    <row r="254" spans="1:25" x14ac:dyDescent="0.2">
      <c r="A254" s="93" t="s">
        <v>125</v>
      </c>
      <c r="B254" s="94">
        <f>IFERROR(VLOOKUP($A254,HeadJournal!$A$1:$NTR$890,COLUMN(HeadJournal!B$1),0),"")</f>
        <v>0</v>
      </c>
      <c r="C254" s="94" t="str">
        <f>IFERROR(VLOOKUP($A254,HeadJournal!$A$1:$NTR$890,COLUMN(HeadJournal!C$1),0),"")</f>
        <v>Anna</v>
      </c>
      <c r="D254" s="125" t="str">
        <f>IFERROR(VLOOKUP($A254,HeadJournal!$A$1:$NTR$890,COLUMN(HeadJournal!D$1),0),"")</f>
        <v>Доставлен</v>
      </c>
      <c r="E254" s="95">
        <f>IFERROR(VLOOKUP($A254,HeadJournal!$A$1:$NTR$890,COLUMN(HeadJournal!G$1),0),"")</f>
        <v>44874</v>
      </c>
      <c r="F254" s="95" t="str">
        <f t="shared" si="18"/>
        <v>2022 11</v>
      </c>
      <c r="G254" s="96" t="s">
        <v>5</v>
      </c>
      <c r="H254" s="161" t="s">
        <v>2430</v>
      </c>
      <c r="I254" s="97" t="s">
        <v>2221</v>
      </c>
      <c r="J254" s="97" t="s">
        <v>4197</v>
      </c>
      <c r="K254" s="29">
        <v>249.02</v>
      </c>
      <c r="L254" s="29"/>
      <c r="M254" s="30">
        <f>IFERROR(VLOOKUP($A254,HeadJournal!$A$1:$J$890,COLUMN(HeadJournal!I$1),0)*($K254+$L254)/(SUMIF($A:$A,$A254,$K:$K)+SUMIF($A:$A,$A254,$L:$L)),0)</f>
        <v>0</v>
      </c>
      <c r="N254" s="30">
        <f>IFERROR((VLOOKUP($A254,HeadJournal!$A$1:$K$890,COLUMN(HeadJournal!K$1),0)-VLOOKUP($A254,HeadJournal!$A$1:$K$890,COLUMN(HeadJournal!J$1),0))*($K254+$L254)/(SUMIF($A:$A,$A254,$K:$K)+SUMIF($A:$A,$A254,$L:$L)),0)</f>
        <v>-6.2716515509249033</v>
      </c>
      <c r="O254" s="30">
        <f>IFERROR((VLOOKUP($A254,HeadJournal!$A$1:$L$890,COLUMN(HeadJournal!L$1),0)*($K254+$L254)/(SUMIF($A:$A,$A254,$K:$K)+SUMIF($A:$A,$A254,$L:$L)))/VLOOKUP($A254,HeadJournal!$A$1:$L$890,COLUMN(HeadJournal!H$1),0),0)</f>
        <v>0</v>
      </c>
      <c r="P254" s="30">
        <f>IFERROR(SUM(K254:O254)*VLOOKUP($A254,HeadJournal!$A$1:$L$890,COLUMN(HeadJournal!H$1),0),0)</f>
        <v>303.43543556134387</v>
      </c>
      <c r="Q254" s="29">
        <v>800</v>
      </c>
      <c r="R254" s="31">
        <v>44876</v>
      </c>
      <c r="S254" s="31" t="s">
        <v>3121</v>
      </c>
      <c r="T254" s="95" t="str">
        <f t="shared" si="19"/>
        <v>2022 11</v>
      </c>
      <c r="U254" s="32">
        <f t="shared" si="16"/>
        <v>496.56456443865613</v>
      </c>
      <c r="V254" s="22">
        <f t="shared" si="17"/>
        <v>1.6364751978292542</v>
      </c>
      <c r="X254" s="33"/>
      <c r="Y254" s="33"/>
    </row>
    <row r="255" spans="1:25" x14ac:dyDescent="0.2">
      <c r="A255" s="93" t="s">
        <v>125</v>
      </c>
      <c r="B255" s="94">
        <f>IFERROR(VLOOKUP($A255,HeadJournal!$A$1:$NTR$890,COLUMN(HeadJournal!B$1),0),"")</f>
        <v>0</v>
      </c>
      <c r="C255" s="94" t="str">
        <f>IFERROR(VLOOKUP($A255,HeadJournal!$A$1:$NTR$890,COLUMN(HeadJournal!C$1),0),"")</f>
        <v>Anna</v>
      </c>
      <c r="D255" s="125" t="str">
        <f>IFERROR(VLOOKUP($A255,HeadJournal!$A$1:$NTR$890,COLUMN(HeadJournal!D$1),0),"")</f>
        <v>Доставлен</v>
      </c>
      <c r="E255" s="95">
        <f>IFERROR(VLOOKUP($A255,HeadJournal!$A$1:$NTR$890,COLUMN(HeadJournal!G$1),0),"")</f>
        <v>44874</v>
      </c>
      <c r="F255" s="95" t="str">
        <f t="shared" si="18"/>
        <v>2022 11</v>
      </c>
      <c r="G255" s="96" t="s">
        <v>5</v>
      </c>
      <c r="H255" s="160" t="str">
        <f>RIGHT(Journal!$J255,9)</f>
        <v>NOW-03775</v>
      </c>
      <c r="I255" s="96" t="str">
        <f t="shared" si="20"/>
        <v>NOW Foods</v>
      </c>
      <c r="J255" s="97" t="s">
        <v>110</v>
      </c>
      <c r="K255" s="29">
        <v>260</v>
      </c>
      <c r="L255" s="29"/>
      <c r="M255" s="30">
        <f>IFERROR(VLOOKUP($A255,HeadJournal!$A$1:$J$890,COLUMN(HeadJournal!I$1),0)*($K255+$L255)/(SUMIF($A:$A,$A255,$K:$K)+SUMIF($A:$A,$A255,$L:$L)),0)</f>
        <v>0</v>
      </c>
      <c r="N255" s="30">
        <f>IFERROR((VLOOKUP($A255,HeadJournal!$A$1:$K$890,COLUMN(HeadJournal!K$1),0)-VLOOKUP($A255,HeadJournal!$A$1:$K$890,COLUMN(HeadJournal!J$1),0))*($K255+$L255)/(SUMIF($A:$A,$A255,$K:$K)+SUMIF($A:$A,$A255,$L:$L)),0)</f>
        <v>-6.5481865040578064</v>
      </c>
      <c r="O255" s="30">
        <f>IFERROR((VLOOKUP($A255,HeadJournal!$A$1:$L$890,COLUMN(HeadJournal!L$1),0)*($K255+$L255)/(SUMIF($A:$A,$A255,$K:$K)+SUMIF($A:$A,$A255,$L:$L)))/VLOOKUP($A255,HeadJournal!$A$1:$L$890,COLUMN(HeadJournal!H$1),0),0)</f>
        <v>0</v>
      </c>
      <c r="P255" s="30">
        <f>IFERROR(SUM(K255:O255)*VLOOKUP($A255,HeadJournal!$A$1:$L$890,COLUMN(HeadJournal!H$1),0),0)</f>
        <v>316.81476686992772</v>
      </c>
      <c r="Q255" s="29">
        <v>800</v>
      </c>
      <c r="R255" s="31">
        <v>44876</v>
      </c>
      <c r="S255" s="31" t="s">
        <v>3121</v>
      </c>
      <c r="T255" s="95" t="str">
        <f t="shared" si="19"/>
        <v>2022 11</v>
      </c>
      <c r="U255" s="32">
        <f t="shared" si="16"/>
        <v>483.18523313007228</v>
      </c>
      <c r="V255" s="22">
        <f t="shared" si="17"/>
        <v>1.5251348221670804</v>
      </c>
      <c r="X255" s="33"/>
      <c r="Y255" s="33"/>
    </row>
    <row r="256" spans="1:25" x14ac:dyDescent="0.2">
      <c r="A256" s="93" t="s">
        <v>125</v>
      </c>
      <c r="B256" s="94">
        <f>IFERROR(VLOOKUP($A256,HeadJournal!$A$1:$NTR$890,COLUMN(HeadJournal!B$1),0),"")</f>
        <v>0</v>
      </c>
      <c r="C256" s="94" t="str">
        <f>IFERROR(VLOOKUP($A256,HeadJournal!$A$1:$NTR$890,COLUMN(HeadJournal!C$1),0),"")</f>
        <v>Anna</v>
      </c>
      <c r="D256" s="125" t="str">
        <f>IFERROR(VLOOKUP($A256,HeadJournal!$A$1:$NTR$890,COLUMN(HeadJournal!D$1),0),"")</f>
        <v>Доставлен</v>
      </c>
      <c r="E256" s="95">
        <f>IFERROR(VLOOKUP($A256,HeadJournal!$A$1:$NTR$890,COLUMN(HeadJournal!G$1),0),"")</f>
        <v>44874</v>
      </c>
      <c r="F256" s="95" t="str">
        <f t="shared" si="18"/>
        <v>2022 11</v>
      </c>
      <c r="G256" s="96" t="s">
        <v>5</v>
      </c>
      <c r="H256" s="175" t="s">
        <v>3650</v>
      </c>
      <c r="I256" s="176" t="s">
        <v>2042</v>
      </c>
      <c r="J256" s="97" t="s">
        <v>3699</v>
      </c>
      <c r="K256" s="29">
        <v>604</v>
      </c>
      <c r="L256" s="29"/>
      <c r="M256" s="30">
        <f>IFERROR(VLOOKUP($A256,HeadJournal!$A$1:$J$890,COLUMN(HeadJournal!I$1),0)*($K256+$L256)/(SUMIF($A:$A,$A256,$K:$K)+SUMIF($A:$A,$A256,$L:$L)),0)</f>
        <v>0</v>
      </c>
      <c r="N256" s="30">
        <f>IFERROR((VLOOKUP($A256,HeadJournal!$A$1:$K$890,COLUMN(HeadJournal!K$1),0)-VLOOKUP($A256,HeadJournal!$A$1:$K$890,COLUMN(HeadJournal!J$1),0))*($K256+$L256)/(SUMIF($A:$A,$A256,$K:$K)+SUMIF($A:$A,$A256,$L:$L)),0)</f>
        <v>-15.21194095558044</v>
      </c>
      <c r="O256" s="30">
        <f>IFERROR((VLOOKUP($A256,HeadJournal!$A$1:$L$890,COLUMN(HeadJournal!L$1),0)*($K256+$L256)/(SUMIF($A:$A,$A256,$K:$K)+SUMIF($A:$A,$A256,$L:$L)))/VLOOKUP($A256,HeadJournal!$A$1:$L$890,COLUMN(HeadJournal!H$1),0),0)</f>
        <v>0</v>
      </c>
      <c r="P256" s="30">
        <f>IFERROR(SUM(K256:O256)*VLOOKUP($A256,HeadJournal!$A$1:$L$890,COLUMN(HeadJournal!H$1),0),0)</f>
        <v>735.98507380552451</v>
      </c>
      <c r="Q256" s="29">
        <v>1700</v>
      </c>
      <c r="R256" s="31">
        <v>44889</v>
      </c>
      <c r="S256" s="31" t="s">
        <v>3121</v>
      </c>
      <c r="T256" s="95" t="str">
        <f t="shared" si="19"/>
        <v>2022 11</v>
      </c>
      <c r="U256" s="32">
        <f t="shared" si="16"/>
        <v>964.01492619447549</v>
      </c>
      <c r="V256" s="22">
        <f t="shared" si="17"/>
        <v>1.3098294523962115</v>
      </c>
      <c r="X256" s="33"/>
      <c r="Y256" s="33"/>
    </row>
    <row r="257" spans="1:25" x14ac:dyDescent="0.2">
      <c r="A257" s="93" t="s">
        <v>129</v>
      </c>
      <c r="B257" s="94">
        <f>IFERROR(VLOOKUP($A257,HeadJournal!$A$1:$NTR$890,COLUMN(HeadJournal!B$1),0),"")</f>
        <v>0</v>
      </c>
      <c r="C257" s="94" t="str">
        <f>IFERROR(VLOOKUP($A257,HeadJournal!$A$1:$NTR$890,COLUMN(HeadJournal!C$1),0),"")</f>
        <v>Roman</v>
      </c>
      <c r="D257" s="125" t="str">
        <f>IFERROR(VLOOKUP($A257,HeadJournal!$A$1:$NTR$890,COLUMN(HeadJournal!D$1),0),"")</f>
        <v>Доставлен</v>
      </c>
      <c r="E257" s="95">
        <f>IFERROR(VLOOKUP($A257,HeadJournal!$A$1:$NTR$890,COLUMN(HeadJournal!G$1),0),"")</f>
        <v>44874</v>
      </c>
      <c r="F257" s="95" t="str">
        <f t="shared" si="18"/>
        <v>2022 11</v>
      </c>
      <c r="G257" s="96" t="s">
        <v>5</v>
      </c>
      <c r="H257" s="175" t="s">
        <v>3655</v>
      </c>
      <c r="I257" s="176" t="s">
        <v>2005</v>
      </c>
      <c r="J257" s="97" t="s">
        <v>3704</v>
      </c>
      <c r="K257" s="29">
        <v>301.928</v>
      </c>
      <c r="L257" s="29"/>
      <c r="M257" s="30">
        <f>IFERROR(VLOOKUP($A257,HeadJournal!$A$1:$J$890,COLUMN(HeadJournal!I$1),0)*($K257+$L257)/(SUMIF($A:$A,$A257,$K:$K)+SUMIF($A:$A,$A257,$L:$L)),0)</f>
        <v>0</v>
      </c>
      <c r="N257" s="30">
        <f>IFERROR((VLOOKUP($A257,HeadJournal!$A$1:$K$890,COLUMN(HeadJournal!K$1),0)-VLOOKUP($A257,HeadJournal!$A$1:$K$890,COLUMN(HeadJournal!J$1),0))*($K257+$L257)/(SUMIF($A:$A,$A257,$K:$K)+SUMIF($A:$A,$A257,$L:$L)),0)</f>
        <v>0.16632287436751939</v>
      </c>
      <c r="O257" s="30">
        <f>IFERROR((VLOOKUP($A257,HeadJournal!$A$1:$L$890,COLUMN(HeadJournal!L$1),0)*($K257+$L257)/(SUMIF($A:$A,$A257,$K:$K)+SUMIF($A:$A,$A257,$L:$L)))/VLOOKUP($A257,HeadJournal!$A$1:$L$890,COLUMN(HeadJournal!H$1),0),0)</f>
        <v>0</v>
      </c>
      <c r="P257" s="30">
        <f>IFERROR(SUM(K257:O257)*VLOOKUP($A257,HeadJournal!$A$1:$L$890,COLUMN(HeadJournal!H$1),0),0)</f>
        <v>377.61790359295935</v>
      </c>
      <c r="Q257" s="29">
        <v>1000</v>
      </c>
      <c r="R257" s="31">
        <v>44880</v>
      </c>
      <c r="S257" s="31" t="s">
        <v>3121</v>
      </c>
      <c r="T257" s="95" t="str">
        <f t="shared" si="19"/>
        <v>2022 11</v>
      </c>
      <c r="U257" s="32">
        <f t="shared" si="16"/>
        <v>622.38209640704065</v>
      </c>
      <c r="V257" s="22">
        <f t="shared" si="17"/>
        <v>1.6481795234950425</v>
      </c>
      <c r="X257" s="33"/>
      <c r="Y257" s="33"/>
    </row>
    <row r="258" spans="1:25" x14ac:dyDescent="0.2">
      <c r="A258" s="93" t="s">
        <v>129</v>
      </c>
      <c r="B258" s="94">
        <f>IFERROR(VLOOKUP($A258,HeadJournal!$A$1:$NTR$890,COLUMN(HeadJournal!B$1),0),"")</f>
        <v>0</v>
      </c>
      <c r="C258" s="94" t="str">
        <f>IFERROR(VLOOKUP($A258,HeadJournal!$A$1:$NTR$890,COLUMN(HeadJournal!C$1),0),"")</f>
        <v>Roman</v>
      </c>
      <c r="D258" s="125" t="str">
        <f>IFERROR(VLOOKUP($A258,HeadJournal!$A$1:$NTR$890,COLUMN(HeadJournal!D$1),0),"")</f>
        <v>Доставлен</v>
      </c>
      <c r="E258" s="95">
        <f>IFERROR(VLOOKUP($A258,HeadJournal!$A$1:$NTR$890,COLUMN(HeadJournal!G$1),0),"")</f>
        <v>44874</v>
      </c>
      <c r="F258" s="95" t="str">
        <f t="shared" si="18"/>
        <v>2022 11</v>
      </c>
      <c r="G258" s="96" t="s">
        <v>5</v>
      </c>
      <c r="H258" s="175" t="s">
        <v>3655</v>
      </c>
      <c r="I258" s="176" t="s">
        <v>2005</v>
      </c>
      <c r="J258" s="97" t="s">
        <v>3704</v>
      </c>
      <c r="K258" s="29">
        <v>301.928</v>
      </c>
      <c r="L258" s="29"/>
      <c r="M258" s="30">
        <f>IFERROR(VLOOKUP($A258,HeadJournal!$A$1:$J$890,COLUMN(HeadJournal!I$1),0)*($K258+$L258)/(SUMIF($A:$A,$A258,$K:$K)+SUMIF($A:$A,$A258,$L:$L)),0)</f>
        <v>0</v>
      </c>
      <c r="N258" s="30">
        <f>IFERROR((VLOOKUP($A258,HeadJournal!$A$1:$K$890,COLUMN(HeadJournal!K$1),0)-VLOOKUP($A258,HeadJournal!$A$1:$K$890,COLUMN(HeadJournal!J$1),0))*($K258+$L258)/(SUMIF($A:$A,$A258,$K:$K)+SUMIF($A:$A,$A258,$L:$L)),0)</f>
        <v>0.16632287436751939</v>
      </c>
      <c r="O258" s="30">
        <f>IFERROR((VLOOKUP($A258,HeadJournal!$A$1:$L$890,COLUMN(HeadJournal!L$1),0)*($K258+$L258)/(SUMIF($A:$A,$A258,$K:$K)+SUMIF($A:$A,$A258,$L:$L)))/VLOOKUP($A258,HeadJournal!$A$1:$L$890,COLUMN(HeadJournal!H$1),0),0)</f>
        <v>0</v>
      </c>
      <c r="P258" s="30">
        <f>IFERROR(SUM(K258:O258)*VLOOKUP($A258,HeadJournal!$A$1:$L$890,COLUMN(HeadJournal!H$1),0),0)</f>
        <v>377.61790359295935</v>
      </c>
      <c r="Q258" s="29">
        <v>900</v>
      </c>
      <c r="R258" s="31">
        <v>44898</v>
      </c>
      <c r="S258" s="31" t="s">
        <v>3121</v>
      </c>
      <c r="T258" s="95" t="str">
        <f t="shared" si="19"/>
        <v>2022 12</v>
      </c>
      <c r="U258" s="32">
        <f t="shared" si="16"/>
        <v>522.38209640704065</v>
      </c>
      <c r="V258" s="22">
        <f t="shared" si="17"/>
        <v>1.3833615711455383</v>
      </c>
      <c r="X258" s="33"/>
      <c r="Y258" s="33"/>
    </row>
    <row r="259" spans="1:25" x14ac:dyDescent="0.2">
      <c r="A259" s="93" t="s">
        <v>129</v>
      </c>
      <c r="B259" s="94">
        <f>IFERROR(VLOOKUP($A259,HeadJournal!$A$1:$NTR$890,COLUMN(HeadJournal!B$1),0),"")</f>
        <v>0</v>
      </c>
      <c r="C259" s="94" t="str">
        <f>IFERROR(VLOOKUP($A259,HeadJournal!$A$1:$NTR$890,COLUMN(HeadJournal!C$1),0),"")</f>
        <v>Roman</v>
      </c>
      <c r="D259" s="125" t="str">
        <f>IFERROR(VLOOKUP($A259,HeadJournal!$A$1:$NTR$890,COLUMN(HeadJournal!D$1),0),"")</f>
        <v>Доставлен</v>
      </c>
      <c r="E259" s="95">
        <f>IFERROR(VLOOKUP($A259,HeadJournal!$A$1:$NTR$890,COLUMN(HeadJournal!G$1),0),"")</f>
        <v>44874</v>
      </c>
      <c r="F259" s="95" t="str">
        <f t="shared" si="18"/>
        <v>2022 11</v>
      </c>
      <c r="G259" s="96" t="s">
        <v>5</v>
      </c>
      <c r="H259" s="175" t="s">
        <v>3655</v>
      </c>
      <c r="I259" s="176" t="s">
        <v>2005</v>
      </c>
      <c r="J259" s="97" t="s">
        <v>3704</v>
      </c>
      <c r="K259" s="29">
        <v>301.928</v>
      </c>
      <c r="L259" s="29"/>
      <c r="M259" s="30">
        <f>IFERROR(VLOOKUP($A259,HeadJournal!$A$1:$J$890,COLUMN(HeadJournal!I$1),0)*($K259+$L259)/(SUMIF($A:$A,$A259,$K:$K)+SUMIF($A:$A,$A259,$L:$L)),0)</f>
        <v>0</v>
      </c>
      <c r="N259" s="30">
        <f>IFERROR((VLOOKUP($A259,HeadJournal!$A$1:$K$890,COLUMN(HeadJournal!K$1),0)-VLOOKUP($A259,HeadJournal!$A$1:$K$890,COLUMN(HeadJournal!J$1),0))*($K259+$L259)/(SUMIF($A:$A,$A259,$K:$K)+SUMIF($A:$A,$A259,$L:$L)),0)</f>
        <v>0.16632287436751939</v>
      </c>
      <c r="O259" s="30">
        <f>IFERROR((VLOOKUP($A259,HeadJournal!$A$1:$L$890,COLUMN(HeadJournal!L$1),0)*($K259+$L259)/(SUMIF($A:$A,$A259,$K:$K)+SUMIF($A:$A,$A259,$L:$L)))/VLOOKUP($A259,HeadJournal!$A$1:$L$890,COLUMN(HeadJournal!H$1),0),0)</f>
        <v>0</v>
      </c>
      <c r="P259" s="30">
        <f>IFERROR(SUM(K259:O259)*VLOOKUP($A259,HeadJournal!$A$1:$L$890,COLUMN(HeadJournal!H$1),0),0)</f>
        <v>377.61790359295935</v>
      </c>
      <c r="Q259" s="29">
        <v>1000</v>
      </c>
      <c r="R259" s="31">
        <v>44909</v>
      </c>
      <c r="S259" s="31" t="s">
        <v>3121</v>
      </c>
      <c r="T259" s="95" t="str">
        <f t="shared" si="19"/>
        <v>2022 12</v>
      </c>
      <c r="U259" s="32">
        <f t="shared" ref="U259:U322" si="21">Q259-P259</f>
        <v>622.38209640704065</v>
      </c>
      <c r="V259" s="22">
        <f t="shared" ref="V259:V322" si="22">IF(Q259&lt;&gt;0,IFERROR(U259/P259,""),"")</f>
        <v>1.6481795234950425</v>
      </c>
      <c r="X259" s="33"/>
      <c r="Y259" s="33"/>
    </row>
    <row r="260" spans="1:25" x14ac:dyDescent="0.2">
      <c r="A260" s="93" t="s">
        <v>129</v>
      </c>
      <c r="B260" s="94">
        <f>IFERROR(VLOOKUP($A260,HeadJournal!$A$1:$NTR$890,COLUMN(HeadJournal!B$1),0),"")</f>
        <v>0</v>
      </c>
      <c r="C260" s="94" t="str">
        <f>IFERROR(VLOOKUP($A260,HeadJournal!$A$1:$NTR$890,COLUMN(HeadJournal!C$1),0),"")</f>
        <v>Roman</v>
      </c>
      <c r="D260" s="125" t="str">
        <f>IFERROR(VLOOKUP($A260,HeadJournal!$A$1:$NTR$890,COLUMN(HeadJournal!D$1),0),"")</f>
        <v>Доставлен</v>
      </c>
      <c r="E260" s="95">
        <f>IFERROR(VLOOKUP($A260,HeadJournal!$A$1:$NTR$890,COLUMN(HeadJournal!G$1),0),"")</f>
        <v>44874</v>
      </c>
      <c r="F260" s="95" t="str">
        <f t="shared" ref="F260:F323" si="23">IFERROR(TEXT(E260, "ГГГГ ММ"),"")</f>
        <v>2022 11</v>
      </c>
      <c r="G260" s="96" t="s">
        <v>5</v>
      </c>
      <c r="H260" s="175" t="s">
        <v>3655</v>
      </c>
      <c r="I260" s="176" t="s">
        <v>2005</v>
      </c>
      <c r="J260" s="97" t="s">
        <v>3704</v>
      </c>
      <c r="K260" s="29">
        <v>301.928</v>
      </c>
      <c r="L260" s="29"/>
      <c r="M260" s="30">
        <f>IFERROR(VLOOKUP($A260,HeadJournal!$A$1:$J$890,COLUMN(HeadJournal!I$1),0)*($K260+$L260)/(SUMIF($A:$A,$A260,$K:$K)+SUMIF($A:$A,$A260,$L:$L)),0)</f>
        <v>0</v>
      </c>
      <c r="N260" s="30">
        <f>IFERROR((VLOOKUP($A260,HeadJournal!$A$1:$K$890,COLUMN(HeadJournal!K$1),0)-VLOOKUP($A260,HeadJournal!$A$1:$K$890,COLUMN(HeadJournal!J$1),0))*($K260+$L260)/(SUMIF($A:$A,$A260,$K:$K)+SUMIF($A:$A,$A260,$L:$L)),0)</f>
        <v>0.16632287436751939</v>
      </c>
      <c r="O260" s="30">
        <f>IFERROR((VLOOKUP($A260,HeadJournal!$A$1:$L$890,COLUMN(HeadJournal!L$1),0)*($K260+$L260)/(SUMIF($A:$A,$A260,$K:$K)+SUMIF($A:$A,$A260,$L:$L)))/VLOOKUP($A260,HeadJournal!$A$1:$L$890,COLUMN(HeadJournal!H$1),0),0)</f>
        <v>0</v>
      </c>
      <c r="P260" s="30">
        <f>IFERROR(SUM(K260:O260)*VLOOKUP($A260,HeadJournal!$A$1:$L$890,COLUMN(HeadJournal!H$1),0),0)</f>
        <v>377.61790359295935</v>
      </c>
      <c r="Q260" s="29">
        <v>900</v>
      </c>
      <c r="R260" s="31">
        <v>44924</v>
      </c>
      <c r="S260" s="31" t="s">
        <v>3121</v>
      </c>
      <c r="T260" s="95" t="str">
        <f t="shared" ref="T260:T323" si="24">IF(R260="","",TEXT(R260,"ГГГГ ММ"))</f>
        <v>2022 12</v>
      </c>
      <c r="U260" s="32">
        <f t="shared" si="21"/>
        <v>522.38209640704065</v>
      </c>
      <c r="V260" s="22">
        <f t="shared" si="22"/>
        <v>1.3833615711455383</v>
      </c>
      <c r="X260" s="33"/>
      <c r="Y260" s="33"/>
    </row>
    <row r="261" spans="1:25" x14ac:dyDescent="0.2">
      <c r="A261" s="93" t="s">
        <v>129</v>
      </c>
      <c r="B261" s="94">
        <f>IFERROR(VLOOKUP($A261,HeadJournal!$A$1:$NTR$890,COLUMN(HeadJournal!B$1),0),"")</f>
        <v>0</v>
      </c>
      <c r="C261" s="94" t="str">
        <f>IFERROR(VLOOKUP($A261,HeadJournal!$A$1:$NTR$890,COLUMN(HeadJournal!C$1),0),"")</f>
        <v>Roman</v>
      </c>
      <c r="D261" s="125" t="str">
        <f>IFERROR(VLOOKUP($A261,HeadJournal!$A$1:$NTR$890,COLUMN(HeadJournal!D$1),0),"")</f>
        <v>Доставлен</v>
      </c>
      <c r="E261" s="95">
        <f>IFERROR(VLOOKUP($A261,HeadJournal!$A$1:$NTR$890,COLUMN(HeadJournal!G$1),0),"")</f>
        <v>44874</v>
      </c>
      <c r="F261" s="95" t="str">
        <f t="shared" si="23"/>
        <v>2022 11</v>
      </c>
      <c r="G261" s="96" t="s">
        <v>5</v>
      </c>
      <c r="H261" s="175" t="s">
        <v>3655</v>
      </c>
      <c r="I261" s="176" t="s">
        <v>2005</v>
      </c>
      <c r="J261" s="97" t="s">
        <v>3704</v>
      </c>
      <c r="K261" s="29">
        <v>301.928</v>
      </c>
      <c r="L261" s="29"/>
      <c r="M261" s="30">
        <f>IFERROR(VLOOKUP($A261,HeadJournal!$A$1:$J$890,COLUMN(HeadJournal!I$1),0)*($K261+$L261)/(SUMIF($A:$A,$A261,$K:$K)+SUMIF($A:$A,$A261,$L:$L)),0)</f>
        <v>0</v>
      </c>
      <c r="N261" s="30">
        <f>IFERROR((VLOOKUP($A261,HeadJournal!$A$1:$K$890,COLUMN(HeadJournal!K$1),0)-VLOOKUP($A261,HeadJournal!$A$1:$K$890,COLUMN(HeadJournal!J$1),0))*($K261+$L261)/(SUMIF($A:$A,$A261,$K:$K)+SUMIF($A:$A,$A261,$L:$L)),0)</f>
        <v>0.16632287436751939</v>
      </c>
      <c r="O261" s="30">
        <f>IFERROR((VLOOKUP($A261,HeadJournal!$A$1:$L$890,COLUMN(HeadJournal!L$1),0)*($K261+$L261)/(SUMIF($A:$A,$A261,$K:$K)+SUMIF($A:$A,$A261,$L:$L)))/VLOOKUP($A261,HeadJournal!$A$1:$L$890,COLUMN(HeadJournal!H$1),0),0)</f>
        <v>0</v>
      </c>
      <c r="P261" s="30">
        <f>IFERROR(SUM(K261:O261)*VLOOKUP($A261,HeadJournal!$A$1:$L$890,COLUMN(HeadJournal!H$1),0),0)</f>
        <v>377.61790359295935</v>
      </c>
      <c r="Q261" s="29">
        <v>1000</v>
      </c>
      <c r="R261" s="31">
        <v>44928</v>
      </c>
      <c r="S261" s="31" t="s">
        <v>3121</v>
      </c>
      <c r="T261" s="95" t="str">
        <f t="shared" si="24"/>
        <v>2023 01</v>
      </c>
      <c r="U261" s="32">
        <f t="shared" si="21"/>
        <v>622.38209640704065</v>
      </c>
      <c r="V261" s="22">
        <f t="shared" si="22"/>
        <v>1.6481795234950425</v>
      </c>
      <c r="X261" s="33"/>
      <c r="Y261" s="33"/>
    </row>
    <row r="262" spans="1:25" x14ac:dyDescent="0.2">
      <c r="A262" s="93" t="s">
        <v>129</v>
      </c>
      <c r="B262" s="94">
        <f>IFERROR(VLOOKUP($A262,HeadJournal!$A$1:$NTR$890,COLUMN(HeadJournal!B$1),0),"")</f>
        <v>0</v>
      </c>
      <c r="C262" s="94" t="str">
        <f>IFERROR(VLOOKUP($A262,HeadJournal!$A$1:$NTR$890,COLUMN(HeadJournal!C$1),0),"")</f>
        <v>Roman</v>
      </c>
      <c r="D262" s="125" t="str">
        <f>IFERROR(VLOOKUP($A262,HeadJournal!$A$1:$NTR$890,COLUMN(HeadJournal!D$1),0),"")</f>
        <v>Доставлен</v>
      </c>
      <c r="E262" s="95">
        <f>IFERROR(VLOOKUP($A262,HeadJournal!$A$1:$NTR$890,COLUMN(HeadJournal!G$1),0),"")</f>
        <v>44874</v>
      </c>
      <c r="F262" s="95" t="str">
        <f t="shared" si="23"/>
        <v>2022 11</v>
      </c>
      <c r="G262" s="96" t="s">
        <v>5</v>
      </c>
      <c r="H262" s="175" t="s">
        <v>3655</v>
      </c>
      <c r="I262" s="176" t="s">
        <v>2005</v>
      </c>
      <c r="J262" s="97" t="s">
        <v>3704</v>
      </c>
      <c r="K262" s="29">
        <v>301.928</v>
      </c>
      <c r="L262" s="29"/>
      <c r="M262" s="30">
        <f>IFERROR(VLOOKUP($A262,HeadJournal!$A$1:$J$890,COLUMN(HeadJournal!I$1),0)*($K262+$L262)/(SUMIF($A:$A,$A262,$K:$K)+SUMIF($A:$A,$A262,$L:$L)),0)</f>
        <v>0</v>
      </c>
      <c r="N262" s="30">
        <f>IFERROR((VLOOKUP($A262,HeadJournal!$A$1:$K$890,COLUMN(HeadJournal!K$1),0)-VLOOKUP($A262,HeadJournal!$A$1:$K$890,COLUMN(HeadJournal!J$1),0))*($K262+$L262)/(SUMIF($A:$A,$A262,$K:$K)+SUMIF($A:$A,$A262,$L:$L)),0)</f>
        <v>0.16632287436751939</v>
      </c>
      <c r="O262" s="30">
        <f>IFERROR((VLOOKUP($A262,HeadJournal!$A$1:$L$890,COLUMN(HeadJournal!L$1),0)*($K262+$L262)/(SUMIF($A:$A,$A262,$K:$K)+SUMIF($A:$A,$A262,$L:$L)))/VLOOKUP($A262,HeadJournal!$A$1:$L$890,COLUMN(HeadJournal!H$1),0),0)</f>
        <v>0</v>
      </c>
      <c r="P262" s="30">
        <f>IFERROR(SUM(K262:O262)*VLOOKUP($A262,HeadJournal!$A$1:$L$890,COLUMN(HeadJournal!H$1),0),0)</f>
        <v>377.61790359295935</v>
      </c>
      <c r="Q262" s="29">
        <v>1000</v>
      </c>
      <c r="R262" s="31">
        <v>44947</v>
      </c>
      <c r="S262" s="31" t="s">
        <v>3121</v>
      </c>
      <c r="T262" s="95" t="str">
        <f t="shared" si="24"/>
        <v>2023 01</v>
      </c>
      <c r="U262" s="32">
        <f t="shared" si="21"/>
        <v>622.38209640704065</v>
      </c>
      <c r="V262" s="22">
        <f t="shared" si="22"/>
        <v>1.6481795234950425</v>
      </c>
      <c r="X262" s="33"/>
      <c r="Y262" s="33"/>
    </row>
    <row r="263" spans="1:25" x14ac:dyDescent="0.2">
      <c r="A263" s="93" t="s">
        <v>129</v>
      </c>
      <c r="B263" s="94">
        <f>IFERROR(VLOOKUP($A263,HeadJournal!$A$1:$NTR$890,COLUMN(HeadJournal!B$1),0),"")</f>
        <v>0</v>
      </c>
      <c r="C263" s="94" t="str">
        <f>IFERROR(VLOOKUP($A263,HeadJournal!$A$1:$NTR$890,COLUMN(HeadJournal!C$1),0),"")</f>
        <v>Roman</v>
      </c>
      <c r="D263" s="125" t="str">
        <f>IFERROR(VLOOKUP($A263,HeadJournal!$A$1:$NTR$890,COLUMN(HeadJournal!D$1),0),"")</f>
        <v>Доставлен</v>
      </c>
      <c r="E263" s="95">
        <f>IFERROR(VLOOKUP($A263,HeadJournal!$A$1:$NTR$890,COLUMN(HeadJournal!G$1),0),"")</f>
        <v>44874</v>
      </c>
      <c r="F263" s="95" t="str">
        <f t="shared" si="23"/>
        <v>2022 11</v>
      </c>
      <c r="G263" s="96" t="s">
        <v>5</v>
      </c>
      <c r="H263" s="175" t="s">
        <v>3655</v>
      </c>
      <c r="I263" s="176" t="s">
        <v>2005</v>
      </c>
      <c r="J263" s="97" t="s">
        <v>3704</v>
      </c>
      <c r="K263" s="29">
        <v>301.928</v>
      </c>
      <c r="L263" s="29"/>
      <c r="M263" s="30">
        <f>IFERROR(VLOOKUP($A263,HeadJournal!$A$1:$J$890,COLUMN(HeadJournal!I$1),0)*($K263+$L263)/(SUMIF($A:$A,$A263,$K:$K)+SUMIF($A:$A,$A263,$L:$L)),0)</f>
        <v>0</v>
      </c>
      <c r="N263" s="30">
        <f>IFERROR((VLOOKUP($A263,HeadJournal!$A$1:$K$890,COLUMN(HeadJournal!K$1),0)-VLOOKUP($A263,HeadJournal!$A$1:$K$890,COLUMN(HeadJournal!J$1),0))*($K263+$L263)/(SUMIF($A:$A,$A263,$K:$K)+SUMIF($A:$A,$A263,$L:$L)),0)</f>
        <v>0.16632287436751939</v>
      </c>
      <c r="O263" s="30">
        <f>IFERROR((VLOOKUP($A263,HeadJournal!$A$1:$L$890,COLUMN(HeadJournal!L$1),0)*($K263+$L263)/(SUMIF($A:$A,$A263,$K:$K)+SUMIF($A:$A,$A263,$L:$L)))/VLOOKUP($A263,HeadJournal!$A$1:$L$890,COLUMN(HeadJournal!H$1),0),0)</f>
        <v>0</v>
      </c>
      <c r="P263" s="30">
        <f>IFERROR(SUM(K263:O263)*VLOOKUP($A263,HeadJournal!$A$1:$L$890,COLUMN(HeadJournal!H$1),0),0)</f>
        <v>377.61790359295935</v>
      </c>
      <c r="Q263" s="29">
        <v>1000</v>
      </c>
      <c r="R263" s="31">
        <v>44961</v>
      </c>
      <c r="S263" s="31" t="s">
        <v>3121</v>
      </c>
      <c r="T263" s="95" t="str">
        <f t="shared" si="24"/>
        <v>2023 02</v>
      </c>
      <c r="U263" s="32">
        <f t="shared" si="21"/>
        <v>622.38209640704065</v>
      </c>
      <c r="V263" s="22">
        <f t="shared" si="22"/>
        <v>1.6481795234950425</v>
      </c>
      <c r="X263" s="33"/>
      <c r="Y263" s="33"/>
    </row>
    <row r="264" spans="1:25" x14ac:dyDescent="0.2">
      <c r="A264" s="93" t="s">
        <v>129</v>
      </c>
      <c r="B264" s="94">
        <f>IFERROR(VLOOKUP($A264,HeadJournal!$A$1:$NTR$890,COLUMN(HeadJournal!B$1),0),"")</f>
        <v>0</v>
      </c>
      <c r="C264" s="94" t="str">
        <f>IFERROR(VLOOKUP($A264,HeadJournal!$A$1:$NTR$890,COLUMN(HeadJournal!C$1),0),"")</f>
        <v>Roman</v>
      </c>
      <c r="D264" s="125" t="str">
        <f>IFERROR(VLOOKUP($A264,HeadJournal!$A$1:$NTR$890,COLUMN(HeadJournal!D$1),0),"")</f>
        <v>Доставлен</v>
      </c>
      <c r="E264" s="95">
        <f>IFERROR(VLOOKUP($A264,HeadJournal!$A$1:$NTR$890,COLUMN(HeadJournal!G$1),0),"")</f>
        <v>44874</v>
      </c>
      <c r="F264" s="95" t="str">
        <f t="shared" si="23"/>
        <v>2022 11</v>
      </c>
      <c r="G264" s="96" t="s">
        <v>5</v>
      </c>
      <c r="H264" s="175" t="s">
        <v>3655</v>
      </c>
      <c r="I264" s="176" t="s">
        <v>2005</v>
      </c>
      <c r="J264" s="97" t="s">
        <v>3704</v>
      </c>
      <c r="K264" s="29">
        <v>301.928</v>
      </c>
      <c r="L264" s="29"/>
      <c r="M264" s="30">
        <f>IFERROR(VLOOKUP($A264,HeadJournal!$A$1:$J$890,COLUMN(HeadJournal!I$1),0)*($K264+$L264)/(SUMIF($A:$A,$A264,$K:$K)+SUMIF($A:$A,$A264,$L:$L)),0)</f>
        <v>0</v>
      </c>
      <c r="N264" s="30">
        <f>IFERROR((VLOOKUP($A264,HeadJournal!$A$1:$K$890,COLUMN(HeadJournal!K$1),0)-VLOOKUP($A264,HeadJournal!$A$1:$K$890,COLUMN(HeadJournal!J$1),0))*($K264+$L264)/(SUMIF($A:$A,$A264,$K:$K)+SUMIF($A:$A,$A264,$L:$L)),0)</f>
        <v>0.16632287436751939</v>
      </c>
      <c r="O264" s="30">
        <f>IFERROR((VLOOKUP($A264,HeadJournal!$A$1:$L$890,COLUMN(HeadJournal!L$1),0)*($K264+$L264)/(SUMIF($A:$A,$A264,$K:$K)+SUMIF($A:$A,$A264,$L:$L)))/VLOOKUP($A264,HeadJournal!$A$1:$L$890,COLUMN(HeadJournal!H$1),0),0)</f>
        <v>0</v>
      </c>
      <c r="P264" s="30">
        <f>IFERROR(SUM(K264:O264)*VLOOKUP($A264,HeadJournal!$A$1:$L$890,COLUMN(HeadJournal!H$1),0),0)</f>
        <v>377.61790359295935</v>
      </c>
      <c r="Q264" s="29">
        <v>1000</v>
      </c>
      <c r="R264" s="31">
        <v>45020</v>
      </c>
      <c r="S264" s="31" t="s">
        <v>3121</v>
      </c>
      <c r="T264" s="95" t="str">
        <f t="shared" si="24"/>
        <v>2023 04</v>
      </c>
      <c r="U264" s="32">
        <f t="shared" si="21"/>
        <v>622.38209640704065</v>
      </c>
      <c r="V264" s="22">
        <f t="shared" si="22"/>
        <v>1.6481795234950425</v>
      </c>
      <c r="X264" s="33"/>
      <c r="Y264" s="33"/>
    </row>
    <row r="265" spans="1:25" x14ac:dyDescent="0.2">
      <c r="A265" s="93" t="s">
        <v>129</v>
      </c>
      <c r="B265" s="94">
        <f>IFERROR(VLOOKUP($A265,HeadJournal!$A$1:$NTR$890,COLUMN(HeadJournal!B$1),0),"")</f>
        <v>0</v>
      </c>
      <c r="C265" s="94" t="str">
        <f>IFERROR(VLOOKUP($A265,HeadJournal!$A$1:$NTR$890,COLUMN(HeadJournal!C$1),0),"")</f>
        <v>Roman</v>
      </c>
      <c r="D265" s="125" t="str">
        <f>IFERROR(VLOOKUP($A265,HeadJournal!$A$1:$NTR$890,COLUMN(HeadJournal!D$1),0),"")</f>
        <v>Доставлен</v>
      </c>
      <c r="E265" s="95">
        <f>IFERROR(VLOOKUP($A265,HeadJournal!$A$1:$NTR$890,COLUMN(HeadJournal!G$1),0),"")</f>
        <v>44874</v>
      </c>
      <c r="F265" s="95" t="str">
        <f t="shared" si="23"/>
        <v>2022 11</v>
      </c>
      <c r="G265" s="96" t="s">
        <v>5</v>
      </c>
      <c r="H265" s="161" t="s">
        <v>2832</v>
      </c>
      <c r="I265" s="97" t="s">
        <v>2005</v>
      </c>
      <c r="J265" s="97" t="s">
        <v>2833</v>
      </c>
      <c r="K265" s="29">
        <v>599.85599999999999</v>
      </c>
      <c r="L265" s="29"/>
      <c r="M265" s="30">
        <f>IFERROR(VLOOKUP($A265,HeadJournal!$A$1:$J$890,COLUMN(HeadJournal!I$1),0)*($K265+$L265)/(SUMIF($A:$A,$A265,$K:$K)+SUMIF($A:$A,$A265,$L:$L)),0)</f>
        <v>0</v>
      </c>
      <c r="N265" s="30">
        <f>IFERROR((VLOOKUP($A265,HeadJournal!$A$1:$K$890,COLUMN(HeadJournal!K$1),0)-VLOOKUP($A265,HeadJournal!$A$1:$K$890,COLUMN(HeadJournal!J$1),0))*($K265+$L265)/(SUMIF($A:$A,$A265,$K:$K)+SUMIF($A:$A,$A265,$L:$L)),0)</f>
        <v>0.33044227142432209</v>
      </c>
      <c r="O265" s="30">
        <f>IFERROR((VLOOKUP($A265,HeadJournal!$A$1:$L$890,COLUMN(HeadJournal!L$1),0)*($K265+$L265)/(SUMIF($A:$A,$A265,$K:$K)+SUMIF($A:$A,$A265,$L:$L)))/VLOOKUP($A265,HeadJournal!$A$1:$L$890,COLUMN(HeadJournal!H$1),0),0)</f>
        <v>0</v>
      </c>
      <c r="P265" s="30">
        <f>IFERROR(SUM(K265:O265)*VLOOKUP($A265,HeadJournal!$A$1:$L$890,COLUMN(HeadJournal!H$1),0),0)</f>
        <v>750.23305283928039</v>
      </c>
      <c r="Q265" s="29">
        <v>2000</v>
      </c>
      <c r="R265" s="31">
        <v>44939</v>
      </c>
      <c r="S265" s="31" t="s">
        <v>3121</v>
      </c>
      <c r="T265" s="95" t="str">
        <f t="shared" si="24"/>
        <v>2023 01</v>
      </c>
      <c r="U265" s="32">
        <f t="shared" si="21"/>
        <v>1249.7669471607196</v>
      </c>
      <c r="V265" s="22">
        <f t="shared" si="22"/>
        <v>1.6658382917560586</v>
      </c>
      <c r="X265" s="33"/>
      <c r="Y265" s="33"/>
    </row>
    <row r="266" spans="1:25" x14ac:dyDescent="0.2">
      <c r="A266" s="93" t="s">
        <v>129</v>
      </c>
      <c r="B266" s="94">
        <f>IFERROR(VLOOKUP($A266,HeadJournal!$A$1:$NTR$890,COLUMN(HeadJournal!B$1),0),"")</f>
        <v>0</v>
      </c>
      <c r="C266" s="94" t="str">
        <f>IFERROR(VLOOKUP($A266,HeadJournal!$A$1:$NTR$890,COLUMN(HeadJournal!C$1),0),"")</f>
        <v>Roman</v>
      </c>
      <c r="D266" s="125" t="str">
        <f>IFERROR(VLOOKUP($A266,HeadJournal!$A$1:$NTR$890,COLUMN(HeadJournal!D$1),0),"")</f>
        <v>Доставлен</v>
      </c>
      <c r="E266" s="95">
        <f>IFERROR(VLOOKUP($A266,HeadJournal!$A$1:$NTR$890,COLUMN(HeadJournal!G$1),0),"")</f>
        <v>44874</v>
      </c>
      <c r="F266" s="95" t="str">
        <f t="shared" si="23"/>
        <v>2022 11</v>
      </c>
      <c r="G266" s="96" t="s">
        <v>5</v>
      </c>
      <c r="H266" s="161" t="s">
        <v>2832</v>
      </c>
      <c r="I266" s="97" t="s">
        <v>2005</v>
      </c>
      <c r="J266" s="97" t="s">
        <v>2833</v>
      </c>
      <c r="K266" s="29">
        <v>599.85599999999999</v>
      </c>
      <c r="L266" s="29"/>
      <c r="M266" s="30">
        <f>IFERROR(VLOOKUP($A266,HeadJournal!$A$1:$J$890,COLUMN(HeadJournal!I$1),0)*($K266+$L266)/(SUMIF($A:$A,$A266,$K:$K)+SUMIF($A:$A,$A266,$L:$L)),0)</f>
        <v>0</v>
      </c>
      <c r="N266" s="30">
        <f>IFERROR((VLOOKUP($A266,HeadJournal!$A$1:$K$890,COLUMN(HeadJournal!K$1),0)-VLOOKUP($A266,HeadJournal!$A$1:$K$890,COLUMN(HeadJournal!J$1),0))*($K266+$L266)/(SUMIF($A:$A,$A266,$K:$K)+SUMIF($A:$A,$A266,$L:$L)),0)</f>
        <v>0.33044227142432209</v>
      </c>
      <c r="O266" s="30">
        <f>IFERROR((VLOOKUP($A266,HeadJournal!$A$1:$L$890,COLUMN(HeadJournal!L$1),0)*($K266+$L266)/(SUMIF($A:$A,$A266,$K:$K)+SUMIF($A:$A,$A266,$L:$L)))/VLOOKUP($A266,HeadJournal!$A$1:$L$890,COLUMN(HeadJournal!H$1),0),0)</f>
        <v>0</v>
      </c>
      <c r="P266" s="30">
        <f>IFERROR(SUM(K266:O266)*VLOOKUP($A266,HeadJournal!$A$1:$L$890,COLUMN(HeadJournal!H$1),0),0)</f>
        <v>750.23305283928039</v>
      </c>
      <c r="Q266" s="29">
        <v>2000</v>
      </c>
      <c r="R266" s="31">
        <v>44942</v>
      </c>
      <c r="S266" s="31" t="s">
        <v>3121</v>
      </c>
      <c r="T266" s="95" t="str">
        <f t="shared" si="24"/>
        <v>2023 01</v>
      </c>
      <c r="U266" s="32">
        <f t="shared" si="21"/>
        <v>1249.7669471607196</v>
      </c>
      <c r="V266" s="22">
        <f t="shared" si="22"/>
        <v>1.6658382917560586</v>
      </c>
      <c r="X266" s="33"/>
      <c r="Y266" s="33"/>
    </row>
    <row r="267" spans="1:25" x14ac:dyDescent="0.2">
      <c r="A267" s="93" t="s">
        <v>129</v>
      </c>
      <c r="B267" s="94">
        <f>IFERROR(VLOOKUP($A267,HeadJournal!$A$1:$NTR$890,COLUMN(HeadJournal!B$1),0),"")</f>
        <v>0</v>
      </c>
      <c r="C267" s="94" t="str">
        <f>IFERROR(VLOOKUP($A267,HeadJournal!$A$1:$NTR$890,COLUMN(HeadJournal!C$1),0),"")</f>
        <v>Roman</v>
      </c>
      <c r="D267" s="125" t="str">
        <f>IFERROR(VLOOKUP($A267,HeadJournal!$A$1:$NTR$890,COLUMN(HeadJournal!D$1),0),"")</f>
        <v>Доставлен</v>
      </c>
      <c r="E267" s="95">
        <f>IFERROR(VLOOKUP($A267,HeadJournal!$A$1:$NTR$890,COLUMN(HeadJournal!G$1),0),"")</f>
        <v>44874</v>
      </c>
      <c r="F267" s="95" t="str">
        <f t="shared" si="23"/>
        <v>2022 11</v>
      </c>
      <c r="G267" s="96" t="s">
        <v>5</v>
      </c>
      <c r="H267" s="161" t="s">
        <v>2832</v>
      </c>
      <c r="I267" s="97" t="s">
        <v>2005</v>
      </c>
      <c r="J267" s="97" t="s">
        <v>2833</v>
      </c>
      <c r="K267" s="29">
        <v>599.85599999999999</v>
      </c>
      <c r="L267" s="29"/>
      <c r="M267" s="30">
        <f>IFERROR(VLOOKUP($A267,HeadJournal!$A$1:$J$890,COLUMN(HeadJournal!I$1),0)*($K267+$L267)/(SUMIF($A:$A,$A267,$K:$K)+SUMIF($A:$A,$A267,$L:$L)),0)</f>
        <v>0</v>
      </c>
      <c r="N267" s="30">
        <f>IFERROR((VLOOKUP($A267,HeadJournal!$A$1:$K$890,COLUMN(HeadJournal!K$1),0)-VLOOKUP($A267,HeadJournal!$A$1:$K$890,COLUMN(HeadJournal!J$1),0))*($K267+$L267)/(SUMIF($A:$A,$A267,$K:$K)+SUMIF($A:$A,$A267,$L:$L)),0)</f>
        <v>0.33044227142432209</v>
      </c>
      <c r="O267" s="30">
        <f>IFERROR((VLOOKUP($A267,HeadJournal!$A$1:$L$890,COLUMN(HeadJournal!L$1),0)*($K267+$L267)/(SUMIF($A:$A,$A267,$K:$K)+SUMIF($A:$A,$A267,$L:$L)))/VLOOKUP($A267,HeadJournal!$A$1:$L$890,COLUMN(HeadJournal!H$1),0),0)</f>
        <v>0</v>
      </c>
      <c r="P267" s="30">
        <f>IFERROR(SUM(K267:O267)*VLOOKUP($A267,HeadJournal!$A$1:$L$890,COLUMN(HeadJournal!H$1),0),0)</f>
        <v>750.23305283928039</v>
      </c>
      <c r="Q267" s="29">
        <v>2000</v>
      </c>
      <c r="R267" s="31">
        <v>44959</v>
      </c>
      <c r="S267" s="31" t="s">
        <v>3121</v>
      </c>
      <c r="T267" s="95" t="str">
        <f t="shared" si="24"/>
        <v>2023 02</v>
      </c>
      <c r="U267" s="32">
        <f t="shared" si="21"/>
        <v>1249.7669471607196</v>
      </c>
      <c r="V267" s="22">
        <f t="shared" si="22"/>
        <v>1.6658382917560586</v>
      </c>
      <c r="X267" s="33"/>
      <c r="Y267" s="33"/>
    </row>
    <row r="268" spans="1:25" x14ac:dyDescent="0.2">
      <c r="A268" s="93" t="s">
        <v>129</v>
      </c>
      <c r="B268" s="94">
        <f>IFERROR(VLOOKUP($A268,HeadJournal!$A$1:$NTR$890,COLUMN(HeadJournal!B$1),0),"")</f>
        <v>0</v>
      </c>
      <c r="C268" s="94" t="str">
        <f>IFERROR(VLOOKUP($A268,HeadJournal!$A$1:$NTR$890,COLUMN(HeadJournal!C$1),0),"")</f>
        <v>Roman</v>
      </c>
      <c r="D268" s="125" t="str">
        <f>IFERROR(VLOOKUP($A268,HeadJournal!$A$1:$NTR$890,COLUMN(HeadJournal!D$1),0),"")</f>
        <v>Доставлен</v>
      </c>
      <c r="E268" s="95">
        <f>IFERROR(VLOOKUP($A268,HeadJournal!$A$1:$NTR$890,COLUMN(HeadJournal!G$1),0),"")</f>
        <v>44874</v>
      </c>
      <c r="F268" s="95" t="str">
        <f t="shared" si="23"/>
        <v>2022 11</v>
      </c>
      <c r="G268" s="96" t="s">
        <v>5</v>
      </c>
      <c r="H268" s="161" t="s">
        <v>2832</v>
      </c>
      <c r="I268" s="97" t="s">
        <v>2005</v>
      </c>
      <c r="J268" s="97" t="s">
        <v>2833</v>
      </c>
      <c r="K268" s="29">
        <v>599.85599999999999</v>
      </c>
      <c r="L268" s="29"/>
      <c r="M268" s="30">
        <f>IFERROR(VLOOKUP($A268,HeadJournal!$A$1:$J$890,COLUMN(HeadJournal!I$1),0)*($K268+$L268)/(SUMIF($A:$A,$A268,$K:$K)+SUMIF($A:$A,$A268,$L:$L)),0)</f>
        <v>0</v>
      </c>
      <c r="N268" s="30">
        <f>IFERROR((VLOOKUP($A268,HeadJournal!$A$1:$K$890,COLUMN(HeadJournal!K$1),0)-VLOOKUP($A268,HeadJournal!$A$1:$K$890,COLUMN(HeadJournal!J$1),0))*($K268+$L268)/(SUMIF($A:$A,$A268,$K:$K)+SUMIF($A:$A,$A268,$L:$L)),0)</f>
        <v>0.33044227142432209</v>
      </c>
      <c r="O268" s="30">
        <f>IFERROR((VLOOKUP($A268,HeadJournal!$A$1:$L$890,COLUMN(HeadJournal!L$1),0)*($K268+$L268)/(SUMIF($A:$A,$A268,$K:$K)+SUMIF($A:$A,$A268,$L:$L)))/VLOOKUP($A268,HeadJournal!$A$1:$L$890,COLUMN(HeadJournal!H$1),0),0)</f>
        <v>0</v>
      </c>
      <c r="P268" s="30">
        <f>IFERROR(SUM(K268:O268)*VLOOKUP($A268,HeadJournal!$A$1:$L$890,COLUMN(HeadJournal!H$1),0),0)</f>
        <v>750.23305283928039</v>
      </c>
      <c r="Q268" s="29">
        <v>2000</v>
      </c>
      <c r="R268" s="31">
        <v>44961</v>
      </c>
      <c r="S268" s="31" t="s">
        <v>3121</v>
      </c>
      <c r="T268" s="95" t="str">
        <f t="shared" si="24"/>
        <v>2023 02</v>
      </c>
      <c r="U268" s="32">
        <f t="shared" si="21"/>
        <v>1249.7669471607196</v>
      </c>
      <c r="V268" s="22">
        <f t="shared" si="22"/>
        <v>1.6658382917560586</v>
      </c>
      <c r="X268" s="33"/>
      <c r="Y268" s="33"/>
    </row>
    <row r="269" spans="1:25" x14ac:dyDescent="0.2">
      <c r="A269" s="93" t="s">
        <v>129</v>
      </c>
      <c r="B269" s="94">
        <f>IFERROR(VLOOKUP($A269,HeadJournal!$A$1:$NTR$890,COLUMN(HeadJournal!B$1),0),"")</f>
        <v>0</v>
      </c>
      <c r="C269" s="94" t="str">
        <f>IFERROR(VLOOKUP($A269,HeadJournal!$A$1:$NTR$890,COLUMN(HeadJournal!C$1),0),"")</f>
        <v>Roman</v>
      </c>
      <c r="D269" s="125" t="str">
        <f>IFERROR(VLOOKUP($A269,HeadJournal!$A$1:$NTR$890,COLUMN(HeadJournal!D$1),0),"")</f>
        <v>Доставлен</v>
      </c>
      <c r="E269" s="95">
        <f>IFERROR(VLOOKUP($A269,HeadJournal!$A$1:$NTR$890,COLUMN(HeadJournal!G$1),0),"")</f>
        <v>44874</v>
      </c>
      <c r="F269" s="95" t="str">
        <f t="shared" si="23"/>
        <v>2022 11</v>
      </c>
      <c r="G269" s="96" t="s">
        <v>5</v>
      </c>
      <c r="H269" s="161" t="s">
        <v>2832</v>
      </c>
      <c r="I269" s="97" t="s">
        <v>2005</v>
      </c>
      <c r="J269" s="97" t="s">
        <v>2833</v>
      </c>
      <c r="K269" s="29">
        <v>599.85599999999999</v>
      </c>
      <c r="L269" s="29"/>
      <c r="M269" s="30">
        <f>IFERROR(VLOOKUP($A269,HeadJournal!$A$1:$J$890,COLUMN(HeadJournal!I$1),0)*($K269+$L269)/(SUMIF($A:$A,$A269,$K:$K)+SUMIF($A:$A,$A269,$L:$L)),0)</f>
        <v>0</v>
      </c>
      <c r="N269" s="30">
        <f>IFERROR((VLOOKUP($A269,HeadJournal!$A$1:$K$890,COLUMN(HeadJournal!K$1),0)-VLOOKUP($A269,HeadJournal!$A$1:$K$890,COLUMN(HeadJournal!J$1),0))*($K269+$L269)/(SUMIF($A:$A,$A269,$K:$K)+SUMIF($A:$A,$A269,$L:$L)),0)</f>
        <v>0.33044227142432209</v>
      </c>
      <c r="O269" s="30">
        <f>IFERROR((VLOOKUP($A269,HeadJournal!$A$1:$L$890,COLUMN(HeadJournal!L$1),0)*($K269+$L269)/(SUMIF($A:$A,$A269,$K:$K)+SUMIF($A:$A,$A269,$L:$L)))/VLOOKUP($A269,HeadJournal!$A$1:$L$890,COLUMN(HeadJournal!H$1),0),0)</f>
        <v>0</v>
      </c>
      <c r="P269" s="30">
        <f>IFERROR(SUM(K269:O269)*VLOOKUP($A269,HeadJournal!$A$1:$L$890,COLUMN(HeadJournal!H$1),0),0)</f>
        <v>750.23305283928039</v>
      </c>
      <c r="Q269" s="29">
        <v>1900</v>
      </c>
      <c r="R269" s="31">
        <v>44968</v>
      </c>
      <c r="S269" s="31" t="s">
        <v>3121</v>
      </c>
      <c r="T269" s="95" t="str">
        <f t="shared" si="24"/>
        <v>2023 02</v>
      </c>
      <c r="U269" s="32">
        <f t="shared" si="21"/>
        <v>1149.7669471607196</v>
      </c>
      <c r="V269" s="22">
        <f t="shared" si="22"/>
        <v>1.5325463771682555</v>
      </c>
      <c r="X269" s="33"/>
      <c r="Y269" s="33"/>
    </row>
    <row r="270" spans="1:25" x14ac:dyDescent="0.2">
      <c r="A270" s="93" t="s">
        <v>129</v>
      </c>
      <c r="B270" s="94">
        <f>IFERROR(VLOOKUP($A270,HeadJournal!$A$1:$NTR$890,COLUMN(HeadJournal!B$1),0),"")</f>
        <v>0</v>
      </c>
      <c r="C270" s="94" t="str">
        <f>IFERROR(VLOOKUP($A270,HeadJournal!$A$1:$NTR$890,COLUMN(HeadJournal!C$1),0),"")</f>
        <v>Roman</v>
      </c>
      <c r="D270" s="125" t="str">
        <f>IFERROR(VLOOKUP($A270,HeadJournal!$A$1:$NTR$890,COLUMN(HeadJournal!D$1),0),"")</f>
        <v>Доставлен</v>
      </c>
      <c r="E270" s="95">
        <f>IFERROR(VLOOKUP($A270,HeadJournal!$A$1:$NTR$890,COLUMN(HeadJournal!G$1),0),"")</f>
        <v>44874</v>
      </c>
      <c r="F270" s="95" t="str">
        <f t="shared" si="23"/>
        <v>2022 11</v>
      </c>
      <c r="G270" s="96" t="s">
        <v>5</v>
      </c>
      <c r="H270" s="161" t="s">
        <v>2832</v>
      </c>
      <c r="I270" s="97" t="s">
        <v>2005</v>
      </c>
      <c r="J270" s="97" t="s">
        <v>2833</v>
      </c>
      <c r="K270" s="29">
        <v>599.85599999999999</v>
      </c>
      <c r="L270" s="29"/>
      <c r="M270" s="30">
        <f>IFERROR(VLOOKUP($A270,HeadJournal!$A$1:$J$890,COLUMN(HeadJournal!I$1),0)*($K270+$L270)/(SUMIF($A:$A,$A270,$K:$K)+SUMIF($A:$A,$A270,$L:$L)),0)</f>
        <v>0</v>
      </c>
      <c r="N270" s="30">
        <f>IFERROR((VLOOKUP($A270,HeadJournal!$A$1:$K$890,COLUMN(HeadJournal!K$1),0)-VLOOKUP($A270,HeadJournal!$A$1:$K$890,COLUMN(HeadJournal!J$1),0))*($K270+$L270)/(SUMIF($A:$A,$A270,$K:$K)+SUMIF($A:$A,$A270,$L:$L)),0)</f>
        <v>0.33044227142432209</v>
      </c>
      <c r="O270" s="30">
        <f>IFERROR((VLOOKUP($A270,HeadJournal!$A$1:$L$890,COLUMN(HeadJournal!L$1),0)*($K270+$L270)/(SUMIF($A:$A,$A270,$K:$K)+SUMIF($A:$A,$A270,$L:$L)))/VLOOKUP($A270,HeadJournal!$A$1:$L$890,COLUMN(HeadJournal!H$1),0),0)</f>
        <v>0</v>
      </c>
      <c r="P270" s="30">
        <f>IFERROR(SUM(K270:O270)*VLOOKUP($A270,HeadJournal!$A$1:$L$890,COLUMN(HeadJournal!H$1),0),0)</f>
        <v>750.23305283928039</v>
      </c>
      <c r="Q270" s="29">
        <v>2000</v>
      </c>
      <c r="R270" s="31">
        <v>44969</v>
      </c>
      <c r="S270" s="31" t="s">
        <v>3121</v>
      </c>
      <c r="T270" s="95" t="str">
        <f t="shared" si="24"/>
        <v>2023 02</v>
      </c>
      <c r="U270" s="32">
        <f t="shared" si="21"/>
        <v>1249.7669471607196</v>
      </c>
      <c r="V270" s="22">
        <f t="shared" si="22"/>
        <v>1.6658382917560586</v>
      </c>
      <c r="X270" s="33"/>
      <c r="Y270" s="33"/>
    </row>
    <row r="271" spans="1:25" x14ac:dyDescent="0.2">
      <c r="A271" s="93" t="s">
        <v>129</v>
      </c>
      <c r="B271" s="94">
        <f>IFERROR(VLOOKUP($A271,HeadJournal!$A$1:$NTR$890,COLUMN(HeadJournal!B$1),0),"")</f>
        <v>0</v>
      </c>
      <c r="C271" s="94" t="str">
        <f>IFERROR(VLOOKUP($A271,HeadJournal!$A$1:$NTR$890,COLUMN(HeadJournal!C$1),0),"")</f>
        <v>Roman</v>
      </c>
      <c r="D271" s="125" t="str">
        <f>IFERROR(VLOOKUP($A271,HeadJournal!$A$1:$NTR$890,COLUMN(HeadJournal!D$1),0),"")</f>
        <v>Доставлен</v>
      </c>
      <c r="E271" s="95">
        <f>IFERROR(VLOOKUP($A271,HeadJournal!$A$1:$NTR$890,COLUMN(HeadJournal!G$1),0),"")</f>
        <v>44874</v>
      </c>
      <c r="F271" s="95" t="str">
        <f t="shared" si="23"/>
        <v>2022 11</v>
      </c>
      <c r="G271" s="96" t="s">
        <v>5</v>
      </c>
      <c r="H271" s="161" t="s">
        <v>2832</v>
      </c>
      <c r="I271" s="97" t="s">
        <v>2005</v>
      </c>
      <c r="J271" s="97" t="s">
        <v>2833</v>
      </c>
      <c r="K271" s="29">
        <v>599.85599999999999</v>
      </c>
      <c r="L271" s="29"/>
      <c r="M271" s="30">
        <f>IFERROR(VLOOKUP($A271,HeadJournal!$A$1:$J$890,COLUMN(HeadJournal!I$1),0)*($K271+$L271)/(SUMIF($A:$A,$A271,$K:$K)+SUMIF($A:$A,$A271,$L:$L)),0)</f>
        <v>0</v>
      </c>
      <c r="N271" s="30">
        <f>IFERROR((VLOOKUP($A271,HeadJournal!$A$1:$K$890,COLUMN(HeadJournal!K$1),0)-VLOOKUP($A271,HeadJournal!$A$1:$K$890,COLUMN(HeadJournal!J$1),0))*($K271+$L271)/(SUMIF($A:$A,$A271,$K:$K)+SUMIF($A:$A,$A271,$L:$L)),0)</f>
        <v>0.33044227142432209</v>
      </c>
      <c r="O271" s="30">
        <f>IFERROR((VLOOKUP($A271,HeadJournal!$A$1:$L$890,COLUMN(HeadJournal!L$1),0)*($K271+$L271)/(SUMIF($A:$A,$A271,$K:$K)+SUMIF($A:$A,$A271,$L:$L)))/VLOOKUP($A271,HeadJournal!$A$1:$L$890,COLUMN(HeadJournal!H$1),0),0)</f>
        <v>0</v>
      </c>
      <c r="P271" s="30">
        <f>IFERROR(SUM(K271:O271)*VLOOKUP($A271,HeadJournal!$A$1:$L$890,COLUMN(HeadJournal!H$1),0),0)</f>
        <v>750.23305283928039</v>
      </c>
      <c r="Q271" s="29">
        <v>2000</v>
      </c>
      <c r="R271" s="31">
        <v>44977</v>
      </c>
      <c r="S271" s="31" t="s">
        <v>3121</v>
      </c>
      <c r="T271" s="95" t="str">
        <f t="shared" si="24"/>
        <v>2023 02</v>
      </c>
      <c r="U271" s="32">
        <f t="shared" si="21"/>
        <v>1249.7669471607196</v>
      </c>
      <c r="V271" s="22">
        <f t="shared" si="22"/>
        <v>1.6658382917560586</v>
      </c>
      <c r="X271" s="33"/>
      <c r="Y271" s="33"/>
    </row>
    <row r="272" spans="1:25" x14ac:dyDescent="0.2">
      <c r="A272" s="93" t="s">
        <v>129</v>
      </c>
      <c r="B272" s="94">
        <f>IFERROR(VLOOKUP($A272,HeadJournal!$A$1:$NTR$890,COLUMN(HeadJournal!B$1),0),"")</f>
        <v>0</v>
      </c>
      <c r="C272" s="94" t="str">
        <f>IFERROR(VLOOKUP($A272,HeadJournal!$A$1:$NTR$890,COLUMN(HeadJournal!C$1),0),"")</f>
        <v>Roman</v>
      </c>
      <c r="D272" s="125" t="str">
        <f>IFERROR(VLOOKUP($A272,HeadJournal!$A$1:$NTR$890,COLUMN(HeadJournal!D$1),0),"")</f>
        <v>Доставлен</v>
      </c>
      <c r="E272" s="95">
        <f>IFERROR(VLOOKUP($A272,HeadJournal!$A$1:$NTR$890,COLUMN(HeadJournal!G$1),0),"")</f>
        <v>44874</v>
      </c>
      <c r="F272" s="95" t="str">
        <f t="shared" si="23"/>
        <v>2022 11</v>
      </c>
      <c r="G272" s="96" t="s">
        <v>5</v>
      </c>
      <c r="H272" s="161" t="s">
        <v>2832</v>
      </c>
      <c r="I272" s="97" t="s">
        <v>2005</v>
      </c>
      <c r="J272" s="97" t="s">
        <v>2833</v>
      </c>
      <c r="K272" s="29">
        <v>599.85599999999999</v>
      </c>
      <c r="L272" s="29"/>
      <c r="M272" s="30">
        <f>IFERROR(VLOOKUP($A272,HeadJournal!$A$1:$J$890,COLUMN(HeadJournal!I$1),0)*($K272+$L272)/(SUMIF($A:$A,$A272,$K:$K)+SUMIF($A:$A,$A272,$L:$L)),0)</f>
        <v>0</v>
      </c>
      <c r="N272" s="30">
        <f>IFERROR((VLOOKUP($A272,HeadJournal!$A$1:$K$890,COLUMN(HeadJournal!K$1),0)-VLOOKUP($A272,HeadJournal!$A$1:$K$890,COLUMN(HeadJournal!J$1),0))*($K272+$L272)/(SUMIF($A:$A,$A272,$K:$K)+SUMIF($A:$A,$A272,$L:$L)),0)</f>
        <v>0.33044227142432209</v>
      </c>
      <c r="O272" s="30">
        <f>IFERROR((VLOOKUP($A272,HeadJournal!$A$1:$L$890,COLUMN(HeadJournal!L$1),0)*($K272+$L272)/(SUMIF($A:$A,$A272,$K:$K)+SUMIF($A:$A,$A272,$L:$L)))/VLOOKUP($A272,HeadJournal!$A$1:$L$890,COLUMN(HeadJournal!H$1),0),0)</f>
        <v>0</v>
      </c>
      <c r="P272" s="30">
        <f>IFERROR(SUM(K272:O272)*VLOOKUP($A272,HeadJournal!$A$1:$L$890,COLUMN(HeadJournal!H$1),0),0)</f>
        <v>750.23305283928039</v>
      </c>
      <c r="Q272" s="29">
        <v>2000</v>
      </c>
      <c r="R272" s="31">
        <v>44977</v>
      </c>
      <c r="S272" s="31" t="s">
        <v>3121</v>
      </c>
      <c r="T272" s="95" t="str">
        <f t="shared" si="24"/>
        <v>2023 02</v>
      </c>
      <c r="U272" s="32">
        <f t="shared" si="21"/>
        <v>1249.7669471607196</v>
      </c>
      <c r="V272" s="22">
        <f t="shared" si="22"/>
        <v>1.6658382917560586</v>
      </c>
      <c r="X272" s="33"/>
      <c r="Y272" s="33"/>
    </row>
    <row r="273" spans="1:25" x14ac:dyDescent="0.2">
      <c r="A273" s="93" t="s">
        <v>129</v>
      </c>
      <c r="B273" s="94">
        <f>IFERROR(VLOOKUP($A273,HeadJournal!$A$1:$NTR$890,COLUMN(HeadJournal!B$1),0),"")</f>
        <v>0</v>
      </c>
      <c r="C273" s="94" t="str">
        <f>IFERROR(VLOOKUP($A273,HeadJournal!$A$1:$NTR$890,COLUMN(HeadJournal!C$1),0),"")</f>
        <v>Roman</v>
      </c>
      <c r="D273" s="125" t="str">
        <f>IFERROR(VLOOKUP($A273,HeadJournal!$A$1:$NTR$890,COLUMN(HeadJournal!D$1),0),"")</f>
        <v>Доставлен</v>
      </c>
      <c r="E273" s="95">
        <f>IFERROR(VLOOKUP($A273,HeadJournal!$A$1:$NTR$890,COLUMN(HeadJournal!G$1),0),"")</f>
        <v>44874</v>
      </c>
      <c r="F273" s="95" t="str">
        <f t="shared" si="23"/>
        <v>2022 11</v>
      </c>
      <c r="G273" s="96" t="s">
        <v>5</v>
      </c>
      <c r="H273" s="161" t="s">
        <v>2016</v>
      </c>
      <c r="I273" s="97" t="s">
        <v>2005</v>
      </c>
      <c r="J273" s="97" t="s">
        <v>2017</v>
      </c>
      <c r="K273" s="29">
        <v>1181.232</v>
      </c>
      <c r="L273" s="29"/>
      <c r="M273" s="30">
        <f>IFERROR(VLOOKUP($A273,HeadJournal!$A$1:$J$890,COLUMN(HeadJournal!I$1),0)*($K273+$L273)/(SUMIF($A:$A,$A273,$K:$K)+SUMIF($A:$A,$A273,$L:$L)),0)</f>
        <v>0</v>
      </c>
      <c r="N273" s="30">
        <f>IFERROR((VLOOKUP($A273,HeadJournal!$A$1:$K$890,COLUMN(HeadJournal!K$1),0)-VLOOKUP($A273,HeadJournal!$A$1:$K$890,COLUMN(HeadJournal!J$1),0))*($K273+$L273)/(SUMIF($A:$A,$A273,$K:$K)+SUMIF($A:$A,$A273,$L:$L)),0)</f>
        <v>0.65070447767313289</v>
      </c>
      <c r="O273" s="30">
        <f>IFERROR((VLOOKUP($A273,HeadJournal!$A$1:$L$890,COLUMN(HeadJournal!L$1),0)*($K273+$L273)/(SUMIF($A:$A,$A273,$K:$K)+SUMIF($A:$A,$A273,$L:$L)))/VLOOKUP($A273,HeadJournal!$A$1:$L$890,COLUMN(HeadJournal!H$1),0),0)</f>
        <v>0</v>
      </c>
      <c r="P273" s="30">
        <f>IFERROR(SUM(K273:O273)*VLOOKUP($A273,HeadJournal!$A$1:$L$890,COLUMN(HeadJournal!H$1),0),0)</f>
        <v>1477.3533805970915</v>
      </c>
      <c r="Q273" s="29">
        <v>2400</v>
      </c>
      <c r="R273" s="31">
        <v>44878</v>
      </c>
      <c r="S273" s="31" t="s">
        <v>3121</v>
      </c>
      <c r="T273" s="95" t="str">
        <f t="shared" si="24"/>
        <v>2022 11</v>
      </c>
      <c r="U273" s="32">
        <f t="shared" si="21"/>
        <v>922.64661940290853</v>
      </c>
      <c r="V273" s="22">
        <f t="shared" si="22"/>
        <v>0.62452669179936415</v>
      </c>
      <c r="X273" s="33"/>
      <c r="Y273" s="33"/>
    </row>
    <row r="274" spans="1:25" x14ac:dyDescent="0.2">
      <c r="A274" s="93" t="s">
        <v>129</v>
      </c>
      <c r="B274" s="94">
        <f>IFERROR(VLOOKUP($A274,HeadJournal!$A$1:$NTR$890,COLUMN(HeadJournal!B$1),0),"")</f>
        <v>0</v>
      </c>
      <c r="C274" s="94" t="str">
        <f>IFERROR(VLOOKUP($A274,HeadJournal!$A$1:$NTR$890,COLUMN(HeadJournal!C$1),0),"")</f>
        <v>Roman</v>
      </c>
      <c r="D274" s="125" t="str">
        <f>IFERROR(VLOOKUP($A274,HeadJournal!$A$1:$NTR$890,COLUMN(HeadJournal!D$1),0),"")</f>
        <v>Доставлен</v>
      </c>
      <c r="E274" s="95">
        <f>IFERROR(VLOOKUP($A274,HeadJournal!$A$1:$NTR$890,COLUMN(HeadJournal!G$1),0),"")</f>
        <v>44874</v>
      </c>
      <c r="F274" s="95" t="str">
        <f t="shared" si="23"/>
        <v>2022 11</v>
      </c>
      <c r="G274" s="96" t="s">
        <v>5</v>
      </c>
      <c r="H274" s="161" t="s">
        <v>2016</v>
      </c>
      <c r="I274" s="97" t="s">
        <v>2005</v>
      </c>
      <c r="J274" s="97" t="s">
        <v>2017</v>
      </c>
      <c r="K274" s="29">
        <v>1181.232</v>
      </c>
      <c r="L274" s="29"/>
      <c r="M274" s="30">
        <f>IFERROR(VLOOKUP($A274,HeadJournal!$A$1:$J$890,COLUMN(HeadJournal!I$1),0)*($K274+$L274)/(SUMIF($A:$A,$A274,$K:$K)+SUMIF($A:$A,$A274,$L:$L)),0)</f>
        <v>0</v>
      </c>
      <c r="N274" s="30">
        <f>IFERROR((VLOOKUP($A274,HeadJournal!$A$1:$K$890,COLUMN(HeadJournal!K$1),0)-VLOOKUP($A274,HeadJournal!$A$1:$K$890,COLUMN(HeadJournal!J$1),0))*($K274+$L274)/(SUMIF($A:$A,$A274,$K:$K)+SUMIF($A:$A,$A274,$L:$L)),0)</f>
        <v>0.65070447767313289</v>
      </c>
      <c r="O274" s="30">
        <f>IFERROR((VLOOKUP($A274,HeadJournal!$A$1:$L$890,COLUMN(HeadJournal!L$1),0)*($K274+$L274)/(SUMIF($A:$A,$A274,$K:$K)+SUMIF($A:$A,$A274,$L:$L)))/VLOOKUP($A274,HeadJournal!$A$1:$L$890,COLUMN(HeadJournal!H$1),0),0)</f>
        <v>0</v>
      </c>
      <c r="P274" s="30">
        <f>IFERROR(SUM(K274:O274)*VLOOKUP($A274,HeadJournal!$A$1:$L$890,COLUMN(HeadJournal!H$1),0),0)</f>
        <v>1477.3533805970915</v>
      </c>
      <c r="Q274" s="29">
        <v>2500</v>
      </c>
      <c r="R274" s="31">
        <v>44882</v>
      </c>
      <c r="S274" s="31" t="s">
        <v>3121</v>
      </c>
      <c r="T274" s="95" t="str">
        <f t="shared" si="24"/>
        <v>2022 11</v>
      </c>
      <c r="U274" s="32">
        <f t="shared" si="21"/>
        <v>1022.6466194029085</v>
      </c>
      <c r="V274" s="22">
        <f t="shared" si="22"/>
        <v>0.69221530395767106</v>
      </c>
      <c r="X274" s="33"/>
      <c r="Y274" s="33"/>
    </row>
    <row r="275" spans="1:25" x14ac:dyDescent="0.2">
      <c r="A275" s="93" t="s">
        <v>129</v>
      </c>
      <c r="B275" s="94">
        <f>IFERROR(VLOOKUP($A275,HeadJournal!$A$1:$NTR$890,COLUMN(HeadJournal!B$1),0),"")</f>
        <v>0</v>
      </c>
      <c r="C275" s="94" t="str">
        <f>IFERROR(VLOOKUP($A275,HeadJournal!$A$1:$NTR$890,COLUMN(HeadJournal!C$1),0),"")</f>
        <v>Roman</v>
      </c>
      <c r="D275" s="125" t="str">
        <f>IFERROR(VLOOKUP($A275,HeadJournal!$A$1:$NTR$890,COLUMN(HeadJournal!D$1),0),"")</f>
        <v>Доставлен</v>
      </c>
      <c r="E275" s="95">
        <f>IFERROR(VLOOKUP($A275,HeadJournal!$A$1:$NTR$890,COLUMN(HeadJournal!G$1),0),"")</f>
        <v>44874</v>
      </c>
      <c r="F275" s="95" t="str">
        <f t="shared" si="23"/>
        <v>2022 11</v>
      </c>
      <c r="G275" s="96" t="s">
        <v>5</v>
      </c>
      <c r="H275" s="161" t="s">
        <v>2016</v>
      </c>
      <c r="I275" s="97" t="s">
        <v>2005</v>
      </c>
      <c r="J275" s="97" t="s">
        <v>2017</v>
      </c>
      <c r="K275" s="29">
        <v>1181.232</v>
      </c>
      <c r="L275" s="29"/>
      <c r="M275" s="30">
        <f>IFERROR(VLOOKUP($A275,HeadJournal!$A$1:$J$890,COLUMN(HeadJournal!I$1),0)*($K275+$L275)/(SUMIF($A:$A,$A275,$K:$K)+SUMIF($A:$A,$A275,$L:$L)),0)</f>
        <v>0</v>
      </c>
      <c r="N275" s="30">
        <f>IFERROR((VLOOKUP($A275,HeadJournal!$A$1:$K$890,COLUMN(HeadJournal!K$1),0)-VLOOKUP($A275,HeadJournal!$A$1:$K$890,COLUMN(HeadJournal!J$1),0))*($K275+$L275)/(SUMIF($A:$A,$A275,$K:$K)+SUMIF($A:$A,$A275,$L:$L)),0)</f>
        <v>0.65070447767313289</v>
      </c>
      <c r="O275" s="30">
        <f>IFERROR((VLOOKUP($A275,HeadJournal!$A$1:$L$890,COLUMN(HeadJournal!L$1),0)*($K275+$L275)/(SUMIF($A:$A,$A275,$K:$K)+SUMIF($A:$A,$A275,$L:$L)))/VLOOKUP($A275,HeadJournal!$A$1:$L$890,COLUMN(HeadJournal!H$1),0),0)</f>
        <v>0</v>
      </c>
      <c r="P275" s="30">
        <f>IFERROR(SUM(K275:O275)*VLOOKUP($A275,HeadJournal!$A$1:$L$890,COLUMN(HeadJournal!H$1),0),0)</f>
        <v>1477.3533805970915</v>
      </c>
      <c r="Q275" s="29">
        <v>2500</v>
      </c>
      <c r="R275" s="31">
        <v>44885</v>
      </c>
      <c r="S275" s="31" t="s">
        <v>3121</v>
      </c>
      <c r="T275" s="95" t="str">
        <f t="shared" si="24"/>
        <v>2022 11</v>
      </c>
      <c r="U275" s="32">
        <f t="shared" si="21"/>
        <v>1022.6466194029085</v>
      </c>
      <c r="V275" s="22">
        <f t="shared" si="22"/>
        <v>0.69221530395767106</v>
      </c>
      <c r="X275" s="33"/>
      <c r="Y275" s="33"/>
    </row>
    <row r="276" spans="1:25" x14ac:dyDescent="0.2">
      <c r="A276" s="93" t="s">
        <v>129</v>
      </c>
      <c r="B276" s="94">
        <f>IFERROR(VLOOKUP($A276,HeadJournal!$A$1:$NTR$890,COLUMN(HeadJournal!B$1),0),"")</f>
        <v>0</v>
      </c>
      <c r="C276" s="94" t="str">
        <f>IFERROR(VLOOKUP($A276,HeadJournal!$A$1:$NTR$890,COLUMN(HeadJournal!C$1),0),"")</f>
        <v>Roman</v>
      </c>
      <c r="D276" s="125" t="str">
        <f>IFERROR(VLOOKUP($A276,HeadJournal!$A$1:$NTR$890,COLUMN(HeadJournal!D$1),0),"")</f>
        <v>Доставлен</v>
      </c>
      <c r="E276" s="95">
        <f>IFERROR(VLOOKUP($A276,HeadJournal!$A$1:$NTR$890,COLUMN(HeadJournal!G$1),0),"")</f>
        <v>44874</v>
      </c>
      <c r="F276" s="95" t="str">
        <f t="shared" si="23"/>
        <v>2022 11</v>
      </c>
      <c r="G276" s="96" t="s">
        <v>5</v>
      </c>
      <c r="H276" s="161" t="s">
        <v>2016</v>
      </c>
      <c r="I276" s="97" t="s">
        <v>2005</v>
      </c>
      <c r="J276" s="97" t="s">
        <v>2017</v>
      </c>
      <c r="K276" s="29">
        <v>1181.232</v>
      </c>
      <c r="L276" s="29"/>
      <c r="M276" s="30">
        <f>IFERROR(VLOOKUP($A276,HeadJournal!$A$1:$J$890,COLUMN(HeadJournal!I$1),0)*($K276+$L276)/(SUMIF($A:$A,$A276,$K:$K)+SUMIF($A:$A,$A276,$L:$L)),0)</f>
        <v>0</v>
      </c>
      <c r="N276" s="30">
        <f>IFERROR((VLOOKUP($A276,HeadJournal!$A$1:$K$890,COLUMN(HeadJournal!K$1),0)-VLOOKUP($A276,HeadJournal!$A$1:$K$890,COLUMN(HeadJournal!J$1),0))*($K276+$L276)/(SUMIF($A:$A,$A276,$K:$K)+SUMIF($A:$A,$A276,$L:$L)),0)</f>
        <v>0.65070447767313289</v>
      </c>
      <c r="O276" s="30">
        <f>IFERROR((VLOOKUP($A276,HeadJournal!$A$1:$L$890,COLUMN(HeadJournal!L$1),0)*($K276+$L276)/(SUMIF($A:$A,$A276,$K:$K)+SUMIF($A:$A,$A276,$L:$L)))/VLOOKUP($A276,HeadJournal!$A$1:$L$890,COLUMN(HeadJournal!H$1),0),0)</f>
        <v>0</v>
      </c>
      <c r="P276" s="30">
        <f>IFERROR(SUM(K276:O276)*VLOOKUP($A276,HeadJournal!$A$1:$L$890,COLUMN(HeadJournal!H$1),0),0)</f>
        <v>1477.3533805970915</v>
      </c>
      <c r="Q276" s="29">
        <v>2500</v>
      </c>
      <c r="R276" s="31">
        <v>44886</v>
      </c>
      <c r="S276" s="31" t="s">
        <v>3121</v>
      </c>
      <c r="T276" s="95" t="str">
        <f t="shared" si="24"/>
        <v>2022 11</v>
      </c>
      <c r="U276" s="32">
        <f t="shared" si="21"/>
        <v>1022.6466194029085</v>
      </c>
      <c r="V276" s="22">
        <f t="shared" si="22"/>
        <v>0.69221530395767106</v>
      </c>
      <c r="X276" s="33"/>
      <c r="Y276" s="33"/>
    </row>
    <row r="277" spans="1:25" x14ac:dyDescent="0.2">
      <c r="A277" s="93" t="s">
        <v>129</v>
      </c>
      <c r="B277" s="94">
        <f>IFERROR(VLOOKUP($A277,HeadJournal!$A$1:$NTR$890,COLUMN(HeadJournal!B$1),0),"")</f>
        <v>0</v>
      </c>
      <c r="C277" s="94" t="str">
        <f>IFERROR(VLOOKUP($A277,HeadJournal!$A$1:$NTR$890,COLUMN(HeadJournal!C$1),0),"")</f>
        <v>Roman</v>
      </c>
      <c r="D277" s="125" t="str">
        <f>IFERROR(VLOOKUP($A277,HeadJournal!$A$1:$NTR$890,COLUMN(HeadJournal!D$1),0),"")</f>
        <v>Доставлен</v>
      </c>
      <c r="E277" s="95">
        <f>IFERROR(VLOOKUP($A277,HeadJournal!$A$1:$NTR$890,COLUMN(HeadJournal!G$1),0),"")</f>
        <v>44874</v>
      </c>
      <c r="F277" s="95" t="str">
        <f t="shared" si="23"/>
        <v>2022 11</v>
      </c>
      <c r="G277" s="96" t="s">
        <v>5</v>
      </c>
      <c r="H277" s="161" t="s">
        <v>2016</v>
      </c>
      <c r="I277" s="97" t="s">
        <v>2005</v>
      </c>
      <c r="J277" s="97" t="s">
        <v>2017</v>
      </c>
      <c r="K277" s="29">
        <v>1181.232</v>
      </c>
      <c r="L277" s="29"/>
      <c r="M277" s="30">
        <f>IFERROR(VLOOKUP($A277,HeadJournal!$A$1:$J$890,COLUMN(HeadJournal!I$1),0)*($K277+$L277)/(SUMIF($A:$A,$A277,$K:$K)+SUMIF($A:$A,$A277,$L:$L)),0)</f>
        <v>0</v>
      </c>
      <c r="N277" s="30">
        <f>IFERROR((VLOOKUP($A277,HeadJournal!$A$1:$K$890,COLUMN(HeadJournal!K$1),0)-VLOOKUP($A277,HeadJournal!$A$1:$K$890,COLUMN(HeadJournal!J$1),0))*($K277+$L277)/(SUMIF($A:$A,$A277,$K:$K)+SUMIF($A:$A,$A277,$L:$L)),0)</f>
        <v>0.65070447767313289</v>
      </c>
      <c r="O277" s="30">
        <f>IFERROR((VLOOKUP($A277,HeadJournal!$A$1:$L$890,COLUMN(HeadJournal!L$1),0)*($K277+$L277)/(SUMIF($A:$A,$A277,$K:$K)+SUMIF($A:$A,$A277,$L:$L)))/VLOOKUP($A277,HeadJournal!$A$1:$L$890,COLUMN(HeadJournal!H$1),0),0)</f>
        <v>0</v>
      </c>
      <c r="P277" s="30">
        <f>IFERROR(SUM(K277:O277)*VLOOKUP($A277,HeadJournal!$A$1:$L$890,COLUMN(HeadJournal!H$1),0),0)</f>
        <v>1477.3533805970915</v>
      </c>
      <c r="Q277" s="29">
        <v>2500</v>
      </c>
      <c r="R277" s="31">
        <v>44901</v>
      </c>
      <c r="S277" s="31" t="s">
        <v>3121</v>
      </c>
      <c r="T277" s="95" t="str">
        <f t="shared" si="24"/>
        <v>2022 12</v>
      </c>
      <c r="U277" s="32">
        <f t="shared" si="21"/>
        <v>1022.6466194029085</v>
      </c>
      <c r="V277" s="22">
        <f t="shared" si="22"/>
        <v>0.69221530395767106</v>
      </c>
      <c r="X277" s="33"/>
      <c r="Y277" s="33"/>
    </row>
    <row r="278" spans="1:25" x14ac:dyDescent="0.2">
      <c r="A278" s="93" t="s">
        <v>129</v>
      </c>
      <c r="B278" s="94">
        <f>IFERROR(VLOOKUP($A278,HeadJournal!$A$1:$NTR$890,COLUMN(HeadJournal!B$1),0),"")</f>
        <v>0</v>
      </c>
      <c r="C278" s="94" t="str">
        <f>IFERROR(VLOOKUP($A278,HeadJournal!$A$1:$NTR$890,COLUMN(HeadJournal!C$1),0),"")</f>
        <v>Roman</v>
      </c>
      <c r="D278" s="125" t="str">
        <f>IFERROR(VLOOKUP($A278,HeadJournal!$A$1:$NTR$890,COLUMN(HeadJournal!D$1),0),"")</f>
        <v>Доставлен</v>
      </c>
      <c r="E278" s="95">
        <f>IFERROR(VLOOKUP($A278,HeadJournal!$A$1:$NTR$890,COLUMN(HeadJournal!G$1),0),"")</f>
        <v>44874</v>
      </c>
      <c r="F278" s="95" t="str">
        <f t="shared" si="23"/>
        <v>2022 11</v>
      </c>
      <c r="G278" s="96" t="s">
        <v>5</v>
      </c>
      <c r="H278" s="161" t="s">
        <v>2016</v>
      </c>
      <c r="I278" s="97" t="s">
        <v>2005</v>
      </c>
      <c r="J278" s="97" t="s">
        <v>2017</v>
      </c>
      <c r="K278" s="29">
        <v>1181.232</v>
      </c>
      <c r="L278" s="29"/>
      <c r="M278" s="30">
        <f>IFERROR(VLOOKUP($A278,HeadJournal!$A$1:$J$890,COLUMN(HeadJournal!I$1),0)*($K278+$L278)/(SUMIF($A:$A,$A278,$K:$K)+SUMIF($A:$A,$A278,$L:$L)),0)</f>
        <v>0</v>
      </c>
      <c r="N278" s="30">
        <f>IFERROR((VLOOKUP($A278,HeadJournal!$A$1:$K$890,COLUMN(HeadJournal!K$1),0)-VLOOKUP($A278,HeadJournal!$A$1:$K$890,COLUMN(HeadJournal!J$1),0))*($K278+$L278)/(SUMIF($A:$A,$A278,$K:$K)+SUMIF($A:$A,$A278,$L:$L)),0)</f>
        <v>0.65070447767313289</v>
      </c>
      <c r="O278" s="30">
        <f>IFERROR((VLOOKUP($A278,HeadJournal!$A$1:$L$890,COLUMN(HeadJournal!L$1),0)*($K278+$L278)/(SUMIF($A:$A,$A278,$K:$K)+SUMIF($A:$A,$A278,$L:$L)))/VLOOKUP($A278,HeadJournal!$A$1:$L$890,COLUMN(HeadJournal!H$1),0),0)</f>
        <v>0</v>
      </c>
      <c r="P278" s="30">
        <f>IFERROR(SUM(K278:O278)*VLOOKUP($A278,HeadJournal!$A$1:$L$890,COLUMN(HeadJournal!H$1),0),0)</f>
        <v>1477.3533805970915</v>
      </c>
      <c r="Q278" s="29">
        <v>2500</v>
      </c>
      <c r="R278" s="31">
        <v>44910</v>
      </c>
      <c r="S278" s="31" t="s">
        <v>3121</v>
      </c>
      <c r="T278" s="95" t="str">
        <f t="shared" si="24"/>
        <v>2022 12</v>
      </c>
      <c r="U278" s="32">
        <f t="shared" si="21"/>
        <v>1022.6466194029085</v>
      </c>
      <c r="V278" s="22">
        <f t="shared" si="22"/>
        <v>0.69221530395767106</v>
      </c>
      <c r="X278" s="33"/>
      <c r="Y278" s="33"/>
    </row>
    <row r="279" spans="1:25" x14ac:dyDescent="0.2">
      <c r="A279" s="93" t="s">
        <v>129</v>
      </c>
      <c r="B279" s="94">
        <f>IFERROR(VLOOKUP($A279,HeadJournal!$A$1:$NTR$890,COLUMN(HeadJournal!B$1),0),"")</f>
        <v>0</v>
      </c>
      <c r="C279" s="94" t="str">
        <f>IFERROR(VLOOKUP($A279,HeadJournal!$A$1:$NTR$890,COLUMN(HeadJournal!C$1),0),"")</f>
        <v>Roman</v>
      </c>
      <c r="D279" s="125" t="str">
        <f>IFERROR(VLOOKUP($A279,HeadJournal!$A$1:$NTR$890,COLUMN(HeadJournal!D$1),0),"")</f>
        <v>Доставлен</v>
      </c>
      <c r="E279" s="95">
        <f>IFERROR(VLOOKUP($A279,HeadJournal!$A$1:$NTR$890,COLUMN(HeadJournal!G$1),0),"")</f>
        <v>44874</v>
      </c>
      <c r="F279" s="95" t="str">
        <f t="shared" si="23"/>
        <v>2022 11</v>
      </c>
      <c r="G279" s="96" t="s">
        <v>5</v>
      </c>
      <c r="H279" s="161" t="s">
        <v>2016</v>
      </c>
      <c r="I279" s="97" t="s">
        <v>2005</v>
      </c>
      <c r="J279" s="97" t="s">
        <v>2017</v>
      </c>
      <c r="K279" s="29">
        <v>1181.232</v>
      </c>
      <c r="L279" s="29"/>
      <c r="M279" s="30">
        <f>IFERROR(VLOOKUP($A279,HeadJournal!$A$1:$J$890,COLUMN(HeadJournal!I$1),0)*($K279+$L279)/(SUMIF($A:$A,$A279,$K:$K)+SUMIF($A:$A,$A279,$L:$L)),0)</f>
        <v>0</v>
      </c>
      <c r="N279" s="30">
        <f>IFERROR((VLOOKUP($A279,HeadJournal!$A$1:$K$890,COLUMN(HeadJournal!K$1),0)-VLOOKUP($A279,HeadJournal!$A$1:$K$890,COLUMN(HeadJournal!J$1),0))*($K279+$L279)/(SUMIF($A:$A,$A279,$K:$K)+SUMIF($A:$A,$A279,$L:$L)),0)</f>
        <v>0.65070447767313289</v>
      </c>
      <c r="O279" s="30">
        <f>IFERROR((VLOOKUP($A279,HeadJournal!$A$1:$L$890,COLUMN(HeadJournal!L$1),0)*($K279+$L279)/(SUMIF($A:$A,$A279,$K:$K)+SUMIF($A:$A,$A279,$L:$L)))/VLOOKUP($A279,HeadJournal!$A$1:$L$890,COLUMN(HeadJournal!H$1),0),0)</f>
        <v>0</v>
      </c>
      <c r="P279" s="30">
        <f>IFERROR(SUM(K279:O279)*VLOOKUP($A279,HeadJournal!$A$1:$L$890,COLUMN(HeadJournal!H$1),0),0)</f>
        <v>1477.3533805970915</v>
      </c>
      <c r="Q279" s="29">
        <v>3000</v>
      </c>
      <c r="R279" s="31">
        <v>44931</v>
      </c>
      <c r="S279" s="31" t="s">
        <v>3121</v>
      </c>
      <c r="T279" s="95" t="str">
        <f t="shared" si="24"/>
        <v>2023 01</v>
      </c>
      <c r="U279" s="32">
        <f t="shared" si="21"/>
        <v>1522.6466194029085</v>
      </c>
      <c r="V279" s="22">
        <f t="shared" si="22"/>
        <v>1.0306583647492051</v>
      </c>
      <c r="X279" s="33"/>
      <c r="Y279" s="33"/>
    </row>
    <row r="280" spans="1:25" x14ac:dyDescent="0.2">
      <c r="A280" s="93" t="s">
        <v>129</v>
      </c>
      <c r="B280" s="94">
        <f>IFERROR(VLOOKUP($A280,HeadJournal!$A$1:$NTR$890,COLUMN(HeadJournal!B$1),0),"")</f>
        <v>0</v>
      </c>
      <c r="C280" s="94" t="str">
        <f>IFERROR(VLOOKUP($A280,HeadJournal!$A$1:$NTR$890,COLUMN(HeadJournal!C$1),0),"")</f>
        <v>Roman</v>
      </c>
      <c r="D280" s="125" t="str">
        <f>IFERROR(VLOOKUP($A280,HeadJournal!$A$1:$NTR$890,COLUMN(HeadJournal!D$1),0),"")</f>
        <v>Доставлен</v>
      </c>
      <c r="E280" s="95">
        <f>IFERROR(VLOOKUP($A280,HeadJournal!$A$1:$NTR$890,COLUMN(HeadJournal!G$1),0),"")</f>
        <v>44874</v>
      </c>
      <c r="F280" s="95" t="str">
        <f t="shared" si="23"/>
        <v>2022 11</v>
      </c>
      <c r="G280" s="96" t="s">
        <v>5</v>
      </c>
      <c r="H280" s="175" t="s">
        <v>3639</v>
      </c>
      <c r="I280" s="176" t="s">
        <v>2039</v>
      </c>
      <c r="J280" s="97" t="s">
        <v>3683</v>
      </c>
      <c r="K280" s="29">
        <v>528.61599999999999</v>
      </c>
      <c r="L280" s="29"/>
      <c r="M280" s="30">
        <f>IFERROR(VLOOKUP($A280,HeadJournal!$A$1:$J$890,COLUMN(HeadJournal!I$1),0)*($K280+$L280)/(SUMIF($A:$A,$A280,$K:$K)+SUMIF($A:$A,$A280,$L:$L)),0)</f>
        <v>0</v>
      </c>
      <c r="N280" s="30">
        <f>IFERROR((VLOOKUP($A280,HeadJournal!$A$1:$K$890,COLUMN(HeadJournal!K$1),0)-VLOOKUP($A280,HeadJournal!$A$1:$K$890,COLUMN(HeadJournal!J$1),0))*($K280+$L280)/(SUMIF($A:$A,$A280,$K:$K)+SUMIF($A:$A,$A280,$L:$L)),0)</f>
        <v>0.29119834052045729</v>
      </c>
      <c r="O280" s="30">
        <f>IFERROR((VLOOKUP($A280,HeadJournal!$A$1:$L$890,COLUMN(HeadJournal!L$1),0)*($K280+$L280)/(SUMIF($A:$A,$A280,$K:$K)+SUMIF($A:$A,$A280,$L:$L)))/VLOOKUP($A280,HeadJournal!$A$1:$L$890,COLUMN(HeadJournal!H$1),0),0)</f>
        <v>0</v>
      </c>
      <c r="P280" s="30">
        <f>IFERROR(SUM(K280:O280)*VLOOKUP($A280,HeadJournal!$A$1:$L$890,COLUMN(HeadJournal!H$1),0),0)</f>
        <v>661.13399792565065</v>
      </c>
      <c r="Q280" s="29">
        <v>1600</v>
      </c>
      <c r="R280" s="31">
        <v>44894</v>
      </c>
      <c r="S280" s="31" t="s">
        <v>3121</v>
      </c>
      <c r="T280" s="95" t="str">
        <f t="shared" si="24"/>
        <v>2022 11</v>
      </c>
      <c r="U280" s="32">
        <f t="shared" si="21"/>
        <v>938.86600207434935</v>
      </c>
      <c r="V280" s="22">
        <f t="shared" si="22"/>
        <v>1.4200842870281973</v>
      </c>
      <c r="X280" s="33"/>
      <c r="Y280" s="33"/>
    </row>
    <row r="281" spans="1:25" x14ac:dyDescent="0.2">
      <c r="A281" s="93" t="s">
        <v>129</v>
      </c>
      <c r="B281" s="94">
        <f>IFERROR(VLOOKUP($A281,HeadJournal!$A$1:$NTR$890,COLUMN(HeadJournal!B$1),0),"")</f>
        <v>0</v>
      </c>
      <c r="C281" s="94" t="str">
        <f>IFERROR(VLOOKUP($A281,HeadJournal!$A$1:$NTR$890,COLUMN(HeadJournal!C$1),0),"")</f>
        <v>Roman</v>
      </c>
      <c r="D281" s="125" t="str">
        <f>IFERROR(VLOOKUP($A281,HeadJournal!$A$1:$NTR$890,COLUMN(HeadJournal!D$1),0),"")</f>
        <v>Доставлен</v>
      </c>
      <c r="E281" s="95">
        <f>IFERROR(VLOOKUP($A281,HeadJournal!$A$1:$NTR$890,COLUMN(HeadJournal!G$1),0),"")</f>
        <v>44874</v>
      </c>
      <c r="F281" s="95" t="str">
        <f t="shared" si="23"/>
        <v>2022 11</v>
      </c>
      <c r="G281" s="96" t="s">
        <v>5</v>
      </c>
      <c r="H281" s="175" t="s">
        <v>3639</v>
      </c>
      <c r="I281" s="176" t="s">
        <v>2039</v>
      </c>
      <c r="J281" s="97" t="s">
        <v>3683</v>
      </c>
      <c r="K281" s="29">
        <v>528.61599999999999</v>
      </c>
      <c r="L281" s="29"/>
      <c r="M281" s="30">
        <f>IFERROR(VLOOKUP($A281,HeadJournal!$A$1:$J$890,COLUMN(HeadJournal!I$1),0)*($K281+$L281)/(SUMIF($A:$A,$A281,$K:$K)+SUMIF($A:$A,$A281,$L:$L)),0)</f>
        <v>0</v>
      </c>
      <c r="N281" s="30">
        <f>IFERROR((VLOOKUP($A281,HeadJournal!$A$1:$K$890,COLUMN(HeadJournal!K$1),0)-VLOOKUP($A281,HeadJournal!$A$1:$K$890,COLUMN(HeadJournal!J$1),0))*($K281+$L281)/(SUMIF($A:$A,$A281,$K:$K)+SUMIF($A:$A,$A281,$L:$L)),0)</f>
        <v>0.29119834052045729</v>
      </c>
      <c r="O281" s="30">
        <f>IFERROR((VLOOKUP($A281,HeadJournal!$A$1:$L$890,COLUMN(HeadJournal!L$1),0)*($K281+$L281)/(SUMIF($A:$A,$A281,$K:$K)+SUMIF($A:$A,$A281,$L:$L)))/VLOOKUP($A281,HeadJournal!$A$1:$L$890,COLUMN(HeadJournal!H$1),0),0)</f>
        <v>0</v>
      </c>
      <c r="P281" s="30">
        <f>IFERROR(SUM(K281:O281)*VLOOKUP($A281,HeadJournal!$A$1:$L$890,COLUMN(HeadJournal!H$1),0),0)</f>
        <v>661.13399792565065</v>
      </c>
      <c r="Q281" s="29">
        <v>1600</v>
      </c>
      <c r="R281" s="31">
        <v>44919</v>
      </c>
      <c r="S281" s="31" t="s">
        <v>3121</v>
      </c>
      <c r="T281" s="95" t="str">
        <f t="shared" si="24"/>
        <v>2022 12</v>
      </c>
      <c r="U281" s="32">
        <f t="shared" si="21"/>
        <v>938.86600207434935</v>
      </c>
      <c r="V281" s="22">
        <f t="shared" si="22"/>
        <v>1.4200842870281973</v>
      </c>
      <c r="X281" s="33"/>
      <c r="Y281" s="33"/>
    </row>
    <row r="282" spans="1:25" x14ac:dyDescent="0.2">
      <c r="A282" s="93" t="s">
        <v>129</v>
      </c>
      <c r="B282" s="94">
        <f>IFERROR(VLOOKUP($A282,HeadJournal!$A$1:$NTR$890,COLUMN(HeadJournal!B$1),0),"")</f>
        <v>0</v>
      </c>
      <c r="C282" s="94" t="str">
        <f>IFERROR(VLOOKUP($A282,HeadJournal!$A$1:$NTR$890,COLUMN(HeadJournal!C$1),0),"")</f>
        <v>Roman</v>
      </c>
      <c r="D282" s="125" t="str">
        <f>IFERROR(VLOOKUP($A282,HeadJournal!$A$1:$NTR$890,COLUMN(HeadJournal!D$1),0),"")</f>
        <v>Доставлен</v>
      </c>
      <c r="E282" s="95">
        <f>IFERROR(VLOOKUP($A282,HeadJournal!$A$1:$NTR$890,COLUMN(HeadJournal!G$1),0),"")</f>
        <v>44874</v>
      </c>
      <c r="F282" s="95" t="str">
        <f t="shared" si="23"/>
        <v>2022 11</v>
      </c>
      <c r="G282" s="96" t="s">
        <v>5</v>
      </c>
      <c r="H282" s="175" t="s">
        <v>3639</v>
      </c>
      <c r="I282" s="176" t="s">
        <v>2039</v>
      </c>
      <c r="J282" s="97" t="s">
        <v>3683</v>
      </c>
      <c r="K282" s="29">
        <v>528.61599999999999</v>
      </c>
      <c r="L282" s="29"/>
      <c r="M282" s="30">
        <f>IFERROR(VLOOKUP($A282,HeadJournal!$A$1:$J$890,COLUMN(HeadJournal!I$1),0)*($K282+$L282)/(SUMIF($A:$A,$A282,$K:$K)+SUMIF($A:$A,$A282,$L:$L)),0)</f>
        <v>0</v>
      </c>
      <c r="N282" s="30">
        <f>IFERROR((VLOOKUP($A282,HeadJournal!$A$1:$K$890,COLUMN(HeadJournal!K$1),0)-VLOOKUP($A282,HeadJournal!$A$1:$K$890,COLUMN(HeadJournal!J$1),0))*($K282+$L282)/(SUMIF($A:$A,$A282,$K:$K)+SUMIF($A:$A,$A282,$L:$L)),0)</f>
        <v>0.29119834052045729</v>
      </c>
      <c r="O282" s="30">
        <f>IFERROR((VLOOKUP($A282,HeadJournal!$A$1:$L$890,COLUMN(HeadJournal!L$1),0)*($K282+$L282)/(SUMIF($A:$A,$A282,$K:$K)+SUMIF($A:$A,$A282,$L:$L)))/VLOOKUP($A282,HeadJournal!$A$1:$L$890,COLUMN(HeadJournal!H$1),0),0)</f>
        <v>0</v>
      </c>
      <c r="P282" s="30">
        <f>IFERROR(SUM(K282:O282)*VLOOKUP($A282,HeadJournal!$A$1:$L$890,COLUMN(HeadJournal!H$1),0),0)</f>
        <v>661.13399792565065</v>
      </c>
      <c r="Q282" s="29">
        <v>1500</v>
      </c>
      <c r="R282" s="31">
        <v>44935</v>
      </c>
      <c r="S282" s="31" t="s">
        <v>3121</v>
      </c>
      <c r="T282" s="95" t="str">
        <f t="shared" si="24"/>
        <v>2023 01</v>
      </c>
      <c r="U282" s="32">
        <f t="shared" si="21"/>
        <v>838.86600207434935</v>
      </c>
      <c r="V282" s="22">
        <f t="shared" si="22"/>
        <v>1.2688290190889351</v>
      </c>
      <c r="X282" s="33"/>
      <c r="Y282" s="33"/>
    </row>
    <row r="283" spans="1:25" x14ac:dyDescent="0.2">
      <c r="A283" s="93" t="s">
        <v>129</v>
      </c>
      <c r="B283" s="94">
        <f>IFERROR(VLOOKUP($A283,HeadJournal!$A$1:$NTR$890,COLUMN(HeadJournal!B$1),0),"")</f>
        <v>0</v>
      </c>
      <c r="C283" s="94" t="str">
        <f>IFERROR(VLOOKUP($A283,HeadJournal!$A$1:$NTR$890,COLUMN(HeadJournal!C$1),0),"")</f>
        <v>Roman</v>
      </c>
      <c r="D283" s="125" t="str">
        <f>IFERROR(VLOOKUP($A283,HeadJournal!$A$1:$NTR$890,COLUMN(HeadJournal!D$1),0),"")</f>
        <v>Доставлен</v>
      </c>
      <c r="E283" s="95">
        <f>IFERROR(VLOOKUP($A283,HeadJournal!$A$1:$NTR$890,COLUMN(HeadJournal!G$1),0),"")</f>
        <v>44874</v>
      </c>
      <c r="F283" s="95" t="str">
        <f t="shared" si="23"/>
        <v>2022 11</v>
      </c>
      <c r="G283" s="96" t="s">
        <v>5</v>
      </c>
      <c r="H283" s="160" t="str">
        <f>RIGHT(Journal!$J283,9)</f>
        <v>LEX-23141</v>
      </c>
      <c r="I283" s="96" t="str">
        <f t="shared" ref="I283:I320" si="25">IFERROR(LEFT(J283,FIND(",",J283)-1),"")</f>
        <v>Life Extension</v>
      </c>
      <c r="J283" s="97" t="s">
        <v>130</v>
      </c>
      <c r="K283" s="29">
        <v>960</v>
      </c>
      <c r="L283" s="29"/>
      <c r="M283" s="30">
        <f>IFERROR(VLOOKUP($A283,HeadJournal!$A$1:$J$890,COLUMN(HeadJournal!I$1),0)*($K283+$L283)/(SUMIF($A:$A,$A283,$K:$K)+SUMIF($A:$A,$A283,$L:$L)),0)</f>
        <v>0</v>
      </c>
      <c r="N283" s="30">
        <f>IFERROR((VLOOKUP($A283,HeadJournal!$A$1:$K$890,COLUMN(HeadJournal!K$1),0)-VLOOKUP($A283,HeadJournal!$A$1:$K$890,COLUMN(HeadJournal!J$1),0))*($K283+$L283)/(SUMIF($A:$A,$A283,$K:$K)+SUMIF($A:$A,$A283,$L:$L)),0)</f>
        <v>0.52883455457201256</v>
      </c>
      <c r="O283" s="30">
        <f>IFERROR((VLOOKUP($A283,HeadJournal!$A$1:$L$890,COLUMN(HeadJournal!L$1),0)*($K283+$L283)/(SUMIF($A:$A,$A283,$K:$K)+SUMIF($A:$A,$A283,$L:$L)))/VLOOKUP($A283,HeadJournal!$A$1:$L$890,COLUMN(HeadJournal!H$1),0),0)</f>
        <v>0</v>
      </c>
      <c r="P283" s="30">
        <f>IFERROR(SUM(K283:O283)*VLOOKUP($A283,HeadJournal!$A$1:$L$890,COLUMN(HeadJournal!H$1),0),0)</f>
        <v>1200.6610431932149</v>
      </c>
      <c r="Q283" s="29">
        <v>2500</v>
      </c>
      <c r="R283" s="31">
        <v>44877</v>
      </c>
      <c r="S283" s="31" t="s">
        <v>3121</v>
      </c>
      <c r="T283" s="95" t="str">
        <f t="shared" si="24"/>
        <v>2022 11</v>
      </c>
      <c r="U283" s="32">
        <f t="shared" si="21"/>
        <v>1299.3389568067851</v>
      </c>
      <c r="V283" s="22">
        <f t="shared" si="22"/>
        <v>1.0821863207547164</v>
      </c>
      <c r="X283" s="33"/>
      <c r="Y283" s="33"/>
    </row>
    <row r="284" spans="1:25" x14ac:dyDescent="0.2">
      <c r="A284" s="93" t="s">
        <v>129</v>
      </c>
      <c r="B284" s="94">
        <f>IFERROR(VLOOKUP($A284,HeadJournal!$A$1:$NTR$890,COLUMN(HeadJournal!B$1),0),"")</f>
        <v>0</v>
      </c>
      <c r="C284" s="94" t="str">
        <f>IFERROR(VLOOKUP($A284,HeadJournal!$A$1:$NTR$890,COLUMN(HeadJournal!C$1),0),"")</f>
        <v>Roman</v>
      </c>
      <c r="D284" s="125" t="str">
        <f>IFERROR(VLOOKUP($A284,HeadJournal!$A$1:$NTR$890,COLUMN(HeadJournal!D$1),0),"")</f>
        <v>Доставлен</v>
      </c>
      <c r="E284" s="95">
        <f>IFERROR(VLOOKUP($A284,HeadJournal!$A$1:$NTR$890,COLUMN(HeadJournal!G$1),0),"")</f>
        <v>44874</v>
      </c>
      <c r="F284" s="95" t="str">
        <f t="shared" si="23"/>
        <v>2022 11</v>
      </c>
      <c r="G284" s="96" t="s">
        <v>5</v>
      </c>
      <c r="H284" s="160" t="str">
        <f>RIGHT(Journal!$J284,9)</f>
        <v>LEX-23141</v>
      </c>
      <c r="I284" s="96" t="str">
        <f t="shared" si="25"/>
        <v>Life Extension</v>
      </c>
      <c r="J284" s="97" t="s">
        <v>130</v>
      </c>
      <c r="K284" s="29">
        <v>960</v>
      </c>
      <c r="L284" s="29"/>
      <c r="M284" s="30">
        <f>IFERROR(VLOOKUP($A284,HeadJournal!$A$1:$J$890,COLUMN(HeadJournal!I$1),0)*($K284+$L284)/(SUMIF($A:$A,$A284,$K:$K)+SUMIF($A:$A,$A284,$L:$L)),0)</f>
        <v>0</v>
      </c>
      <c r="N284" s="30">
        <f>IFERROR((VLOOKUP($A284,HeadJournal!$A$1:$K$890,COLUMN(HeadJournal!K$1),0)-VLOOKUP($A284,HeadJournal!$A$1:$K$890,COLUMN(HeadJournal!J$1),0))*($K284+$L284)/(SUMIF($A:$A,$A284,$K:$K)+SUMIF($A:$A,$A284,$L:$L)),0)</f>
        <v>0.52883455457201256</v>
      </c>
      <c r="O284" s="30">
        <f>IFERROR((VLOOKUP($A284,HeadJournal!$A$1:$L$890,COLUMN(HeadJournal!L$1),0)*($K284+$L284)/(SUMIF($A:$A,$A284,$K:$K)+SUMIF($A:$A,$A284,$L:$L)))/VLOOKUP($A284,HeadJournal!$A$1:$L$890,COLUMN(HeadJournal!H$1),0),0)</f>
        <v>0</v>
      </c>
      <c r="P284" s="30">
        <f>IFERROR(SUM(K284:O284)*VLOOKUP($A284,HeadJournal!$A$1:$L$890,COLUMN(HeadJournal!H$1),0),0)</f>
        <v>1200.6610431932149</v>
      </c>
      <c r="Q284" s="29">
        <v>2500</v>
      </c>
      <c r="R284" s="31">
        <v>44890</v>
      </c>
      <c r="S284" s="31" t="s">
        <v>3121</v>
      </c>
      <c r="T284" s="95" t="str">
        <f t="shared" si="24"/>
        <v>2022 11</v>
      </c>
      <c r="U284" s="32">
        <f t="shared" si="21"/>
        <v>1299.3389568067851</v>
      </c>
      <c r="V284" s="22">
        <f t="shared" si="22"/>
        <v>1.0821863207547164</v>
      </c>
      <c r="X284" s="33"/>
      <c r="Y284" s="33"/>
    </row>
    <row r="285" spans="1:25" x14ac:dyDescent="0.2">
      <c r="A285" s="93" t="s">
        <v>129</v>
      </c>
      <c r="B285" s="94">
        <f>IFERROR(VLOOKUP($A285,HeadJournal!$A$1:$NTR$890,COLUMN(HeadJournal!B$1),0),"")</f>
        <v>0</v>
      </c>
      <c r="C285" s="94" t="str">
        <f>IFERROR(VLOOKUP($A285,HeadJournal!$A$1:$NTR$890,COLUMN(HeadJournal!C$1),0),"")</f>
        <v>Roman</v>
      </c>
      <c r="D285" s="125" t="str">
        <f>IFERROR(VLOOKUP($A285,HeadJournal!$A$1:$NTR$890,COLUMN(HeadJournal!D$1),0),"")</f>
        <v>Доставлен</v>
      </c>
      <c r="E285" s="95">
        <f>IFERROR(VLOOKUP($A285,HeadJournal!$A$1:$NTR$890,COLUMN(HeadJournal!G$1),0),"")</f>
        <v>44874</v>
      </c>
      <c r="F285" s="95" t="str">
        <f t="shared" si="23"/>
        <v>2022 11</v>
      </c>
      <c r="G285" s="96" t="s">
        <v>7</v>
      </c>
      <c r="H285" s="175" t="s">
        <v>3640</v>
      </c>
      <c r="I285" s="176" t="s">
        <v>3685</v>
      </c>
      <c r="J285" s="97" t="s">
        <v>3686</v>
      </c>
      <c r="K285" s="29">
        <v>466.52799999999996</v>
      </c>
      <c r="L285" s="29"/>
      <c r="M285" s="30">
        <f>IFERROR(VLOOKUP($A285,HeadJournal!$A$1:$J$890,COLUMN(HeadJournal!I$1),0)*($K285+$L285)/(SUMIF($A:$A,$A285,$K:$K)+SUMIF($A:$A,$A285,$L:$L)),0)</f>
        <v>0</v>
      </c>
      <c r="N285" s="30">
        <f>IFERROR((VLOOKUP($A285,HeadJournal!$A$1:$K$890,COLUMN(HeadJournal!K$1),0)-VLOOKUP($A285,HeadJournal!$A$1:$K$890,COLUMN(HeadJournal!J$1),0))*($K285+$L285)/(SUMIF($A:$A,$A285,$K:$K)+SUMIF($A:$A,$A285,$L:$L)),0)</f>
        <v>0.25699596570351235</v>
      </c>
      <c r="O285" s="30">
        <f>IFERROR((VLOOKUP($A285,HeadJournal!$A$1:$L$890,COLUMN(HeadJournal!L$1),0)*($K285+$L285)/(SUMIF($A:$A,$A285,$K:$K)+SUMIF($A:$A,$A285,$L:$L)))/VLOOKUP($A285,HeadJournal!$A$1:$L$890,COLUMN(HeadJournal!H$1),0),0)</f>
        <v>0</v>
      </c>
      <c r="P285" s="30">
        <f>IFERROR(SUM(K285:O285)*VLOOKUP($A285,HeadJournal!$A$1:$L$890,COLUMN(HeadJournal!H$1),0),0)</f>
        <v>583.48124495712932</v>
      </c>
      <c r="Q285" s="29">
        <v>1000</v>
      </c>
      <c r="R285" s="31">
        <v>44877</v>
      </c>
      <c r="S285" s="31" t="s">
        <v>3121</v>
      </c>
      <c r="T285" s="95" t="str">
        <f t="shared" si="24"/>
        <v>2022 11</v>
      </c>
      <c r="U285" s="32">
        <f t="shared" si="21"/>
        <v>416.51875504287068</v>
      </c>
      <c r="V285" s="22">
        <f t="shared" si="22"/>
        <v>0.71385114541851979</v>
      </c>
      <c r="X285" s="33"/>
      <c r="Y285" s="33"/>
    </row>
    <row r="286" spans="1:25" x14ac:dyDescent="0.2">
      <c r="A286" s="93" t="s">
        <v>129</v>
      </c>
      <c r="B286" s="94">
        <f>IFERROR(VLOOKUP($A286,HeadJournal!$A$1:$NTR$890,COLUMN(HeadJournal!B$1),0),"")</f>
        <v>0</v>
      </c>
      <c r="C286" s="94" t="str">
        <f>IFERROR(VLOOKUP($A286,HeadJournal!$A$1:$NTR$890,COLUMN(HeadJournal!C$1),0),"")</f>
        <v>Roman</v>
      </c>
      <c r="D286" s="125" t="str">
        <f>IFERROR(VLOOKUP($A286,HeadJournal!$A$1:$NTR$890,COLUMN(HeadJournal!D$1),0),"")</f>
        <v>Доставлен</v>
      </c>
      <c r="E286" s="95">
        <f>IFERROR(VLOOKUP($A286,HeadJournal!$A$1:$NTR$890,COLUMN(HeadJournal!G$1),0),"")</f>
        <v>44874</v>
      </c>
      <c r="F286" s="95" t="str">
        <f t="shared" si="23"/>
        <v>2022 11</v>
      </c>
      <c r="G286" s="96" t="s">
        <v>7</v>
      </c>
      <c r="H286" s="175" t="s">
        <v>3640</v>
      </c>
      <c r="I286" s="176" t="s">
        <v>3685</v>
      </c>
      <c r="J286" s="97" t="s">
        <v>3686</v>
      </c>
      <c r="K286" s="29">
        <v>466.52799999999996</v>
      </c>
      <c r="L286" s="29"/>
      <c r="M286" s="30">
        <f>IFERROR(VLOOKUP($A286,HeadJournal!$A$1:$J$890,COLUMN(HeadJournal!I$1),0)*($K286+$L286)/(SUMIF($A:$A,$A286,$K:$K)+SUMIF($A:$A,$A286,$L:$L)),0)</f>
        <v>0</v>
      </c>
      <c r="N286" s="30">
        <f>IFERROR((VLOOKUP($A286,HeadJournal!$A$1:$K$890,COLUMN(HeadJournal!K$1),0)-VLOOKUP($A286,HeadJournal!$A$1:$K$890,COLUMN(HeadJournal!J$1),0))*($K286+$L286)/(SUMIF($A:$A,$A286,$K:$K)+SUMIF($A:$A,$A286,$L:$L)),0)</f>
        <v>0.25699596570351235</v>
      </c>
      <c r="O286" s="30">
        <f>IFERROR((VLOOKUP($A286,HeadJournal!$A$1:$L$890,COLUMN(HeadJournal!L$1),0)*($K286+$L286)/(SUMIF($A:$A,$A286,$K:$K)+SUMIF($A:$A,$A286,$L:$L)))/VLOOKUP($A286,HeadJournal!$A$1:$L$890,COLUMN(HeadJournal!H$1),0),0)</f>
        <v>0</v>
      </c>
      <c r="P286" s="30">
        <f>IFERROR(SUM(K286:O286)*VLOOKUP($A286,HeadJournal!$A$1:$L$890,COLUMN(HeadJournal!H$1),0),0)</f>
        <v>583.48124495712932</v>
      </c>
      <c r="Q286" s="29">
        <v>1000</v>
      </c>
      <c r="R286" s="31">
        <v>44878</v>
      </c>
      <c r="S286" s="31" t="s">
        <v>3121</v>
      </c>
      <c r="T286" s="95" t="str">
        <f t="shared" si="24"/>
        <v>2022 11</v>
      </c>
      <c r="U286" s="32">
        <f t="shared" si="21"/>
        <v>416.51875504287068</v>
      </c>
      <c r="V286" s="22">
        <f t="shared" si="22"/>
        <v>0.71385114541851979</v>
      </c>
      <c r="X286" s="33"/>
      <c r="Y286" s="33"/>
    </row>
    <row r="287" spans="1:25" x14ac:dyDescent="0.2">
      <c r="A287" s="93" t="s">
        <v>129</v>
      </c>
      <c r="B287" s="94">
        <f>IFERROR(VLOOKUP($A287,HeadJournal!$A$1:$NTR$890,COLUMN(HeadJournal!B$1),0),"")</f>
        <v>0</v>
      </c>
      <c r="C287" s="94" t="str">
        <f>IFERROR(VLOOKUP($A287,HeadJournal!$A$1:$NTR$890,COLUMN(HeadJournal!C$1),0),"")</f>
        <v>Roman</v>
      </c>
      <c r="D287" s="125" t="str">
        <f>IFERROR(VLOOKUP($A287,HeadJournal!$A$1:$NTR$890,COLUMN(HeadJournal!D$1),0),"")</f>
        <v>Доставлен</v>
      </c>
      <c r="E287" s="95">
        <f>IFERROR(VLOOKUP($A287,HeadJournal!$A$1:$NTR$890,COLUMN(HeadJournal!G$1),0),"")</f>
        <v>44874</v>
      </c>
      <c r="F287" s="95" t="str">
        <f t="shared" si="23"/>
        <v>2022 11</v>
      </c>
      <c r="G287" s="96" t="s">
        <v>7</v>
      </c>
      <c r="H287" s="175" t="s">
        <v>3640</v>
      </c>
      <c r="I287" s="176" t="s">
        <v>3685</v>
      </c>
      <c r="J287" s="97" t="s">
        <v>3686</v>
      </c>
      <c r="K287" s="29">
        <v>466.52799999999996</v>
      </c>
      <c r="L287" s="29"/>
      <c r="M287" s="30">
        <f>IFERROR(VLOOKUP($A287,HeadJournal!$A$1:$J$890,COLUMN(HeadJournal!I$1),0)*($K287+$L287)/(SUMIF($A:$A,$A287,$K:$K)+SUMIF($A:$A,$A287,$L:$L)),0)</f>
        <v>0</v>
      </c>
      <c r="N287" s="30">
        <f>IFERROR((VLOOKUP($A287,HeadJournal!$A$1:$K$890,COLUMN(HeadJournal!K$1),0)-VLOOKUP($A287,HeadJournal!$A$1:$K$890,COLUMN(HeadJournal!J$1),0))*($K287+$L287)/(SUMIF($A:$A,$A287,$K:$K)+SUMIF($A:$A,$A287,$L:$L)),0)</f>
        <v>0.25699596570351235</v>
      </c>
      <c r="O287" s="30">
        <f>IFERROR((VLOOKUP($A287,HeadJournal!$A$1:$L$890,COLUMN(HeadJournal!L$1),0)*($K287+$L287)/(SUMIF($A:$A,$A287,$K:$K)+SUMIF($A:$A,$A287,$L:$L)))/VLOOKUP($A287,HeadJournal!$A$1:$L$890,COLUMN(HeadJournal!H$1),0),0)</f>
        <v>0</v>
      </c>
      <c r="P287" s="30">
        <f>IFERROR(SUM(K287:O287)*VLOOKUP($A287,HeadJournal!$A$1:$L$890,COLUMN(HeadJournal!H$1),0),0)</f>
        <v>583.48124495712932</v>
      </c>
      <c r="Q287" s="29">
        <v>1000</v>
      </c>
      <c r="R287" s="31">
        <v>44894</v>
      </c>
      <c r="S287" s="31" t="s">
        <v>3121</v>
      </c>
      <c r="T287" s="95" t="str">
        <f t="shared" si="24"/>
        <v>2022 11</v>
      </c>
      <c r="U287" s="32">
        <f t="shared" si="21"/>
        <v>416.51875504287068</v>
      </c>
      <c r="V287" s="22">
        <f t="shared" si="22"/>
        <v>0.71385114541851979</v>
      </c>
      <c r="X287" s="33"/>
      <c r="Y287" s="33"/>
    </row>
    <row r="288" spans="1:25" x14ac:dyDescent="0.2">
      <c r="A288" s="93" t="s">
        <v>129</v>
      </c>
      <c r="B288" s="94">
        <f>IFERROR(VLOOKUP($A288,HeadJournal!$A$1:$NTR$890,COLUMN(HeadJournal!B$1),0),"")</f>
        <v>0</v>
      </c>
      <c r="C288" s="94" t="str">
        <f>IFERROR(VLOOKUP($A288,HeadJournal!$A$1:$NTR$890,COLUMN(HeadJournal!C$1),0),"")</f>
        <v>Roman</v>
      </c>
      <c r="D288" s="125" t="str">
        <f>IFERROR(VLOOKUP($A288,HeadJournal!$A$1:$NTR$890,COLUMN(HeadJournal!D$1),0),"")</f>
        <v>Доставлен</v>
      </c>
      <c r="E288" s="95">
        <f>IFERROR(VLOOKUP($A288,HeadJournal!$A$1:$NTR$890,COLUMN(HeadJournal!G$1),0),"")</f>
        <v>44874</v>
      </c>
      <c r="F288" s="95" t="str">
        <f t="shared" si="23"/>
        <v>2022 11</v>
      </c>
      <c r="G288" s="96" t="s">
        <v>7</v>
      </c>
      <c r="H288" s="175" t="s">
        <v>3640</v>
      </c>
      <c r="I288" s="176" t="s">
        <v>3685</v>
      </c>
      <c r="J288" s="97" t="s">
        <v>3686</v>
      </c>
      <c r="K288" s="29">
        <v>0</v>
      </c>
      <c r="L288" s="29"/>
      <c r="M288" s="30">
        <f>IFERROR(VLOOKUP($A288,HeadJournal!$A$1:$J$890,COLUMN(HeadJournal!I$1),0)*($K288+$L288)/(SUMIF($A:$A,$A288,$K:$K)+SUMIF($A:$A,$A288,$L:$L)),0)</f>
        <v>0</v>
      </c>
      <c r="N288" s="30">
        <f>IFERROR((VLOOKUP($A288,HeadJournal!$A$1:$K$890,COLUMN(HeadJournal!K$1),0)-VLOOKUP($A288,HeadJournal!$A$1:$K$890,COLUMN(HeadJournal!J$1),0))*($K288+$L288)/(SUMIF($A:$A,$A288,$K:$K)+SUMIF($A:$A,$A288,$L:$L)),0)</f>
        <v>0</v>
      </c>
      <c r="O288" s="30">
        <f>IFERROR((VLOOKUP($A288,HeadJournal!$A$1:$L$890,COLUMN(HeadJournal!L$1),0)*($K288+$L288)/(SUMIF($A:$A,$A288,$K:$K)+SUMIF($A:$A,$A288,$L:$L)))/VLOOKUP($A288,HeadJournal!$A$1:$L$890,COLUMN(HeadJournal!H$1),0),0)</f>
        <v>0</v>
      </c>
      <c r="P288" s="30">
        <f>IFERROR(SUM(K288:O288)*VLOOKUP($A288,HeadJournal!$A$1:$L$890,COLUMN(HeadJournal!H$1),0),0)</f>
        <v>0</v>
      </c>
      <c r="Q288" s="29">
        <v>1000</v>
      </c>
      <c r="R288" s="31">
        <v>44957</v>
      </c>
      <c r="S288" s="31" t="s">
        <v>3121</v>
      </c>
      <c r="T288" s="95" t="str">
        <f t="shared" si="24"/>
        <v>2023 01</v>
      </c>
      <c r="U288" s="32">
        <f t="shared" si="21"/>
        <v>1000</v>
      </c>
      <c r="V288" s="22" t="str">
        <f t="shared" si="22"/>
        <v/>
      </c>
      <c r="X288" s="33"/>
      <c r="Y288" s="33"/>
    </row>
    <row r="289" spans="1:25" x14ac:dyDescent="0.2">
      <c r="A289" s="93" t="s">
        <v>129</v>
      </c>
      <c r="B289" s="94">
        <f>IFERROR(VLOOKUP($A289,HeadJournal!$A$1:$NTR$890,COLUMN(HeadJournal!B$1),0),"")</f>
        <v>0</v>
      </c>
      <c r="C289" s="94" t="str">
        <f>IFERROR(VLOOKUP($A289,HeadJournal!$A$1:$NTR$890,COLUMN(HeadJournal!C$1),0),"")</f>
        <v>Roman</v>
      </c>
      <c r="D289" s="125" t="str">
        <f>IFERROR(VLOOKUP($A289,HeadJournal!$A$1:$NTR$890,COLUMN(HeadJournal!D$1),0),"")</f>
        <v>Доставлен</v>
      </c>
      <c r="E289" s="95">
        <f>IFERROR(VLOOKUP($A289,HeadJournal!$A$1:$NTR$890,COLUMN(HeadJournal!G$1),0),"")</f>
        <v>44874</v>
      </c>
      <c r="F289" s="95" t="str">
        <f t="shared" si="23"/>
        <v>2022 11</v>
      </c>
      <c r="G289" s="96" t="s">
        <v>5</v>
      </c>
      <c r="H289" s="161" t="s">
        <v>2843</v>
      </c>
      <c r="I289" s="97" t="s">
        <v>2839</v>
      </c>
      <c r="J289" s="97" t="s">
        <v>2844</v>
      </c>
      <c r="K289" s="29">
        <v>800</v>
      </c>
      <c r="L289" s="29"/>
      <c r="M289" s="30">
        <f>IFERROR(VLOOKUP($A289,HeadJournal!$A$1:$J$890,COLUMN(HeadJournal!I$1),0)*($K289+$L289)/(SUMIF($A:$A,$A289,$K:$K)+SUMIF($A:$A,$A289,$L:$L)),0)</f>
        <v>0</v>
      </c>
      <c r="N289" s="30">
        <f>IFERROR((VLOOKUP($A289,HeadJournal!$A$1:$K$890,COLUMN(HeadJournal!K$1),0)-VLOOKUP($A289,HeadJournal!$A$1:$K$890,COLUMN(HeadJournal!J$1),0))*($K289+$L289)/(SUMIF($A:$A,$A289,$K:$K)+SUMIF($A:$A,$A289,$L:$L)),0)</f>
        <v>0.44069546214334382</v>
      </c>
      <c r="O289" s="30">
        <f>IFERROR((VLOOKUP($A289,HeadJournal!$A$1:$L$890,COLUMN(HeadJournal!L$1),0)*($K289+$L289)/(SUMIF($A:$A,$A289,$K:$K)+SUMIF($A:$A,$A289,$L:$L)))/VLOOKUP($A289,HeadJournal!$A$1:$L$890,COLUMN(HeadJournal!H$1),0),0)</f>
        <v>0</v>
      </c>
      <c r="P289" s="30">
        <f>IFERROR(SUM(K289:O289)*VLOOKUP($A289,HeadJournal!$A$1:$L$890,COLUMN(HeadJournal!H$1),0),0)</f>
        <v>1000.5508693276793</v>
      </c>
      <c r="Q289" s="29">
        <v>2000</v>
      </c>
      <c r="R289" s="31">
        <v>44877</v>
      </c>
      <c r="S289" s="31" t="s">
        <v>3121</v>
      </c>
      <c r="T289" s="95" t="str">
        <f t="shared" si="24"/>
        <v>2022 11</v>
      </c>
      <c r="U289" s="32">
        <f t="shared" si="21"/>
        <v>999.44913067232073</v>
      </c>
      <c r="V289" s="22">
        <f t="shared" si="22"/>
        <v>0.99889886792452753</v>
      </c>
      <c r="X289" s="33"/>
      <c r="Y289" s="33"/>
    </row>
    <row r="290" spans="1:25" x14ac:dyDescent="0.2">
      <c r="A290" s="93" t="s">
        <v>131</v>
      </c>
      <c r="B290" s="94">
        <f>IFERROR(VLOOKUP($A290,HeadJournal!$A$1:$NTR$890,COLUMN(HeadJournal!B$1),0),"")</f>
        <v>0</v>
      </c>
      <c r="C290" s="94" t="str">
        <f>IFERROR(VLOOKUP($A290,HeadJournal!$A$1:$NTR$890,COLUMN(HeadJournal!C$1),0),"")</f>
        <v>OZON_AV</v>
      </c>
      <c r="D290" s="125" t="str">
        <f>IFERROR(VLOOKUP($A290,HeadJournal!$A$1:$NTR$890,COLUMN(HeadJournal!D$1),0),"")</f>
        <v>Доставлен</v>
      </c>
      <c r="E290" s="95">
        <f>IFERROR(VLOOKUP($A290,HeadJournal!$A$1:$NTR$890,COLUMN(HeadJournal!G$1),0),"")</f>
        <v>44875</v>
      </c>
      <c r="F290" s="95" t="str">
        <f t="shared" si="23"/>
        <v>2022 11</v>
      </c>
      <c r="G290" s="96" t="s">
        <v>6</v>
      </c>
      <c r="H290" s="160" t="str">
        <f>RIGHT(Journal!$J290,9)</f>
        <v>267842280</v>
      </c>
      <c r="I290" s="96" t="str">
        <f t="shared" si="25"/>
        <v>BioTech USA</v>
      </c>
      <c r="J290" s="97" t="s">
        <v>132</v>
      </c>
      <c r="K290" s="29">
        <v>988</v>
      </c>
      <c r="L290" s="29"/>
      <c r="M290" s="30">
        <f>IFERROR(VLOOKUP($A290,HeadJournal!$A$1:$J$890,COLUMN(HeadJournal!I$1),0)*($K290+$L290)/(SUMIF($A:$A,$A290,$K:$K)+SUMIF($A:$A,$A290,$L:$L)),0)</f>
        <v>0</v>
      </c>
      <c r="N290" s="30">
        <f>IFERROR((VLOOKUP($A290,HeadJournal!$A$1:$K$890,COLUMN(HeadJournal!K$1),0)-VLOOKUP($A290,HeadJournal!$A$1:$K$890,COLUMN(HeadJournal!J$1),0))*($K290+$L290)/(SUMIF($A:$A,$A290,$K:$K)+SUMIF($A:$A,$A290,$L:$L)),0)</f>
        <v>0</v>
      </c>
      <c r="O290" s="30">
        <f>IFERROR((VLOOKUP($A290,HeadJournal!$A$1:$L$890,COLUMN(HeadJournal!L$1),0)*($K290+$L290)/(SUMIF($A:$A,$A290,$K:$K)+SUMIF($A:$A,$A290,$L:$L)))/VLOOKUP($A290,HeadJournal!$A$1:$L$890,COLUMN(HeadJournal!H$1),0),0)</f>
        <v>118.55999999999999</v>
      </c>
      <c r="P290" s="30">
        <f>IFERROR(SUM(K290:O290)*VLOOKUP($A290,HeadJournal!$A$1:$L$890,COLUMN(HeadJournal!H$1),0),0)</f>
        <v>1383.1999999999998</v>
      </c>
      <c r="Q290" s="29">
        <v>2300</v>
      </c>
      <c r="R290" s="31">
        <v>44876</v>
      </c>
      <c r="S290" s="31" t="s">
        <v>3121</v>
      </c>
      <c r="T290" s="95" t="str">
        <f t="shared" si="24"/>
        <v>2022 11</v>
      </c>
      <c r="U290" s="32">
        <f t="shared" si="21"/>
        <v>916.80000000000018</v>
      </c>
      <c r="V290" s="22">
        <f t="shared" si="22"/>
        <v>0.66281087333718935</v>
      </c>
      <c r="X290" s="33"/>
      <c r="Y290" s="33"/>
    </row>
    <row r="291" spans="1:25" x14ac:dyDescent="0.2">
      <c r="A291" s="93" t="s">
        <v>133</v>
      </c>
      <c r="B291" s="94" t="str">
        <f>IFERROR(VLOOKUP($A291,HeadJournal!$A$1:$NTR$890,COLUMN(HeadJournal!B$1),0),"")</f>
        <v>1371469533</v>
      </c>
      <c r="C291" s="94" t="str">
        <f>IFERROR(VLOOKUP($A291,HeadJournal!$A$1:$NTR$890,COLUMN(HeadJournal!C$1),0),"")</f>
        <v>iHerb_AV CYG0792</v>
      </c>
      <c r="D291" s="125" t="str">
        <f>IFERROR(VLOOKUP($A291,HeadJournal!$A$1:$NTR$890,COLUMN(HeadJournal!D$1),0),"")</f>
        <v>Доставлен</v>
      </c>
      <c r="E291" s="95">
        <f>IFERROR(VLOOKUP($A291,HeadJournal!$A$1:$NTR$890,COLUMN(HeadJournal!G$1),0),"")</f>
        <v>44835</v>
      </c>
      <c r="F291" s="95" t="str">
        <f t="shared" si="23"/>
        <v>2022 10</v>
      </c>
      <c r="G291" s="96" t="s">
        <v>5</v>
      </c>
      <c r="H291" s="161" t="s">
        <v>2843</v>
      </c>
      <c r="I291" s="97" t="s">
        <v>2839</v>
      </c>
      <c r="J291" s="97" t="s">
        <v>2844</v>
      </c>
      <c r="K291" s="29">
        <v>14.67</v>
      </c>
      <c r="L291" s="29">
        <v>-3.81</v>
      </c>
      <c r="M291" s="30">
        <f>IFERROR(VLOOKUP($A291,HeadJournal!$A$1:$J$890,COLUMN(HeadJournal!I$1),0)*($K291+$L291)/(SUMIF($A:$A,$A291,$K:$K)+SUMIF($A:$A,$A291,$L:$L)),0)</f>
        <v>-2.6526002703920688</v>
      </c>
      <c r="N291" s="30">
        <f>IFERROR((VLOOKUP($A291,HeadJournal!$A$1:$K$890,COLUMN(HeadJournal!K$1),0)-VLOOKUP($A291,HeadJournal!$A$1:$K$890,COLUMN(HeadJournal!J$1),0))*($K291+$L291)/(SUMIF($A:$A,$A291,$K:$K)+SUMIF($A:$A,$A291,$L:$L)),0)</f>
        <v>1.7387323367180461E-15</v>
      </c>
      <c r="O291" s="30">
        <f>IFERROR((VLOOKUP($A291,HeadJournal!$A$1:$L$890,COLUMN(HeadJournal!L$1),0)*($K291+$L291)/(SUMIF($A:$A,$A291,$K:$K)+SUMIF($A:$A,$A291,$L:$L)))/VLOOKUP($A291,HeadJournal!$A$1:$L$890,COLUMN(HeadJournal!H$1),0),0)</f>
        <v>10.50482336344221</v>
      </c>
      <c r="P291" s="30">
        <f>IFERROR(SUM(K291:O291)*VLOOKUP($A291,HeadJournal!$A$1:$L$890,COLUMN(HeadJournal!H$1),0),0)</f>
        <v>1291.1433934204597</v>
      </c>
      <c r="Q291" s="29">
        <v>2400</v>
      </c>
      <c r="R291" s="31">
        <v>44904</v>
      </c>
      <c r="S291" s="31" t="s">
        <v>3121</v>
      </c>
      <c r="T291" s="95" t="str">
        <f t="shared" si="24"/>
        <v>2022 12</v>
      </c>
      <c r="U291" s="32">
        <f t="shared" si="21"/>
        <v>1108.8566065795403</v>
      </c>
      <c r="V291" s="22">
        <f t="shared" si="22"/>
        <v>0.8588175505758423</v>
      </c>
      <c r="X291" s="33"/>
      <c r="Y291" s="33"/>
    </row>
    <row r="292" spans="1:25" x14ac:dyDescent="0.2">
      <c r="A292" s="93" t="s">
        <v>133</v>
      </c>
      <c r="B292" s="94" t="str">
        <f>IFERROR(VLOOKUP($A292,HeadJournal!$A$1:$NTR$890,COLUMN(HeadJournal!B$1),0),"")</f>
        <v>1371469533</v>
      </c>
      <c r="C292" s="94" t="str">
        <f>IFERROR(VLOOKUP($A292,HeadJournal!$A$1:$NTR$890,COLUMN(HeadJournal!C$1),0),"")</f>
        <v>iHerb_AV CYG0792</v>
      </c>
      <c r="D292" s="125" t="str">
        <f>IFERROR(VLOOKUP($A292,HeadJournal!$A$1:$NTR$890,COLUMN(HeadJournal!D$1),0),"")</f>
        <v>Доставлен</v>
      </c>
      <c r="E292" s="95">
        <f>IFERROR(VLOOKUP($A292,HeadJournal!$A$1:$NTR$890,COLUMN(HeadJournal!G$1),0),"")</f>
        <v>44835</v>
      </c>
      <c r="F292" s="95" t="str">
        <f t="shared" si="23"/>
        <v>2022 10</v>
      </c>
      <c r="G292" s="96" t="s">
        <v>5</v>
      </c>
      <c r="H292" s="160" t="str">
        <f>RIGHT(Journal!$J292,9)</f>
        <v>SOL-01701</v>
      </c>
      <c r="I292" s="96" t="str">
        <f t="shared" si="25"/>
        <v>Solgar</v>
      </c>
      <c r="J292" s="97" t="s">
        <v>134</v>
      </c>
      <c r="K292" s="29">
        <v>11.41</v>
      </c>
      <c r="L292" s="29">
        <v>-2.97</v>
      </c>
      <c r="M292" s="30">
        <f>IFERROR(VLOOKUP($A292,HeadJournal!$A$1:$J$890,COLUMN(HeadJournal!I$1),0)*($K292+$L292)/(SUMIF($A:$A,$A292,$K:$K)+SUMIF($A:$A,$A292,$L:$L)),0)</f>
        <v>-2.0615051825146464</v>
      </c>
      <c r="N292" s="30">
        <f>IFERROR((VLOOKUP($A292,HeadJournal!$A$1:$K$890,COLUMN(HeadJournal!K$1),0)-VLOOKUP($A292,HeadJournal!$A$1:$K$890,COLUMN(HeadJournal!J$1),0))*($K292+$L292)/(SUMIF($A:$A,$A292,$K:$K)+SUMIF($A:$A,$A292,$L:$L)),0)</f>
        <v>1.3512800112247061E-15</v>
      </c>
      <c r="O292" s="30">
        <f>IFERROR((VLOOKUP($A292,HeadJournal!$A$1:$L$890,COLUMN(HeadJournal!L$1),0)*($K292+$L292)/(SUMIF($A:$A,$A292,$K:$K)+SUMIF($A:$A,$A292,$L:$L)))/VLOOKUP($A292,HeadJournal!$A$1:$L$890,COLUMN(HeadJournal!H$1),0),0)</f>
        <v>8.1639695384394333</v>
      </c>
      <c r="P292" s="30">
        <f>IFERROR(SUM(K292:O292)*VLOOKUP($A292,HeadJournal!$A$1:$L$890,COLUMN(HeadJournal!H$1),0),0)</f>
        <v>1003.4300405588104</v>
      </c>
      <c r="Q292" s="29">
        <v>1700</v>
      </c>
      <c r="R292" s="31">
        <v>44898</v>
      </c>
      <c r="S292" s="31" t="s">
        <v>3121</v>
      </c>
      <c r="T292" s="95" t="str">
        <f t="shared" si="24"/>
        <v>2022 12</v>
      </c>
      <c r="U292" s="32">
        <f t="shared" si="21"/>
        <v>696.56995944118955</v>
      </c>
      <c r="V292" s="22">
        <f t="shared" si="22"/>
        <v>0.69418886348396502</v>
      </c>
      <c r="X292" s="33"/>
      <c r="Y292" s="33"/>
    </row>
    <row r="293" spans="1:25" x14ac:dyDescent="0.2">
      <c r="A293" s="93" t="s">
        <v>133</v>
      </c>
      <c r="B293" s="94" t="str">
        <f>IFERROR(VLOOKUP($A293,HeadJournal!$A$1:$NTR$890,COLUMN(HeadJournal!B$1),0),"")</f>
        <v>1371469533</v>
      </c>
      <c r="C293" s="94" t="str">
        <f>IFERROR(VLOOKUP($A293,HeadJournal!$A$1:$NTR$890,COLUMN(HeadJournal!C$1),0),"")</f>
        <v>iHerb_AV CYG0792</v>
      </c>
      <c r="D293" s="125" t="str">
        <f>IFERROR(VLOOKUP($A293,HeadJournal!$A$1:$NTR$890,COLUMN(HeadJournal!D$1),0),"")</f>
        <v>Доставлен</v>
      </c>
      <c r="E293" s="95">
        <f>IFERROR(VLOOKUP($A293,HeadJournal!$A$1:$NTR$890,COLUMN(HeadJournal!G$1),0),"")</f>
        <v>44835</v>
      </c>
      <c r="F293" s="95" t="str">
        <f t="shared" si="23"/>
        <v>2022 10</v>
      </c>
      <c r="G293" s="96" t="s">
        <v>5</v>
      </c>
      <c r="H293" s="160" t="str">
        <f>RIGHT(Journal!$J293,9)</f>
        <v>CEN-27070</v>
      </c>
      <c r="I293" s="96" t="str">
        <f t="shared" si="25"/>
        <v>21st Century</v>
      </c>
      <c r="J293" s="97" t="s">
        <v>135</v>
      </c>
      <c r="K293" s="29">
        <v>6.47</v>
      </c>
      <c r="L293" s="29">
        <v>-1.68</v>
      </c>
      <c r="M293" s="30">
        <f>IFERROR(VLOOKUP($A293,HeadJournal!$A$1:$J$890,COLUMN(HeadJournal!I$1),0)*($K293+$L293)/(SUMIF($A:$A,$A293,$K:$K)+SUMIF($A:$A,$A293,$L:$L)),0)</f>
        <v>-1.1699774673276251</v>
      </c>
      <c r="N293" s="30">
        <f>IFERROR((VLOOKUP($A293,HeadJournal!$A$1:$K$890,COLUMN(HeadJournal!K$1),0)-VLOOKUP($A293,HeadJournal!$A$1:$K$890,COLUMN(HeadJournal!J$1),0))*($K293+$L293)/(SUMIF($A:$A,$A293,$K:$K)+SUMIF($A:$A,$A293,$L:$L)),0)</f>
        <v>7.6689943765004065E-16</v>
      </c>
      <c r="O293" s="30">
        <f>IFERROR((VLOOKUP($A293,HeadJournal!$A$1:$L$890,COLUMN(HeadJournal!L$1),0)*($K293+$L293)/(SUMIF($A:$A,$A293,$K:$K)+SUMIF($A:$A,$A293,$L:$L)))/VLOOKUP($A293,HeadJournal!$A$1:$L$890,COLUMN(HeadJournal!H$1),0),0)</f>
        <v>4.633342901555082</v>
      </c>
      <c r="P293" s="30">
        <f>IFERROR(SUM(K293:O293)*VLOOKUP($A293,HeadJournal!$A$1:$L$890,COLUMN(HeadJournal!H$1),0),0)</f>
        <v>569.48221496169458</v>
      </c>
      <c r="Q293" s="29">
        <v>1000</v>
      </c>
      <c r="R293" s="31">
        <v>45173</v>
      </c>
      <c r="S293" s="31" t="s">
        <v>3121</v>
      </c>
      <c r="T293" s="95" t="str">
        <f t="shared" si="24"/>
        <v>2023 09</v>
      </c>
      <c r="U293" s="32">
        <f t="shared" si="21"/>
        <v>430.51778503830542</v>
      </c>
      <c r="V293" s="22">
        <f t="shared" si="22"/>
        <v>0.75598108900953753</v>
      </c>
      <c r="X293" s="33"/>
      <c r="Y293" s="33"/>
    </row>
    <row r="294" spans="1:25" x14ac:dyDescent="0.2">
      <c r="A294" s="93" t="s">
        <v>133</v>
      </c>
      <c r="B294" s="94" t="str">
        <f>IFERROR(VLOOKUP($A294,HeadJournal!$A$1:$NTR$890,COLUMN(HeadJournal!B$1),0),"")</f>
        <v>1371469533</v>
      </c>
      <c r="C294" s="94" t="str">
        <f>IFERROR(VLOOKUP($A294,HeadJournal!$A$1:$NTR$890,COLUMN(HeadJournal!C$1),0),"")</f>
        <v>iHerb_AV CYG0792</v>
      </c>
      <c r="D294" s="125" t="str">
        <f>IFERROR(VLOOKUP($A294,HeadJournal!$A$1:$NTR$890,COLUMN(HeadJournal!D$1),0),"")</f>
        <v>Доставлен</v>
      </c>
      <c r="E294" s="95">
        <f>IFERROR(VLOOKUP($A294,HeadJournal!$A$1:$NTR$890,COLUMN(HeadJournal!G$1),0),"")</f>
        <v>44835</v>
      </c>
      <c r="F294" s="95" t="str">
        <f t="shared" si="23"/>
        <v>2022 10</v>
      </c>
      <c r="G294" s="96" t="s">
        <v>5</v>
      </c>
      <c r="H294" s="161" t="s">
        <v>2623</v>
      </c>
      <c r="I294" s="97" t="s">
        <v>2052</v>
      </c>
      <c r="J294" s="97" t="s">
        <v>3915</v>
      </c>
      <c r="K294" s="29">
        <v>5</v>
      </c>
      <c r="L294" s="29">
        <v>-4</v>
      </c>
      <c r="M294" s="30">
        <f>IFERROR(VLOOKUP($A294,HeadJournal!$A$1:$J$890,COLUMN(HeadJournal!I$1),0)*($K294+$L294)/(SUMIF($A:$A,$A294,$K:$K)+SUMIF($A:$A,$A294,$L:$L)),0)</f>
        <v>-0.24425416854438939</v>
      </c>
      <c r="N294" s="30">
        <f>IFERROR((VLOOKUP($A294,HeadJournal!$A$1:$K$890,COLUMN(HeadJournal!K$1),0)-VLOOKUP($A294,HeadJournal!$A$1:$K$890,COLUMN(HeadJournal!J$1),0))*($K294+$L294)/(SUMIF($A:$A,$A294,$K:$K)+SUMIF($A:$A,$A294,$L:$L)),0)</f>
        <v>1.6010426673278509E-16</v>
      </c>
      <c r="O294" s="30">
        <f>IFERROR((VLOOKUP($A294,HeadJournal!$A$1:$L$890,COLUMN(HeadJournal!L$1),0)*($K294+$L294)/(SUMIF($A:$A,$A294,$K:$K)+SUMIF($A:$A,$A294,$L:$L)))/VLOOKUP($A294,HeadJournal!$A$1:$L$890,COLUMN(HeadJournal!H$1),0),0)</f>
        <v>0.96729496900941159</v>
      </c>
      <c r="P294" s="30">
        <f>IFERROR(SUM(K294:O294)*VLOOKUP($A294,HeadJournal!$A$1:$L$890,COLUMN(HeadJournal!H$1),0),0)</f>
        <v>118.88981523208655</v>
      </c>
      <c r="Q294" s="29">
        <v>700</v>
      </c>
      <c r="R294" s="31">
        <v>44900</v>
      </c>
      <c r="S294" s="31" t="s">
        <v>3121</v>
      </c>
      <c r="T294" s="95" t="str">
        <f t="shared" si="24"/>
        <v>2022 12</v>
      </c>
      <c r="U294" s="32">
        <f t="shared" si="21"/>
        <v>581.11018476791344</v>
      </c>
      <c r="V294" s="22">
        <f t="shared" si="22"/>
        <v>4.8878045914489796</v>
      </c>
      <c r="X294" s="33"/>
      <c r="Y294" s="33"/>
    </row>
    <row r="295" spans="1:25" x14ac:dyDescent="0.2">
      <c r="A295" s="93" t="s">
        <v>133</v>
      </c>
      <c r="B295" s="94" t="str">
        <f>IFERROR(VLOOKUP($A295,HeadJournal!$A$1:$NTR$890,COLUMN(HeadJournal!B$1),0),"")</f>
        <v>1371469533</v>
      </c>
      <c r="C295" s="94" t="str">
        <f>IFERROR(VLOOKUP($A295,HeadJournal!$A$1:$NTR$890,COLUMN(HeadJournal!C$1),0),"")</f>
        <v>iHerb_AV CYG0792</v>
      </c>
      <c r="D295" s="125" t="str">
        <f>IFERROR(VLOOKUP($A295,HeadJournal!$A$1:$NTR$890,COLUMN(HeadJournal!D$1),0),"")</f>
        <v>Доставлен</v>
      </c>
      <c r="E295" s="95">
        <f>IFERROR(VLOOKUP($A295,HeadJournal!$A$1:$NTR$890,COLUMN(HeadJournal!G$1),0),"")</f>
        <v>44835</v>
      </c>
      <c r="F295" s="95" t="str">
        <f t="shared" si="23"/>
        <v>2022 10</v>
      </c>
      <c r="G295" s="96" t="s">
        <v>5</v>
      </c>
      <c r="H295" s="161" t="s">
        <v>3011</v>
      </c>
      <c r="I295" s="97" t="s">
        <v>2052</v>
      </c>
      <c r="J295" s="97" t="s">
        <v>3012</v>
      </c>
      <c r="K295" s="29">
        <v>6</v>
      </c>
      <c r="L295" s="29">
        <v>-3</v>
      </c>
      <c r="M295" s="30">
        <f>IFERROR(VLOOKUP($A295,HeadJournal!$A$1:$J$890,COLUMN(HeadJournal!I$1),0)*($K295+$L295)/(SUMIF($A:$A,$A295,$K:$K)+SUMIF($A:$A,$A295,$L:$L)),0)</f>
        <v>-0.73276250563316803</v>
      </c>
      <c r="N295" s="30">
        <f>IFERROR((VLOOKUP($A295,HeadJournal!$A$1:$K$890,COLUMN(HeadJournal!K$1),0)-VLOOKUP($A295,HeadJournal!$A$1:$K$890,COLUMN(HeadJournal!J$1),0))*($K295+$L295)/(SUMIF($A:$A,$A295,$K:$K)+SUMIF($A:$A,$A295,$L:$L)),0)</f>
        <v>4.8031280019835533E-16</v>
      </c>
      <c r="O295" s="30">
        <f>IFERROR((VLOOKUP($A295,HeadJournal!$A$1:$L$890,COLUMN(HeadJournal!L$1),0)*($K295+$L295)/(SUMIF($A:$A,$A295,$K:$K)+SUMIF($A:$A,$A295,$L:$L)))/VLOOKUP($A295,HeadJournal!$A$1:$L$890,COLUMN(HeadJournal!H$1),0),0)</f>
        <v>2.9018849070282351</v>
      </c>
      <c r="P295" s="30">
        <f>IFERROR(SUM(K295:O295)*VLOOKUP($A295,HeadJournal!$A$1:$L$890,COLUMN(HeadJournal!H$1),0),0)</f>
        <v>356.66944569625969</v>
      </c>
      <c r="Q295" s="29">
        <v>800</v>
      </c>
      <c r="R295" s="31">
        <v>44904</v>
      </c>
      <c r="S295" s="31" t="s">
        <v>3121</v>
      </c>
      <c r="T295" s="95" t="str">
        <f t="shared" si="24"/>
        <v>2022 12</v>
      </c>
      <c r="U295" s="32">
        <f t="shared" si="21"/>
        <v>443.33055430374031</v>
      </c>
      <c r="V295" s="22">
        <f t="shared" si="22"/>
        <v>1.2429731776948492</v>
      </c>
      <c r="X295" s="33"/>
      <c r="Y295" s="33"/>
    </row>
    <row r="296" spans="1:25" x14ac:dyDescent="0.2">
      <c r="A296" s="93" t="s">
        <v>133</v>
      </c>
      <c r="B296" s="94" t="str">
        <f>IFERROR(VLOOKUP($A296,HeadJournal!$A$1:$NTR$890,COLUMN(HeadJournal!B$1),0),"")</f>
        <v>1371469533</v>
      </c>
      <c r="C296" s="94" t="str">
        <f>IFERROR(VLOOKUP($A296,HeadJournal!$A$1:$NTR$890,COLUMN(HeadJournal!C$1),0),"")</f>
        <v>iHerb_AV CYG0792</v>
      </c>
      <c r="D296" s="125" t="str">
        <f>IFERROR(VLOOKUP($A296,HeadJournal!$A$1:$NTR$890,COLUMN(HeadJournal!D$1),0),"")</f>
        <v>Доставлен</v>
      </c>
      <c r="E296" s="95">
        <f>IFERROR(VLOOKUP($A296,HeadJournal!$A$1:$NTR$890,COLUMN(HeadJournal!G$1),0),"")</f>
        <v>44835</v>
      </c>
      <c r="F296" s="95" t="str">
        <f t="shared" si="23"/>
        <v>2022 10</v>
      </c>
      <c r="G296" s="96" t="s">
        <v>5</v>
      </c>
      <c r="H296" s="161" t="s">
        <v>3011</v>
      </c>
      <c r="I296" s="97" t="s">
        <v>2052</v>
      </c>
      <c r="J296" s="97" t="s">
        <v>3012</v>
      </c>
      <c r="K296" s="29">
        <v>6</v>
      </c>
      <c r="L296" s="29">
        <v>-3</v>
      </c>
      <c r="M296" s="30">
        <f>IFERROR(VLOOKUP($A296,HeadJournal!$A$1:$J$890,COLUMN(HeadJournal!I$1),0)*($K296+$L296)/(SUMIF($A:$A,$A296,$K:$K)+SUMIF($A:$A,$A296,$L:$L)),0)</f>
        <v>-0.73276250563316803</v>
      </c>
      <c r="N296" s="30">
        <f>IFERROR((VLOOKUP($A296,HeadJournal!$A$1:$K$890,COLUMN(HeadJournal!K$1),0)-VLOOKUP($A296,HeadJournal!$A$1:$K$890,COLUMN(HeadJournal!J$1),0))*($K296+$L296)/(SUMIF($A:$A,$A296,$K:$K)+SUMIF($A:$A,$A296,$L:$L)),0)</f>
        <v>4.8031280019835533E-16</v>
      </c>
      <c r="O296" s="30">
        <f>IFERROR((VLOOKUP($A296,HeadJournal!$A$1:$L$890,COLUMN(HeadJournal!L$1),0)*($K296+$L296)/(SUMIF($A:$A,$A296,$K:$K)+SUMIF($A:$A,$A296,$L:$L)))/VLOOKUP($A296,HeadJournal!$A$1:$L$890,COLUMN(HeadJournal!H$1),0),0)</f>
        <v>2.9018849070282351</v>
      </c>
      <c r="P296" s="30">
        <f>IFERROR(SUM(K296:O296)*VLOOKUP($A296,HeadJournal!$A$1:$L$890,COLUMN(HeadJournal!H$1),0),0)</f>
        <v>356.66944569625969</v>
      </c>
      <c r="Q296" s="29">
        <v>800</v>
      </c>
      <c r="R296" s="31">
        <v>44904</v>
      </c>
      <c r="S296" s="31" t="s">
        <v>3121</v>
      </c>
      <c r="T296" s="95" t="str">
        <f t="shared" si="24"/>
        <v>2022 12</v>
      </c>
      <c r="U296" s="32">
        <f t="shared" si="21"/>
        <v>443.33055430374031</v>
      </c>
      <c r="V296" s="22">
        <f t="shared" si="22"/>
        <v>1.2429731776948492</v>
      </c>
      <c r="X296" s="33"/>
      <c r="Y296" s="33"/>
    </row>
    <row r="297" spans="1:25" x14ac:dyDescent="0.2">
      <c r="A297" s="93" t="s">
        <v>133</v>
      </c>
      <c r="B297" s="94" t="str">
        <f>IFERROR(VLOOKUP($A297,HeadJournal!$A$1:$NTR$890,COLUMN(HeadJournal!B$1),0),"")</f>
        <v>1371469533</v>
      </c>
      <c r="C297" s="94" t="str">
        <f>IFERROR(VLOOKUP($A297,HeadJournal!$A$1:$NTR$890,COLUMN(HeadJournal!C$1),0),"")</f>
        <v>iHerb_AV CYG0792</v>
      </c>
      <c r="D297" s="125" t="str">
        <f>IFERROR(VLOOKUP($A297,HeadJournal!$A$1:$NTR$890,COLUMN(HeadJournal!D$1),0),"")</f>
        <v>Доставлен</v>
      </c>
      <c r="E297" s="95">
        <f>IFERROR(VLOOKUP($A297,HeadJournal!$A$1:$NTR$890,COLUMN(HeadJournal!G$1),0),"")</f>
        <v>44835</v>
      </c>
      <c r="F297" s="95" t="str">
        <f t="shared" si="23"/>
        <v>2022 10</v>
      </c>
      <c r="G297" s="96" t="s">
        <v>5</v>
      </c>
      <c r="H297" s="160" t="str">
        <f>RIGHT(Journal!$J297,9)</f>
        <v>SOL-01121</v>
      </c>
      <c r="I297" s="96" t="str">
        <f t="shared" si="25"/>
        <v>Solgar</v>
      </c>
      <c r="J297" s="97" t="s">
        <v>136</v>
      </c>
      <c r="K297" s="29">
        <v>11.96</v>
      </c>
      <c r="L297" s="29">
        <v>-3.11</v>
      </c>
      <c r="M297" s="30">
        <f>IFERROR(VLOOKUP($A297,HeadJournal!$A$1:$J$890,COLUMN(HeadJournal!I$1),0)*($K297+$L297)/(SUMIF($A:$A,$A297,$K:$K)+SUMIF($A:$A,$A297,$L:$L)),0)</f>
        <v>-2.1616493916178463</v>
      </c>
      <c r="N297" s="30">
        <f>IFERROR((VLOOKUP($A297,HeadJournal!$A$1:$K$890,COLUMN(HeadJournal!K$1),0)-VLOOKUP($A297,HeadJournal!$A$1:$K$890,COLUMN(HeadJournal!J$1),0))*($K297+$L297)/(SUMIF($A:$A,$A297,$K:$K)+SUMIF($A:$A,$A297,$L:$L)),0)</f>
        <v>1.4169227605851483E-15</v>
      </c>
      <c r="O297" s="30">
        <f>IFERROR((VLOOKUP($A297,HeadJournal!$A$1:$L$890,COLUMN(HeadJournal!L$1),0)*($K297+$L297)/(SUMIF($A:$A,$A297,$K:$K)+SUMIF($A:$A,$A297,$L:$L)))/VLOOKUP($A297,HeadJournal!$A$1:$L$890,COLUMN(HeadJournal!H$1),0),0)</f>
        <v>8.5605604757332951</v>
      </c>
      <c r="P297" s="30">
        <f>IFERROR(SUM(K297:O297)*VLOOKUP($A297,HeadJournal!$A$1:$L$890,COLUMN(HeadJournal!H$1),0),0)</f>
        <v>1052.1748648039661</v>
      </c>
      <c r="Q297" s="29">
        <v>1700</v>
      </c>
      <c r="R297" s="31">
        <v>44909</v>
      </c>
      <c r="S297" s="31" t="s">
        <v>3121</v>
      </c>
      <c r="T297" s="95" t="str">
        <f t="shared" si="24"/>
        <v>2022 12</v>
      </c>
      <c r="U297" s="32">
        <f t="shared" si="21"/>
        <v>647.8251351960339</v>
      </c>
      <c r="V297" s="22">
        <f t="shared" si="22"/>
        <v>0.61570101783103526</v>
      </c>
      <c r="X297" s="33"/>
      <c r="Y297" s="33"/>
    </row>
    <row r="298" spans="1:25" x14ac:dyDescent="0.2">
      <c r="A298" s="93" t="s">
        <v>133</v>
      </c>
      <c r="B298" s="94" t="str">
        <f>IFERROR(VLOOKUP($A298,HeadJournal!$A$1:$NTR$890,COLUMN(HeadJournal!B$1),0),"")</f>
        <v>1371469533</v>
      </c>
      <c r="C298" s="94" t="str">
        <f>IFERROR(VLOOKUP($A298,HeadJournal!$A$1:$NTR$890,COLUMN(HeadJournal!C$1),0),"")</f>
        <v>iHerb_AV CYG0792</v>
      </c>
      <c r="D298" s="125" t="str">
        <f>IFERROR(VLOOKUP($A298,HeadJournal!$A$1:$NTR$890,COLUMN(HeadJournal!D$1),0),"")</f>
        <v>Доставлен</v>
      </c>
      <c r="E298" s="95">
        <f>IFERROR(VLOOKUP($A298,HeadJournal!$A$1:$NTR$890,COLUMN(HeadJournal!G$1),0),"")</f>
        <v>44835</v>
      </c>
      <c r="F298" s="95" t="str">
        <f t="shared" si="23"/>
        <v>2022 10</v>
      </c>
      <c r="G298" s="96" t="s">
        <v>5</v>
      </c>
      <c r="H298" s="160" t="str">
        <f>RIGHT(Journal!$J298,9)</f>
        <v>CGN-02030</v>
      </c>
      <c r="I298" s="96" t="str">
        <f t="shared" si="25"/>
        <v>California Gold Nutrition</v>
      </c>
      <c r="J298" s="97" t="s">
        <v>137</v>
      </c>
      <c r="K298" s="29">
        <v>6</v>
      </c>
      <c r="L298" s="29">
        <v>-1.56</v>
      </c>
      <c r="M298" s="30">
        <f>IFERROR(VLOOKUP($A298,HeadJournal!$A$1:$J$890,COLUMN(HeadJournal!I$1),0)*($K298+$L298)/(SUMIF($A:$A,$A298,$K:$K)+SUMIF($A:$A,$A298,$L:$L)),0)</f>
        <v>-1.0844885083370888</v>
      </c>
      <c r="N298" s="30">
        <f>IFERROR((VLOOKUP($A298,HeadJournal!$A$1:$K$890,COLUMN(HeadJournal!K$1),0)-VLOOKUP($A298,HeadJournal!$A$1:$K$890,COLUMN(HeadJournal!J$1),0))*($K298+$L298)/(SUMIF($A:$A,$A298,$K:$K)+SUMIF($A:$A,$A298,$L:$L)),0)</f>
        <v>7.1086294429356573E-16</v>
      </c>
      <c r="O298" s="30">
        <f>IFERROR((VLOOKUP($A298,HeadJournal!$A$1:$L$890,COLUMN(HeadJournal!L$1),0)*($K298+$L298)/(SUMIF($A:$A,$A298,$K:$K)+SUMIF($A:$A,$A298,$L:$L)))/VLOOKUP($A298,HeadJournal!$A$1:$L$890,COLUMN(HeadJournal!H$1),0),0)</f>
        <v>4.2947896624017874</v>
      </c>
      <c r="P298" s="30">
        <f>IFERROR(SUM(K298:O298)*VLOOKUP($A298,HeadJournal!$A$1:$L$890,COLUMN(HeadJournal!H$1),0),0)</f>
        <v>527.87077963046431</v>
      </c>
      <c r="Q298" s="29">
        <v>900</v>
      </c>
      <c r="R298" s="31">
        <v>44914</v>
      </c>
      <c r="S298" s="31" t="s">
        <v>3121</v>
      </c>
      <c r="T298" s="95" t="str">
        <f t="shared" si="24"/>
        <v>2022 12</v>
      </c>
      <c r="U298" s="32">
        <f t="shared" si="21"/>
        <v>372.12922036953569</v>
      </c>
      <c r="V298" s="22">
        <f t="shared" si="22"/>
        <v>0.70496271953155765</v>
      </c>
      <c r="X298" s="33"/>
      <c r="Y298" s="33"/>
    </row>
    <row r="299" spans="1:25" x14ac:dyDescent="0.2">
      <c r="A299" s="93" t="s">
        <v>138</v>
      </c>
      <c r="B299" s="94" t="str">
        <f>IFERROR(VLOOKUP($A299,HeadJournal!$A$1:$NTR$890,COLUMN(HeadJournal!B$1),0),"")</f>
        <v>514944272-0</v>
      </c>
      <c r="C299" s="94" t="str">
        <f>IFERROR(VLOOKUP($A299,HeadJournal!$A$1:$NTR$890,COLUMN(HeadJournal!C$1),0),"")</f>
        <v>iHerb_AV CYG0792</v>
      </c>
      <c r="D299" s="125" t="str">
        <f>IFERROR(VLOOKUP($A299,HeadJournal!$A$1:$NTR$890,COLUMN(HeadJournal!D$1),0),"")</f>
        <v>Доставлен</v>
      </c>
      <c r="E299" s="95">
        <f>IFERROR(VLOOKUP($A299,HeadJournal!$A$1:$NTR$890,COLUMN(HeadJournal!G$1),0),"")</f>
        <v>44871</v>
      </c>
      <c r="F299" s="95" t="str">
        <f t="shared" si="23"/>
        <v>2022 11</v>
      </c>
      <c r="G299" s="96" t="s">
        <v>5</v>
      </c>
      <c r="H299" s="160" t="str">
        <f>RIGHT(Journal!$J299,9)</f>
        <v>DRB-00277</v>
      </c>
      <c r="I299" s="96" t="str">
        <f t="shared" si="25"/>
        <v>Doctor's Best</v>
      </c>
      <c r="J299" s="97" t="s">
        <v>139</v>
      </c>
      <c r="K299" s="29">
        <v>21.22</v>
      </c>
      <c r="L299" s="29">
        <v>-5.3049999999999997</v>
      </c>
      <c r="M299" s="30">
        <f>IFERROR(VLOOKUP($A299,HeadJournal!$A$1:$J$890,COLUMN(HeadJournal!I$1),0)*($K299+$L299)/(SUMIF($A:$A,$A299,$K:$K)+SUMIF($A:$A,$A299,$L:$L)),0)</f>
        <v>-2.237810619655864</v>
      </c>
      <c r="N299" s="30">
        <f>IFERROR((VLOOKUP($A299,HeadJournal!$A$1:$K$890,COLUMN(HeadJournal!K$1),0)-VLOOKUP($A299,HeadJournal!$A$1:$K$890,COLUMN(HeadJournal!J$1),0))*($K299+$L299)/(SUMIF($A:$A,$A299,$K:$K)+SUMIF($A:$A,$A299,$L:$L)),0)</f>
        <v>-2.3874775973022258E-15</v>
      </c>
      <c r="O299" s="30">
        <f>IFERROR((VLOOKUP($A299,HeadJournal!$A$1:$L$890,COLUMN(HeadJournal!L$1),0)*($K299+$L299)/(SUMIF($A:$A,$A299,$K:$K)+SUMIF($A:$A,$A299,$L:$L)))/VLOOKUP($A299,HeadJournal!$A$1:$L$890,COLUMN(HeadJournal!H$1),0),0)</f>
        <v>6.8034721565639629</v>
      </c>
      <c r="P299" s="30">
        <f>IFERROR(SUM(K299:O299)*VLOOKUP($A299,HeadJournal!$A$1:$L$890,COLUMN(HeadJournal!H$1),0),0)</f>
        <v>1413.1656460466586</v>
      </c>
      <c r="Q299" s="29">
        <v>2600</v>
      </c>
      <c r="R299" s="31">
        <v>44954</v>
      </c>
      <c r="S299" s="31" t="s">
        <v>3121</v>
      </c>
      <c r="T299" s="95" t="str">
        <f t="shared" si="24"/>
        <v>2023 01</v>
      </c>
      <c r="U299" s="32">
        <f t="shared" si="21"/>
        <v>1186.8343539533414</v>
      </c>
      <c r="V299" s="22">
        <f t="shared" si="22"/>
        <v>0.83984093250038971</v>
      </c>
      <c r="X299" s="33"/>
      <c r="Y299" s="33"/>
    </row>
    <row r="300" spans="1:25" x14ac:dyDescent="0.2">
      <c r="A300" s="93" t="s">
        <v>138</v>
      </c>
      <c r="B300" s="94" t="str">
        <f>IFERROR(VLOOKUP($A300,HeadJournal!$A$1:$NTR$890,COLUMN(HeadJournal!B$1),0),"")</f>
        <v>514944272-0</v>
      </c>
      <c r="C300" s="94" t="str">
        <f>IFERROR(VLOOKUP($A300,HeadJournal!$A$1:$NTR$890,COLUMN(HeadJournal!C$1),0),"")</f>
        <v>iHerb_AV CYG0792</v>
      </c>
      <c r="D300" s="125" t="str">
        <f>IFERROR(VLOOKUP($A300,HeadJournal!$A$1:$NTR$890,COLUMN(HeadJournal!D$1),0),"")</f>
        <v>Доставлен</v>
      </c>
      <c r="E300" s="95">
        <f>IFERROR(VLOOKUP($A300,HeadJournal!$A$1:$NTR$890,COLUMN(HeadJournal!G$1),0),"")</f>
        <v>44871</v>
      </c>
      <c r="F300" s="95" t="str">
        <f t="shared" si="23"/>
        <v>2022 11</v>
      </c>
      <c r="G300" s="96" t="s">
        <v>5</v>
      </c>
      <c r="H300" s="160" t="str">
        <f>RIGHT(Journal!$J300,9)</f>
        <v>DRB-00277</v>
      </c>
      <c r="I300" s="96" t="str">
        <f t="shared" si="25"/>
        <v>Doctor's Best</v>
      </c>
      <c r="J300" s="97" t="s">
        <v>139</v>
      </c>
      <c r="K300" s="29">
        <v>21.22</v>
      </c>
      <c r="L300" s="29">
        <v>-5.3049999999999997</v>
      </c>
      <c r="M300" s="30">
        <f>IFERROR(VLOOKUP($A300,HeadJournal!$A$1:$J$890,COLUMN(HeadJournal!I$1),0)*($K300+$L300)/(SUMIF($A:$A,$A300,$K:$K)+SUMIF($A:$A,$A300,$L:$L)),0)</f>
        <v>-2.237810619655864</v>
      </c>
      <c r="N300" s="30">
        <f>IFERROR((VLOOKUP($A300,HeadJournal!$A$1:$K$890,COLUMN(HeadJournal!K$1),0)-VLOOKUP($A300,HeadJournal!$A$1:$K$890,COLUMN(HeadJournal!J$1),0))*($K300+$L300)/(SUMIF($A:$A,$A300,$K:$K)+SUMIF($A:$A,$A300,$L:$L)),0)</f>
        <v>-2.3874775973022258E-15</v>
      </c>
      <c r="O300" s="30">
        <f>IFERROR((VLOOKUP($A300,HeadJournal!$A$1:$L$890,COLUMN(HeadJournal!L$1),0)*($K300+$L300)/(SUMIF($A:$A,$A300,$K:$K)+SUMIF($A:$A,$A300,$L:$L)))/VLOOKUP($A300,HeadJournal!$A$1:$L$890,COLUMN(HeadJournal!H$1),0),0)</f>
        <v>6.8034721565639629</v>
      </c>
      <c r="P300" s="30">
        <f>IFERROR(SUM(K300:O300)*VLOOKUP($A300,HeadJournal!$A$1:$L$890,COLUMN(HeadJournal!H$1),0),0)</f>
        <v>1413.1656460466586</v>
      </c>
      <c r="Q300" s="29">
        <v>2600</v>
      </c>
      <c r="R300" s="31">
        <v>44954</v>
      </c>
      <c r="S300" s="31" t="s">
        <v>3121</v>
      </c>
      <c r="T300" s="95" t="str">
        <f t="shared" si="24"/>
        <v>2023 01</v>
      </c>
      <c r="U300" s="32">
        <f t="shared" si="21"/>
        <v>1186.8343539533414</v>
      </c>
      <c r="V300" s="22">
        <f t="shared" si="22"/>
        <v>0.83984093250038971</v>
      </c>
      <c r="X300" s="33"/>
      <c r="Y300" s="33"/>
    </row>
    <row r="301" spans="1:25" x14ac:dyDescent="0.2">
      <c r="A301" s="93" t="s">
        <v>138</v>
      </c>
      <c r="B301" s="94" t="str">
        <f>IFERROR(VLOOKUP($A301,HeadJournal!$A$1:$NTR$890,COLUMN(HeadJournal!B$1),0),"")</f>
        <v>514944272-0</v>
      </c>
      <c r="C301" s="94" t="str">
        <f>IFERROR(VLOOKUP($A301,HeadJournal!$A$1:$NTR$890,COLUMN(HeadJournal!C$1),0),"")</f>
        <v>iHerb_AV CYG0792</v>
      </c>
      <c r="D301" s="125" t="str">
        <f>IFERROR(VLOOKUP($A301,HeadJournal!$A$1:$NTR$890,COLUMN(HeadJournal!D$1),0),"")</f>
        <v>Доставлен</v>
      </c>
      <c r="E301" s="95">
        <f>IFERROR(VLOOKUP($A301,HeadJournal!$A$1:$NTR$890,COLUMN(HeadJournal!G$1),0),"")</f>
        <v>44871</v>
      </c>
      <c r="F301" s="95" t="str">
        <f t="shared" si="23"/>
        <v>2022 11</v>
      </c>
      <c r="G301" s="96" t="s">
        <v>5</v>
      </c>
      <c r="H301" s="160" t="str">
        <f>RIGHT(Journal!$J301,9)</f>
        <v>CGN-01819</v>
      </c>
      <c r="I301" s="96" t="str">
        <f t="shared" si="25"/>
        <v>California Gold Nutrition</v>
      </c>
      <c r="J301" s="97" t="s">
        <v>140</v>
      </c>
      <c r="K301" s="29">
        <v>14</v>
      </c>
      <c r="L301" s="29">
        <v>-7</v>
      </c>
      <c r="M301" s="30">
        <f>IFERROR(VLOOKUP($A301,HeadJournal!$A$1:$J$890,COLUMN(HeadJournal!I$1),0)*($K301+$L301)/(SUMIF($A:$A,$A301,$K:$K)+SUMIF($A:$A,$A301,$L:$L)),0)</f>
        <v>-0.98427108624511772</v>
      </c>
      <c r="N301" s="30">
        <f>IFERROR((VLOOKUP($A301,HeadJournal!$A$1:$K$890,COLUMN(HeadJournal!K$1),0)-VLOOKUP($A301,HeadJournal!$A$1:$K$890,COLUMN(HeadJournal!J$1),0))*($K301+$L301)/(SUMIF($A:$A,$A301,$K:$K)+SUMIF($A:$A,$A301,$L:$L)),0)</f>
        <v>-1.050100105630888E-15</v>
      </c>
      <c r="O301" s="30">
        <f>IFERROR((VLOOKUP($A301,HeadJournal!$A$1:$L$890,COLUMN(HeadJournal!L$1),0)*($K301+$L301)/(SUMIF($A:$A,$A301,$K:$K)+SUMIF($A:$A,$A301,$L:$L)))/VLOOKUP($A301,HeadJournal!$A$1:$L$890,COLUMN(HeadJournal!H$1),0),0)</f>
        <v>2.9924162799841496</v>
      </c>
      <c r="P301" s="30">
        <f>IFERROR(SUM(K301:O301)*VLOOKUP($A301,HeadJournal!$A$1:$L$890,COLUMN(HeadJournal!H$1),0),0)</f>
        <v>621.56201836799312</v>
      </c>
      <c r="Q301" s="29">
        <v>2000</v>
      </c>
      <c r="R301" s="31">
        <v>45071</v>
      </c>
      <c r="S301" s="31" t="s">
        <v>3121</v>
      </c>
      <c r="T301" s="95" t="str">
        <f t="shared" si="24"/>
        <v>2023 05</v>
      </c>
      <c r="U301" s="32">
        <f t="shared" si="21"/>
        <v>1378.437981632007</v>
      </c>
      <c r="V301" s="22">
        <f t="shared" si="22"/>
        <v>2.2176998286531542</v>
      </c>
      <c r="X301" s="33"/>
      <c r="Y301" s="33"/>
    </row>
    <row r="302" spans="1:25" x14ac:dyDescent="0.2">
      <c r="A302" s="93" t="s">
        <v>138</v>
      </c>
      <c r="B302" s="94" t="str">
        <f>IFERROR(VLOOKUP($A302,HeadJournal!$A$1:$NTR$890,COLUMN(HeadJournal!B$1),0),"")</f>
        <v>514944272-0</v>
      </c>
      <c r="C302" s="94" t="str">
        <f>IFERROR(VLOOKUP($A302,HeadJournal!$A$1:$NTR$890,COLUMN(HeadJournal!C$1),0),"")</f>
        <v>iHerb_AV CYG0792</v>
      </c>
      <c r="D302" s="125" t="str">
        <f>IFERROR(VLOOKUP($A302,HeadJournal!$A$1:$NTR$890,COLUMN(HeadJournal!D$1),0),"")</f>
        <v>Доставлен</v>
      </c>
      <c r="E302" s="95">
        <f>IFERROR(VLOOKUP($A302,HeadJournal!$A$1:$NTR$890,COLUMN(HeadJournal!G$1),0),"")</f>
        <v>44871</v>
      </c>
      <c r="F302" s="95" t="str">
        <f t="shared" si="23"/>
        <v>2022 11</v>
      </c>
      <c r="G302" s="96" t="s">
        <v>5</v>
      </c>
      <c r="H302" s="160" t="str">
        <f>RIGHT(Journal!$J302,9)</f>
        <v>NOW-01272</v>
      </c>
      <c r="I302" s="96" t="str">
        <f t="shared" si="25"/>
        <v>NOW Foods</v>
      </c>
      <c r="J302" s="97" t="s">
        <v>141</v>
      </c>
      <c r="K302" s="29">
        <v>16.829999999999998</v>
      </c>
      <c r="L302" s="29">
        <v>-4.21</v>
      </c>
      <c r="M302" s="30">
        <f>IFERROR(VLOOKUP($A302,HeadJournal!$A$1:$J$890,COLUMN(HeadJournal!I$1),0)*($K302+$L302)/(SUMIF($A:$A,$A302,$K:$K)+SUMIF($A:$A,$A302,$L:$L)),0)</f>
        <v>-1.774500158344769</v>
      </c>
      <c r="N302" s="30">
        <f>IFERROR((VLOOKUP($A302,HeadJournal!$A$1:$K$890,COLUMN(HeadJournal!K$1),0)-VLOOKUP($A302,HeadJournal!$A$1:$K$890,COLUMN(HeadJournal!J$1),0))*($K302+$L302)/(SUMIF($A:$A,$A302,$K:$K)+SUMIF($A:$A,$A302,$L:$L)),0)</f>
        <v>-1.8931804761516865E-15</v>
      </c>
      <c r="O302" s="30">
        <f>IFERROR((VLOOKUP($A302,HeadJournal!$A$1:$L$890,COLUMN(HeadJournal!L$1),0)*($K302+$L302)/(SUMIF($A:$A,$A302,$K:$K)+SUMIF($A:$A,$A302,$L:$L)))/VLOOKUP($A302,HeadJournal!$A$1:$L$890,COLUMN(HeadJournal!H$1),0),0)</f>
        <v>5.3948990647714226</v>
      </c>
      <c r="P302" s="30">
        <f>IFERROR(SUM(K302:O302)*VLOOKUP($A302,HeadJournal!$A$1:$L$890,COLUMN(HeadJournal!H$1),0),0)</f>
        <v>1120.5875245434388</v>
      </c>
      <c r="Q302" s="29">
        <v>2700</v>
      </c>
      <c r="R302" s="31">
        <v>44973</v>
      </c>
      <c r="S302" s="31" t="s">
        <v>3121</v>
      </c>
      <c r="T302" s="95" t="str">
        <f t="shared" si="24"/>
        <v>2023 02</v>
      </c>
      <c r="U302" s="32">
        <f t="shared" si="21"/>
        <v>1579.4124754565612</v>
      </c>
      <c r="V302" s="22">
        <f t="shared" si="22"/>
        <v>1.4094503471293431</v>
      </c>
      <c r="X302" s="33"/>
      <c r="Y302" s="33"/>
    </row>
    <row r="303" spans="1:25" x14ac:dyDescent="0.2">
      <c r="A303" s="93" t="s">
        <v>138</v>
      </c>
      <c r="B303" s="94" t="str">
        <f>IFERROR(VLOOKUP($A303,HeadJournal!$A$1:$NTR$890,COLUMN(HeadJournal!B$1),0),"")</f>
        <v>514944272-0</v>
      </c>
      <c r="C303" s="94" t="str">
        <f>IFERROR(VLOOKUP($A303,HeadJournal!$A$1:$NTR$890,COLUMN(HeadJournal!C$1),0),"")</f>
        <v>iHerb_AV CYG0792</v>
      </c>
      <c r="D303" s="125" t="str">
        <f>IFERROR(VLOOKUP($A303,HeadJournal!$A$1:$NTR$890,COLUMN(HeadJournal!D$1),0),"")</f>
        <v>Доставлен</v>
      </c>
      <c r="E303" s="95">
        <f>IFERROR(VLOOKUP($A303,HeadJournal!$A$1:$NTR$890,COLUMN(HeadJournal!G$1),0),"")</f>
        <v>44871</v>
      </c>
      <c r="F303" s="95" t="str">
        <f t="shared" si="23"/>
        <v>2022 11</v>
      </c>
      <c r="G303" s="96" t="s">
        <v>5</v>
      </c>
      <c r="H303" s="160" t="str">
        <f>RIGHT(Journal!$J303,9)</f>
        <v>CEN-28026</v>
      </c>
      <c r="I303" s="96" t="str">
        <f t="shared" si="25"/>
        <v>21st Century</v>
      </c>
      <c r="J303" s="97" t="s">
        <v>32</v>
      </c>
      <c r="K303" s="29">
        <v>2.04</v>
      </c>
      <c r="L303" s="29">
        <v>-0.51</v>
      </c>
      <c r="M303" s="30">
        <f>IFERROR(VLOOKUP($A303,HeadJournal!$A$1:$J$890,COLUMN(HeadJournal!I$1),0)*($K303+$L303)/(SUMIF($A:$A,$A303,$K:$K)+SUMIF($A:$A,$A303,$L:$L)),0)</f>
        <v>-0.21513353742214714</v>
      </c>
      <c r="N303" s="30">
        <f>IFERROR((VLOOKUP($A303,HeadJournal!$A$1:$K$890,COLUMN(HeadJournal!K$1),0)-VLOOKUP($A303,HeadJournal!$A$1:$K$890,COLUMN(HeadJournal!J$1),0))*($K303+$L303)/(SUMIF($A:$A,$A303,$K:$K)+SUMIF($A:$A,$A303,$L:$L)),0)</f>
        <v>-2.2952188023075122E-16</v>
      </c>
      <c r="O303" s="30">
        <f>IFERROR((VLOOKUP($A303,HeadJournal!$A$1:$L$890,COLUMN(HeadJournal!L$1),0)*($K303+$L303)/(SUMIF($A:$A,$A303,$K:$K)+SUMIF($A:$A,$A303,$L:$L)))/VLOOKUP($A303,HeadJournal!$A$1:$L$890,COLUMN(HeadJournal!H$1),0),0)</f>
        <v>0.65405670119653558</v>
      </c>
      <c r="P303" s="30">
        <f>IFERROR(SUM(K303:O303)*VLOOKUP($A303,HeadJournal!$A$1:$L$890,COLUMN(HeadJournal!H$1),0),0)</f>
        <v>135.85569830043278</v>
      </c>
      <c r="Q303" s="29">
        <v>700</v>
      </c>
      <c r="R303" s="31">
        <v>44974</v>
      </c>
      <c r="S303" s="31" t="s">
        <v>3121</v>
      </c>
      <c r="T303" s="95" t="str">
        <f t="shared" si="24"/>
        <v>2023 02</v>
      </c>
      <c r="U303" s="32">
        <f t="shared" si="21"/>
        <v>564.14430169956722</v>
      </c>
      <c r="V303" s="22">
        <f t="shared" si="22"/>
        <v>4.1525258694119138</v>
      </c>
      <c r="X303" s="33"/>
      <c r="Y303" s="33"/>
    </row>
    <row r="304" spans="1:25" x14ac:dyDescent="0.2">
      <c r="A304" s="93" t="s">
        <v>138</v>
      </c>
      <c r="B304" s="94" t="str">
        <f>IFERROR(VLOOKUP($A304,HeadJournal!$A$1:$NTR$890,COLUMN(HeadJournal!B$1),0),"")</f>
        <v>514944272-0</v>
      </c>
      <c r="C304" s="94" t="str">
        <f>IFERROR(VLOOKUP($A304,HeadJournal!$A$1:$NTR$890,COLUMN(HeadJournal!C$1),0),"")</f>
        <v>iHerb_AV CYG0792</v>
      </c>
      <c r="D304" s="125" t="str">
        <f>IFERROR(VLOOKUP($A304,HeadJournal!$A$1:$NTR$890,COLUMN(HeadJournal!D$1),0),"")</f>
        <v>Доставлен</v>
      </c>
      <c r="E304" s="95">
        <f>IFERROR(VLOOKUP($A304,HeadJournal!$A$1:$NTR$890,COLUMN(HeadJournal!G$1),0),"")</f>
        <v>44871</v>
      </c>
      <c r="F304" s="95" t="str">
        <f t="shared" si="23"/>
        <v>2022 11</v>
      </c>
      <c r="G304" s="96" t="s">
        <v>5</v>
      </c>
      <c r="H304" s="160" t="str">
        <f>RIGHT(Journal!$J304,9)</f>
        <v>MAV-12845</v>
      </c>
      <c r="I304" s="96" t="str">
        <f t="shared" si="25"/>
        <v>Mason Natural</v>
      </c>
      <c r="J304" s="97" t="s">
        <v>142</v>
      </c>
      <c r="K304" s="29">
        <v>7.75</v>
      </c>
      <c r="L304" s="29">
        <v>-0.78</v>
      </c>
      <c r="M304" s="30">
        <f>IFERROR(VLOOKUP($A304,HeadJournal!$A$1:$J$890,COLUMN(HeadJournal!I$1),0)*($K304+$L304)/(SUMIF($A:$A,$A304,$K:$K)+SUMIF($A:$A,$A304,$L:$L)),0)</f>
        <v>-0.98005278158978149</v>
      </c>
      <c r="N304" s="30">
        <f>IFERROR((VLOOKUP($A304,HeadJournal!$A$1:$K$890,COLUMN(HeadJournal!K$1),0)-VLOOKUP($A304,HeadJournal!$A$1:$K$890,COLUMN(HeadJournal!J$1),0))*($K304+$L304)/(SUMIF($A:$A,$A304,$K:$K)+SUMIF($A:$A,$A304,$L:$L)),0)</f>
        <v>-1.0455996766067556E-15</v>
      </c>
      <c r="O304" s="30">
        <f>IFERROR((VLOOKUP($A304,HeadJournal!$A$1:$L$890,COLUMN(HeadJournal!L$1),0)*($K304+$L304)/(SUMIF($A:$A,$A304,$K:$K)+SUMIF($A:$A,$A304,$L:$L)))/VLOOKUP($A304,HeadJournal!$A$1:$L$890,COLUMN(HeadJournal!H$1),0),0)</f>
        <v>2.9795916387842176</v>
      </c>
      <c r="P304" s="30">
        <f>IFERROR(SUM(K304:O304)*VLOOKUP($A304,HeadJournal!$A$1:$L$890,COLUMN(HeadJournal!H$1),0),0)</f>
        <v>618.89818114641616</v>
      </c>
      <c r="Q304" s="29"/>
      <c r="R304" s="31"/>
      <c r="S304" s="31"/>
      <c r="T304" s="95" t="str">
        <f t="shared" si="24"/>
        <v/>
      </c>
      <c r="U304" s="32">
        <f t="shared" si="21"/>
        <v>-618.89818114641616</v>
      </c>
      <c r="V304" s="22" t="str">
        <f t="shared" si="22"/>
        <v/>
      </c>
      <c r="X304" s="33"/>
      <c r="Y304" s="33"/>
    </row>
    <row r="305" spans="1:25" x14ac:dyDescent="0.2">
      <c r="A305" s="93" t="s">
        <v>138</v>
      </c>
      <c r="B305" s="94" t="str">
        <f>IFERROR(VLOOKUP($A305,HeadJournal!$A$1:$NTR$890,COLUMN(HeadJournal!B$1),0),"")</f>
        <v>514944272-0</v>
      </c>
      <c r="C305" s="94" t="str">
        <f>IFERROR(VLOOKUP($A305,HeadJournal!$A$1:$NTR$890,COLUMN(HeadJournal!C$1),0),"")</f>
        <v>iHerb_AV CYG0792</v>
      </c>
      <c r="D305" s="125" t="str">
        <f>IFERROR(VLOOKUP($A305,HeadJournal!$A$1:$NTR$890,COLUMN(HeadJournal!D$1),0),"")</f>
        <v>Доставлен</v>
      </c>
      <c r="E305" s="95">
        <f>IFERROR(VLOOKUP($A305,HeadJournal!$A$1:$NTR$890,COLUMN(HeadJournal!G$1),0),"")</f>
        <v>44871</v>
      </c>
      <c r="F305" s="95" t="str">
        <f t="shared" si="23"/>
        <v>2022 11</v>
      </c>
      <c r="G305" s="96" t="s">
        <v>5</v>
      </c>
      <c r="H305" s="161" t="s">
        <v>3909</v>
      </c>
      <c r="I305" s="97" t="s">
        <v>2036</v>
      </c>
      <c r="J305" s="97" t="s">
        <v>3910</v>
      </c>
      <c r="K305" s="29">
        <v>26.45</v>
      </c>
      <c r="L305" s="29"/>
      <c r="M305" s="30">
        <f>IFERROR(VLOOKUP($A305,HeadJournal!$A$1:$J$890,COLUMN(HeadJournal!I$1),0)*($K305+$L305)/(SUMIF($A:$A,$A305,$K:$K)+SUMIF($A:$A,$A305,$L:$L)),0)</f>
        <v>-3.7191386044547663</v>
      </c>
      <c r="N305" s="30">
        <f>IFERROR((VLOOKUP($A305,HeadJournal!$A$1:$K$890,COLUMN(HeadJournal!K$1),0)-VLOOKUP($A305,HeadJournal!$A$1:$K$890,COLUMN(HeadJournal!J$1),0))*($K305+$L305)/(SUMIF($A:$A,$A305,$K:$K)+SUMIF($A:$A,$A305,$L:$L)),0)</f>
        <v>-3.9678782562767126E-15</v>
      </c>
      <c r="O305" s="30">
        <f>IFERROR((VLOOKUP($A305,HeadJournal!$A$1:$L$890,COLUMN(HeadJournal!L$1),0)*($K305+$L305)/(SUMIF($A:$A,$A305,$K:$K)+SUMIF($A:$A,$A305,$L:$L)))/VLOOKUP($A305,HeadJournal!$A$1:$L$890,COLUMN(HeadJournal!H$1),0),0)</f>
        <v>11.307058657940107</v>
      </c>
      <c r="P305" s="30">
        <f>IFERROR(SUM(K305:O305)*VLOOKUP($A305,HeadJournal!$A$1:$L$890,COLUMN(HeadJournal!H$1),0),0)</f>
        <v>2348.6164836904882</v>
      </c>
      <c r="Q305" s="29">
        <v>2500</v>
      </c>
      <c r="R305" s="31">
        <v>44956</v>
      </c>
      <c r="S305" s="31" t="s">
        <v>3121</v>
      </c>
      <c r="T305" s="95" t="str">
        <f t="shared" si="24"/>
        <v>2023 01</v>
      </c>
      <c r="U305" s="32">
        <f t="shared" si="21"/>
        <v>151.38351630951183</v>
      </c>
      <c r="V305" s="22">
        <f t="shared" si="22"/>
        <v>6.4456465055391252E-2</v>
      </c>
      <c r="X305" s="33"/>
      <c r="Y305" s="33"/>
    </row>
    <row r="306" spans="1:25" x14ac:dyDescent="0.2">
      <c r="A306" s="93" t="s">
        <v>138</v>
      </c>
      <c r="B306" s="94" t="str">
        <f>IFERROR(VLOOKUP($A306,HeadJournal!$A$1:$NTR$890,COLUMN(HeadJournal!B$1),0),"")</f>
        <v>514944272-0</v>
      </c>
      <c r="C306" s="94" t="str">
        <f>IFERROR(VLOOKUP($A306,HeadJournal!$A$1:$NTR$890,COLUMN(HeadJournal!C$1),0),"")</f>
        <v>iHerb_AV CYG0792</v>
      </c>
      <c r="D306" s="125" t="str">
        <f>IFERROR(VLOOKUP($A306,HeadJournal!$A$1:$NTR$890,COLUMN(HeadJournal!D$1),0),"")</f>
        <v>Доставлен</v>
      </c>
      <c r="E306" s="95">
        <f>IFERROR(VLOOKUP($A306,HeadJournal!$A$1:$NTR$890,COLUMN(HeadJournal!G$1),0),"")</f>
        <v>44871</v>
      </c>
      <c r="F306" s="95" t="str">
        <f t="shared" si="23"/>
        <v>2022 11</v>
      </c>
      <c r="G306" s="96" t="s">
        <v>5</v>
      </c>
      <c r="H306" s="160" t="str">
        <f>RIGHT(Journal!$J306,9)</f>
        <v>CEN-27305</v>
      </c>
      <c r="I306" s="96" t="str">
        <f t="shared" si="25"/>
        <v>21st Century</v>
      </c>
      <c r="J306" s="97" t="s">
        <v>99</v>
      </c>
      <c r="K306" s="29">
        <v>6.31</v>
      </c>
      <c r="L306" s="29">
        <v>-1.58</v>
      </c>
      <c r="M306" s="30">
        <f>IFERROR(VLOOKUP($A306,HeadJournal!$A$1:$J$890,COLUMN(HeadJournal!I$1),0)*($K306+$L306)/(SUMIF($A:$A,$A306,$K:$K)+SUMIF($A:$A,$A306,$L:$L)),0)</f>
        <v>-0.66508603399134381</v>
      </c>
      <c r="N306" s="30">
        <f>IFERROR((VLOOKUP($A306,HeadJournal!$A$1:$K$890,COLUMN(HeadJournal!K$1),0)-VLOOKUP($A306,HeadJournal!$A$1:$K$890,COLUMN(HeadJournal!J$1),0))*($K306+$L306)/(SUMIF($A:$A,$A306,$K:$K)+SUMIF($A:$A,$A306,$L:$L)),0)</f>
        <v>-7.0956764280487141E-16</v>
      </c>
      <c r="O306" s="30">
        <f>IFERROR((VLOOKUP($A306,HeadJournal!$A$1:$L$890,COLUMN(HeadJournal!L$1),0)*($K306+$L306)/(SUMIF($A:$A,$A306,$K:$K)+SUMIF($A:$A,$A306,$L:$L)))/VLOOKUP($A306,HeadJournal!$A$1:$L$890,COLUMN(HeadJournal!H$1),0),0)</f>
        <v>2.0220184291892895</v>
      </c>
      <c r="P306" s="30">
        <f>IFERROR(SUM(K306:O306)*VLOOKUP($A306,HeadJournal!$A$1:$L$890,COLUMN(HeadJournal!H$1),0),0)</f>
        <v>419.9983352686582</v>
      </c>
      <c r="Q306" s="29">
        <v>1700</v>
      </c>
      <c r="R306" s="31">
        <v>44992</v>
      </c>
      <c r="S306" s="31" t="s">
        <v>3121</v>
      </c>
      <c r="T306" s="95" t="str">
        <f t="shared" si="24"/>
        <v>2023 03</v>
      </c>
      <c r="U306" s="32">
        <f t="shared" si="21"/>
        <v>1280.0016647313419</v>
      </c>
      <c r="V306" s="22">
        <f t="shared" si="22"/>
        <v>3.0476350910118959</v>
      </c>
      <c r="X306" s="33"/>
      <c r="Y306" s="33"/>
    </row>
    <row r="307" spans="1:25" x14ac:dyDescent="0.2">
      <c r="A307" s="93" t="s">
        <v>138</v>
      </c>
      <c r="B307" s="94" t="str">
        <f>IFERROR(VLOOKUP($A307,HeadJournal!$A$1:$NTR$890,COLUMN(HeadJournal!B$1),0),"")</f>
        <v>514944272-0</v>
      </c>
      <c r="C307" s="94" t="str">
        <f>IFERROR(VLOOKUP($A307,HeadJournal!$A$1:$NTR$890,COLUMN(HeadJournal!C$1),0),"")</f>
        <v>iHerb_AV CYG0792</v>
      </c>
      <c r="D307" s="125" t="str">
        <f>IFERROR(VLOOKUP($A307,HeadJournal!$A$1:$NTR$890,COLUMN(HeadJournal!D$1),0),"")</f>
        <v>Доставлен</v>
      </c>
      <c r="E307" s="95">
        <f>IFERROR(VLOOKUP($A307,HeadJournal!$A$1:$NTR$890,COLUMN(HeadJournal!G$1),0),"")</f>
        <v>44871</v>
      </c>
      <c r="F307" s="95" t="str">
        <f t="shared" si="23"/>
        <v>2022 11</v>
      </c>
      <c r="G307" s="96" t="s">
        <v>5</v>
      </c>
      <c r="H307" s="160" t="str">
        <f>RIGHT(Journal!$J307,9)</f>
        <v>CGN-01842</v>
      </c>
      <c r="I307" s="96" t="str">
        <f t="shared" si="25"/>
        <v>California Gold Nutrition</v>
      </c>
      <c r="J307" s="97" t="s">
        <v>143</v>
      </c>
      <c r="K307" s="29">
        <v>6</v>
      </c>
      <c r="L307" s="29">
        <v>-2.4</v>
      </c>
      <c r="M307" s="30">
        <f>IFERROR(VLOOKUP($A307,HeadJournal!$A$1:$J$890,COLUMN(HeadJournal!I$1),0)*($K307+$L307)/(SUMIF($A:$A,$A307,$K:$K)+SUMIF($A:$A,$A307,$L:$L)),0)</f>
        <v>-0.50619655864034629</v>
      </c>
      <c r="N307" s="30">
        <f>IFERROR((VLOOKUP($A307,HeadJournal!$A$1:$K$890,COLUMN(HeadJournal!K$1),0)-VLOOKUP($A307,HeadJournal!$A$1:$K$890,COLUMN(HeadJournal!J$1),0))*($K307+$L307)/(SUMIF($A:$A,$A307,$K:$K)+SUMIF($A:$A,$A307,$L:$L)),0)</f>
        <v>-5.4005148289588531E-16</v>
      </c>
      <c r="O307" s="30">
        <f>IFERROR((VLOOKUP($A307,HeadJournal!$A$1:$L$890,COLUMN(HeadJournal!L$1),0)*($K307+$L307)/(SUMIF($A:$A,$A307,$K:$K)+SUMIF($A:$A,$A307,$L:$L)))/VLOOKUP($A307,HeadJournal!$A$1:$L$890,COLUMN(HeadJournal!H$1),0),0)</f>
        <v>1.5389569439918485</v>
      </c>
      <c r="P307" s="30">
        <f>IFERROR(SUM(K307:O307)*VLOOKUP($A307,HeadJournal!$A$1:$L$890,COLUMN(HeadJournal!H$1),0),0)</f>
        <v>319.66046658925364</v>
      </c>
      <c r="Q307" s="29">
        <v>1200</v>
      </c>
      <c r="R307" s="31">
        <v>45251</v>
      </c>
      <c r="S307" s="31" t="s">
        <v>3121</v>
      </c>
      <c r="T307" s="95" t="str">
        <f t="shared" si="24"/>
        <v>2023 11</v>
      </c>
      <c r="U307" s="32">
        <f t="shared" si="21"/>
        <v>880.3395334107463</v>
      </c>
      <c r="V307" s="22">
        <f t="shared" si="22"/>
        <v>2.7539831334286791</v>
      </c>
      <c r="X307" s="33"/>
      <c r="Y307" s="33"/>
    </row>
    <row r="308" spans="1:25" x14ac:dyDescent="0.2">
      <c r="A308" s="93" t="s">
        <v>144</v>
      </c>
      <c r="B308" s="94" t="str">
        <f>IFERROR(VLOOKUP($A308,HeadJournal!$A$1:$NTR$890,COLUMN(HeadJournal!B$1),0),"")</f>
        <v>514373515-0</v>
      </c>
      <c r="C308" s="94" t="str">
        <f>IFERROR(VLOOKUP($A308,HeadJournal!$A$1:$NTR$890,COLUMN(HeadJournal!C$1),0),"")</f>
        <v>iHerb_OA CZN6870</v>
      </c>
      <c r="D308" s="125" t="str">
        <f>IFERROR(VLOOKUP($A308,HeadJournal!$A$1:$NTR$890,COLUMN(HeadJournal!D$1),0),"")</f>
        <v>Доставлен</v>
      </c>
      <c r="E308" s="95">
        <f>IFERROR(VLOOKUP($A308,HeadJournal!$A$1:$NTR$890,COLUMN(HeadJournal!G$1),0),"")</f>
        <v>44835</v>
      </c>
      <c r="F308" s="95" t="str">
        <f t="shared" si="23"/>
        <v>2022 10</v>
      </c>
      <c r="G308" s="96" t="s">
        <v>5</v>
      </c>
      <c r="H308" s="161" t="s">
        <v>2903</v>
      </c>
      <c r="I308" s="97" t="s">
        <v>2839</v>
      </c>
      <c r="J308" s="97" t="s">
        <v>2904</v>
      </c>
      <c r="K308" s="29">
        <v>16.600000000000001</v>
      </c>
      <c r="L308" s="29">
        <v>-4.32</v>
      </c>
      <c r="M308" s="30">
        <f>IFERROR(VLOOKUP($A308,HeadJournal!$A$1:$J$890,COLUMN(HeadJournal!I$1),0)*($K308+$L308)/(SUMIF($A:$A,$A308,$K:$K)+SUMIF($A:$A,$A308,$L:$L)),0)</f>
        <v>-4.0078328981723248E-2</v>
      </c>
      <c r="N308" s="30">
        <f>IFERROR((VLOOKUP($A308,HeadJournal!$A$1:$K$890,COLUMN(HeadJournal!K$1),0)-VLOOKUP($A308,HeadJournal!$A$1:$K$890,COLUMN(HeadJournal!J$1),0))*($K308+$L308)/(SUMIF($A:$A,$A308,$K:$K)+SUMIF($A:$A,$A308,$L:$L)),0)</f>
        <v>1.4238682759683472E-15</v>
      </c>
      <c r="O308" s="30">
        <f>IFERROR((VLOOKUP($A308,HeadJournal!$A$1:$L$890,COLUMN(HeadJournal!L$1),0)*($K308+$L308)/(SUMIF($A:$A,$A308,$K:$K)+SUMIF($A:$A,$A308,$L:$L)))/VLOOKUP($A308,HeadJournal!$A$1:$L$890,COLUMN(HeadJournal!H$1),0),0)</f>
        <v>8.6680422484580184</v>
      </c>
      <c r="P308" s="30">
        <f>IFERROR(SUM(K308:O308)*VLOOKUP($A308,HeadJournal!$A$1:$L$890,COLUMN(HeadJournal!H$1),0),0)</f>
        <v>1442.6495104438645</v>
      </c>
      <c r="Q308" s="29">
        <v>2200</v>
      </c>
      <c r="R308" s="31">
        <v>44922</v>
      </c>
      <c r="S308" s="31" t="s">
        <v>3121</v>
      </c>
      <c r="T308" s="95" t="str">
        <f t="shared" si="24"/>
        <v>2022 12</v>
      </c>
      <c r="U308" s="32">
        <f t="shared" si="21"/>
        <v>757.35048955613547</v>
      </c>
      <c r="V308" s="22">
        <f t="shared" si="22"/>
        <v>0.52497192427779571</v>
      </c>
      <c r="X308" s="33"/>
      <c r="Y308" s="33"/>
    </row>
    <row r="309" spans="1:25" x14ac:dyDescent="0.2">
      <c r="A309" s="93" t="s">
        <v>144</v>
      </c>
      <c r="B309" s="94" t="str">
        <f>IFERROR(VLOOKUP($A309,HeadJournal!$A$1:$NTR$890,COLUMN(HeadJournal!B$1),0),"")</f>
        <v>514373515-0</v>
      </c>
      <c r="C309" s="94" t="str">
        <f>IFERROR(VLOOKUP($A309,HeadJournal!$A$1:$NTR$890,COLUMN(HeadJournal!C$1),0),"")</f>
        <v>iHerb_OA CZN6870</v>
      </c>
      <c r="D309" s="125" t="str">
        <f>IFERROR(VLOOKUP($A309,HeadJournal!$A$1:$NTR$890,COLUMN(HeadJournal!D$1),0),"")</f>
        <v>Доставлен</v>
      </c>
      <c r="E309" s="95">
        <f>IFERROR(VLOOKUP($A309,HeadJournal!$A$1:$NTR$890,COLUMN(HeadJournal!G$1),0),"")</f>
        <v>44835</v>
      </c>
      <c r="F309" s="95" t="str">
        <f t="shared" si="23"/>
        <v>2022 10</v>
      </c>
      <c r="G309" s="96" t="s">
        <v>5</v>
      </c>
      <c r="H309" s="161" t="s">
        <v>2845</v>
      </c>
      <c r="I309" s="97" t="s">
        <v>2839</v>
      </c>
      <c r="J309" s="97" t="s">
        <v>2846</v>
      </c>
      <c r="K309" s="29">
        <v>18.920000000000002</v>
      </c>
      <c r="L309" s="29">
        <v>-4.92</v>
      </c>
      <c r="M309" s="30">
        <f>IFERROR(VLOOKUP($A309,HeadJournal!$A$1:$J$890,COLUMN(HeadJournal!I$1),0)*($K309+$L309)/(SUMIF($A:$A,$A309,$K:$K)+SUMIF($A:$A,$A309,$L:$L)),0)</f>
        <v>-4.5691906005221945E-2</v>
      </c>
      <c r="N309" s="30">
        <f>IFERROR((VLOOKUP($A309,HeadJournal!$A$1:$K$890,COLUMN(HeadJournal!K$1),0)-VLOOKUP($A309,HeadJournal!$A$1:$K$890,COLUMN(HeadJournal!J$1),0))*($K309+$L309)/(SUMIF($A:$A,$A309,$K:$K)+SUMIF($A:$A,$A309,$L:$L)),0)</f>
        <v>1.6233025947521875E-15</v>
      </c>
      <c r="O309" s="30">
        <f>IFERROR((VLOOKUP($A309,HeadJournal!$A$1:$L$890,COLUMN(HeadJournal!L$1),0)*($K309+$L309)/(SUMIF($A:$A,$A309,$K:$K)+SUMIF($A:$A,$A309,$L:$L)))/VLOOKUP($A309,HeadJournal!$A$1:$L$890,COLUMN(HeadJournal!H$1),0),0)</f>
        <v>9.88213285654823</v>
      </c>
      <c r="P309" s="30">
        <f>IFERROR(SUM(K309:O309)*VLOOKUP($A309,HeadJournal!$A$1:$L$890,COLUMN(HeadJournal!H$1),0),0)</f>
        <v>1644.7144255874678</v>
      </c>
      <c r="Q309" s="29">
        <v>2500</v>
      </c>
      <c r="R309" s="31">
        <v>44919</v>
      </c>
      <c r="S309" s="31" t="s">
        <v>3121</v>
      </c>
      <c r="T309" s="95" t="str">
        <f t="shared" si="24"/>
        <v>2022 12</v>
      </c>
      <c r="U309" s="32">
        <f t="shared" si="21"/>
        <v>855.28557441253224</v>
      </c>
      <c r="V309" s="22">
        <f t="shared" si="22"/>
        <v>0.52002071673143913</v>
      </c>
      <c r="X309" s="33"/>
      <c r="Y309" s="33"/>
    </row>
    <row r="310" spans="1:25" x14ac:dyDescent="0.2">
      <c r="A310" s="93" t="s">
        <v>144</v>
      </c>
      <c r="B310" s="94" t="str">
        <f>IFERROR(VLOOKUP($A310,HeadJournal!$A$1:$NTR$890,COLUMN(HeadJournal!B$1),0),"")</f>
        <v>514373515-0</v>
      </c>
      <c r="C310" s="94" t="str">
        <f>IFERROR(VLOOKUP($A310,HeadJournal!$A$1:$NTR$890,COLUMN(HeadJournal!C$1),0),"")</f>
        <v>iHerb_OA CZN6870</v>
      </c>
      <c r="D310" s="125" t="str">
        <f>IFERROR(VLOOKUP($A310,HeadJournal!$A$1:$NTR$890,COLUMN(HeadJournal!D$1),0),"")</f>
        <v>Доставлен</v>
      </c>
      <c r="E310" s="95">
        <f>IFERROR(VLOOKUP($A310,HeadJournal!$A$1:$NTR$890,COLUMN(HeadJournal!G$1),0),"")</f>
        <v>44835</v>
      </c>
      <c r="F310" s="95" t="str">
        <f t="shared" si="23"/>
        <v>2022 10</v>
      </c>
      <c r="G310" s="96" t="s">
        <v>5</v>
      </c>
      <c r="H310" s="160" t="str">
        <f>RIGHT(Journal!$J310,9)</f>
        <v>SOL-01121</v>
      </c>
      <c r="I310" s="96" t="str">
        <f t="shared" si="25"/>
        <v>Solgar</v>
      </c>
      <c r="J310" s="97" t="s">
        <v>136</v>
      </c>
      <c r="K310" s="29">
        <v>11.96</v>
      </c>
      <c r="L310" s="29">
        <v>-3.11</v>
      </c>
      <c r="M310" s="30">
        <f>IFERROR(VLOOKUP($A310,HeadJournal!$A$1:$J$890,COLUMN(HeadJournal!I$1),0)*($K310+$L310)/(SUMIF($A:$A,$A310,$K:$K)+SUMIF($A:$A,$A310,$L:$L)),0)</f>
        <v>-2.8883812010443873E-2</v>
      </c>
      <c r="N310" s="30">
        <f>IFERROR((VLOOKUP($A310,HeadJournal!$A$1:$K$890,COLUMN(HeadJournal!K$1),0)-VLOOKUP($A310,HeadJournal!$A$1:$K$890,COLUMN(HeadJournal!J$1),0))*($K310+$L310)/(SUMIF($A:$A,$A310,$K:$K)+SUMIF($A:$A,$A310,$L:$L)),0)</f>
        <v>1.0261591402540614E-15</v>
      </c>
      <c r="O310" s="30">
        <f>IFERROR((VLOOKUP($A310,HeadJournal!$A$1:$L$890,COLUMN(HeadJournal!L$1),0)*($K310+$L310)/(SUMIF($A:$A,$A310,$K:$K)+SUMIF($A:$A,$A310,$L:$L)))/VLOOKUP($A310,HeadJournal!$A$1:$L$890,COLUMN(HeadJournal!H$1),0),0)</f>
        <v>6.246919698603703</v>
      </c>
      <c r="P310" s="30">
        <f>IFERROR(SUM(K310:O310)*VLOOKUP($A310,HeadJournal!$A$1:$L$890,COLUMN(HeadJournal!H$1),0),0)</f>
        <v>1039.6944761749351</v>
      </c>
      <c r="Q310" s="29">
        <v>1600</v>
      </c>
      <c r="R310" s="31">
        <v>44919</v>
      </c>
      <c r="S310" s="31" t="s">
        <v>3121</v>
      </c>
      <c r="T310" s="95" t="str">
        <f t="shared" si="24"/>
        <v>2022 12</v>
      </c>
      <c r="U310" s="32">
        <f t="shared" si="21"/>
        <v>560.30552382506494</v>
      </c>
      <c r="V310" s="22">
        <f t="shared" si="22"/>
        <v>0.53891362959476763</v>
      </c>
      <c r="X310" s="33"/>
      <c r="Y310" s="33"/>
    </row>
    <row r="311" spans="1:25" x14ac:dyDescent="0.2">
      <c r="A311" s="93" t="s">
        <v>144</v>
      </c>
      <c r="B311" s="94" t="str">
        <f>IFERROR(VLOOKUP($A311,HeadJournal!$A$1:$NTR$890,COLUMN(HeadJournal!B$1),0),"")</f>
        <v>514373515-0</v>
      </c>
      <c r="C311" s="94" t="str">
        <f>IFERROR(VLOOKUP($A311,HeadJournal!$A$1:$NTR$890,COLUMN(HeadJournal!C$1),0),"")</f>
        <v>iHerb_OA CZN6870</v>
      </c>
      <c r="D311" s="125" t="str">
        <f>IFERROR(VLOOKUP($A311,HeadJournal!$A$1:$NTR$890,COLUMN(HeadJournal!D$1),0),"")</f>
        <v>Доставлен</v>
      </c>
      <c r="E311" s="95">
        <f>IFERROR(VLOOKUP($A311,HeadJournal!$A$1:$NTR$890,COLUMN(HeadJournal!G$1),0),"")</f>
        <v>44835</v>
      </c>
      <c r="F311" s="95" t="str">
        <f t="shared" si="23"/>
        <v>2022 10</v>
      </c>
      <c r="G311" s="96" t="s">
        <v>5</v>
      </c>
      <c r="H311" s="160" t="str">
        <f>RIGHT(Journal!$J311,9)</f>
        <v>CGN-00932</v>
      </c>
      <c r="I311" s="96" t="str">
        <f t="shared" si="25"/>
        <v>California Gold Nutrition</v>
      </c>
      <c r="J311" s="97" t="s">
        <v>145</v>
      </c>
      <c r="K311" s="29">
        <v>15</v>
      </c>
      <c r="L311" s="29">
        <v>-4.5</v>
      </c>
      <c r="M311" s="30">
        <f>IFERROR(VLOOKUP($A311,HeadJournal!$A$1:$J$890,COLUMN(HeadJournal!I$1),0)*($K311+$L311)/(SUMIF($A:$A,$A311,$K:$K)+SUMIF($A:$A,$A311,$L:$L)),0)</f>
        <v>-3.4268929503916454E-2</v>
      </c>
      <c r="N311" s="30">
        <f>IFERROR((VLOOKUP($A311,HeadJournal!$A$1:$K$890,COLUMN(HeadJournal!K$1),0)-VLOOKUP($A311,HeadJournal!$A$1:$K$890,COLUMN(HeadJournal!J$1),0))*($K311+$L311)/(SUMIF($A:$A,$A311,$K:$K)+SUMIF($A:$A,$A311,$L:$L)),0)</f>
        <v>1.2174769460641404E-15</v>
      </c>
      <c r="O311" s="30">
        <f>IFERROR((VLOOKUP($A311,HeadJournal!$A$1:$L$890,COLUMN(HeadJournal!L$1),0)*($K311+$L311)/(SUMIF($A:$A,$A311,$K:$K)+SUMIF($A:$A,$A311,$L:$L)))/VLOOKUP($A311,HeadJournal!$A$1:$L$890,COLUMN(HeadJournal!H$1),0),0)</f>
        <v>7.4115996424111712</v>
      </c>
      <c r="P311" s="30">
        <f>IFERROR(SUM(K311:O311)*VLOOKUP($A311,HeadJournal!$A$1:$L$890,COLUMN(HeadJournal!H$1),0),0)</f>
        <v>1233.5358191906007</v>
      </c>
      <c r="Q311" s="29">
        <v>1800</v>
      </c>
      <c r="R311" s="31">
        <v>45101</v>
      </c>
      <c r="S311" s="31" t="s">
        <v>3121</v>
      </c>
      <c r="T311" s="95" t="str">
        <f t="shared" si="24"/>
        <v>2023 06</v>
      </c>
      <c r="U311" s="32">
        <f t="shared" si="21"/>
        <v>566.46418080939929</v>
      </c>
      <c r="V311" s="22">
        <f t="shared" si="22"/>
        <v>0.45921988806218172</v>
      </c>
      <c r="X311" s="33"/>
      <c r="Y311" s="33"/>
    </row>
    <row r="312" spans="1:25" x14ac:dyDescent="0.2">
      <c r="A312" s="93" t="s">
        <v>144</v>
      </c>
      <c r="B312" s="94" t="str">
        <f>IFERROR(VLOOKUP($A312,HeadJournal!$A$1:$NTR$890,COLUMN(HeadJournal!B$1),0),"")</f>
        <v>514373515-0</v>
      </c>
      <c r="C312" s="94" t="str">
        <f>IFERROR(VLOOKUP($A312,HeadJournal!$A$1:$NTR$890,COLUMN(HeadJournal!C$1),0),"")</f>
        <v>iHerb_OA CZN6870</v>
      </c>
      <c r="D312" s="125" t="str">
        <f>IFERROR(VLOOKUP($A312,HeadJournal!$A$1:$NTR$890,COLUMN(HeadJournal!D$1),0),"")</f>
        <v>Доставлен</v>
      </c>
      <c r="E312" s="95">
        <f>IFERROR(VLOOKUP($A312,HeadJournal!$A$1:$NTR$890,COLUMN(HeadJournal!G$1),0),"")</f>
        <v>44835</v>
      </c>
      <c r="F312" s="95" t="str">
        <f t="shared" si="23"/>
        <v>2022 10</v>
      </c>
      <c r="G312" s="96" t="s">
        <v>5</v>
      </c>
      <c r="H312" s="160" t="str">
        <f>RIGHT(Journal!$J312,9)</f>
        <v>NWY-15679</v>
      </c>
      <c r="I312" s="96" t="str">
        <f t="shared" si="25"/>
        <v>Nature's Way</v>
      </c>
      <c r="J312" s="97" t="s">
        <v>146</v>
      </c>
      <c r="K312" s="29">
        <v>21.15</v>
      </c>
      <c r="L312" s="29">
        <v>-5.5</v>
      </c>
      <c r="M312" s="30">
        <f>IFERROR(VLOOKUP($A312,HeadJournal!$A$1:$J$890,COLUMN(HeadJournal!I$1),0)*($K312+$L312)/(SUMIF($A:$A,$A312,$K:$K)+SUMIF($A:$A,$A312,$L:$L)),0)</f>
        <v>-5.1077023498694522E-2</v>
      </c>
      <c r="N312" s="30">
        <f>IFERROR((VLOOKUP($A312,HeadJournal!$A$1:$K$890,COLUMN(HeadJournal!K$1),0)-VLOOKUP($A312,HeadJournal!$A$1:$K$890,COLUMN(HeadJournal!J$1),0))*($K312+$L312)/(SUMIF($A:$A,$A312,$K:$K)+SUMIF($A:$A,$A312,$L:$L)),0)</f>
        <v>1.8146204005622663E-15</v>
      </c>
      <c r="O312" s="30">
        <f>IFERROR((VLOOKUP($A312,HeadJournal!$A$1:$L$890,COLUMN(HeadJournal!L$1),0)*($K312+$L312)/(SUMIF($A:$A,$A312,$K:$K)+SUMIF($A:$A,$A312,$L:$L)))/VLOOKUP($A312,HeadJournal!$A$1:$L$890,COLUMN(HeadJournal!H$1),0),0)</f>
        <v>11.046812800355697</v>
      </c>
      <c r="P312" s="30">
        <f>IFERROR(SUM(K312:O312)*VLOOKUP($A312,HeadJournal!$A$1:$L$890,COLUMN(HeadJournal!H$1),0),0)</f>
        <v>1838.5557686031332</v>
      </c>
      <c r="Q312" s="29">
        <v>2500</v>
      </c>
      <c r="R312" s="31">
        <v>44905</v>
      </c>
      <c r="S312" s="31" t="s">
        <v>3121</v>
      </c>
      <c r="T312" s="95" t="str">
        <f t="shared" si="24"/>
        <v>2022 12</v>
      </c>
      <c r="U312" s="32">
        <f t="shared" si="21"/>
        <v>661.44423139686683</v>
      </c>
      <c r="V312" s="22">
        <f t="shared" si="22"/>
        <v>0.35976294148499383</v>
      </c>
      <c r="X312" s="33"/>
      <c r="Y312" s="33"/>
    </row>
    <row r="313" spans="1:25" x14ac:dyDescent="0.2">
      <c r="A313" s="93" t="s">
        <v>147</v>
      </c>
      <c r="B313" s="94" t="str">
        <f>IFERROR(VLOOKUP($A313,HeadJournal!$A$1:$NTR$890,COLUMN(HeadJournal!B$1),0),"")</f>
        <v>514943236-0</v>
      </c>
      <c r="C313" s="94" t="str">
        <f>IFERROR(VLOOKUP($A313,HeadJournal!$A$1:$NTR$890,COLUMN(HeadJournal!C$1),0),"")</f>
        <v>iHerb_VP DFD1605</v>
      </c>
      <c r="D313" s="125" t="str">
        <f>IFERROR(VLOOKUP($A313,HeadJournal!$A$1:$NTR$890,COLUMN(HeadJournal!D$1),0),"")</f>
        <v>Доставлен</v>
      </c>
      <c r="E313" s="95">
        <f>IFERROR(VLOOKUP($A313,HeadJournal!$A$1:$NTR$890,COLUMN(HeadJournal!G$1),0),"")</f>
        <v>44871</v>
      </c>
      <c r="F313" s="95" t="str">
        <f t="shared" si="23"/>
        <v>2022 11</v>
      </c>
      <c r="G313" s="96" t="s">
        <v>5</v>
      </c>
      <c r="H313" s="160" t="str">
        <f>RIGHT(Journal!$J313,9)</f>
        <v>NOR-02794</v>
      </c>
      <c r="I313" s="96" t="str">
        <f t="shared" si="25"/>
        <v>Nordic Naturals</v>
      </c>
      <c r="J313" s="97" t="s">
        <v>148</v>
      </c>
      <c r="K313" s="29">
        <v>44.16</v>
      </c>
      <c r="L313" s="29">
        <v>-11.04</v>
      </c>
      <c r="M313" s="30">
        <f>IFERROR(VLOOKUP($A313,HeadJournal!$A$1:$J$890,COLUMN(HeadJournal!I$1),0)*($K313+$L313)/(SUMIF($A:$A,$A313,$K:$K)+SUMIF($A:$A,$A313,$L:$L)),0)</f>
        <v>-1.7819170506912436</v>
      </c>
      <c r="N313" s="30">
        <f>IFERROR((VLOOKUP($A313,HeadJournal!$A$1:$K$890,COLUMN(HeadJournal!K$1),0)-VLOOKUP($A313,HeadJournal!$A$1:$K$890,COLUMN(HeadJournal!J$1),0))*($K313+$L313)/(SUMIF($A:$A,$A313,$K:$K)+SUMIF($A:$A,$A313,$L:$L)),0)</f>
        <v>-5.4223906470909019E-15</v>
      </c>
      <c r="O313" s="30">
        <f>IFERROR((VLOOKUP($A313,HeadJournal!$A$1:$L$890,COLUMN(HeadJournal!L$1),0)*($K313+$L313)/(SUMIF($A:$A,$A313,$K:$K)+SUMIF($A:$A,$A313,$L:$L)))/VLOOKUP($A313,HeadJournal!$A$1:$L$890,COLUMN(HeadJournal!H$1),0),0)</f>
        <v>16.092884792626723</v>
      </c>
      <c r="P313" s="30">
        <f>IFERROR(SUM(K313:O313)*VLOOKUP($A313,HeadJournal!$A$1:$L$890,COLUMN(HeadJournal!H$1),0),0)</f>
        <v>3272.7367741935473</v>
      </c>
      <c r="Q313" s="29">
        <v>4200</v>
      </c>
      <c r="R313" s="31">
        <v>44918</v>
      </c>
      <c r="S313" s="31" t="s">
        <v>3121</v>
      </c>
      <c r="T313" s="95" t="str">
        <f t="shared" si="24"/>
        <v>2022 12</v>
      </c>
      <c r="U313" s="32">
        <f t="shared" si="21"/>
        <v>927.26322580645274</v>
      </c>
      <c r="V313" s="22">
        <f t="shared" si="22"/>
        <v>0.28332960753769898</v>
      </c>
      <c r="X313" s="33"/>
      <c r="Y313" s="33"/>
    </row>
    <row r="314" spans="1:25" x14ac:dyDescent="0.2">
      <c r="A314" s="93" t="s">
        <v>147</v>
      </c>
      <c r="B314" s="94" t="str">
        <f>IFERROR(VLOOKUP($A314,HeadJournal!$A$1:$NTR$890,COLUMN(HeadJournal!B$1),0),"")</f>
        <v>514943236-0</v>
      </c>
      <c r="C314" s="94" t="str">
        <f>IFERROR(VLOOKUP($A314,HeadJournal!$A$1:$NTR$890,COLUMN(HeadJournal!C$1),0),"")</f>
        <v>iHerb_VP DFD1605</v>
      </c>
      <c r="D314" s="125" t="str">
        <f>IFERROR(VLOOKUP($A314,HeadJournal!$A$1:$NTR$890,COLUMN(HeadJournal!D$1),0),"")</f>
        <v>Доставлен</v>
      </c>
      <c r="E314" s="95">
        <f>IFERROR(VLOOKUP($A314,HeadJournal!$A$1:$NTR$890,COLUMN(HeadJournal!G$1),0),"")</f>
        <v>44871</v>
      </c>
      <c r="F314" s="95" t="str">
        <f t="shared" si="23"/>
        <v>2022 11</v>
      </c>
      <c r="G314" s="96" t="s">
        <v>5</v>
      </c>
      <c r="H314" s="160" t="str">
        <f>RIGHT(Journal!$J314,9)</f>
        <v>NOR-02794</v>
      </c>
      <c r="I314" s="96" t="str">
        <f t="shared" si="25"/>
        <v>Nordic Naturals</v>
      </c>
      <c r="J314" s="97" t="s">
        <v>148</v>
      </c>
      <c r="K314" s="29">
        <v>44.16</v>
      </c>
      <c r="L314" s="29">
        <v>-11.04</v>
      </c>
      <c r="M314" s="30">
        <f>IFERROR(VLOOKUP($A314,HeadJournal!$A$1:$J$890,COLUMN(HeadJournal!I$1),0)*($K314+$L314)/(SUMIF($A:$A,$A314,$K:$K)+SUMIF($A:$A,$A314,$L:$L)),0)</f>
        <v>-1.7819170506912436</v>
      </c>
      <c r="N314" s="30">
        <f>IFERROR((VLOOKUP($A314,HeadJournal!$A$1:$K$890,COLUMN(HeadJournal!K$1),0)-VLOOKUP($A314,HeadJournal!$A$1:$K$890,COLUMN(HeadJournal!J$1),0))*($K314+$L314)/(SUMIF($A:$A,$A314,$K:$K)+SUMIF($A:$A,$A314,$L:$L)),0)</f>
        <v>-5.4223906470909019E-15</v>
      </c>
      <c r="O314" s="30">
        <f>IFERROR((VLOOKUP($A314,HeadJournal!$A$1:$L$890,COLUMN(HeadJournal!L$1),0)*($K314+$L314)/(SUMIF($A:$A,$A314,$K:$K)+SUMIF($A:$A,$A314,$L:$L)))/VLOOKUP($A314,HeadJournal!$A$1:$L$890,COLUMN(HeadJournal!H$1),0),0)</f>
        <v>16.092884792626723</v>
      </c>
      <c r="P314" s="30">
        <f>IFERROR(SUM(K314:O314)*VLOOKUP($A314,HeadJournal!$A$1:$L$890,COLUMN(HeadJournal!H$1),0),0)</f>
        <v>3272.7367741935473</v>
      </c>
      <c r="Q314" s="29">
        <v>4200</v>
      </c>
      <c r="R314" s="31">
        <v>44918</v>
      </c>
      <c r="S314" s="31" t="s">
        <v>3121</v>
      </c>
      <c r="T314" s="95" t="str">
        <f t="shared" si="24"/>
        <v>2022 12</v>
      </c>
      <c r="U314" s="32">
        <f t="shared" si="21"/>
        <v>927.26322580645274</v>
      </c>
      <c r="V314" s="22">
        <f t="shared" si="22"/>
        <v>0.28332960753769898</v>
      </c>
      <c r="X314" s="33"/>
      <c r="Y314" s="33"/>
    </row>
    <row r="315" spans="1:25" x14ac:dyDescent="0.2">
      <c r="A315" s="93" t="s">
        <v>147</v>
      </c>
      <c r="B315" s="94" t="str">
        <f>IFERROR(VLOOKUP($A315,HeadJournal!$A$1:$NTR$890,COLUMN(HeadJournal!B$1),0),"")</f>
        <v>514943236-0</v>
      </c>
      <c r="C315" s="94" t="str">
        <f>IFERROR(VLOOKUP($A315,HeadJournal!$A$1:$NTR$890,COLUMN(HeadJournal!C$1),0),"")</f>
        <v>iHerb_VP DFD1605</v>
      </c>
      <c r="D315" s="125" t="str">
        <f>IFERROR(VLOOKUP($A315,HeadJournal!$A$1:$NTR$890,COLUMN(HeadJournal!D$1),0),"")</f>
        <v>Доставлен</v>
      </c>
      <c r="E315" s="95">
        <f>IFERROR(VLOOKUP($A315,HeadJournal!$A$1:$NTR$890,COLUMN(HeadJournal!G$1),0),"")</f>
        <v>44871</v>
      </c>
      <c r="F315" s="95" t="str">
        <f t="shared" si="23"/>
        <v>2022 11</v>
      </c>
      <c r="G315" s="96" t="s">
        <v>5</v>
      </c>
      <c r="H315" s="160" t="str">
        <f>RIGHT(Journal!$J315,9)</f>
        <v>NOW-01452</v>
      </c>
      <c r="I315" s="96" t="str">
        <f t="shared" si="25"/>
        <v>NOW Foods</v>
      </c>
      <c r="J315" s="97" t="s">
        <v>149</v>
      </c>
      <c r="K315" s="29">
        <v>9.15</v>
      </c>
      <c r="L315" s="29">
        <v>-2.29</v>
      </c>
      <c r="M315" s="30">
        <f>IFERROR(VLOOKUP($A315,HeadJournal!$A$1:$J$890,COLUMN(HeadJournal!I$1),0)*($K315+$L315)/(SUMIF($A:$A,$A315,$K:$K)+SUMIF($A:$A,$A315,$L:$L)),0)</f>
        <v>-0.3690806451612903</v>
      </c>
      <c r="N315" s="30">
        <f>IFERROR((VLOOKUP($A315,HeadJournal!$A$1:$K$890,COLUMN(HeadJournal!K$1),0)-VLOOKUP($A315,HeadJournal!$A$1:$K$890,COLUMN(HeadJournal!J$1),0))*($K315+$L315)/(SUMIF($A:$A,$A315,$K:$K)+SUMIF($A:$A,$A315,$L:$L)),0)</f>
        <v>-1.1231159371691905E-15</v>
      </c>
      <c r="O315" s="30">
        <f>IFERROR((VLOOKUP($A315,HeadJournal!$A$1:$L$890,COLUMN(HeadJournal!L$1),0)*($K315+$L315)/(SUMIF($A:$A,$A315,$K:$K)+SUMIF($A:$A,$A315,$L:$L)))/VLOOKUP($A315,HeadJournal!$A$1:$L$890,COLUMN(HeadJournal!H$1),0),0)</f>
        <v>3.3332484805984106</v>
      </c>
      <c r="P315" s="30">
        <f>IFERROR(SUM(K315:O315)*VLOOKUP($A315,HeadJournal!$A$1:$L$890,COLUMN(HeadJournal!H$1),0),0)</f>
        <v>677.8675806451613</v>
      </c>
      <c r="Q315" s="29">
        <v>1300</v>
      </c>
      <c r="R315" s="31">
        <v>44919</v>
      </c>
      <c r="S315" s="31" t="s">
        <v>3121</v>
      </c>
      <c r="T315" s="95" t="str">
        <f t="shared" si="24"/>
        <v>2022 12</v>
      </c>
      <c r="U315" s="32">
        <f t="shared" si="21"/>
        <v>622.1324193548387</v>
      </c>
      <c r="V315" s="22">
        <f t="shared" si="22"/>
        <v>0.91777868881518632</v>
      </c>
      <c r="X315" s="33"/>
      <c r="Y315" s="33"/>
    </row>
    <row r="316" spans="1:25" x14ac:dyDescent="0.2">
      <c r="A316" s="93" t="s">
        <v>147</v>
      </c>
      <c r="B316" s="94" t="str">
        <f>IFERROR(VLOOKUP($A316,HeadJournal!$A$1:$NTR$890,COLUMN(HeadJournal!B$1),0),"")</f>
        <v>514943236-0</v>
      </c>
      <c r="C316" s="94" t="str">
        <f>IFERROR(VLOOKUP($A316,HeadJournal!$A$1:$NTR$890,COLUMN(HeadJournal!C$1),0),"")</f>
        <v>iHerb_VP DFD1605</v>
      </c>
      <c r="D316" s="125" t="str">
        <f>IFERROR(VLOOKUP($A316,HeadJournal!$A$1:$NTR$890,COLUMN(HeadJournal!D$1),0),"")</f>
        <v>Доставлен</v>
      </c>
      <c r="E316" s="95">
        <f>IFERROR(VLOOKUP($A316,HeadJournal!$A$1:$NTR$890,COLUMN(HeadJournal!G$1),0),"")</f>
        <v>44871</v>
      </c>
      <c r="F316" s="95" t="str">
        <f t="shared" si="23"/>
        <v>2022 11</v>
      </c>
      <c r="G316" s="96" t="s">
        <v>5</v>
      </c>
      <c r="H316" s="161" t="s">
        <v>2623</v>
      </c>
      <c r="I316" s="97" t="s">
        <v>2052</v>
      </c>
      <c r="J316" s="97" t="s">
        <v>3915</v>
      </c>
      <c r="K316" s="29">
        <v>5</v>
      </c>
      <c r="L316" s="29">
        <v>-3</v>
      </c>
      <c r="M316" s="30">
        <f>IFERROR(VLOOKUP($A316,HeadJournal!$A$1:$J$890,COLUMN(HeadJournal!I$1),0)*($K316+$L316)/(SUMIF($A:$A,$A316,$K:$K)+SUMIF($A:$A,$A316,$L:$L)),0)</f>
        <v>-0.10760368663594469</v>
      </c>
      <c r="N316" s="30">
        <f>IFERROR((VLOOKUP($A316,HeadJournal!$A$1:$K$890,COLUMN(HeadJournal!K$1),0)-VLOOKUP($A316,HeadJournal!$A$1:$K$890,COLUMN(HeadJournal!J$1),0))*($K316+$L316)/(SUMIF($A:$A,$A316,$K:$K)+SUMIF($A:$A,$A316,$L:$L)),0)</f>
        <v>-3.2743904873737332E-16</v>
      </c>
      <c r="O316" s="30">
        <f>IFERROR((VLOOKUP($A316,HeadJournal!$A$1:$L$890,COLUMN(HeadJournal!L$1),0)*($K316+$L316)/(SUMIF($A:$A,$A316,$K:$K)+SUMIF($A:$A,$A316,$L:$L)))/VLOOKUP($A316,HeadJournal!$A$1:$L$890,COLUMN(HeadJournal!H$1),0),0)</f>
        <v>0.9717925599412276</v>
      </c>
      <c r="P316" s="30">
        <f>IFERROR(SUM(K316:O316)*VLOOKUP($A316,HeadJournal!$A$1:$L$890,COLUMN(HeadJournal!H$1),0),0)</f>
        <v>197.62903225806451</v>
      </c>
      <c r="Q316" s="29">
        <v>700</v>
      </c>
      <c r="R316" s="31">
        <v>44918</v>
      </c>
      <c r="S316" s="31" t="s">
        <v>3121</v>
      </c>
      <c r="T316" s="95" t="str">
        <f t="shared" si="24"/>
        <v>2022 12</v>
      </c>
      <c r="U316" s="32">
        <f t="shared" si="21"/>
        <v>502.37096774193549</v>
      </c>
      <c r="V316" s="22">
        <f t="shared" si="22"/>
        <v>2.5419897168040482</v>
      </c>
      <c r="X316" s="33"/>
      <c r="Y316" s="33"/>
    </row>
    <row r="317" spans="1:25" x14ac:dyDescent="0.2">
      <c r="A317" s="93" t="s">
        <v>147</v>
      </c>
      <c r="B317" s="94" t="str">
        <f>IFERROR(VLOOKUP($A317,HeadJournal!$A$1:$NTR$890,COLUMN(HeadJournal!B$1),0),"")</f>
        <v>514943236-0</v>
      </c>
      <c r="C317" s="94" t="str">
        <f>IFERROR(VLOOKUP($A317,HeadJournal!$A$1:$NTR$890,COLUMN(HeadJournal!C$1),0),"")</f>
        <v>iHerb_VP DFD1605</v>
      </c>
      <c r="D317" s="125" t="str">
        <f>IFERROR(VLOOKUP($A317,HeadJournal!$A$1:$NTR$890,COLUMN(HeadJournal!D$1),0),"")</f>
        <v>Доставлен</v>
      </c>
      <c r="E317" s="95">
        <f>IFERROR(VLOOKUP($A317,HeadJournal!$A$1:$NTR$890,COLUMN(HeadJournal!G$1),0),"")</f>
        <v>44871</v>
      </c>
      <c r="F317" s="95" t="str">
        <f t="shared" si="23"/>
        <v>2022 11</v>
      </c>
      <c r="G317" s="96" t="s">
        <v>5</v>
      </c>
      <c r="H317" s="160" t="str">
        <f>RIGHT(Journal!$J317,9)</f>
        <v>CEN-22713</v>
      </c>
      <c r="I317" s="96" t="str">
        <f t="shared" si="25"/>
        <v>21st Century</v>
      </c>
      <c r="J317" s="97" t="s">
        <v>40</v>
      </c>
      <c r="K317" s="29">
        <v>3.26</v>
      </c>
      <c r="L317" s="29">
        <v>-0.82</v>
      </c>
      <c r="M317" s="30">
        <f>IFERROR(VLOOKUP($A317,HeadJournal!$A$1:$J$890,COLUMN(HeadJournal!I$1),0)*($K317+$L317)/(SUMIF($A:$A,$A317,$K:$K)+SUMIF($A:$A,$A317,$L:$L)),0)</f>
        <v>-0.13127649769585251</v>
      </c>
      <c r="N317" s="30">
        <f>IFERROR((VLOOKUP($A317,HeadJournal!$A$1:$K$890,COLUMN(HeadJournal!K$1),0)-VLOOKUP($A317,HeadJournal!$A$1:$K$890,COLUMN(HeadJournal!J$1),0))*($K317+$L317)/(SUMIF($A:$A,$A317,$K:$K)+SUMIF($A:$A,$A317,$L:$L)),0)</f>
        <v>-3.9947563945959545E-16</v>
      </c>
      <c r="O317" s="30">
        <f>IFERROR((VLOOKUP($A317,HeadJournal!$A$1:$L$890,COLUMN(HeadJournal!L$1),0)*($K317+$L317)/(SUMIF($A:$A,$A317,$K:$K)+SUMIF($A:$A,$A317,$L:$L)))/VLOOKUP($A317,HeadJournal!$A$1:$L$890,COLUMN(HeadJournal!H$1),0),0)</f>
        <v>1.1855869231282974</v>
      </c>
      <c r="P317" s="30">
        <f>IFERROR(SUM(K317:O317)*VLOOKUP($A317,HeadJournal!$A$1:$L$890,COLUMN(HeadJournal!H$1),0),0)</f>
        <v>241.10741935483867</v>
      </c>
      <c r="Q317" s="29">
        <v>1000</v>
      </c>
      <c r="R317" s="31">
        <v>45003</v>
      </c>
      <c r="S317" s="31" t="s">
        <v>3121</v>
      </c>
      <c r="T317" s="95" t="str">
        <f t="shared" si="24"/>
        <v>2023 03</v>
      </c>
      <c r="U317" s="32">
        <f t="shared" si="21"/>
        <v>758.89258064516139</v>
      </c>
      <c r="V317" s="22">
        <f t="shared" si="22"/>
        <v>3.1475289423934996</v>
      </c>
      <c r="X317" s="33"/>
      <c r="Y317" s="33"/>
    </row>
    <row r="318" spans="1:25" x14ac:dyDescent="0.2">
      <c r="A318" s="93" t="s">
        <v>147</v>
      </c>
      <c r="B318" s="94" t="str">
        <f>IFERROR(VLOOKUP($A318,HeadJournal!$A$1:$NTR$890,COLUMN(HeadJournal!B$1),0),"")</f>
        <v>514943236-0</v>
      </c>
      <c r="C318" s="94" t="str">
        <f>IFERROR(VLOOKUP($A318,HeadJournal!$A$1:$NTR$890,COLUMN(HeadJournal!C$1),0),"")</f>
        <v>iHerb_VP DFD1605</v>
      </c>
      <c r="D318" s="125" t="str">
        <f>IFERROR(VLOOKUP($A318,HeadJournal!$A$1:$NTR$890,COLUMN(HeadJournal!D$1),0),"")</f>
        <v>Доставлен</v>
      </c>
      <c r="E318" s="95">
        <f>IFERROR(VLOOKUP($A318,HeadJournal!$A$1:$NTR$890,COLUMN(HeadJournal!G$1),0),"")</f>
        <v>44871</v>
      </c>
      <c r="F318" s="95" t="str">
        <f t="shared" si="23"/>
        <v>2022 11</v>
      </c>
      <c r="G318" s="96" t="s">
        <v>5</v>
      </c>
      <c r="H318" s="160" t="str">
        <f>RIGHT(Journal!$J318,9)</f>
        <v>CEN-28026</v>
      </c>
      <c r="I318" s="96" t="str">
        <f t="shared" si="25"/>
        <v>21st Century</v>
      </c>
      <c r="J318" s="97" t="s">
        <v>32</v>
      </c>
      <c r="K318" s="29">
        <v>2.04</v>
      </c>
      <c r="L318" s="29">
        <v>-0.51</v>
      </c>
      <c r="M318" s="30">
        <f>IFERROR(VLOOKUP($A318,HeadJournal!$A$1:$J$890,COLUMN(HeadJournal!I$1),0)*($K318+$L318)/(SUMIF($A:$A,$A318,$K:$K)+SUMIF($A:$A,$A318,$L:$L)),0)</f>
        <v>-8.2316820276497685E-2</v>
      </c>
      <c r="N318" s="30">
        <f>IFERROR((VLOOKUP($A318,HeadJournal!$A$1:$K$890,COLUMN(HeadJournal!K$1),0)-VLOOKUP($A318,HeadJournal!$A$1:$K$890,COLUMN(HeadJournal!J$1),0))*($K318+$L318)/(SUMIF($A:$A,$A318,$K:$K)+SUMIF($A:$A,$A318,$L:$L)),0)</f>
        <v>-2.5049087228409059E-16</v>
      </c>
      <c r="O318" s="30">
        <f>IFERROR((VLOOKUP($A318,HeadJournal!$A$1:$L$890,COLUMN(HeadJournal!L$1),0)*($K318+$L318)/(SUMIF($A:$A,$A318,$K:$K)+SUMIF($A:$A,$A318,$L:$L)))/VLOOKUP($A318,HeadJournal!$A$1:$L$890,COLUMN(HeadJournal!H$1),0),0)</f>
        <v>0.74342130835503906</v>
      </c>
      <c r="P318" s="30">
        <f>IFERROR(SUM(K318:O318)*VLOOKUP($A318,HeadJournal!$A$1:$L$890,COLUMN(HeadJournal!H$1),0),0)</f>
        <v>151.18620967741936</v>
      </c>
      <c r="Q318" s="29">
        <v>600</v>
      </c>
      <c r="R318" s="31">
        <v>45173</v>
      </c>
      <c r="S318" s="31" t="s">
        <v>3121</v>
      </c>
      <c r="T318" s="95" t="str">
        <f t="shared" si="24"/>
        <v>2023 09</v>
      </c>
      <c r="U318" s="32">
        <f t="shared" si="21"/>
        <v>448.81379032258064</v>
      </c>
      <c r="V318" s="22">
        <f t="shared" si="22"/>
        <v>2.9686159291922105</v>
      </c>
      <c r="X318" s="33"/>
      <c r="Y318" s="33"/>
    </row>
    <row r="319" spans="1:25" x14ac:dyDescent="0.2">
      <c r="A319" s="93" t="s">
        <v>147</v>
      </c>
      <c r="B319" s="94" t="str">
        <f>IFERROR(VLOOKUP($A319,HeadJournal!$A$1:$NTR$890,COLUMN(HeadJournal!B$1),0),"")</f>
        <v>514943236-0</v>
      </c>
      <c r="C319" s="94" t="str">
        <f>IFERROR(VLOOKUP($A319,HeadJournal!$A$1:$NTR$890,COLUMN(HeadJournal!C$1),0),"")</f>
        <v>iHerb_VP DFD1605</v>
      </c>
      <c r="D319" s="125" t="str">
        <f>IFERROR(VLOOKUP($A319,HeadJournal!$A$1:$NTR$890,COLUMN(HeadJournal!D$1),0),"")</f>
        <v>Доставлен</v>
      </c>
      <c r="E319" s="95">
        <f>IFERROR(VLOOKUP($A319,HeadJournal!$A$1:$NTR$890,COLUMN(HeadJournal!G$1),0),"")</f>
        <v>44871</v>
      </c>
      <c r="F319" s="95" t="str">
        <f t="shared" si="23"/>
        <v>2022 11</v>
      </c>
      <c r="G319" s="96" t="s">
        <v>5</v>
      </c>
      <c r="H319" s="160" t="str">
        <f>RIGHT(Journal!$J319,9)</f>
        <v>CEN-27305</v>
      </c>
      <c r="I319" s="96" t="str">
        <f t="shared" si="25"/>
        <v>21st Century</v>
      </c>
      <c r="J319" s="97" t="s">
        <v>99</v>
      </c>
      <c r="K319" s="29">
        <v>6.31</v>
      </c>
      <c r="L319" s="29">
        <v>-1.58</v>
      </c>
      <c r="M319" s="30">
        <f>IFERROR(VLOOKUP($A319,HeadJournal!$A$1:$J$890,COLUMN(HeadJournal!I$1),0)*($K319+$L319)/(SUMIF($A:$A,$A319,$K:$K)+SUMIF($A:$A,$A319,$L:$L)),0)</f>
        <v>-0.25448271889400914</v>
      </c>
      <c r="N319" s="30">
        <f>IFERROR((VLOOKUP($A319,HeadJournal!$A$1:$K$890,COLUMN(HeadJournal!K$1),0)-VLOOKUP($A319,HeadJournal!$A$1:$K$890,COLUMN(HeadJournal!J$1),0))*($K319+$L319)/(SUMIF($A:$A,$A319,$K:$K)+SUMIF($A:$A,$A319,$L:$L)),0)</f>
        <v>-7.7439335026388781E-16</v>
      </c>
      <c r="O319" s="30">
        <f>IFERROR((VLOOKUP($A319,HeadJournal!$A$1:$L$890,COLUMN(HeadJournal!L$1),0)*($K319+$L319)/(SUMIF($A:$A,$A319,$K:$K)+SUMIF($A:$A,$A319,$L:$L)))/VLOOKUP($A319,HeadJournal!$A$1:$L$890,COLUMN(HeadJournal!H$1),0),0)</f>
        <v>2.2982894042610025</v>
      </c>
      <c r="P319" s="30">
        <f>IFERROR(SUM(K319:O319)*VLOOKUP($A319,HeadJournal!$A$1:$L$890,COLUMN(HeadJournal!H$1),0),0)</f>
        <v>467.39266129032245</v>
      </c>
      <c r="Q319" s="29">
        <v>1400</v>
      </c>
      <c r="R319" s="31">
        <v>44919</v>
      </c>
      <c r="S319" s="31" t="s">
        <v>3121</v>
      </c>
      <c r="T319" s="95" t="str">
        <f t="shared" si="24"/>
        <v>2022 12</v>
      </c>
      <c r="U319" s="32">
        <f t="shared" si="21"/>
        <v>932.60733870967761</v>
      </c>
      <c r="V319" s="22">
        <f t="shared" si="22"/>
        <v>1.9953401410605067</v>
      </c>
      <c r="X319" s="33"/>
      <c r="Y319" s="33"/>
    </row>
    <row r="320" spans="1:25" x14ac:dyDescent="0.2">
      <c r="A320" s="93" t="s">
        <v>147</v>
      </c>
      <c r="B320" s="94" t="str">
        <f>IFERROR(VLOOKUP($A320,HeadJournal!$A$1:$NTR$890,COLUMN(HeadJournal!B$1),0),"")</f>
        <v>514943236-0</v>
      </c>
      <c r="C320" s="94" t="str">
        <f>IFERROR(VLOOKUP($A320,HeadJournal!$A$1:$NTR$890,COLUMN(HeadJournal!C$1),0),"")</f>
        <v>iHerb_VP DFD1605</v>
      </c>
      <c r="D320" s="125" t="str">
        <f>IFERROR(VLOOKUP($A320,HeadJournal!$A$1:$NTR$890,COLUMN(HeadJournal!D$1),0),"")</f>
        <v>Доставлен</v>
      </c>
      <c r="E320" s="95">
        <f>IFERROR(VLOOKUP($A320,HeadJournal!$A$1:$NTR$890,COLUMN(HeadJournal!G$1),0),"")</f>
        <v>44871</v>
      </c>
      <c r="F320" s="95" t="str">
        <f t="shared" si="23"/>
        <v>2022 11</v>
      </c>
      <c r="G320" s="96" t="s">
        <v>5</v>
      </c>
      <c r="H320" s="160" t="str">
        <f>RIGHT(Journal!$J320,9)</f>
        <v>SPN-02123</v>
      </c>
      <c r="I320" s="96" t="str">
        <f t="shared" si="25"/>
        <v>Super Nutrition</v>
      </c>
      <c r="J320" s="97" t="s">
        <v>150</v>
      </c>
      <c r="K320" s="29">
        <v>5</v>
      </c>
      <c r="L320" s="29">
        <v>-2</v>
      </c>
      <c r="M320" s="30">
        <f>IFERROR(VLOOKUP($A320,HeadJournal!$A$1:$J$890,COLUMN(HeadJournal!I$1),0)*($K320+$L320)/(SUMIF($A:$A,$A320,$K:$K)+SUMIF($A:$A,$A320,$L:$L)),0)</f>
        <v>-0.16140552995391702</v>
      </c>
      <c r="N320" s="30">
        <f>IFERROR((VLOOKUP($A320,HeadJournal!$A$1:$K$890,COLUMN(HeadJournal!K$1),0)-VLOOKUP($A320,HeadJournal!$A$1:$K$890,COLUMN(HeadJournal!J$1),0))*($K320+$L320)/(SUMIF($A:$A,$A320,$K:$K)+SUMIF($A:$A,$A320,$L:$L)),0)</f>
        <v>-4.9115857310605998E-16</v>
      </c>
      <c r="O320" s="30">
        <f>IFERROR((VLOOKUP($A320,HeadJournal!$A$1:$L$890,COLUMN(HeadJournal!L$1),0)*($K320+$L320)/(SUMIF($A:$A,$A320,$K:$K)+SUMIF($A:$A,$A320,$L:$L)))/VLOOKUP($A320,HeadJournal!$A$1:$L$890,COLUMN(HeadJournal!H$1),0),0)</f>
        <v>1.4576888399118411</v>
      </c>
      <c r="P320" s="30">
        <f>IFERROR(SUM(K320:O320)*VLOOKUP($A320,HeadJournal!$A$1:$L$890,COLUMN(HeadJournal!H$1),0),0)</f>
        <v>296.44354838709671</v>
      </c>
      <c r="Q320" s="29"/>
      <c r="R320" s="31"/>
      <c r="S320" s="31"/>
      <c r="T320" s="95" t="str">
        <f t="shared" si="24"/>
        <v/>
      </c>
      <c r="U320" s="32">
        <f t="shared" si="21"/>
        <v>-296.44354838709671</v>
      </c>
      <c r="V320" s="22" t="str">
        <f t="shared" si="22"/>
        <v/>
      </c>
      <c r="X320" s="33"/>
      <c r="Y320" s="33"/>
    </row>
    <row r="321" spans="1:25" x14ac:dyDescent="0.2">
      <c r="A321" s="93" t="s">
        <v>151</v>
      </c>
      <c r="B321" s="94" t="str">
        <f>IFERROR(VLOOKUP($A321,HeadJournal!$A$1:$NTR$890,COLUMN(HeadJournal!B$1),0),"")</f>
        <v>1Z095EE70250533986</v>
      </c>
      <c r="C321" s="94" t="str">
        <f>IFERROR(VLOOKUP($A321,HeadJournal!$A$1:$NTR$890,COLUMN(HeadJournal!C$1),0),"")</f>
        <v>iHerb_OA CZN6870</v>
      </c>
      <c r="D321" s="125" t="str">
        <f>IFERROR(VLOOKUP($A321,HeadJournal!$A$1:$NTR$890,COLUMN(HeadJournal!D$1),0),"")</f>
        <v>Доставлен</v>
      </c>
      <c r="E321" s="95">
        <f>IFERROR(VLOOKUP($A321,HeadJournal!$A$1:$NTR$890,COLUMN(HeadJournal!G$1),0),"")</f>
        <v>44877</v>
      </c>
      <c r="F321" s="95" t="str">
        <f t="shared" si="23"/>
        <v>2022 11</v>
      </c>
      <c r="G321" s="96" t="s">
        <v>5</v>
      </c>
      <c r="H321" s="175" t="s">
        <v>3632</v>
      </c>
      <c r="I321" s="176" t="s">
        <v>2008</v>
      </c>
      <c r="J321" s="97" t="s">
        <v>3675</v>
      </c>
      <c r="K321" s="29">
        <v>9.76</v>
      </c>
      <c r="L321" s="29">
        <v>-2.15</v>
      </c>
      <c r="M321" s="30">
        <f>IFERROR(VLOOKUP($A321,HeadJournal!$A$1:$J$890,COLUMN(HeadJournal!I$1),0)*($K321+$L321)/(SUMIF($A:$A,$A321,$K:$K)+SUMIF($A:$A,$A321,$L:$L)),0)</f>
        <v>-0.71545708862024171</v>
      </c>
      <c r="N321" s="30">
        <f>IFERROR((VLOOKUP($A321,HeadJournal!$A$1:$K$890,COLUMN(HeadJournal!K$1),0)-VLOOKUP($A321,HeadJournal!$A$1:$K$890,COLUMN(HeadJournal!J$1),0))*($K321+$L321)/(SUMIF($A:$A,$A321,$K:$K)+SUMIF($A:$A,$A321,$L:$L)),0)</f>
        <v>-1.0804736175710583E-15</v>
      </c>
      <c r="O321" s="30">
        <f>IFERROR((VLOOKUP($A321,HeadJournal!$A$1:$L$890,COLUMN(HeadJournal!L$1),0)*($K321+$L321)/(SUMIF($A:$A,$A321,$K:$K)+SUMIF($A:$A,$A321,$L:$L)))/VLOOKUP($A321,HeadJournal!$A$1:$L$890,COLUMN(HeadJournal!H$1),0),0)</f>
        <v>4.8247452450765316</v>
      </c>
      <c r="P321" s="30">
        <f>IFERROR(SUM(K321:O321)*VLOOKUP($A321,HeadJournal!$A$1:$L$890,COLUMN(HeadJournal!H$1),0),0)</f>
        <v>808.6308827954839</v>
      </c>
      <c r="Q321" s="29">
        <v>1700</v>
      </c>
      <c r="R321" s="31">
        <v>44968</v>
      </c>
      <c r="S321" s="31" t="s">
        <v>3121</v>
      </c>
      <c r="T321" s="95" t="str">
        <f t="shared" si="24"/>
        <v>2023 02</v>
      </c>
      <c r="U321" s="32">
        <f t="shared" si="21"/>
        <v>891.3691172045161</v>
      </c>
      <c r="V321" s="22">
        <f t="shared" si="22"/>
        <v>1.1023189148094386</v>
      </c>
      <c r="X321" s="33"/>
      <c r="Y321" s="33"/>
    </row>
    <row r="322" spans="1:25" x14ac:dyDescent="0.2">
      <c r="A322" s="93" t="s">
        <v>151</v>
      </c>
      <c r="B322" s="94" t="str">
        <f>IFERROR(VLOOKUP($A322,HeadJournal!$A$1:$NTR$890,COLUMN(HeadJournal!B$1),0),"")</f>
        <v>1Z095EE70250533986</v>
      </c>
      <c r="C322" s="94" t="str">
        <f>IFERROR(VLOOKUP($A322,HeadJournal!$A$1:$NTR$890,COLUMN(HeadJournal!C$1),0),"")</f>
        <v>iHerb_OA CZN6870</v>
      </c>
      <c r="D322" s="125" t="str">
        <f>IFERROR(VLOOKUP($A322,HeadJournal!$A$1:$NTR$890,COLUMN(HeadJournal!D$1),0),"")</f>
        <v>Доставлен</v>
      </c>
      <c r="E322" s="95">
        <f>IFERROR(VLOOKUP($A322,HeadJournal!$A$1:$NTR$890,COLUMN(HeadJournal!G$1),0),"")</f>
        <v>44877</v>
      </c>
      <c r="F322" s="95" t="str">
        <f t="shared" si="23"/>
        <v>2022 11</v>
      </c>
      <c r="G322" s="96" t="s">
        <v>5</v>
      </c>
      <c r="H322" s="161" t="s">
        <v>3585</v>
      </c>
      <c r="I322" s="97" t="s">
        <v>2052</v>
      </c>
      <c r="J322" s="97" t="s">
        <v>3586</v>
      </c>
      <c r="K322" s="29">
        <v>35</v>
      </c>
      <c r="L322" s="29">
        <v>-7.7</v>
      </c>
      <c r="M322" s="30">
        <f>IFERROR(VLOOKUP($A322,HeadJournal!$A$1:$J$890,COLUMN(HeadJournal!I$1),0)*($K322+$L322)/(SUMIF($A:$A,$A322,$K:$K)+SUMIF($A:$A,$A322,$L:$L)),0)</f>
        <v>-2.566620041962234</v>
      </c>
      <c r="N322" s="30">
        <f>IFERROR((VLOOKUP($A322,HeadJournal!$A$1:$K$890,COLUMN(HeadJournal!K$1),0)-VLOOKUP($A322,HeadJournal!$A$1:$K$890,COLUMN(HeadJournal!J$1),0))*($K322+$L322)/(SUMIF($A:$A,$A322,$K:$K)+SUMIF($A:$A,$A322,$L:$L)),0)</f>
        <v>-3.8760748698672661E-15</v>
      </c>
      <c r="O322" s="30">
        <f>IFERROR((VLOOKUP($A322,HeadJournal!$A$1:$L$890,COLUMN(HeadJournal!L$1),0)*($K322+$L322)/(SUMIF($A:$A,$A322,$K:$K)+SUMIF($A:$A,$A322,$L:$L)))/VLOOKUP($A322,HeadJournal!$A$1:$L$890,COLUMN(HeadJournal!H$1),0),0)</f>
        <v>17.30821881610898</v>
      </c>
      <c r="P322" s="30">
        <f>IFERROR(SUM(K322:O322)*VLOOKUP($A322,HeadJournal!$A$1:$L$890,COLUMN(HeadJournal!H$1),0),0)</f>
        <v>2900.8703154161253</v>
      </c>
      <c r="Q322" s="29">
        <v>2900.87</v>
      </c>
      <c r="R322" s="31">
        <v>44928</v>
      </c>
      <c r="S322" s="31" t="s">
        <v>3121</v>
      </c>
      <c r="T322" s="95" t="str">
        <f t="shared" si="24"/>
        <v>2023 01</v>
      </c>
      <c r="U322" s="32">
        <f t="shared" si="21"/>
        <v>-3.1541612543151132E-4</v>
      </c>
      <c r="V322" s="22">
        <f t="shared" si="22"/>
        <v>-1.0873154989221411E-7</v>
      </c>
      <c r="X322" s="33"/>
      <c r="Y322" s="33"/>
    </row>
    <row r="323" spans="1:25" x14ac:dyDescent="0.2">
      <c r="A323" s="93" t="s">
        <v>151</v>
      </c>
      <c r="B323" s="94" t="str">
        <f>IFERROR(VLOOKUP($A323,HeadJournal!$A$1:$NTR$890,COLUMN(HeadJournal!B$1),0),"")</f>
        <v>1Z095EE70250533986</v>
      </c>
      <c r="C323" s="94" t="str">
        <f>IFERROR(VLOOKUP($A323,HeadJournal!$A$1:$NTR$890,COLUMN(HeadJournal!C$1),0),"")</f>
        <v>iHerb_OA CZN6870</v>
      </c>
      <c r="D323" s="125" t="str">
        <f>IFERROR(VLOOKUP($A323,HeadJournal!$A$1:$NTR$890,COLUMN(HeadJournal!D$1),0),"")</f>
        <v>Доставлен</v>
      </c>
      <c r="E323" s="95">
        <f>IFERROR(VLOOKUP($A323,HeadJournal!$A$1:$NTR$890,COLUMN(HeadJournal!G$1),0),"")</f>
        <v>44877</v>
      </c>
      <c r="F323" s="95" t="str">
        <f t="shared" si="23"/>
        <v>2022 11</v>
      </c>
      <c r="G323" s="96" t="s">
        <v>5</v>
      </c>
      <c r="H323" s="161" t="s">
        <v>2623</v>
      </c>
      <c r="I323" s="97" t="s">
        <v>2052</v>
      </c>
      <c r="J323" s="97" t="s">
        <v>3915</v>
      </c>
      <c r="K323" s="29">
        <v>5</v>
      </c>
      <c r="L323" s="29">
        <v>-3</v>
      </c>
      <c r="M323" s="30">
        <f>IFERROR(VLOOKUP($A323,HeadJournal!$A$1:$J$890,COLUMN(HeadJournal!I$1),0)*($K323+$L323)/(SUMIF($A:$A,$A323,$K:$K)+SUMIF($A:$A,$A323,$L:$L)),0)</f>
        <v>-0.18803077230492554</v>
      </c>
      <c r="N323" s="30">
        <f>IFERROR((VLOOKUP($A323,HeadJournal!$A$1:$K$890,COLUMN(HeadJournal!K$1),0)-VLOOKUP($A323,HeadJournal!$A$1:$K$890,COLUMN(HeadJournal!J$1),0))*($K323+$L323)/(SUMIF($A:$A,$A323,$K:$K)+SUMIF($A:$A,$A323,$L:$L)),0)</f>
        <v>-2.8396152892800484E-16</v>
      </c>
      <c r="O323" s="30">
        <f>IFERROR((VLOOKUP($A323,HeadJournal!$A$1:$L$890,COLUMN(HeadJournal!L$1),0)*($K323+$L323)/(SUMIF($A:$A,$A323,$K:$K)+SUMIF($A:$A,$A323,$L:$L)))/VLOOKUP($A323,HeadJournal!$A$1:$L$890,COLUMN(HeadJournal!H$1),0),0)</f>
        <v>1.2680013784695221</v>
      </c>
      <c r="P323" s="30">
        <f>IFERROR(SUM(K323:O323)*VLOOKUP($A323,HeadJournal!$A$1:$L$890,COLUMN(HeadJournal!H$1),0),0)</f>
        <v>212.51797182535714</v>
      </c>
      <c r="Q323" s="29">
        <v>800</v>
      </c>
      <c r="R323" s="31">
        <v>44938</v>
      </c>
      <c r="S323" s="31" t="s">
        <v>3121</v>
      </c>
      <c r="T323" s="95" t="str">
        <f t="shared" si="24"/>
        <v>2023 01</v>
      </c>
      <c r="U323" s="32">
        <f t="shared" ref="U323:U386" si="26">Q323-P323</f>
        <v>587.48202817464289</v>
      </c>
      <c r="V323" s="22">
        <f t="shared" ref="V323:V386" si="27">IF(Q323&lt;&gt;0,IFERROR(U323/P323,""),"")</f>
        <v>2.7643875156940769</v>
      </c>
      <c r="X323" s="33"/>
      <c r="Y323" s="33"/>
    </row>
    <row r="324" spans="1:25" x14ac:dyDescent="0.2">
      <c r="A324" s="93" t="s">
        <v>151</v>
      </c>
      <c r="B324" s="94" t="str">
        <f>IFERROR(VLOOKUP($A324,HeadJournal!$A$1:$NTR$890,COLUMN(HeadJournal!B$1),0),"")</f>
        <v>1Z095EE70250533986</v>
      </c>
      <c r="C324" s="94" t="str">
        <f>IFERROR(VLOOKUP($A324,HeadJournal!$A$1:$NTR$890,COLUMN(HeadJournal!C$1),0),"")</f>
        <v>iHerb_OA CZN6870</v>
      </c>
      <c r="D324" s="125" t="str">
        <f>IFERROR(VLOOKUP($A324,HeadJournal!$A$1:$NTR$890,COLUMN(HeadJournal!D$1),0),"")</f>
        <v>Доставлен</v>
      </c>
      <c r="E324" s="95">
        <f>IFERROR(VLOOKUP($A324,HeadJournal!$A$1:$NTR$890,COLUMN(HeadJournal!G$1),0),"")</f>
        <v>44877</v>
      </c>
      <c r="F324" s="95" t="str">
        <f t="shared" ref="F324:F387" si="28">IFERROR(TEXT(E324, "ГГГГ ММ"),"")</f>
        <v>2022 11</v>
      </c>
      <c r="G324" s="96" t="s">
        <v>5</v>
      </c>
      <c r="H324" s="161" t="s">
        <v>3011</v>
      </c>
      <c r="I324" s="97" t="s">
        <v>2052</v>
      </c>
      <c r="J324" s="97" t="s">
        <v>3012</v>
      </c>
      <c r="K324" s="29">
        <v>6</v>
      </c>
      <c r="L324" s="29">
        <v>-3.6</v>
      </c>
      <c r="M324" s="30">
        <f>IFERROR(VLOOKUP($A324,HeadJournal!$A$1:$J$890,COLUMN(HeadJournal!I$1),0)*($K324+$L324)/(SUMIF($A:$A,$A324,$K:$K)+SUMIF($A:$A,$A324,$L:$L)),0)</f>
        <v>-0.22563692676591063</v>
      </c>
      <c r="N324" s="30">
        <f>IFERROR((VLOOKUP($A324,HeadJournal!$A$1:$K$890,COLUMN(HeadJournal!K$1),0)-VLOOKUP($A324,HeadJournal!$A$1:$K$890,COLUMN(HeadJournal!J$1),0))*($K324+$L324)/(SUMIF($A:$A,$A324,$K:$K)+SUMIF($A:$A,$A324,$L:$L)),0)</f>
        <v>-3.4075383471360579E-16</v>
      </c>
      <c r="O324" s="30">
        <f>IFERROR((VLOOKUP($A324,HeadJournal!$A$1:$L$890,COLUMN(HeadJournal!L$1),0)*($K324+$L324)/(SUMIF($A:$A,$A324,$K:$K)+SUMIF($A:$A,$A324,$L:$L)))/VLOOKUP($A324,HeadJournal!$A$1:$L$890,COLUMN(HeadJournal!H$1),0),0)</f>
        <v>1.5216016541634265</v>
      </c>
      <c r="P324" s="30">
        <f>IFERROR(SUM(K324:O324)*VLOOKUP($A324,HeadJournal!$A$1:$L$890,COLUMN(HeadJournal!H$1),0),0)</f>
        <v>255.02156619042859</v>
      </c>
      <c r="Q324" s="29">
        <v>800</v>
      </c>
      <c r="R324" s="31">
        <v>44930</v>
      </c>
      <c r="S324" s="31" t="s">
        <v>3121</v>
      </c>
      <c r="T324" s="95" t="str">
        <f t="shared" ref="T324:T387" si="29">IF(R324="","",TEXT(R324,"ГГГГ ММ"))</f>
        <v>2023 01</v>
      </c>
      <c r="U324" s="32">
        <f t="shared" si="26"/>
        <v>544.97843380957147</v>
      </c>
      <c r="V324" s="22">
        <f t="shared" si="27"/>
        <v>2.1369895964117309</v>
      </c>
      <c r="X324" s="33"/>
      <c r="Y324" s="33"/>
    </row>
    <row r="325" spans="1:25" x14ac:dyDescent="0.2">
      <c r="A325" s="93" t="s">
        <v>151</v>
      </c>
      <c r="B325" s="94" t="str">
        <f>IFERROR(VLOOKUP($A325,HeadJournal!$A$1:$NTR$890,COLUMN(HeadJournal!B$1),0),"")</f>
        <v>1Z095EE70250533986</v>
      </c>
      <c r="C325" s="94" t="str">
        <f>IFERROR(VLOOKUP($A325,HeadJournal!$A$1:$NTR$890,COLUMN(HeadJournal!C$1),0),"")</f>
        <v>iHerb_OA CZN6870</v>
      </c>
      <c r="D325" s="125" t="str">
        <f>IFERROR(VLOOKUP($A325,HeadJournal!$A$1:$NTR$890,COLUMN(HeadJournal!D$1),0),"")</f>
        <v>Доставлен</v>
      </c>
      <c r="E325" s="95">
        <f>IFERROR(VLOOKUP($A325,HeadJournal!$A$1:$NTR$890,COLUMN(HeadJournal!G$1),0),"")</f>
        <v>44877</v>
      </c>
      <c r="F325" s="95" t="str">
        <f t="shared" si="28"/>
        <v>2022 11</v>
      </c>
      <c r="G325" s="96" t="s">
        <v>5</v>
      </c>
      <c r="H325" s="161" t="s">
        <v>2771</v>
      </c>
      <c r="I325" s="97" t="s">
        <v>2052</v>
      </c>
      <c r="J325" s="97" t="s">
        <v>3858</v>
      </c>
      <c r="K325" s="29">
        <v>7</v>
      </c>
      <c r="L325" s="29">
        <v>-4</v>
      </c>
      <c r="M325" s="30">
        <f>IFERROR(VLOOKUP($A325,HeadJournal!$A$1:$J$890,COLUMN(HeadJournal!I$1),0)*($K325+$L325)/(SUMIF($A:$A,$A325,$K:$K)+SUMIF($A:$A,$A325,$L:$L)),0)</f>
        <v>-0.28204615845738829</v>
      </c>
      <c r="N325" s="30">
        <f>IFERROR((VLOOKUP($A325,HeadJournal!$A$1:$K$890,COLUMN(HeadJournal!K$1),0)-VLOOKUP($A325,HeadJournal!$A$1:$K$890,COLUMN(HeadJournal!J$1),0))*($K325+$L325)/(SUMIF($A:$A,$A325,$K:$K)+SUMIF($A:$A,$A325,$L:$L)),0)</f>
        <v>-4.2594229339200724E-16</v>
      </c>
      <c r="O325" s="30">
        <f>IFERROR((VLOOKUP($A325,HeadJournal!$A$1:$L$890,COLUMN(HeadJournal!L$1),0)*($K325+$L325)/(SUMIF($A:$A,$A325,$K:$K)+SUMIF($A:$A,$A325,$L:$L)))/VLOOKUP($A325,HeadJournal!$A$1:$L$890,COLUMN(HeadJournal!H$1),0),0)</f>
        <v>1.9020020677042833</v>
      </c>
      <c r="P325" s="30">
        <f>IFERROR(SUM(K325:O325)*VLOOKUP($A325,HeadJournal!$A$1:$L$890,COLUMN(HeadJournal!H$1),0),0)</f>
        <v>318.77695773803572</v>
      </c>
      <c r="Q325" s="29">
        <v>1100</v>
      </c>
      <c r="R325" s="31">
        <v>44930</v>
      </c>
      <c r="S325" s="31" t="s">
        <v>3121</v>
      </c>
      <c r="T325" s="95" t="str">
        <f t="shared" si="29"/>
        <v>2023 01</v>
      </c>
      <c r="U325" s="32">
        <f t="shared" si="26"/>
        <v>781.22304226196434</v>
      </c>
      <c r="V325" s="22">
        <f t="shared" si="27"/>
        <v>2.4506885560529041</v>
      </c>
      <c r="X325" s="33"/>
      <c r="Y325" s="33"/>
    </row>
    <row r="326" spans="1:25" x14ac:dyDescent="0.2">
      <c r="A326" s="93" t="s">
        <v>151</v>
      </c>
      <c r="B326" s="94" t="str">
        <f>IFERROR(VLOOKUP($A326,HeadJournal!$A$1:$NTR$890,COLUMN(HeadJournal!B$1),0),"")</f>
        <v>1Z095EE70250533986</v>
      </c>
      <c r="C326" s="94" t="str">
        <f>IFERROR(VLOOKUP($A326,HeadJournal!$A$1:$NTR$890,COLUMN(HeadJournal!C$1),0),"")</f>
        <v>iHerb_OA CZN6870</v>
      </c>
      <c r="D326" s="125" t="str">
        <f>IFERROR(VLOOKUP($A326,HeadJournal!$A$1:$NTR$890,COLUMN(HeadJournal!D$1),0),"")</f>
        <v>Доставлен</v>
      </c>
      <c r="E326" s="95">
        <f>IFERROR(VLOOKUP($A326,HeadJournal!$A$1:$NTR$890,COLUMN(HeadJournal!G$1),0),"")</f>
        <v>44877</v>
      </c>
      <c r="F326" s="95" t="str">
        <f t="shared" si="28"/>
        <v>2022 11</v>
      </c>
      <c r="G326" s="96" t="s">
        <v>5</v>
      </c>
      <c r="H326" s="161" t="s">
        <v>2771</v>
      </c>
      <c r="I326" s="97" t="s">
        <v>2052</v>
      </c>
      <c r="J326" s="97" t="s">
        <v>3858</v>
      </c>
      <c r="K326" s="29">
        <v>7</v>
      </c>
      <c r="L326" s="29">
        <v>-4</v>
      </c>
      <c r="M326" s="30">
        <f>IFERROR(VLOOKUP($A326,HeadJournal!$A$1:$J$890,COLUMN(HeadJournal!I$1),0)*($K326+$L326)/(SUMIF($A:$A,$A326,$K:$K)+SUMIF($A:$A,$A326,$L:$L)),0)</f>
        <v>-0.28204615845738829</v>
      </c>
      <c r="N326" s="30">
        <f>IFERROR((VLOOKUP($A326,HeadJournal!$A$1:$K$890,COLUMN(HeadJournal!K$1),0)-VLOOKUP($A326,HeadJournal!$A$1:$K$890,COLUMN(HeadJournal!J$1),0))*($K326+$L326)/(SUMIF($A:$A,$A326,$K:$K)+SUMIF($A:$A,$A326,$L:$L)),0)</f>
        <v>-4.2594229339200724E-16</v>
      </c>
      <c r="O326" s="30">
        <f>IFERROR((VLOOKUP($A326,HeadJournal!$A$1:$L$890,COLUMN(HeadJournal!L$1),0)*($K326+$L326)/(SUMIF($A:$A,$A326,$K:$K)+SUMIF($A:$A,$A326,$L:$L)))/VLOOKUP($A326,HeadJournal!$A$1:$L$890,COLUMN(HeadJournal!H$1),0),0)</f>
        <v>1.9020020677042833</v>
      </c>
      <c r="P326" s="30">
        <f>IFERROR(SUM(K326:O326)*VLOOKUP($A326,HeadJournal!$A$1:$L$890,COLUMN(HeadJournal!H$1),0),0)</f>
        <v>318.77695773803572</v>
      </c>
      <c r="Q326" s="29">
        <v>1200</v>
      </c>
      <c r="R326" s="31">
        <v>44944</v>
      </c>
      <c r="S326" s="31" t="s">
        <v>3121</v>
      </c>
      <c r="T326" s="95" t="str">
        <f t="shared" si="29"/>
        <v>2023 01</v>
      </c>
      <c r="U326" s="32">
        <f t="shared" si="26"/>
        <v>881.22304226196434</v>
      </c>
      <c r="V326" s="22">
        <f t="shared" si="27"/>
        <v>2.7643875156940769</v>
      </c>
      <c r="X326" s="33"/>
      <c r="Y326" s="33"/>
    </row>
    <row r="327" spans="1:25" x14ac:dyDescent="0.2">
      <c r="A327" s="93" t="s">
        <v>151</v>
      </c>
      <c r="B327" s="94" t="str">
        <f>IFERROR(VLOOKUP($A327,HeadJournal!$A$1:$NTR$890,COLUMN(HeadJournal!B$1),0),"")</f>
        <v>1Z095EE70250533986</v>
      </c>
      <c r="C327" s="94" t="str">
        <f>IFERROR(VLOOKUP($A327,HeadJournal!$A$1:$NTR$890,COLUMN(HeadJournal!C$1),0),"")</f>
        <v>iHerb_OA CZN6870</v>
      </c>
      <c r="D327" s="125" t="str">
        <f>IFERROR(VLOOKUP($A327,HeadJournal!$A$1:$NTR$890,COLUMN(HeadJournal!D$1),0),"")</f>
        <v>Доставлен</v>
      </c>
      <c r="E327" s="95">
        <f>IFERROR(VLOOKUP($A327,HeadJournal!$A$1:$NTR$890,COLUMN(HeadJournal!G$1),0),"")</f>
        <v>44877</v>
      </c>
      <c r="F327" s="95" t="str">
        <f t="shared" si="28"/>
        <v>2022 11</v>
      </c>
      <c r="G327" s="96" t="s">
        <v>5</v>
      </c>
      <c r="H327" s="160" t="str">
        <f>RIGHT(Journal!$J327,9)</f>
        <v>NOW-00369</v>
      </c>
      <c r="I327" s="96" t="str">
        <f t="shared" ref="I327:I385" si="30">IFERROR(LEFT(J327,FIND(",",J327)-1),"")</f>
        <v>NOW Foods</v>
      </c>
      <c r="J327" s="97" t="s">
        <v>126</v>
      </c>
      <c r="K327" s="29">
        <v>8.7799999999999994</v>
      </c>
      <c r="L327" s="29">
        <v>-2.63</v>
      </c>
      <c r="M327" s="30">
        <f>IFERROR(VLOOKUP($A327,HeadJournal!$A$1:$J$890,COLUMN(HeadJournal!I$1),0)*($K327+$L327)/(SUMIF($A:$A,$A327,$K:$K)+SUMIF($A:$A,$A327,$L:$L)),0)</f>
        <v>-0.57819462483764594</v>
      </c>
      <c r="N327" s="30">
        <f>IFERROR((VLOOKUP($A327,HeadJournal!$A$1:$K$890,COLUMN(HeadJournal!K$1),0)-VLOOKUP($A327,HeadJournal!$A$1:$K$890,COLUMN(HeadJournal!J$1),0))*($K327+$L327)/(SUMIF($A:$A,$A327,$K:$K)+SUMIF($A:$A,$A327,$L:$L)),0)</f>
        <v>-8.7318170145361477E-16</v>
      </c>
      <c r="O327" s="30">
        <f>IFERROR((VLOOKUP($A327,HeadJournal!$A$1:$L$890,COLUMN(HeadJournal!L$1),0)*($K327+$L327)/(SUMIF($A:$A,$A327,$K:$K)+SUMIF($A:$A,$A327,$L:$L)))/VLOOKUP($A327,HeadJournal!$A$1:$L$890,COLUMN(HeadJournal!H$1),0),0)</f>
        <v>3.8991042387937807</v>
      </c>
      <c r="P327" s="30">
        <f>IFERROR(SUM(K327:O327)*VLOOKUP($A327,HeadJournal!$A$1:$L$890,COLUMN(HeadJournal!H$1),0),0)</f>
        <v>653.49276336297328</v>
      </c>
      <c r="Q327" s="29">
        <v>1400</v>
      </c>
      <c r="R327" s="31">
        <v>44966</v>
      </c>
      <c r="S327" s="31" t="s">
        <v>3121</v>
      </c>
      <c r="T327" s="95" t="str">
        <f t="shared" si="29"/>
        <v>2023 02</v>
      </c>
      <c r="U327" s="32">
        <f t="shared" si="26"/>
        <v>746.50723663702672</v>
      </c>
      <c r="V327" s="22">
        <f t="shared" si="27"/>
        <v>1.1423343585250842</v>
      </c>
      <c r="X327" s="33"/>
      <c r="Y327" s="33"/>
    </row>
    <row r="328" spans="1:25" x14ac:dyDescent="0.2">
      <c r="A328" s="93" t="s">
        <v>151</v>
      </c>
      <c r="B328" s="94" t="str">
        <f>IFERROR(VLOOKUP($A328,HeadJournal!$A$1:$NTR$890,COLUMN(HeadJournal!B$1),0),"")</f>
        <v>1Z095EE70250533986</v>
      </c>
      <c r="C328" s="94" t="str">
        <f>IFERROR(VLOOKUP($A328,HeadJournal!$A$1:$NTR$890,COLUMN(HeadJournal!C$1),0),"")</f>
        <v>iHerb_OA CZN6870</v>
      </c>
      <c r="D328" s="125" t="str">
        <f>IFERROR(VLOOKUP($A328,HeadJournal!$A$1:$NTR$890,COLUMN(HeadJournal!D$1),0),"")</f>
        <v>Доставлен</v>
      </c>
      <c r="E328" s="95">
        <f>IFERROR(VLOOKUP($A328,HeadJournal!$A$1:$NTR$890,COLUMN(HeadJournal!G$1),0),"")</f>
        <v>44877</v>
      </c>
      <c r="F328" s="95" t="str">
        <f t="shared" si="28"/>
        <v>2022 11</v>
      </c>
      <c r="G328" s="96" t="s">
        <v>5</v>
      </c>
      <c r="H328" s="160" t="str">
        <f>RIGHT(Journal!$J328,9)</f>
        <v>CEN-27308</v>
      </c>
      <c r="I328" s="96" t="str">
        <f t="shared" si="30"/>
        <v>21st Century</v>
      </c>
      <c r="J328" s="97" t="s">
        <v>98</v>
      </c>
      <c r="K328" s="29">
        <v>6.36</v>
      </c>
      <c r="L328" s="29">
        <v>-1.4</v>
      </c>
      <c r="M328" s="30">
        <f>IFERROR(VLOOKUP($A328,HeadJournal!$A$1:$J$890,COLUMN(HeadJournal!I$1),0)*($K328+$L328)/(SUMIF($A:$A,$A328,$K:$K)+SUMIF($A:$A,$A328,$L:$L)),0)</f>
        <v>-0.46631631531621542</v>
      </c>
      <c r="N328" s="30">
        <f>IFERROR((VLOOKUP($A328,HeadJournal!$A$1:$K$890,COLUMN(HeadJournal!K$1),0)-VLOOKUP($A328,HeadJournal!$A$1:$K$890,COLUMN(HeadJournal!J$1),0))*($K328+$L328)/(SUMIF($A:$A,$A328,$K:$K)+SUMIF($A:$A,$A328,$L:$L)),0)</f>
        <v>-7.0422459174145206E-16</v>
      </c>
      <c r="O328" s="30">
        <f>IFERROR((VLOOKUP($A328,HeadJournal!$A$1:$L$890,COLUMN(HeadJournal!L$1),0)*($K328+$L328)/(SUMIF($A:$A,$A328,$K:$K)+SUMIF($A:$A,$A328,$L:$L)))/VLOOKUP($A328,HeadJournal!$A$1:$L$890,COLUMN(HeadJournal!H$1),0),0)</f>
        <v>3.1446434186044159</v>
      </c>
      <c r="P328" s="30">
        <f>IFERROR(SUM(K328:O328)*VLOOKUP($A328,HeadJournal!$A$1:$L$890,COLUMN(HeadJournal!H$1),0),0)</f>
        <v>527.04457012688579</v>
      </c>
      <c r="Q328" s="29">
        <v>1500</v>
      </c>
      <c r="R328" s="31">
        <v>44930</v>
      </c>
      <c r="S328" s="31" t="s">
        <v>3121</v>
      </c>
      <c r="T328" s="95" t="str">
        <f t="shared" si="29"/>
        <v>2023 01</v>
      </c>
      <c r="U328" s="32">
        <f t="shared" si="26"/>
        <v>972.95542987311421</v>
      </c>
      <c r="V328" s="22">
        <f t="shared" si="27"/>
        <v>1.8460591096477392</v>
      </c>
      <c r="X328" s="33"/>
      <c r="Y328" s="33"/>
    </row>
    <row r="329" spans="1:25" x14ac:dyDescent="0.2">
      <c r="A329" s="93" t="s">
        <v>151</v>
      </c>
      <c r="B329" s="94" t="str">
        <f>IFERROR(VLOOKUP($A329,HeadJournal!$A$1:$NTR$890,COLUMN(HeadJournal!B$1),0),"")</f>
        <v>1Z095EE70250533986</v>
      </c>
      <c r="C329" s="94" t="str">
        <f>IFERROR(VLOOKUP($A329,HeadJournal!$A$1:$NTR$890,COLUMN(HeadJournal!C$1),0),"")</f>
        <v>iHerb_OA CZN6870</v>
      </c>
      <c r="D329" s="125" t="str">
        <f>IFERROR(VLOOKUP($A329,HeadJournal!$A$1:$NTR$890,COLUMN(HeadJournal!D$1),0),"")</f>
        <v>Доставлен</v>
      </c>
      <c r="E329" s="95">
        <f>IFERROR(VLOOKUP($A329,HeadJournal!$A$1:$NTR$890,COLUMN(HeadJournal!G$1),0),"")</f>
        <v>44877</v>
      </c>
      <c r="F329" s="95" t="str">
        <f t="shared" si="28"/>
        <v>2022 11</v>
      </c>
      <c r="G329" s="96" t="s">
        <v>5</v>
      </c>
      <c r="H329" s="160" t="str">
        <f>RIGHT(Journal!$J329,9)</f>
        <v>CEN-27305</v>
      </c>
      <c r="I329" s="96" t="str">
        <f t="shared" si="30"/>
        <v>21st Century</v>
      </c>
      <c r="J329" s="97" t="s">
        <v>99</v>
      </c>
      <c r="K329" s="29">
        <v>6.31</v>
      </c>
      <c r="L329" s="29">
        <v>-1.39</v>
      </c>
      <c r="M329" s="30">
        <f>IFERROR(VLOOKUP($A329,HeadJournal!$A$1:$J$890,COLUMN(HeadJournal!I$1),0)*($K329+$L329)/(SUMIF($A:$A,$A329,$K:$K)+SUMIF($A:$A,$A329,$L:$L)),0)</f>
        <v>-0.4625556998701168</v>
      </c>
      <c r="N329" s="30">
        <f>IFERROR((VLOOKUP($A329,HeadJournal!$A$1:$K$890,COLUMN(HeadJournal!K$1),0)-VLOOKUP($A329,HeadJournal!$A$1:$K$890,COLUMN(HeadJournal!J$1),0))*($K329+$L329)/(SUMIF($A:$A,$A329,$K:$K)+SUMIF($A:$A,$A329,$L:$L)),0)</f>
        <v>-6.9854536116289184E-16</v>
      </c>
      <c r="O329" s="30">
        <f>IFERROR((VLOOKUP($A329,HeadJournal!$A$1:$L$890,COLUMN(HeadJournal!L$1),0)*($K329+$L329)/(SUMIF($A:$A,$A329,$K:$K)+SUMIF($A:$A,$A329,$L:$L)))/VLOOKUP($A329,HeadJournal!$A$1:$L$890,COLUMN(HeadJournal!H$1),0),0)</f>
        <v>3.1192833910350246</v>
      </c>
      <c r="P329" s="30">
        <f>IFERROR(SUM(K329:O329)*VLOOKUP($A329,HeadJournal!$A$1:$L$890,COLUMN(HeadJournal!H$1),0),0)</f>
        <v>522.79421069037858</v>
      </c>
      <c r="Q329" s="29">
        <v>1500</v>
      </c>
      <c r="R329" s="31">
        <v>44945</v>
      </c>
      <c r="S329" s="31" t="s">
        <v>3121</v>
      </c>
      <c r="T329" s="95" t="str">
        <f t="shared" si="29"/>
        <v>2023 01</v>
      </c>
      <c r="U329" s="32">
        <f t="shared" si="26"/>
        <v>977.20578930962142</v>
      </c>
      <c r="V329" s="22">
        <f t="shared" si="27"/>
        <v>1.8691978015960951</v>
      </c>
      <c r="X329" s="33"/>
      <c r="Y329" s="33"/>
    </row>
    <row r="330" spans="1:25" x14ac:dyDescent="0.2">
      <c r="A330" s="93" t="s">
        <v>151</v>
      </c>
      <c r="B330" s="94" t="str">
        <f>IFERROR(VLOOKUP($A330,HeadJournal!$A$1:$NTR$890,COLUMN(HeadJournal!B$1),0),"")</f>
        <v>1Z095EE70250533986</v>
      </c>
      <c r="C330" s="94" t="str">
        <f>IFERROR(VLOOKUP($A330,HeadJournal!$A$1:$NTR$890,COLUMN(HeadJournal!C$1),0),"")</f>
        <v>iHerb_OA CZN6870</v>
      </c>
      <c r="D330" s="125" t="str">
        <f>IFERROR(VLOOKUP($A330,HeadJournal!$A$1:$NTR$890,COLUMN(HeadJournal!D$1),0),"")</f>
        <v>Доставлен</v>
      </c>
      <c r="E330" s="95">
        <f>IFERROR(VLOOKUP($A330,HeadJournal!$A$1:$NTR$890,COLUMN(HeadJournal!G$1),0),"")</f>
        <v>44877</v>
      </c>
      <c r="F330" s="95" t="str">
        <f t="shared" si="28"/>
        <v>2022 11</v>
      </c>
      <c r="G330" s="96" t="s">
        <v>5</v>
      </c>
      <c r="H330" s="160" t="str">
        <f>RIGHT(Journal!$J330,9)</f>
        <v>CEN-27304</v>
      </c>
      <c r="I330" s="96" t="str">
        <f t="shared" si="30"/>
        <v>21st Century</v>
      </c>
      <c r="J330" s="97" t="s">
        <v>97</v>
      </c>
      <c r="K330" s="29">
        <v>6.31</v>
      </c>
      <c r="L330" s="29">
        <v>-1.39</v>
      </c>
      <c r="M330" s="30">
        <f>IFERROR(VLOOKUP($A330,HeadJournal!$A$1:$J$890,COLUMN(HeadJournal!I$1),0)*($K330+$L330)/(SUMIF($A:$A,$A330,$K:$K)+SUMIF($A:$A,$A330,$L:$L)),0)</f>
        <v>-0.4625556998701168</v>
      </c>
      <c r="N330" s="30">
        <f>IFERROR((VLOOKUP($A330,HeadJournal!$A$1:$K$890,COLUMN(HeadJournal!K$1),0)-VLOOKUP($A330,HeadJournal!$A$1:$K$890,COLUMN(HeadJournal!J$1),0))*($K330+$L330)/(SUMIF($A:$A,$A330,$K:$K)+SUMIF($A:$A,$A330,$L:$L)),0)</f>
        <v>-6.9854536116289184E-16</v>
      </c>
      <c r="O330" s="30">
        <f>IFERROR((VLOOKUP($A330,HeadJournal!$A$1:$L$890,COLUMN(HeadJournal!L$1),0)*($K330+$L330)/(SUMIF($A:$A,$A330,$K:$K)+SUMIF($A:$A,$A330,$L:$L)))/VLOOKUP($A330,HeadJournal!$A$1:$L$890,COLUMN(HeadJournal!H$1),0),0)</f>
        <v>3.1192833910350246</v>
      </c>
      <c r="P330" s="30">
        <f>IFERROR(SUM(K330:O330)*VLOOKUP($A330,HeadJournal!$A$1:$L$890,COLUMN(HeadJournal!H$1),0),0)</f>
        <v>522.79421069037858</v>
      </c>
      <c r="Q330" s="29">
        <v>1500</v>
      </c>
      <c r="R330" s="31">
        <v>44957</v>
      </c>
      <c r="S330" s="31" t="s">
        <v>3121</v>
      </c>
      <c r="T330" s="95" t="str">
        <f t="shared" si="29"/>
        <v>2023 01</v>
      </c>
      <c r="U330" s="32">
        <f t="shared" si="26"/>
        <v>977.20578930962142</v>
      </c>
      <c r="V330" s="22">
        <f t="shared" si="27"/>
        <v>1.8691978015960951</v>
      </c>
      <c r="X330" s="33"/>
      <c r="Y330" s="33"/>
    </row>
    <row r="331" spans="1:25" x14ac:dyDescent="0.2">
      <c r="A331" s="93" t="s">
        <v>151</v>
      </c>
      <c r="B331" s="94" t="str">
        <f>IFERROR(VLOOKUP($A331,HeadJournal!$A$1:$NTR$890,COLUMN(HeadJournal!B$1),0),"")</f>
        <v>1Z095EE70250533986</v>
      </c>
      <c r="C331" s="94" t="str">
        <f>IFERROR(VLOOKUP($A331,HeadJournal!$A$1:$NTR$890,COLUMN(HeadJournal!C$1),0),"")</f>
        <v>iHerb_OA CZN6870</v>
      </c>
      <c r="D331" s="125" t="str">
        <f>IFERROR(VLOOKUP($A331,HeadJournal!$A$1:$NTR$890,COLUMN(HeadJournal!D$1),0),"")</f>
        <v>Доставлен</v>
      </c>
      <c r="E331" s="95">
        <f>IFERROR(VLOOKUP($A331,HeadJournal!$A$1:$NTR$890,COLUMN(HeadJournal!G$1),0),"")</f>
        <v>44877</v>
      </c>
      <c r="F331" s="95" t="str">
        <f t="shared" si="28"/>
        <v>2022 11</v>
      </c>
      <c r="G331" s="96" t="s">
        <v>5</v>
      </c>
      <c r="H331" s="160" t="str">
        <f>RIGHT(Journal!$J331,9)</f>
        <v>CEN-27493</v>
      </c>
      <c r="I331" s="96" t="str">
        <f t="shared" si="30"/>
        <v>21st Century</v>
      </c>
      <c r="J331" s="97" t="s">
        <v>152</v>
      </c>
      <c r="K331" s="29">
        <v>8.4499999999999993</v>
      </c>
      <c r="L331" s="29">
        <v>-1.86</v>
      </c>
      <c r="M331" s="30">
        <f>IFERROR(VLOOKUP($A331,HeadJournal!$A$1:$J$890,COLUMN(HeadJournal!I$1),0)*($K331+$L331)/(SUMIF($A:$A,$A331,$K:$K)+SUMIF($A:$A,$A331,$L:$L)),0)</f>
        <v>-0.61956139474472949</v>
      </c>
      <c r="N331" s="30">
        <f>IFERROR((VLOOKUP($A331,HeadJournal!$A$1:$K$890,COLUMN(HeadJournal!K$1),0)-VLOOKUP($A331,HeadJournal!$A$1:$K$890,COLUMN(HeadJournal!J$1),0))*($K331+$L331)/(SUMIF($A:$A,$A331,$K:$K)+SUMIF($A:$A,$A331,$L:$L)),0)</f>
        <v>-9.3565323781777579E-16</v>
      </c>
      <c r="O331" s="30">
        <f>IFERROR((VLOOKUP($A331,HeadJournal!$A$1:$L$890,COLUMN(HeadJournal!L$1),0)*($K331+$L331)/(SUMIF($A:$A,$A331,$K:$K)+SUMIF($A:$A,$A331,$L:$L)))/VLOOKUP($A331,HeadJournal!$A$1:$L$890,COLUMN(HeadJournal!H$1),0),0)</f>
        <v>4.1780645420570748</v>
      </c>
      <c r="P331" s="30">
        <f>IFERROR(SUM(K331:O331)*VLOOKUP($A331,HeadJournal!$A$1:$L$890,COLUMN(HeadJournal!H$1),0),0)</f>
        <v>700.24671716455168</v>
      </c>
      <c r="Q331" s="29">
        <v>1200</v>
      </c>
      <c r="R331" s="31">
        <v>44937</v>
      </c>
      <c r="S331" s="31" t="s">
        <v>3121</v>
      </c>
      <c r="T331" s="95" t="str">
        <f t="shared" si="29"/>
        <v>2023 01</v>
      </c>
      <c r="U331" s="32">
        <f t="shared" si="26"/>
        <v>499.75328283544832</v>
      </c>
      <c r="V331" s="22">
        <f t="shared" si="27"/>
        <v>0.71368172186376821</v>
      </c>
      <c r="X331" s="33"/>
      <c r="Y331" s="33"/>
    </row>
    <row r="332" spans="1:25" x14ac:dyDescent="0.2">
      <c r="A332" s="93" t="s">
        <v>151</v>
      </c>
      <c r="B332" s="94" t="str">
        <f>IFERROR(VLOOKUP($A332,HeadJournal!$A$1:$NTR$890,COLUMN(HeadJournal!B$1),0),"")</f>
        <v>1Z095EE70250533986</v>
      </c>
      <c r="C332" s="94" t="str">
        <f>IFERROR(VLOOKUP($A332,HeadJournal!$A$1:$NTR$890,COLUMN(HeadJournal!C$1),0),"")</f>
        <v>iHerb_OA CZN6870</v>
      </c>
      <c r="D332" s="125" t="str">
        <f>IFERROR(VLOOKUP($A332,HeadJournal!$A$1:$NTR$890,COLUMN(HeadJournal!D$1),0),"")</f>
        <v>Доставлен</v>
      </c>
      <c r="E332" s="95">
        <f>IFERROR(VLOOKUP($A332,HeadJournal!$A$1:$NTR$890,COLUMN(HeadJournal!G$1),0),"")</f>
        <v>44877</v>
      </c>
      <c r="F332" s="95" t="str">
        <f t="shared" si="28"/>
        <v>2022 11</v>
      </c>
      <c r="G332" s="96" t="s">
        <v>5</v>
      </c>
      <c r="H332" s="160" t="str">
        <f>RIGHT(Journal!$J332,9)</f>
        <v>CEN-27070</v>
      </c>
      <c r="I332" s="96" t="str">
        <f t="shared" si="30"/>
        <v>21st Century</v>
      </c>
      <c r="J332" s="97" t="s">
        <v>135</v>
      </c>
      <c r="K332" s="29">
        <v>6.79</v>
      </c>
      <c r="L332" s="29">
        <v>-1.49</v>
      </c>
      <c r="M332" s="30">
        <f>IFERROR(VLOOKUP($A332,HeadJournal!$A$1:$J$890,COLUMN(HeadJournal!I$1),0)*($K332+$L332)/(SUMIF($A:$A,$A332,$K:$K)+SUMIF($A:$A,$A332,$L:$L)),0)</f>
        <v>-0.49828154660805263</v>
      </c>
      <c r="N332" s="30">
        <f>IFERROR((VLOOKUP($A332,HeadJournal!$A$1:$K$890,COLUMN(HeadJournal!K$1),0)-VLOOKUP($A332,HeadJournal!$A$1:$K$890,COLUMN(HeadJournal!J$1),0))*($K332+$L332)/(SUMIF($A:$A,$A332,$K:$K)+SUMIF($A:$A,$A332,$L:$L)),0)</f>
        <v>-7.5249805165921278E-16</v>
      </c>
      <c r="O332" s="30">
        <f>IFERROR((VLOOKUP($A332,HeadJournal!$A$1:$L$890,COLUMN(HeadJournal!L$1),0)*($K332+$L332)/(SUMIF($A:$A,$A332,$K:$K)+SUMIF($A:$A,$A332,$L:$L)))/VLOOKUP($A332,HeadJournal!$A$1:$L$890,COLUMN(HeadJournal!H$1),0),0)</f>
        <v>3.3602036529442336</v>
      </c>
      <c r="P332" s="30">
        <f>IFERROR(SUM(K332:O332)*VLOOKUP($A332,HeadJournal!$A$1:$L$890,COLUMN(HeadJournal!H$1),0),0)</f>
        <v>563.17262533719634</v>
      </c>
      <c r="Q332" s="29">
        <v>1200</v>
      </c>
      <c r="R332" s="31">
        <v>45204</v>
      </c>
      <c r="S332" s="31" t="s">
        <v>3121</v>
      </c>
      <c r="T332" s="95" t="str">
        <f t="shared" si="29"/>
        <v>2023 10</v>
      </c>
      <c r="U332" s="32">
        <f t="shared" si="26"/>
        <v>636.82737466280366</v>
      </c>
      <c r="V332" s="22">
        <f t="shared" si="27"/>
        <v>1.1307853862419306</v>
      </c>
      <c r="X332" s="33"/>
      <c r="Y332" s="33"/>
    </row>
    <row r="333" spans="1:25" x14ac:dyDescent="0.2">
      <c r="A333" s="93" t="s">
        <v>151</v>
      </c>
      <c r="B333" s="94" t="str">
        <f>IFERROR(VLOOKUP($A333,HeadJournal!$A$1:$NTR$890,COLUMN(HeadJournal!B$1),0),"")</f>
        <v>1Z095EE70250533986</v>
      </c>
      <c r="C333" s="94" t="str">
        <f>IFERROR(VLOOKUP($A333,HeadJournal!$A$1:$NTR$890,COLUMN(HeadJournal!C$1),0),"")</f>
        <v>iHerb_OA CZN6870</v>
      </c>
      <c r="D333" s="125" t="str">
        <f>IFERROR(VLOOKUP($A333,HeadJournal!$A$1:$NTR$890,COLUMN(HeadJournal!D$1),0),"")</f>
        <v>Доставлен</v>
      </c>
      <c r="E333" s="95">
        <f>IFERROR(VLOOKUP($A333,HeadJournal!$A$1:$NTR$890,COLUMN(HeadJournal!G$1),0),"")</f>
        <v>44877</v>
      </c>
      <c r="F333" s="95" t="str">
        <f t="shared" si="28"/>
        <v>2022 11</v>
      </c>
      <c r="G333" s="96" t="s">
        <v>5</v>
      </c>
      <c r="H333" s="160" t="str">
        <f>RIGHT(Journal!$J333,9)</f>
        <v>NOW-04603</v>
      </c>
      <c r="I333" s="96" t="str">
        <f t="shared" si="30"/>
        <v>NOW Foods</v>
      </c>
      <c r="J333" s="97" t="s">
        <v>153</v>
      </c>
      <c r="K333" s="29">
        <v>8.57</v>
      </c>
      <c r="L333" s="29">
        <v>-1.89</v>
      </c>
      <c r="M333" s="30">
        <f>IFERROR(VLOOKUP($A333,HeadJournal!$A$1:$J$890,COLUMN(HeadJournal!I$1),0)*($K333+$L333)/(SUMIF($A:$A,$A333,$K:$K)+SUMIF($A:$A,$A333,$L:$L)),0)</f>
        <v>-0.62802277949845142</v>
      </c>
      <c r="N333" s="30">
        <f>IFERROR((VLOOKUP($A333,HeadJournal!$A$1:$K$890,COLUMN(HeadJournal!K$1),0)-VLOOKUP($A333,HeadJournal!$A$1:$K$890,COLUMN(HeadJournal!J$1),0))*($K333+$L333)/(SUMIF($A:$A,$A333,$K:$K)+SUMIF($A:$A,$A333,$L:$L)),0)</f>
        <v>-9.4843150661953621E-16</v>
      </c>
      <c r="O333" s="30">
        <f>IFERROR((VLOOKUP($A333,HeadJournal!$A$1:$L$890,COLUMN(HeadJournal!L$1),0)*($K333+$L333)/(SUMIF($A:$A,$A333,$K:$K)+SUMIF($A:$A,$A333,$L:$L)))/VLOOKUP($A333,HeadJournal!$A$1:$L$890,COLUMN(HeadJournal!H$1),0),0)</f>
        <v>4.2351246040882042</v>
      </c>
      <c r="P333" s="30">
        <f>IFERROR(SUM(K333:O333)*VLOOKUP($A333,HeadJournal!$A$1:$L$890,COLUMN(HeadJournal!H$1),0),0)</f>
        <v>709.81002589669299</v>
      </c>
      <c r="Q333" s="29">
        <v>1400</v>
      </c>
      <c r="R333" s="31">
        <v>44940</v>
      </c>
      <c r="S333" s="31" t="s">
        <v>3121</v>
      </c>
      <c r="T333" s="95" t="str">
        <f t="shared" si="29"/>
        <v>2023 01</v>
      </c>
      <c r="U333" s="32">
        <f t="shared" si="26"/>
        <v>690.18997410330701</v>
      </c>
      <c r="V333" s="22">
        <f t="shared" si="27"/>
        <v>0.97235872828282433</v>
      </c>
      <c r="X333" s="33"/>
      <c r="Y333" s="33"/>
    </row>
    <row r="334" spans="1:25" x14ac:dyDescent="0.2">
      <c r="A334" s="93" t="s">
        <v>151</v>
      </c>
      <c r="B334" s="94" t="str">
        <f>IFERROR(VLOOKUP($A334,HeadJournal!$A$1:$NTR$890,COLUMN(HeadJournal!B$1),0),"")</f>
        <v>1Z095EE70250533986</v>
      </c>
      <c r="C334" s="94" t="str">
        <f>IFERROR(VLOOKUP($A334,HeadJournal!$A$1:$NTR$890,COLUMN(HeadJournal!C$1),0),"")</f>
        <v>iHerb_OA CZN6870</v>
      </c>
      <c r="D334" s="125" t="str">
        <f>IFERROR(VLOOKUP($A334,HeadJournal!$A$1:$NTR$890,COLUMN(HeadJournal!D$1),0),"")</f>
        <v>Доставлен</v>
      </c>
      <c r="E334" s="95">
        <f>IFERROR(VLOOKUP($A334,HeadJournal!$A$1:$NTR$890,COLUMN(HeadJournal!G$1),0),"")</f>
        <v>44877</v>
      </c>
      <c r="F334" s="95" t="str">
        <f t="shared" si="28"/>
        <v>2022 11</v>
      </c>
      <c r="G334" s="96" t="s">
        <v>5</v>
      </c>
      <c r="H334" s="160" t="str">
        <f>RIGHT(Journal!$J334,9)</f>
        <v>NWY-15788</v>
      </c>
      <c r="I334" s="96" t="str">
        <f t="shared" si="30"/>
        <v>Nature's Way</v>
      </c>
      <c r="J334" s="97" t="s">
        <v>69</v>
      </c>
      <c r="K334" s="29">
        <v>10.65</v>
      </c>
      <c r="L334" s="29">
        <v>-2.34</v>
      </c>
      <c r="M334" s="30">
        <f>IFERROR(VLOOKUP($A334,HeadJournal!$A$1:$J$890,COLUMN(HeadJournal!I$1),0)*($K334+$L334)/(SUMIF($A:$A,$A334,$K:$K)+SUMIF($A:$A,$A334,$L:$L)),0)</f>
        <v>-0.78126785892696571</v>
      </c>
      <c r="N334" s="30">
        <f>IFERROR((VLOOKUP($A334,HeadJournal!$A$1:$K$890,COLUMN(HeadJournal!K$1),0)-VLOOKUP($A334,HeadJournal!$A$1:$K$890,COLUMN(HeadJournal!J$1),0))*($K334+$L334)/(SUMIF($A:$A,$A334,$K:$K)+SUMIF($A:$A,$A334,$L:$L)),0)</f>
        <v>-1.1798601526958601E-15</v>
      </c>
      <c r="O334" s="30">
        <f>IFERROR((VLOOKUP($A334,HeadJournal!$A$1:$L$890,COLUMN(HeadJournal!L$1),0)*($K334+$L334)/(SUMIF($A:$A,$A334,$K:$K)+SUMIF($A:$A,$A334,$L:$L)))/VLOOKUP($A334,HeadJournal!$A$1:$L$890,COLUMN(HeadJournal!H$1),0),0)</f>
        <v>5.2685457275408645</v>
      </c>
      <c r="P334" s="30">
        <f>IFERROR(SUM(K334:O334)*VLOOKUP($A334,HeadJournal!$A$1:$L$890,COLUMN(HeadJournal!H$1),0),0)</f>
        <v>883.012172934359</v>
      </c>
      <c r="Q334" s="29">
        <v>1300</v>
      </c>
      <c r="R334" s="31">
        <v>44938</v>
      </c>
      <c r="S334" s="31" t="s">
        <v>3121</v>
      </c>
      <c r="T334" s="95" t="str">
        <f t="shared" si="29"/>
        <v>2023 01</v>
      </c>
      <c r="U334" s="32">
        <f t="shared" si="26"/>
        <v>416.987827065641</v>
      </c>
      <c r="V334" s="22">
        <f t="shared" si="27"/>
        <v>0.47223338459756303</v>
      </c>
      <c r="X334" s="33"/>
      <c r="Y334" s="33"/>
    </row>
    <row r="335" spans="1:25" x14ac:dyDescent="0.2">
      <c r="A335" s="93" t="s">
        <v>151</v>
      </c>
      <c r="B335" s="94" t="str">
        <f>IFERROR(VLOOKUP($A335,HeadJournal!$A$1:$NTR$890,COLUMN(HeadJournal!B$1),0),"")</f>
        <v>1Z095EE70250533986</v>
      </c>
      <c r="C335" s="94" t="str">
        <f>IFERROR(VLOOKUP($A335,HeadJournal!$A$1:$NTR$890,COLUMN(HeadJournal!C$1),0),"")</f>
        <v>iHerb_OA CZN6870</v>
      </c>
      <c r="D335" s="125" t="str">
        <f>IFERROR(VLOOKUP($A335,HeadJournal!$A$1:$NTR$890,COLUMN(HeadJournal!D$1),0),"")</f>
        <v>Доставлен</v>
      </c>
      <c r="E335" s="95">
        <f>IFERROR(VLOOKUP($A335,HeadJournal!$A$1:$NTR$890,COLUMN(HeadJournal!G$1),0),"")</f>
        <v>44877</v>
      </c>
      <c r="F335" s="95" t="str">
        <f t="shared" si="28"/>
        <v>2022 11</v>
      </c>
      <c r="G335" s="96" t="s">
        <v>7</v>
      </c>
      <c r="H335" s="160" t="str">
        <f>RIGHT(Journal!$J335,9)</f>
        <v>MBE-01141</v>
      </c>
      <c r="I335" s="96" t="str">
        <f t="shared" si="30"/>
        <v>Sierra Bees</v>
      </c>
      <c r="J335" s="97" t="s">
        <v>3713</v>
      </c>
      <c r="K335" s="29">
        <v>4</v>
      </c>
      <c r="L335" s="29">
        <v>-2</v>
      </c>
      <c r="M335" s="30">
        <f>IFERROR(VLOOKUP($A335,HeadJournal!$A$1:$J$890,COLUMN(HeadJournal!I$1),0)*($K335+$L335)/(SUMIF($A:$A,$A335,$K:$K)+SUMIF($A:$A,$A335,$L:$L)),0)</f>
        <v>-0.18803077230492554</v>
      </c>
      <c r="N335" s="30">
        <f>IFERROR((VLOOKUP($A335,HeadJournal!$A$1:$K$890,COLUMN(HeadJournal!K$1),0)-VLOOKUP($A335,HeadJournal!$A$1:$K$890,COLUMN(HeadJournal!J$1),0))*($K335+$L335)/(SUMIF($A:$A,$A335,$K:$K)+SUMIF($A:$A,$A335,$L:$L)),0)</f>
        <v>-2.8396152892800484E-16</v>
      </c>
      <c r="O335" s="30">
        <f>IFERROR((VLOOKUP($A335,HeadJournal!$A$1:$L$890,COLUMN(HeadJournal!L$1),0)*($K335+$L335)/(SUMIF($A:$A,$A335,$K:$K)+SUMIF($A:$A,$A335,$L:$L)))/VLOOKUP($A335,HeadJournal!$A$1:$L$890,COLUMN(HeadJournal!H$1),0),0)</f>
        <v>1.2680013784695221</v>
      </c>
      <c r="P335" s="30">
        <f>IFERROR(SUM(K335:O335)*VLOOKUP($A335,HeadJournal!$A$1:$L$890,COLUMN(HeadJournal!H$1),0),0)</f>
        <v>212.51797182535714</v>
      </c>
      <c r="Q335" s="29"/>
      <c r="R335" s="31"/>
      <c r="S335" s="31"/>
      <c r="T335" s="95" t="str">
        <f t="shared" si="29"/>
        <v/>
      </c>
      <c r="U335" s="32">
        <f t="shared" si="26"/>
        <v>-212.51797182535714</v>
      </c>
      <c r="V335" s="22" t="str">
        <f t="shared" si="27"/>
        <v/>
      </c>
      <c r="X335" s="33"/>
      <c r="Y335" s="33"/>
    </row>
    <row r="336" spans="1:25" x14ac:dyDescent="0.2">
      <c r="A336" s="100" t="s">
        <v>151</v>
      </c>
      <c r="B336" s="94" t="str">
        <f>IFERROR(VLOOKUP($A336,HeadJournal!$A$1:$NTR$890,COLUMN(HeadJournal!B$1),0),"")</f>
        <v>1Z095EE70250533986</v>
      </c>
      <c r="C336" s="94" t="str">
        <f>IFERROR(VLOOKUP($A336,HeadJournal!$A$1:$NTR$890,COLUMN(HeadJournal!C$1),0),"")</f>
        <v>iHerb_OA CZN6870</v>
      </c>
      <c r="D336" s="125" t="str">
        <f>IFERROR(VLOOKUP($A336,HeadJournal!$A$1:$NTR$890,COLUMN(HeadJournal!D$1),0),"")</f>
        <v>Доставлен</v>
      </c>
      <c r="E336" s="95">
        <f>IFERROR(VLOOKUP($A336,HeadJournal!$A$1:$NTR$890,COLUMN(HeadJournal!G$1),0),"")</f>
        <v>44877</v>
      </c>
      <c r="F336" s="95" t="str">
        <f t="shared" si="28"/>
        <v>2022 11</v>
      </c>
      <c r="G336" s="96" t="s">
        <v>5</v>
      </c>
      <c r="H336" s="160" t="str">
        <f>RIGHT(Journal!$J336,9)</f>
        <v>CEN-27685</v>
      </c>
      <c r="I336" s="96" t="str">
        <f t="shared" si="30"/>
        <v>21st Century</v>
      </c>
      <c r="J336" s="97" t="s">
        <v>154</v>
      </c>
      <c r="K336" s="29">
        <v>6.34</v>
      </c>
      <c r="L336" s="29">
        <v>-1.39</v>
      </c>
      <c r="M336" s="30">
        <f>IFERROR(VLOOKUP($A336,HeadJournal!$A$1:$J$890,COLUMN(HeadJournal!I$1),0)*($K336+$L336)/(SUMIF($A:$A,$A336,$K:$K)+SUMIF($A:$A,$A336,$L:$L)),0)</f>
        <v>-0.46537616145469074</v>
      </c>
      <c r="N336" s="30">
        <f>IFERROR((VLOOKUP($A336,HeadJournal!$A$1:$K$890,COLUMN(HeadJournal!K$1),0)-VLOOKUP($A336,HeadJournal!$A$1:$K$890,COLUMN(HeadJournal!J$1),0))*($K336+$L336)/(SUMIF($A:$A,$A336,$K:$K)+SUMIF($A:$A,$A336,$L:$L)),0)</f>
        <v>-7.0280478409681198E-16</v>
      </c>
      <c r="O336" s="30">
        <f>IFERROR((VLOOKUP($A336,HeadJournal!$A$1:$L$890,COLUMN(HeadJournal!L$1),0)*($K336+$L336)/(SUMIF($A:$A,$A336,$K:$K)+SUMIF($A:$A,$A336,$L:$L)))/VLOOKUP($A336,HeadJournal!$A$1:$L$890,COLUMN(HeadJournal!H$1),0),0)</f>
        <v>3.1383034117120672</v>
      </c>
      <c r="P336" s="30">
        <f>IFERROR(SUM(K336:O336)*VLOOKUP($A336,HeadJournal!$A$1:$L$890,COLUMN(HeadJournal!H$1),0),0)</f>
        <v>525.98198026775901</v>
      </c>
      <c r="Q336" s="29">
        <v>1400</v>
      </c>
      <c r="R336" s="31">
        <v>44940</v>
      </c>
      <c r="S336" s="31" t="s">
        <v>3121</v>
      </c>
      <c r="T336" s="95" t="str">
        <f t="shared" si="29"/>
        <v>2023 01</v>
      </c>
      <c r="U336" s="32">
        <f t="shared" si="26"/>
        <v>874.01801973224099</v>
      </c>
      <c r="V336" s="22">
        <f t="shared" si="27"/>
        <v>1.661688142409953</v>
      </c>
      <c r="X336" s="33"/>
      <c r="Y336" s="33"/>
    </row>
    <row r="337" spans="1:25" ht="15" customHeight="1" x14ac:dyDescent="0.25">
      <c r="A337" s="12" t="s">
        <v>155</v>
      </c>
      <c r="B337" s="94">
        <f>IFERROR(VLOOKUP($A337,HeadJournal!$A$1:$NTR$890,COLUMN(HeadJournal!B$1),0),"")</f>
        <v>0</v>
      </c>
      <c r="C337" s="94" t="str">
        <f>IFERROR(VLOOKUP($A337,HeadJournal!$A$1:$NTR$890,COLUMN(HeadJournal!C$1),0),"")</f>
        <v>WBRS</v>
      </c>
      <c r="D337" s="125" t="str">
        <f>IFERROR(VLOOKUP($A337,HeadJournal!$A$1:$NTR$890,COLUMN(HeadJournal!D$1),0),"")</f>
        <v>Доставлен</v>
      </c>
      <c r="E337" s="95">
        <f>IFERROR(VLOOKUP($A337,HeadJournal!$A$1:$NTR$890,COLUMN(HeadJournal!G$1),0),"")</f>
        <v>44879</v>
      </c>
      <c r="F337" s="95" t="str">
        <f t="shared" si="28"/>
        <v>2022 11</v>
      </c>
      <c r="G337" s="96" t="s">
        <v>6</v>
      </c>
      <c r="H337" s="160" t="str">
        <f>RIGHT(Journal!$J337,9)</f>
        <v>007002143</v>
      </c>
      <c r="I337" s="96" t="str">
        <f t="shared" si="30"/>
        <v>BIG</v>
      </c>
      <c r="J337" s="97" t="s">
        <v>156</v>
      </c>
      <c r="K337" s="29">
        <v>633</v>
      </c>
      <c r="L337" s="29"/>
      <c r="M337" s="30">
        <f>IFERROR(VLOOKUP($A337,HeadJournal!$A$1:$J$890,COLUMN(HeadJournal!I$1),0)*($K337+$L337)/(SUMIF($A:$A,$A337,$K:$K)+SUMIF($A:$A,$A337,$L:$L)),0)</f>
        <v>0</v>
      </c>
      <c r="N337" s="30">
        <f>IFERROR((VLOOKUP($A337,HeadJournal!$A$1:$K$890,COLUMN(HeadJournal!K$1),0)-VLOOKUP($A337,HeadJournal!$A$1:$K$890,COLUMN(HeadJournal!J$1),0))*($K337+$L337)/(SUMIF($A:$A,$A337,$K:$K)+SUMIF($A:$A,$A337,$L:$L)),0)</f>
        <v>0</v>
      </c>
      <c r="O337" s="30">
        <f>IFERROR((VLOOKUP($A337,HeadJournal!$A$1:$L$890,COLUMN(HeadJournal!L$1),0)*($K337+$L337)/(SUMIF($A:$A,$A337,$K:$K)+SUMIF($A:$A,$A337,$L:$L)))/VLOOKUP($A337,HeadJournal!$A$1:$L$890,COLUMN(HeadJournal!H$1),0),0)</f>
        <v>125.02165354330708</v>
      </c>
      <c r="P337" s="30">
        <f>IFERROR(SUM(K337:O337)*VLOOKUP($A337,HeadJournal!$A$1:$L$890,COLUMN(HeadJournal!H$1),0),0)</f>
        <v>758.02165354330714</v>
      </c>
      <c r="Q337" s="29">
        <v>1400</v>
      </c>
      <c r="R337" s="31">
        <v>44872</v>
      </c>
      <c r="S337" s="31" t="s">
        <v>3121</v>
      </c>
      <c r="T337" s="95" t="str">
        <f t="shared" si="29"/>
        <v>2022 11</v>
      </c>
      <c r="U337" s="32">
        <f t="shared" si="26"/>
        <v>641.97834645669286</v>
      </c>
      <c r="V337" s="22">
        <f t="shared" si="27"/>
        <v>0.84691293903784959</v>
      </c>
      <c r="X337" s="33"/>
      <c r="Y337" s="33"/>
    </row>
    <row r="338" spans="1:25" ht="15" customHeight="1" x14ac:dyDescent="0.25">
      <c r="A338" s="12" t="s">
        <v>155</v>
      </c>
      <c r="B338" s="94">
        <f>IFERROR(VLOOKUP($A338,HeadJournal!$A$1:$NTR$890,COLUMN(HeadJournal!B$1),0),"")</f>
        <v>0</v>
      </c>
      <c r="C338" s="94" t="str">
        <f>IFERROR(VLOOKUP($A338,HeadJournal!$A$1:$NTR$890,COLUMN(HeadJournal!C$1),0),"")</f>
        <v>WBRS</v>
      </c>
      <c r="D338" s="125" t="str">
        <f>IFERROR(VLOOKUP($A338,HeadJournal!$A$1:$NTR$890,COLUMN(HeadJournal!D$1),0),"")</f>
        <v>Доставлен</v>
      </c>
      <c r="E338" s="95">
        <f>IFERROR(VLOOKUP($A338,HeadJournal!$A$1:$NTR$890,COLUMN(HeadJournal!G$1),0),"")</f>
        <v>44879</v>
      </c>
      <c r="F338" s="95" t="str">
        <f t="shared" si="28"/>
        <v>2022 11</v>
      </c>
      <c r="G338" s="96" t="s">
        <v>6</v>
      </c>
      <c r="H338" s="160" t="str">
        <f>RIGHT(Journal!$J338,9)</f>
        <v>086821897</v>
      </c>
      <c r="I338" s="96" t="str">
        <f t="shared" si="30"/>
        <v>АМИЛ0 ГЕЙНЕР</v>
      </c>
      <c r="J338" s="97" t="s">
        <v>157</v>
      </c>
      <c r="K338" s="29">
        <v>503</v>
      </c>
      <c r="L338" s="29"/>
      <c r="M338" s="30">
        <f>IFERROR(VLOOKUP($A338,HeadJournal!$A$1:$J$890,COLUMN(HeadJournal!I$1),0)*($K338+$L338)/(SUMIF($A:$A,$A338,$K:$K)+SUMIF($A:$A,$A338,$L:$L)),0)</f>
        <v>0</v>
      </c>
      <c r="N338" s="30">
        <f>IFERROR((VLOOKUP($A338,HeadJournal!$A$1:$K$890,COLUMN(HeadJournal!K$1),0)-VLOOKUP($A338,HeadJournal!$A$1:$K$890,COLUMN(HeadJournal!J$1),0))*($K338+$L338)/(SUMIF($A:$A,$A338,$K:$K)+SUMIF($A:$A,$A338,$L:$L)),0)</f>
        <v>0</v>
      </c>
      <c r="O338" s="30">
        <f>IFERROR((VLOOKUP($A338,HeadJournal!$A$1:$L$890,COLUMN(HeadJournal!L$1),0)*($K338+$L338)/(SUMIF($A:$A,$A338,$K:$K)+SUMIF($A:$A,$A338,$L:$L)))/VLOOKUP($A338,HeadJournal!$A$1:$L$890,COLUMN(HeadJournal!H$1),0),0)</f>
        <v>99.34580052493439</v>
      </c>
      <c r="P338" s="30">
        <f>IFERROR(SUM(K338:O338)*VLOOKUP($A338,HeadJournal!$A$1:$L$890,COLUMN(HeadJournal!H$1),0),0)</f>
        <v>602.34580052493436</v>
      </c>
      <c r="Q338" s="29"/>
      <c r="R338" s="31"/>
      <c r="S338" s="31"/>
      <c r="T338" s="95" t="str">
        <f t="shared" si="29"/>
        <v/>
      </c>
      <c r="U338" s="32">
        <f t="shared" si="26"/>
        <v>-602.34580052493436</v>
      </c>
      <c r="V338" s="22" t="str">
        <f t="shared" si="27"/>
        <v/>
      </c>
      <c r="X338" s="33"/>
      <c r="Y338" s="33"/>
    </row>
    <row r="339" spans="1:25" ht="15" customHeight="1" x14ac:dyDescent="0.25">
      <c r="A339" s="12" t="s">
        <v>155</v>
      </c>
      <c r="B339" s="94">
        <f>IFERROR(VLOOKUP($A339,HeadJournal!$A$1:$NTR$890,COLUMN(HeadJournal!B$1),0),"")</f>
        <v>0</v>
      </c>
      <c r="C339" s="94" t="str">
        <f>IFERROR(VLOOKUP($A339,HeadJournal!$A$1:$NTR$890,COLUMN(HeadJournal!C$1),0),"")</f>
        <v>WBRS</v>
      </c>
      <c r="D339" s="125" t="str">
        <f>IFERROR(VLOOKUP($A339,HeadJournal!$A$1:$NTR$890,COLUMN(HeadJournal!D$1),0),"")</f>
        <v>Доставлен</v>
      </c>
      <c r="E339" s="95">
        <f>IFERROR(VLOOKUP($A339,HeadJournal!$A$1:$NTR$890,COLUMN(HeadJournal!G$1),0),"")</f>
        <v>44879</v>
      </c>
      <c r="F339" s="95" t="str">
        <f t="shared" si="28"/>
        <v>2022 11</v>
      </c>
      <c r="G339" s="96" t="s">
        <v>6</v>
      </c>
      <c r="H339" s="160" t="str">
        <f>RIGHT(Journal!$J339,9)</f>
        <v>026911480</v>
      </c>
      <c r="I339" s="96" t="str">
        <f t="shared" si="30"/>
        <v>RusLab</v>
      </c>
      <c r="J339" s="97" t="s">
        <v>158</v>
      </c>
      <c r="K339" s="29">
        <v>550</v>
      </c>
      <c r="L339" s="29"/>
      <c r="M339" s="30">
        <f>IFERROR(VLOOKUP($A339,HeadJournal!$A$1:$J$890,COLUMN(HeadJournal!I$1),0)*($K339+$L339)/(SUMIF($A:$A,$A339,$K:$K)+SUMIF($A:$A,$A339,$L:$L)),0)</f>
        <v>0</v>
      </c>
      <c r="N339" s="30">
        <f>IFERROR((VLOOKUP($A339,HeadJournal!$A$1:$K$890,COLUMN(HeadJournal!K$1),0)-VLOOKUP($A339,HeadJournal!$A$1:$K$890,COLUMN(HeadJournal!J$1),0))*($K339+$L339)/(SUMIF($A:$A,$A339,$K:$K)+SUMIF($A:$A,$A339,$L:$L)),0)</f>
        <v>0</v>
      </c>
      <c r="O339" s="30">
        <f>IFERROR((VLOOKUP($A339,HeadJournal!$A$1:$L$890,COLUMN(HeadJournal!L$1),0)*($K339+$L339)/(SUMIF($A:$A,$A339,$K:$K)+SUMIF($A:$A,$A339,$L:$L)))/VLOOKUP($A339,HeadJournal!$A$1:$L$890,COLUMN(HeadJournal!H$1),0),0)</f>
        <v>108.62860892388451</v>
      </c>
      <c r="P339" s="30">
        <f>IFERROR(SUM(K339:O339)*VLOOKUP($A339,HeadJournal!$A$1:$L$890,COLUMN(HeadJournal!H$1),0),0)</f>
        <v>658.62860892388449</v>
      </c>
      <c r="Q339" s="29"/>
      <c r="R339" s="31"/>
      <c r="S339" s="31"/>
      <c r="T339" s="95" t="str">
        <f t="shared" si="29"/>
        <v/>
      </c>
      <c r="U339" s="32">
        <f t="shared" si="26"/>
        <v>-658.62860892388449</v>
      </c>
      <c r="V339" s="22" t="str">
        <f t="shared" si="27"/>
        <v/>
      </c>
      <c r="X339" s="33"/>
      <c r="Y339" s="33"/>
    </row>
    <row r="340" spans="1:25" ht="15" customHeight="1" x14ac:dyDescent="0.25">
      <c r="A340" s="12" t="s">
        <v>155</v>
      </c>
      <c r="B340" s="94">
        <f>IFERROR(VLOOKUP($A340,HeadJournal!$A$1:$NTR$890,COLUMN(HeadJournal!B$1),0),"")</f>
        <v>0</v>
      </c>
      <c r="C340" s="94" t="str">
        <f>IFERROR(VLOOKUP($A340,HeadJournal!$A$1:$NTR$890,COLUMN(HeadJournal!C$1),0),"")</f>
        <v>WBRS</v>
      </c>
      <c r="D340" s="125" t="str">
        <f>IFERROR(VLOOKUP($A340,HeadJournal!$A$1:$NTR$890,COLUMN(HeadJournal!D$1),0),"")</f>
        <v>Доставлен</v>
      </c>
      <c r="E340" s="95">
        <f>IFERROR(VLOOKUP($A340,HeadJournal!$A$1:$NTR$890,COLUMN(HeadJournal!G$1),0),"")</f>
        <v>44879</v>
      </c>
      <c r="F340" s="95" t="str">
        <f t="shared" si="28"/>
        <v>2022 11</v>
      </c>
      <c r="G340" s="96" t="s">
        <v>5</v>
      </c>
      <c r="H340" s="160" t="str">
        <f>RIGHT(Journal!$J340,9)</f>
        <v>078518967</v>
      </c>
      <c r="I340" s="96" t="str">
        <f t="shared" si="30"/>
        <v>Himalaya</v>
      </c>
      <c r="J340" s="97" t="s">
        <v>159</v>
      </c>
      <c r="K340" s="29">
        <v>353</v>
      </c>
      <c r="L340" s="29"/>
      <c r="M340" s="30">
        <f>IFERROR(VLOOKUP($A340,HeadJournal!$A$1:$J$890,COLUMN(HeadJournal!I$1),0)*($K340+$L340)/(SUMIF($A:$A,$A340,$K:$K)+SUMIF($A:$A,$A340,$L:$L)),0)</f>
        <v>0</v>
      </c>
      <c r="N340" s="30">
        <f>IFERROR((VLOOKUP($A340,HeadJournal!$A$1:$K$890,COLUMN(HeadJournal!K$1),0)-VLOOKUP($A340,HeadJournal!$A$1:$K$890,COLUMN(HeadJournal!J$1),0))*($K340+$L340)/(SUMIF($A:$A,$A340,$K:$K)+SUMIF($A:$A,$A340,$L:$L)),0)</f>
        <v>0</v>
      </c>
      <c r="O340" s="30">
        <f>IFERROR((VLOOKUP($A340,HeadJournal!$A$1:$L$890,COLUMN(HeadJournal!L$1),0)*($K340+$L340)/(SUMIF($A:$A,$A340,$K:$K)+SUMIF($A:$A,$A340,$L:$L)))/VLOOKUP($A340,HeadJournal!$A$1:$L$890,COLUMN(HeadJournal!H$1),0),0)</f>
        <v>69.719816272965886</v>
      </c>
      <c r="P340" s="30">
        <f>IFERROR(SUM(K340:O340)*VLOOKUP($A340,HeadJournal!$A$1:$L$890,COLUMN(HeadJournal!H$1),0),0)</f>
        <v>422.71981627296589</v>
      </c>
      <c r="Q340" s="29">
        <v>650</v>
      </c>
      <c r="R340" s="31">
        <v>44883</v>
      </c>
      <c r="S340" s="31" t="s">
        <v>3121</v>
      </c>
      <c r="T340" s="95" t="str">
        <f t="shared" si="29"/>
        <v>2022 11</v>
      </c>
      <c r="U340" s="32">
        <f t="shared" si="26"/>
        <v>227.28018372703411</v>
      </c>
      <c r="V340" s="22">
        <f t="shared" si="27"/>
        <v>0.53766153129729521</v>
      </c>
      <c r="X340" s="33"/>
      <c r="Y340" s="33"/>
    </row>
    <row r="341" spans="1:25" ht="15" customHeight="1" x14ac:dyDescent="0.25">
      <c r="A341" s="12" t="s">
        <v>155</v>
      </c>
      <c r="B341" s="94">
        <f>IFERROR(VLOOKUP($A341,HeadJournal!$A$1:$NTR$890,COLUMN(HeadJournal!B$1),0),"")</f>
        <v>0</v>
      </c>
      <c r="C341" s="94" t="str">
        <f>IFERROR(VLOOKUP($A341,HeadJournal!$A$1:$NTR$890,COLUMN(HeadJournal!C$1),0),"")</f>
        <v>WBRS</v>
      </c>
      <c r="D341" s="125" t="str">
        <f>IFERROR(VLOOKUP($A341,HeadJournal!$A$1:$NTR$890,COLUMN(HeadJournal!D$1),0),"")</f>
        <v>Доставлен</v>
      </c>
      <c r="E341" s="95">
        <f>IFERROR(VLOOKUP($A341,HeadJournal!$A$1:$NTR$890,COLUMN(HeadJournal!G$1),0),"")</f>
        <v>44879</v>
      </c>
      <c r="F341" s="95" t="str">
        <f t="shared" si="28"/>
        <v>2022 11</v>
      </c>
      <c r="G341" s="96" t="s">
        <v>5</v>
      </c>
      <c r="H341" s="160" t="str">
        <f>RIGHT(Journal!$J341,9)</f>
        <v>078518967</v>
      </c>
      <c r="I341" s="96" t="str">
        <f t="shared" si="30"/>
        <v>Himalaya</v>
      </c>
      <c r="J341" s="97" t="s">
        <v>159</v>
      </c>
      <c r="K341" s="29">
        <v>353</v>
      </c>
      <c r="L341" s="29"/>
      <c r="M341" s="30">
        <f>IFERROR(VLOOKUP($A341,HeadJournal!$A$1:$J$890,COLUMN(HeadJournal!I$1),0)*($K341+$L341)/(SUMIF($A:$A,$A341,$K:$K)+SUMIF($A:$A,$A341,$L:$L)),0)</f>
        <v>0</v>
      </c>
      <c r="N341" s="30">
        <f>IFERROR((VLOOKUP($A341,HeadJournal!$A$1:$K$890,COLUMN(HeadJournal!K$1),0)-VLOOKUP($A341,HeadJournal!$A$1:$K$890,COLUMN(HeadJournal!J$1),0))*($K341+$L341)/(SUMIF($A:$A,$A341,$K:$K)+SUMIF($A:$A,$A341,$L:$L)),0)</f>
        <v>0</v>
      </c>
      <c r="O341" s="30">
        <f>IFERROR((VLOOKUP($A341,HeadJournal!$A$1:$L$890,COLUMN(HeadJournal!L$1),0)*($K341+$L341)/(SUMIF($A:$A,$A341,$K:$K)+SUMIF($A:$A,$A341,$L:$L)))/VLOOKUP($A341,HeadJournal!$A$1:$L$890,COLUMN(HeadJournal!H$1),0),0)</f>
        <v>69.719816272965886</v>
      </c>
      <c r="P341" s="30">
        <f>IFERROR(SUM(K341:O341)*VLOOKUP($A341,HeadJournal!$A$1:$L$890,COLUMN(HeadJournal!H$1),0),0)</f>
        <v>422.71981627296589</v>
      </c>
      <c r="Q341" s="29">
        <v>650</v>
      </c>
      <c r="R341" s="31">
        <v>44885</v>
      </c>
      <c r="S341" s="31" t="s">
        <v>3121</v>
      </c>
      <c r="T341" s="95" t="str">
        <f t="shared" si="29"/>
        <v>2022 11</v>
      </c>
      <c r="U341" s="32">
        <f t="shared" si="26"/>
        <v>227.28018372703411</v>
      </c>
      <c r="V341" s="22">
        <f t="shared" si="27"/>
        <v>0.53766153129729521</v>
      </c>
      <c r="X341" s="33"/>
      <c r="Y341" s="33"/>
    </row>
    <row r="342" spans="1:25" ht="15" customHeight="1" x14ac:dyDescent="0.25">
      <c r="A342" s="12" t="s">
        <v>155</v>
      </c>
      <c r="B342" s="94">
        <f>IFERROR(VLOOKUP($A342,HeadJournal!$A$1:$NTR$890,COLUMN(HeadJournal!B$1),0),"")</f>
        <v>0</v>
      </c>
      <c r="C342" s="94" t="str">
        <f>IFERROR(VLOOKUP($A342,HeadJournal!$A$1:$NTR$890,COLUMN(HeadJournal!C$1),0),"")</f>
        <v>WBRS</v>
      </c>
      <c r="D342" s="125" t="str">
        <f>IFERROR(VLOOKUP($A342,HeadJournal!$A$1:$NTR$890,COLUMN(HeadJournal!D$1),0),"")</f>
        <v>Доставлен</v>
      </c>
      <c r="E342" s="95">
        <f>IFERROR(VLOOKUP($A342,HeadJournal!$A$1:$NTR$890,COLUMN(HeadJournal!G$1),0),"")</f>
        <v>44879</v>
      </c>
      <c r="F342" s="95" t="str">
        <f t="shared" si="28"/>
        <v>2022 11</v>
      </c>
      <c r="G342" s="96" t="s">
        <v>5</v>
      </c>
      <c r="H342" s="160" t="str">
        <f>RIGHT(Journal!$J342,9)</f>
        <v>073585325</v>
      </c>
      <c r="I342" s="96" t="str">
        <f t="shared" si="30"/>
        <v>Himalaya</v>
      </c>
      <c r="J342" s="97" t="s">
        <v>160</v>
      </c>
      <c r="K342" s="29">
        <v>328</v>
      </c>
      <c r="L342" s="29"/>
      <c r="M342" s="30">
        <f>IFERROR(VLOOKUP($A342,HeadJournal!$A$1:$J$890,COLUMN(HeadJournal!I$1),0)*($K342+$L342)/(SUMIF($A:$A,$A342,$K:$K)+SUMIF($A:$A,$A342,$L:$L)),0)</f>
        <v>0</v>
      </c>
      <c r="N342" s="30">
        <f>IFERROR((VLOOKUP($A342,HeadJournal!$A$1:$K$890,COLUMN(HeadJournal!K$1),0)-VLOOKUP($A342,HeadJournal!$A$1:$K$890,COLUMN(HeadJournal!J$1),0))*($K342+$L342)/(SUMIF($A:$A,$A342,$K:$K)+SUMIF($A:$A,$A342,$L:$L)),0)</f>
        <v>0</v>
      </c>
      <c r="O342" s="30">
        <f>IFERROR((VLOOKUP($A342,HeadJournal!$A$1:$L$890,COLUMN(HeadJournal!L$1),0)*($K342+$L342)/(SUMIF($A:$A,$A342,$K:$K)+SUMIF($A:$A,$A342,$L:$L)))/VLOOKUP($A342,HeadJournal!$A$1:$L$890,COLUMN(HeadJournal!H$1),0),0)</f>
        <v>64.782152230971136</v>
      </c>
      <c r="P342" s="30">
        <f>IFERROR(SUM(K342:O342)*VLOOKUP($A342,HeadJournal!$A$1:$L$890,COLUMN(HeadJournal!H$1),0),0)</f>
        <v>392.78215223097112</v>
      </c>
      <c r="Q342" s="29">
        <v>650</v>
      </c>
      <c r="R342" s="31">
        <v>44889</v>
      </c>
      <c r="S342" s="31" t="s">
        <v>3121</v>
      </c>
      <c r="T342" s="95" t="str">
        <f t="shared" si="29"/>
        <v>2022 11</v>
      </c>
      <c r="U342" s="32">
        <f t="shared" si="26"/>
        <v>257.21784776902888</v>
      </c>
      <c r="V342" s="22">
        <f t="shared" si="27"/>
        <v>0.65486134313397937</v>
      </c>
      <c r="X342" s="33"/>
      <c r="Y342" s="33"/>
    </row>
    <row r="343" spans="1:25" ht="15" customHeight="1" x14ac:dyDescent="0.25">
      <c r="A343" s="12" t="s">
        <v>155</v>
      </c>
      <c r="B343" s="94">
        <f>IFERROR(VLOOKUP($A343,HeadJournal!$A$1:$NTR$890,COLUMN(HeadJournal!B$1),0),"")</f>
        <v>0</v>
      </c>
      <c r="C343" s="94" t="str">
        <f>IFERROR(VLOOKUP($A343,HeadJournal!$A$1:$NTR$890,COLUMN(HeadJournal!C$1),0),"")</f>
        <v>WBRS</v>
      </c>
      <c r="D343" s="125" t="str">
        <f>IFERROR(VLOOKUP($A343,HeadJournal!$A$1:$NTR$890,COLUMN(HeadJournal!D$1),0),"")</f>
        <v>Доставлен</v>
      </c>
      <c r="E343" s="95">
        <f>IFERROR(VLOOKUP($A343,HeadJournal!$A$1:$NTR$890,COLUMN(HeadJournal!G$1),0),"")</f>
        <v>44879</v>
      </c>
      <c r="F343" s="95" t="str">
        <f t="shared" si="28"/>
        <v>2022 11</v>
      </c>
      <c r="G343" s="96" t="s">
        <v>5</v>
      </c>
      <c r="H343" s="160" t="str">
        <f>RIGHT(Journal!$J343,9)</f>
        <v>073585325</v>
      </c>
      <c r="I343" s="96" t="str">
        <f t="shared" si="30"/>
        <v>Himalaya</v>
      </c>
      <c r="J343" s="97" t="s">
        <v>160</v>
      </c>
      <c r="K343" s="29">
        <v>328</v>
      </c>
      <c r="L343" s="29"/>
      <c r="M343" s="30">
        <f>IFERROR(VLOOKUP($A343,HeadJournal!$A$1:$J$890,COLUMN(HeadJournal!I$1),0)*($K343+$L343)/(SUMIF($A:$A,$A343,$K:$K)+SUMIF($A:$A,$A343,$L:$L)),0)</f>
        <v>0</v>
      </c>
      <c r="N343" s="30">
        <f>IFERROR((VLOOKUP($A343,HeadJournal!$A$1:$K$890,COLUMN(HeadJournal!K$1),0)-VLOOKUP($A343,HeadJournal!$A$1:$K$890,COLUMN(HeadJournal!J$1),0))*($K343+$L343)/(SUMIF($A:$A,$A343,$K:$K)+SUMIF($A:$A,$A343,$L:$L)),0)</f>
        <v>0</v>
      </c>
      <c r="O343" s="30">
        <f>IFERROR((VLOOKUP($A343,HeadJournal!$A$1:$L$890,COLUMN(HeadJournal!L$1),0)*($K343+$L343)/(SUMIF($A:$A,$A343,$K:$K)+SUMIF($A:$A,$A343,$L:$L)))/VLOOKUP($A343,HeadJournal!$A$1:$L$890,COLUMN(HeadJournal!H$1),0),0)</f>
        <v>64.782152230971136</v>
      </c>
      <c r="P343" s="30">
        <f>IFERROR(SUM(K343:O343)*VLOOKUP($A343,HeadJournal!$A$1:$L$890,COLUMN(HeadJournal!H$1),0),0)</f>
        <v>392.78215223097112</v>
      </c>
      <c r="Q343" s="29">
        <v>650</v>
      </c>
      <c r="R343" s="31">
        <v>44892</v>
      </c>
      <c r="S343" s="31" t="s">
        <v>3121</v>
      </c>
      <c r="T343" s="95" t="str">
        <f t="shared" si="29"/>
        <v>2022 11</v>
      </c>
      <c r="U343" s="32">
        <f t="shared" si="26"/>
        <v>257.21784776902888</v>
      </c>
      <c r="V343" s="22">
        <f t="shared" si="27"/>
        <v>0.65486134313397937</v>
      </c>
      <c r="X343" s="33"/>
      <c r="Y343" s="33"/>
    </row>
    <row r="344" spans="1:25" x14ac:dyDescent="0.2">
      <c r="A344" s="93" t="s">
        <v>161</v>
      </c>
      <c r="B344" s="94" t="str">
        <f>IFERROR(VLOOKUP($A344,HeadJournal!$A$1:$NTR$890,COLUMN(HeadJournal!B$1),0),"")</f>
        <v>922238684-0</v>
      </c>
      <c r="C344" s="94" t="str">
        <f>IFERROR(VLOOKUP($A344,HeadJournal!$A$1:$NTR$890,COLUMN(HeadJournal!C$1),0),"")</f>
        <v>iHerb_MH DLE7202</v>
      </c>
      <c r="D344" s="125" t="str">
        <f>IFERROR(VLOOKUP($A344,HeadJournal!$A$1:$NTR$890,COLUMN(HeadJournal!D$1),0),"")</f>
        <v>Доставлен</v>
      </c>
      <c r="E344" s="95">
        <f>IFERROR(VLOOKUP($A344,HeadJournal!$A$1:$NTR$890,COLUMN(HeadJournal!G$1),0),"")</f>
        <v>44884</v>
      </c>
      <c r="F344" s="95" t="str">
        <f t="shared" si="28"/>
        <v>2022 11</v>
      </c>
      <c r="G344" s="96" t="s">
        <v>6</v>
      </c>
      <c r="H344" s="160" t="str">
        <f>RIGHT(Journal!$J344,9)</f>
        <v>MSC-71092</v>
      </c>
      <c r="I344" s="96" t="str">
        <f t="shared" si="30"/>
        <v>MuscleTech</v>
      </c>
      <c r="J344" s="97" t="s">
        <v>162</v>
      </c>
      <c r="K344" s="29">
        <v>22.6</v>
      </c>
      <c r="L344" s="29">
        <v>-4.5199999999999996</v>
      </c>
      <c r="M344" s="30">
        <f>IFERROR(VLOOKUP($A344,HeadJournal!$A$1:$J$890,COLUMN(HeadJournal!I$1),0)*($K344+$L344)/(SUMIF($A:$A,$A344,$K:$K)+SUMIF($A:$A,$A344,$L:$L)),0)</f>
        <v>-0.87572654303902597</v>
      </c>
      <c r="N344" s="30">
        <f>IFERROR((VLOOKUP($A344,HeadJournal!$A$1:$K$890,COLUMN(HeadJournal!K$1),0)-VLOOKUP($A344,HeadJournal!$A$1:$K$890,COLUMN(HeadJournal!J$1),0))*($K344+$L344)/(SUMIF($A:$A,$A344,$K:$K)+SUMIF($A:$A,$A344,$L:$L)),0)</f>
        <v>3.5556636209639123E-15</v>
      </c>
      <c r="O344" s="30">
        <f>IFERROR((VLOOKUP($A344,HeadJournal!$A$1:$L$890,COLUMN(HeadJournal!L$1),0)*($K344+$L344)/(SUMIF($A:$A,$A344,$K:$K)+SUMIF($A:$A,$A344,$L:$L)))/VLOOKUP($A344,HeadJournal!$A$1:$L$890,COLUMN(HeadJournal!H$1),0),0)</f>
        <v>12.141039069062206</v>
      </c>
      <c r="P344" s="30">
        <f>IFERROR(SUM(K344:O344)*VLOOKUP($A344,HeadJournal!$A$1:$L$890,COLUMN(HeadJournal!H$1),0),0)</f>
        <v>2024.8265642955998</v>
      </c>
      <c r="Q344" s="29">
        <v>3100</v>
      </c>
      <c r="R344" s="31">
        <v>44965</v>
      </c>
      <c r="S344" s="31" t="s">
        <v>3121</v>
      </c>
      <c r="T344" s="95" t="str">
        <f t="shared" si="29"/>
        <v>2023 02</v>
      </c>
      <c r="U344" s="32">
        <f t="shared" si="26"/>
        <v>1075.1734357044002</v>
      </c>
      <c r="V344" s="22">
        <f t="shared" si="27"/>
        <v>0.53099532308755215</v>
      </c>
      <c r="X344" s="33"/>
      <c r="Y344" s="33"/>
    </row>
    <row r="345" spans="1:25" x14ac:dyDescent="0.2">
      <c r="A345" s="93" t="s">
        <v>161</v>
      </c>
      <c r="B345" s="94" t="str">
        <f>IFERROR(VLOOKUP($A345,HeadJournal!$A$1:$NTR$890,COLUMN(HeadJournal!B$1),0),"")</f>
        <v>922238684-0</v>
      </c>
      <c r="C345" s="94" t="str">
        <f>IFERROR(VLOOKUP($A345,HeadJournal!$A$1:$NTR$890,COLUMN(HeadJournal!C$1),0),"")</f>
        <v>iHerb_MH DLE7202</v>
      </c>
      <c r="D345" s="125" t="str">
        <f>IFERROR(VLOOKUP($A345,HeadJournal!$A$1:$NTR$890,COLUMN(HeadJournal!D$1),0),"")</f>
        <v>Доставлен</v>
      </c>
      <c r="E345" s="95">
        <f>IFERROR(VLOOKUP($A345,HeadJournal!$A$1:$NTR$890,COLUMN(HeadJournal!G$1),0),"")</f>
        <v>44884</v>
      </c>
      <c r="F345" s="95" t="str">
        <f t="shared" si="28"/>
        <v>2022 11</v>
      </c>
      <c r="G345" s="96" t="s">
        <v>6</v>
      </c>
      <c r="H345" s="160" t="str">
        <f>RIGHT(Journal!$J345,9)</f>
        <v>CGN-01064</v>
      </c>
      <c r="I345" s="96" t="str">
        <f t="shared" si="30"/>
        <v>California Gold Nutrition</v>
      </c>
      <c r="J345" s="97" t="s">
        <v>163</v>
      </c>
      <c r="K345" s="29">
        <v>23</v>
      </c>
      <c r="L345" s="29">
        <v>-11.8</v>
      </c>
      <c r="M345" s="30">
        <f>IFERROR(VLOOKUP($A345,HeadJournal!$A$1:$J$890,COLUMN(HeadJournal!I$1),0)*($K345+$L345)/(SUMIF($A:$A,$A345,$K:$K)+SUMIF($A:$A,$A345,$L:$L)),0)</f>
        <v>-0.54248546913921947</v>
      </c>
      <c r="N345" s="30">
        <f>IFERROR((VLOOKUP($A345,HeadJournal!$A$1:$K$890,COLUMN(HeadJournal!K$1),0)-VLOOKUP($A345,HeadJournal!$A$1:$K$890,COLUMN(HeadJournal!J$1),0))*($K345+$L345)/(SUMIF($A:$A,$A345,$K:$K)+SUMIF($A:$A,$A345,$L:$L)),0)</f>
        <v>2.2026234820130425E-15</v>
      </c>
      <c r="O345" s="30">
        <f>IFERROR((VLOOKUP($A345,HeadJournal!$A$1:$L$890,COLUMN(HeadJournal!L$1),0)*($K345+$L345)/(SUMIF($A:$A,$A345,$K:$K)+SUMIF($A:$A,$A345,$L:$L)))/VLOOKUP($A345,HeadJournal!$A$1:$L$890,COLUMN(HeadJournal!H$1),0),0)</f>
        <v>7.5209976534013654</v>
      </c>
      <c r="P345" s="30">
        <f>IFERROR(SUM(K345:O345)*VLOOKUP($A345,HeadJournal!$A$1:$L$890,COLUMN(HeadJournal!H$1),0),0)</f>
        <v>1254.317340714088</v>
      </c>
      <c r="Q345" s="29">
        <v>2900</v>
      </c>
      <c r="R345" s="31">
        <v>44946</v>
      </c>
      <c r="S345" s="31" t="s">
        <v>3121</v>
      </c>
      <c r="T345" s="95" t="str">
        <f t="shared" si="29"/>
        <v>2023 01</v>
      </c>
      <c r="U345" s="32">
        <f t="shared" si="26"/>
        <v>1645.682659285912</v>
      </c>
      <c r="V345" s="22">
        <f t="shared" si="27"/>
        <v>1.3120145962018017</v>
      </c>
      <c r="X345" s="33"/>
      <c r="Y345" s="33"/>
    </row>
    <row r="346" spans="1:25" x14ac:dyDescent="0.2">
      <c r="A346" s="93" t="s">
        <v>161</v>
      </c>
      <c r="B346" s="94" t="str">
        <f>IFERROR(VLOOKUP($A346,HeadJournal!$A$1:$NTR$890,COLUMN(HeadJournal!B$1),0),"")</f>
        <v>922238684-0</v>
      </c>
      <c r="C346" s="94" t="str">
        <f>IFERROR(VLOOKUP($A346,HeadJournal!$A$1:$NTR$890,COLUMN(HeadJournal!C$1),0),"")</f>
        <v>iHerb_MH DLE7202</v>
      </c>
      <c r="D346" s="125" t="str">
        <f>IFERROR(VLOOKUP($A346,HeadJournal!$A$1:$NTR$890,COLUMN(HeadJournal!D$1),0),"")</f>
        <v>Доставлен</v>
      </c>
      <c r="E346" s="95">
        <f>IFERROR(VLOOKUP($A346,HeadJournal!$A$1:$NTR$890,COLUMN(HeadJournal!G$1),0),"")</f>
        <v>44884</v>
      </c>
      <c r="F346" s="95" t="str">
        <f t="shared" si="28"/>
        <v>2022 11</v>
      </c>
      <c r="G346" s="96" t="s">
        <v>5</v>
      </c>
      <c r="H346" s="160" t="str">
        <f>RIGHT(Journal!$J346,9)</f>
        <v>SPN-00215</v>
      </c>
      <c r="I346" s="96" t="str">
        <f t="shared" si="30"/>
        <v>Super Nutrition</v>
      </c>
      <c r="J346" s="97" t="s">
        <v>164</v>
      </c>
      <c r="K346" s="29">
        <v>19.28</v>
      </c>
      <c r="L346" s="29">
        <v>-11.57</v>
      </c>
      <c r="M346" s="30">
        <f>IFERROR(VLOOKUP($A346,HeadJournal!$A$1:$J$890,COLUMN(HeadJournal!I$1),0)*($K346+$L346)/(SUMIF($A:$A,$A346,$K:$K)+SUMIF($A:$A,$A346,$L:$L)),0)</f>
        <v>-0.37344312205923064</v>
      </c>
      <c r="N346" s="30">
        <f>IFERROR((VLOOKUP($A346,HeadJournal!$A$1:$K$890,COLUMN(HeadJournal!K$1),0)-VLOOKUP($A346,HeadJournal!$A$1:$K$890,COLUMN(HeadJournal!J$1),0))*($K346+$L346)/(SUMIF($A:$A,$A346,$K:$K)+SUMIF($A:$A,$A346,$L:$L)),0)</f>
        <v>1.5162702719929072E-15</v>
      </c>
      <c r="O346" s="30">
        <f>IFERROR((VLOOKUP($A346,HeadJournal!$A$1:$L$890,COLUMN(HeadJournal!L$1),0)*($K346+$L346)/(SUMIF($A:$A,$A346,$K:$K)+SUMIF($A:$A,$A346,$L:$L)))/VLOOKUP($A346,HeadJournal!$A$1:$L$890,COLUMN(HeadJournal!H$1),0),0)</f>
        <v>5.1774010631896914</v>
      </c>
      <c r="P346" s="30">
        <f>IFERROR(SUM(K346:O346)*VLOOKUP($A346,HeadJournal!$A$1:$L$890,COLUMN(HeadJournal!H$1),0),0)</f>
        <v>863.46309793800197</v>
      </c>
      <c r="Q346" s="29">
        <v>2500</v>
      </c>
      <c r="R346" s="31">
        <v>44945</v>
      </c>
      <c r="S346" s="31" t="s">
        <v>3121</v>
      </c>
      <c r="T346" s="95" t="str">
        <f t="shared" si="29"/>
        <v>2023 01</v>
      </c>
      <c r="U346" s="32">
        <f t="shared" si="26"/>
        <v>1636.536902061998</v>
      </c>
      <c r="V346" s="22">
        <f t="shared" si="27"/>
        <v>1.8953177107048806</v>
      </c>
      <c r="X346" s="33"/>
      <c r="Y346" s="33"/>
    </row>
    <row r="347" spans="1:25" x14ac:dyDescent="0.2">
      <c r="A347" s="93" t="s">
        <v>161</v>
      </c>
      <c r="B347" s="94" t="str">
        <f>IFERROR(VLOOKUP($A347,HeadJournal!$A$1:$NTR$890,COLUMN(HeadJournal!B$1),0),"")</f>
        <v>922238684-0</v>
      </c>
      <c r="C347" s="94" t="str">
        <f>IFERROR(VLOOKUP($A347,HeadJournal!$A$1:$NTR$890,COLUMN(HeadJournal!C$1),0),"")</f>
        <v>iHerb_MH DLE7202</v>
      </c>
      <c r="D347" s="125" t="str">
        <f>IFERROR(VLOOKUP($A347,HeadJournal!$A$1:$NTR$890,COLUMN(HeadJournal!D$1),0),"")</f>
        <v>Доставлен</v>
      </c>
      <c r="E347" s="95">
        <f>IFERROR(VLOOKUP($A347,HeadJournal!$A$1:$NTR$890,COLUMN(HeadJournal!G$1),0),"")</f>
        <v>44884</v>
      </c>
      <c r="F347" s="95" t="str">
        <f t="shared" si="28"/>
        <v>2022 11</v>
      </c>
      <c r="G347" s="96" t="s">
        <v>5</v>
      </c>
      <c r="H347" s="161" t="s">
        <v>2793</v>
      </c>
      <c r="I347" s="97" t="s">
        <v>2218</v>
      </c>
      <c r="J347" s="97" t="s">
        <v>2794</v>
      </c>
      <c r="K347" s="29">
        <v>7.37</v>
      </c>
      <c r="L347" s="29">
        <v>-2.21</v>
      </c>
      <c r="M347" s="30">
        <f>IFERROR(VLOOKUP($A347,HeadJournal!$A$1:$J$890,COLUMN(HeadJournal!I$1),0)*($K347+$L347)/(SUMIF($A:$A,$A347,$K:$K)+SUMIF($A:$A,$A347,$L:$L)),0)</f>
        <v>-0.24993080542485474</v>
      </c>
      <c r="N347" s="30">
        <f>IFERROR((VLOOKUP($A347,HeadJournal!$A$1:$K$890,COLUMN(HeadJournal!K$1),0)-VLOOKUP($A347,HeadJournal!$A$1:$K$890,COLUMN(HeadJournal!J$1),0))*($K347+$L347)/(SUMIF($A:$A,$A347,$K:$K)+SUMIF($A:$A,$A347,$L:$L)),0)</f>
        <v>1.0147801042131518E-15</v>
      </c>
      <c r="O347" s="30">
        <f>IFERROR((VLOOKUP($A347,HeadJournal!$A$1:$L$890,COLUMN(HeadJournal!L$1),0)*($K347+$L347)/(SUMIF($A:$A,$A347,$K:$K)+SUMIF($A:$A,$A347,$L:$L)))/VLOOKUP($A347,HeadJournal!$A$1:$L$890,COLUMN(HeadJournal!H$1),0),0)</f>
        <v>3.4650310617456297</v>
      </c>
      <c r="P347" s="30">
        <f>IFERROR(SUM(K347:O347)*VLOOKUP($A347,HeadJournal!$A$1:$L$890,COLUMN(HeadJournal!H$1),0),0)</f>
        <v>577.88191768613353</v>
      </c>
      <c r="Q347" s="29">
        <v>1600</v>
      </c>
      <c r="R347" s="31">
        <v>44924</v>
      </c>
      <c r="S347" s="31" t="s">
        <v>3121</v>
      </c>
      <c r="T347" s="95" t="str">
        <f t="shared" si="29"/>
        <v>2022 12</v>
      </c>
      <c r="U347" s="32">
        <f t="shared" si="26"/>
        <v>1022.1180823138665</v>
      </c>
      <c r="V347" s="22">
        <f t="shared" si="27"/>
        <v>1.768731727074063</v>
      </c>
      <c r="X347" s="33"/>
      <c r="Y347" s="33"/>
    </row>
    <row r="348" spans="1:25" x14ac:dyDescent="0.2">
      <c r="A348" s="93" t="s">
        <v>161</v>
      </c>
      <c r="B348" s="94" t="str">
        <f>IFERROR(VLOOKUP($A348,HeadJournal!$A$1:$NTR$890,COLUMN(HeadJournal!B$1),0),"")</f>
        <v>922238684-0</v>
      </c>
      <c r="C348" s="94" t="str">
        <f>IFERROR(VLOOKUP($A348,HeadJournal!$A$1:$NTR$890,COLUMN(HeadJournal!C$1),0),"")</f>
        <v>iHerb_MH DLE7202</v>
      </c>
      <c r="D348" s="125" t="str">
        <f>IFERROR(VLOOKUP($A348,HeadJournal!$A$1:$NTR$890,COLUMN(HeadJournal!D$1),0),"")</f>
        <v>Доставлен</v>
      </c>
      <c r="E348" s="95">
        <f>IFERROR(VLOOKUP($A348,HeadJournal!$A$1:$NTR$890,COLUMN(HeadJournal!G$1),0),"")</f>
        <v>44884</v>
      </c>
      <c r="F348" s="95" t="str">
        <f t="shared" si="28"/>
        <v>2022 11</v>
      </c>
      <c r="G348" s="96" t="s">
        <v>6</v>
      </c>
      <c r="H348" s="160" t="str">
        <f>RIGHT(Journal!$J348,9)</f>
        <v>SIE-01683</v>
      </c>
      <c r="I348" s="96" t="str">
        <f t="shared" si="30"/>
        <v>Sierra Fit</v>
      </c>
      <c r="J348" s="97" t="s">
        <v>165</v>
      </c>
      <c r="K348" s="29">
        <v>17</v>
      </c>
      <c r="L348" s="29">
        <v>-3.4</v>
      </c>
      <c r="M348" s="30">
        <f>IFERROR(VLOOKUP($A348,HeadJournal!$A$1:$J$890,COLUMN(HeadJournal!I$1),0)*($K348+$L348)/(SUMIF($A:$A,$A348,$K:$K)+SUMIF($A:$A,$A348,$L:$L)),0)</f>
        <v>-0.65873235538333808</v>
      </c>
      <c r="N348" s="30">
        <f>IFERROR((VLOOKUP($A348,HeadJournal!$A$1:$K$890,COLUMN(HeadJournal!K$1),0)-VLOOKUP($A348,HeadJournal!$A$1:$K$890,COLUMN(HeadJournal!J$1),0))*($K348+$L348)/(SUMIF($A:$A,$A348,$K:$K)+SUMIF($A:$A,$A348,$L:$L)),0)</f>
        <v>2.6746142281586944E-15</v>
      </c>
      <c r="O348" s="30">
        <f>IFERROR((VLOOKUP($A348,HeadJournal!$A$1:$L$890,COLUMN(HeadJournal!L$1),0)*($K348+$L348)/(SUMIF($A:$A,$A348,$K:$K)+SUMIF($A:$A,$A348,$L:$L)))/VLOOKUP($A348,HeadJournal!$A$1:$L$890,COLUMN(HeadJournal!H$1),0),0)</f>
        <v>9.1326400077016583</v>
      </c>
      <c r="P348" s="30">
        <f>IFERROR(SUM(K348:O348)*VLOOKUP($A348,HeadJournal!$A$1:$L$890,COLUMN(HeadJournal!H$1),0),0)</f>
        <v>1523.0996280099644</v>
      </c>
      <c r="Q348" s="29">
        <v>2500</v>
      </c>
      <c r="R348" s="31">
        <v>44946</v>
      </c>
      <c r="S348" s="31" t="s">
        <v>3121</v>
      </c>
      <c r="T348" s="95" t="str">
        <f t="shared" si="29"/>
        <v>2023 01</v>
      </c>
      <c r="U348" s="32">
        <f t="shared" si="26"/>
        <v>976.90037199003564</v>
      </c>
      <c r="V348" s="22">
        <f t="shared" si="27"/>
        <v>0.64138967275989944</v>
      </c>
      <c r="X348" s="33"/>
      <c r="Y348" s="33"/>
    </row>
    <row r="349" spans="1:25" x14ac:dyDescent="0.2">
      <c r="A349" s="101" t="s">
        <v>161</v>
      </c>
      <c r="B349" s="94" t="str">
        <f>IFERROR(VLOOKUP($A349,HeadJournal!$A$1:$NTR$890,COLUMN(HeadJournal!B$1),0),"")</f>
        <v>922238684-0</v>
      </c>
      <c r="C349" s="94" t="str">
        <f>IFERROR(VLOOKUP($A349,HeadJournal!$A$1:$NTR$890,COLUMN(HeadJournal!C$1),0),"")</f>
        <v>iHerb_MH DLE7202</v>
      </c>
      <c r="D349" s="125" t="str">
        <f>IFERROR(VLOOKUP($A349,HeadJournal!$A$1:$NTR$890,COLUMN(HeadJournal!D$1),0),"")</f>
        <v>Доставлен</v>
      </c>
      <c r="E349" s="95">
        <f>IFERROR(VLOOKUP($A349,HeadJournal!$A$1:$NTR$890,COLUMN(HeadJournal!G$1),0),"")</f>
        <v>44884</v>
      </c>
      <c r="F349" s="95" t="str">
        <f t="shared" si="28"/>
        <v>2022 11</v>
      </c>
      <c r="G349" s="96" t="s">
        <v>6</v>
      </c>
      <c r="H349" s="160" t="str">
        <f>RIGHT(Journal!$J349,9)</f>
        <v>RSP-00733</v>
      </c>
      <c r="I349" s="96" t="str">
        <f t="shared" si="30"/>
        <v>RSP Nutrition</v>
      </c>
      <c r="J349" s="97" t="s">
        <v>166</v>
      </c>
      <c r="K349" s="29">
        <v>13.14</v>
      </c>
      <c r="L349" s="29">
        <v>-2.63</v>
      </c>
      <c r="M349" s="30">
        <f>IFERROR(VLOOKUP($A349,HeadJournal!$A$1:$J$890,COLUMN(HeadJournal!I$1),0)*($K349+$L349)/(SUMIF($A:$A,$A349,$K:$K)+SUMIF($A:$A,$A349,$L:$L)),0)</f>
        <v>-0.50906448934403559</v>
      </c>
      <c r="N349" s="30">
        <f>IFERROR((VLOOKUP($A349,HeadJournal!$A$1:$K$890,COLUMN(HeadJournal!K$1),0)-VLOOKUP($A349,HeadJournal!$A$1:$K$890,COLUMN(HeadJournal!J$1),0))*($K349+$L349)/(SUMIF($A:$A,$A349,$K:$K)+SUMIF($A:$A,$A349,$L:$L)),0)</f>
        <v>2.0669261424961679E-15</v>
      </c>
      <c r="O349" s="30">
        <f>IFERROR((VLOOKUP($A349,HeadJournal!$A$1:$L$890,COLUMN(HeadJournal!L$1),0)*($K349+$L349)/(SUMIF($A:$A,$A349,$K:$K)+SUMIF($A:$A,$A349,$L:$L)))/VLOOKUP($A349,HeadJournal!$A$1:$L$890,COLUMN(HeadJournal!H$1),0),0)</f>
        <v>7.057650476540033</v>
      </c>
      <c r="P349" s="30">
        <f>IFERROR(SUM(K349:O349)*VLOOKUP($A349,HeadJournal!$A$1:$L$890,COLUMN(HeadJournal!H$1),0),0)</f>
        <v>1177.0424331165241</v>
      </c>
      <c r="Q349" s="29">
        <v>2200</v>
      </c>
      <c r="R349" s="31">
        <v>44931</v>
      </c>
      <c r="S349" s="31" t="s">
        <v>3121</v>
      </c>
      <c r="T349" s="95" t="str">
        <f t="shared" si="29"/>
        <v>2023 01</v>
      </c>
      <c r="U349" s="32">
        <f t="shared" si="26"/>
        <v>1022.9575668834759</v>
      </c>
      <c r="V349" s="22">
        <f t="shared" si="27"/>
        <v>0.86909149415703846</v>
      </c>
      <c r="X349" s="33"/>
      <c r="Y349" s="33"/>
    </row>
    <row r="350" spans="1:25" x14ac:dyDescent="0.2">
      <c r="A350" s="93" t="s">
        <v>161</v>
      </c>
      <c r="B350" s="94" t="str">
        <f>IFERROR(VLOOKUP($A350,HeadJournal!$A$1:$NTR$890,COLUMN(HeadJournal!B$1),0),"")</f>
        <v>922238684-0</v>
      </c>
      <c r="C350" s="94" t="str">
        <f>IFERROR(VLOOKUP($A350,HeadJournal!$A$1:$NTR$890,COLUMN(HeadJournal!C$1),0),"")</f>
        <v>iHerb_MH DLE7202</v>
      </c>
      <c r="D350" s="125" t="str">
        <f>IFERROR(VLOOKUP($A350,HeadJournal!$A$1:$NTR$890,COLUMN(HeadJournal!D$1),0),"")</f>
        <v>Доставлен</v>
      </c>
      <c r="E350" s="95">
        <f>IFERROR(VLOOKUP($A350,HeadJournal!$A$1:$NTR$890,COLUMN(HeadJournal!G$1),0),"")</f>
        <v>44884</v>
      </c>
      <c r="F350" s="95" t="str">
        <f t="shared" si="28"/>
        <v>2022 11</v>
      </c>
      <c r="G350" s="96" t="s">
        <v>6</v>
      </c>
      <c r="H350" s="160" t="str">
        <f>RIGHT(Journal!$J350,9)</f>
        <v>CGN-01126</v>
      </c>
      <c r="I350" s="96" t="str">
        <f t="shared" si="30"/>
        <v>California Gold Nutrition</v>
      </c>
      <c r="J350" s="97" t="s">
        <v>113</v>
      </c>
      <c r="K350" s="29">
        <v>5</v>
      </c>
      <c r="L350" s="29">
        <v>-1</v>
      </c>
      <c r="M350" s="30">
        <f>IFERROR(VLOOKUP($A350,HeadJournal!$A$1:$J$890,COLUMN(HeadJournal!I$1),0)*($K350+$L350)/(SUMIF($A:$A,$A350,$K:$K)+SUMIF($A:$A,$A350,$L:$L)),0)</f>
        <v>-0.19374481040686412</v>
      </c>
      <c r="N350" s="30">
        <f>IFERROR((VLOOKUP($A350,HeadJournal!$A$1:$K$890,COLUMN(HeadJournal!K$1),0)-VLOOKUP($A350,HeadJournal!$A$1:$K$890,COLUMN(HeadJournal!J$1),0))*($K350+$L350)/(SUMIF($A:$A,$A350,$K:$K)+SUMIF($A:$A,$A350,$L:$L)),0)</f>
        <v>7.8665124357608669E-16</v>
      </c>
      <c r="O350" s="30">
        <f>IFERROR((VLOOKUP($A350,HeadJournal!$A$1:$L$890,COLUMN(HeadJournal!L$1),0)*($K350+$L350)/(SUMIF($A:$A,$A350,$K:$K)+SUMIF($A:$A,$A350,$L:$L)))/VLOOKUP($A350,HeadJournal!$A$1:$L$890,COLUMN(HeadJournal!H$1),0),0)</f>
        <v>2.686070590500488</v>
      </c>
      <c r="P350" s="30">
        <f>IFERROR(SUM(K350:O350)*VLOOKUP($A350,HeadJournal!$A$1:$L$890,COLUMN(HeadJournal!H$1),0),0)</f>
        <v>447.97047882646007</v>
      </c>
      <c r="Q350" s="29">
        <v>1000</v>
      </c>
      <c r="R350" s="31">
        <v>44959</v>
      </c>
      <c r="S350" s="31" t="s">
        <v>3121</v>
      </c>
      <c r="T350" s="95" t="str">
        <f t="shared" si="29"/>
        <v>2023 02</v>
      </c>
      <c r="U350" s="32">
        <f t="shared" si="26"/>
        <v>552.02952117353993</v>
      </c>
      <c r="V350" s="22">
        <f t="shared" si="27"/>
        <v>1.2322899549534634</v>
      </c>
      <c r="X350" s="33"/>
      <c r="Y350" s="33"/>
    </row>
    <row r="351" spans="1:25" x14ac:dyDescent="0.2">
      <c r="A351" s="93" t="s">
        <v>161</v>
      </c>
      <c r="B351" s="94" t="str">
        <f>IFERROR(VLOOKUP($A351,HeadJournal!$A$1:$NTR$890,COLUMN(HeadJournal!B$1),0),"")</f>
        <v>922238684-0</v>
      </c>
      <c r="C351" s="94" t="str">
        <f>IFERROR(VLOOKUP($A351,HeadJournal!$A$1:$NTR$890,COLUMN(HeadJournal!C$1),0),"")</f>
        <v>iHerb_MH DLE7202</v>
      </c>
      <c r="D351" s="125" t="str">
        <f>IFERROR(VLOOKUP($A351,HeadJournal!$A$1:$NTR$890,COLUMN(HeadJournal!D$1),0),"")</f>
        <v>Доставлен</v>
      </c>
      <c r="E351" s="95">
        <f>IFERROR(VLOOKUP($A351,HeadJournal!$A$1:$NTR$890,COLUMN(HeadJournal!G$1),0),"")</f>
        <v>44884</v>
      </c>
      <c r="F351" s="95" t="str">
        <f t="shared" si="28"/>
        <v>2022 11</v>
      </c>
      <c r="G351" s="96" t="s">
        <v>5</v>
      </c>
      <c r="H351" s="161" t="s">
        <v>2623</v>
      </c>
      <c r="I351" s="97" t="s">
        <v>2052</v>
      </c>
      <c r="J351" s="97" t="s">
        <v>3915</v>
      </c>
      <c r="K351" s="29">
        <v>5</v>
      </c>
      <c r="L351" s="29">
        <v>-3</v>
      </c>
      <c r="M351" s="30">
        <f>IFERROR(VLOOKUP($A351,HeadJournal!$A$1:$J$890,COLUMN(HeadJournal!I$1),0)*($K351+$L351)/(SUMIF($A:$A,$A351,$K:$K)+SUMIF($A:$A,$A351,$L:$L)),0)</f>
        <v>-9.6872405203432058E-2</v>
      </c>
      <c r="N351" s="30">
        <f>IFERROR((VLOOKUP($A351,HeadJournal!$A$1:$K$890,COLUMN(HeadJournal!K$1),0)-VLOOKUP($A351,HeadJournal!$A$1:$K$890,COLUMN(HeadJournal!J$1),0))*($K351+$L351)/(SUMIF($A:$A,$A351,$K:$K)+SUMIF($A:$A,$A351,$L:$L)),0)</f>
        <v>3.9332562178804334E-16</v>
      </c>
      <c r="O351" s="30">
        <f>IFERROR((VLOOKUP($A351,HeadJournal!$A$1:$L$890,COLUMN(HeadJournal!L$1),0)*($K351+$L351)/(SUMIF($A:$A,$A351,$K:$K)+SUMIF($A:$A,$A351,$L:$L)))/VLOOKUP($A351,HeadJournal!$A$1:$L$890,COLUMN(HeadJournal!H$1),0),0)</f>
        <v>1.343035295250244</v>
      </c>
      <c r="P351" s="30">
        <f>IFERROR(SUM(K351:O351)*VLOOKUP($A351,HeadJournal!$A$1:$L$890,COLUMN(HeadJournal!H$1),0),0)</f>
        <v>223.98523941323003</v>
      </c>
      <c r="Q351" s="29">
        <v>600</v>
      </c>
      <c r="R351" s="31">
        <v>45086</v>
      </c>
      <c r="S351" s="31" t="s">
        <v>3121</v>
      </c>
      <c r="T351" s="95" t="str">
        <f t="shared" si="29"/>
        <v>2023 06</v>
      </c>
      <c r="U351" s="32">
        <f t="shared" si="26"/>
        <v>376.01476058676997</v>
      </c>
      <c r="V351" s="22">
        <f t="shared" si="27"/>
        <v>1.6787479459441561</v>
      </c>
      <c r="X351" s="33"/>
      <c r="Y351" s="33"/>
    </row>
    <row r="352" spans="1:25" x14ac:dyDescent="0.2">
      <c r="A352" s="93" t="s">
        <v>167</v>
      </c>
      <c r="B352" s="94" t="str">
        <f>IFERROR(VLOOKUP($A352,HeadJournal!$A$1:$NTR$890,COLUMN(HeadJournal!B$1),0),"")</f>
        <v>1Z095EE70250692180</v>
      </c>
      <c r="C352" s="94" t="str">
        <f>IFERROR(VLOOKUP($A352,HeadJournal!$A$1:$NTR$890,COLUMN(HeadJournal!C$1),0),"")</f>
        <v>iHerb_OA CZN6870</v>
      </c>
      <c r="D352" s="125" t="str">
        <f>IFERROR(VLOOKUP($A352,HeadJournal!$A$1:$NTR$890,COLUMN(HeadJournal!D$1),0),"")</f>
        <v>Доставлен</v>
      </c>
      <c r="E352" s="95">
        <f>IFERROR(VLOOKUP($A352,HeadJournal!$A$1:$NTR$890,COLUMN(HeadJournal!G$1),0),"")</f>
        <v>44885</v>
      </c>
      <c r="F352" s="95" t="str">
        <f t="shared" si="28"/>
        <v>2022 11</v>
      </c>
      <c r="G352" s="96" t="s">
        <v>5</v>
      </c>
      <c r="H352" s="160" t="str">
        <f>RIGHT(Journal!$J352,9)</f>
        <v>SPN-00215</v>
      </c>
      <c r="I352" s="96" t="str">
        <f t="shared" si="30"/>
        <v>Super Nutrition</v>
      </c>
      <c r="J352" s="97" t="s">
        <v>164</v>
      </c>
      <c r="K352" s="29">
        <v>19.28</v>
      </c>
      <c r="L352" s="29">
        <v>-11.57</v>
      </c>
      <c r="M352" s="30">
        <f>IFERROR(VLOOKUP($A352,HeadJournal!$A$1:$J$890,COLUMN(HeadJournal!I$1),0)*($K352+$L352)/(SUMIF($A:$A,$A352,$K:$K)+SUMIF($A:$A,$A352,$L:$L)),0)</f>
        <v>-1.2524366471734891E-2</v>
      </c>
      <c r="N352" s="30">
        <f>IFERROR((VLOOKUP($A352,HeadJournal!$A$1:$K$890,COLUMN(HeadJournal!K$1),0)-VLOOKUP($A352,HeadJournal!$A$1:$K$890,COLUMN(HeadJournal!J$1),0))*($K352+$L352)/(SUMIF($A:$A,$A352,$K:$K)+SUMIF($A:$A,$A352,$L:$L)),0)</f>
        <v>-1.7798195232977165E-15</v>
      </c>
      <c r="O352" s="30">
        <f>IFERROR((VLOOKUP($A352,HeadJournal!$A$1:$L$890,COLUMN(HeadJournal!L$1),0)*($K352+$L352)/(SUMIF($A:$A,$A352,$K:$K)+SUMIF($A:$A,$A352,$L:$L)))/VLOOKUP($A352,HeadJournal!$A$1:$L$890,COLUMN(HeadJournal!H$1),0),0)</f>
        <v>4.6245168608921663</v>
      </c>
      <c r="P352" s="30">
        <f>IFERROR(SUM(K352:O352)*VLOOKUP($A352,HeadJournal!$A$1:$L$890,COLUMN(HeadJournal!H$1),0),0)</f>
        <v>850.21748211500983</v>
      </c>
      <c r="Q352" s="29">
        <v>2500</v>
      </c>
      <c r="R352" s="31">
        <v>44957</v>
      </c>
      <c r="S352" s="31" t="s">
        <v>3121</v>
      </c>
      <c r="T352" s="95" t="str">
        <f t="shared" si="29"/>
        <v>2023 01</v>
      </c>
      <c r="U352" s="32">
        <f t="shared" si="26"/>
        <v>1649.7825178849903</v>
      </c>
      <c r="V352" s="22">
        <f t="shared" si="27"/>
        <v>1.9404241298132028</v>
      </c>
      <c r="X352" s="33"/>
      <c r="Y352" s="33"/>
    </row>
    <row r="353" spans="1:25" x14ac:dyDescent="0.2">
      <c r="A353" s="93" t="s">
        <v>167</v>
      </c>
      <c r="B353" s="94" t="str">
        <f>IFERROR(VLOOKUP($A353,HeadJournal!$A$1:$NTR$890,COLUMN(HeadJournal!B$1),0),"")</f>
        <v>1Z095EE70250692180</v>
      </c>
      <c r="C353" s="94" t="str">
        <f>IFERROR(VLOOKUP($A353,HeadJournal!$A$1:$NTR$890,COLUMN(HeadJournal!C$1),0),"")</f>
        <v>iHerb_OA CZN6870</v>
      </c>
      <c r="D353" s="125" t="str">
        <f>IFERROR(VLOOKUP($A353,HeadJournal!$A$1:$NTR$890,COLUMN(HeadJournal!D$1),0),"")</f>
        <v>Доставлен</v>
      </c>
      <c r="E353" s="95">
        <f>IFERROR(VLOOKUP($A353,HeadJournal!$A$1:$NTR$890,COLUMN(HeadJournal!G$1),0),"")</f>
        <v>44885</v>
      </c>
      <c r="F353" s="95" t="str">
        <f t="shared" si="28"/>
        <v>2022 11</v>
      </c>
      <c r="G353" s="96" t="s">
        <v>6</v>
      </c>
      <c r="H353" s="160" t="str">
        <f>RIGHT(Journal!$J353,9)</f>
        <v>NRX-00741</v>
      </c>
      <c r="I353" s="96" t="str">
        <f t="shared" si="30"/>
        <v>Nutrex Research</v>
      </c>
      <c r="J353" s="97" t="s">
        <v>168</v>
      </c>
      <c r="K353" s="29">
        <v>13.58</v>
      </c>
      <c r="L353" s="29">
        <v>-2.7149999999999999</v>
      </c>
      <c r="M353" s="30">
        <f>IFERROR(VLOOKUP($A353,HeadJournal!$A$1:$J$890,COLUMN(HeadJournal!I$1),0)*($K353+$L353)/(SUMIF($A:$A,$A353,$K:$K)+SUMIF($A:$A,$A353,$L:$L)),0)</f>
        <v>-1.7649447693307337E-2</v>
      </c>
      <c r="N353" s="30">
        <f>IFERROR((VLOOKUP($A353,HeadJournal!$A$1:$K$890,COLUMN(HeadJournal!K$1),0)-VLOOKUP($A353,HeadJournal!$A$1:$K$890,COLUMN(HeadJournal!J$1),0))*($K353+$L353)/(SUMIF($A:$A,$A353,$K:$K)+SUMIF($A:$A,$A353,$L:$L)),0)</f>
        <v>-2.5081373697314771E-15</v>
      </c>
      <c r="O353" s="30">
        <f>IFERROR((VLOOKUP($A353,HeadJournal!$A$1:$L$890,COLUMN(HeadJournal!L$1),0)*($K353+$L353)/(SUMIF($A:$A,$A353,$K:$K)+SUMIF($A:$A,$A353,$L:$L)))/VLOOKUP($A353,HeadJournal!$A$1:$L$890,COLUMN(HeadJournal!H$1),0),0)</f>
        <v>6.5169099472883749</v>
      </c>
      <c r="P353" s="30">
        <f>IFERROR(SUM(K353:O353)*VLOOKUP($A353,HeadJournal!$A$1:$L$890,COLUMN(HeadJournal!H$1),0),0)</f>
        <v>1198.1339744720594</v>
      </c>
      <c r="Q353" s="29">
        <v>1700</v>
      </c>
      <c r="R353" s="31">
        <v>44919</v>
      </c>
      <c r="S353" s="31" t="s">
        <v>3121</v>
      </c>
      <c r="T353" s="95" t="str">
        <f t="shared" si="29"/>
        <v>2022 12</v>
      </c>
      <c r="U353" s="32">
        <f t="shared" si="26"/>
        <v>501.86602552794056</v>
      </c>
      <c r="V353" s="22">
        <f t="shared" si="27"/>
        <v>0.41887304443485179</v>
      </c>
      <c r="X353" s="33"/>
      <c r="Y353" s="33"/>
    </row>
    <row r="354" spans="1:25" x14ac:dyDescent="0.2">
      <c r="A354" s="93" t="s">
        <v>167</v>
      </c>
      <c r="B354" s="94" t="str">
        <f>IFERROR(VLOOKUP($A354,HeadJournal!$A$1:$NTR$890,COLUMN(HeadJournal!B$1),0),"")</f>
        <v>1Z095EE70250692180</v>
      </c>
      <c r="C354" s="94" t="str">
        <f>IFERROR(VLOOKUP($A354,HeadJournal!$A$1:$NTR$890,COLUMN(HeadJournal!C$1),0),"")</f>
        <v>iHerb_OA CZN6870</v>
      </c>
      <c r="D354" s="125" t="str">
        <f>IFERROR(VLOOKUP($A354,HeadJournal!$A$1:$NTR$890,COLUMN(HeadJournal!D$1),0),"")</f>
        <v>Доставлен</v>
      </c>
      <c r="E354" s="95">
        <f>IFERROR(VLOOKUP($A354,HeadJournal!$A$1:$NTR$890,COLUMN(HeadJournal!G$1),0),"")</f>
        <v>44885</v>
      </c>
      <c r="F354" s="95" t="str">
        <f t="shared" si="28"/>
        <v>2022 11</v>
      </c>
      <c r="G354" s="96" t="s">
        <v>6</v>
      </c>
      <c r="H354" s="160" t="str">
        <f>RIGHT(Journal!$J354,9)</f>
        <v>NRX-00741</v>
      </c>
      <c r="I354" s="96" t="str">
        <f t="shared" si="30"/>
        <v>Nutrex Research</v>
      </c>
      <c r="J354" s="97" t="s">
        <v>168</v>
      </c>
      <c r="K354" s="29">
        <v>13.58</v>
      </c>
      <c r="L354" s="29">
        <v>-2.7149999999999999</v>
      </c>
      <c r="M354" s="30">
        <f>IFERROR(VLOOKUP($A354,HeadJournal!$A$1:$J$890,COLUMN(HeadJournal!I$1),0)*($K354+$L354)/(SUMIF($A:$A,$A354,$K:$K)+SUMIF($A:$A,$A354,$L:$L)),0)</f>
        <v>-1.7649447693307337E-2</v>
      </c>
      <c r="N354" s="30">
        <f>IFERROR((VLOOKUP($A354,HeadJournal!$A$1:$K$890,COLUMN(HeadJournal!K$1),0)-VLOOKUP($A354,HeadJournal!$A$1:$K$890,COLUMN(HeadJournal!J$1),0))*($K354+$L354)/(SUMIF($A:$A,$A354,$K:$K)+SUMIF($A:$A,$A354,$L:$L)),0)</f>
        <v>-2.5081373697314771E-15</v>
      </c>
      <c r="O354" s="30">
        <f>IFERROR((VLOOKUP($A354,HeadJournal!$A$1:$L$890,COLUMN(HeadJournal!L$1),0)*($K354+$L354)/(SUMIF($A:$A,$A354,$K:$K)+SUMIF($A:$A,$A354,$L:$L)))/VLOOKUP($A354,HeadJournal!$A$1:$L$890,COLUMN(HeadJournal!H$1),0),0)</f>
        <v>6.5169099472883749</v>
      </c>
      <c r="P354" s="30">
        <f>IFERROR(SUM(K354:O354)*VLOOKUP($A354,HeadJournal!$A$1:$L$890,COLUMN(HeadJournal!H$1),0),0)</f>
        <v>1198.1339744720594</v>
      </c>
      <c r="Q354" s="29">
        <v>2000</v>
      </c>
      <c r="R354" s="31">
        <v>44941</v>
      </c>
      <c r="S354" s="31" t="s">
        <v>3121</v>
      </c>
      <c r="T354" s="95" t="str">
        <f t="shared" si="29"/>
        <v>2023 01</v>
      </c>
      <c r="U354" s="32">
        <f t="shared" si="26"/>
        <v>801.86602552794056</v>
      </c>
      <c r="V354" s="22">
        <f t="shared" si="27"/>
        <v>0.66926240521747271</v>
      </c>
      <c r="X354" s="33"/>
      <c r="Y354" s="33"/>
    </row>
    <row r="355" spans="1:25" x14ac:dyDescent="0.2">
      <c r="A355" s="93" t="s">
        <v>167</v>
      </c>
      <c r="B355" s="94" t="str">
        <f>IFERROR(VLOOKUP($A355,HeadJournal!$A$1:$NTR$890,COLUMN(HeadJournal!B$1),0),"")</f>
        <v>1Z095EE70250692180</v>
      </c>
      <c r="C355" s="94" t="str">
        <f>IFERROR(VLOOKUP($A355,HeadJournal!$A$1:$NTR$890,COLUMN(HeadJournal!C$1),0),"")</f>
        <v>iHerb_OA CZN6870</v>
      </c>
      <c r="D355" s="125" t="str">
        <f>IFERROR(VLOOKUP($A355,HeadJournal!$A$1:$NTR$890,COLUMN(HeadJournal!D$1),0),"")</f>
        <v>Доставлен</v>
      </c>
      <c r="E355" s="95">
        <f>IFERROR(VLOOKUP($A355,HeadJournal!$A$1:$NTR$890,COLUMN(HeadJournal!G$1),0),"")</f>
        <v>44885</v>
      </c>
      <c r="F355" s="95" t="str">
        <f t="shared" si="28"/>
        <v>2022 11</v>
      </c>
      <c r="G355" s="96" t="s">
        <v>5</v>
      </c>
      <c r="H355" s="160" t="str">
        <f>RIGHT(Journal!$J355,9)</f>
        <v>YUE-00186</v>
      </c>
      <c r="I355" s="96" t="str">
        <f t="shared" si="30"/>
        <v>YumEarth</v>
      </c>
      <c r="J355" s="97" t="s">
        <v>169</v>
      </c>
      <c r="K355" s="29">
        <v>9.4600000000000009</v>
      </c>
      <c r="L355" s="29">
        <v>-4.7300000000000004</v>
      </c>
      <c r="M355" s="30">
        <f>IFERROR(VLOOKUP($A355,HeadJournal!$A$1:$J$890,COLUMN(HeadJournal!I$1),0)*($K355+$L355)/(SUMIF($A:$A,$A355,$K:$K)+SUMIF($A:$A,$A355,$L:$L)),0)</f>
        <v>-7.6835607537361914E-3</v>
      </c>
      <c r="N355" s="30">
        <f>IFERROR((VLOOKUP($A355,HeadJournal!$A$1:$K$890,COLUMN(HeadJournal!K$1),0)-VLOOKUP($A355,HeadJournal!$A$1:$K$890,COLUMN(HeadJournal!J$1),0))*($K355+$L355)/(SUMIF($A:$A,$A355,$K:$K)+SUMIF($A:$A,$A355,$L:$L)),0)</f>
        <v>-1.09189965566773E-15</v>
      </c>
      <c r="O355" s="30">
        <f>IFERROR((VLOOKUP($A355,HeadJournal!$A$1:$L$890,COLUMN(HeadJournal!L$1),0)*($K355+$L355)/(SUMIF($A:$A,$A355,$K:$K)+SUMIF($A:$A,$A355,$L:$L)))/VLOOKUP($A355,HeadJournal!$A$1:$L$890,COLUMN(HeadJournal!H$1),0),0)</f>
        <v>2.8370901105084236</v>
      </c>
      <c r="P355" s="30">
        <f>IFERROR(SUM(K355:O355)*VLOOKUP($A355,HeadJournal!$A$1:$L$890,COLUMN(HeadJournal!H$1),0),0)</f>
        <v>521.59905193307338</v>
      </c>
      <c r="Q355" s="29">
        <v>1300</v>
      </c>
      <c r="R355" s="31">
        <v>44919</v>
      </c>
      <c r="S355" s="31" t="s">
        <v>3121</v>
      </c>
      <c r="T355" s="95" t="str">
        <f t="shared" si="29"/>
        <v>2022 12</v>
      </c>
      <c r="U355" s="32">
        <f t="shared" si="26"/>
        <v>778.40094806692662</v>
      </c>
      <c r="V355" s="22">
        <f t="shared" si="27"/>
        <v>1.4923358184454745</v>
      </c>
      <c r="X355" s="33"/>
      <c r="Y355" s="33"/>
    </row>
    <row r="356" spans="1:25" x14ac:dyDescent="0.2">
      <c r="A356" s="93" t="s">
        <v>167</v>
      </c>
      <c r="B356" s="94" t="str">
        <f>IFERROR(VLOOKUP($A356,HeadJournal!$A$1:$NTR$890,COLUMN(HeadJournal!B$1),0),"")</f>
        <v>1Z095EE70250692180</v>
      </c>
      <c r="C356" s="94" t="str">
        <f>IFERROR(VLOOKUP($A356,HeadJournal!$A$1:$NTR$890,COLUMN(HeadJournal!C$1),0),"")</f>
        <v>iHerb_OA CZN6870</v>
      </c>
      <c r="D356" s="125" t="str">
        <f>IFERROR(VLOOKUP($A356,HeadJournal!$A$1:$NTR$890,COLUMN(HeadJournal!D$1),0),"")</f>
        <v>Доставлен</v>
      </c>
      <c r="E356" s="95">
        <f>IFERROR(VLOOKUP($A356,HeadJournal!$A$1:$NTR$890,COLUMN(HeadJournal!G$1),0),"")</f>
        <v>44885</v>
      </c>
      <c r="F356" s="95" t="str">
        <f t="shared" si="28"/>
        <v>2022 11</v>
      </c>
      <c r="G356" s="96" t="s">
        <v>6</v>
      </c>
      <c r="H356" s="160" t="str">
        <f>RIGHT(Journal!$J356,9)</f>
        <v>CGN-01064</v>
      </c>
      <c r="I356" s="96" t="str">
        <f t="shared" si="30"/>
        <v>California Gold Nutrition</v>
      </c>
      <c r="J356" s="97" t="s">
        <v>163</v>
      </c>
      <c r="K356" s="29">
        <v>23</v>
      </c>
      <c r="L356" s="29">
        <v>-11.8</v>
      </c>
      <c r="M356" s="30">
        <f>IFERROR(VLOOKUP($A356,HeadJournal!$A$1:$J$890,COLUMN(HeadJournal!I$1),0)*($K356+$L356)/(SUMIF($A:$A,$A356,$K:$K)+SUMIF($A:$A,$A356,$L:$L)),0)</f>
        <v>-1.819363222871994E-2</v>
      </c>
      <c r="N356" s="30">
        <f>IFERROR((VLOOKUP($A356,HeadJournal!$A$1:$K$890,COLUMN(HeadJournal!K$1),0)-VLOOKUP($A356,HeadJournal!$A$1:$K$890,COLUMN(HeadJournal!J$1),0))*($K356+$L356)/(SUMIF($A:$A,$A356,$K:$K)+SUMIF($A:$A,$A356,$L:$L)),0)</f>
        <v>-2.5854706434415592E-15</v>
      </c>
      <c r="O356" s="30">
        <f>IFERROR((VLOOKUP($A356,HeadJournal!$A$1:$L$890,COLUMN(HeadJournal!L$1),0)*($K356+$L356)/(SUMIF($A:$A,$A356,$K:$K)+SUMIF($A:$A,$A356,$L:$L)))/VLOOKUP($A356,HeadJournal!$A$1:$L$890,COLUMN(HeadJournal!H$1),0),0)</f>
        <v>6.7178455047979559</v>
      </c>
      <c r="P356" s="30">
        <f>IFERROR(SUM(K356:O356)*VLOOKUP($A356,HeadJournal!$A$1:$L$890,COLUMN(HeadJournal!H$1),0),0)</f>
        <v>1235.075979207277</v>
      </c>
      <c r="Q356" s="29">
        <v>2900</v>
      </c>
      <c r="R356" s="31">
        <v>44946</v>
      </c>
      <c r="S356" s="31" t="s">
        <v>3121</v>
      </c>
      <c r="T356" s="95" t="str">
        <f t="shared" si="29"/>
        <v>2023 01</v>
      </c>
      <c r="U356" s="32">
        <f t="shared" si="26"/>
        <v>1664.924020792723</v>
      </c>
      <c r="V356" s="22">
        <f t="shared" si="27"/>
        <v>1.3480336828033368</v>
      </c>
      <c r="X356" s="33"/>
      <c r="Y356" s="33"/>
    </row>
    <row r="357" spans="1:25" x14ac:dyDescent="0.2">
      <c r="A357" s="93" t="s">
        <v>167</v>
      </c>
      <c r="B357" s="94" t="str">
        <f>IFERROR(VLOOKUP($A357,HeadJournal!$A$1:$NTR$890,COLUMN(HeadJournal!B$1),0),"")</f>
        <v>1Z095EE70250692180</v>
      </c>
      <c r="C357" s="94" t="str">
        <f>IFERROR(VLOOKUP($A357,HeadJournal!$A$1:$NTR$890,COLUMN(HeadJournal!C$1),0),"")</f>
        <v>iHerb_OA CZN6870</v>
      </c>
      <c r="D357" s="125" t="str">
        <f>IFERROR(VLOOKUP($A357,HeadJournal!$A$1:$NTR$890,COLUMN(HeadJournal!D$1),0),"")</f>
        <v>Доставлен</v>
      </c>
      <c r="E357" s="95">
        <f>IFERROR(VLOOKUP($A357,HeadJournal!$A$1:$NTR$890,COLUMN(HeadJournal!G$1),0),"")</f>
        <v>44885</v>
      </c>
      <c r="F357" s="95" t="str">
        <f t="shared" si="28"/>
        <v>2022 11</v>
      </c>
      <c r="G357" s="96" t="s">
        <v>6</v>
      </c>
      <c r="H357" s="160" t="str">
        <f>RIGHT(Journal!$J357,9)</f>
        <v>MSC-60311</v>
      </c>
      <c r="I357" s="96" t="str">
        <f t="shared" si="30"/>
        <v>Six Star</v>
      </c>
      <c r="J357" s="97" t="s">
        <v>170</v>
      </c>
      <c r="K357" s="29">
        <v>12.06</v>
      </c>
      <c r="L357" s="29">
        <v>-2.41</v>
      </c>
      <c r="M357" s="30">
        <f>IFERROR(VLOOKUP($A357,HeadJournal!$A$1:$J$890,COLUMN(HeadJournal!I$1),0)*($K357+$L357)/(SUMIF($A:$A,$A357,$K:$K)+SUMIF($A:$A,$A357,$L:$L)),0)</f>
        <v>-1.5675763482781022E-2</v>
      </c>
      <c r="N357" s="30">
        <f>IFERROR((VLOOKUP($A357,HeadJournal!$A$1:$K$890,COLUMN(HeadJournal!K$1),0)-VLOOKUP($A357,HeadJournal!$A$1:$K$890,COLUMN(HeadJournal!J$1),0))*($K357+$L357)/(SUMIF($A:$A,$A357,$K:$K)+SUMIF($A:$A,$A357,$L:$L)),0)</f>
        <v>-2.227659974036701E-15</v>
      </c>
      <c r="O357" s="30">
        <f>IFERROR((VLOOKUP($A357,HeadJournal!$A$1:$L$890,COLUMN(HeadJournal!L$1),0)*($K357+$L357)/(SUMIF($A:$A,$A357,$K:$K)+SUMIF($A:$A,$A357,$L:$L)))/VLOOKUP($A357,HeadJournal!$A$1:$L$890,COLUMN(HeadJournal!H$1),0),0)</f>
        <v>5.7881436715446686</v>
      </c>
      <c r="P357" s="30">
        <f>IFERROR(SUM(K357:O357)*VLOOKUP($A357,HeadJournal!$A$1:$L$890,COLUMN(HeadJournal!H$1),0),0)</f>
        <v>1064.1502856562702</v>
      </c>
      <c r="Q357" s="29">
        <v>1800</v>
      </c>
      <c r="R357" s="31">
        <v>44947</v>
      </c>
      <c r="S357" s="31" t="s">
        <v>3121</v>
      </c>
      <c r="T357" s="95" t="str">
        <f t="shared" si="29"/>
        <v>2023 01</v>
      </c>
      <c r="U357" s="32">
        <f t="shared" si="26"/>
        <v>735.84971434372983</v>
      </c>
      <c r="V357" s="22">
        <f t="shared" si="27"/>
        <v>0.69149040719368438</v>
      </c>
      <c r="X357" s="33"/>
      <c r="Y357" s="33"/>
    </row>
    <row r="358" spans="1:25" x14ac:dyDescent="0.2">
      <c r="A358" s="93" t="s">
        <v>167</v>
      </c>
      <c r="B358" s="94" t="str">
        <f>IFERROR(VLOOKUP($A358,HeadJournal!$A$1:$NTR$890,COLUMN(HeadJournal!B$1),0),"")</f>
        <v>1Z095EE70250692180</v>
      </c>
      <c r="C358" s="94" t="str">
        <f>IFERROR(VLOOKUP($A358,HeadJournal!$A$1:$NTR$890,COLUMN(HeadJournal!C$1),0),"")</f>
        <v>iHerb_OA CZN6870</v>
      </c>
      <c r="D358" s="125" t="str">
        <f>IFERROR(VLOOKUP($A358,HeadJournal!$A$1:$NTR$890,COLUMN(HeadJournal!D$1),0),"")</f>
        <v>Доставлен</v>
      </c>
      <c r="E358" s="95">
        <f>IFERROR(VLOOKUP($A358,HeadJournal!$A$1:$NTR$890,COLUMN(HeadJournal!G$1),0),"")</f>
        <v>44885</v>
      </c>
      <c r="F358" s="95" t="str">
        <f t="shared" si="28"/>
        <v>2022 11</v>
      </c>
      <c r="G358" s="96" t="s">
        <v>5</v>
      </c>
      <c r="H358" s="161" t="s">
        <v>2623</v>
      </c>
      <c r="I358" s="97" t="s">
        <v>2052</v>
      </c>
      <c r="J358" s="97" t="s">
        <v>3915</v>
      </c>
      <c r="K358" s="29">
        <v>5</v>
      </c>
      <c r="L358" s="29">
        <v>-3</v>
      </c>
      <c r="M358" s="30">
        <f>IFERROR(VLOOKUP($A358,HeadJournal!$A$1:$J$890,COLUMN(HeadJournal!I$1),0)*($K358+$L358)/(SUMIF($A:$A,$A358,$K:$K)+SUMIF($A:$A,$A358,$L:$L)),0)</f>
        <v>-3.2488628979857044E-3</v>
      </c>
      <c r="N358" s="30">
        <f>IFERROR((VLOOKUP($A358,HeadJournal!$A$1:$K$890,COLUMN(HeadJournal!K$1),0)-VLOOKUP($A358,HeadJournal!$A$1:$K$890,COLUMN(HeadJournal!J$1),0))*($K358+$L358)/(SUMIF($A:$A,$A358,$K:$K)+SUMIF($A:$A,$A358,$L:$L)),0)</f>
        <v>-4.616911863288499E-16</v>
      </c>
      <c r="O358" s="30">
        <f>IFERROR((VLOOKUP($A358,HeadJournal!$A$1:$L$890,COLUMN(HeadJournal!L$1),0)*($K358+$L358)/(SUMIF($A:$A,$A358,$K:$K)+SUMIF($A:$A,$A358,$L:$L)))/VLOOKUP($A358,HeadJournal!$A$1:$L$890,COLUMN(HeadJournal!H$1),0),0)</f>
        <v>1.1996152687139208</v>
      </c>
      <c r="P358" s="30">
        <f>IFERROR(SUM(K358:O358)*VLOOKUP($A358,HeadJournal!$A$1:$L$890,COLUMN(HeadJournal!H$1),0),0)</f>
        <v>220.5492820012995</v>
      </c>
      <c r="Q358" s="29">
        <v>700</v>
      </c>
      <c r="R358" s="31">
        <v>44919</v>
      </c>
      <c r="S358" s="31" t="s">
        <v>3121</v>
      </c>
      <c r="T358" s="95" t="str">
        <f t="shared" si="29"/>
        <v>2022 12</v>
      </c>
      <c r="U358" s="32">
        <f t="shared" si="26"/>
        <v>479.4507179987005</v>
      </c>
      <c r="V358" s="22">
        <f t="shared" si="27"/>
        <v>2.1738938057203718</v>
      </c>
      <c r="X358" s="33"/>
      <c r="Y358" s="33"/>
    </row>
    <row r="359" spans="1:25" x14ac:dyDescent="0.2">
      <c r="A359" s="93" t="s">
        <v>167</v>
      </c>
      <c r="B359" s="94" t="str">
        <f>IFERROR(VLOOKUP($A359,HeadJournal!$A$1:$NTR$890,COLUMN(HeadJournal!B$1),0),"")</f>
        <v>1Z095EE70250692180</v>
      </c>
      <c r="C359" s="94" t="str">
        <f>IFERROR(VLOOKUP($A359,HeadJournal!$A$1:$NTR$890,COLUMN(HeadJournal!C$1),0),"")</f>
        <v>iHerb_OA CZN6870</v>
      </c>
      <c r="D359" s="125" t="str">
        <f>IFERROR(VLOOKUP($A359,HeadJournal!$A$1:$NTR$890,COLUMN(HeadJournal!D$1),0),"")</f>
        <v>Доставлен</v>
      </c>
      <c r="E359" s="95">
        <f>IFERROR(VLOOKUP($A359,HeadJournal!$A$1:$NTR$890,COLUMN(HeadJournal!G$1),0),"")</f>
        <v>44885</v>
      </c>
      <c r="F359" s="95" t="str">
        <f t="shared" si="28"/>
        <v>2022 11</v>
      </c>
      <c r="G359" s="96" t="s">
        <v>5</v>
      </c>
      <c r="H359" s="161" t="s">
        <v>2027</v>
      </c>
      <c r="I359" s="97" t="s">
        <v>2005</v>
      </c>
      <c r="J359" s="97" t="s">
        <v>4110</v>
      </c>
      <c r="K359" s="29">
        <v>6.48</v>
      </c>
      <c r="L359" s="29">
        <v>-1.94</v>
      </c>
      <c r="M359" s="30">
        <f>IFERROR(VLOOKUP($A359,HeadJournal!$A$1:$J$890,COLUMN(HeadJournal!I$1),0)*($K359+$L359)/(SUMIF($A:$A,$A359,$K:$K)+SUMIF($A:$A,$A359,$L:$L)),0)</f>
        <v>-7.3749187784275501E-3</v>
      </c>
      <c r="N359" s="30">
        <f>IFERROR((VLOOKUP($A359,HeadJournal!$A$1:$K$890,COLUMN(HeadJournal!K$1),0)-VLOOKUP($A359,HeadJournal!$A$1:$K$890,COLUMN(HeadJournal!J$1),0))*($K359+$L359)/(SUMIF($A:$A,$A359,$K:$K)+SUMIF($A:$A,$A359,$L:$L)),0)</f>
        <v>-1.0480389929664895E-15</v>
      </c>
      <c r="O359" s="30">
        <f>IFERROR((VLOOKUP($A359,HeadJournal!$A$1:$L$890,COLUMN(HeadJournal!L$1),0)*($K359+$L359)/(SUMIF($A:$A,$A359,$K:$K)+SUMIF($A:$A,$A359,$L:$L)))/VLOOKUP($A359,HeadJournal!$A$1:$L$890,COLUMN(HeadJournal!H$1),0),0)</f>
        <v>2.723126659980601</v>
      </c>
      <c r="P359" s="30">
        <f>IFERROR(SUM(K359:O359)*VLOOKUP($A359,HeadJournal!$A$1:$L$890,COLUMN(HeadJournal!H$1),0),0)</f>
        <v>500.64687014294998</v>
      </c>
      <c r="Q359" s="29">
        <v>1100</v>
      </c>
      <c r="R359" s="31">
        <v>44919</v>
      </c>
      <c r="S359" s="31" t="s">
        <v>3121</v>
      </c>
      <c r="T359" s="95" t="str">
        <f t="shared" si="29"/>
        <v>2022 12</v>
      </c>
      <c r="U359" s="32">
        <f t="shared" si="26"/>
        <v>599.35312985705002</v>
      </c>
      <c r="V359" s="22">
        <f t="shared" si="27"/>
        <v>1.1971574488939007</v>
      </c>
      <c r="X359" s="33"/>
      <c r="Y359" s="33"/>
    </row>
    <row r="360" spans="1:25" x14ac:dyDescent="0.2">
      <c r="A360" s="93" t="s">
        <v>171</v>
      </c>
      <c r="B360" s="94">
        <f>IFERROR(VLOOKUP($A360,HeadJournal!$A$1:$NTR$890,COLUMN(HeadJournal!B$1),0),"")</f>
        <v>0</v>
      </c>
      <c r="C360" s="94" t="str">
        <f>IFERROR(VLOOKUP($A360,HeadJournal!$A$1:$NTR$890,COLUMN(HeadJournal!C$1),0),"")</f>
        <v>Anna</v>
      </c>
      <c r="D360" s="125" t="str">
        <f>IFERROR(VLOOKUP($A360,HeadJournal!$A$1:$NTR$890,COLUMN(HeadJournal!D$1),0),"")</f>
        <v>Доставлен</v>
      </c>
      <c r="E360" s="95">
        <f>IFERROR(VLOOKUP($A360,HeadJournal!$A$1:$NTR$890,COLUMN(HeadJournal!G$1),0),"")</f>
        <v>44880</v>
      </c>
      <c r="F360" s="95" t="str">
        <f t="shared" si="28"/>
        <v>2022 11</v>
      </c>
      <c r="G360" s="96" t="s">
        <v>5</v>
      </c>
      <c r="H360" s="160" t="str">
        <f>RIGHT(Journal!$J360,9)</f>
        <v>NFS-01678</v>
      </c>
      <c r="I360" s="96" t="str">
        <f t="shared" si="30"/>
        <v>Natural Factors</v>
      </c>
      <c r="J360" s="97" t="s">
        <v>128</v>
      </c>
      <c r="K360" s="29">
        <v>192</v>
      </c>
      <c r="L360" s="29"/>
      <c r="M360" s="30">
        <f>IFERROR(VLOOKUP($A360,HeadJournal!$A$1:$J$890,COLUMN(HeadJournal!I$1),0)*($K360+$L360)/(SUMIF($A:$A,$A360,$K:$K)+SUMIF($A:$A,$A360,$L:$L)),0)</f>
        <v>0</v>
      </c>
      <c r="N360" s="30">
        <f>IFERROR((VLOOKUP($A360,HeadJournal!$A$1:$K$890,COLUMN(HeadJournal!K$1),0)-VLOOKUP($A360,HeadJournal!$A$1:$K$890,COLUMN(HeadJournal!J$1),0))*($K360+$L360)/(SUMIF($A:$A,$A360,$K:$K)+SUMIF($A:$A,$A360,$L:$L)),0)</f>
        <v>-0.24838292367399742</v>
      </c>
      <c r="O360" s="30">
        <f>IFERROR((VLOOKUP($A360,HeadJournal!$A$1:$L$890,COLUMN(HeadJournal!L$1),0)*($K360+$L360)/(SUMIF($A:$A,$A360,$K:$K)+SUMIF($A:$A,$A360,$L:$L)))/VLOOKUP($A360,HeadJournal!$A$1:$L$890,COLUMN(HeadJournal!H$1),0),0)</f>
        <v>0</v>
      </c>
      <c r="P360" s="30">
        <f>IFERROR(SUM(K360:O360)*VLOOKUP($A360,HeadJournal!$A$1:$L$890,COLUMN(HeadJournal!H$1),0),0)</f>
        <v>239.68952134540751</v>
      </c>
      <c r="Q360" s="29">
        <v>650</v>
      </c>
      <c r="R360" s="31">
        <v>45086</v>
      </c>
      <c r="S360" s="31" t="s">
        <v>3121</v>
      </c>
      <c r="T360" s="95" t="str">
        <f t="shared" si="29"/>
        <v>2023 06</v>
      </c>
      <c r="U360" s="32">
        <f t="shared" si="26"/>
        <v>410.31047865459249</v>
      </c>
      <c r="V360" s="22">
        <f t="shared" si="27"/>
        <v>1.7118415371329878</v>
      </c>
      <c r="X360" s="33"/>
      <c r="Y360" s="33"/>
    </row>
    <row r="361" spans="1:25" x14ac:dyDescent="0.2">
      <c r="A361" s="93" t="s">
        <v>171</v>
      </c>
      <c r="B361" s="94">
        <f>IFERROR(VLOOKUP($A361,HeadJournal!$A$1:$NTR$890,COLUMN(HeadJournal!B$1),0),"")</f>
        <v>0</v>
      </c>
      <c r="C361" s="94" t="str">
        <f>IFERROR(VLOOKUP($A361,HeadJournal!$A$1:$NTR$890,COLUMN(HeadJournal!C$1),0),"")</f>
        <v>Anna</v>
      </c>
      <c r="D361" s="125" t="str">
        <f>IFERROR(VLOOKUP($A361,HeadJournal!$A$1:$NTR$890,COLUMN(HeadJournal!D$1),0),"")</f>
        <v>Доставлен</v>
      </c>
      <c r="E361" s="95">
        <f>IFERROR(VLOOKUP($A361,HeadJournal!$A$1:$NTR$890,COLUMN(HeadJournal!G$1),0),"")</f>
        <v>44880</v>
      </c>
      <c r="F361" s="95" t="str">
        <f t="shared" si="28"/>
        <v>2022 11</v>
      </c>
      <c r="G361" s="96" t="s">
        <v>5</v>
      </c>
      <c r="H361" s="161" t="s">
        <v>2851</v>
      </c>
      <c r="I361" s="97" t="s">
        <v>2102</v>
      </c>
      <c r="J361" s="97" t="s">
        <v>4165</v>
      </c>
      <c r="K361" s="29">
        <v>184</v>
      </c>
      <c r="L361" s="29"/>
      <c r="M361" s="30">
        <f>IFERROR(VLOOKUP($A361,HeadJournal!$A$1:$J$890,COLUMN(HeadJournal!I$1),0)*($K361+$L361)/(SUMIF($A:$A,$A361,$K:$K)+SUMIF($A:$A,$A361,$L:$L)),0)</f>
        <v>0</v>
      </c>
      <c r="N361" s="30">
        <f>IFERROR((VLOOKUP($A361,HeadJournal!$A$1:$K$890,COLUMN(HeadJournal!K$1),0)-VLOOKUP($A361,HeadJournal!$A$1:$K$890,COLUMN(HeadJournal!J$1),0))*($K361+$L361)/(SUMIF($A:$A,$A361,$K:$K)+SUMIF($A:$A,$A361,$L:$L)),0)</f>
        <v>-0.23803363518758086</v>
      </c>
      <c r="O361" s="30">
        <f>IFERROR((VLOOKUP($A361,HeadJournal!$A$1:$L$890,COLUMN(HeadJournal!L$1),0)*($K361+$L361)/(SUMIF($A:$A,$A361,$K:$K)+SUMIF($A:$A,$A361,$L:$L)))/VLOOKUP($A361,HeadJournal!$A$1:$L$890,COLUMN(HeadJournal!H$1),0),0)</f>
        <v>0</v>
      </c>
      <c r="P361" s="30">
        <f>IFERROR(SUM(K361:O361)*VLOOKUP($A361,HeadJournal!$A$1:$L$890,COLUMN(HeadJournal!H$1),0),0)</f>
        <v>229.70245795601554</v>
      </c>
      <c r="Q361" s="29">
        <v>750</v>
      </c>
      <c r="R361" s="31">
        <v>44917</v>
      </c>
      <c r="S361" s="31" t="s">
        <v>3121</v>
      </c>
      <c r="T361" s="95" t="str">
        <f t="shared" si="29"/>
        <v>2022 12</v>
      </c>
      <c r="U361" s="32">
        <f t="shared" si="26"/>
        <v>520.29754204398444</v>
      </c>
      <c r="V361" s="22">
        <f t="shared" si="27"/>
        <v>2.2650934895246673</v>
      </c>
      <c r="X361" s="33"/>
      <c r="Y361" s="33"/>
    </row>
    <row r="362" spans="1:25" x14ac:dyDescent="0.2">
      <c r="A362" s="93" t="s">
        <v>171</v>
      </c>
      <c r="B362" s="94">
        <f>IFERROR(VLOOKUP($A362,HeadJournal!$A$1:$NTR$890,COLUMN(HeadJournal!B$1),0),"")</f>
        <v>0</v>
      </c>
      <c r="C362" s="94" t="str">
        <f>IFERROR(VLOOKUP($A362,HeadJournal!$A$1:$NTR$890,COLUMN(HeadJournal!C$1),0),"")</f>
        <v>Anna</v>
      </c>
      <c r="D362" s="125" t="str">
        <f>IFERROR(VLOOKUP($A362,HeadJournal!$A$1:$NTR$890,COLUMN(HeadJournal!D$1),0),"")</f>
        <v>Доставлен</v>
      </c>
      <c r="E362" s="95">
        <f>IFERROR(VLOOKUP($A362,HeadJournal!$A$1:$NTR$890,COLUMN(HeadJournal!G$1),0),"")</f>
        <v>44880</v>
      </c>
      <c r="F362" s="95" t="str">
        <f t="shared" si="28"/>
        <v>2022 11</v>
      </c>
      <c r="G362" s="96" t="s">
        <v>5</v>
      </c>
      <c r="H362" s="160" t="str">
        <f>RIGHT(Journal!$J362,9)</f>
        <v>SOR-04705</v>
      </c>
      <c r="I362" s="96" t="str">
        <f t="shared" si="30"/>
        <v>SOLARAY</v>
      </c>
      <c r="J362" s="97" t="s">
        <v>172</v>
      </c>
      <c r="K362" s="29">
        <v>256</v>
      </c>
      <c r="L362" s="29"/>
      <c r="M362" s="30">
        <f>IFERROR(VLOOKUP($A362,HeadJournal!$A$1:$J$890,COLUMN(HeadJournal!I$1),0)*($K362+$L362)/(SUMIF($A:$A,$A362,$K:$K)+SUMIF($A:$A,$A362,$L:$L)),0)</f>
        <v>0</v>
      </c>
      <c r="N362" s="30">
        <f>IFERROR((VLOOKUP($A362,HeadJournal!$A$1:$K$890,COLUMN(HeadJournal!K$1),0)-VLOOKUP($A362,HeadJournal!$A$1:$K$890,COLUMN(HeadJournal!J$1),0))*($K362+$L362)/(SUMIF($A:$A,$A362,$K:$K)+SUMIF($A:$A,$A362,$L:$L)),0)</f>
        <v>-0.33117723156532991</v>
      </c>
      <c r="O362" s="30">
        <f>IFERROR((VLOOKUP($A362,HeadJournal!$A$1:$L$890,COLUMN(HeadJournal!L$1),0)*($K362+$L362)/(SUMIF($A:$A,$A362,$K:$K)+SUMIF($A:$A,$A362,$L:$L)))/VLOOKUP($A362,HeadJournal!$A$1:$L$890,COLUMN(HeadJournal!H$1),0),0)</f>
        <v>0</v>
      </c>
      <c r="P362" s="30">
        <f>IFERROR(SUM(K362:O362)*VLOOKUP($A362,HeadJournal!$A$1:$L$890,COLUMN(HeadJournal!H$1),0),0)</f>
        <v>319.58602846054333</v>
      </c>
      <c r="Q362" s="29">
        <v>900</v>
      </c>
      <c r="R362" s="31">
        <v>44892</v>
      </c>
      <c r="S362" s="31" t="s">
        <v>3121</v>
      </c>
      <c r="T362" s="95" t="str">
        <f t="shared" si="29"/>
        <v>2022 11</v>
      </c>
      <c r="U362" s="32">
        <f t="shared" si="26"/>
        <v>580.41397153945672</v>
      </c>
      <c r="V362" s="22">
        <f t="shared" si="27"/>
        <v>1.8161431347150261</v>
      </c>
      <c r="X362" s="33"/>
      <c r="Y362" s="33"/>
    </row>
    <row r="363" spans="1:25" x14ac:dyDescent="0.2">
      <c r="A363" s="93" t="s">
        <v>171</v>
      </c>
      <c r="B363" s="94">
        <f>IFERROR(VLOOKUP($A363,HeadJournal!$A$1:$NTR$890,COLUMN(HeadJournal!B$1),0),"")</f>
        <v>0</v>
      </c>
      <c r="C363" s="94" t="str">
        <f>IFERROR(VLOOKUP($A363,HeadJournal!$A$1:$NTR$890,COLUMN(HeadJournal!C$1),0),"")</f>
        <v>Anna</v>
      </c>
      <c r="D363" s="125" t="str">
        <f>IFERROR(VLOOKUP($A363,HeadJournal!$A$1:$NTR$890,COLUMN(HeadJournal!D$1),0),"")</f>
        <v>Доставлен</v>
      </c>
      <c r="E363" s="95">
        <f>IFERROR(VLOOKUP($A363,HeadJournal!$A$1:$NTR$890,COLUMN(HeadJournal!G$1),0),"")</f>
        <v>44880</v>
      </c>
      <c r="F363" s="95" t="str">
        <f t="shared" si="28"/>
        <v>2022 11</v>
      </c>
      <c r="G363" s="96" t="s">
        <v>5</v>
      </c>
      <c r="H363" s="161" t="s">
        <v>2174</v>
      </c>
      <c r="I363" s="97" t="s">
        <v>2005</v>
      </c>
      <c r="J363" s="97" t="s">
        <v>2175</v>
      </c>
      <c r="K363" s="29">
        <v>200</v>
      </c>
      <c r="L363" s="29"/>
      <c r="M363" s="30">
        <f>IFERROR(VLOOKUP($A363,HeadJournal!$A$1:$J$890,COLUMN(HeadJournal!I$1),0)*($K363+$L363)/(SUMIF($A:$A,$A363,$K:$K)+SUMIF($A:$A,$A363,$L:$L)),0)</f>
        <v>0</v>
      </c>
      <c r="N363" s="30">
        <f>IFERROR((VLOOKUP($A363,HeadJournal!$A$1:$K$890,COLUMN(HeadJournal!K$1),0)-VLOOKUP($A363,HeadJournal!$A$1:$K$890,COLUMN(HeadJournal!J$1),0))*($K363+$L363)/(SUMIF($A:$A,$A363,$K:$K)+SUMIF($A:$A,$A363,$L:$L)),0)</f>
        <v>-0.25873221216041398</v>
      </c>
      <c r="O363" s="30">
        <f>IFERROR((VLOOKUP($A363,HeadJournal!$A$1:$L$890,COLUMN(HeadJournal!L$1),0)*($K363+$L363)/(SUMIF($A:$A,$A363,$K:$K)+SUMIF($A:$A,$A363,$L:$L)))/VLOOKUP($A363,HeadJournal!$A$1:$L$890,COLUMN(HeadJournal!H$1),0),0)</f>
        <v>0</v>
      </c>
      <c r="P363" s="30">
        <f>IFERROR(SUM(K363:O363)*VLOOKUP($A363,HeadJournal!$A$1:$L$890,COLUMN(HeadJournal!H$1),0),0)</f>
        <v>249.67658473479946</v>
      </c>
      <c r="Q363" s="29">
        <v>750</v>
      </c>
      <c r="R363" s="31">
        <v>44889</v>
      </c>
      <c r="S363" s="31" t="s">
        <v>3121</v>
      </c>
      <c r="T363" s="95" t="str">
        <f t="shared" si="29"/>
        <v>2022 11</v>
      </c>
      <c r="U363" s="32">
        <f t="shared" si="26"/>
        <v>500.32341526520054</v>
      </c>
      <c r="V363" s="22">
        <f t="shared" si="27"/>
        <v>2.0038860103626948</v>
      </c>
      <c r="X363" s="33"/>
      <c r="Y363" s="33"/>
    </row>
    <row r="364" spans="1:25" x14ac:dyDescent="0.2">
      <c r="A364" s="93" t="s">
        <v>171</v>
      </c>
      <c r="B364" s="94">
        <f>IFERROR(VLOOKUP($A364,HeadJournal!$A$1:$NTR$890,COLUMN(HeadJournal!B$1),0),"")</f>
        <v>0</v>
      </c>
      <c r="C364" s="94" t="str">
        <f>IFERROR(VLOOKUP($A364,HeadJournal!$A$1:$NTR$890,COLUMN(HeadJournal!C$1),0),"")</f>
        <v>Anna</v>
      </c>
      <c r="D364" s="125" t="str">
        <f>IFERROR(VLOOKUP($A364,HeadJournal!$A$1:$NTR$890,COLUMN(HeadJournal!D$1),0),"")</f>
        <v>Доставлен</v>
      </c>
      <c r="E364" s="95">
        <f>IFERROR(VLOOKUP($A364,HeadJournal!$A$1:$NTR$890,COLUMN(HeadJournal!G$1),0),"")</f>
        <v>44880</v>
      </c>
      <c r="F364" s="95" t="str">
        <f t="shared" si="28"/>
        <v>2022 11</v>
      </c>
      <c r="G364" s="96" t="s">
        <v>5</v>
      </c>
      <c r="H364" s="160" t="str">
        <f>RIGHT(Journal!$J364,9)</f>
        <v>NWY-15788</v>
      </c>
      <c r="I364" s="96" t="str">
        <f t="shared" si="30"/>
        <v>Nature's Way</v>
      </c>
      <c r="J364" s="97" t="s">
        <v>69</v>
      </c>
      <c r="K364" s="29">
        <v>496</v>
      </c>
      <c r="L364" s="29"/>
      <c r="M364" s="30">
        <f>IFERROR(VLOOKUP($A364,HeadJournal!$A$1:$J$890,COLUMN(HeadJournal!I$1),0)*($K364+$L364)/(SUMIF($A:$A,$A364,$K:$K)+SUMIF($A:$A,$A364,$L:$L)),0)</f>
        <v>0</v>
      </c>
      <c r="N364" s="30">
        <f>IFERROR((VLOOKUP($A364,HeadJournal!$A$1:$K$890,COLUMN(HeadJournal!K$1),0)-VLOOKUP($A364,HeadJournal!$A$1:$K$890,COLUMN(HeadJournal!J$1),0))*($K364+$L364)/(SUMIF($A:$A,$A364,$K:$K)+SUMIF($A:$A,$A364,$L:$L)),0)</f>
        <v>-0.64165588615782665</v>
      </c>
      <c r="O364" s="30">
        <f>IFERROR((VLOOKUP($A364,HeadJournal!$A$1:$L$890,COLUMN(HeadJournal!L$1),0)*($K364+$L364)/(SUMIF($A:$A,$A364,$K:$K)+SUMIF($A:$A,$A364,$L:$L)))/VLOOKUP($A364,HeadJournal!$A$1:$L$890,COLUMN(HeadJournal!H$1),0),0)</f>
        <v>0</v>
      </c>
      <c r="P364" s="30">
        <f>IFERROR(SUM(K364:O364)*VLOOKUP($A364,HeadJournal!$A$1:$L$890,COLUMN(HeadJournal!H$1),0),0)</f>
        <v>619.19793014230277</v>
      </c>
      <c r="Q364" s="29">
        <v>1300</v>
      </c>
      <c r="R364" s="31">
        <v>44883</v>
      </c>
      <c r="S364" s="31" t="s">
        <v>3121</v>
      </c>
      <c r="T364" s="95" t="str">
        <f t="shared" si="29"/>
        <v>2022 11</v>
      </c>
      <c r="U364" s="32">
        <f t="shared" si="26"/>
        <v>680.80206985769723</v>
      </c>
      <c r="V364" s="22">
        <f t="shared" si="27"/>
        <v>1.0994902222965066</v>
      </c>
      <c r="X364" s="33"/>
      <c r="Y364" s="33"/>
    </row>
    <row r="365" spans="1:25" x14ac:dyDescent="0.2">
      <c r="A365" s="93" t="s">
        <v>171</v>
      </c>
      <c r="B365" s="94">
        <f>IFERROR(VLOOKUP($A365,HeadJournal!$A$1:$NTR$890,COLUMN(HeadJournal!B$1),0),"")</f>
        <v>0</v>
      </c>
      <c r="C365" s="94" t="str">
        <f>IFERROR(VLOOKUP($A365,HeadJournal!$A$1:$NTR$890,COLUMN(HeadJournal!C$1),0),"")</f>
        <v>Anna</v>
      </c>
      <c r="D365" s="125" t="str">
        <f>IFERROR(VLOOKUP($A365,HeadJournal!$A$1:$NTR$890,COLUMN(HeadJournal!D$1),0),"")</f>
        <v>Доставлен</v>
      </c>
      <c r="E365" s="95">
        <f>IFERROR(VLOOKUP($A365,HeadJournal!$A$1:$NTR$890,COLUMN(HeadJournal!G$1),0),"")</f>
        <v>44880</v>
      </c>
      <c r="F365" s="95" t="str">
        <f t="shared" si="28"/>
        <v>2022 11</v>
      </c>
      <c r="G365" s="96" t="s">
        <v>5</v>
      </c>
      <c r="H365" s="160" t="str">
        <f>RIGHT(Journal!$J365,9)</f>
        <v>NWY-15788</v>
      </c>
      <c r="I365" s="96" t="str">
        <f t="shared" si="30"/>
        <v>Nature's Way</v>
      </c>
      <c r="J365" s="97" t="s">
        <v>69</v>
      </c>
      <c r="K365" s="29">
        <v>496</v>
      </c>
      <c r="L365" s="29"/>
      <c r="M365" s="30">
        <f>IFERROR(VLOOKUP($A365,HeadJournal!$A$1:$J$890,COLUMN(HeadJournal!I$1),0)*($K365+$L365)/(SUMIF($A:$A,$A365,$K:$K)+SUMIF($A:$A,$A365,$L:$L)),0)</f>
        <v>0</v>
      </c>
      <c r="N365" s="30">
        <f>IFERROR((VLOOKUP($A365,HeadJournal!$A$1:$K$890,COLUMN(HeadJournal!K$1),0)-VLOOKUP($A365,HeadJournal!$A$1:$K$890,COLUMN(HeadJournal!J$1),0))*($K365+$L365)/(SUMIF($A:$A,$A365,$K:$K)+SUMIF($A:$A,$A365,$L:$L)),0)</f>
        <v>-0.64165588615782665</v>
      </c>
      <c r="O365" s="30">
        <f>IFERROR((VLOOKUP($A365,HeadJournal!$A$1:$L$890,COLUMN(HeadJournal!L$1),0)*($K365+$L365)/(SUMIF($A:$A,$A365,$K:$K)+SUMIF($A:$A,$A365,$L:$L)))/VLOOKUP($A365,HeadJournal!$A$1:$L$890,COLUMN(HeadJournal!H$1),0),0)</f>
        <v>0</v>
      </c>
      <c r="P365" s="30">
        <f>IFERROR(SUM(K365:O365)*VLOOKUP($A365,HeadJournal!$A$1:$L$890,COLUMN(HeadJournal!H$1),0),0)</f>
        <v>619.19793014230277</v>
      </c>
      <c r="Q365" s="29"/>
      <c r="R365" s="31"/>
      <c r="S365" s="31"/>
      <c r="T365" s="95" t="str">
        <f t="shared" si="29"/>
        <v/>
      </c>
      <c r="U365" s="32">
        <f t="shared" si="26"/>
        <v>-619.19793014230277</v>
      </c>
      <c r="V365" s="22" t="str">
        <f t="shared" si="27"/>
        <v/>
      </c>
      <c r="X365" s="33"/>
      <c r="Y365" s="33"/>
    </row>
    <row r="366" spans="1:25" x14ac:dyDescent="0.2">
      <c r="A366" s="93" t="s">
        <v>171</v>
      </c>
      <c r="B366" s="94">
        <f>IFERROR(VLOOKUP($A366,HeadJournal!$A$1:$NTR$890,COLUMN(HeadJournal!B$1),0),"")</f>
        <v>0</v>
      </c>
      <c r="C366" s="94" t="str">
        <f>IFERROR(VLOOKUP($A366,HeadJournal!$A$1:$NTR$890,COLUMN(HeadJournal!C$1),0),"")</f>
        <v>Anna</v>
      </c>
      <c r="D366" s="125" t="str">
        <f>IFERROR(VLOOKUP($A366,HeadJournal!$A$1:$NTR$890,COLUMN(HeadJournal!D$1),0),"")</f>
        <v>Доставлен</v>
      </c>
      <c r="E366" s="95">
        <f>IFERROR(VLOOKUP($A366,HeadJournal!$A$1:$NTR$890,COLUMN(HeadJournal!G$1),0),"")</f>
        <v>44880</v>
      </c>
      <c r="F366" s="95" t="str">
        <f t="shared" si="28"/>
        <v>2022 11</v>
      </c>
      <c r="G366" s="96" t="s">
        <v>5</v>
      </c>
      <c r="H366" s="160" t="str">
        <f>RIGHT(Journal!$J366,9)</f>
        <v>NWY-15788</v>
      </c>
      <c r="I366" s="96" t="str">
        <f t="shared" si="30"/>
        <v>Nature's Way</v>
      </c>
      <c r="J366" s="97" t="s">
        <v>69</v>
      </c>
      <c r="K366" s="29">
        <v>496</v>
      </c>
      <c r="L366" s="29"/>
      <c r="M366" s="30">
        <f>IFERROR(VLOOKUP($A366,HeadJournal!$A$1:$J$890,COLUMN(HeadJournal!I$1),0)*($K366+$L366)/(SUMIF($A:$A,$A366,$K:$K)+SUMIF($A:$A,$A366,$L:$L)),0)</f>
        <v>0</v>
      </c>
      <c r="N366" s="30">
        <f>IFERROR((VLOOKUP($A366,HeadJournal!$A$1:$K$890,COLUMN(HeadJournal!K$1),0)-VLOOKUP($A366,HeadJournal!$A$1:$K$890,COLUMN(HeadJournal!J$1),0))*($K366+$L366)/(SUMIF($A:$A,$A366,$K:$K)+SUMIF($A:$A,$A366,$L:$L)),0)</f>
        <v>-0.64165588615782665</v>
      </c>
      <c r="O366" s="30">
        <f>IFERROR((VLOOKUP($A366,HeadJournal!$A$1:$L$890,COLUMN(HeadJournal!L$1),0)*($K366+$L366)/(SUMIF($A:$A,$A366,$K:$K)+SUMIF($A:$A,$A366,$L:$L)))/VLOOKUP($A366,HeadJournal!$A$1:$L$890,COLUMN(HeadJournal!H$1),0),0)</f>
        <v>0</v>
      </c>
      <c r="P366" s="30">
        <f>IFERROR(SUM(K366:O366)*VLOOKUP($A366,HeadJournal!$A$1:$L$890,COLUMN(HeadJournal!H$1),0),0)</f>
        <v>619.19793014230277</v>
      </c>
      <c r="Q366" s="29">
        <v>1500</v>
      </c>
      <c r="R366" s="31">
        <v>44963</v>
      </c>
      <c r="S366" s="31" t="s">
        <v>3121</v>
      </c>
      <c r="T366" s="95" t="str">
        <f t="shared" si="29"/>
        <v>2023 02</v>
      </c>
      <c r="U366" s="32">
        <f t="shared" si="26"/>
        <v>880.80206985769723</v>
      </c>
      <c r="V366" s="22">
        <f t="shared" si="27"/>
        <v>1.4224887180344308</v>
      </c>
      <c r="X366" s="33"/>
      <c r="Y366" s="33"/>
    </row>
    <row r="367" spans="1:25" x14ac:dyDescent="0.2">
      <c r="A367" s="93" t="s">
        <v>171</v>
      </c>
      <c r="B367" s="94">
        <f>IFERROR(VLOOKUP($A367,HeadJournal!$A$1:$NTR$890,COLUMN(HeadJournal!B$1),0),"")</f>
        <v>0</v>
      </c>
      <c r="C367" s="94" t="str">
        <f>IFERROR(VLOOKUP($A367,HeadJournal!$A$1:$NTR$890,COLUMN(HeadJournal!C$1),0),"")</f>
        <v>Anna</v>
      </c>
      <c r="D367" s="125" t="str">
        <f>IFERROR(VLOOKUP($A367,HeadJournal!$A$1:$NTR$890,COLUMN(HeadJournal!D$1),0),"")</f>
        <v>Доставлен</v>
      </c>
      <c r="E367" s="95">
        <f>IFERROR(VLOOKUP($A367,HeadJournal!$A$1:$NTR$890,COLUMN(HeadJournal!G$1),0),"")</f>
        <v>44880</v>
      </c>
      <c r="F367" s="95" t="str">
        <f t="shared" si="28"/>
        <v>2022 11</v>
      </c>
      <c r="G367" s="96" t="s">
        <v>5</v>
      </c>
      <c r="H367" s="161" t="s">
        <v>2127</v>
      </c>
      <c r="I367" s="97" t="s">
        <v>2125</v>
      </c>
      <c r="J367" s="97" t="s">
        <v>2128</v>
      </c>
      <c r="K367" s="29">
        <v>316</v>
      </c>
      <c r="L367" s="29"/>
      <c r="M367" s="30">
        <f>IFERROR(VLOOKUP($A367,HeadJournal!$A$1:$J$890,COLUMN(HeadJournal!I$1),0)*($K367+$L367)/(SUMIF($A:$A,$A367,$K:$K)+SUMIF($A:$A,$A367,$L:$L)),0)</f>
        <v>0</v>
      </c>
      <c r="N367" s="30">
        <f>IFERROR((VLOOKUP($A367,HeadJournal!$A$1:$K$890,COLUMN(HeadJournal!K$1),0)-VLOOKUP($A367,HeadJournal!$A$1:$K$890,COLUMN(HeadJournal!J$1),0))*($K367+$L367)/(SUMIF($A:$A,$A367,$K:$K)+SUMIF($A:$A,$A367,$L:$L)),0)</f>
        <v>-0.40879689521345408</v>
      </c>
      <c r="O367" s="30">
        <f>IFERROR((VLOOKUP($A367,HeadJournal!$A$1:$L$890,COLUMN(HeadJournal!L$1),0)*($K367+$L367)/(SUMIF($A:$A,$A367,$K:$K)+SUMIF($A:$A,$A367,$L:$L)))/VLOOKUP($A367,HeadJournal!$A$1:$L$890,COLUMN(HeadJournal!H$1),0),0)</f>
        <v>0</v>
      </c>
      <c r="P367" s="30">
        <f>IFERROR(SUM(K367:O367)*VLOOKUP($A367,HeadJournal!$A$1:$L$890,COLUMN(HeadJournal!H$1),0),0)</f>
        <v>394.48900388098315</v>
      </c>
      <c r="Q367" s="29">
        <v>394.49</v>
      </c>
      <c r="R367" s="31">
        <v>44977</v>
      </c>
      <c r="S367" s="31" t="s">
        <v>3121</v>
      </c>
      <c r="T367" s="95" t="str">
        <f t="shared" si="29"/>
        <v>2023 02</v>
      </c>
      <c r="U367" s="32">
        <f t="shared" si="26"/>
        <v>9.961190168610301E-4</v>
      </c>
      <c r="V367" s="22">
        <f t="shared" si="27"/>
        <v>2.5250869024515523E-6</v>
      </c>
      <c r="X367" s="33"/>
      <c r="Y367" s="33"/>
    </row>
    <row r="368" spans="1:25" x14ac:dyDescent="0.2">
      <c r="A368" s="93" t="s">
        <v>171</v>
      </c>
      <c r="B368" s="94">
        <f>IFERROR(VLOOKUP($A368,HeadJournal!$A$1:$NTR$890,COLUMN(HeadJournal!B$1),0),"")</f>
        <v>0</v>
      </c>
      <c r="C368" s="94" t="str">
        <f>IFERROR(VLOOKUP($A368,HeadJournal!$A$1:$NTR$890,COLUMN(HeadJournal!C$1),0),"")</f>
        <v>Anna</v>
      </c>
      <c r="D368" s="125" t="str">
        <f>IFERROR(VLOOKUP($A368,HeadJournal!$A$1:$NTR$890,COLUMN(HeadJournal!D$1),0),"")</f>
        <v>Доставлен</v>
      </c>
      <c r="E368" s="95">
        <f>IFERROR(VLOOKUP($A368,HeadJournal!$A$1:$NTR$890,COLUMN(HeadJournal!G$1),0),"")</f>
        <v>44880</v>
      </c>
      <c r="F368" s="95" t="str">
        <f t="shared" si="28"/>
        <v>2022 11</v>
      </c>
      <c r="G368" s="96" t="s">
        <v>5</v>
      </c>
      <c r="H368" s="161" t="s">
        <v>4137</v>
      </c>
      <c r="I368" s="97" t="s">
        <v>2666</v>
      </c>
      <c r="J368" s="97" t="s">
        <v>4138</v>
      </c>
      <c r="K368" s="29">
        <v>456</v>
      </c>
      <c r="L368" s="29"/>
      <c r="M368" s="30">
        <f>IFERROR(VLOOKUP($A368,HeadJournal!$A$1:$J$890,COLUMN(HeadJournal!I$1),0)*($K368+$L368)/(SUMIF($A:$A,$A368,$K:$K)+SUMIF($A:$A,$A368,$L:$L)),0)</f>
        <v>0</v>
      </c>
      <c r="N368" s="30">
        <f>IFERROR((VLOOKUP($A368,HeadJournal!$A$1:$K$890,COLUMN(HeadJournal!K$1),0)-VLOOKUP($A368,HeadJournal!$A$1:$K$890,COLUMN(HeadJournal!J$1),0))*($K368+$L368)/(SUMIF($A:$A,$A368,$K:$K)+SUMIF($A:$A,$A368,$L:$L)),0)</f>
        <v>-0.58990944372574383</v>
      </c>
      <c r="O368" s="30">
        <f>IFERROR((VLOOKUP($A368,HeadJournal!$A$1:$L$890,COLUMN(HeadJournal!L$1),0)*($K368+$L368)/(SUMIF($A:$A,$A368,$K:$K)+SUMIF($A:$A,$A368,$L:$L)))/VLOOKUP($A368,HeadJournal!$A$1:$L$890,COLUMN(HeadJournal!H$1),0),0)</f>
        <v>0</v>
      </c>
      <c r="P368" s="30">
        <f>IFERROR(SUM(K368:O368)*VLOOKUP($A368,HeadJournal!$A$1:$L$890,COLUMN(HeadJournal!H$1),0),0)</f>
        <v>569.26261319534285</v>
      </c>
      <c r="Q368" s="29">
        <v>1200</v>
      </c>
      <c r="R368" s="31">
        <v>44914</v>
      </c>
      <c r="S368" s="31" t="s">
        <v>3121</v>
      </c>
      <c r="T368" s="95" t="str">
        <f t="shared" si="29"/>
        <v>2022 12</v>
      </c>
      <c r="U368" s="32">
        <f t="shared" si="26"/>
        <v>630.73738680465715</v>
      </c>
      <c r="V368" s="22">
        <f t="shared" si="27"/>
        <v>1.1079901827106626</v>
      </c>
      <c r="X368" s="33"/>
      <c r="Y368" s="33"/>
    </row>
    <row r="369" spans="1:25" x14ac:dyDescent="0.2">
      <c r="A369" s="93" t="s">
        <v>173</v>
      </c>
      <c r="B369" s="94">
        <f>IFERROR(VLOOKUP($A369,HeadJournal!$A$1:$NTR$890,COLUMN(HeadJournal!B$1),0),"")</f>
        <v>0</v>
      </c>
      <c r="C369" s="94" t="str">
        <f>IFERROR(VLOOKUP($A369,HeadJournal!$A$1:$NTR$890,COLUMN(HeadJournal!C$1),0),"")</f>
        <v>OZON_AV</v>
      </c>
      <c r="D369" s="125" t="str">
        <f>IFERROR(VLOOKUP($A369,HeadJournal!$A$1:$NTR$890,COLUMN(HeadJournal!D$1),0),"")</f>
        <v>Доставлен</v>
      </c>
      <c r="E369" s="95">
        <f>IFERROR(VLOOKUP($A369,HeadJournal!$A$1:$NTR$890,COLUMN(HeadJournal!G$1),0),"")</f>
        <v>44886</v>
      </c>
      <c r="F369" s="95" t="str">
        <f t="shared" si="28"/>
        <v>2022 11</v>
      </c>
      <c r="G369" s="96" t="s">
        <v>7</v>
      </c>
      <c r="H369" s="160" t="s">
        <v>3838</v>
      </c>
      <c r="I369" s="96" t="str">
        <f t="shared" si="30"/>
        <v>Holy Land</v>
      </c>
      <c r="J369" s="97" t="s">
        <v>174</v>
      </c>
      <c r="K369" s="29">
        <v>3608</v>
      </c>
      <c r="L369" s="29"/>
      <c r="M369" s="30">
        <f>IFERROR(VLOOKUP($A369,HeadJournal!$A$1:$J$890,COLUMN(HeadJournal!I$1),0)*($K369+$L369)/(SUMIF($A:$A,$A369,$K:$K)+SUMIF($A:$A,$A369,$L:$L)),0)</f>
        <v>0</v>
      </c>
      <c r="N369" s="30">
        <f>IFERROR((VLOOKUP($A369,HeadJournal!$A$1:$K$890,COLUMN(HeadJournal!K$1),0)-VLOOKUP($A369,HeadJournal!$A$1:$K$890,COLUMN(HeadJournal!J$1),0))*($K369+$L369)/(SUMIF($A:$A,$A369,$K:$K)+SUMIF($A:$A,$A369,$L:$L)),0)</f>
        <v>20.851027397260275</v>
      </c>
      <c r="O369" s="30">
        <f>IFERROR((VLOOKUP($A369,HeadJournal!$A$1:$L$890,COLUMN(HeadJournal!L$1),0)*($K369+$L369)/(SUMIF($A:$A,$A369,$K:$K)+SUMIF($A:$A,$A369,$L:$L)))/VLOOKUP($A369,HeadJournal!$A$1:$L$890,COLUMN(HeadJournal!H$1),0),0)</f>
        <v>544.32765410958905</v>
      </c>
      <c r="P369" s="30">
        <f>IFERROR(SUM(K369:O369)*VLOOKUP($A369,HeadJournal!$A$1:$L$890,COLUMN(HeadJournal!H$1),0),0)</f>
        <v>4173.178681506849</v>
      </c>
      <c r="Q369" s="29">
        <v>4700</v>
      </c>
      <c r="R369" s="31">
        <v>44888</v>
      </c>
      <c r="S369" s="31" t="s">
        <v>3121</v>
      </c>
      <c r="T369" s="95" t="str">
        <f t="shared" si="29"/>
        <v>2022 11</v>
      </c>
      <c r="U369" s="32">
        <f t="shared" si="26"/>
        <v>526.82131849315101</v>
      </c>
      <c r="V369" s="22">
        <f t="shared" si="27"/>
        <v>0.12623981830150793</v>
      </c>
      <c r="X369" s="33"/>
      <c r="Y369" s="33"/>
    </row>
    <row r="370" spans="1:25" x14ac:dyDescent="0.2">
      <c r="A370" s="93" t="s">
        <v>175</v>
      </c>
      <c r="B370" s="94">
        <f>IFERROR(VLOOKUP($A370,HeadJournal!$A$1:$NTR$890,COLUMN(HeadJournal!B$1),0),"")</f>
        <v>0</v>
      </c>
      <c r="C370" s="94" t="str">
        <f>IFERROR(VLOOKUP($A370,HeadJournal!$A$1:$NTR$890,COLUMN(HeadJournal!C$1),0),"")</f>
        <v>WBRS</v>
      </c>
      <c r="D370" s="125" t="str">
        <f>IFERROR(VLOOKUP($A370,HeadJournal!$A$1:$NTR$890,COLUMN(HeadJournal!D$1),0),"")</f>
        <v>Доставлен</v>
      </c>
      <c r="E370" s="95">
        <f>IFERROR(VLOOKUP($A370,HeadJournal!$A$1:$NTR$890,COLUMN(HeadJournal!G$1),0),"")</f>
        <v>44886</v>
      </c>
      <c r="F370" s="95" t="str">
        <f t="shared" si="28"/>
        <v>2022 11</v>
      </c>
      <c r="G370" s="96" t="s">
        <v>7</v>
      </c>
      <c r="H370" s="160" t="str">
        <f>RIGHT(Journal!$J370,9)</f>
        <v xml:space="preserve"> 72335422</v>
      </c>
      <c r="I370" s="96" t="str">
        <f t="shared" si="30"/>
        <v>Missha</v>
      </c>
      <c r="J370" s="97" t="s">
        <v>3608</v>
      </c>
      <c r="K370" s="29">
        <v>815</v>
      </c>
      <c r="L370" s="29"/>
      <c r="M370" s="30">
        <f>IFERROR(VLOOKUP($A370,HeadJournal!$A$1:$J$890,COLUMN(HeadJournal!I$1),0)*($K370+$L370)/(SUMIF($A:$A,$A370,$K:$K)+SUMIF($A:$A,$A370,$L:$L)),0)</f>
        <v>0</v>
      </c>
      <c r="N370" s="30">
        <f>IFERROR((VLOOKUP($A370,HeadJournal!$A$1:$K$890,COLUMN(HeadJournal!K$1),0)-VLOOKUP($A370,HeadJournal!$A$1:$K$890,COLUMN(HeadJournal!J$1),0))*($K370+$L370)/(SUMIF($A:$A,$A370,$K:$K)+SUMIF($A:$A,$A370,$L:$L)),0)</f>
        <v>0</v>
      </c>
      <c r="O370" s="30">
        <f>IFERROR((VLOOKUP($A370,HeadJournal!$A$1:$L$890,COLUMN(HeadJournal!L$1),0)*($K370+$L370)/(SUMIF($A:$A,$A370,$K:$K)+SUMIF($A:$A,$A370,$L:$L)))/VLOOKUP($A370,HeadJournal!$A$1:$L$890,COLUMN(HeadJournal!H$1),0),0)</f>
        <v>122.25</v>
      </c>
      <c r="P370" s="30">
        <f>IFERROR(SUM(K370:O370)*VLOOKUP($A370,HeadJournal!$A$1:$L$890,COLUMN(HeadJournal!H$1),0),0)</f>
        <v>937.25</v>
      </c>
      <c r="Q370" s="29">
        <v>1300</v>
      </c>
      <c r="R370" s="31">
        <v>44888</v>
      </c>
      <c r="S370" s="31" t="s">
        <v>3121</v>
      </c>
      <c r="T370" s="95" t="str">
        <f t="shared" si="29"/>
        <v>2022 11</v>
      </c>
      <c r="U370" s="32">
        <f t="shared" si="26"/>
        <v>362.75</v>
      </c>
      <c r="V370" s="22">
        <f t="shared" si="27"/>
        <v>0.38703654307815416</v>
      </c>
      <c r="X370" s="33"/>
      <c r="Y370" s="33"/>
    </row>
    <row r="371" spans="1:25" x14ac:dyDescent="0.2">
      <c r="A371" s="93" t="s">
        <v>173</v>
      </c>
      <c r="B371" s="94">
        <f>IFERROR(VLOOKUP($A371,HeadJournal!$A$1:$NTR$890,COLUMN(HeadJournal!B$1),0),"")</f>
        <v>0</v>
      </c>
      <c r="C371" s="94" t="str">
        <f>IFERROR(VLOOKUP($A371,HeadJournal!$A$1:$NTR$890,COLUMN(HeadJournal!C$1),0),"")</f>
        <v>OZON_AV</v>
      </c>
      <c r="D371" s="125" t="str">
        <f>IFERROR(VLOOKUP($A371,HeadJournal!$A$1:$NTR$890,COLUMN(HeadJournal!D$1),0),"")</f>
        <v>Доставлен</v>
      </c>
      <c r="E371" s="95">
        <f>IFERROR(VLOOKUP($A371,HeadJournal!$A$1:$NTR$890,COLUMN(HeadJournal!G$1),0),"")</f>
        <v>44886</v>
      </c>
      <c r="F371" s="95" t="str">
        <f t="shared" si="28"/>
        <v>2022 11</v>
      </c>
      <c r="G371" s="96" t="s">
        <v>5</v>
      </c>
      <c r="H371" s="160" t="str">
        <f>RIGHT(Journal!$J371,9)</f>
        <v>355578901</v>
      </c>
      <c r="I371" s="96" t="str">
        <f t="shared" si="30"/>
        <v>Patanjali</v>
      </c>
      <c r="J371" s="97" t="s">
        <v>255</v>
      </c>
      <c r="K371" s="29">
        <v>532</v>
      </c>
      <c r="L371" s="29"/>
      <c r="M371" s="30">
        <f>IFERROR(VLOOKUP($A371,HeadJournal!$A$1:$J$890,COLUMN(HeadJournal!I$1),0)*($K371+$L371)/(SUMIF($A:$A,$A371,$K:$K)+SUMIF($A:$A,$A371,$L:$L)),0)</f>
        <v>0</v>
      </c>
      <c r="N371" s="30">
        <f>IFERROR((VLOOKUP($A371,HeadJournal!$A$1:$K$890,COLUMN(HeadJournal!K$1),0)-VLOOKUP($A371,HeadJournal!$A$1:$K$890,COLUMN(HeadJournal!J$1),0))*($K371+$L371)/(SUMIF($A:$A,$A371,$K:$K)+SUMIF($A:$A,$A371,$L:$L)),0)</f>
        <v>3.0744863013698631</v>
      </c>
      <c r="O371" s="30">
        <f>IFERROR((VLOOKUP($A371,HeadJournal!$A$1:$L$890,COLUMN(HeadJournal!L$1),0)*($K371+$L371)/(SUMIF($A:$A,$A371,$K:$K)+SUMIF($A:$A,$A371,$L:$L)))/VLOOKUP($A371,HeadJournal!$A$1:$L$890,COLUMN(HeadJournal!H$1),0),0)</f>
        <v>80.261172945205487</v>
      </c>
      <c r="P371" s="30">
        <f>IFERROR(SUM(K371:O371)*VLOOKUP($A371,HeadJournal!$A$1:$L$890,COLUMN(HeadJournal!H$1),0),0)</f>
        <v>615.33565924657546</v>
      </c>
      <c r="Q371" s="29">
        <v>950</v>
      </c>
      <c r="R371" s="31">
        <v>44887</v>
      </c>
      <c r="S371" s="31" t="s">
        <v>3121</v>
      </c>
      <c r="T371" s="95" t="str">
        <f t="shared" si="29"/>
        <v>2022 11</v>
      </c>
      <c r="U371" s="32">
        <f t="shared" si="26"/>
        <v>334.66434075342454</v>
      </c>
      <c r="V371" s="22">
        <f t="shared" si="27"/>
        <v>0.54387282083276578</v>
      </c>
      <c r="X371" s="33"/>
      <c r="Y371" s="33"/>
    </row>
    <row r="372" spans="1:25" x14ac:dyDescent="0.2">
      <c r="A372" s="93" t="s">
        <v>173</v>
      </c>
      <c r="B372" s="94">
        <f>IFERROR(VLOOKUP($A372,HeadJournal!$A$1:$NTR$890,COLUMN(HeadJournal!B$1),0),"")</f>
        <v>0</v>
      </c>
      <c r="C372" s="94" t="str">
        <f>IFERROR(VLOOKUP($A372,HeadJournal!$A$1:$NTR$890,COLUMN(HeadJournal!C$1),0),"")</f>
        <v>OZON_AV</v>
      </c>
      <c r="D372" s="125" t="str">
        <f>IFERROR(VLOOKUP($A372,HeadJournal!$A$1:$NTR$890,COLUMN(HeadJournal!D$1),0),"")</f>
        <v>Доставлен</v>
      </c>
      <c r="E372" s="95">
        <f>IFERROR(VLOOKUP($A372,HeadJournal!$A$1:$NTR$890,COLUMN(HeadJournal!G$1),0),"")</f>
        <v>44886</v>
      </c>
      <c r="F372" s="95" t="str">
        <f t="shared" si="28"/>
        <v>2022 11</v>
      </c>
      <c r="G372" s="96" t="s">
        <v>5</v>
      </c>
      <c r="H372" s="160" t="str">
        <f>RIGHT(Journal!$J372,9)</f>
        <v>355578901</v>
      </c>
      <c r="I372" s="96" t="str">
        <f t="shared" si="30"/>
        <v>Patanjali</v>
      </c>
      <c r="J372" s="97" t="s">
        <v>255</v>
      </c>
      <c r="K372" s="29">
        <v>532</v>
      </c>
      <c r="L372" s="29"/>
      <c r="M372" s="30">
        <f>IFERROR(VLOOKUP($A372,HeadJournal!$A$1:$J$890,COLUMN(HeadJournal!I$1),0)*($K372+$L372)/(SUMIF($A:$A,$A372,$K:$K)+SUMIF($A:$A,$A372,$L:$L)),0)</f>
        <v>0</v>
      </c>
      <c r="N372" s="30">
        <f>IFERROR((VLOOKUP($A372,HeadJournal!$A$1:$K$890,COLUMN(HeadJournal!K$1),0)-VLOOKUP($A372,HeadJournal!$A$1:$K$890,COLUMN(HeadJournal!J$1),0))*($K372+$L372)/(SUMIF($A:$A,$A372,$K:$K)+SUMIF($A:$A,$A372,$L:$L)),0)</f>
        <v>3.0744863013698631</v>
      </c>
      <c r="O372" s="30">
        <f>IFERROR((VLOOKUP($A372,HeadJournal!$A$1:$L$890,COLUMN(HeadJournal!L$1),0)*($K372+$L372)/(SUMIF($A:$A,$A372,$K:$K)+SUMIF($A:$A,$A372,$L:$L)))/VLOOKUP($A372,HeadJournal!$A$1:$L$890,COLUMN(HeadJournal!H$1),0),0)</f>
        <v>80.261172945205487</v>
      </c>
      <c r="P372" s="30">
        <f>IFERROR(SUM(K372:O372)*VLOOKUP($A372,HeadJournal!$A$1:$L$890,COLUMN(HeadJournal!H$1),0),0)</f>
        <v>615.33565924657546</v>
      </c>
      <c r="Q372" s="29">
        <v>900</v>
      </c>
      <c r="R372" s="31">
        <v>44894</v>
      </c>
      <c r="S372" s="31" t="s">
        <v>3121</v>
      </c>
      <c r="T372" s="95" t="str">
        <f t="shared" si="29"/>
        <v>2022 11</v>
      </c>
      <c r="U372" s="32">
        <f t="shared" si="26"/>
        <v>284.66434075342454</v>
      </c>
      <c r="V372" s="22">
        <f t="shared" si="27"/>
        <v>0.46261635657840966</v>
      </c>
      <c r="X372" s="33"/>
      <c r="Y372" s="33"/>
    </row>
    <row r="373" spans="1:25" x14ac:dyDescent="0.2">
      <c r="A373" s="93" t="s">
        <v>176</v>
      </c>
      <c r="B373" s="94">
        <f>IFERROR(VLOOKUP($A373,HeadJournal!$A$1:$NTR$890,COLUMN(HeadJournal!B$1),0),"")</f>
        <v>0</v>
      </c>
      <c r="C373" s="94" t="str">
        <f>IFERROR(VLOOKUP($A373,HeadJournal!$A$1:$NTR$890,COLUMN(HeadJournal!C$1),0),"")</f>
        <v>OZON_AV</v>
      </c>
      <c r="D373" s="125" t="str">
        <f>IFERROR(VLOOKUP($A373,HeadJournal!$A$1:$NTR$890,COLUMN(HeadJournal!D$1),0),"")</f>
        <v>Доставлен</v>
      </c>
      <c r="E373" s="95">
        <f>IFERROR(VLOOKUP($A373,HeadJournal!$A$1:$NTR$890,COLUMN(HeadJournal!G$1),0),"")</f>
        <v>44886</v>
      </c>
      <c r="F373" s="95" t="str">
        <f t="shared" si="28"/>
        <v>2022 11</v>
      </c>
      <c r="G373" s="96" t="s">
        <v>6</v>
      </c>
      <c r="H373" s="160" t="str">
        <f>RIGHT(Journal!$J373,9)</f>
        <v>30 порций</v>
      </c>
      <c r="I373" s="96" t="str">
        <f t="shared" si="30"/>
        <v>BIGSNT</v>
      </c>
      <c r="J373" s="97" t="s">
        <v>177</v>
      </c>
      <c r="K373" s="29">
        <v>626</v>
      </c>
      <c r="L373" s="29"/>
      <c r="M373" s="30">
        <f>IFERROR(VLOOKUP($A373,HeadJournal!$A$1:$J$890,COLUMN(HeadJournal!I$1),0)*($K373+$L373)/(SUMIF($A:$A,$A373,$K:$K)+SUMIF($A:$A,$A373,$L:$L)),0)</f>
        <v>0</v>
      </c>
      <c r="N373" s="30">
        <f>IFERROR((VLOOKUP($A373,HeadJournal!$A$1:$K$890,COLUMN(HeadJournal!K$1),0)-VLOOKUP($A373,HeadJournal!$A$1:$K$890,COLUMN(HeadJournal!J$1),0))*($K373+$L373)/(SUMIF($A:$A,$A373,$K:$K)+SUMIF($A:$A,$A373,$L:$L)),0)</f>
        <v>0</v>
      </c>
      <c r="O373" s="30">
        <f>IFERROR((VLOOKUP($A373,HeadJournal!$A$1:$L$890,COLUMN(HeadJournal!L$1),0)*($K373+$L373)/(SUMIF($A:$A,$A373,$K:$K)+SUMIF($A:$A,$A373,$L:$L)))/VLOOKUP($A373,HeadJournal!$A$1:$L$890,COLUMN(HeadJournal!H$1),0),0)</f>
        <v>93.9</v>
      </c>
      <c r="P373" s="30">
        <f>IFERROR(SUM(K373:O373)*VLOOKUP($A373,HeadJournal!$A$1:$L$890,COLUMN(HeadJournal!H$1),0),0)</f>
        <v>719.9</v>
      </c>
      <c r="Q373" s="29">
        <v>1400</v>
      </c>
      <c r="R373" s="31">
        <v>44888</v>
      </c>
      <c r="S373" s="31" t="s">
        <v>3121</v>
      </c>
      <c r="T373" s="95" t="str">
        <f t="shared" si="29"/>
        <v>2022 11</v>
      </c>
      <c r="U373" s="32">
        <f t="shared" si="26"/>
        <v>680.1</v>
      </c>
      <c r="V373" s="22">
        <f t="shared" si="27"/>
        <v>0.94471454368662322</v>
      </c>
      <c r="X373" s="33"/>
      <c r="Y373" s="33"/>
    </row>
    <row r="374" spans="1:25" x14ac:dyDescent="0.2">
      <c r="A374" s="93" t="s">
        <v>176</v>
      </c>
      <c r="B374" s="94">
        <f>IFERROR(VLOOKUP($A374,HeadJournal!$A$1:$NTR$890,COLUMN(HeadJournal!B$1),0),"")</f>
        <v>0</v>
      </c>
      <c r="C374" s="94" t="str">
        <f>IFERROR(VLOOKUP($A374,HeadJournal!$A$1:$NTR$890,COLUMN(HeadJournal!C$1),0),"")</f>
        <v>OZON_AV</v>
      </c>
      <c r="D374" s="125" t="str">
        <f>IFERROR(VLOOKUP($A374,HeadJournal!$A$1:$NTR$890,COLUMN(HeadJournal!D$1),0),"")</f>
        <v>Доставлен</v>
      </c>
      <c r="E374" s="95">
        <f>IFERROR(VLOOKUP($A374,HeadJournal!$A$1:$NTR$890,COLUMN(HeadJournal!G$1),0),"")</f>
        <v>44886</v>
      </c>
      <c r="F374" s="95" t="str">
        <f t="shared" si="28"/>
        <v>2022 11</v>
      </c>
      <c r="G374" s="96" t="s">
        <v>6</v>
      </c>
      <c r="H374" s="160" t="str">
        <f>RIGHT(Journal!$J374,9)</f>
        <v>30 порций</v>
      </c>
      <c r="I374" s="96" t="str">
        <f t="shared" si="30"/>
        <v>BIGSNT</v>
      </c>
      <c r="J374" s="97" t="s">
        <v>177</v>
      </c>
      <c r="K374" s="29">
        <v>626</v>
      </c>
      <c r="L374" s="29"/>
      <c r="M374" s="30">
        <f>IFERROR(VLOOKUP($A374,HeadJournal!$A$1:$J$890,COLUMN(HeadJournal!I$1),0)*($K374+$L374)/(SUMIF($A:$A,$A374,$K:$K)+SUMIF($A:$A,$A374,$L:$L)),0)</f>
        <v>0</v>
      </c>
      <c r="N374" s="30">
        <f>IFERROR((VLOOKUP($A374,HeadJournal!$A$1:$K$890,COLUMN(HeadJournal!K$1),0)-VLOOKUP($A374,HeadJournal!$A$1:$K$890,COLUMN(HeadJournal!J$1),0))*($K374+$L374)/(SUMIF($A:$A,$A374,$K:$K)+SUMIF($A:$A,$A374,$L:$L)),0)</f>
        <v>0</v>
      </c>
      <c r="O374" s="30">
        <f>IFERROR((VLOOKUP($A374,HeadJournal!$A$1:$L$890,COLUMN(HeadJournal!L$1),0)*($K374+$L374)/(SUMIF($A:$A,$A374,$K:$K)+SUMIF($A:$A,$A374,$L:$L)))/VLOOKUP($A374,HeadJournal!$A$1:$L$890,COLUMN(HeadJournal!H$1),0),0)</f>
        <v>93.9</v>
      </c>
      <c r="P374" s="30">
        <f>IFERROR(SUM(K374:O374)*VLOOKUP($A374,HeadJournal!$A$1:$L$890,COLUMN(HeadJournal!H$1),0),0)</f>
        <v>719.9</v>
      </c>
      <c r="Q374" s="29">
        <v>1400</v>
      </c>
      <c r="R374" s="31">
        <v>44930</v>
      </c>
      <c r="S374" s="31" t="s">
        <v>3121</v>
      </c>
      <c r="T374" s="95" t="str">
        <f t="shared" si="29"/>
        <v>2023 01</v>
      </c>
      <c r="U374" s="32">
        <f t="shared" si="26"/>
        <v>680.1</v>
      </c>
      <c r="V374" s="22">
        <f t="shared" si="27"/>
        <v>0.94471454368662322</v>
      </c>
      <c r="X374" s="33"/>
      <c r="Y374" s="33"/>
    </row>
    <row r="375" spans="1:25" x14ac:dyDescent="0.2">
      <c r="A375" s="93" t="s">
        <v>176</v>
      </c>
      <c r="B375" s="94">
        <f>IFERROR(VLOOKUP($A375,HeadJournal!$A$1:$NTR$890,COLUMN(HeadJournal!B$1),0),"")</f>
        <v>0</v>
      </c>
      <c r="C375" s="94" t="str">
        <f>IFERROR(VLOOKUP($A375,HeadJournal!$A$1:$NTR$890,COLUMN(HeadJournal!C$1),0),"")</f>
        <v>OZON_AV</v>
      </c>
      <c r="D375" s="125" t="str">
        <f>IFERROR(VLOOKUP($A375,HeadJournal!$A$1:$NTR$890,COLUMN(HeadJournal!D$1),0),"")</f>
        <v>Доставлен</v>
      </c>
      <c r="E375" s="95">
        <f>IFERROR(VLOOKUP($A375,HeadJournal!$A$1:$NTR$890,COLUMN(HeadJournal!G$1),0),"")</f>
        <v>44886</v>
      </c>
      <c r="F375" s="95" t="str">
        <f t="shared" si="28"/>
        <v>2022 11</v>
      </c>
      <c r="G375" s="96" t="s">
        <v>6</v>
      </c>
      <c r="H375" s="160" t="str">
        <f>RIGHT(Journal!$J375,9)</f>
        <v>688630275</v>
      </c>
      <c r="I375" s="96" t="str">
        <f t="shared" si="30"/>
        <v>TOP100</v>
      </c>
      <c r="J375" s="97" t="s">
        <v>384</v>
      </c>
      <c r="K375" s="29">
        <v>465</v>
      </c>
      <c r="L375" s="29"/>
      <c r="M375" s="30">
        <f>IFERROR(VLOOKUP($A375,HeadJournal!$A$1:$J$890,COLUMN(HeadJournal!I$1),0)*($K375+$L375)/(SUMIF($A:$A,$A375,$K:$K)+SUMIF($A:$A,$A375,$L:$L)),0)</f>
        <v>0</v>
      </c>
      <c r="N375" s="30">
        <f>IFERROR((VLOOKUP($A375,HeadJournal!$A$1:$K$890,COLUMN(HeadJournal!K$1),0)-VLOOKUP($A375,HeadJournal!$A$1:$K$890,COLUMN(HeadJournal!J$1),0))*($K375+$L375)/(SUMIF($A:$A,$A375,$K:$K)+SUMIF($A:$A,$A375,$L:$L)),0)</f>
        <v>0</v>
      </c>
      <c r="O375" s="30">
        <f>IFERROR((VLOOKUP($A375,HeadJournal!$A$1:$L$890,COLUMN(HeadJournal!L$1),0)*($K375+$L375)/(SUMIF($A:$A,$A375,$K:$K)+SUMIF($A:$A,$A375,$L:$L)))/VLOOKUP($A375,HeadJournal!$A$1:$L$890,COLUMN(HeadJournal!H$1),0),0)</f>
        <v>69.75</v>
      </c>
      <c r="P375" s="30">
        <f>IFERROR(SUM(K375:O375)*VLOOKUP($A375,HeadJournal!$A$1:$L$890,COLUMN(HeadJournal!H$1),0),0)</f>
        <v>534.75</v>
      </c>
      <c r="Q375" s="29">
        <v>1200</v>
      </c>
      <c r="R375" s="31">
        <v>44919</v>
      </c>
      <c r="S375" s="31" t="s">
        <v>3121</v>
      </c>
      <c r="T375" s="95" t="str">
        <f t="shared" si="29"/>
        <v>2022 12</v>
      </c>
      <c r="U375" s="32">
        <f t="shared" si="26"/>
        <v>665.25</v>
      </c>
      <c r="V375" s="22">
        <f t="shared" si="27"/>
        <v>1.244039270687237</v>
      </c>
      <c r="X375" s="33"/>
      <c r="Y375" s="33"/>
    </row>
    <row r="376" spans="1:25" x14ac:dyDescent="0.2">
      <c r="A376" s="93" t="s">
        <v>176</v>
      </c>
      <c r="B376" s="94">
        <f>IFERROR(VLOOKUP($A376,HeadJournal!$A$1:$NTR$890,COLUMN(HeadJournal!B$1),0),"")</f>
        <v>0</v>
      </c>
      <c r="C376" s="94" t="str">
        <f>IFERROR(VLOOKUP($A376,HeadJournal!$A$1:$NTR$890,COLUMN(HeadJournal!C$1),0),"")</f>
        <v>OZON_AV</v>
      </c>
      <c r="D376" s="125" t="str">
        <f>IFERROR(VLOOKUP($A376,HeadJournal!$A$1:$NTR$890,COLUMN(HeadJournal!D$1),0),"")</f>
        <v>Доставлен</v>
      </c>
      <c r="E376" s="95">
        <f>IFERROR(VLOOKUP($A376,HeadJournal!$A$1:$NTR$890,COLUMN(HeadJournal!G$1),0),"")</f>
        <v>44886</v>
      </c>
      <c r="F376" s="95" t="str">
        <f t="shared" si="28"/>
        <v>2022 11</v>
      </c>
      <c r="G376" s="96" t="s">
        <v>6</v>
      </c>
      <c r="H376" s="160" t="str">
        <f>RIGHT(Journal!$J376,9)</f>
        <v>688630275</v>
      </c>
      <c r="I376" s="96" t="str">
        <f t="shared" si="30"/>
        <v>TOP100</v>
      </c>
      <c r="J376" s="97" t="s">
        <v>384</v>
      </c>
      <c r="K376" s="29">
        <v>465</v>
      </c>
      <c r="L376" s="29"/>
      <c r="M376" s="30">
        <f>IFERROR(VLOOKUP($A376,HeadJournal!$A$1:$J$890,COLUMN(HeadJournal!I$1),0)*($K376+$L376)/(SUMIF($A:$A,$A376,$K:$K)+SUMIF($A:$A,$A376,$L:$L)),0)</f>
        <v>0</v>
      </c>
      <c r="N376" s="30">
        <f>IFERROR((VLOOKUP($A376,HeadJournal!$A$1:$K$890,COLUMN(HeadJournal!K$1),0)-VLOOKUP($A376,HeadJournal!$A$1:$K$890,COLUMN(HeadJournal!J$1),0))*($K376+$L376)/(SUMIF($A:$A,$A376,$K:$K)+SUMIF($A:$A,$A376,$L:$L)),0)</f>
        <v>0</v>
      </c>
      <c r="O376" s="30">
        <f>IFERROR((VLOOKUP($A376,HeadJournal!$A$1:$L$890,COLUMN(HeadJournal!L$1),0)*($K376+$L376)/(SUMIF($A:$A,$A376,$K:$K)+SUMIF($A:$A,$A376,$L:$L)))/VLOOKUP($A376,HeadJournal!$A$1:$L$890,COLUMN(HeadJournal!H$1),0),0)</f>
        <v>69.75</v>
      </c>
      <c r="P376" s="30">
        <f>IFERROR(SUM(K376:O376)*VLOOKUP($A376,HeadJournal!$A$1:$L$890,COLUMN(HeadJournal!H$1),0),0)</f>
        <v>534.75</v>
      </c>
      <c r="Q376" s="29">
        <v>1200</v>
      </c>
      <c r="R376" s="31">
        <v>44943</v>
      </c>
      <c r="S376" s="31" t="s">
        <v>3121</v>
      </c>
      <c r="T376" s="95" t="str">
        <f t="shared" si="29"/>
        <v>2023 01</v>
      </c>
      <c r="U376" s="32">
        <f t="shared" si="26"/>
        <v>665.25</v>
      </c>
      <c r="V376" s="22">
        <f t="shared" si="27"/>
        <v>1.244039270687237</v>
      </c>
      <c r="X376" s="33"/>
      <c r="Y376" s="33"/>
    </row>
    <row r="377" spans="1:25" x14ac:dyDescent="0.2">
      <c r="A377" s="93" t="s">
        <v>176</v>
      </c>
      <c r="B377" s="94">
        <f>IFERROR(VLOOKUP($A377,HeadJournal!$A$1:$NTR$890,COLUMN(HeadJournal!B$1),0),"")</f>
        <v>0</v>
      </c>
      <c r="C377" s="94" t="str">
        <f>IFERROR(VLOOKUP($A377,HeadJournal!$A$1:$NTR$890,COLUMN(HeadJournal!C$1),0),"")</f>
        <v>OZON_AV</v>
      </c>
      <c r="D377" s="125" t="str">
        <f>IFERROR(VLOOKUP($A377,HeadJournal!$A$1:$NTR$890,COLUMN(HeadJournal!D$1),0),"")</f>
        <v>Доставлен</v>
      </c>
      <c r="E377" s="95">
        <f>IFERROR(VLOOKUP($A377,HeadJournal!$A$1:$NTR$890,COLUMN(HeadJournal!G$1),0),"")</f>
        <v>44886</v>
      </c>
      <c r="F377" s="95" t="str">
        <f t="shared" si="28"/>
        <v>2022 11</v>
      </c>
      <c r="G377" s="96" t="s">
        <v>6</v>
      </c>
      <c r="H377" s="160" t="s">
        <v>3618</v>
      </c>
      <c r="I377" s="96" t="str">
        <f t="shared" si="30"/>
        <v>VitaMeal</v>
      </c>
      <c r="J377" s="97" t="s">
        <v>178</v>
      </c>
      <c r="K377" s="29">
        <v>1230</v>
      </c>
      <c r="L377" s="29"/>
      <c r="M377" s="30">
        <f>IFERROR(VLOOKUP($A377,HeadJournal!$A$1:$J$890,COLUMN(HeadJournal!I$1),0)*($K377+$L377)/(SUMIF($A:$A,$A377,$K:$K)+SUMIF($A:$A,$A377,$L:$L)),0)</f>
        <v>0</v>
      </c>
      <c r="N377" s="30">
        <f>IFERROR((VLOOKUP($A377,HeadJournal!$A$1:$K$890,COLUMN(HeadJournal!K$1),0)-VLOOKUP($A377,HeadJournal!$A$1:$K$890,COLUMN(HeadJournal!J$1),0))*($K377+$L377)/(SUMIF($A:$A,$A377,$K:$K)+SUMIF($A:$A,$A377,$L:$L)),0)</f>
        <v>0</v>
      </c>
      <c r="O377" s="30">
        <f>IFERROR((VLOOKUP($A377,HeadJournal!$A$1:$L$890,COLUMN(HeadJournal!L$1),0)*($K377+$L377)/(SUMIF($A:$A,$A377,$K:$K)+SUMIF($A:$A,$A377,$L:$L)))/VLOOKUP($A377,HeadJournal!$A$1:$L$890,COLUMN(HeadJournal!H$1),0),0)</f>
        <v>184.5</v>
      </c>
      <c r="P377" s="30">
        <f>IFERROR(SUM(K377:O377)*VLOOKUP($A377,HeadJournal!$A$1:$L$890,COLUMN(HeadJournal!H$1),0),0)</f>
        <v>1414.5</v>
      </c>
      <c r="Q377" s="29">
        <v>1900</v>
      </c>
      <c r="R377" s="31">
        <v>44888</v>
      </c>
      <c r="S377" s="31" t="s">
        <v>3121</v>
      </c>
      <c r="T377" s="95" t="str">
        <f t="shared" si="29"/>
        <v>2022 11</v>
      </c>
      <c r="U377" s="32">
        <f t="shared" si="26"/>
        <v>485.5</v>
      </c>
      <c r="V377" s="22">
        <f t="shared" si="27"/>
        <v>0.34323082361258395</v>
      </c>
      <c r="X377" s="33"/>
      <c r="Y377" s="33"/>
    </row>
    <row r="378" spans="1:25" x14ac:dyDescent="0.2">
      <c r="A378" s="93" t="s">
        <v>176</v>
      </c>
      <c r="B378" s="94">
        <f>IFERROR(VLOOKUP($A378,HeadJournal!$A$1:$NTR$890,COLUMN(HeadJournal!B$1),0),"")</f>
        <v>0</v>
      </c>
      <c r="C378" s="94" t="str">
        <f>IFERROR(VLOOKUP($A378,HeadJournal!$A$1:$NTR$890,COLUMN(HeadJournal!C$1),0),"")</f>
        <v>OZON_AV</v>
      </c>
      <c r="D378" s="125" t="str">
        <f>IFERROR(VLOOKUP($A378,HeadJournal!$A$1:$NTR$890,COLUMN(HeadJournal!D$1),0),"")</f>
        <v>Доставлен</v>
      </c>
      <c r="E378" s="95">
        <f>IFERROR(VLOOKUP($A378,HeadJournal!$A$1:$NTR$890,COLUMN(HeadJournal!G$1),0),"")</f>
        <v>44886</v>
      </c>
      <c r="F378" s="95" t="str">
        <f t="shared" si="28"/>
        <v>2022 11</v>
      </c>
      <c r="G378" s="96" t="s">
        <v>6</v>
      </c>
      <c r="H378" s="160" t="str">
        <f>RIGHT(Journal!$J378,9)</f>
        <v>170919152</v>
      </c>
      <c r="I378" s="96" t="str">
        <f t="shared" si="30"/>
        <v>PRIMEKRAFT</v>
      </c>
      <c r="J378" s="97" t="s">
        <v>1054</v>
      </c>
      <c r="K378" s="29">
        <v>833</v>
      </c>
      <c r="L378" s="29"/>
      <c r="M378" s="30">
        <f>IFERROR(VLOOKUP($A378,HeadJournal!$A$1:$J$890,COLUMN(HeadJournal!I$1),0)*($K378+$L378)/(SUMIF($A:$A,$A378,$K:$K)+SUMIF($A:$A,$A378,$L:$L)),0)</f>
        <v>0</v>
      </c>
      <c r="N378" s="30">
        <f>IFERROR((VLOOKUP($A378,HeadJournal!$A$1:$K$890,COLUMN(HeadJournal!K$1),0)-VLOOKUP($A378,HeadJournal!$A$1:$K$890,COLUMN(HeadJournal!J$1),0))*($K378+$L378)/(SUMIF($A:$A,$A378,$K:$K)+SUMIF($A:$A,$A378,$L:$L)),0)</f>
        <v>0</v>
      </c>
      <c r="O378" s="30">
        <f>IFERROR((VLOOKUP($A378,HeadJournal!$A$1:$L$890,COLUMN(HeadJournal!L$1),0)*($K378+$L378)/(SUMIF($A:$A,$A378,$K:$K)+SUMIF($A:$A,$A378,$L:$L)))/VLOOKUP($A378,HeadJournal!$A$1:$L$890,COLUMN(HeadJournal!H$1),0),0)</f>
        <v>124.95</v>
      </c>
      <c r="P378" s="30">
        <f>IFERROR(SUM(K378:O378)*VLOOKUP($A378,HeadJournal!$A$1:$L$890,COLUMN(HeadJournal!H$1),0),0)</f>
        <v>957.95</v>
      </c>
      <c r="Q378" s="29">
        <v>1600</v>
      </c>
      <c r="R378" s="31">
        <v>44931</v>
      </c>
      <c r="S378" s="31" t="s">
        <v>3121</v>
      </c>
      <c r="T378" s="95" t="str">
        <f t="shared" si="29"/>
        <v>2023 01</v>
      </c>
      <c r="U378" s="32">
        <f t="shared" si="26"/>
        <v>642.04999999999995</v>
      </c>
      <c r="V378" s="22">
        <f t="shared" si="27"/>
        <v>0.67023331071559056</v>
      </c>
      <c r="X378" s="33"/>
      <c r="Y378" s="33"/>
    </row>
    <row r="379" spans="1:25" ht="12.75" customHeight="1" x14ac:dyDescent="0.2">
      <c r="A379" s="93" t="s">
        <v>179</v>
      </c>
      <c r="B379" s="94" t="str">
        <f>IFERROR(VLOOKUP($A379,HeadJournal!$A$1:$NTR$890,COLUMN(HeadJournal!B$1),0),"")</f>
        <v>1Z095EE70250724592</v>
      </c>
      <c r="C379" s="94" t="str">
        <f>IFERROR(VLOOKUP($A379,HeadJournal!$A$1:$NTR$890,COLUMN(HeadJournal!C$1),0),"")</f>
        <v>iHerb_VP DFD1605</v>
      </c>
      <c r="D379" s="125" t="str">
        <f>IFERROR(VLOOKUP($A379,HeadJournal!$A$1:$NTR$890,COLUMN(HeadJournal!D$1),0),"")</f>
        <v>Доставлен</v>
      </c>
      <c r="E379" s="95">
        <f>IFERROR(VLOOKUP($A379,HeadJournal!$A$1:$NTR$890,COLUMN(HeadJournal!G$1),0),"")</f>
        <v>44887</v>
      </c>
      <c r="F379" s="95" t="str">
        <f t="shared" si="28"/>
        <v>2022 11</v>
      </c>
      <c r="G379" s="96" t="s">
        <v>7</v>
      </c>
      <c r="H379" s="161" t="s">
        <v>3021</v>
      </c>
      <c r="I379" s="97" t="s">
        <v>3022</v>
      </c>
      <c r="J379" s="97" t="s">
        <v>3023</v>
      </c>
      <c r="K379" s="29">
        <v>16.64</v>
      </c>
      <c r="L379" s="29">
        <v>-4.99</v>
      </c>
      <c r="M379" s="30">
        <f>IFERROR(VLOOKUP($A379,HeadJournal!$A$1:$J$890,COLUMN(HeadJournal!I$1),0)*($K379+$L379)/(SUMIF($A:$A,$A379,$K:$K)+SUMIF($A:$A,$A379,$L:$L)),0)</f>
        <v>0</v>
      </c>
      <c r="N379" s="30">
        <f>IFERROR((VLOOKUP($A379,HeadJournal!$A$1:$K$890,COLUMN(HeadJournal!K$1),0)-VLOOKUP($A379,HeadJournal!$A$1:$K$890,COLUMN(HeadJournal!J$1),0))*($K379+$L379)/(SUMIF($A:$A,$A379,$K:$K)+SUMIF($A:$A,$A379,$L:$L)),0)</f>
        <v>1.3782588863811468E-15</v>
      </c>
      <c r="O379" s="30">
        <f>IFERROR((VLOOKUP($A379,HeadJournal!$A$1:$L$890,COLUMN(HeadJournal!L$1),0)*($K379+$L379)/(SUMIF($A:$A,$A379,$K:$K)+SUMIF($A:$A,$A379,$L:$L)))/VLOOKUP($A379,HeadJournal!$A$1:$L$890,COLUMN(HeadJournal!H$1),0),0)</f>
        <v>3.8037201928506277</v>
      </c>
      <c r="P379" s="30">
        <f>IFERROR(SUM(K379:O379)*VLOOKUP($A379,HeadJournal!$A$1:$L$890,COLUMN(HeadJournal!H$1),0),0)</f>
        <v>1066.3066933066934</v>
      </c>
      <c r="Q379" s="29">
        <v>1800</v>
      </c>
      <c r="R379" s="31">
        <v>44990</v>
      </c>
      <c r="S379" s="31" t="s">
        <v>3121</v>
      </c>
      <c r="T379" s="95" t="str">
        <f t="shared" si="29"/>
        <v>2023 03</v>
      </c>
      <c r="U379" s="32">
        <f t="shared" si="26"/>
        <v>733.69330669330657</v>
      </c>
      <c r="V379" s="22">
        <f t="shared" si="27"/>
        <v>0.68806968135787561</v>
      </c>
      <c r="X379" s="33"/>
      <c r="Y379" s="33"/>
    </row>
    <row r="380" spans="1:25" ht="12.75" customHeight="1" x14ac:dyDescent="0.2">
      <c r="A380" s="93" t="s">
        <v>179</v>
      </c>
      <c r="B380" s="94" t="str">
        <f>IFERROR(VLOOKUP($A380,HeadJournal!$A$1:$NTR$890,COLUMN(HeadJournal!B$1),0),"")</f>
        <v>1Z095EE70250724592</v>
      </c>
      <c r="C380" s="94" t="str">
        <f>IFERROR(VLOOKUP($A380,HeadJournal!$A$1:$NTR$890,COLUMN(HeadJournal!C$1),0),"")</f>
        <v>iHerb_VP DFD1605</v>
      </c>
      <c r="D380" s="125" t="str">
        <f>IFERROR(VLOOKUP($A380,HeadJournal!$A$1:$NTR$890,COLUMN(HeadJournal!D$1),0),"")</f>
        <v>Доставлен</v>
      </c>
      <c r="E380" s="95">
        <f>IFERROR(VLOOKUP($A380,HeadJournal!$A$1:$NTR$890,COLUMN(HeadJournal!G$1),0),"")</f>
        <v>44887</v>
      </c>
      <c r="F380" s="95" t="str">
        <f t="shared" si="28"/>
        <v>2022 11</v>
      </c>
      <c r="G380" s="96" t="s">
        <v>7</v>
      </c>
      <c r="H380" s="160" t="str">
        <f>RIGHT(Journal!$J380,9)</f>
        <v>MBN-02152</v>
      </c>
      <c r="I380" s="96" t="str">
        <f t="shared" si="30"/>
        <v>Mild By Nature</v>
      </c>
      <c r="J380" s="97" t="s">
        <v>180</v>
      </c>
      <c r="K380" s="29">
        <v>8</v>
      </c>
      <c r="L380" s="29">
        <v>-3</v>
      </c>
      <c r="M380" s="30">
        <f>IFERROR(VLOOKUP($A380,HeadJournal!$A$1:$J$890,COLUMN(HeadJournal!I$1),0)*($K380+$L380)/(SUMIF($A:$A,$A380,$K:$K)+SUMIF($A:$A,$A380,$L:$L)),0)</f>
        <v>0</v>
      </c>
      <c r="N380" s="30">
        <f>IFERROR((VLOOKUP($A380,HeadJournal!$A$1:$K$890,COLUMN(HeadJournal!K$1),0)-VLOOKUP($A380,HeadJournal!$A$1:$K$890,COLUMN(HeadJournal!J$1),0))*($K380+$L380)/(SUMIF($A:$A,$A380,$K:$K)+SUMIF($A:$A,$A380,$L:$L)),0)</f>
        <v>5.9152741904770254E-16</v>
      </c>
      <c r="O380" s="30">
        <f>IFERROR((VLOOKUP($A380,HeadJournal!$A$1:$L$890,COLUMN(HeadJournal!L$1),0)*($K380+$L380)/(SUMIF($A:$A,$A380,$K:$K)+SUMIF($A:$A,$A380,$L:$L)))/VLOOKUP($A380,HeadJournal!$A$1:$L$890,COLUMN(HeadJournal!H$1),0),0)</f>
        <v>1.6324979368457628</v>
      </c>
      <c r="P380" s="30">
        <f>IFERROR(SUM(K380:O380)*VLOOKUP($A380,HeadJournal!$A$1:$L$890,COLUMN(HeadJournal!H$1),0),0)</f>
        <v>457.64235764235769</v>
      </c>
      <c r="Q380" s="29"/>
      <c r="R380" s="31"/>
      <c r="S380" s="31"/>
      <c r="T380" s="95" t="str">
        <f t="shared" si="29"/>
        <v/>
      </c>
      <c r="U380" s="32">
        <f t="shared" si="26"/>
        <v>-457.64235764235769</v>
      </c>
      <c r="V380" s="22" t="str">
        <f t="shared" si="27"/>
        <v/>
      </c>
      <c r="X380" s="33"/>
      <c r="Y380" s="33"/>
    </row>
    <row r="381" spans="1:25" ht="12.75" customHeight="1" x14ac:dyDescent="0.2">
      <c r="A381" s="93" t="s">
        <v>179</v>
      </c>
      <c r="B381" s="94" t="str">
        <f>IFERROR(VLOOKUP($A381,HeadJournal!$A$1:$NTR$890,COLUMN(HeadJournal!B$1),0),"")</f>
        <v>1Z095EE70250724592</v>
      </c>
      <c r="C381" s="94" t="str">
        <f>IFERROR(VLOOKUP($A381,HeadJournal!$A$1:$NTR$890,COLUMN(HeadJournal!C$1),0),"")</f>
        <v>iHerb_VP DFD1605</v>
      </c>
      <c r="D381" s="125" t="str">
        <f>IFERROR(VLOOKUP($A381,HeadJournal!$A$1:$NTR$890,COLUMN(HeadJournal!D$1),0),"")</f>
        <v>Доставлен</v>
      </c>
      <c r="E381" s="95">
        <f>IFERROR(VLOOKUP($A381,HeadJournal!$A$1:$NTR$890,COLUMN(HeadJournal!G$1),0),"")</f>
        <v>44887</v>
      </c>
      <c r="F381" s="95" t="str">
        <f t="shared" si="28"/>
        <v>2022 11</v>
      </c>
      <c r="G381" s="96" t="s">
        <v>7</v>
      </c>
      <c r="H381" s="160" t="str">
        <f>RIGHT(Journal!$J381,9)</f>
        <v>EUC-02667</v>
      </c>
      <c r="I381" s="96" t="str">
        <f t="shared" si="30"/>
        <v>Eucerin</v>
      </c>
      <c r="J381" s="97" t="s">
        <v>181</v>
      </c>
      <c r="K381" s="29">
        <v>13.27</v>
      </c>
      <c r="L381" s="29">
        <v>-3.98</v>
      </c>
      <c r="M381" s="30">
        <f>IFERROR(VLOOKUP($A381,HeadJournal!$A$1:$J$890,COLUMN(HeadJournal!I$1),0)*($K381+$L381)/(SUMIF($A:$A,$A381,$K:$K)+SUMIF($A:$A,$A381,$L:$L)),0)</f>
        <v>0</v>
      </c>
      <c r="N381" s="30">
        <f>IFERROR((VLOOKUP($A381,HeadJournal!$A$1:$K$890,COLUMN(HeadJournal!K$1),0)-VLOOKUP($A381,HeadJournal!$A$1:$K$890,COLUMN(HeadJournal!J$1),0))*($K381+$L381)/(SUMIF($A:$A,$A381,$K:$K)+SUMIF($A:$A,$A381,$L:$L)),0)</f>
        <v>1.0990579445906312E-15</v>
      </c>
      <c r="O381" s="30">
        <f>IFERROR((VLOOKUP($A381,HeadJournal!$A$1:$L$890,COLUMN(HeadJournal!L$1),0)*($K381+$L381)/(SUMIF($A:$A,$A381,$K:$K)+SUMIF($A:$A,$A381,$L:$L)))/VLOOKUP($A381,HeadJournal!$A$1:$L$890,COLUMN(HeadJournal!H$1),0),0)</f>
        <v>3.0331811666594275</v>
      </c>
      <c r="P381" s="30">
        <f>IFERROR(SUM(K381:O381)*VLOOKUP($A381,HeadJournal!$A$1:$L$890,COLUMN(HeadJournal!H$1),0),0)</f>
        <v>850.29950049950048</v>
      </c>
      <c r="Q381" s="29">
        <v>1500</v>
      </c>
      <c r="R381" s="31">
        <v>44938</v>
      </c>
      <c r="S381" s="31" t="s">
        <v>3121</v>
      </c>
      <c r="T381" s="95" t="str">
        <f t="shared" si="29"/>
        <v>2023 01</v>
      </c>
      <c r="U381" s="32">
        <f t="shared" si="26"/>
        <v>649.70049950049952</v>
      </c>
      <c r="V381" s="22">
        <f t="shared" si="27"/>
        <v>0.76408430102433211</v>
      </c>
      <c r="X381" s="33"/>
      <c r="Y381" s="33"/>
    </row>
    <row r="382" spans="1:25" ht="12.75" customHeight="1" x14ac:dyDescent="0.2">
      <c r="A382" s="93" t="s">
        <v>179</v>
      </c>
      <c r="B382" s="94" t="str">
        <f>IFERROR(VLOOKUP($A382,HeadJournal!$A$1:$NTR$890,COLUMN(HeadJournal!B$1),0),"")</f>
        <v>1Z095EE70250724592</v>
      </c>
      <c r="C382" s="94" t="str">
        <f>IFERROR(VLOOKUP($A382,HeadJournal!$A$1:$NTR$890,COLUMN(HeadJournal!C$1),0),"")</f>
        <v>iHerb_VP DFD1605</v>
      </c>
      <c r="D382" s="125" t="str">
        <f>IFERROR(VLOOKUP($A382,HeadJournal!$A$1:$NTR$890,COLUMN(HeadJournal!D$1),0),"")</f>
        <v>Доставлен</v>
      </c>
      <c r="E382" s="95">
        <f>IFERROR(VLOOKUP($A382,HeadJournal!$A$1:$NTR$890,COLUMN(HeadJournal!G$1),0),"")</f>
        <v>44887</v>
      </c>
      <c r="F382" s="95" t="str">
        <f t="shared" si="28"/>
        <v>2022 11</v>
      </c>
      <c r="G382" s="96" t="s">
        <v>7</v>
      </c>
      <c r="H382" s="161" t="s">
        <v>2228</v>
      </c>
      <c r="I382" s="97" t="s">
        <v>2229</v>
      </c>
      <c r="J382" s="97" t="s">
        <v>2230</v>
      </c>
      <c r="K382" s="29">
        <v>6.08</v>
      </c>
      <c r="L382" s="29">
        <v>-1.82</v>
      </c>
      <c r="M382" s="30">
        <f>IFERROR(VLOOKUP($A382,HeadJournal!$A$1:$J$890,COLUMN(HeadJournal!I$1),0)*($K382+$L382)/(SUMIF($A:$A,$A382,$K:$K)+SUMIF($A:$A,$A382,$L:$L)),0)</f>
        <v>0</v>
      </c>
      <c r="N382" s="30">
        <f>IFERROR((VLOOKUP($A382,HeadJournal!$A$1:$K$890,COLUMN(HeadJournal!K$1),0)-VLOOKUP($A382,HeadJournal!$A$1:$K$890,COLUMN(HeadJournal!J$1),0))*($K382+$L382)/(SUMIF($A:$A,$A382,$K:$K)+SUMIF($A:$A,$A382,$L:$L)),0)</f>
        <v>5.0398136102864248E-16</v>
      </c>
      <c r="O382" s="30">
        <f>IFERROR((VLOOKUP($A382,HeadJournal!$A$1:$L$890,COLUMN(HeadJournal!L$1),0)*($K382+$L382)/(SUMIF($A:$A,$A382,$K:$K)+SUMIF($A:$A,$A382,$L:$L)))/VLOOKUP($A382,HeadJournal!$A$1:$L$890,COLUMN(HeadJournal!H$1),0),0)</f>
        <v>1.3908882421925899</v>
      </c>
      <c r="P382" s="30">
        <f>IFERROR(SUM(K382:O382)*VLOOKUP($A382,HeadJournal!$A$1:$L$890,COLUMN(HeadJournal!H$1),0),0)</f>
        <v>389.91128871128876</v>
      </c>
      <c r="Q382" s="29">
        <v>1000</v>
      </c>
      <c r="R382" s="31">
        <v>44938</v>
      </c>
      <c r="S382" s="31" t="s">
        <v>3121</v>
      </c>
      <c r="T382" s="95" t="str">
        <f t="shared" si="29"/>
        <v>2023 01</v>
      </c>
      <c r="U382" s="32">
        <f t="shared" si="26"/>
        <v>610.08871128871124</v>
      </c>
      <c r="V382" s="22">
        <f t="shared" si="27"/>
        <v>1.5646859399868611</v>
      </c>
      <c r="X382" s="33"/>
      <c r="Y382" s="33"/>
    </row>
    <row r="383" spans="1:25" ht="12.75" customHeight="1" x14ac:dyDescent="0.2">
      <c r="A383" s="93" t="s">
        <v>179</v>
      </c>
      <c r="B383" s="94" t="str">
        <f>IFERROR(VLOOKUP($A383,HeadJournal!$A$1:$NTR$890,COLUMN(HeadJournal!B$1),0),"")</f>
        <v>1Z095EE70250724592</v>
      </c>
      <c r="C383" s="94" t="str">
        <f>IFERROR(VLOOKUP($A383,HeadJournal!$A$1:$NTR$890,COLUMN(HeadJournal!C$1),0),"")</f>
        <v>iHerb_VP DFD1605</v>
      </c>
      <c r="D383" s="125" t="str">
        <f>IFERROR(VLOOKUP($A383,HeadJournal!$A$1:$NTR$890,COLUMN(HeadJournal!D$1),0),"")</f>
        <v>Доставлен</v>
      </c>
      <c r="E383" s="95">
        <f>IFERROR(VLOOKUP($A383,HeadJournal!$A$1:$NTR$890,COLUMN(HeadJournal!G$1),0),"")</f>
        <v>44887</v>
      </c>
      <c r="F383" s="95" t="str">
        <f t="shared" si="28"/>
        <v>2022 11</v>
      </c>
      <c r="G383" s="96" t="s">
        <v>7</v>
      </c>
      <c r="H383" s="160" t="str">
        <f>RIGHT(Journal!$J383,9)</f>
        <v>BLT-66021</v>
      </c>
      <c r="I383" s="96" t="str">
        <f t="shared" si="30"/>
        <v>Blithe</v>
      </c>
      <c r="J383" s="97" t="s">
        <v>182</v>
      </c>
      <c r="K383" s="29">
        <v>7.11</v>
      </c>
      <c r="L383" s="29">
        <v>-2.13</v>
      </c>
      <c r="M383" s="30">
        <f>IFERROR(VLOOKUP($A383,HeadJournal!$A$1:$J$890,COLUMN(HeadJournal!I$1),0)*($K383+$L383)/(SUMIF($A:$A,$A383,$K:$K)+SUMIF($A:$A,$A383,$L:$L)),0)</f>
        <v>0</v>
      </c>
      <c r="N383" s="30">
        <f>IFERROR((VLOOKUP($A383,HeadJournal!$A$1:$K$890,COLUMN(HeadJournal!K$1),0)-VLOOKUP($A383,HeadJournal!$A$1:$K$890,COLUMN(HeadJournal!J$1),0))*($K383+$L383)/(SUMIF($A:$A,$A383,$K:$K)+SUMIF($A:$A,$A383,$L:$L)),0)</f>
        <v>5.8916130937151171E-16</v>
      </c>
      <c r="O383" s="30">
        <f>IFERROR((VLOOKUP($A383,HeadJournal!$A$1:$L$890,COLUMN(HeadJournal!L$1),0)*($K383+$L383)/(SUMIF($A:$A,$A383,$K:$K)+SUMIF($A:$A,$A383,$L:$L)))/VLOOKUP($A383,HeadJournal!$A$1:$L$890,COLUMN(HeadJournal!H$1),0),0)</f>
        <v>1.6259679450983799</v>
      </c>
      <c r="P383" s="30">
        <f>IFERROR(SUM(K383:O383)*VLOOKUP($A383,HeadJournal!$A$1:$L$890,COLUMN(HeadJournal!H$1),0),0)</f>
        <v>455.81178821178833</v>
      </c>
      <c r="Q383" s="29">
        <v>800</v>
      </c>
      <c r="R383" s="31">
        <v>44938</v>
      </c>
      <c r="S383" s="31" t="s">
        <v>3121</v>
      </c>
      <c r="T383" s="95" t="str">
        <f t="shared" si="29"/>
        <v>2023 01</v>
      </c>
      <c r="U383" s="32">
        <f t="shared" si="26"/>
        <v>344.18821178821167</v>
      </c>
      <c r="V383" s="22">
        <f t="shared" si="27"/>
        <v>0.75511037820787585</v>
      </c>
      <c r="X383" s="33"/>
      <c r="Y383" s="33"/>
    </row>
    <row r="384" spans="1:25" ht="12.75" customHeight="1" x14ac:dyDescent="0.2">
      <c r="A384" s="93" t="s">
        <v>179</v>
      </c>
      <c r="B384" s="94" t="str">
        <f>IFERROR(VLOOKUP($A384,HeadJournal!$A$1:$NTR$890,COLUMN(HeadJournal!B$1),0),"")</f>
        <v>1Z095EE70250724592</v>
      </c>
      <c r="C384" s="94" t="str">
        <f>IFERROR(VLOOKUP($A384,HeadJournal!$A$1:$NTR$890,COLUMN(HeadJournal!C$1),0),"")</f>
        <v>iHerb_VP DFD1605</v>
      </c>
      <c r="D384" s="125" t="str">
        <f>IFERROR(VLOOKUP($A384,HeadJournal!$A$1:$NTR$890,COLUMN(HeadJournal!D$1),0),"")</f>
        <v>Доставлен</v>
      </c>
      <c r="E384" s="95">
        <f>IFERROR(VLOOKUP($A384,HeadJournal!$A$1:$NTR$890,COLUMN(HeadJournal!G$1),0),"")</f>
        <v>44887</v>
      </c>
      <c r="F384" s="95" t="str">
        <f t="shared" si="28"/>
        <v>2022 11</v>
      </c>
      <c r="G384" s="96" t="s">
        <v>7</v>
      </c>
      <c r="H384" s="160" t="str">
        <f>RIGHT(Journal!$J384,9)</f>
        <v>IVE-10473</v>
      </c>
      <c r="I384" s="96" t="str">
        <f t="shared" si="30"/>
        <v>St. Ives</v>
      </c>
      <c r="J384" s="97" t="s">
        <v>183</v>
      </c>
      <c r="K384" s="29">
        <v>7.95</v>
      </c>
      <c r="L384" s="29">
        <v>-2.39</v>
      </c>
      <c r="M384" s="30">
        <f>IFERROR(VLOOKUP($A384,HeadJournal!$A$1:$J$890,COLUMN(HeadJournal!I$1),0)*($K384+$L384)/(SUMIF($A:$A,$A384,$K:$K)+SUMIF($A:$A,$A384,$L:$L)),0)</f>
        <v>0</v>
      </c>
      <c r="N384" s="30">
        <f>IFERROR((VLOOKUP($A384,HeadJournal!$A$1:$K$890,COLUMN(HeadJournal!K$1),0)-VLOOKUP($A384,HeadJournal!$A$1:$K$890,COLUMN(HeadJournal!J$1),0))*($K384+$L384)/(SUMIF($A:$A,$A384,$K:$K)+SUMIF($A:$A,$A384,$L:$L)),0)</f>
        <v>6.5777848998104524E-16</v>
      </c>
      <c r="O384" s="30">
        <f>IFERROR((VLOOKUP($A384,HeadJournal!$A$1:$L$890,COLUMN(HeadJournal!L$1),0)*($K384+$L384)/(SUMIF($A:$A,$A384,$K:$K)+SUMIF($A:$A,$A384,$L:$L)))/VLOOKUP($A384,HeadJournal!$A$1:$L$890,COLUMN(HeadJournal!H$1),0),0)</f>
        <v>1.8153377057724884</v>
      </c>
      <c r="P384" s="30">
        <f>IFERROR(SUM(K384:O384)*VLOOKUP($A384,HeadJournal!$A$1:$L$890,COLUMN(HeadJournal!H$1),0),0)</f>
        <v>508.89830169830179</v>
      </c>
      <c r="Q384" s="29">
        <v>1500</v>
      </c>
      <c r="R384" s="31">
        <v>44991</v>
      </c>
      <c r="S384" s="31" t="s">
        <v>3121</v>
      </c>
      <c r="T384" s="95" t="str">
        <f t="shared" si="29"/>
        <v>2023 03</v>
      </c>
      <c r="U384" s="32">
        <f t="shared" si="26"/>
        <v>991.10169830169821</v>
      </c>
      <c r="V384" s="22">
        <f t="shared" si="27"/>
        <v>1.9475437331863383</v>
      </c>
      <c r="X384" s="33"/>
      <c r="Y384" s="33"/>
    </row>
    <row r="385" spans="1:25" ht="12.75" customHeight="1" x14ac:dyDescent="0.2">
      <c r="A385" s="93" t="s">
        <v>179</v>
      </c>
      <c r="B385" s="94" t="str">
        <f>IFERROR(VLOOKUP($A385,HeadJournal!$A$1:$NTR$890,COLUMN(HeadJournal!B$1),0),"")</f>
        <v>1Z095EE70250724592</v>
      </c>
      <c r="C385" s="94" t="str">
        <f>IFERROR(VLOOKUP($A385,HeadJournal!$A$1:$NTR$890,COLUMN(HeadJournal!C$1),0),"")</f>
        <v>iHerb_VP DFD1605</v>
      </c>
      <c r="D385" s="125" t="str">
        <f>IFERROR(VLOOKUP($A385,HeadJournal!$A$1:$NTR$890,COLUMN(HeadJournal!D$1),0),"")</f>
        <v>Доставлен</v>
      </c>
      <c r="E385" s="95">
        <f>IFERROR(VLOOKUP($A385,HeadJournal!$A$1:$NTR$890,COLUMN(HeadJournal!G$1),0),"")</f>
        <v>44887</v>
      </c>
      <c r="F385" s="95" t="str">
        <f t="shared" si="28"/>
        <v>2022 11</v>
      </c>
      <c r="G385" s="96" t="s">
        <v>7</v>
      </c>
      <c r="H385" s="160" t="str">
        <f>RIGHT(Journal!$J385,9)</f>
        <v>ELF-85912</v>
      </c>
      <c r="I385" s="96" t="str">
        <f t="shared" si="30"/>
        <v>E.L.F.</v>
      </c>
      <c r="J385" s="97" t="s">
        <v>184</v>
      </c>
      <c r="K385" s="29">
        <v>10.1</v>
      </c>
      <c r="L385" s="29">
        <v>-3.03</v>
      </c>
      <c r="M385" s="30">
        <f>IFERROR(VLOOKUP($A385,HeadJournal!$A$1:$J$890,COLUMN(HeadJournal!I$1),0)*($K385+$L385)/(SUMIF($A:$A,$A385,$K:$K)+SUMIF($A:$A,$A385,$L:$L)),0)</f>
        <v>0</v>
      </c>
      <c r="N385" s="30">
        <f>IFERROR((VLOOKUP($A385,HeadJournal!$A$1:$K$890,COLUMN(HeadJournal!K$1),0)-VLOOKUP($A385,HeadJournal!$A$1:$K$890,COLUMN(HeadJournal!J$1),0))*($K385+$L385)/(SUMIF($A:$A,$A385,$K:$K)+SUMIF($A:$A,$A385,$L:$L)),0)</f>
        <v>8.3641977053345134E-16</v>
      </c>
      <c r="O385" s="30">
        <f>IFERROR((VLOOKUP($A385,HeadJournal!$A$1:$L$890,COLUMN(HeadJournal!L$1),0)*($K385+$L385)/(SUMIF($A:$A,$A385,$K:$K)+SUMIF($A:$A,$A385,$L:$L)))/VLOOKUP($A385,HeadJournal!$A$1:$L$890,COLUMN(HeadJournal!H$1),0),0)</f>
        <v>2.3083520826999093</v>
      </c>
      <c r="P385" s="30">
        <f>IFERROR(SUM(K385:O385)*VLOOKUP($A385,HeadJournal!$A$1:$L$890,COLUMN(HeadJournal!H$1),0),0)</f>
        <v>647.10629370629385</v>
      </c>
      <c r="Q385" s="29"/>
      <c r="R385" s="31"/>
      <c r="S385" s="31"/>
      <c r="T385" s="95" t="str">
        <f t="shared" si="29"/>
        <v/>
      </c>
      <c r="U385" s="32">
        <f t="shared" si="26"/>
        <v>-647.10629370629385</v>
      </c>
      <c r="V385" s="22" t="str">
        <f t="shared" si="27"/>
        <v/>
      </c>
      <c r="X385" s="33"/>
      <c r="Y385" s="33"/>
    </row>
    <row r="386" spans="1:25" x14ac:dyDescent="0.2">
      <c r="A386" s="93" t="s">
        <v>179</v>
      </c>
      <c r="B386" s="94" t="str">
        <f>IFERROR(VLOOKUP($A386,HeadJournal!$A$1:$NTR$890,COLUMN(HeadJournal!B$1),0),"")</f>
        <v>1Z095EE70250724592</v>
      </c>
      <c r="C386" s="94" t="str">
        <f>IFERROR(VLOOKUP($A386,HeadJournal!$A$1:$NTR$890,COLUMN(HeadJournal!C$1),0),"")</f>
        <v>iHerb_VP DFD1605</v>
      </c>
      <c r="D386" s="125" t="str">
        <f>IFERROR(VLOOKUP($A386,HeadJournal!$A$1:$NTR$890,COLUMN(HeadJournal!D$1),0),"")</f>
        <v>Доставлен</v>
      </c>
      <c r="E386" s="95">
        <f>IFERROR(VLOOKUP($A386,HeadJournal!$A$1:$NTR$890,COLUMN(HeadJournal!G$1),0),"")</f>
        <v>44887</v>
      </c>
      <c r="F386" s="95" t="str">
        <f t="shared" si="28"/>
        <v>2022 11</v>
      </c>
      <c r="G386" s="96" t="s">
        <v>7</v>
      </c>
      <c r="H386" s="161" t="s">
        <v>2152</v>
      </c>
      <c r="I386" s="97" t="s">
        <v>2153</v>
      </c>
      <c r="J386" s="97" t="s">
        <v>2644</v>
      </c>
      <c r="K386" s="29">
        <v>9.4600000000000009</v>
      </c>
      <c r="L386" s="29">
        <v>-2.84</v>
      </c>
      <c r="M386" s="30">
        <f>IFERROR(VLOOKUP($A386,HeadJournal!$A$1:$J$890,COLUMN(HeadJournal!I$1),0)*($K386+$L386)/(SUMIF($A:$A,$A386,$K:$K)+SUMIF($A:$A,$A386,$L:$L)),0)</f>
        <v>0</v>
      </c>
      <c r="N386" s="30">
        <f>IFERROR((VLOOKUP($A386,HeadJournal!$A$1:$K$890,COLUMN(HeadJournal!K$1),0)-VLOOKUP($A386,HeadJournal!$A$1:$K$890,COLUMN(HeadJournal!J$1),0))*($K386+$L386)/(SUMIF($A:$A,$A386,$K:$K)+SUMIF($A:$A,$A386,$L:$L)),0)</f>
        <v>7.8318230281915825E-16</v>
      </c>
      <c r="O386" s="30">
        <f>IFERROR((VLOOKUP($A386,HeadJournal!$A$1:$L$890,COLUMN(HeadJournal!L$1),0)*($K386+$L386)/(SUMIF($A:$A,$A386,$K:$K)+SUMIF($A:$A,$A386,$L:$L)))/VLOOKUP($A386,HeadJournal!$A$1:$L$890,COLUMN(HeadJournal!H$1),0),0)</f>
        <v>2.161427268383791</v>
      </c>
      <c r="P386" s="30">
        <f>IFERROR(SUM(K386:O386)*VLOOKUP($A386,HeadJournal!$A$1:$L$890,COLUMN(HeadJournal!H$1),0),0)</f>
        <v>605.91848151848171</v>
      </c>
      <c r="Q386" s="29"/>
      <c r="R386" s="31"/>
      <c r="S386" s="31"/>
      <c r="T386" s="95" t="str">
        <f t="shared" si="29"/>
        <v/>
      </c>
      <c r="U386" s="32">
        <f t="shared" si="26"/>
        <v>-605.91848151848171</v>
      </c>
      <c r="V386" s="22" t="str">
        <f t="shared" si="27"/>
        <v/>
      </c>
      <c r="X386" s="33"/>
      <c r="Y386" s="33"/>
    </row>
    <row r="387" spans="1:25" x14ac:dyDescent="0.2">
      <c r="A387" s="93" t="s">
        <v>179</v>
      </c>
      <c r="B387" s="94" t="str">
        <f>IFERROR(VLOOKUP($A387,HeadJournal!$A$1:$NTR$890,COLUMN(HeadJournal!B$1),0),"")</f>
        <v>1Z095EE70250724592</v>
      </c>
      <c r="C387" s="94" t="str">
        <f>IFERROR(VLOOKUP($A387,HeadJournal!$A$1:$NTR$890,COLUMN(HeadJournal!C$1),0),"")</f>
        <v>iHerb_VP DFD1605</v>
      </c>
      <c r="D387" s="125" t="str">
        <f>IFERROR(VLOOKUP($A387,HeadJournal!$A$1:$NTR$890,COLUMN(HeadJournal!D$1),0),"")</f>
        <v>Доставлен</v>
      </c>
      <c r="E387" s="95">
        <f>IFERROR(VLOOKUP($A387,HeadJournal!$A$1:$NTR$890,COLUMN(HeadJournal!G$1),0),"")</f>
        <v>44887</v>
      </c>
      <c r="F387" s="95" t="str">
        <f t="shared" si="28"/>
        <v>2022 11</v>
      </c>
      <c r="G387" s="96" t="s">
        <v>7</v>
      </c>
      <c r="H387" s="161" t="s">
        <v>2152</v>
      </c>
      <c r="I387" s="97" t="s">
        <v>2153</v>
      </c>
      <c r="J387" s="97" t="s">
        <v>2644</v>
      </c>
      <c r="K387" s="29">
        <v>9.4600000000000009</v>
      </c>
      <c r="L387" s="29">
        <v>-2.84</v>
      </c>
      <c r="M387" s="30">
        <f>IFERROR(VLOOKUP($A387,HeadJournal!$A$1:$J$890,COLUMN(HeadJournal!I$1),0)*($K387+$L387)/(SUMIF($A:$A,$A387,$K:$K)+SUMIF($A:$A,$A387,$L:$L)),0)</f>
        <v>0</v>
      </c>
      <c r="N387" s="30">
        <f>IFERROR((VLOOKUP($A387,HeadJournal!$A$1:$K$890,COLUMN(HeadJournal!K$1),0)-VLOOKUP($A387,HeadJournal!$A$1:$K$890,COLUMN(HeadJournal!J$1),0))*($K387+$L387)/(SUMIF($A:$A,$A387,$K:$K)+SUMIF($A:$A,$A387,$L:$L)),0)</f>
        <v>7.8318230281915825E-16</v>
      </c>
      <c r="O387" s="30">
        <f>IFERROR((VLOOKUP($A387,HeadJournal!$A$1:$L$890,COLUMN(HeadJournal!L$1),0)*($K387+$L387)/(SUMIF($A:$A,$A387,$K:$K)+SUMIF($A:$A,$A387,$L:$L)))/VLOOKUP($A387,HeadJournal!$A$1:$L$890,COLUMN(HeadJournal!H$1),0),0)</f>
        <v>2.161427268383791</v>
      </c>
      <c r="P387" s="30">
        <f>IFERROR(SUM(K387:O387)*VLOOKUP($A387,HeadJournal!$A$1:$L$890,COLUMN(HeadJournal!H$1),0),0)</f>
        <v>605.91848151848171</v>
      </c>
      <c r="Q387" s="29"/>
      <c r="R387" s="31"/>
      <c r="S387" s="31"/>
      <c r="T387" s="95" t="str">
        <f t="shared" si="29"/>
        <v/>
      </c>
      <c r="U387" s="32">
        <f t="shared" ref="U387:U450" si="31">Q387-P387</f>
        <v>-605.91848151848171</v>
      </c>
      <c r="V387" s="22" t="str">
        <f t="shared" ref="V387:V450" si="32">IF(Q387&lt;&gt;0,IFERROR(U387/P387,""),"")</f>
        <v/>
      </c>
      <c r="X387" s="33"/>
      <c r="Y387" s="33"/>
    </row>
    <row r="388" spans="1:25" x14ac:dyDescent="0.2">
      <c r="A388" s="93" t="s">
        <v>179</v>
      </c>
      <c r="B388" s="94" t="str">
        <f>IFERROR(VLOOKUP($A388,HeadJournal!$A$1:$NTR$890,COLUMN(HeadJournal!B$1),0),"")</f>
        <v>1Z095EE70250724592</v>
      </c>
      <c r="C388" s="94" t="str">
        <f>IFERROR(VLOOKUP($A388,HeadJournal!$A$1:$NTR$890,COLUMN(HeadJournal!C$1),0),"")</f>
        <v>iHerb_VP DFD1605</v>
      </c>
      <c r="D388" s="125" t="str">
        <f>IFERROR(VLOOKUP($A388,HeadJournal!$A$1:$NTR$890,COLUMN(HeadJournal!D$1),0),"")</f>
        <v>Доставлен</v>
      </c>
      <c r="E388" s="95">
        <f>IFERROR(VLOOKUP($A388,HeadJournal!$A$1:$NTR$890,COLUMN(HeadJournal!G$1),0),"")</f>
        <v>44887</v>
      </c>
      <c r="F388" s="95" t="str">
        <f t="shared" ref="F388:F451" si="33">IFERROR(TEXT(E388, "ГГГГ ММ"),"")</f>
        <v>2022 11</v>
      </c>
      <c r="G388" s="96" t="s">
        <v>6</v>
      </c>
      <c r="H388" s="160" t="str">
        <f>RIGHT(Journal!$J388,9)</f>
        <v>NRX-00764</v>
      </c>
      <c r="I388" s="96" t="str">
        <f t="shared" ref="I388:I450" si="34">IFERROR(LEFT(J388,FIND(",",J388)-1),"")</f>
        <v>Nutrex Research</v>
      </c>
      <c r="J388" s="97" t="s">
        <v>185</v>
      </c>
      <c r="K388" s="29">
        <v>13.18</v>
      </c>
      <c r="L388" s="29">
        <v>-2.64</v>
      </c>
      <c r="M388" s="30">
        <f>IFERROR(VLOOKUP($A388,HeadJournal!$A$1:$J$890,COLUMN(HeadJournal!I$1),0)*($K388+$L388)/(SUMIF($A:$A,$A388,$K:$K)+SUMIF($A:$A,$A388,$L:$L)),0)</f>
        <v>0</v>
      </c>
      <c r="N388" s="30">
        <f>IFERROR((VLOOKUP($A388,HeadJournal!$A$1:$K$890,COLUMN(HeadJournal!K$1),0)-VLOOKUP($A388,HeadJournal!$A$1:$K$890,COLUMN(HeadJournal!J$1),0))*($K388+$L388)/(SUMIF($A:$A,$A388,$K:$K)+SUMIF($A:$A,$A388,$L:$L)),0)</f>
        <v>1.2469397993525568E-15</v>
      </c>
      <c r="O388" s="30">
        <f>IFERROR((VLOOKUP($A388,HeadJournal!$A$1:$L$890,COLUMN(HeadJournal!L$1),0)*($K388+$L388)/(SUMIF($A:$A,$A388,$K:$K)+SUMIF($A:$A,$A388,$L:$L)))/VLOOKUP($A388,HeadJournal!$A$1:$L$890,COLUMN(HeadJournal!H$1),0),0)</f>
        <v>3.4413056508708681</v>
      </c>
      <c r="P388" s="30">
        <f>IFERROR(SUM(K388:O388)*VLOOKUP($A388,HeadJournal!$A$1:$L$890,COLUMN(HeadJournal!H$1),0),0)</f>
        <v>964.71008991009001</v>
      </c>
      <c r="Q388" s="29">
        <v>2000</v>
      </c>
      <c r="R388" s="31">
        <v>44964</v>
      </c>
      <c r="S388" s="31" t="s">
        <v>3121</v>
      </c>
      <c r="T388" s="95" t="str">
        <f t="shared" ref="T388:T451" si="35">IF(R388="","",TEXT(R388,"ГГГГ ММ"))</f>
        <v>2023 02</v>
      </c>
      <c r="U388" s="32">
        <f t="shared" si="31"/>
        <v>1035.2899100899099</v>
      </c>
      <c r="V388" s="22">
        <f t="shared" si="32"/>
        <v>1.0731616896288478</v>
      </c>
      <c r="X388" s="33"/>
      <c r="Y388" s="33"/>
    </row>
    <row r="389" spans="1:25" x14ac:dyDescent="0.2">
      <c r="A389" s="93" t="s">
        <v>179</v>
      </c>
      <c r="B389" s="94" t="str">
        <f>IFERROR(VLOOKUP($A389,HeadJournal!$A$1:$NTR$890,COLUMN(HeadJournal!B$1),0),"")</f>
        <v>1Z095EE70250724592</v>
      </c>
      <c r="C389" s="94" t="str">
        <f>IFERROR(VLOOKUP($A389,HeadJournal!$A$1:$NTR$890,COLUMN(HeadJournal!C$1),0),"")</f>
        <v>iHerb_VP DFD1605</v>
      </c>
      <c r="D389" s="125" t="str">
        <f>IFERROR(VLOOKUP($A389,HeadJournal!$A$1:$NTR$890,COLUMN(HeadJournal!D$1),0),"")</f>
        <v>Доставлен</v>
      </c>
      <c r="E389" s="95">
        <f>IFERROR(VLOOKUP($A389,HeadJournal!$A$1:$NTR$890,COLUMN(HeadJournal!G$1),0),"")</f>
        <v>44887</v>
      </c>
      <c r="F389" s="95" t="str">
        <f t="shared" si="33"/>
        <v>2022 11</v>
      </c>
      <c r="G389" s="96" t="s">
        <v>6</v>
      </c>
      <c r="H389" s="160" t="str">
        <f>RIGHT(Journal!$J389,9)</f>
        <v>NRX-00072</v>
      </c>
      <c r="I389" s="96" t="str">
        <f t="shared" si="34"/>
        <v>Nutrex Research</v>
      </c>
      <c r="J389" s="97" t="s">
        <v>186</v>
      </c>
      <c r="K389" s="29">
        <v>24.97</v>
      </c>
      <c r="L389" s="29">
        <v>-4.99</v>
      </c>
      <c r="M389" s="30">
        <f>IFERROR(VLOOKUP($A389,HeadJournal!$A$1:$J$890,COLUMN(HeadJournal!I$1),0)*($K389+$L389)/(SUMIF($A:$A,$A389,$K:$K)+SUMIF($A:$A,$A389,$L:$L)),0)</f>
        <v>0</v>
      </c>
      <c r="N389" s="30">
        <f>IFERROR((VLOOKUP($A389,HeadJournal!$A$1:$K$890,COLUMN(HeadJournal!K$1),0)-VLOOKUP($A389,HeadJournal!$A$1:$K$890,COLUMN(HeadJournal!J$1),0))*($K389+$L389)/(SUMIF($A:$A,$A389,$K:$K)+SUMIF($A:$A,$A389,$L:$L)),0)</f>
        <v>2.3637435665146186E-15</v>
      </c>
      <c r="O389" s="30">
        <f>IFERROR((VLOOKUP($A389,HeadJournal!$A$1:$L$890,COLUMN(HeadJournal!L$1),0)*($K389+$L389)/(SUMIF($A:$A,$A389,$K:$K)+SUMIF($A:$A,$A389,$L:$L)))/VLOOKUP($A389,HeadJournal!$A$1:$L$890,COLUMN(HeadJournal!H$1),0),0)</f>
        <v>6.523461755635668</v>
      </c>
      <c r="P389" s="30">
        <f>IFERROR(SUM(K389:O389)*VLOOKUP($A389,HeadJournal!$A$1:$L$890,COLUMN(HeadJournal!H$1),0),0)</f>
        <v>1828.7388611388612</v>
      </c>
      <c r="Q389" s="29">
        <v>3700</v>
      </c>
      <c r="R389" s="31">
        <v>44966</v>
      </c>
      <c r="S389" s="31" t="s">
        <v>3121</v>
      </c>
      <c r="T389" s="95" t="str">
        <f t="shared" si="35"/>
        <v>2023 02</v>
      </c>
      <c r="U389" s="32">
        <f t="shared" si="31"/>
        <v>1871.2611388611388</v>
      </c>
      <c r="V389" s="22">
        <f t="shared" si="32"/>
        <v>1.0232522415451906</v>
      </c>
      <c r="X389" s="33"/>
      <c r="Y389" s="33"/>
    </row>
    <row r="390" spans="1:25" x14ac:dyDescent="0.2">
      <c r="A390" s="93" t="s">
        <v>179</v>
      </c>
      <c r="B390" s="94" t="str">
        <f>IFERROR(VLOOKUP($A390,HeadJournal!$A$1:$NTR$890,COLUMN(HeadJournal!B$1),0),"")</f>
        <v>1Z095EE70250724592</v>
      </c>
      <c r="C390" s="94" t="str">
        <f>IFERROR(VLOOKUP($A390,HeadJournal!$A$1:$NTR$890,COLUMN(HeadJournal!C$1),0),"")</f>
        <v>iHerb_VP DFD1605</v>
      </c>
      <c r="D390" s="125" t="str">
        <f>IFERROR(VLOOKUP($A390,HeadJournal!$A$1:$NTR$890,COLUMN(HeadJournal!D$1),0),"")</f>
        <v>Доставлен</v>
      </c>
      <c r="E390" s="95">
        <f>IFERROR(VLOOKUP($A390,HeadJournal!$A$1:$NTR$890,COLUMN(HeadJournal!G$1),0),"")</f>
        <v>44887</v>
      </c>
      <c r="F390" s="95" t="str">
        <f t="shared" si="33"/>
        <v>2022 11</v>
      </c>
      <c r="G390" s="96" t="s">
        <v>6</v>
      </c>
      <c r="H390" s="160" t="str">
        <f>RIGHT(Journal!$J390,9)</f>
        <v>NOB-27406</v>
      </c>
      <c r="I390" s="96" t="str">
        <f t="shared" si="34"/>
        <v>Nobi Nutrition</v>
      </c>
      <c r="J390" s="97" t="s">
        <v>187</v>
      </c>
      <c r="K390" s="29">
        <v>19.350000000000001</v>
      </c>
      <c r="L390" s="29">
        <v>-3.87</v>
      </c>
      <c r="M390" s="30">
        <f>IFERROR(VLOOKUP($A390,HeadJournal!$A$1:$J$890,COLUMN(HeadJournal!I$1),0)*($K390+$L390)/(SUMIF($A:$A,$A390,$K:$K)+SUMIF($A:$A,$A390,$L:$L)),0)</f>
        <v>0</v>
      </c>
      <c r="N390" s="30">
        <f>IFERROR((VLOOKUP($A390,HeadJournal!$A$1:$K$890,COLUMN(HeadJournal!K$1),0)-VLOOKUP($A390,HeadJournal!$A$1:$K$890,COLUMN(HeadJournal!J$1),0))*($K390+$L390)/(SUMIF($A:$A,$A390,$K:$K)+SUMIF($A:$A,$A390,$L:$L)),0)</f>
        <v>1.8313688893716871E-15</v>
      </c>
      <c r="O390" s="30">
        <f>IFERROR((VLOOKUP($A390,HeadJournal!$A$1:$L$890,COLUMN(HeadJournal!L$1),0)*($K390+$L390)/(SUMIF($A:$A,$A390,$K:$K)+SUMIF($A:$A,$A390,$L:$L)))/VLOOKUP($A390,HeadJournal!$A$1:$L$890,COLUMN(HeadJournal!H$1),0),0)</f>
        <v>5.0542136124744825</v>
      </c>
      <c r="P390" s="30">
        <f>IFERROR(SUM(K390:O390)*VLOOKUP($A390,HeadJournal!$A$1:$L$890,COLUMN(HeadJournal!H$1),0),0)</f>
        <v>1416.8607392607394</v>
      </c>
      <c r="Q390" s="29">
        <v>2500</v>
      </c>
      <c r="R390" s="31">
        <v>44941</v>
      </c>
      <c r="S390" s="31" t="s">
        <v>3121</v>
      </c>
      <c r="T390" s="95" t="str">
        <f t="shared" si="35"/>
        <v>2023 01</v>
      </c>
      <c r="U390" s="32">
        <f t="shared" si="31"/>
        <v>1083.1392607392606</v>
      </c>
      <c r="V390" s="22">
        <f t="shared" si="32"/>
        <v>0.76446416413824758</v>
      </c>
      <c r="X390" s="33"/>
      <c r="Y390" s="33"/>
    </row>
    <row r="391" spans="1:25" x14ac:dyDescent="0.2">
      <c r="A391" s="93" t="s">
        <v>179</v>
      </c>
      <c r="B391" s="94" t="str">
        <f>IFERROR(VLOOKUP($A391,HeadJournal!$A$1:$NTR$890,COLUMN(HeadJournal!B$1),0),"")</f>
        <v>1Z095EE70250724592</v>
      </c>
      <c r="C391" s="94" t="str">
        <f>IFERROR(VLOOKUP($A391,HeadJournal!$A$1:$NTR$890,COLUMN(HeadJournal!C$1),0),"")</f>
        <v>iHerb_VP DFD1605</v>
      </c>
      <c r="D391" s="125" t="str">
        <f>IFERROR(VLOOKUP($A391,HeadJournal!$A$1:$NTR$890,COLUMN(HeadJournal!D$1),0),"")</f>
        <v>Доставлен</v>
      </c>
      <c r="E391" s="95">
        <f>IFERROR(VLOOKUP($A391,HeadJournal!$A$1:$NTR$890,COLUMN(HeadJournal!G$1),0),"")</f>
        <v>44887</v>
      </c>
      <c r="F391" s="95" t="str">
        <f t="shared" si="33"/>
        <v>2022 11</v>
      </c>
      <c r="G391" s="96" t="s">
        <v>7</v>
      </c>
      <c r="H391" s="160" t="str">
        <f>RIGHT(Journal!$J391,9)</f>
        <v>RSE-01732</v>
      </c>
      <c r="I391" s="96" t="str">
        <f t="shared" si="34"/>
        <v>Radiant Seoul</v>
      </c>
      <c r="J391" s="97" t="s">
        <v>188</v>
      </c>
      <c r="K391" s="29">
        <v>2</v>
      </c>
      <c r="L391" s="29">
        <v>-1</v>
      </c>
      <c r="M391" s="30">
        <f>IFERROR(VLOOKUP($A391,HeadJournal!$A$1:$J$890,COLUMN(HeadJournal!I$1),0)*($K391+$L391)/(SUMIF($A:$A,$A391,$K:$K)+SUMIF($A:$A,$A391,$L:$L)),0)</f>
        <v>0</v>
      </c>
      <c r="N391" s="30">
        <f>IFERROR((VLOOKUP($A391,HeadJournal!$A$1:$K$890,COLUMN(HeadJournal!K$1),0)-VLOOKUP($A391,HeadJournal!$A$1:$K$890,COLUMN(HeadJournal!J$1),0))*($K391+$L391)/(SUMIF($A:$A,$A391,$K:$K)+SUMIF($A:$A,$A391,$L:$L)),0)</f>
        <v>1.183054838095405E-16</v>
      </c>
      <c r="O391" s="30">
        <f>IFERROR((VLOOKUP($A391,HeadJournal!$A$1:$L$890,COLUMN(HeadJournal!L$1),0)*($K391+$L391)/(SUMIF($A:$A,$A391,$K:$K)+SUMIF($A:$A,$A391,$L:$L)))/VLOOKUP($A391,HeadJournal!$A$1:$L$890,COLUMN(HeadJournal!H$1),0),0)</f>
        <v>0.32649958736915263</v>
      </c>
      <c r="P391" s="30">
        <f>IFERROR(SUM(K391:O391)*VLOOKUP($A391,HeadJournal!$A$1:$L$890,COLUMN(HeadJournal!H$1),0),0)</f>
        <v>91.528471528471556</v>
      </c>
      <c r="Q391" s="29"/>
      <c r="R391" s="31"/>
      <c r="S391" s="31"/>
      <c r="T391" s="95" t="str">
        <f t="shared" si="35"/>
        <v/>
      </c>
      <c r="U391" s="32">
        <f t="shared" si="31"/>
        <v>-91.528471528471556</v>
      </c>
      <c r="V391" s="22" t="str">
        <f t="shared" si="32"/>
        <v/>
      </c>
      <c r="X391" s="33"/>
      <c r="Y391" s="33"/>
    </row>
    <row r="392" spans="1:25" x14ac:dyDescent="0.2">
      <c r="A392" s="93" t="s">
        <v>179</v>
      </c>
      <c r="B392" s="94" t="str">
        <f>IFERROR(VLOOKUP($A392,HeadJournal!$A$1:$NTR$890,COLUMN(HeadJournal!B$1),0),"")</f>
        <v>1Z095EE70250724592</v>
      </c>
      <c r="C392" s="94" t="str">
        <f>IFERROR(VLOOKUP($A392,HeadJournal!$A$1:$NTR$890,COLUMN(HeadJournal!C$1),0),"")</f>
        <v>iHerb_VP DFD1605</v>
      </c>
      <c r="D392" s="125" t="str">
        <f>IFERROR(VLOOKUP($A392,HeadJournal!$A$1:$NTR$890,COLUMN(HeadJournal!D$1),0),"")</f>
        <v>Доставлен</v>
      </c>
      <c r="E392" s="95">
        <f>IFERROR(VLOOKUP($A392,HeadJournal!$A$1:$NTR$890,COLUMN(HeadJournal!G$1),0),"")</f>
        <v>44887</v>
      </c>
      <c r="F392" s="95" t="str">
        <f t="shared" si="33"/>
        <v>2022 11</v>
      </c>
      <c r="G392" s="96" t="s">
        <v>7</v>
      </c>
      <c r="H392" s="160" t="str">
        <f>RIGHT(Journal!$J392,9)</f>
        <v>MSH-79311</v>
      </c>
      <c r="I392" s="96" t="str">
        <f t="shared" si="34"/>
        <v>Missha</v>
      </c>
      <c r="J392" s="97" t="s">
        <v>189</v>
      </c>
      <c r="K392" s="29">
        <v>11.3</v>
      </c>
      <c r="L392" s="29">
        <v>-3.39</v>
      </c>
      <c r="M392" s="30">
        <f>IFERROR(VLOOKUP($A392,HeadJournal!$A$1:$J$890,COLUMN(HeadJournal!I$1),0)*($K392+$L392)/(SUMIF($A:$A,$A392,$K:$K)+SUMIF($A:$A,$A392,$L:$L)),0)</f>
        <v>0</v>
      </c>
      <c r="N392" s="30">
        <f>IFERROR((VLOOKUP($A392,HeadJournal!$A$1:$K$890,COLUMN(HeadJournal!K$1),0)-VLOOKUP($A392,HeadJournal!$A$1:$K$890,COLUMN(HeadJournal!J$1),0))*($K392+$L392)/(SUMIF($A:$A,$A392,$K:$K)+SUMIF($A:$A,$A392,$L:$L)),0)</f>
        <v>9.3579637693346534E-16</v>
      </c>
      <c r="O392" s="30">
        <f>IFERROR((VLOOKUP($A392,HeadJournal!$A$1:$L$890,COLUMN(HeadJournal!L$1),0)*($K392+$L392)/(SUMIF($A:$A,$A392,$K:$K)+SUMIF($A:$A,$A392,$L:$L)))/VLOOKUP($A392,HeadJournal!$A$1:$L$890,COLUMN(HeadJournal!H$1),0),0)</f>
        <v>2.5826117360899969</v>
      </c>
      <c r="P392" s="30">
        <f>IFERROR(SUM(K392:O392)*VLOOKUP($A392,HeadJournal!$A$1:$L$890,COLUMN(HeadJournal!H$1),0),0)</f>
        <v>723.99020979020986</v>
      </c>
      <c r="Q392" s="29">
        <v>1200</v>
      </c>
      <c r="R392" s="31">
        <v>44992</v>
      </c>
      <c r="S392" s="31" t="s">
        <v>3121</v>
      </c>
      <c r="T392" s="95" t="str">
        <f t="shared" si="35"/>
        <v>2023 03</v>
      </c>
      <c r="U392" s="32">
        <f t="shared" si="31"/>
        <v>476.00979020979014</v>
      </c>
      <c r="V392" s="22">
        <f t="shared" si="32"/>
        <v>0.65748097663879068</v>
      </c>
      <c r="X392" s="33"/>
      <c r="Y392" s="33"/>
    </row>
    <row r="393" spans="1:25" x14ac:dyDescent="0.2">
      <c r="A393" s="93" t="s">
        <v>179</v>
      </c>
      <c r="B393" s="94" t="str">
        <f>IFERROR(VLOOKUP($A393,HeadJournal!$A$1:$NTR$890,COLUMN(HeadJournal!B$1),0),"")</f>
        <v>1Z095EE70250724592</v>
      </c>
      <c r="C393" s="94" t="str">
        <f>IFERROR(VLOOKUP($A393,HeadJournal!$A$1:$NTR$890,COLUMN(HeadJournal!C$1),0),"")</f>
        <v>iHerb_VP DFD1605</v>
      </c>
      <c r="D393" s="125" t="str">
        <f>IFERROR(VLOOKUP($A393,HeadJournal!$A$1:$NTR$890,COLUMN(HeadJournal!D$1),0),"")</f>
        <v>Доставлен</v>
      </c>
      <c r="E393" s="95">
        <f>IFERROR(VLOOKUP($A393,HeadJournal!$A$1:$NTR$890,COLUMN(HeadJournal!G$1),0),"")</f>
        <v>44887</v>
      </c>
      <c r="F393" s="95" t="str">
        <f t="shared" si="33"/>
        <v>2022 11</v>
      </c>
      <c r="G393" s="96" t="s">
        <v>7</v>
      </c>
      <c r="H393" s="160" t="str">
        <f>RIGHT(Journal!$J393,9)</f>
        <v>MSH-45855</v>
      </c>
      <c r="I393" s="96" t="str">
        <f t="shared" si="34"/>
        <v>Missha</v>
      </c>
      <c r="J393" s="97" t="s">
        <v>190</v>
      </c>
      <c r="K393" s="29">
        <v>5.95</v>
      </c>
      <c r="L393" s="29">
        <v>-1.79</v>
      </c>
      <c r="M393" s="30">
        <f>IFERROR(VLOOKUP($A393,HeadJournal!$A$1:$J$890,COLUMN(HeadJournal!I$1),0)*($K393+$L393)/(SUMIF($A:$A,$A393,$K:$K)+SUMIF($A:$A,$A393,$L:$L)),0)</f>
        <v>0</v>
      </c>
      <c r="N393" s="30">
        <f>IFERROR((VLOOKUP($A393,HeadJournal!$A$1:$K$890,COLUMN(HeadJournal!K$1),0)-VLOOKUP($A393,HeadJournal!$A$1:$K$890,COLUMN(HeadJournal!J$1),0))*($K393+$L393)/(SUMIF($A:$A,$A393,$K:$K)+SUMIF($A:$A,$A393,$L:$L)),0)</f>
        <v>4.9215081264768854E-16</v>
      </c>
      <c r="O393" s="30">
        <f>IFERROR((VLOOKUP($A393,HeadJournal!$A$1:$L$890,COLUMN(HeadJournal!L$1),0)*($K393+$L393)/(SUMIF($A:$A,$A393,$K:$K)+SUMIF($A:$A,$A393,$L:$L)))/VLOOKUP($A393,HeadJournal!$A$1:$L$890,COLUMN(HeadJournal!H$1),0),0)</f>
        <v>1.3582382834556748</v>
      </c>
      <c r="P393" s="30">
        <f>IFERROR(SUM(K393:O393)*VLOOKUP($A393,HeadJournal!$A$1:$L$890,COLUMN(HeadJournal!H$1),0),0)</f>
        <v>380.75844155844163</v>
      </c>
      <c r="Q393" s="29"/>
      <c r="R393" s="31"/>
      <c r="S393" s="31"/>
      <c r="T393" s="95" t="str">
        <f t="shared" si="35"/>
        <v/>
      </c>
      <c r="U393" s="32">
        <f t="shared" si="31"/>
        <v>-380.75844155844163</v>
      </c>
      <c r="V393" s="22" t="str">
        <f t="shared" si="32"/>
        <v/>
      </c>
      <c r="X393" s="33"/>
      <c r="Y393" s="33"/>
    </row>
    <row r="394" spans="1:25" x14ac:dyDescent="0.2">
      <c r="A394" s="93" t="s">
        <v>191</v>
      </c>
      <c r="B394" s="94">
        <f>IFERROR(VLOOKUP($A394,HeadJournal!$A$1:$NTR$890,COLUMN(HeadJournal!B$1),0),"")</f>
        <v>0</v>
      </c>
      <c r="C394" s="94" t="str">
        <f>IFERROR(VLOOKUP($A394,HeadJournal!$A$1:$NTR$890,COLUMN(HeadJournal!C$1),0),"")</f>
        <v>Roman</v>
      </c>
      <c r="D394" s="125" t="str">
        <f>IFERROR(VLOOKUP($A394,HeadJournal!$A$1:$NTR$890,COLUMN(HeadJournal!D$1),0),"")</f>
        <v>Доставлен</v>
      </c>
      <c r="E394" s="95">
        <f>IFERROR(VLOOKUP($A394,HeadJournal!$A$1:$NTR$890,COLUMN(HeadJournal!G$1),0),"")</f>
        <v>44888</v>
      </c>
      <c r="F394" s="95" t="str">
        <f t="shared" si="33"/>
        <v>2022 11</v>
      </c>
      <c r="G394" s="96" t="s">
        <v>5</v>
      </c>
      <c r="H394" s="161" t="s">
        <v>2051</v>
      </c>
      <c r="I394" s="97" t="s">
        <v>2052</v>
      </c>
      <c r="J394" s="97" t="s">
        <v>3097</v>
      </c>
      <c r="K394" s="29">
        <v>732.48</v>
      </c>
      <c r="L394" s="29"/>
      <c r="M394" s="30">
        <f>IFERROR(VLOOKUP($A394,HeadJournal!$A$1:$J$890,COLUMN(HeadJournal!I$1),0)*($K394+$L394)/(SUMIF($A:$A,$A394,$K:$K)+SUMIF($A:$A,$A394,$L:$L)),0)</f>
        <v>0</v>
      </c>
      <c r="N394" s="30">
        <f>IFERROR((VLOOKUP($A394,HeadJournal!$A$1:$K$890,COLUMN(HeadJournal!K$1),0)-VLOOKUP($A394,HeadJournal!$A$1:$K$890,COLUMN(HeadJournal!J$1),0))*($K394+$L394)/(SUMIF($A:$A,$A394,$K:$K)+SUMIF($A:$A,$A394,$L:$L)),0)</f>
        <v>5.6265766820492818E-13</v>
      </c>
      <c r="O394" s="30">
        <f>IFERROR((VLOOKUP($A394,HeadJournal!$A$1:$L$890,COLUMN(HeadJournal!L$1),0)*($K394+$L394)/(SUMIF($A:$A,$A394,$K:$K)+SUMIF($A:$A,$A394,$L:$L)))/VLOOKUP($A394,HeadJournal!$A$1:$L$890,COLUMN(HeadJournal!H$1),0),0)</f>
        <v>0</v>
      </c>
      <c r="P394" s="30">
        <f>IFERROR(SUM(K394:O394)*VLOOKUP($A394,HeadJournal!$A$1:$L$890,COLUMN(HeadJournal!H$1),0),0)</f>
        <v>915.6000000000007</v>
      </c>
      <c r="Q394" s="29">
        <v>2100</v>
      </c>
      <c r="R394" s="31">
        <v>44958</v>
      </c>
      <c r="S394" s="31" t="s">
        <v>3121</v>
      </c>
      <c r="T394" s="95" t="str">
        <f t="shared" si="35"/>
        <v>2023 02</v>
      </c>
      <c r="U394" s="32">
        <f t="shared" si="31"/>
        <v>1184.3999999999992</v>
      </c>
      <c r="V394" s="22">
        <f t="shared" si="32"/>
        <v>1.2935779816513742</v>
      </c>
      <c r="X394" s="33"/>
      <c r="Y394" s="33"/>
    </row>
    <row r="395" spans="1:25" x14ac:dyDescent="0.2">
      <c r="A395" s="93" t="s">
        <v>191</v>
      </c>
      <c r="B395" s="94">
        <f>IFERROR(VLOOKUP($A395,HeadJournal!$A$1:$NTR$890,COLUMN(HeadJournal!B$1),0),"")</f>
        <v>0</v>
      </c>
      <c r="C395" s="94" t="str">
        <f>IFERROR(VLOOKUP($A395,HeadJournal!$A$1:$NTR$890,COLUMN(HeadJournal!C$1),0),"")</f>
        <v>Roman</v>
      </c>
      <c r="D395" s="125" t="str">
        <f>IFERROR(VLOOKUP($A395,HeadJournal!$A$1:$NTR$890,COLUMN(HeadJournal!D$1),0),"")</f>
        <v>Доставлен</v>
      </c>
      <c r="E395" s="95">
        <f>IFERROR(VLOOKUP($A395,HeadJournal!$A$1:$NTR$890,COLUMN(HeadJournal!G$1),0),"")</f>
        <v>44888</v>
      </c>
      <c r="F395" s="95" t="str">
        <f t="shared" si="33"/>
        <v>2022 11</v>
      </c>
      <c r="G395" s="96" t="s">
        <v>5</v>
      </c>
      <c r="H395" s="161" t="s">
        <v>2051</v>
      </c>
      <c r="I395" s="97" t="s">
        <v>2052</v>
      </c>
      <c r="J395" s="97" t="s">
        <v>3097</v>
      </c>
      <c r="K395" s="29">
        <v>732.48</v>
      </c>
      <c r="L395" s="29"/>
      <c r="M395" s="30">
        <f>IFERROR(VLOOKUP($A395,HeadJournal!$A$1:$J$890,COLUMN(HeadJournal!I$1),0)*($K395+$L395)/(SUMIF($A:$A,$A395,$K:$K)+SUMIF($A:$A,$A395,$L:$L)),0)</f>
        <v>0</v>
      </c>
      <c r="N395" s="30">
        <f>IFERROR((VLOOKUP($A395,HeadJournal!$A$1:$K$890,COLUMN(HeadJournal!K$1),0)-VLOOKUP($A395,HeadJournal!$A$1:$K$890,COLUMN(HeadJournal!J$1),0))*($K395+$L395)/(SUMIF($A:$A,$A395,$K:$K)+SUMIF($A:$A,$A395,$L:$L)),0)</f>
        <v>5.6265766820492818E-13</v>
      </c>
      <c r="O395" s="30">
        <f>IFERROR((VLOOKUP($A395,HeadJournal!$A$1:$L$890,COLUMN(HeadJournal!L$1),0)*($K395+$L395)/(SUMIF($A:$A,$A395,$K:$K)+SUMIF($A:$A,$A395,$L:$L)))/VLOOKUP($A395,HeadJournal!$A$1:$L$890,COLUMN(HeadJournal!H$1),0),0)</f>
        <v>0</v>
      </c>
      <c r="P395" s="30">
        <f>IFERROR(SUM(K395:O395)*VLOOKUP($A395,HeadJournal!$A$1:$L$890,COLUMN(HeadJournal!H$1),0),0)</f>
        <v>915.6000000000007</v>
      </c>
      <c r="Q395" s="29">
        <v>2100</v>
      </c>
      <c r="R395" s="31">
        <v>44959</v>
      </c>
      <c r="S395" s="31" t="s">
        <v>3121</v>
      </c>
      <c r="T395" s="95" t="str">
        <f t="shared" si="35"/>
        <v>2023 02</v>
      </c>
      <c r="U395" s="32">
        <f t="shared" si="31"/>
        <v>1184.3999999999992</v>
      </c>
      <c r="V395" s="22">
        <f t="shared" si="32"/>
        <v>1.2935779816513742</v>
      </c>
      <c r="X395" s="33"/>
      <c r="Y395" s="33"/>
    </row>
    <row r="396" spans="1:25" x14ac:dyDescent="0.2">
      <c r="A396" s="93" t="s">
        <v>191</v>
      </c>
      <c r="B396" s="94">
        <f>IFERROR(VLOOKUP($A396,HeadJournal!$A$1:$NTR$890,COLUMN(HeadJournal!B$1),0),"")</f>
        <v>0</v>
      </c>
      <c r="C396" s="94" t="str">
        <f>IFERROR(VLOOKUP($A396,HeadJournal!$A$1:$NTR$890,COLUMN(HeadJournal!C$1),0),"")</f>
        <v>Roman</v>
      </c>
      <c r="D396" s="125" t="str">
        <f>IFERROR(VLOOKUP($A396,HeadJournal!$A$1:$NTR$890,COLUMN(HeadJournal!D$1),0),"")</f>
        <v>Доставлен</v>
      </c>
      <c r="E396" s="95">
        <f>IFERROR(VLOOKUP($A396,HeadJournal!$A$1:$NTR$890,COLUMN(HeadJournal!G$1),0),"")</f>
        <v>44888</v>
      </c>
      <c r="F396" s="95" t="str">
        <f t="shared" si="33"/>
        <v>2022 11</v>
      </c>
      <c r="G396" s="96" t="s">
        <v>5</v>
      </c>
      <c r="H396" s="161" t="s">
        <v>2051</v>
      </c>
      <c r="I396" s="97" t="s">
        <v>2052</v>
      </c>
      <c r="J396" s="97" t="s">
        <v>3097</v>
      </c>
      <c r="K396" s="29">
        <v>732.48</v>
      </c>
      <c r="L396" s="29"/>
      <c r="M396" s="30">
        <f>IFERROR(VLOOKUP($A396,HeadJournal!$A$1:$J$890,COLUMN(HeadJournal!I$1),0)*($K396+$L396)/(SUMIF($A:$A,$A396,$K:$K)+SUMIF($A:$A,$A396,$L:$L)),0)</f>
        <v>0</v>
      </c>
      <c r="N396" s="30">
        <f>IFERROR((VLOOKUP($A396,HeadJournal!$A$1:$K$890,COLUMN(HeadJournal!K$1),0)-VLOOKUP($A396,HeadJournal!$A$1:$K$890,COLUMN(HeadJournal!J$1),0))*($K396+$L396)/(SUMIF($A:$A,$A396,$K:$K)+SUMIF($A:$A,$A396,$L:$L)),0)</f>
        <v>5.6265766820492818E-13</v>
      </c>
      <c r="O396" s="30">
        <f>IFERROR((VLOOKUP($A396,HeadJournal!$A$1:$L$890,COLUMN(HeadJournal!L$1),0)*($K396+$L396)/(SUMIF($A:$A,$A396,$K:$K)+SUMIF($A:$A,$A396,$L:$L)))/VLOOKUP($A396,HeadJournal!$A$1:$L$890,COLUMN(HeadJournal!H$1),0),0)</f>
        <v>0</v>
      </c>
      <c r="P396" s="30">
        <f>IFERROR(SUM(K396:O396)*VLOOKUP($A396,HeadJournal!$A$1:$L$890,COLUMN(HeadJournal!H$1),0),0)</f>
        <v>915.6000000000007</v>
      </c>
      <c r="Q396" s="29">
        <v>2200</v>
      </c>
      <c r="R396" s="31">
        <v>44965</v>
      </c>
      <c r="S396" s="31" t="s">
        <v>3121</v>
      </c>
      <c r="T396" s="95" t="str">
        <f t="shared" si="35"/>
        <v>2023 02</v>
      </c>
      <c r="U396" s="32">
        <f t="shared" si="31"/>
        <v>1284.3999999999992</v>
      </c>
      <c r="V396" s="22">
        <f t="shared" si="32"/>
        <v>1.4027959807776302</v>
      </c>
      <c r="X396" s="33"/>
      <c r="Y396" s="33"/>
    </row>
    <row r="397" spans="1:25" x14ac:dyDescent="0.2">
      <c r="A397" s="93" t="s">
        <v>191</v>
      </c>
      <c r="B397" s="94">
        <f>IFERROR(VLOOKUP($A397,HeadJournal!$A$1:$NTR$890,COLUMN(HeadJournal!B$1),0),"")</f>
        <v>0</v>
      </c>
      <c r="C397" s="94" t="str">
        <f>IFERROR(VLOOKUP($A397,HeadJournal!$A$1:$NTR$890,COLUMN(HeadJournal!C$1),0),"")</f>
        <v>Roman</v>
      </c>
      <c r="D397" s="125" t="str">
        <f>IFERROR(VLOOKUP($A397,HeadJournal!$A$1:$NTR$890,COLUMN(HeadJournal!D$1),0),"")</f>
        <v>Доставлен</v>
      </c>
      <c r="E397" s="95">
        <f>IFERROR(VLOOKUP($A397,HeadJournal!$A$1:$NTR$890,COLUMN(HeadJournal!G$1),0),"")</f>
        <v>44888</v>
      </c>
      <c r="F397" s="95" t="str">
        <f t="shared" si="33"/>
        <v>2022 11</v>
      </c>
      <c r="G397" s="96" t="s">
        <v>5</v>
      </c>
      <c r="H397" s="161" t="s">
        <v>2051</v>
      </c>
      <c r="I397" s="97" t="s">
        <v>2052</v>
      </c>
      <c r="J397" s="97" t="s">
        <v>3097</v>
      </c>
      <c r="K397" s="29">
        <v>732.48</v>
      </c>
      <c r="L397" s="29"/>
      <c r="M397" s="30">
        <f>IFERROR(VLOOKUP($A397,HeadJournal!$A$1:$J$890,COLUMN(HeadJournal!I$1),0)*($K397+$L397)/(SUMIF($A:$A,$A397,$K:$K)+SUMIF($A:$A,$A397,$L:$L)),0)</f>
        <v>0</v>
      </c>
      <c r="N397" s="30">
        <f>IFERROR((VLOOKUP($A397,HeadJournal!$A$1:$K$890,COLUMN(HeadJournal!K$1),0)-VLOOKUP($A397,HeadJournal!$A$1:$K$890,COLUMN(HeadJournal!J$1),0))*($K397+$L397)/(SUMIF($A:$A,$A397,$K:$K)+SUMIF($A:$A,$A397,$L:$L)),0)</f>
        <v>5.6265766820492818E-13</v>
      </c>
      <c r="O397" s="30">
        <f>IFERROR((VLOOKUP($A397,HeadJournal!$A$1:$L$890,COLUMN(HeadJournal!L$1),0)*($K397+$L397)/(SUMIF($A:$A,$A397,$K:$K)+SUMIF($A:$A,$A397,$L:$L)))/VLOOKUP($A397,HeadJournal!$A$1:$L$890,COLUMN(HeadJournal!H$1),0),0)</f>
        <v>0</v>
      </c>
      <c r="P397" s="30">
        <f>IFERROR(SUM(K397:O397)*VLOOKUP($A397,HeadJournal!$A$1:$L$890,COLUMN(HeadJournal!H$1),0),0)</f>
        <v>915.6000000000007</v>
      </c>
      <c r="Q397" s="29">
        <v>2200</v>
      </c>
      <c r="R397" s="31">
        <v>44965</v>
      </c>
      <c r="S397" s="31" t="s">
        <v>3121</v>
      </c>
      <c r="T397" s="95" t="str">
        <f t="shared" si="35"/>
        <v>2023 02</v>
      </c>
      <c r="U397" s="32">
        <f t="shared" si="31"/>
        <v>1284.3999999999992</v>
      </c>
      <c r="V397" s="22">
        <f t="shared" si="32"/>
        <v>1.4027959807776302</v>
      </c>
      <c r="X397" s="33"/>
      <c r="Y397" s="33"/>
    </row>
    <row r="398" spans="1:25" x14ac:dyDescent="0.2">
      <c r="A398" s="93" t="s">
        <v>191</v>
      </c>
      <c r="B398" s="94">
        <f>IFERROR(VLOOKUP($A398,HeadJournal!$A$1:$NTR$890,COLUMN(HeadJournal!B$1),0),"")</f>
        <v>0</v>
      </c>
      <c r="C398" s="94" t="str">
        <f>IFERROR(VLOOKUP($A398,HeadJournal!$A$1:$NTR$890,COLUMN(HeadJournal!C$1),0),"")</f>
        <v>Roman</v>
      </c>
      <c r="D398" s="125" t="str">
        <f>IFERROR(VLOOKUP($A398,HeadJournal!$A$1:$NTR$890,COLUMN(HeadJournal!D$1),0),"")</f>
        <v>Доставлен</v>
      </c>
      <c r="E398" s="95">
        <f>IFERROR(VLOOKUP($A398,HeadJournal!$A$1:$NTR$890,COLUMN(HeadJournal!G$1),0),"")</f>
        <v>44888</v>
      </c>
      <c r="F398" s="95" t="str">
        <f t="shared" si="33"/>
        <v>2022 11</v>
      </c>
      <c r="G398" s="96" t="s">
        <v>5</v>
      </c>
      <c r="H398" s="161" t="s">
        <v>2051</v>
      </c>
      <c r="I398" s="97" t="s">
        <v>2052</v>
      </c>
      <c r="J398" s="97" t="s">
        <v>3097</v>
      </c>
      <c r="K398" s="29">
        <v>732.48</v>
      </c>
      <c r="L398" s="29"/>
      <c r="M398" s="30">
        <f>IFERROR(VLOOKUP($A398,HeadJournal!$A$1:$J$890,COLUMN(HeadJournal!I$1),0)*($K398+$L398)/(SUMIF($A:$A,$A398,$K:$K)+SUMIF($A:$A,$A398,$L:$L)),0)</f>
        <v>0</v>
      </c>
      <c r="N398" s="30">
        <f>IFERROR((VLOOKUP($A398,HeadJournal!$A$1:$K$890,COLUMN(HeadJournal!K$1),0)-VLOOKUP($A398,HeadJournal!$A$1:$K$890,COLUMN(HeadJournal!J$1),0))*($K398+$L398)/(SUMIF($A:$A,$A398,$K:$K)+SUMIF($A:$A,$A398,$L:$L)),0)</f>
        <v>5.6265766820492818E-13</v>
      </c>
      <c r="O398" s="30">
        <f>IFERROR((VLOOKUP($A398,HeadJournal!$A$1:$L$890,COLUMN(HeadJournal!L$1),0)*($K398+$L398)/(SUMIF($A:$A,$A398,$K:$K)+SUMIF($A:$A,$A398,$L:$L)))/VLOOKUP($A398,HeadJournal!$A$1:$L$890,COLUMN(HeadJournal!H$1),0),0)</f>
        <v>0</v>
      </c>
      <c r="P398" s="30">
        <f>IFERROR(SUM(K398:O398)*VLOOKUP($A398,HeadJournal!$A$1:$L$890,COLUMN(HeadJournal!H$1),0),0)</f>
        <v>915.6000000000007</v>
      </c>
      <c r="Q398" s="29">
        <v>2200</v>
      </c>
      <c r="R398" s="31">
        <v>44965</v>
      </c>
      <c r="S398" s="31" t="s">
        <v>3121</v>
      </c>
      <c r="T398" s="95" t="str">
        <f t="shared" si="35"/>
        <v>2023 02</v>
      </c>
      <c r="U398" s="32">
        <f t="shared" si="31"/>
        <v>1284.3999999999992</v>
      </c>
      <c r="V398" s="22">
        <f t="shared" si="32"/>
        <v>1.4027959807776302</v>
      </c>
      <c r="X398" s="33"/>
      <c r="Y398" s="33"/>
    </row>
    <row r="399" spans="1:25" x14ac:dyDescent="0.2">
      <c r="A399" s="93" t="s">
        <v>191</v>
      </c>
      <c r="B399" s="94">
        <f>IFERROR(VLOOKUP($A399,HeadJournal!$A$1:$NTR$890,COLUMN(HeadJournal!B$1),0),"")</f>
        <v>0</v>
      </c>
      <c r="C399" s="94" t="str">
        <f>IFERROR(VLOOKUP($A399,HeadJournal!$A$1:$NTR$890,COLUMN(HeadJournal!C$1),0),"")</f>
        <v>Roman</v>
      </c>
      <c r="D399" s="125" t="str">
        <f>IFERROR(VLOOKUP($A399,HeadJournal!$A$1:$NTR$890,COLUMN(HeadJournal!D$1),0),"")</f>
        <v>Доставлен</v>
      </c>
      <c r="E399" s="95">
        <f>IFERROR(VLOOKUP($A399,HeadJournal!$A$1:$NTR$890,COLUMN(HeadJournal!G$1),0),"")</f>
        <v>44888</v>
      </c>
      <c r="F399" s="95" t="str">
        <f t="shared" si="33"/>
        <v>2022 11</v>
      </c>
      <c r="G399" s="96" t="s">
        <v>5</v>
      </c>
      <c r="H399" s="161" t="s">
        <v>2051</v>
      </c>
      <c r="I399" s="97" t="s">
        <v>2052</v>
      </c>
      <c r="J399" s="97" t="s">
        <v>3097</v>
      </c>
      <c r="K399" s="29">
        <v>732.48</v>
      </c>
      <c r="L399" s="29"/>
      <c r="M399" s="30">
        <f>IFERROR(VLOOKUP($A399,HeadJournal!$A$1:$J$890,COLUMN(HeadJournal!I$1),0)*($K399+$L399)/(SUMIF($A:$A,$A399,$K:$K)+SUMIF($A:$A,$A399,$L:$L)),0)</f>
        <v>0</v>
      </c>
      <c r="N399" s="30">
        <f>IFERROR((VLOOKUP($A399,HeadJournal!$A$1:$K$890,COLUMN(HeadJournal!K$1),0)-VLOOKUP($A399,HeadJournal!$A$1:$K$890,COLUMN(HeadJournal!J$1),0))*($K399+$L399)/(SUMIF($A:$A,$A399,$K:$K)+SUMIF($A:$A,$A399,$L:$L)),0)</f>
        <v>5.6265766820492818E-13</v>
      </c>
      <c r="O399" s="30">
        <f>IFERROR((VLOOKUP($A399,HeadJournal!$A$1:$L$890,COLUMN(HeadJournal!L$1),0)*($K399+$L399)/(SUMIF($A:$A,$A399,$K:$K)+SUMIF($A:$A,$A399,$L:$L)))/VLOOKUP($A399,HeadJournal!$A$1:$L$890,COLUMN(HeadJournal!H$1),0),0)</f>
        <v>0</v>
      </c>
      <c r="P399" s="30">
        <f>IFERROR(SUM(K399:O399)*VLOOKUP($A399,HeadJournal!$A$1:$L$890,COLUMN(HeadJournal!H$1),0),0)</f>
        <v>915.6000000000007</v>
      </c>
      <c r="Q399" s="29">
        <v>2300</v>
      </c>
      <c r="R399" s="31">
        <v>44970</v>
      </c>
      <c r="S399" s="31" t="s">
        <v>3121</v>
      </c>
      <c r="T399" s="95" t="str">
        <f t="shared" si="35"/>
        <v>2023 02</v>
      </c>
      <c r="U399" s="32">
        <f t="shared" si="31"/>
        <v>1384.3999999999992</v>
      </c>
      <c r="V399" s="22">
        <f t="shared" si="32"/>
        <v>1.5120139799038861</v>
      </c>
      <c r="X399" s="33"/>
      <c r="Y399" s="33"/>
    </row>
    <row r="400" spans="1:25" x14ac:dyDescent="0.2">
      <c r="A400" s="93" t="s">
        <v>191</v>
      </c>
      <c r="B400" s="94">
        <f>IFERROR(VLOOKUP($A400,HeadJournal!$A$1:$NTR$890,COLUMN(HeadJournal!B$1),0),"")</f>
        <v>0</v>
      </c>
      <c r="C400" s="94" t="str">
        <f>IFERROR(VLOOKUP($A400,HeadJournal!$A$1:$NTR$890,COLUMN(HeadJournal!C$1),0),"")</f>
        <v>Roman</v>
      </c>
      <c r="D400" s="125" t="str">
        <f>IFERROR(VLOOKUP($A400,HeadJournal!$A$1:$NTR$890,COLUMN(HeadJournal!D$1),0),"")</f>
        <v>Доставлен</v>
      </c>
      <c r="E400" s="95">
        <f>IFERROR(VLOOKUP($A400,HeadJournal!$A$1:$NTR$890,COLUMN(HeadJournal!G$1),0),"")</f>
        <v>44888</v>
      </c>
      <c r="F400" s="95" t="str">
        <f t="shared" si="33"/>
        <v>2022 11</v>
      </c>
      <c r="G400" s="96" t="s">
        <v>5</v>
      </c>
      <c r="H400" s="161" t="s">
        <v>2051</v>
      </c>
      <c r="I400" s="97" t="s">
        <v>2052</v>
      </c>
      <c r="J400" s="97" t="s">
        <v>3097</v>
      </c>
      <c r="K400" s="29">
        <v>732.48</v>
      </c>
      <c r="L400" s="29"/>
      <c r="M400" s="30">
        <f>IFERROR(VLOOKUP($A400,HeadJournal!$A$1:$J$890,COLUMN(HeadJournal!I$1),0)*($K400+$L400)/(SUMIF($A:$A,$A400,$K:$K)+SUMIF($A:$A,$A400,$L:$L)),0)</f>
        <v>0</v>
      </c>
      <c r="N400" s="30">
        <f>IFERROR((VLOOKUP($A400,HeadJournal!$A$1:$K$890,COLUMN(HeadJournal!K$1),0)-VLOOKUP($A400,HeadJournal!$A$1:$K$890,COLUMN(HeadJournal!J$1),0))*($K400+$L400)/(SUMIF($A:$A,$A400,$K:$K)+SUMIF($A:$A,$A400,$L:$L)),0)</f>
        <v>5.6265766820492818E-13</v>
      </c>
      <c r="O400" s="30">
        <f>IFERROR((VLOOKUP($A400,HeadJournal!$A$1:$L$890,COLUMN(HeadJournal!L$1),0)*($K400+$L400)/(SUMIF($A:$A,$A400,$K:$K)+SUMIF($A:$A,$A400,$L:$L)))/VLOOKUP($A400,HeadJournal!$A$1:$L$890,COLUMN(HeadJournal!H$1),0),0)</f>
        <v>0</v>
      </c>
      <c r="P400" s="30">
        <f>IFERROR(SUM(K400:O400)*VLOOKUP($A400,HeadJournal!$A$1:$L$890,COLUMN(HeadJournal!H$1),0),0)</f>
        <v>915.6000000000007</v>
      </c>
      <c r="Q400" s="29">
        <v>2250</v>
      </c>
      <c r="R400" s="31">
        <v>44971</v>
      </c>
      <c r="S400" s="31" t="s">
        <v>3121</v>
      </c>
      <c r="T400" s="95" t="str">
        <f t="shared" si="35"/>
        <v>2023 02</v>
      </c>
      <c r="U400" s="32">
        <f t="shared" si="31"/>
        <v>1334.3999999999992</v>
      </c>
      <c r="V400" s="22">
        <f t="shared" si="32"/>
        <v>1.457404980340758</v>
      </c>
      <c r="X400" s="33"/>
      <c r="Y400" s="33"/>
    </row>
    <row r="401" spans="1:25" x14ac:dyDescent="0.2">
      <c r="A401" s="93" t="s">
        <v>191</v>
      </c>
      <c r="B401" s="94">
        <f>IFERROR(VLOOKUP($A401,HeadJournal!$A$1:$NTR$890,COLUMN(HeadJournal!B$1),0),"")</f>
        <v>0</v>
      </c>
      <c r="C401" s="94" t="str">
        <f>IFERROR(VLOOKUP($A401,HeadJournal!$A$1:$NTR$890,COLUMN(HeadJournal!C$1),0),"")</f>
        <v>Roman</v>
      </c>
      <c r="D401" s="125" t="str">
        <f>IFERROR(VLOOKUP($A401,HeadJournal!$A$1:$NTR$890,COLUMN(HeadJournal!D$1),0),"")</f>
        <v>Доставлен</v>
      </c>
      <c r="E401" s="95">
        <f>IFERROR(VLOOKUP($A401,HeadJournal!$A$1:$NTR$890,COLUMN(HeadJournal!G$1),0),"")</f>
        <v>44888</v>
      </c>
      <c r="F401" s="95" t="str">
        <f t="shared" si="33"/>
        <v>2022 11</v>
      </c>
      <c r="G401" s="96" t="s">
        <v>5</v>
      </c>
      <c r="H401" s="161" t="s">
        <v>2051</v>
      </c>
      <c r="I401" s="97" t="s">
        <v>2052</v>
      </c>
      <c r="J401" s="97" t="s">
        <v>3097</v>
      </c>
      <c r="K401" s="29">
        <v>732.48</v>
      </c>
      <c r="L401" s="29"/>
      <c r="M401" s="30">
        <f>IFERROR(VLOOKUP($A401,HeadJournal!$A$1:$J$890,COLUMN(HeadJournal!I$1),0)*($K401+$L401)/(SUMIF($A:$A,$A401,$K:$K)+SUMIF($A:$A,$A401,$L:$L)),0)</f>
        <v>0</v>
      </c>
      <c r="N401" s="30">
        <f>IFERROR((VLOOKUP($A401,HeadJournal!$A$1:$K$890,COLUMN(HeadJournal!K$1),0)-VLOOKUP($A401,HeadJournal!$A$1:$K$890,COLUMN(HeadJournal!J$1),0))*($K401+$L401)/(SUMIF($A:$A,$A401,$K:$K)+SUMIF($A:$A,$A401,$L:$L)),0)</f>
        <v>5.6265766820492818E-13</v>
      </c>
      <c r="O401" s="30">
        <f>IFERROR((VLOOKUP($A401,HeadJournal!$A$1:$L$890,COLUMN(HeadJournal!L$1),0)*($K401+$L401)/(SUMIF($A:$A,$A401,$K:$K)+SUMIF($A:$A,$A401,$L:$L)))/VLOOKUP($A401,HeadJournal!$A$1:$L$890,COLUMN(HeadJournal!H$1),0),0)</f>
        <v>0</v>
      </c>
      <c r="P401" s="30">
        <f>IFERROR(SUM(K401:O401)*VLOOKUP($A401,HeadJournal!$A$1:$L$890,COLUMN(HeadJournal!H$1),0),0)</f>
        <v>915.6000000000007</v>
      </c>
      <c r="Q401" s="29">
        <v>2200</v>
      </c>
      <c r="R401" s="31">
        <v>44972</v>
      </c>
      <c r="S401" s="31" t="s">
        <v>3121</v>
      </c>
      <c r="T401" s="95" t="str">
        <f t="shared" si="35"/>
        <v>2023 02</v>
      </c>
      <c r="U401" s="32">
        <f t="shared" si="31"/>
        <v>1284.3999999999992</v>
      </c>
      <c r="V401" s="22">
        <f t="shared" si="32"/>
        <v>1.4027959807776302</v>
      </c>
      <c r="X401" s="33"/>
      <c r="Y401" s="33"/>
    </row>
    <row r="402" spans="1:25" x14ac:dyDescent="0.2">
      <c r="A402" s="93" t="s">
        <v>191</v>
      </c>
      <c r="B402" s="94">
        <f>IFERROR(VLOOKUP($A402,HeadJournal!$A$1:$NTR$890,COLUMN(HeadJournal!B$1),0),"")</f>
        <v>0</v>
      </c>
      <c r="C402" s="94" t="str">
        <f>IFERROR(VLOOKUP($A402,HeadJournal!$A$1:$NTR$890,COLUMN(HeadJournal!C$1),0),"")</f>
        <v>Roman</v>
      </c>
      <c r="D402" s="125" t="str">
        <f>IFERROR(VLOOKUP($A402,HeadJournal!$A$1:$NTR$890,COLUMN(HeadJournal!D$1),0),"")</f>
        <v>Доставлен</v>
      </c>
      <c r="E402" s="95">
        <f>IFERROR(VLOOKUP($A402,HeadJournal!$A$1:$NTR$890,COLUMN(HeadJournal!G$1),0),"")</f>
        <v>44888</v>
      </c>
      <c r="F402" s="95" t="str">
        <f t="shared" si="33"/>
        <v>2022 11</v>
      </c>
      <c r="G402" s="96" t="s">
        <v>5</v>
      </c>
      <c r="H402" s="161" t="s">
        <v>2051</v>
      </c>
      <c r="I402" s="97" t="s">
        <v>2052</v>
      </c>
      <c r="J402" s="97" t="s">
        <v>3097</v>
      </c>
      <c r="K402" s="29">
        <v>732.48</v>
      </c>
      <c r="L402" s="29"/>
      <c r="M402" s="30">
        <f>IFERROR(VLOOKUP($A402,HeadJournal!$A$1:$J$890,COLUMN(HeadJournal!I$1),0)*($K402+$L402)/(SUMIF($A:$A,$A402,$K:$K)+SUMIF($A:$A,$A402,$L:$L)),0)</f>
        <v>0</v>
      </c>
      <c r="N402" s="30">
        <f>IFERROR((VLOOKUP($A402,HeadJournal!$A$1:$K$890,COLUMN(HeadJournal!K$1),0)-VLOOKUP($A402,HeadJournal!$A$1:$K$890,COLUMN(HeadJournal!J$1),0))*($K402+$L402)/(SUMIF($A:$A,$A402,$K:$K)+SUMIF($A:$A,$A402,$L:$L)),0)</f>
        <v>5.6265766820492818E-13</v>
      </c>
      <c r="O402" s="30">
        <f>IFERROR((VLOOKUP($A402,HeadJournal!$A$1:$L$890,COLUMN(HeadJournal!L$1),0)*($K402+$L402)/(SUMIF($A:$A,$A402,$K:$K)+SUMIF($A:$A,$A402,$L:$L)))/VLOOKUP($A402,HeadJournal!$A$1:$L$890,COLUMN(HeadJournal!H$1),0),0)</f>
        <v>0</v>
      </c>
      <c r="P402" s="30">
        <f>IFERROR(SUM(K402:O402)*VLOOKUP($A402,HeadJournal!$A$1:$L$890,COLUMN(HeadJournal!H$1),0),0)</f>
        <v>915.6000000000007</v>
      </c>
      <c r="Q402" s="29">
        <v>2300</v>
      </c>
      <c r="R402" s="31">
        <v>44973</v>
      </c>
      <c r="S402" s="31" t="s">
        <v>3121</v>
      </c>
      <c r="T402" s="95" t="str">
        <f t="shared" si="35"/>
        <v>2023 02</v>
      </c>
      <c r="U402" s="32">
        <f t="shared" si="31"/>
        <v>1384.3999999999992</v>
      </c>
      <c r="V402" s="22">
        <f t="shared" si="32"/>
        <v>1.5120139799038861</v>
      </c>
      <c r="X402" s="33"/>
      <c r="Y402" s="33"/>
    </row>
    <row r="403" spans="1:25" x14ac:dyDescent="0.2">
      <c r="A403" s="93" t="s">
        <v>191</v>
      </c>
      <c r="B403" s="94">
        <f>IFERROR(VLOOKUP($A403,HeadJournal!$A$1:$NTR$890,COLUMN(HeadJournal!B$1),0),"")</f>
        <v>0</v>
      </c>
      <c r="C403" s="94" t="str">
        <f>IFERROR(VLOOKUP($A403,HeadJournal!$A$1:$NTR$890,COLUMN(HeadJournal!C$1),0),"")</f>
        <v>Roman</v>
      </c>
      <c r="D403" s="125" t="str">
        <f>IFERROR(VLOOKUP($A403,HeadJournal!$A$1:$NTR$890,COLUMN(HeadJournal!D$1),0),"")</f>
        <v>Доставлен</v>
      </c>
      <c r="E403" s="95">
        <f>IFERROR(VLOOKUP($A403,HeadJournal!$A$1:$NTR$890,COLUMN(HeadJournal!G$1),0),"")</f>
        <v>44888</v>
      </c>
      <c r="F403" s="95" t="str">
        <f t="shared" si="33"/>
        <v>2022 11</v>
      </c>
      <c r="G403" s="96" t="s">
        <v>5</v>
      </c>
      <c r="H403" s="161" t="s">
        <v>2051</v>
      </c>
      <c r="I403" s="97" t="s">
        <v>2052</v>
      </c>
      <c r="J403" s="97" t="s">
        <v>3097</v>
      </c>
      <c r="K403" s="29">
        <v>732.48</v>
      </c>
      <c r="L403" s="29"/>
      <c r="M403" s="30">
        <f>IFERROR(VLOOKUP($A403,HeadJournal!$A$1:$J$890,COLUMN(HeadJournal!I$1),0)*($K403+$L403)/(SUMIF($A:$A,$A403,$K:$K)+SUMIF($A:$A,$A403,$L:$L)),0)</f>
        <v>0</v>
      </c>
      <c r="N403" s="30">
        <f>IFERROR((VLOOKUP($A403,HeadJournal!$A$1:$K$890,COLUMN(HeadJournal!K$1),0)-VLOOKUP($A403,HeadJournal!$A$1:$K$890,COLUMN(HeadJournal!J$1),0))*($K403+$L403)/(SUMIF($A:$A,$A403,$K:$K)+SUMIF($A:$A,$A403,$L:$L)),0)</f>
        <v>5.6265766820492818E-13</v>
      </c>
      <c r="O403" s="30">
        <f>IFERROR((VLOOKUP($A403,HeadJournal!$A$1:$L$890,COLUMN(HeadJournal!L$1),0)*($K403+$L403)/(SUMIF($A:$A,$A403,$K:$K)+SUMIF($A:$A,$A403,$L:$L)))/VLOOKUP($A403,HeadJournal!$A$1:$L$890,COLUMN(HeadJournal!H$1),0),0)</f>
        <v>0</v>
      </c>
      <c r="P403" s="30">
        <f>IFERROR(SUM(K403:O403)*VLOOKUP($A403,HeadJournal!$A$1:$L$890,COLUMN(HeadJournal!H$1),0),0)</f>
        <v>915.6000000000007</v>
      </c>
      <c r="Q403" s="29">
        <v>2200</v>
      </c>
      <c r="R403" s="31">
        <v>44998</v>
      </c>
      <c r="S403" s="31" t="s">
        <v>3121</v>
      </c>
      <c r="T403" s="95" t="str">
        <f t="shared" si="35"/>
        <v>2023 03</v>
      </c>
      <c r="U403" s="32">
        <f t="shared" si="31"/>
        <v>1284.3999999999992</v>
      </c>
      <c r="V403" s="22">
        <f t="shared" si="32"/>
        <v>1.4027959807776302</v>
      </c>
      <c r="X403" s="33"/>
      <c r="Y403" s="33"/>
    </row>
    <row r="404" spans="1:25" x14ac:dyDescent="0.2">
      <c r="A404" s="93" t="s">
        <v>191</v>
      </c>
      <c r="B404" s="94">
        <f>IFERROR(VLOOKUP($A404,HeadJournal!$A$1:$NTR$890,COLUMN(HeadJournal!B$1),0),"")</f>
        <v>0</v>
      </c>
      <c r="C404" s="94" t="str">
        <f>IFERROR(VLOOKUP($A404,HeadJournal!$A$1:$NTR$890,COLUMN(HeadJournal!C$1),0),"")</f>
        <v>Roman</v>
      </c>
      <c r="D404" s="125" t="str">
        <f>IFERROR(VLOOKUP($A404,HeadJournal!$A$1:$NTR$890,COLUMN(HeadJournal!D$1),0),"")</f>
        <v>Доставлен</v>
      </c>
      <c r="E404" s="95">
        <f>IFERROR(VLOOKUP($A404,HeadJournal!$A$1:$NTR$890,COLUMN(HeadJournal!G$1),0),"")</f>
        <v>44888</v>
      </c>
      <c r="F404" s="95" t="str">
        <f t="shared" si="33"/>
        <v>2022 11</v>
      </c>
      <c r="G404" s="96" t="s">
        <v>5</v>
      </c>
      <c r="H404" s="160" t="str">
        <f>RIGHT(Journal!$J404,9)</f>
        <v>NFS-01678</v>
      </c>
      <c r="I404" s="96" t="str">
        <f t="shared" si="34"/>
        <v>Natural Factors</v>
      </c>
      <c r="J404" s="97" t="s">
        <v>128</v>
      </c>
      <c r="K404" s="29">
        <v>239.71199999999999</v>
      </c>
      <c r="L404" s="29"/>
      <c r="M404" s="30">
        <f>IFERROR(VLOOKUP($A404,HeadJournal!$A$1:$J$890,COLUMN(HeadJournal!I$1),0)*($K404+$L404)/(SUMIF($A:$A,$A404,$K:$K)+SUMIF($A:$A,$A404,$L:$L)),0)</f>
        <v>0</v>
      </c>
      <c r="N404" s="30">
        <f>IFERROR((VLOOKUP($A404,HeadJournal!$A$1:$K$890,COLUMN(HeadJournal!K$1),0)-VLOOKUP($A404,HeadJournal!$A$1:$K$890,COLUMN(HeadJournal!J$1),0))*($K404+$L404)/(SUMIF($A:$A,$A404,$K:$K)+SUMIF($A:$A,$A404,$L:$L)),0)</f>
        <v>1.8413580570218948E-13</v>
      </c>
      <c r="O404" s="30">
        <f>IFERROR((VLOOKUP($A404,HeadJournal!$A$1:$L$890,COLUMN(HeadJournal!L$1),0)*($K404+$L404)/(SUMIF($A:$A,$A404,$K:$K)+SUMIF($A:$A,$A404,$L:$L)))/VLOOKUP($A404,HeadJournal!$A$1:$L$890,COLUMN(HeadJournal!H$1),0),0)</f>
        <v>0</v>
      </c>
      <c r="P404" s="30">
        <f>IFERROR(SUM(K404:O404)*VLOOKUP($A404,HeadJournal!$A$1:$L$890,COLUMN(HeadJournal!H$1),0),0)</f>
        <v>299.64000000000021</v>
      </c>
      <c r="Q404" s="29">
        <v>700</v>
      </c>
      <c r="R404" s="31">
        <v>45246</v>
      </c>
      <c r="S404" s="31" t="s">
        <v>3121</v>
      </c>
      <c r="T404" s="95" t="str">
        <f t="shared" si="35"/>
        <v>2023 11</v>
      </c>
      <c r="U404" s="32">
        <f t="shared" si="31"/>
        <v>400.35999999999979</v>
      </c>
      <c r="V404" s="22">
        <f t="shared" si="32"/>
        <v>1.3361366973701758</v>
      </c>
      <c r="X404" s="33"/>
      <c r="Y404" s="33"/>
    </row>
    <row r="405" spans="1:25" x14ac:dyDescent="0.2">
      <c r="A405" s="93" t="s">
        <v>191</v>
      </c>
      <c r="B405" s="94">
        <f>IFERROR(VLOOKUP($A405,HeadJournal!$A$1:$NTR$890,COLUMN(HeadJournal!B$1),0),"")</f>
        <v>0</v>
      </c>
      <c r="C405" s="94" t="str">
        <f>IFERROR(VLOOKUP($A405,HeadJournal!$A$1:$NTR$890,COLUMN(HeadJournal!C$1),0),"")</f>
        <v>Roman</v>
      </c>
      <c r="D405" s="125" t="str">
        <f>IFERROR(VLOOKUP($A405,HeadJournal!$A$1:$NTR$890,COLUMN(HeadJournal!D$1),0),"")</f>
        <v>Доставлен</v>
      </c>
      <c r="E405" s="95">
        <f>IFERROR(VLOOKUP($A405,HeadJournal!$A$1:$NTR$890,COLUMN(HeadJournal!G$1),0),"")</f>
        <v>44888</v>
      </c>
      <c r="F405" s="95" t="str">
        <f t="shared" si="33"/>
        <v>2022 11</v>
      </c>
      <c r="G405" s="96" t="s">
        <v>5</v>
      </c>
      <c r="H405" s="160" t="str">
        <f>RIGHT(Journal!$J405,9)</f>
        <v>NFS-01678</v>
      </c>
      <c r="I405" s="96" t="str">
        <f t="shared" si="34"/>
        <v>Natural Factors</v>
      </c>
      <c r="J405" s="97" t="s">
        <v>128</v>
      </c>
      <c r="K405" s="29">
        <v>239.71199999999999</v>
      </c>
      <c r="L405" s="29"/>
      <c r="M405" s="30">
        <f>IFERROR(VLOOKUP($A405,HeadJournal!$A$1:$J$890,COLUMN(HeadJournal!I$1),0)*($K405+$L405)/(SUMIF($A:$A,$A405,$K:$K)+SUMIF($A:$A,$A405,$L:$L)),0)</f>
        <v>0</v>
      </c>
      <c r="N405" s="30">
        <f>IFERROR((VLOOKUP($A405,HeadJournal!$A$1:$K$890,COLUMN(HeadJournal!K$1),0)-VLOOKUP($A405,HeadJournal!$A$1:$K$890,COLUMN(HeadJournal!J$1),0))*($K405+$L405)/(SUMIF($A:$A,$A405,$K:$K)+SUMIF($A:$A,$A405,$L:$L)),0)</f>
        <v>1.8413580570218948E-13</v>
      </c>
      <c r="O405" s="30">
        <f>IFERROR((VLOOKUP($A405,HeadJournal!$A$1:$L$890,COLUMN(HeadJournal!L$1),0)*($K405+$L405)/(SUMIF($A:$A,$A405,$K:$K)+SUMIF($A:$A,$A405,$L:$L)))/VLOOKUP($A405,HeadJournal!$A$1:$L$890,COLUMN(HeadJournal!H$1),0),0)</f>
        <v>0</v>
      </c>
      <c r="P405" s="30">
        <f>IFERROR(SUM(K405:O405)*VLOOKUP($A405,HeadJournal!$A$1:$L$890,COLUMN(HeadJournal!H$1),0),0)</f>
        <v>299.64000000000021</v>
      </c>
      <c r="Q405" s="29">
        <v>900</v>
      </c>
      <c r="R405" s="31">
        <v>45352</v>
      </c>
      <c r="S405" s="31" t="s">
        <v>3121</v>
      </c>
      <c r="T405" s="95" t="str">
        <f t="shared" si="35"/>
        <v>2024 03</v>
      </c>
      <c r="U405" s="32">
        <f t="shared" si="31"/>
        <v>600.35999999999979</v>
      </c>
      <c r="V405" s="22">
        <f t="shared" si="32"/>
        <v>2.003604325190226</v>
      </c>
      <c r="X405" s="33"/>
      <c r="Y405" s="33"/>
    </row>
    <row r="406" spans="1:25" x14ac:dyDescent="0.2">
      <c r="A406" s="93" t="s">
        <v>191</v>
      </c>
      <c r="B406" s="94">
        <f>IFERROR(VLOOKUP($A406,HeadJournal!$A$1:$NTR$890,COLUMN(HeadJournal!B$1),0),"")</f>
        <v>0</v>
      </c>
      <c r="C406" s="94" t="str">
        <f>IFERROR(VLOOKUP($A406,HeadJournal!$A$1:$NTR$890,COLUMN(HeadJournal!C$1),0),"")</f>
        <v>Roman</v>
      </c>
      <c r="D406" s="125" t="str">
        <f>IFERROR(VLOOKUP($A406,HeadJournal!$A$1:$NTR$890,COLUMN(HeadJournal!D$1),0),"")</f>
        <v>Доставлен</v>
      </c>
      <c r="E406" s="95">
        <f>IFERROR(VLOOKUP($A406,HeadJournal!$A$1:$NTR$890,COLUMN(HeadJournal!G$1),0),"")</f>
        <v>44888</v>
      </c>
      <c r="F406" s="95" t="str">
        <f t="shared" si="33"/>
        <v>2022 11</v>
      </c>
      <c r="G406" s="96" t="s">
        <v>5</v>
      </c>
      <c r="H406" s="160" t="str">
        <f>RIGHT(Journal!$J406,9)</f>
        <v>NFS-01678</v>
      </c>
      <c r="I406" s="96" t="str">
        <f t="shared" si="34"/>
        <v>Natural Factors</v>
      </c>
      <c r="J406" s="97" t="s">
        <v>128</v>
      </c>
      <c r="K406" s="29">
        <v>239.71199999999999</v>
      </c>
      <c r="L406" s="29"/>
      <c r="M406" s="30">
        <f>IFERROR(VLOOKUP($A406,HeadJournal!$A$1:$J$890,COLUMN(HeadJournal!I$1),0)*($K406+$L406)/(SUMIF($A:$A,$A406,$K:$K)+SUMIF($A:$A,$A406,$L:$L)),0)</f>
        <v>0</v>
      </c>
      <c r="N406" s="30">
        <f>IFERROR((VLOOKUP($A406,HeadJournal!$A$1:$K$890,COLUMN(HeadJournal!K$1),0)-VLOOKUP($A406,HeadJournal!$A$1:$K$890,COLUMN(HeadJournal!J$1),0))*($K406+$L406)/(SUMIF($A:$A,$A406,$K:$K)+SUMIF($A:$A,$A406,$L:$L)),0)</f>
        <v>1.8413580570218948E-13</v>
      </c>
      <c r="O406" s="30">
        <f>IFERROR((VLOOKUP($A406,HeadJournal!$A$1:$L$890,COLUMN(HeadJournal!L$1),0)*($K406+$L406)/(SUMIF($A:$A,$A406,$K:$K)+SUMIF($A:$A,$A406,$L:$L)))/VLOOKUP($A406,HeadJournal!$A$1:$L$890,COLUMN(HeadJournal!H$1),0),0)</f>
        <v>0</v>
      </c>
      <c r="P406" s="30">
        <f>IFERROR(SUM(K406:O406)*VLOOKUP($A406,HeadJournal!$A$1:$L$890,COLUMN(HeadJournal!H$1),0),0)</f>
        <v>299.64000000000021</v>
      </c>
      <c r="Q406" s="29">
        <v>900</v>
      </c>
      <c r="R406" s="31">
        <v>45357</v>
      </c>
      <c r="S406" s="31" t="s">
        <v>3121</v>
      </c>
      <c r="T406" s="95" t="str">
        <f t="shared" si="35"/>
        <v>2024 03</v>
      </c>
      <c r="U406" s="32">
        <f t="shared" si="31"/>
        <v>600.35999999999979</v>
      </c>
      <c r="V406" s="22">
        <f t="shared" si="32"/>
        <v>2.003604325190226</v>
      </c>
      <c r="X406" s="33"/>
      <c r="Y406" s="33"/>
    </row>
    <row r="407" spans="1:25" x14ac:dyDescent="0.2">
      <c r="A407" s="93" t="s">
        <v>191</v>
      </c>
      <c r="B407" s="94">
        <f>IFERROR(VLOOKUP($A407,HeadJournal!$A$1:$NTR$890,COLUMN(HeadJournal!B$1),0),"")</f>
        <v>0</v>
      </c>
      <c r="C407" s="94" t="str">
        <f>IFERROR(VLOOKUP($A407,HeadJournal!$A$1:$NTR$890,COLUMN(HeadJournal!C$1),0),"")</f>
        <v>Roman</v>
      </c>
      <c r="D407" s="125" t="str">
        <f>IFERROR(VLOOKUP($A407,HeadJournal!$A$1:$NTR$890,COLUMN(HeadJournal!D$1),0),"")</f>
        <v>Доставлен</v>
      </c>
      <c r="E407" s="95">
        <f>IFERROR(VLOOKUP($A407,HeadJournal!$A$1:$NTR$890,COLUMN(HeadJournal!G$1),0),"")</f>
        <v>44888</v>
      </c>
      <c r="F407" s="95" t="str">
        <f t="shared" si="33"/>
        <v>2022 11</v>
      </c>
      <c r="G407" s="96" t="s">
        <v>5</v>
      </c>
      <c r="H407" s="160" t="str">
        <f>RIGHT(Journal!$J407,9)</f>
        <v>NFS-01678</v>
      </c>
      <c r="I407" s="96" t="str">
        <f t="shared" si="34"/>
        <v>Natural Factors</v>
      </c>
      <c r="J407" s="97" t="s">
        <v>128</v>
      </c>
      <c r="K407" s="29">
        <v>239.71199999999999</v>
      </c>
      <c r="L407" s="29"/>
      <c r="M407" s="30">
        <f>IFERROR(VLOOKUP($A407,HeadJournal!$A$1:$J$890,COLUMN(HeadJournal!I$1),0)*($K407+$L407)/(SUMIF($A:$A,$A407,$K:$K)+SUMIF($A:$A,$A407,$L:$L)),0)</f>
        <v>0</v>
      </c>
      <c r="N407" s="30">
        <f>IFERROR((VLOOKUP($A407,HeadJournal!$A$1:$K$890,COLUMN(HeadJournal!K$1),0)-VLOOKUP($A407,HeadJournal!$A$1:$K$890,COLUMN(HeadJournal!J$1),0))*($K407+$L407)/(SUMIF($A:$A,$A407,$K:$K)+SUMIF($A:$A,$A407,$L:$L)),0)</f>
        <v>1.8413580570218948E-13</v>
      </c>
      <c r="O407" s="30">
        <f>IFERROR((VLOOKUP($A407,HeadJournal!$A$1:$L$890,COLUMN(HeadJournal!L$1),0)*($K407+$L407)/(SUMIF($A:$A,$A407,$K:$K)+SUMIF($A:$A,$A407,$L:$L)))/VLOOKUP($A407,HeadJournal!$A$1:$L$890,COLUMN(HeadJournal!H$1),0),0)</f>
        <v>0</v>
      </c>
      <c r="P407" s="30">
        <f>IFERROR(SUM(K407:O407)*VLOOKUP($A407,HeadJournal!$A$1:$L$890,COLUMN(HeadJournal!H$1),0),0)</f>
        <v>299.64000000000021</v>
      </c>
      <c r="Q407" s="29">
        <v>800</v>
      </c>
      <c r="R407" s="31">
        <v>45441</v>
      </c>
      <c r="S407" s="31" t="s">
        <v>3121</v>
      </c>
      <c r="T407" s="95" t="str">
        <f t="shared" si="35"/>
        <v>2024 05</v>
      </c>
      <c r="U407" s="32">
        <f t="shared" si="31"/>
        <v>500.35999999999979</v>
      </c>
      <c r="V407" s="22">
        <f t="shared" si="32"/>
        <v>1.669870511280201</v>
      </c>
      <c r="X407" s="33"/>
      <c r="Y407" s="33"/>
    </row>
    <row r="408" spans="1:25" x14ac:dyDescent="0.2">
      <c r="A408" s="93" t="s">
        <v>191</v>
      </c>
      <c r="B408" s="94">
        <f>IFERROR(VLOOKUP($A408,HeadJournal!$A$1:$NTR$890,COLUMN(HeadJournal!B$1),0),"")</f>
        <v>0</v>
      </c>
      <c r="C408" s="94" t="str">
        <f>IFERROR(VLOOKUP($A408,HeadJournal!$A$1:$NTR$890,COLUMN(HeadJournal!C$1),0),"")</f>
        <v>Roman</v>
      </c>
      <c r="D408" s="125" t="str">
        <f>IFERROR(VLOOKUP($A408,HeadJournal!$A$1:$NTR$890,COLUMN(HeadJournal!D$1),0),"")</f>
        <v>Доставлен</v>
      </c>
      <c r="E408" s="95">
        <f>IFERROR(VLOOKUP($A408,HeadJournal!$A$1:$NTR$890,COLUMN(HeadJournal!G$1),0),"")</f>
        <v>44888</v>
      </c>
      <c r="F408" s="95" t="str">
        <f t="shared" si="33"/>
        <v>2022 11</v>
      </c>
      <c r="G408" s="96" t="s">
        <v>5</v>
      </c>
      <c r="H408" s="160" t="str">
        <f>RIGHT(Journal!$J408,9)</f>
        <v>NFS-01678</v>
      </c>
      <c r="I408" s="96" t="str">
        <f t="shared" si="34"/>
        <v>Natural Factors</v>
      </c>
      <c r="J408" s="97" t="s">
        <v>128</v>
      </c>
      <c r="K408" s="29">
        <v>239.71199999999999</v>
      </c>
      <c r="L408" s="29"/>
      <c r="M408" s="30">
        <f>IFERROR(VLOOKUP($A408,HeadJournal!$A$1:$J$890,COLUMN(HeadJournal!I$1),0)*($K408+$L408)/(SUMIF($A:$A,$A408,$K:$K)+SUMIF($A:$A,$A408,$L:$L)),0)</f>
        <v>0</v>
      </c>
      <c r="N408" s="30">
        <f>IFERROR((VLOOKUP($A408,HeadJournal!$A$1:$K$890,COLUMN(HeadJournal!K$1),0)-VLOOKUP($A408,HeadJournal!$A$1:$K$890,COLUMN(HeadJournal!J$1),0))*($K408+$L408)/(SUMIF($A:$A,$A408,$K:$K)+SUMIF($A:$A,$A408,$L:$L)),0)</f>
        <v>1.8413580570218948E-13</v>
      </c>
      <c r="O408" s="30">
        <f>IFERROR((VLOOKUP($A408,HeadJournal!$A$1:$L$890,COLUMN(HeadJournal!L$1),0)*($K408+$L408)/(SUMIF($A:$A,$A408,$K:$K)+SUMIF($A:$A,$A408,$L:$L)))/VLOOKUP($A408,HeadJournal!$A$1:$L$890,COLUMN(HeadJournal!H$1),0),0)</f>
        <v>0</v>
      </c>
      <c r="P408" s="30">
        <f>IFERROR(SUM(K408:O408)*VLOOKUP($A408,HeadJournal!$A$1:$L$890,COLUMN(HeadJournal!H$1),0),0)</f>
        <v>299.64000000000021</v>
      </c>
      <c r="Q408" s="29">
        <v>700</v>
      </c>
      <c r="R408" s="31">
        <v>45924</v>
      </c>
      <c r="S408" s="31" t="s">
        <v>3206</v>
      </c>
      <c r="T408" s="95" t="str">
        <f t="shared" si="35"/>
        <v>2025 09</v>
      </c>
      <c r="U408" s="32">
        <f t="shared" si="31"/>
        <v>400.35999999999979</v>
      </c>
      <c r="V408" s="22">
        <f t="shared" si="32"/>
        <v>1.3361366973701758</v>
      </c>
      <c r="X408" s="33"/>
      <c r="Y408" s="33"/>
    </row>
    <row r="409" spans="1:25" x14ac:dyDescent="0.2">
      <c r="A409" s="93" t="s">
        <v>191</v>
      </c>
      <c r="B409" s="94">
        <f>IFERROR(VLOOKUP($A409,HeadJournal!$A$1:$NTR$890,COLUMN(HeadJournal!B$1),0),"")</f>
        <v>0</v>
      </c>
      <c r="C409" s="94" t="str">
        <f>IFERROR(VLOOKUP($A409,HeadJournal!$A$1:$NTR$890,COLUMN(HeadJournal!C$1),0),"")</f>
        <v>Roman</v>
      </c>
      <c r="D409" s="125" t="str">
        <f>IFERROR(VLOOKUP($A409,HeadJournal!$A$1:$NTR$890,COLUMN(HeadJournal!D$1),0),"")</f>
        <v>Доставлен</v>
      </c>
      <c r="E409" s="95">
        <f>IFERROR(VLOOKUP($A409,HeadJournal!$A$1:$NTR$890,COLUMN(HeadJournal!G$1),0),"")</f>
        <v>44888</v>
      </c>
      <c r="F409" s="95" t="str">
        <f t="shared" si="33"/>
        <v>2022 11</v>
      </c>
      <c r="G409" s="96" t="s">
        <v>5</v>
      </c>
      <c r="H409" s="161" t="s">
        <v>2851</v>
      </c>
      <c r="I409" s="97" t="s">
        <v>2102</v>
      </c>
      <c r="J409" s="97" t="s">
        <v>4165</v>
      </c>
      <c r="K409" s="29">
        <v>239.71199999999999</v>
      </c>
      <c r="L409" s="29"/>
      <c r="M409" s="30">
        <f>IFERROR(VLOOKUP($A409,HeadJournal!$A$1:$J$890,COLUMN(HeadJournal!I$1),0)*($K409+$L409)/(SUMIF($A:$A,$A409,$K:$K)+SUMIF($A:$A,$A409,$L:$L)),0)</f>
        <v>0</v>
      </c>
      <c r="N409" s="30">
        <f>IFERROR((VLOOKUP($A409,HeadJournal!$A$1:$K$890,COLUMN(HeadJournal!K$1),0)-VLOOKUP($A409,HeadJournal!$A$1:$K$890,COLUMN(HeadJournal!J$1),0))*($K409+$L409)/(SUMIF($A:$A,$A409,$K:$K)+SUMIF($A:$A,$A409,$L:$L)),0)</f>
        <v>1.8413580570218948E-13</v>
      </c>
      <c r="O409" s="30">
        <f>IFERROR((VLOOKUP($A409,HeadJournal!$A$1:$L$890,COLUMN(HeadJournal!L$1),0)*($K409+$L409)/(SUMIF($A:$A,$A409,$K:$K)+SUMIF($A:$A,$A409,$L:$L)))/VLOOKUP($A409,HeadJournal!$A$1:$L$890,COLUMN(HeadJournal!H$1),0),0)</f>
        <v>0</v>
      </c>
      <c r="P409" s="30">
        <f>IFERROR(SUM(K409:O409)*VLOOKUP($A409,HeadJournal!$A$1:$L$890,COLUMN(HeadJournal!H$1),0),0)</f>
        <v>299.64000000000021</v>
      </c>
      <c r="Q409" s="29">
        <v>700</v>
      </c>
      <c r="R409" s="31">
        <v>44898</v>
      </c>
      <c r="S409" s="31" t="s">
        <v>3121</v>
      </c>
      <c r="T409" s="95" t="str">
        <f t="shared" si="35"/>
        <v>2022 12</v>
      </c>
      <c r="U409" s="32">
        <f t="shared" si="31"/>
        <v>400.35999999999979</v>
      </c>
      <c r="V409" s="22">
        <f t="shared" si="32"/>
        <v>1.3361366973701758</v>
      </c>
      <c r="X409" s="33"/>
      <c r="Y409" s="33"/>
    </row>
    <row r="410" spans="1:25" x14ac:dyDescent="0.2">
      <c r="A410" s="93" t="s">
        <v>191</v>
      </c>
      <c r="B410" s="94">
        <f>IFERROR(VLOOKUP($A410,HeadJournal!$A$1:$NTR$890,COLUMN(HeadJournal!B$1),0),"")</f>
        <v>0</v>
      </c>
      <c r="C410" s="94" t="str">
        <f>IFERROR(VLOOKUP($A410,HeadJournal!$A$1:$NTR$890,COLUMN(HeadJournal!C$1),0),"")</f>
        <v>Roman</v>
      </c>
      <c r="D410" s="125" t="str">
        <f>IFERROR(VLOOKUP($A410,HeadJournal!$A$1:$NTR$890,COLUMN(HeadJournal!D$1),0),"")</f>
        <v>Доставлен</v>
      </c>
      <c r="E410" s="95">
        <f>IFERROR(VLOOKUP($A410,HeadJournal!$A$1:$NTR$890,COLUMN(HeadJournal!G$1),0),"")</f>
        <v>44888</v>
      </c>
      <c r="F410" s="95" t="str">
        <f t="shared" si="33"/>
        <v>2022 11</v>
      </c>
      <c r="G410" s="96" t="s">
        <v>5</v>
      </c>
      <c r="H410" s="161" t="s">
        <v>2851</v>
      </c>
      <c r="I410" s="97" t="s">
        <v>2102</v>
      </c>
      <c r="J410" s="97" t="s">
        <v>4165</v>
      </c>
      <c r="K410" s="29">
        <v>239.71199999999999</v>
      </c>
      <c r="L410" s="29"/>
      <c r="M410" s="30">
        <f>IFERROR(VLOOKUP($A410,HeadJournal!$A$1:$J$890,COLUMN(HeadJournal!I$1),0)*($K410+$L410)/(SUMIF($A:$A,$A410,$K:$K)+SUMIF($A:$A,$A410,$L:$L)),0)</f>
        <v>0</v>
      </c>
      <c r="N410" s="30">
        <f>IFERROR((VLOOKUP($A410,HeadJournal!$A$1:$K$890,COLUMN(HeadJournal!K$1),0)-VLOOKUP($A410,HeadJournal!$A$1:$K$890,COLUMN(HeadJournal!J$1),0))*($K410+$L410)/(SUMIF($A:$A,$A410,$K:$K)+SUMIF($A:$A,$A410,$L:$L)),0)</f>
        <v>1.8413580570218948E-13</v>
      </c>
      <c r="O410" s="30">
        <f>IFERROR((VLOOKUP($A410,HeadJournal!$A$1:$L$890,COLUMN(HeadJournal!L$1),0)*($K410+$L410)/(SUMIF($A:$A,$A410,$K:$K)+SUMIF($A:$A,$A410,$L:$L)))/VLOOKUP($A410,HeadJournal!$A$1:$L$890,COLUMN(HeadJournal!H$1),0),0)</f>
        <v>0</v>
      </c>
      <c r="P410" s="30">
        <f>IFERROR(SUM(K410:O410)*VLOOKUP($A410,HeadJournal!$A$1:$L$890,COLUMN(HeadJournal!H$1),0),0)</f>
        <v>299.64000000000021</v>
      </c>
      <c r="Q410" s="29">
        <v>750</v>
      </c>
      <c r="R410" s="31">
        <v>44973</v>
      </c>
      <c r="S410" s="31" t="s">
        <v>3121</v>
      </c>
      <c r="T410" s="95" t="str">
        <f t="shared" si="35"/>
        <v>2023 02</v>
      </c>
      <c r="U410" s="32">
        <f t="shared" si="31"/>
        <v>450.35999999999979</v>
      </c>
      <c r="V410" s="22">
        <f t="shared" si="32"/>
        <v>1.5030036043251884</v>
      </c>
      <c r="X410" s="33"/>
      <c r="Y410" s="33"/>
    </row>
    <row r="411" spans="1:25" x14ac:dyDescent="0.2">
      <c r="A411" s="93" t="s">
        <v>191</v>
      </c>
      <c r="B411" s="94">
        <f>IFERROR(VLOOKUP($A411,HeadJournal!$A$1:$NTR$890,COLUMN(HeadJournal!B$1),0),"")</f>
        <v>0</v>
      </c>
      <c r="C411" s="94" t="str">
        <f>IFERROR(VLOOKUP($A411,HeadJournal!$A$1:$NTR$890,COLUMN(HeadJournal!C$1),0),"")</f>
        <v>Roman</v>
      </c>
      <c r="D411" s="125" t="str">
        <f>IFERROR(VLOOKUP($A411,HeadJournal!$A$1:$NTR$890,COLUMN(HeadJournal!D$1),0),"")</f>
        <v>Доставлен</v>
      </c>
      <c r="E411" s="95">
        <f>IFERROR(VLOOKUP($A411,HeadJournal!$A$1:$NTR$890,COLUMN(HeadJournal!G$1),0),"")</f>
        <v>44888</v>
      </c>
      <c r="F411" s="95" t="str">
        <f t="shared" si="33"/>
        <v>2022 11</v>
      </c>
      <c r="G411" s="96" t="s">
        <v>5</v>
      </c>
      <c r="H411" s="161" t="s">
        <v>2851</v>
      </c>
      <c r="I411" s="97" t="s">
        <v>2102</v>
      </c>
      <c r="J411" s="97" t="s">
        <v>4165</v>
      </c>
      <c r="K411" s="29">
        <v>239.71199999999999</v>
      </c>
      <c r="L411" s="29"/>
      <c r="M411" s="30">
        <f>IFERROR(VLOOKUP($A411,HeadJournal!$A$1:$J$890,COLUMN(HeadJournal!I$1),0)*($K411+$L411)/(SUMIF($A:$A,$A411,$K:$K)+SUMIF($A:$A,$A411,$L:$L)),0)</f>
        <v>0</v>
      </c>
      <c r="N411" s="30">
        <f>IFERROR((VLOOKUP($A411,HeadJournal!$A$1:$K$890,COLUMN(HeadJournal!K$1),0)-VLOOKUP($A411,HeadJournal!$A$1:$K$890,COLUMN(HeadJournal!J$1),0))*($K411+$L411)/(SUMIF($A:$A,$A411,$K:$K)+SUMIF($A:$A,$A411,$L:$L)),0)</f>
        <v>1.8413580570218948E-13</v>
      </c>
      <c r="O411" s="30">
        <f>IFERROR((VLOOKUP($A411,HeadJournal!$A$1:$L$890,COLUMN(HeadJournal!L$1),0)*($K411+$L411)/(SUMIF($A:$A,$A411,$K:$K)+SUMIF($A:$A,$A411,$L:$L)))/VLOOKUP($A411,HeadJournal!$A$1:$L$890,COLUMN(HeadJournal!H$1),0),0)</f>
        <v>0</v>
      </c>
      <c r="P411" s="30">
        <f>IFERROR(SUM(K411:O411)*VLOOKUP($A411,HeadJournal!$A$1:$L$890,COLUMN(HeadJournal!H$1),0),0)</f>
        <v>299.64000000000021</v>
      </c>
      <c r="Q411" s="29">
        <v>700</v>
      </c>
      <c r="R411" s="31">
        <v>45003</v>
      </c>
      <c r="S411" s="31" t="s">
        <v>3121</v>
      </c>
      <c r="T411" s="95" t="str">
        <f t="shared" si="35"/>
        <v>2023 03</v>
      </c>
      <c r="U411" s="32">
        <f t="shared" si="31"/>
        <v>400.35999999999979</v>
      </c>
      <c r="V411" s="22">
        <f t="shared" si="32"/>
        <v>1.3361366973701758</v>
      </c>
      <c r="X411" s="33"/>
      <c r="Y411" s="33"/>
    </row>
    <row r="412" spans="1:25" x14ac:dyDescent="0.2">
      <c r="A412" s="93" t="s">
        <v>191</v>
      </c>
      <c r="B412" s="94">
        <f>IFERROR(VLOOKUP($A412,HeadJournal!$A$1:$NTR$890,COLUMN(HeadJournal!B$1),0),"")</f>
        <v>0</v>
      </c>
      <c r="C412" s="94" t="str">
        <f>IFERROR(VLOOKUP($A412,HeadJournal!$A$1:$NTR$890,COLUMN(HeadJournal!C$1),0),"")</f>
        <v>Roman</v>
      </c>
      <c r="D412" s="125" t="str">
        <f>IFERROR(VLOOKUP($A412,HeadJournal!$A$1:$NTR$890,COLUMN(HeadJournal!D$1),0),"")</f>
        <v>Доставлен</v>
      </c>
      <c r="E412" s="95">
        <f>IFERROR(VLOOKUP($A412,HeadJournal!$A$1:$NTR$890,COLUMN(HeadJournal!G$1),0),"")</f>
        <v>44888</v>
      </c>
      <c r="F412" s="95" t="str">
        <f t="shared" si="33"/>
        <v>2022 11</v>
      </c>
      <c r="G412" s="96" t="s">
        <v>5</v>
      </c>
      <c r="H412" s="161" t="s">
        <v>2851</v>
      </c>
      <c r="I412" s="97" t="s">
        <v>2102</v>
      </c>
      <c r="J412" s="97" t="s">
        <v>4165</v>
      </c>
      <c r="K412" s="29">
        <v>239.71199999999999</v>
      </c>
      <c r="L412" s="29"/>
      <c r="M412" s="30">
        <f>IFERROR(VLOOKUP($A412,HeadJournal!$A$1:$J$890,COLUMN(HeadJournal!I$1),0)*($K412+$L412)/(SUMIF($A:$A,$A412,$K:$K)+SUMIF($A:$A,$A412,$L:$L)),0)</f>
        <v>0</v>
      </c>
      <c r="N412" s="30">
        <f>IFERROR((VLOOKUP($A412,HeadJournal!$A$1:$K$890,COLUMN(HeadJournal!K$1),0)-VLOOKUP($A412,HeadJournal!$A$1:$K$890,COLUMN(HeadJournal!J$1),0))*($K412+$L412)/(SUMIF($A:$A,$A412,$K:$K)+SUMIF($A:$A,$A412,$L:$L)),0)</f>
        <v>1.8413580570218948E-13</v>
      </c>
      <c r="O412" s="30">
        <f>IFERROR((VLOOKUP($A412,HeadJournal!$A$1:$L$890,COLUMN(HeadJournal!L$1),0)*($K412+$L412)/(SUMIF($A:$A,$A412,$K:$K)+SUMIF($A:$A,$A412,$L:$L)))/VLOOKUP($A412,HeadJournal!$A$1:$L$890,COLUMN(HeadJournal!H$1),0),0)</f>
        <v>0</v>
      </c>
      <c r="P412" s="30">
        <f>IFERROR(SUM(K412:O412)*VLOOKUP($A412,HeadJournal!$A$1:$L$890,COLUMN(HeadJournal!H$1),0),0)</f>
        <v>299.64000000000021</v>
      </c>
      <c r="Q412" s="29">
        <v>750</v>
      </c>
      <c r="R412" s="31">
        <v>45175</v>
      </c>
      <c r="S412" s="31" t="s">
        <v>3121</v>
      </c>
      <c r="T412" s="95" t="str">
        <f t="shared" si="35"/>
        <v>2023 09</v>
      </c>
      <c r="U412" s="32">
        <f t="shared" si="31"/>
        <v>450.35999999999979</v>
      </c>
      <c r="V412" s="22">
        <f t="shared" si="32"/>
        <v>1.5030036043251884</v>
      </c>
      <c r="X412" s="33"/>
      <c r="Y412" s="33"/>
    </row>
    <row r="413" spans="1:25" x14ac:dyDescent="0.2">
      <c r="A413" s="93" t="s">
        <v>191</v>
      </c>
      <c r="B413" s="94">
        <f>IFERROR(VLOOKUP($A413,HeadJournal!$A$1:$NTR$890,COLUMN(HeadJournal!B$1),0),"")</f>
        <v>0</v>
      </c>
      <c r="C413" s="94" t="str">
        <f>IFERROR(VLOOKUP($A413,HeadJournal!$A$1:$NTR$890,COLUMN(HeadJournal!C$1),0),"")</f>
        <v>Roman</v>
      </c>
      <c r="D413" s="125" t="str">
        <f>IFERROR(VLOOKUP($A413,HeadJournal!$A$1:$NTR$890,COLUMN(HeadJournal!D$1),0),"")</f>
        <v>Доставлен</v>
      </c>
      <c r="E413" s="95">
        <f>IFERROR(VLOOKUP($A413,HeadJournal!$A$1:$NTR$890,COLUMN(HeadJournal!G$1),0),"")</f>
        <v>44888</v>
      </c>
      <c r="F413" s="95" t="str">
        <f t="shared" si="33"/>
        <v>2022 11</v>
      </c>
      <c r="G413" s="96" t="s">
        <v>5</v>
      </c>
      <c r="H413" s="161" t="s">
        <v>2851</v>
      </c>
      <c r="I413" s="97" t="s">
        <v>2102</v>
      </c>
      <c r="J413" s="97" t="s">
        <v>4165</v>
      </c>
      <c r="K413" s="29">
        <v>239.71199999999999</v>
      </c>
      <c r="L413" s="29"/>
      <c r="M413" s="30">
        <f>IFERROR(VLOOKUP($A413,HeadJournal!$A$1:$J$890,COLUMN(HeadJournal!I$1),0)*($K413+$L413)/(SUMIF($A:$A,$A413,$K:$K)+SUMIF($A:$A,$A413,$L:$L)),0)</f>
        <v>0</v>
      </c>
      <c r="N413" s="30">
        <f>IFERROR((VLOOKUP($A413,HeadJournal!$A$1:$K$890,COLUMN(HeadJournal!K$1),0)-VLOOKUP($A413,HeadJournal!$A$1:$K$890,COLUMN(HeadJournal!J$1),0))*($K413+$L413)/(SUMIF($A:$A,$A413,$K:$K)+SUMIF($A:$A,$A413,$L:$L)),0)</f>
        <v>1.8413580570218948E-13</v>
      </c>
      <c r="O413" s="30">
        <f>IFERROR((VLOOKUP($A413,HeadJournal!$A$1:$L$890,COLUMN(HeadJournal!L$1),0)*($K413+$L413)/(SUMIF($A:$A,$A413,$K:$K)+SUMIF($A:$A,$A413,$L:$L)))/VLOOKUP($A413,HeadJournal!$A$1:$L$890,COLUMN(HeadJournal!H$1),0),0)</f>
        <v>0</v>
      </c>
      <c r="P413" s="30">
        <f>IFERROR(SUM(K413:O413)*VLOOKUP($A413,HeadJournal!$A$1:$L$890,COLUMN(HeadJournal!H$1),0),0)</f>
        <v>299.64000000000021</v>
      </c>
      <c r="Q413" s="29">
        <v>750</v>
      </c>
      <c r="R413" s="31">
        <v>45175</v>
      </c>
      <c r="S413" s="31" t="s">
        <v>3121</v>
      </c>
      <c r="T413" s="95" t="str">
        <f t="shared" si="35"/>
        <v>2023 09</v>
      </c>
      <c r="U413" s="32">
        <f t="shared" si="31"/>
        <v>450.35999999999979</v>
      </c>
      <c r="V413" s="22">
        <f t="shared" si="32"/>
        <v>1.5030036043251884</v>
      </c>
      <c r="X413" s="33"/>
      <c r="Y413" s="33"/>
    </row>
    <row r="414" spans="1:25" x14ac:dyDescent="0.2">
      <c r="A414" s="93" t="s">
        <v>191</v>
      </c>
      <c r="B414" s="94">
        <f>IFERROR(VLOOKUP($A414,HeadJournal!$A$1:$NTR$890,COLUMN(HeadJournal!B$1),0),"")</f>
        <v>0</v>
      </c>
      <c r="C414" s="94" t="str">
        <f>IFERROR(VLOOKUP($A414,HeadJournal!$A$1:$NTR$890,COLUMN(HeadJournal!C$1),0),"")</f>
        <v>Roman</v>
      </c>
      <c r="D414" s="125" t="str">
        <f>IFERROR(VLOOKUP($A414,HeadJournal!$A$1:$NTR$890,COLUMN(HeadJournal!D$1),0),"")</f>
        <v>Доставлен</v>
      </c>
      <c r="E414" s="95">
        <f>IFERROR(VLOOKUP($A414,HeadJournal!$A$1:$NTR$890,COLUMN(HeadJournal!G$1),0),"")</f>
        <v>44888</v>
      </c>
      <c r="F414" s="95" t="str">
        <f t="shared" si="33"/>
        <v>2022 11</v>
      </c>
      <c r="G414" s="96" t="s">
        <v>7</v>
      </c>
      <c r="H414" s="175" t="s">
        <v>3640</v>
      </c>
      <c r="I414" s="176" t="s">
        <v>3685</v>
      </c>
      <c r="J414" s="97" t="s">
        <v>3686</v>
      </c>
      <c r="K414" s="29">
        <v>420.64</v>
      </c>
      <c r="L414" s="29"/>
      <c r="M414" s="30">
        <f>IFERROR(VLOOKUP($A414,HeadJournal!$A$1:$J$890,COLUMN(HeadJournal!I$1),0)*($K414+$L414)/(SUMIF($A:$A,$A414,$K:$K)+SUMIF($A:$A,$A414,$L:$L)),0)</f>
        <v>0</v>
      </c>
      <c r="N414" s="30">
        <f>IFERROR((VLOOKUP($A414,HeadJournal!$A$1:$K$890,COLUMN(HeadJournal!K$1),0)-VLOOKUP($A414,HeadJournal!$A$1:$K$890,COLUMN(HeadJournal!J$1),0))*($K414+$L414)/(SUMIF($A:$A,$A414,$K:$K)+SUMIF($A:$A,$A414,$L:$L)),0)</f>
        <v>3.2311642850824731E-13</v>
      </c>
      <c r="O414" s="30">
        <f>IFERROR((VLOOKUP($A414,HeadJournal!$A$1:$L$890,COLUMN(HeadJournal!L$1),0)*($K414+$L414)/(SUMIF($A:$A,$A414,$K:$K)+SUMIF($A:$A,$A414,$L:$L)))/VLOOKUP($A414,HeadJournal!$A$1:$L$890,COLUMN(HeadJournal!H$1),0),0)</f>
        <v>0</v>
      </c>
      <c r="P414" s="30">
        <f>IFERROR(SUM(K414:O414)*VLOOKUP($A414,HeadJournal!$A$1:$L$890,COLUMN(HeadJournal!H$1),0),0)</f>
        <v>525.80000000000041</v>
      </c>
      <c r="Q414" s="29">
        <v>1000</v>
      </c>
      <c r="R414" s="31">
        <v>44894</v>
      </c>
      <c r="S414" s="31" t="s">
        <v>3121</v>
      </c>
      <c r="T414" s="95" t="str">
        <f t="shared" si="35"/>
        <v>2022 11</v>
      </c>
      <c r="U414" s="32">
        <f t="shared" si="31"/>
        <v>474.19999999999959</v>
      </c>
      <c r="V414" s="22">
        <f t="shared" si="32"/>
        <v>0.90186382655001751</v>
      </c>
      <c r="X414" s="33"/>
      <c r="Y414" s="33"/>
    </row>
    <row r="415" spans="1:25" x14ac:dyDescent="0.2">
      <c r="A415" s="93" t="s">
        <v>191</v>
      </c>
      <c r="B415" s="94">
        <f>IFERROR(VLOOKUP($A415,HeadJournal!$A$1:$NTR$890,COLUMN(HeadJournal!B$1),0),"")</f>
        <v>0</v>
      </c>
      <c r="C415" s="94" t="str">
        <f>IFERROR(VLOOKUP($A415,HeadJournal!$A$1:$NTR$890,COLUMN(HeadJournal!C$1),0),"")</f>
        <v>Roman</v>
      </c>
      <c r="D415" s="125" t="str">
        <f>IFERROR(VLOOKUP($A415,HeadJournal!$A$1:$NTR$890,COLUMN(HeadJournal!D$1),0),"")</f>
        <v>Доставлен</v>
      </c>
      <c r="E415" s="95">
        <f>IFERROR(VLOOKUP($A415,HeadJournal!$A$1:$NTR$890,COLUMN(HeadJournal!G$1),0),"")</f>
        <v>44888</v>
      </c>
      <c r="F415" s="95" t="str">
        <f t="shared" si="33"/>
        <v>2022 11</v>
      </c>
      <c r="G415" s="96" t="s">
        <v>7</v>
      </c>
      <c r="H415" s="175" t="s">
        <v>3640</v>
      </c>
      <c r="I415" s="176" t="s">
        <v>3685</v>
      </c>
      <c r="J415" s="97" t="s">
        <v>3686</v>
      </c>
      <c r="K415" s="29">
        <v>420.64</v>
      </c>
      <c r="L415" s="29"/>
      <c r="M415" s="30">
        <f>IFERROR(VLOOKUP($A415,HeadJournal!$A$1:$J$890,COLUMN(HeadJournal!I$1),0)*($K415+$L415)/(SUMIF($A:$A,$A415,$K:$K)+SUMIF($A:$A,$A415,$L:$L)),0)</f>
        <v>0</v>
      </c>
      <c r="N415" s="30">
        <f>IFERROR((VLOOKUP($A415,HeadJournal!$A$1:$K$890,COLUMN(HeadJournal!K$1),0)-VLOOKUP($A415,HeadJournal!$A$1:$K$890,COLUMN(HeadJournal!J$1),0))*($K415+$L415)/(SUMIF($A:$A,$A415,$K:$K)+SUMIF($A:$A,$A415,$L:$L)),0)</f>
        <v>3.2311642850824731E-13</v>
      </c>
      <c r="O415" s="30">
        <f>IFERROR((VLOOKUP($A415,HeadJournal!$A$1:$L$890,COLUMN(HeadJournal!L$1),0)*($K415+$L415)/(SUMIF($A:$A,$A415,$K:$K)+SUMIF($A:$A,$A415,$L:$L)))/VLOOKUP($A415,HeadJournal!$A$1:$L$890,COLUMN(HeadJournal!H$1),0),0)</f>
        <v>0</v>
      </c>
      <c r="P415" s="30">
        <f>IFERROR(SUM(K415:O415)*VLOOKUP($A415,HeadJournal!$A$1:$L$890,COLUMN(HeadJournal!H$1),0),0)</f>
        <v>525.80000000000041</v>
      </c>
      <c r="Q415" s="29">
        <v>800</v>
      </c>
      <c r="R415" s="31">
        <v>44898</v>
      </c>
      <c r="S415" s="31" t="s">
        <v>3121</v>
      </c>
      <c r="T415" s="95" t="str">
        <f t="shared" si="35"/>
        <v>2022 12</v>
      </c>
      <c r="U415" s="32">
        <f t="shared" si="31"/>
        <v>274.19999999999959</v>
      </c>
      <c r="V415" s="22">
        <f t="shared" si="32"/>
        <v>0.52149106124001399</v>
      </c>
      <c r="X415" s="33"/>
      <c r="Y415" s="33"/>
    </row>
    <row r="416" spans="1:25" x14ac:dyDescent="0.2">
      <c r="A416" s="93" t="s">
        <v>191</v>
      </c>
      <c r="B416" s="94">
        <f>IFERROR(VLOOKUP($A416,HeadJournal!$A$1:$NTR$890,COLUMN(HeadJournal!B$1),0),"")</f>
        <v>0</v>
      </c>
      <c r="C416" s="94" t="str">
        <f>IFERROR(VLOOKUP($A416,HeadJournal!$A$1:$NTR$890,COLUMN(HeadJournal!C$1),0),"")</f>
        <v>Roman</v>
      </c>
      <c r="D416" s="125" t="str">
        <f>IFERROR(VLOOKUP($A416,HeadJournal!$A$1:$NTR$890,COLUMN(HeadJournal!D$1),0),"")</f>
        <v>Доставлен</v>
      </c>
      <c r="E416" s="95">
        <f>IFERROR(VLOOKUP($A416,HeadJournal!$A$1:$NTR$890,COLUMN(HeadJournal!G$1),0),"")</f>
        <v>44888</v>
      </c>
      <c r="F416" s="95" t="str">
        <f t="shared" si="33"/>
        <v>2022 11</v>
      </c>
      <c r="G416" s="96" t="s">
        <v>7</v>
      </c>
      <c r="H416" s="175" t="s">
        <v>3640</v>
      </c>
      <c r="I416" s="176" t="s">
        <v>3685</v>
      </c>
      <c r="J416" s="97" t="s">
        <v>3686</v>
      </c>
      <c r="K416" s="29">
        <v>420.64</v>
      </c>
      <c r="L416" s="29"/>
      <c r="M416" s="30">
        <f>IFERROR(VLOOKUP($A416,HeadJournal!$A$1:$J$890,COLUMN(HeadJournal!I$1),0)*($K416+$L416)/(SUMIF($A:$A,$A416,$K:$K)+SUMIF($A:$A,$A416,$L:$L)),0)</f>
        <v>0</v>
      </c>
      <c r="N416" s="30">
        <f>IFERROR((VLOOKUP($A416,HeadJournal!$A$1:$K$890,COLUMN(HeadJournal!K$1),0)-VLOOKUP($A416,HeadJournal!$A$1:$K$890,COLUMN(HeadJournal!J$1),0))*($K416+$L416)/(SUMIF($A:$A,$A416,$K:$K)+SUMIF($A:$A,$A416,$L:$L)),0)</f>
        <v>3.2311642850824731E-13</v>
      </c>
      <c r="O416" s="30">
        <f>IFERROR((VLOOKUP($A416,HeadJournal!$A$1:$L$890,COLUMN(HeadJournal!L$1),0)*($K416+$L416)/(SUMIF($A:$A,$A416,$K:$K)+SUMIF($A:$A,$A416,$L:$L)))/VLOOKUP($A416,HeadJournal!$A$1:$L$890,COLUMN(HeadJournal!H$1),0),0)</f>
        <v>0</v>
      </c>
      <c r="P416" s="30">
        <f>IFERROR(SUM(K416:O416)*VLOOKUP($A416,HeadJournal!$A$1:$L$890,COLUMN(HeadJournal!H$1),0),0)</f>
        <v>525.80000000000041</v>
      </c>
      <c r="Q416" s="29">
        <v>900</v>
      </c>
      <c r="R416" s="31">
        <v>44921</v>
      </c>
      <c r="S416" s="31" t="s">
        <v>3121</v>
      </c>
      <c r="T416" s="95" t="str">
        <f t="shared" si="35"/>
        <v>2022 12</v>
      </c>
      <c r="U416" s="32">
        <f t="shared" si="31"/>
        <v>374.19999999999959</v>
      </c>
      <c r="V416" s="22">
        <f t="shared" si="32"/>
        <v>0.71167744389501575</v>
      </c>
      <c r="X416" s="33"/>
      <c r="Y416" s="33"/>
    </row>
    <row r="417" spans="1:25" x14ac:dyDescent="0.2">
      <c r="A417" s="93" t="s">
        <v>191</v>
      </c>
      <c r="B417" s="94">
        <f>IFERROR(VLOOKUP($A417,HeadJournal!$A$1:$NTR$890,COLUMN(HeadJournal!B$1),0),"")</f>
        <v>0</v>
      </c>
      <c r="C417" s="94" t="str">
        <f>IFERROR(VLOOKUP($A417,HeadJournal!$A$1:$NTR$890,COLUMN(HeadJournal!C$1),0),"")</f>
        <v>Roman</v>
      </c>
      <c r="D417" s="125" t="str">
        <f>IFERROR(VLOOKUP($A417,HeadJournal!$A$1:$NTR$890,COLUMN(HeadJournal!D$1),0),"")</f>
        <v>Доставлен</v>
      </c>
      <c r="E417" s="95">
        <f>IFERROR(VLOOKUP($A417,HeadJournal!$A$1:$NTR$890,COLUMN(HeadJournal!G$1),0),"")</f>
        <v>44888</v>
      </c>
      <c r="F417" s="95" t="str">
        <f t="shared" si="33"/>
        <v>2022 11</v>
      </c>
      <c r="G417" s="96" t="s">
        <v>7</v>
      </c>
      <c r="H417" s="175" t="s">
        <v>3640</v>
      </c>
      <c r="I417" s="176" t="s">
        <v>3685</v>
      </c>
      <c r="J417" s="97" t="s">
        <v>3686</v>
      </c>
      <c r="K417" s="29">
        <v>420.64</v>
      </c>
      <c r="L417" s="29"/>
      <c r="M417" s="30">
        <f>IFERROR(VLOOKUP($A417,HeadJournal!$A$1:$J$890,COLUMN(HeadJournal!I$1),0)*($K417+$L417)/(SUMIF($A:$A,$A417,$K:$K)+SUMIF($A:$A,$A417,$L:$L)),0)</f>
        <v>0</v>
      </c>
      <c r="N417" s="30">
        <f>IFERROR((VLOOKUP($A417,HeadJournal!$A$1:$K$890,COLUMN(HeadJournal!K$1),0)-VLOOKUP($A417,HeadJournal!$A$1:$K$890,COLUMN(HeadJournal!J$1),0))*($K417+$L417)/(SUMIF($A:$A,$A417,$K:$K)+SUMIF($A:$A,$A417,$L:$L)),0)</f>
        <v>3.2311642850824731E-13</v>
      </c>
      <c r="O417" s="30">
        <f>IFERROR((VLOOKUP($A417,HeadJournal!$A$1:$L$890,COLUMN(HeadJournal!L$1),0)*($K417+$L417)/(SUMIF($A:$A,$A417,$K:$K)+SUMIF($A:$A,$A417,$L:$L)))/VLOOKUP($A417,HeadJournal!$A$1:$L$890,COLUMN(HeadJournal!H$1),0),0)</f>
        <v>0</v>
      </c>
      <c r="P417" s="30">
        <f>IFERROR(SUM(K417:O417)*VLOOKUP($A417,HeadJournal!$A$1:$L$890,COLUMN(HeadJournal!H$1),0),0)</f>
        <v>525.80000000000041</v>
      </c>
      <c r="Q417" s="29">
        <v>1000</v>
      </c>
      <c r="R417" s="31">
        <v>44930</v>
      </c>
      <c r="S417" s="31" t="s">
        <v>3121</v>
      </c>
      <c r="T417" s="95" t="str">
        <f t="shared" si="35"/>
        <v>2023 01</v>
      </c>
      <c r="U417" s="32">
        <f t="shared" si="31"/>
        <v>474.19999999999959</v>
      </c>
      <c r="V417" s="22">
        <f t="shared" si="32"/>
        <v>0.90186382655001751</v>
      </c>
      <c r="X417" s="33"/>
      <c r="Y417" s="33"/>
    </row>
    <row r="418" spans="1:25" x14ac:dyDescent="0.2">
      <c r="A418" s="93" t="s">
        <v>191</v>
      </c>
      <c r="B418" s="94">
        <f>IFERROR(VLOOKUP($A418,HeadJournal!$A$1:$NTR$890,COLUMN(HeadJournal!B$1),0),"")</f>
        <v>0</v>
      </c>
      <c r="C418" s="94" t="str">
        <f>IFERROR(VLOOKUP($A418,HeadJournal!$A$1:$NTR$890,COLUMN(HeadJournal!C$1),0),"")</f>
        <v>Roman</v>
      </c>
      <c r="D418" s="125" t="str">
        <f>IFERROR(VLOOKUP($A418,HeadJournal!$A$1:$NTR$890,COLUMN(HeadJournal!D$1),0),"")</f>
        <v>Доставлен</v>
      </c>
      <c r="E418" s="95">
        <f>IFERROR(VLOOKUP($A418,HeadJournal!$A$1:$NTR$890,COLUMN(HeadJournal!G$1),0),"")</f>
        <v>44888</v>
      </c>
      <c r="F418" s="95" t="str">
        <f t="shared" si="33"/>
        <v>2022 11</v>
      </c>
      <c r="G418" s="96" t="s">
        <v>7</v>
      </c>
      <c r="H418" s="175" t="s">
        <v>3640</v>
      </c>
      <c r="I418" s="176" t="s">
        <v>3685</v>
      </c>
      <c r="J418" s="97" t="s">
        <v>3686</v>
      </c>
      <c r="K418" s="29">
        <v>420.64</v>
      </c>
      <c r="L418" s="29"/>
      <c r="M418" s="30">
        <f>IFERROR(VLOOKUP($A418,HeadJournal!$A$1:$J$890,COLUMN(HeadJournal!I$1),0)*($K418+$L418)/(SUMIF($A:$A,$A418,$K:$K)+SUMIF($A:$A,$A418,$L:$L)),0)</f>
        <v>0</v>
      </c>
      <c r="N418" s="30">
        <f>IFERROR((VLOOKUP($A418,HeadJournal!$A$1:$K$890,COLUMN(HeadJournal!K$1),0)-VLOOKUP($A418,HeadJournal!$A$1:$K$890,COLUMN(HeadJournal!J$1),0))*($K418+$L418)/(SUMIF($A:$A,$A418,$K:$K)+SUMIF($A:$A,$A418,$L:$L)),0)</f>
        <v>3.2311642850824731E-13</v>
      </c>
      <c r="O418" s="30">
        <f>IFERROR((VLOOKUP($A418,HeadJournal!$A$1:$L$890,COLUMN(HeadJournal!L$1),0)*($K418+$L418)/(SUMIF($A:$A,$A418,$K:$K)+SUMIF($A:$A,$A418,$L:$L)))/VLOOKUP($A418,HeadJournal!$A$1:$L$890,COLUMN(HeadJournal!H$1),0),0)</f>
        <v>0</v>
      </c>
      <c r="P418" s="30">
        <f>IFERROR(SUM(K418:O418)*VLOOKUP($A418,HeadJournal!$A$1:$L$890,COLUMN(HeadJournal!H$1),0),0)</f>
        <v>525.80000000000041</v>
      </c>
      <c r="Q418" s="29">
        <v>1000</v>
      </c>
      <c r="R418" s="31">
        <v>44978</v>
      </c>
      <c r="S418" s="31" t="s">
        <v>3121</v>
      </c>
      <c r="T418" s="95" t="str">
        <f t="shared" si="35"/>
        <v>2023 02</v>
      </c>
      <c r="U418" s="32">
        <f t="shared" si="31"/>
        <v>474.19999999999959</v>
      </c>
      <c r="V418" s="22">
        <f t="shared" si="32"/>
        <v>0.90186382655001751</v>
      </c>
      <c r="X418" s="33"/>
      <c r="Y418" s="33"/>
    </row>
    <row r="419" spans="1:25" x14ac:dyDescent="0.2">
      <c r="A419" s="93" t="s">
        <v>191</v>
      </c>
      <c r="B419" s="94">
        <f>IFERROR(VLOOKUP($A419,HeadJournal!$A$1:$NTR$890,COLUMN(HeadJournal!B$1),0),"")</f>
        <v>0</v>
      </c>
      <c r="C419" s="94" t="str">
        <f>IFERROR(VLOOKUP($A419,HeadJournal!$A$1:$NTR$890,COLUMN(HeadJournal!C$1),0),"")</f>
        <v>Roman</v>
      </c>
      <c r="D419" s="125" t="str">
        <f>IFERROR(VLOOKUP($A419,HeadJournal!$A$1:$NTR$890,COLUMN(HeadJournal!D$1),0),"")</f>
        <v>Доставлен</v>
      </c>
      <c r="E419" s="95">
        <f>IFERROR(VLOOKUP($A419,HeadJournal!$A$1:$NTR$890,COLUMN(HeadJournal!G$1),0),"")</f>
        <v>44888</v>
      </c>
      <c r="F419" s="95" t="str">
        <f t="shared" si="33"/>
        <v>2022 11</v>
      </c>
      <c r="G419" s="96" t="s">
        <v>5</v>
      </c>
      <c r="H419" s="161" t="s">
        <v>2696</v>
      </c>
      <c r="I419" s="97" t="s">
        <v>2052</v>
      </c>
      <c r="J419" s="97" t="s">
        <v>2697</v>
      </c>
      <c r="K419" s="29">
        <v>14.88</v>
      </c>
      <c r="L419" s="29"/>
      <c r="M419" s="30">
        <f>IFERROR(VLOOKUP($A419,HeadJournal!$A$1:$J$890,COLUMN(HeadJournal!I$1),0)*($K419+$L419)/(SUMIF($A:$A,$A419,$K:$K)+SUMIF($A:$A,$A419,$L:$L)),0)</f>
        <v>0</v>
      </c>
      <c r="N419" s="30">
        <f>IFERROR((VLOOKUP($A419,HeadJournal!$A$1:$K$890,COLUMN(HeadJournal!K$1),0)-VLOOKUP($A419,HeadJournal!$A$1:$K$890,COLUMN(HeadJournal!J$1),0))*($K419+$L419)/(SUMIF($A:$A,$A419,$K:$K)+SUMIF($A:$A,$A419,$L:$L)),0)</f>
        <v>1.1430136116875999E-14</v>
      </c>
      <c r="O419" s="30">
        <f>IFERROR((VLOOKUP($A419,HeadJournal!$A$1:$L$890,COLUMN(HeadJournal!L$1),0)*($K419+$L419)/(SUMIF($A:$A,$A419,$K:$K)+SUMIF($A:$A,$A419,$L:$L)))/VLOOKUP($A419,HeadJournal!$A$1:$L$890,COLUMN(HeadJournal!H$1),0),0)</f>
        <v>0</v>
      </c>
      <c r="P419" s="30">
        <f>IFERROR(SUM(K419:O419)*VLOOKUP($A419,HeadJournal!$A$1:$L$890,COLUMN(HeadJournal!H$1),0),0)</f>
        <v>18.600000000000016</v>
      </c>
      <c r="Q419" s="29">
        <v>900</v>
      </c>
      <c r="R419" s="31">
        <v>44998</v>
      </c>
      <c r="S419" s="31" t="s">
        <v>3121</v>
      </c>
      <c r="T419" s="95" t="str">
        <f t="shared" si="35"/>
        <v>2023 03</v>
      </c>
      <c r="U419" s="32">
        <f t="shared" si="31"/>
        <v>881.4</v>
      </c>
      <c r="V419" s="22">
        <f t="shared" si="32"/>
        <v>47.387096774193509</v>
      </c>
      <c r="X419" s="33"/>
      <c r="Y419" s="33"/>
    </row>
    <row r="420" spans="1:25" x14ac:dyDescent="0.2">
      <c r="A420" s="93" t="s">
        <v>192</v>
      </c>
      <c r="B420" s="94" t="str">
        <f>IFERROR(VLOOKUP($A420,HeadJournal!$A$1:$NTR$890,COLUMN(HeadJournal!B$1),0),"")</f>
        <v>922332066-0</v>
      </c>
      <c r="C420" s="94" t="str">
        <f>IFERROR(VLOOKUP($A420,HeadJournal!$A$1:$NTR$890,COLUMN(HeadJournal!C$1),0),"")</f>
        <v>iHerb_AV CYG0792</v>
      </c>
      <c r="D420" s="125" t="str">
        <f>IFERROR(VLOOKUP($A420,HeadJournal!$A$1:$NTR$890,COLUMN(HeadJournal!D$1),0),"")</f>
        <v>Доставлен</v>
      </c>
      <c r="E420" s="95">
        <f>IFERROR(VLOOKUP($A420,HeadJournal!$A$1:$NTR$890,COLUMN(HeadJournal!G$1),0),"")</f>
        <v>44890</v>
      </c>
      <c r="F420" s="95" t="str">
        <f t="shared" si="33"/>
        <v>2022 11</v>
      </c>
      <c r="G420" s="96" t="s">
        <v>5</v>
      </c>
      <c r="H420" s="160" t="str">
        <f>RIGHT(Journal!$J420,9)</f>
        <v>NWY-15789</v>
      </c>
      <c r="I420" s="96" t="str">
        <f t="shared" si="34"/>
        <v>Nature's Way</v>
      </c>
      <c r="J420" s="97" t="s">
        <v>193</v>
      </c>
      <c r="K420" s="29">
        <v>18.489999999999998</v>
      </c>
      <c r="L420" s="29">
        <v>-4.62</v>
      </c>
      <c r="M420" s="30">
        <f>IFERROR(VLOOKUP($A420,HeadJournal!$A$1:$J$890,COLUMN(HeadJournal!I$1),0)*($K420+$L420)/(SUMIF($A:$A,$A420,$K:$K)+SUMIF($A:$A,$A420,$L:$L)),0)</f>
        <v>0</v>
      </c>
      <c r="N420" s="30">
        <f>IFERROR((VLOOKUP($A420,HeadJournal!$A$1:$K$890,COLUMN(HeadJournal!K$1),0)-VLOOKUP($A420,HeadJournal!$A$1:$K$890,COLUMN(HeadJournal!J$1),0))*($K420+$L420)/(SUMIF($A:$A,$A420,$K:$K)+SUMIF($A:$A,$A420,$L:$L)),0)</f>
        <v>0</v>
      </c>
      <c r="O420" s="30">
        <f>IFERROR((VLOOKUP($A420,HeadJournal!$A$1:$L$890,COLUMN(HeadJournal!L$1),0)*($K420+$L420)/(SUMIF($A:$A,$A420,$K:$K)+SUMIF($A:$A,$A420,$L:$L)))/VLOOKUP($A420,HeadJournal!$A$1:$L$890,COLUMN(HeadJournal!H$1),0),0)</f>
        <v>4.4907836248227424</v>
      </c>
      <c r="P420" s="30">
        <f>IFERROR(SUM(K420:O420)*VLOOKUP($A420,HeadJournal!$A$1:$L$890,COLUMN(HeadJournal!H$1),0),0)</f>
        <v>1266.8940701127692</v>
      </c>
      <c r="Q420" s="29">
        <v>2000</v>
      </c>
      <c r="R420" s="31">
        <v>44945</v>
      </c>
      <c r="S420" s="31" t="s">
        <v>3121</v>
      </c>
      <c r="T420" s="95" t="str">
        <f t="shared" si="35"/>
        <v>2023 01</v>
      </c>
      <c r="U420" s="32">
        <f t="shared" si="31"/>
        <v>733.10592988723079</v>
      </c>
      <c r="V420" s="22">
        <f t="shared" si="32"/>
        <v>0.57866395240288349</v>
      </c>
      <c r="X420" s="33"/>
      <c r="Y420" s="33"/>
    </row>
    <row r="421" spans="1:25" x14ac:dyDescent="0.2">
      <c r="A421" s="93" t="s">
        <v>192</v>
      </c>
      <c r="B421" s="94" t="str">
        <f>IFERROR(VLOOKUP($A421,HeadJournal!$A$1:$NTR$890,COLUMN(HeadJournal!B$1),0),"")</f>
        <v>922332066-0</v>
      </c>
      <c r="C421" s="94" t="str">
        <f>IFERROR(VLOOKUP($A421,HeadJournal!$A$1:$NTR$890,COLUMN(HeadJournal!C$1),0),"")</f>
        <v>iHerb_AV CYG0792</v>
      </c>
      <c r="D421" s="125" t="str">
        <f>IFERROR(VLOOKUP($A421,HeadJournal!$A$1:$NTR$890,COLUMN(HeadJournal!D$1),0),"")</f>
        <v>Доставлен</v>
      </c>
      <c r="E421" s="95">
        <f>IFERROR(VLOOKUP($A421,HeadJournal!$A$1:$NTR$890,COLUMN(HeadJournal!G$1),0),"")</f>
        <v>44890</v>
      </c>
      <c r="F421" s="95" t="str">
        <f t="shared" si="33"/>
        <v>2022 11</v>
      </c>
      <c r="G421" s="96" t="s">
        <v>5</v>
      </c>
      <c r="H421" s="160" t="str">
        <f>RIGHT(Journal!$J421,9)</f>
        <v>OSL-01395</v>
      </c>
      <c r="I421" s="96" t="str">
        <f t="shared" si="34"/>
        <v>Oslomega</v>
      </c>
      <c r="J421" s="97" t="s">
        <v>194</v>
      </c>
      <c r="K421" s="29">
        <v>10</v>
      </c>
      <c r="L421" s="29">
        <v>-2.5</v>
      </c>
      <c r="M421" s="30">
        <f>IFERROR(VLOOKUP($A421,HeadJournal!$A$1:$J$890,COLUMN(HeadJournal!I$1),0)*($K421+$L421)/(SUMIF($A:$A,$A421,$K:$K)+SUMIF($A:$A,$A421,$L:$L)),0)</f>
        <v>0</v>
      </c>
      <c r="N421" s="30">
        <f>IFERROR((VLOOKUP($A421,HeadJournal!$A$1:$K$890,COLUMN(HeadJournal!K$1),0)-VLOOKUP($A421,HeadJournal!$A$1:$K$890,COLUMN(HeadJournal!J$1),0))*($K421+$L421)/(SUMIF($A:$A,$A421,$K:$K)+SUMIF($A:$A,$A421,$L:$L)),0)</f>
        <v>0</v>
      </c>
      <c r="O421" s="30">
        <f>IFERROR((VLOOKUP($A421,HeadJournal!$A$1:$L$890,COLUMN(HeadJournal!L$1),0)*($K421+$L421)/(SUMIF($A:$A,$A421,$K:$K)+SUMIF($A:$A,$A421,$L:$L)))/VLOOKUP($A421,HeadJournal!$A$1:$L$890,COLUMN(HeadJournal!H$1),0),0)</f>
        <v>2.4283256803295297</v>
      </c>
      <c r="P421" s="30">
        <f>IFERROR(SUM(K421:O421)*VLOOKUP($A421,HeadJournal!$A$1:$L$890,COLUMN(HeadJournal!H$1),0),0)</f>
        <v>685.05447194273745</v>
      </c>
      <c r="Q421" s="29">
        <v>1600</v>
      </c>
      <c r="R421" s="31">
        <v>44940</v>
      </c>
      <c r="S421" s="31" t="s">
        <v>3121</v>
      </c>
      <c r="T421" s="95" t="str">
        <f t="shared" si="35"/>
        <v>2023 01</v>
      </c>
      <c r="U421" s="32">
        <f t="shared" si="31"/>
        <v>914.94552805726255</v>
      </c>
      <c r="V421" s="22">
        <f t="shared" si="32"/>
        <v>1.3355806954483196</v>
      </c>
      <c r="X421" s="33"/>
      <c r="Y421" s="33"/>
    </row>
    <row r="422" spans="1:25" x14ac:dyDescent="0.2">
      <c r="A422" s="93" t="s">
        <v>192</v>
      </c>
      <c r="B422" s="94" t="str">
        <f>IFERROR(VLOOKUP($A422,HeadJournal!$A$1:$NTR$890,COLUMN(HeadJournal!B$1),0),"")</f>
        <v>922332066-0</v>
      </c>
      <c r="C422" s="94" t="str">
        <f>IFERROR(VLOOKUP($A422,HeadJournal!$A$1:$NTR$890,COLUMN(HeadJournal!C$1),0),"")</f>
        <v>iHerb_AV CYG0792</v>
      </c>
      <c r="D422" s="125" t="str">
        <f>IFERROR(VLOOKUP($A422,HeadJournal!$A$1:$NTR$890,COLUMN(HeadJournal!D$1),0),"")</f>
        <v>Доставлен</v>
      </c>
      <c r="E422" s="95">
        <f>IFERROR(VLOOKUP($A422,HeadJournal!$A$1:$NTR$890,COLUMN(HeadJournal!G$1),0),"")</f>
        <v>44890</v>
      </c>
      <c r="F422" s="95" t="str">
        <f t="shared" si="33"/>
        <v>2022 11</v>
      </c>
      <c r="G422" s="96" t="s">
        <v>5</v>
      </c>
      <c r="H422" s="161" t="s">
        <v>2430</v>
      </c>
      <c r="I422" s="97" t="s">
        <v>2221</v>
      </c>
      <c r="J422" s="97" t="s">
        <v>4197</v>
      </c>
      <c r="K422" s="29">
        <v>6.97</v>
      </c>
      <c r="L422" s="29">
        <v>-1.74</v>
      </c>
      <c r="M422" s="30">
        <f>IFERROR(VLOOKUP($A422,HeadJournal!$A$1:$J$890,COLUMN(HeadJournal!I$1),0)*($K422+$L422)/(SUMIF($A:$A,$A422,$K:$K)+SUMIF($A:$A,$A422,$L:$L)),0)</f>
        <v>0</v>
      </c>
      <c r="N422" s="30">
        <f>IFERROR((VLOOKUP($A422,HeadJournal!$A$1:$K$890,COLUMN(HeadJournal!K$1),0)-VLOOKUP($A422,HeadJournal!$A$1:$K$890,COLUMN(HeadJournal!J$1),0))*($K422+$L422)/(SUMIF($A:$A,$A422,$K:$K)+SUMIF($A:$A,$A422,$L:$L)),0)</f>
        <v>0</v>
      </c>
      <c r="O422" s="30">
        <f>IFERROR((VLOOKUP($A422,HeadJournal!$A$1:$L$890,COLUMN(HeadJournal!L$1),0)*($K422+$L422)/(SUMIF($A:$A,$A422,$K:$K)+SUMIF($A:$A,$A422,$L:$L)))/VLOOKUP($A422,HeadJournal!$A$1:$L$890,COLUMN(HeadJournal!H$1),0),0)</f>
        <v>1.6933524410831249</v>
      </c>
      <c r="P422" s="30">
        <f>IFERROR(SUM(K422:O422)*VLOOKUP($A422,HeadJournal!$A$1:$L$890,COLUMN(HeadJournal!H$1),0),0)</f>
        <v>477.71131843473557</v>
      </c>
      <c r="Q422" s="29">
        <v>1100</v>
      </c>
      <c r="R422" s="31">
        <v>44957</v>
      </c>
      <c r="S422" s="31" t="s">
        <v>3121</v>
      </c>
      <c r="T422" s="95" t="str">
        <f t="shared" si="35"/>
        <v>2023 01</v>
      </c>
      <c r="U422" s="32">
        <f t="shared" si="31"/>
        <v>622.28868156526437</v>
      </c>
      <c r="V422" s="22">
        <f t="shared" si="32"/>
        <v>1.3026458816262709</v>
      </c>
      <c r="X422" s="33"/>
      <c r="Y422" s="33"/>
    </row>
    <row r="423" spans="1:25" x14ac:dyDescent="0.2">
      <c r="A423" s="93" t="s">
        <v>192</v>
      </c>
      <c r="B423" s="94" t="str">
        <f>IFERROR(VLOOKUP($A423,HeadJournal!$A$1:$NTR$890,COLUMN(HeadJournal!B$1),0),"")</f>
        <v>922332066-0</v>
      </c>
      <c r="C423" s="94" t="str">
        <f>IFERROR(VLOOKUP($A423,HeadJournal!$A$1:$NTR$890,COLUMN(HeadJournal!C$1),0),"")</f>
        <v>iHerb_AV CYG0792</v>
      </c>
      <c r="D423" s="125" t="str">
        <f>IFERROR(VLOOKUP($A423,HeadJournal!$A$1:$NTR$890,COLUMN(HeadJournal!D$1),0),"")</f>
        <v>Доставлен</v>
      </c>
      <c r="E423" s="95">
        <f>IFERROR(VLOOKUP($A423,HeadJournal!$A$1:$NTR$890,COLUMN(HeadJournal!G$1),0),"")</f>
        <v>44890</v>
      </c>
      <c r="F423" s="95" t="str">
        <f t="shared" si="33"/>
        <v>2022 11</v>
      </c>
      <c r="G423" s="96" t="s">
        <v>5</v>
      </c>
      <c r="H423" s="160" t="str">
        <f>RIGHT(Journal!$J423,9)</f>
        <v>OSL-01392</v>
      </c>
      <c r="I423" s="96" t="str">
        <f t="shared" si="34"/>
        <v>Oslomega</v>
      </c>
      <c r="J423" s="97" t="s">
        <v>195</v>
      </c>
      <c r="K423" s="29">
        <v>15</v>
      </c>
      <c r="L423" s="29">
        <v>-6</v>
      </c>
      <c r="M423" s="30">
        <f>IFERROR(VLOOKUP($A423,HeadJournal!$A$1:$J$890,COLUMN(HeadJournal!I$1),0)*($K423+$L423)/(SUMIF($A:$A,$A423,$K:$K)+SUMIF($A:$A,$A423,$L:$L)),0)</f>
        <v>0</v>
      </c>
      <c r="N423" s="30">
        <f>IFERROR((VLOOKUP($A423,HeadJournal!$A$1:$K$890,COLUMN(HeadJournal!K$1),0)-VLOOKUP($A423,HeadJournal!$A$1:$K$890,COLUMN(HeadJournal!J$1),0))*($K423+$L423)/(SUMIF($A:$A,$A423,$K:$K)+SUMIF($A:$A,$A423,$L:$L)),0)</f>
        <v>0</v>
      </c>
      <c r="O423" s="30">
        <f>IFERROR((VLOOKUP($A423,HeadJournal!$A$1:$L$890,COLUMN(HeadJournal!L$1),0)*($K423+$L423)/(SUMIF($A:$A,$A423,$K:$K)+SUMIF($A:$A,$A423,$L:$L)))/VLOOKUP($A423,HeadJournal!$A$1:$L$890,COLUMN(HeadJournal!H$1),0),0)</f>
        <v>2.9139908163954353</v>
      </c>
      <c r="P423" s="30">
        <f>IFERROR(SUM(K423:O423)*VLOOKUP($A423,HeadJournal!$A$1:$L$890,COLUMN(HeadJournal!H$1),0),0)</f>
        <v>822.06536633128496</v>
      </c>
      <c r="Q423" s="29">
        <v>1900</v>
      </c>
      <c r="R423" s="31">
        <v>45185</v>
      </c>
      <c r="S423" s="31" t="s">
        <v>3121</v>
      </c>
      <c r="T423" s="95" t="str">
        <f t="shared" si="35"/>
        <v>2023 09</v>
      </c>
      <c r="U423" s="32">
        <f t="shared" si="31"/>
        <v>1077.9346336687149</v>
      </c>
      <c r="V423" s="22">
        <f t="shared" si="32"/>
        <v>1.3112517298707327</v>
      </c>
      <c r="X423" s="33"/>
      <c r="Y423" s="33"/>
    </row>
    <row r="424" spans="1:25" x14ac:dyDescent="0.2">
      <c r="A424" s="93" t="s">
        <v>192</v>
      </c>
      <c r="B424" s="94" t="str">
        <f>IFERROR(VLOOKUP($A424,HeadJournal!$A$1:$NTR$890,COLUMN(HeadJournal!B$1),0),"")</f>
        <v>922332066-0</v>
      </c>
      <c r="C424" s="94" t="str">
        <f>IFERROR(VLOOKUP($A424,HeadJournal!$A$1:$NTR$890,COLUMN(HeadJournal!C$1),0),"")</f>
        <v>iHerb_AV CYG0792</v>
      </c>
      <c r="D424" s="125" t="str">
        <f>IFERROR(VLOOKUP($A424,HeadJournal!$A$1:$NTR$890,COLUMN(HeadJournal!D$1),0),"")</f>
        <v>Доставлен</v>
      </c>
      <c r="E424" s="95">
        <f>IFERROR(VLOOKUP($A424,HeadJournal!$A$1:$NTR$890,COLUMN(HeadJournal!G$1),0),"")</f>
        <v>44890</v>
      </c>
      <c r="F424" s="95" t="str">
        <f t="shared" si="33"/>
        <v>2022 11</v>
      </c>
      <c r="G424" s="96" t="s">
        <v>5</v>
      </c>
      <c r="H424" s="160" t="str">
        <f>RIGHT(Journal!$J424,9)</f>
        <v>NOW-03882</v>
      </c>
      <c r="I424" s="96" t="str">
        <f t="shared" si="34"/>
        <v>NOW Foods</v>
      </c>
      <c r="J424" s="97" t="s">
        <v>196</v>
      </c>
      <c r="K424" s="29">
        <v>11.41</v>
      </c>
      <c r="L424" s="29">
        <v>-2.85</v>
      </c>
      <c r="M424" s="30">
        <f>IFERROR(VLOOKUP($A424,HeadJournal!$A$1:$J$890,COLUMN(HeadJournal!I$1),0)*($K424+$L424)/(SUMIF($A:$A,$A424,$K:$K)+SUMIF($A:$A,$A424,$L:$L)),0)</f>
        <v>0</v>
      </c>
      <c r="N424" s="30">
        <f>IFERROR((VLOOKUP($A424,HeadJournal!$A$1:$K$890,COLUMN(HeadJournal!K$1),0)-VLOOKUP($A424,HeadJournal!$A$1:$K$890,COLUMN(HeadJournal!J$1),0))*($K424+$L424)/(SUMIF($A:$A,$A424,$K:$K)+SUMIF($A:$A,$A424,$L:$L)),0)</f>
        <v>0</v>
      </c>
      <c r="O424" s="30">
        <f>IFERROR((VLOOKUP($A424,HeadJournal!$A$1:$L$890,COLUMN(HeadJournal!L$1),0)*($K424+$L424)/(SUMIF($A:$A,$A424,$K:$K)+SUMIF($A:$A,$A424,$L:$L)))/VLOOKUP($A424,HeadJournal!$A$1:$L$890,COLUMN(HeadJournal!H$1),0),0)</f>
        <v>2.7715290431494366</v>
      </c>
      <c r="P424" s="30">
        <f>IFERROR(SUM(K424:O424)*VLOOKUP($A424,HeadJournal!$A$1:$L$890,COLUMN(HeadJournal!H$1),0),0)</f>
        <v>781.87550397731115</v>
      </c>
      <c r="Q424" s="29">
        <v>1800</v>
      </c>
      <c r="R424" s="31">
        <v>44940</v>
      </c>
      <c r="S424" s="31" t="s">
        <v>3121</v>
      </c>
      <c r="T424" s="95" t="str">
        <f t="shared" si="35"/>
        <v>2023 01</v>
      </c>
      <c r="U424" s="32">
        <f t="shared" si="31"/>
        <v>1018.1244960226888</v>
      </c>
      <c r="V424" s="22">
        <f t="shared" si="32"/>
        <v>1.3021567894678963</v>
      </c>
      <c r="X424" s="33"/>
      <c r="Y424" s="33"/>
    </row>
    <row r="425" spans="1:25" x14ac:dyDescent="0.2">
      <c r="A425" s="93" t="s">
        <v>192</v>
      </c>
      <c r="B425" s="94" t="str">
        <f>IFERROR(VLOOKUP($A425,HeadJournal!$A$1:$NTR$890,COLUMN(HeadJournal!B$1),0),"")</f>
        <v>922332066-0</v>
      </c>
      <c r="C425" s="94" t="str">
        <f>IFERROR(VLOOKUP($A425,HeadJournal!$A$1:$NTR$890,COLUMN(HeadJournal!C$1),0),"")</f>
        <v>iHerb_AV CYG0792</v>
      </c>
      <c r="D425" s="125" t="str">
        <f>IFERROR(VLOOKUP($A425,HeadJournal!$A$1:$NTR$890,COLUMN(HeadJournal!D$1),0),"")</f>
        <v>Доставлен</v>
      </c>
      <c r="E425" s="95">
        <f>IFERROR(VLOOKUP($A425,HeadJournal!$A$1:$NTR$890,COLUMN(HeadJournal!G$1),0),"")</f>
        <v>44890</v>
      </c>
      <c r="F425" s="95" t="str">
        <f t="shared" si="33"/>
        <v>2022 11</v>
      </c>
      <c r="G425" s="96" t="s">
        <v>5</v>
      </c>
      <c r="H425" s="160" t="str">
        <f>RIGHT(Journal!$J425,9)</f>
        <v>NWY-15450</v>
      </c>
      <c r="I425" s="96" t="str">
        <f t="shared" si="34"/>
        <v>Nature's Way</v>
      </c>
      <c r="J425" s="97" t="s">
        <v>197</v>
      </c>
      <c r="K425" s="29">
        <v>8.9</v>
      </c>
      <c r="L425" s="29">
        <v>-2.23</v>
      </c>
      <c r="M425" s="30">
        <f>IFERROR(VLOOKUP($A425,HeadJournal!$A$1:$J$890,COLUMN(HeadJournal!I$1),0)*($K425+$L425)/(SUMIF($A:$A,$A425,$K:$K)+SUMIF($A:$A,$A425,$L:$L)),0)</f>
        <v>0</v>
      </c>
      <c r="N425" s="30">
        <f>IFERROR((VLOOKUP($A425,HeadJournal!$A$1:$K$890,COLUMN(HeadJournal!K$1),0)-VLOOKUP($A425,HeadJournal!$A$1:$K$890,COLUMN(HeadJournal!J$1),0))*($K425+$L425)/(SUMIF($A:$A,$A425,$K:$K)+SUMIF($A:$A,$A425,$L:$L)),0)</f>
        <v>0</v>
      </c>
      <c r="O425" s="30">
        <f>IFERROR((VLOOKUP($A425,HeadJournal!$A$1:$L$890,COLUMN(HeadJournal!L$1),0)*($K425+$L425)/(SUMIF($A:$A,$A425,$K:$K)+SUMIF($A:$A,$A425,$L:$L)))/VLOOKUP($A425,HeadJournal!$A$1:$L$890,COLUMN(HeadJournal!H$1),0),0)</f>
        <v>2.159590971706395</v>
      </c>
      <c r="P425" s="30">
        <f>IFERROR(SUM(K425:O425)*VLOOKUP($A425,HeadJournal!$A$1:$L$890,COLUMN(HeadJournal!H$1),0),0)</f>
        <v>609.24177704774127</v>
      </c>
      <c r="Q425" s="29">
        <v>609.24</v>
      </c>
      <c r="R425" s="31">
        <v>44979</v>
      </c>
      <c r="S425" s="31" t="s">
        <v>3121</v>
      </c>
      <c r="T425" s="95" t="str">
        <f t="shared" si="35"/>
        <v>2023 02</v>
      </c>
      <c r="U425" s="32">
        <f t="shared" si="31"/>
        <v>-1.7770477412568653E-3</v>
      </c>
      <c r="V425" s="22">
        <f t="shared" si="32"/>
        <v>-2.9168185902616011E-6</v>
      </c>
      <c r="X425" s="33"/>
      <c r="Y425" s="33"/>
    </row>
    <row r="426" spans="1:25" x14ac:dyDescent="0.2">
      <c r="A426" s="93" t="s">
        <v>192</v>
      </c>
      <c r="B426" s="94" t="str">
        <f>IFERROR(VLOOKUP($A426,HeadJournal!$A$1:$NTR$890,COLUMN(HeadJournal!B$1),0),"")</f>
        <v>922332066-0</v>
      </c>
      <c r="C426" s="94" t="str">
        <f>IFERROR(VLOOKUP($A426,HeadJournal!$A$1:$NTR$890,COLUMN(HeadJournal!C$1),0),"")</f>
        <v>iHerb_AV CYG0792</v>
      </c>
      <c r="D426" s="125" t="str">
        <f>IFERROR(VLOOKUP($A426,HeadJournal!$A$1:$NTR$890,COLUMN(HeadJournal!D$1),0),"")</f>
        <v>Доставлен</v>
      </c>
      <c r="E426" s="95">
        <f>IFERROR(VLOOKUP($A426,HeadJournal!$A$1:$NTR$890,COLUMN(HeadJournal!G$1),0),"")</f>
        <v>44890</v>
      </c>
      <c r="F426" s="95" t="str">
        <f t="shared" si="33"/>
        <v>2022 11</v>
      </c>
      <c r="G426" s="96" t="s">
        <v>5</v>
      </c>
      <c r="H426" s="175" t="s">
        <v>3650</v>
      </c>
      <c r="I426" s="176" t="s">
        <v>2042</v>
      </c>
      <c r="J426" s="97" t="s">
        <v>3699</v>
      </c>
      <c r="K426" s="29">
        <v>12.58</v>
      </c>
      <c r="L426" s="29">
        <v>-3.15</v>
      </c>
      <c r="M426" s="30">
        <f>IFERROR(VLOOKUP($A426,HeadJournal!$A$1:$J$890,COLUMN(HeadJournal!I$1),0)*($K426+$L426)/(SUMIF($A:$A,$A426,$K:$K)+SUMIF($A:$A,$A426,$L:$L)),0)</f>
        <v>0</v>
      </c>
      <c r="N426" s="30">
        <f>IFERROR((VLOOKUP($A426,HeadJournal!$A$1:$K$890,COLUMN(HeadJournal!K$1),0)-VLOOKUP($A426,HeadJournal!$A$1:$K$890,COLUMN(HeadJournal!J$1),0))*($K426+$L426)/(SUMIF($A:$A,$A426,$K:$K)+SUMIF($A:$A,$A426,$L:$L)),0)</f>
        <v>0</v>
      </c>
      <c r="O426" s="30">
        <f>IFERROR((VLOOKUP($A426,HeadJournal!$A$1:$L$890,COLUMN(HeadJournal!L$1),0)*($K426+$L426)/(SUMIF($A:$A,$A426,$K:$K)+SUMIF($A:$A,$A426,$L:$L)))/VLOOKUP($A426,HeadJournal!$A$1:$L$890,COLUMN(HeadJournal!H$1),0),0)</f>
        <v>3.0532148220676616</v>
      </c>
      <c r="P426" s="30">
        <f>IFERROR(SUM(K426:O426)*VLOOKUP($A426,HeadJournal!$A$1:$L$890,COLUMN(HeadJournal!H$1),0),0)</f>
        <v>861.34182272266867</v>
      </c>
      <c r="Q426" s="29">
        <v>1800</v>
      </c>
      <c r="R426" s="31">
        <v>44942</v>
      </c>
      <c r="S426" s="31" t="s">
        <v>3121</v>
      </c>
      <c r="T426" s="95" t="str">
        <f t="shared" si="35"/>
        <v>2023 01</v>
      </c>
      <c r="U426" s="32">
        <f t="shared" si="31"/>
        <v>938.65817727733133</v>
      </c>
      <c r="V426" s="22">
        <f t="shared" si="32"/>
        <v>1.0897626848192146</v>
      </c>
      <c r="X426" s="33"/>
      <c r="Y426" s="33"/>
    </row>
    <row r="427" spans="1:25" x14ac:dyDescent="0.2">
      <c r="A427" s="93" t="s">
        <v>192</v>
      </c>
      <c r="B427" s="94" t="str">
        <f>IFERROR(VLOOKUP($A427,HeadJournal!$A$1:$NTR$890,COLUMN(HeadJournal!B$1),0),"")</f>
        <v>922332066-0</v>
      </c>
      <c r="C427" s="94" t="str">
        <f>IFERROR(VLOOKUP($A427,HeadJournal!$A$1:$NTR$890,COLUMN(HeadJournal!C$1),0),"")</f>
        <v>iHerb_AV CYG0792</v>
      </c>
      <c r="D427" s="125" t="str">
        <f>IFERROR(VLOOKUP($A427,HeadJournal!$A$1:$NTR$890,COLUMN(HeadJournal!D$1),0),"")</f>
        <v>Доставлен</v>
      </c>
      <c r="E427" s="95">
        <f>IFERROR(VLOOKUP($A427,HeadJournal!$A$1:$NTR$890,COLUMN(HeadJournal!G$1),0),"")</f>
        <v>44890</v>
      </c>
      <c r="F427" s="95" t="str">
        <f t="shared" si="33"/>
        <v>2022 11</v>
      </c>
      <c r="G427" s="96" t="s">
        <v>5</v>
      </c>
      <c r="H427" s="161" t="s">
        <v>2828</v>
      </c>
      <c r="I427" s="97" t="s">
        <v>2829</v>
      </c>
      <c r="J427" s="97" t="s">
        <v>2830</v>
      </c>
      <c r="K427" s="29">
        <v>7.57</v>
      </c>
      <c r="L427" s="29">
        <v>-1.89</v>
      </c>
      <c r="M427" s="30">
        <f>IFERROR(VLOOKUP($A427,HeadJournal!$A$1:$J$890,COLUMN(HeadJournal!I$1),0)*($K427+$L427)/(SUMIF($A:$A,$A427,$K:$K)+SUMIF($A:$A,$A427,$L:$L)),0)</f>
        <v>0</v>
      </c>
      <c r="N427" s="30">
        <f>IFERROR((VLOOKUP($A427,HeadJournal!$A$1:$K$890,COLUMN(HeadJournal!K$1),0)-VLOOKUP($A427,HeadJournal!$A$1:$K$890,COLUMN(HeadJournal!J$1),0))*($K427+$L427)/(SUMIF($A:$A,$A427,$K:$K)+SUMIF($A:$A,$A427,$L:$L)),0)</f>
        <v>0</v>
      </c>
      <c r="O427" s="30">
        <f>IFERROR((VLOOKUP($A427,HeadJournal!$A$1:$L$890,COLUMN(HeadJournal!L$1),0)*($K427+$L427)/(SUMIF($A:$A,$A427,$K:$K)+SUMIF($A:$A,$A427,$L:$L)))/VLOOKUP($A427,HeadJournal!$A$1:$L$890,COLUMN(HeadJournal!H$1),0),0)</f>
        <v>1.839051981902897</v>
      </c>
      <c r="P427" s="30">
        <f>IFERROR(SUM(K427:O427)*VLOOKUP($A427,HeadJournal!$A$1:$L$890,COLUMN(HeadJournal!H$1),0),0)</f>
        <v>518.8145867513</v>
      </c>
      <c r="Q427" s="29">
        <v>1400</v>
      </c>
      <c r="R427" s="31">
        <v>44938</v>
      </c>
      <c r="S427" s="31" t="s">
        <v>3121</v>
      </c>
      <c r="T427" s="95" t="str">
        <f t="shared" si="35"/>
        <v>2023 01</v>
      </c>
      <c r="U427" s="32">
        <f t="shared" si="31"/>
        <v>881.1854132487</v>
      </c>
      <c r="V427" s="22">
        <f t="shared" si="32"/>
        <v>1.6984592101900688</v>
      </c>
      <c r="X427" s="33"/>
      <c r="Y427" s="33"/>
    </row>
    <row r="428" spans="1:25" x14ac:dyDescent="0.2">
      <c r="A428" s="93" t="s">
        <v>192</v>
      </c>
      <c r="B428" s="94" t="str">
        <f>IFERROR(VLOOKUP($A428,HeadJournal!$A$1:$NTR$890,COLUMN(HeadJournal!B$1),0),"")</f>
        <v>922332066-0</v>
      </c>
      <c r="C428" s="94" t="str">
        <f>IFERROR(VLOOKUP($A428,HeadJournal!$A$1:$NTR$890,COLUMN(HeadJournal!C$1),0),"")</f>
        <v>iHerb_AV CYG0792</v>
      </c>
      <c r="D428" s="125" t="str">
        <f>IFERROR(VLOOKUP($A428,HeadJournal!$A$1:$NTR$890,COLUMN(HeadJournal!D$1),0),"")</f>
        <v>Доставлен</v>
      </c>
      <c r="E428" s="95">
        <f>IFERROR(VLOOKUP($A428,HeadJournal!$A$1:$NTR$890,COLUMN(HeadJournal!G$1),0),"")</f>
        <v>44890</v>
      </c>
      <c r="F428" s="95" t="str">
        <f t="shared" si="33"/>
        <v>2022 11</v>
      </c>
      <c r="G428" s="96" t="s">
        <v>5</v>
      </c>
      <c r="H428" s="160" t="str">
        <f>RIGHT(Journal!$J428,9)</f>
        <v>LEX-14373</v>
      </c>
      <c r="I428" s="96" t="str">
        <f t="shared" si="34"/>
        <v>Life Extension</v>
      </c>
      <c r="J428" s="97" t="s">
        <v>198</v>
      </c>
      <c r="K428" s="29">
        <v>24.75</v>
      </c>
      <c r="L428" s="29">
        <v>-6.19</v>
      </c>
      <c r="M428" s="30">
        <f>IFERROR(VLOOKUP($A428,HeadJournal!$A$1:$J$890,COLUMN(HeadJournal!I$1),0)*($K428+$L428)/(SUMIF($A:$A,$A428,$K:$K)+SUMIF($A:$A,$A428,$L:$L)),0)</f>
        <v>0</v>
      </c>
      <c r="N428" s="30">
        <f>IFERROR((VLOOKUP($A428,HeadJournal!$A$1:$K$890,COLUMN(HeadJournal!K$1),0)-VLOOKUP($A428,HeadJournal!$A$1:$K$890,COLUMN(HeadJournal!J$1),0))*($K428+$L428)/(SUMIF($A:$A,$A428,$K:$K)+SUMIF($A:$A,$A428,$L:$L)),0)</f>
        <v>0</v>
      </c>
      <c r="O428" s="30">
        <f>IFERROR((VLOOKUP($A428,HeadJournal!$A$1:$L$890,COLUMN(HeadJournal!L$1),0)*($K428+$L428)/(SUMIF($A:$A,$A428,$K:$K)+SUMIF($A:$A,$A428,$L:$L)))/VLOOKUP($A428,HeadJournal!$A$1:$L$890,COLUMN(HeadJournal!H$1),0),0)</f>
        <v>6.0092966169221418</v>
      </c>
      <c r="P428" s="30">
        <f>IFERROR(SUM(K428:O428)*VLOOKUP($A428,HeadJournal!$A$1:$L$890,COLUMN(HeadJournal!H$1),0),0)</f>
        <v>1695.2814665676278</v>
      </c>
      <c r="Q428" s="29">
        <v>2800</v>
      </c>
      <c r="R428" s="31">
        <v>44938</v>
      </c>
      <c r="S428" s="31" t="s">
        <v>3121</v>
      </c>
      <c r="T428" s="95" t="str">
        <f t="shared" si="35"/>
        <v>2023 01</v>
      </c>
      <c r="U428" s="32">
        <f t="shared" si="31"/>
        <v>1104.7185334323722</v>
      </c>
      <c r="V428" s="22">
        <f t="shared" si="32"/>
        <v>0.65164313727150802</v>
      </c>
      <c r="X428" s="33"/>
      <c r="Y428" s="33"/>
    </row>
    <row r="429" spans="1:25" x14ac:dyDescent="0.2">
      <c r="A429" s="93" t="s">
        <v>192</v>
      </c>
      <c r="B429" s="94" t="str">
        <f>IFERROR(VLOOKUP($A429,HeadJournal!$A$1:$NTR$890,COLUMN(HeadJournal!B$1),0),"")</f>
        <v>922332066-0</v>
      </c>
      <c r="C429" s="94" t="str">
        <f>IFERROR(VLOOKUP($A429,HeadJournal!$A$1:$NTR$890,COLUMN(HeadJournal!C$1),0),"")</f>
        <v>iHerb_AV CYG0792</v>
      </c>
      <c r="D429" s="125" t="str">
        <f>IFERROR(VLOOKUP($A429,HeadJournal!$A$1:$NTR$890,COLUMN(HeadJournal!D$1),0),"")</f>
        <v>Доставлен</v>
      </c>
      <c r="E429" s="95">
        <f>IFERROR(VLOOKUP($A429,HeadJournal!$A$1:$NTR$890,COLUMN(HeadJournal!G$1),0),"")</f>
        <v>44890</v>
      </c>
      <c r="F429" s="95" t="str">
        <f t="shared" si="33"/>
        <v>2022 11</v>
      </c>
      <c r="G429" s="96" t="s">
        <v>5</v>
      </c>
      <c r="H429" s="161" t="s">
        <v>2076</v>
      </c>
      <c r="I429" s="97" t="s">
        <v>2005</v>
      </c>
      <c r="J429" s="97" t="s">
        <v>2077</v>
      </c>
      <c r="K429" s="29">
        <v>13.29</v>
      </c>
      <c r="L429" s="29">
        <v>-3.32</v>
      </c>
      <c r="M429" s="30">
        <f>IFERROR(VLOOKUP($A429,HeadJournal!$A$1:$J$890,COLUMN(HeadJournal!I$1),0)*($K429+$L429)/(SUMIF($A:$A,$A429,$K:$K)+SUMIF($A:$A,$A429,$L:$L)),0)</f>
        <v>0</v>
      </c>
      <c r="N429" s="30">
        <f>IFERROR((VLOOKUP($A429,HeadJournal!$A$1:$K$890,COLUMN(HeadJournal!K$1),0)-VLOOKUP($A429,HeadJournal!$A$1:$K$890,COLUMN(HeadJournal!J$1),0))*($K429+$L429)/(SUMIF($A:$A,$A429,$K:$K)+SUMIF($A:$A,$A429,$L:$L)),0)</f>
        <v>0</v>
      </c>
      <c r="O429" s="30">
        <f>IFERROR((VLOOKUP($A429,HeadJournal!$A$1:$L$890,COLUMN(HeadJournal!L$1),0)*($K429+$L429)/(SUMIF($A:$A,$A429,$K:$K)+SUMIF($A:$A,$A429,$L:$L)))/VLOOKUP($A429,HeadJournal!$A$1:$L$890,COLUMN(HeadJournal!H$1),0),0)</f>
        <v>3.2280542710513869</v>
      </c>
      <c r="P429" s="30">
        <f>IFERROR(SUM(K429:O429)*VLOOKUP($A429,HeadJournal!$A$1:$L$890,COLUMN(HeadJournal!H$1),0),0)</f>
        <v>910.66574470254568</v>
      </c>
      <c r="Q429" s="29">
        <v>2000</v>
      </c>
      <c r="R429" s="31">
        <v>44986</v>
      </c>
      <c r="S429" s="31" t="s">
        <v>3121</v>
      </c>
      <c r="T429" s="95" t="str">
        <f t="shared" si="35"/>
        <v>2023 03</v>
      </c>
      <c r="U429" s="32">
        <f t="shared" si="31"/>
        <v>1089.3342552974543</v>
      </c>
      <c r="V429" s="22">
        <f t="shared" si="32"/>
        <v>1.1961954884481438</v>
      </c>
      <c r="X429" s="33"/>
      <c r="Y429" s="33"/>
    </row>
    <row r="430" spans="1:25" x14ac:dyDescent="0.2">
      <c r="A430" s="93" t="s">
        <v>192</v>
      </c>
      <c r="B430" s="94" t="str">
        <f>IFERROR(VLOOKUP($A430,HeadJournal!$A$1:$NTR$890,COLUMN(HeadJournal!B$1),0),"")</f>
        <v>922332066-0</v>
      </c>
      <c r="C430" s="94" t="str">
        <f>IFERROR(VLOOKUP($A430,HeadJournal!$A$1:$NTR$890,COLUMN(HeadJournal!C$1),0),"")</f>
        <v>iHerb_AV CYG0792</v>
      </c>
      <c r="D430" s="125" t="str">
        <f>IFERROR(VLOOKUP($A430,HeadJournal!$A$1:$NTR$890,COLUMN(HeadJournal!D$1),0),"")</f>
        <v>Доставлен</v>
      </c>
      <c r="E430" s="95">
        <f>IFERROR(VLOOKUP($A430,HeadJournal!$A$1:$NTR$890,COLUMN(HeadJournal!G$1),0),"")</f>
        <v>44890</v>
      </c>
      <c r="F430" s="95" t="str">
        <f t="shared" si="33"/>
        <v>2022 11</v>
      </c>
      <c r="G430" s="96" t="s">
        <v>5</v>
      </c>
      <c r="H430" s="161" t="s">
        <v>2089</v>
      </c>
      <c r="I430" s="97" t="s">
        <v>2005</v>
      </c>
      <c r="J430" s="97" t="s">
        <v>3781</v>
      </c>
      <c r="K430" s="29">
        <v>17.7</v>
      </c>
      <c r="L430" s="29">
        <v>-4.43</v>
      </c>
      <c r="M430" s="30">
        <f>IFERROR(VLOOKUP($A430,HeadJournal!$A$1:$J$890,COLUMN(HeadJournal!I$1),0)*($K430+$L430)/(SUMIF($A:$A,$A430,$K:$K)+SUMIF($A:$A,$A430,$L:$L)),0)</f>
        <v>0</v>
      </c>
      <c r="N430" s="30">
        <f>IFERROR((VLOOKUP($A430,HeadJournal!$A$1:$K$890,COLUMN(HeadJournal!K$1),0)-VLOOKUP($A430,HeadJournal!$A$1:$K$890,COLUMN(HeadJournal!J$1),0))*($K430+$L430)/(SUMIF($A:$A,$A430,$K:$K)+SUMIF($A:$A,$A430,$L:$L)),0)</f>
        <v>0</v>
      </c>
      <c r="O430" s="30">
        <f>IFERROR((VLOOKUP($A430,HeadJournal!$A$1:$L$890,COLUMN(HeadJournal!L$1),0)*($K430+$L430)/(SUMIF($A:$A,$A430,$K:$K)+SUMIF($A:$A,$A430,$L:$L)))/VLOOKUP($A430,HeadJournal!$A$1:$L$890,COLUMN(HeadJournal!H$1),0),0)</f>
        <v>4.2965175703963805</v>
      </c>
      <c r="P430" s="30">
        <f>IFERROR(SUM(K430:O430)*VLOOKUP($A430,HeadJournal!$A$1:$L$890,COLUMN(HeadJournal!H$1),0),0)</f>
        <v>1212.0897123573502</v>
      </c>
      <c r="Q430" s="29">
        <v>2800</v>
      </c>
      <c r="R430" s="31">
        <v>44942</v>
      </c>
      <c r="S430" s="31" t="s">
        <v>3121</v>
      </c>
      <c r="T430" s="95" t="str">
        <f t="shared" si="35"/>
        <v>2023 01</v>
      </c>
      <c r="U430" s="32">
        <f t="shared" si="31"/>
        <v>1587.9102876426498</v>
      </c>
      <c r="V430" s="22">
        <f t="shared" si="32"/>
        <v>1.310060032235056</v>
      </c>
      <c r="X430" s="33"/>
      <c r="Y430" s="33"/>
    </row>
    <row r="431" spans="1:25" x14ac:dyDescent="0.2">
      <c r="A431" s="93" t="s">
        <v>192</v>
      </c>
      <c r="B431" s="94" t="str">
        <f>IFERROR(VLOOKUP($A431,HeadJournal!$A$1:$NTR$890,COLUMN(HeadJournal!B$1),0),"")</f>
        <v>922332066-0</v>
      </c>
      <c r="C431" s="94" t="str">
        <f>IFERROR(VLOOKUP($A431,HeadJournal!$A$1:$NTR$890,COLUMN(HeadJournal!C$1),0),"")</f>
        <v>iHerb_AV CYG0792</v>
      </c>
      <c r="D431" s="125" t="str">
        <f>IFERROR(VLOOKUP($A431,HeadJournal!$A$1:$NTR$890,COLUMN(HeadJournal!D$1),0),"")</f>
        <v>Доставлен</v>
      </c>
      <c r="E431" s="95">
        <f>IFERROR(VLOOKUP($A431,HeadJournal!$A$1:$NTR$890,COLUMN(HeadJournal!G$1),0),"")</f>
        <v>44890</v>
      </c>
      <c r="F431" s="95" t="str">
        <f t="shared" si="33"/>
        <v>2022 11</v>
      </c>
      <c r="G431" s="96" t="s">
        <v>5</v>
      </c>
      <c r="H431" s="175" t="s">
        <v>3652</v>
      </c>
      <c r="I431" s="176" t="s">
        <v>2005</v>
      </c>
      <c r="J431" s="97" t="s">
        <v>3701</v>
      </c>
      <c r="K431" s="29">
        <v>8.83</v>
      </c>
      <c r="L431" s="29">
        <v>-2.21</v>
      </c>
      <c r="M431" s="30">
        <f>IFERROR(VLOOKUP($A431,HeadJournal!$A$1:$J$890,COLUMN(HeadJournal!I$1),0)*($K431+$L431)/(SUMIF($A:$A,$A431,$K:$K)+SUMIF($A:$A,$A431,$L:$L)),0)</f>
        <v>0</v>
      </c>
      <c r="N431" s="30">
        <f>IFERROR((VLOOKUP($A431,HeadJournal!$A$1:$K$890,COLUMN(HeadJournal!K$1),0)-VLOOKUP($A431,HeadJournal!$A$1:$K$890,COLUMN(HeadJournal!J$1),0))*($K431+$L431)/(SUMIF($A:$A,$A431,$K:$K)+SUMIF($A:$A,$A431,$L:$L)),0)</f>
        <v>0</v>
      </c>
      <c r="O431" s="30">
        <f>IFERROR((VLOOKUP($A431,HeadJournal!$A$1:$L$890,COLUMN(HeadJournal!L$1),0)*($K431+$L431)/(SUMIF($A:$A,$A431,$K:$K)+SUMIF($A:$A,$A431,$L:$L)))/VLOOKUP($A431,HeadJournal!$A$1:$L$890,COLUMN(HeadJournal!H$1),0),0)</f>
        <v>2.1434021338375313</v>
      </c>
      <c r="P431" s="30">
        <f>IFERROR(SUM(K431:O431)*VLOOKUP($A431,HeadJournal!$A$1:$L$890,COLUMN(HeadJournal!H$1),0),0)</f>
        <v>604.67474723478961</v>
      </c>
      <c r="Q431" s="29">
        <v>1000</v>
      </c>
      <c r="R431" s="31">
        <v>44938</v>
      </c>
      <c r="S431" s="31" t="s">
        <v>3121</v>
      </c>
      <c r="T431" s="95" t="str">
        <f t="shared" si="35"/>
        <v>2023 01</v>
      </c>
      <c r="U431" s="32">
        <f t="shared" si="31"/>
        <v>395.32525276521039</v>
      </c>
      <c r="V431" s="22">
        <f t="shared" si="32"/>
        <v>0.65378164802326244</v>
      </c>
      <c r="X431" s="33"/>
      <c r="Y431" s="33"/>
    </row>
    <row r="432" spans="1:25" x14ac:dyDescent="0.2">
      <c r="A432" s="93" t="s">
        <v>192</v>
      </c>
      <c r="B432" s="94" t="str">
        <f>IFERROR(VLOOKUP($A432,HeadJournal!$A$1:$NTR$890,COLUMN(HeadJournal!B$1),0),"")</f>
        <v>922332066-0</v>
      </c>
      <c r="C432" s="94" t="str">
        <f>IFERROR(VLOOKUP($A432,HeadJournal!$A$1:$NTR$890,COLUMN(HeadJournal!C$1),0),"")</f>
        <v>iHerb_AV CYG0792</v>
      </c>
      <c r="D432" s="125" t="str">
        <f>IFERROR(VLOOKUP($A432,HeadJournal!$A$1:$NTR$890,COLUMN(HeadJournal!D$1),0),"")</f>
        <v>Доставлен</v>
      </c>
      <c r="E432" s="95">
        <f>IFERROR(VLOOKUP($A432,HeadJournal!$A$1:$NTR$890,COLUMN(HeadJournal!G$1),0),"")</f>
        <v>44890</v>
      </c>
      <c r="F432" s="95" t="str">
        <f t="shared" si="33"/>
        <v>2022 11</v>
      </c>
      <c r="G432" s="96" t="s">
        <v>7</v>
      </c>
      <c r="H432" s="160" t="str">
        <f>RIGHT(Journal!$J432,9)</f>
        <v>MBN-01260</v>
      </c>
      <c r="I432" s="96" t="str">
        <f t="shared" si="34"/>
        <v>Mild By Nature</v>
      </c>
      <c r="J432" s="97" t="s">
        <v>199</v>
      </c>
      <c r="K432" s="29">
        <v>9</v>
      </c>
      <c r="L432" s="29">
        <v>-2.25</v>
      </c>
      <c r="M432" s="30">
        <f>IFERROR(VLOOKUP($A432,HeadJournal!$A$1:$J$890,COLUMN(HeadJournal!I$1),0)*($K432+$L432)/(SUMIF($A:$A,$A432,$K:$K)+SUMIF($A:$A,$A432,$L:$L)),0)</f>
        <v>0</v>
      </c>
      <c r="N432" s="30">
        <f>IFERROR((VLOOKUP($A432,HeadJournal!$A$1:$K$890,COLUMN(HeadJournal!K$1),0)-VLOOKUP($A432,HeadJournal!$A$1:$K$890,COLUMN(HeadJournal!J$1),0))*($K432+$L432)/(SUMIF($A:$A,$A432,$K:$K)+SUMIF($A:$A,$A432,$L:$L)),0)</f>
        <v>0</v>
      </c>
      <c r="O432" s="30">
        <f>IFERROR((VLOOKUP($A432,HeadJournal!$A$1:$L$890,COLUMN(HeadJournal!L$1),0)*($K432+$L432)/(SUMIF($A:$A,$A432,$K:$K)+SUMIF($A:$A,$A432,$L:$L)))/VLOOKUP($A432,HeadJournal!$A$1:$L$890,COLUMN(HeadJournal!H$1),0),0)</f>
        <v>2.1854931122965762</v>
      </c>
      <c r="P432" s="30">
        <f>IFERROR(SUM(K432:O432)*VLOOKUP($A432,HeadJournal!$A$1:$L$890,COLUMN(HeadJournal!H$1),0),0)</f>
        <v>616.54902474846381</v>
      </c>
      <c r="Q432" s="29"/>
      <c r="R432" s="31"/>
      <c r="S432" s="31"/>
      <c r="T432" s="95" t="str">
        <f t="shared" si="35"/>
        <v/>
      </c>
      <c r="U432" s="32">
        <f t="shared" si="31"/>
        <v>-616.54902474846381</v>
      </c>
      <c r="V432" s="22" t="str">
        <f t="shared" si="32"/>
        <v/>
      </c>
      <c r="X432" s="33"/>
      <c r="Y432" s="33"/>
    </row>
    <row r="433" spans="1:25" x14ac:dyDescent="0.2">
      <c r="A433" s="93" t="s">
        <v>192</v>
      </c>
      <c r="B433" s="94" t="str">
        <f>IFERROR(VLOOKUP($A433,HeadJournal!$A$1:$NTR$890,COLUMN(HeadJournal!B$1),0),"")</f>
        <v>922332066-0</v>
      </c>
      <c r="C433" s="94" t="str">
        <f>IFERROR(VLOOKUP($A433,HeadJournal!$A$1:$NTR$890,COLUMN(HeadJournal!C$1),0),"")</f>
        <v>iHerb_AV CYG0792</v>
      </c>
      <c r="D433" s="125" t="str">
        <f>IFERROR(VLOOKUP($A433,HeadJournal!$A$1:$NTR$890,COLUMN(HeadJournal!D$1),0),"")</f>
        <v>Доставлен</v>
      </c>
      <c r="E433" s="95">
        <f>IFERROR(VLOOKUP($A433,HeadJournal!$A$1:$NTR$890,COLUMN(HeadJournal!G$1),0),"")</f>
        <v>44890</v>
      </c>
      <c r="F433" s="95" t="str">
        <f t="shared" si="33"/>
        <v>2022 11</v>
      </c>
      <c r="G433" s="96" t="s">
        <v>5</v>
      </c>
      <c r="H433" s="161" t="s">
        <v>2016</v>
      </c>
      <c r="I433" s="97" t="s">
        <v>2005</v>
      </c>
      <c r="J433" s="97" t="s">
        <v>2017</v>
      </c>
      <c r="K433" s="29">
        <v>25.16</v>
      </c>
      <c r="L433" s="29">
        <v>-6.29</v>
      </c>
      <c r="M433" s="30">
        <f>IFERROR(VLOOKUP($A433,HeadJournal!$A$1:$J$890,COLUMN(HeadJournal!I$1),0)*($K433+$L433)/(SUMIF($A:$A,$A433,$K:$K)+SUMIF($A:$A,$A433,$L:$L)),0)</f>
        <v>0</v>
      </c>
      <c r="N433" s="30">
        <f>IFERROR((VLOOKUP($A433,HeadJournal!$A$1:$K$890,COLUMN(HeadJournal!K$1),0)-VLOOKUP($A433,HeadJournal!$A$1:$K$890,COLUMN(HeadJournal!J$1),0))*($K433+$L433)/(SUMIF($A:$A,$A433,$K:$K)+SUMIF($A:$A,$A433,$L:$L)),0)</f>
        <v>0</v>
      </c>
      <c r="O433" s="30">
        <f>IFERROR((VLOOKUP($A433,HeadJournal!$A$1:$L$890,COLUMN(HeadJournal!L$1),0)*($K433+$L433)/(SUMIF($A:$A,$A433,$K:$K)+SUMIF($A:$A,$A433,$L:$L)))/VLOOKUP($A433,HeadJournal!$A$1:$L$890,COLUMN(HeadJournal!H$1),0),0)</f>
        <v>6.1096674117090961</v>
      </c>
      <c r="P433" s="30">
        <f>IFERROR(SUM(K433:O433)*VLOOKUP($A433,HeadJournal!$A$1:$L$890,COLUMN(HeadJournal!H$1),0),0)</f>
        <v>1723.5970514079277</v>
      </c>
      <c r="Q433" s="29">
        <v>3300</v>
      </c>
      <c r="R433" s="31">
        <v>44967</v>
      </c>
      <c r="S433" s="31" t="s">
        <v>3121</v>
      </c>
      <c r="T433" s="95" t="str">
        <f t="shared" si="35"/>
        <v>2023 02</v>
      </c>
      <c r="U433" s="32">
        <f t="shared" si="31"/>
        <v>1576.4029485920723</v>
      </c>
      <c r="V433" s="22">
        <f t="shared" si="32"/>
        <v>0.91460062971468925</v>
      </c>
      <c r="X433" s="33"/>
      <c r="Y433" s="33"/>
    </row>
    <row r="434" spans="1:25" x14ac:dyDescent="0.2">
      <c r="A434" s="93" t="s">
        <v>192</v>
      </c>
      <c r="B434" s="94" t="str">
        <f>IFERROR(VLOOKUP($A434,HeadJournal!$A$1:$NTR$890,COLUMN(HeadJournal!B$1),0),"")</f>
        <v>922332066-0</v>
      </c>
      <c r="C434" s="94" t="str">
        <f>IFERROR(VLOOKUP($A434,HeadJournal!$A$1:$NTR$890,COLUMN(HeadJournal!C$1),0),"")</f>
        <v>iHerb_AV CYG0792</v>
      </c>
      <c r="D434" s="125" t="str">
        <f>IFERROR(VLOOKUP($A434,HeadJournal!$A$1:$NTR$890,COLUMN(HeadJournal!D$1),0),"")</f>
        <v>Доставлен</v>
      </c>
      <c r="E434" s="95">
        <f>IFERROR(VLOOKUP($A434,HeadJournal!$A$1:$NTR$890,COLUMN(HeadJournal!G$1),0),"")</f>
        <v>44890</v>
      </c>
      <c r="F434" s="95" t="str">
        <f t="shared" si="33"/>
        <v>2022 11</v>
      </c>
      <c r="G434" s="96" t="s">
        <v>5</v>
      </c>
      <c r="H434" s="161" t="s">
        <v>2623</v>
      </c>
      <c r="I434" s="97" t="s">
        <v>2052</v>
      </c>
      <c r="J434" s="97" t="s">
        <v>3915</v>
      </c>
      <c r="K434" s="29">
        <v>5</v>
      </c>
      <c r="L434" s="29">
        <v>-3</v>
      </c>
      <c r="M434" s="30">
        <f>IFERROR(VLOOKUP($A434,HeadJournal!$A$1:$J$890,COLUMN(HeadJournal!I$1),0)*($K434+$L434)/(SUMIF($A:$A,$A434,$K:$K)+SUMIF($A:$A,$A434,$L:$L)),0)</f>
        <v>0</v>
      </c>
      <c r="N434" s="30">
        <f>IFERROR((VLOOKUP($A434,HeadJournal!$A$1:$K$890,COLUMN(HeadJournal!K$1),0)-VLOOKUP($A434,HeadJournal!$A$1:$K$890,COLUMN(HeadJournal!J$1),0))*($K434+$L434)/(SUMIF($A:$A,$A434,$K:$K)+SUMIF($A:$A,$A434,$L:$L)),0)</f>
        <v>0</v>
      </c>
      <c r="O434" s="30">
        <f>IFERROR((VLOOKUP($A434,HeadJournal!$A$1:$L$890,COLUMN(HeadJournal!L$1),0)*($K434+$L434)/(SUMIF($A:$A,$A434,$K:$K)+SUMIF($A:$A,$A434,$L:$L)))/VLOOKUP($A434,HeadJournal!$A$1:$L$890,COLUMN(HeadJournal!H$1),0),0)</f>
        <v>0.64755351475454115</v>
      </c>
      <c r="P434" s="30">
        <f>IFERROR(SUM(K434:O434)*VLOOKUP($A434,HeadJournal!$A$1:$L$890,COLUMN(HeadJournal!H$1),0),0)</f>
        <v>182.68119251806334</v>
      </c>
      <c r="Q434" s="29">
        <v>500</v>
      </c>
      <c r="R434" s="31">
        <v>45185</v>
      </c>
      <c r="S434" s="31" t="s">
        <v>3121</v>
      </c>
      <c r="T434" s="95" t="str">
        <f t="shared" si="35"/>
        <v>2023 09</v>
      </c>
      <c r="U434" s="32">
        <f t="shared" si="31"/>
        <v>317.31880748193669</v>
      </c>
      <c r="V434" s="22">
        <f t="shared" si="32"/>
        <v>1.7370086274784993</v>
      </c>
      <c r="X434" s="33"/>
      <c r="Y434" s="33"/>
    </row>
    <row r="435" spans="1:25" x14ac:dyDescent="0.2">
      <c r="A435" s="93" t="s">
        <v>192</v>
      </c>
      <c r="B435" s="94" t="str">
        <f>IFERROR(VLOOKUP($A435,HeadJournal!$A$1:$NTR$890,COLUMN(HeadJournal!B$1),0),"")</f>
        <v>922332066-0</v>
      </c>
      <c r="C435" s="94" t="str">
        <f>IFERROR(VLOOKUP($A435,HeadJournal!$A$1:$NTR$890,COLUMN(HeadJournal!C$1),0),"")</f>
        <v>iHerb_AV CYG0792</v>
      </c>
      <c r="D435" s="125" t="str">
        <f>IFERROR(VLOOKUP($A435,HeadJournal!$A$1:$NTR$890,COLUMN(HeadJournal!D$1),0),"")</f>
        <v>Доставлен</v>
      </c>
      <c r="E435" s="95">
        <f>IFERROR(VLOOKUP($A435,HeadJournal!$A$1:$NTR$890,COLUMN(HeadJournal!G$1),0),"")</f>
        <v>44890</v>
      </c>
      <c r="F435" s="95" t="str">
        <f t="shared" si="33"/>
        <v>2022 11</v>
      </c>
      <c r="G435" s="96" t="s">
        <v>7</v>
      </c>
      <c r="H435" s="160" t="str">
        <f>RIGHT(Journal!$J435,9)</f>
        <v>MBN-01739</v>
      </c>
      <c r="I435" s="96" t="str">
        <f t="shared" si="34"/>
        <v>Mild By Nature</v>
      </c>
      <c r="J435" s="97" t="s">
        <v>200</v>
      </c>
      <c r="K435" s="29">
        <v>3</v>
      </c>
      <c r="L435" s="29">
        <v>-1.2</v>
      </c>
      <c r="M435" s="30">
        <f>IFERROR(VLOOKUP($A435,HeadJournal!$A$1:$J$890,COLUMN(HeadJournal!I$1),0)*($K435+$L435)/(SUMIF($A:$A,$A435,$K:$K)+SUMIF($A:$A,$A435,$L:$L)),0)</f>
        <v>0</v>
      </c>
      <c r="N435" s="30">
        <f>IFERROR((VLOOKUP($A435,HeadJournal!$A$1:$K$890,COLUMN(HeadJournal!K$1),0)-VLOOKUP($A435,HeadJournal!$A$1:$K$890,COLUMN(HeadJournal!J$1),0))*($K435+$L435)/(SUMIF($A:$A,$A435,$K:$K)+SUMIF($A:$A,$A435,$L:$L)),0)</f>
        <v>0</v>
      </c>
      <c r="O435" s="30">
        <f>IFERROR((VLOOKUP($A435,HeadJournal!$A$1:$L$890,COLUMN(HeadJournal!L$1),0)*($K435+$L435)/(SUMIF($A:$A,$A435,$K:$K)+SUMIF($A:$A,$A435,$L:$L)))/VLOOKUP($A435,HeadJournal!$A$1:$L$890,COLUMN(HeadJournal!H$1),0),0)</f>
        <v>0.58279816327908707</v>
      </c>
      <c r="P435" s="30">
        <f>IFERROR(SUM(K435:O435)*VLOOKUP($A435,HeadJournal!$A$1:$L$890,COLUMN(HeadJournal!H$1),0),0)</f>
        <v>164.41307326625702</v>
      </c>
      <c r="Q435" s="29">
        <v>500</v>
      </c>
      <c r="R435" s="31">
        <v>45271</v>
      </c>
      <c r="S435" s="31" t="s">
        <v>3121</v>
      </c>
      <c r="T435" s="95" t="str">
        <f t="shared" si="35"/>
        <v>2023 12</v>
      </c>
      <c r="U435" s="32">
        <f t="shared" si="31"/>
        <v>335.58692673374298</v>
      </c>
      <c r="V435" s="22">
        <f t="shared" si="32"/>
        <v>2.0411206971983322</v>
      </c>
      <c r="X435" s="33"/>
      <c r="Y435" s="33"/>
    </row>
    <row r="436" spans="1:25" x14ac:dyDescent="0.2">
      <c r="A436" s="93" t="s">
        <v>192</v>
      </c>
      <c r="B436" s="94" t="str">
        <f>IFERROR(VLOOKUP($A436,HeadJournal!$A$1:$NTR$890,COLUMN(HeadJournal!B$1),0),"")</f>
        <v>922332066-0</v>
      </c>
      <c r="C436" s="94" t="str">
        <f>IFERROR(VLOOKUP($A436,HeadJournal!$A$1:$NTR$890,COLUMN(HeadJournal!C$1),0),"")</f>
        <v>iHerb_AV CYG0792</v>
      </c>
      <c r="D436" s="125" t="str">
        <f>IFERROR(VLOOKUP($A436,HeadJournal!$A$1:$NTR$890,COLUMN(HeadJournal!D$1),0),"")</f>
        <v>Доставлен</v>
      </c>
      <c r="E436" s="95">
        <f>IFERROR(VLOOKUP($A436,HeadJournal!$A$1:$NTR$890,COLUMN(HeadJournal!G$1),0),"")</f>
        <v>44890</v>
      </c>
      <c r="F436" s="95" t="str">
        <f t="shared" si="33"/>
        <v>2022 11</v>
      </c>
      <c r="G436" s="96" t="s">
        <v>7</v>
      </c>
      <c r="H436" s="160" t="str">
        <f>RIGHT(Journal!$J436,9)</f>
        <v>GDP-00701</v>
      </c>
      <c r="I436" s="96" t="str">
        <f t="shared" si="34"/>
        <v>The Grandpa Soap Co.</v>
      </c>
      <c r="J436" s="97" t="s">
        <v>201</v>
      </c>
      <c r="K436" s="29">
        <v>5.75</v>
      </c>
      <c r="L436" s="29">
        <v>-1.44</v>
      </c>
      <c r="M436" s="30">
        <f>IFERROR(VLOOKUP($A436,HeadJournal!$A$1:$J$890,COLUMN(HeadJournal!I$1),0)*($K436+$L436)/(SUMIF($A:$A,$A436,$K:$K)+SUMIF($A:$A,$A436,$L:$L)),0)</f>
        <v>0</v>
      </c>
      <c r="N436" s="30">
        <f>IFERROR((VLOOKUP($A436,HeadJournal!$A$1:$K$890,COLUMN(HeadJournal!K$1),0)-VLOOKUP($A436,HeadJournal!$A$1:$K$890,COLUMN(HeadJournal!J$1),0))*($K436+$L436)/(SUMIF($A:$A,$A436,$K:$K)+SUMIF($A:$A,$A436,$L:$L)),0)</f>
        <v>0</v>
      </c>
      <c r="O436" s="30">
        <f>IFERROR((VLOOKUP($A436,HeadJournal!$A$1:$L$890,COLUMN(HeadJournal!L$1),0)*($K436+$L436)/(SUMIF($A:$A,$A436,$K:$K)+SUMIF($A:$A,$A436,$L:$L)))/VLOOKUP($A436,HeadJournal!$A$1:$L$890,COLUMN(HeadJournal!H$1),0),0)</f>
        <v>1.3954778242960364</v>
      </c>
      <c r="P436" s="30">
        <f>IFERROR(SUM(K436:O436)*VLOOKUP($A436,HeadJournal!$A$1:$L$890,COLUMN(HeadJournal!H$1),0),0)</f>
        <v>393.67796987642657</v>
      </c>
      <c r="Q436" s="29"/>
      <c r="R436" s="31"/>
      <c r="S436" s="31"/>
      <c r="T436" s="95" t="str">
        <f t="shared" si="35"/>
        <v/>
      </c>
      <c r="U436" s="32">
        <f t="shared" si="31"/>
        <v>-393.67796987642657</v>
      </c>
      <c r="V436" s="22" t="str">
        <f t="shared" si="32"/>
        <v/>
      </c>
      <c r="X436" s="33"/>
      <c r="Y436" s="33"/>
    </row>
    <row r="437" spans="1:25" x14ac:dyDescent="0.2">
      <c r="A437" s="93" t="s">
        <v>202</v>
      </c>
      <c r="B437" s="94" t="str">
        <f>IFERROR(VLOOKUP($A437,HeadJournal!$A$1:$NTR$890,COLUMN(HeadJournal!B$1),0),"")</f>
        <v>922366453-0</v>
      </c>
      <c r="C437" s="94" t="str">
        <f>IFERROR(VLOOKUP($A437,HeadJournal!$A$1:$NTR$890,COLUMN(HeadJournal!C$1),0),"")</f>
        <v>iHerb_OA CZN6870</v>
      </c>
      <c r="D437" s="125" t="str">
        <f>IFERROR(VLOOKUP($A437,HeadJournal!$A$1:$NTR$890,COLUMN(HeadJournal!D$1),0),"")</f>
        <v>Доставлен</v>
      </c>
      <c r="E437" s="95">
        <f>IFERROR(VLOOKUP($A437,HeadJournal!$A$1:$NTR$890,COLUMN(HeadJournal!G$1),0),"")</f>
        <v>44892</v>
      </c>
      <c r="F437" s="95" t="str">
        <f t="shared" si="33"/>
        <v>2022 11</v>
      </c>
      <c r="G437" s="96" t="s">
        <v>7</v>
      </c>
      <c r="H437" s="160" t="str">
        <f>RIGHT(Journal!$J437,9)</f>
        <v>EOS-00284</v>
      </c>
      <c r="I437" s="96" t="str">
        <f t="shared" si="34"/>
        <v>EOS</v>
      </c>
      <c r="J437" s="97" t="s">
        <v>203</v>
      </c>
      <c r="K437" s="29">
        <v>5.0999999999999996</v>
      </c>
      <c r="L437" s="29">
        <v>-1.28</v>
      </c>
      <c r="M437" s="30">
        <f>IFERROR(VLOOKUP($A437,HeadJournal!$A$1:$J$890,COLUMN(HeadJournal!I$1),0)*($K437+$L437)/(SUMIF($A:$A,$A437,$K:$K)+SUMIF($A:$A,$A437,$L:$L)),0)</f>
        <v>0</v>
      </c>
      <c r="N437" s="30">
        <f>IFERROR((VLOOKUP($A437,HeadJournal!$A$1:$K$890,COLUMN(HeadJournal!K$1),0)-VLOOKUP($A437,HeadJournal!$A$1:$K$890,COLUMN(HeadJournal!J$1),0))*($K437+$L437)/(SUMIF($A:$A,$A437,$K:$K)+SUMIF($A:$A,$A437,$L:$L)),0)</f>
        <v>0</v>
      </c>
      <c r="O437" s="30">
        <f>IFERROR((VLOOKUP($A437,HeadJournal!$A$1:$L$890,COLUMN(HeadJournal!L$1),0)*($K437+$L437)/(SUMIF($A:$A,$A437,$K:$K)+SUMIF($A:$A,$A437,$L:$L)))/VLOOKUP($A437,HeadJournal!$A$1:$L$890,COLUMN(HeadJournal!H$1),0),0)</f>
        <v>1.7793308490562814</v>
      </c>
      <c r="P437" s="30">
        <f>IFERROR(SUM(K437:O437)*VLOOKUP($A437,HeadJournal!$A$1:$L$890,COLUMN(HeadJournal!H$1),0),0)</f>
        <v>386.35382858488333</v>
      </c>
      <c r="Q437" s="29">
        <v>700</v>
      </c>
      <c r="R437" s="31">
        <v>44942</v>
      </c>
      <c r="S437" s="31" t="s">
        <v>3121</v>
      </c>
      <c r="T437" s="95" t="str">
        <f t="shared" si="35"/>
        <v>2023 01</v>
      </c>
      <c r="U437" s="32">
        <f t="shared" si="31"/>
        <v>313.64617141511667</v>
      </c>
      <c r="V437" s="22">
        <f t="shared" si="32"/>
        <v>0.81181069840545783</v>
      </c>
      <c r="X437" s="33"/>
      <c r="Y437" s="33"/>
    </row>
    <row r="438" spans="1:25" x14ac:dyDescent="0.2">
      <c r="A438" s="93" t="s">
        <v>202</v>
      </c>
      <c r="B438" s="94" t="str">
        <f>IFERROR(VLOOKUP($A438,HeadJournal!$A$1:$NTR$890,COLUMN(HeadJournal!B$1),0),"")</f>
        <v>922366453-0</v>
      </c>
      <c r="C438" s="94" t="str">
        <f>IFERROR(VLOOKUP($A438,HeadJournal!$A$1:$NTR$890,COLUMN(HeadJournal!C$1),0),"")</f>
        <v>iHerb_OA CZN6870</v>
      </c>
      <c r="D438" s="125" t="str">
        <f>IFERROR(VLOOKUP($A438,HeadJournal!$A$1:$NTR$890,COLUMN(HeadJournal!D$1),0),"")</f>
        <v>Доставлен</v>
      </c>
      <c r="E438" s="95">
        <f>IFERROR(VLOOKUP($A438,HeadJournal!$A$1:$NTR$890,COLUMN(HeadJournal!G$1),0),"")</f>
        <v>44892</v>
      </c>
      <c r="F438" s="95" t="str">
        <f t="shared" si="33"/>
        <v>2022 11</v>
      </c>
      <c r="G438" s="96" t="s">
        <v>7</v>
      </c>
      <c r="H438" s="160" t="str">
        <f>RIGHT(Journal!$J438,9)</f>
        <v>EOS-01004</v>
      </c>
      <c r="I438" s="96" t="str">
        <f t="shared" si="34"/>
        <v>EOS</v>
      </c>
      <c r="J438" s="97" t="s">
        <v>204</v>
      </c>
      <c r="K438" s="29">
        <v>5.07</v>
      </c>
      <c r="L438" s="29">
        <v>-1.27</v>
      </c>
      <c r="M438" s="30">
        <f>IFERROR(VLOOKUP($A438,HeadJournal!$A$1:$J$890,COLUMN(HeadJournal!I$1),0)*($K438+$L438)/(SUMIF($A:$A,$A438,$K:$K)+SUMIF($A:$A,$A438,$L:$L)),0)</f>
        <v>0</v>
      </c>
      <c r="N438" s="30">
        <f>IFERROR((VLOOKUP($A438,HeadJournal!$A$1:$K$890,COLUMN(HeadJournal!K$1),0)-VLOOKUP($A438,HeadJournal!$A$1:$K$890,COLUMN(HeadJournal!J$1),0))*($K438+$L438)/(SUMIF($A:$A,$A438,$K:$K)+SUMIF($A:$A,$A438,$L:$L)),0)</f>
        <v>0</v>
      </c>
      <c r="O438" s="30">
        <f>IFERROR((VLOOKUP($A438,HeadJournal!$A$1:$L$890,COLUMN(HeadJournal!L$1),0)*($K438+$L438)/(SUMIF($A:$A,$A438,$K:$K)+SUMIF($A:$A,$A438,$L:$L)))/VLOOKUP($A438,HeadJournal!$A$1:$L$890,COLUMN(HeadJournal!H$1),0),0)</f>
        <v>1.7700149807366155</v>
      </c>
      <c r="P438" s="30">
        <f>IFERROR(SUM(K438:O438)*VLOOKUP($A438,HeadJournal!$A$1:$L$890,COLUMN(HeadJournal!H$1),0),0)</f>
        <v>384.33103367082651</v>
      </c>
      <c r="Q438" s="29">
        <v>700</v>
      </c>
      <c r="R438" s="31">
        <v>44942</v>
      </c>
      <c r="S438" s="31" t="s">
        <v>3121</v>
      </c>
      <c r="T438" s="95" t="str">
        <f t="shared" si="35"/>
        <v>2023 01</v>
      </c>
      <c r="U438" s="32">
        <f t="shared" si="31"/>
        <v>315.66896632917349</v>
      </c>
      <c r="V438" s="22">
        <f t="shared" si="32"/>
        <v>0.82134654418653841</v>
      </c>
      <c r="X438" s="33"/>
      <c r="Y438" s="33"/>
    </row>
    <row r="439" spans="1:25" x14ac:dyDescent="0.2">
      <c r="A439" s="93" t="s">
        <v>202</v>
      </c>
      <c r="B439" s="94" t="str">
        <f>IFERROR(VLOOKUP($A439,HeadJournal!$A$1:$NTR$890,COLUMN(HeadJournal!B$1),0),"")</f>
        <v>922366453-0</v>
      </c>
      <c r="C439" s="94" t="str">
        <f>IFERROR(VLOOKUP($A439,HeadJournal!$A$1:$NTR$890,COLUMN(HeadJournal!C$1),0),"")</f>
        <v>iHerb_OA CZN6870</v>
      </c>
      <c r="D439" s="125" t="str">
        <f>IFERROR(VLOOKUP($A439,HeadJournal!$A$1:$NTR$890,COLUMN(HeadJournal!D$1),0),"")</f>
        <v>Доставлен</v>
      </c>
      <c r="E439" s="95">
        <f>IFERROR(VLOOKUP($A439,HeadJournal!$A$1:$NTR$890,COLUMN(HeadJournal!G$1),0),"")</f>
        <v>44892</v>
      </c>
      <c r="F439" s="95" t="str">
        <f t="shared" si="33"/>
        <v>2022 11</v>
      </c>
      <c r="G439" s="96" t="s">
        <v>7</v>
      </c>
      <c r="H439" s="161" t="s">
        <v>2724</v>
      </c>
      <c r="I439" s="97" t="s">
        <v>2725</v>
      </c>
      <c r="J439" s="97" t="s">
        <v>2726</v>
      </c>
      <c r="K439" s="29">
        <v>17.03</v>
      </c>
      <c r="L439" s="29">
        <v>-4.26</v>
      </c>
      <c r="M439" s="30">
        <f>IFERROR(VLOOKUP($A439,HeadJournal!$A$1:$J$890,COLUMN(HeadJournal!I$1),0)*($K439+$L439)/(SUMIF($A:$A,$A439,$K:$K)+SUMIF($A:$A,$A439,$L:$L)),0)</f>
        <v>0</v>
      </c>
      <c r="N439" s="30">
        <f>IFERROR((VLOOKUP($A439,HeadJournal!$A$1:$K$890,COLUMN(HeadJournal!K$1),0)-VLOOKUP($A439,HeadJournal!$A$1:$K$890,COLUMN(HeadJournal!J$1),0))*($K439+$L439)/(SUMIF($A:$A,$A439,$K:$K)+SUMIF($A:$A,$A439,$L:$L)),0)</f>
        <v>0</v>
      </c>
      <c r="O439" s="30">
        <f>IFERROR((VLOOKUP($A439,HeadJournal!$A$1:$L$890,COLUMN(HeadJournal!L$1),0)*($K439+$L439)/(SUMIF($A:$A,$A439,$K:$K)+SUMIF($A:$A,$A439,$L:$L)))/VLOOKUP($A439,HeadJournal!$A$1:$L$890,COLUMN(HeadJournal!H$1),0),0)</f>
        <v>5.948181922106996</v>
      </c>
      <c r="P439" s="30">
        <f>IFERROR(SUM(K439:O439)*VLOOKUP($A439,HeadJournal!$A$1:$L$890,COLUMN(HeadJournal!H$1),0),0)</f>
        <v>1291.5545526253827</v>
      </c>
      <c r="Q439" s="29">
        <v>1700</v>
      </c>
      <c r="R439" s="31">
        <v>44943</v>
      </c>
      <c r="S439" s="31" t="s">
        <v>3121</v>
      </c>
      <c r="T439" s="95" t="str">
        <f t="shared" si="35"/>
        <v>2023 01</v>
      </c>
      <c r="U439" s="32">
        <f t="shared" si="31"/>
        <v>408.44544737461729</v>
      </c>
      <c r="V439" s="22">
        <f t="shared" si="32"/>
        <v>0.31624327949938907</v>
      </c>
      <c r="X439" s="33"/>
      <c r="Y439" s="33"/>
    </row>
    <row r="440" spans="1:25" x14ac:dyDescent="0.2">
      <c r="A440" s="93" t="s">
        <v>202</v>
      </c>
      <c r="B440" s="94" t="str">
        <f>IFERROR(VLOOKUP($A440,HeadJournal!$A$1:$NTR$890,COLUMN(HeadJournal!B$1),0),"")</f>
        <v>922366453-0</v>
      </c>
      <c r="C440" s="94" t="str">
        <f>IFERROR(VLOOKUP($A440,HeadJournal!$A$1:$NTR$890,COLUMN(HeadJournal!C$1),0),"")</f>
        <v>iHerb_OA CZN6870</v>
      </c>
      <c r="D440" s="125" t="str">
        <f>IFERROR(VLOOKUP($A440,HeadJournal!$A$1:$NTR$890,COLUMN(HeadJournal!D$1),0),"")</f>
        <v>Доставлен</v>
      </c>
      <c r="E440" s="95">
        <f>IFERROR(VLOOKUP($A440,HeadJournal!$A$1:$NTR$890,COLUMN(HeadJournal!G$1),0),"")</f>
        <v>44892</v>
      </c>
      <c r="F440" s="95" t="str">
        <f t="shared" si="33"/>
        <v>2022 11</v>
      </c>
      <c r="G440" s="96" t="s">
        <v>7</v>
      </c>
      <c r="H440" s="161" t="s">
        <v>2724</v>
      </c>
      <c r="I440" s="97" t="s">
        <v>2725</v>
      </c>
      <c r="J440" s="97" t="s">
        <v>2726</v>
      </c>
      <c r="K440" s="29">
        <v>17.03</v>
      </c>
      <c r="L440" s="29">
        <v>-4.26</v>
      </c>
      <c r="M440" s="30">
        <f>IFERROR(VLOOKUP($A440,HeadJournal!$A$1:$J$890,COLUMN(HeadJournal!I$1),0)*($K440+$L440)/(SUMIF($A:$A,$A440,$K:$K)+SUMIF($A:$A,$A440,$L:$L)),0)</f>
        <v>0</v>
      </c>
      <c r="N440" s="30">
        <f>IFERROR((VLOOKUP($A440,HeadJournal!$A$1:$K$890,COLUMN(HeadJournal!K$1),0)-VLOOKUP($A440,HeadJournal!$A$1:$K$890,COLUMN(HeadJournal!J$1),0))*($K440+$L440)/(SUMIF($A:$A,$A440,$K:$K)+SUMIF($A:$A,$A440,$L:$L)),0)</f>
        <v>0</v>
      </c>
      <c r="O440" s="30">
        <f>IFERROR((VLOOKUP($A440,HeadJournal!$A$1:$L$890,COLUMN(HeadJournal!L$1),0)*($K440+$L440)/(SUMIF($A:$A,$A440,$K:$K)+SUMIF($A:$A,$A440,$L:$L)))/VLOOKUP($A440,HeadJournal!$A$1:$L$890,COLUMN(HeadJournal!H$1),0),0)</f>
        <v>5.948181922106996</v>
      </c>
      <c r="P440" s="30">
        <f>IFERROR(SUM(K440:O440)*VLOOKUP($A440,HeadJournal!$A$1:$L$890,COLUMN(HeadJournal!H$1),0),0)</f>
        <v>1291.5545526253827</v>
      </c>
      <c r="Q440" s="29">
        <v>1700</v>
      </c>
      <c r="R440" s="31">
        <v>44943</v>
      </c>
      <c r="S440" s="31" t="s">
        <v>3121</v>
      </c>
      <c r="T440" s="95" t="str">
        <f t="shared" si="35"/>
        <v>2023 01</v>
      </c>
      <c r="U440" s="32">
        <f t="shared" si="31"/>
        <v>408.44544737461729</v>
      </c>
      <c r="V440" s="22">
        <f t="shared" si="32"/>
        <v>0.31624327949938907</v>
      </c>
      <c r="X440" s="33"/>
      <c r="Y440" s="33"/>
    </row>
    <row r="441" spans="1:25" x14ac:dyDescent="0.2">
      <c r="A441" s="93" t="s">
        <v>202</v>
      </c>
      <c r="B441" s="94" t="str">
        <f>IFERROR(VLOOKUP($A441,HeadJournal!$A$1:$NTR$890,COLUMN(HeadJournal!B$1),0),"")</f>
        <v>922366453-0</v>
      </c>
      <c r="C441" s="94" t="str">
        <f>IFERROR(VLOOKUP($A441,HeadJournal!$A$1:$NTR$890,COLUMN(HeadJournal!C$1),0),"")</f>
        <v>iHerb_OA CZN6870</v>
      </c>
      <c r="D441" s="125" t="str">
        <f>IFERROR(VLOOKUP($A441,HeadJournal!$A$1:$NTR$890,COLUMN(HeadJournal!D$1),0),"")</f>
        <v>Доставлен</v>
      </c>
      <c r="E441" s="95">
        <f>IFERROR(VLOOKUP($A441,HeadJournal!$A$1:$NTR$890,COLUMN(HeadJournal!G$1),0),"")</f>
        <v>44892</v>
      </c>
      <c r="F441" s="95" t="str">
        <f t="shared" si="33"/>
        <v>2022 11</v>
      </c>
      <c r="G441" s="96" t="s">
        <v>7</v>
      </c>
      <c r="H441" s="160" t="str">
        <f>RIGHT(Journal!$J441,9)</f>
        <v>MBN-02152</v>
      </c>
      <c r="I441" s="96" t="str">
        <f t="shared" si="34"/>
        <v>Mild By Nature</v>
      </c>
      <c r="J441" s="97" t="s">
        <v>180</v>
      </c>
      <c r="K441" s="29">
        <v>8</v>
      </c>
      <c r="L441" s="29">
        <v>-4.25</v>
      </c>
      <c r="M441" s="30">
        <f>IFERROR(VLOOKUP($A441,HeadJournal!$A$1:$J$890,COLUMN(HeadJournal!I$1),0)*($K441+$L441)/(SUMIF($A:$A,$A441,$K:$K)+SUMIF($A:$A,$A441,$L:$L)),0)</f>
        <v>0</v>
      </c>
      <c r="N441" s="30">
        <f>IFERROR((VLOOKUP($A441,HeadJournal!$A$1:$K$890,COLUMN(HeadJournal!K$1),0)-VLOOKUP($A441,HeadJournal!$A$1:$K$890,COLUMN(HeadJournal!J$1),0))*($K441+$L441)/(SUMIF($A:$A,$A441,$K:$K)+SUMIF($A:$A,$A441,$L:$L)),0)</f>
        <v>0</v>
      </c>
      <c r="O441" s="30">
        <f>IFERROR((VLOOKUP($A441,HeadJournal!$A$1:$L$890,COLUMN(HeadJournal!L$1),0)*($K441+$L441)/(SUMIF($A:$A,$A441,$K:$K)+SUMIF($A:$A,$A441,$L:$L)))/VLOOKUP($A441,HeadJournal!$A$1:$L$890,COLUMN(HeadJournal!H$1),0),0)</f>
        <v>1.7467253099374496</v>
      </c>
      <c r="P441" s="30">
        <f>IFERROR(SUM(K441:O441)*VLOOKUP($A441,HeadJournal!$A$1:$L$890,COLUMN(HeadJournal!H$1),0),0)</f>
        <v>379.27404638568402</v>
      </c>
      <c r="Q441" s="29"/>
      <c r="R441" s="31"/>
      <c r="S441" s="31"/>
      <c r="T441" s="95" t="str">
        <f t="shared" si="35"/>
        <v/>
      </c>
      <c r="U441" s="32">
        <f t="shared" si="31"/>
        <v>-379.27404638568402</v>
      </c>
      <c r="V441" s="22" t="str">
        <f t="shared" si="32"/>
        <v/>
      </c>
      <c r="X441" s="33"/>
      <c r="Y441" s="33"/>
    </row>
    <row r="442" spans="1:25" x14ac:dyDescent="0.2">
      <c r="A442" s="93" t="s">
        <v>202</v>
      </c>
      <c r="B442" s="94" t="str">
        <f>IFERROR(VLOOKUP($A442,HeadJournal!$A$1:$NTR$890,COLUMN(HeadJournal!B$1),0),"")</f>
        <v>922366453-0</v>
      </c>
      <c r="C442" s="94" t="str">
        <f>IFERROR(VLOOKUP($A442,HeadJournal!$A$1:$NTR$890,COLUMN(HeadJournal!C$1),0),"")</f>
        <v>iHerb_OA CZN6870</v>
      </c>
      <c r="D442" s="125" t="str">
        <f>IFERROR(VLOOKUP($A442,HeadJournal!$A$1:$NTR$890,COLUMN(HeadJournal!D$1),0),"")</f>
        <v>Доставлен</v>
      </c>
      <c r="E442" s="95">
        <f>IFERROR(VLOOKUP($A442,HeadJournal!$A$1:$NTR$890,COLUMN(HeadJournal!G$1),0),"")</f>
        <v>44892</v>
      </c>
      <c r="F442" s="95" t="str">
        <f t="shared" si="33"/>
        <v>2022 11</v>
      </c>
      <c r="G442" s="96" t="s">
        <v>5</v>
      </c>
      <c r="H442" s="161" t="s">
        <v>2899</v>
      </c>
      <c r="I442" s="97" t="s">
        <v>2042</v>
      </c>
      <c r="J442" s="97" t="s">
        <v>2900</v>
      </c>
      <c r="K442" s="29">
        <v>8.68</v>
      </c>
      <c r="L442" s="29">
        <v>-2.17</v>
      </c>
      <c r="M442" s="30">
        <f>IFERROR(VLOOKUP($A442,HeadJournal!$A$1:$J$890,COLUMN(HeadJournal!I$1),0)*($K442+$L442)/(SUMIF($A:$A,$A442,$K:$K)+SUMIF($A:$A,$A442,$L:$L)),0)</f>
        <v>0</v>
      </c>
      <c r="N442" s="30">
        <f>IFERROR((VLOOKUP($A442,HeadJournal!$A$1:$K$890,COLUMN(HeadJournal!K$1),0)-VLOOKUP($A442,HeadJournal!$A$1:$K$890,COLUMN(HeadJournal!J$1),0))*($K442+$L442)/(SUMIF($A:$A,$A442,$K:$K)+SUMIF($A:$A,$A442,$L:$L)),0)</f>
        <v>0</v>
      </c>
      <c r="O442" s="30">
        <f>IFERROR((VLOOKUP($A442,HeadJournal!$A$1:$L$890,COLUMN(HeadJournal!L$1),0)*($K442+$L442)/(SUMIF($A:$A,$A442,$K:$K)+SUMIF($A:$A,$A442,$L:$L)))/VLOOKUP($A442,HeadJournal!$A$1:$L$890,COLUMN(HeadJournal!H$1),0),0)</f>
        <v>3.0323151380514117</v>
      </c>
      <c r="P442" s="30">
        <f>IFERROR(SUM(K442:O442)*VLOOKUP($A442,HeadJournal!$A$1:$L$890,COLUMN(HeadJournal!H$1),0),0)</f>
        <v>658.41974452554734</v>
      </c>
      <c r="Q442" s="29">
        <v>1300</v>
      </c>
      <c r="R442" s="31">
        <v>44938</v>
      </c>
      <c r="S442" s="31" t="s">
        <v>3121</v>
      </c>
      <c r="T442" s="95" t="str">
        <f t="shared" si="35"/>
        <v>2023 01</v>
      </c>
      <c r="U442" s="32">
        <f t="shared" si="31"/>
        <v>641.58025547445266</v>
      </c>
      <c r="V442" s="22">
        <f t="shared" si="32"/>
        <v>0.97442438628077732</v>
      </c>
      <c r="X442" s="33"/>
      <c r="Y442" s="33"/>
    </row>
    <row r="443" spans="1:25" x14ac:dyDescent="0.2">
      <c r="A443" s="93" t="s">
        <v>202</v>
      </c>
      <c r="B443" s="94" t="str">
        <f>IFERROR(VLOOKUP($A443,HeadJournal!$A$1:$NTR$890,COLUMN(HeadJournal!B$1),0),"")</f>
        <v>922366453-0</v>
      </c>
      <c r="C443" s="94" t="str">
        <f>IFERROR(VLOOKUP($A443,HeadJournal!$A$1:$NTR$890,COLUMN(HeadJournal!C$1),0),"")</f>
        <v>iHerb_OA CZN6870</v>
      </c>
      <c r="D443" s="125" t="str">
        <f>IFERROR(VLOOKUP($A443,HeadJournal!$A$1:$NTR$890,COLUMN(HeadJournal!D$1),0),"")</f>
        <v>Доставлен</v>
      </c>
      <c r="E443" s="95">
        <f>IFERROR(VLOOKUP($A443,HeadJournal!$A$1:$NTR$890,COLUMN(HeadJournal!G$1),0),"")</f>
        <v>44892</v>
      </c>
      <c r="F443" s="95" t="str">
        <f t="shared" si="33"/>
        <v>2022 11</v>
      </c>
      <c r="G443" s="96" t="s">
        <v>5</v>
      </c>
      <c r="H443" s="160" t="str">
        <f>RIGHT(Journal!$J443,9)</f>
        <v>MAV-17681</v>
      </c>
      <c r="I443" s="96" t="str">
        <f t="shared" si="34"/>
        <v>Mason Natural</v>
      </c>
      <c r="J443" s="97" t="s">
        <v>205</v>
      </c>
      <c r="K443" s="29">
        <v>7.66</v>
      </c>
      <c r="L443" s="29">
        <v>-1.915</v>
      </c>
      <c r="M443" s="30">
        <f>IFERROR(VLOOKUP($A443,HeadJournal!$A$1:$J$890,COLUMN(HeadJournal!I$1),0)*($K443+$L443)/(SUMIF($A:$A,$A443,$K:$K)+SUMIF($A:$A,$A443,$L:$L)),0)</f>
        <v>0</v>
      </c>
      <c r="N443" s="30">
        <f>IFERROR((VLOOKUP($A443,HeadJournal!$A$1:$K$890,COLUMN(HeadJournal!K$1),0)-VLOOKUP($A443,HeadJournal!$A$1:$K$890,COLUMN(HeadJournal!J$1),0))*($K443+$L443)/(SUMIF($A:$A,$A443,$K:$K)+SUMIF($A:$A,$A443,$L:$L)),0)</f>
        <v>0</v>
      </c>
      <c r="O443" s="30">
        <f>IFERROR((VLOOKUP($A443,HeadJournal!$A$1:$L$890,COLUMN(HeadJournal!L$1),0)*($K443+$L443)/(SUMIF($A:$A,$A443,$K:$K)+SUMIF($A:$A,$A443,$L:$L)))/VLOOKUP($A443,HeadJournal!$A$1:$L$890,COLUMN(HeadJournal!H$1),0),0)</f>
        <v>2.6759831748241725</v>
      </c>
      <c r="P443" s="30">
        <f>IFERROR(SUM(K443:O443)*VLOOKUP($A443,HeadJournal!$A$1:$L$890,COLUMN(HeadJournal!H$1),0),0)</f>
        <v>581.04783906286787</v>
      </c>
      <c r="Q443" s="29">
        <v>1200</v>
      </c>
      <c r="R443" s="31">
        <v>44938</v>
      </c>
      <c r="S443" s="31" t="s">
        <v>3121</v>
      </c>
      <c r="T443" s="95" t="str">
        <f t="shared" si="35"/>
        <v>2023 01</v>
      </c>
      <c r="U443" s="32">
        <f t="shared" si="31"/>
        <v>618.95216093713213</v>
      </c>
      <c r="V443" s="22">
        <f t="shared" si="32"/>
        <v>1.0652344253364707</v>
      </c>
      <c r="X443" s="33"/>
      <c r="Y443" s="33"/>
    </row>
    <row r="444" spans="1:25" x14ac:dyDescent="0.2">
      <c r="A444" s="93" t="s">
        <v>202</v>
      </c>
      <c r="B444" s="94" t="str">
        <f>IFERROR(VLOOKUP($A444,HeadJournal!$A$1:$NTR$890,COLUMN(HeadJournal!B$1),0),"")</f>
        <v>922366453-0</v>
      </c>
      <c r="C444" s="94" t="str">
        <f>IFERROR(VLOOKUP($A444,HeadJournal!$A$1:$NTR$890,COLUMN(HeadJournal!C$1),0),"")</f>
        <v>iHerb_OA CZN6870</v>
      </c>
      <c r="D444" s="125" t="str">
        <f>IFERROR(VLOOKUP($A444,HeadJournal!$A$1:$NTR$890,COLUMN(HeadJournal!D$1),0),"")</f>
        <v>Доставлен</v>
      </c>
      <c r="E444" s="95">
        <f>IFERROR(VLOOKUP($A444,HeadJournal!$A$1:$NTR$890,COLUMN(HeadJournal!G$1),0),"")</f>
        <v>44892</v>
      </c>
      <c r="F444" s="95" t="str">
        <f t="shared" si="33"/>
        <v>2022 11</v>
      </c>
      <c r="G444" s="96" t="s">
        <v>5</v>
      </c>
      <c r="H444" s="160" t="str">
        <f>RIGHT(Journal!$J444,9)</f>
        <v>MAV-17681</v>
      </c>
      <c r="I444" s="96" t="str">
        <f t="shared" si="34"/>
        <v>Mason Natural</v>
      </c>
      <c r="J444" s="97" t="s">
        <v>205</v>
      </c>
      <c r="K444" s="29">
        <v>7.66</v>
      </c>
      <c r="L444" s="29">
        <v>-1.915</v>
      </c>
      <c r="M444" s="30">
        <f>IFERROR(VLOOKUP($A444,HeadJournal!$A$1:$J$890,COLUMN(HeadJournal!I$1),0)*($K444+$L444)/(SUMIF($A:$A,$A444,$K:$K)+SUMIF($A:$A,$A444,$L:$L)),0)</f>
        <v>0</v>
      </c>
      <c r="N444" s="30">
        <f>IFERROR((VLOOKUP($A444,HeadJournal!$A$1:$K$890,COLUMN(HeadJournal!K$1),0)-VLOOKUP($A444,HeadJournal!$A$1:$K$890,COLUMN(HeadJournal!J$1),0))*($K444+$L444)/(SUMIF($A:$A,$A444,$K:$K)+SUMIF($A:$A,$A444,$L:$L)),0)</f>
        <v>0</v>
      </c>
      <c r="O444" s="30">
        <f>IFERROR((VLOOKUP($A444,HeadJournal!$A$1:$L$890,COLUMN(HeadJournal!L$1),0)*($K444+$L444)/(SUMIF($A:$A,$A444,$K:$K)+SUMIF($A:$A,$A444,$L:$L)))/VLOOKUP($A444,HeadJournal!$A$1:$L$890,COLUMN(HeadJournal!H$1),0),0)</f>
        <v>2.6759831748241725</v>
      </c>
      <c r="P444" s="30">
        <f>IFERROR(SUM(K444:O444)*VLOOKUP($A444,HeadJournal!$A$1:$L$890,COLUMN(HeadJournal!H$1),0),0)</f>
        <v>581.04783906286787</v>
      </c>
      <c r="Q444" s="29">
        <v>1200</v>
      </c>
      <c r="R444" s="31">
        <v>44938</v>
      </c>
      <c r="S444" s="31" t="s">
        <v>3121</v>
      </c>
      <c r="T444" s="95" t="str">
        <f t="shared" si="35"/>
        <v>2023 01</v>
      </c>
      <c r="U444" s="32">
        <f t="shared" si="31"/>
        <v>618.95216093713213</v>
      </c>
      <c r="V444" s="22">
        <f t="shared" si="32"/>
        <v>1.0652344253364707</v>
      </c>
      <c r="X444" s="33"/>
      <c r="Y444" s="33"/>
    </row>
    <row r="445" spans="1:25" x14ac:dyDescent="0.2">
      <c r="A445" s="93" t="s">
        <v>202</v>
      </c>
      <c r="B445" s="94" t="str">
        <f>IFERROR(VLOOKUP($A445,HeadJournal!$A$1:$NTR$890,COLUMN(HeadJournal!B$1),0),"")</f>
        <v>922366453-0</v>
      </c>
      <c r="C445" s="94" t="str">
        <f>IFERROR(VLOOKUP($A445,HeadJournal!$A$1:$NTR$890,COLUMN(HeadJournal!C$1),0),"")</f>
        <v>iHerb_OA CZN6870</v>
      </c>
      <c r="D445" s="125" t="str">
        <f>IFERROR(VLOOKUP($A445,HeadJournal!$A$1:$NTR$890,COLUMN(HeadJournal!D$1),0),"")</f>
        <v>Доставлен</v>
      </c>
      <c r="E445" s="95">
        <f>IFERROR(VLOOKUP($A445,HeadJournal!$A$1:$NTR$890,COLUMN(HeadJournal!G$1),0),"")</f>
        <v>44892</v>
      </c>
      <c r="F445" s="95" t="str">
        <f t="shared" si="33"/>
        <v>2022 11</v>
      </c>
      <c r="G445" s="96" t="s">
        <v>7</v>
      </c>
      <c r="H445" s="160" t="str">
        <f>RIGHT(Journal!$J445,9)</f>
        <v>GIO-06008</v>
      </c>
      <c r="I445" s="96" t="str">
        <f t="shared" si="34"/>
        <v>Giovanni</v>
      </c>
      <c r="J445" s="97" t="s">
        <v>206</v>
      </c>
      <c r="K445" s="29">
        <v>9.99</v>
      </c>
      <c r="L445" s="29">
        <v>-2.5</v>
      </c>
      <c r="M445" s="30">
        <f>IFERROR(VLOOKUP($A445,HeadJournal!$A$1:$J$890,COLUMN(HeadJournal!I$1),0)*($K445+$L445)/(SUMIF($A:$A,$A445,$K:$K)+SUMIF($A:$A,$A445,$L:$L)),0)</f>
        <v>0</v>
      </c>
      <c r="N445" s="30">
        <f>IFERROR((VLOOKUP($A445,HeadJournal!$A$1:$K$890,COLUMN(HeadJournal!K$1),0)-VLOOKUP($A445,HeadJournal!$A$1:$K$890,COLUMN(HeadJournal!J$1),0))*($K445+$L445)/(SUMIF($A:$A,$A445,$K:$K)+SUMIF($A:$A,$A445,$L:$L)),0)</f>
        <v>0</v>
      </c>
      <c r="O445" s="30">
        <f>IFERROR((VLOOKUP($A445,HeadJournal!$A$1:$L$890,COLUMN(HeadJournal!L$1),0)*($K445+$L445)/(SUMIF($A:$A,$A445,$K:$K)+SUMIF($A:$A,$A445,$L:$L)))/VLOOKUP($A445,HeadJournal!$A$1:$L$890,COLUMN(HeadJournal!H$1),0),0)</f>
        <v>3.4887926857150657</v>
      </c>
      <c r="P445" s="30">
        <f>IFERROR(SUM(K445:O445)*VLOOKUP($A445,HeadJournal!$A$1:$L$890,COLUMN(HeadJournal!H$1),0),0)</f>
        <v>757.53669531433957</v>
      </c>
      <c r="Q445" s="29"/>
      <c r="R445" s="31"/>
      <c r="S445" s="31"/>
      <c r="T445" s="95" t="str">
        <f t="shared" si="35"/>
        <v/>
      </c>
      <c r="U445" s="32">
        <f t="shared" si="31"/>
        <v>-757.53669531433957</v>
      </c>
      <c r="V445" s="22" t="str">
        <f t="shared" si="32"/>
        <v/>
      </c>
      <c r="X445" s="33"/>
      <c r="Y445" s="33"/>
    </row>
    <row r="446" spans="1:25" x14ac:dyDescent="0.2">
      <c r="A446" s="93" t="s">
        <v>202</v>
      </c>
      <c r="B446" s="94" t="str">
        <f>IFERROR(VLOOKUP($A446,HeadJournal!$A$1:$NTR$890,COLUMN(HeadJournal!B$1),0),"")</f>
        <v>922366453-0</v>
      </c>
      <c r="C446" s="94" t="str">
        <f>IFERROR(VLOOKUP($A446,HeadJournal!$A$1:$NTR$890,COLUMN(HeadJournal!C$1),0),"")</f>
        <v>iHerb_OA CZN6870</v>
      </c>
      <c r="D446" s="125" t="str">
        <f>IFERROR(VLOOKUP($A446,HeadJournal!$A$1:$NTR$890,COLUMN(HeadJournal!D$1),0),"")</f>
        <v>Доставлен</v>
      </c>
      <c r="E446" s="95">
        <f>IFERROR(VLOOKUP($A446,HeadJournal!$A$1:$NTR$890,COLUMN(HeadJournal!G$1),0),"")</f>
        <v>44892</v>
      </c>
      <c r="F446" s="95" t="str">
        <f t="shared" si="33"/>
        <v>2022 11</v>
      </c>
      <c r="G446" s="96" t="s">
        <v>5</v>
      </c>
      <c r="H446" s="175" t="s">
        <v>3650</v>
      </c>
      <c r="I446" s="176" t="s">
        <v>2042</v>
      </c>
      <c r="J446" s="97" t="s">
        <v>3699</v>
      </c>
      <c r="K446" s="29">
        <v>12.58</v>
      </c>
      <c r="L446" s="29">
        <v>-3.15</v>
      </c>
      <c r="M446" s="30">
        <f>IFERROR(VLOOKUP($A446,HeadJournal!$A$1:$J$890,COLUMN(HeadJournal!I$1),0)*($K446+$L446)/(SUMIF($A:$A,$A446,$K:$K)+SUMIF($A:$A,$A446,$L:$L)),0)</f>
        <v>0</v>
      </c>
      <c r="N446" s="30">
        <f>IFERROR((VLOOKUP($A446,HeadJournal!$A$1:$K$890,COLUMN(HeadJournal!K$1),0)-VLOOKUP($A446,HeadJournal!$A$1:$K$890,COLUMN(HeadJournal!J$1),0))*($K446+$L446)/(SUMIF($A:$A,$A446,$K:$K)+SUMIF($A:$A,$A446,$L:$L)),0)</f>
        <v>0</v>
      </c>
      <c r="O446" s="30">
        <f>IFERROR((VLOOKUP($A446,HeadJournal!$A$1:$L$890,COLUMN(HeadJournal!L$1),0)*($K446+$L446)/(SUMIF($A:$A,$A446,$K:$K)+SUMIF($A:$A,$A446,$L:$L)))/VLOOKUP($A446,HeadJournal!$A$1:$L$890,COLUMN(HeadJournal!H$1),0),0)</f>
        <v>4.3924319127227065</v>
      </c>
      <c r="P446" s="30">
        <f>IFERROR(SUM(K446:O446)*VLOOKUP($A446,HeadJournal!$A$1:$L$890,COLUMN(HeadJournal!H$1),0),0)</f>
        <v>953.74780197786674</v>
      </c>
      <c r="Q446" s="29">
        <v>1800</v>
      </c>
      <c r="R446" s="31">
        <v>44947</v>
      </c>
      <c r="S446" s="31" t="s">
        <v>3121</v>
      </c>
      <c r="T446" s="95" t="str">
        <f t="shared" si="35"/>
        <v>2023 01</v>
      </c>
      <c r="U446" s="32">
        <f t="shared" si="31"/>
        <v>846.25219802213326</v>
      </c>
      <c r="V446" s="22">
        <f t="shared" si="32"/>
        <v>0.88729137437296224</v>
      </c>
      <c r="X446" s="33"/>
      <c r="Y446" s="33"/>
    </row>
    <row r="447" spans="1:25" x14ac:dyDescent="0.2">
      <c r="A447" s="93" t="s">
        <v>202</v>
      </c>
      <c r="B447" s="94" t="str">
        <f>IFERROR(VLOOKUP($A447,HeadJournal!$A$1:$NTR$890,COLUMN(HeadJournal!B$1),0),"")</f>
        <v>922366453-0</v>
      </c>
      <c r="C447" s="94" t="str">
        <f>IFERROR(VLOOKUP($A447,HeadJournal!$A$1:$NTR$890,COLUMN(HeadJournal!C$1),0),"")</f>
        <v>iHerb_OA CZN6870</v>
      </c>
      <c r="D447" s="125" t="str">
        <f>IFERROR(VLOOKUP($A447,HeadJournal!$A$1:$NTR$890,COLUMN(HeadJournal!D$1),0),"")</f>
        <v>Доставлен</v>
      </c>
      <c r="E447" s="95">
        <f>IFERROR(VLOOKUP($A447,HeadJournal!$A$1:$NTR$890,COLUMN(HeadJournal!G$1),0),"")</f>
        <v>44892</v>
      </c>
      <c r="F447" s="95" t="str">
        <f t="shared" si="33"/>
        <v>2022 11</v>
      </c>
      <c r="G447" s="96" t="s">
        <v>5</v>
      </c>
      <c r="H447" s="160" t="str">
        <f>RIGHT(Journal!$J447,9)</f>
        <v>NOW-02121</v>
      </c>
      <c r="I447" s="96" t="str">
        <f t="shared" si="34"/>
        <v>NOW Foods</v>
      </c>
      <c r="J447" s="97" t="s">
        <v>207</v>
      </c>
      <c r="K447" s="29">
        <v>17.48</v>
      </c>
      <c r="L447" s="29">
        <v>-4.37</v>
      </c>
      <c r="M447" s="30">
        <f>IFERROR(VLOOKUP($A447,HeadJournal!$A$1:$J$890,COLUMN(HeadJournal!I$1),0)*($K447+$L447)/(SUMIF($A:$A,$A447,$K:$K)+SUMIF($A:$A,$A447,$L:$L)),0)</f>
        <v>0</v>
      </c>
      <c r="N447" s="30">
        <f>IFERROR((VLOOKUP($A447,HeadJournal!$A$1:$K$890,COLUMN(HeadJournal!K$1),0)-VLOOKUP($A447,HeadJournal!$A$1:$K$890,COLUMN(HeadJournal!J$1),0))*($K447+$L447)/(SUMIF($A:$A,$A447,$K:$K)+SUMIF($A:$A,$A447,$L:$L)),0)</f>
        <v>0</v>
      </c>
      <c r="O447" s="30">
        <f>IFERROR((VLOOKUP($A447,HeadJournal!$A$1:$L$890,COLUMN(HeadJournal!L$1),0)*($K447+$L447)/(SUMIF($A:$A,$A447,$K:$K)+SUMIF($A:$A,$A447,$L:$L)))/VLOOKUP($A447,HeadJournal!$A$1:$L$890,COLUMN(HeadJournal!H$1),0),0)</f>
        <v>6.1065516835413227</v>
      </c>
      <c r="P447" s="30">
        <f>IFERROR(SUM(K447:O447)*VLOOKUP($A447,HeadJournal!$A$1:$L$890,COLUMN(HeadJournal!H$1),0),0)</f>
        <v>1325.9420661643512</v>
      </c>
      <c r="Q447" s="29">
        <v>2200</v>
      </c>
      <c r="R447" s="31">
        <v>44938</v>
      </c>
      <c r="S447" s="31" t="s">
        <v>3121</v>
      </c>
      <c r="T447" s="95" t="str">
        <f t="shared" si="35"/>
        <v>2023 01</v>
      </c>
      <c r="U447" s="32">
        <f t="shared" si="31"/>
        <v>874.05793383564878</v>
      </c>
      <c r="V447" s="22">
        <f t="shared" si="32"/>
        <v>0.65919768000430035</v>
      </c>
      <c r="X447" s="33"/>
      <c r="Y447" s="33"/>
    </row>
    <row r="448" spans="1:25" x14ac:dyDescent="0.2">
      <c r="A448" s="93" t="s">
        <v>208</v>
      </c>
      <c r="B448" s="94">
        <f>IFERROR(VLOOKUP($A448,HeadJournal!$A$1:$NTR$890,COLUMN(HeadJournal!B$1),0),"")</f>
        <v>0</v>
      </c>
      <c r="C448" s="94" t="str">
        <f>IFERROR(VLOOKUP($A448,HeadJournal!$A$1:$NTR$890,COLUMN(HeadJournal!C$1),0),"")</f>
        <v>Anna</v>
      </c>
      <c r="D448" s="125" t="str">
        <f>IFERROR(VLOOKUP($A448,HeadJournal!$A$1:$NTR$890,COLUMN(HeadJournal!D$1),0),"")</f>
        <v>Доставлен</v>
      </c>
      <c r="E448" s="95">
        <f>IFERROR(VLOOKUP($A448,HeadJournal!$A$1:$NTR$890,COLUMN(HeadJournal!G$1),0),"")</f>
        <v>44891</v>
      </c>
      <c r="F448" s="95" t="str">
        <f t="shared" si="33"/>
        <v>2022 11</v>
      </c>
      <c r="G448" s="96" t="s">
        <v>5</v>
      </c>
      <c r="H448" s="161" t="s">
        <v>2076</v>
      </c>
      <c r="I448" s="97" t="s">
        <v>2005</v>
      </c>
      <c r="J448" s="97" t="s">
        <v>2077</v>
      </c>
      <c r="K448" s="29">
        <v>440</v>
      </c>
      <c r="L448" s="29"/>
      <c r="M448" s="30">
        <f>IFERROR(VLOOKUP($A448,HeadJournal!$A$1:$J$890,COLUMN(HeadJournal!I$1),0)*($K448+$L448)/(SUMIF($A:$A,$A448,$K:$K)+SUMIF($A:$A,$A448,$L:$L)),0)</f>
        <v>0</v>
      </c>
      <c r="N448" s="30">
        <f>IFERROR((VLOOKUP($A448,HeadJournal!$A$1:$K$890,COLUMN(HeadJournal!K$1),0)-VLOOKUP($A448,HeadJournal!$A$1:$K$890,COLUMN(HeadJournal!J$1),0))*($K448+$L448)/(SUMIF($A:$A,$A448,$K:$K)+SUMIF($A:$A,$A448,$L:$L)),0)</f>
        <v>0</v>
      </c>
      <c r="O448" s="30">
        <f>IFERROR((VLOOKUP($A448,HeadJournal!$A$1:$L$890,COLUMN(HeadJournal!L$1),0)*($K448+$L448)/(SUMIF($A:$A,$A448,$K:$K)+SUMIF($A:$A,$A448,$L:$L)))/VLOOKUP($A448,HeadJournal!$A$1:$L$890,COLUMN(HeadJournal!H$1),0),0)</f>
        <v>0</v>
      </c>
      <c r="P448" s="30">
        <f>IFERROR(SUM(K448:O448)*VLOOKUP($A448,HeadJournal!$A$1:$L$890,COLUMN(HeadJournal!H$1),0),0)</f>
        <v>440</v>
      </c>
      <c r="Q448" s="29">
        <v>1000</v>
      </c>
      <c r="R448" s="31">
        <v>44891</v>
      </c>
      <c r="S448" s="31" t="s">
        <v>3121</v>
      </c>
      <c r="T448" s="95" t="str">
        <f t="shared" si="35"/>
        <v>2022 11</v>
      </c>
      <c r="U448" s="32">
        <f t="shared" si="31"/>
        <v>560</v>
      </c>
      <c r="V448" s="22">
        <f t="shared" si="32"/>
        <v>1.2727272727272727</v>
      </c>
      <c r="X448" s="33"/>
      <c r="Y448" s="33"/>
    </row>
    <row r="449" spans="1:25" x14ac:dyDescent="0.2">
      <c r="A449" s="93" t="s">
        <v>209</v>
      </c>
      <c r="B449" s="94" t="str">
        <f>IFERROR(VLOOKUP($A449,HeadJournal!$A$1:$NTR$890,COLUMN(HeadJournal!B$1),0),"")</f>
        <v>1Z095EE70250818508</v>
      </c>
      <c r="C449" s="94" t="str">
        <f>IFERROR(VLOOKUP($A449,HeadJournal!$A$1:$NTR$890,COLUMN(HeadJournal!C$1),0),"")</f>
        <v>iHerb_MH DLE7202</v>
      </c>
      <c r="D449" s="125" t="str">
        <f>IFERROR(VLOOKUP($A449,HeadJournal!$A$1:$NTR$890,COLUMN(HeadJournal!D$1),0),"")</f>
        <v>Доставлен</v>
      </c>
      <c r="E449" s="95">
        <f>IFERROR(VLOOKUP($A449,HeadJournal!$A$1:$NTR$890,COLUMN(HeadJournal!G$1),0),"")</f>
        <v>44892</v>
      </c>
      <c r="F449" s="95" t="str">
        <f t="shared" si="33"/>
        <v>2022 11</v>
      </c>
      <c r="G449" s="96" t="s">
        <v>5</v>
      </c>
      <c r="H449" s="160" t="str">
        <f>RIGHT(Journal!$J449,9)</f>
        <v>MAV-17681</v>
      </c>
      <c r="I449" s="96" t="str">
        <f t="shared" si="34"/>
        <v>Mason Natural</v>
      </c>
      <c r="J449" s="97" t="s">
        <v>205</v>
      </c>
      <c r="K449" s="29">
        <v>7.66</v>
      </c>
      <c r="L449" s="29">
        <v>-1.915</v>
      </c>
      <c r="M449" s="30">
        <f>IFERROR(VLOOKUP($A449,HeadJournal!$A$1:$J$890,COLUMN(HeadJournal!I$1),0)*($K449+$L449)/(SUMIF($A:$A,$A449,$K:$K)+SUMIF($A:$A,$A449,$L:$L)),0)</f>
        <v>0</v>
      </c>
      <c r="N449" s="30">
        <f>IFERROR((VLOOKUP($A449,HeadJournal!$A$1:$K$890,COLUMN(HeadJournal!K$1),0)-VLOOKUP($A449,HeadJournal!$A$1:$K$890,COLUMN(HeadJournal!J$1),0))*($K449+$L449)/(SUMIF($A:$A,$A449,$K:$K)+SUMIF($A:$A,$A449,$L:$L)),0)</f>
        <v>-6.4784447182062774E-16</v>
      </c>
      <c r="O449" s="30">
        <f>IFERROR((VLOOKUP($A449,HeadJournal!$A$1:$L$890,COLUMN(HeadJournal!L$1),0)*($K449+$L449)/(SUMIF($A:$A,$A449,$K:$K)+SUMIF($A:$A,$A449,$L:$L)))/VLOOKUP($A449,HeadJournal!$A$1:$L$890,COLUMN(HeadJournal!H$1),0),0)</f>
        <v>2.002335181613685</v>
      </c>
      <c r="P449" s="30">
        <f>IFERROR(SUM(K449:O449)*VLOOKUP($A449,HeadJournal!$A$1:$L$890,COLUMN(HeadJournal!H$1),0),0)</f>
        <v>534.56612753134414</v>
      </c>
      <c r="Q449" s="29">
        <v>1200</v>
      </c>
      <c r="R449" s="31">
        <v>44938</v>
      </c>
      <c r="S449" s="31" t="s">
        <v>3121</v>
      </c>
      <c r="T449" s="95" t="str">
        <f t="shared" si="35"/>
        <v>2023 01</v>
      </c>
      <c r="U449" s="32">
        <f t="shared" si="31"/>
        <v>665.43387246865586</v>
      </c>
      <c r="V449" s="22">
        <f t="shared" si="32"/>
        <v>1.2448111434625799</v>
      </c>
      <c r="X449" s="33"/>
      <c r="Y449" s="33"/>
    </row>
    <row r="450" spans="1:25" x14ac:dyDescent="0.2">
      <c r="A450" s="93" t="s">
        <v>209</v>
      </c>
      <c r="B450" s="94" t="str">
        <f>IFERROR(VLOOKUP($A450,HeadJournal!$A$1:$NTR$890,COLUMN(HeadJournal!B$1),0),"")</f>
        <v>1Z095EE70250818508</v>
      </c>
      <c r="C450" s="94" t="str">
        <f>IFERROR(VLOOKUP($A450,HeadJournal!$A$1:$NTR$890,COLUMN(HeadJournal!C$1),0),"")</f>
        <v>iHerb_MH DLE7202</v>
      </c>
      <c r="D450" s="125" t="str">
        <f>IFERROR(VLOOKUP($A450,HeadJournal!$A$1:$NTR$890,COLUMN(HeadJournal!D$1),0),"")</f>
        <v>Доставлен</v>
      </c>
      <c r="E450" s="95">
        <f>IFERROR(VLOOKUP($A450,HeadJournal!$A$1:$NTR$890,COLUMN(HeadJournal!G$1),0),"")</f>
        <v>44892</v>
      </c>
      <c r="F450" s="95" t="str">
        <f t="shared" si="33"/>
        <v>2022 11</v>
      </c>
      <c r="G450" s="96" t="s">
        <v>5</v>
      </c>
      <c r="H450" s="160" t="str">
        <f>RIGHT(Journal!$J450,9)</f>
        <v>MAV-17681</v>
      </c>
      <c r="I450" s="96" t="str">
        <f t="shared" si="34"/>
        <v>Mason Natural</v>
      </c>
      <c r="J450" s="97" t="s">
        <v>205</v>
      </c>
      <c r="K450" s="29">
        <v>7.66</v>
      </c>
      <c r="L450" s="29">
        <v>-1.915</v>
      </c>
      <c r="M450" s="30">
        <f>IFERROR(VLOOKUP($A450,HeadJournal!$A$1:$J$890,COLUMN(HeadJournal!I$1),0)*($K450+$L450)/(SUMIF($A:$A,$A450,$K:$K)+SUMIF($A:$A,$A450,$L:$L)),0)</f>
        <v>0</v>
      </c>
      <c r="N450" s="30">
        <f>IFERROR((VLOOKUP($A450,HeadJournal!$A$1:$K$890,COLUMN(HeadJournal!K$1),0)-VLOOKUP($A450,HeadJournal!$A$1:$K$890,COLUMN(HeadJournal!J$1),0))*($K450+$L450)/(SUMIF($A:$A,$A450,$K:$K)+SUMIF($A:$A,$A450,$L:$L)),0)</f>
        <v>-6.4784447182062774E-16</v>
      </c>
      <c r="O450" s="30">
        <f>IFERROR((VLOOKUP($A450,HeadJournal!$A$1:$L$890,COLUMN(HeadJournal!L$1),0)*($K450+$L450)/(SUMIF($A:$A,$A450,$K:$K)+SUMIF($A:$A,$A450,$L:$L)))/VLOOKUP($A450,HeadJournal!$A$1:$L$890,COLUMN(HeadJournal!H$1),0),0)</f>
        <v>2.002335181613685</v>
      </c>
      <c r="P450" s="30">
        <f>IFERROR(SUM(K450:O450)*VLOOKUP($A450,HeadJournal!$A$1:$L$890,COLUMN(HeadJournal!H$1),0),0)</f>
        <v>534.56612753134414</v>
      </c>
      <c r="Q450" s="29">
        <v>1200</v>
      </c>
      <c r="R450" s="31">
        <v>44938</v>
      </c>
      <c r="S450" s="31" t="s">
        <v>3121</v>
      </c>
      <c r="T450" s="95" t="str">
        <f t="shared" si="35"/>
        <v>2023 01</v>
      </c>
      <c r="U450" s="32">
        <f t="shared" si="31"/>
        <v>665.43387246865586</v>
      </c>
      <c r="V450" s="22">
        <f t="shared" si="32"/>
        <v>1.2448111434625799</v>
      </c>
      <c r="X450" s="33"/>
      <c r="Y450" s="33"/>
    </row>
    <row r="451" spans="1:25" x14ac:dyDescent="0.2">
      <c r="A451" s="93" t="s">
        <v>209</v>
      </c>
      <c r="B451" s="94" t="str">
        <f>IFERROR(VLOOKUP($A451,HeadJournal!$A$1:$NTR$890,COLUMN(HeadJournal!B$1),0),"")</f>
        <v>1Z095EE70250818508</v>
      </c>
      <c r="C451" s="94" t="str">
        <f>IFERROR(VLOOKUP($A451,HeadJournal!$A$1:$NTR$890,COLUMN(HeadJournal!C$1),0),"")</f>
        <v>iHerb_MH DLE7202</v>
      </c>
      <c r="D451" s="125" t="str">
        <f>IFERROR(VLOOKUP($A451,HeadJournal!$A$1:$NTR$890,COLUMN(HeadJournal!D$1),0),"")</f>
        <v>Доставлен</v>
      </c>
      <c r="E451" s="95">
        <f>IFERROR(VLOOKUP($A451,HeadJournal!$A$1:$NTR$890,COLUMN(HeadJournal!G$1),0),"")</f>
        <v>44892</v>
      </c>
      <c r="F451" s="95" t="str">
        <f t="shared" si="33"/>
        <v>2022 11</v>
      </c>
      <c r="G451" s="96" t="s">
        <v>5</v>
      </c>
      <c r="H451" s="161" t="s">
        <v>2217</v>
      </c>
      <c r="I451" s="97" t="s">
        <v>2218</v>
      </c>
      <c r="J451" s="97" t="s">
        <v>2219</v>
      </c>
      <c r="K451" s="29">
        <v>25.03</v>
      </c>
      <c r="L451" s="29">
        <v>-6.26</v>
      </c>
      <c r="M451" s="30">
        <f>IFERROR(VLOOKUP($A451,HeadJournal!$A$1:$J$890,COLUMN(HeadJournal!I$1),0)*($K451+$L451)/(SUMIF($A:$A,$A451,$K:$K)+SUMIF($A:$A,$A451,$L:$L)),0)</f>
        <v>0</v>
      </c>
      <c r="N451" s="30">
        <f>IFERROR((VLOOKUP($A451,HeadJournal!$A$1:$K$890,COLUMN(HeadJournal!K$1),0)-VLOOKUP($A451,HeadJournal!$A$1:$K$890,COLUMN(HeadJournal!J$1),0))*($K451+$L451)/(SUMIF($A:$A,$A451,$K:$K)+SUMIF($A:$A,$A451,$L:$L)),0)</f>
        <v>-2.1166302412660024E-15</v>
      </c>
      <c r="O451" s="30">
        <f>IFERROR((VLOOKUP($A451,HeadJournal!$A$1:$L$890,COLUMN(HeadJournal!L$1),0)*($K451+$L451)/(SUMIF($A:$A,$A451,$K:$K)+SUMIF($A:$A,$A451,$L:$L)))/VLOOKUP($A451,HeadJournal!$A$1:$L$890,COLUMN(HeadJournal!H$1),0),0)</f>
        <v>6.5420071991103335</v>
      </c>
      <c r="P451" s="30">
        <f>IFERROR(SUM(K451:O451)*VLOOKUP($A451,HeadJournal!$A$1:$L$890,COLUMN(HeadJournal!H$1),0),0)</f>
        <v>1746.5284967386131</v>
      </c>
      <c r="Q451" s="29">
        <v>3000</v>
      </c>
      <c r="R451" s="31">
        <v>44938</v>
      </c>
      <c r="S451" s="31" t="s">
        <v>3121</v>
      </c>
      <c r="T451" s="95" t="str">
        <f t="shared" si="35"/>
        <v>2023 01</v>
      </c>
      <c r="U451" s="32">
        <f t="shared" ref="U451:U514" si="36">Q451-P451</f>
        <v>1253.4715032613869</v>
      </c>
      <c r="V451" s="22">
        <f t="shared" ref="V451:V514" si="37">IF(Q451&lt;&gt;0,IFERROR(U451/P451,""),"")</f>
        <v>0.71769312988712286</v>
      </c>
      <c r="X451" s="33"/>
      <c r="Y451" s="33"/>
    </row>
    <row r="452" spans="1:25" x14ac:dyDescent="0.2">
      <c r="A452" s="93" t="s">
        <v>209</v>
      </c>
      <c r="B452" s="94" t="str">
        <f>IFERROR(VLOOKUP($A452,HeadJournal!$A$1:$NTR$890,COLUMN(HeadJournal!B$1),0),"")</f>
        <v>1Z095EE70250818508</v>
      </c>
      <c r="C452" s="94" t="str">
        <f>IFERROR(VLOOKUP($A452,HeadJournal!$A$1:$NTR$890,COLUMN(HeadJournal!C$1),0),"")</f>
        <v>iHerb_MH DLE7202</v>
      </c>
      <c r="D452" s="125" t="str">
        <f>IFERROR(VLOOKUP($A452,HeadJournal!$A$1:$NTR$890,COLUMN(HeadJournal!D$1),0),"")</f>
        <v>Доставлен</v>
      </c>
      <c r="E452" s="95">
        <f>IFERROR(VLOOKUP($A452,HeadJournal!$A$1:$NTR$890,COLUMN(HeadJournal!G$1),0),"")</f>
        <v>44892</v>
      </c>
      <c r="F452" s="95" t="str">
        <f t="shared" ref="F452:F515" si="38">IFERROR(TEXT(E452, "ГГГГ ММ"),"")</f>
        <v>2022 11</v>
      </c>
      <c r="G452" s="96" t="s">
        <v>5</v>
      </c>
      <c r="H452" s="160" t="str">
        <f>RIGHT(Journal!$J452,9)</f>
        <v>DRB-00271</v>
      </c>
      <c r="I452" s="96" t="str">
        <f t="shared" ref="I452:I514" si="39">IFERROR(LEFT(J452,FIND(",",J452)-1),"")</f>
        <v>Doctor's Best</v>
      </c>
      <c r="J452" s="97" t="s">
        <v>210</v>
      </c>
      <c r="K452" s="29">
        <v>25.36</v>
      </c>
      <c r="L452" s="29">
        <v>-6.34</v>
      </c>
      <c r="M452" s="30">
        <f>IFERROR(VLOOKUP($A452,HeadJournal!$A$1:$J$890,COLUMN(HeadJournal!I$1),0)*($K452+$L452)/(SUMIF($A:$A,$A452,$K:$K)+SUMIF($A:$A,$A452,$L:$L)),0)</f>
        <v>0</v>
      </c>
      <c r="N452" s="30">
        <f>IFERROR((VLOOKUP($A452,HeadJournal!$A$1:$K$890,COLUMN(HeadJournal!K$1),0)-VLOOKUP($A452,HeadJournal!$A$1:$K$890,COLUMN(HeadJournal!J$1),0))*($K452+$L452)/(SUMIF($A:$A,$A452,$K:$K)+SUMIF($A:$A,$A452,$L:$L)),0)</f>
        <v>-2.1448219067064123E-15</v>
      </c>
      <c r="O452" s="30">
        <f>IFERROR((VLOOKUP($A452,HeadJournal!$A$1:$L$890,COLUMN(HeadJournal!L$1),0)*($K452+$L452)/(SUMIF($A:$A,$A452,$K:$K)+SUMIF($A:$A,$A452,$L:$L)))/VLOOKUP($A452,HeadJournal!$A$1:$L$890,COLUMN(HeadJournal!H$1),0),0)</f>
        <v>6.6291410190238951</v>
      </c>
      <c r="P452" s="30">
        <f>IFERROR(SUM(K452:O452)*VLOOKUP($A452,HeadJournal!$A$1:$L$890,COLUMN(HeadJournal!H$1),0),0)</f>
        <v>1769.7907303126485</v>
      </c>
      <c r="Q452" s="29">
        <v>3500</v>
      </c>
      <c r="R452" s="31">
        <v>44975</v>
      </c>
      <c r="S452" s="31" t="s">
        <v>3121</v>
      </c>
      <c r="T452" s="95" t="str">
        <f t="shared" ref="T452:T515" si="40">IF(R452="","",TEXT(R452,"ГГГГ ММ"))</f>
        <v>2023 02</v>
      </c>
      <c r="U452" s="32">
        <f t="shared" si="36"/>
        <v>1730.2092696873515</v>
      </c>
      <c r="V452" s="22">
        <f t="shared" si="37"/>
        <v>0.97763494861434574</v>
      </c>
      <c r="X452" s="33"/>
      <c r="Y452" s="33"/>
    </row>
    <row r="453" spans="1:25" x14ac:dyDescent="0.2">
      <c r="A453" s="93" t="s">
        <v>209</v>
      </c>
      <c r="B453" s="94" t="str">
        <f>IFERROR(VLOOKUP($A453,HeadJournal!$A$1:$NTR$890,COLUMN(HeadJournal!B$1),0),"")</f>
        <v>1Z095EE70250818508</v>
      </c>
      <c r="C453" s="94" t="str">
        <f>IFERROR(VLOOKUP($A453,HeadJournal!$A$1:$NTR$890,COLUMN(HeadJournal!C$1),0),"")</f>
        <v>iHerb_MH DLE7202</v>
      </c>
      <c r="D453" s="125" t="str">
        <f>IFERROR(VLOOKUP($A453,HeadJournal!$A$1:$NTR$890,COLUMN(HeadJournal!D$1),0),"")</f>
        <v>Доставлен</v>
      </c>
      <c r="E453" s="95">
        <f>IFERROR(VLOOKUP($A453,HeadJournal!$A$1:$NTR$890,COLUMN(HeadJournal!G$1),0),"")</f>
        <v>44892</v>
      </c>
      <c r="F453" s="95" t="str">
        <f t="shared" si="38"/>
        <v>2022 11</v>
      </c>
      <c r="G453" s="96" t="s">
        <v>5</v>
      </c>
      <c r="H453" s="160" t="str">
        <f>RIGHT(Journal!$J453,9)</f>
        <v>YOU-00333</v>
      </c>
      <c r="I453" s="96" t="str">
        <f t="shared" si="39"/>
        <v>Youtheory</v>
      </c>
      <c r="J453" s="97" t="s">
        <v>211</v>
      </c>
      <c r="K453" s="29">
        <v>23.19</v>
      </c>
      <c r="L453" s="29">
        <v>-5.8</v>
      </c>
      <c r="M453" s="30">
        <f>IFERROR(VLOOKUP($A453,HeadJournal!$A$1:$J$890,COLUMN(HeadJournal!I$1),0)*($K453+$L453)/(SUMIF($A:$A,$A453,$K:$K)+SUMIF($A:$A,$A453,$L:$L)),0)</f>
        <v>0</v>
      </c>
      <c r="N453" s="30">
        <f>IFERROR((VLOOKUP($A453,HeadJournal!$A$1:$K$890,COLUMN(HeadJournal!K$1),0)-VLOOKUP($A453,HeadJournal!$A$1:$K$890,COLUMN(HeadJournal!J$1),0))*($K453+$L453)/(SUMIF($A:$A,$A453,$K:$K)+SUMIF($A:$A,$A453,$L:$L)),0)</f>
        <v>-1.9610122480349375E-15</v>
      </c>
      <c r="O453" s="30">
        <f>IFERROR((VLOOKUP($A453,HeadJournal!$A$1:$L$890,COLUMN(HeadJournal!L$1),0)*($K453+$L453)/(SUMIF($A:$A,$A453,$K:$K)+SUMIF($A:$A,$A453,$L:$L)))/VLOOKUP($A453,HeadJournal!$A$1:$L$890,COLUMN(HeadJournal!H$1),0),0)</f>
        <v>6.0610285131874626</v>
      </c>
      <c r="P453" s="30">
        <f>IFERROR(SUM(K453:O453)*VLOOKUP($A453,HeadJournal!$A$1:$L$890,COLUMN(HeadJournal!H$1),0),0)</f>
        <v>1618.1209674099348</v>
      </c>
      <c r="Q453" s="29">
        <v>3000</v>
      </c>
      <c r="R453" s="31">
        <v>44938</v>
      </c>
      <c r="S453" s="31" t="s">
        <v>3121</v>
      </c>
      <c r="T453" s="95" t="str">
        <f t="shared" si="40"/>
        <v>2023 01</v>
      </c>
      <c r="U453" s="32">
        <f t="shared" si="36"/>
        <v>1381.8790325900652</v>
      </c>
      <c r="V453" s="22">
        <f t="shared" si="37"/>
        <v>0.85400230293164481</v>
      </c>
      <c r="X453" s="33"/>
      <c r="Y453" s="33"/>
    </row>
    <row r="454" spans="1:25" x14ac:dyDescent="0.2">
      <c r="A454" s="93" t="s">
        <v>209</v>
      </c>
      <c r="B454" s="94" t="str">
        <f>IFERROR(VLOOKUP($A454,HeadJournal!$A$1:$NTR$890,COLUMN(HeadJournal!B$1),0),"")</f>
        <v>1Z095EE70250818508</v>
      </c>
      <c r="C454" s="94" t="str">
        <f>IFERROR(VLOOKUP($A454,HeadJournal!$A$1:$NTR$890,COLUMN(HeadJournal!C$1),0),"")</f>
        <v>iHerb_MH DLE7202</v>
      </c>
      <c r="D454" s="125" t="str">
        <f>IFERROR(VLOOKUP($A454,HeadJournal!$A$1:$NTR$890,COLUMN(HeadJournal!D$1),0),"")</f>
        <v>Доставлен</v>
      </c>
      <c r="E454" s="95">
        <f>IFERROR(VLOOKUP($A454,HeadJournal!$A$1:$NTR$890,COLUMN(HeadJournal!G$1),0),"")</f>
        <v>44892</v>
      </c>
      <c r="F454" s="95" t="str">
        <f t="shared" si="38"/>
        <v>2022 11</v>
      </c>
      <c r="G454" s="96" t="s">
        <v>5</v>
      </c>
      <c r="H454" s="161" t="s">
        <v>2162</v>
      </c>
      <c r="I454" s="97" t="s">
        <v>2163</v>
      </c>
      <c r="J454" s="97" t="s">
        <v>2164</v>
      </c>
      <c r="K454" s="29">
        <v>14.99</v>
      </c>
      <c r="L454" s="29">
        <v>-3.75</v>
      </c>
      <c r="M454" s="30">
        <f>IFERROR(VLOOKUP($A454,HeadJournal!$A$1:$J$890,COLUMN(HeadJournal!I$1),0)*($K454+$L454)/(SUMIF($A:$A,$A454,$K:$K)+SUMIF($A:$A,$A454,$L:$L)),0)</f>
        <v>0</v>
      </c>
      <c r="N454" s="30">
        <f>IFERROR((VLOOKUP($A454,HeadJournal!$A$1:$K$890,COLUMN(HeadJournal!K$1),0)-VLOOKUP($A454,HeadJournal!$A$1:$K$890,COLUMN(HeadJournal!J$1),0))*($K454+$L454)/(SUMIF($A:$A,$A454,$K:$K)+SUMIF($A:$A,$A454,$L:$L)),0)</f>
        <v>-1.2674972782008452E-15</v>
      </c>
      <c r="O454" s="30">
        <f>IFERROR((VLOOKUP($A454,HeadJournal!$A$1:$L$890,COLUMN(HeadJournal!L$1),0)*($K454+$L454)/(SUMIF($A:$A,$A454,$K:$K)+SUMIF($A:$A,$A454,$L:$L)))/VLOOKUP($A454,HeadJournal!$A$1:$L$890,COLUMN(HeadJournal!H$1),0),0)</f>
        <v>3.9175365433138056</v>
      </c>
      <c r="P454" s="30">
        <f>IFERROR(SUM(K454:O454)*VLOOKUP($A454,HeadJournal!$A$1:$L$890,COLUMN(HeadJournal!H$1),0),0)</f>
        <v>1045.8700214886524</v>
      </c>
      <c r="Q454" s="29">
        <v>2000</v>
      </c>
      <c r="R454" s="31">
        <v>44938</v>
      </c>
      <c r="S454" s="31" t="s">
        <v>3121</v>
      </c>
      <c r="T454" s="95" t="str">
        <f t="shared" si="40"/>
        <v>2023 01</v>
      </c>
      <c r="U454" s="32">
        <f t="shared" si="36"/>
        <v>954.12997851134764</v>
      </c>
      <c r="V454" s="22">
        <f t="shared" si="37"/>
        <v>0.91228351411514275</v>
      </c>
      <c r="X454" s="33"/>
      <c r="Y454" s="33"/>
    </row>
    <row r="455" spans="1:25" x14ac:dyDescent="0.2">
      <c r="A455" s="93" t="s">
        <v>209</v>
      </c>
      <c r="B455" s="94" t="str">
        <f>IFERROR(VLOOKUP($A455,HeadJournal!$A$1:$NTR$890,COLUMN(HeadJournal!B$1),0),"")</f>
        <v>1Z095EE70250818508</v>
      </c>
      <c r="C455" s="94" t="str">
        <f>IFERROR(VLOOKUP($A455,HeadJournal!$A$1:$NTR$890,COLUMN(HeadJournal!C$1),0),"")</f>
        <v>iHerb_MH DLE7202</v>
      </c>
      <c r="D455" s="125" t="str">
        <f>IFERROR(VLOOKUP($A455,HeadJournal!$A$1:$NTR$890,COLUMN(HeadJournal!D$1),0),"")</f>
        <v>Доставлен</v>
      </c>
      <c r="E455" s="95">
        <f>IFERROR(VLOOKUP($A455,HeadJournal!$A$1:$NTR$890,COLUMN(HeadJournal!G$1),0),"")</f>
        <v>44892</v>
      </c>
      <c r="F455" s="95" t="str">
        <f t="shared" si="38"/>
        <v>2022 11</v>
      </c>
      <c r="G455" s="96" t="s">
        <v>5</v>
      </c>
      <c r="H455" s="175" t="s">
        <v>3660</v>
      </c>
      <c r="I455" s="176" t="s">
        <v>3689</v>
      </c>
      <c r="J455" s="97" t="s">
        <v>3712</v>
      </c>
      <c r="K455" s="29">
        <v>19.07</v>
      </c>
      <c r="L455" s="29">
        <v>-4.7699999999999996</v>
      </c>
      <c r="M455" s="30">
        <f>IFERROR(VLOOKUP($A455,HeadJournal!$A$1:$J$890,COLUMN(HeadJournal!I$1),0)*($K455+$L455)/(SUMIF($A:$A,$A455,$K:$K)+SUMIF($A:$A,$A455,$L:$L)),0)</f>
        <v>0</v>
      </c>
      <c r="N455" s="30">
        <f>IFERROR((VLOOKUP($A455,HeadJournal!$A$1:$K$890,COLUMN(HeadJournal!K$1),0)-VLOOKUP($A455,HeadJournal!$A$1:$K$890,COLUMN(HeadJournal!J$1),0))*($K455+$L455)/(SUMIF($A:$A,$A455,$K:$K)+SUMIF($A:$A,$A455,$L:$L)),0)</f>
        <v>-1.6125632631914669E-15</v>
      </c>
      <c r="O455" s="30">
        <f>IFERROR((VLOOKUP($A455,HeadJournal!$A$1:$L$890,COLUMN(HeadJournal!L$1),0)*($K455+$L455)/(SUMIF($A:$A,$A455,$K:$K)+SUMIF($A:$A,$A455,$L:$L)))/VLOOKUP($A455,HeadJournal!$A$1:$L$890,COLUMN(HeadJournal!H$1),0),0)</f>
        <v>4.9840544990558211</v>
      </c>
      <c r="P455" s="30">
        <f>IFERROR(SUM(K455:O455)*VLOOKUP($A455,HeadJournal!$A$1:$L$890,COLUMN(HeadJournal!H$1),0),0)</f>
        <v>1330.5997604348515</v>
      </c>
      <c r="Q455" s="29">
        <v>2700</v>
      </c>
      <c r="R455" s="31">
        <v>44938</v>
      </c>
      <c r="S455" s="31" t="s">
        <v>3121</v>
      </c>
      <c r="T455" s="95" t="str">
        <f t="shared" si="40"/>
        <v>2023 01</v>
      </c>
      <c r="U455" s="32">
        <f t="shared" si="36"/>
        <v>1369.4002395651485</v>
      </c>
      <c r="V455" s="22">
        <f t="shared" si="37"/>
        <v>1.029160142879942</v>
      </c>
      <c r="X455" s="33"/>
      <c r="Y455" s="33"/>
    </row>
    <row r="456" spans="1:25" x14ac:dyDescent="0.2">
      <c r="A456" s="93" t="s">
        <v>209</v>
      </c>
      <c r="B456" s="94" t="str">
        <f>IFERROR(VLOOKUP($A456,HeadJournal!$A$1:$NTR$890,COLUMN(HeadJournal!B$1),0),"")</f>
        <v>1Z095EE70250818508</v>
      </c>
      <c r="C456" s="94" t="str">
        <f>IFERROR(VLOOKUP($A456,HeadJournal!$A$1:$NTR$890,COLUMN(HeadJournal!C$1),0),"")</f>
        <v>iHerb_MH DLE7202</v>
      </c>
      <c r="D456" s="125" t="str">
        <f>IFERROR(VLOOKUP($A456,HeadJournal!$A$1:$NTR$890,COLUMN(HeadJournal!D$1),0),"")</f>
        <v>Доставлен</v>
      </c>
      <c r="E456" s="95">
        <f>IFERROR(VLOOKUP($A456,HeadJournal!$A$1:$NTR$890,COLUMN(HeadJournal!G$1),0),"")</f>
        <v>44892</v>
      </c>
      <c r="F456" s="95" t="str">
        <f t="shared" si="38"/>
        <v>2022 11</v>
      </c>
      <c r="G456" s="96" t="s">
        <v>5</v>
      </c>
      <c r="H456" s="175" t="s">
        <v>3652</v>
      </c>
      <c r="I456" s="176" t="s">
        <v>2005</v>
      </c>
      <c r="J456" s="97" t="s">
        <v>3701</v>
      </c>
      <c r="K456" s="29">
        <v>8.83</v>
      </c>
      <c r="L456" s="29">
        <v>-2.21</v>
      </c>
      <c r="M456" s="30">
        <f>IFERROR(VLOOKUP($A456,HeadJournal!$A$1:$J$890,COLUMN(HeadJournal!I$1),0)*($K456+$L456)/(SUMIF($A:$A,$A456,$K:$K)+SUMIF($A:$A,$A456,$L:$L)),0)</f>
        <v>0</v>
      </c>
      <c r="N456" s="30">
        <f>IFERROR((VLOOKUP($A456,HeadJournal!$A$1:$K$890,COLUMN(HeadJournal!K$1),0)-VLOOKUP($A456,HeadJournal!$A$1:$K$890,COLUMN(HeadJournal!J$1),0))*($K456+$L456)/(SUMIF($A:$A,$A456,$K:$K)+SUMIF($A:$A,$A456,$L:$L)),0)</f>
        <v>-7.4651530086206366E-16</v>
      </c>
      <c r="O456" s="30">
        <f>IFERROR((VLOOKUP($A456,HeadJournal!$A$1:$L$890,COLUMN(HeadJournal!L$1),0)*($K456+$L456)/(SUMIF($A:$A,$A456,$K:$K)+SUMIF($A:$A,$A456,$L:$L)))/VLOOKUP($A456,HeadJournal!$A$1:$L$890,COLUMN(HeadJournal!H$1),0),0)</f>
        <v>2.3073035513111559</v>
      </c>
      <c r="P456" s="30">
        <f>IFERROR(SUM(K456:O456)*VLOOKUP($A456,HeadJournal!$A$1:$L$890,COLUMN(HeadJournal!H$1),0),0)</f>
        <v>615.98394504046973</v>
      </c>
      <c r="Q456" s="29">
        <v>1300</v>
      </c>
      <c r="R456" s="31">
        <v>44957</v>
      </c>
      <c r="S456" s="31" t="s">
        <v>3121</v>
      </c>
      <c r="T456" s="95" t="str">
        <f t="shared" si="40"/>
        <v>2023 01</v>
      </c>
      <c r="U456" s="32">
        <f t="shared" si="36"/>
        <v>684.01605495953027</v>
      </c>
      <c r="V456" s="22">
        <f t="shared" si="37"/>
        <v>1.110444615426772</v>
      </c>
      <c r="X456" s="33"/>
      <c r="Y456" s="33"/>
    </row>
    <row r="457" spans="1:25" x14ac:dyDescent="0.2">
      <c r="A457" s="93" t="s">
        <v>209</v>
      </c>
      <c r="B457" s="94" t="str">
        <f>IFERROR(VLOOKUP($A457,HeadJournal!$A$1:$NTR$890,COLUMN(HeadJournal!B$1),0),"")</f>
        <v>1Z095EE70250818508</v>
      </c>
      <c r="C457" s="94" t="str">
        <f>IFERROR(VLOOKUP($A457,HeadJournal!$A$1:$NTR$890,COLUMN(HeadJournal!C$1),0),"")</f>
        <v>iHerb_MH DLE7202</v>
      </c>
      <c r="D457" s="125" t="str">
        <f>IFERROR(VLOOKUP($A457,HeadJournal!$A$1:$NTR$890,COLUMN(HeadJournal!D$1),0),"")</f>
        <v>Доставлен</v>
      </c>
      <c r="E457" s="95">
        <f>IFERROR(VLOOKUP($A457,HeadJournal!$A$1:$NTR$890,COLUMN(HeadJournal!G$1),0),"")</f>
        <v>44892</v>
      </c>
      <c r="F457" s="95" t="str">
        <f t="shared" si="38"/>
        <v>2022 11</v>
      </c>
      <c r="G457" s="96" t="s">
        <v>5</v>
      </c>
      <c r="H457" s="175" t="s">
        <v>3656</v>
      </c>
      <c r="I457" s="176" t="s">
        <v>2005</v>
      </c>
      <c r="J457" s="97" t="s">
        <v>3705</v>
      </c>
      <c r="K457" s="29">
        <v>17.71</v>
      </c>
      <c r="L457" s="29">
        <v>-4.43</v>
      </c>
      <c r="M457" s="30">
        <f>IFERROR(VLOOKUP($A457,HeadJournal!$A$1:$J$890,COLUMN(HeadJournal!I$1),0)*($K457+$L457)/(SUMIF($A:$A,$A457,$K:$K)+SUMIF($A:$A,$A457,$L:$L)),0)</f>
        <v>0</v>
      </c>
      <c r="N457" s="30">
        <f>IFERROR((VLOOKUP($A457,HeadJournal!$A$1:$K$890,COLUMN(HeadJournal!K$1),0)-VLOOKUP($A457,HeadJournal!$A$1:$K$890,COLUMN(HeadJournal!J$1),0))*($K457+$L457)/(SUMIF($A:$A,$A457,$K:$K)+SUMIF($A:$A,$A457,$L:$L)),0)</f>
        <v>-1.4975412681945931E-15</v>
      </c>
      <c r="O457" s="30">
        <f>IFERROR((VLOOKUP($A457,HeadJournal!$A$1:$L$890,COLUMN(HeadJournal!L$1),0)*($K457+$L457)/(SUMIF($A:$A,$A457,$K:$K)+SUMIF($A:$A,$A457,$L:$L)))/VLOOKUP($A457,HeadJournal!$A$1:$L$890,COLUMN(HeadJournal!H$1),0),0)</f>
        <v>4.6285485138084823</v>
      </c>
      <c r="P457" s="30">
        <f>IFERROR(SUM(K457:O457)*VLOOKUP($A457,HeadJournal!$A$1:$L$890,COLUMN(HeadJournal!H$1),0),0)</f>
        <v>1235.6898474527854</v>
      </c>
      <c r="Q457" s="29">
        <v>2800</v>
      </c>
      <c r="R457" s="31">
        <v>44939</v>
      </c>
      <c r="S457" s="31" t="s">
        <v>3121</v>
      </c>
      <c r="T457" s="95" t="str">
        <f t="shared" si="40"/>
        <v>2023 01</v>
      </c>
      <c r="U457" s="32">
        <f t="shared" si="36"/>
        <v>1564.3101525472146</v>
      </c>
      <c r="V457" s="22">
        <f t="shared" si="37"/>
        <v>1.2659407664243882</v>
      </c>
      <c r="X457" s="33"/>
      <c r="Y457" s="33"/>
    </row>
    <row r="458" spans="1:25" x14ac:dyDescent="0.2">
      <c r="A458" s="93" t="s">
        <v>209</v>
      </c>
      <c r="B458" s="94" t="str">
        <f>IFERROR(VLOOKUP($A458,HeadJournal!$A$1:$NTR$890,COLUMN(HeadJournal!B$1),0),"")</f>
        <v>1Z095EE70250818508</v>
      </c>
      <c r="C458" s="94" t="str">
        <f>IFERROR(VLOOKUP($A458,HeadJournal!$A$1:$NTR$890,COLUMN(HeadJournal!C$1),0),"")</f>
        <v>iHerb_MH DLE7202</v>
      </c>
      <c r="D458" s="125" t="str">
        <f>IFERROR(VLOOKUP($A458,HeadJournal!$A$1:$NTR$890,COLUMN(HeadJournal!D$1),0),"")</f>
        <v>Доставлен</v>
      </c>
      <c r="E458" s="95">
        <f>IFERROR(VLOOKUP($A458,HeadJournal!$A$1:$NTR$890,COLUMN(HeadJournal!G$1),0),"")</f>
        <v>44892</v>
      </c>
      <c r="F458" s="95" t="str">
        <f t="shared" si="38"/>
        <v>2022 11</v>
      </c>
      <c r="G458" s="96" t="s">
        <v>5</v>
      </c>
      <c r="H458" s="161" t="s">
        <v>3011</v>
      </c>
      <c r="I458" s="97" t="s">
        <v>2052</v>
      </c>
      <c r="J458" s="97" t="s">
        <v>3012</v>
      </c>
      <c r="K458" s="29">
        <v>6</v>
      </c>
      <c r="L458" s="29">
        <v>-3.6</v>
      </c>
      <c r="M458" s="30">
        <f>IFERROR(VLOOKUP($A458,HeadJournal!$A$1:$J$890,COLUMN(HeadJournal!I$1),0)*($K458+$L458)/(SUMIF($A:$A,$A458,$K:$K)+SUMIF($A:$A,$A458,$L:$L)),0)</f>
        <v>0</v>
      </c>
      <c r="N458" s="30">
        <f>IFERROR((VLOOKUP($A458,HeadJournal!$A$1:$K$890,COLUMN(HeadJournal!K$1),0)-VLOOKUP($A458,HeadJournal!$A$1:$K$890,COLUMN(HeadJournal!J$1),0))*($K458+$L458)/(SUMIF($A:$A,$A458,$K:$K)+SUMIF($A:$A,$A458,$L:$L)),0)</f>
        <v>-2.7063998822793846E-16</v>
      </c>
      <c r="O458" s="30">
        <f>IFERROR((VLOOKUP($A458,HeadJournal!$A$1:$L$890,COLUMN(HeadJournal!L$1),0)*($K458+$L458)/(SUMIF($A:$A,$A458,$K:$K)+SUMIF($A:$A,$A458,$L:$L)))/VLOOKUP($A458,HeadJournal!$A$1:$L$890,COLUMN(HeadJournal!H$1),0),0)</f>
        <v>0.83648467117020764</v>
      </c>
      <c r="P458" s="30">
        <f>IFERROR(SUM(K458:O458)*VLOOKUP($A458,HeadJournal!$A$1:$L$890,COLUMN(HeadJournal!H$1),0),0)</f>
        <v>223.3174423107443</v>
      </c>
      <c r="Q458" s="29">
        <v>800</v>
      </c>
      <c r="R458" s="31">
        <v>44936</v>
      </c>
      <c r="S458" s="31" t="s">
        <v>3121</v>
      </c>
      <c r="T458" s="95" t="str">
        <f t="shared" si="40"/>
        <v>2023 01</v>
      </c>
      <c r="U458" s="32">
        <f t="shared" si="36"/>
        <v>576.68255768925565</v>
      </c>
      <c r="V458" s="22">
        <f t="shared" si="37"/>
        <v>2.5823444497757002</v>
      </c>
      <c r="X458" s="33"/>
      <c r="Y458" s="33"/>
    </row>
    <row r="459" spans="1:25" x14ac:dyDescent="0.2">
      <c r="A459" s="93" t="s">
        <v>209</v>
      </c>
      <c r="B459" s="94" t="str">
        <f>IFERROR(VLOOKUP($A459,HeadJournal!$A$1:$NTR$890,COLUMN(HeadJournal!B$1),0),"")</f>
        <v>1Z095EE70250818508</v>
      </c>
      <c r="C459" s="94" t="str">
        <f>IFERROR(VLOOKUP($A459,HeadJournal!$A$1:$NTR$890,COLUMN(HeadJournal!C$1),0),"")</f>
        <v>iHerb_MH DLE7202</v>
      </c>
      <c r="D459" s="125" t="str">
        <f>IFERROR(VLOOKUP($A459,HeadJournal!$A$1:$NTR$890,COLUMN(HeadJournal!D$1),0),"")</f>
        <v>Доставлен</v>
      </c>
      <c r="E459" s="95">
        <f>IFERROR(VLOOKUP($A459,HeadJournal!$A$1:$NTR$890,COLUMN(HeadJournal!G$1),0),"")</f>
        <v>44892</v>
      </c>
      <c r="F459" s="95" t="str">
        <f t="shared" si="38"/>
        <v>2022 11</v>
      </c>
      <c r="G459" s="96" t="s">
        <v>5</v>
      </c>
      <c r="H459" s="160" t="str">
        <f>RIGHT(Journal!$J459,9)</f>
        <v>CGN-01180</v>
      </c>
      <c r="I459" s="96" t="str">
        <f t="shared" si="39"/>
        <v>California Gold Nutrition</v>
      </c>
      <c r="J459" s="97" t="s">
        <v>212</v>
      </c>
      <c r="K459" s="29">
        <v>12</v>
      </c>
      <c r="L459" s="29">
        <v>-7.2</v>
      </c>
      <c r="M459" s="30">
        <f>IFERROR(VLOOKUP($A459,HeadJournal!$A$1:$J$890,COLUMN(HeadJournal!I$1),0)*($K459+$L459)/(SUMIF($A:$A,$A459,$K:$K)+SUMIF($A:$A,$A459,$L:$L)),0)</f>
        <v>0</v>
      </c>
      <c r="N459" s="30">
        <f>IFERROR((VLOOKUP($A459,HeadJournal!$A$1:$K$890,COLUMN(HeadJournal!K$1),0)-VLOOKUP($A459,HeadJournal!$A$1:$K$890,COLUMN(HeadJournal!J$1),0))*($K459+$L459)/(SUMIF($A:$A,$A459,$K:$K)+SUMIF($A:$A,$A459,$L:$L)),0)</f>
        <v>-5.4127997645587692E-16</v>
      </c>
      <c r="O459" s="30">
        <f>IFERROR((VLOOKUP($A459,HeadJournal!$A$1:$L$890,COLUMN(HeadJournal!L$1),0)*($K459+$L459)/(SUMIF($A:$A,$A459,$K:$K)+SUMIF($A:$A,$A459,$L:$L)))/VLOOKUP($A459,HeadJournal!$A$1:$L$890,COLUMN(HeadJournal!H$1),0),0)</f>
        <v>1.6729693423404153</v>
      </c>
      <c r="P459" s="30">
        <f>IFERROR(SUM(K459:O459)*VLOOKUP($A459,HeadJournal!$A$1:$L$890,COLUMN(HeadJournal!H$1),0),0)</f>
        <v>446.6348846214886</v>
      </c>
      <c r="Q459" s="29">
        <v>1800</v>
      </c>
      <c r="R459" s="31">
        <v>44989</v>
      </c>
      <c r="S459" s="31" t="s">
        <v>3121</v>
      </c>
      <c r="T459" s="95" t="str">
        <f t="shared" si="40"/>
        <v>2023 03</v>
      </c>
      <c r="U459" s="32">
        <f t="shared" si="36"/>
        <v>1353.3651153785113</v>
      </c>
      <c r="V459" s="22">
        <f t="shared" si="37"/>
        <v>3.0301375059976627</v>
      </c>
      <c r="X459" s="33"/>
      <c r="Y459" s="33"/>
    </row>
    <row r="460" spans="1:25" x14ac:dyDescent="0.2">
      <c r="A460" s="93" t="s">
        <v>209</v>
      </c>
      <c r="B460" s="94" t="str">
        <f>IFERROR(VLOOKUP($A460,HeadJournal!$A$1:$NTR$890,COLUMN(HeadJournal!B$1),0),"")</f>
        <v>1Z095EE70250818508</v>
      </c>
      <c r="C460" s="94" t="str">
        <f>IFERROR(VLOOKUP($A460,HeadJournal!$A$1:$NTR$890,COLUMN(HeadJournal!C$1),0),"")</f>
        <v>iHerb_MH DLE7202</v>
      </c>
      <c r="D460" s="125" t="str">
        <f>IFERROR(VLOOKUP($A460,HeadJournal!$A$1:$NTR$890,COLUMN(HeadJournal!D$1),0),"")</f>
        <v>Доставлен</v>
      </c>
      <c r="E460" s="95">
        <f>IFERROR(VLOOKUP($A460,HeadJournal!$A$1:$NTR$890,COLUMN(HeadJournal!G$1),0),"")</f>
        <v>44892</v>
      </c>
      <c r="F460" s="95" t="str">
        <f t="shared" si="38"/>
        <v>2022 11</v>
      </c>
      <c r="G460" s="96" t="s">
        <v>5</v>
      </c>
      <c r="H460" s="160" t="str">
        <f>RIGHT(Journal!$J460,9)</f>
        <v>CEN-27757</v>
      </c>
      <c r="I460" s="96" t="str">
        <f t="shared" si="39"/>
        <v>21st Century</v>
      </c>
      <c r="J460" s="97" t="s">
        <v>127</v>
      </c>
      <c r="K460" s="29">
        <v>8.9499999999999993</v>
      </c>
      <c r="L460" s="29">
        <v>-2.2400000000000002</v>
      </c>
      <c r="M460" s="30">
        <f>IFERROR(VLOOKUP($A460,HeadJournal!$A$1:$J$890,COLUMN(HeadJournal!I$1),0)*($K460+$L460)/(SUMIF($A:$A,$A460,$K:$K)+SUMIF($A:$A,$A460,$L:$L)),0)</f>
        <v>0</v>
      </c>
      <c r="N460" s="30">
        <f>IFERROR((VLOOKUP($A460,HeadJournal!$A$1:$K$890,COLUMN(HeadJournal!K$1),0)-VLOOKUP($A460,HeadJournal!$A$1:$K$890,COLUMN(HeadJournal!J$1),0))*($K460+$L460)/(SUMIF($A:$A,$A460,$K:$K)+SUMIF($A:$A,$A460,$L:$L)),0)</f>
        <v>-7.5666430042061124E-16</v>
      </c>
      <c r="O460" s="30">
        <f>IFERROR((VLOOKUP($A460,HeadJournal!$A$1:$L$890,COLUMN(HeadJournal!L$1),0)*($K460+$L460)/(SUMIF($A:$A,$A460,$K:$K)+SUMIF($A:$A,$A460,$L:$L)))/VLOOKUP($A460,HeadJournal!$A$1:$L$890,COLUMN(HeadJournal!H$1),0),0)</f>
        <v>2.3386717264800385</v>
      </c>
      <c r="P460" s="30">
        <f>IFERROR(SUM(K460:O460)*VLOOKUP($A460,HeadJournal!$A$1:$L$890,COLUMN(HeadJournal!H$1),0),0)</f>
        <v>624.35834912712255</v>
      </c>
      <c r="Q460" s="29">
        <v>1300</v>
      </c>
      <c r="R460" s="31">
        <v>45234</v>
      </c>
      <c r="S460" s="31" t="s">
        <v>3121</v>
      </c>
      <c r="T460" s="95" t="str">
        <f t="shared" si="40"/>
        <v>2023 11</v>
      </c>
      <c r="U460" s="32">
        <f t="shared" si="36"/>
        <v>675.64165087287745</v>
      </c>
      <c r="V460" s="22">
        <f t="shared" si="37"/>
        <v>1.0821376086624788</v>
      </c>
      <c r="X460" s="33"/>
      <c r="Y460" s="33"/>
    </row>
    <row r="461" spans="1:25" x14ac:dyDescent="0.2">
      <c r="A461" s="93" t="s">
        <v>213</v>
      </c>
      <c r="B461" s="94">
        <f>IFERROR(VLOOKUP($A461,HeadJournal!$A$1:$NTR$890,COLUMN(HeadJournal!B$1),0),"")</f>
        <v>0</v>
      </c>
      <c r="C461" s="94" t="str">
        <f>IFERROR(VLOOKUP($A461,HeadJournal!$A$1:$NTR$890,COLUMN(HeadJournal!C$1),0),"")</f>
        <v>OZON_AV</v>
      </c>
      <c r="D461" s="125" t="str">
        <f>IFERROR(VLOOKUP($A461,HeadJournal!$A$1:$NTR$890,COLUMN(HeadJournal!D$1),0),"")</f>
        <v>Доставлен</v>
      </c>
      <c r="E461" s="95">
        <f>IFERROR(VLOOKUP($A461,HeadJournal!$A$1:$NTR$890,COLUMN(HeadJournal!G$1),0),"")</f>
        <v>44882</v>
      </c>
      <c r="F461" s="95" t="str">
        <f t="shared" si="38"/>
        <v>2022 11</v>
      </c>
      <c r="G461" s="96" t="s">
        <v>6</v>
      </c>
      <c r="H461" s="160" t="s">
        <v>3716</v>
      </c>
      <c r="I461" s="96" t="str">
        <f t="shared" si="39"/>
        <v>OK</v>
      </c>
      <c r="J461" s="97" t="s">
        <v>214</v>
      </c>
      <c r="K461" s="29">
        <v>473</v>
      </c>
      <c r="L461" s="29"/>
      <c r="M461" s="30">
        <f>IFERROR(VLOOKUP($A461,HeadJournal!$A$1:$J$890,COLUMN(HeadJournal!I$1),0)*($K461+$L461)/(SUMIF($A:$A,$A461,$K:$K)+SUMIF($A:$A,$A461,$L:$L)),0)</f>
        <v>0</v>
      </c>
      <c r="N461" s="30">
        <f>IFERROR((VLOOKUP($A461,HeadJournal!$A$1:$K$890,COLUMN(HeadJournal!K$1),0)-VLOOKUP($A461,HeadJournal!$A$1:$K$890,COLUMN(HeadJournal!J$1),0))*($K461+$L461)/(SUMIF($A:$A,$A461,$K:$K)+SUMIF($A:$A,$A461,$L:$L)),0)</f>
        <v>0</v>
      </c>
      <c r="O461" s="30">
        <f>IFERROR((VLOOKUP($A461,HeadJournal!$A$1:$L$890,COLUMN(HeadJournal!L$1),0)*($K461+$L461)/(SUMIF($A:$A,$A461,$K:$K)+SUMIF($A:$A,$A461,$L:$L)))/VLOOKUP($A461,HeadJournal!$A$1:$L$890,COLUMN(HeadJournal!H$1),0),0)</f>
        <v>70.95</v>
      </c>
      <c r="P461" s="30">
        <f>IFERROR(SUM(K461:O461)*VLOOKUP($A461,HeadJournal!$A$1:$L$890,COLUMN(HeadJournal!H$1),0),0)</f>
        <v>543.95000000000005</v>
      </c>
      <c r="Q461" s="29">
        <v>1000</v>
      </c>
      <c r="R461" s="31">
        <v>44894</v>
      </c>
      <c r="S461" s="31" t="s">
        <v>3121</v>
      </c>
      <c r="T461" s="95" t="str">
        <f t="shared" si="40"/>
        <v>2022 11</v>
      </c>
      <c r="U461" s="32">
        <f t="shared" si="36"/>
        <v>456.04999999999995</v>
      </c>
      <c r="V461" s="22">
        <f t="shared" si="37"/>
        <v>0.8384042650978949</v>
      </c>
      <c r="X461" s="33"/>
      <c r="Y461" s="33"/>
    </row>
    <row r="462" spans="1:25" x14ac:dyDescent="0.2">
      <c r="A462" s="93" t="s">
        <v>213</v>
      </c>
      <c r="B462" s="94">
        <f>IFERROR(VLOOKUP($A462,HeadJournal!$A$1:$NTR$890,COLUMN(HeadJournal!B$1),0),"")</f>
        <v>0</v>
      </c>
      <c r="C462" s="94" t="str">
        <f>IFERROR(VLOOKUP($A462,HeadJournal!$A$1:$NTR$890,COLUMN(HeadJournal!C$1),0),"")</f>
        <v>OZON_AV</v>
      </c>
      <c r="D462" s="125" t="str">
        <f>IFERROR(VLOOKUP($A462,HeadJournal!$A$1:$NTR$890,COLUMN(HeadJournal!D$1),0),"")</f>
        <v>Доставлен</v>
      </c>
      <c r="E462" s="95">
        <f>IFERROR(VLOOKUP($A462,HeadJournal!$A$1:$NTR$890,COLUMN(HeadJournal!G$1),0),"")</f>
        <v>44882</v>
      </c>
      <c r="F462" s="95" t="str">
        <f t="shared" si="38"/>
        <v>2022 11</v>
      </c>
      <c r="G462" s="96" t="s">
        <v>6</v>
      </c>
      <c r="H462" s="160" t="s">
        <v>3716</v>
      </c>
      <c r="I462" s="96" t="str">
        <f t="shared" si="39"/>
        <v>OK</v>
      </c>
      <c r="J462" s="97" t="s">
        <v>214</v>
      </c>
      <c r="K462" s="29">
        <v>473</v>
      </c>
      <c r="L462" s="29"/>
      <c r="M462" s="30">
        <f>IFERROR(VLOOKUP($A462,HeadJournal!$A$1:$J$890,COLUMN(HeadJournal!I$1),0)*($K462+$L462)/(SUMIF($A:$A,$A462,$K:$K)+SUMIF($A:$A,$A462,$L:$L)),0)</f>
        <v>0</v>
      </c>
      <c r="N462" s="30">
        <f>IFERROR((VLOOKUP($A462,HeadJournal!$A$1:$K$890,COLUMN(HeadJournal!K$1),0)-VLOOKUP($A462,HeadJournal!$A$1:$K$890,COLUMN(HeadJournal!J$1),0))*($K462+$L462)/(SUMIF($A:$A,$A462,$K:$K)+SUMIF($A:$A,$A462,$L:$L)),0)</f>
        <v>0</v>
      </c>
      <c r="O462" s="30">
        <f>IFERROR((VLOOKUP($A462,HeadJournal!$A$1:$L$890,COLUMN(HeadJournal!L$1),0)*($K462+$L462)/(SUMIF($A:$A,$A462,$K:$K)+SUMIF($A:$A,$A462,$L:$L)))/VLOOKUP($A462,HeadJournal!$A$1:$L$890,COLUMN(HeadJournal!H$1),0),0)</f>
        <v>70.95</v>
      </c>
      <c r="P462" s="30">
        <f>IFERROR(SUM(K462:O462)*VLOOKUP($A462,HeadJournal!$A$1:$L$890,COLUMN(HeadJournal!H$1),0),0)</f>
        <v>543.95000000000005</v>
      </c>
      <c r="Q462" s="29">
        <v>1000</v>
      </c>
      <c r="R462" s="31">
        <v>44931</v>
      </c>
      <c r="S462" s="31" t="s">
        <v>3121</v>
      </c>
      <c r="T462" s="95" t="str">
        <f t="shared" si="40"/>
        <v>2023 01</v>
      </c>
      <c r="U462" s="32">
        <f t="shared" si="36"/>
        <v>456.04999999999995</v>
      </c>
      <c r="V462" s="22">
        <f t="shared" si="37"/>
        <v>0.8384042650978949</v>
      </c>
      <c r="X462" s="33"/>
      <c r="Y462" s="33"/>
    </row>
    <row r="463" spans="1:25" x14ac:dyDescent="0.2">
      <c r="A463" s="93" t="s">
        <v>215</v>
      </c>
      <c r="B463" s="94">
        <f>IFERROR(VLOOKUP($A463,HeadJournal!$A$1:$NTR$890,COLUMN(HeadJournal!B$1),0),"")</f>
        <v>0</v>
      </c>
      <c r="C463" s="94" t="str">
        <f>IFERROR(VLOOKUP($A463,HeadJournal!$A$1:$NTR$890,COLUMN(HeadJournal!C$1),0),"")</f>
        <v>OZON_AV</v>
      </c>
      <c r="D463" s="125" t="str">
        <f>IFERROR(VLOOKUP($A463,HeadJournal!$A$1:$NTR$890,COLUMN(HeadJournal!D$1),0),"")</f>
        <v>Доставлен</v>
      </c>
      <c r="E463" s="95">
        <f>IFERROR(VLOOKUP($A463,HeadJournal!$A$1:$NTR$890,COLUMN(HeadJournal!G$1),0),"")</f>
        <v>44884</v>
      </c>
      <c r="F463" s="95" t="str">
        <f t="shared" si="38"/>
        <v>2022 11</v>
      </c>
      <c r="G463" s="96" t="s">
        <v>7</v>
      </c>
      <c r="H463" s="160" t="s">
        <v>3717</v>
      </c>
      <c r="I463" s="96" t="str">
        <f t="shared" si="39"/>
        <v>LADOR</v>
      </c>
      <c r="J463" s="97" t="s">
        <v>216</v>
      </c>
      <c r="K463" s="29">
        <v>389</v>
      </c>
      <c r="L463" s="29"/>
      <c r="M463" s="30">
        <f>IFERROR(VLOOKUP($A463,HeadJournal!$A$1:$J$890,COLUMN(HeadJournal!I$1),0)*($K463+$L463)/(SUMIF($A:$A,$A463,$K:$K)+SUMIF($A:$A,$A463,$L:$L)),0)</f>
        <v>0</v>
      </c>
      <c r="N463" s="30">
        <f>IFERROR((VLOOKUP($A463,HeadJournal!$A$1:$K$890,COLUMN(HeadJournal!K$1),0)-VLOOKUP($A463,HeadJournal!$A$1:$K$890,COLUMN(HeadJournal!J$1),0))*($K463+$L463)/(SUMIF($A:$A,$A463,$K:$K)+SUMIF($A:$A,$A463,$L:$L)),0)</f>
        <v>0</v>
      </c>
      <c r="O463" s="30">
        <f>IFERROR((VLOOKUP($A463,HeadJournal!$A$1:$L$890,COLUMN(HeadJournal!L$1),0)*($K463+$L463)/(SUMIF($A:$A,$A463,$K:$K)+SUMIF($A:$A,$A463,$L:$L)))/VLOOKUP($A463,HeadJournal!$A$1:$L$890,COLUMN(HeadJournal!H$1),0),0)</f>
        <v>58.349999999999987</v>
      </c>
      <c r="P463" s="30">
        <f>IFERROR(SUM(K463:O463)*VLOOKUP($A463,HeadJournal!$A$1:$L$890,COLUMN(HeadJournal!H$1),0),0)</f>
        <v>447.34999999999997</v>
      </c>
      <c r="Q463" s="29">
        <v>600</v>
      </c>
      <c r="R463" s="31">
        <v>44895</v>
      </c>
      <c r="S463" s="31" t="s">
        <v>3121</v>
      </c>
      <c r="T463" s="95" t="str">
        <f t="shared" si="40"/>
        <v>2022 11</v>
      </c>
      <c r="U463" s="32">
        <f t="shared" si="36"/>
        <v>152.65000000000003</v>
      </c>
      <c r="V463" s="22">
        <f t="shared" si="37"/>
        <v>0.34123169777579088</v>
      </c>
      <c r="X463" s="33"/>
      <c r="Y463" s="33"/>
    </row>
    <row r="464" spans="1:25" x14ac:dyDescent="0.2">
      <c r="A464" s="93" t="s">
        <v>215</v>
      </c>
      <c r="B464" s="94">
        <f>IFERROR(VLOOKUP($A464,HeadJournal!$A$1:$NTR$890,COLUMN(HeadJournal!B$1),0),"")</f>
        <v>0</v>
      </c>
      <c r="C464" s="94" t="str">
        <f>IFERROR(VLOOKUP($A464,HeadJournal!$A$1:$NTR$890,COLUMN(HeadJournal!C$1),0),"")</f>
        <v>OZON_AV</v>
      </c>
      <c r="D464" s="125" t="str">
        <f>IFERROR(VLOOKUP($A464,HeadJournal!$A$1:$NTR$890,COLUMN(HeadJournal!D$1),0),"")</f>
        <v>Доставлен</v>
      </c>
      <c r="E464" s="95">
        <f>IFERROR(VLOOKUP($A464,HeadJournal!$A$1:$NTR$890,COLUMN(HeadJournal!G$1),0),"")</f>
        <v>44884</v>
      </c>
      <c r="F464" s="95" t="str">
        <f t="shared" si="38"/>
        <v>2022 11</v>
      </c>
      <c r="G464" s="96" t="s">
        <v>7</v>
      </c>
      <c r="H464" s="160" t="s">
        <v>3718</v>
      </c>
      <c r="I464" s="96" t="str">
        <f t="shared" si="39"/>
        <v>Incus</v>
      </c>
      <c r="J464" s="97" t="s">
        <v>217</v>
      </c>
      <c r="K464" s="29">
        <v>523</v>
      </c>
      <c r="L464" s="29"/>
      <c r="M464" s="30">
        <f>IFERROR(VLOOKUP($A464,HeadJournal!$A$1:$J$890,COLUMN(HeadJournal!I$1),0)*($K464+$L464)/(SUMIF($A:$A,$A464,$K:$K)+SUMIF($A:$A,$A464,$L:$L)),0)</f>
        <v>0</v>
      </c>
      <c r="N464" s="30">
        <f>IFERROR((VLOOKUP($A464,HeadJournal!$A$1:$K$890,COLUMN(HeadJournal!K$1),0)-VLOOKUP($A464,HeadJournal!$A$1:$K$890,COLUMN(HeadJournal!J$1),0))*($K464+$L464)/(SUMIF($A:$A,$A464,$K:$K)+SUMIF($A:$A,$A464,$L:$L)),0)</f>
        <v>0</v>
      </c>
      <c r="O464" s="30">
        <f>IFERROR((VLOOKUP($A464,HeadJournal!$A$1:$L$890,COLUMN(HeadJournal!L$1),0)*($K464+$L464)/(SUMIF($A:$A,$A464,$K:$K)+SUMIF($A:$A,$A464,$L:$L)))/VLOOKUP($A464,HeadJournal!$A$1:$L$890,COLUMN(HeadJournal!H$1),0),0)</f>
        <v>78.449999999999989</v>
      </c>
      <c r="P464" s="30">
        <f>IFERROR(SUM(K464:O464)*VLOOKUP($A464,HeadJournal!$A$1:$L$890,COLUMN(HeadJournal!H$1),0),0)</f>
        <v>601.45000000000005</v>
      </c>
      <c r="Q464" s="29">
        <v>800</v>
      </c>
      <c r="R464" s="31">
        <v>44895</v>
      </c>
      <c r="S464" s="31" t="s">
        <v>3121</v>
      </c>
      <c r="T464" s="95" t="str">
        <f t="shared" si="40"/>
        <v>2022 11</v>
      </c>
      <c r="U464" s="32">
        <f t="shared" si="36"/>
        <v>198.54999999999995</v>
      </c>
      <c r="V464" s="22">
        <f t="shared" si="37"/>
        <v>0.33011887937484402</v>
      </c>
      <c r="X464" s="33"/>
      <c r="Y464" s="33"/>
    </row>
    <row r="465" spans="1:25" x14ac:dyDescent="0.2">
      <c r="A465" s="93" t="s">
        <v>218</v>
      </c>
      <c r="B465" s="94">
        <f>IFERROR(VLOOKUP($A465,HeadJournal!$A$1:$NTR$890,COLUMN(HeadJournal!B$1),0),"")</f>
        <v>0</v>
      </c>
      <c r="C465" s="94" t="str">
        <f>IFERROR(VLOOKUP($A465,HeadJournal!$A$1:$NTR$890,COLUMN(HeadJournal!C$1),0),"")</f>
        <v>OZON_AV</v>
      </c>
      <c r="D465" s="125" t="str">
        <f>IFERROR(VLOOKUP($A465,HeadJournal!$A$1:$NTR$890,COLUMN(HeadJournal!D$1),0),"")</f>
        <v>Доставлен</v>
      </c>
      <c r="E465" s="95">
        <f>IFERROR(VLOOKUP($A465,HeadJournal!$A$1:$NTR$890,COLUMN(HeadJournal!G$1),0),"")</f>
        <v>44884</v>
      </c>
      <c r="F465" s="95" t="str">
        <f t="shared" si="38"/>
        <v>2022 11</v>
      </c>
      <c r="G465" s="96" t="s">
        <v>5</v>
      </c>
      <c r="H465" s="160" t="s">
        <v>3719</v>
      </c>
      <c r="I465" s="96" t="str">
        <f t="shared" si="39"/>
        <v>Himalaya</v>
      </c>
      <c r="J465" s="97" t="s">
        <v>219</v>
      </c>
      <c r="K465" s="29">
        <v>334</v>
      </c>
      <c r="L465" s="29"/>
      <c r="M465" s="30">
        <f>IFERROR(VLOOKUP($A465,HeadJournal!$A$1:$J$890,COLUMN(HeadJournal!I$1),0)*($K465+$L465)/(SUMIF($A:$A,$A465,$K:$K)+SUMIF($A:$A,$A465,$L:$L)),0)</f>
        <v>0</v>
      </c>
      <c r="N465" s="30">
        <f>IFERROR((VLOOKUP($A465,HeadJournal!$A$1:$K$890,COLUMN(HeadJournal!K$1),0)-VLOOKUP($A465,HeadJournal!$A$1:$K$890,COLUMN(HeadJournal!J$1),0))*($K465+$L465)/(SUMIF($A:$A,$A465,$K:$K)+SUMIF($A:$A,$A465,$L:$L)),0)</f>
        <v>0</v>
      </c>
      <c r="O465" s="30">
        <f>IFERROR((VLOOKUP($A465,HeadJournal!$A$1:$L$890,COLUMN(HeadJournal!L$1),0)*($K465+$L465)/(SUMIF($A:$A,$A465,$K:$K)+SUMIF($A:$A,$A465,$L:$L)))/VLOOKUP($A465,HeadJournal!$A$1:$L$890,COLUMN(HeadJournal!H$1),0),0)</f>
        <v>50.1</v>
      </c>
      <c r="P465" s="30">
        <f>IFERROR(SUM(K465:O465)*VLOOKUP($A465,HeadJournal!$A$1:$L$890,COLUMN(HeadJournal!H$1),0),0)</f>
        <v>384.1</v>
      </c>
      <c r="Q465" s="29"/>
      <c r="R465" s="31"/>
      <c r="S465" s="31"/>
      <c r="T465" s="95" t="str">
        <f t="shared" si="40"/>
        <v/>
      </c>
      <c r="U465" s="32">
        <f t="shared" si="36"/>
        <v>-384.1</v>
      </c>
      <c r="V465" s="22" t="str">
        <f t="shared" si="37"/>
        <v/>
      </c>
      <c r="X465" s="33"/>
      <c r="Y465" s="33"/>
    </row>
    <row r="466" spans="1:25" x14ac:dyDescent="0.2">
      <c r="A466" s="93" t="s">
        <v>218</v>
      </c>
      <c r="B466" s="94">
        <f>IFERROR(VLOOKUP($A466,HeadJournal!$A$1:$NTR$890,COLUMN(HeadJournal!B$1),0),"")</f>
        <v>0</v>
      </c>
      <c r="C466" s="94" t="str">
        <f>IFERROR(VLOOKUP($A466,HeadJournal!$A$1:$NTR$890,COLUMN(HeadJournal!C$1),0),"")</f>
        <v>OZON_AV</v>
      </c>
      <c r="D466" s="125" t="str">
        <f>IFERROR(VLOOKUP($A466,HeadJournal!$A$1:$NTR$890,COLUMN(HeadJournal!D$1),0),"")</f>
        <v>Доставлен</v>
      </c>
      <c r="E466" s="95">
        <f>IFERROR(VLOOKUP($A466,HeadJournal!$A$1:$NTR$890,COLUMN(HeadJournal!G$1),0),"")</f>
        <v>44884</v>
      </c>
      <c r="F466" s="95" t="str">
        <f t="shared" si="38"/>
        <v>2022 11</v>
      </c>
      <c r="G466" s="96" t="s">
        <v>5</v>
      </c>
      <c r="H466" s="160" t="s">
        <v>3719</v>
      </c>
      <c r="I466" s="96" t="str">
        <f t="shared" si="39"/>
        <v>Himalaya</v>
      </c>
      <c r="J466" s="97" t="s">
        <v>219</v>
      </c>
      <c r="K466" s="29">
        <v>334</v>
      </c>
      <c r="L466" s="29"/>
      <c r="M466" s="30">
        <f>IFERROR(VLOOKUP($A466,HeadJournal!$A$1:$J$890,COLUMN(HeadJournal!I$1),0)*($K466+$L466)/(SUMIF($A:$A,$A466,$K:$K)+SUMIF($A:$A,$A466,$L:$L)),0)</f>
        <v>0</v>
      </c>
      <c r="N466" s="30">
        <f>IFERROR((VLOOKUP($A466,HeadJournal!$A$1:$K$890,COLUMN(HeadJournal!K$1),0)-VLOOKUP($A466,HeadJournal!$A$1:$K$890,COLUMN(HeadJournal!J$1),0))*($K466+$L466)/(SUMIF($A:$A,$A466,$K:$K)+SUMIF($A:$A,$A466,$L:$L)),0)</f>
        <v>0</v>
      </c>
      <c r="O466" s="30">
        <f>IFERROR((VLOOKUP($A466,HeadJournal!$A$1:$L$890,COLUMN(HeadJournal!L$1),0)*($K466+$L466)/(SUMIF($A:$A,$A466,$K:$K)+SUMIF($A:$A,$A466,$L:$L)))/VLOOKUP($A466,HeadJournal!$A$1:$L$890,COLUMN(HeadJournal!H$1),0),0)</f>
        <v>50.1</v>
      </c>
      <c r="P466" s="30">
        <f>IFERROR(SUM(K466:O466)*VLOOKUP($A466,HeadJournal!$A$1:$L$890,COLUMN(HeadJournal!H$1),0),0)</f>
        <v>384.1</v>
      </c>
      <c r="Q466" s="29"/>
      <c r="R466" s="31"/>
      <c r="S466" s="31"/>
      <c r="T466" s="95" t="str">
        <f t="shared" si="40"/>
        <v/>
      </c>
      <c r="U466" s="32">
        <f t="shared" si="36"/>
        <v>-384.1</v>
      </c>
      <c r="V466" s="22" t="str">
        <f t="shared" si="37"/>
        <v/>
      </c>
      <c r="X466" s="33"/>
      <c r="Y466" s="33"/>
    </row>
    <row r="467" spans="1:25" x14ac:dyDescent="0.2">
      <c r="A467" s="93" t="s">
        <v>220</v>
      </c>
      <c r="B467" s="94">
        <f>IFERROR(VLOOKUP($A467,HeadJournal!$A$1:$NTR$890,COLUMN(HeadJournal!B$1),0),"")</f>
        <v>0</v>
      </c>
      <c r="C467" s="94" t="str">
        <f>IFERROR(VLOOKUP($A467,HeadJournal!$A$1:$NTR$890,COLUMN(HeadJournal!C$1),0),"")</f>
        <v>OZON_AV</v>
      </c>
      <c r="D467" s="125" t="str">
        <f>IFERROR(VLOOKUP($A467,HeadJournal!$A$1:$NTR$890,COLUMN(HeadJournal!D$1),0),"")</f>
        <v>Доставлен</v>
      </c>
      <c r="E467" s="95">
        <f>IFERROR(VLOOKUP($A467,HeadJournal!$A$1:$NTR$890,COLUMN(HeadJournal!G$1),0),"")</f>
        <v>44887</v>
      </c>
      <c r="F467" s="95" t="str">
        <f t="shared" si="38"/>
        <v>2022 11</v>
      </c>
      <c r="G467" s="96" t="s">
        <v>5</v>
      </c>
      <c r="H467" s="160" t="str">
        <f>RIGHT(Journal!$J467,9)</f>
        <v>355578901</v>
      </c>
      <c r="I467" s="96" t="str">
        <f t="shared" si="39"/>
        <v>Patanjali</v>
      </c>
      <c r="J467" s="97" t="s">
        <v>255</v>
      </c>
      <c r="K467" s="29">
        <v>427</v>
      </c>
      <c r="L467" s="29"/>
      <c r="M467" s="30">
        <f>IFERROR(VLOOKUP($A467,HeadJournal!$A$1:$J$890,COLUMN(HeadJournal!I$1),0)*($K467+$L467)/(SUMIF($A:$A,$A467,$K:$K)+SUMIF($A:$A,$A467,$L:$L)),0)</f>
        <v>0</v>
      </c>
      <c r="N467" s="30">
        <f>IFERROR((VLOOKUP($A467,HeadJournal!$A$1:$K$890,COLUMN(HeadJournal!K$1),0)-VLOOKUP($A467,HeadJournal!$A$1:$K$890,COLUMN(HeadJournal!J$1),0))*($K467+$L467)/(SUMIF($A:$A,$A467,$K:$K)+SUMIF($A:$A,$A467,$L:$L)),0)</f>
        <v>0</v>
      </c>
      <c r="O467" s="30">
        <f>IFERROR((VLOOKUP($A467,HeadJournal!$A$1:$L$890,COLUMN(HeadJournal!L$1),0)*($K467+$L467)/(SUMIF($A:$A,$A467,$K:$K)+SUMIF($A:$A,$A467,$L:$L)))/VLOOKUP($A467,HeadJournal!$A$1:$L$890,COLUMN(HeadJournal!H$1),0),0)</f>
        <v>64.05</v>
      </c>
      <c r="P467" s="30">
        <f>IFERROR(SUM(K467:O467)*VLOOKUP($A467,HeadJournal!$A$1:$L$890,COLUMN(HeadJournal!H$1),0),0)</f>
        <v>491.05</v>
      </c>
      <c r="Q467" s="29">
        <v>900</v>
      </c>
      <c r="R467" s="31">
        <v>44898</v>
      </c>
      <c r="S467" s="31" t="s">
        <v>3121</v>
      </c>
      <c r="T467" s="95" t="str">
        <f t="shared" si="40"/>
        <v>2022 12</v>
      </c>
      <c r="U467" s="32">
        <f t="shared" si="36"/>
        <v>408.95</v>
      </c>
      <c r="V467" s="22">
        <f t="shared" si="37"/>
        <v>0.83280724977089904</v>
      </c>
      <c r="X467" s="33"/>
      <c r="Y467" s="33"/>
    </row>
    <row r="468" spans="1:25" x14ac:dyDescent="0.2">
      <c r="A468" s="93" t="s">
        <v>220</v>
      </c>
      <c r="B468" s="94">
        <f>IFERROR(VLOOKUP($A468,HeadJournal!$A$1:$NTR$890,COLUMN(HeadJournal!B$1),0),"")</f>
        <v>0</v>
      </c>
      <c r="C468" s="94" t="str">
        <f>IFERROR(VLOOKUP($A468,HeadJournal!$A$1:$NTR$890,COLUMN(HeadJournal!C$1),0),"")</f>
        <v>OZON_AV</v>
      </c>
      <c r="D468" s="125" t="str">
        <f>IFERROR(VLOOKUP($A468,HeadJournal!$A$1:$NTR$890,COLUMN(HeadJournal!D$1),0),"")</f>
        <v>Доставлен</v>
      </c>
      <c r="E468" s="95">
        <f>IFERROR(VLOOKUP($A468,HeadJournal!$A$1:$NTR$890,COLUMN(HeadJournal!G$1),0),"")</f>
        <v>44887</v>
      </c>
      <c r="F468" s="95" t="str">
        <f t="shared" si="38"/>
        <v>2022 11</v>
      </c>
      <c r="G468" s="96" t="s">
        <v>5</v>
      </c>
      <c r="H468" s="160" t="str">
        <f>RIGHT(Journal!$J468,9)</f>
        <v>355578901</v>
      </c>
      <c r="I468" s="96" t="str">
        <f t="shared" si="39"/>
        <v>Patanjali</v>
      </c>
      <c r="J468" s="97" t="s">
        <v>255</v>
      </c>
      <c r="K468" s="29">
        <v>427</v>
      </c>
      <c r="L468" s="29"/>
      <c r="M468" s="30">
        <f>IFERROR(VLOOKUP($A468,HeadJournal!$A$1:$J$890,COLUMN(HeadJournal!I$1),0)*($K468+$L468)/(SUMIF($A:$A,$A468,$K:$K)+SUMIF($A:$A,$A468,$L:$L)),0)</f>
        <v>0</v>
      </c>
      <c r="N468" s="30">
        <f>IFERROR((VLOOKUP($A468,HeadJournal!$A$1:$K$890,COLUMN(HeadJournal!K$1),0)-VLOOKUP($A468,HeadJournal!$A$1:$K$890,COLUMN(HeadJournal!J$1),0))*($K468+$L468)/(SUMIF($A:$A,$A468,$K:$K)+SUMIF($A:$A,$A468,$L:$L)),0)</f>
        <v>0</v>
      </c>
      <c r="O468" s="30">
        <f>IFERROR((VLOOKUP($A468,HeadJournal!$A$1:$L$890,COLUMN(HeadJournal!L$1),0)*($K468+$L468)/(SUMIF($A:$A,$A468,$K:$K)+SUMIF($A:$A,$A468,$L:$L)))/VLOOKUP($A468,HeadJournal!$A$1:$L$890,COLUMN(HeadJournal!H$1),0),0)</f>
        <v>64.05</v>
      </c>
      <c r="P468" s="30">
        <f>IFERROR(SUM(K468:O468)*VLOOKUP($A468,HeadJournal!$A$1:$L$890,COLUMN(HeadJournal!H$1),0),0)</f>
        <v>491.05</v>
      </c>
      <c r="Q468" s="29">
        <v>900</v>
      </c>
      <c r="R468" s="31">
        <v>44899</v>
      </c>
      <c r="S468" s="31" t="s">
        <v>3121</v>
      </c>
      <c r="T468" s="95" t="str">
        <f t="shared" si="40"/>
        <v>2022 12</v>
      </c>
      <c r="U468" s="32">
        <f t="shared" si="36"/>
        <v>408.95</v>
      </c>
      <c r="V468" s="22">
        <f t="shared" si="37"/>
        <v>0.83280724977089904</v>
      </c>
      <c r="X468" s="33"/>
      <c r="Y468" s="33"/>
    </row>
    <row r="469" spans="1:25" x14ac:dyDescent="0.2">
      <c r="A469" s="93" t="s">
        <v>220</v>
      </c>
      <c r="B469" s="94">
        <f>IFERROR(VLOOKUP($A469,HeadJournal!$A$1:$NTR$890,COLUMN(HeadJournal!B$1),0),"")</f>
        <v>0</v>
      </c>
      <c r="C469" s="94" t="str">
        <f>IFERROR(VLOOKUP($A469,HeadJournal!$A$1:$NTR$890,COLUMN(HeadJournal!C$1),0),"")</f>
        <v>OZON_AV</v>
      </c>
      <c r="D469" s="125" t="str">
        <f>IFERROR(VLOOKUP($A469,HeadJournal!$A$1:$NTR$890,COLUMN(HeadJournal!D$1),0),"")</f>
        <v>Доставлен</v>
      </c>
      <c r="E469" s="95">
        <f>IFERROR(VLOOKUP($A469,HeadJournal!$A$1:$NTR$890,COLUMN(HeadJournal!G$1),0),"")</f>
        <v>44887</v>
      </c>
      <c r="F469" s="95" t="str">
        <f t="shared" si="38"/>
        <v>2022 11</v>
      </c>
      <c r="G469" s="96" t="s">
        <v>5</v>
      </c>
      <c r="H469" s="160" t="str">
        <f>RIGHT(Journal!$J469,9)</f>
        <v>355578901</v>
      </c>
      <c r="I469" s="96" t="str">
        <f t="shared" si="39"/>
        <v>Patanjali</v>
      </c>
      <c r="J469" s="97" t="s">
        <v>255</v>
      </c>
      <c r="K469" s="29">
        <v>427</v>
      </c>
      <c r="L469" s="29"/>
      <c r="M469" s="30">
        <f>IFERROR(VLOOKUP($A469,HeadJournal!$A$1:$J$890,COLUMN(HeadJournal!I$1),0)*($K469+$L469)/(SUMIF($A:$A,$A469,$K:$K)+SUMIF($A:$A,$A469,$L:$L)),0)</f>
        <v>0</v>
      </c>
      <c r="N469" s="30">
        <f>IFERROR((VLOOKUP($A469,HeadJournal!$A$1:$K$890,COLUMN(HeadJournal!K$1),0)-VLOOKUP($A469,HeadJournal!$A$1:$K$890,COLUMN(HeadJournal!J$1),0))*($K469+$L469)/(SUMIF($A:$A,$A469,$K:$K)+SUMIF($A:$A,$A469,$L:$L)),0)</f>
        <v>0</v>
      </c>
      <c r="O469" s="30">
        <f>IFERROR((VLOOKUP($A469,HeadJournal!$A$1:$L$890,COLUMN(HeadJournal!L$1),0)*($K469+$L469)/(SUMIF($A:$A,$A469,$K:$K)+SUMIF($A:$A,$A469,$L:$L)))/VLOOKUP($A469,HeadJournal!$A$1:$L$890,COLUMN(HeadJournal!H$1),0),0)</f>
        <v>64.05</v>
      </c>
      <c r="P469" s="30">
        <f>IFERROR(SUM(K469:O469)*VLOOKUP($A469,HeadJournal!$A$1:$L$890,COLUMN(HeadJournal!H$1),0),0)</f>
        <v>491.05</v>
      </c>
      <c r="Q469" s="29">
        <v>491.05</v>
      </c>
      <c r="R469" s="31">
        <v>45091</v>
      </c>
      <c r="S469" s="31" t="s">
        <v>3121</v>
      </c>
      <c r="T469" s="95" t="str">
        <f t="shared" si="40"/>
        <v>2023 06</v>
      </c>
      <c r="U469" s="32">
        <f t="shared" si="36"/>
        <v>0</v>
      </c>
      <c r="V469" s="22">
        <f t="shared" si="37"/>
        <v>0</v>
      </c>
      <c r="X469" s="33"/>
      <c r="Y469" s="33"/>
    </row>
    <row r="470" spans="1:25" x14ac:dyDescent="0.2">
      <c r="A470" s="93" t="s">
        <v>220</v>
      </c>
      <c r="B470" s="94">
        <f>IFERROR(VLOOKUP($A470,HeadJournal!$A$1:$NTR$890,COLUMN(HeadJournal!B$1),0),"")</f>
        <v>0</v>
      </c>
      <c r="C470" s="94" t="str">
        <f>IFERROR(VLOOKUP($A470,HeadJournal!$A$1:$NTR$890,COLUMN(HeadJournal!C$1),0),"")</f>
        <v>OZON_AV</v>
      </c>
      <c r="D470" s="125" t="str">
        <f>IFERROR(VLOOKUP($A470,HeadJournal!$A$1:$NTR$890,COLUMN(HeadJournal!D$1),0),"")</f>
        <v>Доставлен</v>
      </c>
      <c r="E470" s="95">
        <f>IFERROR(VLOOKUP($A470,HeadJournal!$A$1:$NTR$890,COLUMN(HeadJournal!G$1),0),"")</f>
        <v>44887</v>
      </c>
      <c r="F470" s="95" t="str">
        <f t="shared" si="38"/>
        <v>2022 11</v>
      </c>
      <c r="G470" s="96" t="s">
        <v>5</v>
      </c>
      <c r="H470" s="160" t="str">
        <f>RIGHT(Journal!$J470,9)</f>
        <v>026995436</v>
      </c>
      <c r="I470" s="96" t="str">
        <f t="shared" si="39"/>
        <v>Patanjali</v>
      </c>
      <c r="J470" s="97" t="s">
        <v>221</v>
      </c>
      <c r="K470" s="29">
        <v>811</v>
      </c>
      <c r="L470" s="29"/>
      <c r="M470" s="30">
        <f>IFERROR(VLOOKUP($A470,HeadJournal!$A$1:$J$890,COLUMN(HeadJournal!I$1),0)*($K470+$L470)/(SUMIF($A:$A,$A470,$K:$K)+SUMIF($A:$A,$A470,$L:$L)),0)</f>
        <v>0</v>
      </c>
      <c r="N470" s="30">
        <f>IFERROR((VLOOKUP($A470,HeadJournal!$A$1:$K$890,COLUMN(HeadJournal!K$1),0)-VLOOKUP($A470,HeadJournal!$A$1:$K$890,COLUMN(HeadJournal!J$1),0))*($K470+$L470)/(SUMIF($A:$A,$A470,$K:$K)+SUMIF($A:$A,$A470,$L:$L)),0)</f>
        <v>0</v>
      </c>
      <c r="O470" s="30">
        <f>IFERROR((VLOOKUP($A470,HeadJournal!$A$1:$L$890,COLUMN(HeadJournal!L$1),0)*($K470+$L470)/(SUMIF($A:$A,$A470,$K:$K)+SUMIF($A:$A,$A470,$L:$L)))/VLOOKUP($A470,HeadJournal!$A$1:$L$890,COLUMN(HeadJournal!H$1),0),0)</f>
        <v>121.65</v>
      </c>
      <c r="P470" s="30">
        <f>IFERROR(SUM(K470:O470)*VLOOKUP($A470,HeadJournal!$A$1:$L$890,COLUMN(HeadJournal!H$1),0),0)</f>
        <v>932.65</v>
      </c>
      <c r="Q470" s="29">
        <v>1700</v>
      </c>
      <c r="R470" s="31">
        <v>44898</v>
      </c>
      <c r="S470" s="31" t="s">
        <v>3121</v>
      </c>
      <c r="T470" s="95" t="str">
        <f t="shared" si="40"/>
        <v>2022 12</v>
      </c>
      <c r="U470" s="32">
        <f t="shared" si="36"/>
        <v>767.35</v>
      </c>
      <c r="V470" s="22">
        <f t="shared" si="37"/>
        <v>0.82276309440840623</v>
      </c>
      <c r="X470" s="33"/>
      <c r="Y470" s="33"/>
    </row>
    <row r="471" spans="1:25" x14ac:dyDescent="0.2">
      <c r="A471" s="93" t="s">
        <v>222</v>
      </c>
      <c r="B471" s="94">
        <f>IFERROR(VLOOKUP($A471,HeadJournal!$A$1:$NTR$890,COLUMN(HeadJournal!B$1),0),"")</f>
        <v>0</v>
      </c>
      <c r="C471" s="94" t="str">
        <f>IFERROR(VLOOKUP($A471,HeadJournal!$A$1:$NTR$890,COLUMN(HeadJournal!C$1),0),"")</f>
        <v>OZON_AV</v>
      </c>
      <c r="D471" s="125" t="str">
        <f>IFERROR(VLOOKUP($A471,HeadJournal!$A$1:$NTR$890,COLUMN(HeadJournal!D$1),0),"")</f>
        <v>Доставлен</v>
      </c>
      <c r="E471" s="95">
        <f>IFERROR(VLOOKUP($A471,HeadJournal!$A$1:$NTR$890,COLUMN(HeadJournal!G$1),0),"")</f>
        <v>44891</v>
      </c>
      <c r="F471" s="95" t="str">
        <f t="shared" si="38"/>
        <v>2022 11</v>
      </c>
      <c r="G471" s="96" t="s">
        <v>5</v>
      </c>
      <c r="H471" s="160" t="str">
        <f>RIGHT(Journal!$J471,9)</f>
        <v>026995436</v>
      </c>
      <c r="I471" s="96" t="str">
        <f t="shared" si="39"/>
        <v>Patanjali</v>
      </c>
      <c r="J471" s="97" t="s">
        <v>221</v>
      </c>
      <c r="K471" s="29">
        <v>603</v>
      </c>
      <c r="L471" s="29"/>
      <c r="M471" s="30">
        <f>IFERROR(VLOOKUP($A471,HeadJournal!$A$1:$J$890,COLUMN(HeadJournal!I$1),0)*($K471+$L471)/(SUMIF($A:$A,$A471,$K:$K)+SUMIF($A:$A,$A471,$L:$L)),0)</f>
        <v>0</v>
      </c>
      <c r="N471" s="30">
        <f>IFERROR((VLOOKUP($A471,HeadJournal!$A$1:$K$890,COLUMN(HeadJournal!K$1),0)-VLOOKUP($A471,HeadJournal!$A$1:$K$890,COLUMN(HeadJournal!J$1),0))*($K471+$L471)/(SUMIF($A:$A,$A471,$K:$K)+SUMIF($A:$A,$A471,$L:$L)),0)</f>
        <v>0</v>
      </c>
      <c r="O471" s="30">
        <f>IFERROR((VLOOKUP($A471,HeadJournal!$A$1:$L$890,COLUMN(HeadJournal!L$1),0)*($K471+$L471)/(SUMIF($A:$A,$A471,$K:$K)+SUMIF($A:$A,$A471,$L:$L)))/VLOOKUP($A471,HeadJournal!$A$1:$L$890,COLUMN(HeadJournal!H$1),0),0)</f>
        <v>90.45</v>
      </c>
      <c r="P471" s="30">
        <f>IFERROR(SUM(K471:O471)*VLOOKUP($A471,HeadJournal!$A$1:$L$890,COLUMN(HeadJournal!H$1),0),0)</f>
        <v>693.45</v>
      </c>
      <c r="Q471" s="29">
        <v>1700</v>
      </c>
      <c r="R471" s="31">
        <v>44899</v>
      </c>
      <c r="S471" s="31" t="s">
        <v>3121</v>
      </c>
      <c r="T471" s="95" t="str">
        <f t="shared" si="40"/>
        <v>2022 12</v>
      </c>
      <c r="U471" s="32">
        <f t="shared" si="36"/>
        <v>1006.55</v>
      </c>
      <c r="V471" s="22">
        <f t="shared" si="37"/>
        <v>1.4515105631263969</v>
      </c>
      <c r="X471" s="33"/>
      <c r="Y471" s="33"/>
    </row>
    <row r="472" spans="1:25" x14ac:dyDescent="0.2">
      <c r="A472" s="93" t="s">
        <v>222</v>
      </c>
      <c r="B472" s="94">
        <f>IFERROR(VLOOKUP($A472,HeadJournal!$A$1:$NTR$890,COLUMN(HeadJournal!B$1),0),"")</f>
        <v>0</v>
      </c>
      <c r="C472" s="94" t="str">
        <f>IFERROR(VLOOKUP($A472,HeadJournal!$A$1:$NTR$890,COLUMN(HeadJournal!C$1),0),"")</f>
        <v>OZON_AV</v>
      </c>
      <c r="D472" s="125" t="str">
        <f>IFERROR(VLOOKUP($A472,HeadJournal!$A$1:$NTR$890,COLUMN(HeadJournal!D$1),0),"")</f>
        <v>Доставлен</v>
      </c>
      <c r="E472" s="95">
        <f>IFERROR(VLOOKUP($A472,HeadJournal!$A$1:$NTR$890,COLUMN(HeadJournal!G$1),0),"")</f>
        <v>44891</v>
      </c>
      <c r="F472" s="95" t="str">
        <f t="shared" si="38"/>
        <v>2022 11</v>
      </c>
      <c r="G472" s="96" t="s">
        <v>5</v>
      </c>
      <c r="H472" s="160" t="str">
        <f>RIGHT(Journal!$J472,9)</f>
        <v>026995436</v>
      </c>
      <c r="I472" s="96" t="str">
        <f t="shared" si="39"/>
        <v>Patanjali</v>
      </c>
      <c r="J472" s="97" t="s">
        <v>221</v>
      </c>
      <c r="K472" s="29">
        <v>603</v>
      </c>
      <c r="L472" s="29"/>
      <c r="M472" s="30">
        <f>IFERROR(VLOOKUP($A472,HeadJournal!$A$1:$J$890,COLUMN(HeadJournal!I$1),0)*($K472+$L472)/(SUMIF($A:$A,$A472,$K:$K)+SUMIF($A:$A,$A472,$L:$L)),0)</f>
        <v>0</v>
      </c>
      <c r="N472" s="30">
        <f>IFERROR((VLOOKUP($A472,HeadJournal!$A$1:$K$890,COLUMN(HeadJournal!K$1),0)-VLOOKUP($A472,HeadJournal!$A$1:$K$890,COLUMN(HeadJournal!J$1),0))*($K472+$L472)/(SUMIF($A:$A,$A472,$K:$K)+SUMIF($A:$A,$A472,$L:$L)),0)</f>
        <v>0</v>
      </c>
      <c r="O472" s="30">
        <f>IFERROR((VLOOKUP($A472,HeadJournal!$A$1:$L$890,COLUMN(HeadJournal!L$1),0)*($K472+$L472)/(SUMIF($A:$A,$A472,$K:$K)+SUMIF($A:$A,$A472,$L:$L)))/VLOOKUP($A472,HeadJournal!$A$1:$L$890,COLUMN(HeadJournal!H$1),0),0)</f>
        <v>90.45</v>
      </c>
      <c r="P472" s="30">
        <f>IFERROR(SUM(K472:O472)*VLOOKUP($A472,HeadJournal!$A$1:$L$890,COLUMN(HeadJournal!H$1),0),0)</f>
        <v>693.45</v>
      </c>
      <c r="Q472" s="29">
        <v>1650</v>
      </c>
      <c r="R472" s="31">
        <v>44911</v>
      </c>
      <c r="S472" s="31" t="s">
        <v>3121</v>
      </c>
      <c r="T472" s="95" t="str">
        <f t="shared" si="40"/>
        <v>2022 12</v>
      </c>
      <c r="U472" s="32">
        <f t="shared" si="36"/>
        <v>956.55</v>
      </c>
      <c r="V472" s="22">
        <f t="shared" si="37"/>
        <v>1.379407311269738</v>
      </c>
      <c r="X472" s="33"/>
      <c r="Y472" s="33"/>
    </row>
    <row r="473" spans="1:25" x14ac:dyDescent="0.2">
      <c r="A473" s="93" t="s">
        <v>223</v>
      </c>
      <c r="B473" s="94">
        <f>IFERROR(VLOOKUP($A473,HeadJournal!$A$1:$NTR$890,COLUMN(HeadJournal!B$1),0),"")</f>
        <v>0</v>
      </c>
      <c r="C473" s="94" t="str">
        <f>IFERROR(VLOOKUP($A473,HeadJournal!$A$1:$NTR$890,COLUMN(HeadJournal!C$1),0),"")</f>
        <v>OZON_AV</v>
      </c>
      <c r="D473" s="125" t="str">
        <f>IFERROR(VLOOKUP($A473,HeadJournal!$A$1:$NTR$890,COLUMN(HeadJournal!D$1),0),"")</f>
        <v>Доставлен</v>
      </c>
      <c r="E473" s="95">
        <f>IFERROR(VLOOKUP($A473,HeadJournal!$A$1:$NTR$890,COLUMN(HeadJournal!G$1),0),"")</f>
        <v>44891</v>
      </c>
      <c r="F473" s="95" t="str">
        <f t="shared" si="38"/>
        <v>2022 11</v>
      </c>
      <c r="G473" s="96" t="s">
        <v>5</v>
      </c>
      <c r="H473" s="160" t="s">
        <v>3720</v>
      </c>
      <c r="I473" s="96" t="str">
        <f t="shared" si="39"/>
        <v>OstroVit</v>
      </c>
      <c r="J473" s="97" t="s">
        <v>224</v>
      </c>
      <c r="K473" s="29">
        <v>305</v>
      </c>
      <c r="L473" s="29"/>
      <c r="M473" s="30">
        <f>IFERROR(VLOOKUP($A473,HeadJournal!$A$1:$J$890,COLUMN(HeadJournal!I$1),0)*($K473+$L473)/(SUMIF($A:$A,$A473,$K:$K)+SUMIF($A:$A,$A473,$L:$L)),0)</f>
        <v>0</v>
      </c>
      <c r="N473" s="30">
        <f>IFERROR((VLOOKUP($A473,HeadJournal!$A$1:$K$890,COLUMN(HeadJournal!K$1),0)-VLOOKUP($A473,HeadJournal!$A$1:$K$890,COLUMN(HeadJournal!J$1),0))*($K473+$L473)/(SUMIF($A:$A,$A473,$K:$K)+SUMIF($A:$A,$A473,$L:$L)),0)</f>
        <v>0</v>
      </c>
      <c r="O473" s="30">
        <f>IFERROR((VLOOKUP($A473,HeadJournal!$A$1:$L$890,COLUMN(HeadJournal!L$1),0)*($K473+$L473)/(SUMIF($A:$A,$A473,$K:$K)+SUMIF($A:$A,$A473,$L:$L)))/VLOOKUP($A473,HeadJournal!$A$1:$L$890,COLUMN(HeadJournal!H$1),0),0)</f>
        <v>45.75</v>
      </c>
      <c r="P473" s="30">
        <f>IFERROR(SUM(K473:O473)*VLOOKUP($A473,HeadJournal!$A$1:$L$890,COLUMN(HeadJournal!H$1),0),0)</f>
        <v>350.75</v>
      </c>
      <c r="Q473" s="29">
        <v>1000</v>
      </c>
      <c r="R473" s="31">
        <v>44901</v>
      </c>
      <c r="S473" s="31" t="s">
        <v>3121</v>
      </c>
      <c r="T473" s="95" t="str">
        <f t="shared" si="40"/>
        <v>2022 12</v>
      </c>
      <c r="U473" s="32">
        <f t="shared" si="36"/>
        <v>649.25</v>
      </c>
      <c r="V473" s="22">
        <f t="shared" si="37"/>
        <v>1.8510334996436208</v>
      </c>
      <c r="X473" s="33"/>
      <c r="Y473" s="33"/>
    </row>
    <row r="474" spans="1:25" x14ac:dyDescent="0.2">
      <c r="A474" s="93" t="s">
        <v>223</v>
      </c>
      <c r="B474" s="94">
        <f>IFERROR(VLOOKUP($A474,HeadJournal!$A$1:$NTR$890,COLUMN(HeadJournal!B$1),0),"")</f>
        <v>0</v>
      </c>
      <c r="C474" s="94" t="str">
        <f>IFERROR(VLOOKUP($A474,HeadJournal!$A$1:$NTR$890,COLUMN(HeadJournal!C$1),0),"")</f>
        <v>OZON_AV</v>
      </c>
      <c r="D474" s="125" t="str">
        <f>IFERROR(VLOOKUP($A474,HeadJournal!$A$1:$NTR$890,COLUMN(HeadJournal!D$1),0),"")</f>
        <v>Доставлен</v>
      </c>
      <c r="E474" s="95">
        <f>IFERROR(VLOOKUP($A474,HeadJournal!$A$1:$NTR$890,COLUMN(HeadJournal!G$1),0),"")</f>
        <v>44891</v>
      </c>
      <c r="F474" s="95" t="str">
        <f t="shared" si="38"/>
        <v>2022 11</v>
      </c>
      <c r="G474" s="96" t="s">
        <v>5</v>
      </c>
      <c r="H474" s="160" t="s">
        <v>3721</v>
      </c>
      <c r="I474" s="96" t="str">
        <f t="shared" si="39"/>
        <v>OstroVit</v>
      </c>
      <c r="J474" s="97" t="s">
        <v>225</v>
      </c>
      <c r="K474" s="29">
        <v>495</v>
      </c>
      <c r="L474" s="29"/>
      <c r="M474" s="30">
        <f>IFERROR(VLOOKUP($A474,HeadJournal!$A$1:$J$890,COLUMN(HeadJournal!I$1),0)*($K474+$L474)/(SUMIF($A:$A,$A474,$K:$K)+SUMIF($A:$A,$A474,$L:$L)),0)</f>
        <v>0</v>
      </c>
      <c r="N474" s="30">
        <f>IFERROR((VLOOKUP($A474,HeadJournal!$A$1:$K$890,COLUMN(HeadJournal!K$1),0)-VLOOKUP($A474,HeadJournal!$A$1:$K$890,COLUMN(HeadJournal!J$1),0))*($K474+$L474)/(SUMIF($A:$A,$A474,$K:$K)+SUMIF($A:$A,$A474,$L:$L)),0)</f>
        <v>0</v>
      </c>
      <c r="O474" s="30">
        <f>IFERROR((VLOOKUP($A474,HeadJournal!$A$1:$L$890,COLUMN(HeadJournal!L$1),0)*($K474+$L474)/(SUMIF($A:$A,$A474,$K:$K)+SUMIF($A:$A,$A474,$L:$L)))/VLOOKUP($A474,HeadJournal!$A$1:$L$890,COLUMN(HeadJournal!H$1),0),0)</f>
        <v>74.25</v>
      </c>
      <c r="P474" s="30">
        <f>IFERROR(SUM(K474:O474)*VLOOKUP($A474,HeadJournal!$A$1:$L$890,COLUMN(HeadJournal!H$1),0),0)</f>
        <v>569.25</v>
      </c>
      <c r="Q474" s="29">
        <v>1000</v>
      </c>
      <c r="R474" s="31">
        <v>44900</v>
      </c>
      <c r="S474" s="31" t="s">
        <v>3121</v>
      </c>
      <c r="T474" s="95" t="str">
        <f t="shared" si="40"/>
        <v>2022 12</v>
      </c>
      <c r="U474" s="32">
        <f t="shared" si="36"/>
        <v>430.75</v>
      </c>
      <c r="V474" s="22">
        <f t="shared" si="37"/>
        <v>0.75669740887132186</v>
      </c>
      <c r="X474" s="33"/>
      <c r="Y474" s="33"/>
    </row>
    <row r="475" spans="1:25" x14ac:dyDescent="0.2">
      <c r="A475" s="93" t="s">
        <v>226</v>
      </c>
      <c r="B475" s="94">
        <f>IFERROR(VLOOKUP($A475,HeadJournal!$A$1:$NTR$890,COLUMN(HeadJournal!B$1),0),"")</f>
        <v>0</v>
      </c>
      <c r="C475" s="94" t="str">
        <f>IFERROR(VLOOKUP($A475,HeadJournal!$A$1:$NTR$890,COLUMN(HeadJournal!C$1),0),"")</f>
        <v>OZON_AV</v>
      </c>
      <c r="D475" s="125" t="str">
        <f>IFERROR(VLOOKUP($A475,HeadJournal!$A$1:$NTR$890,COLUMN(HeadJournal!D$1),0),"")</f>
        <v>Доставлен</v>
      </c>
      <c r="E475" s="95">
        <f>IFERROR(VLOOKUP($A475,HeadJournal!$A$1:$NTR$890,COLUMN(HeadJournal!G$1),0),"")</f>
        <v>44892</v>
      </c>
      <c r="F475" s="95" t="str">
        <f t="shared" si="38"/>
        <v>2022 11</v>
      </c>
      <c r="G475" s="96" t="s">
        <v>5</v>
      </c>
      <c r="H475" s="160" t="str">
        <f>RIGHT(Journal!$J475,9)</f>
        <v>017919762</v>
      </c>
      <c r="I475" s="96" t="str">
        <f t="shared" si="39"/>
        <v>Himalaya</v>
      </c>
      <c r="J475" s="97" t="s">
        <v>227</v>
      </c>
      <c r="K475" s="29">
        <v>339</v>
      </c>
      <c r="L475" s="29"/>
      <c r="M475" s="30">
        <f>IFERROR(VLOOKUP($A475,HeadJournal!$A$1:$J$890,COLUMN(HeadJournal!I$1),0)*($K475+$L475)/(SUMIF($A:$A,$A475,$K:$K)+SUMIF($A:$A,$A475,$L:$L)),0)</f>
        <v>0</v>
      </c>
      <c r="N475" s="30">
        <f>IFERROR((VLOOKUP($A475,HeadJournal!$A$1:$K$890,COLUMN(HeadJournal!K$1),0)-VLOOKUP($A475,HeadJournal!$A$1:$K$890,COLUMN(HeadJournal!J$1),0))*($K475+$L475)/(SUMIF($A:$A,$A475,$K:$K)+SUMIF($A:$A,$A475,$L:$L)),0)</f>
        <v>0</v>
      </c>
      <c r="O475" s="30">
        <f>IFERROR((VLOOKUP($A475,HeadJournal!$A$1:$L$890,COLUMN(HeadJournal!L$1),0)*($K475+$L475)/(SUMIF($A:$A,$A475,$K:$K)+SUMIF($A:$A,$A475,$L:$L)))/VLOOKUP($A475,HeadJournal!$A$1:$L$890,COLUMN(HeadJournal!H$1),0),0)</f>
        <v>50.85</v>
      </c>
      <c r="P475" s="30">
        <f>IFERROR(SUM(K475:O475)*VLOOKUP($A475,HeadJournal!$A$1:$L$890,COLUMN(HeadJournal!H$1),0),0)</f>
        <v>389.85</v>
      </c>
      <c r="Q475" s="29">
        <v>700</v>
      </c>
      <c r="R475" s="31">
        <v>44894</v>
      </c>
      <c r="S475" s="31" t="s">
        <v>3121</v>
      </c>
      <c r="T475" s="95" t="str">
        <f t="shared" si="40"/>
        <v>2022 11</v>
      </c>
      <c r="U475" s="32">
        <f t="shared" si="36"/>
        <v>310.14999999999998</v>
      </c>
      <c r="V475" s="22">
        <f t="shared" si="37"/>
        <v>0.79556239579325372</v>
      </c>
      <c r="X475" s="33"/>
      <c r="Y475" s="33"/>
    </row>
    <row r="476" spans="1:25" x14ac:dyDescent="0.2">
      <c r="A476" s="93" t="s">
        <v>226</v>
      </c>
      <c r="B476" s="94">
        <f>IFERROR(VLOOKUP($A476,HeadJournal!$A$1:$NTR$890,COLUMN(HeadJournal!B$1),0),"")</f>
        <v>0</v>
      </c>
      <c r="C476" s="94" t="str">
        <f>IFERROR(VLOOKUP($A476,HeadJournal!$A$1:$NTR$890,COLUMN(HeadJournal!C$1),0),"")</f>
        <v>OZON_AV</v>
      </c>
      <c r="D476" s="125" t="str">
        <f>IFERROR(VLOOKUP($A476,HeadJournal!$A$1:$NTR$890,COLUMN(HeadJournal!D$1),0),"")</f>
        <v>Доставлен</v>
      </c>
      <c r="E476" s="95">
        <f>IFERROR(VLOOKUP($A476,HeadJournal!$A$1:$NTR$890,COLUMN(HeadJournal!G$1),0),"")</f>
        <v>44892</v>
      </c>
      <c r="F476" s="95" t="str">
        <f t="shared" si="38"/>
        <v>2022 11</v>
      </c>
      <c r="G476" s="96" t="s">
        <v>5</v>
      </c>
      <c r="H476" s="160" t="str">
        <f>RIGHT(Journal!$J476,9)</f>
        <v>017919762</v>
      </c>
      <c r="I476" s="96" t="str">
        <f t="shared" si="39"/>
        <v>Himalaya</v>
      </c>
      <c r="J476" s="97" t="s">
        <v>227</v>
      </c>
      <c r="K476" s="29">
        <v>339</v>
      </c>
      <c r="L476" s="29"/>
      <c r="M476" s="30">
        <f>IFERROR(VLOOKUP($A476,HeadJournal!$A$1:$J$890,COLUMN(HeadJournal!I$1),0)*($K476+$L476)/(SUMIF($A:$A,$A476,$K:$K)+SUMIF($A:$A,$A476,$L:$L)),0)</f>
        <v>0</v>
      </c>
      <c r="N476" s="30">
        <f>IFERROR((VLOOKUP($A476,HeadJournal!$A$1:$K$890,COLUMN(HeadJournal!K$1),0)-VLOOKUP($A476,HeadJournal!$A$1:$K$890,COLUMN(HeadJournal!J$1),0))*($K476+$L476)/(SUMIF($A:$A,$A476,$K:$K)+SUMIF($A:$A,$A476,$L:$L)),0)</f>
        <v>0</v>
      </c>
      <c r="O476" s="30">
        <f>IFERROR((VLOOKUP($A476,HeadJournal!$A$1:$L$890,COLUMN(HeadJournal!L$1),0)*($K476+$L476)/(SUMIF($A:$A,$A476,$K:$K)+SUMIF($A:$A,$A476,$L:$L)))/VLOOKUP($A476,HeadJournal!$A$1:$L$890,COLUMN(HeadJournal!H$1),0),0)</f>
        <v>50.85</v>
      </c>
      <c r="P476" s="30">
        <f>IFERROR(SUM(K476:O476)*VLOOKUP($A476,HeadJournal!$A$1:$L$890,COLUMN(HeadJournal!H$1),0),0)</f>
        <v>389.85</v>
      </c>
      <c r="Q476" s="29">
        <v>700</v>
      </c>
      <c r="R476" s="31">
        <v>44894</v>
      </c>
      <c r="S476" s="31" t="s">
        <v>3121</v>
      </c>
      <c r="T476" s="95" t="str">
        <f t="shared" si="40"/>
        <v>2022 11</v>
      </c>
      <c r="U476" s="32">
        <f t="shared" si="36"/>
        <v>310.14999999999998</v>
      </c>
      <c r="V476" s="22">
        <f t="shared" si="37"/>
        <v>0.79556239579325372</v>
      </c>
      <c r="X476" s="33"/>
      <c r="Y476" s="33"/>
    </row>
    <row r="477" spans="1:25" x14ac:dyDescent="0.2">
      <c r="A477" s="93" t="s">
        <v>228</v>
      </c>
      <c r="B477" s="94" t="str">
        <f>IFERROR(VLOOKUP($A477,HeadJournal!$A$1:$NTR$890,COLUMN(HeadJournal!B$1),0),"")</f>
        <v>922397480-0</v>
      </c>
      <c r="C477" s="94" t="str">
        <f>IFERROR(VLOOKUP($A477,HeadJournal!$A$1:$NTR$890,COLUMN(HeadJournal!C$1),0),"")</f>
        <v>iHerb_VP DFD1605</v>
      </c>
      <c r="D477" s="125" t="str">
        <f>IFERROR(VLOOKUP($A477,HeadJournal!$A$1:$NTR$890,COLUMN(HeadJournal!D$1),0),"")</f>
        <v>Доставлен</v>
      </c>
      <c r="E477" s="95">
        <f>IFERROR(VLOOKUP($A477,HeadJournal!$A$1:$NTR$890,COLUMN(HeadJournal!G$1),0),"")</f>
        <v>44893</v>
      </c>
      <c r="F477" s="95" t="str">
        <f t="shared" si="38"/>
        <v>2022 11</v>
      </c>
      <c r="G477" s="96" t="s">
        <v>5</v>
      </c>
      <c r="H477" s="161" t="s">
        <v>2027</v>
      </c>
      <c r="I477" s="97" t="s">
        <v>2005</v>
      </c>
      <c r="J477" s="97" t="s">
        <v>4110</v>
      </c>
      <c r="K477" s="29">
        <v>6.65</v>
      </c>
      <c r="L477" s="29">
        <v>-1.66</v>
      </c>
      <c r="M477" s="30">
        <f>IFERROR(VLOOKUP($A477,HeadJournal!$A$1:$J$890,COLUMN(HeadJournal!I$1),0)*($K477+$L477)/(SUMIF($A:$A,$A477,$K:$K)+SUMIF($A:$A,$A477,$L:$L)),0)</f>
        <v>0</v>
      </c>
      <c r="N477" s="30">
        <f>IFERROR((VLOOKUP($A477,HeadJournal!$A$1:$K$890,COLUMN(HeadJournal!K$1),0)-VLOOKUP($A477,HeadJournal!$A$1:$K$890,COLUMN(HeadJournal!J$1),0))*($K477+$L477)/(SUMIF($A:$A,$A477,$K:$K)+SUMIF($A:$A,$A477,$L:$L)),0)</f>
        <v>-9.4688429735422613E-16</v>
      </c>
      <c r="O477" s="30">
        <f>IFERROR((VLOOKUP($A477,HeadJournal!$A$1:$L$890,COLUMN(HeadJournal!L$1),0)*($K477+$L477)/(SUMIF($A:$A,$A477,$K:$K)+SUMIF($A:$A,$A477,$L:$L)))/VLOOKUP($A477,HeadJournal!$A$1:$L$890,COLUMN(HeadJournal!H$1),0),0)</f>
        <v>1.9413363621233846</v>
      </c>
      <c r="P477" s="30">
        <f>IFERROR(SUM(K477:O477)*VLOOKUP($A477,HeadJournal!$A$1:$L$890,COLUMN(HeadJournal!H$1),0),0)</f>
        <v>478.26220898651349</v>
      </c>
      <c r="Q477" s="68">
        <v>478.26220898651349</v>
      </c>
      <c r="R477" s="31">
        <v>44921</v>
      </c>
      <c r="S477" s="31" t="s">
        <v>3121</v>
      </c>
      <c r="T477" s="95" t="str">
        <f t="shared" si="40"/>
        <v>2022 12</v>
      </c>
      <c r="U477" s="69">
        <f t="shared" si="36"/>
        <v>0</v>
      </c>
      <c r="V477" s="22">
        <f t="shared" si="37"/>
        <v>0</v>
      </c>
      <c r="X477" s="33"/>
      <c r="Y477" s="33"/>
    </row>
    <row r="478" spans="1:25" x14ac:dyDescent="0.2">
      <c r="A478" s="93" t="s">
        <v>228</v>
      </c>
      <c r="B478" s="94" t="str">
        <f>IFERROR(VLOOKUP($A478,HeadJournal!$A$1:$NTR$890,COLUMN(HeadJournal!B$1),0),"")</f>
        <v>922397480-0</v>
      </c>
      <c r="C478" s="94" t="str">
        <f>IFERROR(VLOOKUP($A478,HeadJournal!$A$1:$NTR$890,COLUMN(HeadJournal!C$1),0),"")</f>
        <v>iHerb_VP DFD1605</v>
      </c>
      <c r="D478" s="125" t="str">
        <f>IFERROR(VLOOKUP($A478,HeadJournal!$A$1:$NTR$890,COLUMN(HeadJournal!D$1),0),"")</f>
        <v>Доставлен</v>
      </c>
      <c r="E478" s="95">
        <f>IFERROR(VLOOKUP($A478,HeadJournal!$A$1:$NTR$890,COLUMN(HeadJournal!G$1),0),"")</f>
        <v>44893</v>
      </c>
      <c r="F478" s="95" t="str">
        <f t="shared" si="38"/>
        <v>2022 11</v>
      </c>
      <c r="G478" s="96" t="s">
        <v>5</v>
      </c>
      <c r="H478" s="161" t="s">
        <v>2548</v>
      </c>
      <c r="I478" s="97" t="s">
        <v>2005</v>
      </c>
      <c r="J478" s="97" t="s">
        <v>2549</v>
      </c>
      <c r="K478" s="29">
        <v>9.2799999999999994</v>
      </c>
      <c r="L478" s="29">
        <v>-2.3199999999999998</v>
      </c>
      <c r="M478" s="30">
        <f>IFERROR(VLOOKUP($A478,HeadJournal!$A$1:$J$890,COLUMN(HeadJournal!I$1),0)*($K478+$L478)/(SUMIF($A:$A,$A478,$K:$K)+SUMIF($A:$A,$A478,$L:$L)),0)</f>
        <v>0</v>
      </c>
      <c r="N478" s="30">
        <f>IFERROR((VLOOKUP($A478,HeadJournal!$A$1:$K$890,COLUMN(HeadJournal!K$1),0)-VLOOKUP($A478,HeadJournal!$A$1:$K$890,COLUMN(HeadJournal!J$1),0))*($K478+$L478)/(SUMIF($A:$A,$A478,$K:$K)+SUMIF($A:$A,$A478,$L:$L)),0)</f>
        <v>-1.320704350618319E-15</v>
      </c>
      <c r="O478" s="30">
        <f>IFERROR((VLOOKUP($A478,HeadJournal!$A$1:$L$890,COLUMN(HeadJournal!L$1),0)*($K478+$L478)/(SUMIF($A:$A,$A478,$K:$K)+SUMIF($A:$A,$A478,$L:$L)))/VLOOKUP($A478,HeadJournal!$A$1:$L$890,COLUMN(HeadJournal!H$1),0),0)</f>
        <v>2.7077557275308122</v>
      </c>
      <c r="P478" s="30">
        <f>IFERROR(SUM(K478:O478)*VLOOKUP($A478,HeadJournal!$A$1:$L$890,COLUMN(HeadJournal!H$1),0),0)</f>
        <v>667.07514519962592</v>
      </c>
      <c r="Q478" s="68">
        <v>667.07514519962592</v>
      </c>
      <c r="R478" s="31">
        <v>44921</v>
      </c>
      <c r="S478" s="31" t="s">
        <v>3121</v>
      </c>
      <c r="T478" s="95" t="str">
        <f t="shared" si="40"/>
        <v>2022 12</v>
      </c>
      <c r="U478" s="69">
        <f t="shared" si="36"/>
        <v>0</v>
      </c>
      <c r="V478" s="22">
        <f t="shared" si="37"/>
        <v>0</v>
      </c>
      <c r="X478" s="33"/>
      <c r="Y478" s="33"/>
    </row>
    <row r="479" spans="1:25" x14ac:dyDescent="0.2">
      <c r="A479" s="93" t="s">
        <v>228</v>
      </c>
      <c r="B479" s="94" t="str">
        <f>IFERROR(VLOOKUP($A479,HeadJournal!$A$1:$NTR$890,COLUMN(HeadJournal!B$1),0),"")</f>
        <v>922397480-0</v>
      </c>
      <c r="C479" s="94" t="str">
        <f>IFERROR(VLOOKUP($A479,HeadJournal!$A$1:$NTR$890,COLUMN(HeadJournal!C$1),0),"")</f>
        <v>iHerb_VP DFD1605</v>
      </c>
      <c r="D479" s="125" t="str">
        <f>IFERROR(VLOOKUP($A479,HeadJournal!$A$1:$NTR$890,COLUMN(HeadJournal!D$1),0),"")</f>
        <v>Доставлен</v>
      </c>
      <c r="E479" s="95">
        <f>IFERROR(VLOOKUP($A479,HeadJournal!$A$1:$NTR$890,COLUMN(HeadJournal!G$1),0),"")</f>
        <v>44893</v>
      </c>
      <c r="F479" s="95" t="str">
        <f t="shared" si="38"/>
        <v>2022 11</v>
      </c>
      <c r="G479" s="96" t="s">
        <v>5</v>
      </c>
      <c r="H479" s="161" t="s">
        <v>2051</v>
      </c>
      <c r="I479" s="97" t="s">
        <v>2052</v>
      </c>
      <c r="J479" s="97" t="s">
        <v>3097</v>
      </c>
      <c r="K479" s="29">
        <v>17</v>
      </c>
      <c r="L479" s="29">
        <v>-4.25</v>
      </c>
      <c r="M479" s="30">
        <f>IFERROR(VLOOKUP($A479,HeadJournal!$A$1:$J$890,COLUMN(HeadJournal!I$1),0)*($K479+$L479)/(SUMIF($A:$A,$A479,$K:$K)+SUMIF($A:$A,$A479,$L:$L)),0)</f>
        <v>0</v>
      </c>
      <c r="N479" s="30">
        <f>IFERROR((VLOOKUP($A479,HeadJournal!$A$1:$K$890,COLUMN(HeadJournal!K$1),0)-VLOOKUP($A479,HeadJournal!$A$1:$K$890,COLUMN(HeadJournal!J$1),0))*($K479+$L479)/(SUMIF($A:$A,$A479,$K:$K)+SUMIF($A:$A,$A479,$L:$L)),0)</f>
        <v>-2.4193937457447657E-15</v>
      </c>
      <c r="O479" s="30">
        <f>IFERROR((VLOOKUP($A479,HeadJournal!$A$1:$L$890,COLUMN(HeadJournal!L$1),0)*($K479+$L479)/(SUMIF($A:$A,$A479,$K:$K)+SUMIF($A:$A,$A479,$L:$L)))/VLOOKUP($A479,HeadJournal!$A$1:$L$890,COLUMN(HeadJournal!H$1),0),0)</f>
        <v>4.96032838017498</v>
      </c>
      <c r="P479" s="30">
        <f>IFERROR(SUM(K479:O479)*VLOOKUP($A479,HeadJournal!$A$1:$L$890,COLUMN(HeadJournal!H$1),0),0)</f>
        <v>1222.0126582320736</v>
      </c>
      <c r="Q479" s="68">
        <v>1222.0126582320736</v>
      </c>
      <c r="R479" s="31">
        <v>44921</v>
      </c>
      <c r="S479" s="31" t="s">
        <v>3121</v>
      </c>
      <c r="T479" s="95" t="str">
        <f t="shared" si="40"/>
        <v>2022 12</v>
      </c>
      <c r="U479" s="69">
        <f t="shared" si="36"/>
        <v>0</v>
      </c>
      <c r="V479" s="22">
        <f t="shared" si="37"/>
        <v>0</v>
      </c>
      <c r="X479" s="33"/>
      <c r="Y479" s="33"/>
    </row>
    <row r="480" spans="1:25" x14ac:dyDescent="0.2">
      <c r="A480" s="93" t="s">
        <v>228</v>
      </c>
      <c r="B480" s="94" t="str">
        <f>IFERROR(VLOOKUP($A480,HeadJournal!$A$1:$NTR$890,COLUMN(HeadJournal!B$1),0),"")</f>
        <v>922397480-0</v>
      </c>
      <c r="C480" s="94" t="str">
        <f>IFERROR(VLOOKUP($A480,HeadJournal!$A$1:$NTR$890,COLUMN(HeadJournal!C$1),0),"")</f>
        <v>iHerb_VP DFD1605</v>
      </c>
      <c r="D480" s="125" t="str">
        <f>IFERROR(VLOOKUP($A480,HeadJournal!$A$1:$NTR$890,COLUMN(HeadJournal!D$1),0),"")</f>
        <v>Доставлен</v>
      </c>
      <c r="E480" s="95">
        <f>IFERROR(VLOOKUP($A480,HeadJournal!$A$1:$NTR$890,COLUMN(HeadJournal!G$1),0),"")</f>
        <v>44893</v>
      </c>
      <c r="F480" s="95" t="str">
        <f t="shared" si="38"/>
        <v>2022 11</v>
      </c>
      <c r="G480" s="96" t="s">
        <v>5</v>
      </c>
      <c r="H480" s="175" t="s">
        <v>3630</v>
      </c>
      <c r="I480" s="176" t="s">
        <v>2052</v>
      </c>
      <c r="J480" s="97" t="s">
        <v>3673</v>
      </c>
      <c r="K480" s="29">
        <v>15</v>
      </c>
      <c r="L480" s="29">
        <v>-3.75</v>
      </c>
      <c r="M480" s="30">
        <f>IFERROR(VLOOKUP($A480,HeadJournal!$A$1:$J$890,COLUMN(HeadJournal!I$1),0)*($K480+$L480)/(SUMIF($A:$A,$A480,$K:$K)+SUMIF($A:$A,$A480,$L:$L)),0)</f>
        <v>0</v>
      </c>
      <c r="N480" s="30">
        <f>IFERROR((VLOOKUP($A480,HeadJournal!$A$1:$K$890,COLUMN(HeadJournal!K$1),0)-VLOOKUP($A480,HeadJournal!$A$1:$K$890,COLUMN(HeadJournal!J$1),0))*($K480+$L480)/(SUMIF($A:$A,$A480,$K:$K)+SUMIF($A:$A,$A480,$L:$L)),0)</f>
        <v>-2.134759187421852E-15</v>
      </c>
      <c r="O480" s="30">
        <f>IFERROR((VLOOKUP($A480,HeadJournal!$A$1:$L$890,COLUMN(HeadJournal!L$1),0)*($K480+$L480)/(SUMIF($A:$A,$A480,$K:$K)+SUMIF($A:$A,$A480,$L:$L)))/VLOOKUP($A480,HeadJournal!$A$1:$L$890,COLUMN(HeadJournal!H$1),0),0)</f>
        <v>4.3767603354485125</v>
      </c>
      <c r="P480" s="30">
        <f>IFERROR(SUM(K480:O480)*VLOOKUP($A480,HeadJournal!$A$1:$L$890,COLUMN(HeadJournal!H$1),0),0)</f>
        <v>1078.2464631459472</v>
      </c>
      <c r="Q480" s="68">
        <v>1078.2464631459472</v>
      </c>
      <c r="R480" s="31">
        <v>44921</v>
      </c>
      <c r="S480" s="31" t="s">
        <v>3121</v>
      </c>
      <c r="T480" s="95" t="str">
        <f t="shared" si="40"/>
        <v>2022 12</v>
      </c>
      <c r="U480" s="69">
        <f t="shared" si="36"/>
        <v>0</v>
      </c>
      <c r="V480" s="22">
        <f t="shared" si="37"/>
        <v>0</v>
      </c>
      <c r="X480" s="33"/>
      <c r="Y480" s="33"/>
    </row>
    <row r="481" spans="1:25" x14ac:dyDescent="0.2">
      <c r="A481" s="101" t="s">
        <v>228</v>
      </c>
      <c r="B481" s="94" t="str">
        <f>IFERROR(VLOOKUP($A481,HeadJournal!$A$1:$NTR$890,COLUMN(HeadJournal!B$1),0),"")</f>
        <v>922397480-0</v>
      </c>
      <c r="C481" s="94" t="str">
        <f>IFERROR(VLOOKUP($A481,HeadJournal!$A$1:$NTR$890,COLUMN(HeadJournal!C$1),0),"")</f>
        <v>iHerb_VP DFD1605</v>
      </c>
      <c r="D481" s="125" t="str">
        <f>IFERROR(VLOOKUP($A481,HeadJournal!$A$1:$NTR$890,COLUMN(HeadJournal!D$1),0),"")</f>
        <v>Доставлен</v>
      </c>
      <c r="E481" s="95">
        <f>IFERROR(VLOOKUP($A481,HeadJournal!$A$1:$NTR$890,COLUMN(HeadJournal!G$1),0),"")</f>
        <v>44893</v>
      </c>
      <c r="F481" s="95" t="str">
        <f t="shared" si="38"/>
        <v>2022 11</v>
      </c>
      <c r="G481" s="96" t="s">
        <v>5</v>
      </c>
      <c r="H481" s="160" t="str">
        <f>RIGHT(Journal!$J481,9)</f>
        <v>NOW-03798</v>
      </c>
      <c r="I481" s="96" t="str">
        <f t="shared" si="39"/>
        <v>NOW Foods</v>
      </c>
      <c r="J481" s="97" t="s">
        <v>229</v>
      </c>
      <c r="K481" s="29">
        <v>21.77</v>
      </c>
      <c r="L481" s="29">
        <v>-5.44</v>
      </c>
      <c r="M481" s="30">
        <f>IFERROR(VLOOKUP($A481,HeadJournal!$A$1:$J$890,COLUMN(HeadJournal!I$1),0)*($K481+$L481)/(SUMIF($A:$A,$A481,$K:$K)+SUMIF($A:$A,$A481,$L:$L)),0)</f>
        <v>0</v>
      </c>
      <c r="N481" s="30">
        <f>IFERROR((VLOOKUP($A481,HeadJournal!$A$1:$K$890,COLUMN(HeadJournal!K$1),0)-VLOOKUP($A481,HeadJournal!$A$1:$K$890,COLUMN(HeadJournal!J$1),0))*($K481+$L481)/(SUMIF($A:$A,$A481,$K:$K)+SUMIF($A:$A,$A481,$L:$L)),0)</f>
        <v>-3.0987215582754527E-15</v>
      </c>
      <c r="O481" s="30">
        <f>IFERROR((VLOOKUP($A481,HeadJournal!$A$1:$L$890,COLUMN(HeadJournal!L$1),0)*($K481+$L481)/(SUMIF($A:$A,$A481,$K:$K)+SUMIF($A:$A,$A481,$L:$L)))/VLOOKUP($A481,HeadJournal!$A$1:$L$890,COLUMN(HeadJournal!H$1),0),0)</f>
        <v>6.3531107802554843</v>
      </c>
      <c r="P481" s="30">
        <f>IFERROR(SUM(K481:O481)*VLOOKUP($A481,HeadJournal!$A$1:$L$890,COLUMN(HeadJournal!H$1),0),0)</f>
        <v>1565.1346438376281</v>
      </c>
      <c r="Q481" s="68">
        <v>1565.1346438376281</v>
      </c>
      <c r="R481" s="31">
        <v>44921</v>
      </c>
      <c r="S481" s="31" t="s">
        <v>3121</v>
      </c>
      <c r="T481" s="95" t="str">
        <f t="shared" si="40"/>
        <v>2022 12</v>
      </c>
      <c r="U481" s="69">
        <f t="shared" si="36"/>
        <v>0</v>
      </c>
      <c r="V481" s="22">
        <f t="shared" si="37"/>
        <v>0</v>
      </c>
      <c r="X481" s="33"/>
      <c r="Y481" s="33"/>
    </row>
    <row r="482" spans="1:25" x14ac:dyDescent="0.2">
      <c r="A482" s="93" t="s">
        <v>228</v>
      </c>
      <c r="B482" s="94" t="str">
        <f>IFERROR(VLOOKUP($A482,HeadJournal!$A$1:$NTR$890,COLUMN(HeadJournal!B$1),0),"")</f>
        <v>922397480-0</v>
      </c>
      <c r="C482" s="94" t="str">
        <f>IFERROR(VLOOKUP($A482,HeadJournal!$A$1:$NTR$890,COLUMN(HeadJournal!C$1),0),"")</f>
        <v>iHerb_VP DFD1605</v>
      </c>
      <c r="D482" s="125" t="str">
        <f>IFERROR(VLOOKUP($A482,HeadJournal!$A$1:$NTR$890,COLUMN(HeadJournal!D$1),0),"")</f>
        <v>Доставлен</v>
      </c>
      <c r="E482" s="95">
        <f>IFERROR(VLOOKUP($A482,HeadJournal!$A$1:$NTR$890,COLUMN(HeadJournal!G$1),0),"")</f>
        <v>44893</v>
      </c>
      <c r="F482" s="95" t="str">
        <f t="shared" si="38"/>
        <v>2022 11</v>
      </c>
      <c r="G482" s="96" t="s">
        <v>5</v>
      </c>
      <c r="H482" s="160" t="str">
        <f>RIGHT(Journal!$J482,9)</f>
        <v>NOW-01522</v>
      </c>
      <c r="I482" s="96" t="str">
        <f t="shared" si="39"/>
        <v>NOW Foods</v>
      </c>
      <c r="J482" s="97" t="s">
        <v>230</v>
      </c>
      <c r="K482" s="29">
        <v>10.56</v>
      </c>
      <c r="L482" s="29">
        <v>-2.64</v>
      </c>
      <c r="M482" s="30">
        <f>IFERROR(VLOOKUP($A482,HeadJournal!$A$1:$J$890,COLUMN(HeadJournal!I$1),0)*($K482+$L482)/(SUMIF($A:$A,$A482,$K:$K)+SUMIF($A:$A,$A482,$L:$L)),0)</f>
        <v>0</v>
      </c>
      <c r="N482" s="30">
        <f>IFERROR((VLOOKUP($A482,HeadJournal!$A$1:$K$890,COLUMN(HeadJournal!K$1),0)-VLOOKUP($A482,HeadJournal!$A$1:$K$890,COLUMN(HeadJournal!J$1),0))*($K482+$L482)/(SUMIF($A:$A,$A482,$K:$K)+SUMIF($A:$A,$A482,$L:$L)),0)</f>
        <v>-1.5028704679449838E-15</v>
      </c>
      <c r="O482" s="30">
        <f>IFERROR((VLOOKUP($A482,HeadJournal!$A$1:$L$890,COLUMN(HeadJournal!L$1),0)*($K482+$L482)/(SUMIF($A:$A,$A482,$K:$K)+SUMIF($A:$A,$A482,$L:$L)))/VLOOKUP($A482,HeadJournal!$A$1:$L$890,COLUMN(HeadJournal!H$1),0),0)</f>
        <v>3.0812392761557521</v>
      </c>
      <c r="P482" s="30">
        <f>IFERROR(SUM(K482:O482)*VLOOKUP($A482,HeadJournal!$A$1:$L$890,COLUMN(HeadJournal!H$1),0),0)</f>
        <v>759.08551005474681</v>
      </c>
      <c r="Q482" s="68">
        <v>759.08551005474681</v>
      </c>
      <c r="R482" s="31">
        <v>44921</v>
      </c>
      <c r="S482" s="31" t="s">
        <v>3121</v>
      </c>
      <c r="T482" s="95" t="str">
        <f t="shared" si="40"/>
        <v>2022 12</v>
      </c>
      <c r="U482" s="69">
        <f t="shared" si="36"/>
        <v>0</v>
      </c>
      <c r="V482" s="22">
        <f t="shared" si="37"/>
        <v>0</v>
      </c>
      <c r="X482" s="33"/>
      <c r="Y482" s="33"/>
    </row>
    <row r="483" spans="1:25" x14ac:dyDescent="0.2">
      <c r="A483" s="93" t="s">
        <v>228</v>
      </c>
      <c r="B483" s="94" t="str">
        <f>IFERROR(VLOOKUP($A483,HeadJournal!$A$1:$NTR$890,COLUMN(HeadJournal!B$1),0),"")</f>
        <v>922397480-0</v>
      </c>
      <c r="C483" s="94" t="str">
        <f>IFERROR(VLOOKUP($A483,HeadJournal!$A$1:$NTR$890,COLUMN(HeadJournal!C$1),0),"")</f>
        <v>iHerb_VP DFD1605</v>
      </c>
      <c r="D483" s="125" t="str">
        <f>IFERROR(VLOOKUP($A483,HeadJournal!$A$1:$NTR$890,COLUMN(HeadJournal!D$1),0),"")</f>
        <v>Доставлен</v>
      </c>
      <c r="E483" s="95">
        <f>IFERROR(VLOOKUP($A483,HeadJournal!$A$1:$NTR$890,COLUMN(HeadJournal!G$1),0),"")</f>
        <v>44893</v>
      </c>
      <c r="F483" s="95" t="str">
        <f t="shared" si="38"/>
        <v>2022 11</v>
      </c>
      <c r="G483" s="96" t="s">
        <v>5</v>
      </c>
      <c r="H483" s="161" t="s">
        <v>2468</v>
      </c>
      <c r="I483" s="97" t="s">
        <v>2005</v>
      </c>
      <c r="J483" s="97" t="s">
        <v>4109</v>
      </c>
      <c r="K483" s="29">
        <v>19.59</v>
      </c>
      <c r="L483" s="29">
        <v>-4.9000000000000004</v>
      </c>
      <c r="M483" s="30">
        <f>IFERROR(VLOOKUP($A483,HeadJournal!$A$1:$J$890,COLUMN(HeadJournal!I$1),0)*($K483+$L483)/(SUMIF($A:$A,$A483,$K:$K)+SUMIF($A:$A,$A483,$L:$L)),0)</f>
        <v>0</v>
      </c>
      <c r="N483" s="30">
        <f>IFERROR((VLOOKUP($A483,HeadJournal!$A$1:$K$890,COLUMN(HeadJournal!K$1),0)-VLOOKUP($A483,HeadJournal!$A$1:$K$890,COLUMN(HeadJournal!J$1),0))*($K483+$L483)/(SUMIF($A:$A,$A483,$K:$K)+SUMIF($A:$A,$A483,$L:$L)),0)</f>
        <v>-2.7875211078424005E-15</v>
      </c>
      <c r="O483" s="30">
        <f>IFERROR((VLOOKUP($A483,HeadJournal!$A$1:$L$890,COLUMN(HeadJournal!L$1),0)*($K483+$L483)/(SUMIF($A:$A,$A483,$K:$K)+SUMIF($A:$A,$A483,$L:$L)))/VLOOKUP($A483,HeadJournal!$A$1:$L$890,COLUMN(HeadJournal!H$1),0),0)</f>
        <v>5.7150763846878787</v>
      </c>
      <c r="P483" s="30">
        <f>IFERROR(SUM(K483:O483)*VLOOKUP($A483,HeadJournal!$A$1:$L$890,COLUMN(HeadJournal!H$1),0),0)</f>
        <v>1407.9502705434634</v>
      </c>
      <c r="Q483" s="68">
        <v>1407.9502705434634</v>
      </c>
      <c r="R483" s="31">
        <v>44921</v>
      </c>
      <c r="S483" s="31" t="s">
        <v>3121</v>
      </c>
      <c r="T483" s="95" t="str">
        <f t="shared" si="40"/>
        <v>2022 12</v>
      </c>
      <c r="U483" s="69">
        <f t="shared" si="36"/>
        <v>0</v>
      </c>
      <c r="V483" s="22">
        <f t="shared" si="37"/>
        <v>0</v>
      </c>
      <c r="X483" s="33"/>
      <c r="Y483" s="33"/>
    </row>
    <row r="484" spans="1:25" x14ac:dyDescent="0.2">
      <c r="A484" s="93" t="s">
        <v>231</v>
      </c>
      <c r="B484" s="94">
        <f>IFERROR(VLOOKUP($A484,HeadJournal!$A$1:$NTR$890,COLUMN(HeadJournal!B$1),0),"")</f>
        <v>0</v>
      </c>
      <c r="C484" s="94" t="str">
        <f>IFERROR(VLOOKUP($A484,HeadJournal!$A$1:$NTR$890,COLUMN(HeadJournal!C$1),0),"")</f>
        <v>OZON_AV</v>
      </c>
      <c r="D484" s="125" t="str">
        <f>IFERROR(VLOOKUP($A484,HeadJournal!$A$1:$NTR$890,COLUMN(HeadJournal!D$1),0),"")</f>
        <v>Доставлен</v>
      </c>
      <c r="E484" s="95">
        <f>IFERROR(VLOOKUP($A484,HeadJournal!$A$1:$NTR$890,COLUMN(HeadJournal!G$1),0),"")</f>
        <v>44894</v>
      </c>
      <c r="F484" s="95" t="str">
        <f t="shared" si="38"/>
        <v>2022 11</v>
      </c>
      <c r="G484" s="96" t="s">
        <v>7</v>
      </c>
      <c r="H484" s="160" t="s">
        <v>3717</v>
      </c>
      <c r="I484" s="96" t="str">
        <f t="shared" si="39"/>
        <v>LADOR</v>
      </c>
      <c r="J484" s="97" t="s">
        <v>216</v>
      </c>
      <c r="K484" s="29">
        <v>369</v>
      </c>
      <c r="L484" s="29"/>
      <c r="M484" s="30">
        <f>IFERROR(VLOOKUP($A484,HeadJournal!$A$1:$J$890,COLUMN(HeadJournal!I$1),0)*($K484+$L484)/(SUMIF($A:$A,$A484,$K:$K)+SUMIF($A:$A,$A484,$L:$L)),0)</f>
        <v>0</v>
      </c>
      <c r="N484" s="30">
        <f>IFERROR((VLOOKUP($A484,HeadJournal!$A$1:$K$890,COLUMN(HeadJournal!K$1),0)-VLOOKUP($A484,HeadJournal!$A$1:$K$890,COLUMN(HeadJournal!J$1),0))*($K484+$L484)/(SUMIF($A:$A,$A484,$K:$K)+SUMIF($A:$A,$A484,$L:$L)),0)</f>
        <v>0</v>
      </c>
      <c r="O484" s="30">
        <f>IFERROR((VLOOKUP($A484,HeadJournal!$A$1:$L$890,COLUMN(HeadJournal!L$1),0)*($K484+$L484)/(SUMIF($A:$A,$A484,$K:$K)+SUMIF($A:$A,$A484,$L:$L)))/VLOOKUP($A484,HeadJournal!$A$1:$L$890,COLUMN(HeadJournal!H$1),0),0)</f>
        <v>55.35</v>
      </c>
      <c r="P484" s="30">
        <f>IFERROR(SUM(K484:O484)*VLOOKUP($A484,HeadJournal!$A$1:$L$890,COLUMN(HeadJournal!H$1),0),0)</f>
        <v>424.35</v>
      </c>
      <c r="Q484" s="29">
        <v>500</v>
      </c>
      <c r="R484" s="31">
        <v>44909</v>
      </c>
      <c r="S484" s="31" t="s">
        <v>3121</v>
      </c>
      <c r="T484" s="95" t="str">
        <f t="shared" si="40"/>
        <v>2022 12</v>
      </c>
      <c r="U484" s="32">
        <f t="shared" si="36"/>
        <v>75.649999999999977</v>
      </c>
      <c r="V484" s="22">
        <f t="shared" si="37"/>
        <v>0.17827265229174025</v>
      </c>
      <c r="X484" s="33"/>
      <c r="Y484" s="33"/>
    </row>
    <row r="485" spans="1:25" x14ac:dyDescent="0.2">
      <c r="A485" s="93" t="s">
        <v>231</v>
      </c>
      <c r="B485" s="94">
        <f>IFERROR(VLOOKUP($A485,HeadJournal!$A$1:$NTR$890,COLUMN(HeadJournal!B$1),0),"")</f>
        <v>0</v>
      </c>
      <c r="C485" s="94" t="str">
        <f>IFERROR(VLOOKUP($A485,HeadJournal!$A$1:$NTR$890,COLUMN(HeadJournal!C$1),0),"")</f>
        <v>OZON_AV</v>
      </c>
      <c r="D485" s="125" t="str">
        <f>IFERROR(VLOOKUP($A485,HeadJournal!$A$1:$NTR$890,COLUMN(HeadJournal!D$1),0),"")</f>
        <v>Доставлен</v>
      </c>
      <c r="E485" s="95">
        <f>IFERROR(VLOOKUP($A485,HeadJournal!$A$1:$NTR$890,COLUMN(HeadJournal!G$1),0),"")</f>
        <v>44894</v>
      </c>
      <c r="F485" s="95" t="str">
        <f t="shared" si="38"/>
        <v>2022 11</v>
      </c>
      <c r="G485" s="96" t="s">
        <v>7</v>
      </c>
      <c r="H485" s="160" t="s">
        <v>3717</v>
      </c>
      <c r="I485" s="96" t="str">
        <f t="shared" si="39"/>
        <v>LADOR</v>
      </c>
      <c r="J485" s="97" t="s">
        <v>216</v>
      </c>
      <c r="K485" s="29">
        <v>369</v>
      </c>
      <c r="L485" s="29"/>
      <c r="M485" s="30">
        <f>IFERROR(VLOOKUP($A485,HeadJournal!$A$1:$J$890,COLUMN(HeadJournal!I$1),0)*($K485+$L485)/(SUMIF($A:$A,$A485,$K:$K)+SUMIF($A:$A,$A485,$L:$L)),0)</f>
        <v>0</v>
      </c>
      <c r="N485" s="30">
        <f>IFERROR((VLOOKUP($A485,HeadJournal!$A$1:$K$890,COLUMN(HeadJournal!K$1),0)-VLOOKUP($A485,HeadJournal!$A$1:$K$890,COLUMN(HeadJournal!J$1),0))*($K485+$L485)/(SUMIF($A:$A,$A485,$K:$K)+SUMIF($A:$A,$A485,$L:$L)),0)</f>
        <v>0</v>
      </c>
      <c r="O485" s="30">
        <f>IFERROR((VLOOKUP($A485,HeadJournal!$A$1:$L$890,COLUMN(HeadJournal!L$1),0)*($K485+$L485)/(SUMIF($A:$A,$A485,$K:$K)+SUMIF($A:$A,$A485,$L:$L)))/VLOOKUP($A485,HeadJournal!$A$1:$L$890,COLUMN(HeadJournal!H$1),0),0)</f>
        <v>55.35</v>
      </c>
      <c r="P485" s="30">
        <f>IFERROR(SUM(K485:O485)*VLOOKUP($A485,HeadJournal!$A$1:$L$890,COLUMN(HeadJournal!H$1),0),0)</f>
        <v>424.35</v>
      </c>
      <c r="Q485" s="29"/>
      <c r="R485" s="31"/>
      <c r="S485" s="31"/>
      <c r="T485" s="95" t="str">
        <f t="shared" si="40"/>
        <v/>
      </c>
      <c r="U485" s="32">
        <f t="shared" si="36"/>
        <v>-424.35</v>
      </c>
      <c r="V485" s="22" t="str">
        <f t="shared" si="37"/>
        <v/>
      </c>
      <c r="X485" s="33"/>
      <c r="Y485" s="33"/>
    </row>
    <row r="486" spans="1:25" x14ac:dyDescent="0.2">
      <c r="A486" s="93" t="s">
        <v>231</v>
      </c>
      <c r="B486" s="94">
        <f>IFERROR(VLOOKUP($A486,HeadJournal!$A$1:$NTR$890,COLUMN(HeadJournal!B$1),0),"")</f>
        <v>0</v>
      </c>
      <c r="C486" s="94" t="str">
        <f>IFERROR(VLOOKUP($A486,HeadJournal!$A$1:$NTR$890,COLUMN(HeadJournal!C$1),0),"")</f>
        <v>OZON_AV</v>
      </c>
      <c r="D486" s="125" t="str">
        <f>IFERROR(VLOOKUP($A486,HeadJournal!$A$1:$NTR$890,COLUMN(HeadJournal!D$1),0),"")</f>
        <v>Доставлен</v>
      </c>
      <c r="E486" s="95">
        <f>IFERROR(VLOOKUP($A486,HeadJournal!$A$1:$NTR$890,COLUMN(HeadJournal!G$1),0),"")</f>
        <v>44894</v>
      </c>
      <c r="F486" s="95" t="str">
        <f t="shared" si="38"/>
        <v>2022 11</v>
      </c>
      <c r="G486" s="96" t="s">
        <v>7</v>
      </c>
      <c r="H486" s="160" t="s">
        <v>3722</v>
      </c>
      <c r="I486" s="96" t="str">
        <f t="shared" si="39"/>
        <v>LADOR</v>
      </c>
      <c r="J486" s="97" t="s">
        <v>232</v>
      </c>
      <c r="K486" s="29">
        <v>103</v>
      </c>
      <c r="L486" s="29"/>
      <c r="M486" s="30">
        <f>IFERROR(VLOOKUP($A486,HeadJournal!$A$1:$J$890,COLUMN(HeadJournal!I$1),0)*($K486+$L486)/(SUMIF($A:$A,$A486,$K:$K)+SUMIF($A:$A,$A486,$L:$L)),0)</f>
        <v>0</v>
      </c>
      <c r="N486" s="30">
        <f>IFERROR((VLOOKUP($A486,HeadJournal!$A$1:$K$890,COLUMN(HeadJournal!K$1),0)-VLOOKUP($A486,HeadJournal!$A$1:$K$890,COLUMN(HeadJournal!J$1),0))*($K486+$L486)/(SUMIF($A:$A,$A486,$K:$K)+SUMIF($A:$A,$A486,$L:$L)),0)</f>
        <v>0</v>
      </c>
      <c r="O486" s="30">
        <f>IFERROR((VLOOKUP($A486,HeadJournal!$A$1:$L$890,COLUMN(HeadJournal!L$1),0)*($K486+$L486)/(SUMIF($A:$A,$A486,$K:$K)+SUMIF($A:$A,$A486,$L:$L)))/VLOOKUP($A486,HeadJournal!$A$1:$L$890,COLUMN(HeadJournal!H$1),0),0)</f>
        <v>15.45</v>
      </c>
      <c r="P486" s="30">
        <f>IFERROR(SUM(K486:O486)*VLOOKUP($A486,HeadJournal!$A$1:$L$890,COLUMN(HeadJournal!H$1),0),0)</f>
        <v>118.45</v>
      </c>
      <c r="Q486" s="29">
        <v>200</v>
      </c>
      <c r="R486" s="31">
        <v>44909</v>
      </c>
      <c r="S486" s="31" t="s">
        <v>3121</v>
      </c>
      <c r="T486" s="95" t="str">
        <f t="shared" si="40"/>
        <v>2022 12</v>
      </c>
      <c r="U486" s="32">
        <f t="shared" si="36"/>
        <v>81.55</v>
      </c>
      <c r="V486" s="22">
        <f t="shared" si="37"/>
        <v>0.68847615027437736</v>
      </c>
      <c r="X486" s="33"/>
      <c r="Y486" s="33"/>
    </row>
    <row r="487" spans="1:25" x14ac:dyDescent="0.2">
      <c r="A487" s="93" t="s">
        <v>231</v>
      </c>
      <c r="B487" s="94">
        <f>IFERROR(VLOOKUP($A487,HeadJournal!$A$1:$NTR$890,COLUMN(HeadJournal!B$1),0),"")</f>
        <v>0</v>
      </c>
      <c r="C487" s="94" t="str">
        <f>IFERROR(VLOOKUP($A487,HeadJournal!$A$1:$NTR$890,COLUMN(HeadJournal!C$1),0),"")</f>
        <v>OZON_AV</v>
      </c>
      <c r="D487" s="125" t="str">
        <f>IFERROR(VLOOKUP($A487,HeadJournal!$A$1:$NTR$890,COLUMN(HeadJournal!D$1),0),"")</f>
        <v>Доставлен</v>
      </c>
      <c r="E487" s="95">
        <f>IFERROR(VLOOKUP($A487,HeadJournal!$A$1:$NTR$890,COLUMN(HeadJournal!G$1),0),"")</f>
        <v>44894</v>
      </c>
      <c r="F487" s="95" t="str">
        <f t="shared" si="38"/>
        <v>2022 11</v>
      </c>
      <c r="G487" s="96" t="s">
        <v>7</v>
      </c>
      <c r="H487" s="160" t="s">
        <v>3722</v>
      </c>
      <c r="I487" s="96" t="str">
        <f t="shared" si="39"/>
        <v>LADOR</v>
      </c>
      <c r="J487" s="97" t="s">
        <v>232</v>
      </c>
      <c r="K487" s="29">
        <v>103</v>
      </c>
      <c r="L487" s="29"/>
      <c r="M487" s="30">
        <f>IFERROR(VLOOKUP($A487,HeadJournal!$A$1:$J$890,COLUMN(HeadJournal!I$1),0)*($K487+$L487)/(SUMIF($A:$A,$A487,$K:$K)+SUMIF($A:$A,$A487,$L:$L)),0)</f>
        <v>0</v>
      </c>
      <c r="N487" s="30">
        <f>IFERROR((VLOOKUP($A487,HeadJournal!$A$1:$K$890,COLUMN(HeadJournal!K$1),0)-VLOOKUP($A487,HeadJournal!$A$1:$K$890,COLUMN(HeadJournal!J$1),0))*($K487+$L487)/(SUMIF($A:$A,$A487,$K:$K)+SUMIF($A:$A,$A487,$L:$L)),0)</f>
        <v>0</v>
      </c>
      <c r="O487" s="30">
        <f>IFERROR((VLOOKUP($A487,HeadJournal!$A$1:$L$890,COLUMN(HeadJournal!L$1),0)*($K487+$L487)/(SUMIF($A:$A,$A487,$K:$K)+SUMIF($A:$A,$A487,$L:$L)))/VLOOKUP($A487,HeadJournal!$A$1:$L$890,COLUMN(HeadJournal!H$1),0),0)</f>
        <v>15.45</v>
      </c>
      <c r="P487" s="30">
        <f>IFERROR(SUM(K487:O487)*VLOOKUP($A487,HeadJournal!$A$1:$L$890,COLUMN(HeadJournal!H$1),0),0)</f>
        <v>118.45</v>
      </c>
      <c r="Q487" s="29">
        <v>250</v>
      </c>
      <c r="R487" s="31">
        <v>44919</v>
      </c>
      <c r="S487" s="31" t="s">
        <v>3121</v>
      </c>
      <c r="T487" s="95" t="str">
        <f t="shared" si="40"/>
        <v>2022 12</v>
      </c>
      <c r="U487" s="32">
        <f t="shared" si="36"/>
        <v>131.55000000000001</v>
      </c>
      <c r="V487" s="22">
        <f t="shared" si="37"/>
        <v>1.1105951878429718</v>
      </c>
      <c r="X487" s="33"/>
      <c r="Y487" s="33"/>
    </row>
    <row r="488" spans="1:25" x14ac:dyDescent="0.2">
      <c r="A488" s="93" t="s">
        <v>231</v>
      </c>
      <c r="B488" s="94">
        <f>IFERROR(VLOOKUP($A488,HeadJournal!$A$1:$NTR$890,COLUMN(HeadJournal!B$1),0),"")</f>
        <v>0</v>
      </c>
      <c r="C488" s="94" t="str">
        <f>IFERROR(VLOOKUP($A488,HeadJournal!$A$1:$NTR$890,COLUMN(HeadJournal!C$1),0),"")</f>
        <v>OZON_AV</v>
      </c>
      <c r="D488" s="125" t="str">
        <f>IFERROR(VLOOKUP($A488,HeadJournal!$A$1:$NTR$890,COLUMN(HeadJournal!D$1),0),"")</f>
        <v>Доставлен</v>
      </c>
      <c r="E488" s="95">
        <f>IFERROR(VLOOKUP($A488,HeadJournal!$A$1:$NTR$890,COLUMN(HeadJournal!G$1),0),"")</f>
        <v>44894</v>
      </c>
      <c r="F488" s="95" t="str">
        <f t="shared" si="38"/>
        <v>2022 11</v>
      </c>
      <c r="G488" s="96" t="s">
        <v>7</v>
      </c>
      <c r="H488" s="160" t="s">
        <v>3722</v>
      </c>
      <c r="I488" s="96" t="str">
        <f t="shared" si="39"/>
        <v>LADOR</v>
      </c>
      <c r="J488" s="97" t="s">
        <v>232</v>
      </c>
      <c r="K488" s="29">
        <v>103</v>
      </c>
      <c r="L488" s="29"/>
      <c r="M488" s="30">
        <f>IFERROR(VLOOKUP($A488,HeadJournal!$A$1:$J$890,COLUMN(HeadJournal!I$1),0)*($K488+$L488)/(SUMIF($A:$A,$A488,$K:$K)+SUMIF($A:$A,$A488,$L:$L)),0)</f>
        <v>0</v>
      </c>
      <c r="N488" s="30">
        <f>IFERROR((VLOOKUP($A488,HeadJournal!$A$1:$K$890,COLUMN(HeadJournal!K$1),0)-VLOOKUP($A488,HeadJournal!$A$1:$K$890,COLUMN(HeadJournal!J$1),0))*($K488+$L488)/(SUMIF($A:$A,$A488,$K:$K)+SUMIF($A:$A,$A488,$L:$L)),0)</f>
        <v>0</v>
      </c>
      <c r="O488" s="30">
        <f>IFERROR((VLOOKUP($A488,HeadJournal!$A$1:$L$890,COLUMN(HeadJournal!L$1),0)*($K488+$L488)/(SUMIF($A:$A,$A488,$K:$K)+SUMIF($A:$A,$A488,$L:$L)))/VLOOKUP($A488,HeadJournal!$A$1:$L$890,COLUMN(HeadJournal!H$1),0),0)</f>
        <v>15.45</v>
      </c>
      <c r="P488" s="30">
        <f>IFERROR(SUM(K488:O488)*VLOOKUP($A488,HeadJournal!$A$1:$L$890,COLUMN(HeadJournal!H$1),0),0)</f>
        <v>118.45</v>
      </c>
      <c r="Q488" s="29"/>
      <c r="R488" s="31"/>
      <c r="S488" s="31"/>
      <c r="T488" s="95" t="str">
        <f t="shared" si="40"/>
        <v/>
      </c>
      <c r="U488" s="32">
        <f t="shared" si="36"/>
        <v>-118.45</v>
      </c>
      <c r="V488" s="22" t="str">
        <f t="shared" si="37"/>
        <v/>
      </c>
      <c r="X488" s="33"/>
      <c r="Y488" s="33"/>
    </row>
    <row r="489" spans="1:25" x14ac:dyDescent="0.2">
      <c r="A489" s="93" t="s">
        <v>231</v>
      </c>
      <c r="B489" s="94">
        <f>IFERROR(VLOOKUP($A489,HeadJournal!$A$1:$NTR$890,COLUMN(HeadJournal!B$1),0),"")</f>
        <v>0</v>
      </c>
      <c r="C489" s="94" t="str">
        <f>IFERROR(VLOOKUP($A489,HeadJournal!$A$1:$NTR$890,COLUMN(HeadJournal!C$1),0),"")</f>
        <v>OZON_AV</v>
      </c>
      <c r="D489" s="125" t="str">
        <f>IFERROR(VLOOKUP($A489,HeadJournal!$A$1:$NTR$890,COLUMN(HeadJournal!D$1),0),"")</f>
        <v>Доставлен</v>
      </c>
      <c r="E489" s="95">
        <f>IFERROR(VLOOKUP($A489,HeadJournal!$A$1:$NTR$890,COLUMN(HeadJournal!G$1),0),"")</f>
        <v>44894</v>
      </c>
      <c r="F489" s="95" t="str">
        <f t="shared" si="38"/>
        <v>2022 11</v>
      </c>
      <c r="G489" s="96" t="s">
        <v>7</v>
      </c>
      <c r="H489" s="160" t="s">
        <v>3722</v>
      </c>
      <c r="I489" s="96" t="str">
        <f t="shared" si="39"/>
        <v>LADOR</v>
      </c>
      <c r="J489" s="97" t="s">
        <v>232</v>
      </c>
      <c r="K489" s="29">
        <v>103</v>
      </c>
      <c r="L489" s="29"/>
      <c r="M489" s="30">
        <f>IFERROR(VLOOKUP($A489,HeadJournal!$A$1:$J$890,COLUMN(HeadJournal!I$1),0)*($K489+$L489)/(SUMIF($A:$A,$A489,$K:$K)+SUMIF($A:$A,$A489,$L:$L)),0)</f>
        <v>0</v>
      </c>
      <c r="N489" s="30">
        <f>IFERROR((VLOOKUP($A489,HeadJournal!$A$1:$K$890,COLUMN(HeadJournal!K$1),0)-VLOOKUP($A489,HeadJournal!$A$1:$K$890,COLUMN(HeadJournal!J$1),0))*($K489+$L489)/(SUMIF($A:$A,$A489,$K:$K)+SUMIF($A:$A,$A489,$L:$L)),0)</f>
        <v>0</v>
      </c>
      <c r="O489" s="30">
        <f>IFERROR((VLOOKUP($A489,HeadJournal!$A$1:$L$890,COLUMN(HeadJournal!L$1),0)*($K489+$L489)/(SUMIF($A:$A,$A489,$K:$K)+SUMIF($A:$A,$A489,$L:$L)))/VLOOKUP($A489,HeadJournal!$A$1:$L$890,COLUMN(HeadJournal!H$1),0),0)</f>
        <v>15.45</v>
      </c>
      <c r="P489" s="30">
        <f>IFERROR(SUM(K489:O489)*VLOOKUP($A489,HeadJournal!$A$1:$L$890,COLUMN(HeadJournal!H$1),0),0)</f>
        <v>118.45</v>
      </c>
      <c r="Q489" s="29"/>
      <c r="R489" s="31"/>
      <c r="S489" s="31"/>
      <c r="T489" s="95" t="str">
        <f t="shared" si="40"/>
        <v/>
      </c>
      <c r="U489" s="32">
        <f t="shared" si="36"/>
        <v>-118.45</v>
      </c>
      <c r="V489" s="22" t="str">
        <f t="shared" si="37"/>
        <v/>
      </c>
      <c r="X489" s="33"/>
      <c r="Y489" s="33"/>
    </row>
    <row r="490" spans="1:25" x14ac:dyDescent="0.2">
      <c r="A490" s="93" t="s">
        <v>231</v>
      </c>
      <c r="B490" s="94">
        <f>IFERROR(VLOOKUP($A490,HeadJournal!$A$1:$NTR$890,COLUMN(HeadJournal!B$1),0),"")</f>
        <v>0</v>
      </c>
      <c r="C490" s="94" t="str">
        <f>IFERROR(VLOOKUP($A490,HeadJournal!$A$1:$NTR$890,COLUMN(HeadJournal!C$1),0),"")</f>
        <v>OZON_AV</v>
      </c>
      <c r="D490" s="125" t="str">
        <f>IFERROR(VLOOKUP($A490,HeadJournal!$A$1:$NTR$890,COLUMN(HeadJournal!D$1),0),"")</f>
        <v>Доставлен</v>
      </c>
      <c r="E490" s="95">
        <f>IFERROR(VLOOKUP($A490,HeadJournal!$A$1:$NTR$890,COLUMN(HeadJournal!G$1),0),"")</f>
        <v>44894</v>
      </c>
      <c r="F490" s="95" t="str">
        <f t="shared" si="38"/>
        <v>2022 11</v>
      </c>
      <c r="G490" s="96" t="s">
        <v>7</v>
      </c>
      <c r="H490" s="160" t="s">
        <v>3723</v>
      </c>
      <c r="I490" s="96" t="str">
        <f t="shared" si="39"/>
        <v>LADOR</v>
      </c>
      <c r="J490" s="97" t="s">
        <v>233</v>
      </c>
      <c r="K490" s="29">
        <v>201</v>
      </c>
      <c r="L490" s="29"/>
      <c r="M490" s="30">
        <f>IFERROR(VLOOKUP($A490,HeadJournal!$A$1:$J$890,COLUMN(HeadJournal!I$1),0)*($K490+$L490)/(SUMIF($A:$A,$A490,$K:$K)+SUMIF($A:$A,$A490,$L:$L)),0)</f>
        <v>0</v>
      </c>
      <c r="N490" s="30">
        <f>IFERROR((VLOOKUP($A490,HeadJournal!$A$1:$K$890,COLUMN(HeadJournal!K$1),0)-VLOOKUP($A490,HeadJournal!$A$1:$K$890,COLUMN(HeadJournal!J$1),0))*($K490+$L490)/(SUMIF($A:$A,$A490,$K:$K)+SUMIF($A:$A,$A490,$L:$L)),0)</f>
        <v>0</v>
      </c>
      <c r="O490" s="30">
        <f>IFERROR((VLOOKUP($A490,HeadJournal!$A$1:$L$890,COLUMN(HeadJournal!L$1),0)*($K490+$L490)/(SUMIF($A:$A,$A490,$K:$K)+SUMIF($A:$A,$A490,$L:$L)))/VLOOKUP($A490,HeadJournal!$A$1:$L$890,COLUMN(HeadJournal!H$1),0),0)</f>
        <v>30.15</v>
      </c>
      <c r="P490" s="30">
        <f>IFERROR(SUM(K490:O490)*VLOOKUP($A490,HeadJournal!$A$1:$L$890,COLUMN(HeadJournal!H$1),0),0)</f>
        <v>231.15</v>
      </c>
      <c r="Q490" s="29"/>
      <c r="R490" s="31"/>
      <c r="S490" s="31"/>
      <c r="T490" s="95" t="str">
        <f t="shared" si="40"/>
        <v/>
      </c>
      <c r="U490" s="32">
        <f t="shared" si="36"/>
        <v>-231.15</v>
      </c>
      <c r="V490" s="22" t="str">
        <f t="shared" si="37"/>
        <v/>
      </c>
      <c r="X490" s="33"/>
      <c r="Y490" s="33"/>
    </row>
    <row r="491" spans="1:25" x14ac:dyDescent="0.2">
      <c r="A491" s="93" t="s">
        <v>231</v>
      </c>
      <c r="B491" s="94">
        <f>IFERROR(VLOOKUP($A491,HeadJournal!$A$1:$NTR$890,COLUMN(HeadJournal!B$1),0),"")</f>
        <v>0</v>
      </c>
      <c r="C491" s="94" t="str">
        <f>IFERROR(VLOOKUP($A491,HeadJournal!$A$1:$NTR$890,COLUMN(HeadJournal!C$1),0),"")</f>
        <v>OZON_AV</v>
      </c>
      <c r="D491" s="125" t="str">
        <f>IFERROR(VLOOKUP($A491,HeadJournal!$A$1:$NTR$890,COLUMN(HeadJournal!D$1),0),"")</f>
        <v>Доставлен</v>
      </c>
      <c r="E491" s="95">
        <f>IFERROR(VLOOKUP($A491,HeadJournal!$A$1:$NTR$890,COLUMN(HeadJournal!G$1),0),"")</f>
        <v>44894</v>
      </c>
      <c r="F491" s="95" t="str">
        <f t="shared" si="38"/>
        <v>2022 11</v>
      </c>
      <c r="G491" s="96" t="s">
        <v>7</v>
      </c>
      <c r="H491" s="160" t="s">
        <v>3723</v>
      </c>
      <c r="I491" s="96" t="str">
        <f t="shared" si="39"/>
        <v>LADOR</v>
      </c>
      <c r="J491" s="97" t="s">
        <v>233</v>
      </c>
      <c r="K491" s="29">
        <v>201</v>
      </c>
      <c r="L491" s="29"/>
      <c r="M491" s="30">
        <f>IFERROR(VLOOKUP($A491,HeadJournal!$A$1:$J$890,COLUMN(HeadJournal!I$1),0)*($K491+$L491)/(SUMIF($A:$A,$A491,$K:$K)+SUMIF($A:$A,$A491,$L:$L)),0)</f>
        <v>0</v>
      </c>
      <c r="N491" s="30">
        <f>IFERROR((VLOOKUP($A491,HeadJournal!$A$1:$K$890,COLUMN(HeadJournal!K$1),0)-VLOOKUP($A491,HeadJournal!$A$1:$K$890,COLUMN(HeadJournal!J$1),0))*($K491+$L491)/(SUMIF($A:$A,$A491,$K:$K)+SUMIF($A:$A,$A491,$L:$L)),0)</f>
        <v>0</v>
      </c>
      <c r="O491" s="30">
        <f>IFERROR((VLOOKUP($A491,HeadJournal!$A$1:$L$890,COLUMN(HeadJournal!L$1),0)*($K491+$L491)/(SUMIF($A:$A,$A491,$K:$K)+SUMIF($A:$A,$A491,$L:$L)))/VLOOKUP($A491,HeadJournal!$A$1:$L$890,COLUMN(HeadJournal!H$1),0),0)</f>
        <v>30.15</v>
      </c>
      <c r="P491" s="30">
        <f>IFERROR(SUM(K491:O491)*VLOOKUP($A491,HeadJournal!$A$1:$L$890,COLUMN(HeadJournal!H$1),0),0)</f>
        <v>231.15</v>
      </c>
      <c r="Q491" s="29"/>
      <c r="R491" s="31"/>
      <c r="S491" s="31"/>
      <c r="T491" s="95" t="str">
        <f t="shared" si="40"/>
        <v/>
      </c>
      <c r="U491" s="32">
        <f t="shared" si="36"/>
        <v>-231.15</v>
      </c>
      <c r="V491" s="22" t="str">
        <f t="shared" si="37"/>
        <v/>
      </c>
      <c r="X491" s="33"/>
      <c r="Y491" s="33"/>
    </row>
    <row r="492" spans="1:25" x14ac:dyDescent="0.2">
      <c r="A492" s="93" t="s">
        <v>234</v>
      </c>
      <c r="B492" s="94">
        <f>IFERROR(VLOOKUP($A492,HeadJournal!$A$1:$NTR$890,COLUMN(HeadJournal!B$1),0),"")</f>
        <v>0</v>
      </c>
      <c r="C492" s="94" t="str">
        <f>IFERROR(VLOOKUP($A492,HeadJournal!$A$1:$NTR$890,COLUMN(HeadJournal!C$1),0),"")</f>
        <v>OZON_AV</v>
      </c>
      <c r="D492" s="125" t="str">
        <f>IFERROR(VLOOKUP($A492,HeadJournal!$A$1:$NTR$890,COLUMN(HeadJournal!D$1),0),"")</f>
        <v>Доставлен</v>
      </c>
      <c r="E492" s="95">
        <f>IFERROR(VLOOKUP($A492,HeadJournal!$A$1:$NTR$890,COLUMN(HeadJournal!G$1),0),"")</f>
        <v>44895</v>
      </c>
      <c r="F492" s="95" t="str">
        <f t="shared" si="38"/>
        <v>2022 11</v>
      </c>
      <c r="G492" s="96" t="s">
        <v>7</v>
      </c>
      <c r="H492" s="160" t="s">
        <v>3724</v>
      </c>
      <c r="I492" s="96" t="str">
        <f t="shared" si="39"/>
        <v>EKEL</v>
      </c>
      <c r="J492" s="97" t="s">
        <v>235</v>
      </c>
      <c r="K492" s="29">
        <v>264</v>
      </c>
      <c r="L492" s="29"/>
      <c r="M492" s="30">
        <f>IFERROR(VLOOKUP($A492,HeadJournal!$A$1:$J$890,COLUMN(HeadJournal!I$1),0)*($K492+$L492)/(SUMIF($A:$A,$A492,$K:$K)+SUMIF($A:$A,$A492,$L:$L)),0)</f>
        <v>0</v>
      </c>
      <c r="N492" s="30">
        <f>IFERROR((VLOOKUP($A492,HeadJournal!$A$1:$K$890,COLUMN(HeadJournal!K$1),0)-VLOOKUP($A492,HeadJournal!$A$1:$K$890,COLUMN(HeadJournal!J$1),0))*($K492+$L492)/(SUMIF($A:$A,$A492,$K:$K)+SUMIF($A:$A,$A492,$L:$L)),0)</f>
        <v>0</v>
      </c>
      <c r="O492" s="30">
        <f>IFERROR((VLOOKUP($A492,HeadJournal!$A$1:$L$890,COLUMN(HeadJournal!L$1),0)*($K492+$L492)/(SUMIF($A:$A,$A492,$K:$K)+SUMIF($A:$A,$A492,$L:$L)))/VLOOKUP($A492,HeadJournal!$A$1:$L$890,COLUMN(HeadJournal!H$1),0),0)</f>
        <v>39.6</v>
      </c>
      <c r="P492" s="30">
        <f>IFERROR(SUM(K492:O492)*VLOOKUP($A492,HeadJournal!$A$1:$L$890,COLUMN(HeadJournal!H$1),0),0)</f>
        <v>303.60000000000002</v>
      </c>
      <c r="Q492" s="29">
        <v>600</v>
      </c>
      <c r="R492" s="31">
        <v>44909</v>
      </c>
      <c r="S492" s="31" t="s">
        <v>3121</v>
      </c>
      <c r="T492" s="95" t="str">
        <f t="shared" si="40"/>
        <v>2022 12</v>
      </c>
      <c r="U492" s="32">
        <f t="shared" si="36"/>
        <v>296.39999999999998</v>
      </c>
      <c r="V492" s="22">
        <f t="shared" si="37"/>
        <v>0.97628458498023696</v>
      </c>
      <c r="X492" s="33"/>
      <c r="Y492" s="33"/>
    </row>
    <row r="493" spans="1:25" x14ac:dyDescent="0.2">
      <c r="A493" s="93" t="s">
        <v>234</v>
      </c>
      <c r="B493" s="94">
        <f>IFERROR(VLOOKUP($A493,HeadJournal!$A$1:$NTR$890,COLUMN(HeadJournal!B$1),0),"")</f>
        <v>0</v>
      </c>
      <c r="C493" s="94" t="str">
        <f>IFERROR(VLOOKUP($A493,HeadJournal!$A$1:$NTR$890,COLUMN(HeadJournal!C$1),0),"")</f>
        <v>OZON_AV</v>
      </c>
      <c r="D493" s="125" t="str">
        <f>IFERROR(VLOOKUP($A493,HeadJournal!$A$1:$NTR$890,COLUMN(HeadJournal!D$1),0),"")</f>
        <v>Доставлен</v>
      </c>
      <c r="E493" s="95">
        <f>IFERROR(VLOOKUP($A493,HeadJournal!$A$1:$NTR$890,COLUMN(HeadJournal!G$1),0),"")</f>
        <v>44895</v>
      </c>
      <c r="F493" s="95" t="str">
        <f t="shared" si="38"/>
        <v>2022 11</v>
      </c>
      <c r="G493" s="96" t="s">
        <v>7</v>
      </c>
      <c r="H493" s="160" t="s">
        <v>3724</v>
      </c>
      <c r="I493" s="96" t="str">
        <f t="shared" si="39"/>
        <v>EKEL</v>
      </c>
      <c r="J493" s="97" t="s">
        <v>235</v>
      </c>
      <c r="K493" s="29">
        <v>264</v>
      </c>
      <c r="L493" s="29"/>
      <c r="M493" s="30">
        <f>IFERROR(VLOOKUP($A493,HeadJournal!$A$1:$J$890,COLUMN(HeadJournal!I$1),0)*($K493+$L493)/(SUMIF($A:$A,$A493,$K:$K)+SUMIF($A:$A,$A493,$L:$L)),0)</f>
        <v>0</v>
      </c>
      <c r="N493" s="30">
        <f>IFERROR((VLOOKUP($A493,HeadJournal!$A$1:$K$890,COLUMN(HeadJournal!K$1),0)-VLOOKUP($A493,HeadJournal!$A$1:$K$890,COLUMN(HeadJournal!J$1),0))*($K493+$L493)/(SUMIF($A:$A,$A493,$K:$K)+SUMIF($A:$A,$A493,$L:$L)),0)</f>
        <v>0</v>
      </c>
      <c r="O493" s="30">
        <f>IFERROR((VLOOKUP($A493,HeadJournal!$A$1:$L$890,COLUMN(HeadJournal!L$1),0)*($K493+$L493)/(SUMIF($A:$A,$A493,$K:$K)+SUMIF($A:$A,$A493,$L:$L)))/VLOOKUP($A493,HeadJournal!$A$1:$L$890,COLUMN(HeadJournal!H$1),0),0)</f>
        <v>39.6</v>
      </c>
      <c r="P493" s="30">
        <f>IFERROR(SUM(K493:O493)*VLOOKUP($A493,HeadJournal!$A$1:$L$890,COLUMN(HeadJournal!H$1),0),0)</f>
        <v>303.60000000000002</v>
      </c>
      <c r="Q493" s="29">
        <v>600</v>
      </c>
      <c r="R493" s="31">
        <v>44930</v>
      </c>
      <c r="S493" s="31" t="s">
        <v>3121</v>
      </c>
      <c r="T493" s="95" t="str">
        <f t="shared" si="40"/>
        <v>2023 01</v>
      </c>
      <c r="U493" s="32">
        <f t="shared" si="36"/>
        <v>296.39999999999998</v>
      </c>
      <c r="V493" s="22">
        <f t="shared" si="37"/>
        <v>0.97628458498023696</v>
      </c>
      <c r="X493" s="33"/>
      <c r="Y493" s="33"/>
    </row>
    <row r="494" spans="1:25" x14ac:dyDescent="0.2">
      <c r="A494" s="93" t="s">
        <v>234</v>
      </c>
      <c r="B494" s="94">
        <f>IFERROR(VLOOKUP($A494,HeadJournal!$A$1:$NTR$890,COLUMN(HeadJournal!B$1),0),"")</f>
        <v>0</v>
      </c>
      <c r="C494" s="94" t="str">
        <f>IFERROR(VLOOKUP($A494,HeadJournal!$A$1:$NTR$890,COLUMN(HeadJournal!C$1),0),"")</f>
        <v>OZON_AV</v>
      </c>
      <c r="D494" s="125" t="str">
        <f>IFERROR(VLOOKUP($A494,HeadJournal!$A$1:$NTR$890,COLUMN(HeadJournal!D$1),0),"")</f>
        <v>Доставлен</v>
      </c>
      <c r="E494" s="95">
        <f>IFERROR(VLOOKUP($A494,HeadJournal!$A$1:$NTR$890,COLUMN(HeadJournal!G$1),0),"")</f>
        <v>44895</v>
      </c>
      <c r="F494" s="95" t="str">
        <f t="shared" si="38"/>
        <v>2022 11</v>
      </c>
      <c r="G494" s="96" t="s">
        <v>7</v>
      </c>
      <c r="H494" s="160" t="s">
        <v>3725</v>
      </c>
      <c r="I494" s="96" t="str">
        <f t="shared" si="39"/>
        <v>EKEL</v>
      </c>
      <c r="J494" s="97" t="s">
        <v>236</v>
      </c>
      <c r="K494" s="29">
        <v>233</v>
      </c>
      <c r="L494" s="29"/>
      <c r="M494" s="30">
        <f>IFERROR(VLOOKUP($A494,HeadJournal!$A$1:$J$890,COLUMN(HeadJournal!I$1),0)*($K494+$L494)/(SUMIF($A:$A,$A494,$K:$K)+SUMIF($A:$A,$A494,$L:$L)),0)</f>
        <v>0</v>
      </c>
      <c r="N494" s="30">
        <f>IFERROR((VLOOKUP($A494,HeadJournal!$A$1:$K$890,COLUMN(HeadJournal!K$1),0)-VLOOKUP($A494,HeadJournal!$A$1:$K$890,COLUMN(HeadJournal!J$1),0))*($K494+$L494)/(SUMIF($A:$A,$A494,$K:$K)+SUMIF($A:$A,$A494,$L:$L)),0)</f>
        <v>0</v>
      </c>
      <c r="O494" s="30">
        <f>IFERROR((VLOOKUP($A494,HeadJournal!$A$1:$L$890,COLUMN(HeadJournal!L$1),0)*($K494+$L494)/(SUMIF($A:$A,$A494,$K:$K)+SUMIF($A:$A,$A494,$L:$L)))/VLOOKUP($A494,HeadJournal!$A$1:$L$890,COLUMN(HeadJournal!H$1),0),0)</f>
        <v>34.950000000000003</v>
      </c>
      <c r="P494" s="30">
        <f>IFERROR(SUM(K494:O494)*VLOOKUP($A494,HeadJournal!$A$1:$L$890,COLUMN(HeadJournal!H$1),0),0)</f>
        <v>267.95</v>
      </c>
      <c r="Q494" s="29">
        <v>600</v>
      </c>
      <c r="R494" s="31">
        <v>44963</v>
      </c>
      <c r="S494" s="31" t="s">
        <v>3121</v>
      </c>
      <c r="T494" s="95" t="str">
        <f t="shared" si="40"/>
        <v>2023 02</v>
      </c>
      <c r="U494" s="32">
        <f t="shared" si="36"/>
        <v>332.05</v>
      </c>
      <c r="V494" s="22">
        <f t="shared" si="37"/>
        <v>1.2392237357715992</v>
      </c>
      <c r="X494" s="33"/>
      <c r="Y494" s="33"/>
    </row>
    <row r="495" spans="1:25" x14ac:dyDescent="0.2">
      <c r="A495" s="93" t="s">
        <v>234</v>
      </c>
      <c r="B495" s="94">
        <f>IFERROR(VLOOKUP($A495,HeadJournal!$A$1:$NTR$890,COLUMN(HeadJournal!B$1),0),"")</f>
        <v>0</v>
      </c>
      <c r="C495" s="94" t="str">
        <f>IFERROR(VLOOKUP($A495,HeadJournal!$A$1:$NTR$890,COLUMN(HeadJournal!C$1),0),"")</f>
        <v>OZON_AV</v>
      </c>
      <c r="D495" s="125" t="str">
        <f>IFERROR(VLOOKUP($A495,HeadJournal!$A$1:$NTR$890,COLUMN(HeadJournal!D$1),0),"")</f>
        <v>Доставлен</v>
      </c>
      <c r="E495" s="95">
        <f>IFERROR(VLOOKUP($A495,HeadJournal!$A$1:$NTR$890,COLUMN(HeadJournal!G$1),0),"")</f>
        <v>44895</v>
      </c>
      <c r="F495" s="95" t="str">
        <f t="shared" si="38"/>
        <v>2022 11</v>
      </c>
      <c r="G495" s="96" t="s">
        <v>7</v>
      </c>
      <c r="H495" s="160" t="s">
        <v>3725</v>
      </c>
      <c r="I495" s="96" t="str">
        <f t="shared" si="39"/>
        <v>EKEL</v>
      </c>
      <c r="J495" s="97" t="s">
        <v>236</v>
      </c>
      <c r="K495" s="29">
        <v>233</v>
      </c>
      <c r="L495" s="29"/>
      <c r="M495" s="30">
        <f>IFERROR(VLOOKUP($A495,HeadJournal!$A$1:$J$890,COLUMN(HeadJournal!I$1),0)*($K495+$L495)/(SUMIF($A:$A,$A495,$K:$K)+SUMIF($A:$A,$A495,$L:$L)),0)</f>
        <v>0</v>
      </c>
      <c r="N495" s="30">
        <f>IFERROR((VLOOKUP($A495,HeadJournal!$A$1:$K$890,COLUMN(HeadJournal!K$1),0)-VLOOKUP($A495,HeadJournal!$A$1:$K$890,COLUMN(HeadJournal!J$1),0))*($K495+$L495)/(SUMIF($A:$A,$A495,$K:$K)+SUMIF($A:$A,$A495,$L:$L)),0)</f>
        <v>0</v>
      </c>
      <c r="O495" s="30">
        <f>IFERROR((VLOOKUP($A495,HeadJournal!$A$1:$L$890,COLUMN(HeadJournal!L$1),0)*($K495+$L495)/(SUMIF($A:$A,$A495,$K:$K)+SUMIF($A:$A,$A495,$L:$L)))/VLOOKUP($A495,HeadJournal!$A$1:$L$890,COLUMN(HeadJournal!H$1),0),0)</f>
        <v>34.950000000000003</v>
      </c>
      <c r="P495" s="30">
        <f>IFERROR(SUM(K495:O495)*VLOOKUP($A495,HeadJournal!$A$1:$L$890,COLUMN(HeadJournal!H$1),0),0)</f>
        <v>267.95</v>
      </c>
      <c r="Q495" s="29">
        <v>600</v>
      </c>
      <c r="R495" s="31">
        <v>45288</v>
      </c>
      <c r="S495" s="31" t="s">
        <v>3121</v>
      </c>
      <c r="T495" s="95" t="str">
        <f t="shared" si="40"/>
        <v>2023 12</v>
      </c>
      <c r="U495" s="32">
        <f t="shared" si="36"/>
        <v>332.05</v>
      </c>
      <c r="V495" s="22">
        <f t="shared" si="37"/>
        <v>1.2392237357715992</v>
      </c>
      <c r="X495" s="33"/>
      <c r="Y495" s="33"/>
    </row>
    <row r="496" spans="1:25" x14ac:dyDescent="0.2">
      <c r="A496" s="93" t="s">
        <v>234</v>
      </c>
      <c r="B496" s="94">
        <f>IFERROR(VLOOKUP($A496,HeadJournal!$A$1:$NTR$890,COLUMN(HeadJournal!B$1),0),"")</f>
        <v>0</v>
      </c>
      <c r="C496" s="94" t="str">
        <f>IFERROR(VLOOKUP($A496,HeadJournal!$A$1:$NTR$890,COLUMN(HeadJournal!C$1),0),"")</f>
        <v>OZON_AV</v>
      </c>
      <c r="D496" s="125" t="str">
        <f>IFERROR(VLOOKUP($A496,HeadJournal!$A$1:$NTR$890,COLUMN(HeadJournal!D$1),0),"")</f>
        <v>Доставлен</v>
      </c>
      <c r="E496" s="95">
        <f>IFERROR(VLOOKUP($A496,HeadJournal!$A$1:$NTR$890,COLUMN(HeadJournal!G$1),0),"")</f>
        <v>44895</v>
      </c>
      <c r="F496" s="95" t="str">
        <f t="shared" si="38"/>
        <v>2022 11</v>
      </c>
      <c r="G496" s="96" t="s">
        <v>7</v>
      </c>
      <c r="H496" s="160" t="s">
        <v>3726</v>
      </c>
      <c r="I496" s="96" t="str">
        <f t="shared" si="39"/>
        <v>EKEL</v>
      </c>
      <c r="J496" s="97" t="s">
        <v>237</v>
      </c>
      <c r="K496" s="29">
        <v>242</v>
      </c>
      <c r="L496" s="29"/>
      <c r="M496" s="30">
        <f>IFERROR(VLOOKUP($A496,HeadJournal!$A$1:$J$890,COLUMN(HeadJournal!I$1),0)*($K496+$L496)/(SUMIF($A:$A,$A496,$K:$K)+SUMIF($A:$A,$A496,$L:$L)),0)</f>
        <v>0</v>
      </c>
      <c r="N496" s="30">
        <f>IFERROR((VLOOKUP($A496,HeadJournal!$A$1:$K$890,COLUMN(HeadJournal!K$1),0)-VLOOKUP($A496,HeadJournal!$A$1:$K$890,COLUMN(HeadJournal!J$1),0))*($K496+$L496)/(SUMIF($A:$A,$A496,$K:$K)+SUMIF($A:$A,$A496,$L:$L)),0)</f>
        <v>0</v>
      </c>
      <c r="O496" s="30">
        <f>IFERROR((VLOOKUP($A496,HeadJournal!$A$1:$L$890,COLUMN(HeadJournal!L$1),0)*($K496+$L496)/(SUMIF($A:$A,$A496,$K:$K)+SUMIF($A:$A,$A496,$L:$L)))/VLOOKUP($A496,HeadJournal!$A$1:$L$890,COLUMN(HeadJournal!H$1),0),0)</f>
        <v>36.299999999999997</v>
      </c>
      <c r="P496" s="30">
        <f>IFERROR(SUM(K496:O496)*VLOOKUP($A496,HeadJournal!$A$1:$L$890,COLUMN(HeadJournal!H$1),0),0)</f>
        <v>278.3</v>
      </c>
      <c r="Q496" s="29">
        <v>600</v>
      </c>
      <c r="R496" s="31">
        <v>44909</v>
      </c>
      <c r="S496" s="31" t="s">
        <v>3121</v>
      </c>
      <c r="T496" s="95" t="str">
        <f t="shared" si="40"/>
        <v>2022 12</v>
      </c>
      <c r="U496" s="32">
        <f t="shared" si="36"/>
        <v>321.7</v>
      </c>
      <c r="V496" s="22">
        <f t="shared" si="37"/>
        <v>1.1559468199784404</v>
      </c>
      <c r="X496" s="33"/>
      <c r="Y496" s="33"/>
    </row>
    <row r="497" spans="1:25" x14ac:dyDescent="0.2">
      <c r="A497" s="93" t="s">
        <v>234</v>
      </c>
      <c r="B497" s="94">
        <f>IFERROR(VLOOKUP($A497,HeadJournal!$A$1:$NTR$890,COLUMN(HeadJournal!B$1),0),"")</f>
        <v>0</v>
      </c>
      <c r="C497" s="94" t="str">
        <f>IFERROR(VLOOKUP($A497,HeadJournal!$A$1:$NTR$890,COLUMN(HeadJournal!C$1),0),"")</f>
        <v>OZON_AV</v>
      </c>
      <c r="D497" s="125" t="str">
        <f>IFERROR(VLOOKUP($A497,HeadJournal!$A$1:$NTR$890,COLUMN(HeadJournal!D$1),0),"")</f>
        <v>Доставлен</v>
      </c>
      <c r="E497" s="95">
        <f>IFERROR(VLOOKUP($A497,HeadJournal!$A$1:$NTR$890,COLUMN(HeadJournal!G$1),0),"")</f>
        <v>44895</v>
      </c>
      <c r="F497" s="95" t="str">
        <f t="shared" si="38"/>
        <v>2022 11</v>
      </c>
      <c r="G497" s="96" t="s">
        <v>7</v>
      </c>
      <c r="H497" s="160" t="s">
        <v>3726</v>
      </c>
      <c r="I497" s="96" t="str">
        <f t="shared" si="39"/>
        <v>EKEL</v>
      </c>
      <c r="J497" s="97" t="s">
        <v>237</v>
      </c>
      <c r="K497" s="29">
        <v>242</v>
      </c>
      <c r="L497" s="29"/>
      <c r="M497" s="30">
        <f>IFERROR(VLOOKUP($A497,HeadJournal!$A$1:$J$890,COLUMN(HeadJournal!I$1),0)*($K497+$L497)/(SUMIF($A:$A,$A497,$K:$K)+SUMIF($A:$A,$A497,$L:$L)),0)</f>
        <v>0</v>
      </c>
      <c r="N497" s="30">
        <f>IFERROR((VLOOKUP($A497,HeadJournal!$A$1:$K$890,COLUMN(HeadJournal!K$1),0)-VLOOKUP($A497,HeadJournal!$A$1:$K$890,COLUMN(HeadJournal!J$1),0))*($K497+$L497)/(SUMIF($A:$A,$A497,$K:$K)+SUMIF($A:$A,$A497,$L:$L)),0)</f>
        <v>0</v>
      </c>
      <c r="O497" s="30">
        <f>IFERROR((VLOOKUP($A497,HeadJournal!$A$1:$L$890,COLUMN(HeadJournal!L$1),0)*($K497+$L497)/(SUMIF($A:$A,$A497,$K:$K)+SUMIF($A:$A,$A497,$L:$L)))/VLOOKUP($A497,HeadJournal!$A$1:$L$890,COLUMN(HeadJournal!H$1),0),0)</f>
        <v>36.299999999999997</v>
      </c>
      <c r="P497" s="30">
        <f>IFERROR(SUM(K497:O497)*VLOOKUP($A497,HeadJournal!$A$1:$L$890,COLUMN(HeadJournal!H$1),0),0)</f>
        <v>278.3</v>
      </c>
      <c r="Q497" s="29">
        <v>600</v>
      </c>
      <c r="R497" s="31">
        <v>44930</v>
      </c>
      <c r="S497" s="31" t="s">
        <v>3121</v>
      </c>
      <c r="T497" s="95" t="str">
        <f t="shared" si="40"/>
        <v>2023 01</v>
      </c>
      <c r="U497" s="32">
        <f t="shared" si="36"/>
        <v>321.7</v>
      </c>
      <c r="V497" s="22">
        <f t="shared" si="37"/>
        <v>1.1559468199784404</v>
      </c>
      <c r="X497" s="33"/>
      <c r="Y497" s="33"/>
    </row>
    <row r="498" spans="1:25" x14ac:dyDescent="0.2">
      <c r="A498" s="93" t="s">
        <v>234</v>
      </c>
      <c r="B498" s="94">
        <f>IFERROR(VLOOKUP($A498,HeadJournal!$A$1:$NTR$890,COLUMN(HeadJournal!B$1),0),"")</f>
        <v>0</v>
      </c>
      <c r="C498" s="94" t="str">
        <f>IFERROR(VLOOKUP($A498,HeadJournal!$A$1:$NTR$890,COLUMN(HeadJournal!C$1),0),"")</f>
        <v>OZON_AV</v>
      </c>
      <c r="D498" s="125" t="str">
        <f>IFERROR(VLOOKUP($A498,HeadJournal!$A$1:$NTR$890,COLUMN(HeadJournal!D$1),0),"")</f>
        <v>Доставлен</v>
      </c>
      <c r="E498" s="95">
        <f>IFERROR(VLOOKUP($A498,HeadJournal!$A$1:$NTR$890,COLUMN(HeadJournal!G$1),0),"")</f>
        <v>44895</v>
      </c>
      <c r="F498" s="95" t="str">
        <f t="shared" si="38"/>
        <v>2022 11</v>
      </c>
      <c r="G498" s="96" t="s">
        <v>7</v>
      </c>
      <c r="H498" s="160" t="s">
        <v>3727</v>
      </c>
      <c r="I498" s="96" t="str">
        <f t="shared" si="39"/>
        <v>EKEL</v>
      </c>
      <c r="J498" s="97" t="s">
        <v>238</v>
      </c>
      <c r="K498" s="29">
        <v>281</v>
      </c>
      <c r="L498" s="29"/>
      <c r="M498" s="30">
        <f>IFERROR(VLOOKUP($A498,HeadJournal!$A$1:$J$890,COLUMN(HeadJournal!I$1),0)*($K498+$L498)/(SUMIF($A:$A,$A498,$K:$K)+SUMIF($A:$A,$A498,$L:$L)),0)</f>
        <v>0</v>
      </c>
      <c r="N498" s="30">
        <f>IFERROR((VLOOKUP($A498,HeadJournal!$A$1:$K$890,COLUMN(HeadJournal!K$1),0)-VLOOKUP($A498,HeadJournal!$A$1:$K$890,COLUMN(HeadJournal!J$1),0))*($K498+$L498)/(SUMIF($A:$A,$A498,$K:$K)+SUMIF($A:$A,$A498,$L:$L)),0)</f>
        <v>0</v>
      </c>
      <c r="O498" s="30">
        <f>IFERROR((VLOOKUP($A498,HeadJournal!$A$1:$L$890,COLUMN(HeadJournal!L$1),0)*($K498+$L498)/(SUMIF($A:$A,$A498,$K:$K)+SUMIF($A:$A,$A498,$L:$L)))/VLOOKUP($A498,HeadJournal!$A$1:$L$890,COLUMN(HeadJournal!H$1),0),0)</f>
        <v>42.15</v>
      </c>
      <c r="P498" s="30">
        <f>IFERROR(SUM(K498:O498)*VLOOKUP($A498,HeadJournal!$A$1:$L$890,COLUMN(HeadJournal!H$1),0),0)</f>
        <v>323.14999999999998</v>
      </c>
      <c r="Q498" s="29">
        <v>600</v>
      </c>
      <c r="R498" s="31">
        <v>44992</v>
      </c>
      <c r="S498" s="31" t="s">
        <v>3121</v>
      </c>
      <c r="T498" s="95" t="str">
        <f t="shared" si="40"/>
        <v>2023 03</v>
      </c>
      <c r="U498" s="32">
        <f t="shared" si="36"/>
        <v>276.85000000000002</v>
      </c>
      <c r="V498" s="22">
        <f t="shared" si="37"/>
        <v>0.85672288410954678</v>
      </c>
      <c r="X498" s="33"/>
      <c r="Y498" s="33"/>
    </row>
    <row r="499" spans="1:25" x14ac:dyDescent="0.2">
      <c r="A499" s="93" t="s">
        <v>234</v>
      </c>
      <c r="B499" s="94">
        <f>IFERROR(VLOOKUP($A499,HeadJournal!$A$1:$NTR$890,COLUMN(HeadJournal!B$1),0),"")</f>
        <v>0</v>
      </c>
      <c r="C499" s="94" t="str">
        <f>IFERROR(VLOOKUP($A499,HeadJournal!$A$1:$NTR$890,COLUMN(HeadJournal!C$1),0),"")</f>
        <v>OZON_AV</v>
      </c>
      <c r="D499" s="125" t="str">
        <f>IFERROR(VLOOKUP($A499,HeadJournal!$A$1:$NTR$890,COLUMN(HeadJournal!D$1),0),"")</f>
        <v>Доставлен</v>
      </c>
      <c r="E499" s="95">
        <f>IFERROR(VLOOKUP($A499,HeadJournal!$A$1:$NTR$890,COLUMN(HeadJournal!G$1),0),"")</f>
        <v>44895</v>
      </c>
      <c r="F499" s="95" t="str">
        <f t="shared" si="38"/>
        <v>2022 11</v>
      </c>
      <c r="G499" s="96" t="s">
        <v>7</v>
      </c>
      <c r="H499" s="160" t="s">
        <v>3727</v>
      </c>
      <c r="I499" s="96" t="str">
        <f t="shared" si="39"/>
        <v>EKEL</v>
      </c>
      <c r="J499" s="97" t="s">
        <v>238</v>
      </c>
      <c r="K499" s="29">
        <v>281</v>
      </c>
      <c r="L499" s="29"/>
      <c r="M499" s="30">
        <f>IFERROR(VLOOKUP($A499,HeadJournal!$A$1:$J$890,COLUMN(HeadJournal!I$1),0)*($K499+$L499)/(SUMIF($A:$A,$A499,$K:$K)+SUMIF($A:$A,$A499,$L:$L)),0)</f>
        <v>0</v>
      </c>
      <c r="N499" s="30">
        <f>IFERROR((VLOOKUP($A499,HeadJournal!$A$1:$K$890,COLUMN(HeadJournal!K$1),0)-VLOOKUP($A499,HeadJournal!$A$1:$K$890,COLUMN(HeadJournal!J$1),0))*($K499+$L499)/(SUMIF($A:$A,$A499,$K:$K)+SUMIF($A:$A,$A499,$L:$L)),0)</f>
        <v>0</v>
      </c>
      <c r="O499" s="30">
        <f>IFERROR((VLOOKUP($A499,HeadJournal!$A$1:$L$890,COLUMN(HeadJournal!L$1),0)*($K499+$L499)/(SUMIF($A:$A,$A499,$K:$K)+SUMIF($A:$A,$A499,$L:$L)))/VLOOKUP($A499,HeadJournal!$A$1:$L$890,COLUMN(HeadJournal!H$1),0),0)</f>
        <v>42.15</v>
      </c>
      <c r="P499" s="30">
        <f>IFERROR(SUM(K499:O499)*VLOOKUP($A499,HeadJournal!$A$1:$L$890,COLUMN(HeadJournal!H$1),0),0)</f>
        <v>323.14999999999998</v>
      </c>
      <c r="Q499" s="29"/>
      <c r="R499" s="31"/>
      <c r="S499" s="31"/>
      <c r="T499" s="95" t="str">
        <f t="shared" si="40"/>
        <v/>
      </c>
      <c r="U499" s="32">
        <f t="shared" si="36"/>
        <v>-323.14999999999998</v>
      </c>
      <c r="V499" s="22" t="str">
        <f t="shared" si="37"/>
        <v/>
      </c>
      <c r="X499" s="33"/>
      <c r="Y499" s="33"/>
    </row>
    <row r="500" spans="1:25" x14ac:dyDescent="0.2">
      <c r="A500" s="93" t="s">
        <v>239</v>
      </c>
      <c r="B500" s="94">
        <f>IFERROR(VLOOKUP($A500,HeadJournal!$A$1:$NTR$890,COLUMN(HeadJournal!B$1),0),"")</f>
        <v>0</v>
      </c>
      <c r="C500" s="94" t="str">
        <f>IFERROR(VLOOKUP($A500,HeadJournal!$A$1:$NTR$890,COLUMN(HeadJournal!C$1),0),"")</f>
        <v>OZON_AV</v>
      </c>
      <c r="D500" s="125" t="str">
        <f>IFERROR(VLOOKUP($A500,HeadJournal!$A$1:$NTR$890,COLUMN(HeadJournal!D$1),0),"")</f>
        <v>Доставлен</v>
      </c>
      <c r="E500" s="95">
        <f>IFERROR(VLOOKUP($A500,HeadJournal!$A$1:$NTR$890,COLUMN(HeadJournal!G$1),0),"")</f>
        <v>44898</v>
      </c>
      <c r="F500" s="95" t="str">
        <f t="shared" si="38"/>
        <v>2022 12</v>
      </c>
      <c r="G500" s="96" t="s">
        <v>7</v>
      </c>
      <c r="H500" s="160" t="s">
        <v>3620</v>
      </c>
      <c r="I500" s="96" t="str">
        <f t="shared" si="39"/>
        <v>CeraVe</v>
      </c>
      <c r="J500" s="97" t="s">
        <v>240</v>
      </c>
      <c r="K500" s="29">
        <v>696</v>
      </c>
      <c r="L500" s="29"/>
      <c r="M500" s="30">
        <f>IFERROR(VLOOKUP($A500,HeadJournal!$A$1:$J$890,COLUMN(HeadJournal!I$1),0)*($K500+$L500)/(SUMIF($A:$A,$A500,$K:$K)+SUMIF($A:$A,$A500,$L:$L)),0)</f>
        <v>0</v>
      </c>
      <c r="N500" s="30">
        <f>IFERROR((VLOOKUP($A500,HeadJournal!$A$1:$K$890,COLUMN(HeadJournal!K$1),0)-VLOOKUP($A500,HeadJournal!$A$1:$K$890,COLUMN(HeadJournal!J$1),0))*($K500+$L500)/(SUMIF($A:$A,$A500,$K:$K)+SUMIF($A:$A,$A500,$L:$L)),0)</f>
        <v>0</v>
      </c>
      <c r="O500" s="30">
        <f>IFERROR((VLOOKUP($A500,HeadJournal!$A$1:$L$890,COLUMN(HeadJournal!L$1),0)*($K500+$L500)/(SUMIF($A:$A,$A500,$K:$K)+SUMIF($A:$A,$A500,$L:$L)))/VLOOKUP($A500,HeadJournal!$A$1:$L$890,COLUMN(HeadJournal!H$1),0),0)</f>
        <v>104.39999999999999</v>
      </c>
      <c r="P500" s="30">
        <f>IFERROR(SUM(K500:O500)*VLOOKUP($A500,HeadJournal!$A$1:$L$890,COLUMN(HeadJournal!H$1),0),0)</f>
        <v>800.4</v>
      </c>
      <c r="Q500" s="29"/>
      <c r="R500" s="31"/>
      <c r="S500" s="31"/>
      <c r="T500" s="95" t="str">
        <f t="shared" si="40"/>
        <v/>
      </c>
      <c r="U500" s="32">
        <f t="shared" si="36"/>
        <v>-800.4</v>
      </c>
      <c r="V500" s="22" t="str">
        <f t="shared" si="37"/>
        <v/>
      </c>
      <c r="X500" s="33"/>
      <c r="Y500" s="33"/>
    </row>
    <row r="501" spans="1:25" x14ac:dyDescent="0.2">
      <c r="A501" s="93" t="s">
        <v>239</v>
      </c>
      <c r="B501" s="94">
        <f>IFERROR(VLOOKUP($A501,HeadJournal!$A$1:$NTR$890,COLUMN(HeadJournal!B$1),0),"")</f>
        <v>0</v>
      </c>
      <c r="C501" s="94" t="str">
        <f>IFERROR(VLOOKUP($A501,HeadJournal!$A$1:$NTR$890,COLUMN(HeadJournal!C$1),0),"")</f>
        <v>OZON_AV</v>
      </c>
      <c r="D501" s="125" t="str">
        <f>IFERROR(VLOOKUP($A501,HeadJournal!$A$1:$NTR$890,COLUMN(HeadJournal!D$1),0),"")</f>
        <v>Доставлен</v>
      </c>
      <c r="E501" s="95">
        <f>IFERROR(VLOOKUP($A501,HeadJournal!$A$1:$NTR$890,COLUMN(HeadJournal!G$1),0),"")</f>
        <v>44898</v>
      </c>
      <c r="F501" s="95" t="str">
        <f t="shared" si="38"/>
        <v>2022 12</v>
      </c>
      <c r="G501" s="96" t="s">
        <v>7</v>
      </c>
      <c r="H501" s="160" t="s">
        <v>3728</v>
      </c>
      <c r="I501" s="96" t="str">
        <f t="shared" si="39"/>
        <v>CeraVe</v>
      </c>
      <c r="J501" s="97" t="s">
        <v>241</v>
      </c>
      <c r="K501" s="29">
        <v>672</v>
      </c>
      <c r="L501" s="29"/>
      <c r="M501" s="30">
        <f>IFERROR(VLOOKUP($A501,HeadJournal!$A$1:$J$890,COLUMN(HeadJournal!I$1),0)*($K501+$L501)/(SUMIF($A:$A,$A501,$K:$K)+SUMIF($A:$A,$A501,$L:$L)),0)</f>
        <v>0</v>
      </c>
      <c r="N501" s="30">
        <f>IFERROR((VLOOKUP($A501,HeadJournal!$A$1:$K$890,COLUMN(HeadJournal!K$1),0)-VLOOKUP($A501,HeadJournal!$A$1:$K$890,COLUMN(HeadJournal!J$1),0))*($K501+$L501)/(SUMIF($A:$A,$A501,$K:$K)+SUMIF($A:$A,$A501,$L:$L)),0)</f>
        <v>0</v>
      </c>
      <c r="O501" s="30">
        <f>IFERROR((VLOOKUP($A501,HeadJournal!$A$1:$L$890,COLUMN(HeadJournal!L$1),0)*($K501+$L501)/(SUMIF($A:$A,$A501,$K:$K)+SUMIF($A:$A,$A501,$L:$L)))/VLOOKUP($A501,HeadJournal!$A$1:$L$890,COLUMN(HeadJournal!H$1),0),0)</f>
        <v>100.8</v>
      </c>
      <c r="P501" s="30">
        <f>IFERROR(SUM(K501:O501)*VLOOKUP($A501,HeadJournal!$A$1:$L$890,COLUMN(HeadJournal!H$1),0),0)</f>
        <v>772.8</v>
      </c>
      <c r="Q501" s="29"/>
      <c r="R501" s="31"/>
      <c r="S501" s="31"/>
      <c r="T501" s="95" t="str">
        <f t="shared" si="40"/>
        <v/>
      </c>
      <c r="U501" s="32">
        <f t="shared" si="36"/>
        <v>-772.8</v>
      </c>
      <c r="V501" s="22" t="str">
        <f t="shared" si="37"/>
        <v/>
      </c>
      <c r="X501" s="33"/>
      <c r="Y501" s="33"/>
    </row>
    <row r="502" spans="1:25" x14ac:dyDescent="0.2">
      <c r="A502" s="93" t="s">
        <v>242</v>
      </c>
      <c r="B502" s="94">
        <f>IFERROR(VLOOKUP($A502,HeadJournal!$A$1:$NTR$890,COLUMN(HeadJournal!B$1),0),"")</f>
        <v>0</v>
      </c>
      <c r="C502" s="94" t="str">
        <f>IFERROR(VLOOKUP($A502,HeadJournal!$A$1:$NTR$890,COLUMN(HeadJournal!C$1),0),"")</f>
        <v>OZON_AV</v>
      </c>
      <c r="D502" s="125" t="str">
        <f>IFERROR(VLOOKUP($A502,HeadJournal!$A$1:$NTR$890,COLUMN(HeadJournal!D$1),0),"")</f>
        <v>Доставлен</v>
      </c>
      <c r="E502" s="95">
        <f>IFERROR(VLOOKUP($A502,HeadJournal!$A$1:$NTR$890,COLUMN(HeadJournal!G$1),0),"")</f>
        <v>44903</v>
      </c>
      <c r="F502" s="95" t="str">
        <f t="shared" si="38"/>
        <v>2022 12</v>
      </c>
      <c r="G502" s="96" t="s">
        <v>5</v>
      </c>
      <c r="H502" s="160" t="s">
        <v>3729</v>
      </c>
      <c r="I502" s="96" t="str">
        <f t="shared" si="39"/>
        <v>OstroVit</v>
      </c>
      <c r="J502" s="97" t="s">
        <v>243</v>
      </c>
      <c r="K502" s="29">
        <v>329</v>
      </c>
      <c r="L502" s="29"/>
      <c r="M502" s="30">
        <f>IFERROR(VLOOKUP($A502,HeadJournal!$A$1:$J$890,COLUMN(HeadJournal!I$1),0)*($K502+$L502)/(SUMIF($A:$A,$A502,$K:$K)+SUMIF($A:$A,$A502,$L:$L)),0)</f>
        <v>0</v>
      </c>
      <c r="N502" s="30">
        <f>IFERROR((VLOOKUP($A502,HeadJournal!$A$1:$K$890,COLUMN(HeadJournal!K$1),0)-VLOOKUP($A502,HeadJournal!$A$1:$K$890,COLUMN(HeadJournal!J$1),0))*($K502+$L502)/(SUMIF($A:$A,$A502,$K:$K)+SUMIF($A:$A,$A502,$L:$L)),0)</f>
        <v>0</v>
      </c>
      <c r="O502" s="30">
        <f>IFERROR((VLOOKUP($A502,HeadJournal!$A$1:$L$890,COLUMN(HeadJournal!L$1),0)*($K502+$L502)/(SUMIF($A:$A,$A502,$K:$K)+SUMIF($A:$A,$A502,$L:$L)))/VLOOKUP($A502,HeadJournal!$A$1:$L$890,COLUMN(HeadJournal!H$1),0),0)</f>
        <v>49.35</v>
      </c>
      <c r="P502" s="30">
        <f>IFERROR(SUM(K502:O502)*VLOOKUP($A502,HeadJournal!$A$1:$L$890,COLUMN(HeadJournal!H$1),0),0)</f>
        <v>378.35</v>
      </c>
      <c r="Q502" s="29">
        <v>1000</v>
      </c>
      <c r="R502" s="31">
        <v>44917</v>
      </c>
      <c r="S502" s="31" t="s">
        <v>3121</v>
      </c>
      <c r="T502" s="95" t="str">
        <f t="shared" si="40"/>
        <v>2022 12</v>
      </c>
      <c r="U502" s="32">
        <f t="shared" si="36"/>
        <v>621.65</v>
      </c>
      <c r="V502" s="22">
        <f t="shared" si="37"/>
        <v>1.6430553720100434</v>
      </c>
      <c r="X502" s="33"/>
      <c r="Y502" s="33"/>
    </row>
    <row r="503" spans="1:25" x14ac:dyDescent="0.2">
      <c r="A503" s="93" t="s">
        <v>242</v>
      </c>
      <c r="B503" s="94">
        <f>IFERROR(VLOOKUP($A503,HeadJournal!$A$1:$NTR$890,COLUMN(HeadJournal!B$1),0),"")</f>
        <v>0</v>
      </c>
      <c r="C503" s="94" t="str">
        <f>IFERROR(VLOOKUP($A503,HeadJournal!$A$1:$NTR$890,COLUMN(HeadJournal!C$1),0),"")</f>
        <v>OZON_AV</v>
      </c>
      <c r="D503" s="125" t="str">
        <f>IFERROR(VLOOKUP($A503,HeadJournal!$A$1:$NTR$890,COLUMN(HeadJournal!D$1),0),"")</f>
        <v>Доставлен</v>
      </c>
      <c r="E503" s="95">
        <f>IFERROR(VLOOKUP($A503,HeadJournal!$A$1:$NTR$890,COLUMN(HeadJournal!G$1),0),"")</f>
        <v>44903</v>
      </c>
      <c r="F503" s="95" t="str">
        <f t="shared" si="38"/>
        <v>2022 12</v>
      </c>
      <c r="G503" s="96" t="s">
        <v>5</v>
      </c>
      <c r="H503" s="160" t="s">
        <v>3729</v>
      </c>
      <c r="I503" s="96" t="str">
        <f t="shared" si="39"/>
        <v>OstroVit</v>
      </c>
      <c r="J503" s="97" t="s">
        <v>243</v>
      </c>
      <c r="K503" s="29">
        <v>329</v>
      </c>
      <c r="L503" s="29"/>
      <c r="M503" s="30">
        <f>IFERROR(VLOOKUP($A503,HeadJournal!$A$1:$J$890,COLUMN(HeadJournal!I$1),0)*($K503+$L503)/(SUMIF($A:$A,$A503,$K:$K)+SUMIF($A:$A,$A503,$L:$L)),0)</f>
        <v>0</v>
      </c>
      <c r="N503" s="30">
        <f>IFERROR((VLOOKUP($A503,HeadJournal!$A$1:$K$890,COLUMN(HeadJournal!K$1),0)-VLOOKUP($A503,HeadJournal!$A$1:$K$890,COLUMN(HeadJournal!J$1),0))*($K503+$L503)/(SUMIF($A:$A,$A503,$K:$K)+SUMIF($A:$A,$A503,$L:$L)),0)</f>
        <v>0</v>
      </c>
      <c r="O503" s="30">
        <f>IFERROR((VLOOKUP($A503,HeadJournal!$A$1:$L$890,COLUMN(HeadJournal!L$1),0)*($K503+$L503)/(SUMIF($A:$A,$A503,$K:$K)+SUMIF($A:$A,$A503,$L:$L)))/VLOOKUP($A503,HeadJournal!$A$1:$L$890,COLUMN(HeadJournal!H$1),0),0)</f>
        <v>49.35</v>
      </c>
      <c r="P503" s="30">
        <f>IFERROR(SUM(K503:O503)*VLOOKUP($A503,HeadJournal!$A$1:$L$890,COLUMN(HeadJournal!H$1),0),0)</f>
        <v>378.35</v>
      </c>
      <c r="Q503" s="29">
        <v>900</v>
      </c>
      <c r="R503" s="31">
        <v>44945</v>
      </c>
      <c r="S503" s="31" t="s">
        <v>3121</v>
      </c>
      <c r="T503" s="95" t="str">
        <f t="shared" si="40"/>
        <v>2023 01</v>
      </c>
      <c r="U503" s="32">
        <f t="shared" si="36"/>
        <v>521.65</v>
      </c>
      <c r="V503" s="22">
        <f t="shared" si="37"/>
        <v>1.378749834809039</v>
      </c>
      <c r="X503" s="33"/>
      <c r="Y503" s="33"/>
    </row>
    <row r="504" spans="1:25" x14ac:dyDescent="0.2">
      <c r="A504" s="93" t="s">
        <v>244</v>
      </c>
      <c r="B504" s="94">
        <f>IFERROR(VLOOKUP($A504,HeadJournal!$A$1:$NTR$890,COLUMN(HeadJournal!B$1),0),"")</f>
        <v>0</v>
      </c>
      <c r="C504" s="94" t="str">
        <f>IFERROR(VLOOKUP($A504,HeadJournal!$A$1:$NTR$890,COLUMN(HeadJournal!C$1),0),"")</f>
        <v>OZON_AV</v>
      </c>
      <c r="D504" s="125" t="str">
        <f>IFERROR(VLOOKUP($A504,HeadJournal!$A$1:$NTR$890,COLUMN(HeadJournal!D$1),0),"")</f>
        <v>Доставлен</v>
      </c>
      <c r="E504" s="95">
        <f>IFERROR(VLOOKUP($A504,HeadJournal!$A$1:$NTR$890,COLUMN(HeadJournal!G$1),0),"")</f>
        <v>44909</v>
      </c>
      <c r="F504" s="95" t="str">
        <f t="shared" si="38"/>
        <v>2022 12</v>
      </c>
      <c r="G504" s="96" t="s">
        <v>6</v>
      </c>
      <c r="H504" s="160" t="str">
        <f>RIGHT(Journal!$J504,9)</f>
        <v>750910268</v>
      </c>
      <c r="I504" s="96" t="str">
        <f t="shared" si="39"/>
        <v>Nutrex Research</v>
      </c>
      <c r="J504" s="97" t="s">
        <v>3609</v>
      </c>
      <c r="K504" s="29">
        <v>1297</v>
      </c>
      <c r="L504" s="29"/>
      <c r="M504" s="30">
        <f>IFERROR(VLOOKUP($A504,HeadJournal!$A$1:$J$890,COLUMN(HeadJournal!I$1),0)*($K504+$L504)/(SUMIF($A:$A,$A504,$K:$K)+SUMIF($A:$A,$A504,$L:$L)),0)</f>
        <v>0</v>
      </c>
      <c r="N504" s="30">
        <f>IFERROR((VLOOKUP($A504,HeadJournal!$A$1:$K$890,COLUMN(HeadJournal!K$1),0)-VLOOKUP($A504,HeadJournal!$A$1:$K$890,COLUMN(HeadJournal!J$1),0))*($K504+$L504)/(SUMIF($A:$A,$A504,$K:$K)+SUMIF($A:$A,$A504,$L:$L)),0)</f>
        <v>0</v>
      </c>
      <c r="O504" s="30">
        <f>IFERROR((VLOOKUP($A504,HeadJournal!$A$1:$L$890,COLUMN(HeadJournal!L$1),0)*($K504+$L504)/(SUMIF($A:$A,$A504,$K:$K)+SUMIF($A:$A,$A504,$L:$L)))/VLOOKUP($A504,HeadJournal!$A$1:$L$890,COLUMN(HeadJournal!H$1),0),0)</f>
        <v>194.54999999999998</v>
      </c>
      <c r="P504" s="30">
        <f>IFERROR(SUM(K504:O504)*VLOOKUP($A504,HeadJournal!$A$1:$L$890,COLUMN(HeadJournal!H$1),0),0)</f>
        <v>1491.55</v>
      </c>
      <c r="Q504" s="29">
        <v>2000</v>
      </c>
      <c r="R504" s="31">
        <v>44941</v>
      </c>
      <c r="S504" s="31" t="s">
        <v>3121</v>
      </c>
      <c r="T504" s="95" t="str">
        <f t="shared" si="40"/>
        <v>2023 01</v>
      </c>
      <c r="U504" s="32">
        <f t="shared" si="36"/>
        <v>508.45000000000005</v>
      </c>
      <c r="V504" s="22">
        <f t="shared" si="37"/>
        <v>0.34088699674834905</v>
      </c>
      <c r="X504" s="33"/>
      <c r="Y504" s="33"/>
    </row>
    <row r="505" spans="1:25" x14ac:dyDescent="0.2">
      <c r="A505" s="93" t="s">
        <v>245</v>
      </c>
      <c r="B505" s="94">
        <f>IFERROR(VLOOKUP($A505,HeadJournal!$A$1:$NTR$890,COLUMN(HeadJournal!B$1),0),"")</f>
        <v>0</v>
      </c>
      <c r="C505" s="94" t="str">
        <f>IFERROR(VLOOKUP($A505,HeadJournal!$A$1:$NTR$890,COLUMN(HeadJournal!C$1),0),"")</f>
        <v>CoralClub_OA</v>
      </c>
      <c r="D505" s="125" t="str">
        <f>IFERROR(VLOOKUP($A505,HeadJournal!$A$1:$NTR$890,COLUMN(HeadJournal!D$1),0),"")</f>
        <v>Доставлен</v>
      </c>
      <c r="E505" s="95">
        <f>IFERROR(VLOOKUP($A505,HeadJournal!$A$1:$NTR$890,COLUMN(HeadJournal!G$1),0),"")</f>
        <v>44906</v>
      </c>
      <c r="F505" s="95" t="str">
        <f t="shared" si="38"/>
        <v>2022 12</v>
      </c>
      <c r="G505" s="96" t="s">
        <v>5</v>
      </c>
      <c r="H505" s="160" t="str">
        <f>RIGHT(Journal!$J505,9)</f>
        <v>000091881</v>
      </c>
      <c r="I505" s="96" t="str">
        <f t="shared" si="39"/>
        <v>CoralClub</v>
      </c>
      <c r="J505" s="97" t="s">
        <v>246</v>
      </c>
      <c r="K505" s="29">
        <v>1200</v>
      </c>
      <c r="L505" s="29"/>
      <c r="M505" s="30">
        <f>IFERROR(VLOOKUP($A505,HeadJournal!$A$1:$J$890,COLUMN(HeadJournal!I$1),0)*($K505+$L505)/(SUMIF($A:$A,$A505,$K:$K)+SUMIF($A:$A,$A505,$L:$L)),0)</f>
        <v>0</v>
      </c>
      <c r="N505" s="30">
        <f>IFERROR((VLOOKUP($A505,HeadJournal!$A$1:$K$890,COLUMN(HeadJournal!K$1),0)-VLOOKUP($A505,HeadJournal!$A$1:$K$890,COLUMN(HeadJournal!J$1),0))*($K505+$L505)/(SUMIF($A:$A,$A505,$K:$K)+SUMIF($A:$A,$A505,$L:$L)),0)</f>
        <v>-45</v>
      </c>
      <c r="O505" s="30">
        <f>IFERROR((VLOOKUP($A505,HeadJournal!$A$1:$L$890,COLUMN(HeadJournal!L$1),0)*($K505+$L505)/(SUMIF($A:$A,$A505,$K:$K)+SUMIF($A:$A,$A505,$L:$L)))/VLOOKUP($A505,HeadJournal!$A$1:$L$890,COLUMN(HeadJournal!H$1),0),0)</f>
        <v>0</v>
      </c>
      <c r="P505" s="30">
        <f>IFERROR(SUM(K505:O505)*VLOOKUP($A505,HeadJournal!$A$1:$L$890,COLUMN(HeadJournal!H$1),0),0)</f>
        <v>1155</v>
      </c>
      <c r="Q505" s="29">
        <v>1500</v>
      </c>
      <c r="R505" s="31">
        <v>44944</v>
      </c>
      <c r="S505" s="31" t="s">
        <v>3121</v>
      </c>
      <c r="T505" s="95" t="str">
        <f t="shared" si="40"/>
        <v>2023 01</v>
      </c>
      <c r="U505" s="32">
        <f t="shared" si="36"/>
        <v>345</v>
      </c>
      <c r="V505" s="22">
        <f t="shared" si="37"/>
        <v>0.29870129870129869</v>
      </c>
      <c r="X505" s="33"/>
      <c r="Y505" s="33"/>
    </row>
    <row r="506" spans="1:25" x14ac:dyDescent="0.2">
      <c r="A506" s="93" t="s">
        <v>245</v>
      </c>
      <c r="B506" s="94">
        <f>IFERROR(VLOOKUP($A506,HeadJournal!$A$1:$NTR$890,COLUMN(HeadJournal!B$1),0),"")</f>
        <v>0</v>
      </c>
      <c r="C506" s="94" t="str">
        <f>IFERROR(VLOOKUP($A506,HeadJournal!$A$1:$NTR$890,COLUMN(HeadJournal!C$1),0),"")</f>
        <v>CoralClub_OA</v>
      </c>
      <c r="D506" s="125" t="str">
        <f>IFERROR(VLOOKUP($A506,HeadJournal!$A$1:$NTR$890,COLUMN(HeadJournal!D$1),0),"")</f>
        <v>Доставлен</v>
      </c>
      <c r="E506" s="95">
        <f>IFERROR(VLOOKUP($A506,HeadJournal!$A$1:$NTR$890,COLUMN(HeadJournal!G$1),0),"")</f>
        <v>44906</v>
      </c>
      <c r="F506" s="95" t="str">
        <f t="shared" si="38"/>
        <v>2022 12</v>
      </c>
      <c r="G506" s="96" t="s">
        <v>5</v>
      </c>
      <c r="H506" s="160" t="str">
        <f>RIGHT(Journal!$J506,9)</f>
        <v>000002125</v>
      </c>
      <c r="I506" s="96" t="str">
        <f t="shared" si="39"/>
        <v>CoralClub</v>
      </c>
      <c r="J506" s="97" t="s">
        <v>247</v>
      </c>
      <c r="K506" s="29">
        <v>960</v>
      </c>
      <c r="L506" s="29"/>
      <c r="M506" s="30">
        <f>IFERROR(VLOOKUP($A506,HeadJournal!$A$1:$J$890,COLUMN(HeadJournal!I$1),0)*($K506+$L506)/(SUMIF($A:$A,$A506,$K:$K)+SUMIF($A:$A,$A506,$L:$L)),0)</f>
        <v>0</v>
      </c>
      <c r="N506" s="30">
        <f>IFERROR((VLOOKUP($A506,HeadJournal!$A$1:$K$890,COLUMN(HeadJournal!K$1),0)-VLOOKUP($A506,HeadJournal!$A$1:$K$890,COLUMN(HeadJournal!J$1),0))*($K506+$L506)/(SUMIF($A:$A,$A506,$K:$K)+SUMIF($A:$A,$A506,$L:$L)),0)</f>
        <v>-36</v>
      </c>
      <c r="O506" s="30">
        <f>IFERROR((VLOOKUP($A506,HeadJournal!$A$1:$L$890,COLUMN(HeadJournal!L$1),0)*($K506+$L506)/(SUMIF($A:$A,$A506,$K:$K)+SUMIF($A:$A,$A506,$L:$L)))/VLOOKUP($A506,HeadJournal!$A$1:$L$890,COLUMN(HeadJournal!H$1),0),0)</f>
        <v>0</v>
      </c>
      <c r="P506" s="30">
        <f>IFERROR(SUM(K506:O506)*VLOOKUP($A506,HeadJournal!$A$1:$L$890,COLUMN(HeadJournal!H$1),0),0)</f>
        <v>924</v>
      </c>
      <c r="Q506" s="29">
        <v>1250</v>
      </c>
      <c r="R506" s="31">
        <v>44909</v>
      </c>
      <c r="S506" s="31" t="s">
        <v>3121</v>
      </c>
      <c r="T506" s="95" t="str">
        <f t="shared" si="40"/>
        <v>2022 12</v>
      </c>
      <c r="U506" s="32">
        <f t="shared" si="36"/>
        <v>326</v>
      </c>
      <c r="V506" s="22">
        <f t="shared" si="37"/>
        <v>0.3528138528138528</v>
      </c>
      <c r="X506" s="33"/>
      <c r="Y506" s="33"/>
    </row>
    <row r="507" spans="1:25" x14ac:dyDescent="0.2">
      <c r="A507" s="93" t="s">
        <v>248</v>
      </c>
      <c r="B507" s="94">
        <f>IFERROR(VLOOKUP($A507,HeadJournal!$A$1:$NTR$890,COLUMN(HeadJournal!B$1),0),"")</f>
        <v>0</v>
      </c>
      <c r="C507" s="94" t="str">
        <f>IFERROR(VLOOKUP($A507,HeadJournal!$A$1:$NTR$890,COLUMN(HeadJournal!C$1),0),"")</f>
        <v>CoralClub_AV</v>
      </c>
      <c r="D507" s="125" t="str">
        <f>IFERROR(VLOOKUP($A507,HeadJournal!$A$1:$NTR$890,COLUMN(HeadJournal!D$1),0),"")</f>
        <v>Доставлен</v>
      </c>
      <c r="E507" s="95">
        <f>IFERROR(VLOOKUP($A507,HeadJournal!$A$1:$NTR$890,COLUMN(HeadJournal!G$1),0),"")</f>
        <v>44906</v>
      </c>
      <c r="F507" s="95" t="str">
        <f t="shared" si="38"/>
        <v>2022 12</v>
      </c>
      <c r="G507" s="96" t="s">
        <v>5</v>
      </c>
      <c r="H507" s="160" t="str">
        <f>RIGHT(Journal!$J507,9)</f>
        <v>000001405</v>
      </c>
      <c r="I507" s="96" t="str">
        <f t="shared" si="39"/>
        <v>CoralClub</v>
      </c>
      <c r="J507" s="97" t="s">
        <v>249</v>
      </c>
      <c r="K507" s="29">
        <v>845</v>
      </c>
      <c r="L507" s="29"/>
      <c r="M507" s="30">
        <f>IFERROR(VLOOKUP($A507,HeadJournal!$A$1:$J$890,COLUMN(HeadJournal!I$1),0)*($K507+$L507)/(SUMIF($A:$A,$A507,$K:$K)+SUMIF($A:$A,$A507,$L:$L)),0)</f>
        <v>0</v>
      </c>
      <c r="N507" s="30">
        <f>IFERROR((VLOOKUP($A507,HeadJournal!$A$1:$K$890,COLUMN(HeadJournal!K$1),0)-VLOOKUP($A507,HeadJournal!$A$1:$K$890,COLUMN(HeadJournal!J$1),0))*($K507+$L507)/(SUMIF($A:$A,$A507,$K:$K)+SUMIF($A:$A,$A507,$L:$L)),0)</f>
        <v>18.287147004486673</v>
      </c>
      <c r="O507" s="30">
        <f>IFERROR((VLOOKUP($A507,HeadJournal!$A$1:$L$890,COLUMN(HeadJournal!L$1),0)*($K507+$L507)/(SUMIF($A:$A,$A507,$K:$K)+SUMIF($A:$A,$A507,$L:$L)))/VLOOKUP($A507,HeadJournal!$A$1:$L$890,COLUMN(HeadJournal!H$1),0),0)</f>
        <v>0</v>
      </c>
      <c r="P507" s="30">
        <f>IFERROR(SUM(K507:O507)*VLOOKUP($A507,HeadJournal!$A$1:$L$890,COLUMN(HeadJournal!H$1),0),0)</f>
        <v>863.28714700448666</v>
      </c>
      <c r="Q507" s="29">
        <v>1200</v>
      </c>
      <c r="R507" s="31">
        <v>44913</v>
      </c>
      <c r="S507" s="31" t="s">
        <v>3121</v>
      </c>
      <c r="T507" s="95" t="str">
        <f t="shared" si="40"/>
        <v>2022 12</v>
      </c>
      <c r="U507" s="32">
        <f t="shared" si="36"/>
        <v>336.71285299551334</v>
      </c>
      <c r="V507" s="22">
        <f t="shared" si="37"/>
        <v>0.39003575364682613</v>
      </c>
      <c r="X507" s="33"/>
      <c r="Y507" s="33"/>
    </row>
    <row r="508" spans="1:25" x14ac:dyDescent="0.2">
      <c r="A508" s="93" t="s">
        <v>248</v>
      </c>
      <c r="B508" s="94">
        <f>IFERROR(VLOOKUP($A508,HeadJournal!$A$1:$NTR$890,COLUMN(HeadJournal!B$1),0),"")</f>
        <v>0</v>
      </c>
      <c r="C508" s="94" t="str">
        <f>IFERROR(VLOOKUP($A508,HeadJournal!$A$1:$NTR$890,COLUMN(HeadJournal!C$1),0),"")</f>
        <v>CoralClub_AV</v>
      </c>
      <c r="D508" s="125" t="str">
        <f>IFERROR(VLOOKUP($A508,HeadJournal!$A$1:$NTR$890,COLUMN(HeadJournal!D$1),0),"")</f>
        <v>Доставлен</v>
      </c>
      <c r="E508" s="95">
        <f>IFERROR(VLOOKUP($A508,HeadJournal!$A$1:$NTR$890,COLUMN(HeadJournal!G$1),0),"")</f>
        <v>44906</v>
      </c>
      <c r="F508" s="95" t="str">
        <f t="shared" si="38"/>
        <v>2022 12</v>
      </c>
      <c r="G508" s="96" t="s">
        <v>5</v>
      </c>
      <c r="H508" s="160" t="str">
        <f>RIGHT(Journal!$J508,9)</f>
        <v>000091865</v>
      </c>
      <c r="I508" s="96" t="str">
        <f t="shared" si="39"/>
        <v>CoralClub</v>
      </c>
      <c r="J508" s="97" t="s">
        <v>250</v>
      </c>
      <c r="K508" s="29">
        <v>1024</v>
      </c>
      <c r="L508" s="29"/>
      <c r="M508" s="30">
        <f>IFERROR(VLOOKUP($A508,HeadJournal!$A$1:$J$890,COLUMN(HeadJournal!I$1),0)*($K508+$L508)/(SUMIF($A:$A,$A508,$K:$K)+SUMIF($A:$A,$A508,$L:$L)),0)</f>
        <v>0</v>
      </c>
      <c r="N508" s="30">
        <f>IFERROR((VLOOKUP($A508,HeadJournal!$A$1:$K$890,COLUMN(HeadJournal!K$1),0)-VLOOKUP($A508,HeadJournal!$A$1:$K$890,COLUMN(HeadJournal!J$1),0))*($K508+$L508)/(SUMIF($A:$A,$A508,$K:$K)+SUMIF($A:$A,$A508,$L:$L)),0)</f>
        <v>22.160992346265505</v>
      </c>
      <c r="O508" s="30">
        <f>IFERROR((VLOOKUP($A508,HeadJournal!$A$1:$L$890,COLUMN(HeadJournal!L$1),0)*($K508+$L508)/(SUMIF($A:$A,$A508,$K:$K)+SUMIF($A:$A,$A508,$L:$L)))/VLOOKUP($A508,HeadJournal!$A$1:$L$890,COLUMN(HeadJournal!H$1),0),0)</f>
        <v>0</v>
      </c>
      <c r="P508" s="30">
        <f>IFERROR(SUM(K508:O508)*VLOOKUP($A508,HeadJournal!$A$1:$L$890,COLUMN(HeadJournal!H$1),0),0)</f>
        <v>1046.1609923462654</v>
      </c>
      <c r="Q508" s="29">
        <v>1350</v>
      </c>
      <c r="R508" s="31">
        <v>44909</v>
      </c>
      <c r="S508" s="31" t="s">
        <v>3121</v>
      </c>
      <c r="T508" s="95" t="str">
        <f t="shared" si="40"/>
        <v>2022 12</v>
      </c>
      <c r="U508" s="32">
        <f t="shared" si="36"/>
        <v>303.8390076537346</v>
      </c>
      <c r="V508" s="22">
        <f t="shared" si="37"/>
        <v>0.29043236163136155</v>
      </c>
      <c r="X508" s="33"/>
      <c r="Y508" s="33"/>
    </row>
    <row r="509" spans="1:25" x14ac:dyDescent="0.2">
      <c r="A509" s="93" t="s">
        <v>248</v>
      </c>
      <c r="B509" s="94">
        <f>IFERROR(VLOOKUP($A509,HeadJournal!$A$1:$NTR$890,COLUMN(HeadJournal!B$1),0),"")</f>
        <v>0</v>
      </c>
      <c r="C509" s="94" t="str">
        <f>IFERROR(VLOOKUP($A509,HeadJournal!$A$1:$NTR$890,COLUMN(HeadJournal!C$1),0),"")</f>
        <v>CoralClub_AV</v>
      </c>
      <c r="D509" s="125" t="str">
        <f>IFERROR(VLOOKUP($A509,HeadJournal!$A$1:$NTR$890,COLUMN(HeadJournal!D$1),0),"")</f>
        <v>Доставлен</v>
      </c>
      <c r="E509" s="95">
        <f>IFERROR(VLOOKUP($A509,HeadJournal!$A$1:$NTR$890,COLUMN(HeadJournal!G$1),0),"")</f>
        <v>44906</v>
      </c>
      <c r="F509" s="95" t="str">
        <f t="shared" si="38"/>
        <v>2022 12</v>
      </c>
      <c r="G509" s="96" t="s">
        <v>5</v>
      </c>
      <c r="H509" s="160" t="str">
        <f>RIGHT(Journal!$J509,9)</f>
        <v>000091800</v>
      </c>
      <c r="I509" s="96" t="str">
        <f t="shared" si="39"/>
        <v>CoralClub</v>
      </c>
      <c r="J509" s="97" t="s">
        <v>251</v>
      </c>
      <c r="K509" s="29">
        <v>1920</v>
      </c>
      <c r="L509" s="29"/>
      <c r="M509" s="30">
        <f>IFERROR(VLOOKUP($A509,HeadJournal!$A$1:$J$890,COLUMN(HeadJournal!I$1),0)*($K509+$L509)/(SUMIF($A:$A,$A509,$K:$K)+SUMIF($A:$A,$A509,$L:$L)),0)</f>
        <v>0</v>
      </c>
      <c r="N509" s="30">
        <f>IFERROR((VLOOKUP($A509,HeadJournal!$A$1:$K$890,COLUMN(HeadJournal!K$1),0)-VLOOKUP($A509,HeadJournal!$A$1:$K$890,COLUMN(HeadJournal!J$1),0))*($K509+$L509)/(SUMIF($A:$A,$A509,$K:$K)+SUMIF($A:$A,$A509,$L:$L)),0)</f>
        <v>41.551860649247821</v>
      </c>
      <c r="O509" s="30">
        <f>IFERROR((VLOOKUP($A509,HeadJournal!$A$1:$L$890,COLUMN(HeadJournal!L$1),0)*($K509+$L509)/(SUMIF($A:$A,$A509,$K:$K)+SUMIF($A:$A,$A509,$L:$L)))/VLOOKUP($A509,HeadJournal!$A$1:$L$890,COLUMN(HeadJournal!H$1),0),0)</f>
        <v>0</v>
      </c>
      <c r="P509" s="30">
        <f>IFERROR(SUM(K509:O509)*VLOOKUP($A509,HeadJournal!$A$1:$L$890,COLUMN(HeadJournal!H$1),0),0)</f>
        <v>1961.5518606492478</v>
      </c>
      <c r="Q509" s="29">
        <v>2300</v>
      </c>
      <c r="R509" s="31">
        <v>44968</v>
      </c>
      <c r="S509" s="31" t="s">
        <v>3121</v>
      </c>
      <c r="T509" s="95" t="str">
        <f t="shared" si="40"/>
        <v>2023 02</v>
      </c>
      <c r="U509" s="32">
        <f t="shared" si="36"/>
        <v>338.44813935075217</v>
      </c>
      <c r="V509" s="22">
        <f t="shared" si="37"/>
        <v>0.17254101007491604</v>
      </c>
      <c r="X509" s="33"/>
      <c r="Y509" s="33"/>
    </row>
    <row r="510" spans="1:25" x14ac:dyDescent="0.2">
      <c r="A510" s="93" t="s">
        <v>252</v>
      </c>
      <c r="B510" s="94">
        <f>IFERROR(VLOOKUP($A510,HeadJournal!$A$1:$NTR$890,COLUMN(HeadJournal!B$1),0),"")</f>
        <v>0</v>
      </c>
      <c r="C510" s="94" t="str">
        <f>IFERROR(VLOOKUP($A510,HeadJournal!$A$1:$NTR$890,COLUMN(HeadJournal!C$1),0),"")</f>
        <v>OZON_AV</v>
      </c>
      <c r="D510" s="125" t="str">
        <f>IFERROR(VLOOKUP($A510,HeadJournal!$A$1:$NTR$890,COLUMN(HeadJournal!D$1),0),"")</f>
        <v>Доставлен</v>
      </c>
      <c r="E510" s="95">
        <f>IFERROR(VLOOKUP($A510,HeadJournal!$A$1:$NTR$890,COLUMN(HeadJournal!G$1),0),"")</f>
        <v>44909</v>
      </c>
      <c r="F510" s="95" t="str">
        <f t="shared" si="38"/>
        <v>2022 12</v>
      </c>
      <c r="G510" s="96" t="s">
        <v>6</v>
      </c>
      <c r="H510" s="160" t="str">
        <f>RIGHT(Journal!$J510,9)</f>
        <v>227237379</v>
      </c>
      <c r="I510" s="96" t="str">
        <f t="shared" si="39"/>
        <v>Ultimate Nutrition</v>
      </c>
      <c r="J510" s="97" t="s">
        <v>253</v>
      </c>
      <c r="K510" s="29">
        <v>2746</v>
      </c>
      <c r="L510" s="29"/>
      <c r="M510" s="30">
        <f>IFERROR(VLOOKUP($A510,HeadJournal!$A$1:$J$890,COLUMN(HeadJournal!I$1),0)*($K510+$L510)/(SUMIF($A:$A,$A510,$K:$K)+SUMIF($A:$A,$A510,$L:$L)),0)</f>
        <v>0</v>
      </c>
      <c r="N510" s="30">
        <f>IFERROR((VLOOKUP($A510,HeadJournal!$A$1:$K$890,COLUMN(HeadJournal!K$1),0)-VLOOKUP($A510,HeadJournal!$A$1:$K$890,COLUMN(HeadJournal!J$1),0))*($K510+$L510)/(SUMIF($A:$A,$A510,$K:$K)+SUMIF($A:$A,$A510,$L:$L)),0)</f>
        <v>0</v>
      </c>
      <c r="O510" s="30">
        <f>IFERROR((VLOOKUP($A510,HeadJournal!$A$1:$L$890,COLUMN(HeadJournal!L$1),0)*($K510+$L510)/(SUMIF($A:$A,$A510,$K:$K)+SUMIF($A:$A,$A510,$L:$L)))/VLOOKUP($A510,HeadJournal!$A$1:$L$890,COLUMN(HeadJournal!H$1),0),0)</f>
        <v>411.9</v>
      </c>
      <c r="P510" s="30">
        <f>IFERROR(SUM(K510:O510)*VLOOKUP($A510,HeadJournal!$A$1:$L$890,COLUMN(HeadJournal!H$1),0),0)</f>
        <v>3157.9</v>
      </c>
      <c r="Q510" s="29">
        <v>3700</v>
      </c>
      <c r="R510" s="31">
        <v>44917</v>
      </c>
      <c r="S510" s="31" t="s">
        <v>3121</v>
      </c>
      <c r="T510" s="95" t="str">
        <f t="shared" si="40"/>
        <v>2022 12</v>
      </c>
      <c r="U510" s="32">
        <f t="shared" si="36"/>
        <v>542.09999999999991</v>
      </c>
      <c r="V510" s="22">
        <f t="shared" si="37"/>
        <v>0.17166471389214347</v>
      </c>
      <c r="X510" s="33"/>
      <c r="Y510" s="33"/>
    </row>
    <row r="511" spans="1:25" x14ac:dyDescent="0.2">
      <c r="A511" s="93" t="s">
        <v>254</v>
      </c>
      <c r="B511" s="94">
        <f>IFERROR(VLOOKUP($A511,HeadJournal!$A$1:$NTR$890,COLUMN(HeadJournal!B$1),0),"")</f>
        <v>0</v>
      </c>
      <c r="C511" s="94" t="str">
        <f>IFERROR(VLOOKUP($A511,HeadJournal!$A$1:$NTR$890,COLUMN(HeadJournal!C$1),0),"")</f>
        <v>OZON_AV</v>
      </c>
      <c r="D511" s="125" t="str">
        <f>IFERROR(VLOOKUP($A511,HeadJournal!$A$1:$NTR$890,COLUMN(HeadJournal!D$1),0),"")</f>
        <v>Доставлен</v>
      </c>
      <c r="E511" s="95">
        <f>IFERROR(VLOOKUP($A511,HeadJournal!$A$1:$NTR$890,COLUMN(HeadJournal!G$1),0),"")</f>
        <v>44910</v>
      </c>
      <c r="F511" s="95" t="str">
        <f t="shared" si="38"/>
        <v>2022 12</v>
      </c>
      <c r="G511" s="96" t="s">
        <v>5</v>
      </c>
      <c r="H511" s="160" t="str">
        <f>RIGHT(Journal!$J511,9)</f>
        <v>355578901</v>
      </c>
      <c r="I511" s="96" t="str">
        <f t="shared" si="39"/>
        <v>Patanjali</v>
      </c>
      <c r="J511" s="97" t="s">
        <v>255</v>
      </c>
      <c r="K511" s="29">
        <v>435</v>
      </c>
      <c r="L511" s="29"/>
      <c r="M511" s="30">
        <f>IFERROR(VLOOKUP($A511,HeadJournal!$A$1:$J$890,COLUMN(HeadJournal!I$1),0)*($K511+$L511)/(SUMIF($A:$A,$A511,$K:$K)+SUMIF($A:$A,$A511,$L:$L)),0)</f>
        <v>0</v>
      </c>
      <c r="N511" s="30">
        <f>IFERROR((VLOOKUP($A511,HeadJournal!$A$1:$K$890,COLUMN(HeadJournal!K$1),0)-VLOOKUP($A511,HeadJournal!$A$1:$K$890,COLUMN(HeadJournal!J$1),0))*($K511+$L511)/(SUMIF($A:$A,$A511,$K:$K)+SUMIF($A:$A,$A511,$L:$L)),0)</f>
        <v>0</v>
      </c>
      <c r="O511" s="30">
        <f>IFERROR((VLOOKUP($A511,HeadJournal!$A$1:$L$890,COLUMN(HeadJournal!L$1),0)*($K511+$L511)/(SUMIF($A:$A,$A511,$K:$K)+SUMIF($A:$A,$A511,$L:$L)))/VLOOKUP($A511,HeadJournal!$A$1:$L$890,COLUMN(HeadJournal!H$1),0),0)</f>
        <v>65.25</v>
      </c>
      <c r="P511" s="30">
        <f>IFERROR(SUM(K511:O511)*VLOOKUP($A511,HeadJournal!$A$1:$L$890,COLUMN(HeadJournal!H$1),0),0)</f>
        <v>500.25</v>
      </c>
      <c r="Q511" s="29">
        <v>950</v>
      </c>
      <c r="R511" s="31">
        <v>44935</v>
      </c>
      <c r="S511" s="31" t="s">
        <v>3121</v>
      </c>
      <c r="T511" s="95" t="str">
        <f t="shared" si="40"/>
        <v>2023 01</v>
      </c>
      <c r="U511" s="32">
        <f t="shared" si="36"/>
        <v>449.75</v>
      </c>
      <c r="V511" s="22">
        <f t="shared" si="37"/>
        <v>0.89905047476261868</v>
      </c>
      <c r="X511" s="33"/>
      <c r="Y511" s="33"/>
    </row>
    <row r="512" spans="1:25" x14ac:dyDescent="0.2">
      <c r="A512" s="93" t="s">
        <v>256</v>
      </c>
      <c r="B512" s="94">
        <f>IFERROR(VLOOKUP($A512,HeadJournal!$A$1:$NTR$890,COLUMN(HeadJournal!B$1),0),"")</f>
        <v>0</v>
      </c>
      <c r="C512" s="94" t="str">
        <f>IFERROR(VLOOKUP($A512,HeadJournal!$A$1:$NTR$890,COLUMN(HeadJournal!C$1),0),"")</f>
        <v>OZON_AV</v>
      </c>
      <c r="D512" s="125" t="str">
        <f>IFERROR(VLOOKUP($A512,HeadJournal!$A$1:$NTR$890,COLUMN(HeadJournal!D$1),0),"")</f>
        <v>Доставлен</v>
      </c>
      <c r="E512" s="95">
        <f>IFERROR(VLOOKUP($A512,HeadJournal!$A$1:$NTR$890,COLUMN(HeadJournal!G$1),0),"")</f>
        <v>44911</v>
      </c>
      <c r="F512" s="95" t="str">
        <f t="shared" si="38"/>
        <v>2022 12</v>
      </c>
      <c r="G512" s="96" t="s">
        <v>5</v>
      </c>
      <c r="H512" s="160" t="str">
        <f>RIGHT(Journal!$J512,9)</f>
        <v>355578901</v>
      </c>
      <c r="I512" s="96" t="str">
        <f t="shared" si="39"/>
        <v>Patanjali</v>
      </c>
      <c r="J512" s="97" t="s">
        <v>255</v>
      </c>
      <c r="K512" s="29">
        <v>435</v>
      </c>
      <c r="L512" s="29"/>
      <c r="M512" s="30">
        <f>IFERROR(VLOOKUP($A512,HeadJournal!$A$1:$J$890,COLUMN(HeadJournal!I$1),0)*($K512+$L512)/(SUMIF($A:$A,$A512,$K:$K)+SUMIF($A:$A,$A512,$L:$L)),0)</f>
        <v>0</v>
      </c>
      <c r="N512" s="30">
        <f>IFERROR((VLOOKUP($A512,HeadJournal!$A$1:$K$890,COLUMN(HeadJournal!K$1),0)-VLOOKUP($A512,HeadJournal!$A$1:$K$890,COLUMN(HeadJournal!J$1),0))*($K512+$L512)/(SUMIF($A:$A,$A512,$K:$K)+SUMIF($A:$A,$A512,$L:$L)),0)</f>
        <v>0</v>
      </c>
      <c r="O512" s="30">
        <f>IFERROR((VLOOKUP($A512,HeadJournal!$A$1:$L$890,COLUMN(HeadJournal!L$1),0)*($K512+$L512)/(SUMIF($A:$A,$A512,$K:$K)+SUMIF($A:$A,$A512,$L:$L)))/VLOOKUP($A512,HeadJournal!$A$1:$L$890,COLUMN(HeadJournal!H$1),0),0)</f>
        <v>65.25</v>
      </c>
      <c r="P512" s="30">
        <f>IFERROR(SUM(K512:O512)*VLOOKUP($A512,HeadJournal!$A$1:$L$890,COLUMN(HeadJournal!H$1),0),0)</f>
        <v>500.25</v>
      </c>
      <c r="Q512" s="29">
        <v>900</v>
      </c>
      <c r="R512" s="31">
        <v>44945</v>
      </c>
      <c r="S512" s="31" t="s">
        <v>3121</v>
      </c>
      <c r="T512" s="95" t="str">
        <f t="shared" si="40"/>
        <v>2023 01</v>
      </c>
      <c r="U512" s="32">
        <f t="shared" si="36"/>
        <v>399.75</v>
      </c>
      <c r="V512" s="22">
        <f t="shared" si="37"/>
        <v>0.79910044977511241</v>
      </c>
      <c r="X512" s="33"/>
      <c r="Y512" s="33"/>
    </row>
    <row r="513" spans="1:25" x14ac:dyDescent="0.2">
      <c r="A513" s="93" t="s">
        <v>256</v>
      </c>
      <c r="B513" s="94">
        <f>IFERROR(VLOOKUP($A513,HeadJournal!$A$1:$NTR$890,COLUMN(HeadJournal!B$1),0),"")</f>
        <v>0</v>
      </c>
      <c r="C513" s="94" t="str">
        <f>IFERROR(VLOOKUP($A513,HeadJournal!$A$1:$NTR$890,COLUMN(HeadJournal!C$1),0),"")</f>
        <v>OZON_AV</v>
      </c>
      <c r="D513" s="125" t="str">
        <f>IFERROR(VLOOKUP($A513,HeadJournal!$A$1:$NTR$890,COLUMN(HeadJournal!D$1),0),"")</f>
        <v>Доставлен</v>
      </c>
      <c r="E513" s="95">
        <f>IFERROR(VLOOKUP($A513,HeadJournal!$A$1:$NTR$890,COLUMN(HeadJournal!G$1),0),"")</f>
        <v>44911</v>
      </c>
      <c r="F513" s="95" t="str">
        <f t="shared" si="38"/>
        <v>2022 12</v>
      </c>
      <c r="G513" s="96" t="s">
        <v>5</v>
      </c>
      <c r="H513" s="160" t="str">
        <f>RIGHT(Journal!$J513,9)</f>
        <v>355578901</v>
      </c>
      <c r="I513" s="96" t="str">
        <f t="shared" si="39"/>
        <v>Patanjali</v>
      </c>
      <c r="J513" s="97" t="s">
        <v>255</v>
      </c>
      <c r="K513" s="29">
        <v>435</v>
      </c>
      <c r="L513" s="29"/>
      <c r="M513" s="30">
        <f>IFERROR(VLOOKUP($A513,HeadJournal!$A$1:$J$890,COLUMN(HeadJournal!I$1),0)*($K513+$L513)/(SUMIF($A:$A,$A513,$K:$K)+SUMIF($A:$A,$A513,$L:$L)),0)</f>
        <v>0</v>
      </c>
      <c r="N513" s="30">
        <f>IFERROR((VLOOKUP($A513,HeadJournal!$A$1:$K$890,COLUMN(HeadJournal!K$1),0)-VLOOKUP($A513,HeadJournal!$A$1:$K$890,COLUMN(HeadJournal!J$1),0))*($K513+$L513)/(SUMIF($A:$A,$A513,$K:$K)+SUMIF($A:$A,$A513,$L:$L)),0)</f>
        <v>0</v>
      </c>
      <c r="O513" s="30">
        <f>IFERROR((VLOOKUP($A513,HeadJournal!$A$1:$L$890,COLUMN(HeadJournal!L$1),0)*($K513+$L513)/(SUMIF($A:$A,$A513,$K:$K)+SUMIF($A:$A,$A513,$L:$L)))/VLOOKUP($A513,HeadJournal!$A$1:$L$890,COLUMN(HeadJournal!H$1),0),0)</f>
        <v>65.25</v>
      </c>
      <c r="P513" s="30">
        <f>IFERROR(SUM(K513:O513)*VLOOKUP($A513,HeadJournal!$A$1:$L$890,COLUMN(HeadJournal!H$1),0),0)</f>
        <v>500.25</v>
      </c>
      <c r="Q513" s="29">
        <v>900</v>
      </c>
      <c r="R513" s="31">
        <v>44945</v>
      </c>
      <c r="S513" s="31" t="s">
        <v>3121</v>
      </c>
      <c r="T513" s="95" t="str">
        <f t="shared" si="40"/>
        <v>2023 01</v>
      </c>
      <c r="U513" s="32">
        <f t="shared" si="36"/>
        <v>399.75</v>
      </c>
      <c r="V513" s="22">
        <f t="shared" si="37"/>
        <v>0.79910044977511241</v>
      </c>
      <c r="X513" s="33"/>
      <c r="Y513" s="33"/>
    </row>
    <row r="514" spans="1:25" x14ac:dyDescent="0.2">
      <c r="A514" s="93" t="s">
        <v>257</v>
      </c>
      <c r="B514" s="94">
        <f>IFERROR(VLOOKUP($A514,HeadJournal!$A$1:$NTR$890,COLUMN(HeadJournal!B$1),0),"")</f>
        <v>0</v>
      </c>
      <c r="C514" s="94" t="str">
        <f>IFERROR(VLOOKUP($A514,HeadJournal!$A$1:$NTR$890,COLUMN(HeadJournal!C$1),0),"")</f>
        <v>OZON_AV</v>
      </c>
      <c r="D514" s="125" t="str">
        <f>IFERROR(VLOOKUP($A514,HeadJournal!$A$1:$NTR$890,COLUMN(HeadJournal!D$1),0),"")</f>
        <v>Доставлен</v>
      </c>
      <c r="E514" s="95">
        <f>IFERROR(VLOOKUP($A514,HeadJournal!$A$1:$NTR$890,COLUMN(HeadJournal!G$1),0),"")</f>
        <v>44913</v>
      </c>
      <c r="F514" s="95" t="str">
        <f t="shared" si="38"/>
        <v>2022 12</v>
      </c>
      <c r="G514" s="96" t="s">
        <v>5</v>
      </c>
      <c r="H514" s="160" t="str">
        <f>RIGHT(Journal!$J514,9)</f>
        <v>355578901</v>
      </c>
      <c r="I514" s="96" t="str">
        <f t="shared" si="39"/>
        <v>Patanjali</v>
      </c>
      <c r="J514" s="97" t="s">
        <v>255</v>
      </c>
      <c r="K514" s="29">
        <v>435</v>
      </c>
      <c r="L514" s="29"/>
      <c r="M514" s="30">
        <f>IFERROR(VLOOKUP($A514,HeadJournal!$A$1:$J$890,COLUMN(HeadJournal!I$1),0)*($K514+$L514)/(SUMIF($A:$A,$A514,$K:$K)+SUMIF($A:$A,$A514,$L:$L)),0)</f>
        <v>0</v>
      </c>
      <c r="N514" s="30">
        <f>IFERROR((VLOOKUP($A514,HeadJournal!$A$1:$K$890,COLUMN(HeadJournal!K$1),0)-VLOOKUP($A514,HeadJournal!$A$1:$K$890,COLUMN(HeadJournal!J$1),0))*($K514+$L514)/(SUMIF($A:$A,$A514,$K:$K)+SUMIF($A:$A,$A514,$L:$L)),0)</f>
        <v>0</v>
      </c>
      <c r="O514" s="30">
        <f>IFERROR((VLOOKUP($A514,HeadJournal!$A$1:$L$890,COLUMN(HeadJournal!L$1),0)*($K514+$L514)/(SUMIF($A:$A,$A514,$K:$K)+SUMIF($A:$A,$A514,$L:$L)))/VLOOKUP($A514,HeadJournal!$A$1:$L$890,COLUMN(HeadJournal!H$1),0),0)</f>
        <v>65.25</v>
      </c>
      <c r="P514" s="30">
        <f>IFERROR(SUM(K514:O514)*VLOOKUP($A514,HeadJournal!$A$1:$L$890,COLUMN(HeadJournal!H$1),0),0)</f>
        <v>500.25</v>
      </c>
      <c r="Q514" s="29">
        <v>900</v>
      </c>
      <c r="R514" s="31">
        <v>45115</v>
      </c>
      <c r="S514" s="31" t="s">
        <v>3121</v>
      </c>
      <c r="T514" s="95" t="str">
        <f t="shared" si="40"/>
        <v>2023 07</v>
      </c>
      <c r="U514" s="32">
        <f t="shared" si="36"/>
        <v>399.75</v>
      </c>
      <c r="V514" s="22">
        <f t="shared" si="37"/>
        <v>0.79910044977511241</v>
      </c>
      <c r="X514" s="33"/>
      <c r="Y514" s="33"/>
    </row>
    <row r="515" spans="1:25" x14ac:dyDescent="0.2">
      <c r="A515" s="93" t="s">
        <v>257</v>
      </c>
      <c r="B515" s="94">
        <f>IFERROR(VLOOKUP($A515,HeadJournal!$A$1:$NTR$890,COLUMN(HeadJournal!B$1),0),"")</f>
        <v>0</v>
      </c>
      <c r="C515" s="94" t="str">
        <f>IFERROR(VLOOKUP($A515,HeadJournal!$A$1:$NTR$890,COLUMN(HeadJournal!C$1),0),"")</f>
        <v>OZON_AV</v>
      </c>
      <c r="D515" s="125" t="str">
        <f>IFERROR(VLOOKUP($A515,HeadJournal!$A$1:$NTR$890,COLUMN(HeadJournal!D$1),0),"")</f>
        <v>Доставлен</v>
      </c>
      <c r="E515" s="95">
        <f>IFERROR(VLOOKUP($A515,HeadJournal!$A$1:$NTR$890,COLUMN(HeadJournal!G$1),0),"")</f>
        <v>44913</v>
      </c>
      <c r="F515" s="95" t="str">
        <f t="shared" si="38"/>
        <v>2022 12</v>
      </c>
      <c r="G515" s="96" t="s">
        <v>5</v>
      </c>
      <c r="H515" s="160" t="str">
        <f>RIGHT(Journal!$J515,9)</f>
        <v>355578901</v>
      </c>
      <c r="I515" s="96" t="str">
        <f t="shared" ref="I515:I577" si="41">IFERROR(LEFT(J515,FIND(",",J515)-1),"")</f>
        <v>Patanjali</v>
      </c>
      <c r="J515" s="97" t="s">
        <v>255</v>
      </c>
      <c r="K515" s="29">
        <v>435</v>
      </c>
      <c r="L515" s="29"/>
      <c r="M515" s="30">
        <f>IFERROR(VLOOKUP($A515,HeadJournal!$A$1:$J$890,COLUMN(HeadJournal!I$1),0)*($K515+$L515)/(SUMIF($A:$A,$A515,$K:$K)+SUMIF($A:$A,$A515,$L:$L)),0)</f>
        <v>0</v>
      </c>
      <c r="N515" s="30">
        <f>IFERROR((VLOOKUP($A515,HeadJournal!$A$1:$K$890,COLUMN(HeadJournal!K$1),0)-VLOOKUP($A515,HeadJournal!$A$1:$K$890,COLUMN(HeadJournal!J$1),0))*($K515+$L515)/(SUMIF($A:$A,$A515,$K:$K)+SUMIF($A:$A,$A515,$L:$L)),0)</f>
        <v>0</v>
      </c>
      <c r="O515" s="30">
        <f>IFERROR((VLOOKUP($A515,HeadJournal!$A$1:$L$890,COLUMN(HeadJournal!L$1),0)*($K515+$L515)/(SUMIF($A:$A,$A515,$K:$K)+SUMIF($A:$A,$A515,$L:$L)))/VLOOKUP($A515,HeadJournal!$A$1:$L$890,COLUMN(HeadJournal!H$1),0),0)</f>
        <v>65.25</v>
      </c>
      <c r="P515" s="30">
        <f>IFERROR(SUM(K515:O515)*VLOOKUP($A515,HeadJournal!$A$1:$L$890,COLUMN(HeadJournal!H$1),0),0)</f>
        <v>500.25</v>
      </c>
      <c r="Q515" s="29">
        <v>500.25</v>
      </c>
      <c r="R515" s="31">
        <v>44914</v>
      </c>
      <c r="S515" s="31" t="s">
        <v>3121</v>
      </c>
      <c r="T515" s="95" t="str">
        <f t="shared" si="40"/>
        <v>2022 12</v>
      </c>
      <c r="U515" s="32">
        <f t="shared" ref="U515:U578" si="42">Q515-P515</f>
        <v>0</v>
      </c>
      <c r="V515" s="22">
        <f t="shared" ref="V515:V578" si="43">IF(Q515&lt;&gt;0,IFERROR(U515/P515,""),"")</f>
        <v>0</v>
      </c>
      <c r="X515" s="33"/>
      <c r="Y515" s="33"/>
    </row>
    <row r="516" spans="1:25" x14ac:dyDescent="0.2">
      <c r="A516" s="93" t="s">
        <v>258</v>
      </c>
      <c r="B516" s="94">
        <f>IFERROR(VLOOKUP($A516,HeadJournal!$A$1:$NTR$890,COLUMN(HeadJournal!B$1),0),"")</f>
        <v>0</v>
      </c>
      <c r="C516" s="94" t="str">
        <f>IFERROR(VLOOKUP($A516,HeadJournal!$A$1:$NTR$890,COLUMN(HeadJournal!C$1),0),"")</f>
        <v>OZON_AV</v>
      </c>
      <c r="D516" s="125" t="str">
        <f>IFERROR(VLOOKUP($A516,HeadJournal!$A$1:$NTR$890,COLUMN(HeadJournal!D$1),0),"")</f>
        <v>Доставлен</v>
      </c>
      <c r="E516" s="95">
        <f>IFERROR(VLOOKUP($A516,HeadJournal!$A$1:$NTR$890,COLUMN(HeadJournal!G$1),0),"")</f>
        <v>44915</v>
      </c>
      <c r="F516" s="95" t="str">
        <f t="shared" ref="F516:F579" si="44">IFERROR(TEXT(E516, "ГГГГ ММ"),"")</f>
        <v>2022 12</v>
      </c>
      <c r="G516" s="96" t="s">
        <v>7</v>
      </c>
      <c r="H516" s="160" t="str">
        <f>RIGHT(Journal!$J516,9)</f>
        <v>155827100</v>
      </c>
      <c r="I516" s="96" t="str">
        <f t="shared" si="41"/>
        <v>LADOR</v>
      </c>
      <c r="J516" s="97" t="s">
        <v>259</v>
      </c>
      <c r="K516" s="29">
        <v>730</v>
      </c>
      <c r="L516" s="29"/>
      <c r="M516" s="30">
        <f>IFERROR(VLOOKUP($A516,HeadJournal!$A$1:$J$890,COLUMN(HeadJournal!I$1),0)*($K516+$L516)/(SUMIF($A:$A,$A516,$K:$K)+SUMIF($A:$A,$A516,$L:$L)),0)</f>
        <v>0</v>
      </c>
      <c r="N516" s="30">
        <f>IFERROR((VLOOKUP($A516,HeadJournal!$A$1:$K$890,COLUMN(HeadJournal!K$1),0)-VLOOKUP($A516,HeadJournal!$A$1:$K$890,COLUMN(HeadJournal!J$1),0))*($K516+$L516)/(SUMIF($A:$A,$A516,$K:$K)+SUMIF($A:$A,$A516,$L:$L)),0)</f>
        <v>0</v>
      </c>
      <c r="O516" s="30">
        <f>IFERROR((VLOOKUP($A516,HeadJournal!$A$1:$L$890,COLUMN(HeadJournal!L$1),0)*($K516+$L516)/(SUMIF($A:$A,$A516,$K:$K)+SUMIF($A:$A,$A516,$L:$L)))/VLOOKUP($A516,HeadJournal!$A$1:$L$890,COLUMN(HeadJournal!H$1),0),0)</f>
        <v>109.5</v>
      </c>
      <c r="P516" s="30">
        <f>IFERROR(SUM(K516:O516)*VLOOKUP($A516,HeadJournal!$A$1:$L$890,COLUMN(HeadJournal!H$1),0),0)</f>
        <v>839.5</v>
      </c>
      <c r="Q516" s="29">
        <v>1000</v>
      </c>
      <c r="R516" s="31">
        <v>45344</v>
      </c>
      <c r="S516" s="31" t="s">
        <v>3121</v>
      </c>
      <c r="T516" s="95" t="str">
        <f t="shared" ref="T516:T579" si="45">IF(R516="","",TEXT(R516,"ГГГГ ММ"))</f>
        <v>2024 02</v>
      </c>
      <c r="U516" s="32">
        <f t="shared" si="42"/>
        <v>160.5</v>
      </c>
      <c r="V516" s="22">
        <f t="shared" si="43"/>
        <v>0.19118522930315665</v>
      </c>
      <c r="X516" s="33"/>
      <c r="Y516" s="33"/>
    </row>
    <row r="517" spans="1:25" x14ac:dyDescent="0.2">
      <c r="A517" s="93" t="s">
        <v>260</v>
      </c>
      <c r="B517" s="94">
        <f>IFERROR(VLOOKUP($A517,HeadJournal!$A$1:$NTR$890,COLUMN(HeadJournal!B$1),0),"")</f>
        <v>0</v>
      </c>
      <c r="C517" s="94" t="str">
        <f>IFERROR(VLOOKUP($A517,HeadJournal!$A$1:$NTR$890,COLUMN(HeadJournal!C$1),0),"")</f>
        <v>WBRS</v>
      </c>
      <c r="D517" s="125" t="str">
        <f>IFERROR(VLOOKUP($A517,HeadJournal!$A$1:$NTR$890,COLUMN(HeadJournal!D$1),0),"")</f>
        <v>Доставлен</v>
      </c>
      <c r="E517" s="95">
        <f>IFERROR(VLOOKUP($A517,HeadJournal!$A$1:$NTR$890,COLUMN(HeadJournal!G$1),0),"")</f>
        <v>44912</v>
      </c>
      <c r="F517" s="95" t="str">
        <f t="shared" si="44"/>
        <v>2022 12</v>
      </c>
      <c r="G517" s="96" t="s">
        <v>5</v>
      </c>
      <c r="H517" s="160" t="str">
        <f>RIGHT(Journal!$J517,9)</f>
        <v>026995436</v>
      </c>
      <c r="I517" s="96" t="str">
        <f t="shared" si="41"/>
        <v>Patanjali</v>
      </c>
      <c r="J517" s="97" t="s">
        <v>221</v>
      </c>
      <c r="K517" s="55">
        <v>699</v>
      </c>
      <c r="L517" s="29"/>
      <c r="M517" s="30">
        <f>IFERROR(VLOOKUP($A517,HeadJournal!$A$1:$J$890,COLUMN(HeadJournal!I$1),0)*($K517+$L517)/(SUMIF($A:$A,$A517,$K:$K)+SUMIF($A:$A,$A517,$L:$L)),0)</f>
        <v>0</v>
      </c>
      <c r="N517" s="30">
        <f>IFERROR((VLOOKUP($A517,HeadJournal!$A$1:$K$890,COLUMN(HeadJournal!K$1),0)-VLOOKUP($A517,HeadJournal!$A$1:$K$890,COLUMN(HeadJournal!J$1),0))*($K517+$L517)/(SUMIF($A:$A,$A517,$K:$K)+SUMIF($A:$A,$A517,$L:$L)),0)</f>
        <v>0</v>
      </c>
      <c r="O517" s="30">
        <f>IFERROR((VLOOKUP($A517,HeadJournal!$A$1:$L$890,COLUMN(HeadJournal!L$1),0)*($K517+$L517)/(SUMIF($A:$A,$A517,$K:$K)+SUMIF($A:$A,$A517,$L:$L)))/VLOOKUP($A517,HeadJournal!$A$1:$L$890,COLUMN(HeadJournal!H$1),0),0)</f>
        <v>104.85000000000001</v>
      </c>
      <c r="P517" s="30">
        <f>IFERROR(SUM(K517:O517)*VLOOKUP($A517,HeadJournal!$A$1:$L$890,COLUMN(HeadJournal!H$1),0),0)</f>
        <v>803.85</v>
      </c>
      <c r="Q517" s="29">
        <v>1700</v>
      </c>
      <c r="R517" s="31">
        <v>44915</v>
      </c>
      <c r="S517" s="31" t="s">
        <v>3121</v>
      </c>
      <c r="T517" s="95" t="str">
        <f t="shared" si="45"/>
        <v>2022 12</v>
      </c>
      <c r="U517" s="32">
        <f t="shared" si="42"/>
        <v>896.15</v>
      </c>
      <c r="V517" s="22">
        <f t="shared" si="43"/>
        <v>1.1148224171176213</v>
      </c>
      <c r="X517" s="33"/>
      <c r="Y517" s="33"/>
    </row>
    <row r="518" spans="1:25" x14ac:dyDescent="0.2">
      <c r="A518" s="93" t="s">
        <v>260</v>
      </c>
      <c r="B518" s="94">
        <f>IFERROR(VLOOKUP($A518,HeadJournal!$A$1:$NTR$890,COLUMN(HeadJournal!B$1),0),"")</f>
        <v>0</v>
      </c>
      <c r="C518" s="94" t="str">
        <f>IFERROR(VLOOKUP($A518,HeadJournal!$A$1:$NTR$890,COLUMN(HeadJournal!C$1),0),"")</f>
        <v>WBRS</v>
      </c>
      <c r="D518" s="125" t="str">
        <f>IFERROR(VLOOKUP($A518,HeadJournal!$A$1:$NTR$890,COLUMN(HeadJournal!D$1),0),"")</f>
        <v>Доставлен</v>
      </c>
      <c r="E518" s="95">
        <f>IFERROR(VLOOKUP($A518,HeadJournal!$A$1:$NTR$890,COLUMN(HeadJournal!G$1),0),"")</f>
        <v>44912</v>
      </c>
      <c r="F518" s="95" t="str">
        <f t="shared" si="44"/>
        <v>2022 12</v>
      </c>
      <c r="G518" s="96" t="s">
        <v>5</v>
      </c>
      <c r="H518" s="160" t="str">
        <f>RIGHT(Journal!$J518,9)</f>
        <v>026995436</v>
      </c>
      <c r="I518" s="96" t="str">
        <f t="shared" si="41"/>
        <v>Patanjali</v>
      </c>
      <c r="J518" s="97" t="s">
        <v>221</v>
      </c>
      <c r="K518" s="55">
        <v>699</v>
      </c>
      <c r="L518" s="29"/>
      <c r="M518" s="30">
        <f>IFERROR(VLOOKUP($A518,HeadJournal!$A$1:$J$890,COLUMN(HeadJournal!I$1),0)*($K518+$L518)/(SUMIF($A:$A,$A518,$K:$K)+SUMIF($A:$A,$A518,$L:$L)),0)</f>
        <v>0</v>
      </c>
      <c r="N518" s="30">
        <f>IFERROR((VLOOKUP($A518,HeadJournal!$A$1:$K$890,COLUMN(HeadJournal!K$1),0)-VLOOKUP($A518,HeadJournal!$A$1:$K$890,COLUMN(HeadJournal!J$1),0))*($K518+$L518)/(SUMIF($A:$A,$A518,$K:$K)+SUMIF($A:$A,$A518,$L:$L)),0)</f>
        <v>0</v>
      </c>
      <c r="O518" s="30">
        <f>IFERROR((VLOOKUP($A518,HeadJournal!$A$1:$L$890,COLUMN(HeadJournal!L$1),0)*($K518+$L518)/(SUMIF($A:$A,$A518,$K:$K)+SUMIF($A:$A,$A518,$L:$L)))/VLOOKUP($A518,HeadJournal!$A$1:$L$890,COLUMN(HeadJournal!H$1),0),0)</f>
        <v>104.85000000000001</v>
      </c>
      <c r="P518" s="30">
        <f>IFERROR(SUM(K518:O518)*VLOOKUP($A518,HeadJournal!$A$1:$L$890,COLUMN(HeadJournal!H$1),0),0)</f>
        <v>803.85</v>
      </c>
      <c r="Q518" s="29">
        <v>1700</v>
      </c>
      <c r="R518" s="31">
        <v>44915</v>
      </c>
      <c r="S518" s="31" t="s">
        <v>3121</v>
      </c>
      <c r="T518" s="95" t="str">
        <f t="shared" si="45"/>
        <v>2022 12</v>
      </c>
      <c r="U518" s="32">
        <f t="shared" si="42"/>
        <v>896.15</v>
      </c>
      <c r="V518" s="22">
        <f t="shared" si="43"/>
        <v>1.1148224171176213</v>
      </c>
      <c r="X518" s="33"/>
      <c r="Y518" s="33"/>
    </row>
    <row r="519" spans="1:25" x14ac:dyDescent="0.2">
      <c r="A519" s="93" t="s">
        <v>260</v>
      </c>
      <c r="B519" s="94">
        <f>IFERROR(VLOOKUP($A519,HeadJournal!$A$1:$NTR$890,COLUMN(HeadJournal!B$1),0),"")</f>
        <v>0</v>
      </c>
      <c r="C519" s="94" t="str">
        <f>IFERROR(VLOOKUP($A519,HeadJournal!$A$1:$NTR$890,COLUMN(HeadJournal!C$1),0),"")</f>
        <v>WBRS</v>
      </c>
      <c r="D519" s="125" t="str">
        <f>IFERROR(VLOOKUP($A519,HeadJournal!$A$1:$NTR$890,COLUMN(HeadJournal!D$1),0),"")</f>
        <v>Доставлен</v>
      </c>
      <c r="E519" s="95">
        <f>IFERROR(VLOOKUP($A519,HeadJournal!$A$1:$NTR$890,COLUMN(HeadJournal!G$1),0),"")</f>
        <v>44912</v>
      </c>
      <c r="F519" s="95" t="str">
        <f t="shared" si="44"/>
        <v>2022 12</v>
      </c>
      <c r="G519" s="96" t="s">
        <v>5</v>
      </c>
      <c r="H519" s="160" t="str">
        <f>RIGHT(Journal!$J519,9)</f>
        <v>026995436</v>
      </c>
      <c r="I519" s="96" t="str">
        <f t="shared" si="41"/>
        <v>Patanjali</v>
      </c>
      <c r="J519" s="97" t="s">
        <v>221</v>
      </c>
      <c r="K519" s="55">
        <v>699</v>
      </c>
      <c r="L519" s="29"/>
      <c r="M519" s="30">
        <f>IFERROR(VLOOKUP($A519,HeadJournal!$A$1:$J$890,COLUMN(HeadJournal!I$1),0)*($K519+$L519)/(SUMIF($A:$A,$A519,$K:$K)+SUMIF($A:$A,$A519,$L:$L)),0)</f>
        <v>0</v>
      </c>
      <c r="N519" s="30">
        <f>IFERROR((VLOOKUP($A519,HeadJournal!$A$1:$K$890,COLUMN(HeadJournal!K$1),0)-VLOOKUP($A519,HeadJournal!$A$1:$K$890,COLUMN(HeadJournal!J$1),0))*($K519+$L519)/(SUMIF($A:$A,$A519,$K:$K)+SUMIF($A:$A,$A519,$L:$L)),0)</f>
        <v>0</v>
      </c>
      <c r="O519" s="30">
        <f>IFERROR((VLOOKUP($A519,HeadJournal!$A$1:$L$890,COLUMN(HeadJournal!L$1),0)*($K519+$L519)/(SUMIF($A:$A,$A519,$K:$K)+SUMIF($A:$A,$A519,$L:$L)))/VLOOKUP($A519,HeadJournal!$A$1:$L$890,COLUMN(HeadJournal!H$1),0),0)</f>
        <v>104.85000000000001</v>
      </c>
      <c r="P519" s="30">
        <f>IFERROR(SUM(K519:O519)*VLOOKUP($A519,HeadJournal!$A$1:$L$890,COLUMN(HeadJournal!H$1),0),0)</f>
        <v>803.85</v>
      </c>
      <c r="Q519" s="29">
        <v>1200</v>
      </c>
      <c r="R519" s="31">
        <v>44932</v>
      </c>
      <c r="S519" s="31" t="s">
        <v>3121</v>
      </c>
      <c r="T519" s="95" t="str">
        <f t="shared" si="45"/>
        <v>2023 01</v>
      </c>
      <c r="U519" s="32">
        <f t="shared" si="42"/>
        <v>396.15</v>
      </c>
      <c r="V519" s="22">
        <f t="shared" si="43"/>
        <v>0.49281582384773276</v>
      </c>
      <c r="X519" s="33"/>
      <c r="Y519" s="33"/>
    </row>
    <row r="520" spans="1:25" x14ac:dyDescent="0.2">
      <c r="A520" s="93" t="s">
        <v>261</v>
      </c>
      <c r="B520" s="94">
        <f>IFERROR(VLOOKUP($A520,HeadJournal!$A$1:$NTR$890,COLUMN(HeadJournal!B$1),0),"")</f>
        <v>0</v>
      </c>
      <c r="C520" s="94" t="str">
        <f>IFERROR(VLOOKUP($A520,HeadJournal!$A$1:$NTR$890,COLUMN(HeadJournal!C$1),0),"")</f>
        <v>CoralClub_AV</v>
      </c>
      <c r="D520" s="125" t="str">
        <f>IFERROR(VLOOKUP($A520,HeadJournal!$A$1:$NTR$890,COLUMN(HeadJournal!D$1),0),"")</f>
        <v>Доставлен</v>
      </c>
      <c r="E520" s="95">
        <f>IFERROR(VLOOKUP($A520,HeadJournal!$A$1:$NTR$890,COLUMN(HeadJournal!G$1),0),"")</f>
        <v>44912</v>
      </c>
      <c r="F520" s="95" t="str">
        <f t="shared" si="44"/>
        <v>2022 12</v>
      </c>
      <c r="G520" s="96" t="s">
        <v>5</v>
      </c>
      <c r="H520" s="160" t="str">
        <f>RIGHT(Journal!$J520,9)</f>
        <v>000091865</v>
      </c>
      <c r="I520" s="96" t="str">
        <f t="shared" si="41"/>
        <v>CoralClub</v>
      </c>
      <c r="J520" s="97" t="s">
        <v>250</v>
      </c>
      <c r="K520" s="29">
        <v>1024</v>
      </c>
      <c r="L520" s="29"/>
      <c r="M520" s="30">
        <f>IFERROR(VLOOKUP($A520,HeadJournal!$A$1:$J$890,COLUMN(HeadJournal!I$1),0)*($K520+$L520)/(SUMIF($A:$A,$A520,$K:$K)+SUMIF($A:$A,$A520,$L:$L)),0)</f>
        <v>0</v>
      </c>
      <c r="N520" s="30">
        <f>IFERROR((VLOOKUP($A520,HeadJournal!$A$1:$K$890,COLUMN(HeadJournal!K$1),0)-VLOOKUP($A520,HeadJournal!$A$1:$K$890,COLUMN(HeadJournal!J$1),0))*($K520+$L520)/(SUMIF($A:$A,$A520,$K:$K)+SUMIF($A:$A,$A520,$L:$L)),0)</f>
        <v>4.5714285714285712</v>
      </c>
      <c r="O520" s="30">
        <f>IFERROR((VLOOKUP($A520,HeadJournal!$A$1:$L$890,COLUMN(HeadJournal!L$1),0)*($K520+$L520)/(SUMIF($A:$A,$A520,$K:$K)+SUMIF($A:$A,$A520,$L:$L)))/VLOOKUP($A520,HeadJournal!$A$1:$L$890,COLUMN(HeadJournal!H$1),0),0)</f>
        <v>0</v>
      </c>
      <c r="P520" s="30">
        <f>IFERROR(SUM(K520:O520)*VLOOKUP($A520,HeadJournal!$A$1:$L$890,COLUMN(HeadJournal!H$1),0),0)</f>
        <v>1028.5714285714287</v>
      </c>
      <c r="Q520" s="29">
        <v>1400</v>
      </c>
      <c r="R520" s="31">
        <v>44916</v>
      </c>
      <c r="S520" s="31" t="s">
        <v>3121</v>
      </c>
      <c r="T520" s="95" t="str">
        <f t="shared" si="45"/>
        <v>2022 12</v>
      </c>
      <c r="U520" s="32">
        <f t="shared" si="42"/>
        <v>371.42857142857133</v>
      </c>
      <c r="V520" s="22">
        <f t="shared" si="43"/>
        <v>0.36111111111111099</v>
      </c>
      <c r="X520" s="33"/>
      <c r="Y520" s="33"/>
    </row>
    <row r="521" spans="1:25" x14ac:dyDescent="0.2">
      <c r="A521" s="93" t="s">
        <v>261</v>
      </c>
      <c r="B521" s="94">
        <f>IFERROR(VLOOKUP($A521,HeadJournal!$A$1:$NTR$890,COLUMN(HeadJournal!B$1),0),"")</f>
        <v>0</v>
      </c>
      <c r="C521" s="94" t="str">
        <f>IFERROR(VLOOKUP($A521,HeadJournal!$A$1:$NTR$890,COLUMN(HeadJournal!C$1),0),"")</f>
        <v>CoralClub_AV</v>
      </c>
      <c r="D521" s="125" t="str">
        <f>IFERROR(VLOOKUP($A521,HeadJournal!$A$1:$NTR$890,COLUMN(HeadJournal!D$1),0),"")</f>
        <v>Доставлен</v>
      </c>
      <c r="E521" s="95">
        <f>IFERROR(VLOOKUP($A521,HeadJournal!$A$1:$NTR$890,COLUMN(HeadJournal!G$1),0),"")</f>
        <v>44912</v>
      </c>
      <c r="F521" s="95" t="str">
        <f t="shared" si="44"/>
        <v>2022 12</v>
      </c>
      <c r="G521" s="96" t="s">
        <v>5</v>
      </c>
      <c r="H521" s="160" t="str">
        <f>RIGHT(Journal!$J521,9)</f>
        <v>000002153</v>
      </c>
      <c r="I521" s="96" t="str">
        <f t="shared" si="41"/>
        <v>CoralClub</v>
      </c>
      <c r="J521" s="97" t="s">
        <v>262</v>
      </c>
      <c r="K521" s="29">
        <v>960</v>
      </c>
      <c r="L521" s="29"/>
      <c r="M521" s="30">
        <f>IFERROR(VLOOKUP($A521,HeadJournal!$A$1:$J$890,COLUMN(HeadJournal!I$1),0)*($K521+$L521)/(SUMIF($A:$A,$A521,$K:$K)+SUMIF($A:$A,$A521,$L:$L)),0)</f>
        <v>0</v>
      </c>
      <c r="N521" s="30">
        <f>IFERROR((VLOOKUP($A521,HeadJournal!$A$1:$K$890,COLUMN(HeadJournal!K$1),0)-VLOOKUP($A521,HeadJournal!$A$1:$K$890,COLUMN(HeadJournal!J$1),0))*($K521+$L521)/(SUMIF($A:$A,$A521,$K:$K)+SUMIF($A:$A,$A521,$L:$L)),0)</f>
        <v>4.2857142857142856</v>
      </c>
      <c r="O521" s="30">
        <f>IFERROR((VLOOKUP($A521,HeadJournal!$A$1:$L$890,COLUMN(HeadJournal!L$1),0)*($K521+$L521)/(SUMIF($A:$A,$A521,$K:$K)+SUMIF($A:$A,$A521,$L:$L)))/VLOOKUP($A521,HeadJournal!$A$1:$L$890,COLUMN(HeadJournal!H$1),0),0)</f>
        <v>0</v>
      </c>
      <c r="P521" s="30">
        <f>IFERROR(SUM(K521:O521)*VLOOKUP($A521,HeadJournal!$A$1:$L$890,COLUMN(HeadJournal!H$1),0),0)</f>
        <v>964.28571428571433</v>
      </c>
      <c r="Q521" s="29">
        <v>1300</v>
      </c>
      <c r="R521" s="31">
        <v>44914</v>
      </c>
      <c r="S521" s="31" t="s">
        <v>3121</v>
      </c>
      <c r="T521" s="95" t="str">
        <f t="shared" si="45"/>
        <v>2022 12</v>
      </c>
      <c r="U521" s="32">
        <f t="shared" si="42"/>
        <v>335.71428571428567</v>
      </c>
      <c r="V521" s="22">
        <f t="shared" si="43"/>
        <v>0.3481481481481481</v>
      </c>
      <c r="X521" s="33"/>
      <c r="Y521" s="33"/>
    </row>
    <row r="522" spans="1:25" x14ac:dyDescent="0.2">
      <c r="A522" s="93" t="s">
        <v>261</v>
      </c>
      <c r="B522" s="94">
        <f>IFERROR(VLOOKUP($A522,HeadJournal!$A$1:$NTR$890,COLUMN(HeadJournal!B$1),0),"")</f>
        <v>0</v>
      </c>
      <c r="C522" s="94" t="str">
        <f>IFERROR(VLOOKUP($A522,HeadJournal!$A$1:$NTR$890,COLUMN(HeadJournal!C$1),0),"")</f>
        <v>CoralClub_AV</v>
      </c>
      <c r="D522" s="125" t="str">
        <f>IFERROR(VLOOKUP($A522,HeadJournal!$A$1:$NTR$890,COLUMN(HeadJournal!D$1),0),"")</f>
        <v>Доставлен</v>
      </c>
      <c r="E522" s="95">
        <f>IFERROR(VLOOKUP($A522,HeadJournal!$A$1:$NTR$890,COLUMN(HeadJournal!G$1),0),"")</f>
        <v>44912</v>
      </c>
      <c r="F522" s="95" t="str">
        <f t="shared" si="44"/>
        <v>2022 12</v>
      </c>
      <c r="G522" s="96" t="s">
        <v>5</v>
      </c>
      <c r="H522" s="160" t="str">
        <f>RIGHT(Journal!$J522,9)</f>
        <v>000091619</v>
      </c>
      <c r="I522" s="96" t="str">
        <f t="shared" si="41"/>
        <v>CoralClub</v>
      </c>
      <c r="J522" s="97" t="s">
        <v>263</v>
      </c>
      <c r="K522" s="29">
        <v>1152</v>
      </c>
      <c r="L522" s="29"/>
      <c r="M522" s="30">
        <f>IFERROR(VLOOKUP($A522,HeadJournal!$A$1:$J$890,COLUMN(HeadJournal!I$1),0)*($K522+$L522)/(SUMIF($A:$A,$A522,$K:$K)+SUMIF($A:$A,$A522,$L:$L)),0)</f>
        <v>0</v>
      </c>
      <c r="N522" s="30">
        <f>IFERROR((VLOOKUP($A522,HeadJournal!$A$1:$K$890,COLUMN(HeadJournal!K$1),0)-VLOOKUP($A522,HeadJournal!$A$1:$K$890,COLUMN(HeadJournal!J$1),0))*($K522+$L522)/(SUMIF($A:$A,$A522,$K:$K)+SUMIF($A:$A,$A522,$L:$L)),0)</f>
        <v>5.1428571428571432</v>
      </c>
      <c r="O522" s="30">
        <f>IFERROR((VLOOKUP($A522,HeadJournal!$A$1:$L$890,COLUMN(HeadJournal!L$1),0)*($K522+$L522)/(SUMIF($A:$A,$A522,$K:$K)+SUMIF($A:$A,$A522,$L:$L)))/VLOOKUP($A522,HeadJournal!$A$1:$L$890,COLUMN(HeadJournal!H$1),0),0)</f>
        <v>0</v>
      </c>
      <c r="P522" s="30">
        <f>IFERROR(SUM(K522:O522)*VLOOKUP($A522,HeadJournal!$A$1:$L$890,COLUMN(HeadJournal!H$1),0),0)</f>
        <v>1157.1428571428571</v>
      </c>
      <c r="Q522" s="29">
        <v>1500</v>
      </c>
      <c r="R522" s="31">
        <v>44944</v>
      </c>
      <c r="S522" s="31" t="s">
        <v>3121</v>
      </c>
      <c r="T522" s="95" t="str">
        <f t="shared" si="45"/>
        <v>2023 01</v>
      </c>
      <c r="U522" s="32">
        <f t="shared" si="42"/>
        <v>342.85714285714289</v>
      </c>
      <c r="V522" s="22">
        <f t="shared" si="43"/>
        <v>0.29629629629629634</v>
      </c>
      <c r="X522" s="33"/>
      <c r="Y522" s="33"/>
    </row>
    <row r="523" spans="1:25" x14ac:dyDescent="0.2">
      <c r="A523" s="93" t="s">
        <v>264</v>
      </c>
      <c r="B523" s="94" t="str">
        <f>IFERROR(VLOOKUP($A523,HeadJournal!$A$1:$NTR$890,COLUMN(HeadJournal!B$1),0),"")</f>
        <v>922594405-0</v>
      </c>
      <c r="C523" s="94" t="str">
        <f>IFERROR(VLOOKUP($A523,HeadJournal!$A$1:$NTR$890,COLUMN(HeadJournal!C$1),0),"")</f>
        <v>iHerb_VP DFD1605</v>
      </c>
      <c r="D523" s="125" t="str">
        <f>IFERROR(VLOOKUP($A523,HeadJournal!$A$1:$NTR$890,COLUMN(HeadJournal!D$1),0),"")</f>
        <v>Доставлен</v>
      </c>
      <c r="E523" s="95">
        <f>IFERROR(VLOOKUP($A523,HeadJournal!$A$1:$NTR$890,COLUMN(HeadJournal!G$1),0),"")</f>
        <v>44909</v>
      </c>
      <c r="F523" s="95" t="str">
        <f t="shared" si="44"/>
        <v>2022 12</v>
      </c>
      <c r="G523" s="96" t="s">
        <v>5</v>
      </c>
      <c r="H523" s="160" t="str">
        <f>RIGHT(Journal!$J523,9)</f>
        <v>NWY-15686</v>
      </c>
      <c r="I523" s="96" t="str">
        <f t="shared" si="41"/>
        <v>Nature's Way</v>
      </c>
      <c r="J523" s="97" t="s">
        <v>265</v>
      </c>
      <c r="K523" s="29">
        <v>13.79</v>
      </c>
      <c r="L523" s="29">
        <v>-3.03</v>
      </c>
      <c r="M523" s="30">
        <f>IFERROR(VLOOKUP($A523,HeadJournal!$A$1:$J$890,COLUMN(HeadJournal!I$1),0)*($K523+$L523)/(SUMIF($A:$A,$A523,$K:$K)+SUMIF($A:$A,$A523,$L:$L)),0)</f>
        <v>0</v>
      </c>
      <c r="N523" s="30">
        <f>IFERROR((VLOOKUP($A523,HeadJournal!$A$1:$K$890,COLUMN(HeadJournal!K$1),0)-VLOOKUP($A523,HeadJournal!$A$1:$K$890,COLUMN(HeadJournal!J$1),0))*($K523+$L523)/(SUMIF($A:$A,$A523,$K:$K)+SUMIF($A:$A,$A523,$L:$L)),0)</f>
        <v>1.8675883570757079E-15</v>
      </c>
      <c r="O523" s="30">
        <f>IFERROR((VLOOKUP($A523,HeadJournal!$A$1:$L$890,COLUMN(HeadJournal!L$1),0)*($K523+$L523)/(SUMIF($A:$A,$A523,$K:$K)+SUMIF($A:$A,$A523,$L:$L)))/VLOOKUP($A523,HeadJournal!$A$1:$L$890,COLUMN(HeadJournal!H$1),0),0)</f>
        <v>5.1139143303462777</v>
      </c>
      <c r="P523" s="30">
        <f>IFERROR(SUM(K523:O523)*VLOOKUP($A523,HeadJournal!$A$1:$L$890,COLUMN(HeadJournal!H$1),0),0)</f>
        <v>1095.3000887938933</v>
      </c>
      <c r="Q523" s="29">
        <v>2800</v>
      </c>
      <c r="R523" s="31">
        <v>45174</v>
      </c>
      <c r="S523" s="31" t="s">
        <v>3121</v>
      </c>
      <c r="T523" s="95" t="str">
        <f t="shared" si="45"/>
        <v>2023 09</v>
      </c>
      <c r="U523" s="32">
        <f t="shared" si="42"/>
        <v>1704.6999112061067</v>
      </c>
      <c r="V523" s="22">
        <f t="shared" si="43"/>
        <v>1.5563770410018531</v>
      </c>
      <c r="X523" s="33"/>
      <c r="Y523" s="33"/>
    </row>
    <row r="524" spans="1:25" x14ac:dyDescent="0.2">
      <c r="A524" s="93" t="s">
        <v>264</v>
      </c>
      <c r="B524" s="94" t="str">
        <f>IFERROR(VLOOKUP($A524,HeadJournal!$A$1:$NTR$890,COLUMN(HeadJournal!B$1),0),"")</f>
        <v>922594405-0</v>
      </c>
      <c r="C524" s="94" t="str">
        <f>IFERROR(VLOOKUP($A524,HeadJournal!$A$1:$NTR$890,COLUMN(HeadJournal!C$1),0),"")</f>
        <v>iHerb_VP DFD1605</v>
      </c>
      <c r="D524" s="125" t="str">
        <f>IFERROR(VLOOKUP($A524,HeadJournal!$A$1:$NTR$890,COLUMN(HeadJournal!D$1),0),"")</f>
        <v>Доставлен</v>
      </c>
      <c r="E524" s="95">
        <f>IFERROR(VLOOKUP($A524,HeadJournal!$A$1:$NTR$890,COLUMN(HeadJournal!G$1),0),"")</f>
        <v>44909</v>
      </c>
      <c r="F524" s="95" t="str">
        <f t="shared" si="44"/>
        <v>2022 12</v>
      </c>
      <c r="G524" s="96" t="s">
        <v>5</v>
      </c>
      <c r="H524" s="161" t="s">
        <v>3099</v>
      </c>
      <c r="I524" s="97" t="s">
        <v>2005</v>
      </c>
      <c r="J524" s="97" t="s">
        <v>3100</v>
      </c>
      <c r="K524" s="29">
        <v>17.350000000000001</v>
      </c>
      <c r="L524" s="29">
        <v>-3.82</v>
      </c>
      <c r="M524" s="30">
        <f>IFERROR(VLOOKUP($A524,HeadJournal!$A$1:$J$890,COLUMN(HeadJournal!I$1),0)*($K524+$L524)/(SUMIF($A:$A,$A524,$K:$K)+SUMIF($A:$A,$A524,$L:$L)),0)</f>
        <v>0</v>
      </c>
      <c r="N524" s="30">
        <f>IFERROR((VLOOKUP($A524,HeadJournal!$A$1:$K$890,COLUMN(HeadJournal!K$1),0)-VLOOKUP($A524,HeadJournal!$A$1:$K$890,COLUMN(HeadJournal!J$1),0))*($K524+$L524)/(SUMIF($A:$A,$A524,$K:$K)+SUMIF($A:$A,$A524,$L:$L)),0)</f>
        <v>2.3483708616388784E-15</v>
      </c>
      <c r="O524" s="30">
        <f>IFERROR((VLOOKUP($A524,HeadJournal!$A$1:$L$890,COLUMN(HeadJournal!L$1),0)*($K524+$L524)/(SUMIF($A:$A,$A524,$K:$K)+SUMIF($A:$A,$A524,$L:$L)))/VLOOKUP($A524,HeadJournal!$A$1:$L$890,COLUMN(HeadJournal!H$1),0),0)</f>
        <v>6.4304145808164632</v>
      </c>
      <c r="P524" s="30">
        <f>IFERROR(SUM(K524:O524)*VLOOKUP($A524,HeadJournal!$A$1:$L$890,COLUMN(HeadJournal!H$1),0),0)</f>
        <v>1377.268606076336</v>
      </c>
      <c r="Q524" s="29">
        <v>2300</v>
      </c>
      <c r="R524" s="31">
        <v>45097</v>
      </c>
      <c r="S524" s="31" t="s">
        <v>3121</v>
      </c>
      <c r="T524" s="95" t="str">
        <f t="shared" si="45"/>
        <v>2023 06</v>
      </c>
      <c r="U524" s="32">
        <f t="shared" si="42"/>
        <v>922.73139392366397</v>
      </c>
      <c r="V524" s="22">
        <f t="shared" si="43"/>
        <v>0.66997199373650795</v>
      </c>
      <c r="X524" s="33"/>
      <c r="Y524" s="33"/>
    </row>
    <row r="525" spans="1:25" x14ac:dyDescent="0.2">
      <c r="A525" s="93" t="s">
        <v>264</v>
      </c>
      <c r="B525" s="94" t="str">
        <f>IFERROR(VLOOKUP($A525,HeadJournal!$A$1:$NTR$890,COLUMN(HeadJournal!B$1),0),"")</f>
        <v>922594405-0</v>
      </c>
      <c r="C525" s="94" t="str">
        <f>IFERROR(VLOOKUP($A525,HeadJournal!$A$1:$NTR$890,COLUMN(HeadJournal!C$1),0),"")</f>
        <v>iHerb_VP DFD1605</v>
      </c>
      <c r="D525" s="125" t="str">
        <f>IFERROR(VLOOKUP($A525,HeadJournal!$A$1:$NTR$890,COLUMN(HeadJournal!D$1),0),"")</f>
        <v>Доставлен</v>
      </c>
      <c r="E525" s="95">
        <f>IFERROR(VLOOKUP($A525,HeadJournal!$A$1:$NTR$890,COLUMN(HeadJournal!G$1),0),"")</f>
        <v>44909</v>
      </c>
      <c r="F525" s="95" t="str">
        <f t="shared" si="44"/>
        <v>2022 12</v>
      </c>
      <c r="G525" s="96" t="s">
        <v>5</v>
      </c>
      <c r="H525" s="161" t="s">
        <v>2899</v>
      </c>
      <c r="I525" s="97" t="s">
        <v>2042</v>
      </c>
      <c r="J525" s="97" t="s">
        <v>2900</v>
      </c>
      <c r="K525" s="29">
        <v>7.09</v>
      </c>
      <c r="L525" s="29">
        <v>-1.56</v>
      </c>
      <c r="M525" s="30">
        <f>IFERROR(VLOOKUP($A525,HeadJournal!$A$1:$J$890,COLUMN(HeadJournal!I$1),0)*($K525+$L525)/(SUMIF($A:$A,$A525,$K:$K)+SUMIF($A:$A,$A525,$L:$L)),0)</f>
        <v>0</v>
      </c>
      <c r="N525" s="30">
        <f>IFERROR((VLOOKUP($A525,HeadJournal!$A$1:$K$890,COLUMN(HeadJournal!K$1),0)-VLOOKUP($A525,HeadJournal!$A$1:$K$890,COLUMN(HeadJournal!J$1),0))*($K525+$L525)/(SUMIF($A:$A,$A525,$K:$K)+SUMIF($A:$A,$A525,$L:$L)),0)</f>
        <v>9.5982933221455973E-16</v>
      </c>
      <c r="O525" s="30">
        <f>IFERROR((VLOOKUP($A525,HeadJournal!$A$1:$L$890,COLUMN(HeadJournal!L$1),0)*($K525+$L525)/(SUMIF($A:$A,$A525,$K:$K)+SUMIF($A:$A,$A525,$L:$L)))/VLOOKUP($A525,HeadJournal!$A$1:$L$890,COLUMN(HeadJournal!H$1),0),0)</f>
        <v>2.6282477924549177</v>
      </c>
      <c r="P525" s="30">
        <f>IFERROR(SUM(K525:O525)*VLOOKUP($A525,HeadJournal!$A$1:$L$890,COLUMN(HeadJournal!H$1),0),0)</f>
        <v>562.91909767938944</v>
      </c>
      <c r="Q525" s="29">
        <v>1200</v>
      </c>
      <c r="R525" s="31">
        <v>45026</v>
      </c>
      <c r="S525" s="31" t="s">
        <v>3121</v>
      </c>
      <c r="T525" s="95" t="str">
        <f t="shared" si="45"/>
        <v>2023 04</v>
      </c>
      <c r="U525" s="32">
        <f t="shared" si="42"/>
        <v>637.08090232061056</v>
      </c>
      <c r="V525" s="22">
        <f t="shared" si="43"/>
        <v>1.1317450499493622</v>
      </c>
      <c r="X525" s="33"/>
      <c r="Y525" s="33"/>
    </row>
    <row r="526" spans="1:25" x14ac:dyDescent="0.2">
      <c r="A526" s="93" t="s">
        <v>264</v>
      </c>
      <c r="B526" s="94" t="str">
        <f>IFERROR(VLOOKUP($A526,HeadJournal!$A$1:$NTR$890,COLUMN(HeadJournal!B$1),0),"")</f>
        <v>922594405-0</v>
      </c>
      <c r="C526" s="94" t="str">
        <f>IFERROR(VLOOKUP($A526,HeadJournal!$A$1:$NTR$890,COLUMN(HeadJournal!C$1),0),"")</f>
        <v>iHerb_VP DFD1605</v>
      </c>
      <c r="D526" s="125" t="str">
        <f>IFERROR(VLOOKUP($A526,HeadJournal!$A$1:$NTR$890,COLUMN(HeadJournal!D$1),0),"")</f>
        <v>Доставлен</v>
      </c>
      <c r="E526" s="95">
        <f>IFERROR(VLOOKUP($A526,HeadJournal!$A$1:$NTR$890,COLUMN(HeadJournal!G$1),0),"")</f>
        <v>44909</v>
      </c>
      <c r="F526" s="95" t="str">
        <f t="shared" si="44"/>
        <v>2022 12</v>
      </c>
      <c r="G526" s="96" t="s">
        <v>5</v>
      </c>
      <c r="H526" s="160" t="str">
        <f>RIGHT(Journal!$J526,9)</f>
        <v>CEN-27308</v>
      </c>
      <c r="I526" s="96" t="str">
        <f t="shared" si="41"/>
        <v>21st Century</v>
      </c>
      <c r="J526" s="97" t="s">
        <v>98</v>
      </c>
      <c r="K526" s="29">
        <v>6.36</v>
      </c>
      <c r="L526" s="29">
        <v>-1.4</v>
      </c>
      <c r="M526" s="30">
        <f>IFERROR(VLOOKUP($A526,HeadJournal!$A$1:$J$890,COLUMN(HeadJournal!I$1),0)*($K526+$L526)/(SUMIF($A:$A,$A526,$K:$K)+SUMIF($A:$A,$A526,$L:$L)),0)</f>
        <v>0</v>
      </c>
      <c r="N526" s="30">
        <f>IFERROR((VLOOKUP($A526,HeadJournal!$A$1:$K$890,COLUMN(HeadJournal!K$1),0)-VLOOKUP($A526,HeadJournal!$A$1:$K$890,COLUMN(HeadJournal!J$1),0))*($K526+$L526)/(SUMIF($A:$A,$A526,$K:$K)+SUMIF($A:$A,$A526,$L:$L)),0)</f>
        <v>8.6089574824307741E-16</v>
      </c>
      <c r="O526" s="30">
        <f>IFERROR((VLOOKUP($A526,HeadJournal!$A$1:$L$890,COLUMN(HeadJournal!L$1),0)*($K526+$L526)/(SUMIF($A:$A,$A526,$K:$K)+SUMIF($A:$A,$A526,$L:$L)))/VLOOKUP($A526,HeadJournal!$A$1:$L$890,COLUMN(HeadJournal!H$1),0),0)</f>
        <v>2.3573434087841587</v>
      </c>
      <c r="P526" s="30">
        <f>IFERROR(SUM(K526:O526)*VLOOKUP($A526,HeadJournal!$A$1:$L$890,COLUMN(HeadJournal!H$1),0),0)</f>
        <v>504.8966952061071</v>
      </c>
      <c r="Q526" s="29">
        <v>1700</v>
      </c>
      <c r="R526" s="31">
        <v>45006</v>
      </c>
      <c r="S526" s="31" t="s">
        <v>3121</v>
      </c>
      <c r="T526" s="95" t="str">
        <f t="shared" si="45"/>
        <v>2023 03</v>
      </c>
      <c r="U526" s="32">
        <f t="shared" si="42"/>
        <v>1195.1033047938929</v>
      </c>
      <c r="V526" s="22">
        <f t="shared" si="43"/>
        <v>2.3670254056743869</v>
      </c>
      <c r="X526" s="33"/>
      <c r="Y526" s="33"/>
    </row>
    <row r="527" spans="1:25" x14ac:dyDescent="0.2">
      <c r="A527" s="93" t="s">
        <v>264</v>
      </c>
      <c r="B527" s="94" t="str">
        <f>IFERROR(VLOOKUP($A527,HeadJournal!$A$1:$NTR$890,COLUMN(HeadJournal!B$1),0),"")</f>
        <v>922594405-0</v>
      </c>
      <c r="C527" s="94" t="str">
        <f>IFERROR(VLOOKUP($A527,HeadJournal!$A$1:$NTR$890,COLUMN(HeadJournal!C$1),0),"")</f>
        <v>iHerb_VP DFD1605</v>
      </c>
      <c r="D527" s="125" t="str">
        <f>IFERROR(VLOOKUP($A527,HeadJournal!$A$1:$NTR$890,COLUMN(HeadJournal!D$1),0),"")</f>
        <v>Доставлен</v>
      </c>
      <c r="E527" s="95">
        <f>IFERROR(VLOOKUP($A527,HeadJournal!$A$1:$NTR$890,COLUMN(HeadJournal!G$1),0),"")</f>
        <v>44909</v>
      </c>
      <c r="F527" s="95" t="str">
        <f t="shared" si="44"/>
        <v>2022 12</v>
      </c>
      <c r="G527" s="96" t="s">
        <v>5</v>
      </c>
      <c r="H527" s="160" t="str">
        <f>RIGHT(Journal!$J527,9)</f>
        <v>NWY-11536</v>
      </c>
      <c r="I527" s="96" t="str">
        <f t="shared" si="41"/>
        <v>Nature's Way</v>
      </c>
      <c r="J527" s="97" t="s">
        <v>266</v>
      </c>
      <c r="K527" s="29">
        <v>20.079999999999998</v>
      </c>
      <c r="L527" s="29">
        <v>-4.42</v>
      </c>
      <c r="M527" s="30">
        <f>IFERROR(VLOOKUP($A527,HeadJournal!$A$1:$J$890,COLUMN(HeadJournal!I$1),0)*($K527+$L527)/(SUMIF($A:$A,$A527,$K:$K)+SUMIF($A:$A,$A527,$L:$L)),0)</f>
        <v>0</v>
      </c>
      <c r="N527" s="30">
        <f>IFERROR((VLOOKUP($A527,HeadJournal!$A$1:$K$890,COLUMN(HeadJournal!K$1),0)-VLOOKUP($A527,HeadJournal!$A$1:$K$890,COLUMN(HeadJournal!J$1),0))*($K527+$L527)/(SUMIF($A:$A,$A527,$K:$K)+SUMIF($A:$A,$A527,$L:$L)),0)</f>
        <v>2.7180700438481025E-15</v>
      </c>
      <c r="O527" s="30">
        <f>IFERROR((VLOOKUP($A527,HeadJournal!$A$1:$L$890,COLUMN(HeadJournal!L$1),0)*($K527+$L527)/(SUMIF($A:$A,$A527,$K:$K)+SUMIF($A:$A,$A527,$L:$L)))/VLOOKUP($A527,HeadJournal!$A$1:$L$890,COLUMN(HeadJournal!H$1),0),0)</f>
        <v>7.4427414882177247</v>
      </c>
      <c r="P527" s="30">
        <f>IFERROR(SUM(K527:O527)*VLOOKUP($A527,HeadJournal!$A$1:$L$890,COLUMN(HeadJournal!H$1),0),0)</f>
        <v>1594.0891626870232</v>
      </c>
      <c r="Q527" s="29">
        <v>2200</v>
      </c>
      <c r="R527" s="31">
        <v>45237</v>
      </c>
      <c r="S527" s="31" t="s">
        <v>3121</v>
      </c>
      <c r="T527" s="95" t="str">
        <f t="shared" si="45"/>
        <v>2023 11</v>
      </c>
      <c r="U527" s="32">
        <f t="shared" si="42"/>
        <v>605.91083731297681</v>
      </c>
      <c r="V527" s="22">
        <f t="shared" si="43"/>
        <v>0.38009846092400718</v>
      </c>
      <c r="X527" s="33"/>
      <c r="Y527" s="33"/>
    </row>
    <row r="528" spans="1:25" x14ac:dyDescent="0.2">
      <c r="A528" s="93" t="s">
        <v>264</v>
      </c>
      <c r="B528" s="94" t="str">
        <f>IFERROR(VLOOKUP($A528,HeadJournal!$A$1:$NTR$890,COLUMN(HeadJournal!B$1),0),"")</f>
        <v>922594405-0</v>
      </c>
      <c r="C528" s="94" t="str">
        <f>IFERROR(VLOOKUP($A528,HeadJournal!$A$1:$NTR$890,COLUMN(HeadJournal!C$1),0),"")</f>
        <v>iHerb_VP DFD1605</v>
      </c>
      <c r="D528" s="125" t="str">
        <f>IFERROR(VLOOKUP($A528,HeadJournal!$A$1:$NTR$890,COLUMN(HeadJournal!D$1),0),"")</f>
        <v>Доставлен</v>
      </c>
      <c r="E528" s="95">
        <f>IFERROR(VLOOKUP($A528,HeadJournal!$A$1:$NTR$890,COLUMN(HeadJournal!G$1),0),"")</f>
        <v>44909</v>
      </c>
      <c r="F528" s="95" t="str">
        <f t="shared" si="44"/>
        <v>2022 12</v>
      </c>
      <c r="G528" s="96" t="s">
        <v>5</v>
      </c>
      <c r="H528" s="160" t="str">
        <f>RIGHT(Journal!$J528,9)</f>
        <v>NOW-02906</v>
      </c>
      <c r="I528" s="96" t="str">
        <f t="shared" si="41"/>
        <v>NOW Foods</v>
      </c>
      <c r="J528" s="97" t="s">
        <v>267</v>
      </c>
      <c r="K528" s="29">
        <v>20.78</v>
      </c>
      <c r="L528" s="29">
        <v>-4.57</v>
      </c>
      <c r="M528" s="30">
        <f>IFERROR(VLOOKUP($A528,HeadJournal!$A$1:$J$890,COLUMN(HeadJournal!I$1),0)*($K528+$L528)/(SUMIF($A:$A,$A528,$K:$K)+SUMIF($A:$A,$A528,$L:$L)),0)</f>
        <v>0</v>
      </c>
      <c r="N528" s="30">
        <f>IFERROR((VLOOKUP($A528,HeadJournal!$A$1:$K$890,COLUMN(HeadJournal!K$1),0)-VLOOKUP($A528,HeadJournal!$A$1:$K$890,COLUMN(HeadJournal!J$1),0))*($K528+$L528)/(SUMIF($A:$A,$A528,$K:$K)+SUMIF($A:$A,$A528,$L:$L)),0)</f>
        <v>2.8135322739960248E-15</v>
      </c>
      <c r="O528" s="30">
        <f>IFERROR((VLOOKUP($A528,HeadJournal!$A$1:$L$890,COLUMN(HeadJournal!L$1),0)*($K528+$L528)/(SUMIF($A:$A,$A528,$K:$K)+SUMIF($A:$A,$A528,$L:$L)))/VLOOKUP($A528,HeadJournal!$A$1:$L$890,COLUMN(HeadJournal!H$1),0),0)</f>
        <v>7.7041404549175825</v>
      </c>
      <c r="P528" s="30">
        <f>IFERROR(SUM(K528:O528)*VLOOKUP($A528,HeadJournal!$A$1:$L$890,COLUMN(HeadJournal!H$1),0),0)</f>
        <v>1650.0756913893135</v>
      </c>
      <c r="Q528" s="29">
        <v>2600</v>
      </c>
      <c r="R528" s="31">
        <v>45083</v>
      </c>
      <c r="S528" s="31" t="s">
        <v>3121</v>
      </c>
      <c r="T528" s="95" t="str">
        <f t="shared" si="45"/>
        <v>2023 06</v>
      </c>
      <c r="U528" s="32">
        <f t="shared" si="42"/>
        <v>949.92430861068647</v>
      </c>
      <c r="V528" s="22">
        <f t="shared" si="43"/>
        <v>0.5756852934491018</v>
      </c>
      <c r="X528" s="33"/>
      <c r="Y528" s="33"/>
    </row>
    <row r="529" spans="1:25" x14ac:dyDescent="0.2">
      <c r="A529" s="93" t="s">
        <v>264</v>
      </c>
      <c r="B529" s="94" t="str">
        <f>IFERROR(VLOOKUP($A529,HeadJournal!$A$1:$NTR$890,COLUMN(HeadJournal!B$1),0),"")</f>
        <v>922594405-0</v>
      </c>
      <c r="C529" s="94" t="str">
        <f>IFERROR(VLOOKUP($A529,HeadJournal!$A$1:$NTR$890,COLUMN(HeadJournal!C$1),0),"")</f>
        <v>iHerb_VP DFD1605</v>
      </c>
      <c r="D529" s="125" t="str">
        <f>IFERROR(VLOOKUP($A529,HeadJournal!$A$1:$NTR$890,COLUMN(HeadJournal!D$1),0),"")</f>
        <v>Доставлен</v>
      </c>
      <c r="E529" s="95">
        <f>IFERROR(VLOOKUP($A529,HeadJournal!$A$1:$NTR$890,COLUMN(HeadJournal!G$1),0),"")</f>
        <v>44909</v>
      </c>
      <c r="F529" s="95" t="str">
        <f t="shared" si="44"/>
        <v>2022 12</v>
      </c>
      <c r="G529" s="96" t="s">
        <v>5</v>
      </c>
      <c r="H529" s="160" t="str">
        <f>RIGHT(Journal!$J529,9)</f>
        <v>CEN-27542</v>
      </c>
      <c r="I529" s="96" t="str">
        <f t="shared" si="41"/>
        <v>21st Century</v>
      </c>
      <c r="J529" s="97" t="s">
        <v>268</v>
      </c>
      <c r="K529" s="29">
        <v>8.36</v>
      </c>
      <c r="L529" s="29">
        <v>-1.84</v>
      </c>
      <c r="M529" s="30">
        <f>IFERROR(VLOOKUP($A529,HeadJournal!$A$1:$J$890,COLUMN(HeadJournal!I$1),0)*($K529+$L529)/(SUMIF($A:$A,$A529,$K:$K)+SUMIF($A:$A,$A529,$L:$L)),0)</f>
        <v>0</v>
      </c>
      <c r="N529" s="30">
        <f>IFERROR((VLOOKUP($A529,HeadJournal!$A$1:$K$890,COLUMN(HeadJournal!K$1),0)-VLOOKUP($A529,HeadJournal!$A$1:$K$890,COLUMN(HeadJournal!J$1),0))*($K529+$L529)/(SUMIF($A:$A,$A529,$K:$K)+SUMIF($A:$A,$A529,$L:$L)),0)</f>
        <v>1.1316613464808192E-15</v>
      </c>
      <c r="O529" s="30">
        <f>IFERROR((VLOOKUP($A529,HeadJournal!$A$1:$L$890,COLUMN(HeadJournal!L$1),0)*($K529+$L529)/(SUMIF($A:$A,$A529,$K:$K)+SUMIF($A:$A,$A529,$L:$L)))/VLOOKUP($A529,HeadJournal!$A$1:$L$890,COLUMN(HeadJournal!H$1),0),0)</f>
        <v>3.0987659325146599</v>
      </c>
      <c r="P529" s="30">
        <f>IFERROR(SUM(K529:O529)*VLOOKUP($A529,HeadJournal!$A$1:$L$890,COLUMN(HeadJournal!H$1),0),0)</f>
        <v>663.69484934351158</v>
      </c>
      <c r="Q529" s="29">
        <v>1700</v>
      </c>
      <c r="R529" s="31">
        <v>44978</v>
      </c>
      <c r="S529" s="31" t="s">
        <v>3121</v>
      </c>
      <c r="T529" s="95" t="str">
        <f t="shared" si="45"/>
        <v>2023 02</v>
      </c>
      <c r="U529" s="32">
        <f t="shared" si="42"/>
        <v>1036.3051506564884</v>
      </c>
      <c r="V529" s="22">
        <f t="shared" si="43"/>
        <v>1.5614181000222336</v>
      </c>
      <c r="X529" s="33"/>
      <c r="Y529" s="33"/>
    </row>
    <row r="530" spans="1:25" x14ac:dyDescent="0.2">
      <c r="A530" s="93" t="s">
        <v>264</v>
      </c>
      <c r="B530" s="94" t="str">
        <f>IFERROR(VLOOKUP($A530,HeadJournal!$A$1:$NTR$890,COLUMN(HeadJournal!B$1),0),"")</f>
        <v>922594405-0</v>
      </c>
      <c r="C530" s="94" t="str">
        <f>IFERROR(VLOOKUP($A530,HeadJournal!$A$1:$NTR$890,COLUMN(HeadJournal!C$1),0),"")</f>
        <v>iHerb_VP DFD1605</v>
      </c>
      <c r="D530" s="125" t="str">
        <f>IFERROR(VLOOKUP($A530,HeadJournal!$A$1:$NTR$890,COLUMN(HeadJournal!D$1),0),"")</f>
        <v>Доставлен</v>
      </c>
      <c r="E530" s="95">
        <f>IFERROR(VLOOKUP($A530,HeadJournal!$A$1:$NTR$890,COLUMN(HeadJournal!G$1),0),"")</f>
        <v>44909</v>
      </c>
      <c r="F530" s="95" t="str">
        <f t="shared" si="44"/>
        <v>2022 12</v>
      </c>
      <c r="G530" s="96" t="s">
        <v>5</v>
      </c>
      <c r="H530" s="161" t="s">
        <v>2027</v>
      </c>
      <c r="I530" s="97" t="s">
        <v>2005</v>
      </c>
      <c r="J530" s="97" t="s">
        <v>4110</v>
      </c>
      <c r="K530" s="29">
        <v>6.48</v>
      </c>
      <c r="L530" s="29">
        <v>-1.43</v>
      </c>
      <c r="M530" s="30">
        <f>IFERROR(VLOOKUP($A530,HeadJournal!$A$1:$J$890,COLUMN(HeadJournal!I$1),0)*($K530+$L530)/(SUMIF($A:$A,$A530,$K:$K)+SUMIF($A:$A,$A530,$L:$L)),0)</f>
        <v>0</v>
      </c>
      <c r="N530" s="30">
        <f>IFERROR((VLOOKUP($A530,HeadJournal!$A$1:$K$890,COLUMN(HeadJournal!K$1),0)-VLOOKUP($A530,HeadJournal!$A$1:$K$890,COLUMN(HeadJournal!J$1),0))*($K530+$L530)/(SUMIF($A:$A,$A530,$K:$K)+SUMIF($A:$A,$A530,$L:$L)),0)</f>
        <v>8.7651684044910095E-16</v>
      </c>
      <c r="O530" s="30">
        <f>IFERROR((VLOOKUP($A530,HeadJournal!$A$1:$L$890,COLUMN(HeadJournal!L$1),0)*($K530+$L530)/(SUMIF($A:$A,$A530,$K:$K)+SUMIF($A:$A,$A530,$L:$L)))/VLOOKUP($A530,HeadJournal!$A$1:$L$890,COLUMN(HeadJournal!H$1),0),0)</f>
        <v>2.4001177851532258</v>
      </c>
      <c r="P530" s="30">
        <f>IFERROR(SUM(K530:O530)*VLOOKUP($A530,HeadJournal!$A$1:$L$890,COLUMN(HeadJournal!H$1),0),0)</f>
        <v>514.05812717557274</v>
      </c>
      <c r="Q530" s="29">
        <v>1000</v>
      </c>
      <c r="R530" s="31">
        <v>44968</v>
      </c>
      <c r="S530" s="31" t="s">
        <v>3121</v>
      </c>
      <c r="T530" s="95" t="str">
        <f t="shared" si="45"/>
        <v>2023 02</v>
      </c>
      <c r="U530" s="32">
        <f t="shared" si="42"/>
        <v>485.94187282442726</v>
      </c>
      <c r="V530" s="22">
        <f t="shared" si="43"/>
        <v>0.94530530135643087</v>
      </c>
      <c r="X530" s="33"/>
      <c r="Y530" s="33"/>
    </row>
    <row r="531" spans="1:25" x14ac:dyDescent="0.2">
      <c r="A531" s="93" t="s">
        <v>264</v>
      </c>
      <c r="B531" s="94" t="str">
        <f>IFERROR(VLOOKUP($A531,HeadJournal!$A$1:$NTR$890,COLUMN(HeadJournal!B$1),0),"")</f>
        <v>922594405-0</v>
      </c>
      <c r="C531" s="94" t="str">
        <f>IFERROR(VLOOKUP($A531,HeadJournal!$A$1:$NTR$890,COLUMN(HeadJournal!C$1),0),"")</f>
        <v>iHerb_VP DFD1605</v>
      </c>
      <c r="D531" s="125" t="str">
        <f>IFERROR(VLOOKUP($A531,HeadJournal!$A$1:$NTR$890,COLUMN(HeadJournal!D$1),0),"")</f>
        <v>Доставлен</v>
      </c>
      <c r="E531" s="95">
        <f>IFERROR(VLOOKUP($A531,HeadJournal!$A$1:$NTR$890,COLUMN(HeadJournal!G$1),0),"")</f>
        <v>44909</v>
      </c>
      <c r="F531" s="95" t="str">
        <f t="shared" si="44"/>
        <v>2022 12</v>
      </c>
      <c r="G531" s="96" t="s">
        <v>5</v>
      </c>
      <c r="H531" s="161" t="s">
        <v>2773</v>
      </c>
      <c r="I531" s="97" t="s">
        <v>2005</v>
      </c>
      <c r="J531" s="97" t="s">
        <v>2774</v>
      </c>
      <c r="K531" s="29">
        <v>11.44</v>
      </c>
      <c r="L531" s="29">
        <v>-2.52</v>
      </c>
      <c r="M531" s="30">
        <f>IFERROR(VLOOKUP($A531,HeadJournal!$A$1:$J$890,COLUMN(HeadJournal!I$1),0)*($K531+$L531)/(SUMIF($A:$A,$A531,$K:$K)+SUMIF($A:$A,$A531,$L:$L)),0)</f>
        <v>0</v>
      </c>
      <c r="N531" s="30">
        <f>IFERROR((VLOOKUP($A531,HeadJournal!$A$1:$K$890,COLUMN(HeadJournal!K$1),0)-VLOOKUP($A531,HeadJournal!$A$1:$K$890,COLUMN(HeadJournal!J$1),0))*($K531+$L531)/(SUMIF($A:$A,$A531,$K:$K)+SUMIF($A:$A,$A531,$L:$L)),0)</f>
        <v>1.5482238053081147E-15</v>
      </c>
      <c r="O531" s="30">
        <f>IFERROR((VLOOKUP($A531,HeadJournal!$A$1:$L$890,COLUMN(HeadJournal!L$1),0)*($K531+$L531)/(SUMIF($A:$A,$A531,$K:$K)+SUMIF($A:$A,$A531,$L:$L)))/VLOOKUP($A531,HeadJournal!$A$1:$L$890,COLUMN(HeadJournal!H$1),0),0)</f>
        <v>4.2394159690231232</v>
      </c>
      <c r="P531" s="30">
        <f>IFERROR(SUM(K531:O531)*VLOOKUP($A531,HeadJournal!$A$1:$L$890,COLUMN(HeadJournal!H$1),0),0)</f>
        <v>907.99970186259566</v>
      </c>
      <c r="Q531" s="29">
        <v>1700</v>
      </c>
      <c r="R531" s="31">
        <v>45023</v>
      </c>
      <c r="S531" s="31" t="s">
        <v>3121</v>
      </c>
      <c r="T531" s="95" t="str">
        <f t="shared" si="45"/>
        <v>2023 04</v>
      </c>
      <c r="U531" s="32">
        <f t="shared" si="42"/>
        <v>792.00029813740434</v>
      </c>
      <c r="V531" s="22">
        <f t="shared" si="43"/>
        <v>0.8722473107785832</v>
      </c>
      <c r="X531" s="33"/>
      <c r="Y531" s="33"/>
    </row>
    <row r="532" spans="1:25" x14ac:dyDescent="0.2">
      <c r="A532" s="93" t="s">
        <v>264</v>
      </c>
      <c r="B532" s="94" t="str">
        <f>IFERROR(VLOOKUP($A532,HeadJournal!$A$1:$NTR$890,COLUMN(HeadJournal!B$1),0),"")</f>
        <v>922594405-0</v>
      </c>
      <c r="C532" s="94" t="str">
        <f>IFERROR(VLOOKUP($A532,HeadJournal!$A$1:$NTR$890,COLUMN(HeadJournal!C$1),0),"")</f>
        <v>iHerb_VP DFD1605</v>
      </c>
      <c r="D532" s="125" t="str">
        <f>IFERROR(VLOOKUP($A532,HeadJournal!$A$1:$NTR$890,COLUMN(HeadJournal!D$1),0),"")</f>
        <v>Доставлен</v>
      </c>
      <c r="E532" s="95">
        <f>IFERROR(VLOOKUP($A532,HeadJournal!$A$1:$NTR$890,COLUMN(HeadJournal!G$1),0),"")</f>
        <v>44909</v>
      </c>
      <c r="F532" s="95" t="str">
        <f t="shared" si="44"/>
        <v>2022 12</v>
      </c>
      <c r="G532" s="96" t="s">
        <v>5</v>
      </c>
      <c r="H532" s="161" t="s">
        <v>2016</v>
      </c>
      <c r="I532" s="97" t="s">
        <v>2005</v>
      </c>
      <c r="J532" s="97" t="s">
        <v>2017</v>
      </c>
      <c r="K532" s="29">
        <v>24.51</v>
      </c>
      <c r="L532" s="29">
        <v>-5.39</v>
      </c>
      <c r="M532" s="30">
        <f>IFERROR(VLOOKUP($A532,HeadJournal!$A$1:$J$890,COLUMN(HeadJournal!I$1),0)*($K532+$L532)/(SUMIF($A:$A,$A532,$K:$K)+SUMIF($A:$A,$A532,$L:$L)),0)</f>
        <v>0</v>
      </c>
      <c r="N532" s="30">
        <f>IFERROR((VLOOKUP($A532,HeadJournal!$A$1:$K$890,COLUMN(HeadJournal!K$1),0)-VLOOKUP($A532,HeadJournal!$A$1:$K$890,COLUMN(HeadJournal!J$1),0))*($K532+$L532)/(SUMIF($A:$A,$A532,$K:$K)+SUMIF($A:$A,$A532,$L:$L)),0)</f>
        <v>3.3186142553241206E-15</v>
      </c>
      <c r="O532" s="30">
        <f>IFERROR((VLOOKUP($A532,HeadJournal!$A$1:$L$890,COLUMN(HeadJournal!L$1),0)*($K532+$L532)/(SUMIF($A:$A,$A532,$K:$K)+SUMIF($A:$A,$A532,$L:$L)))/VLOOKUP($A532,HeadJournal!$A$1:$L$890,COLUMN(HeadJournal!H$1),0),0)</f>
        <v>9.0871786241840926</v>
      </c>
      <c r="P532" s="30">
        <f>IFERROR(SUM(K532:O532)*VLOOKUP($A532,HeadJournal!$A$1:$L$890,COLUMN(HeadJournal!H$1),0),0)</f>
        <v>1946.2953250687026</v>
      </c>
      <c r="Q532" s="29">
        <v>3300</v>
      </c>
      <c r="R532" s="31">
        <v>44968</v>
      </c>
      <c r="S532" s="31" t="s">
        <v>3121</v>
      </c>
      <c r="T532" s="95" t="str">
        <f t="shared" si="45"/>
        <v>2023 02</v>
      </c>
      <c r="U532" s="32">
        <f t="shared" si="42"/>
        <v>1353.7046749312974</v>
      </c>
      <c r="V532" s="22">
        <f t="shared" si="43"/>
        <v>0.69552891459753818</v>
      </c>
      <c r="X532" s="33"/>
      <c r="Y532" s="33"/>
    </row>
    <row r="533" spans="1:25" x14ac:dyDescent="0.2">
      <c r="A533" s="93" t="s">
        <v>264</v>
      </c>
      <c r="B533" s="94" t="str">
        <f>IFERROR(VLOOKUP($A533,HeadJournal!$A$1:$NTR$890,COLUMN(HeadJournal!B$1),0),"")</f>
        <v>922594405-0</v>
      </c>
      <c r="C533" s="94" t="str">
        <f>IFERROR(VLOOKUP($A533,HeadJournal!$A$1:$NTR$890,COLUMN(HeadJournal!C$1),0),"")</f>
        <v>iHerb_VP DFD1605</v>
      </c>
      <c r="D533" s="125" t="str">
        <f>IFERROR(VLOOKUP($A533,HeadJournal!$A$1:$NTR$890,COLUMN(HeadJournal!D$1),0),"")</f>
        <v>Доставлен</v>
      </c>
      <c r="E533" s="95">
        <f>IFERROR(VLOOKUP($A533,HeadJournal!$A$1:$NTR$890,COLUMN(HeadJournal!G$1),0),"")</f>
        <v>44909</v>
      </c>
      <c r="F533" s="95" t="str">
        <f t="shared" si="44"/>
        <v>2022 12</v>
      </c>
      <c r="G533" s="96" t="s">
        <v>5</v>
      </c>
      <c r="H533" s="161" t="s">
        <v>2624</v>
      </c>
      <c r="I533" s="97" t="s">
        <v>2005</v>
      </c>
      <c r="J533" s="97" t="s">
        <v>2625</v>
      </c>
      <c r="K533" s="29">
        <v>14.95</v>
      </c>
      <c r="L533" s="29">
        <v>-3.29</v>
      </c>
      <c r="M533" s="30">
        <f>IFERROR(VLOOKUP($A533,HeadJournal!$A$1:$J$890,COLUMN(HeadJournal!I$1),0)*($K533+$L533)/(SUMIF($A:$A,$A533,$K:$K)+SUMIF($A:$A,$A533,$L:$L)),0)</f>
        <v>0</v>
      </c>
      <c r="N533" s="30">
        <f>IFERROR((VLOOKUP($A533,HeadJournal!$A$1:$K$890,COLUMN(HeadJournal!K$1),0)-VLOOKUP($A533,HeadJournal!$A$1:$K$890,COLUMN(HeadJournal!J$1),0))*($K533+$L533)/(SUMIF($A:$A,$A533,$K:$K)+SUMIF($A:$A,$A533,$L:$L)),0)</f>
        <v>2.0237992791359437E-15</v>
      </c>
      <c r="O533" s="30">
        <f>IFERROR((VLOOKUP($A533,HeadJournal!$A$1:$L$890,COLUMN(HeadJournal!L$1),0)*($K533+$L533)/(SUMIF($A:$A,$A533,$K:$K)+SUMIF($A:$A,$A533,$L:$L)))/VLOOKUP($A533,HeadJournal!$A$1:$L$890,COLUMN(HeadJournal!H$1),0),0)</f>
        <v>5.5416580940369533</v>
      </c>
      <c r="P533" s="30">
        <f>IFERROR(SUM(K533:O533)*VLOOKUP($A533,HeadJournal!$A$1:$L$890,COLUMN(HeadJournal!H$1),0),0)</f>
        <v>1186.91440848855</v>
      </c>
      <c r="Q533" s="29">
        <v>2200</v>
      </c>
      <c r="R533" s="31">
        <v>44966</v>
      </c>
      <c r="S533" s="31" t="s">
        <v>3121</v>
      </c>
      <c r="T533" s="95" t="str">
        <f t="shared" si="45"/>
        <v>2023 02</v>
      </c>
      <c r="U533" s="32">
        <f t="shared" si="42"/>
        <v>1013.08559151145</v>
      </c>
      <c r="V533" s="22">
        <f t="shared" si="43"/>
        <v>0.85354561733018441</v>
      </c>
      <c r="X533" s="33"/>
      <c r="Y533" s="33"/>
    </row>
    <row r="534" spans="1:25" x14ac:dyDescent="0.2">
      <c r="A534" s="93" t="s">
        <v>264</v>
      </c>
      <c r="B534" s="94" t="str">
        <f>IFERROR(VLOOKUP($A534,HeadJournal!$A$1:$NTR$890,COLUMN(HeadJournal!B$1),0),"")</f>
        <v>922594405-0</v>
      </c>
      <c r="C534" s="94" t="str">
        <f>IFERROR(VLOOKUP($A534,HeadJournal!$A$1:$NTR$890,COLUMN(HeadJournal!C$1),0),"")</f>
        <v>iHerb_VP DFD1605</v>
      </c>
      <c r="D534" s="125" t="str">
        <f>IFERROR(VLOOKUP($A534,HeadJournal!$A$1:$NTR$890,COLUMN(HeadJournal!D$1),0),"")</f>
        <v>Доставлен</v>
      </c>
      <c r="E534" s="95">
        <f>IFERROR(VLOOKUP($A534,HeadJournal!$A$1:$NTR$890,COLUMN(HeadJournal!G$1),0),"")</f>
        <v>44909</v>
      </c>
      <c r="F534" s="95" t="str">
        <f t="shared" si="44"/>
        <v>2022 12</v>
      </c>
      <c r="G534" s="96" t="s">
        <v>5</v>
      </c>
      <c r="H534" s="161" t="s">
        <v>2832</v>
      </c>
      <c r="I534" s="97" t="s">
        <v>2005</v>
      </c>
      <c r="J534" s="97" t="s">
        <v>2833</v>
      </c>
      <c r="K534" s="29">
        <v>12.14</v>
      </c>
      <c r="L534" s="29">
        <v>-2.67</v>
      </c>
      <c r="M534" s="30">
        <f>IFERROR(VLOOKUP($A534,HeadJournal!$A$1:$J$890,COLUMN(HeadJournal!I$1),0)*($K534+$L534)/(SUMIF($A:$A,$A534,$K:$K)+SUMIF($A:$A,$A534,$L:$L)),0)</f>
        <v>0</v>
      </c>
      <c r="N534" s="30">
        <f>IFERROR((VLOOKUP($A534,HeadJournal!$A$1:$K$890,COLUMN(HeadJournal!K$1),0)-VLOOKUP($A534,HeadJournal!$A$1:$K$890,COLUMN(HeadJournal!J$1),0))*($K534+$L534)/(SUMIF($A:$A,$A534,$K:$K)+SUMIF($A:$A,$A534,$L:$L)),0)</f>
        <v>1.6436860354560368E-15</v>
      </c>
      <c r="O534" s="30">
        <f>IFERROR((VLOOKUP($A534,HeadJournal!$A$1:$L$890,COLUMN(HeadJournal!L$1),0)*($K534+$L534)/(SUMIF($A:$A,$A534,$K:$K)+SUMIF($A:$A,$A534,$L:$L)))/VLOOKUP($A534,HeadJournal!$A$1:$L$890,COLUMN(HeadJournal!H$1),0),0)</f>
        <v>4.5008149357229801</v>
      </c>
      <c r="P534" s="30">
        <f>IFERROR(SUM(K534:O534)*VLOOKUP($A534,HeadJournal!$A$1:$L$890,COLUMN(HeadJournal!H$1),0),0)</f>
        <v>963.98623056488577</v>
      </c>
      <c r="Q534" s="29">
        <v>2000</v>
      </c>
      <c r="R534" s="31">
        <v>44992</v>
      </c>
      <c r="S534" s="31" t="s">
        <v>3121</v>
      </c>
      <c r="T534" s="95" t="str">
        <f t="shared" si="45"/>
        <v>2023 03</v>
      </c>
      <c r="U534" s="32">
        <f t="shared" si="42"/>
        <v>1036.0137694351142</v>
      </c>
      <c r="V534" s="22">
        <f t="shared" si="43"/>
        <v>1.0747184312249161</v>
      </c>
      <c r="X534" s="33"/>
      <c r="Y534" s="33"/>
    </row>
    <row r="535" spans="1:25" x14ac:dyDescent="0.2">
      <c r="A535" s="93" t="s">
        <v>264</v>
      </c>
      <c r="B535" s="94" t="str">
        <f>IFERROR(VLOOKUP($A535,HeadJournal!$A$1:$NTR$890,COLUMN(HeadJournal!B$1),0),"")</f>
        <v>922594405-0</v>
      </c>
      <c r="C535" s="94" t="str">
        <f>IFERROR(VLOOKUP($A535,HeadJournal!$A$1:$NTR$890,COLUMN(HeadJournal!C$1),0),"")</f>
        <v>iHerb_VP DFD1605</v>
      </c>
      <c r="D535" s="125" t="str">
        <f>IFERROR(VLOOKUP($A535,HeadJournal!$A$1:$NTR$890,COLUMN(HeadJournal!D$1),0),"")</f>
        <v>Доставлен</v>
      </c>
      <c r="E535" s="95">
        <f>IFERROR(VLOOKUP($A535,HeadJournal!$A$1:$NTR$890,COLUMN(HeadJournal!G$1),0),"")</f>
        <v>44909</v>
      </c>
      <c r="F535" s="95" t="str">
        <f t="shared" si="44"/>
        <v>2022 12</v>
      </c>
      <c r="G535" s="96" t="s">
        <v>5</v>
      </c>
      <c r="H535" s="160" t="str">
        <f>RIGHT(Journal!$J535,9)</f>
        <v>NOW-03255</v>
      </c>
      <c r="I535" s="96" t="str">
        <f t="shared" si="41"/>
        <v>NOW Foods</v>
      </c>
      <c r="J535" s="97" t="s">
        <v>269</v>
      </c>
      <c r="K535" s="29">
        <v>3.79</v>
      </c>
      <c r="L535" s="29">
        <v>-0.83</v>
      </c>
      <c r="M535" s="30">
        <f>IFERROR(VLOOKUP($A535,HeadJournal!$A$1:$J$890,COLUMN(HeadJournal!I$1),0)*($K535+$L535)/(SUMIF($A:$A,$A535,$K:$K)+SUMIF($A:$A,$A535,$L:$L)),0)</f>
        <v>0</v>
      </c>
      <c r="N535" s="30">
        <f>IFERROR((VLOOKUP($A535,HeadJournal!$A$1:$K$890,COLUMN(HeadJournal!K$1),0)-VLOOKUP($A535,HeadJournal!$A$1:$K$890,COLUMN(HeadJournal!J$1),0))*($K535+$L535)/(SUMIF($A:$A,$A535,$K:$K)+SUMIF($A:$A,$A535,$L:$L)),0)</f>
        <v>5.1376036588699769E-16</v>
      </c>
      <c r="O535" s="30">
        <f>IFERROR((VLOOKUP($A535,HeadJournal!$A$1:$L$890,COLUMN(HeadJournal!L$1),0)*($K535+$L535)/(SUMIF($A:$A,$A535,$K:$K)+SUMIF($A:$A,$A535,$L:$L)))/VLOOKUP($A535,HeadJournal!$A$1:$L$890,COLUMN(HeadJournal!H$1),0),0)</f>
        <v>1.4068017116937719</v>
      </c>
      <c r="P535" s="30">
        <f>IFERROR(SUM(K535:O535)*VLOOKUP($A535,HeadJournal!$A$1:$L$890,COLUMN(HeadJournal!H$1),0),0)</f>
        <v>301.30931810687025</v>
      </c>
      <c r="Q535" s="29">
        <v>700</v>
      </c>
      <c r="R535" s="31">
        <v>44975</v>
      </c>
      <c r="S535" s="31" t="s">
        <v>3121</v>
      </c>
      <c r="T535" s="95" t="str">
        <f t="shared" si="45"/>
        <v>2023 02</v>
      </c>
      <c r="U535" s="32">
        <f t="shared" si="42"/>
        <v>398.69068189312975</v>
      </c>
      <c r="V535" s="22">
        <f t="shared" si="43"/>
        <v>1.3231940000996574</v>
      </c>
      <c r="X535" s="33"/>
      <c r="Y535" s="33"/>
    </row>
    <row r="536" spans="1:25" x14ac:dyDescent="0.2">
      <c r="A536" s="93" t="s">
        <v>264</v>
      </c>
      <c r="B536" s="94" t="str">
        <f>IFERROR(VLOOKUP($A536,HeadJournal!$A$1:$NTR$890,COLUMN(HeadJournal!B$1),0),"")</f>
        <v>922594405-0</v>
      </c>
      <c r="C536" s="94" t="str">
        <f>IFERROR(VLOOKUP($A536,HeadJournal!$A$1:$NTR$890,COLUMN(HeadJournal!C$1),0),"")</f>
        <v>iHerb_VP DFD1605</v>
      </c>
      <c r="D536" s="125" t="str">
        <f>IFERROR(VLOOKUP($A536,HeadJournal!$A$1:$NTR$890,COLUMN(HeadJournal!D$1),0),"")</f>
        <v>Доставлен</v>
      </c>
      <c r="E536" s="95">
        <f>IFERROR(VLOOKUP($A536,HeadJournal!$A$1:$NTR$890,COLUMN(HeadJournal!G$1),0),"")</f>
        <v>44909</v>
      </c>
      <c r="F536" s="95" t="str">
        <f t="shared" si="44"/>
        <v>2022 12</v>
      </c>
      <c r="G536" s="96" t="s">
        <v>5</v>
      </c>
      <c r="H536" s="175" t="s">
        <v>3654</v>
      </c>
      <c r="I536" s="176" t="s">
        <v>2005</v>
      </c>
      <c r="J536" s="97" t="s">
        <v>3703</v>
      </c>
      <c r="K536" s="29">
        <v>9.09</v>
      </c>
      <c r="L536" s="29">
        <v>-2</v>
      </c>
      <c r="M536" s="30">
        <f>IFERROR(VLOOKUP($A536,HeadJournal!$A$1:$J$890,COLUMN(HeadJournal!I$1),0)*($K536+$L536)/(SUMIF($A:$A,$A536,$K:$K)+SUMIF($A:$A,$A536,$L:$L)),0)</f>
        <v>0</v>
      </c>
      <c r="N536" s="30">
        <f>IFERROR((VLOOKUP($A536,HeadJournal!$A$1:$K$890,COLUMN(HeadJournal!K$1),0)-VLOOKUP($A536,HeadJournal!$A$1:$K$890,COLUMN(HeadJournal!J$1),0))*($K536+$L536)/(SUMIF($A:$A,$A536,$K:$K)+SUMIF($A:$A,$A536,$L:$L)),0)</f>
        <v>1.2305949304523019E-15</v>
      </c>
      <c r="O536" s="30">
        <f>IFERROR((VLOOKUP($A536,HeadJournal!$A$1:$L$890,COLUMN(HeadJournal!L$1),0)*($K536+$L536)/(SUMIF($A:$A,$A536,$K:$K)+SUMIF($A:$A,$A536,$L:$L)))/VLOOKUP($A536,HeadJournal!$A$1:$L$890,COLUMN(HeadJournal!H$1),0),0)</f>
        <v>3.3696703161854193</v>
      </c>
      <c r="P536" s="30">
        <f>IFERROR(SUM(K536:O536)*VLOOKUP($A536,HeadJournal!$A$1:$L$890,COLUMN(HeadJournal!H$1),0),0)</f>
        <v>721.71725181679403</v>
      </c>
      <c r="Q536" s="29">
        <v>1500</v>
      </c>
      <c r="R536" s="31">
        <v>44969</v>
      </c>
      <c r="S536" s="31" t="s">
        <v>3121</v>
      </c>
      <c r="T536" s="95" t="str">
        <f t="shared" si="45"/>
        <v>2023 02</v>
      </c>
      <c r="U536" s="32">
        <f t="shared" si="42"/>
        <v>778.28274818320597</v>
      </c>
      <c r="V536" s="22">
        <f t="shared" si="43"/>
        <v>1.07837625638575</v>
      </c>
      <c r="X536" s="33"/>
      <c r="Y536" s="33"/>
    </row>
    <row r="537" spans="1:25" x14ac:dyDescent="0.2">
      <c r="A537" s="93" t="s">
        <v>264</v>
      </c>
      <c r="B537" s="94" t="str">
        <f>IFERROR(VLOOKUP($A537,HeadJournal!$A$1:$NTR$890,COLUMN(HeadJournal!B$1),0),"")</f>
        <v>922594405-0</v>
      </c>
      <c r="C537" s="94" t="str">
        <f>IFERROR(VLOOKUP($A537,HeadJournal!$A$1:$NTR$890,COLUMN(HeadJournal!C$1),0),"")</f>
        <v>iHerb_VP DFD1605</v>
      </c>
      <c r="D537" s="125" t="str">
        <f>IFERROR(VLOOKUP($A537,HeadJournal!$A$1:$NTR$890,COLUMN(HeadJournal!D$1),0),"")</f>
        <v>Доставлен</v>
      </c>
      <c r="E537" s="95">
        <f>IFERROR(VLOOKUP($A537,HeadJournal!$A$1:$NTR$890,COLUMN(HeadJournal!G$1),0),"")</f>
        <v>44909</v>
      </c>
      <c r="F537" s="95" t="str">
        <f t="shared" si="44"/>
        <v>2022 12</v>
      </c>
      <c r="G537" s="96" t="s">
        <v>5</v>
      </c>
      <c r="H537" s="160" t="str">
        <f>RIGHT(Journal!$J537,9)</f>
        <v>NOW-04603</v>
      </c>
      <c r="I537" s="96" t="str">
        <f t="shared" si="41"/>
        <v>NOW Foods</v>
      </c>
      <c r="J537" s="97" t="s">
        <v>153</v>
      </c>
      <c r="K537" s="29">
        <v>8.57</v>
      </c>
      <c r="L537" s="29">
        <v>-1.89</v>
      </c>
      <c r="M537" s="30">
        <f>IFERROR(VLOOKUP($A537,HeadJournal!$A$1:$J$890,COLUMN(HeadJournal!I$1),0)*($K537+$L537)/(SUMIF($A:$A,$A537,$K:$K)+SUMIF($A:$A,$A537,$L:$L)),0)</f>
        <v>0</v>
      </c>
      <c r="N537" s="30">
        <f>IFERROR((VLOOKUP($A537,HeadJournal!$A$1:$K$890,COLUMN(HeadJournal!K$1),0)-VLOOKUP($A537,HeadJournal!$A$1:$K$890,COLUMN(HeadJournal!J$1),0))*($K537+$L537)/(SUMIF($A:$A,$A537,$K:$K)+SUMIF($A:$A,$A537,$L:$L)),0)</f>
        <v>1.1594321770693058E-15</v>
      </c>
      <c r="O537" s="30">
        <f>IFERROR((VLOOKUP($A537,HeadJournal!$A$1:$L$890,COLUMN(HeadJournal!L$1),0)*($K537+$L537)/(SUMIF($A:$A,$A537,$K:$K)+SUMIF($A:$A,$A537,$L:$L)))/VLOOKUP($A537,HeadJournal!$A$1:$L$890,COLUMN(HeadJournal!H$1),0),0)</f>
        <v>3.1748092682818907</v>
      </c>
      <c r="P537" s="30">
        <f>IFERROR(SUM(K537:O537)*VLOOKUP($A537,HeadJournal!$A$1:$L$890,COLUMN(HeadJournal!H$1),0),0)</f>
        <v>679.98183951145052</v>
      </c>
      <c r="Q537" s="29">
        <v>1400</v>
      </c>
      <c r="R537" s="31">
        <v>44977</v>
      </c>
      <c r="S537" s="31" t="s">
        <v>3121</v>
      </c>
      <c r="T537" s="95" t="str">
        <f t="shared" si="45"/>
        <v>2023 02</v>
      </c>
      <c r="U537" s="32">
        <f t="shared" si="42"/>
        <v>720.01816048854948</v>
      </c>
      <c r="V537" s="22">
        <f t="shared" si="43"/>
        <v>1.0588785150583786</v>
      </c>
      <c r="X537" s="33"/>
      <c r="Y537" s="33"/>
    </row>
    <row r="538" spans="1:25" x14ac:dyDescent="0.2">
      <c r="A538" s="93" t="s">
        <v>264</v>
      </c>
      <c r="B538" s="94" t="str">
        <f>IFERROR(VLOOKUP($A538,HeadJournal!$A$1:$NTR$890,COLUMN(HeadJournal!B$1),0),"")</f>
        <v>922594405-0</v>
      </c>
      <c r="C538" s="94" t="str">
        <f>IFERROR(VLOOKUP($A538,HeadJournal!$A$1:$NTR$890,COLUMN(HeadJournal!C$1),0),"")</f>
        <v>iHerb_VP DFD1605</v>
      </c>
      <c r="D538" s="125" t="str">
        <f>IFERROR(VLOOKUP($A538,HeadJournal!$A$1:$NTR$890,COLUMN(HeadJournal!D$1),0),"")</f>
        <v>Доставлен</v>
      </c>
      <c r="E538" s="95">
        <f>IFERROR(VLOOKUP($A538,HeadJournal!$A$1:$NTR$890,COLUMN(HeadJournal!G$1),0),"")</f>
        <v>44909</v>
      </c>
      <c r="F538" s="95" t="str">
        <f t="shared" si="44"/>
        <v>2022 12</v>
      </c>
      <c r="G538" s="96" t="s">
        <v>5</v>
      </c>
      <c r="H538" s="160" t="str">
        <f>RIGHT(Journal!$J538,9)</f>
        <v>HBI-02026</v>
      </c>
      <c r="I538" s="96" t="str">
        <f t="shared" si="41"/>
        <v>HealthyBiom</v>
      </c>
      <c r="J538" s="97" t="s">
        <v>270</v>
      </c>
      <c r="K538" s="29">
        <v>15</v>
      </c>
      <c r="L538" s="29">
        <v>-3</v>
      </c>
      <c r="M538" s="30">
        <f>IFERROR(VLOOKUP($A538,HeadJournal!$A$1:$J$890,COLUMN(HeadJournal!I$1),0)*($K538+$L538)/(SUMIF($A:$A,$A538,$K:$K)+SUMIF($A:$A,$A538,$L:$L)),0)</f>
        <v>0</v>
      </c>
      <c r="N538" s="30">
        <f>IFERROR((VLOOKUP($A538,HeadJournal!$A$1:$K$890,COLUMN(HeadJournal!K$1),0)-VLOOKUP($A538,HeadJournal!$A$1:$K$890,COLUMN(HeadJournal!J$1),0))*($K538+$L538)/(SUMIF($A:$A,$A538,$K:$K)+SUMIF($A:$A,$A538,$L:$L)),0)</f>
        <v>2.0828122941364774E-15</v>
      </c>
      <c r="O538" s="30">
        <f>IFERROR((VLOOKUP($A538,HeadJournal!$A$1:$L$890,COLUMN(HeadJournal!L$1),0)*($K538+$L538)/(SUMIF($A:$A,$A538,$K:$K)+SUMIF($A:$A,$A538,$L:$L)))/VLOOKUP($A538,HeadJournal!$A$1:$L$890,COLUMN(HeadJournal!H$1),0),0)</f>
        <v>5.7032501825423179</v>
      </c>
      <c r="P538" s="30">
        <f>IFERROR(SUM(K538:O538)*VLOOKUP($A538,HeadJournal!$A$1:$L$890,COLUMN(HeadJournal!H$1),0),0)</f>
        <v>1221.5242625954202</v>
      </c>
      <c r="Q538" s="29">
        <v>2200</v>
      </c>
      <c r="R538" s="31">
        <v>44995</v>
      </c>
      <c r="S538" s="31" t="s">
        <v>3121</v>
      </c>
      <c r="T538" s="95" t="str">
        <f t="shared" si="45"/>
        <v>2023 03</v>
      </c>
      <c r="U538" s="32">
        <f t="shared" si="42"/>
        <v>978.47573740457983</v>
      </c>
      <c r="V538" s="22">
        <f t="shared" si="43"/>
        <v>0.80102849150582922</v>
      </c>
      <c r="X538" s="33"/>
      <c r="Y538" s="33"/>
    </row>
    <row r="539" spans="1:25" x14ac:dyDescent="0.2">
      <c r="A539" s="93" t="s">
        <v>264</v>
      </c>
      <c r="B539" s="94" t="str">
        <f>IFERROR(VLOOKUP($A539,HeadJournal!$A$1:$NTR$890,COLUMN(HeadJournal!B$1),0),"")</f>
        <v>922594405-0</v>
      </c>
      <c r="C539" s="94" t="str">
        <f>IFERROR(VLOOKUP($A539,HeadJournal!$A$1:$NTR$890,COLUMN(HeadJournal!C$1),0),"")</f>
        <v>iHerb_VP DFD1605</v>
      </c>
      <c r="D539" s="125" t="str">
        <f>IFERROR(VLOOKUP($A539,HeadJournal!$A$1:$NTR$890,COLUMN(HeadJournal!D$1),0),"")</f>
        <v>Доставлен</v>
      </c>
      <c r="E539" s="95">
        <f>IFERROR(VLOOKUP($A539,HeadJournal!$A$1:$NTR$890,COLUMN(HeadJournal!G$1),0),"")</f>
        <v>44909</v>
      </c>
      <c r="F539" s="95" t="str">
        <f t="shared" si="44"/>
        <v>2022 12</v>
      </c>
      <c r="G539" s="96" t="s">
        <v>5</v>
      </c>
      <c r="H539" s="160" t="str">
        <f>RIGHT(Journal!$J539,9)</f>
        <v>SBL-00110</v>
      </c>
      <c r="I539" s="96" t="str">
        <f t="shared" si="41"/>
        <v>Sambucol</v>
      </c>
      <c r="J539" s="97" t="s">
        <v>271</v>
      </c>
      <c r="K539" s="29">
        <v>10.9</v>
      </c>
      <c r="L539" s="29">
        <v>-3.27</v>
      </c>
      <c r="M539" s="30">
        <f>IFERROR(VLOOKUP($A539,HeadJournal!$A$1:$J$890,COLUMN(HeadJournal!I$1),0)*($K539+$L539)/(SUMIF($A:$A,$A539,$K:$K)+SUMIF($A:$A,$A539,$L:$L)),0)</f>
        <v>0</v>
      </c>
      <c r="N539" s="30">
        <f>IFERROR((VLOOKUP($A539,HeadJournal!$A$1:$K$890,COLUMN(HeadJournal!K$1),0)-VLOOKUP($A539,HeadJournal!$A$1:$K$890,COLUMN(HeadJournal!J$1),0))*($K539+$L539)/(SUMIF($A:$A,$A539,$K:$K)+SUMIF($A:$A,$A539,$L:$L)),0)</f>
        <v>1.3243214836884435E-15</v>
      </c>
      <c r="O539" s="30">
        <f>IFERROR((VLOOKUP($A539,HeadJournal!$A$1:$L$890,COLUMN(HeadJournal!L$1),0)*($K539+$L539)/(SUMIF($A:$A,$A539,$K:$K)+SUMIF($A:$A,$A539,$L:$L)))/VLOOKUP($A539,HeadJournal!$A$1:$L$890,COLUMN(HeadJournal!H$1),0),0)</f>
        <v>3.6263165743998242</v>
      </c>
      <c r="P539" s="30">
        <f>IFERROR(SUM(K539:O539)*VLOOKUP($A539,HeadJournal!$A$1:$L$890,COLUMN(HeadJournal!H$1),0),0)</f>
        <v>776.68584363358798</v>
      </c>
      <c r="Q539" s="29">
        <v>1600</v>
      </c>
      <c r="R539" s="31">
        <v>45046</v>
      </c>
      <c r="S539" s="31" t="s">
        <v>3121</v>
      </c>
      <c r="T539" s="95" t="str">
        <f t="shared" si="45"/>
        <v>2023 04</v>
      </c>
      <c r="U539" s="32">
        <f t="shared" si="42"/>
        <v>823.31415636641202</v>
      </c>
      <c r="V539" s="22">
        <f t="shared" si="43"/>
        <v>1.0600349718165092</v>
      </c>
      <c r="X539" s="33"/>
      <c r="Y539" s="33"/>
    </row>
    <row r="540" spans="1:25" x14ac:dyDescent="0.2">
      <c r="A540" s="93" t="s">
        <v>272</v>
      </c>
      <c r="B540" s="94" t="str">
        <f>IFERROR(VLOOKUP($A540,HeadJournal!$A$1:$NTR$890,COLUMN(HeadJournal!B$1),0),"")</f>
        <v>1Z58FA050346012815</v>
      </c>
      <c r="C540" s="94" t="str">
        <f>IFERROR(VLOOKUP($A540,HeadJournal!$A$1:$NTR$890,COLUMN(HeadJournal!C$1),0),"")</f>
        <v>iHerb_VP DFD1605</v>
      </c>
      <c r="D540" s="125" t="str">
        <f>IFERROR(VLOOKUP($A540,HeadJournal!$A$1:$NTR$890,COLUMN(HeadJournal!D$1),0),"")</f>
        <v>Доставлен</v>
      </c>
      <c r="E540" s="95">
        <f>IFERROR(VLOOKUP($A540,HeadJournal!$A$1:$NTR$890,COLUMN(HeadJournal!G$1),0),"")</f>
        <v>44914</v>
      </c>
      <c r="F540" s="95" t="str">
        <f t="shared" si="44"/>
        <v>2022 12</v>
      </c>
      <c r="G540" s="96" t="s">
        <v>5</v>
      </c>
      <c r="H540" s="160" t="str">
        <f>RIGHT(Journal!$J540,9)</f>
        <v>NWY-11536</v>
      </c>
      <c r="I540" s="96" t="str">
        <f t="shared" si="41"/>
        <v>Nature's Way</v>
      </c>
      <c r="J540" s="97" t="s">
        <v>266</v>
      </c>
      <c r="K540" s="29">
        <v>20.079999999999998</v>
      </c>
      <c r="L540" s="29">
        <v>-4.42</v>
      </c>
      <c r="M540" s="30">
        <f>IFERROR(VLOOKUP($A540,HeadJournal!$A$1:$J$890,COLUMN(HeadJournal!I$1),0)*($K540+$L540)/(SUMIF($A:$A,$A540,$K:$K)+SUMIF($A:$A,$A540,$L:$L)),0)</f>
        <v>0</v>
      </c>
      <c r="N540" s="30">
        <f>IFERROR((VLOOKUP($A540,HeadJournal!$A$1:$K$890,COLUMN(HeadJournal!K$1),0)-VLOOKUP($A540,HeadJournal!$A$1:$K$890,COLUMN(HeadJournal!J$1),0))*($K540+$L540)/(SUMIF($A:$A,$A540,$K:$K)+SUMIF($A:$A,$A540,$L:$L)),0)</f>
        <v>0</v>
      </c>
      <c r="O540" s="30">
        <f>IFERROR((VLOOKUP($A540,HeadJournal!$A$1:$L$890,COLUMN(HeadJournal!L$1),0)*($K540+$L540)/(SUMIF($A:$A,$A540,$K:$K)+SUMIF($A:$A,$A540,$L:$L)))/VLOOKUP($A540,HeadJournal!$A$1:$L$890,COLUMN(HeadJournal!H$1),0),0)</f>
        <v>5.4891663536897264</v>
      </c>
      <c r="P540" s="30">
        <f>IFERROR(SUM(K540:O540)*VLOOKUP($A540,HeadJournal!$A$1:$L$890,COLUMN(HeadJournal!H$1),0),0)</f>
        <v>1459.2924784045911</v>
      </c>
      <c r="Q540" s="29">
        <v>2200</v>
      </c>
      <c r="R540" s="31">
        <v>45267</v>
      </c>
      <c r="S540" s="31" t="s">
        <v>3121</v>
      </c>
      <c r="T540" s="95" t="str">
        <f t="shared" si="45"/>
        <v>2023 12</v>
      </c>
      <c r="U540" s="32">
        <f t="shared" si="42"/>
        <v>740.70752159540893</v>
      </c>
      <c r="V540" s="22">
        <f t="shared" si="43"/>
        <v>0.50757989406291359</v>
      </c>
      <c r="X540" s="33"/>
      <c r="Y540" s="33"/>
    </row>
    <row r="541" spans="1:25" x14ac:dyDescent="0.2">
      <c r="A541" s="93" t="s">
        <v>272</v>
      </c>
      <c r="B541" s="94" t="str">
        <f>IFERROR(VLOOKUP($A541,HeadJournal!$A$1:$NTR$890,COLUMN(HeadJournal!B$1),0),"")</f>
        <v>1Z58FA050346012815</v>
      </c>
      <c r="C541" s="94" t="str">
        <f>IFERROR(VLOOKUP($A541,HeadJournal!$A$1:$NTR$890,COLUMN(HeadJournal!C$1),0),"")</f>
        <v>iHerb_VP DFD1605</v>
      </c>
      <c r="D541" s="125" t="str">
        <f>IFERROR(VLOOKUP($A541,HeadJournal!$A$1:$NTR$890,COLUMN(HeadJournal!D$1),0),"")</f>
        <v>Доставлен</v>
      </c>
      <c r="E541" s="95">
        <f>IFERROR(VLOOKUP($A541,HeadJournal!$A$1:$NTR$890,COLUMN(HeadJournal!G$1),0),"")</f>
        <v>44914</v>
      </c>
      <c r="F541" s="95" t="str">
        <f t="shared" si="44"/>
        <v>2022 12</v>
      </c>
      <c r="G541" s="96" t="s">
        <v>5</v>
      </c>
      <c r="H541" s="161" t="s">
        <v>2471</v>
      </c>
      <c r="I541" s="97" t="s">
        <v>2039</v>
      </c>
      <c r="J541" s="97" t="s">
        <v>2472</v>
      </c>
      <c r="K541" s="29">
        <v>18.38</v>
      </c>
      <c r="L541" s="29">
        <v>-4.04</v>
      </c>
      <c r="M541" s="30">
        <f>IFERROR(VLOOKUP($A541,HeadJournal!$A$1:$J$890,COLUMN(HeadJournal!I$1),0)*($K541+$L541)/(SUMIF($A:$A,$A541,$K:$K)+SUMIF($A:$A,$A541,$L:$L)),0)</f>
        <v>0</v>
      </c>
      <c r="N541" s="30">
        <f>IFERROR((VLOOKUP($A541,HeadJournal!$A$1:$K$890,COLUMN(HeadJournal!K$1),0)-VLOOKUP($A541,HeadJournal!$A$1:$K$890,COLUMN(HeadJournal!J$1),0))*($K541+$L541)/(SUMIF($A:$A,$A541,$K:$K)+SUMIF($A:$A,$A541,$L:$L)),0)</f>
        <v>0</v>
      </c>
      <c r="O541" s="30">
        <f>IFERROR((VLOOKUP($A541,HeadJournal!$A$1:$L$890,COLUMN(HeadJournal!L$1),0)*($K541+$L541)/(SUMIF($A:$A,$A541,$K:$K)+SUMIF($A:$A,$A541,$L:$L)))/VLOOKUP($A541,HeadJournal!$A$1:$L$890,COLUMN(HeadJournal!H$1),0),0)</f>
        <v>5.0264780020377193</v>
      </c>
      <c r="P541" s="30">
        <f>IFERROR(SUM(K541:O541)*VLOOKUP($A541,HeadJournal!$A$1:$L$890,COLUMN(HeadJournal!H$1),0),0)</f>
        <v>1336.2869821406027</v>
      </c>
      <c r="Q541" s="29">
        <v>2800</v>
      </c>
      <c r="R541" s="31">
        <v>44981</v>
      </c>
      <c r="S541" s="31" t="s">
        <v>3121</v>
      </c>
      <c r="T541" s="95" t="str">
        <f t="shared" si="45"/>
        <v>2023 02</v>
      </c>
      <c r="U541" s="32">
        <f t="shared" si="42"/>
        <v>1463.7130178593973</v>
      </c>
      <c r="V541" s="22">
        <f t="shared" si="43"/>
        <v>1.0953582856241482</v>
      </c>
      <c r="X541" s="33"/>
      <c r="Y541" s="33"/>
    </row>
    <row r="542" spans="1:25" x14ac:dyDescent="0.2">
      <c r="A542" s="93" t="s">
        <v>272</v>
      </c>
      <c r="B542" s="94" t="str">
        <f>IFERROR(VLOOKUP($A542,HeadJournal!$A$1:$NTR$890,COLUMN(HeadJournal!B$1),0),"")</f>
        <v>1Z58FA050346012815</v>
      </c>
      <c r="C542" s="94" t="str">
        <f>IFERROR(VLOOKUP($A542,HeadJournal!$A$1:$NTR$890,COLUMN(HeadJournal!C$1),0),"")</f>
        <v>iHerb_VP DFD1605</v>
      </c>
      <c r="D542" s="125" t="str">
        <f>IFERROR(VLOOKUP($A542,HeadJournal!$A$1:$NTR$890,COLUMN(HeadJournal!D$1),0),"")</f>
        <v>Доставлен</v>
      </c>
      <c r="E542" s="95">
        <f>IFERROR(VLOOKUP($A542,HeadJournal!$A$1:$NTR$890,COLUMN(HeadJournal!G$1),0),"")</f>
        <v>44914</v>
      </c>
      <c r="F542" s="95" t="str">
        <f t="shared" si="44"/>
        <v>2022 12</v>
      </c>
      <c r="G542" s="96" t="s">
        <v>5</v>
      </c>
      <c r="H542" s="160" t="str">
        <f>RIGHT(Journal!$J542,9)</f>
        <v>OSL-01393</v>
      </c>
      <c r="I542" s="96" t="str">
        <f t="shared" si="41"/>
        <v>Oslomega</v>
      </c>
      <c r="J542" s="97" t="s">
        <v>273</v>
      </c>
      <c r="K542" s="29">
        <v>19</v>
      </c>
      <c r="L542" s="29">
        <v>-3.8</v>
      </c>
      <c r="M542" s="30">
        <f>IFERROR(VLOOKUP($A542,HeadJournal!$A$1:$J$890,COLUMN(HeadJournal!I$1),0)*($K542+$L542)/(SUMIF($A:$A,$A542,$K:$K)+SUMIF($A:$A,$A542,$L:$L)),0)</f>
        <v>0</v>
      </c>
      <c r="N542" s="30">
        <f>IFERROR((VLOOKUP($A542,HeadJournal!$A$1:$K$890,COLUMN(HeadJournal!K$1),0)-VLOOKUP($A542,HeadJournal!$A$1:$K$890,COLUMN(HeadJournal!J$1),0))*($K542+$L542)/(SUMIF($A:$A,$A542,$K:$K)+SUMIF($A:$A,$A542,$L:$L)),0)</f>
        <v>0</v>
      </c>
      <c r="O542" s="30">
        <f>IFERROR((VLOOKUP($A542,HeadJournal!$A$1:$L$890,COLUMN(HeadJournal!L$1),0)*($K542+$L542)/(SUMIF($A:$A,$A542,$K:$K)+SUMIF($A:$A,$A542,$L:$L)))/VLOOKUP($A542,HeadJournal!$A$1:$L$890,COLUMN(HeadJournal!H$1),0),0)</f>
        <v>5.3279264735685725</v>
      </c>
      <c r="P542" s="30">
        <f>IFERROR(SUM(K542:O542)*VLOOKUP($A542,HeadJournal!$A$1:$L$890,COLUMN(HeadJournal!H$1),0),0)</f>
        <v>1416.4269266762312</v>
      </c>
      <c r="Q542" s="29">
        <v>3200</v>
      </c>
      <c r="R542" s="31">
        <v>45004</v>
      </c>
      <c r="S542" s="31" t="s">
        <v>3121</v>
      </c>
      <c r="T542" s="95" t="str">
        <f t="shared" si="45"/>
        <v>2023 03</v>
      </c>
      <c r="U542" s="32">
        <f t="shared" si="42"/>
        <v>1783.5730733237688</v>
      </c>
      <c r="V542" s="22">
        <f t="shared" si="43"/>
        <v>1.2592058508158115</v>
      </c>
      <c r="X542" s="33"/>
      <c r="Y542" s="33"/>
    </row>
    <row r="543" spans="1:25" x14ac:dyDescent="0.2">
      <c r="A543" s="93" t="s">
        <v>272</v>
      </c>
      <c r="B543" s="94" t="str">
        <f>IFERROR(VLOOKUP($A543,HeadJournal!$A$1:$NTR$890,COLUMN(HeadJournal!B$1),0),"")</f>
        <v>1Z58FA050346012815</v>
      </c>
      <c r="C543" s="94" t="str">
        <f>IFERROR(VLOOKUP($A543,HeadJournal!$A$1:$NTR$890,COLUMN(HeadJournal!C$1),0),"")</f>
        <v>iHerb_VP DFD1605</v>
      </c>
      <c r="D543" s="125" t="str">
        <f>IFERROR(VLOOKUP($A543,HeadJournal!$A$1:$NTR$890,COLUMN(HeadJournal!D$1),0),"")</f>
        <v>Доставлен</v>
      </c>
      <c r="E543" s="95">
        <f>IFERROR(VLOOKUP($A543,HeadJournal!$A$1:$NTR$890,COLUMN(HeadJournal!G$1),0),"")</f>
        <v>44914</v>
      </c>
      <c r="F543" s="95" t="str">
        <f t="shared" si="44"/>
        <v>2022 12</v>
      </c>
      <c r="G543" s="96" t="s">
        <v>5</v>
      </c>
      <c r="H543" s="160" t="str">
        <f>RIGHT(Journal!$J543,9)</f>
        <v>NWY-14924</v>
      </c>
      <c r="I543" s="96" t="str">
        <f t="shared" si="41"/>
        <v>Nature's Way</v>
      </c>
      <c r="J543" s="97" t="s">
        <v>274</v>
      </c>
      <c r="K543" s="29">
        <v>23.15</v>
      </c>
      <c r="L543" s="29">
        <v>-5.09</v>
      </c>
      <c r="M543" s="30">
        <f>IFERROR(VLOOKUP($A543,HeadJournal!$A$1:$J$890,COLUMN(HeadJournal!I$1),0)*($K543+$L543)/(SUMIF($A:$A,$A543,$K:$K)+SUMIF($A:$A,$A543,$L:$L)),0)</f>
        <v>0</v>
      </c>
      <c r="N543" s="30">
        <f>IFERROR((VLOOKUP($A543,HeadJournal!$A$1:$K$890,COLUMN(HeadJournal!K$1),0)-VLOOKUP($A543,HeadJournal!$A$1:$K$890,COLUMN(HeadJournal!J$1),0))*($K543+$L543)/(SUMIF($A:$A,$A543,$K:$K)+SUMIF($A:$A,$A543,$L:$L)),0)</f>
        <v>0</v>
      </c>
      <c r="O543" s="30">
        <f>IFERROR((VLOOKUP($A543,HeadJournal!$A$1:$L$890,COLUMN(HeadJournal!L$1),0)*($K543+$L543)/(SUMIF($A:$A,$A543,$K:$K)+SUMIF($A:$A,$A543,$L:$L)))/VLOOKUP($A543,HeadJournal!$A$1:$L$890,COLUMN(HeadJournal!H$1),0),0)</f>
        <v>6.3304179021479223</v>
      </c>
      <c r="P543" s="30">
        <f>IFERROR(SUM(K543:O543)*VLOOKUP($A543,HeadJournal!$A$1:$L$890,COLUMN(HeadJournal!H$1),0),0)</f>
        <v>1682.9388352482065</v>
      </c>
      <c r="Q543" s="29">
        <v>2000</v>
      </c>
      <c r="R543" s="31">
        <v>44993</v>
      </c>
      <c r="S543" s="31" t="s">
        <v>3121</v>
      </c>
      <c r="T543" s="95" t="str">
        <f t="shared" si="45"/>
        <v>2023 03</v>
      </c>
      <c r="U543" s="32">
        <f t="shared" si="42"/>
        <v>317.06116475179351</v>
      </c>
      <c r="V543" s="22">
        <f t="shared" si="43"/>
        <v>0.18839731908915874</v>
      </c>
      <c r="X543" s="33"/>
      <c r="Y543" s="33"/>
    </row>
    <row r="544" spans="1:25" x14ac:dyDescent="0.2">
      <c r="A544" s="93" t="s">
        <v>272</v>
      </c>
      <c r="B544" s="94" t="str">
        <f>IFERROR(VLOOKUP($A544,HeadJournal!$A$1:$NTR$890,COLUMN(HeadJournal!B$1),0),"")</f>
        <v>1Z58FA050346012815</v>
      </c>
      <c r="C544" s="94" t="str">
        <f>IFERROR(VLOOKUP($A544,HeadJournal!$A$1:$NTR$890,COLUMN(HeadJournal!C$1),0),"")</f>
        <v>iHerb_VP DFD1605</v>
      </c>
      <c r="D544" s="125" t="str">
        <f>IFERROR(VLOOKUP($A544,HeadJournal!$A$1:$NTR$890,COLUMN(HeadJournal!D$1),0),"")</f>
        <v>Доставлен</v>
      </c>
      <c r="E544" s="95">
        <f>IFERROR(VLOOKUP($A544,HeadJournal!$A$1:$NTR$890,COLUMN(HeadJournal!G$1),0),"")</f>
        <v>44914</v>
      </c>
      <c r="F544" s="95" t="str">
        <f t="shared" si="44"/>
        <v>2022 12</v>
      </c>
      <c r="G544" s="96" t="s">
        <v>6</v>
      </c>
      <c r="H544" s="160" t="str">
        <f>RIGHT(Journal!$J544,9)</f>
        <v>VPB-54130</v>
      </c>
      <c r="I544" s="96" t="str">
        <f t="shared" si="41"/>
        <v>Vplab</v>
      </c>
      <c r="J544" s="97" t="s">
        <v>275</v>
      </c>
      <c r="K544" s="29">
        <v>16</v>
      </c>
      <c r="L544" s="29">
        <v>-3.52</v>
      </c>
      <c r="M544" s="30">
        <f>IFERROR(VLOOKUP($A544,HeadJournal!$A$1:$J$890,COLUMN(HeadJournal!I$1),0)*($K544+$L544)/(SUMIF($A:$A,$A544,$K:$K)+SUMIF($A:$A,$A544,$L:$L)),0)</f>
        <v>0</v>
      </c>
      <c r="N544" s="30">
        <f>IFERROR((VLOOKUP($A544,HeadJournal!$A$1:$K$890,COLUMN(HeadJournal!K$1),0)-VLOOKUP($A544,HeadJournal!$A$1:$K$890,COLUMN(HeadJournal!J$1),0))*($K544+$L544)/(SUMIF($A:$A,$A544,$K:$K)+SUMIF($A:$A,$A544,$L:$L)),0)</f>
        <v>0</v>
      </c>
      <c r="O544" s="30">
        <f>IFERROR((VLOOKUP($A544,HeadJournal!$A$1:$L$890,COLUMN(HeadJournal!L$1),0)*($K544+$L544)/(SUMIF($A:$A,$A544,$K:$K)+SUMIF($A:$A,$A544,$L:$L)))/VLOOKUP($A544,HeadJournal!$A$1:$L$890,COLUMN(HeadJournal!H$1),0),0)</f>
        <v>4.3745080519826178</v>
      </c>
      <c r="P544" s="30">
        <f>IFERROR(SUM(K544:O544)*VLOOKUP($A544,HeadJournal!$A$1:$L$890,COLUMN(HeadJournal!H$1),0),0)</f>
        <v>1162.9610555868007</v>
      </c>
      <c r="Q544" s="29">
        <v>2300</v>
      </c>
      <c r="R544" s="31">
        <v>45023</v>
      </c>
      <c r="S544" s="31" t="s">
        <v>3121</v>
      </c>
      <c r="T544" s="95" t="str">
        <f t="shared" si="45"/>
        <v>2023 04</v>
      </c>
      <c r="U544" s="32">
        <f t="shared" si="42"/>
        <v>1137.0389444131993</v>
      </c>
      <c r="V544" s="22">
        <f t="shared" si="43"/>
        <v>0.97771025001303946</v>
      </c>
      <c r="X544" s="33"/>
      <c r="Y544" s="33"/>
    </row>
    <row r="545" spans="1:25" x14ac:dyDescent="0.2">
      <c r="A545" s="93" t="s">
        <v>272</v>
      </c>
      <c r="B545" s="94" t="str">
        <f>IFERROR(VLOOKUP($A545,HeadJournal!$A$1:$NTR$890,COLUMN(HeadJournal!B$1),0),"")</f>
        <v>1Z58FA050346012815</v>
      </c>
      <c r="C545" s="94" t="str">
        <f>IFERROR(VLOOKUP($A545,HeadJournal!$A$1:$NTR$890,COLUMN(HeadJournal!C$1),0),"")</f>
        <v>iHerb_VP DFD1605</v>
      </c>
      <c r="D545" s="125" t="str">
        <f>IFERROR(VLOOKUP($A545,HeadJournal!$A$1:$NTR$890,COLUMN(HeadJournal!D$1),0),"")</f>
        <v>Доставлен</v>
      </c>
      <c r="E545" s="95">
        <f>IFERROR(VLOOKUP($A545,HeadJournal!$A$1:$NTR$890,COLUMN(HeadJournal!G$1),0),"")</f>
        <v>44914</v>
      </c>
      <c r="F545" s="95" t="str">
        <f t="shared" si="44"/>
        <v>2022 12</v>
      </c>
      <c r="G545" s="96" t="s">
        <v>6</v>
      </c>
      <c r="H545" s="160" t="str">
        <f>RIGHT(Journal!$J545,9)</f>
        <v>NRX-00654</v>
      </c>
      <c r="I545" s="96" t="str">
        <f t="shared" si="41"/>
        <v>Nutrex Research</v>
      </c>
      <c r="J545" s="97" t="s">
        <v>276</v>
      </c>
      <c r="K545" s="29">
        <v>23.97</v>
      </c>
      <c r="L545" s="29">
        <v>-5.27</v>
      </c>
      <c r="M545" s="30">
        <f>IFERROR(VLOOKUP($A545,HeadJournal!$A$1:$J$890,COLUMN(HeadJournal!I$1),0)*($K545+$L545)/(SUMIF($A:$A,$A545,$K:$K)+SUMIF($A:$A,$A545,$L:$L)),0)</f>
        <v>0</v>
      </c>
      <c r="N545" s="30">
        <f>IFERROR((VLOOKUP($A545,HeadJournal!$A$1:$K$890,COLUMN(HeadJournal!K$1),0)-VLOOKUP($A545,HeadJournal!$A$1:$K$890,COLUMN(HeadJournal!J$1),0))*($K545+$L545)/(SUMIF($A:$A,$A545,$K:$K)+SUMIF($A:$A,$A545,$L:$L)),0)</f>
        <v>0</v>
      </c>
      <c r="O545" s="30">
        <f>IFERROR((VLOOKUP($A545,HeadJournal!$A$1:$L$890,COLUMN(HeadJournal!L$1),0)*($K545+$L545)/(SUMIF($A:$A,$A545,$K:$K)+SUMIF($A:$A,$A545,$L:$L)))/VLOOKUP($A545,HeadJournal!$A$1:$L$890,COLUMN(HeadJournal!H$1),0),0)</f>
        <v>6.5547516484034416</v>
      </c>
      <c r="P545" s="30">
        <f>IFERROR(SUM(K545:O545)*VLOOKUP($A545,HeadJournal!$A$1:$L$890,COLUMN(HeadJournal!H$1),0),0)</f>
        <v>1742.5778637398375</v>
      </c>
      <c r="Q545" s="29">
        <v>3300</v>
      </c>
      <c r="R545" s="31">
        <v>45158</v>
      </c>
      <c r="S545" s="31" t="s">
        <v>3121</v>
      </c>
      <c r="T545" s="95" t="str">
        <f t="shared" si="45"/>
        <v>2023 08</v>
      </c>
      <c r="U545" s="32">
        <f t="shared" si="42"/>
        <v>1557.4221362601625</v>
      </c>
      <c r="V545" s="22">
        <f t="shared" si="43"/>
        <v>0.89374608083090035</v>
      </c>
      <c r="X545" s="33"/>
      <c r="Y545" s="33"/>
    </row>
    <row r="546" spans="1:25" x14ac:dyDescent="0.2">
      <c r="A546" s="93" t="s">
        <v>272</v>
      </c>
      <c r="B546" s="94" t="str">
        <f>IFERROR(VLOOKUP($A546,HeadJournal!$A$1:$NTR$890,COLUMN(HeadJournal!B$1),0),"")</f>
        <v>1Z58FA050346012815</v>
      </c>
      <c r="C546" s="94" t="str">
        <f>IFERROR(VLOOKUP($A546,HeadJournal!$A$1:$NTR$890,COLUMN(HeadJournal!C$1),0),"")</f>
        <v>iHerb_VP DFD1605</v>
      </c>
      <c r="D546" s="125" t="str">
        <f>IFERROR(VLOOKUP($A546,HeadJournal!$A$1:$NTR$890,COLUMN(HeadJournal!D$1),0),"")</f>
        <v>Доставлен</v>
      </c>
      <c r="E546" s="95">
        <f>IFERROR(VLOOKUP($A546,HeadJournal!$A$1:$NTR$890,COLUMN(HeadJournal!G$1),0),"")</f>
        <v>44914</v>
      </c>
      <c r="F546" s="95" t="str">
        <f t="shared" si="44"/>
        <v>2022 12</v>
      </c>
      <c r="G546" s="96" t="s">
        <v>5</v>
      </c>
      <c r="H546" s="175" t="s">
        <v>3662</v>
      </c>
      <c r="I546" s="176" t="s">
        <v>2993</v>
      </c>
      <c r="J546" s="97" t="s">
        <v>3736</v>
      </c>
      <c r="K546" s="29">
        <v>27</v>
      </c>
      <c r="L546" s="29">
        <v>-5.94</v>
      </c>
      <c r="M546" s="30">
        <f>IFERROR(VLOOKUP($A546,HeadJournal!$A$1:$J$890,COLUMN(HeadJournal!I$1),0)*($K546+$L546)/(SUMIF($A:$A,$A546,$K:$K)+SUMIF($A:$A,$A546,$L:$L)),0)</f>
        <v>0</v>
      </c>
      <c r="N546" s="30">
        <f>IFERROR((VLOOKUP($A546,HeadJournal!$A$1:$K$890,COLUMN(HeadJournal!K$1),0)-VLOOKUP($A546,HeadJournal!$A$1:$K$890,COLUMN(HeadJournal!J$1),0))*($K546+$L546)/(SUMIF($A:$A,$A546,$K:$K)+SUMIF($A:$A,$A546,$L:$L)),0)</f>
        <v>0</v>
      </c>
      <c r="O546" s="30">
        <f>IFERROR((VLOOKUP($A546,HeadJournal!$A$1:$L$890,COLUMN(HeadJournal!L$1),0)*($K546+$L546)/(SUMIF($A:$A,$A546,$K:$K)+SUMIF($A:$A,$A546,$L:$L)))/VLOOKUP($A546,HeadJournal!$A$1:$L$890,COLUMN(HeadJournal!H$1),0),0)</f>
        <v>7.3819823377206673</v>
      </c>
      <c r="P546" s="30">
        <f>IFERROR(SUM(K546:O546)*VLOOKUP($A546,HeadJournal!$A$1:$L$890,COLUMN(HeadJournal!H$1),0),0)</f>
        <v>1962.496781302726</v>
      </c>
      <c r="Q546" s="29">
        <v>3000</v>
      </c>
      <c r="R546" s="31">
        <v>44981</v>
      </c>
      <c r="S546" s="31" t="s">
        <v>3121</v>
      </c>
      <c r="T546" s="95" t="str">
        <f t="shared" si="45"/>
        <v>2023 02</v>
      </c>
      <c r="U546" s="32">
        <f t="shared" si="42"/>
        <v>1037.503218697274</v>
      </c>
      <c r="V546" s="22">
        <f t="shared" si="43"/>
        <v>0.52866492754631089</v>
      </c>
      <c r="X546" s="33"/>
      <c r="Y546" s="33"/>
    </row>
    <row r="547" spans="1:25" x14ac:dyDescent="0.2">
      <c r="A547" s="93" t="s">
        <v>272</v>
      </c>
      <c r="B547" s="94" t="str">
        <f>IFERROR(VLOOKUP($A547,HeadJournal!$A$1:$NTR$890,COLUMN(HeadJournal!B$1),0),"")</f>
        <v>1Z58FA050346012815</v>
      </c>
      <c r="C547" s="94" t="str">
        <f>IFERROR(VLOOKUP($A547,HeadJournal!$A$1:$NTR$890,COLUMN(HeadJournal!C$1),0),"")</f>
        <v>iHerb_VP DFD1605</v>
      </c>
      <c r="D547" s="125" t="str">
        <f>IFERROR(VLOOKUP($A547,HeadJournal!$A$1:$NTR$890,COLUMN(HeadJournal!D$1),0),"")</f>
        <v>Доставлен</v>
      </c>
      <c r="E547" s="95">
        <f>IFERROR(VLOOKUP($A547,HeadJournal!$A$1:$NTR$890,COLUMN(HeadJournal!G$1),0),"")</f>
        <v>44914</v>
      </c>
      <c r="F547" s="95" t="str">
        <f t="shared" si="44"/>
        <v>2022 12</v>
      </c>
      <c r="G547" s="96" t="s">
        <v>5</v>
      </c>
      <c r="H547" s="160" t="str">
        <f>RIGHT(Journal!$J547,9)</f>
        <v>NOW-04620</v>
      </c>
      <c r="I547" s="96" t="str">
        <f t="shared" si="41"/>
        <v>NOW Foods</v>
      </c>
      <c r="J547" s="97" t="s">
        <v>277</v>
      </c>
      <c r="K547" s="29">
        <v>6.38</v>
      </c>
      <c r="L547" s="29">
        <v>-1.38</v>
      </c>
      <c r="M547" s="30">
        <f>IFERROR(VLOOKUP($A547,HeadJournal!$A$1:$J$890,COLUMN(HeadJournal!I$1),0)*($K547+$L547)/(SUMIF($A:$A,$A547,$K:$K)+SUMIF($A:$A,$A547,$L:$L)),0)</f>
        <v>0</v>
      </c>
      <c r="N547" s="30">
        <f>IFERROR((VLOOKUP($A547,HeadJournal!$A$1:$K$890,COLUMN(HeadJournal!K$1),0)-VLOOKUP($A547,HeadJournal!$A$1:$K$890,COLUMN(HeadJournal!J$1),0))*($K547+$L547)/(SUMIF($A:$A,$A547,$K:$K)+SUMIF($A:$A,$A547,$L:$L)),0)</f>
        <v>0</v>
      </c>
      <c r="O547" s="30">
        <f>IFERROR((VLOOKUP($A547,HeadJournal!$A$1:$L$890,COLUMN(HeadJournal!L$1),0)*($K547+$L547)/(SUMIF($A:$A,$A547,$K:$K)+SUMIF($A:$A,$A547,$L:$L)))/VLOOKUP($A547,HeadJournal!$A$1:$L$890,COLUMN(HeadJournal!H$1),0),0)</f>
        <v>1.7526073926212411</v>
      </c>
      <c r="P547" s="30">
        <f>IFERROR(SUM(K547:O547)*VLOOKUP($A547,HeadJournal!$A$1:$L$890,COLUMN(HeadJournal!H$1),0),0)</f>
        <v>465.92991009086569</v>
      </c>
      <c r="Q547" s="29">
        <v>1200</v>
      </c>
      <c r="R547" s="31">
        <v>44995</v>
      </c>
      <c r="S547" s="31" t="s">
        <v>3121</v>
      </c>
      <c r="T547" s="95" t="str">
        <f t="shared" si="45"/>
        <v>2023 03</v>
      </c>
      <c r="U547" s="32">
        <f t="shared" si="42"/>
        <v>734.07008990913437</v>
      </c>
      <c r="V547" s="22">
        <f t="shared" si="43"/>
        <v>1.5754946699300243</v>
      </c>
      <c r="X547" s="33"/>
      <c r="Y547" s="33"/>
    </row>
    <row r="548" spans="1:25" x14ac:dyDescent="0.2">
      <c r="A548" s="93" t="s">
        <v>272</v>
      </c>
      <c r="B548" s="94" t="str">
        <f>IFERROR(VLOOKUP($A548,HeadJournal!$A$1:$NTR$890,COLUMN(HeadJournal!B$1),0),"")</f>
        <v>1Z58FA050346012815</v>
      </c>
      <c r="C548" s="94" t="str">
        <f>IFERROR(VLOOKUP($A548,HeadJournal!$A$1:$NTR$890,COLUMN(HeadJournal!C$1),0),"")</f>
        <v>iHerb_VP DFD1605</v>
      </c>
      <c r="D548" s="125" t="str">
        <f>IFERROR(VLOOKUP($A548,HeadJournal!$A$1:$NTR$890,COLUMN(HeadJournal!D$1),0),"")</f>
        <v>Доставлен</v>
      </c>
      <c r="E548" s="95">
        <f>IFERROR(VLOOKUP($A548,HeadJournal!$A$1:$NTR$890,COLUMN(HeadJournal!G$1),0),"")</f>
        <v>44914</v>
      </c>
      <c r="F548" s="95" t="str">
        <f t="shared" si="44"/>
        <v>2022 12</v>
      </c>
      <c r="G548" s="96" t="s">
        <v>5</v>
      </c>
      <c r="H548" s="161" t="s">
        <v>2027</v>
      </c>
      <c r="I548" s="97" t="s">
        <v>2005</v>
      </c>
      <c r="J548" s="97" t="s">
        <v>4110</v>
      </c>
      <c r="K548" s="29">
        <v>6.48</v>
      </c>
      <c r="L548" s="29">
        <v>-1.43</v>
      </c>
      <c r="M548" s="30">
        <f>IFERROR(VLOOKUP($A548,HeadJournal!$A$1:$J$890,COLUMN(HeadJournal!I$1),0)*($K548+$L548)/(SUMIF($A:$A,$A548,$K:$K)+SUMIF($A:$A,$A548,$L:$L)),0)</f>
        <v>0</v>
      </c>
      <c r="N548" s="30">
        <f>IFERROR((VLOOKUP($A548,HeadJournal!$A$1:$K$890,COLUMN(HeadJournal!K$1),0)-VLOOKUP($A548,HeadJournal!$A$1:$K$890,COLUMN(HeadJournal!J$1),0))*($K548+$L548)/(SUMIF($A:$A,$A548,$K:$K)+SUMIF($A:$A,$A548,$L:$L)),0)</f>
        <v>0</v>
      </c>
      <c r="O548" s="30">
        <f>IFERROR((VLOOKUP($A548,HeadJournal!$A$1:$L$890,COLUMN(HeadJournal!L$1),0)*($K548+$L548)/(SUMIF($A:$A,$A548,$K:$K)+SUMIF($A:$A,$A548,$L:$L)))/VLOOKUP($A548,HeadJournal!$A$1:$L$890,COLUMN(HeadJournal!H$1),0),0)</f>
        <v>1.7701334665474535</v>
      </c>
      <c r="P548" s="30">
        <f>IFERROR(SUM(K548:O548)*VLOOKUP($A548,HeadJournal!$A$1:$L$890,COLUMN(HeadJournal!H$1),0),0)</f>
        <v>470.58920919177433</v>
      </c>
      <c r="Q548" s="29">
        <v>1000</v>
      </c>
      <c r="R548" s="31">
        <v>44987</v>
      </c>
      <c r="S548" s="31" t="s">
        <v>3121</v>
      </c>
      <c r="T548" s="95" t="str">
        <f t="shared" si="45"/>
        <v>2023 03</v>
      </c>
      <c r="U548" s="32">
        <f t="shared" si="42"/>
        <v>529.41079080822567</v>
      </c>
      <c r="V548" s="22">
        <f t="shared" si="43"/>
        <v>1.1249956022524954</v>
      </c>
      <c r="X548" s="33"/>
      <c r="Y548" s="33"/>
    </row>
    <row r="549" spans="1:25" x14ac:dyDescent="0.2">
      <c r="A549" s="93" t="s">
        <v>272</v>
      </c>
      <c r="B549" s="94" t="str">
        <f>IFERROR(VLOOKUP($A549,HeadJournal!$A$1:$NTR$890,COLUMN(HeadJournal!B$1),0),"")</f>
        <v>1Z58FA050346012815</v>
      </c>
      <c r="C549" s="94" t="str">
        <f>IFERROR(VLOOKUP($A549,HeadJournal!$A$1:$NTR$890,COLUMN(HeadJournal!C$1),0),"")</f>
        <v>iHerb_VP DFD1605</v>
      </c>
      <c r="D549" s="125" t="str">
        <f>IFERROR(VLOOKUP($A549,HeadJournal!$A$1:$NTR$890,COLUMN(HeadJournal!D$1),0),"")</f>
        <v>Доставлен</v>
      </c>
      <c r="E549" s="95">
        <f>IFERROR(VLOOKUP($A549,HeadJournal!$A$1:$NTR$890,COLUMN(HeadJournal!G$1),0),"")</f>
        <v>44914</v>
      </c>
      <c r="F549" s="95" t="str">
        <f t="shared" si="44"/>
        <v>2022 12</v>
      </c>
      <c r="G549" s="96" t="s">
        <v>5</v>
      </c>
      <c r="H549" s="161" t="s">
        <v>3011</v>
      </c>
      <c r="I549" s="97" t="s">
        <v>2052</v>
      </c>
      <c r="J549" s="97" t="s">
        <v>3012</v>
      </c>
      <c r="K549" s="29">
        <v>6</v>
      </c>
      <c r="L549" s="29">
        <v>-3</v>
      </c>
      <c r="M549" s="30">
        <f>IFERROR(VLOOKUP($A549,HeadJournal!$A$1:$J$890,COLUMN(HeadJournal!I$1),0)*($K549+$L549)/(SUMIF($A:$A,$A549,$K:$K)+SUMIF($A:$A,$A549,$L:$L)),0)</f>
        <v>0</v>
      </c>
      <c r="N549" s="30">
        <f>IFERROR((VLOOKUP($A549,HeadJournal!$A$1:$K$890,COLUMN(HeadJournal!K$1),0)-VLOOKUP($A549,HeadJournal!$A$1:$K$890,COLUMN(HeadJournal!J$1),0))*($K549+$L549)/(SUMIF($A:$A,$A549,$K:$K)+SUMIF($A:$A,$A549,$L:$L)),0)</f>
        <v>0</v>
      </c>
      <c r="O549" s="30">
        <f>IFERROR((VLOOKUP($A549,HeadJournal!$A$1:$L$890,COLUMN(HeadJournal!L$1),0)*($K549+$L549)/(SUMIF($A:$A,$A549,$K:$K)+SUMIF($A:$A,$A549,$L:$L)))/VLOOKUP($A549,HeadJournal!$A$1:$L$890,COLUMN(HeadJournal!H$1),0),0)</f>
        <v>1.0515644355727447</v>
      </c>
      <c r="P549" s="30">
        <f>IFERROR(SUM(K549:O549)*VLOOKUP($A549,HeadJournal!$A$1:$L$890,COLUMN(HeadJournal!H$1),0),0)</f>
        <v>279.55794605451939</v>
      </c>
      <c r="Q549" s="29">
        <v>800</v>
      </c>
      <c r="R549" s="31">
        <v>44992</v>
      </c>
      <c r="S549" s="31" t="s">
        <v>3121</v>
      </c>
      <c r="T549" s="95" t="str">
        <f t="shared" si="45"/>
        <v>2023 03</v>
      </c>
      <c r="U549" s="32">
        <f t="shared" si="42"/>
        <v>520.44205394548067</v>
      </c>
      <c r="V549" s="22">
        <f t="shared" si="43"/>
        <v>1.8616607443666939</v>
      </c>
      <c r="X549" s="33"/>
      <c r="Y549" s="33"/>
    </row>
    <row r="550" spans="1:25" x14ac:dyDescent="0.2">
      <c r="A550" s="93" t="s">
        <v>272</v>
      </c>
      <c r="B550" s="94" t="str">
        <f>IFERROR(VLOOKUP($A550,HeadJournal!$A$1:$NTR$890,COLUMN(HeadJournal!B$1),0),"")</f>
        <v>1Z58FA050346012815</v>
      </c>
      <c r="C550" s="94" t="str">
        <f>IFERROR(VLOOKUP($A550,HeadJournal!$A$1:$NTR$890,COLUMN(HeadJournal!C$1),0),"")</f>
        <v>iHerb_VP DFD1605</v>
      </c>
      <c r="D550" s="125" t="str">
        <f>IFERROR(VLOOKUP($A550,HeadJournal!$A$1:$NTR$890,COLUMN(HeadJournal!D$1),0),"")</f>
        <v>Доставлен</v>
      </c>
      <c r="E550" s="95">
        <f>IFERROR(VLOOKUP($A550,HeadJournal!$A$1:$NTR$890,COLUMN(HeadJournal!G$1),0),"")</f>
        <v>44914</v>
      </c>
      <c r="F550" s="95" t="str">
        <f t="shared" si="44"/>
        <v>2022 12</v>
      </c>
      <c r="G550" s="96" t="s">
        <v>5</v>
      </c>
      <c r="H550" s="160" t="str">
        <f>RIGHT(Journal!$J550,9)</f>
        <v>CGN-02030</v>
      </c>
      <c r="I550" s="96" t="str">
        <f t="shared" si="41"/>
        <v>California Gold Nutrition</v>
      </c>
      <c r="J550" s="97" t="s">
        <v>137</v>
      </c>
      <c r="K550" s="29">
        <v>6</v>
      </c>
      <c r="L550" s="29">
        <v>-1.8</v>
      </c>
      <c r="M550" s="30">
        <f>IFERROR(VLOOKUP($A550,HeadJournal!$A$1:$J$890,COLUMN(HeadJournal!I$1),0)*($K550+$L550)/(SUMIF($A:$A,$A550,$K:$K)+SUMIF($A:$A,$A550,$L:$L)),0)</f>
        <v>0</v>
      </c>
      <c r="N550" s="30">
        <f>IFERROR((VLOOKUP($A550,HeadJournal!$A$1:$K$890,COLUMN(HeadJournal!K$1),0)-VLOOKUP($A550,HeadJournal!$A$1:$K$890,COLUMN(HeadJournal!J$1),0))*($K550+$L550)/(SUMIF($A:$A,$A550,$K:$K)+SUMIF($A:$A,$A550,$L:$L)),0)</f>
        <v>0</v>
      </c>
      <c r="O550" s="30">
        <f>IFERROR((VLOOKUP($A550,HeadJournal!$A$1:$L$890,COLUMN(HeadJournal!L$1),0)*($K550+$L550)/(SUMIF($A:$A,$A550,$K:$K)+SUMIF($A:$A,$A550,$L:$L)))/VLOOKUP($A550,HeadJournal!$A$1:$L$890,COLUMN(HeadJournal!H$1),0),0)</f>
        <v>1.4721902098018425</v>
      </c>
      <c r="P550" s="30">
        <f>IFERROR(SUM(K550:O550)*VLOOKUP($A550,HeadJournal!$A$1:$L$890,COLUMN(HeadJournal!H$1),0),0)</f>
        <v>391.3811244763271</v>
      </c>
      <c r="Q550" s="29">
        <v>391.38</v>
      </c>
      <c r="R550" s="31">
        <v>44988</v>
      </c>
      <c r="S550" s="31" t="s">
        <v>3121</v>
      </c>
      <c r="T550" s="95" t="str">
        <f t="shared" si="45"/>
        <v>2023 03</v>
      </c>
      <c r="U550" s="32">
        <f t="shared" si="42"/>
        <v>-1.1244763271065494E-3</v>
      </c>
      <c r="V550" s="22">
        <f t="shared" si="43"/>
        <v>-2.8730980029021915E-6</v>
      </c>
      <c r="X550" s="33"/>
      <c r="Y550" s="33"/>
    </row>
    <row r="551" spans="1:25" x14ac:dyDescent="0.2">
      <c r="A551" s="93" t="s">
        <v>272</v>
      </c>
      <c r="B551" s="94" t="str">
        <f>IFERROR(VLOOKUP($A551,HeadJournal!$A$1:$NTR$890,COLUMN(HeadJournal!B$1),0),"")</f>
        <v>1Z58FA050346012815</v>
      </c>
      <c r="C551" s="94" t="str">
        <f>IFERROR(VLOOKUP($A551,HeadJournal!$A$1:$NTR$890,COLUMN(HeadJournal!C$1),0),"")</f>
        <v>iHerb_VP DFD1605</v>
      </c>
      <c r="D551" s="125" t="str">
        <f>IFERROR(VLOOKUP($A551,HeadJournal!$A$1:$NTR$890,COLUMN(HeadJournal!D$1),0),"")</f>
        <v>Доставлен</v>
      </c>
      <c r="E551" s="95">
        <f>IFERROR(VLOOKUP($A551,HeadJournal!$A$1:$NTR$890,COLUMN(HeadJournal!G$1),0),"")</f>
        <v>44914</v>
      </c>
      <c r="F551" s="95" t="str">
        <f t="shared" si="44"/>
        <v>2022 12</v>
      </c>
      <c r="G551" s="96" t="s">
        <v>5</v>
      </c>
      <c r="H551" s="160" t="str">
        <f>RIGHT(Journal!$J551,9)</f>
        <v>CEN-27116</v>
      </c>
      <c r="I551" s="96" t="str">
        <f t="shared" si="41"/>
        <v>21st Century</v>
      </c>
      <c r="J551" s="97" t="s">
        <v>33</v>
      </c>
      <c r="K551" s="29">
        <v>6.97</v>
      </c>
      <c r="L551" s="29">
        <v>-1.05</v>
      </c>
      <c r="M551" s="30">
        <f>IFERROR(VLOOKUP($A551,HeadJournal!$A$1:$J$890,COLUMN(HeadJournal!I$1),0)*($K551+$L551)/(SUMIF($A:$A,$A551,$K:$K)+SUMIF($A:$A,$A551,$L:$L)),0)</f>
        <v>0</v>
      </c>
      <c r="N551" s="30">
        <f>IFERROR((VLOOKUP($A551,HeadJournal!$A$1:$K$890,COLUMN(HeadJournal!K$1),0)-VLOOKUP($A551,HeadJournal!$A$1:$K$890,COLUMN(HeadJournal!J$1),0))*($K551+$L551)/(SUMIF($A:$A,$A551,$K:$K)+SUMIF($A:$A,$A551,$L:$L)),0)</f>
        <v>0</v>
      </c>
      <c r="O551" s="30">
        <f>IFERROR((VLOOKUP($A551,HeadJournal!$A$1:$L$890,COLUMN(HeadJournal!L$1),0)*($K551+$L551)/(SUMIF($A:$A,$A551,$K:$K)+SUMIF($A:$A,$A551,$L:$L)))/VLOOKUP($A551,HeadJournal!$A$1:$L$890,COLUMN(HeadJournal!H$1),0),0)</f>
        <v>2.0750871528635493</v>
      </c>
      <c r="P551" s="30">
        <f>IFERROR(SUM(K551:O551)*VLOOKUP($A551,HeadJournal!$A$1:$L$890,COLUMN(HeadJournal!H$1),0),0)</f>
        <v>551.66101354758484</v>
      </c>
      <c r="Q551" s="29">
        <v>600</v>
      </c>
      <c r="R551" s="31">
        <v>45682</v>
      </c>
      <c r="S551" s="31" t="s">
        <v>3121</v>
      </c>
      <c r="T551" s="95" t="str">
        <f t="shared" si="45"/>
        <v>2025 01</v>
      </c>
      <c r="U551" s="32">
        <f t="shared" si="42"/>
        <v>48.338986452415156</v>
      </c>
      <c r="V551" s="22">
        <f t="shared" si="43"/>
        <v>8.7624438315044281E-2</v>
      </c>
      <c r="X551" s="33"/>
      <c r="Y551" s="33"/>
    </row>
    <row r="552" spans="1:25" x14ac:dyDescent="0.2">
      <c r="A552" s="93" t="s">
        <v>272</v>
      </c>
      <c r="B552" s="94" t="str">
        <f>IFERROR(VLOOKUP($A552,HeadJournal!$A$1:$NTR$890,COLUMN(HeadJournal!B$1),0),"")</f>
        <v>1Z58FA050346012815</v>
      </c>
      <c r="C552" s="94" t="str">
        <f>IFERROR(VLOOKUP($A552,HeadJournal!$A$1:$NTR$890,COLUMN(HeadJournal!C$1),0),"")</f>
        <v>iHerb_VP DFD1605</v>
      </c>
      <c r="D552" s="125" t="str">
        <f>IFERROR(VLOOKUP($A552,HeadJournal!$A$1:$NTR$890,COLUMN(HeadJournal!D$1),0),"")</f>
        <v>Доставлен</v>
      </c>
      <c r="E552" s="95">
        <f>IFERROR(VLOOKUP($A552,HeadJournal!$A$1:$NTR$890,COLUMN(HeadJournal!G$1),0),"")</f>
        <v>44914</v>
      </c>
      <c r="F552" s="95" t="str">
        <f t="shared" si="44"/>
        <v>2022 12</v>
      </c>
      <c r="G552" s="96" t="s">
        <v>5</v>
      </c>
      <c r="H552" s="160" t="str">
        <f>RIGHT(Journal!$J552,9)</f>
        <v>CEN-27452</v>
      </c>
      <c r="I552" s="96" t="str">
        <f t="shared" si="41"/>
        <v>21st Century</v>
      </c>
      <c r="J552" s="97" t="s">
        <v>71</v>
      </c>
      <c r="K552" s="29">
        <v>5.05</v>
      </c>
      <c r="L552" s="29">
        <v>-0.76</v>
      </c>
      <c r="M552" s="30">
        <f>IFERROR(VLOOKUP($A552,HeadJournal!$A$1:$J$890,COLUMN(HeadJournal!I$1),0)*($K552+$L552)/(SUMIF($A:$A,$A552,$K:$K)+SUMIF($A:$A,$A552,$L:$L)),0)</f>
        <v>0</v>
      </c>
      <c r="N552" s="30">
        <f>IFERROR((VLOOKUP($A552,HeadJournal!$A$1:$K$890,COLUMN(HeadJournal!K$1),0)-VLOOKUP($A552,HeadJournal!$A$1:$K$890,COLUMN(HeadJournal!J$1),0))*($K552+$L552)/(SUMIF($A:$A,$A552,$K:$K)+SUMIF($A:$A,$A552,$L:$L)),0)</f>
        <v>0</v>
      </c>
      <c r="O552" s="30">
        <f>IFERROR((VLOOKUP($A552,HeadJournal!$A$1:$L$890,COLUMN(HeadJournal!L$1),0)*($K552+$L552)/(SUMIF($A:$A,$A552,$K:$K)+SUMIF($A:$A,$A552,$L:$L)))/VLOOKUP($A552,HeadJournal!$A$1:$L$890,COLUMN(HeadJournal!H$1),0),0)</f>
        <v>1.5037371428690247</v>
      </c>
      <c r="P552" s="30">
        <f>IFERROR(SUM(K552:O552)*VLOOKUP($A552,HeadJournal!$A$1:$L$890,COLUMN(HeadJournal!H$1),0),0)</f>
        <v>399.76786285796271</v>
      </c>
      <c r="Q552" s="29">
        <v>850</v>
      </c>
      <c r="R552" s="31">
        <v>45113</v>
      </c>
      <c r="S552" s="31" t="s">
        <v>3121</v>
      </c>
      <c r="T552" s="95" t="str">
        <f t="shared" si="45"/>
        <v>2023 07</v>
      </c>
      <c r="U552" s="32">
        <f t="shared" si="42"/>
        <v>450.23213714203729</v>
      </c>
      <c r="V552" s="22">
        <f t="shared" si="43"/>
        <v>1.1262339446780505</v>
      </c>
      <c r="X552" s="33"/>
      <c r="Y552" s="33"/>
    </row>
    <row r="553" spans="1:25" x14ac:dyDescent="0.2">
      <c r="A553" s="93" t="s">
        <v>272</v>
      </c>
      <c r="B553" s="94" t="str">
        <f>IFERROR(VLOOKUP($A553,HeadJournal!$A$1:$NTR$890,COLUMN(HeadJournal!B$1),0),"")</f>
        <v>1Z58FA050346012815</v>
      </c>
      <c r="C553" s="94" t="str">
        <f>IFERROR(VLOOKUP($A553,HeadJournal!$A$1:$NTR$890,COLUMN(HeadJournal!C$1),0),"")</f>
        <v>iHerb_VP DFD1605</v>
      </c>
      <c r="D553" s="125" t="str">
        <f>IFERROR(VLOOKUP($A553,HeadJournal!$A$1:$NTR$890,COLUMN(HeadJournal!D$1),0),"")</f>
        <v>Доставлен</v>
      </c>
      <c r="E553" s="95">
        <f>IFERROR(VLOOKUP($A553,HeadJournal!$A$1:$NTR$890,COLUMN(HeadJournal!G$1),0),"")</f>
        <v>44914</v>
      </c>
      <c r="F553" s="95" t="str">
        <f t="shared" si="44"/>
        <v>2022 12</v>
      </c>
      <c r="G553" s="96" t="s">
        <v>5</v>
      </c>
      <c r="H553" s="161" t="s">
        <v>2793</v>
      </c>
      <c r="I553" s="97" t="s">
        <v>2218</v>
      </c>
      <c r="J553" s="97" t="s">
        <v>2794</v>
      </c>
      <c r="K553" s="29">
        <v>7.37</v>
      </c>
      <c r="L553" s="29">
        <v>-1.62</v>
      </c>
      <c r="M553" s="30">
        <f>IFERROR(VLOOKUP($A553,HeadJournal!$A$1:$J$890,COLUMN(HeadJournal!I$1),0)*($K553+$L553)/(SUMIF($A:$A,$A553,$K:$K)+SUMIF($A:$A,$A553,$L:$L)),0)</f>
        <v>0</v>
      </c>
      <c r="N553" s="30">
        <f>IFERROR((VLOOKUP($A553,HeadJournal!$A$1:$K$890,COLUMN(HeadJournal!K$1),0)-VLOOKUP($A553,HeadJournal!$A$1:$K$890,COLUMN(HeadJournal!J$1),0))*($K553+$L553)/(SUMIF($A:$A,$A553,$K:$K)+SUMIF($A:$A,$A553,$L:$L)),0)</f>
        <v>0</v>
      </c>
      <c r="O553" s="30">
        <f>IFERROR((VLOOKUP($A553,HeadJournal!$A$1:$L$890,COLUMN(HeadJournal!L$1),0)*($K553+$L553)/(SUMIF($A:$A,$A553,$K:$K)+SUMIF($A:$A,$A553,$L:$L)))/VLOOKUP($A553,HeadJournal!$A$1:$L$890,COLUMN(HeadJournal!H$1),0),0)</f>
        <v>2.0154985015144269</v>
      </c>
      <c r="P553" s="30">
        <f>IFERROR(SUM(K553:O553)*VLOOKUP($A553,HeadJournal!$A$1:$L$890,COLUMN(HeadJournal!H$1),0),0)</f>
        <v>535.81939660449552</v>
      </c>
      <c r="Q553" s="29">
        <v>1700</v>
      </c>
      <c r="R553" s="31">
        <v>44981</v>
      </c>
      <c r="S553" s="31" t="s">
        <v>3121</v>
      </c>
      <c r="T553" s="95" t="str">
        <f t="shared" si="45"/>
        <v>2023 02</v>
      </c>
      <c r="U553" s="32">
        <f t="shared" si="42"/>
        <v>1164.1806033955045</v>
      </c>
      <c r="V553" s="22">
        <f t="shared" si="43"/>
        <v>2.1727108252761171</v>
      </c>
      <c r="X553" s="33"/>
      <c r="Y553" s="33"/>
    </row>
    <row r="554" spans="1:25" x14ac:dyDescent="0.2">
      <c r="A554" s="93" t="s">
        <v>272</v>
      </c>
      <c r="B554" s="94" t="str">
        <f>IFERROR(VLOOKUP($A554,HeadJournal!$A$1:$NTR$890,COLUMN(HeadJournal!B$1),0),"")</f>
        <v>1Z58FA050346012815</v>
      </c>
      <c r="C554" s="94" t="str">
        <f>IFERROR(VLOOKUP($A554,HeadJournal!$A$1:$NTR$890,COLUMN(HeadJournal!C$1),0),"")</f>
        <v>iHerb_VP DFD1605</v>
      </c>
      <c r="D554" s="125" t="str">
        <f>IFERROR(VLOOKUP($A554,HeadJournal!$A$1:$NTR$890,COLUMN(HeadJournal!D$1),0),"")</f>
        <v>Доставлен</v>
      </c>
      <c r="E554" s="95">
        <f>IFERROR(VLOOKUP($A554,HeadJournal!$A$1:$NTR$890,COLUMN(HeadJournal!G$1),0),"")</f>
        <v>44914</v>
      </c>
      <c r="F554" s="95" t="str">
        <f t="shared" si="44"/>
        <v>2022 12</v>
      </c>
      <c r="G554" s="96" t="s">
        <v>5</v>
      </c>
      <c r="H554" s="160" t="str">
        <f>RIGHT(Journal!$J554,9)</f>
        <v>NWY-15692</v>
      </c>
      <c r="I554" s="96" t="str">
        <f t="shared" si="41"/>
        <v>Nature's Way</v>
      </c>
      <c r="J554" s="97" t="s">
        <v>278</v>
      </c>
      <c r="K554" s="29">
        <v>18.559999999999999</v>
      </c>
      <c r="L554" s="29">
        <v>-4.08</v>
      </c>
      <c r="M554" s="30">
        <f>IFERROR(VLOOKUP($A554,HeadJournal!$A$1:$J$890,COLUMN(HeadJournal!I$1),0)*($K554+$L554)/(SUMIF($A:$A,$A554,$K:$K)+SUMIF($A:$A,$A554,$L:$L)),0)</f>
        <v>0</v>
      </c>
      <c r="N554" s="30">
        <f>IFERROR((VLOOKUP($A554,HeadJournal!$A$1:$K$890,COLUMN(HeadJournal!K$1),0)-VLOOKUP($A554,HeadJournal!$A$1:$K$890,COLUMN(HeadJournal!J$1),0))*($K554+$L554)/(SUMIF($A:$A,$A554,$K:$K)+SUMIF($A:$A,$A554,$L:$L)),0)</f>
        <v>0</v>
      </c>
      <c r="O554" s="30">
        <f>IFERROR((VLOOKUP($A554,HeadJournal!$A$1:$L$890,COLUMN(HeadJournal!L$1),0)*($K554+$L554)/(SUMIF($A:$A,$A554,$K:$K)+SUMIF($A:$A,$A554,$L:$L)))/VLOOKUP($A554,HeadJournal!$A$1:$L$890,COLUMN(HeadJournal!H$1),0),0)</f>
        <v>5.0755510090311136</v>
      </c>
      <c r="P554" s="30">
        <f>IFERROR(SUM(K554:O554)*VLOOKUP($A554,HeadJournal!$A$1:$L$890,COLUMN(HeadJournal!H$1),0),0)</f>
        <v>1349.3330196231468</v>
      </c>
      <c r="Q554" s="29">
        <v>2700</v>
      </c>
      <c r="R554" s="31">
        <v>45058</v>
      </c>
      <c r="S554" s="31" t="s">
        <v>3121</v>
      </c>
      <c r="T554" s="95" t="str">
        <f t="shared" si="45"/>
        <v>2023 05</v>
      </c>
      <c r="U554" s="32">
        <f t="shared" si="42"/>
        <v>1350.6669803768532</v>
      </c>
      <c r="V554" s="22">
        <f t="shared" si="43"/>
        <v>1.0009886075077885</v>
      </c>
      <c r="X554" s="33"/>
      <c r="Y554" s="33"/>
    </row>
    <row r="555" spans="1:25" x14ac:dyDescent="0.2">
      <c r="A555" s="93" t="s">
        <v>272</v>
      </c>
      <c r="B555" s="94" t="str">
        <f>IFERROR(VLOOKUP($A555,HeadJournal!$A$1:$NTR$890,COLUMN(HeadJournal!B$1),0),"")</f>
        <v>1Z58FA050346012815</v>
      </c>
      <c r="C555" s="94" t="str">
        <f>IFERROR(VLOOKUP($A555,HeadJournal!$A$1:$NTR$890,COLUMN(HeadJournal!C$1),0),"")</f>
        <v>iHerb_VP DFD1605</v>
      </c>
      <c r="D555" s="125" t="str">
        <f>IFERROR(VLOOKUP($A555,HeadJournal!$A$1:$NTR$890,COLUMN(HeadJournal!D$1),0),"")</f>
        <v>Доставлен</v>
      </c>
      <c r="E555" s="95">
        <f>IFERROR(VLOOKUP($A555,HeadJournal!$A$1:$NTR$890,COLUMN(HeadJournal!G$1),0),"")</f>
        <v>44914</v>
      </c>
      <c r="F555" s="95" t="str">
        <f t="shared" si="44"/>
        <v>2022 12</v>
      </c>
      <c r="G555" s="96" t="s">
        <v>5</v>
      </c>
      <c r="H555" s="160" t="str">
        <f>RIGHT(Journal!$J555,9)</f>
        <v>OAD-58701</v>
      </c>
      <c r="I555" s="96" t="str">
        <f t="shared" si="41"/>
        <v>One-A-Day</v>
      </c>
      <c r="J555" s="97" t="s">
        <v>56</v>
      </c>
      <c r="K555" s="29">
        <v>14.18</v>
      </c>
      <c r="L555" s="29">
        <v>-3.12</v>
      </c>
      <c r="M555" s="30">
        <f>IFERROR(VLOOKUP($A555,HeadJournal!$A$1:$J$890,COLUMN(HeadJournal!I$1),0)*($K555+$L555)/(SUMIF($A:$A,$A555,$K:$K)+SUMIF($A:$A,$A555,$L:$L)),0)</f>
        <v>0</v>
      </c>
      <c r="N555" s="30">
        <f>IFERROR((VLOOKUP($A555,HeadJournal!$A$1:$K$890,COLUMN(HeadJournal!K$1),0)-VLOOKUP($A555,HeadJournal!$A$1:$K$890,COLUMN(HeadJournal!J$1),0))*($K555+$L555)/(SUMIF($A:$A,$A555,$K:$K)+SUMIF($A:$A,$A555,$L:$L)),0)</f>
        <v>0</v>
      </c>
      <c r="O555" s="30">
        <f>IFERROR((VLOOKUP($A555,HeadJournal!$A$1:$L$890,COLUMN(HeadJournal!L$1),0)*($K555+$L555)/(SUMIF($A:$A,$A555,$K:$K)+SUMIF($A:$A,$A555,$L:$L)))/VLOOKUP($A555,HeadJournal!$A$1:$L$890,COLUMN(HeadJournal!H$1),0),0)</f>
        <v>3.8767675524781846</v>
      </c>
      <c r="P555" s="30">
        <f>IFERROR(SUM(K555:O555)*VLOOKUP($A555,HeadJournal!$A$1:$L$890,COLUMN(HeadJournal!H$1),0),0)</f>
        <v>1030.6369611209948</v>
      </c>
      <c r="Q555" s="29">
        <v>1900</v>
      </c>
      <c r="R555" s="31">
        <v>44985</v>
      </c>
      <c r="S555" s="31" t="s">
        <v>3121</v>
      </c>
      <c r="T555" s="95" t="str">
        <f t="shared" si="45"/>
        <v>2023 02</v>
      </c>
      <c r="U555" s="32">
        <f t="shared" si="42"/>
        <v>869.36303887900522</v>
      </c>
      <c r="V555" s="22">
        <f t="shared" si="43"/>
        <v>0.84352014499210615</v>
      </c>
      <c r="X555" s="33"/>
      <c r="Y555" s="33"/>
    </row>
    <row r="556" spans="1:25" x14ac:dyDescent="0.2">
      <c r="A556" s="93" t="s">
        <v>279</v>
      </c>
      <c r="B556" s="94" t="str">
        <f>IFERROR(VLOOKUP($A556,HeadJournal!$A$1:$NTR$890,COLUMN(HeadJournal!B$1),0),"")</f>
        <v>922582622-0</v>
      </c>
      <c r="C556" s="94" t="str">
        <f>IFERROR(VLOOKUP($A556,HeadJournal!$A$1:$NTR$890,COLUMN(HeadJournal!C$1),0),"")</f>
        <v>iHerb_AV CYG0792</v>
      </c>
      <c r="D556" s="125" t="str">
        <f>IFERROR(VLOOKUP($A556,HeadJournal!$A$1:$NTR$890,COLUMN(HeadJournal!D$1),0),"")</f>
        <v>Доставлен</v>
      </c>
      <c r="E556" s="95">
        <f>IFERROR(VLOOKUP($A556,HeadJournal!$A$1:$NTR$890,COLUMN(HeadJournal!G$1),0),"")</f>
        <v>44908</v>
      </c>
      <c r="F556" s="95" t="str">
        <f t="shared" si="44"/>
        <v>2022 12</v>
      </c>
      <c r="G556" s="96" t="s">
        <v>5</v>
      </c>
      <c r="H556" s="161" t="s">
        <v>2027</v>
      </c>
      <c r="I556" s="97" t="s">
        <v>2005</v>
      </c>
      <c r="J556" s="97" t="s">
        <v>4110</v>
      </c>
      <c r="K556" s="29">
        <v>6.48</v>
      </c>
      <c r="L556" s="29">
        <v>-1.43</v>
      </c>
      <c r="M556" s="30">
        <f>IFERROR(VLOOKUP($A556,HeadJournal!$A$1:$J$890,COLUMN(HeadJournal!I$1),0)*($K556+$L556)/(SUMIF($A:$A,$A556,$K:$K)+SUMIF($A:$A,$A556,$L:$L)),0)</f>
        <v>-0.25044868050761965</v>
      </c>
      <c r="N556" s="30">
        <f>IFERROR((VLOOKUP($A556,HeadJournal!$A$1:$K$890,COLUMN(HeadJournal!K$1),0)-VLOOKUP($A556,HeadJournal!$A$1:$K$890,COLUMN(HeadJournal!J$1),0))*($K556+$L556)/(SUMIF($A:$A,$A556,$K:$K)+SUMIF($A:$A,$A556,$L:$L)),0)</f>
        <v>7.6211773282822852E-16</v>
      </c>
      <c r="O556" s="30">
        <f>IFERROR((VLOOKUP($A556,HeadJournal!$A$1:$L$890,COLUMN(HeadJournal!L$1),0)*($K556+$L556)/(SUMIF($A:$A,$A556,$K:$K)+SUMIF($A:$A,$A556,$L:$L)))/VLOOKUP($A556,HeadJournal!$A$1:$L$890,COLUMN(HeadJournal!H$1),0),0)</f>
        <v>2.0868650099232235</v>
      </c>
      <c r="P556" s="30">
        <f>IFERROR(SUM(K556:O556)*VLOOKUP($A556,HeadJournal!$A$1:$L$890,COLUMN(HeadJournal!H$1),0),0)</f>
        <v>475.16272672967676</v>
      </c>
      <c r="Q556" s="29">
        <v>1000</v>
      </c>
      <c r="R556" s="31">
        <v>44973</v>
      </c>
      <c r="S556" s="31" t="s">
        <v>3121</v>
      </c>
      <c r="T556" s="95" t="str">
        <f t="shared" si="45"/>
        <v>2023 02</v>
      </c>
      <c r="U556" s="32">
        <f t="shared" si="42"/>
        <v>524.83727327032329</v>
      </c>
      <c r="V556" s="22">
        <f t="shared" si="43"/>
        <v>1.1045421783870406</v>
      </c>
      <c r="X556" s="33"/>
      <c r="Y556" s="33"/>
    </row>
    <row r="557" spans="1:25" x14ac:dyDescent="0.2">
      <c r="A557" s="93" t="s">
        <v>279</v>
      </c>
      <c r="B557" s="94" t="str">
        <f>IFERROR(VLOOKUP($A557,HeadJournal!$A$1:$NTR$890,COLUMN(HeadJournal!B$1),0),"")</f>
        <v>922582622-0</v>
      </c>
      <c r="C557" s="94" t="str">
        <f>IFERROR(VLOOKUP($A557,HeadJournal!$A$1:$NTR$890,COLUMN(HeadJournal!C$1),0),"")</f>
        <v>iHerb_AV CYG0792</v>
      </c>
      <c r="D557" s="125" t="str">
        <f>IFERROR(VLOOKUP($A557,HeadJournal!$A$1:$NTR$890,COLUMN(HeadJournal!D$1),0),"")</f>
        <v>Доставлен</v>
      </c>
      <c r="E557" s="95">
        <f>IFERROR(VLOOKUP($A557,HeadJournal!$A$1:$NTR$890,COLUMN(HeadJournal!G$1),0),"")</f>
        <v>44908</v>
      </c>
      <c r="F557" s="95" t="str">
        <f t="shared" si="44"/>
        <v>2022 12</v>
      </c>
      <c r="G557" s="96" t="s">
        <v>5</v>
      </c>
      <c r="H557" s="161" t="s">
        <v>2624</v>
      </c>
      <c r="I557" s="97" t="s">
        <v>2005</v>
      </c>
      <c r="J557" s="97" t="s">
        <v>2625</v>
      </c>
      <c r="K557" s="29">
        <v>14.95</v>
      </c>
      <c r="L557" s="29">
        <v>-3.29</v>
      </c>
      <c r="M557" s="30">
        <f>IFERROR(VLOOKUP($A557,HeadJournal!$A$1:$J$890,COLUMN(HeadJournal!I$1),0)*($K557+$L557)/(SUMIF($A:$A,$A557,$K:$K)+SUMIF($A:$A,$A557,$L:$L)),0)</f>
        <v>-0.57826368608293954</v>
      </c>
      <c r="N557" s="30">
        <f>IFERROR((VLOOKUP($A557,HeadJournal!$A$1:$K$890,COLUMN(HeadJournal!K$1),0)-VLOOKUP($A557,HeadJournal!$A$1:$K$890,COLUMN(HeadJournal!J$1),0))*($K557+$L557)/(SUMIF($A:$A,$A557,$K:$K)+SUMIF($A:$A,$A557,$L:$L)),0)</f>
        <v>1.7596619336192362E-15</v>
      </c>
      <c r="O557" s="30">
        <f>IFERROR((VLOOKUP($A557,HeadJournal!$A$1:$L$890,COLUMN(HeadJournal!L$1),0)*($K557+$L557)/(SUMIF($A:$A,$A557,$K:$K)+SUMIF($A:$A,$A557,$L:$L)))/VLOOKUP($A557,HeadJournal!$A$1:$L$890,COLUMN(HeadJournal!H$1),0),0)</f>
        <v>4.8183853496445126</v>
      </c>
      <c r="P557" s="30">
        <f>IFERROR(SUM(K557:O557)*VLOOKUP($A557,HeadJournal!$A$1:$L$890,COLUMN(HeadJournal!H$1),0),0)</f>
        <v>1097.1083947857487</v>
      </c>
      <c r="Q557" s="29">
        <v>2200</v>
      </c>
      <c r="R557" s="31">
        <v>44968</v>
      </c>
      <c r="S557" s="31" t="s">
        <v>3121</v>
      </c>
      <c r="T557" s="95" t="str">
        <f t="shared" si="45"/>
        <v>2023 02</v>
      </c>
      <c r="U557" s="32">
        <f t="shared" si="42"/>
        <v>1102.8916052142513</v>
      </c>
      <c r="V557" s="22">
        <f t="shared" si="43"/>
        <v>1.0052713209159538</v>
      </c>
      <c r="X557" s="33"/>
      <c r="Y557" s="33"/>
    </row>
    <row r="558" spans="1:25" x14ac:dyDescent="0.2">
      <c r="A558" s="93" t="s">
        <v>279</v>
      </c>
      <c r="B558" s="94" t="str">
        <f>IFERROR(VLOOKUP($A558,HeadJournal!$A$1:$NTR$890,COLUMN(HeadJournal!B$1),0),"")</f>
        <v>922582622-0</v>
      </c>
      <c r="C558" s="94" t="str">
        <f>IFERROR(VLOOKUP($A558,HeadJournal!$A$1:$NTR$890,COLUMN(HeadJournal!C$1),0),"")</f>
        <v>iHerb_AV CYG0792</v>
      </c>
      <c r="D558" s="125" t="str">
        <f>IFERROR(VLOOKUP($A558,HeadJournal!$A$1:$NTR$890,COLUMN(HeadJournal!D$1),0),"")</f>
        <v>Доставлен</v>
      </c>
      <c r="E558" s="95">
        <f>IFERROR(VLOOKUP($A558,HeadJournal!$A$1:$NTR$890,COLUMN(HeadJournal!G$1),0),"")</f>
        <v>44908</v>
      </c>
      <c r="F558" s="95" t="str">
        <f t="shared" si="44"/>
        <v>2022 12</v>
      </c>
      <c r="G558" s="96" t="s">
        <v>5</v>
      </c>
      <c r="H558" s="161" t="s">
        <v>3083</v>
      </c>
      <c r="I558" s="97" t="s">
        <v>2102</v>
      </c>
      <c r="J558" s="97" t="s">
        <v>3084</v>
      </c>
      <c r="K558" s="29">
        <v>5.24</v>
      </c>
      <c r="L558" s="29">
        <v>-1.1499999999999999</v>
      </c>
      <c r="M558" s="30">
        <f>IFERROR(VLOOKUP($A558,HeadJournal!$A$1:$J$890,COLUMN(HeadJournal!I$1),0)*($K558+$L558)/(SUMIF($A:$A,$A558,$K:$K)+SUMIF($A:$A,$A558,$L:$L)),0)</f>
        <v>-0.20283863431211174</v>
      </c>
      <c r="N558" s="30">
        <f>IFERROR((VLOOKUP($A558,HeadJournal!$A$1:$K$890,COLUMN(HeadJournal!K$1),0)-VLOOKUP($A558,HeadJournal!$A$1:$K$890,COLUMN(HeadJournal!J$1),0))*($K558+$L558)/(SUMIF($A:$A,$A558,$K:$K)+SUMIF($A:$A,$A558,$L:$L)),0)</f>
        <v>6.1723990638959482E-16</v>
      </c>
      <c r="O558" s="30">
        <f>IFERROR((VLOOKUP($A558,HeadJournal!$A$1:$L$890,COLUMN(HeadJournal!L$1),0)*($K558+$L558)/(SUMIF($A:$A,$A558,$K:$K)+SUMIF($A:$A,$A558,$L:$L)))/VLOOKUP($A558,HeadJournal!$A$1:$L$890,COLUMN(HeadJournal!H$1),0),0)</f>
        <v>1.6901540377397988</v>
      </c>
      <c r="P558" s="30">
        <f>IFERROR(SUM(K558:O558)*VLOOKUP($A558,HeadJournal!$A$1:$L$890,COLUMN(HeadJournal!H$1),0),0)</f>
        <v>384.83476283651044</v>
      </c>
      <c r="Q558" s="29"/>
      <c r="R558" s="31"/>
      <c r="S558" s="31"/>
      <c r="T558" s="95" t="str">
        <f t="shared" si="45"/>
        <v/>
      </c>
      <c r="U558" s="32">
        <f t="shared" si="42"/>
        <v>-384.83476283651044</v>
      </c>
      <c r="V558" s="22" t="str">
        <f t="shared" si="43"/>
        <v/>
      </c>
      <c r="X558" s="33"/>
      <c r="Y558" s="33"/>
    </row>
    <row r="559" spans="1:25" x14ac:dyDescent="0.2">
      <c r="A559" s="93" t="s">
        <v>279</v>
      </c>
      <c r="B559" s="94" t="str">
        <f>IFERROR(VLOOKUP($A559,HeadJournal!$A$1:$NTR$890,COLUMN(HeadJournal!B$1),0),"")</f>
        <v>922582622-0</v>
      </c>
      <c r="C559" s="94" t="str">
        <f>IFERROR(VLOOKUP($A559,HeadJournal!$A$1:$NTR$890,COLUMN(HeadJournal!C$1),0),"")</f>
        <v>iHerb_AV CYG0792</v>
      </c>
      <c r="D559" s="125" t="str">
        <f>IFERROR(VLOOKUP($A559,HeadJournal!$A$1:$NTR$890,COLUMN(HeadJournal!D$1),0),"")</f>
        <v>Доставлен</v>
      </c>
      <c r="E559" s="95">
        <f>IFERROR(VLOOKUP($A559,HeadJournal!$A$1:$NTR$890,COLUMN(HeadJournal!G$1),0),"")</f>
        <v>44908</v>
      </c>
      <c r="F559" s="95" t="str">
        <f t="shared" si="44"/>
        <v>2022 12</v>
      </c>
      <c r="G559" s="96" t="s">
        <v>5</v>
      </c>
      <c r="H559" s="160" t="str">
        <f>RIGHT(Journal!$J559,9)</f>
        <v>NFS-20721</v>
      </c>
      <c r="I559" s="96" t="str">
        <f t="shared" si="41"/>
        <v>Natural Factors</v>
      </c>
      <c r="J559" s="97" t="s">
        <v>280</v>
      </c>
      <c r="K559" s="29">
        <v>13.97</v>
      </c>
      <c r="L559" s="29">
        <v>-3.07</v>
      </c>
      <c r="M559" s="30">
        <f>IFERROR(VLOOKUP($A559,HeadJournal!$A$1:$J$890,COLUMN(HeadJournal!I$1),0)*($K559+$L559)/(SUMIF($A:$A,$A559,$K:$K)+SUMIF($A:$A,$A559,$L:$L)),0)</f>
        <v>-0.54057239951149583</v>
      </c>
      <c r="N559" s="30">
        <f>IFERROR((VLOOKUP($A559,HeadJournal!$A$1:$K$890,COLUMN(HeadJournal!K$1),0)-VLOOKUP($A559,HeadJournal!$A$1:$K$890,COLUMN(HeadJournal!J$1),0))*($K559+$L559)/(SUMIF($A:$A,$A559,$K:$K)+SUMIF($A:$A,$A559,$L:$L)),0)</f>
        <v>1.6449669876886515E-15</v>
      </c>
      <c r="O559" s="30">
        <f>IFERROR((VLOOKUP($A559,HeadJournal!$A$1:$L$890,COLUMN(HeadJournal!L$1),0)*($K559+$L559)/(SUMIF($A:$A,$A559,$K:$K)+SUMIF($A:$A,$A559,$L:$L)))/VLOOKUP($A559,HeadJournal!$A$1:$L$890,COLUMN(HeadJournal!H$1),0),0)</f>
        <v>4.5043224966659681</v>
      </c>
      <c r="P559" s="30">
        <f>IFERROR(SUM(K559:O559)*VLOOKUP($A559,HeadJournal!$A$1:$L$890,COLUMN(HeadJournal!H$1),0),0)</f>
        <v>1025.5987567036589</v>
      </c>
      <c r="Q559" s="29">
        <v>1700</v>
      </c>
      <c r="R559" s="31">
        <v>45764</v>
      </c>
      <c r="S559" s="31" t="s">
        <v>3121</v>
      </c>
      <c r="T559" s="95" t="str">
        <f t="shared" si="45"/>
        <v>2025 04</v>
      </c>
      <c r="U559" s="32">
        <f t="shared" si="42"/>
        <v>674.40124329634114</v>
      </c>
      <c r="V559" s="22">
        <f t="shared" si="43"/>
        <v>0.65756831205988453</v>
      </c>
      <c r="X559" s="33"/>
      <c r="Y559" s="33"/>
    </row>
    <row r="560" spans="1:25" x14ac:dyDescent="0.2">
      <c r="A560" s="93" t="s">
        <v>279</v>
      </c>
      <c r="B560" s="94" t="str">
        <f>IFERROR(VLOOKUP($A560,HeadJournal!$A$1:$NTR$890,COLUMN(HeadJournal!B$1),0),"")</f>
        <v>922582622-0</v>
      </c>
      <c r="C560" s="94" t="str">
        <f>IFERROR(VLOOKUP($A560,HeadJournal!$A$1:$NTR$890,COLUMN(HeadJournal!C$1),0),"")</f>
        <v>iHerb_AV CYG0792</v>
      </c>
      <c r="D560" s="125" t="str">
        <f>IFERROR(VLOOKUP($A560,HeadJournal!$A$1:$NTR$890,COLUMN(HeadJournal!D$1),0),"")</f>
        <v>Доставлен</v>
      </c>
      <c r="E560" s="95">
        <f>IFERROR(VLOOKUP($A560,HeadJournal!$A$1:$NTR$890,COLUMN(HeadJournal!G$1),0),"")</f>
        <v>44908</v>
      </c>
      <c r="F560" s="95" t="str">
        <f t="shared" si="44"/>
        <v>2022 12</v>
      </c>
      <c r="G560" s="96" t="s">
        <v>5</v>
      </c>
      <c r="H560" s="175" t="s">
        <v>3643</v>
      </c>
      <c r="I560" s="176" t="s">
        <v>2102</v>
      </c>
      <c r="J560" s="97" t="s">
        <v>3693</v>
      </c>
      <c r="K560" s="29">
        <v>15.37</v>
      </c>
      <c r="L560" s="29">
        <v>-3.38</v>
      </c>
      <c r="M560" s="30">
        <f>IFERROR(VLOOKUP($A560,HeadJournal!$A$1:$J$890,COLUMN(HeadJournal!I$1),0)*($K560+$L560)/(SUMIF($A:$A,$A560,$K:$K)+SUMIF($A:$A,$A560,$L:$L)),0)</f>
        <v>-0.59462963946264535</v>
      </c>
      <c r="N560" s="30">
        <f>IFERROR((VLOOKUP($A560,HeadJournal!$A$1:$K$890,COLUMN(HeadJournal!K$1),0)-VLOOKUP($A560,HeadJournal!$A$1:$K$890,COLUMN(HeadJournal!J$1),0))*($K560+$L560)/(SUMIF($A:$A,$A560,$K:$K)+SUMIF($A:$A,$A560,$L:$L)),0)</f>
        <v>1.8094636864575161E-15</v>
      </c>
      <c r="O560" s="30">
        <f>IFERROR((VLOOKUP($A560,HeadJournal!$A$1:$L$890,COLUMN(HeadJournal!L$1),0)*($K560+$L560)/(SUMIF($A:$A,$A560,$K:$K)+SUMIF($A:$A,$A560,$L:$L)))/VLOOKUP($A560,HeadJournal!$A$1:$L$890,COLUMN(HeadJournal!H$1),0),0)</f>
        <v>4.9547547463325632</v>
      </c>
      <c r="P560" s="30">
        <f>IFERROR(SUM(K560:O560)*VLOOKUP($A560,HeadJournal!$A$1:$L$890,COLUMN(HeadJournal!H$1),0),0)</f>
        <v>1128.1586323740244</v>
      </c>
      <c r="Q560" s="29">
        <v>2200</v>
      </c>
      <c r="R560" s="31">
        <v>44992</v>
      </c>
      <c r="S560" s="31" t="s">
        <v>3121</v>
      </c>
      <c r="T560" s="95" t="str">
        <f t="shared" si="45"/>
        <v>2023 03</v>
      </c>
      <c r="U560" s="32">
        <f t="shared" si="42"/>
        <v>1071.8413676259756</v>
      </c>
      <c r="V560" s="22">
        <f t="shared" si="43"/>
        <v>0.95008036712927657</v>
      </c>
      <c r="X560" s="33"/>
      <c r="Y560" s="33"/>
    </row>
    <row r="561" spans="1:25" x14ac:dyDescent="0.2">
      <c r="A561" s="93" t="s">
        <v>279</v>
      </c>
      <c r="B561" s="94" t="str">
        <f>IFERROR(VLOOKUP($A561,HeadJournal!$A$1:$NTR$890,COLUMN(HeadJournal!B$1),0),"")</f>
        <v>922582622-0</v>
      </c>
      <c r="C561" s="94" t="str">
        <f>IFERROR(VLOOKUP($A561,HeadJournal!$A$1:$NTR$890,COLUMN(HeadJournal!C$1),0),"")</f>
        <v>iHerb_AV CYG0792</v>
      </c>
      <c r="D561" s="125" t="str">
        <f>IFERROR(VLOOKUP($A561,HeadJournal!$A$1:$NTR$890,COLUMN(HeadJournal!D$1),0),"")</f>
        <v>Доставлен</v>
      </c>
      <c r="E561" s="95">
        <f>IFERROR(VLOOKUP($A561,HeadJournal!$A$1:$NTR$890,COLUMN(HeadJournal!G$1),0),"")</f>
        <v>44908</v>
      </c>
      <c r="F561" s="95" t="str">
        <f t="shared" si="44"/>
        <v>2022 12</v>
      </c>
      <c r="G561" s="96" t="s">
        <v>5</v>
      </c>
      <c r="H561" s="175" t="s">
        <v>3654</v>
      </c>
      <c r="I561" s="176" t="s">
        <v>2005</v>
      </c>
      <c r="J561" s="97" t="s">
        <v>3703</v>
      </c>
      <c r="K561" s="29">
        <v>9.09</v>
      </c>
      <c r="L561" s="29">
        <v>-2</v>
      </c>
      <c r="M561" s="30">
        <f>IFERROR(VLOOKUP($A561,HeadJournal!$A$1:$J$890,COLUMN(HeadJournal!I$1),0)*($K561+$L561)/(SUMIF($A:$A,$A561,$K:$K)+SUMIF($A:$A,$A561,$L:$L)),0)</f>
        <v>-0.3516200286730739</v>
      </c>
      <c r="N561" s="30">
        <f>IFERROR((VLOOKUP($A561,HeadJournal!$A$1:$K$890,COLUMN(HeadJournal!K$1),0)-VLOOKUP($A561,HeadJournal!$A$1:$K$890,COLUMN(HeadJournal!J$1),0))*($K561+$L561)/(SUMIF($A:$A,$A561,$K:$K)+SUMIF($A:$A,$A561,$L:$L)),0)</f>
        <v>1.0699831140103246E-15</v>
      </c>
      <c r="O561" s="30">
        <f>IFERROR((VLOOKUP($A561,HeadJournal!$A$1:$L$890,COLUMN(HeadJournal!L$1),0)*($K561+$L561)/(SUMIF($A:$A,$A561,$K:$K)+SUMIF($A:$A,$A561,$L:$L)))/VLOOKUP($A561,HeadJournal!$A$1:$L$890,COLUMN(HeadJournal!H$1),0),0)</f>
        <v>2.9298758258130007</v>
      </c>
      <c r="P561" s="30">
        <f>IFERROR(SUM(K561:O561)*VLOOKUP($A561,HeadJournal!$A$1:$L$890,COLUMN(HeadJournal!H$1),0),0)</f>
        <v>667.10965000265503</v>
      </c>
      <c r="Q561" s="29">
        <v>1500</v>
      </c>
      <c r="R561" s="31">
        <v>44991</v>
      </c>
      <c r="S561" s="31" t="s">
        <v>3121</v>
      </c>
      <c r="T561" s="95" t="str">
        <f t="shared" si="45"/>
        <v>2023 03</v>
      </c>
      <c r="U561" s="32">
        <f t="shared" si="42"/>
        <v>832.89034999734497</v>
      </c>
      <c r="V561" s="22">
        <f t="shared" si="43"/>
        <v>1.2485059240171839</v>
      </c>
      <c r="X561" s="33"/>
      <c r="Y561" s="33"/>
    </row>
    <row r="562" spans="1:25" x14ac:dyDescent="0.2">
      <c r="A562" s="93" t="s">
        <v>279</v>
      </c>
      <c r="B562" s="94" t="str">
        <f>IFERROR(VLOOKUP($A562,HeadJournal!$A$1:$NTR$890,COLUMN(HeadJournal!B$1),0),"")</f>
        <v>922582622-0</v>
      </c>
      <c r="C562" s="94" t="str">
        <f>IFERROR(VLOOKUP($A562,HeadJournal!$A$1:$NTR$890,COLUMN(HeadJournal!C$1),0),"")</f>
        <v>iHerb_AV CYG0792</v>
      </c>
      <c r="D562" s="125" t="str">
        <f>IFERROR(VLOOKUP($A562,HeadJournal!$A$1:$NTR$890,COLUMN(HeadJournal!D$1),0),"")</f>
        <v>Доставлен</v>
      </c>
      <c r="E562" s="95">
        <f>IFERROR(VLOOKUP($A562,HeadJournal!$A$1:$NTR$890,COLUMN(HeadJournal!G$1),0),"")</f>
        <v>44908</v>
      </c>
      <c r="F562" s="95" t="str">
        <f t="shared" si="44"/>
        <v>2022 12</v>
      </c>
      <c r="G562" s="96" t="s">
        <v>5</v>
      </c>
      <c r="H562" s="160" t="str">
        <f>RIGHT(Journal!$J562,9)</f>
        <v>NOW-01841</v>
      </c>
      <c r="I562" s="96" t="str">
        <f t="shared" si="41"/>
        <v>NOW Foods</v>
      </c>
      <c r="J562" s="97" t="s">
        <v>281</v>
      </c>
      <c r="K562" s="29">
        <v>23.15</v>
      </c>
      <c r="L562" s="29">
        <v>-5.09</v>
      </c>
      <c r="M562" s="30">
        <f>IFERROR(VLOOKUP($A562,HeadJournal!$A$1:$J$890,COLUMN(HeadJournal!I$1),0)*($K562+$L562)/(SUMIF($A:$A,$A562,$K:$K)+SUMIF($A:$A,$A562,$L:$L)),0)</f>
        <v>-0.89566399405299213</v>
      </c>
      <c r="N562" s="30">
        <f>IFERROR((VLOOKUP($A562,HeadJournal!$A$1:$K$890,COLUMN(HeadJournal!K$1),0)-VLOOKUP($A562,HeadJournal!$A$1:$K$890,COLUMN(HeadJournal!J$1),0))*($K562+$L562)/(SUMIF($A:$A,$A562,$K:$K)+SUMIF($A:$A,$A562,$L:$L)),0)</f>
        <v>2.7255141098767926E-15</v>
      </c>
      <c r="O562" s="30">
        <f>IFERROR((VLOOKUP($A562,HeadJournal!$A$1:$L$890,COLUMN(HeadJournal!L$1),0)*($K562+$L562)/(SUMIF($A:$A,$A562,$K:$K)+SUMIF($A:$A,$A562,$L:$L)))/VLOOKUP($A562,HeadJournal!$A$1:$L$890,COLUMN(HeadJournal!H$1),0),0)</f>
        <v>7.4631251642006751</v>
      </c>
      <c r="P562" s="30">
        <f>IFERROR(SUM(K562:O562)*VLOOKUP($A562,HeadJournal!$A$1:$L$890,COLUMN(HeadJournal!H$1),0),0)</f>
        <v>1699.2948207401903</v>
      </c>
      <c r="Q562" s="29">
        <v>3400</v>
      </c>
      <c r="R562" s="31">
        <v>44968</v>
      </c>
      <c r="S562" s="31" t="s">
        <v>3121</v>
      </c>
      <c r="T562" s="95" t="str">
        <f t="shared" si="45"/>
        <v>2023 02</v>
      </c>
      <c r="U562" s="32">
        <f t="shared" si="42"/>
        <v>1700.7051792598097</v>
      </c>
      <c r="V562" s="22">
        <f t="shared" si="43"/>
        <v>1.0008299669382885</v>
      </c>
      <c r="X562" s="33"/>
      <c r="Y562" s="33"/>
    </row>
    <row r="563" spans="1:25" x14ac:dyDescent="0.2">
      <c r="A563" s="93" t="s">
        <v>279</v>
      </c>
      <c r="B563" s="94" t="str">
        <f>IFERROR(VLOOKUP($A563,HeadJournal!$A$1:$NTR$890,COLUMN(HeadJournal!B$1),0),"")</f>
        <v>922582622-0</v>
      </c>
      <c r="C563" s="94" t="str">
        <f>IFERROR(VLOOKUP($A563,HeadJournal!$A$1:$NTR$890,COLUMN(HeadJournal!C$1),0),"")</f>
        <v>iHerb_AV CYG0792</v>
      </c>
      <c r="D563" s="125" t="str">
        <f>IFERROR(VLOOKUP($A563,HeadJournal!$A$1:$NTR$890,COLUMN(HeadJournal!D$1),0),"")</f>
        <v>Доставлен</v>
      </c>
      <c r="E563" s="95">
        <f>IFERROR(VLOOKUP($A563,HeadJournal!$A$1:$NTR$890,COLUMN(HeadJournal!G$1),0),"")</f>
        <v>44908</v>
      </c>
      <c r="F563" s="95" t="str">
        <f t="shared" si="44"/>
        <v>2022 12</v>
      </c>
      <c r="G563" s="96" t="s">
        <v>5</v>
      </c>
      <c r="H563" s="160" t="str">
        <f>RIGHT(Journal!$J563,9)</f>
        <v>CEN-22874</v>
      </c>
      <c r="I563" s="96" t="str">
        <f t="shared" si="41"/>
        <v>21st Century</v>
      </c>
      <c r="J563" s="97" t="s">
        <v>282</v>
      </c>
      <c r="K563" s="29">
        <v>11.01</v>
      </c>
      <c r="L563" s="29">
        <v>-3.01</v>
      </c>
      <c r="M563" s="30">
        <f>IFERROR(VLOOKUP($A563,HeadJournal!$A$1:$J$890,COLUMN(HeadJournal!I$1),0)*($K563+$L563)/(SUMIF($A:$A,$A563,$K:$K)+SUMIF($A:$A,$A563,$L:$L)),0)</f>
        <v>-0.39675038496256576</v>
      </c>
      <c r="N563" s="30">
        <f>IFERROR((VLOOKUP($A563,HeadJournal!$A$1:$K$890,COLUMN(HeadJournal!K$1),0)-VLOOKUP($A563,HeadJournal!$A$1:$K$890,COLUMN(HeadJournal!J$1),0))*($K563+$L563)/(SUMIF($A:$A,$A563,$K:$K)+SUMIF($A:$A,$A563,$L:$L)),0)</f>
        <v>1.2073152203219459E-15</v>
      </c>
      <c r="O563" s="30">
        <f>IFERROR((VLOOKUP($A563,HeadJournal!$A$1:$L$890,COLUMN(HeadJournal!L$1),0)*($K563+$L563)/(SUMIF($A:$A,$A563,$K:$K)+SUMIF($A:$A,$A563,$L:$L)))/VLOOKUP($A563,HeadJournal!$A$1:$L$890,COLUMN(HeadJournal!H$1),0),0)</f>
        <v>3.3059247681952053</v>
      </c>
      <c r="P563" s="30">
        <f>IFERROR(SUM(K563:O563)*VLOOKUP($A563,HeadJournal!$A$1:$L$890,COLUMN(HeadJournal!H$1),0),0)</f>
        <v>752.73303244305214</v>
      </c>
      <c r="Q563" s="29">
        <v>1500</v>
      </c>
      <c r="R563" s="31">
        <v>45002</v>
      </c>
      <c r="S563" s="31" t="s">
        <v>3121</v>
      </c>
      <c r="T563" s="95" t="str">
        <f t="shared" si="45"/>
        <v>2023 03</v>
      </c>
      <c r="U563" s="32">
        <f t="shared" si="42"/>
        <v>747.26696755694786</v>
      </c>
      <c r="V563" s="22">
        <f t="shared" si="43"/>
        <v>0.99273837516022945</v>
      </c>
      <c r="X563" s="33"/>
      <c r="Y563" s="33"/>
    </row>
    <row r="564" spans="1:25" x14ac:dyDescent="0.2">
      <c r="A564" s="93" t="s">
        <v>279</v>
      </c>
      <c r="B564" s="94" t="str">
        <f>IFERROR(VLOOKUP($A564,HeadJournal!$A$1:$NTR$890,COLUMN(HeadJournal!B$1),0),"")</f>
        <v>922582622-0</v>
      </c>
      <c r="C564" s="94" t="str">
        <f>IFERROR(VLOOKUP($A564,HeadJournal!$A$1:$NTR$890,COLUMN(HeadJournal!C$1),0),"")</f>
        <v>iHerb_AV CYG0792</v>
      </c>
      <c r="D564" s="125" t="str">
        <f>IFERROR(VLOOKUP($A564,HeadJournal!$A$1:$NTR$890,COLUMN(HeadJournal!D$1),0),"")</f>
        <v>Доставлен</v>
      </c>
      <c r="E564" s="95">
        <f>IFERROR(VLOOKUP($A564,HeadJournal!$A$1:$NTR$890,COLUMN(HeadJournal!G$1),0),"")</f>
        <v>44908</v>
      </c>
      <c r="F564" s="95" t="str">
        <f t="shared" si="44"/>
        <v>2022 12</v>
      </c>
      <c r="G564" s="96" t="s">
        <v>5</v>
      </c>
      <c r="H564" s="161" t="s">
        <v>2899</v>
      </c>
      <c r="I564" s="97" t="s">
        <v>2042</v>
      </c>
      <c r="J564" s="97" t="s">
        <v>2900</v>
      </c>
      <c r="K564" s="29">
        <v>7.09</v>
      </c>
      <c r="L564" s="29"/>
      <c r="M564" s="30">
        <f>IFERROR(VLOOKUP($A564,HeadJournal!$A$1:$J$890,COLUMN(HeadJournal!I$1),0)*($K564+$L564)/(SUMIF($A:$A,$A564,$K:$K)+SUMIF($A:$A,$A564,$L:$L)),0)</f>
        <v>-0.3516200286730739</v>
      </c>
      <c r="N564" s="30">
        <f>IFERROR((VLOOKUP($A564,HeadJournal!$A$1:$K$890,COLUMN(HeadJournal!K$1),0)-VLOOKUP($A564,HeadJournal!$A$1:$K$890,COLUMN(HeadJournal!J$1),0))*($K564+$L564)/(SUMIF($A:$A,$A564,$K:$K)+SUMIF($A:$A,$A564,$L:$L)),0)</f>
        <v>1.0699831140103246E-15</v>
      </c>
      <c r="O564" s="30">
        <f>IFERROR((VLOOKUP($A564,HeadJournal!$A$1:$L$890,COLUMN(HeadJournal!L$1),0)*($K564+$L564)/(SUMIF($A:$A,$A564,$K:$K)+SUMIF($A:$A,$A564,$L:$L)))/VLOOKUP($A564,HeadJournal!$A$1:$L$890,COLUMN(HeadJournal!H$1),0),0)</f>
        <v>2.9298758258130007</v>
      </c>
      <c r="P564" s="30">
        <f>IFERROR(SUM(K564:O564)*VLOOKUP($A564,HeadJournal!$A$1:$L$890,COLUMN(HeadJournal!H$1),0),0)</f>
        <v>667.10965000265503</v>
      </c>
      <c r="Q564" s="29">
        <v>1500</v>
      </c>
      <c r="R564" s="31">
        <v>45378</v>
      </c>
      <c r="S564" s="31" t="s">
        <v>3121</v>
      </c>
      <c r="T564" s="95" t="str">
        <f t="shared" si="45"/>
        <v>2024 03</v>
      </c>
      <c r="U564" s="32">
        <f t="shared" si="42"/>
        <v>832.89034999734497</v>
      </c>
      <c r="V564" s="22">
        <f t="shared" si="43"/>
        <v>1.2485059240171839</v>
      </c>
      <c r="X564" s="33"/>
      <c r="Y564" s="33"/>
    </row>
    <row r="565" spans="1:25" x14ac:dyDescent="0.2">
      <c r="A565" s="93" t="s">
        <v>279</v>
      </c>
      <c r="B565" s="94" t="str">
        <f>IFERROR(VLOOKUP($A565,HeadJournal!$A$1:$NTR$890,COLUMN(HeadJournal!B$1),0),"")</f>
        <v>922582622-0</v>
      </c>
      <c r="C565" s="94" t="str">
        <f>IFERROR(VLOOKUP($A565,HeadJournal!$A$1:$NTR$890,COLUMN(HeadJournal!C$1),0),"")</f>
        <v>iHerb_AV CYG0792</v>
      </c>
      <c r="D565" s="125" t="str">
        <f>IFERROR(VLOOKUP($A565,HeadJournal!$A$1:$NTR$890,COLUMN(HeadJournal!D$1),0),"")</f>
        <v>Доставлен</v>
      </c>
      <c r="E565" s="95">
        <f>IFERROR(VLOOKUP($A565,HeadJournal!$A$1:$NTR$890,COLUMN(HeadJournal!G$1),0),"")</f>
        <v>44908</v>
      </c>
      <c r="F565" s="95" t="str">
        <f t="shared" si="44"/>
        <v>2022 12</v>
      </c>
      <c r="G565" s="96" t="s">
        <v>5</v>
      </c>
      <c r="H565" s="161" t="s">
        <v>2076</v>
      </c>
      <c r="I565" s="97" t="s">
        <v>2005</v>
      </c>
      <c r="J565" s="97" t="s">
        <v>2077</v>
      </c>
      <c r="K565" s="29">
        <v>12.94</v>
      </c>
      <c r="L565" s="29">
        <v>-2.85</v>
      </c>
      <c r="M565" s="30">
        <f>IFERROR(VLOOKUP($A565,HeadJournal!$A$1:$J$890,COLUMN(HeadJournal!I$1),0)*($K565+$L565)/(SUMIF($A:$A,$A565,$K:$K)+SUMIF($A:$A,$A565,$L:$L)),0)</f>
        <v>-0.50040142303403601</v>
      </c>
      <c r="N565" s="30">
        <f>IFERROR((VLOOKUP($A565,HeadJournal!$A$1:$K$890,COLUMN(HeadJournal!K$1),0)-VLOOKUP($A565,HeadJournal!$A$1:$K$890,COLUMN(HeadJournal!J$1),0))*($K565+$L565)/(SUMIF($A:$A,$A565,$K:$K)+SUMIF($A:$A,$A565,$L:$L)),0)</f>
        <v>1.5227263216310542E-15</v>
      </c>
      <c r="O565" s="30">
        <f>IFERROR((VLOOKUP($A565,HeadJournal!$A$1:$L$890,COLUMN(HeadJournal!L$1),0)*($K565+$L565)/(SUMIF($A:$A,$A565,$K:$K)+SUMIF($A:$A,$A565,$L:$L)))/VLOOKUP($A565,HeadJournal!$A$1:$L$890,COLUMN(HeadJournal!H$1),0),0)</f>
        <v>4.1695976138862019</v>
      </c>
      <c r="P565" s="30">
        <f>IFERROR(SUM(K565:O565)*VLOOKUP($A565,HeadJournal!$A$1:$L$890,COLUMN(HeadJournal!H$1),0),0)</f>
        <v>949.38453716879951</v>
      </c>
      <c r="Q565" s="29">
        <v>2000</v>
      </c>
      <c r="R565" s="31">
        <v>45003</v>
      </c>
      <c r="S565" s="31" t="s">
        <v>3121</v>
      </c>
      <c r="T565" s="95" t="str">
        <f t="shared" si="45"/>
        <v>2023 03</v>
      </c>
      <c r="U565" s="32">
        <f t="shared" si="42"/>
        <v>1050.6154628312006</v>
      </c>
      <c r="V565" s="22">
        <f t="shared" si="43"/>
        <v>1.1066279486332127</v>
      </c>
      <c r="X565" s="33"/>
      <c r="Y565" s="33"/>
    </row>
    <row r="566" spans="1:25" x14ac:dyDescent="0.2">
      <c r="A566" s="93" t="s">
        <v>279</v>
      </c>
      <c r="B566" s="94" t="str">
        <f>IFERROR(VLOOKUP($A566,HeadJournal!$A$1:$NTR$890,COLUMN(HeadJournal!B$1),0),"")</f>
        <v>922582622-0</v>
      </c>
      <c r="C566" s="94" t="str">
        <f>IFERROR(VLOOKUP($A566,HeadJournal!$A$1:$NTR$890,COLUMN(HeadJournal!C$1),0),"")</f>
        <v>iHerb_AV CYG0792</v>
      </c>
      <c r="D566" s="125" t="str">
        <f>IFERROR(VLOOKUP($A566,HeadJournal!$A$1:$NTR$890,COLUMN(HeadJournal!D$1),0),"")</f>
        <v>Доставлен</v>
      </c>
      <c r="E566" s="95">
        <f>IFERROR(VLOOKUP($A566,HeadJournal!$A$1:$NTR$890,COLUMN(HeadJournal!G$1),0),"")</f>
        <v>44908</v>
      </c>
      <c r="F566" s="95" t="str">
        <f t="shared" si="44"/>
        <v>2022 12</v>
      </c>
      <c r="G566" s="96" t="s">
        <v>5</v>
      </c>
      <c r="H566" s="161" t="s">
        <v>2174</v>
      </c>
      <c r="I566" s="97" t="s">
        <v>2005</v>
      </c>
      <c r="J566" s="97" t="s">
        <v>2175</v>
      </c>
      <c r="K566" s="29">
        <v>4.47</v>
      </c>
      <c r="L566" s="29">
        <v>-0.98</v>
      </c>
      <c r="M566" s="30">
        <f>IFERROR(VLOOKUP($A566,HeadJournal!$A$1:$J$890,COLUMN(HeadJournal!I$1),0)*($K566+$L566)/(SUMIF($A:$A,$A566,$K:$K)+SUMIF($A:$A,$A566,$L:$L)),0)</f>
        <v>-0.17308235543991929</v>
      </c>
      <c r="N566" s="30">
        <f>IFERROR((VLOOKUP($A566,HeadJournal!$A$1:$K$890,COLUMN(HeadJournal!K$1),0)-VLOOKUP($A566,HeadJournal!$A$1:$K$890,COLUMN(HeadJournal!J$1),0))*($K566+$L566)/(SUMIF($A:$A,$A566,$K:$K)+SUMIF($A:$A,$A566,$L:$L)),0)</f>
        <v>5.2669126486544888E-16</v>
      </c>
      <c r="O566" s="30">
        <f>IFERROR((VLOOKUP($A566,HeadJournal!$A$1:$L$890,COLUMN(HeadJournal!L$1),0)*($K566+$L566)/(SUMIF($A:$A,$A566,$K:$K)+SUMIF($A:$A,$A566,$L:$L)))/VLOOKUP($A566,HeadJournal!$A$1:$L$890,COLUMN(HeadJournal!H$1),0),0)</f>
        <v>1.4422096801251583</v>
      </c>
      <c r="P566" s="30">
        <f>IFERROR(SUM(K566:O566)*VLOOKUP($A566,HeadJournal!$A$1:$L$890,COLUMN(HeadJournal!H$1),0),0)</f>
        <v>328.37978540328152</v>
      </c>
      <c r="Q566" s="29">
        <v>750</v>
      </c>
      <c r="R566" s="31">
        <v>44968</v>
      </c>
      <c r="S566" s="31" t="s">
        <v>3121</v>
      </c>
      <c r="T566" s="95" t="str">
        <f t="shared" si="45"/>
        <v>2023 02</v>
      </c>
      <c r="U566" s="32">
        <f t="shared" si="42"/>
        <v>421.62021459671848</v>
      </c>
      <c r="V566" s="22">
        <f t="shared" si="43"/>
        <v>1.2839408311292027</v>
      </c>
      <c r="X566" s="33"/>
      <c r="Y566" s="33"/>
    </row>
    <row r="567" spans="1:25" x14ac:dyDescent="0.2">
      <c r="A567" s="93" t="s">
        <v>279</v>
      </c>
      <c r="B567" s="94" t="str">
        <f>IFERROR(VLOOKUP($A567,HeadJournal!$A$1:$NTR$890,COLUMN(HeadJournal!B$1),0),"")</f>
        <v>922582622-0</v>
      </c>
      <c r="C567" s="94" t="str">
        <f>IFERROR(VLOOKUP($A567,HeadJournal!$A$1:$NTR$890,COLUMN(HeadJournal!C$1),0),"")</f>
        <v>iHerb_AV CYG0792</v>
      </c>
      <c r="D567" s="125" t="str">
        <f>IFERROR(VLOOKUP($A567,HeadJournal!$A$1:$NTR$890,COLUMN(HeadJournal!D$1),0),"")</f>
        <v>Доставлен</v>
      </c>
      <c r="E567" s="95">
        <f>IFERROR(VLOOKUP($A567,HeadJournal!$A$1:$NTR$890,COLUMN(HeadJournal!G$1),0),"")</f>
        <v>44908</v>
      </c>
      <c r="F567" s="95" t="str">
        <f t="shared" si="44"/>
        <v>2022 12</v>
      </c>
      <c r="G567" s="96" t="s">
        <v>5</v>
      </c>
      <c r="H567" s="161" t="s">
        <v>2771</v>
      </c>
      <c r="I567" s="97" t="s">
        <v>2052</v>
      </c>
      <c r="J567" s="97" t="s">
        <v>3858</v>
      </c>
      <c r="K567" s="29">
        <v>7</v>
      </c>
      <c r="L567" s="29">
        <v>-3</v>
      </c>
      <c r="M567" s="30">
        <f>IFERROR(VLOOKUP($A567,HeadJournal!$A$1:$J$890,COLUMN(HeadJournal!I$1),0)*($K567+$L567)/(SUMIF($A:$A,$A567,$K:$K)+SUMIF($A:$A,$A567,$L:$L)),0)</f>
        <v>-0.19837519248128288</v>
      </c>
      <c r="N567" s="30">
        <f>IFERROR((VLOOKUP($A567,HeadJournal!$A$1:$K$890,COLUMN(HeadJournal!K$1),0)-VLOOKUP($A567,HeadJournal!$A$1:$K$890,COLUMN(HeadJournal!J$1),0))*($K567+$L567)/(SUMIF($A:$A,$A567,$K:$K)+SUMIF($A:$A,$A567,$L:$L)),0)</f>
        <v>6.0365761016097295E-16</v>
      </c>
      <c r="O567" s="30">
        <f>IFERROR((VLOOKUP($A567,HeadJournal!$A$1:$L$890,COLUMN(HeadJournal!L$1),0)*($K567+$L567)/(SUMIF($A:$A,$A567,$K:$K)+SUMIF($A:$A,$A567,$L:$L)))/VLOOKUP($A567,HeadJournal!$A$1:$L$890,COLUMN(HeadJournal!H$1),0),0)</f>
        <v>1.6529623840976027</v>
      </c>
      <c r="P567" s="30">
        <f>IFERROR(SUM(K567:O567)*VLOOKUP($A567,HeadJournal!$A$1:$L$890,COLUMN(HeadJournal!H$1),0),0)</f>
        <v>376.36651622152607</v>
      </c>
      <c r="Q567" s="29">
        <v>1100</v>
      </c>
      <c r="R567" s="31">
        <v>45023</v>
      </c>
      <c r="S567" s="31" t="s">
        <v>3121</v>
      </c>
      <c r="T567" s="95" t="str">
        <f t="shared" si="45"/>
        <v>2023 04</v>
      </c>
      <c r="U567" s="32">
        <f t="shared" si="42"/>
        <v>723.63348377847387</v>
      </c>
      <c r="V567" s="22">
        <f t="shared" si="43"/>
        <v>1.9226829502350031</v>
      </c>
      <c r="X567" s="33"/>
      <c r="Y567" s="33"/>
    </row>
    <row r="568" spans="1:25" x14ac:dyDescent="0.2">
      <c r="A568" s="93" t="s">
        <v>279</v>
      </c>
      <c r="B568" s="94" t="str">
        <f>IFERROR(VLOOKUP($A568,HeadJournal!$A$1:$NTR$890,COLUMN(HeadJournal!B$1),0),"")</f>
        <v>922582622-0</v>
      </c>
      <c r="C568" s="94" t="str">
        <f>IFERROR(VLOOKUP($A568,HeadJournal!$A$1:$NTR$890,COLUMN(HeadJournal!C$1),0),"")</f>
        <v>iHerb_AV CYG0792</v>
      </c>
      <c r="D568" s="125" t="str">
        <f>IFERROR(VLOOKUP($A568,HeadJournal!$A$1:$NTR$890,COLUMN(HeadJournal!D$1),0),"")</f>
        <v>Доставлен</v>
      </c>
      <c r="E568" s="95">
        <f>IFERROR(VLOOKUP($A568,HeadJournal!$A$1:$NTR$890,COLUMN(HeadJournal!G$1),0),"")</f>
        <v>44908</v>
      </c>
      <c r="F568" s="95" t="str">
        <f t="shared" si="44"/>
        <v>2022 12</v>
      </c>
      <c r="G568" s="96" t="s">
        <v>5</v>
      </c>
      <c r="H568" s="160" t="str">
        <f>RIGHT(Journal!$J568,9)</f>
        <v>CEN-27540</v>
      </c>
      <c r="I568" s="96" t="str">
        <f t="shared" si="41"/>
        <v>21st Century</v>
      </c>
      <c r="J568" s="97" t="s">
        <v>283</v>
      </c>
      <c r="K568" s="29">
        <v>8.24</v>
      </c>
      <c r="L568" s="29">
        <v>-1.81</v>
      </c>
      <c r="M568" s="30">
        <f>IFERROR(VLOOKUP($A568,HeadJournal!$A$1:$J$890,COLUMN(HeadJournal!I$1),0)*($K568+$L568)/(SUMIF($A:$A,$A568,$K:$K)+SUMIF($A:$A,$A568,$L:$L)),0)</f>
        <v>-0.31888812191366223</v>
      </c>
      <c r="N568" s="30">
        <f>IFERROR((VLOOKUP($A568,HeadJournal!$A$1:$K$890,COLUMN(HeadJournal!K$1),0)-VLOOKUP($A568,HeadJournal!$A$1:$K$890,COLUMN(HeadJournal!J$1),0))*($K568+$L568)/(SUMIF($A:$A,$A568,$K:$K)+SUMIF($A:$A,$A568,$L:$L)),0)</f>
        <v>9.7037960833376393E-16</v>
      </c>
      <c r="O568" s="30">
        <f>IFERROR((VLOOKUP($A568,HeadJournal!$A$1:$L$890,COLUMN(HeadJournal!L$1),0)*($K568+$L568)/(SUMIF($A:$A,$A568,$K:$K)+SUMIF($A:$A,$A568,$L:$L)))/VLOOKUP($A568,HeadJournal!$A$1:$L$890,COLUMN(HeadJournal!H$1),0),0)</f>
        <v>2.6571370324368964</v>
      </c>
      <c r="P568" s="30">
        <f>IFERROR(SUM(K568:O568)*VLOOKUP($A568,HeadJournal!$A$1:$L$890,COLUMN(HeadJournal!H$1),0),0)</f>
        <v>605.00917482610316</v>
      </c>
      <c r="Q568" s="29">
        <v>1700</v>
      </c>
      <c r="R568" s="31">
        <v>44977</v>
      </c>
      <c r="S568" s="31" t="s">
        <v>3121</v>
      </c>
      <c r="T568" s="95" t="str">
        <f t="shared" si="45"/>
        <v>2023 02</v>
      </c>
      <c r="U568" s="32">
        <f t="shared" si="42"/>
        <v>1094.9908251738968</v>
      </c>
      <c r="V568" s="22">
        <f t="shared" si="43"/>
        <v>1.8098747436162903</v>
      </c>
      <c r="X568" s="33"/>
      <c r="Y568" s="33"/>
    </row>
    <row r="569" spans="1:25" x14ac:dyDescent="0.2">
      <c r="A569" s="93" t="s">
        <v>279</v>
      </c>
      <c r="B569" s="94" t="str">
        <f>IFERROR(VLOOKUP($A569,HeadJournal!$A$1:$NTR$890,COLUMN(HeadJournal!B$1),0),"")</f>
        <v>922582622-0</v>
      </c>
      <c r="C569" s="94" t="str">
        <f>IFERROR(VLOOKUP($A569,HeadJournal!$A$1:$NTR$890,COLUMN(HeadJournal!C$1),0),"")</f>
        <v>iHerb_AV CYG0792</v>
      </c>
      <c r="D569" s="125" t="str">
        <f>IFERROR(VLOOKUP($A569,HeadJournal!$A$1:$NTR$890,COLUMN(HeadJournal!D$1),0),"")</f>
        <v>Доставлен</v>
      </c>
      <c r="E569" s="95">
        <f>IFERROR(VLOOKUP($A569,HeadJournal!$A$1:$NTR$890,COLUMN(HeadJournal!G$1),0),"")</f>
        <v>44908</v>
      </c>
      <c r="F569" s="95" t="str">
        <f t="shared" si="44"/>
        <v>2022 12</v>
      </c>
      <c r="G569" s="96" t="s">
        <v>5</v>
      </c>
      <c r="H569" s="160" t="str">
        <f>RIGHT(Journal!$J569,9)</f>
        <v>CEN-27305</v>
      </c>
      <c r="I569" s="96" t="str">
        <f t="shared" si="41"/>
        <v>21st Century</v>
      </c>
      <c r="J569" s="97" t="s">
        <v>99</v>
      </c>
      <c r="K569" s="29">
        <v>6.31</v>
      </c>
      <c r="L569" s="29">
        <v>-1.39</v>
      </c>
      <c r="M569" s="30">
        <f>IFERROR(VLOOKUP($A569,HeadJournal!$A$1:$J$890,COLUMN(HeadJournal!I$1),0)*($K569+$L569)/(SUMIF($A:$A,$A569,$K:$K)+SUMIF($A:$A,$A569,$L:$L)),0)</f>
        <v>-0.24400148675197791</v>
      </c>
      <c r="N569" s="30">
        <f>IFERROR((VLOOKUP($A569,HeadJournal!$A$1:$K$890,COLUMN(HeadJournal!K$1),0)-VLOOKUP($A569,HeadJournal!$A$1:$K$890,COLUMN(HeadJournal!J$1),0))*($K569+$L569)/(SUMIF($A:$A,$A569,$K:$K)+SUMIF($A:$A,$A569,$L:$L)),0)</f>
        <v>7.4249886049799679E-16</v>
      </c>
      <c r="O569" s="30">
        <f>IFERROR((VLOOKUP($A569,HeadJournal!$A$1:$L$890,COLUMN(HeadJournal!L$1),0)*($K569+$L569)/(SUMIF($A:$A,$A569,$K:$K)+SUMIF($A:$A,$A569,$L:$L)))/VLOOKUP($A569,HeadJournal!$A$1:$L$890,COLUMN(HeadJournal!H$1),0),0)</f>
        <v>2.0331437324400516</v>
      </c>
      <c r="P569" s="30">
        <f>IFERROR(SUM(K569:O569)*VLOOKUP($A569,HeadJournal!$A$1:$L$890,COLUMN(HeadJournal!H$1),0),0)</f>
        <v>462.93081495247714</v>
      </c>
      <c r="Q569" s="29">
        <v>1700</v>
      </c>
      <c r="R569" s="31">
        <v>45007</v>
      </c>
      <c r="S569" s="31" t="s">
        <v>3121</v>
      </c>
      <c r="T569" s="95" t="str">
        <f t="shared" si="45"/>
        <v>2023 03</v>
      </c>
      <c r="U569" s="32">
        <f t="shared" si="42"/>
        <v>1237.0691850475228</v>
      </c>
      <c r="V569" s="22">
        <f t="shared" si="43"/>
        <v>2.672255000295273</v>
      </c>
      <c r="X569" s="33"/>
      <c r="Y569" s="33"/>
    </row>
    <row r="570" spans="1:25" x14ac:dyDescent="0.2">
      <c r="A570" s="93" t="s">
        <v>279</v>
      </c>
      <c r="B570" s="94" t="str">
        <f>IFERROR(VLOOKUP($A570,HeadJournal!$A$1:$NTR$890,COLUMN(HeadJournal!B$1),0),"")</f>
        <v>922582622-0</v>
      </c>
      <c r="C570" s="94" t="str">
        <f>IFERROR(VLOOKUP($A570,HeadJournal!$A$1:$NTR$890,COLUMN(HeadJournal!C$1),0),"")</f>
        <v>iHerb_AV CYG0792</v>
      </c>
      <c r="D570" s="125" t="str">
        <f>IFERROR(VLOOKUP($A570,HeadJournal!$A$1:$NTR$890,COLUMN(HeadJournal!D$1),0),"")</f>
        <v>Доставлен</v>
      </c>
      <c r="E570" s="95">
        <f>IFERROR(VLOOKUP($A570,HeadJournal!$A$1:$NTR$890,COLUMN(HeadJournal!G$1),0),"")</f>
        <v>44908</v>
      </c>
      <c r="F570" s="95" t="str">
        <f t="shared" si="44"/>
        <v>2022 12</v>
      </c>
      <c r="G570" s="96" t="s">
        <v>5</v>
      </c>
      <c r="H570" s="160" t="str">
        <f>RIGHT(Journal!$J570,9)</f>
        <v>ULM-01270</v>
      </c>
      <c r="I570" s="96" t="str">
        <f t="shared" si="41"/>
        <v>Ultamins</v>
      </c>
      <c r="J570" s="97" t="s">
        <v>284</v>
      </c>
      <c r="K570" s="29">
        <v>30</v>
      </c>
      <c r="L570" s="29">
        <v>-9</v>
      </c>
      <c r="M570" s="30">
        <f>IFERROR(VLOOKUP($A570,HeadJournal!$A$1:$J$890,COLUMN(HeadJournal!I$1),0)*($K570+$L570)/(SUMIF($A:$A,$A570,$K:$K)+SUMIF($A:$A,$A570,$L:$L)),0)</f>
        <v>-1.0414697605267349</v>
      </c>
      <c r="N570" s="30">
        <f>IFERROR((VLOOKUP($A570,HeadJournal!$A$1:$K$890,COLUMN(HeadJournal!K$1),0)-VLOOKUP($A570,HeadJournal!$A$1:$K$890,COLUMN(HeadJournal!J$1),0))*($K570+$L570)/(SUMIF($A:$A,$A570,$K:$K)+SUMIF($A:$A,$A570,$L:$L)),0)</f>
        <v>3.1692024533451081E-15</v>
      </c>
      <c r="O570" s="30">
        <f>IFERROR((VLOOKUP($A570,HeadJournal!$A$1:$L$890,COLUMN(HeadJournal!L$1),0)*($K570+$L570)/(SUMIF($A:$A,$A570,$K:$K)+SUMIF($A:$A,$A570,$L:$L)))/VLOOKUP($A570,HeadJournal!$A$1:$L$890,COLUMN(HeadJournal!H$1),0),0)</f>
        <v>8.6780525165124143</v>
      </c>
      <c r="P570" s="30">
        <f>IFERROR(SUM(K570:O570)*VLOOKUP($A570,HeadJournal!$A$1:$L$890,COLUMN(HeadJournal!H$1),0),0)</f>
        <v>1975.9242101630123</v>
      </c>
      <c r="Q570" s="29">
        <v>2800</v>
      </c>
      <c r="R570" s="31">
        <v>44972</v>
      </c>
      <c r="S570" s="31" t="s">
        <v>3121</v>
      </c>
      <c r="T570" s="95" t="str">
        <f t="shared" si="45"/>
        <v>2023 02</v>
      </c>
      <c r="U570" s="32">
        <f t="shared" si="42"/>
        <v>824.07578983698772</v>
      </c>
      <c r="V570" s="22">
        <f t="shared" si="43"/>
        <v>0.41705840011394063</v>
      </c>
      <c r="X570" s="33"/>
      <c r="Y570" s="33"/>
    </row>
    <row r="571" spans="1:25" x14ac:dyDescent="0.2">
      <c r="A571" s="93" t="s">
        <v>279</v>
      </c>
      <c r="B571" s="94" t="str">
        <f>IFERROR(VLOOKUP($A571,HeadJournal!$A$1:$NTR$890,COLUMN(HeadJournal!B$1),0),"")</f>
        <v>922582622-0</v>
      </c>
      <c r="C571" s="94" t="str">
        <f>IFERROR(VLOOKUP($A571,HeadJournal!$A$1:$NTR$890,COLUMN(HeadJournal!C$1),0),"")</f>
        <v>iHerb_AV CYG0792</v>
      </c>
      <c r="D571" s="125" t="str">
        <f>IFERROR(VLOOKUP($A571,HeadJournal!$A$1:$NTR$890,COLUMN(HeadJournal!D$1),0),"")</f>
        <v>Доставлен</v>
      </c>
      <c r="E571" s="95">
        <f>IFERROR(VLOOKUP($A571,HeadJournal!$A$1:$NTR$890,COLUMN(HeadJournal!G$1),0),"")</f>
        <v>44908</v>
      </c>
      <c r="F571" s="95" t="str">
        <f t="shared" si="44"/>
        <v>2022 12</v>
      </c>
      <c r="G571" s="96" t="s">
        <v>5</v>
      </c>
      <c r="H571" s="160" t="str">
        <f>RIGHT(Journal!$J571,9)</f>
        <v>NWY-13660</v>
      </c>
      <c r="I571" s="96" t="str">
        <f t="shared" si="41"/>
        <v>Nature's Way</v>
      </c>
      <c r="J571" s="97" t="s">
        <v>285</v>
      </c>
      <c r="K571" s="29">
        <v>11.41</v>
      </c>
      <c r="L571" s="29">
        <v>-2.5099999999999998</v>
      </c>
      <c r="M571" s="30">
        <f>IFERROR(VLOOKUP($A571,HeadJournal!$A$1:$J$890,COLUMN(HeadJournal!I$1),0)*($K571+$L571)/(SUMIF($A:$A,$A571,$K:$K)+SUMIF($A:$A,$A571,$L:$L)),0)</f>
        <v>-0.44138480327085439</v>
      </c>
      <c r="N571" s="30">
        <f>IFERROR((VLOOKUP($A571,HeadJournal!$A$1:$K$890,COLUMN(HeadJournal!K$1),0)-VLOOKUP($A571,HeadJournal!$A$1:$K$890,COLUMN(HeadJournal!J$1),0))*($K571+$L571)/(SUMIF($A:$A,$A571,$K:$K)+SUMIF($A:$A,$A571,$L:$L)),0)</f>
        <v>1.343138182608165E-15</v>
      </c>
      <c r="O571" s="30">
        <f>IFERROR((VLOOKUP($A571,HeadJournal!$A$1:$L$890,COLUMN(HeadJournal!L$1),0)*($K571+$L571)/(SUMIF($A:$A,$A571,$K:$K)+SUMIF($A:$A,$A571,$L:$L)))/VLOOKUP($A571,HeadJournal!$A$1:$L$890,COLUMN(HeadJournal!H$1),0),0)</f>
        <v>3.6778413046171661</v>
      </c>
      <c r="P571" s="30">
        <f>IFERROR(SUM(K571:O571)*VLOOKUP($A571,HeadJournal!$A$1:$L$890,COLUMN(HeadJournal!H$1),0),0)</f>
        <v>837.41549859289569</v>
      </c>
      <c r="Q571" s="29">
        <v>2100</v>
      </c>
      <c r="R571" s="31">
        <v>45174</v>
      </c>
      <c r="S571" s="31" t="s">
        <v>3121</v>
      </c>
      <c r="T571" s="95" t="str">
        <f t="shared" si="45"/>
        <v>2023 09</v>
      </c>
      <c r="U571" s="32">
        <f t="shared" si="42"/>
        <v>1262.5845014071042</v>
      </c>
      <c r="V571" s="22">
        <f t="shared" si="43"/>
        <v>1.5077157080668049</v>
      </c>
      <c r="X571" s="33"/>
      <c r="Y571" s="33"/>
    </row>
    <row r="572" spans="1:25" x14ac:dyDescent="0.2">
      <c r="A572" s="93" t="s">
        <v>279</v>
      </c>
      <c r="B572" s="94" t="str">
        <f>IFERROR(VLOOKUP($A572,HeadJournal!$A$1:$NTR$890,COLUMN(HeadJournal!B$1),0),"")</f>
        <v>922582622-0</v>
      </c>
      <c r="C572" s="94" t="str">
        <f>IFERROR(VLOOKUP($A572,HeadJournal!$A$1:$NTR$890,COLUMN(HeadJournal!C$1),0),"")</f>
        <v>iHerb_AV CYG0792</v>
      </c>
      <c r="D572" s="125" t="str">
        <f>IFERROR(VLOOKUP($A572,HeadJournal!$A$1:$NTR$890,COLUMN(HeadJournal!D$1),0),"")</f>
        <v>Доставлен</v>
      </c>
      <c r="E572" s="95">
        <f>IFERROR(VLOOKUP($A572,HeadJournal!$A$1:$NTR$890,COLUMN(HeadJournal!G$1),0),"")</f>
        <v>44908</v>
      </c>
      <c r="F572" s="95" t="str">
        <f t="shared" si="44"/>
        <v>2022 12</v>
      </c>
      <c r="G572" s="96" t="s">
        <v>5</v>
      </c>
      <c r="H572" s="160" t="str">
        <f>RIGHT(Journal!$J572,9)</f>
        <v>CGN-01408</v>
      </c>
      <c r="I572" s="96" t="str">
        <f t="shared" si="41"/>
        <v>California Gold Nutrition</v>
      </c>
      <c r="J572" s="97" t="s">
        <v>286</v>
      </c>
      <c r="K572" s="29">
        <v>7</v>
      </c>
      <c r="L572" s="29">
        <v>-1.4</v>
      </c>
      <c r="M572" s="30">
        <f>IFERROR(VLOOKUP($A572,HeadJournal!$A$1:$J$890,COLUMN(HeadJournal!I$1),0)*($K572+$L572)/(SUMIF($A:$A,$A572,$K:$K)+SUMIF($A:$A,$A572,$L:$L)),0)</f>
        <v>-0.277725269473796</v>
      </c>
      <c r="N572" s="30">
        <f>IFERROR((VLOOKUP($A572,HeadJournal!$A$1:$K$890,COLUMN(HeadJournal!K$1),0)-VLOOKUP($A572,HeadJournal!$A$1:$K$890,COLUMN(HeadJournal!J$1),0))*($K572+$L572)/(SUMIF($A:$A,$A572,$K:$K)+SUMIF($A:$A,$A572,$L:$L)),0)</f>
        <v>8.4512065422536205E-16</v>
      </c>
      <c r="O572" s="30">
        <f>IFERROR((VLOOKUP($A572,HeadJournal!$A$1:$L$890,COLUMN(HeadJournal!L$1),0)*($K572+$L572)/(SUMIF($A:$A,$A572,$K:$K)+SUMIF($A:$A,$A572,$L:$L)))/VLOOKUP($A572,HeadJournal!$A$1:$L$890,COLUMN(HeadJournal!H$1),0),0)</f>
        <v>2.3141473377366433</v>
      </c>
      <c r="P572" s="30">
        <f>IFERROR(SUM(K572:O572)*VLOOKUP($A572,HeadJournal!$A$1:$L$890,COLUMN(HeadJournal!H$1),0),0)</f>
        <v>526.91312271013646</v>
      </c>
      <c r="Q572" s="29">
        <v>1100</v>
      </c>
      <c r="R572" s="31">
        <v>44966</v>
      </c>
      <c r="S572" s="31" t="s">
        <v>3121</v>
      </c>
      <c r="T572" s="95" t="str">
        <f t="shared" si="45"/>
        <v>2023 02</v>
      </c>
      <c r="U572" s="32">
        <f t="shared" si="42"/>
        <v>573.08687728986354</v>
      </c>
      <c r="V572" s="22">
        <f t="shared" si="43"/>
        <v>1.0876306787392882</v>
      </c>
      <c r="X572" s="33"/>
      <c r="Y572" s="33"/>
    </row>
    <row r="573" spans="1:25" x14ac:dyDescent="0.2">
      <c r="A573" s="93" t="s">
        <v>279</v>
      </c>
      <c r="B573" s="94" t="str">
        <f>IFERROR(VLOOKUP($A573,HeadJournal!$A$1:$NTR$890,COLUMN(HeadJournal!B$1),0),"")</f>
        <v>922582622-0</v>
      </c>
      <c r="C573" s="94" t="str">
        <f>IFERROR(VLOOKUP($A573,HeadJournal!$A$1:$NTR$890,COLUMN(HeadJournal!C$1),0),"")</f>
        <v>iHerb_AV CYG0792</v>
      </c>
      <c r="D573" s="125" t="str">
        <f>IFERROR(VLOOKUP($A573,HeadJournal!$A$1:$NTR$890,COLUMN(HeadJournal!D$1),0),"")</f>
        <v>Доставлен</v>
      </c>
      <c r="E573" s="95">
        <f>IFERROR(VLOOKUP($A573,HeadJournal!$A$1:$NTR$890,COLUMN(HeadJournal!G$1),0),"")</f>
        <v>44908</v>
      </c>
      <c r="F573" s="95" t="str">
        <f t="shared" si="44"/>
        <v>2022 12</v>
      </c>
      <c r="G573" s="96" t="s">
        <v>5</v>
      </c>
      <c r="H573" s="175" t="s">
        <v>3652</v>
      </c>
      <c r="I573" s="176" t="s">
        <v>2005</v>
      </c>
      <c r="J573" s="97" t="s">
        <v>3701</v>
      </c>
      <c r="K573" s="29">
        <v>8.61</v>
      </c>
      <c r="L573" s="29">
        <v>-1.89</v>
      </c>
      <c r="M573" s="30">
        <f>IFERROR(VLOOKUP($A573,HeadJournal!$A$1:$J$890,COLUMN(HeadJournal!I$1),0)*($K573+$L573)/(SUMIF($A:$A,$A573,$K:$K)+SUMIF($A:$A,$A573,$L:$L)),0)</f>
        <v>-0.33327032336855517</v>
      </c>
      <c r="N573" s="30">
        <f>IFERROR((VLOOKUP($A573,HeadJournal!$A$1:$K$890,COLUMN(HeadJournal!K$1),0)-VLOOKUP($A573,HeadJournal!$A$1:$K$890,COLUMN(HeadJournal!J$1),0))*($K573+$L573)/(SUMIF($A:$A,$A573,$K:$K)+SUMIF($A:$A,$A573,$L:$L)),0)</f>
        <v>1.0141447850704345E-15</v>
      </c>
      <c r="O573" s="30">
        <f>IFERROR((VLOOKUP($A573,HeadJournal!$A$1:$L$890,COLUMN(HeadJournal!L$1),0)*($K573+$L573)/(SUMIF($A:$A,$A573,$K:$K)+SUMIF($A:$A,$A573,$L:$L)))/VLOOKUP($A573,HeadJournal!$A$1:$L$890,COLUMN(HeadJournal!H$1),0),0)</f>
        <v>2.7769768052839723</v>
      </c>
      <c r="P573" s="30">
        <f>IFERROR(SUM(K573:O573)*VLOOKUP($A573,HeadJournal!$A$1:$L$890,COLUMN(HeadJournal!H$1),0),0)</f>
        <v>632.29574725216389</v>
      </c>
      <c r="Q573" s="29">
        <v>1150</v>
      </c>
      <c r="R573" s="31">
        <v>45014</v>
      </c>
      <c r="S573" s="31" t="s">
        <v>3121</v>
      </c>
      <c r="T573" s="95" t="str">
        <f t="shared" si="45"/>
        <v>2023 03</v>
      </c>
      <c r="U573" s="32">
        <f t="shared" si="42"/>
        <v>517.70425274783611</v>
      </c>
      <c r="V573" s="22">
        <f t="shared" si="43"/>
        <v>0.81876915193195521</v>
      </c>
      <c r="X573" s="33"/>
      <c r="Y573" s="33"/>
    </row>
    <row r="574" spans="1:25" x14ac:dyDescent="0.2">
      <c r="A574" s="93" t="s">
        <v>279</v>
      </c>
      <c r="B574" s="94" t="str">
        <f>IFERROR(VLOOKUP($A574,HeadJournal!$A$1:$NTR$890,COLUMN(HeadJournal!B$1),0),"")</f>
        <v>922582622-0</v>
      </c>
      <c r="C574" s="94" t="str">
        <f>IFERROR(VLOOKUP($A574,HeadJournal!$A$1:$NTR$890,COLUMN(HeadJournal!C$1),0),"")</f>
        <v>iHerb_AV CYG0792</v>
      </c>
      <c r="D574" s="125" t="str">
        <f>IFERROR(VLOOKUP($A574,HeadJournal!$A$1:$NTR$890,COLUMN(HeadJournal!D$1),0),"")</f>
        <v>Доставлен</v>
      </c>
      <c r="E574" s="95">
        <f>IFERROR(VLOOKUP($A574,HeadJournal!$A$1:$NTR$890,COLUMN(HeadJournal!G$1),0),"")</f>
        <v>44908</v>
      </c>
      <c r="F574" s="95" t="str">
        <f t="shared" si="44"/>
        <v>2022 12</v>
      </c>
      <c r="G574" s="96" t="s">
        <v>5</v>
      </c>
      <c r="H574" s="160" t="str">
        <f>RIGHT(Journal!$J574,9)</f>
        <v>NFS-01587</v>
      </c>
      <c r="I574" s="96" t="str">
        <f t="shared" si="41"/>
        <v>Natural Factors</v>
      </c>
      <c r="J574" s="97" t="s">
        <v>287</v>
      </c>
      <c r="K574" s="29">
        <v>20.27</v>
      </c>
      <c r="L574" s="29">
        <v>-4.46</v>
      </c>
      <c r="M574" s="30">
        <f>IFERROR(VLOOKUP($A574,HeadJournal!$A$1:$J$890,COLUMN(HeadJournal!I$1),0)*($K574+$L574)/(SUMIF($A:$A,$A574,$K:$K)+SUMIF($A:$A,$A574,$L:$L)),0)</f>
        <v>-0.7840779482822704</v>
      </c>
      <c r="N574" s="30">
        <f>IFERROR((VLOOKUP($A574,HeadJournal!$A$1:$K$890,COLUMN(HeadJournal!K$1),0)-VLOOKUP($A574,HeadJournal!$A$1:$K$890,COLUMN(HeadJournal!J$1),0))*($K574+$L574)/(SUMIF($A:$A,$A574,$K:$K)+SUMIF($A:$A,$A574,$L:$L)),0)</f>
        <v>2.3859567041612456E-15</v>
      </c>
      <c r="O574" s="30">
        <f>IFERROR((VLOOKUP($A574,HeadJournal!$A$1:$L$890,COLUMN(HeadJournal!L$1),0)*($K574+$L574)/(SUMIF($A:$A,$A574,$K:$K)+SUMIF($A:$A,$A574,$L:$L)))/VLOOKUP($A574,HeadJournal!$A$1:$L$890,COLUMN(HeadJournal!H$1),0),0)</f>
        <v>6.5333338231457736</v>
      </c>
      <c r="P574" s="30">
        <f>IFERROR(SUM(K574:O574)*VLOOKUP($A574,HeadJournal!$A$1:$L$890,COLUMN(HeadJournal!H$1),0),0)</f>
        <v>1487.5886553655816</v>
      </c>
      <c r="Q574" s="29">
        <v>2900</v>
      </c>
      <c r="R574" s="31">
        <v>44967</v>
      </c>
      <c r="S574" s="31" t="s">
        <v>3121</v>
      </c>
      <c r="T574" s="95" t="str">
        <f t="shared" si="45"/>
        <v>2023 02</v>
      </c>
      <c r="U574" s="32">
        <f t="shared" si="42"/>
        <v>1412.4113446344184</v>
      </c>
      <c r="V574" s="22">
        <f t="shared" si="43"/>
        <v>0.94946364342050715</v>
      </c>
      <c r="X574" s="33"/>
      <c r="Y574" s="33"/>
    </row>
    <row r="575" spans="1:25" x14ac:dyDescent="0.2">
      <c r="A575" s="93" t="s">
        <v>279</v>
      </c>
      <c r="B575" s="94" t="str">
        <f>IFERROR(VLOOKUP($A575,HeadJournal!$A$1:$NTR$890,COLUMN(HeadJournal!B$1),0),"")</f>
        <v>922582622-0</v>
      </c>
      <c r="C575" s="94" t="str">
        <f>IFERROR(VLOOKUP($A575,HeadJournal!$A$1:$NTR$890,COLUMN(HeadJournal!C$1),0),"")</f>
        <v>iHerb_AV CYG0792</v>
      </c>
      <c r="D575" s="125" t="str">
        <f>IFERROR(VLOOKUP($A575,HeadJournal!$A$1:$NTR$890,COLUMN(HeadJournal!D$1),0),"")</f>
        <v>Доставлен</v>
      </c>
      <c r="E575" s="95">
        <f>IFERROR(VLOOKUP($A575,HeadJournal!$A$1:$NTR$890,COLUMN(HeadJournal!G$1),0),"")</f>
        <v>44908</v>
      </c>
      <c r="F575" s="95" t="str">
        <f t="shared" si="44"/>
        <v>2022 12</v>
      </c>
      <c r="G575" s="96" t="s">
        <v>5</v>
      </c>
      <c r="H575" s="175" t="s">
        <v>3656</v>
      </c>
      <c r="I575" s="176" t="s">
        <v>2005</v>
      </c>
      <c r="J575" s="97" t="s">
        <v>3705</v>
      </c>
      <c r="K575" s="29">
        <v>17.23</v>
      </c>
      <c r="L575" s="29">
        <v>-3.79</v>
      </c>
      <c r="M575" s="30">
        <f>IFERROR(VLOOKUP($A575,HeadJournal!$A$1:$J$890,COLUMN(HeadJournal!I$1),0)*($K575+$L575)/(SUMIF($A:$A,$A575,$K:$K)+SUMIF($A:$A,$A575,$L:$L)),0)</f>
        <v>-0.66654064673711055</v>
      </c>
      <c r="N575" s="30">
        <f>IFERROR((VLOOKUP($A575,HeadJournal!$A$1:$K$890,COLUMN(HeadJournal!K$1),0)-VLOOKUP($A575,HeadJournal!$A$1:$K$890,COLUMN(HeadJournal!J$1),0))*($K575+$L575)/(SUMIF($A:$A,$A575,$K:$K)+SUMIF($A:$A,$A575,$L:$L)),0)</f>
        <v>2.0282895701408694E-15</v>
      </c>
      <c r="O575" s="30">
        <f>IFERROR((VLOOKUP($A575,HeadJournal!$A$1:$L$890,COLUMN(HeadJournal!L$1),0)*($K575+$L575)/(SUMIF($A:$A,$A575,$K:$K)+SUMIF($A:$A,$A575,$L:$L)))/VLOOKUP($A575,HeadJournal!$A$1:$L$890,COLUMN(HeadJournal!H$1),0),0)</f>
        <v>5.5539536105679455</v>
      </c>
      <c r="P575" s="30">
        <f>IFERROR(SUM(K575:O575)*VLOOKUP($A575,HeadJournal!$A$1:$L$890,COLUMN(HeadJournal!H$1),0),0)</f>
        <v>1264.5914945043278</v>
      </c>
      <c r="Q575" s="29">
        <v>2600</v>
      </c>
      <c r="R575" s="31">
        <v>45026</v>
      </c>
      <c r="S575" s="31" t="s">
        <v>3121</v>
      </c>
      <c r="T575" s="95" t="str">
        <f t="shared" si="45"/>
        <v>2023 04</v>
      </c>
      <c r="U575" s="32">
        <f t="shared" si="42"/>
        <v>1335.4085054956722</v>
      </c>
      <c r="V575" s="22">
        <f t="shared" si="43"/>
        <v>1.0559999108796014</v>
      </c>
      <c r="X575" s="33"/>
      <c r="Y575" s="33"/>
    </row>
    <row r="576" spans="1:25" x14ac:dyDescent="0.2">
      <c r="A576" s="93" t="s">
        <v>279</v>
      </c>
      <c r="B576" s="94" t="str">
        <f>IFERROR(VLOOKUP($A576,HeadJournal!$A$1:$NTR$890,COLUMN(HeadJournal!B$1),0),"")</f>
        <v>922582622-0</v>
      </c>
      <c r="C576" s="94" t="str">
        <f>IFERROR(VLOOKUP($A576,HeadJournal!$A$1:$NTR$890,COLUMN(HeadJournal!C$1),0),"")</f>
        <v>iHerb_AV CYG0792</v>
      </c>
      <c r="D576" s="125" t="str">
        <f>IFERROR(VLOOKUP($A576,HeadJournal!$A$1:$NTR$890,COLUMN(HeadJournal!D$1),0),"")</f>
        <v>Доставлен</v>
      </c>
      <c r="E576" s="95">
        <f>IFERROR(VLOOKUP($A576,HeadJournal!$A$1:$NTR$890,COLUMN(HeadJournal!G$1),0),"")</f>
        <v>44908</v>
      </c>
      <c r="F576" s="95" t="str">
        <f t="shared" si="44"/>
        <v>2022 12</v>
      </c>
      <c r="G576" s="96" t="s">
        <v>6</v>
      </c>
      <c r="H576" s="160" t="str">
        <f>RIGHT(Journal!$J576,9)</f>
        <v>CGN-01126</v>
      </c>
      <c r="I576" s="96" t="str">
        <f t="shared" si="41"/>
        <v>California Gold Nutrition</v>
      </c>
      <c r="J576" s="97" t="s">
        <v>113</v>
      </c>
      <c r="K576" s="29">
        <v>5</v>
      </c>
      <c r="L576" s="29">
        <v>-1</v>
      </c>
      <c r="M576" s="30">
        <f>IFERROR(VLOOKUP($A576,HeadJournal!$A$1:$J$890,COLUMN(HeadJournal!I$1),0)*($K576+$L576)/(SUMIF($A:$A,$A576,$K:$K)+SUMIF($A:$A,$A576,$L:$L)),0)</f>
        <v>-0.19837519248128288</v>
      </c>
      <c r="N576" s="30">
        <f>IFERROR((VLOOKUP($A576,HeadJournal!$A$1:$K$890,COLUMN(HeadJournal!K$1),0)-VLOOKUP($A576,HeadJournal!$A$1:$K$890,COLUMN(HeadJournal!J$1),0))*($K576+$L576)/(SUMIF($A:$A,$A576,$K:$K)+SUMIF($A:$A,$A576,$L:$L)),0)</f>
        <v>6.0365761016097295E-16</v>
      </c>
      <c r="O576" s="30">
        <f>IFERROR((VLOOKUP($A576,HeadJournal!$A$1:$L$890,COLUMN(HeadJournal!L$1),0)*($K576+$L576)/(SUMIF($A:$A,$A576,$K:$K)+SUMIF($A:$A,$A576,$L:$L)))/VLOOKUP($A576,HeadJournal!$A$1:$L$890,COLUMN(HeadJournal!H$1),0),0)</f>
        <v>1.6529623840976027</v>
      </c>
      <c r="P576" s="30">
        <f>IFERROR(SUM(K576:O576)*VLOOKUP($A576,HeadJournal!$A$1:$L$890,COLUMN(HeadJournal!H$1),0),0)</f>
        <v>376.36651622152607</v>
      </c>
      <c r="Q576" s="29">
        <v>1000</v>
      </c>
      <c r="R576" s="31">
        <v>44973</v>
      </c>
      <c r="S576" s="31" t="s">
        <v>3121</v>
      </c>
      <c r="T576" s="95" t="str">
        <f t="shared" si="45"/>
        <v>2023 02</v>
      </c>
      <c r="U576" s="32">
        <f t="shared" si="42"/>
        <v>623.63348377847387</v>
      </c>
      <c r="V576" s="22">
        <f t="shared" si="43"/>
        <v>1.6569845002136392</v>
      </c>
      <c r="X576" s="33"/>
      <c r="Y576" s="33"/>
    </row>
    <row r="577" spans="1:25" x14ac:dyDescent="0.2">
      <c r="A577" s="93" t="s">
        <v>288</v>
      </c>
      <c r="B577" s="94" t="str">
        <f>IFERROR(VLOOKUP($A577,HeadJournal!$A$1:$NTR$890,COLUMN(HeadJournal!B$1),0),"")</f>
        <v>922528147-0</v>
      </c>
      <c r="C577" s="94" t="str">
        <f>IFERROR(VLOOKUP($A577,HeadJournal!$A$1:$NTR$890,COLUMN(HeadJournal!C$1),0),"")</f>
        <v>iHerb_OA CZN6870</v>
      </c>
      <c r="D577" s="125" t="str">
        <f>IFERROR(VLOOKUP($A577,HeadJournal!$A$1:$NTR$890,COLUMN(HeadJournal!D$1),0),"")</f>
        <v>Доставлен</v>
      </c>
      <c r="E577" s="95">
        <f>IFERROR(VLOOKUP($A577,HeadJournal!$A$1:$NTR$890,COLUMN(HeadJournal!G$1),0),"")</f>
        <v>44903</v>
      </c>
      <c r="F577" s="95" t="str">
        <f t="shared" si="44"/>
        <v>2022 12</v>
      </c>
      <c r="G577" s="96" t="s">
        <v>5</v>
      </c>
      <c r="H577" s="160" t="str">
        <f>RIGHT(Journal!$J577,9)</f>
        <v>HBI-02027</v>
      </c>
      <c r="I577" s="96" t="str">
        <f t="shared" si="41"/>
        <v>HealthyBiom</v>
      </c>
      <c r="J577" s="97" t="s">
        <v>57</v>
      </c>
      <c r="K577" s="29">
        <v>9</v>
      </c>
      <c r="L577" s="29">
        <v>-5.4</v>
      </c>
      <c r="M577" s="30">
        <f>IFERROR(VLOOKUP($A577,HeadJournal!$A$1:$J$890,COLUMN(HeadJournal!I$1),0)*($K577+$L577)/(SUMIF($A:$A,$A577,$K:$K)+SUMIF($A:$A,$A577,$L:$L)),0)</f>
        <v>-0.13775732622911116</v>
      </c>
      <c r="N577" s="30">
        <f>IFERROR((VLOOKUP($A577,HeadJournal!$A$1:$K$890,COLUMN(HeadJournal!K$1),0)-VLOOKUP($A577,HeadJournal!$A$1:$K$890,COLUMN(HeadJournal!J$1),0))*($K577+$L577)/(SUMIF($A:$A,$A577,$K:$K)+SUMIF($A:$A,$A577,$L:$L)),0)</f>
        <v>-4.1300619177143141E-16</v>
      </c>
      <c r="O577" s="30">
        <f>IFERROR((VLOOKUP($A577,HeadJournal!$A$1:$L$890,COLUMN(HeadJournal!L$1),0)*($K577+$L577)/(SUMIF($A:$A,$A577,$K:$K)+SUMIF($A:$A,$A577,$L:$L)))/VLOOKUP($A577,HeadJournal!$A$1:$L$890,COLUMN(HeadJournal!H$1),0),0)</f>
        <v>1.5547618435877726</v>
      </c>
      <c r="P577" s="30">
        <f>IFERROR(SUM(K577:O577)*VLOOKUP($A577,HeadJournal!$A$1:$L$890,COLUMN(HeadJournal!H$1),0),0)</f>
        <v>346.17331169774758</v>
      </c>
      <c r="Q577" s="29">
        <v>1200</v>
      </c>
      <c r="R577" s="31">
        <v>44956</v>
      </c>
      <c r="S577" s="31" t="s">
        <v>3121</v>
      </c>
      <c r="T577" s="95" t="str">
        <f t="shared" si="45"/>
        <v>2023 01</v>
      </c>
      <c r="U577" s="32">
        <f t="shared" si="42"/>
        <v>853.82668830225248</v>
      </c>
      <c r="V577" s="22">
        <f t="shared" si="43"/>
        <v>2.4664717338110385</v>
      </c>
      <c r="X577" s="33"/>
      <c r="Y577" s="33"/>
    </row>
    <row r="578" spans="1:25" x14ac:dyDescent="0.2">
      <c r="A578" s="93" t="s">
        <v>288</v>
      </c>
      <c r="B578" s="94" t="str">
        <f>IFERROR(VLOOKUP($A578,HeadJournal!$A$1:$NTR$890,COLUMN(HeadJournal!B$1),0),"")</f>
        <v>922528147-0</v>
      </c>
      <c r="C578" s="94" t="str">
        <f>IFERROR(VLOOKUP($A578,HeadJournal!$A$1:$NTR$890,COLUMN(HeadJournal!C$1),0),"")</f>
        <v>iHerb_OA CZN6870</v>
      </c>
      <c r="D578" s="125" t="str">
        <f>IFERROR(VLOOKUP($A578,HeadJournal!$A$1:$NTR$890,COLUMN(HeadJournal!D$1),0),"")</f>
        <v>Доставлен</v>
      </c>
      <c r="E578" s="95">
        <f>IFERROR(VLOOKUP($A578,HeadJournal!$A$1:$NTR$890,COLUMN(HeadJournal!G$1),0),"")</f>
        <v>44903</v>
      </c>
      <c r="F578" s="95" t="str">
        <f t="shared" si="44"/>
        <v>2022 12</v>
      </c>
      <c r="G578" s="96" t="s">
        <v>5</v>
      </c>
      <c r="H578" s="175" t="s">
        <v>3652</v>
      </c>
      <c r="I578" s="176" t="s">
        <v>2005</v>
      </c>
      <c r="J578" s="97" t="s">
        <v>3701</v>
      </c>
      <c r="K578" s="29">
        <v>8.61</v>
      </c>
      <c r="L578" s="29">
        <v>-1.89</v>
      </c>
      <c r="M578" s="30">
        <f>IFERROR(VLOOKUP($A578,HeadJournal!$A$1:$J$890,COLUMN(HeadJournal!I$1),0)*($K578+$L578)/(SUMIF($A:$A,$A578,$K:$K)+SUMIF($A:$A,$A578,$L:$L)),0)</f>
        <v>-0.25714700896100751</v>
      </c>
      <c r="N578" s="30">
        <f>IFERROR((VLOOKUP($A578,HeadJournal!$A$1:$K$890,COLUMN(HeadJournal!K$1),0)-VLOOKUP($A578,HeadJournal!$A$1:$K$890,COLUMN(HeadJournal!J$1),0))*($K578+$L578)/(SUMIF($A:$A,$A578,$K:$K)+SUMIF($A:$A,$A578,$L:$L)),0)</f>
        <v>-7.7094489130667193E-16</v>
      </c>
      <c r="O578" s="30">
        <f>IFERROR((VLOOKUP($A578,HeadJournal!$A$1:$L$890,COLUMN(HeadJournal!L$1),0)*($K578+$L578)/(SUMIF($A:$A,$A578,$K:$K)+SUMIF($A:$A,$A578,$L:$L)))/VLOOKUP($A578,HeadJournal!$A$1:$L$890,COLUMN(HeadJournal!H$1),0),0)</f>
        <v>2.9022221080305091</v>
      </c>
      <c r="P578" s="30">
        <f>IFERROR(SUM(K578:O578)*VLOOKUP($A578,HeadJournal!$A$1:$L$890,COLUMN(HeadJournal!H$1),0),0)</f>
        <v>646.19018183579556</v>
      </c>
      <c r="Q578" s="29">
        <v>1500</v>
      </c>
      <c r="R578" s="31">
        <v>45252</v>
      </c>
      <c r="S578" s="31" t="s">
        <v>3121</v>
      </c>
      <c r="T578" s="95" t="str">
        <f t="shared" si="45"/>
        <v>2023 11</v>
      </c>
      <c r="U578" s="32">
        <f t="shared" si="42"/>
        <v>853.80981816420444</v>
      </c>
      <c r="V578" s="22">
        <f t="shared" si="43"/>
        <v>1.3212980360341771</v>
      </c>
      <c r="X578" s="33"/>
      <c r="Y578" s="33"/>
    </row>
    <row r="579" spans="1:25" x14ac:dyDescent="0.2">
      <c r="A579" s="93" t="s">
        <v>288</v>
      </c>
      <c r="B579" s="94" t="str">
        <f>IFERROR(VLOOKUP($A579,HeadJournal!$A$1:$NTR$890,COLUMN(HeadJournal!B$1),0),"")</f>
        <v>922528147-0</v>
      </c>
      <c r="C579" s="94" t="str">
        <f>IFERROR(VLOOKUP($A579,HeadJournal!$A$1:$NTR$890,COLUMN(HeadJournal!C$1),0),"")</f>
        <v>iHerb_OA CZN6870</v>
      </c>
      <c r="D579" s="125" t="str">
        <f>IFERROR(VLOOKUP($A579,HeadJournal!$A$1:$NTR$890,COLUMN(HeadJournal!D$1),0),"")</f>
        <v>Доставлен</v>
      </c>
      <c r="E579" s="95">
        <f>IFERROR(VLOOKUP($A579,HeadJournal!$A$1:$NTR$890,COLUMN(HeadJournal!G$1),0),"")</f>
        <v>44903</v>
      </c>
      <c r="F579" s="95" t="str">
        <f t="shared" si="44"/>
        <v>2022 12</v>
      </c>
      <c r="G579" s="96" t="s">
        <v>5</v>
      </c>
      <c r="H579" s="161" t="s">
        <v>2027</v>
      </c>
      <c r="I579" s="97" t="s">
        <v>2005</v>
      </c>
      <c r="J579" s="97" t="s">
        <v>4110</v>
      </c>
      <c r="K579" s="29">
        <v>6.48</v>
      </c>
      <c r="L579" s="29">
        <v>-1.43</v>
      </c>
      <c r="M579" s="30">
        <f>IFERROR(VLOOKUP($A579,HeadJournal!$A$1:$J$890,COLUMN(HeadJournal!I$1),0)*($K579+$L579)/(SUMIF($A:$A,$A579,$K:$K)+SUMIF($A:$A,$A579,$L:$L)),0)</f>
        <v>-0.19324291596028098</v>
      </c>
      <c r="N579" s="30">
        <f>IFERROR((VLOOKUP($A579,HeadJournal!$A$1:$K$890,COLUMN(HeadJournal!K$1),0)-VLOOKUP($A579,HeadJournal!$A$1:$K$890,COLUMN(HeadJournal!J$1),0))*($K579+$L579)/(SUMIF($A:$A,$A579,$K:$K)+SUMIF($A:$A,$A579,$L:$L)),0)</f>
        <v>-5.793559079015914E-16</v>
      </c>
      <c r="O579" s="30">
        <f>IFERROR((VLOOKUP($A579,HeadJournal!$A$1:$L$890,COLUMN(HeadJournal!L$1),0)*($K579+$L579)/(SUMIF($A:$A,$A579,$K:$K)+SUMIF($A:$A,$A579,$L:$L)))/VLOOKUP($A579,HeadJournal!$A$1:$L$890,COLUMN(HeadJournal!H$1),0),0)</f>
        <v>2.1809853639217369</v>
      </c>
      <c r="P579" s="30">
        <f>IFERROR(SUM(K579:O579)*VLOOKUP($A579,HeadJournal!$A$1:$L$890,COLUMN(HeadJournal!H$1),0),0)</f>
        <v>485.60422890934046</v>
      </c>
      <c r="Q579" s="29">
        <v>1000</v>
      </c>
      <c r="R579" s="31">
        <v>44956</v>
      </c>
      <c r="S579" s="31" t="s">
        <v>3121</v>
      </c>
      <c r="T579" s="95" t="str">
        <f t="shared" si="45"/>
        <v>2023 01</v>
      </c>
      <c r="U579" s="32">
        <f t="shared" ref="U579:U642" si="46">Q579-P579</f>
        <v>514.39577109065954</v>
      </c>
      <c r="V579" s="22">
        <f t="shared" ref="V579:V642" si="47">IF(Q579&lt;&gt;0,IFERROR(U579/P579,""),"")</f>
        <v>1.0592901388976459</v>
      </c>
      <c r="X579" s="33"/>
      <c r="Y579" s="33"/>
    </row>
    <row r="580" spans="1:25" x14ac:dyDescent="0.2">
      <c r="A580" s="93" t="s">
        <v>288</v>
      </c>
      <c r="B580" s="94" t="str">
        <f>IFERROR(VLOOKUP($A580,HeadJournal!$A$1:$NTR$890,COLUMN(HeadJournal!B$1),0),"")</f>
        <v>922528147-0</v>
      </c>
      <c r="C580" s="94" t="str">
        <f>IFERROR(VLOOKUP($A580,HeadJournal!$A$1:$NTR$890,COLUMN(HeadJournal!C$1),0),"")</f>
        <v>iHerb_OA CZN6870</v>
      </c>
      <c r="D580" s="125" t="str">
        <f>IFERROR(VLOOKUP($A580,HeadJournal!$A$1:$NTR$890,COLUMN(HeadJournal!D$1),0),"")</f>
        <v>Доставлен</v>
      </c>
      <c r="E580" s="95">
        <f>IFERROR(VLOOKUP($A580,HeadJournal!$A$1:$NTR$890,COLUMN(HeadJournal!G$1),0),"")</f>
        <v>44903</v>
      </c>
      <c r="F580" s="95" t="str">
        <f t="shared" ref="F580:F643" si="48">IFERROR(TEXT(E580, "ГГГГ ММ"),"")</f>
        <v>2022 12</v>
      </c>
      <c r="G580" s="96" t="s">
        <v>5</v>
      </c>
      <c r="H580" s="161" t="s">
        <v>2016</v>
      </c>
      <c r="I580" s="97" t="s">
        <v>2005</v>
      </c>
      <c r="J580" s="97" t="s">
        <v>2017</v>
      </c>
      <c r="K580" s="29">
        <v>24.51</v>
      </c>
      <c r="L580" s="29">
        <v>-5.39</v>
      </c>
      <c r="M580" s="30">
        <f>IFERROR(VLOOKUP($A580,HeadJournal!$A$1:$J$890,COLUMN(HeadJournal!I$1),0)*($K580+$L580)/(SUMIF($A:$A,$A580,$K:$K)+SUMIF($A:$A,$A580,$L:$L)),0)</f>
        <v>-0.73164446597239052</v>
      </c>
      <c r="N580" s="30">
        <f>IFERROR((VLOOKUP($A580,HeadJournal!$A$1:$K$890,COLUMN(HeadJournal!K$1),0)-VLOOKUP($A580,HeadJournal!$A$1:$K$890,COLUMN(HeadJournal!J$1),0))*($K580+$L580)/(SUMIF($A:$A,$A580,$K:$K)+SUMIF($A:$A,$A580,$L:$L)),0)</f>
        <v>-2.1935217740749358E-15</v>
      </c>
      <c r="O580" s="30">
        <f>IFERROR((VLOOKUP($A580,HeadJournal!$A$1:$L$890,COLUMN(HeadJournal!L$1),0)*($K580+$L580)/(SUMIF($A:$A,$A580,$K:$K)+SUMIF($A:$A,$A580,$L:$L)))/VLOOKUP($A580,HeadJournal!$A$1:$L$890,COLUMN(HeadJournal!H$1),0),0)</f>
        <v>8.2575129026106158</v>
      </c>
      <c r="P580" s="30">
        <f>IFERROR(SUM(K580:O580)*VLOOKUP($A580,HeadJournal!$A$1:$L$890,COLUMN(HeadJournal!H$1),0),0)</f>
        <v>1838.5649221280376</v>
      </c>
      <c r="Q580" s="29">
        <v>3300</v>
      </c>
      <c r="R580" s="31">
        <v>44968</v>
      </c>
      <c r="S580" s="31" t="s">
        <v>3121</v>
      </c>
      <c r="T580" s="95" t="str">
        <f t="shared" ref="T580:T643" si="49">IF(R580="","",TEXT(R580,"ГГГГ ММ"))</f>
        <v>2023 02</v>
      </c>
      <c r="U580" s="32">
        <f t="shared" si="46"/>
        <v>1461.4350778719624</v>
      </c>
      <c r="V580" s="22">
        <f t="shared" si="47"/>
        <v>0.79487814669086143</v>
      </c>
      <c r="X580" s="33"/>
      <c r="Y580" s="33"/>
    </row>
    <row r="581" spans="1:25" x14ac:dyDescent="0.2">
      <c r="A581" s="93" t="s">
        <v>288</v>
      </c>
      <c r="B581" s="94" t="str">
        <f>IFERROR(VLOOKUP($A581,HeadJournal!$A$1:$NTR$890,COLUMN(HeadJournal!B$1),0),"")</f>
        <v>922528147-0</v>
      </c>
      <c r="C581" s="94" t="str">
        <f>IFERROR(VLOOKUP($A581,HeadJournal!$A$1:$NTR$890,COLUMN(HeadJournal!C$1),0),"")</f>
        <v>iHerb_OA CZN6870</v>
      </c>
      <c r="D581" s="125" t="str">
        <f>IFERROR(VLOOKUP($A581,HeadJournal!$A$1:$NTR$890,COLUMN(HeadJournal!D$1),0),"")</f>
        <v>Доставлен</v>
      </c>
      <c r="E581" s="95">
        <f>IFERROR(VLOOKUP($A581,HeadJournal!$A$1:$NTR$890,COLUMN(HeadJournal!G$1),0),"")</f>
        <v>44903</v>
      </c>
      <c r="F581" s="95" t="str">
        <f t="shared" si="48"/>
        <v>2022 12</v>
      </c>
      <c r="G581" s="96" t="s">
        <v>5</v>
      </c>
      <c r="H581" s="175" t="s">
        <v>3643</v>
      </c>
      <c r="I581" s="176" t="s">
        <v>2102</v>
      </c>
      <c r="J581" s="97" t="s">
        <v>3693</v>
      </c>
      <c r="K581" s="29">
        <v>15.37</v>
      </c>
      <c r="L581" s="29">
        <v>-3.38</v>
      </c>
      <c r="M581" s="30">
        <f>IFERROR(VLOOKUP($A581,HeadJournal!$A$1:$J$890,COLUMN(HeadJournal!I$1),0)*($K581+$L581)/(SUMIF($A:$A,$A581,$K:$K)+SUMIF($A:$A,$A581,$L:$L)),0)</f>
        <v>-0.45880842819084516</v>
      </c>
      <c r="N581" s="30">
        <f>IFERROR((VLOOKUP($A581,HeadJournal!$A$1:$K$890,COLUMN(HeadJournal!K$1),0)-VLOOKUP($A581,HeadJournal!$A$1:$K$890,COLUMN(HeadJournal!J$1),0))*($K581+$L581)/(SUMIF($A:$A,$A581,$K:$K)+SUMIF($A:$A,$A581,$L:$L)),0)</f>
        <v>-1.375540066483184E-15</v>
      </c>
      <c r="O581" s="30">
        <f>IFERROR((VLOOKUP($A581,HeadJournal!$A$1:$L$890,COLUMN(HeadJournal!L$1),0)*($K581+$L581)/(SUMIF($A:$A,$A581,$K:$K)+SUMIF($A:$A,$A581,$L:$L)))/VLOOKUP($A581,HeadJournal!$A$1:$L$890,COLUMN(HeadJournal!H$1),0),0)</f>
        <v>5.1782206957270525</v>
      </c>
      <c r="P581" s="30">
        <f>IFERROR(SUM(K581:O581)*VLOOKUP($A581,HeadJournal!$A$1:$L$890,COLUMN(HeadJournal!H$1),0),0)</f>
        <v>1152.9494464599979</v>
      </c>
      <c r="Q581" s="29">
        <v>2300</v>
      </c>
      <c r="R581" s="31">
        <v>44957</v>
      </c>
      <c r="S581" s="31" t="s">
        <v>3121</v>
      </c>
      <c r="T581" s="95" t="str">
        <f t="shared" si="49"/>
        <v>2023 01</v>
      </c>
      <c r="U581" s="32">
        <f t="shared" si="46"/>
        <v>1147.0505535400021</v>
      </c>
      <c r="V581" s="22">
        <f t="shared" si="47"/>
        <v>0.99488364998299983</v>
      </c>
      <c r="X581" s="33"/>
      <c r="Y581" s="33"/>
    </row>
    <row r="582" spans="1:25" x14ac:dyDescent="0.2">
      <c r="A582" s="93" t="s">
        <v>288</v>
      </c>
      <c r="B582" s="94" t="str">
        <f>IFERROR(VLOOKUP($A582,HeadJournal!$A$1:$NTR$890,COLUMN(HeadJournal!B$1),0),"")</f>
        <v>922528147-0</v>
      </c>
      <c r="C582" s="94" t="str">
        <f>IFERROR(VLOOKUP($A582,HeadJournal!$A$1:$NTR$890,COLUMN(HeadJournal!C$1),0),"")</f>
        <v>iHerb_OA CZN6870</v>
      </c>
      <c r="D582" s="125" t="str">
        <f>IFERROR(VLOOKUP($A582,HeadJournal!$A$1:$NTR$890,COLUMN(HeadJournal!D$1),0),"")</f>
        <v>Доставлен</v>
      </c>
      <c r="E582" s="95">
        <f>IFERROR(VLOOKUP($A582,HeadJournal!$A$1:$NTR$890,COLUMN(HeadJournal!G$1),0),"")</f>
        <v>44903</v>
      </c>
      <c r="F582" s="95" t="str">
        <f t="shared" si="48"/>
        <v>2022 12</v>
      </c>
      <c r="G582" s="96" t="s">
        <v>5</v>
      </c>
      <c r="H582" s="161" t="s">
        <v>3011</v>
      </c>
      <c r="I582" s="97" t="s">
        <v>2052</v>
      </c>
      <c r="J582" s="97" t="s">
        <v>3012</v>
      </c>
      <c r="K582" s="29">
        <v>6</v>
      </c>
      <c r="L582" s="29">
        <v>-3.6</v>
      </c>
      <c r="M582" s="30">
        <f>IFERROR(VLOOKUP($A582,HeadJournal!$A$1:$J$890,COLUMN(HeadJournal!I$1),0)*($K582+$L582)/(SUMIF($A:$A,$A582,$K:$K)+SUMIF($A:$A,$A582,$L:$L)),0)</f>
        <v>-9.1838217486074097E-2</v>
      </c>
      <c r="N582" s="30">
        <f>IFERROR((VLOOKUP($A582,HeadJournal!$A$1:$K$890,COLUMN(HeadJournal!K$1),0)-VLOOKUP($A582,HeadJournal!$A$1:$K$890,COLUMN(HeadJournal!J$1),0))*($K582+$L582)/(SUMIF($A:$A,$A582,$K:$K)+SUMIF($A:$A,$A582,$L:$L)),0)</f>
        <v>-2.7533746118095428E-16</v>
      </c>
      <c r="O582" s="30">
        <f>IFERROR((VLOOKUP($A582,HeadJournal!$A$1:$L$890,COLUMN(HeadJournal!L$1),0)*($K582+$L582)/(SUMIF($A:$A,$A582,$K:$K)+SUMIF($A:$A,$A582,$L:$L)))/VLOOKUP($A582,HeadJournal!$A$1:$L$890,COLUMN(HeadJournal!H$1),0),0)</f>
        <v>1.0365078957251816</v>
      </c>
      <c r="P582" s="30">
        <f>IFERROR(SUM(K582:O582)*VLOOKUP($A582,HeadJournal!$A$1:$L$890,COLUMN(HeadJournal!H$1),0),0)</f>
        <v>230.7822077984984</v>
      </c>
      <c r="Q582" s="29">
        <v>800</v>
      </c>
      <c r="R582" s="31">
        <v>44966</v>
      </c>
      <c r="S582" s="31" t="s">
        <v>3121</v>
      </c>
      <c r="T582" s="95" t="str">
        <f t="shared" si="49"/>
        <v>2023 02</v>
      </c>
      <c r="U582" s="32">
        <f t="shared" si="46"/>
        <v>569.21779220150165</v>
      </c>
      <c r="V582" s="22">
        <f t="shared" si="47"/>
        <v>2.466471733811038</v>
      </c>
      <c r="X582" s="33"/>
      <c r="Y582" s="33"/>
    </row>
    <row r="583" spans="1:25" x14ac:dyDescent="0.2">
      <c r="A583" s="93" t="s">
        <v>288</v>
      </c>
      <c r="B583" s="94" t="str">
        <f>IFERROR(VLOOKUP($A583,HeadJournal!$A$1:$NTR$890,COLUMN(HeadJournal!B$1),0),"")</f>
        <v>922528147-0</v>
      </c>
      <c r="C583" s="94" t="str">
        <f>IFERROR(VLOOKUP($A583,HeadJournal!$A$1:$NTR$890,COLUMN(HeadJournal!C$1),0),"")</f>
        <v>iHerb_OA CZN6870</v>
      </c>
      <c r="D583" s="125" t="str">
        <f>IFERROR(VLOOKUP($A583,HeadJournal!$A$1:$NTR$890,COLUMN(HeadJournal!D$1),0),"")</f>
        <v>Доставлен</v>
      </c>
      <c r="E583" s="95">
        <f>IFERROR(VLOOKUP($A583,HeadJournal!$A$1:$NTR$890,COLUMN(HeadJournal!G$1),0),"")</f>
        <v>44903</v>
      </c>
      <c r="F583" s="95" t="str">
        <f t="shared" si="48"/>
        <v>2022 12</v>
      </c>
      <c r="G583" s="96" t="s">
        <v>5</v>
      </c>
      <c r="H583" s="161" t="s">
        <v>2174</v>
      </c>
      <c r="I583" s="97" t="s">
        <v>2005</v>
      </c>
      <c r="J583" s="97" t="s">
        <v>2175</v>
      </c>
      <c r="K583" s="29">
        <v>4.47</v>
      </c>
      <c r="L583" s="29">
        <v>-0.98</v>
      </c>
      <c r="M583" s="30">
        <f>IFERROR(VLOOKUP($A583,HeadJournal!$A$1:$J$890,COLUMN(HeadJournal!I$1),0)*($K583+$L583)/(SUMIF($A:$A,$A583,$K:$K)+SUMIF($A:$A,$A583,$L:$L)),0)</f>
        <v>-0.13354807459433277</v>
      </c>
      <c r="N583" s="30">
        <f>IFERROR((VLOOKUP($A583,HeadJournal!$A$1:$K$890,COLUMN(HeadJournal!K$1),0)-VLOOKUP($A583,HeadJournal!$A$1:$K$890,COLUMN(HeadJournal!J$1),0))*($K583+$L583)/(SUMIF($A:$A,$A583,$K:$K)+SUMIF($A:$A,$A583,$L:$L)),0)</f>
        <v>-4.0038655813397099E-16</v>
      </c>
      <c r="O583" s="30">
        <f>IFERROR((VLOOKUP($A583,HeadJournal!$A$1:$L$890,COLUMN(HeadJournal!L$1),0)*($K583+$L583)/(SUMIF($A:$A,$A583,$K:$K)+SUMIF($A:$A,$A583,$L:$L)))/VLOOKUP($A583,HeadJournal!$A$1:$L$890,COLUMN(HeadJournal!H$1),0),0)</f>
        <v>1.5072552317003685</v>
      </c>
      <c r="P583" s="30">
        <f>IFERROR(SUM(K583:O583)*VLOOKUP($A583,HeadJournal!$A$1:$L$890,COLUMN(HeadJournal!H$1),0),0)</f>
        <v>335.59579384031639</v>
      </c>
      <c r="Q583" s="29">
        <v>750</v>
      </c>
      <c r="R583" s="31">
        <v>44966</v>
      </c>
      <c r="S583" s="31" t="s">
        <v>3121</v>
      </c>
      <c r="T583" s="95" t="str">
        <f t="shared" si="49"/>
        <v>2023 02</v>
      </c>
      <c r="U583" s="32">
        <f t="shared" si="46"/>
        <v>414.40420615968361</v>
      </c>
      <c r="V583" s="22">
        <f t="shared" si="47"/>
        <v>1.2348313470128471</v>
      </c>
      <c r="X583" s="33"/>
      <c r="Y583" s="33"/>
    </row>
    <row r="584" spans="1:25" x14ac:dyDescent="0.2">
      <c r="A584" s="93" t="s">
        <v>288</v>
      </c>
      <c r="B584" s="94" t="str">
        <f>IFERROR(VLOOKUP($A584,HeadJournal!$A$1:$NTR$890,COLUMN(HeadJournal!B$1),0),"")</f>
        <v>922528147-0</v>
      </c>
      <c r="C584" s="94" t="str">
        <f>IFERROR(VLOOKUP($A584,HeadJournal!$A$1:$NTR$890,COLUMN(HeadJournal!C$1),0),"")</f>
        <v>iHerb_OA CZN6870</v>
      </c>
      <c r="D584" s="125" t="str">
        <f>IFERROR(VLOOKUP($A584,HeadJournal!$A$1:$NTR$890,COLUMN(HeadJournal!D$1),0),"")</f>
        <v>Доставлен</v>
      </c>
      <c r="E584" s="95">
        <f>IFERROR(VLOOKUP($A584,HeadJournal!$A$1:$NTR$890,COLUMN(HeadJournal!G$1),0),"")</f>
        <v>44903</v>
      </c>
      <c r="F584" s="95" t="str">
        <f t="shared" si="48"/>
        <v>2022 12</v>
      </c>
      <c r="G584" s="96" t="s">
        <v>5</v>
      </c>
      <c r="H584" s="161" t="s">
        <v>2462</v>
      </c>
      <c r="I584" s="97" t="s">
        <v>2005</v>
      </c>
      <c r="J584" s="97" t="s">
        <v>2463</v>
      </c>
      <c r="K584" s="29">
        <v>6.46</v>
      </c>
      <c r="L584" s="29">
        <v>-1.42</v>
      </c>
      <c r="M584" s="30">
        <f>IFERROR(VLOOKUP($A584,HeadJournal!$A$1:$J$890,COLUMN(HeadJournal!I$1),0)*($K584+$L584)/(SUMIF($A:$A,$A584,$K:$K)+SUMIF($A:$A,$A584,$L:$L)),0)</f>
        <v>-0.19286025672075563</v>
      </c>
      <c r="N584" s="30">
        <f>IFERROR((VLOOKUP($A584,HeadJournal!$A$1:$K$890,COLUMN(HeadJournal!K$1),0)-VLOOKUP($A584,HeadJournal!$A$1:$K$890,COLUMN(HeadJournal!J$1),0))*($K584+$L584)/(SUMIF($A:$A,$A584,$K:$K)+SUMIF($A:$A,$A584,$L:$L)),0)</f>
        <v>-5.78208668480004E-16</v>
      </c>
      <c r="O584" s="30">
        <f>IFERROR((VLOOKUP($A584,HeadJournal!$A$1:$L$890,COLUMN(HeadJournal!L$1),0)*($K584+$L584)/(SUMIF($A:$A,$A584,$K:$K)+SUMIF($A:$A,$A584,$L:$L)))/VLOOKUP($A584,HeadJournal!$A$1:$L$890,COLUMN(HeadJournal!H$1),0),0)</f>
        <v>2.1766665810228818</v>
      </c>
      <c r="P584" s="30">
        <f>IFERROR(SUM(K584:O584)*VLOOKUP($A584,HeadJournal!$A$1:$L$890,COLUMN(HeadJournal!H$1),0),0)</f>
        <v>484.64263637684661</v>
      </c>
      <c r="Q584" s="29">
        <v>900</v>
      </c>
      <c r="R584" s="31">
        <v>44956</v>
      </c>
      <c r="S584" s="31" t="s">
        <v>3121</v>
      </c>
      <c r="T584" s="95" t="str">
        <f t="shared" si="49"/>
        <v>2023 01</v>
      </c>
      <c r="U584" s="32">
        <f t="shared" si="46"/>
        <v>415.35736362315339</v>
      </c>
      <c r="V584" s="22">
        <f t="shared" si="47"/>
        <v>0.85703842882734194</v>
      </c>
      <c r="X584" s="33"/>
      <c r="Y584" s="33"/>
    </row>
    <row r="585" spans="1:25" x14ac:dyDescent="0.2">
      <c r="A585" s="93" t="s">
        <v>288</v>
      </c>
      <c r="B585" s="94" t="str">
        <f>IFERROR(VLOOKUP($A585,HeadJournal!$A$1:$NTR$890,COLUMN(HeadJournal!B$1),0),"")</f>
        <v>922528147-0</v>
      </c>
      <c r="C585" s="94" t="str">
        <f>IFERROR(VLOOKUP($A585,HeadJournal!$A$1:$NTR$890,COLUMN(HeadJournal!C$1),0),"")</f>
        <v>iHerb_OA CZN6870</v>
      </c>
      <c r="D585" s="125" t="str">
        <f>IFERROR(VLOOKUP($A585,HeadJournal!$A$1:$NTR$890,COLUMN(HeadJournal!D$1),0),"")</f>
        <v>Доставлен</v>
      </c>
      <c r="E585" s="95">
        <f>IFERROR(VLOOKUP($A585,HeadJournal!$A$1:$NTR$890,COLUMN(HeadJournal!G$1),0),"")</f>
        <v>44903</v>
      </c>
      <c r="F585" s="95" t="str">
        <f t="shared" si="48"/>
        <v>2022 12</v>
      </c>
      <c r="G585" s="96" t="s">
        <v>5</v>
      </c>
      <c r="H585" s="161" t="s">
        <v>2202</v>
      </c>
      <c r="I585" s="97" t="s">
        <v>2005</v>
      </c>
      <c r="J585" s="97" t="s">
        <v>3692</v>
      </c>
      <c r="K585" s="29">
        <v>13.73</v>
      </c>
      <c r="L585" s="29">
        <v>-3.02</v>
      </c>
      <c r="M585" s="30">
        <f>IFERROR(VLOOKUP($A585,HeadJournal!$A$1:$J$890,COLUMN(HeadJournal!I$1),0)*($K585+$L585)/(SUMIF($A:$A,$A585,$K:$K)+SUMIF($A:$A,$A585,$L:$L)),0)</f>
        <v>-0.40982804553160573</v>
      </c>
      <c r="N585" s="30">
        <f>IFERROR((VLOOKUP($A585,HeadJournal!$A$1:$K$890,COLUMN(HeadJournal!K$1),0)-VLOOKUP($A585,HeadJournal!$A$1:$K$890,COLUMN(HeadJournal!J$1),0))*($K585+$L585)/(SUMIF($A:$A,$A585,$K:$K)+SUMIF($A:$A,$A585,$L:$L)),0)</f>
        <v>-1.2286934205200087E-15</v>
      </c>
      <c r="O585" s="30">
        <f>IFERROR((VLOOKUP($A585,HeadJournal!$A$1:$L$890,COLUMN(HeadJournal!L$1),0)*($K585+$L585)/(SUMIF($A:$A,$A585,$K:$K)+SUMIF($A:$A,$A585,$L:$L)))/VLOOKUP($A585,HeadJournal!$A$1:$L$890,COLUMN(HeadJournal!H$1),0),0)</f>
        <v>4.6254164846736243</v>
      </c>
      <c r="P585" s="30">
        <f>IFERROR(SUM(K585:O585)*VLOOKUP($A585,HeadJournal!$A$1:$L$890,COLUMN(HeadJournal!H$1),0),0)</f>
        <v>1029.8656023007993</v>
      </c>
      <c r="Q585" s="29">
        <v>1500</v>
      </c>
      <c r="R585" s="31">
        <v>44956</v>
      </c>
      <c r="S585" s="31" t="s">
        <v>3121</v>
      </c>
      <c r="T585" s="95" t="str">
        <f t="shared" si="49"/>
        <v>2023 01</v>
      </c>
      <c r="U585" s="32">
        <f t="shared" si="46"/>
        <v>470.13439769920069</v>
      </c>
      <c r="V585" s="22">
        <f t="shared" si="47"/>
        <v>0.45650072849203249</v>
      </c>
      <c r="X585" s="33"/>
      <c r="Y585" s="33"/>
    </row>
    <row r="586" spans="1:25" x14ac:dyDescent="0.2">
      <c r="A586" s="93" t="s">
        <v>288</v>
      </c>
      <c r="B586" s="94" t="str">
        <f>IFERROR(VLOOKUP($A586,HeadJournal!$A$1:$NTR$890,COLUMN(HeadJournal!B$1),0),"")</f>
        <v>922528147-0</v>
      </c>
      <c r="C586" s="94" t="str">
        <f>IFERROR(VLOOKUP($A586,HeadJournal!$A$1:$NTR$890,COLUMN(HeadJournal!C$1),0),"")</f>
        <v>iHerb_OA CZN6870</v>
      </c>
      <c r="D586" s="125" t="str">
        <f>IFERROR(VLOOKUP($A586,HeadJournal!$A$1:$NTR$890,COLUMN(HeadJournal!D$1),0),"")</f>
        <v>Доставлен</v>
      </c>
      <c r="E586" s="95">
        <f>IFERROR(VLOOKUP($A586,HeadJournal!$A$1:$NTR$890,COLUMN(HeadJournal!G$1),0),"")</f>
        <v>44903</v>
      </c>
      <c r="F586" s="95" t="str">
        <f t="shared" si="48"/>
        <v>2022 12</v>
      </c>
      <c r="G586" s="96" t="s">
        <v>5</v>
      </c>
      <c r="H586" s="161" t="s">
        <v>2024</v>
      </c>
      <c r="I586" s="97" t="s">
        <v>2005</v>
      </c>
      <c r="J586" s="97" t="s">
        <v>4140</v>
      </c>
      <c r="K586" s="29">
        <v>15.28</v>
      </c>
      <c r="L586" s="29">
        <v>-3.36</v>
      </c>
      <c r="M586" s="30">
        <f>IFERROR(VLOOKUP($A586,HeadJournal!$A$1:$J$890,COLUMN(HeadJournal!I$1),0)*($K586+$L586)/(SUMIF($A:$A,$A586,$K:$K)+SUMIF($A:$A,$A586,$L:$L)),0)</f>
        <v>-0.45612981351416809</v>
      </c>
      <c r="N586" s="30">
        <f>IFERROR((VLOOKUP($A586,HeadJournal!$A$1:$K$890,COLUMN(HeadJournal!K$1),0)-VLOOKUP($A586,HeadJournal!$A$1:$K$890,COLUMN(HeadJournal!J$1),0))*($K586+$L586)/(SUMIF($A:$A,$A586,$K:$K)+SUMIF($A:$A,$A586,$L:$L)),0)</f>
        <v>-1.367509390532073E-15</v>
      </c>
      <c r="O586" s="30">
        <f>IFERROR((VLOOKUP($A586,HeadJournal!$A$1:$L$890,COLUMN(HeadJournal!L$1),0)*($K586+$L586)/(SUMIF($A:$A,$A586,$K:$K)+SUMIF($A:$A,$A586,$L:$L)))/VLOOKUP($A586,HeadJournal!$A$1:$L$890,COLUMN(HeadJournal!H$1),0),0)</f>
        <v>5.1479892154350697</v>
      </c>
      <c r="P586" s="30">
        <f>IFERROR(SUM(K586:O586)*VLOOKUP($A586,HeadJournal!$A$1:$L$890,COLUMN(HeadJournal!H$1),0),0)</f>
        <v>1146.2182987325421</v>
      </c>
      <c r="Q586" s="29">
        <v>2100</v>
      </c>
      <c r="R586" s="31">
        <v>45080</v>
      </c>
      <c r="S586" s="31" t="s">
        <v>3121</v>
      </c>
      <c r="T586" s="95" t="str">
        <f t="shared" si="49"/>
        <v>2023 06</v>
      </c>
      <c r="U586" s="32">
        <f t="shared" si="46"/>
        <v>953.78170126745795</v>
      </c>
      <c r="V586" s="22">
        <f t="shared" si="47"/>
        <v>0.83211173850751163</v>
      </c>
      <c r="X586" s="33"/>
      <c r="Y586" s="33"/>
    </row>
    <row r="587" spans="1:25" x14ac:dyDescent="0.2">
      <c r="A587" s="93" t="s">
        <v>288</v>
      </c>
      <c r="B587" s="94" t="str">
        <f>IFERROR(VLOOKUP($A587,HeadJournal!$A$1:$NTR$890,COLUMN(HeadJournal!B$1),0),"")</f>
        <v>922528147-0</v>
      </c>
      <c r="C587" s="94" t="str">
        <f>IFERROR(VLOOKUP($A587,HeadJournal!$A$1:$NTR$890,COLUMN(HeadJournal!C$1),0),"")</f>
        <v>iHerb_OA CZN6870</v>
      </c>
      <c r="D587" s="125" t="str">
        <f>IFERROR(VLOOKUP($A587,HeadJournal!$A$1:$NTR$890,COLUMN(HeadJournal!D$1),0),"")</f>
        <v>Доставлен</v>
      </c>
      <c r="E587" s="95">
        <f>IFERROR(VLOOKUP($A587,HeadJournal!$A$1:$NTR$890,COLUMN(HeadJournal!G$1),0),"")</f>
        <v>44903</v>
      </c>
      <c r="F587" s="95" t="str">
        <f t="shared" si="48"/>
        <v>2022 12</v>
      </c>
      <c r="G587" s="96" t="s">
        <v>5</v>
      </c>
      <c r="H587" s="161" t="s">
        <v>2089</v>
      </c>
      <c r="I587" s="97" t="s">
        <v>2005</v>
      </c>
      <c r="J587" s="97" t="s">
        <v>3781</v>
      </c>
      <c r="K587" s="29">
        <v>17.28</v>
      </c>
      <c r="L587" s="29">
        <v>-3.8</v>
      </c>
      <c r="M587" s="30">
        <f>IFERROR(VLOOKUP($A587,HeadJournal!$A$1:$J$890,COLUMN(HeadJournal!I$1),0)*($K587+$L587)/(SUMIF($A:$A,$A587,$K:$K)+SUMIF($A:$A,$A587,$L:$L)),0)</f>
        <v>-0.51582465488011631</v>
      </c>
      <c r="N587" s="30">
        <f>IFERROR((VLOOKUP($A587,HeadJournal!$A$1:$K$890,COLUMN(HeadJournal!K$1),0)-VLOOKUP($A587,HeadJournal!$A$1:$K$890,COLUMN(HeadJournal!J$1),0))*($K587+$L587)/(SUMIF($A:$A,$A587,$K:$K)+SUMIF($A:$A,$A587,$L:$L)),0)</f>
        <v>-1.5464787402996933E-15</v>
      </c>
      <c r="O587" s="30">
        <f>IFERROR((VLOOKUP($A587,HeadJournal!$A$1:$L$890,COLUMN(HeadJournal!L$1),0)*($K587+$L587)/(SUMIF($A:$A,$A587,$K:$K)+SUMIF($A:$A,$A587,$L:$L)))/VLOOKUP($A587,HeadJournal!$A$1:$L$890,COLUMN(HeadJournal!H$1),0),0)</f>
        <v>5.8217193476564377</v>
      </c>
      <c r="P587" s="30">
        <f>IFERROR(SUM(K587:O587)*VLOOKUP($A587,HeadJournal!$A$1:$L$890,COLUMN(HeadJournal!H$1),0),0)</f>
        <v>1296.2267338015661</v>
      </c>
      <c r="Q587" s="29">
        <v>2800</v>
      </c>
      <c r="R587" s="31">
        <v>44954</v>
      </c>
      <c r="S587" s="31" t="s">
        <v>3121</v>
      </c>
      <c r="T587" s="95" t="str">
        <f t="shared" si="49"/>
        <v>2023 01</v>
      </c>
      <c r="U587" s="32">
        <f t="shared" si="46"/>
        <v>1503.7732661984339</v>
      </c>
      <c r="V587" s="22">
        <f t="shared" si="47"/>
        <v>1.160115917211626</v>
      </c>
      <c r="X587" s="33"/>
      <c r="Y587" s="33"/>
    </row>
    <row r="588" spans="1:25" x14ac:dyDescent="0.2">
      <c r="A588" s="93" t="s">
        <v>288</v>
      </c>
      <c r="B588" s="94" t="str">
        <f>IFERROR(VLOOKUP($A588,HeadJournal!$A$1:$NTR$890,COLUMN(HeadJournal!B$1),0),"")</f>
        <v>922528147-0</v>
      </c>
      <c r="C588" s="94" t="str">
        <f>IFERROR(VLOOKUP($A588,HeadJournal!$A$1:$NTR$890,COLUMN(HeadJournal!C$1),0),"")</f>
        <v>iHerb_OA CZN6870</v>
      </c>
      <c r="D588" s="125" t="str">
        <f>IFERROR(VLOOKUP($A588,HeadJournal!$A$1:$NTR$890,COLUMN(HeadJournal!D$1),0),"")</f>
        <v>Доставлен</v>
      </c>
      <c r="E588" s="95">
        <f>IFERROR(VLOOKUP($A588,HeadJournal!$A$1:$NTR$890,COLUMN(HeadJournal!G$1),0),"")</f>
        <v>44903</v>
      </c>
      <c r="F588" s="95" t="str">
        <f t="shared" si="48"/>
        <v>2022 12</v>
      </c>
      <c r="G588" s="96" t="s">
        <v>5</v>
      </c>
      <c r="H588" s="160" t="str">
        <f>RIGHT(Journal!$J588,9)</f>
        <v>NOW-04682</v>
      </c>
      <c r="I588" s="96" t="str">
        <f t="shared" ref="I588:I642" si="50">IFERROR(LEFT(J588,FIND(",",J588)-1),"")</f>
        <v>NOW Foods</v>
      </c>
      <c r="J588" s="97" t="s">
        <v>95</v>
      </c>
      <c r="K588" s="29">
        <v>7.44</v>
      </c>
      <c r="L588" s="29">
        <v>-1.64</v>
      </c>
      <c r="M588" s="30">
        <f>IFERROR(VLOOKUP($A588,HeadJournal!$A$1:$J$890,COLUMN(HeadJournal!I$1),0)*($K588+$L588)/(SUMIF($A:$A,$A588,$K:$K)+SUMIF($A:$A,$A588,$L:$L)),0)</f>
        <v>-0.22194235892467912</v>
      </c>
      <c r="N588" s="30">
        <f>IFERROR((VLOOKUP($A588,HeadJournal!$A$1:$K$890,COLUMN(HeadJournal!K$1),0)-VLOOKUP($A588,HeadJournal!$A$1:$K$890,COLUMN(HeadJournal!J$1),0))*($K588+$L588)/(SUMIF($A:$A,$A588,$K:$K)+SUMIF($A:$A,$A588,$L:$L)),0)</f>
        <v>-6.6539886452063963E-16</v>
      </c>
      <c r="O588" s="30">
        <f>IFERROR((VLOOKUP($A588,HeadJournal!$A$1:$L$890,COLUMN(HeadJournal!L$1),0)*($K588+$L588)/(SUMIF($A:$A,$A588,$K:$K)+SUMIF($A:$A,$A588,$L:$L)))/VLOOKUP($A588,HeadJournal!$A$1:$L$890,COLUMN(HeadJournal!H$1),0),0)</f>
        <v>2.5048940813358564</v>
      </c>
      <c r="P588" s="30">
        <f>IFERROR(SUM(K588:O588)*VLOOKUP($A588,HeadJournal!$A$1:$L$890,COLUMN(HeadJournal!H$1),0),0)</f>
        <v>557.7236688463712</v>
      </c>
      <c r="Q588" s="29">
        <v>1000</v>
      </c>
      <c r="R588" s="31">
        <v>45006</v>
      </c>
      <c r="S588" s="31" t="s">
        <v>3121</v>
      </c>
      <c r="T588" s="95" t="str">
        <f t="shared" si="49"/>
        <v>2023 03</v>
      </c>
      <c r="U588" s="32">
        <f t="shared" si="46"/>
        <v>442.2763311536288</v>
      </c>
      <c r="V588" s="22">
        <f t="shared" si="47"/>
        <v>0.79300262093674356</v>
      </c>
      <c r="X588" s="33"/>
      <c r="Y588" s="33"/>
    </row>
    <row r="589" spans="1:25" x14ac:dyDescent="0.2">
      <c r="A589" s="93" t="s">
        <v>288</v>
      </c>
      <c r="B589" s="94" t="str">
        <f>IFERROR(VLOOKUP($A589,HeadJournal!$A$1:$NTR$890,COLUMN(HeadJournal!B$1),0),"")</f>
        <v>922528147-0</v>
      </c>
      <c r="C589" s="94" t="str">
        <f>IFERROR(VLOOKUP($A589,HeadJournal!$A$1:$NTR$890,COLUMN(HeadJournal!C$1),0),"")</f>
        <v>iHerb_OA CZN6870</v>
      </c>
      <c r="D589" s="125" t="str">
        <f>IFERROR(VLOOKUP($A589,HeadJournal!$A$1:$NTR$890,COLUMN(HeadJournal!D$1),0),"")</f>
        <v>Доставлен</v>
      </c>
      <c r="E589" s="95">
        <f>IFERROR(VLOOKUP($A589,HeadJournal!$A$1:$NTR$890,COLUMN(HeadJournal!G$1),0),"")</f>
        <v>44903</v>
      </c>
      <c r="F589" s="95" t="str">
        <f t="shared" si="48"/>
        <v>2022 12</v>
      </c>
      <c r="G589" s="96" t="s">
        <v>5</v>
      </c>
      <c r="H589" s="161" t="s">
        <v>2076</v>
      </c>
      <c r="I589" s="97" t="s">
        <v>2005</v>
      </c>
      <c r="J589" s="97" t="s">
        <v>2077</v>
      </c>
      <c r="K589" s="29">
        <v>12.94</v>
      </c>
      <c r="L589" s="29">
        <v>-2.85</v>
      </c>
      <c r="M589" s="30">
        <f>IFERROR(VLOOKUP($A589,HeadJournal!$A$1:$J$890,COLUMN(HeadJournal!I$1),0)*($K589+$L589)/(SUMIF($A:$A,$A589,$K:$K)+SUMIF($A:$A,$A589,$L:$L)),0)</f>
        <v>-0.38610317268103655</v>
      </c>
      <c r="N589" s="30">
        <f>IFERROR((VLOOKUP($A589,HeadJournal!$A$1:$K$890,COLUMN(HeadJournal!K$1),0)-VLOOKUP($A589,HeadJournal!$A$1:$K$890,COLUMN(HeadJournal!J$1),0))*($K589+$L589)/(SUMIF($A:$A,$A589,$K:$K)+SUMIF($A:$A,$A589,$L:$L)),0)</f>
        <v>-1.1575645763815954E-15</v>
      </c>
      <c r="O589" s="30">
        <f>IFERROR((VLOOKUP($A589,HeadJournal!$A$1:$L$890,COLUMN(HeadJournal!L$1),0)*($K589+$L589)/(SUMIF($A:$A,$A589,$K:$K)+SUMIF($A:$A,$A589,$L:$L)))/VLOOKUP($A589,HeadJournal!$A$1:$L$890,COLUMN(HeadJournal!H$1),0),0)</f>
        <v>4.3576519449446174</v>
      </c>
      <c r="P589" s="30">
        <f>IFERROR(SUM(K589:O589)*VLOOKUP($A589,HeadJournal!$A$1:$L$890,COLUMN(HeadJournal!H$1),0),0)</f>
        <v>970.24686528618702</v>
      </c>
      <c r="Q589" s="29">
        <v>2400</v>
      </c>
      <c r="R589" s="31">
        <v>45290</v>
      </c>
      <c r="S589" s="31" t="s">
        <v>3121</v>
      </c>
      <c r="T589" s="95" t="str">
        <f t="shared" si="49"/>
        <v>2023 12</v>
      </c>
      <c r="U589" s="32">
        <f t="shared" si="46"/>
        <v>1429.7531347138129</v>
      </c>
      <c r="V589" s="22">
        <f t="shared" si="47"/>
        <v>1.4735972728879556</v>
      </c>
      <c r="X589" s="33"/>
      <c r="Y589" s="33"/>
    </row>
    <row r="590" spans="1:25" x14ac:dyDescent="0.2">
      <c r="A590" s="93" t="s">
        <v>288</v>
      </c>
      <c r="B590" s="94" t="str">
        <f>IFERROR(VLOOKUP($A590,HeadJournal!$A$1:$NTR$890,COLUMN(HeadJournal!B$1),0),"")</f>
        <v>922528147-0</v>
      </c>
      <c r="C590" s="94" t="str">
        <f>IFERROR(VLOOKUP($A590,HeadJournal!$A$1:$NTR$890,COLUMN(HeadJournal!C$1),0),"")</f>
        <v>iHerb_OA CZN6870</v>
      </c>
      <c r="D590" s="125" t="str">
        <f>IFERROR(VLOOKUP($A590,HeadJournal!$A$1:$NTR$890,COLUMN(HeadJournal!D$1),0),"")</f>
        <v>Доставлен</v>
      </c>
      <c r="E590" s="95">
        <f>IFERROR(VLOOKUP($A590,HeadJournal!$A$1:$NTR$890,COLUMN(HeadJournal!G$1),0),"")</f>
        <v>44903</v>
      </c>
      <c r="F590" s="95" t="str">
        <f t="shared" si="48"/>
        <v>2022 12</v>
      </c>
      <c r="G590" s="96" t="s">
        <v>5</v>
      </c>
      <c r="H590" s="161" t="s">
        <v>2426</v>
      </c>
      <c r="I590" s="97" t="s">
        <v>2125</v>
      </c>
      <c r="J590" s="97" t="s">
        <v>2427</v>
      </c>
      <c r="K590" s="29">
        <v>11.62</v>
      </c>
      <c r="L590" s="29">
        <v>-1.1599999999999999</v>
      </c>
      <c r="M590" s="30">
        <f>IFERROR(VLOOKUP($A590,HeadJournal!$A$1:$J$890,COLUMN(HeadJournal!I$1),0)*($K590+$L590)/(SUMIF($A:$A,$A590,$K:$K)+SUMIF($A:$A,$A590,$L:$L)),0)</f>
        <v>-0.40026156454347295</v>
      </c>
      <c r="N590" s="30">
        <f>IFERROR((VLOOKUP($A590,HeadJournal!$A$1:$K$890,COLUMN(HeadJournal!K$1),0)-VLOOKUP($A590,HeadJournal!$A$1:$K$890,COLUMN(HeadJournal!J$1),0))*($K590+$L590)/(SUMIF($A:$A,$A590,$K:$K)+SUMIF($A:$A,$A590,$L:$L)),0)</f>
        <v>-1.2000124349803257E-15</v>
      </c>
      <c r="O590" s="30">
        <f>IFERROR((VLOOKUP($A590,HeadJournal!$A$1:$L$890,COLUMN(HeadJournal!L$1),0)*($K590+$L590)/(SUMIF($A:$A,$A590,$K:$K)+SUMIF($A:$A,$A590,$L:$L)))/VLOOKUP($A590,HeadJournal!$A$1:$L$890,COLUMN(HeadJournal!H$1),0),0)</f>
        <v>4.5174469122022503</v>
      </c>
      <c r="P590" s="30">
        <f>IFERROR(SUM(K590:O590)*VLOOKUP($A590,HeadJournal!$A$1:$L$890,COLUMN(HeadJournal!H$1),0),0)</f>
        <v>1005.8257889884553</v>
      </c>
      <c r="Q590" s="29">
        <v>1700</v>
      </c>
      <c r="R590" s="31">
        <v>44946</v>
      </c>
      <c r="S590" s="31" t="s">
        <v>3121</v>
      </c>
      <c r="T590" s="95" t="str">
        <f t="shared" si="49"/>
        <v>2023 01</v>
      </c>
      <c r="U590" s="32">
        <f t="shared" si="46"/>
        <v>694.17421101154468</v>
      </c>
      <c r="V590" s="22">
        <f t="shared" si="47"/>
        <v>0.69015352222144333</v>
      </c>
      <c r="X590" s="33"/>
      <c r="Y590" s="33"/>
    </row>
    <row r="591" spans="1:25" x14ac:dyDescent="0.2">
      <c r="A591" s="93" t="s">
        <v>288</v>
      </c>
      <c r="B591" s="94" t="str">
        <f>IFERROR(VLOOKUP($A591,HeadJournal!$A$1:$NTR$890,COLUMN(HeadJournal!B$1),0),"")</f>
        <v>922528147-0</v>
      </c>
      <c r="C591" s="94" t="str">
        <f>IFERROR(VLOOKUP($A591,HeadJournal!$A$1:$NTR$890,COLUMN(HeadJournal!C$1),0),"")</f>
        <v>iHerb_OA CZN6870</v>
      </c>
      <c r="D591" s="125" t="str">
        <f>IFERROR(VLOOKUP($A591,HeadJournal!$A$1:$NTR$890,COLUMN(HeadJournal!D$1),0),"")</f>
        <v>Доставлен</v>
      </c>
      <c r="E591" s="95">
        <f>IFERROR(VLOOKUP($A591,HeadJournal!$A$1:$NTR$890,COLUMN(HeadJournal!G$1),0),"")</f>
        <v>44903</v>
      </c>
      <c r="F591" s="95" t="str">
        <f t="shared" si="48"/>
        <v>2022 12</v>
      </c>
      <c r="G591" s="96" t="s">
        <v>5</v>
      </c>
      <c r="H591" s="160" t="str">
        <f>RIGHT(Journal!$J591,9)</f>
        <v>MAV-17735</v>
      </c>
      <c r="I591" s="96" t="str">
        <f t="shared" si="50"/>
        <v>Mason Natural</v>
      </c>
      <c r="J591" s="97" t="s">
        <v>289</v>
      </c>
      <c r="K591" s="29">
        <v>5.43</v>
      </c>
      <c r="L591" s="29">
        <v>-1.43</v>
      </c>
      <c r="M591" s="30">
        <f>IFERROR(VLOOKUP($A591,HeadJournal!$A$1:$J$890,COLUMN(HeadJournal!I$1),0)*($K591+$L591)/(SUMIF($A:$A,$A591,$K:$K)+SUMIF($A:$A,$A591,$L:$L)),0)</f>
        <v>-0.15306369581012352</v>
      </c>
      <c r="N591" s="30">
        <f>IFERROR((VLOOKUP($A591,HeadJournal!$A$1:$K$890,COLUMN(HeadJournal!K$1),0)-VLOOKUP($A591,HeadJournal!$A$1:$K$890,COLUMN(HeadJournal!J$1),0))*($K591+$L591)/(SUMIF($A:$A,$A591,$K:$K)+SUMIF($A:$A,$A591,$L:$L)),0)</f>
        <v>-4.5889576863492383E-16</v>
      </c>
      <c r="O591" s="30">
        <f>IFERROR((VLOOKUP($A591,HeadJournal!$A$1:$L$890,COLUMN(HeadJournal!L$1),0)*($K591+$L591)/(SUMIF($A:$A,$A591,$K:$K)+SUMIF($A:$A,$A591,$L:$L)))/VLOOKUP($A591,HeadJournal!$A$1:$L$890,COLUMN(HeadJournal!H$1),0),0)</f>
        <v>1.7275131595419695</v>
      </c>
      <c r="P591" s="30">
        <f>IFERROR(SUM(K591:O591)*VLOOKUP($A591,HeadJournal!$A$1:$L$890,COLUMN(HeadJournal!H$1),0),0)</f>
        <v>384.63701299749732</v>
      </c>
      <c r="Q591" s="29">
        <v>1100</v>
      </c>
      <c r="R591" s="31">
        <v>44977</v>
      </c>
      <c r="S591" s="31" t="s">
        <v>3121</v>
      </c>
      <c r="T591" s="95" t="str">
        <f t="shared" si="49"/>
        <v>2023 02</v>
      </c>
      <c r="U591" s="32">
        <f t="shared" si="46"/>
        <v>715.36298700250268</v>
      </c>
      <c r="V591" s="22">
        <f t="shared" si="47"/>
        <v>1.8598391803941063</v>
      </c>
      <c r="X591" s="33"/>
      <c r="Y591" s="33"/>
    </row>
    <row r="592" spans="1:25" x14ac:dyDescent="0.2">
      <c r="A592" s="93" t="s">
        <v>290</v>
      </c>
      <c r="B592" s="94">
        <f>IFERROR(VLOOKUP($A592,HeadJournal!$A$1:$NTR$890,COLUMN(HeadJournal!B$1),0),"")</f>
        <v>0</v>
      </c>
      <c r="C592" s="94" t="str">
        <f>IFERROR(VLOOKUP($A592,HeadJournal!$A$1:$NTR$890,COLUMN(HeadJournal!C$1),0),"")</f>
        <v>Roman</v>
      </c>
      <c r="D592" s="125" t="str">
        <f>IFERROR(VLOOKUP($A592,HeadJournal!$A$1:$NTR$890,COLUMN(HeadJournal!D$1),0),"")</f>
        <v>Доставлен</v>
      </c>
      <c r="E592" s="95">
        <f>IFERROR(VLOOKUP($A592,HeadJournal!$A$1:$NTR$890,COLUMN(HeadJournal!G$1),0),"")</f>
        <v>44915</v>
      </c>
      <c r="F592" s="95" t="str">
        <f t="shared" si="48"/>
        <v>2022 12</v>
      </c>
      <c r="G592" s="96" t="s">
        <v>5</v>
      </c>
      <c r="H592" s="161" t="s">
        <v>2051</v>
      </c>
      <c r="I592" s="97" t="s">
        <v>2052</v>
      </c>
      <c r="J592" s="97" t="s">
        <v>3097</v>
      </c>
      <c r="K592" s="29">
        <v>914.2</v>
      </c>
      <c r="L592" s="29"/>
      <c r="M592" s="30">
        <f>IFERROR(VLOOKUP($A592,HeadJournal!$A$1:$J$890,COLUMN(HeadJournal!I$1),0)*($K592+$L592)/(SUMIF($A:$A,$A592,$K:$K)+SUMIF($A:$A,$A592,$L:$L)),0)</f>
        <v>0</v>
      </c>
      <c r="N592" s="30">
        <f>IFERROR((VLOOKUP($A592,HeadJournal!$A$1:$K$890,COLUMN(HeadJournal!K$1),0)-VLOOKUP($A592,HeadJournal!$A$1:$K$890,COLUMN(HeadJournal!J$1),0))*($K592+$L592)/(SUMIF($A:$A,$A592,$K:$K)+SUMIF($A:$A,$A592,$L:$L)),0)</f>
        <v>-0.2405156537753223</v>
      </c>
      <c r="O592" s="30">
        <f>IFERROR((VLOOKUP($A592,HeadJournal!$A$1:$L$890,COLUMN(HeadJournal!L$1),0)*($K592+$L592)/(SUMIF($A:$A,$A592,$K:$K)+SUMIF($A:$A,$A592,$L:$L)))/VLOOKUP($A592,HeadJournal!$A$1:$L$890,COLUMN(HeadJournal!H$1),0),0)</f>
        <v>0</v>
      </c>
      <c r="P592" s="30">
        <f>IFERROR(SUM(K592:O592)*VLOOKUP($A592,HeadJournal!$A$1:$L$890,COLUMN(HeadJournal!H$1),0),0)</f>
        <v>913.95948434622471</v>
      </c>
      <c r="Q592" s="29">
        <v>2200</v>
      </c>
      <c r="R592" s="31">
        <v>44998</v>
      </c>
      <c r="S592" s="31" t="s">
        <v>3121</v>
      </c>
      <c r="T592" s="95" t="str">
        <f t="shared" si="49"/>
        <v>2023 03</v>
      </c>
      <c r="U592" s="32">
        <f t="shared" si="46"/>
        <v>1286.0405156537754</v>
      </c>
      <c r="V592" s="22">
        <f t="shared" si="47"/>
        <v>1.4071088901426614</v>
      </c>
      <c r="X592" s="33"/>
      <c r="Y592" s="33"/>
    </row>
    <row r="593" spans="1:25" x14ac:dyDescent="0.2">
      <c r="A593" s="93" t="s">
        <v>290</v>
      </c>
      <c r="B593" s="94">
        <f>IFERROR(VLOOKUP($A593,HeadJournal!$A$1:$NTR$890,COLUMN(HeadJournal!B$1),0),"")</f>
        <v>0</v>
      </c>
      <c r="C593" s="94" t="str">
        <f>IFERROR(VLOOKUP($A593,HeadJournal!$A$1:$NTR$890,COLUMN(HeadJournal!C$1),0),"")</f>
        <v>Roman</v>
      </c>
      <c r="D593" s="125" t="str">
        <f>IFERROR(VLOOKUP($A593,HeadJournal!$A$1:$NTR$890,COLUMN(HeadJournal!D$1),0),"")</f>
        <v>Доставлен</v>
      </c>
      <c r="E593" s="95">
        <f>IFERROR(VLOOKUP($A593,HeadJournal!$A$1:$NTR$890,COLUMN(HeadJournal!G$1),0),"")</f>
        <v>44915</v>
      </c>
      <c r="F593" s="95" t="str">
        <f t="shared" si="48"/>
        <v>2022 12</v>
      </c>
      <c r="G593" s="96" t="s">
        <v>5</v>
      </c>
      <c r="H593" s="161" t="s">
        <v>2051</v>
      </c>
      <c r="I593" s="97" t="s">
        <v>2052</v>
      </c>
      <c r="J593" s="97" t="s">
        <v>3097</v>
      </c>
      <c r="K593" s="29">
        <v>914.2</v>
      </c>
      <c r="L593" s="29"/>
      <c r="M593" s="30">
        <f>IFERROR(VLOOKUP($A593,HeadJournal!$A$1:$J$890,COLUMN(HeadJournal!I$1),0)*($K593+$L593)/(SUMIF($A:$A,$A593,$K:$K)+SUMIF($A:$A,$A593,$L:$L)),0)</f>
        <v>0</v>
      </c>
      <c r="N593" s="30">
        <f>IFERROR((VLOOKUP($A593,HeadJournal!$A$1:$K$890,COLUMN(HeadJournal!K$1),0)-VLOOKUP($A593,HeadJournal!$A$1:$K$890,COLUMN(HeadJournal!J$1),0))*($K593+$L593)/(SUMIF($A:$A,$A593,$K:$K)+SUMIF($A:$A,$A593,$L:$L)),0)</f>
        <v>-0.2405156537753223</v>
      </c>
      <c r="O593" s="30">
        <f>IFERROR((VLOOKUP($A593,HeadJournal!$A$1:$L$890,COLUMN(HeadJournal!L$1),0)*($K593+$L593)/(SUMIF($A:$A,$A593,$K:$K)+SUMIF($A:$A,$A593,$L:$L)))/VLOOKUP($A593,HeadJournal!$A$1:$L$890,COLUMN(HeadJournal!H$1),0),0)</f>
        <v>0</v>
      </c>
      <c r="P593" s="30">
        <f>IFERROR(SUM(K593:O593)*VLOOKUP($A593,HeadJournal!$A$1:$L$890,COLUMN(HeadJournal!H$1),0),0)</f>
        <v>913.95948434622471</v>
      </c>
      <c r="Q593" s="29">
        <v>2300</v>
      </c>
      <c r="R593" s="31">
        <v>44998</v>
      </c>
      <c r="S593" s="31" t="s">
        <v>3121</v>
      </c>
      <c r="T593" s="95" t="str">
        <f t="shared" si="49"/>
        <v>2023 03</v>
      </c>
      <c r="U593" s="32">
        <f t="shared" si="46"/>
        <v>1386.0405156537754</v>
      </c>
      <c r="V593" s="22">
        <f t="shared" si="47"/>
        <v>1.5165229306036916</v>
      </c>
      <c r="X593" s="33"/>
      <c r="Y593" s="33"/>
    </row>
    <row r="594" spans="1:25" x14ac:dyDescent="0.2">
      <c r="A594" s="93" t="s">
        <v>290</v>
      </c>
      <c r="B594" s="94">
        <f>IFERROR(VLOOKUP($A594,HeadJournal!$A$1:$NTR$890,COLUMN(HeadJournal!B$1),0),"")</f>
        <v>0</v>
      </c>
      <c r="C594" s="94" t="str">
        <f>IFERROR(VLOOKUP($A594,HeadJournal!$A$1:$NTR$890,COLUMN(HeadJournal!C$1),0),"")</f>
        <v>Roman</v>
      </c>
      <c r="D594" s="125" t="str">
        <f>IFERROR(VLOOKUP($A594,HeadJournal!$A$1:$NTR$890,COLUMN(HeadJournal!D$1),0),"")</f>
        <v>Доставлен</v>
      </c>
      <c r="E594" s="95">
        <f>IFERROR(VLOOKUP($A594,HeadJournal!$A$1:$NTR$890,COLUMN(HeadJournal!G$1),0),"")</f>
        <v>44915</v>
      </c>
      <c r="F594" s="95" t="str">
        <f t="shared" si="48"/>
        <v>2022 12</v>
      </c>
      <c r="G594" s="96" t="s">
        <v>5</v>
      </c>
      <c r="H594" s="161" t="s">
        <v>2051</v>
      </c>
      <c r="I594" s="97" t="s">
        <v>2052</v>
      </c>
      <c r="J594" s="97" t="s">
        <v>3097</v>
      </c>
      <c r="K594" s="29">
        <v>914.2</v>
      </c>
      <c r="L594" s="29"/>
      <c r="M594" s="30">
        <f>IFERROR(VLOOKUP($A594,HeadJournal!$A$1:$J$890,COLUMN(HeadJournal!I$1),0)*($K594+$L594)/(SUMIF($A:$A,$A594,$K:$K)+SUMIF($A:$A,$A594,$L:$L)),0)</f>
        <v>0</v>
      </c>
      <c r="N594" s="30">
        <f>IFERROR((VLOOKUP($A594,HeadJournal!$A$1:$K$890,COLUMN(HeadJournal!K$1),0)-VLOOKUP($A594,HeadJournal!$A$1:$K$890,COLUMN(HeadJournal!J$1),0))*($K594+$L594)/(SUMIF($A:$A,$A594,$K:$K)+SUMIF($A:$A,$A594,$L:$L)),0)</f>
        <v>-0.2405156537753223</v>
      </c>
      <c r="O594" s="30">
        <f>IFERROR((VLOOKUP($A594,HeadJournal!$A$1:$L$890,COLUMN(HeadJournal!L$1),0)*($K594+$L594)/(SUMIF($A:$A,$A594,$K:$K)+SUMIF($A:$A,$A594,$L:$L)))/VLOOKUP($A594,HeadJournal!$A$1:$L$890,COLUMN(HeadJournal!H$1),0),0)</f>
        <v>0</v>
      </c>
      <c r="P594" s="30">
        <f>IFERROR(SUM(K594:O594)*VLOOKUP($A594,HeadJournal!$A$1:$L$890,COLUMN(HeadJournal!H$1),0),0)</f>
        <v>913.95948434622471</v>
      </c>
      <c r="Q594" s="29">
        <v>2300</v>
      </c>
      <c r="R594" s="31">
        <v>44998</v>
      </c>
      <c r="S594" s="31" t="s">
        <v>3121</v>
      </c>
      <c r="T594" s="95" t="str">
        <f t="shared" si="49"/>
        <v>2023 03</v>
      </c>
      <c r="U594" s="32">
        <f t="shared" si="46"/>
        <v>1386.0405156537754</v>
      </c>
      <c r="V594" s="22">
        <f t="shared" si="47"/>
        <v>1.5165229306036916</v>
      </c>
      <c r="X594" s="33"/>
      <c r="Y594" s="33"/>
    </row>
    <row r="595" spans="1:25" x14ac:dyDescent="0.2">
      <c r="A595" s="93" t="s">
        <v>290</v>
      </c>
      <c r="B595" s="94">
        <f>IFERROR(VLOOKUP($A595,HeadJournal!$A$1:$NTR$890,COLUMN(HeadJournal!B$1),0),"")</f>
        <v>0</v>
      </c>
      <c r="C595" s="94" t="str">
        <f>IFERROR(VLOOKUP($A595,HeadJournal!$A$1:$NTR$890,COLUMN(HeadJournal!C$1),0),"")</f>
        <v>Roman</v>
      </c>
      <c r="D595" s="125" t="str">
        <f>IFERROR(VLOOKUP($A595,HeadJournal!$A$1:$NTR$890,COLUMN(HeadJournal!D$1),0),"")</f>
        <v>Доставлен</v>
      </c>
      <c r="E595" s="95">
        <f>IFERROR(VLOOKUP($A595,HeadJournal!$A$1:$NTR$890,COLUMN(HeadJournal!G$1),0),"")</f>
        <v>44915</v>
      </c>
      <c r="F595" s="95" t="str">
        <f t="shared" si="48"/>
        <v>2022 12</v>
      </c>
      <c r="G595" s="96" t="s">
        <v>5</v>
      </c>
      <c r="H595" s="161" t="s">
        <v>2051</v>
      </c>
      <c r="I595" s="97" t="s">
        <v>2052</v>
      </c>
      <c r="J595" s="97" t="s">
        <v>3097</v>
      </c>
      <c r="K595" s="29">
        <v>914.2</v>
      </c>
      <c r="L595" s="29"/>
      <c r="M595" s="30">
        <f>IFERROR(VLOOKUP($A595,HeadJournal!$A$1:$J$890,COLUMN(HeadJournal!I$1),0)*($K595+$L595)/(SUMIF($A:$A,$A595,$K:$K)+SUMIF($A:$A,$A595,$L:$L)),0)</f>
        <v>0</v>
      </c>
      <c r="N595" s="30">
        <f>IFERROR((VLOOKUP($A595,HeadJournal!$A$1:$K$890,COLUMN(HeadJournal!K$1),0)-VLOOKUP($A595,HeadJournal!$A$1:$K$890,COLUMN(HeadJournal!J$1),0))*($K595+$L595)/(SUMIF($A:$A,$A595,$K:$K)+SUMIF($A:$A,$A595,$L:$L)),0)</f>
        <v>-0.2405156537753223</v>
      </c>
      <c r="O595" s="30">
        <f>IFERROR((VLOOKUP($A595,HeadJournal!$A$1:$L$890,COLUMN(HeadJournal!L$1),0)*($K595+$L595)/(SUMIF($A:$A,$A595,$K:$K)+SUMIF($A:$A,$A595,$L:$L)))/VLOOKUP($A595,HeadJournal!$A$1:$L$890,COLUMN(HeadJournal!H$1),0),0)</f>
        <v>0</v>
      </c>
      <c r="P595" s="30">
        <f>IFERROR(SUM(K595:O595)*VLOOKUP($A595,HeadJournal!$A$1:$L$890,COLUMN(HeadJournal!H$1),0),0)</f>
        <v>913.95948434622471</v>
      </c>
      <c r="Q595" s="29">
        <v>2000</v>
      </c>
      <c r="R595" s="31">
        <v>44999</v>
      </c>
      <c r="S595" s="31" t="s">
        <v>3121</v>
      </c>
      <c r="T595" s="95" t="str">
        <f t="shared" si="49"/>
        <v>2023 03</v>
      </c>
      <c r="U595" s="32">
        <f t="shared" si="46"/>
        <v>1086.0405156537754</v>
      </c>
      <c r="V595" s="22">
        <f t="shared" si="47"/>
        <v>1.1882808092206014</v>
      </c>
      <c r="X595" s="33"/>
      <c r="Y595" s="33"/>
    </row>
    <row r="596" spans="1:25" x14ac:dyDescent="0.2">
      <c r="A596" s="93" t="s">
        <v>290</v>
      </c>
      <c r="B596" s="94">
        <f>IFERROR(VLOOKUP($A596,HeadJournal!$A$1:$NTR$890,COLUMN(HeadJournal!B$1),0),"")</f>
        <v>0</v>
      </c>
      <c r="C596" s="94" t="str">
        <f>IFERROR(VLOOKUP($A596,HeadJournal!$A$1:$NTR$890,COLUMN(HeadJournal!C$1),0),"")</f>
        <v>Roman</v>
      </c>
      <c r="D596" s="125" t="str">
        <f>IFERROR(VLOOKUP($A596,HeadJournal!$A$1:$NTR$890,COLUMN(HeadJournal!D$1),0),"")</f>
        <v>Доставлен</v>
      </c>
      <c r="E596" s="95">
        <f>IFERROR(VLOOKUP($A596,HeadJournal!$A$1:$NTR$890,COLUMN(HeadJournal!G$1),0),"")</f>
        <v>44915</v>
      </c>
      <c r="F596" s="95" t="str">
        <f t="shared" si="48"/>
        <v>2022 12</v>
      </c>
      <c r="G596" s="96" t="s">
        <v>5</v>
      </c>
      <c r="H596" s="161" t="s">
        <v>2051</v>
      </c>
      <c r="I596" s="97" t="s">
        <v>2052</v>
      </c>
      <c r="J596" s="97" t="s">
        <v>3097</v>
      </c>
      <c r="K596" s="29">
        <v>914.2</v>
      </c>
      <c r="L596" s="29"/>
      <c r="M596" s="30">
        <f>IFERROR(VLOOKUP($A596,HeadJournal!$A$1:$J$890,COLUMN(HeadJournal!I$1),0)*($K596+$L596)/(SUMIF($A:$A,$A596,$K:$K)+SUMIF($A:$A,$A596,$L:$L)),0)</f>
        <v>0</v>
      </c>
      <c r="N596" s="30">
        <f>IFERROR((VLOOKUP($A596,HeadJournal!$A$1:$K$890,COLUMN(HeadJournal!K$1),0)-VLOOKUP($A596,HeadJournal!$A$1:$K$890,COLUMN(HeadJournal!J$1),0))*($K596+$L596)/(SUMIF($A:$A,$A596,$K:$K)+SUMIF($A:$A,$A596,$L:$L)),0)</f>
        <v>-0.2405156537753223</v>
      </c>
      <c r="O596" s="30">
        <f>IFERROR((VLOOKUP($A596,HeadJournal!$A$1:$L$890,COLUMN(HeadJournal!L$1),0)*($K596+$L596)/(SUMIF($A:$A,$A596,$K:$K)+SUMIF($A:$A,$A596,$L:$L)))/VLOOKUP($A596,HeadJournal!$A$1:$L$890,COLUMN(HeadJournal!H$1),0),0)</f>
        <v>0</v>
      </c>
      <c r="P596" s="30">
        <f>IFERROR(SUM(K596:O596)*VLOOKUP($A596,HeadJournal!$A$1:$L$890,COLUMN(HeadJournal!H$1),0),0)</f>
        <v>913.95948434622471</v>
      </c>
      <c r="Q596" s="29">
        <v>2300</v>
      </c>
      <c r="R596" s="31">
        <v>45004</v>
      </c>
      <c r="S596" s="31" t="s">
        <v>3121</v>
      </c>
      <c r="T596" s="95" t="str">
        <f t="shared" si="49"/>
        <v>2023 03</v>
      </c>
      <c r="U596" s="32">
        <f t="shared" si="46"/>
        <v>1386.0405156537754</v>
      </c>
      <c r="V596" s="22">
        <f t="shared" si="47"/>
        <v>1.5165229306036916</v>
      </c>
      <c r="X596" s="33"/>
      <c r="Y596" s="33"/>
    </row>
    <row r="597" spans="1:25" x14ac:dyDescent="0.2">
      <c r="A597" s="93" t="s">
        <v>290</v>
      </c>
      <c r="B597" s="94">
        <f>IFERROR(VLOOKUP($A597,HeadJournal!$A$1:$NTR$890,COLUMN(HeadJournal!B$1),0),"")</f>
        <v>0</v>
      </c>
      <c r="C597" s="94" t="str">
        <f>IFERROR(VLOOKUP($A597,HeadJournal!$A$1:$NTR$890,COLUMN(HeadJournal!C$1),0),"")</f>
        <v>Roman</v>
      </c>
      <c r="D597" s="125" t="str">
        <f>IFERROR(VLOOKUP($A597,HeadJournal!$A$1:$NTR$890,COLUMN(HeadJournal!D$1),0),"")</f>
        <v>Доставлен</v>
      </c>
      <c r="E597" s="95">
        <f>IFERROR(VLOOKUP($A597,HeadJournal!$A$1:$NTR$890,COLUMN(HeadJournal!G$1),0),"")</f>
        <v>44915</v>
      </c>
      <c r="F597" s="95" t="str">
        <f t="shared" si="48"/>
        <v>2022 12</v>
      </c>
      <c r="G597" s="96" t="s">
        <v>5</v>
      </c>
      <c r="H597" s="175" t="s">
        <v>3639</v>
      </c>
      <c r="I597" s="176" t="s">
        <v>2039</v>
      </c>
      <c r="J597" s="97" t="s">
        <v>3683</v>
      </c>
      <c r="K597" s="29">
        <v>532</v>
      </c>
      <c r="L597" s="29"/>
      <c r="M597" s="30">
        <f>IFERROR(VLOOKUP($A597,HeadJournal!$A$1:$J$890,COLUMN(HeadJournal!I$1),0)*($K597+$L597)/(SUMIF($A:$A,$A597,$K:$K)+SUMIF($A:$A,$A597,$L:$L)),0)</f>
        <v>0</v>
      </c>
      <c r="N597" s="30">
        <f>IFERROR((VLOOKUP($A597,HeadJournal!$A$1:$K$890,COLUMN(HeadJournal!K$1),0)-VLOOKUP($A597,HeadJournal!$A$1:$K$890,COLUMN(HeadJournal!J$1),0))*($K597+$L597)/(SUMIF($A:$A,$A597,$K:$K)+SUMIF($A:$A,$A597,$L:$L)),0)</f>
        <v>-0.13996316758747698</v>
      </c>
      <c r="O597" s="30">
        <f>IFERROR((VLOOKUP($A597,HeadJournal!$A$1:$L$890,COLUMN(HeadJournal!L$1),0)*($K597+$L597)/(SUMIF($A:$A,$A597,$K:$K)+SUMIF($A:$A,$A597,$L:$L)))/VLOOKUP($A597,HeadJournal!$A$1:$L$890,COLUMN(HeadJournal!H$1),0),0)</f>
        <v>0</v>
      </c>
      <c r="P597" s="30">
        <f>IFERROR(SUM(K597:O597)*VLOOKUP($A597,HeadJournal!$A$1:$L$890,COLUMN(HeadJournal!H$1),0),0)</f>
        <v>531.86003683241256</v>
      </c>
      <c r="Q597" s="29">
        <v>1600</v>
      </c>
      <c r="R597" s="31">
        <v>44942</v>
      </c>
      <c r="S597" s="31" t="s">
        <v>3121</v>
      </c>
      <c r="T597" s="95" t="str">
        <f t="shared" si="49"/>
        <v>2023 01</v>
      </c>
      <c r="U597" s="32">
        <f t="shared" si="46"/>
        <v>1068.1399631675874</v>
      </c>
      <c r="V597" s="22">
        <f t="shared" si="47"/>
        <v>2.0083102493074789</v>
      </c>
      <c r="X597" s="33"/>
      <c r="Y597" s="33"/>
    </row>
    <row r="598" spans="1:25" x14ac:dyDescent="0.2">
      <c r="A598" s="93" t="s">
        <v>290</v>
      </c>
      <c r="B598" s="94">
        <f>IFERROR(VLOOKUP($A598,HeadJournal!$A$1:$NTR$890,COLUMN(HeadJournal!B$1),0),"")</f>
        <v>0</v>
      </c>
      <c r="C598" s="94" t="str">
        <f>IFERROR(VLOOKUP($A598,HeadJournal!$A$1:$NTR$890,COLUMN(HeadJournal!C$1),0),"")</f>
        <v>Roman</v>
      </c>
      <c r="D598" s="125" t="str">
        <f>IFERROR(VLOOKUP($A598,HeadJournal!$A$1:$NTR$890,COLUMN(HeadJournal!D$1),0),"")</f>
        <v>Доставлен</v>
      </c>
      <c r="E598" s="95">
        <f>IFERROR(VLOOKUP($A598,HeadJournal!$A$1:$NTR$890,COLUMN(HeadJournal!G$1),0),"")</f>
        <v>44915</v>
      </c>
      <c r="F598" s="95" t="str">
        <f t="shared" si="48"/>
        <v>2022 12</v>
      </c>
      <c r="G598" s="96" t="s">
        <v>5</v>
      </c>
      <c r="H598" s="161" t="s">
        <v>3011</v>
      </c>
      <c r="I598" s="97" t="s">
        <v>2052</v>
      </c>
      <c r="J598" s="97" t="s">
        <v>3012</v>
      </c>
      <c r="K598" s="29">
        <v>280</v>
      </c>
      <c r="L598" s="29"/>
      <c r="M598" s="30">
        <f>IFERROR(VLOOKUP($A598,HeadJournal!$A$1:$J$890,COLUMN(HeadJournal!I$1),0)*($K598+$L598)/(SUMIF($A:$A,$A598,$K:$K)+SUMIF($A:$A,$A598,$L:$L)),0)</f>
        <v>0</v>
      </c>
      <c r="N598" s="30">
        <f>IFERROR((VLOOKUP($A598,HeadJournal!$A$1:$K$890,COLUMN(HeadJournal!K$1),0)-VLOOKUP($A598,HeadJournal!$A$1:$K$890,COLUMN(HeadJournal!J$1),0))*($K598+$L598)/(SUMIF($A:$A,$A598,$K:$K)+SUMIF($A:$A,$A598,$L:$L)),0)</f>
        <v>-7.3664825046040522E-2</v>
      </c>
      <c r="O598" s="30">
        <f>IFERROR((VLOOKUP($A598,HeadJournal!$A$1:$L$890,COLUMN(HeadJournal!L$1),0)*($K598+$L598)/(SUMIF($A:$A,$A598,$K:$K)+SUMIF($A:$A,$A598,$L:$L)))/VLOOKUP($A598,HeadJournal!$A$1:$L$890,COLUMN(HeadJournal!H$1),0),0)</f>
        <v>0</v>
      </c>
      <c r="P598" s="30">
        <f>IFERROR(SUM(K598:O598)*VLOOKUP($A598,HeadJournal!$A$1:$L$890,COLUMN(HeadJournal!H$1),0),0)</f>
        <v>279.92633517495398</v>
      </c>
      <c r="Q598" s="29">
        <v>700</v>
      </c>
      <c r="R598" s="31">
        <v>44917</v>
      </c>
      <c r="S598" s="31" t="s">
        <v>3121</v>
      </c>
      <c r="T598" s="95" t="str">
        <f t="shared" si="49"/>
        <v>2022 12</v>
      </c>
      <c r="U598" s="32">
        <f t="shared" si="46"/>
        <v>420.07366482504602</v>
      </c>
      <c r="V598" s="22">
        <f t="shared" si="47"/>
        <v>1.5006578947368419</v>
      </c>
      <c r="X598" s="33"/>
      <c r="Y598" s="33"/>
    </row>
    <row r="599" spans="1:25" x14ac:dyDescent="0.2">
      <c r="A599" s="93" t="s">
        <v>290</v>
      </c>
      <c r="B599" s="94">
        <f>IFERROR(VLOOKUP($A599,HeadJournal!$A$1:$NTR$890,COLUMN(HeadJournal!B$1),0),"")</f>
        <v>0</v>
      </c>
      <c r="C599" s="94" t="str">
        <f>IFERROR(VLOOKUP($A599,HeadJournal!$A$1:$NTR$890,COLUMN(HeadJournal!C$1),0),"")</f>
        <v>Roman</v>
      </c>
      <c r="D599" s="125" t="str">
        <f>IFERROR(VLOOKUP($A599,HeadJournal!$A$1:$NTR$890,COLUMN(HeadJournal!D$1),0),"")</f>
        <v>Доставлен</v>
      </c>
      <c r="E599" s="95">
        <f>IFERROR(VLOOKUP($A599,HeadJournal!$A$1:$NTR$890,COLUMN(HeadJournal!G$1),0),"")</f>
        <v>44915</v>
      </c>
      <c r="F599" s="95" t="str">
        <f t="shared" si="48"/>
        <v>2022 12</v>
      </c>
      <c r="G599" s="96" t="s">
        <v>5</v>
      </c>
      <c r="H599" s="161" t="s">
        <v>3011</v>
      </c>
      <c r="I599" s="97" t="s">
        <v>2052</v>
      </c>
      <c r="J599" s="97" t="s">
        <v>3012</v>
      </c>
      <c r="K599" s="29">
        <v>280</v>
      </c>
      <c r="L599" s="29"/>
      <c r="M599" s="30">
        <f>IFERROR(VLOOKUP($A599,HeadJournal!$A$1:$J$890,COLUMN(HeadJournal!I$1),0)*($K599+$L599)/(SUMIF($A:$A,$A599,$K:$K)+SUMIF($A:$A,$A599,$L:$L)),0)</f>
        <v>0</v>
      </c>
      <c r="N599" s="30">
        <f>IFERROR((VLOOKUP($A599,HeadJournal!$A$1:$K$890,COLUMN(HeadJournal!K$1),0)-VLOOKUP($A599,HeadJournal!$A$1:$K$890,COLUMN(HeadJournal!J$1),0))*($K599+$L599)/(SUMIF($A:$A,$A599,$K:$K)+SUMIF($A:$A,$A599,$L:$L)),0)</f>
        <v>-7.3664825046040522E-2</v>
      </c>
      <c r="O599" s="30">
        <f>IFERROR((VLOOKUP($A599,HeadJournal!$A$1:$L$890,COLUMN(HeadJournal!L$1),0)*($K599+$L599)/(SUMIF($A:$A,$A599,$K:$K)+SUMIF($A:$A,$A599,$L:$L)))/VLOOKUP($A599,HeadJournal!$A$1:$L$890,COLUMN(HeadJournal!H$1),0),0)</f>
        <v>0</v>
      </c>
      <c r="P599" s="30">
        <f>IFERROR(SUM(K599:O599)*VLOOKUP($A599,HeadJournal!$A$1:$L$890,COLUMN(HeadJournal!H$1),0),0)</f>
        <v>279.92633517495398</v>
      </c>
      <c r="Q599" s="29">
        <v>800</v>
      </c>
      <c r="R599" s="31">
        <v>44936</v>
      </c>
      <c r="S599" s="31" t="s">
        <v>3121</v>
      </c>
      <c r="T599" s="95" t="str">
        <f t="shared" si="49"/>
        <v>2023 01</v>
      </c>
      <c r="U599" s="32">
        <f t="shared" si="46"/>
        <v>520.07366482504608</v>
      </c>
      <c r="V599" s="22">
        <f t="shared" si="47"/>
        <v>1.8578947368421053</v>
      </c>
      <c r="X599" s="33"/>
      <c r="Y599" s="33"/>
    </row>
    <row r="600" spans="1:25" x14ac:dyDescent="0.2">
      <c r="A600" s="93" t="s">
        <v>290</v>
      </c>
      <c r="B600" s="94">
        <f>IFERROR(VLOOKUP($A600,HeadJournal!$A$1:$NTR$890,COLUMN(HeadJournal!B$1),0),"")</f>
        <v>0</v>
      </c>
      <c r="C600" s="94" t="str">
        <f>IFERROR(VLOOKUP($A600,HeadJournal!$A$1:$NTR$890,COLUMN(HeadJournal!C$1),0),"")</f>
        <v>Roman</v>
      </c>
      <c r="D600" s="125" t="str">
        <f>IFERROR(VLOOKUP($A600,HeadJournal!$A$1:$NTR$890,COLUMN(HeadJournal!D$1),0),"")</f>
        <v>Доставлен</v>
      </c>
      <c r="E600" s="95">
        <f>IFERROR(VLOOKUP($A600,HeadJournal!$A$1:$NTR$890,COLUMN(HeadJournal!G$1),0),"")</f>
        <v>44915</v>
      </c>
      <c r="F600" s="95" t="str">
        <f t="shared" si="48"/>
        <v>2022 12</v>
      </c>
      <c r="G600" s="96" t="s">
        <v>5</v>
      </c>
      <c r="H600" s="161" t="s">
        <v>3011</v>
      </c>
      <c r="I600" s="97" t="s">
        <v>2052</v>
      </c>
      <c r="J600" s="97" t="s">
        <v>3012</v>
      </c>
      <c r="K600" s="29">
        <v>280</v>
      </c>
      <c r="L600" s="29"/>
      <c r="M600" s="30">
        <f>IFERROR(VLOOKUP($A600,HeadJournal!$A$1:$J$890,COLUMN(HeadJournal!I$1),0)*($K600+$L600)/(SUMIF($A:$A,$A600,$K:$K)+SUMIF($A:$A,$A600,$L:$L)),0)</f>
        <v>0</v>
      </c>
      <c r="N600" s="30">
        <f>IFERROR((VLOOKUP($A600,HeadJournal!$A$1:$K$890,COLUMN(HeadJournal!K$1),0)-VLOOKUP($A600,HeadJournal!$A$1:$K$890,COLUMN(HeadJournal!J$1),0))*($K600+$L600)/(SUMIF($A:$A,$A600,$K:$K)+SUMIF($A:$A,$A600,$L:$L)),0)</f>
        <v>-7.3664825046040522E-2</v>
      </c>
      <c r="O600" s="30">
        <f>IFERROR((VLOOKUP($A600,HeadJournal!$A$1:$L$890,COLUMN(HeadJournal!L$1),0)*($K600+$L600)/(SUMIF($A:$A,$A600,$K:$K)+SUMIF($A:$A,$A600,$L:$L)))/VLOOKUP($A600,HeadJournal!$A$1:$L$890,COLUMN(HeadJournal!H$1),0),0)</f>
        <v>0</v>
      </c>
      <c r="P600" s="30">
        <f>IFERROR(SUM(K600:O600)*VLOOKUP($A600,HeadJournal!$A$1:$L$890,COLUMN(HeadJournal!H$1),0),0)</f>
        <v>279.92633517495398</v>
      </c>
      <c r="Q600" s="29">
        <v>700</v>
      </c>
      <c r="R600" s="31">
        <v>44939</v>
      </c>
      <c r="S600" s="31" t="s">
        <v>3121</v>
      </c>
      <c r="T600" s="95" t="str">
        <f t="shared" si="49"/>
        <v>2023 01</v>
      </c>
      <c r="U600" s="32">
        <f t="shared" si="46"/>
        <v>420.07366482504602</v>
      </c>
      <c r="V600" s="22">
        <f t="shared" si="47"/>
        <v>1.5006578947368419</v>
      </c>
      <c r="X600" s="33"/>
      <c r="Y600" s="33"/>
    </row>
    <row r="601" spans="1:25" x14ac:dyDescent="0.2">
      <c r="A601" s="93" t="s">
        <v>290</v>
      </c>
      <c r="B601" s="94">
        <f>IFERROR(VLOOKUP($A601,HeadJournal!$A$1:$NTR$890,COLUMN(HeadJournal!B$1),0),"")</f>
        <v>0</v>
      </c>
      <c r="C601" s="94" t="str">
        <f>IFERROR(VLOOKUP($A601,HeadJournal!$A$1:$NTR$890,COLUMN(HeadJournal!C$1),0),"")</f>
        <v>Roman</v>
      </c>
      <c r="D601" s="125" t="str">
        <f>IFERROR(VLOOKUP($A601,HeadJournal!$A$1:$NTR$890,COLUMN(HeadJournal!D$1),0),"")</f>
        <v>Доставлен</v>
      </c>
      <c r="E601" s="95">
        <f>IFERROR(VLOOKUP($A601,HeadJournal!$A$1:$NTR$890,COLUMN(HeadJournal!G$1),0),"")</f>
        <v>44915</v>
      </c>
      <c r="F601" s="95" t="str">
        <f t="shared" si="48"/>
        <v>2022 12</v>
      </c>
      <c r="G601" s="96" t="s">
        <v>5</v>
      </c>
      <c r="H601" s="160" t="str">
        <f>RIGHT(Journal!$J601,9)</f>
        <v>LEX-18279</v>
      </c>
      <c r="I601" s="96" t="str">
        <f t="shared" si="50"/>
        <v>Life Extension</v>
      </c>
      <c r="J601" s="97" t="s">
        <v>291</v>
      </c>
      <c r="K601" s="29">
        <v>523.6</v>
      </c>
      <c r="L601" s="29"/>
      <c r="M601" s="30">
        <f>IFERROR(VLOOKUP($A601,HeadJournal!$A$1:$J$890,COLUMN(HeadJournal!I$1),0)*($K601+$L601)/(SUMIF($A:$A,$A601,$K:$K)+SUMIF($A:$A,$A601,$L:$L)),0)</f>
        <v>0</v>
      </c>
      <c r="N601" s="30">
        <f>IFERROR((VLOOKUP($A601,HeadJournal!$A$1:$K$890,COLUMN(HeadJournal!K$1),0)-VLOOKUP($A601,HeadJournal!$A$1:$K$890,COLUMN(HeadJournal!J$1),0))*($K601+$L601)/(SUMIF($A:$A,$A601,$K:$K)+SUMIF($A:$A,$A601,$L:$L)),0)</f>
        <v>-0.13775322283609576</v>
      </c>
      <c r="O601" s="30">
        <f>IFERROR((VLOOKUP($A601,HeadJournal!$A$1:$L$890,COLUMN(HeadJournal!L$1),0)*($K601+$L601)/(SUMIF($A:$A,$A601,$K:$K)+SUMIF($A:$A,$A601,$L:$L)))/VLOOKUP($A601,HeadJournal!$A$1:$L$890,COLUMN(HeadJournal!H$1),0),0)</f>
        <v>0</v>
      </c>
      <c r="P601" s="30">
        <f>IFERROR(SUM(K601:O601)*VLOOKUP($A601,HeadJournal!$A$1:$L$890,COLUMN(HeadJournal!H$1),0),0)</f>
        <v>523.46224677716395</v>
      </c>
      <c r="Q601" s="29">
        <v>1500</v>
      </c>
      <c r="R601" s="31">
        <v>44966</v>
      </c>
      <c r="S601" s="31" t="s">
        <v>3121</v>
      </c>
      <c r="T601" s="95" t="str">
        <f t="shared" si="49"/>
        <v>2023 02</v>
      </c>
      <c r="U601" s="32">
        <f t="shared" si="46"/>
        <v>976.53775322283605</v>
      </c>
      <c r="V601" s="22">
        <f t="shared" si="47"/>
        <v>1.8655361666197576</v>
      </c>
      <c r="X601" s="33"/>
      <c r="Y601" s="33"/>
    </row>
    <row r="602" spans="1:25" x14ac:dyDescent="0.2">
      <c r="A602" s="93" t="s">
        <v>290</v>
      </c>
      <c r="B602" s="94">
        <f>IFERROR(VLOOKUP($A602,HeadJournal!$A$1:$NTR$890,COLUMN(HeadJournal!B$1),0),"")</f>
        <v>0</v>
      </c>
      <c r="C602" s="94" t="str">
        <f>IFERROR(VLOOKUP($A602,HeadJournal!$A$1:$NTR$890,COLUMN(HeadJournal!C$1),0),"")</f>
        <v>Roman</v>
      </c>
      <c r="D602" s="125" t="str">
        <f>IFERROR(VLOOKUP($A602,HeadJournal!$A$1:$NTR$890,COLUMN(HeadJournal!D$1),0),"")</f>
        <v>Доставлен</v>
      </c>
      <c r="E602" s="95">
        <f>IFERROR(VLOOKUP($A602,HeadJournal!$A$1:$NTR$890,COLUMN(HeadJournal!G$1),0),"")</f>
        <v>44915</v>
      </c>
      <c r="F602" s="95" t="str">
        <f t="shared" si="48"/>
        <v>2022 12</v>
      </c>
      <c r="G602" s="96" t="s">
        <v>5</v>
      </c>
      <c r="H602" s="161" t="s">
        <v>2127</v>
      </c>
      <c r="I602" s="97" t="s">
        <v>2125</v>
      </c>
      <c r="J602" s="97" t="s">
        <v>2128</v>
      </c>
      <c r="K602" s="29">
        <v>463.4</v>
      </c>
      <c r="L602" s="29"/>
      <c r="M602" s="30">
        <f>IFERROR(VLOOKUP($A602,HeadJournal!$A$1:$J$890,COLUMN(HeadJournal!I$1),0)*($K602+$L602)/(SUMIF($A:$A,$A602,$K:$K)+SUMIF($A:$A,$A602,$L:$L)),0)</f>
        <v>0</v>
      </c>
      <c r="N602" s="30">
        <f>IFERROR((VLOOKUP($A602,HeadJournal!$A$1:$K$890,COLUMN(HeadJournal!K$1),0)-VLOOKUP($A602,HeadJournal!$A$1:$K$890,COLUMN(HeadJournal!J$1),0))*($K602+$L602)/(SUMIF($A:$A,$A602,$K:$K)+SUMIF($A:$A,$A602,$L:$L)),0)</f>
        <v>-0.12191528545119705</v>
      </c>
      <c r="O602" s="30">
        <f>IFERROR((VLOOKUP($A602,HeadJournal!$A$1:$L$890,COLUMN(HeadJournal!L$1),0)*($K602+$L602)/(SUMIF($A:$A,$A602,$K:$K)+SUMIF($A:$A,$A602,$L:$L)))/VLOOKUP($A602,HeadJournal!$A$1:$L$890,COLUMN(HeadJournal!H$1),0),0)</f>
        <v>0</v>
      </c>
      <c r="P602" s="30">
        <f>IFERROR(SUM(K602:O602)*VLOOKUP($A602,HeadJournal!$A$1:$L$890,COLUMN(HeadJournal!H$1),0),0)</f>
        <v>463.27808471454875</v>
      </c>
      <c r="Q602" s="29">
        <v>1000</v>
      </c>
      <c r="R602" s="31">
        <v>44932</v>
      </c>
      <c r="S602" s="31" t="s">
        <v>3121</v>
      </c>
      <c r="T602" s="95" t="str">
        <f t="shared" si="49"/>
        <v>2023 01</v>
      </c>
      <c r="U602" s="32">
        <f t="shared" si="46"/>
        <v>536.72191528545125</v>
      </c>
      <c r="V602" s="22">
        <f t="shared" si="47"/>
        <v>1.1585307680076327</v>
      </c>
      <c r="X602" s="33"/>
      <c r="Y602" s="33"/>
    </row>
    <row r="603" spans="1:25" x14ac:dyDescent="0.2">
      <c r="A603" s="93" t="s">
        <v>290</v>
      </c>
      <c r="B603" s="94">
        <f>IFERROR(VLOOKUP($A603,HeadJournal!$A$1:$NTR$890,COLUMN(HeadJournal!B$1),0),"")</f>
        <v>0</v>
      </c>
      <c r="C603" s="94" t="str">
        <f>IFERROR(VLOOKUP($A603,HeadJournal!$A$1:$NTR$890,COLUMN(HeadJournal!C$1),0),"")</f>
        <v>Roman</v>
      </c>
      <c r="D603" s="125" t="str">
        <f>IFERROR(VLOOKUP($A603,HeadJournal!$A$1:$NTR$890,COLUMN(HeadJournal!D$1),0),"")</f>
        <v>Доставлен</v>
      </c>
      <c r="E603" s="95">
        <f>IFERROR(VLOOKUP($A603,HeadJournal!$A$1:$NTR$890,COLUMN(HeadJournal!G$1),0),"")</f>
        <v>44915</v>
      </c>
      <c r="F603" s="95" t="str">
        <f t="shared" si="48"/>
        <v>2022 12</v>
      </c>
      <c r="G603" s="96" t="s">
        <v>7</v>
      </c>
      <c r="H603" s="160" t="s">
        <v>3730</v>
      </c>
      <c r="I603" s="96" t="str">
        <f t="shared" si="50"/>
        <v>EYENLIP</v>
      </c>
      <c r="J603" s="97" t="s">
        <v>292</v>
      </c>
      <c r="K603" s="29">
        <v>28</v>
      </c>
      <c r="L603" s="29"/>
      <c r="M603" s="30">
        <f>IFERROR(VLOOKUP($A603,HeadJournal!$A$1:$J$890,COLUMN(HeadJournal!I$1),0)*($K603+$L603)/(SUMIF($A:$A,$A603,$K:$K)+SUMIF($A:$A,$A603,$L:$L)),0)</f>
        <v>0</v>
      </c>
      <c r="N603" s="30">
        <f>IFERROR((VLOOKUP($A603,HeadJournal!$A$1:$K$890,COLUMN(HeadJournal!K$1),0)-VLOOKUP($A603,HeadJournal!$A$1:$K$890,COLUMN(HeadJournal!J$1),0))*($K603+$L603)/(SUMIF($A:$A,$A603,$K:$K)+SUMIF($A:$A,$A603,$L:$L)),0)</f>
        <v>-7.3664825046040518E-3</v>
      </c>
      <c r="O603" s="30">
        <f>IFERROR((VLOOKUP($A603,HeadJournal!$A$1:$L$890,COLUMN(HeadJournal!L$1),0)*($K603+$L603)/(SUMIF($A:$A,$A603,$K:$K)+SUMIF($A:$A,$A603,$L:$L)))/VLOOKUP($A603,HeadJournal!$A$1:$L$890,COLUMN(HeadJournal!H$1),0),0)</f>
        <v>0</v>
      </c>
      <c r="P603" s="30">
        <f>IFERROR(SUM(K603:O603)*VLOOKUP($A603,HeadJournal!$A$1:$L$890,COLUMN(HeadJournal!H$1),0),0)</f>
        <v>27.992633517495396</v>
      </c>
      <c r="Q603" s="29">
        <v>70</v>
      </c>
      <c r="R603" s="31">
        <v>44919</v>
      </c>
      <c r="S603" s="31" t="s">
        <v>3121</v>
      </c>
      <c r="T603" s="95" t="str">
        <f t="shared" si="49"/>
        <v>2022 12</v>
      </c>
      <c r="U603" s="32">
        <f t="shared" si="46"/>
        <v>42.007366482504608</v>
      </c>
      <c r="V603" s="22">
        <f t="shared" si="47"/>
        <v>1.5006578947368423</v>
      </c>
      <c r="X603" s="33"/>
      <c r="Y603" s="33"/>
    </row>
    <row r="604" spans="1:25" x14ac:dyDescent="0.2">
      <c r="A604" s="93" t="s">
        <v>290</v>
      </c>
      <c r="B604" s="94">
        <f>IFERROR(VLOOKUP($A604,HeadJournal!$A$1:$NTR$890,COLUMN(HeadJournal!B$1),0),"")</f>
        <v>0</v>
      </c>
      <c r="C604" s="94" t="str">
        <f>IFERROR(VLOOKUP($A604,HeadJournal!$A$1:$NTR$890,COLUMN(HeadJournal!C$1),0),"")</f>
        <v>Roman</v>
      </c>
      <c r="D604" s="125" t="str">
        <f>IFERROR(VLOOKUP($A604,HeadJournal!$A$1:$NTR$890,COLUMN(HeadJournal!D$1),0),"")</f>
        <v>Доставлен</v>
      </c>
      <c r="E604" s="95">
        <f>IFERROR(VLOOKUP($A604,HeadJournal!$A$1:$NTR$890,COLUMN(HeadJournal!G$1),0),"")</f>
        <v>44915</v>
      </c>
      <c r="F604" s="95" t="str">
        <f t="shared" si="48"/>
        <v>2022 12</v>
      </c>
      <c r="G604" s="96" t="s">
        <v>7</v>
      </c>
      <c r="H604" s="160" t="s">
        <v>3730</v>
      </c>
      <c r="I604" s="96" t="str">
        <f t="shared" si="50"/>
        <v>EYENLIP</v>
      </c>
      <c r="J604" s="97" t="s">
        <v>292</v>
      </c>
      <c r="K604" s="29">
        <v>28</v>
      </c>
      <c r="L604" s="29"/>
      <c r="M604" s="30">
        <f>IFERROR(VLOOKUP($A604,HeadJournal!$A$1:$J$890,COLUMN(HeadJournal!I$1),0)*($K604+$L604)/(SUMIF($A:$A,$A604,$K:$K)+SUMIF($A:$A,$A604,$L:$L)),0)</f>
        <v>0</v>
      </c>
      <c r="N604" s="30">
        <f>IFERROR((VLOOKUP($A604,HeadJournal!$A$1:$K$890,COLUMN(HeadJournal!K$1),0)-VLOOKUP($A604,HeadJournal!$A$1:$K$890,COLUMN(HeadJournal!J$1),0))*($K604+$L604)/(SUMIF($A:$A,$A604,$K:$K)+SUMIF($A:$A,$A604,$L:$L)),0)</f>
        <v>-7.3664825046040518E-3</v>
      </c>
      <c r="O604" s="30">
        <f>IFERROR((VLOOKUP($A604,HeadJournal!$A$1:$L$890,COLUMN(HeadJournal!L$1),0)*($K604+$L604)/(SUMIF($A:$A,$A604,$K:$K)+SUMIF($A:$A,$A604,$L:$L)))/VLOOKUP($A604,HeadJournal!$A$1:$L$890,COLUMN(HeadJournal!H$1),0),0)</f>
        <v>0</v>
      </c>
      <c r="P604" s="30">
        <f>IFERROR(SUM(K604:O604)*VLOOKUP($A604,HeadJournal!$A$1:$L$890,COLUMN(HeadJournal!H$1),0),0)</f>
        <v>27.992633517495396</v>
      </c>
      <c r="Q604" s="29">
        <v>70</v>
      </c>
      <c r="R604" s="31">
        <v>44919</v>
      </c>
      <c r="S604" s="31" t="s">
        <v>3121</v>
      </c>
      <c r="T604" s="95" t="str">
        <f t="shared" si="49"/>
        <v>2022 12</v>
      </c>
      <c r="U604" s="32">
        <f t="shared" si="46"/>
        <v>42.007366482504608</v>
      </c>
      <c r="V604" s="22">
        <f t="shared" si="47"/>
        <v>1.5006578947368423</v>
      </c>
      <c r="X604" s="33"/>
      <c r="Y604" s="33"/>
    </row>
    <row r="605" spans="1:25" x14ac:dyDescent="0.2">
      <c r="A605" s="93" t="s">
        <v>290</v>
      </c>
      <c r="B605" s="94">
        <f>IFERROR(VLOOKUP($A605,HeadJournal!$A$1:$NTR$890,COLUMN(HeadJournal!B$1),0),"")</f>
        <v>0</v>
      </c>
      <c r="C605" s="94" t="str">
        <f>IFERROR(VLOOKUP($A605,HeadJournal!$A$1:$NTR$890,COLUMN(HeadJournal!C$1),0),"")</f>
        <v>Roman</v>
      </c>
      <c r="D605" s="125" t="str">
        <f>IFERROR(VLOOKUP($A605,HeadJournal!$A$1:$NTR$890,COLUMN(HeadJournal!D$1),0),"")</f>
        <v>Доставлен</v>
      </c>
      <c r="E605" s="95">
        <f>IFERROR(VLOOKUP($A605,HeadJournal!$A$1:$NTR$890,COLUMN(HeadJournal!G$1),0),"")</f>
        <v>44915</v>
      </c>
      <c r="F605" s="95" t="str">
        <f t="shared" si="48"/>
        <v>2022 12</v>
      </c>
      <c r="G605" s="96" t="s">
        <v>7</v>
      </c>
      <c r="H605" s="160" t="s">
        <v>3730</v>
      </c>
      <c r="I605" s="96" t="str">
        <f t="shared" si="50"/>
        <v>EYENLIP</v>
      </c>
      <c r="J605" s="97" t="s">
        <v>292</v>
      </c>
      <c r="K605" s="29">
        <v>28</v>
      </c>
      <c r="L605" s="29"/>
      <c r="M605" s="30">
        <f>IFERROR(VLOOKUP($A605,HeadJournal!$A$1:$J$890,COLUMN(HeadJournal!I$1),0)*($K605+$L605)/(SUMIF($A:$A,$A605,$K:$K)+SUMIF($A:$A,$A605,$L:$L)),0)</f>
        <v>0</v>
      </c>
      <c r="N605" s="30">
        <f>IFERROR((VLOOKUP($A605,HeadJournal!$A$1:$K$890,COLUMN(HeadJournal!K$1),0)-VLOOKUP($A605,HeadJournal!$A$1:$K$890,COLUMN(HeadJournal!J$1),0))*($K605+$L605)/(SUMIF($A:$A,$A605,$K:$K)+SUMIF($A:$A,$A605,$L:$L)),0)</f>
        <v>-7.3664825046040518E-3</v>
      </c>
      <c r="O605" s="30">
        <f>IFERROR((VLOOKUP($A605,HeadJournal!$A$1:$L$890,COLUMN(HeadJournal!L$1),0)*($K605+$L605)/(SUMIF($A:$A,$A605,$K:$K)+SUMIF($A:$A,$A605,$L:$L)))/VLOOKUP($A605,HeadJournal!$A$1:$L$890,COLUMN(HeadJournal!H$1),0),0)</f>
        <v>0</v>
      </c>
      <c r="P605" s="30">
        <f>IFERROR(SUM(K605:O605)*VLOOKUP($A605,HeadJournal!$A$1:$L$890,COLUMN(HeadJournal!H$1),0),0)</f>
        <v>27.992633517495396</v>
      </c>
      <c r="Q605" s="29">
        <v>70</v>
      </c>
      <c r="R605" s="31">
        <v>44919</v>
      </c>
      <c r="S605" s="31" t="s">
        <v>3121</v>
      </c>
      <c r="T605" s="95" t="str">
        <f t="shared" si="49"/>
        <v>2022 12</v>
      </c>
      <c r="U605" s="32">
        <f t="shared" si="46"/>
        <v>42.007366482504608</v>
      </c>
      <c r="V605" s="22">
        <f t="shared" si="47"/>
        <v>1.5006578947368423</v>
      </c>
      <c r="X605" s="33"/>
      <c r="Y605" s="33"/>
    </row>
    <row r="606" spans="1:25" x14ac:dyDescent="0.2">
      <c r="A606" s="93" t="s">
        <v>290</v>
      </c>
      <c r="B606" s="94">
        <f>IFERROR(VLOOKUP($A606,HeadJournal!$A$1:$NTR$890,COLUMN(HeadJournal!B$1),0),"")</f>
        <v>0</v>
      </c>
      <c r="C606" s="94" t="str">
        <f>IFERROR(VLOOKUP($A606,HeadJournal!$A$1:$NTR$890,COLUMN(HeadJournal!C$1),0),"")</f>
        <v>Roman</v>
      </c>
      <c r="D606" s="125" t="str">
        <f>IFERROR(VLOOKUP($A606,HeadJournal!$A$1:$NTR$890,COLUMN(HeadJournal!D$1),0),"")</f>
        <v>Доставлен</v>
      </c>
      <c r="E606" s="95">
        <f>IFERROR(VLOOKUP($A606,HeadJournal!$A$1:$NTR$890,COLUMN(HeadJournal!G$1),0),"")</f>
        <v>44915</v>
      </c>
      <c r="F606" s="95" t="str">
        <f t="shared" si="48"/>
        <v>2022 12</v>
      </c>
      <c r="G606" s="96" t="s">
        <v>7</v>
      </c>
      <c r="H606" s="160" t="s">
        <v>3730</v>
      </c>
      <c r="I606" s="96" t="str">
        <f t="shared" si="50"/>
        <v>EYENLIP</v>
      </c>
      <c r="J606" s="97" t="s">
        <v>292</v>
      </c>
      <c r="K606" s="29">
        <v>28</v>
      </c>
      <c r="L606" s="29"/>
      <c r="M606" s="30">
        <f>IFERROR(VLOOKUP($A606,HeadJournal!$A$1:$J$890,COLUMN(HeadJournal!I$1),0)*($K606+$L606)/(SUMIF($A:$A,$A606,$K:$K)+SUMIF($A:$A,$A606,$L:$L)),0)</f>
        <v>0</v>
      </c>
      <c r="N606" s="30">
        <f>IFERROR((VLOOKUP($A606,HeadJournal!$A$1:$K$890,COLUMN(HeadJournal!K$1),0)-VLOOKUP($A606,HeadJournal!$A$1:$K$890,COLUMN(HeadJournal!J$1),0))*($K606+$L606)/(SUMIF($A:$A,$A606,$K:$K)+SUMIF($A:$A,$A606,$L:$L)),0)</f>
        <v>-7.3664825046040518E-3</v>
      </c>
      <c r="O606" s="30">
        <f>IFERROR((VLOOKUP($A606,HeadJournal!$A$1:$L$890,COLUMN(HeadJournal!L$1),0)*($K606+$L606)/(SUMIF($A:$A,$A606,$K:$K)+SUMIF($A:$A,$A606,$L:$L)))/VLOOKUP($A606,HeadJournal!$A$1:$L$890,COLUMN(HeadJournal!H$1),0),0)</f>
        <v>0</v>
      </c>
      <c r="P606" s="30">
        <f>IFERROR(SUM(K606:O606)*VLOOKUP($A606,HeadJournal!$A$1:$L$890,COLUMN(HeadJournal!H$1),0),0)</f>
        <v>27.992633517495396</v>
      </c>
      <c r="Q606" s="29">
        <v>70</v>
      </c>
      <c r="R606" s="31">
        <v>44919</v>
      </c>
      <c r="S606" s="31" t="s">
        <v>3121</v>
      </c>
      <c r="T606" s="95" t="str">
        <f t="shared" si="49"/>
        <v>2022 12</v>
      </c>
      <c r="U606" s="32">
        <f t="shared" si="46"/>
        <v>42.007366482504608</v>
      </c>
      <c r="V606" s="22">
        <f t="shared" si="47"/>
        <v>1.5006578947368423</v>
      </c>
      <c r="X606" s="33"/>
      <c r="Y606" s="33"/>
    </row>
    <row r="607" spans="1:25" x14ac:dyDescent="0.2">
      <c r="A607" s="93" t="s">
        <v>290</v>
      </c>
      <c r="B607" s="94">
        <f>IFERROR(VLOOKUP($A607,HeadJournal!$A$1:$NTR$890,COLUMN(HeadJournal!B$1),0),"")</f>
        <v>0</v>
      </c>
      <c r="C607" s="94" t="str">
        <f>IFERROR(VLOOKUP($A607,HeadJournal!$A$1:$NTR$890,COLUMN(HeadJournal!C$1),0),"")</f>
        <v>Roman</v>
      </c>
      <c r="D607" s="125" t="str">
        <f>IFERROR(VLOOKUP($A607,HeadJournal!$A$1:$NTR$890,COLUMN(HeadJournal!D$1),0),"")</f>
        <v>Доставлен</v>
      </c>
      <c r="E607" s="95">
        <f>IFERROR(VLOOKUP($A607,HeadJournal!$A$1:$NTR$890,COLUMN(HeadJournal!G$1),0),"")</f>
        <v>44915</v>
      </c>
      <c r="F607" s="95" t="str">
        <f t="shared" si="48"/>
        <v>2022 12</v>
      </c>
      <c r="G607" s="96" t="s">
        <v>7</v>
      </c>
      <c r="H607" s="160" t="s">
        <v>3730</v>
      </c>
      <c r="I607" s="96" t="str">
        <f t="shared" si="50"/>
        <v>EYENLIP</v>
      </c>
      <c r="J607" s="97" t="s">
        <v>292</v>
      </c>
      <c r="K607" s="29">
        <v>28</v>
      </c>
      <c r="L607" s="29"/>
      <c r="M607" s="30">
        <f>IFERROR(VLOOKUP($A607,HeadJournal!$A$1:$J$890,COLUMN(HeadJournal!I$1),0)*($K607+$L607)/(SUMIF($A:$A,$A607,$K:$K)+SUMIF($A:$A,$A607,$L:$L)),0)</f>
        <v>0</v>
      </c>
      <c r="N607" s="30">
        <f>IFERROR((VLOOKUP($A607,HeadJournal!$A$1:$K$890,COLUMN(HeadJournal!K$1),0)-VLOOKUP($A607,HeadJournal!$A$1:$K$890,COLUMN(HeadJournal!J$1),0))*($K607+$L607)/(SUMIF($A:$A,$A607,$K:$K)+SUMIF($A:$A,$A607,$L:$L)),0)</f>
        <v>-7.3664825046040518E-3</v>
      </c>
      <c r="O607" s="30">
        <f>IFERROR((VLOOKUP($A607,HeadJournal!$A$1:$L$890,COLUMN(HeadJournal!L$1),0)*($K607+$L607)/(SUMIF($A:$A,$A607,$K:$K)+SUMIF($A:$A,$A607,$L:$L)))/VLOOKUP($A607,HeadJournal!$A$1:$L$890,COLUMN(HeadJournal!H$1),0),0)</f>
        <v>0</v>
      </c>
      <c r="P607" s="30">
        <f>IFERROR(SUM(K607:O607)*VLOOKUP($A607,HeadJournal!$A$1:$L$890,COLUMN(HeadJournal!H$1),0),0)</f>
        <v>27.992633517495396</v>
      </c>
      <c r="Q607" s="29">
        <v>70</v>
      </c>
      <c r="R607" s="31">
        <v>44919</v>
      </c>
      <c r="S607" s="31" t="s">
        <v>3121</v>
      </c>
      <c r="T607" s="95" t="str">
        <f t="shared" si="49"/>
        <v>2022 12</v>
      </c>
      <c r="U607" s="32">
        <f t="shared" si="46"/>
        <v>42.007366482504608</v>
      </c>
      <c r="V607" s="22">
        <f t="shared" si="47"/>
        <v>1.5006578947368423</v>
      </c>
      <c r="X607" s="33"/>
      <c r="Y607" s="33"/>
    </row>
    <row r="608" spans="1:25" x14ac:dyDescent="0.2">
      <c r="A608" s="93" t="s">
        <v>290</v>
      </c>
      <c r="B608" s="94">
        <f>IFERROR(VLOOKUP($A608,HeadJournal!$A$1:$NTR$890,COLUMN(HeadJournal!B$1),0),"")</f>
        <v>0</v>
      </c>
      <c r="C608" s="94" t="str">
        <f>IFERROR(VLOOKUP($A608,HeadJournal!$A$1:$NTR$890,COLUMN(HeadJournal!C$1),0),"")</f>
        <v>Roman</v>
      </c>
      <c r="D608" s="125" t="str">
        <f>IFERROR(VLOOKUP($A608,HeadJournal!$A$1:$NTR$890,COLUMN(HeadJournal!D$1),0),"")</f>
        <v>Доставлен</v>
      </c>
      <c r="E608" s="95">
        <f>IFERROR(VLOOKUP($A608,HeadJournal!$A$1:$NTR$890,COLUMN(HeadJournal!G$1),0),"")</f>
        <v>44915</v>
      </c>
      <c r="F608" s="95" t="str">
        <f t="shared" si="48"/>
        <v>2022 12</v>
      </c>
      <c r="G608" s="96" t="s">
        <v>7</v>
      </c>
      <c r="H608" s="160" t="s">
        <v>3730</v>
      </c>
      <c r="I608" s="96" t="str">
        <f t="shared" si="50"/>
        <v>EYENLIP</v>
      </c>
      <c r="J608" s="97" t="s">
        <v>292</v>
      </c>
      <c r="K608" s="29">
        <v>28</v>
      </c>
      <c r="L608" s="29"/>
      <c r="M608" s="30">
        <f>IFERROR(VLOOKUP($A608,HeadJournal!$A$1:$J$890,COLUMN(HeadJournal!I$1),0)*($K608+$L608)/(SUMIF($A:$A,$A608,$K:$K)+SUMIF($A:$A,$A608,$L:$L)),0)</f>
        <v>0</v>
      </c>
      <c r="N608" s="30">
        <f>IFERROR((VLOOKUP($A608,HeadJournal!$A$1:$K$890,COLUMN(HeadJournal!K$1),0)-VLOOKUP($A608,HeadJournal!$A$1:$K$890,COLUMN(HeadJournal!J$1),0))*($K608+$L608)/(SUMIF($A:$A,$A608,$K:$K)+SUMIF($A:$A,$A608,$L:$L)),0)</f>
        <v>-7.3664825046040518E-3</v>
      </c>
      <c r="O608" s="30">
        <f>IFERROR((VLOOKUP($A608,HeadJournal!$A$1:$L$890,COLUMN(HeadJournal!L$1),0)*($K608+$L608)/(SUMIF($A:$A,$A608,$K:$K)+SUMIF($A:$A,$A608,$L:$L)))/VLOOKUP($A608,HeadJournal!$A$1:$L$890,COLUMN(HeadJournal!H$1),0),0)</f>
        <v>0</v>
      </c>
      <c r="P608" s="30">
        <f>IFERROR(SUM(K608:O608)*VLOOKUP($A608,HeadJournal!$A$1:$L$890,COLUMN(HeadJournal!H$1),0),0)</f>
        <v>27.992633517495396</v>
      </c>
      <c r="Q608" s="29">
        <v>70</v>
      </c>
      <c r="R608" s="31">
        <v>44919</v>
      </c>
      <c r="S608" s="31" t="s">
        <v>3121</v>
      </c>
      <c r="T608" s="95" t="str">
        <f t="shared" si="49"/>
        <v>2022 12</v>
      </c>
      <c r="U608" s="32">
        <f t="shared" si="46"/>
        <v>42.007366482504608</v>
      </c>
      <c r="V608" s="22">
        <f t="shared" si="47"/>
        <v>1.5006578947368423</v>
      </c>
      <c r="X608" s="33"/>
      <c r="Y608" s="33"/>
    </row>
    <row r="609" spans="1:25" x14ac:dyDescent="0.2">
      <c r="A609" s="93" t="s">
        <v>290</v>
      </c>
      <c r="B609" s="94">
        <f>IFERROR(VLOOKUP($A609,HeadJournal!$A$1:$NTR$890,COLUMN(HeadJournal!B$1),0),"")</f>
        <v>0</v>
      </c>
      <c r="C609" s="94" t="str">
        <f>IFERROR(VLOOKUP($A609,HeadJournal!$A$1:$NTR$890,COLUMN(HeadJournal!C$1),0),"")</f>
        <v>Roman</v>
      </c>
      <c r="D609" s="125" t="str">
        <f>IFERROR(VLOOKUP($A609,HeadJournal!$A$1:$NTR$890,COLUMN(HeadJournal!D$1),0),"")</f>
        <v>Доставлен</v>
      </c>
      <c r="E609" s="95">
        <f>IFERROR(VLOOKUP($A609,HeadJournal!$A$1:$NTR$890,COLUMN(HeadJournal!G$1),0),"")</f>
        <v>44915</v>
      </c>
      <c r="F609" s="95" t="str">
        <f t="shared" si="48"/>
        <v>2022 12</v>
      </c>
      <c r="G609" s="96" t="s">
        <v>7</v>
      </c>
      <c r="H609" s="160" t="s">
        <v>3730</v>
      </c>
      <c r="I609" s="96" t="str">
        <f t="shared" si="50"/>
        <v>EYENLIP</v>
      </c>
      <c r="J609" s="97" t="s">
        <v>292</v>
      </c>
      <c r="K609" s="29">
        <v>28</v>
      </c>
      <c r="L609" s="29"/>
      <c r="M609" s="30">
        <f>IFERROR(VLOOKUP($A609,HeadJournal!$A$1:$J$890,COLUMN(HeadJournal!I$1),0)*($K609+$L609)/(SUMIF($A:$A,$A609,$K:$K)+SUMIF($A:$A,$A609,$L:$L)),0)</f>
        <v>0</v>
      </c>
      <c r="N609" s="30">
        <f>IFERROR((VLOOKUP($A609,HeadJournal!$A$1:$K$890,COLUMN(HeadJournal!K$1),0)-VLOOKUP($A609,HeadJournal!$A$1:$K$890,COLUMN(HeadJournal!J$1),0))*($K609+$L609)/(SUMIF($A:$A,$A609,$K:$K)+SUMIF($A:$A,$A609,$L:$L)),0)</f>
        <v>-7.3664825046040518E-3</v>
      </c>
      <c r="O609" s="30">
        <f>IFERROR((VLOOKUP($A609,HeadJournal!$A$1:$L$890,COLUMN(HeadJournal!L$1),0)*($K609+$L609)/(SUMIF($A:$A,$A609,$K:$K)+SUMIF($A:$A,$A609,$L:$L)))/VLOOKUP($A609,HeadJournal!$A$1:$L$890,COLUMN(HeadJournal!H$1),0),0)</f>
        <v>0</v>
      </c>
      <c r="P609" s="30">
        <f>IFERROR(SUM(K609:O609)*VLOOKUP($A609,HeadJournal!$A$1:$L$890,COLUMN(HeadJournal!H$1),0),0)</f>
        <v>27.992633517495396</v>
      </c>
      <c r="Q609" s="29">
        <v>70</v>
      </c>
      <c r="R609" s="31">
        <v>44919</v>
      </c>
      <c r="S609" s="31" t="s">
        <v>3121</v>
      </c>
      <c r="T609" s="95" t="str">
        <f t="shared" si="49"/>
        <v>2022 12</v>
      </c>
      <c r="U609" s="32">
        <f t="shared" si="46"/>
        <v>42.007366482504608</v>
      </c>
      <c r="V609" s="22">
        <f t="shared" si="47"/>
        <v>1.5006578947368423</v>
      </c>
      <c r="X609" s="33"/>
      <c r="Y609" s="33"/>
    </row>
    <row r="610" spans="1:25" x14ac:dyDescent="0.2">
      <c r="A610" s="93" t="s">
        <v>290</v>
      </c>
      <c r="B610" s="94">
        <f>IFERROR(VLOOKUP($A610,HeadJournal!$A$1:$NTR$890,COLUMN(HeadJournal!B$1),0),"")</f>
        <v>0</v>
      </c>
      <c r="C610" s="94" t="str">
        <f>IFERROR(VLOOKUP($A610,HeadJournal!$A$1:$NTR$890,COLUMN(HeadJournal!C$1),0),"")</f>
        <v>Roman</v>
      </c>
      <c r="D610" s="125" t="str">
        <f>IFERROR(VLOOKUP($A610,HeadJournal!$A$1:$NTR$890,COLUMN(HeadJournal!D$1),0),"")</f>
        <v>Доставлен</v>
      </c>
      <c r="E610" s="95">
        <f>IFERROR(VLOOKUP($A610,HeadJournal!$A$1:$NTR$890,COLUMN(HeadJournal!G$1),0),"")</f>
        <v>44915</v>
      </c>
      <c r="F610" s="95" t="str">
        <f t="shared" si="48"/>
        <v>2022 12</v>
      </c>
      <c r="G610" s="96" t="s">
        <v>7</v>
      </c>
      <c r="H610" s="160" t="s">
        <v>3730</v>
      </c>
      <c r="I610" s="96" t="str">
        <f t="shared" si="50"/>
        <v>EYENLIP</v>
      </c>
      <c r="J610" s="97" t="s">
        <v>292</v>
      </c>
      <c r="K610" s="29">
        <v>28</v>
      </c>
      <c r="L610" s="29"/>
      <c r="M610" s="30">
        <f>IFERROR(VLOOKUP($A610,HeadJournal!$A$1:$J$890,COLUMN(HeadJournal!I$1),0)*($K610+$L610)/(SUMIF($A:$A,$A610,$K:$K)+SUMIF($A:$A,$A610,$L:$L)),0)</f>
        <v>0</v>
      </c>
      <c r="N610" s="30">
        <f>IFERROR((VLOOKUP($A610,HeadJournal!$A$1:$K$890,COLUMN(HeadJournal!K$1),0)-VLOOKUP($A610,HeadJournal!$A$1:$K$890,COLUMN(HeadJournal!J$1),0))*($K610+$L610)/(SUMIF($A:$A,$A610,$K:$K)+SUMIF($A:$A,$A610,$L:$L)),0)</f>
        <v>-7.3664825046040518E-3</v>
      </c>
      <c r="O610" s="30">
        <f>IFERROR((VLOOKUP($A610,HeadJournal!$A$1:$L$890,COLUMN(HeadJournal!L$1),0)*($K610+$L610)/(SUMIF($A:$A,$A610,$K:$K)+SUMIF($A:$A,$A610,$L:$L)))/VLOOKUP($A610,HeadJournal!$A$1:$L$890,COLUMN(HeadJournal!H$1),0),0)</f>
        <v>0</v>
      </c>
      <c r="P610" s="30">
        <f>IFERROR(SUM(K610:O610)*VLOOKUP($A610,HeadJournal!$A$1:$L$890,COLUMN(HeadJournal!H$1),0),0)</f>
        <v>27.992633517495396</v>
      </c>
      <c r="Q610" s="29">
        <v>70</v>
      </c>
      <c r="R610" s="31">
        <v>44919</v>
      </c>
      <c r="S610" s="31" t="s">
        <v>3121</v>
      </c>
      <c r="T610" s="95" t="str">
        <f t="shared" si="49"/>
        <v>2022 12</v>
      </c>
      <c r="U610" s="32">
        <f t="shared" si="46"/>
        <v>42.007366482504608</v>
      </c>
      <c r="V610" s="22">
        <f t="shared" si="47"/>
        <v>1.5006578947368423</v>
      </c>
      <c r="X610" s="33"/>
      <c r="Y610" s="33"/>
    </row>
    <row r="611" spans="1:25" x14ac:dyDescent="0.2">
      <c r="A611" s="93" t="s">
        <v>290</v>
      </c>
      <c r="B611" s="94">
        <f>IFERROR(VLOOKUP($A611,HeadJournal!$A$1:$NTR$890,COLUMN(HeadJournal!B$1),0),"")</f>
        <v>0</v>
      </c>
      <c r="C611" s="94" t="str">
        <f>IFERROR(VLOOKUP($A611,HeadJournal!$A$1:$NTR$890,COLUMN(HeadJournal!C$1),0),"")</f>
        <v>Roman</v>
      </c>
      <c r="D611" s="125" t="str">
        <f>IFERROR(VLOOKUP($A611,HeadJournal!$A$1:$NTR$890,COLUMN(HeadJournal!D$1),0),"")</f>
        <v>Доставлен</v>
      </c>
      <c r="E611" s="95">
        <f>IFERROR(VLOOKUP($A611,HeadJournal!$A$1:$NTR$890,COLUMN(HeadJournal!G$1),0),"")</f>
        <v>44915</v>
      </c>
      <c r="F611" s="95" t="str">
        <f t="shared" si="48"/>
        <v>2022 12</v>
      </c>
      <c r="G611" s="96" t="s">
        <v>7</v>
      </c>
      <c r="H611" s="160" t="s">
        <v>3730</v>
      </c>
      <c r="I611" s="96" t="str">
        <f t="shared" si="50"/>
        <v>EYENLIP</v>
      </c>
      <c r="J611" s="97" t="s">
        <v>292</v>
      </c>
      <c r="K611" s="29">
        <v>28</v>
      </c>
      <c r="L611" s="29"/>
      <c r="M611" s="30">
        <f>IFERROR(VLOOKUP($A611,HeadJournal!$A$1:$J$890,COLUMN(HeadJournal!I$1),0)*($K611+$L611)/(SUMIF($A:$A,$A611,$K:$K)+SUMIF($A:$A,$A611,$L:$L)),0)</f>
        <v>0</v>
      </c>
      <c r="N611" s="30">
        <f>IFERROR((VLOOKUP($A611,HeadJournal!$A$1:$K$890,COLUMN(HeadJournal!K$1),0)-VLOOKUP($A611,HeadJournal!$A$1:$K$890,COLUMN(HeadJournal!J$1),0))*($K611+$L611)/(SUMIF($A:$A,$A611,$K:$K)+SUMIF($A:$A,$A611,$L:$L)),0)</f>
        <v>-7.3664825046040518E-3</v>
      </c>
      <c r="O611" s="30">
        <f>IFERROR((VLOOKUP($A611,HeadJournal!$A$1:$L$890,COLUMN(HeadJournal!L$1),0)*($K611+$L611)/(SUMIF($A:$A,$A611,$K:$K)+SUMIF($A:$A,$A611,$L:$L)))/VLOOKUP($A611,HeadJournal!$A$1:$L$890,COLUMN(HeadJournal!H$1),0),0)</f>
        <v>0</v>
      </c>
      <c r="P611" s="30">
        <f>IFERROR(SUM(K611:O611)*VLOOKUP($A611,HeadJournal!$A$1:$L$890,COLUMN(HeadJournal!H$1),0),0)</f>
        <v>27.992633517495396</v>
      </c>
      <c r="Q611" s="29">
        <v>75</v>
      </c>
      <c r="R611" s="31">
        <v>44991</v>
      </c>
      <c r="S611" s="31" t="s">
        <v>3121</v>
      </c>
      <c r="T611" s="95" t="str">
        <f t="shared" si="49"/>
        <v>2023 03</v>
      </c>
      <c r="U611" s="32">
        <f t="shared" si="46"/>
        <v>47.007366482504608</v>
      </c>
      <c r="V611" s="22">
        <f t="shared" si="47"/>
        <v>1.6792763157894739</v>
      </c>
      <c r="X611" s="33"/>
      <c r="Y611" s="33"/>
    </row>
    <row r="612" spans="1:25" x14ac:dyDescent="0.2">
      <c r="A612" s="93" t="s">
        <v>290</v>
      </c>
      <c r="B612" s="94">
        <f>IFERROR(VLOOKUP($A612,HeadJournal!$A$1:$NTR$890,COLUMN(HeadJournal!B$1),0),"")</f>
        <v>0</v>
      </c>
      <c r="C612" s="94" t="str">
        <f>IFERROR(VLOOKUP($A612,HeadJournal!$A$1:$NTR$890,COLUMN(HeadJournal!C$1),0),"")</f>
        <v>Roman</v>
      </c>
      <c r="D612" s="125" t="str">
        <f>IFERROR(VLOOKUP($A612,HeadJournal!$A$1:$NTR$890,COLUMN(HeadJournal!D$1),0),"")</f>
        <v>Доставлен</v>
      </c>
      <c r="E612" s="95">
        <f>IFERROR(VLOOKUP($A612,HeadJournal!$A$1:$NTR$890,COLUMN(HeadJournal!G$1),0),"")</f>
        <v>44915</v>
      </c>
      <c r="F612" s="95" t="str">
        <f t="shared" si="48"/>
        <v>2022 12</v>
      </c>
      <c r="G612" s="96" t="s">
        <v>7</v>
      </c>
      <c r="H612" s="160" t="s">
        <v>3730</v>
      </c>
      <c r="I612" s="96" t="str">
        <f t="shared" si="50"/>
        <v>EYENLIP</v>
      </c>
      <c r="J612" s="97" t="s">
        <v>292</v>
      </c>
      <c r="K612" s="29">
        <v>28</v>
      </c>
      <c r="L612" s="29"/>
      <c r="M612" s="30">
        <f>IFERROR(VLOOKUP($A612,HeadJournal!$A$1:$J$890,COLUMN(HeadJournal!I$1),0)*($K612+$L612)/(SUMIF($A:$A,$A612,$K:$K)+SUMIF($A:$A,$A612,$L:$L)),0)</f>
        <v>0</v>
      </c>
      <c r="N612" s="30">
        <f>IFERROR((VLOOKUP($A612,HeadJournal!$A$1:$K$890,COLUMN(HeadJournal!K$1),0)-VLOOKUP($A612,HeadJournal!$A$1:$K$890,COLUMN(HeadJournal!J$1),0))*($K612+$L612)/(SUMIF($A:$A,$A612,$K:$K)+SUMIF($A:$A,$A612,$L:$L)),0)</f>
        <v>-7.3664825046040518E-3</v>
      </c>
      <c r="O612" s="30">
        <f>IFERROR((VLOOKUP($A612,HeadJournal!$A$1:$L$890,COLUMN(HeadJournal!L$1),0)*($K612+$L612)/(SUMIF($A:$A,$A612,$K:$K)+SUMIF($A:$A,$A612,$L:$L)))/VLOOKUP($A612,HeadJournal!$A$1:$L$890,COLUMN(HeadJournal!H$1),0),0)</f>
        <v>0</v>
      </c>
      <c r="P612" s="30">
        <f>IFERROR(SUM(K612:O612)*VLOOKUP($A612,HeadJournal!$A$1:$L$890,COLUMN(HeadJournal!H$1),0),0)</f>
        <v>27.992633517495396</v>
      </c>
      <c r="Q612" s="29">
        <v>75</v>
      </c>
      <c r="R612" s="31">
        <v>44992</v>
      </c>
      <c r="S612" s="31" t="s">
        <v>3121</v>
      </c>
      <c r="T612" s="95" t="str">
        <f t="shared" si="49"/>
        <v>2023 03</v>
      </c>
      <c r="U612" s="32">
        <f t="shared" si="46"/>
        <v>47.007366482504608</v>
      </c>
      <c r="V612" s="22">
        <f t="shared" si="47"/>
        <v>1.6792763157894739</v>
      </c>
      <c r="X612" s="33"/>
      <c r="Y612" s="33"/>
    </row>
    <row r="613" spans="1:25" x14ac:dyDescent="0.2">
      <c r="A613" s="93" t="s">
        <v>290</v>
      </c>
      <c r="B613" s="94">
        <f>IFERROR(VLOOKUP($A613,HeadJournal!$A$1:$NTR$890,COLUMN(HeadJournal!B$1),0),"")</f>
        <v>0</v>
      </c>
      <c r="C613" s="94" t="str">
        <f>IFERROR(VLOOKUP($A613,HeadJournal!$A$1:$NTR$890,COLUMN(HeadJournal!C$1),0),"")</f>
        <v>Roman</v>
      </c>
      <c r="D613" s="125" t="str">
        <f>IFERROR(VLOOKUP($A613,HeadJournal!$A$1:$NTR$890,COLUMN(HeadJournal!D$1),0),"")</f>
        <v>Доставлен</v>
      </c>
      <c r="E613" s="95">
        <f>IFERROR(VLOOKUP($A613,HeadJournal!$A$1:$NTR$890,COLUMN(HeadJournal!G$1),0),"")</f>
        <v>44915</v>
      </c>
      <c r="F613" s="95" t="str">
        <f t="shared" si="48"/>
        <v>2022 12</v>
      </c>
      <c r="G613" s="96" t="s">
        <v>7</v>
      </c>
      <c r="H613" s="160" t="s">
        <v>3730</v>
      </c>
      <c r="I613" s="96" t="str">
        <f t="shared" si="50"/>
        <v>EYENLIP</v>
      </c>
      <c r="J613" s="97" t="s">
        <v>292</v>
      </c>
      <c r="K613" s="29">
        <v>28</v>
      </c>
      <c r="L613" s="29"/>
      <c r="M613" s="30">
        <f>IFERROR(VLOOKUP($A613,HeadJournal!$A$1:$J$890,COLUMN(HeadJournal!I$1),0)*($K613+$L613)/(SUMIF($A:$A,$A613,$K:$K)+SUMIF($A:$A,$A613,$L:$L)),0)</f>
        <v>0</v>
      </c>
      <c r="N613" s="30">
        <f>IFERROR((VLOOKUP($A613,HeadJournal!$A$1:$K$890,COLUMN(HeadJournal!K$1),0)-VLOOKUP($A613,HeadJournal!$A$1:$K$890,COLUMN(HeadJournal!J$1),0))*($K613+$L613)/(SUMIF($A:$A,$A613,$K:$K)+SUMIF($A:$A,$A613,$L:$L)),0)</f>
        <v>-7.3664825046040518E-3</v>
      </c>
      <c r="O613" s="30">
        <f>IFERROR((VLOOKUP($A613,HeadJournal!$A$1:$L$890,COLUMN(HeadJournal!L$1),0)*($K613+$L613)/(SUMIF($A:$A,$A613,$K:$K)+SUMIF($A:$A,$A613,$L:$L)))/VLOOKUP($A613,HeadJournal!$A$1:$L$890,COLUMN(HeadJournal!H$1),0),0)</f>
        <v>0</v>
      </c>
      <c r="P613" s="30">
        <f>IFERROR(SUM(K613:O613)*VLOOKUP($A613,HeadJournal!$A$1:$L$890,COLUMN(HeadJournal!H$1),0),0)</f>
        <v>27.992633517495396</v>
      </c>
      <c r="Q613" s="29">
        <v>75</v>
      </c>
      <c r="R613" s="31">
        <v>44992</v>
      </c>
      <c r="S613" s="31" t="s">
        <v>3121</v>
      </c>
      <c r="T613" s="95" t="str">
        <f t="shared" si="49"/>
        <v>2023 03</v>
      </c>
      <c r="U613" s="32">
        <f t="shared" si="46"/>
        <v>47.007366482504608</v>
      </c>
      <c r="V613" s="22">
        <f t="shared" si="47"/>
        <v>1.6792763157894739</v>
      </c>
      <c r="X613" s="33"/>
      <c r="Y613" s="33"/>
    </row>
    <row r="614" spans="1:25" x14ac:dyDescent="0.2">
      <c r="A614" s="93" t="s">
        <v>290</v>
      </c>
      <c r="B614" s="94">
        <f>IFERROR(VLOOKUP($A614,HeadJournal!$A$1:$NTR$890,COLUMN(HeadJournal!B$1),0),"")</f>
        <v>0</v>
      </c>
      <c r="C614" s="94" t="str">
        <f>IFERROR(VLOOKUP($A614,HeadJournal!$A$1:$NTR$890,COLUMN(HeadJournal!C$1),0),"")</f>
        <v>Roman</v>
      </c>
      <c r="D614" s="125" t="str">
        <f>IFERROR(VLOOKUP($A614,HeadJournal!$A$1:$NTR$890,COLUMN(HeadJournal!D$1),0),"")</f>
        <v>Доставлен</v>
      </c>
      <c r="E614" s="95">
        <f>IFERROR(VLOOKUP($A614,HeadJournal!$A$1:$NTR$890,COLUMN(HeadJournal!G$1),0),"")</f>
        <v>44915</v>
      </c>
      <c r="F614" s="95" t="str">
        <f t="shared" si="48"/>
        <v>2022 12</v>
      </c>
      <c r="G614" s="96" t="s">
        <v>7</v>
      </c>
      <c r="H614" s="160" t="s">
        <v>3730</v>
      </c>
      <c r="I614" s="96" t="str">
        <f t="shared" si="50"/>
        <v>EYENLIP</v>
      </c>
      <c r="J614" s="97" t="s">
        <v>292</v>
      </c>
      <c r="K614" s="29">
        <v>28</v>
      </c>
      <c r="L614" s="29"/>
      <c r="M614" s="30">
        <f>IFERROR(VLOOKUP($A614,HeadJournal!$A$1:$J$890,COLUMN(HeadJournal!I$1),0)*($K614+$L614)/(SUMIF($A:$A,$A614,$K:$K)+SUMIF($A:$A,$A614,$L:$L)),0)</f>
        <v>0</v>
      </c>
      <c r="N614" s="30">
        <f>IFERROR((VLOOKUP($A614,HeadJournal!$A$1:$K$890,COLUMN(HeadJournal!K$1),0)-VLOOKUP($A614,HeadJournal!$A$1:$K$890,COLUMN(HeadJournal!J$1),0))*($K614+$L614)/(SUMIF($A:$A,$A614,$K:$K)+SUMIF($A:$A,$A614,$L:$L)),0)</f>
        <v>-7.3664825046040518E-3</v>
      </c>
      <c r="O614" s="30">
        <f>IFERROR((VLOOKUP($A614,HeadJournal!$A$1:$L$890,COLUMN(HeadJournal!L$1),0)*($K614+$L614)/(SUMIF($A:$A,$A614,$K:$K)+SUMIF($A:$A,$A614,$L:$L)))/VLOOKUP($A614,HeadJournal!$A$1:$L$890,COLUMN(HeadJournal!H$1),0),0)</f>
        <v>0</v>
      </c>
      <c r="P614" s="30">
        <f>IFERROR(SUM(K614:O614)*VLOOKUP($A614,HeadJournal!$A$1:$L$890,COLUMN(HeadJournal!H$1),0),0)</f>
        <v>27.992633517495396</v>
      </c>
      <c r="Q614" s="29">
        <v>75</v>
      </c>
      <c r="R614" s="31">
        <v>45006</v>
      </c>
      <c r="S614" s="31" t="s">
        <v>3121</v>
      </c>
      <c r="T614" s="95" t="str">
        <f t="shared" si="49"/>
        <v>2023 03</v>
      </c>
      <c r="U614" s="32">
        <f t="shared" si="46"/>
        <v>47.007366482504608</v>
      </c>
      <c r="V614" s="22">
        <f t="shared" si="47"/>
        <v>1.6792763157894739</v>
      </c>
      <c r="X614" s="33"/>
      <c r="Y614" s="33"/>
    </row>
    <row r="615" spans="1:25" x14ac:dyDescent="0.2">
      <c r="A615" s="93" t="s">
        <v>290</v>
      </c>
      <c r="B615" s="94">
        <f>IFERROR(VLOOKUP($A615,HeadJournal!$A$1:$NTR$890,COLUMN(HeadJournal!B$1),0),"")</f>
        <v>0</v>
      </c>
      <c r="C615" s="94" t="str">
        <f>IFERROR(VLOOKUP($A615,HeadJournal!$A$1:$NTR$890,COLUMN(HeadJournal!C$1),0),"")</f>
        <v>Roman</v>
      </c>
      <c r="D615" s="125" t="str">
        <f>IFERROR(VLOOKUP($A615,HeadJournal!$A$1:$NTR$890,COLUMN(HeadJournal!D$1),0),"")</f>
        <v>Доставлен</v>
      </c>
      <c r="E615" s="95">
        <f>IFERROR(VLOOKUP($A615,HeadJournal!$A$1:$NTR$890,COLUMN(HeadJournal!G$1),0),"")</f>
        <v>44915</v>
      </c>
      <c r="F615" s="95" t="str">
        <f t="shared" si="48"/>
        <v>2022 12</v>
      </c>
      <c r="G615" s="96" t="s">
        <v>7</v>
      </c>
      <c r="H615" s="160" t="s">
        <v>3731</v>
      </c>
      <c r="I615" s="96" t="str">
        <f t="shared" si="50"/>
        <v>EYENLIP</v>
      </c>
      <c r="J615" s="97" t="s">
        <v>293</v>
      </c>
      <c r="K615" s="29">
        <v>28</v>
      </c>
      <c r="L615" s="29"/>
      <c r="M615" s="30">
        <f>IFERROR(VLOOKUP($A615,HeadJournal!$A$1:$J$890,COLUMN(HeadJournal!I$1),0)*($K615+$L615)/(SUMIF($A:$A,$A615,$K:$K)+SUMIF($A:$A,$A615,$L:$L)),0)</f>
        <v>0</v>
      </c>
      <c r="N615" s="30">
        <f>IFERROR((VLOOKUP($A615,HeadJournal!$A$1:$K$890,COLUMN(HeadJournal!K$1),0)-VLOOKUP($A615,HeadJournal!$A$1:$K$890,COLUMN(HeadJournal!J$1),0))*($K615+$L615)/(SUMIF($A:$A,$A615,$K:$K)+SUMIF($A:$A,$A615,$L:$L)),0)</f>
        <v>-7.3664825046040518E-3</v>
      </c>
      <c r="O615" s="30">
        <f>IFERROR((VLOOKUP($A615,HeadJournal!$A$1:$L$890,COLUMN(HeadJournal!L$1),0)*($K615+$L615)/(SUMIF($A:$A,$A615,$K:$K)+SUMIF($A:$A,$A615,$L:$L)))/VLOOKUP($A615,HeadJournal!$A$1:$L$890,COLUMN(HeadJournal!H$1),0),0)</f>
        <v>0</v>
      </c>
      <c r="P615" s="30">
        <f>IFERROR(SUM(K615:O615)*VLOOKUP($A615,HeadJournal!$A$1:$L$890,COLUMN(HeadJournal!H$1),0),0)</f>
        <v>27.992633517495396</v>
      </c>
      <c r="Q615" s="29">
        <v>70</v>
      </c>
      <c r="R615" s="31">
        <v>44919</v>
      </c>
      <c r="S615" s="31" t="s">
        <v>3121</v>
      </c>
      <c r="T615" s="95" t="str">
        <f t="shared" si="49"/>
        <v>2022 12</v>
      </c>
      <c r="U615" s="32">
        <f t="shared" si="46"/>
        <v>42.007366482504608</v>
      </c>
      <c r="V615" s="22">
        <f t="shared" si="47"/>
        <v>1.5006578947368423</v>
      </c>
      <c r="X615" s="33"/>
      <c r="Y615" s="33"/>
    </row>
    <row r="616" spans="1:25" x14ac:dyDescent="0.2">
      <c r="A616" s="93" t="s">
        <v>290</v>
      </c>
      <c r="B616" s="94">
        <f>IFERROR(VLOOKUP($A616,HeadJournal!$A$1:$NTR$890,COLUMN(HeadJournal!B$1),0),"")</f>
        <v>0</v>
      </c>
      <c r="C616" s="94" t="str">
        <f>IFERROR(VLOOKUP($A616,HeadJournal!$A$1:$NTR$890,COLUMN(HeadJournal!C$1),0),"")</f>
        <v>Roman</v>
      </c>
      <c r="D616" s="125" t="str">
        <f>IFERROR(VLOOKUP($A616,HeadJournal!$A$1:$NTR$890,COLUMN(HeadJournal!D$1),0),"")</f>
        <v>Доставлен</v>
      </c>
      <c r="E616" s="95">
        <f>IFERROR(VLOOKUP($A616,HeadJournal!$A$1:$NTR$890,COLUMN(HeadJournal!G$1),0),"")</f>
        <v>44915</v>
      </c>
      <c r="F616" s="95" t="str">
        <f t="shared" si="48"/>
        <v>2022 12</v>
      </c>
      <c r="G616" s="96" t="s">
        <v>7</v>
      </c>
      <c r="H616" s="160" t="s">
        <v>3731</v>
      </c>
      <c r="I616" s="96" t="str">
        <f t="shared" si="50"/>
        <v>EYENLIP</v>
      </c>
      <c r="J616" s="97" t="s">
        <v>293</v>
      </c>
      <c r="K616" s="29">
        <v>28</v>
      </c>
      <c r="L616" s="29"/>
      <c r="M616" s="30">
        <f>IFERROR(VLOOKUP($A616,HeadJournal!$A$1:$J$890,COLUMN(HeadJournal!I$1),0)*($K616+$L616)/(SUMIF($A:$A,$A616,$K:$K)+SUMIF($A:$A,$A616,$L:$L)),0)</f>
        <v>0</v>
      </c>
      <c r="N616" s="30">
        <f>IFERROR((VLOOKUP($A616,HeadJournal!$A$1:$K$890,COLUMN(HeadJournal!K$1),0)-VLOOKUP($A616,HeadJournal!$A$1:$K$890,COLUMN(HeadJournal!J$1),0))*($K616+$L616)/(SUMIF($A:$A,$A616,$K:$K)+SUMIF($A:$A,$A616,$L:$L)),0)</f>
        <v>-7.3664825046040518E-3</v>
      </c>
      <c r="O616" s="30">
        <f>IFERROR((VLOOKUP($A616,HeadJournal!$A$1:$L$890,COLUMN(HeadJournal!L$1),0)*($K616+$L616)/(SUMIF($A:$A,$A616,$K:$K)+SUMIF($A:$A,$A616,$L:$L)))/VLOOKUP($A616,HeadJournal!$A$1:$L$890,COLUMN(HeadJournal!H$1),0),0)</f>
        <v>0</v>
      </c>
      <c r="P616" s="30">
        <f>IFERROR(SUM(K616:O616)*VLOOKUP($A616,HeadJournal!$A$1:$L$890,COLUMN(HeadJournal!H$1),0),0)</f>
        <v>27.992633517495396</v>
      </c>
      <c r="Q616" s="29">
        <v>70</v>
      </c>
      <c r="R616" s="31">
        <v>44919</v>
      </c>
      <c r="S616" s="31" t="s">
        <v>3121</v>
      </c>
      <c r="T616" s="95" t="str">
        <f t="shared" si="49"/>
        <v>2022 12</v>
      </c>
      <c r="U616" s="32">
        <f t="shared" si="46"/>
        <v>42.007366482504608</v>
      </c>
      <c r="V616" s="22">
        <f t="shared" si="47"/>
        <v>1.5006578947368423</v>
      </c>
      <c r="X616" s="33"/>
      <c r="Y616" s="33"/>
    </row>
    <row r="617" spans="1:25" x14ac:dyDescent="0.2">
      <c r="A617" s="93" t="s">
        <v>290</v>
      </c>
      <c r="B617" s="94">
        <f>IFERROR(VLOOKUP($A617,HeadJournal!$A$1:$NTR$890,COLUMN(HeadJournal!B$1),0),"")</f>
        <v>0</v>
      </c>
      <c r="C617" s="94" t="str">
        <f>IFERROR(VLOOKUP($A617,HeadJournal!$A$1:$NTR$890,COLUMN(HeadJournal!C$1),0),"")</f>
        <v>Roman</v>
      </c>
      <c r="D617" s="125" t="str">
        <f>IFERROR(VLOOKUP($A617,HeadJournal!$A$1:$NTR$890,COLUMN(HeadJournal!D$1),0),"")</f>
        <v>Доставлен</v>
      </c>
      <c r="E617" s="95">
        <f>IFERROR(VLOOKUP($A617,HeadJournal!$A$1:$NTR$890,COLUMN(HeadJournal!G$1),0),"")</f>
        <v>44915</v>
      </c>
      <c r="F617" s="95" t="str">
        <f t="shared" si="48"/>
        <v>2022 12</v>
      </c>
      <c r="G617" s="96" t="s">
        <v>7</v>
      </c>
      <c r="H617" s="160" t="s">
        <v>3731</v>
      </c>
      <c r="I617" s="96" t="str">
        <f t="shared" si="50"/>
        <v>EYENLIP</v>
      </c>
      <c r="J617" s="97" t="s">
        <v>293</v>
      </c>
      <c r="K617" s="29">
        <v>28</v>
      </c>
      <c r="L617" s="29"/>
      <c r="M617" s="30">
        <f>IFERROR(VLOOKUP($A617,HeadJournal!$A$1:$J$890,COLUMN(HeadJournal!I$1),0)*($K617+$L617)/(SUMIF($A:$A,$A617,$K:$K)+SUMIF($A:$A,$A617,$L:$L)),0)</f>
        <v>0</v>
      </c>
      <c r="N617" s="30">
        <f>IFERROR((VLOOKUP($A617,HeadJournal!$A$1:$K$890,COLUMN(HeadJournal!K$1),0)-VLOOKUP($A617,HeadJournal!$A$1:$K$890,COLUMN(HeadJournal!J$1),0))*($K617+$L617)/(SUMIF($A:$A,$A617,$K:$K)+SUMIF($A:$A,$A617,$L:$L)),0)</f>
        <v>-7.3664825046040518E-3</v>
      </c>
      <c r="O617" s="30">
        <f>IFERROR((VLOOKUP($A617,HeadJournal!$A$1:$L$890,COLUMN(HeadJournal!L$1),0)*($K617+$L617)/(SUMIF($A:$A,$A617,$K:$K)+SUMIF($A:$A,$A617,$L:$L)))/VLOOKUP($A617,HeadJournal!$A$1:$L$890,COLUMN(HeadJournal!H$1),0),0)</f>
        <v>0</v>
      </c>
      <c r="P617" s="30">
        <f>IFERROR(SUM(K617:O617)*VLOOKUP($A617,HeadJournal!$A$1:$L$890,COLUMN(HeadJournal!H$1),0),0)</f>
        <v>27.992633517495396</v>
      </c>
      <c r="Q617" s="29">
        <v>70</v>
      </c>
      <c r="R617" s="31">
        <v>44919</v>
      </c>
      <c r="S617" s="31" t="s">
        <v>3121</v>
      </c>
      <c r="T617" s="95" t="str">
        <f t="shared" si="49"/>
        <v>2022 12</v>
      </c>
      <c r="U617" s="32">
        <f t="shared" si="46"/>
        <v>42.007366482504608</v>
      </c>
      <c r="V617" s="22">
        <f t="shared" si="47"/>
        <v>1.5006578947368423</v>
      </c>
      <c r="X617" s="33"/>
      <c r="Y617" s="33"/>
    </row>
    <row r="618" spans="1:25" x14ac:dyDescent="0.2">
      <c r="A618" s="93" t="s">
        <v>290</v>
      </c>
      <c r="B618" s="94">
        <f>IFERROR(VLOOKUP($A618,HeadJournal!$A$1:$NTR$890,COLUMN(HeadJournal!B$1),0),"")</f>
        <v>0</v>
      </c>
      <c r="C618" s="94" t="str">
        <f>IFERROR(VLOOKUP($A618,HeadJournal!$A$1:$NTR$890,COLUMN(HeadJournal!C$1),0),"")</f>
        <v>Roman</v>
      </c>
      <c r="D618" s="125" t="str">
        <f>IFERROR(VLOOKUP($A618,HeadJournal!$A$1:$NTR$890,COLUMN(HeadJournal!D$1),0),"")</f>
        <v>Доставлен</v>
      </c>
      <c r="E618" s="95">
        <f>IFERROR(VLOOKUP($A618,HeadJournal!$A$1:$NTR$890,COLUMN(HeadJournal!G$1),0),"")</f>
        <v>44915</v>
      </c>
      <c r="F618" s="95" t="str">
        <f t="shared" si="48"/>
        <v>2022 12</v>
      </c>
      <c r="G618" s="96" t="s">
        <v>7</v>
      </c>
      <c r="H618" s="160" t="s">
        <v>3731</v>
      </c>
      <c r="I618" s="96" t="str">
        <f t="shared" si="50"/>
        <v>EYENLIP</v>
      </c>
      <c r="J618" s="97" t="s">
        <v>293</v>
      </c>
      <c r="K618" s="29">
        <v>28</v>
      </c>
      <c r="L618" s="29"/>
      <c r="M618" s="30">
        <f>IFERROR(VLOOKUP($A618,HeadJournal!$A$1:$J$890,COLUMN(HeadJournal!I$1),0)*($K618+$L618)/(SUMIF($A:$A,$A618,$K:$K)+SUMIF($A:$A,$A618,$L:$L)),0)</f>
        <v>0</v>
      </c>
      <c r="N618" s="30">
        <f>IFERROR((VLOOKUP($A618,HeadJournal!$A$1:$K$890,COLUMN(HeadJournal!K$1),0)-VLOOKUP($A618,HeadJournal!$A$1:$K$890,COLUMN(HeadJournal!J$1),0))*($K618+$L618)/(SUMIF($A:$A,$A618,$K:$K)+SUMIF($A:$A,$A618,$L:$L)),0)</f>
        <v>-7.3664825046040518E-3</v>
      </c>
      <c r="O618" s="30">
        <f>IFERROR((VLOOKUP($A618,HeadJournal!$A$1:$L$890,COLUMN(HeadJournal!L$1),0)*($K618+$L618)/(SUMIF($A:$A,$A618,$K:$K)+SUMIF($A:$A,$A618,$L:$L)))/VLOOKUP($A618,HeadJournal!$A$1:$L$890,COLUMN(HeadJournal!H$1),0),0)</f>
        <v>0</v>
      </c>
      <c r="P618" s="30">
        <f>IFERROR(SUM(K618:O618)*VLOOKUP($A618,HeadJournal!$A$1:$L$890,COLUMN(HeadJournal!H$1),0),0)</f>
        <v>27.992633517495396</v>
      </c>
      <c r="Q618" s="29">
        <v>70</v>
      </c>
      <c r="R618" s="31">
        <v>44919</v>
      </c>
      <c r="S618" s="31" t="s">
        <v>3121</v>
      </c>
      <c r="T618" s="95" t="str">
        <f t="shared" si="49"/>
        <v>2022 12</v>
      </c>
      <c r="U618" s="32">
        <f t="shared" si="46"/>
        <v>42.007366482504608</v>
      </c>
      <c r="V618" s="22">
        <f t="shared" si="47"/>
        <v>1.5006578947368423</v>
      </c>
      <c r="X618" s="33"/>
      <c r="Y618" s="33"/>
    </row>
    <row r="619" spans="1:25" x14ac:dyDescent="0.2">
      <c r="A619" s="93" t="s">
        <v>290</v>
      </c>
      <c r="B619" s="94">
        <f>IFERROR(VLOOKUP($A619,HeadJournal!$A$1:$NTR$890,COLUMN(HeadJournal!B$1),0),"")</f>
        <v>0</v>
      </c>
      <c r="C619" s="94" t="str">
        <f>IFERROR(VLOOKUP($A619,HeadJournal!$A$1:$NTR$890,COLUMN(HeadJournal!C$1),0),"")</f>
        <v>Roman</v>
      </c>
      <c r="D619" s="125" t="str">
        <f>IFERROR(VLOOKUP($A619,HeadJournal!$A$1:$NTR$890,COLUMN(HeadJournal!D$1),0),"")</f>
        <v>Доставлен</v>
      </c>
      <c r="E619" s="95">
        <f>IFERROR(VLOOKUP($A619,HeadJournal!$A$1:$NTR$890,COLUMN(HeadJournal!G$1),0),"")</f>
        <v>44915</v>
      </c>
      <c r="F619" s="95" t="str">
        <f t="shared" si="48"/>
        <v>2022 12</v>
      </c>
      <c r="G619" s="96" t="s">
        <v>7</v>
      </c>
      <c r="H619" s="160" t="s">
        <v>3731</v>
      </c>
      <c r="I619" s="96" t="str">
        <f t="shared" si="50"/>
        <v>EYENLIP</v>
      </c>
      <c r="J619" s="97" t="s">
        <v>293</v>
      </c>
      <c r="K619" s="29">
        <v>28</v>
      </c>
      <c r="L619" s="29"/>
      <c r="M619" s="30">
        <f>IFERROR(VLOOKUP($A619,HeadJournal!$A$1:$J$890,COLUMN(HeadJournal!I$1),0)*($K619+$L619)/(SUMIF($A:$A,$A619,$K:$K)+SUMIF($A:$A,$A619,$L:$L)),0)</f>
        <v>0</v>
      </c>
      <c r="N619" s="30">
        <f>IFERROR((VLOOKUP($A619,HeadJournal!$A$1:$K$890,COLUMN(HeadJournal!K$1),0)-VLOOKUP($A619,HeadJournal!$A$1:$K$890,COLUMN(HeadJournal!J$1),0))*($K619+$L619)/(SUMIF($A:$A,$A619,$K:$K)+SUMIF($A:$A,$A619,$L:$L)),0)</f>
        <v>-7.3664825046040518E-3</v>
      </c>
      <c r="O619" s="30">
        <f>IFERROR((VLOOKUP($A619,HeadJournal!$A$1:$L$890,COLUMN(HeadJournal!L$1),0)*($K619+$L619)/(SUMIF($A:$A,$A619,$K:$K)+SUMIF($A:$A,$A619,$L:$L)))/VLOOKUP($A619,HeadJournal!$A$1:$L$890,COLUMN(HeadJournal!H$1),0),0)</f>
        <v>0</v>
      </c>
      <c r="P619" s="30">
        <f>IFERROR(SUM(K619:O619)*VLOOKUP($A619,HeadJournal!$A$1:$L$890,COLUMN(HeadJournal!H$1),0),0)</f>
        <v>27.992633517495396</v>
      </c>
      <c r="Q619" s="29">
        <v>70</v>
      </c>
      <c r="R619" s="31">
        <v>44919</v>
      </c>
      <c r="S619" s="31" t="s">
        <v>3121</v>
      </c>
      <c r="T619" s="95" t="str">
        <f t="shared" si="49"/>
        <v>2022 12</v>
      </c>
      <c r="U619" s="32">
        <f t="shared" si="46"/>
        <v>42.007366482504608</v>
      </c>
      <c r="V619" s="22">
        <f t="shared" si="47"/>
        <v>1.5006578947368423</v>
      </c>
      <c r="X619" s="33"/>
      <c r="Y619" s="33"/>
    </row>
    <row r="620" spans="1:25" x14ac:dyDescent="0.2">
      <c r="A620" s="93" t="s">
        <v>290</v>
      </c>
      <c r="B620" s="94">
        <f>IFERROR(VLOOKUP($A620,HeadJournal!$A$1:$NTR$890,COLUMN(HeadJournal!B$1),0),"")</f>
        <v>0</v>
      </c>
      <c r="C620" s="94" t="str">
        <f>IFERROR(VLOOKUP($A620,HeadJournal!$A$1:$NTR$890,COLUMN(HeadJournal!C$1),0),"")</f>
        <v>Roman</v>
      </c>
      <c r="D620" s="125" t="str">
        <f>IFERROR(VLOOKUP($A620,HeadJournal!$A$1:$NTR$890,COLUMN(HeadJournal!D$1),0),"")</f>
        <v>Доставлен</v>
      </c>
      <c r="E620" s="95">
        <f>IFERROR(VLOOKUP($A620,HeadJournal!$A$1:$NTR$890,COLUMN(HeadJournal!G$1),0),"")</f>
        <v>44915</v>
      </c>
      <c r="F620" s="95" t="str">
        <f t="shared" si="48"/>
        <v>2022 12</v>
      </c>
      <c r="G620" s="96" t="s">
        <v>7</v>
      </c>
      <c r="H620" s="160" t="s">
        <v>3731</v>
      </c>
      <c r="I620" s="96" t="str">
        <f t="shared" si="50"/>
        <v>EYENLIP</v>
      </c>
      <c r="J620" s="97" t="s">
        <v>293</v>
      </c>
      <c r="K620" s="29">
        <v>28</v>
      </c>
      <c r="L620" s="29"/>
      <c r="M620" s="30">
        <f>IFERROR(VLOOKUP($A620,HeadJournal!$A$1:$J$890,COLUMN(HeadJournal!I$1),0)*($K620+$L620)/(SUMIF($A:$A,$A620,$K:$K)+SUMIF($A:$A,$A620,$L:$L)),0)</f>
        <v>0</v>
      </c>
      <c r="N620" s="30">
        <f>IFERROR((VLOOKUP($A620,HeadJournal!$A$1:$K$890,COLUMN(HeadJournal!K$1),0)-VLOOKUP($A620,HeadJournal!$A$1:$K$890,COLUMN(HeadJournal!J$1),0))*($K620+$L620)/(SUMIF($A:$A,$A620,$K:$K)+SUMIF($A:$A,$A620,$L:$L)),0)</f>
        <v>-7.3664825046040518E-3</v>
      </c>
      <c r="O620" s="30">
        <f>IFERROR((VLOOKUP($A620,HeadJournal!$A$1:$L$890,COLUMN(HeadJournal!L$1),0)*($K620+$L620)/(SUMIF($A:$A,$A620,$K:$K)+SUMIF($A:$A,$A620,$L:$L)))/VLOOKUP($A620,HeadJournal!$A$1:$L$890,COLUMN(HeadJournal!H$1),0),0)</f>
        <v>0</v>
      </c>
      <c r="P620" s="30">
        <f>IFERROR(SUM(K620:O620)*VLOOKUP($A620,HeadJournal!$A$1:$L$890,COLUMN(HeadJournal!H$1),0),0)</f>
        <v>27.992633517495396</v>
      </c>
      <c r="Q620" s="29">
        <v>70</v>
      </c>
      <c r="R620" s="31">
        <v>44919</v>
      </c>
      <c r="S620" s="31" t="s">
        <v>3121</v>
      </c>
      <c r="T620" s="95" t="str">
        <f t="shared" si="49"/>
        <v>2022 12</v>
      </c>
      <c r="U620" s="32">
        <f t="shared" si="46"/>
        <v>42.007366482504608</v>
      </c>
      <c r="V620" s="22">
        <f t="shared" si="47"/>
        <v>1.5006578947368423</v>
      </c>
      <c r="X620" s="33"/>
      <c r="Y620" s="33"/>
    </row>
    <row r="621" spans="1:25" x14ac:dyDescent="0.2">
      <c r="A621" s="93" t="s">
        <v>290</v>
      </c>
      <c r="B621" s="94">
        <f>IFERROR(VLOOKUP($A621,HeadJournal!$A$1:$NTR$890,COLUMN(HeadJournal!B$1),0),"")</f>
        <v>0</v>
      </c>
      <c r="C621" s="94" t="str">
        <f>IFERROR(VLOOKUP($A621,HeadJournal!$A$1:$NTR$890,COLUMN(HeadJournal!C$1),0),"")</f>
        <v>Roman</v>
      </c>
      <c r="D621" s="125" t="str">
        <f>IFERROR(VLOOKUP($A621,HeadJournal!$A$1:$NTR$890,COLUMN(HeadJournal!D$1),0),"")</f>
        <v>Доставлен</v>
      </c>
      <c r="E621" s="95">
        <f>IFERROR(VLOOKUP($A621,HeadJournal!$A$1:$NTR$890,COLUMN(HeadJournal!G$1),0),"")</f>
        <v>44915</v>
      </c>
      <c r="F621" s="95" t="str">
        <f t="shared" si="48"/>
        <v>2022 12</v>
      </c>
      <c r="G621" s="96" t="s">
        <v>7</v>
      </c>
      <c r="H621" s="160" t="s">
        <v>3731</v>
      </c>
      <c r="I621" s="96" t="str">
        <f t="shared" si="50"/>
        <v>EYENLIP</v>
      </c>
      <c r="J621" s="97" t="s">
        <v>293</v>
      </c>
      <c r="K621" s="29">
        <v>28</v>
      </c>
      <c r="L621" s="29"/>
      <c r="M621" s="30">
        <f>IFERROR(VLOOKUP($A621,HeadJournal!$A$1:$J$890,COLUMN(HeadJournal!I$1),0)*($K621+$L621)/(SUMIF($A:$A,$A621,$K:$K)+SUMIF($A:$A,$A621,$L:$L)),0)</f>
        <v>0</v>
      </c>
      <c r="N621" s="30">
        <f>IFERROR((VLOOKUP($A621,HeadJournal!$A$1:$K$890,COLUMN(HeadJournal!K$1),0)-VLOOKUP($A621,HeadJournal!$A$1:$K$890,COLUMN(HeadJournal!J$1),0))*($K621+$L621)/(SUMIF($A:$A,$A621,$K:$K)+SUMIF($A:$A,$A621,$L:$L)),0)</f>
        <v>-7.3664825046040518E-3</v>
      </c>
      <c r="O621" s="30">
        <f>IFERROR((VLOOKUP($A621,HeadJournal!$A$1:$L$890,COLUMN(HeadJournal!L$1),0)*($K621+$L621)/(SUMIF($A:$A,$A621,$K:$K)+SUMIF($A:$A,$A621,$L:$L)))/VLOOKUP($A621,HeadJournal!$A$1:$L$890,COLUMN(HeadJournal!H$1),0),0)</f>
        <v>0</v>
      </c>
      <c r="P621" s="30">
        <f>IFERROR(SUM(K621:O621)*VLOOKUP($A621,HeadJournal!$A$1:$L$890,COLUMN(HeadJournal!H$1),0),0)</f>
        <v>27.992633517495396</v>
      </c>
      <c r="Q621" s="29">
        <v>70</v>
      </c>
      <c r="R621" s="31">
        <v>44919</v>
      </c>
      <c r="S621" s="31" t="s">
        <v>3121</v>
      </c>
      <c r="T621" s="95" t="str">
        <f t="shared" si="49"/>
        <v>2022 12</v>
      </c>
      <c r="U621" s="32">
        <f t="shared" si="46"/>
        <v>42.007366482504608</v>
      </c>
      <c r="V621" s="22">
        <f t="shared" si="47"/>
        <v>1.5006578947368423</v>
      </c>
      <c r="X621" s="33"/>
      <c r="Y621" s="33"/>
    </row>
    <row r="622" spans="1:25" x14ac:dyDescent="0.2">
      <c r="A622" s="93" t="s">
        <v>290</v>
      </c>
      <c r="B622" s="94">
        <f>IFERROR(VLOOKUP($A622,HeadJournal!$A$1:$NTR$890,COLUMN(HeadJournal!B$1),0),"")</f>
        <v>0</v>
      </c>
      <c r="C622" s="94" t="str">
        <f>IFERROR(VLOOKUP($A622,HeadJournal!$A$1:$NTR$890,COLUMN(HeadJournal!C$1),0),"")</f>
        <v>Roman</v>
      </c>
      <c r="D622" s="125" t="str">
        <f>IFERROR(VLOOKUP($A622,HeadJournal!$A$1:$NTR$890,COLUMN(HeadJournal!D$1),0),"")</f>
        <v>Доставлен</v>
      </c>
      <c r="E622" s="95">
        <f>IFERROR(VLOOKUP($A622,HeadJournal!$A$1:$NTR$890,COLUMN(HeadJournal!G$1),0),"")</f>
        <v>44915</v>
      </c>
      <c r="F622" s="95" t="str">
        <f t="shared" si="48"/>
        <v>2022 12</v>
      </c>
      <c r="G622" s="96" t="s">
        <v>7</v>
      </c>
      <c r="H622" s="160" t="s">
        <v>3731</v>
      </c>
      <c r="I622" s="96" t="str">
        <f t="shared" si="50"/>
        <v>EYENLIP</v>
      </c>
      <c r="J622" s="97" t="s">
        <v>293</v>
      </c>
      <c r="K622" s="29">
        <v>28</v>
      </c>
      <c r="L622" s="29"/>
      <c r="M622" s="30">
        <f>IFERROR(VLOOKUP($A622,HeadJournal!$A$1:$J$890,COLUMN(HeadJournal!I$1),0)*($K622+$L622)/(SUMIF($A:$A,$A622,$K:$K)+SUMIF($A:$A,$A622,$L:$L)),0)</f>
        <v>0</v>
      </c>
      <c r="N622" s="30">
        <f>IFERROR((VLOOKUP($A622,HeadJournal!$A$1:$K$890,COLUMN(HeadJournal!K$1),0)-VLOOKUP($A622,HeadJournal!$A$1:$K$890,COLUMN(HeadJournal!J$1),0))*($K622+$L622)/(SUMIF($A:$A,$A622,$K:$K)+SUMIF($A:$A,$A622,$L:$L)),0)</f>
        <v>-7.3664825046040518E-3</v>
      </c>
      <c r="O622" s="30">
        <f>IFERROR((VLOOKUP($A622,HeadJournal!$A$1:$L$890,COLUMN(HeadJournal!L$1),0)*($K622+$L622)/(SUMIF($A:$A,$A622,$K:$K)+SUMIF($A:$A,$A622,$L:$L)))/VLOOKUP($A622,HeadJournal!$A$1:$L$890,COLUMN(HeadJournal!H$1),0),0)</f>
        <v>0</v>
      </c>
      <c r="P622" s="30">
        <f>IFERROR(SUM(K622:O622)*VLOOKUP($A622,HeadJournal!$A$1:$L$890,COLUMN(HeadJournal!H$1),0),0)</f>
        <v>27.992633517495396</v>
      </c>
      <c r="Q622" s="29">
        <v>70</v>
      </c>
      <c r="R622" s="31">
        <v>44919</v>
      </c>
      <c r="S622" s="31" t="s">
        <v>3121</v>
      </c>
      <c r="T622" s="95" t="str">
        <f t="shared" si="49"/>
        <v>2022 12</v>
      </c>
      <c r="U622" s="32">
        <f t="shared" si="46"/>
        <v>42.007366482504608</v>
      </c>
      <c r="V622" s="22">
        <f t="shared" si="47"/>
        <v>1.5006578947368423</v>
      </c>
      <c r="X622" s="33"/>
      <c r="Y622" s="33"/>
    </row>
    <row r="623" spans="1:25" x14ac:dyDescent="0.2">
      <c r="A623" s="93" t="s">
        <v>290</v>
      </c>
      <c r="B623" s="94">
        <f>IFERROR(VLOOKUP($A623,HeadJournal!$A$1:$NTR$890,COLUMN(HeadJournal!B$1),0),"")</f>
        <v>0</v>
      </c>
      <c r="C623" s="94" t="str">
        <f>IFERROR(VLOOKUP($A623,HeadJournal!$A$1:$NTR$890,COLUMN(HeadJournal!C$1),0),"")</f>
        <v>Roman</v>
      </c>
      <c r="D623" s="125" t="str">
        <f>IFERROR(VLOOKUP($A623,HeadJournal!$A$1:$NTR$890,COLUMN(HeadJournal!D$1),0),"")</f>
        <v>Доставлен</v>
      </c>
      <c r="E623" s="95">
        <f>IFERROR(VLOOKUP($A623,HeadJournal!$A$1:$NTR$890,COLUMN(HeadJournal!G$1),0),"")</f>
        <v>44915</v>
      </c>
      <c r="F623" s="95" t="str">
        <f t="shared" si="48"/>
        <v>2022 12</v>
      </c>
      <c r="G623" s="96" t="s">
        <v>7</v>
      </c>
      <c r="H623" s="160" t="s">
        <v>3731</v>
      </c>
      <c r="I623" s="96" t="str">
        <f t="shared" si="50"/>
        <v>EYENLIP</v>
      </c>
      <c r="J623" s="97" t="s">
        <v>293</v>
      </c>
      <c r="K623" s="29">
        <v>28</v>
      </c>
      <c r="L623" s="29"/>
      <c r="M623" s="30">
        <f>IFERROR(VLOOKUP($A623,HeadJournal!$A$1:$J$890,COLUMN(HeadJournal!I$1),0)*($K623+$L623)/(SUMIF($A:$A,$A623,$K:$K)+SUMIF($A:$A,$A623,$L:$L)),0)</f>
        <v>0</v>
      </c>
      <c r="N623" s="30">
        <f>IFERROR((VLOOKUP($A623,HeadJournal!$A$1:$K$890,COLUMN(HeadJournal!K$1),0)-VLOOKUP($A623,HeadJournal!$A$1:$K$890,COLUMN(HeadJournal!J$1),0))*($K623+$L623)/(SUMIF($A:$A,$A623,$K:$K)+SUMIF($A:$A,$A623,$L:$L)),0)</f>
        <v>-7.3664825046040518E-3</v>
      </c>
      <c r="O623" s="30">
        <f>IFERROR((VLOOKUP($A623,HeadJournal!$A$1:$L$890,COLUMN(HeadJournal!L$1),0)*($K623+$L623)/(SUMIF($A:$A,$A623,$K:$K)+SUMIF($A:$A,$A623,$L:$L)))/VLOOKUP($A623,HeadJournal!$A$1:$L$890,COLUMN(HeadJournal!H$1),0),0)</f>
        <v>0</v>
      </c>
      <c r="P623" s="30">
        <f>IFERROR(SUM(K623:O623)*VLOOKUP($A623,HeadJournal!$A$1:$L$890,COLUMN(HeadJournal!H$1),0),0)</f>
        <v>27.992633517495396</v>
      </c>
      <c r="Q623" s="29">
        <v>70</v>
      </c>
      <c r="R623" s="31">
        <v>44919</v>
      </c>
      <c r="S623" s="31" t="s">
        <v>3121</v>
      </c>
      <c r="T623" s="95" t="str">
        <f t="shared" si="49"/>
        <v>2022 12</v>
      </c>
      <c r="U623" s="32">
        <f t="shared" si="46"/>
        <v>42.007366482504608</v>
      </c>
      <c r="V623" s="22">
        <f t="shared" si="47"/>
        <v>1.5006578947368423</v>
      </c>
      <c r="X623" s="33"/>
      <c r="Y623" s="33"/>
    </row>
    <row r="624" spans="1:25" x14ac:dyDescent="0.2">
      <c r="A624" s="93" t="s">
        <v>290</v>
      </c>
      <c r="B624" s="94">
        <f>IFERROR(VLOOKUP($A624,HeadJournal!$A$1:$NTR$890,COLUMN(HeadJournal!B$1),0),"")</f>
        <v>0</v>
      </c>
      <c r="C624" s="94" t="str">
        <f>IFERROR(VLOOKUP($A624,HeadJournal!$A$1:$NTR$890,COLUMN(HeadJournal!C$1),0),"")</f>
        <v>Roman</v>
      </c>
      <c r="D624" s="125" t="str">
        <f>IFERROR(VLOOKUP($A624,HeadJournal!$A$1:$NTR$890,COLUMN(HeadJournal!D$1),0),"")</f>
        <v>Доставлен</v>
      </c>
      <c r="E624" s="95">
        <f>IFERROR(VLOOKUP($A624,HeadJournal!$A$1:$NTR$890,COLUMN(HeadJournal!G$1),0),"")</f>
        <v>44915</v>
      </c>
      <c r="F624" s="95" t="str">
        <f t="shared" si="48"/>
        <v>2022 12</v>
      </c>
      <c r="G624" s="96" t="s">
        <v>7</v>
      </c>
      <c r="H624" s="160" t="s">
        <v>3731</v>
      </c>
      <c r="I624" s="96" t="str">
        <f t="shared" si="50"/>
        <v>EYENLIP</v>
      </c>
      <c r="J624" s="97" t="s">
        <v>293</v>
      </c>
      <c r="K624" s="29">
        <v>28</v>
      </c>
      <c r="L624" s="29"/>
      <c r="M624" s="30">
        <f>IFERROR(VLOOKUP($A624,HeadJournal!$A$1:$J$890,COLUMN(HeadJournal!I$1),0)*($K624+$L624)/(SUMIF($A:$A,$A624,$K:$K)+SUMIF($A:$A,$A624,$L:$L)),0)</f>
        <v>0</v>
      </c>
      <c r="N624" s="30">
        <f>IFERROR((VLOOKUP($A624,HeadJournal!$A$1:$K$890,COLUMN(HeadJournal!K$1),0)-VLOOKUP($A624,HeadJournal!$A$1:$K$890,COLUMN(HeadJournal!J$1),0))*($K624+$L624)/(SUMIF($A:$A,$A624,$K:$K)+SUMIF($A:$A,$A624,$L:$L)),0)</f>
        <v>-7.3664825046040518E-3</v>
      </c>
      <c r="O624" s="30">
        <f>IFERROR((VLOOKUP($A624,HeadJournal!$A$1:$L$890,COLUMN(HeadJournal!L$1),0)*($K624+$L624)/(SUMIF($A:$A,$A624,$K:$K)+SUMIF($A:$A,$A624,$L:$L)))/VLOOKUP($A624,HeadJournal!$A$1:$L$890,COLUMN(HeadJournal!H$1),0),0)</f>
        <v>0</v>
      </c>
      <c r="P624" s="30">
        <f>IFERROR(SUM(K624:O624)*VLOOKUP($A624,HeadJournal!$A$1:$L$890,COLUMN(HeadJournal!H$1),0),0)</f>
        <v>27.992633517495396</v>
      </c>
      <c r="Q624" s="29">
        <v>70</v>
      </c>
      <c r="R624" s="31">
        <v>44919</v>
      </c>
      <c r="S624" s="31" t="s">
        <v>3121</v>
      </c>
      <c r="T624" s="95" t="str">
        <f t="shared" si="49"/>
        <v>2022 12</v>
      </c>
      <c r="U624" s="32">
        <f t="shared" si="46"/>
        <v>42.007366482504608</v>
      </c>
      <c r="V624" s="22">
        <f t="shared" si="47"/>
        <v>1.5006578947368423</v>
      </c>
      <c r="X624" s="33"/>
      <c r="Y624" s="33"/>
    </row>
    <row r="625" spans="1:25" x14ac:dyDescent="0.2">
      <c r="A625" s="93" t="s">
        <v>290</v>
      </c>
      <c r="B625" s="94">
        <f>IFERROR(VLOOKUP($A625,HeadJournal!$A$1:$NTR$890,COLUMN(HeadJournal!B$1),0),"")</f>
        <v>0</v>
      </c>
      <c r="C625" s="94" t="str">
        <f>IFERROR(VLOOKUP($A625,HeadJournal!$A$1:$NTR$890,COLUMN(HeadJournal!C$1),0),"")</f>
        <v>Roman</v>
      </c>
      <c r="D625" s="125" t="str">
        <f>IFERROR(VLOOKUP($A625,HeadJournal!$A$1:$NTR$890,COLUMN(HeadJournal!D$1),0),"")</f>
        <v>Доставлен</v>
      </c>
      <c r="E625" s="95">
        <f>IFERROR(VLOOKUP($A625,HeadJournal!$A$1:$NTR$890,COLUMN(HeadJournal!G$1),0),"")</f>
        <v>44915</v>
      </c>
      <c r="F625" s="95" t="str">
        <f t="shared" si="48"/>
        <v>2022 12</v>
      </c>
      <c r="G625" s="96" t="s">
        <v>7</v>
      </c>
      <c r="H625" s="160" t="s">
        <v>3731</v>
      </c>
      <c r="I625" s="96" t="str">
        <f t="shared" si="50"/>
        <v>EYENLIP</v>
      </c>
      <c r="J625" s="97" t="s">
        <v>293</v>
      </c>
      <c r="K625" s="29">
        <v>28</v>
      </c>
      <c r="L625" s="29"/>
      <c r="M625" s="30">
        <f>IFERROR(VLOOKUP($A625,HeadJournal!$A$1:$J$890,COLUMN(HeadJournal!I$1),0)*($K625+$L625)/(SUMIF($A:$A,$A625,$K:$K)+SUMIF($A:$A,$A625,$L:$L)),0)</f>
        <v>0</v>
      </c>
      <c r="N625" s="30">
        <f>IFERROR((VLOOKUP($A625,HeadJournal!$A$1:$K$890,COLUMN(HeadJournal!K$1),0)-VLOOKUP($A625,HeadJournal!$A$1:$K$890,COLUMN(HeadJournal!J$1),0))*($K625+$L625)/(SUMIF($A:$A,$A625,$K:$K)+SUMIF($A:$A,$A625,$L:$L)),0)</f>
        <v>-7.3664825046040518E-3</v>
      </c>
      <c r="O625" s="30">
        <f>IFERROR((VLOOKUP($A625,HeadJournal!$A$1:$L$890,COLUMN(HeadJournal!L$1),0)*($K625+$L625)/(SUMIF($A:$A,$A625,$K:$K)+SUMIF($A:$A,$A625,$L:$L)))/VLOOKUP($A625,HeadJournal!$A$1:$L$890,COLUMN(HeadJournal!H$1),0),0)</f>
        <v>0</v>
      </c>
      <c r="P625" s="30">
        <f>IFERROR(SUM(K625:O625)*VLOOKUP($A625,HeadJournal!$A$1:$L$890,COLUMN(HeadJournal!H$1),0),0)</f>
        <v>27.992633517495396</v>
      </c>
      <c r="Q625" s="29">
        <v>80</v>
      </c>
      <c r="R625" s="31">
        <v>44930</v>
      </c>
      <c r="S625" s="31" t="s">
        <v>3121</v>
      </c>
      <c r="T625" s="95" t="str">
        <f t="shared" si="49"/>
        <v>2023 01</v>
      </c>
      <c r="U625" s="32">
        <f t="shared" si="46"/>
        <v>52.007366482504608</v>
      </c>
      <c r="V625" s="22">
        <f t="shared" si="47"/>
        <v>1.8578947368421055</v>
      </c>
      <c r="X625" s="33"/>
      <c r="Y625" s="33"/>
    </row>
    <row r="626" spans="1:25" x14ac:dyDescent="0.2">
      <c r="A626" s="93" t="s">
        <v>290</v>
      </c>
      <c r="B626" s="94">
        <f>IFERROR(VLOOKUP($A626,HeadJournal!$A$1:$NTR$890,COLUMN(HeadJournal!B$1),0),"")</f>
        <v>0</v>
      </c>
      <c r="C626" s="94" t="str">
        <f>IFERROR(VLOOKUP($A626,HeadJournal!$A$1:$NTR$890,COLUMN(HeadJournal!C$1),0),"")</f>
        <v>Roman</v>
      </c>
      <c r="D626" s="125" t="str">
        <f>IFERROR(VLOOKUP($A626,HeadJournal!$A$1:$NTR$890,COLUMN(HeadJournal!D$1),0),"")</f>
        <v>Доставлен</v>
      </c>
      <c r="E626" s="95">
        <f>IFERROR(VLOOKUP($A626,HeadJournal!$A$1:$NTR$890,COLUMN(HeadJournal!G$1),0),"")</f>
        <v>44915</v>
      </c>
      <c r="F626" s="95" t="str">
        <f t="shared" si="48"/>
        <v>2022 12</v>
      </c>
      <c r="G626" s="96" t="s">
        <v>7</v>
      </c>
      <c r="H626" s="160" t="s">
        <v>3731</v>
      </c>
      <c r="I626" s="96" t="str">
        <f t="shared" si="50"/>
        <v>EYENLIP</v>
      </c>
      <c r="J626" s="97" t="s">
        <v>293</v>
      </c>
      <c r="K626" s="29">
        <v>28</v>
      </c>
      <c r="L626" s="29"/>
      <c r="M626" s="30">
        <f>IFERROR(VLOOKUP($A626,HeadJournal!$A$1:$J$890,COLUMN(HeadJournal!I$1),0)*($K626+$L626)/(SUMIF($A:$A,$A626,$K:$K)+SUMIF($A:$A,$A626,$L:$L)),0)</f>
        <v>0</v>
      </c>
      <c r="N626" s="30">
        <f>IFERROR((VLOOKUP($A626,HeadJournal!$A$1:$K$890,COLUMN(HeadJournal!K$1),0)-VLOOKUP($A626,HeadJournal!$A$1:$K$890,COLUMN(HeadJournal!J$1),0))*($K626+$L626)/(SUMIF($A:$A,$A626,$K:$K)+SUMIF($A:$A,$A626,$L:$L)),0)</f>
        <v>-7.3664825046040518E-3</v>
      </c>
      <c r="O626" s="30">
        <f>IFERROR((VLOOKUP($A626,HeadJournal!$A$1:$L$890,COLUMN(HeadJournal!L$1),0)*($K626+$L626)/(SUMIF($A:$A,$A626,$K:$K)+SUMIF($A:$A,$A626,$L:$L)))/VLOOKUP($A626,HeadJournal!$A$1:$L$890,COLUMN(HeadJournal!H$1),0),0)</f>
        <v>0</v>
      </c>
      <c r="P626" s="30">
        <f>IFERROR(SUM(K626:O626)*VLOOKUP($A626,HeadJournal!$A$1:$L$890,COLUMN(HeadJournal!H$1),0),0)</f>
        <v>27.992633517495396</v>
      </c>
      <c r="Q626" s="29">
        <v>80</v>
      </c>
      <c r="R626" s="31">
        <v>44945</v>
      </c>
      <c r="S626" s="31" t="s">
        <v>3121</v>
      </c>
      <c r="T626" s="95" t="str">
        <f t="shared" si="49"/>
        <v>2023 01</v>
      </c>
      <c r="U626" s="32">
        <f t="shared" si="46"/>
        <v>52.007366482504608</v>
      </c>
      <c r="V626" s="22">
        <f t="shared" si="47"/>
        <v>1.8578947368421055</v>
      </c>
      <c r="X626" s="33"/>
      <c r="Y626" s="33"/>
    </row>
    <row r="627" spans="1:25" x14ac:dyDescent="0.2">
      <c r="A627" s="93" t="s">
        <v>294</v>
      </c>
      <c r="B627" s="94">
        <f>IFERROR(VLOOKUP($A627,HeadJournal!$A$1:$NTR$890,COLUMN(HeadJournal!B$1),0),"")</f>
        <v>0</v>
      </c>
      <c r="C627" s="94" t="str">
        <f>IFERROR(VLOOKUP($A627,HeadJournal!$A$1:$NTR$890,COLUMN(HeadJournal!C$1),0),"")</f>
        <v>Forever</v>
      </c>
      <c r="D627" s="125" t="str">
        <f>IFERROR(VLOOKUP($A627,HeadJournal!$A$1:$NTR$890,COLUMN(HeadJournal!D$1),0),"")</f>
        <v>Доставлен</v>
      </c>
      <c r="E627" s="95">
        <f>IFERROR(VLOOKUP($A627,HeadJournal!$A$1:$NTR$890,COLUMN(HeadJournal!G$1),0),"")</f>
        <v>44918</v>
      </c>
      <c r="F627" s="95" t="str">
        <f t="shared" si="48"/>
        <v>2022 12</v>
      </c>
      <c r="G627" s="96" t="s">
        <v>5</v>
      </c>
      <c r="H627" s="160" t="str">
        <f>RIGHT(Journal!$J627,9)</f>
        <v>000000015</v>
      </c>
      <c r="I627" s="96" t="str">
        <f t="shared" si="50"/>
        <v>Forever</v>
      </c>
      <c r="J627" s="97" t="s">
        <v>295</v>
      </c>
      <c r="K627" s="29">
        <v>12438</v>
      </c>
      <c r="L627" s="29"/>
      <c r="M627" s="30">
        <f>IFERROR(VLOOKUP($A627,HeadJournal!$A$1:$J$890,COLUMN(HeadJournal!I$1),0)*($K627+$L627)/(SUMIF($A:$A,$A627,$K:$K)+SUMIF($A:$A,$A627,$L:$L)),0)</f>
        <v>0</v>
      </c>
      <c r="N627" s="30">
        <f>IFERROR((VLOOKUP($A627,HeadJournal!$A$1:$K$890,COLUMN(HeadJournal!K$1),0)-VLOOKUP($A627,HeadJournal!$A$1:$K$890,COLUMN(HeadJournal!J$1),0))*($K627+$L627)/(SUMIF($A:$A,$A627,$K:$K)+SUMIF($A:$A,$A627,$L:$L)),0)</f>
        <v>318.00643958342806</v>
      </c>
      <c r="O627" s="30">
        <f>IFERROR((VLOOKUP($A627,HeadJournal!$A$1:$L$890,COLUMN(HeadJournal!L$1),0)*($K627+$L627)/(SUMIF($A:$A,$A627,$K:$K)+SUMIF($A:$A,$A627,$L:$L)))/VLOOKUP($A627,HeadJournal!$A$1:$L$890,COLUMN(HeadJournal!H$1),0),0)</f>
        <v>779.97944930789197</v>
      </c>
      <c r="P627" s="30">
        <f>IFERROR(SUM(K627:O627)*VLOOKUP($A627,HeadJournal!$A$1:$L$890,COLUMN(HeadJournal!H$1),0),0)</f>
        <v>2149.5145591559417</v>
      </c>
      <c r="Q627" s="29">
        <v>2150</v>
      </c>
      <c r="R627" s="31">
        <v>44954</v>
      </c>
      <c r="S627" s="31" t="s">
        <v>3121</v>
      </c>
      <c r="T627" s="95" t="str">
        <f t="shared" si="49"/>
        <v>2023 01</v>
      </c>
      <c r="U627" s="32">
        <f t="shared" si="46"/>
        <v>0.4854408440583029</v>
      </c>
      <c r="V627" s="22">
        <f t="shared" si="47"/>
        <v>2.2583743012604803E-4</v>
      </c>
      <c r="X627" s="33"/>
      <c r="Y627" s="33"/>
    </row>
    <row r="628" spans="1:25" x14ac:dyDescent="0.2">
      <c r="A628" s="93" t="s">
        <v>294</v>
      </c>
      <c r="B628" s="94">
        <f>IFERROR(VLOOKUP($A628,HeadJournal!$A$1:$NTR$890,COLUMN(HeadJournal!B$1),0),"")</f>
        <v>0</v>
      </c>
      <c r="C628" s="94" t="str">
        <f>IFERROR(VLOOKUP($A628,HeadJournal!$A$1:$NTR$890,COLUMN(HeadJournal!C$1),0),"")</f>
        <v>Forever</v>
      </c>
      <c r="D628" s="125" t="str">
        <f>IFERROR(VLOOKUP($A628,HeadJournal!$A$1:$NTR$890,COLUMN(HeadJournal!D$1),0),"")</f>
        <v>Доставлен</v>
      </c>
      <c r="E628" s="95">
        <f>IFERROR(VLOOKUP($A628,HeadJournal!$A$1:$NTR$890,COLUMN(HeadJournal!G$1),0),"")</f>
        <v>44918</v>
      </c>
      <c r="F628" s="95" t="str">
        <f t="shared" si="48"/>
        <v>2022 12</v>
      </c>
      <c r="G628" s="96" t="s">
        <v>5</v>
      </c>
      <c r="H628" s="160" t="str">
        <f>RIGHT(Journal!$J628,9)</f>
        <v>000000015</v>
      </c>
      <c r="I628" s="96" t="str">
        <f t="shared" si="50"/>
        <v>Forever</v>
      </c>
      <c r="J628" s="97" t="s">
        <v>295</v>
      </c>
      <c r="K628" s="29">
        <v>12438</v>
      </c>
      <c r="L628" s="29"/>
      <c r="M628" s="30">
        <f>IFERROR(VLOOKUP($A628,HeadJournal!$A$1:$J$890,COLUMN(HeadJournal!I$1),0)*($K628+$L628)/(SUMIF($A:$A,$A628,$K:$K)+SUMIF($A:$A,$A628,$L:$L)),0)</f>
        <v>0</v>
      </c>
      <c r="N628" s="30">
        <f>IFERROR((VLOOKUP($A628,HeadJournal!$A$1:$K$890,COLUMN(HeadJournal!K$1),0)-VLOOKUP($A628,HeadJournal!$A$1:$K$890,COLUMN(HeadJournal!J$1),0))*($K628+$L628)/(SUMIF($A:$A,$A628,$K:$K)+SUMIF($A:$A,$A628,$L:$L)),0)</f>
        <v>318.00643958342806</v>
      </c>
      <c r="O628" s="30">
        <f>IFERROR((VLOOKUP($A628,HeadJournal!$A$1:$L$890,COLUMN(HeadJournal!L$1),0)*($K628+$L628)/(SUMIF($A:$A,$A628,$K:$K)+SUMIF($A:$A,$A628,$L:$L)))/VLOOKUP($A628,HeadJournal!$A$1:$L$890,COLUMN(HeadJournal!H$1),0),0)</f>
        <v>779.97944930789197</v>
      </c>
      <c r="P628" s="30">
        <f>IFERROR(SUM(K628:O628)*VLOOKUP($A628,HeadJournal!$A$1:$L$890,COLUMN(HeadJournal!H$1),0),0)</f>
        <v>2149.5145591559417</v>
      </c>
      <c r="Q628" s="29">
        <v>2200</v>
      </c>
      <c r="R628" s="31">
        <v>44956</v>
      </c>
      <c r="S628" s="31" t="s">
        <v>3121</v>
      </c>
      <c r="T628" s="95" t="str">
        <f t="shared" si="49"/>
        <v>2023 01</v>
      </c>
      <c r="U628" s="32">
        <f t="shared" si="46"/>
        <v>50.485440844058303</v>
      </c>
      <c r="V628" s="22">
        <f t="shared" si="47"/>
        <v>2.3486903416873164E-2</v>
      </c>
      <c r="X628" s="33"/>
      <c r="Y628" s="33"/>
    </row>
    <row r="629" spans="1:25" x14ac:dyDescent="0.2">
      <c r="A629" s="93" t="s">
        <v>294</v>
      </c>
      <c r="B629" s="94">
        <f>IFERROR(VLOOKUP($A629,HeadJournal!$A$1:$NTR$890,COLUMN(HeadJournal!B$1),0),"")</f>
        <v>0</v>
      </c>
      <c r="C629" s="94" t="str">
        <f>IFERROR(VLOOKUP($A629,HeadJournal!$A$1:$NTR$890,COLUMN(HeadJournal!C$1),0),"")</f>
        <v>Forever</v>
      </c>
      <c r="D629" s="125" t="str">
        <f>IFERROR(VLOOKUP($A629,HeadJournal!$A$1:$NTR$890,COLUMN(HeadJournal!D$1),0),"")</f>
        <v>Доставлен</v>
      </c>
      <c r="E629" s="95">
        <f>IFERROR(VLOOKUP($A629,HeadJournal!$A$1:$NTR$890,COLUMN(HeadJournal!G$1),0),"")</f>
        <v>44918</v>
      </c>
      <c r="F629" s="95" t="str">
        <f t="shared" si="48"/>
        <v>2022 12</v>
      </c>
      <c r="G629" s="96" t="s">
        <v>7</v>
      </c>
      <c r="H629" s="160" t="str">
        <f>RIGHT(Journal!$J629,9)</f>
        <v>000000028</v>
      </c>
      <c r="I629" s="96" t="str">
        <f t="shared" si="50"/>
        <v>Forever</v>
      </c>
      <c r="J629" s="97" t="s">
        <v>296</v>
      </c>
      <c r="K629" s="29">
        <v>3665</v>
      </c>
      <c r="L629" s="29"/>
      <c r="M629" s="30">
        <f>IFERROR(VLOOKUP($A629,HeadJournal!$A$1:$J$890,COLUMN(HeadJournal!I$1),0)*($K629+$L629)/(SUMIF($A:$A,$A629,$K:$K)+SUMIF($A:$A,$A629,$L:$L)),0)</f>
        <v>0</v>
      </c>
      <c r="N629" s="30">
        <f>IFERROR((VLOOKUP($A629,HeadJournal!$A$1:$K$890,COLUMN(HeadJournal!K$1),0)-VLOOKUP($A629,HeadJournal!$A$1:$K$890,COLUMN(HeadJournal!J$1),0))*($K629+$L629)/(SUMIF($A:$A,$A629,$K:$K)+SUMIF($A:$A,$A629,$L:$L)),0)</f>
        <v>93.704261221519857</v>
      </c>
      <c r="O629" s="30">
        <f>IFERROR((VLOOKUP($A629,HeadJournal!$A$1:$L$890,COLUMN(HeadJournal!L$1),0)*($K629+$L629)/(SUMIF($A:$A,$A629,$K:$K)+SUMIF($A:$A,$A629,$L:$L)))/VLOOKUP($A629,HeadJournal!$A$1:$L$890,COLUMN(HeadJournal!H$1),0),0)</f>
        <v>229.82993099480817</v>
      </c>
      <c r="P629" s="30">
        <f>IFERROR(SUM(K629:O629)*VLOOKUP($A629,HeadJournal!$A$1:$L$890,COLUMN(HeadJournal!H$1),0),0)</f>
        <v>633.3792297239529</v>
      </c>
      <c r="Q629" s="29">
        <v>633.38</v>
      </c>
      <c r="R629" s="31">
        <v>44919</v>
      </c>
      <c r="S629" s="31" t="s">
        <v>3121</v>
      </c>
      <c r="T629" s="95" t="str">
        <f t="shared" si="49"/>
        <v>2022 12</v>
      </c>
      <c r="U629" s="32">
        <f t="shared" si="46"/>
        <v>7.7027604709201114E-4</v>
      </c>
      <c r="V629" s="22">
        <f t="shared" si="47"/>
        <v>1.2161372065006335E-6</v>
      </c>
      <c r="X629" s="33"/>
      <c r="Y629" s="33"/>
    </row>
    <row r="630" spans="1:25" x14ac:dyDescent="0.2">
      <c r="A630" s="93" t="s">
        <v>294</v>
      </c>
      <c r="B630" s="94">
        <f>IFERROR(VLOOKUP($A630,HeadJournal!$A$1:$NTR$890,COLUMN(HeadJournal!B$1),0),"")</f>
        <v>0</v>
      </c>
      <c r="C630" s="94" t="str">
        <f>IFERROR(VLOOKUP($A630,HeadJournal!$A$1:$NTR$890,COLUMN(HeadJournal!C$1),0),"")</f>
        <v>Forever</v>
      </c>
      <c r="D630" s="125" t="str">
        <f>IFERROR(VLOOKUP($A630,HeadJournal!$A$1:$NTR$890,COLUMN(HeadJournal!D$1),0),"")</f>
        <v>Доставлен</v>
      </c>
      <c r="E630" s="95">
        <f>IFERROR(VLOOKUP($A630,HeadJournal!$A$1:$NTR$890,COLUMN(HeadJournal!G$1),0),"")</f>
        <v>44918</v>
      </c>
      <c r="F630" s="95" t="str">
        <f t="shared" si="48"/>
        <v>2022 12</v>
      </c>
      <c r="G630" s="96" t="s">
        <v>5</v>
      </c>
      <c r="H630" s="160" t="str">
        <f>RIGHT(Journal!$J630,9)</f>
        <v>000000037</v>
      </c>
      <c r="I630" s="96" t="str">
        <f t="shared" si="50"/>
        <v>Forever</v>
      </c>
      <c r="J630" s="97" t="s">
        <v>297</v>
      </c>
      <c r="K630" s="29">
        <v>8679</v>
      </c>
      <c r="L630" s="29"/>
      <c r="M630" s="30">
        <f>IFERROR(VLOOKUP($A630,HeadJournal!$A$1:$J$890,COLUMN(HeadJournal!I$1),0)*($K630+$L630)/(SUMIF($A:$A,$A630,$K:$K)+SUMIF($A:$A,$A630,$L:$L)),0)</f>
        <v>0</v>
      </c>
      <c r="N630" s="30">
        <f>IFERROR((VLOOKUP($A630,HeadJournal!$A$1:$K$890,COLUMN(HeadJournal!K$1),0)-VLOOKUP($A630,HeadJournal!$A$1:$K$890,COLUMN(HeadJournal!J$1),0))*($K630+$L630)/(SUMIF($A:$A,$A630,$K:$K)+SUMIF($A:$A,$A630,$L:$L)),0)</f>
        <v>221.89884942471235</v>
      </c>
      <c r="O630" s="30">
        <f>IFERROR((VLOOKUP($A630,HeadJournal!$A$1:$L$890,COLUMN(HeadJournal!L$1),0)*($K630+$L630)/(SUMIF($A:$A,$A630,$K:$K)+SUMIF($A:$A,$A630,$L:$L)))/VLOOKUP($A630,HeadJournal!$A$1:$L$890,COLUMN(HeadJournal!H$1),0),0)</f>
        <v>544.25483522617742</v>
      </c>
      <c r="P630" s="30">
        <f>IFERROR(SUM(K630:O630)*VLOOKUP($A630,HeadJournal!$A$1:$L$890,COLUMN(HeadJournal!H$1),0),0)</f>
        <v>1499.8904051225613</v>
      </c>
      <c r="Q630" s="29">
        <v>1600</v>
      </c>
      <c r="R630" s="31">
        <v>45057</v>
      </c>
      <c r="S630" s="31" t="s">
        <v>3121</v>
      </c>
      <c r="T630" s="95" t="str">
        <f t="shared" si="49"/>
        <v>2023 05</v>
      </c>
      <c r="U630" s="32">
        <f t="shared" si="46"/>
        <v>100.10959487743867</v>
      </c>
      <c r="V630" s="22">
        <f t="shared" si="47"/>
        <v>6.674460649627155E-2</v>
      </c>
      <c r="X630" s="33"/>
      <c r="Y630" s="33"/>
    </row>
    <row r="631" spans="1:25" x14ac:dyDescent="0.2">
      <c r="A631" s="93" t="s">
        <v>294</v>
      </c>
      <c r="B631" s="94">
        <f>IFERROR(VLOOKUP($A631,HeadJournal!$A$1:$NTR$890,COLUMN(HeadJournal!B$1),0),"")</f>
        <v>0</v>
      </c>
      <c r="C631" s="94" t="str">
        <f>IFERROR(VLOOKUP($A631,HeadJournal!$A$1:$NTR$890,COLUMN(HeadJournal!C$1),0),"")</f>
        <v>Forever</v>
      </c>
      <c r="D631" s="125" t="str">
        <f>IFERROR(VLOOKUP($A631,HeadJournal!$A$1:$NTR$890,COLUMN(HeadJournal!D$1),0),"")</f>
        <v>Доставлен</v>
      </c>
      <c r="E631" s="95">
        <f>IFERROR(VLOOKUP($A631,HeadJournal!$A$1:$NTR$890,COLUMN(HeadJournal!G$1),0),"")</f>
        <v>44918</v>
      </c>
      <c r="F631" s="95" t="str">
        <f t="shared" si="48"/>
        <v>2022 12</v>
      </c>
      <c r="G631" s="96" t="s">
        <v>5</v>
      </c>
      <c r="H631" s="160" t="str">
        <f>RIGHT(Journal!$J631,9)</f>
        <v>000000375</v>
      </c>
      <c r="I631" s="96" t="str">
        <f t="shared" si="50"/>
        <v>Forever</v>
      </c>
      <c r="J631" s="97" t="s">
        <v>298</v>
      </c>
      <c r="K631" s="29">
        <v>14403</v>
      </c>
      <c r="L631" s="29"/>
      <c r="M631" s="30">
        <f>IFERROR(VLOOKUP($A631,HeadJournal!$A$1:$J$890,COLUMN(HeadJournal!I$1),0)*($K631+$L631)/(SUMIF($A:$A,$A631,$K:$K)+SUMIF($A:$A,$A631,$L:$L)),0)</f>
        <v>0</v>
      </c>
      <c r="N631" s="30">
        <f>IFERROR((VLOOKUP($A631,HeadJournal!$A$1:$K$890,COLUMN(HeadJournal!K$1),0)-VLOOKUP($A631,HeadJournal!$A$1:$K$890,COLUMN(HeadJournal!J$1),0))*($K631+$L631)/(SUMIF($A:$A,$A631,$K:$K)+SUMIF($A:$A,$A631,$L:$L)),0)</f>
        <v>368.2462413024694</v>
      </c>
      <c r="O631" s="30">
        <f>IFERROR((VLOOKUP($A631,HeadJournal!$A$1:$L$890,COLUMN(HeadJournal!L$1),0)*($K631+$L631)/(SUMIF($A:$A,$A631,$K:$K)+SUMIF($A:$A,$A631,$L:$L)))/VLOOKUP($A631,HeadJournal!$A$1:$L$890,COLUMN(HeadJournal!H$1),0),0)</f>
        <v>903.20340958205247</v>
      </c>
      <c r="P631" s="30">
        <f>IFERROR(SUM(K631:O631)*VLOOKUP($A631,HeadJournal!$A$1:$L$890,COLUMN(HeadJournal!H$1),0),0)</f>
        <v>2489.1026045604622</v>
      </c>
      <c r="Q631" s="29">
        <v>2500</v>
      </c>
      <c r="R631" s="31">
        <v>44954</v>
      </c>
      <c r="S631" s="31" t="s">
        <v>3121</v>
      </c>
      <c r="T631" s="95" t="str">
        <f t="shared" si="49"/>
        <v>2023 01</v>
      </c>
      <c r="U631" s="32">
        <f t="shared" si="46"/>
        <v>10.897395439537831</v>
      </c>
      <c r="V631" s="22">
        <f t="shared" si="47"/>
        <v>4.3780418772500322E-3</v>
      </c>
      <c r="X631" s="33"/>
      <c r="Y631" s="33"/>
    </row>
    <row r="632" spans="1:25" x14ac:dyDescent="0.2">
      <c r="A632" s="93" t="s">
        <v>294</v>
      </c>
      <c r="B632" s="94">
        <f>IFERROR(VLOOKUP($A632,HeadJournal!$A$1:$NTR$890,COLUMN(HeadJournal!B$1),0),"")</f>
        <v>0</v>
      </c>
      <c r="C632" s="94" t="str">
        <f>IFERROR(VLOOKUP($A632,HeadJournal!$A$1:$NTR$890,COLUMN(HeadJournal!C$1),0),"")</f>
        <v>Forever</v>
      </c>
      <c r="D632" s="125" t="str">
        <f>IFERROR(VLOOKUP($A632,HeadJournal!$A$1:$NTR$890,COLUMN(HeadJournal!D$1),0),"")</f>
        <v>Доставлен</v>
      </c>
      <c r="E632" s="95">
        <f>IFERROR(VLOOKUP($A632,HeadJournal!$A$1:$NTR$890,COLUMN(HeadJournal!G$1),0),"")</f>
        <v>44918</v>
      </c>
      <c r="F632" s="95" t="str">
        <f t="shared" si="48"/>
        <v>2022 12</v>
      </c>
      <c r="G632" s="96" t="s">
        <v>5</v>
      </c>
      <c r="H632" s="160" t="str">
        <f>RIGHT(Journal!$J632,9)</f>
        <v>000000375</v>
      </c>
      <c r="I632" s="96" t="str">
        <f t="shared" si="50"/>
        <v>Forever</v>
      </c>
      <c r="J632" s="97" t="s">
        <v>298</v>
      </c>
      <c r="K632" s="29">
        <v>14403</v>
      </c>
      <c r="L632" s="29"/>
      <c r="M632" s="30">
        <f>IFERROR(VLOOKUP($A632,HeadJournal!$A$1:$J$890,COLUMN(HeadJournal!I$1),0)*($K632+$L632)/(SUMIF($A:$A,$A632,$K:$K)+SUMIF($A:$A,$A632,$L:$L)),0)</f>
        <v>0</v>
      </c>
      <c r="N632" s="30">
        <f>IFERROR((VLOOKUP($A632,HeadJournal!$A$1:$K$890,COLUMN(HeadJournal!K$1),0)-VLOOKUP($A632,HeadJournal!$A$1:$K$890,COLUMN(HeadJournal!J$1),0))*($K632+$L632)/(SUMIF($A:$A,$A632,$K:$K)+SUMIF($A:$A,$A632,$L:$L)),0)</f>
        <v>368.2462413024694</v>
      </c>
      <c r="O632" s="30">
        <f>IFERROR((VLOOKUP($A632,HeadJournal!$A$1:$L$890,COLUMN(HeadJournal!L$1),0)*($K632+$L632)/(SUMIF($A:$A,$A632,$K:$K)+SUMIF($A:$A,$A632,$L:$L)))/VLOOKUP($A632,HeadJournal!$A$1:$L$890,COLUMN(HeadJournal!H$1),0),0)</f>
        <v>903.20340958205247</v>
      </c>
      <c r="P632" s="30">
        <f>IFERROR(SUM(K632:O632)*VLOOKUP($A632,HeadJournal!$A$1:$L$890,COLUMN(HeadJournal!H$1),0),0)</f>
        <v>2489.1026045604622</v>
      </c>
      <c r="Q632" s="29">
        <v>2500</v>
      </c>
      <c r="R632" s="31">
        <v>44954</v>
      </c>
      <c r="S632" s="31" t="s">
        <v>3121</v>
      </c>
      <c r="T632" s="95" t="str">
        <f t="shared" si="49"/>
        <v>2023 01</v>
      </c>
      <c r="U632" s="32">
        <f t="shared" si="46"/>
        <v>10.897395439537831</v>
      </c>
      <c r="V632" s="22">
        <f t="shared" si="47"/>
        <v>4.3780418772500322E-3</v>
      </c>
      <c r="X632" s="33"/>
      <c r="Y632" s="33"/>
    </row>
    <row r="633" spans="1:25" x14ac:dyDescent="0.2">
      <c r="A633" s="93" t="s">
        <v>294</v>
      </c>
      <c r="B633" s="94">
        <f>IFERROR(VLOOKUP($A633,HeadJournal!$A$1:$NTR$890,COLUMN(HeadJournal!B$1),0),"")</f>
        <v>0</v>
      </c>
      <c r="C633" s="94" t="str">
        <f>IFERROR(VLOOKUP($A633,HeadJournal!$A$1:$NTR$890,COLUMN(HeadJournal!C$1),0),"")</f>
        <v>Forever</v>
      </c>
      <c r="D633" s="125" t="str">
        <f>IFERROR(VLOOKUP($A633,HeadJournal!$A$1:$NTR$890,COLUMN(HeadJournal!D$1),0),"")</f>
        <v>Доставлен</v>
      </c>
      <c r="E633" s="95">
        <f>IFERROR(VLOOKUP($A633,HeadJournal!$A$1:$NTR$890,COLUMN(HeadJournal!G$1),0),"")</f>
        <v>44918</v>
      </c>
      <c r="F633" s="95" t="str">
        <f t="shared" si="48"/>
        <v>2022 12</v>
      </c>
      <c r="G633" s="96" t="s">
        <v>7</v>
      </c>
      <c r="H633" s="160" t="str">
        <f>RIGHT(Journal!$J633,9)</f>
        <v>000000040</v>
      </c>
      <c r="I633" s="96" t="str">
        <f t="shared" si="50"/>
        <v>Forever</v>
      </c>
      <c r="J633" s="97" t="s">
        <v>299</v>
      </c>
      <c r="K633" s="29">
        <v>9432</v>
      </c>
      <c r="L633" s="29"/>
      <c r="M633" s="30">
        <f>IFERROR(VLOOKUP($A633,HeadJournal!$A$1:$J$890,COLUMN(HeadJournal!I$1),0)*($K633+$L633)/(SUMIF($A:$A,$A633,$K:$K)+SUMIF($A:$A,$A633,$L:$L)),0)</f>
        <v>0</v>
      </c>
      <c r="N633" s="30">
        <f>IFERROR((VLOOKUP($A633,HeadJournal!$A$1:$K$890,COLUMN(HeadJournal!K$1),0)-VLOOKUP($A633,HeadJournal!$A$1:$K$890,COLUMN(HeadJournal!J$1),0))*($K633+$L633)/(SUMIF($A:$A,$A633,$K:$K)+SUMIF($A:$A,$A633,$L:$L)),0)</f>
        <v>241.15104825139844</v>
      </c>
      <c r="O633" s="30">
        <f>IFERROR((VLOOKUP($A633,HeadJournal!$A$1:$L$890,COLUMN(HeadJournal!L$1),0)*($K633+$L633)/(SUMIF($A:$A,$A633,$K:$K)+SUMIF($A:$A,$A633,$L:$L)))/VLOOKUP($A633,HeadJournal!$A$1:$L$890,COLUMN(HeadJournal!H$1),0),0)</f>
        <v>591.47500931597028</v>
      </c>
      <c r="P633" s="30">
        <f>IFERROR(SUM(K633:O633)*VLOOKUP($A633,HeadJournal!$A$1:$L$890,COLUMN(HeadJournal!H$1),0),0)</f>
        <v>1630.0226179416982</v>
      </c>
      <c r="Q633" s="29">
        <v>1630.02</v>
      </c>
      <c r="R633" s="31">
        <v>44928</v>
      </c>
      <c r="S633" s="31" t="s">
        <v>3121</v>
      </c>
      <c r="T633" s="95" t="str">
        <f t="shared" si="49"/>
        <v>2023 01</v>
      </c>
      <c r="U633" s="32">
        <f t="shared" si="46"/>
        <v>-2.6179416981904069E-3</v>
      </c>
      <c r="V633" s="22">
        <f t="shared" si="47"/>
        <v>-1.6060769153597378E-6</v>
      </c>
      <c r="X633" s="33"/>
      <c r="Y633" s="33"/>
    </row>
    <row r="634" spans="1:25" x14ac:dyDescent="0.2">
      <c r="A634" s="93" t="s">
        <v>294</v>
      </c>
      <c r="B634" s="94">
        <f>IFERROR(VLOOKUP($A634,HeadJournal!$A$1:$NTR$890,COLUMN(HeadJournal!B$1),0),"")</f>
        <v>0</v>
      </c>
      <c r="C634" s="94" t="str">
        <f>IFERROR(VLOOKUP($A634,HeadJournal!$A$1:$NTR$890,COLUMN(HeadJournal!C$1),0),"")</f>
        <v>Forever</v>
      </c>
      <c r="D634" s="125" t="str">
        <f>IFERROR(VLOOKUP($A634,HeadJournal!$A$1:$NTR$890,COLUMN(HeadJournal!D$1),0),"")</f>
        <v>Доставлен</v>
      </c>
      <c r="E634" s="95">
        <f>IFERROR(VLOOKUP($A634,HeadJournal!$A$1:$NTR$890,COLUMN(HeadJournal!G$1),0),"")</f>
        <v>44918</v>
      </c>
      <c r="F634" s="95" t="str">
        <f t="shared" si="48"/>
        <v>2022 12</v>
      </c>
      <c r="G634" s="96" t="s">
        <v>7</v>
      </c>
      <c r="H634" s="160" t="str">
        <f>RIGHT(Journal!$J634,9)</f>
        <v>000000051</v>
      </c>
      <c r="I634" s="96" t="str">
        <f t="shared" si="50"/>
        <v>Forever</v>
      </c>
      <c r="J634" s="97" t="s">
        <v>300</v>
      </c>
      <c r="K634" s="29">
        <v>9432</v>
      </c>
      <c r="L634" s="29"/>
      <c r="M634" s="30">
        <f>IFERROR(VLOOKUP($A634,HeadJournal!$A$1:$J$890,COLUMN(HeadJournal!I$1),0)*($K634+$L634)/(SUMIF($A:$A,$A634,$K:$K)+SUMIF($A:$A,$A634,$L:$L)),0)</f>
        <v>0</v>
      </c>
      <c r="N634" s="30">
        <f>IFERROR((VLOOKUP($A634,HeadJournal!$A$1:$K$890,COLUMN(HeadJournal!K$1),0)-VLOOKUP($A634,HeadJournal!$A$1:$K$890,COLUMN(HeadJournal!J$1),0))*($K634+$L634)/(SUMIF($A:$A,$A634,$K:$K)+SUMIF($A:$A,$A634,$L:$L)),0)</f>
        <v>241.15104825139844</v>
      </c>
      <c r="O634" s="30">
        <f>IFERROR((VLOOKUP($A634,HeadJournal!$A$1:$L$890,COLUMN(HeadJournal!L$1),0)*($K634+$L634)/(SUMIF($A:$A,$A634,$K:$K)+SUMIF($A:$A,$A634,$L:$L)))/VLOOKUP($A634,HeadJournal!$A$1:$L$890,COLUMN(HeadJournal!H$1),0),0)</f>
        <v>591.47500931597028</v>
      </c>
      <c r="P634" s="30">
        <f>IFERROR(SUM(K634:O634)*VLOOKUP($A634,HeadJournal!$A$1:$L$890,COLUMN(HeadJournal!H$1),0),0)</f>
        <v>1630.0226179416982</v>
      </c>
      <c r="Q634" s="29">
        <v>1630.02</v>
      </c>
      <c r="R634" s="31">
        <v>44919</v>
      </c>
      <c r="S634" s="31" t="s">
        <v>3121</v>
      </c>
      <c r="T634" s="95" t="str">
        <f t="shared" si="49"/>
        <v>2022 12</v>
      </c>
      <c r="U634" s="32">
        <f t="shared" si="46"/>
        <v>-2.6179416981904069E-3</v>
      </c>
      <c r="V634" s="22">
        <f t="shared" si="47"/>
        <v>-1.6060769153597378E-6</v>
      </c>
      <c r="X634" s="33"/>
      <c r="Y634" s="33"/>
    </row>
    <row r="635" spans="1:25" x14ac:dyDescent="0.2">
      <c r="A635" s="93" t="s">
        <v>294</v>
      </c>
      <c r="B635" s="94">
        <f>IFERROR(VLOOKUP($A635,HeadJournal!$A$1:$NTR$890,COLUMN(HeadJournal!B$1),0),"")</f>
        <v>0</v>
      </c>
      <c r="C635" s="94" t="str">
        <f>IFERROR(VLOOKUP($A635,HeadJournal!$A$1:$NTR$890,COLUMN(HeadJournal!C$1),0),"")</f>
        <v>Forever</v>
      </c>
      <c r="D635" s="125" t="str">
        <f>IFERROR(VLOOKUP($A635,HeadJournal!$A$1:$NTR$890,COLUMN(HeadJournal!D$1),0),"")</f>
        <v>Доставлен</v>
      </c>
      <c r="E635" s="95">
        <f>IFERROR(VLOOKUP($A635,HeadJournal!$A$1:$NTR$890,COLUMN(HeadJournal!G$1),0),"")</f>
        <v>44918</v>
      </c>
      <c r="F635" s="95" t="str">
        <f t="shared" si="48"/>
        <v>2022 12</v>
      </c>
      <c r="G635" s="96" t="s">
        <v>7</v>
      </c>
      <c r="H635" s="160" t="str">
        <f>RIGHT(Journal!$J635,9)</f>
        <v>000000061</v>
      </c>
      <c r="I635" s="96" t="str">
        <f t="shared" si="50"/>
        <v>Forever</v>
      </c>
      <c r="J635" s="97" t="s">
        <v>301</v>
      </c>
      <c r="K635" s="29">
        <v>7102</v>
      </c>
      <c r="L635" s="29"/>
      <c r="M635" s="30">
        <f>IFERROR(VLOOKUP($A635,HeadJournal!$A$1:$J$890,COLUMN(HeadJournal!I$1),0)*($K635+$L635)/(SUMIF($A:$A,$A635,$K:$K)+SUMIF($A:$A,$A635,$L:$L)),0)</f>
        <v>0</v>
      </c>
      <c r="N635" s="30">
        <f>IFERROR((VLOOKUP($A635,HeadJournal!$A$1:$K$890,COLUMN(HeadJournal!K$1),0)-VLOOKUP($A635,HeadJournal!$A$1:$K$890,COLUMN(HeadJournal!J$1),0))*($K635+$L635)/(SUMIF($A:$A,$A635,$K:$K)+SUMIF($A:$A,$A635,$L:$L)),0)</f>
        <v>181.57917140388375</v>
      </c>
      <c r="O635" s="30">
        <f>IFERROR((VLOOKUP($A635,HeadJournal!$A$1:$L$890,COLUMN(HeadJournal!L$1),0)*($K635+$L635)/(SUMIF($A:$A,$A635,$K:$K)+SUMIF($A:$A,$A635,$L:$L)))/VLOOKUP($A635,HeadJournal!$A$1:$L$890,COLUMN(HeadJournal!H$1),0),0)</f>
        <v>445.36212003414124</v>
      </c>
      <c r="P635" s="30">
        <f>IFERROR(SUM(K635:O635)*VLOOKUP($A635,HeadJournal!$A$1:$L$890,COLUMN(HeadJournal!H$1),0),0)</f>
        <v>1227.3558770803584</v>
      </c>
      <c r="Q635" s="29">
        <v>1227.3599999999999</v>
      </c>
      <c r="R635" s="31">
        <v>44919</v>
      </c>
      <c r="S635" s="31" t="s">
        <v>3121</v>
      </c>
      <c r="T635" s="95" t="str">
        <f t="shared" si="49"/>
        <v>2022 12</v>
      </c>
      <c r="U635" s="32">
        <f t="shared" si="46"/>
        <v>4.1229196415315528E-3</v>
      </c>
      <c r="V635" s="22">
        <f t="shared" si="47"/>
        <v>3.3591884135016969E-6</v>
      </c>
      <c r="X635" s="33"/>
      <c r="Y635" s="33"/>
    </row>
    <row r="636" spans="1:25" x14ac:dyDescent="0.2">
      <c r="A636" s="93" t="s">
        <v>294</v>
      </c>
      <c r="B636" s="94">
        <f>IFERROR(VLOOKUP($A636,HeadJournal!$A$1:$NTR$890,COLUMN(HeadJournal!B$1),0),"")</f>
        <v>0</v>
      </c>
      <c r="C636" s="94" t="str">
        <f>IFERROR(VLOOKUP($A636,HeadJournal!$A$1:$NTR$890,COLUMN(HeadJournal!C$1),0),"")</f>
        <v>Forever</v>
      </c>
      <c r="D636" s="125" t="str">
        <f>IFERROR(VLOOKUP($A636,HeadJournal!$A$1:$NTR$890,COLUMN(HeadJournal!D$1),0),"")</f>
        <v>Доставлен</v>
      </c>
      <c r="E636" s="95">
        <f>IFERROR(VLOOKUP($A636,HeadJournal!$A$1:$NTR$890,COLUMN(HeadJournal!G$1),0),"")</f>
        <v>44918</v>
      </c>
      <c r="F636" s="95" t="str">
        <f t="shared" si="48"/>
        <v>2022 12</v>
      </c>
      <c r="G636" s="96" t="s">
        <v>7</v>
      </c>
      <c r="H636" s="160" t="str">
        <f>RIGHT(Journal!$J636,9)</f>
        <v>000000633</v>
      </c>
      <c r="I636" s="96" t="str">
        <f t="shared" si="50"/>
        <v>Forever</v>
      </c>
      <c r="J636" s="97" t="s">
        <v>302</v>
      </c>
      <c r="K636" s="29">
        <v>8787</v>
      </c>
      <c r="L636" s="29"/>
      <c r="M636" s="30">
        <f>IFERROR(VLOOKUP($A636,HeadJournal!$A$1:$J$890,COLUMN(HeadJournal!I$1),0)*($K636+$L636)/(SUMIF($A:$A,$A636,$K:$K)+SUMIF($A:$A,$A636,$L:$L)),0)</f>
        <v>0</v>
      </c>
      <c r="N636" s="30">
        <f>IFERROR((VLOOKUP($A636,HeadJournal!$A$1:$K$890,COLUMN(HeadJournal!K$1),0)-VLOOKUP($A636,HeadJournal!$A$1:$K$890,COLUMN(HeadJournal!J$1),0))*($K636+$L636)/(SUMIF($A:$A,$A636,$K:$K)+SUMIF($A:$A,$A636,$L:$L)),0)</f>
        <v>224.6601209695757</v>
      </c>
      <c r="O636" s="30">
        <f>IFERROR((VLOOKUP($A636,HeadJournal!$A$1:$L$890,COLUMN(HeadJournal!L$1),0)*($K636+$L636)/(SUMIF($A:$A,$A636,$K:$K)+SUMIF($A:$A,$A636,$L:$L)))/VLOOKUP($A636,HeadJournal!$A$1:$L$890,COLUMN(HeadJournal!H$1),0),0)</f>
        <v>551.0274498366656</v>
      </c>
      <c r="P636" s="30">
        <f>IFERROR(SUM(K636:O636)*VLOOKUP($A636,HeadJournal!$A$1:$L$890,COLUMN(HeadJournal!H$1),0),0)</f>
        <v>1518.5547862440312</v>
      </c>
      <c r="Q636" s="29"/>
      <c r="R636" s="31"/>
      <c r="S636" s="31"/>
      <c r="T636" s="95" t="str">
        <f t="shared" si="49"/>
        <v/>
      </c>
      <c r="U636" s="32">
        <f t="shared" si="46"/>
        <v>-1518.5547862440312</v>
      </c>
      <c r="V636" s="22" t="str">
        <f t="shared" si="47"/>
        <v/>
      </c>
      <c r="X636" s="33"/>
      <c r="Y636" s="33"/>
    </row>
    <row r="637" spans="1:25" x14ac:dyDescent="0.2">
      <c r="A637" s="93" t="s">
        <v>294</v>
      </c>
      <c r="B637" s="94">
        <f>IFERROR(VLOOKUP($A637,HeadJournal!$A$1:$NTR$890,COLUMN(HeadJournal!B$1),0),"")</f>
        <v>0</v>
      </c>
      <c r="C637" s="94" t="str">
        <f>IFERROR(VLOOKUP($A637,HeadJournal!$A$1:$NTR$890,COLUMN(HeadJournal!C$1),0),"")</f>
        <v>Forever</v>
      </c>
      <c r="D637" s="125" t="str">
        <f>IFERROR(VLOOKUP($A637,HeadJournal!$A$1:$NTR$890,COLUMN(HeadJournal!D$1),0),"")</f>
        <v>Доставлен</v>
      </c>
      <c r="E637" s="95">
        <f>IFERROR(VLOOKUP($A637,HeadJournal!$A$1:$NTR$890,COLUMN(HeadJournal!G$1),0),"")</f>
        <v>44918</v>
      </c>
      <c r="F637" s="95" t="str">
        <f t="shared" si="48"/>
        <v>2022 12</v>
      </c>
      <c r="G637" s="96" t="s">
        <v>7</v>
      </c>
      <c r="H637" s="160" t="str">
        <f>RIGHT(Journal!$J637,9)</f>
        <v>000000067</v>
      </c>
      <c r="I637" s="96" t="str">
        <f t="shared" si="50"/>
        <v>Forever</v>
      </c>
      <c r="J637" s="97" t="s">
        <v>303</v>
      </c>
      <c r="K637" s="29">
        <v>3418</v>
      </c>
      <c r="L637" s="29"/>
      <c r="M637" s="30">
        <f>IFERROR(VLOOKUP($A637,HeadJournal!$A$1:$J$890,COLUMN(HeadJournal!I$1),0)*($K637+$L637)/(SUMIF($A:$A,$A637,$K:$K)+SUMIF($A:$A,$A637,$L:$L)),0)</f>
        <v>0</v>
      </c>
      <c r="N637" s="30">
        <f>IFERROR((VLOOKUP($A637,HeadJournal!$A$1:$K$890,COLUMN(HeadJournal!K$1),0)-VLOOKUP($A637,HeadJournal!$A$1:$K$890,COLUMN(HeadJournal!J$1),0))*($K637+$L637)/(SUMIF($A:$A,$A637,$K:$K)+SUMIF($A:$A,$A637,$L:$L)),0)</f>
        <v>87.389130929100915</v>
      </c>
      <c r="O637" s="30">
        <f>IFERROR((VLOOKUP($A637,HeadJournal!$A$1:$L$890,COLUMN(HeadJournal!L$1),0)*($K637+$L637)/(SUMIF($A:$A,$A637,$K:$K)+SUMIF($A:$A,$A637,$L:$L)))/VLOOKUP($A637,HeadJournal!$A$1:$L$890,COLUMN(HeadJournal!H$1),0),0)</f>
        <v>214.34071054304346</v>
      </c>
      <c r="P637" s="30">
        <f>IFERROR(SUM(K637:O637)*VLOOKUP($A637,HeadJournal!$A$1:$L$890,COLUMN(HeadJournal!H$1),0),0)</f>
        <v>590.69309882577647</v>
      </c>
      <c r="Q637" s="29">
        <v>590.69000000000005</v>
      </c>
      <c r="R637" s="31">
        <v>44947</v>
      </c>
      <c r="S637" s="31" t="s">
        <v>3121</v>
      </c>
      <c r="T637" s="95" t="str">
        <f t="shared" si="49"/>
        <v>2023 01</v>
      </c>
      <c r="U637" s="32">
        <f t="shared" si="46"/>
        <v>-3.0988257764192895E-3</v>
      </c>
      <c r="V637" s="22">
        <f t="shared" si="47"/>
        <v>-5.2460842738460382E-6</v>
      </c>
      <c r="X637" s="33"/>
      <c r="Y637" s="33"/>
    </row>
    <row r="638" spans="1:25" x14ac:dyDescent="0.2">
      <c r="A638" s="93" t="s">
        <v>294</v>
      </c>
      <c r="B638" s="94">
        <f>IFERROR(VLOOKUP($A638,HeadJournal!$A$1:$NTR$890,COLUMN(HeadJournal!B$1),0),"")</f>
        <v>0</v>
      </c>
      <c r="C638" s="94" t="str">
        <f>IFERROR(VLOOKUP($A638,HeadJournal!$A$1:$NTR$890,COLUMN(HeadJournal!C$1),0),"")</f>
        <v>Forever</v>
      </c>
      <c r="D638" s="125" t="str">
        <f>IFERROR(VLOOKUP($A638,HeadJournal!$A$1:$NTR$890,COLUMN(HeadJournal!D$1),0),"")</f>
        <v>Доставлен</v>
      </c>
      <c r="E638" s="95">
        <f>IFERROR(VLOOKUP($A638,HeadJournal!$A$1:$NTR$890,COLUMN(HeadJournal!G$1),0),"")</f>
        <v>44918</v>
      </c>
      <c r="F638" s="95" t="str">
        <f t="shared" si="48"/>
        <v>2022 12</v>
      </c>
      <c r="G638" s="96" t="s">
        <v>5</v>
      </c>
      <c r="H638" s="160" t="str">
        <f>RIGHT(Journal!$J638,9)</f>
        <v>000000068</v>
      </c>
      <c r="I638" s="96" t="str">
        <f t="shared" si="50"/>
        <v>Forever</v>
      </c>
      <c r="J638" s="97" t="s">
        <v>304</v>
      </c>
      <c r="K638" s="29">
        <v>5748</v>
      </c>
      <c r="L638" s="29"/>
      <c r="M638" s="30">
        <f>IFERROR(VLOOKUP($A638,HeadJournal!$A$1:$J$890,COLUMN(HeadJournal!I$1),0)*($K638+$L638)/(SUMIF($A:$A,$A638,$K:$K)+SUMIF($A:$A,$A638,$L:$L)),0)</f>
        <v>0</v>
      </c>
      <c r="N638" s="30">
        <f>IFERROR((VLOOKUP($A638,HeadJournal!$A$1:$K$890,COLUMN(HeadJournal!K$1),0)-VLOOKUP($A638,HeadJournal!$A$1:$K$890,COLUMN(HeadJournal!J$1),0))*($K638+$L638)/(SUMIF($A:$A,$A638,$K:$K)+SUMIF($A:$A,$A638,$L:$L)),0)</f>
        <v>146.96100777661559</v>
      </c>
      <c r="O638" s="30">
        <f>IFERROR((VLOOKUP($A638,HeadJournal!$A$1:$L$890,COLUMN(HeadJournal!L$1),0)*($K638+$L638)/(SUMIF($A:$A,$A638,$K:$K)+SUMIF($A:$A,$A638,$L:$L)))/VLOOKUP($A638,HeadJournal!$A$1:$L$890,COLUMN(HeadJournal!H$1),0),0)</f>
        <v>360.45359982487241</v>
      </c>
      <c r="P638" s="30">
        <f>IFERROR(SUM(K638:O638)*VLOOKUP($A638,HeadJournal!$A$1:$L$890,COLUMN(HeadJournal!H$1),0),0)</f>
        <v>993.35983968711616</v>
      </c>
      <c r="Q638" s="29">
        <v>1700</v>
      </c>
      <c r="R638" s="31">
        <v>45682</v>
      </c>
      <c r="S638" s="31" t="s">
        <v>3121</v>
      </c>
      <c r="T638" s="95" t="str">
        <f t="shared" si="49"/>
        <v>2025 01</v>
      </c>
      <c r="U638" s="32">
        <f t="shared" si="46"/>
        <v>706.64016031288384</v>
      </c>
      <c r="V638" s="22">
        <f t="shared" si="47"/>
        <v>0.71136372951765203</v>
      </c>
      <c r="X638" s="33"/>
      <c r="Y638" s="33"/>
    </row>
    <row r="639" spans="1:25" x14ac:dyDescent="0.2">
      <c r="A639" s="93" t="s">
        <v>305</v>
      </c>
      <c r="B639" s="94">
        <f>IFERROR(VLOOKUP($A639,HeadJournal!$A$1:$NTR$890,COLUMN(HeadJournal!B$1),0),"")</f>
        <v>0</v>
      </c>
      <c r="C639" s="94" t="str">
        <f>IFERROR(VLOOKUP($A639,HeadJournal!$A$1:$NTR$890,COLUMN(HeadJournal!C$1),0),"")</f>
        <v>CoralClub_AV</v>
      </c>
      <c r="D639" s="125" t="str">
        <f>IFERROR(VLOOKUP($A639,HeadJournal!$A$1:$NTR$890,COLUMN(HeadJournal!D$1),0),"")</f>
        <v>Доставлен</v>
      </c>
      <c r="E639" s="95">
        <f>IFERROR(VLOOKUP($A639,HeadJournal!$A$1:$NTR$890,COLUMN(HeadJournal!G$1),0),"")</f>
        <v>44919</v>
      </c>
      <c r="F639" s="95" t="str">
        <f t="shared" si="48"/>
        <v>2022 12</v>
      </c>
      <c r="G639" s="96" t="s">
        <v>5</v>
      </c>
      <c r="H639" s="160" t="str">
        <f>RIGHT(Journal!$J639,9)</f>
        <v>000002153</v>
      </c>
      <c r="I639" s="96" t="str">
        <f t="shared" si="50"/>
        <v>CoralClub</v>
      </c>
      <c r="J639" s="97" t="s">
        <v>262</v>
      </c>
      <c r="K639" s="29">
        <v>960</v>
      </c>
      <c r="L639" s="29"/>
      <c r="M639" s="30">
        <f>IFERROR(VLOOKUP($A639,HeadJournal!$A$1:$J$890,COLUMN(HeadJournal!I$1),0)*($K639+$L639)/(SUMIF($A:$A,$A639,$K:$K)+SUMIF($A:$A,$A639,$L:$L)),0)</f>
        <v>0</v>
      </c>
      <c r="N639" s="30">
        <f>IFERROR((VLOOKUP($A639,HeadJournal!$A$1:$K$890,COLUMN(HeadJournal!K$1),0)-VLOOKUP($A639,HeadJournal!$A$1:$K$890,COLUMN(HeadJournal!J$1),0))*($K639+$L639)/(SUMIF($A:$A,$A639,$K:$K)+SUMIF($A:$A,$A639,$L:$L)),0)</f>
        <v>0</v>
      </c>
      <c r="O639" s="30">
        <f>IFERROR((VLOOKUP($A639,HeadJournal!$A$1:$L$890,COLUMN(HeadJournal!L$1),0)*($K639+$L639)/(SUMIF($A:$A,$A639,$K:$K)+SUMIF($A:$A,$A639,$L:$L)))/VLOOKUP($A639,HeadJournal!$A$1:$L$890,COLUMN(HeadJournal!H$1),0),0)</f>
        <v>0</v>
      </c>
      <c r="P639" s="30">
        <f>IFERROR(SUM(K639:O639)*VLOOKUP($A639,HeadJournal!$A$1:$L$890,COLUMN(HeadJournal!H$1),0),0)</f>
        <v>960</v>
      </c>
      <c r="Q639" s="29">
        <v>1300</v>
      </c>
      <c r="R639" s="31">
        <v>44921</v>
      </c>
      <c r="S639" s="31" t="s">
        <v>3121</v>
      </c>
      <c r="T639" s="95" t="str">
        <f t="shared" si="49"/>
        <v>2022 12</v>
      </c>
      <c r="U639" s="32">
        <f t="shared" si="46"/>
        <v>340</v>
      </c>
      <c r="V639" s="22">
        <f t="shared" si="47"/>
        <v>0.35416666666666669</v>
      </c>
      <c r="X639" s="33"/>
      <c r="Y639" s="33"/>
    </row>
    <row r="640" spans="1:25" x14ac:dyDescent="0.2">
      <c r="A640" s="93" t="s">
        <v>306</v>
      </c>
      <c r="B640" s="94">
        <f>IFERROR(VLOOKUP($A640,HeadJournal!$A$1:$NTR$890,COLUMN(HeadJournal!B$1),0),"")</f>
        <v>0</v>
      </c>
      <c r="C640" s="94" t="str">
        <f>IFERROR(VLOOKUP($A640,HeadJournal!$A$1:$NTR$890,COLUMN(HeadJournal!C$1),0),"")</f>
        <v>CoralClub_AV</v>
      </c>
      <c r="D640" s="125" t="str">
        <f>IFERROR(VLOOKUP($A640,HeadJournal!$A$1:$NTR$890,COLUMN(HeadJournal!D$1),0),"")</f>
        <v>Доставлен</v>
      </c>
      <c r="E640" s="95">
        <f>IFERROR(VLOOKUP($A640,HeadJournal!$A$1:$NTR$890,COLUMN(HeadJournal!G$1),0),"")</f>
        <v>44924</v>
      </c>
      <c r="F640" s="95" t="str">
        <f t="shared" si="48"/>
        <v>2022 12</v>
      </c>
      <c r="G640" s="96" t="s">
        <v>5</v>
      </c>
      <c r="H640" s="160" t="str">
        <f>RIGHT(Journal!$J640,9)</f>
        <v>000002150</v>
      </c>
      <c r="I640" s="96" t="str">
        <f t="shared" si="50"/>
        <v>CoralClub</v>
      </c>
      <c r="J640" s="97" t="s">
        <v>307</v>
      </c>
      <c r="K640" s="29">
        <v>1280</v>
      </c>
      <c r="L640" s="29"/>
      <c r="M640" s="30">
        <f>IFERROR(VLOOKUP($A640,HeadJournal!$A$1:$J$890,COLUMN(HeadJournal!I$1),0)*($K640+$L640)/(SUMIF($A:$A,$A640,$K:$K)+SUMIF($A:$A,$A640,$L:$L)),0)</f>
        <v>0</v>
      </c>
      <c r="N640" s="30">
        <f>IFERROR((VLOOKUP($A640,HeadJournal!$A$1:$K$890,COLUMN(HeadJournal!K$1),0)-VLOOKUP($A640,HeadJournal!$A$1:$K$890,COLUMN(HeadJournal!J$1),0))*($K640+$L640)/(SUMIF($A:$A,$A640,$K:$K)+SUMIF($A:$A,$A640,$L:$L)),0)</f>
        <v>0</v>
      </c>
      <c r="O640" s="30">
        <f>IFERROR((VLOOKUP($A640,HeadJournal!$A$1:$L$890,COLUMN(HeadJournal!L$1),0)*($K640+$L640)/(SUMIF($A:$A,$A640,$K:$K)+SUMIF($A:$A,$A640,$L:$L)))/VLOOKUP($A640,HeadJournal!$A$1:$L$890,COLUMN(HeadJournal!H$1),0),0)</f>
        <v>0</v>
      </c>
      <c r="P640" s="30">
        <f>IFERROR(SUM(K640:O640)*VLOOKUP($A640,HeadJournal!$A$1:$L$890,COLUMN(HeadJournal!H$1),0),0)</f>
        <v>1280</v>
      </c>
      <c r="Q640" s="29">
        <v>1600</v>
      </c>
      <c r="R640" s="31">
        <v>44937</v>
      </c>
      <c r="S640" s="31" t="s">
        <v>3121</v>
      </c>
      <c r="T640" s="95" t="str">
        <f t="shared" si="49"/>
        <v>2023 01</v>
      </c>
      <c r="U640" s="32">
        <f t="shared" si="46"/>
        <v>320</v>
      </c>
      <c r="V640" s="22">
        <f t="shared" si="47"/>
        <v>0.25</v>
      </c>
      <c r="X640" s="33"/>
      <c r="Y640" s="33"/>
    </row>
    <row r="641" spans="1:25" x14ac:dyDescent="0.2">
      <c r="A641" s="93" t="s">
        <v>306</v>
      </c>
      <c r="B641" s="94">
        <f>IFERROR(VLOOKUP($A641,HeadJournal!$A$1:$NTR$890,COLUMN(HeadJournal!B$1),0),"")</f>
        <v>0</v>
      </c>
      <c r="C641" s="94" t="str">
        <f>IFERROR(VLOOKUP($A641,HeadJournal!$A$1:$NTR$890,COLUMN(HeadJournal!C$1),0),"")</f>
        <v>CoralClub_AV</v>
      </c>
      <c r="D641" s="125" t="str">
        <f>IFERROR(VLOOKUP($A641,HeadJournal!$A$1:$NTR$890,COLUMN(HeadJournal!D$1),0),"")</f>
        <v>Доставлен</v>
      </c>
      <c r="E641" s="95">
        <f>IFERROR(VLOOKUP($A641,HeadJournal!$A$1:$NTR$890,COLUMN(HeadJournal!G$1),0),"")</f>
        <v>44924</v>
      </c>
      <c r="F641" s="95" t="str">
        <f t="shared" si="48"/>
        <v>2022 12</v>
      </c>
      <c r="G641" s="96" t="s">
        <v>5</v>
      </c>
      <c r="H641" s="160" t="str">
        <f>RIGHT(Journal!$J641,9)</f>
        <v>000002153</v>
      </c>
      <c r="I641" s="96" t="str">
        <f t="shared" si="50"/>
        <v>CoralClub</v>
      </c>
      <c r="J641" s="97" t="s">
        <v>262</v>
      </c>
      <c r="K641" s="29">
        <v>960</v>
      </c>
      <c r="L641" s="29"/>
      <c r="M641" s="30">
        <f>IFERROR(VLOOKUP($A641,HeadJournal!$A$1:$J$890,COLUMN(HeadJournal!I$1),0)*($K641+$L641)/(SUMIF($A:$A,$A641,$K:$K)+SUMIF($A:$A,$A641,$L:$L)),0)</f>
        <v>0</v>
      </c>
      <c r="N641" s="30">
        <f>IFERROR((VLOOKUP($A641,HeadJournal!$A$1:$K$890,COLUMN(HeadJournal!K$1),0)-VLOOKUP($A641,HeadJournal!$A$1:$K$890,COLUMN(HeadJournal!J$1),0))*($K641+$L641)/(SUMIF($A:$A,$A641,$K:$K)+SUMIF($A:$A,$A641,$L:$L)),0)</f>
        <v>0</v>
      </c>
      <c r="O641" s="30">
        <f>IFERROR((VLOOKUP($A641,HeadJournal!$A$1:$L$890,COLUMN(HeadJournal!L$1),0)*($K641+$L641)/(SUMIF($A:$A,$A641,$K:$K)+SUMIF($A:$A,$A641,$L:$L)))/VLOOKUP($A641,HeadJournal!$A$1:$L$890,COLUMN(HeadJournal!H$1),0),0)</f>
        <v>0</v>
      </c>
      <c r="P641" s="30">
        <f>IFERROR(SUM(K641:O641)*VLOOKUP($A641,HeadJournal!$A$1:$L$890,COLUMN(HeadJournal!H$1),0),0)</f>
        <v>960</v>
      </c>
      <c r="Q641" s="29">
        <v>1300</v>
      </c>
      <c r="R641" s="31">
        <v>44956</v>
      </c>
      <c r="S641" s="31" t="s">
        <v>3121</v>
      </c>
      <c r="T641" s="95" t="str">
        <f t="shared" si="49"/>
        <v>2023 01</v>
      </c>
      <c r="U641" s="32">
        <f t="shared" si="46"/>
        <v>340</v>
      </c>
      <c r="V641" s="22">
        <f t="shared" si="47"/>
        <v>0.35416666666666669</v>
      </c>
      <c r="X641" s="33"/>
      <c r="Y641" s="33"/>
    </row>
    <row r="642" spans="1:25" x14ac:dyDescent="0.2">
      <c r="A642" s="93" t="s">
        <v>306</v>
      </c>
      <c r="B642" s="94">
        <f>IFERROR(VLOOKUP($A642,HeadJournal!$A$1:$NTR$890,COLUMN(HeadJournal!B$1),0),"")</f>
        <v>0</v>
      </c>
      <c r="C642" s="94" t="str">
        <f>IFERROR(VLOOKUP($A642,HeadJournal!$A$1:$NTR$890,COLUMN(HeadJournal!C$1),0),"")</f>
        <v>CoralClub_AV</v>
      </c>
      <c r="D642" s="125" t="str">
        <f>IFERROR(VLOOKUP($A642,HeadJournal!$A$1:$NTR$890,COLUMN(HeadJournal!D$1),0),"")</f>
        <v>Доставлен</v>
      </c>
      <c r="E642" s="95">
        <f>IFERROR(VLOOKUP($A642,HeadJournal!$A$1:$NTR$890,COLUMN(HeadJournal!G$1),0),"")</f>
        <v>44924</v>
      </c>
      <c r="F642" s="95" t="str">
        <f t="shared" si="48"/>
        <v>2022 12</v>
      </c>
      <c r="G642" s="96" t="s">
        <v>5</v>
      </c>
      <c r="H642" s="160" t="str">
        <f>RIGHT(Journal!$J642,9)</f>
        <v>000002153</v>
      </c>
      <c r="I642" s="96" t="str">
        <f t="shared" si="50"/>
        <v>CoralClub</v>
      </c>
      <c r="J642" s="97" t="s">
        <v>262</v>
      </c>
      <c r="K642" s="29">
        <v>960</v>
      </c>
      <c r="L642" s="29"/>
      <c r="M642" s="30">
        <f>IFERROR(VLOOKUP($A642,HeadJournal!$A$1:$J$890,COLUMN(HeadJournal!I$1),0)*($K642+$L642)/(SUMIF($A:$A,$A642,$K:$K)+SUMIF($A:$A,$A642,$L:$L)),0)</f>
        <v>0</v>
      </c>
      <c r="N642" s="30">
        <f>IFERROR((VLOOKUP($A642,HeadJournal!$A$1:$K$890,COLUMN(HeadJournal!K$1),0)-VLOOKUP($A642,HeadJournal!$A$1:$K$890,COLUMN(HeadJournal!J$1),0))*($K642+$L642)/(SUMIF($A:$A,$A642,$K:$K)+SUMIF($A:$A,$A642,$L:$L)),0)</f>
        <v>0</v>
      </c>
      <c r="O642" s="30">
        <f>IFERROR((VLOOKUP($A642,HeadJournal!$A$1:$L$890,COLUMN(HeadJournal!L$1),0)*($K642+$L642)/(SUMIF($A:$A,$A642,$K:$K)+SUMIF($A:$A,$A642,$L:$L)))/VLOOKUP($A642,HeadJournal!$A$1:$L$890,COLUMN(HeadJournal!H$1),0),0)</f>
        <v>0</v>
      </c>
      <c r="P642" s="30">
        <f>IFERROR(SUM(K642:O642)*VLOOKUP($A642,HeadJournal!$A$1:$L$890,COLUMN(HeadJournal!H$1),0),0)</f>
        <v>960</v>
      </c>
      <c r="Q642" s="29">
        <v>1300</v>
      </c>
      <c r="R642" s="31">
        <v>44971</v>
      </c>
      <c r="S642" s="31" t="s">
        <v>3121</v>
      </c>
      <c r="T642" s="95" t="str">
        <f t="shared" si="49"/>
        <v>2023 02</v>
      </c>
      <c r="U642" s="32">
        <f t="shared" si="46"/>
        <v>340</v>
      </c>
      <c r="V642" s="22">
        <f t="shared" si="47"/>
        <v>0.35416666666666669</v>
      </c>
      <c r="X642" s="33"/>
      <c r="Y642" s="33"/>
    </row>
    <row r="643" spans="1:25" x14ac:dyDescent="0.2">
      <c r="A643" s="93" t="s">
        <v>308</v>
      </c>
      <c r="B643" s="94" t="str">
        <f>IFERROR(VLOOKUP($A643,HeadJournal!$A$1:$NTR$890,COLUMN(HeadJournal!B$1),0),"")</f>
        <v>922731615-0</v>
      </c>
      <c r="C643" s="94" t="str">
        <f>IFERROR(VLOOKUP($A643,HeadJournal!$A$1:$NTR$890,COLUMN(HeadJournal!C$1),0),"")</f>
        <v>iHerb_OA CZN6870</v>
      </c>
      <c r="D643" s="125" t="str">
        <f>IFERROR(VLOOKUP($A643,HeadJournal!$A$1:$NTR$890,COLUMN(HeadJournal!D$1),0),"")</f>
        <v>Доставлен</v>
      </c>
      <c r="E643" s="95">
        <f>IFERROR(VLOOKUP($A643,HeadJournal!$A$1:$NTR$890,COLUMN(HeadJournal!G$1),0),"")</f>
        <v>44923</v>
      </c>
      <c r="F643" s="95" t="str">
        <f t="shared" si="48"/>
        <v>2022 12</v>
      </c>
      <c r="G643" s="96" t="s">
        <v>5</v>
      </c>
      <c r="H643" s="160" t="str">
        <f>RIGHT(Journal!$J643,9)</f>
        <v>HBI-02026</v>
      </c>
      <c r="I643" s="96" t="str">
        <f t="shared" ref="I643:I699" si="51">IFERROR(LEFT(J643,FIND(",",J643)-1),"")</f>
        <v>HealthyBiom</v>
      </c>
      <c r="J643" s="97" t="s">
        <v>270</v>
      </c>
      <c r="K643" s="29">
        <v>15</v>
      </c>
      <c r="L643" s="29">
        <v>-3</v>
      </c>
      <c r="M643" s="30">
        <f>IFERROR(VLOOKUP($A643,HeadJournal!$A$1:$J$890,COLUMN(HeadJournal!I$1),0)*($K643+$L643)/(SUMIF($A:$A,$A643,$K:$K)+SUMIF($A:$A,$A643,$L:$L)),0)</f>
        <v>-0.86233320829537541</v>
      </c>
      <c r="N643" s="30">
        <f>IFERROR((VLOOKUP($A643,HeadJournal!$A$1:$K$890,COLUMN(HeadJournal!K$1),0)-VLOOKUP($A643,HeadJournal!$A$1:$K$890,COLUMN(HeadJournal!J$1),0))*($K643+$L643)/(SUMIF($A:$A,$A643,$K:$K)+SUMIF($A:$A,$A643,$L:$L)),0)</f>
        <v>-1.827664718744162E-15</v>
      </c>
      <c r="O643" s="30">
        <f>IFERROR((VLOOKUP($A643,HeadJournal!$A$1:$L$890,COLUMN(HeadJournal!L$1),0)*($K643+$L643)/(SUMIF($A:$A,$A643,$K:$K)+SUMIF($A:$A,$A643,$L:$L)))/VLOOKUP($A643,HeadJournal!$A$1:$L$890,COLUMN(HeadJournal!H$1),0),0)</f>
        <v>4.6987246806614209</v>
      </c>
      <c r="P643" s="30">
        <f>IFERROR(SUM(K643:O643)*VLOOKUP($A643,HeadJournal!$A$1:$L$890,COLUMN(HeadJournal!H$1),0),0)</f>
        <v>1251.0749263169175</v>
      </c>
      <c r="Q643" s="29"/>
      <c r="R643" s="31"/>
      <c r="S643" s="31"/>
      <c r="T643" s="95" t="str">
        <f t="shared" si="49"/>
        <v/>
      </c>
      <c r="U643" s="32">
        <f t="shared" ref="U643:U706" si="52">Q643-P643</f>
        <v>-1251.0749263169175</v>
      </c>
      <c r="V643" s="22" t="str">
        <f t="shared" ref="V643:V706" si="53">IF(Q643&lt;&gt;0,IFERROR(U643/P643,""),"")</f>
        <v/>
      </c>
      <c r="X643" s="33"/>
      <c r="Y643" s="33"/>
    </row>
    <row r="644" spans="1:25" x14ac:dyDescent="0.2">
      <c r="A644" s="93" t="s">
        <v>308</v>
      </c>
      <c r="B644" s="94" t="str">
        <f>IFERROR(VLOOKUP($A644,HeadJournal!$A$1:$NTR$890,COLUMN(HeadJournal!B$1),0),"")</f>
        <v>922731615-0</v>
      </c>
      <c r="C644" s="94" t="str">
        <f>IFERROR(VLOOKUP($A644,HeadJournal!$A$1:$NTR$890,COLUMN(HeadJournal!C$1),0),"")</f>
        <v>iHerb_OA CZN6870</v>
      </c>
      <c r="D644" s="125" t="str">
        <f>IFERROR(VLOOKUP($A644,HeadJournal!$A$1:$NTR$890,COLUMN(HeadJournal!D$1),0),"")</f>
        <v>Доставлен</v>
      </c>
      <c r="E644" s="95">
        <f>IFERROR(VLOOKUP($A644,HeadJournal!$A$1:$NTR$890,COLUMN(HeadJournal!G$1),0),"")</f>
        <v>44923</v>
      </c>
      <c r="F644" s="95" t="str">
        <f t="shared" ref="F644:F707" si="54">IFERROR(TEXT(E644, "ГГГГ ММ"),"")</f>
        <v>2022 12</v>
      </c>
      <c r="G644" s="96" t="s">
        <v>5</v>
      </c>
      <c r="H644" s="161" t="s">
        <v>2623</v>
      </c>
      <c r="I644" s="97" t="s">
        <v>2052</v>
      </c>
      <c r="J644" s="97" t="s">
        <v>3915</v>
      </c>
      <c r="K644" s="29">
        <v>5</v>
      </c>
      <c r="L644" s="29">
        <v>-2.95</v>
      </c>
      <c r="M644" s="30">
        <f>IFERROR(VLOOKUP($A644,HeadJournal!$A$1:$J$890,COLUMN(HeadJournal!I$1),0)*($K644+$L644)/(SUMIF($A:$A,$A644,$K:$K)+SUMIF($A:$A,$A644,$L:$L)),0)</f>
        <v>-0.14731525641712659</v>
      </c>
      <c r="N644" s="30">
        <f>IFERROR((VLOOKUP($A644,HeadJournal!$A$1:$K$890,COLUMN(HeadJournal!K$1),0)-VLOOKUP($A644,HeadJournal!$A$1:$K$890,COLUMN(HeadJournal!J$1),0))*($K644+$L644)/(SUMIF($A:$A,$A644,$K:$K)+SUMIF($A:$A,$A644,$L:$L)),0)</f>
        <v>-3.122260561187943E-16</v>
      </c>
      <c r="O644" s="30">
        <f>IFERROR((VLOOKUP($A644,HeadJournal!$A$1:$L$890,COLUMN(HeadJournal!L$1),0)*($K644+$L644)/(SUMIF($A:$A,$A644,$K:$K)+SUMIF($A:$A,$A644,$L:$L)))/VLOOKUP($A644,HeadJournal!$A$1:$L$890,COLUMN(HeadJournal!H$1),0),0)</f>
        <v>0.80269879961299273</v>
      </c>
      <c r="P644" s="30">
        <f>IFERROR(SUM(K644:O644)*VLOOKUP($A644,HeadJournal!$A$1:$L$890,COLUMN(HeadJournal!H$1),0),0)</f>
        <v>213.72529991247342</v>
      </c>
      <c r="Q644" s="29">
        <v>500</v>
      </c>
      <c r="R644" s="31">
        <v>45185</v>
      </c>
      <c r="S644" s="31" t="s">
        <v>3121</v>
      </c>
      <c r="T644" s="95" t="str">
        <f t="shared" ref="T644:T707" si="55">IF(R644="","",TEXT(R644,"ГГГГ ММ"))</f>
        <v>2023 09</v>
      </c>
      <c r="U644" s="32">
        <f t="shared" si="52"/>
        <v>286.27470008752658</v>
      </c>
      <c r="V644" s="22">
        <f t="shared" si="53"/>
        <v>1.3394516241397916</v>
      </c>
      <c r="X644" s="33"/>
      <c r="Y644" s="33"/>
    </row>
    <row r="645" spans="1:25" x14ac:dyDescent="0.2">
      <c r="A645" s="93" t="s">
        <v>308</v>
      </c>
      <c r="B645" s="94" t="str">
        <f>IFERROR(VLOOKUP($A645,HeadJournal!$A$1:$NTR$890,COLUMN(HeadJournal!B$1),0),"")</f>
        <v>922731615-0</v>
      </c>
      <c r="C645" s="94" t="str">
        <f>IFERROR(VLOOKUP($A645,HeadJournal!$A$1:$NTR$890,COLUMN(HeadJournal!C$1),0),"")</f>
        <v>iHerb_OA CZN6870</v>
      </c>
      <c r="D645" s="125" t="str">
        <f>IFERROR(VLOOKUP($A645,HeadJournal!$A$1:$NTR$890,COLUMN(HeadJournal!D$1),0),"")</f>
        <v>Доставлен</v>
      </c>
      <c r="E645" s="95">
        <f>IFERROR(VLOOKUP($A645,HeadJournal!$A$1:$NTR$890,COLUMN(HeadJournal!G$1),0),"")</f>
        <v>44923</v>
      </c>
      <c r="F645" s="95" t="str">
        <f t="shared" si="54"/>
        <v>2022 12</v>
      </c>
      <c r="G645" s="96" t="s">
        <v>5</v>
      </c>
      <c r="H645" s="175" t="s">
        <v>3630</v>
      </c>
      <c r="I645" s="176" t="s">
        <v>2052</v>
      </c>
      <c r="J645" s="97" t="s">
        <v>3673</v>
      </c>
      <c r="K645" s="29">
        <v>15</v>
      </c>
      <c r="L645" s="29">
        <v>-3</v>
      </c>
      <c r="M645" s="30">
        <f>IFERROR(VLOOKUP($A645,HeadJournal!$A$1:$J$890,COLUMN(HeadJournal!I$1),0)*($K645+$L645)/(SUMIF($A:$A,$A645,$K:$K)+SUMIF($A:$A,$A645,$L:$L)),0)</f>
        <v>-0.86233320829537541</v>
      </c>
      <c r="N645" s="30">
        <f>IFERROR((VLOOKUP($A645,HeadJournal!$A$1:$K$890,COLUMN(HeadJournal!K$1),0)-VLOOKUP($A645,HeadJournal!$A$1:$K$890,COLUMN(HeadJournal!J$1),0))*($K645+$L645)/(SUMIF($A:$A,$A645,$K:$K)+SUMIF($A:$A,$A645,$L:$L)),0)</f>
        <v>-1.827664718744162E-15</v>
      </c>
      <c r="O645" s="30">
        <f>IFERROR((VLOOKUP($A645,HeadJournal!$A$1:$L$890,COLUMN(HeadJournal!L$1),0)*($K645+$L645)/(SUMIF($A:$A,$A645,$K:$K)+SUMIF($A:$A,$A645,$L:$L)))/VLOOKUP($A645,HeadJournal!$A$1:$L$890,COLUMN(HeadJournal!H$1),0),0)</f>
        <v>4.6987246806614209</v>
      </c>
      <c r="P645" s="30">
        <f>IFERROR(SUM(K645:O645)*VLOOKUP($A645,HeadJournal!$A$1:$L$890,COLUMN(HeadJournal!H$1),0),0)</f>
        <v>1251.0749263169175</v>
      </c>
      <c r="Q645" s="29">
        <v>2300</v>
      </c>
      <c r="R645" s="31">
        <v>44991</v>
      </c>
      <c r="S645" s="31" t="s">
        <v>3121</v>
      </c>
      <c r="T645" s="95" t="str">
        <f t="shared" si="55"/>
        <v>2023 03</v>
      </c>
      <c r="U645" s="32">
        <f t="shared" si="52"/>
        <v>1048.9250736830825</v>
      </c>
      <c r="V645" s="22">
        <f t="shared" si="53"/>
        <v>0.83841906796985299</v>
      </c>
      <c r="X645" s="33"/>
      <c r="Y645" s="33"/>
    </row>
    <row r="646" spans="1:25" x14ac:dyDescent="0.2">
      <c r="A646" s="93" t="s">
        <v>308</v>
      </c>
      <c r="B646" s="94" t="str">
        <f>IFERROR(VLOOKUP($A646,HeadJournal!$A$1:$NTR$890,COLUMN(HeadJournal!B$1),0),"")</f>
        <v>922731615-0</v>
      </c>
      <c r="C646" s="94" t="str">
        <f>IFERROR(VLOOKUP($A646,HeadJournal!$A$1:$NTR$890,COLUMN(HeadJournal!C$1),0),"")</f>
        <v>iHerb_OA CZN6870</v>
      </c>
      <c r="D646" s="125" t="str">
        <f>IFERROR(VLOOKUP($A646,HeadJournal!$A$1:$NTR$890,COLUMN(HeadJournal!D$1),0),"")</f>
        <v>Доставлен</v>
      </c>
      <c r="E646" s="95">
        <f>IFERROR(VLOOKUP($A646,HeadJournal!$A$1:$NTR$890,COLUMN(HeadJournal!G$1),0),"")</f>
        <v>44923</v>
      </c>
      <c r="F646" s="95" t="str">
        <f t="shared" si="54"/>
        <v>2022 12</v>
      </c>
      <c r="G646" s="96" t="s">
        <v>5</v>
      </c>
      <c r="H646" s="160" t="str">
        <f>RIGHT(Journal!$J646,9)</f>
        <v>CGN-01856</v>
      </c>
      <c r="I646" s="96" t="str">
        <f t="shared" si="51"/>
        <v>California Gold Nutrition</v>
      </c>
      <c r="J646" s="97" t="s">
        <v>309</v>
      </c>
      <c r="K646" s="29">
        <v>15</v>
      </c>
      <c r="L646" s="29">
        <v>-4.5</v>
      </c>
      <c r="M646" s="30">
        <f>IFERROR(VLOOKUP($A646,HeadJournal!$A$1:$J$890,COLUMN(HeadJournal!I$1),0)*($K646+$L646)/(SUMIF($A:$A,$A646,$K:$K)+SUMIF($A:$A,$A646,$L:$L)),0)</f>
        <v>-0.7545415572584534</v>
      </c>
      <c r="N646" s="30">
        <f>IFERROR((VLOOKUP($A646,HeadJournal!$A$1:$K$890,COLUMN(HeadJournal!K$1),0)-VLOOKUP($A646,HeadJournal!$A$1:$K$890,COLUMN(HeadJournal!J$1),0))*($K646+$L646)/(SUMIF($A:$A,$A646,$K:$K)+SUMIF($A:$A,$A646,$L:$L)),0)</f>
        <v>-1.5992066289011416E-15</v>
      </c>
      <c r="O646" s="30">
        <f>IFERROR((VLOOKUP($A646,HeadJournal!$A$1:$L$890,COLUMN(HeadJournal!L$1),0)*($K646+$L646)/(SUMIF($A:$A,$A646,$K:$K)+SUMIF($A:$A,$A646,$L:$L)))/VLOOKUP($A646,HeadJournal!$A$1:$L$890,COLUMN(HeadJournal!H$1),0),0)</f>
        <v>4.1113840955787433</v>
      </c>
      <c r="P646" s="30">
        <f>IFERROR(SUM(K646:O646)*VLOOKUP($A646,HeadJournal!$A$1:$L$890,COLUMN(HeadJournal!H$1),0),0)</f>
        <v>1094.6905605273025</v>
      </c>
      <c r="Q646" s="29">
        <v>2000</v>
      </c>
      <c r="R646" s="31">
        <v>45205</v>
      </c>
      <c r="S646" s="31" t="s">
        <v>3121</v>
      </c>
      <c r="T646" s="95" t="str">
        <f t="shared" si="55"/>
        <v>2023 10</v>
      </c>
      <c r="U646" s="32">
        <f t="shared" si="52"/>
        <v>905.30943947269748</v>
      </c>
      <c r="V646" s="22">
        <f t="shared" si="53"/>
        <v>0.82700031599488544</v>
      </c>
      <c r="X646" s="33"/>
      <c r="Y646" s="33"/>
    </row>
    <row r="647" spans="1:25" x14ac:dyDescent="0.2">
      <c r="A647" s="93" t="s">
        <v>308</v>
      </c>
      <c r="B647" s="94" t="str">
        <f>IFERROR(VLOOKUP($A647,HeadJournal!$A$1:$NTR$890,COLUMN(HeadJournal!B$1),0),"")</f>
        <v>922731615-0</v>
      </c>
      <c r="C647" s="94" t="str">
        <f>IFERROR(VLOOKUP($A647,HeadJournal!$A$1:$NTR$890,COLUMN(HeadJournal!C$1),0),"")</f>
        <v>iHerb_OA CZN6870</v>
      </c>
      <c r="D647" s="125" t="str">
        <f>IFERROR(VLOOKUP($A647,HeadJournal!$A$1:$NTR$890,COLUMN(HeadJournal!D$1),0),"")</f>
        <v>Доставлен</v>
      </c>
      <c r="E647" s="95">
        <f>IFERROR(VLOOKUP($A647,HeadJournal!$A$1:$NTR$890,COLUMN(HeadJournal!G$1),0),"")</f>
        <v>44923</v>
      </c>
      <c r="F647" s="95" t="str">
        <f t="shared" si="54"/>
        <v>2022 12</v>
      </c>
      <c r="G647" s="96" t="s">
        <v>5</v>
      </c>
      <c r="H647" s="160" t="str">
        <f>RIGHT(Journal!$J647,9)</f>
        <v>SIE-01754</v>
      </c>
      <c r="I647" s="96" t="str">
        <f t="shared" si="51"/>
        <v>Sierra Fit</v>
      </c>
      <c r="J647" s="97" t="s">
        <v>310</v>
      </c>
      <c r="K647" s="29">
        <v>10</v>
      </c>
      <c r="L647" s="29">
        <v>-3</v>
      </c>
      <c r="M647" s="30">
        <f>IFERROR(VLOOKUP($A647,HeadJournal!$A$1:$J$890,COLUMN(HeadJournal!I$1),0)*($K647+$L647)/(SUMIF($A:$A,$A647,$K:$K)+SUMIF($A:$A,$A647,$L:$L)),0)</f>
        <v>-0.50302770483896897</v>
      </c>
      <c r="N647" s="30">
        <f>IFERROR((VLOOKUP($A647,HeadJournal!$A$1:$K$890,COLUMN(HeadJournal!K$1),0)-VLOOKUP($A647,HeadJournal!$A$1:$K$890,COLUMN(HeadJournal!J$1),0))*($K647+$L647)/(SUMIF($A:$A,$A647,$K:$K)+SUMIF($A:$A,$A647,$L:$L)),0)</f>
        <v>-1.0661377526007612E-15</v>
      </c>
      <c r="O647" s="30">
        <f>IFERROR((VLOOKUP($A647,HeadJournal!$A$1:$L$890,COLUMN(HeadJournal!L$1),0)*($K647+$L647)/(SUMIF($A:$A,$A647,$K:$K)+SUMIF($A:$A,$A647,$L:$L)))/VLOOKUP($A647,HeadJournal!$A$1:$L$890,COLUMN(HeadJournal!H$1),0),0)</f>
        <v>2.740922730385829</v>
      </c>
      <c r="P647" s="30">
        <f>IFERROR(SUM(K647:O647)*VLOOKUP($A647,HeadJournal!$A$1:$L$890,COLUMN(HeadJournal!H$1),0),0)</f>
        <v>729.79370701820187</v>
      </c>
      <c r="Q647" s="29">
        <v>1600</v>
      </c>
      <c r="R647" s="31">
        <v>44995</v>
      </c>
      <c r="S647" s="31" t="s">
        <v>3121</v>
      </c>
      <c r="T647" s="95" t="str">
        <f t="shared" si="55"/>
        <v>2023 03</v>
      </c>
      <c r="U647" s="32">
        <f t="shared" si="52"/>
        <v>870.20629298179813</v>
      </c>
      <c r="V647" s="22">
        <f t="shared" si="53"/>
        <v>1.192400379193862</v>
      </c>
      <c r="X647" s="33"/>
      <c r="Y647" s="33"/>
    </row>
    <row r="648" spans="1:25" x14ac:dyDescent="0.2">
      <c r="A648" s="93" t="s">
        <v>308</v>
      </c>
      <c r="B648" s="94" t="str">
        <f>IFERROR(VLOOKUP($A648,HeadJournal!$A$1:$NTR$890,COLUMN(HeadJournal!B$1),0),"")</f>
        <v>922731615-0</v>
      </c>
      <c r="C648" s="94" t="str">
        <f>IFERROR(VLOOKUP($A648,HeadJournal!$A$1:$NTR$890,COLUMN(HeadJournal!C$1),0),"")</f>
        <v>iHerb_OA CZN6870</v>
      </c>
      <c r="D648" s="125" t="str">
        <f>IFERROR(VLOOKUP($A648,HeadJournal!$A$1:$NTR$890,COLUMN(HeadJournal!D$1),0),"")</f>
        <v>Доставлен</v>
      </c>
      <c r="E648" s="95">
        <f>IFERROR(VLOOKUP($A648,HeadJournal!$A$1:$NTR$890,COLUMN(HeadJournal!G$1),0),"")</f>
        <v>44923</v>
      </c>
      <c r="F648" s="95" t="str">
        <f t="shared" si="54"/>
        <v>2022 12</v>
      </c>
      <c r="G648" s="96" t="s">
        <v>5</v>
      </c>
      <c r="H648" s="160" t="str">
        <f>RIGHT(Journal!$J648,9)</f>
        <v>FBS-02510</v>
      </c>
      <c r="I648" s="96" t="str">
        <f t="shared" si="51"/>
        <v>FutureBiotics</v>
      </c>
      <c r="J648" s="97" t="s">
        <v>311</v>
      </c>
      <c r="K648" s="29">
        <v>16.97</v>
      </c>
      <c r="L648" s="29">
        <v>-8.9700000000000006</v>
      </c>
      <c r="M648" s="30">
        <f>IFERROR(VLOOKUP($A648,HeadJournal!$A$1:$J$890,COLUMN(HeadJournal!I$1),0)*($K648+$L648)/(SUMIF($A:$A,$A648,$K:$K)+SUMIF($A:$A,$A648,$L:$L)),0)</f>
        <v>-0.57488880553025001</v>
      </c>
      <c r="N648" s="30">
        <f>IFERROR((VLOOKUP($A648,HeadJournal!$A$1:$K$890,COLUMN(HeadJournal!K$1),0)-VLOOKUP($A648,HeadJournal!$A$1:$K$890,COLUMN(HeadJournal!J$1),0))*($K648+$L648)/(SUMIF($A:$A,$A648,$K:$K)+SUMIF($A:$A,$A648,$L:$L)),0)</f>
        <v>-1.2184431458294411E-15</v>
      </c>
      <c r="O648" s="30">
        <f>IFERROR((VLOOKUP($A648,HeadJournal!$A$1:$L$890,COLUMN(HeadJournal!L$1),0)*($K648+$L648)/(SUMIF($A:$A,$A648,$K:$K)+SUMIF($A:$A,$A648,$L:$L)))/VLOOKUP($A648,HeadJournal!$A$1:$L$890,COLUMN(HeadJournal!H$1),0),0)</f>
        <v>3.1324831204409471</v>
      </c>
      <c r="P648" s="30">
        <f>IFERROR(SUM(K648:O648)*VLOOKUP($A648,HeadJournal!$A$1:$L$890,COLUMN(HeadJournal!H$1),0),0)</f>
        <v>834.04995087794487</v>
      </c>
      <c r="Q648" s="29">
        <v>600</v>
      </c>
      <c r="R648" s="31">
        <v>45502</v>
      </c>
      <c r="S648" s="31" t="s">
        <v>3121</v>
      </c>
      <c r="T648" s="95" t="str">
        <f t="shared" si="55"/>
        <v>2024 07</v>
      </c>
      <c r="U648" s="32">
        <f t="shared" si="52"/>
        <v>-234.04995087794487</v>
      </c>
      <c r="V648" s="22">
        <f t="shared" si="53"/>
        <v>-0.28061862557701395</v>
      </c>
      <c r="X648" s="33"/>
      <c r="Y648" s="33"/>
    </row>
    <row r="649" spans="1:25" x14ac:dyDescent="0.2">
      <c r="A649" s="93" t="s">
        <v>308</v>
      </c>
      <c r="B649" s="94" t="str">
        <f>IFERROR(VLOOKUP($A649,HeadJournal!$A$1:$NTR$890,COLUMN(HeadJournal!B$1),0),"")</f>
        <v>922731615-0</v>
      </c>
      <c r="C649" s="94" t="str">
        <f>IFERROR(VLOOKUP($A649,HeadJournal!$A$1:$NTR$890,COLUMN(HeadJournal!C$1),0),"")</f>
        <v>iHerb_OA CZN6870</v>
      </c>
      <c r="D649" s="125" t="str">
        <f>IFERROR(VLOOKUP($A649,HeadJournal!$A$1:$NTR$890,COLUMN(HeadJournal!D$1),0),"")</f>
        <v>Доставлен</v>
      </c>
      <c r="E649" s="95">
        <f>IFERROR(VLOOKUP($A649,HeadJournal!$A$1:$NTR$890,COLUMN(HeadJournal!G$1),0),"")</f>
        <v>44923</v>
      </c>
      <c r="F649" s="95" t="str">
        <f t="shared" si="54"/>
        <v>2022 12</v>
      </c>
      <c r="G649" s="96" t="s">
        <v>5</v>
      </c>
      <c r="H649" s="160" t="str">
        <f>RIGHT(Journal!$J649,9)</f>
        <v>SPN-02123</v>
      </c>
      <c r="I649" s="96" t="str">
        <f t="shared" si="51"/>
        <v>Super Nutrition</v>
      </c>
      <c r="J649" s="97" t="s">
        <v>150</v>
      </c>
      <c r="K649" s="29">
        <v>5</v>
      </c>
      <c r="L649" s="29">
        <v>-2.5</v>
      </c>
      <c r="M649" s="30">
        <f>IFERROR(VLOOKUP($A649,HeadJournal!$A$1:$J$890,COLUMN(HeadJournal!I$1),0)*($K649+$L649)/(SUMIF($A:$A,$A649,$K:$K)+SUMIF($A:$A,$A649,$L:$L)),0)</f>
        <v>-0.17965275172820319</v>
      </c>
      <c r="N649" s="30">
        <f>IFERROR((VLOOKUP($A649,HeadJournal!$A$1:$K$890,COLUMN(HeadJournal!K$1),0)-VLOOKUP($A649,HeadJournal!$A$1:$K$890,COLUMN(HeadJournal!J$1),0))*($K649+$L649)/(SUMIF($A:$A,$A649,$K:$K)+SUMIF($A:$A,$A649,$L:$L)),0)</f>
        <v>-3.8076348307170043E-16</v>
      </c>
      <c r="O649" s="30">
        <f>IFERROR((VLOOKUP($A649,HeadJournal!$A$1:$L$890,COLUMN(HeadJournal!L$1),0)*($K649+$L649)/(SUMIF($A:$A,$A649,$K:$K)+SUMIF($A:$A,$A649,$L:$L)))/VLOOKUP($A649,HeadJournal!$A$1:$L$890,COLUMN(HeadJournal!H$1),0),0)</f>
        <v>0.97890097513779617</v>
      </c>
      <c r="P649" s="30">
        <f>IFERROR(SUM(K649:O649)*VLOOKUP($A649,HeadJournal!$A$1:$L$890,COLUMN(HeadJournal!H$1),0),0)</f>
        <v>260.64060964935783</v>
      </c>
      <c r="Q649" s="29"/>
      <c r="R649" s="31"/>
      <c r="S649" s="31"/>
      <c r="T649" s="95" t="str">
        <f t="shared" si="55"/>
        <v/>
      </c>
      <c r="U649" s="32">
        <f t="shared" si="52"/>
        <v>-260.64060964935783</v>
      </c>
      <c r="V649" s="22" t="str">
        <f t="shared" si="53"/>
        <v/>
      </c>
      <c r="X649" s="33"/>
      <c r="Y649" s="33"/>
    </row>
    <row r="650" spans="1:25" x14ac:dyDescent="0.2">
      <c r="A650" s="93" t="s">
        <v>308</v>
      </c>
      <c r="B650" s="94" t="str">
        <f>IFERROR(VLOOKUP($A650,HeadJournal!$A$1:$NTR$890,COLUMN(HeadJournal!B$1),0),"")</f>
        <v>922731615-0</v>
      </c>
      <c r="C650" s="94" t="str">
        <f>IFERROR(VLOOKUP($A650,HeadJournal!$A$1:$NTR$890,COLUMN(HeadJournal!C$1),0),"")</f>
        <v>iHerb_OA CZN6870</v>
      </c>
      <c r="D650" s="125" t="str">
        <f>IFERROR(VLOOKUP($A650,HeadJournal!$A$1:$NTR$890,COLUMN(HeadJournal!D$1),0),"")</f>
        <v>Доставлен</v>
      </c>
      <c r="E650" s="95">
        <f>IFERROR(VLOOKUP($A650,HeadJournal!$A$1:$NTR$890,COLUMN(HeadJournal!G$1),0),"")</f>
        <v>44923</v>
      </c>
      <c r="F650" s="95" t="str">
        <f t="shared" si="54"/>
        <v>2022 12</v>
      </c>
      <c r="G650" s="96" t="s">
        <v>5</v>
      </c>
      <c r="H650" s="160" t="str">
        <f>RIGHT(Journal!$J650,9)</f>
        <v>OAD-59581</v>
      </c>
      <c r="I650" s="96" t="str">
        <f t="shared" si="51"/>
        <v>One-A-Day</v>
      </c>
      <c r="J650" s="97" t="s">
        <v>312</v>
      </c>
      <c r="K650" s="29">
        <v>20.95</v>
      </c>
      <c r="L650" s="29">
        <v>-4.1900000000000004</v>
      </c>
      <c r="M650" s="30">
        <f>IFERROR(VLOOKUP($A650,HeadJournal!$A$1:$J$890,COLUMN(HeadJournal!I$1),0)*($K650+$L650)/(SUMIF($A:$A,$A650,$K:$K)+SUMIF($A:$A,$A650,$L:$L)),0)</f>
        <v>-1.204392047585874</v>
      </c>
      <c r="N650" s="30">
        <f>IFERROR((VLOOKUP($A650,HeadJournal!$A$1:$K$890,COLUMN(HeadJournal!K$1),0)-VLOOKUP($A650,HeadJournal!$A$1:$K$890,COLUMN(HeadJournal!J$1),0))*($K650+$L650)/(SUMIF($A:$A,$A650,$K:$K)+SUMIF($A:$A,$A650,$L:$L)),0)</f>
        <v>-2.5526383905126794E-15</v>
      </c>
      <c r="O650" s="30">
        <f>IFERROR((VLOOKUP($A650,HeadJournal!$A$1:$L$890,COLUMN(HeadJournal!L$1),0)*($K650+$L650)/(SUMIF($A:$A,$A650,$K:$K)+SUMIF($A:$A,$A650,$L:$L)))/VLOOKUP($A650,HeadJournal!$A$1:$L$890,COLUMN(HeadJournal!H$1),0),0)</f>
        <v>6.5625521373237845</v>
      </c>
      <c r="P650" s="30">
        <f>IFERROR(SUM(K650:O650)*VLOOKUP($A650,HeadJournal!$A$1:$L$890,COLUMN(HeadJournal!H$1),0),0)</f>
        <v>1747.3346470892945</v>
      </c>
      <c r="Q650" s="29">
        <v>3400</v>
      </c>
      <c r="R650" s="31">
        <v>45020</v>
      </c>
      <c r="S650" s="31" t="s">
        <v>3121</v>
      </c>
      <c r="T650" s="95" t="str">
        <f t="shared" si="55"/>
        <v>2023 04</v>
      </c>
      <c r="U650" s="32">
        <f t="shared" si="52"/>
        <v>1652.6653529107055</v>
      </c>
      <c r="V650" s="22">
        <f t="shared" si="53"/>
        <v>0.94582074227378887</v>
      </c>
      <c r="X650" s="33"/>
      <c r="Y650" s="33"/>
    </row>
    <row r="651" spans="1:25" x14ac:dyDescent="0.2">
      <c r="A651" s="93" t="s">
        <v>308</v>
      </c>
      <c r="B651" s="94" t="str">
        <f>IFERROR(VLOOKUP($A651,HeadJournal!$A$1:$NTR$890,COLUMN(HeadJournal!B$1),0),"")</f>
        <v>922731615-0</v>
      </c>
      <c r="C651" s="94" t="str">
        <f>IFERROR(VLOOKUP($A651,HeadJournal!$A$1:$NTR$890,COLUMN(HeadJournal!C$1),0),"")</f>
        <v>iHerb_OA CZN6870</v>
      </c>
      <c r="D651" s="125" t="str">
        <f>IFERROR(VLOOKUP($A651,HeadJournal!$A$1:$NTR$890,COLUMN(HeadJournal!D$1),0),"")</f>
        <v>Доставлен</v>
      </c>
      <c r="E651" s="95">
        <f>IFERROR(VLOOKUP($A651,HeadJournal!$A$1:$NTR$890,COLUMN(HeadJournal!G$1),0),"")</f>
        <v>44923</v>
      </c>
      <c r="F651" s="95" t="str">
        <f t="shared" si="54"/>
        <v>2022 12</v>
      </c>
      <c r="G651" s="96" t="s">
        <v>5</v>
      </c>
      <c r="H651" s="160" t="str">
        <f>RIGHT(Journal!$J651,9)</f>
        <v>CEN-22702</v>
      </c>
      <c r="I651" s="96" t="str">
        <f t="shared" si="51"/>
        <v>21st Century</v>
      </c>
      <c r="J651" s="97" t="s">
        <v>313</v>
      </c>
      <c r="K651" s="29">
        <v>10.79</v>
      </c>
      <c r="L651" s="29">
        <v>-2.16</v>
      </c>
      <c r="M651" s="30">
        <f>IFERROR(VLOOKUP($A651,HeadJournal!$A$1:$J$890,COLUMN(HeadJournal!I$1),0)*($K651+$L651)/(SUMIF($A:$A,$A651,$K:$K)+SUMIF($A:$A,$A651,$L:$L)),0)</f>
        <v>-0.62016129896575733</v>
      </c>
      <c r="N651" s="30">
        <f>IFERROR((VLOOKUP($A651,HeadJournal!$A$1:$K$890,COLUMN(HeadJournal!K$1),0)-VLOOKUP($A651,HeadJournal!$A$1:$K$890,COLUMN(HeadJournal!J$1),0))*($K651+$L651)/(SUMIF($A:$A,$A651,$K:$K)+SUMIF($A:$A,$A651,$L:$L)),0)</f>
        <v>-1.3143955435635096E-15</v>
      </c>
      <c r="O651" s="30">
        <f>IFERROR((VLOOKUP($A651,HeadJournal!$A$1:$L$890,COLUMN(HeadJournal!L$1),0)*($K651+$L651)/(SUMIF($A:$A,$A651,$K:$K)+SUMIF($A:$A,$A651,$L:$L)))/VLOOKUP($A651,HeadJournal!$A$1:$L$890,COLUMN(HeadJournal!H$1),0),0)</f>
        <v>3.3791661661756724</v>
      </c>
      <c r="P651" s="30">
        <f>IFERROR(SUM(K651:O651)*VLOOKUP($A651,HeadJournal!$A$1:$L$890,COLUMN(HeadJournal!H$1),0),0)</f>
        <v>899.73138450958311</v>
      </c>
      <c r="Q651" s="29">
        <v>3300</v>
      </c>
      <c r="R651" s="31">
        <v>45003</v>
      </c>
      <c r="S651" s="31" t="s">
        <v>3121</v>
      </c>
      <c r="T651" s="95" t="str">
        <f t="shared" si="55"/>
        <v>2023 03</v>
      </c>
      <c r="U651" s="32">
        <f t="shared" si="52"/>
        <v>2400.2686154904168</v>
      </c>
      <c r="V651" s="22">
        <f t="shared" si="53"/>
        <v>2.667761352793903</v>
      </c>
      <c r="X651" s="33"/>
      <c r="Y651" s="33"/>
    </row>
    <row r="652" spans="1:25" x14ac:dyDescent="0.2">
      <c r="A652" s="93" t="s">
        <v>308</v>
      </c>
      <c r="B652" s="94" t="str">
        <f>IFERROR(VLOOKUP($A652,HeadJournal!$A$1:$NTR$890,COLUMN(HeadJournal!B$1),0),"")</f>
        <v>922731615-0</v>
      </c>
      <c r="C652" s="94" t="str">
        <f>IFERROR(VLOOKUP($A652,HeadJournal!$A$1:$NTR$890,COLUMN(HeadJournal!C$1),0),"")</f>
        <v>iHerb_OA CZN6870</v>
      </c>
      <c r="D652" s="125" t="str">
        <f>IFERROR(VLOOKUP($A652,HeadJournal!$A$1:$NTR$890,COLUMN(HeadJournal!D$1),0),"")</f>
        <v>Доставлен</v>
      </c>
      <c r="E652" s="95">
        <f>IFERROR(VLOOKUP($A652,HeadJournal!$A$1:$NTR$890,COLUMN(HeadJournal!G$1),0),"")</f>
        <v>44923</v>
      </c>
      <c r="F652" s="95" t="str">
        <f t="shared" si="54"/>
        <v>2022 12</v>
      </c>
      <c r="G652" s="96" t="s">
        <v>5</v>
      </c>
      <c r="H652" s="161" t="s">
        <v>2793</v>
      </c>
      <c r="I652" s="97" t="s">
        <v>2218</v>
      </c>
      <c r="J652" s="97" t="s">
        <v>2794</v>
      </c>
      <c r="K652" s="29">
        <v>5.45</v>
      </c>
      <c r="L652" s="29">
        <v>-1.0900000000000001</v>
      </c>
      <c r="M652" s="30">
        <f>IFERROR(VLOOKUP($A652,HeadJournal!$A$1:$J$890,COLUMN(HeadJournal!I$1),0)*($K652+$L652)/(SUMIF($A:$A,$A652,$K:$K)+SUMIF($A:$A,$A652,$L:$L)),0)</f>
        <v>-0.31331439901398639</v>
      </c>
      <c r="N652" s="30">
        <f>IFERROR((VLOOKUP($A652,HeadJournal!$A$1:$K$890,COLUMN(HeadJournal!K$1),0)-VLOOKUP($A652,HeadJournal!$A$1:$K$890,COLUMN(HeadJournal!J$1),0))*($K652+$L652)/(SUMIF($A:$A,$A652,$K:$K)+SUMIF($A:$A,$A652,$L:$L)),0)</f>
        <v>-6.640515144770456E-16</v>
      </c>
      <c r="O652" s="30">
        <f>IFERROR((VLOOKUP($A652,HeadJournal!$A$1:$L$890,COLUMN(HeadJournal!L$1),0)*($K652+$L652)/(SUMIF($A:$A,$A652,$K:$K)+SUMIF($A:$A,$A652,$L:$L)))/VLOOKUP($A652,HeadJournal!$A$1:$L$890,COLUMN(HeadJournal!H$1),0),0)</f>
        <v>1.7072033006403167</v>
      </c>
      <c r="P652" s="30">
        <f>IFERROR(SUM(K652:O652)*VLOOKUP($A652,HeadJournal!$A$1:$L$890,COLUMN(HeadJournal!H$1),0),0)</f>
        <v>454.55722322848004</v>
      </c>
      <c r="Q652" s="29">
        <v>1700</v>
      </c>
      <c r="R652" s="31">
        <v>44981</v>
      </c>
      <c r="S652" s="31" t="s">
        <v>3121</v>
      </c>
      <c r="T652" s="95" t="str">
        <f t="shared" si="55"/>
        <v>2023 02</v>
      </c>
      <c r="U652" s="32">
        <f t="shared" si="52"/>
        <v>1245.4427767715199</v>
      </c>
      <c r="V652" s="22">
        <f t="shared" si="53"/>
        <v>2.7399031697831071</v>
      </c>
      <c r="X652" s="33"/>
      <c r="Y652" s="33"/>
    </row>
    <row r="653" spans="1:25" x14ac:dyDescent="0.2">
      <c r="A653" s="93" t="s">
        <v>308</v>
      </c>
      <c r="B653" s="94" t="str">
        <f>IFERROR(VLOOKUP($A653,HeadJournal!$A$1:$NTR$890,COLUMN(HeadJournal!B$1),0),"")</f>
        <v>922731615-0</v>
      </c>
      <c r="C653" s="94" t="str">
        <f>IFERROR(VLOOKUP($A653,HeadJournal!$A$1:$NTR$890,COLUMN(HeadJournal!C$1),0),"")</f>
        <v>iHerb_OA CZN6870</v>
      </c>
      <c r="D653" s="125" t="str">
        <f>IFERROR(VLOOKUP($A653,HeadJournal!$A$1:$NTR$890,COLUMN(HeadJournal!D$1),0),"")</f>
        <v>Доставлен</v>
      </c>
      <c r="E653" s="95">
        <f>IFERROR(VLOOKUP($A653,HeadJournal!$A$1:$NTR$890,COLUMN(HeadJournal!G$1),0),"")</f>
        <v>44923</v>
      </c>
      <c r="F653" s="95" t="str">
        <f t="shared" si="54"/>
        <v>2022 12</v>
      </c>
      <c r="G653" s="96" t="s">
        <v>5</v>
      </c>
      <c r="H653" s="161" t="s">
        <v>2120</v>
      </c>
      <c r="I653" s="97" t="s">
        <v>2005</v>
      </c>
      <c r="J653" s="97" t="s">
        <v>2121</v>
      </c>
      <c r="K653" s="29">
        <v>11.02</v>
      </c>
      <c r="L653" s="29">
        <v>-2.2000000000000002</v>
      </c>
      <c r="M653" s="30">
        <f>IFERROR(VLOOKUP($A653,HeadJournal!$A$1:$J$890,COLUMN(HeadJournal!I$1),0)*($K653+$L653)/(SUMIF($A:$A,$A653,$K:$K)+SUMIF($A:$A,$A653,$L:$L)),0)</f>
        <v>-0.63381490809710084</v>
      </c>
      <c r="N653" s="30">
        <f>IFERROR((VLOOKUP($A653,HeadJournal!$A$1:$K$890,COLUMN(HeadJournal!K$1),0)-VLOOKUP($A653,HeadJournal!$A$1:$K$890,COLUMN(HeadJournal!J$1),0))*($K653+$L653)/(SUMIF($A:$A,$A653,$K:$K)+SUMIF($A:$A,$A653,$L:$L)),0)</f>
        <v>-1.343333568276959E-15</v>
      </c>
      <c r="O653" s="30">
        <f>IFERROR((VLOOKUP($A653,HeadJournal!$A$1:$L$890,COLUMN(HeadJournal!L$1),0)*($K653+$L653)/(SUMIF($A:$A,$A653,$K:$K)+SUMIF($A:$A,$A653,$L:$L)))/VLOOKUP($A653,HeadJournal!$A$1:$L$890,COLUMN(HeadJournal!H$1),0),0)</f>
        <v>3.4535626402861448</v>
      </c>
      <c r="P653" s="30">
        <f>IFERROR(SUM(K653:O653)*VLOOKUP($A653,HeadJournal!$A$1:$L$890,COLUMN(HeadJournal!H$1),0),0)</f>
        <v>919.54007084293448</v>
      </c>
      <c r="Q653" s="29">
        <v>2000</v>
      </c>
      <c r="R653" s="31">
        <v>45001</v>
      </c>
      <c r="S653" s="31" t="s">
        <v>3121</v>
      </c>
      <c r="T653" s="95" t="str">
        <f t="shared" si="55"/>
        <v>2023 03</v>
      </c>
      <c r="U653" s="32">
        <f t="shared" si="52"/>
        <v>1080.4599291570655</v>
      </c>
      <c r="V653" s="22">
        <f t="shared" si="53"/>
        <v>1.1750003761843866</v>
      </c>
      <c r="X653" s="33"/>
      <c r="Y653" s="33"/>
    </row>
    <row r="654" spans="1:25" x14ac:dyDescent="0.2">
      <c r="A654" s="93" t="s">
        <v>308</v>
      </c>
      <c r="B654" s="94" t="str">
        <f>IFERROR(VLOOKUP($A654,HeadJournal!$A$1:$NTR$890,COLUMN(HeadJournal!B$1),0),"")</f>
        <v>922731615-0</v>
      </c>
      <c r="C654" s="94" t="str">
        <f>IFERROR(VLOOKUP($A654,HeadJournal!$A$1:$NTR$890,COLUMN(HeadJournal!C$1),0),"")</f>
        <v>iHerb_OA CZN6870</v>
      </c>
      <c r="D654" s="125" t="str">
        <f>IFERROR(VLOOKUP($A654,HeadJournal!$A$1:$NTR$890,COLUMN(HeadJournal!D$1),0),"")</f>
        <v>Доставлен</v>
      </c>
      <c r="E654" s="95">
        <f>IFERROR(VLOOKUP($A654,HeadJournal!$A$1:$NTR$890,COLUMN(HeadJournal!G$1),0),"")</f>
        <v>44923</v>
      </c>
      <c r="F654" s="95" t="str">
        <f t="shared" si="54"/>
        <v>2022 12</v>
      </c>
      <c r="G654" s="96" t="s">
        <v>5</v>
      </c>
      <c r="H654" s="160" t="str">
        <f>RIGHT(Journal!$J654,9)</f>
        <v>NOW-03788</v>
      </c>
      <c r="I654" s="96" t="str">
        <f t="shared" si="51"/>
        <v>NOW Foods</v>
      </c>
      <c r="J654" s="97" t="s">
        <v>314</v>
      </c>
      <c r="K654" s="29">
        <v>23.79</v>
      </c>
      <c r="L654" s="29">
        <v>-7.14</v>
      </c>
      <c r="M654" s="30">
        <f>IFERROR(VLOOKUP($A654,HeadJournal!$A$1:$J$890,COLUMN(HeadJournal!I$1),0)*($K654+$L654)/(SUMIF($A:$A,$A654,$K:$K)+SUMIF($A:$A,$A654,$L:$L)),0)</f>
        <v>-1.196487326509833</v>
      </c>
      <c r="N654" s="30">
        <f>IFERROR((VLOOKUP($A654,HeadJournal!$A$1:$K$890,COLUMN(HeadJournal!K$1),0)-VLOOKUP($A654,HeadJournal!$A$1:$K$890,COLUMN(HeadJournal!J$1),0))*($K654+$L654)/(SUMIF($A:$A,$A654,$K:$K)+SUMIF($A:$A,$A654,$L:$L)),0)</f>
        <v>-2.5358847972575247E-15</v>
      </c>
      <c r="O654" s="30">
        <f>IFERROR((VLOOKUP($A654,HeadJournal!$A$1:$L$890,COLUMN(HeadJournal!L$1),0)*($K654+$L654)/(SUMIF($A:$A,$A654,$K:$K)+SUMIF($A:$A,$A654,$L:$L)))/VLOOKUP($A654,HeadJournal!$A$1:$L$890,COLUMN(HeadJournal!H$1),0),0)</f>
        <v>6.5194804944177216</v>
      </c>
      <c r="P654" s="30">
        <f>IFERROR(SUM(K654:O654)*VLOOKUP($A654,HeadJournal!$A$1:$L$890,COLUMN(HeadJournal!H$1),0),0)</f>
        <v>1735.8664602647227</v>
      </c>
      <c r="Q654" s="29">
        <v>3400</v>
      </c>
      <c r="R654" s="31">
        <v>45025</v>
      </c>
      <c r="S654" s="31" t="s">
        <v>3121</v>
      </c>
      <c r="T654" s="95" t="str">
        <f t="shared" si="55"/>
        <v>2023 04</v>
      </c>
      <c r="U654" s="32">
        <f t="shared" si="52"/>
        <v>1664.1335397352773</v>
      </c>
      <c r="V654" s="22">
        <f t="shared" si="53"/>
        <v>0.95867601444496708</v>
      </c>
      <c r="X654" s="33"/>
      <c r="Y654" s="33"/>
    </row>
    <row r="655" spans="1:25" x14ac:dyDescent="0.2">
      <c r="A655" s="93" t="s">
        <v>308</v>
      </c>
      <c r="B655" s="94" t="str">
        <f>IFERROR(VLOOKUP($A655,HeadJournal!$A$1:$NTR$890,COLUMN(HeadJournal!B$1),0),"")</f>
        <v>922731615-0</v>
      </c>
      <c r="C655" s="94" t="str">
        <f>IFERROR(VLOOKUP($A655,HeadJournal!$A$1:$NTR$890,COLUMN(HeadJournal!C$1),0),"")</f>
        <v>iHerb_OA CZN6870</v>
      </c>
      <c r="D655" s="125" t="str">
        <f>IFERROR(VLOOKUP($A655,HeadJournal!$A$1:$NTR$890,COLUMN(HeadJournal!D$1),0),"")</f>
        <v>Доставлен</v>
      </c>
      <c r="E655" s="95">
        <f>IFERROR(VLOOKUP($A655,HeadJournal!$A$1:$NTR$890,COLUMN(HeadJournal!G$1),0),"")</f>
        <v>44923</v>
      </c>
      <c r="F655" s="95" t="str">
        <f t="shared" si="54"/>
        <v>2022 12</v>
      </c>
      <c r="G655" s="96" t="s">
        <v>5</v>
      </c>
      <c r="H655" s="160" t="str">
        <f>RIGHT(Journal!$J655,9)</f>
        <v>NOW-03212</v>
      </c>
      <c r="I655" s="96" t="str">
        <f t="shared" si="51"/>
        <v>NOW Foods</v>
      </c>
      <c r="J655" s="97" t="s">
        <v>100</v>
      </c>
      <c r="K655" s="29">
        <v>23.39</v>
      </c>
      <c r="L655" s="29">
        <v>-2.34</v>
      </c>
      <c r="M655" s="30">
        <f>IFERROR(VLOOKUP($A655,HeadJournal!$A$1:$J$890,COLUMN(HeadJournal!I$1),0)*($K655+$L655)/(SUMIF($A:$A,$A655,$K:$K)+SUMIF($A:$A,$A655,$L:$L)),0)</f>
        <v>-1.512676169551471</v>
      </c>
      <c r="N655" s="30">
        <f>IFERROR((VLOOKUP($A655,HeadJournal!$A$1:$K$890,COLUMN(HeadJournal!K$1),0)-VLOOKUP($A655,HeadJournal!$A$1:$K$890,COLUMN(HeadJournal!J$1),0))*($K655+$L655)/(SUMIF($A:$A,$A655,$K:$K)+SUMIF($A:$A,$A655,$L:$L)),0)</f>
        <v>-3.2060285274637175E-15</v>
      </c>
      <c r="O655" s="30">
        <f>IFERROR((VLOOKUP($A655,HeadJournal!$A$1:$L$890,COLUMN(HeadJournal!L$1),0)*($K655+$L655)/(SUMIF($A:$A,$A655,$K:$K)+SUMIF($A:$A,$A655,$L:$L)))/VLOOKUP($A655,HeadJournal!$A$1:$L$890,COLUMN(HeadJournal!H$1),0),0)</f>
        <v>8.2423462106602443</v>
      </c>
      <c r="P655" s="30">
        <f>IFERROR(SUM(K655:O655)*VLOOKUP($A655,HeadJournal!$A$1:$L$890,COLUMN(HeadJournal!H$1),0),0)</f>
        <v>2194.5939332475928</v>
      </c>
      <c r="Q655" s="29">
        <v>2800</v>
      </c>
      <c r="R655" s="31">
        <v>44987</v>
      </c>
      <c r="S655" s="31" t="s">
        <v>3121</v>
      </c>
      <c r="T655" s="95" t="str">
        <f t="shared" si="55"/>
        <v>2023 03</v>
      </c>
      <c r="U655" s="32">
        <f t="shared" si="52"/>
        <v>605.40606675240724</v>
      </c>
      <c r="V655" s="22">
        <f t="shared" si="53"/>
        <v>0.27586245345010973</v>
      </c>
      <c r="X655" s="33"/>
      <c r="Y655" s="33"/>
    </row>
    <row r="656" spans="1:25" x14ac:dyDescent="0.2">
      <c r="A656" s="93" t="s">
        <v>308</v>
      </c>
      <c r="B656" s="94" t="str">
        <f>IFERROR(VLOOKUP($A656,HeadJournal!$A$1:$NTR$890,COLUMN(HeadJournal!B$1),0),"")</f>
        <v>922731615-0</v>
      </c>
      <c r="C656" s="94" t="str">
        <f>IFERROR(VLOOKUP($A656,HeadJournal!$A$1:$NTR$890,COLUMN(HeadJournal!C$1),0),"")</f>
        <v>iHerb_OA CZN6870</v>
      </c>
      <c r="D656" s="125" t="str">
        <f>IFERROR(VLOOKUP($A656,HeadJournal!$A$1:$NTR$890,COLUMN(HeadJournal!D$1),0),"")</f>
        <v>Доставлен</v>
      </c>
      <c r="E656" s="95">
        <f>IFERROR(VLOOKUP($A656,HeadJournal!$A$1:$NTR$890,COLUMN(HeadJournal!G$1),0),"")</f>
        <v>44923</v>
      </c>
      <c r="F656" s="95" t="str">
        <f t="shared" si="54"/>
        <v>2022 12</v>
      </c>
      <c r="G656" s="96" t="s">
        <v>5</v>
      </c>
      <c r="H656" s="160" t="str">
        <f>RIGHT(Journal!$J656,9)</f>
        <v>NWY-15686</v>
      </c>
      <c r="I656" s="96" t="str">
        <f t="shared" si="51"/>
        <v>Nature's Way</v>
      </c>
      <c r="J656" s="97" t="s">
        <v>265</v>
      </c>
      <c r="K656" s="29">
        <v>21.08</v>
      </c>
      <c r="L656" s="29">
        <v>-4.22</v>
      </c>
      <c r="M656" s="30">
        <f>IFERROR(VLOOKUP($A656,HeadJournal!$A$1:$J$890,COLUMN(HeadJournal!I$1),0)*($K656+$L656)/(SUMIF($A:$A,$A656,$K:$K)+SUMIF($A:$A,$A656,$L:$L)),0)</f>
        <v>-1.2115781576550024</v>
      </c>
      <c r="N656" s="30">
        <f>IFERROR((VLOOKUP($A656,HeadJournal!$A$1:$K$890,COLUMN(HeadJournal!K$1),0)-VLOOKUP($A656,HeadJournal!$A$1:$K$890,COLUMN(HeadJournal!J$1),0))*($K656+$L656)/(SUMIF($A:$A,$A656,$K:$K)+SUMIF($A:$A,$A656,$L:$L)),0)</f>
        <v>-2.5678689298355476E-15</v>
      </c>
      <c r="O656" s="30">
        <f>IFERROR((VLOOKUP($A656,HeadJournal!$A$1:$L$890,COLUMN(HeadJournal!L$1),0)*($K656+$L656)/(SUMIF($A:$A,$A656,$K:$K)+SUMIF($A:$A,$A656,$L:$L)))/VLOOKUP($A656,HeadJournal!$A$1:$L$890,COLUMN(HeadJournal!H$1),0),0)</f>
        <v>6.6017081763292955</v>
      </c>
      <c r="P656" s="30">
        <f>IFERROR(SUM(K656:O656)*VLOOKUP($A656,HeadJournal!$A$1:$L$890,COLUMN(HeadJournal!H$1),0),0)</f>
        <v>1757.7602714752691</v>
      </c>
      <c r="Q656" s="29">
        <v>2800</v>
      </c>
      <c r="R656" s="31">
        <v>45245</v>
      </c>
      <c r="S656" s="31" t="s">
        <v>3121</v>
      </c>
      <c r="T656" s="95" t="str">
        <f t="shared" si="55"/>
        <v>2023 11</v>
      </c>
      <c r="U656" s="32">
        <f t="shared" si="52"/>
        <v>1042.2397285247309</v>
      </c>
      <c r="V656" s="22">
        <f t="shared" si="53"/>
        <v>0.59293621857205281</v>
      </c>
      <c r="X656" s="33"/>
      <c r="Y656" s="33"/>
    </row>
    <row r="657" spans="1:25" x14ac:dyDescent="0.2">
      <c r="A657" s="93" t="s">
        <v>308</v>
      </c>
      <c r="B657" s="94" t="str">
        <f>IFERROR(VLOOKUP($A657,HeadJournal!$A$1:$NTR$890,COLUMN(HeadJournal!B$1),0),"")</f>
        <v>922731615-0</v>
      </c>
      <c r="C657" s="94" t="str">
        <f>IFERROR(VLOOKUP($A657,HeadJournal!$A$1:$NTR$890,COLUMN(HeadJournal!C$1),0),"")</f>
        <v>iHerb_OA CZN6870</v>
      </c>
      <c r="D657" s="125" t="str">
        <f>IFERROR(VLOOKUP($A657,HeadJournal!$A$1:$NTR$890,COLUMN(HeadJournal!D$1),0),"")</f>
        <v>Доставлен</v>
      </c>
      <c r="E657" s="95">
        <f>IFERROR(VLOOKUP($A657,HeadJournal!$A$1:$NTR$890,COLUMN(HeadJournal!G$1),0),"")</f>
        <v>44923</v>
      </c>
      <c r="F657" s="95" t="str">
        <f t="shared" si="54"/>
        <v>2022 12</v>
      </c>
      <c r="G657" s="96" t="s">
        <v>5</v>
      </c>
      <c r="H657" s="160" t="str">
        <f>RIGHT(Journal!$J657,9)</f>
        <v>RSP-00788</v>
      </c>
      <c r="I657" s="96" t="str">
        <f t="shared" si="51"/>
        <v>RSP Nutrition</v>
      </c>
      <c r="J657" s="97" t="s">
        <v>315</v>
      </c>
      <c r="K657" s="29">
        <v>21.99</v>
      </c>
      <c r="L657" s="29">
        <v>-4.4000000000000004</v>
      </c>
      <c r="M657" s="30">
        <f>IFERROR(VLOOKUP($A657,HeadJournal!$A$1:$J$890,COLUMN(HeadJournal!I$1),0)*($K657+$L657)/(SUMIF($A:$A,$A657,$K:$K)+SUMIF($A:$A,$A657,$L:$L)),0)</f>
        <v>-1.2640367611596373</v>
      </c>
      <c r="N657" s="30">
        <f>IFERROR((VLOOKUP($A657,HeadJournal!$A$1:$K$890,COLUMN(HeadJournal!K$1),0)-VLOOKUP($A657,HeadJournal!$A$1:$K$890,COLUMN(HeadJournal!J$1),0))*($K657+$L657)/(SUMIF($A:$A,$A657,$K:$K)+SUMIF($A:$A,$A657,$L:$L)),0)</f>
        <v>-2.6790518668924837E-15</v>
      </c>
      <c r="O657" s="30">
        <f>IFERROR((VLOOKUP($A657,HeadJournal!$A$1:$L$890,COLUMN(HeadJournal!L$1),0)*($K657+$L657)/(SUMIF($A:$A,$A657,$K:$K)+SUMIF($A:$A,$A657,$L:$L)))/VLOOKUP($A657,HeadJournal!$A$1:$L$890,COLUMN(HeadJournal!H$1),0),0)</f>
        <v>6.8875472610695319</v>
      </c>
      <c r="P657" s="30">
        <f>IFERROR(SUM(K657:O657)*VLOOKUP($A657,HeadJournal!$A$1:$L$890,COLUMN(HeadJournal!H$1),0),0)</f>
        <v>1833.867329492881</v>
      </c>
      <c r="Q657" s="29">
        <v>2700</v>
      </c>
      <c r="R657" s="31">
        <v>45083</v>
      </c>
      <c r="S657" s="31" t="s">
        <v>3121</v>
      </c>
      <c r="T657" s="95" t="str">
        <f t="shared" si="55"/>
        <v>2023 06</v>
      </c>
      <c r="U657" s="32">
        <f t="shared" si="52"/>
        <v>866.13267050711897</v>
      </c>
      <c r="V657" s="22">
        <f t="shared" si="53"/>
        <v>0.47229843543078465</v>
      </c>
      <c r="X657" s="33"/>
      <c r="Y657" s="33"/>
    </row>
    <row r="658" spans="1:25" x14ac:dyDescent="0.2">
      <c r="A658" s="93" t="s">
        <v>308</v>
      </c>
      <c r="B658" s="94" t="str">
        <f>IFERROR(VLOOKUP($A658,HeadJournal!$A$1:$NTR$890,COLUMN(HeadJournal!B$1),0),"")</f>
        <v>922731615-0</v>
      </c>
      <c r="C658" s="94" t="str">
        <f>IFERROR(VLOOKUP($A658,HeadJournal!$A$1:$NTR$890,COLUMN(HeadJournal!C$1),0),"")</f>
        <v>iHerb_OA CZN6870</v>
      </c>
      <c r="D658" s="125" t="str">
        <f>IFERROR(VLOOKUP($A658,HeadJournal!$A$1:$NTR$890,COLUMN(HeadJournal!D$1),0),"")</f>
        <v>Доставлен</v>
      </c>
      <c r="E658" s="95">
        <f>IFERROR(VLOOKUP($A658,HeadJournal!$A$1:$NTR$890,COLUMN(HeadJournal!G$1),0),"")</f>
        <v>44923</v>
      </c>
      <c r="F658" s="95" t="str">
        <f t="shared" si="54"/>
        <v>2022 12</v>
      </c>
      <c r="G658" s="96" t="s">
        <v>5</v>
      </c>
      <c r="H658" s="160" t="str">
        <f>RIGHT(Journal!$J658,9)</f>
        <v>NWY-15786</v>
      </c>
      <c r="I658" s="96" t="str">
        <f t="shared" si="51"/>
        <v>Nature's Way</v>
      </c>
      <c r="J658" s="97" t="s">
        <v>316</v>
      </c>
      <c r="K658" s="29">
        <v>14.38</v>
      </c>
      <c r="L658" s="29">
        <v>-2.88</v>
      </c>
      <c r="M658" s="30">
        <f>IFERROR(VLOOKUP($A658,HeadJournal!$A$1:$J$890,COLUMN(HeadJournal!I$1),0)*($K658+$L658)/(SUMIF($A:$A,$A658,$K:$K)+SUMIF($A:$A,$A658,$L:$L)),0)</f>
        <v>-0.82640265794973466</v>
      </c>
      <c r="N658" s="30">
        <f>IFERROR((VLOOKUP($A658,HeadJournal!$A$1:$K$890,COLUMN(HeadJournal!K$1),0)-VLOOKUP($A658,HeadJournal!$A$1:$K$890,COLUMN(HeadJournal!J$1),0))*($K658+$L658)/(SUMIF($A:$A,$A658,$K:$K)+SUMIF($A:$A,$A658,$L:$L)),0)</f>
        <v>-1.7515120221298219E-15</v>
      </c>
      <c r="O658" s="30">
        <f>IFERROR((VLOOKUP($A658,HeadJournal!$A$1:$L$890,COLUMN(HeadJournal!L$1),0)*($K658+$L658)/(SUMIF($A:$A,$A658,$K:$K)+SUMIF($A:$A,$A658,$L:$L)))/VLOOKUP($A658,HeadJournal!$A$1:$L$890,COLUMN(HeadJournal!H$1),0),0)</f>
        <v>4.5029444856338623</v>
      </c>
      <c r="P658" s="30">
        <f>IFERROR(SUM(K658:O658)*VLOOKUP($A658,HeadJournal!$A$1:$L$890,COLUMN(HeadJournal!H$1),0),0)</f>
        <v>1198.9468043870459</v>
      </c>
      <c r="Q658" s="29">
        <v>2400</v>
      </c>
      <c r="R658" s="31">
        <v>44982</v>
      </c>
      <c r="S658" s="31" t="s">
        <v>3121</v>
      </c>
      <c r="T658" s="95" t="str">
        <f t="shared" si="55"/>
        <v>2023 02</v>
      </c>
      <c r="U658" s="32">
        <f t="shared" si="52"/>
        <v>1201.0531956129541</v>
      </c>
      <c r="V658" s="22">
        <f t="shared" si="53"/>
        <v>1.0017568679596132</v>
      </c>
      <c r="X658" s="33"/>
      <c r="Y658" s="33"/>
    </row>
    <row r="659" spans="1:25" x14ac:dyDescent="0.2">
      <c r="A659" s="93" t="s">
        <v>308</v>
      </c>
      <c r="B659" s="94" t="str">
        <f>IFERROR(VLOOKUP($A659,HeadJournal!$A$1:$NTR$890,COLUMN(HeadJournal!B$1),0),"")</f>
        <v>922731615-0</v>
      </c>
      <c r="C659" s="94" t="str">
        <f>IFERROR(VLOOKUP($A659,HeadJournal!$A$1:$NTR$890,COLUMN(HeadJournal!C$1),0),"")</f>
        <v>iHerb_OA CZN6870</v>
      </c>
      <c r="D659" s="125" t="str">
        <f>IFERROR(VLOOKUP($A659,HeadJournal!$A$1:$NTR$890,COLUMN(HeadJournal!D$1),0),"")</f>
        <v>Доставлен</v>
      </c>
      <c r="E659" s="95">
        <f>IFERROR(VLOOKUP($A659,HeadJournal!$A$1:$NTR$890,COLUMN(HeadJournal!G$1),0),"")</f>
        <v>44923</v>
      </c>
      <c r="F659" s="95" t="str">
        <f t="shared" si="54"/>
        <v>2022 12</v>
      </c>
      <c r="G659" s="96" t="s">
        <v>5</v>
      </c>
      <c r="H659" s="160" t="str">
        <f>RIGHT(Journal!$J659,9)</f>
        <v>NWY-13663</v>
      </c>
      <c r="I659" s="96" t="str">
        <f t="shared" si="51"/>
        <v>Nature's Way</v>
      </c>
      <c r="J659" s="97" t="s">
        <v>317</v>
      </c>
      <c r="K659" s="29">
        <v>12.93</v>
      </c>
      <c r="L659" s="29">
        <v>-2.59</v>
      </c>
      <c r="M659" s="30">
        <f>IFERROR(VLOOKUP($A659,HeadJournal!$A$1:$J$890,COLUMN(HeadJournal!I$1),0)*($K659+$L659)/(SUMIF($A:$A,$A659,$K:$K)+SUMIF($A:$A,$A659,$L:$L)),0)</f>
        <v>-0.74304378114784841</v>
      </c>
      <c r="N659" s="30">
        <f>IFERROR((VLOOKUP($A659,HeadJournal!$A$1:$K$890,COLUMN(HeadJournal!K$1),0)-VLOOKUP($A659,HeadJournal!$A$1:$K$890,COLUMN(HeadJournal!J$1),0))*($K659+$L659)/(SUMIF($A:$A,$A659,$K:$K)+SUMIF($A:$A,$A659,$L:$L)),0)</f>
        <v>-1.5748377659845528E-15</v>
      </c>
      <c r="O659" s="30">
        <f>IFERROR((VLOOKUP($A659,HeadJournal!$A$1:$L$890,COLUMN(HeadJournal!L$1),0)*($K659+$L659)/(SUMIF($A:$A,$A659,$K:$K)+SUMIF($A:$A,$A659,$L:$L)))/VLOOKUP($A659,HeadJournal!$A$1:$L$890,COLUMN(HeadJournal!H$1),0),0)</f>
        <v>4.0487344331699253</v>
      </c>
      <c r="P659" s="30">
        <f>IFERROR(SUM(K659:O659)*VLOOKUP($A659,HeadJournal!$A$1:$L$890,COLUMN(HeadJournal!H$1),0),0)</f>
        <v>1078.0095615097439</v>
      </c>
      <c r="Q659" s="29">
        <v>2100</v>
      </c>
      <c r="R659" s="31">
        <v>45239</v>
      </c>
      <c r="S659" s="31" t="s">
        <v>3121</v>
      </c>
      <c r="T659" s="95" t="str">
        <f t="shared" si="55"/>
        <v>2023 11</v>
      </c>
      <c r="U659" s="32">
        <f t="shared" si="52"/>
        <v>1021.9904384902561</v>
      </c>
      <c r="V659" s="22">
        <f t="shared" si="53"/>
        <v>0.94803466961737015</v>
      </c>
      <c r="X659" s="33"/>
      <c r="Y659" s="33"/>
    </row>
    <row r="660" spans="1:25" x14ac:dyDescent="0.2">
      <c r="A660" s="93" t="s">
        <v>318</v>
      </c>
      <c r="B660" s="94" t="str">
        <f>IFERROR(VLOOKUP($A660,HeadJournal!$A$1:$NTR$890,COLUMN(HeadJournal!B$1),0),"")</f>
        <v>1Z58FA050346286360</v>
      </c>
      <c r="C660" s="94" t="str">
        <f>IFERROR(VLOOKUP($A660,HeadJournal!$A$1:$NTR$890,COLUMN(HeadJournal!C$1),0),"")</f>
        <v>iHerb_MH DLE7202</v>
      </c>
      <c r="D660" s="125" t="str">
        <f>IFERROR(VLOOKUP($A660,HeadJournal!$A$1:$NTR$890,COLUMN(HeadJournal!D$1),0),"")</f>
        <v>Доставлен</v>
      </c>
      <c r="E660" s="95">
        <f>IFERROR(VLOOKUP($A660,HeadJournal!$A$1:$NTR$890,COLUMN(HeadJournal!G$1),0),"")</f>
        <v>44929</v>
      </c>
      <c r="F660" s="95" t="str">
        <f t="shared" si="54"/>
        <v>2023 01</v>
      </c>
      <c r="G660" s="96" t="s">
        <v>5</v>
      </c>
      <c r="H660" s="161" t="s">
        <v>2174</v>
      </c>
      <c r="I660" s="97" t="s">
        <v>2005</v>
      </c>
      <c r="J660" s="97" t="s">
        <v>2175</v>
      </c>
      <c r="K660" s="29">
        <v>4.47</v>
      </c>
      <c r="L660" s="29">
        <v>-0.44500000000000001</v>
      </c>
      <c r="M660" s="30">
        <f>IFERROR(VLOOKUP($A660,HeadJournal!$A$1:$J$890,COLUMN(HeadJournal!I$1),0)*($K660+$L660)/(SUMIF($A:$A,$A660,$K:$K)+SUMIF($A:$A,$A660,$L:$L)),0)</f>
        <v>-0.14114067656765678</v>
      </c>
      <c r="N660" s="30">
        <f>IFERROR((VLOOKUP($A660,HeadJournal!$A$1:$K$890,COLUMN(HeadJournal!K$1),0)-VLOOKUP($A660,HeadJournal!$A$1:$K$890,COLUMN(HeadJournal!J$1),0))*($K660+$L660)/(SUMIF($A:$A,$A660,$K:$K)+SUMIF($A:$A,$A660,$L:$L)),0)</f>
        <v>4.7193638802547908E-16</v>
      </c>
      <c r="O660" s="30">
        <f>IFERROR((VLOOKUP($A660,HeadJournal!$A$1:$L$890,COLUMN(HeadJournal!L$1),0)*($K660+$L660)/(SUMIF($A:$A,$A660,$K:$K)+SUMIF($A:$A,$A660,$L:$L)))/VLOOKUP($A660,HeadJournal!$A$1:$L$890,COLUMN(HeadJournal!H$1),0),0)</f>
        <v>1.5786689162742491</v>
      </c>
      <c r="P660" s="30">
        <f>IFERROR(SUM(K660:O660)*VLOOKUP($A660,HeadJournal!$A$1:$L$890,COLUMN(HeadJournal!H$1),0),0)</f>
        <v>447.92731565594056</v>
      </c>
      <c r="Q660" s="29">
        <v>800</v>
      </c>
      <c r="R660" s="31">
        <v>45003</v>
      </c>
      <c r="S660" s="31" t="s">
        <v>3121</v>
      </c>
      <c r="T660" s="95" t="str">
        <f t="shared" si="55"/>
        <v>2023 03</v>
      </c>
      <c r="U660" s="32">
        <f t="shared" si="52"/>
        <v>352.07268434405944</v>
      </c>
      <c r="V660" s="22">
        <f t="shared" si="53"/>
        <v>0.78600405029661458</v>
      </c>
      <c r="X660" s="33"/>
      <c r="Y660" s="33"/>
    </row>
    <row r="661" spans="1:25" x14ac:dyDescent="0.2">
      <c r="A661" s="93" t="s">
        <v>318</v>
      </c>
      <c r="B661" s="94" t="str">
        <f>IFERROR(VLOOKUP($A661,HeadJournal!$A$1:$NTR$890,COLUMN(HeadJournal!B$1),0),"")</f>
        <v>1Z58FA050346286360</v>
      </c>
      <c r="C661" s="94" t="str">
        <f>IFERROR(VLOOKUP($A661,HeadJournal!$A$1:$NTR$890,COLUMN(HeadJournal!C$1),0),"")</f>
        <v>iHerb_MH DLE7202</v>
      </c>
      <c r="D661" s="125" t="str">
        <f>IFERROR(VLOOKUP($A661,HeadJournal!$A$1:$NTR$890,COLUMN(HeadJournal!D$1),0),"")</f>
        <v>Доставлен</v>
      </c>
      <c r="E661" s="95">
        <f>IFERROR(VLOOKUP($A661,HeadJournal!$A$1:$NTR$890,COLUMN(HeadJournal!G$1),0),"")</f>
        <v>44929</v>
      </c>
      <c r="F661" s="95" t="str">
        <f t="shared" si="54"/>
        <v>2023 01</v>
      </c>
      <c r="G661" s="96" t="s">
        <v>5</v>
      </c>
      <c r="H661" s="161" t="s">
        <v>2174</v>
      </c>
      <c r="I661" s="97" t="s">
        <v>2005</v>
      </c>
      <c r="J661" s="97" t="s">
        <v>2175</v>
      </c>
      <c r="K661" s="29">
        <v>4.47</v>
      </c>
      <c r="L661" s="29">
        <v>-0.44500000000000001</v>
      </c>
      <c r="M661" s="30">
        <f>IFERROR(VLOOKUP($A661,HeadJournal!$A$1:$J$890,COLUMN(HeadJournal!I$1),0)*($K661+$L661)/(SUMIF($A:$A,$A661,$K:$K)+SUMIF($A:$A,$A661,$L:$L)),0)</f>
        <v>-0.14114067656765678</v>
      </c>
      <c r="N661" s="30">
        <f>IFERROR((VLOOKUP($A661,HeadJournal!$A$1:$K$890,COLUMN(HeadJournal!K$1),0)-VLOOKUP($A661,HeadJournal!$A$1:$K$890,COLUMN(HeadJournal!J$1),0))*($K661+$L661)/(SUMIF($A:$A,$A661,$K:$K)+SUMIF($A:$A,$A661,$L:$L)),0)</f>
        <v>4.7193638802547908E-16</v>
      </c>
      <c r="O661" s="30">
        <f>IFERROR((VLOOKUP($A661,HeadJournal!$A$1:$L$890,COLUMN(HeadJournal!L$1),0)*($K661+$L661)/(SUMIF($A:$A,$A661,$K:$K)+SUMIF($A:$A,$A661,$L:$L)))/VLOOKUP($A661,HeadJournal!$A$1:$L$890,COLUMN(HeadJournal!H$1),0),0)</f>
        <v>1.5786689162742491</v>
      </c>
      <c r="P661" s="30">
        <f>IFERROR(SUM(K661:O661)*VLOOKUP($A661,HeadJournal!$A$1:$L$890,COLUMN(HeadJournal!H$1),0),0)</f>
        <v>447.92731565594056</v>
      </c>
      <c r="Q661" s="29">
        <v>850</v>
      </c>
      <c r="R661" s="31">
        <v>45004</v>
      </c>
      <c r="S661" s="31" t="s">
        <v>3121</v>
      </c>
      <c r="T661" s="95" t="str">
        <f t="shared" si="55"/>
        <v>2023 03</v>
      </c>
      <c r="U661" s="32">
        <f t="shared" si="52"/>
        <v>402.07268434405944</v>
      </c>
      <c r="V661" s="22">
        <f t="shared" si="53"/>
        <v>0.8976293034401529</v>
      </c>
      <c r="X661" s="33"/>
      <c r="Y661" s="33"/>
    </row>
    <row r="662" spans="1:25" x14ac:dyDescent="0.2">
      <c r="A662" s="93" t="s">
        <v>318</v>
      </c>
      <c r="B662" s="94" t="str">
        <f>IFERROR(VLOOKUP($A662,HeadJournal!$A$1:$NTR$890,COLUMN(HeadJournal!B$1),0),"")</f>
        <v>1Z58FA050346286360</v>
      </c>
      <c r="C662" s="94" t="str">
        <f>IFERROR(VLOOKUP($A662,HeadJournal!$A$1:$NTR$890,COLUMN(HeadJournal!C$1),0),"")</f>
        <v>iHerb_MH DLE7202</v>
      </c>
      <c r="D662" s="125" t="str">
        <f>IFERROR(VLOOKUP($A662,HeadJournal!$A$1:$NTR$890,COLUMN(HeadJournal!D$1),0),"")</f>
        <v>Доставлен</v>
      </c>
      <c r="E662" s="95">
        <f>IFERROR(VLOOKUP($A662,HeadJournal!$A$1:$NTR$890,COLUMN(HeadJournal!G$1),0),"")</f>
        <v>44929</v>
      </c>
      <c r="F662" s="95" t="str">
        <f t="shared" si="54"/>
        <v>2023 01</v>
      </c>
      <c r="G662" s="96" t="s">
        <v>5</v>
      </c>
      <c r="H662" s="160" t="str">
        <f>RIGHT(Journal!$J662,9)</f>
        <v>CGN-01352</v>
      </c>
      <c r="I662" s="96" t="str">
        <f t="shared" si="51"/>
        <v>California Gold Nutrition</v>
      </c>
      <c r="J662" s="97" t="s">
        <v>319</v>
      </c>
      <c r="K662" s="29">
        <v>12</v>
      </c>
      <c r="L662" s="29">
        <v>-3.6</v>
      </c>
      <c r="M662" s="30">
        <f>IFERROR(VLOOKUP($A662,HeadJournal!$A$1:$J$890,COLUMN(HeadJournal!I$1),0)*($K662+$L662)/(SUMIF($A:$A,$A662,$K:$K)+SUMIF($A:$A,$A662,$L:$L)),0)</f>
        <v>-0.29455445544554459</v>
      </c>
      <c r="N662" s="30">
        <f>IFERROR((VLOOKUP($A662,HeadJournal!$A$1:$K$890,COLUMN(HeadJournal!K$1),0)-VLOOKUP($A662,HeadJournal!$A$1:$K$890,COLUMN(HeadJournal!J$1),0))*($K662+$L662)/(SUMIF($A:$A,$A662,$K:$K)+SUMIF($A:$A,$A662,$L:$L)),0)</f>
        <v>9.8491072283578252E-16</v>
      </c>
      <c r="O662" s="30">
        <f>IFERROR((VLOOKUP($A662,HeadJournal!$A$1:$L$890,COLUMN(HeadJournal!L$1),0)*($K662+$L662)/(SUMIF($A:$A,$A662,$K:$K)+SUMIF($A:$A,$A662,$L:$L)))/VLOOKUP($A662,HeadJournal!$A$1:$L$890,COLUMN(HeadJournal!H$1),0),0)</f>
        <v>3.2946133904853907</v>
      </c>
      <c r="P662" s="30">
        <f>IFERROR(SUM(K662:O662)*VLOOKUP($A662,HeadJournal!$A$1:$L$890,COLUMN(HeadJournal!H$1),0),0)</f>
        <v>934.80483267326747</v>
      </c>
      <c r="Q662" s="29">
        <v>1800</v>
      </c>
      <c r="R662" s="31">
        <v>44989</v>
      </c>
      <c r="S662" s="31" t="s">
        <v>3121</v>
      </c>
      <c r="T662" s="95" t="str">
        <f t="shared" si="55"/>
        <v>2023 03</v>
      </c>
      <c r="U662" s="32">
        <f t="shared" si="52"/>
        <v>865.19516732673253</v>
      </c>
      <c r="V662" s="22">
        <f t="shared" si="53"/>
        <v>0.92553561672603712</v>
      </c>
      <c r="X662" s="33"/>
      <c r="Y662" s="33"/>
    </row>
    <row r="663" spans="1:25" x14ac:dyDescent="0.2">
      <c r="A663" s="93" t="s">
        <v>318</v>
      </c>
      <c r="B663" s="94" t="str">
        <f>IFERROR(VLOOKUP($A663,HeadJournal!$A$1:$NTR$890,COLUMN(HeadJournal!B$1),0),"")</f>
        <v>1Z58FA050346286360</v>
      </c>
      <c r="C663" s="94" t="str">
        <f>IFERROR(VLOOKUP($A663,HeadJournal!$A$1:$NTR$890,COLUMN(HeadJournal!C$1),0),"")</f>
        <v>iHerb_MH DLE7202</v>
      </c>
      <c r="D663" s="125" t="str">
        <f>IFERROR(VLOOKUP($A663,HeadJournal!$A$1:$NTR$890,COLUMN(HeadJournal!D$1),0),"")</f>
        <v>Доставлен</v>
      </c>
      <c r="E663" s="95">
        <f>IFERROR(VLOOKUP($A663,HeadJournal!$A$1:$NTR$890,COLUMN(HeadJournal!G$1),0),"")</f>
        <v>44929</v>
      </c>
      <c r="F663" s="95" t="str">
        <f t="shared" si="54"/>
        <v>2023 01</v>
      </c>
      <c r="G663" s="96" t="s">
        <v>5</v>
      </c>
      <c r="H663" s="161" t="s">
        <v>2217</v>
      </c>
      <c r="I663" s="97" t="s">
        <v>2218</v>
      </c>
      <c r="J663" s="97" t="s">
        <v>2219</v>
      </c>
      <c r="K663" s="29">
        <v>17.5</v>
      </c>
      <c r="L663" s="29">
        <v>-1.75</v>
      </c>
      <c r="M663" s="30">
        <f>IFERROR(VLOOKUP($A663,HeadJournal!$A$1:$J$890,COLUMN(HeadJournal!I$1),0)*($K663+$L663)/(SUMIF($A:$A,$A663,$K:$K)+SUMIF($A:$A,$A663,$L:$L)),0)</f>
        <v>-0.55228960396039606</v>
      </c>
      <c r="N663" s="30">
        <f>IFERROR((VLOOKUP($A663,HeadJournal!$A$1:$K$890,COLUMN(HeadJournal!K$1),0)-VLOOKUP($A663,HeadJournal!$A$1:$K$890,COLUMN(HeadJournal!J$1),0))*($K663+$L663)/(SUMIF($A:$A,$A663,$K:$K)+SUMIF($A:$A,$A663,$L:$L)),0)</f>
        <v>1.8467076053170921E-15</v>
      </c>
      <c r="O663" s="30">
        <f>IFERROR((VLOOKUP($A663,HeadJournal!$A$1:$L$890,COLUMN(HeadJournal!L$1),0)*($K663+$L663)/(SUMIF($A:$A,$A663,$K:$K)+SUMIF($A:$A,$A663,$L:$L)))/VLOOKUP($A663,HeadJournal!$A$1:$L$890,COLUMN(HeadJournal!H$1),0),0)</f>
        <v>6.177400107160107</v>
      </c>
      <c r="P663" s="30">
        <f>IFERROR(SUM(K663:O663)*VLOOKUP($A663,HeadJournal!$A$1:$L$890,COLUMN(HeadJournal!H$1),0),0)</f>
        <v>1752.7590612623765</v>
      </c>
      <c r="Q663" s="29">
        <v>3200</v>
      </c>
      <c r="R663" s="31">
        <v>45007</v>
      </c>
      <c r="S663" s="31" t="s">
        <v>3121</v>
      </c>
      <c r="T663" s="95" t="str">
        <f t="shared" si="55"/>
        <v>2023 03</v>
      </c>
      <c r="U663" s="32">
        <f t="shared" si="52"/>
        <v>1447.2409387376235</v>
      </c>
      <c r="V663" s="22">
        <f t="shared" si="53"/>
        <v>0.82569302919209453</v>
      </c>
      <c r="X663" s="33"/>
      <c r="Y663" s="33"/>
    </row>
    <row r="664" spans="1:25" x14ac:dyDescent="0.2">
      <c r="A664" s="93" t="s">
        <v>318</v>
      </c>
      <c r="B664" s="94" t="str">
        <f>IFERROR(VLOOKUP($A664,HeadJournal!$A$1:$NTR$890,COLUMN(HeadJournal!B$1),0),"")</f>
        <v>1Z58FA050346286360</v>
      </c>
      <c r="C664" s="94" t="str">
        <f>IFERROR(VLOOKUP($A664,HeadJournal!$A$1:$NTR$890,COLUMN(HeadJournal!C$1),0),"")</f>
        <v>iHerb_MH DLE7202</v>
      </c>
      <c r="D664" s="125" t="str">
        <f>IFERROR(VLOOKUP($A664,HeadJournal!$A$1:$NTR$890,COLUMN(HeadJournal!D$1),0),"")</f>
        <v>Доставлен</v>
      </c>
      <c r="E664" s="95">
        <f>IFERROR(VLOOKUP($A664,HeadJournal!$A$1:$NTR$890,COLUMN(HeadJournal!G$1),0),"")</f>
        <v>44929</v>
      </c>
      <c r="F664" s="95" t="str">
        <f t="shared" si="54"/>
        <v>2023 01</v>
      </c>
      <c r="G664" s="96" t="s">
        <v>5</v>
      </c>
      <c r="H664" s="161" t="s">
        <v>2899</v>
      </c>
      <c r="I664" s="97" t="s">
        <v>2042</v>
      </c>
      <c r="J664" s="97" t="s">
        <v>2900</v>
      </c>
      <c r="K664" s="29">
        <v>8</v>
      </c>
      <c r="L664" s="29">
        <v>-0.8</v>
      </c>
      <c r="M664" s="30">
        <f>IFERROR(VLOOKUP($A664,HeadJournal!$A$1:$J$890,COLUMN(HeadJournal!I$1),0)*($K664+$L664)/(SUMIF($A:$A,$A664,$K:$K)+SUMIF($A:$A,$A664,$L:$L)),0)</f>
        <v>-0.25247524752475253</v>
      </c>
      <c r="N664" s="30">
        <f>IFERROR((VLOOKUP($A664,HeadJournal!$A$1:$K$890,COLUMN(HeadJournal!K$1),0)-VLOOKUP($A664,HeadJournal!$A$1:$K$890,COLUMN(HeadJournal!J$1),0))*($K664+$L664)/(SUMIF($A:$A,$A664,$K:$K)+SUMIF($A:$A,$A664,$L:$L)),0)</f>
        <v>8.4420919100209929E-16</v>
      </c>
      <c r="O664" s="30">
        <f>IFERROR((VLOOKUP($A664,HeadJournal!$A$1:$L$890,COLUMN(HeadJournal!L$1),0)*($K664+$L664)/(SUMIF($A:$A,$A664,$K:$K)+SUMIF($A:$A,$A664,$L:$L)))/VLOOKUP($A664,HeadJournal!$A$1:$L$890,COLUMN(HeadJournal!H$1),0),0)</f>
        <v>2.8239543347017633</v>
      </c>
      <c r="P664" s="30">
        <f>IFERROR(SUM(K664:O664)*VLOOKUP($A664,HeadJournal!$A$1:$L$890,COLUMN(HeadJournal!H$1),0),0)</f>
        <v>801.26128514851496</v>
      </c>
      <c r="Q664" s="29">
        <v>801.26</v>
      </c>
      <c r="R664" s="31">
        <v>44967</v>
      </c>
      <c r="S664" s="31" t="s">
        <v>3121</v>
      </c>
      <c r="T664" s="95" t="str">
        <f t="shared" si="55"/>
        <v>2023 02</v>
      </c>
      <c r="U664" s="32">
        <f t="shared" si="52"/>
        <v>-1.2851485149667496E-3</v>
      </c>
      <c r="V664" s="22">
        <f t="shared" si="53"/>
        <v>-1.6039069137460516E-6</v>
      </c>
      <c r="X664" s="33"/>
      <c r="Y664" s="33"/>
    </row>
    <row r="665" spans="1:25" x14ac:dyDescent="0.2">
      <c r="A665" s="93" t="s">
        <v>318</v>
      </c>
      <c r="B665" s="94" t="str">
        <f>IFERROR(VLOOKUP($A665,HeadJournal!$A$1:$NTR$890,COLUMN(HeadJournal!B$1),0),"")</f>
        <v>1Z58FA050346286360</v>
      </c>
      <c r="C665" s="94" t="str">
        <f>IFERROR(VLOOKUP($A665,HeadJournal!$A$1:$NTR$890,COLUMN(HeadJournal!C$1),0),"")</f>
        <v>iHerb_MH DLE7202</v>
      </c>
      <c r="D665" s="125" t="str">
        <f>IFERROR(VLOOKUP($A665,HeadJournal!$A$1:$NTR$890,COLUMN(HeadJournal!D$1),0),"")</f>
        <v>Доставлен</v>
      </c>
      <c r="E665" s="95">
        <f>IFERROR(VLOOKUP($A665,HeadJournal!$A$1:$NTR$890,COLUMN(HeadJournal!G$1),0),"")</f>
        <v>44929</v>
      </c>
      <c r="F665" s="95" t="str">
        <f t="shared" si="54"/>
        <v>2023 01</v>
      </c>
      <c r="G665" s="96" t="s">
        <v>5</v>
      </c>
      <c r="H665" s="161" t="s">
        <v>2071</v>
      </c>
      <c r="I665" s="97" t="s">
        <v>2005</v>
      </c>
      <c r="J665" s="97" t="s">
        <v>2072</v>
      </c>
      <c r="K665" s="29">
        <v>18.690000000000001</v>
      </c>
      <c r="L665" s="29">
        <v>-1.87</v>
      </c>
      <c r="M665" s="30">
        <f>IFERROR(VLOOKUP($A665,HeadJournal!$A$1:$J$890,COLUMN(HeadJournal!I$1),0)*($K665+$L665)/(SUMIF($A:$A,$A665,$K:$K)+SUMIF($A:$A,$A665,$L:$L)),0)</f>
        <v>-0.58981023102310237</v>
      </c>
      <c r="N665" s="30">
        <f>IFERROR((VLOOKUP($A665,HeadJournal!$A$1:$K$890,COLUMN(HeadJournal!K$1),0)-VLOOKUP($A665,HeadJournal!$A$1:$K$890,COLUMN(HeadJournal!J$1),0))*($K665+$L665)/(SUMIF($A:$A,$A665,$K:$K)+SUMIF($A:$A,$A665,$L:$L)),0)</f>
        <v>1.9721664712021263E-15</v>
      </c>
      <c r="O665" s="30">
        <f>IFERROR((VLOOKUP($A665,HeadJournal!$A$1:$L$890,COLUMN(HeadJournal!L$1),0)*($K665+$L665)/(SUMIF($A:$A,$A665,$K:$K)+SUMIF($A:$A,$A665,$L:$L)))/VLOOKUP($A665,HeadJournal!$A$1:$L$890,COLUMN(HeadJournal!H$1),0),0)</f>
        <v>6.5970710985671737</v>
      </c>
      <c r="P665" s="30">
        <f>IFERROR(SUM(K665:O665)*VLOOKUP($A665,HeadJournal!$A$1:$L$890,COLUMN(HeadJournal!H$1),0),0)</f>
        <v>1871.8353911386143</v>
      </c>
      <c r="Q665" s="29">
        <v>2500</v>
      </c>
      <c r="R665" s="31">
        <v>44986</v>
      </c>
      <c r="S665" s="31" t="s">
        <v>3121</v>
      </c>
      <c r="T665" s="95" t="str">
        <f t="shared" si="55"/>
        <v>2023 03</v>
      </c>
      <c r="U665" s="32">
        <f t="shared" si="52"/>
        <v>628.16460886138566</v>
      </c>
      <c r="V665" s="22">
        <f t="shared" si="53"/>
        <v>0.33558752646475015</v>
      </c>
      <c r="X665" s="33"/>
      <c r="Y665" s="33"/>
    </row>
    <row r="666" spans="1:25" x14ac:dyDescent="0.2">
      <c r="A666" s="93" t="s">
        <v>318</v>
      </c>
      <c r="B666" s="94" t="str">
        <f>IFERROR(VLOOKUP($A666,HeadJournal!$A$1:$NTR$890,COLUMN(HeadJournal!B$1),0),"")</f>
        <v>1Z58FA050346286360</v>
      </c>
      <c r="C666" s="94" t="str">
        <f>IFERROR(VLOOKUP($A666,HeadJournal!$A$1:$NTR$890,COLUMN(HeadJournal!C$1),0),"")</f>
        <v>iHerb_MH DLE7202</v>
      </c>
      <c r="D666" s="125" t="str">
        <f>IFERROR(VLOOKUP($A666,HeadJournal!$A$1:$NTR$890,COLUMN(HeadJournal!D$1),0),"")</f>
        <v>Доставлен</v>
      </c>
      <c r="E666" s="95">
        <f>IFERROR(VLOOKUP($A666,HeadJournal!$A$1:$NTR$890,COLUMN(HeadJournal!G$1),0),"")</f>
        <v>44929</v>
      </c>
      <c r="F666" s="95" t="str">
        <f t="shared" si="54"/>
        <v>2023 01</v>
      </c>
      <c r="G666" s="96" t="s">
        <v>5</v>
      </c>
      <c r="H666" s="161" t="s">
        <v>2832</v>
      </c>
      <c r="I666" s="97" t="s">
        <v>2005</v>
      </c>
      <c r="J666" s="97" t="s">
        <v>2833</v>
      </c>
      <c r="K666" s="29">
        <v>12.14</v>
      </c>
      <c r="L666" s="29">
        <v>-2.4300000000000002</v>
      </c>
      <c r="M666" s="30">
        <f>IFERROR(VLOOKUP($A666,HeadJournal!$A$1:$J$890,COLUMN(HeadJournal!I$1),0)*($K666+$L666)/(SUMIF($A:$A,$A666,$K:$K)+SUMIF($A:$A,$A666,$L:$L)),0)</f>
        <v>-0.34049092409240933</v>
      </c>
      <c r="N666" s="30">
        <f>IFERROR((VLOOKUP($A666,HeadJournal!$A$1:$K$890,COLUMN(HeadJournal!K$1),0)-VLOOKUP($A666,HeadJournal!$A$1:$K$890,COLUMN(HeadJournal!J$1),0))*($K666+$L666)/(SUMIF($A:$A,$A666,$K:$K)+SUMIF($A:$A,$A666,$L:$L)),0)</f>
        <v>1.1385098950875536E-15</v>
      </c>
      <c r="O666" s="30">
        <f>IFERROR((VLOOKUP($A666,HeadJournal!$A$1:$L$890,COLUMN(HeadJournal!L$1),0)*($K666+$L666)/(SUMIF($A:$A,$A666,$K:$K)+SUMIF($A:$A,$A666,$L:$L)))/VLOOKUP($A666,HeadJournal!$A$1:$L$890,COLUMN(HeadJournal!H$1),0),0)</f>
        <v>3.808416193049184</v>
      </c>
      <c r="P666" s="30">
        <f>IFERROR(SUM(K666:O666)*VLOOKUP($A666,HeadJournal!$A$1:$L$890,COLUMN(HeadJournal!H$1),0),0)</f>
        <v>1080.5898720544558</v>
      </c>
      <c r="Q666" s="29">
        <v>2000</v>
      </c>
      <c r="R666" s="31">
        <v>45014</v>
      </c>
      <c r="S666" s="31" t="s">
        <v>3121</v>
      </c>
      <c r="T666" s="95" t="str">
        <f t="shared" si="55"/>
        <v>2023 03</v>
      </c>
      <c r="U666" s="32">
        <f t="shared" si="52"/>
        <v>919.41012794554422</v>
      </c>
      <c r="V666" s="22">
        <f t="shared" si="53"/>
        <v>0.85084096355403471</v>
      </c>
      <c r="X666" s="33"/>
      <c r="Y666" s="33"/>
    </row>
    <row r="667" spans="1:25" x14ac:dyDescent="0.2">
      <c r="A667" s="93" t="s">
        <v>318</v>
      </c>
      <c r="B667" s="94" t="str">
        <f>IFERROR(VLOOKUP($A667,HeadJournal!$A$1:$NTR$890,COLUMN(HeadJournal!B$1),0),"")</f>
        <v>1Z58FA050346286360</v>
      </c>
      <c r="C667" s="94" t="str">
        <f>IFERROR(VLOOKUP($A667,HeadJournal!$A$1:$NTR$890,COLUMN(HeadJournal!C$1),0),"")</f>
        <v>iHerb_MH DLE7202</v>
      </c>
      <c r="D667" s="125" t="str">
        <f>IFERROR(VLOOKUP($A667,HeadJournal!$A$1:$NTR$890,COLUMN(HeadJournal!D$1),0),"")</f>
        <v>Доставлен</v>
      </c>
      <c r="E667" s="95">
        <f>IFERROR(VLOOKUP($A667,HeadJournal!$A$1:$NTR$890,COLUMN(HeadJournal!G$1),0),"")</f>
        <v>44929</v>
      </c>
      <c r="F667" s="95" t="str">
        <f t="shared" si="54"/>
        <v>2023 01</v>
      </c>
      <c r="G667" s="96" t="s">
        <v>5</v>
      </c>
      <c r="H667" s="175" t="s">
        <v>3630</v>
      </c>
      <c r="I667" s="176" t="s">
        <v>2052</v>
      </c>
      <c r="J667" s="97" t="s">
        <v>3673</v>
      </c>
      <c r="K667" s="29">
        <v>15</v>
      </c>
      <c r="L667" s="29">
        <v>-4.5</v>
      </c>
      <c r="M667" s="30">
        <f>IFERROR(VLOOKUP($A667,HeadJournal!$A$1:$J$890,COLUMN(HeadJournal!I$1),0)*($K667+$L667)/(SUMIF($A:$A,$A667,$K:$K)+SUMIF($A:$A,$A667,$L:$L)),0)</f>
        <v>-0.36819306930693074</v>
      </c>
      <c r="N667" s="30">
        <f>IFERROR((VLOOKUP($A667,HeadJournal!$A$1:$K$890,COLUMN(HeadJournal!K$1),0)-VLOOKUP($A667,HeadJournal!$A$1:$K$890,COLUMN(HeadJournal!J$1),0))*($K667+$L667)/(SUMIF($A:$A,$A667,$K:$K)+SUMIF($A:$A,$A667,$L:$L)),0)</f>
        <v>1.2311384035447282E-15</v>
      </c>
      <c r="O667" s="30">
        <f>IFERROR((VLOOKUP($A667,HeadJournal!$A$1:$L$890,COLUMN(HeadJournal!L$1),0)*($K667+$L667)/(SUMIF($A:$A,$A667,$K:$K)+SUMIF($A:$A,$A667,$L:$L)))/VLOOKUP($A667,HeadJournal!$A$1:$L$890,COLUMN(HeadJournal!H$1),0),0)</f>
        <v>4.1182667381067386</v>
      </c>
      <c r="P667" s="30">
        <f>IFERROR(SUM(K667:O667)*VLOOKUP($A667,HeadJournal!$A$1:$L$890,COLUMN(HeadJournal!H$1),0),0)</f>
        <v>1168.5060408415843</v>
      </c>
      <c r="Q667" s="29">
        <v>2300</v>
      </c>
      <c r="R667" s="31">
        <v>44992</v>
      </c>
      <c r="S667" s="31" t="s">
        <v>3121</v>
      </c>
      <c r="T667" s="95" t="str">
        <f t="shared" si="55"/>
        <v>2023 03</v>
      </c>
      <c r="U667" s="32">
        <f t="shared" si="52"/>
        <v>1131.4939591584157</v>
      </c>
      <c r="V667" s="22">
        <f t="shared" si="53"/>
        <v>0.96832529709772686</v>
      </c>
      <c r="X667" s="33"/>
      <c r="Y667" s="33"/>
    </row>
    <row r="668" spans="1:25" x14ac:dyDescent="0.2">
      <c r="A668" s="93" t="s">
        <v>318</v>
      </c>
      <c r="B668" s="94" t="str">
        <f>IFERROR(VLOOKUP($A668,HeadJournal!$A$1:$NTR$890,COLUMN(HeadJournal!B$1),0),"")</f>
        <v>1Z58FA050346286360</v>
      </c>
      <c r="C668" s="94" t="str">
        <f>IFERROR(VLOOKUP($A668,HeadJournal!$A$1:$NTR$890,COLUMN(HeadJournal!C$1),0),"")</f>
        <v>iHerb_MH DLE7202</v>
      </c>
      <c r="D668" s="125" t="str">
        <f>IFERROR(VLOOKUP($A668,HeadJournal!$A$1:$NTR$890,COLUMN(HeadJournal!D$1),0),"")</f>
        <v>Доставлен</v>
      </c>
      <c r="E668" s="95">
        <f>IFERROR(VLOOKUP($A668,HeadJournal!$A$1:$NTR$890,COLUMN(HeadJournal!G$1),0),"")</f>
        <v>44929</v>
      </c>
      <c r="F668" s="95" t="str">
        <f t="shared" si="54"/>
        <v>2023 01</v>
      </c>
      <c r="G668" s="96" t="s">
        <v>5</v>
      </c>
      <c r="H668" s="161" t="s">
        <v>2016</v>
      </c>
      <c r="I668" s="97" t="s">
        <v>2005</v>
      </c>
      <c r="J668" s="97" t="s">
        <v>2017</v>
      </c>
      <c r="K668" s="29">
        <v>24.51</v>
      </c>
      <c r="L668" s="29">
        <v>-2.4500000000000002</v>
      </c>
      <c r="M668" s="30">
        <f>IFERROR(VLOOKUP($A668,HeadJournal!$A$1:$J$890,COLUMN(HeadJournal!I$1),0)*($K668+$L668)/(SUMIF($A:$A,$A668,$K:$K)+SUMIF($A:$A,$A668,$L:$L)),0)</f>
        <v>-0.77355610561056121</v>
      </c>
      <c r="N668" s="30">
        <f>IFERROR((VLOOKUP($A668,HeadJournal!$A$1:$K$890,COLUMN(HeadJournal!K$1),0)-VLOOKUP($A668,HeadJournal!$A$1:$K$890,COLUMN(HeadJournal!J$1),0))*($K668+$L668)/(SUMIF($A:$A,$A668,$K:$K)+SUMIF($A:$A,$A668,$L:$L)),0)</f>
        <v>2.58656316020921E-15</v>
      </c>
      <c r="O668" s="30">
        <f>IFERROR((VLOOKUP($A668,HeadJournal!$A$1:$L$890,COLUMN(HeadJournal!L$1),0)*($K668+$L668)/(SUMIF($A:$A,$A668,$K:$K)+SUMIF($A:$A,$A668,$L:$L)))/VLOOKUP($A668,HeadJournal!$A$1:$L$890,COLUMN(HeadJournal!H$1),0),0)</f>
        <v>8.6522823088223468</v>
      </c>
      <c r="P668" s="30">
        <f>IFERROR(SUM(K668:O668)*VLOOKUP($A668,HeadJournal!$A$1:$L$890,COLUMN(HeadJournal!H$1),0),0)</f>
        <v>2454.9755486633671</v>
      </c>
      <c r="Q668" s="29">
        <v>3300</v>
      </c>
      <c r="R668" s="31">
        <v>44986</v>
      </c>
      <c r="S668" s="31" t="s">
        <v>3121</v>
      </c>
      <c r="T668" s="95" t="str">
        <f t="shared" si="55"/>
        <v>2023 03</v>
      </c>
      <c r="U668" s="32">
        <f t="shared" si="52"/>
        <v>845.02445133663286</v>
      </c>
      <c r="V668" s="22">
        <f t="shared" si="53"/>
        <v>0.34420890741527499</v>
      </c>
      <c r="X668" s="33"/>
      <c r="Y668" s="33"/>
    </row>
    <row r="669" spans="1:25" x14ac:dyDescent="0.2">
      <c r="A669" s="93" t="s">
        <v>318</v>
      </c>
      <c r="B669" s="94" t="str">
        <f>IFERROR(VLOOKUP($A669,HeadJournal!$A$1:$NTR$890,COLUMN(HeadJournal!B$1),0),"")</f>
        <v>1Z58FA050346286360</v>
      </c>
      <c r="C669" s="94" t="str">
        <f>IFERROR(VLOOKUP($A669,HeadJournal!$A$1:$NTR$890,COLUMN(HeadJournal!C$1),0),"")</f>
        <v>iHerb_MH DLE7202</v>
      </c>
      <c r="D669" s="125" t="str">
        <f>IFERROR(VLOOKUP($A669,HeadJournal!$A$1:$NTR$890,COLUMN(HeadJournal!D$1),0),"")</f>
        <v>Доставлен</v>
      </c>
      <c r="E669" s="95">
        <f>IFERROR(VLOOKUP($A669,HeadJournal!$A$1:$NTR$890,COLUMN(HeadJournal!G$1),0),"")</f>
        <v>44929</v>
      </c>
      <c r="F669" s="95" t="str">
        <f t="shared" si="54"/>
        <v>2023 01</v>
      </c>
      <c r="G669" s="96" t="s">
        <v>5</v>
      </c>
      <c r="H669" s="161" t="s">
        <v>3083</v>
      </c>
      <c r="I669" s="97" t="s">
        <v>2102</v>
      </c>
      <c r="J669" s="97" t="s">
        <v>3084</v>
      </c>
      <c r="K669" s="29">
        <v>5.24</v>
      </c>
      <c r="L669" s="29">
        <v>-0.52</v>
      </c>
      <c r="M669" s="30">
        <f>IFERROR(VLOOKUP($A669,HeadJournal!$A$1:$J$890,COLUMN(HeadJournal!I$1),0)*($K669+$L669)/(SUMIF($A:$A,$A669,$K:$K)+SUMIF($A:$A,$A669,$L:$L)),0)</f>
        <v>-0.16551155115511554</v>
      </c>
      <c r="N669" s="30">
        <f>IFERROR((VLOOKUP($A669,HeadJournal!$A$1:$K$890,COLUMN(HeadJournal!K$1),0)-VLOOKUP($A669,HeadJournal!$A$1:$K$890,COLUMN(HeadJournal!J$1),0))*($K669+$L669)/(SUMIF($A:$A,$A669,$K:$K)+SUMIF($A:$A,$A669,$L:$L)),0)</f>
        <v>5.534260252124874E-16</v>
      </c>
      <c r="O669" s="30">
        <f>IFERROR((VLOOKUP($A669,HeadJournal!$A$1:$L$890,COLUMN(HeadJournal!L$1),0)*($K669+$L669)/(SUMIF($A:$A,$A669,$K:$K)+SUMIF($A:$A,$A669,$L:$L)))/VLOOKUP($A669,HeadJournal!$A$1:$L$890,COLUMN(HeadJournal!H$1),0),0)</f>
        <v>1.851258952748934</v>
      </c>
      <c r="P669" s="30">
        <f>IFERROR(SUM(K669:O669)*VLOOKUP($A669,HeadJournal!$A$1:$L$890,COLUMN(HeadJournal!H$1),0),0)</f>
        <v>525.27128693069324</v>
      </c>
      <c r="Q669" s="29">
        <v>900</v>
      </c>
      <c r="R669" s="31">
        <v>44992</v>
      </c>
      <c r="S669" s="31" t="s">
        <v>3121</v>
      </c>
      <c r="T669" s="95" t="str">
        <f t="shared" si="55"/>
        <v>2023 03</v>
      </c>
      <c r="U669" s="32">
        <f t="shared" si="52"/>
        <v>374.72871306930676</v>
      </c>
      <c r="V669" s="22">
        <f t="shared" si="53"/>
        <v>0.71340033691723614</v>
      </c>
      <c r="X669" s="33"/>
      <c r="Y669" s="33"/>
    </row>
    <row r="670" spans="1:25" x14ac:dyDescent="0.2">
      <c r="A670" s="93" t="s">
        <v>318</v>
      </c>
      <c r="B670" s="94" t="str">
        <f>IFERROR(VLOOKUP($A670,HeadJournal!$A$1:$NTR$890,COLUMN(HeadJournal!B$1),0),"")</f>
        <v>1Z58FA050346286360</v>
      </c>
      <c r="C670" s="94" t="str">
        <f>IFERROR(VLOOKUP($A670,HeadJournal!$A$1:$NTR$890,COLUMN(HeadJournal!C$1),0),"")</f>
        <v>iHerb_MH DLE7202</v>
      </c>
      <c r="D670" s="125" t="str">
        <f>IFERROR(VLOOKUP($A670,HeadJournal!$A$1:$NTR$890,COLUMN(HeadJournal!D$1),0),"")</f>
        <v>Доставлен</v>
      </c>
      <c r="E670" s="95">
        <f>IFERROR(VLOOKUP($A670,HeadJournal!$A$1:$NTR$890,COLUMN(HeadJournal!G$1),0),"")</f>
        <v>44929</v>
      </c>
      <c r="F670" s="95" t="str">
        <f t="shared" si="54"/>
        <v>2023 01</v>
      </c>
      <c r="G670" s="96" t="s">
        <v>5</v>
      </c>
      <c r="H670" s="161" t="s">
        <v>2624</v>
      </c>
      <c r="I670" s="97" t="s">
        <v>2005</v>
      </c>
      <c r="J670" s="97" t="s">
        <v>2625</v>
      </c>
      <c r="K670" s="29">
        <v>14.95</v>
      </c>
      <c r="L670" s="29">
        <v>-1.5</v>
      </c>
      <c r="M670" s="30">
        <f>IFERROR(VLOOKUP($A670,HeadJournal!$A$1:$J$890,COLUMN(HeadJournal!I$1),0)*($K670+$L670)/(SUMIF($A:$A,$A670,$K:$K)+SUMIF($A:$A,$A670,$L:$L)),0)</f>
        <v>-0.47163778877887791</v>
      </c>
      <c r="N670" s="30">
        <f>IFERROR((VLOOKUP($A670,HeadJournal!$A$1:$K$890,COLUMN(HeadJournal!K$1),0)-VLOOKUP($A670,HeadJournal!$A$1:$K$890,COLUMN(HeadJournal!J$1),0))*($K670+$L670)/(SUMIF($A:$A,$A670,$K:$K)+SUMIF($A:$A,$A670,$L:$L)),0)</f>
        <v>1.5770296693025327E-15</v>
      </c>
      <c r="O670" s="30">
        <f>IFERROR((VLOOKUP($A670,HeadJournal!$A$1:$L$890,COLUMN(HeadJournal!L$1),0)*($K670+$L670)/(SUMIF($A:$A,$A670,$K:$K)+SUMIF($A:$A,$A670,$L:$L)))/VLOOKUP($A670,HeadJournal!$A$1:$L$890,COLUMN(HeadJournal!H$1),0),0)</f>
        <v>5.2753035835748214</v>
      </c>
      <c r="P670" s="30">
        <f>IFERROR(SUM(K670:O670)*VLOOKUP($A670,HeadJournal!$A$1:$L$890,COLUMN(HeadJournal!H$1),0),0)</f>
        <v>1496.8005951732673</v>
      </c>
      <c r="Q670" s="29">
        <v>2400</v>
      </c>
      <c r="R670" s="31">
        <v>44998</v>
      </c>
      <c r="S670" s="31" t="s">
        <v>3121</v>
      </c>
      <c r="T670" s="95" t="str">
        <f t="shared" si="55"/>
        <v>2023 03</v>
      </c>
      <c r="U670" s="32">
        <f t="shared" si="52"/>
        <v>903.19940482673269</v>
      </c>
      <c r="V670" s="22">
        <f t="shared" si="53"/>
        <v>0.60341999311015759</v>
      </c>
      <c r="X670" s="33"/>
      <c r="Y670" s="33"/>
    </row>
    <row r="671" spans="1:25" x14ac:dyDescent="0.2">
      <c r="A671" s="93" t="s">
        <v>318</v>
      </c>
      <c r="B671" s="94" t="str">
        <f>IFERROR(VLOOKUP($A671,HeadJournal!$A$1:$NTR$890,COLUMN(HeadJournal!B$1),0),"")</f>
        <v>1Z58FA050346286360</v>
      </c>
      <c r="C671" s="94" t="str">
        <f>IFERROR(VLOOKUP($A671,HeadJournal!$A$1:$NTR$890,COLUMN(HeadJournal!C$1),0),"")</f>
        <v>iHerb_MH DLE7202</v>
      </c>
      <c r="D671" s="125" t="str">
        <f>IFERROR(VLOOKUP($A671,HeadJournal!$A$1:$NTR$890,COLUMN(HeadJournal!D$1),0),"")</f>
        <v>Доставлен</v>
      </c>
      <c r="E671" s="95">
        <f>IFERROR(VLOOKUP($A671,HeadJournal!$A$1:$NTR$890,COLUMN(HeadJournal!G$1),0),"")</f>
        <v>44929</v>
      </c>
      <c r="F671" s="95" t="str">
        <f t="shared" si="54"/>
        <v>2023 01</v>
      </c>
      <c r="G671" s="96" t="s">
        <v>5</v>
      </c>
      <c r="H671" s="161" t="s">
        <v>2027</v>
      </c>
      <c r="I671" s="97" t="s">
        <v>2005</v>
      </c>
      <c r="J671" s="97" t="s">
        <v>4110</v>
      </c>
      <c r="K671" s="29">
        <v>6.48</v>
      </c>
      <c r="L671" s="29">
        <v>-1.94</v>
      </c>
      <c r="M671" s="30">
        <f>IFERROR(VLOOKUP($A671,HeadJournal!$A$1:$J$890,COLUMN(HeadJournal!I$1),0)*($K671+$L671)/(SUMIF($A:$A,$A671,$K:$K)+SUMIF($A:$A,$A671,$L:$L)),0)</f>
        <v>-0.15919966996699675</v>
      </c>
      <c r="N671" s="30">
        <f>IFERROR((VLOOKUP($A671,HeadJournal!$A$1:$K$890,COLUMN(HeadJournal!K$1),0)-VLOOKUP($A671,HeadJournal!$A$1:$K$890,COLUMN(HeadJournal!J$1),0))*($K671+$L671)/(SUMIF($A:$A,$A671,$K:$K)+SUMIF($A:$A,$A671,$L:$L)),0)</f>
        <v>5.323207954374349E-16</v>
      </c>
      <c r="O671" s="30">
        <f>IFERROR((VLOOKUP($A671,HeadJournal!$A$1:$L$890,COLUMN(HeadJournal!L$1),0)*($K671+$L671)/(SUMIF($A:$A,$A671,$K:$K)+SUMIF($A:$A,$A671,$L:$L)))/VLOOKUP($A671,HeadJournal!$A$1:$L$890,COLUMN(HeadJournal!H$1),0),0)</f>
        <v>1.7806600943813902</v>
      </c>
      <c r="P671" s="30">
        <f>IFERROR(SUM(K671:O671)*VLOOKUP($A671,HeadJournal!$A$1:$L$890,COLUMN(HeadJournal!H$1),0),0)</f>
        <v>505.23975480198038</v>
      </c>
      <c r="Q671" s="29">
        <v>1000</v>
      </c>
      <c r="R671" s="31">
        <v>44973</v>
      </c>
      <c r="S671" s="31" t="s">
        <v>3121</v>
      </c>
      <c r="T671" s="95" t="str">
        <f t="shared" si="55"/>
        <v>2023 02</v>
      </c>
      <c r="U671" s="32">
        <f t="shared" si="52"/>
        <v>494.76024519801962</v>
      </c>
      <c r="V671" s="22">
        <f t="shared" si="53"/>
        <v>0.97925834318388505</v>
      </c>
      <c r="X671" s="33"/>
      <c r="Y671" s="33"/>
    </row>
    <row r="672" spans="1:25" x14ac:dyDescent="0.2">
      <c r="A672" s="93" t="s">
        <v>320</v>
      </c>
      <c r="B672" s="94">
        <f>IFERROR(VLOOKUP($A672,HeadJournal!$A$1:$NTR$890,COLUMN(HeadJournal!B$1),0),"")</f>
        <v>0</v>
      </c>
      <c r="C672" s="94" t="str">
        <f>IFERROR(VLOOKUP($A672,HeadJournal!$A$1:$NTR$890,COLUMN(HeadJournal!C$1),0),"")</f>
        <v>OZON_AV</v>
      </c>
      <c r="D672" s="125" t="str">
        <f>IFERROR(VLOOKUP($A672,HeadJournal!$A$1:$NTR$890,COLUMN(HeadJournal!D$1),0),"")</f>
        <v>Доставлен</v>
      </c>
      <c r="E672" s="95">
        <f>IFERROR(VLOOKUP($A672,HeadJournal!$A$1:$NTR$890,COLUMN(HeadJournal!G$1),0),"")</f>
        <v>44926</v>
      </c>
      <c r="F672" s="95" t="str">
        <f t="shared" si="54"/>
        <v>2022 12</v>
      </c>
      <c r="G672" s="96" t="s">
        <v>7</v>
      </c>
      <c r="H672" s="160" t="s">
        <v>3732</v>
      </c>
      <c r="I672" s="96" t="str">
        <f t="shared" si="51"/>
        <v>CeraVe</v>
      </c>
      <c r="J672" s="97" t="s">
        <v>321</v>
      </c>
      <c r="K672" s="29">
        <v>1185</v>
      </c>
      <c r="L672" s="29"/>
      <c r="M672" s="30">
        <f>IFERROR(VLOOKUP($A672,HeadJournal!$A$1:$J$890,COLUMN(HeadJournal!I$1),0)*($K672+$L672)/(SUMIF($A:$A,$A672,$K:$K)+SUMIF($A:$A,$A672,$L:$L)),0)</f>
        <v>0</v>
      </c>
      <c r="N672" s="30">
        <f>IFERROR((VLOOKUP($A672,HeadJournal!$A$1:$K$890,COLUMN(HeadJournal!K$1),0)-VLOOKUP($A672,HeadJournal!$A$1:$K$890,COLUMN(HeadJournal!J$1),0))*($K672+$L672)/(SUMIF($A:$A,$A672,$K:$K)+SUMIF($A:$A,$A672,$L:$L)),0)</f>
        <v>0</v>
      </c>
      <c r="O672" s="30">
        <f>IFERROR((VLOOKUP($A672,HeadJournal!$A$1:$L$890,COLUMN(HeadJournal!L$1),0)*($K672+$L672)/(SUMIF($A:$A,$A672,$K:$K)+SUMIF($A:$A,$A672,$L:$L)))/VLOOKUP($A672,HeadJournal!$A$1:$L$890,COLUMN(HeadJournal!H$1),0),0)</f>
        <v>177.75</v>
      </c>
      <c r="P672" s="30">
        <f>IFERROR(SUM(K672:O672)*VLOOKUP($A672,HeadJournal!$A$1:$L$890,COLUMN(HeadJournal!H$1),0),0)</f>
        <v>1362.75</v>
      </c>
      <c r="Q672" s="29">
        <v>1500</v>
      </c>
      <c r="R672" s="31">
        <v>44956</v>
      </c>
      <c r="S672" s="31" t="s">
        <v>3121</v>
      </c>
      <c r="T672" s="95" t="str">
        <f t="shared" si="55"/>
        <v>2023 01</v>
      </c>
      <c r="U672" s="32">
        <f t="shared" si="52"/>
        <v>137.25</v>
      </c>
      <c r="V672" s="22">
        <f t="shared" si="53"/>
        <v>0.10071546505228399</v>
      </c>
      <c r="X672" s="33"/>
      <c r="Y672" s="33"/>
    </row>
    <row r="673" spans="1:25" x14ac:dyDescent="0.2">
      <c r="A673" s="93" t="s">
        <v>322</v>
      </c>
      <c r="B673" s="94">
        <f>IFERROR(VLOOKUP($A673,HeadJournal!$A$1:$NTR$890,COLUMN(HeadJournal!B$1),0),"")</f>
        <v>0</v>
      </c>
      <c r="C673" s="94" t="str">
        <f>IFERROR(VLOOKUP($A673,HeadJournal!$A$1:$NTR$890,COLUMN(HeadJournal!C$1),0),"")</f>
        <v>OZON_AV</v>
      </c>
      <c r="D673" s="125" t="str">
        <f>IFERROR(VLOOKUP($A673,HeadJournal!$A$1:$NTR$890,COLUMN(HeadJournal!D$1),0),"")</f>
        <v>Доставлен</v>
      </c>
      <c r="E673" s="95">
        <f>IFERROR(VLOOKUP($A673,HeadJournal!$A$1:$NTR$890,COLUMN(HeadJournal!G$1),0),"")</f>
        <v>44930</v>
      </c>
      <c r="F673" s="95" t="str">
        <f t="shared" si="54"/>
        <v>2023 01</v>
      </c>
      <c r="G673" s="96" t="s">
        <v>6</v>
      </c>
      <c r="H673" s="160" t="str">
        <f>RIGHT(Journal!$J673,9)</f>
        <v>626525244</v>
      </c>
      <c r="I673" s="96" t="str">
        <f t="shared" si="51"/>
        <v>ТОП100</v>
      </c>
      <c r="J673" s="97" t="s">
        <v>323</v>
      </c>
      <c r="K673" s="29">
        <v>508</v>
      </c>
      <c r="L673" s="29"/>
      <c r="M673" s="30">
        <f>IFERROR(VLOOKUP($A673,HeadJournal!$A$1:$J$890,COLUMN(HeadJournal!I$1),0)*($K673+$L673)/(SUMIF($A:$A,$A673,$K:$K)+SUMIF($A:$A,$A673,$L:$L)),0)</f>
        <v>0</v>
      </c>
      <c r="N673" s="30">
        <f>IFERROR((VLOOKUP($A673,HeadJournal!$A$1:$K$890,COLUMN(HeadJournal!K$1),0)-VLOOKUP($A673,HeadJournal!$A$1:$K$890,COLUMN(HeadJournal!J$1),0))*($K673+$L673)/(SUMIF($A:$A,$A673,$K:$K)+SUMIF($A:$A,$A673,$L:$L)),0)</f>
        <v>0</v>
      </c>
      <c r="O673" s="30">
        <f>IFERROR((VLOOKUP($A673,HeadJournal!$A$1:$L$890,COLUMN(HeadJournal!L$1),0)*($K673+$L673)/(SUMIF($A:$A,$A673,$K:$K)+SUMIF($A:$A,$A673,$L:$L)))/VLOOKUP($A673,HeadJournal!$A$1:$L$890,COLUMN(HeadJournal!H$1),0),0)</f>
        <v>76.2</v>
      </c>
      <c r="P673" s="30">
        <f>IFERROR(SUM(K673:O673)*VLOOKUP($A673,HeadJournal!$A$1:$L$890,COLUMN(HeadJournal!H$1),0),0)</f>
        <v>584.20000000000005</v>
      </c>
      <c r="Q673" s="29">
        <v>1200</v>
      </c>
      <c r="R673" s="31">
        <v>44943</v>
      </c>
      <c r="S673" s="31" t="s">
        <v>3121</v>
      </c>
      <c r="T673" s="95" t="str">
        <f t="shared" si="55"/>
        <v>2023 01</v>
      </c>
      <c r="U673" s="32">
        <f t="shared" si="52"/>
        <v>615.79999999999995</v>
      </c>
      <c r="V673" s="22">
        <f t="shared" si="53"/>
        <v>1.0540910647038684</v>
      </c>
      <c r="X673" s="33"/>
      <c r="Y673" s="33"/>
    </row>
    <row r="674" spans="1:25" x14ac:dyDescent="0.2">
      <c r="A674" s="93" t="s">
        <v>322</v>
      </c>
      <c r="B674" s="94">
        <f>IFERROR(VLOOKUP($A674,HeadJournal!$A$1:$NTR$890,COLUMN(HeadJournal!B$1),0),"")</f>
        <v>0</v>
      </c>
      <c r="C674" s="94" t="str">
        <f>IFERROR(VLOOKUP($A674,HeadJournal!$A$1:$NTR$890,COLUMN(HeadJournal!C$1),0),"")</f>
        <v>OZON_AV</v>
      </c>
      <c r="D674" s="125" t="str">
        <f>IFERROR(VLOOKUP($A674,HeadJournal!$A$1:$NTR$890,COLUMN(HeadJournal!D$1),0),"")</f>
        <v>Доставлен</v>
      </c>
      <c r="E674" s="95">
        <f>IFERROR(VLOOKUP($A674,HeadJournal!$A$1:$NTR$890,COLUMN(HeadJournal!G$1),0),"")</f>
        <v>44930</v>
      </c>
      <c r="F674" s="95" t="str">
        <f t="shared" si="54"/>
        <v>2023 01</v>
      </c>
      <c r="G674" s="96" t="s">
        <v>6</v>
      </c>
      <c r="H674" s="160" t="str">
        <f>RIGHT(Journal!$J674,9)</f>
        <v>626525244</v>
      </c>
      <c r="I674" s="96" t="str">
        <f t="shared" si="51"/>
        <v>ТОП100</v>
      </c>
      <c r="J674" s="97" t="s">
        <v>323</v>
      </c>
      <c r="K674" s="29">
        <v>508</v>
      </c>
      <c r="L674" s="29"/>
      <c r="M674" s="30">
        <f>IFERROR(VLOOKUP($A674,HeadJournal!$A$1:$J$890,COLUMN(HeadJournal!I$1),0)*($K674+$L674)/(SUMIF($A:$A,$A674,$K:$K)+SUMIF($A:$A,$A674,$L:$L)),0)</f>
        <v>0</v>
      </c>
      <c r="N674" s="30">
        <f>IFERROR((VLOOKUP($A674,HeadJournal!$A$1:$K$890,COLUMN(HeadJournal!K$1),0)-VLOOKUP($A674,HeadJournal!$A$1:$K$890,COLUMN(HeadJournal!J$1),0))*($K674+$L674)/(SUMIF($A:$A,$A674,$K:$K)+SUMIF($A:$A,$A674,$L:$L)),0)</f>
        <v>0</v>
      </c>
      <c r="O674" s="30">
        <f>IFERROR((VLOOKUP($A674,HeadJournal!$A$1:$L$890,COLUMN(HeadJournal!L$1),0)*($K674+$L674)/(SUMIF($A:$A,$A674,$K:$K)+SUMIF($A:$A,$A674,$L:$L)))/VLOOKUP($A674,HeadJournal!$A$1:$L$890,COLUMN(HeadJournal!H$1),0),0)</f>
        <v>76.2</v>
      </c>
      <c r="P674" s="30">
        <f>IFERROR(SUM(K674:O674)*VLOOKUP($A674,HeadJournal!$A$1:$L$890,COLUMN(HeadJournal!H$1),0),0)</f>
        <v>584.20000000000005</v>
      </c>
      <c r="Q674" s="29">
        <v>1200</v>
      </c>
      <c r="R674" s="31">
        <v>44943</v>
      </c>
      <c r="S674" s="31" t="s">
        <v>3121</v>
      </c>
      <c r="T674" s="95" t="str">
        <f t="shared" si="55"/>
        <v>2023 01</v>
      </c>
      <c r="U674" s="32">
        <f t="shared" si="52"/>
        <v>615.79999999999995</v>
      </c>
      <c r="V674" s="22">
        <f t="shared" si="53"/>
        <v>1.0540910647038684</v>
      </c>
      <c r="X674" s="33"/>
      <c r="Y674" s="33"/>
    </row>
    <row r="675" spans="1:25" x14ac:dyDescent="0.2">
      <c r="A675" s="93" t="s">
        <v>322</v>
      </c>
      <c r="B675" s="94">
        <f>IFERROR(VLOOKUP($A675,HeadJournal!$A$1:$NTR$890,COLUMN(HeadJournal!B$1),0),"")</f>
        <v>0</v>
      </c>
      <c r="C675" s="94" t="str">
        <f>IFERROR(VLOOKUP($A675,HeadJournal!$A$1:$NTR$890,COLUMN(HeadJournal!C$1),0),"")</f>
        <v>OZON_AV</v>
      </c>
      <c r="D675" s="125" t="str">
        <f>IFERROR(VLOOKUP($A675,HeadJournal!$A$1:$NTR$890,COLUMN(HeadJournal!D$1),0),"")</f>
        <v>Доставлен</v>
      </c>
      <c r="E675" s="95">
        <f>IFERROR(VLOOKUP($A675,HeadJournal!$A$1:$NTR$890,COLUMN(HeadJournal!G$1),0),"")</f>
        <v>44930</v>
      </c>
      <c r="F675" s="95" t="str">
        <f t="shared" si="54"/>
        <v>2023 01</v>
      </c>
      <c r="G675" s="96" t="s">
        <v>6</v>
      </c>
      <c r="H675" s="160" t="str">
        <f>RIGHT(Journal!$J675,9)</f>
        <v>626525244</v>
      </c>
      <c r="I675" s="96" t="str">
        <f t="shared" si="51"/>
        <v>ТОП100</v>
      </c>
      <c r="J675" s="97" t="s">
        <v>323</v>
      </c>
      <c r="K675" s="29">
        <v>508</v>
      </c>
      <c r="L675" s="29"/>
      <c r="M675" s="30">
        <f>IFERROR(VLOOKUP($A675,HeadJournal!$A$1:$J$890,COLUMN(HeadJournal!I$1),0)*($K675+$L675)/(SUMIF($A:$A,$A675,$K:$K)+SUMIF($A:$A,$A675,$L:$L)),0)</f>
        <v>0</v>
      </c>
      <c r="N675" s="30">
        <f>IFERROR((VLOOKUP($A675,HeadJournal!$A$1:$K$890,COLUMN(HeadJournal!K$1),0)-VLOOKUP($A675,HeadJournal!$A$1:$K$890,COLUMN(HeadJournal!J$1),0))*($K675+$L675)/(SUMIF($A:$A,$A675,$K:$K)+SUMIF($A:$A,$A675,$L:$L)),0)</f>
        <v>0</v>
      </c>
      <c r="O675" s="30">
        <f>IFERROR((VLOOKUP($A675,HeadJournal!$A$1:$L$890,COLUMN(HeadJournal!L$1),0)*($K675+$L675)/(SUMIF($A:$A,$A675,$K:$K)+SUMIF($A:$A,$A675,$L:$L)))/VLOOKUP($A675,HeadJournal!$A$1:$L$890,COLUMN(HeadJournal!H$1),0),0)</f>
        <v>76.2</v>
      </c>
      <c r="P675" s="30">
        <f>IFERROR(SUM(K675:O675)*VLOOKUP($A675,HeadJournal!$A$1:$L$890,COLUMN(HeadJournal!H$1),0),0)</f>
        <v>584.20000000000005</v>
      </c>
      <c r="Q675" s="29">
        <v>1200</v>
      </c>
      <c r="R675" s="31">
        <v>44943</v>
      </c>
      <c r="S675" s="31" t="s">
        <v>3121</v>
      </c>
      <c r="T675" s="95" t="str">
        <f t="shared" si="55"/>
        <v>2023 01</v>
      </c>
      <c r="U675" s="32">
        <f t="shared" si="52"/>
        <v>615.79999999999995</v>
      </c>
      <c r="V675" s="22">
        <f t="shared" si="53"/>
        <v>1.0540910647038684</v>
      </c>
      <c r="X675" s="33"/>
      <c r="Y675" s="33"/>
    </row>
    <row r="676" spans="1:25" x14ac:dyDescent="0.2">
      <c r="A676" s="93" t="s">
        <v>322</v>
      </c>
      <c r="B676" s="94">
        <f>IFERROR(VLOOKUP($A676,HeadJournal!$A$1:$NTR$890,COLUMN(HeadJournal!B$1),0),"")</f>
        <v>0</v>
      </c>
      <c r="C676" s="94" t="str">
        <f>IFERROR(VLOOKUP($A676,HeadJournal!$A$1:$NTR$890,COLUMN(HeadJournal!C$1),0),"")</f>
        <v>OZON_AV</v>
      </c>
      <c r="D676" s="125" t="str">
        <f>IFERROR(VLOOKUP($A676,HeadJournal!$A$1:$NTR$890,COLUMN(HeadJournal!D$1),0),"")</f>
        <v>Доставлен</v>
      </c>
      <c r="E676" s="95">
        <f>IFERROR(VLOOKUP($A676,HeadJournal!$A$1:$NTR$890,COLUMN(HeadJournal!G$1),0),"")</f>
        <v>44930</v>
      </c>
      <c r="F676" s="95" t="str">
        <f t="shared" si="54"/>
        <v>2023 01</v>
      </c>
      <c r="G676" s="96" t="s">
        <v>6</v>
      </c>
      <c r="H676" s="160" t="str">
        <f>RIGHT(Journal!$J676,9)</f>
        <v>626772971</v>
      </c>
      <c r="I676" s="96" t="str">
        <f t="shared" si="51"/>
        <v>ТОП100</v>
      </c>
      <c r="J676" s="97" t="s">
        <v>324</v>
      </c>
      <c r="K676" s="29">
        <v>508</v>
      </c>
      <c r="L676" s="29"/>
      <c r="M676" s="30">
        <f>IFERROR(VLOOKUP($A676,HeadJournal!$A$1:$J$890,COLUMN(HeadJournal!I$1),0)*($K676+$L676)/(SUMIF($A:$A,$A676,$K:$K)+SUMIF($A:$A,$A676,$L:$L)),0)</f>
        <v>0</v>
      </c>
      <c r="N676" s="30">
        <f>IFERROR((VLOOKUP($A676,HeadJournal!$A$1:$K$890,COLUMN(HeadJournal!K$1),0)-VLOOKUP($A676,HeadJournal!$A$1:$K$890,COLUMN(HeadJournal!J$1),0))*($K676+$L676)/(SUMIF($A:$A,$A676,$K:$K)+SUMIF($A:$A,$A676,$L:$L)),0)</f>
        <v>0</v>
      </c>
      <c r="O676" s="30">
        <f>IFERROR((VLOOKUP($A676,HeadJournal!$A$1:$L$890,COLUMN(HeadJournal!L$1),0)*($K676+$L676)/(SUMIF($A:$A,$A676,$K:$K)+SUMIF($A:$A,$A676,$L:$L)))/VLOOKUP($A676,HeadJournal!$A$1:$L$890,COLUMN(HeadJournal!H$1),0),0)</f>
        <v>76.2</v>
      </c>
      <c r="P676" s="30">
        <f>IFERROR(SUM(K676:O676)*VLOOKUP($A676,HeadJournal!$A$1:$L$890,COLUMN(HeadJournal!H$1),0),0)</f>
        <v>584.20000000000005</v>
      </c>
      <c r="Q676" s="29">
        <v>1200</v>
      </c>
      <c r="R676" s="31">
        <v>44943</v>
      </c>
      <c r="S676" s="31" t="s">
        <v>3121</v>
      </c>
      <c r="T676" s="95" t="str">
        <f t="shared" si="55"/>
        <v>2023 01</v>
      </c>
      <c r="U676" s="32">
        <f t="shared" si="52"/>
        <v>615.79999999999995</v>
      </c>
      <c r="V676" s="22">
        <f t="shared" si="53"/>
        <v>1.0540910647038684</v>
      </c>
      <c r="X676" s="33"/>
      <c r="Y676" s="33"/>
    </row>
    <row r="677" spans="1:25" x14ac:dyDescent="0.2">
      <c r="A677" s="93" t="s">
        <v>322</v>
      </c>
      <c r="B677" s="94">
        <f>IFERROR(VLOOKUP($A677,HeadJournal!$A$1:$NTR$890,COLUMN(HeadJournal!B$1),0),"")</f>
        <v>0</v>
      </c>
      <c r="C677" s="94" t="str">
        <f>IFERROR(VLOOKUP($A677,HeadJournal!$A$1:$NTR$890,COLUMN(HeadJournal!C$1),0),"")</f>
        <v>OZON_AV</v>
      </c>
      <c r="D677" s="125" t="str">
        <f>IFERROR(VLOOKUP($A677,HeadJournal!$A$1:$NTR$890,COLUMN(HeadJournal!D$1),0),"")</f>
        <v>Доставлен</v>
      </c>
      <c r="E677" s="95">
        <f>IFERROR(VLOOKUP($A677,HeadJournal!$A$1:$NTR$890,COLUMN(HeadJournal!G$1),0),"")</f>
        <v>44930</v>
      </c>
      <c r="F677" s="95" t="str">
        <f t="shared" si="54"/>
        <v>2023 01</v>
      </c>
      <c r="G677" s="96" t="s">
        <v>6</v>
      </c>
      <c r="H677" s="160" t="str">
        <f>RIGHT(Journal!$J677,9)</f>
        <v>313159974</v>
      </c>
      <c r="I677" s="96" t="str">
        <f t="shared" si="51"/>
        <v>BIG</v>
      </c>
      <c r="J677" s="97" t="s">
        <v>325</v>
      </c>
      <c r="K677" s="29">
        <v>706</v>
      </c>
      <c r="L677" s="29"/>
      <c r="M677" s="30">
        <f>IFERROR(VLOOKUP($A677,HeadJournal!$A$1:$J$890,COLUMN(HeadJournal!I$1),0)*($K677+$L677)/(SUMIF($A:$A,$A677,$K:$K)+SUMIF($A:$A,$A677,$L:$L)),0)</f>
        <v>0</v>
      </c>
      <c r="N677" s="30">
        <f>IFERROR((VLOOKUP($A677,HeadJournal!$A$1:$K$890,COLUMN(HeadJournal!K$1),0)-VLOOKUP($A677,HeadJournal!$A$1:$K$890,COLUMN(HeadJournal!J$1),0))*($K677+$L677)/(SUMIF($A:$A,$A677,$K:$K)+SUMIF($A:$A,$A677,$L:$L)),0)</f>
        <v>0</v>
      </c>
      <c r="O677" s="30">
        <f>IFERROR((VLOOKUP($A677,HeadJournal!$A$1:$L$890,COLUMN(HeadJournal!L$1),0)*($K677+$L677)/(SUMIF($A:$A,$A677,$K:$K)+SUMIF($A:$A,$A677,$L:$L)))/VLOOKUP($A677,HeadJournal!$A$1:$L$890,COLUMN(HeadJournal!H$1),0),0)</f>
        <v>105.9</v>
      </c>
      <c r="P677" s="30">
        <f>IFERROR(SUM(K677:O677)*VLOOKUP($A677,HeadJournal!$A$1:$L$890,COLUMN(HeadJournal!H$1),0),0)</f>
        <v>811.9</v>
      </c>
      <c r="Q677" s="29">
        <v>1400</v>
      </c>
      <c r="R677" s="31">
        <v>44944</v>
      </c>
      <c r="S677" s="31" t="s">
        <v>3121</v>
      </c>
      <c r="T677" s="95" t="str">
        <f t="shared" si="55"/>
        <v>2023 01</v>
      </c>
      <c r="U677" s="32">
        <f t="shared" si="52"/>
        <v>588.1</v>
      </c>
      <c r="V677" s="22">
        <f t="shared" si="53"/>
        <v>0.72435028944451296</v>
      </c>
      <c r="X677" s="33"/>
      <c r="Y677" s="33"/>
    </row>
    <row r="678" spans="1:25" x14ac:dyDescent="0.2">
      <c r="A678" s="93" t="s">
        <v>326</v>
      </c>
      <c r="B678" s="94">
        <f>IFERROR(VLOOKUP($A678,HeadJournal!$A$1:$NTR$890,COLUMN(HeadJournal!B$1),0),"")</f>
        <v>0</v>
      </c>
      <c r="C678" s="94" t="str">
        <f>IFERROR(VLOOKUP($A678,HeadJournal!$A$1:$NTR$890,COLUMN(HeadJournal!C$1),0),"")</f>
        <v>OZON_AV</v>
      </c>
      <c r="D678" s="125" t="str">
        <f>IFERROR(VLOOKUP($A678,HeadJournal!$A$1:$NTR$890,COLUMN(HeadJournal!D$1),0),"")</f>
        <v>Доставлен</v>
      </c>
      <c r="E678" s="95">
        <f>IFERROR(VLOOKUP($A678,HeadJournal!$A$1:$NTR$890,COLUMN(HeadJournal!G$1),0),"")</f>
        <v>44931</v>
      </c>
      <c r="F678" s="95" t="str">
        <f t="shared" si="54"/>
        <v>2023 01</v>
      </c>
      <c r="G678" s="96" t="s">
        <v>6</v>
      </c>
      <c r="H678" s="160" t="str">
        <f>RIGHT(Journal!$J678,9)</f>
        <v>531378517</v>
      </c>
      <c r="I678" s="96" t="str">
        <f t="shared" si="51"/>
        <v>1WIN</v>
      </c>
      <c r="J678" s="97" t="s">
        <v>327</v>
      </c>
      <c r="K678" s="29">
        <v>730</v>
      </c>
      <c r="L678" s="29"/>
      <c r="M678" s="30">
        <f>IFERROR(VLOOKUP($A678,HeadJournal!$A$1:$J$890,COLUMN(HeadJournal!I$1),0)*($K678+$L678)/(SUMIF($A:$A,$A678,$K:$K)+SUMIF($A:$A,$A678,$L:$L)),0)</f>
        <v>0</v>
      </c>
      <c r="N678" s="30">
        <f>IFERROR((VLOOKUP($A678,HeadJournal!$A$1:$K$890,COLUMN(HeadJournal!K$1),0)-VLOOKUP($A678,HeadJournal!$A$1:$K$890,COLUMN(HeadJournal!J$1),0))*($K678+$L678)/(SUMIF($A:$A,$A678,$K:$K)+SUMIF($A:$A,$A678,$L:$L)),0)</f>
        <v>0</v>
      </c>
      <c r="O678" s="30">
        <f>IFERROR((VLOOKUP($A678,HeadJournal!$A$1:$L$890,COLUMN(HeadJournal!L$1),0)*($K678+$L678)/(SUMIF($A:$A,$A678,$K:$K)+SUMIF($A:$A,$A678,$L:$L)))/VLOOKUP($A678,HeadJournal!$A$1:$L$890,COLUMN(HeadJournal!H$1),0),0)</f>
        <v>109.5</v>
      </c>
      <c r="P678" s="30">
        <f>IFERROR(SUM(K678:O678)*VLOOKUP($A678,HeadJournal!$A$1:$L$890,COLUMN(HeadJournal!H$1),0),0)</f>
        <v>839.5</v>
      </c>
      <c r="Q678" s="29">
        <v>1800</v>
      </c>
      <c r="R678" s="31">
        <v>44943</v>
      </c>
      <c r="S678" s="31" t="s">
        <v>3121</v>
      </c>
      <c r="T678" s="95" t="str">
        <f t="shared" si="55"/>
        <v>2023 01</v>
      </c>
      <c r="U678" s="32">
        <f t="shared" si="52"/>
        <v>960.5</v>
      </c>
      <c r="V678" s="22">
        <f t="shared" si="53"/>
        <v>1.1441334127456819</v>
      </c>
      <c r="X678" s="33"/>
      <c r="Y678" s="33"/>
    </row>
    <row r="679" spans="1:25" x14ac:dyDescent="0.2">
      <c r="A679" s="93" t="s">
        <v>328</v>
      </c>
      <c r="B679" s="94">
        <f>IFERROR(VLOOKUP($A679,HeadJournal!$A$1:$NTR$890,COLUMN(HeadJournal!B$1),0),"")</f>
        <v>0</v>
      </c>
      <c r="C679" s="94" t="str">
        <f>IFERROR(VLOOKUP($A679,HeadJournal!$A$1:$NTR$890,COLUMN(HeadJournal!C$1),0),"")</f>
        <v>OZON_AV</v>
      </c>
      <c r="D679" s="125" t="str">
        <f>IFERROR(VLOOKUP($A679,HeadJournal!$A$1:$NTR$890,COLUMN(HeadJournal!D$1),0),"")</f>
        <v>Доставлен</v>
      </c>
      <c r="E679" s="95">
        <f>IFERROR(VLOOKUP($A679,HeadJournal!$A$1:$NTR$890,COLUMN(HeadJournal!G$1),0),"")</f>
        <v>44931</v>
      </c>
      <c r="F679" s="95" t="str">
        <f t="shared" si="54"/>
        <v>2023 01</v>
      </c>
      <c r="G679" s="96" t="s">
        <v>6</v>
      </c>
      <c r="H679" s="160" t="str">
        <f>RIGHT(Journal!$J679,9)</f>
        <v>170918388</v>
      </c>
      <c r="I679" s="96" t="str">
        <f t="shared" si="51"/>
        <v>PRIMEKRAFT</v>
      </c>
      <c r="J679" s="97" t="s">
        <v>329</v>
      </c>
      <c r="K679" s="29">
        <v>992</v>
      </c>
      <c r="L679" s="29"/>
      <c r="M679" s="30">
        <f>IFERROR(VLOOKUP($A679,HeadJournal!$A$1:$J$890,COLUMN(HeadJournal!I$1),0)*($K679+$L679)/(SUMIF($A:$A,$A679,$K:$K)+SUMIF($A:$A,$A679,$L:$L)),0)</f>
        <v>0</v>
      </c>
      <c r="N679" s="30">
        <f>IFERROR((VLOOKUP($A679,HeadJournal!$A$1:$K$890,COLUMN(HeadJournal!K$1),0)-VLOOKUP($A679,HeadJournal!$A$1:$K$890,COLUMN(HeadJournal!J$1),0))*($K679+$L679)/(SUMIF($A:$A,$A679,$K:$K)+SUMIF($A:$A,$A679,$L:$L)),0)</f>
        <v>0</v>
      </c>
      <c r="O679" s="30">
        <f>IFERROR((VLOOKUP($A679,HeadJournal!$A$1:$L$890,COLUMN(HeadJournal!L$1),0)*($K679+$L679)/(SUMIF($A:$A,$A679,$K:$K)+SUMIF($A:$A,$A679,$L:$L)))/VLOOKUP($A679,HeadJournal!$A$1:$L$890,COLUMN(HeadJournal!H$1),0),0)</f>
        <v>148.79999999999998</v>
      </c>
      <c r="P679" s="30">
        <f>IFERROR(SUM(K679:O679)*VLOOKUP($A679,HeadJournal!$A$1:$L$890,COLUMN(HeadJournal!H$1),0),0)</f>
        <v>1140.8</v>
      </c>
      <c r="Q679" s="29">
        <v>1600</v>
      </c>
      <c r="R679" s="31">
        <v>44944</v>
      </c>
      <c r="S679" s="31" t="s">
        <v>3121</v>
      </c>
      <c r="T679" s="95" t="str">
        <f t="shared" si="55"/>
        <v>2023 01</v>
      </c>
      <c r="U679" s="32">
        <f t="shared" si="52"/>
        <v>459.20000000000005</v>
      </c>
      <c r="V679" s="22">
        <f t="shared" si="53"/>
        <v>0.40252454417952321</v>
      </c>
      <c r="X679" s="33"/>
      <c r="Y679" s="33"/>
    </row>
    <row r="680" spans="1:25" x14ac:dyDescent="0.2">
      <c r="A680" s="93" t="s">
        <v>328</v>
      </c>
      <c r="B680" s="94">
        <f>IFERROR(VLOOKUP($A680,HeadJournal!$A$1:$NTR$890,COLUMN(HeadJournal!B$1),0),"")</f>
        <v>0</v>
      </c>
      <c r="C680" s="94" t="str">
        <f>IFERROR(VLOOKUP($A680,HeadJournal!$A$1:$NTR$890,COLUMN(HeadJournal!C$1),0),"")</f>
        <v>OZON_AV</v>
      </c>
      <c r="D680" s="125" t="str">
        <f>IFERROR(VLOOKUP($A680,HeadJournal!$A$1:$NTR$890,COLUMN(HeadJournal!D$1),0),"")</f>
        <v>Доставлен</v>
      </c>
      <c r="E680" s="95">
        <f>IFERROR(VLOOKUP($A680,HeadJournal!$A$1:$NTR$890,COLUMN(HeadJournal!G$1),0),"")</f>
        <v>44931</v>
      </c>
      <c r="F680" s="95" t="str">
        <f t="shared" si="54"/>
        <v>2023 01</v>
      </c>
      <c r="G680" s="96" t="s">
        <v>6</v>
      </c>
      <c r="H680" s="160" t="str">
        <f>RIGHT(Journal!$J680,9)</f>
        <v>170918388</v>
      </c>
      <c r="I680" s="96" t="str">
        <f t="shared" si="51"/>
        <v>PRIMEKRAFT</v>
      </c>
      <c r="J680" s="97" t="s">
        <v>329</v>
      </c>
      <c r="K680" s="29">
        <v>992</v>
      </c>
      <c r="L680" s="29"/>
      <c r="M680" s="30">
        <f>IFERROR(VLOOKUP($A680,HeadJournal!$A$1:$J$890,COLUMN(HeadJournal!I$1),0)*($K680+$L680)/(SUMIF($A:$A,$A680,$K:$K)+SUMIF($A:$A,$A680,$L:$L)),0)</f>
        <v>0</v>
      </c>
      <c r="N680" s="30">
        <f>IFERROR((VLOOKUP($A680,HeadJournal!$A$1:$K$890,COLUMN(HeadJournal!K$1),0)-VLOOKUP($A680,HeadJournal!$A$1:$K$890,COLUMN(HeadJournal!J$1),0))*($K680+$L680)/(SUMIF($A:$A,$A680,$K:$K)+SUMIF($A:$A,$A680,$L:$L)),0)</f>
        <v>0</v>
      </c>
      <c r="O680" s="30">
        <f>IFERROR((VLOOKUP($A680,HeadJournal!$A$1:$L$890,COLUMN(HeadJournal!L$1),0)*($K680+$L680)/(SUMIF($A:$A,$A680,$K:$K)+SUMIF($A:$A,$A680,$L:$L)))/VLOOKUP($A680,HeadJournal!$A$1:$L$890,COLUMN(HeadJournal!H$1),0),0)</f>
        <v>148.79999999999998</v>
      </c>
      <c r="P680" s="30">
        <f>IFERROR(SUM(K680:O680)*VLOOKUP($A680,HeadJournal!$A$1:$L$890,COLUMN(HeadJournal!H$1),0),0)</f>
        <v>1140.8</v>
      </c>
      <c r="Q680" s="29">
        <v>1600</v>
      </c>
      <c r="R680" s="31">
        <v>44945</v>
      </c>
      <c r="S680" s="31" t="s">
        <v>3121</v>
      </c>
      <c r="T680" s="95" t="str">
        <f t="shared" si="55"/>
        <v>2023 01</v>
      </c>
      <c r="U680" s="32">
        <f t="shared" si="52"/>
        <v>459.20000000000005</v>
      </c>
      <c r="V680" s="22">
        <f t="shared" si="53"/>
        <v>0.40252454417952321</v>
      </c>
      <c r="X680" s="33"/>
      <c r="Y680" s="33"/>
    </row>
    <row r="681" spans="1:25" x14ac:dyDescent="0.2">
      <c r="A681" s="93" t="s">
        <v>330</v>
      </c>
      <c r="B681" s="94">
        <f>IFERROR(VLOOKUP($A681,HeadJournal!$A$1:$NTR$890,COLUMN(HeadJournal!B$1),0),"")</f>
        <v>0</v>
      </c>
      <c r="C681" s="94" t="str">
        <f>IFERROR(VLOOKUP($A681,HeadJournal!$A$1:$NTR$890,COLUMN(HeadJournal!C$1),0),"")</f>
        <v>WBRS</v>
      </c>
      <c r="D681" s="125" t="str">
        <f>IFERROR(VLOOKUP($A681,HeadJournal!$A$1:$NTR$890,COLUMN(HeadJournal!D$1),0),"")</f>
        <v>Доставлен</v>
      </c>
      <c r="E681" s="95">
        <f>IFERROR(VLOOKUP($A681,HeadJournal!$A$1:$NTR$890,COLUMN(HeadJournal!G$1),0),"")</f>
        <v>44920</v>
      </c>
      <c r="F681" s="95" t="str">
        <f t="shared" si="54"/>
        <v>2022 12</v>
      </c>
      <c r="G681" s="96" t="s">
        <v>5</v>
      </c>
      <c r="H681" s="160" t="str">
        <f>RIGHT(Journal!$J681,9)</f>
        <v>026995436</v>
      </c>
      <c r="I681" s="96" t="str">
        <f t="shared" si="51"/>
        <v>Patanjali</v>
      </c>
      <c r="J681" s="97" t="s">
        <v>221</v>
      </c>
      <c r="K681" s="55">
        <v>768</v>
      </c>
      <c r="L681" s="29"/>
      <c r="M681" s="30">
        <f>IFERROR(VLOOKUP($A681,HeadJournal!$A$1:$J$890,COLUMN(HeadJournal!I$1),0)*($K681+$L681)/(SUMIF($A:$A,$A681,$K:$K)+SUMIF($A:$A,$A681,$L:$L)),0)</f>
        <v>0</v>
      </c>
      <c r="N681" s="30">
        <f>IFERROR((VLOOKUP($A681,HeadJournal!$A$1:$K$890,COLUMN(HeadJournal!K$1),0)-VLOOKUP($A681,HeadJournal!$A$1:$K$890,COLUMN(HeadJournal!J$1),0))*($K681+$L681)/(SUMIF($A:$A,$A681,$K:$K)+SUMIF($A:$A,$A681,$L:$L)),0)</f>
        <v>0</v>
      </c>
      <c r="O681" s="30">
        <f>IFERROR((VLOOKUP($A681,HeadJournal!$A$1:$L$890,COLUMN(HeadJournal!L$1),0)*($K681+$L681)/(SUMIF($A:$A,$A681,$K:$K)+SUMIF($A:$A,$A681,$L:$L)))/VLOOKUP($A681,HeadJournal!$A$1:$L$890,COLUMN(HeadJournal!H$1),0),0)</f>
        <v>115.19999999999999</v>
      </c>
      <c r="P681" s="30">
        <f>IFERROR(SUM(K681:O681)*VLOOKUP($A681,HeadJournal!$A$1:$L$890,COLUMN(HeadJournal!H$1),0),0)</f>
        <v>883.2</v>
      </c>
      <c r="Q681" s="29">
        <v>1700</v>
      </c>
      <c r="R681" s="31">
        <v>44945</v>
      </c>
      <c r="S681" s="31" t="s">
        <v>3121</v>
      </c>
      <c r="T681" s="95" t="str">
        <f t="shared" si="55"/>
        <v>2023 01</v>
      </c>
      <c r="U681" s="32">
        <f t="shared" si="52"/>
        <v>816.8</v>
      </c>
      <c r="V681" s="22">
        <f t="shared" si="53"/>
        <v>0.92481884057971009</v>
      </c>
      <c r="X681" s="33"/>
      <c r="Y681" s="33"/>
    </row>
    <row r="682" spans="1:25" x14ac:dyDescent="0.2">
      <c r="A682" s="93" t="s">
        <v>330</v>
      </c>
      <c r="B682" s="94">
        <f>IFERROR(VLOOKUP($A682,HeadJournal!$A$1:$NTR$890,COLUMN(HeadJournal!B$1),0),"")</f>
        <v>0</v>
      </c>
      <c r="C682" s="94" t="str">
        <f>IFERROR(VLOOKUP($A682,HeadJournal!$A$1:$NTR$890,COLUMN(HeadJournal!C$1),0),"")</f>
        <v>WBRS</v>
      </c>
      <c r="D682" s="125" t="str">
        <f>IFERROR(VLOOKUP($A682,HeadJournal!$A$1:$NTR$890,COLUMN(HeadJournal!D$1),0),"")</f>
        <v>Доставлен</v>
      </c>
      <c r="E682" s="95">
        <f>IFERROR(VLOOKUP($A682,HeadJournal!$A$1:$NTR$890,COLUMN(HeadJournal!G$1),0),"")</f>
        <v>44920</v>
      </c>
      <c r="F682" s="95" t="str">
        <f t="shared" si="54"/>
        <v>2022 12</v>
      </c>
      <c r="G682" s="96" t="s">
        <v>5</v>
      </c>
      <c r="H682" s="160" t="str">
        <f>RIGHT(Journal!$J682,9)</f>
        <v>026995436</v>
      </c>
      <c r="I682" s="96" t="str">
        <f t="shared" si="51"/>
        <v>Patanjali</v>
      </c>
      <c r="J682" s="97" t="s">
        <v>221</v>
      </c>
      <c r="K682" s="55">
        <v>768</v>
      </c>
      <c r="L682" s="29"/>
      <c r="M682" s="30">
        <f>IFERROR(VLOOKUP($A682,HeadJournal!$A$1:$J$890,COLUMN(HeadJournal!I$1),0)*($K682+$L682)/(SUMIF($A:$A,$A682,$K:$K)+SUMIF($A:$A,$A682,$L:$L)),0)</f>
        <v>0</v>
      </c>
      <c r="N682" s="30">
        <f>IFERROR((VLOOKUP($A682,HeadJournal!$A$1:$K$890,COLUMN(HeadJournal!K$1),0)-VLOOKUP($A682,HeadJournal!$A$1:$K$890,COLUMN(HeadJournal!J$1),0))*($K682+$L682)/(SUMIF($A:$A,$A682,$K:$K)+SUMIF($A:$A,$A682,$L:$L)),0)</f>
        <v>0</v>
      </c>
      <c r="O682" s="30">
        <f>IFERROR((VLOOKUP($A682,HeadJournal!$A$1:$L$890,COLUMN(HeadJournal!L$1),0)*($K682+$L682)/(SUMIF($A:$A,$A682,$K:$K)+SUMIF($A:$A,$A682,$L:$L)))/VLOOKUP($A682,HeadJournal!$A$1:$L$890,COLUMN(HeadJournal!H$1),0),0)</f>
        <v>115.19999999999999</v>
      </c>
      <c r="P682" s="30">
        <f>IFERROR(SUM(K682:O682)*VLOOKUP($A682,HeadJournal!$A$1:$L$890,COLUMN(HeadJournal!H$1),0),0)</f>
        <v>883.2</v>
      </c>
      <c r="Q682" s="29">
        <v>883.2</v>
      </c>
      <c r="R682" s="31">
        <v>45652</v>
      </c>
      <c r="S682" s="31" t="s">
        <v>3121</v>
      </c>
      <c r="T682" s="95" t="str">
        <f t="shared" si="55"/>
        <v>2024 12</v>
      </c>
      <c r="U682" s="32">
        <f t="shared" si="52"/>
        <v>0</v>
      </c>
      <c r="V682" s="22">
        <f t="shared" si="53"/>
        <v>0</v>
      </c>
      <c r="X682" s="33"/>
      <c r="Y682" s="33"/>
    </row>
    <row r="683" spans="1:25" x14ac:dyDescent="0.2">
      <c r="A683" s="93" t="s">
        <v>331</v>
      </c>
      <c r="B683" s="94">
        <f>IFERROR(VLOOKUP($A683,HeadJournal!$A$1:$NTR$890,COLUMN(HeadJournal!B$1),0),"")</f>
        <v>0</v>
      </c>
      <c r="C683" s="94" t="str">
        <f>IFERROR(VLOOKUP($A683,HeadJournal!$A$1:$NTR$890,COLUMN(HeadJournal!C$1),0),"")</f>
        <v>WBRS</v>
      </c>
      <c r="D683" s="125" t="str">
        <f>IFERROR(VLOOKUP($A683,HeadJournal!$A$1:$NTR$890,COLUMN(HeadJournal!D$1),0),"")</f>
        <v>Доставлен</v>
      </c>
      <c r="E683" s="95">
        <f>IFERROR(VLOOKUP($A683,HeadJournal!$A$1:$NTR$890,COLUMN(HeadJournal!G$1),0),"")</f>
        <v>44935</v>
      </c>
      <c r="F683" s="95" t="str">
        <f t="shared" si="54"/>
        <v>2023 01</v>
      </c>
      <c r="G683" s="96" t="s">
        <v>7</v>
      </c>
      <c r="H683" s="160" t="str">
        <f>RIGHT(Journal!$J683,9)</f>
        <v>065844364</v>
      </c>
      <c r="I683" s="96" t="str">
        <f t="shared" si="51"/>
        <v>La Miso</v>
      </c>
      <c r="J683" s="97" t="s">
        <v>332</v>
      </c>
      <c r="K683" s="55">
        <v>698</v>
      </c>
      <c r="L683" s="29"/>
      <c r="M683" s="30">
        <f>IFERROR(VLOOKUP($A683,HeadJournal!$A$1:$J$890,COLUMN(HeadJournal!I$1),0)*($K683+$L683)/(SUMIF($A:$A,$A683,$K:$K)+SUMIF($A:$A,$A683,$L:$L)),0)</f>
        <v>0</v>
      </c>
      <c r="N683" s="30">
        <f>IFERROR((VLOOKUP($A683,HeadJournal!$A$1:$K$890,COLUMN(HeadJournal!K$1),0)-VLOOKUP($A683,HeadJournal!$A$1:$K$890,COLUMN(HeadJournal!J$1),0))*($K683+$L683)/(SUMIF($A:$A,$A683,$K:$K)+SUMIF($A:$A,$A683,$L:$L)),0)</f>
        <v>0</v>
      </c>
      <c r="O683" s="30">
        <f>IFERROR((VLOOKUP($A683,HeadJournal!$A$1:$L$890,COLUMN(HeadJournal!L$1),0)*($K683+$L683)/(SUMIF($A:$A,$A683,$K:$K)+SUMIF($A:$A,$A683,$L:$L)))/VLOOKUP($A683,HeadJournal!$A$1:$L$890,COLUMN(HeadJournal!H$1),0),0)</f>
        <v>104.7</v>
      </c>
      <c r="P683" s="30">
        <f>IFERROR(SUM(K683:O683)*VLOOKUP($A683,HeadJournal!$A$1:$L$890,COLUMN(HeadJournal!H$1),0),0)</f>
        <v>802.7</v>
      </c>
      <c r="Q683" s="29">
        <v>802.7</v>
      </c>
      <c r="R683" s="31">
        <v>44948</v>
      </c>
      <c r="S683" s="31" t="s">
        <v>3121</v>
      </c>
      <c r="T683" s="95" t="str">
        <f t="shared" si="55"/>
        <v>2023 01</v>
      </c>
      <c r="U683" s="32">
        <f t="shared" si="52"/>
        <v>0</v>
      </c>
      <c r="V683" s="22">
        <f t="shared" si="53"/>
        <v>0</v>
      </c>
      <c r="X683" s="33"/>
      <c r="Y683" s="33"/>
    </row>
    <row r="684" spans="1:25" x14ac:dyDescent="0.2">
      <c r="A684" s="93" t="s">
        <v>333</v>
      </c>
      <c r="B684" s="94" t="str">
        <f>IFERROR(VLOOKUP($A684,HeadJournal!$A$1:$NTR$890,COLUMN(HeadJournal!B$1),0),"")</f>
        <v>1Z58FA050346373999</v>
      </c>
      <c r="C684" s="94" t="str">
        <f>IFERROR(VLOOKUP($A684,HeadJournal!$A$1:$NTR$890,COLUMN(HeadJournal!C$1),0),"")</f>
        <v>iHerb_AV CYG0792</v>
      </c>
      <c r="D684" s="125" t="str">
        <f>IFERROR(VLOOKUP($A684,HeadJournal!$A$1:$NTR$890,COLUMN(HeadJournal!D$1),0),"")</f>
        <v>Доставлен</v>
      </c>
      <c r="E684" s="95">
        <f>IFERROR(VLOOKUP($A684,HeadJournal!$A$1:$NTR$890,COLUMN(HeadJournal!G$1),0),"")</f>
        <v>44933</v>
      </c>
      <c r="F684" s="95" t="str">
        <f t="shared" si="54"/>
        <v>2023 01</v>
      </c>
      <c r="G684" s="96" t="s">
        <v>5</v>
      </c>
      <c r="H684" s="160" t="str">
        <f>RIGHT(Journal!$J684,9)</f>
        <v>SWV-01031</v>
      </c>
      <c r="I684" s="96" t="str">
        <f t="shared" si="51"/>
        <v>Swanson</v>
      </c>
      <c r="J684" s="97" t="s">
        <v>334</v>
      </c>
      <c r="K684" s="29">
        <v>6.99</v>
      </c>
      <c r="L684" s="29">
        <v>-1.4</v>
      </c>
      <c r="M684" s="30">
        <f>IFERROR(VLOOKUP($A684,HeadJournal!$A$1:$J$890,COLUMN(HeadJournal!I$1),0)*($K684+$L684)/(SUMIF($A:$A,$A684,$K:$K)+SUMIF($A:$A,$A684,$L:$L)),0)</f>
        <v>-0.10673361849854318</v>
      </c>
      <c r="N684" s="30">
        <f>IFERROR((VLOOKUP($A684,HeadJournal!$A$1:$K$890,COLUMN(HeadJournal!K$1),0)-VLOOKUP($A684,HeadJournal!$A$1:$K$890,COLUMN(HeadJournal!J$1),0))*($K684+$L684)/(SUMIF($A:$A,$A684,$K:$K)+SUMIF($A:$A,$A684,$L:$L)),0)</f>
        <v>9.8491944526661974E-16</v>
      </c>
      <c r="O684" s="30">
        <f>IFERROR((VLOOKUP($A684,HeadJournal!$A$1:$L$890,COLUMN(HeadJournal!L$1),0)*($K684+$L684)/(SUMIF($A:$A,$A684,$K:$K)+SUMIF($A:$A,$A684,$L:$L)))/VLOOKUP($A684,HeadJournal!$A$1:$L$890,COLUMN(HeadJournal!H$1),0),0)</f>
        <v>1.7783675523017091</v>
      </c>
      <c r="P684" s="30">
        <f>IFERROR(SUM(K684:O684)*VLOOKUP($A684,HeadJournal!$A$1:$L$890,COLUMN(HeadJournal!H$1),0),0)</f>
        <v>595.45398257185957</v>
      </c>
      <c r="Q684" s="29">
        <v>1500</v>
      </c>
      <c r="R684" s="31">
        <v>45395</v>
      </c>
      <c r="S684" s="31" t="s">
        <v>3121</v>
      </c>
      <c r="T684" s="95" t="str">
        <f t="shared" si="55"/>
        <v>2024 04</v>
      </c>
      <c r="U684" s="32">
        <f t="shared" si="52"/>
        <v>904.54601742814043</v>
      </c>
      <c r="V684" s="22">
        <f t="shared" si="53"/>
        <v>1.5190863507558781</v>
      </c>
      <c r="X684" s="33"/>
      <c r="Y684" s="33"/>
    </row>
    <row r="685" spans="1:25" x14ac:dyDescent="0.2">
      <c r="A685" s="93" t="s">
        <v>333</v>
      </c>
      <c r="B685" s="94" t="str">
        <f>IFERROR(VLOOKUP($A685,HeadJournal!$A$1:$NTR$890,COLUMN(HeadJournal!B$1),0),"")</f>
        <v>1Z58FA050346373999</v>
      </c>
      <c r="C685" s="94" t="str">
        <f>IFERROR(VLOOKUP($A685,HeadJournal!$A$1:$NTR$890,COLUMN(HeadJournal!C$1),0),"")</f>
        <v>iHerb_AV CYG0792</v>
      </c>
      <c r="D685" s="125" t="str">
        <f>IFERROR(VLOOKUP($A685,HeadJournal!$A$1:$NTR$890,COLUMN(HeadJournal!D$1),0),"")</f>
        <v>Доставлен</v>
      </c>
      <c r="E685" s="95">
        <f>IFERROR(VLOOKUP($A685,HeadJournal!$A$1:$NTR$890,COLUMN(HeadJournal!G$1),0),"")</f>
        <v>44933</v>
      </c>
      <c r="F685" s="95" t="str">
        <f t="shared" si="54"/>
        <v>2023 01</v>
      </c>
      <c r="G685" s="96" t="s">
        <v>5</v>
      </c>
      <c r="H685" s="161" t="s">
        <v>3570</v>
      </c>
      <c r="I685" s="97" t="s">
        <v>2102</v>
      </c>
      <c r="J685" s="97" t="s">
        <v>3991</v>
      </c>
      <c r="K685" s="29">
        <v>13.27</v>
      </c>
      <c r="L685" s="29">
        <v>-1.33</v>
      </c>
      <c r="M685" s="30">
        <f>IFERROR(VLOOKUP($A685,HeadJournal!$A$1:$J$890,COLUMN(HeadJournal!I$1),0)*($K685+$L685)/(SUMIF($A:$A,$A685,$K:$K)+SUMIF($A:$A,$A685,$L:$L)),0)</f>
        <v>-0.22797842663195092</v>
      </c>
      <c r="N685" s="30">
        <f>IFERROR((VLOOKUP($A685,HeadJournal!$A$1:$K$890,COLUMN(HeadJournal!K$1),0)-VLOOKUP($A685,HeadJournal!$A$1:$K$890,COLUMN(HeadJournal!J$1),0))*($K685+$L685)/(SUMIF($A:$A,$A685,$K:$K)+SUMIF($A:$A,$A685,$L:$L)),0)</f>
        <v>2.1037456487448011E-15</v>
      </c>
      <c r="O685" s="30">
        <f>IFERROR((VLOOKUP($A685,HeadJournal!$A$1:$L$890,COLUMN(HeadJournal!L$1),0)*($K685+$L685)/(SUMIF($A:$A,$A685,$K:$K)+SUMIF($A:$A,$A685,$L:$L)))/VLOOKUP($A685,HeadJournal!$A$1:$L$890,COLUMN(HeadJournal!H$1),0),0)</f>
        <v>3.7985167396211819</v>
      </c>
      <c r="P685" s="30">
        <f>IFERROR(SUM(K685:O685)*VLOOKUP($A685,HeadJournal!$A$1:$L$890,COLUMN(HeadJournal!H$1),0),0)</f>
        <v>1271.8641416651169</v>
      </c>
      <c r="Q685" s="29">
        <v>1700</v>
      </c>
      <c r="R685" s="31">
        <v>45006</v>
      </c>
      <c r="S685" s="31" t="s">
        <v>3121</v>
      </c>
      <c r="T685" s="95" t="str">
        <f t="shared" si="55"/>
        <v>2023 03</v>
      </c>
      <c r="U685" s="32">
        <f t="shared" si="52"/>
        <v>428.1358583348831</v>
      </c>
      <c r="V685" s="22">
        <f t="shared" si="53"/>
        <v>0.33662074769587436</v>
      </c>
      <c r="X685" s="33"/>
      <c r="Y685" s="33"/>
    </row>
    <row r="686" spans="1:25" x14ac:dyDescent="0.2">
      <c r="A686" s="93" t="s">
        <v>333</v>
      </c>
      <c r="B686" s="94" t="str">
        <f>IFERROR(VLOOKUP($A686,HeadJournal!$A$1:$NTR$890,COLUMN(HeadJournal!B$1),0),"")</f>
        <v>1Z58FA050346373999</v>
      </c>
      <c r="C686" s="94" t="str">
        <f>IFERROR(VLOOKUP($A686,HeadJournal!$A$1:$NTR$890,COLUMN(HeadJournal!C$1),0),"")</f>
        <v>iHerb_AV CYG0792</v>
      </c>
      <c r="D686" s="125" t="str">
        <f>IFERROR(VLOOKUP($A686,HeadJournal!$A$1:$NTR$890,COLUMN(HeadJournal!D$1),0),"")</f>
        <v>Доставлен</v>
      </c>
      <c r="E686" s="95">
        <f>IFERROR(VLOOKUP($A686,HeadJournal!$A$1:$NTR$890,COLUMN(HeadJournal!G$1),0),"")</f>
        <v>44933</v>
      </c>
      <c r="F686" s="95" t="str">
        <f t="shared" si="54"/>
        <v>2023 01</v>
      </c>
      <c r="G686" s="96" t="s">
        <v>5</v>
      </c>
      <c r="H686" s="161" t="s">
        <v>2027</v>
      </c>
      <c r="I686" s="97" t="s">
        <v>2005</v>
      </c>
      <c r="J686" s="97" t="s">
        <v>4110</v>
      </c>
      <c r="K686" s="29">
        <v>6.48</v>
      </c>
      <c r="L686" s="29">
        <v>-1.3</v>
      </c>
      <c r="M686" s="30">
        <f>IFERROR(VLOOKUP($A686,HeadJournal!$A$1:$J$890,COLUMN(HeadJournal!I$1),0)*($K686+$L686)/(SUMIF($A:$A,$A686,$K:$K)+SUMIF($A:$A,$A686,$L:$L)),0)</f>
        <v>-9.890521356394523E-2</v>
      </c>
      <c r="N686" s="30">
        <f>IFERROR((VLOOKUP($A686,HeadJournal!$A$1:$K$890,COLUMN(HeadJournal!K$1),0)-VLOOKUP($A686,HeadJournal!$A$1:$K$890,COLUMN(HeadJournal!J$1),0))*($K686+$L686)/(SUMIF($A:$A,$A686,$K:$K)+SUMIF($A:$A,$A686,$L:$L)),0)</f>
        <v>9.1268027307354036E-16</v>
      </c>
      <c r="O686" s="30">
        <f>IFERROR((VLOOKUP($A686,HeadJournal!$A$1:$L$890,COLUMN(HeadJournal!L$1),0)*($K686+$L686)/(SUMIF($A:$A,$A686,$K:$K)+SUMIF($A:$A,$A686,$L:$L)))/VLOOKUP($A686,HeadJournal!$A$1:$L$890,COLUMN(HeadJournal!H$1),0),0)</f>
        <v>1.6479327228842315</v>
      </c>
      <c r="P686" s="30">
        <f>IFERROR(SUM(K686:O686)*VLOOKUP($A686,HeadJournal!$A$1:$L$890,COLUMN(HeadJournal!H$1),0),0)</f>
        <v>551.78025576426353</v>
      </c>
      <c r="Q686" s="29">
        <v>1000</v>
      </c>
      <c r="R686" s="31">
        <v>44992</v>
      </c>
      <c r="S686" s="31" t="s">
        <v>3121</v>
      </c>
      <c r="T686" s="95" t="str">
        <f t="shared" si="55"/>
        <v>2023 03</v>
      </c>
      <c r="U686" s="32">
        <f t="shared" si="52"/>
        <v>448.21974423573647</v>
      </c>
      <c r="V686" s="22">
        <f t="shared" si="53"/>
        <v>0.81231566289901624</v>
      </c>
      <c r="X686" s="33"/>
      <c r="Y686" s="33"/>
    </row>
    <row r="687" spans="1:25" x14ac:dyDescent="0.2">
      <c r="A687" s="93" t="s">
        <v>333</v>
      </c>
      <c r="B687" s="94" t="str">
        <f>IFERROR(VLOOKUP($A687,HeadJournal!$A$1:$NTR$890,COLUMN(HeadJournal!B$1),0),"")</f>
        <v>1Z58FA050346373999</v>
      </c>
      <c r="C687" s="94" t="str">
        <f>IFERROR(VLOOKUP($A687,HeadJournal!$A$1:$NTR$890,COLUMN(HeadJournal!C$1),0),"")</f>
        <v>iHerb_AV CYG0792</v>
      </c>
      <c r="D687" s="125" t="str">
        <f>IFERROR(VLOOKUP($A687,HeadJournal!$A$1:$NTR$890,COLUMN(HeadJournal!D$1),0),"")</f>
        <v>Доставлен</v>
      </c>
      <c r="E687" s="95">
        <f>IFERROR(VLOOKUP($A687,HeadJournal!$A$1:$NTR$890,COLUMN(HeadJournal!G$1),0),"")</f>
        <v>44933</v>
      </c>
      <c r="F687" s="95" t="str">
        <f t="shared" si="54"/>
        <v>2023 01</v>
      </c>
      <c r="G687" s="96" t="s">
        <v>5</v>
      </c>
      <c r="H687" s="160" t="str">
        <f>RIGHT(Journal!$J687,9)</f>
        <v>NOB-27413</v>
      </c>
      <c r="I687" s="96" t="str">
        <f t="shared" si="51"/>
        <v>Nobi Nutrition</v>
      </c>
      <c r="J687" s="97" t="s">
        <v>335</v>
      </c>
      <c r="K687" s="29">
        <v>20.350000000000001</v>
      </c>
      <c r="L687" s="29">
        <v>-10.17</v>
      </c>
      <c r="M687" s="30">
        <f>IFERROR(VLOOKUP($A687,HeadJournal!$A$1:$J$890,COLUMN(HeadJournal!I$1),0)*($K687+$L687)/(SUMIF($A:$A,$A687,$K:$K)+SUMIF($A:$A,$A687,$L:$L)),0)</f>
        <v>-0.19437356642489623</v>
      </c>
      <c r="N687" s="30">
        <f>IFERROR((VLOOKUP($A687,HeadJournal!$A$1:$K$890,COLUMN(HeadJournal!K$1),0)-VLOOKUP($A687,HeadJournal!$A$1:$K$890,COLUMN(HeadJournal!J$1),0))*($K687+$L687)/(SUMIF($A:$A,$A687,$K:$K)+SUMIF($A:$A,$A687,$L:$L)),0)</f>
        <v>1.7936457876232897E-15</v>
      </c>
      <c r="O687" s="30">
        <f>IFERROR((VLOOKUP($A687,HeadJournal!$A$1:$L$890,COLUMN(HeadJournal!L$1),0)*($K687+$L687)/(SUMIF($A:$A,$A687,$K:$K)+SUMIF($A:$A,$A687,$L:$L)))/VLOOKUP($A687,HeadJournal!$A$1:$L$890,COLUMN(HeadJournal!H$1),0),0)</f>
        <v>3.2386013743168873</v>
      </c>
      <c r="P687" s="30">
        <f>IFERROR(SUM(K687:O687)*VLOOKUP($A687,HeadJournal!$A$1:$L$890,COLUMN(HeadJournal!H$1),0),0)</f>
        <v>1084.3866802471434</v>
      </c>
      <c r="Q687" s="29">
        <v>2500</v>
      </c>
      <c r="R687" s="31">
        <v>45037</v>
      </c>
      <c r="S687" s="31" t="s">
        <v>3121</v>
      </c>
      <c r="T687" s="95" t="str">
        <f t="shared" si="55"/>
        <v>2023 04</v>
      </c>
      <c r="U687" s="32">
        <f t="shared" si="52"/>
        <v>1415.6133197528566</v>
      </c>
      <c r="V687" s="22">
        <f t="shared" si="53"/>
        <v>1.3054506713695737</v>
      </c>
      <c r="X687" s="33"/>
      <c r="Y687" s="33"/>
    </row>
    <row r="688" spans="1:25" x14ac:dyDescent="0.2">
      <c r="A688" s="93" t="s">
        <v>333</v>
      </c>
      <c r="B688" s="94" t="str">
        <f>IFERROR(VLOOKUP($A688,HeadJournal!$A$1:$NTR$890,COLUMN(HeadJournal!B$1),0),"")</f>
        <v>1Z58FA050346373999</v>
      </c>
      <c r="C688" s="94" t="str">
        <f>IFERROR(VLOOKUP($A688,HeadJournal!$A$1:$NTR$890,COLUMN(HeadJournal!C$1),0),"")</f>
        <v>iHerb_AV CYG0792</v>
      </c>
      <c r="D688" s="125" t="str">
        <f>IFERROR(VLOOKUP($A688,HeadJournal!$A$1:$NTR$890,COLUMN(HeadJournal!D$1),0),"")</f>
        <v>Доставлен</v>
      </c>
      <c r="E688" s="95">
        <f>IFERROR(VLOOKUP($A688,HeadJournal!$A$1:$NTR$890,COLUMN(HeadJournal!G$1),0),"")</f>
        <v>44933</v>
      </c>
      <c r="F688" s="95" t="str">
        <f t="shared" si="54"/>
        <v>2023 01</v>
      </c>
      <c r="G688" s="96" t="s">
        <v>6</v>
      </c>
      <c r="H688" s="160" t="str">
        <f>RIGHT(Journal!$J688,9)</f>
        <v>NRX-00071</v>
      </c>
      <c r="I688" s="96" t="str">
        <f t="shared" si="51"/>
        <v>Nutrex Research</v>
      </c>
      <c r="J688" s="97" t="s">
        <v>336</v>
      </c>
      <c r="K688" s="29">
        <v>24.97</v>
      </c>
      <c r="L688" s="29">
        <v>-4.99</v>
      </c>
      <c r="M688" s="30">
        <f>IFERROR(VLOOKUP($A688,HeadJournal!$A$1:$J$890,COLUMN(HeadJournal!I$1),0)*($K688+$L688)/(SUMIF($A:$A,$A688,$K:$K)+SUMIF($A:$A,$A688,$L:$L)),0)</f>
        <v>-0.38149153803236002</v>
      </c>
      <c r="N688" s="30">
        <f>IFERROR((VLOOKUP($A688,HeadJournal!$A$1:$K$890,COLUMN(HeadJournal!K$1),0)-VLOOKUP($A688,HeadJournal!$A$1:$K$890,COLUMN(HeadJournal!J$1),0))*($K688+$L688)/(SUMIF($A:$A,$A688,$K:$K)+SUMIF($A:$A,$A688,$L:$L)),0)</f>
        <v>3.5203381961407976E-15</v>
      </c>
      <c r="O688" s="30">
        <f>IFERROR((VLOOKUP($A688,HeadJournal!$A$1:$L$890,COLUMN(HeadJournal!L$1),0)*($K688+$L688)/(SUMIF($A:$A,$A688,$K:$K)+SUMIF($A:$A,$A688,$L:$L)))/VLOOKUP($A688,HeadJournal!$A$1:$L$890,COLUMN(HeadJournal!H$1),0),0)</f>
        <v>6.3563119311248908</v>
      </c>
      <c r="P688" s="30">
        <f>IFERROR(SUM(K688:O688)*VLOOKUP($A688,HeadJournal!$A$1:$L$890,COLUMN(HeadJournal!H$1),0),0)</f>
        <v>2128.2952722335876</v>
      </c>
      <c r="Q688" s="29">
        <v>3200</v>
      </c>
      <c r="R688" s="31">
        <v>45037</v>
      </c>
      <c r="S688" s="31" t="s">
        <v>3121</v>
      </c>
      <c r="T688" s="95" t="str">
        <f t="shared" si="55"/>
        <v>2023 04</v>
      </c>
      <c r="U688" s="32">
        <f t="shared" si="52"/>
        <v>1071.7047277664124</v>
      </c>
      <c r="V688" s="22">
        <f t="shared" si="53"/>
        <v>0.5035507721828878</v>
      </c>
      <c r="X688" s="33"/>
      <c r="Y688" s="33"/>
    </row>
    <row r="689" spans="1:25" x14ac:dyDescent="0.2">
      <c r="A689" s="93" t="s">
        <v>333</v>
      </c>
      <c r="B689" s="94" t="str">
        <f>IFERROR(VLOOKUP($A689,HeadJournal!$A$1:$NTR$890,COLUMN(HeadJournal!B$1),0),"")</f>
        <v>1Z58FA050346373999</v>
      </c>
      <c r="C689" s="94" t="str">
        <f>IFERROR(VLOOKUP($A689,HeadJournal!$A$1:$NTR$890,COLUMN(HeadJournal!C$1),0),"")</f>
        <v>iHerb_AV CYG0792</v>
      </c>
      <c r="D689" s="125" t="str">
        <f>IFERROR(VLOOKUP($A689,HeadJournal!$A$1:$NTR$890,COLUMN(HeadJournal!D$1),0),"")</f>
        <v>Доставлен</v>
      </c>
      <c r="E689" s="95">
        <f>IFERROR(VLOOKUP($A689,HeadJournal!$A$1:$NTR$890,COLUMN(HeadJournal!G$1),0),"")</f>
        <v>44933</v>
      </c>
      <c r="F689" s="95" t="str">
        <f t="shared" si="54"/>
        <v>2023 01</v>
      </c>
      <c r="G689" s="96" t="s">
        <v>5</v>
      </c>
      <c r="H689" s="175" t="s">
        <v>3647</v>
      </c>
      <c r="I689" s="176" t="s">
        <v>2042</v>
      </c>
      <c r="J689" s="97" t="s">
        <v>3696</v>
      </c>
      <c r="K689" s="29">
        <v>13.6</v>
      </c>
      <c r="L689" s="29">
        <v>-1.36</v>
      </c>
      <c r="M689" s="30">
        <f>IFERROR(VLOOKUP($A689,HeadJournal!$A$1:$J$890,COLUMN(HeadJournal!I$1),0)*($K689+$L689)/(SUMIF($A:$A,$A689,$K:$K)+SUMIF($A:$A,$A689,$L:$L)),0)</f>
        <v>-0.23370652780360804</v>
      </c>
      <c r="N689" s="30">
        <f>IFERROR((VLOOKUP($A689,HeadJournal!$A$1:$K$890,COLUMN(HeadJournal!K$1),0)-VLOOKUP($A689,HeadJournal!$A$1:$K$890,COLUMN(HeadJournal!J$1),0))*($K689+$L689)/(SUMIF($A:$A,$A689,$K:$K)+SUMIF($A:$A,$A689,$L:$L)),0)</f>
        <v>2.1566035796177864E-15</v>
      </c>
      <c r="O689" s="30">
        <f>IFERROR((VLOOKUP($A689,HeadJournal!$A$1:$L$890,COLUMN(HeadJournal!L$1),0)*($K689+$L689)/(SUMIF($A:$A,$A689,$K:$K)+SUMIF($A:$A,$A689,$L:$L)))/VLOOKUP($A689,HeadJournal!$A$1:$L$890,COLUMN(HeadJournal!H$1),0),0)</f>
        <v>3.8939568587071411</v>
      </c>
      <c r="P689" s="30">
        <f>IFERROR(SUM(K689:O689)*VLOOKUP($A689,HeadJournal!$A$1:$L$890,COLUMN(HeadJournal!H$1),0),0)</f>
        <v>1303.8205271340898</v>
      </c>
      <c r="Q689" s="29">
        <v>2200</v>
      </c>
      <c r="R689" s="31">
        <v>44981</v>
      </c>
      <c r="S689" s="31" t="s">
        <v>3121</v>
      </c>
      <c r="T689" s="95" t="str">
        <f t="shared" si="55"/>
        <v>2023 02</v>
      </c>
      <c r="U689" s="32">
        <f t="shared" si="52"/>
        <v>896.17947286591016</v>
      </c>
      <c r="V689" s="22">
        <f t="shared" si="53"/>
        <v>0.68734879856186193</v>
      </c>
      <c r="X689" s="33"/>
      <c r="Y689" s="33"/>
    </row>
    <row r="690" spans="1:25" x14ac:dyDescent="0.2">
      <c r="A690" s="93" t="s">
        <v>333</v>
      </c>
      <c r="B690" s="94" t="str">
        <f>IFERROR(VLOOKUP($A690,HeadJournal!$A$1:$NTR$890,COLUMN(HeadJournal!B$1),0),"")</f>
        <v>1Z58FA050346373999</v>
      </c>
      <c r="C690" s="94" t="str">
        <f>IFERROR(VLOOKUP($A690,HeadJournal!$A$1:$NTR$890,COLUMN(HeadJournal!C$1),0),"")</f>
        <v>iHerb_AV CYG0792</v>
      </c>
      <c r="D690" s="125" t="str">
        <f>IFERROR(VLOOKUP($A690,HeadJournal!$A$1:$NTR$890,COLUMN(HeadJournal!D$1),0),"")</f>
        <v>Доставлен</v>
      </c>
      <c r="E690" s="95">
        <f>IFERROR(VLOOKUP($A690,HeadJournal!$A$1:$NTR$890,COLUMN(HeadJournal!G$1),0),"")</f>
        <v>44933</v>
      </c>
      <c r="F690" s="95" t="str">
        <f t="shared" si="54"/>
        <v>2023 01</v>
      </c>
      <c r="G690" s="96" t="s">
        <v>5</v>
      </c>
      <c r="H690" s="160" t="str">
        <f>RIGHT(Journal!$J690,9)</f>
        <v>SWV-02990</v>
      </c>
      <c r="I690" s="96" t="str">
        <f t="shared" si="51"/>
        <v>Swanson</v>
      </c>
      <c r="J690" s="97" t="s">
        <v>337</v>
      </c>
      <c r="K690" s="29">
        <v>9.89</v>
      </c>
      <c r="L690" s="29">
        <v>-1.98</v>
      </c>
      <c r="M690" s="30">
        <f>IFERROR(VLOOKUP($A690,HeadJournal!$A$1:$J$890,COLUMN(HeadJournal!I$1),0)*($K690+$L690)/(SUMIF($A:$A,$A690,$K:$K)+SUMIF($A:$A,$A690,$L:$L)),0)</f>
        <v>-0.15103093422602445</v>
      </c>
      <c r="N690" s="30">
        <f>IFERROR((VLOOKUP($A690,HeadJournal!$A$1:$K$890,COLUMN(HeadJournal!K$1),0)-VLOOKUP($A690,HeadJournal!$A$1:$K$890,COLUMN(HeadJournal!J$1),0))*($K690+$L690)/(SUMIF($A:$A,$A690,$K:$K)+SUMIF($A:$A,$A690,$L:$L)),0)</f>
        <v>1.3936874440177033E-15</v>
      </c>
      <c r="O690" s="30">
        <f>IFERROR((VLOOKUP($A690,HeadJournal!$A$1:$L$890,COLUMN(HeadJournal!L$1),0)*($K690+$L690)/(SUMIF($A:$A,$A690,$K:$K)+SUMIF($A:$A,$A690,$L:$L)))/VLOOKUP($A690,HeadJournal!$A$1:$L$890,COLUMN(HeadJournal!H$1),0),0)</f>
        <v>2.5164378065664619</v>
      </c>
      <c r="P690" s="30">
        <f>IFERROR(SUM(K690:O690)*VLOOKUP($A690,HeadJournal!$A$1:$L$890,COLUMN(HeadJournal!H$1),0),0)</f>
        <v>842.58336353191612</v>
      </c>
      <c r="Q690" s="29">
        <v>1000</v>
      </c>
      <c r="R690" s="31">
        <v>44993</v>
      </c>
      <c r="S690" s="31" t="s">
        <v>3121</v>
      </c>
      <c r="T690" s="95" t="str">
        <f t="shared" si="55"/>
        <v>2023 03</v>
      </c>
      <c r="U690" s="32">
        <f t="shared" si="52"/>
        <v>157.41663646808388</v>
      </c>
      <c r="V690" s="22">
        <f t="shared" si="53"/>
        <v>0.18682618632324932</v>
      </c>
      <c r="X690" s="33"/>
      <c r="Y690" s="33"/>
    </row>
    <row r="691" spans="1:25" x14ac:dyDescent="0.2">
      <c r="A691" s="93" t="s">
        <v>333</v>
      </c>
      <c r="B691" s="94" t="str">
        <f>IFERROR(VLOOKUP($A691,HeadJournal!$A$1:$NTR$890,COLUMN(HeadJournal!B$1),0),"")</f>
        <v>1Z58FA050346373999</v>
      </c>
      <c r="C691" s="94" t="str">
        <f>IFERROR(VLOOKUP($A691,HeadJournal!$A$1:$NTR$890,COLUMN(HeadJournal!C$1),0),"")</f>
        <v>iHerb_AV CYG0792</v>
      </c>
      <c r="D691" s="125" t="str">
        <f>IFERROR(VLOOKUP($A691,HeadJournal!$A$1:$NTR$890,COLUMN(HeadJournal!D$1),0),"")</f>
        <v>Доставлен</v>
      </c>
      <c r="E691" s="95">
        <f>IFERROR(VLOOKUP($A691,HeadJournal!$A$1:$NTR$890,COLUMN(HeadJournal!G$1),0),"")</f>
        <v>44933</v>
      </c>
      <c r="F691" s="95" t="str">
        <f t="shared" si="54"/>
        <v>2023 01</v>
      </c>
      <c r="G691" s="96" t="s">
        <v>5</v>
      </c>
      <c r="H691" s="160" t="str">
        <f>RIGHT(Journal!$J691,9)</f>
        <v>LKN-01542</v>
      </c>
      <c r="I691" s="96" t="str">
        <f t="shared" si="51"/>
        <v>Lake Avenue Nutrition</v>
      </c>
      <c r="J691" s="97" t="s">
        <v>338</v>
      </c>
      <c r="K691" s="29">
        <v>12</v>
      </c>
      <c r="L691" s="29">
        <v>-3.6</v>
      </c>
      <c r="M691" s="30">
        <f>IFERROR(VLOOKUP($A691,HeadJournal!$A$1:$J$890,COLUMN(HeadJournal!I$1),0)*($K691+$L691)/(SUMIF($A:$A,$A691,$K:$K)+SUMIF($A:$A,$A691,$L:$L)),0)</f>
        <v>-0.16038683280639768</v>
      </c>
      <c r="N691" s="30">
        <f>IFERROR((VLOOKUP($A691,HeadJournal!$A$1:$K$890,COLUMN(HeadJournal!K$1),0)-VLOOKUP($A691,HeadJournal!$A$1:$K$890,COLUMN(HeadJournal!J$1),0))*($K691+$L691)/(SUMIF($A:$A,$A691,$K:$K)+SUMIF($A:$A,$A691,$L:$L)),0)</f>
        <v>1.4800220644435789E-15</v>
      </c>
      <c r="O691" s="30">
        <f>IFERROR((VLOOKUP($A691,HeadJournal!$A$1:$L$890,COLUMN(HeadJournal!L$1),0)*($K691+$L691)/(SUMIF($A:$A,$A691,$K:$K)+SUMIF($A:$A,$A691,$L:$L)))/VLOOKUP($A691,HeadJournal!$A$1:$L$890,COLUMN(HeadJournal!H$1),0),0)</f>
        <v>2.6723233344068618</v>
      </c>
      <c r="P691" s="30">
        <f>IFERROR(SUM(K691:O691)*VLOOKUP($A691,HeadJournal!$A$1:$L$890,COLUMN(HeadJournal!H$1),0),0)</f>
        <v>894.77879313123833</v>
      </c>
      <c r="Q691" s="29">
        <v>1900</v>
      </c>
      <c r="R691" s="31">
        <v>44986</v>
      </c>
      <c r="S691" s="31" t="s">
        <v>3121</v>
      </c>
      <c r="T691" s="95" t="str">
        <f t="shared" si="55"/>
        <v>2023 03</v>
      </c>
      <c r="U691" s="32">
        <f t="shared" si="52"/>
        <v>1005.2212068687617</v>
      </c>
      <c r="V691" s="22">
        <f t="shared" si="53"/>
        <v>1.1234298516966803</v>
      </c>
      <c r="X691" s="33"/>
      <c r="Y691" s="33"/>
    </row>
    <row r="692" spans="1:25" x14ac:dyDescent="0.2">
      <c r="A692" s="93" t="s">
        <v>333</v>
      </c>
      <c r="B692" s="94" t="str">
        <f>IFERROR(VLOOKUP($A692,HeadJournal!$A$1:$NTR$890,COLUMN(HeadJournal!B$1),0),"")</f>
        <v>1Z58FA050346373999</v>
      </c>
      <c r="C692" s="94" t="str">
        <f>IFERROR(VLOOKUP($A692,HeadJournal!$A$1:$NTR$890,COLUMN(HeadJournal!C$1),0),"")</f>
        <v>iHerb_AV CYG0792</v>
      </c>
      <c r="D692" s="125" t="str">
        <f>IFERROR(VLOOKUP($A692,HeadJournal!$A$1:$NTR$890,COLUMN(HeadJournal!D$1),0),"")</f>
        <v>Доставлен</v>
      </c>
      <c r="E692" s="95">
        <f>IFERROR(VLOOKUP($A692,HeadJournal!$A$1:$NTR$890,COLUMN(HeadJournal!G$1),0),"")</f>
        <v>44933</v>
      </c>
      <c r="F692" s="95" t="str">
        <f t="shared" si="54"/>
        <v>2023 01</v>
      </c>
      <c r="G692" s="96" t="s">
        <v>5</v>
      </c>
      <c r="H692" s="160" t="str">
        <f>RIGHT(Journal!$J692,9)</f>
        <v>HYX-60884</v>
      </c>
      <c r="I692" s="96" t="str">
        <f t="shared" si="51"/>
        <v>Hydroxycut</v>
      </c>
      <c r="J692" s="97" t="s">
        <v>339</v>
      </c>
      <c r="K692" s="29">
        <v>22.91</v>
      </c>
      <c r="L692" s="29">
        <v>-4.58</v>
      </c>
      <c r="M692" s="30">
        <f>IFERROR(VLOOKUP($A692,HeadJournal!$A$1:$J$890,COLUMN(HeadJournal!I$1),0)*($K692+$L692)/(SUMIF($A:$A,$A692,$K:$K)+SUMIF($A:$A,$A692,$L:$L)),0)</f>
        <v>-0.34998698158824626</v>
      </c>
      <c r="N692" s="30">
        <f>IFERROR((VLOOKUP($A692,HeadJournal!$A$1:$K$890,COLUMN(HeadJournal!K$1),0)-VLOOKUP($A692,HeadJournal!$A$1:$K$890,COLUMN(HeadJournal!J$1),0))*($K692+$L692)/(SUMIF($A:$A,$A692,$K:$K)+SUMIF($A:$A,$A692,$L:$L)),0)</f>
        <v>3.2296195763393808E-15</v>
      </c>
      <c r="O692" s="30">
        <f>IFERROR((VLOOKUP($A692,HeadJournal!$A$1:$L$890,COLUMN(HeadJournal!L$1),0)*($K692+$L692)/(SUMIF($A:$A,$A692,$K:$K)+SUMIF($A:$A,$A692,$L:$L)))/VLOOKUP($A692,HeadJournal!$A$1:$L$890,COLUMN(HeadJournal!H$1),0),0)</f>
        <v>5.8313912761521154</v>
      </c>
      <c r="P692" s="30">
        <f>IFERROR(SUM(K692:O692)*VLOOKUP($A692,HeadJournal!$A$1:$L$890,COLUMN(HeadJournal!H$1),0),0)</f>
        <v>1952.5351521542375</v>
      </c>
      <c r="Q692" s="29">
        <v>3200</v>
      </c>
      <c r="R692" s="31">
        <v>45000</v>
      </c>
      <c r="S692" s="31" t="s">
        <v>3121</v>
      </c>
      <c r="T692" s="95" t="str">
        <f t="shared" si="55"/>
        <v>2023 03</v>
      </c>
      <c r="U692" s="32">
        <f t="shared" si="52"/>
        <v>1247.4648478457625</v>
      </c>
      <c r="V692" s="22">
        <f t="shared" si="53"/>
        <v>0.63889494971162542</v>
      </c>
      <c r="X692" s="33"/>
      <c r="Y692" s="33"/>
    </row>
    <row r="693" spans="1:25" x14ac:dyDescent="0.2">
      <c r="A693" s="93" t="s">
        <v>333</v>
      </c>
      <c r="B693" s="94" t="str">
        <f>IFERROR(VLOOKUP($A693,HeadJournal!$A$1:$NTR$890,COLUMN(HeadJournal!B$1),0),"")</f>
        <v>1Z58FA050346373999</v>
      </c>
      <c r="C693" s="94" t="str">
        <f>IFERROR(VLOOKUP($A693,HeadJournal!$A$1:$NTR$890,COLUMN(HeadJournal!C$1),0),"")</f>
        <v>iHerb_AV CYG0792</v>
      </c>
      <c r="D693" s="125" t="str">
        <f>IFERROR(VLOOKUP($A693,HeadJournal!$A$1:$NTR$890,COLUMN(HeadJournal!D$1),0),"")</f>
        <v>Доставлен</v>
      </c>
      <c r="E693" s="95">
        <f>IFERROR(VLOOKUP($A693,HeadJournal!$A$1:$NTR$890,COLUMN(HeadJournal!G$1),0),"")</f>
        <v>44933</v>
      </c>
      <c r="F693" s="95" t="str">
        <f t="shared" si="54"/>
        <v>2023 01</v>
      </c>
      <c r="G693" s="96" t="s">
        <v>5</v>
      </c>
      <c r="H693" s="161" t="s">
        <v>2868</v>
      </c>
      <c r="I693" s="97" t="s">
        <v>2618</v>
      </c>
      <c r="J693" s="97" t="s">
        <v>2869</v>
      </c>
      <c r="K693" s="29">
        <v>4.3899999999999997</v>
      </c>
      <c r="L693" s="29">
        <v>-0.88</v>
      </c>
      <c r="M693" s="30">
        <f>IFERROR(VLOOKUP($A693,HeadJournal!$A$1:$J$890,COLUMN(HeadJournal!I$1),0)*($K693+$L693)/(SUMIF($A:$A,$A693,$K:$K)+SUMIF($A:$A,$A693,$L:$L)),0)</f>
        <v>-6.7018783708387597E-2</v>
      </c>
      <c r="N693" s="30">
        <f>IFERROR((VLOOKUP($A693,HeadJournal!$A$1:$K$890,COLUMN(HeadJournal!K$1),0)-VLOOKUP($A693,HeadJournal!$A$1:$K$890,COLUMN(HeadJournal!J$1),0))*($K693+$L693)/(SUMIF($A:$A,$A693,$K:$K)+SUMIF($A:$A,$A693,$L:$L)),0)</f>
        <v>6.1843779121392396E-16</v>
      </c>
      <c r="O693" s="30">
        <f>IFERROR((VLOOKUP($A693,HeadJournal!$A$1:$L$890,COLUMN(HeadJournal!L$1),0)*($K693+$L693)/(SUMIF($A:$A,$A693,$K:$K)+SUMIF($A:$A,$A693,$L:$L)))/VLOOKUP($A693,HeadJournal!$A$1:$L$890,COLUMN(HeadJournal!H$1),0),0)</f>
        <v>1.1166493933057242</v>
      </c>
      <c r="P693" s="30">
        <f>IFERROR(SUM(K693:O693)*VLOOKUP($A693,HeadJournal!$A$1:$L$890,COLUMN(HeadJournal!H$1),0),0)</f>
        <v>373.88970998698159</v>
      </c>
      <c r="Q693" s="29">
        <v>1200</v>
      </c>
      <c r="R693" s="31">
        <v>44961</v>
      </c>
      <c r="S693" s="31" t="s">
        <v>3121</v>
      </c>
      <c r="T693" s="95" t="str">
        <f t="shared" si="55"/>
        <v>2023 02</v>
      </c>
      <c r="U693" s="32">
        <f t="shared" si="52"/>
        <v>826.11029001301836</v>
      </c>
      <c r="V693" s="22">
        <f t="shared" si="53"/>
        <v>2.2095026098519335</v>
      </c>
      <c r="X693" s="33"/>
      <c r="Y693" s="33"/>
    </row>
    <row r="694" spans="1:25" x14ac:dyDescent="0.2">
      <c r="A694" s="93" t="s">
        <v>333</v>
      </c>
      <c r="B694" s="94" t="str">
        <f>IFERROR(VLOOKUP($A694,HeadJournal!$A$1:$NTR$890,COLUMN(HeadJournal!B$1),0),"")</f>
        <v>1Z58FA050346373999</v>
      </c>
      <c r="C694" s="94" t="str">
        <f>IFERROR(VLOOKUP($A694,HeadJournal!$A$1:$NTR$890,COLUMN(HeadJournal!C$1),0),"")</f>
        <v>iHerb_AV CYG0792</v>
      </c>
      <c r="D694" s="125" t="str">
        <f>IFERROR(VLOOKUP($A694,HeadJournal!$A$1:$NTR$890,COLUMN(HeadJournal!D$1),0),"")</f>
        <v>Доставлен</v>
      </c>
      <c r="E694" s="95">
        <f>IFERROR(VLOOKUP($A694,HeadJournal!$A$1:$NTR$890,COLUMN(HeadJournal!G$1),0),"")</f>
        <v>44933</v>
      </c>
      <c r="F694" s="95" t="str">
        <f t="shared" si="54"/>
        <v>2023 01</v>
      </c>
      <c r="G694" s="96" t="s">
        <v>6</v>
      </c>
      <c r="H694" s="160" t="str">
        <f>RIGHT(Journal!$J694,9)</f>
        <v>NOB-27406</v>
      </c>
      <c r="I694" s="96" t="str">
        <f t="shared" si="51"/>
        <v>Nobi Nutrition</v>
      </c>
      <c r="J694" s="97" t="s">
        <v>187</v>
      </c>
      <c r="K694" s="29">
        <v>19.350000000000001</v>
      </c>
      <c r="L694" s="29">
        <v>-1.94</v>
      </c>
      <c r="M694" s="30">
        <f>IFERROR(VLOOKUP($A694,HeadJournal!$A$1:$J$890,COLUMN(HeadJournal!I$1),0)*($K694+$L694)/(SUMIF($A:$A,$A694,$K:$K)+SUMIF($A:$A,$A694,$L:$L)),0)</f>
        <v>-0.33242080466183133</v>
      </c>
      <c r="N694" s="30">
        <f>IFERROR((VLOOKUP($A694,HeadJournal!$A$1:$K$890,COLUMN(HeadJournal!K$1),0)-VLOOKUP($A694,HeadJournal!$A$1:$K$890,COLUMN(HeadJournal!J$1),0))*($K694+$L694)/(SUMIF($A:$A,$A694,$K:$K)+SUMIF($A:$A,$A694,$L:$L)),0)</f>
        <v>3.0675219216622272E-15</v>
      </c>
      <c r="O694" s="30">
        <f>IFERROR((VLOOKUP($A694,HeadJournal!$A$1:$L$890,COLUMN(HeadJournal!L$1),0)*($K694+$L694)/(SUMIF($A:$A,$A694,$K:$K)+SUMIF($A:$A,$A694,$L:$L)))/VLOOKUP($A694,HeadJournal!$A$1:$L$890,COLUMN(HeadJournal!H$1),0),0)</f>
        <v>5.5387082442885074</v>
      </c>
      <c r="P694" s="30">
        <f>IFERROR(SUM(K694:O694)*VLOOKUP($A694,HeadJournal!$A$1:$L$890,COLUMN(HeadJournal!H$1),0),0)</f>
        <v>1854.5355700493876</v>
      </c>
      <c r="Q694" s="29">
        <v>2600</v>
      </c>
      <c r="R694" s="31">
        <v>45000</v>
      </c>
      <c r="S694" s="31" t="s">
        <v>3121</v>
      </c>
      <c r="T694" s="95" t="str">
        <f t="shared" si="55"/>
        <v>2023 03</v>
      </c>
      <c r="U694" s="32">
        <f t="shared" si="52"/>
        <v>745.46442995061238</v>
      </c>
      <c r="V694" s="22">
        <f t="shared" si="53"/>
        <v>0.40196825662975022</v>
      </c>
      <c r="X694" s="33"/>
      <c r="Y694" s="33"/>
    </row>
    <row r="695" spans="1:25" x14ac:dyDescent="0.2">
      <c r="A695" s="93" t="s">
        <v>333</v>
      </c>
      <c r="B695" s="94" t="str">
        <f>IFERROR(VLOOKUP($A695,HeadJournal!$A$1:$NTR$890,COLUMN(HeadJournal!B$1),0),"")</f>
        <v>1Z58FA050346373999</v>
      </c>
      <c r="C695" s="94" t="str">
        <f>IFERROR(VLOOKUP($A695,HeadJournal!$A$1:$NTR$890,COLUMN(HeadJournal!C$1),0),"")</f>
        <v>iHerb_AV CYG0792</v>
      </c>
      <c r="D695" s="125" t="str">
        <f>IFERROR(VLOOKUP($A695,HeadJournal!$A$1:$NTR$890,COLUMN(HeadJournal!D$1),0),"")</f>
        <v>Доставлен</v>
      </c>
      <c r="E695" s="95">
        <f>IFERROR(VLOOKUP($A695,HeadJournal!$A$1:$NTR$890,COLUMN(HeadJournal!G$1),0),"")</f>
        <v>44933</v>
      </c>
      <c r="F695" s="95" t="str">
        <f t="shared" si="54"/>
        <v>2023 01</v>
      </c>
      <c r="G695" s="96" t="s">
        <v>5</v>
      </c>
      <c r="H695" s="160" t="str">
        <f>RIGHT(Journal!$J695,9)</f>
        <v>CGN-01842</v>
      </c>
      <c r="I695" s="96" t="str">
        <f t="shared" si="51"/>
        <v>California Gold Nutrition</v>
      </c>
      <c r="J695" s="97" t="s">
        <v>143</v>
      </c>
      <c r="K695" s="29">
        <v>6</v>
      </c>
      <c r="L695" s="29">
        <v>-3</v>
      </c>
      <c r="M695" s="30">
        <f>IFERROR(VLOOKUP($A695,HeadJournal!$A$1:$J$890,COLUMN(HeadJournal!I$1),0)*($K695+$L695)/(SUMIF($A:$A,$A695,$K:$K)+SUMIF($A:$A,$A695,$L:$L)),0)</f>
        <v>-5.7281011716570587E-2</v>
      </c>
      <c r="N695" s="30">
        <f>IFERROR((VLOOKUP($A695,HeadJournal!$A$1:$K$890,COLUMN(HeadJournal!K$1),0)-VLOOKUP($A695,HeadJournal!$A$1:$K$890,COLUMN(HeadJournal!J$1),0))*($K695+$L695)/(SUMIF($A:$A,$A695,$K:$K)+SUMIF($A:$A,$A695,$L:$L)),0)</f>
        <v>5.2857930872984956E-16</v>
      </c>
      <c r="O695" s="30">
        <f>IFERROR((VLOOKUP($A695,HeadJournal!$A$1:$L$890,COLUMN(HeadJournal!L$1),0)*($K695+$L695)/(SUMIF($A:$A,$A695,$K:$K)+SUMIF($A:$A,$A695,$L:$L)))/VLOOKUP($A695,HeadJournal!$A$1:$L$890,COLUMN(HeadJournal!H$1),0),0)</f>
        <v>0.9544011908595933</v>
      </c>
      <c r="P695" s="30">
        <f>IFERROR(SUM(K695:O695)*VLOOKUP($A695,HeadJournal!$A$1:$L$890,COLUMN(HeadJournal!H$1),0),0)</f>
        <v>319.56385468972792</v>
      </c>
      <c r="Q695" s="29">
        <v>1200</v>
      </c>
      <c r="R695" s="31">
        <v>45331</v>
      </c>
      <c r="S695" s="31" t="s">
        <v>3121</v>
      </c>
      <c r="T695" s="95" t="str">
        <f t="shared" si="55"/>
        <v>2024 02</v>
      </c>
      <c r="U695" s="32">
        <f t="shared" si="52"/>
        <v>880.43614531027208</v>
      </c>
      <c r="V695" s="22">
        <f t="shared" si="53"/>
        <v>2.7551180535267616</v>
      </c>
      <c r="X695" s="33"/>
      <c r="Y695" s="33"/>
    </row>
    <row r="696" spans="1:25" x14ac:dyDescent="0.2">
      <c r="A696" s="93" t="s">
        <v>333</v>
      </c>
      <c r="B696" s="94" t="str">
        <f>IFERROR(VLOOKUP($A696,HeadJournal!$A$1:$NTR$890,COLUMN(HeadJournal!B$1),0),"")</f>
        <v>1Z58FA050346373999</v>
      </c>
      <c r="C696" s="94" t="str">
        <f>IFERROR(VLOOKUP($A696,HeadJournal!$A$1:$NTR$890,COLUMN(HeadJournal!C$1),0),"")</f>
        <v>iHerb_AV CYG0792</v>
      </c>
      <c r="D696" s="125" t="str">
        <f>IFERROR(VLOOKUP($A696,HeadJournal!$A$1:$NTR$890,COLUMN(HeadJournal!D$1),0),"")</f>
        <v>Доставлен</v>
      </c>
      <c r="E696" s="95">
        <f>IFERROR(VLOOKUP($A696,HeadJournal!$A$1:$NTR$890,COLUMN(HeadJournal!G$1),0),"")</f>
        <v>44933</v>
      </c>
      <c r="F696" s="95" t="str">
        <f t="shared" si="54"/>
        <v>2023 01</v>
      </c>
      <c r="G696" s="96" t="s">
        <v>5</v>
      </c>
      <c r="H696" s="160" t="str">
        <f>RIGHT(Journal!$J696,9)</f>
        <v>DRB-00277</v>
      </c>
      <c r="I696" s="96" t="str">
        <f t="shared" si="51"/>
        <v>Doctor's Best</v>
      </c>
      <c r="J696" s="97" t="s">
        <v>139</v>
      </c>
      <c r="K696" s="29">
        <v>20.52</v>
      </c>
      <c r="L696" s="29">
        <v>-2.0499999999999998</v>
      </c>
      <c r="M696" s="30">
        <f>IFERROR(VLOOKUP($A696,HeadJournal!$A$1:$J$890,COLUMN(HeadJournal!I$1),0)*($K696+$L696)/(SUMIF($A:$A,$A696,$K:$K)+SUMIF($A:$A,$A696,$L:$L)),0)</f>
        <v>-0.35266009546835292</v>
      </c>
      <c r="N696" s="30">
        <f>IFERROR((VLOOKUP($A696,HeadJournal!$A$1:$K$890,COLUMN(HeadJournal!K$1),0)-VLOOKUP($A696,HeadJournal!$A$1:$K$890,COLUMN(HeadJournal!J$1),0))*($K696+$L696)/(SUMIF($A:$A,$A696,$K:$K)+SUMIF($A:$A,$A696,$L:$L)),0)</f>
        <v>3.2542866107467737E-15</v>
      </c>
      <c r="O696" s="30">
        <f>IFERROR((VLOOKUP($A696,HeadJournal!$A$1:$L$890,COLUMN(HeadJournal!L$1),0)*($K696+$L696)/(SUMIF($A:$A,$A696,$K:$K)+SUMIF($A:$A,$A696,$L:$L)))/VLOOKUP($A696,HeadJournal!$A$1:$L$890,COLUMN(HeadJournal!H$1),0),0)</f>
        <v>5.8759299983922304</v>
      </c>
      <c r="P696" s="30">
        <f>IFERROR(SUM(K696:O696)*VLOOKUP($A696,HeadJournal!$A$1:$L$890,COLUMN(HeadJournal!H$1),0),0)</f>
        <v>1967.4481320397583</v>
      </c>
      <c r="Q696" s="29">
        <v>3100</v>
      </c>
      <c r="R696" s="31">
        <v>45042</v>
      </c>
      <c r="S696" s="31" t="s">
        <v>3121</v>
      </c>
      <c r="T696" s="95" t="str">
        <f t="shared" si="55"/>
        <v>2023 04</v>
      </c>
      <c r="U696" s="32">
        <f t="shared" si="52"/>
        <v>1132.5518679602417</v>
      </c>
      <c r="V696" s="22">
        <f t="shared" si="53"/>
        <v>0.57564509555129406</v>
      </c>
      <c r="X696" s="33"/>
      <c r="Y696" s="33"/>
    </row>
    <row r="697" spans="1:25" x14ac:dyDescent="0.2">
      <c r="A697" s="93" t="s">
        <v>333</v>
      </c>
      <c r="B697" s="94" t="str">
        <f>IFERROR(VLOOKUP($A697,HeadJournal!$A$1:$NTR$890,COLUMN(HeadJournal!B$1),0),"")</f>
        <v>1Z58FA050346373999</v>
      </c>
      <c r="C697" s="94" t="str">
        <f>IFERROR(VLOOKUP($A697,HeadJournal!$A$1:$NTR$890,COLUMN(HeadJournal!C$1),0),"")</f>
        <v>iHerb_AV CYG0792</v>
      </c>
      <c r="D697" s="125" t="str">
        <f>IFERROR(VLOOKUP($A697,HeadJournal!$A$1:$NTR$890,COLUMN(HeadJournal!D$1),0),"")</f>
        <v>Доставлен</v>
      </c>
      <c r="E697" s="95">
        <f>IFERROR(VLOOKUP($A697,HeadJournal!$A$1:$NTR$890,COLUMN(HeadJournal!G$1),0),"")</f>
        <v>44933</v>
      </c>
      <c r="F697" s="95" t="str">
        <f t="shared" si="54"/>
        <v>2023 01</v>
      </c>
      <c r="G697" s="96" t="s">
        <v>5</v>
      </c>
      <c r="H697" s="160" t="str">
        <f>RIGHT(Journal!$J697,9)</f>
        <v>CEN-21368</v>
      </c>
      <c r="I697" s="96" t="str">
        <f t="shared" si="51"/>
        <v>21st Century</v>
      </c>
      <c r="J697" s="97" t="s">
        <v>340</v>
      </c>
      <c r="K697" s="29">
        <v>3.59</v>
      </c>
      <c r="L697" s="29">
        <v>-0.36</v>
      </c>
      <c r="M697" s="30">
        <f>IFERROR(VLOOKUP($A697,HeadJournal!$A$1:$J$890,COLUMN(HeadJournal!I$1),0)*($K697+$L697)/(SUMIF($A:$A,$A697,$K:$K)+SUMIF($A:$A,$A697,$L:$L)),0)</f>
        <v>-6.1672555948174328E-2</v>
      </c>
      <c r="N697" s="30">
        <f>IFERROR((VLOOKUP($A697,HeadJournal!$A$1:$K$890,COLUMN(HeadJournal!K$1),0)-VLOOKUP($A697,HeadJournal!$A$1:$K$890,COLUMN(HeadJournal!J$1),0))*($K697+$L697)/(SUMIF($A:$A,$A697,$K:$K)+SUMIF($A:$A,$A697,$L:$L)),0)</f>
        <v>5.6910372239913806E-16</v>
      </c>
      <c r="O697" s="30">
        <f>IFERROR((VLOOKUP($A697,HeadJournal!$A$1:$L$890,COLUMN(HeadJournal!L$1),0)*($K697+$L697)/(SUMIF($A:$A,$A697,$K:$K)+SUMIF($A:$A,$A697,$L:$L)))/VLOOKUP($A697,HeadJournal!$A$1:$L$890,COLUMN(HeadJournal!H$1),0),0)</f>
        <v>1.0275719488254957</v>
      </c>
      <c r="P697" s="30">
        <f>IFERROR(SUM(K697:O697)*VLOOKUP($A697,HeadJournal!$A$1:$L$890,COLUMN(HeadJournal!H$1),0),0)</f>
        <v>344.06375021594039</v>
      </c>
      <c r="Q697" s="29">
        <v>900</v>
      </c>
      <c r="R697" s="31">
        <v>44989</v>
      </c>
      <c r="S697" s="31" t="s">
        <v>3121</v>
      </c>
      <c r="T697" s="95" t="str">
        <f t="shared" si="55"/>
        <v>2023 03</v>
      </c>
      <c r="U697" s="32">
        <f t="shared" si="52"/>
        <v>555.93624978405956</v>
      </c>
      <c r="V697" s="22">
        <f t="shared" si="53"/>
        <v>1.6157943097322642</v>
      </c>
      <c r="X697" s="33"/>
      <c r="Y697" s="33"/>
    </row>
    <row r="698" spans="1:25" x14ac:dyDescent="0.2">
      <c r="A698" s="93" t="s">
        <v>333</v>
      </c>
      <c r="B698" s="94" t="str">
        <f>IFERROR(VLOOKUP($A698,HeadJournal!$A$1:$NTR$890,COLUMN(HeadJournal!B$1),0),"")</f>
        <v>1Z58FA050346373999</v>
      </c>
      <c r="C698" s="94" t="str">
        <f>IFERROR(VLOOKUP($A698,HeadJournal!$A$1:$NTR$890,COLUMN(HeadJournal!C$1),0),"")</f>
        <v>iHerb_AV CYG0792</v>
      </c>
      <c r="D698" s="125" t="str">
        <f>IFERROR(VLOOKUP($A698,HeadJournal!$A$1:$NTR$890,COLUMN(HeadJournal!D$1),0),"")</f>
        <v>Доставлен</v>
      </c>
      <c r="E698" s="95">
        <f>IFERROR(VLOOKUP($A698,HeadJournal!$A$1:$NTR$890,COLUMN(HeadJournal!G$1),0),"")</f>
        <v>44933</v>
      </c>
      <c r="F698" s="95" t="str">
        <f t="shared" si="54"/>
        <v>2023 01</v>
      </c>
      <c r="G698" s="96" t="s">
        <v>5</v>
      </c>
      <c r="H698" s="161" t="s">
        <v>2832</v>
      </c>
      <c r="I698" s="97" t="s">
        <v>2005</v>
      </c>
      <c r="J698" s="97" t="s">
        <v>2833</v>
      </c>
      <c r="K698" s="29">
        <v>12.14</v>
      </c>
      <c r="L698" s="29">
        <v>-2.4300000000000002</v>
      </c>
      <c r="M698" s="30">
        <f>IFERROR(VLOOKUP($A698,HeadJournal!$A$1:$J$890,COLUMN(HeadJournal!I$1),0)*($K698+$L698)/(SUMIF($A:$A,$A698,$K:$K)+SUMIF($A:$A,$A698,$L:$L)),0)</f>
        <v>-0.18539954125596683</v>
      </c>
      <c r="N698" s="30">
        <f>IFERROR((VLOOKUP($A698,HeadJournal!$A$1:$K$890,COLUMN(HeadJournal!K$1),0)-VLOOKUP($A698,HeadJournal!$A$1:$K$890,COLUMN(HeadJournal!J$1),0))*($K698+$L698)/(SUMIF($A:$A,$A698,$K:$K)+SUMIF($A:$A,$A698,$L:$L)),0)</f>
        <v>1.7108350292556132E-15</v>
      </c>
      <c r="O698" s="30">
        <f>IFERROR((VLOOKUP($A698,HeadJournal!$A$1:$L$890,COLUMN(HeadJournal!L$1),0)*($K698+$L698)/(SUMIF($A:$A,$A698,$K:$K)+SUMIF($A:$A,$A698,$L:$L)))/VLOOKUP($A698,HeadJournal!$A$1:$L$890,COLUMN(HeadJournal!H$1),0),0)</f>
        <v>3.0890785210822176</v>
      </c>
      <c r="P698" s="30">
        <f>IFERROR(SUM(K698:O698)*VLOOKUP($A698,HeadJournal!$A$1:$L$890,COLUMN(HeadJournal!H$1),0),0)</f>
        <v>1034.3216763457528</v>
      </c>
      <c r="Q698" s="29">
        <v>1700</v>
      </c>
      <c r="R698" s="31">
        <v>45072</v>
      </c>
      <c r="S698" s="31" t="s">
        <v>3121</v>
      </c>
      <c r="T698" s="95" t="str">
        <f t="shared" si="55"/>
        <v>2023 05</v>
      </c>
      <c r="U698" s="32">
        <f t="shared" si="52"/>
        <v>665.67832365424715</v>
      </c>
      <c r="V698" s="22">
        <f t="shared" si="53"/>
        <v>0.64358926132736716</v>
      </c>
      <c r="X698" s="33"/>
      <c r="Y698" s="33"/>
    </row>
    <row r="699" spans="1:25" x14ac:dyDescent="0.2">
      <c r="A699" s="93" t="s">
        <v>333</v>
      </c>
      <c r="B699" s="94" t="str">
        <f>IFERROR(VLOOKUP($A699,HeadJournal!$A$1:$NTR$890,COLUMN(HeadJournal!B$1),0),"")</f>
        <v>1Z58FA050346373999</v>
      </c>
      <c r="C699" s="94" t="str">
        <f>IFERROR(VLOOKUP($A699,HeadJournal!$A$1:$NTR$890,COLUMN(HeadJournal!C$1),0),"")</f>
        <v>iHerb_AV CYG0792</v>
      </c>
      <c r="D699" s="125" t="str">
        <f>IFERROR(VLOOKUP($A699,HeadJournal!$A$1:$NTR$890,COLUMN(HeadJournal!D$1),0),"")</f>
        <v>Доставлен</v>
      </c>
      <c r="E699" s="95">
        <f>IFERROR(VLOOKUP($A699,HeadJournal!$A$1:$NTR$890,COLUMN(HeadJournal!G$1),0),"")</f>
        <v>44933</v>
      </c>
      <c r="F699" s="95" t="str">
        <f t="shared" si="54"/>
        <v>2023 01</v>
      </c>
      <c r="G699" s="96" t="s">
        <v>5</v>
      </c>
      <c r="H699" s="160" t="str">
        <f>RIGHT(Journal!$J699,9)</f>
        <v>NOW-02210</v>
      </c>
      <c r="I699" s="96" t="str">
        <f t="shared" si="51"/>
        <v>NOW Foods</v>
      </c>
      <c r="J699" s="97" t="s">
        <v>341</v>
      </c>
      <c r="K699" s="29">
        <v>6.92</v>
      </c>
      <c r="L699" s="29">
        <v>-0.69</v>
      </c>
      <c r="M699" s="30">
        <f>IFERROR(VLOOKUP($A699,HeadJournal!$A$1:$J$890,COLUMN(HeadJournal!I$1),0)*($K699+$L699)/(SUMIF($A:$A,$A699,$K:$K)+SUMIF($A:$A,$A699,$L:$L)),0)</f>
        <v>-0.11895356766474494</v>
      </c>
      <c r="N699" s="30">
        <f>IFERROR((VLOOKUP($A699,HeadJournal!$A$1:$K$890,COLUMN(HeadJournal!K$1),0)-VLOOKUP($A699,HeadJournal!$A$1:$K$890,COLUMN(HeadJournal!J$1),0))*($K699+$L699)/(SUMIF($A:$A,$A699,$K:$K)+SUMIF($A:$A,$A699,$L:$L)),0)</f>
        <v>1.0976830311289877E-15</v>
      </c>
      <c r="O699" s="30">
        <f>IFERROR((VLOOKUP($A699,HeadJournal!$A$1:$L$890,COLUMN(HeadJournal!L$1),0)*($K699+$L699)/(SUMIF($A:$A,$A699,$K:$K)+SUMIF($A:$A,$A699,$L:$L)))/VLOOKUP($A699,HeadJournal!$A$1:$L$890,COLUMN(HeadJournal!H$1),0),0)</f>
        <v>1.9819731396850893</v>
      </c>
      <c r="P699" s="30">
        <f>IFERROR(SUM(K699:O699)*VLOOKUP($A699,HeadJournal!$A$1:$L$890,COLUMN(HeadJournal!H$1),0),0)</f>
        <v>663.62760490566836</v>
      </c>
      <c r="Q699" s="29">
        <v>1500</v>
      </c>
      <c r="R699" s="31">
        <v>45062</v>
      </c>
      <c r="S699" s="31" t="s">
        <v>3121</v>
      </c>
      <c r="T699" s="95" t="str">
        <f t="shared" si="55"/>
        <v>2023 05</v>
      </c>
      <c r="U699" s="32">
        <f t="shared" si="52"/>
        <v>836.37239509433164</v>
      </c>
      <c r="V699" s="22">
        <f t="shared" si="53"/>
        <v>1.2603038042897841</v>
      </c>
      <c r="X699" s="33"/>
      <c r="Y699" s="33"/>
    </row>
    <row r="700" spans="1:25" x14ac:dyDescent="0.2">
      <c r="A700" s="93" t="s">
        <v>342</v>
      </c>
      <c r="B700" s="94">
        <f>IFERROR(VLOOKUP($A700,HeadJournal!$A$1:$NTR$890,COLUMN(HeadJournal!B$1),0),"")</f>
        <v>0</v>
      </c>
      <c r="C700" s="94" t="str">
        <f>IFERROR(VLOOKUP($A700,HeadJournal!$A$1:$NTR$890,COLUMN(HeadJournal!C$1),0),"")</f>
        <v>Roman</v>
      </c>
      <c r="D700" s="125" t="str">
        <f>IFERROR(VLOOKUP($A700,HeadJournal!$A$1:$NTR$890,COLUMN(HeadJournal!D$1),0),"")</f>
        <v>Доставлен</v>
      </c>
      <c r="E700" s="95">
        <f>IFERROR(VLOOKUP($A700,HeadJournal!$A$1:$NTR$890,COLUMN(HeadJournal!G$1),0),"")</f>
        <v>44938</v>
      </c>
      <c r="F700" s="95" t="str">
        <f t="shared" si="54"/>
        <v>2023 01</v>
      </c>
      <c r="G700" s="96" t="s">
        <v>5</v>
      </c>
      <c r="H700" s="161" t="s">
        <v>2051</v>
      </c>
      <c r="I700" s="97" t="s">
        <v>2052</v>
      </c>
      <c r="J700" s="97" t="s">
        <v>3097</v>
      </c>
      <c r="K700" s="29">
        <v>914.2</v>
      </c>
      <c r="L700" s="29"/>
      <c r="M700" s="30">
        <f>IFERROR(VLOOKUP($A700,HeadJournal!$A$1:$J$890,COLUMN(HeadJournal!I$1),0)*($K700+$L700)/(SUMIF($A:$A,$A700,$K:$K)+SUMIF($A:$A,$A700,$L:$L)),0)</f>
        <v>0</v>
      </c>
      <c r="N700" s="30">
        <f>IFERROR((VLOOKUP($A700,HeadJournal!$A$1:$K$890,COLUMN(HeadJournal!K$1),0)-VLOOKUP($A700,HeadJournal!$A$1:$K$890,COLUMN(HeadJournal!J$1),0))*($K700+$L700)/(SUMIF($A:$A,$A700,$K:$K)+SUMIF($A:$A,$A700,$L:$L)),0)</f>
        <v>-2.3502995319058866</v>
      </c>
      <c r="O700" s="30">
        <f>IFERROR((VLOOKUP($A700,HeadJournal!$A$1:$L$890,COLUMN(HeadJournal!L$1),0)*($K700+$L700)/(SUMIF($A:$A,$A700,$K:$K)+SUMIF($A:$A,$A700,$L:$L)))/VLOOKUP($A700,HeadJournal!$A$1:$L$890,COLUMN(HeadJournal!H$1),0),0)</f>
        <v>0</v>
      </c>
      <c r="P700" s="30">
        <f>IFERROR(SUM(K700:O700)*VLOOKUP($A700,HeadJournal!$A$1:$L$890,COLUMN(HeadJournal!H$1),0),0)</f>
        <v>911.84970046809417</v>
      </c>
      <c r="Q700" s="29">
        <v>2300</v>
      </c>
      <c r="R700" s="31">
        <v>45006</v>
      </c>
      <c r="S700" s="31" t="s">
        <v>3121</v>
      </c>
      <c r="T700" s="95" t="str">
        <f t="shared" si="55"/>
        <v>2023 03</v>
      </c>
      <c r="U700" s="32">
        <f t="shared" si="52"/>
        <v>1388.1502995319058</v>
      </c>
      <c r="V700" s="22">
        <f t="shared" si="53"/>
        <v>1.5223455124449838</v>
      </c>
      <c r="X700" s="33"/>
      <c r="Y700" s="33"/>
    </row>
    <row r="701" spans="1:25" x14ac:dyDescent="0.2">
      <c r="A701" s="93" t="s">
        <v>342</v>
      </c>
      <c r="B701" s="94">
        <f>IFERROR(VLOOKUP($A701,HeadJournal!$A$1:$NTR$890,COLUMN(HeadJournal!B$1),0),"")</f>
        <v>0</v>
      </c>
      <c r="C701" s="94" t="str">
        <f>IFERROR(VLOOKUP($A701,HeadJournal!$A$1:$NTR$890,COLUMN(HeadJournal!C$1),0),"")</f>
        <v>Roman</v>
      </c>
      <c r="D701" s="125" t="str">
        <f>IFERROR(VLOOKUP($A701,HeadJournal!$A$1:$NTR$890,COLUMN(HeadJournal!D$1),0),"")</f>
        <v>Доставлен</v>
      </c>
      <c r="E701" s="95">
        <f>IFERROR(VLOOKUP($A701,HeadJournal!$A$1:$NTR$890,COLUMN(HeadJournal!G$1),0),"")</f>
        <v>44938</v>
      </c>
      <c r="F701" s="95" t="str">
        <f t="shared" si="54"/>
        <v>2023 01</v>
      </c>
      <c r="G701" s="96" t="s">
        <v>5</v>
      </c>
      <c r="H701" s="161" t="s">
        <v>2051</v>
      </c>
      <c r="I701" s="97" t="s">
        <v>2052</v>
      </c>
      <c r="J701" s="97" t="s">
        <v>3097</v>
      </c>
      <c r="K701" s="29">
        <v>914.2</v>
      </c>
      <c r="L701" s="29"/>
      <c r="M701" s="30">
        <f>IFERROR(VLOOKUP($A701,HeadJournal!$A$1:$J$890,COLUMN(HeadJournal!I$1),0)*($K701+$L701)/(SUMIF($A:$A,$A701,$K:$K)+SUMIF($A:$A,$A701,$L:$L)),0)</f>
        <v>0</v>
      </c>
      <c r="N701" s="30">
        <f>IFERROR((VLOOKUP($A701,HeadJournal!$A$1:$K$890,COLUMN(HeadJournal!K$1),0)-VLOOKUP($A701,HeadJournal!$A$1:$K$890,COLUMN(HeadJournal!J$1),0))*($K701+$L701)/(SUMIF($A:$A,$A701,$K:$K)+SUMIF($A:$A,$A701,$L:$L)),0)</f>
        <v>-2.3502995319058866</v>
      </c>
      <c r="O701" s="30">
        <f>IFERROR((VLOOKUP($A701,HeadJournal!$A$1:$L$890,COLUMN(HeadJournal!L$1),0)*($K701+$L701)/(SUMIF($A:$A,$A701,$K:$K)+SUMIF($A:$A,$A701,$L:$L)))/VLOOKUP($A701,HeadJournal!$A$1:$L$890,COLUMN(HeadJournal!H$1),0),0)</f>
        <v>0</v>
      </c>
      <c r="P701" s="30">
        <f>IFERROR(SUM(K701:O701)*VLOOKUP($A701,HeadJournal!$A$1:$L$890,COLUMN(HeadJournal!H$1),0),0)</f>
        <v>911.84970046809417</v>
      </c>
      <c r="Q701" s="29">
        <v>2200</v>
      </c>
      <c r="R701" s="31">
        <v>45012</v>
      </c>
      <c r="S701" s="31" t="s">
        <v>3121</v>
      </c>
      <c r="T701" s="95" t="str">
        <f t="shared" si="55"/>
        <v>2023 03</v>
      </c>
      <c r="U701" s="32">
        <f t="shared" si="52"/>
        <v>1288.1502995319058</v>
      </c>
      <c r="V701" s="22">
        <f t="shared" si="53"/>
        <v>1.4126783162517236</v>
      </c>
      <c r="X701" s="33"/>
      <c r="Y701" s="33"/>
    </row>
    <row r="702" spans="1:25" x14ac:dyDescent="0.2">
      <c r="A702" s="93" t="s">
        <v>342</v>
      </c>
      <c r="B702" s="94">
        <f>IFERROR(VLOOKUP($A702,HeadJournal!$A$1:$NTR$890,COLUMN(HeadJournal!B$1),0),"")</f>
        <v>0</v>
      </c>
      <c r="C702" s="94" t="str">
        <f>IFERROR(VLOOKUP($A702,HeadJournal!$A$1:$NTR$890,COLUMN(HeadJournal!C$1),0),"")</f>
        <v>Roman</v>
      </c>
      <c r="D702" s="125" t="str">
        <f>IFERROR(VLOOKUP($A702,HeadJournal!$A$1:$NTR$890,COLUMN(HeadJournal!D$1),0),"")</f>
        <v>Доставлен</v>
      </c>
      <c r="E702" s="95">
        <f>IFERROR(VLOOKUP($A702,HeadJournal!$A$1:$NTR$890,COLUMN(HeadJournal!G$1),0),"")</f>
        <v>44938</v>
      </c>
      <c r="F702" s="95" t="str">
        <f t="shared" si="54"/>
        <v>2023 01</v>
      </c>
      <c r="G702" s="96" t="s">
        <v>5</v>
      </c>
      <c r="H702" s="161" t="s">
        <v>2051</v>
      </c>
      <c r="I702" s="97" t="s">
        <v>2052</v>
      </c>
      <c r="J702" s="97" t="s">
        <v>3097</v>
      </c>
      <c r="K702" s="29">
        <v>914.2</v>
      </c>
      <c r="L702" s="29"/>
      <c r="M702" s="30">
        <f>IFERROR(VLOOKUP($A702,HeadJournal!$A$1:$J$890,COLUMN(HeadJournal!I$1),0)*($K702+$L702)/(SUMIF($A:$A,$A702,$K:$K)+SUMIF($A:$A,$A702,$L:$L)),0)</f>
        <v>0</v>
      </c>
      <c r="N702" s="30">
        <f>IFERROR((VLOOKUP($A702,HeadJournal!$A$1:$K$890,COLUMN(HeadJournal!K$1),0)-VLOOKUP($A702,HeadJournal!$A$1:$K$890,COLUMN(HeadJournal!J$1),0))*($K702+$L702)/(SUMIF($A:$A,$A702,$K:$K)+SUMIF($A:$A,$A702,$L:$L)),0)</f>
        <v>-2.3502995319058866</v>
      </c>
      <c r="O702" s="30">
        <f>IFERROR((VLOOKUP($A702,HeadJournal!$A$1:$L$890,COLUMN(HeadJournal!L$1),0)*($K702+$L702)/(SUMIF($A:$A,$A702,$K:$K)+SUMIF($A:$A,$A702,$L:$L)))/VLOOKUP($A702,HeadJournal!$A$1:$L$890,COLUMN(HeadJournal!H$1),0),0)</f>
        <v>0</v>
      </c>
      <c r="P702" s="30">
        <f>IFERROR(SUM(K702:O702)*VLOOKUP($A702,HeadJournal!$A$1:$L$890,COLUMN(HeadJournal!H$1),0),0)</f>
        <v>911.84970046809417</v>
      </c>
      <c r="Q702" s="29">
        <v>2300</v>
      </c>
      <c r="R702" s="31">
        <v>45014</v>
      </c>
      <c r="S702" s="31" t="s">
        <v>3121</v>
      </c>
      <c r="T702" s="95" t="str">
        <f t="shared" si="55"/>
        <v>2023 03</v>
      </c>
      <c r="U702" s="32">
        <f t="shared" si="52"/>
        <v>1388.1502995319058</v>
      </c>
      <c r="V702" s="22">
        <f t="shared" si="53"/>
        <v>1.5223455124449838</v>
      </c>
      <c r="X702" s="33"/>
      <c r="Y702" s="33"/>
    </row>
    <row r="703" spans="1:25" x14ac:dyDescent="0.2">
      <c r="A703" s="93" t="s">
        <v>342</v>
      </c>
      <c r="B703" s="94">
        <f>IFERROR(VLOOKUP($A703,HeadJournal!$A$1:$NTR$890,COLUMN(HeadJournal!B$1),0),"")</f>
        <v>0</v>
      </c>
      <c r="C703" s="94" t="str">
        <f>IFERROR(VLOOKUP($A703,HeadJournal!$A$1:$NTR$890,COLUMN(HeadJournal!C$1),0),"")</f>
        <v>Roman</v>
      </c>
      <c r="D703" s="125" t="str">
        <f>IFERROR(VLOOKUP($A703,HeadJournal!$A$1:$NTR$890,COLUMN(HeadJournal!D$1),0),"")</f>
        <v>Доставлен</v>
      </c>
      <c r="E703" s="95">
        <f>IFERROR(VLOOKUP($A703,HeadJournal!$A$1:$NTR$890,COLUMN(HeadJournal!G$1),0),"")</f>
        <v>44938</v>
      </c>
      <c r="F703" s="95" t="str">
        <f t="shared" si="54"/>
        <v>2023 01</v>
      </c>
      <c r="G703" s="96" t="s">
        <v>5</v>
      </c>
      <c r="H703" s="161" t="s">
        <v>2051</v>
      </c>
      <c r="I703" s="97" t="s">
        <v>2052</v>
      </c>
      <c r="J703" s="97" t="s">
        <v>3097</v>
      </c>
      <c r="K703" s="29">
        <v>914.2</v>
      </c>
      <c r="L703" s="29"/>
      <c r="M703" s="30">
        <f>IFERROR(VLOOKUP($A703,HeadJournal!$A$1:$J$890,COLUMN(HeadJournal!I$1),0)*($K703+$L703)/(SUMIF($A:$A,$A703,$K:$K)+SUMIF($A:$A,$A703,$L:$L)),0)</f>
        <v>0</v>
      </c>
      <c r="N703" s="30">
        <f>IFERROR((VLOOKUP($A703,HeadJournal!$A$1:$K$890,COLUMN(HeadJournal!K$1),0)-VLOOKUP($A703,HeadJournal!$A$1:$K$890,COLUMN(HeadJournal!J$1),0))*($K703+$L703)/(SUMIF($A:$A,$A703,$K:$K)+SUMIF($A:$A,$A703,$L:$L)),0)</f>
        <v>-2.3502995319058866</v>
      </c>
      <c r="O703" s="30">
        <f>IFERROR((VLOOKUP($A703,HeadJournal!$A$1:$L$890,COLUMN(HeadJournal!L$1),0)*($K703+$L703)/(SUMIF($A:$A,$A703,$K:$K)+SUMIF($A:$A,$A703,$L:$L)))/VLOOKUP($A703,HeadJournal!$A$1:$L$890,COLUMN(HeadJournal!H$1),0),0)</f>
        <v>0</v>
      </c>
      <c r="P703" s="30">
        <f>IFERROR(SUM(K703:O703)*VLOOKUP($A703,HeadJournal!$A$1:$L$890,COLUMN(HeadJournal!H$1),0),0)</f>
        <v>911.84970046809417</v>
      </c>
      <c r="Q703" s="29">
        <v>2300</v>
      </c>
      <c r="R703" s="31">
        <v>45014</v>
      </c>
      <c r="S703" s="31" t="s">
        <v>3121</v>
      </c>
      <c r="T703" s="95" t="str">
        <f t="shared" si="55"/>
        <v>2023 03</v>
      </c>
      <c r="U703" s="32">
        <f t="shared" si="52"/>
        <v>1388.1502995319058</v>
      </c>
      <c r="V703" s="22">
        <f t="shared" si="53"/>
        <v>1.5223455124449838</v>
      </c>
      <c r="X703" s="33"/>
      <c r="Y703" s="33"/>
    </row>
    <row r="704" spans="1:25" x14ac:dyDescent="0.2">
      <c r="A704" s="93" t="s">
        <v>342</v>
      </c>
      <c r="B704" s="94">
        <f>IFERROR(VLOOKUP($A704,HeadJournal!$A$1:$NTR$890,COLUMN(HeadJournal!B$1),0),"")</f>
        <v>0</v>
      </c>
      <c r="C704" s="94" t="str">
        <f>IFERROR(VLOOKUP($A704,HeadJournal!$A$1:$NTR$890,COLUMN(HeadJournal!C$1),0),"")</f>
        <v>Roman</v>
      </c>
      <c r="D704" s="125" t="str">
        <f>IFERROR(VLOOKUP($A704,HeadJournal!$A$1:$NTR$890,COLUMN(HeadJournal!D$1),0),"")</f>
        <v>Доставлен</v>
      </c>
      <c r="E704" s="95">
        <f>IFERROR(VLOOKUP($A704,HeadJournal!$A$1:$NTR$890,COLUMN(HeadJournal!G$1),0),"")</f>
        <v>44938</v>
      </c>
      <c r="F704" s="95" t="str">
        <f t="shared" si="54"/>
        <v>2023 01</v>
      </c>
      <c r="G704" s="96" t="s">
        <v>5</v>
      </c>
      <c r="H704" s="161" t="s">
        <v>2051</v>
      </c>
      <c r="I704" s="97" t="s">
        <v>2052</v>
      </c>
      <c r="J704" s="97" t="s">
        <v>3097</v>
      </c>
      <c r="K704" s="29">
        <v>914.2</v>
      </c>
      <c r="L704" s="29"/>
      <c r="M704" s="30">
        <f>IFERROR(VLOOKUP($A704,HeadJournal!$A$1:$J$890,COLUMN(HeadJournal!I$1),0)*($K704+$L704)/(SUMIF($A:$A,$A704,$K:$K)+SUMIF($A:$A,$A704,$L:$L)),0)</f>
        <v>0</v>
      </c>
      <c r="N704" s="30">
        <f>IFERROR((VLOOKUP($A704,HeadJournal!$A$1:$K$890,COLUMN(HeadJournal!K$1),0)-VLOOKUP($A704,HeadJournal!$A$1:$K$890,COLUMN(HeadJournal!J$1),0))*($K704+$L704)/(SUMIF($A:$A,$A704,$K:$K)+SUMIF($A:$A,$A704,$L:$L)),0)</f>
        <v>-2.3502995319058866</v>
      </c>
      <c r="O704" s="30">
        <f>IFERROR((VLOOKUP($A704,HeadJournal!$A$1:$L$890,COLUMN(HeadJournal!L$1),0)*($K704+$L704)/(SUMIF($A:$A,$A704,$K:$K)+SUMIF($A:$A,$A704,$L:$L)))/VLOOKUP($A704,HeadJournal!$A$1:$L$890,COLUMN(HeadJournal!H$1),0),0)</f>
        <v>0</v>
      </c>
      <c r="P704" s="30">
        <f>IFERROR(SUM(K704:O704)*VLOOKUP($A704,HeadJournal!$A$1:$L$890,COLUMN(HeadJournal!H$1),0),0)</f>
        <v>911.84970046809417</v>
      </c>
      <c r="Q704" s="29">
        <v>2300</v>
      </c>
      <c r="R704" s="31">
        <v>45023</v>
      </c>
      <c r="S704" s="31" t="s">
        <v>3121</v>
      </c>
      <c r="T704" s="95" t="str">
        <f t="shared" si="55"/>
        <v>2023 04</v>
      </c>
      <c r="U704" s="32">
        <f t="shared" si="52"/>
        <v>1388.1502995319058</v>
      </c>
      <c r="V704" s="22">
        <f t="shared" si="53"/>
        <v>1.5223455124449838</v>
      </c>
      <c r="X704" s="33"/>
      <c r="Y704" s="33"/>
    </row>
    <row r="705" spans="1:25" x14ac:dyDescent="0.2">
      <c r="A705" s="93" t="s">
        <v>342</v>
      </c>
      <c r="B705" s="94">
        <f>IFERROR(VLOOKUP($A705,HeadJournal!$A$1:$NTR$890,COLUMN(HeadJournal!B$1),0),"")</f>
        <v>0</v>
      </c>
      <c r="C705" s="94" t="str">
        <f>IFERROR(VLOOKUP($A705,HeadJournal!$A$1:$NTR$890,COLUMN(HeadJournal!C$1),0),"")</f>
        <v>Roman</v>
      </c>
      <c r="D705" s="125" t="str">
        <f>IFERROR(VLOOKUP($A705,HeadJournal!$A$1:$NTR$890,COLUMN(HeadJournal!D$1),0),"")</f>
        <v>Доставлен</v>
      </c>
      <c r="E705" s="95">
        <f>IFERROR(VLOOKUP($A705,HeadJournal!$A$1:$NTR$890,COLUMN(HeadJournal!G$1),0),"")</f>
        <v>44938</v>
      </c>
      <c r="F705" s="95" t="str">
        <f t="shared" si="54"/>
        <v>2023 01</v>
      </c>
      <c r="G705" s="96" t="s">
        <v>5</v>
      </c>
      <c r="H705" s="161" t="s">
        <v>3011</v>
      </c>
      <c r="I705" s="97" t="s">
        <v>2052</v>
      </c>
      <c r="J705" s="97" t="s">
        <v>3012</v>
      </c>
      <c r="K705" s="29">
        <v>100</v>
      </c>
      <c r="L705" s="29"/>
      <c r="M705" s="30">
        <f>IFERROR(VLOOKUP($A705,HeadJournal!$A$1:$J$890,COLUMN(HeadJournal!I$1),0)*($K705+$L705)/(SUMIF($A:$A,$A705,$K:$K)+SUMIF($A:$A,$A705,$L:$L)),0)</f>
        <v>0</v>
      </c>
      <c r="N705" s="30">
        <f>IFERROR((VLOOKUP($A705,HeadJournal!$A$1:$K$890,COLUMN(HeadJournal!K$1),0)-VLOOKUP($A705,HeadJournal!$A$1:$K$890,COLUMN(HeadJournal!J$1),0))*($K705+$L705)/(SUMIF($A:$A,$A705,$K:$K)+SUMIF($A:$A,$A705,$L:$L)),0)</f>
        <v>-0.25708811331282944</v>
      </c>
      <c r="O705" s="30">
        <f>IFERROR((VLOOKUP($A705,HeadJournal!$A$1:$L$890,COLUMN(HeadJournal!L$1),0)*($K705+$L705)/(SUMIF($A:$A,$A705,$K:$K)+SUMIF($A:$A,$A705,$L:$L)))/VLOOKUP($A705,HeadJournal!$A$1:$L$890,COLUMN(HeadJournal!H$1),0),0)</f>
        <v>0</v>
      </c>
      <c r="P705" s="30">
        <f>IFERROR(SUM(K705:O705)*VLOOKUP($A705,HeadJournal!$A$1:$L$890,COLUMN(HeadJournal!H$1),0),0)</f>
        <v>99.742911886687168</v>
      </c>
      <c r="Q705" s="29">
        <v>700</v>
      </c>
      <c r="R705" s="31">
        <v>44956</v>
      </c>
      <c r="S705" s="31" t="s">
        <v>3121</v>
      </c>
      <c r="T705" s="95" t="str">
        <f t="shared" si="55"/>
        <v>2023 01</v>
      </c>
      <c r="U705" s="32">
        <f t="shared" si="52"/>
        <v>600.25708811331288</v>
      </c>
      <c r="V705" s="22">
        <f t="shared" si="53"/>
        <v>6.0180425531914921</v>
      </c>
      <c r="X705" s="33"/>
      <c r="Y705" s="33"/>
    </row>
    <row r="706" spans="1:25" x14ac:dyDescent="0.2">
      <c r="A706" s="93" t="s">
        <v>342</v>
      </c>
      <c r="B706" s="94">
        <f>IFERROR(VLOOKUP($A706,HeadJournal!$A$1:$NTR$890,COLUMN(HeadJournal!B$1),0),"")</f>
        <v>0</v>
      </c>
      <c r="C706" s="94" t="str">
        <f>IFERROR(VLOOKUP($A706,HeadJournal!$A$1:$NTR$890,COLUMN(HeadJournal!C$1),0),"")</f>
        <v>Roman</v>
      </c>
      <c r="D706" s="125" t="str">
        <f>IFERROR(VLOOKUP($A706,HeadJournal!$A$1:$NTR$890,COLUMN(HeadJournal!D$1),0),"")</f>
        <v>Доставлен</v>
      </c>
      <c r="E706" s="95">
        <f>IFERROR(VLOOKUP($A706,HeadJournal!$A$1:$NTR$890,COLUMN(HeadJournal!G$1),0),"")</f>
        <v>44938</v>
      </c>
      <c r="F706" s="95" t="str">
        <f t="shared" si="54"/>
        <v>2023 01</v>
      </c>
      <c r="G706" s="96" t="s">
        <v>5</v>
      </c>
      <c r="H706" s="161" t="s">
        <v>3011</v>
      </c>
      <c r="I706" s="97" t="s">
        <v>2052</v>
      </c>
      <c r="J706" s="97" t="s">
        <v>3012</v>
      </c>
      <c r="K706" s="29">
        <v>100</v>
      </c>
      <c r="L706" s="29"/>
      <c r="M706" s="30">
        <f>IFERROR(VLOOKUP($A706,HeadJournal!$A$1:$J$890,COLUMN(HeadJournal!I$1),0)*($K706+$L706)/(SUMIF($A:$A,$A706,$K:$K)+SUMIF($A:$A,$A706,$L:$L)),0)</f>
        <v>0</v>
      </c>
      <c r="N706" s="30">
        <f>IFERROR((VLOOKUP($A706,HeadJournal!$A$1:$K$890,COLUMN(HeadJournal!K$1),0)-VLOOKUP($A706,HeadJournal!$A$1:$K$890,COLUMN(HeadJournal!J$1),0))*($K706+$L706)/(SUMIF($A:$A,$A706,$K:$K)+SUMIF($A:$A,$A706,$L:$L)),0)</f>
        <v>-0.25708811331282944</v>
      </c>
      <c r="O706" s="30">
        <f>IFERROR((VLOOKUP($A706,HeadJournal!$A$1:$L$890,COLUMN(HeadJournal!L$1),0)*($K706+$L706)/(SUMIF($A:$A,$A706,$K:$K)+SUMIF($A:$A,$A706,$L:$L)))/VLOOKUP($A706,HeadJournal!$A$1:$L$890,COLUMN(HeadJournal!H$1),0),0)</f>
        <v>0</v>
      </c>
      <c r="P706" s="30">
        <f>IFERROR(SUM(K706:O706)*VLOOKUP($A706,HeadJournal!$A$1:$L$890,COLUMN(HeadJournal!H$1),0),0)</f>
        <v>99.742911886687168</v>
      </c>
      <c r="Q706" s="29">
        <v>800</v>
      </c>
      <c r="R706" s="31">
        <v>44973</v>
      </c>
      <c r="S706" s="31" t="s">
        <v>3121</v>
      </c>
      <c r="T706" s="95" t="str">
        <f t="shared" si="55"/>
        <v>2023 02</v>
      </c>
      <c r="U706" s="32">
        <f t="shared" si="52"/>
        <v>700.25708811331288</v>
      </c>
      <c r="V706" s="22">
        <f t="shared" si="53"/>
        <v>7.0206200607902769</v>
      </c>
      <c r="X706" s="33"/>
      <c r="Y706" s="33"/>
    </row>
    <row r="707" spans="1:25" x14ac:dyDescent="0.2">
      <c r="A707" s="93" t="s">
        <v>342</v>
      </c>
      <c r="B707" s="94">
        <f>IFERROR(VLOOKUP($A707,HeadJournal!$A$1:$NTR$890,COLUMN(HeadJournal!B$1),0),"")</f>
        <v>0</v>
      </c>
      <c r="C707" s="94" t="str">
        <f>IFERROR(VLOOKUP($A707,HeadJournal!$A$1:$NTR$890,COLUMN(HeadJournal!C$1),0),"")</f>
        <v>Roman</v>
      </c>
      <c r="D707" s="125" t="str">
        <f>IFERROR(VLOOKUP($A707,HeadJournal!$A$1:$NTR$890,COLUMN(HeadJournal!D$1),0),"")</f>
        <v>Доставлен</v>
      </c>
      <c r="E707" s="95">
        <f>IFERROR(VLOOKUP($A707,HeadJournal!$A$1:$NTR$890,COLUMN(HeadJournal!G$1),0),"")</f>
        <v>44938</v>
      </c>
      <c r="F707" s="95" t="str">
        <f t="shared" si="54"/>
        <v>2023 01</v>
      </c>
      <c r="G707" s="96" t="s">
        <v>5</v>
      </c>
      <c r="H707" s="161" t="s">
        <v>3011</v>
      </c>
      <c r="I707" s="97" t="s">
        <v>2052</v>
      </c>
      <c r="J707" s="97" t="s">
        <v>3012</v>
      </c>
      <c r="K707" s="29">
        <v>100</v>
      </c>
      <c r="L707" s="29"/>
      <c r="M707" s="30">
        <f>IFERROR(VLOOKUP($A707,HeadJournal!$A$1:$J$890,COLUMN(HeadJournal!I$1),0)*($K707+$L707)/(SUMIF($A:$A,$A707,$K:$K)+SUMIF($A:$A,$A707,$L:$L)),0)</f>
        <v>0</v>
      </c>
      <c r="N707" s="30">
        <f>IFERROR((VLOOKUP($A707,HeadJournal!$A$1:$K$890,COLUMN(HeadJournal!K$1),0)-VLOOKUP($A707,HeadJournal!$A$1:$K$890,COLUMN(HeadJournal!J$1),0))*($K707+$L707)/(SUMIF($A:$A,$A707,$K:$K)+SUMIF($A:$A,$A707,$L:$L)),0)</f>
        <v>-0.25708811331282944</v>
      </c>
      <c r="O707" s="30">
        <f>IFERROR((VLOOKUP($A707,HeadJournal!$A$1:$L$890,COLUMN(HeadJournal!L$1),0)*($K707+$L707)/(SUMIF($A:$A,$A707,$K:$K)+SUMIF($A:$A,$A707,$L:$L)))/VLOOKUP($A707,HeadJournal!$A$1:$L$890,COLUMN(HeadJournal!H$1),0),0)</f>
        <v>0</v>
      </c>
      <c r="P707" s="30">
        <f>IFERROR(SUM(K707:O707)*VLOOKUP($A707,HeadJournal!$A$1:$L$890,COLUMN(HeadJournal!H$1),0),0)</f>
        <v>99.742911886687168</v>
      </c>
      <c r="Q707" s="29">
        <v>800</v>
      </c>
      <c r="R707" s="31">
        <v>45020</v>
      </c>
      <c r="S707" s="31" t="s">
        <v>3121</v>
      </c>
      <c r="T707" s="95" t="str">
        <f t="shared" si="55"/>
        <v>2023 04</v>
      </c>
      <c r="U707" s="32">
        <f t="shared" ref="U707:U770" si="56">Q707-P707</f>
        <v>700.25708811331288</v>
      </c>
      <c r="V707" s="22">
        <f t="shared" ref="V707:V770" si="57">IF(Q707&lt;&gt;0,IFERROR(U707/P707,""),"")</f>
        <v>7.0206200607902769</v>
      </c>
      <c r="X707" s="33"/>
      <c r="Y707" s="33"/>
    </row>
    <row r="708" spans="1:25" x14ac:dyDescent="0.2">
      <c r="A708" s="93" t="s">
        <v>342</v>
      </c>
      <c r="B708" s="94">
        <f>IFERROR(VLOOKUP($A708,HeadJournal!$A$1:$NTR$890,COLUMN(HeadJournal!B$1),0),"")</f>
        <v>0</v>
      </c>
      <c r="C708" s="94" t="str">
        <f>IFERROR(VLOOKUP($A708,HeadJournal!$A$1:$NTR$890,COLUMN(HeadJournal!C$1),0),"")</f>
        <v>Roman</v>
      </c>
      <c r="D708" s="125" t="str">
        <f>IFERROR(VLOOKUP($A708,HeadJournal!$A$1:$NTR$890,COLUMN(HeadJournal!D$1),0),"")</f>
        <v>Доставлен</v>
      </c>
      <c r="E708" s="95">
        <f>IFERROR(VLOOKUP($A708,HeadJournal!$A$1:$NTR$890,COLUMN(HeadJournal!G$1),0),"")</f>
        <v>44938</v>
      </c>
      <c r="F708" s="95" t="str">
        <f t="shared" ref="F708:F771" si="58">IFERROR(TEXT(E708, "ГГГГ ММ"),"")</f>
        <v>2023 01</v>
      </c>
      <c r="G708" s="96" t="s">
        <v>5</v>
      </c>
      <c r="H708" s="161" t="s">
        <v>2127</v>
      </c>
      <c r="I708" s="97" t="s">
        <v>2125</v>
      </c>
      <c r="J708" s="97" t="s">
        <v>2128</v>
      </c>
      <c r="K708" s="29">
        <v>420</v>
      </c>
      <c r="L708" s="29"/>
      <c r="M708" s="30">
        <f>IFERROR(VLOOKUP($A708,HeadJournal!$A$1:$J$890,COLUMN(HeadJournal!I$1),0)*($K708+$L708)/(SUMIF($A:$A,$A708,$K:$K)+SUMIF($A:$A,$A708,$L:$L)),0)</f>
        <v>0</v>
      </c>
      <c r="N708" s="30">
        <f>IFERROR((VLOOKUP($A708,HeadJournal!$A$1:$K$890,COLUMN(HeadJournal!K$1),0)-VLOOKUP($A708,HeadJournal!$A$1:$K$890,COLUMN(HeadJournal!J$1),0))*($K708+$L708)/(SUMIF($A:$A,$A708,$K:$K)+SUMIF($A:$A,$A708,$L:$L)),0)</f>
        <v>-1.0797700759138835</v>
      </c>
      <c r="O708" s="30">
        <f>IFERROR((VLOOKUP($A708,HeadJournal!$A$1:$L$890,COLUMN(HeadJournal!L$1),0)*($K708+$L708)/(SUMIF($A:$A,$A708,$K:$K)+SUMIF($A:$A,$A708,$L:$L)))/VLOOKUP($A708,HeadJournal!$A$1:$L$890,COLUMN(HeadJournal!H$1),0),0)</f>
        <v>0</v>
      </c>
      <c r="P708" s="30">
        <f>IFERROR(SUM(K708:O708)*VLOOKUP($A708,HeadJournal!$A$1:$L$890,COLUMN(HeadJournal!H$1),0),0)</f>
        <v>418.92022992408613</v>
      </c>
      <c r="Q708" s="29">
        <v>1200</v>
      </c>
      <c r="R708" s="31">
        <v>44945</v>
      </c>
      <c r="S708" s="31" t="s">
        <v>3121</v>
      </c>
      <c r="T708" s="95" t="str">
        <f t="shared" ref="T708:T771" si="59">IF(R708="","",TEXT(R708,"ГГГГ ММ"))</f>
        <v>2023 01</v>
      </c>
      <c r="U708" s="32">
        <f t="shared" si="56"/>
        <v>781.07977007591387</v>
      </c>
      <c r="V708" s="22">
        <f t="shared" si="57"/>
        <v>1.8645071645679556</v>
      </c>
      <c r="X708" s="33"/>
      <c r="Y708" s="33"/>
    </row>
    <row r="709" spans="1:25" x14ac:dyDescent="0.2">
      <c r="A709" s="93" t="s">
        <v>342</v>
      </c>
      <c r="B709" s="94">
        <f>IFERROR(VLOOKUP($A709,HeadJournal!$A$1:$NTR$890,COLUMN(HeadJournal!B$1),0),"")</f>
        <v>0</v>
      </c>
      <c r="C709" s="94" t="str">
        <f>IFERROR(VLOOKUP($A709,HeadJournal!$A$1:$NTR$890,COLUMN(HeadJournal!C$1),0),"")</f>
        <v>Roman</v>
      </c>
      <c r="D709" s="125" t="str">
        <f>IFERROR(VLOOKUP($A709,HeadJournal!$A$1:$NTR$890,COLUMN(HeadJournal!D$1),0),"")</f>
        <v>Доставлен</v>
      </c>
      <c r="E709" s="95">
        <f>IFERROR(VLOOKUP($A709,HeadJournal!$A$1:$NTR$890,COLUMN(HeadJournal!G$1),0),"")</f>
        <v>44938</v>
      </c>
      <c r="F709" s="95" t="str">
        <f t="shared" si="58"/>
        <v>2023 01</v>
      </c>
      <c r="G709" s="96" t="s">
        <v>7</v>
      </c>
      <c r="H709" s="160" t="s">
        <v>3730</v>
      </c>
      <c r="I709" s="96" t="str">
        <f t="shared" ref="I709:I770" si="60">IFERROR(LEFT(J709,FIND(",",J709)-1),"")</f>
        <v>EYENLIP</v>
      </c>
      <c r="J709" s="97" t="s">
        <v>292</v>
      </c>
      <c r="K709" s="29">
        <v>28</v>
      </c>
      <c r="L709" s="29"/>
      <c r="M709" s="30">
        <f>IFERROR(VLOOKUP($A709,HeadJournal!$A$1:$J$890,COLUMN(HeadJournal!I$1),0)*($K709+$L709)/(SUMIF($A:$A,$A709,$K:$K)+SUMIF($A:$A,$A709,$L:$L)),0)</f>
        <v>0</v>
      </c>
      <c r="N709" s="30">
        <f>IFERROR((VLOOKUP($A709,HeadJournal!$A$1:$K$890,COLUMN(HeadJournal!K$1),0)-VLOOKUP($A709,HeadJournal!$A$1:$K$890,COLUMN(HeadJournal!J$1),0))*($K709+$L709)/(SUMIF($A:$A,$A709,$K:$K)+SUMIF($A:$A,$A709,$L:$L)),0)</f>
        <v>-7.1984671727592237E-2</v>
      </c>
      <c r="O709" s="30">
        <f>IFERROR((VLOOKUP($A709,HeadJournal!$A$1:$L$890,COLUMN(HeadJournal!L$1),0)*($K709+$L709)/(SUMIF($A:$A,$A709,$K:$K)+SUMIF($A:$A,$A709,$L:$L)))/VLOOKUP($A709,HeadJournal!$A$1:$L$890,COLUMN(HeadJournal!H$1),0),0)</f>
        <v>0</v>
      </c>
      <c r="P709" s="30">
        <f>IFERROR(SUM(K709:O709)*VLOOKUP($A709,HeadJournal!$A$1:$L$890,COLUMN(HeadJournal!H$1),0),0)</f>
        <v>27.928015328272409</v>
      </c>
      <c r="Q709" s="29">
        <v>75</v>
      </c>
      <c r="R709" s="31">
        <v>44958</v>
      </c>
      <c r="S709" s="31" t="s">
        <v>3121</v>
      </c>
      <c r="T709" s="95" t="str">
        <f t="shared" si="59"/>
        <v>2023 02</v>
      </c>
      <c r="U709" s="32">
        <f t="shared" si="56"/>
        <v>47.071984671727591</v>
      </c>
      <c r="V709" s="22">
        <f t="shared" si="57"/>
        <v>1.6854754667824585</v>
      </c>
      <c r="X709" s="33"/>
      <c r="Y709" s="33"/>
    </row>
    <row r="710" spans="1:25" x14ac:dyDescent="0.2">
      <c r="A710" s="93" t="s">
        <v>342</v>
      </c>
      <c r="B710" s="94">
        <f>IFERROR(VLOOKUP($A710,HeadJournal!$A$1:$NTR$890,COLUMN(HeadJournal!B$1),0),"")</f>
        <v>0</v>
      </c>
      <c r="C710" s="94" t="str">
        <f>IFERROR(VLOOKUP($A710,HeadJournal!$A$1:$NTR$890,COLUMN(HeadJournal!C$1),0),"")</f>
        <v>Roman</v>
      </c>
      <c r="D710" s="125" t="str">
        <f>IFERROR(VLOOKUP($A710,HeadJournal!$A$1:$NTR$890,COLUMN(HeadJournal!D$1),0),"")</f>
        <v>Доставлен</v>
      </c>
      <c r="E710" s="95">
        <f>IFERROR(VLOOKUP($A710,HeadJournal!$A$1:$NTR$890,COLUMN(HeadJournal!G$1),0),"")</f>
        <v>44938</v>
      </c>
      <c r="F710" s="95" t="str">
        <f t="shared" si="58"/>
        <v>2023 01</v>
      </c>
      <c r="G710" s="96" t="s">
        <v>7</v>
      </c>
      <c r="H710" s="160" t="s">
        <v>3730</v>
      </c>
      <c r="I710" s="96" t="str">
        <f t="shared" si="60"/>
        <v>EYENLIP</v>
      </c>
      <c r="J710" s="97" t="s">
        <v>292</v>
      </c>
      <c r="K710" s="29">
        <v>28</v>
      </c>
      <c r="L710" s="29"/>
      <c r="M710" s="30">
        <f>IFERROR(VLOOKUP($A710,HeadJournal!$A$1:$J$890,COLUMN(HeadJournal!I$1),0)*($K710+$L710)/(SUMIF($A:$A,$A710,$K:$K)+SUMIF($A:$A,$A710,$L:$L)),0)</f>
        <v>0</v>
      </c>
      <c r="N710" s="30">
        <f>IFERROR((VLOOKUP($A710,HeadJournal!$A$1:$K$890,COLUMN(HeadJournal!K$1),0)-VLOOKUP($A710,HeadJournal!$A$1:$K$890,COLUMN(HeadJournal!J$1),0))*($K710+$L710)/(SUMIF($A:$A,$A710,$K:$K)+SUMIF($A:$A,$A710,$L:$L)),0)</f>
        <v>-7.1984671727592237E-2</v>
      </c>
      <c r="O710" s="30">
        <f>IFERROR((VLOOKUP($A710,HeadJournal!$A$1:$L$890,COLUMN(HeadJournal!L$1),0)*($K710+$L710)/(SUMIF($A:$A,$A710,$K:$K)+SUMIF($A:$A,$A710,$L:$L)))/VLOOKUP($A710,HeadJournal!$A$1:$L$890,COLUMN(HeadJournal!H$1),0),0)</f>
        <v>0</v>
      </c>
      <c r="P710" s="30">
        <f>IFERROR(SUM(K710:O710)*VLOOKUP($A710,HeadJournal!$A$1:$L$890,COLUMN(HeadJournal!H$1),0),0)</f>
        <v>27.928015328272409</v>
      </c>
      <c r="Q710" s="29">
        <v>75</v>
      </c>
      <c r="R710" s="31">
        <v>45006</v>
      </c>
      <c r="S710" s="31" t="s">
        <v>3121</v>
      </c>
      <c r="T710" s="95" t="str">
        <f t="shared" si="59"/>
        <v>2023 03</v>
      </c>
      <c r="U710" s="32">
        <f t="shared" si="56"/>
        <v>47.071984671727591</v>
      </c>
      <c r="V710" s="22">
        <f t="shared" si="57"/>
        <v>1.6854754667824585</v>
      </c>
      <c r="X710" s="33"/>
      <c r="Y710" s="33"/>
    </row>
    <row r="711" spans="1:25" x14ac:dyDescent="0.2">
      <c r="A711" s="93" t="s">
        <v>342</v>
      </c>
      <c r="B711" s="94">
        <f>IFERROR(VLOOKUP($A711,HeadJournal!$A$1:$NTR$890,COLUMN(HeadJournal!B$1),0),"")</f>
        <v>0</v>
      </c>
      <c r="C711" s="94" t="str">
        <f>IFERROR(VLOOKUP($A711,HeadJournal!$A$1:$NTR$890,COLUMN(HeadJournal!C$1),0),"")</f>
        <v>Roman</v>
      </c>
      <c r="D711" s="125" t="str">
        <f>IFERROR(VLOOKUP($A711,HeadJournal!$A$1:$NTR$890,COLUMN(HeadJournal!D$1),0),"")</f>
        <v>Доставлен</v>
      </c>
      <c r="E711" s="95">
        <f>IFERROR(VLOOKUP($A711,HeadJournal!$A$1:$NTR$890,COLUMN(HeadJournal!G$1),0),"")</f>
        <v>44938</v>
      </c>
      <c r="F711" s="95" t="str">
        <f t="shared" si="58"/>
        <v>2023 01</v>
      </c>
      <c r="G711" s="96" t="s">
        <v>7</v>
      </c>
      <c r="H711" s="160" t="s">
        <v>3730</v>
      </c>
      <c r="I711" s="96" t="str">
        <f t="shared" si="60"/>
        <v>EYENLIP</v>
      </c>
      <c r="J711" s="97" t="s">
        <v>292</v>
      </c>
      <c r="K711" s="29">
        <v>28</v>
      </c>
      <c r="L711" s="29"/>
      <c r="M711" s="30">
        <f>IFERROR(VLOOKUP($A711,HeadJournal!$A$1:$J$890,COLUMN(HeadJournal!I$1),0)*($K711+$L711)/(SUMIF($A:$A,$A711,$K:$K)+SUMIF($A:$A,$A711,$L:$L)),0)</f>
        <v>0</v>
      </c>
      <c r="N711" s="30">
        <f>IFERROR((VLOOKUP($A711,HeadJournal!$A$1:$K$890,COLUMN(HeadJournal!K$1),0)-VLOOKUP($A711,HeadJournal!$A$1:$K$890,COLUMN(HeadJournal!J$1),0))*($K711+$L711)/(SUMIF($A:$A,$A711,$K:$K)+SUMIF($A:$A,$A711,$L:$L)),0)</f>
        <v>-7.1984671727592237E-2</v>
      </c>
      <c r="O711" s="30">
        <f>IFERROR((VLOOKUP($A711,HeadJournal!$A$1:$L$890,COLUMN(HeadJournal!L$1),0)*($K711+$L711)/(SUMIF($A:$A,$A711,$K:$K)+SUMIF($A:$A,$A711,$L:$L)))/VLOOKUP($A711,HeadJournal!$A$1:$L$890,COLUMN(HeadJournal!H$1),0),0)</f>
        <v>0</v>
      </c>
      <c r="P711" s="30">
        <f>IFERROR(SUM(K711:O711)*VLOOKUP($A711,HeadJournal!$A$1:$L$890,COLUMN(HeadJournal!H$1),0),0)</f>
        <v>27.928015328272409</v>
      </c>
      <c r="Q711" s="29">
        <v>75</v>
      </c>
      <c r="R711" s="31">
        <v>45051</v>
      </c>
      <c r="S711" s="31" t="s">
        <v>3121</v>
      </c>
      <c r="T711" s="95" t="str">
        <f t="shared" si="59"/>
        <v>2023 05</v>
      </c>
      <c r="U711" s="32">
        <f t="shared" si="56"/>
        <v>47.071984671727591</v>
      </c>
      <c r="V711" s="22">
        <f t="shared" si="57"/>
        <v>1.6854754667824585</v>
      </c>
      <c r="X711" s="33"/>
      <c r="Y711" s="33"/>
    </row>
    <row r="712" spans="1:25" x14ac:dyDescent="0.2">
      <c r="A712" s="93" t="s">
        <v>342</v>
      </c>
      <c r="B712" s="94">
        <f>IFERROR(VLOOKUP($A712,HeadJournal!$A$1:$NTR$890,COLUMN(HeadJournal!B$1),0),"")</f>
        <v>0</v>
      </c>
      <c r="C712" s="94" t="str">
        <f>IFERROR(VLOOKUP($A712,HeadJournal!$A$1:$NTR$890,COLUMN(HeadJournal!C$1),0),"")</f>
        <v>Roman</v>
      </c>
      <c r="D712" s="125" t="str">
        <f>IFERROR(VLOOKUP($A712,HeadJournal!$A$1:$NTR$890,COLUMN(HeadJournal!D$1),0),"")</f>
        <v>Доставлен</v>
      </c>
      <c r="E712" s="95">
        <f>IFERROR(VLOOKUP($A712,HeadJournal!$A$1:$NTR$890,COLUMN(HeadJournal!G$1),0),"")</f>
        <v>44938</v>
      </c>
      <c r="F712" s="95" t="str">
        <f t="shared" si="58"/>
        <v>2023 01</v>
      </c>
      <c r="G712" s="96" t="s">
        <v>7</v>
      </c>
      <c r="H712" s="160" t="s">
        <v>3730</v>
      </c>
      <c r="I712" s="96" t="str">
        <f t="shared" si="60"/>
        <v>EYENLIP</v>
      </c>
      <c r="J712" s="97" t="s">
        <v>292</v>
      </c>
      <c r="K712" s="29">
        <v>28</v>
      </c>
      <c r="L712" s="29"/>
      <c r="M712" s="30">
        <f>IFERROR(VLOOKUP($A712,HeadJournal!$A$1:$J$890,COLUMN(HeadJournal!I$1),0)*($K712+$L712)/(SUMIF($A:$A,$A712,$K:$K)+SUMIF($A:$A,$A712,$L:$L)),0)</f>
        <v>0</v>
      </c>
      <c r="N712" s="30">
        <f>IFERROR((VLOOKUP($A712,HeadJournal!$A$1:$K$890,COLUMN(HeadJournal!K$1),0)-VLOOKUP($A712,HeadJournal!$A$1:$K$890,COLUMN(HeadJournal!J$1),0))*($K712+$L712)/(SUMIF($A:$A,$A712,$K:$K)+SUMIF($A:$A,$A712,$L:$L)),0)</f>
        <v>-7.1984671727592237E-2</v>
      </c>
      <c r="O712" s="30">
        <f>IFERROR((VLOOKUP($A712,HeadJournal!$A$1:$L$890,COLUMN(HeadJournal!L$1),0)*($K712+$L712)/(SUMIF($A:$A,$A712,$K:$K)+SUMIF($A:$A,$A712,$L:$L)))/VLOOKUP($A712,HeadJournal!$A$1:$L$890,COLUMN(HeadJournal!H$1),0),0)</f>
        <v>0</v>
      </c>
      <c r="P712" s="30">
        <f>IFERROR(SUM(K712:O712)*VLOOKUP($A712,HeadJournal!$A$1:$L$890,COLUMN(HeadJournal!H$1),0),0)</f>
        <v>27.928015328272409</v>
      </c>
      <c r="Q712" s="29">
        <v>75</v>
      </c>
      <c r="R712" s="31">
        <v>45051</v>
      </c>
      <c r="S712" s="31" t="s">
        <v>3121</v>
      </c>
      <c r="T712" s="95" t="str">
        <f t="shared" si="59"/>
        <v>2023 05</v>
      </c>
      <c r="U712" s="32">
        <f t="shared" si="56"/>
        <v>47.071984671727591</v>
      </c>
      <c r="V712" s="22">
        <f t="shared" si="57"/>
        <v>1.6854754667824585</v>
      </c>
      <c r="X712" s="33"/>
      <c r="Y712" s="33"/>
    </row>
    <row r="713" spans="1:25" x14ac:dyDescent="0.2">
      <c r="A713" s="93" t="s">
        <v>342</v>
      </c>
      <c r="B713" s="94">
        <f>IFERROR(VLOOKUP($A713,HeadJournal!$A$1:$NTR$890,COLUMN(HeadJournal!B$1),0),"")</f>
        <v>0</v>
      </c>
      <c r="C713" s="94" t="str">
        <f>IFERROR(VLOOKUP($A713,HeadJournal!$A$1:$NTR$890,COLUMN(HeadJournal!C$1),0),"")</f>
        <v>Roman</v>
      </c>
      <c r="D713" s="125" t="str">
        <f>IFERROR(VLOOKUP($A713,HeadJournal!$A$1:$NTR$890,COLUMN(HeadJournal!D$1),0),"")</f>
        <v>Доставлен</v>
      </c>
      <c r="E713" s="95">
        <f>IFERROR(VLOOKUP($A713,HeadJournal!$A$1:$NTR$890,COLUMN(HeadJournal!G$1),0),"")</f>
        <v>44938</v>
      </c>
      <c r="F713" s="95" t="str">
        <f t="shared" si="58"/>
        <v>2023 01</v>
      </c>
      <c r="G713" s="96" t="s">
        <v>7</v>
      </c>
      <c r="H713" s="160" t="s">
        <v>3730</v>
      </c>
      <c r="I713" s="96" t="str">
        <f t="shared" si="60"/>
        <v>EYENLIP</v>
      </c>
      <c r="J713" s="97" t="s">
        <v>292</v>
      </c>
      <c r="K713" s="29">
        <v>28</v>
      </c>
      <c r="L713" s="29"/>
      <c r="M713" s="30">
        <f>IFERROR(VLOOKUP($A713,HeadJournal!$A$1:$J$890,COLUMN(HeadJournal!I$1),0)*($K713+$L713)/(SUMIF($A:$A,$A713,$K:$K)+SUMIF($A:$A,$A713,$L:$L)),0)</f>
        <v>0</v>
      </c>
      <c r="N713" s="30">
        <f>IFERROR((VLOOKUP($A713,HeadJournal!$A$1:$K$890,COLUMN(HeadJournal!K$1),0)-VLOOKUP($A713,HeadJournal!$A$1:$K$890,COLUMN(HeadJournal!J$1),0))*($K713+$L713)/(SUMIF($A:$A,$A713,$K:$K)+SUMIF($A:$A,$A713,$L:$L)),0)</f>
        <v>-7.1984671727592237E-2</v>
      </c>
      <c r="O713" s="30">
        <f>IFERROR((VLOOKUP($A713,HeadJournal!$A$1:$L$890,COLUMN(HeadJournal!L$1),0)*($K713+$L713)/(SUMIF($A:$A,$A713,$K:$K)+SUMIF($A:$A,$A713,$L:$L)))/VLOOKUP($A713,HeadJournal!$A$1:$L$890,COLUMN(HeadJournal!H$1),0),0)</f>
        <v>0</v>
      </c>
      <c r="P713" s="30">
        <f>IFERROR(SUM(K713:O713)*VLOOKUP($A713,HeadJournal!$A$1:$L$890,COLUMN(HeadJournal!H$1),0),0)</f>
        <v>27.928015328272409</v>
      </c>
      <c r="Q713" s="29">
        <v>75</v>
      </c>
      <c r="R713" s="31">
        <v>45051</v>
      </c>
      <c r="S713" s="31" t="s">
        <v>3121</v>
      </c>
      <c r="T713" s="95" t="str">
        <f t="shared" si="59"/>
        <v>2023 05</v>
      </c>
      <c r="U713" s="32">
        <f t="shared" si="56"/>
        <v>47.071984671727591</v>
      </c>
      <c r="V713" s="22">
        <f t="shared" si="57"/>
        <v>1.6854754667824585</v>
      </c>
      <c r="X713" s="33"/>
      <c r="Y713" s="33"/>
    </row>
    <row r="714" spans="1:25" x14ac:dyDescent="0.2">
      <c r="A714" s="93" t="s">
        <v>342</v>
      </c>
      <c r="B714" s="94">
        <f>IFERROR(VLOOKUP($A714,HeadJournal!$A$1:$NTR$890,COLUMN(HeadJournal!B$1),0),"")</f>
        <v>0</v>
      </c>
      <c r="C714" s="94" t="str">
        <f>IFERROR(VLOOKUP($A714,HeadJournal!$A$1:$NTR$890,COLUMN(HeadJournal!C$1),0),"")</f>
        <v>Roman</v>
      </c>
      <c r="D714" s="125" t="str">
        <f>IFERROR(VLOOKUP($A714,HeadJournal!$A$1:$NTR$890,COLUMN(HeadJournal!D$1),0),"")</f>
        <v>Доставлен</v>
      </c>
      <c r="E714" s="95">
        <f>IFERROR(VLOOKUP($A714,HeadJournal!$A$1:$NTR$890,COLUMN(HeadJournal!G$1),0),"")</f>
        <v>44938</v>
      </c>
      <c r="F714" s="95" t="str">
        <f t="shared" si="58"/>
        <v>2023 01</v>
      </c>
      <c r="G714" s="96" t="s">
        <v>7</v>
      </c>
      <c r="H714" s="160" t="s">
        <v>3730</v>
      </c>
      <c r="I714" s="96" t="str">
        <f t="shared" si="60"/>
        <v>EYENLIP</v>
      </c>
      <c r="J714" s="97" t="s">
        <v>292</v>
      </c>
      <c r="K714" s="29">
        <v>28</v>
      </c>
      <c r="L714" s="29"/>
      <c r="M714" s="30">
        <f>IFERROR(VLOOKUP($A714,HeadJournal!$A$1:$J$890,COLUMN(HeadJournal!I$1),0)*($K714+$L714)/(SUMIF($A:$A,$A714,$K:$K)+SUMIF($A:$A,$A714,$L:$L)),0)</f>
        <v>0</v>
      </c>
      <c r="N714" s="30">
        <f>IFERROR((VLOOKUP($A714,HeadJournal!$A$1:$K$890,COLUMN(HeadJournal!K$1),0)-VLOOKUP($A714,HeadJournal!$A$1:$K$890,COLUMN(HeadJournal!J$1),0))*($K714+$L714)/(SUMIF($A:$A,$A714,$K:$K)+SUMIF($A:$A,$A714,$L:$L)),0)</f>
        <v>-7.1984671727592237E-2</v>
      </c>
      <c r="O714" s="30">
        <f>IFERROR((VLOOKUP($A714,HeadJournal!$A$1:$L$890,COLUMN(HeadJournal!L$1),0)*($K714+$L714)/(SUMIF($A:$A,$A714,$K:$K)+SUMIF($A:$A,$A714,$L:$L)))/VLOOKUP($A714,HeadJournal!$A$1:$L$890,COLUMN(HeadJournal!H$1),0),0)</f>
        <v>0</v>
      </c>
      <c r="P714" s="30">
        <f>IFERROR(SUM(K714:O714)*VLOOKUP($A714,HeadJournal!$A$1:$L$890,COLUMN(HeadJournal!H$1),0),0)</f>
        <v>27.928015328272409</v>
      </c>
      <c r="Q714" s="29">
        <v>75</v>
      </c>
      <c r="R714" s="31">
        <v>45051</v>
      </c>
      <c r="S714" s="31" t="s">
        <v>3121</v>
      </c>
      <c r="T714" s="95" t="str">
        <f t="shared" si="59"/>
        <v>2023 05</v>
      </c>
      <c r="U714" s="32">
        <f t="shared" si="56"/>
        <v>47.071984671727591</v>
      </c>
      <c r="V714" s="22">
        <f t="shared" si="57"/>
        <v>1.6854754667824585</v>
      </c>
      <c r="X714" s="33"/>
      <c r="Y714" s="33"/>
    </row>
    <row r="715" spans="1:25" x14ac:dyDescent="0.2">
      <c r="A715" s="93" t="s">
        <v>342</v>
      </c>
      <c r="B715" s="94">
        <f>IFERROR(VLOOKUP($A715,HeadJournal!$A$1:$NTR$890,COLUMN(HeadJournal!B$1),0),"")</f>
        <v>0</v>
      </c>
      <c r="C715" s="94" t="str">
        <f>IFERROR(VLOOKUP($A715,HeadJournal!$A$1:$NTR$890,COLUMN(HeadJournal!C$1),0),"")</f>
        <v>Roman</v>
      </c>
      <c r="D715" s="125" t="str">
        <f>IFERROR(VLOOKUP($A715,HeadJournal!$A$1:$NTR$890,COLUMN(HeadJournal!D$1),0),"")</f>
        <v>Доставлен</v>
      </c>
      <c r="E715" s="95">
        <f>IFERROR(VLOOKUP($A715,HeadJournal!$A$1:$NTR$890,COLUMN(HeadJournal!G$1),0),"")</f>
        <v>44938</v>
      </c>
      <c r="F715" s="95" t="str">
        <f t="shared" si="58"/>
        <v>2023 01</v>
      </c>
      <c r="G715" s="96" t="s">
        <v>7</v>
      </c>
      <c r="H715" s="160" t="s">
        <v>3730</v>
      </c>
      <c r="I715" s="96" t="str">
        <f t="shared" si="60"/>
        <v>EYENLIP</v>
      </c>
      <c r="J715" s="97" t="s">
        <v>292</v>
      </c>
      <c r="K715" s="29">
        <v>28</v>
      </c>
      <c r="L715" s="29"/>
      <c r="M715" s="30">
        <f>IFERROR(VLOOKUP($A715,HeadJournal!$A$1:$J$890,COLUMN(HeadJournal!I$1),0)*($K715+$L715)/(SUMIF($A:$A,$A715,$K:$K)+SUMIF($A:$A,$A715,$L:$L)),0)</f>
        <v>0</v>
      </c>
      <c r="N715" s="30">
        <f>IFERROR((VLOOKUP($A715,HeadJournal!$A$1:$K$890,COLUMN(HeadJournal!K$1),0)-VLOOKUP($A715,HeadJournal!$A$1:$K$890,COLUMN(HeadJournal!J$1),0))*($K715+$L715)/(SUMIF($A:$A,$A715,$K:$K)+SUMIF($A:$A,$A715,$L:$L)),0)</f>
        <v>-7.1984671727592237E-2</v>
      </c>
      <c r="O715" s="30">
        <f>IFERROR((VLOOKUP($A715,HeadJournal!$A$1:$L$890,COLUMN(HeadJournal!L$1),0)*($K715+$L715)/(SUMIF($A:$A,$A715,$K:$K)+SUMIF($A:$A,$A715,$L:$L)))/VLOOKUP($A715,HeadJournal!$A$1:$L$890,COLUMN(HeadJournal!H$1),0),0)</f>
        <v>0</v>
      </c>
      <c r="P715" s="30">
        <f>IFERROR(SUM(K715:O715)*VLOOKUP($A715,HeadJournal!$A$1:$L$890,COLUMN(HeadJournal!H$1),0),0)</f>
        <v>27.928015328272409</v>
      </c>
      <c r="Q715" s="29"/>
      <c r="R715" s="31"/>
      <c r="S715" s="31"/>
      <c r="T715" s="95" t="str">
        <f t="shared" si="59"/>
        <v/>
      </c>
      <c r="U715" s="32">
        <f t="shared" si="56"/>
        <v>-27.928015328272409</v>
      </c>
      <c r="V715" s="22" t="str">
        <f t="shared" si="57"/>
        <v/>
      </c>
      <c r="X715" s="33"/>
      <c r="Y715" s="33"/>
    </row>
    <row r="716" spans="1:25" x14ac:dyDescent="0.2">
      <c r="A716" s="93" t="s">
        <v>342</v>
      </c>
      <c r="B716" s="94">
        <f>IFERROR(VLOOKUP($A716,HeadJournal!$A$1:$NTR$890,COLUMN(HeadJournal!B$1),0),"")</f>
        <v>0</v>
      </c>
      <c r="C716" s="94" t="str">
        <f>IFERROR(VLOOKUP($A716,HeadJournal!$A$1:$NTR$890,COLUMN(HeadJournal!C$1),0),"")</f>
        <v>Roman</v>
      </c>
      <c r="D716" s="125" t="str">
        <f>IFERROR(VLOOKUP($A716,HeadJournal!$A$1:$NTR$890,COLUMN(HeadJournal!D$1),0),"")</f>
        <v>Доставлен</v>
      </c>
      <c r="E716" s="95">
        <f>IFERROR(VLOOKUP($A716,HeadJournal!$A$1:$NTR$890,COLUMN(HeadJournal!G$1),0),"")</f>
        <v>44938</v>
      </c>
      <c r="F716" s="95" t="str">
        <f t="shared" si="58"/>
        <v>2023 01</v>
      </c>
      <c r="G716" s="96" t="s">
        <v>7</v>
      </c>
      <c r="H716" s="160" t="s">
        <v>3730</v>
      </c>
      <c r="I716" s="96" t="str">
        <f t="shared" si="60"/>
        <v>EYENLIP</v>
      </c>
      <c r="J716" s="97" t="s">
        <v>292</v>
      </c>
      <c r="K716" s="29">
        <v>28</v>
      </c>
      <c r="L716" s="29"/>
      <c r="M716" s="30">
        <f>IFERROR(VLOOKUP($A716,HeadJournal!$A$1:$J$890,COLUMN(HeadJournal!I$1),0)*($K716+$L716)/(SUMIF($A:$A,$A716,$K:$K)+SUMIF($A:$A,$A716,$L:$L)),0)</f>
        <v>0</v>
      </c>
      <c r="N716" s="30">
        <f>IFERROR((VLOOKUP($A716,HeadJournal!$A$1:$K$890,COLUMN(HeadJournal!K$1),0)-VLOOKUP($A716,HeadJournal!$A$1:$K$890,COLUMN(HeadJournal!J$1),0))*($K716+$L716)/(SUMIF($A:$A,$A716,$K:$K)+SUMIF($A:$A,$A716,$L:$L)),0)</f>
        <v>-7.1984671727592237E-2</v>
      </c>
      <c r="O716" s="30">
        <f>IFERROR((VLOOKUP($A716,HeadJournal!$A$1:$L$890,COLUMN(HeadJournal!L$1),0)*($K716+$L716)/(SUMIF($A:$A,$A716,$K:$K)+SUMIF($A:$A,$A716,$L:$L)))/VLOOKUP($A716,HeadJournal!$A$1:$L$890,COLUMN(HeadJournal!H$1),0),0)</f>
        <v>0</v>
      </c>
      <c r="P716" s="30">
        <f>IFERROR(SUM(K716:O716)*VLOOKUP($A716,HeadJournal!$A$1:$L$890,COLUMN(HeadJournal!H$1),0),0)</f>
        <v>27.928015328272409</v>
      </c>
      <c r="Q716" s="29"/>
      <c r="R716" s="31"/>
      <c r="S716" s="31"/>
      <c r="T716" s="95" t="str">
        <f t="shared" si="59"/>
        <v/>
      </c>
      <c r="U716" s="32">
        <f t="shared" si="56"/>
        <v>-27.928015328272409</v>
      </c>
      <c r="V716" s="22" t="str">
        <f t="shared" si="57"/>
        <v/>
      </c>
      <c r="X716" s="33"/>
      <c r="Y716" s="33"/>
    </row>
    <row r="717" spans="1:25" x14ac:dyDescent="0.2">
      <c r="A717" s="93" t="s">
        <v>342</v>
      </c>
      <c r="B717" s="94">
        <f>IFERROR(VLOOKUP($A717,HeadJournal!$A$1:$NTR$890,COLUMN(HeadJournal!B$1),0),"")</f>
        <v>0</v>
      </c>
      <c r="C717" s="94" t="str">
        <f>IFERROR(VLOOKUP($A717,HeadJournal!$A$1:$NTR$890,COLUMN(HeadJournal!C$1),0),"")</f>
        <v>Roman</v>
      </c>
      <c r="D717" s="125" t="str">
        <f>IFERROR(VLOOKUP($A717,HeadJournal!$A$1:$NTR$890,COLUMN(HeadJournal!D$1),0),"")</f>
        <v>Доставлен</v>
      </c>
      <c r="E717" s="95">
        <f>IFERROR(VLOOKUP($A717,HeadJournal!$A$1:$NTR$890,COLUMN(HeadJournal!G$1),0),"")</f>
        <v>44938</v>
      </c>
      <c r="F717" s="95" t="str">
        <f t="shared" si="58"/>
        <v>2023 01</v>
      </c>
      <c r="G717" s="96" t="s">
        <v>7</v>
      </c>
      <c r="H717" s="160" t="s">
        <v>3730</v>
      </c>
      <c r="I717" s="96" t="str">
        <f t="shared" si="60"/>
        <v>EYENLIP</v>
      </c>
      <c r="J717" s="97" t="s">
        <v>292</v>
      </c>
      <c r="K717" s="29">
        <v>28</v>
      </c>
      <c r="L717" s="29"/>
      <c r="M717" s="30">
        <f>IFERROR(VLOOKUP($A717,HeadJournal!$A$1:$J$890,COLUMN(HeadJournal!I$1),0)*($K717+$L717)/(SUMIF($A:$A,$A717,$K:$K)+SUMIF($A:$A,$A717,$L:$L)),0)</f>
        <v>0</v>
      </c>
      <c r="N717" s="30">
        <f>IFERROR((VLOOKUP($A717,HeadJournal!$A$1:$K$890,COLUMN(HeadJournal!K$1),0)-VLOOKUP($A717,HeadJournal!$A$1:$K$890,COLUMN(HeadJournal!J$1),0))*($K717+$L717)/(SUMIF($A:$A,$A717,$K:$K)+SUMIF($A:$A,$A717,$L:$L)),0)</f>
        <v>-7.1984671727592237E-2</v>
      </c>
      <c r="O717" s="30">
        <f>IFERROR((VLOOKUP($A717,HeadJournal!$A$1:$L$890,COLUMN(HeadJournal!L$1),0)*($K717+$L717)/(SUMIF($A:$A,$A717,$K:$K)+SUMIF($A:$A,$A717,$L:$L)))/VLOOKUP($A717,HeadJournal!$A$1:$L$890,COLUMN(HeadJournal!H$1),0),0)</f>
        <v>0</v>
      </c>
      <c r="P717" s="30">
        <f>IFERROR(SUM(K717:O717)*VLOOKUP($A717,HeadJournal!$A$1:$L$890,COLUMN(HeadJournal!H$1),0),0)</f>
        <v>27.928015328272409</v>
      </c>
      <c r="Q717" s="29"/>
      <c r="R717" s="31"/>
      <c r="S717" s="31"/>
      <c r="T717" s="95" t="str">
        <f t="shared" si="59"/>
        <v/>
      </c>
      <c r="U717" s="32">
        <f t="shared" si="56"/>
        <v>-27.928015328272409</v>
      </c>
      <c r="V717" s="22" t="str">
        <f t="shared" si="57"/>
        <v/>
      </c>
      <c r="X717" s="33"/>
      <c r="Y717" s="33"/>
    </row>
    <row r="718" spans="1:25" x14ac:dyDescent="0.2">
      <c r="A718" s="93" t="s">
        <v>342</v>
      </c>
      <c r="B718" s="94">
        <f>IFERROR(VLOOKUP($A718,HeadJournal!$A$1:$NTR$890,COLUMN(HeadJournal!B$1),0),"")</f>
        <v>0</v>
      </c>
      <c r="C718" s="94" t="str">
        <f>IFERROR(VLOOKUP($A718,HeadJournal!$A$1:$NTR$890,COLUMN(HeadJournal!C$1),0),"")</f>
        <v>Roman</v>
      </c>
      <c r="D718" s="125" t="str">
        <f>IFERROR(VLOOKUP($A718,HeadJournal!$A$1:$NTR$890,COLUMN(HeadJournal!D$1),0),"")</f>
        <v>Доставлен</v>
      </c>
      <c r="E718" s="95">
        <f>IFERROR(VLOOKUP($A718,HeadJournal!$A$1:$NTR$890,COLUMN(HeadJournal!G$1),0),"")</f>
        <v>44938</v>
      </c>
      <c r="F718" s="95" t="str">
        <f t="shared" si="58"/>
        <v>2023 01</v>
      </c>
      <c r="G718" s="96" t="s">
        <v>7</v>
      </c>
      <c r="H718" s="160" t="s">
        <v>3730</v>
      </c>
      <c r="I718" s="96" t="str">
        <f t="shared" si="60"/>
        <v>EYENLIP</v>
      </c>
      <c r="J718" s="97" t="s">
        <v>292</v>
      </c>
      <c r="K718" s="29">
        <v>28</v>
      </c>
      <c r="L718" s="29"/>
      <c r="M718" s="30">
        <f>IFERROR(VLOOKUP($A718,HeadJournal!$A$1:$J$890,COLUMN(HeadJournal!I$1),0)*($K718+$L718)/(SUMIF($A:$A,$A718,$K:$K)+SUMIF($A:$A,$A718,$L:$L)),0)</f>
        <v>0</v>
      </c>
      <c r="N718" s="30">
        <f>IFERROR((VLOOKUP($A718,HeadJournal!$A$1:$K$890,COLUMN(HeadJournal!K$1),0)-VLOOKUP($A718,HeadJournal!$A$1:$K$890,COLUMN(HeadJournal!J$1),0))*($K718+$L718)/(SUMIF($A:$A,$A718,$K:$K)+SUMIF($A:$A,$A718,$L:$L)),0)</f>
        <v>-7.1984671727592237E-2</v>
      </c>
      <c r="O718" s="30">
        <f>IFERROR((VLOOKUP($A718,HeadJournal!$A$1:$L$890,COLUMN(HeadJournal!L$1),0)*($K718+$L718)/(SUMIF($A:$A,$A718,$K:$K)+SUMIF($A:$A,$A718,$L:$L)))/VLOOKUP($A718,HeadJournal!$A$1:$L$890,COLUMN(HeadJournal!H$1),0),0)</f>
        <v>0</v>
      </c>
      <c r="P718" s="30">
        <f>IFERROR(SUM(K718:O718)*VLOOKUP($A718,HeadJournal!$A$1:$L$890,COLUMN(HeadJournal!H$1),0),0)</f>
        <v>27.928015328272409</v>
      </c>
      <c r="Q718" s="29"/>
      <c r="R718" s="31"/>
      <c r="S718" s="31"/>
      <c r="T718" s="95" t="str">
        <f t="shared" si="59"/>
        <v/>
      </c>
      <c r="U718" s="32">
        <f t="shared" si="56"/>
        <v>-27.928015328272409</v>
      </c>
      <c r="V718" s="22" t="str">
        <f t="shared" si="57"/>
        <v/>
      </c>
      <c r="X718" s="33"/>
      <c r="Y718" s="33"/>
    </row>
    <row r="719" spans="1:25" x14ac:dyDescent="0.2">
      <c r="A719" s="93" t="s">
        <v>342</v>
      </c>
      <c r="B719" s="94">
        <f>IFERROR(VLOOKUP($A719,HeadJournal!$A$1:$NTR$890,COLUMN(HeadJournal!B$1),0),"")</f>
        <v>0</v>
      </c>
      <c r="C719" s="94" t="str">
        <f>IFERROR(VLOOKUP($A719,HeadJournal!$A$1:$NTR$890,COLUMN(HeadJournal!C$1),0),"")</f>
        <v>Roman</v>
      </c>
      <c r="D719" s="125" t="str">
        <f>IFERROR(VLOOKUP($A719,HeadJournal!$A$1:$NTR$890,COLUMN(HeadJournal!D$1),0),"")</f>
        <v>Доставлен</v>
      </c>
      <c r="E719" s="95">
        <f>IFERROR(VLOOKUP($A719,HeadJournal!$A$1:$NTR$890,COLUMN(HeadJournal!G$1),0),"")</f>
        <v>44938</v>
      </c>
      <c r="F719" s="95" t="str">
        <f t="shared" si="58"/>
        <v>2023 01</v>
      </c>
      <c r="G719" s="96" t="s">
        <v>7</v>
      </c>
      <c r="H719" s="160" t="s">
        <v>3730</v>
      </c>
      <c r="I719" s="96" t="str">
        <f t="shared" si="60"/>
        <v>EYENLIP</v>
      </c>
      <c r="J719" s="97" t="s">
        <v>292</v>
      </c>
      <c r="K719" s="29">
        <v>28</v>
      </c>
      <c r="L719" s="29"/>
      <c r="M719" s="30">
        <f>IFERROR(VLOOKUP($A719,HeadJournal!$A$1:$J$890,COLUMN(HeadJournal!I$1),0)*($K719+$L719)/(SUMIF($A:$A,$A719,$K:$K)+SUMIF($A:$A,$A719,$L:$L)),0)</f>
        <v>0</v>
      </c>
      <c r="N719" s="30">
        <f>IFERROR((VLOOKUP($A719,HeadJournal!$A$1:$K$890,COLUMN(HeadJournal!K$1),0)-VLOOKUP($A719,HeadJournal!$A$1:$K$890,COLUMN(HeadJournal!J$1),0))*($K719+$L719)/(SUMIF($A:$A,$A719,$K:$K)+SUMIF($A:$A,$A719,$L:$L)),0)</f>
        <v>-7.1984671727592237E-2</v>
      </c>
      <c r="O719" s="30">
        <f>IFERROR((VLOOKUP($A719,HeadJournal!$A$1:$L$890,COLUMN(HeadJournal!L$1),0)*($K719+$L719)/(SUMIF($A:$A,$A719,$K:$K)+SUMIF($A:$A,$A719,$L:$L)))/VLOOKUP($A719,HeadJournal!$A$1:$L$890,COLUMN(HeadJournal!H$1),0),0)</f>
        <v>0</v>
      </c>
      <c r="P719" s="30">
        <f>IFERROR(SUM(K719:O719)*VLOOKUP($A719,HeadJournal!$A$1:$L$890,COLUMN(HeadJournal!H$1),0),0)</f>
        <v>27.928015328272409</v>
      </c>
      <c r="Q719" s="29"/>
      <c r="R719" s="31"/>
      <c r="S719" s="31"/>
      <c r="T719" s="95" t="str">
        <f t="shared" si="59"/>
        <v/>
      </c>
      <c r="U719" s="32">
        <f t="shared" si="56"/>
        <v>-27.928015328272409</v>
      </c>
      <c r="V719" s="22" t="str">
        <f t="shared" si="57"/>
        <v/>
      </c>
      <c r="X719" s="33"/>
      <c r="Y719" s="33"/>
    </row>
    <row r="720" spans="1:25" x14ac:dyDescent="0.2">
      <c r="A720" s="93" t="s">
        <v>342</v>
      </c>
      <c r="B720" s="94">
        <f>IFERROR(VLOOKUP($A720,HeadJournal!$A$1:$NTR$890,COLUMN(HeadJournal!B$1),0),"")</f>
        <v>0</v>
      </c>
      <c r="C720" s="94" t="str">
        <f>IFERROR(VLOOKUP($A720,HeadJournal!$A$1:$NTR$890,COLUMN(HeadJournal!C$1),0),"")</f>
        <v>Roman</v>
      </c>
      <c r="D720" s="125" t="str">
        <f>IFERROR(VLOOKUP($A720,HeadJournal!$A$1:$NTR$890,COLUMN(HeadJournal!D$1),0),"")</f>
        <v>Доставлен</v>
      </c>
      <c r="E720" s="95">
        <f>IFERROR(VLOOKUP($A720,HeadJournal!$A$1:$NTR$890,COLUMN(HeadJournal!G$1),0),"")</f>
        <v>44938</v>
      </c>
      <c r="F720" s="95" t="str">
        <f t="shared" si="58"/>
        <v>2023 01</v>
      </c>
      <c r="G720" s="96" t="s">
        <v>7</v>
      </c>
      <c r="H720" s="160" t="s">
        <v>3730</v>
      </c>
      <c r="I720" s="96" t="str">
        <f t="shared" si="60"/>
        <v>EYENLIP</v>
      </c>
      <c r="J720" s="97" t="s">
        <v>292</v>
      </c>
      <c r="K720" s="29">
        <v>28</v>
      </c>
      <c r="L720" s="29"/>
      <c r="M720" s="30">
        <f>IFERROR(VLOOKUP($A720,HeadJournal!$A$1:$J$890,COLUMN(HeadJournal!I$1),0)*($K720+$L720)/(SUMIF($A:$A,$A720,$K:$K)+SUMIF($A:$A,$A720,$L:$L)),0)</f>
        <v>0</v>
      </c>
      <c r="N720" s="30">
        <f>IFERROR((VLOOKUP($A720,HeadJournal!$A$1:$K$890,COLUMN(HeadJournal!K$1),0)-VLOOKUP($A720,HeadJournal!$A$1:$K$890,COLUMN(HeadJournal!J$1),0))*($K720+$L720)/(SUMIF($A:$A,$A720,$K:$K)+SUMIF($A:$A,$A720,$L:$L)),0)</f>
        <v>-7.1984671727592237E-2</v>
      </c>
      <c r="O720" s="30">
        <f>IFERROR((VLOOKUP($A720,HeadJournal!$A$1:$L$890,COLUMN(HeadJournal!L$1),0)*($K720+$L720)/(SUMIF($A:$A,$A720,$K:$K)+SUMIF($A:$A,$A720,$L:$L)))/VLOOKUP($A720,HeadJournal!$A$1:$L$890,COLUMN(HeadJournal!H$1),0),0)</f>
        <v>0</v>
      </c>
      <c r="P720" s="30">
        <f>IFERROR(SUM(K720:O720)*VLOOKUP($A720,HeadJournal!$A$1:$L$890,COLUMN(HeadJournal!H$1),0),0)</f>
        <v>27.928015328272409</v>
      </c>
      <c r="Q720" s="29"/>
      <c r="R720" s="31"/>
      <c r="S720" s="31"/>
      <c r="T720" s="95" t="str">
        <f t="shared" si="59"/>
        <v/>
      </c>
      <c r="U720" s="32">
        <f t="shared" si="56"/>
        <v>-27.928015328272409</v>
      </c>
      <c r="V720" s="22" t="str">
        <f t="shared" si="57"/>
        <v/>
      </c>
      <c r="X720" s="33"/>
      <c r="Y720" s="33"/>
    </row>
    <row r="721" spans="1:25" x14ac:dyDescent="0.2">
      <c r="A721" s="93" t="s">
        <v>342</v>
      </c>
      <c r="B721" s="94">
        <f>IFERROR(VLOOKUP($A721,HeadJournal!$A$1:$NTR$890,COLUMN(HeadJournal!B$1),0),"")</f>
        <v>0</v>
      </c>
      <c r="C721" s="94" t="str">
        <f>IFERROR(VLOOKUP($A721,HeadJournal!$A$1:$NTR$890,COLUMN(HeadJournal!C$1),0),"")</f>
        <v>Roman</v>
      </c>
      <c r="D721" s="125" t="str">
        <f>IFERROR(VLOOKUP($A721,HeadJournal!$A$1:$NTR$890,COLUMN(HeadJournal!D$1),0),"")</f>
        <v>Доставлен</v>
      </c>
      <c r="E721" s="95">
        <f>IFERROR(VLOOKUP($A721,HeadJournal!$A$1:$NTR$890,COLUMN(HeadJournal!G$1),0),"")</f>
        <v>44938</v>
      </c>
      <c r="F721" s="95" t="str">
        <f t="shared" si="58"/>
        <v>2023 01</v>
      </c>
      <c r="G721" s="96" t="s">
        <v>7</v>
      </c>
      <c r="H721" s="160" t="s">
        <v>3731</v>
      </c>
      <c r="I721" s="96" t="str">
        <f t="shared" si="60"/>
        <v>EYENLIP</v>
      </c>
      <c r="J721" s="97" t="s">
        <v>293</v>
      </c>
      <c r="K721" s="29">
        <v>28</v>
      </c>
      <c r="L721" s="29"/>
      <c r="M721" s="30">
        <f>IFERROR(VLOOKUP($A721,HeadJournal!$A$1:$J$890,COLUMN(HeadJournal!I$1),0)*($K721+$L721)/(SUMIF($A:$A,$A721,$K:$K)+SUMIF($A:$A,$A721,$L:$L)),0)</f>
        <v>0</v>
      </c>
      <c r="N721" s="30">
        <f>IFERROR((VLOOKUP($A721,HeadJournal!$A$1:$K$890,COLUMN(HeadJournal!K$1),0)-VLOOKUP($A721,HeadJournal!$A$1:$K$890,COLUMN(HeadJournal!J$1),0))*($K721+$L721)/(SUMIF($A:$A,$A721,$K:$K)+SUMIF($A:$A,$A721,$L:$L)),0)</f>
        <v>-7.1984671727592237E-2</v>
      </c>
      <c r="O721" s="30">
        <f>IFERROR((VLOOKUP($A721,HeadJournal!$A$1:$L$890,COLUMN(HeadJournal!L$1),0)*($K721+$L721)/(SUMIF($A:$A,$A721,$K:$K)+SUMIF($A:$A,$A721,$L:$L)))/VLOOKUP($A721,HeadJournal!$A$1:$L$890,COLUMN(HeadJournal!H$1),0),0)</f>
        <v>0</v>
      </c>
      <c r="P721" s="30">
        <f>IFERROR(SUM(K721:O721)*VLOOKUP($A721,HeadJournal!$A$1:$L$890,COLUMN(HeadJournal!H$1),0),0)</f>
        <v>27.928015328272409</v>
      </c>
      <c r="Q721" s="29">
        <v>75</v>
      </c>
      <c r="R721" s="31">
        <v>44958</v>
      </c>
      <c r="S721" s="31" t="s">
        <v>3121</v>
      </c>
      <c r="T721" s="95" t="str">
        <f t="shared" si="59"/>
        <v>2023 02</v>
      </c>
      <c r="U721" s="32">
        <f t="shared" si="56"/>
        <v>47.071984671727591</v>
      </c>
      <c r="V721" s="22">
        <f t="shared" si="57"/>
        <v>1.6854754667824585</v>
      </c>
      <c r="X721" s="33"/>
      <c r="Y721" s="33"/>
    </row>
    <row r="722" spans="1:25" x14ac:dyDescent="0.2">
      <c r="A722" s="93" t="s">
        <v>342</v>
      </c>
      <c r="B722" s="94">
        <f>IFERROR(VLOOKUP($A722,HeadJournal!$A$1:$NTR$890,COLUMN(HeadJournal!B$1),0),"")</f>
        <v>0</v>
      </c>
      <c r="C722" s="94" t="str">
        <f>IFERROR(VLOOKUP($A722,HeadJournal!$A$1:$NTR$890,COLUMN(HeadJournal!C$1),0),"")</f>
        <v>Roman</v>
      </c>
      <c r="D722" s="125" t="str">
        <f>IFERROR(VLOOKUP($A722,HeadJournal!$A$1:$NTR$890,COLUMN(HeadJournal!D$1),0),"")</f>
        <v>Доставлен</v>
      </c>
      <c r="E722" s="95">
        <f>IFERROR(VLOOKUP($A722,HeadJournal!$A$1:$NTR$890,COLUMN(HeadJournal!G$1),0),"")</f>
        <v>44938</v>
      </c>
      <c r="F722" s="95" t="str">
        <f t="shared" si="58"/>
        <v>2023 01</v>
      </c>
      <c r="G722" s="96" t="s">
        <v>7</v>
      </c>
      <c r="H722" s="160" t="s">
        <v>3731</v>
      </c>
      <c r="I722" s="96" t="str">
        <f t="shared" si="60"/>
        <v>EYENLIP</v>
      </c>
      <c r="J722" s="97" t="s">
        <v>293</v>
      </c>
      <c r="K722" s="29">
        <v>28</v>
      </c>
      <c r="L722" s="29"/>
      <c r="M722" s="30">
        <f>IFERROR(VLOOKUP($A722,HeadJournal!$A$1:$J$890,COLUMN(HeadJournal!I$1),0)*($K722+$L722)/(SUMIF($A:$A,$A722,$K:$K)+SUMIF($A:$A,$A722,$L:$L)),0)</f>
        <v>0</v>
      </c>
      <c r="N722" s="30">
        <f>IFERROR((VLOOKUP($A722,HeadJournal!$A$1:$K$890,COLUMN(HeadJournal!K$1),0)-VLOOKUP($A722,HeadJournal!$A$1:$K$890,COLUMN(HeadJournal!J$1),0))*($K722+$L722)/(SUMIF($A:$A,$A722,$K:$K)+SUMIF($A:$A,$A722,$L:$L)),0)</f>
        <v>-7.1984671727592237E-2</v>
      </c>
      <c r="O722" s="30">
        <f>IFERROR((VLOOKUP($A722,HeadJournal!$A$1:$L$890,COLUMN(HeadJournal!L$1),0)*($K722+$L722)/(SUMIF($A:$A,$A722,$K:$K)+SUMIF($A:$A,$A722,$L:$L)))/VLOOKUP($A722,HeadJournal!$A$1:$L$890,COLUMN(HeadJournal!H$1),0),0)</f>
        <v>0</v>
      </c>
      <c r="P722" s="30">
        <f>IFERROR(SUM(K722:O722)*VLOOKUP($A722,HeadJournal!$A$1:$L$890,COLUMN(HeadJournal!H$1),0),0)</f>
        <v>27.928015328272409</v>
      </c>
      <c r="Q722" s="29">
        <v>75</v>
      </c>
      <c r="R722" s="31">
        <v>44992</v>
      </c>
      <c r="S722" s="31" t="s">
        <v>3121</v>
      </c>
      <c r="T722" s="95" t="str">
        <f t="shared" si="59"/>
        <v>2023 03</v>
      </c>
      <c r="U722" s="32">
        <f t="shared" si="56"/>
        <v>47.071984671727591</v>
      </c>
      <c r="V722" s="22">
        <f t="shared" si="57"/>
        <v>1.6854754667824585</v>
      </c>
      <c r="X722" s="33"/>
      <c r="Y722" s="33"/>
    </row>
    <row r="723" spans="1:25" x14ac:dyDescent="0.2">
      <c r="A723" s="93" t="s">
        <v>342</v>
      </c>
      <c r="B723" s="94">
        <f>IFERROR(VLOOKUP($A723,HeadJournal!$A$1:$NTR$890,COLUMN(HeadJournal!B$1),0),"")</f>
        <v>0</v>
      </c>
      <c r="C723" s="94" t="str">
        <f>IFERROR(VLOOKUP($A723,HeadJournal!$A$1:$NTR$890,COLUMN(HeadJournal!C$1),0),"")</f>
        <v>Roman</v>
      </c>
      <c r="D723" s="125" t="str">
        <f>IFERROR(VLOOKUP($A723,HeadJournal!$A$1:$NTR$890,COLUMN(HeadJournal!D$1),0),"")</f>
        <v>Доставлен</v>
      </c>
      <c r="E723" s="95">
        <f>IFERROR(VLOOKUP($A723,HeadJournal!$A$1:$NTR$890,COLUMN(HeadJournal!G$1),0),"")</f>
        <v>44938</v>
      </c>
      <c r="F723" s="95" t="str">
        <f t="shared" si="58"/>
        <v>2023 01</v>
      </c>
      <c r="G723" s="96" t="s">
        <v>7</v>
      </c>
      <c r="H723" s="160" t="s">
        <v>3731</v>
      </c>
      <c r="I723" s="96" t="str">
        <f t="shared" si="60"/>
        <v>EYENLIP</v>
      </c>
      <c r="J723" s="97" t="s">
        <v>293</v>
      </c>
      <c r="K723" s="29">
        <v>28</v>
      </c>
      <c r="L723" s="29"/>
      <c r="M723" s="30">
        <f>IFERROR(VLOOKUP($A723,HeadJournal!$A$1:$J$890,COLUMN(HeadJournal!I$1),0)*($K723+$L723)/(SUMIF($A:$A,$A723,$K:$K)+SUMIF($A:$A,$A723,$L:$L)),0)</f>
        <v>0</v>
      </c>
      <c r="N723" s="30">
        <f>IFERROR((VLOOKUP($A723,HeadJournal!$A$1:$K$890,COLUMN(HeadJournal!K$1),0)-VLOOKUP($A723,HeadJournal!$A$1:$K$890,COLUMN(HeadJournal!J$1),0))*($K723+$L723)/(SUMIF($A:$A,$A723,$K:$K)+SUMIF($A:$A,$A723,$L:$L)),0)</f>
        <v>-7.1984671727592237E-2</v>
      </c>
      <c r="O723" s="30">
        <f>IFERROR((VLOOKUP($A723,HeadJournal!$A$1:$L$890,COLUMN(HeadJournal!L$1),0)*($K723+$L723)/(SUMIF($A:$A,$A723,$K:$K)+SUMIF($A:$A,$A723,$L:$L)))/VLOOKUP($A723,HeadJournal!$A$1:$L$890,COLUMN(HeadJournal!H$1),0),0)</f>
        <v>0</v>
      </c>
      <c r="P723" s="30">
        <f>IFERROR(SUM(K723:O723)*VLOOKUP($A723,HeadJournal!$A$1:$L$890,COLUMN(HeadJournal!H$1),0),0)</f>
        <v>27.928015328272409</v>
      </c>
      <c r="Q723" s="29">
        <v>75</v>
      </c>
      <c r="R723" s="31">
        <v>44992</v>
      </c>
      <c r="S723" s="31" t="s">
        <v>3121</v>
      </c>
      <c r="T723" s="95" t="str">
        <f t="shared" si="59"/>
        <v>2023 03</v>
      </c>
      <c r="U723" s="32">
        <f t="shared" si="56"/>
        <v>47.071984671727591</v>
      </c>
      <c r="V723" s="22">
        <f t="shared" si="57"/>
        <v>1.6854754667824585</v>
      </c>
      <c r="X723" s="33"/>
      <c r="Y723" s="33"/>
    </row>
    <row r="724" spans="1:25" x14ac:dyDescent="0.2">
      <c r="A724" s="93" t="s">
        <v>342</v>
      </c>
      <c r="B724" s="94">
        <f>IFERROR(VLOOKUP($A724,HeadJournal!$A$1:$NTR$890,COLUMN(HeadJournal!B$1),0),"")</f>
        <v>0</v>
      </c>
      <c r="C724" s="94" t="str">
        <f>IFERROR(VLOOKUP($A724,HeadJournal!$A$1:$NTR$890,COLUMN(HeadJournal!C$1),0),"")</f>
        <v>Roman</v>
      </c>
      <c r="D724" s="125" t="str">
        <f>IFERROR(VLOOKUP($A724,HeadJournal!$A$1:$NTR$890,COLUMN(HeadJournal!D$1),0),"")</f>
        <v>Доставлен</v>
      </c>
      <c r="E724" s="95">
        <f>IFERROR(VLOOKUP($A724,HeadJournal!$A$1:$NTR$890,COLUMN(HeadJournal!G$1),0),"")</f>
        <v>44938</v>
      </c>
      <c r="F724" s="95" t="str">
        <f t="shared" si="58"/>
        <v>2023 01</v>
      </c>
      <c r="G724" s="96" t="s">
        <v>7</v>
      </c>
      <c r="H724" s="160" t="s">
        <v>3731</v>
      </c>
      <c r="I724" s="96" t="str">
        <f t="shared" si="60"/>
        <v>EYENLIP</v>
      </c>
      <c r="J724" s="97" t="s">
        <v>293</v>
      </c>
      <c r="K724" s="29">
        <v>28</v>
      </c>
      <c r="L724" s="29"/>
      <c r="M724" s="30">
        <f>IFERROR(VLOOKUP($A724,HeadJournal!$A$1:$J$890,COLUMN(HeadJournal!I$1),0)*($K724+$L724)/(SUMIF($A:$A,$A724,$K:$K)+SUMIF($A:$A,$A724,$L:$L)),0)</f>
        <v>0</v>
      </c>
      <c r="N724" s="30">
        <f>IFERROR((VLOOKUP($A724,HeadJournal!$A$1:$K$890,COLUMN(HeadJournal!K$1),0)-VLOOKUP($A724,HeadJournal!$A$1:$K$890,COLUMN(HeadJournal!J$1),0))*($K724+$L724)/(SUMIF($A:$A,$A724,$K:$K)+SUMIF($A:$A,$A724,$L:$L)),0)</f>
        <v>-7.1984671727592237E-2</v>
      </c>
      <c r="O724" s="30">
        <f>IFERROR((VLOOKUP($A724,HeadJournal!$A$1:$L$890,COLUMN(HeadJournal!L$1),0)*($K724+$L724)/(SUMIF($A:$A,$A724,$K:$K)+SUMIF($A:$A,$A724,$L:$L)))/VLOOKUP($A724,HeadJournal!$A$1:$L$890,COLUMN(HeadJournal!H$1),0),0)</f>
        <v>0</v>
      </c>
      <c r="P724" s="30">
        <f>IFERROR(SUM(K724:O724)*VLOOKUP($A724,HeadJournal!$A$1:$L$890,COLUMN(HeadJournal!H$1),0),0)</f>
        <v>27.928015328272409</v>
      </c>
      <c r="Q724" s="29">
        <v>75</v>
      </c>
      <c r="R724" s="31">
        <v>44991</v>
      </c>
      <c r="S724" s="31" t="s">
        <v>3121</v>
      </c>
      <c r="T724" s="95" t="str">
        <f t="shared" si="59"/>
        <v>2023 03</v>
      </c>
      <c r="U724" s="32">
        <f t="shared" si="56"/>
        <v>47.071984671727591</v>
      </c>
      <c r="V724" s="22">
        <f t="shared" si="57"/>
        <v>1.6854754667824585</v>
      </c>
      <c r="X724" s="33"/>
      <c r="Y724" s="33"/>
    </row>
    <row r="725" spans="1:25" x14ac:dyDescent="0.2">
      <c r="A725" s="93" t="s">
        <v>342</v>
      </c>
      <c r="B725" s="94">
        <f>IFERROR(VLOOKUP($A725,HeadJournal!$A$1:$NTR$890,COLUMN(HeadJournal!B$1),0),"")</f>
        <v>0</v>
      </c>
      <c r="C725" s="94" t="str">
        <f>IFERROR(VLOOKUP($A725,HeadJournal!$A$1:$NTR$890,COLUMN(HeadJournal!C$1),0),"")</f>
        <v>Roman</v>
      </c>
      <c r="D725" s="125" t="str">
        <f>IFERROR(VLOOKUP($A725,HeadJournal!$A$1:$NTR$890,COLUMN(HeadJournal!D$1),0),"")</f>
        <v>Доставлен</v>
      </c>
      <c r="E725" s="95">
        <f>IFERROR(VLOOKUP($A725,HeadJournal!$A$1:$NTR$890,COLUMN(HeadJournal!G$1),0),"")</f>
        <v>44938</v>
      </c>
      <c r="F725" s="95" t="str">
        <f t="shared" si="58"/>
        <v>2023 01</v>
      </c>
      <c r="G725" s="96" t="s">
        <v>7</v>
      </c>
      <c r="H725" s="160" t="s">
        <v>3731</v>
      </c>
      <c r="I725" s="96" t="str">
        <f t="shared" si="60"/>
        <v>EYENLIP</v>
      </c>
      <c r="J725" s="97" t="s">
        <v>293</v>
      </c>
      <c r="K725" s="29">
        <v>28</v>
      </c>
      <c r="L725" s="29"/>
      <c r="M725" s="30">
        <f>IFERROR(VLOOKUP($A725,HeadJournal!$A$1:$J$890,COLUMN(HeadJournal!I$1),0)*($K725+$L725)/(SUMIF($A:$A,$A725,$K:$K)+SUMIF($A:$A,$A725,$L:$L)),0)</f>
        <v>0</v>
      </c>
      <c r="N725" s="30">
        <f>IFERROR((VLOOKUP($A725,HeadJournal!$A$1:$K$890,COLUMN(HeadJournal!K$1),0)-VLOOKUP($A725,HeadJournal!$A$1:$K$890,COLUMN(HeadJournal!J$1),0))*($K725+$L725)/(SUMIF($A:$A,$A725,$K:$K)+SUMIF($A:$A,$A725,$L:$L)),0)</f>
        <v>-7.1984671727592237E-2</v>
      </c>
      <c r="O725" s="30">
        <f>IFERROR((VLOOKUP($A725,HeadJournal!$A$1:$L$890,COLUMN(HeadJournal!L$1),0)*($K725+$L725)/(SUMIF($A:$A,$A725,$K:$K)+SUMIF($A:$A,$A725,$L:$L)))/VLOOKUP($A725,HeadJournal!$A$1:$L$890,COLUMN(HeadJournal!H$1),0),0)</f>
        <v>0</v>
      </c>
      <c r="P725" s="30">
        <f>IFERROR(SUM(K725:O725)*VLOOKUP($A725,HeadJournal!$A$1:$L$890,COLUMN(HeadJournal!H$1),0),0)</f>
        <v>27.928015328272409</v>
      </c>
      <c r="Q725" s="29">
        <v>75</v>
      </c>
      <c r="R725" s="31">
        <v>45006</v>
      </c>
      <c r="S725" s="31" t="s">
        <v>3121</v>
      </c>
      <c r="T725" s="95" t="str">
        <f t="shared" si="59"/>
        <v>2023 03</v>
      </c>
      <c r="U725" s="32">
        <f t="shared" si="56"/>
        <v>47.071984671727591</v>
      </c>
      <c r="V725" s="22">
        <f t="shared" si="57"/>
        <v>1.6854754667824585</v>
      </c>
      <c r="X725" s="33"/>
      <c r="Y725" s="33"/>
    </row>
    <row r="726" spans="1:25" x14ac:dyDescent="0.2">
      <c r="A726" s="93" t="s">
        <v>342</v>
      </c>
      <c r="B726" s="94">
        <f>IFERROR(VLOOKUP($A726,HeadJournal!$A$1:$NTR$890,COLUMN(HeadJournal!B$1),0),"")</f>
        <v>0</v>
      </c>
      <c r="C726" s="94" t="str">
        <f>IFERROR(VLOOKUP($A726,HeadJournal!$A$1:$NTR$890,COLUMN(HeadJournal!C$1),0),"")</f>
        <v>Roman</v>
      </c>
      <c r="D726" s="125" t="str">
        <f>IFERROR(VLOOKUP($A726,HeadJournal!$A$1:$NTR$890,COLUMN(HeadJournal!D$1),0),"")</f>
        <v>Доставлен</v>
      </c>
      <c r="E726" s="95">
        <f>IFERROR(VLOOKUP($A726,HeadJournal!$A$1:$NTR$890,COLUMN(HeadJournal!G$1),0),"")</f>
        <v>44938</v>
      </c>
      <c r="F726" s="95" t="str">
        <f t="shared" si="58"/>
        <v>2023 01</v>
      </c>
      <c r="G726" s="96" t="s">
        <v>7</v>
      </c>
      <c r="H726" s="160" t="s">
        <v>3731</v>
      </c>
      <c r="I726" s="96" t="str">
        <f t="shared" si="60"/>
        <v>EYENLIP</v>
      </c>
      <c r="J726" s="97" t="s">
        <v>293</v>
      </c>
      <c r="K726" s="29">
        <v>28</v>
      </c>
      <c r="L726" s="29"/>
      <c r="M726" s="30">
        <f>IFERROR(VLOOKUP($A726,HeadJournal!$A$1:$J$890,COLUMN(HeadJournal!I$1),0)*($K726+$L726)/(SUMIF($A:$A,$A726,$K:$K)+SUMIF($A:$A,$A726,$L:$L)),0)</f>
        <v>0</v>
      </c>
      <c r="N726" s="30">
        <f>IFERROR((VLOOKUP($A726,HeadJournal!$A$1:$K$890,COLUMN(HeadJournal!K$1),0)-VLOOKUP($A726,HeadJournal!$A$1:$K$890,COLUMN(HeadJournal!J$1),0))*($K726+$L726)/(SUMIF($A:$A,$A726,$K:$K)+SUMIF($A:$A,$A726,$L:$L)),0)</f>
        <v>-7.1984671727592237E-2</v>
      </c>
      <c r="O726" s="30">
        <f>IFERROR((VLOOKUP($A726,HeadJournal!$A$1:$L$890,COLUMN(HeadJournal!L$1),0)*($K726+$L726)/(SUMIF($A:$A,$A726,$K:$K)+SUMIF($A:$A,$A726,$L:$L)))/VLOOKUP($A726,HeadJournal!$A$1:$L$890,COLUMN(HeadJournal!H$1),0),0)</f>
        <v>0</v>
      </c>
      <c r="P726" s="30">
        <f>IFERROR(SUM(K726:O726)*VLOOKUP($A726,HeadJournal!$A$1:$L$890,COLUMN(HeadJournal!H$1),0),0)</f>
        <v>27.928015328272409</v>
      </c>
      <c r="Q726" s="29">
        <v>75</v>
      </c>
      <c r="R726" s="31">
        <v>45006</v>
      </c>
      <c r="S726" s="31" t="s">
        <v>3121</v>
      </c>
      <c r="T726" s="95" t="str">
        <f t="shared" si="59"/>
        <v>2023 03</v>
      </c>
      <c r="U726" s="32">
        <f t="shared" si="56"/>
        <v>47.071984671727591</v>
      </c>
      <c r="V726" s="22">
        <f t="shared" si="57"/>
        <v>1.6854754667824585</v>
      </c>
      <c r="X726" s="33"/>
      <c r="Y726" s="33"/>
    </row>
    <row r="727" spans="1:25" x14ac:dyDescent="0.2">
      <c r="A727" s="93" t="s">
        <v>342</v>
      </c>
      <c r="B727" s="94">
        <f>IFERROR(VLOOKUP($A727,HeadJournal!$A$1:$NTR$890,COLUMN(HeadJournal!B$1),0),"")</f>
        <v>0</v>
      </c>
      <c r="C727" s="94" t="str">
        <f>IFERROR(VLOOKUP($A727,HeadJournal!$A$1:$NTR$890,COLUMN(HeadJournal!C$1),0),"")</f>
        <v>Roman</v>
      </c>
      <c r="D727" s="125" t="str">
        <f>IFERROR(VLOOKUP($A727,HeadJournal!$A$1:$NTR$890,COLUMN(HeadJournal!D$1),0),"")</f>
        <v>Доставлен</v>
      </c>
      <c r="E727" s="95">
        <f>IFERROR(VLOOKUP($A727,HeadJournal!$A$1:$NTR$890,COLUMN(HeadJournal!G$1),0),"")</f>
        <v>44938</v>
      </c>
      <c r="F727" s="95" t="str">
        <f t="shared" si="58"/>
        <v>2023 01</v>
      </c>
      <c r="G727" s="96" t="s">
        <v>7</v>
      </c>
      <c r="H727" s="160" t="s">
        <v>3731</v>
      </c>
      <c r="I727" s="96" t="str">
        <f t="shared" si="60"/>
        <v>EYENLIP</v>
      </c>
      <c r="J727" s="97" t="s">
        <v>293</v>
      </c>
      <c r="K727" s="29">
        <v>28</v>
      </c>
      <c r="L727" s="29"/>
      <c r="M727" s="30">
        <f>IFERROR(VLOOKUP($A727,HeadJournal!$A$1:$J$890,COLUMN(HeadJournal!I$1),0)*($K727+$L727)/(SUMIF($A:$A,$A727,$K:$K)+SUMIF($A:$A,$A727,$L:$L)),0)</f>
        <v>0</v>
      </c>
      <c r="N727" s="30">
        <f>IFERROR((VLOOKUP($A727,HeadJournal!$A$1:$K$890,COLUMN(HeadJournal!K$1),0)-VLOOKUP($A727,HeadJournal!$A$1:$K$890,COLUMN(HeadJournal!J$1),0))*($K727+$L727)/(SUMIF($A:$A,$A727,$K:$K)+SUMIF($A:$A,$A727,$L:$L)),0)</f>
        <v>-7.1984671727592237E-2</v>
      </c>
      <c r="O727" s="30">
        <f>IFERROR((VLOOKUP($A727,HeadJournal!$A$1:$L$890,COLUMN(HeadJournal!L$1),0)*($K727+$L727)/(SUMIF($A:$A,$A727,$K:$K)+SUMIF($A:$A,$A727,$L:$L)))/VLOOKUP($A727,HeadJournal!$A$1:$L$890,COLUMN(HeadJournal!H$1),0),0)</f>
        <v>0</v>
      </c>
      <c r="P727" s="30">
        <f>IFERROR(SUM(K727:O727)*VLOOKUP($A727,HeadJournal!$A$1:$L$890,COLUMN(HeadJournal!H$1),0),0)</f>
        <v>27.928015328272409</v>
      </c>
      <c r="Q727" s="29">
        <v>75</v>
      </c>
      <c r="R727" s="31">
        <v>45020</v>
      </c>
      <c r="S727" s="31" t="s">
        <v>3121</v>
      </c>
      <c r="T727" s="95" t="str">
        <f t="shared" si="59"/>
        <v>2023 04</v>
      </c>
      <c r="U727" s="32">
        <f t="shared" si="56"/>
        <v>47.071984671727591</v>
      </c>
      <c r="V727" s="22">
        <f t="shared" si="57"/>
        <v>1.6854754667824585</v>
      </c>
      <c r="X727" s="33"/>
      <c r="Y727" s="33"/>
    </row>
    <row r="728" spans="1:25" x14ac:dyDescent="0.2">
      <c r="A728" s="93" t="s">
        <v>342</v>
      </c>
      <c r="B728" s="94">
        <f>IFERROR(VLOOKUP($A728,HeadJournal!$A$1:$NTR$890,COLUMN(HeadJournal!B$1),0),"")</f>
        <v>0</v>
      </c>
      <c r="C728" s="94" t="str">
        <f>IFERROR(VLOOKUP($A728,HeadJournal!$A$1:$NTR$890,COLUMN(HeadJournal!C$1),0),"")</f>
        <v>Roman</v>
      </c>
      <c r="D728" s="125" t="str">
        <f>IFERROR(VLOOKUP($A728,HeadJournal!$A$1:$NTR$890,COLUMN(HeadJournal!D$1),0),"")</f>
        <v>Доставлен</v>
      </c>
      <c r="E728" s="95">
        <f>IFERROR(VLOOKUP($A728,HeadJournal!$A$1:$NTR$890,COLUMN(HeadJournal!G$1),0),"")</f>
        <v>44938</v>
      </c>
      <c r="F728" s="95" t="str">
        <f t="shared" si="58"/>
        <v>2023 01</v>
      </c>
      <c r="G728" s="96" t="s">
        <v>7</v>
      </c>
      <c r="H728" s="160" t="s">
        <v>3731</v>
      </c>
      <c r="I728" s="96" t="str">
        <f t="shared" si="60"/>
        <v>EYENLIP</v>
      </c>
      <c r="J728" s="97" t="s">
        <v>293</v>
      </c>
      <c r="K728" s="29">
        <v>28</v>
      </c>
      <c r="L728" s="29"/>
      <c r="M728" s="30">
        <f>IFERROR(VLOOKUP($A728,HeadJournal!$A$1:$J$890,COLUMN(HeadJournal!I$1),0)*($K728+$L728)/(SUMIF($A:$A,$A728,$K:$K)+SUMIF($A:$A,$A728,$L:$L)),0)</f>
        <v>0</v>
      </c>
      <c r="N728" s="30">
        <f>IFERROR((VLOOKUP($A728,HeadJournal!$A$1:$K$890,COLUMN(HeadJournal!K$1),0)-VLOOKUP($A728,HeadJournal!$A$1:$K$890,COLUMN(HeadJournal!J$1),0))*($K728+$L728)/(SUMIF($A:$A,$A728,$K:$K)+SUMIF($A:$A,$A728,$L:$L)),0)</f>
        <v>-7.1984671727592237E-2</v>
      </c>
      <c r="O728" s="30">
        <f>IFERROR((VLOOKUP($A728,HeadJournal!$A$1:$L$890,COLUMN(HeadJournal!L$1),0)*($K728+$L728)/(SUMIF($A:$A,$A728,$K:$K)+SUMIF($A:$A,$A728,$L:$L)))/VLOOKUP($A728,HeadJournal!$A$1:$L$890,COLUMN(HeadJournal!H$1),0),0)</f>
        <v>0</v>
      </c>
      <c r="P728" s="30">
        <f>IFERROR(SUM(K728:O728)*VLOOKUP($A728,HeadJournal!$A$1:$L$890,COLUMN(HeadJournal!H$1),0),0)</f>
        <v>27.928015328272409</v>
      </c>
      <c r="Q728" s="29">
        <v>75</v>
      </c>
      <c r="R728" s="31">
        <v>45020</v>
      </c>
      <c r="S728" s="31" t="s">
        <v>3121</v>
      </c>
      <c r="T728" s="95" t="str">
        <f t="shared" si="59"/>
        <v>2023 04</v>
      </c>
      <c r="U728" s="32">
        <f t="shared" si="56"/>
        <v>47.071984671727591</v>
      </c>
      <c r="V728" s="22">
        <f t="shared" si="57"/>
        <v>1.6854754667824585</v>
      </c>
      <c r="X728" s="33"/>
      <c r="Y728" s="33"/>
    </row>
    <row r="729" spans="1:25" x14ac:dyDescent="0.2">
      <c r="A729" s="93" t="s">
        <v>342</v>
      </c>
      <c r="B729" s="94">
        <f>IFERROR(VLOOKUP($A729,HeadJournal!$A$1:$NTR$890,COLUMN(HeadJournal!B$1),0),"")</f>
        <v>0</v>
      </c>
      <c r="C729" s="94" t="str">
        <f>IFERROR(VLOOKUP($A729,HeadJournal!$A$1:$NTR$890,COLUMN(HeadJournal!C$1),0),"")</f>
        <v>Roman</v>
      </c>
      <c r="D729" s="125" t="str">
        <f>IFERROR(VLOOKUP($A729,HeadJournal!$A$1:$NTR$890,COLUMN(HeadJournal!D$1),0),"")</f>
        <v>Доставлен</v>
      </c>
      <c r="E729" s="95">
        <f>IFERROR(VLOOKUP($A729,HeadJournal!$A$1:$NTR$890,COLUMN(HeadJournal!G$1),0),"")</f>
        <v>44938</v>
      </c>
      <c r="F729" s="95" t="str">
        <f t="shared" si="58"/>
        <v>2023 01</v>
      </c>
      <c r="G729" s="96" t="s">
        <v>7</v>
      </c>
      <c r="H729" s="160" t="s">
        <v>3731</v>
      </c>
      <c r="I729" s="96" t="str">
        <f t="shared" si="60"/>
        <v>EYENLIP</v>
      </c>
      <c r="J729" s="97" t="s">
        <v>293</v>
      </c>
      <c r="K729" s="29">
        <v>28</v>
      </c>
      <c r="L729" s="29"/>
      <c r="M729" s="30">
        <f>IFERROR(VLOOKUP($A729,HeadJournal!$A$1:$J$890,COLUMN(HeadJournal!I$1),0)*($K729+$L729)/(SUMIF($A:$A,$A729,$K:$K)+SUMIF($A:$A,$A729,$L:$L)),0)</f>
        <v>0</v>
      </c>
      <c r="N729" s="30">
        <f>IFERROR((VLOOKUP($A729,HeadJournal!$A$1:$K$890,COLUMN(HeadJournal!K$1),0)-VLOOKUP($A729,HeadJournal!$A$1:$K$890,COLUMN(HeadJournal!J$1),0))*($K729+$L729)/(SUMIF($A:$A,$A729,$K:$K)+SUMIF($A:$A,$A729,$L:$L)),0)</f>
        <v>-7.1984671727592237E-2</v>
      </c>
      <c r="O729" s="30">
        <f>IFERROR((VLOOKUP($A729,HeadJournal!$A$1:$L$890,COLUMN(HeadJournal!L$1),0)*($K729+$L729)/(SUMIF($A:$A,$A729,$K:$K)+SUMIF($A:$A,$A729,$L:$L)))/VLOOKUP($A729,HeadJournal!$A$1:$L$890,COLUMN(HeadJournal!H$1),0),0)</f>
        <v>0</v>
      </c>
      <c r="P729" s="30">
        <f>IFERROR(SUM(K729:O729)*VLOOKUP($A729,HeadJournal!$A$1:$L$890,COLUMN(HeadJournal!H$1),0),0)</f>
        <v>27.928015328272409</v>
      </c>
      <c r="Q729" s="29">
        <v>75</v>
      </c>
      <c r="R729" s="31">
        <v>45020</v>
      </c>
      <c r="S729" s="31" t="s">
        <v>3121</v>
      </c>
      <c r="T729" s="95" t="str">
        <f t="shared" si="59"/>
        <v>2023 04</v>
      </c>
      <c r="U729" s="32">
        <f t="shared" si="56"/>
        <v>47.071984671727591</v>
      </c>
      <c r="V729" s="22">
        <f t="shared" si="57"/>
        <v>1.6854754667824585</v>
      </c>
      <c r="X729" s="33"/>
      <c r="Y729" s="33"/>
    </row>
    <row r="730" spans="1:25" x14ac:dyDescent="0.2">
      <c r="A730" s="93" t="s">
        <v>342</v>
      </c>
      <c r="B730" s="94">
        <f>IFERROR(VLOOKUP($A730,HeadJournal!$A$1:$NTR$890,COLUMN(HeadJournal!B$1),0),"")</f>
        <v>0</v>
      </c>
      <c r="C730" s="94" t="str">
        <f>IFERROR(VLOOKUP($A730,HeadJournal!$A$1:$NTR$890,COLUMN(HeadJournal!C$1),0),"")</f>
        <v>Roman</v>
      </c>
      <c r="D730" s="125" t="str">
        <f>IFERROR(VLOOKUP($A730,HeadJournal!$A$1:$NTR$890,COLUMN(HeadJournal!D$1),0),"")</f>
        <v>Доставлен</v>
      </c>
      <c r="E730" s="95">
        <f>IFERROR(VLOOKUP($A730,HeadJournal!$A$1:$NTR$890,COLUMN(HeadJournal!G$1),0),"")</f>
        <v>44938</v>
      </c>
      <c r="F730" s="95" t="str">
        <f t="shared" si="58"/>
        <v>2023 01</v>
      </c>
      <c r="G730" s="96" t="s">
        <v>7</v>
      </c>
      <c r="H730" s="160" t="s">
        <v>3731</v>
      </c>
      <c r="I730" s="96" t="str">
        <f t="shared" si="60"/>
        <v>EYENLIP</v>
      </c>
      <c r="J730" s="97" t="s">
        <v>293</v>
      </c>
      <c r="K730" s="29">
        <v>28</v>
      </c>
      <c r="L730" s="29"/>
      <c r="M730" s="30">
        <f>IFERROR(VLOOKUP($A730,HeadJournal!$A$1:$J$890,COLUMN(HeadJournal!I$1),0)*($K730+$L730)/(SUMIF($A:$A,$A730,$K:$K)+SUMIF($A:$A,$A730,$L:$L)),0)</f>
        <v>0</v>
      </c>
      <c r="N730" s="30">
        <f>IFERROR((VLOOKUP($A730,HeadJournal!$A$1:$K$890,COLUMN(HeadJournal!K$1),0)-VLOOKUP($A730,HeadJournal!$A$1:$K$890,COLUMN(HeadJournal!J$1),0))*($K730+$L730)/(SUMIF($A:$A,$A730,$K:$K)+SUMIF($A:$A,$A730,$L:$L)),0)</f>
        <v>-7.1984671727592237E-2</v>
      </c>
      <c r="O730" s="30">
        <f>IFERROR((VLOOKUP($A730,HeadJournal!$A$1:$L$890,COLUMN(HeadJournal!L$1),0)*($K730+$L730)/(SUMIF($A:$A,$A730,$K:$K)+SUMIF($A:$A,$A730,$L:$L)))/VLOOKUP($A730,HeadJournal!$A$1:$L$890,COLUMN(HeadJournal!H$1),0),0)</f>
        <v>0</v>
      </c>
      <c r="P730" s="30">
        <f>IFERROR(SUM(K730:O730)*VLOOKUP($A730,HeadJournal!$A$1:$L$890,COLUMN(HeadJournal!H$1),0),0)</f>
        <v>27.928015328272409</v>
      </c>
      <c r="Q730" s="29">
        <v>75</v>
      </c>
      <c r="R730" s="31">
        <v>45020</v>
      </c>
      <c r="S730" s="31" t="s">
        <v>3121</v>
      </c>
      <c r="T730" s="95" t="str">
        <f t="shared" si="59"/>
        <v>2023 04</v>
      </c>
      <c r="U730" s="32">
        <f t="shared" si="56"/>
        <v>47.071984671727591</v>
      </c>
      <c r="V730" s="22">
        <f t="shared" si="57"/>
        <v>1.6854754667824585</v>
      </c>
      <c r="X730" s="33"/>
      <c r="Y730" s="33"/>
    </row>
    <row r="731" spans="1:25" x14ac:dyDescent="0.2">
      <c r="A731" s="93" t="s">
        <v>342</v>
      </c>
      <c r="B731" s="94">
        <f>IFERROR(VLOOKUP($A731,HeadJournal!$A$1:$NTR$890,COLUMN(HeadJournal!B$1),0),"")</f>
        <v>0</v>
      </c>
      <c r="C731" s="94" t="str">
        <f>IFERROR(VLOOKUP($A731,HeadJournal!$A$1:$NTR$890,COLUMN(HeadJournal!C$1),0),"")</f>
        <v>Roman</v>
      </c>
      <c r="D731" s="125" t="str">
        <f>IFERROR(VLOOKUP($A731,HeadJournal!$A$1:$NTR$890,COLUMN(HeadJournal!D$1),0),"")</f>
        <v>Доставлен</v>
      </c>
      <c r="E731" s="95">
        <f>IFERROR(VLOOKUP($A731,HeadJournal!$A$1:$NTR$890,COLUMN(HeadJournal!G$1),0),"")</f>
        <v>44938</v>
      </c>
      <c r="F731" s="95" t="str">
        <f t="shared" si="58"/>
        <v>2023 01</v>
      </c>
      <c r="G731" s="96" t="s">
        <v>7</v>
      </c>
      <c r="H731" s="160" t="s">
        <v>3731</v>
      </c>
      <c r="I731" s="96" t="str">
        <f t="shared" si="60"/>
        <v>EYENLIP</v>
      </c>
      <c r="J731" s="97" t="s">
        <v>293</v>
      </c>
      <c r="K731" s="29">
        <v>28</v>
      </c>
      <c r="L731" s="29"/>
      <c r="M731" s="30">
        <f>IFERROR(VLOOKUP($A731,HeadJournal!$A$1:$J$890,COLUMN(HeadJournal!I$1),0)*($K731+$L731)/(SUMIF($A:$A,$A731,$K:$K)+SUMIF($A:$A,$A731,$L:$L)),0)</f>
        <v>0</v>
      </c>
      <c r="N731" s="30">
        <f>IFERROR((VLOOKUP($A731,HeadJournal!$A$1:$K$890,COLUMN(HeadJournal!K$1),0)-VLOOKUP($A731,HeadJournal!$A$1:$K$890,COLUMN(HeadJournal!J$1),0))*($K731+$L731)/(SUMIF($A:$A,$A731,$K:$K)+SUMIF($A:$A,$A731,$L:$L)),0)</f>
        <v>-7.1984671727592237E-2</v>
      </c>
      <c r="O731" s="30">
        <f>IFERROR((VLOOKUP($A731,HeadJournal!$A$1:$L$890,COLUMN(HeadJournal!L$1),0)*($K731+$L731)/(SUMIF($A:$A,$A731,$K:$K)+SUMIF($A:$A,$A731,$L:$L)))/VLOOKUP($A731,HeadJournal!$A$1:$L$890,COLUMN(HeadJournal!H$1),0),0)</f>
        <v>0</v>
      </c>
      <c r="P731" s="30">
        <f>IFERROR(SUM(K731:O731)*VLOOKUP($A731,HeadJournal!$A$1:$L$890,COLUMN(HeadJournal!H$1),0),0)</f>
        <v>27.928015328272409</v>
      </c>
      <c r="Q731" s="29">
        <v>75</v>
      </c>
      <c r="R731" s="31">
        <v>45051</v>
      </c>
      <c r="S731" s="31" t="s">
        <v>3121</v>
      </c>
      <c r="T731" s="95" t="str">
        <f t="shared" si="59"/>
        <v>2023 05</v>
      </c>
      <c r="U731" s="32">
        <f t="shared" si="56"/>
        <v>47.071984671727591</v>
      </c>
      <c r="V731" s="22">
        <f t="shared" si="57"/>
        <v>1.6854754667824585</v>
      </c>
      <c r="X731" s="33"/>
      <c r="Y731" s="33"/>
    </row>
    <row r="732" spans="1:25" x14ac:dyDescent="0.2">
      <c r="A732" s="93" t="s">
        <v>342</v>
      </c>
      <c r="B732" s="94">
        <f>IFERROR(VLOOKUP($A732,HeadJournal!$A$1:$NTR$890,COLUMN(HeadJournal!B$1),0),"")</f>
        <v>0</v>
      </c>
      <c r="C732" s="94" t="str">
        <f>IFERROR(VLOOKUP($A732,HeadJournal!$A$1:$NTR$890,COLUMN(HeadJournal!C$1),0),"")</f>
        <v>Roman</v>
      </c>
      <c r="D732" s="125" t="str">
        <f>IFERROR(VLOOKUP($A732,HeadJournal!$A$1:$NTR$890,COLUMN(HeadJournal!D$1),0),"")</f>
        <v>Доставлен</v>
      </c>
      <c r="E732" s="95">
        <f>IFERROR(VLOOKUP($A732,HeadJournal!$A$1:$NTR$890,COLUMN(HeadJournal!G$1),0),"")</f>
        <v>44938</v>
      </c>
      <c r="F732" s="95" t="str">
        <f t="shared" si="58"/>
        <v>2023 01</v>
      </c>
      <c r="G732" s="96" t="s">
        <v>7</v>
      </c>
      <c r="H732" s="160" t="s">
        <v>3731</v>
      </c>
      <c r="I732" s="96" t="str">
        <f t="shared" si="60"/>
        <v>EYENLIP</v>
      </c>
      <c r="J732" s="97" t="s">
        <v>293</v>
      </c>
      <c r="K732" s="29">
        <v>28</v>
      </c>
      <c r="L732" s="29"/>
      <c r="M732" s="30">
        <f>IFERROR(VLOOKUP($A732,HeadJournal!$A$1:$J$890,COLUMN(HeadJournal!I$1),0)*($K732+$L732)/(SUMIF($A:$A,$A732,$K:$K)+SUMIF($A:$A,$A732,$L:$L)),0)</f>
        <v>0</v>
      </c>
      <c r="N732" s="30">
        <f>IFERROR((VLOOKUP($A732,HeadJournal!$A$1:$K$890,COLUMN(HeadJournal!K$1),0)-VLOOKUP($A732,HeadJournal!$A$1:$K$890,COLUMN(HeadJournal!J$1),0))*($K732+$L732)/(SUMIF($A:$A,$A732,$K:$K)+SUMIF($A:$A,$A732,$L:$L)),0)</f>
        <v>-7.1984671727592237E-2</v>
      </c>
      <c r="O732" s="30">
        <f>IFERROR((VLOOKUP($A732,HeadJournal!$A$1:$L$890,COLUMN(HeadJournal!L$1),0)*($K732+$L732)/(SUMIF($A:$A,$A732,$K:$K)+SUMIF($A:$A,$A732,$L:$L)))/VLOOKUP($A732,HeadJournal!$A$1:$L$890,COLUMN(HeadJournal!H$1),0),0)</f>
        <v>0</v>
      </c>
      <c r="P732" s="30">
        <f>IFERROR(SUM(K732:O732)*VLOOKUP($A732,HeadJournal!$A$1:$L$890,COLUMN(HeadJournal!H$1),0),0)</f>
        <v>27.928015328272409</v>
      </c>
      <c r="Q732" s="29">
        <v>75</v>
      </c>
      <c r="R732" s="31">
        <v>45051</v>
      </c>
      <c r="S732" s="31" t="s">
        <v>3121</v>
      </c>
      <c r="T732" s="95" t="str">
        <f t="shared" si="59"/>
        <v>2023 05</v>
      </c>
      <c r="U732" s="32">
        <f t="shared" si="56"/>
        <v>47.071984671727591</v>
      </c>
      <c r="V732" s="22">
        <f t="shared" si="57"/>
        <v>1.6854754667824585</v>
      </c>
      <c r="X732" s="33"/>
      <c r="Y732" s="33"/>
    </row>
    <row r="733" spans="1:25" x14ac:dyDescent="0.2">
      <c r="A733" s="93" t="s">
        <v>342</v>
      </c>
      <c r="B733" s="94">
        <f>IFERROR(VLOOKUP($A733,HeadJournal!$A$1:$NTR$890,COLUMN(HeadJournal!B$1),0),"")</f>
        <v>0</v>
      </c>
      <c r="C733" s="94" t="str">
        <f>IFERROR(VLOOKUP($A733,HeadJournal!$A$1:$NTR$890,COLUMN(HeadJournal!C$1),0),"")</f>
        <v>Roman</v>
      </c>
      <c r="D733" s="125" t="str">
        <f>IFERROR(VLOOKUP($A733,HeadJournal!$A$1:$NTR$890,COLUMN(HeadJournal!D$1),0),"")</f>
        <v>Доставлен</v>
      </c>
      <c r="E733" s="95">
        <f>IFERROR(VLOOKUP($A733,HeadJournal!$A$1:$NTR$890,COLUMN(HeadJournal!G$1),0),"")</f>
        <v>44938</v>
      </c>
      <c r="F733" s="95" t="str">
        <f t="shared" si="58"/>
        <v>2023 01</v>
      </c>
      <c r="G733" s="96" t="s">
        <v>7</v>
      </c>
      <c r="H733" s="160" t="s">
        <v>3731</v>
      </c>
      <c r="I733" s="96" t="str">
        <f t="shared" si="60"/>
        <v>EYENLIP</v>
      </c>
      <c r="J733" s="97" t="s">
        <v>293</v>
      </c>
      <c r="K733" s="29">
        <v>28</v>
      </c>
      <c r="L733" s="29"/>
      <c r="M733" s="30">
        <f>IFERROR(VLOOKUP($A733,HeadJournal!$A$1:$J$890,COLUMN(HeadJournal!I$1),0)*($K733+$L733)/(SUMIF($A:$A,$A733,$K:$K)+SUMIF($A:$A,$A733,$L:$L)),0)</f>
        <v>0</v>
      </c>
      <c r="N733" s="30">
        <f>IFERROR((VLOOKUP($A733,HeadJournal!$A$1:$K$890,COLUMN(HeadJournal!K$1),0)-VLOOKUP($A733,HeadJournal!$A$1:$K$890,COLUMN(HeadJournal!J$1),0))*($K733+$L733)/(SUMIF($A:$A,$A733,$K:$K)+SUMIF($A:$A,$A733,$L:$L)),0)</f>
        <v>-7.1984671727592237E-2</v>
      </c>
      <c r="O733" s="30">
        <f>IFERROR((VLOOKUP($A733,HeadJournal!$A$1:$L$890,COLUMN(HeadJournal!L$1),0)*($K733+$L733)/(SUMIF($A:$A,$A733,$K:$K)+SUMIF($A:$A,$A733,$L:$L)))/VLOOKUP($A733,HeadJournal!$A$1:$L$890,COLUMN(HeadJournal!H$1),0),0)</f>
        <v>0</v>
      </c>
      <c r="P733" s="30">
        <f>IFERROR(SUM(K733:O733)*VLOOKUP($A733,HeadJournal!$A$1:$L$890,COLUMN(HeadJournal!H$1),0),0)</f>
        <v>27.928015328272409</v>
      </c>
      <c r="Q733" s="29">
        <v>75</v>
      </c>
      <c r="R733" s="31">
        <v>45051</v>
      </c>
      <c r="S733" s="31" t="s">
        <v>3121</v>
      </c>
      <c r="T733" s="95" t="str">
        <f t="shared" si="59"/>
        <v>2023 05</v>
      </c>
      <c r="U733" s="32">
        <f t="shared" si="56"/>
        <v>47.071984671727591</v>
      </c>
      <c r="V733" s="22">
        <f t="shared" si="57"/>
        <v>1.6854754667824585</v>
      </c>
      <c r="X733" s="33"/>
      <c r="Y733" s="33"/>
    </row>
    <row r="734" spans="1:25" x14ac:dyDescent="0.2">
      <c r="A734" s="93" t="s">
        <v>342</v>
      </c>
      <c r="B734" s="94">
        <f>IFERROR(VLOOKUP($A734,HeadJournal!$A$1:$NTR$890,COLUMN(HeadJournal!B$1),0),"")</f>
        <v>0</v>
      </c>
      <c r="C734" s="94" t="str">
        <f>IFERROR(VLOOKUP($A734,HeadJournal!$A$1:$NTR$890,COLUMN(HeadJournal!C$1),0),"")</f>
        <v>Roman</v>
      </c>
      <c r="D734" s="125" t="str">
        <f>IFERROR(VLOOKUP($A734,HeadJournal!$A$1:$NTR$890,COLUMN(HeadJournal!D$1),0),"")</f>
        <v>Доставлен</v>
      </c>
      <c r="E734" s="95">
        <f>IFERROR(VLOOKUP($A734,HeadJournal!$A$1:$NTR$890,COLUMN(HeadJournal!G$1),0),"")</f>
        <v>44938</v>
      </c>
      <c r="F734" s="95" t="str">
        <f t="shared" si="58"/>
        <v>2023 01</v>
      </c>
      <c r="G734" s="96" t="s">
        <v>7</v>
      </c>
      <c r="H734" s="160" t="s">
        <v>3731</v>
      </c>
      <c r="I734" s="96" t="str">
        <f t="shared" si="60"/>
        <v>EYENLIP</v>
      </c>
      <c r="J734" s="97" t="s">
        <v>293</v>
      </c>
      <c r="K734" s="29">
        <v>28</v>
      </c>
      <c r="L734" s="29"/>
      <c r="M734" s="30">
        <f>IFERROR(VLOOKUP($A734,HeadJournal!$A$1:$J$890,COLUMN(HeadJournal!I$1),0)*($K734+$L734)/(SUMIF($A:$A,$A734,$K:$K)+SUMIF($A:$A,$A734,$L:$L)),0)</f>
        <v>0</v>
      </c>
      <c r="N734" s="30">
        <f>IFERROR((VLOOKUP($A734,HeadJournal!$A$1:$K$890,COLUMN(HeadJournal!K$1),0)-VLOOKUP($A734,HeadJournal!$A$1:$K$890,COLUMN(HeadJournal!J$1),0))*($K734+$L734)/(SUMIF($A:$A,$A734,$K:$K)+SUMIF($A:$A,$A734,$L:$L)),0)</f>
        <v>-7.1984671727592237E-2</v>
      </c>
      <c r="O734" s="30">
        <f>IFERROR((VLOOKUP($A734,HeadJournal!$A$1:$L$890,COLUMN(HeadJournal!L$1),0)*($K734+$L734)/(SUMIF($A:$A,$A734,$K:$K)+SUMIF($A:$A,$A734,$L:$L)))/VLOOKUP($A734,HeadJournal!$A$1:$L$890,COLUMN(HeadJournal!H$1),0),0)</f>
        <v>0</v>
      </c>
      <c r="P734" s="30">
        <f>IFERROR(SUM(K734:O734)*VLOOKUP($A734,HeadJournal!$A$1:$L$890,COLUMN(HeadJournal!H$1),0),0)</f>
        <v>27.928015328272409</v>
      </c>
      <c r="Q734" s="29">
        <v>75</v>
      </c>
      <c r="R734" s="31">
        <v>45051</v>
      </c>
      <c r="S734" s="31" t="s">
        <v>3121</v>
      </c>
      <c r="T734" s="95" t="str">
        <f t="shared" si="59"/>
        <v>2023 05</v>
      </c>
      <c r="U734" s="32">
        <f t="shared" si="56"/>
        <v>47.071984671727591</v>
      </c>
      <c r="V734" s="22">
        <f t="shared" si="57"/>
        <v>1.6854754667824585</v>
      </c>
      <c r="X734" s="33"/>
      <c r="Y734" s="33"/>
    </row>
    <row r="735" spans="1:25" x14ac:dyDescent="0.2">
      <c r="A735" s="93" t="s">
        <v>342</v>
      </c>
      <c r="B735" s="94">
        <f>IFERROR(VLOOKUP($A735,HeadJournal!$A$1:$NTR$890,COLUMN(HeadJournal!B$1),0),"")</f>
        <v>0</v>
      </c>
      <c r="C735" s="94" t="str">
        <f>IFERROR(VLOOKUP($A735,HeadJournal!$A$1:$NTR$890,COLUMN(HeadJournal!C$1),0),"")</f>
        <v>Roman</v>
      </c>
      <c r="D735" s="125" t="str">
        <f>IFERROR(VLOOKUP($A735,HeadJournal!$A$1:$NTR$890,COLUMN(HeadJournal!D$1),0),"")</f>
        <v>Доставлен</v>
      </c>
      <c r="E735" s="95">
        <f>IFERROR(VLOOKUP($A735,HeadJournal!$A$1:$NTR$890,COLUMN(HeadJournal!G$1),0),"")</f>
        <v>44938</v>
      </c>
      <c r="F735" s="95" t="str">
        <f t="shared" si="58"/>
        <v>2023 01</v>
      </c>
      <c r="G735" s="96" t="s">
        <v>7</v>
      </c>
      <c r="H735" s="160" t="s">
        <v>3731</v>
      </c>
      <c r="I735" s="96" t="str">
        <f t="shared" si="60"/>
        <v>EYENLIP</v>
      </c>
      <c r="J735" s="97" t="s">
        <v>293</v>
      </c>
      <c r="K735" s="29">
        <v>28</v>
      </c>
      <c r="L735" s="29"/>
      <c r="M735" s="30">
        <f>IFERROR(VLOOKUP($A735,HeadJournal!$A$1:$J$890,COLUMN(HeadJournal!I$1),0)*($K735+$L735)/(SUMIF($A:$A,$A735,$K:$K)+SUMIF($A:$A,$A735,$L:$L)),0)</f>
        <v>0</v>
      </c>
      <c r="N735" s="30">
        <f>IFERROR((VLOOKUP($A735,HeadJournal!$A$1:$K$890,COLUMN(HeadJournal!K$1),0)-VLOOKUP($A735,HeadJournal!$A$1:$K$890,COLUMN(HeadJournal!J$1),0))*($K735+$L735)/(SUMIF($A:$A,$A735,$K:$K)+SUMIF($A:$A,$A735,$L:$L)),0)</f>
        <v>-7.1984671727592237E-2</v>
      </c>
      <c r="O735" s="30">
        <f>IFERROR((VLOOKUP($A735,HeadJournal!$A$1:$L$890,COLUMN(HeadJournal!L$1),0)*($K735+$L735)/(SUMIF($A:$A,$A735,$K:$K)+SUMIF($A:$A,$A735,$L:$L)))/VLOOKUP($A735,HeadJournal!$A$1:$L$890,COLUMN(HeadJournal!H$1),0),0)</f>
        <v>0</v>
      </c>
      <c r="P735" s="30">
        <f>IFERROR(SUM(K735:O735)*VLOOKUP($A735,HeadJournal!$A$1:$L$890,COLUMN(HeadJournal!H$1),0),0)</f>
        <v>27.928015328272409</v>
      </c>
      <c r="Q735" s="29"/>
      <c r="R735" s="31"/>
      <c r="S735" s="31"/>
      <c r="T735" s="95" t="str">
        <f t="shared" si="59"/>
        <v/>
      </c>
      <c r="U735" s="32">
        <f t="shared" si="56"/>
        <v>-27.928015328272409</v>
      </c>
      <c r="V735" s="22" t="str">
        <f t="shared" si="57"/>
        <v/>
      </c>
      <c r="X735" s="33"/>
      <c r="Y735" s="33"/>
    </row>
    <row r="736" spans="1:25" x14ac:dyDescent="0.2">
      <c r="A736" s="93" t="s">
        <v>342</v>
      </c>
      <c r="B736" s="94">
        <f>IFERROR(VLOOKUP($A736,HeadJournal!$A$1:$NTR$890,COLUMN(HeadJournal!B$1),0),"")</f>
        <v>0</v>
      </c>
      <c r="C736" s="94" t="str">
        <f>IFERROR(VLOOKUP($A736,HeadJournal!$A$1:$NTR$890,COLUMN(HeadJournal!C$1),0),"")</f>
        <v>Roman</v>
      </c>
      <c r="D736" s="125" t="str">
        <f>IFERROR(VLOOKUP($A736,HeadJournal!$A$1:$NTR$890,COLUMN(HeadJournal!D$1),0),"")</f>
        <v>Доставлен</v>
      </c>
      <c r="E736" s="95">
        <f>IFERROR(VLOOKUP($A736,HeadJournal!$A$1:$NTR$890,COLUMN(HeadJournal!G$1),0),"")</f>
        <v>44938</v>
      </c>
      <c r="F736" s="95" t="str">
        <f t="shared" si="58"/>
        <v>2023 01</v>
      </c>
      <c r="G736" s="96" t="s">
        <v>7</v>
      </c>
      <c r="H736" s="160" t="s">
        <v>3731</v>
      </c>
      <c r="I736" s="96" t="str">
        <f t="shared" si="60"/>
        <v>EYENLIP</v>
      </c>
      <c r="J736" s="97" t="s">
        <v>293</v>
      </c>
      <c r="K736" s="29">
        <v>28</v>
      </c>
      <c r="L736" s="29"/>
      <c r="M736" s="30">
        <f>IFERROR(VLOOKUP($A736,HeadJournal!$A$1:$J$890,COLUMN(HeadJournal!I$1),0)*($K736+$L736)/(SUMIF($A:$A,$A736,$K:$K)+SUMIF($A:$A,$A736,$L:$L)),0)</f>
        <v>0</v>
      </c>
      <c r="N736" s="30">
        <f>IFERROR((VLOOKUP($A736,HeadJournal!$A$1:$K$890,COLUMN(HeadJournal!K$1),0)-VLOOKUP($A736,HeadJournal!$A$1:$K$890,COLUMN(HeadJournal!J$1),0))*($K736+$L736)/(SUMIF($A:$A,$A736,$K:$K)+SUMIF($A:$A,$A736,$L:$L)),0)</f>
        <v>-7.1984671727592237E-2</v>
      </c>
      <c r="O736" s="30">
        <f>IFERROR((VLOOKUP($A736,HeadJournal!$A$1:$L$890,COLUMN(HeadJournal!L$1),0)*($K736+$L736)/(SUMIF($A:$A,$A736,$K:$K)+SUMIF($A:$A,$A736,$L:$L)))/VLOOKUP($A736,HeadJournal!$A$1:$L$890,COLUMN(HeadJournal!H$1),0),0)</f>
        <v>0</v>
      </c>
      <c r="P736" s="30">
        <f>IFERROR(SUM(K736:O736)*VLOOKUP($A736,HeadJournal!$A$1:$L$890,COLUMN(HeadJournal!H$1),0),0)</f>
        <v>27.928015328272409</v>
      </c>
      <c r="Q736" s="29"/>
      <c r="R736" s="31"/>
      <c r="S736" s="31"/>
      <c r="T736" s="95" t="str">
        <f t="shared" si="59"/>
        <v/>
      </c>
      <c r="U736" s="32">
        <f t="shared" si="56"/>
        <v>-27.928015328272409</v>
      </c>
      <c r="V736" s="22" t="str">
        <f t="shared" si="57"/>
        <v/>
      </c>
      <c r="X736" s="33"/>
      <c r="Y736" s="33"/>
    </row>
    <row r="737" spans="1:25" x14ac:dyDescent="0.2">
      <c r="A737" s="93" t="s">
        <v>342</v>
      </c>
      <c r="B737" s="94">
        <f>IFERROR(VLOOKUP($A737,HeadJournal!$A$1:$NTR$890,COLUMN(HeadJournal!B$1),0),"")</f>
        <v>0</v>
      </c>
      <c r="C737" s="94" t="str">
        <f>IFERROR(VLOOKUP($A737,HeadJournal!$A$1:$NTR$890,COLUMN(HeadJournal!C$1),0),"")</f>
        <v>Roman</v>
      </c>
      <c r="D737" s="125" t="str">
        <f>IFERROR(VLOOKUP($A737,HeadJournal!$A$1:$NTR$890,COLUMN(HeadJournal!D$1),0),"")</f>
        <v>Доставлен</v>
      </c>
      <c r="E737" s="95">
        <f>IFERROR(VLOOKUP($A737,HeadJournal!$A$1:$NTR$890,COLUMN(HeadJournal!G$1),0),"")</f>
        <v>44938</v>
      </c>
      <c r="F737" s="95" t="str">
        <f t="shared" si="58"/>
        <v>2023 01</v>
      </c>
      <c r="G737" s="96" t="s">
        <v>7</v>
      </c>
      <c r="H737" s="160" t="s">
        <v>3731</v>
      </c>
      <c r="I737" s="96" t="str">
        <f t="shared" si="60"/>
        <v>EYENLIP</v>
      </c>
      <c r="J737" s="97" t="s">
        <v>293</v>
      </c>
      <c r="K737" s="29">
        <v>28</v>
      </c>
      <c r="L737" s="29"/>
      <c r="M737" s="30">
        <f>IFERROR(VLOOKUP($A737,HeadJournal!$A$1:$J$890,COLUMN(HeadJournal!I$1),0)*($K737+$L737)/(SUMIF($A:$A,$A737,$K:$K)+SUMIF($A:$A,$A737,$L:$L)),0)</f>
        <v>0</v>
      </c>
      <c r="N737" s="30">
        <f>IFERROR((VLOOKUP($A737,HeadJournal!$A$1:$K$890,COLUMN(HeadJournal!K$1),0)-VLOOKUP($A737,HeadJournal!$A$1:$K$890,COLUMN(HeadJournal!J$1),0))*($K737+$L737)/(SUMIF($A:$A,$A737,$K:$K)+SUMIF($A:$A,$A737,$L:$L)),0)</f>
        <v>-7.1984671727592237E-2</v>
      </c>
      <c r="O737" s="30">
        <f>IFERROR((VLOOKUP($A737,HeadJournal!$A$1:$L$890,COLUMN(HeadJournal!L$1),0)*($K737+$L737)/(SUMIF($A:$A,$A737,$K:$K)+SUMIF($A:$A,$A737,$L:$L)))/VLOOKUP($A737,HeadJournal!$A$1:$L$890,COLUMN(HeadJournal!H$1),0),0)</f>
        <v>0</v>
      </c>
      <c r="P737" s="30">
        <f>IFERROR(SUM(K737:O737)*VLOOKUP($A737,HeadJournal!$A$1:$L$890,COLUMN(HeadJournal!H$1),0),0)</f>
        <v>27.928015328272409</v>
      </c>
      <c r="Q737" s="29"/>
      <c r="R737" s="31"/>
      <c r="S737" s="31"/>
      <c r="T737" s="95" t="str">
        <f t="shared" si="59"/>
        <v/>
      </c>
      <c r="U737" s="32">
        <f t="shared" si="56"/>
        <v>-27.928015328272409</v>
      </c>
      <c r="V737" s="22" t="str">
        <f t="shared" si="57"/>
        <v/>
      </c>
      <c r="X737" s="33"/>
      <c r="Y737" s="33"/>
    </row>
    <row r="738" spans="1:25" x14ac:dyDescent="0.2">
      <c r="A738" s="93" t="s">
        <v>342</v>
      </c>
      <c r="B738" s="94">
        <f>IFERROR(VLOOKUP($A738,HeadJournal!$A$1:$NTR$890,COLUMN(HeadJournal!B$1),0),"")</f>
        <v>0</v>
      </c>
      <c r="C738" s="94" t="str">
        <f>IFERROR(VLOOKUP($A738,HeadJournal!$A$1:$NTR$890,COLUMN(HeadJournal!C$1),0),"")</f>
        <v>Roman</v>
      </c>
      <c r="D738" s="125" t="str">
        <f>IFERROR(VLOOKUP($A738,HeadJournal!$A$1:$NTR$890,COLUMN(HeadJournal!D$1),0),"")</f>
        <v>Доставлен</v>
      </c>
      <c r="E738" s="95">
        <f>IFERROR(VLOOKUP($A738,HeadJournal!$A$1:$NTR$890,COLUMN(HeadJournal!G$1),0),"")</f>
        <v>44938</v>
      </c>
      <c r="F738" s="95" t="str">
        <f t="shared" si="58"/>
        <v>2023 01</v>
      </c>
      <c r="G738" s="96" t="s">
        <v>7</v>
      </c>
      <c r="H738" s="160" t="s">
        <v>3731</v>
      </c>
      <c r="I738" s="96" t="str">
        <f t="shared" si="60"/>
        <v>EYENLIP</v>
      </c>
      <c r="J738" s="97" t="s">
        <v>293</v>
      </c>
      <c r="K738" s="29">
        <v>28</v>
      </c>
      <c r="L738" s="29"/>
      <c r="M738" s="30">
        <f>IFERROR(VLOOKUP($A738,HeadJournal!$A$1:$J$890,COLUMN(HeadJournal!I$1),0)*($K738+$L738)/(SUMIF($A:$A,$A738,$K:$K)+SUMIF($A:$A,$A738,$L:$L)),0)</f>
        <v>0</v>
      </c>
      <c r="N738" s="30">
        <f>IFERROR((VLOOKUP($A738,HeadJournal!$A$1:$K$890,COLUMN(HeadJournal!K$1),0)-VLOOKUP($A738,HeadJournal!$A$1:$K$890,COLUMN(HeadJournal!J$1),0))*($K738+$L738)/(SUMIF($A:$A,$A738,$K:$K)+SUMIF($A:$A,$A738,$L:$L)),0)</f>
        <v>-7.1984671727592237E-2</v>
      </c>
      <c r="O738" s="30">
        <f>IFERROR((VLOOKUP($A738,HeadJournal!$A$1:$L$890,COLUMN(HeadJournal!L$1),0)*($K738+$L738)/(SUMIF($A:$A,$A738,$K:$K)+SUMIF($A:$A,$A738,$L:$L)))/VLOOKUP($A738,HeadJournal!$A$1:$L$890,COLUMN(HeadJournal!H$1),0),0)</f>
        <v>0</v>
      </c>
      <c r="P738" s="30">
        <f>IFERROR(SUM(K738:O738)*VLOOKUP($A738,HeadJournal!$A$1:$L$890,COLUMN(HeadJournal!H$1),0),0)</f>
        <v>27.928015328272409</v>
      </c>
      <c r="Q738" s="29"/>
      <c r="R738" s="31"/>
      <c r="S738" s="31"/>
      <c r="T738" s="95" t="str">
        <f t="shared" si="59"/>
        <v/>
      </c>
      <c r="U738" s="32">
        <f t="shared" si="56"/>
        <v>-27.928015328272409</v>
      </c>
      <c r="V738" s="22" t="str">
        <f t="shared" si="57"/>
        <v/>
      </c>
      <c r="X738" s="33"/>
      <c r="Y738" s="33"/>
    </row>
    <row r="739" spans="1:25" x14ac:dyDescent="0.2">
      <c r="A739" s="93" t="s">
        <v>342</v>
      </c>
      <c r="B739" s="94">
        <f>IFERROR(VLOOKUP($A739,HeadJournal!$A$1:$NTR$890,COLUMN(HeadJournal!B$1),0),"")</f>
        <v>0</v>
      </c>
      <c r="C739" s="94" t="str">
        <f>IFERROR(VLOOKUP($A739,HeadJournal!$A$1:$NTR$890,COLUMN(HeadJournal!C$1),0),"")</f>
        <v>Roman</v>
      </c>
      <c r="D739" s="125" t="str">
        <f>IFERROR(VLOOKUP($A739,HeadJournal!$A$1:$NTR$890,COLUMN(HeadJournal!D$1),0),"")</f>
        <v>Доставлен</v>
      </c>
      <c r="E739" s="95">
        <f>IFERROR(VLOOKUP($A739,HeadJournal!$A$1:$NTR$890,COLUMN(HeadJournal!G$1),0),"")</f>
        <v>44938</v>
      </c>
      <c r="F739" s="95" t="str">
        <f t="shared" si="58"/>
        <v>2023 01</v>
      </c>
      <c r="G739" s="96" t="s">
        <v>7</v>
      </c>
      <c r="H739" s="160" t="s">
        <v>3731</v>
      </c>
      <c r="I739" s="96" t="str">
        <f t="shared" si="60"/>
        <v>EYENLIP</v>
      </c>
      <c r="J739" s="97" t="s">
        <v>293</v>
      </c>
      <c r="K739" s="29">
        <v>28</v>
      </c>
      <c r="L739" s="29"/>
      <c r="M739" s="30">
        <f>IFERROR(VLOOKUP($A739,HeadJournal!$A$1:$J$890,COLUMN(HeadJournal!I$1),0)*($K739+$L739)/(SUMIF($A:$A,$A739,$K:$K)+SUMIF($A:$A,$A739,$L:$L)),0)</f>
        <v>0</v>
      </c>
      <c r="N739" s="30">
        <f>IFERROR((VLOOKUP($A739,HeadJournal!$A$1:$K$890,COLUMN(HeadJournal!K$1),0)-VLOOKUP($A739,HeadJournal!$A$1:$K$890,COLUMN(HeadJournal!J$1),0))*($K739+$L739)/(SUMIF($A:$A,$A739,$K:$K)+SUMIF($A:$A,$A739,$L:$L)),0)</f>
        <v>-7.1984671727592237E-2</v>
      </c>
      <c r="O739" s="30">
        <f>IFERROR((VLOOKUP($A739,HeadJournal!$A$1:$L$890,COLUMN(HeadJournal!L$1),0)*($K739+$L739)/(SUMIF($A:$A,$A739,$K:$K)+SUMIF($A:$A,$A739,$L:$L)))/VLOOKUP($A739,HeadJournal!$A$1:$L$890,COLUMN(HeadJournal!H$1),0),0)</f>
        <v>0</v>
      </c>
      <c r="P739" s="30">
        <f>IFERROR(SUM(K739:O739)*VLOOKUP($A739,HeadJournal!$A$1:$L$890,COLUMN(HeadJournal!H$1),0),0)</f>
        <v>27.928015328272409</v>
      </c>
      <c r="Q739" s="29"/>
      <c r="R739" s="31"/>
      <c r="S739" s="31"/>
      <c r="T739" s="95" t="str">
        <f t="shared" si="59"/>
        <v/>
      </c>
      <c r="U739" s="32">
        <f t="shared" si="56"/>
        <v>-27.928015328272409</v>
      </c>
      <c r="V739" s="22" t="str">
        <f t="shared" si="57"/>
        <v/>
      </c>
      <c r="X739" s="33"/>
      <c r="Y739" s="33"/>
    </row>
    <row r="740" spans="1:25" x14ac:dyDescent="0.2">
      <c r="A740" s="93" t="s">
        <v>342</v>
      </c>
      <c r="B740" s="94">
        <f>IFERROR(VLOOKUP($A740,HeadJournal!$A$1:$NTR$890,COLUMN(HeadJournal!B$1),0),"")</f>
        <v>0</v>
      </c>
      <c r="C740" s="94" t="str">
        <f>IFERROR(VLOOKUP($A740,HeadJournal!$A$1:$NTR$890,COLUMN(HeadJournal!C$1),0),"")</f>
        <v>Roman</v>
      </c>
      <c r="D740" s="125" t="str">
        <f>IFERROR(VLOOKUP($A740,HeadJournal!$A$1:$NTR$890,COLUMN(HeadJournal!D$1),0),"")</f>
        <v>Доставлен</v>
      </c>
      <c r="E740" s="95">
        <f>IFERROR(VLOOKUP($A740,HeadJournal!$A$1:$NTR$890,COLUMN(HeadJournal!G$1),0),"")</f>
        <v>44938</v>
      </c>
      <c r="F740" s="95" t="str">
        <f t="shared" si="58"/>
        <v>2023 01</v>
      </c>
      <c r="G740" s="96" t="s">
        <v>7</v>
      </c>
      <c r="H740" s="160" t="s">
        <v>3731</v>
      </c>
      <c r="I740" s="96" t="str">
        <f t="shared" si="60"/>
        <v>EYENLIP</v>
      </c>
      <c r="J740" s="97" t="s">
        <v>293</v>
      </c>
      <c r="K740" s="29">
        <v>28</v>
      </c>
      <c r="L740" s="29"/>
      <c r="M740" s="30">
        <f>IFERROR(VLOOKUP($A740,HeadJournal!$A$1:$J$890,COLUMN(HeadJournal!I$1),0)*($K740+$L740)/(SUMIF($A:$A,$A740,$K:$K)+SUMIF($A:$A,$A740,$L:$L)),0)</f>
        <v>0</v>
      </c>
      <c r="N740" s="30">
        <f>IFERROR((VLOOKUP($A740,HeadJournal!$A$1:$K$890,COLUMN(HeadJournal!K$1),0)-VLOOKUP($A740,HeadJournal!$A$1:$K$890,COLUMN(HeadJournal!J$1),0))*($K740+$L740)/(SUMIF($A:$A,$A740,$K:$K)+SUMIF($A:$A,$A740,$L:$L)),0)</f>
        <v>-7.1984671727592237E-2</v>
      </c>
      <c r="O740" s="30">
        <f>IFERROR((VLOOKUP($A740,HeadJournal!$A$1:$L$890,COLUMN(HeadJournal!L$1),0)*($K740+$L740)/(SUMIF($A:$A,$A740,$K:$K)+SUMIF($A:$A,$A740,$L:$L)))/VLOOKUP($A740,HeadJournal!$A$1:$L$890,COLUMN(HeadJournal!H$1),0),0)</f>
        <v>0</v>
      </c>
      <c r="P740" s="30">
        <f>IFERROR(SUM(K740:O740)*VLOOKUP($A740,HeadJournal!$A$1:$L$890,COLUMN(HeadJournal!H$1),0),0)</f>
        <v>27.928015328272409</v>
      </c>
      <c r="Q740" s="29"/>
      <c r="R740" s="31"/>
      <c r="S740" s="31"/>
      <c r="T740" s="95" t="str">
        <f t="shared" si="59"/>
        <v/>
      </c>
      <c r="U740" s="32">
        <f t="shared" si="56"/>
        <v>-27.928015328272409</v>
      </c>
      <c r="V740" s="22" t="str">
        <f t="shared" si="57"/>
        <v/>
      </c>
      <c r="X740" s="33"/>
      <c r="Y740" s="33"/>
    </row>
    <row r="741" spans="1:25" x14ac:dyDescent="0.2">
      <c r="A741" s="93" t="s">
        <v>342</v>
      </c>
      <c r="B741" s="94">
        <f>IFERROR(VLOOKUP($A741,HeadJournal!$A$1:$NTR$890,COLUMN(HeadJournal!B$1),0),"")</f>
        <v>0</v>
      </c>
      <c r="C741" s="94" t="str">
        <f>IFERROR(VLOOKUP($A741,HeadJournal!$A$1:$NTR$890,COLUMN(HeadJournal!C$1),0),"")</f>
        <v>Roman</v>
      </c>
      <c r="D741" s="125" t="str">
        <f>IFERROR(VLOOKUP($A741,HeadJournal!$A$1:$NTR$890,COLUMN(HeadJournal!D$1),0),"")</f>
        <v>Доставлен</v>
      </c>
      <c r="E741" s="95">
        <f>IFERROR(VLOOKUP($A741,HeadJournal!$A$1:$NTR$890,COLUMN(HeadJournal!G$1),0),"")</f>
        <v>44938</v>
      </c>
      <c r="F741" s="95" t="str">
        <f t="shared" si="58"/>
        <v>2023 01</v>
      </c>
      <c r="G741" s="96" t="s">
        <v>7</v>
      </c>
      <c r="H741" s="160" t="s">
        <v>3731</v>
      </c>
      <c r="I741" s="96" t="str">
        <f t="shared" si="60"/>
        <v>EYENLIP</v>
      </c>
      <c r="J741" s="97" t="s">
        <v>293</v>
      </c>
      <c r="K741" s="29">
        <v>28</v>
      </c>
      <c r="L741" s="29"/>
      <c r="M741" s="30">
        <f>IFERROR(VLOOKUP($A741,HeadJournal!$A$1:$J$890,COLUMN(HeadJournal!I$1),0)*($K741+$L741)/(SUMIF($A:$A,$A741,$K:$K)+SUMIF($A:$A,$A741,$L:$L)),0)</f>
        <v>0</v>
      </c>
      <c r="N741" s="30">
        <f>IFERROR((VLOOKUP($A741,HeadJournal!$A$1:$K$890,COLUMN(HeadJournal!K$1),0)-VLOOKUP($A741,HeadJournal!$A$1:$K$890,COLUMN(HeadJournal!J$1),0))*($K741+$L741)/(SUMIF($A:$A,$A741,$K:$K)+SUMIF($A:$A,$A741,$L:$L)),0)</f>
        <v>-7.1984671727592237E-2</v>
      </c>
      <c r="O741" s="30">
        <f>IFERROR((VLOOKUP($A741,HeadJournal!$A$1:$L$890,COLUMN(HeadJournal!L$1),0)*($K741+$L741)/(SUMIF($A:$A,$A741,$K:$K)+SUMIF($A:$A,$A741,$L:$L)))/VLOOKUP($A741,HeadJournal!$A$1:$L$890,COLUMN(HeadJournal!H$1),0),0)</f>
        <v>0</v>
      </c>
      <c r="P741" s="30">
        <f>IFERROR(SUM(K741:O741)*VLOOKUP($A741,HeadJournal!$A$1:$L$890,COLUMN(HeadJournal!H$1),0),0)</f>
        <v>27.928015328272409</v>
      </c>
      <c r="Q741" s="29"/>
      <c r="R741" s="31"/>
      <c r="S741" s="31"/>
      <c r="T741" s="95" t="str">
        <f t="shared" si="59"/>
        <v/>
      </c>
      <c r="U741" s="32">
        <f t="shared" si="56"/>
        <v>-27.928015328272409</v>
      </c>
      <c r="V741" s="22" t="str">
        <f t="shared" si="57"/>
        <v/>
      </c>
      <c r="X741" s="33"/>
      <c r="Y741" s="33"/>
    </row>
    <row r="742" spans="1:25" x14ac:dyDescent="0.2">
      <c r="A742" s="93" t="s">
        <v>342</v>
      </c>
      <c r="B742" s="94">
        <f>IFERROR(VLOOKUP($A742,HeadJournal!$A$1:$NTR$890,COLUMN(HeadJournal!B$1),0),"")</f>
        <v>0</v>
      </c>
      <c r="C742" s="94" t="str">
        <f>IFERROR(VLOOKUP($A742,HeadJournal!$A$1:$NTR$890,COLUMN(HeadJournal!C$1),0),"")</f>
        <v>Roman</v>
      </c>
      <c r="D742" s="125" t="str">
        <f>IFERROR(VLOOKUP($A742,HeadJournal!$A$1:$NTR$890,COLUMN(HeadJournal!D$1),0),"")</f>
        <v>Доставлен</v>
      </c>
      <c r="E742" s="95">
        <f>IFERROR(VLOOKUP($A742,HeadJournal!$A$1:$NTR$890,COLUMN(HeadJournal!G$1),0),"")</f>
        <v>44938</v>
      </c>
      <c r="F742" s="95" t="str">
        <f t="shared" si="58"/>
        <v>2023 01</v>
      </c>
      <c r="G742" s="96" t="s">
        <v>7</v>
      </c>
      <c r="H742" s="160" t="s">
        <v>3731</v>
      </c>
      <c r="I742" s="96" t="str">
        <f t="shared" si="60"/>
        <v>EYENLIP</v>
      </c>
      <c r="J742" s="97" t="s">
        <v>293</v>
      </c>
      <c r="K742" s="29">
        <v>28</v>
      </c>
      <c r="L742" s="29"/>
      <c r="M742" s="30">
        <f>IFERROR(VLOOKUP($A742,HeadJournal!$A$1:$J$890,COLUMN(HeadJournal!I$1),0)*($K742+$L742)/(SUMIF($A:$A,$A742,$K:$K)+SUMIF($A:$A,$A742,$L:$L)),0)</f>
        <v>0</v>
      </c>
      <c r="N742" s="30">
        <f>IFERROR((VLOOKUP($A742,HeadJournal!$A$1:$K$890,COLUMN(HeadJournal!K$1),0)-VLOOKUP($A742,HeadJournal!$A$1:$K$890,COLUMN(HeadJournal!J$1),0))*($K742+$L742)/(SUMIF($A:$A,$A742,$K:$K)+SUMIF($A:$A,$A742,$L:$L)),0)</f>
        <v>-7.1984671727592237E-2</v>
      </c>
      <c r="O742" s="30">
        <f>IFERROR((VLOOKUP($A742,HeadJournal!$A$1:$L$890,COLUMN(HeadJournal!L$1),0)*($K742+$L742)/(SUMIF($A:$A,$A742,$K:$K)+SUMIF($A:$A,$A742,$L:$L)))/VLOOKUP($A742,HeadJournal!$A$1:$L$890,COLUMN(HeadJournal!H$1),0),0)</f>
        <v>0</v>
      </c>
      <c r="P742" s="30">
        <f>IFERROR(SUM(K742:O742)*VLOOKUP($A742,HeadJournal!$A$1:$L$890,COLUMN(HeadJournal!H$1),0),0)</f>
        <v>27.928015328272409</v>
      </c>
      <c r="Q742" s="29"/>
      <c r="R742" s="31"/>
      <c r="S742" s="31"/>
      <c r="T742" s="95" t="str">
        <f t="shared" si="59"/>
        <v/>
      </c>
      <c r="U742" s="32">
        <f t="shared" si="56"/>
        <v>-27.928015328272409</v>
      </c>
      <c r="V742" s="22" t="str">
        <f t="shared" si="57"/>
        <v/>
      </c>
      <c r="X742" s="33"/>
      <c r="Y742" s="33"/>
    </row>
    <row r="743" spans="1:25" x14ac:dyDescent="0.2">
      <c r="A743" s="93" t="s">
        <v>342</v>
      </c>
      <c r="B743" s="94">
        <f>IFERROR(VLOOKUP($A743,HeadJournal!$A$1:$NTR$890,COLUMN(HeadJournal!B$1),0),"")</f>
        <v>0</v>
      </c>
      <c r="C743" s="94" t="str">
        <f>IFERROR(VLOOKUP($A743,HeadJournal!$A$1:$NTR$890,COLUMN(HeadJournal!C$1),0),"")</f>
        <v>Roman</v>
      </c>
      <c r="D743" s="125" t="str">
        <f>IFERROR(VLOOKUP($A743,HeadJournal!$A$1:$NTR$890,COLUMN(HeadJournal!D$1),0),"")</f>
        <v>Доставлен</v>
      </c>
      <c r="E743" s="95">
        <f>IFERROR(VLOOKUP($A743,HeadJournal!$A$1:$NTR$890,COLUMN(HeadJournal!G$1),0),"")</f>
        <v>44938</v>
      </c>
      <c r="F743" s="95" t="str">
        <f t="shared" si="58"/>
        <v>2023 01</v>
      </c>
      <c r="G743" s="96" t="s">
        <v>7</v>
      </c>
      <c r="H743" s="160" t="s">
        <v>3731</v>
      </c>
      <c r="I743" s="96" t="str">
        <f t="shared" si="60"/>
        <v>EYENLIP</v>
      </c>
      <c r="J743" s="97" t="s">
        <v>293</v>
      </c>
      <c r="K743" s="29">
        <v>28</v>
      </c>
      <c r="L743" s="29"/>
      <c r="M743" s="30">
        <f>IFERROR(VLOOKUP($A743,HeadJournal!$A$1:$J$890,COLUMN(HeadJournal!I$1),0)*($K743+$L743)/(SUMIF($A:$A,$A743,$K:$K)+SUMIF($A:$A,$A743,$L:$L)),0)</f>
        <v>0</v>
      </c>
      <c r="N743" s="30">
        <f>IFERROR((VLOOKUP($A743,HeadJournal!$A$1:$K$890,COLUMN(HeadJournal!K$1),0)-VLOOKUP($A743,HeadJournal!$A$1:$K$890,COLUMN(HeadJournal!J$1),0))*($K743+$L743)/(SUMIF($A:$A,$A743,$K:$K)+SUMIF($A:$A,$A743,$L:$L)),0)</f>
        <v>-7.1984671727592237E-2</v>
      </c>
      <c r="O743" s="30">
        <f>IFERROR((VLOOKUP($A743,HeadJournal!$A$1:$L$890,COLUMN(HeadJournal!L$1),0)*($K743+$L743)/(SUMIF($A:$A,$A743,$K:$K)+SUMIF($A:$A,$A743,$L:$L)))/VLOOKUP($A743,HeadJournal!$A$1:$L$890,COLUMN(HeadJournal!H$1),0),0)</f>
        <v>0</v>
      </c>
      <c r="P743" s="30">
        <f>IFERROR(SUM(K743:O743)*VLOOKUP($A743,HeadJournal!$A$1:$L$890,COLUMN(HeadJournal!H$1),0),0)</f>
        <v>27.928015328272409</v>
      </c>
      <c r="Q743" s="29"/>
      <c r="R743" s="31"/>
      <c r="S743" s="31"/>
      <c r="T743" s="95" t="str">
        <f t="shared" si="59"/>
        <v/>
      </c>
      <c r="U743" s="32">
        <f t="shared" si="56"/>
        <v>-27.928015328272409</v>
      </c>
      <c r="V743" s="22" t="str">
        <f t="shared" si="57"/>
        <v/>
      </c>
      <c r="X743" s="33"/>
      <c r="Y743" s="33"/>
    </row>
    <row r="744" spans="1:25" x14ac:dyDescent="0.2">
      <c r="A744" s="93" t="s">
        <v>342</v>
      </c>
      <c r="B744" s="94">
        <f>IFERROR(VLOOKUP($A744,HeadJournal!$A$1:$NTR$890,COLUMN(HeadJournal!B$1),0),"")</f>
        <v>0</v>
      </c>
      <c r="C744" s="94" t="str">
        <f>IFERROR(VLOOKUP($A744,HeadJournal!$A$1:$NTR$890,COLUMN(HeadJournal!C$1),0),"")</f>
        <v>Roman</v>
      </c>
      <c r="D744" s="125" t="str">
        <f>IFERROR(VLOOKUP($A744,HeadJournal!$A$1:$NTR$890,COLUMN(HeadJournal!D$1),0),"")</f>
        <v>Доставлен</v>
      </c>
      <c r="E744" s="95">
        <f>IFERROR(VLOOKUP($A744,HeadJournal!$A$1:$NTR$890,COLUMN(HeadJournal!G$1),0),"")</f>
        <v>44938</v>
      </c>
      <c r="F744" s="95" t="str">
        <f t="shared" si="58"/>
        <v>2023 01</v>
      </c>
      <c r="G744" s="96" t="s">
        <v>7</v>
      </c>
      <c r="H744" s="160" t="s">
        <v>3731</v>
      </c>
      <c r="I744" s="96" t="str">
        <f t="shared" si="60"/>
        <v>EYENLIP</v>
      </c>
      <c r="J744" s="97" t="s">
        <v>293</v>
      </c>
      <c r="K744" s="29">
        <v>28</v>
      </c>
      <c r="L744" s="29"/>
      <c r="M744" s="30">
        <f>IFERROR(VLOOKUP($A744,HeadJournal!$A$1:$J$890,COLUMN(HeadJournal!I$1),0)*($K744+$L744)/(SUMIF($A:$A,$A744,$K:$K)+SUMIF($A:$A,$A744,$L:$L)),0)</f>
        <v>0</v>
      </c>
      <c r="N744" s="30">
        <f>IFERROR((VLOOKUP($A744,HeadJournal!$A$1:$K$890,COLUMN(HeadJournal!K$1),0)-VLOOKUP($A744,HeadJournal!$A$1:$K$890,COLUMN(HeadJournal!J$1),0))*($K744+$L744)/(SUMIF($A:$A,$A744,$K:$K)+SUMIF($A:$A,$A744,$L:$L)),0)</f>
        <v>-7.1984671727592237E-2</v>
      </c>
      <c r="O744" s="30">
        <f>IFERROR((VLOOKUP($A744,HeadJournal!$A$1:$L$890,COLUMN(HeadJournal!L$1),0)*($K744+$L744)/(SUMIF($A:$A,$A744,$K:$K)+SUMIF($A:$A,$A744,$L:$L)))/VLOOKUP($A744,HeadJournal!$A$1:$L$890,COLUMN(HeadJournal!H$1),0),0)</f>
        <v>0</v>
      </c>
      <c r="P744" s="30">
        <f>IFERROR(SUM(K744:O744)*VLOOKUP($A744,HeadJournal!$A$1:$L$890,COLUMN(HeadJournal!H$1),0),0)</f>
        <v>27.928015328272409</v>
      </c>
      <c r="Q744" s="29"/>
      <c r="R744" s="31"/>
      <c r="S744" s="31"/>
      <c r="T744" s="95" t="str">
        <f t="shared" si="59"/>
        <v/>
      </c>
      <c r="U744" s="32">
        <f t="shared" si="56"/>
        <v>-27.928015328272409</v>
      </c>
      <c r="V744" s="22" t="str">
        <f t="shared" si="57"/>
        <v/>
      </c>
      <c r="X744" s="33"/>
      <c r="Y744" s="33"/>
    </row>
    <row r="745" spans="1:25" x14ac:dyDescent="0.2">
      <c r="A745" s="93" t="s">
        <v>342</v>
      </c>
      <c r="B745" s="94">
        <f>IFERROR(VLOOKUP($A745,HeadJournal!$A$1:$NTR$890,COLUMN(HeadJournal!B$1),0),"")</f>
        <v>0</v>
      </c>
      <c r="C745" s="94" t="str">
        <f>IFERROR(VLOOKUP($A745,HeadJournal!$A$1:$NTR$890,COLUMN(HeadJournal!C$1),0),"")</f>
        <v>Roman</v>
      </c>
      <c r="D745" s="125" t="str">
        <f>IFERROR(VLOOKUP($A745,HeadJournal!$A$1:$NTR$890,COLUMN(HeadJournal!D$1),0),"")</f>
        <v>Доставлен</v>
      </c>
      <c r="E745" s="95">
        <f>IFERROR(VLOOKUP($A745,HeadJournal!$A$1:$NTR$890,COLUMN(HeadJournal!G$1),0),"")</f>
        <v>44938</v>
      </c>
      <c r="F745" s="95" t="str">
        <f t="shared" si="58"/>
        <v>2023 01</v>
      </c>
      <c r="G745" s="96" t="s">
        <v>5</v>
      </c>
      <c r="H745" s="161" t="s">
        <v>2771</v>
      </c>
      <c r="I745" s="97" t="s">
        <v>2052</v>
      </c>
      <c r="J745" s="97" t="s">
        <v>3858</v>
      </c>
      <c r="K745" s="29">
        <v>350</v>
      </c>
      <c r="L745" s="29"/>
      <c r="M745" s="30">
        <f>IFERROR(VLOOKUP($A745,HeadJournal!$A$1:$J$890,COLUMN(HeadJournal!I$1),0)*($K745+$L745)/(SUMIF($A:$A,$A745,$K:$K)+SUMIF($A:$A,$A745,$L:$L)),0)</f>
        <v>0</v>
      </c>
      <c r="N745" s="30">
        <f>IFERROR((VLOOKUP($A745,HeadJournal!$A$1:$K$890,COLUMN(HeadJournal!K$1),0)-VLOOKUP($A745,HeadJournal!$A$1:$K$890,COLUMN(HeadJournal!J$1),0))*($K745+$L745)/(SUMIF($A:$A,$A745,$K:$K)+SUMIF($A:$A,$A745,$L:$L)),0)</f>
        <v>-0.89980839659490297</v>
      </c>
      <c r="O745" s="30">
        <f>IFERROR((VLOOKUP($A745,HeadJournal!$A$1:$L$890,COLUMN(HeadJournal!L$1),0)*($K745+$L745)/(SUMIF($A:$A,$A745,$K:$K)+SUMIF($A:$A,$A745,$L:$L)))/VLOOKUP($A745,HeadJournal!$A$1:$L$890,COLUMN(HeadJournal!H$1),0),0)</f>
        <v>0</v>
      </c>
      <c r="P745" s="30">
        <f>IFERROR(SUM(K745:O745)*VLOOKUP($A745,HeadJournal!$A$1:$L$890,COLUMN(HeadJournal!H$1),0),0)</f>
        <v>349.10019160340511</v>
      </c>
      <c r="Q745" s="29">
        <v>1200</v>
      </c>
      <c r="R745" s="31">
        <v>44954</v>
      </c>
      <c r="S745" s="31" t="s">
        <v>3121</v>
      </c>
      <c r="T745" s="95" t="str">
        <f t="shared" si="59"/>
        <v>2023 01</v>
      </c>
      <c r="U745" s="32">
        <f t="shared" si="56"/>
        <v>850.89980839659484</v>
      </c>
      <c r="V745" s="22">
        <f t="shared" si="57"/>
        <v>2.4374085974815465</v>
      </c>
      <c r="X745" s="33"/>
      <c r="Y745" s="33"/>
    </row>
    <row r="746" spans="1:25" x14ac:dyDescent="0.2">
      <c r="A746" s="93" t="s">
        <v>342</v>
      </c>
      <c r="B746" s="94">
        <f>IFERROR(VLOOKUP($A746,HeadJournal!$A$1:$NTR$890,COLUMN(HeadJournal!B$1),0),"")</f>
        <v>0</v>
      </c>
      <c r="C746" s="94" t="str">
        <f>IFERROR(VLOOKUP($A746,HeadJournal!$A$1:$NTR$890,COLUMN(HeadJournal!C$1),0),"")</f>
        <v>Roman</v>
      </c>
      <c r="D746" s="125" t="str">
        <f>IFERROR(VLOOKUP($A746,HeadJournal!$A$1:$NTR$890,COLUMN(HeadJournal!D$1),0),"")</f>
        <v>Доставлен</v>
      </c>
      <c r="E746" s="95">
        <f>IFERROR(VLOOKUP($A746,HeadJournal!$A$1:$NTR$890,COLUMN(HeadJournal!G$1),0),"")</f>
        <v>44938</v>
      </c>
      <c r="F746" s="95" t="str">
        <f t="shared" si="58"/>
        <v>2023 01</v>
      </c>
      <c r="G746" s="96" t="s">
        <v>5</v>
      </c>
      <c r="H746" s="161" t="s">
        <v>2771</v>
      </c>
      <c r="I746" s="97" t="s">
        <v>2052</v>
      </c>
      <c r="J746" s="97" t="s">
        <v>3858</v>
      </c>
      <c r="K746" s="29">
        <v>350</v>
      </c>
      <c r="L746" s="29"/>
      <c r="M746" s="30">
        <f>IFERROR(VLOOKUP($A746,HeadJournal!$A$1:$J$890,COLUMN(HeadJournal!I$1),0)*($K746+$L746)/(SUMIF($A:$A,$A746,$K:$K)+SUMIF($A:$A,$A746,$L:$L)),0)</f>
        <v>0</v>
      </c>
      <c r="N746" s="30">
        <f>IFERROR((VLOOKUP($A746,HeadJournal!$A$1:$K$890,COLUMN(HeadJournal!K$1),0)-VLOOKUP($A746,HeadJournal!$A$1:$K$890,COLUMN(HeadJournal!J$1),0))*($K746+$L746)/(SUMIF($A:$A,$A746,$K:$K)+SUMIF($A:$A,$A746,$L:$L)),0)</f>
        <v>-0.89980839659490297</v>
      </c>
      <c r="O746" s="30">
        <f>IFERROR((VLOOKUP($A746,HeadJournal!$A$1:$L$890,COLUMN(HeadJournal!L$1),0)*($K746+$L746)/(SUMIF($A:$A,$A746,$K:$K)+SUMIF($A:$A,$A746,$L:$L)))/VLOOKUP($A746,HeadJournal!$A$1:$L$890,COLUMN(HeadJournal!H$1),0),0)</f>
        <v>0</v>
      </c>
      <c r="P746" s="30">
        <f>IFERROR(SUM(K746:O746)*VLOOKUP($A746,HeadJournal!$A$1:$L$890,COLUMN(HeadJournal!H$1),0),0)</f>
        <v>349.10019160340511</v>
      </c>
      <c r="Q746" s="29">
        <v>1200</v>
      </c>
      <c r="R746" s="31">
        <v>44961</v>
      </c>
      <c r="S746" s="31" t="s">
        <v>3121</v>
      </c>
      <c r="T746" s="95" t="str">
        <f t="shared" si="59"/>
        <v>2023 02</v>
      </c>
      <c r="U746" s="32">
        <f t="shared" si="56"/>
        <v>850.89980839659484</v>
      </c>
      <c r="V746" s="22">
        <f t="shared" si="57"/>
        <v>2.4374085974815465</v>
      </c>
      <c r="X746" s="33"/>
      <c r="Y746" s="33"/>
    </row>
    <row r="747" spans="1:25" x14ac:dyDescent="0.2">
      <c r="A747" s="93" t="s">
        <v>342</v>
      </c>
      <c r="B747" s="94">
        <f>IFERROR(VLOOKUP($A747,HeadJournal!$A$1:$NTR$890,COLUMN(HeadJournal!B$1),0),"")</f>
        <v>0</v>
      </c>
      <c r="C747" s="94" t="str">
        <f>IFERROR(VLOOKUP($A747,HeadJournal!$A$1:$NTR$890,COLUMN(HeadJournal!C$1),0),"")</f>
        <v>Roman</v>
      </c>
      <c r="D747" s="125" t="str">
        <f>IFERROR(VLOOKUP($A747,HeadJournal!$A$1:$NTR$890,COLUMN(HeadJournal!D$1),0),"")</f>
        <v>Доставлен</v>
      </c>
      <c r="E747" s="95">
        <f>IFERROR(VLOOKUP($A747,HeadJournal!$A$1:$NTR$890,COLUMN(HeadJournal!G$1),0),"")</f>
        <v>44938</v>
      </c>
      <c r="F747" s="95" t="str">
        <f t="shared" si="58"/>
        <v>2023 01</v>
      </c>
      <c r="G747" s="96" t="s">
        <v>5</v>
      </c>
      <c r="H747" s="161" t="s">
        <v>2771</v>
      </c>
      <c r="I747" s="97" t="s">
        <v>2052</v>
      </c>
      <c r="J747" s="97" t="s">
        <v>3858</v>
      </c>
      <c r="K747" s="29">
        <v>350</v>
      </c>
      <c r="L747" s="29"/>
      <c r="M747" s="30">
        <f>IFERROR(VLOOKUP($A747,HeadJournal!$A$1:$J$890,COLUMN(HeadJournal!I$1),0)*($K747+$L747)/(SUMIF($A:$A,$A747,$K:$K)+SUMIF($A:$A,$A747,$L:$L)),0)</f>
        <v>0</v>
      </c>
      <c r="N747" s="30">
        <f>IFERROR((VLOOKUP($A747,HeadJournal!$A$1:$K$890,COLUMN(HeadJournal!K$1),0)-VLOOKUP($A747,HeadJournal!$A$1:$K$890,COLUMN(HeadJournal!J$1),0))*($K747+$L747)/(SUMIF($A:$A,$A747,$K:$K)+SUMIF($A:$A,$A747,$L:$L)),0)</f>
        <v>-0.89980839659490297</v>
      </c>
      <c r="O747" s="30">
        <f>IFERROR((VLOOKUP($A747,HeadJournal!$A$1:$L$890,COLUMN(HeadJournal!L$1),0)*($K747+$L747)/(SUMIF($A:$A,$A747,$K:$K)+SUMIF($A:$A,$A747,$L:$L)))/VLOOKUP($A747,HeadJournal!$A$1:$L$890,COLUMN(HeadJournal!H$1),0),0)</f>
        <v>0</v>
      </c>
      <c r="P747" s="30">
        <f>IFERROR(SUM(K747:O747)*VLOOKUP($A747,HeadJournal!$A$1:$L$890,COLUMN(HeadJournal!H$1),0),0)</f>
        <v>349.10019160340511</v>
      </c>
      <c r="Q747" s="29">
        <v>1200</v>
      </c>
      <c r="R747" s="31">
        <v>45004</v>
      </c>
      <c r="S747" s="31" t="s">
        <v>3121</v>
      </c>
      <c r="T747" s="95" t="str">
        <f t="shared" si="59"/>
        <v>2023 03</v>
      </c>
      <c r="U747" s="32">
        <f t="shared" si="56"/>
        <v>850.89980839659484</v>
      </c>
      <c r="V747" s="22">
        <f t="shared" si="57"/>
        <v>2.4374085974815465</v>
      </c>
      <c r="X747" s="33"/>
      <c r="Y747" s="33"/>
    </row>
    <row r="748" spans="1:25" x14ac:dyDescent="0.2">
      <c r="A748" s="93" t="s">
        <v>342</v>
      </c>
      <c r="B748" s="94">
        <f>IFERROR(VLOOKUP($A748,HeadJournal!$A$1:$NTR$890,COLUMN(HeadJournal!B$1),0),"")</f>
        <v>0</v>
      </c>
      <c r="C748" s="94" t="str">
        <f>IFERROR(VLOOKUP($A748,HeadJournal!$A$1:$NTR$890,COLUMN(HeadJournal!C$1),0),"")</f>
        <v>Roman</v>
      </c>
      <c r="D748" s="125" t="str">
        <f>IFERROR(VLOOKUP($A748,HeadJournal!$A$1:$NTR$890,COLUMN(HeadJournal!D$1),0),"")</f>
        <v>Доставлен</v>
      </c>
      <c r="E748" s="95">
        <f>IFERROR(VLOOKUP($A748,HeadJournal!$A$1:$NTR$890,COLUMN(HeadJournal!G$1),0),"")</f>
        <v>44938</v>
      </c>
      <c r="F748" s="95" t="str">
        <f t="shared" si="58"/>
        <v>2023 01</v>
      </c>
      <c r="G748" s="96" t="s">
        <v>5</v>
      </c>
      <c r="H748" s="161" t="s">
        <v>2845</v>
      </c>
      <c r="I748" s="97" t="s">
        <v>2839</v>
      </c>
      <c r="J748" s="97" t="s">
        <v>2846</v>
      </c>
      <c r="K748" s="29">
        <v>1120</v>
      </c>
      <c r="L748" s="29"/>
      <c r="M748" s="30">
        <f>IFERROR(VLOOKUP($A748,HeadJournal!$A$1:$J$890,COLUMN(HeadJournal!I$1),0)*($K748+$L748)/(SUMIF($A:$A,$A748,$K:$K)+SUMIF($A:$A,$A748,$L:$L)),0)</f>
        <v>0</v>
      </c>
      <c r="N748" s="30">
        <f>IFERROR((VLOOKUP($A748,HeadJournal!$A$1:$K$890,COLUMN(HeadJournal!K$1),0)-VLOOKUP($A748,HeadJournal!$A$1:$K$890,COLUMN(HeadJournal!J$1),0))*($K748+$L748)/(SUMIF($A:$A,$A748,$K:$K)+SUMIF($A:$A,$A748,$L:$L)),0)</f>
        <v>-2.8793868691036897</v>
      </c>
      <c r="O748" s="30">
        <f>IFERROR((VLOOKUP($A748,HeadJournal!$A$1:$L$890,COLUMN(HeadJournal!L$1),0)*($K748+$L748)/(SUMIF($A:$A,$A748,$K:$K)+SUMIF($A:$A,$A748,$L:$L)))/VLOOKUP($A748,HeadJournal!$A$1:$L$890,COLUMN(HeadJournal!H$1),0),0)</f>
        <v>0</v>
      </c>
      <c r="P748" s="30">
        <f>IFERROR(SUM(K748:O748)*VLOOKUP($A748,HeadJournal!$A$1:$L$890,COLUMN(HeadJournal!H$1),0),0)</f>
        <v>1117.1206131308963</v>
      </c>
      <c r="Q748" s="29">
        <v>3000</v>
      </c>
      <c r="R748" s="31">
        <v>44945</v>
      </c>
      <c r="S748" s="31" t="s">
        <v>3121</v>
      </c>
      <c r="T748" s="95" t="str">
        <f t="shared" si="59"/>
        <v>2023 01</v>
      </c>
      <c r="U748" s="32">
        <f t="shared" si="56"/>
        <v>1882.8793868691037</v>
      </c>
      <c r="V748" s="22">
        <f t="shared" si="57"/>
        <v>1.6854754667824585</v>
      </c>
      <c r="X748" s="33"/>
      <c r="Y748" s="33"/>
    </row>
    <row r="749" spans="1:25" x14ac:dyDescent="0.2">
      <c r="A749" s="93" t="s">
        <v>342</v>
      </c>
      <c r="B749" s="94">
        <f>IFERROR(VLOOKUP($A749,HeadJournal!$A$1:$NTR$890,COLUMN(HeadJournal!B$1),0),"")</f>
        <v>0</v>
      </c>
      <c r="C749" s="94" t="str">
        <f>IFERROR(VLOOKUP($A749,HeadJournal!$A$1:$NTR$890,COLUMN(HeadJournal!C$1),0),"")</f>
        <v>Roman</v>
      </c>
      <c r="D749" s="125" t="str">
        <f>IFERROR(VLOOKUP($A749,HeadJournal!$A$1:$NTR$890,COLUMN(HeadJournal!D$1),0),"")</f>
        <v>Доставлен</v>
      </c>
      <c r="E749" s="95">
        <f>IFERROR(VLOOKUP($A749,HeadJournal!$A$1:$NTR$890,COLUMN(HeadJournal!G$1),0),"")</f>
        <v>44938</v>
      </c>
      <c r="F749" s="95" t="str">
        <f t="shared" si="58"/>
        <v>2023 01</v>
      </c>
      <c r="G749" s="96" t="s">
        <v>5</v>
      </c>
      <c r="H749" s="161" t="s">
        <v>2845</v>
      </c>
      <c r="I749" s="97" t="s">
        <v>2839</v>
      </c>
      <c r="J749" s="97" t="s">
        <v>2846</v>
      </c>
      <c r="K749" s="29">
        <v>1120</v>
      </c>
      <c r="L749" s="29"/>
      <c r="M749" s="30">
        <f>IFERROR(VLOOKUP($A749,HeadJournal!$A$1:$J$890,COLUMN(HeadJournal!I$1),0)*($K749+$L749)/(SUMIF($A:$A,$A749,$K:$K)+SUMIF($A:$A,$A749,$L:$L)),0)</f>
        <v>0</v>
      </c>
      <c r="N749" s="30">
        <f>IFERROR((VLOOKUP($A749,HeadJournal!$A$1:$K$890,COLUMN(HeadJournal!K$1),0)-VLOOKUP($A749,HeadJournal!$A$1:$K$890,COLUMN(HeadJournal!J$1),0))*($K749+$L749)/(SUMIF($A:$A,$A749,$K:$K)+SUMIF($A:$A,$A749,$L:$L)),0)</f>
        <v>-2.8793868691036897</v>
      </c>
      <c r="O749" s="30">
        <f>IFERROR((VLOOKUP($A749,HeadJournal!$A$1:$L$890,COLUMN(HeadJournal!L$1),0)*($K749+$L749)/(SUMIF($A:$A,$A749,$K:$K)+SUMIF($A:$A,$A749,$L:$L)))/VLOOKUP($A749,HeadJournal!$A$1:$L$890,COLUMN(HeadJournal!H$1),0),0)</f>
        <v>0</v>
      </c>
      <c r="P749" s="30">
        <f>IFERROR(SUM(K749:O749)*VLOOKUP($A749,HeadJournal!$A$1:$L$890,COLUMN(HeadJournal!H$1),0),0)</f>
        <v>1117.1206131308963</v>
      </c>
      <c r="Q749" s="29">
        <v>3000</v>
      </c>
      <c r="R749" s="31">
        <v>44950</v>
      </c>
      <c r="S749" s="31" t="s">
        <v>3121</v>
      </c>
      <c r="T749" s="95" t="str">
        <f t="shared" si="59"/>
        <v>2023 01</v>
      </c>
      <c r="U749" s="32">
        <f t="shared" si="56"/>
        <v>1882.8793868691037</v>
      </c>
      <c r="V749" s="22">
        <f t="shared" si="57"/>
        <v>1.6854754667824585</v>
      </c>
      <c r="X749" s="33"/>
      <c r="Y749" s="33"/>
    </row>
    <row r="750" spans="1:25" x14ac:dyDescent="0.2">
      <c r="A750" s="93" t="s">
        <v>342</v>
      </c>
      <c r="B750" s="94">
        <f>IFERROR(VLOOKUP($A750,HeadJournal!$A$1:$NTR$890,COLUMN(HeadJournal!B$1),0),"")</f>
        <v>0</v>
      </c>
      <c r="C750" s="94" t="str">
        <f>IFERROR(VLOOKUP($A750,HeadJournal!$A$1:$NTR$890,COLUMN(HeadJournal!C$1),0),"")</f>
        <v>Roman</v>
      </c>
      <c r="D750" s="125" t="str">
        <f>IFERROR(VLOOKUP($A750,HeadJournal!$A$1:$NTR$890,COLUMN(HeadJournal!D$1),0),"")</f>
        <v>Доставлен</v>
      </c>
      <c r="E750" s="95">
        <f>IFERROR(VLOOKUP($A750,HeadJournal!$A$1:$NTR$890,COLUMN(HeadJournal!G$1),0),"")</f>
        <v>44938</v>
      </c>
      <c r="F750" s="95" t="str">
        <f t="shared" si="58"/>
        <v>2023 01</v>
      </c>
      <c r="G750" s="96" t="s">
        <v>5</v>
      </c>
      <c r="H750" s="161" t="s">
        <v>2223</v>
      </c>
      <c r="I750" s="97" t="s">
        <v>2008</v>
      </c>
      <c r="J750" s="97" t="s">
        <v>2224</v>
      </c>
      <c r="K750" s="29">
        <v>546</v>
      </c>
      <c r="L750" s="29"/>
      <c r="M750" s="30">
        <f>IFERROR(VLOOKUP($A750,HeadJournal!$A$1:$J$890,COLUMN(HeadJournal!I$1),0)*($K750+$L750)/(SUMIF($A:$A,$A750,$K:$K)+SUMIF($A:$A,$A750,$L:$L)),0)</f>
        <v>0</v>
      </c>
      <c r="N750" s="30">
        <f>IFERROR((VLOOKUP($A750,HeadJournal!$A$1:$K$890,COLUMN(HeadJournal!K$1),0)-VLOOKUP($A750,HeadJournal!$A$1:$K$890,COLUMN(HeadJournal!J$1),0))*($K750+$L750)/(SUMIF($A:$A,$A750,$K:$K)+SUMIF($A:$A,$A750,$L:$L)),0)</f>
        <v>-1.4037010986880487</v>
      </c>
      <c r="O750" s="30">
        <f>IFERROR((VLOOKUP($A750,HeadJournal!$A$1:$L$890,COLUMN(HeadJournal!L$1),0)*($K750+$L750)/(SUMIF($A:$A,$A750,$K:$K)+SUMIF($A:$A,$A750,$L:$L)))/VLOOKUP($A750,HeadJournal!$A$1:$L$890,COLUMN(HeadJournal!H$1),0),0)</f>
        <v>0</v>
      </c>
      <c r="P750" s="30">
        <f>IFERROR(SUM(K750:O750)*VLOOKUP($A750,HeadJournal!$A$1:$L$890,COLUMN(HeadJournal!H$1),0),0)</f>
        <v>544.59629890131191</v>
      </c>
      <c r="Q750" s="29">
        <v>1600</v>
      </c>
      <c r="R750" s="31">
        <v>45000</v>
      </c>
      <c r="S750" s="31" t="s">
        <v>3121</v>
      </c>
      <c r="T750" s="95" t="str">
        <f t="shared" si="59"/>
        <v>2023 03</v>
      </c>
      <c r="U750" s="32">
        <f t="shared" si="56"/>
        <v>1055.4037010986881</v>
      </c>
      <c r="V750" s="22">
        <f t="shared" si="57"/>
        <v>1.9379560662235447</v>
      </c>
      <c r="X750" s="33"/>
      <c r="Y750" s="33"/>
    </row>
    <row r="751" spans="1:25" x14ac:dyDescent="0.2">
      <c r="A751" s="93" t="s">
        <v>342</v>
      </c>
      <c r="B751" s="94">
        <f>IFERROR(VLOOKUP($A751,HeadJournal!$A$1:$NTR$890,COLUMN(HeadJournal!B$1),0),"")</f>
        <v>0</v>
      </c>
      <c r="C751" s="94" t="str">
        <f>IFERROR(VLOOKUP($A751,HeadJournal!$A$1:$NTR$890,COLUMN(HeadJournal!C$1),0),"")</f>
        <v>Roman</v>
      </c>
      <c r="D751" s="125" t="str">
        <f>IFERROR(VLOOKUP($A751,HeadJournal!$A$1:$NTR$890,COLUMN(HeadJournal!D$1),0),"")</f>
        <v>Доставлен</v>
      </c>
      <c r="E751" s="95">
        <f>IFERROR(VLOOKUP($A751,HeadJournal!$A$1:$NTR$890,COLUMN(HeadJournal!G$1),0),"")</f>
        <v>44938</v>
      </c>
      <c r="F751" s="95" t="str">
        <f t="shared" si="58"/>
        <v>2023 01</v>
      </c>
      <c r="G751" s="96" t="s">
        <v>5</v>
      </c>
      <c r="H751" s="161" t="s">
        <v>2223</v>
      </c>
      <c r="I751" s="97" t="s">
        <v>2008</v>
      </c>
      <c r="J751" s="97" t="s">
        <v>2224</v>
      </c>
      <c r="K751" s="29">
        <v>546</v>
      </c>
      <c r="L751" s="29"/>
      <c r="M751" s="30">
        <f>IFERROR(VLOOKUP($A751,HeadJournal!$A$1:$J$890,COLUMN(HeadJournal!I$1),0)*($K751+$L751)/(SUMIF($A:$A,$A751,$K:$K)+SUMIF($A:$A,$A751,$L:$L)),0)</f>
        <v>0</v>
      </c>
      <c r="N751" s="30">
        <f>IFERROR((VLOOKUP($A751,HeadJournal!$A$1:$K$890,COLUMN(HeadJournal!K$1),0)-VLOOKUP($A751,HeadJournal!$A$1:$K$890,COLUMN(HeadJournal!J$1),0))*($K751+$L751)/(SUMIF($A:$A,$A751,$K:$K)+SUMIF($A:$A,$A751,$L:$L)),0)</f>
        <v>-1.4037010986880487</v>
      </c>
      <c r="O751" s="30">
        <f>IFERROR((VLOOKUP($A751,HeadJournal!$A$1:$L$890,COLUMN(HeadJournal!L$1),0)*($K751+$L751)/(SUMIF($A:$A,$A751,$K:$K)+SUMIF($A:$A,$A751,$L:$L)))/VLOOKUP($A751,HeadJournal!$A$1:$L$890,COLUMN(HeadJournal!H$1),0),0)</f>
        <v>0</v>
      </c>
      <c r="P751" s="30">
        <f>IFERROR(SUM(K751:O751)*VLOOKUP($A751,HeadJournal!$A$1:$L$890,COLUMN(HeadJournal!H$1),0),0)</f>
        <v>544.59629890131191</v>
      </c>
      <c r="Q751" s="29">
        <v>1700</v>
      </c>
      <c r="R751" s="31">
        <v>45040</v>
      </c>
      <c r="S751" s="31" t="s">
        <v>3121</v>
      </c>
      <c r="T751" s="95" t="str">
        <f t="shared" si="59"/>
        <v>2023 04</v>
      </c>
      <c r="U751" s="32">
        <f t="shared" si="56"/>
        <v>1155.4037010986881</v>
      </c>
      <c r="V751" s="22">
        <f t="shared" si="57"/>
        <v>2.121578320362516</v>
      </c>
      <c r="X751" s="33"/>
      <c r="Y751" s="33"/>
    </row>
    <row r="752" spans="1:25" x14ac:dyDescent="0.2">
      <c r="A752" s="93" t="s">
        <v>342</v>
      </c>
      <c r="B752" s="94">
        <f>IFERROR(VLOOKUP($A752,HeadJournal!$A$1:$NTR$890,COLUMN(HeadJournal!B$1),0),"")</f>
        <v>0</v>
      </c>
      <c r="C752" s="94" t="str">
        <f>IFERROR(VLOOKUP($A752,HeadJournal!$A$1:$NTR$890,COLUMN(HeadJournal!C$1),0),"")</f>
        <v>Roman</v>
      </c>
      <c r="D752" s="125" t="str">
        <f>IFERROR(VLOOKUP($A752,HeadJournal!$A$1:$NTR$890,COLUMN(HeadJournal!D$1),0),"")</f>
        <v>Доставлен</v>
      </c>
      <c r="E752" s="95">
        <f>IFERROR(VLOOKUP($A752,HeadJournal!$A$1:$NTR$890,COLUMN(HeadJournal!G$1),0),"")</f>
        <v>44938</v>
      </c>
      <c r="F752" s="95" t="str">
        <f t="shared" si="58"/>
        <v>2023 01</v>
      </c>
      <c r="G752" s="96" t="s">
        <v>5</v>
      </c>
      <c r="H752" s="161" t="s">
        <v>3573</v>
      </c>
      <c r="I752" s="97" t="s">
        <v>2052</v>
      </c>
      <c r="J752" s="97" t="s">
        <v>3574</v>
      </c>
      <c r="K752" s="29">
        <v>450.8</v>
      </c>
      <c r="L752" s="29"/>
      <c r="M752" s="30">
        <f>IFERROR(VLOOKUP($A752,HeadJournal!$A$1:$J$890,COLUMN(HeadJournal!I$1),0)*($K752+$L752)/(SUMIF($A:$A,$A752,$K:$K)+SUMIF($A:$A,$A752,$L:$L)),0)</f>
        <v>0</v>
      </c>
      <c r="N752" s="30">
        <f>IFERROR((VLOOKUP($A752,HeadJournal!$A$1:$K$890,COLUMN(HeadJournal!K$1),0)-VLOOKUP($A752,HeadJournal!$A$1:$K$890,COLUMN(HeadJournal!J$1),0))*($K752+$L752)/(SUMIF($A:$A,$A752,$K:$K)+SUMIF($A:$A,$A752,$L:$L)),0)</f>
        <v>-1.1589532148142352</v>
      </c>
      <c r="O752" s="30">
        <f>IFERROR((VLOOKUP($A752,HeadJournal!$A$1:$L$890,COLUMN(HeadJournal!L$1),0)*($K752+$L752)/(SUMIF($A:$A,$A752,$K:$K)+SUMIF($A:$A,$A752,$L:$L)))/VLOOKUP($A752,HeadJournal!$A$1:$L$890,COLUMN(HeadJournal!H$1),0),0)</f>
        <v>0</v>
      </c>
      <c r="P752" s="30">
        <f>IFERROR(SUM(K752:O752)*VLOOKUP($A752,HeadJournal!$A$1:$L$890,COLUMN(HeadJournal!H$1),0),0)</f>
        <v>449.64104678518578</v>
      </c>
      <c r="Q752" s="29">
        <v>2000</v>
      </c>
      <c r="R752" s="31">
        <v>44982</v>
      </c>
      <c r="S752" s="31" t="s">
        <v>3121</v>
      </c>
      <c r="T752" s="95" t="str">
        <f t="shared" si="59"/>
        <v>2023 02</v>
      </c>
      <c r="U752" s="32">
        <f t="shared" si="56"/>
        <v>1550.3589532148142</v>
      </c>
      <c r="V752" s="22">
        <f t="shared" si="57"/>
        <v>3.4479924915651483</v>
      </c>
      <c r="X752" s="33"/>
      <c r="Y752" s="33"/>
    </row>
    <row r="753" spans="1:25" x14ac:dyDescent="0.2">
      <c r="A753" s="93" t="s">
        <v>342</v>
      </c>
      <c r="B753" s="94">
        <f>IFERROR(VLOOKUP($A753,HeadJournal!$A$1:$NTR$890,COLUMN(HeadJournal!B$1),0),"")</f>
        <v>0</v>
      </c>
      <c r="C753" s="94" t="str">
        <f>IFERROR(VLOOKUP($A753,HeadJournal!$A$1:$NTR$890,COLUMN(HeadJournal!C$1),0),"")</f>
        <v>Roman</v>
      </c>
      <c r="D753" s="125" t="str">
        <f>IFERROR(VLOOKUP($A753,HeadJournal!$A$1:$NTR$890,COLUMN(HeadJournal!D$1),0),"")</f>
        <v>Доставлен</v>
      </c>
      <c r="E753" s="95">
        <f>IFERROR(VLOOKUP($A753,HeadJournal!$A$1:$NTR$890,COLUMN(HeadJournal!G$1),0),"")</f>
        <v>44938</v>
      </c>
      <c r="F753" s="95" t="str">
        <f t="shared" si="58"/>
        <v>2023 01</v>
      </c>
      <c r="G753" s="96" t="s">
        <v>5</v>
      </c>
      <c r="H753" s="161" t="s">
        <v>2174</v>
      </c>
      <c r="I753" s="97" t="s">
        <v>2005</v>
      </c>
      <c r="J753" s="97" t="s">
        <v>2175</v>
      </c>
      <c r="K753" s="29">
        <v>238</v>
      </c>
      <c r="L753" s="29"/>
      <c r="M753" s="30">
        <f>IFERROR(VLOOKUP($A753,HeadJournal!$A$1:$J$890,COLUMN(HeadJournal!I$1),0)*($K753+$L753)/(SUMIF($A:$A,$A753,$K:$K)+SUMIF($A:$A,$A753,$L:$L)),0)</f>
        <v>0</v>
      </c>
      <c r="N753" s="30">
        <f>IFERROR((VLOOKUP($A753,HeadJournal!$A$1:$K$890,COLUMN(HeadJournal!K$1),0)-VLOOKUP($A753,HeadJournal!$A$1:$K$890,COLUMN(HeadJournal!J$1),0))*($K753+$L753)/(SUMIF($A:$A,$A753,$K:$K)+SUMIF($A:$A,$A753,$L:$L)),0)</f>
        <v>-0.61186970968453402</v>
      </c>
      <c r="O753" s="30">
        <f>IFERROR((VLOOKUP($A753,HeadJournal!$A$1:$L$890,COLUMN(HeadJournal!L$1),0)*($K753+$L753)/(SUMIF($A:$A,$A753,$K:$K)+SUMIF($A:$A,$A753,$L:$L)))/VLOOKUP($A753,HeadJournal!$A$1:$L$890,COLUMN(HeadJournal!H$1),0),0)</f>
        <v>0</v>
      </c>
      <c r="P753" s="30">
        <f>IFERROR(SUM(K753:O753)*VLOOKUP($A753,HeadJournal!$A$1:$L$890,COLUMN(HeadJournal!H$1),0),0)</f>
        <v>237.38813029031547</v>
      </c>
      <c r="Q753" s="29">
        <v>750</v>
      </c>
      <c r="R753" s="31">
        <v>44945</v>
      </c>
      <c r="S753" s="31" t="s">
        <v>3121</v>
      </c>
      <c r="T753" s="95" t="str">
        <f t="shared" si="59"/>
        <v>2023 01</v>
      </c>
      <c r="U753" s="32">
        <f t="shared" si="56"/>
        <v>512.61186970968447</v>
      </c>
      <c r="V753" s="22">
        <f t="shared" si="57"/>
        <v>2.1593829020970094</v>
      </c>
      <c r="X753" s="33"/>
      <c r="Y753" s="33"/>
    </row>
    <row r="754" spans="1:25" x14ac:dyDescent="0.2">
      <c r="A754" s="93" t="s">
        <v>342</v>
      </c>
      <c r="B754" s="94">
        <f>IFERROR(VLOOKUP($A754,HeadJournal!$A$1:$NTR$890,COLUMN(HeadJournal!B$1),0),"")</f>
        <v>0</v>
      </c>
      <c r="C754" s="94" t="str">
        <f>IFERROR(VLOOKUP($A754,HeadJournal!$A$1:$NTR$890,COLUMN(HeadJournal!C$1),0),"")</f>
        <v>Roman</v>
      </c>
      <c r="D754" s="125" t="str">
        <f>IFERROR(VLOOKUP($A754,HeadJournal!$A$1:$NTR$890,COLUMN(HeadJournal!D$1),0),"")</f>
        <v>Доставлен</v>
      </c>
      <c r="E754" s="95">
        <f>IFERROR(VLOOKUP($A754,HeadJournal!$A$1:$NTR$890,COLUMN(HeadJournal!G$1),0),"")</f>
        <v>44938</v>
      </c>
      <c r="F754" s="95" t="str">
        <f t="shared" si="58"/>
        <v>2023 01</v>
      </c>
      <c r="G754" s="96" t="s">
        <v>5</v>
      </c>
      <c r="H754" s="161" t="s">
        <v>2174</v>
      </c>
      <c r="I754" s="97" t="s">
        <v>2005</v>
      </c>
      <c r="J754" s="97" t="s">
        <v>2175</v>
      </c>
      <c r="K754" s="29">
        <v>238</v>
      </c>
      <c r="L754" s="29"/>
      <c r="M754" s="30">
        <f>IFERROR(VLOOKUP($A754,HeadJournal!$A$1:$J$890,COLUMN(HeadJournal!I$1),0)*($K754+$L754)/(SUMIF($A:$A,$A754,$K:$K)+SUMIF($A:$A,$A754,$L:$L)),0)</f>
        <v>0</v>
      </c>
      <c r="N754" s="30">
        <f>IFERROR((VLOOKUP($A754,HeadJournal!$A$1:$K$890,COLUMN(HeadJournal!K$1),0)-VLOOKUP($A754,HeadJournal!$A$1:$K$890,COLUMN(HeadJournal!J$1),0))*($K754+$L754)/(SUMIF($A:$A,$A754,$K:$K)+SUMIF($A:$A,$A754,$L:$L)),0)</f>
        <v>-0.61186970968453402</v>
      </c>
      <c r="O754" s="30">
        <f>IFERROR((VLOOKUP($A754,HeadJournal!$A$1:$L$890,COLUMN(HeadJournal!L$1),0)*($K754+$L754)/(SUMIF($A:$A,$A754,$K:$K)+SUMIF($A:$A,$A754,$L:$L)))/VLOOKUP($A754,HeadJournal!$A$1:$L$890,COLUMN(HeadJournal!H$1),0),0)</f>
        <v>0</v>
      </c>
      <c r="P754" s="30">
        <f>IFERROR(SUM(K754:O754)*VLOOKUP($A754,HeadJournal!$A$1:$L$890,COLUMN(HeadJournal!H$1),0),0)</f>
        <v>237.38813029031547</v>
      </c>
      <c r="Q754" s="29">
        <v>750</v>
      </c>
      <c r="R754" s="31">
        <v>44952</v>
      </c>
      <c r="S754" s="31" t="s">
        <v>3121</v>
      </c>
      <c r="T754" s="95" t="str">
        <f t="shared" si="59"/>
        <v>2023 01</v>
      </c>
      <c r="U754" s="32">
        <f t="shared" si="56"/>
        <v>512.61186970968447</v>
      </c>
      <c r="V754" s="22">
        <f t="shared" si="57"/>
        <v>2.1593829020970094</v>
      </c>
      <c r="X754" s="33"/>
      <c r="Y754" s="33"/>
    </row>
    <row r="755" spans="1:25" x14ac:dyDescent="0.2">
      <c r="A755" s="93" t="s">
        <v>342</v>
      </c>
      <c r="B755" s="94">
        <f>IFERROR(VLOOKUP($A755,HeadJournal!$A$1:$NTR$890,COLUMN(HeadJournal!B$1),0),"")</f>
        <v>0</v>
      </c>
      <c r="C755" s="94" t="str">
        <f>IFERROR(VLOOKUP($A755,HeadJournal!$A$1:$NTR$890,COLUMN(HeadJournal!C$1),0),"")</f>
        <v>Roman</v>
      </c>
      <c r="D755" s="125" t="str">
        <f>IFERROR(VLOOKUP($A755,HeadJournal!$A$1:$NTR$890,COLUMN(HeadJournal!D$1),0),"")</f>
        <v>Доставлен</v>
      </c>
      <c r="E755" s="95">
        <f>IFERROR(VLOOKUP($A755,HeadJournal!$A$1:$NTR$890,COLUMN(HeadJournal!G$1),0),"")</f>
        <v>44938</v>
      </c>
      <c r="F755" s="95" t="str">
        <f t="shared" si="58"/>
        <v>2023 01</v>
      </c>
      <c r="G755" s="96" t="s">
        <v>5</v>
      </c>
      <c r="H755" s="161" t="s">
        <v>2073</v>
      </c>
      <c r="I755" s="97" t="s">
        <v>2005</v>
      </c>
      <c r="J755" s="97" t="s">
        <v>2074</v>
      </c>
      <c r="K755" s="29">
        <v>826</v>
      </c>
      <c r="L755" s="29"/>
      <c r="M755" s="30">
        <f>IFERROR(VLOOKUP($A755,HeadJournal!$A$1:$J$890,COLUMN(HeadJournal!I$1),0)*($K755+$L755)/(SUMIF($A:$A,$A755,$K:$K)+SUMIF($A:$A,$A755,$L:$L)),0)</f>
        <v>0</v>
      </c>
      <c r="N755" s="30">
        <f>IFERROR((VLOOKUP($A755,HeadJournal!$A$1:$K$890,COLUMN(HeadJournal!K$1),0)-VLOOKUP($A755,HeadJournal!$A$1:$K$890,COLUMN(HeadJournal!J$1),0))*($K755+$L755)/(SUMIF($A:$A,$A755,$K:$K)+SUMIF($A:$A,$A755,$L:$L)),0)</f>
        <v>-2.1235478159639709</v>
      </c>
      <c r="O755" s="30">
        <f>IFERROR((VLOOKUP($A755,HeadJournal!$A$1:$L$890,COLUMN(HeadJournal!L$1),0)*($K755+$L755)/(SUMIF($A:$A,$A755,$K:$K)+SUMIF($A:$A,$A755,$L:$L)))/VLOOKUP($A755,HeadJournal!$A$1:$L$890,COLUMN(HeadJournal!H$1),0),0)</f>
        <v>0</v>
      </c>
      <c r="P755" s="30">
        <f>IFERROR(SUM(K755:O755)*VLOOKUP($A755,HeadJournal!$A$1:$L$890,COLUMN(HeadJournal!H$1),0),0)</f>
        <v>823.876452184036</v>
      </c>
      <c r="Q755" s="29">
        <v>2200</v>
      </c>
      <c r="R755" s="31">
        <v>44986</v>
      </c>
      <c r="S755" s="31" t="s">
        <v>3121</v>
      </c>
      <c r="T755" s="95" t="str">
        <f t="shared" si="59"/>
        <v>2023 03</v>
      </c>
      <c r="U755" s="32">
        <f t="shared" si="56"/>
        <v>1376.123547815964</v>
      </c>
      <c r="V755" s="22">
        <f t="shared" si="57"/>
        <v>1.6703032890040266</v>
      </c>
      <c r="X755" s="33"/>
      <c r="Y755" s="33"/>
    </row>
    <row r="756" spans="1:25" x14ac:dyDescent="0.2">
      <c r="A756" s="93" t="s">
        <v>342</v>
      </c>
      <c r="B756" s="94">
        <f>IFERROR(VLOOKUP($A756,HeadJournal!$A$1:$NTR$890,COLUMN(HeadJournal!B$1),0),"")</f>
        <v>0</v>
      </c>
      <c r="C756" s="94" t="str">
        <f>IFERROR(VLOOKUP($A756,HeadJournal!$A$1:$NTR$890,COLUMN(HeadJournal!C$1),0),"")</f>
        <v>Roman</v>
      </c>
      <c r="D756" s="125" t="str">
        <f>IFERROR(VLOOKUP($A756,HeadJournal!$A$1:$NTR$890,COLUMN(HeadJournal!D$1),0),"")</f>
        <v>Доставлен</v>
      </c>
      <c r="E756" s="95">
        <f>IFERROR(VLOOKUP($A756,HeadJournal!$A$1:$NTR$890,COLUMN(HeadJournal!G$1),0),"")</f>
        <v>44938</v>
      </c>
      <c r="F756" s="95" t="str">
        <f t="shared" si="58"/>
        <v>2023 01</v>
      </c>
      <c r="G756" s="96" t="s">
        <v>5</v>
      </c>
      <c r="H756" s="161" t="s">
        <v>2073</v>
      </c>
      <c r="I756" s="97" t="s">
        <v>2005</v>
      </c>
      <c r="J756" s="97" t="s">
        <v>2074</v>
      </c>
      <c r="K756" s="29">
        <v>826</v>
      </c>
      <c r="L756" s="29"/>
      <c r="M756" s="30">
        <f>IFERROR(VLOOKUP($A756,HeadJournal!$A$1:$J$890,COLUMN(HeadJournal!I$1),0)*($K756+$L756)/(SUMIF($A:$A,$A756,$K:$K)+SUMIF($A:$A,$A756,$L:$L)),0)</f>
        <v>0</v>
      </c>
      <c r="N756" s="30">
        <f>IFERROR((VLOOKUP($A756,HeadJournal!$A$1:$K$890,COLUMN(HeadJournal!K$1),0)-VLOOKUP($A756,HeadJournal!$A$1:$K$890,COLUMN(HeadJournal!J$1),0))*($K756+$L756)/(SUMIF($A:$A,$A756,$K:$K)+SUMIF($A:$A,$A756,$L:$L)),0)</f>
        <v>-2.1235478159639709</v>
      </c>
      <c r="O756" s="30">
        <f>IFERROR((VLOOKUP($A756,HeadJournal!$A$1:$L$890,COLUMN(HeadJournal!L$1),0)*($K756+$L756)/(SUMIF($A:$A,$A756,$K:$K)+SUMIF($A:$A,$A756,$L:$L)))/VLOOKUP($A756,HeadJournal!$A$1:$L$890,COLUMN(HeadJournal!H$1),0),0)</f>
        <v>0</v>
      </c>
      <c r="P756" s="30">
        <f>IFERROR(SUM(K756:O756)*VLOOKUP($A756,HeadJournal!$A$1:$L$890,COLUMN(HeadJournal!H$1),0),0)</f>
        <v>823.876452184036</v>
      </c>
      <c r="Q756" s="29">
        <v>2200</v>
      </c>
      <c r="R756" s="31">
        <v>45013</v>
      </c>
      <c r="S756" s="31" t="s">
        <v>3121</v>
      </c>
      <c r="T756" s="95" t="str">
        <f t="shared" si="59"/>
        <v>2023 03</v>
      </c>
      <c r="U756" s="32">
        <f t="shared" si="56"/>
        <v>1376.123547815964</v>
      </c>
      <c r="V756" s="22">
        <f t="shared" si="57"/>
        <v>1.6703032890040266</v>
      </c>
      <c r="X756" s="33"/>
      <c r="Y756" s="33"/>
    </row>
    <row r="757" spans="1:25" x14ac:dyDescent="0.2">
      <c r="A757" s="93" t="s">
        <v>342</v>
      </c>
      <c r="B757" s="94">
        <f>IFERROR(VLOOKUP($A757,HeadJournal!$A$1:$NTR$890,COLUMN(HeadJournal!B$1),0),"")</f>
        <v>0</v>
      </c>
      <c r="C757" s="94" t="str">
        <f>IFERROR(VLOOKUP($A757,HeadJournal!$A$1:$NTR$890,COLUMN(HeadJournal!C$1),0),"")</f>
        <v>Roman</v>
      </c>
      <c r="D757" s="125" t="str">
        <f>IFERROR(VLOOKUP($A757,HeadJournal!$A$1:$NTR$890,COLUMN(HeadJournal!D$1),0),"")</f>
        <v>Доставлен</v>
      </c>
      <c r="E757" s="95">
        <f>IFERROR(VLOOKUP($A757,HeadJournal!$A$1:$NTR$890,COLUMN(HeadJournal!G$1),0),"")</f>
        <v>44938</v>
      </c>
      <c r="F757" s="95" t="str">
        <f t="shared" si="58"/>
        <v>2023 01</v>
      </c>
      <c r="G757" s="96" t="s">
        <v>5</v>
      </c>
      <c r="H757" s="161" t="s">
        <v>2624</v>
      </c>
      <c r="I757" s="97" t="s">
        <v>2005</v>
      </c>
      <c r="J757" s="97" t="s">
        <v>2625</v>
      </c>
      <c r="K757" s="29">
        <v>840</v>
      </c>
      <c r="L757" s="29"/>
      <c r="M757" s="30">
        <f>IFERROR(VLOOKUP($A757,HeadJournal!$A$1:$J$890,COLUMN(HeadJournal!I$1),0)*($K757+$L757)/(SUMIF($A:$A,$A757,$K:$K)+SUMIF($A:$A,$A757,$L:$L)),0)</f>
        <v>0</v>
      </c>
      <c r="N757" s="30">
        <f>IFERROR((VLOOKUP($A757,HeadJournal!$A$1:$K$890,COLUMN(HeadJournal!K$1),0)-VLOOKUP($A757,HeadJournal!$A$1:$K$890,COLUMN(HeadJournal!J$1),0))*($K757+$L757)/(SUMIF($A:$A,$A757,$K:$K)+SUMIF($A:$A,$A757,$L:$L)),0)</f>
        <v>-2.159540151827767</v>
      </c>
      <c r="O757" s="30">
        <f>IFERROR((VLOOKUP($A757,HeadJournal!$A$1:$L$890,COLUMN(HeadJournal!L$1),0)*($K757+$L757)/(SUMIF($A:$A,$A757,$K:$K)+SUMIF($A:$A,$A757,$L:$L)))/VLOOKUP($A757,HeadJournal!$A$1:$L$890,COLUMN(HeadJournal!H$1),0),0)</f>
        <v>0</v>
      </c>
      <c r="P757" s="30">
        <f>IFERROR(SUM(K757:O757)*VLOOKUP($A757,HeadJournal!$A$1:$L$890,COLUMN(HeadJournal!H$1),0),0)</f>
        <v>837.84045984817226</v>
      </c>
      <c r="Q757" s="29">
        <v>2200</v>
      </c>
      <c r="R757" s="31">
        <v>44957</v>
      </c>
      <c r="S757" s="31" t="s">
        <v>3121</v>
      </c>
      <c r="T757" s="95" t="str">
        <f t="shared" si="59"/>
        <v>2023 01</v>
      </c>
      <c r="U757" s="32">
        <f t="shared" si="56"/>
        <v>1362.1595401518277</v>
      </c>
      <c r="V757" s="22">
        <f t="shared" si="57"/>
        <v>1.6257982341872927</v>
      </c>
      <c r="X757" s="33"/>
      <c r="Y757" s="33"/>
    </row>
    <row r="758" spans="1:25" x14ac:dyDescent="0.2">
      <c r="A758" s="93" t="s">
        <v>342</v>
      </c>
      <c r="B758" s="94">
        <f>IFERROR(VLOOKUP($A758,HeadJournal!$A$1:$NTR$890,COLUMN(HeadJournal!B$1),0),"")</f>
        <v>0</v>
      </c>
      <c r="C758" s="94" t="str">
        <f>IFERROR(VLOOKUP($A758,HeadJournal!$A$1:$NTR$890,COLUMN(HeadJournal!C$1),0),"")</f>
        <v>Roman</v>
      </c>
      <c r="D758" s="125" t="str">
        <f>IFERROR(VLOOKUP($A758,HeadJournal!$A$1:$NTR$890,COLUMN(HeadJournal!D$1),0),"")</f>
        <v>Доставлен</v>
      </c>
      <c r="E758" s="95">
        <f>IFERROR(VLOOKUP($A758,HeadJournal!$A$1:$NTR$890,COLUMN(HeadJournal!G$1),0),"")</f>
        <v>44938</v>
      </c>
      <c r="F758" s="95" t="str">
        <f t="shared" si="58"/>
        <v>2023 01</v>
      </c>
      <c r="G758" s="96" t="s">
        <v>5</v>
      </c>
      <c r="H758" s="160" t="str">
        <f>RIGHT(Journal!$J758,9)</f>
        <v>NOW-01277</v>
      </c>
      <c r="I758" s="96" t="str">
        <f t="shared" si="60"/>
        <v>NOW Foods</v>
      </c>
      <c r="J758" s="97" t="s">
        <v>52</v>
      </c>
      <c r="K758" s="29">
        <v>644</v>
      </c>
      <c r="L758" s="29"/>
      <c r="M758" s="30">
        <f>IFERROR(VLOOKUP($A758,HeadJournal!$A$1:$J$890,COLUMN(HeadJournal!I$1),0)*($K758+$L758)/(SUMIF($A:$A,$A758,$K:$K)+SUMIF($A:$A,$A758,$L:$L)),0)</f>
        <v>0</v>
      </c>
      <c r="N758" s="30">
        <f>IFERROR((VLOOKUP($A758,HeadJournal!$A$1:$K$890,COLUMN(HeadJournal!K$1),0)-VLOOKUP($A758,HeadJournal!$A$1:$K$890,COLUMN(HeadJournal!J$1),0))*($K758+$L758)/(SUMIF($A:$A,$A758,$K:$K)+SUMIF($A:$A,$A758,$L:$L)),0)</f>
        <v>-1.6556474497346214</v>
      </c>
      <c r="O758" s="30">
        <f>IFERROR((VLOOKUP($A758,HeadJournal!$A$1:$L$890,COLUMN(HeadJournal!L$1),0)*($K758+$L758)/(SUMIF($A:$A,$A758,$K:$K)+SUMIF($A:$A,$A758,$L:$L)))/VLOOKUP($A758,HeadJournal!$A$1:$L$890,COLUMN(HeadJournal!H$1),0),0)</f>
        <v>0</v>
      </c>
      <c r="P758" s="30">
        <f>IFERROR(SUM(K758:O758)*VLOOKUP($A758,HeadJournal!$A$1:$L$890,COLUMN(HeadJournal!H$1),0),0)</f>
        <v>642.3443525502654</v>
      </c>
      <c r="Q758" s="29">
        <v>1800</v>
      </c>
      <c r="R758" s="31">
        <v>44940</v>
      </c>
      <c r="S758" s="31" t="s">
        <v>3121</v>
      </c>
      <c r="T758" s="95" t="str">
        <f t="shared" si="59"/>
        <v>2023 01</v>
      </c>
      <c r="U758" s="32">
        <f t="shared" si="56"/>
        <v>1157.6556474497347</v>
      </c>
      <c r="V758" s="22">
        <f t="shared" si="57"/>
        <v>1.8022352696860438</v>
      </c>
      <c r="X758" s="33"/>
      <c r="Y758" s="33"/>
    </row>
    <row r="759" spans="1:25" x14ac:dyDescent="0.2">
      <c r="A759" s="93" t="s">
        <v>342</v>
      </c>
      <c r="B759" s="94">
        <f>IFERROR(VLOOKUP($A759,HeadJournal!$A$1:$NTR$890,COLUMN(HeadJournal!B$1),0),"")</f>
        <v>0</v>
      </c>
      <c r="C759" s="94" t="str">
        <f>IFERROR(VLOOKUP($A759,HeadJournal!$A$1:$NTR$890,COLUMN(HeadJournal!C$1),0),"")</f>
        <v>Roman</v>
      </c>
      <c r="D759" s="125" t="str">
        <f>IFERROR(VLOOKUP($A759,HeadJournal!$A$1:$NTR$890,COLUMN(HeadJournal!D$1),0),"")</f>
        <v>Доставлен</v>
      </c>
      <c r="E759" s="95">
        <f>IFERROR(VLOOKUP($A759,HeadJournal!$A$1:$NTR$890,COLUMN(HeadJournal!G$1),0),"")</f>
        <v>44938</v>
      </c>
      <c r="F759" s="95" t="str">
        <f t="shared" si="58"/>
        <v>2023 01</v>
      </c>
      <c r="G759" s="96" t="s">
        <v>5</v>
      </c>
      <c r="H759" s="161" t="s">
        <v>3871</v>
      </c>
      <c r="I759" s="97" t="s">
        <v>2218</v>
      </c>
      <c r="J759" s="97" t="s">
        <v>3872</v>
      </c>
      <c r="K759" s="29">
        <v>175</v>
      </c>
      <c r="L759" s="29"/>
      <c r="M759" s="30">
        <f>IFERROR(VLOOKUP($A759,HeadJournal!$A$1:$J$890,COLUMN(HeadJournal!I$1),0)*($K759+$L759)/(SUMIF($A:$A,$A759,$K:$K)+SUMIF($A:$A,$A759,$L:$L)),0)</f>
        <v>0</v>
      </c>
      <c r="N759" s="30">
        <f>IFERROR((VLOOKUP($A759,HeadJournal!$A$1:$K$890,COLUMN(HeadJournal!K$1),0)-VLOOKUP($A759,HeadJournal!$A$1:$K$890,COLUMN(HeadJournal!J$1),0))*($K759+$L759)/(SUMIF($A:$A,$A759,$K:$K)+SUMIF($A:$A,$A759,$L:$L)),0)</f>
        <v>-0.44990419829745149</v>
      </c>
      <c r="O759" s="30">
        <f>IFERROR((VLOOKUP($A759,HeadJournal!$A$1:$L$890,COLUMN(HeadJournal!L$1),0)*($K759+$L759)/(SUMIF($A:$A,$A759,$K:$K)+SUMIF($A:$A,$A759,$L:$L)))/VLOOKUP($A759,HeadJournal!$A$1:$L$890,COLUMN(HeadJournal!H$1),0),0)</f>
        <v>0</v>
      </c>
      <c r="P759" s="30">
        <f>IFERROR(SUM(K759:O759)*VLOOKUP($A759,HeadJournal!$A$1:$L$890,COLUMN(HeadJournal!H$1),0),0)</f>
        <v>174.55009580170255</v>
      </c>
      <c r="Q759" s="29">
        <v>800</v>
      </c>
      <c r="R759" s="31">
        <v>45062</v>
      </c>
      <c r="S759" s="31" t="s">
        <v>3121</v>
      </c>
      <c r="T759" s="95" t="str">
        <f t="shared" si="59"/>
        <v>2023 05</v>
      </c>
      <c r="U759" s="32">
        <f t="shared" si="56"/>
        <v>625.44990419829742</v>
      </c>
      <c r="V759" s="22">
        <f t="shared" si="57"/>
        <v>3.5832114633087286</v>
      </c>
      <c r="X759" s="33"/>
      <c r="Y759" s="33"/>
    </row>
    <row r="760" spans="1:25" x14ac:dyDescent="0.2">
      <c r="A760" s="93" t="s">
        <v>342</v>
      </c>
      <c r="B760" s="94">
        <f>IFERROR(VLOOKUP($A760,HeadJournal!$A$1:$NTR$890,COLUMN(HeadJournal!B$1),0),"")</f>
        <v>0</v>
      </c>
      <c r="C760" s="94" t="str">
        <f>IFERROR(VLOOKUP($A760,HeadJournal!$A$1:$NTR$890,COLUMN(HeadJournal!C$1),0),"")</f>
        <v>Roman</v>
      </c>
      <c r="D760" s="125" t="str">
        <f>IFERROR(VLOOKUP($A760,HeadJournal!$A$1:$NTR$890,COLUMN(HeadJournal!D$1),0),"")</f>
        <v>Доставлен</v>
      </c>
      <c r="E760" s="95">
        <f>IFERROR(VLOOKUP($A760,HeadJournal!$A$1:$NTR$890,COLUMN(HeadJournal!G$1),0),"")</f>
        <v>44938</v>
      </c>
      <c r="F760" s="95" t="str">
        <f t="shared" si="58"/>
        <v>2023 01</v>
      </c>
      <c r="G760" s="96" t="s">
        <v>5</v>
      </c>
      <c r="H760" s="161" t="s">
        <v>2821</v>
      </c>
      <c r="I760" s="97" t="s">
        <v>2822</v>
      </c>
      <c r="J760" s="97" t="s">
        <v>2823</v>
      </c>
      <c r="K760" s="29">
        <v>770</v>
      </c>
      <c r="L760" s="29"/>
      <c r="M760" s="30">
        <f>IFERROR(VLOOKUP($A760,HeadJournal!$A$1:$J$890,COLUMN(HeadJournal!I$1),0)*($K760+$L760)/(SUMIF($A:$A,$A760,$K:$K)+SUMIF($A:$A,$A760,$L:$L)),0)</f>
        <v>0</v>
      </c>
      <c r="N760" s="30">
        <f>IFERROR((VLOOKUP($A760,HeadJournal!$A$1:$K$890,COLUMN(HeadJournal!K$1),0)-VLOOKUP($A760,HeadJournal!$A$1:$K$890,COLUMN(HeadJournal!J$1),0))*($K760+$L760)/(SUMIF($A:$A,$A760,$K:$K)+SUMIF($A:$A,$A760,$L:$L)),0)</f>
        <v>-1.9795784725087866</v>
      </c>
      <c r="O760" s="30">
        <f>IFERROR((VLOOKUP($A760,HeadJournal!$A$1:$L$890,COLUMN(HeadJournal!L$1),0)*($K760+$L760)/(SUMIF($A:$A,$A760,$K:$K)+SUMIF($A:$A,$A760,$L:$L)))/VLOOKUP($A760,HeadJournal!$A$1:$L$890,COLUMN(HeadJournal!H$1),0),0)</f>
        <v>0</v>
      </c>
      <c r="P760" s="30">
        <f>IFERROR(SUM(K760:O760)*VLOOKUP($A760,HeadJournal!$A$1:$L$890,COLUMN(HeadJournal!H$1),0),0)</f>
        <v>768.02042152749118</v>
      </c>
      <c r="Q760" s="29">
        <v>2100</v>
      </c>
      <c r="R760" s="31">
        <v>45259</v>
      </c>
      <c r="S760" s="31" t="s">
        <v>3121</v>
      </c>
      <c r="T760" s="95" t="str">
        <f t="shared" si="59"/>
        <v>2023 11</v>
      </c>
      <c r="U760" s="32">
        <f t="shared" si="56"/>
        <v>1331.9795784725088</v>
      </c>
      <c r="V760" s="22">
        <f t="shared" si="57"/>
        <v>1.7343022934512307</v>
      </c>
      <c r="X760" s="33"/>
      <c r="Y760" s="33"/>
    </row>
    <row r="761" spans="1:25" x14ac:dyDescent="0.2">
      <c r="A761" s="93" t="s">
        <v>342</v>
      </c>
      <c r="B761" s="94">
        <f>IFERROR(VLOOKUP($A761,HeadJournal!$A$1:$NTR$890,COLUMN(HeadJournal!B$1),0),"")</f>
        <v>0</v>
      </c>
      <c r="C761" s="94" t="str">
        <f>IFERROR(VLOOKUP($A761,HeadJournal!$A$1:$NTR$890,COLUMN(HeadJournal!C$1),0),"")</f>
        <v>Roman</v>
      </c>
      <c r="D761" s="125" t="str">
        <f>IFERROR(VLOOKUP($A761,HeadJournal!$A$1:$NTR$890,COLUMN(HeadJournal!D$1),0),"")</f>
        <v>Доставлен</v>
      </c>
      <c r="E761" s="95">
        <f>IFERROR(VLOOKUP($A761,HeadJournal!$A$1:$NTR$890,COLUMN(HeadJournal!G$1),0),"")</f>
        <v>44938</v>
      </c>
      <c r="F761" s="95" t="str">
        <f t="shared" si="58"/>
        <v>2023 01</v>
      </c>
      <c r="G761" s="96" t="s">
        <v>5</v>
      </c>
      <c r="H761" s="160" t="str">
        <f>RIGHT(Journal!$J761,9)</f>
        <v>CDL-10100</v>
      </c>
      <c r="I761" s="96" t="str">
        <f t="shared" si="60"/>
        <v>Чайлдлайф</v>
      </c>
      <c r="J761" s="97" t="s">
        <v>343</v>
      </c>
      <c r="K761" s="29">
        <v>504</v>
      </c>
      <c r="L761" s="29"/>
      <c r="M761" s="30">
        <f>IFERROR(VLOOKUP($A761,HeadJournal!$A$1:$J$890,COLUMN(HeadJournal!I$1),0)*($K761+$L761)/(SUMIF($A:$A,$A761,$K:$K)+SUMIF($A:$A,$A761,$L:$L)),0)</f>
        <v>0</v>
      </c>
      <c r="N761" s="30">
        <f>IFERROR((VLOOKUP($A761,HeadJournal!$A$1:$K$890,COLUMN(HeadJournal!K$1),0)-VLOOKUP($A761,HeadJournal!$A$1:$K$890,COLUMN(HeadJournal!J$1),0))*($K761+$L761)/(SUMIF($A:$A,$A761,$K:$K)+SUMIF($A:$A,$A761,$L:$L)),0)</f>
        <v>-1.2957240910966603</v>
      </c>
      <c r="O761" s="30">
        <f>IFERROR((VLOOKUP($A761,HeadJournal!$A$1:$L$890,COLUMN(HeadJournal!L$1),0)*($K761+$L761)/(SUMIF($A:$A,$A761,$K:$K)+SUMIF($A:$A,$A761,$L:$L)))/VLOOKUP($A761,HeadJournal!$A$1:$L$890,COLUMN(HeadJournal!H$1),0),0)</f>
        <v>0</v>
      </c>
      <c r="P761" s="30">
        <f>IFERROR(SUM(K761:O761)*VLOOKUP($A761,HeadJournal!$A$1:$L$890,COLUMN(HeadJournal!H$1),0),0)</f>
        <v>502.70427590890336</v>
      </c>
      <c r="Q761" s="29">
        <v>1400</v>
      </c>
      <c r="R761" s="31">
        <v>45185</v>
      </c>
      <c r="S761" s="31" t="s">
        <v>3121</v>
      </c>
      <c r="T761" s="95" t="str">
        <f t="shared" si="59"/>
        <v>2023 09</v>
      </c>
      <c r="U761" s="32">
        <f t="shared" si="56"/>
        <v>897.29572409109664</v>
      </c>
      <c r="V761" s="22">
        <f t="shared" si="57"/>
        <v>1.7849375211077347</v>
      </c>
      <c r="X761" s="33"/>
      <c r="Y761" s="33"/>
    </row>
    <row r="762" spans="1:25" x14ac:dyDescent="0.2">
      <c r="A762" s="93" t="s">
        <v>342</v>
      </c>
      <c r="B762" s="94">
        <f>IFERROR(VLOOKUP($A762,HeadJournal!$A$1:$NTR$890,COLUMN(HeadJournal!B$1),0),"")</f>
        <v>0</v>
      </c>
      <c r="C762" s="94" t="str">
        <f>IFERROR(VLOOKUP($A762,HeadJournal!$A$1:$NTR$890,COLUMN(HeadJournal!C$1),0),"")</f>
        <v>Roman</v>
      </c>
      <c r="D762" s="125" t="str">
        <f>IFERROR(VLOOKUP($A762,HeadJournal!$A$1:$NTR$890,COLUMN(HeadJournal!D$1),0),"")</f>
        <v>Доставлен</v>
      </c>
      <c r="E762" s="95">
        <f>IFERROR(VLOOKUP($A762,HeadJournal!$A$1:$NTR$890,COLUMN(HeadJournal!G$1),0),"")</f>
        <v>44938</v>
      </c>
      <c r="F762" s="95" t="str">
        <f t="shared" si="58"/>
        <v>2023 01</v>
      </c>
      <c r="G762" s="96" t="s">
        <v>7</v>
      </c>
      <c r="H762" s="160" t="str">
        <f>RIGHT(Journal!$J762,9)</f>
        <v> MBE01141</v>
      </c>
      <c r="I762" s="96" t="str">
        <f t="shared" si="60"/>
        <v>Sierra Bees</v>
      </c>
      <c r="J762" s="97" t="s">
        <v>3714</v>
      </c>
      <c r="K762" s="29">
        <v>37.450000000000003</v>
      </c>
      <c r="L762" s="29"/>
      <c r="M762" s="30">
        <f>IFERROR(VLOOKUP($A762,HeadJournal!$A$1:$J$890,COLUMN(HeadJournal!I$1),0)*($K762+$L762)/(SUMIF($A:$A,$A762,$K:$K)+SUMIF($A:$A,$A762,$L:$L)),0)</f>
        <v>0</v>
      </c>
      <c r="N762" s="30">
        <f>IFERROR((VLOOKUP($A762,HeadJournal!$A$1:$K$890,COLUMN(HeadJournal!K$1),0)-VLOOKUP($A762,HeadJournal!$A$1:$K$890,COLUMN(HeadJournal!J$1),0))*($K762+$L762)/(SUMIF($A:$A,$A762,$K:$K)+SUMIF($A:$A,$A762,$L:$L)),0)</f>
        <v>-9.6279498435654629E-2</v>
      </c>
      <c r="O762" s="30">
        <f>IFERROR((VLOOKUP($A762,HeadJournal!$A$1:$L$890,COLUMN(HeadJournal!L$1),0)*($K762+$L762)/(SUMIF($A:$A,$A762,$K:$K)+SUMIF($A:$A,$A762,$L:$L)))/VLOOKUP($A762,HeadJournal!$A$1:$L$890,COLUMN(HeadJournal!H$1),0),0)</f>
        <v>0</v>
      </c>
      <c r="P762" s="30">
        <f>IFERROR(SUM(K762:O762)*VLOOKUP($A762,HeadJournal!$A$1:$L$890,COLUMN(HeadJournal!H$1),0),0)</f>
        <v>37.353720501564347</v>
      </c>
      <c r="Q762" s="29"/>
      <c r="R762" s="31"/>
      <c r="S762" s="31"/>
      <c r="T762" s="95" t="str">
        <f t="shared" si="59"/>
        <v/>
      </c>
      <c r="U762" s="32">
        <f t="shared" si="56"/>
        <v>-37.353720501564347</v>
      </c>
      <c r="V762" s="22" t="str">
        <f t="shared" si="57"/>
        <v/>
      </c>
      <c r="X762" s="33"/>
      <c r="Y762" s="33"/>
    </row>
    <row r="763" spans="1:25" x14ac:dyDescent="0.2">
      <c r="A763" s="93" t="s">
        <v>342</v>
      </c>
      <c r="B763" s="94">
        <f>IFERROR(VLOOKUP($A763,HeadJournal!$A$1:$NTR$890,COLUMN(HeadJournal!B$1),0),"")</f>
        <v>0</v>
      </c>
      <c r="C763" s="94" t="str">
        <f>IFERROR(VLOOKUP($A763,HeadJournal!$A$1:$NTR$890,COLUMN(HeadJournal!C$1),0),"")</f>
        <v>Roman</v>
      </c>
      <c r="D763" s="125" t="str">
        <f>IFERROR(VLOOKUP($A763,HeadJournal!$A$1:$NTR$890,COLUMN(HeadJournal!D$1),0),"")</f>
        <v>Доставлен</v>
      </c>
      <c r="E763" s="95">
        <f>IFERROR(VLOOKUP($A763,HeadJournal!$A$1:$NTR$890,COLUMN(HeadJournal!G$1),0),"")</f>
        <v>44938</v>
      </c>
      <c r="F763" s="95" t="str">
        <f t="shared" si="58"/>
        <v>2023 01</v>
      </c>
      <c r="G763" s="96" t="s">
        <v>7</v>
      </c>
      <c r="H763" s="160" t="str">
        <f>RIGHT(Journal!$J763,9)</f>
        <v> MBE01141</v>
      </c>
      <c r="I763" s="96" t="str">
        <f t="shared" si="60"/>
        <v>Sierra Bees</v>
      </c>
      <c r="J763" s="97" t="s">
        <v>3714</v>
      </c>
      <c r="K763" s="29">
        <v>37.450000000000003</v>
      </c>
      <c r="L763" s="29"/>
      <c r="M763" s="30">
        <f>IFERROR(VLOOKUP($A763,HeadJournal!$A$1:$J$890,COLUMN(HeadJournal!I$1),0)*($K763+$L763)/(SUMIF($A:$A,$A763,$K:$K)+SUMIF($A:$A,$A763,$L:$L)),0)</f>
        <v>0</v>
      </c>
      <c r="N763" s="30">
        <f>IFERROR((VLOOKUP($A763,HeadJournal!$A$1:$K$890,COLUMN(HeadJournal!K$1),0)-VLOOKUP($A763,HeadJournal!$A$1:$K$890,COLUMN(HeadJournal!J$1),0))*($K763+$L763)/(SUMIF($A:$A,$A763,$K:$K)+SUMIF($A:$A,$A763,$L:$L)),0)</f>
        <v>-9.6279498435654629E-2</v>
      </c>
      <c r="O763" s="30">
        <f>IFERROR((VLOOKUP($A763,HeadJournal!$A$1:$L$890,COLUMN(HeadJournal!L$1),0)*($K763+$L763)/(SUMIF($A:$A,$A763,$K:$K)+SUMIF($A:$A,$A763,$L:$L)))/VLOOKUP($A763,HeadJournal!$A$1:$L$890,COLUMN(HeadJournal!H$1),0),0)</f>
        <v>0</v>
      </c>
      <c r="P763" s="30">
        <f>IFERROR(SUM(K763:O763)*VLOOKUP($A763,HeadJournal!$A$1:$L$890,COLUMN(HeadJournal!H$1),0),0)</f>
        <v>37.353720501564347</v>
      </c>
      <c r="Q763" s="29"/>
      <c r="R763" s="31"/>
      <c r="S763" s="31"/>
      <c r="T763" s="95" t="str">
        <f t="shared" si="59"/>
        <v/>
      </c>
      <c r="U763" s="32">
        <f t="shared" si="56"/>
        <v>-37.353720501564347</v>
      </c>
      <c r="V763" s="22" t="str">
        <f t="shared" si="57"/>
        <v/>
      </c>
      <c r="X763" s="33"/>
      <c r="Y763" s="33"/>
    </row>
    <row r="764" spans="1:25" x14ac:dyDescent="0.2">
      <c r="A764" s="93" t="s">
        <v>342</v>
      </c>
      <c r="B764" s="94">
        <f>IFERROR(VLOOKUP($A764,HeadJournal!$A$1:$NTR$890,COLUMN(HeadJournal!B$1),0),"")</f>
        <v>0</v>
      </c>
      <c r="C764" s="94" t="str">
        <f>IFERROR(VLOOKUP($A764,HeadJournal!$A$1:$NTR$890,COLUMN(HeadJournal!C$1),0),"")</f>
        <v>Roman</v>
      </c>
      <c r="D764" s="125" t="str">
        <f>IFERROR(VLOOKUP($A764,HeadJournal!$A$1:$NTR$890,COLUMN(HeadJournal!D$1),0),"")</f>
        <v>Доставлен</v>
      </c>
      <c r="E764" s="95">
        <f>IFERROR(VLOOKUP($A764,HeadJournal!$A$1:$NTR$890,COLUMN(HeadJournal!G$1),0),"")</f>
        <v>44938</v>
      </c>
      <c r="F764" s="95" t="str">
        <f t="shared" si="58"/>
        <v>2023 01</v>
      </c>
      <c r="G764" s="96" t="s">
        <v>7</v>
      </c>
      <c r="H764" s="160" t="str">
        <f>RIGHT(Journal!$J764,9)</f>
        <v> MBE01141</v>
      </c>
      <c r="I764" s="96" t="str">
        <f t="shared" si="60"/>
        <v>Sierra Bees</v>
      </c>
      <c r="J764" s="97" t="s">
        <v>3714</v>
      </c>
      <c r="K764" s="29">
        <v>37.450000000000003</v>
      </c>
      <c r="L764" s="29"/>
      <c r="M764" s="30">
        <f>IFERROR(VLOOKUP($A764,HeadJournal!$A$1:$J$890,COLUMN(HeadJournal!I$1),0)*($K764+$L764)/(SUMIF($A:$A,$A764,$K:$K)+SUMIF($A:$A,$A764,$L:$L)),0)</f>
        <v>0</v>
      </c>
      <c r="N764" s="30">
        <f>IFERROR((VLOOKUP($A764,HeadJournal!$A$1:$K$890,COLUMN(HeadJournal!K$1),0)-VLOOKUP($A764,HeadJournal!$A$1:$K$890,COLUMN(HeadJournal!J$1),0))*($K764+$L764)/(SUMIF($A:$A,$A764,$K:$K)+SUMIF($A:$A,$A764,$L:$L)),0)</f>
        <v>-9.6279498435654629E-2</v>
      </c>
      <c r="O764" s="30">
        <f>IFERROR((VLOOKUP($A764,HeadJournal!$A$1:$L$890,COLUMN(HeadJournal!L$1),0)*($K764+$L764)/(SUMIF($A:$A,$A764,$K:$K)+SUMIF($A:$A,$A764,$L:$L)))/VLOOKUP($A764,HeadJournal!$A$1:$L$890,COLUMN(HeadJournal!H$1),0),0)</f>
        <v>0</v>
      </c>
      <c r="P764" s="30">
        <f>IFERROR(SUM(K764:O764)*VLOOKUP($A764,HeadJournal!$A$1:$L$890,COLUMN(HeadJournal!H$1),0),0)</f>
        <v>37.353720501564347</v>
      </c>
      <c r="Q764" s="29"/>
      <c r="R764" s="31"/>
      <c r="S764" s="31"/>
      <c r="T764" s="95" t="str">
        <f t="shared" si="59"/>
        <v/>
      </c>
      <c r="U764" s="32">
        <f t="shared" si="56"/>
        <v>-37.353720501564347</v>
      </c>
      <c r="V764" s="22" t="str">
        <f t="shared" si="57"/>
        <v/>
      </c>
      <c r="X764" s="33"/>
      <c r="Y764" s="33"/>
    </row>
    <row r="765" spans="1:25" x14ac:dyDescent="0.2">
      <c r="A765" s="93" t="s">
        <v>342</v>
      </c>
      <c r="B765" s="94">
        <f>IFERROR(VLOOKUP($A765,HeadJournal!$A$1:$NTR$890,COLUMN(HeadJournal!B$1),0),"")</f>
        <v>0</v>
      </c>
      <c r="C765" s="94" t="str">
        <f>IFERROR(VLOOKUP($A765,HeadJournal!$A$1:$NTR$890,COLUMN(HeadJournal!C$1),0),"")</f>
        <v>Roman</v>
      </c>
      <c r="D765" s="125" t="str">
        <f>IFERROR(VLOOKUP($A765,HeadJournal!$A$1:$NTR$890,COLUMN(HeadJournal!D$1),0),"")</f>
        <v>Доставлен</v>
      </c>
      <c r="E765" s="95">
        <f>IFERROR(VLOOKUP($A765,HeadJournal!$A$1:$NTR$890,COLUMN(HeadJournal!G$1),0),"")</f>
        <v>44938</v>
      </c>
      <c r="F765" s="95" t="str">
        <f t="shared" si="58"/>
        <v>2023 01</v>
      </c>
      <c r="G765" s="96" t="s">
        <v>7</v>
      </c>
      <c r="H765" s="160" t="str">
        <f>RIGHT(Journal!$J765,9)</f>
        <v> MBE01141</v>
      </c>
      <c r="I765" s="96" t="str">
        <f t="shared" si="60"/>
        <v>Sierra Bees</v>
      </c>
      <c r="J765" s="97" t="s">
        <v>3714</v>
      </c>
      <c r="K765" s="29">
        <v>37.450000000000003</v>
      </c>
      <c r="L765" s="29"/>
      <c r="M765" s="30">
        <f>IFERROR(VLOOKUP($A765,HeadJournal!$A$1:$J$890,COLUMN(HeadJournal!I$1),0)*($K765+$L765)/(SUMIF($A:$A,$A765,$K:$K)+SUMIF($A:$A,$A765,$L:$L)),0)</f>
        <v>0</v>
      </c>
      <c r="N765" s="30">
        <f>IFERROR((VLOOKUP($A765,HeadJournal!$A$1:$K$890,COLUMN(HeadJournal!K$1),0)-VLOOKUP($A765,HeadJournal!$A$1:$K$890,COLUMN(HeadJournal!J$1),0))*($K765+$L765)/(SUMIF($A:$A,$A765,$K:$K)+SUMIF($A:$A,$A765,$L:$L)),0)</f>
        <v>-9.6279498435654629E-2</v>
      </c>
      <c r="O765" s="30">
        <f>IFERROR((VLOOKUP($A765,HeadJournal!$A$1:$L$890,COLUMN(HeadJournal!L$1),0)*($K765+$L765)/(SUMIF($A:$A,$A765,$K:$K)+SUMIF($A:$A,$A765,$L:$L)))/VLOOKUP($A765,HeadJournal!$A$1:$L$890,COLUMN(HeadJournal!H$1),0),0)</f>
        <v>0</v>
      </c>
      <c r="P765" s="30">
        <f>IFERROR(SUM(K765:O765)*VLOOKUP($A765,HeadJournal!$A$1:$L$890,COLUMN(HeadJournal!H$1),0),0)</f>
        <v>37.353720501564347</v>
      </c>
      <c r="Q765" s="29"/>
      <c r="R765" s="31"/>
      <c r="S765" s="31"/>
      <c r="T765" s="95" t="str">
        <f t="shared" si="59"/>
        <v/>
      </c>
      <c r="U765" s="32">
        <f t="shared" si="56"/>
        <v>-37.353720501564347</v>
      </c>
      <c r="V765" s="22" t="str">
        <f t="shared" si="57"/>
        <v/>
      </c>
      <c r="X765" s="33"/>
      <c r="Y765" s="33"/>
    </row>
    <row r="766" spans="1:25" x14ac:dyDescent="0.2">
      <c r="A766" s="93" t="s">
        <v>342</v>
      </c>
      <c r="B766" s="94">
        <f>IFERROR(VLOOKUP($A766,HeadJournal!$A$1:$NTR$890,COLUMN(HeadJournal!B$1),0),"")</f>
        <v>0</v>
      </c>
      <c r="C766" s="94" t="str">
        <f>IFERROR(VLOOKUP($A766,HeadJournal!$A$1:$NTR$890,COLUMN(HeadJournal!C$1),0),"")</f>
        <v>Roman</v>
      </c>
      <c r="D766" s="125" t="str">
        <f>IFERROR(VLOOKUP($A766,HeadJournal!$A$1:$NTR$890,COLUMN(HeadJournal!D$1),0),"")</f>
        <v>Доставлен</v>
      </c>
      <c r="E766" s="95">
        <f>IFERROR(VLOOKUP($A766,HeadJournal!$A$1:$NTR$890,COLUMN(HeadJournal!G$1),0),"")</f>
        <v>44938</v>
      </c>
      <c r="F766" s="95" t="str">
        <f t="shared" si="58"/>
        <v>2023 01</v>
      </c>
      <c r="G766" s="96" t="s">
        <v>7</v>
      </c>
      <c r="H766" s="160" t="str">
        <f>RIGHT(Journal!$J766,9)</f>
        <v> MBE01141</v>
      </c>
      <c r="I766" s="96" t="str">
        <f t="shared" si="60"/>
        <v>Sierra Bees</v>
      </c>
      <c r="J766" s="97" t="s">
        <v>3714</v>
      </c>
      <c r="K766" s="29">
        <v>37.450000000000003</v>
      </c>
      <c r="L766" s="29"/>
      <c r="M766" s="30">
        <f>IFERROR(VLOOKUP($A766,HeadJournal!$A$1:$J$890,COLUMN(HeadJournal!I$1),0)*($K766+$L766)/(SUMIF($A:$A,$A766,$K:$K)+SUMIF($A:$A,$A766,$L:$L)),0)</f>
        <v>0</v>
      </c>
      <c r="N766" s="30">
        <f>IFERROR((VLOOKUP($A766,HeadJournal!$A$1:$K$890,COLUMN(HeadJournal!K$1),0)-VLOOKUP($A766,HeadJournal!$A$1:$K$890,COLUMN(HeadJournal!J$1),0))*($K766+$L766)/(SUMIF($A:$A,$A766,$K:$K)+SUMIF($A:$A,$A766,$L:$L)),0)</f>
        <v>-9.6279498435654629E-2</v>
      </c>
      <c r="O766" s="30">
        <f>IFERROR((VLOOKUP($A766,HeadJournal!$A$1:$L$890,COLUMN(HeadJournal!L$1),0)*($K766+$L766)/(SUMIF($A:$A,$A766,$K:$K)+SUMIF($A:$A,$A766,$L:$L)))/VLOOKUP($A766,HeadJournal!$A$1:$L$890,COLUMN(HeadJournal!H$1),0),0)</f>
        <v>0</v>
      </c>
      <c r="P766" s="30">
        <f>IFERROR(SUM(K766:O766)*VLOOKUP($A766,HeadJournal!$A$1:$L$890,COLUMN(HeadJournal!H$1),0),0)</f>
        <v>37.353720501564347</v>
      </c>
      <c r="Q766" s="29"/>
      <c r="R766" s="31"/>
      <c r="S766" s="31"/>
      <c r="T766" s="95" t="str">
        <f t="shared" si="59"/>
        <v/>
      </c>
      <c r="U766" s="32">
        <f t="shared" si="56"/>
        <v>-37.353720501564347</v>
      </c>
      <c r="V766" s="22" t="str">
        <f t="shared" si="57"/>
        <v/>
      </c>
      <c r="X766" s="33"/>
      <c r="Y766" s="33"/>
    </row>
    <row r="767" spans="1:25" x14ac:dyDescent="0.2">
      <c r="A767" s="93" t="s">
        <v>342</v>
      </c>
      <c r="B767" s="94">
        <f>IFERROR(VLOOKUP($A767,HeadJournal!$A$1:$NTR$890,COLUMN(HeadJournal!B$1),0),"")</f>
        <v>0</v>
      </c>
      <c r="C767" s="94" t="str">
        <f>IFERROR(VLOOKUP($A767,HeadJournal!$A$1:$NTR$890,COLUMN(HeadJournal!C$1),0),"")</f>
        <v>Roman</v>
      </c>
      <c r="D767" s="125" t="str">
        <f>IFERROR(VLOOKUP($A767,HeadJournal!$A$1:$NTR$890,COLUMN(HeadJournal!D$1),0),"")</f>
        <v>Доставлен</v>
      </c>
      <c r="E767" s="95">
        <f>IFERROR(VLOOKUP($A767,HeadJournal!$A$1:$NTR$890,COLUMN(HeadJournal!G$1),0),"")</f>
        <v>44938</v>
      </c>
      <c r="F767" s="95" t="str">
        <f t="shared" si="58"/>
        <v>2023 01</v>
      </c>
      <c r="G767" s="96" t="s">
        <v>7</v>
      </c>
      <c r="H767" s="160" t="str">
        <f>RIGHT(Journal!$J767,9)</f>
        <v> MBE01141</v>
      </c>
      <c r="I767" s="96" t="str">
        <f t="shared" si="60"/>
        <v>Sierra Bees</v>
      </c>
      <c r="J767" s="97" t="s">
        <v>3714</v>
      </c>
      <c r="K767" s="29">
        <v>37.450000000000003</v>
      </c>
      <c r="L767" s="29"/>
      <c r="M767" s="30">
        <f>IFERROR(VLOOKUP($A767,HeadJournal!$A$1:$J$890,COLUMN(HeadJournal!I$1),0)*($K767+$L767)/(SUMIF($A:$A,$A767,$K:$K)+SUMIF($A:$A,$A767,$L:$L)),0)</f>
        <v>0</v>
      </c>
      <c r="N767" s="30">
        <f>IFERROR((VLOOKUP($A767,HeadJournal!$A$1:$K$890,COLUMN(HeadJournal!K$1),0)-VLOOKUP($A767,HeadJournal!$A$1:$K$890,COLUMN(HeadJournal!J$1),0))*($K767+$L767)/(SUMIF($A:$A,$A767,$K:$K)+SUMIF($A:$A,$A767,$L:$L)),0)</f>
        <v>-9.6279498435654629E-2</v>
      </c>
      <c r="O767" s="30">
        <f>IFERROR((VLOOKUP($A767,HeadJournal!$A$1:$L$890,COLUMN(HeadJournal!L$1),0)*($K767+$L767)/(SUMIF($A:$A,$A767,$K:$K)+SUMIF($A:$A,$A767,$L:$L)))/VLOOKUP($A767,HeadJournal!$A$1:$L$890,COLUMN(HeadJournal!H$1),0),0)</f>
        <v>0</v>
      </c>
      <c r="P767" s="30">
        <f>IFERROR(SUM(K767:O767)*VLOOKUP($A767,HeadJournal!$A$1:$L$890,COLUMN(HeadJournal!H$1),0),0)</f>
        <v>37.353720501564347</v>
      </c>
      <c r="Q767" s="29"/>
      <c r="R767" s="31"/>
      <c r="S767" s="31"/>
      <c r="T767" s="95" t="str">
        <f t="shared" si="59"/>
        <v/>
      </c>
      <c r="U767" s="32">
        <f t="shared" si="56"/>
        <v>-37.353720501564347</v>
      </c>
      <c r="V767" s="22" t="str">
        <f t="shared" si="57"/>
        <v/>
      </c>
      <c r="X767" s="33"/>
      <c r="Y767" s="33"/>
    </row>
    <row r="768" spans="1:25" x14ac:dyDescent="0.2">
      <c r="A768" s="93" t="s">
        <v>342</v>
      </c>
      <c r="B768" s="94">
        <f>IFERROR(VLOOKUP($A768,HeadJournal!$A$1:$NTR$890,COLUMN(HeadJournal!B$1),0),"")</f>
        <v>0</v>
      </c>
      <c r="C768" s="94" t="str">
        <f>IFERROR(VLOOKUP($A768,HeadJournal!$A$1:$NTR$890,COLUMN(HeadJournal!C$1),0),"")</f>
        <v>Roman</v>
      </c>
      <c r="D768" s="125" t="str">
        <f>IFERROR(VLOOKUP($A768,HeadJournal!$A$1:$NTR$890,COLUMN(HeadJournal!D$1),0),"")</f>
        <v>Доставлен</v>
      </c>
      <c r="E768" s="95">
        <f>IFERROR(VLOOKUP($A768,HeadJournal!$A$1:$NTR$890,COLUMN(HeadJournal!G$1),0),"")</f>
        <v>44938</v>
      </c>
      <c r="F768" s="95" t="str">
        <f t="shared" si="58"/>
        <v>2023 01</v>
      </c>
      <c r="G768" s="96" t="s">
        <v>7</v>
      </c>
      <c r="H768" s="160" t="str">
        <f>RIGHT(Journal!$J768,9)</f>
        <v> MBE01141</v>
      </c>
      <c r="I768" s="96" t="str">
        <f t="shared" si="60"/>
        <v>Sierra Bees</v>
      </c>
      <c r="J768" s="97" t="s">
        <v>3714</v>
      </c>
      <c r="K768" s="29">
        <v>37.450000000000003</v>
      </c>
      <c r="L768" s="29"/>
      <c r="M768" s="30">
        <f>IFERROR(VLOOKUP($A768,HeadJournal!$A$1:$J$890,COLUMN(HeadJournal!I$1),0)*($K768+$L768)/(SUMIF($A:$A,$A768,$K:$K)+SUMIF($A:$A,$A768,$L:$L)),0)</f>
        <v>0</v>
      </c>
      <c r="N768" s="30">
        <f>IFERROR((VLOOKUP($A768,HeadJournal!$A$1:$K$890,COLUMN(HeadJournal!K$1),0)-VLOOKUP($A768,HeadJournal!$A$1:$K$890,COLUMN(HeadJournal!J$1),0))*($K768+$L768)/(SUMIF($A:$A,$A768,$K:$K)+SUMIF($A:$A,$A768,$L:$L)),0)</f>
        <v>-9.6279498435654629E-2</v>
      </c>
      <c r="O768" s="30">
        <f>IFERROR((VLOOKUP($A768,HeadJournal!$A$1:$L$890,COLUMN(HeadJournal!L$1),0)*($K768+$L768)/(SUMIF($A:$A,$A768,$K:$K)+SUMIF($A:$A,$A768,$L:$L)))/VLOOKUP($A768,HeadJournal!$A$1:$L$890,COLUMN(HeadJournal!H$1),0),0)</f>
        <v>0</v>
      </c>
      <c r="P768" s="30">
        <f>IFERROR(SUM(K768:O768)*VLOOKUP($A768,HeadJournal!$A$1:$L$890,COLUMN(HeadJournal!H$1),0),0)</f>
        <v>37.353720501564347</v>
      </c>
      <c r="Q768" s="29"/>
      <c r="R768" s="31"/>
      <c r="S768" s="31"/>
      <c r="T768" s="95" t="str">
        <f t="shared" si="59"/>
        <v/>
      </c>
      <c r="U768" s="32">
        <f t="shared" si="56"/>
        <v>-37.353720501564347</v>
      </c>
      <c r="V768" s="22" t="str">
        <f t="shared" si="57"/>
        <v/>
      </c>
      <c r="X768" s="33"/>
      <c r="Y768" s="33"/>
    </row>
    <row r="769" spans="1:25" x14ac:dyDescent="0.2">
      <c r="A769" s="93" t="s">
        <v>342</v>
      </c>
      <c r="B769" s="94">
        <f>IFERROR(VLOOKUP($A769,HeadJournal!$A$1:$NTR$890,COLUMN(HeadJournal!B$1),0),"")</f>
        <v>0</v>
      </c>
      <c r="C769" s="94" t="str">
        <f>IFERROR(VLOOKUP($A769,HeadJournal!$A$1:$NTR$890,COLUMN(HeadJournal!C$1),0),"")</f>
        <v>Roman</v>
      </c>
      <c r="D769" s="125" t="str">
        <f>IFERROR(VLOOKUP($A769,HeadJournal!$A$1:$NTR$890,COLUMN(HeadJournal!D$1),0),"")</f>
        <v>Доставлен</v>
      </c>
      <c r="E769" s="95">
        <f>IFERROR(VLOOKUP($A769,HeadJournal!$A$1:$NTR$890,COLUMN(HeadJournal!G$1),0),"")</f>
        <v>44938</v>
      </c>
      <c r="F769" s="95" t="str">
        <f t="shared" si="58"/>
        <v>2023 01</v>
      </c>
      <c r="G769" s="96" t="s">
        <v>7</v>
      </c>
      <c r="H769" s="160" t="str">
        <f>RIGHT(Journal!$J769,9)</f>
        <v> MBE01141</v>
      </c>
      <c r="I769" s="96" t="s">
        <v>3690</v>
      </c>
      <c r="J769" s="97" t="s">
        <v>3714</v>
      </c>
      <c r="K769" s="29">
        <v>37.450000000000003</v>
      </c>
      <c r="L769" s="29"/>
      <c r="M769" s="30">
        <f>IFERROR(VLOOKUP($A769,HeadJournal!$A$1:$J$890,COLUMN(HeadJournal!I$1),0)*($K769+$L769)/(SUMIF($A:$A,$A769,$K:$K)+SUMIF($A:$A,$A769,$L:$L)),0)</f>
        <v>0</v>
      </c>
      <c r="N769" s="30">
        <f>IFERROR((VLOOKUP($A769,HeadJournal!$A$1:$K$890,COLUMN(HeadJournal!K$1),0)-VLOOKUP($A769,HeadJournal!$A$1:$K$890,COLUMN(HeadJournal!J$1),0))*($K769+$L769)/(SUMIF($A:$A,$A769,$K:$K)+SUMIF($A:$A,$A769,$L:$L)),0)</f>
        <v>-9.6279498435654629E-2</v>
      </c>
      <c r="O769" s="30">
        <f>IFERROR((VLOOKUP($A769,HeadJournal!$A$1:$L$890,COLUMN(HeadJournal!L$1),0)*($K769+$L769)/(SUMIF($A:$A,$A769,$K:$K)+SUMIF($A:$A,$A769,$L:$L)))/VLOOKUP($A769,HeadJournal!$A$1:$L$890,COLUMN(HeadJournal!H$1),0),0)</f>
        <v>0</v>
      </c>
      <c r="P769" s="30">
        <f>IFERROR(SUM(K769:O769)*VLOOKUP($A769,HeadJournal!$A$1:$L$890,COLUMN(HeadJournal!H$1),0),0)</f>
        <v>37.353720501564347</v>
      </c>
      <c r="Q769" s="29"/>
      <c r="R769" s="31"/>
      <c r="S769" s="31"/>
      <c r="T769" s="95" t="str">
        <f t="shared" si="59"/>
        <v/>
      </c>
      <c r="U769" s="32">
        <f t="shared" si="56"/>
        <v>-37.353720501564347</v>
      </c>
      <c r="V769" s="22" t="str">
        <f t="shared" si="57"/>
        <v/>
      </c>
      <c r="X769" s="33"/>
      <c r="Y769" s="33"/>
    </row>
    <row r="770" spans="1:25" x14ac:dyDescent="0.2">
      <c r="A770" s="93" t="s">
        <v>344</v>
      </c>
      <c r="B770" s="94">
        <f>IFERROR(VLOOKUP($A770,HeadJournal!$A$1:$NTR$890,COLUMN(HeadJournal!B$1),0),"")</f>
        <v>0</v>
      </c>
      <c r="C770" s="94" t="str">
        <f>IFERROR(VLOOKUP($A770,HeadJournal!$A$1:$NTR$890,COLUMN(HeadJournal!C$1),0),"")</f>
        <v>WBRS</v>
      </c>
      <c r="D770" s="125" t="str">
        <f>IFERROR(VLOOKUP($A770,HeadJournal!$A$1:$NTR$890,COLUMN(HeadJournal!D$1),0),"")</f>
        <v>Доставлен</v>
      </c>
      <c r="E770" s="95">
        <f>IFERROR(VLOOKUP($A770,HeadJournal!$A$1:$NTR$890,COLUMN(HeadJournal!G$1),0),"")</f>
        <v>44941</v>
      </c>
      <c r="F770" s="95" t="str">
        <f t="shared" si="58"/>
        <v>2023 01</v>
      </c>
      <c r="G770" s="96" t="s">
        <v>7</v>
      </c>
      <c r="H770" s="160" t="str">
        <f>RIGHT(Journal!$J770,9)</f>
        <v>103598182</v>
      </c>
      <c r="I770" s="96" t="str">
        <f t="shared" si="60"/>
        <v>TAI YAN</v>
      </c>
      <c r="J770" s="97" t="s">
        <v>345</v>
      </c>
      <c r="K770" s="55">
        <v>485</v>
      </c>
      <c r="L770" s="29"/>
      <c r="M770" s="30">
        <f>IFERROR(VLOOKUP($A770,HeadJournal!$A$1:$J$890,COLUMN(HeadJournal!I$1),0)*($K770+$L770)/(SUMIF($A:$A,$A770,$K:$K)+SUMIF($A:$A,$A770,$L:$L)),0)</f>
        <v>0</v>
      </c>
      <c r="N770" s="30">
        <f>IFERROR((VLOOKUP($A770,HeadJournal!$A$1:$K$890,COLUMN(HeadJournal!K$1),0)-VLOOKUP($A770,HeadJournal!$A$1:$K$890,COLUMN(HeadJournal!J$1),0))*($K770+$L770)/(SUMIF($A:$A,$A770,$K:$K)+SUMIF($A:$A,$A770,$L:$L)),0)</f>
        <v>0</v>
      </c>
      <c r="O770" s="30">
        <f>IFERROR((VLOOKUP($A770,HeadJournal!$A$1:$L$890,COLUMN(HeadJournal!L$1),0)*($K770+$L770)/(SUMIF($A:$A,$A770,$K:$K)+SUMIF($A:$A,$A770,$L:$L)))/VLOOKUP($A770,HeadJournal!$A$1:$L$890,COLUMN(HeadJournal!H$1),0),0)</f>
        <v>72.75</v>
      </c>
      <c r="P770" s="30">
        <f>IFERROR(SUM(K770:O770)*VLOOKUP($A770,HeadJournal!$A$1:$L$890,COLUMN(HeadJournal!H$1),0),0)</f>
        <v>557.75</v>
      </c>
      <c r="Q770" s="29"/>
      <c r="R770" s="31"/>
      <c r="S770" s="31"/>
      <c r="T770" s="95" t="str">
        <f t="shared" si="59"/>
        <v/>
      </c>
      <c r="U770" s="32">
        <f t="shared" si="56"/>
        <v>-557.75</v>
      </c>
      <c r="V770" s="22" t="str">
        <f t="shared" si="57"/>
        <v/>
      </c>
      <c r="X770" s="33"/>
      <c r="Y770" s="33"/>
    </row>
    <row r="771" spans="1:25" x14ac:dyDescent="0.2">
      <c r="A771" s="93" t="s">
        <v>344</v>
      </c>
      <c r="B771" s="94">
        <f>IFERROR(VLOOKUP($A771,HeadJournal!$A$1:$NTR$890,COLUMN(HeadJournal!B$1),0),"")</f>
        <v>0</v>
      </c>
      <c r="C771" s="94" t="str">
        <f>IFERROR(VLOOKUP($A771,HeadJournal!$A$1:$NTR$890,COLUMN(HeadJournal!C$1),0),"")</f>
        <v>WBRS</v>
      </c>
      <c r="D771" s="125" t="str">
        <f>IFERROR(VLOOKUP($A771,HeadJournal!$A$1:$NTR$890,COLUMN(HeadJournal!D$1),0),"")</f>
        <v>Доставлен</v>
      </c>
      <c r="E771" s="95">
        <f>IFERROR(VLOOKUP($A771,HeadJournal!$A$1:$NTR$890,COLUMN(HeadJournal!G$1),0),"")</f>
        <v>44941</v>
      </c>
      <c r="F771" s="95" t="str">
        <f t="shared" si="58"/>
        <v>2023 01</v>
      </c>
      <c r="G771" s="96" t="s">
        <v>7</v>
      </c>
      <c r="H771" s="160" t="str">
        <f>RIGHT(Journal!$J771,9)</f>
        <v>103598182</v>
      </c>
      <c r="I771" s="96" t="str">
        <f t="shared" ref="I771:I834" si="61">IFERROR(LEFT(J771,FIND(",",J771)-1),"")</f>
        <v>TAI YAN</v>
      </c>
      <c r="J771" s="97" t="s">
        <v>345</v>
      </c>
      <c r="K771" s="55">
        <v>485</v>
      </c>
      <c r="L771" s="29"/>
      <c r="M771" s="30">
        <f>IFERROR(VLOOKUP($A771,HeadJournal!$A$1:$J$890,COLUMN(HeadJournal!I$1),0)*($K771+$L771)/(SUMIF($A:$A,$A771,$K:$K)+SUMIF($A:$A,$A771,$L:$L)),0)</f>
        <v>0</v>
      </c>
      <c r="N771" s="30">
        <f>IFERROR((VLOOKUP($A771,HeadJournal!$A$1:$K$890,COLUMN(HeadJournal!K$1),0)-VLOOKUP($A771,HeadJournal!$A$1:$K$890,COLUMN(HeadJournal!J$1),0))*($K771+$L771)/(SUMIF($A:$A,$A771,$K:$K)+SUMIF($A:$A,$A771,$L:$L)),0)</f>
        <v>0</v>
      </c>
      <c r="O771" s="30">
        <f>IFERROR((VLOOKUP($A771,HeadJournal!$A$1:$L$890,COLUMN(HeadJournal!L$1),0)*($K771+$L771)/(SUMIF($A:$A,$A771,$K:$K)+SUMIF($A:$A,$A771,$L:$L)))/VLOOKUP($A771,HeadJournal!$A$1:$L$890,COLUMN(HeadJournal!H$1),0),0)</f>
        <v>72.75</v>
      </c>
      <c r="P771" s="30">
        <f>IFERROR(SUM(K771:O771)*VLOOKUP($A771,HeadJournal!$A$1:$L$890,COLUMN(HeadJournal!H$1),0),0)</f>
        <v>557.75</v>
      </c>
      <c r="Q771" s="29"/>
      <c r="R771" s="31"/>
      <c r="S771" s="31"/>
      <c r="T771" s="95" t="str">
        <f t="shared" si="59"/>
        <v/>
      </c>
      <c r="U771" s="32">
        <f t="shared" ref="U771:U834" si="62">Q771-P771</f>
        <v>-557.75</v>
      </c>
      <c r="V771" s="22" t="str">
        <f t="shared" ref="V771:V834" si="63">IF(Q771&lt;&gt;0,IFERROR(U771/P771,""),"")</f>
        <v/>
      </c>
      <c r="X771" s="33"/>
      <c r="Y771" s="33"/>
    </row>
    <row r="772" spans="1:25" x14ac:dyDescent="0.2">
      <c r="A772" s="93" t="s">
        <v>344</v>
      </c>
      <c r="B772" s="94">
        <f>IFERROR(VLOOKUP($A772,HeadJournal!$A$1:$NTR$890,COLUMN(HeadJournal!B$1),0),"")</f>
        <v>0</v>
      </c>
      <c r="C772" s="94" t="str">
        <f>IFERROR(VLOOKUP($A772,HeadJournal!$A$1:$NTR$890,COLUMN(HeadJournal!C$1),0),"")</f>
        <v>WBRS</v>
      </c>
      <c r="D772" s="125" t="str">
        <f>IFERROR(VLOOKUP($A772,HeadJournal!$A$1:$NTR$890,COLUMN(HeadJournal!D$1),0),"")</f>
        <v>Доставлен</v>
      </c>
      <c r="E772" s="95">
        <f>IFERROR(VLOOKUP($A772,HeadJournal!$A$1:$NTR$890,COLUMN(HeadJournal!G$1),0),"")</f>
        <v>44941</v>
      </c>
      <c r="F772" s="95" t="str">
        <f t="shared" ref="F772:F835" si="64">IFERROR(TEXT(E772, "ГГГГ ММ"),"")</f>
        <v>2023 01</v>
      </c>
      <c r="G772" s="96" t="s">
        <v>7</v>
      </c>
      <c r="H772" s="160" t="str">
        <f>RIGHT(Journal!$J772,9)</f>
        <v>135353079</v>
      </c>
      <c r="I772" s="96" t="str">
        <f t="shared" si="61"/>
        <v>La Agera</v>
      </c>
      <c r="J772" s="97" t="s">
        <v>346</v>
      </c>
      <c r="K772" s="55">
        <v>243</v>
      </c>
      <c r="L772" s="29"/>
      <c r="M772" s="30">
        <f>IFERROR(VLOOKUP($A772,HeadJournal!$A$1:$J$890,COLUMN(HeadJournal!I$1),0)*($K772+$L772)/(SUMIF($A:$A,$A772,$K:$K)+SUMIF($A:$A,$A772,$L:$L)),0)</f>
        <v>0</v>
      </c>
      <c r="N772" s="30">
        <f>IFERROR((VLOOKUP($A772,HeadJournal!$A$1:$K$890,COLUMN(HeadJournal!K$1),0)-VLOOKUP($A772,HeadJournal!$A$1:$K$890,COLUMN(HeadJournal!J$1),0))*($K772+$L772)/(SUMIF($A:$A,$A772,$K:$K)+SUMIF($A:$A,$A772,$L:$L)),0)</f>
        <v>0</v>
      </c>
      <c r="O772" s="30">
        <f>IFERROR((VLOOKUP($A772,HeadJournal!$A$1:$L$890,COLUMN(HeadJournal!L$1),0)*($K772+$L772)/(SUMIF($A:$A,$A772,$K:$K)+SUMIF($A:$A,$A772,$L:$L)))/VLOOKUP($A772,HeadJournal!$A$1:$L$890,COLUMN(HeadJournal!H$1),0),0)</f>
        <v>36.449999999999996</v>
      </c>
      <c r="P772" s="30">
        <f>IFERROR(SUM(K772:O772)*VLOOKUP($A772,HeadJournal!$A$1:$L$890,COLUMN(HeadJournal!H$1),0),0)</f>
        <v>279.45</v>
      </c>
      <c r="Q772" s="29">
        <v>900</v>
      </c>
      <c r="R772" s="31">
        <v>44992</v>
      </c>
      <c r="S772" s="31" t="s">
        <v>3121</v>
      </c>
      <c r="T772" s="95" t="str">
        <f t="shared" ref="T772:T835" si="65">IF(R772="","",TEXT(R772,"ГГГГ ММ"))</f>
        <v>2023 03</v>
      </c>
      <c r="U772" s="32">
        <f t="shared" si="62"/>
        <v>620.54999999999995</v>
      </c>
      <c r="V772" s="22">
        <f t="shared" si="63"/>
        <v>2.2206119162640903</v>
      </c>
      <c r="X772" s="33"/>
      <c r="Y772" s="33"/>
    </row>
    <row r="773" spans="1:25" x14ac:dyDescent="0.2">
      <c r="A773" s="93" t="s">
        <v>344</v>
      </c>
      <c r="B773" s="94">
        <f>IFERROR(VLOOKUP($A773,HeadJournal!$A$1:$NTR$890,COLUMN(HeadJournal!B$1),0),"")</f>
        <v>0</v>
      </c>
      <c r="C773" s="94" t="str">
        <f>IFERROR(VLOOKUP($A773,HeadJournal!$A$1:$NTR$890,COLUMN(HeadJournal!C$1),0),"")</f>
        <v>WBRS</v>
      </c>
      <c r="D773" s="125" t="str">
        <f>IFERROR(VLOOKUP($A773,HeadJournal!$A$1:$NTR$890,COLUMN(HeadJournal!D$1),0),"")</f>
        <v>Доставлен</v>
      </c>
      <c r="E773" s="95">
        <f>IFERROR(VLOOKUP($A773,HeadJournal!$A$1:$NTR$890,COLUMN(HeadJournal!G$1),0),"")</f>
        <v>44941</v>
      </c>
      <c r="F773" s="95" t="str">
        <f t="shared" si="64"/>
        <v>2023 01</v>
      </c>
      <c r="G773" s="96" t="s">
        <v>7</v>
      </c>
      <c r="H773" s="160" t="str">
        <f>RIGHT(Journal!$J773,9)</f>
        <v>135353079</v>
      </c>
      <c r="I773" s="96" t="str">
        <f t="shared" si="61"/>
        <v>La Agera</v>
      </c>
      <c r="J773" s="97" t="s">
        <v>346</v>
      </c>
      <c r="K773" s="55">
        <v>243</v>
      </c>
      <c r="L773" s="29"/>
      <c r="M773" s="30">
        <f>IFERROR(VLOOKUP($A773,HeadJournal!$A$1:$J$890,COLUMN(HeadJournal!I$1),0)*($K773+$L773)/(SUMIF($A:$A,$A773,$K:$K)+SUMIF($A:$A,$A773,$L:$L)),0)</f>
        <v>0</v>
      </c>
      <c r="N773" s="30">
        <f>IFERROR((VLOOKUP($A773,HeadJournal!$A$1:$K$890,COLUMN(HeadJournal!K$1),0)-VLOOKUP($A773,HeadJournal!$A$1:$K$890,COLUMN(HeadJournal!J$1),0))*($K773+$L773)/(SUMIF($A:$A,$A773,$K:$K)+SUMIF($A:$A,$A773,$L:$L)),0)</f>
        <v>0</v>
      </c>
      <c r="O773" s="30">
        <f>IFERROR((VLOOKUP($A773,HeadJournal!$A$1:$L$890,COLUMN(HeadJournal!L$1),0)*($K773+$L773)/(SUMIF($A:$A,$A773,$K:$K)+SUMIF($A:$A,$A773,$L:$L)))/VLOOKUP($A773,HeadJournal!$A$1:$L$890,COLUMN(HeadJournal!H$1),0),0)</f>
        <v>36.449999999999996</v>
      </c>
      <c r="P773" s="30">
        <f>IFERROR(SUM(K773:O773)*VLOOKUP($A773,HeadJournal!$A$1:$L$890,COLUMN(HeadJournal!H$1),0),0)</f>
        <v>279.45</v>
      </c>
      <c r="Q773" s="29">
        <v>900</v>
      </c>
      <c r="R773" s="31">
        <v>45006</v>
      </c>
      <c r="S773" s="31" t="s">
        <v>3121</v>
      </c>
      <c r="T773" s="95" t="str">
        <f t="shared" si="65"/>
        <v>2023 03</v>
      </c>
      <c r="U773" s="32">
        <f t="shared" si="62"/>
        <v>620.54999999999995</v>
      </c>
      <c r="V773" s="22">
        <f t="shared" si="63"/>
        <v>2.2206119162640903</v>
      </c>
      <c r="X773" s="33"/>
      <c r="Y773" s="33"/>
    </row>
    <row r="774" spans="1:25" x14ac:dyDescent="0.2">
      <c r="A774" s="93" t="s">
        <v>344</v>
      </c>
      <c r="B774" s="94">
        <f>IFERROR(VLOOKUP($A774,HeadJournal!$A$1:$NTR$890,COLUMN(HeadJournal!B$1),0),"")</f>
        <v>0</v>
      </c>
      <c r="C774" s="94" t="str">
        <f>IFERROR(VLOOKUP($A774,HeadJournal!$A$1:$NTR$890,COLUMN(HeadJournal!C$1),0),"")</f>
        <v>WBRS</v>
      </c>
      <c r="D774" s="125" t="str">
        <f>IFERROR(VLOOKUP($A774,HeadJournal!$A$1:$NTR$890,COLUMN(HeadJournal!D$1),0),"")</f>
        <v>Доставлен</v>
      </c>
      <c r="E774" s="95">
        <f>IFERROR(VLOOKUP($A774,HeadJournal!$A$1:$NTR$890,COLUMN(HeadJournal!G$1),0),"")</f>
        <v>44941</v>
      </c>
      <c r="F774" s="95" t="str">
        <f t="shared" si="64"/>
        <v>2023 01</v>
      </c>
      <c r="G774" s="96" t="s">
        <v>6</v>
      </c>
      <c r="H774" s="160" t="str">
        <f>RIGHT(Journal!$J774,9)</f>
        <v>115732310</v>
      </c>
      <c r="I774" s="96" t="str">
        <f t="shared" si="61"/>
        <v>Universal Nutrition</v>
      </c>
      <c r="J774" s="97" t="s">
        <v>347</v>
      </c>
      <c r="K774" s="55">
        <v>3190</v>
      </c>
      <c r="L774" s="29"/>
      <c r="M774" s="30">
        <f>IFERROR(VLOOKUP($A774,HeadJournal!$A$1:$J$890,COLUMN(HeadJournal!I$1),0)*($K774+$L774)/(SUMIF($A:$A,$A774,$K:$K)+SUMIF($A:$A,$A774,$L:$L)),0)</f>
        <v>0</v>
      </c>
      <c r="N774" s="30">
        <f>IFERROR((VLOOKUP($A774,HeadJournal!$A$1:$K$890,COLUMN(HeadJournal!K$1),0)-VLOOKUP($A774,HeadJournal!$A$1:$K$890,COLUMN(HeadJournal!J$1),0))*($K774+$L774)/(SUMIF($A:$A,$A774,$K:$K)+SUMIF($A:$A,$A774,$L:$L)),0)</f>
        <v>0</v>
      </c>
      <c r="O774" s="30">
        <f>IFERROR((VLOOKUP($A774,HeadJournal!$A$1:$L$890,COLUMN(HeadJournal!L$1),0)*($K774+$L774)/(SUMIF($A:$A,$A774,$K:$K)+SUMIF($A:$A,$A774,$L:$L)))/VLOOKUP($A774,HeadJournal!$A$1:$L$890,COLUMN(HeadJournal!H$1),0),0)</f>
        <v>478.5</v>
      </c>
      <c r="P774" s="30">
        <f>IFERROR(SUM(K774:O774)*VLOOKUP($A774,HeadJournal!$A$1:$L$890,COLUMN(HeadJournal!H$1),0),0)</f>
        <v>3668.5</v>
      </c>
      <c r="Q774" s="29">
        <v>4800</v>
      </c>
      <c r="R774" s="31">
        <v>44959</v>
      </c>
      <c r="S774" s="31" t="s">
        <v>3121</v>
      </c>
      <c r="T774" s="95" t="str">
        <f t="shared" si="65"/>
        <v>2023 02</v>
      </c>
      <c r="U774" s="32">
        <f t="shared" si="62"/>
        <v>1131.5</v>
      </c>
      <c r="V774" s="22">
        <f t="shared" si="63"/>
        <v>0.30843669074553631</v>
      </c>
      <c r="X774" s="33"/>
      <c r="Y774" s="33"/>
    </row>
    <row r="775" spans="1:25" x14ac:dyDescent="0.2">
      <c r="A775" s="93" t="s">
        <v>344</v>
      </c>
      <c r="B775" s="94">
        <f>IFERROR(VLOOKUP($A775,HeadJournal!$A$1:$NTR$890,COLUMN(HeadJournal!B$1),0),"")</f>
        <v>0</v>
      </c>
      <c r="C775" s="94" t="str">
        <f>IFERROR(VLOOKUP($A775,HeadJournal!$A$1:$NTR$890,COLUMN(HeadJournal!C$1),0),"")</f>
        <v>WBRS</v>
      </c>
      <c r="D775" s="125" t="str">
        <f>IFERROR(VLOOKUP($A775,HeadJournal!$A$1:$NTR$890,COLUMN(HeadJournal!D$1),0),"")</f>
        <v>Доставлен</v>
      </c>
      <c r="E775" s="95">
        <f>IFERROR(VLOOKUP($A775,HeadJournal!$A$1:$NTR$890,COLUMN(HeadJournal!G$1),0),"")</f>
        <v>44941</v>
      </c>
      <c r="F775" s="95" t="str">
        <f t="shared" si="64"/>
        <v>2023 01</v>
      </c>
      <c r="G775" s="96" t="s">
        <v>7</v>
      </c>
      <c r="H775" s="160" t="str">
        <f>RIGHT(Journal!$J775,9)</f>
        <v>141541299</v>
      </c>
      <c r="I775" s="96" t="str">
        <f t="shared" si="61"/>
        <v>be young</v>
      </c>
      <c r="J775" s="97" t="s">
        <v>348</v>
      </c>
      <c r="K775" s="55">
        <v>318</v>
      </c>
      <c r="L775" s="29"/>
      <c r="M775" s="30">
        <f>IFERROR(VLOOKUP($A775,HeadJournal!$A$1:$J$890,COLUMN(HeadJournal!I$1),0)*($K775+$L775)/(SUMIF($A:$A,$A775,$K:$K)+SUMIF($A:$A,$A775,$L:$L)),0)</f>
        <v>0</v>
      </c>
      <c r="N775" s="30">
        <f>IFERROR((VLOOKUP($A775,HeadJournal!$A$1:$K$890,COLUMN(HeadJournal!K$1),0)-VLOOKUP($A775,HeadJournal!$A$1:$K$890,COLUMN(HeadJournal!J$1),0))*($K775+$L775)/(SUMIF($A:$A,$A775,$K:$K)+SUMIF($A:$A,$A775,$L:$L)),0)</f>
        <v>0</v>
      </c>
      <c r="O775" s="30">
        <f>IFERROR((VLOOKUP($A775,HeadJournal!$A$1:$L$890,COLUMN(HeadJournal!L$1),0)*($K775+$L775)/(SUMIF($A:$A,$A775,$K:$K)+SUMIF($A:$A,$A775,$L:$L)))/VLOOKUP($A775,HeadJournal!$A$1:$L$890,COLUMN(HeadJournal!H$1),0),0)</f>
        <v>47.699999999999996</v>
      </c>
      <c r="P775" s="30">
        <f>IFERROR(SUM(K775:O775)*VLOOKUP($A775,HeadJournal!$A$1:$L$890,COLUMN(HeadJournal!H$1),0),0)</f>
        <v>365.7</v>
      </c>
      <c r="Q775" s="29"/>
      <c r="R775" s="31"/>
      <c r="S775" s="31"/>
      <c r="T775" s="95" t="str">
        <f t="shared" si="65"/>
        <v/>
      </c>
      <c r="U775" s="32">
        <f t="shared" si="62"/>
        <v>-365.7</v>
      </c>
      <c r="V775" s="22" t="str">
        <f t="shared" si="63"/>
        <v/>
      </c>
      <c r="X775" s="33"/>
      <c r="Y775" s="33"/>
    </row>
    <row r="776" spans="1:25" x14ac:dyDescent="0.2">
      <c r="A776" s="93" t="s">
        <v>344</v>
      </c>
      <c r="B776" s="94">
        <f>IFERROR(VLOOKUP($A776,HeadJournal!$A$1:$NTR$890,COLUMN(HeadJournal!B$1),0),"")</f>
        <v>0</v>
      </c>
      <c r="C776" s="94" t="str">
        <f>IFERROR(VLOOKUP($A776,HeadJournal!$A$1:$NTR$890,COLUMN(HeadJournal!C$1),0),"")</f>
        <v>WBRS</v>
      </c>
      <c r="D776" s="125" t="str">
        <f>IFERROR(VLOOKUP($A776,HeadJournal!$A$1:$NTR$890,COLUMN(HeadJournal!D$1),0),"")</f>
        <v>Доставлен</v>
      </c>
      <c r="E776" s="95">
        <f>IFERROR(VLOOKUP($A776,HeadJournal!$A$1:$NTR$890,COLUMN(HeadJournal!G$1),0),"")</f>
        <v>44941</v>
      </c>
      <c r="F776" s="95" t="str">
        <f t="shared" si="64"/>
        <v>2023 01</v>
      </c>
      <c r="G776" s="96" t="s">
        <v>7</v>
      </c>
      <c r="H776" s="160" t="str">
        <f>RIGHT(Journal!$J776,9)</f>
        <v>141541299</v>
      </c>
      <c r="I776" s="96" t="str">
        <f t="shared" si="61"/>
        <v>be young</v>
      </c>
      <c r="J776" s="97" t="s">
        <v>348</v>
      </c>
      <c r="K776" s="55">
        <v>318</v>
      </c>
      <c r="L776" s="29"/>
      <c r="M776" s="30">
        <f>IFERROR(VLOOKUP($A776,HeadJournal!$A$1:$J$890,COLUMN(HeadJournal!I$1),0)*($K776+$L776)/(SUMIF($A:$A,$A776,$K:$K)+SUMIF($A:$A,$A776,$L:$L)),0)</f>
        <v>0</v>
      </c>
      <c r="N776" s="30">
        <f>IFERROR((VLOOKUP($A776,HeadJournal!$A$1:$K$890,COLUMN(HeadJournal!K$1),0)-VLOOKUP($A776,HeadJournal!$A$1:$K$890,COLUMN(HeadJournal!J$1),0))*($K776+$L776)/(SUMIF($A:$A,$A776,$K:$K)+SUMIF($A:$A,$A776,$L:$L)),0)</f>
        <v>0</v>
      </c>
      <c r="O776" s="30">
        <f>IFERROR((VLOOKUP($A776,HeadJournal!$A$1:$L$890,COLUMN(HeadJournal!L$1),0)*($K776+$L776)/(SUMIF($A:$A,$A776,$K:$K)+SUMIF($A:$A,$A776,$L:$L)))/VLOOKUP($A776,HeadJournal!$A$1:$L$890,COLUMN(HeadJournal!H$1),0),0)</f>
        <v>47.699999999999996</v>
      </c>
      <c r="P776" s="30">
        <f>IFERROR(SUM(K776:O776)*VLOOKUP($A776,HeadJournal!$A$1:$L$890,COLUMN(HeadJournal!H$1),0),0)</f>
        <v>365.7</v>
      </c>
      <c r="Q776" s="29"/>
      <c r="R776" s="31"/>
      <c r="S776" s="31"/>
      <c r="T776" s="95" t="str">
        <f t="shared" si="65"/>
        <v/>
      </c>
      <c r="U776" s="32">
        <f t="shared" si="62"/>
        <v>-365.7</v>
      </c>
      <c r="V776" s="22" t="str">
        <f t="shared" si="63"/>
        <v/>
      </c>
      <c r="X776" s="33"/>
      <c r="Y776" s="33"/>
    </row>
    <row r="777" spans="1:25" x14ac:dyDescent="0.2">
      <c r="A777" s="93" t="s">
        <v>344</v>
      </c>
      <c r="B777" s="94">
        <f>IFERROR(VLOOKUP($A777,HeadJournal!$A$1:$NTR$890,COLUMN(HeadJournal!B$1),0),"")</f>
        <v>0</v>
      </c>
      <c r="C777" s="94" t="str">
        <f>IFERROR(VLOOKUP($A777,HeadJournal!$A$1:$NTR$890,COLUMN(HeadJournal!C$1),0),"")</f>
        <v>WBRS</v>
      </c>
      <c r="D777" s="125" t="str">
        <f>IFERROR(VLOOKUP($A777,HeadJournal!$A$1:$NTR$890,COLUMN(HeadJournal!D$1),0),"")</f>
        <v>Доставлен</v>
      </c>
      <c r="E777" s="95">
        <f>IFERROR(VLOOKUP($A777,HeadJournal!$A$1:$NTR$890,COLUMN(HeadJournal!G$1),0),"")</f>
        <v>44941</v>
      </c>
      <c r="F777" s="95" t="str">
        <f t="shared" si="64"/>
        <v>2023 01</v>
      </c>
      <c r="G777" s="96" t="s">
        <v>7</v>
      </c>
      <c r="H777" s="160" t="str">
        <f>RIGHT(Journal!$J777,9)</f>
        <v>139994841</v>
      </c>
      <c r="I777" s="96" t="str">
        <f t="shared" si="61"/>
        <v>Farm Stay</v>
      </c>
      <c r="J777" s="97" t="s">
        <v>349</v>
      </c>
      <c r="K777" s="55">
        <v>283</v>
      </c>
      <c r="L777" s="29"/>
      <c r="M777" s="30">
        <f>IFERROR(VLOOKUP($A777,HeadJournal!$A$1:$J$890,COLUMN(HeadJournal!I$1),0)*($K777+$L777)/(SUMIF($A:$A,$A777,$K:$K)+SUMIF($A:$A,$A777,$L:$L)),0)</f>
        <v>0</v>
      </c>
      <c r="N777" s="30">
        <f>IFERROR((VLOOKUP($A777,HeadJournal!$A$1:$K$890,COLUMN(HeadJournal!K$1),0)-VLOOKUP($A777,HeadJournal!$A$1:$K$890,COLUMN(HeadJournal!J$1),0))*($K777+$L777)/(SUMIF($A:$A,$A777,$K:$K)+SUMIF($A:$A,$A777,$L:$L)),0)</f>
        <v>0</v>
      </c>
      <c r="O777" s="30">
        <f>IFERROR((VLOOKUP($A777,HeadJournal!$A$1:$L$890,COLUMN(HeadJournal!L$1),0)*($K777+$L777)/(SUMIF($A:$A,$A777,$K:$K)+SUMIF($A:$A,$A777,$L:$L)))/VLOOKUP($A777,HeadJournal!$A$1:$L$890,COLUMN(HeadJournal!H$1),0),0)</f>
        <v>42.449999999999996</v>
      </c>
      <c r="P777" s="30">
        <f>IFERROR(SUM(K777:O777)*VLOOKUP($A777,HeadJournal!$A$1:$L$890,COLUMN(HeadJournal!H$1),0),0)</f>
        <v>325.45</v>
      </c>
      <c r="Q777" s="29">
        <v>1000</v>
      </c>
      <c r="R777" s="31">
        <v>44957</v>
      </c>
      <c r="S777" s="31" t="s">
        <v>3121</v>
      </c>
      <c r="T777" s="95" t="str">
        <f t="shared" si="65"/>
        <v>2023 01</v>
      </c>
      <c r="U777" s="32">
        <f t="shared" si="62"/>
        <v>674.55</v>
      </c>
      <c r="V777" s="22">
        <f t="shared" si="63"/>
        <v>2.0726686126901215</v>
      </c>
      <c r="X777" s="33"/>
      <c r="Y777" s="33"/>
    </row>
    <row r="778" spans="1:25" x14ac:dyDescent="0.2">
      <c r="A778" s="93" t="s">
        <v>344</v>
      </c>
      <c r="B778" s="94">
        <f>IFERROR(VLOOKUP($A778,HeadJournal!$A$1:$NTR$890,COLUMN(HeadJournal!B$1),0),"")</f>
        <v>0</v>
      </c>
      <c r="C778" s="94" t="str">
        <f>IFERROR(VLOOKUP($A778,HeadJournal!$A$1:$NTR$890,COLUMN(HeadJournal!C$1),0),"")</f>
        <v>WBRS</v>
      </c>
      <c r="D778" s="125" t="str">
        <f>IFERROR(VLOOKUP($A778,HeadJournal!$A$1:$NTR$890,COLUMN(HeadJournal!D$1),0),"")</f>
        <v>Доставлен</v>
      </c>
      <c r="E778" s="95">
        <f>IFERROR(VLOOKUP($A778,HeadJournal!$A$1:$NTR$890,COLUMN(HeadJournal!G$1),0),"")</f>
        <v>44941</v>
      </c>
      <c r="F778" s="95" t="str">
        <f t="shared" si="64"/>
        <v>2023 01</v>
      </c>
      <c r="G778" s="96" t="s">
        <v>7</v>
      </c>
      <c r="H778" s="160" t="str">
        <f>RIGHT(Journal!$J778,9)</f>
        <v>139994841</v>
      </c>
      <c r="I778" s="96" t="str">
        <f t="shared" si="61"/>
        <v>Farm Stay</v>
      </c>
      <c r="J778" s="97" t="s">
        <v>349</v>
      </c>
      <c r="K778" s="55">
        <v>283</v>
      </c>
      <c r="L778" s="29"/>
      <c r="M778" s="30">
        <f>IFERROR(VLOOKUP($A778,HeadJournal!$A$1:$J$890,COLUMN(HeadJournal!I$1),0)*($K778+$L778)/(SUMIF($A:$A,$A778,$K:$K)+SUMIF($A:$A,$A778,$L:$L)),0)</f>
        <v>0</v>
      </c>
      <c r="N778" s="30">
        <f>IFERROR((VLOOKUP($A778,HeadJournal!$A$1:$K$890,COLUMN(HeadJournal!K$1),0)-VLOOKUP($A778,HeadJournal!$A$1:$K$890,COLUMN(HeadJournal!J$1),0))*($K778+$L778)/(SUMIF($A:$A,$A778,$K:$K)+SUMIF($A:$A,$A778,$L:$L)),0)</f>
        <v>0</v>
      </c>
      <c r="O778" s="30">
        <f>IFERROR((VLOOKUP($A778,HeadJournal!$A$1:$L$890,COLUMN(HeadJournal!L$1),0)*($K778+$L778)/(SUMIF($A:$A,$A778,$K:$K)+SUMIF($A:$A,$A778,$L:$L)))/VLOOKUP($A778,HeadJournal!$A$1:$L$890,COLUMN(HeadJournal!H$1),0),0)</f>
        <v>42.449999999999996</v>
      </c>
      <c r="P778" s="30">
        <f>IFERROR(SUM(K778:O778)*VLOOKUP($A778,HeadJournal!$A$1:$L$890,COLUMN(HeadJournal!H$1),0),0)</f>
        <v>325.45</v>
      </c>
      <c r="Q778" s="29">
        <v>900</v>
      </c>
      <c r="R778" s="31">
        <v>44957</v>
      </c>
      <c r="S778" s="31" t="s">
        <v>3121</v>
      </c>
      <c r="T778" s="95" t="str">
        <f t="shared" si="65"/>
        <v>2023 01</v>
      </c>
      <c r="U778" s="32">
        <f t="shared" si="62"/>
        <v>574.54999999999995</v>
      </c>
      <c r="V778" s="22">
        <f t="shared" si="63"/>
        <v>1.7654017514211091</v>
      </c>
      <c r="X778" s="33"/>
      <c r="Y778" s="33"/>
    </row>
    <row r="779" spans="1:25" x14ac:dyDescent="0.2">
      <c r="A779" s="93" t="s">
        <v>344</v>
      </c>
      <c r="B779" s="94">
        <f>IFERROR(VLOOKUP($A779,HeadJournal!$A$1:$NTR$890,COLUMN(HeadJournal!B$1),0),"")</f>
        <v>0</v>
      </c>
      <c r="C779" s="94" t="str">
        <f>IFERROR(VLOOKUP($A779,HeadJournal!$A$1:$NTR$890,COLUMN(HeadJournal!C$1),0),"")</f>
        <v>WBRS</v>
      </c>
      <c r="D779" s="125" t="str">
        <f>IFERROR(VLOOKUP($A779,HeadJournal!$A$1:$NTR$890,COLUMN(HeadJournal!D$1),0),"")</f>
        <v>Доставлен</v>
      </c>
      <c r="E779" s="95">
        <f>IFERROR(VLOOKUP($A779,HeadJournal!$A$1:$NTR$890,COLUMN(HeadJournal!G$1),0),"")</f>
        <v>44941</v>
      </c>
      <c r="F779" s="95" t="str">
        <f t="shared" si="64"/>
        <v>2023 01</v>
      </c>
      <c r="G779" s="96" t="s">
        <v>7</v>
      </c>
      <c r="H779" s="160" t="str">
        <f>RIGHT(Journal!$J779,9)</f>
        <v>096113224</v>
      </c>
      <c r="I779" s="96" t="str">
        <f t="shared" si="61"/>
        <v>La Agera</v>
      </c>
      <c r="J779" s="97" t="s">
        <v>350</v>
      </c>
      <c r="K779" s="55">
        <v>209</v>
      </c>
      <c r="L779" s="29"/>
      <c r="M779" s="30">
        <f>IFERROR(VLOOKUP($A779,HeadJournal!$A$1:$J$890,COLUMN(HeadJournal!I$1),0)*($K779+$L779)/(SUMIF($A:$A,$A779,$K:$K)+SUMIF($A:$A,$A779,$L:$L)),0)</f>
        <v>0</v>
      </c>
      <c r="N779" s="30">
        <f>IFERROR((VLOOKUP($A779,HeadJournal!$A$1:$K$890,COLUMN(HeadJournal!K$1),0)-VLOOKUP($A779,HeadJournal!$A$1:$K$890,COLUMN(HeadJournal!J$1),0))*($K779+$L779)/(SUMIF($A:$A,$A779,$K:$K)+SUMIF($A:$A,$A779,$L:$L)),0)</f>
        <v>0</v>
      </c>
      <c r="O779" s="30">
        <f>IFERROR((VLOOKUP($A779,HeadJournal!$A$1:$L$890,COLUMN(HeadJournal!L$1),0)*($K779+$L779)/(SUMIF($A:$A,$A779,$K:$K)+SUMIF($A:$A,$A779,$L:$L)))/VLOOKUP($A779,HeadJournal!$A$1:$L$890,COLUMN(HeadJournal!H$1),0),0)</f>
        <v>31.349999999999998</v>
      </c>
      <c r="P779" s="30">
        <f>IFERROR(SUM(K779:O779)*VLOOKUP($A779,HeadJournal!$A$1:$L$890,COLUMN(HeadJournal!H$1),0),0)</f>
        <v>240.35</v>
      </c>
      <c r="Q779" s="29"/>
      <c r="R779" s="31"/>
      <c r="S779" s="31"/>
      <c r="T779" s="95" t="str">
        <f t="shared" si="65"/>
        <v/>
      </c>
      <c r="U779" s="32">
        <f t="shared" si="62"/>
        <v>-240.35</v>
      </c>
      <c r="V779" s="22" t="str">
        <f t="shared" si="63"/>
        <v/>
      </c>
      <c r="X779" s="33"/>
      <c r="Y779" s="33"/>
    </row>
    <row r="780" spans="1:25" x14ac:dyDescent="0.2">
      <c r="A780" s="93" t="s">
        <v>344</v>
      </c>
      <c r="B780" s="94">
        <f>IFERROR(VLOOKUP($A780,HeadJournal!$A$1:$NTR$890,COLUMN(HeadJournal!B$1),0),"")</f>
        <v>0</v>
      </c>
      <c r="C780" s="94" t="str">
        <f>IFERROR(VLOOKUP($A780,HeadJournal!$A$1:$NTR$890,COLUMN(HeadJournal!C$1),0),"")</f>
        <v>WBRS</v>
      </c>
      <c r="D780" s="125" t="str">
        <f>IFERROR(VLOOKUP($A780,HeadJournal!$A$1:$NTR$890,COLUMN(HeadJournal!D$1),0),"")</f>
        <v>Доставлен</v>
      </c>
      <c r="E780" s="95">
        <f>IFERROR(VLOOKUP($A780,HeadJournal!$A$1:$NTR$890,COLUMN(HeadJournal!G$1),0),"")</f>
        <v>44941</v>
      </c>
      <c r="F780" s="95" t="str">
        <f t="shared" si="64"/>
        <v>2023 01</v>
      </c>
      <c r="G780" s="96" t="s">
        <v>7</v>
      </c>
      <c r="H780" s="160" t="str">
        <f>RIGHT(Journal!$J780,9)</f>
        <v>096113224</v>
      </c>
      <c r="I780" s="96" t="str">
        <f t="shared" si="61"/>
        <v>La Agera</v>
      </c>
      <c r="J780" s="97" t="s">
        <v>350</v>
      </c>
      <c r="K780" s="55">
        <v>209</v>
      </c>
      <c r="L780" s="29"/>
      <c r="M780" s="30">
        <f>IFERROR(VLOOKUP($A780,HeadJournal!$A$1:$J$890,COLUMN(HeadJournal!I$1),0)*($K780+$L780)/(SUMIF($A:$A,$A780,$K:$K)+SUMIF($A:$A,$A780,$L:$L)),0)</f>
        <v>0</v>
      </c>
      <c r="N780" s="30">
        <f>IFERROR((VLOOKUP($A780,HeadJournal!$A$1:$K$890,COLUMN(HeadJournal!K$1),0)-VLOOKUP($A780,HeadJournal!$A$1:$K$890,COLUMN(HeadJournal!J$1),0))*($K780+$L780)/(SUMIF($A:$A,$A780,$K:$K)+SUMIF($A:$A,$A780,$L:$L)),0)</f>
        <v>0</v>
      </c>
      <c r="O780" s="30">
        <f>IFERROR((VLOOKUP($A780,HeadJournal!$A$1:$L$890,COLUMN(HeadJournal!L$1),0)*($K780+$L780)/(SUMIF($A:$A,$A780,$K:$K)+SUMIF($A:$A,$A780,$L:$L)))/VLOOKUP($A780,HeadJournal!$A$1:$L$890,COLUMN(HeadJournal!H$1),0),0)</f>
        <v>31.349999999999998</v>
      </c>
      <c r="P780" s="30">
        <f>IFERROR(SUM(K780:O780)*VLOOKUP($A780,HeadJournal!$A$1:$L$890,COLUMN(HeadJournal!H$1),0),0)</f>
        <v>240.35</v>
      </c>
      <c r="Q780" s="29"/>
      <c r="R780" s="31"/>
      <c r="S780" s="31"/>
      <c r="T780" s="95" t="str">
        <f t="shared" si="65"/>
        <v/>
      </c>
      <c r="U780" s="32">
        <f t="shared" si="62"/>
        <v>-240.35</v>
      </c>
      <c r="V780" s="22" t="str">
        <f t="shared" si="63"/>
        <v/>
      </c>
      <c r="X780" s="33"/>
      <c r="Y780" s="33"/>
    </row>
    <row r="781" spans="1:25" x14ac:dyDescent="0.2">
      <c r="A781" s="93" t="s">
        <v>344</v>
      </c>
      <c r="B781" s="94">
        <f>IFERROR(VLOOKUP($A781,HeadJournal!$A$1:$NTR$890,COLUMN(HeadJournal!B$1),0),"")</f>
        <v>0</v>
      </c>
      <c r="C781" s="94" t="str">
        <f>IFERROR(VLOOKUP($A781,HeadJournal!$A$1:$NTR$890,COLUMN(HeadJournal!C$1),0),"")</f>
        <v>WBRS</v>
      </c>
      <c r="D781" s="125" t="str">
        <f>IFERROR(VLOOKUP($A781,HeadJournal!$A$1:$NTR$890,COLUMN(HeadJournal!D$1),0),"")</f>
        <v>Доставлен</v>
      </c>
      <c r="E781" s="95">
        <f>IFERROR(VLOOKUP($A781,HeadJournal!$A$1:$NTR$890,COLUMN(HeadJournal!G$1),0),"")</f>
        <v>44941</v>
      </c>
      <c r="F781" s="95" t="str">
        <f t="shared" si="64"/>
        <v>2023 01</v>
      </c>
      <c r="G781" s="96" t="s">
        <v>7</v>
      </c>
      <c r="H781" s="160" t="str">
        <f>RIGHT(Journal!$J781,9)</f>
        <v>079311586</v>
      </c>
      <c r="I781" s="96" t="str">
        <f t="shared" si="61"/>
        <v>Beauty Box</v>
      </c>
      <c r="J781" s="97" t="s">
        <v>351</v>
      </c>
      <c r="K781" s="55">
        <v>306</v>
      </c>
      <c r="L781" s="29"/>
      <c r="M781" s="30">
        <f>IFERROR(VLOOKUP($A781,HeadJournal!$A$1:$J$890,COLUMN(HeadJournal!I$1),0)*($K781+$L781)/(SUMIF($A:$A,$A781,$K:$K)+SUMIF($A:$A,$A781,$L:$L)),0)</f>
        <v>0</v>
      </c>
      <c r="N781" s="30">
        <f>IFERROR((VLOOKUP($A781,HeadJournal!$A$1:$K$890,COLUMN(HeadJournal!K$1),0)-VLOOKUP($A781,HeadJournal!$A$1:$K$890,COLUMN(HeadJournal!J$1),0))*($K781+$L781)/(SUMIF($A:$A,$A781,$K:$K)+SUMIF($A:$A,$A781,$L:$L)),0)</f>
        <v>0</v>
      </c>
      <c r="O781" s="30">
        <f>IFERROR((VLOOKUP($A781,HeadJournal!$A$1:$L$890,COLUMN(HeadJournal!L$1),0)*($K781+$L781)/(SUMIF($A:$A,$A781,$K:$K)+SUMIF($A:$A,$A781,$L:$L)))/VLOOKUP($A781,HeadJournal!$A$1:$L$890,COLUMN(HeadJournal!H$1),0),0)</f>
        <v>45.9</v>
      </c>
      <c r="P781" s="30">
        <f>IFERROR(SUM(K781:O781)*VLOOKUP($A781,HeadJournal!$A$1:$L$890,COLUMN(HeadJournal!H$1),0),0)</f>
        <v>351.9</v>
      </c>
      <c r="Q781" s="29">
        <v>1100</v>
      </c>
      <c r="R781" s="31">
        <v>44991</v>
      </c>
      <c r="S781" s="31" t="s">
        <v>3121</v>
      </c>
      <c r="T781" s="95" t="str">
        <f t="shared" si="65"/>
        <v>2023 03</v>
      </c>
      <c r="U781" s="32">
        <f t="shared" si="62"/>
        <v>748.1</v>
      </c>
      <c r="V781" s="22">
        <f t="shared" si="63"/>
        <v>2.1258880363739703</v>
      </c>
      <c r="X781" s="33"/>
      <c r="Y781" s="33"/>
    </row>
    <row r="782" spans="1:25" x14ac:dyDescent="0.2">
      <c r="A782" s="93" t="s">
        <v>344</v>
      </c>
      <c r="B782" s="94">
        <f>IFERROR(VLOOKUP($A782,HeadJournal!$A$1:$NTR$890,COLUMN(HeadJournal!B$1),0),"")</f>
        <v>0</v>
      </c>
      <c r="C782" s="94" t="str">
        <f>IFERROR(VLOOKUP($A782,HeadJournal!$A$1:$NTR$890,COLUMN(HeadJournal!C$1),0),"")</f>
        <v>WBRS</v>
      </c>
      <c r="D782" s="125" t="str">
        <f>IFERROR(VLOOKUP($A782,HeadJournal!$A$1:$NTR$890,COLUMN(HeadJournal!D$1),0),"")</f>
        <v>Доставлен</v>
      </c>
      <c r="E782" s="95">
        <f>IFERROR(VLOOKUP($A782,HeadJournal!$A$1:$NTR$890,COLUMN(HeadJournal!G$1),0),"")</f>
        <v>44941</v>
      </c>
      <c r="F782" s="95" t="str">
        <f t="shared" si="64"/>
        <v>2023 01</v>
      </c>
      <c r="G782" s="96" t="s">
        <v>6</v>
      </c>
      <c r="H782" s="160" t="str">
        <f>RIGHT(Journal!$J782,9)</f>
        <v>137163976</v>
      </c>
      <c r="I782" s="96" t="str">
        <f t="shared" si="61"/>
        <v>Samyun Wan</v>
      </c>
      <c r="J782" s="97" t="s">
        <v>352</v>
      </c>
      <c r="K782" s="55">
        <v>582</v>
      </c>
      <c r="L782" s="29"/>
      <c r="M782" s="30">
        <f>IFERROR(VLOOKUP($A782,HeadJournal!$A$1:$J$890,COLUMN(HeadJournal!I$1),0)*($K782+$L782)/(SUMIF($A:$A,$A782,$K:$K)+SUMIF($A:$A,$A782,$L:$L)),0)</f>
        <v>0</v>
      </c>
      <c r="N782" s="30">
        <f>IFERROR((VLOOKUP($A782,HeadJournal!$A$1:$K$890,COLUMN(HeadJournal!K$1),0)-VLOOKUP($A782,HeadJournal!$A$1:$K$890,COLUMN(HeadJournal!J$1),0))*($K782+$L782)/(SUMIF($A:$A,$A782,$K:$K)+SUMIF($A:$A,$A782,$L:$L)),0)</f>
        <v>0</v>
      </c>
      <c r="O782" s="30">
        <f>IFERROR((VLOOKUP($A782,HeadJournal!$A$1:$L$890,COLUMN(HeadJournal!L$1),0)*($K782+$L782)/(SUMIF($A:$A,$A782,$K:$K)+SUMIF($A:$A,$A782,$L:$L)))/VLOOKUP($A782,HeadJournal!$A$1:$L$890,COLUMN(HeadJournal!H$1),0),0)</f>
        <v>87.3</v>
      </c>
      <c r="P782" s="30">
        <f>IFERROR(SUM(K782:O782)*VLOOKUP($A782,HeadJournal!$A$1:$L$890,COLUMN(HeadJournal!H$1),0),0)</f>
        <v>669.3</v>
      </c>
      <c r="Q782" s="29">
        <v>1400</v>
      </c>
      <c r="R782" s="31">
        <v>44944</v>
      </c>
      <c r="S782" s="31" t="s">
        <v>3121</v>
      </c>
      <c r="T782" s="95" t="str">
        <f t="shared" si="65"/>
        <v>2023 01</v>
      </c>
      <c r="U782" s="32">
        <f t="shared" si="62"/>
        <v>730.7</v>
      </c>
      <c r="V782" s="22">
        <f t="shared" si="63"/>
        <v>1.091737636336471</v>
      </c>
      <c r="X782" s="33"/>
      <c r="Y782" s="33"/>
    </row>
    <row r="783" spans="1:25" x14ac:dyDescent="0.2">
      <c r="A783" s="93" t="s">
        <v>344</v>
      </c>
      <c r="B783" s="94">
        <f>IFERROR(VLOOKUP($A783,HeadJournal!$A$1:$NTR$890,COLUMN(HeadJournal!B$1),0),"")</f>
        <v>0</v>
      </c>
      <c r="C783" s="94" t="str">
        <f>IFERROR(VLOOKUP($A783,HeadJournal!$A$1:$NTR$890,COLUMN(HeadJournal!C$1),0),"")</f>
        <v>WBRS</v>
      </c>
      <c r="D783" s="125" t="str">
        <f>IFERROR(VLOOKUP($A783,HeadJournal!$A$1:$NTR$890,COLUMN(HeadJournal!D$1),0),"")</f>
        <v>Доставлен</v>
      </c>
      <c r="E783" s="95">
        <f>IFERROR(VLOOKUP($A783,HeadJournal!$A$1:$NTR$890,COLUMN(HeadJournal!G$1),0),"")</f>
        <v>44941</v>
      </c>
      <c r="F783" s="95" t="str">
        <f t="shared" si="64"/>
        <v>2023 01</v>
      </c>
      <c r="G783" s="96" t="s">
        <v>6</v>
      </c>
      <c r="H783" s="160" t="str">
        <f>RIGHT(Journal!$J783,9)</f>
        <v>137163976</v>
      </c>
      <c r="I783" s="96" t="str">
        <f t="shared" si="61"/>
        <v>Samyun Wan</v>
      </c>
      <c r="J783" s="97" t="s">
        <v>352</v>
      </c>
      <c r="K783" s="55">
        <v>582</v>
      </c>
      <c r="L783" s="29"/>
      <c r="M783" s="30">
        <f>IFERROR(VLOOKUP($A783,HeadJournal!$A$1:$J$890,COLUMN(HeadJournal!I$1),0)*($K783+$L783)/(SUMIF($A:$A,$A783,$K:$K)+SUMIF($A:$A,$A783,$L:$L)),0)</f>
        <v>0</v>
      </c>
      <c r="N783" s="30">
        <f>IFERROR((VLOOKUP($A783,HeadJournal!$A$1:$K$890,COLUMN(HeadJournal!K$1),0)-VLOOKUP($A783,HeadJournal!$A$1:$K$890,COLUMN(HeadJournal!J$1),0))*($K783+$L783)/(SUMIF($A:$A,$A783,$K:$K)+SUMIF($A:$A,$A783,$L:$L)),0)</f>
        <v>0</v>
      </c>
      <c r="O783" s="30">
        <f>IFERROR((VLOOKUP($A783,HeadJournal!$A$1:$L$890,COLUMN(HeadJournal!L$1),0)*($K783+$L783)/(SUMIF($A:$A,$A783,$K:$K)+SUMIF($A:$A,$A783,$L:$L)))/VLOOKUP($A783,HeadJournal!$A$1:$L$890,COLUMN(HeadJournal!H$1),0),0)</f>
        <v>87.3</v>
      </c>
      <c r="P783" s="30">
        <f>IFERROR(SUM(K783:O783)*VLOOKUP($A783,HeadJournal!$A$1:$L$890,COLUMN(HeadJournal!H$1),0),0)</f>
        <v>669.3</v>
      </c>
      <c r="Q783" s="29">
        <v>1400</v>
      </c>
      <c r="R783" s="31">
        <v>44944</v>
      </c>
      <c r="S783" s="31" t="s">
        <v>3121</v>
      </c>
      <c r="T783" s="95" t="str">
        <f t="shared" si="65"/>
        <v>2023 01</v>
      </c>
      <c r="U783" s="32">
        <f t="shared" si="62"/>
        <v>730.7</v>
      </c>
      <c r="V783" s="22">
        <f t="shared" si="63"/>
        <v>1.091737636336471</v>
      </c>
      <c r="X783" s="33"/>
      <c r="Y783" s="33"/>
    </row>
    <row r="784" spans="1:25" x14ac:dyDescent="0.2">
      <c r="A784" s="93" t="s">
        <v>344</v>
      </c>
      <c r="B784" s="94">
        <f>IFERROR(VLOOKUP($A784,HeadJournal!$A$1:$NTR$890,COLUMN(HeadJournal!B$1),0),"")</f>
        <v>0</v>
      </c>
      <c r="C784" s="94" t="str">
        <f>IFERROR(VLOOKUP($A784,HeadJournal!$A$1:$NTR$890,COLUMN(HeadJournal!C$1),0),"")</f>
        <v>WBRS</v>
      </c>
      <c r="D784" s="125" t="str">
        <f>IFERROR(VLOOKUP($A784,HeadJournal!$A$1:$NTR$890,COLUMN(HeadJournal!D$1),0),"")</f>
        <v>Доставлен</v>
      </c>
      <c r="E784" s="95">
        <f>IFERROR(VLOOKUP($A784,HeadJournal!$A$1:$NTR$890,COLUMN(HeadJournal!G$1),0),"")</f>
        <v>44941</v>
      </c>
      <c r="F784" s="95" t="str">
        <f t="shared" si="64"/>
        <v>2023 01</v>
      </c>
      <c r="G784" s="96" t="s">
        <v>7</v>
      </c>
      <c r="H784" s="160" t="str">
        <f>RIGHT(Journal!$J784,9)</f>
        <v xml:space="preserve"> 94476361</v>
      </c>
      <c r="I784" s="96" t="str">
        <f t="shared" si="61"/>
        <v>LU MINATE</v>
      </c>
      <c r="J784" s="97" t="s">
        <v>353</v>
      </c>
      <c r="K784" s="55">
        <v>153</v>
      </c>
      <c r="L784" s="29"/>
      <c r="M784" s="30">
        <f>IFERROR(VLOOKUP($A784,HeadJournal!$A$1:$J$890,COLUMN(HeadJournal!I$1),0)*($K784+$L784)/(SUMIF($A:$A,$A784,$K:$K)+SUMIF($A:$A,$A784,$L:$L)),0)</f>
        <v>0</v>
      </c>
      <c r="N784" s="30">
        <f>IFERROR((VLOOKUP($A784,HeadJournal!$A$1:$K$890,COLUMN(HeadJournal!K$1),0)-VLOOKUP($A784,HeadJournal!$A$1:$K$890,COLUMN(HeadJournal!J$1),0))*($K784+$L784)/(SUMIF($A:$A,$A784,$K:$K)+SUMIF($A:$A,$A784,$L:$L)),0)</f>
        <v>0</v>
      </c>
      <c r="O784" s="30">
        <f>IFERROR((VLOOKUP($A784,HeadJournal!$A$1:$L$890,COLUMN(HeadJournal!L$1),0)*($K784+$L784)/(SUMIF($A:$A,$A784,$K:$K)+SUMIF($A:$A,$A784,$L:$L)))/VLOOKUP($A784,HeadJournal!$A$1:$L$890,COLUMN(HeadJournal!H$1),0),0)</f>
        <v>22.95</v>
      </c>
      <c r="P784" s="30">
        <f>IFERROR(SUM(K784:O784)*VLOOKUP($A784,HeadJournal!$A$1:$L$890,COLUMN(HeadJournal!H$1),0),0)</f>
        <v>175.95</v>
      </c>
      <c r="Q784" s="29">
        <v>700</v>
      </c>
      <c r="R784" s="31">
        <v>44963</v>
      </c>
      <c r="S784" s="31" t="s">
        <v>3121</v>
      </c>
      <c r="T784" s="95" t="str">
        <f t="shared" si="65"/>
        <v>2023 02</v>
      </c>
      <c r="U784" s="32">
        <f t="shared" si="62"/>
        <v>524.04999999999995</v>
      </c>
      <c r="V784" s="22">
        <f t="shared" si="63"/>
        <v>2.9784029553850524</v>
      </c>
      <c r="X784" s="33"/>
      <c r="Y784" s="33"/>
    </row>
    <row r="785" spans="1:25" x14ac:dyDescent="0.2">
      <c r="A785" s="93" t="s">
        <v>344</v>
      </c>
      <c r="B785" s="94">
        <f>IFERROR(VLOOKUP($A785,HeadJournal!$A$1:$NTR$890,COLUMN(HeadJournal!B$1),0),"")</f>
        <v>0</v>
      </c>
      <c r="C785" s="94" t="str">
        <f>IFERROR(VLOOKUP($A785,HeadJournal!$A$1:$NTR$890,COLUMN(HeadJournal!C$1),0),"")</f>
        <v>WBRS</v>
      </c>
      <c r="D785" s="125" t="str">
        <f>IFERROR(VLOOKUP($A785,HeadJournal!$A$1:$NTR$890,COLUMN(HeadJournal!D$1),0),"")</f>
        <v>Доставлен</v>
      </c>
      <c r="E785" s="95">
        <f>IFERROR(VLOOKUP($A785,HeadJournal!$A$1:$NTR$890,COLUMN(HeadJournal!G$1),0),"")</f>
        <v>44941</v>
      </c>
      <c r="F785" s="95" t="str">
        <f t="shared" si="64"/>
        <v>2023 01</v>
      </c>
      <c r="G785" s="96" t="s">
        <v>7</v>
      </c>
      <c r="H785" s="160" t="str">
        <f>RIGHT(Journal!$J785,9)</f>
        <v xml:space="preserve"> 94476361</v>
      </c>
      <c r="I785" s="96" t="str">
        <f t="shared" si="61"/>
        <v>LU MINATE</v>
      </c>
      <c r="J785" s="97" t="s">
        <v>353</v>
      </c>
      <c r="K785" s="55">
        <v>153</v>
      </c>
      <c r="L785" s="29"/>
      <c r="M785" s="30">
        <f>IFERROR(VLOOKUP($A785,HeadJournal!$A$1:$J$890,COLUMN(HeadJournal!I$1),0)*($K785+$L785)/(SUMIF($A:$A,$A785,$K:$K)+SUMIF($A:$A,$A785,$L:$L)),0)</f>
        <v>0</v>
      </c>
      <c r="N785" s="30">
        <f>IFERROR((VLOOKUP($A785,HeadJournal!$A$1:$K$890,COLUMN(HeadJournal!K$1),0)-VLOOKUP($A785,HeadJournal!$A$1:$K$890,COLUMN(HeadJournal!J$1),0))*($K785+$L785)/(SUMIF($A:$A,$A785,$K:$K)+SUMIF($A:$A,$A785,$L:$L)),0)</f>
        <v>0</v>
      </c>
      <c r="O785" s="30">
        <f>IFERROR((VLOOKUP($A785,HeadJournal!$A$1:$L$890,COLUMN(HeadJournal!L$1),0)*($K785+$L785)/(SUMIF($A:$A,$A785,$K:$K)+SUMIF($A:$A,$A785,$L:$L)))/VLOOKUP($A785,HeadJournal!$A$1:$L$890,COLUMN(HeadJournal!H$1),0),0)</f>
        <v>22.95</v>
      </c>
      <c r="P785" s="30">
        <f>IFERROR(SUM(K785:O785)*VLOOKUP($A785,HeadJournal!$A$1:$L$890,COLUMN(HeadJournal!H$1),0),0)</f>
        <v>175.95</v>
      </c>
      <c r="Q785" s="29">
        <v>550</v>
      </c>
      <c r="R785" s="31">
        <v>44991</v>
      </c>
      <c r="S785" s="31" t="s">
        <v>3121</v>
      </c>
      <c r="T785" s="95" t="str">
        <f t="shared" si="65"/>
        <v>2023 03</v>
      </c>
      <c r="U785" s="32">
        <f t="shared" si="62"/>
        <v>374.05</v>
      </c>
      <c r="V785" s="22">
        <f t="shared" si="63"/>
        <v>2.1258880363739703</v>
      </c>
      <c r="X785" s="33"/>
      <c r="Y785" s="33"/>
    </row>
    <row r="786" spans="1:25" x14ac:dyDescent="0.2">
      <c r="A786" s="93" t="s">
        <v>354</v>
      </c>
      <c r="B786" s="94">
        <f>IFERROR(VLOOKUP($A786,HeadJournal!$A$1:$NTR$890,COLUMN(HeadJournal!B$1),0),"")</f>
        <v>0</v>
      </c>
      <c r="C786" s="94" t="str">
        <f>IFERROR(VLOOKUP($A786,HeadJournal!$A$1:$NTR$890,COLUMN(HeadJournal!C$1),0),"")</f>
        <v>OZON_AV</v>
      </c>
      <c r="D786" s="125" t="str">
        <f>IFERROR(VLOOKUP($A786,HeadJournal!$A$1:$NTR$890,COLUMN(HeadJournal!D$1),0),"")</f>
        <v>Доставлен</v>
      </c>
      <c r="E786" s="95">
        <f>IFERROR(VLOOKUP($A786,HeadJournal!$A$1:$NTR$890,COLUMN(HeadJournal!G$1),0),"")</f>
        <v>44933</v>
      </c>
      <c r="F786" s="95" t="str">
        <f t="shared" si="64"/>
        <v>2023 01</v>
      </c>
      <c r="G786" s="96" t="s">
        <v>6</v>
      </c>
      <c r="H786" s="160" t="str">
        <f>RIGHT(Journal!$J786,9)</f>
        <v>310161195</v>
      </c>
      <c r="I786" s="96" t="str">
        <f t="shared" si="61"/>
        <v>BIG</v>
      </c>
      <c r="J786" s="97" t="s">
        <v>355</v>
      </c>
      <c r="K786" s="29">
        <v>1266</v>
      </c>
      <c r="L786" s="29"/>
      <c r="M786" s="30">
        <f>IFERROR(VLOOKUP($A786,HeadJournal!$A$1:$J$890,COLUMN(HeadJournal!I$1),0)*($K786+$L786)/(SUMIF($A:$A,$A786,$K:$K)+SUMIF($A:$A,$A786,$L:$L)),0)</f>
        <v>0</v>
      </c>
      <c r="N786" s="30">
        <f>IFERROR((VLOOKUP($A786,HeadJournal!$A$1:$K$890,COLUMN(HeadJournal!K$1),0)-VLOOKUP($A786,HeadJournal!$A$1:$K$890,COLUMN(HeadJournal!J$1),0))*($K786+$L786)/(SUMIF($A:$A,$A786,$K:$K)+SUMIF($A:$A,$A786,$L:$L)),0)</f>
        <v>0</v>
      </c>
      <c r="O786" s="30">
        <f>IFERROR((VLOOKUP($A786,HeadJournal!$A$1:$L$890,COLUMN(HeadJournal!L$1),0)*($K786+$L786)/(SUMIF($A:$A,$A786,$K:$K)+SUMIF($A:$A,$A786,$L:$L)))/VLOOKUP($A786,HeadJournal!$A$1:$L$890,COLUMN(HeadJournal!H$1),0),0)</f>
        <v>189.9</v>
      </c>
      <c r="P786" s="30">
        <f>IFERROR(SUM(K786:O786)*VLOOKUP($A786,HeadJournal!$A$1:$L$890,COLUMN(HeadJournal!H$1),0),0)</f>
        <v>1455.9</v>
      </c>
      <c r="Q786" s="29">
        <v>2500</v>
      </c>
      <c r="R786" s="31">
        <v>44945</v>
      </c>
      <c r="S786" s="31" t="s">
        <v>3121</v>
      </c>
      <c r="T786" s="95" t="str">
        <f t="shared" si="65"/>
        <v>2023 01</v>
      </c>
      <c r="U786" s="32">
        <f t="shared" si="62"/>
        <v>1044.0999999999999</v>
      </c>
      <c r="V786" s="22">
        <f t="shared" si="63"/>
        <v>0.71715090322137498</v>
      </c>
      <c r="X786" s="33"/>
      <c r="Y786" s="33"/>
    </row>
    <row r="787" spans="1:25" x14ac:dyDescent="0.2">
      <c r="A787" s="93" t="s">
        <v>356</v>
      </c>
      <c r="B787" s="94">
        <f>IFERROR(VLOOKUP($A787,HeadJournal!$A$1:$NTR$890,COLUMN(HeadJournal!B$1),0),"")</f>
        <v>0</v>
      </c>
      <c r="C787" s="94" t="str">
        <f>IFERROR(VLOOKUP($A787,HeadJournal!$A$1:$NTR$890,COLUMN(HeadJournal!C$1),0),"")</f>
        <v>OZON_AV</v>
      </c>
      <c r="D787" s="125" t="str">
        <f>IFERROR(VLOOKUP($A787,HeadJournal!$A$1:$NTR$890,COLUMN(HeadJournal!D$1),0),"")</f>
        <v>Доставлен</v>
      </c>
      <c r="E787" s="95">
        <f>IFERROR(VLOOKUP($A787,HeadJournal!$A$1:$NTR$890,COLUMN(HeadJournal!G$1),0),"")</f>
        <v>44933</v>
      </c>
      <c r="F787" s="95" t="str">
        <f t="shared" si="64"/>
        <v>2023 01</v>
      </c>
      <c r="G787" s="96" t="s">
        <v>6</v>
      </c>
      <c r="H787" s="160" t="str">
        <f>RIGHT(Journal!$J787,9)</f>
        <v>780474516</v>
      </c>
      <c r="I787" s="96" t="str">
        <f t="shared" si="61"/>
        <v>Joyer</v>
      </c>
      <c r="J787" s="97" t="s">
        <v>357</v>
      </c>
      <c r="K787" s="29">
        <v>782</v>
      </c>
      <c r="L787" s="29"/>
      <c r="M787" s="30">
        <f>IFERROR(VLOOKUP($A787,HeadJournal!$A$1:$J$890,COLUMN(HeadJournal!I$1),0)*($K787+$L787)/(SUMIF($A:$A,$A787,$K:$K)+SUMIF($A:$A,$A787,$L:$L)),0)</f>
        <v>0</v>
      </c>
      <c r="N787" s="30">
        <f>IFERROR((VLOOKUP($A787,HeadJournal!$A$1:$K$890,COLUMN(HeadJournal!K$1),0)-VLOOKUP($A787,HeadJournal!$A$1:$K$890,COLUMN(HeadJournal!J$1),0))*($K787+$L787)/(SUMIF($A:$A,$A787,$K:$K)+SUMIF($A:$A,$A787,$L:$L)),0)</f>
        <v>0</v>
      </c>
      <c r="O787" s="30">
        <f>IFERROR((VLOOKUP($A787,HeadJournal!$A$1:$L$890,COLUMN(HeadJournal!L$1),0)*($K787+$L787)/(SUMIF($A:$A,$A787,$K:$K)+SUMIF($A:$A,$A787,$L:$L)))/VLOOKUP($A787,HeadJournal!$A$1:$L$890,COLUMN(HeadJournal!H$1),0),0)</f>
        <v>117.29999999999998</v>
      </c>
      <c r="P787" s="30">
        <f>IFERROR(SUM(K787:O787)*VLOOKUP($A787,HeadJournal!$A$1:$L$890,COLUMN(HeadJournal!H$1),0),0)</f>
        <v>899.3</v>
      </c>
      <c r="Q787" s="29">
        <v>1900</v>
      </c>
      <c r="R787" s="31">
        <v>44946</v>
      </c>
      <c r="S787" s="31" t="s">
        <v>3121</v>
      </c>
      <c r="T787" s="95" t="str">
        <f t="shared" si="65"/>
        <v>2023 01</v>
      </c>
      <c r="U787" s="32">
        <f t="shared" si="62"/>
        <v>1000.7</v>
      </c>
      <c r="V787" s="22">
        <f t="shared" si="63"/>
        <v>1.1127543645057267</v>
      </c>
      <c r="X787" s="33"/>
      <c r="Y787" s="33"/>
    </row>
    <row r="788" spans="1:25" x14ac:dyDescent="0.2">
      <c r="A788" s="93" t="s">
        <v>358</v>
      </c>
      <c r="B788" s="94">
        <f>IFERROR(VLOOKUP($A788,HeadJournal!$A$1:$NTR$890,COLUMN(HeadJournal!B$1),0),"")</f>
        <v>0</v>
      </c>
      <c r="C788" s="94" t="str">
        <f>IFERROR(VLOOKUP($A788,HeadJournal!$A$1:$NTR$890,COLUMN(HeadJournal!C$1),0),"")</f>
        <v>OZON_AV</v>
      </c>
      <c r="D788" s="125" t="str">
        <f>IFERROR(VLOOKUP($A788,HeadJournal!$A$1:$NTR$890,COLUMN(HeadJournal!D$1),0),"")</f>
        <v>Доставлен</v>
      </c>
      <c r="E788" s="95">
        <f>IFERROR(VLOOKUP($A788,HeadJournal!$A$1:$NTR$890,COLUMN(HeadJournal!G$1),0),"")</f>
        <v>44933</v>
      </c>
      <c r="F788" s="95" t="str">
        <f t="shared" si="64"/>
        <v>2023 01</v>
      </c>
      <c r="G788" s="96" t="s">
        <v>7</v>
      </c>
      <c r="H788" s="160" t="str">
        <f>RIGHT(Journal!$J788,9)</f>
        <v>727936682</v>
      </c>
      <c r="I788" s="96" t="str">
        <f t="shared" si="61"/>
        <v>TAI YAN</v>
      </c>
      <c r="J788" s="97" t="s">
        <v>359</v>
      </c>
      <c r="K788" s="29">
        <v>656</v>
      </c>
      <c r="L788" s="29"/>
      <c r="M788" s="30">
        <f>IFERROR(VLOOKUP($A788,HeadJournal!$A$1:$J$890,COLUMN(HeadJournal!I$1),0)*($K788+$L788)/(SUMIF($A:$A,$A788,$K:$K)+SUMIF($A:$A,$A788,$L:$L)),0)</f>
        <v>0</v>
      </c>
      <c r="N788" s="30">
        <f>IFERROR((VLOOKUP($A788,HeadJournal!$A$1:$K$890,COLUMN(HeadJournal!K$1),0)-VLOOKUP($A788,HeadJournal!$A$1:$K$890,COLUMN(HeadJournal!J$1),0))*($K788+$L788)/(SUMIF($A:$A,$A788,$K:$K)+SUMIF($A:$A,$A788,$L:$L)),0)</f>
        <v>0</v>
      </c>
      <c r="O788" s="30">
        <f>IFERROR((VLOOKUP($A788,HeadJournal!$A$1:$L$890,COLUMN(HeadJournal!L$1),0)*($K788+$L788)/(SUMIF($A:$A,$A788,$K:$K)+SUMIF($A:$A,$A788,$L:$L)))/VLOOKUP($A788,HeadJournal!$A$1:$L$890,COLUMN(HeadJournal!H$1),0),0)</f>
        <v>98.399999999999991</v>
      </c>
      <c r="P788" s="30">
        <f>IFERROR(SUM(K788:O788)*VLOOKUP($A788,HeadJournal!$A$1:$L$890,COLUMN(HeadJournal!H$1),0),0)</f>
        <v>754.4</v>
      </c>
      <c r="Q788" s="29">
        <v>700</v>
      </c>
      <c r="R788" s="31">
        <v>44992</v>
      </c>
      <c r="S788" s="31" t="s">
        <v>3121</v>
      </c>
      <c r="T788" s="95" t="str">
        <f t="shared" si="65"/>
        <v>2023 03</v>
      </c>
      <c r="U788" s="32">
        <f t="shared" si="62"/>
        <v>-54.399999999999977</v>
      </c>
      <c r="V788" s="22">
        <f t="shared" si="63"/>
        <v>-7.2110286320254485E-2</v>
      </c>
      <c r="X788" s="33"/>
      <c r="Y788" s="33"/>
    </row>
    <row r="789" spans="1:25" x14ac:dyDescent="0.2">
      <c r="A789" s="93" t="s">
        <v>358</v>
      </c>
      <c r="B789" s="94">
        <f>IFERROR(VLOOKUP($A789,HeadJournal!$A$1:$NTR$890,COLUMN(HeadJournal!B$1),0),"")</f>
        <v>0</v>
      </c>
      <c r="C789" s="94" t="str">
        <f>IFERROR(VLOOKUP($A789,HeadJournal!$A$1:$NTR$890,COLUMN(HeadJournal!C$1),0),"")</f>
        <v>OZON_AV</v>
      </c>
      <c r="D789" s="125" t="str">
        <f>IFERROR(VLOOKUP($A789,HeadJournal!$A$1:$NTR$890,COLUMN(HeadJournal!D$1),0),"")</f>
        <v>Доставлен</v>
      </c>
      <c r="E789" s="95">
        <f>IFERROR(VLOOKUP($A789,HeadJournal!$A$1:$NTR$890,COLUMN(HeadJournal!G$1),0),"")</f>
        <v>44933</v>
      </c>
      <c r="F789" s="95" t="str">
        <f t="shared" si="64"/>
        <v>2023 01</v>
      </c>
      <c r="G789" s="96" t="s">
        <v>7</v>
      </c>
      <c r="H789" s="160" t="str">
        <f>RIGHT(Journal!$J789,9)</f>
        <v>801989967</v>
      </c>
      <c r="I789" s="96" t="str">
        <f t="shared" si="61"/>
        <v>SANONBEAUTY</v>
      </c>
      <c r="J789" s="97" t="s">
        <v>360</v>
      </c>
      <c r="K789" s="29">
        <v>617</v>
      </c>
      <c r="L789" s="29"/>
      <c r="M789" s="30">
        <f>IFERROR(VLOOKUP($A789,HeadJournal!$A$1:$J$890,COLUMN(HeadJournal!I$1),0)*($K789+$L789)/(SUMIF($A:$A,$A789,$K:$K)+SUMIF($A:$A,$A789,$L:$L)),0)</f>
        <v>0</v>
      </c>
      <c r="N789" s="30">
        <f>IFERROR((VLOOKUP($A789,HeadJournal!$A$1:$K$890,COLUMN(HeadJournal!K$1),0)-VLOOKUP($A789,HeadJournal!$A$1:$K$890,COLUMN(HeadJournal!J$1),0))*($K789+$L789)/(SUMIF($A:$A,$A789,$K:$K)+SUMIF($A:$A,$A789,$L:$L)),0)</f>
        <v>0</v>
      </c>
      <c r="O789" s="30">
        <f>IFERROR((VLOOKUP($A789,HeadJournal!$A$1:$L$890,COLUMN(HeadJournal!L$1),0)*($K789+$L789)/(SUMIF($A:$A,$A789,$K:$K)+SUMIF($A:$A,$A789,$L:$L)))/VLOOKUP($A789,HeadJournal!$A$1:$L$890,COLUMN(HeadJournal!H$1),0),0)</f>
        <v>92.55</v>
      </c>
      <c r="P789" s="30">
        <f>IFERROR(SUM(K789:O789)*VLOOKUP($A789,HeadJournal!$A$1:$L$890,COLUMN(HeadJournal!H$1),0),0)</f>
        <v>709.55</v>
      </c>
      <c r="Q789" s="29"/>
      <c r="R789" s="31"/>
      <c r="S789" s="31"/>
      <c r="T789" s="95" t="str">
        <f t="shared" si="65"/>
        <v/>
      </c>
      <c r="U789" s="32">
        <f t="shared" si="62"/>
        <v>-709.55</v>
      </c>
      <c r="V789" s="22" t="str">
        <f t="shared" si="63"/>
        <v/>
      </c>
      <c r="X789" s="33"/>
      <c r="Y789" s="33"/>
    </row>
    <row r="790" spans="1:25" x14ac:dyDescent="0.2">
      <c r="A790" s="93" t="s">
        <v>361</v>
      </c>
      <c r="B790" s="94">
        <f>IFERROR(VLOOKUP($A790,HeadJournal!$A$1:$NTR$890,COLUMN(HeadJournal!B$1),0),"")</f>
        <v>0</v>
      </c>
      <c r="C790" s="94" t="str">
        <f>IFERROR(VLOOKUP($A790,HeadJournal!$A$1:$NTR$890,COLUMN(HeadJournal!C$1),0),"")</f>
        <v>OZON_AV</v>
      </c>
      <c r="D790" s="125" t="str">
        <f>IFERROR(VLOOKUP($A790,HeadJournal!$A$1:$NTR$890,COLUMN(HeadJournal!D$1),0),"")</f>
        <v>Доставлен</v>
      </c>
      <c r="E790" s="95">
        <f>IFERROR(VLOOKUP($A790,HeadJournal!$A$1:$NTR$890,COLUMN(HeadJournal!G$1),0),"")</f>
        <v>44934</v>
      </c>
      <c r="F790" s="95" t="str">
        <f t="shared" si="64"/>
        <v>2023 01</v>
      </c>
      <c r="G790" s="96" t="s">
        <v>6</v>
      </c>
      <c r="H790" s="160" t="str">
        <f>RIGHT(Journal!$J790,9)</f>
        <v>771073764</v>
      </c>
      <c r="I790" s="96" t="str">
        <f t="shared" si="61"/>
        <v>Ostrovit</v>
      </c>
      <c r="J790" s="97" t="s">
        <v>362</v>
      </c>
      <c r="K790" s="29">
        <v>2766</v>
      </c>
      <c r="L790" s="29"/>
      <c r="M790" s="30">
        <f>IFERROR(VLOOKUP($A790,HeadJournal!$A$1:$J$890,COLUMN(HeadJournal!I$1),0)*($K790+$L790)/(SUMIF($A:$A,$A790,$K:$K)+SUMIF($A:$A,$A790,$L:$L)),0)</f>
        <v>0</v>
      </c>
      <c r="N790" s="30">
        <f>IFERROR((VLOOKUP($A790,HeadJournal!$A$1:$K$890,COLUMN(HeadJournal!K$1),0)-VLOOKUP($A790,HeadJournal!$A$1:$K$890,COLUMN(HeadJournal!J$1),0))*($K790+$L790)/(SUMIF($A:$A,$A790,$K:$K)+SUMIF($A:$A,$A790,$L:$L)),0)</f>
        <v>0</v>
      </c>
      <c r="O790" s="30">
        <f>IFERROR((VLOOKUP($A790,HeadJournal!$A$1:$L$890,COLUMN(HeadJournal!L$1),0)*($K790+$L790)/(SUMIF($A:$A,$A790,$K:$K)+SUMIF($A:$A,$A790,$L:$L)))/VLOOKUP($A790,HeadJournal!$A$1:$L$890,COLUMN(HeadJournal!H$1),0),0)</f>
        <v>414.9</v>
      </c>
      <c r="P790" s="30">
        <f>IFERROR(SUM(K790:O790)*VLOOKUP($A790,HeadJournal!$A$1:$L$890,COLUMN(HeadJournal!H$1),0),0)</f>
        <v>3180.9</v>
      </c>
      <c r="Q790" s="29">
        <v>4000</v>
      </c>
      <c r="R790" s="31">
        <v>44959</v>
      </c>
      <c r="S790" s="31" t="s">
        <v>3121</v>
      </c>
      <c r="T790" s="95" t="str">
        <f t="shared" si="65"/>
        <v>2023 02</v>
      </c>
      <c r="U790" s="32">
        <f t="shared" si="62"/>
        <v>819.09999999999991</v>
      </c>
      <c r="V790" s="22">
        <f t="shared" si="63"/>
        <v>0.25750573736992671</v>
      </c>
      <c r="X790" s="33"/>
      <c r="Y790" s="33"/>
    </row>
    <row r="791" spans="1:25" x14ac:dyDescent="0.2">
      <c r="A791" s="93" t="s">
        <v>363</v>
      </c>
      <c r="B791" s="94">
        <f>IFERROR(VLOOKUP($A791,HeadJournal!$A$1:$NTR$890,COLUMN(HeadJournal!B$1),0),"")</f>
        <v>0</v>
      </c>
      <c r="C791" s="94" t="str">
        <f>IFERROR(VLOOKUP($A791,HeadJournal!$A$1:$NTR$890,COLUMN(HeadJournal!C$1),0),"")</f>
        <v>OZON_AV</v>
      </c>
      <c r="D791" s="125" t="str">
        <f>IFERROR(VLOOKUP($A791,HeadJournal!$A$1:$NTR$890,COLUMN(HeadJournal!D$1),0),"")</f>
        <v>Доставлен</v>
      </c>
      <c r="E791" s="95">
        <f>IFERROR(VLOOKUP($A791,HeadJournal!$A$1:$NTR$890,COLUMN(HeadJournal!G$1),0),"")</f>
        <v>44937</v>
      </c>
      <c r="F791" s="95" t="str">
        <f t="shared" si="64"/>
        <v>2023 01</v>
      </c>
      <c r="G791" s="96" t="s">
        <v>6</v>
      </c>
      <c r="H791" s="160" t="str">
        <f>RIGHT(Journal!$J791,9)</f>
        <v>311537379</v>
      </c>
      <c r="I791" s="96" t="str">
        <f t="shared" si="61"/>
        <v>R-Line</v>
      </c>
      <c r="J791" s="97" t="s">
        <v>364</v>
      </c>
      <c r="K791" s="29">
        <v>1936</v>
      </c>
      <c r="L791" s="29"/>
      <c r="M791" s="30">
        <f>IFERROR(VLOOKUP($A791,HeadJournal!$A$1:$J$890,COLUMN(HeadJournal!I$1),0)*($K791+$L791)/(SUMIF($A:$A,$A791,$K:$K)+SUMIF($A:$A,$A791,$L:$L)),0)</f>
        <v>0</v>
      </c>
      <c r="N791" s="30">
        <f>IFERROR((VLOOKUP($A791,HeadJournal!$A$1:$K$890,COLUMN(HeadJournal!K$1),0)-VLOOKUP($A791,HeadJournal!$A$1:$K$890,COLUMN(HeadJournal!J$1),0))*($K791+$L791)/(SUMIF($A:$A,$A791,$K:$K)+SUMIF($A:$A,$A791,$L:$L)),0)</f>
        <v>0</v>
      </c>
      <c r="O791" s="30">
        <f>IFERROR((VLOOKUP($A791,HeadJournal!$A$1:$L$890,COLUMN(HeadJournal!L$1),0)*($K791+$L791)/(SUMIF($A:$A,$A791,$K:$K)+SUMIF($A:$A,$A791,$L:$L)))/VLOOKUP($A791,HeadJournal!$A$1:$L$890,COLUMN(HeadJournal!H$1),0),0)</f>
        <v>290.39999999999998</v>
      </c>
      <c r="P791" s="30">
        <f>IFERROR(SUM(K791:O791)*VLOOKUP($A791,HeadJournal!$A$1:$L$890,COLUMN(HeadJournal!H$1),0),0)</f>
        <v>2226.4</v>
      </c>
      <c r="Q791" s="29">
        <v>2900</v>
      </c>
      <c r="R791" s="31">
        <v>44944</v>
      </c>
      <c r="S791" s="31" t="s">
        <v>3121</v>
      </c>
      <c r="T791" s="95" t="str">
        <f t="shared" si="65"/>
        <v>2023 01</v>
      </c>
      <c r="U791" s="32">
        <f t="shared" si="62"/>
        <v>673.59999999999991</v>
      </c>
      <c r="V791" s="22">
        <f t="shared" si="63"/>
        <v>0.30255120373697442</v>
      </c>
      <c r="X791" s="33"/>
      <c r="Y791" s="33"/>
    </row>
    <row r="792" spans="1:25" x14ac:dyDescent="0.2">
      <c r="A792" s="93" t="s">
        <v>363</v>
      </c>
      <c r="B792" s="94">
        <f>IFERROR(VLOOKUP($A792,HeadJournal!$A$1:$NTR$890,COLUMN(HeadJournal!B$1),0),"")</f>
        <v>0</v>
      </c>
      <c r="C792" s="94" t="str">
        <f>IFERROR(VLOOKUP($A792,HeadJournal!$A$1:$NTR$890,COLUMN(HeadJournal!C$1),0),"")</f>
        <v>OZON_AV</v>
      </c>
      <c r="D792" s="125" t="str">
        <f>IFERROR(VLOOKUP($A792,HeadJournal!$A$1:$NTR$890,COLUMN(HeadJournal!D$1),0),"")</f>
        <v>Доставлен</v>
      </c>
      <c r="E792" s="95">
        <f>IFERROR(VLOOKUP($A792,HeadJournal!$A$1:$NTR$890,COLUMN(HeadJournal!G$1),0),"")</f>
        <v>44937</v>
      </c>
      <c r="F792" s="95" t="str">
        <f t="shared" si="64"/>
        <v>2023 01</v>
      </c>
      <c r="G792" s="96" t="s">
        <v>6</v>
      </c>
      <c r="H792" s="160" t="str">
        <f>RIGHT(Journal!$J792,9)</f>
        <v>311537379</v>
      </c>
      <c r="I792" s="96" t="str">
        <f t="shared" si="61"/>
        <v>R-Line</v>
      </c>
      <c r="J792" s="97" t="s">
        <v>364</v>
      </c>
      <c r="K792" s="29">
        <v>1936</v>
      </c>
      <c r="L792" s="29"/>
      <c r="M792" s="30">
        <f>IFERROR(VLOOKUP($A792,HeadJournal!$A$1:$J$890,COLUMN(HeadJournal!I$1),0)*($K792+$L792)/(SUMIF($A:$A,$A792,$K:$K)+SUMIF($A:$A,$A792,$L:$L)),0)</f>
        <v>0</v>
      </c>
      <c r="N792" s="30">
        <f>IFERROR((VLOOKUP($A792,HeadJournal!$A$1:$K$890,COLUMN(HeadJournal!K$1),0)-VLOOKUP($A792,HeadJournal!$A$1:$K$890,COLUMN(HeadJournal!J$1),0))*($K792+$L792)/(SUMIF($A:$A,$A792,$K:$K)+SUMIF($A:$A,$A792,$L:$L)),0)</f>
        <v>0</v>
      </c>
      <c r="O792" s="30">
        <f>IFERROR((VLOOKUP($A792,HeadJournal!$A$1:$L$890,COLUMN(HeadJournal!L$1),0)*($K792+$L792)/(SUMIF($A:$A,$A792,$K:$K)+SUMIF($A:$A,$A792,$L:$L)))/VLOOKUP($A792,HeadJournal!$A$1:$L$890,COLUMN(HeadJournal!H$1),0),0)</f>
        <v>290.39999999999998</v>
      </c>
      <c r="P792" s="30">
        <f>IFERROR(SUM(K792:O792)*VLOOKUP($A792,HeadJournal!$A$1:$L$890,COLUMN(HeadJournal!H$1),0),0)</f>
        <v>2226.4</v>
      </c>
      <c r="Q792" s="29">
        <v>2900</v>
      </c>
      <c r="R792" s="31">
        <v>44947</v>
      </c>
      <c r="S792" s="31" t="s">
        <v>3121</v>
      </c>
      <c r="T792" s="95" t="str">
        <f t="shared" si="65"/>
        <v>2023 01</v>
      </c>
      <c r="U792" s="32">
        <f t="shared" si="62"/>
        <v>673.59999999999991</v>
      </c>
      <c r="V792" s="22">
        <f t="shared" si="63"/>
        <v>0.30255120373697442</v>
      </c>
      <c r="X792" s="33"/>
      <c r="Y792" s="33"/>
    </row>
    <row r="793" spans="1:25" x14ac:dyDescent="0.2">
      <c r="A793" s="93" t="s">
        <v>365</v>
      </c>
      <c r="B793" s="94">
        <f>IFERROR(VLOOKUP($A793,HeadJournal!$A$1:$NTR$890,COLUMN(HeadJournal!B$1),0),"")</f>
        <v>0</v>
      </c>
      <c r="C793" s="94" t="str">
        <f>IFERROR(VLOOKUP($A793,HeadJournal!$A$1:$NTR$890,COLUMN(HeadJournal!C$1),0),"")</f>
        <v>OZON_AV</v>
      </c>
      <c r="D793" s="125" t="str">
        <f>IFERROR(VLOOKUP($A793,HeadJournal!$A$1:$NTR$890,COLUMN(HeadJournal!D$1),0),"")</f>
        <v>Доставлен</v>
      </c>
      <c r="E793" s="95">
        <f>IFERROR(VLOOKUP($A793,HeadJournal!$A$1:$NTR$890,COLUMN(HeadJournal!G$1),0),"")</f>
        <v>44938</v>
      </c>
      <c r="F793" s="95" t="str">
        <f t="shared" si="64"/>
        <v>2023 01</v>
      </c>
      <c r="G793" s="96" t="s">
        <v>6</v>
      </c>
      <c r="H793" s="160" t="str">
        <f>RIGHT(Journal!$J793,9)</f>
        <v>310161195</v>
      </c>
      <c r="I793" s="96" t="str">
        <f t="shared" si="61"/>
        <v>BIG</v>
      </c>
      <c r="J793" s="97" t="s">
        <v>355</v>
      </c>
      <c r="K793" s="29">
        <v>1203</v>
      </c>
      <c r="L793" s="29"/>
      <c r="M793" s="30">
        <f>IFERROR(VLOOKUP($A793,HeadJournal!$A$1:$J$890,COLUMN(HeadJournal!I$1),0)*($K793+$L793)/(SUMIF($A:$A,$A793,$K:$K)+SUMIF($A:$A,$A793,$L:$L)),0)</f>
        <v>0</v>
      </c>
      <c r="N793" s="30">
        <f>IFERROR((VLOOKUP($A793,HeadJournal!$A$1:$K$890,COLUMN(HeadJournal!K$1),0)-VLOOKUP($A793,HeadJournal!$A$1:$K$890,COLUMN(HeadJournal!J$1),0))*($K793+$L793)/(SUMIF($A:$A,$A793,$K:$K)+SUMIF($A:$A,$A793,$L:$L)),0)</f>
        <v>0</v>
      </c>
      <c r="O793" s="30">
        <f>IFERROR((VLOOKUP($A793,HeadJournal!$A$1:$L$890,COLUMN(HeadJournal!L$1),0)*($K793+$L793)/(SUMIF($A:$A,$A793,$K:$K)+SUMIF($A:$A,$A793,$L:$L)))/VLOOKUP($A793,HeadJournal!$A$1:$L$890,COLUMN(HeadJournal!H$1),0),0)</f>
        <v>180.45</v>
      </c>
      <c r="P793" s="30">
        <f>IFERROR(SUM(K793:O793)*VLOOKUP($A793,HeadJournal!$A$1:$L$890,COLUMN(HeadJournal!H$1),0),0)</f>
        <v>1383.45</v>
      </c>
      <c r="Q793" s="29">
        <v>2500</v>
      </c>
      <c r="R793" s="31">
        <v>44943</v>
      </c>
      <c r="S793" s="31" t="s">
        <v>3121</v>
      </c>
      <c r="T793" s="95" t="str">
        <f t="shared" si="65"/>
        <v>2023 01</v>
      </c>
      <c r="U793" s="32">
        <f t="shared" si="62"/>
        <v>1116.55</v>
      </c>
      <c r="V793" s="22">
        <f t="shared" si="63"/>
        <v>0.80707651161950189</v>
      </c>
      <c r="X793" s="33"/>
      <c r="Y793" s="33"/>
    </row>
    <row r="794" spans="1:25" x14ac:dyDescent="0.2">
      <c r="A794" s="93" t="s">
        <v>365</v>
      </c>
      <c r="B794" s="94">
        <f>IFERROR(VLOOKUP($A794,HeadJournal!$A$1:$NTR$890,COLUMN(HeadJournal!B$1),0),"")</f>
        <v>0</v>
      </c>
      <c r="C794" s="94" t="str">
        <f>IFERROR(VLOOKUP($A794,HeadJournal!$A$1:$NTR$890,COLUMN(HeadJournal!C$1),0),"")</f>
        <v>OZON_AV</v>
      </c>
      <c r="D794" s="125" t="str">
        <f>IFERROR(VLOOKUP($A794,HeadJournal!$A$1:$NTR$890,COLUMN(HeadJournal!D$1),0),"")</f>
        <v>Доставлен</v>
      </c>
      <c r="E794" s="95">
        <f>IFERROR(VLOOKUP($A794,HeadJournal!$A$1:$NTR$890,COLUMN(HeadJournal!G$1),0),"")</f>
        <v>44938</v>
      </c>
      <c r="F794" s="95" t="str">
        <f t="shared" si="64"/>
        <v>2023 01</v>
      </c>
      <c r="G794" s="96" t="s">
        <v>6</v>
      </c>
      <c r="H794" s="160" t="str">
        <f>RIGHT(Journal!$J794,9)</f>
        <v>313159974</v>
      </c>
      <c r="I794" s="96" t="str">
        <f t="shared" si="61"/>
        <v>BIG</v>
      </c>
      <c r="J794" s="97" t="s">
        <v>325</v>
      </c>
      <c r="K794" s="29">
        <v>627</v>
      </c>
      <c r="L794" s="29"/>
      <c r="M794" s="30">
        <f>IFERROR(VLOOKUP($A794,HeadJournal!$A$1:$J$890,COLUMN(HeadJournal!I$1),0)*($K794+$L794)/(SUMIF($A:$A,$A794,$K:$K)+SUMIF($A:$A,$A794,$L:$L)),0)</f>
        <v>0</v>
      </c>
      <c r="N794" s="30">
        <f>IFERROR((VLOOKUP($A794,HeadJournal!$A$1:$K$890,COLUMN(HeadJournal!K$1),0)-VLOOKUP($A794,HeadJournal!$A$1:$K$890,COLUMN(HeadJournal!J$1),0))*($K794+$L794)/(SUMIF($A:$A,$A794,$K:$K)+SUMIF($A:$A,$A794,$L:$L)),0)</f>
        <v>0</v>
      </c>
      <c r="O794" s="30">
        <f>IFERROR((VLOOKUP($A794,HeadJournal!$A$1:$L$890,COLUMN(HeadJournal!L$1),0)*($K794+$L794)/(SUMIF($A:$A,$A794,$K:$K)+SUMIF($A:$A,$A794,$L:$L)))/VLOOKUP($A794,HeadJournal!$A$1:$L$890,COLUMN(HeadJournal!H$1),0),0)</f>
        <v>94.05</v>
      </c>
      <c r="P794" s="30">
        <f>IFERROR(SUM(K794:O794)*VLOOKUP($A794,HeadJournal!$A$1:$L$890,COLUMN(HeadJournal!H$1),0),0)</f>
        <v>721.05</v>
      </c>
      <c r="Q794" s="29">
        <v>1400</v>
      </c>
      <c r="R794" s="31">
        <v>44945</v>
      </c>
      <c r="S794" s="31" t="s">
        <v>3121</v>
      </c>
      <c r="T794" s="95" t="str">
        <f t="shared" si="65"/>
        <v>2023 01</v>
      </c>
      <c r="U794" s="32">
        <f t="shared" si="62"/>
        <v>678.95</v>
      </c>
      <c r="V794" s="22">
        <f t="shared" si="63"/>
        <v>0.94161292559461907</v>
      </c>
      <c r="X794" s="33"/>
      <c r="Y794" s="33"/>
    </row>
    <row r="795" spans="1:25" x14ac:dyDescent="0.2">
      <c r="A795" s="93" t="s">
        <v>366</v>
      </c>
      <c r="B795" s="94" t="str">
        <f>IFERROR(VLOOKUP($A795,HeadJournal!$A$1:$NTR$890,COLUMN(HeadJournal!B$1),0),"")</f>
        <v>922965619-0</v>
      </c>
      <c r="C795" s="94" t="str">
        <f>IFERROR(VLOOKUP($A795,HeadJournal!$A$1:$NTR$890,COLUMN(HeadJournal!C$1),0),"")</f>
        <v>iHerb_OA CZN6870</v>
      </c>
      <c r="D795" s="125" t="str">
        <f>IFERROR(VLOOKUP($A795,HeadJournal!$A$1:$NTR$890,COLUMN(HeadJournal!D$1),0),"")</f>
        <v>Доставлен</v>
      </c>
      <c r="E795" s="95">
        <f>IFERROR(VLOOKUP($A795,HeadJournal!$A$1:$NTR$890,COLUMN(HeadJournal!G$1),0),"")</f>
        <v>44942</v>
      </c>
      <c r="F795" s="95" t="str">
        <f t="shared" si="64"/>
        <v>2023 01</v>
      </c>
      <c r="G795" s="96" t="s">
        <v>5</v>
      </c>
      <c r="H795" s="160" t="str">
        <f>RIGHT(Journal!$J795,9)</f>
        <v>NOW-04618</v>
      </c>
      <c r="I795" s="96" t="str">
        <f t="shared" si="61"/>
        <v>NOW Foods</v>
      </c>
      <c r="J795" s="97" t="s">
        <v>367</v>
      </c>
      <c r="K795" s="29">
        <v>7.19</v>
      </c>
      <c r="L795" s="29">
        <v>-0.72</v>
      </c>
      <c r="M795" s="30">
        <f>IFERROR(VLOOKUP($A795,HeadJournal!$A$1:$J$890,COLUMN(HeadJournal!I$1),0)*($K795+$L795)/(SUMIF($A:$A,$A795,$K:$K)+SUMIF($A:$A,$A795,$L:$L)),0)</f>
        <v>-0.58972987948469324</v>
      </c>
      <c r="N795" s="30">
        <f>IFERROR((VLOOKUP($A795,HeadJournal!$A$1:$K$890,COLUMN(HeadJournal!K$1),0)-VLOOKUP($A795,HeadJournal!$A$1:$K$890,COLUMN(HeadJournal!J$1),0))*($K795+$L795)/(SUMIF($A:$A,$A795,$K:$K)+SUMIF($A:$A,$A795,$L:$L)),0)</f>
        <v>0</v>
      </c>
      <c r="O795" s="30">
        <f>IFERROR((VLOOKUP($A795,HeadJournal!$A$1:$L$890,COLUMN(HeadJournal!L$1),0)*($K795+$L795)/(SUMIF($A:$A,$A795,$K:$K)+SUMIF($A:$A,$A795,$L:$L)))/VLOOKUP($A795,HeadJournal!$A$1:$L$890,COLUMN(HeadJournal!H$1),0),0)</f>
        <v>3.3078400050791896</v>
      </c>
      <c r="P795" s="30">
        <f>IFERROR(SUM(K795:O795)*VLOOKUP($A795,HeadJournal!$A$1:$L$890,COLUMN(HeadJournal!H$1),0),0)</f>
        <v>689.10825941958728</v>
      </c>
      <c r="Q795" s="29">
        <v>1200</v>
      </c>
      <c r="R795" s="31">
        <v>44986</v>
      </c>
      <c r="S795" s="31" t="s">
        <v>3121</v>
      </c>
      <c r="T795" s="95" t="str">
        <f t="shared" si="65"/>
        <v>2023 03</v>
      </c>
      <c r="U795" s="32">
        <f t="shared" si="62"/>
        <v>510.89174058041272</v>
      </c>
      <c r="V795" s="22">
        <f t="shared" si="63"/>
        <v>0.74138095661590186</v>
      </c>
      <c r="X795" s="33"/>
      <c r="Y795" s="33"/>
    </row>
    <row r="796" spans="1:25" x14ac:dyDescent="0.2">
      <c r="A796" s="93" t="s">
        <v>366</v>
      </c>
      <c r="B796" s="94" t="str">
        <f>IFERROR(VLOOKUP($A796,HeadJournal!$A$1:$NTR$890,COLUMN(HeadJournal!B$1),0),"")</f>
        <v>922965619-0</v>
      </c>
      <c r="C796" s="94" t="str">
        <f>IFERROR(VLOOKUP($A796,HeadJournal!$A$1:$NTR$890,COLUMN(HeadJournal!C$1),0),"")</f>
        <v>iHerb_OA CZN6870</v>
      </c>
      <c r="D796" s="125" t="str">
        <f>IFERROR(VLOOKUP($A796,HeadJournal!$A$1:$NTR$890,COLUMN(HeadJournal!D$1),0),"")</f>
        <v>Доставлен</v>
      </c>
      <c r="E796" s="95">
        <f>IFERROR(VLOOKUP($A796,HeadJournal!$A$1:$NTR$890,COLUMN(HeadJournal!G$1),0),"")</f>
        <v>44942</v>
      </c>
      <c r="F796" s="95" t="str">
        <f t="shared" si="64"/>
        <v>2023 01</v>
      </c>
      <c r="G796" s="96" t="s">
        <v>5</v>
      </c>
      <c r="H796" s="160" t="str">
        <f>RIGHT(Journal!$J796,9)</f>
        <v>AMX-20241</v>
      </c>
      <c r="I796" s="96" t="str">
        <f t="shared" si="61"/>
        <v>ALLMAX</v>
      </c>
      <c r="J796" s="97" t="s">
        <v>368</v>
      </c>
      <c r="K796" s="29">
        <v>24.99</v>
      </c>
      <c r="L796" s="29">
        <v>-2.5</v>
      </c>
      <c r="M796" s="30">
        <f>IFERROR(VLOOKUP($A796,HeadJournal!$A$1:$J$890,COLUMN(HeadJournal!I$1),0)*($K796+$L796)/(SUMIF($A:$A,$A796,$K:$K)+SUMIF($A:$A,$A796,$L:$L)),0)</f>
        <v>-2.049926582629173</v>
      </c>
      <c r="N796" s="30">
        <f>IFERROR((VLOOKUP($A796,HeadJournal!$A$1:$K$890,COLUMN(HeadJournal!K$1),0)-VLOOKUP($A796,HeadJournal!$A$1:$K$890,COLUMN(HeadJournal!J$1),0))*($K796+$L796)/(SUMIF($A:$A,$A796,$K:$K)+SUMIF($A:$A,$A796,$L:$L)),0)</f>
        <v>0</v>
      </c>
      <c r="O796" s="30">
        <f>IFERROR((VLOOKUP($A796,HeadJournal!$A$1:$L$890,COLUMN(HeadJournal!L$1),0)*($K796+$L796)/(SUMIF($A:$A,$A796,$K:$K)+SUMIF($A:$A,$A796,$L:$L)))/VLOOKUP($A796,HeadJournal!$A$1:$L$890,COLUMN(HeadJournal!H$1),0),0)</f>
        <v>11.498195009927505</v>
      </c>
      <c r="P796" s="30">
        <f>IFERROR(SUM(K796:O796)*VLOOKUP($A796,HeadJournal!$A$1:$L$890,COLUMN(HeadJournal!H$1),0),0)</f>
        <v>2395.3701320473751</v>
      </c>
      <c r="Q796" s="29">
        <v>2800</v>
      </c>
      <c r="R796" s="31">
        <v>45012</v>
      </c>
      <c r="S796" s="31" t="s">
        <v>3121</v>
      </c>
      <c r="T796" s="95" t="str">
        <f t="shared" si="65"/>
        <v>2023 03</v>
      </c>
      <c r="U796" s="32">
        <f t="shared" si="62"/>
        <v>404.62986795262486</v>
      </c>
      <c r="V796" s="22">
        <f t="shared" si="63"/>
        <v>0.16892164703029794</v>
      </c>
      <c r="X796" s="33"/>
      <c r="Y796" s="33"/>
    </row>
    <row r="797" spans="1:25" x14ac:dyDescent="0.2">
      <c r="A797" s="93" t="s">
        <v>366</v>
      </c>
      <c r="B797" s="94" t="str">
        <f>IFERROR(VLOOKUP($A797,HeadJournal!$A$1:$NTR$890,COLUMN(HeadJournal!B$1),0),"")</f>
        <v>922965619-0</v>
      </c>
      <c r="C797" s="94" t="str">
        <f>IFERROR(VLOOKUP($A797,HeadJournal!$A$1:$NTR$890,COLUMN(HeadJournal!C$1),0),"")</f>
        <v>iHerb_OA CZN6870</v>
      </c>
      <c r="D797" s="125" t="str">
        <f>IFERROR(VLOOKUP($A797,HeadJournal!$A$1:$NTR$890,COLUMN(HeadJournal!D$1),0),"")</f>
        <v>Доставлен</v>
      </c>
      <c r="E797" s="95">
        <f>IFERROR(VLOOKUP($A797,HeadJournal!$A$1:$NTR$890,COLUMN(HeadJournal!G$1),0),"")</f>
        <v>44942</v>
      </c>
      <c r="F797" s="95" t="str">
        <f t="shared" si="64"/>
        <v>2023 01</v>
      </c>
      <c r="G797" s="96" t="s">
        <v>5</v>
      </c>
      <c r="H797" s="175" t="s">
        <v>3647</v>
      </c>
      <c r="I797" s="176" t="s">
        <v>2042</v>
      </c>
      <c r="J797" s="97" t="s">
        <v>3696</v>
      </c>
      <c r="K797" s="29">
        <v>12.24</v>
      </c>
      <c r="L797" s="29">
        <v>-2.4500000000000002</v>
      </c>
      <c r="M797" s="30">
        <f>IFERROR(VLOOKUP($A797,HeadJournal!$A$1:$J$890,COLUMN(HeadJournal!I$1),0)*($K797+$L797)/(SUMIF($A:$A,$A797,$K:$K)+SUMIF($A:$A,$A797,$L:$L)),0)</f>
        <v>-0.89234242969940436</v>
      </c>
      <c r="N797" s="30">
        <f>IFERROR((VLOOKUP($A797,HeadJournal!$A$1:$K$890,COLUMN(HeadJournal!K$1),0)-VLOOKUP($A797,HeadJournal!$A$1:$K$890,COLUMN(HeadJournal!J$1),0))*($K797+$L797)/(SUMIF($A:$A,$A797,$K:$K)+SUMIF($A:$A,$A797,$L:$L)),0)</f>
        <v>0</v>
      </c>
      <c r="O797" s="30">
        <f>IFERROR((VLOOKUP($A797,HeadJournal!$A$1:$L$890,COLUMN(HeadJournal!L$1),0)*($K797+$L797)/(SUMIF($A:$A,$A797,$K:$K)+SUMIF($A:$A,$A797,$L:$L)))/VLOOKUP($A797,HeadJournal!$A$1:$L$890,COLUMN(HeadJournal!H$1),0),0)</f>
        <v>5.0052169474073045</v>
      </c>
      <c r="P797" s="30">
        <f>IFERROR(SUM(K797:O797)*VLOOKUP($A797,HeadJournal!$A$1:$L$890,COLUMN(HeadJournal!H$1),0),0)</f>
        <v>1042.7155888280925</v>
      </c>
      <c r="Q797" s="29">
        <v>2200</v>
      </c>
      <c r="R797" s="31">
        <v>44986</v>
      </c>
      <c r="S797" s="31" t="s">
        <v>3121</v>
      </c>
      <c r="T797" s="95" t="str">
        <f t="shared" si="65"/>
        <v>2023 03</v>
      </c>
      <c r="U797" s="32">
        <f t="shared" si="62"/>
        <v>1157.2844111719075</v>
      </c>
      <c r="V797" s="22">
        <f t="shared" si="63"/>
        <v>1.1098754287087804</v>
      </c>
      <c r="X797" s="33"/>
      <c r="Y797" s="33"/>
    </row>
    <row r="798" spans="1:25" x14ac:dyDescent="0.2">
      <c r="A798" s="93" t="s">
        <v>366</v>
      </c>
      <c r="B798" s="94" t="str">
        <f>IFERROR(VLOOKUP($A798,HeadJournal!$A$1:$NTR$890,COLUMN(HeadJournal!B$1),0),"")</f>
        <v>922965619-0</v>
      </c>
      <c r="C798" s="94" t="str">
        <f>IFERROR(VLOOKUP($A798,HeadJournal!$A$1:$NTR$890,COLUMN(HeadJournal!C$1),0),"")</f>
        <v>iHerb_OA CZN6870</v>
      </c>
      <c r="D798" s="125" t="str">
        <f>IFERROR(VLOOKUP($A798,HeadJournal!$A$1:$NTR$890,COLUMN(HeadJournal!D$1),0),"")</f>
        <v>Доставлен</v>
      </c>
      <c r="E798" s="95">
        <f>IFERROR(VLOOKUP($A798,HeadJournal!$A$1:$NTR$890,COLUMN(HeadJournal!G$1),0),"")</f>
        <v>44942</v>
      </c>
      <c r="F798" s="95" t="str">
        <f t="shared" si="64"/>
        <v>2023 01</v>
      </c>
      <c r="G798" s="96" t="s">
        <v>5</v>
      </c>
      <c r="H798" s="161" t="s">
        <v>2089</v>
      </c>
      <c r="I798" s="97" t="s">
        <v>2005</v>
      </c>
      <c r="J798" s="97" t="s">
        <v>3781</v>
      </c>
      <c r="K798" s="29">
        <v>16.43</v>
      </c>
      <c r="L798" s="29">
        <v>-3.29</v>
      </c>
      <c r="M798" s="30">
        <f>IFERROR(VLOOKUP($A798,HeadJournal!$A$1:$J$890,COLUMN(HeadJournal!I$1),0)*($K798+$L798)/(SUMIF($A:$A,$A798,$K:$K)+SUMIF($A:$A,$A798,$L:$L)),0)</f>
        <v>-1.1976894306690677</v>
      </c>
      <c r="N798" s="30">
        <f>IFERROR((VLOOKUP($A798,HeadJournal!$A$1:$K$890,COLUMN(HeadJournal!K$1),0)-VLOOKUP($A798,HeadJournal!$A$1:$K$890,COLUMN(HeadJournal!J$1),0))*($K798+$L798)/(SUMIF($A:$A,$A798,$K:$K)+SUMIF($A:$A,$A798,$L:$L)),0)</f>
        <v>0</v>
      </c>
      <c r="O798" s="30">
        <f>IFERROR((VLOOKUP($A798,HeadJournal!$A$1:$L$890,COLUMN(HeadJournal!L$1),0)*($K798+$L798)/(SUMIF($A:$A,$A798,$K:$K)+SUMIF($A:$A,$A798,$L:$L)))/VLOOKUP($A798,HeadJournal!$A$1:$L$890,COLUMN(HeadJournal!H$1),0),0)</f>
        <v>6.7179316331901937</v>
      </c>
      <c r="P798" s="30">
        <f>IFERROR(SUM(K798:O798)*VLOOKUP($A798,HeadJournal!$A$1:$L$890,COLUMN(HeadJournal!H$1),0),0)</f>
        <v>1399.5181651890844</v>
      </c>
      <c r="Q798" s="29">
        <v>2800</v>
      </c>
      <c r="R798" s="31">
        <v>44986</v>
      </c>
      <c r="S798" s="31" t="s">
        <v>3121</v>
      </c>
      <c r="T798" s="95" t="str">
        <f t="shared" si="65"/>
        <v>2023 03</v>
      </c>
      <c r="U798" s="32">
        <f t="shared" si="62"/>
        <v>1400.4818348109156</v>
      </c>
      <c r="V798" s="22">
        <f t="shared" si="63"/>
        <v>1.0006885724285695</v>
      </c>
      <c r="X798" s="33"/>
      <c r="Y798" s="33"/>
    </row>
    <row r="799" spans="1:25" x14ac:dyDescent="0.2">
      <c r="A799" s="93" t="s">
        <v>366</v>
      </c>
      <c r="B799" s="94" t="str">
        <f>IFERROR(VLOOKUP($A799,HeadJournal!$A$1:$NTR$890,COLUMN(HeadJournal!B$1),0),"")</f>
        <v>922965619-0</v>
      </c>
      <c r="C799" s="94" t="str">
        <f>IFERROR(VLOOKUP($A799,HeadJournal!$A$1:$NTR$890,COLUMN(HeadJournal!C$1),0),"")</f>
        <v>iHerb_OA CZN6870</v>
      </c>
      <c r="D799" s="125" t="str">
        <f>IFERROR(VLOOKUP($A799,HeadJournal!$A$1:$NTR$890,COLUMN(HeadJournal!D$1),0),"")</f>
        <v>Доставлен</v>
      </c>
      <c r="E799" s="95">
        <f>IFERROR(VLOOKUP($A799,HeadJournal!$A$1:$NTR$890,COLUMN(HeadJournal!G$1),0),"")</f>
        <v>44942</v>
      </c>
      <c r="F799" s="95" t="str">
        <f t="shared" si="64"/>
        <v>2023 01</v>
      </c>
      <c r="G799" s="96" t="s">
        <v>5</v>
      </c>
      <c r="H799" s="160" t="str">
        <f>RIGHT(Journal!$J799,9)</f>
        <v>SWV-02990</v>
      </c>
      <c r="I799" s="96" t="str">
        <f t="shared" si="61"/>
        <v>Swanson</v>
      </c>
      <c r="J799" s="97" t="s">
        <v>337</v>
      </c>
      <c r="K799" s="29">
        <v>13.99</v>
      </c>
      <c r="L799" s="29">
        <v>-2.8</v>
      </c>
      <c r="M799" s="30">
        <f>IFERROR(VLOOKUP($A799,HeadJournal!$A$1:$J$890,COLUMN(HeadJournal!I$1),0)*($K799+$L799)/(SUMIF($A:$A,$A799,$K:$K)+SUMIF($A:$A,$A799,$L:$L)),0)</f>
        <v>-1.0199501315971744</v>
      </c>
      <c r="N799" s="30">
        <f>IFERROR((VLOOKUP($A799,HeadJournal!$A$1:$K$890,COLUMN(HeadJournal!K$1),0)-VLOOKUP($A799,HeadJournal!$A$1:$K$890,COLUMN(HeadJournal!J$1),0))*($K799+$L799)/(SUMIF($A:$A,$A799,$K:$K)+SUMIF($A:$A,$A799,$L:$L)),0)</f>
        <v>0</v>
      </c>
      <c r="O799" s="30">
        <f>IFERROR((VLOOKUP($A799,HeadJournal!$A$1:$L$890,COLUMN(HeadJournal!L$1),0)*($K799+$L799)/(SUMIF($A:$A,$A799,$K:$K)+SUMIF($A:$A,$A799,$L:$L)))/VLOOKUP($A799,HeadJournal!$A$1:$L$890,COLUMN(HeadJournal!H$1),0),0)</f>
        <v>5.7209783086300039</v>
      </c>
      <c r="P799" s="30">
        <f>IFERROR(SUM(K799:O799)*VLOOKUP($A799,HeadJournal!$A$1:$L$890,COLUMN(HeadJournal!H$1),0),0)</f>
        <v>1191.8271132774623</v>
      </c>
      <c r="Q799" s="29">
        <v>2000</v>
      </c>
      <c r="R799" s="31">
        <v>45131</v>
      </c>
      <c r="S799" s="31" t="s">
        <v>3121</v>
      </c>
      <c r="T799" s="95" t="str">
        <f t="shared" si="65"/>
        <v>2023 07</v>
      </c>
      <c r="U799" s="32">
        <f t="shared" si="62"/>
        <v>808.17288672253767</v>
      </c>
      <c r="V799" s="22">
        <f t="shared" si="63"/>
        <v>0.67809573865130857</v>
      </c>
      <c r="X799" s="33"/>
      <c r="Y799" s="33"/>
    </row>
    <row r="800" spans="1:25" x14ac:dyDescent="0.2">
      <c r="A800" s="93" t="s">
        <v>366</v>
      </c>
      <c r="B800" s="94" t="str">
        <f>IFERROR(VLOOKUP($A800,HeadJournal!$A$1:$NTR$890,COLUMN(HeadJournal!B$1),0),"")</f>
        <v>922965619-0</v>
      </c>
      <c r="C800" s="94" t="str">
        <f>IFERROR(VLOOKUP($A800,HeadJournal!$A$1:$NTR$890,COLUMN(HeadJournal!C$1),0),"")</f>
        <v>iHerb_OA CZN6870</v>
      </c>
      <c r="D800" s="125" t="str">
        <f>IFERROR(VLOOKUP($A800,HeadJournal!$A$1:$NTR$890,COLUMN(HeadJournal!D$1),0),"")</f>
        <v>Доставлен</v>
      </c>
      <c r="E800" s="95">
        <f>IFERROR(VLOOKUP($A800,HeadJournal!$A$1:$NTR$890,COLUMN(HeadJournal!G$1),0),"")</f>
        <v>44942</v>
      </c>
      <c r="F800" s="95" t="str">
        <f t="shared" si="64"/>
        <v>2023 01</v>
      </c>
      <c r="G800" s="96" t="s">
        <v>5</v>
      </c>
      <c r="H800" s="161" t="s">
        <v>4137</v>
      </c>
      <c r="I800" s="97" t="s">
        <v>2666</v>
      </c>
      <c r="J800" s="97" t="s">
        <v>4138</v>
      </c>
      <c r="K800" s="29">
        <v>11.35</v>
      </c>
      <c r="L800" s="29">
        <v>-1.1399999999999999</v>
      </c>
      <c r="M800" s="30">
        <f>IFERROR(VLOOKUP($A800,HeadJournal!$A$1:$J$890,COLUMN(HeadJournal!I$1),0)*($K800+$L800)/(SUMIF($A:$A,$A800,$K:$K)+SUMIF($A:$A,$A800,$L:$L)),0)</f>
        <v>-0.93062474026873521</v>
      </c>
      <c r="N800" s="30">
        <f>IFERROR((VLOOKUP($A800,HeadJournal!$A$1:$K$890,COLUMN(HeadJournal!K$1),0)-VLOOKUP($A800,HeadJournal!$A$1:$K$890,COLUMN(HeadJournal!J$1),0))*($K800+$L800)/(SUMIF($A:$A,$A800,$K:$K)+SUMIF($A:$A,$A800,$L:$L)),0)</f>
        <v>0</v>
      </c>
      <c r="O800" s="30">
        <f>IFERROR((VLOOKUP($A800,HeadJournal!$A$1:$L$890,COLUMN(HeadJournal!L$1),0)*($K800+$L800)/(SUMIF($A:$A,$A800,$K:$K)+SUMIF($A:$A,$A800,$L:$L)))/VLOOKUP($A800,HeadJournal!$A$1:$L$890,COLUMN(HeadJournal!H$1),0),0)</f>
        <v>5.2199453557741133</v>
      </c>
      <c r="P800" s="30">
        <f>IFERROR(SUM(K800:O800)*VLOOKUP($A800,HeadJournal!$A$1:$L$890,COLUMN(HeadJournal!H$1),0),0)</f>
        <v>1087.4490461629032</v>
      </c>
      <c r="Q800" s="29">
        <v>1600</v>
      </c>
      <c r="R800" s="31">
        <v>44991</v>
      </c>
      <c r="S800" s="31" t="s">
        <v>3121</v>
      </c>
      <c r="T800" s="95" t="str">
        <f t="shared" si="65"/>
        <v>2023 03</v>
      </c>
      <c r="U800" s="32">
        <f t="shared" si="62"/>
        <v>512.55095383709681</v>
      </c>
      <c r="V800" s="22">
        <f t="shared" si="63"/>
        <v>0.47133330581846417</v>
      </c>
      <c r="X800" s="33"/>
      <c r="Y800" s="33"/>
    </row>
    <row r="801" spans="1:25" x14ac:dyDescent="0.2">
      <c r="A801" s="93" t="s">
        <v>366</v>
      </c>
      <c r="B801" s="94" t="str">
        <f>IFERROR(VLOOKUP($A801,HeadJournal!$A$1:$NTR$890,COLUMN(HeadJournal!B$1),0),"")</f>
        <v>922965619-0</v>
      </c>
      <c r="C801" s="94" t="str">
        <f>IFERROR(VLOOKUP($A801,HeadJournal!$A$1:$NTR$890,COLUMN(HeadJournal!C$1),0),"")</f>
        <v>iHerb_OA CZN6870</v>
      </c>
      <c r="D801" s="125" t="str">
        <f>IFERROR(VLOOKUP($A801,HeadJournal!$A$1:$NTR$890,COLUMN(HeadJournal!D$1),0),"")</f>
        <v>Доставлен</v>
      </c>
      <c r="E801" s="95">
        <f>IFERROR(VLOOKUP($A801,HeadJournal!$A$1:$NTR$890,COLUMN(HeadJournal!G$1),0),"")</f>
        <v>44942</v>
      </c>
      <c r="F801" s="95" t="str">
        <f t="shared" si="64"/>
        <v>2023 01</v>
      </c>
      <c r="G801" s="96" t="s">
        <v>6</v>
      </c>
      <c r="H801" s="160" t="str">
        <f>RIGHT(Journal!$J801,9)</f>
        <v>NRX-00741</v>
      </c>
      <c r="I801" s="96" t="str">
        <f t="shared" si="61"/>
        <v>Nutrex Research</v>
      </c>
      <c r="J801" s="97" t="s">
        <v>168</v>
      </c>
      <c r="K801" s="29">
        <v>12.86</v>
      </c>
      <c r="L801" s="29">
        <v>-2.57</v>
      </c>
      <c r="M801" s="30">
        <f>IFERROR(VLOOKUP($A801,HeadJournal!$A$1:$J$890,COLUMN(HeadJournal!I$1),0)*($K801+$L801)/(SUMIF($A:$A,$A801,$K:$K)+SUMIF($A:$A,$A801,$L:$L)),0)</f>
        <v>-0.93791660894860773</v>
      </c>
      <c r="N801" s="30">
        <f>IFERROR((VLOOKUP($A801,HeadJournal!$A$1:$K$890,COLUMN(HeadJournal!K$1),0)-VLOOKUP($A801,HeadJournal!$A$1:$K$890,COLUMN(HeadJournal!J$1),0))*($K801+$L801)/(SUMIF($A:$A,$A801,$K:$K)+SUMIF($A:$A,$A801,$L:$L)),0)</f>
        <v>0</v>
      </c>
      <c r="O801" s="30">
        <f>IFERROR((VLOOKUP($A801,HeadJournal!$A$1:$L$890,COLUMN(HeadJournal!L$1),0)*($K801+$L801)/(SUMIF($A:$A,$A801,$K:$K)+SUMIF($A:$A,$A801,$L:$L)))/VLOOKUP($A801,HeadJournal!$A$1:$L$890,COLUMN(HeadJournal!H$1),0),0)</f>
        <v>5.2608460049868393</v>
      </c>
      <c r="P801" s="30">
        <f>IFERROR(SUM(K801:O801)*VLOOKUP($A801,HeadJournal!$A$1:$L$890,COLUMN(HeadJournal!H$1),0),0)</f>
        <v>1095.9697047028671</v>
      </c>
      <c r="Q801" s="29">
        <v>2000</v>
      </c>
      <c r="R801" s="31">
        <v>44998</v>
      </c>
      <c r="S801" s="31" t="s">
        <v>3121</v>
      </c>
      <c r="T801" s="95" t="str">
        <f t="shared" si="65"/>
        <v>2023 03</v>
      </c>
      <c r="U801" s="32">
        <f t="shared" si="62"/>
        <v>904.03029529713285</v>
      </c>
      <c r="V801" s="22">
        <f t="shared" si="63"/>
        <v>0.82486796069078228</v>
      </c>
      <c r="X801" s="33"/>
      <c r="Y801" s="33"/>
    </row>
    <row r="802" spans="1:25" x14ac:dyDescent="0.2">
      <c r="A802" s="93" t="s">
        <v>366</v>
      </c>
      <c r="B802" s="94" t="str">
        <f>IFERROR(VLOOKUP($A802,HeadJournal!$A$1:$NTR$890,COLUMN(HeadJournal!B$1),0),"")</f>
        <v>922965619-0</v>
      </c>
      <c r="C802" s="94" t="str">
        <f>IFERROR(VLOOKUP($A802,HeadJournal!$A$1:$NTR$890,COLUMN(HeadJournal!C$1),0),"")</f>
        <v>iHerb_OA CZN6870</v>
      </c>
      <c r="D802" s="125" t="str">
        <f>IFERROR(VLOOKUP($A802,HeadJournal!$A$1:$NTR$890,COLUMN(HeadJournal!D$1),0),"")</f>
        <v>Доставлен</v>
      </c>
      <c r="E802" s="95">
        <f>IFERROR(VLOOKUP($A802,HeadJournal!$A$1:$NTR$890,COLUMN(HeadJournal!G$1),0),"")</f>
        <v>44942</v>
      </c>
      <c r="F802" s="95" t="str">
        <f t="shared" si="64"/>
        <v>2023 01</v>
      </c>
      <c r="G802" s="96" t="s">
        <v>5</v>
      </c>
      <c r="H802" s="160" t="str">
        <f>RIGHT(Journal!$J802,9)</f>
        <v>CEN-27452</v>
      </c>
      <c r="I802" s="96" t="str">
        <f t="shared" si="61"/>
        <v>21st Century</v>
      </c>
      <c r="J802" s="97" t="s">
        <v>71</v>
      </c>
      <c r="K802" s="29">
        <v>3.67</v>
      </c>
      <c r="L802" s="29">
        <v>-0.37</v>
      </c>
      <c r="M802" s="30">
        <f>IFERROR(VLOOKUP($A802,HeadJournal!$A$1:$J$890,COLUMN(HeadJournal!I$1),0)*($K802+$L802)/(SUMIF($A:$A,$A802,$K:$K)+SUMIF($A:$A,$A802,$L:$L)),0)</f>
        <v>-0.30078958304474301</v>
      </c>
      <c r="N802" s="30">
        <f>IFERROR((VLOOKUP($A802,HeadJournal!$A$1:$K$890,COLUMN(HeadJournal!K$1),0)-VLOOKUP($A802,HeadJournal!$A$1:$K$890,COLUMN(HeadJournal!J$1),0))*($K802+$L802)/(SUMIF($A:$A,$A802,$K:$K)+SUMIF($A:$A,$A802,$L:$L)),0)</f>
        <v>0</v>
      </c>
      <c r="O802" s="30">
        <f>IFERROR((VLOOKUP($A802,HeadJournal!$A$1:$L$890,COLUMN(HeadJournal!L$1),0)*($K802+$L802)/(SUMIF($A:$A,$A802,$K:$K)+SUMIF($A:$A,$A802,$L:$L)))/VLOOKUP($A802,HeadJournal!$A$1:$L$890,COLUMN(HeadJournal!H$1),0),0)</f>
        <v>1.6871517800249343</v>
      </c>
      <c r="P802" s="30">
        <f>IFERROR(SUM(K802:O802)*VLOOKUP($A802,HeadJournal!$A$1:$L$890,COLUMN(HeadJournal!H$1),0),0)</f>
        <v>351.47716477351435</v>
      </c>
      <c r="Q802" s="29">
        <v>1000</v>
      </c>
      <c r="R802" s="31">
        <v>45174</v>
      </c>
      <c r="S802" s="31" t="s">
        <v>3121</v>
      </c>
      <c r="T802" s="95" t="str">
        <f t="shared" si="65"/>
        <v>2023 09</v>
      </c>
      <c r="U802" s="32">
        <f t="shared" si="62"/>
        <v>648.52283522648565</v>
      </c>
      <c r="V802" s="22">
        <f t="shared" si="63"/>
        <v>1.8451350478042643</v>
      </c>
      <c r="X802" s="33"/>
      <c r="Y802" s="33"/>
    </row>
    <row r="803" spans="1:25" x14ac:dyDescent="0.2">
      <c r="A803" s="93" t="s">
        <v>366</v>
      </c>
      <c r="B803" s="94" t="str">
        <f>IFERROR(VLOOKUP($A803,HeadJournal!$A$1:$NTR$890,COLUMN(HeadJournal!B$1),0),"")</f>
        <v>922965619-0</v>
      </c>
      <c r="C803" s="94" t="str">
        <f>IFERROR(VLOOKUP($A803,HeadJournal!$A$1:$NTR$890,COLUMN(HeadJournal!C$1),0),"")</f>
        <v>iHerb_OA CZN6870</v>
      </c>
      <c r="D803" s="125" t="str">
        <f>IFERROR(VLOOKUP($A803,HeadJournal!$A$1:$NTR$890,COLUMN(HeadJournal!D$1),0),"")</f>
        <v>Доставлен</v>
      </c>
      <c r="E803" s="95">
        <f>IFERROR(VLOOKUP($A803,HeadJournal!$A$1:$NTR$890,COLUMN(HeadJournal!G$1),0),"")</f>
        <v>44942</v>
      </c>
      <c r="F803" s="95" t="str">
        <f t="shared" si="64"/>
        <v>2023 01</v>
      </c>
      <c r="G803" s="96" t="s">
        <v>5</v>
      </c>
      <c r="H803" s="161" t="s">
        <v>2076</v>
      </c>
      <c r="I803" s="97" t="s">
        <v>2005</v>
      </c>
      <c r="J803" s="97" t="s">
        <v>2077</v>
      </c>
      <c r="K803" s="29">
        <v>12.24</v>
      </c>
      <c r="L803" s="29">
        <v>-2.4500000000000002</v>
      </c>
      <c r="M803" s="30">
        <f>IFERROR(VLOOKUP($A803,HeadJournal!$A$1:$J$890,COLUMN(HeadJournal!I$1),0)*($K803+$L803)/(SUMIF($A:$A,$A803,$K:$K)+SUMIF($A:$A,$A803,$L:$L)),0)</f>
        <v>-0.89234242969940436</v>
      </c>
      <c r="N803" s="30">
        <f>IFERROR((VLOOKUP($A803,HeadJournal!$A$1:$K$890,COLUMN(HeadJournal!K$1),0)-VLOOKUP($A803,HeadJournal!$A$1:$K$890,COLUMN(HeadJournal!J$1),0))*($K803+$L803)/(SUMIF($A:$A,$A803,$K:$K)+SUMIF($A:$A,$A803,$L:$L)),0)</f>
        <v>0</v>
      </c>
      <c r="O803" s="30">
        <f>IFERROR((VLOOKUP($A803,HeadJournal!$A$1:$L$890,COLUMN(HeadJournal!L$1),0)*($K803+$L803)/(SUMIF($A:$A,$A803,$K:$K)+SUMIF($A:$A,$A803,$L:$L)))/VLOOKUP($A803,HeadJournal!$A$1:$L$890,COLUMN(HeadJournal!H$1),0),0)</f>
        <v>5.0052169474073045</v>
      </c>
      <c r="P803" s="30">
        <f>IFERROR(SUM(K803:O803)*VLOOKUP($A803,HeadJournal!$A$1:$L$890,COLUMN(HeadJournal!H$1),0),0)</f>
        <v>1042.7155888280925</v>
      </c>
      <c r="Q803" s="29">
        <v>2600</v>
      </c>
      <c r="R803" s="31">
        <v>45347</v>
      </c>
      <c r="S803" s="31" t="s">
        <v>3121</v>
      </c>
      <c r="T803" s="95" t="str">
        <f t="shared" si="65"/>
        <v>2024 02</v>
      </c>
      <c r="U803" s="32">
        <f t="shared" si="62"/>
        <v>1557.2844111719075</v>
      </c>
      <c r="V803" s="22">
        <f t="shared" si="63"/>
        <v>1.4934891430194679</v>
      </c>
      <c r="X803" s="33"/>
      <c r="Y803" s="33"/>
    </row>
    <row r="804" spans="1:25" x14ac:dyDescent="0.2">
      <c r="A804" s="93" t="s">
        <v>366</v>
      </c>
      <c r="B804" s="94" t="str">
        <f>IFERROR(VLOOKUP($A804,HeadJournal!$A$1:$NTR$890,COLUMN(HeadJournal!B$1),0),"")</f>
        <v>922965619-0</v>
      </c>
      <c r="C804" s="94" t="str">
        <f>IFERROR(VLOOKUP($A804,HeadJournal!$A$1:$NTR$890,COLUMN(HeadJournal!C$1),0),"")</f>
        <v>iHerb_OA CZN6870</v>
      </c>
      <c r="D804" s="125" t="str">
        <f>IFERROR(VLOOKUP($A804,HeadJournal!$A$1:$NTR$890,COLUMN(HeadJournal!D$1),0),"")</f>
        <v>Доставлен</v>
      </c>
      <c r="E804" s="95">
        <f>IFERROR(VLOOKUP($A804,HeadJournal!$A$1:$NTR$890,COLUMN(HeadJournal!G$1),0),"")</f>
        <v>44942</v>
      </c>
      <c r="F804" s="95" t="str">
        <f t="shared" si="64"/>
        <v>2023 01</v>
      </c>
      <c r="G804" s="96" t="s">
        <v>5</v>
      </c>
      <c r="H804" s="161" t="s">
        <v>2793</v>
      </c>
      <c r="I804" s="97" t="s">
        <v>2218</v>
      </c>
      <c r="J804" s="97" t="s">
        <v>2794</v>
      </c>
      <c r="K804" s="29">
        <v>5.45</v>
      </c>
      <c r="L804" s="29">
        <v>-0.55000000000000004</v>
      </c>
      <c r="M804" s="30">
        <f>IFERROR(VLOOKUP($A804,HeadJournal!$A$1:$J$890,COLUMN(HeadJournal!I$1),0)*($K804+$L804)/(SUMIF($A:$A,$A804,$K:$K)+SUMIF($A:$A,$A804,$L:$L)),0)</f>
        <v>-0.44662695664219426</v>
      </c>
      <c r="N804" s="30">
        <f>IFERROR((VLOOKUP($A804,HeadJournal!$A$1:$K$890,COLUMN(HeadJournal!K$1),0)-VLOOKUP($A804,HeadJournal!$A$1:$K$890,COLUMN(HeadJournal!J$1),0))*($K804+$L804)/(SUMIF($A:$A,$A804,$K:$K)+SUMIF($A:$A,$A804,$L:$L)),0)</f>
        <v>0</v>
      </c>
      <c r="O804" s="30">
        <f>IFERROR((VLOOKUP($A804,HeadJournal!$A$1:$L$890,COLUMN(HeadJournal!L$1),0)*($K804+$L804)/(SUMIF($A:$A,$A804,$K:$K)+SUMIF($A:$A,$A804,$L:$L)))/VLOOKUP($A804,HeadJournal!$A$1:$L$890,COLUMN(HeadJournal!H$1),0),0)</f>
        <v>2.5051647642794479</v>
      </c>
      <c r="P804" s="30">
        <f>IFERROR(SUM(K804:O804)*VLOOKUP($A804,HeadJournal!$A$1:$L$890,COLUMN(HeadJournal!H$1),0),0)</f>
        <v>521.89033557279413</v>
      </c>
      <c r="Q804" s="29">
        <v>1700</v>
      </c>
      <c r="R804" s="31">
        <v>44992</v>
      </c>
      <c r="S804" s="31" t="s">
        <v>3121</v>
      </c>
      <c r="T804" s="95" t="str">
        <f t="shared" si="65"/>
        <v>2023 03</v>
      </c>
      <c r="U804" s="32">
        <f t="shared" si="62"/>
        <v>1178.1096644272059</v>
      </c>
      <c r="V804" s="22">
        <f t="shared" si="63"/>
        <v>2.2573893098330449</v>
      </c>
      <c r="X804" s="33"/>
      <c r="Y804" s="33"/>
    </row>
    <row r="805" spans="1:25" x14ac:dyDescent="0.2">
      <c r="A805" s="93" t="s">
        <v>366</v>
      </c>
      <c r="B805" s="94" t="str">
        <f>IFERROR(VLOOKUP($A805,HeadJournal!$A$1:$NTR$890,COLUMN(HeadJournal!B$1),0),"")</f>
        <v>922965619-0</v>
      </c>
      <c r="C805" s="94" t="str">
        <f>IFERROR(VLOOKUP($A805,HeadJournal!$A$1:$NTR$890,COLUMN(HeadJournal!C$1),0),"")</f>
        <v>iHerb_OA CZN6870</v>
      </c>
      <c r="D805" s="125" t="str">
        <f>IFERROR(VLOOKUP($A805,HeadJournal!$A$1:$NTR$890,COLUMN(HeadJournal!D$1),0),"")</f>
        <v>Доставлен</v>
      </c>
      <c r="E805" s="95">
        <f>IFERROR(VLOOKUP($A805,HeadJournal!$A$1:$NTR$890,COLUMN(HeadJournal!G$1),0),"")</f>
        <v>44942</v>
      </c>
      <c r="F805" s="95" t="str">
        <f t="shared" si="64"/>
        <v>2023 01</v>
      </c>
      <c r="G805" s="96" t="s">
        <v>5</v>
      </c>
      <c r="H805" s="160" t="str">
        <f>RIGHT(Journal!$J805,9)</f>
        <v>NOW-04795</v>
      </c>
      <c r="I805" s="96" t="str">
        <f t="shared" si="61"/>
        <v>NOW Foods</v>
      </c>
      <c r="J805" s="97" t="s">
        <v>369</v>
      </c>
      <c r="K805" s="29">
        <v>20.55</v>
      </c>
      <c r="L805" s="29">
        <v>-4.1100000000000003</v>
      </c>
      <c r="M805" s="30">
        <f>IFERROR(VLOOKUP($A805,HeadJournal!$A$1:$J$890,COLUMN(HeadJournal!I$1),0)*($K805+$L805)/(SUMIF($A:$A,$A805,$K:$K)+SUMIF($A:$A,$A805,$L:$L)),0)</f>
        <v>-1.4984790137138109</v>
      </c>
      <c r="N805" s="30">
        <f>IFERROR((VLOOKUP($A805,HeadJournal!$A$1:$K$890,COLUMN(HeadJournal!K$1),0)-VLOOKUP($A805,HeadJournal!$A$1:$K$890,COLUMN(HeadJournal!J$1),0))*($K805+$L805)/(SUMIF($A:$A,$A805,$K:$K)+SUMIF($A:$A,$A805,$L:$L)),0)</f>
        <v>0</v>
      </c>
      <c r="O805" s="30">
        <f>IFERROR((VLOOKUP($A805,HeadJournal!$A$1:$L$890,COLUMN(HeadJournal!L$1),0)*($K805+$L805)/(SUMIF($A:$A,$A805,$K:$K)+SUMIF($A:$A,$A805,$L:$L)))/VLOOKUP($A805,HeadJournal!$A$1:$L$890,COLUMN(HeadJournal!H$1),0),0)</f>
        <v>8.4050834132151255</v>
      </c>
      <c r="P805" s="30">
        <f>IFERROR(SUM(K805:O805)*VLOOKUP($A805,HeadJournal!$A$1:$L$890,COLUMN(HeadJournal!H$1),0),0)</f>
        <v>1750.9953299625988</v>
      </c>
      <c r="Q805" s="29">
        <v>3200</v>
      </c>
      <c r="R805" s="31">
        <v>45231</v>
      </c>
      <c r="S805" s="31" t="s">
        <v>3121</v>
      </c>
      <c r="T805" s="95" t="str">
        <f t="shared" si="65"/>
        <v>2023 11</v>
      </c>
      <c r="U805" s="32">
        <f t="shared" si="62"/>
        <v>1449.0046700374012</v>
      </c>
      <c r="V805" s="22">
        <f t="shared" si="63"/>
        <v>0.82753200150930839</v>
      </c>
      <c r="X805" s="33"/>
      <c r="Y805" s="33"/>
    </row>
    <row r="806" spans="1:25" x14ac:dyDescent="0.2">
      <c r="A806" s="93" t="s">
        <v>366</v>
      </c>
      <c r="B806" s="94" t="str">
        <f>IFERROR(VLOOKUP($A806,HeadJournal!$A$1:$NTR$890,COLUMN(HeadJournal!B$1),0),"")</f>
        <v>922965619-0</v>
      </c>
      <c r="C806" s="94" t="str">
        <f>IFERROR(VLOOKUP($A806,HeadJournal!$A$1:$NTR$890,COLUMN(HeadJournal!C$1),0),"")</f>
        <v>iHerb_OA CZN6870</v>
      </c>
      <c r="D806" s="125" t="str">
        <f>IFERROR(VLOOKUP($A806,HeadJournal!$A$1:$NTR$890,COLUMN(HeadJournal!D$1),0),"")</f>
        <v>Доставлен</v>
      </c>
      <c r="E806" s="95">
        <f>IFERROR(VLOOKUP($A806,HeadJournal!$A$1:$NTR$890,COLUMN(HeadJournal!G$1),0),"")</f>
        <v>44942</v>
      </c>
      <c r="F806" s="95" t="str">
        <f t="shared" si="64"/>
        <v>2023 01</v>
      </c>
      <c r="G806" s="96" t="s">
        <v>5</v>
      </c>
      <c r="H806" s="161" t="s">
        <v>2843</v>
      </c>
      <c r="I806" s="97" t="s">
        <v>2839</v>
      </c>
      <c r="J806" s="97" t="s">
        <v>2844</v>
      </c>
      <c r="K806" s="29">
        <v>14.67</v>
      </c>
      <c r="L806" s="29"/>
      <c r="M806" s="30">
        <f>IFERROR(VLOOKUP($A806,HeadJournal!$A$1:$J$890,COLUMN(HeadJournal!I$1),0)*($K806+$L806)/(SUMIF($A:$A,$A806,$K:$K)+SUMIF($A:$A,$A806,$L:$L)),0)</f>
        <v>-1.3371464191716305</v>
      </c>
      <c r="N806" s="30">
        <f>IFERROR((VLOOKUP($A806,HeadJournal!$A$1:$K$890,COLUMN(HeadJournal!K$1),0)-VLOOKUP($A806,HeadJournal!$A$1:$K$890,COLUMN(HeadJournal!J$1),0))*($K806+$L806)/(SUMIF($A:$A,$A806,$K:$K)+SUMIF($A:$A,$A806,$L:$L)),0)</f>
        <v>0</v>
      </c>
      <c r="O806" s="30">
        <f>IFERROR((VLOOKUP($A806,HeadJournal!$A$1:$L$890,COLUMN(HeadJournal!L$1),0)*($K806+$L806)/(SUMIF($A:$A,$A806,$K:$K)+SUMIF($A:$A,$A806,$L:$L)))/VLOOKUP($A806,HeadJournal!$A$1:$L$890,COLUMN(HeadJournal!H$1),0),0)</f>
        <v>7.5001565493835702</v>
      </c>
      <c r="P806" s="30">
        <f>IFERROR(SUM(K806:O806)*VLOOKUP($A806,HeadJournal!$A$1:$L$890,COLUMN(HeadJournal!H$1),0),0)</f>
        <v>1562.4757597658954</v>
      </c>
      <c r="Q806" s="29">
        <v>2400</v>
      </c>
      <c r="R806" s="31">
        <v>44986</v>
      </c>
      <c r="S806" s="31" t="s">
        <v>3121</v>
      </c>
      <c r="T806" s="95" t="str">
        <f t="shared" si="65"/>
        <v>2023 03</v>
      </c>
      <c r="U806" s="32">
        <f t="shared" si="62"/>
        <v>837.52424023410458</v>
      </c>
      <c r="V806" s="22">
        <f t="shared" si="63"/>
        <v>0.53602382948941896</v>
      </c>
      <c r="X806" s="33"/>
      <c r="Y806" s="33"/>
    </row>
    <row r="807" spans="1:25" x14ac:dyDescent="0.2">
      <c r="A807" s="93" t="s">
        <v>366</v>
      </c>
      <c r="B807" s="94" t="str">
        <f>IFERROR(VLOOKUP($A807,HeadJournal!$A$1:$NTR$890,COLUMN(HeadJournal!B$1),0),"")</f>
        <v>922965619-0</v>
      </c>
      <c r="C807" s="94" t="str">
        <f>IFERROR(VLOOKUP($A807,HeadJournal!$A$1:$NTR$890,COLUMN(HeadJournal!C$1),0),"")</f>
        <v>iHerb_OA CZN6870</v>
      </c>
      <c r="D807" s="125" t="str">
        <f>IFERROR(VLOOKUP($A807,HeadJournal!$A$1:$NTR$890,COLUMN(HeadJournal!D$1),0),"")</f>
        <v>Доставлен</v>
      </c>
      <c r="E807" s="95">
        <f>IFERROR(VLOOKUP($A807,HeadJournal!$A$1:$NTR$890,COLUMN(HeadJournal!G$1),0),"")</f>
        <v>44942</v>
      </c>
      <c r="F807" s="95" t="str">
        <f t="shared" si="64"/>
        <v>2023 01</v>
      </c>
      <c r="G807" s="96" t="s">
        <v>5</v>
      </c>
      <c r="H807" s="160" t="str">
        <f>RIGHT(Journal!$J807,9)</f>
        <v>ULM-01270</v>
      </c>
      <c r="I807" s="96" t="str">
        <f t="shared" si="61"/>
        <v>Ultamins</v>
      </c>
      <c r="J807" s="97" t="s">
        <v>284</v>
      </c>
      <c r="K807" s="29">
        <v>30</v>
      </c>
      <c r="L807" s="29">
        <v>-26.4</v>
      </c>
      <c r="M807" s="30">
        <f>IFERROR(VLOOKUP($A807,HeadJournal!$A$1:$J$890,COLUMN(HeadJournal!I$1),0)*($K807+$L807)/(SUMIF($A:$A,$A807,$K:$K)+SUMIF($A:$A,$A807,$L:$L)),0)</f>
        <v>-0.32813409059426529</v>
      </c>
      <c r="N807" s="30">
        <f>IFERROR((VLOOKUP($A807,HeadJournal!$A$1:$K$890,COLUMN(HeadJournal!K$1),0)-VLOOKUP($A807,HeadJournal!$A$1:$K$890,COLUMN(HeadJournal!J$1),0))*($K807+$L807)/(SUMIF($A:$A,$A807,$K:$K)+SUMIF($A:$A,$A807,$L:$L)),0)</f>
        <v>0</v>
      </c>
      <c r="O807" s="30">
        <f>IFERROR((VLOOKUP($A807,HeadJournal!$A$1:$L$890,COLUMN(HeadJournal!L$1),0)*($K807+$L807)/(SUMIF($A:$A,$A807,$K:$K)+SUMIF($A:$A,$A807,$L:$L)))/VLOOKUP($A807,HeadJournal!$A$1:$L$890,COLUMN(HeadJournal!H$1),0),0)</f>
        <v>1.8405292145726559</v>
      </c>
      <c r="P807" s="30">
        <f>IFERROR(SUM(K807:O807)*VLOOKUP($A807,HeadJournal!$A$1:$L$890,COLUMN(HeadJournal!H$1),0),0)</f>
        <v>383.42963429837943</v>
      </c>
      <c r="Q807" s="29">
        <v>1700</v>
      </c>
      <c r="R807" s="31">
        <v>44993</v>
      </c>
      <c r="S807" s="31" t="s">
        <v>3121</v>
      </c>
      <c r="T807" s="95" t="str">
        <f t="shared" si="65"/>
        <v>2023 03</v>
      </c>
      <c r="U807" s="32">
        <f t="shared" si="62"/>
        <v>1316.5703657016206</v>
      </c>
      <c r="V807" s="22">
        <f t="shared" si="63"/>
        <v>3.4336687828283101</v>
      </c>
      <c r="X807" s="33"/>
      <c r="Y807" s="33"/>
    </row>
    <row r="808" spans="1:25" x14ac:dyDescent="0.2">
      <c r="A808" s="93" t="s">
        <v>366</v>
      </c>
      <c r="B808" s="94" t="str">
        <f>IFERROR(VLOOKUP($A808,HeadJournal!$A$1:$NTR$890,COLUMN(HeadJournal!B$1),0),"")</f>
        <v>922965619-0</v>
      </c>
      <c r="C808" s="94" t="str">
        <f>IFERROR(VLOOKUP($A808,HeadJournal!$A$1:$NTR$890,COLUMN(HeadJournal!C$1),0),"")</f>
        <v>iHerb_OA CZN6870</v>
      </c>
      <c r="D808" s="125" t="str">
        <f>IFERROR(VLOOKUP($A808,HeadJournal!$A$1:$NTR$890,COLUMN(HeadJournal!D$1),0),"")</f>
        <v>Доставлен</v>
      </c>
      <c r="E808" s="95">
        <f>IFERROR(VLOOKUP($A808,HeadJournal!$A$1:$NTR$890,COLUMN(HeadJournal!G$1),0),"")</f>
        <v>44942</v>
      </c>
      <c r="F808" s="95" t="str">
        <f t="shared" si="64"/>
        <v>2023 01</v>
      </c>
      <c r="G808" s="96" t="s">
        <v>5</v>
      </c>
      <c r="H808" s="160" t="str">
        <f>RIGHT(Journal!$J808,9)</f>
        <v>ULM-01270</v>
      </c>
      <c r="I808" s="96" t="str">
        <f t="shared" si="61"/>
        <v>Ultamins</v>
      </c>
      <c r="J808" s="97" t="s">
        <v>284</v>
      </c>
      <c r="K808" s="29">
        <v>30</v>
      </c>
      <c r="L808" s="29">
        <v>-26.4</v>
      </c>
      <c r="M808" s="30">
        <f>IFERROR(VLOOKUP($A808,HeadJournal!$A$1:$J$890,COLUMN(HeadJournal!I$1),0)*($K808+$L808)/(SUMIF($A:$A,$A808,$K:$K)+SUMIF($A:$A,$A808,$L:$L)),0)</f>
        <v>-0.32813409059426529</v>
      </c>
      <c r="N808" s="30">
        <f>IFERROR((VLOOKUP($A808,HeadJournal!$A$1:$K$890,COLUMN(HeadJournal!K$1),0)-VLOOKUP($A808,HeadJournal!$A$1:$K$890,COLUMN(HeadJournal!J$1),0))*($K808+$L808)/(SUMIF($A:$A,$A808,$K:$K)+SUMIF($A:$A,$A808,$L:$L)),0)</f>
        <v>0</v>
      </c>
      <c r="O808" s="30">
        <f>IFERROR((VLOOKUP($A808,HeadJournal!$A$1:$L$890,COLUMN(HeadJournal!L$1),0)*($K808+$L808)/(SUMIF($A:$A,$A808,$K:$K)+SUMIF($A:$A,$A808,$L:$L)))/VLOOKUP($A808,HeadJournal!$A$1:$L$890,COLUMN(HeadJournal!H$1),0),0)</f>
        <v>1.8405292145726559</v>
      </c>
      <c r="P808" s="30">
        <f>IFERROR(SUM(K808:O808)*VLOOKUP($A808,HeadJournal!$A$1:$L$890,COLUMN(HeadJournal!H$1),0),0)</f>
        <v>383.42963429837943</v>
      </c>
      <c r="Q808" s="29">
        <v>383.43</v>
      </c>
      <c r="R808" s="31">
        <v>44936</v>
      </c>
      <c r="S808" s="31" t="s">
        <v>3121</v>
      </c>
      <c r="T808" s="95" t="str">
        <f t="shared" si="65"/>
        <v>2023 01</v>
      </c>
      <c r="U808" s="32">
        <f t="shared" si="62"/>
        <v>3.65701620580694E-4</v>
      </c>
      <c r="V808" s="22">
        <f t="shared" si="63"/>
        <v>9.5376462294020347E-7</v>
      </c>
      <c r="X808" s="33"/>
      <c r="Y808" s="33"/>
    </row>
    <row r="809" spans="1:25" x14ac:dyDescent="0.2">
      <c r="A809" s="93" t="s">
        <v>366</v>
      </c>
      <c r="B809" s="94" t="str">
        <f>IFERROR(VLOOKUP($A809,HeadJournal!$A$1:$NTR$890,COLUMN(HeadJournal!B$1),0),"")</f>
        <v>922965619-0</v>
      </c>
      <c r="C809" s="94" t="str">
        <f>IFERROR(VLOOKUP($A809,HeadJournal!$A$1:$NTR$890,COLUMN(HeadJournal!C$1),0),"")</f>
        <v>iHerb_OA CZN6870</v>
      </c>
      <c r="D809" s="125" t="str">
        <f>IFERROR(VLOOKUP($A809,HeadJournal!$A$1:$NTR$890,COLUMN(HeadJournal!D$1),0),"")</f>
        <v>Доставлен</v>
      </c>
      <c r="E809" s="95">
        <f>IFERROR(VLOOKUP($A809,HeadJournal!$A$1:$NTR$890,COLUMN(HeadJournal!G$1),0),"")</f>
        <v>44942</v>
      </c>
      <c r="F809" s="95" t="str">
        <f t="shared" si="64"/>
        <v>2023 01</v>
      </c>
      <c r="G809" s="96" t="s">
        <v>5</v>
      </c>
      <c r="H809" s="160" t="str">
        <f>RIGHT(Journal!$J809,9)</f>
        <v>NRT-53098</v>
      </c>
      <c r="I809" s="96" t="str">
        <f t="shared" si="61"/>
        <v>Nature's Bounty</v>
      </c>
      <c r="J809" s="97" t="s">
        <v>370</v>
      </c>
      <c r="K809" s="29">
        <v>11.26</v>
      </c>
      <c r="L809" s="29">
        <v>-6.76</v>
      </c>
      <c r="M809" s="30">
        <f>IFERROR(VLOOKUP($A809,HeadJournal!$A$1:$J$890,COLUMN(HeadJournal!I$1),0)*($K809+$L809)/(SUMIF($A:$A,$A809,$K:$K)+SUMIF($A:$A,$A809,$L:$L)),0)</f>
        <v>-0.41016761324283141</v>
      </c>
      <c r="N809" s="30">
        <f>IFERROR((VLOOKUP($A809,HeadJournal!$A$1:$K$890,COLUMN(HeadJournal!K$1),0)-VLOOKUP($A809,HeadJournal!$A$1:$K$890,COLUMN(HeadJournal!J$1),0))*($K809+$L809)/(SUMIF($A:$A,$A809,$K:$K)+SUMIF($A:$A,$A809,$L:$L)),0)</f>
        <v>0</v>
      </c>
      <c r="O809" s="30">
        <f>IFERROR((VLOOKUP($A809,HeadJournal!$A$1:$L$890,COLUMN(HeadJournal!L$1),0)*($K809+$L809)/(SUMIF($A:$A,$A809,$K:$K)+SUMIF($A:$A,$A809,$L:$L)))/VLOOKUP($A809,HeadJournal!$A$1:$L$890,COLUMN(HeadJournal!H$1),0),0)</f>
        <v>2.300661518215819</v>
      </c>
      <c r="P809" s="30">
        <f>IFERROR(SUM(K809:O809)*VLOOKUP($A809,HeadJournal!$A$1:$L$890,COLUMN(HeadJournal!H$1),0),0)</f>
        <v>479.2870428729741</v>
      </c>
      <c r="Q809" s="29">
        <v>1500</v>
      </c>
      <c r="R809" s="31">
        <v>44987</v>
      </c>
      <c r="S809" s="31" t="s">
        <v>3121</v>
      </c>
      <c r="T809" s="95" t="str">
        <f t="shared" si="65"/>
        <v>2023 03</v>
      </c>
      <c r="U809" s="32">
        <f t="shared" si="62"/>
        <v>1020.7129571270259</v>
      </c>
      <c r="V809" s="22">
        <f t="shared" si="63"/>
        <v>2.1296485525846909</v>
      </c>
      <c r="X809" s="33"/>
      <c r="Y809" s="33"/>
    </row>
    <row r="810" spans="1:25" x14ac:dyDescent="0.2">
      <c r="A810" s="93" t="s">
        <v>371</v>
      </c>
      <c r="B810" s="94">
        <f>IFERROR(VLOOKUP($A810,HeadJournal!$A$1:$NTR$890,COLUMN(HeadJournal!B$1),0),"")</f>
        <v>0</v>
      </c>
      <c r="C810" s="94" t="str">
        <f>IFERROR(VLOOKUP($A810,HeadJournal!$A$1:$NTR$890,COLUMN(HeadJournal!C$1),0),"")</f>
        <v>CoralClub_AV</v>
      </c>
      <c r="D810" s="125" t="str">
        <f>IFERROR(VLOOKUP($A810,HeadJournal!$A$1:$NTR$890,COLUMN(HeadJournal!D$1),0),"")</f>
        <v>Доставлен</v>
      </c>
      <c r="E810" s="95">
        <f>IFERROR(VLOOKUP($A810,HeadJournal!$A$1:$NTR$890,COLUMN(HeadJournal!G$1),0),"")</f>
        <v>44944</v>
      </c>
      <c r="F810" s="95" t="str">
        <f t="shared" si="64"/>
        <v>2023 01</v>
      </c>
      <c r="G810" s="96" t="s">
        <v>5</v>
      </c>
      <c r="H810" s="160" t="str">
        <f>RIGHT(Journal!$J810,9)</f>
        <v>000002150</v>
      </c>
      <c r="I810" s="96" t="str">
        <f t="shared" si="61"/>
        <v>CoralClub</v>
      </c>
      <c r="J810" s="97" t="s">
        <v>307</v>
      </c>
      <c r="K810" s="29">
        <v>1280</v>
      </c>
      <c r="L810" s="29"/>
      <c r="M810" s="30">
        <f>IFERROR(VLOOKUP($A810,HeadJournal!$A$1:$J$890,COLUMN(HeadJournal!I$1),0)*($K810+$L810)/(SUMIF($A:$A,$A810,$K:$K)+SUMIF($A:$A,$A810,$L:$L)),0)</f>
        <v>0</v>
      </c>
      <c r="N810" s="30">
        <f>IFERROR((VLOOKUP($A810,HeadJournal!$A$1:$K$890,COLUMN(HeadJournal!K$1),0)-VLOOKUP($A810,HeadJournal!$A$1:$K$890,COLUMN(HeadJournal!J$1),0))*($K810+$L810)/(SUMIF($A:$A,$A810,$K:$K)+SUMIF($A:$A,$A810,$L:$L)),0)</f>
        <v>3.0188679245283021</v>
      </c>
      <c r="O810" s="30">
        <f>IFERROR((VLOOKUP($A810,HeadJournal!$A$1:$L$890,COLUMN(HeadJournal!L$1),0)*($K810+$L810)/(SUMIF($A:$A,$A810,$K:$K)+SUMIF($A:$A,$A810,$L:$L)))/VLOOKUP($A810,HeadJournal!$A$1:$L$890,COLUMN(HeadJournal!H$1),0),0)</f>
        <v>0</v>
      </c>
      <c r="P810" s="30">
        <f>IFERROR(SUM(K810:O810)*VLOOKUP($A810,HeadJournal!$A$1:$L$890,COLUMN(HeadJournal!H$1),0),0)</f>
        <v>1283.0188679245282</v>
      </c>
      <c r="Q810" s="29">
        <v>1600</v>
      </c>
      <c r="R810" s="31">
        <v>44944</v>
      </c>
      <c r="S810" s="31" t="s">
        <v>3121</v>
      </c>
      <c r="T810" s="95" t="str">
        <f t="shared" si="65"/>
        <v>2023 01</v>
      </c>
      <c r="U810" s="32">
        <f t="shared" si="62"/>
        <v>316.98113207547181</v>
      </c>
      <c r="V810" s="22">
        <f t="shared" si="63"/>
        <v>0.24705882352941186</v>
      </c>
      <c r="X810" s="33"/>
      <c r="Y810" s="33"/>
    </row>
    <row r="811" spans="1:25" x14ac:dyDescent="0.2">
      <c r="A811" s="93" t="s">
        <v>371</v>
      </c>
      <c r="B811" s="94">
        <f>IFERROR(VLOOKUP($A811,HeadJournal!$A$1:$NTR$890,COLUMN(HeadJournal!B$1),0),"")</f>
        <v>0</v>
      </c>
      <c r="C811" s="94" t="str">
        <f>IFERROR(VLOOKUP($A811,HeadJournal!$A$1:$NTR$890,COLUMN(HeadJournal!C$1),0),"")</f>
        <v>CoralClub_AV</v>
      </c>
      <c r="D811" s="125" t="str">
        <f>IFERROR(VLOOKUP($A811,HeadJournal!$A$1:$NTR$890,COLUMN(HeadJournal!D$1),0),"")</f>
        <v>Доставлен</v>
      </c>
      <c r="E811" s="95">
        <f>IFERROR(VLOOKUP($A811,HeadJournal!$A$1:$NTR$890,COLUMN(HeadJournal!G$1),0),"")</f>
        <v>44944</v>
      </c>
      <c r="F811" s="95" t="str">
        <f t="shared" si="64"/>
        <v>2023 01</v>
      </c>
      <c r="G811" s="96" t="s">
        <v>5</v>
      </c>
      <c r="H811" s="160" t="str">
        <f>RIGHT(Journal!$J811,9)</f>
        <v>000002150</v>
      </c>
      <c r="I811" s="96" t="str">
        <f t="shared" si="61"/>
        <v>CoralClub</v>
      </c>
      <c r="J811" s="97" t="s">
        <v>307</v>
      </c>
      <c r="K811" s="29">
        <v>1280</v>
      </c>
      <c r="L811" s="29"/>
      <c r="M811" s="30">
        <f>IFERROR(VLOOKUP($A811,HeadJournal!$A$1:$J$890,COLUMN(HeadJournal!I$1),0)*($K811+$L811)/(SUMIF($A:$A,$A811,$K:$K)+SUMIF($A:$A,$A811,$L:$L)),0)</f>
        <v>0</v>
      </c>
      <c r="N811" s="30">
        <f>IFERROR((VLOOKUP($A811,HeadJournal!$A$1:$K$890,COLUMN(HeadJournal!K$1),0)-VLOOKUP($A811,HeadJournal!$A$1:$K$890,COLUMN(HeadJournal!J$1),0))*($K811+$L811)/(SUMIF($A:$A,$A811,$K:$K)+SUMIF($A:$A,$A811,$L:$L)),0)</f>
        <v>3.0188679245283021</v>
      </c>
      <c r="O811" s="30">
        <f>IFERROR((VLOOKUP($A811,HeadJournal!$A$1:$L$890,COLUMN(HeadJournal!L$1),0)*($K811+$L811)/(SUMIF($A:$A,$A811,$K:$K)+SUMIF($A:$A,$A811,$L:$L)))/VLOOKUP($A811,HeadJournal!$A$1:$L$890,COLUMN(HeadJournal!H$1),0),0)</f>
        <v>0</v>
      </c>
      <c r="P811" s="30">
        <f>IFERROR(SUM(K811:O811)*VLOOKUP($A811,HeadJournal!$A$1:$L$890,COLUMN(HeadJournal!H$1),0),0)</f>
        <v>1283.0188679245282</v>
      </c>
      <c r="Q811" s="29">
        <v>1600</v>
      </c>
      <c r="R811" s="31">
        <v>44965</v>
      </c>
      <c r="S811" s="31" t="s">
        <v>3121</v>
      </c>
      <c r="T811" s="95" t="str">
        <f t="shared" si="65"/>
        <v>2023 02</v>
      </c>
      <c r="U811" s="32">
        <f t="shared" si="62"/>
        <v>316.98113207547181</v>
      </c>
      <c r="V811" s="22">
        <f t="shared" si="63"/>
        <v>0.24705882352941186</v>
      </c>
      <c r="X811" s="33"/>
      <c r="Y811" s="33"/>
    </row>
    <row r="812" spans="1:25" x14ac:dyDescent="0.2">
      <c r="A812" s="93" t="s">
        <v>371</v>
      </c>
      <c r="B812" s="94">
        <f>IFERROR(VLOOKUP($A812,HeadJournal!$A$1:$NTR$890,COLUMN(HeadJournal!B$1),0),"")</f>
        <v>0</v>
      </c>
      <c r="C812" s="94" t="str">
        <f>IFERROR(VLOOKUP($A812,HeadJournal!$A$1:$NTR$890,COLUMN(HeadJournal!C$1),0),"")</f>
        <v>CoralClub_AV</v>
      </c>
      <c r="D812" s="125" t="str">
        <f>IFERROR(VLOOKUP($A812,HeadJournal!$A$1:$NTR$890,COLUMN(HeadJournal!D$1),0),"")</f>
        <v>Доставлен</v>
      </c>
      <c r="E812" s="95">
        <f>IFERROR(VLOOKUP($A812,HeadJournal!$A$1:$NTR$890,COLUMN(HeadJournal!G$1),0),"")</f>
        <v>44944</v>
      </c>
      <c r="F812" s="95" t="str">
        <f t="shared" si="64"/>
        <v>2023 01</v>
      </c>
      <c r="G812" s="96" t="s">
        <v>5</v>
      </c>
      <c r="H812" s="160" t="str">
        <f>RIGHT(Journal!$J812,9)</f>
        <v>000001405</v>
      </c>
      <c r="I812" s="96" t="str">
        <f t="shared" si="61"/>
        <v>CoralClub</v>
      </c>
      <c r="J812" s="97" t="s">
        <v>249</v>
      </c>
      <c r="K812" s="29">
        <v>832</v>
      </c>
      <c r="L812" s="29"/>
      <c r="M812" s="30">
        <f>IFERROR(VLOOKUP($A812,HeadJournal!$A$1:$J$890,COLUMN(HeadJournal!I$1),0)*($K812+$L812)/(SUMIF($A:$A,$A812,$K:$K)+SUMIF($A:$A,$A812,$L:$L)),0)</f>
        <v>0</v>
      </c>
      <c r="N812" s="30">
        <f>IFERROR((VLOOKUP($A812,HeadJournal!$A$1:$K$890,COLUMN(HeadJournal!K$1),0)-VLOOKUP($A812,HeadJournal!$A$1:$K$890,COLUMN(HeadJournal!J$1),0))*($K812+$L812)/(SUMIF($A:$A,$A812,$K:$K)+SUMIF($A:$A,$A812,$L:$L)),0)</f>
        <v>1.9622641509433962</v>
      </c>
      <c r="O812" s="30">
        <f>IFERROR((VLOOKUP($A812,HeadJournal!$A$1:$L$890,COLUMN(HeadJournal!L$1),0)*($K812+$L812)/(SUMIF($A:$A,$A812,$K:$K)+SUMIF($A:$A,$A812,$L:$L)))/VLOOKUP($A812,HeadJournal!$A$1:$L$890,COLUMN(HeadJournal!H$1),0),0)</f>
        <v>0</v>
      </c>
      <c r="P812" s="30">
        <f>IFERROR(SUM(K812:O812)*VLOOKUP($A812,HeadJournal!$A$1:$L$890,COLUMN(HeadJournal!H$1),0),0)</f>
        <v>833.96226415094338</v>
      </c>
      <c r="Q812" s="29">
        <v>1200</v>
      </c>
      <c r="R812" s="31">
        <v>44968</v>
      </c>
      <c r="S812" s="31" t="s">
        <v>3121</v>
      </c>
      <c r="T812" s="95" t="str">
        <f t="shared" si="65"/>
        <v>2023 02</v>
      </c>
      <c r="U812" s="32">
        <f t="shared" si="62"/>
        <v>366.03773584905662</v>
      </c>
      <c r="V812" s="22">
        <f t="shared" si="63"/>
        <v>0.43891402714932126</v>
      </c>
      <c r="X812" s="33"/>
      <c r="Y812" s="33"/>
    </row>
    <row r="813" spans="1:25" x14ac:dyDescent="0.2">
      <c r="A813" s="93" t="s">
        <v>372</v>
      </c>
      <c r="B813" s="94">
        <f>IFERROR(VLOOKUP($A813,HeadJournal!$A$1:$NTR$890,COLUMN(HeadJournal!B$1),0),"")</f>
        <v>0</v>
      </c>
      <c r="C813" s="94" t="str">
        <f>IFERROR(VLOOKUP($A813,HeadJournal!$A$1:$NTR$890,COLUMN(HeadJournal!C$1),0),"")</f>
        <v>Roman</v>
      </c>
      <c r="D813" s="125" t="str">
        <f>IFERROR(VLOOKUP($A813,HeadJournal!$A$1:$NTR$890,COLUMN(HeadJournal!D$1),0),"")</f>
        <v>Доставлен</v>
      </c>
      <c r="E813" s="95">
        <f>IFERROR(VLOOKUP($A813,HeadJournal!$A$1:$NTR$890,COLUMN(HeadJournal!G$1),0),"")</f>
        <v>44944</v>
      </c>
      <c r="F813" s="95" t="str">
        <f t="shared" si="64"/>
        <v>2023 01</v>
      </c>
      <c r="G813" s="96" t="s">
        <v>5</v>
      </c>
      <c r="H813" s="161" t="s">
        <v>2051</v>
      </c>
      <c r="I813" s="97" t="s">
        <v>2052</v>
      </c>
      <c r="J813" s="97" t="s">
        <v>3097</v>
      </c>
      <c r="K813" s="29">
        <v>914.2</v>
      </c>
      <c r="L813" s="29"/>
      <c r="M813" s="30">
        <f>IFERROR(VLOOKUP($A813,HeadJournal!$A$1:$J$890,COLUMN(HeadJournal!I$1),0)*($K813+$L813)/(SUMIF($A:$A,$A813,$K:$K)+SUMIF($A:$A,$A813,$L:$L)),0)</f>
        <v>0</v>
      </c>
      <c r="N813" s="30">
        <f>IFERROR((VLOOKUP($A813,HeadJournal!$A$1:$K$890,COLUMN(HeadJournal!K$1),0)-VLOOKUP($A813,HeadJournal!$A$1:$K$890,COLUMN(HeadJournal!J$1),0))*($K813+$L813)/(SUMIF($A:$A,$A813,$K:$K)+SUMIF($A:$A,$A813,$L:$L)),0)</f>
        <v>0.11082555461274754</v>
      </c>
      <c r="O813" s="30">
        <f>IFERROR((VLOOKUP($A813,HeadJournal!$A$1:$L$890,COLUMN(HeadJournal!L$1),0)*($K813+$L813)/(SUMIF($A:$A,$A813,$K:$K)+SUMIF($A:$A,$A813,$L:$L)))/VLOOKUP($A813,HeadJournal!$A$1:$L$890,COLUMN(HeadJournal!H$1),0),0)</f>
        <v>0</v>
      </c>
      <c r="P813" s="30">
        <f>IFERROR(SUM(K813:O813)*VLOOKUP($A813,HeadJournal!$A$1:$L$890,COLUMN(HeadJournal!H$1),0),0)</f>
        <v>914.31082555461285</v>
      </c>
      <c r="Q813" s="29">
        <v>2200</v>
      </c>
      <c r="R813" s="31">
        <v>45026</v>
      </c>
      <c r="S813" s="31" t="s">
        <v>3121</v>
      </c>
      <c r="T813" s="95" t="str">
        <f t="shared" si="65"/>
        <v>2023 04</v>
      </c>
      <c r="U813" s="32">
        <f t="shared" si="62"/>
        <v>1285.6891744453872</v>
      </c>
      <c r="V813" s="22">
        <f t="shared" si="63"/>
        <v>1.4061839130751836</v>
      </c>
      <c r="X813" s="33"/>
      <c r="Y813" s="33"/>
    </row>
    <row r="814" spans="1:25" x14ac:dyDescent="0.2">
      <c r="A814" s="93" t="s">
        <v>372</v>
      </c>
      <c r="B814" s="94">
        <f>IFERROR(VLOOKUP($A814,HeadJournal!$A$1:$NTR$890,COLUMN(HeadJournal!B$1),0),"")</f>
        <v>0</v>
      </c>
      <c r="C814" s="94" t="str">
        <f>IFERROR(VLOOKUP($A814,HeadJournal!$A$1:$NTR$890,COLUMN(HeadJournal!C$1),0),"")</f>
        <v>Roman</v>
      </c>
      <c r="D814" s="125" t="str">
        <f>IFERROR(VLOOKUP($A814,HeadJournal!$A$1:$NTR$890,COLUMN(HeadJournal!D$1),0),"")</f>
        <v>Доставлен</v>
      </c>
      <c r="E814" s="95">
        <f>IFERROR(VLOOKUP($A814,HeadJournal!$A$1:$NTR$890,COLUMN(HeadJournal!G$1),0),"")</f>
        <v>44944</v>
      </c>
      <c r="F814" s="95" t="str">
        <f t="shared" si="64"/>
        <v>2023 01</v>
      </c>
      <c r="G814" s="96" t="s">
        <v>5</v>
      </c>
      <c r="H814" s="161" t="s">
        <v>2051</v>
      </c>
      <c r="I814" s="97" t="s">
        <v>2052</v>
      </c>
      <c r="J814" s="97" t="s">
        <v>3097</v>
      </c>
      <c r="K814" s="29">
        <v>914.2</v>
      </c>
      <c r="L814" s="29"/>
      <c r="M814" s="30">
        <f>IFERROR(VLOOKUP($A814,HeadJournal!$A$1:$J$890,COLUMN(HeadJournal!I$1),0)*($K814+$L814)/(SUMIF($A:$A,$A814,$K:$K)+SUMIF($A:$A,$A814,$L:$L)),0)</f>
        <v>0</v>
      </c>
      <c r="N814" s="30">
        <f>IFERROR((VLOOKUP($A814,HeadJournal!$A$1:$K$890,COLUMN(HeadJournal!K$1),0)-VLOOKUP($A814,HeadJournal!$A$1:$K$890,COLUMN(HeadJournal!J$1),0))*($K814+$L814)/(SUMIF($A:$A,$A814,$K:$K)+SUMIF($A:$A,$A814,$L:$L)),0)</f>
        <v>0.11082555461274754</v>
      </c>
      <c r="O814" s="30">
        <f>IFERROR((VLOOKUP($A814,HeadJournal!$A$1:$L$890,COLUMN(HeadJournal!L$1),0)*($K814+$L814)/(SUMIF($A:$A,$A814,$K:$K)+SUMIF($A:$A,$A814,$L:$L)))/VLOOKUP($A814,HeadJournal!$A$1:$L$890,COLUMN(HeadJournal!H$1),0),0)</f>
        <v>0</v>
      </c>
      <c r="P814" s="30">
        <f>IFERROR(SUM(K814:O814)*VLOOKUP($A814,HeadJournal!$A$1:$L$890,COLUMN(HeadJournal!H$1),0),0)</f>
        <v>914.31082555461285</v>
      </c>
      <c r="Q814" s="29">
        <v>2200</v>
      </c>
      <c r="R814" s="31">
        <v>45029</v>
      </c>
      <c r="S814" s="31" t="s">
        <v>3121</v>
      </c>
      <c r="T814" s="95" t="str">
        <f t="shared" si="65"/>
        <v>2023 04</v>
      </c>
      <c r="U814" s="32">
        <f t="shared" si="62"/>
        <v>1285.6891744453872</v>
      </c>
      <c r="V814" s="22">
        <f t="shared" si="63"/>
        <v>1.4061839130751836</v>
      </c>
      <c r="X814" s="33"/>
      <c r="Y814" s="33"/>
    </row>
    <row r="815" spans="1:25" x14ac:dyDescent="0.2">
      <c r="A815" s="93" t="s">
        <v>372</v>
      </c>
      <c r="B815" s="94">
        <f>IFERROR(VLOOKUP($A815,HeadJournal!$A$1:$NTR$890,COLUMN(HeadJournal!B$1),0),"")</f>
        <v>0</v>
      </c>
      <c r="C815" s="94" t="str">
        <f>IFERROR(VLOOKUP($A815,HeadJournal!$A$1:$NTR$890,COLUMN(HeadJournal!C$1),0),"")</f>
        <v>Roman</v>
      </c>
      <c r="D815" s="125" t="str">
        <f>IFERROR(VLOOKUP($A815,HeadJournal!$A$1:$NTR$890,COLUMN(HeadJournal!D$1),0),"")</f>
        <v>Доставлен</v>
      </c>
      <c r="E815" s="95">
        <f>IFERROR(VLOOKUP($A815,HeadJournal!$A$1:$NTR$890,COLUMN(HeadJournal!G$1),0),"")</f>
        <v>44944</v>
      </c>
      <c r="F815" s="95" t="str">
        <f t="shared" si="64"/>
        <v>2023 01</v>
      </c>
      <c r="G815" s="96" t="s">
        <v>5</v>
      </c>
      <c r="H815" s="161" t="s">
        <v>2051</v>
      </c>
      <c r="I815" s="97" t="s">
        <v>2052</v>
      </c>
      <c r="J815" s="97" t="s">
        <v>3097</v>
      </c>
      <c r="K815" s="29">
        <v>914.2</v>
      </c>
      <c r="L815" s="29"/>
      <c r="M815" s="30">
        <f>IFERROR(VLOOKUP($A815,HeadJournal!$A$1:$J$890,COLUMN(HeadJournal!I$1),0)*($K815+$L815)/(SUMIF($A:$A,$A815,$K:$K)+SUMIF($A:$A,$A815,$L:$L)),0)</f>
        <v>0</v>
      </c>
      <c r="N815" s="30">
        <f>IFERROR((VLOOKUP($A815,HeadJournal!$A$1:$K$890,COLUMN(HeadJournal!K$1),0)-VLOOKUP($A815,HeadJournal!$A$1:$K$890,COLUMN(HeadJournal!J$1),0))*($K815+$L815)/(SUMIF($A:$A,$A815,$K:$K)+SUMIF($A:$A,$A815,$L:$L)),0)</f>
        <v>0.11082555461274754</v>
      </c>
      <c r="O815" s="30">
        <f>IFERROR((VLOOKUP($A815,HeadJournal!$A$1:$L$890,COLUMN(HeadJournal!L$1),0)*($K815+$L815)/(SUMIF($A:$A,$A815,$K:$K)+SUMIF($A:$A,$A815,$L:$L)))/VLOOKUP($A815,HeadJournal!$A$1:$L$890,COLUMN(HeadJournal!H$1),0),0)</f>
        <v>0</v>
      </c>
      <c r="P815" s="30">
        <f>IFERROR(SUM(K815:O815)*VLOOKUP($A815,HeadJournal!$A$1:$L$890,COLUMN(HeadJournal!H$1),0),0)</f>
        <v>914.31082555461285</v>
      </c>
      <c r="Q815" s="29">
        <v>2200</v>
      </c>
      <c r="R815" s="31">
        <v>45030</v>
      </c>
      <c r="S815" s="31" t="s">
        <v>3121</v>
      </c>
      <c r="T815" s="95" t="str">
        <f t="shared" si="65"/>
        <v>2023 04</v>
      </c>
      <c r="U815" s="32">
        <f t="shared" si="62"/>
        <v>1285.6891744453872</v>
      </c>
      <c r="V815" s="22">
        <f t="shared" si="63"/>
        <v>1.4061839130751836</v>
      </c>
      <c r="X815" s="33"/>
      <c r="Y815" s="33"/>
    </row>
    <row r="816" spans="1:25" x14ac:dyDescent="0.2">
      <c r="A816" s="93" t="s">
        <v>372</v>
      </c>
      <c r="B816" s="94">
        <f>IFERROR(VLOOKUP($A816,HeadJournal!$A$1:$NTR$890,COLUMN(HeadJournal!B$1),0),"")</f>
        <v>0</v>
      </c>
      <c r="C816" s="94" t="str">
        <f>IFERROR(VLOOKUP($A816,HeadJournal!$A$1:$NTR$890,COLUMN(HeadJournal!C$1),0),"")</f>
        <v>Roman</v>
      </c>
      <c r="D816" s="125" t="str">
        <f>IFERROR(VLOOKUP($A816,HeadJournal!$A$1:$NTR$890,COLUMN(HeadJournal!D$1),0),"")</f>
        <v>Доставлен</v>
      </c>
      <c r="E816" s="95">
        <f>IFERROR(VLOOKUP($A816,HeadJournal!$A$1:$NTR$890,COLUMN(HeadJournal!G$1),0),"")</f>
        <v>44944</v>
      </c>
      <c r="F816" s="95" t="str">
        <f t="shared" si="64"/>
        <v>2023 01</v>
      </c>
      <c r="G816" s="96" t="s">
        <v>5</v>
      </c>
      <c r="H816" s="161" t="s">
        <v>2051</v>
      </c>
      <c r="I816" s="97" t="s">
        <v>2052</v>
      </c>
      <c r="J816" s="97" t="s">
        <v>3097</v>
      </c>
      <c r="K816" s="29">
        <v>914.2</v>
      </c>
      <c r="L816" s="29"/>
      <c r="M816" s="30">
        <f>IFERROR(VLOOKUP($A816,HeadJournal!$A$1:$J$890,COLUMN(HeadJournal!I$1),0)*($K816+$L816)/(SUMIF($A:$A,$A816,$K:$K)+SUMIF($A:$A,$A816,$L:$L)),0)</f>
        <v>0</v>
      </c>
      <c r="N816" s="30">
        <f>IFERROR((VLOOKUP($A816,HeadJournal!$A$1:$K$890,COLUMN(HeadJournal!K$1),0)-VLOOKUP($A816,HeadJournal!$A$1:$K$890,COLUMN(HeadJournal!J$1),0))*($K816+$L816)/(SUMIF($A:$A,$A816,$K:$K)+SUMIF($A:$A,$A816,$L:$L)),0)</f>
        <v>0.11082555461274754</v>
      </c>
      <c r="O816" s="30">
        <f>IFERROR((VLOOKUP($A816,HeadJournal!$A$1:$L$890,COLUMN(HeadJournal!L$1),0)*($K816+$L816)/(SUMIF($A:$A,$A816,$K:$K)+SUMIF($A:$A,$A816,$L:$L)))/VLOOKUP($A816,HeadJournal!$A$1:$L$890,COLUMN(HeadJournal!H$1),0),0)</f>
        <v>0</v>
      </c>
      <c r="P816" s="30">
        <f>IFERROR(SUM(K816:O816)*VLOOKUP($A816,HeadJournal!$A$1:$L$890,COLUMN(HeadJournal!H$1),0),0)</f>
        <v>914.31082555461285</v>
      </c>
      <c r="Q816" s="29">
        <v>2200</v>
      </c>
      <c r="R816" s="31">
        <v>45035</v>
      </c>
      <c r="S816" s="31" t="s">
        <v>3121</v>
      </c>
      <c r="T816" s="95" t="str">
        <f t="shared" si="65"/>
        <v>2023 04</v>
      </c>
      <c r="U816" s="32">
        <f t="shared" si="62"/>
        <v>1285.6891744453872</v>
      </c>
      <c r="V816" s="22">
        <f t="shared" si="63"/>
        <v>1.4061839130751836</v>
      </c>
      <c r="X816" s="33"/>
      <c r="Y816" s="33"/>
    </row>
    <row r="817" spans="1:25" x14ac:dyDescent="0.2">
      <c r="A817" s="93" t="s">
        <v>372</v>
      </c>
      <c r="B817" s="94">
        <f>IFERROR(VLOOKUP($A817,HeadJournal!$A$1:$NTR$890,COLUMN(HeadJournal!B$1),0),"")</f>
        <v>0</v>
      </c>
      <c r="C817" s="94" t="str">
        <f>IFERROR(VLOOKUP($A817,HeadJournal!$A$1:$NTR$890,COLUMN(HeadJournal!C$1),0),"")</f>
        <v>Roman</v>
      </c>
      <c r="D817" s="125" t="str">
        <f>IFERROR(VLOOKUP($A817,HeadJournal!$A$1:$NTR$890,COLUMN(HeadJournal!D$1),0),"")</f>
        <v>Доставлен</v>
      </c>
      <c r="E817" s="95">
        <f>IFERROR(VLOOKUP($A817,HeadJournal!$A$1:$NTR$890,COLUMN(HeadJournal!G$1),0),"")</f>
        <v>44944</v>
      </c>
      <c r="F817" s="95" t="str">
        <f t="shared" si="64"/>
        <v>2023 01</v>
      </c>
      <c r="G817" s="96" t="s">
        <v>5</v>
      </c>
      <c r="H817" s="161" t="s">
        <v>2051</v>
      </c>
      <c r="I817" s="97" t="s">
        <v>2052</v>
      </c>
      <c r="J817" s="97" t="s">
        <v>3097</v>
      </c>
      <c r="K817" s="29">
        <v>914.2</v>
      </c>
      <c r="L817" s="29"/>
      <c r="M817" s="30">
        <f>IFERROR(VLOOKUP($A817,HeadJournal!$A$1:$J$890,COLUMN(HeadJournal!I$1),0)*($K817+$L817)/(SUMIF($A:$A,$A817,$K:$K)+SUMIF($A:$A,$A817,$L:$L)),0)</f>
        <v>0</v>
      </c>
      <c r="N817" s="30">
        <f>IFERROR((VLOOKUP($A817,HeadJournal!$A$1:$K$890,COLUMN(HeadJournal!K$1),0)-VLOOKUP($A817,HeadJournal!$A$1:$K$890,COLUMN(HeadJournal!J$1),0))*($K817+$L817)/(SUMIF($A:$A,$A817,$K:$K)+SUMIF($A:$A,$A817,$L:$L)),0)</f>
        <v>0.11082555461274754</v>
      </c>
      <c r="O817" s="30">
        <f>IFERROR((VLOOKUP($A817,HeadJournal!$A$1:$L$890,COLUMN(HeadJournal!L$1),0)*($K817+$L817)/(SUMIF($A:$A,$A817,$K:$K)+SUMIF($A:$A,$A817,$L:$L)))/VLOOKUP($A817,HeadJournal!$A$1:$L$890,COLUMN(HeadJournal!H$1),0),0)</f>
        <v>0</v>
      </c>
      <c r="P817" s="30">
        <f>IFERROR(SUM(K817:O817)*VLOOKUP($A817,HeadJournal!$A$1:$L$890,COLUMN(HeadJournal!H$1),0),0)</f>
        <v>914.31082555461285</v>
      </c>
      <c r="Q817" s="29">
        <v>2300</v>
      </c>
      <c r="R817" s="31">
        <v>45035</v>
      </c>
      <c r="S817" s="31" t="s">
        <v>3121</v>
      </c>
      <c r="T817" s="95" t="str">
        <f t="shared" si="65"/>
        <v>2023 04</v>
      </c>
      <c r="U817" s="32">
        <f t="shared" si="62"/>
        <v>1385.6891744453872</v>
      </c>
      <c r="V817" s="22">
        <f t="shared" si="63"/>
        <v>1.5155559091240556</v>
      </c>
      <c r="X817" s="33"/>
      <c r="Y817" s="33"/>
    </row>
    <row r="818" spans="1:25" x14ac:dyDescent="0.2">
      <c r="A818" s="93" t="s">
        <v>372</v>
      </c>
      <c r="B818" s="94">
        <f>IFERROR(VLOOKUP($A818,HeadJournal!$A$1:$NTR$890,COLUMN(HeadJournal!B$1),0),"")</f>
        <v>0</v>
      </c>
      <c r="C818" s="94" t="str">
        <f>IFERROR(VLOOKUP($A818,HeadJournal!$A$1:$NTR$890,COLUMN(HeadJournal!C$1),0),"")</f>
        <v>Roman</v>
      </c>
      <c r="D818" s="125" t="str">
        <f>IFERROR(VLOOKUP($A818,HeadJournal!$A$1:$NTR$890,COLUMN(HeadJournal!D$1),0),"")</f>
        <v>Доставлен</v>
      </c>
      <c r="E818" s="95">
        <f>IFERROR(VLOOKUP($A818,HeadJournal!$A$1:$NTR$890,COLUMN(HeadJournal!G$1),0),"")</f>
        <v>44944</v>
      </c>
      <c r="F818" s="95" t="str">
        <f t="shared" si="64"/>
        <v>2023 01</v>
      </c>
      <c r="G818" s="96" t="s">
        <v>5</v>
      </c>
      <c r="H818" s="161" t="s">
        <v>3573</v>
      </c>
      <c r="I818" s="97" t="s">
        <v>2052</v>
      </c>
      <c r="J818" s="97" t="s">
        <v>3574</v>
      </c>
      <c r="K818" s="29">
        <v>753.2</v>
      </c>
      <c r="L818" s="29"/>
      <c r="M818" s="30">
        <f>IFERROR(VLOOKUP($A818,HeadJournal!$A$1:$J$890,COLUMN(HeadJournal!I$1),0)*($K818+$L818)/(SUMIF($A:$A,$A818,$K:$K)+SUMIF($A:$A,$A818,$L:$L)),0)</f>
        <v>0</v>
      </c>
      <c r="N818" s="30">
        <f>IFERROR((VLOOKUP($A818,HeadJournal!$A$1:$K$890,COLUMN(HeadJournal!K$1),0)-VLOOKUP($A818,HeadJournal!$A$1:$K$890,COLUMN(HeadJournal!J$1),0))*($K818+$L818)/(SUMIF($A:$A,$A818,$K:$K)+SUMIF($A:$A,$A818,$L:$L)),0)</f>
        <v>9.130803733791451E-2</v>
      </c>
      <c r="O818" s="30">
        <f>IFERROR((VLOOKUP($A818,HeadJournal!$A$1:$L$890,COLUMN(HeadJournal!L$1),0)*($K818+$L818)/(SUMIF($A:$A,$A818,$K:$K)+SUMIF($A:$A,$A818,$L:$L)))/VLOOKUP($A818,HeadJournal!$A$1:$L$890,COLUMN(HeadJournal!H$1),0),0)</f>
        <v>0</v>
      </c>
      <c r="P818" s="30">
        <f>IFERROR(SUM(K818:O818)*VLOOKUP($A818,HeadJournal!$A$1:$L$890,COLUMN(HeadJournal!H$1),0),0)</f>
        <v>753.29130803733801</v>
      </c>
      <c r="Q818" s="29">
        <v>2200</v>
      </c>
      <c r="R818" s="31">
        <v>44945</v>
      </c>
      <c r="S818" s="31" t="s">
        <v>3121</v>
      </c>
      <c r="T818" s="95" t="str">
        <f t="shared" si="65"/>
        <v>2023 01</v>
      </c>
      <c r="U818" s="32">
        <f t="shared" si="62"/>
        <v>1446.708691962662</v>
      </c>
      <c r="V818" s="22">
        <f t="shared" si="63"/>
        <v>1.9205169056470166</v>
      </c>
      <c r="X818" s="33"/>
      <c r="Y818" s="33"/>
    </row>
    <row r="819" spans="1:25" x14ac:dyDescent="0.2">
      <c r="A819" s="93" t="s">
        <v>372</v>
      </c>
      <c r="B819" s="94">
        <f>IFERROR(VLOOKUP($A819,HeadJournal!$A$1:$NTR$890,COLUMN(HeadJournal!B$1),0),"")</f>
        <v>0</v>
      </c>
      <c r="C819" s="94" t="str">
        <f>IFERROR(VLOOKUP($A819,HeadJournal!$A$1:$NTR$890,COLUMN(HeadJournal!C$1),0),"")</f>
        <v>Roman</v>
      </c>
      <c r="D819" s="125" t="str">
        <f>IFERROR(VLOOKUP($A819,HeadJournal!$A$1:$NTR$890,COLUMN(HeadJournal!D$1),0),"")</f>
        <v>Доставлен</v>
      </c>
      <c r="E819" s="95">
        <f>IFERROR(VLOOKUP($A819,HeadJournal!$A$1:$NTR$890,COLUMN(HeadJournal!G$1),0),"")</f>
        <v>44944</v>
      </c>
      <c r="F819" s="95" t="str">
        <f t="shared" si="64"/>
        <v>2023 01</v>
      </c>
      <c r="G819" s="96" t="s">
        <v>5</v>
      </c>
      <c r="H819" s="161" t="s">
        <v>3573</v>
      </c>
      <c r="I819" s="97" t="s">
        <v>2052</v>
      </c>
      <c r="J819" s="97" t="s">
        <v>3574</v>
      </c>
      <c r="K819" s="29">
        <v>753.2</v>
      </c>
      <c r="L819" s="29"/>
      <c r="M819" s="30">
        <f>IFERROR(VLOOKUP($A819,HeadJournal!$A$1:$J$890,COLUMN(HeadJournal!I$1),0)*($K819+$L819)/(SUMIF($A:$A,$A819,$K:$K)+SUMIF($A:$A,$A819,$L:$L)),0)</f>
        <v>0</v>
      </c>
      <c r="N819" s="30">
        <f>IFERROR((VLOOKUP($A819,HeadJournal!$A$1:$K$890,COLUMN(HeadJournal!K$1),0)-VLOOKUP($A819,HeadJournal!$A$1:$K$890,COLUMN(HeadJournal!J$1),0))*($K819+$L819)/(SUMIF($A:$A,$A819,$K:$K)+SUMIF($A:$A,$A819,$L:$L)),0)</f>
        <v>9.130803733791451E-2</v>
      </c>
      <c r="O819" s="30">
        <f>IFERROR((VLOOKUP($A819,HeadJournal!$A$1:$L$890,COLUMN(HeadJournal!L$1),0)*($K819+$L819)/(SUMIF($A:$A,$A819,$K:$K)+SUMIF($A:$A,$A819,$L:$L)))/VLOOKUP($A819,HeadJournal!$A$1:$L$890,COLUMN(HeadJournal!H$1),0),0)</f>
        <v>0</v>
      </c>
      <c r="P819" s="30">
        <f>IFERROR(SUM(K819:O819)*VLOOKUP($A819,HeadJournal!$A$1:$L$890,COLUMN(HeadJournal!H$1),0),0)</f>
        <v>753.29130803733801</v>
      </c>
      <c r="Q819" s="29">
        <v>2000</v>
      </c>
      <c r="R819" s="31">
        <v>44987</v>
      </c>
      <c r="S819" s="31" t="s">
        <v>3121</v>
      </c>
      <c r="T819" s="95" t="str">
        <f t="shared" si="65"/>
        <v>2023 03</v>
      </c>
      <c r="U819" s="32">
        <f t="shared" si="62"/>
        <v>1246.708691962662</v>
      </c>
      <c r="V819" s="22">
        <f t="shared" si="63"/>
        <v>1.6550153687700151</v>
      </c>
      <c r="X819" s="33"/>
      <c r="Y819" s="33"/>
    </row>
    <row r="820" spans="1:25" x14ac:dyDescent="0.2">
      <c r="A820" s="93" t="s">
        <v>372</v>
      </c>
      <c r="B820" s="94">
        <f>IFERROR(VLOOKUP($A820,HeadJournal!$A$1:$NTR$890,COLUMN(HeadJournal!B$1),0),"")</f>
        <v>0</v>
      </c>
      <c r="C820" s="94" t="str">
        <f>IFERROR(VLOOKUP($A820,HeadJournal!$A$1:$NTR$890,COLUMN(HeadJournal!C$1),0),"")</f>
        <v>Roman</v>
      </c>
      <c r="D820" s="125" t="str">
        <f>IFERROR(VLOOKUP($A820,HeadJournal!$A$1:$NTR$890,COLUMN(HeadJournal!D$1),0),"")</f>
        <v>Доставлен</v>
      </c>
      <c r="E820" s="95">
        <f>IFERROR(VLOOKUP($A820,HeadJournal!$A$1:$NTR$890,COLUMN(HeadJournal!G$1),0),"")</f>
        <v>44944</v>
      </c>
      <c r="F820" s="95" t="str">
        <f t="shared" si="64"/>
        <v>2023 01</v>
      </c>
      <c r="G820" s="96" t="s">
        <v>5</v>
      </c>
      <c r="H820" s="161" t="s">
        <v>3573</v>
      </c>
      <c r="I820" s="97" t="s">
        <v>2052</v>
      </c>
      <c r="J820" s="97" t="s">
        <v>3574</v>
      </c>
      <c r="K820" s="29">
        <v>753.2</v>
      </c>
      <c r="L820" s="29"/>
      <c r="M820" s="30">
        <f>IFERROR(VLOOKUP($A820,HeadJournal!$A$1:$J$890,COLUMN(HeadJournal!I$1),0)*($K820+$L820)/(SUMIF($A:$A,$A820,$K:$K)+SUMIF($A:$A,$A820,$L:$L)),0)</f>
        <v>0</v>
      </c>
      <c r="N820" s="30">
        <f>IFERROR((VLOOKUP($A820,HeadJournal!$A$1:$K$890,COLUMN(HeadJournal!K$1),0)-VLOOKUP($A820,HeadJournal!$A$1:$K$890,COLUMN(HeadJournal!J$1),0))*($K820+$L820)/(SUMIF($A:$A,$A820,$K:$K)+SUMIF($A:$A,$A820,$L:$L)),0)</f>
        <v>9.130803733791451E-2</v>
      </c>
      <c r="O820" s="30">
        <f>IFERROR((VLOOKUP($A820,HeadJournal!$A$1:$L$890,COLUMN(HeadJournal!L$1),0)*($K820+$L820)/(SUMIF($A:$A,$A820,$K:$K)+SUMIF($A:$A,$A820,$L:$L)))/VLOOKUP($A820,HeadJournal!$A$1:$L$890,COLUMN(HeadJournal!H$1),0),0)</f>
        <v>0</v>
      </c>
      <c r="P820" s="30">
        <f>IFERROR(SUM(K820:O820)*VLOOKUP($A820,HeadJournal!$A$1:$L$890,COLUMN(HeadJournal!H$1),0),0)</f>
        <v>753.29130803733801</v>
      </c>
      <c r="Q820" s="29">
        <v>2100</v>
      </c>
      <c r="R820" s="31">
        <v>45031</v>
      </c>
      <c r="S820" s="31" t="s">
        <v>3121</v>
      </c>
      <c r="T820" s="95" t="str">
        <f t="shared" si="65"/>
        <v>2023 04</v>
      </c>
      <c r="U820" s="32">
        <f t="shared" si="62"/>
        <v>1346.708691962662</v>
      </c>
      <c r="V820" s="22">
        <f t="shared" si="63"/>
        <v>1.7877661372085158</v>
      </c>
      <c r="X820" s="33"/>
      <c r="Y820" s="33"/>
    </row>
    <row r="821" spans="1:25" x14ac:dyDescent="0.2">
      <c r="A821" s="93" t="s">
        <v>372</v>
      </c>
      <c r="B821" s="94">
        <f>IFERROR(VLOOKUP($A821,HeadJournal!$A$1:$NTR$890,COLUMN(HeadJournal!B$1),0),"")</f>
        <v>0</v>
      </c>
      <c r="C821" s="94" t="str">
        <f>IFERROR(VLOOKUP($A821,HeadJournal!$A$1:$NTR$890,COLUMN(HeadJournal!C$1),0),"")</f>
        <v>Roman</v>
      </c>
      <c r="D821" s="125" t="str">
        <f>IFERROR(VLOOKUP($A821,HeadJournal!$A$1:$NTR$890,COLUMN(HeadJournal!D$1),0),"")</f>
        <v>Доставлен</v>
      </c>
      <c r="E821" s="95">
        <f>IFERROR(VLOOKUP($A821,HeadJournal!$A$1:$NTR$890,COLUMN(HeadJournal!G$1),0),"")</f>
        <v>44944</v>
      </c>
      <c r="F821" s="95" t="str">
        <f t="shared" si="64"/>
        <v>2023 01</v>
      </c>
      <c r="G821" s="96" t="s">
        <v>5</v>
      </c>
      <c r="H821" s="161" t="s">
        <v>2174</v>
      </c>
      <c r="I821" s="97" t="s">
        <v>2005</v>
      </c>
      <c r="J821" s="97" t="s">
        <v>2175</v>
      </c>
      <c r="K821" s="29">
        <v>259</v>
      </c>
      <c r="L821" s="29"/>
      <c r="M821" s="30">
        <f>IFERROR(VLOOKUP($A821,HeadJournal!$A$1:$J$890,COLUMN(HeadJournal!I$1),0)*($K821+$L821)/(SUMIF($A:$A,$A821,$K:$K)+SUMIF($A:$A,$A821,$L:$L)),0)</f>
        <v>0</v>
      </c>
      <c r="N821" s="30">
        <f>IFERROR((VLOOKUP($A821,HeadJournal!$A$1:$K$890,COLUMN(HeadJournal!K$1),0)-VLOOKUP($A821,HeadJournal!$A$1:$K$890,COLUMN(HeadJournal!J$1),0))*($K821+$L821)/(SUMIF($A:$A,$A821,$K:$K)+SUMIF($A:$A,$A821,$L:$L)),0)</f>
        <v>3.1397745181253128E-2</v>
      </c>
      <c r="O821" s="30">
        <f>IFERROR((VLOOKUP($A821,HeadJournal!$A$1:$L$890,COLUMN(HeadJournal!L$1),0)*($K821+$L821)/(SUMIF($A:$A,$A821,$K:$K)+SUMIF($A:$A,$A821,$L:$L)))/VLOOKUP($A821,HeadJournal!$A$1:$L$890,COLUMN(HeadJournal!H$1),0),0)</f>
        <v>0</v>
      </c>
      <c r="P821" s="30">
        <f>IFERROR(SUM(K821:O821)*VLOOKUP($A821,HeadJournal!$A$1:$L$890,COLUMN(HeadJournal!H$1),0),0)</f>
        <v>259.03139774518127</v>
      </c>
      <c r="Q821" s="29">
        <v>750</v>
      </c>
      <c r="R821" s="31">
        <v>44956</v>
      </c>
      <c r="S821" s="31" t="s">
        <v>3121</v>
      </c>
      <c r="T821" s="95" t="str">
        <f t="shared" si="65"/>
        <v>2023 01</v>
      </c>
      <c r="U821" s="32">
        <f t="shared" si="62"/>
        <v>490.96860225481873</v>
      </c>
      <c r="V821" s="22">
        <f t="shared" si="63"/>
        <v>1.895401895401895</v>
      </c>
      <c r="X821" s="33"/>
      <c r="Y821" s="33"/>
    </row>
    <row r="822" spans="1:25" x14ac:dyDescent="0.2">
      <c r="A822" s="93" t="s">
        <v>372</v>
      </c>
      <c r="B822" s="94">
        <f>IFERROR(VLOOKUP($A822,HeadJournal!$A$1:$NTR$890,COLUMN(HeadJournal!B$1),0),"")</f>
        <v>0</v>
      </c>
      <c r="C822" s="94" t="str">
        <f>IFERROR(VLOOKUP($A822,HeadJournal!$A$1:$NTR$890,COLUMN(HeadJournal!C$1),0),"")</f>
        <v>Roman</v>
      </c>
      <c r="D822" s="125" t="str">
        <f>IFERROR(VLOOKUP($A822,HeadJournal!$A$1:$NTR$890,COLUMN(HeadJournal!D$1),0),"")</f>
        <v>Доставлен</v>
      </c>
      <c r="E822" s="95">
        <f>IFERROR(VLOOKUP($A822,HeadJournal!$A$1:$NTR$890,COLUMN(HeadJournal!G$1),0),"")</f>
        <v>44944</v>
      </c>
      <c r="F822" s="95" t="str">
        <f t="shared" si="64"/>
        <v>2023 01</v>
      </c>
      <c r="G822" s="96" t="s">
        <v>5</v>
      </c>
      <c r="H822" s="161" t="s">
        <v>2174</v>
      </c>
      <c r="I822" s="97" t="s">
        <v>2005</v>
      </c>
      <c r="J822" s="97" t="s">
        <v>2175</v>
      </c>
      <c r="K822" s="29">
        <v>259</v>
      </c>
      <c r="L822" s="29"/>
      <c r="M822" s="30">
        <f>IFERROR(VLOOKUP($A822,HeadJournal!$A$1:$J$890,COLUMN(HeadJournal!I$1),0)*($K822+$L822)/(SUMIF($A:$A,$A822,$K:$K)+SUMIF($A:$A,$A822,$L:$L)),0)</f>
        <v>0</v>
      </c>
      <c r="N822" s="30">
        <f>IFERROR((VLOOKUP($A822,HeadJournal!$A$1:$K$890,COLUMN(HeadJournal!K$1),0)-VLOOKUP($A822,HeadJournal!$A$1:$K$890,COLUMN(HeadJournal!J$1),0))*($K822+$L822)/(SUMIF($A:$A,$A822,$K:$K)+SUMIF($A:$A,$A822,$L:$L)),0)</f>
        <v>3.1397745181253128E-2</v>
      </c>
      <c r="O822" s="30">
        <f>IFERROR((VLOOKUP($A822,HeadJournal!$A$1:$L$890,COLUMN(HeadJournal!L$1),0)*($K822+$L822)/(SUMIF($A:$A,$A822,$K:$K)+SUMIF($A:$A,$A822,$L:$L)))/VLOOKUP($A822,HeadJournal!$A$1:$L$890,COLUMN(HeadJournal!H$1),0),0)</f>
        <v>0</v>
      </c>
      <c r="P822" s="30">
        <f>IFERROR(SUM(K822:O822)*VLOOKUP($A822,HeadJournal!$A$1:$L$890,COLUMN(HeadJournal!H$1),0),0)</f>
        <v>259.03139774518127</v>
      </c>
      <c r="Q822" s="29">
        <v>750</v>
      </c>
      <c r="R822" s="31">
        <v>44957</v>
      </c>
      <c r="S822" s="31" t="s">
        <v>3121</v>
      </c>
      <c r="T822" s="95" t="str">
        <f t="shared" si="65"/>
        <v>2023 01</v>
      </c>
      <c r="U822" s="32">
        <f t="shared" si="62"/>
        <v>490.96860225481873</v>
      </c>
      <c r="V822" s="22">
        <f t="shared" si="63"/>
        <v>1.895401895401895</v>
      </c>
      <c r="X822" s="33"/>
      <c r="Y822" s="33"/>
    </row>
    <row r="823" spans="1:25" x14ac:dyDescent="0.2">
      <c r="A823" s="93" t="s">
        <v>372</v>
      </c>
      <c r="B823" s="94">
        <f>IFERROR(VLOOKUP($A823,HeadJournal!$A$1:$NTR$890,COLUMN(HeadJournal!B$1),0),"")</f>
        <v>0</v>
      </c>
      <c r="C823" s="94" t="str">
        <f>IFERROR(VLOOKUP($A823,HeadJournal!$A$1:$NTR$890,COLUMN(HeadJournal!C$1),0),"")</f>
        <v>Roman</v>
      </c>
      <c r="D823" s="125" t="str">
        <f>IFERROR(VLOOKUP($A823,HeadJournal!$A$1:$NTR$890,COLUMN(HeadJournal!D$1),0),"")</f>
        <v>Доставлен</v>
      </c>
      <c r="E823" s="95">
        <f>IFERROR(VLOOKUP($A823,HeadJournal!$A$1:$NTR$890,COLUMN(HeadJournal!G$1),0),"")</f>
        <v>44944</v>
      </c>
      <c r="F823" s="95" t="str">
        <f t="shared" si="64"/>
        <v>2023 01</v>
      </c>
      <c r="G823" s="96" t="s">
        <v>5</v>
      </c>
      <c r="H823" s="161" t="s">
        <v>2174</v>
      </c>
      <c r="I823" s="97" t="s">
        <v>2005</v>
      </c>
      <c r="J823" s="97" t="s">
        <v>2175</v>
      </c>
      <c r="K823" s="29">
        <v>259</v>
      </c>
      <c r="L823" s="29"/>
      <c r="M823" s="30">
        <f>IFERROR(VLOOKUP($A823,HeadJournal!$A$1:$J$890,COLUMN(HeadJournal!I$1),0)*($K823+$L823)/(SUMIF($A:$A,$A823,$K:$K)+SUMIF($A:$A,$A823,$L:$L)),0)</f>
        <v>0</v>
      </c>
      <c r="N823" s="30">
        <f>IFERROR((VLOOKUP($A823,HeadJournal!$A$1:$K$890,COLUMN(HeadJournal!K$1),0)-VLOOKUP($A823,HeadJournal!$A$1:$K$890,COLUMN(HeadJournal!J$1),0))*($K823+$L823)/(SUMIF($A:$A,$A823,$K:$K)+SUMIF($A:$A,$A823,$L:$L)),0)</f>
        <v>3.1397745181253128E-2</v>
      </c>
      <c r="O823" s="30">
        <f>IFERROR((VLOOKUP($A823,HeadJournal!$A$1:$L$890,COLUMN(HeadJournal!L$1),0)*($K823+$L823)/(SUMIF($A:$A,$A823,$K:$K)+SUMIF($A:$A,$A823,$L:$L)))/VLOOKUP($A823,HeadJournal!$A$1:$L$890,COLUMN(HeadJournal!H$1),0),0)</f>
        <v>0</v>
      </c>
      <c r="P823" s="30">
        <f>IFERROR(SUM(K823:O823)*VLOOKUP($A823,HeadJournal!$A$1:$L$890,COLUMN(HeadJournal!H$1),0),0)</f>
        <v>259.03139774518127</v>
      </c>
      <c r="Q823" s="29">
        <v>750</v>
      </c>
      <c r="R823" s="31">
        <v>44957</v>
      </c>
      <c r="S823" s="31" t="s">
        <v>3121</v>
      </c>
      <c r="T823" s="95" t="str">
        <f t="shared" si="65"/>
        <v>2023 01</v>
      </c>
      <c r="U823" s="32">
        <f t="shared" si="62"/>
        <v>490.96860225481873</v>
      </c>
      <c r="V823" s="22">
        <f t="shared" si="63"/>
        <v>1.895401895401895</v>
      </c>
      <c r="X823" s="33"/>
      <c r="Y823" s="33"/>
    </row>
    <row r="824" spans="1:25" x14ac:dyDescent="0.2">
      <c r="A824" s="93" t="s">
        <v>372</v>
      </c>
      <c r="B824" s="94">
        <f>IFERROR(VLOOKUP($A824,HeadJournal!$A$1:$NTR$890,COLUMN(HeadJournal!B$1),0),"")</f>
        <v>0</v>
      </c>
      <c r="C824" s="94" t="str">
        <f>IFERROR(VLOOKUP($A824,HeadJournal!$A$1:$NTR$890,COLUMN(HeadJournal!C$1),0),"")</f>
        <v>Roman</v>
      </c>
      <c r="D824" s="125" t="str">
        <f>IFERROR(VLOOKUP($A824,HeadJournal!$A$1:$NTR$890,COLUMN(HeadJournal!D$1),0),"")</f>
        <v>Доставлен</v>
      </c>
      <c r="E824" s="95">
        <f>IFERROR(VLOOKUP($A824,HeadJournal!$A$1:$NTR$890,COLUMN(HeadJournal!G$1),0),"")</f>
        <v>44944</v>
      </c>
      <c r="F824" s="95" t="str">
        <f t="shared" si="64"/>
        <v>2023 01</v>
      </c>
      <c r="G824" s="96" t="s">
        <v>5</v>
      </c>
      <c r="H824" s="160" t="str">
        <f>RIGHT(Journal!$J824,9)</f>
        <v>NOW-01277</v>
      </c>
      <c r="I824" s="96" t="str">
        <f t="shared" si="61"/>
        <v>NOW Foods</v>
      </c>
      <c r="J824" s="97" t="s">
        <v>52</v>
      </c>
      <c r="K824" s="29">
        <v>597.79999999999995</v>
      </c>
      <c r="L824" s="29"/>
      <c r="M824" s="30">
        <f>IFERROR(VLOOKUP($A824,HeadJournal!$A$1:$J$890,COLUMN(HeadJournal!I$1),0)*($K824+$L824)/(SUMIF($A:$A,$A824,$K:$K)+SUMIF($A:$A,$A824,$L:$L)),0)</f>
        <v>0</v>
      </c>
      <c r="N824" s="30">
        <f>IFERROR((VLOOKUP($A824,HeadJournal!$A$1:$K$890,COLUMN(HeadJournal!K$1),0)-VLOOKUP($A824,HeadJournal!$A$1:$K$890,COLUMN(HeadJournal!J$1),0))*($K824+$L824)/(SUMIF($A:$A,$A824,$K:$K)+SUMIF($A:$A,$A824,$L:$L)),0)</f>
        <v>7.2469390229162614E-2</v>
      </c>
      <c r="O824" s="30">
        <f>IFERROR((VLOOKUP($A824,HeadJournal!$A$1:$L$890,COLUMN(HeadJournal!L$1),0)*($K824+$L824)/(SUMIF($A:$A,$A824,$K:$K)+SUMIF($A:$A,$A824,$L:$L)))/VLOOKUP($A824,HeadJournal!$A$1:$L$890,COLUMN(HeadJournal!H$1),0),0)</f>
        <v>0</v>
      </c>
      <c r="P824" s="30">
        <f>IFERROR(SUM(K824:O824)*VLOOKUP($A824,HeadJournal!$A$1:$L$890,COLUMN(HeadJournal!H$1),0),0)</f>
        <v>597.87246939022907</v>
      </c>
      <c r="Q824" s="29">
        <v>1600</v>
      </c>
      <c r="R824" s="31">
        <v>44995</v>
      </c>
      <c r="S824" s="31" t="s">
        <v>3121</v>
      </c>
      <c r="T824" s="95" t="str">
        <f t="shared" si="65"/>
        <v>2023 03</v>
      </c>
      <c r="U824" s="32">
        <f t="shared" si="62"/>
        <v>1002.1275306097709</v>
      </c>
      <c r="V824" s="22">
        <f t="shared" si="63"/>
        <v>1.6761560063667793</v>
      </c>
      <c r="X824" s="33"/>
      <c r="Y824" s="33"/>
    </row>
    <row r="825" spans="1:25" x14ac:dyDescent="0.2">
      <c r="A825" s="93" t="s">
        <v>372</v>
      </c>
      <c r="B825" s="94">
        <f>IFERROR(VLOOKUP($A825,HeadJournal!$A$1:$NTR$890,COLUMN(HeadJournal!B$1),0),"")</f>
        <v>0</v>
      </c>
      <c r="C825" s="94" t="str">
        <f>IFERROR(VLOOKUP($A825,HeadJournal!$A$1:$NTR$890,COLUMN(HeadJournal!C$1),0),"")</f>
        <v>Roman</v>
      </c>
      <c r="D825" s="125" t="str">
        <f>IFERROR(VLOOKUP($A825,HeadJournal!$A$1:$NTR$890,COLUMN(HeadJournal!D$1),0),"")</f>
        <v>Доставлен</v>
      </c>
      <c r="E825" s="95">
        <f>IFERROR(VLOOKUP($A825,HeadJournal!$A$1:$NTR$890,COLUMN(HeadJournal!G$1),0),"")</f>
        <v>44944</v>
      </c>
      <c r="F825" s="95" t="str">
        <f t="shared" si="64"/>
        <v>2023 01</v>
      </c>
      <c r="G825" s="96" t="s">
        <v>5</v>
      </c>
      <c r="H825" s="160" t="str">
        <f>RIGHT(Journal!$J825,9)</f>
        <v>NOW-01277</v>
      </c>
      <c r="I825" s="96" t="str">
        <f t="shared" si="61"/>
        <v>NOW Foods</v>
      </c>
      <c r="J825" s="97" t="s">
        <v>52</v>
      </c>
      <c r="K825" s="29">
        <v>597.79999999999995</v>
      </c>
      <c r="L825" s="29"/>
      <c r="M825" s="30">
        <f>IFERROR(VLOOKUP($A825,HeadJournal!$A$1:$J$890,COLUMN(HeadJournal!I$1),0)*($K825+$L825)/(SUMIF($A:$A,$A825,$K:$K)+SUMIF($A:$A,$A825,$L:$L)),0)</f>
        <v>0</v>
      </c>
      <c r="N825" s="30">
        <f>IFERROR((VLOOKUP($A825,HeadJournal!$A$1:$K$890,COLUMN(HeadJournal!K$1),0)-VLOOKUP($A825,HeadJournal!$A$1:$K$890,COLUMN(HeadJournal!J$1),0))*($K825+$L825)/(SUMIF($A:$A,$A825,$K:$K)+SUMIF($A:$A,$A825,$L:$L)),0)</f>
        <v>7.2469390229162614E-2</v>
      </c>
      <c r="O825" s="30">
        <f>IFERROR((VLOOKUP($A825,HeadJournal!$A$1:$L$890,COLUMN(HeadJournal!L$1),0)*($K825+$L825)/(SUMIF($A:$A,$A825,$K:$K)+SUMIF($A:$A,$A825,$L:$L)))/VLOOKUP($A825,HeadJournal!$A$1:$L$890,COLUMN(HeadJournal!H$1),0),0)</f>
        <v>0</v>
      </c>
      <c r="P825" s="30">
        <f>IFERROR(SUM(K825:O825)*VLOOKUP($A825,HeadJournal!$A$1:$L$890,COLUMN(HeadJournal!H$1),0),0)</f>
        <v>597.87246939022907</v>
      </c>
      <c r="Q825" s="29">
        <v>1800</v>
      </c>
      <c r="R825" s="31">
        <v>45020</v>
      </c>
      <c r="S825" s="31" t="s">
        <v>3121</v>
      </c>
      <c r="T825" s="95" t="str">
        <f t="shared" si="65"/>
        <v>2023 04</v>
      </c>
      <c r="U825" s="32">
        <f t="shared" si="62"/>
        <v>1202.1275306097709</v>
      </c>
      <c r="V825" s="22">
        <f t="shared" si="63"/>
        <v>2.010675507162627</v>
      </c>
      <c r="X825" s="33"/>
      <c r="Y825" s="33"/>
    </row>
    <row r="826" spans="1:25" x14ac:dyDescent="0.2">
      <c r="A826" s="93" t="s">
        <v>372</v>
      </c>
      <c r="B826" s="94">
        <f>IFERROR(VLOOKUP($A826,HeadJournal!$A$1:$NTR$890,COLUMN(HeadJournal!B$1),0),"")</f>
        <v>0</v>
      </c>
      <c r="C826" s="94" t="str">
        <f>IFERROR(VLOOKUP($A826,HeadJournal!$A$1:$NTR$890,COLUMN(HeadJournal!C$1),0),"")</f>
        <v>Roman</v>
      </c>
      <c r="D826" s="125" t="str">
        <f>IFERROR(VLOOKUP($A826,HeadJournal!$A$1:$NTR$890,COLUMN(HeadJournal!D$1),0),"")</f>
        <v>Доставлен</v>
      </c>
      <c r="E826" s="95">
        <f>IFERROR(VLOOKUP($A826,HeadJournal!$A$1:$NTR$890,COLUMN(HeadJournal!G$1),0),"")</f>
        <v>44944</v>
      </c>
      <c r="F826" s="95" t="str">
        <f t="shared" si="64"/>
        <v>2023 01</v>
      </c>
      <c r="G826" s="96" t="s">
        <v>5</v>
      </c>
      <c r="H826" s="160" t="str">
        <f>RIGHT(Journal!$J826,9)</f>
        <v>JRW-30006</v>
      </c>
      <c r="I826" s="96" t="str">
        <f t="shared" si="61"/>
        <v>Jarrow Formulas</v>
      </c>
      <c r="J826" s="97" t="s">
        <v>373</v>
      </c>
      <c r="K826" s="29">
        <v>345.8</v>
      </c>
      <c r="L826" s="29"/>
      <c r="M826" s="30">
        <f>IFERROR(VLOOKUP($A826,HeadJournal!$A$1:$J$890,COLUMN(HeadJournal!I$1),0)*($K826+$L826)/(SUMIF($A:$A,$A826,$K:$K)+SUMIF($A:$A,$A826,$L:$L)),0)</f>
        <v>0</v>
      </c>
      <c r="N826" s="30">
        <f>IFERROR((VLOOKUP($A826,HeadJournal!$A$1:$K$890,COLUMN(HeadJournal!K$1),0)-VLOOKUP($A826,HeadJournal!$A$1:$K$890,COLUMN(HeadJournal!J$1),0))*($K826+$L826)/(SUMIF($A:$A,$A826,$K:$K)+SUMIF($A:$A,$A826,$L:$L)),0)</f>
        <v>4.1920232755510933E-2</v>
      </c>
      <c r="O826" s="30">
        <f>IFERROR((VLOOKUP($A826,HeadJournal!$A$1:$L$890,COLUMN(HeadJournal!L$1),0)*($K826+$L826)/(SUMIF($A:$A,$A826,$K:$K)+SUMIF($A:$A,$A826,$L:$L)))/VLOOKUP($A826,HeadJournal!$A$1:$L$890,COLUMN(HeadJournal!H$1),0),0)</f>
        <v>0</v>
      </c>
      <c r="P826" s="30">
        <f>IFERROR(SUM(K826:O826)*VLOOKUP($A826,HeadJournal!$A$1:$L$890,COLUMN(HeadJournal!H$1),0),0)</f>
        <v>345.84192023275551</v>
      </c>
      <c r="Q826" s="29">
        <v>1000</v>
      </c>
      <c r="R826" s="31">
        <v>44945</v>
      </c>
      <c r="S826" s="31" t="s">
        <v>3121</v>
      </c>
      <c r="T826" s="95" t="str">
        <f t="shared" si="65"/>
        <v>2023 01</v>
      </c>
      <c r="U826" s="32">
        <f t="shared" si="62"/>
        <v>654.15807976724454</v>
      </c>
      <c r="V826" s="22">
        <f t="shared" si="63"/>
        <v>1.8914944704418388</v>
      </c>
      <c r="X826" s="33"/>
      <c r="Y826" s="33"/>
    </row>
    <row r="827" spans="1:25" x14ac:dyDescent="0.2">
      <c r="A827" s="93" t="s">
        <v>372</v>
      </c>
      <c r="B827" s="94">
        <f>IFERROR(VLOOKUP($A827,HeadJournal!$A$1:$NTR$890,COLUMN(HeadJournal!B$1),0),"")</f>
        <v>0</v>
      </c>
      <c r="C827" s="94" t="str">
        <f>IFERROR(VLOOKUP($A827,HeadJournal!$A$1:$NTR$890,COLUMN(HeadJournal!C$1),0),"")</f>
        <v>Roman</v>
      </c>
      <c r="D827" s="125" t="str">
        <f>IFERROR(VLOOKUP($A827,HeadJournal!$A$1:$NTR$890,COLUMN(HeadJournal!D$1),0),"")</f>
        <v>Доставлен</v>
      </c>
      <c r="E827" s="95">
        <f>IFERROR(VLOOKUP($A827,HeadJournal!$A$1:$NTR$890,COLUMN(HeadJournal!G$1),0),"")</f>
        <v>44944</v>
      </c>
      <c r="F827" s="95" t="str">
        <f t="shared" si="64"/>
        <v>2023 01</v>
      </c>
      <c r="G827" s="96" t="s">
        <v>5</v>
      </c>
      <c r="H827" s="160" t="str">
        <f>RIGHT(Journal!$J827,9)</f>
        <v>JRW-30006</v>
      </c>
      <c r="I827" s="96" t="str">
        <f t="shared" si="61"/>
        <v>Jarrow Formulas</v>
      </c>
      <c r="J827" s="97" t="s">
        <v>373</v>
      </c>
      <c r="K827" s="29">
        <v>345.8</v>
      </c>
      <c r="L827" s="29"/>
      <c r="M827" s="30">
        <f>IFERROR(VLOOKUP($A827,HeadJournal!$A$1:$J$890,COLUMN(HeadJournal!I$1),0)*($K827+$L827)/(SUMIF($A:$A,$A827,$K:$K)+SUMIF($A:$A,$A827,$L:$L)),0)</f>
        <v>0</v>
      </c>
      <c r="N827" s="30">
        <f>IFERROR((VLOOKUP($A827,HeadJournal!$A$1:$K$890,COLUMN(HeadJournal!K$1),0)-VLOOKUP($A827,HeadJournal!$A$1:$K$890,COLUMN(HeadJournal!J$1),0))*($K827+$L827)/(SUMIF($A:$A,$A827,$K:$K)+SUMIF($A:$A,$A827,$L:$L)),0)</f>
        <v>4.1920232755510933E-2</v>
      </c>
      <c r="O827" s="30">
        <f>IFERROR((VLOOKUP($A827,HeadJournal!$A$1:$L$890,COLUMN(HeadJournal!L$1),0)*($K827+$L827)/(SUMIF($A:$A,$A827,$K:$K)+SUMIF($A:$A,$A827,$L:$L)))/VLOOKUP($A827,HeadJournal!$A$1:$L$890,COLUMN(HeadJournal!H$1),0),0)</f>
        <v>0</v>
      </c>
      <c r="P827" s="30">
        <f>IFERROR(SUM(K827:O827)*VLOOKUP($A827,HeadJournal!$A$1:$L$890,COLUMN(HeadJournal!H$1),0),0)</f>
        <v>345.84192023275551</v>
      </c>
      <c r="Q827" s="29">
        <v>1000</v>
      </c>
      <c r="R827" s="31">
        <v>44980</v>
      </c>
      <c r="S827" s="31" t="s">
        <v>3121</v>
      </c>
      <c r="T827" s="95" t="str">
        <f t="shared" si="65"/>
        <v>2023 02</v>
      </c>
      <c r="U827" s="32">
        <f t="shared" si="62"/>
        <v>654.15807976724454</v>
      </c>
      <c r="V827" s="22">
        <f t="shared" si="63"/>
        <v>1.8914944704418388</v>
      </c>
      <c r="X827" s="33"/>
      <c r="Y827" s="33"/>
    </row>
    <row r="828" spans="1:25" x14ac:dyDescent="0.2">
      <c r="A828" s="93" t="s">
        <v>372</v>
      </c>
      <c r="B828" s="94">
        <f>IFERROR(VLOOKUP($A828,HeadJournal!$A$1:$NTR$890,COLUMN(HeadJournal!B$1),0),"")</f>
        <v>0</v>
      </c>
      <c r="C828" s="94" t="str">
        <f>IFERROR(VLOOKUP($A828,HeadJournal!$A$1:$NTR$890,COLUMN(HeadJournal!C$1),0),"")</f>
        <v>Roman</v>
      </c>
      <c r="D828" s="125" t="str">
        <f>IFERROR(VLOOKUP($A828,HeadJournal!$A$1:$NTR$890,COLUMN(HeadJournal!D$1),0),"")</f>
        <v>Доставлен</v>
      </c>
      <c r="E828" s="95">
        <f>IFERROR(VLOOKUP($A828,HeadJournal!$A$1:$NTR$890,COLUMN(HeadJournal!G$1),0),"")</f>
        <v>44944</v>
      </c>
      <c r="F828" s="95" t="str">
        <f t="shared" si="64"/>
        <v>2023 01</v>
      </c>
      <c r="G828" s="96" t="s">
        <v>7</v>
      </c>
      <c r="H828" s="160" t="str">
        <f>RIGHT(Journal!$J828,9)</f>
        <v>AZQ-01161</v>
      </c>
      <c r="I828" s="96" t="str">
        <f t="shared" si="61"/>
        <v>Azelique</v>
      </c>
      <c r="J828" s="97" t="s">
        <v>374</v>
      </c>
      <c r="K828" s="29">
        <v>900</v>
      </c>
      <c r="L828" s="29"/>
      <c r="M828" s="30">
        <f>IFERROR(VLOOKUP($A828,HeadJournal!$A$1:$J$890,COLUMN(HeadJournal!I$1),0)*($K828+$L828)/(SUMIF($A:$A,$A828,$K:$K)+SUMIF($A:$A,$A828,$L:$L)),0)</f>
        <v>0</v>
      </c>
      <c r="N828" s="30">
        <f>IFERROR((VLOOKUP($A828,HeadJournal!$A$1:$K$890,COLUMN(HeadJournal!K$1),0)-VLOOKUP($A828,HeadJournal!$A$1:$K$890,COLUMN(HeadJournal!J$1),0))*($K828+$L828)/(SUMIF($A:$A,$A828,$K:$K)+SUMIF($A:$A,$A828,$L:$L)),0)</f>
        <v>0.10910413383447033</v>
      </c>
      <c r="O828" s="30">
        <f>IFERROR((VLOOKUP($A828,HeadJournal!$A$1:$L$890,COLUMN(HeadJournal!L$1),0)*($K828+$L828)/(SUMIF($A:$A,$A828,$K:$K)+SUMIF($A:$A,$A828,$L:$L)))/VLOOKUP($A828,HeadJournal!$A$1:$L$890,COLUMN(HeadJournal!H$1),0),0)</f>
        <v>0</v>
      </c>
      <c r="P828" s="30">
        <f>IFERROR(SUM(K828:O828)*VLOOKUP($A828,HeadJournal!$A$1:$L$890,COLUMN(HeadJournal!H$1),0),0)</f>
        <v>900.10910413383442</v>
      </c>
      <c r="Q828" s="29"/>
      <c r="R828" s="31"/>
      <c r="S828" s="31"/>
      <c r="T828" s="95" t="str">
        <f t="shared" si="65"/>
        <v/>
      </c>
      <c r="U828" s="32">
        <f t="shared" si="62"/>
        <v>-900.10910413383442</v>
      </c>
      <c r="V828" s="22" t="str">
        <f t="shared" si="63"/>
        <v/>
      </c>
      <c r="X828" s="33"/>
      <c r="Y828" s="33"/>
    </row>
    <row r="829" spans="1:25" x14ac:dyDescent="0.2">
      <c r="A829" s="93" t="s">
        <v>372</v>
      </c>
      <c r="B829" s="94">
        <f>IFERROR(VLOOKUP($A829,HeadJournal!$A$1:$NTR$890,COLUMN(HeadJournal!B$1),0),"")</f>
        <v>0</v>
      </c>
      <c r="C829" s="94" t="str">
        <f>IFERROR(VLOOKUP($A829,HeadJournal!$A$1:$NTR$890,COLUMN(HeadJournal!C$1),0),"")</f>
        <v>Roman</v>
      </c>
      <c r="D829" s="125" t="str">
        <f>IFERROR(VLOOKUP($A829,HeadJournal!$A$1:$NTR$890,COLUMN(HeadJournal!D$1),0),"")</f>
        <v>Доставлен</v>
      </c>
      <c r="E829" s="95">
        <f>IFERROR(VLOOKUP($A829,HeadJournal!$A$1:$NTR$890,COLUMN(HeadJournal!G$1),0),"")</f>
        <v>44944</v>
      </c>
      <c r="F829" s="95" t="str">
        <f t="shared" si="64"/>
        <v>2023 01</v>
      </c>
      <c r="G829" s="96" t="s">
        <v>5</v>
      </c>
      <c r="H829" s="160" t="str">
        <f>RIGHT(Journal!$J829,9)</f>
        <v>NWY-15686</v>
      </c>
      <c r="I829" s="96" t="str">
        <f t="shared" si="61"/>
        <v>Nature's Way</v>
      </c>
      <c r="J829" s="97" t="s">
        <v>265</v>
      </c>
      <c r="K829" s="29">
        <v>999.6</v>
      </c>
      <c r="L829" s="29"/>
      <c r="M829" s="30">
        <f>IFERROR(VLOOKUP($A829,HeadJournal!$A$1:$J$890,COLUMN(HeadJournal!I$1),0)*($K829+$L829)/(SUMIF($A:$A,$A829,$K:$K)+SUMIF($A:$A,$A829,$L:$L)),0)</f>
        <v>0</v>
      </c>
      <c r="N829" s="30">
        <f>IFERROR((VLOOKUP($A829,HeadJournal!$A$1:$K$890,COLUMN(HeadJournal!K$1),0)-VLOOKUP($A829,HeadJournal!$A$1:$K$890,COLUMN(HeadJournal!J$1),0))*($K829+$L829)/(SUMIF($A:$A,$A829,$K:$K)+SUMIF($A:$A,$A829,$L:$L)),0)</f>
        <v>0.12117832464548504</v>
      </c>
      <c r="O829" s="30">
        <f>IFERROR((VLOOKUP($A829,HeadJournal!$A$1:$L$890,COLUMN(HeadJournal!L$1),0)*($K829+$L829)/(SUMIF($A:$A,$A829,$K:$K)+SUMIF($A:$A,$A829,$L:$L)))/VLOOKUP($A829,HeadJournal!$A$1:$L$890,COLUMN(HeadJournal!H$1),0),0)</f>
        <v>0</v>
      </c>
      <c r="P829" s="30">
        <f>IFERROR(SUM(K829:O829)*VLOOKUP($A829,HeadJournal!$A$1:$L$890,COLUMN(HeadJournal!H$1),0),0)</f>
        <v>999.72117832464551</v>
      </c>
      <c r="Q829" s="29">
        <v>2700</v>
      </c>
      <c r="R829" s="31">
        <v>44945</v>
      </c>
      <c r="S829" s="31" t="s">
        <v>3121</v>
      </c>
      <c r="T829" s="95" t="str">
        <f t="shared" si="65"/>
        <v>2023 01</v>
      </c>
      <c r="U829" s="32">
        <f t="shared" si="62"/>
        <v>1700.2788216753545</v>
      </c>
      <c r="V829" s="22">
        <f t="shared" si="63"/>
        <v>1.7007530284841206</v>
      </c>
      <c r="X829" s="33"/>
      <c r="Y829" s="33"/>
    </row>
    <row r="830" spans="1:25" x14ac:dyDescent="0.2">
      <c r="A830" s="93" t="s">
        <v>372</v>
      </c>
      <c r="B830" s="94">
        <f>IFERROR(VLOOKUP($A830,HeadJournal!$A$1:$NTR$890,COLUMN(HeadJournal!B$1),0),"")</f>
        <v>0</v>
      </c>
      <c r="C830" s="94" t="str">
        <f>IFERROR(VLOOKUP($A830,HeadJournal!$A$1:$NTR$890,COLUMN(HeadJournal!C$1),0),"")</f>
        <v>Roman</v>
      </c>
      <c r="D830" s="125" t="str">
        <f>IFERROR(VLOOKUP($A830,HeadJournal!$A$1:$NTR$890,COLUMN(HeadJournal!D$1),0),"")</f>
        <v>Доставлен</v>
      </c>
      <c r="E830" s="95">
        <f>IFERROR(VLOOKUP($A830,HeadJournal!$A$1:$NTR$890,COLUMN(HeadJournal!G$1),0),"")</f>
        <v>44944</v>
      </c>
      <c r="F830" s="95" t="str">
        <f t="shared" si="64"/>
        <v>2023 01</v>
      </c>
      <c r="G830" s="96" t="s">
        <v>5</v>
      </c>
      <c r="H830" s="160" t="str">
        <f>RIGHT(Journal!$J830,9)</f>
        <v>NWY-15686</v>
      </c>
      <c r="I830" s="96" t="str">
        <f t="shared" si="61"/>
        <v>Nature's Way</v>
      </c>
      <c r="J830" s="97" t="s">
        <v>265</v>
      </c>
      <c r="K830" s="29">
        <v>999.6</v>
      </c>
      <c r="L830" s="29"/>
      <c r="M830" s="30">
        <f>IFERROR(VLOOKUP($A830,HeadJournal!$A$1:$J$890,COLUMN(HeadJournal!I$1),0)*($K830+$L830)/(SUMIF($A:$A,$A830,$K:$K)+SUMIF($A:$A,$A830,$L:$L)),0)</f>
        <v>0</v>
      </c>
      <c r="N830" s="30">
        <f>IFERROR((VLOOKUP($A830,HeadJournal!$A$1:$K$890,COLUMN(HeadJournal!K$1),0)-VLOOKUP($A830,HeadJournal!$A$1:$K$890,COLUMN(HeadJournal!J$1),0))*($K830+$L830)/(SUMIF($A:$A,$A830,$K:$K)+SUMIF($A:$A,$A830,$L:$L)),0)</f>
        <v>0.12117832464548504</v>
      </c>
      <c r="O830" s="30">
        <f>IFERROR((VLOOKUP($A830,HeadJournal!$A$1:$L$890,COLUMN(HeadJournal!L$1),0)*($K830+$L830)/(SUMIF($A:$A,$A830,$K:$K)+SUMIF($A:$A,$A830,$L:$L)))/VLOOKUP($A830,HeadJournal!$A$1:$L$890,COLUMN(HeadJournal!H$1),0),0)</f>
        <v>0</v>
      </c>
      <c r="P830" s="30">
        <f>IFERROR(SUM(K830:O830)*VLOOKUP($A830,HeadJournal!$A$1:$L$890,COLUMN(HeadJournal!H$1),0),0)</f>
        <v>999.72117832464551</v>
      </c>
      <c r="Q830" s="29">
        <v>2600</v>
      </c>
      <c r="R830" s="31">
        <v>44959</v>
      </c>
      <c r="S830" s="31" t="s">
        <v>3121</v>
      </c>
      <c r="T830" s="95" t="str">
        <f t="shared" si="65"/>
        <v>2023 02</v>
      </c>
      <c r="U830" s="32">
        <f t="shared" si="62"/>
        <v>1600.2788216753545</v>
      </c>
      <c r="V830" s="22">
        <f t="shared" si="63"/>
        <v>1.6007251385402643</v>
      </c>
      <c r="X830" s="33"/>
      <c r="Y830" s="33"/>
    </row>
    <row r="831" spans="1:25" x14ac:dyDescent="0.2">
      <c r="A831" s="93" t="s">
        <v>372</v>
      </c>
      <c r="B831" s="94">
        <f>IFERROR(VLOOKUP($A831,HeadJournal!$A$1:$NTR$890,COLUMN(HeadJournal!B$1),0),"")</f>
        <v>0</v>
      </c>
      <c r="C831" s="94" t="str">
        <f>IFERROR(VLOOKUP($A831,HeadJournal!$A$1:$NTR$890,COLUMN(HeadJournal!C$1),0),"")</f>
        <v>Roman</v>
      </c>
      <c r="D831" s="125" t="str">
        <f>IFERROR(VLOOKUP($A831,HeadJournal!$A$1:$NTR$890,COLUMN(HeadJournal!D$1),0),"")</f>
        <v>Доставлен</v>
      </c>
      <c r="E831" s="95">
        <f>IFERROR(VLOOKUP($A831,HeadJournal!$A$1:$NTR$890,COLUMN(HeadJournal!G$1),0),"")</f>
        <v>44944</v>
      </c>
      <c r="F831" s="95" t="str">
        <f t="shared" si="64"/>
        <v>2023 01</v>
      </c>
      <c r="G831" s="96" t="s">
        <v>5</v>
      </c>
      <c r="H831" s="175" t="s">
        <v>3659</v>
      </c>
      <c r="I831" s="176" t="s">
        <v>2125</v>
      </c>
      <c r="J831" s="97" t="s">
        <v>3707</v>
      </c>
      <c r="K831" s="29">
        <v>1068.2</v>
      </c>
      <c r="L831" s="29"/>
      <c r="M831" s="30">
        <f>IFERROR(VLOOKUP($A831,HeadJournal!$A$1:$J$890,COLUMN(HeadJournal!I$1),0)*($K831+$L831)/(SUMIF($A:$A,$A831,$K:$K)+SUMIF($A:$A,$A831,$L:$L)),0)</f>
        <v>0</v>
      </c>
      <c r="N831" s="30">
        <f>IFERROR((VLOOKUP($A831,HeadJournal!$A$1:$K$890,COLUMN(HeadJournal!K$1),0)-VLOOKUP($A831,HeadJournal!$A$1:$K$890,COLUMN(HeadJournal!J$1),0))*($K831+$L831)/(SUMIF($A:$A,$A831,$K:$K)+SUMIF($A:$A,$A831,$L:$L)),0)</f>
        <v>0.12949448417997914</v>
      </c>
      <c r="O831" s="30">
        <f>IFERROR((VLOOKUP($A831,HeadJournal!$A$1:$L$890,COLUMN(HeadJournal!L$1),0)*($K831+$L831)/(SUMIF($A:$A,$A831,$K:$K)+SUMIF($A:$A,$A831,$L:$L)))/VLOOKUP($A831,HeadJournal!$A$1:$L$890,COLUMN(HeadJournal!H$1),0),0)</f>
        <v>0</v>
      </c>
      <c r="P831" s="30">
        <f>IFERROR(SUM(K831:O831)*VLOOKUP($A831,HeadJournal!$A$1:$L$890,COLUMN(HeadJournal!H$1),0),0)</f>
        <v>1068.32949448418</v>
      </c>
      <c r="Q831" s="29">
        <v>700</v>
      </c>
      <c r="R831" s="31">
        <v>45102</v>
      </c>
      <c r="S831" s="31" t="s">
        <v>3121</v>
      </c>
      <c r="T831" s="95" t="str">
        <f t="shared" si="65"/>
        <v>2023 06</v>
      </c>
      <c r="U831" s="32">
        <f t="shared" si="62"/>
        <v>-368.32949448418003</v>
      </c>
      <c r="V831" s="22">
        <f t="shared" si="63"/>
        <v>-0.34477143651455588</v>
      </c>
      <c r="X831" s="33"/>
      <c r="Y831" s="33"/>
    </row>
    <row r="832" spans="1:25" x14ac:dyDescent="0.2">
      <c r="A832" s="93" t="s">
        <v>372</v>
      </c>
      <c r="B832" s="94">
        <f>IFERROR(VLOOKUP($A832,HeadJournal!$A$1:$NTR$890,COLUMN(HeadJournal!B$1),0),"")</f>
        <v>0</v>
      </c>
      <c r="C832" s="94" t="str">
        <f>IFERROR(VLOOKUP($A832,HeadJournal!$A$1:$NTR$890,COLUMN(HeadJournal!C$1),0),"")</f>
        <v>Roman</v>
      </c>
      <c r="D832" s="125" t="str">
        <f>IFERROR(VLOOKUP($A832,HeadJournal!$A$1:$NTR$890,COLUMN(HeadJournal!D$1),0),"")</f>
        <v>Доставлен</v>
      </c>
      <c r="E832" s="95">
        <f>IFERROR(VLOOKUP($A832,HeadJournal!$A$1:$NTR$890,COLUMN(HeadJournal!G$1),0),"")</f>
        <v>44944</v>
      </c>
      <c r="F832" s="95" t="str">
        <f t="shared" si="64"/>
        <v>2023 01</v>
      </c>
      <c r="G832" s="96" t="s">
        <v>5</v>
      </c>
      <c r="H832" s="161" t="s">
        <v>3009</v>
      </c>
      <c r="I832" s="97" t="s">
        <v>2005</v>
      </c>
      <c r="J832" s="97" t="s">
        <v>3010</v>
      </c>
      <c r="K832" s="29">
        <v>693</v>
      </c>
      <c r="L832" s="29"/>
      <c r="M832" s="30">
        <f>IFERROR(VLOOKUP($A832,HeadJournal!$A$1:$J$890,COLUMN(HeadJournal!I$1),0)*($K832+$L832)/(SUMIF($A:$A,$A832,$K:$K)+SUMIF($A:$A,$A832,$L:$L)),0)</f>
        <v>0</v>
      </c>
      <c r="N832" s="30">
        <f>IFERROR((VLOOKUP($A832,HeadJournal!$A$1:$K$890,COLUMN(HeadJournal!K$1),0)-VLOOKUP($A832,HeadJournal!$A$1:$K$890,COLUMN(HeadJournal!J$1),0))*($K832+$L832)/(SUMIF($A:$A,$A832,$K:$K)+SUMIF($A:$A,$A832,$L:$L)),0)</f>
        <v>8.4010183052542153E-2</v>
      </c>
      <c r="O832" s="30">
        <f>IFERROR((VLOOKUP($A832,HeadJournal!$A$1:$L$890,COLUMN(HeadJournal!L$1),0)*($K832+$L832)/(SUMIF($A:$A,$A832,$K:$K)+SUMIF($A:$A,$A832,$L:$L)))/VLOOKUP($A832,HeadJournal!$A$1:$L$890,COLUMN(HeadJournal!H$1),0),0)</f>
        <v>0</v>
      </c>
      <c r="P832" s="30">
        <f>IFERROR(SUM(K832:O832)*VLOOKUP($A832,HeadJournal!$A$1:$L$890,COLUMN(HeadJournal!H$1),0),0)</f>
        <v>693.08401018305256</v>
      </c>
      <c r="Q832" s="29">
        <v>2000</v>
      </c>
      <c r="R832" s="31">
        <v>45026</v>
      </c>
      <c r="S832" s="31" t="s">
        <v>3121</v>
      </c>
      <c r="T832" s="95" t="str">
        <f t="shared" si="65"/>
        <v>2023 04</v>
      </c>
      <c r="U832" s="32">
        <f t="shared" si="62"/>
        <v>1306.9159898169473</v>
      </c>
      <c r="V832" s="22">
        <f t="shared" si="63"/>
        <v>1.8856530674712488</v>
      </c>
      <c r="X832" s="33"/>
      <c r="Y832" s="33"/>
    </row>
    <row r="833" spans="1:25" x14ac:dyDescent="0.2">
      <c r="A833" s="93" t="s">
        <v>372</v>
      </c>
      <c r="B833" s="94">
        <f>IFERROR(VLOOKUP($A833,HeadJournal!$A$1:$NTR$890,COLUMN(HeadJournal!B$1),0),"")</f>
        <v>0</v>
      </c>
      <c r="C833" s="94" t="str">
        <f>IFERROR(VLOOKUP($A833,HeadJournal!$A$1:$NTR$890,COLUMN(HeadJournal!C$1),0),"")</f>
        <v>Roman</v>
      </c>
      <c r="D833" s="125" t="str">
        <f>IFERROR(VLOOKUP($A833,HeadJournal!$A$1:$NTR$890,COLUMN(HeadJournal!D$1),0),"")</f>
        <v>Доставлен</v>
      </c>
      <c r="E833" s="95">
        <f>IFERROR(VLOOKUP($A833,HeadJournal!$A$1:$NTR$890,COLUMN(HeadJournal!G$1),0),"")</f>
        <v>44944</v>
      </c>
      <c r="F833" s="95" t="str">
        <f t="shared" si="64"/>
        <v>2023 01</v>
      </c>
      <c r="G833" s="96" t="s">
        <v>5</v>
      </c>
      <c r="H833" s="161" t="s">
        <v>3009</v>
      </c>
      <c r="I833" s="97" t="s">
        <v>2005</v>
      </c>
      <c r="J833" s="97" t="s">
        <v>3010</v>
      </c>
      <c r="K833" s="29">
        <v>693</v>
      </c>
      <c r="L833" s="29"/>
      <c r="M833" s="30">
        <f>IFERROR(VLOOKUP($A833,HeadJournal!$A$1:$J$890,COLUMN(HeadJournal!I$1),0)*($K833+$L833)/(SUMIF($A:$A,$A833,$K:$K)+SUMIF($A:$A,$A833,$L:$L)),0)</f>
        <v>0</v>
      </c>
      <c r="N833" s="30">
        <f>IFERROR((VLOOKUP($A833,HeadJournal!$A$1:$K$890,COLUMN(HeadJournal!K$1),0)-VLOOKUP($A833,HeadJournal!$A$1:$K$890,COLUMN(HeadJournal!J$1),0))*($K833+$L833)/(SUMIF($A:$A,$A833,$K:$K)+SUMIF($A:$A,$A833,$L:$L)),0)</f>
        <v>8.4010183052542153E-2</v>
      </c>
      <c r="O833" s="30">
        <f>IFERROR((VLOOKUP($A833,HeadJournal!$A$1:$L$890,COLUMN(HeadJournal!L$1),0)*($K833+$L833)/(SUMIF($A:$A,$A833,$K:$K)+SUMIF($A:$A,$A833,$L:$L)))/VLOOKUP($A833,HeadJournal!$A$1:$L$890,COLUMN(HeadJournal!H$1),0),0)</f>
        <v>0</v>
      </c>
      <c r="P833" s="30">
        <f>IFERROR(SUM(K833:O833)*VLOOKUP($A833,HeadJournal!$A$1:$L$890,COLUMN(HeadJournal!H$1),0),0)</f>
        <v>693.08401018305256</v>
      </c>
      <c r="Q833" s="29">
        <v>1900</v>
      </c>
      <c r="R833" s="31">
        <v>45057</v>
      </c>
      <c r="S833" s="31" t="s">
        <v>3121</v>
      </c>
      <c r="T833" s="95" t="str">
        <f t="shared" si="65"/>
        <v>2023 05</v>
      </c>
      <c r="U833" s="32">
        <f t="shared" si="62"/>
        <v>1206.9159898169473</v>
      </c>
      <c r="V833" s="22">
        <f t="shared" si="63"/>
        <v>1.7413704140976864</v>
      </c>
      <c r="X833" s="33"/>
      <c r="Y833" s="33"/>
    </row>
    <row r="834" spans="1:25" x14ac:dyDescent="0.2">
      <c r="A834" s="93" t="s">
        <v>375</v>
      </c>
      <c r="B834" s="94">
        <f>IFERROR(VLOOKUP($A834,HeadJournal!$A$1:$NTR$890,COLUMN(HeadJournal!B$1),0),"")</f>
        <v>0</v>
      </c>
      <c r="C834" s="94" t="str">
        <f>IFERROR(VLOOKUP($A834,HeadJournal!$A$1:$NTR$890,COLUMN(HeadJournal!C$1),0),"")</f>
        <v>OZON_AV</v>
      </c>
      <c r="D834" s="125" t="str">
        <f>IFERROR(VLOOKUP($A834,HeadJournal!$A$1:$NTR$890,COLUMN(HeadJournal!D$1),0),"")</f>
        <v>Доставлен</v>
      </c>
      <c r="E834" s="95">
        <f>IFERROR(VLOOKUP($A834,HeadJournal!$A$1:$NTR$890,COLUMN(HeadJournal!G$1),0),"")</f>
        <v>44945</v>
      </c>
      <c r="F834" s="95" t="str">
        <f t="shared" si="64"/>
        <v>2023 01</v>
      </c>
      <c r="G834" s="96" t="s">
        <v>6</v>
      </c>
      <c r="H834" s="160" t="str">
        <f>RIGHT(Journal!$J834,9)</f>
        <v>310155519</v>
      </c>
      <c r="I834" s="96" t="str">
        <f t="shared" si="61"/>
        <v>BIG</v>
      </c>
      <c r="J834" s="97" t="s">
        <v>376</v>
      </c>
      <c r="K834" s="29">
        <v>1106</v>
      </c>
      <c r="L834" s="29"/>
      <c r="M834" s="30">
        <f>IFERROR(VLOOKUP($A834,HeadJournal!$A$1:$J$890,COLUMN(HeadJournal!I$1),0)*($K834+$L834)/(SUMIF($A:$A,$A834,$K:$K)+SUMIF($A:$A,$A834,$L:$L)),0)</f>
        <v>0</v>
      </c>
      <c r="N834" s="30">
        <f>IFERROR((VLOOKUP($A834,HeadJournal!$A$1:$K$890,COLUMN(HeadJournal!K$1),0)-VLOOKUP($A834,HeadJournal!$A$1:$K$890,COLUMN(HeadJournal!J$1),0))*($K834+$L834)/(SUMIF($A:$A,$A834,$K:$K)+SUMIF($A:$A,$A834,$L:$L)),0)</f>
        <v>0</v>
      </c>
      <c r="O834" s="30">
        <f>IFERROR((VLOOKUP($A834,HeadJournal!$A$1:$L$890,COLUMN(HeadJournal!L$1),0)*($K834+$L834)/(SUMIF($A:$A,$A834,$K:$K)+SUMIF($A:$A,$A834,$L:$L)))/VLOOKUP($A834,HeadJournal!$A$1:$L$890,COLUMN(HeadJournal!H$1),0),0)</f>
        <v>165.9</v>
      </c>
      <c r="P834" s="30">
        <f>IFERROR(SUM(K834:O834)*VLOOKUP($A834,HeadJournal!$A$1:$L$890,COLUMN(HeadJournal!H$1),0),0)</f>
        <v>1271.9000000000001</v>
      </c>
      <c r="Q834" s="29">
        <v>2500</v>
      </c>
      <c r="R834" s="31">
        <v>44951</v>
      </c>
      <c r="S834" s="31" t="s">
        <v>3121</v>
      </c>
      <c r="T834" s="95" t="str">
        <f t="shared" si="65"/>
        <v>2023 01</v>
      </c>
      <c r="U834" s="32">
        <f t="shared" si="62"/>
        <v>1228.0999999999999</v>
      </c>
      <c r="V834" s="22">
        <f t="shared" si="63"/>
        <v>0.96556333045050702</v>
      </c>
      <c r="X834" s="33"/>
      <c r="Y834" s="33"/>
    </row>
    <row r="835" spans="1:25" x14ac:dyDescent="0.2">
      <c r="A835" s="93" t="s">
        <v>375</v>
      </c>
      <c r="B835" s="94">
        <f>IFERROR(VLOOKUP($A835,HeadJournal!$A$1:$NTR$890,COLUMN(HeadJournal!B$1),0),"")</f>
        <v>0</v>
      </c>
      <c r="C835" s="94" t="str">
        <f>IFERROR(VLOOKUP($A835,HeadJournal!$A$1:$NTR$890,COLUMN(HeadJournal!C$1),0),"")</f>
        <v>OZON_AV</v>
      </c>
      <c r="D835" s="125" t="str">
        <f>IFERROR(VLOOKUP($A835,HeadJournal!$A$1:$NTR$890,COLUMN(HeadJournal!D$1),0),"")</f>
        <v>Доставлен</v>
      </c>
      <c r="E835" s="95">
        <f>IFERROR(VLOOKUP($A835,HeadJournal!$A$1:$NTR$890,COLUMN(HeadJournal!G$1),0),"")</f>
        <v>44945</v>
      </c>
      <c r="F835" s="95" t="str">
        <f t="shared" si="64"/>
        <v>2023 01</v>
      </c>
      <c r="G835" s="96" t="s">
        <v>6</v>
      </c>
      <c r="H835" s="160" t="str">
        <f>RIGHT(Journal!$J835,9)</f>
        <v>310155519</v>
      </c>
      <c r="I835" s="96" t="str">
        <f t="shared" ref="I835:I897" si="66">IFERROR(LEFT(J835,FIND(",",J835)-1),"")</f>
        <v>BIG</v>
      </c>
      <c r="J835" s="97" t="s">
        <v>376</v>
      </c>
      <c r="K835" s="29">
        <v>1106</v>
      </c>
      <c r="L835" s="29"/>
      <c r="M835" s="30">
        <f>IFERROR(VLOOKUP($A835,HeadJournal!$A$1:$J$890,COLUMN(HeadJournal!I$1),0)*($K835+$L835)/(SUMIF($A:$A,$A835,$K:$K)+SUMIF($A:$A,$A835,$L:$L)),0)</f>
        <v>0</v>
      </c>
      <c r="N835" s="30">
        <f>IFERROR((VLOOKUP($A835,HeadJournal!$A$1:$K$890,COLUMN(HeadJournal!K$1),0)-VLOOKUP($A835,HeadJournal!$A$1:$K$890,COLUMN(HeadJournal!J$1),0))*($K835+$L835)/(SUMIF($A:$A,$A835,$K:$K)+SUMIF($A:$A,$A835,$L:$L)),0)</f>
        <v>0</v>
      </c>
      <c r="O835" s="30">
        <f>IFERROR((VLOOKUP($A835,HeadJournal!$A$1:$L$890,COLUMN(HeadJournal!L$1),0)*($K835+$L835)/(SUMIF($A:$A,$A835,$K:$K)+SUMIF($A:$A,$A835,$L:$L)))/VLOOKUP($A835,HeadJournal!$A$1:$L$890,COLUMN(HeadJournal!H$1),0),0)</f>
        <v>165.9</v>
      </c>
      <c r="P835" s="30">
        <f>IFERROR(SUM(K835:O835)*VLOOKUP($A835,HeadJournal!$A$1:$L$890,COLUMN(HeadJournal!H$1),0),0)</f>
        <v>1271.9000000000001</v>
      </c>
      <c r="Q835" s="29">
        <v>2500</v>
      </c>
      <c r="R835" s="31">
        <v>44964</v>
      </c>
      <c r="S835" s="31" t="s">
        <v>3121</v>
      </c>
      <c r="T835" s="95" t="str">
        <f t="shared" si="65"/>
        <v>2023 02</v>
      </c>
      <c r="U835" s="32">
        <f t="shared" ref="U835:U897" si="67">Q835-P835</f>
        <v>1228.0999999999999</v>
      </c>
      <c r="V835" s="22">
        <f t="shared" ref="V835:V897" si="68">IF(Q835&lt;&gt;0,IFERROR(U835/P835,""),"")</f>
        <v>0.96556333045050702</v>
      </c>
      <c r="X835" s="33"/>
      <c r="Y835" s="33"/>
    </row>
    <row r="836" spans="1:25" x14ac:dyDescent="0.2">
      <c r="A836" s="93" t="s">
        <v>375</v>
      </c>
      <c r="B836" s="94">
        <f>IFERROR(VLOOKUP($A836,HeadJournal!$A$1:$NTR$890,COLUMN(HeadJournal!B$1),0),"")</f>
        <v>0</v>
      </c>
      <c r="C836" s="94" t="str">
        <f>IFERROR(VLOOKUP($A836,HeadJournal!$A$1:$NTR$890,COLUMN(HeadJournal!C$1),0),"")</f>
        <v>OZON_AV</v>
      </c>
      <c r="D836" s="125" t="str">
        <f>IFERROR(VLOOKUP($A836,HeadJournal!$A$1:$NTR$890,COLUMN(HeadJournal!D$1),0),"")</f>
        <v>Доставлен</v>
      </c>
      <c r="E836" s="95">
        <f>IFERROR(VLOOKUP($A836,HeadJournal!$A$1:$NTR$890,COLUMN(HeadJournal!G$1),0),"")</f>
        <v>44945</v>
      </c>
      <c r="F836" s="95" t="str">
        <f t="shared" ref="F836:F899" si="69">IFERROR(TEXT(E836, "ГГГГ ММ"),"")</f>
        <v>2023 01</v>
      </c>
      <c r="G836" s="96" t="s">
        <v>6</v>
      </c>
      <c r="H836" s="160" t="str">
        <f>RIGHT(Journal!$J836,9)</f>
        <v>313159974</v>
      </c>
      <c r="I836" s="96" t="str">
        <f t="shared" si="66"/>
        <v>BIG</v>
      </c>
      <c r="J836" s="97" t="s">
        <v>325</v>
      </c>
      <c r="K836" s="29">
        <v>606</v>
      </c>
      <c r="L836" s="29"/>
      <c r="M836" s="30">
        <f>IFERROR(VLOOKUP($A836,HeadJournal!$A$1:$J$890,COLUMN(HeadJournal!I$1),0)*($K836+$L836)/(SUMIF($A:$A,$A836,$K:$K)+SUMIF($A:$A,$A836,$L:$L)),0)</f>
        <v>0</v>
      </c>
      <c r="N836" s="30">
        <f>IFERROR((VLOOKUP($A836,HeadJournal!$A$1:$K$890,COLUMN(HeadJournal!K$1),0)-VLOOKUP($A836,HeadJournal!$A$1:$K$890,COLUMN(HeadJournal!J$1),0))*($K836+$L836)/(SUMIF($A:$A,$A836,$K:$K)+SUMIF($A:$A,$A836,$L:$L)),0)</f>
        <v>0</v>
      </c>
      <c r="O836" s="30">
        <f>IFERROR((VLOOKUP($A836,HeadJournal!$A$1:$L$890,COLUMN(HeadJournal!L$1),0)*($K836+$L836)/(SUMIF($A:$A,$A836,$K:$K)+SUMIF($A:$A,$A836,$L:$L)))/VLOOKUP($A836,HeadJournal!$A$1:$L$890,COLUMN(HeadJournal!H$1),0),0)</f>
        <v>90.9</v>
      </c>
      <c r="P836" s="30">
        <f>IFERROR(SUM(K836:O836)*VLOOKUP($A836,HeadJournal!$A$1:$L$890,COLUMN(HeadJournal!H$1),0),0)</f>
        <v>696.9</v>
      </c>
      <c r="Q836" s="29">
        <v>1500</v>
      </c>
      <c r="R836" s="31">
        <v>44964</v>
      </c>
      <c r="S836" s="31" t="s">
        <v>3121</v>
      </c>
      <c r="T836" s="95" t="str">
        <f t="shared" ref="T836:T899" si="70">IF(R836="","",TEXT(R836,"ГГГГ ММ"))</f>
        <v>2023 02</v>
      </c>
      <c r="U836" s="32">
        <f t="shared" si="67"/>
        <v>803.1</v>
      </c>
      <c r="V836" s="22">
        <f t="shared" si="68"/>
        <v>1.1523891519586742</v>
      </c>
      <c r="X836" s="33"/>
      <c r="Y836" s="33"/>
    </row>
    <row r="837" spans="1:25" x14ac:dyDescent="0.2">
      <c r="A837" s="93" t="s">
        <v>375</v>
      </c>
      <c r="B837" s="94">
        <f>IFERROR(VLOOKUP($A837,HeadJournal!$A$1:$NTR$890,COLUMN(HeadJournal!B$1),0),"")</f>
        <v>0</v>
      </c>
      <c r="C837" s="94" t="str">
        <f>IFERROR(VLOOKUP($A837,HeadJournal!$A$1:$NTR$890,COLUMN(HeadJournal!C$1),0),"")</f>
        <v>OZON_AV</v>
      </c>
      <c r="D837" s="125" t="str">
        <f>IFERROR(VLOOKUP($A837,HeadJournal!$A$1:$NTR$890,COLUMN(HeadJournal!D$1),0),"")</f>
        <v>Доставлен</v>
      </c>
      <c r="E837" s="95">
        <f>IFERROR(VLOOKUP($A837,HeadJournal!$A$1:$NTR$890,COLUMN(HeadJournal!G$1),0),"")</f>
        <v>44945</v>
      </c>
      <c r="F837" s="95" t="str">
        <f t="shared" si="69"/>
        <v>2023 01</v>
      </c>
      <c r="G837" s="96" t="s">
        <v>6</v>
      </c>
      <c r="H837" s="160" t="str">
        <f>RIGHT(Journal!$J837,9)</f>
        <v>313159974</v>
      </c>
      <c r="I837" s="96" t="str">
        <f t="shared" si="66"/>
        <v>BIG</v>
      </c>
      <c r="J837" s="97" t="s">
        <v>325</v>
      </c>
      <c r="K837" s="29">
        <v>606</v>
      </c>
      <c r="L837" s="29"/>
      <c r="M837" s="30">
        <f>IFERROR(VLOOKUP($A837,HeadJournal!$A$1:$J$890,COLUMN(HeadJournal!I$1),0)*($K837+$L837)/(SUMIF($A:$A,$A837,$K:$K)+SUMIF($A:$A,$A837,$L:$L)),0)</f>
        <v>0</v>
      </c>
      <c r="N837" s="30">
        <f>IFERROR((VLOOKUP($A837,HeadJournal!$A$1:$K$890,COLUMN(HeadJournal!K$1),0)-VLOOKUP($A837,HeadJournal!$A$1:$K$890,COLUMN(HeadJournal!J$1),0))*($K837+$L837)/(SUMIF($A:$A,$A837,$K:$K)+SUMIF($A:$A,$A837,$L:$L)),0)</f>
        <v>0</v>
      </c>
      <c r="O837" s="30">
        <f>IFERROR((VLOOKUP($A837,HeadJournal!$A$1:$L$890,COLUMN(HeadJournal!L$1),0)*($K837+$L837)/(SUMIF($A:$A,$A837,$K:$K)+SUMIF($A:$A,$A837,$L:$L)))/VLOOKUP($A837,HeadJournal!$A$1:$L$890,COLUMN(HeadJournal!H$1),0),0)</f>
        <v>90.9</v>
      </c>
      <c r="P837" s="30">
        <f>IFERROR(SUM(K837:O837)*VLOOKUP($A837,HeadJournal!$A$1:$L$890,COLUMN(HeadJournal!H$1),0),0)</f>
        <v>696.9</v>
      </c>
      <c r="Q837" s="29">
        <v>1400</v>
      </c>
      <c r="R837" s="31">
        <v>44980</v>
      </c>
      <c r="S837" s="31" t="s">
        <v>3121</v>
      </c>
      <c r="T837" s="95" t="str">
        <f t="shared" si="70"/>
        <v>2023 02</v>
      </c>
      <c r="U837" s="32">
        <f t="shared" si="67"/>
        <v>703.1</v>
      </c>
      <c r="V837" s="22">
        <f t="shared" si="68"/>
        <v>1.008896541828096</v>
      </c>
      <c r="X837" s="33"/>
      <c r="Y837" s="33"/>
    </row>
    <row r="838" spans="1:25" x14ac:dyDescent="0.2">
      <c r="A838" s="93" t="s">
        <v>375</v>
      </c>
      <c r="B838" s="94">
        <f>IFERROR(VLOOKUP($A838,HeadJournal!$A$1:$NTR$890,COLUMN(HeadJournal!B$1),0),"")</f>
        <v>0</v>
      </c>
      <c r="C838" s="94" t="str">
        <f>IFERROR(VLOOKUP($A838,HeadJournal!$A$1:$NTR$890,COLUMN(HeadJournal!C$1),0),"")</f>
        <v>OZON_AV</v>
      </c>
      <c r="D838" s="125" t="str">
        <f>IFERROR(VLOOKUP($A838,HeadJournal!$A$1:$NTR$890,COLUMN(HeadJournal!D$1),0),"")</f>
        <v>Доставлен</v>
      </c>
      <c r="E838" s="95">
        <f>IFERROR(VLOOKUP($A838,HeadJournal!$A$1:$NTR$890,COLUMN(HeadJournal!G$1),0),"")</f>
        <v>44945</v>
      </c>
      <c r="F838" s="95" t="str">
        <f t="shared" si="69"/>
        <v>2023 01</v>
      </c>
      <c r="G838" s="96" t="s">
        <v>6</v>
      </c>
      <c r="H838" s="160" t="str">
        <f>RIGHT(Journal!$J838,9)</f>
        <v>310120188</v>
      </c>
      <c r="I838" s="96" t="str">
        <f t="shared" si="66"/>
        <v>BIG</v>
      </c>
      <c r="J838" s="97" t="s">
        <v>377</v>
      </c>
      <c r="K838" s="29">
        <v>606</v>
      </c>
      <c r="L838" s="29"/>
      <c r="M838" s="30">
        <f>IFERROR(VLOOKUP($A838,HeadJournal!$A$1:$J$890,COLUMN(HeadJournal!I$1),0)*($K838+$L838)/(SUMIF($A:$A,$A838,$K:$K)+SUMIF($A:$A,$A838,$L:$L)),0)</f>
        <v>0</v>
      </c>
      <c r="N838" s="30">
        <f>IFERROR((VLOOKUP($A838,HeadJournal!$A$1:$K$890,COLUMN(HeadJournal!K$1),0)-VLOOKUP($A838,HeadJournal!$A$1:$K$890,COLUMN(HeadJournal!J$1),0))*($K838+$L838)/(SUMIF($A:$A,$A838,$K:$K)+SUMIF($A:$A,$A838,$L:$L)),0)</f>
        <v>0</v>
      </c>
      <c r="O838" s="30">
        <f>IFERROR((VLOOKUP($A838,HeadJournal!$A$1:$L$890,COLUMN(HeadJournal!L$1),0)*($K838+$L838)/(SUMIF($A:$A,$A838,$K:$K)+SUMIF($A:$A,$A838,$L:$L)))/VLOOKUP($A838,HeadJournal!$A$1:$L$890,COLUMN(HeadJournal!H$1),0),0)</f>
        <v>90.9</v>
      </c>
      <c r="P838" s="30">
        <f>IFERROR(SUM(K838:O838)*VLOOKUP($A838,HeadJournal!$A$1:$L$890,COLUMN(HeadJournal!H$1),0),0)</f>
        <v>696.9</v>
      </c>
      <c r="Q838" s="29">
        <v>1400</v>
      </c>
      <c r="R838" s="31">
        <v>45020</v>
      </c>
      <c r="S838" s="31" t="s">
        <v>3121</v>
      </c>
      <c r="T838" s="95" t="str">
        <f t="shared" si="70"/>
        <v>2023 04</v>
      </c>
      <c r="U838" s="32">
        <f t="shared" si="67"/>
        <v>703.1</v>
      </c>
      <c r="V838" s="22">
        <f t="shared" si="68"/>
        <v>1.008896541828096</v>
      </c>
      <c r="X838" s="33"/>
      <c r="Y838" s="33"/>
    </row>
    <row r="839" spans="1:25" x14ac:dyDescent="0.2">
      <c r="A839" s="93" t="s">
        <v>375</v>
      </c>
      <c r="B839" s="94">
        <f>IFERROR(VLOOKUP($A839,HeadJournal!$A$1:$NTR$890,COLUMN(HeadJournal!B$1),0),"")</f>
        <v>0</v>
      </c>
      <c r="C839" s="94" t="str">
        <f>IFERROR(VLOOKUP($A839,HeadJournal!$A$1:$NTR$890,COLUMN(HeadJournal!C$1),0),"")</f>
        <v>OZON_AV</v>
      </c>
      <c r="D839" s="125" t="str">
        <f>IFERROR(VLOOKUP($A839,HeadJournal!$A$1:$NTR$890,COLUMN(HeadJournal!D$1),0),"")</f>
        <v>Доставлен</v>
      </c>
      <c r="E839" s="95">
        <f>IFERROR(VLOOKUP($A839,HeadJournal!$A$1:$NTR$890,COLUMN(HeadJournal!G$1),0),"")</f>
        <v>44945</v>
      </c>
      <c r="F839" s="95" t="str">
        <f t="shared" si="69"/>
        <v>2023 01</v>
      </c>
      <c r="G839" s="96" t="s">
        <v>6</v>
      </c>
      <c r="H839" s="160" t="str">
        <f>RIGHT(Journal!$J839,9)</f>
        <v>310148133</v>
      </c>
      <c r="I839" s="96" t="str">
        <f t="shared" si="66"/>
        <v>BIG</v>
      </c>
      <c r="J839" s="97" t="s">
        <v>378</v>
      </c>
      <c r="K839" s="29">
        <v>1129</v>
      </c>
      <c r="L839" s="29"/>
      <c r="M839" s="30">
        <f>IFERROR(VLOOKUP($A839,HeadJournal!$A$1:$J$890,COLUMN(HeadJournal!I$1),0)*($K839+$L839)/(SUMIF($A:$A,$A839,$K:$K)+SUMIF($A:$A,$A839,$L:$L)),0)</f>
        <v>0</v>
      </c>
      <c r="N839" s="30">
        <f>IFERROR((VLOOKUP($A839,HeadJournal!$A$1:$K$890,COLUMN(HeadJournal!K$1),0)-VLOOKUP($A839,HeadJournal!$A$1:$K$890,COLUMN(HeadJournal!J$1),0))*($K839+$L839)/(SUMIF($A:$A,$A839,$K:$K)+SUMIF($A:$A,$A839,$L:$L)),0)</f>
        <v>0</v>
      </c>
      <c r="O839" s="30">
        <f>IFERROR((VLOOKUP($A839,HeadJournal!$A$1:$L$890,COLUMN(HeadJournal!L$1),0)*($K839+$L839)/(SUMIF($A:$A,$A839,$K:$K)+SUMIF($A:$A,$A839,$L:$L)))/VLOOKUP($A839,HeadJournal!$A$1:$L$890,COLUMN(HeadJournal!H$1),0),0)</f>
        <v>169.35</v>
      </c>
      <c r="P839" s="30">
        <f>IFERROR(SUM(K839:O839)*VLOOKUP($A839,HeadJournal!$A$1:$L$890,COLUMN(HeadJournal!H$1),0),0)</f>
        <v>1298.3499999999999</v>
      </c>
      <c r="Q839" s="29">
        <v>2500</v>
      </c>
      <c r="R839" s="31">
        <v>44959</v>
      </c>
      <c r="S839" s="31" t="s">
        <v>3121</v>
      </c>
      <c r="T839" s="95" t="str">
        <f t="shared" si="70"/>
        <v>2023 02</v>
      </c>
      <c r="U839" s="32">
        <f t="shared" si="67"/>
        <v>1201.6500000000001</v>
      </c>
      <c r="V839" s="22">
        <f t="shared" si="68"/>
        <v>0.92552085339084234</v>
      </c>
      <c r="X839" s="33"/>
      <c r="Y839" s="33"/>
    </row>
    <row r="840" spans="1:25" x14ac:dyDescent="0.2">
      <c r="A840" s="93" t="s">
        <v>379</v>
      </c>
      <c r="B840" s="94">
        <f>IFERROR(VLOOKUP($A840,HeadJournal!$A$1:$NTR$890,COLUMN(HeadJournal!B$1),0),"")</f>
        <v>0</v>
      </c>
      <c r="C840" s="94" t="str">
        <f>IFERROR(VLOOKUP($A840,HeadJournal!$A$1:$NTR$890,COLUMN(HeadJournal!C$1),0),"")</f>
        <v>OZON_AV</v>
      </c>
      <c r="D840" s="125" t="str">
        <f>IFERROR(VLOOKUP($A840,HeadJournal!$A$1:$NTR$890,COLUMN(HeadJournal!D$1),0),"")</f>
        <v>Доставлен</v>
      </c>
      <c r="E840" s="95">
        <f>IFERROR(VLOOKUP($A840,HeadJournal!$A$1:$NTR$890,COLUMN(HeadJournal!G$1),0),"")</f>
        <v>44946</v>
      </c>
      <c r="F840" s="95" t="str">
        <f t="shared" si="69"/>
        <v>2023 01</v>
      </c>
      <c r="G840" s="96" t="s">
        <v>6</v>
      </c>
      <c r="H840" s="160" t="str">
        <f>RIGHT(Journal!$J840,9)</f>
        <v>799989016</v>
      </c>
      <c r="I840" s="96" t="str">
        <f t="shared" si="66"/>
        <v>Cult</v>
      </c>
      <c r="J840" s="97" t="s">
        <v>3514</v>
      </c>
      <c r="K840" s="29">
        <v>1693.5</v>
      </c>
      <c r="L840" s="29"/>
      <c r="M840" s="30">
        <f>IFERROR(VLOOKUP($A840,HeadJournal!$A$1:$J$890,COLUMN(HeadJournal!I$1),0)*($K840+$L840)/(SUMIF($A:$A,$A840,$K:$K)+SUMIF($A:$A,$A840,$L:$L)),0)</f>
        <v>0</v>
      </c>
      <c r="N840" s="30">
        <f>IFERROR((VLOOKUP($A840,HeadJournal!$A$1:$K$890,COLUMN(HeadJournal!K$1),0)-VLOOKUP($A840,HeadJournal!$A$1:$K$890,COLUMN(HeadJournal!J$1),0))*($K840+$L840)/(SUMIF($A:$A,$A840,$K:$K)+SUMIF($A:$A,$A840,$L:$L)),0)</f>
        <v>0</v>
      </c>
      <c r="O840" s="30">
        <f>IFERROR((VLOOKUP($A840,HeadJournal!$A$1:$L$890,COLUMN(HeadJournal!L$1),0)*($K840+$L840)/(SUMIF($A:$A,$A840,$K:$K)+SUMIF($A:$A,$A840,$L:$L)))/VLOOKUP($A840,HeadJournal!$A$1:$L$890,COLUMN(HeadJournal!H$1),0),0)</f>
        <v>254.02499999999998</v>
      </c>
      <c r="P840" s="30">
        <f>IFERROR(SUM(K840:O840)*VLOOKUP($A840,HeadJournal!$A$1:$L$890,COLUMN(HeadJournal!H$1),0),0)</f>
        <v>1947.5250000000001</v>
      </c>
      <c r="Q840" s="29">
        <v>3000</v>
      </c>
      <c r="R840" s="31">
        <v>44960</v>
      </c>
      <c r="S840" s="31" t="s">
        <v>3121</v>
      </c>
      <c r="T840" s="95" t="str">
        <f t="shared" si="70"/>
        <v>2023 02</v>
      </c>
      <c r="U840" s="32">
        <f t="shared" si="67"/>
        <v>1052.4749999999999</v>
      </c>
      <c r="V840" s="22">
        <f t="shared" si="68"/>
        <v>0.54041668271267373</v>
      </c>
      <c r="X840" s="33"/>
      <c r="Y840" s="33"/>
    </row>
    <row r="841" spans="1:25" x14ac:dyDescent="0.2">
      <c r="A841" s="93" t="s">
        <v>379</v>
      </c>
      <c r="B841" s="94">
        <f>IFERROR(VLOOKUP($A841,HeadJournal!$A$1:$NTR$890,COLUMN(HeadJournal!B$1),0),"")</f>
        <v>0</v>
      </c>
      <c r="C841" s="94" t="str">
        <f>IFERROR(VLOOKUP($A841,HeadJournal!$A$1:$NTR$890,COLUMN(HeadJournal!C$1),0),"")</f>
        <v>OZON_AV</v>
      </c>
      <c r="D841" s="125" t="str">
        <f>IFERROR(VLOOKUP($A841,HeadJournal!$A$1:$NTR$890,COLUMN(HeadJournal!D$1),0),"")</f>
        <v>Доставлен</v>
      </c>
      <c r="E841" s="95">
        <f>IFERROR(VLOOKUP($A841,HeadJournal!$A$1:$NTR$890,COLUMN(HeadJournal!G$1),0),"")</f>
        <v>44946</v>
      </c>
      <c r="F841" s="95" t="str">
        <f t="shared" si="69"/>
        <v>2023 01</v>
      </c>
      <c r="G841" s="96" t="s">
        <v>6</v>
      </c>
      <c r="H841" s="160" t="str">
        <f>RIGHT(Journal!$J841,9)</f>
        <v>799989016</v>
      </c>
      <c r="I841" s="96" t="str">
        <f t="shared" si="66"/>
        <v>Cult</v>
      </c>
      <c r="J841" s="97" t="s">
        <v>3514</v>
      </c>
      <c r="K841" s="29">
        <v>1693.5</v>
      </c>
      <c r="L841" s="29"/>
      <c r="M841" s="30">
        <f>IFERROR(VLOOKUP($A841,HeadJournal!$A$1:$J$890,COLUMN(HeadJournal!I$1),0)*($K841+$L841)/(SUMIF($A:$A,$A841,$K:$K)+SUMIF($A:$A,$A841,$L:$L)),0)</f>
        <v>0</v>
      </c>
      <c r="N841" s="30">
        <f>IFERROR((VLOOKUP($A841,HeadJournal!$A$1:$K$890,COLUMN(HeadJournal!K$1),0)-VLOOKUP($A841,HeadJournal!$A$1:$K$890,COLUMN(HeadJournal!J$1),0))*($K841+$L841)/(SUMIF($A:$A,$A841,$K:$K)+SUMIF($A:$A,$A841,$L:$L)),0)</f>
        <v>0</v>
      </c>
      <c r="O841" s="30">
        <f>IFERROR((VLOOKUP($A841,HeadJournal!$A$1:$L$890,COLUMN(HeadJournal!L$1),0)*($K841+$L841)/(SUMIF($A:$A,$A841,$K:$K)+SUMIF($A:$A,$A841,$L:$L)))/VLOOKUP($A841,HeadJournal!$A$1:$L$890,COLUMN(HeadJournal!H$1),0),0)</f>
        <v>254.02499999999998</v>
      </c>
      <c r="P841" s="30">
        <f>IFERROR(SUM(K841:O841)*VLOOKUP($A841,HeadJournal!$A$1:$L$890,COLUMN(HeadJournal!H$1),0),0)</f>
        <v>1947.5250000000001</v>
      </c>
      <c r="Q841" s="29">
        <v>3100</v>
      </c>
      <c r="R841" s="31">
        <v>44973</v>
      </c>
      <c r="S841" s="31" t="s">
        <v>3121</v>
      </c>
      <c r="T841" s="95" t="str">
        <f t="shared" si="70"/>
        <v>2023 02</v>
      </c>
      <c r="U841" s="32">
        <f t="shared" si="67"/>
        <v>1152.4749999999999</v>
      </c>
      <c r="V841" s="22">
        <f t="shared" si="68"/>
        <v>0.59176390546976287</v>
      </c>
      <c r="X841" s="33"/>
      <c r="Y841" s="33"/>
    </row>
    <row r="842" spans="1:25" x14ac:dyDescent="0.2">
      <c r="A842" s="93" t="s">
        <v>380</v>
      </c>
      <c r="B842" s="94">
        <f>IFERROR(VLOOKUP($A842,HeadJournal!$A$1:$NTR$890,COLUMN(HeadJournal!B$1),0),"")</f>
        <v>0</v>
      </c>
      <c r="C842" s="94" t="str">
        <f>IFERROR(VLOOKUP($A842,HeadJournal!$A$1:$NTR$890,COLUMN(HeadJournal!C$1),0),"")</f>
        <v>OZON_AV</v>
      </c>
      <c r="D842" s="125" t="str">
        <f>IFERROR(VLOOKUP($A842,HeadJournal!$A$1:$NTR$890,COLUMN(HeadJournal!D$1),0),"")</f>
        <v>Доставлен</v>
      </c>
      <c r="E842" s="95">
        <f>IFERROR(VLOOKUP($A842,HeadJournal!$A$1:$NTR$890,COLUMN(HeadJournal!G$1),0),"")</f>
        <v>44947</v>
      </c>
      <c r="F842" s="95" t="str">
        <f t="shared" si="69"/>
        <v>2023 01</v>
      </c>
      <c r="G842" s="96" t="s">
        <v>6</v>
      </c>
      <c r="H842" s="160" t="str">
        <f>RIGHT(Journal!$J842,9)</f>
        <v>200508013</v>
      </c>
      <c r="I842" s="96" t="str">
        <f t="shared" si="66"/>
        <v>RusLab</v>
      </c>
      <c r="J842" s="97" t="s">
        <v>381</v>
      </c>
      <c r="K842" s="29">
        <v>710</v>
      </c>
      <c r="L842" s="29">
        <v>0</v>
      </c>
      <c r="M842" s="30">
        <f>IFERROR(VLOOKUP($A842,HeadJournal!$A$1:$J$890,COLUMN(HeadJournal!I$1),0)*($K842+$L842)/(SUMIF($A:$A,$A842,$K:$K)+SUMIF($A:$A,$A842,$L:$L)),0)</f>
        <v>0</v>
      </c>
      <c r="N842" s="30">
        <f>IFERROR((VLOOKUP($A842,HeadJournal!$A$1:$K$890,COLUMN(HeadJournal!K$1),0)-VLOOKUP($A842,HeadJournal!$A$1:$K$890,COLUMN(HeadJournal!J$1),0))*($K842+$L842)/(SUMIF($A:$A,$A842,$K:$K)+SUMIF($A:$A,$A842,$L:$L)),0)</f>
        <v>0</v>
      </c>
      <c r="O842" s="30">
        <f>IFERROR((VLOOKUP($A842,HeadJournal!$A$1:$L$890,COLUMN(HeadJournal!L$1),0)*($K842+$L842)/(SUMIF($A:$A,$A842,$K:$K)+SUMIF($A:$A,$A842,$L:$L)))/VLOOKUP($A842,HeadJournal!$A$1:$L$890,COLUMN(HeadJournal!H$1),0),0)</f>
        <v>106.5</v>
      </c>
      <c r="P842" s="30">
        <f>IFERROR(SUM(K842:O842)*VLOOKUP($A842,HeadJournal!$A$1:$L$890,COLUMN(HeadJournal!H$1),0),0)</f>
        <v>816.5</v>
      </c>
      <c r="Q842" s="29">
        <v>1300</v>
      </c>
      <c r="R842" s="31">
        <v>44988</v>
      </c>
      <c r="S842" s="31" t="s">
        <v>3121</v>
      </c>
      <c r="T842" s="95" t="str">
        <f t="shared" si="70"/>
        <v>2023 03</v>
      </c>
      <c r="U842" s="32">
        <f t="shared" si="67"/>
        <v>483.5</v>
      </c>
      <c r="V842" s="22">
        <f t="shared" si="68"/>
        <v>0.59216166564605022</v>
      </c>
      <c r="X842" s="33"/>
      <c r="Y842" s="33"/>
    </row>
    <row r="843" spans="1:25" x14ac:dyDescent="0.2">
      <c r="A843" s="93" t="s">
        <v>380</v>
      </c>
      <c r="B843" s="94">
        <f>IFERROR(VLOOKUP($A843,HeadJournal!$A$1:$NTR$890,COLUMN(HeadJournal!B$1),0),"")</f>
        <v>0</v>
      </c>
      <c r="C843" s="94" t="str">
        <f>IFERROR(VLOOKUP($A843,HeadJournal!$A$1:$NTR$890,COLUMN(HeadJournal!C$1),0),"")</f>
        <v>OZON_AV</v>
      </c>
      <c r="D843" s="125" t="str">
        <f>IFERROR(VLOOKUP($A843,HeadJournal!$A$1:$NTR$890,COLUMN(HeadJournal!D$1),0),"")</f>
        <v>Доставлен</v>
      </c>
      <c r="E843" s="95">
        <f>IFERROR(VLOOKUP($A843,HeadJournal!$A$1:$NTR$890,COLUMN(HeadJournal!G$1),0),"")</f>
        <v>44947</v>
      </c>
      <c r="F843" s="95" t="str">
        <f t="shared" si="69"/>
        <v>2023 01</v>
      </c>
      <c r="G843" s="96" t="s">
        <v>6</v>
      </c>
      <c r="H843" s="160" t="str">
        <f>RIGHT(Journal!$J843,9)</f>
        <v>200508013</v>
      </c>
      <c r="I843" s="96" t="str">
        <f t="shared" si="66"/>
        <v>RusLab</v>
      </c>
      <c r="J843" s="97" t="s">
        <v>381</v>
      </c>
      <c r="K843" s="29">
        <v>710</v>
      </c>
      <c r="L843" s="29">
        <v>0</v>
      </c>
      <c r="M843" s="30">
        <f>IFERROR(VLOOKUP($A843,HeadJournal!$A$1:$J$890,COLUMN(HeadJournal!I$1),0)*($K843+$L843)/(SUMIF($A:$A,$A843,$K:$K)+SUMIF($A:$A,$A843,$L:$L)),0)</f>
        <v>0</v>
      </c>
      <c r="N843" s="30">
        <f>IFERROR((VLOOKUP($A843,HeadJournal!$A$1:$K$890,COLUMN(HeadJournal!K$1),0)-VLOOKUP($A843,HeadJournal!$A$1:$K$890,COLUMN(HeadJournal!J$1),0))*($K843+$L843)/(SUMIF($A:$A,$A843,$K:$K)+SUMIF($A:$A,$A843,$L:$L)),0)</f>
        <v>0</v>
      </c>
      <c r="O843" s="30">
        <f>IFERROR((VLOOKUP($A843,HeadJournal!$A$1:$L$890,COLUMN(HeadJournal!L$1),0)*($K843+$L843)/(SUMIF($A:$A,$A843,$K:$K)+SUMIF($A:$A,$A843,$L:$L)))/VLOOKUP($A843,HeadJournal!$A$1:$L$890,COLUMN(HeadJournal!H$1),0),0)</f>
        <v>106.5</v>
      </c>
      <c r="P843" s="30">
        <f>IFERROR(SUM(K843:O843)*VLOOKUP($A843,HeadJournal!$A$1:$L$890,COLUMN(HeadJournal!H$1),0),0)</f>
        <v>816.5</v>
      </c>
      <c r="Q843" s="29">
        <v>1300</v>
      </c>
      <c r="R843" s="31">
        <v>44989</v>
      </c>
      <c r="S843" s="31" t="s">
        <v>3121</v>
      </c>
      <c r="T843" s="95" t="str">
        <f t="shared" si="70"/>
        <v>2023 03</v>
      </c>
      <c r="U843" s="32">
        <f t="shared" si="67"/>
        <v>483.5</v>
      </c>
      <c r="V843" s="22">
        <f t="shared" si="68"/>
        <v>0.59216166564605022</v>
      </c>
      <c r="X843" s="33"/>
      <c r="Y843" s="33"/>
    </row>
    <row r="844" spans="1:25" x14ac:dyDescent="0.2">
      <c r="A844" s="93" t="s">
        <v>380</v>
      </c>
      <c r="B844" s="94">
        <f>IFERROR(VLOOKUP($A844,HeadJournal!$A$1:$NTR$890,COLUMN(HeadJournal!B$1),0),"")</f>
        <v>0</v>
      </c>
      <c r="C844" s="94" t="str">
        <f>IFERROR(VLOOKUP($A844,HeadJournal!$A$1:$NTR$890,COLUMN(HeadJournal!C$1),0),"")</f>
        <v>OZON_AV</v>
      </c>
      <c r="D844" s="125" t="str">
        <f>IFERROR(VLOOKUP($A844,HeadJournal!$A$1:$NTR$890,COLUMN(HeadJournal!D$1),0),"")</f>
        <v>Доставлен</v>
      </c>
      <c r="E844" s="95">
        <f>IFERROR(VLOOKUP($A844,HeadJournal!$A$1:$NTR$890,COLUMN(HeadJournal!G$1),0),"")</f>
        <v>44947</v>
      </c>
      <c r="F844" s="95" t="str">
        <f t="shared" si="69"/>
        <v>2023 01</v>
      </c>
      <c r="G844" s="96" t="s">
        <v>6</v>
      </c>
      <c r="H844" s="160" t="str">
        <f>RIGHT(Journal!$J844,9)</f>
        <v>790318217</v>
      </c>
      <c r="I844" s="96" t="str">
        <f t="shared" si="66"/>
        <v>SOUL WAY</v>
      </c>
      <c r="J844" s="97" t="s">
        <v>382</v>
      </c>
      <c r="K844" s="29">
        <v>975</v>
      </c>
      <c r="L844" s="29"/>
      <c r="M844" s="30">
        <f>IFERROR(VLOOKUP($A844,HeadJournal!$A$1:$J$890,COLUMN(HeadJournal!I$1),0)*($K844+$L844)/(SUMIF($A:$A,$A844,$K:$K)+SUMIF($A:$A,$A844,$L:$L)),0)</f>
        <v>0</v>
      </c>
      <c r="N844" s="30">
        <f>IFERROR((VLOOKUP($A844,HeadJournal!$A$1:$K$890,COLUMN(HeadJournal!K$1),0)-VLOOKUP($A844,HeadJournal!$A$1:$K$890,COLUMN(HeadJournal!J$1),0))*($K844+$L844)/(SUMIF($A:$A,$A844,$K:$K)+SUMIF($A:$A,$A844,$L:$L)),0)</f>
        <v>0</v>
      </c>
      <c r="O844" s="30">
        <f>IFERROR((VLOOKUP($A844,HeadJournal!$A$1:$L$890,COLUMN(HeadJournal!L$1),0)*($K844+$L844)/(SUMIF($A:$A,$A844,$K:$K)+SUMIF($A:$A,$A844,$L:$L)))/VLOOKUP($A844,HeadJournal!$A$1:$L$890,COLUMN(HeadJournal!H$1),0),0)</f>
        <v>146.25</v>
      </c>
      <c r="P844" s="30">
        <f>IFERROR(SUM(K844:O844)*VLOOKUP($A844,HeadJournal!$A$1:$L$890,COLUMN(HeadJournal!H$1),0),0)</f>
        <v>1121.25</v>
      </c>
      <c r="Q844" s="29">
        <v>1500</v>
      </c>
      <c r="R844" s="31">
        <v>44964</v>
      </c>
      <c r="S844" s="31" t="s">
        <v>3121</v>
      </c>
      <c r="T844" s="95" t="str">
        <f t="shared" si="70"/>
        <v>2023 02</v>
      </c>
      <c r="U844" s="32">
        <f t="shared" si="67"/>
        <v>378.75</v>
      </c>
      <c r="V844" s="22">
        <f t="shared" si="68"/>
        <v>0.33779264214046822</v>
      </c>
      <c r="X844" s="33"/>
      <c r="Y844" s="33"/>
    </row>
    <row r="845" spans="1:25" x14ac:dyDescent="0.2">
      <c r="A845" s="93" t="s">
        <v>380</v>
      </c>
      <c r="B845" s="94">
        <f>IFERROR(VLOOKUP($A845,HeadJournal!$A$1:$NTR$890,COLUMN(HeadJournal!B$1),0),"")</f>
        <v>0</v>
      </c>
      <c r="C845" s="94" t="str">
        <f>IFERROR(VLOOKUP($A845,HeadJournal!$A$1:$NTR$890,COLUMN(HeadJournal!C$1),0),"")</f>
        <v>OZON_AV</v>
      </c>
      <c r="D845" s="125" t="str">
        <f>IFERROR(VLOOKUP($A845,HeadJournal!$A$1:$NTR$890,COLUMN(HeadJournal!D$1),0),"")</f>
        <v>Доставлен</v>
      </c>
      <c r="E845" s="95">
        <f>IFERROR(VLOOKUP($A845,HeadJournal!$A$1:$NTR$890,COLUMN(HeadJournal!G$1),0),"")</f>
        <v>44947</v>
      </c>
      <c r="F845" s="95" t="str">
        <f t="shared" si="69"/>
        <v>2023 01</v>
      </c>
      <c r="G845" s="96" t="s">
        <v>6</v>
      </c>
      <c r="H845" s="160" t="str">
        <f>RIGHT(Journal!$J845,9)</f>
        <v>790318217</v>
      </c>
      <c r="I845" s="96" t="str">
        <f t="shared" si="66"/>
        <v>SOUL WAY</v>
      </c>
      <c r="J845" s="97" t="s">
        <v>382</v>
      </c>
      <c r="K845" s="29">
        <v>975</v>
      </c>
      <c r="L845" s="29"/>
      <c r="M845" s="30">
        <f>IFERROR(VLOOKUP($A845,HeadJournal!$A$1:$J$890,COLUMN(HeadJournal!I$1),0)*($K845+$L845)/(SUMIF($A:$A,$A845,$K:$K)+SUMIF($A:$A,$A845,$L:$L)),0)</f>
        <v>0</v>
      </c>
      <c r="N845" s="30">
        <f>IFERROR((VLOOKUP($A845,HeadJournal!$A$1:$K$890,COLUMN(HeadJournal!K$1),0)-VLOOKUP($A845,HeadJournal!$A$1:$K$890,COLUMN(HeadJournal!J$1),0))*($K845+$L845)/(SUMIF($A:$A,$A845,$K:$K)+SUMIF($A:$A,$A845,$L:$L)),0)</f>
        <v>0</v>
      </c>
      <c r="O845" s="30">
        <f>IFERROR((VLOOKUP($A845,HeadJournal!$A$1:$L$890,COLUMN(HeadJournal!L$1),0)*($K845+$L845)/(SUMIF($A:$A,$A845,$K:$K)+SUMIF($A:$A,$A845,$L:$L)))/VLOOKUP($A845,HeadJournal!$A$1:$L$890,COLUMN(HeadJournal!H$1),0),0)</f>
        <v>146.25</v>
      </c>
      <c r="P845" s="30">
        <f>IFERROR(SUM(K845:O845)*VLOOKUP($A845,HeadJournal!$A$1:$L$890,COLUMN(HeadJournal!H$1),0),0)</f>
        <v>1121.25</v>
      </c>
      <c r="Q845" s="29">
        <v>1500</v>
      </c>
      <c r="R845" s="31">
        <v>44971</v>
      </c>
      <c r="S845" s="31" t="s">
        <v>3121</v>
      </c>
      <c r="T845" s="95" t="str">
        <f t="shared" si="70"/>
        <v>2023 02</v>
      </c>
      <c r="U845" s="32">
        <f t="shared" si="67"/>
        <v>378.75</v>
      </c>
      <c r="V845" s="22">
        <f t="shared" si="68"/>
        <v>0.33779264214046822</v>
      </c>
      <c r="X845" s="33"/>
      <c r="Y845" s="33"/>
    </row>
    <row r="846" spans="1:25" x14ac:dyDescent="0.2">
      <c r="A846" s="93" t="s">
        <v>383</v>
      </c>
      <c r="B846" s="94">
        <f>IFERROR(VLOOKUP($A846,HeadJournal!$A$1:$NTR$890,COLUMN(HeadJournal!B$1),0),"")</f>
        <v>0</v>
      </c>
      <c r="C846" s="94" t="str">
        <f>IFERROR(VLOOKUP($A846,HeadJournal!$A$1:$NTR$890,COLUMN(HeadJournal!C$1),0),"")</f>
        <v>OZON_AV</v>
      </c>
      <c r="D846" s="125" t="str">
        <f>IFERROR(VLOOKUP($A846,HeadJournal!$A$1:$NTR$890,COLUMN(HeadJournal!D$1),0),"")</f>
        <v>Доставлен</v>
      </c>
      <c r="E846" s="95">
        <f>IFERROR(VLOOKUP($A846,HeadJournal!$A$1:$NTR$890,COLUMN(HeadJournal!G$1),0),"")</f>
        <v>44947</v>
      </c>
      <c r="F846" s="95" t="str">
        <f t="shared" si="69"/>
        <v>2023 01</v>
      </c>
      <c r="G846" s="96" t="s">
        <v>6</v>
      </c>
      <c r="H846" s="160" t="str">
        <f>RIGHT(Journal!$J846,9)</f>
        <v>688630275</v>
      </c>
      <c r="I846" s="96" t="str">
        <f t="shared" si="66"/>
        <v>TOP100</v>
      </c>
      <c r="J846" s="97" t="s">
        <v>384</v>
      </c>
      <c r="K846" s="29">
        <v>569</v>
      </c>
      <c r="L846" s="29"/>
      <c r="M846" s="30">
        <f>IFERROR(VLOOKUP($A846,HeadJournal!$A$1:$J$890,COLUMN(HeadJournal!I$1),0)*($K846+$L846)/(SUMIF($A:$A,$A846,$K:$K)+SUMIF($A:$A,$A846,$L:$L)),0)</f>
        <v>0</v>
      </c>
      <c r="N846" s="30">
        <f>IFERROR((VLOOKUP($A846,HeadJournal!$A$1:$K$890,COLUMN(HeadJournal!K$1),0)-VLOOKUP($A846,HeadJournal!$A$1:$K$890,COLUMN(HeadJournal!J$1),0))*($K846+$L846)/(SUMIF($A:$A,$A846,$K:$K)+SUMIF($A:$A,$A846,$L:$L)),0)</f>
        <v>0</v>
      </c>
      <c r="O846" s="30">
        <f>IFERROR((VLOOKUP($A846,HeadJournal!$A$1:$L$890,COLUMN(HeadJournal!L$1),0)*($K846+$L846)/(SUMIF($A:$A,$A846,$K:$K)+SUMIF($A:$A,$A846,$L:$L)))/VLOOKUP($A846,HeadJournal!$A$1:$L$890,COLUMN(HeadJournal!H$1),0),0)</f>
        <v>85.35</v>
      </c>
      <c r="P846" s="30">
        <f>IFERROR(SUM(K846:O846)*VLOOKUP($A846,HeadJournal!$A$1:$L$890,COLUMN(HeadJournal!H$1),0),0)</f>
        <v>654.35</v>
      </c>
      <c r="Q846" s="29">
        <v>1000</v>
      </c>
      <c r="R846" s="31">
        <v>45475</v>
      </c>
      <c r="S846" s="31" t="s">
        <v>3121</v>
      </c>
      <c r="T846" s="95" t="str">
        <f t="shared" si="70"/>
        <v>2024 07</v>
      </c>
      <c r="U846" s="32">
        <f t="shared" si="67"/>
        <v>345.65</v>
      </c>
      <c r="V846" s="22">
        <f t="shared" si="68"/>
        <v>0.52823412546802162</v>
      </c>
      <c r="X846" s="33"/>
      <c r="Y846" s="33"/>
    </row>
    <row r="847" spans="1:25" x14ac:dyDescent="0.2">
      <c r="A847" s="93" t="s">
        <v>383</v>
      </c>
      <c r="B847" s="94">
        <f>IFERROR(VLOOKUP($A847,HeadJournal!$A$1:$NTR$890,COLUMN(HeadJournal!B$1),0),"")</f>
        <v>0</v>
      </c>
      <c r="C847" s="94" t="str">
        <f>IFERROR(VLOOKUP($A847,HeadJournal!$A$1:$NTR$890,COLUMN(HeadJournal!C$1),0),"")</f>
        <v>OZON_AV</v>
      </c>
      <c r="D847" s="125" t="str">
        <f>IFERROR(VLOOKUP($A847,HeadJournal!$A$1:$NTR$890,COLUMN(HeadJournal!D$1),0),"")</f>
        <v>Доставлен</v>
      </c>
      <c r="E847" s="95">
        <f>IFERROR(VLOOKUP($A847,HeadJournal!$A$1:$NTR$890,COLUMN(HeadJournal!G$1),0),"")</f>
        <v>44947</v>
      </c>
      <c r="F847" s="95" t="str">
        <f t="shared" si="69"/>
        <v>2023 01</v>
      </c>
      <c r="G847" s="96" t="s">
        <v>6</v>
      </c>
      <c r="H847" s="160" t="str">
        <f>RIGHT(Journal!$J847,9)</f>
        <v>688630275</v>
      </c>
      <c r="I847" s="96" t="str">
        <f t="shared" si="66"/>
        <v>TOP100</v>
      </c>
      <c r="J847" s="97" t="s">
        <v>384</v>
      </c>
      <c r="K847" s="29">
        <v>569</v>
      </c>
      <c r="L847" s="29"/>
      <c r="M847" s="30">
        <f>IFERROR(VLOOKUP($A847,HeadJournal!$A$1:$J$890,COLUMN(HeadJournal!I$1),0)*($K847+$L847)/(SUMIF($A:$A,$A847,$K:$K)+SUMIF($A:$A,$A847,$L:$L)),0)</f>
        <v>0</v>
      </c>
      <c r="N847" s="30">
        <f>IFERROR((VLOOKUP($A847,HeadJournal!$A$1:$K$890,COLUMN(HeadJournal!K$1),0)-VLOOKUP($A847,HeadJournal!$A$1:$K$890,COLUMN(HeadJournal!J$1),0))*($K847+$L847)/(SUMIF($A:$A,$A847,$K:$K)+SUMIF($A:$A,$A847,$L:$L)),0)</f>
        <v>0</v>
      </c>
      <c r="O847" s="30">
        <f>IFERROR((VLOOKUP($A847,HeadJournal!$A$1:$L$890,COLUMN(HeadJournal!L$1),0)*($K847+$L847)/(SUMIF($A:$A,$A847,$K:$K)+SUMIF($A:$A,$A847,$L:$L)))/VLOOKUP($A847,HeadJournal!$A$1:$L$890,COLUMN(HeadJournal!H$1),0),0)</f>
        <v>85.35</v>
      </c>
      <c r="P847" s="30">
        <f>IFERROR(SUM(K847:O847)*VLOOKUP($A847,HeadJournal!$A$1:$L$890,COLUMN(HeadJournal!H$1),0),0)</f>
        <v>654.35</v>
      </c>
      <c r="Q847" s="29">
        <v>1000</v>
      </c>
      <c r="R847" s="31">
        <v>45548</v>
      </c>
      <c r="S847" s="31" t="s">
        <v>3121</v>
      </c>
      <c r="T847" s="95" t="str">
        <f t="shared" si="70"/>
        <v>2024 09</v>
      </c>
      <c r="U847" s="32">
        <f t="shared" si="67"/>
        <v>345.65</v>
      </c>
      <c r="V847" s="22">
        <f t="shared" si="68"/>
        <v>0.52823412546802162</v>
      </c>
      <c r="X847" s="33"/>
      <c r="Y847" s="33"/>
    </row>
    <row r="848" spans="1:25" x14ac:dyDescent="0.2">
      <c r="A848" s="93" t="s">
        <v>385</v>
      </c>
      <c r="B848" s="94">
        <f>IFERROR(VLOOKUP($A848,HeadJournal!$A$1:$NTR$890,COLUMN(HeadJournal!B$1),0),"")</f>
        <v>0</v>
      </c>
      <c r="C848" s="94" t="str">
        <f>IFERROR(VLOOKUP($A848,HeadJournal!$A$1:$NTR$890,COLUMN(HeadJournal!C$1),0),"")</f>
        <v>CoralClub_AV</v>
      </c>
      <c r="D848" s="125" t="str">
        <f>IFERROR(VLOOKUP($A848,HeadJournal!$A$1:$NTR$890,COLUMN(HeadJournal!D$1),0),"")</f>
        <v>Доставлен</v>
      </c>
      <c r="E848" s="95">
        <f>IFERROR(VLOOKUP($A848,HeadJournal!$A$1:$NTR$890,COLUMN(HeadJournal!G$1),0),"")</f>
        <v>44949</v>
      </c>
      <c r="F848" s="95" t="str">
        <f t="shared" si="69"/>
        <v>2023 01</v>
      </c>
      <c r="G848" s="96" t="s">
        <v>5</v>
      </c>
      <c r="H848" s="160" t="str">
        <f>RIGHT(Journal!$J848,9)</f>
        <v>000091881</v>
      </c>
      <c r="I848" s="96" t="str">
        <f t="shared" si="66"/>
        <v>CoralClub</v>
      </c>
      <c r="J848" s="97" t="s">
        <v>246</v>
      </c>
      <c r="K848" s="29">
        <v>1152</v>
      </c>
      <c r="L848" s="29"/>
      <c r="M848" s="30">
        <f>IFERROR(VLOOKUP($A848,HeadJournal!$A$1:$J$890,COLUMN(HeadJournal!I$1),0)*($K848+$L848)/(SUMIF($A:$A,$A848,$K:$K)+SUMIF($A:$A,$A848,$L:$L)),0)</f>
        <v>0</v>
      </c>
      <c r="N848" s="30">
        <f>IFERROR((VLOOKUP($A848,HeadJournal!$A$1:$K$890,COLUMN(HeadJournal!K$1),0)-VLOOKUP($A848,HeadJournal!$A$1:$K$890,COLUMN(HeadJournal!J$1),0))*($K848+$L848)/(SUMIF($A:$A,$A848,$K:$K)+SUMIF($A:$A,$A848,$L:$L)),0)</f>
        <v>14.19718309859155</v>
      </c>
      <c r="O848" s="30">
        <f>IFERROR((VLOOKUP($A848,HeadJournal!$A$1:$L$890,COLUMN(HeadJournal!L$1),0)*($K848+$L848)/(SUMIF($A:$A,$A848,$K:$K)+SUMIF($A:$A,$A848,$L:$L)))/VLOOKUP($A848,HeadJournal!$A$1:$L$890,COLUMN(HeadJournal!H$1),0),0)</f>
        <v>0</v>
      </c>
      <c r="P848" s="30">
        <f>IFERROR(SUM(K848:O848)*VLOOKUP($A848,HeadJournal!$A$1:$L$890,COLUMN(HeadJournal!H$1),0),0)</f>
        <v>1166.1971830985915</v>
      </c>
      <c r="Q848" s="29">
        <v>1500</v>
      </c>
      <c r="R848" s="31">
        <v>44956</v>
      </c>
      <c r="S848" s="31" t="s">
        <v>3121</v>
      </c>
      <c r="T848" s="95" t="str">
        <f t="shared" si="70"/>
        <v>2023 01</v>
      </c>
      <c r="U848" s="32">
        <f t="shared" si="67"/>
        <v>333.80281690140851</v>
      </c>
      <c r="V848" s="22">
        <f t="shared" si="68"/>
        <v>0.28623188405797106</v>
      </c>
      <c r="X848" s="33"/>
      <c r="Y848" s="33"/>
    </row>
    <row r="849" spans="1:25" x14ac:dyDescent="0.2">
      <c r="A849" s="93" t="s">
        <v>385</v>
      </c>
      <c r="B849" s="94">
        <f>IFERROR(VLOOKUP($A849,HeadJournal!$A$1:$NTR$890,COLUMN(HeadJournal!B$1),0),"")</f>
        <v>0</v>
      </c>
      <c r="C849" s="94" t="str">
        <f>IFERROR(VLOOKUP($A849,HeadJournal!$A$1:$NTR$890,COLUMN(HeadJournal!C$1),0),"")</f>
        <v>CoralClub_AV</v>
      </c>
      <c r="D849" s="125" t="str">
        <f>IFERROR(VLOOKUP($A849,HeadJournal!$A$1:$NTR$890,COLUMN(HeadJournal!D$1),0),"")</f>
        <v>Доставлен</v>
      </c>
      <c r="E849" s="95">
        <f>IFERROR(VLOOKUP($A849,HeadJournal!$A$1:$NTR$890,COLUMN(HeadJournal!G$1),0),"")</f>
        <v>44949</v>
      </c>
      <c r="F849" s="95" t="str">
        <f t="shared" si="69"/>
        <v>2023 01</v>
      </c>
      <c r="G849" s="96" t="s">
        <v>5</v>
      </c>
      <c r="H849" s="160" t="str">
        <f>RIGHT(Journal!$J849,9)</f>
        <v>000002124</v>
      </c>
      <c r="I849" s="96" t="str">
        <f t="shared" si="66"/>
        <v>CoralClub</v>
      </c>
      <c r="J849" s="97" t="s">
        <v>386</v>
      </c>
      <c r="K849" s="29">
        <v>1280</v>
      </c>
      <c r="L849" s="29"/>
      <c r="M849" s="30">
        <f>IFERROR(VLOOKUP($A849,HeadJournal!$A$1:$J$890,COLUMN(HeadJournal!I$1),0)*($K849+$L849)/(SUMIF($A:$A,$A849,$K:$K)+SUMIF($A:$A,$A849,$L:$L)),0)</f>
        <v>0</v>
      </c>
      <c r="N849" s="30">
        <f>IFERROR((VLOOKUP($A849,HeadJournal!$A$1:$K$890,COLUMN(HeadJournal!K$1),0)-VLOOKUP($A849,HeadJournal!$A$1:$K$890,COLUMN(HeadJournal!J$1),0))*($K849+$L849)/(SUMIF($A:$A,$A849,$K:$K)+SUMIF($A:$A,$A849,$L:$L)),0)</f>
        <v>15.774647887323944</v>
      </c>
      <c r="O849" s="30">
        <f>IFERROR((VLOOKUP($A849,HeadJournal!$A$1:$L$890,COLUMN(HeadJournal!L$1),0)*($K849+$L849)/(SUMIF($A:$A,$A849,$K:$K)+SUMIF($A:$A,$A849,$L:$L)))/VLOOKUP($A849,HeadJournal!$A$1:$L$890,COLUMN(HeadJournal!H$1),0),0)</f>
        <v>0</v>
      </c>
      <c r="P849" s="30">
        <f>IFERROR(SUM(K849:O849)*VLOOKUP($A849,HeadJournal!$A$1:$L$890,COLUMN(HeadJournal!H$1),0),0)</f>
        <v>1295.7746478873239</v>
      </c>
      <c r="Q849" s="29">
        <v>1600</v>
      </c>
      <c r="R849" s="31">
        <v>44973</v>
      </c>
      <c r="S849" s="31" t="s">
        <v>3121</v>
      </c>
      <c r="T849" s="95" t="str">
        <f t="shared" si="70"/>
        <v>2023 02</v>
      </c>
      <c r="U849" s="32">
        <f t="shared" si="67"/>
        <v>304.22535211267609</v>
      </c>
      <c r="V849" s="22">
        <f t="shared" si="68"/>
        <v>0.23478260869565221</v>
      </c>
      <c r="X849" s="33"/>
      <c r="Y849" s="33"/>
    </row>
    <row r="850" spans="1:25" x14ac:dyDescent="0.2">
      <c r="A850" s="93" t="s">
        <v>385</v>
      </c>
      <c r="B850" s="94">
        <f>IFERROR(VLOOKUP($A850,HeadJournal!$A$1:$NTR$890,COLUMN(HeadJournal!B$1),0),"")</f>
        <v>0</v>
      </c>
      <c r="C850" s="94" t="str">
        <f>IFERROR(VLOOKUP($A850,HeadJournal!$A$1:$NTR$890,COLUMN(HeadJournal!C$1),0),"")</f>
        <v>CoralClub_AV</v>
      </c>
      <c r="D850" s="125" t="str">
        <f>IFERROR(VLOOKUP($A850,HeadJournal!$A$1:$NTR$890,COLUMN(HeadJournal!D$1),0),"")</f>
        <v>Доставлен</v>
      </c>
      <c r="E850" s="95">
        <f>IFERROR(VLOOKUP($A850,HeadJournal!$A$1:$NTR$890,COLUMN(HeadJournal!G$1),0),"")</f>
        <v>44949</v>
      </c>
      <c r="F850" s="95" t="str">
        <f t="shared" si="69"/>
        <v>2023 01</v>
      </c>
      <c r="G850" s="96" t="s">
        <v>5</v>
      </c>
      <c r="H850" s="160" t="str">
        <f>RIGHT(Journal!$J850,9)</f>
        <v>000001130</v>
      </c>
      <c r="I850" s="96" t="str">
        <f t="shared" si="66"/>
        <v>CoralClub</v>
      </c>
      <c r="J850" s="97" t="s">
        <v>387</v>
      </c>
      <c r="K850" s="29">
        <v>704</v>
      </c>
      <c r="L850" s="29"/>
      <c r="M850" s="30">
        <f>IFERROR(VLOOKUP($A850,HeadJournal!$A$1:$J$890,COLUMN(HeadJournal!I$1),0)*($K850+$L850)/(SUMIF($A:$A,$A850,$K:$K)+SUMIF($A:$A,$A850,$L:$L)),0)</f>
        <v>0</v>
      </c>
      <c r="N850" s="30">
        <f>IFERROR((VLOOKUP($A850,HeadJournal!$A$1:$K$890,COLUMN(HeadJournal!K$1),0)-VLOOKUP($A850,HeadJournal!$A$1:$K$890,COLUMN(HeadJournal!J$1),0))*($K850+$L850)/(SUMIF($A:$A,$A850,$K:$K)+SUMIF($A:$A,$A850,$L:$L)),0)</f>
        <v>8.6760563380281699</v>
      </c>
      <c r="O850" s="30">
        <f>IFERROR((VLOOKUP($A850,HeadJournal!$A$1:$L$890,COLUMN(HeadJournal!L$1),0)*($K850+$L850)/(SUMIF($A:$A,$A850,$K:$K)+SUMIF($A:$A,$A850,$L:$L)))/VLOOKUP($A850,HeadJournal!$A$1:$L$890,COLUMN(HeadJournal!H$1),0),0)</f>
        <v>0</v>
      </c>
      <c r="P850" s="30">
        <f>IFERROR(SUM(K850:O850)*VLOOKUP($A850,HeadJournal!$A$1:$L$890,COLUMN(HeadJournal!H$1),0),0)</f>
        <v>712.67605633802816</v>
      </c>
      <c r="Q850" s="29">
        <v>850</v>
      </c>
      <c r="R850" s="31">
        <v>44951</v>
      </c>
      <c r="S850" s="31" t="s">
        <v>3121</v>
      </c>
      <c r="T850" s="95" t="str">
        <f t="shared" si="70"/>
        <v>2023 01</v>
      </c>
      <c r="U850" s="32">
        <f t="shared" si="67"/>
        <v>137.32394366197184</v>
      </c>
      <c r="V850" s="22">
        <f t="shared" si="68"/>
        <v>0.19268774703557315</v>
      </c>
      <c r="X850" s="33"/>
      <c r="Y850" s="33"/>
    </row>
    <row r="851" spans="1:25" x14ac:dyDescent="0.2">
      <c r="A851" s="93" t="s">
        <v>385</v>
      </c>
      <c r="B851" s="94">
        <f>IFERROR(VLOOKUP($A851,HeadJournal!$A$1:$NTR$890,COLUMN(HeadJournal!B$1),0),"")</f>
        <v>0</v>
      </c>
      <c r="C851" s="94" t="str">
        <f>IFERROR(VLOOKUP($A851,HeadJournal!$A$1:$NTR$890,COLUMN(HeadJournal!C$1),0),"")</f>
        <v>CoralClub_AV</v>
      </c>
      <c r="D851" s="125" t="str">
        <f>IFERROR(VLOOKUP($A851,HeadJournal!$A$1:$NTR$890,COLUMN(HeadJournal!D$1),0),"")</f>
        <v>Доставлен</v>
      </c>
      <c r="E851" s="95">
        <f>IFERROR(VLOOKUP($A851,HeadJournal!$A$1:$NTR$890,COLUMN(HeadJournal!G$1),0),"")</f>
        <v>44949</v>
      </c>
      <c r="F851" s="95" t="str">
        <f t="shared" si="69"/>
        <v>2023 01</v>
      </c>
      <c r="G851" s="96" t="s">
        <v>5</v>
      </c>
      <c r="H851" s="160" t="str">
        <f>RIGHT(Journal!$J851,9)</f>
        <v>000001130</v>
      </c>
      <c r="I851" s="96" t="str">
        <f t="shared" si="66"/>
        <v>CoralClub</v>
      </c>
      <c r="J851" s="97" t="s">
        <v>387</v>
      </c>
      <c r="K851" s="29">
        <v>704</v>
      </c>
      <c r="L851" s="29"/>
      <c r="M851" s="30">
        <f>IFERROR(VLOOKUP($A851,HeadJournal!$A$1:$J$890,COLUMN(HeadJournal!I$1),0)*($K851+$L851)/(SUMIF($A:$A,$A851,$K:$K)+SUMIF($A:$A,$A851,$L:$L)),0)</f>
        <v>0</v>
      </c>
      <c r="N851" s="30">
        <f>IFERROR((VLOOKUP($A851,HeadJournal!$A$1:$K$890,COLUMN(HeadJournal!K$1),0)-VLOOKUP($A851,HeadJournal!$A$1:$K$890,COLUMN(HeadJournal!J$1),0))*($K851+$L851)/(SUMIF($A:$A,$A851,$K:$K)+SUMIF($A:$A,$A851,$L:$L)),0)</f>
        <v>8.6760563380281699</v>
      </c>
      <c r="O851" s="30">
        <f>IFERROR((VLOOKUP($A851,HeadJournal!$A$1:$L$890,COLUMN(HeadJournal!L$1),0)*($K851+$L851)/(SUMIF($A:$A,$A851,$K:$K)+SUMIF($A:$A,$A851,$L:$L)))/VLOOKUP($A851,HeadJournal!$A$1:$L$890,COLUMN(HeadJournal!H$1),0),0)</f>
        <v>0</v>
      </c>
      <c r="P851" s="30">
        <f>IFERROR(SUM(K851:O851)*VLOOKUP($A851,HeadJournal!$A$1:$L$890,COLUMN(HeadJournal!H$1),0),0)</f>
        <v>712.67605633802816</v>
      </c>
      <c r="Q851" s="29">
        <v>850</v>
      </c>
      <c r="R851" s="31">
        <v>44951</v>
      </c>
      <c r="S851" s="31" t="s">
        <v>3121</v>
      </c>
      <c r="T851" s="95" t="str">
        <f t="shared" si="70"/>
        <v>2023 01</v>
      </c>
      <c r="U851" s="32">
        <f t="shared" si="67"/>
        <v>137.32394366197184</v>
      </c>
      <c r="V851" s="22">
        <f t="shared" si="68"/>
        <v>0.19268774703557315</v>
      </c>
      <c r="X851" s="33"/>
      <c r="Y851" s="33"/>
    </row>
    <row r="852" spans="1:25" x14ac:dyDescent="0.2">
      <c r="A852" s="93" t="s">
        <v>385</v>
      </c>
      <c r="B852" s="94">
        <f>IFERROR(VLOOKUP($A852,HeadJournal!$A$1:$NTR$890,COLUMN(HeadJournal!B$1),0),"")</f>
        <v>0</v>
      </c>
      <c r="C852" s="94" t="str">
        <f>IFERROR(VLOOKUP($A852,HeadJournal!$A$1:$NTR$890,COLUMN(HeadJournal!C$1),0),"")</f>
        <v>CoralClub_AV</v>
      </c>
      <c r="D852" s="125" t="str">
        <f>IFERROR(VLOOKUP($A852,HeadJournal!$A$1:$NTR$890,COLUMN(HeadJournal!D$1),0),"")</f>
        <v>Доставлен</v>
      </c>
      <c r="E852" s="95">
        <f>IFERROR(VLOOKUP($A852,HeadJournal!$A$1:$NTR$890,COLUMN(HeadJournal!G$1),0),"")</f>
        <v>44949</v>
      </c>
      <c r="F852" s="95" t="str">
        <f t="shared" si="69"/>
        <v>2023 01</v>
      </c>
      <c r="G852" s="96" t="s">
        <v>5</v>
      </c>
      <c r="H852" s="160" t="str">
        <f>RIGHT(Journal!$J852,9)</f>
        <v>000001130</v>
      </c>
      <c r="I852" s="96" t="str">
        <f t="shared" si="66"/>
        <v>CoralClub</v>
      </c>
      <c r="J852" s="97" t="s">
        <v>387</v>
      </c>
      <c r="K852" s="29">
        <v>704</v>
      </c>
      <c r="L852" s="29"/>
      <c r="M852" s="30">
        <f>IFERROR(VLOOKUP($A852,HeadJournal!$A$1:$J$890,COLUMN(HeadJournal!I$1),0)*($K852+$L852)/(SUMIF($A:$A,$A852,$K:$K)+SUMIF($A:$A,$A852,$L:$L)),0)</f>
        <v>0</v>
      </c>
      <c r="N852" s="30">
        <f>IFERROR((VLOOKUP($A852,HeadJournal!$A$1:$K$890,COLUMN(HeadJournal!K$1),0)-VLOOKUP($A852,HeadJournal!$A$1:$K$890,COLUMN(HeadJournal!J$1),0))*($K852+$L852)/(SUMIF($A:$A,$A852,$K:$K)+SUMIF($A:$A,$A852,$L:$L)),0)</f>
        <v>8.6760563380281699</v>
      </c>
      <c r="O852" s="30">
        <f>IFERROR((VLOOKUP($A852,HeadJournal!$A$1:$L$890,COLUMN(HeadJournal!L$1),0)*($K852+$L852)/(SUMIF($A:$A,$A852,$K:$K)+SUMIF($A:$A,$A852,$L:$L)))/VLOOKUP($A852,HeadJournal!$A$1:$L$890,COLUMN(HeadJournal!H$1),0),0)</f>
        <v>0</v>
      </c>
      <c r="P852" s="30">
        <f>IFERROR(SUM(K852:O852)*VLOOKUP($A852,HeadJournal!$A$1:$L$890,COLUMN(HeadJournal!H$1),0),0)</f>
        <v>712.67605633802816</v>
      </c>
      <c r="Q852" s="29">
        <v>1050</v>
      </c>
      <c r="R852" s="31">
        <v>45067</v>
      </c>
      <c r="S852" s="31" t="s">
        <v>3121</v>
      </c>
      <c r="T852" s="95" t="str">
        <f t="shared" si="70"/>
        <v>2023 05</v>
      </c>
      <c r="U852" s="32">
        <f t="shared" si="67"/>
        <v>337.32394366197184</v>
      </c>
      <c r="V852" s="22">
        <f t="shared" si="68"/>
        <v>0.47332015810276684</v>
      </c>
      <c r="X852" s="33"/>
      <c r="Y852" s="33"/>
    </row>
    <row r="853" spans="1:25" x14ac:dyDescent="0.2">
      <c r="A853" s="93" t="s">
        <v>388</v>
      </c>
      <c r="B853" s="94">
        <f>IFERROR(VLOOKUP($A853,HeadJournal!$A$1:$NTR$890,COLUMN(HeadJournal!B$1),0),"")</f>
        <v>0</v>
      </c>
      <c r="C853" s="94" t="str">
        <f>IFERROR(VLOOKUP($A853,HeadJournal!$A$1:$NTR$890,COLUMN(HeadJournal!C$1),0),"")</f>
        <v>Roman</v>
      </c>
      <c r="D853" s="125" t="str">
        <f>IFERROR(VLOOKUP($A853,HeadJournal!$A$1:$NTR$890,COLUMN(HeadJournal!D$1),0),"")</f>
        <v>Доставлен</v>
      </c>
      <c r="E853" s="95">
        <f>IFERROR(VLOOKUP($A853,HeadJournal!$A$1:$NTR$890,COLUMN(HeadJournal!G$1),0),"")</f>
        <v>44951</v>
      </c>
      <c r="F853" s="95" t="str">
        <f t="shared" si="69"/>
        <v>2023 01</v>
      </c>
      <c r="G853" s="96" t="s">
        <v>5</v>
      </c>
      <c r="H853" s="161" t="s">
        <v>2127</v>
      </c>
      <c r="I853" s="97" t="s">
        <v>2125</v>
      </c>
      <c r="J853" s="97" t="s">
        <v>2128</v>
      </c>
      <c r="K853" s="29">
        <v>420</v>
      </c>
      <c r="L853" s="29"/>
      <c r="M853" s="30">
        <f>IFERROR(VLOOKUP($A853,HeadJournal!$A$1:$J$890,COLUMN(HeadJournal!I$1),0)*($K853+$L853)/(SUMIF($A:$A,$A853,$K:$K)+SUMIF($A:$A,$A853,$L:$L)),0)</f>
        <v>0</v>
      </c>
      <c r="N853" s="30">
        <f>IFERROR((VLOOKUP($A853,HeadJournal!$A$1:$K$890,COLUMN(HeadJournal!K$1),0)-VLOOKUP($A853,HeadJournal!$A$1:$K$890,COLUMN(HeadJournal!J$1),0))*($K853+$L853)/(SUMIF($A:$A,$A853,$K:$K)+SUMIF($A:$A,$A853,$L:$L)),0)</f>
        <v>12.160804020100503</v>
      </c>
      <c r="O853" s="30">
        <f>IFERROR((VLOOKUP($A853,HeadJournal!$A$1:$L$890,COLUMN(HeadJournal!L$1),0)*($K853+$L853)/(SUMIF($A:$A,$A853,$K:$K)+SUMIF($A:$A,$A853,$L:$L)))/VLOOKUP($A853,HeadJournal!$A$1:$L$890,COLUMN(HeadJournal!H$1),0),0)</f>
        <v>0</v>
      </c>
      <c r="P853" s="30">
        <f>IFERROR(SUM(K853:O853)*VLOOKUP($A853,HeadJournal!$A$1:$L$890,COLUMN(HeadJournal!H$1),0),0)</f>
        <v>432.1608040201005</v>
      </c>
      <c r="Q853" s="29">
        <v>1200</v>
      </c>
      <c r="R853" s="31">
        <v>44961</v>
      </c>
      <c r="S853" s="31" t="s">
        <v>3121</v>
      </c>
      <c r="T853" s="95" t="str">
        <f t="shared" si="70"/>
        <v>2023 02</v>
      </c>
      <c r="U853" s="32">
        <f t="shared" si="67"/>
        <v>767.8391959798995</v>
      </c>
      <c r="V853" s="22">
        <f t="shared" si="68"/>
        <v>1.7767441860465116</v>
      </c>
      <c r="X853" s="33"/>
      <c r="Y853" s="33"/>
    </row>
    <row r="854" spans="1:25" x14ac:dyDescent="0.2">
      <c r="A854" s="93" t="s">
        <v>388</v>
      </c>
      <c r="B854" s="94">
        <f>IFERROR(VLOOKUP($A854,HeadJournal!$A$1:$NTR$890,COLUMN(HeadJournal!B$1),0),"")</f>
        <v>0</v>
      </c>
      <c r="C854" s="94" t="str">
        <f>IFERROR(VLOOKUP($A854,HeadJournal!$A$1:$NTR$890,COLUMN(HeadJournal!C$1),0),"")</f>
        <v>Roman</v>
      </c>
      <c r="D854" s="125" t="str">
        <f>IFERROR(VLOOKUP($A854,HeadJournal!$A$1:$NTR$890,COLUMN(HeadJournal!D$1),0),"")</f>
        <v>Доставлен</v>
      </c>
      <c r="E854" s="95">
        <f>IFERROR(VLOOKUP($A854,HeadJournal!$A$1:$NTR$890,COLUMN(HeadJournal!G$1),0),"")</f>
        <v>44951</v>
      </c>
      <c r="F854" s="95" t="str">
        <f t="shared" si="69"/>
        <v>2023 01</v>
      </c>
      <c r="G854" s="96" t="s">
        <v>5</v>
      </c>
      <c r="H854" s="161" t="s">
        <v>2624</v>
      </c>
      <c r="I854" s="97" t="s">
        <v>2005</v>
      </c>
      <c r="J854" s="97" t="s">
        <v>2625</v>
      </c>
      <c r="K854" s="29">
        <v>987</v>
      </c>
      <c r="L854" s="29"/>
      <c r="M854" s="30">
        <f>IFERROR(VLOOKUP($A854,HeadJournal!$A$1:$J$890,COLUMN(HeadJournal!I$1),0)*($K854+$L854)/(SUMIF($A:$A,$A854,$K:$K)+SUMIF($A:$A,$A854,$L:$L)),0)</f>
        <v>0</v>
      </c>
      <c r="N854" s="30">
        <f>IFERROR((VLOOKUP($A854,HeadJournal!$A$1:$K$890,COLUMN(HeadJournal!K$1),0)-VLOOKUP($A854,HeadJournal!$A$1:$K$890,COLUMN(HeadJournal!J$1),0))*($K854+$L854)/(SUMIF($A:$A,$A854,$K:$K)+SUMIF($A:$A,$A854,$L:$L)),0)</f>
        <v>28.577889447236181</v>
      </c>
      <c r="O854" s="30">
        <f>IFERROR((VLOOKUP($A854,HeadJournal!$A$1:$L$890,COLUMN(HeadJournal!L$1),0)*($K854+$L854)/(SUMIF($A:$A,$A854,$K:$K)+SUMIF($A:$A,$A854,$L:$L)))/VLOOKUP($A854,HeadJournal!$A$1:$L$890,COLUMN(HeadJournal!H$1),0),0)</f>
        <v>0</v>
      </c>
      <c r="P854" s="30">
        <f>IFERROR(SUM(K854:O854)*VLOOKUP($A854,HeadJournal!$A$1:$L$890,COLUMN(HeadJournal!H$1),0),0)</f>
        <v>1015.5778894472362</v>
      </c>
      <c r="Q854" s="29">
        <v>2200</v>
      </c>
      <c r="R854" s="31">
        <v>44970</v>
      </c>
      <c r="S854" s="31" t="s">
        <v>3121</v>
      </c>
      <c r="T854" s="95" t="str">
        <f t="shared" si="70"/>
        <v>2023 02</v>
      </c>
      <c r="U854" s="32">
        <f t="shared" si="67"/>
        <v>1184.4221105527638</v>
      </c>
      <c r="V854" s="22">
        <f t="shared" si="68"/>
        <v>1.1662543295398318</v>
      </c>
      <c r="X854" s="33"/>
      <c r="Y854" s="33"/>
    </row>
    <row r="855" spans="1:25" x14ac:dyDescent="0.2">
      <c r="A855" s="93" t="s">
        <v>388</v>
      </c>
      <c r="B855" s="94">
        <f>IFERROR(VLOOKUP($A855,HeadJournal!$A$1:$NTR$890,COLUMN(HeadJournal!B$1),0),"")</f>
        <v>0</v>
      </c>
      <c r="C855" s="94" t="str">
        <f>IFERROR(VLOOKUP($A855,HeadJournal!$A$1:$NTR$890,COLUMN(HeadJournal!C$1),0),"")</f>
        <v>Roman</v>
      </c>
      <c r="D855" s="125" t="str">
        <f>IFERROR(VLOOKUP($A855,HeadJournal!$A$1:$NTR$890,COLUMN(HeadJournal!D$1),0),"")</f>
        <v>Доставлен</v>
      </c>
      <c r="E855" s="95">
        <f>IFERROR(VLOOKUP($A855,HeadJournal!$A$1:$NTR$890,COLUMN(HeadJournal!G$1),0),"")</f>
        <v>44951</v>
      </c>
      <c r="F855" s="95" t="str">
        <f t="shared" si="69"/>
        <v>2023 01</v>
      </c>
      <c r="G855" s="96" t="s">
        <v>5</v>
      </c>
      <c r="H855" s="161" t="s">
        <v>2624</v>
      </c>
      <c r="I855" s="97" t="s">
        <v>2005</v>
      </c>
      <c r="J855" s="97" t="s">
        <v>2625</v>
      </c>
      <c r="K855" s="29">
        <v>987</v>
      </c>
      <c r="L855" s="29"/>
      <c r="M855" s="30">
        <f>IFERROR(VLOOKUP($A855,HeadJournal!$A$1:$J$890,COLUMN(HeadJournal!I$1),0)*($K855+$L855)/(SUMIF($A:$A,$A855,$K:$K)+SUMIF($A:$A,$A855,$L:$L)),0)</f>
        <v>0</v>
      </c>
      <c r="N855" s="30">
        <f>IFERROR((VLOOKUP($A855,HeadJournal!$A$1:$K$890,COLUMN(HeadJournal!K$1),0)-VLOOKUP($A855,HeadJournal!$A$1:$K$890,COLUMN(HeadJournal!J$1),0))*($K855+$L855)/(SUMIF($A:$A,$A855,$K:$K)+SUMIF($A:$A,$A855,$L:$L)),0)</f>
        <v>28.577889447236181</v>
      </c>
      <c r="O855" s="30">
        <f>IFERROR((VLOOKUP($A855,HeadJournal!$A$1:$L$890,COLUMN(HeadJournal!L$1),0)*($K855+$L855)/(SUMIF($A:$A,$A855,$K:$K)+SUMIF($A:$A,$A855,$L:$L)))/VLOOKUP($A855,HeadJournal!$A$1:$L$890,COLUMN(HeadJournal!H$1),0),0)</f>
        <v>0</v>
      </c>
      <c r="P855" s="30">
        <f>IFERROR(SUM(K855:O855)*VLOOKUP($A855,HeadJournal!$A$1:$L$890,COLUMN(HeadJournal!H$1),0),0)</f>
        <v>1015.5778894472362</v>
      </c>
      <c r="Q855" s="29">
        <v>2400</v>
      </c>
      <c r="R855" s="31">
        <v>45002</v>
      </c>
      <c r="S855" s="31" t="s">
        <v>3121</v>
      </c>
      <c r="T855" s="95" t="str">
        <f t="shared" si="70"/>
        <v>2023 03</v>
      </c>
      <c r="U855" s="32">
        <f t="shared" si="67"/>
        <v>1384.4221105527638</v>
      </c>
      <c r="V855" s="22">
        <f t="shared" si="68"/>
        <v>1.3631865413161801</v>
      </c>
      <c r="X855" s="33"/>
      <c r="Y855" s="33"/>
    </row>
    <row r="856" spans="1:25" x14ac:dyDescent="0.2">
      <c r="A856" s="93" t="s">
        <v>388</v>
      </c>
      <c r="B856" s="94">
        <f>IFERROR(VLOOKUP($A856,HeadJournal!$A$1:$NTR$890,COLUMN(HeadJournal!B$1),0),"")</f>
        <v>0</v>
      </c>
      <c r="C856" s="94" t="str">
        <f>IFERROR(VLOOKUP($A856,HeadJournal!$A$1:$NTR$890,COLUMN(HeadJournal!C$1),0),"")</f>
        <v>Roman</v>
      </c>
      <c r="D856" s="125" t="str">
        <f>IFERROR(VLOOKUP($A856,HeadJournal!$A$1:$NTR$890,COLUMN(HeadJournal!D$1),0),"")</f>
        <v>Доставлен</v>
      </c>
      <c r="E856" s="95">
        <f>IFERROR(VLOOKUP($A856,HeadJournal!$A$1:$NTR$890,COLUMN(HeadJournal!G$1),0),"")</f>
        <v>44951</v>
      </c>
      <c r="F856" s="95" t="str">
        <f t="shared" si="69"/>
        <v>2023 01</v>
      </c>
      <c r="G856" s="96" t="s">
        <v>5</v>
      </c>
      <c r="H856" s="161" t="s">
        <v>2624</v>
      </c>
      <c r="I856" s="97" t="s">
        <v>2005</v>
      </c>
      <c r="J856" s="97" t="s">
        <v>2625</v>
      </c>
      <c r="K856" s="29">
        <v>987</v>
      </c>
      <c r="L856" s="29"/>
      <c r="M856" s="30">
        <f>IFERROR(VLOOKUP($A856,HeadJournal!$A$1:$J$890,COLUMN(HeadJournal!I$1),0)*($K856+$L856)/(SUMIF($A:$A,$A856,$K:$K)+SUMIF($A:$A,$A856,$L:$L)),0)</f>
        <v>0</v>
      </c>
      <c r="N856" s="30">
        <f>IFERROR((VLOOKUP($A856,HeadJournal!$A$1:$K$890,COLUMN(HeadJournal!K$1),0)-VLOOKUP($A856,HeadJournal!$A$1:$K$890,COLUMN(HeadJournal!J$1),0))*($K856+$L856)/(SUMIF($A:$A,$A856,$K:$K)+SUMIF($A:$A,$A856,$L:$L)),0)</f>
        <v>28.577889447236181</v>
      </c>
      <c r="O856" s="30">
        <f>IFERROR((VLOOKUP($A856,HeadJournal!$A$1:$L$890,COLUMN(HeadJournal!L$1),0)*($K856+$L856)/(SUMIF($A:$A,$A856,$K:$K)+SUMIF($A:$A,$A856,$L:$L)))/VLOOKUP($A856,HeadJournal!$A$1:$L$890,COLUMN(HeadJournal!H$1),0),0)</f>
        <v>0</v>
      </c>
      <c r="P856" s="30">
        <f>IFERROR(SUM(K856:O856)*VLOOKUP($A856,HeadJournal!$A$1:$L$890,COLUMN(HeadJournal!H$1),0),0)</f>
        <v>1015.5778894472362</v>
      </c>
      <c r="Q856" s="29">
        <v>2400</v>
      </c>
      <c r="R856" s="31">
        <v>45020</v>
      </c>
      <c r="S856" s="31" t="s">
        <v>3121</v>
      </c>
      <c r="T856" s="95" t="str">
        <f t="shared" si="70"/>
        <v>2023 04</v>
      </c>
      <c r="U856" s="32">
        <f t="shared" si="67"/>
        <v>1384.4221105527638</v>
      </c>
      <c r="V856" s="22">
        <f t="shared" si="68"/>
        <v>1.3631865413161801</v>
      </c>
      <c r="X856" s="33"/>
      <c r="Y856" s="33"/>
    </row>
    <row r="857" spans="1:25" x14ac:dyDescent="0.2">
      <c r="A857" s="93" t="s">
        <v>388</v>
      </c>
      <c r="B857" s="94">
        <f>IFERROR(VLOOKUP($A857,HeadJournal!$A$1:$NTR$890,COLUMN(HeadJournal!B$1),0),"")</f>
        <v>0</v>
      </c>
      <c r="C857" s="94" t="str">
        <f>IFERROR(VLOOKUP($A857,HeadJournal!$A$1:$NTR$890,COLUMN(HeadJournal!C$1),0),"")</f>
        <v>Roman</v>
      </c>
      <c r="D857" s="125" t="str">
        <f>IFERROR(VLOOKUP($A857,HeadJournal!$A$1:$NTR$890,COLUMN(HeadJournal!D$1),0),"")</f>
        <v>Доставлен</v>
      </c>
      <c r="E857" s="95">
        <f>IFERROR(VLOOKUP($A857,HeadJournal!$A$1:$NTR$890,COLUMN(HeadJournal!G$1),0),"")</f>
        <v>44951</v>
      </c>
      <c r="F857" s="95" t="str">
        <f t="shared" si="69"/>
        <v>2023 01</v>
      </c>
      <c r="G857" s="96" t="s">
        <v>5</v>
      </c>
      <c r="H857" s="161" t="s">
        <v>2624</v>
      </c>
      <c r="I857" s="97" t="s">
        <v>2005</v>
      </c>
      <c r="J857" s="97" t="s">
        <v>2625</v>
      </c>
      <c r="K857" s="29">
        <v>987</v>
      </c>
      <c r="L857" s="29"/>
      <c r="M857" s="30">
        <f>IFERROR(VLOOKUP($A857,HeadJournal!$A$1:$J$890,COLUMN(HeadJournal!I$1),0)*($K857+$L857)/(SUMIF($A:$A,$A857,$K:$K)+SUMIF($A:$A,$A857,$L:$L)),0)</f>
        <v>0</v>
      </c>
      <c r="N857" s="30">
        <f>IFERROR((VLOOKUP($A857,HeadJournal!$A$1:$K$890,COLUMN(HeadJournal!K$1),0)-VLOOKUP($A857,HeadJournal!$A$1:$K$890,COLUMN(HeadJournal!J$1),0))*($K857+$L857)/(SUMIF($A:$A,$A857,$K:$K)+SUMIF($A:$A,$A857,$L:$L)),0)</f>
        <v>28.577889447236181</v>
      </c>
      <c r="O857" s="30">
        <f>IFERROR((VLOOKUP($A857,HeadJournal!$A$1:$L$890,COLUMN(HeadJournal!L$1),0)*($K857+$L857)/(SUMIF($A:$A,$A857,$K:$K)+SUMIF($A:$A,$A857,$L:$L)))/VLOOKUP($A857,HeadJournal!$A$1:$L$890,COLUMN(HeadJournal!H$1),0),0)</f>
        <v>0</v>
      </c>
      <c r="P857" s="30">
        <f>IFERROR(SUM(K857:O857)*VLOOKUP($A857,HeadJournal!$A$1:$L$890,COLUMN(HeadJournal!H$1),0),0)</f>
        <v>1015.5778894472362</v>
      </c>
      <c r="Q857" s="29">
        <v>2200</v>
      </c>
      <c r="R857" s="31">
        <v>45116</v>
      </c>
      <c r="S857" s="31" t="s">
        <v>3121</v>
      </c>
      <c r="T857" s="95" t="str">
        <f t="shared" si="70"/>
        <v>2023 07</v>
      </c>
      <c r="U857" s="32">
        <f t="shared" si="67"/>
        <v>1184.4221105527638</v>
      </c>
      <c r="V857" s="22">
        <f t="shared" si="68"/>
        <v>1.1662543295398318</v>
      </c>
      <c r="X857" s="33"/>
      <c r="Y857" s="33"/>
    </row>
    <row r="858" spans="1:25" x14ac:dyDescent="0.2">
      <c r="A858" s="93" t="s">
        <v>388</v>
      </c>
      <c r="B858" s="94">
        <f>IFERROR(VLOOKUP($A858,HeadJournal!$A$1:$NTR$890,COLUMN(HeadJournal!B$1),0),"")</f>
        <v>0</v>
      </c>
      <c r="C858" s="94" t="str">
        <f>IFERROR(VLOOKUP($A858,HeadJournal!$A$1:$NTR$890,COLUMN(HeadJournal!C$1),0),"")</f>
        <v>Roman</v>
      </c>
      <c r="D858" s="125" t="str">
        <f>IFERROR(VLOOKUP($A858,HeadJournal!$A$1:$NTR$890,COLUMN(HeadJournal!D$1),0),"")</f>
        <v>Доставлен</v>
      </c>
      <c r="E858" s="95">
        <f>IFERROR(VLOOKUP($A858,HeadJournal!$A$1:$NTR$890,COLUMN(HeadJournal!G$1),0),"")</f>
        <v>44951</v>
      </c>
      <c r="F858" s="95" t="str">
        <f t="shared" si="69"/>
        <v>2023 01</v>
      </c>
      <c r="G858" s="96" t="s">
        <v>5</v>
      </c>
      <c r="H858" s="160" t="str">
        <f>RIGHT(Journal!$J858,9)</f>
        <v>NWY-15686</v>
      </c>
      <c r="I858" s="96" t="str">
        <f t="shared" si="66"/>
        <v>Nature's Way</v>
      </c>
      <c r="J858" s="97" t="s">
        <v>265</v>
      </c>
      <c r="K858" s="29">
        <v>999.6</v>
      </c>
      <c r="L858" s="29"/>
      <c r="M858" s="30">
        <f>IFERROR(VLOOKUP($A858,HeadJournal!$A$1:$J$890,COLUMN(HeadJournal!I$1),0)*($K858+$L858)/(SUMIF($A:$A,$A858,$K:$K)+SUMIF($A:$A,$A858,$L:$L)),0)</f>
        <v>0</v>
      </c>
      <c r="N858" s="30">
        <f>IFERROR((VLOOKUP($A858,HeadJournal!$A$1:$K$890,COLUMN(HeadJournal!K$1),0)-VLOOKUP($A858,HeadJournal!$A$1:$K$890,COLUMN(HeadJournal!J$1),0))*($K858+$L858)/(SUMIF($A:$A,$A858,$K:$K)+SUMIF($A:$A,$A858,$L:$L)),0)</f>
        <v>28.942713567839196</v>
      </c>
      <c r="O858" s="30">
        <f>IFERROR((VLOOKUP($A858,HeadJournal!$A$1:$L$890,COLUMN(HeadJournal!L$1),0)*($K858+$L858)/(SUMIF($A:$A,$A858,$K:$K)+SUMIF($A:$A,$A858,$L:$L)))/VLOOKUP($A858,HeadJournal!$A$1:$L$890,COLUMN(HeadJournal!H$1),0),0)</f>
        <v>0</v>
      </c>
      <c r="P858" s="30">
        <f>IFERROR(SUM(K858:O858)*VLOOKUP($A858,HeadJournal!$A$1:$L$890,COLUMN(HeadJournal!H$1),0),0)</f>
        <v>1028.5427135678392</v>
      </c>
      <c r="Q858" s="29">
        <v>2500</v>
      </c>
      <c r="R858" s="31">
        <v>44957</v>
      </c>
      <c r="S858" s="31" t="s">
        <v>3121</v>
      </c>
      <c r="T858" s="95" t="str">
        <f t="shared" si="70"/>
        <v>2023 01</v>
      </c>
      <c r="U858" s="32">
        <f t="shared" si="67"/>
        <v>1471.4572864321608</v>
      </c>
      <c r="V858" s="22">
        <f t="shared" si="68"/>
        <v>1.4306234121555599</v>
      </c>
      <c r="X858" s="33"/>
      <c r="Y858" s="33"/>
    </row>
    <row r="859" spans="1:25" x14ac:dyDescent="0.2">
      <c r="A859" s="93" t="s">
        <v>388</v>
      </c>
      <c r="B859" s="94">
        <f>IFERROR(VLOOKUP($A859,HeadJournal!$A$1:$NTR$890,COLUMN(HeadJournal!B$1),0),"")</f>
        <v>0</v>
      </c>
      <c r="C859" s="94" t="str">
        <f>IFERROR(VLOOKUP($A859,HeadJournal!$A$1:$NTR$890,COLUMN(HeadJournal!C$1),0),"")</f>
        <v>Roman</v>
      </c>
      <c r="D859" s="125" t="str">
        <f>IFERROR(VLOOKUP($A859,HeadJournal!$A$1:$NTR$890,COLUMN(HeadJournal!D$1),0),"")</f>
        <v>Доставлен</v>
      </c>
      <c r="E859" s="95">
        <f>IFERROR(VLOOKUP($A859,HeadJournal!$A$1:$NTR$890,COLUMN(HeadJournal!G$1),0),"")</f>
        <v>44951</v>
      </c>
      <c r="F859" s="95" t="str">
        <f t="shared" si="69"/>
        <v>2023 01</v>
      </c>
      <c r="G859" s="96" t="s">
        <v>5</v>
      </c>
      <c r="H859" s="160" t="str">
        <f>RIGHT(Journal!$J859,9)</f>
        <v>NAP-03950</v>
      </c>
      <c r="I859" s="96" t="str">
        <f t="shared" si="66"/>
        <v>NaturesPlus</v>
      </c>
      <c r="J859" s="97" t="s">
        <v>389</v>
      </c>
      <c r="K859" s="29">
        <v>445.2</v>
      </c>
      <c r="L859" s="29"/>
      <c r="M859" s="30">
        <f>IFERROR(VLOOKUP($A859,HeadJournal!$A$1:$J$890,COLUMN(HeadJournal!I$1),0)*($K859+$L859)/(SUMIF($A:$A,$A859,$K:$K)+SUMIF($A:$A,$A859,$L:$L)),0)</f>
        <v>0</v>
      </c>
      <c r="N859" s="30">
        <f>IFERROR((VLOOKUP($A859,HeadJournal!$A$1:$K$890,COLUMN(HeadJournal!K$1),0)-VLOOKUP($A859,HeadJournal!$A$1:$K$890,COLUMN(HeadJournal!J$1),0))*($K859+$L859)/(SUMIF($A:$A,$A859,$K:$K)+SUMIF($A:$A,$A859,$L:$L)),0)</f>
        <v>12.890452261306534</v>
      </c>
      <c r="O859" s="30">
        <f>IFERROR((VLOOKUP($A859,HeadJournal!$A$1:$L$890,COLUMN(HeadJournal!L$1),0)*($K859+$L859)/(SUMIF($A:$A,$A859,$K:$K)+SUMIF($A:$A,$A859,$L:$L)))/VLOOKUP($A859,HeadJournal!$A$1:$L$890,COLUMN(HeadJournal!H$1),0),0)</f>
        <v>0</v>
      </c>
      <c r="P859" s="30">
        <f>IFERROR(SUM(K859:O859)*VLOOKUP($A859,HeadJournal!$A$1:$L$890,COLUMN(HeadJournal!H$1),0),0)</f>
        <v>458.0904522613065</v>
      </c>
      <c r="Q859" s="29">
        <v>1200</v>
      </c>
      <c r="R859" s="31">
        <v>44952</v>
      </c>
      <c r="S859" s="31" t="s">
        <v>3121</v>
      </c>
      <c r="T859" s="95" t="str">
        <f t="shared" si="70"/>
        <v>2023 01</v>
      </c>
      <c r="U859" s="32">
        <f t="shared" si="67"/>
        <v>741.9095477386935</v>
      </c>
      <c r="V859" s="22">
        <f t="shared" si="68"/>
        <v>1.619569986836332</v>
      </c>
      <c r="X859" s="33"/>
      <c r="Y859" s="33"/>
    </row>
    <row r="860" spans="1:25" x14ac:dyDescent="0.2">
      <c r="A860" s="93" t="s">
        <v>388</v>
      </c>
      <c r="B860" s="94">
        <f>IFERROR(VLOOKUP($A860,HeadJournal!$A$1:$NTR$890,COLUMN(HeadJournal!B$1),0),"")</f>
        <v>0</v>
      </c>
      <c r="C860" s="94" t="str">
        <f>IFERROR(VLOOKUP($A860,HeadJournal!$A$1:$NTR$890,COLUMN(HeadJournal!C$1),0),"")</f>
        <v>Roman</v>
      </c>
      <c r="D860" s="125" t="str">
        <f>IFERROR(VLOOKUP($A860,HeadJournal!$A$1:$NTR$890,COLUMN(HeadJournal!D$1),0),"")</f>
        <v>Доставлен</v>
      </c>
      <c r="E860" s="95">
        <f>IFERROR(VLOOKUP($A860,HeadJournal!$A$1:$NTR$890,COLUMN(HeadJournal!G$1),0),"")</f>
        <v>44951</v>
      </c>
      <c r="F860" s="95" t="str">
        <f t="shared" si="69"/>
        <v>2023 01</v>
      </c>
      <c r="G860" s="96" t="s">
        <v>5</v>
      </c>
      <c r="H860" s="161" t="s">
        <v>2755</v>
      </c>
      <c r="I860" s="97" t="s">
        <v>2005</v>
      </c>
      <c r="J860" s="97" t="s">
        <v>2756</v>
      </c>
      <c r="K860" s="29">
        <v>798</v>
      </c>
      <c r="L860" s="29"/>
      <c r="M860" s="30">
        <f>IFERROR(VLOOKUP($A860,HeadJournal!$A$1:$J$890,COLUMN(HeadJournal!I$1),0)*($K860+$L860)/(SUMIF($A:$A,$A860,$K:$K)+SUMIF($A:$A,$A860,$L:$L)),0)</f>
        <v>0</v>
      </c>
      <c r="N860" s="30">
        <f>IFERROR((VLOOKUP($A860,HeadJournal!$A$1:$K$890,COLUMN(HeadJournal!K$1),0)-VLOOKUP($A860,HeadJournal!$A$1:$K$890,COLUMN(HeadJournal!J$1),0))*($K860+$L860)/(SUMIF($A:$A,$A860,$K:$K)+SUMIF($A:$A,$A860,$L:$L)),0)</f>
        <v>23.105527638190956</v>
      </c>
      <c r="O860" s="30">
        <f>IFERROR((VLOOKUP($A860,HeadJournal!$A$1:$L$890,COLUMN(HeadJournal!L$1),0)*($K860+$L860)/(SUMIF($A:$A,$A860,$K:$K)+SUMIF($A:$A,$A860,$L:$L)))/VLOOKUP($A860,HeadJournal!$A$1:$L$890,COLUMN(HeadJournal!H$1),0),0)</f>
        <v>0</v>
      </c>
      <c r="P860" s="30">
        <f>IFERROR(SUM(K860:O860)*VLOOKUP($A860,HeadJournal!$A$1:$L$890,COLUMN(HeadJournal!H$1),0),0)</f>
        <v>821.10552763819101</v>
      </c>
      <c r="Q860" s="29">
        <v>2000</v>
      </c>
      <c r="R860" s="31">
        <v>44968</v>
      </c>
      <c r="S860" s="31" t="s">
        <v>3121</v>
      </c>
      <c r="T860" s="95" t="str">
        <f t="shared" si="70"/>
        <v>2023 02</v>
      </c>
      <c r="U860" s="32">
        <f t="shared" si="67"/>
        <v>1178.894472361809</v>
      </c>
      <c r="V860" s="22">
        <f t="shared" si="68"/>
        <v>1.4357405140758872</v>
      </c>
      <c r="X860" s="33"/>
      <c r="Y860" s="33"/>
    </row>
    <row r="861" spans="1:25" x14ac:dyDescent="0.2">
      <c r="A861" s="93" t="s">
        <v>388</v>
      </c>
      <c r="B861" s="94">
        <f>IFERROR(VLOOKUP($A861,HeadJournal!$A$1:$NTR$890,COLUMN(HeadJournal!B$1),0),"")</f>
        <v>0</v>
      </c>
      <c r="C861" s="94" t="str">
        <f>IFERROR(VLOOKUP($A861,HeadJournal!$A$1:$NTR$890,COLUMN(HeadJournal!C$1),0),"")</f>
        <v>Roman</v>
      </c>
      <c r="D861" s="125" t="str">
        <f>IFERROR(VLOOKUP($A861,HeadJournal!$A$1:$NTR$890,COLUMN(HeadJournal!D$1),0),"")</f>
        <v>Доставлен</v>
      </c>
      <c r="E861" s="95">
        <f>IFERROR(VLOOKUP($A861,HeadJournal!$A$1:$NTR$890,COLUMN(HeadJournal!G$1),0),"")</f>
        <v>44951</v>
      </c>
      <c r="F861" s="95" t="str">
        <f t="shared" si="69"/>
        <v>2023 01</v>
      </c>
      <c r="G861" s="96" t="s">
        <v>5</v>
      </c>
      <c r="H861" s="175" t="s">
        <v>3644</v>
      </c>
      <c r="I861" s="176" t="s">
        <v>2102</v>
      </c>
      <c r="J861" s="97" t="s">
        <v>3694</v>
      </c>
      <c r="K861" s="29">
        <v>389.2</v>
      </c>
      <c r="L861" s="29"/>
      <c r="M861" s="30">
        <f>IFERROR(VLOOKUP($A861,HeadJournal!$A$1:$J$890,COLUMN(HeadJournal!I$1),0)*($K861+$L861)/(SUMIF($A:$A,$A861,$K:$K)+SUMIF($A:$A,$A861,$L:$L)),0)</f>
        <v>0</v>
      </c>
      <c r="N861" s="30">
        <f>IFERROR((VLOOKUP($A861,HeadJournal!$A$1:$K$890,COLUMN(HeadJournal!K$1),0)-VLOOKUP($A861,HeadJournal!$A$1:$K$890,COLUMN(HeadJournal!J$1),0))*($K861+$L861)/(SUMIF($A:$A,$A861,$K:$K)+SUMIF($A:$A,$A861,$L:$L)),0)</f>
        <v>11.269011725293133</v>
      </c>
      <c r="O861" s="30">
        <f>IFERROR((VLOOKUP($A861,HeadJournal!$A$1:$L$890,COLUMN(HeadJournal!L$1),0)*($K861+$L861)/(SUMIF($A:$A,$A861,$K:$K)+SUMIF($A:$A,$A861,$L:$L)))/VLOOKUP($A861,HeadJournal!$A$1:$L$890,COLUMN(HeadJournal!H$1),0),0)</f>
        <v>0</v>
      </c>
      <c r="P861" s="30">
        <f>IFERROR(SUM(K861:O861)*VLOOKUP($A861,HeadJournal!$A$1:$L$890,COLUMN(HeadJournal!H$1),0),0)</f>
        <v>400.46901172529311</v>
      </c>
      <c r="Q861" s="29">
        <v>1200</v>
      </c>
      <c r="R861" s="31">
        <v>45266</v>
      </c>
      <c r="S861" s="31" t="s">
        <v>3121</v>
      </c>
      <c r="T861" s="95" t="str">
        <f t="shared" si="70"/>
        <v>2023 12</v>
      </c>
      <c r="U861" s="32">
        <f t="shared" si="67"/>
        <v>799.53098827470694</v>
      </c>
      <c r="V861" s="22">
        <f t="shared" si="68"/>
        <v>1.996486531704869</v>
      </c>
      <c r="X861" s="33"/>
      <c r="Y861" s="33"/>
    </row>
    <row r="862" spans="1:25" x14ac:dyDescent="0.2">
      <c r="A862" s="93" t="s">
        <v>388</v>
      </c>
      <c r="B862" s="94">
        <f>IFERROR(VLOOKUP($A862,HeadJournal!$A$1:$NTR$890,COLUMN(HeadJournal!B$1),0),"")</f>
        <v>0</v>
      </c>
      <c r="C862" s="94" t="str">
        <f>IFERROR(VLOOKUP($A862,HeadJournal!$A$1:$NTR$890,COLUMN(HeadJournal!C$1),0),"")</f>
        <v>Roman</v>
      </c>
      <c r="D862" s="125" t="str">
        <f>IFERROR(VLOOKUP($A862,HeadJournal!$A$1:$NTR$890,COLUMN(HeadJournal!D$1),0),"")</f>
        <v>Доставлен</v>
      </c>
      <c r="E862" s="95">
        <f>IFERROR(VLOOKUP($A862,HeadJournal!$A$1:$NTR$890,COLUMN(HeadJournal!G$1),0),"")</f>
        <v>44951</v>
      </c>
      <c r="F862" s="95" t="str">
        <f t="shared" si="69"/>
        <v>2023 01</v>
      </c>
      <c r="G862" s="96" t="s">
        <v>5</v>
      </c>
      <c r="H862" s="160" t="str">
        <f>RIGHT(Journal!$J862,9)</f>
        <v>NOW-00072</v>
      </c>
      <c r="I862" s="96" t="str">
        <f t="shared" si="66"/>
        <v>Now Foods</v>
      </c>
      <c r="J862" s="97" t="s">
        <v>390</v>
      </c>
      <c r="K862" s="29">
        <v>882</v>
      </c>
      <c r="L862" s="29"/>
      <c r="M862" s="30">
        <f>IFERROR(VLOOKUP($A862,HeadJournal!$A$1:$J$890,COLUMN(HeadJournal!I$1),0)*($K862+$L862)/(SUMIF($A:$A,$A862,$K:$K)+SUMIF($A:$A,$A862,$L:$L)),0)</f>
        <v>0</v>
      </c>
      <c r="N862" s="30">
        <f>IFERROR((VLOOKUP($A862,HeadJournal!$A$1:$K$890,COLUMN(HeadJournal!K$1),0)-VLOOKUP($A862,HeadJournal!$A$1:$K$890,COLUMN(HeadJournal!J$1),0))*($K862+$L862)/(SUMIF($A:$A,$A862,$K:$K)+SUMIF($A:$A,$A862,$L:$L)),0)</f>
        <v>25.537688442211056</v>
      </c>
      <c r="O862" s="30">
        <f>IFERROR((VLOOKUP($A862,HeadJournal!$A$1:$L$890,COLUMN(HeadJournal!L$1),0)*($K862+$L862)/(SUMIF($A:$A,$A862,$K:$K)+SUMIF($A:$A,$A862,$L:$L)))/VLOOKUP($A862,HeadJournal!$A$1:$L$890,COLUMN(HeadJournal!H$1),0),0)</f>
        <v>0</v>
      </c>
      <c r="P862" s="30">
        <f>IFERROR(SUM(K862:O862)*VLOOKUP($A862,HeadJournal!$A$1:$L$890,COLUMN(HeadJournal!H$1),0),0)</f>
        <v>907.53768844221111</v>
      </c>
      <c r="Q862" s="29">
        <v>1800</v>
      </c>
      <c r="R862" s="31">
        <v>44969</v>
      </c>
      <c r="S862" s="31" t="s">
        <v>3121</v>
      </c>
      <c r="T862" s="95" t="str">
        <f t="shared" si="70"/>
        <v>2023 02</v>
      </c>
      <c r="U862" s="32">
        <f t="shared" si="67"/>
        <v>892.46231155778889</v>
      </c>
      <c r="V862" s="22">
        <f t="shared" si="68"/>
        <v>0.98338870431893677</v>
      </c>
      <c r="X862" s="33"/>
      <c r="Y862" s="33"/>
    </row>
    <row r="863" spans="1:25" x14ac:dyDescent="0.2">
      <c r="A863" s="93" t="s">
        <v>388</v>
      </c>
      <c r="B863" s="94">
        <f>IFERROR(VLOOKUP($A863,HeadJournal!$A$1:$NTR$890,COLUMN(HeadJournal!B$1),0),"")</f>
        <v>0</v>
      </c>
      <c r="C863" s="94" t="str">
        <f>IFERROR(VLOOKUP($A863,HeadJournal!$A$1:$NTR$890,COLUMN(HeadJournal!C$1),0),"")</f>
        <v>Roman</v>
      </c>
      <c r="D863" s="125" t="str">
        <f>IFERROR(VLOOKUP($A863,HeadJournal!$A$1:$NTR$890,COLUMN(HeadJournal!D$1),0),"")</f>
        <v>Доставлен</v>
      </c>
      <c r="E863" s="95">
        <f>IFERROR(VLOOKUP($A863,HeadJournal!$A$1:$NTR$890,COLUMN(HeadJournal!G$1),0),"")</f>
        <v>44951</v>
      </c>
      <c r="F863" s="95" t="str">
        <f t="shared" si="69"/>
        <v>2023 01</v>
      </c>
      <c r="G863" s="96" t="s">
        <v>5</v>
      </c>
      <c r="H863" s="160" t="str">
        <f>RIGHT(Journal!$J863,9)</f>
        <v>NOW-03123</v>
      </c>
      <c r="I863" s="96" t="str">
        <f t="shared" si="66"/>
        <v>Now Foods</v>
      </c>
      <c r="J863" s="97" t="s">
        <v>391</v>
      </c>
      <c r="K863" s="29">
        <v>1148</v>
      </c>
      <c r="L863" s="29"/>
      <c r="M863" s="30">
        <f>IFERROR(VLOOKUP($A863,HeadJournal!$A$1:$J$890,COLUMN(HeadJournal!I$1),0)*($K863+$L863)/(SUMIF($A:$A,$A863,$K:$K)+SUMIF($A:$A,$A863,$L:$L)),0)</f>
        <v>0</v>
      </c>
      <c r="N863" s="30">
        <f>IFERROR((VLOOKUP($A863,HeadJournal!$A$1:$K$890,COLUMN(HeadJournal!K$1),0)-VLOOKUP($A863,HeadJournal!$A$1:$K$890,COLUMN(HeadJournal!J$1),0))*($K863+$L863)/(SUMIF($A:$A,$A863,$K:$K)+SUMIF($A:$A,$A863,$L:$L)),0)</f>
        <v>33.239530988274709</v>
      </c>
      <c r="O863" s="30">
        <f>IFERROR((VLOOKUP($A863,HeadJournal!$A$1:$L$890,COLUMN(HeadJournal!L$1),0)*($K863+$L863)/(SUMIF($A:$A,$A863,$K:$K)+SUMIF($A:$A,$A863,$L:$L)))/VLOOKUP($A863,HeadJournal!$A$1:$L$890,COLUMN(HeadJournal!H$1),0),0)</f>
        <v>0</v>
      </c>
      <c r="P863" s="30">
        <f>IFERROR(SUM(K863:O863)*VLOOKUP($A863,HeadJournal!$A$1:$L$890,COLUMN(HeadJournal!H$1),0),0)</f>
        <v>1181.2395309882747</v>
      </c>
      <c r="Q863" s="29">
        <v>1750</v>
      </c>
      <c r="R863" s="31">
        <v>45071</v>
      </c>
      <c r="S863" s="31" t="s">
        <v>3121</v>
      </c>
      <c r="T863" s="95" t="str">
        <f t="shared" si="70"/>
        <v>2023 05</v>
      </c>
      <c r="U863" s="32">
        <f t="shared" si="67"/>
        <v>568.76046901172526</v>
      </c>
      <c r="V863" s="22">
        <f t="shared" si="68"/>
        <v>0.48149461145774247</v>
      </c>
      <c r="X863" s="33"/>
      <c r="Y863" s="33"/>
    </row>
    <row r="864" spans="1:25" x14ac:dyDescent="0.2">
      <c r="A864" s="93" t="s">
        <v>388</v>
      </c>
      <c r="B864" s="94">
        <f>IFERROR(VLOOKUP($A864,HeadJournal!$A$1:$NTR$890,COLUMN(HeadJournal!B$1),0),"")</f>
        <v>0</v>
      </c>
      <c r="C864" s="94" t="str">
        <f>IFERROR(VLOOKUP($A864,HeadJournal!$A$1:$NTR$890,COLUMN(HeadJournal!C$1),0),"")</f>
        <v>Roman</v>
      </c>
      <c r="D864" s="125" t="str">
        <f>IFERROR(VLOOKUP($A864,HeadJournal!$A$1:$NTR$890,COLUMN(HeadJournal!D$1),0),"")</f>
        <v>Доставлен</v>
      </c>
      <c r="E864" s="95">
        <f>IFERROR(VLOOKUP($A864,HeadJournal!$A$1:$NTR$890,COLUMN(HeadJournal!G$1),0),"")</f>
        <v>44951</v>
      </c>
      <c r="F864" s="95" t="str">
        <f t="shared" si="69"/>
        <v>2023 01</v>
      </c>
      <c r="G864" s="96" t="s">
        <v>5</v>
      </c>
      <c r="H864" s="160" t="str">
        <f>RIGHT(Journal!$J864,9)</f>
        <v>NOW-03123</v>
      </c>
      <c r="I864" s="96" t="str">
        <f t="shared" si="66"/>
        <v>Now Foods</v>
      </c>
      <c r="J864" s="97" t="s">
        <v>391</v>
      </c>
      <c r="K864" s="29">
        <v>1148</v>
      </c>
      <c r="L864" s="29"/>
      <c r="M864" s="30">
        <f>IFERROR(VLOOKUP($A864,HeadJournal!$A$1:$J$890,COLUMN(HeadJournal!I$1),0)*($K864+$L864)/(SUMIF($A:$A,$A864,$K:$K)+SUMIF($A:$A,$A864,$L:$L)),0)</f>
        <v>0</v>
      </c>
      <c r="N864" s="30">
        <f>IFERROR((VLOOKUP($A864,HeadJournal!$A$1:$K$890,COLUMN(HeadJournal!K$1),0)-VLOOKUP($A864,HeadJournal!$A$1:$K$890,COLUMN(HeadJournal!J$1),0))*($K864+$L864)/(SUMIF($A:$A,$A864,$K:$K)+SUMIF($A:$A,$A864,$L:$L)),0)</f>
        <v>33.239530988274709</v>
      </c>
      <c r="O864" s="30">
        <f>IFERROR((VLOOKUP($A864,HeadJournal!$A$1:$L$890,COLUMN(HeadJournal!L$1),0)*($K864+$L864)/(SUMIF($A:$A,$A864,$K:$K)+SUMIF($A:$A,$A864,$L:$L)))/VLOOKUP($A864,HeadJournal!$A$1:$L$890,COLUMN(HeadJournal!H$1),0),0)</f>
        <v>0</v>
      </c>
      <c r="P864" s="30">
        <f>IFERROR(SUM(K864:O864)*VLOOKUP($A864,HeadJournal!$A$1:$L$890,COLUMN(HeadJournal!H$1),0),0)</f>
        <v>1181.2395309882747</v>
      </c>
      <c r="Q864" s="29"/>
      <c r="R864" s="31"/>
      <c r="S864" s="31"/>
      <c r="T864" s="95" t="str">
        <f t="shared" si="70"/>
        <v/>
      </c>
      <c r="U864" s="32">
        <f t="shared" si="67"/>
        <v>-1181.2395309882747</v>
      </c>
      <c r="V864" s="22" t="str">
        <f t="shared" si="68"/>
        <v/>
      </c>
      <c r="X864" s="33"/>
      <c r="Y864" s="33"/>
    </row>
    <row r="865" spans="1:25" x14ac:dyDescent="0.2">
      <c r="A865" s="93" t="s">
        <v>388</v>
      </c>
      <c r="B865" s="94">
        <f>IFERROR(VLOOKUP($A865,HeadJournal!$A$1:$NTR$890,COLUMN(HeadJournal!B$1),0),"")</f>
        <v>0</v>
      </c>
      <c r="C865" s="94" t="str">
        <f>IFERROR(VLOOKUP($A865,HeadJournal!$A$1:$NTR$890,COLUMN(HeadJournal!C$1),0),"")</f>
        <v>Roman</v>
      </c>
      <c r="D865" s="125" t="str">
        <f>IFERROR(VLOOKUP($A865,HeadJournal!$A$1:$NTR$890,COLUMN(HeadJournal!D$1),0),"")</f>
        <v>Доставлен</v>
      </c>
      <c r="E865" s="95">
        <f>IFERROR(VLOOKUP($A865,HeadJournal!$A$1:$NTR$890,COLUMN(HeadJournal!G$1),0),"")</f>
        <v>44951</v>
      </c>
      <c r="F865" s="95" t="str">
        <f t="shared" si="69"/>
        <v>2023 01</v>
      </c>
      <c r="G865" s="96" t="s">
        <v>5</v>
      </c>
      <c r="H865" s="160" t="str">
        <f>RIGHT(Journal!$J865,9)</f>
        <v>OSL-01395</v>
      </c>
      <c r="I865" s="96" t="str">
        <f t="shared" si="66"/>
        <v>Oslomega</v>
      </c>
      <c r="J865" s="97" t="s">
        <v>194</v>
      </c>
      <c r="K865" s="29">
        <v>537.6</v>
      </c>
      <c r="L865" s="29"/>
      <c r="M865" s="30">
        <f>IFERROR(VLOOKUP($A865,HeadJournal!$A$1:$J$890,COLUMN(HeadJournal!I$1),0)*($K865+$L865)/(SUMIF($A:$A,$A865,$K:$K)+SUMIF($A:$A,$A865,$L:$L)),0)</f>
        <v>0</v>
      </c>
      <c r="N865" s="30">
        <f>IFERROR((VLOOKUP($A865,HeadJournal!$A$1:$K$890,COLUMN(HeadJournal!K$1),0)-VLOOKUP($A865,HeadJournal!$A$1:$K$890,COLUMN(HeadJournal!J$1),0))*($K865+$L865)/(SUMIF($A:$A,$A865,$K:$K)+SUMIF($A:$A,$A865,$L:$L)),0)</f>
        <v>15.565829145728644</v>
      </c>
      <c r="O865" s="30">
        <f>IFERROR((VLOOKUP($A865,HeadJournal!$A$1:$L$890,COLUMN(HeadJournal!L$1),0)*($K865+$L865)/(SUMIF($A:$A,$A865,$K:$K)+SUMIF($A:$A,$A865,$L:$L)))/VLOOKUP($A865,HeadJournal!$A$1:$L$890,COLUMN(HeadJournal!H$1),0),0)</f>
        <v>0</v>
      </c>
      <c r="P865" s="30">
        <f>IFERROR(SUM(K865:O865)*VLOOKUP($A865,HeadJournal!$A$1:$L$890,COLUMN(HeadJournal!H$1),0),0)</f>
        <v>553.16582914572871</v>
      </c>
      <c r="Q865" s="29">
        <v>1600</v>
      </c>
      <c r="R865" s="31">
        <v>44968</v>
      </c>
      <c r="S865" s="31" t="s">
        <v>3121</v>
      </c>
      <c r="T865" s="95" t="str">
        <f t="shared" si="70"/>
        <v>2023 02</v>
      </c>
      <c r="U865" s="32">
        <f t="shared" si="67"/>
        <v>1046.8341708542712</v>
      </c>
      <c r="V865" s="22">
        <f t="shared" si="68"/>
        <v>1.8924418604651156</v>
      </c>
      <c r="X865" s="33"/>
      <c r="Y865" s="33"/>
    </row>
    <row r="866" spans="1:25" x14ac:dyDescent="0.2">
      <c r="A866" s="93" t="s">
        <v>388</v>
      </c>
      <c r="B866" s="94">
        <f>IFERROR(VLOOKUP($A866,HeadJournal!$A$1:$NTR$890,COLUMN(HeadJournal!B$1),0),"")</f>
        <v>0</v>
      </c>
      <c r="C866" s="94" t="str">
        <f>IFERROR(VLOOKUP($A866,HeadJournal!$A$1:$NTR$890,COLUMN(HeadJournal!C$1),0),"")</f>
        <v>Roman</v>
      </c>
      <c r="D866" s="125" t="str">
        <f>IFERROR(VLOOKUP($A866,HeadJournal!$A$1:$NTR$890,COLUMN(HeadJournal!D$1),0),"")</f>
        <v>Доставлен</v>
      </c>
      <c r="E866" s="95">
        <f>IFERROR(VLOOKUP($A866,HeadJournal!$A$1:$NTR$890,COLUMN(HeadJournal!G$1),0),"")</f>
        <v>44951</v>
      </c>
      <c r="F866" s="95" t="str">
        <f t="shared" si="69"/>
        <v>2023 01</v>
      </c>
      <c r="G866" s="96" t="s">
        <v>5</v>
      </c>
      <c r="H866" s="160" t="str">
        <f>RIGHT(Journal!$J866,9)</f>
        <v>OSL-01395</v>
      </c>
      <c r="I866" s="96" t="str">
        <f t="shared" si="66"/>
        <v>Oslomega</v>
      </c>
      <c r="J866" s="97" t="s">
        <v>194</v>
      </c>
      <c r="K866" s="29">
        <v>537.6</v>
      </c>
      <c r="L866" s="29"/>
      <c r="M866" s="30">
        <f>IFERROR(VLOOKUP($A866,HeadJournal!$A$1:$J$890,COLUMN(HeadJournal!I$1),0)*($K866+$L866)/(SUMIF($A:$A,$A866,$K:$K)+SUMIF($A:$A,$A866,$L:$L)),0)</f>
        <v>0</v>
      </c>
      <c r="N866" s="30">
        <f>IFERROR((VLOOKUP($A866,HeadJournal!$A$1:$K$890,COLUMN(HeadJournal!K$1),0)-VLOOKUP($A866,HeadJournal!$A$1:$K$890,COLUMN(HeadJournal!J$1),0))*($K866+$L866)/(SUMIF($A:$A,$A866,$K:$K)+SUMIF($A:$A,$A866,$L:$L)),0)</f>
        <v>15.565829145728644</v>
      </c>
      <c r="O866" s="30">
        <f>IFERROR((VLOOKUP($A866,HeadJournal!$A$1:$L$890,COLUMN(HeadJournal!L$1),0)*($K866+$L866)/(SUMIF($A:$A,$A866,$K:$K)+SUMIF($A:$A,$A866,$L:$L)))/VLOOKUP($A866,HeadJournal!$A$1:$L$890,COLUMN(HeadJournal!H$1),0),0)</f>
        <v>0</v>
      </c>
      <c r="P866" s="30">
        <f>IFERROR(SUM(K866:O866)*VLOOKUP($A866,HeadJournal!$A$1:$L$890,COLUMN(HeadJournal!H$1),0),0)</f>
        <v>553.16582914572871</v>
      </c>
      <c r="Q866" s="29">
        <v>1600</v>
      </c>
      <c r="R866" s="31">
        <v>44969</v>
      </c>
      <c r="S866" s="31" t="s">
        <v>3121</v>
      </c>
      <c r="T866" s="95" t="str">
        <f t="shared" si="70"/>
        <v>2023 02</v>
      </c>
      <c r="U866" s="32">
        <f t="shared" si="67"/>
        <v>1046.8341708542712</v>
      </c>
      <c r="V866" s="22">
        <f t="shared" si="68"/>
        <v>1.8924418604651156</v>
      </c>
      <c r="X866" s="33"/>
      <c r="Y866" s="33"/>
    </row>
    <row r="867" spans="1:25" x14ac:dyDescent="0.2">
      <c r="A867" s="93" t="s">
        <v>388</v>
      </c>
      <c r="B867" s="94">
        <f>IFERROR(VLOOKUP($A867,HeadJournal!$A$1:$NTR$890,COLUMN(HeadJournal!B$1),0),"")</f>
        <v>0</v>
      </c>
      <c r="C867" s="94" t="str">
        <f>IFERROR(VLOOKUP($A867,HeadJournal!$A$1:$NTR$890,COLUMN(HeadJournal!C$1),0),"")</f>
        <v>Roman</v>
      </c>
      <c r="D867" s="125" t="str">
        <f>IFERROR(VLOOKUP($A867,HeadJournal!$A$1:$NTR$890,COLUMN(HeadJournal!D$1),0),"")</f>
        <v>Доставлен</v>
      </c>
      <c r="E867" s="95">
        <f>IFERROR(VLOOKUP($A867,HeadJournal!$A$1:$NTR$890,COLUMN(HeadJournal!G$1),0),"")</f>
        <v>44951</v>
      </c>
      <c r="F867" s="95" t="str">
        <f t="shared" si="69"/>
        <v>2023 01</v>
      </c>
      <c r="G867" s="96" t="s">
        <v>5</v>
      </c>
      <c r="H867" s="161" t="s">
        <v>2819</v>
      </c>
      <c r="I867" s="97" t="s">
        <v>2042</v>
      </c>
      <c r="J867" s="97" t="s">
        <v>2820</v>
      </c>
      <c r="K867" s="29">
        <v>434</v>
      </c>
      <c r="L867" s="29"/>
      <c r="M867" s="30">
        <f>IFERROR(VLOOKUP($A867,HeadJournal!$A$1:$J$890,COLUMN(HeadJournal!I$1),0)*($K867+$L867)/(SUMIF($A:$A,$A867,$K:$K)+SUMIF($A:$A,$A867,$L:$L)),0)</f>
        <v>0</v>
      </c>
      <c r="N867" s="30">
        <f>IFERROR((VLOOKUP($A867,HeadJournal!$A$1:$K$890,COLUMN(HeadJournal!K$1),0)-VLOOKUP($A867,HeadJournal!$A$1:$K$890,COLUMN(HeadJournal!J$1),0))*($K867+$L867)/(SUMIF($A:$A,$A867,$K:$K)+SUMIF($A:$A,$A867,$L:$L)),0)</f>
        <v>12.566164154103852</v>
      </c>
      <c r="O867" s="30">
        <f>IFERROR((VLOOKUP($A867,HeadJournal!$A$1:$L$890,COLUMN(HeadJournal!L$1),0)*($K867+$L867)/(SUMIF($A:$A,$A867,$K:$K)+SUMIF($A:$A,$A867,$L:$L)))/VLOOKUP($A867,HeadJournal!$A$1:$L$890,COLUMN(HeadJournal!H$1),0),0)</f>
        <v>0</v>
      </c>
      <c r="P867" s="30">
        <f>IFERROR(SUM(K867:O867)*VLOOKUP($A867,HeadJournal!$A$1:$L$890,COLUMN(HeadJournal!H$1),0),0)</f>
        <v>446.56616415410383</v>
      </c>
      <c r="Q867" s="29"/>
      <c r="R867" s="31"/>
      <c r="S867" s="31"/>
      <c r="T867" s="95" t="str">
        <f t="shared" si="70"/>
        <v/>
      </c>
      <c r="U867" s="32">
        <f t="shared" si="67"/>
        <v>-446.56616415410383</v>
      </c>
      <c r="V867" s="22" t="str">
        <f t="shared" si="68"/>
        <v/>
      </c>
      <c r="X867" s="33"/>
      <c r="Y867" s="33"/>
    </row>
    <row r="868" spans="1:25" x14ac:dyDescent="0.2">
      <c r="A868" s="93" t="s">
        <v>388</v>
      </c>
      <c r="B868" s="94">
        <f>IFERROR(VLOOKUP($A868,HeadJournal!$A$1:$NTR$890,COLUMN(HeadJournal!B$1),0),"")</f>
        <v>0</v>
      </c>
      <c r="C868" s="94" t="str">
        <f>IFERROR(VLOOKUP($A868,HeadJournal!$A$1:$NTR$890,COLUMN(HeadJournal!C$1),0),"")</f>
        <v>Roman</v>
      </c>
      <c r="D868" s="125" t="str">
        <f>IFERROR(VLOOKUP($A868,HeadJournal!$A$1:$NTR$890,COLUMN(HeadJournal!D$1),0),"")</f>
        <v>Доставлен</v>
      </c>
      <c r="E868" s="95">
        <f>IFERROR(VLOOKUP($A868,HeadJournal!$A$1:$NTR$890,COLUMN(HeadJournal!G$1),0),"")</f>
        <v>44951</v>
      </c>
      <c r="F868" s="95" t="str">
        <f t="shared" si="69"/>
        <v>2023 01</v>
      </c>
      <c r="G868" s="96" t="s">
        <v>5</v>
      </c>
      <c r="H868" s="175" t="s">
        <v>3653</v>
      </c>
      <c r="I868" s="176" t="s">
        <v>2005</v>
      </c>
      <c r="J868" s="97" t="s">
        <v>3702</v>
      </c>
      <c r="K868" s="29">
        <v>485.8</v>
      </c>
      <c r="L868" s="29"/>
      <c r="M868" s="30">
        <f>IFERROR(VLOOKUP($A868,HeadJournal!$A$1:$J$890,COLUMN(HeadJournal!I$1),0)*($K868+$L868)/(SUMIF($A:$A,$A868,$K:$K)+SUMIF($A:$A,$A868,$L:$L)),0)</f>
        <v>0</v>
      </c>
      <c r="N868" s="30">
        <f>IFERROR((VLOOKUP($A868,HeadJournal!$A$1:$K$890,COLUMN(HeadJournal!K$1),0)-VLOOKUP($A868,HeadJournal!$A$1:$K$890,COLUMN(HeadJournal!J$1),0))*($K868+$L868)/(SUMIF($A:$A,$A868,$K:$K)+SUMIF($A:$A,$A868,$L:$L)),0)</f>
        <v>14.065996649916247</v>
      </c>
      <c r="O868" s="30">
        <f>IFERROR((VLOOKUP($A868,HeadJournal!$A$1:$L$890,COLUMN(HeadJournal!L$1),0)*($K868+$L868)/(SUMIF($A:$A,$A868,$K:$K)+SUMIF($A:$A,$A868,$L:$L)))/VLOOKUP($A868,HeadJournal!$A$1:$L$890,COLUMN(HeadJournal!H$1),0),0)</f>
        <v>0</v>
      </c>
      <c r="P868" s="30">
        <f>IFERROR(SUM(K868:O868)*VLOOKUP($A868,HeadJournal!$A$1:$L$890,COLUMN(HeadJournal!H$1),0),0)</f>
        <v>499.86599664991627</v>
      </c>
      <c r="Q868" s="29">
        <v>1100</v>
      </c>
      <c r="R868" s="31">
        <v>44992</v>
      </c>
      <c r="S868" s="31" t="s">
        <v>3121</v>
      </c>
      <c r="T868" s="95" t="str">
        <f t="shared" si="70"/>
        <v>2023 03</v>
      </c>
      <c r="U868" s="32">
        <f t="shared" si="67"/>
        <v>600.13400335008373</v>
      </c>
      <c r="V868" s="22">
        <f t="shared" si="68"/>
        <v>1.2005897728034314</v>
      </c>
      <c r="X868" s="33"/>
      <c r="Y868" s="33"/>
    </row>
    <row r="869" spans="1:25" x14ac:dyDescent="0.2">
      <c r="A869" s="93" t="s">
        <v>388</v>
      </c>
      <c r="B869" s="94">
        <f>IFERROR(VLOOKUP($A869,HeadJournal!$A$1:$NTR$890,COLUMN(HeadJournal!B$1),0),"")</f>
        <v>0</v>
      </c>
      <c r="C869" s="94" t="str">
        <f>IFERROR(VLOOKUP($A869,HeadJournal!$A$1:$NTR$890,COLUMN(HeadJournal!C$1),0),"")</f>
        <v>Roman</v>
      </c>
      <c r="D869" s="125" t="str">
        <f>IFERROR(VLOOKUP($A869,HeadJournal!$A$1:$NTR$890,COLUMN(HeadJournal!D$1),0),"")</f>
        <v>Доставлен</v>
      </c>
      <c r="E869" s="95">
        <f>IFERROR(VLOOKUP($A869,HeadJournal!$A$1:$NTR$890,COLUMN(HeadJournal!G$1),0),"")</f>
        <v>44951</v>
      </c>
      <c r="F869" s="95" t="str">
        <f t="shared" si="69"/>
        <v>2023 01</v>
      </c>
      <c r="G869" s="96" t="s">
        <v>7</v>
      </c>
      <c r="H869" s="160" t="str">
        <f>RIGHT(Journal!$J869,9)</f>
        <v xml:space="preserve"> с содой,</v>
      </c>
      <c r="I869" s="96" t="str">
        <f t="shared" si="66"/>
        <v>Baking Powder</v>
      </c>
      <c r="J869" s="97" t="s">
        <v>392</v>
      </c>
      <c r="K869" s="29">
        <v>364</v>
      </c>
      <c r="L869" s="29"/>
      <c r="M869" s="30">
        <f>IFERROR(VLOOKUP($A869,HeadJournal!$A$1:$J$890,COLUMN(HeadJournal!I$1),0)*($K869+$L869)/(SUMIF($A:$A,$A869,$K:$K)+SUMIF($A:$A,$A869,$L:$L)),0)</f>
        <v>0</v>
      </c>
      <c r="N869" s="30">
        <f>IFERROR((VLOOKUP($A869,HeadJournal!$A$1:$K$890,COLUMN(HeadJournal!K$1),0)-VLOOKUP($A869,HeadJournal!$A$1:$K$890,COLUMN(HeadJournal!J$1),0))*($K869+$L869)/(SUMIF($A:$A,$A869,$K:$K)+SUMIF($A:$A,$A869,$L:$L)),0)</f>
        <v>10.539363484087103</v>
      </c>
      <c r="O869" s="30">
        <f>IFERROR((VLOOKUP($A869,HeadJournal!$A$1:$L$890,COLUMN(HeadJournal!L$1),0)*($K869+$L869)/(SUMIF($A:$A,$A869,$K:$K)+SUMIF($A:$A,$A869,$L:$L)))/VLOOKUP($A869,HeadJournal!$A$1:$L$890,COLUMN(HeadJournal!H$1),0),0)</f>
        <v>0</v>
      </c>
      <c r="P869" s="30">
        <f>IFERROR(SUM(K869:O869)*VLOOKUP($A869,HeadJournal!$A$1:$L$890,COLUMN(HeadJournal!H$1),0),0)</f>
        <v>374.53936348408712</v>
      </c>
      <c r="Q869" s="29">
        <v>700</v>
      </c>
      <c r="R869" s="31">
        <v>44978</v>
      </c>
      <c r="S869" s="31" t="s">
        <v>3121</v>
      </c>
      <c r="T869" s="95" t="str">
        <f t="shared" si="70"/>
        <v>2023 02</v>
      </c>
      <c r="U869" s="32">
        <f t="shared" si="67"/>
        <v>325.46063651591288</v>
      </c>
      <c r="V869" s="22">
        <f t="shared" si="68"/>
        <v>0.86896243291592123</v>
      </c>
      <c r="X869" s="33"/>
      <c r="Y869" s="33"/>
    </row>
    <row r="870" spans="1:25" x14ac:dyDescent="0.2">
      <c r="A870" s="93" t="s">
        <v>393</v>
      </c>
      <c r="B870" s="94" t="str">
        <f>IFERROR(VLOOKUP($A870,HeadJournal!$A$1:$NTR$890,COLUMN(HeadJournal!B$1),0),"")</f>
        <v>710000549542</v>
      </c>
      <c r="C870" s="94" t="str">
        <f>IFERROR(VLOOKUP($A870,HeadJournal!$A$1:$NTR$890,COLUMN(HeadJournal!C$1),0),"")</f>
        <v>iHerb_VP DFD1605</v>
      </c>
      <c r="D870" s="125" t="str">
        <f>IFERROR(VLOOKUP($A870,HeadJournal!$A$1:$NTR$890,COLUMN(HeadJournal!D$1),0),"")</f>
        <v>Доставлен</v>
      </c>
      <c r="E870" s="95">
        <f>IFERROR(VLOOKUP($A870,HeadJournal!$A$1:$NTR$890,COLUMN(HeadJournal!G$1),0),"")</f>
        <v>44937</v>
      </c>
      <c r="F870" s="95" t="str">
        <f t="shared" si="69"/>
        <v>2023 01</v>
      </c>
      <c r="G870" s="96" t="s">
        <v>5</v>
      </c>
      <c r="H870" s="161" t="s">
        <v>2790</v>
      </c>
      <c r="I870" s="97" t="s">
        <v>2666</v>
      </c>
      <c r="J870" s="97" t="s">
        <v>4139</v>
      </c>
      <c r="K870" s="29">
        <v>7.46</v>
      </c>
      <c r="L870" s="29">
        <v>-0.75</v>
      </c>
      <c r="M870" s="30">
        <f>IFERROR(VLOOKUP($A870,HeadJournal!$A$1:$J$890,COLUMN(HeadJournal!I$1),0)*($K870+$L870)/(SUMIF($A:$A,$A870,$K:$K)+SUMIF($A:$A,$A870,$L:$L)),0)</f>
        <v>0.16988153243527282</v>
      </c>
      <c r="N870" s="30">
        <f>IFERROR((VLOOKUP($A870,HeadJournal!$A$1:$K$890,COLUMN(HeadJournal!K$1),0)-VLOOKUP($A870,HeadJournal!$A$1:$K$890,COLUMN(HeadJournal!J$1),0))*($K870+$L870)/(SUMIF($A:$A,$A870,$K:$K)+SUMIF($A:$A,$A870,$L:$L)),0)</f>
        <v>9.1100444386171276E-16</v>
      </c>
      <c r="O870" s="30">
        <f>IFERROR((VLOOKUP($A870,HeadJournal!$A$1:$L$890,COLUMN(HeadJournal!L$1),0)*($K870+$L870)/(SUMIF($A:$A,$A870,$K:$K)+SUMIF($A:$A,$A870,$L:$L)))/VLOOKUP($A870,HeadJournal!$A$1:$L$890,COLUMN(HeadJournal!H$1),0),0)</f>
        <v>1.1680656212040563</v>
      </c>
      <c r="P870" s="30">
        <f>IFERROR(SUM(K870:O870)*VLOOKUP($A870,HeadJournal!$A$1:$L$890,COLUMN(HeadJournal!H$1),0),0)</f>
        <v>619.69193083022833</v>
      </c>
      <c r="Q870" s="29">
        <v>1500</v>
      </c>
      <c r="R870" s="31">
        <v>45253</v>
      </c>
      <c r="S870" s="31" t="s">
        <v>3121</v>
      </c>
      <c r="T870" s="95" t="str">
        <f t="shared" si="70"/>
        <v>2023 11</v>
      </c>
      <c r="U870" s="32">
        <f t="shared" si="67"/>
        <v>880.30806916977167</v>
      </c>
      <c r="V870" s="22">
        <f t="shared" si="68"/>
        <v>1.4205575792965135</v>
      </c>
      <c r="X870" s="33"/>
      <c r="Y870" s="33"/>
    </row>
    <row r="871" spans="1:25" x14ac:dyDescent="0.2">
      <c r="A871" s="93" t="s">
        <v>393</v>
      </c>
      <c r="B871" s="94" t="str">
        <f>IFERROR(VLOOKUP($A871,HeadJournal!$A$1:$NTR$890,COLUMN(HeadJournal!B$1),0),"")</f>
        <v>710000549542</v>
      </c>
      <c r="C871" s="94" t="str">
        <f>IFERROR(VLOOKUP($A871,HeadJournal!$A$1:$NTR$890,COLUMN(HeadJournal!C$1),0),"")</f>
        <v>iHerb_VP DFD1605</v>
      </c>
      <c r="D871" s="125" t="str">
        <f>IFERROR(VLOOKUP($A871,HeadJournal!$A$1:$NTR$890,COLUMN(HeadJournal!D$1),0),"")</f>
        <v>Доставлен</v>
      </c>
      <c r="E871" s="95">
        <f>IFERROR(VLOOKUP($A871,HeadJournal!$A$1:$NTR$890,COLUMN(HeadJournal!G$1),0),"")</f>
        <v>44937</v>
      </c>
      <c r="F871" s="95" t="str">
        <f t="shared" si="69"/>
        <v>2023 01</v>
      </c>
      <c r="G871" s="96" t="s">
        <v>5</v>
      </c>
      <c r="H871" s="160" t="str">
        <f>RIGHT(Journal!$J871,9)</f>
        <v>LIL-00623</v>
      </c>
      <c r="I871" s="96" t="str">
        <f t="shared" si="66"/>
        <v>L'il Critters</v>
      </c>
      <c r="J871" s="97" t="s">
        <v>394</v>
      </c>
      <c r="K871" s="29">
        <v>8.02</v>
      </c>
      <c r="L871" s="29">
        <v>-0.8</v>
      </c>
      <c r="M871" s="30">
        <f>IFERROR(VLOOKUP($A871,HeadJournal!$A$1:$J$890,COLUMN(HeadJournal!I$1),0)*($K871+$L871)/(SUMIF($A:$A,$A871,$K:$K)+SUMIF($A:$A,$A871,$L:$L)),0)</f>
        <v>0.18279354160695527</v>
      </c>
      <c r="N871" s="30">
        <f>IFERROR((VLOOKUP($A871,HeadJournal!$A$1:$K$890,COLUMN(HeadJournal!K$1),0)-VLOOKUP($A871,HeadJournal!$A$1:$K$890,COLUMN(HeadJournal!J$1),0))*($K871+$L871)/(SUMIF($A:$A,$A871,$K:$K)+SUMIF($A:$A,$A871,$L:$L)),0)</f>
        <v>9.8024621232214085E-16</v>
      </c>
      <c r="O871" s="30">
        <f>IFERROR((VLOOKUP($A871,HeadJournal!$A$1:$L$890,COLUMN(HeadJournal!L$1),0)*($K871+$L871)/(SUMIF($A:$A,$A871,$K:$K)+SUMIF($A:$A,$A871,$L:$L)))/VLOOKUP($A871,HeadJournal!$A$1:$L$890,COLUMN(HeadJournal!H$1),0),0)</f>
        <v>1.2568455715489253</v>
      </c>
      <c r="P871" s="30">
        <f>IFERROR(SUM(K871:O871)*VLOOKUP($A871,HeadJournal!$A$1:$L$890,COLUMN(HeadJournal!H$1),0),0)</f>
        <v>666.79221171300287</v>
      </c>
      <c r="Q871" s="29">
        <v>1300</v>
      </c>
      <c r="R871" s="31">
        <v>44973</v>
      </c>
      <c r="S871" s="31" t="s">
        <v>3121</v>
      </c>
      <c r="T871" s="95" t="str">
        <f t="shared" si="70"/>
        <v>2023 02</v>
      </c>
      <c r="U871" s="32">
        <f t="shared" si="67"/>
        <v>633.20778828699713</v>
      </c>
      <c r="V871" s="22">
        <f t="shared" si="68"/>
        <v>0.94963284988028474</v>
      </c>
      <c r="X871" s="33"/>
      <c r="Y871" s="33"/>
    </row>
    <row r="872" spans="1:25" x14ac:dyDescent="0.2">
      <c r="A872" s="93" t="s">
        <v>393</v>
      </c>
      <c r="B872" s="94" t="str">
        <f>IFERROR(VLOOKUP($A872,HeadJournal!$A$1:$NTR$890,COLUMN(HeadJournal!B$1),0),"")</f>
        <v>710000549542</v>
      </c>
      <c r="C872" s="94" t="str">
        <f>IFERROR(VLOOKUP($A872,HeadJournal!$A$1:$NTR$890,COLUMN(HeadJournal!C$1),0),"")</f>
        <v>iHerb_VP DFD1605</v>
      </c>
      <c r="D872" s="125" t="str">
        <f>IFERROR(VLOOKUP($A872,HeadJournal!$A$1:$NTR$890,COLUMN(HeadJournal!D$1),0),"")</f>
        <v>Доставлен</v>
      </c>
      <c r="E872" s="95">
        <f>IFERROR(VLOOKUP($A872,HeadJournal!$A$1:$NTR$890,COLUMN(HeadJournal!G$1),0),"")</f>
        <v>44937</v>
      </c>
      <c r="F872" s="95" t="str">
        <f t="shared" si="69"/>
        <v>2023 01</v>
      </c>
      <c r="G872" s="96" t="s">
        <v>5</v>
      </c>
      <c r="H872" s="161" t="s">
        <v>2899</v>
      </c>
      <c r="I872" s="97" t="s">
        <v>2042</v>
      </c>
      <c r="J872" s="97" t="s">
        <v>2900</v>
      </c>
      <c r="K872" s="29">
        <v>8.59</v>
      </c>
      <c r="L872" s="29">
        <v>-0.86</v>
      </c>
      <c r="M872" s="30">
        <f>IFERROR(VLOOKUP($A872,HeadJournal!$A$1:$J$890,COLUMN(HeadJournal!I$1),0)*($K872+$L872)/(SUMIF($A:$A,$A872,$K:$K)+SUMIF($A:$A,$A872,$L:$L)),0)</f>
        <v>0.19570555077863769</v>
      </c>
      <c r="N872" s="30">
        <f>IFERROR((VLOOKUP($A872,HeadJournal!$A$1:$K$890,COLUMN(HeadJournal!K$1),0)-VLOOKUP($A872,HeadJournal!$A$1:$K$890,COLUMN(HeadJournal!J$1),0))*($K872+$L872)/(SUMIF($A:$A,$A872,$K:$K)+SUMIF($A:$A,$A872,$L:$L)),0)</f>
        <v>1.0494879807825691E-15</v>
      </c>
      <c r="O872" s="30">
        <f>IFERROR((VLOOKUP($A872,HeadJournal!$A$1:$L$890,COLUMN(HeadJournal!L$1),0)*($K872+$L872)/(SUMIF($A:$A,$A872,$K:$K)+SUMIF($A:$A,$A872,$L:$L)))/VLOOKUP($A872,HeadJournal!$A$1:$L$890,COLUMN(HeadJournal!H$1),0),0)</f>
        <v>1.3456255218937938</v>
      </c>
      <c r="P872" s="30">
        <f>IFERROR(SUM(K872:O872)*VLOOKUP($A872,HeadJournal!$A$1:$L$890,COLUMN(HeadJournal!H$1),0),0)</f>
        <v>713.89249259577718</v>
      </c>
      <c r="Q872" s="29">
        <v>713.89</v>
      </c>
      <c r="R872" s="31">
        <v>44967</v>
      </c>
      <c r="S872" s="31" t="s">
        <v>3121</v>
      </c>
      <c r="T872" s="95" t="str">
        <f t="shared" si="70"/>
        <v>2023 02</v>
      </c>
      <c r="U872" s="32">
        <f t="shared" si="67"/>
        <v>-2.4925957771984031E-3</v>
      </c>
      <c r="V872" s="22">
        <f t="shared" si="68"/>
        <v>-3.4915562259733269E-6</v>
      </c>
      <c r="X872" s="33"/>
      <c r="Y872" s="33"/>
    </row>
    <row r="873" spans="1:25" x14ac:dyDescent="0.2">
      <c r="A873" s="93" t="s">
        <v>393</v>
      </c>
      <c r="B873" s="94" t="str">
        <f>IFERROR(VLOOKUP($A873,HeadJournal!$A$1:$NTR$890,COLUMN(HeadJournal!B$1),0),"")</f>
        <v>710000549542</v>
      </c>
      <c r="C873" s="94" t="str">
        <f>IFERROR(VLOOKUP($A873,HeadJournal!$A$1:$NTR$890,COLUMN(HeadJournal!C$1),0),"")</f>
        <v>iHerb_VP DFD1605</v>
      </c>
      <c r="D873" s="125" t="str">
        <f>IFERROR(VLOOKUP($A873,HeadJournal!$A$1:$NTR$890,COLUMN(HeadJournal!D$1),0),"")</f>
        <v>Доставлен</v>
      </c>
      <c r="E873" s="95">
        <f>IFERROR(VLOOKUP($A873,HeadJournal!$A$1:$NTR$890,COLUMN(HeadJournal!G$1),0),"")</f>
        <v>44937</v>
      </c>
      <c r="F873" s="95" t="str">
        <f t="shared" si="69"/>
        <v>2023 01</v>
      </c>
      <c r="G873" s="96" t="s">
        <v>5</v>
      </c>
      <c r="H873" s="161" t="s">
        <v>2899</v>
      </c>
      <c r="I873" s="97" t="s">
        <v>2042</v>
      </c>
      <c r="J873" s="97" t="s">
        <v>2900</v>
      </c>
      <c r="K873" s="29">
        <v>8.59</v>
      </c>
      <c r="L873" s="29">
        <v>-0.86</v>
      </c>
      <c r="M873" s="30">
        <f>IFERROR(VLOOKUP($A873,HeadJournal!$A$1:$J$890,COLUMN(HeadJournal!I$1),0)*($K873+$L873)/(SUMIF($A:$A,$A873,$K:$K)+SUMIF($A:$A,$A873,$L:$L)),0)</f>
        <v>0.19570555077863769</v>
      </c>
      <c r="N873" s="30">
        <f>IFERROR((VLOOKUP($A873,HeadJournal!$A$1:$K$890,COLUMN(HeadJournal!K$1),0)-VLOOKUP($A873,HeadJournal!$A$1:$K$890,COLUMN(HeadJournal!J$1),0))*($K873+$L873)/(SUMIF($A:$A,$A873,$K:$K)+SUMIF($A:$A,$A873,$L:$L)),0)</f>
        <v>1.0494879807825691E-15</v>
      </c>
      <c r="O873" s="30">
        <f>IFERROR((VLOOKUP($A873,HeadJournal!$A$1:$L$890,COLUMN(HeadJournal!L$1),0)*($K873+$L873)/(SUMIF($A:$A,$A873,$K:$K)+SUMIF($A:$A,$A873,$L:$L)))/VLOOKUP($A873,HeadJournal!$A$1:$L$890,COLUMN(HeadJournal!H$1),0),0)</f>
        <v>1.3456255218937938</v>
      </c>
      <c r="P873" s="30">
        <f>IFERROR(SUM(K873:O873)*VLOOKUP($A873,HeadJournal!$A$1:$L$890,COLUMN(HeadJournal!H$1),0),0)</f>
        <v>713.89249259577718</v>
      </c>
      <c r="Q873" s="29">
        <v>1500</v>
      </c>
      <c r="R873" s="31">
        <v>45436</v>
      </c>
      <c r="S873" s="31" t="s">
        <v>3121</v>
      </c>
      <c r="T873" s="95" t="str">
        <f t="shared" si="70"/>
        <v>2024 05</v>
      </c>
      <c r="U873" s="32">
        <f t="shared" si="67"/>
        <v>786.10750740422282</v>
      </c>
      <c r="V873" s="22">
        <f t="shared" si="68"/>
        <v>1.1011567085484613</v>
      </c>
      <c r="X873" s="33"/>
      <c r="Y873" s="33"/>
    </row>
    <row r="874" spans="1:25" x14ac:dyDescent="0.2">
      <c r="A874" s="93" t="s">
        <v>393</v>
      </c>
      <c r="B874" s="94" t="str">
        <f>IFERROR(VLOOKUP($A874,HeadJournal!$A$1:$NTR$890,COLUMN(HeadJournal!B$1),0),"")</f>
        <v>710000549542</v>
      </c>
      <c r="C874" s="94" t="str">
        <f>IFERROR(VLOOKUP($A874,HeadJournal!$A$1:$NTR$890,COLUMN(HeadJournal!C$1),0),"")</f>
        <v>iHerb_VP DFD1605</v>
      </c>
      <c r="D874" s="125" t="str">
        <f>IFERROR(VLOOKUP($A874,HeadJournal!$A$1:$NTR$890,COLUMN(HeadJournal!D$1),0),"")</f>
        <v>Доставлен</v>
      </c>
      <c r="E874" s="95">
        <f>IFERROR(VLOOKUP($A874,HeadJournal!$A$1:$NTR$890,COLUMN(HeadJournal!G$1),0),"")</f>
        <v>44937</v>
      </c>
      <c r="F874" s="95" t="str">
        <f t="shared" si="69"/>
        <v>2023 01</v>
      </c>
      <c r="G874" s="96" t="s">
        <v>5</v>
      </c>
      <c r="H874" s="161" t="s">
        <v>2896</v>
      </c>
      <c r="I874" s="97" t="s">
        <v>2666</v>
      </c>
      <c r="J874" s="97" t="s">
        <v>2897</v>
      </c>
      <c r="K874" s="29">
        <v>9.5399999999999991</v>
      </c>
      <c r="L874" s="29">
        <v>-0.95</v>
      </c>
      <c r="M874" s="30">
        <f>IFERROR(VLOOKUP($A874,HeadJournal!$A$1:$J$890,COLUMN(HeadJournal!I$1),0)*($K874+$L874)/(SUMIF($A:$A,$A874,$K:$K)+SUMIF($A:$A,$A874,$L:$L)),0)</f>
        <v>0.21747874271520024</v>
      </c>
      <c r="N874" s="30">
        <f>IFERROR((VLOOKUP($A874,HeadJournal!$A$1:$K$890,COLUMN(HeadJournal!K$1),0)-VLOOKUP($A874,HeadJournal!$A$1:$K$890,COLUMN(HeadJournal!J$1),0))*($K874+$L874)/(SUMIF($A:$A,$A874,$K:$K)+SUMIF($A:$A,$A874,$L:$L)),0)</f>
        <v>1.1662486099511344E-15</v>
      </c>
      <c r="O874" s="30">
        <f>IFERROR((VLOOKUP($A874,HeadJournal!$A$1:$L$890,COLUMN(HeadJournal!L$1),0)*($K874+$L874)/(SUMIF($A:$A,$A874,$K:$K)+SUMIF($A:$A,$A874,$L:$L)))/VLOOKUP($A874,HeadJournal!$A$1:$L$890,COLUMN(HeadJournal!H$1),0),0)</f>
        <v>1.4953328891420041</v>
      </c>
      <c r="P874" s="30">
        <f>IFERROR(SUM(K874:O874)*VLOOKUP($A874,HeadJournal!$A$1:$L$890,COLUMN(HeadJournal!H$1),0),0)</f>
        <v>793.31649565300484</v>
      </c>
      <c r="Q874" s="29">
        <v>1500</v>
      </c>
      <c r="R874" s="31">
        <v>44973</v>
      </c>
      <c r="S874" s="31" t="s">
        <v>3121</v>
      </c>
      <c r="T874" s="95" t="str">
        <f t="shared" si="70"/>
        <v>2023 02</v>
      </c>
      <c r="U874" s="32">
        <f t="shared" si="67"/>
        <v>706.68350434699516</v>
      </c>
      <c r="V874" s="22">
        <f t="shared" si="68"/>
        <v>0.89079643272172326</v>
      </c>
      <c r="X874" s="33"/>
      <c r="Y874" s="33"/>
    </row>
    <row r="875" spans="1:25" x14ac:dyDescent="0.2">
      <c r="A875" s="93" t="s">
        <v>393</v>
      </c>
      <c r="B875" s="94" t="str">
        <f>IFERROR(VLOOKUP($A875,HeadJournal!$A$1:$NTR$890,COLUMN(HeadJournal!B$1),0),"")</f>
        <v>710000549542</v>
      </c>
      <c r="C875" s="94" t="str">
        <f>IFERROR(VLOOKUP($A875,HeadJournal!$A$1:$NTR$890,COLUMN(HeadJournal!C$1),0),"")</f>
        <v>iHerb_VP DFD1605</v>
      </c>
      <c r="D875" s="125" t="str">
        <f>IFERROR(VLOOKUP($A875,HeadJournal!$A$1:$NTR$890,COLUMN(HeadJournal!D$1),0),"")</f>
        <v>Доставлен</v>
      </c>
      <c r="E875" s="95">
        <f>IFERROR(VLOOKUP($A875,HeadJournal!$A$1:$NTR$890,COLUMN(HeadJournal!G$1),0),"")</f>
        <v>44937</v>
      </c>
      <c r="F875" s="95" t="str">
        <f t="shared" si="69"/>
        <v>2023 01</v>
      </c>
      <c r="G875" s="96" t="s">
        <v>5</v>
      </c>
      <c r="H875" s="160" t="str">
        <f>RIGHT(Journal!$J875,9)</f>
        <v>CEN-22408</v>
      </c>
      <c r="I875" s="96" t="str">
        <f t="shared" si="66"/>
        <v>21st Century</v>
      </c>
      <c r="J875" s="97" t="s">
        <v>395</v>
      </c>
      <c r="K875" s="29">
        <v>7.43</v>
      </c>
      <c r="L875" s="29">
        <v>-0.74</v>
      </c>
      <c r="M875" s="30">
        <f>IFERROR(VLOOKUP($A875,HeadJournal!$A$1:$J$890,COLUMN(HeadJournal!I$1),0)*($K875+$L875)/(SUMIF($A:$A,$A875,$K:$K)+SUMIF($A:$A,$A875,$L:$L)),0)</f>
        <v>0.16937517913442252</v>
      </c>
      <c r="N875" s="30">
        <f>IFERROR((VLOOKUP($A875,HeadJournal!$A$1:$K$890,COLUMN(HeadJournal!K$1),0)-VLOOKUP($A875,HeadJournal!$A$1:$K$890,COLUMN(HeadJournal!J$1),0))*($K875+$L875)/(SUMIF($A:$A,$A875,$K:$K)+SUMIF($A:$A,$A875,$L:$L)),0)</f>
        <v>9.082890803926762E-16</v>
      </c>
      <c r="O875" s="30">
        <f>IFERROR((VLOOKUP($A875,HeadJournal!$A$1:$L$890,COLUMN(HeadJournal!L$1),0)*($K875+$L875)/(SUMIF($A:$A,$A875,$K:$K)+SUMIF($A:$A,$A875,$L:$L)))/VLOOKUP($A875,HeadJournal!$A$1:$L$890,COLUMN(HeadJournal!H$1),0),0)</f>
        <v>1.1645840545238655</v>
      </c>
      <c r="P875" s="30">
        <f>IFERROR(SUM(K875:O875)*VLOOKUP($A875,HeadJournal!$A$1:$L$890,COLUMN(HeadJournal!H$1),0),0)</f>
        <v>617.84486099168828</v>
      </c>
      <c r="Q875" s="29">
        <v>1200</v>
      </c>
      <c r="R875" s="31">
        <v>44973</v>
      </c>
      <c r="S875" s="31" t="s">
        <v>3121</v>
      </c>
      <c r="T875" s="95" t="str">
        <f t="shared" si="70"/>
        <v>2023 02</v>
      </c>
      <c r="U875" s="32">
        <f t="shared" si="67"/>
        <v>582.15513900831172</v>
      </c>
      <c r="V875" s="22">
        <f t="shared" si="68"/>
        <v>0.94223513986004215</v>
      </c>
      <c r="X875" s="33"/>
      <c r="Y875" s="33"/>
    </row>
    <row r="876" spans="1:25" x14ac:dyDescent="0.2">
      <c r="A876" s="93" t="s">
        <v>393</v>
      </c>
      <c r="B876" s="94" t="str">
        <f>IFERROR(VLOOKUP($A876,HeadJournal!$A$1:$NTR$890,COLUMN(HeadJournal!B$1),0),"")</f>
        <v>710000549542</v>
      </c>
      <c r="C876" s="94" t="str">
        <f>IFERROR(VLOOKUP($A876,HeadJournal!$A$1:$NTR$890,COLUMN(HeadJournal!C$1),0),"")</f>
        <v>iHerb_VP DFD1605</v>
      </c>
      <c r="D876" s="125" t="str">
        <f>IFERROR(VLOOKUP($A876,HeadJournal!$A$1:$NTR$890,COLUMN(HeadJournal!D$1),0),"")</f>
        <v>Доставлен</v>
      </c>
      <c r="E876" s="95">
        <f>IFERROR(VLOOKUP($A876,HeadJournal!$A$1:$NTR$890,COLUMN(HeadJournal!G$1),0),"")</f>
        <v>44937</v>
      </c>
      <c r="F876" s="95" t="str">
        <f t="shared" si="69"/>
        <v>2023 01</v>
      </c>
      <c r="G876" s="96" t="s">
        <v>7</v>
      </c>
      <c r="H876" s="160" t="str">
        <f>RIGHT(Journal!$J876,9)</f>
        <v>SYI-02110</v>
      </c>
      <c r="I876" s="96" t="str">
        <f t="shared" si="66"/>
        <v>Sympli Beautiful</v>
      </c>
      <c r="J876" s="97" t="s">
        <v>70</v>
      </c>
      <c r="K876" s="29">
        <v>8</v>
      </c>
      <c r="L876" s="29">
        <v>-2.4</v>
      </c>
      <c r="M876" s="30">
        <f>IFERROR(VLOOKUP($A876,HeadJournal!$A$1:$J$890,COLUMN(HeadJournal!I$1),0)*($K876+$L876)/(SUMIF($A:$A,$A876,$K:$K)+SUMIF($A:$A,$A876,$L:$L)),0)</f>
        <v>0.14177892423808164</v>
      </c>
      <c r="N876" s="30">
        <f>IFERROR((VLOOKUP($A876,HeadJournal!$A$1:$K$890,COLUMN(HeadJournal!K$1),0)-VLOOKUP($A876,HeadJournal!$A$1:$K$890,COLUMN(HeadJournal!J$1),0))*($K876+$L876)/(SUMIF($A:$A,$A876,$K:$K)+SUMIF($A:$A,$A876,$L:$L)),0)</f>
        <v>7.6030177133019237E-16</v>
      </c>
      <c r="O876" s="30">
        <f>IFERROR((VLOOKUP($A876,HeadJournal!$A$1:$L$890,COLUMN(HeadJournal!L$1),0)*($K876+$L876)/(SUMIF($A:$A,$A876,$K:$K)+SUMIF($A:$A,$A876,$L:$L)))/VLOOKUP($A876,HeadJournal!$A$1:$L$890,COLUMN(HeadJournal!H$1),0),0)</f>
        <v>0.97483867045345995</v>
      </c>
      <c r="P876" s="30">
        <f>IFERROR(SUM(K876:O876)*VLOOKUP($A876,HeadJournal!$A$1:$L$890,COLUMN(HeadJournal!H$1),0),0)</f>
        <v>517.17955479124873</v>
      </c>
      <c r="Q876" s="29"/>
      <c r="R876" s="31"/>
      <c r="S876" s="31"/>
      <c r="T876" s="95" t="str">
        <f t="shared" si="70"/>
        <v/>
      </c>
      <c r="U876" s="32">
        <f t="shared" si="67"/>
        <v>-517.17955479124873</v>
      </c>
      <c r="V876" s="22" t="str">
        <f t="shared" si="68"/>
        <v/>
      </c>
      <c r="X876" s="33"/>
      <c r="Y876" s="33"/>
    </row>
    <row r="877" spans="1:25" x14ac:dyDescent="0.2">
      <c r="A877" s="93" t="s">
        <v>393</v>
      </c>
      <c r="B877" s="94" t="str">
        <f>IFERROR(VLOOKUP($A877,HeadJournal!$A$1:$NTR$890,COLUMN(HeadJournal!B$1),0),"")</f>
        <v>710000549542</v>
      </c>
      <c r="C877" s="94" t="str">
        <f>IFERROR(VLOOKUP($A877,HeadJournal!$A$1:$NTR$890,COLUMN(HeadJournal!C$1),0),"")</f>
        <v>iHerb_VP DFD1605</v>
      </c>
      <c r="D877" s="125" t="str">
        <f>IFERROR(VLOOKUP($A877,HeadJournal!$A$1:$NTR$890,COLUMN(HeadJournal!D$1),0),"")</f>
        <v>Доставлен</v>
      </c>
      <c r="E877" s="95">
        <f>IFERROR(VLOOKUP($A877,HeadJournal!$A$1:$NTR$890,COLUMN(HeadJournal!G$1),0),"")</f>
        <v>44937</v>
      </c>
      <c r="F877" s="95" t="str">
        <f t="shared" si="69"/>
        <v>2023 01</v>
      </c>
      <c r="G877" s="96" t="s">
        <v>7</v>
      </c>
      <c r="H877" s="160" t="str">
        <f>RIGHT(Journal!$J877,9)</f>
        <v>RSE-01956</v>
      </c>
      <c r="I877" s="96" t="str">
        <f t="shared" si="66"/>
        <v>Radiant Seoul</v>
      </c>
      <c r="J877" s="97" t="s">
        <v>79</v>
      </c>
      <c r="K877" s="29">
        <v>6</v>
      </c>
      <c r="L877" s="29">
        <v>-1.8</v>
      </c>
      <c r="M877" s="30">
        <f>IFERROR(VLOOKUP($A877,HeadJournal!$A$1:$J$890,COLUMN(HeadJournal!I$1),0)*($K877+$L877)/(SUMIF($A:$A,$A877,$K:$K)+SUMIF($A:$A,$A877,$L:$L)),0)</f>
        <v>0.10633419317856124</v>
      </c>
      <c r="N877" s="30">
        <f>IFERROR((VLOOKUP($A877,HeadJournal!$A$1:$K$890,COLUMN(HeadJournal!K$1),0)-VLOOKUP($A877,HeadJournal!$A$1:$K$890,COLUMN(HeadJournal!J$1),0))*($K877+$L877)/(SUMIF($A:$A,$A877,$K:$K)+SUMIF($A:$A,$A877,$L:$L)),0)</f>
        <v>5.7022632849764435E-16</v>
      </c>
      <c r="O877" s="30">
        <f>IFERROR((VLOOKUP($A877,HeadJournal!$A$1:$L$890,COLUMN(HeadJournal!L$1),0)*($K877+$L877)/(SUMIF($A:$A,$A877,$K:$K)+SUMIF($A:$A,$A877,$L:$L)))/VLOOKUP($A877,HeadJournal!$A$1:$L$890,COLUMN(HeadJournal!H$1),0),0)</f>
        <v>0.73112900284009508</v>
      </c>
      <c r="P877" s="30">
        <f>IFERROR(SUM(K877:O877)*VLOOKUP($A877,HeadJournal!$A$1:$L$890,COLUMN(HeadJournal!H$1),0),0)</f>
        <v>387.88466609343669</v>
      </c>
      <c r="Q877" s="29">
        <v>700</v>
      </c>
      <c r="R877" s="31">
        <v>44991</v>
      </c>
      <c r="S877" s="31" t="s">
        <v>3121</v>
      </c>
      <c r="T877" s="95" t="str">
        <f t="shared" si="70"/>
        <v>2023 03</v>
      </c>
      <c r="U877" s="32">
        <f t="shared" si="67"/>
        <v>312.11533390656331</v>
      </c>
      <c r="V877" s="22">
        <f t="shared" si="68"/>
        <v>0.80466015078662201</v>
      </c>
      <c r="X877" s="33"/>
      <c r="Y877" s="33"/>
    </row>
    <row r="878" spans="1:25" x14ac:dyDescent="0.2">
      <c r="A878" s="93" t="s">
        <v>393</v>
      </c>
      <c r="B878" s="94" t="str">
        <f>IFERROR(VLOOKUP($A878,HeadJournal!$A$1:$NTR$890,COLUMN(HeadJournal!B$1),0),"")</f>
        <v>710000549542</v>
      </c>
      <c r="C878" s="94" t="str">
        <f>IFERROR(VLOOKUP($A878,HeadJournal!$A$1:$NTR$890,COLUMN(HeadJournal!C$1),0),"")</f>
        <v>iHerb_VP DFD1605</v>
      </c>
      <c r="D878" s="125" t="str">
        <f>IFERROR(VLOOKUP($A878,HeadJournal!$A$1:$NTR$890,COLUMN(HeadJournal!D$1),0),"")</f>
        <v>Доставлен</v>
      </c>
      <c r="E878" s="95">
        <f>IFERROR(VLOOKUP($A878,HeadJournal!$A$1:$NTR$890,COLUMN(HeadJournal!G$1),0),"")</f>
        <v>44937</v>
      </c>
      <c r="F878" s="95" t="str">
        <f t="shared" si="69"/>
        <v>2023 01</v>
      </c>
      <c r="G878" s="96" t="s">
        <v>5</v>
      </c>
      <c r="H878" s="161" t="s">
        <v>2076</v>
      </c>
      <c r="I878" s="97" t="s">
        <v>2005</v>
      </c>
      <c r="J878" s="97" t="s">
        <v>2077</v>
      </c>
      <c r="K878" s="29">
        <v>13.1</v>
      </c>
      <c r="L878" s="29">
        <v>-2.62</v>
      </c>
      <c r="M878" s="30">
        <f>IFERROR(VLOOKUP($A878,HeadJournal!$A$1:$J$890,COLUMN(HeadJournal!I$1),0)*($K878+$L878)/(SUMIF($A:$A,$A878,$K:$K)+SUMIF($A:$A,$A878,$L:$L)),0)</f>
        <v>0.26532912964555283</v>
      </c>
      <c r="N878" s="30">
        <f>IFERROR((VLOOKUP($A878,HeadJournal!$A$1:$K$890,COLUMN(HeadJournal!K$1),0)-VLOOKUP($A878,HeadJournal!$A$1:$K$890,COLUMN(HeadJournal!J$1),0))*($K878+$L878)/(SUMIF($A:$A,$A878,$K:$K)+SUMIF($A:$A,$A878,$L:$L)),0)</f>
        <v>1.4228504577750744E-15</v>
      </c>
      <c r="O878" s="30">
        <f>IFERROR((VLOOKUP($A878,HeadJournal!$A$1:$L$890,COLUMN(HeadJournal!L$1),0)*($K878+$L878)/(SUMIF($A:$A,$A878,$K:$K)+SUMIF($A:$A,$A878,$L:$L)))/VLOOKUP($A878,HeadJournal!$A$1:$L$890,COLUMN(HeadJournal!H$1),0),0)</f>
        <v>1.8243409404200466</v>
      </c>
      <c r="P878" s="30">
        <f>IFERROR(SUM(K878:O878)*VLOOKUP($A878,HeadJournal!$A$1:$L$890,COLUMN(HeadJournal!H$1),0),0)</f>
        <v>967.86459539505131</v>
      </c>
      <c r="Q878" s="29">
        <v>2400</v>
      </c>
      <c r="R878" s="31">
        <v>45510</v>
      </c>
      <c r="S878" s="31" t="s">
        <v>3121</v>
      </c>
      <c r="T878" s="95" t="str">
        <f t="shared" si="70"/>
        <v>2024 08</v>
      </c>
      <c r="U878" s="32">
        <f t="shared" si="67"/>
        <v>1432.1354046049487</v>
      </c>
      <c r="V878" s="22">
        <f t="shared" si="68"/>
        <v>1.4796857033709316</v>
      </c>
      <c r="X878" s="33"/>
      <c r="Y878" s="33"/>
    </row>
    <row r="879" spans="1:25" x14ac:dyDescent="0.2">
      <c r="A879" s="93" t="s">
        <v>393</v>
      </c>
      <c r="B879" s="94" t="str">
        <f>IFERROR(VLOOKUP($A879,HeadJournal!$A$1:$NTR$890,COLUMN(HeadJournal!B$1),0),"")</f>
        <v>710000549542</v>
      </c>
      <c r="C879" s="94" t="str">
        <f>IFERROR(VLOOKUP($A879,HeadJournal!$A$1:$NTR$890,COLUMN(HeadJournal!C$1),0),"")</f>
        <v>iHerb_VP DFD1605</v>
      </c>
      <c r="D879" s="125" t="str">
        <f>IFERROR(VLOOKUP($A879,HeadJournal!$A$1:$NTR$890,COLUMN(HeadJournal!D$1),0),"")</f>
        <v>Доставлен</v>
      </c>
      <c r="E879" s="95">
        <f>IFERROR(VLOOKUP($A879,HeadJournal!$A$1:$NTR$890,COLUMN(HeadJournal!G$1),0),"")</f>
        <v>44937</v>
      </c>
      <c r="F879" s="95" t="str">
        <f t="shared" si="69"/>
        <v>2023 01</v>
      </c>
      <c r="G879" s="96" t="s">
        <v>5</v>
      </c>
      <c r="H879" s="175" t="s">
        <v>3648</v>
      </c>
      <c r="I879" s="176" t="s">
        <v>2042</v>
      </c>
      <c r="J879" s="97" t="s">
        <v>3697</v>
      </c>
      <c r="K879" s="29">
        <v>15.29</v>
      </c>
      <c r="L879" s="29">
        <v>-3.06</v>
      </c>
      <c r="M879" s="30">
        <f>IFERROR(VLOOKUP($A879,HeadJournal!$A$1:$J$890,COLUMN(HeadJournal!I$1),0)*($K879+$L879)/(SUMIF($A:$A,$A879,$K:$K)+SUMIF($A:$A,$A879,$L:$L)),0)</f>
        <v>0.3096350434699533</v>
      </c>
      <c r="N879" s="30">
        <f>IFERROR((VLOOKUP($A879,HeadJournal!$A$1:$K$890,COLUMN(HeadJournal!K$1),0)-VLOOKUP($A879,HeadJournal!$A$1:$K$890,COLUMN(HeadJournal!J$1),0))*($K879+$L879)/(SUMIF($A:$A,$A879,$K:$K)+SUMIF($A:$A,$A879,$L:$L)),0)</f>
        <v>1.6604447613157594E-15</v>
      </c>
      <c r="O879" s="30">
        <f>IFERROR((VLOOKUP($A879,HeadJournal!$A$1:$L$890,COLUMN(HeadJournal!L$1),0)*($K879+$L879)/(SUMIF($A:$A,$A879,$K:$K)+SUMIF($A:$A,$A879,$L:$L)))/VLOOKUP($A879,HeadJournal!$A$1:$L$890,COLUMN(HeadJournal!H$1),0),0)</f>
        <v>2.1289780249367527</v>
      </c>
      <c r="P879" s="30">
        <f>IFERROR(SUM(K879:O879)*VLOOKUP($A879,HeadJournal!$A$1:$L$890,COLUMN(HeadJournal!H$1),0),0)</f>
        <v>1129.4832062673165</v>
      </c>
      <c r="Q879" s="29">
        <v>2200</v>
      </c>
      <c r="R879" s="31">
        <v>45155</v>
      </c>
      <c r="S879" s="31" t="s">
        <v>3121</v>
      </c>
      <c r="T879" s="95" t="str">
        <f t="shared" si="70"/>
        <v>2023 08</v>
      </c>
      <c r="U879" s="32">
        <f t="shared" si="67"/>
        <v>1070.5167937326835</v>
      </c>
      <c r="V879" s="22">
        <f t="shared" si="68"/>
        <v>0.94779345792178393</v>
      </c>
      <c r="X879" s="33"/>
      <c r="Y879" s="33"/>
    </row>
    <row r="880" spans="1:25" x14ac:dyDescent="0.2">
      <c r="A880" s="93" t="s">
        <v>393</v>
      </c>
      <c r="B880" s="94" t="str">
        <f>IFERROR(VLOOKUP($A880,HeadJournal!$A$1:$NTR$890,COLUMN(HeadJournal!B$1),0),"")</f>
        <v>710000549542</v>
      </c>
      <c r="C880" s="94" t="str">
        <f>IFERROR(VLOOKUP($A880,HeadJournal!$A$1:$NTR$890,COLUMN(HeadJournal!C$1),0),"")</f>
        <v>iHerb_VP DFD1605</v>
      </c>
      <c r="D880" s="125" t="str">
        <f>IFERROR(VLOOKUP($A880,HeadJournal!$A$1:$NTR$890,COLUMN(HeadJournal!D$1),0),"")</f>
        <v>Доставлен</v>
      </c>
      <c r="E880" s="95">
        <f>IFERROR(VLOOKUP($A880,HeadJournal!$A$1:$NTR$890,COLUMN(HeadJournal!G$1),0),"")</f>
        <v>44937</v>
      </c>
      <c r="F880" s="95" t="str">
        <f t="shared" si="69"/>
        <v>2023 01</v>
      </c>
      <c r="G880" s="96" t="s">
        <v>5</v>
      </c>
      <c r="H880" s="161" t="s">
        <v>2217</v>
      </c>
      <c r="I880" s="97" t="s">
        <v>2218</v>
      </c>
      <c r="J880" s="97" t="s">
        <v>2219</v>
      </c>
      <c r="K880" s="29">
        <v>18.88</v>
      </c>
      <c r="L880" s="29">
        <v>-1.89</v>
      </c>
      <c r="M880" s="30">
        <f>IFERROR(VLOOKUP($A880,HeadJournal!$A$1:$J$890,COLUMN(HeadJournal!I$1),0)*($K880+$L880)/(SUMIF($A:$A,$A880,$K:$K)+SUMIF($A:$A,$A880,$L:$L)),0)</f>
        <v>0.43014712907232261</v>
      </c>
      <c r="N880" s="30">
        <f>IFERROR((VLOOKUP($A880,HeadJournal!$A$1:$K$890,COLUMN(HeadJournal!K$1),0)-VLOOKUP($A880,HeadJournal!$A$1:$K$890,COLUMN(HeadJournal!J$1),0))*($K880+$L880)/(SUMIF($A:$A,$A880,$K:$K)+SUMIF($A:$A,$A880,$L:$L)),0)</f>
        <v>2.3067012669464227E-15</v>
      </c>
      <c r="O880" s="30">
        <f>IFERROR((VLOOKUP($A880,HeadJournal!$A$1:$L$890,COLUMN(HeadJournal!L$1),0)*($K880+$L880)/(SUMIF($A:$A,$A880,$K:$K)+SUMIF($A:$A,$A880,$L:$L)))/VLOOKUP($A880,HeadJournal!$A$1:$L$890,COLUMN(HeadJournal!H$1),0),0)</f>
        <v>2.9575908948221938</v>
      </c>
      <c r="P880" s="30">
        <f>IFERROR(SUM(K880:O880)*VLOOKUP($A880,HeadJournal!$A$1:$L$890,COLUMN(HeadJournal!H$1),0),0)</f>
        <v>1569.085827839878</v>
      </c>
      <c r="Q880" s="29">
        <v>3200</v>
      </c>
      <c r="R880" s="31">
        <v>44975</v>
      </c>
      <c r="S880" s="31" t="s">
        <v>3121</v>
      </c>
      <c r="T880" s="95" t="str">
        <f t="shared" si="70"/>
        <v>2023 02</v>
      </c>
      <c r="U880" s="32">
        <f t="shared" si="67"/>
        <v>1630.914172160122</v>
      </c>
      <c r="V880" s="22">
        <f t="shared" si="68"/>
        <v>1.0394040550384434</v>
      </c>
      <c r="X880" s="33"/>
      <c r="Y880" s="33"/>
    </row>
    <row r="881" spans="1:25" x14ac:dyDescent="0.2">
      <c r="A881" s="93" t="s">
        <v>393</v>
      </c>
      <c r="B881" s="94" t="str">
        <f>IFERROR(VLOOKUP($A881,HeadJournal!$A$1:$NTR$890,COLUMN(HeadJournal!B$1),0),"")</f>
        <v>710000549542</v>
      </c>
      <c r="C881" s="94" t="str">
        <f>IFERROR(VLOOKUP($A881,HeadJournal!$A$1:$NTR$890,COLUMN(HeadJournal!C$1),0),"")</f>
        <v>iHerb_VP DFD1605</v>
      </c>
      <c r="D881" s="125" t="str">
        <f>IFERROR(VLOOKUP($A881,HeadJournal!$A$1:$NTR$890,COLUMN(HeadJournal!D$1),0),"")</f>
        <v>Доставлен</v>
      </c>
      <c r="E881" s="95">
        <f>IFERROR(VLOOKUP($A881,HeadJournal!$A$1:$NTR$890,COLUMN(HeadJournal!G$1),0),"")</f>
        <v>44937</v>
      </c>
      <c r="F881" s="95" t="str">
        <f t="shared" si="69"/>
        <v>2023 01</v>
      </c>
      <c r="G881" s="96" t="s">
        <v>5</v>
      </c>
      <c r="H881" s="160" t="str">
        <f>RIGHT(Journal!$J881,9)</f>
        <v>CGN-01856</v>
      </c>
      <c r="I881" s="96" t="str">
        <f t="shared" si="66"/>
        <v>California Gold Nutrition</v>
      </c>
      <c r="J881" s="97" t="s">
        <v>309</v>
      </c>
      <c r="K881" s="29">
        <v>15</v>
      </c>
      <c r="L881" s="29">
        <v>-4.5</v>
      </c>
      <c r="M881" s="30">
        <f>IFERROR(VLOOKUP($A881,HeadJournal!$A$1:$J$890,COLUMN(HeadJournal!I$1),0)*($K881+$L881)/(SUMIF($A:$A,$A881,$K:$K)+SUMIF($A:$A,$A881,$L:$L)),0)</f>
        <v>0.26583548294640308</v>
      </c>
      <c r="N881" s="30">
        <f>IFERROR((VLOOKUP($A881,HeadJournal!$A$1:$K$890,COLUMN(HeadJournal!K$1),0)-VLOOKUP($A881,HeadJournal!$A$1:$K$890,COLUMN(HeadJournal!J$1),0))*($K881+$L881)/(SUMIF($A:$A,$A881,$K:$K)+SUMIF($A:$A,$A881,$L:$L)),0)</f>
        <v>1.4255658212441107E-15</v>
      </c>
      <c r="O881" s="30">
        <f>IFERROR((VLOOKUP($A881,HeadJournal!$A$1:$L$890,COLUMN(HeadJournal!L$1),0)*($K881+$L881)/(SUMIF($A:$A,$A881,$K:$K)+SUMIF($A:$A,$A881,$L:$L)))/VLOOKUP($A881,HeadJournal!$A$1:$L$890,COLUMN(HeadJournal!H$1),0),0)</f>
        <v>1.8278225071002376</v>
      </c>
      <c r="P881" s="30">
        <f>IFERROR(SUM(K881:O881)*VLOOKUP($A881,HeadJournal!$A$1:$L$890,COLUMN(HeadJournal!H$1),0),0)</f>
        <v>969.71166523359159</v>
      </c>
      <c r="Q881" s="29">
        <v>2100</v>
      </c>
      <c r="R881" s="31">
        <v>45256</v>
      </c>
      <c r="S881" s="31" t="s">
        <v>3121</v>
      </c>
      <c r="T881" s="95" t="str">
        <f t="shared" si="70"/>
        <v>2023 11</v>
      </c>
      <c r="U881" s="32">
        <f t="shared" si="67"/>
        <v>1130.2883347664083</v>
      </c>
      <c r="V881" s="22">
        <f t="shared" si="68"/>
        <v>1.1655921809439467</v>
      </c>
      <c r="X881" s="33"/>
      <c r="Y881" s="33"/>
    </row>
    <row r="882" spans="1:25" x14ac:dyDescent="0.2">
      <c r="A882" s="93" t="s">
        <v>396</v>
      </c>
      <c r="B882" s="94" t="str">
        <f>IFERROR(VLOOKUP($A882,HeadJournal!$A$1:$NTR$890,COLUMN(HeadJournal!B$1),0),"")</f>
        <v>710000579455</v>
      </c>
      <c r="C882" s="94" t="str">
        <f>IFERROR(VLOOKUP($A882,HeadJournal!$A$1:$NTR$890,COLUMN(HeadJournal!C$1),0),"")</f>
        <v>iHerb_OA CZN6870</v>
      </c>
      <c r="D882" s="125" t="str">
        <f>IFERROR(VLOOKUP($A882,HeadJournal!$A$1:$NTR$890,COLUMN(HeadJournal!D$1),0),"")</f>
        <v>Доставлен</v>
      </c>
      <c r="E882" s="95">
        <f>IFERROR(VLOOKUP($A882,HeadJournal!$A$1:$NTR$890,COLUMN(HeadJournal!G$1),0),"")</f>
        <v>44950</v>
      </c>
      <c r="F882" s="95" t="str">
        <f t="shared" si="69"/>
        <v>2023 01</v>
      </c>
      <c r="G882" s="96" t="s">
        <v>5</v>
      </c>
      <c r="H882" s="161" t="s">
        <v>4113</v>
      </c>
      <c r="I882" s="97" t="s">
        <v>2102</v>
      </c>
      <c r="J882" s="97" t="s">
        <v>4114</v>
      </c>
      <c r="K882" s="29">
        <v>31.13</v>
      </c>
      <c r="L882" s="29">
        <v>-3.11</v>
      </c>
      <c r="M882" s="30">
        <f>IFERROR(VLOOKUP($A882,HeadJournal!$A$1:$J$890,COLUMN(HeadJournal!I$1),0)*($K882+$L882)/(SUMIF($A:$A,$A882,$K:$K)+SUMIF($A:$A,$A882,$L:$L)),0)</f>
        <v>3.3620311251116641</v>
      </c>
      <c r="N882" s="30">
        <f>IFERROR((VLOOKUP($A882,HeadJournal!$A$1:$K$890,COLUMN(HeadJournal!K$1),0)-VLOOKUP($A882,HeadJournal!$A$1:$K$890,COLUMN(HeadJournal!J$1),0))*($K882+$L882)/(SUMIF($A:$A,$A882,$K:$K)+SUMIF($A:$A,$A882,$L:$L)),0)</f>
        <v>0</v>
      </c>
      <c r="O882" s="30">
        <f>IFERROR((VLOOKUP($A882,HeadJournal!$A$1:$L$890,COLUMN(HeadJournal!L$1),0)*($K882+$L882)/(SUMIF($A:$A,$A882,$K:$K)+SUMIF($A:$A,$A882,$L:$L)))/VLOOKUP($A882,HeadJournal!$A$1:$L$890,COLUMN(HeadJournal!H$1),0),0)</f>
        <v>3.6305775187716036</v>
      </c>
      <c r="P882" s="30">
        <f>IFERROR(SUM(K882:O882)*VLOOKUP($A882,HeadJournal!$A$1:$L$890,COLUMN(HeadJournal!H$1),0),0)</f>
        <v>2695.9708655790118</v>
      </c>
      <c r="Q882" s="29">
        <v>5500</v>
      </c>
      <c r="R882" s="31">
        <v>44988</v>
      </c>
      <c r="S882" s="31" t="s">
        <v>3121</v>
      </c>
      <c r="T882" s="95" t="str">
        <f t="shared" si="70"/>
        <v>2023 03</v>
      </c>
      <c r="U882" s="32">
        <f t="shared" si="67"/>
        <v>2804.0291344209882</v>
      </c>
      <c r="V882" s="22">
        <f t="shared" si="68"/>
        <v>1.0400813933939783</v>
      </c>
      <c r="X882" s="33"/>
      <c r="Y882" s="33"/>
    </row>
    <row r="883" spans="1:25" x14ac:dyDescent="0.2">
      <c r="A883" s="93" t="s">
        <v>396</v>
      </c>
      <c r="B883" s="94" t="str">
        <f>IFERROR(VLOOKUP($A883,HeadJournal!$A$1:$NTR$890,COLUMN(HeadJournal!B$1),0),"")</f>
        <v>710000579455</v>
      </c>
      <c r="C883" s="94" t="str">
        <f>IFERROR(VLOOKUP($A883,HeadJournal!$A$1:$NTR$890,COLUMN(HeadJournal!C$1),0),"")</f>
        <v>iHerb_OA CZN6870</v>
      </c>
      <c r="D883" s="125" t="str">
        <f>IFERROR(VLOOKUP($A883,HeadJournal!$A$1:$NTR$890,COLUMN(HeadJournal!D$1),0),"")</f>
        <v>Доставлен</v>
      </c>
      <c r="E883" s="95">
        <f>IFERROR(VLOOKUP($A883,HeadJournal!$A$1:$NTR$890,COLUMN(HeadJournal!G$1),0),"")</f>
        <v>44950</v>
      </c>
      <c r="F883" s="95" t="str">
        <f t="shared" si="69"/>
        <v>2023 01</v>
      </c>
      <c r="G883" s="96" t="s">
        <v>5</v>
      </c>
      <c r="H883" s="160" t="str">
        <f>RIGHT(Journal!$J883,9)</f>
        <v>CGN-00934</v>
      </c>
      <c r="I883" s="96" t="str">
        <f t="shared" si="66"/>
        <v>California Gold Nutrition</v>
      </c>
      <c r="J883" s="97" t="s">
        <v>94</v>
      </c>
      <c r="K883" s="29">
        <v>13</v>
      </c>
      <c r="L883" s="29">
        <v>-3.9</v>
      </c>
      <c r="M883" s="30">
        <f>IFERROR(VLOOKUP($A883,HeadJournal!$A$1:$J$890,COLUMN(HeadJournal!I$1),0)*($K883+$L883)/(SUMIF($A:$A,$A883,$K:$K)+SUMIF($A:$A,$A883,$L:$L)),0)</f>
        <v>1.0918802012318396</v>
      </c>
      <c r="N883" s="30">
        <f>IFERROR((VLOOKUP($A883,HeadJournal!$A$1:$K$890,COLUMN(HeadJournal!K$1),0)-VLOOKUP($A883,HeadJournal!$A$1:$K$890,COLUMN(HeadJournal!J$1),0))*($K883+$L883)/(SUMIF($A:$A,$A883,$K:$K)+SUMIF($A:$A,$A883,$L:$L)),0)</f>
        <v>0</v>
      </c>
      <c r="O883" s="30">
        <f>IFERROR((VLOOKUP($A883,HeadJournal!$A$1:$L$890,COLUMN(HeadJournal!L$1),0)*($K883+$L883)/(SUMIF($A:$A,$A883,$K:$K)+SUMIF($A:$A,$A883,$L:$L)))/VLOOKUP($A883,HeadJournal!$A$1:$L$890,COLUMN(HeadJournal!H$1),0),0)</f>
        <v>1.1790954825418127</v>
      </c>
      <c r="P883" s="30">
        <f>IFERROR(SUM(K883:O883)*VLOOKUP($A883,HeadJournal!$A$1:$L$890,COLUMN(HeadJournal!H$1),0),0)</f>
        <v>875.56512765057118</v>
      </c>
      <c r="Q883" s="29"/>
      <c r="R883" s="31"/>
      <c r="S883" s="31"/>
      <c r="T883" s="95" t="str">
        <f t="shared" si="70"/>
        <v/>
      </c>
      <c r="U883" s="32">
        <f t="shared" si="67"/>
        <v>-875.56512765057118</v>
      </c>
      <c r="V883" s="22" t="str">
        <f t="shared" si="68"/>
        <v/>
      </c>
      <c r="X883" s="33"/>
      <c r="Y883" s="33"/>
    </row>
    <row r="884" spans="1:25" x14ac:dyDescent="0.2">
      <c r="A884" s="93" t="s">
        <v>396</v>
      </c>
      <c r="B884" s="94" t="str">
        <f>IFERROR(VLOOKUP($A884,HeadJournal!$A$1:$NTR$890,COLUMN(HeadJournal!B$1),0),"")</f>
        <v>710000579455</v>
      </c>
      <c r="C884" s="94" t="str">
        <f>IFERROR(VLOOKUP($A884,HeadJournal!$A$1:$NTR$890,COLUMN(HeadJournal!C$1),0),"")</f>
        <v>iHerb_OA CZN6870</v>
      </c>
      <c r="D884" s="125" t="str">
        <f>IFERROR(VLOOKUP($A884,HeadJournal!$A$1:$NTR$890,COLUMN(HeadJournal!D$1),0),"")</f>
        <v>Доставлен</v>
      </c>
      <c r="E884" s="95">
        <f>IFERROR(VLOOKUP($A884,HeadJournal!$A$1:$NTR$890,COLUMN(HeadJournal!G$1),0),"")</f>
        <v>44950</v>
      </c>
      <c r="F884" s="95" t="str">
        <f t="shared" si="69"/>
        <v>2023 01</v>
      </c>
      <c r="G884" s="96" t="s">
        <v>5</v>
      </c>
      <c r="H884" s="175" t="s">
        <v>3630</v>
      </c>
      <c r="I884" s="176" t="s">
        <v>2052</v>
      </c>
      <c r="J884" s="97" t="s">
        <v>3673</v>
      </c>
      <c r="K884" s="29">
        <v>15</v>
      </c>
      <c r="L884" s="29">
        <v>-4.5</v>
      </c>
      <c r="M884" s="30">
        <f>IFERROR(VLOOKUP($A884,HeadJournal!$A$1:$J$890,COLUMN(HeadJournal!I$1),0)*($K884+$L884)/(SUMIF($A:$A,$A884,$K:$K)+SUMIF($A:$A,$A884,$L:$L)),0)</f>
        <v>1.2598617706521225</v>
      </c>
      <c r="N884" s="30">
        <f>IFERROR((VLOOKUP($A884,HeadJournal!$A$1:$K$890,COLUMN(HeadJournal!K$1),0)-VLOOKUP($A884,HeadJournal!$A$1:$K$890,COLUMN(HeadJournal!J$1),0))*($K884+$L884)/(SUMIF($A:$A,$A884,$K:$K)+SUMIF($A:$A,$A884,$L:$L)),0)</f>
        <v>0</v>
      </c>
      <c r="O884" s="30">
        <f>IFERROR((VLOOKUP($A884,HeadJournal!$A$1:$L$890,COLUMN(HeadJournal!L$1),0)*($K884+$L884)/(SUMIF($A:$A,$A884,$K:$K)+SUMIF($A:$A,$A884,$L:$L)))/VLOOKUP($A884,HeadJournal!$A$1:$L$890,COLUMN(HeadJournal!H$1),0),0)</f>
        <v>1.3604947875482454</v>
      </c>
      <c r="P884" s="30">
        <f>IFERROR(SUM(K884:O884)*VLOOKUP($A884,HeadJournal!$A$1:$L$890,COLUMN(HeadJournal!H$1),0),0)</f>
        <v>1010.2674549814283</v>
      </c>
      <c r="Q884" s="29">
        <v>2300</v>
      </c>
      <c r="R884" s="31">
        <v>45003</v>
      </c>
      <c r="S884" s="31" t="s">
        <v>3121</v>
      </c>
      <c r="T884" s="95" t="str">
        <f t="shared" si="70"/>
        <v>2023 03</v>
      </c>
      <c r="U884" s="32">
        <f t="shared" si="67"/>
        <v>1289.7325450185717</v>
      </c>
      <c r="V884" s="22">
        <f t="shared" si="68"/>
        <v>1.2766248567734777</v>
      </c>
      <c r="X884" s="33"/>
      <c r="Y884" s="33"/>
    </row>
    <row r="885" spans="1:25" x14ac:dyDescent="0.2">
      <c r="A885" s="93" t="s">
        <v>396</v>
      </c>
      <c r="B885" s="94" t="str">
        <f>IFERROR(VLOOKUP($A885,HeadJournal!$A$1:$NTR$890,COLUMN(HeadJournal!B$1),0),"")</f>
        <v>710000579455</v>
      </c>
      <c r="C885" s="94" t="str">
        <f>IFERROR(VLOOKUP($A885,HeadJournal!$A$1:$NTR$890,COLUMN(HeadJournal!C$1),0),"")</f>
        <v>iHerb_OA CZN6870</v>
      </c>
      <c r="D885" s="125" t="str">
        <f>IFERROR(VLOOKUP($A885,HeadJournal!$A$1:$NTR$890,COLUMN(HeadJournal!D$1),0),"")</f>
        <v>Доставлен</v>
      </c>
      <c r="E885" s="95">
        <f>IFERROR(VLOOKUP($A885,HeadJournal!$A$1:$NTR$890,COLUMN(HeadJournal!G$1),0),"")</f>
        <v>44950</v>
      </c>
      <c r="F885" s="95" t="str">
        <f t="shared" si="69"/>
        <v>2023 01</v>
      </c>
      <c r="G885" s="96" t="s">
        <v>5</v>
      </c>
      <c r="H885" s="175" t="s">
        <v>3630</v>
      </c>
      <c r="I885" s="176" t="s">
        <v>2052</v>
      </c>
      <c r="J885" s="97" t="s">
        <v>3673</v>
      </c>
      <c r="K885" s="29">
        <v>15</v>
      </c>
      <c r="L885" s="29">
        <v>-4.5</v>
      </c>
      <c r="M885" s="30">
        <f>IFERROR(VLOOKUP($A885,HeadJournal!$A$1:$J$890,COLUMN(HeadJournal!I$1),0)*($K885+$L885)/(SUMIF($A:$A,$A885,$K:$K)+SUMIF($A:$A,$A885,$L:$L)),0)</f>
        <v>1.2598617706521225</v>
      </c>
      <c r="N885" s="30">
        <f>IFERROR((VLOOKUP($A885,HeadJournal!$A$1:$K$890,COLUMN(HeadJournal!K$1),0)-VLOOKUP($A885,HeadJournal!$A$1:$K$890,COLUMN(HeadJournal!J$1),0))*($K885+$L885)/(SUMIF($A:$A,$A885,$K:$K)+SUMIF($A:$A,$A885,$L:$L)),0)</f>
        <v>0</v>
      </c>
      <c r="O885" s="30">
        <f>IFERROR((VLOOKUP($A885,HeadJournal!$A$1:$L$890,COLUMN(HeadJournal!L$1),0)*($K885+$L885)/(SUMIF($A:$A,$A885,$K:$K)+SUMIF($A:$A,$A885,$L:$L)))/VLOOKUP($A885,HeadJournal!$A$1:$L$890,COLUMN(HeadJournal!H$1),0),0)</f>
        <v>1.3604947875482454</v>
      </c>
      <c r="P885" s="30">
        <f>IFERROR(SUM(K885:O885)*VLOOKUP($A885,HeadJournal!$A$1:$L$890,COLUMN(HeadJournal!H$1),0),0)</f>
        <v>1010.2674549814283</v>
      </c>
      <c r="Q885" s="29">
        <v>2300</v>
      </c>
      <c r="R885" s="31">
        <v>45007</v>
      </c>
      <c r="S885" s="31" t="s">
        <v>3121</v>
      </c>
      <c r="T885" s="95" t="str">
        <f t="shared" si="70"/>
        <v>2023 03</v>
      </c>
      <c r="U885" s="32">
        <f t="shared" si="67"/>
        <v>1289.7325450185717</v>
      </c>
      <c r="V885" s="22">
        <f t="shared" si="68"/>
        <v>1.2766248567734777</v>
      </c>
      <c r="X885" s="33"/>
      <c r="Y885" s="33"/>
    </row>
    <row r="886" spans="1:25" x14ac:dyDescent="0.2">
      <c r="A886" s="93" t="s">
        <v>396</v>
      </c>
      <c r="B886" s="94" t="str">
        <f>IFERROR(VLOOKUP($A886,HeadJournal!$A$1:$NTR$890,COLUMN(HeadJournal!B$1),0),"")</f>
        <v>710000579455</v>
      </c>
      <c r="C886" s="94" t="str">
        <f>IFERROR(VLOOKUP($A886,HeadJournal!$A$1:$NTR$890,COLUMN(HeadJournal!C$1),0),"")</f>
        <v>iHerb_OA CZN6870</v>
      </c>
      <c r="D886" s="125" t="str">
        <f>IFERROR(VLOOKUP($A886,HeadJournal!$A$1:$NTR$890,COLUMN(HeadJournal!D$1),0),"")</f>
        <v>Доставлен</v>
      </c>
      <c r="E886" s="95">
        <f>IFERROR(VLOOKUP($A886,HeadJournal!$A$1:$NTR$890,COLUMN(HeadJournal!G$1),0),"")</f>
        <v>44950</v>
      </c>
      <c r="F886" s="95" t="str">
        <f t="shared" si="69"/>
        <v>2023 01</v>
      </c>
      <c r="G886" s="96" t="s">
        <v>5</v>
      </c>
      <c r="H886" s="175" t="s">
        <v>3630</v>
      </c>
      <c r="I886" s="176" t="s">
        <v>2052</v>
      </c>
      <c r="J886" s="97" t="s">
        <v>3673</v>
      </c>
      <c r="K886" s="29">
        <v>15</v>
      </c>
      <c r="L886" s="29">
        <v>-4.5</v>
      </c>
      <c r="M886" s="30">
        <f>IFERROR(VLOOKUP($A886,HeadJournal!$A$1:$J$890,COLUMN(HeadJournal!I$1),0)*($K886+$L886)/(SUMIF($A:$A,$A886,$K:$K)+SUMIF($A:$A,$A886,$L:$L)),0)</f>
        <v>1.2598617706521225</v>
      </c>
      <c r="N886" s="30">
        <f>IFERROR((VLOOKUP($A886,HeadJournal!$A$1:$K$890,COLUMN(HeadJournal!K$1),0)-VLOOKUP($A886,HeadJournal!$A$1:$K$890,COLUMN(HeadJournal!J$1),0))*($K886+$L886)/(SUMIF($A:$A,$A886,$K:$K)+SUMIF($A:$A,$A886,$L:$L)),0)</f>
        <v>0</v>
      </c>
      <c r="O886" s="30">
        <f>IFERROR((VLOOKUP($A886,HeadJournal!$A$1:$L$890,COLUMN(HeadJournal!L$1),0)*($K886+$L886)/(SUMIF($A:$A,$A886,$K:$K)+SUMIF($A:$A,$A886,$L:$L)))/VLOOKUP($A886,HeadJournal!$A$1:$L$890,COLUMN(HeadJournal!H$1),0),0)</f>
        <v>1.3604947875482454</v>
      </c>
      <c r="P886" s="30">
        <f>IFERROR(SUM(K886:O886)*VLOOKUP($A886,HeadJournal!$A$1:$L$890,COLUMN(HeadJournal!H$1),0),0)</f>
        <v>1010.2674549814283</v>
      </c>
      <c r="Q886" s="29">
        <v>2100</v>
      </c>
      <c r="R886" s="31">
        <v>45101</v>
      </c>
      <c r="S886" s="31" t="s">
        <v>3121</v>
      </c>
      <c r="T886" s="95" t="str">
        <f t="shared" si="70"/>
        <v>2023 06</v>
      </c>
      <c r="U886" s="32">
        <f t="shared" si="67"/>
        <v>1089.7325450185717</v>
      </c>
      <c r="V886" s="22">
        <f t="shared" si="68"/>
        <v>1.07865747792361</v>
      </c>
      <c r="X886" s="33"/>
      <c r="Y886" s="33"/>
    </row>
    <row r="887" spans="1:25" x14ac:dyDescent="0.2">
      <c r="A887" s="93" t="s">
        <v>396</v>
      </c>
      <c r="B887" s="94" t="str">
        <f>IFERROR(VLOOKUP($A887,HeadJournal!$A$1:$NTR$890,COLUMN(HeadJournal!B$1),0),"")</f>
        <v>710000579455</v>
      </c>
      <c r="C887" s="94" t="str">
        <f>IFERROR(VLOOKUP($A887,HeadJournal!$A$1:$NTR$890,COLUMN(HeadJournal!C$1),0),"")</f>
        <v>iHerb_OA CZN6870</v>
      </c>
      <c r="D887" s="125" t="str">
        <f>IFERROR(VLOOKUP($A887,HeadJournal!$A$1:$NTR$890,COLUMN(HeadJournal!D$1),0),"")</f>
        <v>Доставлен</v>
      </c>
      <c r="E887" s="95">
        <f>IFERROR(VLOOKUP($A887,HeadJournal!$A$1:$NTR$890,COLUMN(HeadJournal!G$1),0),"")</f>
        <v>44950</v>
      </c>
      <c r="F887" s="95" t="str">
        <f t="shared" si="69"/>
        <v>2023 01</v>
      </c>
      <c r="G887" s="96" t="s">
        <v>6</v>
      </c>
      <c r="H887" s="160" t="str">
        <f>RIGHT(Journal!$J887,9)</f>
        <v>CGN-01064</v>
      </c>
      <c r="I887" s="96" t="str">
        <f t="shared" si="66"/>
        <v>California Gold Nutrition</v>
      </c>
      <c r="J887" s="97" t="s">
        <v>163</v>
      </c>
      <c r="K887" s="29">
        <v>23</v>
      </c>
      <c r="L887" s="29">
        <v>-6.9</v>
      </c>
      <c r="M887" s="30">
        <f>IFERROR(VLOOKUP($A887,HeadJournal!$A$1:$J$890,COLUMN(HeadJournal!I$1),0)*($K887+$L887)/(SUMIF($A:$A,$A887,$K:$K)+SUMIF($A:$A,$A887,$L:$L)),0)</f>
        <v>1.9317880483332548</v>
      </c>
      <c r="N887" s="30">
        <f>IFERROR((VLOOKUP($A887,HeadJournal!$A$1:$K$890,COLUMN(HeadJournal!K$1),0)-VLOOKUP($A887,HeadJournal!$A$1:$K$890,COLUMN(HeadJournal!J$1),0))*($K887+$L887)/(SUMIF($A:$A,$A887,$K:$K)+SUMIF($A:$A,$A887,$L:$L)),0)</f>
        <v>0</v>
      </c>
      <c r="O887" s="30">
        <f>IFERROR((VLOOKUP($A887,HeadJournal!$A$1:$L$890,COLUMN(HeadJournal!L$1),0)*($K887+$L887)/(SUMIF($A:$A,$A887,$K:$K)+SUMIF($A:$A,$A887,$L:$L)))/VLOOKUP($A887,HeadJournal!$A$1:$L$890,COLUMN(HeadJournal!H$1),0),0)</f>
        <v>2.0860920075739768</v>
      </c>
      <c r="P887" s="30">
        <f>IFERROR(SUM(K887:O887)*VLOOKUP($A887,HeadJournal!$A$1:$L$890,COLUMN(HeadJournal!H$1),0),0)</f>
        <v>1549.0767643048569</v>
      </c>
      <c r="Q887" s="29">
        <v>2900</v>
      </c>
      <c r="R887" s="31">
        <v>44990</v>
      </c>
      <c r="S887" s="31" t="s">
        <v>3121</v>
      </c>
      <c r="T887" s="95" t="str">
        <f t="shared" si="70"/>
        <v>2023 03</v>
      </c>
      <c r="U887" s="32">
        <f t="shared" si="67"/>
        <v>1350.9232356951431</v>
      </c>
      <c r="V887" s="22">
        <f t="shared" si="68"/>
        <v>0.87208282173244367</v>
      </c>
      <c r="X887" s="33"/>
      <c r="Y887" s="33"/>
    </row>
    <row r="888" spans="1:25" x14ac:dyDescent="0.2">
      <c r="A888" s="93" t="s">
        <v>396</v>
      </c>
      <c r="B888" s="94" t="str">
        <f>IFERROR(VLOOKUP($A888,HeadJournal!$A$1:$NTR$890,COLUMN(HeadJournal!B$1),0),"")</f>
        <v>710000579455</v>
      </c>
      <c r="C888" s="94" t="str">
        <f>IFERROR(VLOOKUP($A888,HeadJournal!$A$1:$NTR$890,COLUMN(HeadJournal!C$1),0),"")</f>
        <v>iHerb_OA CZN6870</v>
      </c>
      <c r="D888" s="125" t="str">
        <f>IFERROR(VLOOKUP($A888,HeadJournal!$A$1:$NTR$890,COLUMN(HeadJournal!D$1),0),"")</f>
        <v>Доставлен</v>
      </c>
      <c r="E888" s="95">
        <f>IFERROR(VLOOKUP($A888,HeadJournal!$A$1:$NTR$890,COLUMN(HeadJournal!G$1),0),"")</f>
        <v>44950</v>
      </c>
      <c r="F888" s="95" t="str">
        <f t="shared" si="69"/>
        <v>2023 01</v>
      </c>
      <c r="G888" s="96" t="s">
        <v>5</v>
      </c>
      <c r="H888" s="161" t="s">
        <v>2471</v>
      </c>
      <c r="I888" s="97" t="s">
        <v>2039</v>
      </c>
      <c r="J888" s="97" t="s">
        <v>2472</v>
      </c>
      <c r="K888" s="29">
        <v>20.69</v>
      </c>
      <c r="L888" s="29">
        <v>-2.0699999999999998</v>
      </c>
      <c r="M888" s="30">
        <f>IFERROR(VLOOKUP($A888,HeadJournal!$A$1:$J$890,COLUMN(HeadJournal!I$1),0)*($K888+$L888)/(SUMIF($A:$A,$A888,$K:$K)+SUMIF($A:$A,$A888,$L:$L)),0)</f>
        <v>2.2341548732897643</v>
      </c>
      <c r="N888" s="30">
        <f>IFERROR((VLOOKUP($A888,HeadJournal!$A$1:$K$890,COLUMN(HeadJournal!K$1),0)-VLOOKUP($A888,HeadJournal!$A$1:$K$890,COLUMN(HeadJournal!J$1),0))*($K888+$L888)/(SUMIF($A:$A,$A888,$K:$K)+SUMIF($A:$A,$A888,$L:$L)),0)</f>
        <v>0</v>
      </c>
      <c r="O888" s="30">
        <f>IFERROR((VLOOKUP($A888,HeadJournal!$A$1:$L$890,COLUMN(HeadJournal!L$1),0)*($K888+$L888)/(SUMIF($A:$A,$A888,$K:$K)+SUMIF($A:$A,$A888,$L:$L)))/VLOOKUP($A888,HeadJournal!$A$1:$L$890,COLUMN(HeadJournal!H$1),0),0)</f>
        <v>2.412610756585555</v>
      </c>
      <c r="P888" s="30">
        <f>IFERROR(SUM(K888:O888)*VLOOKUP($A888,HeadJournal!$A$1:$L$890,COLUMN(HeadJournal!H$1),0),0)</f>
        <v>1791.5409535003996</v>
      </c>
      <c r="Q888" s="29">
        <v>2900</v>
      </c>
      <c r="R888" s="31">
        <v>45003</v>
      </c>
      <c r="S888" s="31" t="s">
        <v>3121</v>
      </c>
      <c r="T888" s="95" t="str">
        <f t="shared" si="70"/>
        <v>2023 03</v>
      </c>
      <c r="U888" s="32">
        <f t="shared" si="67"/>
        <v>1108.4590464996004</v>
      </c>
      <c r="V888" s="22">
        <f t="shared" si="68"/>
        <v>0.61871822931752651</v>
      </c>
      <c r="X888" s="33"/>
      <c r="Y888" s="33"/>
    </row>
    <row r="889" spans="1:25" x14ac:dyDescent="0.2">
      <c r="A889" s="93" t="s">
        <v>396</v>
      </c>
      <c r="B889" s="94" t="str">
        <f>IFERROR(VLOOKUP($A889,HeadJournal!$A$1:$NTR$890,COLUMN(HeadJournal!B$1),0),"")</f>
        <v>710000579455</v>
      </c>
      <c r="C889" s="94" t="str">
        <f>IFERROR(VLOOKUP($A889,HeadJournal!$A$1:$NTR$890,COLUMN(HeadJournal!C$1),0),"")</f>
        <v>iHerb_OA CZN6870</v>
      </c>
      <c r="D889" s="125" t="str">
        <f>IFERROR(VLOOKUP($A889,HeadJournal!$A$1:$NTR$890,COLUMN(HeadJournal!D$1),0),"")</f>
        <v>Доставлен</v>
      </c>
      <c r="E889" s="95">
        <f>IFERROR(VLOOKUP($A889,HeadJournal!$A$1:$NTR$890,COLUMN(HeadJournal!G$1),0),"")</f>
        <v>44950</v>
      </c>
      <c r="F889" s="95" t="str">
        <f t="shared" si="69"/>
        <v>2023 01</v>
      </c>
      <c r="G889" s="96" t="s">
        <v>5</v>
      </c>
      <c r="H889" s="160" t="str">
        <f>RIGHT(Journal!$J889,9)</f>
        <v>LEX-23166</v>
      </c>
      <c r="I889" s="96" t="str">
        <f t="shared" si="66"/>
        <v>Life Extension</v>
      </c>
      <c r="J889" s="97" t="s">
        <v>42</v>
      </c>
      <c r="K889" s="29">
        <v>11.37</v>
      </c>
      <c r="L889" s="29">
        <v>-1.1399999999999999</v>
      </c>
      <c r="M889" s="30">
        <f>IFERROR(VLOOKUP($A889,HeadJournal!$A$1:$J$890,COLUMN(HeadJournal!I$1),0)*($K889+$L889)/(SUMIF($A:$A,$A889,$K:$K)+SUMIF($A:$A,$A889,$L:$L)),0)</f>
        <v>1.2274653251210679</v>
      </c>
      <c r="N889" s="30">
        <f>IFERROR((VLOOKUP($A889,HeadJournal!$A$1:$K$890,COLUMN(HeadJournal!K$1),0)-VLOOKUP($A889,HeadJournal!$A$1:$K$890,COLUMN(HeadJournal!J$1),0))*($K889+$L889)/(SUMIF($A:$A,$A889,$K:$K)+SUMIF($A:$A,$A889,$L:$L)),0)</f>
        <v>0</v>
      </c>
      <c r="O889" s="30">
        <f>IFERROR((VLOOKUP($A889,HeadJournal!$A$1:$L$890,COLUMN(HeadJournal!L$1),0)*($K889+$L889)/(SUMIF($A:$A,$A889,$K:$K)+SUMIF($A:$A,$A889,$L:$L)))/VLOOKUP($A889,HeadJournal!$A$1:$L$890,COLUMN(HeadJournal!H$1),0),0)</f>
        <v>1.3255106358684332</v>
      </c>
      <c r="P889" s="30">
        <f>IFERROR(SUM(K889:O889)*VLOOKUP($A889,HeadJournal!$A$1:$L$890,COLUMN(HeadJournal!H$1),0),0)</f>
        <v>984.28914899619144</v>
      </c>
      <c r="Q889" s="29">
        <v>1700</v>
      </c>
      <c r="R889" s="31">
        <v>45008</v>
      </c>
      <c r="S889" s="31" t="s">
        <v>3121</v>
      </c>
      <c r="T889" s="95" t="str">
        <f t="shared" si="70"/>
        <v>2023 03</v>
      </c>
      <c r="U889" s="32">
        <f t="shared" si="67"/>
        <v>715.71085100380856</v>
      </c>
      <c r="V889" s="22">
        <f t="shared" si="68"/>
        <v>0.7271347568280242</v>
      </c>
      <c r="X889" s="33"/>
      <c r="Y889" s="33"/>
    </row>
    <row r="890" spans="1:25" x14ac:dyDescent="0.2">
      <c r="A890" s="93" t="s">
        <v>396</v>
      </c>
      <c r="B890" s="94" t="str">
        <f>IFERROR(VLOOKUP($A890,HeadJournal!$A$1:$NTR$890,COLUMN(HeadJournal!B$1),0),"")</f>
        <v>710000579455</v>
      </c>
      <c r="C890" s="94" t="str">
        <f>IFERROR(VLOOKUP($A890,HeadJournal!$A$1:$NTR$890,COLUMN(HeadJournal!C$1),0),"")</f>
        <v>iHerb_OA CZN6870</v>
      </c>
      <c r="D890" s="125" t="str">
        <f>IFERROR(VLOOKUP($A890,HeadJournal!$A$1:$NTR$890,COLUMN(HeadJournal!D$1),0),"")</f>
        <v>Доставлен</v>
      </c>
      <c r="E890" s="95">
        <f>IFERROR(VLOOKUP($A890,HeadJournal!$A$1:$NTR$890,COLUMN(HeadJournal!G$1),0),"")</f>
        <v>44950</v>
      </c>
      <c r="F890" s="95" t="str">
        <f t="shared" si="69"/>
        <v>2023 01</v>
      </c>
      <c r="G890" s="96" t="s">
        <v>7</v>
      </c>
      <c r="H890" s="160" t="str">
        <f>RIGHT(Journal!$J890,9)</f>
        <v>IDE-01946</v>
      </c>
      <c r="I890" s="96" t="str">
        <f t="shared" si="66"/>
        <v>Idealove</v>
      </c>
      <c r="J890" s="97" t="s">
        <v>397</v>
      </c>
      <c r="K890" s="29">
        <v>14</v>
      </c>
      <c r="L890" s="29">
        <v>-8.4</v>
      </c>
      <c r="M890" s="30">
        <f>IFERROR(VLOOKUP($A890,HeadJournal!$A$1:$J$890,COLUMN(HeadJournal!I$1),0)*($K890+$L890)/(SUMIF($A:$A,$A890,$K:$K)+SUMIF($A:$A,$A890,$L:$L)),0)</f>
        <v>0.671926277681132</v>
      </c>
      <c r="N890" s="30">
        <f>IFERROR((VLOOKUP($A890,HeadJournal!$A$1:$K$890,COLUMN(HeadJournal!K$1),0)-VLOOKUP($A890,HeadJournal!$A$1:$K$890,COLUMN(HeadJournal!J$1),0))*($K890+$L890)/(SUMIF($A:$A,$A890,$K:$K)+SUMIF($A:$A,$A890,$L:$L)),0)</f>
        <v>0</v>
      </c>
      <c r="O890" s="30">
        <f>IFERROR((VLOOKUP($A890,HeadJournal!$A$1:$L$890,COLUMN(HeadJournal!L$1),0)*($K890+$L890)/(SUMIF($A:$A,$A890,$K:$K)+SUMIF($A:$A,$A890,$L:$L)))/VLOOKUP($A890,HeadJournal!$A$1:$L$890,COLUMN(HeadJournal!H$1),0),0)</f>
        <v>0.72559722002573079</v>
      </c>
      <c r="P890" s="30">
        <f>IFERROR(SUM(K890:O890)*VLOOKUP($A890,HeadJournal!$A$1:$L$890,COLUMN(HeadJournal!H$1),0),0)</f>
        <v>538.80930932342847</v>
      </c>
      <c r="Q890" s="29">
        <v>1400</v>
      </c>
      <c r="R890" s="31">
        <v>44991</v>
      </c>
      <c r="S890" s="31" t="s">
        <v>3121</v>
      </c>
      <c r="T890" s="95" t="str">
        <f t="shared" si="70"/>
        <v>2023 03</v>
      </c>
      <c r="U890" s="32">
        <f t="shared" si="67"/>
        <v>861.19069067657153</v>
      </c>
      <c r="V890" s="22">
        <f t="shared" si="68"/>
        <v>1.5983218474045124</v>
      </c>
      <c r="X890" s="33"/>
      <c r="Y890" s="33"/>
    </row>
    <row r="891" spans="1:25" x14ac:dyDescent="0.2">
      <c r="A891" s="93" t="s">
        <v>396</v>
      </c>
      <c r="B891" s="94" t="str">
        <f>IFERROR(VLOOKUP($A891,HeadJournal!$A$1:$NTR$890,COLUMN(HeadJournal!B$1),0),"")</f>
        <v>710000579455</v>
      </c>
      <c r="C891" s="94" t="str">
        <f>IFERROR(VLOOKUP($A891,HeadJournal!$A$1:$NTR$890,COLUMN(HeadJournal!C$1),0),"")</f>
        <v>iHerb_OA CZN6870</v>
      </c>
      <c r="D891" s="125" t="str">
        <f>IFERROR(VLOOKUP($A891,HeadJournal!$A$1:$NTR$890,COLUMN(HeadJournal!D$1),0),"")</f>
        <v>Доставлен</v>
      </c>
      <c r="E891" s="95">
        <f>IFERROR(VLOOKUP($A891,HeadJournal!$A$1:$NTR$890,COLUMN(HeadJournal!G$1),0),"")</f>
        <v>44950</v>
      </c>
      <c r="F891" s="95" t="str">
        <f t="shared" si="69"/>
        <v>2023 01</v>
      </c>
      <c r="G891" s="96" t="s">
        <v>7</v>
      </c>
      <c r="H891" s="160" t="str">
        <f>RIGHT(Journal!$J891,9)</f>
        <v>IDE-01946</v>
      </c>
      <c r="I891" s="96" t="str">
        <f t="shared" si="66"/>
        <v>Idealove</v>
      </c>
      <c r="J891" s="97" t="s">
        <v>397</v>
      </c>
      <c r="K891" s="29">
        <v>14</v>
      </c>
      <c r="L891" s="29">
        <v>-8.4</v>
      </c>
      <c r="M891" s="30">
        <f>IFERROR(VLOOKUP($A891,HeadJournal!$A$1:$J$890,COLUMN(HeadJournal!I$1),0)*($K891+$L891)/(SUMIF($A:$A,$A891,$K:$K)+SUMIF($A:$A,$A891,$L:$L)),0)</f>
        <v>0.671926277681132</v>
      </c>
      <c r="N891" s="30">
        <f>IFERROR((VLOOKUP($A891,HeadJournal!$A$1:$K$890,COLUMN(HeadJournal!K$1),0)-VLOOKUP($A891,HeadJournal!$A$1:$K$890,COLUMN(HeadJournal!J$1),0))*($K891+$L891)/(SUMIF($A:$A,$A891,$K:$K)+SUMIF($A:$A,$A891,$L:$L)),0)</f>
        <v>0</v>
      </c>
      <c r="O891" s="30">
        <f>IFERROR((VLOOKUP($A891,HeadJournal!$A$1:$L$890,COLUMN(HeadJournal!L$1),0)*($K891+$L891)/(SUMIF($A:$A,$A891,$K:$K)+SUMIF($A:$A,$A891,$L:$L)))/VLOOKUP($A891,HeadJournal!$A$1:$L$890,COLUMN(HeadJournal!H$1),0),0)</f>
        <v>0.72559722002573079</v>
      </c>
      <c r="P891" s="30">
        <f>IFERROR(SUM(K891:O891)*VLOOKUP($A891,HeadJournal!$A$1:$L$890,COLUMN(HeadJournal!H$1),0),0)</f>
        <v>538.80930932342847</v>
      </c>
      <c r="Q891" s="29"/>
      <c r="R891" s="31"/>
      <c r="S891" s="31"/>
      <c r="T891" s="95" t="str">
        <f t="shared" si="70"/>
        <v/>
      </c>
      <c r="U891" s="32">
        <f t="shared" si="67"/>
        <v>-538.80930932342847</v>
      </c>
      <c r="V891" s="22" t="str">
        <f t="shared" si="68"/>
        <v/>
      </c>
      <c r="X891" s="33"/>
      <c r="Y891" s="33"/>
    </row>
    <row r="892" spans="1:25" x14ac:dyDescent="0.2">
      <c r="A892" s="93" t="s">
        <v>396</v>
      </c>
      <c r="B892" s="94" t="str">
        <f>IFERROR(VLOOKUP($A892,HeadJournal!$A$1:$NTR$890,COLUMN(HeadJournal!B$1),0),"")</f>
        <v>710000579455</v>
      </c>
      <c r="C892" s="94" t="str">
        <f>IFERROR(VLOOKUP($A892,HeadJournal!$A$1:$NTR$890,COLUMN(HeadJournal!C$1),0),"")</f>
        <v>iHerb_OA CZN6870</v>
      </c>
      <c r="D892" s="125" t="str">
        <f>IFERROR(VLOOKUP($A892,HeadJournal!$A$1:$NTR$890,COLUMN(HeadJournal!D$1),0),"")</f>
        <v>Доставлен</v>
      </c>
      <c r="E892" s="95">
        <f>IFERROR(VLOOKUP($A892,HeadJournal!$A$1:$NTR$890,COLUMN(HeadJournal!G$1),0),"")</f>
        <v>44950</v>
      </c>
      <c r="F892" s="95" t="str">
        <f t="shared" si="69"/>
        <v>2023 01</v>
      </c>
      <c r="G892" s="96" t="s">
        <v>7</v>
      </c>
      <c r="H892" s="160" t="str">
        <f>RIGHT(Journal!$J892,9)</f>
        <v>BLT-66021</v>
      </c>
      <c r="I892" s="96" t="str">
        <f t="shared" si="66"/>
        <v>Blithe</v>
      </c>
      <c r="J892" s="97" t="s">
        <v>182</v>
      </c>
      <c r="K892" s="29">
        <v>2.86</v>
      </c>
      <c r="L892" s="29">
        <v>-0.28499999999999998</v>
      </c>
      <c r="M892" s="30">
        <f>IFERROR(VLOOKUP($A892,HeadJournal!$A$1:$J$890,COLUMN(HeadJournal!I$1),0)*($K892+$L892)/(SUMIF($A:$A,$A892,$K:$K)+SUMIF($A:$A,$A892,$L:$L)),0)</f>
        <v>0.30896610089802057</v>
      </c>
      <c r="N892" s="30">
        <f>IFERROR((VLOOKUP($A892,HeadJournal!$A$1:$K$890,COLUMN(HeadJournal!K$1),0)-VLOOKUP($A892,HeadJournal!$A$1:$K$890,COLUMN(HeadJournal!J$1),0))*($K892+$L892)/(SUMIF($A:$A,$A892,$K:$K)+SUMIF($A:$A,$A892,$L:$L)),0)</f>
        <v>0</v>
      </c>
      <c r="O892" s="30">
        <f>IFERROR((VLOOKUP($A892,HeadJournal!$A$1:$L$890,COLUMN(HeadJournal!L$1),0)*($K892+$L892)/(SUMIF($A:$A,$A892,$K:$K)+SUMIF($A:$A,$A892,$L:$L)))/VLOOKUP($A892,HeadJournal!$A$1:$L$890,COLUMN(HeadJournal!H$1),0),0)</f>
        <v>0.33364515027968877</v>
      </c>
      <c r="P892" s="30">
        <f>IFERROR(SUM(K892:O892)*VLOOKUP($A892,HeadJournal!$A$1:$L$890,COLUMN(HeadJournal!H$1),0),0)</f>
        <v>247.75606634068359</v>
      </c>
      <c r="Q892" s="29">
        <v>600</v>
      </c>
      <c r="R892" s="31">
        <v>45344</v>
      </c>
      <c r="S892" s="31" t="s">
        <v>3121</v>
      </c>
      <c r="T892" s="95" t="str">
        <f t="shared" si="70"/>
        <v>2024 02</v>
      </c>
      <c r="U892" s="32">
        <f t="shared" si="67"/>
        <v>352.24393365931644</v>
      </c>
      <c r="V892" s="22">
        <f t="shared" si="68"/>
        <v>1.4217368674838178</v>
      </c>
      <c r="X892" s="33"/>
      <c r="Y892" s="33"/>
    </row>
    <row r="893" spans="1:25" x14ac:dyDescent="0.2">
      <c r="A893" s="93" t="s">
        <v>396</v>
      </c>
      <c r="B893" s="94" t="str">
        <f>IFERROR(VLOOKUP($A893,HeadJournal!$A$1:$NTR$890,COLUMN(HeadJournal!B$1),0),"")</f>
        <v>710000579455</v>
      </c>
      <c r="C893" s="94" t="str">
        <f>IFERROR(VLOOKUP($A893,HeadJournal!$A$1:$NTR$890,COLUMN(HeadJournal!C$1),0),"")</f>
        <v>iHerb_OA CZN6870</v>
      </c>
      <c r="D893" s="125" t="str">
        <f>IFERROR(VLOOKUP($A893,HeadJournal!$A$1:$NTR$890,COLUMN(HeadJournal!D$1),0),"")</f>
        <v>Доставлен</v>
      </c>
      <c r="E893" s="95">
        <f>IFERROR(VLOOKUP($A893,HeadJournal!$A$1:$NTR$890,COLUMN(HeadJournal!G$1),0),"")</f>
        <v>44950</v>
      </c>
      <c r="F893" s="95" t="str">
        <f t="shared" si="69"/>
        <v>2023 01</v>
      </c>
      <c r="G893" s="96" t="s">
        <v>7</v>
      </c>
      <c r="H893" s="160" t="str">
        <f>RIGHT(Journal!$J893,9)</f>
        <v>BLT-66021</v>
      </c>
      <c r="I893" s="96" t="str">
        <f t="shared" si="66"/>
        <v>Blithe</v>
      </c>
      <c r="J893" s="97" t="s">
        <v>182</v>
      </c>
      <c r="K893" s="29">
        <v>2.86</v>
      </c>
      <c r="L893" s="29">
        <v>-0.28499999999999998</v>
      </c>
      <c r="M893" s="30">
        <f>IFERROR(VLOOKUP($A893,HeadJournal!$A$1:$J$890,COLUMN(HeadJournal!I$1),0)*($K893+$L893)/(SUMIF($A:$A,$A893,$K:$K)+SUMIF($A:$A,$A893,$L:$L)),0)</f>
        <v>0.30896610089802057</v>
      </c>
      <c r="N893" s="30">
        <f>IFERROR((VLOOKUP($A893,HeadJournal!$A$1:$K$890,COLUMN(HeadJournal!K$1),0)-VLOOKUP($A893,HeadJournal!$A$1:$K$890,COLUMN(HeadJournal!J$1),0))*($K893+$L893)/(SUMIF($A:$A,$A893,$K:$K)+SUMIF($A:$A,$A893,$L:$L)),0)</f>
        <v>0</v>
      </c>
      <c r="O893" s="30">
        <f>IFERROR((VLOOKUP($A893,HeadJournal!$A$1:$L$890,COLUMN(HeadJournal!L$1),0)*($K893+$L893)/(SUMIF($A:$A,$A893,$K:$K)+SUMIF($A:$A,$A893,$L:$L)))/VLOOKUP($A893,HeadJournal!$A$1:$L$890,COLUMN(HeadJournal!H$1),0),0)</f>
        <v>0.33364515027968877</v>
      </c>
      <c r="P893" s="30">
        <f>IFERROR(SUM(K893:O893)*VLOOKUP($A893,HeadJournal!$A$1:$L$890,COLUMN(HeadJournal!H$1),0),0)</f>
        <v>247.75606634068359</v>
      </c>
      <c r="Q893" s="29"/>
      <c r="R893" s="31"/>
      <c r="S893" s="31"/>
      <c r="T893" s="95" t="str">
        <f t="shared" si="70"/>
        <v/>
      </c>
      <c r="U893" s="32">
        <f t="shared" si="67"/>
        <v>-247.75606634068359</v>
      </c>
      <c r="V893" s="22" t="str">
        <f t="shared" si="68"/>
        <v/>
      </c>
      <c r="X893" s="33"/>
      <c r="Y893" s="33"/>
    </row>
    <row r="894" spans="1:25" x14ac:dyDescent="0.2">
      <c r="A894" s="93" t="s">
        <v>396</v>
      </c>
      <c r="B894" s="94" t="str">
        <f>IFERROR(VLOOKUP($A894,HeadJournal!$A$1:$NTR$890,COLUMN(HeadJournal!B$1),0),"")</f>
        <v>710000579455</v>
      </c>
      <c r="C894" s="94" t="str">
        <f>IFERROR(VLOOKUP($A894,HeadJournal!$A$1:$NTR$890,COLUMN(HeadJournal!C$1),0),"")</f>
        <v>iHerb_OA CZN6870</v>
      </c>
      <c r="D894" s="125" t="str">
        <f>IFERROR(VLOOKUP($A894,HeadJournal!$A$1:$NTR$890,COLUMN(HeadJournal!D$1),0),"")</f>
        <v>Доставлен</v>
      </c>
      <c r="E894" s="95">
        <f>IFERROR(VLOOKUP($A894,HeadJournal!$A$1:$NTR$890,COLUMN(HeadJournal!G$1),0),"")</f>
        <v>44950</v>
      </c>
      <c r="F894" s="95" t="str">
        <f t="shared" si="69"/>
        <v>2023 01</v>
      </c>
      <c r="G894" s="96" t="s">
        <v>6</v>
      </c>
      <c r="H894" s="160" t="str">
        <f>RIGHT(Journal!$J894,9)</f>
        <v>CGN-01058</v>
      </c>
      <c r="I894" s="96" t="str">
        <f t="shared" si="66"/>
        <v>California Gold Nutrition</v>
      </c>
      <c r="J894" s="97" t="s">
        <v>398</v>
      </c>
      <c r="K894" s="29">
        <v>24</v>
      </c>
      <c r="L894" s="29">
        <v>-7.2</v>
      </c>
      <c r="M894" s="30">
        <f>IFERROR(VLOOKUP($A894,HeadJournal!$A$1:$J$890,COLUMN(HeadJournal!I$1),0)*($K894+$L894)/(SUMIF($A:$A,$A894,$K:$K)+SUMIF($A:$A,$A894,$L:$L)),0)</f>
        <v>2.0157788330433961</v>
      </c>
      <c r="N894" s="30">
        <f>IFERROR((VLOOKUP($A894,HeadJournal!$A$1:$K$890,COLUMN(HeadJournal!K$1),0)-VLOOKUP($A894,HeadJournal!$A$1:$K$890,COLUMN(HeadJournal!J$1),0))*($K894+$L894)/(SUMIF($A:$A,$A894,$K:$K)+SUMIF($A:$A,$A894,$L:$L)),0)</f>
        <v>0</v>
      </c>
      <c r="O894" s="30">
        <f>IFERROR((VLOOKUP($A894,HeadJournal!$A$1:$L$890,COLUMN(HeadJournal!L$1),0)*($K894+$L894)/(SUMIF($A:$A,$A894,$K:$K)+SUMIF($A:$A,$A894,$L:$L)))/VLOOKUP($A894,HeadJournal!$A$1:$L$890,COLUMN(HeadJournal!H$1),0),0)</f>
        <v>2.1767916600771926</v>
      </c>
      <c r="P894" s="30">
        <f>IFERROR(SUM(K894:O894)*VLOOKUP($A894,HeadJournal!$A$1:$L$890,COLUMN(HeadJournal!H$1),0),0)</f>
        <v>1616.4279279702853</v>
      </c>
      <c r="Q894" s="29">
        <v>2700</v>
      </c>
      <c r="R894" s="31">
        <v>45008</v>
      </c>
      <c r="S894" s="31" t="s">
        <v>3121</v>
      </c>
      <c r="T894" s="95" t="str">
        <f t="shared" si="70"/>
        <v>2023 03</v>
      </c>
      <c r="U894" s="32">
        <f t="shared" si="67"/>
        <v>1083.5720720297147</v>
      </c>
      <c r="V894" s="22">
        <f t="shared" si="68"/>
        <v>0.67034975904575811</v>
      </c>
      <c r="X894" s="33"/>
      <c r="Y894" s="33"/>
    </row>
    <row r="895" spans="1:25" x14ac:dyDescent="0.2">
      <c r="A895" s="93" t="s">
        <v>396</v>
      </c>
      <c r="B895" s="94" t="str">
        <f>IFERROR(VLOOKUP($A895,HeadJournal!$A$1:$NTR$890,COLUMN(HeadJournal!B$1),0),"")</f>
        <v>710000579455</v>
      </c>
      <c r="C895" s="94" t="str">
        <f>IFERROR(VLOOKUP($A895,HeadJournal!$A$1:$NTR$890,COLUMN(HeadJournal!C$1),0),"")</f>
        <v>iHerb_OA CZN6870</v>
      </c>
      <c r="D895" s="125" t="str">
        <f>IFERROR(VLOOKUP($A895,HeadJournal!$A$1:$NTR$890,COLUMN(HeadJournal!D$1),0),"")</f>
        <v>Доставлен</v>
      </c>
      <c r="E895" s="95">
        <f>IFERROR(VLOOKUP($A895,HeadJournal!$A$1:$NTR$890,COLUMN(HeadJournal!G$1),0),"")</f>
        <v>44950</v>
      </c>
      <c r="F895" s="95" t="str">
        <f t="shared" si="69"/>
        <v>2023 01</v>
      </c>
      <c r="G895" s="96" t="s">
        <v>5</v>
      </c>
      <c r="H895" s="160" t="str">
        <f>RIGHT(Journal!$J895,9)</f>
        <v>SPN-00215</v>
      </c>
      <c r="I895" s="96" t="str">
        <f t="shared" si="66"/>
        <v>Super Nutrition</v>
      </c>
      <c r="J895" s="97" t="s">
        <v>164</v>
      </c>
      <c r="K895" s="29">
        <v>19.28</v>
      </c>
      <c r="L895" s="29">
        <v>-11.57</v>
      </c>
      <c r="M895" s="30">
        <f>IFERROR(VLOOKUP($A895,HeadJournal!$A$1:$J$890,COLUMN(HeadJournal!I$1),0)*($K895+$L895)/(SUMIF($A:$A,$A895,$K:$K)+SUMIF($A:$A,$A895,$L:$L)),0)</f>
        <v>0.92509850016455875</v>
      </c>
      <c r="N895" s="30">
        <f>IFERROR((VLOOKUP($A895,HeadJournal!$A$1:$K$890,COLUMN(HeadJournal!K$1),0)-VLOOKUP($A895,HeadJournal!$A$1:$K$890,COLUMN(HeadJournal!J$1),0))*($K895+$L895)/(SUMIF($A:$A,$A895,$K:$K)+SUMIF($A:$A,$A895,$L:$L)),0)</f>
        <v>0</v>
      </c>
      <c r="O895" s="30">
        <f>IFERROR((VLOOKUP($A895,HeadJournal!$A$1:$L$890,COLUMN(HeadJournal!L$1),0)*($K895+$L895)/(SUMIF($A:$A,$A895,$K:$K)+SUMIF($A:$A,$A895,$L:$L)))/VLOOKUP($A895,HeadJournal!$A$1:$L$890,COLUMN(HeadJournal!H$1),0),0)</f>
        <v>0.99899188685685469</v>
      </c>
      <c r="P895" s="30">
        <f>IFERROR(SUM(K895:O895)*VLOOKUP($A895,HeadJournal!$A$1:$L$890,COLUMN(HeadJournal!H$1),0),0)</f>
        <v>741.82495980064891</v>
      </c>
      <c r="Q895" s="29">
        <v>2500</v>
      </c>
      <c r="R895" s="31">
        <v>45012</v>
      </c>
      <c r="S895" s="31" t="s">
        <v>3121</v>
      </c>
      <c r="T895" s="95" t="str">
        <f t="shared" si="70"/>
        <v>2023 03</v>
      </c>
      <c r="U895" s="32">
        <f t="shared" si="67"/>
        <v>1758.1750401993511</v>
      </c>
      <c r="V895" s="22">
        <f t="shared" si="68"/>
        <v>2.3700672469578627</v>
      </c>
      <c r="X895" s="33"/>
      <c r="Y895" s="33"/>
    </row>
    <row r="896" spans="1:25" x14ac:dyDescent="0.2">
      <c r="A896" s="93" t="s">
        <v>396</v>
      </c>
      <c r="B896" s="94" t="str">
        <f>IFERROR(VLOOKUP($A896,HeadJournal!$A$1:$NTR$890,COLUMN(HeadJournal!B$1),0),"")</f>
        <v>710000579455</v>
      </c>
      <c r="C896" s="94" t="str">
        <f>IFERROR(VLOOKUP($A896,HeadJournal!$A$1:$NTR$890,COLUMN(HeadJournal!C$1),0),"")</f>
        <v>iHerb_OA CZN6870</v>
      </c>
      <c r="D896" s="125" t="str">
        <f>IFERROR(VLOOKUP($A896,HeadJournal!$A$1:$NTR$890,COLUMN(HeadJournal!D$1),0),"")</f>
        <v>Доставлен</v>
      </c>
      <c r="E896" s="95">
        <f>IFERROR(VLOOKUP($A896,HeadJournal!$A$1:$NTR$890,COLUMN(HeadJournal!G$1),0),"")</f>
        <v>44950</v>
      </c>
      <c r="F896" s="95" t="str">
        <f t="shared" si="69"/>
        <v>2023 01</v>
      </c>
      <c r="G896" s="96" t="s">
        <v>5</v>
      </c>
      <c r="H896" s="175" t="s">
        <v>3651</v>
      </c>
      <c r="I896" s="176" t="s">
        <v>2042</v>
      </c>
      <c r="J896" s="97" t="s">
        <v>3700</v>
      </c>
      <c r="K896" s="29">
        <v>15.43</v>
      </c>
      <c r="L896" s="29">
        <v>-1.54</v>
      </c>
      <c r="M896" s="30">
        <f>IFERROR(VLOOKUP($A896,HeadJournal!$A$1:$J$890,COLUMN(HeadJournal!I$1),0)*($K896+$L896)/(SUMIF($A:$A,$A896,$K:$K)+SUMIF($A:$A,$A896,$L:$L)),0)</f>
        <v>1.666617142319808</v>
      </c>
      <c r="N896" s="30">
        <f>IFERROR((VLOOKUP($A896,HeadJournal!$A$1:$K$890,COLUMN(HeadJournal!K$1),0)-VLOOKUP($A896,HeadJournal!$A$1:$K$890,COLUMN(HeadJournal!J$1),0))*($K896+$L896)/(SUMIF($A:$A,$A896,$K:$K)+SUMIF($A:$A,$A896,$L:$L)),0)</f>
        <v>0</v>
      </c>
      <c r="O896" s="30">
        <f>IFERROR((VLOOKUP($A896,HeadJournal!$A$1:$L$890,COLUMN(HeadJournal!L$1),0)*($K896+$L896)/(SUMIF($A:$A,$A896,$K:$K)+SUMIF($A:$A,$A896,$L:$L)))/VLOOKUP($A896,HeadJournal!$A$1:$L$890,COLUMN(HeadJournal!H$1),0),0)</f>
        <v>1.7997402475281077</v>
      </c>
      <c r="P896" s="30">
        <f>IFERROR(SUM(K896:O896)*VLOOKUP($A896,HeadJournal!$A$1:$L$890,COLUMN(HeadJournal!H$1),0),0)</f>
        <v>1336.4395190182895</v>
      </c>
      <c r="Q896" s="29">
        <v>2100</v>
      </c>
      <c r="R896" s="31">
        <v>44986</v>
      </c>
      <c r="S896" s="31" t="s">
        <v>3121</v>
      </c>
      <c r="T896" s="95" t="str">
        <f t="shared" si="70"/>
        <v>2023 03</v>
      </c>
      <c r="U896" s="32">
        <f t="shared" si="67"/>
        <v>763.5604809817105</v>
      </c>
      <c r="V896" s="22">
        <f t="shared" si="68"/>
        <v>0.57133934616255611</v>
      </c>
      <c r="X896" s="33"/>
      <c r="Y896" s="33"/>
    </row>
    <row r="897" spans="1:25" x14ac:dyDescent="0.2">
      <c r="A897" s="93" t="s">
        <v>396</v>
      </c>
      <c r="B897" s="94" t="str">
        <f>IFERROR(VLOOKUP($A897,HeadJournal!$A$1:$NTR$890,COLUMN(HeadJournal!B$1),0),"")</f>
        <v>710000579455</v>
      </c>
      <c r="C897" s="94" t="str">
        <f>IFERROR(VLOOKUP($A897,HeadJournal!$A$1:$NTR$890,COLUMN(HeadJournal!C$1),0),"")</f>
        <v>iHerb_OA CZN6870</v>
      </c>
      <c r="D897" s="125" t="str">
        <f>IFERROR(VLOOKUP($A897,HeadJournal!$A$1:$NTR$890,COLUMN(HeadJournal!D$1),0),"")</f>
        <v>Доставлен</v>
      </c>
      <c r="E897" s="95">
        <f>IFERROR(VLOOKUP($A897,HeadJournal!$A$1:$NTR$890,COLUMN(HeadJournal!G$1),0),"")</f>
        <v>44950</v>
      </c>
      <c r="F897" s="95" t="str">
        <f t="shared" si="69"/>
        <v>2023 01</v>
      </c>
      <c r="G897" s="96" t="s">
        <v>5</v>
      </c>
      <c r="H897" s="160" t="str">
        <f>RIGHT(Journal!$J897,9)</f>
        <v>NOW-04620</v>
      </c>
      <c r="I897" s="96" t="str">
        <f t="shared" si="66"/>
        <v>NOW Foods</v>
      </c>
      <c r="J897" s="97" t="s">
        <v>277</v>
      </c>
      <c r="K897" s="29">
        <v>6.61</v>
      </c>
      <c r="L897" s="29">
        <v>-1.61</v>
      </c>
      <c r="M897" s="30">
        <f>IFERROR(VLOOKUP($A897,HeadJournal!$A$1:$J$890,COLUMN(HeadJournal!I$1),0)*($K897+$L897)/(SUMIF($A:$A,$A897,$K:$K)+SUMIF($A:$A,$A897,$L:$L)),0)</f>
        <v>0.59993417650101077</v>
      </c>
      <c r="N897" s="30">
        <f>IFERROR((VLOOKUP($A897,HeadJournal!$A$1:$K$890,COLUMN(HeadJournal!K$1),0)-VLOOKUP($A897,HeadJournal!$A$1:$K$890,COLUMN(HeadJournal!J$1),0))*($K897+$L897)/(SUMIF($A:$A,$A897,$K:$K)+SUMIF($A:$A,$A897,$L:$L)),0)</f>
        <v>0</v>
      </c>
      <c r="O897" s="30">
        <f>IFERROR((VLOOKUP($A897,HeadJournal!$A$1:$L$890,COLUMN(HeadJournal!L$1),0)*($K897+$L897)/(SUMIF($A:$A,$A897,$K:$K)+SUMIF($A:$A,$A897,$L:$L)))/VLOOKUP($A897,HeadJournal!$A$1:$L$890,COLUMN(HeadJournal!H$1),0),0)</f>
        <v>0.64785466073725972</v>
      </c>
      <c r="P897" s="30">
        <f>IFERROR(SUM(K897:O897)*VLOOKUP($A897,HeadJournal!$A$1:$L$890,COLUMN(HeadJournal!H$1),0),0)</f>
        <v>481.07974046734677</v>
      </c>
      <c r="Q897" s="29">
        <v>1200</v>
      </c>
      <c r="R897" s="31">
        <v>45107</v>
      </c>
      <c r="S897" s="31" t="s">
        <v>3121</v>
      </c>
      <c r="T897" s="95" t="str">
        <f t="shared" si="70"/>
        <v>2023 06</v>
      </c>
      <c r="U897" s="32">
        <f t="shared" si="67"/>
        <v>718.92025953265329</v>
      </c>
      <c r="V897" s="22">
        <f t="shared" si="68"/>
        <v>1.4943889735083324</v>
      </c>
      <c r="X897" s="33"/>
      <c r="Y897" s="33"/>
    </row>
    <row r="898" spans="1:25" x14ac:dyDescent="0.2">
      <c r="A898" s="93" t="s">
        <v>396</v>
      </c>
      <c r="B898" s="94" t="str">
        <f>IFERROR(VLOOKUP($A898,HeadJournal!$A$1:$NTR$890,COLUMN(HeadJournal!B$1),0),"")</f>
        <v>710000579455</v>
      </c>
      <c r="C898" s="94" t="str">
        <f>IFERROR(VLOOKUP($A898,HeadJournal!$A$1:$NTR$890,COLUMN(HeadJournal!C$1),0),"")</f>
        <v>iHerb_OA CZN6870</v>
      </c>
      <c r="D898" s="125" t="str">
        <f>IFERROR(VLOOKUP($A898,HeadJournal!$A$1:$NTR$890,COLUMN(HeadJournal!D$1),0),"")</f>
        <v>Доставлен</v>
      </c>
      <c r="E898" s="95">
        <f>IFERROR(VLOOKUP($A898,HeadJournal!$A$1:$NTR$890,COLUMN(HeadJournal!G$1),0),"")</f>
        <v>44950</v>
      </c>
      <c r="F898" s="95" t="str">
        <f t="shared" si="69"/>
        <v>2023 01</v>
      </c>
      <c r="G898" s="96" t="s">
        <v>5</v>
      </c>
      <c r="H898" s="160" t="str">
        <f>RIGHT(Journal!$J898,9)</f>
        <v>AMH-03233</v>
      </c>
      <c r="I898" s="96" t="str">
        <f t="shared" ref="I898:I961" si="71">IFERROR(LEFT(J898,FIND(",",J898)-1),"")</f>
        <v>American Health</v>
      </c>
      <c r="J898" s="97" t="s">
        <v>399</v>
      </c>
      <c r="K898" s="29">
        <v>13.37</v>
      </c>
      <c r="L898" s="29">
        <v>-1.335</v>
      </c>
      <c r="M898" s="30">
        <f>IFERROR(VLOOKUP($A898,HeadJournal!$A$1:$J$890,COLUMN(HeadJournal!I$1),0)*($K898+$L898)/(SUMIF($A:$A,$A898,$K:$K)+SUMIF($A:$A,$A898,$L:$L)),0)</f>
        <v>1.4440415628379328</v>
      </c>
      <c r="N898" s="30">
        <f>IFERROR((VLOOKUP($A898,HeadJournal!$A$1:$K$890,COLUMN(HeadJournal!K$1),0)-VLOOKUP($A898,HeadJournal!$A$1:$K$890,COLUMN(HeadJournal!J$1),0))*($K898+$L898)/(SUMIF($A:$A,$A898,$K:$K)+SUMIF($A:$A,$A898,$L:$L)),0)</f>
        <v>0</v>
      </c>
      <c r="O898" s="30">
        <f>IFERROR((VLOOKUP($A898,HeadJournal!$A$1:$L$890,COLUMN(HeadJournal!L$1),0)*($K898+$L898)/(SUMIF($A:$A,$A898,$K:$K)+SUMIF($A:$A,$A898,$L:$L)))/VLOOKUP($A898,HeadJournal!$A$1:$L$890,COLUMN(HeadJournal!H$1),0),0)</f>
        <v>1.5593861683945842</v>
      </c>
      <c r="P898" s="30">
        <f>IFERROR(SUM(K898:O898)*VLOOKUP($A898,HeadJournal!$A$1:$L$890,COLUMN(HeadJournal!H$1),0),0)</f>
        <v>1157.9589353049039</v>
      </c>
      <c r="Q898" s="29">
        <v>2000</v>
      </c>
      <c r="R898" s="31">
        <v>45011</v>
      </c>
      <c r="S898" s="31" t="s">
        <v>3121</v>
      </c>
      <c r="T898" s="95" t="str">
        <f t="shared" si="70"/>
        <v>2023 03</v>
      </c>
      <c r="U898" s="32">
        <f t="shared" ref="U898:U961" si="72">Q898-P898</f>
        <v>842.04106469509611</v>
      </c>
      <c r="V898" s="22">
        <f t="shared" ref="V898:V961" si="73">IF(Q898&lt;&gt;0,IFERROR(U898/P898,""),"")</f>
        <v>0.72717696545376809</v>
      </c>
      <c r="X898" s="33"/>
      <c r="Y898" s="33"/>
    </row>
    <row r="899" spans="1:25" x14ac:dyDescent="0.2">
      <c r="A899" s="93" t="s">
        <v>396</v>
      </c>
      <c r="B899" s="94" t="str">
        <f>IFERROR(VLOOKUP($A899,HeadJournal!$A$1:$NTR$890,COLUMN(HeadJournal!B$1),0),"")</f>
        <v>710000579455</v>
      </c>
      <c r="C899" s="94" t="str">
        <f>IFERROR(VLOOKUP($A899,HeadJournal!$A$1:$NTR$890,COLUMN(HeadJournal!C$1),0),"")</f>
        <v>iHerb_OA CZN6870</v>
      </c>
      <c r="D899" s="125" t="str">
        <f>IFERROR(VLOOKUP($A899,HeadJournal!$A$1:$NTR$890,COLUMN(HeadJournal!D$1),0),"")</f>
        <v>Доставлен</v>
      </c>
      <c r="E899" s="95">
        <f>IFERROR(VLOOKUP($A899,HeadJournal!$A$1:$NTR$890,COLUMN(HeadJournal!G$1),0),"")</f>
        <v>44950</v>
      </c>
      <c r="F899" s="95" t="str">
        <f t="shared" si="69"/>
        <v>2023 01</v>
      </c>
      <c r="G899" s="96" t="s">
        <v>5</v>
      </c>
      <c r="H899" s="160" t="str">
        <f>RIGHT(Journal!$J899,9)</f>
        <v>AMH-03233</v>
      </c>
      <c r="I899" s="96" t="str">
        <f t="shared" si="71"/>
        <v>American Health</v>
      </c>
      <c r="J899" s="97" t="s">
        <v>399</v>
      </c>
      <c r="K899" s="29">
        <v>13.37</v>
      </c>
      <c r="L899" s="29">
        <v>-1.335</v>
      </c>
      <c r="M899" s="30">
        <f>IFERROR(VLOOKUP($A899,HeadJournal!$A$1:$J$890,COLUMN(HeadJournal!I$1),0)*($K899+$L899)/(SUMIF($A:$A,$A899,$K:$K)+SUMIF($A:$A,$A899,$L:$L)),0)</f>
        <v>1.4440415628379328</v>
      </c>
      <c r="N899" s="30">
        <f>IFERROR((VLOOKUP($A899,HeadJournal!$A$1:$K$890,COLUMN(HeadJournal!K$1),0)-VLOOKUP($A899,HeadJournal!$A$1:$K$890,COLUMN(HeadJournal!J$1),0))*($K899+$L899)/(SUMIF($A:$A,$A899,$K:$K)+SUMIF($A:$A,$A899,$L:$L)),0)</f>
        <v>0</v>
      </c>
      <c r="O899" s="30">
        <f>IFERROR((VLOOKUP($A899,HeadJournal!$A$1:$L$890,COLUMN(HeadJournal!L$1),0)*($K899+$L899)/(SUMIF($A:$A,$A899,$K:$K)+SUMIF($A:$A,$A899,$L:$L)))/VLOOKUP($A899,HeadJournal!$A$1:$L$890,COLUMN(HeadJournal!H$1),0),0)</f>
        <v>1.5593861683945842</v>
      </c>
      <c r="P899" s="30">
        <f>IFERROR(SUM(K899:O899)*VLOOKUP($A899,HeadJournal!$A$1:$L$890,COLUMN(HeadJournal!H$1),0),0)</f>
        <v>1157.9589353049039</v>
      </c>
      <c r="Q899" s="29">
        <v>1900</v>
      </c>
      <c r="R899" s="31">
        <v>45012</v>
      </c>
      <c r="S899" s="31" t="s">
        <v>3121</v>
      </c>
      <c r="T899" s="95" t="str">
        <f t="shared" si="70"/>
        <v>2023 03</v>
      </c>
      <c r="U899" s="32">
        <f t="shared" si="72"/>
        <v>742.04106469509611</v>
      </c>
      <c r="V899" s="22">
        <f t="shared" si="73"/>
        <v>0.64081811718107962</v>
      </c>
      <c r="X899" s="33"/>
      <c r="Y899" s="33"/>
    </row>
    <row r="900" spans="1:25" x14ac:dyDescent="0.2">
      <c r="A900" s="93" t="s">
        <v>396</v>
      </c>
      <c r="B900" s="94" t="str">
        <f>IFERROR(VLOOKUP($A900,HeadJournal!$A$1:$NTR$890,COLUMN(HeadJournal!B$1),0),"")</f>
        <v>710000579455</v>
      </c>
      <c r="C900" s="94" t="str">
        <f>IFERROR(VLOOKUP($A900,HeadJournal!$A$1:$NTR$890,COLUMN(HeadJournal!C$1),0),"")</f>
        <v>iHerb_OA CZN6870</v>
      </c>
      <c r="D900" s="125" t="str">
        <f>IFERROR(VLOOKUP($A900,HeadJournal!$A$1:$NTR$890,COLUMN(HeadJournal!D$1),0),"")</f>
        <v>Доставлен</v>
      </c>
      <c r="E900" s="95">
        <f>IFERROR(VLOOKUP($A900,HeadJournal!$A$1:$NTR$890,COLUMN(HeadJournal!G$1),0),"")</f>
        <v>44950</v>
      </c>
      <c r="F900" s="95" t="str">
        <f t="shared" ref="F900:F963" si="74">IFERROR(TEXT(E900, "ГГГГ ММ"),"")</f>
        <v>2023 01</v>
      </c>
      <c r="G900" s="96" t="s">
        <v>5</v>
      </c>
      <c r="H900" s="161" t="s">
        <v>2027</v>
      </c>
      <c r="I900" s="97" t="s">
        <v>2005</v>
      </c>
      <c r="J900" s="97" t="s">
        <v>4110</v>
      </c>
      <c r="K900" s="29">
        <v>6.64</v>
      </c>
      <c r="L900" s="29">
        <v>-1.99</v>
      </c>
      <c r="M900" s="30">
        <f>IFERROR(VLOOKUP($A900,HeadJournal!$A$1:$J$890,COLUMN(HeadJournal!I$1),0)*($K900+$L900)/(SUMIF($A:$A,$A900,$K:$K)+SUMIF($A:$A,$A900,$L:$L)),0)</f>
        <v>0.55793878414593989</v>
      </c>
      <c r="N900" s="30">
        <f>IFERROR((VLOOKUP($A900,HeadJournal!$A$1:$K$890,COLUMN(HeadJournal!K$1),0)-VLOOKUP($A900,HeadJournal!$A$1:$K$890,COLUMN(HeadJournal!J$1),0))*($K900+$L900)/(SUMIF($A:$A,$A900,$K:$K)+SUMIF($A:$A,$A900,$L:$L)),0)</f>
        <v>0</v>
      </c>
      <c r="O900" s="30">
        <f>IFERROR((VLOOKUP($A900,HeadJournal!$A$1:$L$890,COLUMN(HeadJournal!L$1),0)*($K900+$L900)/(SUMIF($A:$A,$A900,$K:$K)+SUMIF($A:$A,$A900,$L:$L)))/VLOOKUP($A900,HeadJournal!$A$1:$L$890,COLUMN(HeadJournal!H$1),0),0)</f>
        <v>0.60250483448565151</v>
      </c>
      <c r="P900" s="30">
        <f>IFERROR(SUM(K900:O900)*VLOOKUP($A900,HeadJournal!$A$1:$L$890,COLUMN(HeadJournal!H$1),0),0)</f>
        <v>447.40415863463255</v>
      </c>
      <c r="Q900" s="29">
        <v>1000</v>
      </c>
      <c r="R900" s="31">
        <v>45008</v>
      </c>
      <c r="S900" s="31" t="s">
        <v>3121</v>
      </c>
      <c r="T900" s="95" t="str">
        <f t="shared" ref="T900:T963" si="75">IF(R900="","",TEXT(R900,"ГГГГ ММ"))</f>
        <v>2023 03</v>
      </c>
      <c r="U900" s="32">
        <f t="shared" si="72"/>
        <v>552.59584136536751</v>
      </c>
      <c r="V900" s="22">
        <f t="shared" si="73"/>
        <v>1.2351155676597958</v>
      </c>
      <c r="X900" s="33"/>
      <c r="Y900" s="33"/>
    </row>
    <row r="901" spans="1:25" x14ac:dyDescent="0.2">
      <c r="A901" s="93" t="s">
        <v>396</v>
      </c>
      <c r="B901" s="94" t="str">
        <f>IFERROR(VLOOKUP($A901,HeadJournal!$A$1:$NTR$890,COLUMN(HeadJournal!B$1),0),"")</f>
        <v>710000579455</v>
      </c>
      <c r="C901" s="94" t="str">
        <f>IFERROR(VLOOKUP($A901,HeadJournal!$A$1:$NTR$890,COLUMN(HeadJournal!C$1),0),"")</f>
        <v>iHerb_OA CZN6870</v>
      </c>
      <c r="D901" s="125" t="str">
        <f>IFERROR(VLOOKUP($A901,HeadJournal!$A$1:$NTR$890,COLUMN(HeadJournal!D$1),0),"")</f>
        <v>Доставлен</v>
      </c>
      <c r="E901" s="95">
        <f>IFERROR(VLOOKUP($A901,HeadJournal!$A$1:$NTR$890,COLUMN(HeadJournal!G$1),0),"")</f>
        <v>44950</v>
      </c>
      <c r="F901" s="95" t="str">
        <f t="shared" si="74"/>
        <v>2023 01</v>
      </c>
      <c r="G901" s="96" t="s">
        <v>5</v>
      </c>
      <c r="H901" s="161" t="s">
        <v>2027</v>
      </c>
      <c r="I901" s="97" t="s">
        <v>2005</v>
      </c>
      <c r="J901" s="97" t="s">
        <v>4110</v>
      </c>
      <c r="K901" s="29">
        <v>6.64</v>
      </c>
      <c r="L901" s="29">
        <v>-1.99</v>
      </c>
      <c r="M901" s="30">
        <f>IFERROR(VLOOKUP($A901,HeadJournal!$A$1:$J$890,COLUMN(HeadJournal!I$1),0)*($K901+$L901)/(SUMIF($A:$A,$A901,$K:$K)+SUMIF($A:$A,$A901,$L:$L)),0)</f>
        <v>0.55793878414593989</v>
      </c>
      <c r="N901" s="30">
        <f>IFERROR((VLOOKUP($A901,HeadJournal!$A$1:$K$890,COLUMN(HeadJournal!K$1),0)-VLOOKUP($A901,HeadJournal!$A$1:$K$890,COLUMN(HeadJournal!J$1),0))*($K901+$L901)/(SUMIF($A:$A,$A901,$K:$K)+SUMIF($A:$A,$A901,$L:$L)),0)</f>
        <v>0</v>
      </c>
      <c r="O901" s="30">
        <f>IFERROR((VLOOKUP($A901,HeadJournal!$A$1:$L$890,COLUMN(HeadJournal!L$1),0)*($K901+$L901)/(SUMIF($A:$A,$A901,$K:$K)+SUMIF($A:$A,$A901,$L:$L)))/VLOOKUP($A901,HeadJournal!$A$1:$L$890,COLUMN(HeadJournal!H$1),0),0)</f>
        <v>0.60250483448565151</v>
      </c>
      <c r="P901" s="30">
        <f>IFERROR(SUM(K901:O901)*VLOOKUP($A901,HeadJournal!$A$1:$L$890,COLUMN(HeadJournal!H$1),0),0)</f>
        <v>447.40415863463255</v>
      </c>
      <c r="Q901" s="29">
        <v>1100</v>
      </c>
      <c r="R901" s="31">
        <v>45030</v>
      </c>
      <c r="S901" s="31" t="s">
        <v>3121</v>
      </c>
      <c r="T901" s="95" t="str">
        <f t="shared" si="75"/>
        <v>2023 04</v>
      </c>
      <c r="U901" s="32">
        <f t="shared" si="72"/>
        <v>652.59584136536751</v>
      </c>
      <c r="V901" s="22">
        <f t="shared" si="73"/>
        <v>1.4586271244257754</v>
      </c>
      <c r="X901" s="33"/>
      <c r="Y901" s="33"/>
    </row>
    <row r="902" spans="1:25" x14ac:dyDescent="0.2">
      <c r="A902" s="93" t="s">
        <v>396</v>
      </c>
      <c r="B902" s="94" t="str">
        <f>IFERROR(VLOOKUP($A902,HeadJournal!$A$1:$NTR$890,COLUMN(HeadJournal!B$1),0),"")</f>
        <v>710000579455</v>
      </c>
      <c r="C902" s="94" t="str">
        <f>IFERROR(VLOOKUP($A902,HeadJournal!$A$1:$NTR$890,COLUMN(HeadJournal!C$1),0),"")</f>
        <v>iHerb_OA CZN6870</v>
      </c>
      <c r="D902" s="125" t="str">
        <f>IFERROR(VLOOKUP($A902,HeadJournal!$A$1:$NTR$890,COLUMN(HeadJournal!D$1),0),"")</f>
        <v>Доставлен</v>
      </c>
      <c r="E902" s="95">
        <f>IFERROR(VLOOKUP($A902,HeadJournal!$A$1:$NTR$890,COLUMN(HeadJournal!G$1),0),"")</f>
        <v>44950</v>
      </c>
      <c r="F902" s="95" t="str">
        <f t="shared" si="74"/>
        <v>2023 01</v>
      </c>
      <c r="G902" s="96" t="s">
        <v>5</v>
      </c>
      <c r="H902" s="161" t="s">
        <v>3011</v>
      </c>
      <c r="I902" s="97" t="s">
        <v>2052</v>
      </c>
      <c r="J902" s="97" t="s">
        <v>3012</v>
      </c>
      <c r="K902" s="29">
        <v>6</v>
      </c>
      <c r="L902" s="29">
        <v>-3</v>
      </c>
      <c r="M902" s="30">
        <f>IFERROR(VLOOKUP($A902,HeadJournal!$A$1:$J$890,COLUMN(HeadJournal!I$1),0)*($K902+$L902)/(SUMIF($A:$A,$A902,$K:$K)+SUMIF($A:$A,$A902,$L:$L)),0)</f>
        <v>0.35996050590060646</v>
      </c>
      <c r="N902" s="30">
        <f>IFERROR((VLOOKUP($A902,HeadJournal!$A$1:$K$890,COLUMN(HeadJournal!K$1),0)-VLOOKUP($A902,HeadJournal!$A$1:$K$890,COLUMN(HeadJournal!J$1),0))*($K902+$L902)/(SUMIF($A:$A,$A902,$K:$K)+SUMIF($A:$A,$A902,$L:$L)),0)</f>
        <v>0</v>
      </c>
      <c r="O902" s="30">
        <f>IFERROR((VLOOKUP($A902,HeadJournal!$A$1:$L$890,COLUMN(HeadJournal!L$1),0)*($K902+$L902)/(SUMIF($A:$A,$A902,$K:$K)+SUMIF($A:$A,$A902,$L:$L)))/VLOOKUP($A902,HeadJournal!$A$1:$L$890,COLUMN(HeadJournal!H$1),0),0)</f>
        <v>0.38871279644235585</v>
      </c>
      <c r="P902" s="30">
        <f>IFERROR(SUM(K902:O902)*VLOOKUP($A902,HeadJournal!$A$1:$L$890,COLUMN(HeadJournal!H$1),0),0)</f>
        <v>288.64784428040809</v>
      </c>
      <c r="Q902" s="29">
        <v>850</v>
      </c>
      <c r="R902" s="31">
        <v>45071</v>
      </c>
      <c r="S902" s="31" t="s">
        <v>3121</v>
      </c>
      <c r="T902" s="95" t="str">
        <f t="shared" si="75"/>
        <v>2023 05</v>
      </c>
      <c r="U902" s="32">
        <f t="shared" si="72"/>
        <v>561.35215571959191</v>
      </c>
      <c r="V902" s="22">
        <f t="shared" si="73"/>
        <v>1.9447647603917808</v>
      </c>
      <c r="X902" s="33"/>
      <c r="Y902" s="33"/>
    </row>
    <row r="903" spans="1:25" x14ac:dyDescent="0.2">
      <c r="A903" s="93" t="s">
        <v>396</v>
      </c>
      <c r="B903" s="94" t="str">
        <f>IFERROR(VLOOKUP($A903,HeadJournal!$A$1:$NTR$890,COLUMN(HeadJournal!B$1),0),"")</f>
        <v>710000579455</v>
      </c>
      <c r="C903" s="94" t="str">
        <f>IFERROR(VLOOKUP($A903,HeadJournal!$A$1:$NTR$890,COLUMN(HeadJournal!C$1),0),"")</f>
        <v>iHerb_OA CZN6870</v>
      </c>
      <c r="D903" s="125" t="str">
        <f>IFERROR(VLOOKUP($A903,HeadJournal!$A$1:$NTR$890,COLUMN(HeadJournal!D$1),0),"")</f>
        <v>Доставлен</v>
      </c>
      <c r="E903" s="95">
        <f>IFERROR(VLOOKUP($A903,HeadJournal!$A$1:$NTR$890,COLUMN(HeadJournal!G$1),0),"")</f>
        <v>44950</v>
      </c>
      <c r="F903" s="95" t="str">
        <f t="shared" si="74"/>
        <v>2023 01</v>
      </c>
      <c r="G903" s="96" t="s">
        <v>5</v>
      </c>
      <c r="H903" s="161" t="s">
        <v>3011</v>
      </c>
      <c r="I903" s="97" t="s">
        <v>2052</v>
      </c>
      <c r="J903" s="97" t="s">
        <v>3012</v>
      </c>
      <c r="K903" s="29">
        <v>6</v>
      </c>
      <c r="L903" s="29">
        <v>-3</v>
      </c>
      <c r="M903" s="30">
        <f>IFERROR(VLOOKUP($A903,HeadJournal!$A$1:$J$890,COLUMN(HeadJournal!I$1),0)*($K903+$L903)/(SUMIF($A:$A,$A903,$K:$K)+SUMIF($A:$A,$A903,$L:$L)),0)</f>
        <v>0.35996050590060646</v>
      </c>
      <c r="N903" s="30">
        <f>IFERROR((VLOOKUP($A903,HeadJournal!$A$1:$K$890,COLUMN(HeadJournal!K$1),0)-VLOOKUP($A903,HeadJournal!$A$1:$K$890,COLUMN(HeadJournal!J$1),0))*($K903+$L903)/(SUMIF($A:$A,$A903,$K:$K)+SUMIF($A:$A,$A903,$L:$L)),0)</f>
        <v>0</v>
      </c>
      <c r="O903" s="30">
        <f>IFERROR((VLOOKUP($A903,HeadJournal!$A$1:$L$890,COLUMN(HeadJournal!L$1),0)*($K903+$L903)/(SUMIF($A:$A,$A903,$K:$K)+SUMIF($A:$A,$A903,$L:$L)))/VLOOKUP($A903,HeadJournal!$A$1:$L$890,COLUMN(HeadJournal!H$1),0),0)</f>
        <v>0.38871279644235585</v>
      </c>
      <c r="P903" s="30">
        <f>IFERROR(SUM(K903:O903)*VLOOKUP($A903,HeadJournal!$A$1:$L$890,COLUMN(HeadJournal!H$1),0),0)</f>
        <v>288.64784428040809</v>
      </c>
      <c r="Q903" s="29">
        <v>800</v>
      </c>
      <c r="R903" s="31">
        <v>45142</v>
      </c>
      <c r="S903" s="31" t="s">
        <v>3121</v>
      </c>
      <c r="T903" s="95" t="str">
        <f t="shared" si="75"/>
        <v>2023 08</v>
      </c>
      <c r="U903" s="32">
        <f t="shared" si="72"/>
        <v>511.35215571959191</v>
      </c>
      <c r="V903" s="22">
        <f t="shared" si="73"/>
        <v>1.7715433038981467</v>
      </c>
      <c r="X903" s="33"/>
      <c r="Y903" s="33"/>
    </row>
    <row r="904" spans="1:25" x14ac:dyDescent="0.2">
      <c r="A904" s="93" t="s">
        <v>400</v>
      </c>
      <c r="B904" s="94">
        <f>IFERROR(VLOOKUP($A904,HeadJournal!$A$1:$NTR$890,COLUMN(HeadJournal!B$1),0),"")</f>
        <v>0</v>
      </c>
      <c r="C904" s="94" t="str">
        <f>IFERROR(VLOOKUP($A904,HeadJournal!$A$1:$NTR$890,COLUMN(HeadJournal!C$1),0),"")</f>
        <v>OZON_AV</v>
      </c>
      <c r="D904" s="125" t="str">
        <f>IFERROR(VLOOKUP($A904,HeadJournal!$A$1:$NTR$890,COLUMN(HeadJournal!D$1),0),"")</f>
        <v>Доставлен</v>
      </c>
      <c r="E904" s="95">
        <f>IFERROR(VLOOKUP($A904,HeadJournal!$A$1:$NTR$890,COLUMN(HeadJournal!G$1),0),"")</f>
        <v>44950</v>
      </c>
      <c r="F904" s="95" t="str">
        <f t="shared" si="74"/>
        <v>2023 01</v>
      </c>
      <c r="G904" s="96" t="s">
        <v>6</v>
      </c>
      <c r="H904" s="160" t="str">
        <f>RIGHT(Journal!$J904,9)</f>
        <v>170919152</v>
      </c>
      <c r="I904" s="96" t="str">
        <f t="shared" si="71"/>
        <v>PRIMEKRAFT</v>
      </c>
      <c r="J904" s="97" t="s">
        <v>1054</v>
      </c>
      <c r="K904" s="29">
        <v>786</v>
      </c>
      <c r="L904" s="29">
        <v>0</v>
      </c>
      <c r="M904" s="30">
        <f>IFERROR(VLOOKUP($A904,HeadJournal!$A$1:$J$890,COLUMN(HeadJournal!I$1),0)*($K904+$L904)/(SUMIF($A:$A,$A904,$K:$K)+SUMIF($A:$A,$A904,$L:$L)),0)</f>
        <v>0</v>
      </c>
      <c r="N904" s="30">
        <f>IFERROR((VLOOKUP($A904,HeadJournal!$A$1:$K$890,COLUMN(HeadJournal!K$1),0)-VLOOKUP($A904,HeadJournal!$A$1:$K$890,COLUMN(HeadJournal!J$1),0))*($K904+$L904)/(SUMIF($A:$A,$A904,$K:$K)+SUMIF($A:$A,$A904,$L:$L)),0)</f>
        <v>0</v>
      </c>
      <c r="O904" s="30">
        <f>IFERROR((VLOOKUP($A904,HeadJournal!$A$1:$L$890,COLUMN(HeadJournal!L$1),0)*($K904+$L904)/(SUMIF($A:$A,$A904,$K:$K)+SUMIF($A:$A,$A904,$L:$L)))/VLOOKUP($A904,HeadJournal!$A$1:$L$890,COLUMN(HeadJournal!H$1),0),0)</f>
        <v>117.89999999999999</v>
      </c>
      <c r="P904" s="30">
        <f>IFERROR(SUM(K904:O904)*VLOOKUP($A904,HeadJournal!$A$1:$L$890,COLUMN(HeadJournal!H$1),0),0)</f>
        <v>903.9</v>
      </c>
      <c r="Q904" s="29">
        <v>1500</v>
      </c>
      <c r="R904" s="31">
        <v>44964</v>
      </c>
      <c r="S904" s="31" t="s">
        <v>3121</v>
      </c>
      <c r="T904" s="95" t="str">
        <f t="shared" si="75"/>
        <v>2023 02</v>
      </c>
      <c r="U904" s="32">
        <f t="shared" si="72"/>
        <v>596.1</v>
      </c>
      <c r="V904" s="22">
        <f t="shared" si="73"/>
        <v>0.65947560570859609</v>
      </c>
      <c r="X904" s="33"/>
      <c r="Y904" s="33"/>
    </row>
    <row r="905" spans="1:25" x14ac:dyDescent="0.2">
      <c r="A905" s="93" t="s">
        <v>401</v>
      </c>
      <c r="B905" s="94">
        <f>IFERROR(VLOOKUP($A905,HeadJournal!$A$1:$NTR$890,COLUMN(HeadJournal!B$1),0),"")</f>
        <v>0</v>
      </c>
      <c r="C905" s="94" t="str">
        <f>IFERROR(VLOOKUP($A905,HeadJournal!$A$1:$NTR$890,COLUMN(HeadJournal!C$1),0),"")</f>
        <v>OZON_OA</v>
      </c>
      <c r="D905" s="125" t="str">
        <f>IFERROR(VLOOKUP($A905,HeadJournal!$A$1:$NTR$890,COLUMN(HeadJournal!D$1),0),"")</f>
        <v>Доставлен</v>
      </c>
      <c r="E905" s="95">
        <f>IFERROR(VLOOKUP($A905,HeadJournal!$A$1:$NTR$890,COLUMN(HeadJournal!G$1),0),"")</f>
        <v>44952</v>
      </c>
      <c r="F905" s="95" t="str">
        <f t="shared" si="74"/>
        <v>2023 01</v>
      </c>
      <c r="G905" s="96" t="s">
        <v>6</v>
      </c>
      <c r="H905" s="160" t="str">
        <f>RIGHT(Journal!$J905,9)</f>
        <v>267850615</v>
      </c>
      <c r="I905" s="96" t="str">
        <f t="shared" si="71"/>
        <v>Biotech USA</v>
      </c>
      <c r="J905" s="97" t="s">
        <v>402</v>
      </c>
      <c r="K905" s="29">
        <v>1313</v>
      </c>
      <c r="L905" s="29">
        <v>0</v>
      </c>
      <c r="M905" s="30">
        <f>IFERROR(VLOOKUP($A905,HeadJournal!$A$1:$J$890,COLUMN(HeadJournal!I$1),0)*($K905+$L905)/(SUMIF($A:$A,$A905,$K:$K)+SUMIF($A:$A,$A905,$L:$L)),0)</f>
        <v>0</v>
      </c>
      <c r="N905" s="30">
        <f>IFERROR((VLOOKUP($A905,HeadJournal!$A$1:$K$890,COLUMN(HeadJournal!K$1),0)-VLOOKUP($A905,HeadJournal!$A$1:$K$890,COLUMN(HeadJournal!J$1),0))*($K905+$L905)/(SUMIF($A:$A,$A905,$K:$K)+SUMIF($A:$A,$A905,$L:$L)),0)</f>
        <v>0</v>
      </c>
      <c r="O905" s="30">
        <f>IFERROR((VLOOKUP($A905,HeadJournal!$A$1:$L$890,COLUMN(HeadJournal!L$1),0)*($K905+$L905)/(SUMIF($A:$A,$A905,$K:$K)+SUMIF($A:$A,$A905,$L:$L)))/VLOOKUP($A905,HeadJournal!$A$1:$L$890,COLUMN(HeadJournal!H$1),0),0)</f>
        <v>196.94999999999996</v>
      </c>
      <c r="P905" s="30">
        <f>IFERROR(SUM(K905:O905)*VLOOKUP($A905,HeadJournal!$A$1:$L$890,COLUMN(HeadJournal!H$1),0),0)</f>
        <v>1509.95</v>
      </c>
      <c r="Q905" s="29">
        <v>2000</v>
      </c>
      <c r="R905" s="31">
        <v>44957</v>
      </c>
      <c r="S905" s="31" t="s">
        <v>3121</v>
      </c>
      <c r="T905" s="95" t="str">
        <f t="shared" si="75"/>
        <v>2023 01</v>
      </c>
      <c r="U905" s="32">
        <f t="shared" si="72"/>
        <v>490.04999999999995</v>
      </c>
      <c r="V905" s="22">
        <f t="shared" si="73"/>
        <v>0.32454717043610709</v>
      </c>
      <c r="X905" s="33"/>
      <c r="Y905" s="33"/>
    </row>
    <row r="906" spans="1:25" x14ac:dyDescent="0.2">
      <c r="A906" s="93" t="s">
        <v>403</v>
      </c>
      <c r="B906" s="94">
        <f>IFERROR(VLOOKUP($A906,HeadJournal!$A$1:$NTR$890,COLUMN(HeadJournal!B$1),0),"")</f>
        <v>0</v>
      </c>
      <c r="C906" s="94" t="str">
        <f>IFERROR(VLOOKUP($A906,HeadJournal!$A$1:$NTR$890,COLUMN(HeadJournal!C$1),0),"")</f>
        <v>WBRS</v>
      </c>
      <c r="D906" s="125" t="str">
        <f>IFERROR(VLOOKUP($A906,HeadJournal!$A$1:$NTR$890,COLUMN(HeadJournal!D$1),0),"")</f>
        <v>Доставлен</v>
      </c>
      <c r="E906" s="95">
        <f>IFERROR(VLOOKUP($A906,HeadJournal!$A$1:$NTR$890,COLUMN(HeadJournal!G$1),0),"")</f>
        <v>44941</v>
      </c>
      <c r="F906" s="95" t="str">
        <f t="shared" si="74"/>
        <v>2023 01</v>
      </c>
      <c r="G906" s="96" t="s">
        <v>7</v>
      </c>
      <c r="H906" s="160" t="str">
        <f>RIGHT(Journal!$J906,9)</f>
        <v>139994740</v>
      </c>
      <c r="I906" s="96" t="str">
        <f t="shared" si="71"/>
        <v>La Agera</v>
      </c>
      <c r="J906" s="97" t="s">
        <v>404</v>
      </c>
      <c r="K906" s="29">
        <v>243</v>
      </c>
      <c r="L906" s="29">
        <v>0</v>
      </c>
      <c r="M906" s="30">
        <f>IFERROR(VLOOKUP($A906,HeadJournal!$A$1:$J$890,COLUMN(HeadJournal!I$1),0)*($K906+$L906)/(SUMIF($A:$A,$A906,$K:$K)+SUMIF($A:$A,$A906,$L:$L)),0)</f>
        <v>0</v>
      </c>
      <c r="N906" s="30">
        <f>IFERROR((VLOOKUP($A906,HeadJournal!$A$1:$K$890,COLUMN(HeadJournal!K$1),0)-VLOOKUP($A906,HeadJournal!$A$1:$K$890,COLUMN(HeadJournal!J$1),0))*($K906+$L906)/(SUMIF($A:$A,$A906,$K:$K)+SUMIF($A:$A,$A906,$L:$L)),0)</f>
        <v>0</v>
      </c>
      <c r="O906" s="30">
        <f>IFERROR((VLOOKUP($A906,HeadJournal!$A$1:$L$890,COLUMN(HeadJournal!L$1),0)*($K906+$L906)/(SUMIF($A:$A,$A906,$K:$K)+SUMIF($A:$A,$A906,$L:$L)))/VLOOKUP($A906,HeadJournal!$A$1:$L$890,COLUMN(HeadJournal!H$1),0),0)</f>
        <v>36.449999999999996</v>
      </c>
      <c r="P906" s="30">
        <f>IFERROR(SUM(K906:O906)*VLOOKUP($A906,HeadJournal!$A$1:$L$890,COLUMN(HeadJournal!H$1),0),0)</f>
        <v>279.45</v>
      </c>
      <c r="Q906" s="29">
        <v>600</v>
      </c>
      <c r="R906" s="31">
        <v>44963</v>
      </c>
      <c r="S906" s="31" t="s">
        <v>3121</v>
      </c>
      <c r="T906" s="95" t="str">
        <f t="shared" si="75"/>
        <v>2023 02</v>
      </c>
      <c r="U906" s="32">
        <f t="shared" si="72"/>
        <v>320.55</v>
      </c>
      <c r="V906" s="22">
        <f t="shared" si="73"/>
        <v>1.1470746108427268</v>
      </c>
      <c r="X906" s="33"/>
      <c r="Y906" s="33"/>
    </row>
    <row r="907" spans="1:25" x14ac:dyDescent="0.2">
      <c r="A907" s="93" t="s">
        <v>403</v>
      </c>
      <c r="B907" s="94">
        <f>IFERROR(VLOOKUP($A907,HeadJournal!$A$1:$NTR$890,COLUMN(HeadJournal!B$1),0),"")</f>
        <v>0</v>
      </c>
      <c r="C907" s="94" t="str">
        <f>IFERROR(VLOOKUP($A907,HeadJournal!$A$1:$NTR$890,COLUMN(HeadJournal!C$1),0),"")</f>
        <v>WBRS</v>
      </c>
      <c r="D907" s="125" t="str">
        <f>IFERROR(VLOOKUP($A907,HeadJournal!$A$1:$NTR$890,COLUMN(HeadJournal!D$1),0),"")</f>
        <v>Доставлен</v>
      </c>
      <c r="E907" s="95">
        <f>IFERROR(VLOOKUP($A907,HeadJournal!$A$1:$NTR$890,COLUMN(HeadJournal!G$1),0),"")</f>
        <v>44941</v>
      </c>
      <c r="F907" s="95" t="str">
        <f t="shared" si="74"/>
        <v>2023 01</v>
      </c>
      <c r="G907" s="96" t="s">
        <v>7</v>
      </c>
      <c r="H907" s="160" t="str">
        <f>RIGHT(Journal!$J907,9)</f>
        <v>139994740</v>
      </c>
      <c r="I907" s="96" t="str">
        <f t="shared" si="71"/>
        <v>La Agera</v>
      </c>
      <c r="J907" s="97" t="s">
        <v>404</v>
      </c>
      <c r="K907" s="29">
        <v>243</v>
      </c>
      <c r="L907" s="29">
        <v>0</v>
      </c>
      <c r="M907" s="30">
        <f>IFERROR(VLOOKUP($A907,HeadJournal!$A$1:$J$890,COLUMN(HeadJournal!I$1),0)*($K907+$L907)/(SUMIF($A:$A,$A907,$K:$K)+SUMIF($A:$A,$A907,$L:$L)),0)</f>
        <v>0</v>
      </c>
      <c r="N907" s="30">
        <f>IFERROR((VLOOKUP($A907,HeadJournal!$A$1:$K$890,COLUMN(HeadJournal!K$1),0)-VLOOKUP($A907,HeadJournal!$A$1:$K$890,COLUMN(HeadJournal!J$1),0))*($K907+$L907)/(SUMIF($A:$A,$A907,$K:$K)+SUMIF($A:$A,$A907,$L:$L)),0)</f>
        <v>0</v>
      </c>
      <c r="O907" s="30">
        <f>IFERROR((VLOOKUP($A907,HeadJournal!$A$1:$L$890,COLUMN(HeadJournal!L$1),0)*($K907+$L907)/(SUMIF($A:$A,$A907,$K:$K)+SUMIF($A:$A,$A907,$L:$L)))/VLOOKUP($A907,HeadJournal!$A$1:$L$890,COLUMN(HeadJournal!H$1),0),0)</f>
        <v>36.449999999999996</v>
      </c>
      <c r="P907" s="30">
        <f>IFERROR(SUM(K907:O907)*VLOOKUP($A907,HeadJournal!$A$1:$L$890,COLUMN(HeadJournal!H$1),0),0)</f>
        <v>279.45</v>
      </c>
      <c r="Q907" s="29"/>
      <c r="R907" s="31"/>
      <c r="S907" s="31"/>
      <c r="T907" s="95" t="str">
        <f t="shared" si="75"/>
        <v/>
      </c>
      <c r="U907" s="32">
        <f t="shared" si="72"/>
        <v>-279.45</v>
      </c>
      <c r="V907" s="22" t="str">
        <f t="shared" si="73"/>
        <v/>
      </c>
      <c r="X907" s="33"/>
      <c r="Y907" s="33"/>
    </row>
    <row r="908" spans="1:25" x14ac:dyDescent="0.2">
      <c r="A908" s="93" t="s">
        <v>405</v>
      </c>
      <c r="B908" s="94">
        <f>IFERROR(VLOOKUP($A908,HeadJournal!$A$1:$NTR$890,COLUMN(HeadJournal!B$1),0),"")</f>
        <v>0</v>
      </c>
      <c r="C908" s="94" t="str">
        <f>IFERROR(VLOOKUP($A908,HeadJournal!$A$1:$NTR$890,COLUMN(HeadJournal!C$1),0),"")</f>
        <v>WBRS</v>
      </c>
      <c r="D908" s="125" t="str">
        <f>IFERROR(VLOOKUP($A908,HeadJournal!$A$1:$NTR$890,COLUMN(HeadJournal!D$1),0),"")</f>
        <v>Доставлен</v>
      </c>
      <c r="E908" s="95">
        <f>IFERROR(VLOOKUP($A908,HeadJournal!$A$1:$NTR$890,COLUMN(HeadJournal!G$1),0),"")</f>
        <v>44946</v>
      </c>
      <c r="F908" s="95" t="str">
        <f t="shared" si="74"/>
        <v>2023 01</v>
      </c>
      <c r="G908" s="96" t="s">
        <v>5</v>
      </c>
      <c r="H908" s="160" t="str">
        <f>RIGHT(Journal!$J908,9)</f>
        <v>017919762</v>
      </c>
      <c r="I908" s="96" t="str">
        <f t="shared" si="71"/>
        <v>Himalaya</v>
      </c>
      <c r="J908" s="97" t="s">
        <v>227</v>
      </c>
      <c r="K908" s="29">
        <v>348</v>
      </c>
      <c r="L908" s="29">
        <v>0</v>
      </c>
      <c r="M908" s="30">
        <f>IFERROR(VLOOKUP($A908,HeadJournal!$A$1:$J$890,COLUMN(HeadJournal!I$1),0)*($K908+$L908)/(SUMIF($A:$A,$A908,$K:$K)+SUMIF($A:$A,$A908,$L:$L)),0)</f>
        <v>0</v>
      </c>
      <c r="N908" s="30">
        <f>IFERROR((VLOOKUP($A908,HeadJournal!$A$1:$K$890,COLUMN(HeadJournal!K$1),0)-VLOOKUP($A908,HeadJournal!$A$1:$K$890,COLUMN(HeadJournal!J$1),0))*($K908+$L908)/(SUMIF($A:$A,$A908,$K:$K)+SUMIF($A:$A,$A908,$L:$L)),0)</f>
        <v>0</v>
      </c>
      <c r="O908" s="30">
        <f>IFERROR((VLOOKUP($A908,HeadJournal!$A$1:$L$890,COLUMN(HeadJournal!L$1),0)*($K908+$L908)/(SUMIF($A:$A,$A908,$K:$K)+SUMIF($A:$A,$A908,$L:$L)))/VLOOKUP($A908,HeadJournal!$A$1:$L$890,COLUMN(HeadJournal!H$1),0),0)</f>
        <v>52.199999999999996</v>
      </c>
      <c r="P908" s="30">
        <f>IFERROR(SUM(K908:O908)*VLOOKUP($A908,HeadJournal!$A$1:$L$890,COLUMN(HeadJournal!H$1),0),0)</f>
        <v>400.2</v>
      </c>
      <c r="Q908" s="29">
        <v>750</v>
      </c>
      <c r="R908" s="31">
        <v>44956</v>
      </c>
      <c r="S908" s="31" t="s">
        <v>3121</v>
      </c>
      <c r="T908" s="95" t="str">
        <f t="shared" si="75"/>
        <v>2023 01</v>
      </c>
      <c r="U908" s="32">
        <f t="shared" si="72"/>
        <v>349.8</v>
      </c>
      <c r="V908" s="22">
        <f t="shared" si="73"/>
        <v>0.87406296851574217</v>
      </c>
      <c r="X908" s="33"/>
      <c r="Y908" s="33"/>
    </row>
    <row r="909" spans="1:25" x14ac:dyDescent="0.2">
      <c r="A909" s="93" t="s">
        <v>405</v>
      </c>
      <c r="B909" s="94">
        <f>IFERROR(VLOOKUP($A909,HeadJournal!$A$1:$NTR$890,COLUMN(HeadJournal!B$1),0),"")</f>
        <v>0</v>
      </c>
      <c r="C909" s="94" t="str">
        <f>IFERROR(VLOOKUP($A909,HeadJournal!$A$1:$NTR$890,COLUMN(HeadJournal!C$1),0),"")</f>
        <v>WBRS</v>
      </c>
      <c r="D909" s="125" t="str">
        <f>IFERROR(VLOOKUP($A909,HeadJournal!$A$1:$NTR$890,COLUMN(HeadJournal!D$1),0),"")</f>
        <v>Доставлен</v>
      </c>
      <c r="E909" s="95">
        <f>IFERROR(VLOOKUP($A909,HeadJournal!$A$1:$NTR$890,COLUMN(HeadJournal!G$1),0),"")</f>
        <v>44946</v>
      </c>
      <c r="F909" s="95" t="str">
        <f t="shared" si="74"/>
        <v>2023 01</v>
      </c>
      <c r="G909" s="96" t="s">
        <v>5</v>
      </c>
      <c r="H909" s="160" t="str">
        <f>RIGHT(Journal!$J909,9)</f>
        <v>017919762</v>
      </c>
      <c r="I909" s="96" t="str">
        <f t="shared" si="71"/>
        <v>Himalaya</v>
      </c>
      <c r="J909" s="97" t="s">
        <v>227</v>
      </c>
      <c r="K909" s="29">
        <v>348</v>
      </c>
      <c r="L909" s="29">
        <v>0</v>
      </c>
      <c r="M909" s="30">
        <f>IFERROR(VLOOKUP($A909,HeadJournal!$A$1:$J$890,COLUMN(HeadJournal!I$1),0)*($K909+$L909)/(SUMIF($A:$A,$A909,$K:$K)+SUMIF($A:$A,$A909,$L:$L)),0)</f>
        <v>0</v>
      </c>
      <c r="N909" s="30">
        <f>IFERROR((VLOOKUP($A909,HeadJournal!$A$1:$K$890,COLUMN(HeadJournal!K$1),0)-VLOOKUP($A909,HeadJournal!$A$1:$K$890,COLUMN(HeadJournal!J$1),0))*($K909+$L909)/(SUMIF($A:$A,$A909,$K:$K)+SUMIF($A:$A,$A909,$L:$L)),0)</f>
        <v>0</v>
      </c>
      <c r="O909" s="30">
        <f>IFERROR((VLOOKUP($A909,HeadJournal!$A$1:$L$890,COLUMN(HeadJournal!L$1),0)*($K909+$L909)/(SUMIF($A:$A,$A909,$K:$K)+SUMIF($A:$A,$A909,$L:$L)))/VLOOKUP($A909,HeadJournal!$A$1:$L$890,COLUMN(HeadJournal!H$1),0),0)</f>
        <v>52.199999999999996</v>
      </c>
      <c r="P909" s="30">
        <f>IFERROR(SUM(K909:O909)*VLOOKUP($A909,HeadJournal!$A$1:$L$890,COLUMN(HeadJournal!H$1),0),0)</f>
        <v>400.2</v>
      </c>
      <c r="Q909" s="29">
        <v>750</v>
      </c>
      <c r="R909" s="31">
        <v>44957</v>
      </c>
      <c r="S909" s="31" t="s">
        <v>3121</v>
      </c>
      <c r="T909" s="95" t="str">
        <f t="shared" si="75"/>
        <v>2023 01</v>
      </c>
      <c r="U909" s="32">
        <f t="shared" si="72"/>
        <v>349.8</v>
      </c>
      <c r="V909" s="22">
        <f t="shared" si="73"/>
        <v>0.87406296851574217</v>
      </c>
      <c r="X909" s="33"/>
      <c r="Y909" s="33"/>
    </row>
    <row r="910" spans="1:25" x14ac:dyDescent="0.2">
      <c r="A910" s="93" t="s">
        <v>406</v>
      </c>
      <c r="B910" s="94">
        <f>IFERROR(VLOOKUP($A910,HeadJournal!$A$1:$NTR$890,COLUMN(HeadJournal!B$1),0),"")</f>
        <v>0</v>
      </c>
      <c r="C910" s="94" t="str">
        <f>IFERROR(VLOOKUP($A910,HeadJournal!$A$1:$NTR$890,COLUMN(HeadJournal!C$1),0),"")</f>
        <v>WBRS</v>
      </c>
      <c r="D910" s="125" t="str">
        <f>IFERROR(VLOOKUP($A910,HeadJournal!$A$1:$NTR$890,COLUMN(HeadJournal!D$1),0),"")</f>
        <v>Доставлен</v>
      </c>
      <c r="E910" s="95">
        <f>IFERROR(VLOOKUP($A910,HeadJournal!$A$1:$NTR$890,COLUMN(HeadJournal!G$1),0),"")</f>
        <v>44946</v>
      </c>
      <c r="F910" s="95" t="str">
        <f t="shared" si="74"/>
        <v>2023 01</v>
      </c>
      <c r="G910" s="96" t="s">
        <v>5</v>
      </c>
      <c r="H910" s="160" t="str">
        <f>RIGHT(Journal!$J910,9)</f>
        <v>017919762</v>
      </c>
      <c r="I910" s="96" t="str">
        <f t="shared" si="71"/>
        <v>Himalaya</v>
      </c>
      <c r="J910" s="97" t="s">
        <v>227</v>
      </c>
      <c r="K910" s="29">
        <v>348</v>
      </c>
      <c r="L910" s="29">
        <v>0</v>
      </c>
      <c r="M910" s="30">
        <f>IFERROR(VLOOKUP($A910,HeadJournal!$A$1:$J$890,COLUMN(HeadJournal!I$1),0)*($K910+$L910)/(SUMIF($A:$A,$A910,$K:$K)+SUMIF($A:$A,$A910,$L:$L)),0)</f>
        <v>0</v>
      </c>
      <c r="N910" s="30">
        <f>IFERROR((VLOOKUP($A910,HeadJournal!$A$1:$K$890,COLUMN(HeadJournal!K$1),0)-VLOOKUP($A910,HeadJournal!$A$1:$K$890,COLUMN(HeadJournal!J$1),0))*($K910+$L910)/(SUMIF($A:$A,$A910,$K:$K)+SUMIF($A:$A,$A910,$L:$L)),0)</f>
        <v>0</v>
      </c>
      <c r="O910" s="30">
        <f>IFERROR((VLOOKUP($A910,HeadJournal!$A$1:$L$890,COLUMN(HeadJournal!L$1),0)*($K910+$L910)/(SUMIF($A:$A,$A910,$K:$K)+SUMIF($A:$A,$A910,$L:$L)))/VLOOKUP($A910,HeadJournal!$A$1:$L$890,COLUMN(HeadJournal!H$1),0),0)</f>
        <v>52.199999999999996</v>
      </c>
      <c r="P910" s="30">
        <f>IFERROR(SUM(K910:O910)*VLOOKUP($A910,HeadJournal!$A$1:$L$890,COLUMN(HeadJournal!H$1),0),0)</f>
        <v>400.2</v>
      </c>
      <c r="Q910" s="29">
        <v>700</v>
      </c>
      <c r="R910" s="31">
        <v>44972</v>
      </c>
      <c r="S910" s="31" t="s">
        <v>3121</v>
      </c>
      <c r="T910" s="95" t="str">
        <f t="shared" si="75"/>
        <v>2023 02</v>
      </c>
      <c r="U910" s="32">
        <f t="shared" si="72"/>
        <v>299.8</v>
      </c>
      <c r="V910" s="22">
        <f t="shared" si="73"/>
        <v>0.74912543728135939</v>
      </c>
      <c r="X910" s="33"/>
      <c r="Y910" s="33"/>
    </row>
    <row r="911" spans="1:25" x14ac:dyDescent="0.2">
      <c r="A911" s="93" t="s">
        <v>406</v>
      </c>
      <c r="B911" s="94">
        <f>IFERROR(VLOOKUP($A911,HeadJournal!$A$1:$NTR$890,COLUMN(HeadJournal!B$1),0),"")</f>
        <v>0</v>
      </c>
      <c r="C911" s="94" t="str">
        <f>IFERROR(VLOOKUP($A911,HeadJournal!$A$1:$NTR$890,COLUMN(HeadJournal!C$1),0),"")</f>
        <v>WBRS</v>
      </c>
      <c r="D911" s="125" t="str">
        <f>IFERROR(VLOOKUP($A911,HeadJournal!$A$1:$NTR$890,COLUMN(HeadJournal!D$1),0),"")</f>
        <v>Доставлен</v>
      </c>
      <c r="E911" s="95">
        <f>IFERROR(VLOOKUP($A911,HeadJournal!$A$1:$NTR$890,COLUMN(HeadJournal!G$1),0),"")</f>
        <v>44946</v>
      </c>
      <c r="F911" s="95" t="str">
        <f t="shared" si="74"/>
        <v>2023 01</v>
      </c>
      <c r="G911" s="96" t="s">
        <v>5</v>
      </c>
      <c r="H911" s="160" t="str">
        <f>RIGHT(Journal!$J911,9)</f>
        <v>017919762</v>
      </c>
      <c r="I911" s="96" t="str">
        <f t="shared" si="71"/>
        <v>Himalaya</v>
      </c>
      <c r="J911" s="97" t="s">
        <v>227</v>
      </c>
      <c r="K911" s="29">
        <v>348</v>
      </c>
      <c r="L911" s="29">
        <v>0</v>
      </c>
      <c r="M911" s="30">
        <f>IFERROR(VLOOKUP($A911,HeadJournal!$A$1:$J$890,COLUMN(HeadJournal!I$1),0)*($K911+$L911)/(SUMIF($A:$A,$A911,$K:$K)+SUMIF($A:$A,$A911,$L:$L)),0)</f>
        <v>0</v>
      </c>
      <c r="N911" s="30">
        <f>IFERROR((VLOOKUP($A911,HeadJournal!$A$1:$K$890,COLUMN(HeadJournal!K$1),0)-VLOOKUP($A911,HeadJournal!$A$1:$K$890,COLUMN(HeadJournal!J$1),0))*($K911+$L911)/(SUMIF($A:$A,$A911,$K:$K)+SUMIF($A:$A,$A911,$L:$L)),0)</f>
        <v>0</v>
      </c>
      <c r="O911" s="30">
        <f>IFERROR((VLOOKUP($A911,HeadJournal!$A$1:$L$890,COLUMN(HeadJournal!L$1),0)*($K911+$L911)/(SUMIF($A:$A,$A911,$K:$K)+SUMIF($A:$A,$A911,$L:$L)))/VLOOKUP($A911,HeadJournal!$A$1:$L$890,COLUMN(HeadJournal!H$1),0),0)</f>
        <v>52.199999999999996</v>
      </c>
      <c r="P911" s="30">
        <f>IFERROR(SUM(K911:O911)*VLOOKUP($A911,HeadJournal!$A$1:$L$890,COLUMN(HeadJournal!H$1),0),0)</f>
        <v>400.2</v>
      </c>
      <c r="Q911" s="29">
        <v>750</v>
      </c>
      <c r="R911" s="31">
        <v>44973</v>
      </c>
      <c r="S911" s="31" t="s">
        <v>3121</v>
      </c>
      <c r="T911" s="95" t="str">
        <f t="shared" si="75"/>
        <v>2023 02</v>
      </c>
      <c r="U911" s="32">
        <f t="shared" si="72"/>
        <v>349.8</v>
      </c>
      <c r="V911" s="22">
        <f t="shared" si="73"/>
        <v>0.87406296851574217</v>
      </c>
      <c r="X911" s="33"/>
      <c r="Y911" s="33"/>
    </row>
    <row r="912" spans="1:25" x14ac:dyDescent="0.2">
      <c r="A912" s="93" t="s">
        <v>407</v>
      </c>
      <c r="B912" s="94">
        <f>IFERROR(VLOOKUP($A912,HeadJournal!$A$1:$NTR$890,COLUMN(HeadJournal!B$1),0),"")</f>
        <v>0</v>
      </c>
      <c r="C912" s="94" t="str">
        <f>IFERROR(VLOOKUP($A912,HeadJournal!$A$1:$NTR$890,COLUMN(HeadJournal!C$1),0),"")</f>
        <v>WBRS</v>
      </c>
      <c r="D912" s="125" t="str">
        <f>IFERROR(VLOOKUP($A912,HeadJournal!$A$1:$NTR$890,COLUMN(HeadJournal!D$1),0),"")</f>
        <v>Доставлен</v>
      </c>
      <c r="E912" s="95">
        <f>IFERROR(VLOOKUP($A912,HeadJournal!$A$1:$NTR$890,COLUMN(HeadJournal!G$1),0),"")</f>
        <v>44950</v>
      </c>
      <c r="F912" s="95" t="str">
        <f t="shared" si="74"/>
        <v>2023 01</v>
      </c>
      <c r="G912" s="96" t="s">
        <v>6</v>
      </c>
      <c r="H912" s="160" t="str">
        <f>RIGHT(Journal!$J912,9)</f>
        <v>309523723</v>
      </c>
      <c r="I912" s="96" t="str">
        <f t="shared" si="71"/>
        <v>R-Line</v>
      </c>
      <c r="J912" s="97" t="s">
        <v>3710</v>
      </c>
      <c r="K912" s="29">
        <v>750</v>
      </c>
      <c r="L912" s="29">
        <v>0</v>
      </c>
      <c r="M912" s="30">
        <f>IFERROR(VLOOKUP($A912,HeadJournal!$A$1:$J$890,COLUMN(HeadJournal!I$1),0)*($K912+$L912)/(SUMIF($A:$A,$A912,$K:$K)+SUMIF($A:$A,$A912,$L:$L)),0)</f>
        <v>0</v>
      </c>
      <c r="N912" s="30">
        <f>IFERROR((VLOOKUP($A912,HeadJournal!$A$1:$K$890,COLUMN(HeadJournal!K$1),0)-VLOOKUP($A912,HeadJournal!$A$1:$K$890,COLUMN(HeadJournal!J$1),0))*($K912+$L912)/(SUMIF($A:$A,$A912,$K:$K)+SUMIF($A:$A,$A912,$L:$L)),0)</f>
        <v>0</v>
      </c>
      <c r="O912" s="30">
        <f>IFERROR((VLOOKUP($A912,HeadJournal!$A$1:$L$890,COLUMN(HeadJournal!L$1),0)*($K912+$L912)/(SUMIF($A:$A,$A912,$K:$K)+SUMIF($A:$A,$A912,$L:$L)))/VLOOKUP($A912,HeadJournal!$A$1:$L$890,COLUMN(HeadJournal!H$1),0),0)</f>
        <v>112.5</v>
      </c>
      <c r="P912" s="30">
        <f>IFERROR(SUM(K912:O912)*VLOOKUP($A912,HeadJournal!$A$1:$L$890,COLUMN(HeadJournal!H$1),0),0)</f>
        <v>862.5</v>
      </c>
      <c r="Q912" s="29">
        <v>1200</v>
      </c>
      <c r="R912" s="31">
        <v>44980</v>
      </c>
      <c r="S912" s="31" t="s">
        <v>3121</v>
      </c>
      <c r="T912" s="95" t="str">
        <f t="shared" si="75"/>
        <v>2023 02</v>
      </c>
      <c r="U912" s="32">
        <f t="shared" si="72"/>
        <v>337.5</v>
      </c>
      <c r="V912" s="22">
        <f t="shared" si="73"/>
        <v>0.39130434782608697</v>
      </c>
      <c r="X912" s="33"/>
      <c r="Y912" s="33"/>
    </row>
    <row r="913" spans="1:25" x14ac:dyDescent="0.2">
      <c r="A913" s="93" t="s">
        <v>408</v>
      </c>
      <c r="B913" s="94">
        <f>IFERROR(VLOOKUP($A913,HeadJournal!$A$1:$NTR$890,COLUMN(HeadJournal!B$1),0),"")</f>
        <v>0</v>
      </c>
      <c r="C913" s="94" t="str">
        <f>IFERROR(VLOOKUP($A913,HeadJournal!$A$1:$NTR$890,COLUMN(HeadJournal!C$1),0),"")</f>
        <v>WBRS</v>
      </c>
      <c r="D913" s="125" t="str">
        <f>IFERROR(VLOOKUP($A913,HeadJournal!$A$1:$NTR$890,COLUMN(HeadJournal!D$1),0),"")</f>
        <v>Доставлен</v>
      </c>
      <c r="E913" s="95">
        <f>IFERROR(VLOOKUP($A913,HeadJournal!$A$1:$NTR$890,COLUMN(HeadJournal!G$1),0),"")</f>
        <v>44950</v>
      </c>
      <c r="F913" s="95" t="str">
        <f t="shared" si="74"/>
        <v>2023 01</v>
      </c>
      <c r="G913" s="96" t="s">
        <v>6</v>
      </c>
      <c r="H913" s="160" t="str">
        <f>RIGHT(Journal!$J913,9)</f>
        <v>071777843</v>
      </c>
      <c r="I913" s="96" t="str">
        <f t="shared" si="71"/>
        <v>R-Line</v>
      </c>
      <c r="J913" s="97" t="s">
        <v>409</v>
      </c>
      <c r="K913" s="29">
        <v>750</v>
      </c>
      <c r="L913" s="29">
        <v>0</v>
      </c>
      <c r="M913" s="30">
        <f>IFERROR(VLOOKUP($A913,HeadJournal!$A$1:$J$890,COLUMN(HeadJournal!I$1),0)*($K913+$L913)/(SUMIF($A:$A,$A913,$K:$K)+SUMIF($A:$A,$A913,$L:$L)),0)</f>
        <v>0</v>
      </c>
      <c r="N913" s="30">
        <f>IFERROR((VLOOKUP($A913,HeadJournal!$A$1:$K$890,COLUMN(HeadJournal!K$1),0)-VLOOKUP($A913,HeadJournal!$A$1:$K$890,COLUMN(HeadJournal!J$1),0))*($K913+$L913)/(SUMIF($A:$A,$A913,$K:$K)+SUMIF($A:$A,$A913,$L:$L)),0)</f>
        <v>0</v>
      </c>
      <c r="O913" s="30">
        <f>IFERROR((VLOOKUP($A913,HeadJournal!$A$1:$L$890,COLUMN(HeadJournal!L$1),0)*($K913+$L913)/(SUMIF($A:$A,$A913,$K:$K)+SUMIF($A:$A,$A913,$L:$L)))/VLOOKUP($A913,HeadJournal!$A$1:$L$890,COLUMN(HeadJournal!H$1),0),0)</f>
        <v>112.5</v>
      </c>
      <c r="P913" s="30">
        <f>IFERROR(SUM(K913:O913)*VLOOKUP($A913,HeadJournal!$A$1:$L$890,COLUMN(HeadJournal!H$1),0),0)</f>
        <v>862.5</v>
      </c>
      <c r="Q913" s="29">
        <v>1200</v>
      </c>
      <c r="R913" s="31">
        <v>45115</v>
      </c>
      <c r="S913" s="31" t="s">
        <v>3121</v>
      </c>
      <c r="T913" s="95" t="str">
        <f t="shared" si="75"/>
        <v>2023 07</v>
      </c>
      <c r="U913" s="32">
        <f t="shared" si="72"/>
        <v>337.5</v>
      </c>
      <c r="V913" s="22">
        <f t="shared" si="73"/>
        <v>0.39130434782608697</v>
      </c>
      <c r="X913" s="33"/>
      <c r="Y913" s="33"/>
    </row>
    <row r="914" spans="1:25" x14ac:dyDescent="0.2">
      <c r="A914" s="93" t="s">
        <v>410</v>
      </c>
      <c r="B914" s="94">
        <f>IFERROR(VLOOKUP($A914,HeadJournal!$A$1:$NTR$890,COLUMN(HeadJournal!B$1),0),"")</f>
        <v>0</v>
      </c>
      <c r="C914" s="94" t="str">
        <f>IFERROR(VLOOKUP($A914,HeadJournal!$A$1:$NTR$890,COLUMN(HeadJournal!C$1),0),"")</f>
        <v>WBRS</v>
      </c>
      <c r="D914" s="125" t="str">
        <f>IFERROR(VLOOKUP($A914,HeadJournal!$A$1:$NTR$890,COLUMN(HeadJournal!D$1),0),"")</f>
        <v>Доставлен</v>
      </c>
      <c r="E914" s="95">
        <f>IFERROR(VLOOKUP($A914,HeadJournal!$A$1:$NTR$890,COLUMN(HeadJournal!G$1),0),"")</f>
        <v>44950</v>
      </c>
      <c r="F914" s="95" t="str">
        <f t="shared" si="74"/>
        <v>2023 01</v>
      </c>
      <c r="G914" s="96" t="s">
        <v>6</v>
      </c>
      <c r="H914" s="160" t="str">
        <f>RIGHT(Journal!$J914,9)</f>
        <v>071777842</v>
      </c>
      <c r="I914" s="96" t="str">
        <f t="shared" si="71"/>
        <v>R-Line</v>
      </c>
      <c r="J914" s="97" t="s">
        <v>411</v>
      </c>
      <c r="K914" s="29">
        <v>750</v>
      </c>
      <c r="L914" s="29">
        <v>0</v>
      </c>
      <c r="M914" s="30">
        <f>IFERROR(VLOOKUP($A914,HeadJournal!$A$1:$J$890,COLUMN(HeadJournal!I$1),0)*($K914+$L914)/(SUMIF($A:$A,$A914,$K:$K)+SUMIF($A:$A,$A914,$L:$L)),0)</f>
        <v>0</v>
      </c>
      <c r="N914" s="30">
        <f>IFERROR((VLOOKUP($A914,HeadJournal!$A$1:$K$890,COLUMN(HeadJournal!K$1),0)-VLOOKUP($A914,HeadJournal!$A$1:$K$890,COLUMN(HeadJournal!J$1),0))*($K914+$L914)/(SUMIF($A:$A,$A914,$K:$K)+SUMIF($A:$A,$A914,$L:$L)),0)</f>
        <v>0</v>
      </c>
      <c r="O914" s="30">
        <f>IFERROR((VLOOKUP($A914,HeadJournal!$A$1:$L$890,COLUMN(HeadJournal!L$1),0)*($K914+$L914)/(SUMIF($A:$A,$A914,$K:$K)+SUMIF($A:$A,$A914,$L:$L)))/VLOOKUP($A914,HeadJournal!$A$1:$L$890,COLUMN(HeadJournal!H$1),0),0)</f>
        <v>112.5</v>
      </c>
      <c r="P914" s="30">
        <f>IFERROR(SUM(K914:O914)*VLOOKUP($A914,HeadJournal!$A$1:$L$890,COLUMN(HeadJournal!H$1),0),0)</f>
        <v>862.5</v>
      </c>
      <c r="Q914" s="29">
        <v>1100</v>
      </c>
      <c r="R914" s="31">
        <v>45079</v>
      </c>
      <c r="S914" s="31" t="s">
        <v>3121</v>
      </c>
      <c r="T914" s="95" t="str">
        <f t="shared" si="75"/>
        <v>2023 06</v>
      </c>
      <c r="U914" s="32">
        <f t="shared" si="72"/>
        <v>237.5</v>
      </c>
      <c r="V914" s="22">
        <f t="shared" si="73"/>
        <v>0.27536231884057971</v>
      </c>
      <c r="X914" s="33"/>
      <c r="Y914" s="33"/>
    </row>
    <row r="915" spans="1:25" x14ac:dyDescent="0.2">
      <c r="A915" s="93" t="s">
        <v>412</v>
      </c>
      <c r="B915" s="94">
        <f>IFERROR(VLOOKUP($A915,HeadJournal!$A$1:$NTR$890,COLUMN(HeadJournal!B$1),0),"")</f>
        <v>0</v>
      </c>
      <c r="C915" s="94" t="str">
        <f>IFERROR(VLOOKUP($A915,HeadJournal!$A$1:$NTR$890,COLUMN(HeadJournal!C$1),0),"")</f>
        <v>Roman</v>
      </c>
      <c r="D915" s="125" t="str">
        <f>IFERROR(VLOOKUP($A915,HeadJournal!$A$1:$NTR$890,COLUMN(HeadJournal!D$1),0),"")</f>
        <v>Доставлен</v>
      </c>
      <c r="E915" s="95">
        <f>IFERROR(VLOOKUP($A915,HeadJournal!$A$1:$NTR$890,COLUMN(HeadJournal!G$1),0),"")</f>
        <v>44959</v>
      </c>
      <c r="F915" s="95" t="str">
        <f t="shared" si="74"/>
        <v>2023 02</v>
      </c>
      <c r="G915" s="96" t="s">
        <v>5</v>
      </c>
      <c r="H915" s="161" t="s">
        <v>2051</v>
      </c>
      <c r="I915" s="97" t="s">
        <v>2052</v>
      </c>
      <c r="J915" s="97" t="s">
        <v>3097</v>
      </c>
      <c r="K915" s="29">
        <v>887.6</v>
      </c>
      <c r="L915" s="29">
        <v>0</v>
      </c>
      <c r="M915" s="30">
        <f>IFERROR(VLOOKUP($A915,HeadJournal!$A$1:$J$890,COLUMN(HeadJournal!I$1),0)*($K915+$L915)/(SUMIF($A:$A,$A915,$K:$K)+SUMIF($A:$A,$A915,$L:$L)),0)</f>
        <v>0</v>
      </c>
      <c r="N915" s="30">
        <f>IFERROR((VLOOKUP($A915,HeadJournal!$A$1:$K$890,COLUMN(HeadJournal!K$1),0)-VLOOKUP($A915,HeadJournal!$A$1:$K$890,COLUMN(HeadJournal!J$1),0))*($K915+$L915)/(SUMIF($A:$A,$A915,$K:$K)+SUMIF($A:$A,$A915,$L:$L)),0)</f>
        <v>-0.67284129281257166</v>
      </c>
      <c r="O915" s="30">
        <f>IFERROR((VLOOKUP($A915,HeadJournal!$A$1:$L$890,COLUMN(HeadJournal!L$1),0)*($K915+$L915)/(SUMIF($A:$A,$A915,$K:$K)+SUMIF($A:$A,$A915,$L:$L)))/VLOOKUP($A915,HeadJournal!$A$1:$L$890,COLUMN(HeadJournal!H$1),0),0)</f>
        <v>0</v>
      </c>
      <c r="P915" s="30">
        <f>IFERROR(SUM(K915:O915)*VLOOKUP($A915,HeadJournal!$A$1:$L$890,COLUMN(HeadJournal!H$1),0),0)</f>
        <v>886.92715870718746</v>
      </c>
      <c r="Q915" s="29">
        <v>2300</v>
      </c>
      <c r="R915" s="31">
        <v>45035</v>
      </c>
      <c r="S915" s="31" t="s">
        <v>3121</v>
      </c>
      <c r="T915" s="95" t="str">
        <f t="shared" si="75"/>
        <v>2023 04</v>
      </c>
      <c r="U915" s="32">
        <f t="shared" si="72"/>
        <v>1413.0728412928124</v>
      </c>
      <c r="V915" s="22">
        <f t="shared" si="73"/>
        <v>1.5932231045360605</v>
      </c>
      <c r="X915" s="33"/>
      <c r="Y915" s="33"/>
    </row>
    <row r="916" spans="1:25" x14ac:dyDescent="0.2">
      <c r="A916" s="93" t="s">
        <v>412</v>
      </c>
      <c r="B916" s="94">
        <f>IFERROR(VLOOKUP($A916,HeadJournal!$A$1:$NTR$890,COLUMN(HeadJournal!B$1),0),"")</f>
        <v>0</v>
      </c>
      <c r="C916" s="94" t="str">
        <f>IFERROR(VLOOKUP($A916,HeadJournal!$A$1:$NTR$890,COLUMN(HeadJournal!C$1),0),"")</f>
        <v>Roman</v>
      </c>
      <c r="D916" s="125" t="str">
        <f>IFERROR(VLOOKUP($A916,HeadJournal!$A$1:$NTR$890,COLUMN(HeadJournal!D$1),0),"")</f>
        <v>Доставлен</v>
      </c>
      <c r="E916" s="95">
        <f>IFERROR(VLOOKUP($A916,HeadJournal!$A$1:$NTR$890,COLUMN(HeadJournal!G$1),0),"")</f>
        <v>44959</v>
      </c>
      <c r="F916" s="95" t="str">
        <f t="shared" si="74"/>
        <v>2023 02</v>
      </c>
      <c r="G916" s="96" t="s">
        <v>5</v>
      </c>
      <c r="H916" s="161" t="s">
        <v>2051</v>
      </c>
      <c r="I916" s="97" t="s">
        <v>2052</v>
      </c>
      <c r="J916" s="97" t="s">
        <v>3097</v>
      </c>
      <c r="K916" s="29">
        <v>887.6</v>
      </c>
      <c r="L916" s="29">
        <v>0</v>
      </c>
      <c r="M916" s="30">
        <f>IFERROR(VLOOKUP($A916,HeadJournal!$A$1:$J$890,COLUMN(HeadJournal!I$1),0)*($K916+$L916)/(SUMIF($A:$A,$A916,$K:$K)+SUMIF($A:$A,$A916,$L:$L)),0)</f>
        <v>0</v>
      </c>
      <c r="N916" s="30">
        <f>IFERROR((VLOOKUP($A916,HeadJournal!$A$1:$K$890,COLUMN(HeadJournal!K$1),0)-VLOOKUP($A916,HeadJournal!$A$1:$K$890,COLUMN(HeadJournal!J$1),0))*($K916+$L916)/(SUMIF($A:$A,$A916,$K:$K)+SUMIF($A:$A,$A916,$L:$L)),0)</f>
        <v>-0.67284129281257166</v>
      </c>
      <c r="O916" s="30">
        <f>IFERROR((VLOOKUP($A916,HeadJournal!$A$1:$L$890,COLUMN(HeadJournal!L$1),0)*($K916+$L916)/(SUMIF($A:$A,$A916,$K:$K)+SUMIF($A:$A,$A916,$L:$L)))/VLOOKUP($A916,HeadJournal!$A$1:$L$890,COLUMN(HeadJournal!H$1),0),0)</f>
        <v>0</v>
      </c>
      <c r="P916" s="30">
        <f>IFERROR(SUM(K916:O916)*VLOOKUP($A916,HeadJournal!$A$1:$L$890,COLUMN(HeadJournal!H$1),0),0)</f>
        <v>886.92715870718746</v>
      </c>
      <c r="Q916" s="29">
        <v>2200</v>
      </c>
      <c r="R916" s="31">
        <v>45059</v>
      </c>
      <c r="S916" s="31" t="s">
        <v>3121</v>
      </c>
      <c r="T916" s="95" t="str">
        <f t="shared" si="75"/>
        <v>2023 05</v>
      </c>
      <c r="U916" s="32">
        <f t="shared" si="72"/>
        <v>1313.0728412928124</v>
      </c>
      <c r="V916" s="22">
        <f t="shared" si="73"/>
        <v>1.4804742739040579</v>
      </c>
      <c r="X916" s="33"/>
      <c r="Y916" s="33"/>
    </row>
    <row r="917" spans="1:25" x14ac:dyDescent="0.2">
      <c r="A917" s="93" t="s">
        <v>412</v>
      </c>
      <c r="B917" s="94">
        <f>IFERROR(VLOOKUP($A917,HeadJournal!$A$1:$NTR$890,COLUMN(HeadJournal!B$1),0),"")</f>
        <v>0</v>
      </c>
      <c r="C917" s="94" t="str">
        <f>IFERROR(VLOOKUP($A917,HeadJournal!$A$1:$NTR$890,COLUMN(HeadJournal!C$1),0),"")</f>
        <v>Roman</v>
      </c>
      <c r="D917" s="125" t="str">
        <f>IFERROR(VLOOKUP($A917,HeadJournal!$A$1:$NTR$890,COLUMN(HeadJournal!D$1),0),"")</f>
        <v>Доставлен</v>
      </c>
      <c r="E917" s="95">
        <f>IFERROR(VLOOKUP($A917,HeadJournal!$A$1:$NTR$890,COLUMN(HeadJournal!G$1),0),"")</f>
        <v>44959</v>
      </c>
      <c r="F917" s="95" t="str">
        <f t="shared" si="74"/>
        <v>2023 02</v>
      </c>
      <c r="G917" s="96" t="s">
        <v>5</v>
      </c>
      <c r="H917" s="161" t="s">
        <v>2127</v>
      </c>
      <c r="I917" s="97" t="s">
        <v>2125</v>
      </c>
      <c r="J917" s="97" t="s">
        <v>2128</v>
      </c>
      <c r="K917" s="29">
        <v>411.6</v>
      </c>
      <c r="L917" s="29">
        <v>0</v>
      </c>
      <c r="M917" s="30">
        <f>IFERROR(VLOOKUP($A917,HeadJournal!$A$1:$J$890,COLUMN(HeadJournal!I$1),0)*($K917+$L917)/(SUMIF($A:$A,$A917,$K:$K)+SUMIF($A:$A,$A917,$L:$L)),0)</f>
        <v>0</v>
      </c>
      <c r="N917" s="30">
        <f>IFERROR((VLOOKUP($A917,HeadJournal!$A$1:$K$890,COLUMN(HeadJournal!K$1),0)-VLOOKUP($A917,HeadJournal!$A$1:$K$890,COLUMN(HeadJournal!J$1),0))*($K917+$L917)/(SUMIF($A:$A,$A917,$K:$K)+SUMIF($A:$A,$A917,$L:$L)),0)</f>
        <v>-0.31201157742412627</v>
      </c>
      <c r="O917" s="30">
        <f>IFERROR((VLOOKUP($A917,HeadJournal!$A$1:$L$890,COLUMN(HeadJournal!L$1),0)*($K917+$L917)/(SUMIF($A:$A,$A917,$K:$K)+SUMIF($A:$A,$A917,$L:$L)))/VLOOKUP($A917,HeadJournal!$A$1:$L$890,COLUMN(HeadJournal!H$1),0),0)</f>
        <v>0</v>
      </c>
      <c r="P917" s="30">
        <f>IFERROR(SUM(K917:O917)*VLOOKUP($A917,HeadJournal!$A$1:$L$890,COLUMN(HeadJournal!H$1),0),0)</f>
        <v>411.28798842257589</v>
      </c>
      <c r="Q917" s="29">
        <v>1100</v>
      </c>
      <c r="R917" s="31">
        <v>45003</v>
      </c>
      <c r="S917" s="31" t="s">
        <v>3121</v>
      </c>
      <c r="T917" s="95" t="str">
        <f t="shared" si="75"/>
        <v>2023 03</v>
      </c>
      <c r="U917" s="32">
        <f t="shared" si="72"/>
        <v>688.71201157742416</v>
      </c>
      <c r="V917" s="22">
        <f t="shared" si="73"/>
        <v>1.6745249824067565</v>
      </c>
      <c r="X917" s="33"/>
      <c r="Y917" s="33"/>
    </row>
    <row r="918" spans="1:25" x14ac:dyDescent="0.2">
      <c r="A918" s="93" t="s">
        <v>412</v>
      </c>
      <c r="B918" s="94">
        <f>IFERROR(VLOOKUP($A918,HeadJournal!$A$1:$NTR$890,COLUMN(HeadJournal!B$1),0),"")</f>
        <v>0</v>
      </c>
      <c r="C918" s="94" t="str">
        <f>IFERROR(VLOOKUP($A918,HeadJournal!$A$1:$NTR$890,COLUMN(HeadJournal!C$1),0),"")</f>
        <v>Roman</v>
      </c>
      <c r="D918" s="125" t="str">
        <f>IFERROR(VLOOKUP($A918,HeadJournal!$A$1:$NTR$890,COLUMN(HeadJournal!D$1),0),"")</f>
        <v>Доставлен</v>
      </c>
      <c r="E918" s="95">
        <f>IFERROR(VLOOKUP($A918,HeadJournal!$A$1:$NTR$890,COLUMN(HeadJournal!G$1),0),"")</f>
        <v>44959</v>
      </c>
      <c r="F918" s="95" t="str">
        <f t="shared" si="74"/>
        <v>2023 02</v>
      </c>
      <c r="G918" s="96" t="s">
        <v>5</v>
      </c>
      <c r="H918" s="161" t="s">
        <v>3573</v>
      </c>
      <c r="I918" s="97" t="s">
        <v>2052</v>
      </c>
      <c r="J918" s="97" t="s">
        <v>3574</v>
      </c>
      <c r="K918" s="29">
        <v>730.8</v>
      </c>
      <c r="L918" s="29">
        <v>0</v>
      </c>
      <c r="M918" s="30">
        <f>IFERROR(VLOOKUP($A918,HeadJournal!$A$1:$J$890,COLUMN(HeadJournal!I$1),0)*($K918+$L918)/(SUMIF($A:$A,$A918,$K:$K)+SUMIF($A:$A,$A918,$L:$L)),0)</f>
        <v>0</v>
      </c>
      <c r="N918" s="30">
        <f>IFERROR((VLOOKUP($A918,HeadJournal!$A$1:$K$890,COLUMN(HeadJournal!K$1),0)-VLOOKUP($A918,HeadJournal!$A$1:$K$890,COLUMN(HeadJournal!J$1),0))*($K918+$L918)/(SUMIF($A:$A,$A918,$K:$K)+SUMIF($A:$A,$A918,$L:$L)),0)</f>
        <v>-0.5539797395081425</v>
      </c>
      <c r="O918" s="30">
        <f>IFERROR((VLOOKUP($A918,HeadJournal!$A$1:$L$890,COLUMN(HeadJournal!L$1),0)*($K918+$L918)/(SUMIF($A:$A,$A918,$K:$K)+SUMIF($A:$A,$A918,$L:$L)))/VLOOKUP($A918,HeadJournal!$A$1:$L$890,COLUMN(HeadJournal!H$1),0),0)</f>
        <v>0</v>
      </c>
      <c r="P918" s="30">
        <f>IFERROR(SUM(K918:O918)*VLOOKUP($A918,HeadJournal!$A$1:$L$890,COLUMN(HeadJournal!H$1),0),0)</f>
        <v>730.24602026049183</v>
      </c>
      <c r="Q918" s="29">
        <v>730.25</v>
      </c>
      <c r="R918" s="31">
        <v>44958</v>
      </c>
      <c r="S918" s="31" t="s">
        <v>3121</v>
      </c>
      <c r="T918" s="95" t="str">
        <f t="shared" si="75"/>
        <v>2023 02</v>
      </c>
      <c r="U918" s="32">
        <f t="shared" si="72"/>
        <v>3.9797395081677678E-3</v>
      </c>
      <c r="V918" s="22">
        <f t="shared" si="73"/>
        <v>5.4498612765436552E-6</v>
      </c>
      <c r="X918" s="33"/>
      <c r="Y918" s="33"/>
    </row>
    <row r="919" spans="1:25" x14ac:dyDescent="0.2">
      <c r="A919" s="93" t="s">
        <v>412</v>
      </c>
      <c r="B919" s="94">
        <f>IFERROR(VLOOKUP($A919,HeadJournal!$A$1:$NTR$890,COLUMN(HeadJournal!B$1),0),"")</f>
        <v>0</v>
      </c>
      <c r="C919" s="94" t="str">
        <f>IFERROR(VLOOKUP($A919,HeadJournal!$A$1:$NTR$890,COLUMN(HeadJournal!C$1),0),"")</f>
        <v>Roman</v>
      </c>
      <c r="D919" s="125" t="str">
        <f>IFERROR(VLOOKUP($A919,HeadJournal!$A$1:$NTR$890,COLUMN(HeadJournal!D$1),0),"")</f>
        <v>Доставлен</v>
      </c>
      <c r="E919" s="95">
        <f>IFERROR(VLOOKUP($A919,HeadJournal!$A$1:$NTR$890,COLUMN(HeadJournal!G$1),0),"")</f>
        <v>44959</v>
      </c>
      <c r="F919" s="95" t="str">
        <f t="shared" si="74"/>
        <v>2023 02</v>
      </c>
      <c r="G919" s="96" t="s">
        <v>5</v>
      </c>
      <c r="H919" s="161" t="s">
        <v>2073</v>
      </c>
      <c r="I919" s="97" t="s">
        <v>2005</v>
      </c>
      <c r="J919" s="97" t="s">
        <v>2074</v>
      </c>
      <c r="K919" s="29">
        <v>877.8</v>
      </c>
      <c r="L919" s="29">
        <v>0</v>
      </c>
      <c r="M919" s="30">
        <f>IFERROR(VLOOKUP($A919,HeadJournal!$A$1:$J$890,COLUMN(HeadJournal!I$1),0)*($K919+$L919)/(SUMIF($A:$A,$A919,$K:$K)+SUMIF($A:$A,$A919,$L:$L)),0)</f>
        <v>0</v>
      </c>
      <c r="N919" s="30">
        <f>IFERROR((VLOOKUP($A919,HeadJournal!$A$1:$K$890,COLUMN(HeadJournal!K$1),0)-VLOOKUP($A919,HeadJournal!$A$1:$K$890,COLUMN(HeadJournal!J$1),0))*($K919+$L919)/(SUMIF($A:$A,$A919,$K:$K)+SUMIF($A:$A,$A919,$L:$L)),0)</f>
        <v>-0.66541244573104474</v>
      </c>
      <c r="O919" s="30">
        <f>IFERROR((VLOOKUP($A919,HeadJournal!$A$1:$L$890,COLUMN(HeadJournal!L$1),0)*($K919+$L919)/(SUMIF($A:$A,$A919,$K:$K)+SUMIF($A:$A,$A919,$L:$L)))/VLOOKUP($A919,HeadJournal!$A$1:$L$890,COLUMN(HeadJournal!H$1),0),0)</f>
        <v>0</v>
      </c>
      <c r="P919" s="30">
        <f>IFERROR(SUM(K919:O919)*VLOOKUP($A919,HeadJournal!$A$1:$L$890,COLUMN(HeadJournal!H$1),0),0)</f>
        <v>877.13458755426893</v>
      </c>
      <c r="Q919" s="29">
        <v>2200</v>
      </c>
      <c r="R919" s="31">
        <v>45048</v>
      </c>
      <c r="S919" s="31" t="s">
        <v>3121</v>
      </c>
      <c r="T919" s="95" t="str">
        <f t="shared" si="75"/>
        <v>2023 05</v>
      </c>
      <c r="U919" s="32">
        <f t="shared" si="72"/>
        <v>1322.8654124457312</v>
      </c>
      <c r="V919" s="22">
        <f t="shared" si="73"/>
        <v>1.5081669691470063</v>
      </c>
      <c r="X919" s="33"/>
      <c r="Y919" s="33"/>
    </row>
    <row r="920" spans="1:25" x14ac:dyDescent="0.2">
      <c r="A920" s="93" t="s">
        <v>412</v>
      </c>
      <c r="B920" s="94">
        <f>IFERROR(VLOOKUP($A920,HeadJournal!$A$1:$NTR$890,COLUMN(HeadJournal!B$1),0),"")</f>
        <v>0</v>
      </c>
      <c r="C920" s="94" t="str">
        <f>IFERROR(VLOOKUP($A920,HeadJournal!$A$1:$NTR$890,COLUMN(HeadJournal!C$1),0),"")</f>
        <v>Roman</v>
      </c>
      <c r="D920" s="125" t="str">
        <f>IFERROR(VLOOKUP($A920,HeadJournal!$A$1:$NTR$890,COLUMN(HeadJournal!D$1),0),"")</f>
        <v>Доставлен</v>
      </c>
      <c r="E920" s="95">
        <f>IFERROR(VLOOKUP($A920,HeadJournal!$A$1:$NTR$890,COLUMN(HeadJournal!G$1),0),"")</f>
        <v>44959</v>
      </c>
      <c r="F920" s="95" t="str">
        <f t="shared" si="74"/>
        <v>2023 02</v>
      </c>
      <c r="G920" s="96" t="s">
        <v>5</v>
      </c>
      <c r="H920" s="161" t="s">
        <v>2073</v>
      </c>
      <c r="I920" s="97" t="s">
        <v>2005</v>
      </c>
      <c r="J920" s="97" t="s">
        <v>2074</v>
      </c>
      <c r="K920" s="29">
        <v>877.8</v>
      </c>
      <c r="L920" s="29">
        <v>0</v>
      </c>
      <c r="M920" s="30">
        <f>IFERROR(VLOOKUP($A920,HeadJournal!$A$1:$J$890,COLUMN(HeadJournal!I$1),0)*($K920+$L920)/(SUMIF($A:$A,$A920,$K:$K)+SUMIF($A:$A,$A920,$L:$L)),0)</f>
        <v>0</v>
      </c>
      <c r="N920" s="30">
        <f>IFERROR((VLOOKUP($A920,HeadJournal!$A$1:$K$890,COLUMN(HeadJournal!K$1),0)-VLOOKUP($A920,HeadJournal!$A$1:$K$890,COLUMN(HeadJournal!J$1),0))*($K920+$L920)/(SUMIF($A:$A,$A920,$K:$K)+SUMIF($A:$A,$A920,$L:$L)),0)</f>
        <v>-0.66541244573104474</v>
      </c>
      <c r="O920" s="30">
        <f>IFERROR((VLOOKUP($A920,HeadJournal!$A$1:$L$890,COLUMN(HeadJournal!L$1),0)*($K920+$L920)/(SUMIF($A:$A,$A920,$K:$K)+SUMIF($A:$A,$A920,$L:$L)))/VLOOKUP($A920,HeadJournal!$A$1:$L$890,COLUMN(HeadJournal!H$1),0),0)</f>
        <v>0</v>
      </c>
      <c r="P920" s="30">
        <f>IFERROR(SUM(K920:O920)*VLOOKUP($A920,HeadJournal!$A$1:$L$890,COLUMN(HeadJournal!H$1),0),0)</f>
        <v>877.13458755426893</v>
      </c>
      <c r="Q920" s="29">
        <v>2300</v>
      </c>
      <c r="R920" s="31">
        <v>45059</v>
      </c>
      <c r="S920" s="31" t="s">
        <v>3121</v>
      </c>
      <c r="T920" s="95" t="str">
        <f t="shared" si="75"/>
        <v>2023 05</v>
      </c>
      <c r="U920" s="32">
        <f t="shared" si="72"/>
        <v>1422.8654124457312</v>
      </c>
      <c r="V920" s="22">
        <f t="shared" si="73"/>
        <v>1.6221745586536884</v>
      </c>
      <c r="X920" s="33"/>
      <c r="Y920" s="33"/>
    </row>
    <row r="921" spans="1:25" x14ac:dyDescent="0.2">
      <c r="A921" s="93" t="s">
        <v>412</v>
      </c>
      <c r="B921" s="94">
        <f>IFERROR(VLOOKUP($A921,HeadJournal!$A$1:$NTR$890,COLUMN(HeadJournal!B$1),0),"")</f>
        <v>0</v>
      </c>
      <c r="C921" s="94" t="str">
        <f>IFERROR(VLOOKUP($A921,HeadJournal!$A$1:$NTR$890,COLUMN(HeadJournal!C$1),0),"")</f>
        <v>Roman</v>
      </c>
      <c r="D921" s="125" t="str">
        <f>IFERROR(VLOOKUP($A921,HeadJournal!$A$1:$NTR$890,COLUMN(HeadJournal!D$1),0),"")</f>
        <v>Доставлен</v>
      </c>
      <c r="E921" s="95">
        <f>IFERROR(VLOOKUP($A921,HeadJournal!$A$1:$NTR$890,COLUMN(HeadJournal!G$1),0),"")</f>
        <v>44959</v>
      </c>
      <c r="F921" s="95" t="str">
        <f t="shared" si="74"/>
        <v>2023 02</v>
      </c>
      <c r="G921" s="96" t="s">
        <v>5</v>
      </c>
      <c r="H921" s="160" t="str">
        <f>RIGHT(Journal!$J921,9)</f>
        <v>NWY-15686</v>
      </c>
      <c r="I921" s="96" t="str">
        <f t="shared" si="71"/>
        <v>Nature's Way</v>
      </c>
      <c r="J921" s="97" t="s">
        <v>265</v>
      </c>
      <c r="K921" s="29">
        <v>999.6</v>
      </c>
      <c r="L921" s="29">
        <v>0</v>
      </c>
      <c r="M921" s="30">
        <f>IFERROR(VLOOKUP($A921,HeadJournal!$A$1:$J$890,COLUMN(HeadJournal!I$1),0)*($K921+$L921)/(SUMIF($A:$A,$A921,$K:$K)+SUMIF($A:$A,$A921,$L:$L)),0)</f>
        <v>0</v>
      </c>
      <c r="N921" s="30">
        <f>IFERROR((VLOOKUP($A921,HeadJournal!$A$1:$K$890,COLUMN(HeadJournal!K$1),0)-VLOOKUP($A921,HeadJournal!$A$1:$K$890,COLUMN(HeadJournal!J$1),0))*($K921+$L921)/(SUMIF($A:$A,$A921,$K:$K)+SUMIF($A:$A,$A921,$L:$L)),0)</f>
        <v>-0.75774240231573531</v>
      </c>
      <c r="O921" s="30">
        <f>IFERROR((VLOOKUP($A921,HeadJournal!$A$1:$L$890,COLUMN(HeadJournal!L$1),0)*($K921+$L921)/(SUMIF($A:$A,$A921,$K:$K)+SUMIF($A:$A,$A921,$L:$L)))/VLOOKUP($A921,HeadJournal!$A$1:$L$890,COLUMN(HeadJournal!H$1),0),0)</f>
        <v>0</v>
      </c>
      <c r="P921" s="30">
        <f>IFERROR(SUM(K921:O921)*VLOOKUP($A921,HeadJournal!$A$1:$L$890,COLUMN(HeadJournal!H$1),0),0)</f>
        <v>998.84225759768424</v>
      </c>
      <c r="Q921" s="29">
        <v>2600</v>
      </c>
      <c r="R921" s="31">
        <v>44977</v>
      </c>
      <c r="S921" s="31" t="s">
        <v>3121</v>
      </c>
      <c r="T921" s="95" t="str">
        <f t="shared" si="75"/>
        <v>2023 02</v>
      </c>
      <c r="U921" s="32">
        <f t="shared" si="72"/>
        <v>1601.1577424023158</v>
      </c>
      <c r="V921" s="22">
        <f t="shared" si="73"/>
        <v>1.6030136192408004</v>
      </c>
      <c r="X921" s="33"/>
      <c r="Y921" s="33"/>
    </row>
    <row r="922" spans="1:25" x14ac:dyDescent="0.2">
      <c r="A922" s="93" t="s">
        <v>412</v>
      </c>
      <c r="B922" s="94">
        <f>IFERROR(VLOOKUP($A922,HeadJournal!$A$1:$NTR$890,COLUMN(HeadJournal!B$1),0),"")</f>
        <v>0</v>
      </c>
      <c r="C922" s="94" t="str">
        <f>IFERROR(VLOOKUP($A922,HeadJournal!$A$1:$NTR$890,COLUMN(HeadJournal!C$1),0),"")</f>
        <v>Roman</v>
      </c>
      <c r="D922" s="125" t="str">
        <f>IFERROR(VLOOKUP($A922,HeadJournal!$A$1:$NTR$890,COLUMN(HeadJournal!D$1),0),"")</f>
        <v>Доставлен</v>
      </c>
      <c r="E922" s="95">
        <f>IFERROR(VLOOKUP($A922,HeadJournal!$A$1:$NTR$890,COLUMN(HeadJournal!G$1),0),"")</f>
        <v>44959</v>
      </c>
      <c r="F922" s="95" t="str">
        <f t="shared" si="74"/>
        <v>2023 02</v>
      </c>
      <c r="G922" s="96" t="s">
        <v>7</v>
      </c>
      <c r="H922" s="160" t="str">
        <f>RIGHT(Journal!$J922,9)</f>
        <v>734900928</v>
      </c>
      <c r="I922" s="96" t="str">
        <f t="shared" si="71"/>
        <v>LADOR</v>
      </c>
      <c r="J922" s="97" t="s">
        <v>3606</v>
      </c>
      <c r="K922" s="29">
        <v>91</v>
      </c>
      <c r="L922" s="29">
        <v>0</v>
      </c>
      <c r="M922" s="30">
        <f>IFERROR(VLOOKUP($A922,HeadJournal!$A$1:$J$890,COLUMN(HeadJournal!I$1),0)*($K922+$L922)/(SUMIF($A:$A,$A922,$K:$K)+SUMIF($A:$A,$A922,$L:$L)),0)</f>
        <v>0</v>
      </c>
      <c r="N922" s="30">
        <f>IFERROR((VLOOKUP($A922,HeadJournal!$A$1:$K$890,COLUMN(HeadJournal!K$1),0)-VLOOKUP($A922,HeadJournal!$A$1:$K$890,COLUMN(HeadJournal!J$1),0))*($K922+$L922)/(SUMIF($A:$A,$A922,$K:$K)+SUMIF($A:$A,$A922,$L:$L)),0)</f>
        <v>-6.8982151471320433E-2</v>
      </c>
      <c r="O922" s="30">
        <f>IFERROR((VLOOKUP($A922,HeadJournal!$A$1:$L$890,COLUMN(HeadJournal!L$1),0)*($K922+$L922)/(SUMIF($A:$A,$A922,$K:$K)+SUMIF($A:$A,$A922,$L:$L)))/VLOOKUP($A922,HeadJournal!$A$1:$L$890,COLUMN(HeadJournal!H$1),0),0)</f>
        <v>0</v>
      </c>
      <c r="P922" s="30">
        <f>IFERROR(SUM(K922:O922)*VLOOKUP($A922,HeadJournal!$A$1:$L$890,COLUMN(HeadJournal!H$1),0),0)</f>
        <v>90.931017848528683</v>
      </c>
      <c r="Q922" s="75">
        <v>200</v>
      </c>
      <c r="R922" s="31">
        <v>45020</v>
      </c>
      <c r="S922" s="31" t="s">
        <v>3121</v>
      </c>
      <c r="T922" s="95" t="str">
        <f t="shared" si="75"/>
        <v>2023 04</v>
      </c>
      <c r="U922" s="32">
        <f t="shared" si="72"/>
        <v>109.06898215147132</v>
      </c>
      <c r="V922" s="22">
        <f t="shared" si="73"/>
        <v>1.1994694960212207</v>
      </c>
      <c r="X922" s="33"/>
      <c r="Y922" s="33"/>
    </row>
    <row r="923" spans="1:25" x14ac:dyDescent="0.2">
      <c r="A923" s="93" t="s">
        <v>412</v>
      </c>
      <c r="B923" s="94">
        <f>IFERROR(VLOOKUP($A923,HeadJournal!$A$1:$NTR$890,COLUMN(HeadJournal!B$1),0),"")</f>
        <v>0</v>
      </c>
      <c r="C923" s="94" t="str">
        <f>IFERROR(VLOOKUP($A923,HeadJournal!$A$1:$NTR$890,COLUMN(HeadJournal!C$1),0),"")</f>
        <v>Roman</v>
      </c>
      <c r="D923" s="125" t="str">
        <f>IFERROR(VLOOKUP($A923,HeadJournal!$A$1:$NTR$890,COLUMN(HeadJournal!D$1),0),"")</f>
        <v>Доставлен</v>
      </c>
      <c r="E923" s="95">
        <f>IFERROR(VLOOKUP($A923,HeadJournal!$A$1:$NTR$890,COLUMN(HeadJournal!G$1),0),"")</f>
        <v>44959</v>
      </c>
      <c r="F923" s="95" t="str">
        <f t="shared" si="74"/>
        <v>2023 02</v>
      </c>
      <c r="G923" s="96" t="s">
        <v>7</v>
      </c>
      <c r="H923" s="160" t="str">
        <f>RIGHT(Journal!$J923,9)</f>
        <v>734900928</v>
      </c>
      <c r="I923" s="96" t="str">
        <f t="shared" si="71"/>
        <v>LADOR</v>
      </c>
      <c r="J923" s="97" t="s">
        <v>3606</v>
      </c>
      <c r="K923" s="29">
        <v>91</v>
      </c>
      <c r="L923" s="29">
        <v>0</v>
      </c>
      <c r="M923" s="30">
        <f>IFERROR(VLOOKUP($A923,HeadJournal!$A$1:$J$890,COLUMN(HeadJournal!I$1),0)*($K923+$L923)/(SUMIF($A:$A,$A923,$K:$K)+SUMIF($A:$A,$A923,$L:$L)),0)</f>
        <v>0</v>
      </c>
      <c r="N923" s="30">
        <f>IFERROR((VLOOKUP($A923,HeadJournal!$A$1:$K$890,COLUMN(HeadJournal!K$1),0)-VLOOKUP($A923,HeadJournal!$A$1:$K$890,COLUMN(HeadJournal!J$1),0))*($K923+$L923)/(SUMIF($A:$A,$A923,$K:$K)+SUMIF($A:$A,$A923,$L:$L)),0)</f>
        <v>-6.8982151471320433E-2</v>
      </c>
      <c r="O923" s="30">
        <f>IFERROR((VLOOKUP($A923,HeadJournal!$A$1:$L$890,COLUMN(HeadJournal!L$1),0)*($K923+$L923)/(SUMIF($A:$A,$A923,$K:$K)+SUMIF($A:$A,$A923,$L:$L)))/VLOOKUP($A923,HeadJournal!$A$1:$L$890,COLUMN(HeadJournal!H$1),0),0)</f>
        <v>0</v>
      </c>
      <c r="P923" s="30">
        <f>IFERROR(SUM(K923:O923)*VLOOKUP($A923,HeadJournal!$A$1:$L$890,COLUMN(HeadJournal!H$1),0),0)</f>
        <v>90.931017848528683</v>
      </c>
      <c r="Q923" s="29"/>
      <c r="R923" s="31"/>
      <c r="S923" s="31"/>
      <c r="T923" s="95" t="str">
        <f t="shared" si="75"/>
        <v/>
      </c>
      <c r="U923" s="32">
        <f t="shared" si="72"/>
        <v>-90.931017848528683</v>
      </c>
      <c r="V923" s="22" t="str">
        <f t="shared" si="73"/>
        <v/>
      </c>
      <c r="X923" s="33"/>
      <c r="Y923" s="33"/>
    </row>
    <row r="924" spans="1:25" x14ac:dyDescent="0.2">
      <c r="A924" s="93" t="s">
        <v>412</v>
      </c>
      <c r="B924" s="94">
        <f>IFERROR(VLOOKUP($A924,HeadJournal!$A$1:$NTR$890,COLUMN(HeadJournal!B$1),0),"")</f>
        <v>0</v>
      </c>
      <c r="C924" s="94" t="str">
        <f>IFERROR(VLOOKUP($A924,HeadJournal!$A$1:$NTR$890,COLUMN(HeadJournal!C$1),0),"")</f>
        <v>Roman</v>
      </c>
      <c r="D924" s="125" t="str">
        <f>IFERROR(VLOOKUP($A924,HeadJournal!$A$1:$NTR$890,COLUMN(HeadJournal!D$1),0),"")</f>
        <v>Доставлен</v>
      </c>
      <c r="E924" s="95">
        <f>IFERROR(VLOOKUP($A924,HeadJournal!$A$1:$NTR$890,COLUMN(HeadJournal!G$1),0),"")</f>
        <v>44959</v>
      </c>
      <c r="F924" s="95" t="str">
        <f t="shared" si="74"/>
        <v>2023 02</v>
      </c>
      <c r="G924" s="96" t="s">
        <v>7</v>
      </c>
      <c r="H924" s="160" t="str">
        <f>RIGHT(Journal!$J924,9)</f>
        <v>734900928</v>
      </c>
      <c r="I924" s="96" t="str">
        <f t="shared" si="71"/>
        <v>LADOR</v>
      </c>
      <c r="J924" s="97" t="s">
        <v>3606</v>
      </c>
      <c r="K924" s="29">
        <v>91</v>
      </c>
      <c r="L924" s="29">
        <v>0</v>
      </c>
      <c r="M924" s="30">
        <f>IFERROR(VLOOKUP($A924,HeadJournal!$A$1:$J$890,COLUMN(HeadJournal!I$1),0)*($K924+$L924)/(SUMIF($A:$A,$A924,$K:$K)+SUMIF($A:$A,$A924,$L:$L)),0)</f>
        <v>0</v>
      </c>
      <c r="N924" s="30">
        <f>IFERROR((VLOOKUP($A924,HeadJournal!$A$1:$K$890,COLUMN(HeadJournal!K$1),0)-VLOOKUP($A924,HeadJournal!$A$1:$K$890,COLUMN(HeadJournal!J$1),0))*($K924+$L924)/(SUMIF($A:$A,$A924,$K:$K)+SUMIF($A:$A,$A924,$L:$L)),0)</f>
        <v>-6.8982151471320433E-2</v>
      </c>
      <c r="O924" s="30">
        <f>IFERROR((VLOOKUP($A924,HeadJournal!$A$1:$L$890,COLUMN(HeadJournal!L$1),0)*($K924+$L924)/(SUMIF($A:$A,$A924,$K:$K)+SUMIF($A:$A,$A924,$L:$L)))/VLOOKUP($A924,HeadJournal!$A$1:$L$890,COLUMN(HeadJournal!H$1),0),0)</f>
        <v>0</v>
      </c>
      <c r="P924" s="30">
        <f>IFERROR(SUM(K924:O924)*VLOOKUP($A924,HeadJournal!$A$1:$L$890,COLUMN(HeadJournal!H$1),0),0)</f>
        <v>90.931017848528683</v>
      </c>
      <c r="Q924" s="29"/>
      <c r="R924" s="31"/>
      <c r="S924" s="31"/>
      <c r="T924" s="95" t="str">
        <f t="shared" si="75"/>
        <v/>
      </c>
      <c r="U924" s="32">
        <f t="shared" si="72"/>
        <v>-90.931017848528683</v>
      </c>
      <c r="V924" s="22" t="str">
        <f t="shared" si="73"/>
        <v/>
      </c>
      <c r="X924" s="33"/>
      <c r="Y924" s="33"/>
    </row>
    <row r="925" spans="1:25" x14ac:dyDescent="0.2">
      <c r="A925" s="93" t="s">
        <v>412</v>
      </c>
      <c r="B925" s="94">
        <f>IFERROR(VLOOKUP($A925,HeadJournal!$A$1:$NTR$890,COLUMN(HeadJournal!B$1),0),"")</f>
        <v>0</v>
      </c>
      <c r="C925" s="94" t="str">
        <f>IFERROR(VLOOKUP($A925,HeadJournal!$A$1:$NTR$890,COLUMN(HeadJournal!C$1),0),"")</f>
        <v>Roman</v>
      </c>
      <c r="D925" s="125" t="str">
        <f>IFERROR(VLOOKUP($A925,HeadJournal!$A$1:$NTR$890,COLUMN(HeadJournal!D$1),0),"")</f>
        <v>Доставлен</v>
      </c>
      <c r="E925" s="95">
        <f>IFERROR(VLOOKUP($A925,HeadJournal!$A$1:$NTR$890,COLUMN(HeadJournal!G$1),0),"")</f>
        <v>44959</v>
      </c>
      <c r="F925" s="95" t="str">
        <f t="shared" si="74"/>
        <v>2023 02</v>
      </c>
      <c r="G925" s="96" t="s">
        <v>7</v>
      </c>
      <c r="H925" s="160" t="str">
        <f>RIGHT(Journal!$J925,9)</f>
        <v>734900928</v>
      </c>
      <c r="I925" s="96" t="str">
        <f t="shared" si="71"/>
        <v>LADOR</v>
      </c>
      <c r="J925" s="97" t="s">
        <v>3606</v>
      </c>
      <c r="K925" s="29">
        <v>91</v>
      </c>
      <c r="L925" s="29">
        <v>0</v>
      </c>
      <c r="M925" s="30">
        <f>IFERROR(VLOOKUP($A925,HeadJournal!$A$1:$J$890,COLUMN(HeadJournal!I$1),0)*($K925+$L925)/(SUMIF($A:$A,$A925,$K:$K)+SUMIF($A:$A,$A925,$L:$L)),0)</f>
        <v>0</v>
      </c>
      <c r="N925" s="30">
        <f>IFERROR((VLOOKUP($A925,HeadJournal!$A$1:$K$890,COLUMN(HeadJournal!K$1),0)-VLOOKUP($A925,HeadJournal!$A$1:$K$890,COLUMN(HeadJournal!J$1),0))*($K925+$L925)/(SUMIF($A:$A,$A925,$K:$K)+SUMIF($A:$A,$A925,$L:$L)),0)</f>
        <v>-6.8982151471320433E-2</v>
      </c>
      <c r="O925" s="30">
        <f>IFERROR((VLOOKUP($A925,HeadJournal!$A$1:$L$890,COLUMN(HeadJournal!L$1),0)*($K925+$L925)/(SUMIF($A:$A,$A925,$K:$K)+SUMIF($A:$A,$A925,$L:$L)))/VLOOKUP($A925,HeadJournal!$A$1:$L$890,COLUMN(HeadJournal!H$1),0),0)</f>
        <v>0</v>
      </c>
      <c r="P925" s="30">
        <f>IFERROR(SUM(K925:O925)*VLOOKUP($A925,HeadJournal!$A$1:$L$890,COLUMN(HeadJournal!H$1),0),0)</f>
        <v>90.931017848528683</v>
      </c>
      <c r="Q925" s="29"/>
      <c r="R925" s="31"/>
      <c r="S925" s="31"/>
      <c r="T925" s="95" t="str">
        <f t="shared" si="75"/>
        <v/>
      </c>
      <c r="U925" s="32">
        <f t="shared" si="72"/>
        <v>-90.931017848528683</v>
      </c>
      <c r="V925" s="22" t="str">
        <f t="shared" si="73"/>
        <v/>
      </c>
      <c r="X925" s="33"/>
      <c r="Y925" s="33"/>
    </row>
    <row r="926" spans="1:25" x14ac:dyDescent="0.2">
      <c r="A926" s="93" t="s">
        <v>412</v>
      </c>
      <c r="B926" s="94">
        <f>IFERROR(VLOOKUP($A926,HeadJournal!$A$1:$NTR$890,COLUMN(HeadJournal!B$1),0),"")</f>
        <v>0</v>
      </c>
      <c r="C926" s="94" t="str">
        <f>IFERROR(VLOOKUP($A926,HeadJournal!$A$1:$NTR$890,COLUMN(HeadJournal!C$1),0),"")</f>
        <v>Roman</v>
      </c>
      <c r="D926" s="125" t="str">
        <f>IFERROR(VLOOKUP($A926,HeadJournal!$A$1:$NTR$890,COLUMN(HeadJournal!D$1),0),"")</f>
        <v>Доставлен</v>
      </c>
      <c r="E926" s="95">
        <f>IFERROR(VLOOKUP($A926,HeadJournal!$A$1:$NTR$890,COLUMN(HeadJournal!G$1),0),"")</f>
        <v>44959</v>
      </c>
      <c r="F926" s="95" t="str">
        <f t="shared" si="74"/>
        <v>2023 02</v>
      </c>
      <c r="G926" s="96" t="s">
        <v>5</v>
      </c>
      <c r="H926" s="161" t="s">
        <v>2614</v>
      </c>
      <c r="I926" s="97" t="s">
        <v>2005</v>
      </c>
      <c r="J926" s="97" t="s">
        <v>2641</v>
      </c>
      <c r="K926" s="29">
        <v>243.6</v>
      </c>
      <c r="L926" s="29">
        <v>0</v>
      </c>
      <c r="M926" s="30">
        <f>IFERROR(VLOOKUP($A926,HeadJournal!$A$1:$J$890,COLUMN(HeadJournal!I$1),0)*($K926+$L926)/(SUMIF($A:$A,$A926,$K:$K)+SUMIF($A:$A,$A926,$L:$L)),0)</f>
        <v>0</v>
      </c>
      <c r="N926" s="30">
        <f>IFERROR((VLOOKUP($A926,HeadJournal!$A$1:$K$890,COLUMN(HeadJournal!K$1),0)-VLOOKUP($A926,HeadJournal!$A$1:$K$890,COLUMN(HeadJournal!J$1),0))*($K926+$L926)/(SUMIF($A:$A,$A926,$K:$K)+SUMIF($A:$A,$A926,$L:$L)),0)</f>
        <v>-0.18465991316938082</v>
      </c>
      <c r="O926" s="30">
        <f>IFERROR((VLOOKUP($A926,HeadJournal!$A$1:$L$890,COLUMN(HeadJournal!L$1),0)*($K926+$L926)/(SUMIF($A:$A,$A926,$K:$K)+SUMIF($A:$A,$A926,$L:$L)))/VLOOKUP($A926,HeadJournal!$A$1:$L$890,COLUMN(HeadJournal!H$1),0),0)</f>
        <v>0</v>
      </c>
      <c r="P926" s="30">
        <f>IFERROR(SUM(K926:O926)*VLOOKUP($A926,HeadJournal!$A$1:$L$890,COLUMN(HeadJournal!H$1),0),0)</f>
        <v>243.41534008683061</v>
      </c>
      <c r="Q926" s="29">
        <v>700</v>
      </c>
      <c r="R926" s="31">
        <v>44999</v>
      </c>
      <c r="S926" s="31" t="s">
        <v>3121</v>
      </c>
      <c r="T926" s="95" t="str">
        <f t="shared" si="75"/>
        <v>2023 03</v>
      </c>
      <c r="U926" s="32">
        <f t="shared" si="72"/>
        <v>456.58465991316939</v>
      </c>
      <c r="V926" s="22">
        <f t="shared" si="73"/>
        <v>1.8757431629013088</v>
      </c>
      <c r="X926" s="33"/>
      <c r="Y926" s="33"/>
    </row>
    <row r="927" spans="1:25" x14ac:dyDescent="0.2">
      <c r="A927" s="93" t="s">
        <v>412</v>
      </c>
      <c r="B927" s="94">
        <f>IFERROR(VLOOKUP($A927,HeadJournal!$A$1:$NTR$890,COLUMN(HeadJournal!B$1),0),"")</f>
        <v>0</v>
      </c>
      <c r="C927" s="94" t="str">
        <f>IFERROR(VLOOKUP($A927,HeadJournal!$A$1:$NTR$890,COLUMN(HeadJournal!C$1),0),"")</f>
        <v>Roman</v>
      </c>
      <c r="D927" s="125" t="str">
        <f>IFERROR(VLOOKUP($A927,HeadJournal!$A$1:$NTR$890,COLUMN(HeadJournal!D$1),0),"")</f>
        <v>Доставлен</v>
      </c>
      <c r="E927" s="95">
        <f>IFERROR(VLOOKUP($A927,HeadJournal!$A$1:$NTR$890,COLUMN(HeadJournal!G$1),0),"")</f>
        <v>44959</v>
      </c>
      <c r="F927" s="95" t="str">
        <f t="shared" si="74"/>
        <v>2023 02</v>
      </c>
      <c r="G927" s="96" t="s">
        <v>5</v>
      </c>
      <c r="H927" s="161" t="s">
        <v>2614</v>
      </c>
      <c r="I927" s="97" t="s">
        <v>2005</v>
      </c>
      <c r="J927" s="97" t="s">
        <v>2641</v>
      </c>
      <c r="K927" s="29">
        <v>243.6</v>
      </c>
      <c r="L927" s="29">
        <v>0</v>
      </c>
      <c r="M927" s="30">
        <f>IFERROR(VLOOKUP($A927,HeadJournal!$A$1:$J$890,COLUMN(HeadJournal!I$1),0)*($K927+$L927)/(SUMIF($A:$A,$A927,$K:$K)+SUMIF($A:$A,$A927,$L:$L)),0)</f>
        <v>0</v>
      </c>
      <c r="N927" s="30">
        <f>IFERROR((VLOOKUP($A927,HeadJournal!$A$1:$K$890,COLUMN(HeadJournal!K$1),0)-VLOOKUP($A927,HeadJournal!$A$1:$K$890,COLUMN(HeadJournal!J$1),0))*($K927+$L927)/(SUMIF($A:$A,$A927,$K:$K)+SUMIF($A:$A,$A927,$L:$L)),0)</f>
        <v>-0.18465991316938082</v>
      </c>
      <c r="O927" s="30">
        <f>IFERROR((VLOOKUP($A927,HeadJournal!$A$1:$L$890,COLUMN(HeadJournal!L$1),0)*($K927+$L927)/(SUMIF($A:$A,$A927,$K:$K)+SUMIF($A:$A,$A927,$L:$L)))/VLOOKUP($A927,HeadJournal!$A$1:$L$890,COLUMN(HeadJournal!H$1),0),0)</f>
        <v>0</v>
      </c>
      <c r="P927" s="30">
        <f>IFERROR(SUM(K927:O927)*VLOOKUP($A927,HeadJournal!$A$1:$L$890,COLUMN(HeadJournal!H$1),0),0)</f>
        <v>243.41534008683061</v>
      </c>
      <c r="Q927" s="29">
        <v>800</v>
      </c>
      <c r="R927" s="31">
        <v>45013</v>
      </c>
      <c r="S927" s="31" t="s">
        <v>3121</v>
      </c>
      <c r="T927" s="95" t="str">
        <f t="shared" si="75"/>
        <v>2023 03</v>
      </c>
      <c r="U927" s="32">
        <f t="shared" si="72"/>
        <v>556.58465991316939</v>
      </c>
      <c r="V927" s="22">
        <f t="shared" si="73"/>
        <v>2.2865636147443529</v>
      </c>
      <c r="X927" s="33"/>
      <c r="Y927" s="33"/>
    </row>
    <row r="928" spans="1:25" x14ac:dyDescent="0.2">
      <c r="A928" s="93" t="s">
        <v>412</v>
      </c>
      <c r="B928" s="94">
        <f>IFERROR(VLOOKUP($A928,HeadJournal!$A$1:$NTR$890,COLUMN(HeadJournal!B$1),0),"")</f>
        <v>0</v>
      </c>
      <c r="C928" s="94" t="str">
        <f>IFERROR(VLOOKUP($A928,HeadJournal!$A$1:$NTR$890,COLUMN(HeadJournal!C$1),0),"")</f>
        <v>Roman</v>
      </c>
      <c r="D928" s="125" t="str">
        <f>IFERROR(VLOOKUP($A928,HeadJournal!$A$1:$NTR$890,COLUMN(HeadJournal!D$1),0),"")</f>
        <v>Доставлен</v>
      </c>
      <c r="E928" s="95">
        <f>IFERROR(VLOOKUP($A928,HeadJournal!$A$1:$NTR$890,COLUMN(HeadJournal!G$1),0),"")</f>
        <v>44959</v>
      </c>
      <c r="F928" s="95" t="str">
        <f t="shared" si="74"/>
        <v>2023 02</v>
      </c>
      <c r="G928" s="96" t="s">
        <v>5</v>
      </c>
      <c r="H928" s="161" t="s">
        <v>2202</v>
      </c>
      <c r="I928" s="97" t="s">
        <v>2005</v>
      </c>
      <c r="J928" s="97" t="s">
        <v>3692</v>
      </c>
      <c r="K928" s="29">
        <v>735</v>
      </c>
      <c r="L928" s="29">
        <v>0</v>
      </c>
      <c r="M928" s="30">
        <f>IFERROR(VLOOKUP($A928,HeadJournal!$A$1:$J$890,COLUMN(HeadJournal!I$1),0)*($K928+$L928)/(SUMIF($A:$A,$A928,$K:$K)+SUMIF($A:$A,$A928,$L:$L)),0)</f>
        <v>0</v>
      </c>
      <c r="N928" s="30">
        <f>IFERROR((VLOOKUP($A928,HeadJournal!$A$1:$K$890,COLUMN(HeadJournal!K$1),0)-VLOOKUP($A928,HeadJournal!$A$1:$K$890,COLUMN(HeadJournal!J$1),0))*($K928+$L928)/(SUMIF($A:$A,$A928,$K:$K)+SUMIF($A:$A,$A928,$L:$L)),0)</f>
        <v>-0.55716353111451122</v>
      </c>
      <c r="O928" s="30">
        <f>IFERROR((VLOOKUP($A928,HeadJournal!$A$1:$L$890,COLUMN(HeadJournal!L$1),0)*($K928+$L928)/(SUMIF($A:$A,$A928,$K:$K)+SUMIF($A:$A,$A928,$L:$L)))/VLOOKUP($A928,HeadJournal!$A$1:$L$890,COLUMN(HeadJournal!H$1),0),0)</f>
        <v>0</v>
      </c>
      <c r="P928" s="30">
        <f>IFERROR(SUM(K928:O928)*VLOOKUP($A928,HeadJournal!$A$1:$L$890,COLUMN(HeadJournal!H$1),0),0)</f>
        <v>734.4428364688855</v>
      </c>
      <c r="Q928" s="29">
        <v>1700</v>
      </c>
      <c r="R928" s="31">
        <v>45008</v>
      </c>
      <c r="S928" s="31" t="s">
        <v>3121</v>
      </c>
      <c r="T928" s="95" t="str">
        <f t="shared" si="75"/>
        <v>2023 03</v>
      </c>
      <c r="U928" s="32">
        <f t="shared" si="72"/>
        <v>965.5571635311145</v>
      </c>
      <c r="V928" s="22">
        <f t="shared" si="73"/>
        <v>1.3146798029556657</v>
      </c>
      <c r="X928" s="33"/>
      <c r="Y928" s="33"/>
    </row>
    <row r="929" spans="1:25" x14ac:dyDescent="0.2">
      <c r="A929" s="93" t="s">
        <v>412</v>
      </c>
      <c r="B929" s="94">
        <f>IFERROR(VLOOKUP($A929,HeadJournal!$A$1:$NTR$890,COLUMN(HeadJournal!B$1),0),"")</f>
        <v>0</v>
      </c>
      <c r="C929" s="94" t="str">
        <f>IFERROR(VLOOKUP($A929,HeadJournal!$A$1:$NTR$890,COLUMN(HeadJournal!C$1),0),"")</f>
        <v>Roman</v>
      </c>
      <c r="D929" s="125" t="str">
        <f>IFERROR(VLOOKUP($A929,HeadJournal!$A$1:$NTR$890,COLUMN(HeadJournal!D$1),0),"")</f>
        <v>Доставлен</v>
      </c>
      <c r="E929" s="95">
        <f>IFERROR(VLOOKUP($A929,HeadJournal!$A$1:$NTR$890,COLUMN(HeadJournal!G$1),0),"")</f>
        <v>44959</v>
      </c>
      <c r="F929" s="95" t="str">
        <f t="shared" si="74"/>
        <v>2023 02</v>
      </c>
      <c r="G929" s="96" t="s">
        <v>5</v>
      </c>
      <c r="H929" s="160" t="str">
        <f>RIGHT(Journal!$J929,9)</f>
        <v>NOW-04770</v>
      </c>
      <c r="I929" s="96" t="str">
        <f t="shared" si="71"/>
        <v>Now Foods</v>
      </c>
      <c r="J929" s="97" t="s">
        <v>413</v>
      </c>
      <c r="K929" s="29">
        <v>408.8</v>
      </c>
      <c r="L929" s="29">
        <v>0</v>
      </c>
      <c r="M929" s="30">
        <f>IFERROR(VLOOKUP($A929,HeadJournal!$A$1:$J$890,COLUMN(HeadJournal!I$1),0)*($K929+$L929)/(SUMIF($A:$A,$A929,$K:$K)+SUMIF($A:$A,$A929,$L:$L)),0)</f>
        <v>0</v>
      </c>
      <c r="N929" s="30">
        <f>IFERROR((VLOOKUP($A929,HeadJournal!$A$1:$K$890,COLUMN(HeadJournal!K$1),0)-VLOOKUP($A929,HeadJournal!$A$1:$K$890,COLUMN(HeadJournal!J$1),0))*($K929+$L929)/(SUMIF($A:$A,$A929,$K:$K)+SUMIF($A:$A,$A929,$L:$L)),0)</f>
        <v>-0.30988904968654724</v>
      </c>
      <c r="O929" s="30">
        <f>IFERROR((VLOOKUP($A929,HeadJournal!$A$1:$L$890,COLUMN(HeadJournal!L$1),0)*($K929+$L929)/(SUMIF($A:$A,$A929,$K:$K)+SUMIF($A:$A,$A929,$L:$L)))/VLOOKUP($A929,HeadJournal!$A$1:$L$890,COLUMN(HeadJournal!H$1),0),0)</f>
        <v>0</v>
      </c>
      <c r="P929" s="30">
        <f>IFERROR(SUM(K929:O929)*VLOOKUP($A929,HeadJournal!$A$1:$L$890,COLUMN(HeadJournal!H$1),0),0)</f>
        <v>408.49011095031346</v>
      </c>
      <c r="Q929" s="29">
        <v>1100</v>
      </c>
      <c r="R929" s="31">
        <v>44991</v>
      </c>
      <c r="S929" s="31" t="s">
        <v>3121</v>
      </c>
      <c r="T929" s="95" t="str">
        <f t="shared" si="75"/>
        <v>2023 03</v>
      </c>
      <c r="U929" s="32">
        <f t="shared" si="72"/>
        <v>691.50988904968654</v>
      </c>
      <c r="V929" s="22">
        <f t="shared" si="73"/>
        <v>1.6928436466698165</v>
      </c>
      <c r="X929" s="33"/>
      <c r="Y929" s="33"/>
    </row>
    <row r="930" spans="1:25" x14ac:dyDescent="0.2">
      <c r="A930" s="93" t="s">
        <v>412</v>
      </c>
      <c r="B930" s="94">
        <f>IFERROR(VLOOKUP($A930,HeadJournal!$A$1:$NTR$890,COLUMN(HeadJournal!B$1),0),"")</f>
        <v>0</v>
      </c>
      <c r="C930" s="94" t="str">
        <f>IFERROR(VLOOKUP($A930,HeadJournal!$A$1:$NTR$890,COLUMN(HeadJournal!C$1),0),"")</f>
        <v>Roman</v>
      </c>
      <c r="D930" s="125" t="str">
        <f>IFERROR(VLOOKUP($A930,HeadJournal!$A$1:$NTR$890,COLUMN(HeadJournal!D$1),0),"")</f>
        <v>Доставлен</v>
      </c>
      <c r="E930" s="95">
        <f>IFERROR(VLOOKUP($A930,HeadJournal!$A$1:$NTR$890,COLUMN(HeadJournal!G$1),0),"")</f>
        <v>44959</v>
      </c>
      <c r="F930" s="95" t="str">
        <f t="shared" si="74"/>
        <v>2023 02</v>
      </c>
      <c r="G930" s="96" t="s">
        <v>5</v>
      </c>
      <c r="H930" s="160" t="str">
        <f>RIGHT(Journal!$J930,9)</f>
        <v>NOW-04763</v>
      </c>
      <c r="I930" s="96" t="str">
        <f t="shared" si="71"/>
        <v>Now Foods</v>
      </c>
      <c r="J930" s="97" t="s">
        <v>414</v>
      </c>
      <c r="K930" s="29">
        <v>502.6</v>
      </c>
      <c r="L930" s="29">
        <v>0</v>
      </c>
      <c r="M930" s="30">
        <f>IFERROR(VLOOKUP($A930,HeadJournal!$A$1:$J$890,COLUMN(HeadJournal!I$1),0)*($K930+$L930)/(SUMIF($A:$A,$A930,$K:$K)+SUMIF($A:$A,$A930,$L:$L)),0)</f>
        <v>0</v>
      </c>
      <c r="N930" s="30">
        <f>IFERROR((VLOOKUP($A930,HeadJournal!$A$1:$K$890,COLUMN(HeadJournal!K$1),0)-VLOOKUP($A930,HeadJournal!$A$1:$K$890,COLUMN(HeadJournal!J$1),0))*($K930+$L930)/(SUMIF($A:$A,$A930,$K:$K)+SUMIF($A:$A,$A930,$L:$L)),0)</f>
        <v>-0.38099372889544669</v>
      </c>
      <c r="O930" s="30">
        <f>IFERROR((VLOOKUP($A930,HeadJournal!$A$1:$L$890,COLUMN(HeadJournal!L$1),0)*($K930+$L930)/(SUMIF($A:$A,$A930,$K:$K)+SUMIF($A:$A,$A930,$L:$L)))/VLOOKUP($A930,HeadJournal!$A$1:$L$890,COLUMN(HeadJournal!H$1),0),0)</f>
        <v>0</v>
      </c>
      <c r="P930" s="30">
        <f>IFERROR(SUM(K930:O930)*VLOOKUP($A930,HeadJournal!$A$1:$L$890,COLUMN(HeadJournal!H$1),0),0)</f>
        <v>502.2190062711046</v>
      </c>
      <c r="Q930" s="29">
        <v>1500</v>
      </c>
      <c r="R930" s="31">
        <v>45057</v>
      </c>
      <c r="S930" s="31" t="s">
        <v>3121</v>
      </c>
      <c r="T930" s="95" t="str">
        <f t="shared" si="75"/>
        <v>2023 05</v>
      </c>
      <c r="U930" s="32">
        <f t="shared" si="72"/>
        <v>997.7809937288954</v>
      </c>
      <c r="V930" s="22">
        <f t="shared" si="73"/>
        <v>1.9867447891653063</v>
      </c>
      <c r="X930" s="33"/>
      <c r="Y930" s="33"/>
    </row>
    <row r="931" spans="1:25" x14ac:dyDescent="0.2">
      <c r="A931" s="93" t="s">
        <v>412</v>
      </c>
      <c r="B931" s="94">
        <f>IFERROR(VLOOKUP($A931,HeadJournal!$A$1:$NTR$890,COLUMN(HeadJournal!B$1),0),"")</f>
        <v>0</v>
      </c>
      <c r="C931" s="94" t="str">
        <f>IFERROR(VLOOKUP($A931,HeadJournal!$A$1:$NTR$890,COLUMN(HeadJournal!C$1),0),"")</f>
        <v>Roman</v>
      </c>
      <c r="D931" s="125" t="str">
        <f>IFERROR(VLOOKUP($A931,HeadJournal!$A$1:$NTR$890,COLUMN(HeadJournal!D$1),0),"")</f>
        <v>Доставлен</v>
      </c>
      <c r="E931" s="95">
        <f>IFERROR(VLOOKUP($A931,HeadJournal!$A$1:$NTR$890,COLUMN(HeadJournal!G$1),0),"")</f>
        <v>44959</v>
      </c>
      <c r="F931" s="95" t="str">
        <f t="shared" si="74"/>
        <v>2023 02</v>
      </c>
      <c r="G931" s="96" t="s">
        <v>5</v>
      </c>
      <c r="H931" s="175" t="s">
        <v>3641</v>
      </c>
      <c r="I931" s="176" t="s">
        <v>2681</v>
      </c>
      <c r="J931" s="97" t="s">
        <v>3687</v>
      </c>
      <c r="K931" s="29">
        <v>536.20000000000005</v>
      </c>
      <c r="L931" s="29">
        <v>0</v>
      </c>
      <c r="M931" s="30">
        <f>IFERROR(VLOOKUP($A931,HeadJournal!$A$1:$J$890,COLUMN(HeadJournal!I$1),0)*($K931+$L931)/(SUMIF($A:$A,$A931,$K:$K)+SUMIF($A:$A,$A931,$L:$L)),0)</f>
        <v>0</v>
      </c>
      <c r="N931" s="30">
        <f>IFERROR((VLOOKUP($A931,HeadJournal!$A$1:$K$890,COLUMN(HeadJournal!K$1),0)-VLOOKUP($A931,HeadJournal!$A$1:$K$890,COLUMN(HeadJournal!J$1),0))*($K931+$L931)/(SUMIF($A:$A,$A931,$K:$K)+SUMIF($A:$A,$A931,$L:$L)),0)</f>
        <v>-0.40646406174639582</v>
      </c>
      <c r="O931" s="30">
        <f>IFERROR((VLOOKUP($A931,HeadJournal!$A$1:$L$890,COLUMN(HeadJournal!L$1),0)*($K931+$L931)/(SUMIF($A:$A,$A931,$K:$K)+SUMIF($A:$A,$A931,$L:$L)))/VLOOKUP($A931,HeadJournal!$A$1:$L$890,COLUMN(HeadJournal!H$1),0),0)</f>
        <v>0</v>
      </c>
      <c r="P931" s="30">
        <f>IFERROR(SUM(K931:O931)*VLOOKUP($A931,HeadJournal!$A$1:$L$890,COLUMN(HeadJournal!H$1),0),0)</f>
        <v>535.79353593825363</v>
      </c>
      <c r="Q931" s="29">
        <v>1500</v>
      </c>
      <c r="R931" s="31">
        <v>44961</v>
      </c>
      <c r="S931" s="31" t="s">
        <v>3121</v>
      </c>
      <c r="T931" s="95" t="str">
        <f t="shared" si="75"/>
        <v>2023 02</v>
      </c>
      <c r="U931" s="32">
        <f t="shared" si="72"/>
        <v>964.20646406174637</v>
      </c>
      <c r="V931" s="22">
        <f t="shared" si="73"/>
        <v>1.799585846763303</v>
      </c>
      <c r="X931" s="33"/>
      <c r="Y931" s="33"/>
    </row>
    <row r="932" spans="1:25" x14ac:dyDescent="0.2">
      <c r="A932" s="93" t="s">
        <v>415</v>
      </c>
      <c r="B932" s="94">
        <f>IFERROR(VLOOKUP($A932,HeadJournal!$A$1:$NTR$890,COLUMN(HeadJournal!B$1),0),"")</f>
        <v>0</v>
      </c>
      <c r="C932" s="94" t="str">
        <f>IFERROR(VLOOKUP($A932,HeadJournal!$A$1:$NTR$890,COLUMN(HeadJournal!C$1),0),"")</f>
        <v>WBRS</v>
      </c>
      <c r="D932" s="125" t="str">
        <f>IFERROR(VLOOKUP($A932,HeadJournal!$A$1:$NTR$890,COLUMN(HeadJournal!D$1),0),"")</f>
        <v>Доставлен</v>
      </c>
      <c r="E932" s="95">
        <f>IFERROR(VLOOKUP($A932,HeadJournal!$A$1:$NTR$890,COLUMN(HeadJournal!G$1),0),"")</f>
        <v>44958</v>
      </c>
      <c r="F932" s="95" t="str">
        <f t="shared" si="74"/>
        <v>2023 02</v>
      </c>
      <c r="G932" s="96" t="s">
        <v>7</v>
      </c>
      <c r="H932" s="160" t="str">
        <f>RIGHT(Journal!$J932,9)</f>
        <v>139848615</v>
      </c>
      <c r="I932" s="96" t="str">
        <f t="shared" si="71"/>
        <v>Farm Stay</v>
      </c>
      <c r="J932" s="97" t="s">
        <v>416</v>
      </c>
      <c r="K932" s="29">
        <v>443</v>
      </c>
      <c r="L932" s="29">
        <v>0</v>
      </c>
      <c r="M932" s="30">
        <f>IFERROR(VLOOKUP($A932,HeadJournal!$A$1:$J$890,COLUMN(HeadJournal!I$1),0)*($K932+$L932)/(SUMIF($A:$A,$A932,$K:$K)+SUMIF($A:$A,$A932,$L:$L)),0)</f>
        <v>0</v>
      </c>
      <c r="N932" s="30">
        <f>IFERROR((VLOOKUP($A932,HeadJournal!$A$1:$K$890,COLUMN(HeadJournal!K$1),0)-VLOOKUP($A932,HeadJournal!$A$1:$K$890,COLUMN(HeadJournal!J$1),0))*($K932+$L932)/(SUMIF($A:$A,$A932,$K:$K)+SUMIF($A:$A,$A932,$L:$L)),0)</f>
        <v>0</v>
      </c>
      <c r="O932" s="30">
        <f>IFERROR((VLOOKUP($A932,HeadJournal!$A$1:$L$890,COLUMN(HeadJournal!L$1),0)*($K932+$L932)/(SUMIF($A:$A,$A932,$K:$K)+SUMIF($A:$A,$A932,$L:$L)))/VLOOKUP($A932,HeadJournal!$A$1:$L$890,COLUMN(HeadJournal!H$1),0),0)</f>
        <v>66.45</v>
      </c>
      <c r="P932" s="30">
        <f>IFERROR(SUM(K932:O932)*VLOOKUP($A932,HeadJournal!$A$1:$L$890,COLUMN(HeadJournal!H$1),0),0)</f>
        <v>509.45</v>
      </c>
      <c r="Q932" s="29">
        <v>1100</v>
      </c>
      <c r="R932" s="31">
        <v>44991</v>
      </c>
      <c r="S932" s="31" t="s">
        <v>3121</v>
      </c>
      <c r="T932" s="95" t="str">
        <f t="shared" si="75"/>
        <v>2023 03</v>
      </c>
      <c r="U932" s="32">
        <f t="shared" si="72"/>
        <v>590.54999999999995</v>
      </c>
      <c r="V932" s="22">
        <f t="shared" si="73"/>
        <v>1.1591912847188144</v>
      </c>
      <c r="X932" s="33"/>
      <c r="Y932" s="33"/>
    </row>
    <row r="933" spans="1:25" x14ac:dyDescent="0.2">
      <c r="A933" s="93" t="s">
        <v>415</v>
      </c>
      <c r="B933" s="94">
        <f>IFERROR(VLOOKUP($A933,HeadJournal!$A$1:$NTR$890,COLUMN(HeadJournal!B$1),0),"")</f>
        <v>0</v>
      </c>
      <c r="C933" s="94" t="str">
        <f>IFERROR(VLOOKUP($A933,HeadJournal!$A$1:$NTR$890,COLUMN(HeadJournal!C$1),0),"")</f>
        <v>WBRS</v>
      </c>
      <c r="D933" s="125" t="str">
        <f>IFERROR(VLOOKUP($A933,HeadJournal!$A$1:$NTR$890,COLUMN(HeadJournal!D$1),0),"")</f>
        <v>Доставлен</v>
      </c>
      <c r="E933" s="95">
        <f>IFERROR(VLOOKUP($A933,HeadJournal!$A$1:$NTR$890,COLUMN(HeadJournal!G$1),0),"")</f>
        <v>44958</v>
      </c>
      <c r="F933" s="95" t="str">
        <f t="shared" si="74"/>
        <v>2023 02</v>
      </c>
      <c r="G933" s="96" t="s">
        <v>7</v>
      </c>
      <c r="H933" s="160" t="str">
        <f>RIGHT(Journal!$J933,9)</f>
        <v>139848615</v>
      </c>
      <c r="I933" s="96" t="str">
        <f t="shared" si="71"/>
        <v>Farm Stay</v>
      </c>
      <c r="J933" s="97" t="s">
        <v>416</v>
      </c>
      <c r="K933" s="29">
        <v>443</v>
      </c>
      <c r="L933" s="29">
        <v>0</v>
      </c>
      <c r="M933" s="30">
        <f>IFERROR(VLOOKUP($A933,HeadJournal!$A$1:$J$890,COLUMN(HeadJournal!I$1),0)*($K933+$L933)/(SUMIF($A:$A,$A933,$K:$K)+SUMIF($A:$A,$A933,$L:$L)),0)</f>
        <v>0</v>
      </c>
      <c r="N933" s="30">
        <f>IFERROR((VLOOKUP($A933,HeadJournal!$A$1:$K$890,COLUMN(HeadJournal!K$1),0)-VLOOKUP($A933,HeadJournal!$A$1:$K$890,COLUMN(HeadJournal!J$1),0))*($K933+$L933)/(SUMIF($A:$A,$A933,$K:$K)+SUMIF($A:$A,$A933,$L:$L)),0)</f>
        <v>0</v>
      </c>
      <c r="O933" s="30">
        <f>IFERROR((VLOOKUP($A933,HeadJournal!$A$1:$L$890,COLUMN(HeadJournal!L$1),0)*($K933+$L933)/(SUMIF($A:$A,$A933,$K:$K)+SUMIF($A:$A,$A933,$L:$L)))/VLOOKUP($A933,HeadJournal!$A$1:$L$890,COLUMN(HeadJournal!H$1),0),0)</f>
        <v>66.45</v>
      </c>
      <c r="P933" s="30">
        <f>IFERROR(SUM(K933:O933)*VLOOKUP($A933,HeadJournal!$A$1:$L$890,COLUMN(HeadJournal!H$1),0),0)</f>
        <v>509.45</v>
      </c>
      <c r="Q933" s="29">
        <v>1000</v>
      </c>
      <c r="R933" s="31">
        <v>44992</v>
      </c>
      <c r="S933" s="31" t="s">
        <v>3121</v>
      </c>
      <c r="T933" s="95" t="str">
        <f t="shared" si="75"/>
        <v>2023 03</v>
      </c>
      <c r="U933" s="32">
        <f t="shared" si="72"/>
        <v>490.55</v>
      </c>
      <c r="V933" s="22">
        <f t="shared" si="73"/>
        <v>0.96290116792619496</v>
      </c>
      <c r="X933" s="33"/>
      <c r="Y933" s="33"/>
    </row>
    <row r="934" spans="1:25" x14ac:dyDescent="0.2">
      <c r="A934" s="93" t="s">
        <v>417</v>
      </c>
      <c r="B934" s="94">
        <f>IFERROR(VLOOKUP($A934,HeadJournal!$A$1:$NTR$890,COLUMN(HeadJournal!B$1),0),"")</f>
        <v>0</v>
      </c>
      <c r="C934" s="94" t="str">
        <f>IFERROR(VLOOKUP($A934,HeadJournal!$A$1:$NTR$890,COLUMN(HeadJournal!C$1),0),"")</f>
        <v>WBRS</v>
      </c>
      <c r="D934" s="125" t="str">
        <f>IFERROR(VLOOKUP($A934,HeadJournal!$A$1:$NTR$890,COLUMN(HeadJournal!D$1),0),"")</f>
        <v>Доставлен</v>
      </c>
      <c r="E934" s="95">
        <f>IFERROR(VLOOKUP($A934,HeadJournal!$A$1:$NTR$890,COLUMN(HeadJournal!G$1),0),"")</f>
        <v>44958</v>
      </c>
      <c r="F934" s="95" t="str">
        <f t="shared" si="74"/>
        <v>2023 02</v>
      </c>
      <c r="G934" s="96" t="s">
        <v>5</v>
      </c>
      <c r="H934" s="160" t="str">
        <f>RIGHT(Journal!$J934,9)</f>
        <v>132685147</v>
      </c>
      <c r="I934" s="96" t="str">
        <f t="shared" si="71"/>
        <v>Himalaya</v>
      </c>
      <c r="J934" s="97" t="s">
        <v>418</v>
      </c>
      <c r="K934" s="29">
        <v>326.5</v>
      </c>
      <c r="L934" s="29">
        <v>0</v>
      </c>
      <c r="M934" s="30">
        <f>IFERROR(VLOOKUP($A934,HeadJournal!$A$1:$J$890,COLUMN(HeadJournal!I$1),0)*($K934+$L934)/(SUMIF($A:$A,$A934,$K:$K)+SUMIF($A:$A,$A934,$L:$L)),0)</f>
        <v>0</v>
      </c>
      <c r="N934" s="30">
        <f>IFERROR((VLOOKUP($A934,HeadJournal!$A$1:$K$890,COLUMN(HeadJournal!K$1),0)-VLOOKUP($A934,HeadJournal!$A$1:$K$890,COLUMN(HeadJournal!J$1),0))*($K934+$L934)/(SUMIF($A:$A,$A934,$K:$K)+SUMIF($A:$A,$A934,$L:$L)),0)</f>
        <v>0</v>
      </c>
      <c r="O934" s="30">
        <f>IFERROR((VLOOKUP($A934,HeadJournal!$A$1:$L$890,COLUMN(HeadJournal!L$1),0)*($K934+$L934)/(SUMIF($A:$A,$A934,$K:$K)+SUMIF($A:$A,$A934,$L:$L)))/VLOOKUP($A934,HeadJournal!$A$1:$L$890,COLUMN(HeadJournal!H$1),0),0)</f>
        <v>48.975000000000001</v>
      </c>
      <c r="P934" s="30">
        <f>IFERROR(SUM(K934:O934)*VLOOKUP($A934,HeadJournal!$A$1:$L$890,COLUMN(HeadJournal!H$1),0),0)</f>
        <v>375.47500000000002</v>
      </c>
      <c r="Q934" s="29">
        <v>750</v>
      </c>
      <c r="R934" s="31">
        <v>44969</v>
      </c>
      <c r="S934" s="31" t="s">
        <v>3121</v>
      </c>
      <c r="T934" s="95" t="str">
        <f t="shared" si="75"/>
        <v>2023 02</v>
      </c>
      <c r="U934" s="32">
        <f t="shared" si="72"/>
        <v>374.52499999999998</v>
      </c>
      <c r="V934" s="22">
        <f t="shared" si="73"/>
        <v>0.99746987149610478</v>
      </c>
      <c r="X934" s="33"/>
      <c r="Y934" s="33"/>
    </row>
    <row r="935" spans="1:25" x14ac:dyDescent="0.2">
      <c r="A935" s="93" t="s">
        <v>417</v>
      </c>
      <c r="B935" s="94">
        <f>IFERROR(VLOOKUP($A935,HeadJournal!$A$1:$NTR$890,COLUMN(HeadJournal!B$1),0),"")</f>
        <v>0</v>
      </c>
      <c r="C935" s="94" t="str">
        <f>IFERROR(VLOOKUP($A935,HeadJournal!$A$1:$NTR$890,COLUMN(HeadJournal!C$1),0),"")</f>
        <v>WBRS</v>
      </c>
      <c r="D935" s="125" t="str">
        <f>IFERROR(VLOOKUP($A935,HeadJournal!$A$1:$NTR$890,COLUMN(HeadJournal!D$1),0),"")</f>
        <v>Доставлен</v>
      </c>
      <c r="E935" s="95">
        <f>IFERROR(VLOOKUP($A935,HeadJournal!$A$1:$NTR$890,COLUMN(HeadJournal!G$1),0),"")</f>
        <v>44958</v>
      </c>
      <c r="F935" s="95" t="str">
        <f t="shared" si="74"/>
        <v>2023 02</v>
      </c>
      <c r="G935" s="96" t="s">
        <v>5</v>
      </c>
      <c r="H935" s="160" t="str">
        <f>RIGHT(Journal!$J935,9)</f>
        <v>132685147</v>
      </c>
      <c r="I935" s="96" t="str">
        <f t="shared" si="71"/>
        <v>Himalaya</v>
      </c>
      <c r="J935" s="97" t="s">
        <v>418</v>
      </c>
      <c r="K935" s="29">
        <v>326.5</v>
      </c>
      <c r="L935" s="29">
        <v>0</v>
      </c>
      <c r="M935" s="30">
        <f>IFERROR(VLOOKUP($A935,HeadJournal!$A$1:$J$890,COLUMN(HeadJournal!I$1),0)*($K935+$L935)/(SUMIF($A:$A,$A935,$K:$K)+SUMIF($A:$A,$A935,$L:$L)),0)</f>
        <v>0</v>
      </c>
      <c r="N935" s="30">
        <f>IFERROR((VLOOKUP($A935,HeadJournal!$A$1:$K$890,COLUMN(HeadJournal!K$1),0)-VLOOKUP($A935,HeadJournal!$A$1:$K$890,COLUMN(HeadJournal!J$1),0))*($K935+$L935)/(SUMIF($A:$A,$A935,$K:$K)+SUMIF($A:$A,$A935,$L:$L)),0)</f>
        <v>0</v>
      </c>
      <c r="O935" s="30">
        <f>IFERROR((VLOOKUP($A935,HeadJournal!$A$1:$L$890,COLUMN(HeadJournal!L$1),0)*($K935+$L935)/(SUMIF($A:$A,$A935,$K:$K)+SUMIF($A:$A,$A935,$L:$L)))/VLOOKUP($A935,HeadJournal!$A$1:$L$890,COLUMN(HeadJournal!H$1),0),0)</f>
        <v>48.975000000000001</v>
      </c>
      <c r="P935" s="30">
        <f>IFERROR(SUM(K935:O935)*VLOOKUP($A935,HeadJournal!$A$1:$L$890,COLUMN(HeadJournal!H$1),0),0)</f>
        <v>375.47500000000002</v>
      </c>
      <c r="Q935" s="29"/>
      <c r="R935" s="31"/>
      <c r="S935" s="31"/>
      <c r="T935" s="95" t="str">
        <f t="shared" si="75"/>
        <v/>
      </c>
      <c r="U935" s="32">
        <f t="shared" si="72"/>
        <v>-375.47500000000002</v>
      </c>
      <c r="V935" s="22" t="str">
        <f t="shared" si="73"/>
        <v/>
      </c>
      <c r="X935" s="33"/>
      <c r="Y935" s="33"/>
    </row>
    <row r="936" spans="1:25" x14ac:dyDescent="0.2">
      <c r="A936" s="93" t="s">
        <v>419</v>
      </c>
      <c r="B936" s="94">
        <f>IFERROR(VLOOKUP($A936,HeadJournal!$A$1:$NTR$890,COLUMN(HeadJournal!B$1),0),"")</f>
        <v>0</v>
      </c>
      <c r="C936" s="94" t="str">
        <f>IFERROR(VLOOKUP($A936,HeadJournal!$A$1:$NTR$890,COLUMN(HeadJournal!C$1),0),"")</f>
        <v>WBRS</v>
      </c>
      <c r="D936" s="125" t="str">
        <f>IFERROR(VLOOKUP($A936,HeadJournal!$A$1:$NTR$890,COLUMN(HeadJournal!D$1),0),"")</f>
        <v>Доставлен</v>
      </c>
      <c r="E936" s="95">
        <f>IFERROR(VLOOKUP($A936,HeadJournal!$A$1:$NTR$890,COLUMN(HeadJournal!G$1),0),"")</f>
        <v>44958</v>
      </c>
      <c r="F936" s="95" t="str">
        <f t="shared" si="74"/>
        <v>2023 02</v>
      </c>
      <c r="G936" s="96" t="s">
        <v>7</v>
      </c>
      <c r="H936" s="160" t="str">
        <f>RIGHT(Journal!$J936,9)</f>
        <v>122309591</v>
      </c>
      <c r="I936" s="96" t="str">
        <f t="shared" si="71"/>
        <v>Farm Stay</v>
      </c>
      <c r="J936" s="97" t="s">
        <v>420</v>
      </c>
      <c r="K936" s="29">
        <v>293</v>
      </c>
      <c r="L936" s="29">
        <v>0</v>
      </c>
      <c r="M936" s="30">
        <f>IFERROR(VLOOKUP($A936,HeadJournal!$A$1:$J$890,COLUMN(HeadJournal!I$1),0)*($K936+$L936)/(SUMIF($A:$A,$A936,$K:$K)+SUMIF($A:$A,$A936,$L:$L)),0)</f>
        <v>0</v>
      </c>
      <c r="N936" s="30">
        <f>IFERROR((VLOOKUP($A936,HeadJournal!$A$1:$K$890,COLUMN(HeadJournal!K$1),0)-VLOOKUP($A936,HeadJournal!$A$1:$K$890,COLUMN(HeadJournal!J$1),0))*($K936+$L936)/(SUMIF($A:$A,$A936,$K:$K)+SUMIF($A:$A,$A936,$L:$L)),0)</f>
        <v>0</v>
      </c>
      <c r="O936" s="30">
        <f>IFERROR((VLOOKUP($A936,HeadJournal!$A$1:$L$890,COLUMN(HeadJournal!L$1),0)*($K936+$L936)/(SUMIF($A:$A,$A936,$K:$K)+SUMIF($A:$A,$A936,$L:$L)))/VLOOKUP($A936,HeadJournal!$A$1:$L$890,COLUMN(HeadJournal!H$1),0),0)</f>
        <v>43.949999999999996</v>
      </c>
      <c r="P936" s="30">
        <f>IFERROR(SUM(K936:O936)*VLOOKUP($A936,HeadJournal!$A$1:$L$890,COLUMN(HeadJournal!H$1),0),0)</f>
        <v>336.95</v>
      </c>
      <c r="Q936" s="29">
        <v>1000</v>
      </c>
      <c r="R936" s="31">
        <v>44992</v>
      </c>
      <c r="S936" s="31" t="s">
        <v>3121</v>
      </c>
      <c r="T936" s="95" t="str">
        <f t="shared" si="75"/>
        <v>2023 03</v>
      </c>
      <c r="U936" s="32">
        <f t="shared" si="72"/>
        <v>663.05</v>
      </c>
      <c r="V936" s="22">
        <f t="shared" si="73"/>
        <v>1.9677993767621309</v>
      </c>
      <c r="X936" s="33"/>
      <c r="Y936" s="33"/>
    </row>
    <row r="937" spans="1:25" x14ac:dyDescent="0.2">
      <c r="A937" s="93" t="s">
        <v>419</v>
      </c>
      <c r="B937" s="94">
        <f>IFERROR(VLOOKUP($A937,HeadJournal!$A$1:$NTR$890,COLUMN(HeadJournal!B$1),0),"")</f>
        <v>0</v>
      </c>
      <c r="C937" s="94" t="str">
        <f>IFERROR(VLOOKUP($A937,HeadJournal!$A$1:$NTR$890,COLUMN(HeadJournal!C$1),0),"")</f>
        <v>WBRS</v>
      </c>
      <c r="D937" s="125" t="str">
        <f>IFERROR(VLOOKUP($A937,HeadJournal!$A$1:$NTR$890,COLUMN(HeadJournal!D$1),0),"")</f>
        <v>Доставлен</v>
      </c>
      <c r="E937" s="95">
        <f>IFERROR(VLOOKUP($A937,HeadJournal!$A$1:$NTR$890,COLUMN(HeadJournal!G$1),0),"")</f>
        <v>44958</v>
      </c>
      <c r="F937" s="95" t="str">
        <f t="shared" si="74"/>
        <v>2023 02</v>
      </c>
      <c r="G937" s="96" t="s">
        <v>7</v>
      </c>
      <c r="H937" s="160" t="str">
        <f>RIGHT(Journal!$J937,9)</f>
        <v>122309591</v>
      </c>
      <c r="I937" s="96" t="str">
        <f t="shared" si="71"/>
        <v>Farm Stay</v>
      </c>
      <c r="J937" s="97" t="s">
        <v>420</v>
      </c>
      <c r="K937" s="29">
        <v>293</v>
      </c>
      <c r="L937" s="29">
        <v>0</v>
      </c>
      <c r="M937" s="30">
        <f>IFERROR(VLOOKUP($A937,HeadJournal!$A$1:$J$890,COLUMN(HeadJournal!I$1),0)*($K937+$L937)/(SUMIF($A:$A,$A937,$K:$K)+SUMIF($A:$A,$A937,$L:$L)),0)</f>
        <v>0</v>
      </c>
      <c r="N937" s="30">
        <f>IFERROR((VLOOKUP($A937,HeadJournal!$A$1:$K$890,COLUMN(HeadJournal!K$1),0)-VLOOKUP($A937,HeadJournal!$A$1:$K$890,COLUMN(HeadJournal!J$1),0))*($K937+$L937)/(SUMIF($A:$A,$A937,$K:$K)+SUMIF($A:$A,$A937,$L:$L)),0)</f>
        <v>0</v>
      </c>
      <c r="O937" s="30">
        <f>IFERROR((VLOOKUP($A937,HeadJournal!$A$1:$L$890,COLUMN(HeadJournal!L$1),0)*($K937+$L937)/(SUMIF($A:$A,$A937,$K:$K)+SUMIF($A:$A,$A937,$L:$L)))/VLOOKUP($A937,HeadJournal!$A$1:$L$890,COLUMN(HeadJournal!H$1),0),0)</f>
        <v>43.949999999999996</v>
      </c>
      <c r="P937" s="30">
        <f>IFERROR(SUM(K937:O937)*VLOOKUP($A937,HeadJournal!$A$1:$L$890,COLUMN(HeadJournal!H$1),0),0)</f>
        <v>336.95</v>
      </c>
      <c r="Q937" s="29">
        <v>1000</v>
      </c>
      <c r="R937" s="31">
        <v>45006</v>
      </c>
      <c r="S937" s="31" t="s">
        <v>3121</v>
      </c>
      <c r="T937" s="95" t="str">
        <f t="shared" si="75"/>
        <v>2023 03</v>
      </c>
      <c r="U937" s="32">
        <f t="shared" si="72"/>
        <v>663.05</v>
      </c>
      <c r="V937" s="22">
        <f t="shared" si="73"/>
        <v>1.9677993767621309</v>
      </c>
      <c r="X937" s="33"/>
      <c r="Y937" s="33"/>
    </row>
    <row r="938" spans="1:25" x14ac:dyDescent="0.2">
      <c r="A938" s="93" t="s">
        <v>419</v>
      </c>
      <c r="B938" s="94">
        <f>IFERROR(VLOOKUP($A938,HeadJournal!$A$1:$NTR$890,COLUMN(HeadJournal!B$1),0),"")</f>
        <v>0</v>
      </c>
      <c r="C938" s="94" t="str">
        <f>IFERROR(VLOOKUP($A938,HeadJournal!$A$1:$NTR$890,COLUMN(HeadJournal!C$1),0),"")</f>
        <v>WBRS</v>
      </c>
      <c r="D938" s="125" t="str">
        <f>IFERROR(VLOOKUP($A938,HeadJournal!$A$1:$NTR$890,COLUMN(HeadJournal!D$1),0),"")</f>
        <v>Доставлен</v>
      </c>
      <c r="E938" s="95">
        <f>IFERROR(VLOOKUP($A938,HeadJournal!$A$1:$NTR$890,COLUMN(HeadJournal!G$1),0),"")</f>
        <v>44958</v>
      </c>
      <c r="F938" s="95" t="str">
        <f t="shared" si="74"/>
        <v>2023 02</v>
      </c>
      <c r="G938" s="96" t="s">
        <v>7</v>
      </c>
      <c r="H938" s="160" t="str">
        <f>RIGHT(Journal!$J938,9)</f>
        <v>122309591</v>
      </c>
      <c r="I938" s="96" t="str">
        <f t="shared" si="71"/>
        <v>Farm Stay</v>
      </c>
      <c r="J938" s="97" t="s">
        <v>420</v>
      </c>
      <c r="K938" s="29">
        <v>293</v>
      </c>
      <c r="L938" s="29">
        <v>0</v>
      </c>
      <c r="M938" s="30">
        <f>IFERROR(VLOOKUP($A938,HeadJournal!$A$1:$J$890,COLUMN(HeadJournal!I$1),0)*($K938+$L938)/(SUMIF($A:$A,$A938,$K:$K)+SUMIF($A:$A,$A938,$L:$L)),0)</f>
        <v>0</v>
      </c>
      <c r="N938" s="30">
        <f>IFERROR((VLOOKUP($A938,HeadJournal!$A$1:$K$890,COLUMN(HeadJournal!K$1),0)-VLOOKUP($A938,HeadJournal!$A$1:$K$890,COLUMN(HeadJournal!J$1),0))*($K938+$L938)/(SUMIF($A:$A,$A938,$K:$K)+SUMIF($A:$A,$A938,$L:$L)),0)</f>
        <v>0</v>
      </c>
      <c r="O938" s="30">
        <f>IFERROR((VLOOKUP($A938,HeadJournal!$A$1:$L$890,COLUMN(HeadJournal!L$1),0)*($K938+$L938)/(SUMIF($A:$A,$A938,$K:$K)+SUMIF($A:$A,$A938,$L:$L)))/VLOOKUP($A938,HeadJournal!$A$1:$L$890,COLUMN(HeadJournal!H$1),0),0)</f>
        <v>43.949999999999996</v>
      </c>
      <c r="P938" s="30">
        <f>IFERROR(SUM(K938:O938)*VLOOKUP($A938,HeadJournal!$A$1:$L$890,COLUMN(HeadJournal!H$1),0),0)</f>
        <v>336.95</v>
      </c>
      <c r="Q938" s="29">
        <v>1000</v>
      </c>
      <c r="R938" s="31">
        <v>45008</v>
      </c>
      <c r="S938" s="31" t="s">
        <v>3121</v>
      </c>
      <c r="T938" s="95" t="str">
        <f t="shared" si="75"/>
        <v>2023 03</v>
      </c>
      <c r="U938" s="32">
        <f t="shared" si="72"/>
        <v>663.05</v>
      </c>
      <c r="V938" s="22">
        <f t="shared" si="73"/>
        <v>1.9677993767621309</v>
      </c>
      <c r="X938" s="33"/>
      <c r="Y938" s="33"/>
    </row>
    <row r="939" spans="1:25" x14ac:dyDescent="0.2">
      <c r="A939" s="93" t="s">
        <v>421</v>
      </c>
      <c r="B939" s="94">
        <f>IFERROR(VLOOKUP($A939,HeadJournal!$A$1:$NTR$890,COLUMN(HeadJournal!B$1),0),"")</f>
        <v>0</v>
      </c>
      <c r="C939" s="94" t="str">
        <f>IFERROR(VLOOKUP($A939,HeadJournal!$A$1:$NTR$890,COLUMN(HeadJournal!C$1),0),"")</f>
        <v>WBRS</v>
      </c>
      <c r="D939" s="125" t="str">
        <f>IFERROR(VLOOKUP($A939,HeadJournal!$A$1:$NTR$890,COLUMN(HeadJournal!D$1),0),"")</f>
        <v>Доставлен</v>
      </c>
      <c r="E939" s="95">
        <f>IFERROR(VLOOKUP($A939,HeadJournal!$A$1:$NTR$890,COLUMN(HeadJournal!G$1),0),"")</f>
        <v>44955</v>
      </c>
      <c r="F939" s="95" t="str">
        <f t="shared" si="74"/>
        <v>2023 01</v>
      </c>
      <c r="G939" s="96" t="s">
        <v>7</v>
      </c>
      <c r="H939" s="160" t="str">
        <f>RIGHT(Journal!$J939,9)</f>
        <v>142969984</v>
      </c>
      <c r="I939" s="96" t="str">
        <f t="shared" si="71"/>
        <v>Farm Stay</v>
      </c>
      <c r="J939" s="97" t="s">
        <v>422</v>
      </c>
      <c r="K939" s="29">
        <v>210</v>
      </c>
      <c r="L939" s="29">
        <v>0</v>
      </c>
      <c r="M939" s="30">
        <f>IFERROR(VLOOKUP($A939,HeadJournal!$A$1:$J$890,COLUMN(HeadJournal!I$1),0)*($K939+$L939)/(SUMIF($A:$A,$A939,$K:$K)+SUMIF($A:$A,$A939,$L:$L)),0)</f>
        <v>0</v>
      </c>
      <c r="N939" s="30">
        <f>IFERROR((VLOOKUP($A939,HeadJournal!$A$1:$K$890,COLUMN(HeadJournal!K$1),0)-VLOOKUP($A939,HeadJournal!$A$1:$K$890,COLUMN(HeadJournal!J$1),0))*($K939+$L939)/(SUMIF($A:$A,$A939,$K:$K)+SUMIF($A:$A,$A939,$L:$L)),0)</f>
        <v>0</v>
      </c>
      <c r="O939" s="30">
        <f>IFERROR((VLOOKUP($A939,HeadJournal!$A$1:$L$890,COLUMN(HeadJournal!L$1),0)*($K939+$L939)/(SUMIF($A:$A,$A939,$K:$K)+SUMIF($A:$A,$A939,$L:$L)))/VLOOKUP($A939,HeadJournal!$A$1:$L$890,COLUMN(HeadJournal!H$1),0),0)</f>
        <v>31.5</v>
      </c>
      <c r="P939" s="30">
        <f>IFERROR(SUM(K939:O939)*VLOOKUP($A939,HeadJournal!$A$1:$L$890,COLUMN(HeadJournal!H$1),0),0)</f>
        <v>241.5</v>
      </c>
      <c r="Q939" s="29">
        <v>500</v>
      </c>
      <c r="R939" s="31">
        <v>44991</v>
      </c>
      <c r="S939" s="31" t="s">
        <v>3121</v>
      </c>
      <c r="T939" s="95" t="str">
        <f t="shared" si="75"/>
        <v>2023 03</v>
      </c>
      <c r="U939" s="32">
        <f t="shared" si="72"/>
        <v>258.5</v>
      </c>
      <c r="V939" s="22">
        <f t="shared" si="73"/>
        <v>1.0703933747412009</v>
      </c>
      <c r="X939" s="33"/>
      <c r="Y939" s="33"/>
    </row>
    <row r="940" spans="1:25" x14ac:dyDescent="0.2">
      <c r="A940" s="93" t="s">
        <v>421</v>
      </c>
      <c r="B940" s="94">
        <f>IFERROR(VLOOKUP($A940,HeadJournal!$A$1:$NTR$890,COLUMN(HeadJournal!B$1),0),"")</f>
        <v>0</v>
      </c>
      <c r="C940" s="94" t="str">
        <f>IFERROR(VLOOKUP($A940,HeadJournal!$A$1:$NTR$890,COLUMN(HeadJournal!C$1),0),"")</f>
        <v>WBRS</v>
      </c>
      <c r="D940" s="125" t="str">
        <f>IFERROR(VLOOKUP($A940,HeadJournal!$A$1:$NTR$890,COLUMN(HeadJournal!D$1),0),"")</f>
        <v>Доставлен</v>
      </c>
      <c r="E940" s="95">
        <f>IFERROR(VLOOKUP($A940,HeadJournal!$A$1:$NTR$890,COLUMN(HeadJournal!G$1),0),"")</f>
        <v>44955</v>
      </c>
      <c r="F940" s="95" t="str">
        <f t="shared" si="74"/>
        <v>2023 01</v>
      </c>
      <c r="G940" s="96" t="s">
        <v>7</v>
      </c>
      <c r="H940" s="160" t="str">
        <f>RIGHT(Journal!$J940,9)</f>
        <v>142969984</v>
      </c>
      <c r="I940" s="96" t="str">
        <f t="shared" si="71"/>
        <v>Farm Stay</v>
      </c>
      <c r="J940" s="97" t="s">
        <v>422</v>
      </c>
      <c r="K940" s="29">
        <v>210</v>
      </c>
      <c r="L940" s="29">
        <v>0</v>
      </c>
      <c r="M940" s="30">
        <f>IFERROR(VLOOKUP($A940,HeadJournal!$A$1:$J$890,COLUMN(HeadJournal!I$1),0)*($K940+$L940)/(SUMIF($A:$A,$A940,$K:$K)+SUMIF($A:$A,$A940,$L:$L)),0)</f>
        <v>0</v>
      </c>
      <c r="N940" s="30">
        <f>IFERROR((VLOOKUP($A940,HeadJournal!$A$1:$K$890,COLUMN(HeadJournal!K$1),0)-VLOOKUP($A940,HeadJournal!$A$1:$K$890,COLUMN(HeadJournal!J$1),0))*($K940+$L940)/(SUMIF($A:$A,$A940,$K:$K)+SUMIF($A:$A,$A940,$L:$L)),0)</f>
        <v>0</v>
      </c>
      <c r="O940" s="30">
        <f>IFERROR((VLOOKUP($A940,HeadJournal!$A$1:$L$890,COLUMN(HeadJournal!L$1),0)*($K940+$L940)/(SUMIF($A:$A,$A940,$K:$K)+SUMIF($A:$A,$A940,$L:$L)))/VLOOKUP($A940,HeadJournal!$A$1:$L$890,COLUMN(HeadJournal!H$1),0),0)</f>
        <v>31.5</v>
      </c>
      <c r="P940" s="30">
        <f>IFERROR(SUM(K940:O940)*VLOOKUP($A940,HeadJournal!$A$1:$L$890,COLUMN(HeadJournal!H$1),0),0)</f>
        <v>241.5</v>
      </c>
      <c r="Q940" s="29"/>
      <c r="R940" s="31"/>
      <c r="S940" s="31"/>
      <c r="T940" s="95" t="str">
        <f t="shared" si="75"/>
        <v/>
      </c>
      <c r="U940" s="32">
        <f t="shared" si="72"/>
        <v>-241.5</v>
      </c>
      <c r="V940" s="22" t="str">
        <f t="shared" si="73"/>
        <v/>
      </c>
      <c r="X940" s="33"/>
      <c r="Y940" s="33"/>
    </row>
    <row r="941" spans="1:25" x14ac:dyDescent="0.2">
      <c r="A941" s="93" t="s">
        <v>423</v>
      </c>
      <c r="B941" s="94">
        <f>IFERROR(VLOOKUP($A941,HeadJournal!$A$1:$NTR$890,COLUMN(HeadJournal!B$1),0),"")</f>
        <v>0</v>
      </c>
      <c r="C941" s="94" t="str">
        <f>IFERROR(VLOOKUP($A941,HeadJournal!$A$1:$NTR$890,COLUMN(HeadJournal!C$1),0),"")</f>
        <v>OZON_AV</v>
      </c>
      <c r="D941" s="125" t="str">
        <f>IFERROR(VLOOKUP($A941,HeadJournal!$A$1:$NTR$890,COLUMN(HeadJournal!D$1),0),"")</f>
        <v>Доставлен</v>
      </c>
      <c r="E941" s="95">
        <f>IFERROR(VLOOKUP($A941,HeadJournal!$A$1:$NTR$890,COLUMN(HeadJournal!G$1),0),"")</f>
        <v>44960</v>
      </c>
      <c r="F941" s="95" t="str">
        <f t="shared" si="74"/>
        <v>2023 02</v>
      </c>
      <c r="G941" s="96" t="s">
        <v>6</v>
      </c>
      <c r="H941" s="160" t="str">
        <f>RIGHT(Journal!$J941,9)</f>
        <v>211617034</v>
      </c>
      <c r="I941" s="96" t="str">
        <f t="shared" si="71"/>
        <v>Biotech USA</v>
      </c>
      <c r="J941" s="97" t="s">
        <v>424</v>
      </c>
      <c r="K941" s="29">
        <v>1250</v>
      </c>
      <c r="L941" s="29">
        <v>0</v>
      </c>
      <c r="M941" s="30">
        <f>IFERROR(VLOOKUP($A941,HeadJournal!$A$1:$J$890,COLUMN(HeadJournal!I$1),0)*($K941+$L941)/(SUMIF($A:$A,$A941,$K:$K)+SUMIF($A:$A,$A941,$L:$L)),0)</f>
        <v>0</v>
      </c>
      <c r="N941" s="30">
        <f>IFERROR((VLOOKUP($A941,HeadJournal!$A$1:$K$890,COLUMN(HeadJournal!K$1),0)-VLOOKUP($A941,HeadJournal!$A$1:$K$890,COLUMN(HeadJournal!J$1),0))*($K941+$L941)/(SUMIF($A:$A,$A941,$K:$K)+SUMIF($A:$A,$A941,$L:$L)),0)</f>
        <v>2.5</v>
      </c>
      <c r="O941" s="30">
        <f>IFERROR((VLOOKUP($A941,HeadJournal!$A$1:$L$890,COLUMN(HeadJournal!L$1),0)*($K941+$L941)/(SUMIF($A:$A,$A941,$K:$K)+SUMIF($A:$A,$A941,$L:$L)))/VLOOKUP($A941,HeadJournal!$A$1:$L$890,COLUMN(HeadJournal!H$1),0),0)</f>
        <v>187.875</v>
      </c>
      <c r="P941" s="30">
        <f>IFERROR(SUM(K941:O941)*VLOOKUP($A941,HeadJournal!$A$1:$L$890,COLUMN(HeadJournal!H$1),0),0)</f>
        <v>1440.375</v>
      </c>
      <c r="Q941" s="29">
        <v>1900</v>
      </c>
      <c r="R941" s="31">
        <v>44964</v>
      </c>
      <c r="S941" s="31" t="s">
        <v>3121</v>
      </c>
      <c r="T941" s="95" t="str">
        <f t="shared" si="75"/>
        <v>2023 02</v>
      </c>
      <c r="U941" s="32">
        <f t="shared" si="72"/>
        <v>459.625</v>
      </c>
      <c r="V941" s="22">
        <f t="shared" si="73"/>
        <v>0.31910092857762734</v>
      </c>
      <c r="X941" s="33"/>
      <c r="Y941" s="33"/>
    </row>
    <row r="942" spans="1:25" x14ac:dyDescent="0.2">
      <c r="A942" s="93" t="s">
        <v>423</v>
      </c>
      <c r="B942" s="94">
        <f>IFERROR(VLOOKUP($A942,HeadJournal!$A$1:$NTR$890,COLUMN(HeadJournal!B$1),0),"")</f>
        <v>0</v>
      </c>
      <c r="C942" s="94" t="str">
        <f>IFERROR(VLOOKUP($A942,HeadJournal!$A$1:$NTR$890,COLUMN(HeadJournal!C$1),0),"")</f>
        <v>OZON_AV</v>
      </c>
      <c r="D942" s="125" t="str">
        <f>IFERROR(VLOOKUP($A942,HeadJournal!$A$1:$NTR$890,COLUMN(HeadJournal!D$1),0),"")</f>
        <v>Доставлен</v>
      </c>
      <c r="E942" s="95">
        <f>IFERROR(VLOOKUP($A942,HeadJournal!$A$1:$NTR$890,COLUMN(HeadJournal!G$1),0),"")</f>
        <v>44960</v>
      </c>
      <c r="F942" s="95" t="str">
        <f t="shared" si="74"/>
        <v>2023 02</v>
      </c>
      <c r="G942" s="96" t="s">
        <v>6</v>
      </c>
      <c r="H942" s="160" t="str">
        <f>RIGHT(Journal!$J942,9)</f>
        <v>211617034</v>
      </c>
      <c r="I942" s="96" t="str">
        <f t="shared" si="71"/>
        <v>Biotech USA</v>
      </c>
      <c r="J942" s="97" t="s">
        <v>424</v>
      </c>
      <c r="K942" s="29">
        <v>1250</v>
      </c>
      <c r="L942" s="29">
        <v>0</v>
      </c>
      <c r="M942" s="30">
        <f>IFERROR(VLOOKUP($A942,HeadJournal!$A$1:$J$890,COLUMN(HeadJournal!I$1),0)*($K942+$L942)/(SUMIF($A:$A,$A942,$K:$K)+SUMIF($A:$A,$A942,$L:$L)),0)</f>
        <v>0</v>
      </c>
      <c r="N942" s="30">
        <f>IFERROR((VLOOKUP($A942,HeadJournal!$A$1:$K$890,COLUMN(HeadJournal!K$1),0)-VLOOKUP($A942,HeadJournal!$A$1:$K$890,COLUMN(HeadJournal!J$1),0))*($K942+$L942)/(SUMIF($A:$A,$A942,$K:$K)+SUMIF($A:$A,$A942,$L:$L)),0)</f>
        <v>2.5</v>
      </c>
      <c r="O942" s="30">
        <f>IFERROR((VLOOKUP($A942,HeadJournal!$A$1:$L$890,COLUMN(HeadJournal!L$1),0)*($K942+$L942)/(SUMIF($A:$A,$A942,$K:$K)+SUMIF($A:$A,$A942,$L:$L)))/VLOOKUP($A942,HeadJournal!$A$1:$L$890,COLUMN(HeadJournal!H$1),0),0)</f>
        <v>187.875</v>
      </c>
      <c r="P942" s="30">
        <f>IFERROR(SUM(K942:O942)*VLOOKUP($A942,HeadJournal!$A$1:$L$890,COLUMN(HeadJournal!H$1),0),0)</f>
        <v>1440.375</v>
      </c>
      <c r="Q942" s="29">
        <v>1900</v>
      </c>
      <c r="R942" s="31">
        <v>44964</v>
      </c>
      <c r="S942" s="31" t="s">
        <v>3121</v>
      </c>
      <c r="T942" s="95" t="str">
        <f t="shared" si="75"/>
        <v>2023 02</v>
      </c>
      <c r="U942" s="32">
        <f t="shared" si="72"/>
        <v>459.625</v>
      </c>
      <c r="V942" s="22">
        <f t="shared" si="73"/>
        <v>0.31910092857762734</v>
      </c>
      <c r="X942" s="33"/>
      <c r="Y942" s="33"/>
    </row>
    <row r="943" spans="1:25" x14ac:dyDescent="0.2">
      <c r="A943" s="93" t="s">
        <v>401</v>
      </c>
      <c r="B943" s="94">
        <f>IFERROR(VLOOKUP($A943,HeadJournal!$A$1:$NTR$890,COLUMN(HeadJournal!B$1),0),"")</f>
        <v>0</v>
      </c>
      <c r="C943" s="94" t="str">
        <f>IFERROR(VLOOKUP($A943,HeadJournal!$A$1:$NTR$890,COLUMN(HeadJournal!C$1),0),"")</f>
        <v>OZON_OA</v>
      </c>
      <c r="D943" s="125" t="str">
        <f>IFERROR(VLOOKUP($A943,HeadJournal!$A$1:$NTR$890,COLUMN(HeadJournal!D$1),0),"")</f>
        <v>Доставлен</v>
      </c>
      <c r="E943" s="95">
        <f>IFERROR(VLOOKUP($A943,HeadJournal!$A$1:$NTR$890,COLUMN(HeadJournal!G$1),0),"")</f>
        <v>44952</v>
      </c>
      <c r="F943" s="95" t="str">
        <f t="shared" si="74"/>
        <v>2023 01</v>
      </c>
      <c r="G943" s="96" t="s">
        <v>6</v>
      </c>
      <c r="H943" s="160" t="str">
        <f>RIGHT(Journal!$J943,9)</f>
        <v>739013420</v>
      </c>
      <c r="I943" s="96" t="str">
        <f t="shared" si="71"/>
        <v>OK</v>
      </c>
      <c r="J943" s="97" t="s">
        <v>425</v>
      </c>
      <c r="K943" s="29">
        <v>555.5</v>
      </c>
      <c r="L943" s="29">
        <v>0</v>
      </c>
      <c r="M943" s="30">
        <f>IFERROR(VLOOKUP($A943,HeadJournal!$A$1:$J$890,COLUMN(HeadJournal!I$1),0)*($K943+$L943)/(SUMIF($A:$A,$A943,$K:$K)+SUMIF($A:$A,$A943,$L:$L)),0)</f>
        <v>0</v>
      </c>
      <c r="N943" s="30">
        <f>IFERROR((VLOOKUP($A943,HeadJournal!$A$1:$K$890,COLUMN(HeadJournal!K$1),0)-VLOOKUP($A943,HeadJournal!$A$1:$K$890,COLUMN(HeadJournal!J$1),0))*($K943+$L943)/(SUMIF($A:$A,$A943,$K:$K)+SUMIF($A:$A,$A943,$L:$L)),0)</f>
        <v>0</v>
      </c>
      <c r="O943" s="30">
        <f>IFERROR((VLOOKUP($A943,HeadJournal!$A$1:$L$890,COLUMN(HeadJournal!L$1),0)*($K943+$L943)/(SUMIF($A:$A,$A943,$K:$K)+SUMIF($A:$A,$A943,$L:$L)))/VLOOKUP($A943,HeadJournal!$A$1:$L$890,COLUMN(HeadJournal!H$1),0),0)</f>
        <v>83.324999999999989</v>
      </c>
      <c r="P943" s="30">
        <f>IFERROR(SUM(K943:O943)*VLOOKUP($A943,HeadJournal!$A$1:$L$890,COLUMN(HeadJournal!H$1),0),0)</f>
        <v>638.82500000000005</v>
      </c>
      <c r="Q943" s="29">
        <v>1100</v>
      </c>
      <c r="R943" s="31">
        <v>44964</v>
      </c>
      <c r="S943" s="31" t="s">
        <v>3121</v>
      </c>
      <c r="T943" s="95" t="str">
        <f t="shared" si="75"/>
        <v>2023 02</v>
      </c>
      <c r="U943" s="32">
        <f t="shared" si="72"/>
        <v>461.17499999999995</v>
      </c>
      <c r="V943" s="22">
        <f t="shared" si="73"/>
        <v>0.72191132156693916</v>
      </c>
      <c r="X943" s="33"/>
      <c r="Y943" s="33"/>
    </row>
    <row r="944" spans="1:25" x14ac:dyDescent="0.2">
      <c r="A944" s="93" t="s">
        <v>401</v>
      </c>
      <c r="B944" s="94">
        <f>IFERROR(VLOOKUP($A944,HeadJournal!$A$1:$NTR$890,COLUMN(HeadJournal!B$1),0),"")</f>
        <v>0</v>
      </c>
      <c r="C944" s="94" t="str">
        <f>IFERROR(VLOOKUP($A944,HeadJournal!$A$1:$NTR$890,COLUMN(HeadJournal!C$1),0),"")</f>
        <v>OZON_OA</v>
      </c>
      <c r="D944" s="125" t="str">
        <f>IFERROR(VLOOKUP($A944,HeadJournal!$A$1:$NTR$890,COLUMN(HeadJournal!D$1),0),"")</f>
        <v>Доставлен</v>
      </c>
      <c r="E944" s="95">
        <f>IFERROR(VLOOKUP($A944,HeadJournal!$A$1:$NTR$890,COLUMN(HeadJournal!G$1),0),"")</f>
        <v>44952</v>
      </c>
      <c r="F944" s="95" t="str">
        <f t="shared" si="74"/>
        <v>2023 01</v>
      </c>
      <c r="G944" s="96" t="s">
        <v>6</v>
      </c>
      <c r="H944" s="160" t="str">
        <f>RIGHT(Journal!$J944,9)</f>
        <v>739013420</v>
      </c>
      <c r="I944" s="96" t="str">
        <f t="shared" si="71"/>
        <v>OK</v>
      </c>
      <c r="J944" s="97" t="s">
        <v>425</v>
      </c>
      <c r="K944" s="29">
        <v>555.5</v>
      </c>
      <c r="L944" s="29">
        <v>0</v>
      </c>
      <c r="M944" s="30">
        <f>IFERROR(VLOOKUP($A944,HeadJournal!$A$1:$J$890,COLUMN(HeadJournal!I$1),0)*($K944+$L944)/(SUMIF($A:$A,$A944,$K:$K)+SUMIF($A:$A,$A944,$L:$L)),0)</f>
        <v>0</v>
      </c>
      <c r="N944" s="30">
        <f>IFERROR((VLOOKUP($A944,HeadJournal!$A$1:$K$890,COLUMN(HeadJournal!K$1),0)-VLOOKUP($A944,HeadJournal!$A$1:$K$890,COLUMN(HeadJournal!J$1),0))*($K944+$L944)/(SUMIF($A:$A,$A944,$K:$K)+SUMIF($A:$A,$A944,$L:$L)),0)</f>
        <v>0</v>
      </c>
      <c r="O944" s="30">
        <f>IFERROR((VLOOKUP($A944,HeadJournal!$A$1:$L$890,COLUMN(HeadJournal!L$1),0)*($K944+$L944)/(SUMIF($A:$A,$A944,$K:$K)+SUMIF($A:$A,$A944,$L:$L)))/VLOOKUP($A944,HeadJournal!$A$1:$L$890,COLUMN(HeadJournal!H$1),0),0)</f>
        <v>83.324999999999989</v>
      </c>
      <c r="P944" s="30">
        <f>IFERROR(SUM(K944:O944)*VLOOKUP($A944,HeadJournal!$A$1:$L$890,COLUMN(HeadJournal!H$1),0),0)</f>
        <v>638.82500000000005</v>
      </c>
      <c r="Q944" s="29"/>
      <c r="R944" s="31"/>
      <c r="S944" s="31"/>
      <c r="T944" s="95" t="str">
        <f t="shared" si="75"/>
        <v/>
      </c>
      <c r="U944" s="32">
        <f t="shared" si="72"/>
        <v>-638.82500000000005</v>
      </c>
      <c r="V944" s="22" t="str">
        <f t="shared" si="73"/>
        <v/>
      </c>
      <c r="X944" s="33"/>
      <c r="Y944" s="33"/>
    </row>
    <row r="945" spans="1:25" x14ac:dyDescent="0.2">
      <c r="A945" s="93" t="s">
        <v>426</v>
      </c>
      <c r="B945" s="94" t="str">
        <f>IFERROR(VLOOKUP($A945,HeadJournal!$A$1:$NTR$890,COLUMN(HeadJournal!B$1),0),"")</f>
        <v>923020356-0</v>
      </c>
      <c r="C945" s="94" t="str">
        <f>IFERROR(VLOOKUP($A945,HeadJournal!$A$1:$NTR$890,COLUMN(HeadJournal!C$1),0),"")</f>
        <v>iHerb_AV CYG0792</v>
      </c>
      <c r="D945" s="125" t="str">
        <f>IFERROR(VLOOKUP($A945,HeadJournal!$A$1:$NTR$890,COLUMN(HeadJournal!D$1),0),"")</f>
        <v>Доставлен</v>
      </c>
      <c r="E945" s="95">
        <f>IFERROR(VLOOKUP($A945,HeadJournal!$A$1:$NTR$890,COLUMN(HeadJournal!G$1),0),"")</f>
        <v>44946</v>
      </c>
      <c r="F945" s="95" t="str">
        <f t="shared" si="74"/>
        <v>2023 01</v>
      </c>
      <c r="G945" s="96" t="s">
        <v>5</v>
      </c>
      <c r="H945" s="175" t="s">
        <v>3656</v>
      </c>
      <c r="I945" s="176" t="s">
        <v>2005</v>
      </c>
      <c r="J945" s="97" t="s">
        <v>3705</v>
      </c>
      <c r="K945" s="29">
        <v>17.63</v>
      </c>
      <c r="L945" s="29">
        <v>-1.76</v>
      </c>
      <c r="M945" s="30">
        <f>IFERROR(VLOOKUP($A945,HeadJournal!$A$1:$J$890,COLUMN(HeadJournal!I$1),0)*($K945+$L945)/(SUMIF($A:$A,$A945,$K:$K)+SUMIF($A:$A,$A945,$L:$L)),0)</f>
        <v>-2.2460208397180508</v>
      </c>
      <c r="N945" s="30">
        <f>IFERROR((VLOOKUP($A945,HeadJournal!$A$1:$K$890,COLUMN(HeadJournal!K$1),0)-VLOOKUP($A945,HeadJournal!$A$1:$K$890,COLUMN(HeadJournal!J$1),0))*($K945+$L945)/(SUMIF($A:$A,$A945,$K:$K)+SUMIF($A:$A,$A945,$L:$L)),0)</f>
        <v>0</v>
      </c>
      <c r="O945" s="30">
        <f>IFERROR((VLOOKUP($A945,HeadJournal!$A$1:$L$890,COLUMN(HeadJournal!L$1),0)*($K945+$L945)/(SUMIF($A:$A,$A945,$K:$K)+SUMIF($A:$A,$A945,$L:$L)))/VLOOKUP($A945,HeadJournal!$A$1:$L$890,COLUMN(HeadJournal!H$1),0),0)</f>
        <v>4.9242576563675371</v>
      </c>
      <c r="P945" s="30">
        <f>IFERROR(SUM(K945:O945)*VLOOKUP($A945,HeadJournal!$A$1:$L$890,COLUMN(HeadJournal!H$1),0),0)</f>
        <v>1428.2142348820103</v>
      </c>
      <c r="Q945" s="29">
        <v>2700</v>
      </c>
      <c r="R945" s="31">
        <v>45290</v>
      </c>
      <c r="S945" s="31" t="s">
        <v>3121</v>
      </c>
      <c r="T945" s="95" t="str">
        <f t="shared" si="75"/>
        <v>2023 12</v>
      </c>
      <c r="U945" s="32">
        <f t="shared" si="72"/>
        <v>1271.7857651179897</v>
      </c>
      <c r="V945" s="22">
        <f t="shared" si="73"/>
        <v>0.8904726854392796</v>
      </c>
      <c r="X945" s="33"/>
      <c r="Y945" s="33"/>
    </row>
    <row r="946" spans="1:25" x14ac:dyDescent="0.2">
      <c r="A946" s="93" t="s">
        <v>426</v>
      </c>
      <c r="B946" s="94" t="str">
        <f>IFERROR(VLOOKUP($A946,HeadJournal!$A$1:$NTR$890,COLUMN(HeadJournal!B$1),0),"")</f>
        <v>923020356-0</v>
      </c>
      <c r="C946" s="94" t="str">
        <f>IFERROR(VLOOKUP($A946,HeadJournal!$A$1:$NTR$890,COLUMN(HeadJournal!C$1),0),"")</f>
        <v>iHerb_AV CYG0792</v>
      </c>
      <c r="D946" s="125" t="str">
        <f>IFERROR(VLOOKUP($A946,HeadJournal!$A$1:$NTR$890,COLUMN(HeadJournal!D$1),0),"")</f>
        <v>Доставлен</v>
      </c>
      <c r="E946" s="95">
        <f>IFERROR(VLOOKUP($A946,HeadJournal!$A$1:$NTR$890,COLUMN(HeadJournal!G$1),0),"")</f>
        <v>44946</v>
      </c>
      <c r="F946" s="95" t="str">
        <f t="shared" si="74"/>
        <v>2023 01</v>
      </c>
      <c r="G946" s="96" t="s">
        <v>5</v>
      </c>
      <c r="H946" s="161" t="s">
        <v>2439</v>
      </c>
      <c r="I946" s="97" t="s">
        <v>2042</v>
      </c>
      <c r="J946" s="97" t="s">
        <v>2440</v>
      </c>
      <c r="K946" s="29">
        <v>28.82</v>
      </c>
      <c r="L946" s="29">
        <v>-2.8833333333333333</v>
      </c>
      <c r="M946" s="30">
        <f>IFERROR(VLOOKUP($A946,HeadJournal!$A$1:$J$890,COLUMN(HeadJournal!I$1),0)*($K946+$L946)/(SUMIF($A:$A,$A946,$K:$K)+SUMIF($A:$A,$A946,$L:$L)),0)</f>
        <v>-3.6707179487179489</v>
      </c>
      <c r="N946" s="30">
        <f>IFERROR((VLOOKUP($A946,HeadJournal!$A$1:$K$890,COLUMN(HeadJournal!K$1),0)-VLOOKUP($A946,HeadJournal!$A$1:$K$890,COLUMN(HeadJournal!J$1),0))*($K946+$L946)/(SUMIF($A:$A,$A946,$K:$K)+SUMIF($A:$A,$A946,$L:$L)),0)</f>
        <v>0</v>
      </c>
      <c r="O946" s="30">
        <f>IFERROR((VLOOKUP($A946,HeadJournal!$A$1:$L$890,COLUMN(HeadJournal!L$1),0)*($K946+$L946)/(SUMIF($A:$A,$A946,$K:$K)+SUMIF($A:$A,$A946,$L:$L)))/VLOOKUP($A946,HeadJournal!$A$1:$L$890,COLUMN(HeadJournal!H$1),0),0)</f>
        <v>8.0478153379953383</v>
      </c>
      <c r="P946" s="30">
        <f>IFERROR(SUM(K946:O946)*VLOOKUP($A946,HeadJournal!$A$1:$L$890,COLUMN(HeadJournal!H$1),0),0)</f>
        <v>2334.1598323076923</v>
      </c>
      <c r="Q946" s="29">
        <v>4300</v>
      </c>
      <c r="R946" s="31">
        <v>44988</v>
      </c>
      <c r="S946" s="31" t="s">
        <v>3121</v>
      </c>
      <c r="T946" s="95" t="str">
        <f t="shared" si="75"/>
        <v>2023 03</v>
      </c>
      <c r="U946" s="32">
        <f t="shared" si="72"/>
        <v>1965.8401676923077</v>
      </c>
      <c r="V946" s="22">
        <f t="shared" si="73"/>
        <v>0.84220460847737177</v>
      </c>
      <c r="X946" s="33"/>
      <c r="Y946" s="33"/>
    </row>
    <row r="947" spans="1:25" x14ac:dyDescent="0.2">
      <c r="A947" s="93" t="s">
        <v>426</v>
      </c>
      <c r="B947" s="94" t="str">
        <f>IFERROR(VLOOKUP($A947,HeadJournal!$A$1:$NTR$890,COLUMN(HeadJournal!B$1),0),"")</f>
        <v>923020356-0</v>
      </c>
      <c r="C947" s="94" t="str">
        <f>IFERROR(VLOOKUP($A947,HeadJournal!$A$1:$NTR$890,COLUMN(HeadJournal!C$1),0),"")</f>
        <v>iHerb_AV CYG0792</v>
      </c>
      <c r="D947" s="125" t="str">
        <f>IFERROR(VLOOKUP($A947,HeadJournal!$A$1:$NTR$890,COLUMN(HeadJournal!D$1),0),"")</f>
        <v>Доставлен</v>
      </c>
      <c r="E947" s="95">
        <f>IFERROR(VLOOKUP($A947,HeadJournal!$A$1:$NTR$890,COLUMN(HeadJournal!G$1),0),"")</f>
        <v>44946</v>
      </c>
      <c r="F947" s="95" t="str">
        <f t="shared" si="74"/>
        <v>2023 01</v>
      </c>
      <c r="G947" s="96" t="s">
        <v>5</v>
      </c>
      <c r="H947" s="161" t="s">
        <v>2439</v>
      </c>
      <c r="I947" s="97" t="s">
        <v>2042</v>
      </c>
      <c r="J947" s="97" t="s">
        <v>2440</v>
      </c>
      <c r="K947" s="29">
        <v>28.82</v>
      </c>
      <c r="L947" s="29">
        <v>-2.8833333333333333</v>
      </c>
      <c r="M947" s="30">
        <f>IFERROR(VLOOKUP($A947,HeadJournal!$A$1:$J$890,COLUMN(HeadJournal!I$1),0)*($K947+$L947)/(SUMIF($A:$A,$A947,$K:$K)+SUMIF($A:$A,$A947,$L:$L)),0)</f>
        <v>-3.6707179487179489</v>
      </c>
      <c r="N947" s="30">
        <f>IFERROR((VLOOKUP($A947,HeadJournal!$A$1:$K$890,COLUMN(HeadJournal!K$1),0)-VLOOKUP($A947,HeadJournal!$A$1:$K$890,COLUMN(HeadJournal!J$1),0))*($K947+$L947)/(SUMIF($A:$A,$A947,$K:$K)+SUMIF($A:$A,$A947,$L:$L)),0)</f>
        <v>0</v>
      </c>
      <c r="O947" s="30">
        <f>IFERROR((VLOOKUP($A947,HeadJournal!$A$1:$L$890,COLUMN(HeadJournal!L$1),0)*($K947+$L947)/(SUMIF($A:$A,$A947,$K:$K)+SUMIF($A:$A,$A947,$L:$L)))/VLOOKUP($A947,HeadJournal!$A$1:$L$890,COLUMN(HeadJournal!H$1),0),0)</f>
        <v>8.0478153379953383</v>
      </c>
      <c r="P947" s="30">
        <f>IFERROR(SUM(K947:O947)*VLOOKUP($A947,HeadJournal!$A$1:$L$890,COLUMN(HeadJournal!H$1),0),0)</f>
        <v>2334.1598323076923</v>
      </c>
      <c r="Q947" s="29">
        <v>4300</v>
      </c>
      <c r="R947" s="31">
        <v>44988</v>
      </c>
      <c r="S947" s="31" t="s">
        <v>3121</v>
      </c>
      <c r="T947" s="95" t="str">
        <f t="shared" si="75"/>
        <v>2023 03</v>
      </c>
      <c r="U947" s="32">
        <f t="shared" si="72"/>
        <v>1965.8401676923077</v>
      </c>
      <c r="V947" s="22">
        <f t="shared" si="73"/>
        <v>0.84220460847737177</v>
      </c>
      <c r="X947" s="33"/>
      <c r="Y947" s="33"/>
    </row>
    <row r="948" spans="1:25" x14ac:dyDescent="0.2">
      <c r="A948" s="93" t="s">
        <v>426</v>
      </c>
      <c r="B948" s="94" t="str">
        <f>IFERROR(VLOOKUP($A948,HeadJournal!$A$1:$NTR$890,COLUMN(HeadJournal!B$1),0),"")</f>
        <v>923020356-0</v>
      </c>
      <c r="C948" s="94" t="str">
        <f>IFERROR(VLOOKUP($A948,HeadJournal!$A$1:$NTR$890,COLUMN(HeadJournal!C$1),0),"")</f>
        <v>iHerb_AV CYG0792</v>
      </c>
      <c r="D948" s="125" t="str">
        <f>IFERROR(VLOOKUP($A948,HeadJournal!$A$1:$NTR$890,COLUMN(HeadJournal!D$1),0),"")</f>
        <v>Доставлен</v>
      </c>
      <c r="E948" s="95">
        <f>IFERROR(VLOOKUP($A948,HeadJournal!$A$1:$NTR$890,COLUMN(HeadJournal!G$1),0),"")</f>
        <v>44946</v>
      </c>
      <c r="F948" s="95" t="str">
        <f t="shared" si="74"/>
        <v>2023 01</v>
      </c>
      <c r="G948" s="96" t="s">
        <v>5</v>
      </c>
      <c r="H948" s="161" t="s">
        <v>2439</v>
      </c>
      <c r="I948" s="97" t="s">
        <v>2042</v>
      </c>
      <c r="J948" s="97" t="s">
        <v>2440</v>
      </c>
      <c r="K948" s="29">
        <v>28.82</v>
      </c>
      <c r="L948" s="29">
        <v>-2.8833333333333333</v>
      </c>
      <c r="M948" s="30">
        <f>IFERROR(VLOOKUP($A948,HeadJournal!$A$1:$J$890,COLUMN(HeadJournal!I$1),0)*($K948+$L948)/(SUMIF($A:$A,$A948,$K:$K)+SUMIF($A:$A,$A948,$L:$L)),0)</f>
        <v>-3.6707179487179489</v>
      </c>
      <c r="N948" s="30">
        <f>IFERROR((VLOOKUP($A948,HeadJournal!$A$1:$K$890,COLUMN(HeadJournal!K$1),0)-VLOOKUP($A948,HeadJournal!$A$1:$K$890,COLUMN(HeadJournal!J$1),0))*($K948+$L948)/(SUMIF($A:$A,$A948,$K:$K)+SUMIF($A:$A,$A948,$L:$L)),0)</f>
        <v>0</v>
      </c>
      <c r="O948" s="30">
        <f>IFERROR((VLOOKUP($A948,HeadJournal!$A$1:$L$890,COLUMN(HeadJournal!L$1),0)*($K948+$L948)/(SUMIF($A:$A,$A948,$K:$K)+SUMIF($A:$A,$A948,$L:$L)))/VLOOKUP($A948,HeadJournal!$A$1:$L$890,COLUMN(HeadJournal!H$1),0),0)</f>
        <v>8.0478153379953383</v>
      </c>
      <c r="P948" s="30">
        <f>IFERROR(SUM(K948:O948)*VLOOKUP($A948,HeadJournal!$A$1:$L$890,COLUMN(HeadJournal!H$1),0),0)</f>
        <v>2334.1598323076923</v>
      </c>
      <c r="Q948" s="29">
        <v>4400</v>
      </c>
      <c r="R948" s="31">
        <v>44988</v>
      </c>
      <c r="S948" s="31" t="s">
        <v>3121</v>
      </c>
      <c r="T948" s="95" t="str">
        <f t="shared" si="75"/>
        <v>2023 03</v>
      </c>
      <c r="U948" s="32">
        <f t="shared" si="72"/>
        <v>2065.8401676923077</v>
      </c>
      <c r="V948" s="22">
        <f t="shared" si="73"/>
        <v>0.88504657611638038</v>
      </c>
      <c r="X948" s="33"/>
      <c r="Y948" s="33"/>
    </row>
    <row r="949" spans="1:25" x14ac:dyDescent="0.2">
      <c r="A949" s="93" t="s">
        <v>426</v>
      </c>
      <c r="B949" s="94" t="str">
        <f>IFERROR(VLOOKUP($A949,HeadJournal!$A$1:$NTR$890,COLUMN(HeadJournal!B$1),0),"")</f>
        <v>923020356-0</v>
      </c>
      <c r="C949" s="94" t="str">
        <f>IFERROR(VLOOKUP($A949,HeadJournal!$A$1:$NTR$890,COLUMN(HeadJournal!C$1),0),"")</f>
        <v>iHerb_AV CYG0792</v>
      </c>
      <c r="D949" s="125" t="str">
        <f>IFERROR(VLOOKUP($A949,HeadJournal!$A$1:$NTR$890,COLUMN(HeadJournal!D$1),0),"")</f>
        <v>Доставлен</v>
      </c>
      <c r="E949" s="95">
        <f>IFERROR(VLOOKUP($A949,HeadJournal!$A$1:$NTR$890,COLUMN(HeadJournal!G$1),0),"")</f>
        <v>44946</v>
      </c>
      <c r="F949" s="95" t="str">
        <f t="shared" si="74"/>
        <v>2023 01</v>
      </c>
      <c r="G949" s="96" t="s">
        <v>5</v>
      </c>
      <c r="H949" s="161" t="s">
        <v>2659</v>
      </c>
      <c r="I949" s="97" t="s">
        <v>2218</v>
      </c>
      <c r="J949" s="97" t="s">
        <v>2660</v>
      </c>
      <c r="K949" s="29">
        <v>6.77</v>
      </c>
      <c r="L949" s="29">
        <v>-0.68</v>
      </c>
      <c r="M949" s="30">
        <f>IFERROR(VLOOKUP($A949,HeadJournal!$A$1:$J$890,COLUMN(HeadJournal!I$1),0)*($K949+$L949)/(SUMIF($A:$A,$A949,$K:$K)+SUMIF($A:$A,$A949,$L:$L)),0)</f>
        <v>-0.86189457554397786</v>
      </c>
      <c r="N949" s="30">
        <f>IFERROR((VLOOKUP($A949,HeadJournal!$A$1:$K$890,COLUMN(HeadJournal!K$1),0)-VLOOKUP($A949,HeadJournal!$A$1:$K$890,COLUMN(HeadJournal!J$1),0))*($K949+$L949)/(SUMIF($A:$A,$A949,$K:$K)+SUMIF($A:$A,$A949,$L:$L)),0)</f>
        <v>0</v>
      </c>
      <c r="O949" s="30">
        <f>IFERROR((VLOOKUP($A949,HeadJournal!$A$1:$L$890,COLUMN(HeadJournal!L$1),0)*($K949+$L949)/(SUMIF($A:$A,$A949,$K:$K)+SUMIF($A:$A,$A949,$L:$L)))/VLOOKUP($A949,HeadJournal!$A$1:$L$890,COLUMN(HeadJournal!H$1),0),0)</f>
        <v>1.8896489683225144</v>
      </c>
      <c r="P949" s="30">
        <f>IFERROR(SUM(K949:O949)*VLOOKUP($A949,HeadJournal!$A$1:$L$890,COLUMN(HeadJournal!H$1),0),0)</f>
        <v>548.0670882439473</v>
      </c>
      <c r="Q949" s="29">
        <v>1700</v>
      </c>
      <c r="R949" s="31">
        <v>45010</v>
      </c>
      <c r="S949" s="31" t="s">
        <v>3121</v>
      </c>
      <c r="T949" s="95" t="str">
        <f t="shared" si="75"/>
        <v>2023 03</v>
      </c>
      <c r="U949" s="32">
        <f t="shared" si="72"/>
        <v>1151.9329117560528</v>
      </c>
      <c r="V949" s="22">
        <f t="shared" si="73"/>
        <v>2.1018100456404745</v>
      </c>
      <c r="X949" s="33"/>
      <c r="Y949" s="33"/>
    </row>
    <row r="950" spans="1:25" x14ac:dyDescent="0.2">
      <c r="A950" s="93" t="s">
        <v>426</v>
      </c>
      <c r="B950" s="94" t="str">
        <f>IFERROR(VLOOKUP($A950,HeadJournal!$A$1:$NTR$890,COLUMN(HeadJournal!B$1),0),"")</f>
        <v>923020356-0</v>
      </c>
      <c r="C950" s="94" t="str">
        <f>IFERROR(VLOOKUP($A950,HeadJournal!$A$1:$NTR$890,COLUMN(HeadJournal!C$1),0),"")</f>
        <v>iHerb_AV CYG0792</v>
      </c>
      <c r="D950" s="125" t="str">
        <f>IFERROR(VLOOKUP($A950,HeadJournal!$A$1:$NTR$890,COLUMN(HeadJournal!D$1),0),"")</f>
        <v>Доставлен</v>
      </c>
      <c r="E950" s="95">
        <f>IFERROR(VLOOKUP($A950,HeadJournal!$A$1:$NTR$890,COLUMN(HeadJournal!G$1),0),"")</f>
        <v>44946</v>
      </c>
      <c r="F950" s="95" t="str">
        <f t="shared" si="74"/>
        <v>2023 01</v>
      </c>
      <c r="G950" s="96" t="s">
        <v>6</v>
      </c>
      <c r="H950" s="160" t="str">
        <f>RIGHT(Journal!$J950,9)</f>
        <v>NRX-00741</v>
      </c>
      <c r="I950" s="96" t="str">
        <f t="shared" si="71"/>
        <v>Nutrex Research</v>
      </c>
      <c r="J950" s="97" t="s">
        <v>168</v>
      </c>
      <c r="K950" s="29">
        <v>12.86</v>
      </c>
      <c r="L950" s="29">
        <v>-2.57</v>
      </c>
      <c r="M950" s="30">
        <f>IFERROR(VLOOKUP($A950,HeadJournal!$A$1:$J$890,COLUMN(HeadJournal!I$1),0)*($K950+$L950)/(SUMIF($A:$A,$A950,$K:$K)+SUMIF($A:$A,$A950,$L:$L)),0)</f>
        <v>-1.456304627643273</v>
      </c>
      <c r="N950" s="30">
        <f>IFERROR((VLOOKUP($A950,HeadJournal!$A$1:$K$890,COLUMN(HeadJournal!K$1),0)-VLOOKUP($A950,HeadJournal!$A$1:$K$890,COLUMN(HeadJournal!J$1),0))*($K950+$L950)/(SUMIF($A:$A,$A950,$K:$K)+SUMIF($A:$A,$A950,$L:$L)),0)</f>
        <v>0</v>
      </c>
      <c r="O950" s="30">
        <f>IFERROR((VLOOKUP($A950,HeadJournal!$A$1:$L$890,COLUMN(HeadJournal!L$1),0)*($K950+$L950)/(SUMIF($A:$A,$A950,$K:$K)+SUMIF($A:$A,$A950,$L:$L)))/VLOOKUP($A950,HeadJournal!$A$1:$L$890,COLUMN(HeadJournal!H$1),0),0)</f>
        <v>3.1928551533725238</v>
      </c>
      <c r="P950" s="30">
        <f>IFERROR(SUM(K950:O950)*VLOOKUP($A950,HeadJournal!$A$1:$L$890,COLUMN(HeadJournal!H$1),0),0)</f>
        <v>926.04439048115216</v>
      </c>
      <c r="Q950" s="29">
        <v>2000</v>
      </c>
      <c r="R950" s="31">
        <v>45035</v>
      </c>
      <c r="S950" s="31" t="s">
        <v>3121</v>
      </c>
      <c r="T950" s="95" t="str">
        <f t="shared" si="75"/>
        <v>2023 04</v>
      </c>
      <c r="U950" s="32">
        <f t="shared" si="72"/>
        <v>1073.9556095188477</v>
      </c>
      <c r="V950" s="22">
        <f t="shared" si="73"/>
        <v>1.1597236812382656</v>
      </c>
      <c r="X950" s="33"/>
      <c r="Y950" s="33"/>
    </row>
    <row r="951" spans="1:25" x14ac:dyDescent="0.2">
      <c r="A951" s="93" t="s">
        <v>426</v>
      </c>
      <c r="B951" s="94" t="str">
        <f>IFERROR(VLOOKUP($A951,HeadJournal!$A$1:$NTR$890,COLUMN(HeadJournal!B$1),0),"")</f>
        <v>923020356-0</v>
      </c>
      <c r="C951" s="94" t="str">
        <f>IFERROR(VLOOKUP($A951,HeadJournal!$A$1:$NTR$890,COLUMN(HeadJournal!C$1),0),"")</f>
        <v>iHerb_AV CYG0792</v>
      </c>
      <c r="D951" s="125" t="str">
        <f>IFERROR(VLOOKUP($A951,HeadJournal!$A$1:$NTR$890,COLUMN(HeadJournal!D$1),0),"")</f>
        <v>Доставлен</v>
      </c>
      <c r="E951" s="95">
        <f>IFERROR(VLOOKUP($A951,HeadJournal!$A$1:$NTR$890,COLUMN(HeadJournal!G$1),0),"")</f>
        <v>44946</v>
      </c>
      <c r="F951" s="95" t="str">
        <f t="shared" si="74"/>
        <v>2023 01</v>
      </c>
      <c r="G951" s="96" t="s">
        <v>5</v>
      </c>
      <c r="H951" s="160" t="str">
        <f>RIGHT(Journal!$J951,9)</f>
        <v>NWY-13369</v>
      </c>
      <c r="I951" s="96" t="str">
        <f t="shared" si="71"/>
        <v>Nature's Way</v>
      </c>
      <c r="J951" s="97" t="s">
        <v>427</v>
      </c>
      <c r="K951" s="29">
        <v>12.8</v>
      </c>
      <c r="L951" s="29">
        <v>-1.28</v>
      </c>
      <c r="M951" s="30">
        <f>IFERROR(VLOOKUP($A951,HeadJournal!$A$1:$J$890,COLUMN(HeadJournal!I$1),0)*($K951+$L951)/(SUMIF($A:$A,$A951,$K:$K)+SUMIF($A:$A,$A951,$L:$L)),0)</f>
        <v>-1.630381857186638</v>
      </c>
      <c r="N951" s="30">
        <f>IFERROR((VLOOKUP($A951,HeadJournal!$A$1:$K$890,COLUMN(HeadJournal!K$1),0)-VLOOKUP($A951,HeadJournal!$A$1:$K$890,COLUMN(HeadJournal!J$1),0))*($K951+$L951)/(SUMIF($A:$A,$A951,$K:$K)+SUMIF($A:$A,$A951,$L:$L)),0)</f>
        <v>0</v>
      </c>
      <c r="O951" s="30">
        <f>IFERROR((VLOOKUP($A951,HeadJournal!$A$1:$L$890,COLUMN(HeadJournal!L$1),0)*($K951+$L951)/(SUMIF($A:$A,$A951,$K:$K)+SUMIF($A:$A,$A951,$L:$L)))/VLOOKUP($A951,HeadJournal!$A$1:$L$890,COLUMN(HeadJournal!H$1),0),0)</f>
        <v>3.574508393280027</v>
      </c>
      <c r="P951" s="30">
        <f>IFERROR(SUM(K951:O951)*VLOOKUP($A951,HeadJournal!$A$1:$L$890,COLUMN(HeadJournal!H$1),0),0)</f>
        <v>1036.7377432791911</v>
      </c>
      <c r="Q951" s="29">
        <v>1900</v>
      </c>
      <c r="R951" s="31">
        <v>44990</v>
      </c>
      <c r="S951" s="31" t="s">
        <v>3121</v>
      </c>
      <c r="T951" s="95" t="str">
        <f t="shared" si="75"/>
        <v>2023 03</v>
      </c>
      <c r="U951" s="32">
        <f t="shared" si="72"/>
        <v>863.26225672080886</v>
      </c>
      <c r="V951" s="22">
        <f t="shared" si="73"/>
        <v>0.83267177482158505</v>
      </c>
      <c r="X951" s="33"/>
      <c r="Y951" s="33"/>
    </row>
    <row r="952" spans="1:25" x14ac:dyDescent="0.2">
      <c r="A952" s="93" t="s">
        <v>426</v>
      </c>
      <c r="B952" s="94" t="str">
        <f>IFERROR(VLOOKUP($A952,HeadJournal!$A$1:$NTR$890,COLUMN(HeadJournal!B$1),0),"")</f>
        <v>923020356-0</v>
      </c>
      <c r="C952" s="94" t="str">
        <f>IFERROR(VLOOKUP($A952,HeadJournal!$A$1:$NTR$890,COLUMN(HeadJournal!C$1),0),"")</f>
        <v>iHerb_AV CYG0792</v>
      </c>
      <c r="D952" s="125" t="str">
        <f>IFERROR(VLOOKUP($A952,HeadJournal!$A$1:$NTR$890,COLUMN(HeadJournal!D$1),0),"")</f>
        <v>Доставлен</v>
      </c>
      <c r="E952" s="95">
        <f>IFERROR(VLOOKUP($A952,HeadJournal!$A$1:$NTR$890,COLUMN(HeadJournal!G$1),0),"")</f>
        <v>44946</v>
      </c>
      <c r="F952" s="95" t="str">
        <f t="shared" si="74"/>
        <v>2023 01</v>
      </c>
      <c r="G952" s="96" t="s">
        <v>5</v>
      </c>
      <c r="H952" s="161" t="s">
        <v>2471</v>
      </c>
      <c r="I952" s="97" t="s">
        <v>2039</v>
      </c>
      <c r="J952" s="97" t="s">
        <v>2472</v>
      </c>
      <c r="K952" s="29">
        <v>18.38</v>
      </c>
      <c r="L952" s="29">
        <v>-1.84</v>
      </c>
      <c r="M952" s="30">
        <f>IFERROR(VLOOKUP($A952,HeadJournal!$A$1:$J$890,COLUMN(HeadJournal!I$1),0)*($K952+$L952)/(SUMIF($A:$A,$A952,$K:$K)+SUMIF($A:$A,$A952,$L:$L)),0)</f>
        <v>-2.3408433956481765</v>
      </c>
      <c r="N952" s="30">
        <f>IFERROR((VLOOKUP($A952,HeadJournal!$A$1:$K$890,COLUMN(HeadJournal!K$1),0)-VLOOKUP($A952,HeadJournal!$A$1:$K$890,COLUMN(HeadJournal!J$1),0))*($K952+$L952)/(SUMIF($A:$A,$A952,$K:$K)+SUMIF($A:$A,$A952,$L:$L)),0)</f>
        <v>0</v>
      </c>
      <c r="O952" s="30">
        <f>IFERROR((VLOOKUP($A952,HeadJournal!$A$1:$L$890,COLUMN(HeadJournal!L$1),0)*($K952+$L952)/(SUMIF($A:$A,$A952,$K:$K)+SUMIF($A:$A,$A952,$L:$L)))/VLOOKUP($A952,HeadJournal!$A$1:$L$890,COLUMN(HeadJournal!H$1),0),0)</f>
        <v>5.1321500716017052</v>
      </c>
      <c r="P952" s="30">
        <f>IFERROR(SUM(K952:O952)*VLOOKUP($A952,HeadJournal!$A$1:$L$890,COLUMN(HeadJournal!H$1),0),0)</f>
        <v>1488.5106140484215</v>
      </c>
      <c r="Q952" s="102">
        <v>2900</v>
      </c>
      <c r="R952" s="103">
        <v>45010</v>
      </c>
      <c r="S952" s="31" t="s">
        <v>3121</v>
      </c>
      <c r="T952" s="95" t="str">
        <f t="shared" si="75"/>
        <v>2023 03</v>
      </c>
      <c r="U952" s="32">
        <f t="shared" si="72"/>
        <v>1411.4893859515785</v>
      </c>
      <c r="V952" s="22">
        <f t="shared" si="73"/>
        <v>0.94825617810855767</v>
      </c>
      <c r="X952" s="33"/>
      <c r="Y952" s="33"/>
    </row>
    <row r="953" spans="1:25" x14ac:dyDescent="0.2">
      <c r="A953" s="93" t="s">
        <v>426</v>
      </c>
      <c r="B953" s="94" t="str">
        <f>IFERROR(VLOOKUP($A953,HeadJournal!$A$1:$NTR$890,COLUMN(HeadJournal!B$1),0),"")</f>
        <v>923020356-0</v>
      </c>
      <c r="C953" s="94" t="str">
        <f>IFERROR(VLOOKUP($A953,HeadJournal!$A$1:$NTR$890,COLUMN(HeadJournal!C$1),0),"")</f>
        <v>iHerb_AV CYG0792</v>
      </c>
      <c r="D953" s="125" t="str">
        <f>IFERROR(VLOOKUP($A953,HeadJournal!$A$1:$NTR$890,COLUMN(HeadJournal!D$1),0),"")</f>
        <v>Доставлен</v>
      </c>
      <c r="E953" s="95">
        <f>IFERROR(VLOOKUP($A953,HeadJournal!$A$1:$NTR$890,COLUMN(HeadJournal!G$1),0),"")</f>
        <v>44946</v>
      </c>
      <c r="F953" s="95" t="str">
        <f t="shared" si="74"/>
        <v>2023 01</v>
      </c>
      <c r="G953" s="96" t="s">
        <v>6</v>
      </c>
      <c r="H953" s="160" t="str">
        <f>RIGHT(Journal!$J953,9)</f>
        <v>CGN-01058</v>
      </c>
      <c r="I953" s="96" t="str">
        <f t="shared" si="71"/>
        <v>California Gold Nutrition</v>
      </c>
      <c r="J953" s="97" t="s">
        <v>398</v>
      </c>
      <c r="K953" s="29">
        <v>24</v>
      </c>
      <c r="L953" s="29">
        <v>-7.2</v>
      </c>
      <c r="M953" s="30">
        <f>IFERROR(VLOOKUP($A953,HeadJournal!$A$1:$J$890,COLUMN(HeadJournal!I$1),0)*($K953+$L953)/(SUMIF($A:$A,$A953,$K:$K)+SUMIF($A:$A,$A953,$L:$L)),0)</f>
        <v>-2.3776402083971808</v>
      </c>
      <c r="N953" s="30">
        <f>IFERROR((VLOOKUP($A953,HeadJournal!$A$1:$K$890,COLUMN(HeadJournal!K$1),0)-VLOOKUP($A953,HeadJournal!$A$1:$K$890,COLUMN(HeadJournal!J$1),0))*($K953+$L953)/(SUMIF($A:$A,$A953,$K:$K)+SUMIF($A:$A,$A953,$L:$L)),0)</f>
        <v>0</v>
      </c>
      <c r="O953" s="30">
        <f>IFERROR((VLOOKUP($A953,HeadJournal!$A$1:$L$890,COLUMN(HeadJournal!L$1),0)*($K953+$L953)/(SUMIF($A:$A,$A953,$K:$K)+SUMIF($A:$A,$A953,$L:$L)))/VLOOKUP($A953,HeadJournal!$A$1:$L$890,COLUMN(HeadJournal!H$1),0),0)</f>
        <v>5.2128247402000385</v>
      </c>
      <c r="P953" s="30">
        <f>IFERROR(SUM(K953:O953)*VLOOKUP($A953,HeadJournal!$A$1:$L$890,COLUMN(HeadJournal!H$1),0),0)</f>
        <v>1511.9092089488199</v>
      </c>
      <c r="Q953" s="29">
        <v>2800</v>
      </c>
      <c r="R953" s="31">
        <v>45021</v>
      </c>
      <c r="S953" s="31" t="s">
        <v>3121</v>
      </c>
      <c r="T953" s="95" t="str">
        <f t="shared" si="75"/>
        <v>2023 04</v>
      </c>
      <c r="U953" s="32">
        <f t="shared" si="72"/>
        <v>1288.0907910511801</v>
      </c>
      <c r="V953" s="22">
        <f t="shared" si="73"/>
        <v>0.85196305666181282</v>
      </c>
      <c r="X953" s="33"/>
      <c r="Y953" s="33"/>
    </row>
    <row r="954" spans="1:25" x14ac:dyDescent="0.2">
      <c r="A954" s="93" t="s">
        <v>426</v>
      </c>
      <c r="B954" s="94" t="str">
        <f>IFERROR(VLOOKUP($A954,HeadJournal!$A$1:$NTR$890,COLUMN(HeadJournal!B$1),0),"")</f>
        <v>923020356-0</v>
      </c>
      <c r="C954" s="94" t="str">
        <f>IFERROR(VLOOKUP($A954,HeadJournal!$A$1:$NTR$890,COLUMN(HeadJournal!C$1),0),"")</f>
        <v>iHerb_AV CYG0792</v>
      </c>
      <c r="D954" s="125" t="str">
        <f>IFERROR(VLOOKUP($A954,HeadJournal!$A$1:$NTR$890,COLUMN(HeadJournal!D$1),0),"")</f>
        <v>Доставлен</v>
      </c>
      <c r="E954" s="95">
        <f>IFERROR(VLOOKUP($A954,HeadJournal!$A$1:$NTR$890,COLUMN(HeadJournal!G$1),0),"")</f>
        <v>44946</v>
      </c>
      <c r="F954" s="95" t="str">
        <f t="shared" si="74"/>
        <v>2023 01</v>
      </c>
      <c r="G954" s="96" t="s">
        <v>5</v>
      </c>
      <c r="H954" s="160" t="str">
        <f>RIGHT(Journal!$J954,9)</f>
        <v>SWV-11075</v>
      </c>
      <c r="I954" s="96" t="str">
        <f t="shared" si="71"/>
        <v>Swanson</v>
      </c>
      <c r="J954" s="97" t="s">
        <v>428</v>
      </c>
      <c r="K954" s="29">
        <v>10.29</v>
      </c>
      <c r="L954" s="29">
        <v>-2.06</v>
      </c>
      <c r="M954" s="30">
        <f>IFERROR(VLOOKUP($A954,HeadJournal!$A$1:$J$890,COLUMN(HeadJournal!I$1),0)*($K954+$L954)/(SUMIF($A:$A,$A954,$K:$K)+SUMIF($A:$A,$A954,$L:$L)),0)</f>
        <v>-1.1647606497088567</v>
      </c>
      <c r="N954" s="30">
        <f>IFERROR((VLOOKUP($A954,HeadJournal!$A$1:$K$890,COLUMN(HeadJournal!K$1),0)-VLOOKUP($A954,HeadJournal!$A$1:$K$890,COLUMN(HeadJournal!J$1),0))*($K954+$L954)/(SUMIF($A:$A,$A954,$K:$K)+SUMIF($A:$A,$A954,$L:$L)),0)</f>
        <v>0</v>
      </c>
      <c r="O954" s="30">
        <f>IFERROR((VLOOKUP($A954,HeadJournal!$A$1:$L$890,COLUMN(HeadJournal!L$1),0)*($K954+$L954)/(SUMIF($A:$A,$A954,$K:$K)+SUMIF($A:$A,$A954,$L:$L)))/VLOOKUP($A954,HeadJournal!$A$1:$L$890,COLUMN(HeadJournal!H$1),0),0)</f>
        <v>2.5536635483241854</v>
      </c>
      <c r="P954" s="30">
        <f>IFERROR(SUM(K954:O954)*VLOOKUP($A954,HeadJournal!$A$1:$L$890,COLUMN(HeadJournal!H$1),0),0)</f>
        <v>740.6555231933803</v>
      </c>
      <c r="Q954" s="29">
        <v>1800</v>
      </c>
      <c r="R954" s="31">
        <v>45012</v>
      </c>
      <c r="S954" s="31" t="s">
        <v>3121</v>
      </c>
      <c r="T954" s="95" t="str">
        <f t="shared" si="75"/>
        <v>2023 03</v>
      </c>
      <c r="U954" s="32">
        <f t="shared" si="72"/>
        <v>1059.3444768066197</v>
      </c>
      <c r="V954" s="22">
        <f t="shared" si="73"/>
        <v>1.4302795883289887</v>
      </c>
      <c r="X954" s="33"/>
      <c r="Y954" s="33"/>
    </row>
    <row r="955" spans="1:25" x14ac:dyDescent="0.2">
      <c r="A955" s="93" t="s">
        <v>429</v>
      </c>
      <c r="B955" s="94">
        <f>IFERROR(VLOOKUP($A955,HeadJournal!$A$1:$NTR$890,COLUMN(HeadJournal!B$1),0),"")</f>
        <v>0</v>
      </c>
      <c r="C955" s="94" t="str">
        <f>IFERROR(VLOOKUP($A955,HeadJournal!$A$1:$NTR$890,COLUMN(HeadJournal!C$1),0),"")</f>
        <v>CoralClub_AV</v>
      </c>
      <c r="D955" s="125" t="str">
        <f>IFERROR(VLOOKUP($A955,HeadJournal!$A$1:$NTR$890,COLUMN(HeadJournal!D$1),0),"")</f>
        <v>Доставлен</v>
      </c>
      <c r="E955" s="95">
        <f>IFERROR(VLOOKUP($A955,HeadJournal!$A$1:$NTR$890,COLUMN(HeadJournal!G$1),0),"")</f>
        <v>44966</v>
      </c>
      <c r="F955" s="95" t="str">
        <f t="shared" si="74"/>
        <v>2023 02</v>
      </c>
      <c r="G955" s="96" t="s">
        <v>5</v>
      </c>
      <c r="H955" s="160" t="str">
        <f>RIGHT(Journal!$J955,9)</f>
        <v>000091865</v>
      </c>
      <c r="I955" s="96" t="str">
        <f t="shared" si="71"/>
        <v>CoralClub</v>
      </c>
      <c r="J955" s="97" t="s">
        <v>250</v>
      </c>
      <c r="K955" s="29">
        <v>1024</v>
      </c>
      <c r="L955" s="29"/>
      <c r="M955" s="30">
        <f>IFERROR(VLOOKUP($A955,HeadJournal!$A$1:$J$890,COLUMN(HeadJournal!I$1),0)*($K955+$L955)/(SUMIF($A:$A,$A955,$K:$K)+SUMIF($A:$A,$A955,$L:$L)),0)</f>
        <v>0</v>
      </c>
      <c r="N955" s="30">
        <f>IFERROR((VLOOKUP($A955,HeadJournal!$A$1:$K$890,COLUMN(HeadJournal!K$1),0)-VLOOKUP($A955,HeadJournal!$A$1:$K$890,COLUMN(HeadJournal!J$1),0))*($K955+$L955)/(SUMIF($A:$A,$A955,$K:$K)+SUMIF($A:$A,$A955,$L:$L)),0)</f>
        <v>1.5102040816325788</v>
      </c>
      <c r="O955" s="30">
        <f>IFERROR((VLOOKUP($A955,HeadJournal!$A$1:$L$890,COLUMN(HeadJournal!L$1),0)*($K955+$L955)/(SUMIF($A:$A,$A955,$K:$K)+SUMIF($A:$A,$A955,$L:$L)))/VLOOKUP($A955,HeadJournal!$A$1:$L$890,COLUMN(HeadJournal!H$1),0),0)</f>
        <v>0</v>
      </c>
      <c r="P955" s="30">
        <f>IFERROR(SUM(K955:O955)*VLOOKUP($A955,HeadJournal!$A$1:$L$890,COLUMN(HeadJournal!H$1),0),0)</f>
        <v>1025.5102040816325</v>
      </c>
      <c r="Q955" s="29">
        <v>1400</v>
      </c>
      <c r="R955" s="31">
        <v>44966</v>
      </c>
      <c r="S955" s="31" t="s">
        <v>3121</v>
      </c>
      <c r="T955" s="95" t="str">
        <f t="shared" si="75"/>
        <v>2023 02</v>
      </c>
      <c r="U955" s="32">
        <f t="shared" si="72"/>
        <v>374.48979591836746</v>
      </c>
      <c r="V955" s="22">
        <f t="shared" si="73"/>
        <v>0.36517412935323401</v>
      </c>
      <c r="X955" s="33"/>
      <c r="Y955" s="33"/>
    </row>
    <row r="956" spans="1:25" x14ac:dyDescent="0.2">
      <c r="A956" s="93" t="s">
        <v>429</v>
      </c>
      <c r="B956" s="94">
        <f>IFERROR(VLOOKUP($A956,HeadJournal!$A$1:$NTR$890,COLUMN(HeadJournal!B$1),0),"")</f>
        <v>0</v>
      </c>
      <c r="C956" s="94" t="str">
        <f>IFERROR(VLOOKUP($A956,HeadJournal!$A$1:$NTR$890,COLUMN(HeadJournal!C$1),0),"")</f>
        <v>CoralClub_AV</v>
      </c>
      <c r="D956" s="125" t="str">
        <f>IFERROR(VLOOKUP($A956,HeadJournal!$A$1:$NTR$890,COLUMN(HeadJournal!D$1),0),"")</f>
        <v>Доставлен</v>
      </c>
      <c r="E956" s="95">
        <f>IFERROR(VLOOKUP($A956,HeadJournal!$A$1:$NTR$890,COLUMN(HeadJournal!G$1),0),"")</f>
        <v>44966</v>
      </c>
      <c r="F956" s="95" t="str">
        <f t="shared" si="74"/>
        <v>2023 02</v>
      </c>
      <c r="G956" s="96" t="s">
        <v>5</v>
      </c>
      <c r="H956" s="160" t="str">
        <f>RIGHT(Journal!$J956,9)</f>
        <v>000091865</v>
      </c>
      <c r="I956" s="96" t="str">
        <f t="shared" si="71"/>
        <v>CoralClub</v>
      </c>
      <c r="J956" s="97" t="s">
        <v>250</v>
      </c>
      <c r="K956" s="29">
        <v>1024</v>
      </c>
      <c r="L956" s="29"/>
      <c r="M956" s="30">
        <f>IFERROR(VLOOKUP($A956,HeadJournal!$A$1:$J$890,COLUMN(HeadJournal!I$1),0)*($K956+$L956)/(SUMIF($A:$A,$A956,$K:$K)+SUMIF($A:$A,$A956,$L:$L)),0)</f>
        <v>0</v>
      </c>
      <c r="N956" s="30">
        <f>IFERROR((VLOOKUP($A956,HeadJournal!$A$1:$K$890,COLUMN(HeadJournal!K$1),0)-VLOOKUP($A956,HeadJournal!$A$1:$K$890,COLUMN(HeadJournal!J$1),0))*($K956+$L956)/(SUMIF($A:$A,$A956,$K:$K)+SUMIF($A:$A,$A956,$L:$L)),0)</f>
        <v>1.5102040816325788</v>
      </c>
      <c r="O956" s="30">
        <f>IFERROR((VLOOKUP($A956,HeadJournal!$A$1:$L$890,COLUMN(HeadJournal!L$1),0)*($K956+$L956)/(SUMIF($A:$A,$A956,$K:$K)+SUMIF($A:$A,$A956,$L:$L)))/VLOOKUP($A956,HeadJournal!$A$1:$L$890,COLUMN(HeadJournal!H$1),0),0)</f>
        <v>0</v>
      </c>
      <c r="P956" s="30">
        <f>IFERROR(SUM(K956:O956)*VLOOKUP($A956,HeadJournal!$A$1:$L$890,COLUMN(HeadJournal!H$1),0),0)</f>
        <v>1025.5102040816325</v>
      </c>
      <c r="Q956" s="29">
        <v>1400</v>
      </c>
      <c r="R956" s="31">
        <v>44966</v>
      </c>
      <c r="S956" s="31" t="s">
        <v>3121</v>
      </c>
      <c r="T956" s="95" t="str">
        <f t="shared" si="75"/>
        <v>2023 02</v>
      </c>
      <c r="U956" s="32">
        <f t="shared" si="72"/>
        <v>374.48979591836746</v>
      </c>
      <c r="V956" s="22">
        <f t="shared" si="73"/>
        <v>0.36517412935323401</v>
      </c>
      <c r="X956" s="33"/>
      <c r="Y956" s="33"/>
    </row>
    <row r="957" spans="1:25" x14ac:dyDescent="0.2">
      <c r="A957" s="93" t="s">
        <v>429</v>
      </c>
      <c r="B957" s="94">
        <f>IFERROR(VLOOKUP($A957,HeadJournal!$A$1:$NTR$890,COLUMN(HeadJournal!B$1),0),"")</f>
        <v>0</v>
      </c>
      <c r="C957" s="94" t="str">
        <f>IFERROR(VLOOKUP($A957,HeadJournal!$A$1:$NTR$890,COLUMN(HeadJournal!C$1),0),"")</f>
        <v>CoralClub_AV</v>
      </c>
      <c r="D957" s="125" t="str">
        <f>IFERROR(VLOOKUP($A957,HeadJournal!$A$1:$NTR$890,COLUMN(HeadJournal!D$1),0),"")</f>
        <v>Доставлен</v>
      </c>
      <c r="E957" s="95">
        <f>IFERROR(VLOOKUP($A957,HeadJournal!$A$1:$NTR$890,COLUMN(HeadJournal!G$1),0),"")</f>
        <v>44966</v>
      </c>
      <c r="F957" s="95" t="str">
        <f t="shared" si="74"/>
        <v>2023 02</v>
      </c>
      <c r="G957" s="96" t="s">
        <v>5</v>
      </c>
      <c r="H957" s="160" t="str">
        <f>RIGHT(Journal!$J957,9)</f>
        <v>000091865</v>
      </c>
      <c r="I957" s="96" t="str">
        <f t="shared" si="71"/>
        <v>CoralClub</v>
      </c>
      <c r="J957" s="97" t="s">
        <v>250</v>
      </c>
      <c r="K957" s="29">
        <v>1024</v>
      </c>
      <c r="L957" s="29"/>
      <c r="M957" s="30">
        <f>IFERROR(VLOOKUP($A957,HeadJournal!$A$1:$J$890,COLUMN(HeadJournal!I$1),0)*($K957+$L957)/(SUMIF($A:$A,$A957,$K:$K)+SUMIF($A:$A,$A957,$L:$L)),0)</f>
        <v>0</v>
      </c>
      <c r="N957" s="30">
        <f>IFERROR((VLOOKUP($A957,HeadJournal!$A$1:$K$890,COLUMN(HeadJournal!K$1),0)-VLOOKUP($A957,HeadJournal!$A$1:$K$890,COLUMN(HeadJournal!J$1),0))*($K957+$L957)/(SUMIF($A:$A,$A957,$K:$K)+SUMIF($A:$A,$A957,$L:$L)),0)</f>
        <v>1.5102040816325788</v>
      </c>
      <c r="O957" s="30">
        <f>IFERROR((VLOOKUP($A957,HeadJournal!$A$1:$L$890,COLUMN(HeadJournal!L$1),0)*($K957+$L957)/(SUMIF($A:$A,$A957,$K:$K)+SUMIF($A:$A,$A957,$L:$L)))/VLOOKUP($A957,HeadJournal!$A$1:$L$890,COLUMN(HeadJournal!H$1),0),0)</f>
        <v>0</v>
      </c>
      <c r="P957" s="30">
        <f>IFERROR(SUM(K957:O957)*VLOOKUP($A957,HeadJournal!$A$1:$L$890,COLUMN(HeadJournal!H$1),0),0)</f>
        <v>1025.5102040816325</v>
      </c>
      <c r="Q957" s="29">
        <v>1400</v>
      </c>
      <c r="R957" s="31">
        <v>45014</v>
      </c>
      <c r="S957" s="31" t="s">
        <v>3121</v>
      </c>
      <c r="T957" s="95" t="str">
        <f t="shared" si="75"/>
        <v>2023 03</v>
      </c>
      <c r="U957" s="32">
        <f t="shared" si="72"/>
        <v>374.48979591836746</v>
      </c>
      <c r="V957" s="22">
        <f t="shared" si="73"/>
        <v>0.36517412935323401</v>
      </c>
      <c r="X957" s="33"/>
      <c r="Y957" s="33"/>
    </row>
    <row r="958" spans="1:25" x14ac:dyDescent="0.2">
      <c r="A958" s="93" t="s">
        <v>429</v>
      </c>
      <c r="B958" s="94">
        <f>IFERROR(VLOOKUP($A958,HeadJournal!$A$1:$NTR$890,COLUMN(HeadJournal!B$1),0),"")</f>
        <v>0</v>
      </c>
      <c r="C958" s="94" t="str">
        <f>IFERROR(VLOOKUP($A958,HeadJournal!$A$1:$NTR$890,COLUMN(HeadJournal!C$1),0),"")</f>
        <v>CoralClub_AV</v>
      </c>
      <c r="D958" s="125" t="str">
        <f>IFERROR(VLOOKUP($A958,HeadJournal!$A$1:$NTR$890,COLUMN(HeadJournal!D$1),0),"")</f>
        <v>Доставлен</v>
      </c>
      <c r="E958" s="95">
        <f>IFERROR(VLOOKUP($A958,HeadJournal!$A$1:$NTR$890,COLUMN(HeadJournal!G$1),0),"")</f>
        <v>44966</v>
      </c>
      <c r="F958" s="95" t="str">
        <f t="shared" si="74"/>
        <v>2023 02</v>
      </c>
      <c r="G958" s="96" t="s">
        <v>5</v>
      </c>
      <c r="H958" s="160" t="str">
        <f>RIGHT(Journal!$J958,9)</f>
        <v>000091865</v>
      </c>
      <c r="I958" s="96" t="str">
        <f t="shared" si="71"/>
        <v>CoralClub</v>
      </c>
      <c r="J958" s="97" t="s">
        <v>250</v>
      </c>
      <c r="K958" s="29">
        <v>1024</v>
      </c>
      <c r="L958" s="29"/>
      <c r="M958" s="30">
        <f>IFERROR(VLOOKUP($A958,HeadJournal!$A$1:$J$890,COLUMN(HeadJournal!I$1),0)*($K958+$L958)/(SUMIF($A:$A,$A958,$K:$K)+SUMIF($A:$A,$A958,$L:$L)),0)</f>
        <v>0</v>
      </c>
      <c r="N958" s="30">
        <f>IFERROR((VLOOKUP($A958,HeadJournal!$A$1:$K$890,COLUMN(HeadJournal!K$1),0)-VLOOKUP($A958,HeadJournal!$A$1:$K$890,COLUMN(HeadJournal!J$1),0))*($K958+$L958)/(SUMIF($A:$A,$A958,$K:$K)+SUMIF($A:$A,$A958,$L:$L)),0)</f>
        <v>1.5102040816325788</v>
      </c>
      <c r="O958" s="30">
        <f>IFERROR((VLOOKUP($A958,HeadJournal!$A$1:$L$890,COLUMN(HeadJournal!L$1),0)*($K958+$L958)/(SUMIF($A:$A,$A958,$K:$K)+SUMIF($A:$A,$A958,$L:$L)))/VLOOKUP($A958,HeadJournal!$A$1:$L$890,COLUMN(HeadJournal!H$1),0),0)</f>
        <v>0</v>
      </c>
      <c r="P958" s="30">
        <f>IFERROR(SUM(K958:O958)*VLOOKUP($A958,HeadJournal!$A$1:$L$890,COLUMN(HeadJournal!H$1),0),0)</f>
        <v>1025.5102040816325</v>
      </c>
      <c r="Q958" s="29">
        <v>1025.51</v>
      </c>
      <c r="R958" s="31">
        <v>44966</v>
      </c>
      <c r="S958" s="31" t="s">
        <v>3121</v>
      </c>
      <c r="T958" s="95" t="str">
        <f t="shared" si="75"/>
        <v>2023 02</v>
      </c>
      <c r="U958" s="32">
        <f t="shared" si="72"/>
        <v>-2.0408163254614919E-4</v>
      </c>
      <c r="V958" s="22">
        <f t="shared" si="73"/>
        <v>-1.990049750201256E-7</v>
      </c>
      <c r="X958" s="33"/>
      <c r="Y958" s="33"/>
    </row>
    <row r="959" spans="1:25" x14ac:dyDescent="0.2">
      <c r="A959" s="93" t="s">
        <v>429</v>
      </c>
      <c r="B959" s="94">
        <f>IFERROR(VLOOKUP($A959,HeadJournal!$A$1:$NTR$890,COLUMN(HeadJournal!B$1),0),"")</f>
        <v>0</v>
      </c>
      <c r="C959" s="94" t="str">
        <f>IFERROR(VLOOKUP($A959,HeadJournal!$A$1:$NTR$890,COLUMN(HeadJournal!C$1),0),"")</f>
        <v>CoralClub_AV</v>
      </c>
      <c r="D959" s="125" t="str">
        <f>IFERROR(VLOOKUP($A959,HeadJournal!$A$1:$NTR$890,COLUMN(HeadJournal!D$1),0),"")</f>
        <v>Доставлен</v>
      </c>
      <c r="E959" s="95">
        <f>IFERROR(VLOOKUP($A959,HeadJournal!$A$1:$NTR$890,COLUMN(HeadJournal!G$1),0),"")</f>
        <v>44966</v>
      </c>
      <c r="F959" s="95" t="str">
        <f t="shared" si="74"/>
        <v>2023 02</v>
      </c>
      <c r="G959" s="96" t="s">
        <v>5</v>
      </c>
      <c r="H959" s="160" t="str">
        <f>RIGHT(Journal!$J959,9)</f>
        <v>000002150</v>
      </c>
      <c r="I959" s="96" t="str">
        <f t="shared" si="71"/>
        <v>CoralClub</v>
      </c>
      <c r="J959" s="97" t="s">
        <v>307</v>
      </c>
      <c r="K959" s="29">
        <v>1280</v>
      </c>
      <c r="L959" s="29"/>
      <c r="M959" s="30">
        <f>IFERROR(VLOOKUP($A959,HeadJournal!$A$1:$J$890,COLUMN(HeadJournal!I$1),0)*($K959+$L959)/(SUMIF($A:$A,$A959,$K:$K)+SUMIF($A:$A,$A959,$L:$L)),0)</f>
        <v>0</v>
      </c>
      <c r="N959" s="30">
        <f>IFERROR((VLOOKUP($A959,HeadJournal!$A$1:$K$890,COLUMN(HeadJournal!K$1),0)-VLOOKUP($A959,HeadJournal!$A$1:$K$890,COLUMN(HeadJournal!J$1),0))*($K959+$L959)/(SUMIF($A:$A,$A959,$K:$K)+SUMIF($A:$A,$A959,$L:$L)),0)</f>
        <v>1.8877551020407233</v>
      </c>
      <c r="O959" s="30">
        <f>IFERROR((VLOOKUP($A959,HeadJournal!$A$1:$L$890,COLUMN(HeadJournal!L$1),0)*($K959+$L959)/(SUMIF($A:$A,$A959,$K:$K)+SUMIF($A:$A,$A959,$L:$L)))/VLOOKUP($A959,HeadJournal!$A$1:$L$890,COLUMN(HeadJournal!H$1),0),0)</f>
        <v>0</v>
      </c>
      <c r="P959" s="30">
        <f>IFERROR(SUM(K959:O959)*VLOOKUP($A959,HeadJournal!$A$1:$L$890,COLUMN(HeadJournal!H$1),0),0)</f>
        <v>1281.8877551020407</v>
      </c>
      <c r="Q959" s="29">
        <v>1600</v>
      </c>
      <c r="R959" s="31">
        <v>44966</v>
      </c>
      <c r="S959" s="31" t="s">
        <v>3121</v>
      </c>
      <c r="T959" s="95" t="str">
        <f t="shared" si="75"/>
        <v>2023 02</v>
      </c>
      <c r="U959" s="32">
        <f t="shared" si="72"/>
        <v>318.11224489795927</v>
      </c>
      <c r="V959" s="22">
        <f t="shared" si="73"/>
        <v>0.24815920398009958</v>
      </c>
      <c r="X959" s="33"/>
      <c r="Y959" s="33"/>
    </row>
    <row r="960" spans="1:25" x14ac:dyDescent="0.2">
      <c r="A960" s="93" t="s">
        <v>429</v>
      </c>
      <c r="B960" s="94">
        <f>IFERROR(VLOOKUP($A960,HeadJournal!$A$1:$NTR$890,COLUMN(HeadJournal!B$1),0),"")</f>
        <v>0</v>
      </c>
      <c r="C960" s="94" t="str">
        <f>IFERROR(VLOOKUP($A960,HeadJournal!$A$1:$NTR$890,COLUMN(HeadJournal!C$1),0),"")</f>
        <v>CoralClub_AV</v>
      </c>
      <c r="D960" s="125" t="str">
        <f>IFERROR(VLOOKUP($A960,HeadJournal!$A$1:$NTR$890,COLUMN(HeadJournal!D$1),0),"")</f>
        <v>Доставлен</v>
      </c>
      <c r="E960" s="95">
        <f>IFERROR(VLOOKUP($A960,HeadJournal!$A$1:$NTR$890,COLUMN(HeadJournal!G$1),0),"")</f>
        <v>44966</v>
      </c>
      <c r="F960" s="95" t="str">
        <f t="shared" si="74"/>
        <v>2023 02</v>
      </c>
      <c r="G960" s="96" t="s">
        <v>5</v>
      </c>
      <c r="H960" s="160" t="str">
        <f>RIGHT(Journal!$J960,9)</f>
        <v>000002150</v>
      </c>
      <c r="I960" s="96" t="str">
        <f t="shared" si="71"/>
        <v>CoralClub</v>
      </c>
      <c r="J960" s="97" t="s">
        <v>307</v>
      </c>
      <c r="K960" s="29">
        <v>1280</v>
      </c>
      <c r="L960" s="29"/>
      <c r="M960" s="30">
        <f>IFERROR(VLOOKUP($A960,HeadJournal!$A$1:$J$890,COLUMN(HeadJournal!I$1),0)*($K960+$L960)/(SUMIF($A:$A,$A960,$K:$K)+SUMIF($A:$A,$A960,$L:$L)),0)</f>
        <v>0</v>
      </c>
      <c r="N960" s="30">
        <f>IFERROR((VLOOKUP($A960,HeadJournal!$A$1:$K$890,COLUMN(HeadJournal!K$1),0)-VLOOKUP($A960,HeadJournal!$A$1:$K$890,COLUMN(HeadJournal!J$1),0))*($K960+$L960)/(SUMIF($A:$A,$A960,$K:$K)+SUMIF($A:$A,$A960,$L:$L)),0)</f>
        <v>1.8877551020407233</v>
      </c>
      <c r="O960" s="30">
        <f>IFERROR((VLOOKUP($A960,HeadJournal!$A$1:$L$890,COLUMN(HeadJournal!L$1),0)*($K960+$L960)/(SUMIF($A:$A,$A960,$K:$K)+SUMIF($A:$A,$A960,$L:$L)))/VLOOKUP($A960,HeadJournal!$A$1:$L$890,COLUMN(HeadJournal!H$1),0),0)</f>
        <v>0</v>
      </c>
      <c r="P960" s="30">
        <f>IFERROR(SUM(K960:O960)*VLOOKUP($A960,HeadJournal!$A$1:$L$890,COLUMN(HeadJournal!H$1),0),0)</f>
        <v>1281.8877551020407</v>
      </c>
      <c r="Q960" s="29">
        <v>1800</v>
      </c>
      <c r="R960" s="31">
        <v>44983</v>
      </c>
      <c r="S960" s="31" t="s">
        <v>3121</v>
      </c>
      <c r="T960" s="95" t="str">
        <f t="shared" si="75"/>
        <v>2023 02</v>
      </c>
      <c r="U960" s="32">
        <f t="shared" si="72"/>
        <v>518.11224489795927</v>
      </c>
      <c r="V960" s="22">
        <f t="shared" si="73"/>
        <v>0.40417910447761202</v>
      </c>
      <c r="X960" s="33"/>
      <c r="Y960" s="33"/>
    </row>
    <row r="961" spans="1:25" x14ac:dyDescent="0.2">
      <c r="A961" s="93" t="s">
        <v>429</v>
      </c>
      <c r="B961" s="94">
        <f>IFERROR(VLOOKUP($A961,HeadJournal!$A$1:$NTR$890,COLUMN(HeadJournal!B$1),0),"")</f>
        <v>0</v>
      </c>
      <c r="C961" s="94" t="str">
        <f>IFERROR(VLOOKUP($A961,HeadJournal!$A$1:$NTR$890,COLUMN(HeadJournal!C$1),0),"")</f>
        <v>CoralClub_AV</v>
      </c>
      <c r="D961" s="125" t="str">
        <f>IFERROR(VLOOKUP($A961,HeadJournal!$A$1:$NTR$890,COLUMN(HeadJournal!D$1),0),"")</f>
        <v>Доставлен</v>
      </c>
      <c r="E961" s="95">
        <f>IFERROR(VLOOKUP($A961,HeadJournal!$A$1:$NTR$890,COLUMN(HeadJournal!G$1),0),"")</f>
        <v>44966</v>
      </c>
      <c r="F961" s="95" t="str">
        <f t="shared" si="74"/>
        <v>2023 02</v>
      </c>
      <c r="G961" s="96" t="s">
        <v>5</v>
      </c>
      <c r="H961" s="160" t="str">
        <f>RIGHT(Journal!$J961,9)</f>
        <v>000002150</v>
      </c>
      <c r="I961" s="96" t="str">
        <f t="shared" si="71"/>
        <v>CoralClub</v>
      </c>
      <c r="J961" s="97" t="s">
        <v>307</v>
      </c>
      <c r="K961" s="29">
        <v>1280</v>
      </c>
      <c r="L961" s="29"/>
      <c r="M961" s="30">
        <f>IFERROR(VLOOKUP($A961,HeadJournal!$A$1:$J$890,COLUMN(HeadJournal!I$1),0)*($K961+$L961)/(SUMIF($A:$A,$A961,$K:$K)+SUMIF($A:$A,$A961,$L:$L)),0)</f>
        <v>0</v>
      </c>
      <c r="N961" s="30">
        <f>IFERROR((VLOOKUP($A961,HeadJournal!$A$1:$K$890,COLUMN(HeadJournal!K$1),0)-VLOOKUP($A961,HeadJournal!$A$1:$K$890,COLUMN(HeadJournal!J$1),0))*($K961+$L961)/(SUMIF($A:$A,$A961,$K:$K)+SUMIF($A:$A,$A961,$L:$L)),0)</f>
        <v>1.8877551020407233</v>
      </c>
      <c r="O961" s="30">
        <f>IFERROR((VLOOKUP($A961,HeadJournal!$A$1:$L$890,COLUMN(HeadJournal!L$1),0)*($K961+$L961)/(SUMIF($A:$A,$A961,$K:$K)+SUMIF($A:$A,$A961,$L:$L)))/VLOOKUP($A961,HeadJournal!$A$1:$L$890,COLUMN(HeadJournal!H$1),0),0)</f>
        <v>0</v>
      </c>
      <c r="P961" s="30">
        <f>IFERROR(SUM(K961:O961)*VLOOKUP($A961,HeadJournal!$A$1:$L$890,COLUMN(HeadJournal!H$1),0),0)</f>
        <v>1281.8877551020407</v>
      </c>
      <c r="Q961" s="29">
        <v>1800</v>
      </c>
      <c r="R961" s="31">
        <v>44998</v>
      </c>
      <c r="S961" s="31" t="s">
        <v>3121</v>
      </c>
      <c r="T961" s="95" t="str">
        <f t="shared" si="75"/>
        <v>2023 03</v>
      </c>
      <c r="U961" s="32">
        <f t="shared" si="72"/>
        <v>518.11224489795927</v>
      </c>
      <c r="V961" s="22">
        <f t="shared" si="73"/>
        <v>0.40417910447761202</v>
      </c>
      <c r="X961" s="33"/>
      <c r="Y961" s="33"/>
    </row>
    <row r="962" spans="1:25" x14ac:dyDescent="0.2">
      <c r="A962" s="93" t="s">
        <v>429</v>
      </c>
      <c r="B962" s="94">
        <f>IFERROR(VLOOKUP($A962,HeadJournal!$A$1:$NTR$890,COLUMN(HeadJournal!B$1),0),"")</f>
        <v>0</v>
      </c>
      <c r="C962" s="94" t="str">
        <f>IFERROR(VLOOKUP($A962,HeadJournal!$A$1:$NTR$890,COLUMN(HeadJournal!C$1),0),"")</f>
        <v>CoralClub_AV</v>
      </c>
      <c r="D962" s="125" t="str">
        <f>IFERROR(VLOOKUP($A962,HeadJournal!$A$1:$NTR$890,COLUMN(HeadJournal!D$1),0),"")</f>
        <v>Доставлен</v>
      </c>
      <c r="E962" s="95">
        <f>IFERROR(VLOOKUP($A962,HeadJournal!$A$1:$NTR$890,COLUMN(HeadJournal!G$1),0),"")</f>
        <v>44966</v>
      </c>
      <c r="F962" s="95" t="str">
        <f t="shared" si="74"/>
        <v>2023 02</v>
      </c>
      <c r="G962" s="96" t="s">
        <v>5</v>
      </c>
      <c r="H962" s="160" t="str">
        <f>RIGHT(Journal!$J962,9)</f>
        <v>000001405</v>
      </c>
      <c r="I962" s="96" t="str">
        <f t="shared" ref="I962:I1024" si="76">IFERROR(LEFT(J962,FIND(",",J962)-1),"")</f>
        <v>CoralClub</v>
      </c>
      <c r="J962" s="97" t="s">
        <v>249</v>
      </c>
      <c r="K962" s="29">
        <v>832</v>
      </c>
      <c r="L962" s="29"/>
      <c r="M962" s="30">
        <f>IFERROR(VLOOKUP($A962,HeadJournal!$A$1:$J$890,COLUMN(HeadJournal!I$1),0)*($K962+$L962)/(SUMIF($A:$A,$A962,$K:$K)+SUMIF($A:$A,$A962,$L:$L)),0)</f>
        <v>0</v>
      </c>
      <c r="N962" s="30">
        <f>IFERROR((VLOOKUP($A962,HeadJournal!$A$1:$K$890,COLUMN(HeadJournal!K$1),0)-VLOOKUP($A962,HeadJournal!$A$1:$K$890,COLUMN(HeadJournal!J$1),0))*($K962+$L962)/(SUMIF($A:$A,$A962,$K:$K)+SUMIF($A:$A,$A962,$L:$L)),0)</f>
        <v>1.2270408163264701</v>
      </c>
      <c r="O962" s="30">
        <f>IFERROR((VLOOKUP($A962,HeadJournal!$A$1:$L$890,COLUMN(HeadJournal!L$1),0)*($K962+$L962)/(SUMIF($A:$A,$A962,$K:$K)+SUMIF($A:$A,$A962,$L:$L)))/VLOOKUP($A962,HeadJournal!$A$1:$L$890,COLUMN(HeadJournal!H$1),0),0)</f>
        <v>0</v>
      </c>
      <c r="P962" s="30">
        <f>IFERROR(SUM(K962:O962)*VLOOKUP($A962,HeadJournal!$A$1:$L$890,COLUMN(HeadJournal!H$1),0),0)</f>
        <v>833.22704081632651</v>
      </c>
      <c r="Q962" s="29">
        <v>1200</v>
      </c>
      <c r="R962" s="31">
        <v>44987</v>
      </c>
      <c r="S962" s="31" t="s">
        <v>3121</v>
      </c>
      <c r="T962" s="95" t="str">
        <f t="shared" si="75"/>
        <v>2023 03</v>
      </c>
      <c r="U962" s="32">
        <f t="shared" ref="U962:U1024" si="77">Q962-P962</f>
        <v>366.77295918367349</v>
      </c>
      <c r="V962" s="22">
        <f t="shared" ref="V962:V1024" si="78">IF(Q962&lt;&gt;0,IFERROR(U962/P962,""),"")</f>
        <v>0.44018369690011483</v>
      </c>
      <c r="X962" s="33"/>
      <c r="Y962" s="33"/>
    </row>
    <row r="963" spans="1:25" x14ac:dyDescent="0.2">
      <c r="A963" s="93" t="s">
        <v>429</v>
      </c>
      <c r="B963" s="94">
        <f>IFERROR(VLOOKUP($A963,HeadJournal!$A$1:$NTR$890,COLUMN(HeadJournal!B$1),0),"")</f>
        <v>0</v>
      </c>
      <c r="C963" s="94" t="str">
        <f>IFERROR(VLOOKUP($A963,HeadJournal!$A$1:$NTR$890,COLUMN(HeadJournal!C$1),0),"")</f>
        <v>CoralClub_AV</v>
      </c>
      <c r="D963" s="125" t="str">
        <f>IFERROR(VLOOKUP($A963,HeadJournal!$A$1:$NTR$890,COLUMN(HeadJournal!D$1),0),"")</f>
        <v>Доставлен</v>
      </c>
      <c r="E963" s="95">
        <f>IFERROR(VLOOKUP($A963,HeadJournal!$A$1:$NTR$890,COLUMN(HeadJournal!G$1),0),"")</f>
        <v>44966</v>
      </c>
      <c r="F963" s="95" t="str">
        <f t="shared" si="74"/>
        <v>2023 02</v>
      </c>
      <c r="G963" s="96" t="s">
        <v>5</v>
      </c>
      <c r="H963" s="160" t="str">
        <f>RIGHT(Journal!$J963,9)</f>
        <v>000002151</v>
      </c>
      <c r="I963" s="96" t="str">
        <f t="shared" si="76"/>
        <v>CoralClub</v>
      </c>
      <c r="J963" s="97" t="s">
        <v>430</v>
      </c>
      <c r="K963" s="29">
        <v>633.6</v>
      </c>
      <c r="L963" s="29"/>
      <c r="M963" s="30">
        <f>IFERROR(VLOOKUP($A963,HeadJournal!$A$1:$J$890,COLUMN(HeadJournal!I$1),0)*($K963+$L963)/(SUMIF($A:$A,$A963,$K:$K)+SUMIF($A:$A,$A963,$L:$L)),0)</f>
        <v>0</v>
      </c>
      <c r="N963" s="30">
        <f>IFERROR((VLOOKUP($A963,HeadJournal!$A$1:$K$890,COLUMN(HeadJournal!K$1),0)-VLOOKUP($A963,HeadJournal!$A$1:$K$890,COLUMN(HeadJournal!J$1),0))*($K963+$L963)/(SUMIF($A:$A,$A963,$K:$K)+SUMIF($A:$A,$A963,$L:$L)),0)</f>
        <v>0.93443877551015808</v>
      </c>
      <c r="O963" s="30">
        <f>IFERROR((VLOOKUP($A963,HeadJournal!$A$1:$L$890,COLUMN(HeadJournal!L$1),0)*($K963+$L963)/(SUMIF($A:$A,$A963,$K:$K)+SUMIF($A:$A,$A963,$L:$L)))/VLOOKUP($A963,HeadJournal!$A$1:$L$890,COLUMN(HeadJournal!H$1),0),0)</f>
        <v>0</v>
      </c>
      <c r="P963" s="30">
        <f>IFERROR(SUM(K963:O963)*VLOOKUP($A963,HeadJournal!$A$1:$L$890,COLUMN(HeadJournal!H$1),0),0)</f>
        <v>634.53443877551013</v>
      </c>
      <c r="Q963" s="29">
        <v>500</v>
      </c>
      <c r="R963" s="31">
        <v>45282</v>
      </c>
      <c r="S963" s="31" t="s">
        <v>3121</v>
      </c>
      <c r="T963" s="95" t="str">
        <f t="shared" si="75"/>
        <v>2023 12</v>
      </c>
      <c r="U963" s="32">
        <f t="shared" si="77"/>
        <v>-134.53443877551013</v>
      </c>
      <c r="V963" s="22">
        <f t="shared" si="78"/>
        <v>-0.21202070455801789</v>
      </c>
      <c r="X963" s="33"/>
      <c r="Y963" s="33"/>
    </row>
    <row r="964" spans="1:25" x14ac:dyDescent="0.2">
      <c r="A964" s="93" t="s">
        <v>429</v>
      </c>
      <c r="B964" s="94">
        <f>IFERROR(VLOOKUP($A964,HeadJournal!$A$1:$NTR$890,COLUMN(HeadJournal!B$1),0),"")</f>
        <v>0</v>
      </c>
      <c r="C964" s="94" t="str">
        <f>IFERROR(VLOOKUP($A964,HeadJournal!$A$1:$NTR$890,COLUMN(HeadJournal!C$1),0),"")</f>
        <v>CoralClub_AV</v>
      </c>
      <c r="D964" s="125" t="str">
        <f>IFERROR(VLOOKUP($A964,HeadJournal!$A$1:$NTR$890,COLUMN(HeadJournal!D$1),0),"")</f>
        <v>Доставлен</v>
      </c>
      <c r="E964" s="95">
        <f>IFERROR(VLOOKUP($A964,HeadJournal!$A$1:$NTR$890,COLUMN(HeadJournal!G$1),0),"")</f>
        <v>44966</v>
      </c>
      <c r="F964" s="95" t="str">
        <f t="shared" ref="F964:F1027" si="79">IFERROR(TEXT(E964, "ГГГГ ММ"),"")</f>
        <v>2023 02</v>
      </c>
      <c r="G964" s="96" t="s">
        <v>5</v>
      </c>
      <c r="H964" s="160" t="str">
        <f>RIGHT(Journal!$J964,9)</f>
        <v>000002151</v>
      </c>
      <c r="I964" s="96" t="str">
        <f t="shared" si="76"/>
        <v>CoralClub</v>
      </c>
      <c r="J964" s="97" t="s">
        <v>430</v>
      </c>
      <c r="K964" s="29">
        <v>633.6</v>
      </c>
      <c r="L964" s="29"/>
      <c r="M964" s="30">
        <f>IFERROR(VLOOKUP($A964,HeadJournal!$A$1:$J$890,COLUMN(HeadJournal!I$1),0)*($K964+$L964)/(SUMIF($A:$A,$A964,$K:$K)+SUMIF($A:$A,$A964,$L:$L)),0)</f>
        <v>0</v>
      </c>
      <c r="N964" s="30">
        <f>IFERROR((VLOOKUP($A964,HeadJournal!$A$1:$K$890,COLUMN(HeadJournal!K$1),0)-VLOOKUP($A964,HeadJournal!$A$1:$K$890,COLUMN(HeadJournal!J$1),0))*($K964+$L964)/(SUMIF($A:$A,$A964,$K:$K)+SUMIF($A:$A,$A964,$L:$L)),0)</f>
        <v>0.93443877551015808</v>
      </c>
      <c r="O964" s="30">
        <f>IFERROR((VLOOKUP($A964,HeadJournal!$A$1:$L$890,COLUMN(HeadJournal!L$1),0)*($K964+$L964)/(SUMIF($A:$A,$A964,$K:$K)+SUMIF($A:$A,$A964,$L:$L)))/VLOOKUP($A964,HeadJournal!$A$1:$L$890,COLUMN(HeadJournal!H$1),0),0)</f>
        <v>0</v>
      </c>
      <c r="P964" s="30">
        <f>IFERROR(SUM(K964:O964)*VLOOKUP($A964,HeadJournal!$A$1:$L$890,COLUMN(HeadJournal!H$1),0),0)</f>
        <v>634.53443877551013</v>
      </c>
      <c r="Q964" s="29">
        <v>500</v>
      </c>
      <c r="R964" s="31">
        <v>45334</v>
      </c>
      <c r="S964" s="31" t="s">
        <v>3121</v>
      </c>
      <c r="T964" s="95" t="str">
        <f t="shared" ref="T964:T1027" si="80">IF(R964="","",TEXT(R964,"ГГГГ ММ"))</f>
        <v>2024 02</v>
      </c>
      <c r="U964" s="32">
        <f t="shared" si="77"/>
        <v>-134.53443877551013</v>
      </c>
      <c r="V964" s="22">
        <f t="shared" si="78"/>
        <v>-0.21202070455801789</v>
      </c>
      <c r="X964" s="33"/>
      <c r="Y964" s="33"/>
    </row>
    <row r="965" spans="1:25" x14ac:dyDescent="0.2">
      <c r="A965" s="93" t="s">
        <v>431</v>
      </c>
      <c r="B965" s="94" t="str">
        <f>IFERROR(VLOOKUP($A965,HeadJournal!$A$1:$NTR$890,COLUMN(HeadJournal!B$1),0),"")</f>
        <v>710000613022</v>
      </c>
      <c r="C965" s="94" t="str">
        <f>IFERROR(VLOOKUP($A965,HeadJournal!$A$1:$NTR$890,COLUMN(HeadJournal!C$1),0),"")</f>
        <v>iHerb_MH DLE7202</v>
      </c>
      <c r="D965" s="125" t="str">
        <f>IFERROR(VLOOKUP($A965,HeadJournal!$A$1:$NTR$890,COLUMN(HeadJournal!D$1),0),"")</f>
        <v>Доставлен</v>
      </c>
      <c r="E965" s="95">
        <f>IFERROR(VLOOKUP($A965,HeadJournal!$A$1:$NTR$890,COLUMN(HeadJournal!G$1),0),"")</f>
        <v>44966</v>
      </c>
      <c r="F965" s="95" t="str">
        <f t="shared" si="79"/>
        <v>2023 02</v>
      </c>
      <c r="G965" s="96" t="s">
        <v>5</v>
      </c>
      <c r="H965" s="161" t="s">
        <v>2089</v>
      </c>
      <c r="I965" s="97" t="s">
        <v>2005</v>
      </c>
      <c r="J965" s="97" t="s">
        <v>3781</v>
      </c>
      <c r="K965" s="29">
        <v>19.72</v>
      </c>
      <c r="L965" s="29">
        <v>-1.97</v>
      </c>
      <c r="M965" s="30">
        <f>IFERROR(VLOOKUP($A965,HeadJournal!$A$1:$J$890,COLUMN(HeadJournal!I$1),0)*($K965+$L965)/(SUMIF($A:$A,$A965,$K:$K)+SUMIF($A:$A,$A965,$L:$L)),0)</f>
        <v>1.3357194244604316</v>
      </c>
      <c r="N965" s="30">
        <f>IFERROR((VLOOKUP($A965,HeadJournal!$A$1:$K$890,COLUMN(HeadJournal!K$1),0)-VLOOKUP($A965,HeadJournal!$A$1:$K$890,COLUMN(HeadJournal!J$1),0))*($K965+$L965)/(SUMIF($A:$A,$A965,$K:$K)+SUMIF($A:$A,$A965,$L:$L)),0)</f>
        <v>0</v>
      </c>
      <c r="O965" s="30">
        <f>IFERROR((VLOOKUP($A965,HeadJournal!$A$1:$L$890,COLUMN(HeadJournal!L$1),0)*($K965+$L965)/(SUMIF($A:$A,$A965,$K:$K)+SUMIF($A:$A,$A965,$L:$L)))/VLOOKUP($A965,HeadJournal!$A$1:$L$890,COLUMN(HeadJournal!H$1),0),0)</f>
        <v>1.6889128305926722</v>
      </c>
      <c r="P965" s="30">
        <f>IFERROR(SUM(K965:O965)*VLOOKUP($A965,HeadJournal!$A$1:$L$890,COLUMN(HeadJournal!H$1),0),0)</f>
        <v>1457.9160431654677</v>
      </c>
      <c r="Q965" s="29">
        <v>2600</v>
      </c>
      <c r="R965" s="31">
        <v>44999</v>
      </c>
      <c r="S965" s="31" t="s">
        <v>3121</v>
      </c>
      <c r="T965" s="95" t="str">
        <f t="shared" si="80"/>
        <v>2023 03</v>
      </c>
      <c r="U965" s="32">
        <f t="shared" si="77"/>
        <v>1142.0839568345323</v>
      </c>
      <c r="V965" s="22">
        <f t="shared" si="78"/>
        <v>0.78336743887858451</v>
      </c>
      <c r="X965" s="33"/>
      <c r="Y965" s="33"/>
    </row>
    <row r="966" spans="1:25" x14ac:dyDescent="0.2">
      <c r="A966" s="93" t="s">
        <v>431</v>
      </c>
      <c r="B966" s="94" t="str">
        <f>IFERROR(VLOOKUP($A966,HeadJournal!$A$1:$NTR$890,COLUMN(HeadJournal!B$1),0),"")</f>
        <v>710000613022</v>
      </c>
      <c r="C966" s="94" t="str">
        <f>IFERROR(VLOOKUP($A966,HeadJournal!$A$1:$NTR$890,COLUMN(HeadJournal!C$1),0),"")</f>
        <v>iHerb_MH DLE7202</v>
      </c>
      <c r="D966" s="125" t="str">
        <f>IFERROR(VLOOKUP($A966,HeadJournal!$A$1:$NTR$890,COLUMN(HeadJournal!D$1),0),"")</f>
        <v>Доставлен</v>
      </c>
      <c r="E966" s="95">
        <f>IFERROR(VLOOKUP($A966,HeadJournal!$A$1:$NTR$890,COLUMN(HeadJournal!G$1),0),"")</f>
        <v>44966</v>
      </c>
      <c r="F966" s="95" t="str">
        <f t="shared" si="79"/>
        <v>2023 02</v>
      </c>
      <c r="G966" s="96" t="s">
        <v>5</v>
      </c>
      <c r="H966" s="161" t="s">
        <v>2089</v>
      </c>
      <c r="I966" s="97" t="s">
        <v>2005</v>
      </c>
      <c r="J966" s="97" t="s">
        <v>3781</v>
      </c>
      <c r="K966" s="29">
        <v>19.72</v>
      </c>
      <c r="L966" s="29">
        <v>-1.97</v>
      </c>
      <c r="M966" s="30">
        <f>IFERROR(VLOOKUP($A966,HeadJournal!$A$1:$J$890,COLUMN(HeadJournal!I$1),0)*($K966+$L966)/(SUMIF($A:$A,$A966,$K:$K)+SUMIF($A:$A,$A966,$L:$L)),0)</f>
        <v>1.3357194244604316</v>
      </c>
      <c r="N966" s="30">
        <f>IFERROR((VLOOKUP($A966,HeadJournal!$A$1:$K$890,COLUMN(HeadJournal!K$1),0)-VLOOKUP($A966,HeadJournal!$A$1:$K$890,COLUMN(HeadJournal!J$1),0))*($K966+$L966)/(SUMIF($A:$A,$A966,$K:$K)+SUMIF($A:$A,$A966,$L:$L)),0)</f>
        <v>0</v>
      </c>
      <c r="O966" s="30">
        <f>IFERROR((VLOOKUP($A966,HeadJournal!$A$1:$L$890,COLUMN(HeadJournal!L$1),0)*($K966+$L966)/(SUMIF($A:$A,$A966,$K:$K)+SUMIF($A:$A,$A966,$L:$L)))/VLOOKUP($A966,HeadJournal!$A$1:$L$890,COLUMN(HeadJournal!H$1),0),0)</f>
        <v>1.6889128305926722</v>
      </c>
      <c r="P966" s="30">
        <f>IFERROR(SUM(K966:O966)*VLOOKUP($A966,HeadJournal!$A$1:$L$890,COLUMN(HeadJournal!H$1),0),0)</f>
        <v>1457.9160431654677</v>
      </c>
      <c r="Q966" s="29">
        <v>2800</v>
      </c>
      <c r="R966" s="31">
        <v>45009</v>
      </c>
      <c r="S966" s="31" t="s">
        <v>3121</v>
      </c>
      <c r="T966" s="95" t="str">
        <f t="shared" si="80"/>
        <v>2023 03</v>
      </c>
      <c r="U966" s="32">
        <f t="shared" si="77"/>
        <v>1342.0839568345323</v>
      </c>
      <c r="V966" s="22">
        <f t="shared" si="78"/>
        <v>0.92054954956155255</v>
      </c>
      <c r="X966" s="33"/>
      <c r="Y966" s="33"/>
    </row>
    <row r="967" spans="1:25" x14ac:dyDescent="0.2">
      <c r="A967" s="93" t="s">
        <v>431</v>
      </c>
      <c r="B967" s="94" t="str">
        <f>IFERROR(VLOOKUP($A967,HeadJournal!$A$1:$NTR$890,COLUMN(HeadJournal!B$1),0),"")</f>
        <v>710000613022</v>
      </c>
      <c r="C967" s="94" t="str">
        <f>IFERROR(VLOOKUP($A967,HeadJournal!$A$1:$NTR$890,COLUMN(HeadJournal!C$1),0),"")</f>
        <v>iHerb_MH DLE7202</v>
      </c>
      <c r="D967" s="125" t="str">
        <f>IFERROR(VLOOKUP($A967,HeadJournal!$A$1:$NTR$890,COLUMN(HeadJournal!D$1),0),"")</f>
        <v>Доставлен</v>
      </c>
      <c r="E967" s="95">
        <f>IFERROR(VLOOKUP($A967,HeadJournal!$A$1:$NTR$890,COLUMN(HeadJournal!G$1),0),"")</f>
        <v>44966</v>
      </c>
      <c r="F967" s="95" t="str">
        <f t="shared" si="79"/>
        <v>2023 02</v>
      </c>
      <c r="G967" s="96" t="s">
        <v>5</v>
      </c>
      <c r="H967" s="160" t="str">
        <f>RIGHT(Journal!$J967,9)</f>
        <v>NRT-00530</v>
      </c>
      <c r="I967" s="96" t="str">
        <f t="shared" si="76"/>
        <v>Nature's Bounty</v>
      </c>
      <c r="J967" s="97" t="s">
        <v>432</v>
      </c>
      <c r="K967" s="29">
        <v>12.79</v>
      </c>
      <c r="L967" s="29">
        <v>-1.28</v>
      </c>
      <c r="M967" s="30">
        <f>IFERROR(VLOOKUP($A967,HeadJournal!$A$1:$J$890,COLUMN(HeadJournal!I$1),0)*($K967+$L967)/(SUMIF($A:$A,$A967,$K:$K)+SUMIF($A:$A,$A967,$L:$L)),0)</f>
        <v>0.86614820143884885</v>
      </c>
      <c r="N967" s="30">
        <f>IFERROR((VLOOKUP($A967,HeadJournal!$A$1:$K$890,COLUMN(HeadJournal!K$1),0)-VLOOKUP($A967,HeadJournal!$A$1:$K$890,COLUMN(HeadJournal!J$1),0))*($K967+$L967)/(SUMIF($A:$A,$A967,$K:$K)+SUMIF($A:$A,$A967,$L:$L)),0)</f>
        <v>0</v>
      </c>
      <c r="O967" s="30">
        <f>IFERROR((VLOOKUP($A967,HeadJournal!$A$1:$L$890,COLUMN(HeadJournal!L$1),0)*($K967+$L967)/(SUMIF($A:$A,$A967,$K:$K)+SUMIF($A:$A,$A967,$L:$L)))/VLOOKUP($A967,HeadJournal!$A$1:$L$890,COLUMN(HeadJournal!H$1),0),0)</f>
        <v>1.0951767143730511</v>
      </c>
      <c r="P967" s="30">
        <f>IFERROR(SUM(K967:O967)*VLOOKUP($A967,HeadJournal!$A$1:$L$890,COLUMN(HeadJournal!H$1),0),0)</f>
        <v>945.38668489208624</v>
      </c>
      <c r="Q967" s="29">
        <v>1800</v>
      </c>
      <c r="R967" s="31">
        <v>44999</v>
      </c>
      <c r="S967" s="31" t="s">
        <v>3121</v>
      </c>
      <c r="T967" s="95" t="str">
        <f t="shared" si="80"/>
        <v>2023 03</v>
      </c>
      <c r="U967" s="32">
        <f t="shared" si="77"/>
        <v>854.61331510791376</v>
      </c>
      <c r="V967" s="22">
        <f t="shared" si="78"/>
        <v>0.90398281334527786</v>
      </c>
      <c r="X967" s="33"/>
      <c r="Y967" s="33"/>
    </row>
    <row r="968" spans="1:25" x14ac:dyDescent="0.2">
      <c r="A968" s="93" t="s">
        <v>431</v>
      </c>
      <c r="B968" s="94" t="str">
        <f>IFERROR(VLOOKUP($A968,HeadJournal!$A$1:$NTR$890,COLUMN(HeadJournal!B$1),0),"")</f>
        <v>710000613022</v>
      </c>
      <c r="C968" s="94" t="str">
        <f>IFERROR(VLOOKUP($A968,HeadJournal!$A$1:$NTR$890,COLUMN(HeadJournal!C$1),0),"")</f>
        <v>iHerb_MH DLE7202</v>
      </c>
      <c r="D968" s="125" t="str">
        <f>IFERROR(VLOOKUP($A968,HeadJournal!$A$1:$NTR$890,COLUMN(HeadJournal!D$1),0),"")</f>
        <v>Доставлен</v>
      </c>
      <c r="E968" s="95">
        <f>IFERROR(VLOOKUP($A968,HeadJournal!$A$1:$NTR$890,COLUMN(HeadJournal!G$1),0),"")</f>
        <v>44966</v>
      </c>
      <c r="F968" s="95" t="str">
        <f t="shared" si="79"/>
        <v>2023 02</v>
      </c>
      <c r="G968" s="96" t="s">
        <v>5</v>
      </c>
      <c r="H968" s="160" t="str">
        <f>RIGHT(Journal!$J968,9)</f>
        <v>SOL-00680</v>
      </c>
      <c r="I968" s="96" t="str">
        <f t="shared" si="76"/>
        <v>Solgar</v>
      </c>
      <c r="J968" s="97" t="s">
        <v>433</v>
      </c>
      <c r="K968" s="29">
        <v>10.26</v>
      </c>
      <c r="L968" s="29"/>
      <c r="M968" s="30">
        <f>IFERROR(VLOOKUP($A968,HeadJournal!$A$1:$J$890,COLUMN(HeadJournal!I$1),0)*($K968+$L968)/(SUMIF($A:$A,$A968,$K:$K)+SUMIF($A:$A,$A968,$L:$L)),0)</f>
        <v>0.77208345323741001</v>
      </c>
      <c r="N968" s="30">
        <f>IFERROR((VLOOKUP($A968,HeadJournal!$A$1:$K$890,COLUMN(HeadJournal!K$1),0)-VLOOKUP($A968,HeadJournal!$A$1:$K$890,COLUMN(HeadJournal!J$1),0))*($K968+$L968)/(SUMIF($A:$A,$A968,$K:$K)+SUMIF($A:$A,$A968,$L:$L)),0)</f>
        <v>0</v>
      </c>
      <c r="O968" s="30">
        <f>IFERROR((VLOOKUP($A968,HeadJournal!$A$1:$L$890,COLUMN(HeadJournal!L$1),0)*($K968+$L968)/(SUMIF($A:$A,$A968,$K:$K)+SUMIF($A:$A,$A968,$L:$L)))/VLOOKUP($A968,HeadJournal!$A$1:$L$890,COLUMN(HeadJournal!H$1),0),0)</f>
        <v>0.97623919109187696</v>
      </c>
      <c r="P968" s="30">
        <f>IFERROR(SUM(K968:O968)*VLOOKUP($A968,HeadJournal!$A$1:$L$890,COLUMN(HeadJournal!H$1),0),0)</f>
        <v>842.71654100719411</v>
      </c>
      <c r="Q968" s="29">
        <v>1700</v>
      </c>
      <c r="R968" s="31">
        <v>45009</v>
      </c>
      <c r="S968" s="31" t="s">
        <v>3121</v>
      </c>
      <c r="T968" s="95" t="str">
        <f t="shared" si="80"/>
        <v>2023 03</v>
      </c>
      <c r="U968" s="32">
        <f t="shared" si="77"/>
        <v>857.28345899280589</v>
      </c>
      <c r="V968" s="22">
        <f t="shared" si="78"/>
        <v>1.0172856675723985</v>
      </c>
      <c r="X968" s="33"/>
      <c r="Y968" s="33"/>
    </row>
    <row r="969" spans="1:25" x14ac:dyDescent="0.2">
      <c r="A969" s="93" t="s">
        <v>431</v>
      </c>
      <c r="B969" s="94" t="str">
        <f>IFERROR(VLOOKUP($A969,HeadJournal!$A$1:$NTR$890,COLUMN(HeadJournal!B$1),0),"")</f>
        <v>710000613022</v>
      </c>
      <c r="C969" s="94" t="str">
        <f>IFERROR(VLOOKUP($A969,HeadJournal!$A$1:$NTR$890,COLUMN(HeadJournal!C$1),0),"")</f>
        <v>iHerb_MH DLE7202</v>
      </c>
      <c r="D969" s="125" t="str">
        <f>IFERROR(VLOOKUP($A969,HeadJournal!$A$1:$NTR$890,COLUMN(HeadJournal!D$1),0),"")</f>
        <v>Доставлен</v>
      </c>
      <c r="E969" s="95">
        <f>IFERROR(VLOOKUP($A969,HeadJournal!$A$1:$NTR$890,COLUMN(HeadJournal!G$1),0),"")</f>
        <v>44966</v>
      </c>
      <c r="F969" s="95" t="str">
        <f t="shared" si="79"/>
        <v>2023 02</v>
      </c>
      <c r="G969" s="96" t="s">
        <v>5</v>
      </c>
      <c r="H969" s="160" t="str">
        <f>RIGHT(Journal!$J969,9)</f>
        <v>DRB-00183</v>
      </c>
      <c r="I969" s="96" t="str">
        <f t="shared" si="76"/>
        <v>Doctor's Best</v>
      </c>
      <c r="J969" s="97" t="s">
        <v>434</v>
      </c>
      <c r="K969" s="29">
        <v>19.62</v>
      </c>
      <c r="L969" s="29">
        <v>-2.78</v>
      </c>
      <c r="M969" s="30">
        <f>IFERROR(VLOOKUP($A969,HeadJournal!$A$1:$J$890,COLUMN(HeadJournal!I$1),0)*($K969+$L969)/(SUMIF($A:$A,$A969,$K:$K)+SUMIF($A:$A,$A969,$L:$L)),0)</f>
        <v>1.2672402877697841</v>
      </c>
      <c r="N969" s="30">
        <f>IFERROR((VLOOKUP($A969,HeadJournal!$A$1:$K$890,COLUMN(HeadJournal!K$1),0)-VLOOKUP($A969,HeadJournal!$A$1:$K$890,COLUMN(HeadJournal!J$1),0))*($K969+$L969)/(SUMIF($A:$A,$A969,$K:$K)+SUMIF($A:$A,$A969,$L:$L)),0)</f>
        <v>0</v>
      </c>
      <c r="O969" s="30">
        <f>IFERROR((VLOOKUP($A969,HeadJournal!$A$1:$L$890,COLUMN(HeadJournal!L$1),0)*($K969+$L969)/(SUMIF($A:$A,$A969,$K:$K)+SUMIF($A:$A,$A969,$L:$L)))/VLOOKUP($A969,HeadJournal!$A$1:$L$890,COLUMN(HeadJournal!H$1),0),0)</f>
        <v>1.6023263136439774</v>
      </c>
      <c r="P969" s="30">
        <f>IFERROR(SUM(K969:O969)*VLOOKUP($A969,HeadJournal!$A$1:$L$890,COLUMN(HeadJournal!H$1),0),0)</f>
        <v>1383.1721784172662</v>
      </c>
      <c r="Q969" s="29">
        <v>1900</v>
      </c>
      <c r="R969" s="31">
        <v>45686</v>
      </c>
      <c r="S969" s="31" t="s">
        <v>3121</v>
      </c>
      <c r="T969" s="95" t="str">
        <f t="shared" si="80"/>
        <v>2025 01</v>
      </c>
      <c r="U969" s="32">
        <f t="shared" si="77"/>
        <v>516.8278215827338</v>
      </c>
      <c r="V969" s="22">
        <f t="shared" si="78"/>
        <v>0.37365400320163222</v>
      </c>
      <c r="X969" s="33"/>
      <c r="Y969" s="33"/>
    </row>
    <row r="970" spans="1:25" x14ac:dyDescent="0.2">
      <c r="A970" s="93" t="s">
        <v>431</v>
      </c>
      <c r="B970" s="94" t="str">
        <f>IFERROR(VLOOKUP($A970,HeadJournal!$A$1:$NTR$890,COLUMN(HeadJournal!B$1),0),"")</f>
        <v>710000613022</v>
      </c>
      <c r="C970" s="94" t="str">
        <f>IFERROR(VLOOKUP($A970,HeadJournal!$A$1:$NTR$890,COLUMN(HeadJournal!C$1),0),"")</f>
        <v>iHerb_MH DLE7202</v>
      </c>
      <c r="D970" s="125" t="str">
        <f>IFERROR(VLOOKUP($A970,HeadJournal!$A$1:$NTR$890,COLUMN(HeadJournal!D$1),0),"")</f>
        <v>Доставлен</v>
      </c>
      <c r="E970" s="95">
        <f>IFERROR(VLOOKUP($A970,HeadJournal!$A$1:$NTR$890,COLUMN(HeadJournal!G$1),0),"")</f>
        <v>44966</v>
      </c>
      <c r="F970" s="95" t="str">
        <f t="shared" si="79"/>
        <v>2023 02</v>
      </c>
      <c r="G970" s="96" t="s">
        <v>5</v>
      </c>
      <c r="H970" s="161" t="s">
        <v>2174</v>
      </c>
      <c r="I970" s="97" t="s">
        <v>2005</v>
      </c>
      <c r="J970" s="97" t="s">
        <v>2175</v>
      </c>
      <c r="K970" s="29">
        <v>5.24</v>
      </c>
      <c r="L970" s="29">
        <v>-0.52500000000000002</v>
      </c>
      <c r="M970" s="30">
        <f>IFERROR(VLOOKUP($A970,HeadJournal!$A$1:$J$890,COLUMN(HeadJournal!I$1),0)*($K970+$L970)/(SUMIF($A:$A,$A970,$K:$K)+SUMIF($A:$A,$A970,$L:$L)),0)</f>
        <v>0.35481223021582731</v>
      </c>
      <c r="N970" s="30">
        <f>IFERROR((VLOOKUP($A970,HeadJournal!$A$1:$K$890,COLUMN(HeadJournal!K$1),0)-VLOOKUP($A970,HeadJournal!$A$1:$K$890,COLUMN(HeadJournal!J$1),0))*($K970+$L970)/(SUMIF($A:$A,$A970,$K:$K)+SUMIF($A:$A,$A970,$L:$L)),0)</f>
        <v>0</v>
      </c>
      <c r="O970" s="30">
        <f>IFERROR((VLOOKUP($A970,HeadJournal!$A$1:$L$890,COLUMN(HeadJournal!L$1),0)*($K970+$L970)/(SUMIF($A:$A,$A970,$K:$K)+SUMIF($A:$A,$A970,$L:$L)))/VLOOKUP($A970,HeadJournal!$A$1:$L$890,COLUMN(HeadJournal!H$1),0),0)</f>
        <v>0.44863233781658868</v>
      </c>
      <c r="P970" s="30">
        <f>IFERROR(SUM(K970:O970)*VLOOKUP($A970,HeadJournal!$A$1:$L$890,COLUMN(HeadJournal!H$1),0),0)</f>
        <v>387.27178273381293</v>
      </c>
      <c r="Q970" s="29">
        <v>850</v>
      </c>
      <c r="R970" s="31">
        <v>45005</v>
      </c>
      <c r="S970" s="31" t="s">
        <v>3121</v>
      </c>
      <c r="T970" s="95" t="str">
        <f t="shared" si="80"/>
        <v>2023 03</v>
      </c>
      <c r="U970" s="32">
        <f t="shared" si="77"/>
        <v>462.72821726618707</v>
      </c>
      <c r="V970" s="22">
        <f t="shared" si="78"/>
        <v>1.1948410338592583</v>
      </c>
      <c r="X970" s="33"/>
      <c r="Y970" s="33"/>
    </row>
    <row r="971" spans="1:25" x14ac:dyDescent="0.2">
      <c r="A971" s="93" t="s">
        <v>431</v>
      </c>
      <c r="B971" s="94" t="str">
        <f>IFERROR(VLOOKUP($A971,HeadJournal!$A$1:$NTR$890,COLUMN(HeadJournal!B$1),0),"")</f>
        <v>710000613022</v>
      </c>
      <c r="C971" s="94" t="str">
        <f>IFERROR(VLOOKUP($A971,HeadJournal!$A$1:$NTR$890,COLUMN(HeadJournal!C$1),0),"")</f>
        <v>iHerb_MH DLE7202</v>
      </c>
      <c r="D971" s="125" t="str">
        <f>IFERROR(VLOOKUP($A971,HeadJournal!$A$1:$NTR$890,COLUMN(HeadJournal!D$1),0),"")</f>
        <v>Доставлен</v>
      </c>
      <c r="E971" s="95">
        <f>IFERROR(VLOOKUP($A971,HeadJournal!$A$1:$NTR$890,COLUMN(HeadJournal!G$1),0),"")</f>
        <v>44966</v>
      </c>
      <c r="F971" s="95" t="str">
        <f t="shared" si="79"/>
        <v>2023 02</v>
      </c>
      <c r="G971" s="96" t="s">
        <v>5</v>
      </c>
      <c r="H971" s="161" t="s">
        <v>2174</v>
      </c>
      <c r="I971" s="97" t="s">
        <v>2005</v>
      </c>
      <c r="J971" s="97" t="s">
        <v>2175</v>
      </c>
      <c r="K971" s="29">
        <v>5.24</v>
      </c>
      <c r="L971" s="29">
        <v>-0.52500000000000002</v>
      </c>
      <c r="M971" s="30">
        <f>IFERROR(VLOOKUP($A971,HeadJournal!$A$1:$J$890,COLUMN(HeadJournal!I$1),0)*($K971+$L971)/(SUMIF($A:$A,$A971,$K:$K)+SUMIF($A:$A,$A971,$L:$L)),0)</f>
        <v>0.35481223021582731</v>
      </c>
      <c r="N971" s="30">
        <f>IFERROR((VLOOKUP($A971,HeadJournal!$A$1:$K$890,COLUMN(HeadJournal!K$1),0)-VLOOKUP($A971,HeadJournal!$A$1:$K$890,COLUMN(HeadJournal!J$1),0))*($K971+$L971)/(SUMIF($A:$A,$A971,$K:$K)+SUMIF($A:$A,$A971,$L:$L)),0)</f>
        <v>0</v>
      </c>
      <c r="O971" s="30">
        <f>IFERROR((VLOOKUP($A971,HeadJournal!$A$1:$L$890,COLUMN(HeadJournal!L$1),0)*($K971+$L971)/(SUMIF($A:$A,$A971,$K:$K)+SUMIF($A:$A,$A971,$L:$L)))/VLOOKUP($A971,HeadJournal!$A$1:$L$890,COLUMN(HeadJournal!H$1),0),0)</f>
        <v>0.44863233781658868</v>
      </c>
      <c r="P971" s="30">
        <f>IFERROR(SUM(K971:O971)*VLOOKUP($A971,HeadJournal!$A$1:$L$890,COLUMN(HeadJournal!H$1),0),0)</f>
        <v>387.27178273381293</v>
      </c>
      <c r="Q971" s="29">
        <v>850</v>
      </c>
      <c r="R971" s="31">
        <v>45005</v>
      </c>
      <c r="S971" s="31" t="s">
        <v>3121</v>
      </c>
      <c r="T971" s="95" t="str">
        <f t="shared" si="80"/>
        <v>2023 03</v>
      </c>
      <c r="U971" s="32">
        <f t="shared" si="77"/>
        <v>462.72821726618707</v>
      </c>
      <c r="V971" s="22">
        <f t="shared" si="78"/>
        <v>1.1948410338592583</v>
      </c>
      <c r="X971" s="33"/>
      <c r="Y971" s="33"/>
    </row>
    <row r="972" spans="1:25" x14ac:dyDescent="0.2">
      <c r="A972" s="93" t="s">
        <v>431</v>
      </c>
      <c r="B972" s="94" t="str">
        <f>IFERROR(VLOOKUP($A972,HeadJournal!$A$1:$NTR$890,COLUMN(HeadJournal!B$1),0),"")</f>
        <v>710000613022</v>
      </c>
      <c r="C972" s="94" t="str">
        <f>IFERROR(VLOOKUP($A972,HeadJournal!$A$1:$NTR$890,COLUMN(HeadJournal!C$1),0),"")</f>
        <v>iHerb_MH DLE7202</v>
      </c>
      <c r="D972" s="125" t="str">
        <f>IFERROR(VLOOKUP($A972,HeadJournal!$A$1:$NTR$890,COLUMN(HeadJournal!D$1),0),"")</f>
        <v>Доставлен</v>
      </c>
      <c r="E972" s="95">
        <f>IFERROR(VLOOKUP($A972,HeadJournal!$A$1:$NTR$890,COLUMN(HeadJournal!G$1),0),"")</f>
        <v>44966</v>
      </c>
      <c r="F972" s="95" t="str">
        <f t="shared" si="79"/>
        <v>2023 02</v>
      </c>
      <c r="G972" s="96" t="s">
        <v>5</v>
      </c>
      <c r="H972" s="160" t="str">
        <f>RIGHT(Journal!$J972,9)</f>
        <v>NOW-01841</v>
      </c>
      <c r="I972" s="96" t="str">
        <f t="shared" si="76"/>
        <v>NOW Foods</v>
      </c>
      <c r="J972" s="97" t="s">
        <v>281</v>
      </c>
      <c r="K972" s="29">
        <v>24.04</v>
      </c>
      <c r="L972" s="29">
        <v>-2.4</v>
      </c>
      <c r="M972" s="30">
        <f>IFERROR(VLOOKUP($A972,HeadJournal!$A$1:$J$890,COLUMN(HeadJournal!I$1),0)*($K972+$L972)/(SUMIF($A:$A,$A972,$K:$K)+SUMIF($A:$A,$A972,$L:$L)),0)</f>
        <v>1.6284489208633095</v>
      </c>
      <c r="N972" s="30">
        <f>IFERROR((VLOOKUP($A972,HeadJournal!$A$1:$K$890,COLUMN(HeadJournal!K$1),0)-VLOOKUP($A972,HeadJournal!$A$1:$K$890,COLUMN(HeadJournal!J$1),0))*($K972+$L972)/(SUMIF($A:$A,$A972,$K:$K)+SUMIF($A:$A,$A972,$L:$L)),0)</f>
        <v>0</v>
      </c>
      <c r="O972" s="30">
        <f>IFERROR((VLOOKUP($A972,HeadJournal!$A$1:$L$890,COLUMN(HeadJournal!L$1),0)*($K972+$L972)/(SUMIF($A:$A,$A972,$K:$K)+SUMIF($A:$A,$A972,$L:$L)))/VLOOKUP($A972,HeadJournal!$A$1:$L$890,COLUMN(HeadJournal!H$1),0),0)</f>
        <v>2.0590464030436859</v>
      </c>
      <c r="P972" s="30">
        <f>IFERROR(SUM(K972:O972)*VLOOKUP($A972,HeadJournal!$A$1:$L$890,COLUMN(HeadJournal!H$1),0),0)</f>
        <v>1777.4255309352516</v>
      </c>
      <c r="Q972" s="29">
        <v>3400</v>
      </c>
      <c r="R972" s="31">
        <v>45002</v>
      </c>
      <c r="S972" s="31" t="s">
        <v>3121</v>
      </c>
      <c r="T972" s="95" t="str">
        <f t="shared" si="80"/>
        <v>2023 03</v>
      </c>
      <c r="U972" s="32">
        <f t="shared" si="77"/>
        <v>1622.5744690647484</v>
      </c>
      <c r="V972" s="22">
        <f t="shared" si="78"/>
        <v>0.91287901564628526</v>
      </c>
      <c r="X972" s="33"/>
      <c r="Y972" s="33"/>
    </row>
    <row r="973" spans="1:25" x14ac:dyDescent="0.2">
      <c r="A973" s="93" t="s">
        <v>431</v>
      </c>
      <c r="B973" s="94" t="str">
        <f>IFERROR(VLOOKUP($A973,HeadJournal!$A$1:$NTR$890,COLUMN(HeadJournal!B$1),0),"")</f>
        <v>710000613022</v>
      </c>
      <c r="C973" s="94" t="str">
        <f>IFERROR(VLOOKUP($A973,HeadJournal!$A$1:$NTR$890,COLUMN(HeadJournal!C$1),0),"")</f>
        <v>iHerb_MH DLE7202</v>
      </c>
      <c r="D973" s="125" t="str">
        <f>IFERROR(VLOOKUP($A973,HeadJournal!$A$1:$NTR$890,COLUMN(HeadJournal!D$1),0),"")</f>
        <v>Доставлен</v>
      </c>
      <c r="E973" s="95">
        <f>IFERROR(VLOOKUP($A973,HeadJournal!$A$1:$NTR$890,COLUMN(HeadJournal!G$1),0),"")</f>
        <v>44966</v>
      </c>
      <c r="F973" s="95" t="str">
        <f t="shared" si="79"/>
        <v>2023 02</v>
      </c>
      <c r="G973" s="96" t="s">
        <v>6</v>
      </c>
      <c r="H973" s="160" t="str">
        <f>RIGHT(Journal!$J973,9)</f>
        <v>NRX-02969</v>
      </c>
      <c r="I973" s="96" t="str">
        <f t="shared" si="76"/>
        <v>Nutrex Research</v>
      </c>
      <c r="J973" s="97" t="s">
        <v>435</v>
      </c>
      <c r="K973" s="29">
        <v>25.67</v>
      </c>
      <c r="L973" s="29">
        <v>-3.59</v>
      </c>
      <c r="M973" s="30">
        <f>IFERROR(VLOOKUP($A973,HeadJournal!$A$1:$J$890,COLUMN(HeadJournal!I$1),0)*($K973+$L973)/(SUMIF($A:$A,$A973,$K:$K)+SUMIF($A:$A,$A973,$L:$L)),0)</f>
        <v>1.6615597122302159</v>
      </c>
      <c r="N973" s="30">
        <f>IFERROR((VLOOKUP($A973,HeadJournal!$A$1:$K$890,COLUMN(HeadJournal!K$1),0)-VLOOKUP($A973,HeadJournal!$A$1:$K$890,COLUMN(HeadJournal!J$1),0))*($K973+$L973)/(SUMIF($A:$A,$A973,$K:$K)+SUMIF($A:$A,$A973,$L:$L)),0)</f>
        <v>0</v>
      </c>
      <c r="O973" s="30">
        <f>IFERROR((VLOOKUP($A973,HeadJournal!$A$1:$L$890,COLUMN(HeadJournal!L$1),0)*($K973+$L973)/(SUMIF($A:$A,$A973,$K:$K)+SUMIF($A:$A,$A973,$L:$L)))/VLOOKUP($A973,HeadJournal!$A$1:$L$890,COLUMN(HeadJournal!H$1),0),0)</f>
        <v>2.1009124112386592</v>
      </c>
      <c r="P973" s="30">
        <f>IFERROR(SUM(K973:O973)*VLOOKUP($A973,HeadJournal!$A$1:$L$890,COLUMN(HeadJournal!H$1),0),0)</f>
        <v>1813.5654215827337</v>
      </c>
      <c r="Q973" s="29">
        <v>2900</v>
      </c>
      <c r="R973" s="31">
        <v>45008</v>
      </c>
      <c r="S973" s="31" t="s">
        <v>3121</v>
      </c>
      <c r="T973" s="95" t="str">
        <f t="shared" si="80"/>
        <v>2023 03</v>
      </c>
      <c r="U973" s="32">
        <f t="shared" si="77"/>
        <v>1086.4345784172663</v>
      </c>
      <c r="V973" s="22">
        <f t="shared" si="78"/>
        <v>0.59906004243790323</v>
      </c>
      <c r="X973" s="33"/>
      <c r="Y973" s="33"/>
    </row>
    <row r="974" spans="1:25" x14ac:dyDescent="0.2">
      <c r="A974" s="93" t="s">
        <v>431</v>
      </c>
      <c r="B974" s="94" t="str">
        <f>IFERROR(VLOOKUP($A974,HeadJournal!$A$1:$NTR$890,COLUMN(HeadJournal!B$1),0),"")</f>
        <v>710000613022</v>
      </c>
      <c r="C974" s="94" t="str">
        <f>IFERROR(VLOOKUP($A974,HeadJournal!$A$1:$NTR$890,COLUMN(HeadJournal!C$1),0),"")</f>
        <v>iHerb_MH DLE7202</v>
      </c>
      <c r="D974" s="125" t="str">
        <f>IFERROR(VLOOKUP($A974,HeadJournal!$A$1:$NTR$890,COLUMN(HeadJournal!D$1),0),"")</f>
        <v>Доставлен</v>
      </c>
      <c r="E974" s="95">
        <f>IFERROR(VLOOKUP($A974,HeadJournal!$A$1:$NTR$890,COLUMN(HeadJournal!G$1),0),"")</f>
        <v>44966</v>
      </c>
      <c r="F974" s="95" t="str">
        <f t="shared" si="79"/>
        <v>2023 02</v>
      </c>
      <c r="G974" s="96" t="s">
        <v>6</v>
      </c>
      <c r="H974" s="160" t="str">
        <f>RIGHT(Journal!$J974,9)</f>
        <v>NRX-00072</v>
      </c>
      <c r="I974" s="96" t="str">
        <f t="shared" si="76"/>
        <v>Nutrex Research</v>
      </c>
      <c r="J974" s="97" t="s">
        <v>186</v>
      </c>
      <c r="K974" s="29">
        <v>28.17</v>
      </c>
      <c r="L974" s="29">
        <v>-3.94</v>
      </c>
      <c r="M974" s="30">
        <f>IFERROR(VLOOKUP($A974,HeadJournal!$A$1:$J$890,COLUMN(HeadJournal!I$1),0)*($K974+$L974)/(SUMIF($A:$A,$A974,$K:$K)+SUMIF($A:$A,$A974,$L:$L)),0)</f>
        <v>1.8233510791366907</v>
      </c>
      <c r="N974" s="30">
        <f>IFERROR((VLOOKUP($A974,HeadJournal!$A$1:$K$890,COLUMN(HeadJournal!K$1),0)-VLOOKUP($A974,HeadJournal!$A$1:$K$890,COLUMN(HeadJournal!J$1),0))*($K974+$L974)/(SUMIF($A:$A,$A974,$K:$K)+SUMIF($A:$A,$A974,$L:$L)),0)</f>
        <v>0</v>
      </c>
      <c r="O974" s="30">
        <f>IFERROR((VLOOKUP($A974,HeadJournal!$A$1:$L$890,COLUMN(HeadJournal!L$1),0)*($K974+$L974)/(SUMIF($A:$A,$A974,$K:$K)+SUMIF($A:$A,$A974,$L:$L)))/VLOOKUP($A974,HeadJournal!$A$1:$L$890,COLUMN(HeadJournal!H$1),0),0)</f>
        <v>2.3054849512822786</v>
      </c>
      <c r="P974" s="30">
        <f>IFERROR(SUM(K974:O974)*VLOOKUP($A974,HeadJournal!$A$1:$L$890,COLUMN(HeadJournal!H$1),0),0)</f>
        <v>1990.1580690647479</v>
      </c>
      <c r="Q974" s="29"/>
      <c r="R974" s="31"/>
      <c r="S974" s="31"/>
      <c r="T974" s="95" t="str">
        <f t="shared" si="80"/>
        <v/>
      </c>
      <c r="U974" s="32">
        <f t="shared" si="77"/>
        <v>-1990.1580690647479</v>
      </c>
      <c r="V974" s="22" t="str">
        <f t="shared" si="78"/>
        <v/>
      </c>
      <c r="X974" s="33"/>
      <c r="Y974" s="33"/>
    </row>
    <row r="975" spans="1:25" x14ac:dyDescent="0.2">
      <c r="A975" s="93" t="s">
        <v>431</v>
      </c>
      <c r="B975" s="94" t="str">
        <f>IFERROR(VLOOKUP($A975,HeadJournal!$A$1:$NTR$890,COLUMN(HeadJournal!B$1),0),"")</f>
        <v>710000613022</v>
      </c>
      <c r="C975" s="94" t="str">
        <f>IFERROR(VLOOKUP($A975,HeadJournal!$A$1:$NTR$890,COLUMN(HeadJournal!C$1),0),"")</f>
        <v>iHerb_MH DLE7202</v>
      </c>
      <c r="D975" s="125" t="str">
        <f>IFERROR(VLOOKUP($A975,HeadJournal!$A$1:$NTR$890,COLUMN(HeadJournal!D$1),0),"")</f>
        <v>Доставлен</v>
      </c>
      <c r="E975" s="95">
        <f>IFERROR(VLOOKUP($A975,HeadJournal!$A$1:$NTR$890,COLUMN(HeadJournal!G$1),0),"")</f>
        <v>44966</v>
      </c>
      <c r="F975" s="95" t="str">
        <f t="shared" si="79"/>
        <v>2023 02</v>
      </c>
      <c r="G975" s="96" t="s">
        <v>5</v>
      </c>
      <c r="H975" s="161" t="s">
        <v>2682</v>
      </c>
      <c r="I975" s="97" t="s">
        <v>2102</v>
      </c>
      <c r="J975" s="97" t="s">
        <v>2683</v>
      </c>
      <c r="K975" s="29">
        <v>7.35</v>
      </c>
      <c r="L975" s="29">
        <v>-1.02</v>
      </c>
      <c r="M975" s="30">
        <f>IFERROR(VLOOKUP($A975,HeadJournal!$A$1:$J$890,COLUMN(HeadJournal!I$1),0)*($K975+$L975)/(SUMIF($A:$A,$A975,$K:$K)+SUMIF($A:$A,$A975,$L:$L)),0)</f>
        <v>0.47634388489208634</v>
      </c>
      <c r="N975" s="30">
        <f>IFERROR((VLOOKUP($A975,HeadJournal!$A$1:$K$890,COLUMN(HeadJournal!K$1),0)-VLOOKUP($A975,HeadJournal!$A$1:$K$890,COLUMN(HeadJournal!J$1),0))*($K975+$L975)/(SUMIF($A:$A,$A975,$K:$K)+SUMIF($A:$A,$A975,$L:$L)),0)</f>
        <v>0</v>
      </c>
      <c r="O975" s="30">
        <f>IFERROR((VLOOKUP($A975,HeadJournal!$A$1:$L$890,COLUMN(HeadJournal!L$1),0)*($K975+$L975)/(SUMIF($A:$A,$A975,$K:$K)+SUMIF($A:$A,$A975,$L:$L)))/VLOOKUP($A975,HeadJournal!$A$1:$L$890,COLUMN(HeadJournal!H$1),0),0)</f>
        <v>0.6022996178958655</v>
      </c>
      <c r="P975" s="30">
        <f>IFERROR(SUM(K975:O975)*VLOOKUP($A975,HeadJournal!$A$1:$L$890,COLUMN(HeadJournal!H$1),0),0)</f>
        <v>519.92160863309346</v>
      </c>
      <c r="Q975" s="29">
        <v>1000</v>
      </c>
      <c r="R975" s="31">
        <v>45012</v>
      </c>
      <c r="S975" s="31" t="s">
        <v>3121</v>
      </c>
      <c r="T975" s="95" t="str">
        <f t="shared" si="80"/>
        <v>2023 03</v>
      </c>
      <c r="U975" s="32">
        <f t="shared" si="77"/>
        <v>480.07839136690654</v>
      </c>
      <c r="V975" s="22">
        <f t="shared" si="78"/>
        <v>0.92336687568932319</v>
      </c>
      <c r="X975" s="33"/>
      <c r="Y975" s="33"/>
    </row>
    <row r="976" spans="1:25" x14ac:dyDescent="0.2">
      <c r="A976" s="93" t="s">
        <v>431</v>
      </c>
      <c r="B976" s="94" t="str">
        <f>IFERROR(VLOOKUP($A976,HeadJournal!$A$1:$NTR$890,COLUMN(HeadJournal!B$1),0),"")</f>
        <v>710000613022</v>
      </c>
      <c r="C976" s="94" t="str">
        <f>IFERROR(VLOOKUP($A976,HeadJournal!$A$1:$NTR$890,COLUMN(HeadJournal!C$1),0),"")</f>
        <v>iHerb_MH DLE7202</v>
      </c>
      <c r="D976" s="125" t="str">
        <f>IFERROR(VLOOKUP($A976,HeadJournal!$A$1:$NTR$890,COLUMN(HeadJournal!D$1),0),"")</f>
        <v>Доставлен</v>
      </c>
      <c r="E976" s="95">
        <f>IFERROR(VLOOKUP($A976,HeadJournal!$A$1:$NTR$890,COLUMN(HeadJournal!G$1),0),"")</f>
        <v>44966</v>
      </c>
      <c r="F976" s="95" t="str">
        <f t="shared" si="79"/>
        <v>2023 02</v>
      </c>
      <c r="G976" s="96" t="s">
        <v>5</v>
      </c>
      <c r="H976" s="160" t="str">
        <f>RIGHT(Journal!$J976,9)</f>
        <v>NWY-15786</v>
      </c>
      <c r="I976" s="96" t="str">
        <f t="shared" si="76"/>
        <v>Nature's Way</v>
      </c>
      <c r="J976" s="97" t="s">
        <v>316</v>
      </c>
      <c r="K976" s="29">
        <v>15.61</v>
      </c>
      <c r="L976" s="29">
        <v>-2.1800000000000002</v>
      </c>
      <c r="M976" s="30">
        <f>IFERROR(VLOOKUP($A976,HeadJournal!$A$1:$J$890,COLUMN(HeadJournal!I$1),0)*($K976+$L976)/(SUMIF($A:$A,$A976,$K:$K)+SUMIF($A:$A,$A976,$L:$L)),0)</f>
        <v>1.010631654676259</v>
      </c>
      <c r="N976" s="30">
        <f>IFERROR((VLOOKUP($A976,HeadJournal!$A$1:$K$890,COLUMN(HeadJournal!K$1),0)-VLOOKUP($A976,HeadJournal!$A$1:$K$890,COLUMN(HeadJournal!J$1),0))*($K976+$L976)/(SUMIF($A:$A,$A976,$K:$K)+SUMIF($A:$A,$A976,$L:$L)),0)</f>
        <v>0</v>
      </c>
      <c r="O976" s="30">
        <f>IFERROR((VLOOKUP($A976,HeadJournal!$A$1:$L$890,COLUMN(HeadJournal!L$1),0)*($K976+$L976)/(SUMIF($A:$A,$A976,$K:$K)+SUMIF($A:$A,$A976,$L:$L)))/VLOOKUP($A976,HeadJournal!$A$1:$L$890,COLUMN(HeadJournal!H$1),0),0)</f>
        <v>1.2778647501329343</v>
      </c>
      <c r="P976" s="30">
        <f>IFERROR(SUM(K976:O976)*VLOOKUP($A976,HeadJournal!$A$1:$L$890,COLUMN(HeadJournal!H$1),0),0)</f>
        <v>1103.0880258992806</v>
      </c>
      <c r="Q976" s="29"/>
      <c r="R976" s="31"/>
      <c r="S976" s="31"/>
      <c r="T976" s="95" t="str">
        <f t="shared" si="80"/>
        <v/>
      </c>
      <c r="U976" s="32">
        <f t="shared" si="77"/>
        <v>-1103.0880258992806</v>
      </c>
      <c r="V976" s="22" t="str">
        <f t="shared" si="78"/>
        <v/>
      </c>
      <c r="X976" s="33"/>
      <c r="Y976" s="33"/>
    </row>
    <row r="977" spans="1:25" x14ac:dyDescent="0.2">
      <c r="A977" s="93" t="s">
        <v>431</v>
      </c>
      <c r="B977" s="94" t="str">
        <f>IFERROR(VLOOKUP($A977,HeadJournal!$A$1:$NTR$890,COLUMN(HeadJournal!B$1),0),"")</f>
        <v>710000613022</v>
      </c>
      <c r="C977" s="94" t="str">
        <f>IFERROR(VLOOKUP($A977,HeadJournal!$A$1:$NTR$890,COLUMN(HeadJournal!C$1),0),"")</f>
        <v>iHerb_MH DLE7202</v>
      </c>
      <c r="D977" s="125" t="str">
        <f>IFERROR(VLOOKUP($A977,HeadJournal!$A$1:$NTR$890,COLUMN(HeadJournal!D$1),0),"")</f>
        <v>Доставлен</v>
      </c>
      <c r="E977" s="95">
        <f>IFERROR(VLOOKUP($A977,HeadJournal!$A$1:$NTR$890,COLUMN(HeadJournal!G$1),0),"")</f>
        <v>44966</v>
      </c>
      <c r="F977" s="95" t="str">
        <f t="shared" si="79"/>
        <v>2023 02</v>
      </c>
      <c r="G977" s="96" t="s">
        <v>5</v>
      </c>
      <c r="H977" s="160" t="str">
        <f>RIGHT(Journal!$J977,9)</f>
        <v>NWY-15789</v>
      </c>
      <c r="I977" s="96" t="str">
        <f t="shared" si="76"/>
        <v>Nature's Way</v>
      </c>
      <c r="J977" s="97" t="s">
        <v>193</v>
      </c>
      <c r="K977" s="29">
        <v>16.760000000000002</v>
      </c>
      <c r="L977" s="29">
        <v>-2.34</v>
      </c>
      <c r="M977" s="30">
        <f>IFERROR(VLOOKUP($A977,HeadJournal!$A$1:$J$890,COLUMN(HeadJournal!I$1),0)*($K977+$L977)/(SUMIF($A:$A,$A977,$K:$K)+SUMIF($A:$A,$A977,$L:$L)),0)</f>
        <v>1.0851309352517986</v>
      </c>
      <c r="N977" s="30">
        <f>IFERROR((VLOOKUP($A977,HeadJournal!$A$1:$K$890,COLUMN(HeadJournal!K$1),0)-VLOOKUP($A977,HeadJournal!$A$1:$K$890,COLUMN(HeadJournal!J$1),0))*($K977+$L977)/(SUMIF($A:$A,$A977,$K:$K)+SUMIF($A:$A,$A977,$L:$L)),0)</f>
        <v>0</v>
      </c>
      <c r="O977" s="30">
        <f>IFERROR((VLOOKUP($A977,HeadJournal!$A$1:$L$890,COLUMN(HeadJournal!L$1),0)*($K977+$L977)/(SUMIF($A:$A,$A977,$K:$K)+SUMIF($A:$A,$A977,$L:$L)))/VLOOKUP($A977,HeadJournal!$A$1:$L$890,COLUMN(HeadJournal!H$1),0),0)</f>
        <v>1.3720632685716245</v>
      </c>
      <c r="P977" s="30">
        <f>IFERROR(SUM(K977:O977)*VLOOKUP($A977,HeadJournal!$A$1:$L$890,COLUMN(HeadJournal!H$1),0),0)</f>
        <v>1184.4027798561151</v>
      </c>
      <c r="Q977" s="29">
        <v>1184.4000000000001</v>
      </c>
      <c r="R977" s="31">
        <v>45259</v>
      </c>
      <c r="S977" s="31" t="s">
        <v>3121</v>
      </c>
      <c r="T977" s="95" t="str">
        <f t="shared" si="80"/>
        <v>2023 11</v>
      </c>
      <c r="U977" s="32">
        <f t="shared" si="77"/>
        <v>-2.7798561150120804E-3</v>
      </c>
      <c r="V977" s="22">
        <f t="shared" si="78"/>
        <v>-2.347053014642355E-6</v>
      </c>
      <c r="X977" s="33"/>
      <c r="Y977" s="33"/>
    </row>
    <row r="978" spans="1:25" x14ac:dyDescent="0.2">
      <c r="A978" s="93" t="s">
        <v>431</v>
      </c>
      <c r="B978" s="94" t="str">
        <f>IFERROR(VLOOKUP($A978,HeadJournal!$A$1:$NTR$890,COLUMN(HeadJournal!B$1),0),"")</f>
        <v>710000613022</v>
      </c>
      <c r="C978" s="94" t="str">
        <f>IFERROR(VLOOKUP($A978,HeadJournal!$A$1:$NTR$890,COLUMN(HeadJournal!C$1),0),"")</f>
        <v>iHerb_MH DLE7202</v>
      </c>
      <c r="D978" s="125" t="str">
        <f>IFERROR(VLOOKUP($A978,HeadJournal!$A$1:$NTR$890,COLUMN(HeadJournal!D$1),0),"")</f>
        <v>Доставлен</v>
      </c>
      <c r="E978" s="95">
        <f>IFERROR(VLOOKUP($A978,HeadJournal!$A$1:$NTR$890,COLUMN(HeadJournal!G$1),0),"")</f>
        <v>44966</v>
      </c>
      <c r="F978" s="95" t="str">
        <f t="shared" si="79"/>
        <v>2023 02</v>
      </c>
      <c r="G978" s="96" t="s">
        <v>5</v>
      </c>
      <c r="H978" s="161" t="s">
        <v>2016</v>
      </c>
      <c r="I978" s="97" t="s">
        <v>2005</v>
      </c>
      <c r="J978" s="97" t="s">
        <v>2017</v>
      </c>
      <c r="K978" s="29">
        <v>25.37</v>
      </c>
      <c r="L978" s="29">
        <v>-2.54</v>
      </c>
      <c r="M978" s="30">
        <f>IFERROR(VLOOKUP($A978,HeadJournal!$A$1:$J$890,COLUMN(HeadJournal!I$1),0)*($K978+$L978)/(SUMIF($A:$A,$A978,$K:$K)+SUMIF($A:$A,$A978,$L:$L)),0)</f>
        <v>1.7179985611510791</v>
      </c>
      <c r="N978" s="30">
        <f>IFERROR((VLOOKUP($A978,HeadJournal!$A$1:$K$890,COLUMN(HeadJournal!K$1),0)-VLOOKUP($A978,HeadJournal!$A$1:$K$890,COLUMN(HeadJournal!J$1),0))*($K978+$L978)/(SUMIF($A:$A,$A978,$K:$K)+SUMIF($A:$A,$A978,$L:$L)),0)</f>
        <v>0</v>
      </c>
      <c r="O978" s="30">
        <f>IFERROR((VLOOKUP($A978,HeadJournal!$A$1:$L$890,COLUMN(HeadJournal!L$1),0)*($K978+$L978)/(SUMIF($A:$A,$A978,$K:$K)+SUMIF($A:$A,$A978,$L:$L)))/VLOOKUP($A978,HeadJournal!$A$1:$L$890,COLUMN(HeadJournal!H$1),0),0)</f>
        <v>2.1722749252073639</v>
      </c>
      <c r="P978" s="30">
        <f>IFERROR(SUM(K978:O978)*VLOOKUP($A978,HeadJournal!$A$1:$L$890,COLUMN(HeadJournal!H$1),0),0)</f>
        <v>1875.1675079136692</v>
      </c>
      <c r="Q978" s="29">
        <v>3400</v>
      </c>
      <c r="R978" s="31">
        <v>45000</v>
      </c>
      <c r="S978" s="31" t="s">
        <v>3121</v>
      </c>
      <c r="T978" s="95" t="str">
        <f t="shared" si="80"/>
        <v>2023 03</v>
      </c>
      <c r="U978" s="32">
        <f t="shared" si="77"/>
        <v>1524.8324920863308</v>
      </c>
      <c r="V978" s="22">
        <f t="shared" si="78"/>
        <v>0.81317134904010535</v>
      </c>
      <c r="X978" s="33"/>
      <c r="Y978" s="33"/>
    </row>
    <row r="979" spans="1:25" x14ac:dyDescent="0.2">
      <c r="A979" s="93" t="s">
        <v>436</v>
      </c>
      <c r="B979" s="94">
        <f>IFERROR(VLOOKUP($A979,HeadJournal!$A$1:$NTR$890,COLUMN(HeadJournal!B$1),0),"")</f>
        <v>0</v>
      </c>
      <c r="C979" s="94" t="str">
        <f>IFERROR(VLOOKUP($A979,HeadJournal!$A$1:$NTR$890,COLUMN(HeadJournal!C$1),0),"")</f>
        <v>WBRS</v>
      </c>
      <c r="D979" s="125" t="str">
        <f>IFERROR(VLOOKUP($A979,HeadJournal!$A$1:$NTR$890,COLUMN(HeadJournal!D$1),0),"")</f>
        <v>Доставлен</v>
      </c>
      <c r="E979" s="95">
        <f>IFERROR(VLOOKUP($A979,HeadJournal!$A$1:$NTR$890,COLUMN(HeadJournal!G$1),0),"")</f>
        <v>44962</v>
      </c>
      <c r="F979" s="95" t="str">
        <f t="shared" si="79"/>
        <v>2023 02</v>
      </c>
      <c r="G979" s="96" t="s">
        <v>7</v>
      </c>
      <c r="H979" s="160" t="str">
        <f>RIGHT(Journal!$J979,9)</f>
        <v>138951460</v>
      </c>
      <c r="I979" s="96" t="str">
        <f t="shared" si="76"/>
        <v>Kirkland</v>
      </c>
      <c r="J979" s="97" t="s">
        <v>437</v>
      </c>
      <c r="K979" s="29">
        <v>510</v>
      </c>
      <c r="L979" s="29"/>
      <c r="M979" s="30">
        <f>IFERROR(VLOOKUP($A979,HeadJournal!$A$1:$J$890,COLUMN(HeadJournal!I$1),0)*($K979+$L979)/(SUMIF($A:$A,$A979,$K:$K)+SUMIF($A:$A,$A979,$L:$L)),0)</f>
        <v>0</v>
      </c>
      <c r="N979" s="30">
        <f>IFERROR((VLOOKUP($A979,HeadJournal!$A$1:$K$890,COLUMN(HeadJournal!K$1),0)-VLOOKUP($A979,HeadJournal!$A$1:$K$890,COLUMN(HeadJournal!J$1),0))*($K979+$L979)/(SUMIF($A:$A,$A979,$K:$K)+SUMIF($A:$A,$A979,$L:$L)),0)</f>
        <v>0</v>
      </c>
      <c r="O979" s="30">
        <f>IFERROR((VLOOKUP($A979,HeadJournal!$A$1:$L$890,COLUMN(HeadJournal!L$1),0)*($K979+$L979)/(SUMIF($A:$A,$A979,$K:$K)+SUMIF($A:$A,$A979,$L:$L)))/VLOOKUP($A979,HeadJournal!$A$1:$L$890,COLUMN(HeadJournal!H$1),0),0)</f>
        <v>76.5</v>
      </c>
      <c r="P979" s="30">
        <f>IFERROR(SUM(K979:O979)*VLOOKUP($A979,HeadJournal!$A$1:$L$890,COLUMN(HeadJournal!H$1),0),0)</f>
        <v>586.5</v>
      </c>
      <c r="Q979" s="29">
        <v>1200</v>
      </c>
      <c r="R979" s="31">
        <v>44974</v>
      </c>
      <c r="S979" s="31" t="s">
        <v>3121</v>
      </c>
      <c r="T979" s="95" t="str">
        <f t="shared" si="80"/>
        <v>2023 02</v>
      </c>
      <c r="U979" s="32">
        <f t="shared" si="77"/>
        <v>613.5</v>
      </c>
      <c r="V979" s="22">
        <f t="shared" si="78"/>
        <v>1.0460358056265984</v>
      </c>
      <c r="X979" s="33"/>
      <c r="Y979" s="33"/>
    </row>
    <row r="980" spans="1:25" x14ac:dyDescent="0.2">
      <c r="A980" s="93" t="s">
        <v>438</v>
      </c>
      <c r="B980" s="94">
        <f>IFERROR(VLOOKUP($A980,HeadJournal!$A$1:$NTR$890,COLUMN(HeadJournal!B$1),0),"")</f>
        <v>0</v>
      </c>
      <c r="C980" s="94" t="str">
        <f>IFERROR(VLOOKUP($A980,HeadJournal!$A$1:$NTR$890,COLUMN(HeadJournal!C$1),0),"")</f>
        <v>WBRS</v>
      </c>
      <c r="D980" s="125" t="str">
        <f>IFERROR(VLOOKUP($A980,HeadJournal!$A$1:$NTR$890,COLUMN(HeadJournal!D$1),0),"")</f>
        <v>Доставлен</v>
      </c>
      <c r="E980" s="95">
        <f>IFERROR(VLOOKUP($A980,HeadJournal!$A$1:$NTR$890,COLUMN(HeadJournal!G$1),0),"")</f>
        <v>44963</v>
      </c>
      <c r="F980" s="95" t="str">
        <f t="shared" si="79"/>
        <v>2023 02</v>
      </c>
      <c r="G980" s="96" t="s">
        <v>7</v>
      </c>
      <c r="H980" s="160" t="str">
        <f>RIGHT(Journal!$J980,9)</f>
        <v>095594532</v>
      </c>
      <c r="I980" s="96" t="str">
        <f t="shared" si="76"/>
        <v>ESEDO</v>
      </c>
      <c r="J980" s="97" t="s">
        <v>439</v>
      </c>
      <c r="K980" s="29">
        <v>282</v>
      </c>
      <c r="L980" s="29"/>
      <c r="M980" s="30">
        <f>IFERROR(VLOOKUP($A980,HeadJournal!$A$1:$J$890,COLUMN(HeadJournal!I$1),0)*($K980+$L980)/(SUMIF($A:$A,$A980,$K:$K)+SUMIF($A:$A,$A980,$L:$L)),0)</f>
        <v>0</v>
      </c>
      <c r="N980" s="30">
        <f>IFERROR((VLOOKUP($A980,HeadJournal!$A$1:$K$890,COLUMN(HeadJournal!K$1),0)-VLOOKUP($A980,HeadJournal!$A$1:$K$890,COLUMN(HeadJournal!J$1),0))*($K980+$L980)/(SUMIF($A:$A,$A980,$K:$K)+SUMIF($A:$A,$A980,$L:$L)),0)</f>
        <v>0</v>
      </c>
      <c r="O980" s="30">
        <f>IFERROR((VLOOKUP($A980,HeadJournal!$A$1:$L$890,COLUMN(HeadJournal!L$1),0)*($K980+$L980)/(SUMIF($A:$A,$A980,$K:$K)+SUMIF($A:$A,$A980,$L:$L)))/VLOOKUP($A980,HeadJournal!$A$1:$L$890,COLUMN(HeadJournal!H$1),0),0)</f>
        <v>42.3</v>
      </c>
      <c r="P980" s="30">
        <f>IFERROR(SUM(K980:O980)*VLOOKUP($A980,HeadJournal!$A$1:$L$890,COLUMN(HeadJournal!H$1),0),0)</f>
        <v>324.3</v>
      </c>
      <c r="Q980" s="29">
        <v>500</v>
      </c>
      <c r="R980" s="31">
        <v>44992</v>
      </c>
      <c r="S980" s="31" t="s">
        <v>3121</v>
      </c>
      <c r="T980" s="95" t="str">
        <f t="shared" si="80"/>
        <v>2023 03</v>
      </c>
      <c r="U980" s="32">
        <f t="shared" si="77"/>
        <v>175.7</v>
      </c>
      <c r="V980" s="22">
        <f t="shared" si="78"/>
        <v>0.54178230033919206</v>
      </c>
      <c r="X980" s="33"/>
      <c r="Y980" s="33"/>
    </row>
    <row r="981" spans="1:25" x14ac:dyDescent="0.2">
      <c r="A981" s="93" t="s">
        <v>438</v>
      </c>
      <c r="B981" s="94">
        <f>IFERROR(VLOOKUP($A981,HeadJournal!$A$1:$NTR$890,COLUMN(HeadJournal!B$1),0),"")</f>
        <v>0</v>
      </c>
      <c r="C981" s="94" t="str">
        <f>IFERROR(VLOOKUP($A981,HeadJournal!$A$1:$NTR$890,COLUMN(HeadJournal!C$1),0),"")</f>
        <v>WBRS</v>
      </c>
      <c r="D981" s="125" t="str">
        <f>IFERROR(VLOOKUP($A981,HeadJournal!$A$1:$NTR$890,COLUMN(HeadJournal!D$1),0),"")</f>
        <v>Доставлен</v>
      </c>
      <c r="E981" s="95">
        <f>IFERROR(VLOOKUP($A981,HeadJournal!$A$1:$NTR$890,COLUMN(HeadJournal!G$1),0),"")</f>
        <v>44963</v>
      </c>
      <c r="F981" s="95" t="str">
        <f t="shared" si="79"/>
        <v>2023 02</v>
      </c>
      <c r="G981" s="96" t="s">
        <v>7</v>
      </c>
      <c r="H981" s="160" t="str">
        <f>RIGHT(Journal!$J981,9)</f>
        <v>095594532</v>
      </c>
      <c r="I981" s="96" t="str">
        <f t="shared" si="76"/>
        <v>ESEDO</v>
      </c>
      <c r="J981" s="97" t="s">
        <v>439</v>
      </c>
      <c r="K981" s="29">
        <v>282</v>
      </c>
      <c r="L981" s="29"/>
      <c r="M981" s="30">
        <f>IFERROR(VLOOKUP($A981,HeadJournal!$A$1:$J$890,COLUMN(HeadJournal!I$1),0)*($K981+$L981)/(SUMIF($A:$A,$A981,$K:$K)+SUMIF($A:$A,$A981,$L:$L)),0)</f>
        <v>0</v>
      </c>
      <c r="N981" s="30">
        <f>IFERROR((VLOOKUP($A981,HeadJournal!$A$1:$K$890,COLUMN(HeadJournal!K$1),0)-VLOOKUP($A981,HeadJournal!$A$1:$K$890,COLUMN(HeadJournal!J$1),0))*($K981+$L981)/(SUMIF($A:$A,$A981,$K:$K)+SUMIF($A:$A,$A981,$L:$L)),0)</f>
        <v>0</v>
      </c>
      <c r="O981" s="30">
        <f>IFERROR((VLOOKUP($A981,HeadJournal!$A$1:$L$890,COLUMN(HeadJournal!L$1),0)*($K981+$L981)/(SUMIF($A:$A,$A981,$K:$K)+SUMIF($A:$A,$A981,$L:$L)))/VLOOKUP($A981,HeadJournal!$A$1:$L$890,COLUMN(HeadJournal!H$1),0),0)</f>
        <v>42.3</v>
      </c>
      <c r="P981" s="30">
        <f>IFERROR(SUM(K981:O981)*VLOOKUP($A981,HeadJournal!$A$1:$L$890,COLUMN(HeadJournal!H$1),0),0)</f>
        <v>324.3</v>
      </c>
      <c r="Q981" s="29">
        <v>600</v>
      </c>
      <c r="R981" s="31">
        <v>45004</v>
      </c>
      <c r="S981" s="31" t="s">
        <v>3121</v>
      </c>
      <c r="T981" s="95" t="str">
        <f t="shared" si="80"/>
        <v>2023 03</v>
      </c>
      <c r="U981" s="32">
        <f t="shared" si="77"/>
        <v>275.7</v>
      </c>
      <c r="V981" s="22">
        <f t="shared" si="78"/>
        <v>0.85013876040703051</v>
      </c>
      <c r="X981" s="33"/>
      <c r="Y981" s="33"/>
    </row>
    <row r="982" spans="1:25" x14ac:dyDescent="0.2">
      <c r="A982" s="93" t="s">
        <v>438</v>
      </c>
      <c r="B982" s="94">
        <f>IFERROR(VLOOKUP($A982,HeadJournal!$A$1:$NTR$890,COLUMN(HeadJournal!B$1),0),"")</f>
        <v>0</v>
      </c>
      <c r="C982" s="94" t="str">
        <f>IFERROR(VLOOKUP($A982,HeadJournal!$A$1:$NTR$890,COLUMN(HeadJournal!C$1),0),"")</f>
        <v>WBRS</v>
      </c>
      <c r="D982" s="125" t="str">
        <f>IFERROR(VLOOKUP($A982,HeadJournal!$A$1:$NTR$890,COLUMN(HeadJournal!D$1),0),"")</f>
        <v>Доставлен</v>
      </c>
      <c r="E982" s="95">
        <f>IFERROR(VLOOKUP($A982,HeadJournal!$A$1:$NTR$890,COLUMN(HeadJournal!G$1),0),"")</f>
        <v>44963</v>
      </c>
      <c r="F982" s="95" t="str">
        <f t="shared" si="79"/>
        <v>2023 02</v>
      </c>
      <c r="G982" s="96" t="s">
        <v>7</v>
      </c>
      <c r="H982" s="160" t="str">
        <f>RIGHT(Journal!$J982,9)</f>
        <v>095594532</v>
      </c>
      <c r="I982" s="96" t="str">
        <f t="shared" si="76"/>
        <v>ESEDO</v>
      </c>
      <c r="J982" s="97" t="s">
        <v>439</v>
      </c>
      <c r="K982" s="29">
        <v>282</v>
      </c>
      <c r="L982" s="29"/>
      <c r="M982" s="30">
        <f>IFERROR(VLOOKUP($A982,HeadJournal!$A$1:$J$890,COLUMN(HeadJournal!I$1),0)*($K982+$L982)/(SUMIF($A:$A,$A982,$K:$K)+SUMIF($A:$A,$A982,$L:$L)),0)</f>
        <v>0</v>
      </c>
      <c r="N982" s="30">
        <f>IFERROR((VLOOKUP($A982,HeadJournal!$A$1:$K$890,COLUMN(HeadJournal!K$1),0)-VLOOKUP($A982,HeadJournal!$A$1:$K$890,COLUMN(HeadJournal!J$1),0))*($K982+$L982)/(SUMIF($A:$A,$A982,$K:$K)+SUMIF($A:$A,$A982,$L:$L)),0)</f>
        <v>0</v>
      </c>
      <c r="O982" s="30">
        <f>IFERROR((VLOOKUP($A982,HeadJournal!$A$1:$L$890,COLUMN(HeadJournal!L$1),0)*($K982+$L982)/(SUMIF($A:$A,$A982,$K:$K)+SUMIF($A:$A,$A982,$L:$L)))/VLOOKUP($A982,HeadJournal!$A$1:$L$890,COLUMN(HeadJournal!H$1),0),0)</f>
        <v>42.3</v>
      </c>
      <c r="P982" s="30">
        <f>IFERROR(SUM(K982:O982)*VLOOKUP($A982,HeadJournal!$A$1:$L$890,COLUMN(HeadJournal!H$1),0),0)</f>
        <v>324.3</v>
      </c>
      <c r="Q982" s="29"/>
      <c r="R982" s="31"/>
      <c r="S982" s="31"/>
      <c r="T982" s="95" t="str">
        <f t="shared" si="80"/>
        <v/>
      </c>
      <c r="U982" s="32">
        <f t="shared" si="77"/>
        <v>-324.3</v>
      </c>
      <c r="V982" s="22" t="str">
        <f t="shared" si="78"/>
        <v/>
      </c>
      <c r="X982" s="33"/>
      <c r="Y982" s="33"/>
    </row>
    <row r="983" spans="1:25" x14ac:dyDescent="0.2">
      <c r="A983" s="93" t="s">
        <v>440</v>
      </c>
      <c r="B983" s="94">
        <f>IFERROR(VLOOKUP($A983,HeadJournal!$A$1:$NTR$890,COLUMN(HeadJournal!B$1),0),"")</f>
        <v>0</v>
      </c>
      <c r="C983" s="94" t="str">
        <f>IFERROR(VLOOKUP($A983,HeadJournal!$A$1:$NTR$890,COLUMN(HeadJournal!C$1),0),"")</f>
        <v>WBRS</v>
      </c>
      <c r="D983" s="125" t="str">
        <f>IFERROR(VLOOKUP($A983,HeadJournal!$A$1:$NTR$890,COLUMN(HeadJournal!D$1),0),"")</f>
        <v>Доставлен</v>
      </c>
      <c r="E983" s="95">
        <f>IFERROR(VLOOKUP($A983,HeadJournal!$A$1:$NTR$890,COLUMN(HeadJournal!G$1),0),"")</f>
        <v>44964</v>
      </c>
      <c r="F983" s="95" t="str">
        <f t="shared" si="79"/>
        <v>2023 02</v>
      </c>
      <c r="G983" s="96" t="s">
        <v>6</v>
      </c>
      <c r="H983" s="160" t="str">
        <f>RIGHT(Journal!$J983,9)</f>
        <v>115732310</v>
      </c>
      <c r="I983" s="96" t="str">
        <f t="shared" si="76"/>
        <v>Universal Nutrition</v>
      </c>
      <c r="J983" s="97" t="s">
        <v>347</v>
      </c>
      <c r="K983" s="29">
        <v>3539</v>
      </c>
      <c r="L983" s="29"/>
      <c r="M983" s="30">
        <f>IFERROR(VLOOKUP($A983,HeadJournal!$A$1:$J$890,COLUMN(HeadJournal!I$1),0)*($K983+$L983)/(SUMIF($A:$A,$A983,$K:$K)+SUMIF($A:$A,$A983,$L:$L)),0)</f>
        <v>0</v>
      </c>
      <c r="N983" s="30">
        <f>IFERROR((VLOOKUP($A983,HeadJournal!$A$1:$K$890,COLUMN(HeadJournal!K$1),0)-VLOOKUP($A983,HeadJournal!$A$1:$K$890,COLUMN(HeadJournal!J$1),0))*($K983+$L983)/(SUMIF($A:$A,$A983,$K:$K)+SUMIF($A:$A,$A983,$L:$L)),0)</f>
        <v>0</v>
      </c>
      <c r="O983" s="30">
        <f>IFERROR((VLOOKUP($A983,HeadJournal!$A$1:$L$890,COLUMN(HeadJournal!L$1),0)*($K983+$L983)/(SUMIF($A:$A,$A983,$K:$K)+SUMIF($A:$A,$A983,$L:$L)))/VLOOKUP($A983,HeadJournal!$A$1:$L$890,COLUMN(HeadJournal!H$1),0),0)</f>
        <v>530.85</v>
      </c>
      <c r="P983" s="30">
        <f>IFERROR(SUM(K983:O983)*VLOOKUP($A983,HeadJournal!$A$1:$L$890,COLUMN(HeadJournal!H$1),0),0)</f>
        <v>4069.85</v>
      </c>
      <c r="Q983" s="29">
        <v>5000</v>
      </c>
      <c r="R983" s="31">
        <v>44972</v>
      </c>
      <c r="S983" s="31" t="s">
        <v>3121</v>
      </c>
      <c r="T983" s="95" t="str">
        <f t="shared" si="80"/>
        <v>2023 02</v>
      </c>
      <c r="U983" s="32">
        <f t="shared" si="77"/>
        <v>930.15000000000009</v>
      </c>
      <c r="V983" s="22">
        <f t="shared" si="78"/>
        <v>0.22854650662800843</v>
      </c>
      <c r="X983" s="33"/>
      <c r="Y983" s="33"/>
    </row>
    <row r="984" spans="1:25" x14ac:dyDescent="0.2">
      <c r="A984" s="93" t="s">
        <v>440</v>
      </c>
      <c r="B984" s="94">
        <f>IFERROR(VLOOKUP($A984,HeadJournal!$A$1:$NTR$890,COLUMN(HeadJournal!B$1),0),"")</f>
        <v>0</v>
      </c>
      <c r="C984" s="94" t="str">
        <f>IFERROR(VLOOKUP($A984,HeadJournal!$A$1:$NTR$890,COLUMN(HeadJournal!C$1),0),"")</f>
        <v>WBRS</v>
      </c>
      <c r="D984" s="125" t="str">
        <f>IFERROR(VLOOKUP($A984,HeadJournal!$A$1:$NTR$890,COLUMN(HeadJournal!D$1),0),"")</f>
        <v>Доставлен</v>
      </c>
      <c r="E984" s="95">
        <f>IFERROR(VLOOKUP($A984,HeadJournal!$A$1:$NTR$890,COLUMN(HeadJournal!G$1),0),"")</f>
        <v>44964</v>
      </c>
      <c r="F984" s="95" t="str">
        <f t="shared" si="79"/>
        <v>2023 02</v>
      </c>
      <c r="G984" s="96" t="s">
        <v>6</v>
      </c>
      <c r="H984" s="160" t="str">
        <f>RIGHT(Journal!$J984,9)</f>
        <v>115732310</v>
      </c>
      <c r="I984" s="96" t="str">
        <f t="shared" si="76"/>
        <v>Universal Nutrition</v>
      </c>
      <c r="J984" s="97" t="s">
        <v>347</v>
      </c>
      <c r="K984" s="29">
        <v>3539</v>
      </c>
      <c r="L984" s="29"/>
      <c r="M984" s="30">
        <f>IFERROR(VLOOKUP($A984,HeadJournal!$A$1:$J$890,COLUMN(HeadJournal!I$1),0)*($K984+$L984)/(SUMIF($A:$A,$A984,$K:$K)+SUMIF($A:$A,$A984,$L:$L)),0)</f>
        <v>0</v>
      </c>
      <c r="N984" s="30">
        <f>IFERROR((VLOOKUP($A984,HeadJournal!$A$1:$K$890,COLUMN(HeadJournal!K$1),0)-VLOOKUP($A984,HeadJournal!$A$1:$K$890,COLUMN(HeadJournal!J$1),0))*($K984+$L984)/(SUMIF($A:$A,$A984,$K:$K)+SUMIF($A:$A,$A984,$L:$L)),0)</f>
        <v>0</v>
      </c>
      <c r="O984" s="30">
        <f>IFERROR((VLOOKUP($A984,HeadJournal!$A$1:$L$890,COLUMN(HeadJournal!L$1),0)*($K984+$L984)/(SUMIF($A:$A,$A984,$K:$K)+SUMIF($A:$A,$A984,$L:$L)))/VLOOKUP($A984,HeadJournal!$A$1:$L$890,COLUMN(HeadJournal!H$1),0),0)</f>
        <v>530.85</v>
      </c>
      <c r="P984" s="30">
        <f>IFERROR(SUM(K984:O984)*VLOOKUP($A984,HeadJournal!$A$1:$L$890,COLUMN(HeadJournal!H$1),0),0)</f>
        <v>4069.85</v>
      </c>
      <c r="Q984" s="29">
        <v>6000</v>
      </c>
      <c r="R984" s="31">
        <v>44978</v>
      </c>
      <c r="S984" s="31" t="s">
        <v>3121</v>
      </c>
      <c r="T984" s="95" t="str">
        <f t="shared" si="80"/>
        <v>2023 02</v>
      </c>
      <c r="U984" s="32">
        <f t="shared" si="77"/>
        <v>1930.15</v>
      </c>
      <c r="V984" s="22">
        <f t="shared" si="78"/>
        <v>0.47425580795361011</v>
      </c>
      <c r="X984" s="33"/>
      <c r="Y984" s="33"/>
    </row>
    <row r="985" spans="1:25" x14ac:dyDescent="0.2">
      <c r="A985" s="93" t="s">
        <v>441</v>
      </c>
      <c r="B985" s="94">
        <f>IFERROR(VLOOKUP($A985,HeadJournal!$A$1:$NTR$890,COLUMN(HeadJournal!B$1),0),"")</f>
        <v>0</v>
      </c>
      <c r="C985" s="94" t="str">
        <f>IFERROR(VLOOKUP($A985,HeadJournal!$A$1:$NTR$890,COLUMN(HeadJournal!C$1),0),"")</f>
        <v>OZON_AV</v>
      </c>
      <c r="D985" s="125" t="str">
        <f>IFERROR(VLOOKUP($A985,HeadJournal!$A$1:$NTR$890,COLUMN(HeadJournal!D$1),0),"")</f>
        <v>Доставлен</v>
      </c>
      <c r="E985" s="95">
        <f>IFERROR(VLOOKUP($A985,HeadJournal!$A$1:$NTR$890,COLUMN(HeadJournal!G$1),0),"")</f>
        <v>44962</v>
      </c>
      <c r="F985" s="95" t="str">
        <f t="shared" si="79"/>
        <v>2023 02</v>
      </c>
      <c r="G985" s="96" t="s">
        <v>6</v>
      </c>
      <c r="H985" s="160" t="str">
        <f>RIGHT(Journal!$J985,9)</f>
        <v>523338483</v>
      </c>
      <c r="I985" s="96" t="str">
        <f t="shared" si="76"/>
        <v>GLS</v>
      </c>
      <c r="J985" s="97" t="s">
        <v>442</v>
      </c>
      <c r="K985" s="29">
        <v>377</v>
      </c>
      <c r="L985" s="29"/>
      <c r="M985" s="30">
        <f>IFERROR(VLOOKUP($A985,HeadJournal!$A$1:$J$890,COLUMN(HeadJournal!I$1),0)*($K985+$L985)/(SUMIF($A:$A,$A985,$K:$K)+SUMIF($A:$A,$A985,$L:$L)),0)</f>
        <v>0</v>
      </c>
      <c r="N985" s="30">
        <f>IFERROR((VLOOKUP($A985,HeadJournal!$A$1:$K$890,COLUMN(HeadJournal!K$1),0)-VLOOKUP($A985,HeadJournal!$A$1:$K$890,COLUMN(HeadJournal!J$1),0))*($K985+$L985)/(SUMIF($A:$A,$A985,$K:$K)+SUMIF($A:$A,$A985,$L:$L)),0)</f>
        <v>0</v>
      </c>
      <c r="O985" s="30">
        <f>IFERROR((VLOOKUP($A985,HeadJournal!$A$1:$L$890,COLUMN(HeadJournal!L$1),0)*($K985+$L985)/(SUMIF($A:$A,$A985,$K:$K)+SUMIF($A:$A,$A985,$L:$L)))/VLOOKUP($A985,HeadJournal!$A$1:$L$890,COLUMN(HeadJournal!H$1),0),0)</f>
        <v>56.55</v>
      </c>
      <c r="P985" s="30">
        <f>IFERROR(SUM(K985:O985)*VLOOKUP($A985,HeadJournal!$A$1:$L$890,COLUMN(HeadJournal!H$1),0),0)</f>
        <v>433.55</v>
      </c>
      <c r="Q985" s="29">
        <v>900</v>
      </c>
      <c r="R985" s="31">
        <v>44972</v>
      </c>
      <c r="S985" s="31" t="s">
        <v>3121</v>
      </c>
      <c r="T985" s="95" t="str">
        <f t="shared" si="80"/>
        <v>2023 02</v>
      </c>
      <c r="U985" s="32">
        <f t="shared" si="77"/>
        <v>466.45</v>
      </c>
      <c r="V985" s="22">
        <f t="shared" si="78"/>
        <v>1.0758851343558988</v>
      </c>
      <c r="X985" s="33"/>
      <c r="Y985" s="33"/>
    </row>
    <row r="986" spans="1:25" x14ac:dyDescent="0.2">
      <c r="A986" s="93" t="s">
        <v>443</v>
      </c>
      <c r="B986" s="94">
        <f>IFERROR(VLOOKUP($A986,HeadJournal!$A$1:$NTR$890,COLUMN(HeadJournal!B$1),0),"")</f>
        <v>0</v>
      </c>
      <c r="C986" s="94" t="str">
        <f>IFERROR(VLOOKUP($A986,HeadJournal!$A$1:$NTR$890,COLUMN(HeadJournal!C$1),0),"")</f>
        <v>OZON_AV</v>
      </c>
      <c r="D986" s="125" t="str">
        <f>IFERROR(VLOOKUP($A986,HeadJournal!$A$1:$NTR$890,COLUMN(HeadJournal!D$1),0),"")</f>
        <v>Доставлен</v>
      </c>
      <c r="E986" s="95">
        <f>IFERROR(VLOOKUP($A986,HeadJournal!$A$1:$NTR$890,COLUMN(HeadJournal!G$1),0),"")</f>
        <v>44963</v>
      </c>
      <c r="F986" s="95" t="str">
        <f t="shared" si="79"/>
        <v>2023 02</v>
      </c>
      <c r="G986" s="96" t="s">
        <v>6</v>
      </c>
      <c r="H986" s="160" t="str">
        <f>RIGHT(Journal!$J986,9)</f>
        <v>571221608</v>
      </c>
      <c r="I986" s="96" t="str">
        <f t="shared" si="76"/>
        <v>SOLAB</v>
      </c>
      <c r="J986" s="97" t="s">
        <v>444</v>
      </c>
      <c r="K986" s="29">
        <v>476.82</v>
      </c>
      <c r="L986" s="29"/>
      <c r="M986" s="30">
        <f>IFERROR(VLOOKUP($A986,HeadJournal!$A$1:$J$890,COLUMN(HeadJournal!I$1),0)*($K986+$L986)/(SUMIF($A:$A,$A986,$K:$K)+SUMIF($A:$A,$A986,$L:$L)),0)</f>
        <v>0</v>
      </c>
      <c r="N986" s="30">
        <f>IFERROR((VLOOKUP($A986,HeadJournal!$A$1:$K$890,COLUMN(HeadJournal!K$1),0)-VLOOKUP($A986,HeadJournal!$A$1:$K$890,COLUMN(HeadJournal!J$1),0))*($K986+$L986)/(SUMIF($A:$A,$A986,$K:$K)+SUMIF($A:$A,$A986,$L:$L)),0)</f>
        <v>0</v>
      </c>
      <c r="O986" s="30">
        <f>IFERROR((VLOOKUP($A986,HeadJournal!$A$1:$L$890,COLUMN(HeadJournal!L$1),0)*($K986+$L986)/(SUMIF($A:$A,$A986,$K:$K)+SUMIF($A:$A,$A986,$L:$L)))/VLOOKUP($A986,HeadJournal!$A$1:$L$890,COLUMN(HeadJournal!H$1),0),0)</f>
        <v>71.522999999999996</v>
      </c>
      <c r="P986" s="30">
        <f>IFERROR(SUM(K986:O986)*VLOOKUP($A986,HeadJournal!$A$1:$L$890,COLUMN(HeadJournal!H$1),0),0)</f>
        <v>548.34299999999996</v>
      </c>
      <c r="Q986" s="29">
        <v>1100</v>
      </c>
      <c r="R986" s="31">
        <v>44973</v>
      </c>
      <c r="S986" s="31" t="s">
        <v>3121</v>
      </c>
      <c r="T986" s="95" t="str">
        <f t="shared" si="80"/>
        <v>2023 02</v>
      </c>
      <c r="U986" s="32">
        <f t="shared" si="77"/>
        <v>551.65700000000004</v>
      </c>
      <c r="V986" s="22">
        <f t="shared" si="78"/>
        <v>1.0060436624521514</v>
      </c>
      <c r="X986" s="33"/>
      <c r="Y986" s="33"/>
    </row>
    <row r="987" spans="1:25" x14ac:dyDescent="0.2">
      <c r="A987" s="93" t="s">
        <v>443</v>
      </c>
      <c r="B987" s="94">
        <f>IFERROR(VLOOKUP($A987,HeadJournal!$A$1:$NTR$890,COLUMN(HeadJournal!B$1),0),"")</f>
        <v>0</v>
      </c>
      <c r="C987" s="94" t="str">
        <f>IFERROR(VLOOKUP($A987,HeadJournal!$A$1:$NTR$890,COLUMN(HeadJournal!C$1),0),"")</f>
        <v>OZON_AV</v>
      </c>
      <c r="D987" s="125" t="str">
        <f>IFERROR(VLOOKUP($A987,HeadJournal!$A$1:$NTR$890,COLUMN(HeadJournal!D$1),0),"")</f>
        <v>Доставлен</v>
      </c>
      <c r="E987" s="95">
        <f>IFERROR(VLOOKUP($A987,HeadJournal!$A$1:$NTR$890,COLUMN(HeadJournal!G$1),0),"")</f>
        <v>44963</v>
      </c>
      <c r="F987" s="95" t="str">
        <f t="shared" si="79"/>
        <v>2023 02</v>
      </c>
      <c r="G987" s="96" t="s">
        <v>6</v>
      </c>
      <c r="H987" s="160" t="str">
        <f>RIGHT(Journal!$J987,9)</f>
        <v>571221608</v>
      </c>
      <c r="I987" s="96" t="str">
        <f t="shared" si="76"/>
        <v>SOLAB</v>
      </c>
      <c r="J987" s="97" t="s">
        <v>444</v>
      </c>
      <c r="K987" s="29">
        <v>476.82</v>
      </c>
      <c r="L987" s="29"/>
      <c r="M987" s="30">
        <f>IFERROR(VLOOKUP($A987,HeadJournal!$A$1:$J$890,COLUMN(HeadJournal!I$1),0)*($K987+$L987)/(SUMIF($A:$A,$A987,$K:$K)+SUMIF($A:$A,$A987,$L:$L)),0)</f>
        <v>0</v>
      </c>
      <c r="N987" s="30">
        <f>IFERROR((VLOOKUP($A987,HeadJournal!$A$1:$K$890,COLUMN(HeadJournal!K$1),0)-VLOOKUP($A987,HeadJournal!$A$1:$K$890,COLUMN(HeadJournal!J$1),0))*($K987+$L987)/(SUMIF($A:$A,$A987,$K:$K)+SUMIF($A:$A,$A987,$L:$L)),0)</f>
        <v>0</v>
      </c>
      <c r="O987" s="30">
        <f>IFERROR((VLOOKUP($A987,HeadJournal!$A$1:$L$890,COLUMN(HeadJournal!L$1),0)*($K987+$L987)/(SUMIF($A:$A,$A987,$K:$K)+SUMIF($A:$A,$A987,$L:$L)))/VLOOKUP($A987,HeadJournal!$A$1:$L$890,COLUMN(HeadJournal!H$1),0),0)</f>
        <v>71.522999999999996</v>
      </c>
      <c r="P987" s="30">
        <f>IFERROR(SUM(K987:O987)*VLOOKUP($A987,HeadJournal!$A$1:$L$890,COLUMN(HeadJournal!H$1),0),0)</f>
        <v>548.34299999999996</v>
      </c>
      <c r="Q987" s="29">
        <v>1100</v>
      </c>
      <c r="R987" s="31">
        <v>44980</v>
      </c>
      <c r="S987" s="31" t="s">
        <v>3121</v>
      </c>
      <c r="T987" s="95" t="str">
        <f t="shared" si="80"/>
        <v>2023 02</v>
      </c>
      <c r="U987" s="32">
        <f t="shared" si="77"/>
        <v>551.65700000000004</v>
      </c>
      <c r="V987" s="22">
        <f t="shared" si="78"/>
        <v>1.0060436624521514</v>
      </c>
      <c r="X987" s="33"/>
      <c r="Y987" s="33"/>
    </row>
    <row r="988" spans="1:25" x14ac:dyDescent="0.2">
      <c r="A988" s="93" t="s">
        <v>441</v>
      </c>
      <c r="B988" s="94">
        <f>IFERROR(VLOOKUP($A988,HeadJournal!$A$1:$NTR$890,COLUMN(HeadJournal!B$1),0),"")</f>
        <v>0</v>
      </c>
      <c r="C988" s="94" t="str">
        <f>IFERROR(VLOOKUP($A988,HeadJournal!$A$1:$NTR$890,COLUMN(HeadJournal!C$1),0),"")</f>
        <v>OZON_AV</v>
      </c>
      <c r="D988" s="125" t="str">
        <f>IFERROR(VLOOKUP($A988,HeadJournal!$A$1:$NTR$890,COLUMN(HeadJournal!D$1),0),"")</f>
        <v>Доставлен</v>
      </c>
      <c r="E988" s="95">
        <f>IFERROR(VLOOKUP($A988,HeadJournal!$A$1:$NTR$890,COLUMN(HeadJournal!G$1),0),"")</f>
        <v>44962</v>
      </c>
      <c r="F988" s="95" t="str">
        <f t="shared" si="79"/>
        <v>2023 02</v>
      </c>
      <c r="G988" s="96" t="s">
        <v>6</v>
      </c>
      <c r="H988" s="160" t="str">
        <f>RIGHT(Journal!$J988,9)</f>
        <v>523338483</v>
      </c>
      <c r="I988" s="96" t="str">
        <f t="shared" si="76"/>
        <v>GLS</v>
      </c>
      <c r="J988" s="97" t="s">
        <v>442</v>
      </c>
      <c r="K988" s="29">
        <v>377</v>
      </c>
      <c r="L988" s="29"/>
      <c r="M988" s="30">
        <f>IFERROR(VLOOKUP($A988,HeadJournal!$A$1:$J$890,COLUMN(HeadJournal!I$1),0)*($K988+$L988)/(SUMIF($A:$A,$A988,$K:$K)+SUMIF($A:$A,$A988,$L:$L)),0)</f>
        <v>0</v>
      </c>
      <c r="N988" s="30">
        <f>IFERROR((VLOOKUP($A988,HeadJournal!$A$1:$K$890,COLUMN(HeadJournal!K$1),0)-VLOOKUP($A988,HeadJournal!$A$1:$K$890,COLUMN(HeadJournal!J$1),0))*($K988+$L988)/(SUMIF($A:$A,$A988,$K:$K)+SUMIF($A:$A,$A988,$L:$L)),0)</f>
        <v>0</v>
      </c>
      <c r="O988" s="30">
        <f>IFERROR((VLOOKUP($A988,HeadJournal!$A$1:$L$890,COLUMN(HeadJournal!L$1),0)*($K988+$L988)/(SUMIF($A:$A,$A988,$K:$K)+SUMIF($A:$A,$A988,$L:$L)))/VLOOKUP($A988,HeadJournal!$A$1:$L$890,COLUMN(HeadJournal!H$1),0),0)</f>
        <v>56.55</v>
      </c>
      <c r="P988" s="30">
        <f>IFERROR(SUM(K988:O988)*VLOOKUP($A988,HeadJournal!$A$1:$L$890,COLUMN(HeadJournal!H$1),0),0)</f>
        <v>433.55</v>
      </c>
      <c r="Q988" s="29">
        <v>900</v>
      </c>
      <c r="R988" s="31">
        <v>44972</v>
      </c>
      <c r="S988" s="31" t="s">
        <v>3121</v>
      </c>
      <c r="T988" s="95" t="str">
        <f t="shared" si="80"/>
        <v>2023 02</v>
      </c>
      <c r="U988" s="32">
        <f t="shared" si="77"/>
        <v>466.45</v>
      </c>
      <c r="V988" s="22">
        <f t="shared" si="78"/>
        <v>1.0758851343558988</v>
      </c>
      <c r="X988" s="33"/>
      <c r="Y988" s="33"/>
    </row>
    <row r="989" spans="1:25" x14ac:dyDescent="0.2">
      <c r="A989" s="93" t="s">
        <v>445</v>
      </c>
      <c r="B989" s="94">
        <f>IFERROR(VLOOKUP($A989,HeadJournal!$A$1:$NTR$890,COLUMN(HeadJournal!B$1),0),"")</f>
        <v>0</v>
      </c>
      <c r="C989" s="94" t="str">
        <f>IFERROR(VLOOKUP($A989,HeadJournal!$A$1:$NTR$890,COLUMN(HeadJournal!C$1),0),"")</f>
        <v>OZON_AV</v>
      </c>
      <c r="D989" s="125" t="str">
        <f>IFERROR(VLOOKUP($A989,HeadJournal!$A$1:$NTR$890,COLUMN(HeadJournal!D$1),0),"")</f>
        <v>Доставлен</v>
      </c>
      <c r="E989" s="95">
        <f>IFERROR(VLOOKUP($A989,HeadJournal!$A$1:$NTR$890,COLUMN(HeadJournal!G$1),0),"")</f>
        <v>44966</v>
      </c>
      <c r="F989" s="95" t="str">
        <f t="shared" si="79"/>
        <v>2023 02</v>
      </c>
      <c r="G989" s="96" t="s">
        <v>6</v>
      </c>
      <c r="H989" s="160" t="str">
        <f>RIGHT(Journal!$J989,9)</f>
        <v>833368638</v>
      </c>
      <c r="I989" s="96" t="str">
        <f t="shared" si="76"/>
        <v>OstroVit</v>
      </c>
      <c r="J989" s="97" t="s">
        <v>446</v>
      </c>
      <c r="K989" s="29">
        <v>1513</v>
      </c>
      <c r="L989" s="29"/>
      <c r="M989" s="30">
        <f>IFERROR(VLOOKUP($A989,HeadJournal!$A$1:$J$890,COLUMN(HeadJournal!I$1),0)*($K989+$L989)/(SUMIF($A:$A,$A989,$K:$K)+SUMIF($A:$A,$A989,$L:$L)),0)</f>
        <v>0</v>
      </c>
      <c r="N989" s="30">
        <f>IFERROR((VLOOKUP($A989,HeadJournal!$A$1:$K$890,COLUMN(HeadJournal!K$1),0)-VLOOKUP($A989,HeadJournal!$A$1:$K$890,COLUMN(HeadJournal!J$1),0))*($K989+$L989)/(SUMIF($A:$A,$A989,$K:$K)+SUMIF($A:$A,$A989,$L:$L)),0)</f>
        <v>0</v>
      </c>
      <c r="O989" s="30">
        <f>IFERROR((VLOOKUP($A989,HeadJournal!$A$1:$L$890,COLUMN(HeadJournal!L$1),0)*($K989+$L989)/(SUMIF($A:$A,$A989,$K:$K)+SUMIF($A:$A,$A989,$L:$L)))/VLOOKUP($A989,HeadJournal!$A$1:$L$890,COLUMN(HeadJournal!H$1),0),0)</f>
        <v>226.95000000000002</v>
      </c>
      <c r="P989" s="30">
        <f>IFERROR(SUM(K989:O989)*VLOOKUP($A989,HeadJournal!$A$1:$L$890,COLUMN(HeadJournal!H$1),0),0)</f>
        <v>1739.95</v>
      </c>
      <c r="Q989" s="29">
        <v>2400</v>
      </c>
      <c r="R989" s="31">
        <v>44980</v>
      </c>
      <c r="S989" s="31" t="s">
        <v>3121</v>
      </c>
      <c r="T989" s="95" t="str">
        <f t="shared" si="80"/>
        <v>2023 02</v>
      </c>
      <c r="U989" s="32">
        <f t="shared" si="77"/>
        <v>660.05</v>
      </c>
      <c r="V989" s="22">
        <f t="shared" si="78"/>
        <v>0.37934998132130232</v>
      </c>
      <c r="X989" s="33"/>
      <c r="Y989" s="33"/>
    </row>
    <row r="990" spans="1:25" x14ac:dyDescent="0.2">
      <c r="A990" s="93" t="s">
        <v>445</v>
      </c>
      <c r="B990" s="94">
        <f>IFERROR(VLOOKUP($A990,HeadJournal!$A$1:$NTR$890,COLUMN(HeadJournal!B$1),0),"")</f>
        <v>0</v>
      </c>
      <c r="C990" s="94" t="str">
        <f>IFERROR(VLOOKUP($A990,HeadJournal!$A$1:$NTR$890,COLUMN(HeadJournal!C$1),0),"")</f>
        <v>OZON_AV</v>
      </c>
      <c r="D990" s="125" t="str">
        <f>IFERROR(VLOOKUP($A990,HeadJournal!$A$1:$NTR$890,COLUMN(HeadJournal!D$1),0),"")</f>
        <v>Доставлен</v>
      </c>
      <c r="E990" s="95">
        <f>IFERROR(VLOOKUP($A990,HeadJournal!$A$1:$NTR$890,COLUMN(HeadJournal!G$1),0),"")</f>
        <v>44966</v>
      </c>
      <c r="F990" s="95" t="str">
        <f t="shared" si="79"/>
        <v>2023 02</v>
      </c>
      <c r="G990" s="96" t="s">
        <v>6</v>
      </c>
      <c r="H990" s="160" t="str">
        <f>RIGHT(Journal!$J990,9)</f>
        <v>310148133</v>
      </c>
      <c r="I990" s="96" t="str">
        <f t="shared" si="76"/>
        <v>BIG</v>
      </c>
      <c r="J990" s="97" t="s">
        <v>378</v>
      </c>
      <c r="K990" s="29">
        <v>1271</v>
      </c>
      <c r="L990" s="29"/>
      <c r="M990" s="30">
        <f>IFERROR(VLOOKUP($A990,HeadJournal!$A$1:$J$890,COLUMN(HeadJournal!I$1),0)*($K990+$L990)/(SUMIF($A:$A,$A990,$K:$K)+SUMIF($A:$A,$A990,$L:$L)),0)</f>
        <v>0</v>
      </c>
      <c r="N990" s="30">
        <f>IFERROR((VLOOKUP($A990,HeadJournal!$A$1:$K$890,COLUMN(HeadJournal!K$1),0)-VLOOKUP($A990,HeadJournal!$A$1:$K$890,COLUMN(HeadJournal!J$1),0))*($K990+$L990)/(SUMIF($A:$A,$A990,$K:$K)+SUMIF($A:$A,$A990,$L:$L)),0)</f>
        <v>0</v>
      </c>
      <c r="O990" s="30">
        <f>IFERROR((VLOOKUP($A990,HeadJournal!$A$1:$L$890,COLUMN(HeadJournal!L$1),0)*($K990+$L990)/(SUMIF($A:$A,$A990,$K:$K)+SUMIF($A:$A,$A990,$L:$L)))/VLOOKUP($A990,HeadJournal!$A$1:$L$890,COLUMN(HeadJournal!H$1),0),0)</f>
        <v>190.65</v>
      </c>
      <c r="P990" s="30">
        <f>IFERROR(SUM(K990:O990)*VLOOKUP($A990,HeadJournal!$A$1:$L$890,COLUMN(HeadJournal!H$1),0),0)</f>
        <v>1461.65</v>
      </c>
      <c r="Q990" s="29">
        <v>2500</v>
      </c>
      <c r="R990" s="31">
        <v>44973</v>
      </c>
      <c r="S990" s="31" t="s">
        <v>3121</v>
      </c>
      <c r="T990" s="95" t="str">
        <f t="shared" si="80"/>
        <v>2023 02</v>
      </c>
      <c r="U990" s="32">
        <f t="shared" si="77"/>
        <v>1038.3499999999999</v>
      </c>
      <c r="V990" s="22">
        <f t="shared" si="78"/>
        <v>0.71039578558478422</v>
      </c>
      <c r="X990" s="33"/>
      <c r="Y990" s="33"/>
    </row>
    <row r="991" spans="1:25" x14ac:dyDescent="0.2">
      <c r="A991" s="93" t="s">
        <v>445</v>
      </c>
      <c r="B991" s="94">
        <f>IFERROR(VLOOKUP($A991,HeadJournal!$A$1:$NTR$890,COLUMN(HeadJournal!B$1),0),"")</f>
        <v>0</v>
      </c>
      <c r="C991" s="94" t="str">
        <f>IFERROR(VLOOKUP($A991,HeadJournal!$A$1:$NTR$890,COLUMN(HeadJournal!C$1),0),"")</f>
        <v>OZON_AV</v>
      </c>
      <c r="D991" s="125" t="str">
        <f>IFERROR(VLOOKUP($A991,HeadJournal!$A$1:$NTR$890,COLUMN(HeadJournal!D$1),0),"")</f>
        <v>Доставлен</v>
      </c>
      <c r="E991" s="95">
        <f>IFERROR(VLOOKUP($A991,HeadJournal!$A$1:$NTR$890,COLUMN(HeadJournal!G$1),0),"")</f>
        <v>44966</v>
      </c>
      <c r="F991" s="95" t="str">
        <f t="shared" si="79"/>
        <v>2023 02</v>
      </c>
      <c r="G991" s="96" t="s">
        <v>6</v>
      </c>
      <c r="H991" s="160" t="str">
        <f>RIGHT(Journal!$J991,9)</f>
        <v>310148133</v>
      </c>
      <c r="I991" s="96" t="str">
        <f t="shared" si="76"/>
        <v>BIG</v>
      </c>
      <c r="J991" s="97" t="s">
        <v>378</v>
      </c>
      <c r="K991" s="29">
        <v>1271</v>
      </c>
      <c r="L991" s="29"/>
      <c r="M991" s="30">
        <f>IFERROR(VLOOKUP($A991,HeadJournal!$A$1:$J$890,COLUMN(HeadJournal!I$1),0)*($K991+$L991)/(SUMIF($A:$A,$A991,$K:$K)+SUMIF($A:$A,$A991,$L:$L)),0)</f>
        <v>0</v>
      </c>
      <c r="N991" s="30">
        <f>IFERROR((VLOOKUP($A991,HeadJournal!$A$1:$K$890,COLUMN(HeadJournal!K$1),0)-VLOOKUP($A991,HeadJournal!$A$1:$K$890,COLUMN(HeadJournal!J$1),0))*($K991+$L991)/(SUMIF($A:$A,$A991,$K:$K)+SUMIF($A:$A,$A991,$L:$L)),0)</f>
        <v>0</v>
      </c>
      <c r="O991" s="30">
        <f>IFERROR((VLOOKUP($A991,HeadJournal!$A$1:$L$890,COLUMN(HeadJournal!L$1),0)*($K991+$L991)/(SUMIF($A:$A,$A991,$K:$K)+SUMIF($A:$A,$A991,$L:$L)))/VLOOKUP($A991,HeadJournal!$A$1:$L$890,COLUMN(HeadJournal!H$1),0),0)</f>
        <v>190.65</v>
      </c>
      <c r="P991" s="30">
        <f>IFERROR(SUM(K991:O991)*VLOOKUP($A991,HeadJournal!$A$1:$L$890,COLUMN(HeadJournal!H$1),0),0)</f>
        <v>1461.65</v>
      </c>
      <c r="Q991" s="29">
        <v>2500</v>
      </c>
      <c r="R991" s="31">
        <v>44973</v>
      </c>
      <c r="S991" s="31" t="s">
        <v>3121</v>
      </c>
      <c r="T991" s="95" t="str">
        <f t="shared" si="80"/>
        <v>2023 02</v>
      </c>
      <c r="U991" s="32">
        <f t="shared" si="77"/>
        <v>1038.3499999999999</v>
      </c>
      <c r="V991" s="22">
        <f t="shared" si="78"/>
        <v>0.71039578558478422</v>
      </c>
      <c r="X991" s="33"/>
      <c r="Y991" s="33"/>
    </row>
    <row r="992" spans="1:25" x14ac:dyDescent="0.2">
      <c r="A992" s="93" t="s">
        <v>445</v>
      </c>
      <c r="B992" s="94">
        <f>IFERROR(VLOOKUP($A992,HeadJournal!$A$1:$NTR$890,COLUMN(HeadJournal!B$1),0),"")</f>
        <v>0</v>
      </c>
      <c r="C992" s="94" t="str">
        <f>IFERROR(VLOOKUP($A992,HeadJournal!$A$1:$NTR$890,COLUMN(HeadJournal!C$1),0),"")</f>
        <v>OZON_AV</v>
      </c>
      <c r="D992" s="125" t="str">
        <f>IFERROR(VLOOKUP($A992,HeadJournal!$A$1:$NTR$890,COLUMN(HeadJournal!D$1),0),"")</f>
        <v>Доставлен</v>
      </c>
      <c r="E992" s="95">
        <f>IFERROR(VLOOKUP($A992,HeadJournal!$A$1:$NTR$890,COLUMN(HeadJournal!G$1),0),"")</f>
        <v>44966</v>
      </c>
      <c r="F992" s="95" t="str">
        <f t="shared" si="79"/>
        <v>2023 02</v>
      </c>
      <c r="G992" s="96" t="s">
        <v>6</v>
      </c>
      <c r="H992" s="160" t="str">
        <f>RIGHT(Journal!$J992,9)</f>
        <v>170919122</v>
      </c>
      <c r="I992" s="96" t="str">
        <f t="shared" si="76"/>
        <v>PRIMEKRAFT</v>
      </c>
      <c r="J992" s="97" t="s">
        <v>447</v>
      </c>
      <c r="K992" s="29">
        <v>854</v>
      </c>
      <c r="L992" s="29"/>
      <c r="M992" s="30">
        <f>IFERROR(VLOOKUP($A992,HeadJournal!$A$1:$J$890,COLUMN(HeadJournal!I$1),0)*($K992+$L992)/(SUMIF($A:$A,$A992,$K:$K)+SUMIF($A:$A,$A992,$L:$L)),0)</f>
        <v>0</v>
      </c>
      <c r="N992" s="30">
        <f>IFERROR((VLOOKUP($A992,HeadJournal!$A$1:$K$890,COLUMN(HeadJournal!K$1),0)-VLOOKUP($A992,HeadJournal!$A$1:$K$890,COLUMN(HeadJournal!J$1),0))*($K992+$L992)/(SUMIF($A:$A,$A992,$K:$K)+SUMIF($A:$A,$A992,$L:$L)),0)</f>
        <v>0</v>
      </c>
      <c r="O992" s="30">
        <f>IFERROR((VLOOKUP($A992,HeadJournal!$A$1:$L$890,COLUMN(HeadJournal!L$1),0)*($K992+$L992)/(SUMIF($A:$A,$A992,$K:$K)+SUMIF($A:$A,$A992,$L:$L)))/VLOOKUP($A992,HeadJournal!$A$1:$L$890,COLUMN(HeadJournal!H$1),0),0)</f>
        <v>128.1</v>
      </c>
      <c r="P992" s="30">
        <f>IFERROR(SUM(K992:O992)*VLOOKUP($A992,HeadJournal!$A$1:$L$890,COLUMN(HeadJournal!H$1),0),0)</f>
        <v>982.1</v>
      </c>
      <c r="Q992" s="29">
        <v>1500</v>
      </c>
      <c r="R992" s="31">
        <v>44992</v>
      </c>
      <c r="S992" s="31" t="s">
        <v>3121</v>
      </c>
      <c r="T992" s="95" t="str">
        <f t="shared" si="80"/>
        <v>2023 03</v>
      </c>
      <c r="U992" s="32">
        <f t="shared" si="77"/>
        <v>517.9</v>
      </c>
      <c r="V992" s="22">
        <f t="shared" si="78"/>
        <v>0.52733937480908255</v>
      </c>
      <c r="X992" s="33"/>
      <c r="Y992" s="33"/>
    </row>
    <row r="993" spans="1:25" x14ac:dyDescent="0.2">
      <c r="A993" s="93" t="s">
        <v>448</v>
      </c>
      <c r="B993" s="94">
        <f>IFERROR(VLOOKUP($A993,HeadJournal!$A$1:$NTR$890,COLUMN(HeadJournal!B$1),0),"")</f>
        <v>0</v>
      </c>
      <c r="C993" s="94" t="str">
        <f>IFERROR(VLOOKUP($A993,HeadJournal!$A$1:$NTR$890,COLUMN(HeadJournal!C$1),0),"")</f>
        <v>Forever</v>
      </c>
      <c r="D993" s="125" t="str">
        <f>IFERROR(VLOOKUP($A993,HeadJournal!$A$1:$NTR$890,COLUMN(HeadJournal!D$1),0),"")</f>
        <v>Доставлен</v>
      </c>
      <c r="E993" s="95">
        <f>IFERROR(VLOOKUP($A993,HeadJournal!$A$1:$NTR$890,COLUMN(HeadJournal!G$1),0),"")</f>
        <v>44946</v>
      </c>
      <c r="F993" s="95" t="str">
        <f t="shared" si="79"/>
        <v>2023 01</v>
      </c>
      <c r="G993" s="96" t="s">
        <v>5</v>
      </c>
      <c r="H993" s="160" t="str">
        <f>RIGHT(Journal!$J993,9)</f>
        <v>000000153</v>
      </c>
      <c r="I993" s="96" t="str">
        <f t="shared" si="76"/>
        <v>Forever</v>
      </c>
      <c r="J993" s="97" t="s">
        <v>449</v>
      </c>
      <c r="K993" s="29">
        <v>12438.333333333334</v>
      </c>
      <c r="L993" s="29"/>
      <c r="M993" s="30">
        <f>IFERROR(VLOOKUP($A993,HeadJournal!$A$1:$J$890,COLUMN(HeadJournal!I$1),0)*($K993+$L993)/(SUMIF($A:$A,$A993,$K:$K)+SUMIF($A:$A,$A993,$L:$L)),0)</f>
        <v>0</v>
      </c>
      <c r="N993" s="30">
        <f>IFERROR((VLOOKUP($A993,HeadJournal!$A$1:$K$890,COLUMN(HeadJournal!K$1),0)-VLOOKUP($A993,HeadJournal!$A$1:$K$890,COLUMN(HeadJournal!J$1),0))*($K993+$L993)/(SUMIF($A:$A,$A993,$K:$K)+SUMIF($A:$A,$A993,$L:$L)),0)</f>
        <v>248.8752526748458</v>
      </c>
      <c r="O993" s="30">
        <f>IFERROR((VLOOKUP($A993,HeadJournal!$A$1:$L$890,COLUMN(HeadJournal!L$1),0)*($K993+$L993)/(SUMIF($A:$A,$A993,$K:$K)+SUMIF($A:$A,$A993,$L:$L)))/VLOOKUP($A993,HeadJournal!$A$1:$L$890,COLUMN(HeadJournal!H$1),0),0)</f>
        <v>736.92257352891056</v>
      </c>
      <c r="P993" s="30">
        <f>IFERROR(SUM(K993:O993)*VLOOKUP($A993,HeadJournal!$A$1:$L$890,COLUMN(HeadJournal!H$1),0),0)</f>
        <v>2048.5224149453602</v>
      </c>
      <c r="Q993" s="29">
        <v>2200</v>
      </c>
      <c r="R993" s="31">
        <v>44987</v>
      </c>
      <c r="S993" s="31" t="s">
        <v>3121</v>
      </c>
      <c r="T993" s="95" t="str">
        <f t="shared" si="80"/>
        <v>2023 03</v>
      </c>
      <c r="U993" s="32">
        <f t="shared" si="77"/>
        <v>151.4775850546398</v>
      </c>
      <c r="V993" s="22">
        <f t="shared" si="78"/>
        <v>7.3944802336312315E-2</v>
      </c>
      <c r="X993" s="33"/>
      <c r="Y993" s="33"/>
    </row>
    <row r="994" spans="1:25" x14ac:dyDescent="0.2">
      <c r="A994" s="93" t="s">
        <v>448</v>
      </c>
      <c r="B994" s="94">
        <f>IFERROR(VLOOKUP($A994,HeadJournal!$A$1:$NTR$890,COLUMN(HeadJournal!B$1),0),"")</f>
        <v>0</v>
      </c>
      <c r="C994" s="94" t="str">
        <f>IFERROR(VLOOKUP($A994,HeadJournal!$A$1:$NTR$890,COLUMN(HeadJournal!C$1),0),"")</f>
        <v>Forever</v>
      </c>
      <c r="D994" s="125" t="str">
        <f>IFERROR(VLOOKUP($A994,HeadJournal!$A$1:$NTR$890,COLUMN(HeadJournal!D$1),0),"")</f>
        <v>Доставлен</v>
      </c>
      <c r="E994" s="95">
        <f>IFERROR(VLOOKUP($A994,HeadJournal!$A$1:$NTR$890,COLUMN(HeadJournal!G$1),0),"")</f>
        <v>44946</v>
      </c>
      <c r="F994" s="95" t="str">
        <f t="shared" si="79"/>
        <v>2023 01</v>
      </c>
      <c r="G994" s="96" t="s">
        <v>5</v>
      </c>
      <c r="H994" s="160" t="str">
        <f>RIGHT(Journal!$J994,9)</f>
        <v>000000153</v>
      </c>
      <c r="I994" s="96" t="str">
        <f t="shared" si="76"/>
        <v>Forever</v>
      </c>
      <c r="J994" s="97" t="s">
        <v>449</v>
      </c>
      <c r="K994" s="29">
        <v>12438.333333333334</v>
      </c>
      <c r="L994" s="29"/>
      <c r="M994" s="30">
        <f>IFERROR(VLOOKUP($A994,HeadJournal!$A$1:$J$890,COLUMN(HeadJournal!I$1),0)*($K994+$L994)/(SUMIF($A:$A,$A994,$K:$K)+SUMIF($A:$A,$A994,$L:$L)),0)</f>
        <v>0</v>
      </c>
      <c r="N994" s="30">
        <f>IFERROR((VLOOKUP($A994,HeadJournal!$A$1:$K$890,COLUMN(HeadJournal!K$1),0)-VLOOKUP($A994,HeadJournal!$A$1:$K$890,COLUMN(HeadJournal!J$1),0))*($K994+$L994)/(SUMIF($A:$A,$A994,$K:$K)+SUMIF($A:$A,$A994,$L:$L)),0)</f>
        <v>248.8752526748458</v>
      </c>
      <c r="O994" s="30">
        <f>IFERROR((VLOOKUP($A994,HeadJournal!$A$1:$L$890,COLUMN(HeadJournal!L$1),0)*($K994+$L994)/(SUMIF($A:$A,$A994,$K:$K)+SUMIF($A:$A,$A994,$L:$L)))/VLOOKUP($A994,HeadJournal!$A$1:$L$890,COLUMN(HeadJournal!H$1),0),0)</f>
        <v>736.92257352891056</v>
      </c>
      <c r="P994" s="30">
        <f>IFERROR(SUM(K994:O994)*VLOOKUP($A994,HeadJournal!$A$1:$L$890,COLUMN(HeadJournal!H$1),0),0)</f>
        <v>2048.5224149453602</v>
      </c>
      <c r="Q994" s="29">
        <v>2200</v>
      </c>
      <c r="R994" s="31">
        <v>44991</v>
      </c>
      <c r="S994" s="31" t="s">
        <v>3121</v>
      </c>
      <c r="T994" s="95" t="str">
        <f t="shared" si="80"/>
        <v>2023 03</v>
      </c>
      <c r="U994" s="32">
        <f t="shared" si="77"/>
        <v>151.4775850546398</v>
      </c>
      <c r="V994" s="22">
        <f t="shared" si="78"/>
        <v>7.3944802336312315E-2</v>
      </c>
      <c r="X994" s="33"/>
      <c r="Y994" s="33"/>
    </row>
    <row r="995" spans="1:25" x14ac:dyDescent="0.2">
      <c r="A995" s="93" t="s">
        <v>448</v>
      </c>
      <c r="B995" s="94">
        <f>IFERROR(VLOOKUP($A995,HeadJournal!$A$1:$NTR$890,COLUMN(HeadJournal!B$1),0),"")</f>
        <v>0</v>
      </c>
      <c r="C995" s="94" t="str">
        <f>IFERROR(VLOOKUP($A995,HeadJournal!$A$1:$NTR$890,COLUMN(HeadJournal!C$1),0),"")</f>
        <v>Forever</v>
      </c>
      <c r="D995" s="125" t="str">
        <f>IFERROR(VLOOKUP($A995,HeadJournal!$A$1:$NTR$890,COLUMN(HeadJournal!D$1),0),"")</f>
        <v>Доставлен</v>
      </c>
      <c r="E995" s="95">
        <f>IFERROR(VLOOKUP($A995,HeadJournal!$A$1:$NTR$890,COLUMN(HeadJournal!G$1),0),"")</f>
        <v>44946</v>
      </c>
      <c r="F995" s="95" t="str">
        <f t="shared" si="79"/>
        <v>2023 01</v>
      </c>
      <c r="G995" s="96" t="s">
        <v>5</v>
      </c>
      <c r="H995" s="160" t="str">
        <f>RIGHT(Journal!$J995,9)</f>
        <v>000000153</v>
      </c>
      <c r="I995" s="96" t="str">
        <f t="shared" si="76"/>
        <v>Forever</v>
      </c>
      <c r="J995" s="97" t="s">
        <v>449</v>
      </c>
      <c r="K995" s="29">
        <v>12438.333333333334</v>
      </c>
      <c r="L995" s="29"/>
      <c r="M995" s="30">
        <f>IFERROR(VLOOKUP($A995,HeadJournal!$A$1:$J$890,COLUMN(HeadJournal!I$1),0)*($K995+$L995)/(SUMIF($A:$A,$A995,$K:$K)+SUMIF($A:$A,$A995,$L:$L)),0)</f>
        <v>0</v>
      </c>
      <c r="N995" s="30">
        <f>IFERROR((VLOOKUP($A995,HeadJournal!$A$1:$K$890,COLUMN(HeadJournal!K$1),0)-VLOOKUP($A995,HeadJournal!$A$1:$K$890,COLUMN(HeadJournal!J$1),0))*($K995+$L995)/(SUMIF($A:$A,$A995,$K:$K)+SUMIF($A:$A,$A995,$L:$L)),0)</f>
        <v>248.8752526748458</v>
      </c>
      <c r="O995" s="30">
        <f>IFERROR((VLOOKUP($A995,HeadJournal!$A$1:$L$890,COLUMN(HeadJournal!L$1),0)*($K995+$L995)/(SUMIF($A:$A,$A995,$K:$K)+SUMIF($A:$A,$A995,$L:$L)))/VLOOKUP($A995,HeadJournal!$A$1:$L$890,COLUMN(HeadJournal!H$1),0),0)</f>
        <v>736.92257352891056</v>
      </c>
      <c r="P995" s="30">
        <f>IFERROR(SUM(K995:O995)*VLOOKUP($A995,HeadJournal!$A$1:$L$890,COLUMN(HeadJournal!H$1),0),0)</f>
        <v>2048.5224149453602</v>
      </c>
      <c r="Q995" s="29">
        <v>2048.52</v>
      </c>
      <c r="R995" s="31">
        <v>44947</v>
      </c>
      <c r="S995" s="31" t="s">
        <v>3121</v>
      </c>
      <c r="T995" s="95" t="str">
        <f t="shared" si="80"/>
        <v>2023 01</v>
      </c>
      <c r="U995" s="32">
        <f t="shared" si="77"/>
        <v>-2.4149453602149151E-3</v>
      </c>
      <c r="V995" s="22">
        <f t="shared" si="78"/>
        <v>-1.1788718261495461E-6</v>
      </c>
      <c r="X995" s="33"/>
      <c r="Y995" s="33"/>
    </row>
    <row r="996" spans="1:25" x14ac:dyDescent="0.2">
      <c r="A996" s="93" t="s">
        <v>448</v>
      </c>
      <c r="B996" s="94">
        <f>IFERROR(VLOOKUP($A996,HeadJournal!$A$1:$NTR$890,COLUMN(HeadJournal!B$1),0),"")</f>
        <v>0</v>
      </c>
      <c r="C996" s="94" t="str">
        <f>IFERROR(VLOOKUP($A996,HeadJournal!$A$1:$NTR$890,COLUMN(HeadJournal!C$1),0),"")</f>
        <v>Forever</v>
      </c>
      <c r="D996" s="125" t="str">
        <f>IFERROR(VLOOKUP($A996,HeadJournal!$A$1:$NTR$890,COLUMN(HeadJournal!D$1),0),"")</f>
        <v>Доставлен</v>
      </c>
      <c r="E996" s="95">
        <f>IFERROR(VLOOKUP($A996,HeadJournal!$A$1:$NTR$890,COLUMN(HeadJournal!G$1),0),"")</f>
        <v>44946</v>
      </c>
      <c r="F996" s="95" t="str">
        <f t="shared" si="79"/>
        <v>2023 01</v>
      </c>
      <c r="G996" s="96" t="s">
        <v>7</v>
      </c>
      <c r="H996" s="160" t="str">
        <f>RIGHT(Journal!$J996,9)</f>
        <v>000000609</v>
      </c>
      <c r="I996" s="96" t="str">
        <f t="shared" si="76"/>
        <v>Forever</v>
      </c>
      <c r="J996" s="97" t="s">
        <v>450</v>
      </c>
      <c r="K996" s="29">
        <v>38750</v>
      </c>
      <c r="L996" s="29"/>
      <c r="M996" s="30">
        <f>IFERROR(VLOOKUP($A996,HeadJournal!$A$1:$J$890,COLUMN(HeadJournal!I$1),0)*($K996+$L996)/(SUMIF($A:$A,$A996,$K:$K)+SUMIF($A:$A,$A996,$L:$L)),0)</f>
        <v>0</v>
      </c>
      <c r="N996" s="30">
        <f>IFERROR((VLOOKUP($A996,HeadJournal!$A$1:$K$890,COLUMN(HeadJournal!K$1),0)-VLOOKUP($A996,HeadJournal!$A$1:$K$890,COLUMN(HeadJournal!J$1),0))*($K996+$L996)/(SUMIF($A:$A,$A996,$K:$K)+SUMIF($A:$A,$A996,$L:$L)),0)</f>
        <v>775.33828550049111</v>
      </c>
      <c r="O996" s="30">
        <f>IFERROR((VLOOKUP($A996,HeadJournal!$A$1:$L$890,COLUMN(HeadJournal!L$1),0)*($K996+$L996)/(SUMIF($A:$A,$A996,$K:$K)+SUMIF($A:$A,$A996,$L:$L)))/VLOOKUP($A996,HeadJournal!$A$1:$L$890,COLUMN(HeadJournal!H$1),0),0)</f>
        <v>2295.785854823418</v>
      </c>
      <c r="P996" s="30">
        <f>IFERROR(SUM(K996:O996)*VLOOKUP($A996,HeadJournal!$A$1:$L$890,COLUMN(HeadJournal!H$1),0),0)</f>
        <v>6381.9035438134297</v>
      </c>
      <c r="Q996" s="29"/>
      <c r="R996" s="31"/>
      <c r="S996" s="31"/>
      <c r="T996" s="95" t="str">
        <f t="shared" si="80"/>
        <v/>
      </c>
      <c r="U996" s="32">
        <f t="shared" si="77"/>
        <v>-6381.9035438134297</v>
      </c>
      <c r="V996" s="22" t="str">
        <f t="shared" si="78"/>
        <v/>
      </c>
      <c r="X996" s="33"/>
      <c r="Y996" s="33"/>
    </row>
    <row r="997" spans="1:25" x14ac:dyDescent="0.2">
      <c r="A997" s="93" t="s">
        <v>448</v>
      </c>
      <c r="B997" s="94">
        <f>IFERROR(VLOOKUP($A997,HeadJournal!$A$1:$NTR$890,COLUMN(HeadJournal!B$1),0),"")</f>
        <v>0</v>
      </c>
      <c r="C997" s="94" t="str">
        <f>IFERROR(VLOOKUP($A997,HeadJournal!$A$1:$NTR$890,COLUMN(HeadJournal!C$1),0),"")</f>
        <v>Forever</v>
      </c>
      <c r="D997" s="125" t="str">
        <f>IFERROR(VLOOKUP($A997,HeadJournal!$A$1:$NTR$890,COLUMN(HeadJournal!D$1),0),"")</f>
        <v>Доставлен</v>
      </c>
      <c r="E997" s="95">
        <f>IFERROR(VLOOKUP($A997,HeadJournal!$A$1:$NTR$890,COLUMN(HeadJournal!G$1),0),"")</f>
        <v>44946</v>
      </c>
      <c r="F997" s="95" t="str">
        <f t="shared" si="79"/>
        <v>2023 01</v>
      </c>
      <c r="G997" s="96" t="s">
        <v>7</v>
      </c>
      <c r="H997" s="160" t="str">
        <f>RIGHT(Journal!$J997,9)</f>
        <v>000000067</v>
      </c>
      <c r="I997" s="96" t="str">
        <f t="shared" si="76"/>
        <v>Forever</v>
      </c>
      <c r="J997" s="97" t="s">
        <v>303</v>
      </c>
      <c r="K997" s="29">
        <v>3418</v>
      </c>
      <c r="L997" s="29"/>
      <c r="M997" s="30">
        <f>IFERROR(VLOOKUP($A997,HeadJournal!$A$1:$J$890,COLUMN(HeadJournal!I$1),0)*($K997+$L997)/(SUMIF($A:$A,$A997,$K:$K)+SUMIF($A:$A,$A997,$L:$L)),0)</f>
        <v>0</v>
      </c>
      <c r="N997" s="30">
        <f>IFERROR((VLOOKUP($A997,HeadJournal!$A$1:$K$890,COLUMN(HeadJournal!K$1),0)-VLOOKUP($A997,HeadJournal!$A$1:$K$890,COLUMN(HeadJournal!J$1),0))*($K997+$L997)/(SUMIF($A:$A,$A997,$K:$K)+SUMIF($A:$A,$A997,$L:$L)),0)</f>
        <v>68.38983896363041</v>
      </c>
      <c r="O997" s="30">
        <f>IFERROR((VLOOKUP($A997,HeadJournal!$A$1:$L$890,COLUMN(HeadJournal!L$1),0)*($K997+$L997)/(SUMIF($A:$A,$A997,$K:$K)+SUMIF($A:$A,$A997,$L:$L)))/VLOOKUP($A997,HeadJournal!$A$1:$L$890,COLUMN(HeadJournal!H$1),0),0)</f>
        <v>202.50312391706947</v>
      </c>
      <c r="P997" s="30">
        <f>IFERROR(SUM(K997:O997)*VLOOKUP($A997,HeadJournal!$A$1:$L$890,COLUMN(HeadJournal!H$1),0),0)</f>
        <v>562.92506613559488</v>
      </c>
      <c r="Q997" s="29">
        <v>600</v>
      </c>
      <c r="R997" s="31">
        <v>44981</v>
      </c>
      <c r="S997" s="31" t="s">
        <v>3121</v>
      </c>
      <c r="T997" s="95" t="str">
        <f t="shared" si="80"/>
        <v>2023 02</v>
      </c>
      <c r="U997" s="32">
        <f t="shared" si="77"/>
        <v>37.074933864405125</v>
      </c>
      <c r="V997" s="22">
        <f t="shared" si="78"/>
        <v>6.586122397945357E-2</v>
      </c>
      <c r="X997" s="33"/>
      <c r="Y997" s="33"/>
    </row>
    <row r="998" spans="1:25" x14ac:dyDescent="0.2">
      <c r="A998" s="93" t="s">
        <v>448</v>
      </c>
      <c r="B998" s="94">
        <f>IFERROR(VLOOKUP($A998,HeadJournal!$A$1:$NTR$890,COLUMN(HeadJournal!B$1),0),"")</f>
        <v>0</v>
      </c>
      <c r="C998" s="94" t="str">
        <f>IFERROR(VLOOKUP($A998,HeadJournal!$A$1:$NTR$890,COLUMN(HeadJournal!C$1),0),"")</f>
        <v>Forever</v>
      </c>
      <c r="D998" s="125" t="str">
        <f>IFERROR(VLOOKUP($A998,HeadJournal!$A$1:$NTR$890,COLUMN(HeadJournal!D$1),0),"")</f>
        <v>Доставлен</v>
      </c>
      <c r="E998" s="95">
        <f>IFERROR(VLOOKUP($A998,HeadJournal!$A$1:$NTR$890,COLUMN(HeadJournal!G$1),0),"")</f>
        <v>44946</v>
      </c>
      <c r="F998" s="95" t="str">
        <f t="shared" si="79"/>
        <v>2023 01</v>
      </c>
      <c r="G998" s="96" t="s">
        <v>5</v>
      </c>
      <c r="H998" s="160" t="str">
        <f>RIGHT(Journal!$J998,9)</f>
        <v>000000068</v>
      </c>
      <c r="I998" s="96" t="str">
        <f t="shared" si="76"/>
        <v>Forever</v>
      </c>
      <c r="J998" s="97" t="s">
        <v>304</v>
      </c>
      <c r="K998" s="29">
        <v>5748</v>
      </c>
      <c r="L998" s="29"/>
      <c r="M998" s="30">
        <f>IFERROR(VLOOKUP($A998,HeadJournal!$A$1:$J$890,COLUMN(HeadJournal!I$1),0)*($K998+$L998)/(SUMIF($A:$A,$A998,$K:$K)+SUMIF($A:$A,$A998,$L:$L)),0)</f>
        <v>0</v>
      </c>
      <c r="N998" s="30">
        <f>IFERROR((VLOOKUP($A998,HeadJournal!$A$1:$K$890,COLUMN(HeadJournal!K$1),0)-VLOOKUP($A998,HeadJournal!$A$1:$K$890,COLUMN(HeadJournal!J$1),0))*($K998+$L998)/(SUMIF($A:$A,$A998,$K:$K)+SUMIF($A:$A,$A998,$L:$L)),0)</f>
        <v>115.01017974340188</v>
      </c>
      <c r="O998" s="30">
        <f>IFERROR((VLOOKUP($A998,HeadJournal!$A$1:$L$890,COLUMN(HeadJournal!L$1),0)*($K998+$L998)/(SUMIF($A:$A,$A998,$K:$K)+SUMIF($A:$A,$A998,$L:$L)))/VLOOKUP($A998,HeadJournal!$A$1:$L$890,COLUMN(HeadJournal!H$1),0),0)</f>
        <v>340.54650563935502</v>
      </c>
      <c r="P998" s="30">
        <f>IFERROR(SUM(K998:O998)*VLOOKUP($A998,HeadJournal!$A$1:$L$890,COLUMN(HeadJournal!H$1),0),0)</f>
        <v>946.66275018940871</v>
      </c>
      <c r="Q998" s="29">
        <v>946.66</v>
      </c>
      <c r="R998" s="31">
        <v>44943</v>
      </c>
      <c r="S998" s="31" t="s">
        <v>3121</v>
      </c>
      <c r="T998" s="95" t="str">
        <f t="shared" si="80"/>
        <v>2023 01</v>
      </c>
      <c r="U998" s="32">
        <f t="shared" si="77"/>
        <v>-2.7501894087436085E-3</v>
      </c>
      <c r="V998" s="22">
        <f t="shared" si="78"/>
        <v>-2.9051416760544866E-6</v>
      </c>
      <c r="X998" s="33"/>
      <c r="Y998" s="33"/>
    </row>
    <row r="999" spans="1:25" x14ac:dyDescent="0.2">
      <c r="A999" s="93" t="s">
        <v>448</v>
      </c>
      <c r="B999" s="94">
        <f>IFERROR(VLOOKUP($A999,HeadJournal!$A$1:$NTR$890,COLUMN(HeadJournal!B$1),0),"")</f>
        <v>0</v>
      </c>
      <c r="C999" s="94" t="str">
        <f>IFERROR(VLOOKUP($A999,HeadJournal!$A$1:$NTR$890,COLUMN(HeadJournal!C$1),0),"")</f>
        <v>Forever</v>
      </c>
      <c r="D999" s="125" t="str">
        <f>IFERROR(VLOOKUP($A999,HeadJournal!$A$1:$NTR$890,COLUMN(HeadJournal!D$1),0),"")</f>
        <v>Доставлен</v>
      </c>
      <c r="E999" s="95">
        <f>IFERROR(VLOOKUP($A999,HeadJournal!$A$1:$NTR$890,COLUMN(HeadJournal!G$1),0),"")</f>
        <v>44946</v>
      </c>
      <c r="F999" s="95" t="str">
        <f t="shared" si="79"/>
        <v>2023 01</v>
      </c>
      <c r="G999" s="96" t="s">
        <v>5</v>
      </c>
      <c r="H999" s="160" t="str">
        <f>RIGHT(Journal!$J999,9)</f>
        <v>000000068</v>
      </c>
      <c r="I999" s="96" t="str">
        <f t="shared" si="76"/>
        <v>Forever</v>
      </c>
      <c r="J999" s="97" t="s">
        <v>304</v>
      </c>
      <c r="K999" s="29">
        <v>5748</v>
      </c>
      <c r="L999" s="29"/>
      <c r="M999" s="30">
        <f>IFERROR(VLOOKUP($A999,HeadJournal!$A$1:$J$890,COLUMN(HeadJournal!I$1),0)*($K999+$L999)/(SUMIF($A:$A,$A999,$K:$K)+SUMIF($A:$A,$A999,$L:$L)),0)</f>
        <v>0</v>
      </c>
      <c r="N999" s="30">
        <f>IFERROR((VLOOKUP($A999,HeadJournal!$A$1:$K$890,COLUMN(HeadJournal!K$1),0)-VLOOKUP($A999,HeadJournal!$A$1:$K$890,COLUMN(HeadJournal!J$1),0))*($K999+$L999)/(SUMIF($A:$A,$A999,$K:$K)+SUMIF($A:$A,$A999,$L:$L)),0)</f>
        <v>115.01017974340188</v>
      </c>
      <c r="O999" s="30">
        <f>IFERROR((VLOOKUP($A999,HeadJournal!$A$1:$L$890,COLUMN(HeadJournal!L$1),0)*($K999+$L999)/(SUMIF($A:$A,$A999,$K:$K)+SUMIF($A:$A,$A999,$L:$L)))/VLOOKUP($A999,HeadJournal!$A$1:$L$890,COLUMN(HeadJournal!H$1),0),0)</f>
        <v>340.54650563935502</v>
      </c>
      <c r="P999" s="30">
        <f>IFERROR(SUM(K999:O999)*VLOOKUP($A999,HeadJournal!$A$1:$L$890,COLUMN(HeadJournal!H$1),0),0)</f>
        <v>946.66275018940871</v>
      </c>
      <c r="Q999" s="29"/>
      <c r="R999" s="31"/>
      <c r="S999" s="31"/>
      <c r="T999" s="95" t="str">
        <f t="shared" si="80"/>
        <v/>
      </c>
      <c r="U999" s="32">
        <f t="shared" si="77"/>
        <v>-946.66275018940871</v>
      </c>
      <c r="V999" s="22" t="str">
        <f t="shared" si="78"/>
        <v/>
      </c>
      <c r="X999" s="33"/>
      <c r="Y999" s="33"/>
    </row>
    <row r="1000" spans="1:25" x14ac:dyDescent="0.2">
      <c r="A1000" s="93" t="s">
        <v>448</v>
      </c>
      <c r="B1000" s="94">
        <f>IFERROR(VLOOKUP($A1000,HeadJournal!$A$1:$NTR$890,COLUMN(HeadJournal!B$1),0),"")</f>
        <v>0</v>
      </c>
      <c r="C1000" s="94" t="str">
        <f>IFERROR(VLOOKUP($A1000,HeadJournal!$A$1:$NTR$890,COLUMN(HeadJournal!C$1),0),"")</f>
        <v>Forever</v>
      </c>
      <c r="D1000" s="125" t="str">
        <f>IFERROR(VLOOKUP($A1000,HeadJournal!$A$1:$NTR$890,COLUMN(HeadJournal!D$1),0),"")</f>
        <v>Доставлен</v>
      </c>
      <c r="E1000" s="95">
        <f>IFERROR(VLOOKUP($A1000,HeadJournal!$A$1:$NTR$890,COLUMN(HeadJournal!G$1),0),"")</f>
        <v>44946</v>
      </c>
      <c r="F1000" s="95" t="str">
        <f t="shared" si="79"/>
        <v>2023 01</v>
      </c>
      <c r="G1000" s="96" t="s">
        <v>5</v>
      </c>
      <c r="H1000" s="160" t="str">
        <f>RIGHT(Journal!$J1000,9)</f>
        <v>000007363</v>
      </c>
      <c r="I1000" s="96" t="str">
        <f t="shared" si="76"/>
        <v>Forever</v>
      </c>
      <c r="J1000" s="97" t="s">
        <v>451</v>
      </c>
      <c r="K1000" s="29">
        <v>9328.75</v>
      </c>
      <c r="L1000" s="29"/>
      <c r="M1000" s="30">
        <f>IFERROR(VLOOKUP($A1000,HeadJournal!$A$1:$J$890,COLUMN(HeadJournal!I$1),0)*($K1000+$L1000)/(SUMIF($A:$A,$A1000,$K:$K)+SUMIF($A:$A,$A1000,$L:$L)),0)</f>
        <v>0</v>
      </c>
      <c r="N1000" s="30">
        <f>IFERROR((VLOOKUP($A1000,HeadJournal!$A$1:$K$890,COLUMN(HeadJournal!K$1),0)-VLOOKUP($A1000,HeadJournal!$A$1:$K$890,COLUMN(HeadJournal!J$1),0))*($K1000+$L1000)/(SUMIF($A:$A,$A1000,$K:$K)+SUMIF($A:$A,$A1000,$L:$L)),0)</f>
        <v>186.65643950613435</v>
      </c>
      <c r="O1000" s="30">
        <f>IFERROR((VLOOKUP($A1000,HeadJournal!$A$1:$L$890,COLUMN(HeadJournal!L$1),0)*($K1000+$L1000)/(SUMIF($A:$A,$A1000,$K:$K)+SUMIF($A:$A,$A1000,$L:$L)))/VLOOKUP($A1000,HeadJournal!$A$1:$L$890,COLUMN(HeadJournal!H$1),0),0)</f>
        <v>552.69193014668281</v>
      </c>
      <c r="P1000" s="30">
        <f>IFERROR(SUM(K1000:O1000)*VLOOKUP($A1000,HeadJournal!$A$1:$L$890,COLUMN(HeadJournal!H$1),0),0)</f>
        <v>1536.39181120902</v>
      </c>
      <c r="Q1000" s="29">
        <v>2100</v>
      </c>
      <c r="R1000" s="31">
        <v>45000</v>
      </c>
      <c r="S1000" s="31" t="s">
        <v>3121</v>
      </c>
      <c r="T1000" s="95" t="str">
        <f t="shared" si="80"/>
        <v>2023 03</v>
      </c>
      <c r="U1000" s="32">
        <f t="shared" si="77"/>
        <v>563.60818879097997</v>
      </c>
      <c r="V1000" s="22">
        <f t="shared" si="78"/>
        <v>0.36683883933712486</v>
      </c>
      <c r="X1000" s="33"/>
      <c r="Y1000" s="33"/>
    </row>
    <row r="1001" spans="1:25" x14ac:dyDescent="0.2">
      <c r="A1001" s="93" t="s">
        <v>448</v>
      </c>
      <c r="B1001" s="94">
        <f>IFERROR(VLOOKUP($A1001,HeadJournal!$A$1:$NTR$890,COLUMN(HeadJournal!B$1),0),"")</f>
        <v>0</v>
      </c>
      <c r="C1001" s="94" t="str">
        <f>IFERROR(VLOOKUP($A1001,HeadJournal!$A$1:$NTR$890,COLUMN(HeadJournal!C$1),0),"")</f>
        <v>Forever</v>
      </c>
      <c r="D1001" s="125" t="str">
        <f>IFERROR(VLOOKUP($A1001,HeadJournal!$A$1:$NTR$890,COLUMN(HeadJournal!D$1),0),"")</f>
        <v>Доставлен</v>
      </c>
      <c r="E1001" s="95">
        <f>IFERROR(VLOOKUP($A1001,HeadJournal!$A$1:$NTR$890,COLUMN(HeadJournal!G$1),0),"")</f>
        <v>44946</v>
      </c>
      <c r="F1001" s="95" t="str">
        <f t="shared" si="79"/>
        <v>2023 01</v>
      </c>
      <c r="G1001" s="96" t="s">
        <v>5</v>
      </c>
      <c r="H1001" s="160" t="str">
        <f>RIGHT(Journal!$J1001,9)</f>
        <v>000007363</v>
      </c>
      <c r="I1001" s="96" t="str">
        <f t="shared" si="76"/>
        <v>Forever</v>
      </c>
      <c r="J1001" s="97" t="s">
        <v>451</v>
      </c>
      <c r="K1001" s="29">
        <v>9328.75</v>
      </c>
      <c r="L1001" s="29"/>
      <c r="M1001" s="30">
        <f>IFERROR(VLOOKUP($A1001,HeadJournal!$A$1:$J$890,COLUMN(HeadJournal!I$1),0)*($K1001+$L1001)/(SUMIF($A:$A,$A1001,$K:$K)+SUMIF($A:$A,$A1001,$L:$L)),0)</f>
        <v>0</v>
      </c>
      <c r="N1001" s="30">
        <f>IFERROR((VLOOKUP($A1001,HeadJournal!$A$1:$K$890,COLUMN(HeadJournal!K$1),0)-VLOOKUP($A1001,HeadJournal!$A$1:$K$890,COLUMN(HeadJournal!J$1),0))*($K1001+$L1001)/(SUMIF($A:$A,$A1001,$K:$K)+SUMIF($A:$A,$A1001,$L:$L)),0)</f>
        <v>186.65643950613435</v>
      </c>
      <c r="O1001" s="30">
        <f>IFERROR((VLOOKUP($A1001,HeadJournal!$A$1:$L$890,COLUMN(HeadJournal!L$1),0)*($K1001+$L1001)/(SUMIF($A:$A,$A1001,$K:$K)+SUMIF($A:$A,$A1001,$L:$L)))/VLOOKUP($A1001,HeadJournal!$A$1:$L$890,COLUMN(HeadJournal!H$1),0),0)</f>
        <v>552.69193014668281</v>
      </c>
      <c r="P1001" s="30">
        <f>IFERROR(SUM(K1001:O1001)*VLOOKUP($A1001,HeadJournal!$A$1:$L$890,COLUMN(HeadJournal!H$1),0),0)</f>
        <v>1536.39181120902</v>
      </c>
      <c r="Q1001" s="29">
        <v>3000</v>
      </c>
      <c r="R1001" s="31">
        <v>45510</v>
      </c>
      <c r="S1001" s="31" t="s">
        <v>3121</v>
      </c>
      <c r="T1001" s="95" t="str">
        <f t="shared" si="80"/>
        <v>2024 08</v>
      </c>
      <c r="U1001" s="32">
        <f t="shared" si="77"/>
        <v>1463.60818879098</v>
      </c>
      <c r="V1001" s="22">
        <f t="shared" si="78"/>
        <v>0.95262691333874983</v>
      </c>
      <c r="X1001" s="33"/>
      <c r="Y1001" s="33"/>
    </row>
    <row r="1002" spans="1:25" x14ac:dyDescent="0.2">
      <c r="A1002" s="93" t="s">
        <v>448</v>
      </c>
      <c r="B1002" s="94">
        <f>IFERROR(VLOOKUP($A1002,HeadJournal!$A$1:$NTR$890,COLUMN(HeadJournal!B$1),0),"")</f>
        <v>0</v>
      </c>
      <c r="C1002" s="94" t="str">
        <f>IFERROR(VLOOKUP($A1002,HeadJournal!$A$1:$NTR$890,COLUMN(HeadJournal!C$1),0),"")</f>
        <v>Forever</v>
      </c>
      <c r="D1002" s="125" t="str">
        <f>IFERROR(VLOOKUP($A1002,HeadJournal!$A$1:$NTR$890,COLUMN(HeadJournal!D$1),0),"")</f>
        <v>Доставлен</v>
      </c>
      <c r="E1002" s="95">
        <f>IFERROR(VLOOKUP($A1002,HeadJournal!$A$1:$NTR$890,COLUMN(HeadJournal!G$1),0),"")</f>
        <v>44946</v>
      </c>
      <c r="F1002" s="95" t="str">
        <f t="shared" si="79"/>
        <v>2023 01</v>
      </c>
      <c r="G1002" s="96" t="s">
        <v>5</v>
      </c>
      <c r="H1002" s="160" t="str">
        <f>RIGHT(Journal!$J1002,9)</f>
        <v>000007363</v>
      </c>
      <c r="I1002" s="96" t="str">
        <f t="shared" si="76"/>
        <v>Forever</v>
      </c>
      <c r="J1002" s="97" t="s">
        <v>451</v>
      </c>
      <c r="K1002" s="29">
        <v>9328.75</v>
      </c>
      <c r="L1002" s="29"/>
      <c r="M1002" s="30">
        <f>IFERROR(VLOOKUP($A1002,HeadJournal!$A$1:$J$890,COLUMN(HeadJournal!I$1),0)*($K1002+$L1002)/(SUMIF($A:$A,$A1002,$K:$K)+SUMIF($A:$A,$A1002,$L:$L)),0)</f>
        <v>0</v>
      </c>
      <c r="N1002" s="30">
        <f>IFERROR((VLOOKUP($A1002,HeadJournal!$A$1:$K$890,COLUMN(HeadJournal!K$1),0)-VLOOKUP($A1002,HeadJournal!$A$1:$K$890,COLUMN(HeadJournal!J$1),0))*($K1002+$L1002)/(SUMIF($A:$A,$A1002,$K:$K)+SUMIF($A:$A,$A1002,$L:$L)),0)</f>
        <v>186.65643950613435</v>
      </c>
      <c r="O1002" s="30">
        <f>IFERROR((VLOOKUP($A1002,HeadJournal!$A$1:$L$890,COLUMN(HeadJournal!L$1),0)*($K1002+$L1002)/(SUMIF($A:$A,$A1002,$K:$K)+SUMIF($A:$A,$A1002,$L:$L)))/VLOOKUP($A1002,HeadJournal!$A$1:$L$890,COLUMN(HeadJournal!H$1),0),0)</f>
        <v>552.69193014668281</v>
      </c>
      <c r="P1002" s="30">
        <f>IFERROR(SUM(K1002:O1002)*VLOOKUP($A1002,HeadJournal!$A$1:$L$890,COLUMN(HeadJournal!H$1),0),0)</f>
        <v>1536.39181120902</v>
      </c>
      <c r="Q1002" s="29">
        <v>1536.39</v>
      </c>
      <c r="R1002" s="31">
        <v>44947</v>
      </c>
      <c r="S1002" s="31" t="s">
        <v>3121</v>
      </c>
      <c r="T1002" s="95" t="str">
        <f t="shared" si="80"/>
        <v>2023 01</v>
      </c>
      <c r="U1002" s="32">
        <f t="shared" si="77"/>
        <v>-1.8112090199338127E-3</v>
      </c>
      <c r="V1002" s="22">
        <f t="shared" si="78"/>
        <v>-1.1788718260015542E-6</v>
      </c>
      <c r="X1002" s="33"/>
      <c r="Y1002" s="33"/>
    </row>
    <row r="1003" spans="1:25" x14ac:dyDescent="0.2">
      <c r="A1003" s="93" t="s">
        <v>448</v>
      </c>
      <c r="B1003" s="94">
        <f>IFERROR(VLOOKUP($A1003,HeadJournal!$A$1:$NTR$890,COLUMN(HeadJournal!B$1),0),"")</f>
        <v>0</v>
      </c>
      <c r="C1003" s="94" t="str">
        <f>IFERROR(VLOOKUP($A1003,HeadJournal!$A$1:$NTR$890,COLUMN(HeadJournal!C$1),0),"")</f>
        <v>Forever</v>
      </c>
      <c r="D1003" s="125" t="str">
        <f>IFERROR(VLOOKUP($A1003,HeadJournal!$A$1:$NTR$890,COLUMN(HeadJournal!D$1),0),"")</f>
        <v>Доставлен</v>
      </c>
      <c r="E1003" s="95">
        <f>IFERROR(VLOOKUP($A1003,HeadJournal!$A$1:$NTR$890,COLUMN(HeadJournal!G$1),0),"")</f>
        <v>44946</v>
      </c>
      <c r="F1003" s="95" t="str">
        <f t="shared" si="79"/>
        <v>2023 01</v>
      </c>
      <c r="G1003" s="96" t="s">
        <v>5</v>
      </c>
      <c r="H1003" s="160" t="str">
        <f>RIGHT(Journal!$J1003,9)</f>
        <v>000007363</v>
      </c>
      <c r="I1003" s="96" t="str">
        <f t="shared" si="76"/>
        <v>Forever</v>
      </c>
      <c r="J1003" s="97" t="s">
        <v>451</v>
      </c>
      <c r="K1003" s="29">
        <v>9328.75</v>
      </c>
      <c r="L1003" s="29"/>
      <c r="M1003" s="30">
        <f>IFERROR(VLOOKUP($A1003,HeadJournal!$A$1:$J$890,COLUMN(HeadJournal!I$1),0)*($K1003+$L1003)/(SUMIF($A:$A,$A1003,$K:$K)+SUMIF($A:$A,$A1003,$L:$L)),0)</f>
        <v>0</v>
      </c>
      <c r="N1003" s="30">
        <f>IFERROR((VLOOKUP($A1003,HeadJournal!$A$1:$K$890,COLUMN(HeadJournal!K$1),0)-VLOOKUP($A1003,HeadJournal!$A$1:$K$890,COLUMN(HeadJournal!J$1),0))*($K1003+$L1003)/(SUMIF($A:$A,$A1003,$K:$K)+SUMIF($A:$A,$A1003,$L:$L)),0)</f>
        <v>186.65643950613435</v>
      </c>
      <c r="O1003" s="30">
        <f>IFERROR((VLOOKUP($A1003,HeadJournal!$A$1:$L$890,COLUMN(HeadJournal!L$1),0)*($K1003+$L1003)/(SUMIF($A:$A,$A1003,$K:$K)+SUMIF($A:$A,$A1003,$L:$L)))/VLOOKUP($A1003,HeadJournal!$A$1:$L$890,COLUMN(HeadJournal!H$1),0),0)</f>
        <v>552.69193014668281</v>
      </c>
      <c r="P1003" s="30">
        <f>IFERROR(SUM(K1003:O1003)*VLOOKUP($A1003,HeadJournal!$A$1:$L$890,COLUMN(HeadJournal!H$1),0),0)</f>
        <v>1536.39181120902</v>
      </c>
      <c r="Q1003" s="29">
        <v>1536.39</v>
      </c>
      <c r="R1003" s="31">
        <v>44947</v>
      </c>
      <c r="S1003" s="31" t="s">
        <v>3121</v>
      </c>
      <c r="T1003" s="95" t="str">
        <f t="shared" si="80"/>
        <v>2023 01</v>
      </c>
      <c r="U1003" s="32">
        <f t="shared" si="77"/>
        <v>-1.8112090199338127E-3</v>
      </c>
      <c r="V1003" s="22">
        <f t="shared" si="78"/>
        <v>-1.1788718260015542E-6</v>
      </c>
      <c r="X1003" s="33"/>
      <c r="Y1003" s="33"/>
    </row>
    <row r="1004" spans="1:25" x14ac:dyDescent="0.2">
      <c r="A1004" s="93" t="s">
        <v>452</v>
      </c>
      <c r="B1004" s="94" t="str">
        <f>IFERROR(VLOOKUP($A1004,HeadJournal!$A$1:$NTR$890,COLUMN(HeadJournal!B$1),0),"")</f>
        <v>710000620367</v>
      </c>
      <c r="C1004" s="94" t="str">
        <f>IFERROR(VLOOKUP($A1004,HeadJournal!$A$1:$NTR$890,COLUMN(HeadJournal!C$1),0),"")</f>
        <v>iHerb_AV CYG0792</v>
      </c>
      <c r="D1004" s="125" t="str">
        <f>IFERROR(VLOOKUP($A1004,HeadJournal!$A$1:$NTR$890,COLUMN(HeadJournal!D$1),0),"")</f>
        <v>Доставлен</v>
      </c>
      <c r="E1004" s="95">
        <f>IFERROR(VLOOKUP($A1004,HeadJournal!$A$1:$NTR$890,COLUMN(HeadJournal!G$1),0),"")</f>
        <v>44969</v>
      </c>
      <c r="F1004" s="95" t="str">
        <f t="shared" si="79"/>
        <v>2023 02</v>
      </c>
      <c r="G1004" s="96" t="s">
        <v>5</v>
      </c>
      <c r="H1004" s="160" t="str">
        <f>RIGHT(Journal!$J1004,9)</f>
        <v>NOW-01298</v>
      </c>
      <c r="I1004" s="96" t="str">
        <f t="shared" si="76"/>
        <v>NOW Foods</v>
      </c>
      <c r="J1004" s="97" t="s">
        <v>453</v>
      </c>
      <c r="K1004" s="29">
        <v>20.73</v>
      </c>
      <c r="L1004" s="29">
        <v>-2.0750000000000002</v>
      </c>
      <c r="M1004" s="30">
        <f>IFERROR(VLOOKUP($A1004,HeadJournal!$A$1:$J$890,COLUMN(HeadJournal!I$1),0)*($K1004+$L1004)/(SUMIF($A:$A,$A1004,$K:$K)+SUMIF($A:$A,$A1004,$L:$L)),0)</f>
        <v>1.760302287981971</v>
      </c>
      <c r="N1004" s="30">
        <f>IFERROR((VLOOKUP($A1004,HeadJournal!$A$1:$K$890,COLUMN(HeadJournal!K$1),0)-VLOOKUP($A1004,HeadJournal!$A$1:$K$890,COLUMN(HeadJournal!J$1),0))*($K1004+$L1004)/(SUMIF($A:$A,$A1004,$K:$K)+SUMIF($A:$A,$A1004,$L:$L)),0)</f>
        <v>2.5976531743872761E-15</v>
      </c>
      <c r="O1004" s="30">
        <f>IFERROR((VLOOKUP($A1004,HeadJournal!$A$1:$L$890,COLUMN(HeadJournal!L$1),0)*($K1004+$L1004)/(SUMIF($A:$A,$A1004,$K:$K)+SUMIF($A:$A,$A1004,$L:$L)))/VLOOKUP($A1004,HeadJournal!$A$1:$L$890,COLUMN(HeadJournal!H$1),0),0)</f>
        <v>1.631551123587236</v>
      </c>
      <c r="P1004" s="30">
        <f>IFERROR(SUM(K1004:O1004)*VLOOKUP($A1004,HeadJournal!$A$1:$L$890,COLUMN(HeadJournal!H$1),0),0)</f>
        <v>1773.340040909314</v>
      </c>
      <c r="Q1004" s="29">
        <v>2800</v>
      </c>
      <c r="R1004" s="31">
        <v>44999</v>
      </c>
      <c r="S1004" s="31" t="s">
        <v>3121</v>
      </c>
      <c r="T1004" s="95" t="str">
        <f t="shared" si="80"/>
        <v>2023 03</v>
      </c>
      <c r="U1004" s="32">
        <f t="shared" si="77"/>
        <v>1026.659959090686</v>
      </c>
      <c r="V1004" s="22">
        <f t="shared" si="78"/>
        <v>0.57894139612628748</v>
      </c>
      <c r="X1004" s="33"/>
      <c r="Y1004" s="33"/>
    </row>
    <row r="1005" spans="1:25" x14ac:dyDescent="0.2">
      <c r="A1005" s="93" t="s">
        <v>452</v>
      </c>
      <c r="B1005" s="94" t="str">
        <f>IFERROR(VLOOKUP($A1005,HeadJournal!$A$1:$NTR$890,COLUMN(HeadJournal!B$1),0),"")</f>
        <v>710000620367</v>
      </c>
      <c r="C1005" s="94" t="str">
        <f>IFERROR(VLOOKUP($A1005,HeadJournal!$A$1:$NTR$890,COLUMN(HeadJournal!C$1),0),"")</f>
        <v>iHerb_AV CYG0792</v>
      </c>
      <c r="D1005" s="125" t="str">
        <f>IFERROR(VLOOKUP($A1005,HeadJournal!$A$1:$NTR$890,COLUMN(HeadJournal!D$1),0),"")</f>
        <v>Доставлен</v>
      </c>
      <c r="E1005" s="95">
        <f>IFERROR(VLOOKUP($A1005,HeadJournal!$A$1:$NTR$890,COLUMN(HeadJournal!G$1),0),"")</f>
        <v>44969</v>
      </c>
      <c r="F1005" s="95" t="str">
        <f t="shared" si="79"/>
        <v>2023 02</v>
      </c>
      <c r="G1005" s="96" t="s">
        <v>5</v>
      </c>
      <c r="H1005" s="160" t="str">
        <f>RIGHT(Journal!$J1005,9)</f>
        <v>NOW-01298</v>
      </c>
      <c r="I1005" s="96" t="str">
        <f t="shared" si="76"/>
        <v>NOW Foods</v>
      </c>
      <c r="J1005" s="97" t="s">
        <v>453</v>
      </c>
      <c r="K1005" s="29">
        <v>20.73</v>
      </c>
      <c r="L1005" s="29">
        <v>-2.0750000000000002</v>
      </c>
      <c r="M1005" s="30">
        <f>IFERROR(VLOOKUP($A1005,HeadJournal!$A$1:$J$890,COLUMN(HeadJournal!I$1),0)*($K1005+$L1005)/(SUMIF($A:$A,$A1005,$K:$K)+SUMIF($A:$A,$A1005,$L:$L)),0)</f>
        <v>1.760302287981971</v>
      </c>
      <c r="N1005" s="30">
        <f>IFERROR((VLOOKUP($A1005,HeadJournal!$A$1:$K$890,COLUMN(HeadJournal!K$1),0)-VLOOKUP($A1005,HeadJournal!$A$1:$K$890,COLUMN(HeadJournal!J$1),0))*($K1005+$L1005)/(SUMIF($A:$A,$A1005,$K:$K)+SUMIF($A:$A,$A1005,$L:$L)),0)</f>
        <v>2.5976531743872761E-15</v>
      </c>
      <c r="O1005" s="30">
        <f>IFERROR((VLOOKUP($A1005,HeadJournal!$A$1:$L$890,COLUMN(HeadJournal!L$1),0)*($K1005+$L1005)/(SUMIF($A:$A,$A1005,$K:$K)+SUMIF($A:$A,$A1005,$L:$L)))/VLOOKUP($A1005,HeadJournal!$A$1:$L$890,COLUMN(HeadJournal!H$1),0),0)</f>
        <v>1.631551123587236</v>
      </c>
      <c r="P1005" s="30">
        <f>IFERROR(SUM(K1005:O1005)*VLOOKUP($A1005,HeadJournal!$A$1:$L$890,COLUMN(HeadJournal!H$1),0),0)</f>
        <v>1773.340040909314</v>
      </c>
      <c r="Q1005" s="29">
        <v>2800</v>
      </c>
      <c r="R1005" s="31">
        <v>44999</v>
      </c>
      <c r="S1005" s="31" t="s">
        <v>3121</v>
      </c>
      <c r="T1005" s="95" t="str">
        <f t="shared" si="80"/>
        <v>2023 03</v>
      </c>
      <c r="U1005" s="32">
        <f t="shared" si="77"/>
        <v>1026.659959090686</v>
      </c>
      <c r="V1005" s="22">
        <f t="shared" si="78"/>
        <v>0.57894139612628748</v>
      </c>
      <c r="X1005" s="33"/>
      <c r="Y1005" s="33"/>
    </row>
    <row r="1006" spans="1:25" x14ac:dyDescent="0.2">
      <c r="A1006" s="93" t="s">
        <v>452</v>
      </c>
      <c r="B1006" s="94" t="str">
        <f>IFERROR(VLOOKUP($A1006,HeadJournal!$A$1:$NTR$890,COLUMN(HeadJournal!B$1),0),"")</f>
        <v>710000620367</v>
      </c>
      <c r="C1006" s="94" t="str">
        <f>IFERROR(VLOOKUP($A1006,HeadJournal!$A$1:$NTR$890,COLUMN(HeadJournal!C$1),0),"")</f>
        <v>iHerb_AV CYG0792</v>
      </c>
      <c r="D1006" s="125" t="str">
        <f>IFERROR(VLOOKUP($A1006,HeadJournal!$A$1:$NTR$890,COLUMN(HeadJournal!D$1),0),"")</f>
        <v>Доставлен</v>
      </c>
      <c r="E1006" s="95">
        <f>IFERROR(VLOOKUP($A1006,HeadJournal!$A$1:$NTR$890,COLUMN(HeadJournal!G$1),0),"")</f>
        <v>44969</v>
      </c>
      <c r="F1006" s="95" t="str">
        <f t="shared" si="79"/>
        <v>2023 02</v>
      </c>
      <c r="G1006" s="96" t="s">
        <v>5</v>
      </c>
      <c r="H1006" s="161" t="s">
        <v>2016</v>
      </c>
      <c r="I1006" s="97" t="s">
        <v>2005</v>
      </c>
      <c r="J1006" s="97" t="s">
        <v>2017</v>
      </c>
      <c r="K1006" s="29">
        <v>25.37</v>
      </c>
      <c r="L1006" s="29">
        <v>-2.5350000000000001</v>
      </c>
      <c r="M1006" s="30">
        <f>IFERROR(VLOOKUP($A1006,HeadJournal!$A$1:$J$890,COLUMN(HeadJournal!I$1),0)*($K1006+$L1006)/(SUMIF($A:$A,$A1006,$K:$K)+SUMIF($A:$A,$A1006,$L:$L)),0)</f>
        <v>2.1547307824212441</v>
      </c>
      <c r="N1006" s="30">
        <f>IFERROR((VLOOKUP($A1006,HeadJournal!$A$1:$K$890,COLUMN(HeadJournal!K$1),0)-VLOOKUP($A1006,HeadJournal!$A$1:$K$890,COLUMN(HeadJournal!J$1),0))*($K1006+$L1006)/(SUMIF($A:$A,$A1006,$K:$K)+SUMIF($A:$A,$A1006,$L:$L)),0)</f>
        <v>3.1797057216367433E-15</v>
      </c>
      <c r="O1006" s="30">
        <f>IFERROR((VLOOKUP($A1006,HeadJournal!$A$1:$L$890,COLUMN(HeadJournal!L$1),0)*($K1006+$L1006)/(SUMIF($A:$A,$A1006,$K:$K)+SUMIF($A:$A,$A1006,$L:$L)))/VLOOKUP($A1006,HeadJournal!$A$1:$L$890,COLUMN(HeadJournal!H$1),0),0)</f>
        <v>1.9971305230294578</v>
      </c>
      <c r="P1006" s="30">
        <f>IFERROR(SUM(K1006:O1006)*VLOOKUP($A1006,HeadJournal!$A$1:$L$890,COLUMN(HeadJournal!H$1),0),0)</f>
        <v>2170.6898865807657</v>
      </c>
      <c r="Q1006" s="29">
        <v>3500</v>
      </c>
      <c r="R1006" s="31">
        <v>45007</v>
      </c>
      <c r="S1006" s="31" t="s">
        <v>3121</v>
      </c>
      <c r="T1006" s="95" t="str">
        <f t="shared" si="80"/>
        <v>2023 03</v>
      </c>
      <c r="U1006" s="32">
        <f t="shared" si="77"/>
        <v>1329.3101134192343</v>
      </c>
      <c r="V1006" s="22">
        <f t="shared" si="78"/>
        <v>0.6123906144479907</v>
      </c>
      <c r="X1006" s="33"/>
      <c r="Y1006" s="33"/>
    </row>
    <row r="1007" spans="1:25" x14ac:dyDescent="0.2">
      <c r="A1007" s="93" t="s">
        <v>452</v>
      </c>
      <c r="B1007" s="94" t="str">
        <f>IFERROR(VLOOKUP($A1007,HeadJournal!$A$1:$NTR$890,COLUMN(HeadJournal!B$1),0),"")</f>
        <v>710000620367</v>
      </c>
      <c r="C1007" s="94" t="str">
        <f>IFERROR(VLOOKUP($A1007,HeadJournal!$A$1:$NTR$890,COLUMN(HeadJournal!C$1),0),"")</f>
        <v>iHerb_AV CYG0792</v>
      </c>
      <c r="D1007" s="125" t="str">
        <f>IFERROR(VLOOKUP($A1007,HeadJournal!$A$1:$NTR$890,COLUMN(HeadJournal!D$1),0),"")</f>
        <v>Доставлен</v>
      </c>
      <c r="E1007" s="95">
        <f>IFERROR(VLOOKUP($A1007,HeadJournal!$A$1:$NTR$890,COLUMN(HeadJournal!G$1),0),"")</f>
        <v>44969</v>
      </c>
      <c r="F1007" s="95" t="str">
        <f t="shared" si="79"/>
        <v>2023 02</v>
      </c>
      <c r="G1007" s="96" t="s">
        <v>5</v>
      </c>
      <c r="H1007" s="161" t="s">
        <v>2016</v>
      </c>
      <c r="I1007" s="97" t="s">
        <v>2005</v>
      </c>
      <c r="J1007" s="97" t="s">
        <v>2017</v>
      </c>
      <c r="K1007" s="29">
        <v>25.37</v>
      </c>
      <c r="L1007" s="29">
        <v>-2.5350000000000001</v>
      </c>
      <c r="M1007" s="30">
        <f>IFERROR(VLOOKUP($A1007,HeadJournal!$A$1:$J$890,COLUMN(HeadJournal!I$1),0)*($K1007+$L1007)/(SUMIF($A:$A,$A1007,$K:$K)+SUMIF($A:$A,$A1007,$L:$L)),0)</f>
        <v>2.1547307824212441</v>
      </c>
      <c r="N1007" s="30">
        <f>IFERROR((VLOOKUP($A1007,HeadJournal!$A$1:$K$890,COLUMN(HeadJournal!K$1),0)-VLOOKUP($A1007,HeadJournal!$A$1:$K$890,COLUMN(HeadJournal!J$1),0))*($K1007+$L1007)/(SUMIF($A:$A,$A1007,$K:$K)+SUMIF($A:$A,$A1007,$L:$L)),0)</f>
        <v>3.1797057216367433E-15</v>
      </c>
      <c r="O1007" s="30">
        <f>IFERROR((VLOOKUP($A1007,HeadJournal!$A$1:$L$890,COLUMN(HeadJournal!L$1),0)*($K1007+$L1007)/(SUMIF($A:$A,$A1007,$K:$K)+SUMIF($A:$A,$A1007,$L:$L)))/VLOOKUP($A1007,HeadJournal!$A$1:$L$890,COLUMN(HeadJournal!H$1),0),0)</f>
        <v>1.9971305230294578</v>
      </c>
      <c r="P1007" s="30">
        <f>IFERROR(SUM(K1007:O1007)*VLOOKUP($A1007,HeadJournal!$A$1:$L$890,COLUMN(HeadJournal!H$1),0),0)</f>
        <v>2170.6898865807657</v>
      </c>
      <c r="Q1007" s="29">
        <v>3500</v>
      </c>
      <c r="R1007" s="31">
        <v>45034</v>
      </c>
      <c r="S1007" s="31" t="s">
        <v>3121</v>
      </c>
      <c r="T1007" s="95" t="str">
        <f t="shared" si="80"/>
        <v>2023 04</v>
      </c>
      <c r="U1007" s="32">
        <f t="shared" si="77"/>
        <v>1329.3101134192343</v>
      </c>
      <c r="V1007" s="22">
        <f t="shared" si="78"/>
        <v>0.6123906144479907</v>
      </c>
      <c r="X1007" s="33"/>
      <c r="Y1007" s="33"/>
    </row>
    <row r="1008" spans="1:25" x14ac:dyDescent="0.2">
      <c r="A1008" s="93" t="s">
        <v>452</v>
      </c>
      <c r="B1008" s="94" t="str">
        <f>IFERROR(VLOOKUP($A1008,HeadJournal!$A$1:$NTR$890,COLUMN(HeadJournal!B$1),0),"")</f>
        <v>710000620367</v>
      </c>
      <c r="C1008" s="94" t="str">
        <f>IFERROR(VLOOKUP($A1008,HeadJournal!$A$1:$NTR$890,COLUMN(HeadJournal!C$1),0),"")</f>
        <v>iHerb_AV CYG0792</v>
      </c>
      <c r="D1008" s="125" t="str">
        <f>IFERROR(VLOOKUP($A1008,HeadJournal!$A$1:$NTR$890,COLUMN(HeadJournal!D$1),0),"")</f>
        <v>Доставлен</v>
      </c>
      <c r="E1008" s="95">
        <f>IFERROR(VLOOKUP($A1008,HeadJournal!$A$1:$NTR$890,COLUMN(HeadJournal!G$1),0),"")</f>
        <v>44969</v>
      </c>
      <c r="F1008" s="95" t="str">
        <f t="shared" si="79"/>
        <v>2023 02</v>
      </c>
      <c r="G1008" s="96" t="s">
        <v>5</v>
      </c>
      <c r="H1008" s="161" t="s">
        <v>2089</v>
      </c>
      <c r="I1008" s="97" t="s">
        <v>2005</v>
      </c>
      <c r="J1008" s="97" t="s">
        <v>3781</v>
      </c>
      <c r="K1008" s="29">
        <v>19.72</v>
      </c>
      <c r="L1008" s="29">
        <v>-1.97</v>
      </c>
      <c r="M1008" s="30">
        <f>IFERROR(VLOOKUP($A1008,HeadJournal!$A$1:$J$890,COLUMN(HeadJournal!I$1),0)*($K1008+$L1008)/(SUMIF($A:$A,$A1008,$K:$K)+SUMIF($A:$A,$A1008,$L:$L)),0)</f>
        <v>1.6749056881093529</v>
      </c>
      <c r="N1008" s="30">
        <f>IFERROR((VLOOKUP($A1008,HeadJournal!$A$1:$K$890,COLUMN(HeadJournal!K$1),0)-VLOOKUP($A1008,HeadJournal!$A$1:$K$890,COLUMN(HeadJournal!J$1),0))*($K1008+$L1008)/(SUMIF($A:$A,$A1008,$K:$K)+SUMIF($A:$A,$A1008,$L:$L)),0)</f>
        <v>2.47163462049714E-15</v>
      </c>
      <c r="O1008" s="30">
        <f>IFERROR((VLOOKUP($A1008,HeadJournal!$A$1:$L$890,COLUMN(HeadJournal!L$1),0)*($K1008+$L1008)/(SUMIF($A:$A,$A1008,$K:$K)+SUMIF($A:$A,$A1008,$L:$L)))/VLOOKUP($A1008,HeadJournal!$A$1:$L$890,COLUMN(HeadJournal!H$1),0),0)</f>
        <v>1.5524005598324007</v>
      </c>
      <c r="P1008" s="30">
        <f>IFERROR(SUM(K1008:O1008)*VLOOKUP($A1008,HeadJournal!$A$1:$L$890,COLUMN(HeadJournal!H$1),0),0)</f>
        <v>1687.3109475282936</v>
      </c>
      <c r="Q1008" s="29">
        <v>2800</v>
      </c>
      <c r="R1008" s="31">
        <v>45037</v>
      </c>
      <c r="S1008" s="31" t="s">
        <v>3121</v>
      </c>
      <c r="T1008" s="95" t="str">
        <f t="shared" si="80"/>
        <v>2023 04</v>
      </c>
      <c r="U1008" s="32">
        <f t="shared" si="77"/>
        <v>1112.6890524717064</v>
      </c>
      <c r="V1008" s="22">
        <f t="shared" si="78"/>
        <v>0.65944516871751546</v>
      </c>
      <c r="X1008" s="33"/>
      <c r="Y1008" s="33"/>
    </row>
    <row r="1009" spans="1:25" x14ac:dyDescent="0.2">
      <c r="A1009" s="93" t="s">
        <v>452</v>
      </c>
      <c r="B1009" s="94" t="str">
        <f>IFERROR(VLOOKUP($A1009,HeadJournal!$A$1:$NTR$890,COLUMN(HeadJournal!B$1),0),"")</f>
        <v>710000620367</v>
      </c>
      <c r="C1009" s="94" t="str">
        <f>IFERROR(VLOOKUP($A1009,HeadJournal!$A$1:$NTR$890,COLUMN(HeadJournal!C$1),0),"")</f>
        <v>iHerb_AV CYG0792</v>
      </c>
      <c r="D1009" s="125" t="str">
        <f>IFERROR(VLOOKUP($A1009,HeadJournal!$A$1:$NTR$890,COLUMN(HeadJournal!D$1),0),"")</f>
        <v>Доставлен</v>
      </c>
      <c r="E1009" s="95">
        <f>IFERROR(VLOOKUP($A1009,HeadJournal!$A$1:$NTR$890,COLUMN(HeadJournal!G$1),0),"")</f>
        <v>44969</v>
      </c>
      <c r="F1009" s="95" t="str">
        <f t="shared" si="79"/>
        <v>2023 02</v>
      </c>
      <c r="G1009" s="96" t="s">
        <v>5</v>
      </c>
      <c r="H1009" s="161" t="s">
        <v>2089</v>
      </c>
      <c r="I1009" s="97" t="s">
        <v>2005</v>
      </c>
      <c r="J1009" s="97" t="s">
        <v>3781</v>
      </c>
      <c r="K1009" s="29">
        <v>19.72</v>
      </c>
      <c r="L1009" s="29">
        <v>-1.97</v>
      </c>
      <c r="M1009" s="30">
        <f>IFERROR(VLOOKUP($A1009,HeadJournal!$A$1:$J$890,COLUMN(HeadJournal!I$1),0)*($K1009+$L1009)/(SUMIF($A:$A,$A1009,$K:$K)+SUMIF($A:$A,$A1009,$L:$L)),0)</f>
        <v>1.6749056881093529</v>
      </c>
      <c r="N1009" s="30">
        <f>IFERROR((VLOOKUP($A1009,HeadJournal!$A$1:$K$890,COLUMN(HeadJournal!K$1),0)-VLOOKUP($A1009,HeadJournal!$A$1:$K$890,COLUMN(HeadJournal!J$1),0))*($K1009+$L1009)/(SUMIF($A:$A,$A1009,$K:$K)+SUMIF($A:$A,$A1009,$L:$L)),0)</f>
        <v>2.47163462049714E-15</v>
      </c>
      <c r="O1009" s="30">
        <f>IFERROR((VLOOKUP($A1009,HeadJournal!$A$1:$L$890,COLUMN(HeadJournal!L$1),0)*($K1009+$L1009)/(SUMIF($A:$A,$A1009,$K:$K)+SUMIF($A:$A,$A1009,$L:$L)))/VLOOKUP($A1009,HeadJournal!$A$1:$L$890,COLUMN(HeadJournal!H$1),0),0)</f>
        <v>1.5524005598324007</v>
      </c>
      <c r="P1009" s="30">
        <f>IFERROR(SUM(K1009:O1009)*VLOOKUP($A1009,HeadJournal!$A$1:$L$890,COLUMN(HeadJournal!H$1),0),0)</f>
        <v>1687.3109475282936</v>
      </c>
      <c r="Q1009" s="29">
        <v>2800</v>
      </c>
      <c r="R1009" s="31">
        <v>45080</v>
      </c>
      <c r="S1009" s="31" t="s">
        <v>3121</v>
      </c>
      <c r="T1009" s="95" t="str">
        <f t="shared" si="80"/>
        <v>2023 06</v>
      </c>
      <c r="U1009" s="32">
        <f t="shared" si="77"/>
        <v>1112.6890524717064</v>
      </c>
      <c r="V1009" s="22">
        <f t="shared" si="78"/>
        <v>0.65944516871751546</v>
      </c>
      <c r="X1009" s="33"/>
      <c r="Y1009" s="33"/>
    </row>
    <row r="1010" spans="1:25" x14ac:dyDescent="0.2">
      <c r="A1010" s="93" t="s">
        <v>452</v>
      </c>
      <c r="B1010" s="94" t="str">
        <f>IFERROR(VLOOKUP($A1010,HeadJournal!$A$1:$NTR$890,COLUMN(HeadJournal!B$1),0),"")</f>
        <v>710000620367</v>
      </c>
      <c r="C1010" s="94" t="str">
        <f>IFERROR(VLOOKUP($A1010,HeadJournal!$A$1:$NTR$890,COLUMN(HeadJournal!C$1),0),"")</f>
        <v>iHerb_AV CYG0792</v>
      </c>
      <c r="D1010" s="125" t="str">
        <f>IFERROR(VLOOKUP($A1010,HeadJournal!$A$1:$NTR$890,COLUMN(HeadJournal!D$1),0),"")</f>
        <v>Доставлен</v>
      </c>
      <c r="E1010" s="95">
        <f>IFERROR(VLOOKUP($A1010,HeadJournal!$A$1:$NTR$890,COLUMN(HeadJournal!G$1),0),"")</f>
        <v>44969</v>
      </c>
      <c r="F1010" s="95" t="str">
        <f t="shared" si="79"/>
        <v>2023 02</v>
      </c>
      <c r="G1010" s="96" t="s">
        <v>5</v>
      </c>
      <c r="H1010" s="161" t="s">
        <v>3992</v>
      </c>
      <c r="I1010" s="97" t="s">
        <v>2666</v>
      </c>
      <c r="J1010" s="97" t="s">
        <v>3993</v>
      </c>
      <c r="K1010" s="29">
        <v>22.01</v>
      </c>
      <c r="L1010" s="29">
        <v>-4.4000000000000004</v>
      </c>
      <c r="M1010" s="30">
        <f>IFERROR(VLOOKUP($A1010,HeadJournal!$A$1:$J$890,COLUMN(HeadJournal!I$1),0)*($K1010+$L1010)/(SUMIF($A:$A,$A1010,$K:$K)+SUMIF($A:$A,$A1010,$L:$L)),0)</f>
        <v>1.6616951643721525</v>
      </c>
      <c r="N1010" s="30">
        <f>IFERROR((VLOOKUP($A1010,HeadJournal!$A$1:$K$890,COLUMN(HeadJournal!K$1),0)-VLOOKUP($A1010,HeadJournal!$A$1:$K$890,COLUMN(HeadJournal!J$1),0))*($K1010+$L1010)/(SUMIF($A:$A,$A1010,$K:$K)+SUMIF($A:$A,$A1010,$L:$L)),0)</f>
        <v>2.4521400375749091E-15</v>
      </c>
      <c r="O1010" s="30">
        <f>IFERROR((VLOOKUP($A1010,HeadJournal!$A$1:$L$890,COLUMN(HeadJournal!L$1),0)*($K1010+$L1010)/(SUMIF($A:$A,$A1010,$K:$K)+SUMIF($A:$A,$A1010,$L:$L)))/VLOOKUP($A1010,HeadJournal!$A$1:$L$890,COLUMN(HeadJournal!H$1),0),0)</f>
        <v>1.5401562737266805</v>
      </c>
      <c r="P1010" s="30">
        <f>IFERROR(SUM(K1010:O1010)*VLOOKUP($A1010,HeadJournal!$A$1:$L$890,COLUMN(HeadJournal!H$1),0),0)</f>
        <v>1674.0025794914507</v>
      </c>
      <c r="Q1010" s="29">
        <v>3400</v>
      </c>
      <c r="R1010" s="31">
        <v>45007</v>
      </c>
      <c r="S1010" s="31" t="s">
        <v>3121</v>
      </c>
      <c r="T1010" s="95" t="str">
        <f t="shared" si="80"/>
        <v>2023 03</v>
      </c>
      <c r="U1010" s="32">
        <f t="shared" si="77"/>
        <v>1725.9974205085493</v>
      </c>
      <c r="V1010" s="22">
        <f t="shared" si="78"/>
        <v>1.0310601916951014</v>
      </c>
      <c r="X1010" s="33"/>
      <c r="Y1010" s="33"/>
    </row>
    <row r="1011" spans="1:25" x14ac:dyDescent="0.2">
      <c r="A1011" s="93" t="s">
        <v>452</v>
      </c>
      <c r="B1011" s="94" t="str">
        <f>IFERROR(VLOOKUP($A1011,HeadJournal!$A$1:$NTR$890,COLUMN(HeadJournal!B$1),0),"")</f>
        <v>710000620367</v>
      </c>
      <c r="C1011" s="94" t="str">
        <f>IFERROR(VLOOKUP($A1011,HeadJournal!$A$1:$NTR$890,COLUMN(HeadJournal!C$1),0),"")</f>
        <v>iHerb_AV CYG0792</v>
      </c>
      <c r="D1011" s="125" t="str">
        <f>IFERROR(VLOOKUP($A1011,HeadJournal!$A$1:$NTR$890,COLUMN(HeadJournal!D$1),0),"")</f>
        <v>Доставлен</v>
      </c>
      <c r="E1011" s="95">
        <f>IFERROR(VLOOKUP($A1011,HeadJournal!$A$1:$NTR$890,COLUMN(HeadJournal!G$1),0),"")</f>
        <v>44969</v>
      </c>
      <c r="F1011" s="95" t="str">
        <f t="shared" si="79"/>
        <v>2023 02</v>
      </c>
      <c r="G1011" s="96" t="s">
        <v>5</v>
      </c>
      <c r="H1011" s="161" t="s">
        <v>3992</v>
      </c>
      <c r="I1011" s="97" t="s">
        <v>2666</v>
      </c>
      <c r="J1011" s="97" t="s">
        <v>3993</v>
      </c>
      <c r="K1011" s="29">
        <v>22.01</v>
      </c>
      <c r="L1011" s="29">
        <v>-4.4000000000000004</v>
      </c>
      <c r="M1011" s="30">
        <f>IFERROR(VLOOKUP($A1011,HeadJournal!$A$1:$J$890,COLUMN(HeadJournal!I$1),0)*($K1011+$L1011)/(SUMIF($A:$A,$A1011,$K:$K)+SUMIF($A:$A,$A1011,$L:$L)),0)</f>
        <v>1.6616951643721525</v>
      </c>
      <c r="N1011" s="30">
        <f>IFERROR((VLOOKUP($A1011,HeadJournal!$A$1:$K$890,COLUMN(HeadJournal!K$1),0)-VLOOKUP($A1011,HeadJournal!$A$1:$K$890,COLUMN(HeadJournal!J$1),0))*($K1011+$L1011)/(SUMIF($A:$A,$A1011,$K:$K)+SUMIF($A:$A,$A1011,$L:$L)),0)</f>
        <v>2.4521400375749091E-15</v>
      </c>
      <c r="O1011" s="30">
        <f>IFERROR((VLOOKUP($A1011,HeadJournal!$A$1:$L$890,COLUMN(HeadJournal!L$1),0)*($K1011+$L1011)/(SUMIF($A:$A,$A1011,$K:$K)+SUMIF($A:$A,$A1011,$L:$L)))/VLOOKUP($A1011,HeadJournal!$A$1:$L$890,COLUMN(HeadJournal!H$1),0),0)</f>
        <v>1.5401562737266805</v>
      </c>
      <c r="P1011" s="30">
        <f>IFERROR(SUM(K1011:O1011)*VLOOKUP($A1011,HeadJournal!$A$1:$L$890,COLUMN(HeadJournal!H$1),0),0)</f>
        <v>1674.0025794914507</v>
      </c>
      <c r="Q1011" s="29">
        <v>3400</v>
      </c>
      <c r="R1011" s="31">
        <v>45014</v>
      </c>
      <c r="S1011" s="31" t="s">
        <v>3121</v>
      </c>
      <c r="T1011" s="95" t="str">
        <f t="shared" si="80"/>
        <v>2023 03</v>
      </c>
      <c r="U1011" s="32">
        <f t="shared" si="77"/>
        <v>1725.9974205085493</v>
      </c>
      <c r="V1011" s="22">
        <f t="shared" si="78"/>
        <v>1.0310601916951014</v>
      </c>
      <c r="X1011" s="33"/>
      <c r="Y1011" s="33"/>
    </row>
    <row r="1012" spans="1:25" x14ac:dyDescent="0.2">
      <c r="A1012" s="93" t="s">
        <v>452</v>
      </c>
      <c r="B1012" s="94" t="str">
        <f>IFERROR(VLOOKUP($A1012,HeadJournal!$A$1:$NTR$890,COLUMN(HeadJournal!B$1),0),"")</f>
        <v>710000620367</v>
      </c>
      <c r="C1012" s="94" t="str">
        <f>IFERROR(VLOOKUP($A1012,HeadJournal!$A$1:$NTR$890,COLUMN(HeadJournal!C$1),0),"")</f>
        <v>iHerb_AV CYG0792</v>
      </c>
      <c r="D1012" s="125" t="str">
        <f>IFERROR(VLOOKUP($A1012,HeadJournal!$A$1:$NTR$890,COLUMN(HeadJournal!D$1),0),"")</f>
        <v>Доставлен</v>
      </c>
      <c r="E1012" s="95">
        <f>IFERROR(VLOOKUP($A1012,HeadJournal!$A$1:$NTR$890,COLUMN(HeadJournal!G$1),0),"")</f>
        <v>44969</v>
      </c>
      <c r="F1012" s="95" t="str">
        <f t="shared" si="79"/>
        <v>2023 02</v>
      </c>
      <c r="G1012" s="96" t="s">
        <v>5</v>
      </c>
      <c r="H1012" s="161" t="s">
        <v>2225</v>
      </c>
      <c r="I1012" s="97" t="s">
        <v>2226</v>
      </c>
      <c r="J1012" s="97" t="s">
        <v>2227</v>
      </c>
      <c r="K1012" s="29">
        <v>19.46</v>
      </c>
      <c r="L1012" s="29">
        <v>-3.89</v>
      </c>
      <c r="M1012" s="30">
        <f>IFERROR(VLOOKUP($A1012,HeadJournal!$A$1:$J$890,COLUMN(HeadJournal!I$1),0)*($K1012+$L1012)/(SUMIF($A:$A,$A1012,$K:$K)+SUMIF($A:$A,$A1012,$L:$L)),0)</f>
        <v>1.4691989613443734</v>
      </c>
      <c r="N1012" s="30">
        <f>IFERROR((VLOOKUP($A1012,HeadJournal!$A$1:$K$890,COLUMN(HeadJournal!K$1),0)-VLOOKUP($A1012,HeadJournal!$A$1:$K$890,COLUMN(HeadJournal!J$1),0))*($K1012+$L1012)/(SUMIF($A:$A,$A1012,$K:$K)+SUMIF($A:$A,$A1012,$L:$L)),0)</f>
        <v>2.1680761149938294E-15</v>
      </c>
      <c r="O1012" s="30">
        <f>IFERROR((VLOOKUP($A1012,HeadJournal!$A$1:$L$890,COLUMN(HeadJournal!L$1),0)*($K1012+$L1012)/(SUMIF($A:$A,$A1012,$K:$K)+SUMIF($A:$A,$A1012,$L:$L)))/VLOOKUP($A1012,HeadJournal!$A$1:$L$890,COLUMN(HeadJournal!H$1),0),0)</f>
        <v>1.3617395333290412</v>
      </c>
      <c r="P1012" s="30">
        <f>IFERROR(SUM(K1012:O1012)*VLOOKUP($A1012,HeadJournal!$A$1:$L$890,COLUMN(HeadJournal!H$1),0),0)</f>
        <v>1480.0806452403119</v>
      </c>
      <c r="Q1012" s="29">
        <v>3000</v>
      </c>
      <c r="R1012" s="31">
        <v>45000</v>
      </c>
      <c r="S1012" s="31" t="s">
        <v>3121</v>
      </c>
      <c r="T1012" s="95" t="str">
        <f t="shared" si="80"/>
        <v>2023 03</v>
      </c>
      <c r="U1012" s="32">
        <f t="shared" si="77"/>
        <v>1519.9193547596881</v>
      </c>
      <c r="V1012" s="22">
        <f t="shared" si="78"/>
        <v>1.0269165802873585</v>
      </c>
      <c r="X1012" s="33"/>
      <c r="Y1012" s="33"/>
    </row>
    <row r="1013" spans="1:25" x14ac:dyDescent="0.2">
      <c r="A1013" s="93" t="s">
        <v>452</v>
      </c>
      <c r="B1013" s="94" t="str">
        <f>IFERROR(VLOOKUP($A1013,HeadJournal!$A$1:$NTR$890,COLUMN(HeadJournal!B$1),0),"")</f>
        <v>710000620367</v>
      </c>
      <c r="C1013" s="94" t="str">
        <f>IFERROR(VLOOKUP($A1013,HeadJournal!$A$1:$NTR$890,COLUMN(HeadJournal!C$1),0),"")</f>
        <v>iHerb_AV CYG0792</v>
      </c>
      <c r="D1013" s="125" t="str">
        <f>IFERROR(VLOOKUP($A1013,HeadJournal!$A$1:$NTR$890,COLUMN(HeadJournal!D$1),0),"")</f>
        <v>Доставлен</v>
      </c>
      <c r="E1013" s="95">
        <f>IFERROR(VLOOKUP($A1013,HeadJournal!$A$1:$NTR$890,COLUMN(HeadJournal!G$1),0),"")</f>
        <v>44969</v>
      </c>
      <c r="F1013" s="95" t="str">
        <f t="shared" si="79"/>
        <v>2023 02</v>
      </c>
      <c r="G1013" s="96" t="s">
        <v>5</v>
      </c>
      <c r="H1013" s="161" t="s">
        <v>2896</v>
      </c>
      <c r="I1013" s="97" t="s">
        <v>2666</v>
      </c>
      <c r="J1013" s="97" t="s">
        <v>2897</v>
      </c>
      <c r="K1013" s="29">
        <v>9.5399999999999991</v>
      </c>
      <c r="L1013" s="29">
        <v>-1.91</v>
      </c>
      <c r="M1013" s="30">
        <f>IFERROR(VLOOKUP($A1013,HeadJournal!$A$1:$J$890,COLUMN(HeadJournal!I$1),0)*($K1013+$L1013)/(SUMIF($A:$A,$A1013,$K:$K)+SUMIF($A:$A,$A1013,$L:$L)),0)</f>
        <v>0.71997354367742883</v>
      </c>
      <c r="N1013" s="30">
        <f>IFERROR((VLOOKUP($A1013,HeadJournal!$A$1:$K$890,COLUMN(HeadJournal!K$1),0)-VLOOKUP($A1013,HeadJournal!$A$1:$K$890,COLUMN(HeadJournal!J$1),0))*($K1013+$L1013)/(SUMIF($A:$A,$A1013,$K:$K)+SUMIF($A:$A,$A1013,$L:$L)),0)</f>
        <v>1.0624547692615874E-15</v>
      </c>
      <c r="O1013" s="30">
        <f>IFERROR((VLOOKUP($A1013,HeadJournal!$A$1:$L$890,COLUMN(HeadJournal!L$1),0)*($K1013+$L1013)/(SUMIF($A:$A,$A1013,$K:$K)+SUMIF($A:$A,$A1013,$L:$L)))/VLOOKUP($A1013,HeadJournal!$A$1:$L$890,COLUMN(HeadJournal!H$1),0),0)</f>
        <v>0.66731359276175861</v>
      </c>
      <c r="P1013" s="30">
        <f>IFERROR(SUM(K1013:O1013)*VLOOKUP($A1013,HeadJournal!$A$1:$L$890,COLUMN(HeadJournal!H$1),0),0)</f>
        <v>725.30605800793694</v>
      </c>
      <c r="Q1013" s="29">
        <v>1400</v>
      </c>
      <c r="R1013" s="31">
        <v>45000</v>
      </c>
      <c r="S1013" s="31" t="s">
        <v>3121</v>
      </c>
      <c r="T1013" s="95" t="str">
        <f t="shared" si="80"/>
        <v>2023 03</v>
      </c>
      <c r="U1013" s="32">
        <f t="shared" si="77"/>
        <v>674.69394199206306</v>
      </c>
      <c r="V1013" s="22">
        <f t="shared" si="78"/>
        <v>0.93021964251218203</v>
      </c>
      <c r="X1013" s="33"/>
      <c r="Y1013" s="33"/>
    </row>
    <row r="1014" spans="1:25" x14ac:dyDescent="0.2">
      <c r="A1014" s="93" t="s">
        <v>452</v>
      </c>
      <c r="B1014" s="94" t="str">
        <f>IFERROR(VLOOKUP($A1014,HeadJournal!$A$1:$NTR$890,COLUMN(HeadJournal!B$1),0),"")</f>
        <v>710000620367</v>
      </c>
      <c r="C1014" s="94" t="str">
        <f>IFERROR(VLOOKUP($A1014,HeadJournal!$A$1:$NTR$890,COLUMN(HeadJournal!C$1),0),"")</f>
        <v>iHerb_AV CYG0792</v>
      </c>
      <c r="D1014" s="125" t="str">
        <f>IFERROR(VLOOKUP($A1014,HeadJournal!$A$1:$NTR$890,COLUMN(HeadJournal!D$1),0),"")</f>
        <v>Доставлен</v>
      </c>
      <c r="E1014" s="95">
        <f>IFERROR(VLOOKUP($A1014,HeadJournal!$A$1:$NTR$890,COLUMN(HeadJournal!G$1),0),"")</f>
        <v>44969</v>
      </c>
      <c r="F1014" s="95" t="str">
        <f t="shared" si="79"/>
        <v>2023 02</v>
      </c>
      <c r="G1014" s="96" t="s">
        <v>5</v>
      </c>
      <c r="H1014" s="161" t="s">
        <v>2896</v>
      </c>
      <c r="I1014" s="97" t="s">
        <v>2666</v>
      </c>
      <c r="J1014" s="97" t="s">
        <v>2897</v>
      </c>
      <c r="K1014" s="29">
        <v>9.5399999999999991</v>
      </c>
      <c r="L1014" s="29">
        <v>-1.91</v>
      </c>
      <c r="M1014" s="30">
        <f>IFERROR(VLOOKUP($A1014,HeadJournal!$A$1:$J$890,COLUMN(HeadJournal!I$1),0)*($K1014+$L1014)/(SUMIF($A:$A,$A1014,$K:$K)+SUMIF($A:$A,$A1014,$L:$L)),0)</f>
        <v>0.71997354367742883</v>
      </c>
      <c r="N1014" s="30">
        <f>IFERROR((VLOOKUP($A1014,HeadJournal!$A$1:$K$890,COLUMN(HeadJournal!K$1),0)-VLOOKUP($A1014,HeadJournal!$A$1:$K$890,COLUMN(HeadJournal!J$1),0))*($K1014+$L1014)/(SUMIF($A:$A,$A1014,$K:$K)+SUMIF($A:$A,$A1014,$L:$L)),0)</f>
        <v>1.0624547692615874E-15</v>
      </c>
      <c r="O1014" s="30">
        <f>IFERROR((VLOOKUP($A1014,HeadJournal!$A$1:$L$890,COLUMN(HeadJournal!L$1),0)*($K1014+$L1014)/(SUMIF($A:$A,$A1014,$K:$K)+SUMIF($A:$A,$A1014,$L:$L)))/VLOOKUP($A1014,HeadJournal!$A$1:$L$890,COLUMN(HeadJournal!H$1),0),0)</f>
        <v>0.66731359276175861</v>
      </c>
      <c r="P1014" s="30">
        <f>IFERROR(SUM(K1014:O1014)*VLOOKUP($A1014,HeadJournal!$A$1:$L$890,COLUMN(HeadJournal!H$1),0),0)</f>
        <v>725.30605800793694</v>
      </c>
      <c r="Q1014" s="29">
        <v>1400</v>
      </c>
      <c r="R1014" s="31">
        <v>45000</v>
      </c>
      <c r="S1014" s="31" t="s">
        <v>3121</v>
      </c>
      <c r="T1014" s="95" t="str">
        <f t="shared" si="80"/>
        <v>2023 03</v>
      </c>
      <c r="U1014" s="32">
        <f t="shared" si="77"/>
        <v>674.69394199206306</v>
      </c>
      <c r="V1014" s="22">
        <f t="shared" si="78"/>
        <v>0.93021964251218203</v>
      </c>
      <c r="X1014" s="33"/>
      <c r="Y1014" s="33"/>
    </row>
    <row r="1015" spans="1:25" x14ac:dyDescent="0.2">
      <c r="A1015" s="93" t="s">
        <v>452</v>
      </c>
      <c r="B1015" s="94" t="str">
        <f>IFERROR(VLOOKUP($A1015,HeadJournal!$A$1:$NTR$890,COLUMN(HeadJournal!B$1),0),"")</f>
        <v>710000620367</v>
      </c>
      <c r="C1015" s="94" t="str">
        <f>IFERROR(VLOOKUP($A1015,HeadJournal!$A$1:$NTR$890,COLUMN(HeadJournal!C$1),0),"")</f>
        <v>iHerb_AV CYG0792</v>
      </c>
      <c r="D1015" s="125" t="str">
        <f>IFERROR(VLOOKUP($A1015,HeadJournal!$A$1:$NTR$890,COLUMN(HeadJournal!D$1),0),"")</f>
        <v>Доставлен</v>
      </c>
      <c r="E1015" s="95">
        <f>IFERROR(VLOOKUP($A1015,HeadJournal!$A$1:$NTR$890,COLUMN(HeadJournal!G$1),0),"")</f>
        <v>44969</v>
      </c>
      <c r="F1015" s="95" t="str">
        <f t="shared" si="79"/>
        <v>2023 02</v>
      </c>
      <c r="G1015" s="96" t="s">
        <v>5</v>
      </c>
      <c r="H1015" s="160" t="str">
        <f>RIGHT(Journal!$J1015,9)</f>
        <v>NAP-29996</v>
      </c>
      <c r="I1015" s="96" t="str">
        <f t="shared" si="76"/>
        <v>NaturesPlus</v>
      </c>
      <c r="J1015" s="97" t="s">
        <v>77</v>
      </c>
      <c r="K1015" s="29">
        <v>9.75</v>
      </c>
      <c r="L1015" s="29">
        <v>-1.95</v>
      </c>
      <c r="M1015" s="30">
        <f>IFERROR(VLOOKUP($A1015,HeadJournal!$A$1:$J$890,COLUMN(HeadJournal!I$1),0)*($K1015+$L1015)/(SUMIF($A:$A,$A1015,$K:$K)+SUMIF($A:$A,$A1015,$L:$L)),0)</f>
        <v>0.73601489392974384</v>
      </c>
      <c r="N1015" s="30">
        <f>IFERROR((VLOOKUP($A1015,HeadJournal!$A$1:$K$890,COLUMN(HeadJournal!K$1),0)-VLOOKUP($A1015,HeadJournal!$A$1:$K$890,COLUMN(HeadJournal!J$1),0))*($K1015+$L1015)/(SUMIF($A:$A,$A1015,$K:$K)+SUMIF($A:$A,$A1015,$L:$L)),0)</f>
        <v>1.0861267628100108E-15</v>
      </c>
      <c r="O1015" s="30">
        <f>IFERROR((VLOOKUP($A1015,HeadJournal!$A$1:$L$890,COLUMN(HeadJournal!L$1),0)*($K1015+$L1015)/(SUMIF($A:$A,$A1015,$K:$K)+SUMIF($A:$A,$A1015,$L:$L)))/VLOOKUP($A1015,HeadJournal!$A$1:$L$890,COLUMN(HeadJournal!H$1),0),0)</f>
        <v>0.68218165446156198</v>
      </c>
      <c r="P1015" s="30">
        <f>IFERROR(SUM(K1015:O1015)*VLOOKUP($A1015,HeadJournal!$A$1:$L$890,COLUMN(HeadJournal!H$1),0),0)</f>
        <v>741.46621919553195</v>
      </c>
      <c r="Q1015" s="29">
        <v>1700</v>
      </c>
      <c r="R1015" s="31">
        <v>45253</v>
      </c>
      <c r="S1015" s="31" t="s">
        <v>3121</v>
      </c>
      <c r="T1015" s="95" t="str">
        <f t="shared" si="80"/>
        <v>2023 11</v>
      </c>
      <c r="U1015" s="32">
        <f t="shared" si="77"/>
        <v>958.53378080446805</v>
      </c>
      <c r="V1015" s="22">
        <f t="shared" si="78"/>
        <v>1.2927544856250468</v>
      </c>
      <c r="X1015" s="33"/>
      <c r="Y1015" s="33"/>
    </row>
    <row r="1016" spans="1:25" x14ac:dyDescent="0.2">
      <c r="A1016" s="93" t="s">
        <v>452</v>
      </c>
      <c r="B1016" s="94" t="str">
        <f>IFERROR(VLOOKUP($A1016,HeadJournal!$A$1:$NTR$890,COLUMN(HeadJournal!B$1),0),"")</f>
        <v>710000620367</v>
      </c>
      <c r="C1016" s="94" t="str">
        <f>IFERROR(VLOOKUP($A1016,HeadJournal!$A$1:$NTR$890,COLUMN(HeadJournal!C$1),0),"")</f>
        <v>iHerb_AV CYG0792</v>
      </c>
      <c r="D1016" s="125" t="str">
        <f>IFERROR(VLOOKUP($A1016,HeadJournal!$A$1:$NTR$890,COLUMN(HeadJournal!D$1),0),"")</f>
        <v>Доставлен</v>
      </c>
      <c r="E1016" s="95">
        <f>IFERROR(VLOOKUP($A1016,HeadJournal!$A$1:$NTR$890,COLUMN(HeadJournal!G$1),0),"")</f>
        <v>44969</v>
      </c>
      <c r="F1016" s="95" t="str">
        <f t="shared" si="79"/>
        <v>2023 02</v>
      </c>
      <c r="G1016" s="96" t="s">
        <v>5</v>
      </c>
      <c r="H1016" s="160" t="str">
        <f>RIGHT(Journal!$J1016,9)</f>
        <v>OAD-54589</v>
      </c>
      <c r="I1016" s="96" t="str">
        <f t="shared" si="76"/>
        <v>One-A-Day</v>
      </c>
      <c r="J1016" s="97" t="s">
        <v>454</v>
      </c>
      <c r="K1016" s="29">
        <v>14.72</v>
      </c>
      <c r="L1016" s="29">
        <v>-2.94</v>
      </c>
      <c r="M1016" s="30">
        <f>IFERROR(VLOOKUP($A1016,HeadJournal!$A$1:$J$890,COLUMN(HeadJournal!I$1),0)*($K1016+$L1016)/(SUMIF($A:$A,$A1016,$K:$K)+SUMIF($A:$A,$A1016,$L:$L)),0)</f>
        <v>1.1115712116015877</v>
      </c>
      <c r="N1016" s="30">
        <f>IFERROR((VLOOKUP($A1016,HeadJournal!$A$1:$K$890,COLUMN(HeadJournal!K$1),0)-VLOOKUP($A1016,HeadJournal!$A$1:$K$890,COLUMN(HeadJournal!J$1),0))*($K1016+$L1016)/(SUMIF($A:$A,$A1016,$K:$K)+SUMIF($A:$A,$A1016,$L:$L)),0)</f>
        <v>1.6403299058848627E-15</v>
      </c>
      <c r="O1016" s="30">
        <f>IFERROR((VLOOKUP($A1016,HeadJournal!$A$1:$L$890,COLUMN(HeadJournal!L$1),0)*($K1016+$L1016)/(SUMIF($A:$A,$A1016,$K:$K)+SUMIF($A:$A,$A1016,$L:$L)))/VLOOKUP($A1016,HeadJournal!$A$1:$L$890,COLUMN(HeadJournal!H$1),0),0)</f>
        <v>1.0302692166098977</v>
      </c>
      <c r="P1016" s="30">
        <f>IFERROR(SUM(K1016:O1016)*VLOOKUP($A1016,HeadJournal!$A$1:$L$890,COLUMN(HeadJournal!H$1),0),0)</f>
        <v>1119.8041105286368</v>
      </c>
      <c r="Q1016" s="29">
        <v>2200</v>
      </c>
      <c r="R1016" s="31">
        <v>45035</v>
      </c>
      <c r="S1016" s="31" t="s">
        <v>3121</v>
      </c>
      <c r="T1016" s="95" t="str">
        <f t="shared" si="80"/>
        <v>2023 04</v>
      </c>
      <c r="U1016" s="32">
        <f t="shared" si="77"/>
        <v>1080.1958894713632</v>
      </c>
      <c r="V1016" s="22">
        <f t="shared" si="78"/>
        <v>0.96462933053659239</v>
      </c>
      <c r="X1016" s="33"/>
      <c r="Y1016" s="33"/>
    </row>
    <row r="1017" spans="1:25" x14ac:dyDescent="0.2">
      <c r="A1017" s="93" t="s">
        <v>455</v>
      </c>
      <c r="B1017" s="94" t="str">
        <f>IFERROR(VLOOKUP($A1017,HeadJournal!$A$1:$NTR$890,COLUMN(HeadJournal!B$1),0),"")</f>
        <v>710000620079</v>
      </c>
      <c r="C1017" s="94" t="str">
        <f>IFERROR(VLOOKUP($A1017,HeadJournal!$A$1:$NTR$890,COLUMN(HeadJournal!C$1),0),"")</f>
        <v>iHerb_OA CZN6870</v>
      </c>
      <c r="D1017" s="125" t="str">
        <f>IFERROR(VLOOKUP($A1017,HeadJournal!$A$1:$NTR$890,COLUMN(HeadJournal!D$1),0),"")</f>
        <v>Доставлен</v>
      </c>
      <c r="E1017" s="95">
        <f>IFERROR(VLOOKUP($A1017,HeadJournal!$A$1:$NTR$890,COLUMN(HeadJournal!G$1),0),"")</f>
        <v>44969</v>
      </c>
      <c r="F1017" s="95" t="str">
        <f t="shared" si="79"/>
        <v>2023 02</v>
      </c>
      <c r="G1017" s="96" t="s">
        <v>5</v>
      </c>
      <c r="H1017" s="160" t="str">
        <f>RIGHT(Journal!$J1017,9)</f>
        <v>SPN-00168</v>
      </c>
      <c r="I1017" s="96" t="str">
        <f t="shared" si="76"/>
        <v>Super Nutrition</v>
      </c>
      <c r="J1017" s="97" t="s">
        <v>456</v>
      </c>
      <c r="K1017" s="29">
        <v>23.05</v>
      </c>
      <c r="L1017" s="29">
        <v>-9.2200000000000006</v>
      </c>
      <c r="M1017" s="30">
        <f>IFERROR(VLOOKUP($A1017,HeadJournal!$A$1:$J$890,COLUMN(HeadJournal!I$1),0)*($K1017+$L1017)/(SUMIF($A:$A,$A1017,$K:$K)+SUMIF($A:$A,$A1017,$L:$L)),0)</f>
        <v>0.9915817822730264</v>
      </c>
      <c r="N1017" s="30">
        <f>IFERROR((VLOOKUP($A1017,HeadJournal!$A$1:$K$890,COLUMN(HeadJournal!K$1),0)-VLOOKUP($A1017,HeadJournal!$A$1:$K$890,COLUMN(HeadJournal!J$1),0))*($K1017+$L1017)/(SUMIF($A:$A,$A1017,$K:$K)+SUMIF($A:$A,$A1017,$L:$L)),0)</f>
        <v>-2.3524582046949987E-15</v>
      </c>
      <c r="O1017" s="30">
        <f>IFERROR((VLOOKUP($A1017,HeadJournal!$A$1:$L$890,COLUMN(HeadJournal!L$1),0)*($K1017+$L1017)/(SUMIF($A:$A,$A1017,$K:$K)+SUMIF($A:$A,$A1017,$L:$L)))/VLOOKUP($A1017,HeadJournal!$A$1:$L$890,COLUMN(HeadJournal!H$1),0),0)</f>
        <v>1.4746017007508421</v>
      </c>
      <c r="P1017" s="30">
        <f>IFERROR(SUM(K1017:O1017)*VLOOKUP($A1017,HeadJournal!$A$1:$L$890,COLUMN(HeadJournal!H$1),0),0)</f>
        <v>1313.4030432700938</v>
      </c>
      <c r="Q1017" s="29">
        <v>2600</v>
      </c>
      <c r="R1017" s="31">
        <v>45106</v>
      </c>
      <c r="S1017" s="31" t="s">
        <v>3121</v>
      </c>
      <c r="T1017" s="95" t="str">
        <f t="shared" si="80"/>
        <v>2023 06</v>
      </c>
      <c r="U1017" s="32">
        <f t="shared" si="77"/>
        <v>1286.5969567299062</v>
      </c>
      <c r="V1017" s="22">
        <f t="shared" si="78"/>
        <v>0.97959035752388224</v>
      </c>
      <c r="X1017" s="33"/>
      <c r="Y1017" s="33"/>
    </row>
    <row r="1018" spans="1:25" x14ac:dyDescent="0.2">
      <c r="A1018" s="93" t="s">
        <v>455</v>
      </c>
      <c r="B1018" s="94" t="str">
        <f>IFERROR(VLOOKUP($A1018,HeadJournal!$A$1:$NTR$890,COLUMN(HeadJournal!B$1),0),"")</f>
        <v>710000620079</v>
      </c>
      <c r="C1018" s="94" t="str">
        <f>IFERROR(VLOOKUP($A1018,HeadJournal!$A$1:$NTR$890,COLUMN(HeadJournal!C$1),0),"")</f>
        <v>iHerb_OA CZN6870</v>
      </c>
      <c r="D1018" s="125" t="str">
        <f>IFERROR(VLOOKUP($A1018,HeadJournal!$A$1:$NTR$890,COLUMN(HeadJournal!D$1),0),"")</f>
        <v>Доставлен</v>
      </c>
      <c r="E1018" s="95">
        <f>IFERROR(VLOOKUP($A1018,HeadJournal!$A$1:$NTR$890,COLUMN(HeadJournal!G$1),0),"")</f>
        <v>44969</v>
      </c>
      <c r="F1018" s="95" t="str">
        <f t="shared" si="79"/>
        <v>2023 02</v>
      </c>
      <c r="G1018" s="96" t="s">
        <v>5</v>
      </c>
      <c r="H1018" s="160" t="str">
        <f>RIGHT(Journal!$J1018,9)</f>
        <v>SPN-00168</v>
      </c>
      <c r="I1018" s="96" t="str">
        <f t="shared" si="76"/>
        <v>Super Nutrition</v>
      </c>
      <c r="J1018" s="97" t="s">
        <v>456</v>
      </c>
      <c r="K1018" s="29">
        <v>23.05</v>
      </c>
      <c r="L1018" s="29">
        <v>-9.2200000000000006</v>
      </c>
      <c r="M1018" s="30">
        <f>IFERROR(VLOOKUP($A1018,HeadJournal!$A$1:$J$890,COLUMN(HeadJournal!I$1),0)*($K1018+$L1018)/(SUMIF($A:$A,$A1018,$K:$K)+SUMIF($A:$A,$A1018,$L:$L)),0)</f>
        <v>0.9915817822730264</v>
      </c>
      <c r="N1018" s="30">
        <f>IFERROR((VLOOKUP($A1018,HeadJournal!$A$1:$K$890,COLUMN(HeadJournal!K$1),0)-VLOOKUP($A1018,HeadJournal!$A$1:$K$890,COLUMN(HeadJournal!J$1),0))*($K1018+$L1018)/(SUMIF($A:$A,$A1018,$K:$K)+SUMIF($A:$A,$A1018,$L:$L)),0)</f>
        <v>-2.3524582046949987E-15</v>
      </c>
      <c r="O1018" s="30">
        <f>IFERROR((VLOOKUP($A1018,HeadJournal!$A$1:$L$890,COLUMN(HeadJournal!L$1),0)*($K1018+$L1018)/(SUMIF($A:$A,$A1018,$K:$K)+SUMIF($A:$A,$A1018,$L:$L)))/VLOOKUP($A1018,HeadJournal!$A$1:$L$890,COLUMN(HeadJournal!H$1),0),0)</f>
        <v>1.4746017007508421</v>
      </c>
      <c r="P1018" s="30">
        <f>IFERROR(SUM(K1018:O1018)*VLOOKUP($A1018,HeadJournal!$A$1:$L$890,COLUMN(HeadJournal!H$1),0),0)</f>
        <v>1313.4030432700938</v>
      </c>
      <c r="Q1018" s="29">
        <v>2800</v>
      </c>
      <c r="R1018" s="31">
        <v>45161</v>
      </c>
      <c r="S1018" s="31" t="s">
        <v>3121</v>
      </c>
      <c r="T1018" s="95" t="str">
        <f t="shared" si="80"/>
        <v>2023 08</v>
      </c>
      <c r="U1018" s="32">
        <f t="shared" si="77"/>
        <v>1486.5969567299062</v>
      </c>
      <c r="V1018" s="22">
        <f t="shared" si="78"/>
        <v>1.1318665388718732</v>
      </c>
      <c r="X1018" s="33"/>
      <c r="Y1018" s="33"/>
    </row>
    <row r="1019" spans="1:25" x14ac:dyDescent="0.2">
      <c r="A1019" s="93" t="s">
        <v>455</v>
      </c>
      <c r="B1019" s="94" t="str">
        <f>IFERROR(VLOOKUP($A1019,HeadJournal!$A$1:$NTR$890,COLUMN(HeadJournal!B$1),0),"")</f>
        <v>710000620079</v>
      </c>
      <c r="C1019" s="94" t="str">
        <f>IFERROR(VLOOKUP($A1019,HeadJournal!$A$1:$NTR$890,COLUMN(HeadJournal!C$1),0),"")</f>
        <v>iHerb_OA CZN6870</v>
      </c>
      <c r="D1019" s="125" t="str">
        <f>IFERROR(VLOOKUP($A1019,HeadJournal!$A$1:$NTR$890,COLUMN(HeadJournal!D$1),0),"")</f>
        <v>Доставлен</v>
      </c>
      <c r="E1019" s="95">
        <f>IFERROR(VLOOKUP($A1019,HeadJournal!$A$1:$NTR$890,COLUMN(HeadJournal!G$1),0),"")</f>
        <v>44969</v>
      </c>
      <c r="F1019" s="95" t="str">
        <f t="shared" si="79"/>
        <v>2023 02</v>
      </c>
      <c r="G1019" s="96" t="s">
        <v>5</v>
      </c>
      <c r="H1019" s="161" t="s">
        <v>2678</v>
      </c>
      <c r="I1019" s="97" t="s">
        <v>2005</v>
      </c>
      <c r="J1019" s="97" t="s">
        <v>2679</v>
      </c>
      <c r="K1019" s="29">
        <v>7.83</v>
      </c>
      <c r="L1019" s="29">
        <v>-1.0999999999999999</v>
      </c>
      <c r="M1019" s="30">
        <f>IFERROR(VLOOKUP($A1019,HeadJournal!$A$1:$J$890,COLUMN(HeadJournal!I$1),0)*($K1019+$L1019)/(SUMIF($A:$A,$A1019,$K:$K)+SUMIF($A:$A,$A1019,$L:$L)),0)</f>
        <v>0.48252678197378657</v>
      </c>
      <c r="N1019" s="30">
        <f>IFERROR((VLOOKUP($A1019,HeadJournal!$A$1:$K$890,COLUMN(HeadJournal!K$1),0)-VLOOKUP($A1019,HeadJournal!$A$1:$K$890,COLUMN(HeadJournal!J$1),0))*($K1019+$L1019)/(SUMIF($A:$A,$A1019,$K:$K)+SUMIF($A:$A,$A1019,$L:$L)),0)</f>
        <v>-1.1447609340272843E-15</v>
      </c>
      <c r="O1019" s="30">
        <f>IFERROR((VLOOKUP($A1019,HeadJournal!$A$1:$L$890,COLUMN(HeadJournal!L$1),0)*($K1019+$L1019)/(SUMIF($A:$A,$A1019,$K:$K)+SUMIF($A:$A,$A1019,$L:$L)))/VLOOKUP($A1019,HeadJournal!$A$1:$L$890,COLUMN(HeadJournal!H$1),0),0)</f>
        <v>0.71757552032199334</v>
      </c>
      <c r="P1019" s="30">
        <f>IFERROR(SUM(K1019:O1019)*VLOOKUP($A1019,HeadJournal!$A$1:$L$890,COLUMN(HeadJournal!H$1),0),0)</f>
        <v>639.1325004488599</v>
      </c>
      <c r="Q1019" s="29">
        <v>1100</v>
      </c>
      <c r="R1019" s="31">
        <v>44999</v>
      </c>
      <c r="S1019" s="31" t="s">
        <v>3121</v>
      </c>
      <c r="T1019" s="95" t="str">
        <f t="shared" si="80"/>
        <v>2023 03</v>
      </c>
      <c r="U1019" s="32">
        <f t="shared" si="77"/>
        <v>460.8674995511401</v>
      </c>
      <c r="V1019" s="22">
        <f t="shared" si="78"/>
        <v>0.72108287284322881</v>
      </c>
      <c r="X1019" s="33"/>
      <c r="Y1019" s="33"/>
    </row>
    <row r="1020" spans="1:25" x14ac:dyDescent="0.2">
      <c r="A1020" s="93" t="s">
        <v>455</v>
      </c>
      <c r="B1020" s="94" t="str">
        <f>IFERROR(VLOOKUP($A1020,HeadJournal!$A$1:$NTR$890,COLUMN(HeadJournal!B$1),0),"")</f>
        <v>710000620079</v>
      </c>
      <c r="C1020" s="94" t="str">
        <f>IFERROR(VLOOKUP($A1020,HeadJournal!$A$1:$NTR$890,COLUMN(HeadJournal!C$1),0),"")</f>
        <v>iHerb_OA CZN6870</v>
      </c>
      <c r="D1020" s="125" t="str">
        <f>IFERROR(VLOOKUP($A1020,HeadJournal!$A$1:$NTR$890,COLUMN(HeadJournal!D$1),0),"")</f>
        <v>Доставлен</v>
      </c>
      <c r="E1020" s="95">
        <f>IFERROR(VLOOKUP($A1020,HeadJournal!$A$1:$NTR$890,COLUMN(HeadJournal!G$1),0),"")</f>
        <v>44969</v>
      </c>
      <c r="F1020" s="95" t="str">
        <f t="shared" si="79"/>
        <v>2023 02</v>
      </c>
      <c r="G1020" s="96" t="s">
        <v>5</v>
      </c>
      <c r="H1020" s="161" t="s">
        <v>2678</v>
      </c>
      <c r="I1020" s="97" t="s">
        <v>2005</v>
      </c>
      <c r="J1020" s="97" t="s">
        <v>2679</v>
      </c>
      <c r="K1020" s="29">
        <v>7.83</v>
      </c>
      <c r="L1020" s="29">
        <v>-1.0999999999999999</v>
      </c>
      <c r="M1020" s="30">
        <f>IFERROR(VLOOKUP($A1020,HeadJournal!$A$1:$J$890,COLUMN(HeadJournal!I$1),0)*($K1020+$L1020)/(SUMIF($A:$A,$A1020,$K:$K)+SUMIF($A:$A,$A1020,$L:$L)),0)</f>
        <v>0.48252678197378657</v>
      </c>
      <c r="N1020" s="30">
        <f>IFERROR((VLOOKUP($A1020,HeadJournal!$A$1:$K$890,COLUMN(HeadJournal!K$1),0)-VLOOKUP($A1020,HeadJournal!$A$1:$K$890,COLUMN(HeadJournal!J$1),0))*($K1020+$L1020)/(SUMIF($A:$A,$A1020,$K:$K)+SUMIF($A:$A,$A1020,$L:$L)),0)</f>
        <v>-1.1447609340272843E-15</v>
      </c>
      <c r="O1020" s="30">
        <f>IFERROR((VLOOKUP($A1020,HeadJournal!$A$1:$L$890,COLUMN(HeadJournal!L$1),0)*($K1020+$L1020)/(SUMIF($A:$A,$A1020,$K:$K)+SUMIF($A:$A,$A1020,$L:$L)))/VLOOKUP($A1020,HeadJournal!$A$1:$L$890,COLUMN(HeadJournal!H$1),0),0)</f>
        <v>0.71757552032199334</v>
      </c>
      <c r="P1020" s="30">
        <f>IFERROR(SUM(K1020:O1020)*VLOOKUP($A1020,HeadJournal!$A$1:$L$890,COLUMN(HeadJournal!H$1),0),0)</f>
        <v>639.1325004488599</v>
      </c>
      <c r="Q1020" s="29">
        <v>1100</v>
      </c>
      <c r="R1020" s="31">
        <v>44999</v>
      </c>
      <c r="S1020" s="31" t="s">
        <v>3121</v>
      </c>
      <c r="T1020" s="95" t="str">
        <f t="shared" si="80"/>
        <v>2023 03</v>
      </c>
      <c r="U1020" s="32">
        <f t="shared" si="77"/>
        <v>460.8674995511401</v>
      </c>
      <c r="V1020" s="22">
        <f t="shared" si="78"/>
        <v>0.72108287284322881</v>
      </c>
      <c r="X1020" s="33"/>
      <c r="Y1020" s="33"/>
    </row>
    <row r="1021" spans="1:25" x14ac:dyDescent="0.2">
      <c r="A1021" s="93" t="s">
        <v>455</v>
      </c>
      <c r="B1021" s="94" t="str">
        <f>IFERROR(VLOOKUP($A1021,HeadJournal!$A$1:$NTR$890,COLUMN(HeadJournal!B$1),0),"")</f>
        <v>710000620079</v>
      </c>
      <c r="C1021" s="94" t="str">
        <f>IFERROR(VLOOKUP($A1021,HeadJournal!$A$1:$NTR$890,COLUMN(HeadJournal!C$1),0),"")</f>
        <v>iHerb_OA CZN6870</v>
      </c>
      <c r="D1021" s="125" t="str">
        <f>IFERROR(VLOOKUP($A1021,HeadJournal!$A$1:$NTR$890,COLUMN(HeadJournal!D$1),0),"")</f>
        <v>Доставлен</v>
      </c>
      <c r="E1021" s="95">
        <f>IFERROR(VLOOKUP($A1021,HeadJournal!$A$1:$NTR$890,COLUMN(HeadJournal!G$1),0),"")</f>
        <v>44969</v>
      </c>
      <c r="F1021" s="95" t="str">
        <f t="shared" si="79"/>
        <v>2023 02</v>
      </c>
      <c r="G1021" s="96" t="s">
        <v>5</v>
      </c>
      <c r="H1021" s="161" t="s">
        <v>2678</v>
      </c>
      <c r="I1021" s="97" t="s">
        <v>2005</v>
      </c>
      <c r="J1021" s="97" t="s">
        <v>2679</v>
      </c>
      <c r="K1021" s="29">
        <v>7.83</v>
      </c>
      <c r="L1021" s="29">
        <v>-1.0999999999999999</v>
      </c>
      <c r="M1021" s="30">
        <f>IFERROR(VLOOKUP($A1021,HeadJournal!$A$1:$J$890,COLUMN(HeadJournal!I$1),0)*($K1021+$L1021)/(SUMIF($A:$A,$A1021,$K:$K)+SUMIF($A:$A,$A1021,$L:$L)),0)</f>
        <v>0.48252678197378657</v>
      </c>
      <c r="N1021" s="30">
        <f>IFERROR((VLOOKUP($A1021,HeadJournal!$A$1:$K$890,COLUMN(HeadJournal!K$1),0)-VLOOKUP($A1021,HeadJournal!$A$1:$K$890,COLUMN(HeadJournal!J$1),0))*($K1021+$L1021)/(SUMIF($A:$A,$A1021,$K:$K)+SUMIF($A:$A,$A1021,$L:$L)),0)</f>
        <v>-1.1447609340272843E-15</v>
      </c>
      <c r="O1021" s="30">
        <f>IFERROR((VLOOKUP($A1021,HeadJournal!$A$1:$L$890,COLUMN(HeadJournal!L$1),0)*($K1021+$L1021)/(SUMIF($A:$A,$A1021,$K:$K)+SUMIF($A:$A,$A1021,$L:$L)))/VLOOKUP($A1021,HeadJournal!$A$1:$L$890,COLUMN(HeadJournal!H$1),0),0)</f>
        <v>0.71757552032199334</v>
      </c>
      <c r="P1021" s="30">
        <f>IFERROR(SUM(K1021:O1021)*VLOOKUP($A1021,HeadJournal!$A$1:$L$890,COLUMN(HeadJournal!H$1),0),0)</f>
        <v>639.1325004488599</v>
      </c>
      <c r="Q1021" s="29">
        <v>1100</v>
      </c>
      <c r="R1021" s="31">
        <v>44999</v>
      </c>
      <c r="S1021" s="31" t="s">
        <v>3121</v>
      </c>
      <c r="T1021" s="95" t="str">
        <f t="shared" si="80"/>
        <v>2023 03</v>
      </c>
      <c r="U1021" s="32">
        <f t="shared" si="77"/>
        <v>460.8674995511401</v>
      </c>
      <c r="V1021" s="22">
        <f t="shared" si="78"/>
        <v>0.72108287284322881</v>
      </c>
      <c r="X1021" s="33"/>
      <c r="Y1021" s="33"/>
    </row>
    <row r="1022" spans="1:25" x14ac:dyDescent="0.2">
      <c r="A1022" s="93" t="s">
        <v>455</v>
      </c>
      <c r="B1022" s="94" t="str">
        <f>IFERROR(VLOOKUP($A1022,HeadJournal!$A$1:$NTR$890,COLUMN(HeadJournal!B$1),0),"")</f>
        <v>710000620079</v>
      </c>
      <c r="C1022" s="94" t="str">
        <f>IFERROR(VLOOKUP($A1022,HeadJournal!$A$1:$NTR$890,COLUMN(HeadJournal!C$1),0),"")</f>
        <v>iHerb_OA CZN6870</v>
      </c>
      <c r="D1022" s="125" t="str">
        <f>IFERROR(VLOOKUP($A1022,HeadJournal!$A$1:$NTR$890,COLUMN(HeadJournal!D$1),0),"")</f>
        <v>Доставлен</v>
      </c>
      <c r="E1022" s="95">
        <f>IFERROR(VLOOKUP($A1022,HeadJournal!$A$1:$NTR$890,COLUMN(HeadJournal!G$1),0),"")</f>
        <v>44969</v>
      </c>
      <c r="F1022" s="95" t="str">
        <f t="shared" si="79"/>
        <v>2023 02</v>
      </c>
      <c r="G1022" s="96" t="s">
        <v>5</v>
      </c>
      <c r="H1022" s="160" t="str">
        <f>RIGHT(Journal!$J1022,9)</f>
        <v>LEX-23166</v>
      </c>
      <c r="I1022" s="96" t="str">
        <f t="shared" si="76"/>
        <v>Life Extension</v>
      </c>
      <c r="J1022" s="97" t="s">
        <v>42</v>
      </c>
      <c r="K1022" s="29">
        <v>11.37</v>
      </c>
      <c r="L1022" s="29">
        <v>-1.59</v>
      </c>
      <c r="M1022" s="30">
        <f>IFERROR(VLOOKUP($A1022,HeadJournal!$A$1:$J$890,COLUMN(HeadJournal!I$1),0)*($K1022+$L1022)/(SUMIF($A:$A,$A1022,$K:$K)+SUMIF($A:$A,$A1022,$L:$L)),0)</f>
        <v>0.70120533844036137</v>
      </c>
      <c r="N1022" s="30">
        <f>IFERROR((VLOOKUP($A1022,HeadJournal!$A$1:$K$890,COLUMN(HeadJournal!K$1),0)-VLOOKUP($A1022,HeadJournal!$A$1:$K$890,COLUMN(HeadJournal!J$1),0))*($K1022+$L1022)/(SUMIF($A:$A,$A1022,$K:$K)+SUMIF($A:$A,$A1022,$L:$L)),0)</f>
        <v>-1.6635604657929924E-15</v>
      </c>
      <c r="O1022" s="30">
        <f>IFERROR((VLOOKUP($A1022,HeadJournal!$A$1:$L$890,COLUMN(HeadJournal!L$1),0)*($K1022+$L1022)/(SUMIF($A:$A,$A1022,$K:$K)+SUMIF($A:$A,$A1022,$L:$L)))/VLOOKUP($A1022,HeadJournal!$A$1:$L$890,COLUMN(HeadJournal!H$1),0),0)</f>
        <v>1.0427769076893156</v>
      </c>
      <c r="P1022" s="30">
        <f>IFERROR(SUM(K1022:O1022)*VLOOKUP($A1022,HeadJournal!$A$1:$L$890,COLUMN(HeadJournal!H$1),0),0)</f>
        <v>928.7839308157279</v>
      </c>
      <c r="Q1022" s="29">
        <v>1700</v>
      </c>
      <c r="R1022" s="31">
        <v>45009</v>
      </c>
      <c r="S1022" s="31" t="s">
        <v>3121</v>
      </c>
      <c r="T1022" s="95" t="str">
        <f t="shared" si="80"/>
        <v>2023 03</v>
      </c>
      <c r="U1022" s="32">
        <f t="shared" si="77"/>
        <v>771.2160691842721</v>
      </c>
      <c r="V1022" s="22">
        <f t="shared" si="78"/>
        <v>0.83035035770583598</v>
      </c>
      <c r="X1022" s="33"/>
      <c r="Y1022" s="33"/>
    </row>
    <row r="1023" spans="1:25" x14ac:dyDescent="0.2">
      <c r="A1023" s="93" t="s">
        <v>455</v>
      </c>
      <c r="B1023" s="94" t="str">
        <f>IFERROR(VLOOKUP($A1023,HeadJournal!$A$1:$NTR$890,COLUMN(HeadJournal!B$1),0),"")</f>
        <v>710000620079</v>
      </c>
      <c r="C1023" s="94" t="str">
        <f>IFERROR(VLOOKUP($A1023,HeadJournal!$A$1:$NTR$890,COLUMN(HeadJournal!C$1),0),"")</f>
        <v>iHerb_OA CZN6870</v>
      </c>
      <c r="D1023" s="125" t="str">
        <f>IFERROR(VLOOKUP($A1023,HeadJournal!$A$1:$NTR$890,COLUMN(HeadJournal!D$1),0),"")</f>
        <v>Доставлен</v>
      </c>
      <c r="E1023" s="95">
        <f>IFERROR(VLOOKUP($A1023,HeadJournal!$A$1:$NTR$890,COLUMN(HeadJournal!G$1),0),"")</f>
        <v>44969</v>
      </c>
      <c r="F1023" s="95" t="str">
        <f t="shared" si="79"/>
        <v>2023 02</v>
      </c>
      <c r="G1023" s="96" t="s">
        <v>5</v>
      </c>
      <c r="H1023" s="160" t="str">
        <f>RIGHT(Journal!$J1023,9)</f>
        <v>LEX-23166</v>
      </c>
      <c r="I1023" s="96" t="str">
        <f t="shared" si="76"/>
        <v>Life Extension</v>
      </c>
      <c r="J1023" s="97" t="s">
        <v>42</v>
      </c>
      <c r="K1023" s="29">
        <v>11.37</v>
      </c>
      <c r="L1023" s="29">
        <v>-1.59</v>
      </c>
      <c r="M1023" s="30">
        <f>IFERROR(VLOOKUP($A1023,HeadJournal!$A$1:$J$890,COLUMN(HeadJournal!I$1),0)*($K1023+$L1023)/(SUMIF($A:$A,$A1023,$K:$K)+SUMIF($A:$A,$A1023,$L:$L)),0)</f>
        <v>0.70120533844036137</v>
      </c>
      <c r="N1023" s="30">
        <f>IFERROR((VLOOKUP($A1023,HeadJournal!$A$1:$K$890,COLUMN(HeadJournal!K$1),0)-VLOOKUP($A1023,HeadJournal!$A$1:$K$890,COLUMN(HeadJournal!J$1),0))*($K1023+$L1023)/(SUMIF($A:$A,$A1023,$K:$K)+SUMIF($A:$A,$A1023,$L:$L)),0)</f>
        <v>-1.6635604657929924E-15</v>
      </c>
      <c r="O1023" s="30">
        <f>IFERROR((VLOOKUP($A1023,HeadJournal!$A$1:$L$890,COLUMN(HeadJournal!L$1),0)*($K1023+$L1023)/(SUMIF($A:$A,$A1023,$K:$K)+SUMIF($A:$A,$A1023,$L:$L)))/VLOOKUP($A1023,HeadJournal!$A$1:$L$890,COLUMN(HeadJournal!H$1),0),0)</f>
        <v>1.0427769076893156</v>
      </c>
      <c r="P1023" s="30">
        <f>IFERROR(SUM(K1023:O1023)*VLOOKUP($A1023,HeadJournal!$A$1:$L$890,COLUMN(HeadJournal!H$1),0),0)</f>
        <v>928.7839308157279</v>
      </c>
      <c r="Q1023" s="29">
        <v>1600</v>
      </c>
      <c r="R1023" s="31">
        <v>45153</v>
      </c>
      <c r="S1023" s="31" t="s">
        <v>3121</v>
      </c>
      <c r="T1023" s="95" t="str">
        <f t="shared" si="80"/>
        <v>2023 08</v>
      </c>
      <c r="U1023" s="32">
        <f t="shared" si="77"/>
        <v>671.2160691842721</v>
      </c>
      <c r="V1023" s="22">
        <f t="shared" si="78"/>
        <v>0.72268268960549276</v>
      </c>
      <c r="X1023" s="33"/>
      <c r="Y1023" s="33"/>
    </row>
    <row r="1024" spans="1:25" x14ac:dyDescent="0.2">
      <c r="A1024" s="93" t="s">
        <v>455</v>
      </c>
      <c r="B1024" s="94" t="str">
        <f>IFERROR(VLOOKUP($A1024,HeadJournal!$A$1:$NTR$890,COLUMN(HeadJournal!B$1),0),"")</f>
        <v>710000620079</v>
      </c>
      <c r="C1024" s="94" t="str">
        <f>IFERROR(VLOOKUP($A1024,HeadJournal!$A$1:$NTR$890,COLUMN(HeadJournal!C$1),0),"")</f>
        <v>iHerb_OA CZN6870</v>
      </c>
      <c r="D1024" s="125" t="str">
        <f>IFERROR(VLOOKUP($A1024,HeadJournal!$A$1:$NTR$890,COLUMN(HeadJournal!D$1),0),"")</f>
        <v>Доставлен</v>
      </c>
      <c r="E1024" s="95">
        <f>IFERROR(VLOOKUP($A1024,HeadJournal!$A$1:$NTR$890,COLUMN(HeadJournal!G$1),0),"")</f>
        <v>44969</v>
      </c>
      <c r="F1024" s="95" t="str">
        <f t="shared" si="79"/>
        <v>2023 02</v>
      </c>
      <c r="G1024" s="96" t="s">
        <v>7</v>
      </c>
      <c r="H1024" s="160" t="str">
        <f>RIGHT(Journal!$J1024,9)</f>
        <v>ARH-19460</v>
      </c>
      <c r="I1024" s="96" t="str">
        <f t="shared" si="76"/>
        <v>Arm &amp; Hammer</v>
      </c>
      <c r="J1024" s="97" t="s">
        <v>457</v>
      </c>
      <c r="K1024" s="29">
        <v>4.1500000000000004</v>
      </c>
      <c r="L1024" s="29">
        <v>-0.57999999999999996</v>
      </c>
      <c r="M1024" s="30">
        <f>IFERROR(VLOOKUP($A1024,HeadJournal!$A$1:$J$890,COLUMN(HeadJournal!I$1),0)*($K1024+$L1024)/(SUMIF($A:$A,$A1024,$K:$K)+SUMIF($A:$A,$A1024,$L:$L)),0)</f>
        <v>0.25596145789694175</v>
      </c>
      <c r="N1024" s="30">
        <f>IFERROR((VLOOKUP($A1024,HeadJournal!$A$1:$K$890,COLUMN(HeadJournal!K$1),0)-VLOOKUP($A1024,HeadJournal!$A$1:$K$890,COLUMN(HeadJournal!J$1),0))*($K1024+$L1024)/(SUMIF($A:$A,$A1024,$K:$K)+SUMIF($A:$A,$A1024,$L:$L)),0)</f>
        <v>-6.0725059947658324E-16</v>
      </c>
      <c r="O1024" s="30">
        <f>IFERROR((VLOOKUP($A1024,HeadJournal!$A$1:$L$890,COLUMN(HeadJournal!L$1),0)*($K1024+$L1024)/(SUMIF($A:$A,$A1024,$K:$K)+SUMIF($A:$A,$A1024,$L:$L)))/VLOOKUP($A1024,HeadJournal!$A$1:$L$890,COLUMN(HeadJournal!H$1),0),0)</f>
        <v>0.38064555832830854</v>
      </c>
      <c r="P1024" s="30">
        <f>IFERROR(SUM(K1024:O1024)*VLOOKUP($A1024,HeadJournal!$A$1:$L$890,COLUMN(HeadJournal!H$1),0),0)</f>
        <v>339.03462505236701</v>
      </c>
      <c r="Q1024" s="29">
        <v>700</v>
      </c>
      <c r="R1024" s="31">
        <v>45004</v>
      </c>
      <c r="S1024" s="31" t="s">
        <v>3121</v>
      </c>
      <c r="T1024" s="95" t="str">
        <f t="shared" si="80"/>
        <v>2023 03</v>
      </c>
      <c r="U1024" s="32">
        <f t="shared" si="77"/>
        <v>360.96537494763299</v>
      </c>
      <c r="V1024" s="22">
        <f t="shared" si="78"/>
        <v>1.0646858706301121</v>
      </c>
      <c r="X1024" s="33"/>
      <c r="Y1024" s="33"/>
    </row>
    <row r="1025" spans="1:25" x14ac:dyDescent="0.2">
      <c r="A1025" s="93" t="s">
        <v>455</v>
      </c>
      <c r="B1025" s="94" t="str">
        <f>IFERROR(VLOOKUP($A1025,HeadJournal!$A$1:$NTR$890,COLUMN(HeadJournal!B$1),0),"")</f>
        <v>710000620079</v>
      </c>
      <c r="C1025" s="94" t="str">
        <f>IFERROR(VLOOKUP($A1025,HeadJournal!$A$1:$NTR$890,COLUMN(HeadJournal!C$1),0),"")</f>
        <v>iHerb_OA CZN6870</v>
      </c>
      <c r="D1025" s="125" t="str">
        <f>IFERROR(VLOOKUP($A1025,HeadJournal!$A$1:$NTR$890,COLUMN(HeadJournal!D$1),0),"")</f>
        <v>Доставлен</v>
      </c>
      <c r="E1025" s="95">
        <f>IFERROR(VLOOKUP($A1025,HeadJournal!$A$1:$NTR$890,COLUMN(HeadJournal!G$1),0),"")</f>
        <v>44969</v>
      </c>
      <c r="F1025" s="95" t="str">
        <f t="shared" si="79"/>
        <v>2023 02</v>
      </c>
      <c r="G1025" s="96" t="s">
        <v>7</v>
      </c>
      <c r="H1025" s="160" t="str">
        <f>RIGHT(Journal!$J1025,9)</f>
        <v>ARH-19460</v>
      </c>
      <c r="I1025" s="96" t="str">
        <f t="shared" ref="I1025:I1088" si="81">IFERROR(LEFT(J1025,FIND(",",J1025)-1),"")</f>
        <v>Arm &amp; Hammer</v>
      </c>
      <c r="J1025" s="97" t="s">
        <v>457</v>
      </c>
      <c r="K1025" s="29">
        <v>4.1500000000000004</v>
      </c>
      <c r="L1025" s="29">
        <v>-0.57999999999999996</v>
      </c>
      <c r="M1025" s="30">
        <f>IFERROR(VLOOKUP($A1025,HeadJournal!$A$1:$J$890,COLUMN(HeadJournal!I$1),0)*($K1025+$L1025)/(SUMIF($A:$A,$A1025,$K:$K)+SUMIF($A:$A,$A1025,$L:$L)),0)</f>
        <v>0.25596145789694175</v>
      </c>
      <c r="N1025" s="30">
        <f>IFERROR((VLOOKUP($A1025,HeadJournal!$A$1:$K$890,COLUMN(HeadJournal!K$1),0)-VLOOKUP($A1025,HeadJournal!$A$1:$K$890,COLUMN(HeadJournal!J$1),0))*($K1025+$L1025)/(SUMIF($A:$A,$A1025,$K:$K)+SUMIF($A:$A,$A1025,$L:$L)),0)</f>
        <v>-6.0725059947658324E-16</v>
      </c>
      <c r="O1025" s="30">
        <f>IFERROR((VLOOKUP($A1025,HeadJournal!$A$1:$L$890,COLUMN(HeadJournal!L$1),0)*($K1025+$L1025)/(SUMIF($A:$A,$A1025,$K:$K)+SUMIF($A:$A,$A1025,$L:$L)))/VLOOKUP($A1025,HeadJournal!$A$1:$L$890,COLUMN(HeadJournal!H$1),0),0)</f>
        <v>0.38064555832830854</v>
      </c>
      <c r="P1025" s="30">
        <f>IFERROR(SUM(K1025:O1025)*VLOOKUP($A1025,HeadJournal!$A$1:$L$890,COLUMN(HeadJournal!H$1),0),0)</f>
        <v>339.03462505236701</v>
      </c>
      <c r="Q1025" s="29">
        <v>700</v>
      </c>
      <c r="R1025" s="31">
        <v>45009</v>
      </c>
      <c r="S1025" s="31" t="s">
        <v>3121</v>
      </c>
      <c r="T1025" s="95" t="str">
        <f t="shared" si="80"/>
        <v>2023 03</v>
      </c>
      <c r="U1025" s="32">
        <f t="shared" ref="U1025:U1088" si="82">Q1025-P1025</f>
        <v>360.96537494763299</v>
      </c>
      <c r="V1025" s="22">
        <f t="shared" ref="V1025:V1088" si="83">IF(Q1025&lt;&gt;0,IFERROR(U1025/P1025,""),"")</f>
        <v>1.0646858706301121</v>
      </c>
      <c r="X1025" s="33"/>
      <c r="Y1025" s="33"/>
    </row>
    <row r="1026" spans="1:25" x14ac:dyDescent="0.2">
      <c r="A1026" s="93" t="s">
        <v>455</v>
      </c>
      <c r="B1026" s="94" t="str">
        <f>IFERROR(VLOOKUP($A1026,HeadJournal!$A$1:$NTR$890,COLUMN(HeadJournal!B$1),0),"")</f>
        <v>710000620079</v>
      </c>
      <c r="C1026" s="94" t="str">
        <f>IFERROR(VLOOKUP($A1026,HeadJournal!$A$1:$NTR$890,COLUMN(HeadJournal!C$1),0),"")</f>
        <v>iHerb_OA CZN6870</v>
      </c>
      <c r="D1026" s="125" t="str">
        <f>IFERROR(VLOOKUP($A1026,HeadJournal!$A$1:$NTR$890,COLUMN(HeadJournal!D$1),0),"")</f>
        <v>Доставлен</v>
      </c>
      <c r="E1026" s="95">
        <f>IFERROR(VLOOKUP($A1026,HeadJournal!$A$1:$NTR$890,COLUMN(HeadJournal!G$1),0),"")</f>
        <v>44969</v>
      </c>
      <c r="F1026" s="95" t="str">
        <f t="shared" si="79"/>
        <v>2023 02</v>
      </c>
      <c r="G1026" s="96" t="s">
        <v>5</v>
      </c>
      <c r="H1026" s="161" t="s">
        <v>2624</v>
      </c>
      <c r="I1026" s="97" t="s">
        <v>2005</v>
      </c>
      <c r="J1026" s="97" t="s">
        <v>2625</v>
      </c>
      <c r="K1026" s="29">
        <v>18.350000000000001</v>
      </c>
      <c r="L1026" s="29">
        <v>-2.5649999999999999</v>
      </c>
      <c r="M1026" s="30">
        <f>IFERROR(VLOOKUP($A1026,HeadJournal!$A$1:$J$890,COLUMN(HeadJournal!I$1),0)*($K1026+$L1026)/(SUMIF($A:$A,$A1026,$K:$K)+SUMIF($A:$A,$A1026,$L:$L)),0)</f>
        <v>1.1317511520737327</v>
      </c>
      <c r="N1026" s="30">
        <f>IFERROR((VLOOKUP($A1026,HeadJournal!$A$1:$K$890,COLUMN(HeadJournal!K$1),0)-VLOOKUP($A1026,HeadJournal!$A$1:$K$890,COLUMN(HeadJournal!J$1),0))*($K1026+$L1026)/(SUMIF($A:$A,$A1026,$K:$K)+SUMIF($A:$A,$A1026,$L:$L)),0)</f>
        <v>-2.6850001996464613E-15</v>
      </c>
      <c r="O1026" s="30">
        <f>IFERROR((VLOOKUP($A1026,HeadJournal!$A$1:$L$890,COLUMN(HeadJournal!L$1),0)*($K1026+$L1026)/(SUMIF($A:$A,$A1026,$K:$K)+SUMIF($A:$A,$A1026,$L:$L)))/VLOOKUP($A1026,HeadJournal!$A$1:$L$890,COLUMN(HeadJournal!H$1),0),0)</f>
        <v>1.6830504588830113</v>
      </c>
      <c r="P1026" s="30">
        <f>IFERROR(SUM(K1026:O1026)*VLOOKUP($A1026,HeadJournal!$A$1:$L$890,COLUMN(HeadJournal!H$1),0),0)</f>
        <v>1499.0648617511524</v>
      </c>
      <c r="Q1026" s="29">
        <v>2300</v>
      </c>
      <c r="R1026" s="31">
        <v>45132</v>
      </c>
      <c r="S1026" s="31" t="s">
        <v>3121</v>
      </c>
      <c r="T1026" s="95" t="str">
        <f t="shared" si="80"/>
        <v>2023 07</v>
      </c>
      <c r="U1026" s="32">
        <f t="shared" si="82"/>
        <v>800.93513824884758</v>
      </c>
      <c r="V1026" s="22">
        <f t="shared" si="83"/>
        <v>0.53428984874825536</v>
      </c>
      <c r="X1026" s="33"/>
      <c r="Y1026" s="33"/>
    </row>
    <row r="1027" spans="1:25" x14ac:dyDescent="0.2">
      <c r="A1027" s="93" t="s">
        <v>455</v>
      </c>
      <c r="B1027" s="94" t="str">
        <f>IFERROR(VLOOKUP($A1027,HeadJournal!$A$1:$NTR$890,COLUMN(HeadJournal!B$1),0),"")</f>
        <v>710000620079</v>
      </c>
      <c r="C1027" s="94" t="str">
        <f>IFERROR(VLOOKUP($A1027,HeadJournal!$A$1:$NTR$890,COLUMN(HeadJournal!C$1),0),"")</f>
        <v>iHerb_OA CZN6870</v>
      </c>
      <c r="D1027" s="125" t="str">
        <f>IFERROR(VLOOKUP($A1027,HeadJournal!$A$1:$NTR$890,COLUMN(HeadJournal!D$1),0),"")</f>
        <v>Доставлен</v>
      </c>
      <c r="E1027" s="95">
        <f>IFERROR(VLOOKUP($A1027,HeadJournal!$A$1:$NTR$890,COLUMN(HeadJournal!G$1),0),"")</f>
        <v>44969</v>
      </c>
      <c r="F1027" s="95" t="str">
        <f t="shared" si="79"/>
        <v>2023 02</v>
      </c>
      <c r="G1027" s="96" t="s">
        <v>5</v>
      </c>
      <c r="H1027" s="161" t="s">
        <v>2624</v>
      </c>
      <c r="I1027" s="97" t="s">
        <v>2005</v>
      </c>
      <c r="J1027" s="97" t="s">
        <v>2625</v>
      </c>
      <c r="K1027" s="29">
        <v>18.350000000000001</v>
      </c>
      <c r="L1027" s="29">
        <v>-2.5649999999999999</v>
      </c>
      <c r="M1027" s="30">
        <f>IFERROR(VLOOKUP($A1027,HeadJournal!$A$1:$J$890,COLUMN(HeadJournal!I$1),0)*($K1027+$L1027)/(SUMIF($A:$A,$A1027,$K:$K)+SUMIF($A:$A,$A1027,$L:$L)),0)</f>
        <v>1.1317511520737327</v>
      </c>
      <c r="N1027" s="30">
        <f>IFERROR((VLOOKUP($A1027,HeadJournal!$A$1:$K$890,COLUMN(HeadJournal!K$1),0)-VLOOKUP($A1027,HeadJournal!$A$1:$K$890,COLUMN(HeadJournal!J$1),0))*($K1027+$L1027)/(SUMIF($A:$A,$A1027,$K:$K)+SUMIF($A:$A,$A1027,$L:$L)),0)</f>
        <v>-2.6850001996464613E-15</v>
      </c>
      <c r="O1027" s="30">
        <f>IFERROR((VLOOKUP($A1027,HeadJournal!$A$1:$L$890,COLUMN(HeadJournal!L$1),0)*($K1027+$L1027)/(SUMIF($A:$A,$A1027,$K:$K)+SUMIF($A:$A,$A1027,$L:$L)))/VLOOKUP($A1027,HeadJournal!$A$1:$L$890,COLUMN(HeadJournal!H$1),0),0)</f>
        <v>1.6830504588830113</v>
      </c>
      <c r="P1027" s="30">
        <f>IFERROR(SUM(K1027:O1027)*VLOOKUP($A1027,HeadJournal!$A$1:$L$890,COLUMN(HeadJournal!H$1),0),0)</f>
        <v>1499.0648617511524</v>
      </c>
      <c r="Q1027" s="29">
        <v>1499.06</v>
      </c>
      <c r="R1027" s="31">
        <v>44970</v>
      </c>
      <c r="S1027" s="31" t="s">
        <v>3121</v>
      </c>
      <c r="T1027" s="95" t="str">
        <f t="shared" si="80"/>
        <v>2023 02</v>
      </c>
      <c r="U1027" s="32">
        <f t="shared" si="82"/>
        <v>-4.8617511524753354E-3</v>
      </c>
      <c r="V1027" s="22">
        <f t="shared" si="83"/>
        <v>-3.2431893219056691E-6</v>
      </c>
      <c r="X1027" s="33"/>
      <c r="Y1027" s="33"/>
    </row>
    <row r="1028" spans="1:25" x14ac:dyDescent="0.2">
      <c r="A1028" s="93" t="s">
        <v>455</v>
      </c>
      <c r="B1028" s="94" t="str">
        <f>IFERROR(VLOOKUP($A1028,HeadJournal!$A$1:$NTR$890,COLUMN(HeadJournal!B$1),0),"")</f>
        <v>710000620079</v>
      </c>
      <c r="C1028" s="94" t="str">
        <f>IFERROR(VLOOKUP($A1028,HeadJournal!$A$1:$NTR$890,COLUMN(HeadJournal!C$1),0),"")</f>
        <v>iHerb_OA CZN6870</v>
      </c>
      <c r="D1028" s="125" t="str">
        <f>IFERROR(VLOOKUP($A1028,HeadJournal!$A$1:$NTR$890,COLUMN(HeadJournal!D$1),0),"")</f>
        <v>Доставлен</v>
      </c>
      <c r="E1028" s="95">
        <f>IFERROR(VLOOKUP($A1028,HeadJournal!$A$1:$NTR$890,COLUMN(HeadJournal!G$1),0),"")</f>
        <v>44969</v>
      </c>
      <c r="F1028" s="95" t="str">
        <f t="shared" ref="F1028:F1091" si="84">IFERROR(TEXT(E1028, "ГГГГ ММ"),"")</f>
        <v>2023 02</v>
      </c>
      <c r="G1028" s="96" t="s">
        <v>5</v>
      </c>
      <c r="H1028" s="160" t="str">
        <f>RIGHT(Journal!$J1028,9)</f>
        <v>NOW-01648</v>
      </c>
      <c r="I1028" s="96" t="str">
        <f t="shared" si="81"/>
        <v>NOW Foods</v>
      </c>
      <c r="J1028" s="97" t="s">
        <v>49</v>
      </c>
      <c r="K1028" s="29">
        <v>14.08</v>
      </c>
      <c r="L1028" s="29">
        <v>-1.41</v>
      </c>
      <c r="M1028" s="30">
        <f>IFERROR(VLOOKUP($A1028,HeadJournal!$A$1:$J$890,COLUMN(HeadJournal!I$1),0)*($K1028+$L1028)/(SUMIF($A:$A,$A1028,$K:$K)+SUMIF($A:$A,$A1028,$L:$L)),0)</f>
        <v>0.90841223292836171</v>
      </c>
      <c r="N1028" s="30">
        <f>IFERROR((VLOOKUP($A1028,HeadJournal!$A$1:$K$890,COLUMN(HeadJournal!K$1),0)-VLOOKUP($A1028,HeadJournal!$A$1:$K$890,COLUMN(HeadJournal!J$1),0))*($K1028+$L1028)/(SUMIF($A:$A,$A1028,$K:$K)+SUMIF($A:$A,$A1028,$L:$L)),0)</f>
        <v>-2.1551442844168931E-15</v>
      </c>
      <c r="O1028" s="30">
        <f>IFERROR((VLOOKUP($A1028,HeadJournal!$A$1:$L$890,COLUMN(HeadJournal!L$1),0)*($K1028+$L1028)/(SUMIF($A:$A,$A1028,$K:$K)+SUMIF($A:$A,$A1028,$L:$L)))/VLOOKUP($A1028,HeadJournal!$A$1:$L$890,COLUMN(HeadJournal!H$1),0),0)</f>
        <v>1.3509185501455652</v>
      </c>
      <c r="P1028" s="30">
        <f>IFERROR(SUM(K1028:O1028)*VLOOKUP($A1028,HeadJournal!$A$1:$L$890,COLUMN(HeadJournal!H$1),0),0)</f>
        <v>1203.2405320485964</v>
      </c>
      <c r="Q1028" s="29">
        <v>1700</v>
      </c>
      <c r="R1028" s="31">
        <v>45074</v>
      </c>
      <c r="S1028" s="31" t="s">
        <v>3121</v>
      </c>
      <c r="T1028" s="95" t="str">
        <f t="shared" ref="T1028:T1091" si="85">IF(R1028="","",TEXT(R1028,"ГГГГ ММ"))</f>
        <v>2023 05</v>
      </c>
      <c r="U1028" s="32">
        <f t="shared" si="82"/>
        <v>496.75946795140362</v>
      </c>
      <c r="V1028" s="22">
        <f t="shared" si="83"/>
        <v>0.41285134162297366</v>
      </c>
      <c r="X1028" s="33"/>
      <c r="Y1028" s="33"/>
    </row>
    <row r="1029" spans="1:25" x14ac:dyDescent="0.2">
      <c r="A1029" s="93" t="s">
        <v>455</v>
      </c>
      <c r="B1029" s="94" t="str">
        <f>IFERROR(VLOOKUP($A1029,HeadJournal!$A$1:$NTR$890,COLUMN(HeadJournal!B$1),0),"")</f>
        <v>710000620079</v>
      </c>
      <c r="C1029" s="94" t="str">
        <f>IFERROR(VLOOKUP($A1029,HeadJournal!$A$1:$NTR$890,COLUMN(HeadJournal!C$1),0),"")</f>
        <v>iHerb_OA CZN6870</v>
      </c>
      <c r="D1029" s="125" t="str">
        <f>IFERROR(VLOOKUP($A1029,HeadJournal!$A$1:$NTR$890,COLUMN(HeadJournal!D$1),0),"")</f>
        <v>Доставлен</v>
      </c>
      <c r="E1029" s="95">
        <f>IFERROR(VLOOKUP($A1029,HeadJournal!$A$1:$NTR$890,COLUMN(HeadJournal!G$1),0),"")</f>
        <v>44969</v>
      </c>
      <c r="F1029" s="95" t="str">
        <f t="shared" si="84"/>
        <v>2023 02</v>
      </c>
      <c r="G1029" s="96" t="s">
        <v>5</v>
      </c>
      <c r="H1029" s="160" t="str">
        <f>RIGHT(Journal!$J1029,9)</f>
        <v>NOW-01648</v>
      </c>
      <c r="I1029" s="96" t="str">
        <f t="shared" si="81"/>
        <v>NOW Foods</v>
      </c>
      <c r="J1029" s="97" t="s">
        <v>49</v>
      </c>
      <c r="K1029" s="29">
        <v>14.08</v>
      </c>
      <c r="L1029" s="29">
        <v>-1.41</v>
      </c>
      <c r="M1029" s="30">
        <f>IFERROR(VLOOKUP($A1029,HeadJournal!$A$1:$J$890,COLUMN(HeadJournal!I$1),0)*($K1029+$L1029)/(SUMIF($A:$A,$A1029,$K:$K)+SUMIF($A:$A,$A1029,$L:$L)),0)</f>
        <v>0.90841223292836171</v>
      </c>
      <c r="N1029" s="30">
        <f>IFERROR((VLOOKUP($A1029,HeadJournal!$A$1:$K$890,COLUMN(HeadJournal!K$1),0)-VLOOKUP($A1029,HeadJournal!$A$1:$K$890,COLUMN(HeadJournal!J$1),0))*($K1029+$L1029)/(SUMIF($A:$A,$A1029,$K:$K)+SUMIF($A:$A,$A1029,$L:$L)),0)</f>
        <v>-2.1551442844168931E-15</v>
      </c>
      <c r="O1029" s="30">
        <f>IFERROR((VLOOKUP($A1029,HeadJournal!$A$1:$L$890,COLUMN(HeadJournal!L$1),0)*($K1029+$L1029)/(SUMIF($A:$A,$A1029,$K:$K)+SUMIF($A:$A,$A1029,$L:$L)))/VLOOKUP($A1029,HeadJournal!$A$1:$L$890,COLUMN(HeadJournal!H$1),0),0)</f>
        <v>1.3509185501455652</v>
      </c>
      <c r="P1029" s="30">
        <f>IFERROR(SUM(K1029:O1029)*VLOOKUP($A1029,HeadJournal!$A$1:$L$890,COLUMN(HeadJournal!H$1),0),0)</f>
        <v>1203.2405320485964</v>
      </c>
      <c r="Q1029" s="29">
        <v>1700</v>
      </c>
      <c r="R1029" s="31">
        <v>45084</v>
      </c>
      <c r="S1029" s="31" t="s">
        <v>3121</v>
      </c>
      <c r="T1029" s="95" t="str">
        <f t="shared" si="85"/>
        <v>2023 06</v>
      </c>
      <c r="U1029" s="32">
        <f t="shared" si="82"/>
        <v>496.75946795140362</v>
      </c>
      <c r="V1029" s="22">
        <f t="shared" si="83"/>
        <v>0.41285134162297366</v>
      </c>
      <c r="X1029" s="33"/>
      <c r="Y1029" s="33"/>
    </row>
    <row r="1030" spans="1:25" x14ac:dyDescent="0.2">
      <c r="A1030" s="93" t="s">
        <v>455</v>
      </c>
      <c r="B1030" s="94" t="str">
        <f>IFERROR(VLOOKUP($A1030,HeadJournal!$A$1:$NTR$890,COLUMN(HeadJournal!B$1),0),"")</f>
        <v>710000620079</v>
      </c>
      <c r="C1030" s="94" t="str">
        <f>IFERROR(VLOOKUP($A1030,HeadJournal!$A$1:$NTR$890,COLUMN(HeadJournal!C$1),0),"")</f>
        <v>iHerb_OA CZN6870</v>
      </c>
      <c r="D1030" s="125" t="str">
        <f>IFERROR(VLOOKUP($A1030,HeadJournal!$A$1:$NTR$890,COLUMN(HeadJournal!D$1),0),"")</f>
        <v>Доставлен</v>
      </c>
      <c r="E1030" s="95">
        <f>IFERROR(VLOOKUP($A1030,HeadJournal!$A$1:$NTR$890,COLUMN(HeadJournal!G$1),0),"")</f>
        <v>44969</v>
      </c>
      <c r="F1030" s="95" t="str">
        <f t="shared" si="84"/>
        <v>2023 02</v>
      </c>
      <c r="G1030" s="96" t="s">
        <v>6</v>
      </c>
      <c r="H1030" s="160" t="str">
        <f>RIGHT(Journal!$J1030,9)</f>
        <v>HAV-46416</v>
      </c>
      <c r="I1030" s="96" t="str">
        <f t="shared" si="81"/>
        <v>Havasu Nutrition</v>
      </c>
      <c r="J1030" s="97" t="s">
        <v>458</v>
      </c>
      <c r="K1030" s="29">
        <v>19.82</v>
      </c>
      <c r="L1030" s="29">
        <v>-8.32</v>
      </c>
      <c r="M1030" s="30">
        <f>IFERROR(VLOOKUP($A1030,HeadJournal!$A$1:$J$890,COLUMN(HeadJournal!I$1),0)*($K1030+$L1030)/(SUMIF($A:$A,$A1030,$K:$K)+SUMIF($A:$A,$A1030,$L:$L)),0)</f>
        <v>0.82452570471003639</v>
      </c>
      <c r="N1030" s="30">
        <f>IFERROR((VLOOKUP($A1030,HeadJournal!$A$1:$K$890,COLUMN(HeadJournal!K$1),0)-VLOOKUP($A1030,HeadJournal!$A$1:$K$890,COLUMN(HeadJournal!J$1),0))*($K1030+$L1030)/(SUMIF($A:$A,$A1030,$K:$K)+SUMIF($A:$A,$A1030,$L:$L)),0)</f>
        <v>-1.9561293820674248E-15</v>
      </c>
      <c r="O1030" s="30">
        <f>IFERROR((VLOOKUP($A1030,HeadJournal!$A$1:$L$890,COLUMN(HeadJournal!L$1),0)*($K1030+$L1030)/(SUMIF($A:$A,$A1030,$K:$K)+SUMIF($A:$A,$A1030,$L:$L)))/VLOOKUP($A1030,HeadJournal!$A$1:$L$890,COLUMN(HeadJournal!H$1),0),0)</f>
        <v>1.2261691654833464</v>
      </c>
      <c r="P1030" s="30">
        <f>IFERROR(SUM(K1030:O1030)*VLOOKUP($A1030,HeadJournal!$A$1:$L$890,COLUMN(HeadJournal!H$1),0),0)</f>
        <v>1092.1283440062241</v>
      </c>
      <c r="Q1030" s="29">
        <v>2500</v>
      </c>
      <c r="R1030" s="31">
        <v>45145</v>
      </c>
      <c r="S1030" s="31" t="s">
        <v>3121</v>
      </c>
      <c r="T1030" s="95" t="str">
        <f t="shared" si="85"/>
        <v>2023 08</v>
      </c>
      <c r="U1030" s="32">
        <f t="shared" si="82"/>
        <v>1407.8716559937759</v>
      </c>
      <c r="V1030" s="22">
        <f t="shared" si="83"/>
        <v>1.289108247872516</v>
      </c>
      <c r="X1030" s="33"/>
      <c r="Y1030" s="33"/>
    </row>
    <row r="1031" spans="1:25" x14ac:dyDescent="0.2">
      <c r="A1031" s="93" t="s">
        <v>455</v>
      </c>
      <c r="B1031" s="94" t="str">
        <f>IFERROR(VLOOKUP($A1031,HeadJournal!$A$1:$NTR$890,COLUMN(HeadJournal!B$1),0),"")</f>
        <v>710000620079</v>
      </c>
      <c r="C1031" s="94" t="str">
        <f>IFERROR(VLOOKUP($A1031,HeadJournal!$A$1:$NTR$890,COLUMN(HeadJournal!C$1),0),"")</f>
        <v>iHerb_OA CZN6870</v>
      </c>
      <c r="D1031" s="125" t="str">
        <f>IFERROR(VLOOKUP($A1031,HeadJournal!$A$1:$NTR$890,COLUMN(HeadJournal!D$1),0),"")</f>
        <v>Доставлен</v>
      </c>
      <c r="E1031" s="95">
        <f>IFERROR(VLOOKUP($A1031,HeadJournal!$A$1:$NTR$890,COLUMN(HeadJournal!G$1),0),"")</f>
        <v>44969</v>
      </c>
      <c r="F1031" s="95" t="str">
        <f t="shared" si="84"/>
        <v>2023 02</v>
      </c>
      <c r="G1031" s="96" t="s">
        <v>5</v>
      </c>
      <c r="H1031" s="160" t="str">
        <f>RIGHT(Journal!$J1031,9)</f>
        <v>NOW-00369</v>
      </c>
      <c r="I1031" s="96" t="str">
        <f t="shared" si="81"/>
        <v>NOW Foods</v>
      </c>
      <c r="J1031" s="97" t="s">
        <v>126</v>
      </c>
      <c r="K1031" s="29">
        <v>9.64</v>
      </c>
      <c r="L1031" s="29">
        <v>-0.96</v>
      </c>
      <c r="M1031" s="30">
        <f>IFERROR(VLOOKUP($A1031,HeadJournal!$A$1:$J$890,COLUMN(HeadJournal!I$1),0)*($K1031+$L1031)/(SUMIF($A:$A,$A1031,$K:$K)+SUMIF($A:$A,$A1031,$L:$L)),0)</f>
        <v>0.62233766233766219</v>
      </c>
      <c r="N1031" s="30">
        <f>IFERROR((VLOOKUP($A1031,HeadJournal!$A$1:$K$890,COLUMN(HeadJournal!K$1),0)-VLOOKUP($A1031,HeadJournal!$A$1:$K$890,COLUMN(HeadJournal!J$1),0))*($K1031+$L1031)/(SUMIF($A:$A,$A1031,$K:$K)+SUMIF($A:$A,$A1031,$L:$L)),0)</f>
        <v>-1.476452437943065E-15</v>
      </c>
      <c r="O1031" s="30">
        <f>IFERROR((VLOOKUP($A1031,HeadJournal!$A$1:$L$890,COLUMN(HeadJournal!L$1),0)*($K1031+$L1031)/(SUMIF($A:$A,$A1031,$K:$K)+SUMIF($A:$A,$A1031,$L:$L)))/VLOOKUP($A1031,HeadJournal!$A$1:$L$890,COLUMN(HeadJournal!H$1),0),0)</f>
        <v>0.92549116142569121</v>
      </c>
      <c r="P1031" s="30">
        <f>IFERROR(SUM(K1031:O1031)*VLOOKUP($A1031,HeadJournal!$A$1:$L$890,COLUMN(HeadJournal!H$1),0),0)</f>
        <v>824.31948051948041</v>
      </c>
      <c r="Q1031" s="29">
        <v>900</v>
      </c>
      <c r="R1031" s="31">
        <v>45563</v>
      </c>
      <c r="S1031" s="31" t="s">
        <v>3121</v>
      </c>
      <c r="T1031" s="95" t="str">
        <f t="shared" si="85"/>
        <v>2024 09</v>
      </c>
      <c r="U1031" s="32">
        <f t="shared" si="82"/>
        <v>75.680519480519592</v>
      </c>
      <c r="V1031" s="22">
        <f t="shared" si="83"/>
        <v>9.1809694261776098E-2</v>
      </c>
      <c r="X1031" s="33"/>
      <c r="Y1031" s="33"/>
    </row>
    <row r="1032" spans="1:25" x14ac:dyDescent="0.2">
      <c r="A1032" s="93" t="s">
        <v>455</v>
      </c>
      <c r="B1032" s="94" t="str">
        <f>IFERROR(VLOOKUP($A1032,HeadJournal!$A$1:$NTR$890,COLUMN(HeadJournal!B$1),0),"")</f>
        <v>710000620079</v>
      </c>
      <c r="C1032" s="94" t="str">
        <f>IFERROR(VLOOKUP($A1032,HeadJournal!$A$1:$NTR$890,COLUMN(HeadJournal!C$1),0),"")</f>
        <v>iHerb_OA CZN6870</v>
      </c>
      <c r="D1032" s="125" t="str">
        <f>IFERROR(VLOOKUP($A1032,HeadJournal!$A$1:$NTR$890,COLUMN(HeadJournal!D$1),0),"")</f>
        <v>Доставлен</v>
      </c>
      <c r="E1032" s="95">
        <f>IFERROR(VLOOKUP($A1032,HeadJournal!$A$1:$NTR$890,COLUMN(HeadJournal!G$1),0),"")</f>
        <v>44969</v>
      </c>
      <c r="F1032" s="95" t="str">
        <f t="shared" si="84"/>
        <v>2023 02</v>
      </c>
      <c r="G1032" s="96" t="s">
        <v>5</v>
      </c>
      <c r="H1032" s="160" t="str">
        <f>RIGHT(Journal!$J1032,9)</f>
        <v>NWY-15788</v>
      </c>
      <c r="I1032" s="96" t="str">
        <f t="shared" si="81"/>
        <v>Nature's Way</v>
      </c>
      <c r="J1032" s="97" t="s">
        <v>69</v>
      </c>
      <c r="K1032" s="29">
        <v>11.01</v>
      </c>
      <c r="L1032" s="29">
        <v>-1.54</v>
      </c>
      <c r="M1032" s="30">
        <f>IFERROR(VLOOKUP($A1032,HeadJournal!$A$1:$J$890,COLUMN(HeadJournal!I$1),0)*($K1032+$L1032)/(SUMIF($A:$A,$A1032,$K:$K)+SUMIF($A:$A,$A1032,$L:$L)),0)</f>
        <v>0.67897899335687339</v>
      </c>
      <c r="N1032" s="30">
        <f>IFERROR((VLOOKUP($A1032,HeadJournal!$A$1:$K$890,COLUMN(HeadJournal!K$1),0)-VLOOKUP($A1032,HeadJournal!$A$1:$K$890,COLUMN(HeadJournal!J$1),0))*($K1032+$L1032)/(SUMIF($A:$A,$A1032,$K:$K)+SUMIF($A:$A,$A1032,$L:$L)),0)</f>
        <v>-1.6108300215807402E-15</v>
      </c>
      <c r="O1032" s="30">
        <f>IFERROR((VLOOKUP($A1032,HeadJournal!$A$1:$L$890,COLUMN(HeadJournal!L$1),0)*($K1032+$L1032)/(SUMIF($A:$A,$A1032,$K:$K)+SUMIF($A:$A,$A1032,$L:$L)))/VLOOKUP($A1032,HeadJournal!$A$1:$L$890,COLUMN(HeadJournal!H$1),0),0)</f>
        <v>1.0097236519241124</v>
      </c>
      <c r="P1032" s="30">
        <f>IFERROR(SUM(K1032:O1032)*VLOOKUP($A1032,HeadJournal!$A$1:$L$890,COLUMN(HeadJournal!H$1),0),0)</f>
        <v>899.34394936860349</v>
      </c>
      <c r="Q1032" s="29">
        <v>1700</v>
      </c>
      <c r="R1032" s="31">
        <v>44999</v>
      </c>
      <c r="S1032" s="31" t="s">
        <v>3121</v>
      </c>
      <c r="T1032" s="95" t="str">
        <f t="shared" si="85"/>
        <v>2023 03</v>
      </c>
      <c r="U1032" s="32">
        <f t="shared" si="82"/>
        <v>800.65605063139651</v>
      </c>
      <c r="V1032" s="22">
        <f t="shared" si="83"/>
        <v>0.89026678968987094</v>
      </c>
      <c r="X1032" s="33"/>
      <c r="Y1032" s="33"/>
    </row>
    <row r="1033" spans="1:25" x14ac:dyDescent="0.2">
      <c r="A1033" s="93" t="s">
        <v>455</v>
      </c>
      <c r="B1033" s="94" t="str">
        <f>IFERROR(VLOOKUP($A1033,HeadJournal!$A$1:$NTR$890,COLUMN(HeadJournal!B$1),0),"")</f>
        <v>710000620079</v>
      </c>
      <c r="C1033" s="94" t="str">
        <f>IFERROR(VLOOKUP($A1033,HeadJournal!$A$1:$NTR$890,COLUMN(HeadJournal!C$1),0),"")</f>
        <v>iHerb_OA CZN6870</v>
      </c>
      <c r="D1033" s="125" t="str">
        <f>IFERROR(VLOOKUP($A1033,HeadJournal!$A$1:$NTR$890,COLUMN(HeadJournal!D$1),0),"")</f>
        <v>Доставлен</v>
      </c>
      <c r="E1033" s="95">
        <f>IFERROR(VLOOKUP($A1033,HeadJournal!$A$1:$NTR$890,COLUMN(HeadJournal!G$1),0),"")</f>
        <v>44969</v>
      </c>
      <c r="F1033" s="95" t="str">
        <f t="shared" si="84"/>
        <v>2023 02</v>
      </c>
      <c r="G1033" s="96" t="s">
        <v>5</v>
      </c>
      <c r="H1033" s="161" t="s">
        <v>2027</v>
      </c>
      <c r="I1033" s="97" t="s">
        <v>2005</v>
      </c>
      <c r="J1033" s="97" t="s">
        <v>4110</v>
      </c>
      <c r="K1033" s="29">
        <v>6.64</v>
      </c>
      <c r="L1033" s="29">
        <v>-0.66</v>
      </c>
      <c r="M1033" s="30">
        <f>IFERROR(VLOOKUP($A1033,HeadJournal!$A$1:$J$890,COLUMN(HeadJournal!I$1),0)*($K1033+$L1033)/(SUMIF($A:$A,$A1033,$K:$K)+SUMIF($A:$A,$A1033,$L:$L)),0)</f>
        <v>0.42875336644921891</v>
      </c>
      <c r="N1033" s="30">
        <f>IFERROR((VLOOKUP($A1033,HeadJournal!$A$1:$K$890,COLUMN(HeadJournal!K$1),0)-VLOOKUP($A1033,HeadJournal!$A$1:$K$890,COLUMN(HeadJournal!J$1),0))*($K1033+$L1033)/(SUMIF($A:$A,$A1033,$K:$K)+SUMIF($A:$A,$A1033,$L:$L)),0)</f>
        <v>-1.0171872786750609E-15</v>
      </c>
      <c r="O1033" s="30">
        <f>IFERROR((VLOOKUP($A1033,HeadJournal!$A$1:$L$890,COLUMN(HeadJournal!L$1),0)*($K1033+$L1033)/(SUMIF($A:$A,$A1033,$K:$K)+SUMIF($A:$A,$A1033,$L:$L)))/VLOOKUP($A1033,HeadJournal!$A$1:$L$890,COLUMN(HeadJournal!H$1),0),0)</f>
        <v>0.63760796605134018</v>
      </c>
      <c r="P1033" s="30">
        <f>IFERROR(SUM(K1033:O1033)*VLOOKUP($A1033,HeadJournal!$A$1:$L$890,COLUMN(HeadJournal!H$1),0),0)</f>
        <v>567.90673888323647</v>
      </c>
      <c r="Q1033" s="29">
        <v>1000</v>
      </c>
      <c r="R1033" s="31">
        <v>45092</v>
      </c>
      <c r="S1033" s="31" t="s">
        <v>3121</v>
      </c>
      <c r="T1033" s="95" t="str">
        <f t="shared" si="85"/>
        <v>2023 06</v>
      </c>
      <c r="U1033" s="32">
        <f t="shared" si="82"/>
        <v>432.09326111676353</v>
      </c>
      <c r="V1033" s="22">
        <f t="shared" si="83"/>
        <v>0.76085249836347402</v>
      </c>
      <c r="X1033" s="33"/>
      <c r="Y1033" s="33"/>
    </row>
    <row r="1034" spans="1:25" x14ac:dyDescent="0.2">
      <c r="A1034" s="93" t="s">
        <v>459</v>
      </c>
      <c r="B1034" s="94" t="str">
        <f>IFERROR(VLOOKUP($A1034,HeadJournal!$A$1:$NTR$890,COLUMN(HeadJournal!B$1),0),"")</f>
        <v>710000606202</v>
      </c>
      <c r="C1034" s="94" t="str">
        <f>IFERROR(VLOOKUP($A1034,HeadJournal!$A$1:$NTR$890,COLUMN(HeadJournal!C$1),0),"")</f>
        <v>iHerb_OA CZN6870</v>
      </c>
      <c r="D1034" s="125" t="str">
        <f>IFERROR(VLOOKUP($A1034,HeadJournal!$A$1:$NTR$890,COLUMN(HeadJournal!D$1),0),"")</f>
        <v>Доставлен</v>
      </c>
      <c r="E1034" s="95">
        <f>IFERROR(VLOOKUP($A1034,HeadJournal!$A$1:$NTR$890,COLUMN(HeadJournal!G$1),0),"")</f>
        <v>44961</v>
      </c>
      <c r="F1034" s="95" t="str">
        <f t="shared" si="84"/>
        <v>2023 02</v>
      </c>
      <c r="G1034" s="96" t="s">
        <v>5</v>
      </c>
      <c r="H1034" s="175" t="s">
        <v>3643</v>
      </c>
      <c r="I1034" s="176" t="s">
        <v>2102</v>
      </c>
      <c r="J1034" s="97" t="s">
        <v>3693</v>
      </c>
      <c r="K1034" s="29">
        <v>13.94</v>
      </c>
      <c r="L1034" s="29">
        <v>-1.39</v>
      </c>
      <c r="M1034" s="30">
        <f>IFERROR(VLOOKUP($A1034,HeadJournal!$A$1:$J$890,COLUMN(HeadJournal!I$1),0)*($K1034+$L1034)/(SUMIF($A:$A,$A1034,$K:$K)+SUMIF($A:$A,$A1034,$L:$L)),0)</f>
        <v>1.1167971548459725</v>
      </c>
      <c r="N1034" s="30">
        <f>IFERROR((VLOOKUP($A1034,HeadJournal!$A$1:$K$890,COLUMN(HeadJournal!K$1),0)-VLOOKUP($A1034,HeadJournal!$A$1:$K$890,COLUMN(HeadJournal!J$1),0))*($K1034+$L1034)/(SUMIF($A:$A,$A1034,$K:$K)+SUMIF($A:$A,$A1034,$L:$L)),0)</f>
        <v>0</v>
      </c>
      <c r="O1034" s="30">
        <f>IFERROR((VLOOKUP($A1034,HeadJournal!$A$1:$L$890,COLUMN(HeadJournal!L$1),0)*($K1034+$L1034)/(SUMIF($A:$A,$A1034,$K:$K)+SUMIF($A:$A,$A1034,$L:$L)))/VLOOKUP($A1034,HeadJournal!$A$1:$L$890,COLUMN(HeadJournal!H$1),0),0)</f>
        <v>1.1462933981357299</v>
      </c>
      <c r="P1034" s="30">
        <f>IFERROR(SUM(K1034:O1034)*VLOOKUP($A1034,HeadJournal!$A$1:$L$890,COLUMN(HeadJournal!H$1),0),0)</f>
        <v>1155.4168867055571</v>
      </c>
      <c r="Q1034" s="29">
        <v>2200</v>
      </c>
      <c r="R1034" s="31">
        <v>45006</v>
      </c>
      <c r="S1034" s="31" t="s">
        <v>3121</v>
      </c>
      <c r="T1034" s="95" t="str">
        <f t="shared" si="85"/>
        <v>2023 03</v>
      </c>
      <c r="U1034" s="32">
        <f t="shared" si="82"/>
        <v>1044.5831132944429</v>
      </c>
      <c r="V1034" s="22">
        <f t="shared" si="83"/>
        <v>0.90407464640132207</v>
      </c>
      <c r="X1034" s="33"/>
      <c r="Y1034" s="33"/>
    </row>
    <row r="1035" spans="1:25" x14ac:dyDescent="0.2">
      <c r="A1035" s="93" t="s">
        <v>459</v>
      </c>
      <c r="B1035" s="94" t="str">
        <f>IFERROR(VLOOKUP($A1035,HeadJournal!$A$1:$NTR$890,COLUMN(HeadJournal!B$1),0),"")</f>
        <v>710000606202</v>
      </c>
      <c r="C1035" s="94" t="str">
        <f>IFERROR(VLOOKUP($A1035,HeadJournal!$A$1:$NTR$890,COLUMN(HeadJournal!C$1),0),"")</f>
        <v>iHerb_OA CZN6870</v>
      </c>
      <c r="D1035" s="125" t="str">
        <f>IFERROR(VLOOKUP($A1035,HeadJournal!$A$1:$NTR$890,COLUMN(HeadJournal!D$1),0),"")</f>
        <v>Доставлен</v>
      </c>
      <c r="E1035" s="95">
        <f>IFERROR(VLOOKUP($A1035,HeadJournal!$A$1:$NTR$890,COLUMN(HeadJournal!G$1),0),"")</f>
        <v>44961</v>
      </c>
      <c r="F1035" s="95" t="str">
        <f t="shared" si="84"/>
        <v>2023 02</v>
      </c>
      <c r="G1035" s="96" t="s">
        <v>5</v>
      </c>
      <c r="H1035" s="160" t="str">
        <f>RIGHT(Journal!$J1035,9)</f>
        <v>PAR-77818</v>
      </c>
      <c r="I1035" s="96" t="str">
        <f t="shared" si="81"/>
        <v>Paradise Herbs</v>
      </c>
      <c r="J1035" s="97" t="s">
        <v>460</v>
      </c>
      <c r="K1035" s="29">
        <v>13.44</v>
      </c>
      <c r="L1035" s="29">
        <v>-1.34</v>
      </c>
      <c r="M1035" s="30">
        <f>IFERROR(VLOOKUP($A1035,HeadJournal!$A$1:$J$890,COLUMN(HeadJournal!I$1),0)*($K1035+$L1035)/(SUMIF($A:$A,$A1035,$K:$K)+SUMIF($A:$A,$A1035,$L:$L)),0)</f>
        <v>1.0767526353495036</v>
      </c>
      <c r="N1035" s="30">
        <f>IFERROR((VLOOKUP($A1035,HeadJournal!$A$1:$K$890,COLUMN(HeadJournal!K$1),0)-VLOOKUP($A1035,HeadJournal!$A$1:$K$890,COLUMN(HeadJournal!J$1),0))*($K1035+$L1035)/(SUMIF($A:$A,$A1035,$K:$K)+SUMIF($A:$A,$A1035,$L:$L)),0)</f>
        <v>0</v>
      </c>
      <c r="O1035" s="30">
        <f>IFERROR((VLOOKUP($A1035,HeadJournal!$A$1:$L$890,COLUMN(HeadJournal!L$1),0)*($K1035+$L1035)/(SUMIF($A:$A,$A1035,$K:$K)+SUMIF($A:$A,$A1035,$L:$L)))/VLOOKUP($A1035,HeadJournal!$A$1:$L$890,COLUMN(HeadJournal!H$1),0),0)</f>
        <v>1.1051912444177157</v>
      </c>
      <c r="P1035" s="30">
        <f>IFERROR(SUM(K1035:O1035)*VLOOKUP($A1035,HeadJournal!$A$1:$L$890,COLUMN(HeadJournal!H$1),0),0)</f>
        <v>1113.9875959471906</v>
      </c>
      <c r="Q1035" s="29">
        <v>1900</v>
      </c>
      <c r="R1035" s="31">
        <v>45003</v>
      </c>
      <c r="S1035" s="31" t="s">
        <v>3121</v>
      </c>
      <c r="T1035" s="95" t="str">
        <f t="shared" si="85"/>
        <v>2023 03</v>
      </c>
      <c r="U1035" s="32">
        <f t="shared" si="82"/>
        <v>786.01240405280942</v>
      </c>
      <c r="V1035" s="22">
        <f t="shared" si="83"/>
        <v>0.70558452079036516</v>
      </c>
      <c r="X1035" s="33"/>
      <c r="Y1035" s="33"/>
    </row>
    <row r="1036" spans="1:25" x14ac:dyDescent="0.2">
      <c r="A1036" s="93" t="s">
        <v>459</v>
      </c>
      <c r="B1036" s="94" t="str">
        <f>IFERROR(VLOOKUP($A1036,HeadJournal!$A$1:$NTR$890,COLUMN(HeadJournal!B$1),0),"")</f>
        <v>710000606202</v>
      </c>
      <c r="C1036" s="94" t="str">
        <f>IFERROR(VLOOKUP($A1036,HeadJournal!$A$1:$NTR$890,COLUMN(HeadJournal!C$1),0),"")</f>
        <v>iHerb_OA CZN6870</v>
      </c>
      <c r="D1036" s="125" t="str">
        <f>IFERROR(VLOOKUP($A1036,HeadJournal!$A$1:$NTR$890,COLUMN(HeadJournal!D$1),0),"")</f>
        <v>Доставлен</v>
      </c>
      <c r="E1036" s="95">
        <f>IFERROR(VLOOKUP($A1036,HeadJournal!$A$1:$NTR$890,COLUMN(HeadJournal!G$1),0),"")</f>
        <v>44961</v>
      </c>
      <c r="F1036" s="95" t="str">
        <f t="shared" si="84"/>
        <v>2023 02</v>
      </c>
      <c r="G1036" s="96" t="s">
        <v>5</v>
      </c>
      <c r="H1036" s="161" t="s">
        <v>2176</v>
      </c>
      <c r="I1036" s="97" t="s">
        <v>2005</v>
      </c>
      <c r="J1036" s="97" t="s">
        <v>2177</v>
      </c>
      <c r="K1036" s="29">
        <v>12.99</v>
      </c>
      <c r="L1036" s="29">
        <v>-1.3</v>
      </c>
      <c r="M1036" s="30">
        <f>IFERROR(VLOOKUP($A1036,HeadJournal!$A$1:$J$890,COLUMN(HeadJournal!I$1),0)*($K1036+$L1036)/(SUMIF($A:$A,$A1036,$K:$K)+SUMIF($A:$A,$A1036,$L:$L)),0)</f>
        <v>1.040267628697165</v>
      </c>
      <c r="N1036" s="30">
        <f>IFERROR((VLOOKUP($A1036,HeadJournal!$A$1:$K$890,COLUMN(HeadJournal!K$1),0)-VLOOKUP($A1036,HeadJournal!$A$1:$K$890,COLUMN(HeadJournal!J$1),0))*($K1036+$L1036)/(SUMIF($A:$A,$A1036,$K:$K)+SUMIF($A:$A,$A1036,$L:$L)),0)</f>
        <v>0</v>
      </c>
      <c r="O1036" s="30">
        <f>IFERROR((VLOOKUP($A1036,HeadJournal!$A$1:$L$890,COLUMN(HeadJournal!L$1),0)*($K1036+$L1036)/(SUMIF($A:$A,$A1036,$K:$K)+SUMIF($A:$A,$A1036,$L:$L)))/VLOOKUP($A1036,HeadJournal!$A$1:$L$890,COLUMN(HeadJournal!H$1),0),0)</f>
        <v>1.0677426154746361</v>
      </c>
      <c r="P1036" s="30">
        <f>IFERROR(SUM(K1036:O1036)*VLOOKUP($A1036,HeadJournal!$A$1:$L$890,COLUMN(HeadJournal!H$1),0),0)</f>
        <v>1076.2409088117897</v>
      </c>
      <c r="Q1036" s="29">
        <v>1700</v>
      </c>
      <c r="R1036" s="31">
        <v>45009</v>
      </c>
      <c r="S1036" s="31" t="s">
        <v>3121</v>
      </c>
      <c r="T1036" s="95" t="str">
        <f t="shared" si="85"/>
        <v>2023 03</v>
      </c>
      <c r="U1036" s="32">
        <f t="shared" si="82"/>
        <v>623.75909118821028</v>
      </c>
      <c r="V1036" s="22">
        <f t="shared" si="83"/>
        <v>0.57957199552734306</v>
      </c>
      <c r="X1036" s="33"/>
      <c r="Y1036" s="33"/>
    </row>
    <row r="1037" spans="1:25" x14ac:dyDescent="0.2">
      <c r="A1037" s="93" t="s">
        <v>459</v>
      </c>
      <c r="B1037" s="94" t="str">
        <f>IFERROR(VLOOKUP($A1037,HeadJournal!$A$1:$NTR$890,COLUMN(HeadJournal!B$1),0),"")</f>
        <v>710000606202</v>
      </c>
      <c r="C1037" s="94" t="str">
        <f>IFERROR(VLOOKUP($A1037,HeadJournal!$A$1:$NTR$890,COLUMN(HeadJournal!C$1),0),"")</f>
        <v>iHerb_OA CZN6870</v>
      </c>
      <c r="D1037" s="125" t="str">
        <f>IFERROR(VLOOKUP($A1037,HeadJournal!$A$1:$NTR$890,COLUMN(HeadJournal!D$1),0),"")</f>
        <v>Доставлен</v>
      </c>
      <c r="E1037" s="95">
        <f>IFERROR(VLOOKUP($A1037,HeadJournal!$A$1:$NTR$890,COLUMN(HeadJournal!G$1),0),"")</f>
        <v>44961</v>
      </c>
      <c r="F1037" s="95" t="str">
        <f t="shared" si="84"/>
        <v>2023 02</v>
      </c>
      <c r="G1037" s="96" t="s">
        <v>5</v>
      </c>
      <c r="H1037" s="160" t="str">
        <f>RIGHT(Journal!$J1037,9)</f>
        <v>CEN-27844</v>
      </c>
      <c r="I1037" s="96" t="str">
        <f t="shared" si="81"/>
        <v>21st Century</v>
      </c>
      <c r="J1037" s="97" t="s">
        <v>78</v>
      </c>
      <c r="K1037" s="29">
        <v>6</v>
      </c>
      <c r="L1037" s="29">
        <v>-0.6</v>
      </c>
      <c r="M1037" s="30">
        <f>IFERROR(VLOOKUP($A1037,HeadJournal!$A$1:$J$890,COLUMN(HeadJournal!I$1),0)*($K1037+$L1037)/(SUMIF($A:$A,$A1037,$K:$K)+SUMIF($A:$A,$A1037,$L:$L)),0)</f>
        <v>0.48053423395762973</v>
      </c>
      <c r="N1037" s="30">
        <f>IFERROR((VLOOKUP($A1037,HeadJournal!$A$1:$K$890,COLUMN(HeadJournal!K$1),0)-VLOOKUP($A1037,HeadJournal!$A$1:$K$890,COLUMN(HeadJournal!J$1),0))*($K1037+$L1037)/(SUMIF($A:$A,$A1037,$K:$K)+SUMIF($A:$A,$A1037,$L:$L)),0)</f>
        <v>0</v>
      </c>
      <c r="O1037" s="30">
        <f>IFERROR((VLOOKUP($A1037,HeadJournal!$A$1:$L$890,COLUMN(HeadJournal!L$1),0)*($K1037+$L1037)/(SUMIF($A:$A,$A1037,$K:$K)+SUMIF($A:$A,$A1037,$L:$L)))/VLOOKUP($A1037,HeadJournal!$A$1:$L$890,COLUMN(HeadJournal!H$1),0),0)</f>
        <v>0.49322584461617064</v>
      </c>
      <c r="P1037" s="30">
        <f>IFERROR(SUM(K1037:O1037)*VLOOKUP($A1037,HeadJournal!$A$1:$L$890,COLUMN(HeadJournal!H$1),0),0)</f>
        <v>497.15148910039909</v>
      </c>
      <c r="Q1037" s="29">
        <v>1000</v>
      </c>
      <c r="R1037" s="31">
        <v>45118</v>
      </c>
      <c r="S1037" s="31" t="s">
        <v>3121</v>
      </c>
      <c r="T1037" s="95" t="str">
        <f t="shared" si="85"/>
        <v>2023 07</v>
      </c>
      <c r="U1037" s="32">
        <f t="shared" si="82"/>
        <v>502.84851089960091</v>
      </c>
      <c r="V1037" s="22">
        <f t="shared" si="83"/>
        <v>1.0114593276377601</v>
      </c>
      <c r="X1037" s="33"/>
      <c r="Y1037" s="33"/>
    </row>
    <row r="1038" spans="1:25" x14ac:dyDescent="0.2">
      <c r="A1038" s="93" t="s">
        <v>459</v>
      </c>
      <c r="B1038" s="94" t="str">
        <f>IFERROR(VLOOKUP($A1038,HeadJournal!$A$1:$NTR$890,COLUMN(HeadJournal!B$1),0),"")</f>
        <v>710000606202</v>
      </c>
      <c r="C1038" s="94" t="str">
        <f>IFERROR(VLOOKUP($A1038,HeadJournal!$A$1:$NTR$890,COLUMN(HeadJournal!C$1),0),"")</f>
        <v>iHerb_OA CZN6870</v>
      </c>
      <c r="D1038" s="125" t="str">
        <f>IFERROR(VLOOKUP($A1038,HeadJournal!$A$1:$NTR$890,COLUMN(HeadJournal!D$1),0),"")</f>
        <v>Доставлен</v>
      </c>
      <c r="E1038" s="95">
        <f>IFERROR(VLOOKUP($A1038,HeadJournal!$A$1:$NTR$890,COLUMN(HeadJournal!G$1),0),"")</f>
        <v>44961</v>
      </c>
      <c r="F1038" s="95" t="str">
        <f t="shared" si="84"/>
        <v>2023 02</v>
      </c>
      <c r="G1038" s="96" t="s">
        <v>5</v>
      </c>
      <c r="H1038" s="175" t="s">
        <v>3630</v>
      </c>
      <c r="I1038" s="176" t="s">
        <v>2052</v>
      </c>
      <c r="J1038" s="97" t="s">
        <v>3673</v>
      </c>
      <c r="K1038" s="29">
        <v>15</v>
      </c>
      <c r="L1038" s="29">
        <v>-4.5</v>
      </c>
      <c r="M1038" s="30">
        <f>IFERROR(VLOOKUP($A1038,HeadJournal!$A$1:$J$890,COLUMN(HeadJournal!I$1),0)*($K1038+$L1038)/(SUMIF($A:$A,$A1038,$K:$K)+SUMIF($A:$A,$A1038,$L:$L)),0)</f>
        <v>0.93437212158427996</v>
      </c>
      <c r="N1038" s="30">
        <f>IFERROR((VLOOKUP($A1038,HeadJournal!$A$1:$K$890,COLUMN(HeadJournal!K$1),0)-VLOOKUP($A1038,HeadJournal!$A$1:$K$890,COLUMN(HeadJournal!J$1),0))*($K1038+$L1038)/(SUMIF($A:$A,$A1038,$K:$K)+SUMIF($A:$A,$A1038,$L:$L)),0)</f>
        <v>0</v>
      </c>
      <c r="O1038" s="30">
        <f>IFERROR((VLOOKUP($A1038,HeadJournal!$A$1:$L$890,COLUMN(HeadJournal!L$1),0)*($K1038+$L1038)/(SUMIF($A:$A,$A1038,$K:$K)+SUMIF($A:$A,$A1038,$L:$L)))/VLOOKUP($A1038,HeadJournal!$A$1:$L$890,COLUMN(HeadJournal!H$1),0),0)</f>
        <v>0.9590502534203319</v>
      </c>
      <c r="P1038" s="30">
        <f>IFERROR(SUM(K1038:O1038)*VLOOKUP($A1038,HeadJournal!$A$1:$L$890,COLUMN(HeadJournal!H$1),0),0)</f>
        <v>966.68345102855369</v>
      </c>
      <c r="Q1038" s="29">
        <v>2100</v>
      </c>
      <c r="R1038" s="31">
        <v>45103</v>
      </c>
      <c r="S1038" s="31" t="s">
        <v>3121</v>
      </c>
      <c r="T1038" s="95" t="str">
        <f t="shared" si="85"/>
        <v>2023 06</v>
      </c>
      <c r="U1038" s="32">
        <f t="shared" si="82"/>
        <v>1133.3165489714463</v>
      </c>
      <c r="V1038" s="22">
        <f t="shared" si="83"/>
        <v>1.1723760738487812</v>
      </c>
      <c r="X1038" s="33"/>
      <c r="Y1038" s="33"/>
    </row>
    <row r="1039" spans="1:25" x14ac:dyDescent="0.2">
      <c r="A1039" s="93" t="s">
        <v>459</v>
      </c>
      <c r="B1039" s="94" t="str">
        <f>IFERROR(VLOOKUP($A1039,HeadJournal!$A$1:$NTR$890,COLUMN(HeadJournal!B$1),0),"")</f>
        <v>710000606202</v>
      </c>
      <c r="C1039" s="94" t="str">
        <f>IFERROR(VLOOKUP($A1039,HeadJournal!$A$1:$NTR$890,COLUMN(HeadJournal!C$1),0),"")</f>
        <v>iHerb_OA CZN6870</v>
      </c>
      <c r="D1039" s="125" t="str">
        <f>IFERROR(VLOOKUP($A1039,HeadJournal!$A$1:$NTR$890,COLUMN(HeadJournal!D$1),0),"")</f>
        <v>Доставлен</v>
      </c>
      <c r="E1039" s="95">
        <f>IFERROR(VLOOKUP($A1039,HeadJournal!$A$1:$NTR$890,COLUMN(HeadJournal!G$1),0),"")</f>
        <v>44961</v>
      </c>
      <c r="F1039" s="95" t="str">
        <f t="shared" si="84"/>
        <v>2023 02</v>
      </c>
      <c r="G1039" s="96" t="s">
        <v>5</v>
      </c>
      <c r="H1039" s="160" t="str">
        <f>RIGHT(Journal!$J1039,9)</f>
        <v>CGN-01408</v>
      </c>
      <c r="I1039" s="96" t="str">
        <f t="shared" si="81"/>
        <v>California Gold Nutrition</v>
      </c>
      <c r="J1039" s="97" t="s">
        <v>286</v>
      </c>
      <c r="K1039" s="29">
        <v>7</v>
      </c>
      <c r="L1039" s="29">
        <v>-2.1</v>
      </c>
      <c r="M1039" s="30">
        <f>IFERROR(VLOOKUP($A1039,HeadJournal!$A$1:$J$890,COLUMN(HeadJournal!I$1),0)*($K1039+$L1039)/(SUMIF($A:$A,$A1039,$K:$K)+SUMIF($A:$A,$A1039,$L:$L)),0)</f>
        <v>0.43604032340599735</v>
      </c>
      <c r="N1039" s="30">
        <f>IFERROR((VLOOKUP($A1039,HeadJournal!$A$1:$K$890,COLUMN(HeadJournal!K$1),0)-VLOOKUP($A1039,HeadJournal!$A$1:$K$890,COLUMN(HeadJournal!J$1),0))*($K1039+$L1039)/(SUMIF($A:$A,$A1039,$K:$K)+SUMIF($A:$A,$A1039,$L:$L)),0)</f>
        <v>0</v>
      </c>
      <c r="O1039" s="30">
        <f>IFERROR((VLOOKUP($A1039,HeadJournal!$A$1:$L$890,COLUMN(HeadJournal!L$1),0)*($K1039+$L1039)/(SUMIF($A:$A,$A1039,$K:$K)+SUMIF($A:$A,$A1039,$L:$L)))/VLOOKUP($A1039,HeadJournal!$A$1:$L$890,COLUMN(HeadJournal!H$1),0),0)</f>
        <v>0.4475567849294883</v>
      </c>
      <c r="P1039" s="30">
        <f>IFERROR(SUM(K1039:O1039)*VLOOKUP($A1039,HeadJournal!$A$1:$L$890,COLUMN(HeadJournal!H$1),0),0)</f>
        <v>451.11894381332507</v>
      </c>
      <c r="Q1039" s="29">
        <v>900</v>
      </c>
      <c r="R1039" s="31">
        <v>45090</v>
      </c>
      <c r="S1039" s="31" t="s">
        <v>3121</v>
      </c>
      <c r="T1039" s="95" t="str">
        <f t="shared" si="85"/>
        <v>2023 06</v>
      </c>
      <c r="U1039" s="32">
        <f t="shared" si="82"/>
        <v>448.88105618667493</v>
      </c>
      <c r="V1039" s="22">
        <f t="shared" si="83"/>
        <v>0.99503925149377859</v>
      </c>
      <c r="X1039" s="33"/>
      <c r="Y1039" s="33"/>
    </row>
    <row r="1040" spans="1:25" x14ac:dyDescent="0.2">
      <c r="A1040" s="93" t="s">
        <v>459</v>
      </c>
      <c r="B1040" s="94" t="str">
        <f>IFERROR(VLOOKUP($A1040,HeadJournal!$A$1:$NTR$890,COLUMN(HeadJournal!B$1),0),"")</f>
        <v>710000606202</v>
      </c>
      <c r="C1040" s="94" t="str">
        <f>IFERROR(VLOOKUP($A1040,HeadJournal!$A$1:$NTR$890,COLUMN(HeadJournal!C$1),0),"")</f>
        <v>iHerb_OA CZN6870</v>
      </c>
      <c r="D1040" s="125" t="str">
        <f>IFERROR(VLOOKUP($A1040,HeadJournal!$A$1:$NTR$890,COLUMN(HeadJournal!D$1),0),"")</f>
        <v>Доставлен</v>
      </c>
      <c r="E1040" s="95">
        <f>IFERROR(VLOOKUP($A1040,HeadJournal!$A$1:$NTR$890,COLUMN(HeadJournal!G$1),0),"")</f>
        <v>44961</v>
      </c>
      <c r="F1040" s="95" t="str">
        <f t="shared" si="84"/>
        <v>2023 02</v>
      </c>
      <c r="G1040" s="96" t="s">
        <v>5</v>
      </c>
      <c r="H1040" s="160" t="str">
        <f>RIGHT(Journal!$J1040,9)</f>
        <v>CGN-01408</v>
      </c>
      <c r="I1040" s="96" t="str">
        <f t="shared" si="81"/>
        <v>California Gold Nutrition</v>
      </c>
      <c r="J1040" s="97" t="s">
        <v>286</v>
      </c>
      <c r="K1040" s="29">
        <v>7</v>
      </c>
      <c r="L1040" s="29">
        <v>-2.1</v>
      </c>
      <c r="M1040" s="30">
        <f>IFERROR(VLOOKUP($A1040,HeadJournal!$A$1:$J$890,COLUMN(HeadJournal!I$1),0)*($K1040+$L1040)/(SUMIF($A:$A,$A1040,$K:$K)+SUMIF($A:$A,$A1040,$L:$L)),0)</f>
        <v>0.43604032340599735</v>
      </c>
      <c r="N1040" s="30">
        <f>IFERROR((VLOOKUP($A1040,HeadJournal!$A$1:$K$890,COLUMN(HeadJournal!K$1),0)-VLOOKUP($A1040,HeadJournal!$A$1:$K$890,COLUMN(HeadJournal!J$1),0))*($K1040+$L1040)/(SUMIF($A:$A,$A1040,$K:$K)+SUMIF($A:$A,$A1040,$L:$L)),0)</f>
        <v>0</v>
      </c>
      <c r="O1040" s="30">
        <f>IFERROR((VLOOKUP($A1040,HeadJournal!$A$1:$L$890,COLUMN(HeadJournal!L$1),0)*($K1040+$L1040)/(SUMIF($A:$A,$A1040,$K:$K)+SUMIF($A:$A,$A1040,$L:$L)))/VLOOKUP($A1040,HeadJournal!$A$1:$L$890,COLUMN(HeadJournal!H$1),0),0)</f>
        <v>0.4475567849294883</v>
      </c>
      <c r="P1040" s="30">
        <f>IFERROR(SUM(K1040:O1040)*VLOOKUP($A1040,HeadJournal!$A$1:$L$890,COLUMN(HeadJournal!H$1),0),0)</f>
        <v>451.11894381332507</v>
      </c>
      <c r="Q1040" s="29">
        <v>900</v>
      </c>
      <c r="R1040" s="31">
        <v>45099</v>
      </c>
      <c r="S1040" s="31" t="s">
        <v>3121</v>
      </c>
      <c r="T1040" s="95" t="str">
        <f t="shared" si="85"/>
        <v>2023 06</v>
      </c>
      <c r="U1040" s="32">
        <f t="shared" si="82"/>
        <v>448.88105618667493</v>
      </c>
      <c r="V1040" s="22">
        <f t="shared" si="83"/>
        <v>0.99503925149377859</v>
      </c>
      <c r="X1040" s="33"/>
      <c r="Y1040" s="33"/>
    </row>
    <row r="1041" spans="1:25" x14ac:dyDescent="0.2">
      <c r="A1041" s="93" t="s">
        <v>459</v>
      </c>
      <c r="B1041" s="94" t="str">
        <f>IFERROR(VLOOKUP($A1041,HeadJournal!$A$1:$NTR$890,COLUMN(HeadJournal!B$1),0),"")</f>
        <v>710000606202</v>
      </c>
      <c r="C1041" s="94" t="str">
        <f>IFERROR(VLOOKUP($A1041,HeadJournal!$A$1:$NTR$890,COLUMN(HeadJournal!C$1),0),"")</f>
        <v>iHerb_OA CZN6870</v>
      </c>
      <c r="D1041" s="125" t="str">
        <f>IFERROR(VLOOKUP($A1041,HeadJournal!$A$1:$NTR$890,COLUMN(HeadJournal!D$1),0),"")</f>
        <v>Доставлен</v>
      </c>
      <c r="E1041" s="95">
        <f>IFERROR(VLOOKUP($A1041,HeadJournal!$A$1:$NTR$890,COLUMN(HeadJournal!G$1),0),"")</f>
        <v>44961</v>
      </c>
      <c r="F1041" s="95" t="str">
        <f t="shared" si="84"/>
        <v>2023 02</v>
      </c>
      <c r="G1041" s="96" t="s">
        <v>5</v>
      </c>
      <c r="H1041" s="161" t="s">
        <v>3577</v>
      </c>
      <c r="I1041" s="97" t="s">
        <v>2052</v>
      </c>
      <c r="J1041" s="97" t="s">
        <v>3578</v>
      </c>
      <c r="K1041" s="29">
        <v>9</v>
      </c>
      <c r="L1041" s="29">
        <v>-4.5</v>
      </c>
      <c r="M1041" s="30">
        <f>IFERROR(VLOOKUP($A1041,HeadJournal!$A$1:$J$890,COLUMN(HeadJournal!I$1),0)*($K1041+$L1041)/(SUMIF($A:$A,$A1041,$K:$K)+SUMIF($A:$A,$A1041,$L:$L)),0)</f>
        <v>0.40044519496469139</v>
      </c>
      <c r="N1041" s="30">
        <f>IFERROR((VLOOKUP($A1041,HeadJournal!$A$1:$K$890,COLUMN(HeadJournal!K$1),0)-VLOOKUP($A1041,HeadJournal!$A$1:$K$890,COLUMN(HeadJournal!J$1),0))*($K1041+$L1041)/(SUMIF($A:$A,$A1041,$K:$K)+SUMIF($A:$A,$A1041,$L:$L)),0)</f>
        <v>0</v>
      </c>
      <c r="O1041" s="30">
        <f>IFERROR((VLOOKUP($A1041,HeadJournal!$A$1:$L$890,COLUMN(HeadJournal!L$1),0)*($K1041+$L1041)/(SUMIF($A:$A,$A1041,$K:$K)+SUMIF($A:$A,$A1041,$L:$L)))/VLOOKUP($A1041,HeadJournal!$A$1:$L$890,COLUMN(HeadJournal!H$1),0),0)</f>
        <v>0.41102153718014228</v>
      </c>
      <c r="P1041" s="30">
        <f>IFERROR(SUM(K1041:O1041)*VLOOKUP($A1041,HeadJournal!$A$1:$L$890,COLUMN(HeadJournal!H$1),0),0)</f>
        <v>414.29290758366585</v>
      </c>
      <c r="Q1041" s="29">
        <v>1500</v>
      </c>
      <c r="R1041" s="31">
        <v>45078</v>
      </c>
      <c r="S1041" s="31" t="s">
        <v>3121</v>
      </c>
      <c r="T1041" s="95" t="str">
        <f t="shared" si="85"/>
        <v>2023 06</v>
      </c>
      <c r="U1041" s="32">
        <f t="shared" si="82"/>
        <v>1085.707092416334</v>
      </c>
      <c r="V1041" s="22">
        <f t="shared" si="83"/>
        <v>2.6206267897479685</v>
      </c>
      <c r="X1041" s="33"/>
      <c r="Y1041" s="33"/>
    </row>
    <row r="1042" spans="1:25" x14ac:dyDescent="0.2">
      <c r="A1042" s="93" t="s">
        <v>459</v>
      </c>
      <c r="B1042" s="94" t="str">
        <f>IFERROR(VLOOKUP($A1042,HeadJournal!$A$1:$NTR$890,COLUMN(HeadJournal!B$1),0),"")</f>
        <v>710000606202</v>
      </c>
      <c r="C1042" s="94" t="str">
        <f>IFERROR(VLOOKUP($A1042,HeadJournal!$A$1:$NTR$890,COLUMN(HeadJournal!C$1),0),"")</f>
        <v>iHerb_OA CZN6870</v>
      </c>
      <c r="D1042" s="125" t="str">
        <f>IFERROR(VLOOKUP($A1042,HeadJournal!$A$1:$NTR$890,COLUMN(HeadJournal!D$1),0),"")</f>
        <v>Доставлен</v>
      </c>
      <c r="E1042" s="95">
        <f>IFERROR(VLOOKUP($A1042,HeadJournal!$A$1:$NTR$890,COLUMN(HeadJournal!G$1),0),"")</f>
        <v>44961</v>
      </c>
      <c r="F1042" s="95" t="str">
        <f t="shared" si="84"/>
        <v>2023 02</v>
      </c>
      <c r="G1042" s="96" t="s">
        <v>5</v>
      </c>
      <c r="H1042" s="161" t="s">
        <v>3577</v>
      </c>
      <c r="I1042" s="97" t="s">
        <v>2052</v>
      </c>
      <c r="J1042" s="97" t="s">
        <v>3578</v>
      </c>
      <c r="K1042" s="29">
        <v>9</v>
      </c>
      <c r="L1042" s="29">
        <v>-4.5</v>
      </c>
      <c r="M1042" s="30">
        <f>IFERROR(VLOOKUP($A1042,HeadJournal!$A$1:$J$890,COLUMN(HeadJournal!I$1),0)*($K1042+$L1042)/(SUMIF($A:$A,$A1042,$K:$K)+SUMIF($A:$A,$A1042,$L:$L)),0)</f>
        <v>0.40044519496469139</v>
      </c>
      <c r="N1042" s="30">
        <f>IFERROR((VLOOKUP($A1042,HeadJournal!$A$1:$K$890,COLUMN(HeadJournal!K$1),0)-VLOOKUP($A1042,HeadJournal!$A$1:$K$890,COLUMN(HeadJournal!J$1),0))*($K1042+$L1042)/(SUMIF($A:$A,$A1042,$K:$K)+SUMIF($A:$A,$A1042,$L:$L)),0)</f>
        <v>0</v>
      </c>
      <c r="O1042" s="30">
        <f>IFERROR((VLOOKUP($A1042,HeadJournal!$A$1:$L$890,COLUMN(HeadJournal!L$1),0)*($K1042+$L1042)/(SUMIF($A:$A,$A1042,$K:$K)+SUMIF($A:$A,$A1042,$L:$L)))/VLOOKUP($A1042,HeadJournal!$A$1:$L$890,COLUMN(HeadJournal!H$1),0),0)</f>
        <v>0.41102153718014228</v>
      </c>
      <c r="P1042" s="30">
        <f>IFERROR(SUM(K1042:O1042)*VLOOKUP($A1042,HeadJournal!$A$1:$L$890,COLUMN(HeadJournal!H$1),0),0)</f>
        <v>414.29290758366585</v>
      </c>
      <c r="Q1042" s="29">
        <v>1500</v>
      </c>
      <c r="R1042" s="31">
        <v>45112</v>
      </c>
      <c r="S1042" s="31" t="s">
        <v>3121</v>
      </c>
      <c r="T1042" s="95" t="str">
        <f t="shared" si="85"/>
        <v>2023 07</v>
      </c>
      <c r="U1042" s="32">
        <f t="shared" si="82"/>
        <v>1085.707092416334</v>
      </c>
      <c r="V1042" s="22">
        <f t="shared" si="83"/>
        <v>2.6206267897479685</v>
      </c>
      <c r="X1042" s="33"/>
      <c r="Y1042" s="33"/>
    </row>
    <row r="1043" spans="1:25" x14ac:dyDescent="0.2">
      <c r="A1043" s="93" t="s">
        <v>459</v>
      </c>
      <c r="B1043" s="94" t="str">
        <f>IFERROR(VLOOKUP($A1043,HeadJournal!$A$1:$NTR$890,COLUMN(HeadJournal!B$1),0),"")</f>
        <v>710000606202</v>
      </c>
      <c r="C1043" s="94" t="str">
        <f>IFERROR(VLOOKUP($A1043,HeadJournal!$A$1:$NTR$890,COLUMN(HeadJournal!C$1),0),"")</f>
        <v>iHerb_OA CZN6870</v>
      </c>
      <c r="D1043" s="125" t="str">
        <f>IFERROR(VLOOKUP($A1043,HeadJournal!$A$1:$NTR$890,COLUMN(HeadJournal!D$1),0),"")</f>
        <v>Доставлен</v>
      </c>
      <c r="E1043" s="95">
        <f>IFERROR(VLOOKUP($A1043,HeadJournal!$A$1:$NTR$890,COLUMN(HeadJournal!G$1),0),"")</f>
        <v>44961</v>
      </c>
      <c r="F1043" s="95" t="str">
        <f t="shared" si="84"/>
        <v>2023 02</v>
      </c>
      <c r="G1043" s="96" t="s">
        <v>6</v>
      </c>
      <c r="H1043" s="160" t="str">
        <f>RIGHT(Journal!$J1043,9)</f>
        <v>CGN-01064</v>
      </c>
      <c r="I1043" s="96" t="str">
        <f t="shared" si="81"/>
        <v>California Gold Nutrition</v>
      </c>
      <c r="J1043" s="97" t="s">
        <v>163</v>
      </c>
      <c r="K1043" s="29">
        <v>23</v>
      </c>
      <c r="L1043" s="29">
        <v>-6.9</v>
      </c>
      <c r="M1043" s="30">
        <f>IFERROR(VLOOKUP($A1043,HeadJournal!$A$1:$J$890,COLUMN(HeadJournal!I$1),0)*($K1043+$L1043)/(SUMIF($A:$A,$A1043,$K:$K)+SUMIF($A:$A,$A1043,$L:$L)),0)</f>
        <v>1.4327039197625628</v>
      </c>
      <c r="N1043" s="30">
        <f>IFERROR((VLOOKUP($A1043,HeadJournal!$A$1:$K$890,COLUMN(HeadJournal!K$1),0)-VLOOKUP($A1043,HeadJournal!$A$1:$K$890,COLUMN(HeadJournal!J$1),0))*($K1043+$L1043)/(SUMIF($A:$A,$A1043,$K:$K)+SUMIF($A:$A,$A1043,$L:$L)),0)</f>
        <v>0</v>
      </c>
      <c r="O1043" s="30">
        <f>IFERROR((VLOOKUP($A1043,HeadJournal!$A$1:$L$890,COLUMN(HeadJournal!L$1),0)*($K1043+$L1043)/(SUMIF($A:$A,$A1043,$K:$K)+SUMIF($A:$A,$A1043,$L:$L)))/VLOOKUP($A1043,HeadJournal!$A$1:$L$890,COLUMN(HeadJournal!H$1),0),0)</f>
        <v>1.4705437219111757</v>
      </c>
      <c r="P1043" s="30">
        <f>IFERROR(SUM(K1043:O1043)*VLOOKUP($A1043,HeadJournal!$A$1:$L$890,COLUMN(HeadJournal!H$1),0),0)</f>
        <v>1482.2479582437827</v>
      </c>
      <c r="Q1043" s="29">
        <v>3000</v>
      </c>
      <c r="R1043" s="31">
        <v>45318</v>
      </c>
      <c r="S1043" s="31" t="s">
        <v>3121</v>
      </c>
      <c r="T1043" s="95" t="str">
        <f t="shared" si="85"/>
        <v>2024 01</v>
      </c>
      <c r="U1043" s="32">
        <f t="shared" si="82"/>
        <v>1517.7520417562173</v>
      </c>
      <c r="V1043" s="22">
        <f t="shared" si="83"/>
        <v>1.0239528638342676</v>
      </c>
      <c r="X1043" s="33"/>
      <c r="Y1043" s="33"/>
    </row>
    <row r="1044" spans="1:25" x14ac:dyDescent="0.2">
      <c r="A1044" s="93" t="s">
        <v>459</v>
      </c>
      <c r="B1044" s="94" t="str">
        <f>IFERROR(VLOOKUP($A1044,HeadJournal!$A$1:$NTR$890,COLUMN(HeadJournal!B$1),0),"")</f>
        <v>710000606202</v>
      </c>
      <c r="C1044" s="94" t="str">
        <f>IFERROR(VLOOKUP($A1044,HeadJournal!$A$1:$NTR$890,COLUMN(HeadJournal!C$1),0),"")</f>
        <v>iHerb_OA CZN6870</v>
      </c>
      <c r="D1044" s="125" t="str">
        <f>IFERROR(VLOOKUP($A1044,HeadJournal!$A$1:$NTR$890,COLUMN(HeadJournal!D$1),0),"")</f>
        <v>Доставлен</v>
      </c>
      <c r="E1044" s="95">
        <f>IFERROR(VLOOKUP($A1044,HeadJournal!$A$1:$NTR$890,COLUMN(HeadJournal!G$1),0),"")</f>
        <v>44961</v>
      </c>
      <c r="F1044" s="95" t="str">
        <f t="shared" si="84"/>
        <v>2023 02</v>
      </c>
      <c r="G1044" s="96" t="s">
        <v>5</v>
      </c>
      <c r="H1044" s="160" t="str">
        <f>RIGHT(Journal!$J1044,9)</f>
        <v>LKN-01542</v>
      </c>
      <c r="I1044" s="96" t="str">
        <f t="shared" si="81"/>
        <v>Lake Avenue Nutrition</v>
      </c>
      <c r="J1044" s="97" t="s">
        <v>338</v>
      </c>
      <c r="K1044" s="29">
        <v>12</v>
      </c>
      <c r="L1044" s="29">
        <v>-3.6</v>
      </c>
      <c r="M1044" s="30">
        <f>IFERROR(VLOOKUP($A1044,HeadJournal!$A$1:$J$890,COLUMN(HeadJournal!I$1),0)*($K1044+$L1044)/(SUMIF($A:$A,$A1044,$K:$K)+SUMIF($A:$A,$A1044,$L:$L)),0)</f>
        <v>0.7474976972674241</v>
      </c>
      <c r="N1044" s="30">
        <f>IFERROR((VLOOKUP($A1044,HeadJournal!$A$1:$K$890,COLUMN(HeadJournal!K$1),0)-VLOOKUP($A1044,HeadJournal!$A$1:$K$890,COLUMN(HeadJournal!J$1),0))*($K1044+$L1044)/(SUMIF($A:$A,$A1044,$K:$K)+SUMIF($A:$A,$A1044,$L:$L)),0)</f>
        <v>0</v>
      </c>
      <c r="O1044" s="30">
        <f>IFERROR((VLOOKUP($A1044,HeadJournal!$A$1:$L$890,COLUMN(HeadJournal!L$1),0)*($K1044+$L1044)/(SUMIF($A:$A,$A1044,$K:$K)+SUMIF($A:$A,$A1044,$L:$L)))/VLOOKUP($A1044,HeadJournal!$A$1:$L$890,COLUMN(HeadJournal!H$1),0),0)</f>
        <v>0.76724020273626548</v>
      </c>
      <c r="P1044" s="30">
        <f>IFERROR(SUM(K1044:O1044)*VLOOKUP($A1044,HeadJournal!$A$1:$L$890,COLUMN(HeadJournal!H$1),0),0)</f>
        <v>773.34676082284307</v>
      </c>
      <c r="Q1044" s="29">
        <v>1900</v>
      </c>
      <c r="R1044" s="31">
        <v>45038</v>
      </c>
      <c r="S1044" s="31" t="s">
        <v>3121</v>
      </c>
      <c r="T1044" s="95" t="str">
        <f t="shared" si="85"/>
        <v>2023 04</v>
      </c>
      <c r="U1044" s="32">
        <f t="shared" si="82"/>
        <v>1126.653239177157</v>
      </c>
      <c r="V1044" s="22">
        <f t="shared" si="83"/>
        <v>1.4568538930432642</v>
      </c>
      <c r="X1044" s="33"/>
      <c r="Y1044" s="33"/>
    </row>
    <row r="1045" spans="1:25" x14ac:dyDescent="0.2">
      <c r="A1045" s="93" t="s">
        <v>459</v>
      </c>
      <c r="B1045" s="94" t="str">
        <f>IFERROR(VLOOKUP($A1045,HeadJournal!$A$1:$NTR$890,COLUMN(HeadJournal!B$1),0),"")</f>
        <v>710000606202</v>
      </c>
      <c r="C1045" s="94" t="str">
        <f>IFERROR(VLOOKUP($A1045,HeadJournal!$A$1:$NTR$890,COLUMN(HeadJournal!C$1),0),"")</f>
        <v>iHerb_OA CZN6870</v>
      </c>
      <c r="D1045" s="125" t="str">
        <f>IFERROR(VLOOKUP($A1045,HeadJournal!$A$1:$NTR$890,COLUMN(HeadJournal!D$1),0),"")</f>
        <v>Доставлен</v>
      </c>
      <c r="E1045" s="95">
        <f>IFERROR(VLOOKUP($A1045,HeadJournal!$A$1:$NTR$890,COLUMN(HeadJournal!G$1),0),"")</f>
        <v>44961</v>
      </c>
      <c r="F1045" s="95" t="str">
        <f t="shared" si="84"/>
        <v>2023 02</v>
      </c>
      <c r="G1045" s="96" t="s">
        <v>5</v>
      </c>
      <c r="H1045" s="160" t="str">
        <f>RIGHT(Journal!$J1045,9)</f>
        <v>NOW-03882</v>
      </c>
      <c r="I1045" s="96" t="str">
        <f t="shared" si="81"/>
        <v>NOW Foods</v>
      </c>
      <c r="J1045" s="97" t="s">
        <v>196</v>
      </c>
      <c r="K1045" s="29">
        <v>12.24</v>
      </c>
      <c r="L1045" s="29">
        <v>-1.22</v>
      </c>
      <c r="M1045" s="30">
        <f>IFERROR(VLOOKUP($A1045,HeadJournal!$A$1:$J$890,COLUMN(HeadJournal!I$1),0)*($K1045+$L1045)/(SUMIF($A:$A,$A1045,$K:$K)+SUMIF($A:$A,$A1045,$L:$L)),0)</f>
        <v>0.98064578855797757</v>
      </c>
      <c r="N1045" s="30">
        <f>IFERROR((VLOOKUP($A1045,HeadJournal!$A$1:$K$890,COLUMN(HeadJournal!K$1),0)-VLOOKUP($A1045,HeadJournal!$A$1:$K$890,COLUMN(HeadJournal!J$1),0))*($K1045+$L1045)/(SUMIF($A:$A,$A1045,$K:$K)+SUMIF($A:$A,$A1045,$L:$L)),0)</f>
        <v>0</v>
      </c>
      <c r="O1045" s="30">
        <f>IFERROR((VLOOKUP($A1045,HeadJournal!$A$1:$L$890,COLUMN(HeadJournal!L$1),0)*($K1045+$L1045)/(SUMIF($A:$A,$A1045,$K:$K)+SUMIF($A:$A,$A1045,$L:$L)))/VLOOKUP($A1045,HeadJournal!$A$1:$L$890,COLUMN(HeadJournal!H$1),0),0)</f>
        <v>1.0065460754944817</v>
      </c>
      <c r="P1045" s="30">
        <f>IFERROR(SUM(K1045:O1045)*VLOOKUP($A1045,HeadJournal!$A$1:$L$890,COLUMN(HeadJournal!H$1),0),0)</f>
        <v>1014.5572981271106</v>
      </c>
      <c r="Q1045" s="29">
        <v>1900</v>
      </c>
      <c r="R1045" s="31">
        <v>45002</v>
      </c>
      <c r="S1045" s="31" t="s">
        <v>3121</v>
      </c>
      <c r="T1045" s="95" t="str">
        <f t="shared" si="85"/>
        <v>2023 03</v>
      </c>
      <c r="U1045" s="32">
        <f t="shared" si="82"/>
        <v>885.44270187288942</v>
      </c>
      <c r="V1045" s="22">
        <f t="shared" si="83"/>
        <v>0.87273799469722524</v>
      </c>
      <c r="X1045" s="33"/>
      <c r="Y1045" s="33"/>
    </row>
    <row r="1046" spans="1:25" x14ac:dyDescent="0.2">
      <c r="A1046" s="93" t="s">
        <v>459</v>
      </c>
      <c r="B1046" s="94" t="str">
        <f>IFERROR(VLOOKUP($A1046,HeadJournal!$A$1:$NTR$890,COLUMN(HeadJournal!B$1),0),"")</f>
        <v>710000606202</v>
      </c>
      <c r="C1046" s="94" t="str">
        <f>IFERROR(VLOOKUP($A1046,HeadJournal!$A$1:$NTR$890,COLUMN(HeadJournal!C$1),0),"")</f>
        <v>iHerb_OA CZN6870</v>
      </c>
      <c r="D1046" s="125" t="str">
        <f>IFERROR(VLOOKUP($A1046,HeadJournal!$A$1:$NTR$890,COLUMN(HeadJournal!D$1),0),"")</f>
        <v>Доставлен</v>
      </c>
      <c r="E1046" s="95">
        <f>IFERROR(VLOOKUP($A1046,HeadJournal!$A$1:$NTR$890,COLUMN(HeadJournal!G$1),0),"")</f>
        <v>44961</v>
      </c>
      <c r="F1046" s="95" t="str">
        <f t="shared" si="84"/>
        <v>2023 02</v>
      </c>
      <c r="G1046" s="96" t="s">
        <v>5</v>
      </c>
      <c r="H1046" s="160" t="str">
        <f>RIGHT(Journal!$J1046,9)</f>
        <v>CEN-27685</v>
      </c>
      <c r="I1046" s="96" t="str">
        <f t="shared" si="81"/>
        <v>21st Century</v>
      </c>
      <c r="J1046" s="97" t="s">
        <v>154</v>
      </c>
      <c r="K1046" s="29">
        <v>5.26</v>
      </c>
      <c r="L1046" s="29">
        <v>-0.53</v>
      </c>
      <c r="M1046" s="30">
        <f>IFERROR(VLOOKUP($A1046,HeadJournal!$A$1:$J$890,COLUMN(HeadJournal!I$1),0)*($K1046+$L1046)/(SUMIF($A:$A,$A1046,$K:$K)+SUMIF($A:$A,$A1046,$L:$L)),0)</f>
        <v>0.42091239381844231</v>
      </c>
      <c r="N1046" s="30">
        <f>IFERROR((VLOOKUP($A1046,HeadJournal!$A$1:$K$890,COLUMN(HeadJournal!K$1),0)-VLOOKUP($A1046,HeadJournal!$A$1:$K$890,COLUMN(HeadJournal!J$1),0))*($K1046+$L1046)/(SUMIF($A:$A,$A1046,$K:$K)+SUMIF($A:$A,$A1046,$L:$L)),0)</f>
        <v>0</v>
      </c>
      <c r="O1046" s="30">
        <f>IFERROR((VLOOKUP($A1046,HeadJournal!$A$1:$L$890,COLUMN(HeadJournal!L$1),0)*($K1046+$L1046)/(SUMIF($A:$A,$A1046,$K:$K)+SUMIF($A:$A,$A1046,$L:$L)))/VLOOKUP($A1046,HeadJournal!$A$1:$L$890,COLUMN(HeadJournal!H$1),0),0)</f>
        <v>0.43202930463601613</v>
      </c>
      <c r="P1046" s="30">
        <f>IFERROR(SUM(K1046:O1046)*VLOOKUP($A1046,HeadJournal!$A$1:$L$890,COLUMN(HeadJournal!H$1),0),0)</f>
        <v>435.46787841571984</v>
      </c>
      <c r="Q1046" s="29">
        <v>700</v>
      </c>
      <c r="R1046" s="31">
        <v>45930</v>
      </c>
      <c r="S1046" s="31"/>
      <c r="T1046" s="95" t="str">
        <f t="shared" si="85"/>
        <v>2025 09</v>
      </c>
      <c r="U1046" s="32">
        <f t="shared" si="82"/>
        <v>264.53212158428016</v>
      </c>
      <c r="V1046" s="22">
        <f t="shared" si="83"/>
        <v>0.60746643942298839</v>
      </c>
      <c r="X1046" s="33"/>
      <c r="Y1046" s="33"/>
    </row>
    <row r="1047" spans="1:25" x14ac:dyDescent="0.2">
      <c r="A1047" s="93" t="s">
        <v>459</v>
      </c>
      <c r="B1047" s="94" t="str">
        <f>IFERROR(VLOOKUP($A1047,HeadJournal!$A$1:$NTR$890,COLUMN(HeadJournal!B$1),0),"")</f>
        <v>710000606202</v>
      </c>
      <c r="C1047" s="94" t="str">
        <f>IFERROR(VLOOKUP($A1047,HeadJournal!$A$1:$NTR$890,COLUMN(HeadJournal!C$1),0),"")</f>
        <v>iHerb_OA CZN6870</v>
      </c>
      <c r="D1047" s="125" t="str">
        <f>IFERROR(VLOOKUP($A1047,HeadJournal!$A$1:$NTR$890,COLUMN(HeadJournal!D$1),0),"")</f>
        <v>Доставлен</v>
      </c>
      <c r="E1047" s="95">
        <f>IFERROR(VLOOKUP($A1047,HeadJournal!$A$1:$NTR$890,COLUMN(HeadJournal!G$1),0),"")</f>
        <v>44961</v>
      </c>
      <c r="F1047" s="95" t="str">
        <f t="shared" si="84"/>
        <v>2023 02</v>
      </c>
      <c r="G1047" s="96" t="s">
        <v>7</v>
      </c>
      <c r="H1047" s="161" t="s">
        <v>2228</v>
      </c>
      <c r="I1047" s="97" t="s">
        <v>2229</v>
      </c>
      <c r="J1047" s="97" t="s">
        <v>2230</v>
      </c>
      <c r="K1047" s="29">
        <v>6.23</v>
      </c>
      <c r="L1047" s="29">
        <v>-1.2450000000000001</v>
      </c>
      <c r="M1047" s="30">
        <f>IFERROR(VLOOKUP($A1047,HeadJournal!$A$1:$J$890,COLUMN(HeadJournal!I$1),0)*($K1047+$L1047)/(SUMIF($A:$A,$A1047,$K:$K)+SUMIF($A:$A,$A1047,$L:$L)),0)</f>
        <v>0.44360428819977488</v>
      </c>
      <c r="N1047" s="30">
        <f>IFERROR((VLOOKUP($A1047,HeadJournal!$A$1:$K$890,COLUMN(HeadJournal!K$1),0)-VLOOKUP($A1047,HeadJournal!$A$1:$K$890,COLUMN(HeadJournal!J$1),0))*($K1047+$L1047)/(SUMIF($A:$A,$A1047,$K:$K)+SUMIF($A:$A,$A1047,$L:$L)),0)</f>
        <v>0</v>
      </c>
      <c r="O1047" s="30">
        <f>IFERROR((VLOOKUP($A1047,HeadJournal!$A$1:$L$890,COLUMN(HeadJournal!L$1),0)*($K1047+$L1047)/(SUMIF($A:$A,$A1047,$K:$K)+SUMIF($A:$A,$A1047,$L:$L)))/VLOOKUP($A1047,HeadJournal!$A$1:$L$890,COLUMN(HeadJournal!H$1),0),0)</f>
        <v>0.45532052507622423</v>
      </c>
      <c r="P1047" s="30">
        <f>IFERROR(SUM(K1047:O1047)*VLOOKUP($A1047,HeadJournal!$A$1:$L$890,COLUMN(HeadJournal!H$1),0),0)</f>
        <v>458.94447651212772</v>
      </c>
      <c r="Q1047" s="29">
        <v>900</v>
      </c>
      <c r="R1047" s="31">
        <v>45023</v>
      </c>
      <c r="S1047" s="31" t="s">
        <v>3121</v>
      </c>
      <c r="T1047" s="95" t="str">
        <f t="shared" si="85"/>
        <v>2023 04</v>
      </c>
      <c r="U1047" s="32">
        <f t="shared" si="82"/>
        <v>441.05552348787228</v>
      </c>
      <c r="V1047" s="22">
        <f t="shared" si="83"/>
        <v>0.96102153105707389</v>
      </c>
      <c r="X1047" s="33"/>
      <c r="Y1047" s="33"/>
    </row>
    <row r="1048" spans="1:25" x14ac:dyDescent="0.2">
      <c r="A1048" s="93" t="s">
        <v>459</v>
      </c>
      <c r="B1048" s="94" t="str">
        <f>IFERROR(VLOOKUP($A1048,HeadJournal!$A$1:$NTR$890,COLUMN(HeadJournal!B$1),0),"")</f>
        <v>710000606202</v>
      </c>
      <c r="C1048" s="94" t="str">
        <f>IFERROR(VLOOKUP($A1048,HeadJournal!$A$1:$NTR$890,COLUMN(HeadJournal!C$1),0),"")</f>
        <v>iHerb_OA CZN6870</v>
      </c>
      <c r="D1048" s="125" t="str">
        <f>IFERROR(VLOOKUP($A1048,HeadJournal!$A$1:$NTR$890,COLUMN(HeadJournal!D$1),0),"")</f>
        <v>Доставлен</v>
      </c>
      <c r="E1048" s="95">
        <f>IFERROR(VLOOKUP($A1048,HeadJournal!$A$1:$NTR$890,COLUMN(HeadJournal!G$1),0),"")</f>
        <v>44961</v>
      </c>
      <c r="F1048" s="95" t="str">
        <f t="shared" si="84"/>
        <v>2023 02</v>
      </c>
      <c r="G1048" s="96" t="s">
        <v>7</v>
      </c>
      <c r="H1048" s="161" t="s">
        <v>2228</v>
      </c>
      <c r="I1048" s="97" t="s">
        <v>2229</v>
      </c>
      <c r="J1048" s="97" t="s">
        <v>2230</v>
      </c>
      <c r="K1048" s="29">
        <v>6.23</v>
      </c>
      <c r="L1048" s="29">
        <v>-1.2450000000000001</v>
      </c>
      <c r="M1048" s="30">
        <f>IFERROR(VLOOKUP($A1048,HeadJournal!$A$1:$J$890,COLUMN(HeadJournal!I$1),0)*($K1048+$L1048)/(SUMIF($A:$A,$A1048,$K:$K)+SUMIF($A:$A,$A1048,$L:$L)),0)</f>
        <v>0.44360428819977488</v>
      </c>
      <c r="N1048" s="30">
        <f>IFERROR((VLOOKUP($A1048,HeadJournal!$A$1:$K$890,COLUMN(HeadJournal!K$1),0)-VLOOKUP($A1048,HeadJournal!$A$1:$K$890,COLUMN(HeadJournal!J$1),0))*($K1048+$L1048)/(SUMIF($A:$A,$A1048,$K:$K)+SUMIF($A:$A,$A1048,$L:$L)),0)</f>
        <v>0</v>
      </c>
      <c r="O1048" s="30">
        <f>IFERROR((VLOOKUP($A1048,HeadJournal!$A$1:$L$890,COLUMN(HeadJournal!L$1),0)*($K1048+$L1048)/(SUMIF($A:$A,$A1048,$K:$K)+SUMIF($A:$A,$A1048,$L:$L)))/VLOOKUP($A1048,HeadJournal!$A$1:$L$890,COLUMN(HeadJournal!H$1),0),0)</f>
        <v>0.45532052507622423</v>
      </c>
      <c r="P1048" s="30">
        <f>IFERROR(SUM(K1048:O1048)*VLOOKUP($A1048,HeadJournal!$A$1:$L$890,COLUMN(HeadJournal!H$1),0),0)</f>
        <v>458.94447651212772</v>
      </c>
      <c r="Q1048" s="29">
        <v>1000</v>
      </c>
      <c r="R1048" s="31">
        <v>45234</v>
      </c>
      <c r="S1048" s="31" t="s">
        <v>3121</v>
      </c>
      <c r="T1048" s="95" t="str">
        <f t="shared" si="85"/>
        <v>2023 11</v>
      </c>
      <c r="U1048" s="32">
        <f t="shared" si="82"/>
        <v>541.05552348787228</v>
      </c>
      <c r="V1048" s="22">
        <f t="shared" si="83"/>
        <v>1.1789128122856376</v>
      </c>
      <c r="X1048" s="33"/>
      <c r="Y1048" s="33"/>
    </row>
    <row r="1049" spans="1:25" x14ac:dyDescent="0.2">
      <c r="A1049" s="93" t="s">
        <v>459</v>
      </c>
      <c r="B1049" s="94" t="str">
        <f>IFERROR(VLOOKUP($A1049,HeadJournal!$A$1:$NTR$890,COLUMN(HeadJournal!B$1),0),"")</f>
        <v>710000606202</v>
      </c>
      <c r="C1049" s="94" t="str">
        <f>IFERROR(VLOOKUP($A1049,HeadJournal!$A$1:$NTR$890,COLUMN(HeadJournal!C$1),0),"")</f>
        <v>iHerb_OA CZN6870</v>
      </c>
      <c r="D1049" s="125" t="str">
        <f>IFERROR(VLOOKUP($A1049,HeadJournal!$A$1:$NTR$890,COLUMN(HeadJournal!D$1),0),"")</f>
        <v>Доставлен</v>
      </c>
      <c r="E1049" s="95">
        <f>IFERROR(VLOOKUP($A1049,HeadJournal!$A$1:$NTR$890,COLUMN(HeadJournal!G$1),0),"")</f>
        <v>44961</v>
      </c>
      <c r="F1049" s="95" t="str">
        <f t="shared" si="84"/>
        <v>2023 02</v>
      </c>
      <c r="G1049" s="96" t="s">
        <v>5</v>
      </c>
      <c r="H1049" s="160" t="str">
        <f>RIGHT(Journal!$J1049,9)</f>
        <v>OAD-58700</v>
      </c>
      <c r="I1049" s="96" t="str">
        <f t="shared" si="81"/>
        <v>One-A-Day</v>
      </c>
      <c r="J1049" s="97" t="s">
        <v>101</v>
      </c>
      <c r="K1049" s="29">
        <v>14.35</v>
      </c>
      <c r="L1049" s="29">
        <v>-2.87</v>
      </c>
      <c r="M1049" s="30">
        <f>IFERROR(VLOOKUP($A1049,HeadJournal!$A$1:$J$890,COLUMN(HeadJournal!I$1),0)*($K1049+$L1049)/(SUMIF($A:$A,$A1049,$K:$K)+SUMIF($A:$A,$A1049,$L:$L)),0)</f>
        <v>1.0215801862654794</v>
      </c>
      <c r="N1049" s="30">
        <f>IFERROR((VLOOKUP($A1049,HeadJournal!$A$1:$K$890,COLUMN(HeadJournal!K$1),0)-VLOOKUP($A1049,HeadJournal!$A$1:$K$890,COLUMN(HeadJournal!J$1),0))*($K1049+$L1049)/(SUMIF($A:$A,$A1049,$K:$K)+SUMIF($A:$A,$A1049,$L:$L)),0)</f>
        <v>0</v>
      </c>
      <c r="O1049" s="30">
        <f>IFERROR((VLOOKUP($A1049,HeadJournal!$A$1:$L$890,COLUMN(HeadJournal!L$1),0)*($K1049+$L1049)/(SUMIF($A:$A,$A1049,$K:$K)+SUMIF($A:$A,$A1049,$L:$L)))/VLOOKUP($A1049,HeadJournal!$A$1:$L$890,COLUMN(HeadJournal!H$1),0),0)</f>
        <v>1.0485616104062296</v>
      </c>
      <c r="P1049" s="30">
        <f>IFERROR(SUM(K1049:O1049)*VLOOKUP($A1049,HeadJournal!$A$1:$L$890,COLUMN(HeadJournal!H$1),0),0)</f>
        <v>1056.9072397912189</v>
      </c>
      <c r="Q1049" s="29">
        <v>2300</v>
      </c>
      <c r="R1049" s="31">
        <v>45052</v>
      </c>
      <c r="S1049" s="31" t="s">
        <v>3121</v>
      </c>
      <c r="T1049" s="95" t="str">
        <f t="shared" si="85"/>
        <v>2023 05</v>
      </c>
      <c r="U1049" s="32">
        <f t="shared" si="82"/>
        <v>1243.0927602087811</v>
      </c>
      <c r="V1049" s="22">
        <f t="shared" si="83"/>
        <v>1.1761607011551376</v>
      </c>
      <c r="X1049" s="33"/>
      <c r="Y1049" s="33"/>
    </row>
    <row r="1050" spans="1:25" x14ac:dyDescent="0.2">
      <c r="A1050" s="93" t="s">
        <v>459</v>
      </c>
      <c r="B1050" s="94" t="str">
        <f>IFERROR(VLOOKUP($A1050,HeadJournal!$A$1:$NTR$890,COLUMN(HeadJournal!B$1),0),"")</f>
        <v>710000606202</v>
      </c>
      <c r="C1050" s="94" t="str">
        <f>IFERROR(VLOOKUP($A1050,HeadJournal!$A$1:$NTR$890,COLUMN(HeadJournal!C$1),0),"")</f>
        <v>iHerb_OA CZN6870</v>
      </c>
      <c r="D1050" s="125" t="str">
        <f>IFERROR(VLOOKUP($A1050,HeadJournal!$A$1:$NTR$890,COLUMN(HeadJournal!D$1),0),"")</f>
        <v>Доставлен</v>
      </c>
      <c r="E1050" s="95">
        <f>IFERROR(VLOOKUP($A1050,HeadJournal!$A$1:$NTR$890,COLUMN(HeadJournal!G$1),0),"")</f>
        <v>44961</v>
      </c>
      <c r="F1050" s="95" t="str">
        <f t="shared" si="84"/>
        <v>2023 02</v>
      </c>
      <c r="G1050" s="96" t="s">
        <v>5</v>
      </c>
      <c r="H1050" s="160" t="str">
        <f>RIGHT(Journal!$J1050,9)</f>
        <v>OAD-58701</v>
      </c>
      <c r="I1050" s="96" t="str">
        <f t="shared" si="81"/>
        <v>One-A-Day</v>
      </c>
      <c r="J1050" s="97" t="s">
        <v>56</v>
      </c>
      <c r="K1050" s="29">
        <v>14.39</v>
      </c>
      <c r="L1050" s="29">
        <v>-2.88</v>
      </c>
      <c r="M1050" s="30">
        <f>IFERROR(VLOOKUP($A1050,HeadJournal!$A$1:$J$890,COLUMN(HeadJournal!I$1),0)*($K1050+$L1050)/(SUMIF($A:$A,$A1050,$K:$K)+SUMIF($A:$A,$A1050,$L:$L)),0)</f>
        <v>1.0242498208985775</v>
      </c>
      <c r="N1050" s="30">
        <f>IFERROR((VLOOKUP($A1050,HeadJournal!$A$1:$K$890,COLUMN(HeadJournal!K$1),0)-VLOOKUP($A1050,HeadJournal!$A$1:$K$890,COLUMN(HeadJournal!J$1),0))*($K1050+$L1050)/(SUMIF($A:$A,$A1050,$K:$K)+SUMIF($A:$A,$A1050,$L:$L)),0)</f>
        <v>0</v>
      </c>
      <c r="O1050" s="30">
        <f>IFERROR((VLOOKUP($A1050,HeadJournal!$A$1:$L$890,COLUMN(HeadJournal!L$1),0)*($K1050+$L1050)/(SUMIF($A:$A,$A1050,$K:$K)+SUMIF($A:$A,$A1050,$L:$L)))/VLOOKUP($A1050,HeadJournal!$A$1:$L$890,COLUMN(HeadJournal!H$1),0),0)</f>
        <v>1.0513017539874305</v>
      </c>
      <c r="P1050" s="30">
        <f>IFERROR(SUM(K1050:O1050)*VLOOKUP($A1050,HeadJournal!$A$1:$L$890,COLUMN(HeadJournal!H$1),0),0)</f>
        <v>1059.6691925084433</v>
      </c>
      <c r="Q1050" s="29"/>
      <c r="R1050" s="31"/>
      <c r="S1050" s="31"/>
      <c r="T1050" s="95" t="str">
        <f t="shared" si="85"/>
        <v/>
      </c>
      <c r="U1050" s="32">
        <f t="shared" si="82"/>
        <v>-1059.6691925084433</v>
      </c>
      <c r="V1050" s="22" t="str">
        <f t="shared" si="83"/>
        <v/>
      </c>
      <c r="X1050" s="33"/>
      <c r="Y1050" s="33"/>
    </row>
    <row r="1051" spans="1:25" x14ac:dyDescent="0.2">
      <c r="A1051" s="93" t="s">
        <v>459</v>
      </c>
      <c r="B1051" s="94" t="str">
        <f>IFERROR(VLOOKUP($A1051,HeadJournal!$A$1:$NTR$890,COLUMN(HeadJournal!B$1),0),"")</f>
        <v>710000606202</v>
      </c>
      <c r="C1051" s="94" t="str">
        <f>IFERROR(VLOOKUP($A1051,HeadJournal!$A$1:$NTR$890,COLUMN(HeadJournal!C$1),0),"")</f>
        <v>iHerb_OA CZN6870</v>
      </c>
      <c r="D1051" s="125" t="str">
        <f>IFERROR(VLOOKUP($A1051,HeadJournal!$A$1:$NTR$890,COLUMN(HeadJournal!D$1),0),"")</f>
        <v>Доставлен</v>
      </c>
      <c r="E1051" s="95">
        <f>IFERROR(VLOOKUP($A1051,HeadJournal!$A$1:$NTR$890,COLUMN(HeadJournal!G$1),0),"")</f>
        <v>44961</v>
      </c>
      <c r="F1051" s="95" t="str">
        <f t="shared" si="84"/>
        <v>2023 02</v>
      </c>
      <c r="G1051" s="96" t="s">
        <v>5</v>
      </c>
      <c r="H1051" s="161" t="s">
        <v>2771</v>
      </c>
      <c r="I1051" s="97" t="s">
        <v>2052</v>
      </c>
      <c r="J1051" s="97" t="s">
        <v>3858</v>
      </c>
      <c r="K1051" s="29">
        <v>7</v>
      </c>
      <c r="L1051" s="29">
        <v>-3.5</v>
      </c>
      <c r="M1051" s="30">
        <f>IFERROR(VLOOKUP($A1051,HeadJournal!$A$1:$J$890,COLUMN(HeadJournal!I$1),0)*($K1051+$L1051)/(SUMIF($A:$A,$A1051,$K:$K)+SUMIF($A:$A,$A1051,$L:$L)),0)</f>
        <v>0.31145737386142663</v>
      </c>
      <c r="N1051" s="30">
        <f>IFERROR((VLOOKUP($A1051,HeadJournal!$A$1:$K$890,COLUMN(HeadJournal!K$1),0)-VLOOKUP($A1051,HeadJournal!$A$1:$K$890,COLUMN(HeadJournal!J$1),0))*($K1051+$L1051)/(SUMIF($A:$A,$A1051,$K:$K)+SUMIF($A:$A,$A1051,$L:$L)),0)</f>
        <v>0</v>
      </c>
      <c r="O1051" s="30">
        <f>IFERROR((VLOOKUP($A1051,HeadJournal!$A$1:$L$890,COLUMN(HeadJournal!L$1),0)*($K1051+$L1051)/(SUMIF($A:$A,$A1051,$K:$K)+SUMIF($A:$A,$A1051,$L:$L)))/VLOOKUP($A1051,HeadJournal!$A$1:$L$890,COLUMN(HeadJournal!H$1),0),0)</f>
        <v>0.31968341780677734</v>
      </c>
      <c r="P1051" s="30">
        <f>IFERROR(SUM(K1051:O1051)*VLOOKUP($A1051,HeadJournal!$A$1:$L$890,COLUMN(HeadJournal!H$1),0),0)</f>
        <v>322.22781700951793</v>
      </c>
      <c r="Q1051" s="29">
        <v>1000</v>
      </c>
      <c r="R1051" s="31">
        <v>45054</v>
      </c>
      <c r="S1051" s="31" t="s">
        <v>3121</v>
      </c>
      <c r="T1051" s="95" t="str">
        <f t="shared" si="85"/>
        <v>2023 05</v>
      </c>
      <c r="U1051" s="32">
        <f t="shared" si="82"/>
        <v>677.77218299048207</v>
      </c>
      <c r="V1051" s="22">
        <f t="shared" si="83"/>
        <v>2.1033943912125443</v>
      </c>
      <c r="X1051" s="33"/>
      <c r="Y1051" s="33"/>
    </row>
    <row r="1052" spans="1:25" x14ac:dyDescent="0.2">
      <c r="A1052" s="93" t="s">
        <v>459</v>
      </c>
      <c r="B1052" s="94" t="str">
        <f>IFERROR(VLOOKUP($A1052,HeadJournal!$A$1:$NTR$890,COLUMN(HeadJournal!B$1),0),"")</f>
        <v>710000606202</v>
      </c>
      <c r="C1052" s="94" t="str">
        <f>IFERROR(VLOOKUP($A1052,HeadJournal!$A$1:$NTR$890,COLUMN(HeadJournal!C$1),0),"")</f>
        <v>iHerb_OA CZN6870</v>
      </c>
      <c r="D1052" s="125" t="str">
        <f>IFERROR(VLOOKUP($A1052,HeadJournal!$A$1:$NTR$890,COLUMN(HeadJournal!D$1),0),"")</f>
        <v>Доставлен</v>
      </c>
      <c r="E1052" s="95">
        <f>IFERROR(VLOOKUP($A1052,HeadJournal!$A$1:$NTR$890,COLUMN(HeadJournal!G$1),0),"")</f>
        <v>44961</v>
      </c>
      <c r="F1052" s="95" t="str">
        <f t="shared" si="84"/>
        <v>2023 02</v>
      </c>
      <c r="G1052" s="96" t="s">
        <v>5</v>
      </c>
      <c r="H1052" s="161" t="s">
        <v>2771</v>
      </c>
      <c r="I1052" s="97" t="s">
        <v>2052</v>
      </c>
      <c r="J1052" s="97" t="s">
        <v>3858</v>
      </c>
      <c r="K1052" s="29">
        <v>7</v>
      </c>
      <c r="L1052" s="29">
        <v>-3.5</v>
      </c>
      <c r="M1052" s="30">
        <f>IFERROR(VLOOKUP($A1052,HeadJournal!$A$1:$J$890,COLUMN(HeadJournal!I$1),0)*($K1052+$L1052)/(SUMIF($A:$A,$A1052,$K:$K)+SUMIF($A:$A,$A1052,$L:$L)),0)</f>
        <v>0.31145737386142663</v>
      </c>
      <c r="N1052" s="30">
        <f>IFERROR((VLOOKUP($A1052,HeadJournal!$A$1:$K$890,COLUMN(HeadJournal!K$1),0)-VLOOKUP($A1052,HeadJournal!$A$1:$K$890,COLUMN(HeadJournal!J$1),0))*($K1052+$L1052)/(SUMIF($A:$A,$A1052,$K:$K)+SUMIF($A:$A,$A1052,$L:$L)),0)</f>
        <v>0</v>
      </c>
      <c r="O1052" s="30">
        <f>IFERROR((VLOOKUP($A1052,HeadJournal!$A$1:$L$890,COLUMN(HeadJournal!L$1),0)*($K1052+$L1052)/(SUMIF($A:$A,$A1052,$K:$K)+SUMIF($A:$A,$A1052,$L:$L)))/VLOOKUP($A1052,HeadJournal!$A$1:$L$890,COLUMN(HeadJournal!H$1),0),0)</f>
        <v>0.31968341780677734</v>
      </c>
      <c r="P1052" s="30">
        <f>IFERROR(SUM(K1052:O1052)*VLOOKUP($A1052,HeadJournal!$A$1:$L$890,COLUMN(HeadJournal!H$1),0),0)</f>
        <v>322.22781700951793</v>
      </c>
      <c r="Q1052" s="29">
        <v>1000</v>
      </c>
      <c r="R1052" s="31">
        <v>45054</v>
      </c>
      <c r="S1052" s="31" t="s">
        <v>3121</v>
      </c>
      <c r="T1052" s="95" t="str">
        <f t="shared" si="85"/>
        <v>2023 05</v>
      </c>
      <c r="U1052" s="32">
        <f t="shared" si="82"/>
        <v>677.77218299048207</v>
      </c>
      <c r="V1052" s="22">
        <f t="shared" si="83"/>
        <v>2.1033943912125443</v>
      </c>
      <c r="X1052" s="33"/>
      <c r="Y1052" s="33"/>
    </row>
    <row r="1053" spans="1:25" x14ac:dyDescent="0.2">
      <c r="A1053" s="93" t="s">
        <v>459</v>
      </c>
      <c r="B1053" s="94" t="str">
        <f>IFERROR(VLOOKUP($A1053,HeadJournal!$A$1:$NTR$890,COLUMN(HeadJournal!B$1),0),"")</f>
        <v>710000606202</v>
      </c>
      <c r="C1053" s="94" t="str">
        <f>IFERROR(VLOOKUP($A1053,HeadJournal!$A$1:$NTR$890,COLUMN(HeadJournal!C$1),0),"")</f>
        <v>iHerb_OA CZN6870</v>
      </c>
      <c r="D1053" s="125" t="str">
        <f>IFERROR(VLOOKUP($A1053,HeadJournal!$A$1:$NTR$890,COLUMN(HeadJournal!D$1),0),"")</f>
        <v>Доставлен</v>
      </c>
      <c r="E1053" s="95">
        <f>IFERROR(VLOOKUP($A1053,HeadJournal!$A$1:$NTR$890,COLUMN(HeadJournal!G$1),0),"")</f>
        <v>44961</v>
      </c>
      <c r="F1053" s="95" t="str">
        <f t="shared" si="84"/>
        <v>2023 02</v>
      </c>
      <c r="G1053" s="96" t="s">
        <v>5</v>
      </c>
      <c r="H1053" s="160" t="str">
        <f>RIGHT(Journal!$J1053,9)</f>
        <v>NOB-27413</v>
      </c>
      <c r="I1053" s="96" t="str">
        <f t="shared" si="81"/>
        <v>Nobi Nutrition</v>
      </c>
      <c r="J1053" s="97" t="s">
        <v>335</v>
      </c>
      <c r="K1053" s="29">
        <v>17.440000000000001</v>
      </c>
      <c r="L1053" s="29">
        <v>-7.26</v>
      </c>
      <c r="M1053" s="30">
        <f>IFERROR(VLOOKUP($A1053,HeadJournal!$A$1:$J$890,COLUMN(HeadJournal!I$1),0)*($K1053+$L1053)/(SUMIF($A:$A,$A1053,$K:$K)+SUMIF($A:$A,$A1053,$L:$L)),0)</f>
        <v>0.90589601883123538</v>
      </c>
      <c r="N1053" s="30">
        <f>IFERROR((VLOOKUP($A1053,HeadJournal!$A$1:$K$890,COLUMN(HeadJournal!K$1),0)-VLOOKUP($A1053,HeadJournal!$A$1:$K$890,COLUMN(HeadJournal!J$1),0))*($K1053+$L1053)/(SUMIF($A:$A,$A1053,$K:$K)+SUMIF($A:$A,$A1053,$L:$L)),0)</f>
        <v>0</v>
      </c>
      <c r="O1053" s="30">
        <f>IFERROR((VLOOKUP($A1053,HeadJournal!$A$1:$L$890,COLUMN(HeadJournal!L$1),0)*($K1053+$L1053)/(SUMIF($A:$A,$A1053,$K:$K)+SUMIF($A:$A,$A1053,$L:$L)))/VLOOKUP($A1053,HeadJournal!$A$1:$L$890,COLUMN(HeadJournal!H$1),0),0)</f>
        <v>0.92982205522085537</v>
      </c>
      <c r="P1053" s="30">
        <f>IFERROR(SUM(K1053:O1053)*VLOOKUP($A1053,HeadJournal!$A$1:$L$890,COLUMN(HeadJournal!H$1),0),0)</f>
        <v>937.22262204482649</v>
      </c>
      <c r="Q1053" s="29">
        <v>2500</v>
      </c>
      <c r="R1053" s="31">
        <v>45059</v>
      </c>
      <c r="S1053" s="31" t="s">
        <v>3121</v>
      </c>
      <c r="T1053" s="95" t="str">
        <f t="shared" si="85"/>
        <v>2023 05</v>
      </c>
      <c r="U1053" s="32">
        <f t="shared" si="82"/>
        <v>1562.7773779551735</v>
      </c>
      <c r="V1053" s="22">
        <f t="shared" si="83"/>
        <v>1.6674558863565581</v>
      </c>
      <c r="X1053" s="33"/>
      <c r="Y1053" s="33"/>
    </row>
    <row r="1054" spans="1:25" x14ac:dyDescent="0.2">
      <c r="A1054" s="93" t="s">
        <v>459</v>
      </c>
      <c r="B1054" s="94" t="str">
        <f>IFERROR(VLOOKUP($A1054,HeadJournal!$A$1:$NTR$890,COLUMN(HeadJournal!B$1),0),"")</f>
        <v>710000606202</v>
      </c>
      <c r="C1054" s="94" t="str">
        <f>IFERROR(VLOOKUP($A1054,HeadJournal!$A$1:$NTR$890,COLUMN(HeadJournal!C$1),0),"")</f>
        <v>iHerb_OA CZN6870</v>
      </c>
      <c r="D1054" s="125" t="str">
        <f>IFERROR(VLOOKUP($A1054,HeadJournal!$A$1:$NTR$890,COLUMN(HeadJournal!D$1),0),"")</f>
        <v>Доставлен</v>
      </c>
      <c r="E1054" s="95">
        <f>IFERROR(VLOOKUP($A1054,HeadJournal!$A$1:$NTR$890,COLUMN(HeadJournal!G$1),0),"")</f>
        <v>44961</v>
      </c>
      <c r="F1054" s="95" t="str">
        <f t="shared" si="84"/>
        <v>2023 02</v>
      </c>
      <c r="G1054" s="96" t="s">
        <v>6</v>
      </c>
      <c r="H1054" s="160" t="str">
        <f>RIGHT(Journal!$J1054,9)</f>
        <v>NOB-27406</v>
      </c>
      <c r="I1054" s="96" t="str">
        <f t="shared" si="81"/>
        <v>Nobi Nutrition</v>
      </c>
      <c r="J1054" s="97" t="s">
        <v>187</v>
      </c>
      <c r="K1054" s="29">
        <v>16.71</v>
      </c>
      <c r="L1054" s="29">
        <v>-3.34</v>
      </c>
      <c r="M1054" s="30">
        <f>IFERROR(VLOOKUP($A1054,HeadJournal!$A$1:$J$890,COLUMN(HeadJournal!I$1),0)*($K1054+$L1054)/(SUMIF($A:$A,$A1054,$K:$K)+SUMIF($A:$A,$A1054,$L:$L)),0)</f>
        <v>1.1897671681506499</v>
      </c>
      <c r="N1054" s="30">
        <f>IFERROR((VLOOKUP($A1054,HeadJournal!$A$1:$K$890,COLUMN(HeadJournal!K$1),0)-VLOOKUP($A1054,HeadJournal!$A$1:$K$890,COLUMN(HeadJournal!J$1),0))*($K1054+$L1054)/(SUMIF($A:$A,$A1054,$K:$K)+SUMIF($A:$A,$A1054,$L:$L)),0)</f>
        <v>0</v>
      </c>
      <c r="O1054" s="30">
        <f>IFERROR((VLOOKUP($A1054,HeadJournal!$A$1:$L$890,COLUMN(HeadJournal!L$1),0)*($K1054+$L1054)/(SUMIF($A:$A,$A1054,$K:$K)+SUMIF($A:$A,$A1054,$L:$L)))/VLOOKUP($A1054,HeadJournal!$A$1:$L$890,COLUMN(HeadJournal!H$1),0),0)</f>
        <v>1.2211906560218893</v>
      </c>
      <c r="P1054" s="30">
        <f>IFERROR(SUM(K1054:O1054)*VLOOKUP($A1054,HeadJournal!$A$1:$L$890,COLUMN(HeadJournal!H$1),0),0)</f>
        <v>1230.9102609763586</v>
      </c>
      <c r="Q1054" s="29">
        <v>2500</v>
      </c>
      <c r="R1054" s="31">
        <v>45059</v>
      </c>
      <c r="S1054" s="31" t="s">
        <v>3121</v>
      </c>
      <c r="T1054" s="95" t="str">
        <f t="shared" si="85"/>
        <v>2023 05</v>
      </c>
      <c r="U1054" s="32">
        <f t="shared" si="82"/>
        <v>1269.0897390236414</v>
      </c>
      <c r="V1054" s="22">
        <f t="shared" si="83"/>
        <v>1.031017271735958</v>
      </c>
      <c r="X1054" s="33"/>
      <c r="Y1054" s="33"/>
    </row>
    <row r="1055" spans="1:25" x14ac:dyDescent="0.2">
      <c r="A1055" s="93" t="s">
        <v>459</v>
      </c>
      <c r="B1055" s="94" t="str">
        <f>IFERROR(VLOOKUP($A1055,HeadJournal!$A$1:$NTR$890,COLUMN(HeadJournal!B$1),0),"")</f>
        <v>710000606202</v>
      </c>
      <c r="C1055" s="94" t="str">
        <f>IFERROR(VLOOKUP($A1055,HeadJournal!$A$1:$NTR$890,COLUMN(HeadJournal!C$1),0),"")</f>
        <v>iHerb_OA CZN6870</v>
      </c>
      <c r="D1055" s="125" t="str">
        <f>IFERROR(VLOOKUP($A1055,HeadJournal!$A$1:$NTR$890,COLUMN(HeadJournal!D$1),0),"")</f>
        <v>Доставлен</v>
      </c>
      <c r="E1055" s="95">
        <f>IFERROR(VLOOKUP($A1055,HeadJournal!$A$1:$NTR$890,COLUMN(HeadJournal!G$1),0),"")</f>
        <v>44961</v>
      </c>
      <c r="F1055" s="95" t="str">
        <f t="shared" si="84"/>
        <v>2023 02</v>
      </c>
      <c r="G1055" s="96" t="s">
        <v>5</v>
      </c>
      <c r="H1055" s="160" t="str">
        <f>RIGHT(Journal!$J1055,9)</f>
        <v>OAD-08014</v>
      </c>
      <c r="I1055" s="96" t="str">
        <f t="shared" si="81"/>
        <v>One-A-Day</v>
      </c>
      <c r="J1055" s="97" t="s">
        <v>461</v>
      </c>
      <c r="K1055" s="29">
        <v>25.78</v>
      </c>
      <c r="L1055" s="29">
        <v>-5.16</v>
      </c>
      <c r="M1055" s="30">
        <f>IFERROR(VLOOKUP($A1055,HeadJournal!$A$1:$J$890,COLUMN(HeadJournal!I$1),0)*($K1055+$L1055)/(SUMIF($A:$A,$A1055,$K:$K)+SUMIF($A:$A,$A1055,$L:$L)),0)</f>
        <v>1.8349288711493195</v>
      </c>
      <c r="N1055" s="30">
        <f>IFERROR((VLOOKUP($A1055,HeadJournal!$A$1:$K$890,COLUMN(HeadJournal!K$1),0)-VLOOKUP($A1055,HeadJournal!$A$1:$K$890,COLUMN(HeadJournal!J$1),0))*($K1055+$L1055)/(SUMIF($A:$A,$A1055,$K:$K)+SUMIF($A:$A,$A1055,$L:$L)),0)</f>
        <v>0</v>
      </c>
      <c r="O1055" s="30">
        <f>IFERROR((VLOOKUP($A1055,HeadJournal!$A$1:$L$890,COLUMN(HeadJournal!L$1),0)*($K1055+$L1055)/(SUMIF($A:$A,$A1055,$K:$K)+SUMIF($A:$A,$A1055,$L:$L)))/VLOOKUP($A1055,HeadJournal!$A$1:$L$890,COLUMN(HeadJournal!H$1),0),0)</f>
        <v>1.8833920214787851</v>
      </c>
      <c r="P1055" s="30">
        <f>IFERROR(SUM(K1055:O1055)*VLOOKUP($A1055,HeadJournal!$A$1:$L$890,COLUMN(HeadJournal!H$1),0),0)</f>
        <v>1898.3821676389312</v>
      </c>
      <c r="Q1055" s="29">
        <v>3000</v>
      </c>
      <c r="R1055" s="31">
        <v>45080</v>
      </c>
      <c r="S1055" s="31" t="s">
        <v>3121</v>
      </c>
      <c r="T1055" s="95" t="str">
        <f t="shared" si="85"/>
        <v>2023 06</v>
      </c>
      <c r="U1055" s="32">
        <f t="shared" si="82"/>
        <v>1101.6178323610688</v>
      </c>
      <c r="V1055" s="22">
        <f t="shared" si="83"/>
        <v>0.58029297321686313</v>
      </c>
      <c r="X1055" s="33"/>
      <c r="Y1055" s="33"/>
    </row>
    <row r="1056" spans="1:25" x14ac:dyDescent="0.2">
      <c r="A1056" s="93" t="s">
        <v>462</v>
      </c>
      <c r="B1056" s="94">
        <f>IFERROR(VLOOKUP($A1056,HeadJournal!$A$1:$NTR$890,COLUMN(HeadJournal!B$1),0),"")</f>
        <v>0</v>
      </c>
      <c r="C1056" s="94" t="str">
        <f>IFERROR(VLOOKUP($A1056,HeadJournal!$A$1:$NTR$890,COLUMN(HeadJournal!C$1),0),"")</f>
        <v>CoralClub_AV</v>
      </c>
      <c r="D1056" s="125" t="str">
        <f>IFERROR(VLOOKUP($A1056,HeadJournal!$A$1:$NTR$890,COLUMN(HeadJournal!D$1),0),"")</f>
        <v>Доставлен</v>
      </c>
      <c r="E1056" s="95">
        <f>IFERROR(VLOOKUP($A1056,HeadJournal!$A$1:$NTR$890,COLUMN(HeadJournal!G$1),0),"")</f>
        <v>44972</v>
      </c>
      <c r="F1056" s="95" t="str">
        <f t="shared" si="84"/>
        <v>2023 02</v>
      </c>
      <c r="G1056" s="96" t="s">
        <v>5</v>
      </c>
      <c r="H1056" s="160" t="str">
        <f>RIGHT(Journal!$J1056,9)</f>
        <v>000001405</v>
      </c>
      <c r="I1056" s="96" t="str">
        <f t="shared" si="81"/>
        <v>CoralClub</v>
      </c>
      <c r="J1056" s="97" t="s">
        <v>249</v>
      </c>
      <c r="K1056" s="29">
        <v>832</v>
      </c>
      <c r="L1056" s="29"/>
      <c r="M1056" s="30">
        <f>IFERROR(VLOOKUP($A1056,HeadJournal!$A$1:$J$890,COLUMN(HeadJournal!I$1),0)*($K1056+$L1056)/(SUMIF($A:$A,$A1056,$K:$K)+SUMIF($A:$A,$A1056,$L:$L)),0)</f>
        <v>0</v>
      </c>
      <c r="N1056" s="30">
        <f>IFERROR((VLOOKUP($A1056,HeadJournal!$A$1:$K$890,COLUMN(HeadJournal!K$1),0)-VLOOKUP($A1056,HeadJournal!$A$1:$K$890,COLUMN(HeadJournal!J$1),0))*($K1056+$L1056)/(SUMIF($A:$A,$A1056,$K:$K)+SUMIF($A:$A,$A1056,$L:$L)),0)</f>
        <v>10.592592592592593</v>
      </c>
      <c r="O1056" s="30">
        <f>IFERROR((VLOOKUP($A1056,HeadJournal!$A$1:$L$890,COLUMN(HeadJournal!L$1),0)*($K1056+$L1056)/(SUMIF($A:$A,$A1056,$K:$K)+SUMIF($A:$A,$A1056,$L:$L)))/VLOOKUP($A1056,HeadJournal!$A$1:$L$890,COLUMN(HeadJournal!H$1),0),0)</f>
        <v>0</v>
      </c>
      <c r="P1056" s="30">
        <f>IFERROR(SUM(K1056:O1056)*VLOOKUP($A1056,HeadJournal!$A$1:$L$890,COLUMN(HeadJournal!H$1),0),0)</f>
        <v>842.59259259259261</v>
      </c>
      <c r="Q1056" s="29">
        <v>842.59</v>
      </c>
      <c r="R1056" s="31">
        <v>45061</v>
      </c>
      <c r="S1056" s="31" t="s">
        <v>3121</v>
      </c>
      <c r="T1056" s="95" t="str">
        <f t="shared" si="85"/>
        <v>2023 05</v>
      </c>
      <c r="U1056" s="32">
        <f t="shared" si="82"/>
        <v>-2.5925925925776028E-3</v>
      </c>
      <c r="V1056" s="22">
        <f t="shared" si="83"/>
        <v>-3.0769230769052868E-6</v>
      </c>
      <c r="X1056" s="33"/>
      <c r="Y1056" s="33"/>
    </row>
    <row r="1057" spans="1:25" x14ac:dyDescent="0.2">
      <c r="A1057" s="93" t="s">
        <v>462</v>
      </c>
      <c r="B1057" s="94">
        <f>IFERROR(VLOOKUP($A1057,HeadJournal!$A$1:$NTR$890,COLUMN(HeadJournal!B$1),0),"")</f>
        <v>0</v>
      </c>
      <c r="C1057" s="94" t="str">
        <f>IFERROR(VLOOKUP($A1057,HeadJournal!$A$1:$NTR$890,COLUMN(HeadJournal!C$1),0),"")</f>
        <v>CoralClub_AV</v>
      </c>
      <c r="D1057" s="125" t="str">
        <f>IFERROR(VLOOKUP($A1057,HeadJournal!$A$1:$NTR$890,COLUMN(HeadJournal!D$1),0),"")</f>
        <v>Доставлен</v>
      </c>
      <c r="E1057" s="95">
        <f>IFERROR(VLOOKUP($A1057,HeadJournal!$A$1:$NTR$890,COLUMN(HeadJournal!G$1),0),"")</f>
        <v>44972</v>
      </c>
      <c r="F1057" s="95" t="str">
        <f t="shared" si="84"/>
        <v>2023 02</v>
      </c>
      <c r="G1057" s="96" t="s">
        <v>5</v>
      </c>
      <c r="H1057" s="160" t="str">
        <f>RIGHT(Journal!$J1057,9)</f>
        <v>000001405</v>
      </c>
      <c r="I1057" s="96" t="str">
        <f t="shared" si="81"/>
        <v>CoralClub</v>
      </c>
      <c r="J1057" s="97" t="s">
        <v>249</v>
      </c>
      <c r="K1057" s="29">
        <v>832</v>
      </c>
      <c r="L1057" s="29"/>
      <c r="M1057" s="30">
        <f>IFERROR(VLOOKUP($A1057,HeadJournal!$A$1:$J$890,COLUMN(HeadJournal!I$1),0)*($K1057+$L1057)/(SUMIF($A:$A,$A1057,$K:$K)+SUMIF($A:$A,$A1057,$L:$L)),0)</f>
        <v>0</v>
      </c>
      <c r="N1057" s="30">
        <f>IFERROR((VLOOKUP($A1057,HeadJournal!$A$1:$K$890,COLUMN(HeadJournal!K$1),0)-VLOOKUP($A1057,HeadJournal!$A$1:$K$890,COLUMN(HeadJournal!J$1),0))*($K1057+$L1057)/(SUMIF($A:$A,$A1057,$K:$K)+SUMIF($A:$A,$A1057,$L:$L)),0)</f>
        <v>10.592592592592593</v>
      </c>
      <c r="O1057" s="30">
        <f>IFERROR((VLOOKUP($A1057,HeadJournal!$A$1:$L$890,COLUMN(HeadJournal!L$1),0)*($K1057+$L1057)/(SUMIF($A:$A,$A1057,$K:$K)+SUMIF($A:$A,$A1057,$L:$L)))/VLOOKUP($A1057,HeadJournal!$A$1:$L$890,COLUMN(HeadJournal!H$1),0),0)</f>
        <v>0</v>
      </c>
      <c r="P1057" s="30">
        <f>IFERROR(SUM(K1057:O1057)*VLOOKUP($A1057,HeadJournal!$A$1:$L$890,COLUMN(HeadJournal!H$1),0),0)</f>
        <v>842.59259259259261</v>
      </c>
      <c r="Q1057" s="29"/>
      <c r="R1057" s="31"/>
      <c r="S1057" s="31"/>
      <c r="T1057" s="95" t="str">
        <f t="shared" si="85"/>
        <v/>
      </c>
      <c r="U1057" s="32">
        <f t="shared" si="82"/>
        <v>-842.59259259259261</v>
      </c>
      <c r="V1057" s="22" t="str">
        <f t="shared" si="83"/>
        <v/>
      </c>
      <c r="X1057" s="33"/>
      <c r="Y1057" s="33"/>
    </row>
    <row r="1058" spans="1:25" x14ac:dyDescent="0.2">
      <c r="A1058" s="93" t="s">
        <v>462</v>
      </c>
      <c r="B1058" s="94">
        <f>IFERROR(VLOOKUP($A1058,HeadJournal!$A$1:$NTR$890,COLUMN(HeadJournal!B$1),0),"")</f>
        <v>0</v>
      </c>
      <c r="C1058" s="94" t="str">
        <f>IFERROR(VLOOKUP($A1058,HeadJournal!$A$1:$NTR$890,COLUMN(HeadJournal!C$1),0),"")</f>
        <v>CoralClub_AV</v>
      </c>
      <c r="D1058" s="125" t="str">
        <f>IFERROR(VLOOKUP($A1058,HeadJournal!$A$1:$NTR$890,COLUMN(HeadJournal!D$1),0),"")</f>
        <v>Доставлен</v>
      </c>
      <c r="E1058" s="95">
        <f>IFERROR(VLOOKUP($A1058,HeadJournal!$A$1:$NTR$890,COLUMN(HeadJournal!G$1),0),"")</f>
        <v>44972</v>
      </c>
      <c r="F1058" s="95" t="str">
        <f t="shared" si="84"/>
        <v>2023 02</v>
      </c>
      <c r="G1058" s="96" t="s">
        <v>5</v>
      </c>
      <c r="H1058" s="160" t="str">
        <f>RIGHT(Journal!$J1058,9)</f>
        <v>000091118</v>
      </c>
      <c r="I1058" s="96" t="str">
        <f t="shared" si="81"/>
        <v>CoralClub</v>
      </c>
      <c r="J1058" s="97" t="s">
        <v>463</v>
      </c>
      <c r="K1058" s="29">
        <v>1792</v>
      </c>
      <c r="L1058" s="29"/>
      <c r="M1058" s="30">
        <f>IFERROR(VLOOKUP($A1058,HeadJournal!$A$1:$J$890,COLUMN(HeadJournal!I$1),0)*($K1058+$L1058)/(SUMIF($A:$A,$A1058,$K:$K)+SUMIF($A:$A,$A1058,$L:$L)),0)</f>
        <v>0</v>
      </c>
      <c r="N1058" s="30">
        <f>IFERROR((VLOOKUP($A1058,HeadJournal!$A$1:$K$890,COLUMN(HeadJournal!K$1),0)-VLOOKUP($A1058,HeadJournal!$A$1:$K$890,COLUMN(HeadJournal!J$1),0))*($K1058+$L1058)/(SUMIF($A:$A,$A1058,$K:$K)+SUMIF($A:$A,$A1058,$L:$L)),0)</f>
        <v>22.814814814814813</v>
      </c>
      <c r="O1058" s="30">
        <f>IFERROR((VLOOKUP($A1058,HeadJournal!$A$1:$L$890,COLUMN(HeadJournal!L$1),0)*($K1058+$L1058)/(SUMIF($A:$A,$A1058,$K:$K)+SUMIF($A:$A,$A1058,$L:$L)))/VLOOKUP($A1058,HeadJournal!$A$1:$L$890,COLUMN(HeadJournal!H$1),0),0)</f>
        <v>0</v>
      </c>
      <c r="P1058" s="30">
        <f>IFERROR(SUM(K1058:O1058)*VLOOKUP($A1058,HeadJournal!$A$1:$L$890,COLUMN(HeadJournal!H$1),0),0)</f>
        <v>1814.8148148148148</v>
      </c>
      <c r="Q1058" s="29">
        <v>2200</v>
      </c>
      <c r="R1058" s="31">
        <v>44973</v>
      </c>
      <c r="S1058" s="31" t="s">
        <v>3121</v>
      </c>
      <c r="T1058" s="95" t="str">
        <f t="shared" si="85"/>
        <v>2023 02</v>
      </c>
      <c r="U1058" s="32">
        <f t="shared" si="82"/>
        <v>385.18518518518522</v>
      </c>
      <c r="V1058" s="22">
        <f t="shared" si="83"/>
        <v>0.21224489795918369</v>
      </c>
      <c r="X1058" s="33"/>
      <c r="Y1058" s="33"/>
    </row>
    <row r="1059" spans="1:25" x14ac:dyDescent="0.2">
      <c r="A1059" s="93" t="s">
        <v>464</v>
      </c>
      <c r="B1059" s="94">
        <f>IFERROR(VLOOKUP($A1059,HeadJournal!$A$1:$NTR$890,COLUMN(HeadJournal!B$1),0),"")</f>
        <v>0</v>
      </c>
      <c r="C1059" s="94" t="str">
        <f>IFERROR(VLOOKUP($A1059,HeadJournal!$A$1:$NTR$890,COLUMN(HeadJournal!C$1),0),"")</f>
        <v>Roman</v>
      </c>
      <c r="D1059" s="125" t="str">
        <f>IFERROR(VLOOKUP($A1059,HeadJournal!$A$1:$NTR$890,COLUMN(HeadJournal!D$1),0),"")</f>
        <v>Доставлен</v>
      </c>
      <c r="E1059" s="95">
        <f>IFERROR(VLOOKUP($A1059,HeadJournal!$A$1:$NTR$890,COLUMN(HeadJournal!G$1),0),"")</f>
        <v>44973</v>
      </c>
      <c r="F1059" s="95" t="str">
        <f t="shared" si="84"/>
        <v>2023 02</v>
      </c>
      <c r="G1059" s="96" t="s">
        <v>5</v>
      </c>
      <c r="H1059" s="161" t="s">
        <v>2771</v>
      </c>
      <c r="I1059" s="97" t="s">
        <v>2052</v>
      </c>
      <c r="J1059" s="97" t="s">
        <v>3858</v>
      </c>
      <c r="K1059" s="29">
        <v>365.89</v>
      </c>
      <c r="L1059" s="29"/>
      <c r="M1059" s="30">
        <f>IFERROR(VLOOKUP($A1059,HeadJournal!$A$1:$J$890,COLUMN(HeadJournal!I$1),0)*($K1059+$L1059)/(SUMIF($A:$A,$A1059,$K:$K)+SUMIF($A:$A,$A1059,$L:$L)),0)</f>
        <v>0</v>
      </c>
      <c r="N1059" s="30">
        <f>IFERROR((VLOOKUP($A1059,HeadJournal!$A$1:$K$890,COLUMN(HeadJournal!K$1),0)-VLOOKUP($A1059,HeadJournal!$A$1:$K$890,COLUMN(HeadJournal!J$1),0))*($K1059+$L1059)/(SUMIF($A:$A,$A1059,$K:$K)+SUMIF($A:$A,$A1059,$L:$L)),0)</f>
        <v>-0.71773944527936606</v>
      </c>
      <c r="O1059" s="30">
        <f>IFERROR((VLOOKUP($A1059,HeadJournal!$A$1:$L$890,COLUMN(HeadJournal!L$1),0)*($K1059+$L1059)/(SUMIF($A:$A,$A1059,$K:$K)+SUMIF($A:$A,$A1059,$L:$L)))/VLOOKUP($A1059,HeadJournal!$A$1:$L$890,COLUMN(HeadJournal!H$1),0),0)</f>
        <v>0</v>
      </c>
      <c r="P1059" s="30">
        <f>IFERROR(SUM(K1059:O1059)*VLOOKUP($A1059,HeadJournal!$A$1:$L$890,COLUMN(HeadJournal!H$1),0),0)</f>
        <v>365.17226055472059</v>
      </c>
      <c r="Q1059" s="29">
        <v>825</v>
      </c>
      <c r="R1059" s="31">
        <v>45071</v>
      </c>
      <c r="S1059" s="31" t="s">
        <v>3121</v>
      </c>
      <c r="T1059" s="95" t="str">
        <f t="shared" si="85"/>
        <v>2023 05</v>
      </c>
      <c r="U1059" s="32">
        <f t="shared" si="82"/>
        <v>459.82773944527941</v>
      </c>
      <c r="V1059" s="22">
        <f t="shared" si="83"/>
        <v>1.2592077469049017</v>
      </c>
      <c r="X1059" s="33"/>
      <c r="Y1059" s="33"/>
    </row>
    <row r="1060" spans="1:25" x14ac:dyDescent="0.2">
      <c r="A1060" s="93" t="s">
        <v>464</v>
      </c>
      <c r="B1060" s="94">
        <f>IFERROR(VLOOKUP($A1060,HeadJournal!$A$1:$NTR$890,COLUMN(HeadJournal!B$1),0),"")</f>
        <v>0</v>
      </c>
      <c r="C1060" s="94" t="str">
        <f>IFERROR(VLOOKUP($A1060,HeadJournal!$A$1:$NTR$890,COLUMN(HeadJournal!C$1),0),"")</f>
        <v>Roman</v>
      </c>
      <c r="D1060" s="125" t="str">
        <f>IFERROR(VLOOKUP($A1060,HeadJournal!$A$1:$NTR$890,COLUMN(HeadJournal!D$1),0),"")</f>
        <v>Доставлен</v>
      </c>
      <c r="E1060" s="95">
        <f>IFERROR(VLOOKUP($A1060,HeadJournal!$A$1:$NTR$890,COLUMN(HeadJournal!G$1),0),"")</f>
        <v>44973</v>
      </c>
      <c r="F1060" s="95" t="str">
        <f t="shared" si="84"/>
        <v>2023 02</v>
      </c>
      <c r="G1060" s="96" t="s">
        <v>5</v>
      </c>
      <c r="H1060" s="161" t="s">
        <v>2771</v>
      </c>
      <c r="I1060" s="97" t="s">
        <v>2052</v>
      </c>
      <c r="J1060" s="97" t="s">
        <v>3858</v>
      </c>
      <c r="K1060" s="29">
        <v>365.89</v>
      </c>
      <c r="L1060" s="29"/>
      <c r="M1060" s="30">
        <f>IFERROR(VLOOKUP($A1060,HeadJournal!$A$1:$J$890,COLUMN(HeadJournal!I$1),0)*($K1060+$L1060)/(SUMIF($A:$A,$A1060,$K:$K)+SUMIF($A:$A,$A1060,$L:$L)),0)</f>
        <v>0</v>
      </c>
      <c r="N1060" s="30">
        <f>IFERROR((VLOOKUP($A1060,HeadJournal!$A$1:$K$890,COLUMN(HeadJournal!K$1),0)-VLOOKUP($A1060,HeadJournal!$A$1:$K$890,COLUMN(HeadJournal!J$1),0))*($K1060+$L1060)/(SUMIF($A:$A,$A1060,$K:$K)+SUMIF($A:$A,$A1060,$L:$L)),0)</f>
        <v>-0.71773944527936606</v>
      </c>
      <c r="O1060" s="30">
        <f>IFERROR((VLOOKUP($A1060,HeadJournal!$A$1:$L$890,COLUMN(HeadJournal!L$1),0)*($K1060+$L1060)/(SUMIF($A:$A,$A1060,$K:$K)+SUMIF($A:$A,$A1060,$L:$L)))/VLOOKUP($A1060,HeadJournal!$A$1:$L$890,COLUMN(HeadJournal!H$1),0),0)</f>
        <v>0</v>
      </c>
      <c r="P1060" s="30">
        <f>IFERROR(SUM(K1060:O1060)*VLOOKUP($A1060,HeadJournal!$A$1:$L$890,COLUMN(HeadJournal!H$1),0),0)</f>
        <v>365.17226055472059</v>
      </c>
      <c r="Q1060" s="29">
        <v>1000</v>
      </c>
      <c r="R1060" s="31">
        <v>45153</v>
      </c>
      <c r="S1060" s="31" t="s">
        <v>3121</v>
      </c>
      <c r="T1060" s="95" t="str">
        <f t="shared" si="85"/>
        <v>2023 08</v>
      </c>
      <c r="U1060" s="32">
        <f t="shared" si="82"/>
        <v>634.82773944527935</v>
      </c>
      <c r="V1060" s="22">
        <f t="shared" si="83"/>
        <v>1.7384336326120018</v>
      </c>
      <c r="X1060" s="33"/>
      <c r="Y1060" s="33"/>
    </row>
    <row r="1061" spans="1:25" x14ac:dyDescent="0.2">
      <c r="A1061" s="93" t="s">
        <v>464</v>
      </c>
      <c r="B1061" s="94">
        <f>IFERROR(VLOOKUP($A1061,HeadJournal!$A$1:$NTR$890,COLUMN(HeadJournal!B$1),0),"")</f>
        <v>0</v>
      </c>
      <c r="C1061" s="94" t="str">
        <f>IFERROR(VLOOKUP($A1061,HeadJournal!$A$1:$NTR$890,COLUMN(HeadJournal!C$1),0),"")</f>
        <v>Roman</v>
      </c>
      <c r="D1061" s="125" t="str">
        <f>IFERROR(VLOOKUP($A1061,HeadJournal!$A$1:$NTR$890,COLUMN(HeadJournal!D$1),0),"")</f>
        <v>Доставлен</v>
      </c>
      <c r="E1061" s="95">
        <f>IFERROR(VLOOKUP($A1061,HeadJournal!$A$1:$NTR$890,COLUMN(HeadJournal!G$1),0),"")</f>
        <v>44973</v>
      </c>
      <c r="F1061" s="95" t="str">
        <f t="shared" si="84"/>
        <v>2023 02</v>
      </c>
      <c r="G1061" s="96" t="s">
        <v>5</v>
      </c>
      <c r="H1061" s="161" t="s">
        <v>2771</v>
      </c>
      <c r="I1061" s="97" t="s">
        <v>2052</v>
      </c>
      <c r="J1061" s="97" t="s">
        <v>3858</v>
      </c>
      <c r="K1061" s="29">
        <v>365.89</v>
      </c>
      <c r="L1061" s="29"/>
      <c r="M1061" s="30">
        <f>IFERROR(VLOOKUP($A1061,HeadJournal!$A$1:$J$890,COLUMN(HeadJournal!I$1),0)*($K1061+$L1061)/(SUMIF($A:$A,$A1061,$K:$K)+SUMIF($A:$A,$A1061,$L:$L)),0)</f>
        <v>0</v>
      </c>
      <c r="N1061" s="30">
        <f>IFERROR((VLOOKUP($A1061,HeadJournal!$A$1:$K$890,COLUMN(HeadJournal!K$1),0)-VLOOKUP($A1061,HeadJournal!$A$1:$K$890,COLUMN(HeadJournal!J$1),0))*($K1061+$L1061)/(SUMIF($A:$A,$A1061,$K:$K)+SUMIF($A:$A,$A1061,$L:$L)),0)</f>
        <v>-0.71773944527936606</v>
      </c>
      <c r="O1061" s="30">
        <f>IFERROR((VLOOKUP($A1061,HeadJournal!$A$1:$L$890,COLUMN(HeadJournal!L$1),0)*($K1061+$L1061)/(SUMIF($A:$A,$A1061,$K:$K)+SUMIF($A:$A,$A1061,$L:$L)))/VLOOKUP($A1061,HeadJournal!$A$1:$L$890,COLUMN(HeadJournal!H$1),0),0)</f>
        <v>0</v>
      </c>
      <c r="P1061" s="30">
        <f>IFERROR(SUM(K1061:O1061)*VLOOKUP($A1061,HeadJournal!$A$1:$L$890,COLUMN(HeadJournal!H$1),0),0)</f>
        <v>365.17226055472059</v>
      </c>
      <c r="Q1061" s="29">
        <v>1000</v>
      </c>
      <c r="R1061" s="31">
        <v>45153</v>
      </c>
      <c r="S1061" s="31" t="s">
        <v>3121</v>
      </c>
      <c r="T1061" s="95" t="str">
        <f t="shared" si="85"/>
        <v>2023 08</v>
      </c>
      <c r="U1061" s="32">
        <f t="shared" si="82"/>
        <v>634.82773944527935</v>
      </c>
      <c r="V1061" s="22">
        <f t="shared" si="83"/>
        <v>1.7384336326120018</v>
      </c>
      <c r="X1061" s="33"/>
      <c r="Y1061" s="33"/>
    </row>
    <row r="1062" spans="1:25" x14ac:dyDescent="0.2">
      <c r="A1062" s="93" t="s">
        <v>464</v>
      </c>
      <c r="B1062" s="94">
        <f>IFERROR(VLOOKUP($A1062,HeadJournal!$A$1:$NTR$890,COLUMN(HeadJournal!B$1),0),"")</f>
        <v>0</v>
      </c>
      <c r="C1062" s="94" t="str">
        <f>IFERROR(VLOOKUP($A1062,HeadJournal!$A$1:$NTR$890,COLUMN(HeadJournal!C$1),0),"")</f>
        <v>Roman</v>
      </c>
      <c r="D1062" s="125" t="str">
        <f>IFERROR(VLOOKUP($A1062,HeadJournal!$A$1:$NTR$890,COLUMN(HeadJournal!D$1),0),"")</f>
        <v>Доставлен</v>
      </c>
      <c r="E1062" s="95">
        <f>IFERROR(VLOOKUP($A1062,HeadJournal!$A$1:$NTR$890,COLUMN(HeadJournal!G$1),0),"")</f>
        <v>44973</v>
      </c>
      <c r="F1062" s="95" t="str">
        <f t="shared" si="84"/>
        <v>2023 02</v>
      </c>
      <c r="G1062" s="96" t="s">
        <v>5</v>
      </c>
      <c r="H1062" s="161" t="s">
        <v>2771</v>
      </c>
      <c r="I1062" s="97" t="s">
        <v>2052</v>
      </c>
      <c r="J1062" s="97" t="s">
        <v>3858</v>
      </c>
      <c r="K1062" s="29">
        <v>365.89</v>
      </c>
      <c r="L1062" s="29"/>
      <c r="M1062" s="30">
        <f>IFERROR(VLOOKUP($A1062,HeadJournal!$A$1:$J$890,COLUMN(HeadJournal!I$1),0)*($K1062+$L1062)/(SUMIF($A:$A,$A1062,$K:$K)+SUMIF($A:$A,$A1062,$L:$L)),0)</f>
        <v>0</v>
      </c>
      <c r="N1062" s="30">
        <f>IFERROR((VLOOKUP($A1062,HeadJournal!$A$1:$K$890,COLUMN(HeadJournal!K$1),0)-VLOOKUP($A1062,HeadJournal!$A$1:$K$890,COLUMN(HeadJournal!J$1),0))*($K1062+$L1062)/(SUMIF($A:$A,$A1062,$K:$K)+SUMIF($A:$A,$A1062,$L:$L)),0)</f>
        <v>-0.71773944527936606</v>
      </c>
      <c r="O1062" s="30">
        <f>IFERROR((VLOOKUP($A1062,HeadJournal!$A$1:$L$890,COLUMN(HeadJournal!L$1),0)*($K1062+$L1062)/(SUMIF($A:$A,$A1062,$K:$K)+SUMIF($A:$A,$A1062,$L:$L)))/VLOOKUP($A1062,HeadJournal!$A$1:$L$890,COLUMN(HeadJournal!H$1),0),0)</f>
        <v>0</v>
      </c>
      <c r="P1062" s="30">
        <f>IFERROR(SUM(K1062:O1062)*VLOOKUP($A1062,HeadJournal!$A$1:$L$890,COLUMN(HeadJournal!H$1),0),0)</f>
        <v>365.17226055472059</v>
      </c>
      <c r="Q1062" s="29">
        <v>900</v>
      </c>
      <c r="R1062" s="31">
        <v>45173</v>
      </c>
      <c r="S1062" s="31" t="s">
        <v>3121</v>
      </c>
      <c r="T1062" s="95" t="str">
        <f t="shared" si="85"/>
        <v>2023 09</v>
      </c>
      <c r="U1062" s="32">
        <f t="shared" si="82"/>
        <v>534.82773944527935</v>
      </c>
      <c r="V1062" s="22">
        <f t="shared" si="83"/>
        <v>1.4645902693508017</v>
      </c>
      <c r="X1062" s="33"/>
      <c r="Y1062" s="33"/>
    </row>
    <row r="1063" spans="1:25" x14ac:dyDescent="0.2">
      <c r="A1063" s="93" t="s">
        <v>464</v>
      </c>
      <c r="B1063" s="94">
        <f>IFERROR(VLOOKUP($A1063,HeadJournal!$A$1:$NTR$890,COLUMN(HeadJournal!B$1),0),"")</f>
        <v>0</v>
      </c>
      <c r="C1063" s="94" t="str">
        <f>IFERROR(VLOOKUP($A1063,HeadJournal!$A$1:$NTR$890,COLUMN(HeadJournal!C$1),0),"")</f>
        <v>Roman</v>
      </c>
      <c r="D1063" s="125" t="str">
        <f>IFERROR(VLOOKUP($A1063,HeadJournal!$A$1:$NTR$890,COLUMN(HeadJournal!D$1),0),"")</f>
        <v>Доставлен</v>
      </c>
      <c r="E1063" s="95">
        <f>IFERROR(VLOOKUP($A1063,HeadJournal!$A$1:$NTR$890,COLUMN(HeadJournal!G$1),0),"")</f>
        <v>44973</v>
      </c>
      <c r="F1063" s="95" t="str">
        <f t="shared" si="84"/>
        <v>2023 02</v>
      </c>
      <c r="G1063" s="96" t="s">
        <v>5</v>
      </c>
      <c r="H1063" s="161" t="s">
        <v>2771</v>
      </c>
      <c r="I1063" s="97" t="s">
        <v>2052</v>
      </c>
      <c r="J1063" s="97" t="s">
        <v>3858</v>
      </c>
      <c r="K1063" s="29">
        <v>365.89</v>
      </c>
      <c r="L1063" s="29"/>
      <c r="M1063" s="30">
        <f>IFERROR(VLOOKUP($A1063,HeadJournal!$A$1:$J$890,COLUMN(HeadJournal!I$1),0)*($K1063+$L1063)/(SUMIF($A:$A,$A1063,$K:$K)+SUMIF($A:$A,$A1063,$L:$L)),0)</f>
        <v>0</v>
      </c>
      <c r="N1063" s="30">
        <f>IFERROR((VLOOKUP($A1063,HeadJournal!$A$1:$K$890,COLUMN(HeadJournal!K$1),0)-VLOOKUP($A1063,HeadJournal!$A$1:$K$890,COLUMN(HeadJournal!J$1),0))*($K1063+$L1063)/(SUMIF($A:$A,$A1063,$K:$K)+SUMIF($A:$A,$A1063,$L:$L)),0)</f>
        <v>-0.71773944527936606</v>
      </c>
      <c r="O1063" s="30">
        <f>IFERROR((VLOOKUP($A1063,HeadJournal!$A$1:$L$890,COLUMN(HeadJournal!L$1),0)*($K1063+$L1063)/(SUMIF($A:$A,$A1063,$K:$K)+SUMIF($A:$A,$A1063,$L:$L)))/VLOOKUP($A1063,HeadJournal!$A$1:$L$890,COLUMN(HeadJournal!H$1),0),0)</f>
        <v>0</v>
      </c>
      <c r="P1063" s="30">
        <f>IFERROR(SUM(K1063:O1063)*VLOOKUP($A1063,HeadJournal!$A$1:$L$890,COLUMN(HeadJournal!H$1),0),0)</f>
        <v>365.17226055472059</v>
      </c>
      <c r="Q1063" s="29">
        <v>900</v>
      </c>
      <c r="R1063" s="31">
        <v>45173</v>
      </c>
      <c r="S1063" s="31" t="s">
        <v>3121</v>
      </c>
      <c r="T1063" s="95" t="str">
        <f t="shared" si="85"/>
        <v>2023 09</v>
      </c>
      <c r="U1063" s="32">
        <f t="shared" si="82"/>
        <v>534.82773944527935</v>
      </c>
      <c r="V1063" s="22">
        <f t="shared" si="83"/>
        <v>1.4645902693508017</v>
      </c>
      <c r="X1063" s="33"/>
      <c r="Y1063" s="33"/>
    </row>
    <row r="1064" spans="1:25" x14ac:dyDescent="0.2">
      <c r="A1064" s="93" t="s">
        <v>464</v>
      </c>
      <c r="B1064" s="94">
        <f>IFERROR(VLOOKUP($A1064,HeadJournal!$A$1:$NTR$890,COLUMN(HeadJournal!B$1),0),"")</f>
        <v>0</v>
      </c>
      <c r="C1064" s="94" t="str">
        <f>IFERROR(VLOOKUP($A1064,HeadJournal!$A$1:$NTR$890,COLUMN(HeadJournal!C$1),0),"")</f>
        <v>Roman</v>
      </c>
      <c r="D1064" s="125" t="str">
        <f>IFERROR(VLOOKUP($A1064,HeadJournal!$A$1:$NTR$890,COLUMN(HeadJournal!D$1),0),"")</f>
        <v>Доставлен</v>
      </c>
      <c r="E1064" s="95">
        <f>IFERROR(VLOOKUP($A1064,HeadJournal!$A$1:$NTR$890,COLUMN(HeadJournal!G$1),0),"")</f>
        <v>44973</v>
      </c>
      <c r="F1064" s="95" t="str">
        <f t="shared" si="84"/>
        <v>2023 02</v>
      </c>
      <c r="G1064" s="96" t="s">
        <v>5</v>
      </c>
      <c r="H1064" s="161" t="s">
        <v>2771</v>
      </c>
      <c r="I1064" s="97" t="s">
        <v>2052</v>
      </c>
      <c r="J1064" s="97" t="s">
        <v>3858</v>
      </c>
      <c r="K1064" s="29">
        <v>365.89</v>
      </c>
      <c r="L1064" s="29"/>
      <c r="M1064" s="30">
        <f>IFERROR(VLOOKUP($A1064,HeadJournal!$A$1:$J$890,COLUMN(HeadJournal!I$1),0)*($K1064+$L1064)/(SUMIF($A:$A,$A1064,$K:$K)+SUMIF($A:$A,$A1064,$L:$L)),0)</f>
        <v>0</v>
      </c>
      <c r="N1064" s="30">
        <f>IFERROR((VLOOKUP($A1064,HeadJournal!$A$1:$K$890,COLUMN(HeadJournal!K$1),0)-VLOOKUP($A1064,HeadJournal!$A$1:$K$890,COLUMN(HeadJournal!J$1),0))*($K1064+$L1064)/(SUMIF($A:$A,$A1064,$K:$K)+SUMIF($A:$A,$A1064,$L:$L)),0)</f>
        <v>-0.71773944527936606</v>
      </c>
      <c r="O1064" s="30">
        <f>IFERROR((VLOOKUP($A1064,HeadJournal!$A$1:$L$890,COLUMN(HeadJournal!L$1),0)*($K1064+$L1064)/(SUMIF($A:$A,$A1064,$K:$K)+SUMIF($A:$A,$A1064,$L:$L)))/VLOOKUP($A1064,HeadJournal!$A$1:$L$890,COLUMN(HeadJournal!H$1),0),0)</f>
        <v>0</v>
      </c>
      <c r="P1064" s="30">
        <f>IFERROR(SUM(K1064:O1064)*VLOOKUP($A1064,HeadJournal!$A$1:$L$890,COLUMN(HeadJournal!H$1),0),0)</f>
        <v>365.17226055472059</v>
      </c>
      <c r="Q1064" s="29">
        <v>900</v>
      </c>
      <c r="R1064" s="31">
        <v>45193</v>
      </c>
      <c r="S1064" s="31" t="s">
        <v>3121</v>
      </c>
      <c r="T1064" s="95" t="str">
        <f t="shared" si="85"/>
        <v>2023 09</v>
      </c>
      <c r="U1064" s="32">
        <f t="shared" si="82"/>
        <v>534.82773944527935</v>
      </c>
      <c r="V1064" s="22">
        <f t="shared" si="83"/>
        <v>1.4645902693508017</v>
      </c>
      <c r="X1064" s="33"/>
      <c r="Y1064" s="33"/>
    </row>
    <row r="1065" spans="1:25" x14ac:dyDescent="0.2">
      <c r="A1065" s="93" t="s">
        <v>464</v>
      </c>
      <c r="B1065" s="94">
        <f>IFERROR(VLOOKUP($A1065,HeadJournal!$A$1:$NTR$890,COLUMN(HeadJournal!B$1),0),"")</f>
        <v>0</v>
      </c>
      <c r="C1065" s="94" t="str">
        <f>IFERROR(VLOOKUP($A1065,HeadJournal!$A$1:$NTR$890,COLUMN(HeadJournal!C$1),0),"")</f>
        <v>Roman</v>
      </c>
      <c r="D1065" s="125" t="str">
        <f>IFERROR(VLOOKUP($A1065,HeadJournal!$A$1:$NTR$890,COLUMN(HeadJournal!D$1),0),"")</f>
        <v>Доставлен</v>
      </c>
      <c r="E1065" s="95">
        <f>IFERROR(VLOOKUP($A1065,HeadJournal!$A$1:$NTR$890,COLUMN(HeadJournal!G$1),0),"")</f>
        <v>44973</v>
      </c>
      <c r="F1065" s="95" t="str">
        <f t="shared" si="84"/>
        <v>2023 02</v>
      </c>
      <c r="G1065" s="96" t="s">
        <v>5</v>
      </c>
      <c r="H1065" s="160" t="str">
        <f>RIGHT(Journal!$J1065,9)</f>
        <v>NWY-15679</v>
      </c>
      <c r="I1065" s="96" t="str">
        <f t="shared" si="81"/>
        <v>Nature's Way</v>
      </c>
      <c r="J1065" s="97" t="s">
        <v>146</v>
      </c>
      <c r="K1065" s="70">
        <v>569.1</v>
      </c>
      <c r="L1065" s="29"/>
      <c r="M1065" s="30">
        <f>IFERROR(VLOOKUP($A1065,HeadJournal!$A$1:$J$890,COLUMN(HeadJournal!I$1),0)*($K1065+$L1065)/(SUMIF($A:$A,$A1065,$K:$K)+SUMIF($A:$A,$A1065,$L:$L)),0)</f>
        <v>0</v>
      </c>
      <c r="N1065" s="30">
        <f>IFERROR((VLOOKUP($A1065,HeadJournal!$A$1:$K$890,COLUMN(HeadJournal!K$1),0)-VLOOKUP($A1065,HeadJournal!$A$1:$K$890,COLUMN(HeadJournal!J$1),0))*($K1065+$L1065)/(SUMIF($A:$A,$A1065,$K:$K)+SUMIF($A:$A,$A1065,$L:$L)),0)</f>
        <v>-1.1163615247984018</v>
      </c>
      <c r="O1065" s="30">
        <f>IFERROR((VLOOKUP($A1065,HeadJournal!$A$1:$L$890,COLUMN(HeadJournal!L$1),0)*($K1065+$L1065)/(SUMIF($A:$A,$A1065,$K:$K)+SUMIF($A:$A,$A1065,$L:$L)))/VLOOKUP($A1065,HeadJournal!$A$1:$L$890,COLUMN(HeadJournal!H$1),0),0)</f>
        <v>0</v>
      </c>
      <c r="P1065" s="30">
        <f>IFERROR(SUM(K1065:O1065)*VLOOKUP($A1065,HeadJournal!$A$1:$L$890,COLUMN(HeadJournal!H$1),0),0)</f>
        <v>567.98363847520159</v>
      </c>
      <c r="Q1065" s="29">
        <v>1600</v>
      </c>
      <c r="R1065" s="31">
        <v>44987</v>
      </c>
      <c r="S1065" s="31" t="s">
        <v>3121</v>
      </c>
      <c r="T1065" s="95" t="str">
        <f t="shared" si="85"/>
        <v>2023 03</v>
      </c>
      <c r="U1065" s="32">
        <f t="shared" si="82"/>
        <v>1032.0163615247984</v>
      </c>
      <c r="V1065" s="22">
        <f t="shared" si="83"/>
        <v>1.8169825530455956</v>
      </c>
      <c r="X1065" s="33"/>
      <c r="Y1065" s="33"/>
    </row>
    <row r="1066" spans="1:25" x14ac:dyDescent="0.2">
      <c r="A1066" s="93" t="s">
        <v>464</v>
      </c>
      <c r="B1066" s="94">
        <f>IFERROR(VLOOKUP($A1066,HeadJournal!$A$1:$NTR$890,COLUMN(HeadJournal!B$1),0),"")</f>
        <v>0</v>
      </c>
      <c r="C1066" s="94" t="str">
        <f>IFERROR(VLOOKUP($A1066,HeadJournal!$A$1:$NTR$890,COLUMN(HeadJournal!C$1),0),"")</f>
        <v>Roman</v>
      </c>
      <c r="D1066" s="125" t="str">
        <f>IFERROR(VLOOKUP($A1066,HeadJournal!$A$1:$NTR$890,COLUMN(HeadJournal!D$1),0),"")</f>
        <v>Доставлен</v>
      </c>
      <c r="E1066" s="95">
        <f>IFERROR(VLOOKUP($A1066,HeadJournal!$A$1:$NTR$890,COLUMN(HeadJournal!G$1),0),"")</f>
        <v>44973</v>
      </c>
      <c r="F1066" s="95" t="str">
        <f t="shared" si="84"/>
        <v>2023 02</v>
      </c>
      <c r="G1066" s="96" t="s">
        <v>5</v>
      </c>
      <c r="H1066" s="160" t="str">
        <f>RIGHT(Journal!$J1066,9)</f>
        <v>OSL-01395</v>
      </c>
      <c r="I1066" s="96" t="str">
        <f t="shared" si="81"/>
        <v>Oslomega</v>
      </c>
      <c r="J1066" s="97" t="s">
        <v>194</v>
      </c>
      <c r="K1066" s="29">
        <v>522.20000000000005</v>
      </c>
      <c r="L1066" s="29"/>
      <c r="M1066" s="30">
        <f>IFERROR(VLOOKUP($A1066,HeadJournal!$A$1:$J$890,COLUMN(HeadJournal!I$1),0)*($K1066+$L1066)/(SUMIF($A:$A,$A1066,$K:$K)+SUMIF($A:$A,$A1066,$L:$L)),0)</f>
        <v>0</v>
      </c>
      <c r="N1066" s="30">
        <f>IFERROR((VLOOKUP($A1066,HeadJournal!$A$1:$K$890,COLUMN(HeadJournal!K$1),0)-VLOOKUP($A1066,HeadJournal!$A$1:$K$890,COLUMN(HeadJournal!J$1),0))*($K1066+$L1066)/(SUMIF($A:$A,$A1066,$K:$K)+SUMIF($A:$A,$A1066,$L:$L)),0)</f>
        <v>-1.0243612515370328</v>
      </c>
      <c r="O1066" s="30">
        <f>IFERROR((VLOOKUP($A1066,HeadJournal!$A$1:$L$890,COLUMN(HeadJournal!L$1),0)*($K1066+$L1066)/(SUMIF($A:$A,$A1066,$K:$K)+SUMIF($A:$A,$A1066,$L:$L)))/VLOOKUP($A1066,HeadJournal!$A$1:$L$890,COLUMN(HeadJournal!H$1),0),0)</f>
        <v>0</v>
      </c>
      <c r="P1066" s="30">
        <f>IFERROR(SUM(K1066:O1066)*VLOOKUP($A1066,HeadJournal!$A$1:$L$890,COLUMN(HeadJournal!H$1),0),0)</f>
        <v>521.17563874846303</v>
      </c>
      <c r="Q1066" s="29">
        <v>1600</v>
      </c>
      <c r="R1066" s="31">
        <v>45000</v>
      </c>
      <c r="S1066" s="31" t="s">
        <v>3121</v>
      </c>
      <c r="T1066" s="95" t="str">
        <f t="shared" si="85"/>
        <v>2023 03</v>
      </c>
      <c r="U1066" s="32">
        <f t="shared" si="82"/>
        <v>1078.8243612515371</v>
      </c>
      <c r="V1066" s="22">
        <f t="shared" si="83"/>
        <v>2.0699823265765001</v>
      </c>
      <c r="X1066" s="33"/>
      <c r="Y1066" s="33"/>
    </row>
    <row r="1067" spans="1:25" x14ac:dyDescent="0.2">
      <c r="A1067" s="93" t="s">
        <v>464</v>
      </c>
      <c r="B1067" s="94">
        <f>IFERROR(VLOOKUP($A1067,HeadJournal!$A$1:$NTR$890,COLUMN(HeadJournal!B$1),0),"")</f>
        <v>0</v>
      </c>
      <c r="C1067" s="94" t="str">
        <f>IFERROR(VLOOKUP($A1067,HeadJournal!$A$1:$NTR$890,COLUMN(HeadJournal!C$1),0),"")</f>
        <v>Roman</v>
      </c>
      <c r="D1067" s="125" t="str">
        <f>IFERROR(VLOOKUP($A1067,HeadJournal!$A$1:$NTR$890,COLUMN(HeadJournal!D$1),0),"")</f>
        <v>Доставлен</v>
      </c>
      <c r="E1067" s="95">
        <f>IFERROR(VLOOKUP($A1067,HeadJournal!$A$1:$NTR$890,COLUMN(HeadJournal!G$1),0),"")</f>
        <v>44973</v>
      </c>
      <c r="F1067" s="95" t="str">
        <f t="shared" si="84"/>
        <v>2023 02</v>
      </c>
      <c r="G1067" s="96" t="s">
        <v>5</v>
      </c>
      <c r="H1067" s="160" t="str">
        <f>RIGHT(Journal!$J1067,9)</f>
        <v>OSL-01395</v>
      </c>
      <c r="I1067" s="96" t="str">
        <f t="shared" si="81"/>
        <v>Oslomega</v>
      </c>
      <c r="J1067" s="97" t="s">
        <v>194</v>
      </c>
      <c r="K1067" s="29">
        <v>522.20000000000005</v>
      </c>
      <c r="L1067" s="29"/>
      <c r="M1067" s="30">
        <f>IFERROR(VLOOKUP($A1067,HeadJournal!$A$1:$J$890,COLUMN(HeadJournal!I$1),0)*($K1067+$L1067)/(SUMIF($A:$A,$A1067,$K:$K)+SUMIF($A:$A,$A1067,$L:$L)),0)</f>
        <v>0</v>
      </c>
      <c r="N1067" s="30">
        <f>IFERROR((VLOOKUP($A1067,HeadJournal!$A$1:$K$890,COLUMN(HeadJournal!K$1),0)-VLOOKUP($A1067,HeadJournal!$A$1:$K$890,COLUMN(HeadJournal!J$1),0))*($K1067+$L1067)/(SUMIF($A:$A,$A1067,$K:$K)+SUMIF($A:$A,$A1067,$L:$L)),0)</f>
        <v>-1.0243612515370328</v>
      </c>
      <c r="O1067" s="30">
        <f>IFERROR((VLOOKUP($A1067,HeadJournal!$A$1:$L$890,COLUMN(HeadJournal!L$1),0)*($K1067+$L1067)/(SUMIF($A:$A,$A1067,$K:$K)+SUMIF($A:$A,$A1067,$L:$L)))/VLOOKUP($A1067,HeadJournal!$A$1:$L$890,COLUMN(HeadJournal!H$1),0),0)</f>
        <v>0</v>
      </c>
      <c r="P1067" s="30">
        <f>IFERROR(SUM(K1067:O1067)*VLOOKUP($A1067,HeadJournal!$A$1:$L$890,COLUMN(HeadJournal!H$1),0),0)</f>
        <v>521.17563874846303</v>
      </c>
      <c r="Q1067" s="29">
        <v>1500</v>
      </c>
      <c r="R1067" s="31">
        <v>45002</v>
      </c>
      <c r="S1067" s="31" t="s">
        <v>3121</v>
      </c>
      <c r="T1067" s="95" t="str">
        <f t="shared" si="85"/>
        <v>2023 03</v>
      </c>
      <c r="U1067" s="32">
        <f t="shared" si="82"/>
        <v>978.82436125153697</v>
      </c>
      <c r="V1067" s="22">
        <f t="shared" si="83"/>
        <v>1.8781084311654688</v>
      </c>
      <c r="X1067" s="33"/>
      <c r="Y1067" s="33"/>
    </row>
    <row r="1068" spans="1:25" x14ac:dyDescent="0.2">
      <c r="A1068" s="93" t="s">
        <v>464</v>
      </c>
      <c r="B1068" s="94">
        <f>IFERROR(VLOOKUP($A1068,HeadJournal!$A$1:$NTR$890,COLUMN(HeadJournal!B$1),0),"")</f>
        <v>0</v>
      </c>
      <c r="C1068" s="94" t="str">
        <f>IFERROR(VLOOKUP($A1068,HeadJournal!$A$1:$NTR$890,COLUMN(HeadJournal!C$1),0),"")</f>
        <v>Roman</v>
      </c>
      <c r="D1068" s="125" t="str">
        <f>IFERROR(VLOOKUP($A1068,HeadJournal!$A$1:$NTR$890,COLUMN(HeadJournal!D$1),0),"")</f>
        <v>Доставлен</v>
      </c>
      <c r="E1068" s="95">
        <f>IFERROR(VLOOKUP($A1068,HeadJournal!$A$1:$NTR$890,COLUMN(HeadJournal!G$1),0),"")</f>
        <v>44973</v>
      </c>
      <c r="F1068" s="95" t="str">
        <f t="shared" si="84"/>
        <v>2023 02</v>
      </c>
      <c r="G1068" s="96" t="s">
        <v>5</v>
      </c>
      <c r="H1068" s="160" t="str">
        <f>RIGHT(Journal!$J1068,9)</f>
        <v>NWY-41092</v>
      </c>
      <c r="I1068" s="96" t="str">
        <f t="shared" si="81"/>
        <v>Nature's Way</v>
      </c>
      <c r="J1068" s="97" t="s">
        <v>465</v>
      </c>
      <c r="K1068" s="29">
        <v>289.8</v>
      </c>
      <c r="L1068" s="29"/>
      <c r="M1068" s="30">
        <f>IFERROR(VLOOKUP($A1068,HeadJournal!$A$1:$J$890,COLUMN(HeadJournal!I$1),0)*($K1068+$L1068)/(SUMIF($A:$A,$A1068,$K:$K)+SUMIF($A:$A,$A1068,$L:$L)),0)</f>
        <v>0</v>
      </c>
      <c r="N1068" s="30">
        <f>IFERROR((VLOOKUP($A1068,HeadJournal!$A$1:$K$890,COLUMN(HeadJournal!K$1),0)-VLOOKUP($A1068,HeadJournal!$A$1:$K$890,COLUMN(HeadJournal!J$1),0))*($K1068+$L1068)/(SUMIF($A:$A,$A1068,$K:$K)+SUMIF($A:$A,$A1068,$L:$L)),0)</f>
        <v>-0.56847930045084671</v>
      </c>
      <c r="O1068" s="30">
        <f>IFERROR((VLOOKUP($A1068,HeadJournal!$A$1:$L$890,COLUMN(HeadJournal!L$1),0)*($K1068+$L1068)/(SUMIF($A:$A,$A1068,$K:$K)+SUMIF($A:$A,$A1068,$L:$L)))/VLOOKUP($A1068,HeadJournal!$A$1:$L$890,COLUMN(HeadJournal!H$1),0),0)</f>
        <v>0</v>
      </c>
      <c r="P1068" s="30">
        <f>IFERROR(SUM(K1068:O1068)*VLOOKUP($A1068,HeadJournal!$A$1:$L$890,COLUMN(HeadJournal!H$1),0),0)</f>
        <v>289.23152069954915</v>
      </c>
      <c r="Q1068" s="29">
        <v>800</v>
      </c>
      <c r="R1068" s="31">
        <v>45016</v>
      </c>
      <c r="S1068" s="31" t="s">
        <v>3121</v>
      </c>
      <c r="T1068" s="95" t="str">
        <f t="shared" si="85"/>
        <v>2023 03</v>
      </c>
      <c r="U1068" s="32">
        <f t="shared" si="82"/>
        <v>510.76847930045085</v>
      </c>
      <c r="V1068" s="22">
        <f t="shared" si="83"/>
        <v>1.765950260417958</v>
      </c>
      <c r="X1068" s="33"/>
      <c r="Y1068" s="33"/>
    </row>
    <row r="1069" spans="1:25" x14ac:dyDescent="0.2">
      <c r="A1069" s="93" t="s">
        <v>466</v>
      </c>
      <c r="B1069" s="94">
        <f>IFERROR(VLOOKUP($A1069,HeadJournal!$A$1:$NTR$890,COLUMN(HeadJournal!B$1),0),"")</f>
        <v>0</v>
      </c>
      <c r="C1069" s="94" t="str">
        <f>IFERROR(VLOOKUP($A1069,HeadJournal!$A$1:$NTR$890,COLUMN(HeadJournal!C$1),0),"")</f>
        <v>Forever</v>
      </c>
      <c r="D1069" s="125" t="str">
        <f>IFERROR(VLOOKUP($A1069,HeadJournal!$A$1:$NTR$890,COLUMN(HeadJournal!D$1),0),"")</f>
        <v>Доставлен</v>
      </c>
      <c r="E1069" s="95">
        <f>IFERROR(VLOOKUP($A1069,HeadJournal!$A$1:$NTR$890,COLUMN(HeadJournal!G$1),0),"")</f>
        <v>44976</v>
      </c>
      <c r="F1069" s="95" t="str">
        <f t="shared" si="84"/>
        <v>2023 02</v>
      </c>
      <c r="G1069" s="96" t="s">
        <v>5</v>
      </c>
      <c r="H1069" s="160" t="str">
        <f>RIGHT(Journal!$J1069,9)</f>
        <v>000000187</v>
      </c>
      <c r="I1069" s="96" t="str">
        <f t="shared" si="81"/>
        <v>Forever</v>
      </c>
      <c r="J1069" s="97" t="s">
        <v>467</v>
      </c>
      <c r="K1069" s="29">
        <v>11593</v>
      </c>
      <c r="L1069" s="29"/>
      <c r="M1069" s="30">
        <f>IFERROR(VLOOKUP($A1069,HeadJournal!$A$1:$J$890,COLUMN(HeadJournal!I$1),0)*($K1069+$L1069)/(SUMIF($A:$A,$A1069,$K:$K)+SUMIF($A:$A,$A1069,$L:$L)),0)</f>
        <v>0</v>
      </c>
      <c r="N1069" s="30">
        <f>IFERROR((VLOOKUP($A1069,HeadJournal!$A$1:$K$890,COLUMN(HeadJournal!K$1),0)-VLOOKUP($A1069,HeadJournal!$A$1:$K$890,COLUMN(HeadJournal!J$1),0))*($K1069+$L1069)/(SUMIF($A:$A,$A1069,$K:$K)+SUMIF($A:$A,$A1069,$L:$L)),0)</f>
        <v>231.82834387657579</v>
      </c>
      <c r="O1069" s="30">
        <f>IFERROR((VLOOKUP($A1069,HeadJournal!$A$1:$L$890,COLUMN(HeadJournal!L$1),0)*($K1069+$L1069)/(SUMIF($A:$A,$A1069,$K:$K)+SUMIF($A:$A,$A1069,$L:$L)))/VLOOKUP($A1069,HeadJournal!$A$1:$L$890,COLUMN(HeadJournal!H$1),0),0)</f>
        <v>705.0582809322824</v>
      </c>
      <c r="P1069" s="30">
        <f>IFERROR(SUM(K1069:O1069)*VLOOKUP($A1069,HeadJournal!$A$1:$L$890,COLUMN(HeadJournal!H$1),0),0)</f>
        <v>2174.6870420971159</v>
      </c>
      <c r="Q1069" s="29">
        <v>2174.69</v>
      </c>
      <c r="R1069" s="31">
        <v>44970</v>
      </c>
      <c r="S1069" s="31" t="s">
        <v>3121</v>
      </c>
      <c r="T1069" s="95" t="str">
        <f t="shared" si="85"/>
        <v>2023 02</v>
      </c>
      <c r="U1069" s="32">
        <f t="shared" si="82"/>
        <v>2.9579028841908439E-3</v>
      </c>
      <c r="V1069" s="22">
        <f t="shared" si="83"/>
        <v>1.3601510594087365E-6</v>
      </c>
      <c r="X1069" s="33"/>
      <c r="Y1069" s="33"/>
    </row>
    <row r="1070" spans="1:25" x14ac:dyDescent="0.2">
      <c r="A1070" s="93" t="s">
        <v>466</v>
      </c>
      <c r="B1070" s="94">
        <f>IFERROR(VLOOKUP($A1070,HeadJournal!$A$1:$NTR$890,COLUMN(HeadJournal!B$1),0),"")</f>
        <v>0</v>
      </c>
      <c r="C1070" s="94" t="str">
        <f>IFERROR(VLOOKUP($A1070,HeadJournal!$A$1:$NTR$890,COLUMN(HeadJournal!C$1),0),"")</f>
        <v>Forever</v>
      </c>
      <c r="D1070" s="125" t="str">
        <f>IFERROR(VLOOKUP($A1070,HeadJournal!$A$1:$NTR$890,COLUMN(HeadJournal!D$1),0),"")</f>
        <v>Доставлен</v>
      </c>
      <c r="E1070" s="95">
        <f>IFERROR(VLOOKUP($A1070,HeadJournal!$A$1:$NTR$890,COLUMN(HeadJournal!G$1),0),"")</f>
        <v>44976</v>
      </c>
      <c r="F1070" s="95" t="str">
        <f t="shared" si="84"/>
        <v>2023 02</v>
      </c>
      <c r="G1070" s="96" t="s">
        <v>5</v>
      </c>
      <c r="H1070" s="160" t="str">
        <f>RIGHT(Journal!$J1070,9)</f>
        <v>000000205</v>
      </c>
      <c r="I1070" s="96" t="str">
        <f t="shared" si="81"/>
        <v>Forever</v>
      </c>
      <c r="J1070" s="97" t="s">
        <v>468</v>
      </c>
      <c r="K1070" s="29">
        <v>8112</v>
      </c>
      <c r="L1070" s="29"/>
      <c r="M1070" s="30">
        <f>IFERROR(VLOOKUP($A1070,HeadJournal!$A$1:$J$890,COLUMN(HeadJournal!I$1),0)*($K1070+$L1070)/(SUMIF($A:$A,$A1070,$K:$K)+SUMIF($A:$A,$A1070,$L:$L)),0)</f>
        <v>0</v>
      </c>
      <c r="N1070" s="30">
        <f>IFERROR((VLOOKUP($A1070,HeadJournal!$A$1:$K$890,COLUMN(HeadJournal!K$1),0)-VLOOKUP($A1070,HeadJournal!$A$1:$K$890,COLUMN(HeadJournal!J$1),0))*($K1070+$L1070)/(SUMIF($A:$A,$A1070,$K:$K)+SUMIF($A:$A,$A1070,$L:$L)),0)</f>
        <v>162.21784917853731</v>
      </c>
      <c r="O1070" s="30">
        <f>IFERROR((VLOOKUP($A1070,HeadJournal!$A$1:$L$890,COLUMN(HeadJournal!L$1),0)*($K1070+$L1070)/(SUMIF($A:$A,$A1070,$K:$K)+SUMIF($A:$A,$A1070,$L:$L)))/VLOOKUP($A1070,HeadJournal!$A$1:$L$890,COLUMN(HeadJournal!H$1),0),0)</f>
        <v>493.35226213427711</v>
      </c>
      <c r="P1070" s="30">
        <f>IFERROR(SUM(K1070:O1070)*VLOOKUP($A1070,HeadJournal!$A$1:$L$890,COLUMN(HeadJournal!H$1),0),0)</f>
        <v>1521.6994121876826</v>
      </c>
      <c r="Q1070" s="29">
        <v>2200</v>
      </c>
      <c r="R1070" s="31">
        <v>45007</v>
      </c>
      <c r="S1070" s="31" t="s">
        <v>3121</v>
      </c>
      <c r="T1070" s="95" t="str">
        <f t="shared" si="85"/>
        <v>2023 03</v>
      </c>
      <c r="U1070" s="32">
        <f t="shared" si="82"/>
        <v>678.30058781231742</v>
      </c>
      <c r="V1070" s="22">
        <f t="shared" si="83"/>
        <v>0.44575202065508684</v>
      </c>
      <c r="X1070" s="33"/>
      <c r="Y1070" s="33"/>
    </row>
    <row r="1071" spans="1:25" x14ac:dyDescent="0.2">
      <c r="A1071" s="93" t="s">
        <v>466</v>
      </c>
      <c r="B1071" s="94">
        <f>IFERROR(VLOOKUP($A1071,HeadJournal!$A$1:$NTR$890,COLUMN(HeadJournal!B$1),0),"")</f>
        <v>0</v>
      </c>
      <c r="C1071" s="94" t="str">
        <f>IFERROR(VLOOKUP($A1071,HeadJournal!$A$1:$NTR$890,COLUMN(HeadJournal!C$1),0),"")</f>
        <v>Forever</v>
      </c>
      <c r="D1071" s="125" t="str">
        <f>IFERROR(VLOOKUP($A1071,HeadJournal!$A$1:$NTR$890,COLUMN(HeadJournal!D$1),0),"")</f>
        <v>Доставлен</v>
      </c>
      <c r="E1071" s="95">
        <f>IFERROR(VLOOKUP($A1071,HeadJournal!$A$1:$NTR$890,COLUMN(HeadJournal!G$1),0),"")</f>
        <v>44976</v>
      </c>
      <c r="F1071" s="95" t="str">
        <f t="shared" si="84"/>
        <v>2023 02</v>
      </c>
      <c r="G1071" s="96" t="s">
        <v>7</v>
      </c>
      <c r="H1071" s="160" t="str">
        <f>RIGHT(Journal!$J1071,9)</f>
        <v>000000028</v>
      </c>
      <c r="I1071" s="96" t="str">
        <f t="shared" si="81"/>
        <v>Forever</v>
      </c>
      <c r="J1071" s="97" t="s">
        <v>296</v>
      </c>
      <c r="K1071" s="29">
        <v>2701</v>
      </c>
      <c r="L1071" s="29"/>
      <c r="M1071" s="30">
        <f>IFERROR(VLOOKUP($A1071,HeadJournal!$A$1:$J$890,COLUMN(HeadJournal!I$1),0)*($K1071+$L1071)/(SUMIF($A:$A,$A1071,$K:$K)+SUMIF($A:$A,$A1071,$L:$L)),0)</f>
        <v>0</v>
      </c>
      <c r="N1071" s="30">
        <f>IFERROR((VLOOKUP($A1071,HeadJournal!$A$1:$K$890,COLUMN(HeadJournal!K$1),0)-VLOOKUP($A1071,HeadJournal!$A$1:$K$890,COLUMN(HeadJournal!J$1),0))*($K1071+$L1071)/(SUMIF($A:$A,$A1071,$K:$K)+SUMIF($A:$A,$A1071,$L:$L)),0)</f>
        <v>54.012624584717607</v>
      </c>
      <c r="O1071" s="30">
        <f>IFERROR((VLOOKUP($A1071,HeadJournal!$A$1:$L$890,COLUMN(HeadJournal!L$1),0)*($K1071+$L1071)/(SUMIF($A:$A,$A1071,$K:$K)+SUMIF($A:$A,$A1071,$L:$L)))/VLOOKUP($A1071,HeadJournal!$A$1:$L$890,COLUMN(HeadJournal!H$1),0),0)</f>
        <v>164.268301285094</v>
      </c>
      <c r="P1071" s="30">
        <f>IFERROR(SUM(K1071:O1071)*VLOOKUP($A1071,HeadJournal!$A$1:$L$890,COLUMN(HeadJournal!H$1),0),0)</f>
        <v>506.67037873754077</v>
      </c>
      <c r="Q1071" s="29">
        <v>506.67</v>
      </c>
      <c r="R1071" s="31">
        <v>44977</v>
      </c>
      <c r="S1071" s="31" t="s">
        <v>3121</v>
      </c>
      <c r="T1071" s="95" t="str">
        <f t="shared" si="85"/>
        <v>2023 02</v>
      </c>
      <c r="U1071" s="32">
        <f t="shared" si="82"/>
        <v>-3.7873754075690158E-4</v>
      </c>
      <c r="V1071" s="22">
        <f t="shared" si="83"/>
        <v>-7.4750282757913223E-7</v>
      </c>
      <c r="X1071" s="33"/>
      <c r="Y1071" s="33"/>
    </row>
    <row r="1072" spans="1:25" x14ac:dyDescent="0.2">
      <c r="A1072" s="93" t="s">
        <v>466</v>
      </c>
      <c r="B1072" s="94">
        <f>IFERROR(VLOOKUP($A1072,HeadJournal!$A$1:$NTR$890,COLUMN(HeadJournal!B$1),0),"")</f>
        <v>0</v>
      </c>
      <c r="C1072" s="94" t="str">
        <f>IFERROR(VLOOKUP($A1072,HeadJournal!$A$1:$NTR$890,COLUMN(HeadJournal!C$1),0),"")</f>
        <v>Forever</v>
      </c>
      <c r="D1072" s="125" t="str">
        <f>IFERROR(VLOOKUP($A1072,HeadJournal!$A$1:$NTR$890,COLUMN(HeadJournal!D$1),0),"")</f>
        <v>Доставлен</v>
      </c>
      <c r="E1072" s="95">
        <f>IFERROR(VLOOKUP($A1072,HeadJournal!$A$1:$NTR$890,COLUMN(HeadJournal!G$1),0),"")</f>
        <v>44976</v>
      </c>
      <c r="F1072" s="95" t="str">
        <f t="shared" si="84"/>
        <v>2023 02</v>
      </c>
      <c r="G1072" s="96" t="s">
        <v>7</v>
      </c>
      <c r="H1072" s="160" t="str">
        <f>RIGHT(Journal!$J1072,9)</f>
        <v>000000028</v>
      </c>
      <c r="I1072" s="96" t="str">
        <f t="shared" si="81"/>
        <v>Forever</v>
      </c>
      <c r="J1072" s="97" t="s">
        <v>296</v>
      </c>
      <c r="K1072" s="29">
        <v>2701</v>
      </c>
      <c r="L1072" s="29"/>
      <c r="M1072" s="30">
        <f>IFERROR(VLOOKUP($A1072,HeadJournal!$A$1:$J$890,COLUMN(HeadJournal!I$1),0)*($K1072+$L1072)/(SUMIF($A:$A,$A1072,$K:$K)+SUMIF($A:$A,$A1072,$L:$L)),0)</f>
        <v>0</v>
      </c>
      <c r="N1072" s="30">
        <f>IFERROR((VLOOKUP($A1072,HeadJournal!$A$1:$K$890,COLUMN(HeadJournal!K$1),0)-VLOOKUP($A1072,HeadJournal!$A$1:$K$890,COLUMN(HeadJournal!J$1),0))*($K1072+$L1072)/(SUMIF($A:$A,$A1072,$K:$K)+SUMIF($A:$A,$A1072,$L:$L)),0)</f>
        <v>54.012624584717607</v>
      </c>
      <c r="O1072" s="30">
        <f>IFERROR((VLOOKUP($A1072,HeadJournal!$A$1:$L$890,COLUMN(HeadJournal!L$1),0)*($K1072+$L1072)/(SUMIF($A:$A,$A1072,$K:$K)+SUMIF($A:$A,$A1072,$L:$L)))/VLOOKUP($A1072,HeadJournal!$A$1:$L$890,COLUMN(HeadJournal!H$1),0),0)</f>
        <v>164.268301285094</v>
      </c>
      <c r="P1072" s="30">
        <f>IFERROR(SUM(K1072:O1072)*VLOOKUP($A1072,HeadJournal!$A$1:$L$890,COLUMN(HeadJournal!H$1),0),0)</f>
        <v>506.67037873754077</v>
      </c>
      <c r="Q1072" s="29">
        <v>506.67</v>
      </c>
      <c r="R1072" s="31">
        <v>44977</v>
      </c>
      <c r="S1072" s="31" t="s">
        <v>3121</v>
      </c>
      <c r="T1072" s="95" t="str">
        <f t="shared" si="85"/>
        <v>2023 02</v>
      </c>
      <c r="U1072" s="32">
        <f t="shared" si="82"/>
        <v>-3.7873754075690158E-4</v>
      </c>
      <c r="V1072" s="22">
        <f t="shared" si="83"/>
        <v>-7.4750282757913223E-7</v>
      </c>
      <c r="X1072" s="33"/>
      <c r="Y1072" s="33"/>
    </row>
    <row r="1073" spans="1:25" x14ac:dyDescent="0.2">
      <c r="A1073" s="93" t="s">
        <v>466</v>
      </c>
      <c r="B1073" s="94">
        <f>IFERROR(VLOOKUP($A1073,HeadJournal!$A$1:$NTR$890,COLUMN(HeadJournal!B$1),0),"")</f>
        <v>0</v>
      </c>
      <c r="C1073" s="94" t="str">
        <f>IFERROR(VLOOKUP($A1073,HeadJournal!$A$1:$NTR$890,COLUMN(HeadJournal!C$1),0),"")</f>
        <v>Forever</v>
      </c>
      <c r="D1073" s="125" t="str">
        <f>IFERROR(VLOOKUP($A1073,HeadJournal!$A$1:$NTR$890,COLUMN(HeadJournal!D$1),0),"")</f>
        <v>Доставлен</v>
      </c>
      <c r="E1073" s="95">
        <f>IFERROR(VLOOKUP($A1073,HeadJournal!$A$1:$NTR$890,COLUMN(HeadJournal!G$1),0),"")</f>
        <v>44976</v>
      </c>
      <c r="F1073" s="95" t="str">
        <f t="shared" si="84"/>
        <v>2023 02</v>
      </c>
      <c r="G1073" s="96" t="s">
        <v>5</v>
      </c>
      <c r="H1073" s="160" t="str">
        <f>RIGHT(Journal!$J1073,9)</f>
        <v>000000374</v>
      </c>
      <c r="I1073" s="96" t="str">
        <f t="shared" si="81"/>
        <v>Forever</v>
      </c>
      <c r="J1073" s="97" t="s">
        <v>469</v>
      </c>
      <c r="K1073" s="29">
        <v>10027</v>
      </c>
      <c r="L1073" s="29"/>
      <c r="M1073" s="30">
        <f>IFERROR(VLOOKUP($A1073,HeadJournal!$A$1:$J$890,COLUMN(HeadJournal!I$1),0)*($K1073+$L1073)/(SUMIF($A:$A,$A1073,$K:$K)+SUMIF($A:$A,$A1073,$L:$L)),0)</f>
        <v>0</v>
      </c>
      <c r="N1073" s="30">
        <f>IFERROR((VLOOKUP($A1073,HeadJournal!$A$1:$K$890,COLUMN(HeadJournal!K$1),0)-VLOOKUP($A1073,HeadJournal!$A$1:$K$890,COLUMN(HeadJournal!J$1),0))*($K1073+$L1073)/(SUMIF($A:$A,$A1073,$K:$K)+SUMIF($A:$A,$A1073,$L:$L)),0)</f>
        <v>200.51262003367771</v>
      </c>
      <c r="O1073" s="30">
        <f>IFERROR((VLOOKUP($A1073,HeadJournal!$A$1:$L$890,COLUMN(HeadJournal!L$1),0)*($K1073+$L1073)/(SUMIF($A:$A,$A1073,$K:$K)+SUMIF($A:$A,$A1073,$L:$L)))/VLOOKUP($A1073,HeadJournal!$A$1:$L$890,COLUMN(HeadJournal!H$1),0),0)</f>
        <v>609.81794038712974</v>
      </c>
      <c r="P1073" s="30">
        <f>IFERROR(SUM(K1073:O1073)*VLOOKUP($A1073,HeadJournal!$A$1:$L$890,COLUMN(HeadJournal!H$1),0),0)</f>
        <v>1880.9270224366239</v>
      </c>
      <c r="Q1073" s="29">
        <v>2600</v>
      </c>
      <c r="R1073" s="31">
        <v>45009</v>
      </c>
      <c r="S1073" s="31" t="s">
        <v>3121</v>
      </c>
      <c r="T1073" s="95" t="str">
        <f t="shared" si="85"/>
        <v>2023 03</v>
      </c>
      <c r="U1073" s="32">
        <f t="shared" si="82"/>
        <v>719.07297756337607</v>
      </c>
      <c r="V1073" s="22">
        <f t="shared" si="83"/>
        <v>0.3822971167865204</v>
      </c>
      <c r="X1073" s="33"/>
      <c r="Y1073" s="33"/>
    </row>
    <row r="1074" spans="1:25" x14ac:dyDescent="0.2">
      <c r="A1074" s="93" t="s">
        <v>466</v>
      </c>
      <c r="B1074" s="94">
        <f>IFERROR(VLOOKUP($A1074,HeadJournal!$A$1:$NTR$890,COLUMN(HeadJournal!B$1),0),"")</f>
        <v>0</v>
      </c>
      <c r="C1074" s="94" t="str">
        <f>IFERROR(VLOOKUP($A1074,HeadJournal!$A$1:$NTR$890,COLUMN(HeadJournal!C$1),0),"")</f>
        <v>Forever</v>
      </c>
      <c r="D1074" s="125" t="str">
        <f>IFERROR(VLOOKUP($A1074,HeadJournal!$A$1:$NTR$890,COLUMN(HeadJournal!D$1),0),"")</f>
        <v>Доставлен</v>
      </c>
      <c r="E1074" s="95">
        <f>IFERROR(VLOOKUP($A1074,HeadJournal!$A$1:$NTR$890,COLUMN(HeadJournal!G$1),0),"")</f>
        <v>44976</v>
      </c>
      <c r="F1074" s="95" t="str">
        <f t="shared" si="84"/>
        <v>2023 02</v>
      </c>
      <c r="G1074" s="96" t="s">
        <v>5</v>
      </c>
      <c r="H1074" s="160" t="str">
        <f>RIGHT(Journal!$J1074,9)</f>
        <v>000000374</v>
      </c>
      <c r="I1074" s="96" t="str">
        <f t="shared" si="81"/>
        <v>Forever</v>
      </c>
      <c r="J1074" s="97" t="s">
        <v>469</v>
      </c>
      <c r="K1074" s="29">
        <v>10027</v>
      </c>
      <c r="L1074" s="29"/>
      <c r="M1074" s="30">
        <f>IFERROR(VLOOKUP($A1074,HeadJournal!$A$1:$J$890,COLUMN(HeadJournal!I$1),0)*($K1074+$L1074)/(SUMIF($A:$A,$A1074,$K:$K)+SUMIF($A:$A,$A1074,$L:$L)),0)</f>
        <v>0</v>
      </c>
      <c r="N1074" s="30">
        <f>IFERROR((VLOOKUP($A1074,HeadJournal!$A$1:$K$890,COLUMN(HeadJournal!K$1),0)-VLOOKUP($A1074,HeadJournal!$A$1:$K$890,COLUMN(HeadJournal!J$1),0))*($K1074+$L1074)/(SUMIF($A:$A,$A1074,$K:$K)+SUMIF($A:$A,$A1074,$L:$L)),0)</f>
        <v>200.51262003367771</v>
      </c>
      <c r="O1074" s="30">
        <f>IFERROR((VLOOKUP($A1074,HeadJournal!$A$1:$L$890,COLUMN(HeadJournal!L$1),0)*($K1074+$L1074)/(SUMIF($A:$A,$A1074,$K:$K)+SUMIF($A:$A,$A1074,$L:$L)))/VLOOKUP($A1074,HeadJournal!$A$1:$L$890,COLUMN(HeadJournal!H$1),0),0)</f>
        <v>609.81794038712974</v>
      </c>
      <c r="P1074" s="30">
        <f>IFERROR(SUM(K1074:O1074)*VLOOKUP($A1074,HeadJournal!$A$1:$L$890,COLUMN(HeadJournal!H$1),0),0)</f>
        <v>1880.9270224366239</v>
      </c>
      <c r="Q1074" s="29">
        <v>1880.93</v>
      </c>
      <c r="R1074" s="31">
        <v>44977</v>
      </c>
      <c r="S1074" s="31" t="s">
        <v>3121</v>
      </c>
      <c r="T1074" s="95" t="str">
        <f t="shared" si="85"/>
        <v>2023 02</v>
      </c>
      <c r="U1074" s="32">
        <f t="shared" si="82"/>
        <v>2.9775633761346398E-3</v>
      </c>
      <c r="V1074" s="22">
        <f t="shared" si="83"/>
        <v>1.5830297191846346E-6</v>
      </c>
      <c r="X1074" s="33"/>
      <c r="Y1074" s="33"/>
    </row>
    <row r="1075" spans="1:25" x14ac:dyDescent="0.2">
      <c r="A1075" s="93" t="s">
        <v>466</v>
      </c>
      <c r="B1075" s="94">
        <f>IFERROR(VLOOKUP($A1075,HeadJournal!$A$1:$NTR$890,COLUMN(HeadJournal!B$1),0),"")</f>
        <v>0</v>
      </c>
      <c r="C1075" s="94" t="str">
        <f>IFERROR(VLOOKUP($A1075,HeadJournal!$A$1:$NTR$890,COLUMN(HeadJournal!C$1),0),"")</f>
        <v>Forever</v>
      </c>
      <c r="D1075" s="125" t="str">
        <f>IFERROR(VLOOKUP($A1075,HeadJournal!$A$1:$NTR$890,COLUMN(HeadJournal!D$1),0),"")</f>
        <v>Доставлен</v>
      </c>
      <c r="E1075" s="95">
        <f>IFERROR(VLOOKUP($A1075,HeadJournal!$A$1:$NTR$890,COLUMN(HeadJournal!G$1),0),"")</f>
        <v>44976</v>
      </c>
      <c r="F1075" s="95" t="str">
        <f t="shared" si="84"/>
        <v>2023 02</v>
      </c>
      <c r="G1075" s="96" t="s">
        <v>5</v>
      </c>
      <c r="H1075" s="160" t="str">
        <f>RIGHT(Journal!$J1075,9)</f>
        <v>000000375</v>
      </c>
      <c r="I1075" s="96" t="str">
        <f t="shared" si="81"/>
        <v>Forever</v>
      </c>
      <c r="J1075" s="97" t="s">
        <v>298</v>
      </c>
      <c r="K1075" s="29">
        <v>10613</v>
      </c>
      <c r="L1075" s="29"/>
      <c r="M1075" s="30">
        <f>IFERROR(VLOOKUP($A1075,HeadJournal!$A$1:$J$890,COLUMN(HeadJournal!I$1),0)*($K1075+$L1075)/(SUMIF($A:$A,$A1075,$K:$K)+SUMIF($A:$A,$A1075,$L:$L)),0)</f>
        <v>0</v>
      </c>
      <c r="N1075" s="30">
        <f>IFERROR((VLOOKUP($A1075,HeadJournal!$A$1:$K$890,COLUMN(HeadJournal!K$1),0)-VLOOKUP($A1075,HeadJournal!$A$1:$K$890,COLUMN(HeadJournal!J$1),0))*($K1075+$L1075)/(SUMIF($A:$A,$A1075,$K:$K)+SUMIF($A:$A,$A1075,$L:$L)),0)</f>
        <v>212.23101988804441</v>
      </c>
      <c r="O1075" s="30">
        <f>IFERROR((VLOOKUP($A1075,HeadJournal!$A$1:$L$890,COLUMN(HeadJournal!L$1),0)*($K1075+$L1075)/(SUMIF($A:$A,$A1075,$K:$K)+SUMIF($A:$A,$A1075,$L:$L)))/VLOOKUP($A1075,HeadJournal!$A$1:$L$890,COLUMN(HeadJournal!H$1),0),0)</f>
        <v>645.45704610836822</v>
      </c>
      <c r="P1075" s="30">
        <f>IFERROR(SUM(K1075:O1075)*VLOOKUP($A1075,HeadJournal!$A$1:$L$890,COLUMN(HeadJournal!H$1),0),0)</f>
        <v>1990.8525470349944</v>
      </c>
      <c r="Q1075" s="29">
        <v>2700</v>
      </c>
      <c r="R1075" s="31">
        <v>45009</v>
      </c>
      <c r="S1075" s="31" t="s">
        <v>3121</v>
      </c>
      <c r="T1075" s="95" t="str">
        <f t="shared" si="85"/>
        <v>2023 03</v>
      </c>
      <c r="U1075" s="32">
        <f t="shared" si="82"/>
        <v>709.14745296500564</v>
      </c>
      <c r="V1075" s="22">
        <f t="shared" si="83"/>
        <v>0.35620290112452035</v>
      </c>
      <c r="X1075" s="33"/>
      <c r="Y1075" s="33"/>
    </row>
    <row r="1076" spans="1:25" x14ac:dyDescent="0.2">
      <c r="A1076" s="93" t="s">
        <v>466</v>
      </c>
      <c r="B1076" s="94">
        <f>IFERROR(VLOOKUP($A1076,HeadJournal!$A$1:$NTR$890,COLUMN(HeadJournal!B$1),0),"")</f>
        <v>0</v>
      </c>
      <c r="C1076" s="94" t="str">
        <f>IFERROR(VLOOKUP($A1076,HeadJournal!$A$1:$NTR$890,COLUMN(HeadJournal!C$1),0),"")</f>
        <v>Forever</v>
      </c>
      <c r="D1076" s="125" t="str">
        <f>IFERROR(VLOOKUP($A1076,HeadJournal!$A$1:$NTR$890,COLUMN(HeadJournal!D$1),0),"")</f>
        <v>Доставлен</v>
      </c>
      <c r="E1076" s="95">
        <f>IFERROR(VLOOKUP($A1076,HeadJournal!$A$1:$NTR$890,COLUMN(HeadJournal!G$1),0),"")</f>
        <v>44976</v>
      </c>
      <c r="F1076" s="95" t="str">
        <f t="shared" si="84"/>
        <v>2023 02</v>
      </c>
      <c r="G1076" s="96" t="s">
        <v>5</v>
      </c>
      <c r="H1076" s="160" t="str">
        <f>RIGHT(Journal!$J1076,9)</f>
        <v>000000375</v>
      </c>
      <c r="I1076" s="96" t="str">
        <f t="shared" si="81"/>
        <v>Forever</v>
      </c>
      <c r="J1076" s="97" t="s">
        <v>298</v>
      </c>
      <c r="K1076" s="29">
        <v>10613</v>
      </c>
      <c r="L1076" s="29"/>
      <c r="M1076" s="30">
        <f>IFERROR(VLOOKUP($A1076,HeadJournal!$A$1:$J$890,COLUMN(HeadJournal!I$1),0)*($K1076+$L1076)/(SUMIF($A:$A,$A1076,$K:$K)+SUMIF($A:$A,$A1076,$L:$L)),0)</f>
        <v>0</v>
      </c>
      <c r="N1076" s="30">
        <f>IFERROR((VLOOKUP($A1076,HeadJournal!$A$1:$K$890,COLUMN(HeadJournal!K$1),0)-VLOOKUP($A1076,HeadJournal!$A$1:$K$890,COLUMN(HeadJournal!J$1),0))*($K1076+$L1076)/(SUMIF($A:$A,$A1076,$K:$K)+SUMIF($A:$A,$A1076,$L:$L)),0)</f>
        <v>212.23101988804441</v>
      </c>
      <c r="O1076" s="30">
        <f>IFERROR((VLOOKUP($A1076,HeadJournal!$A$1:$L$890,COLUMN(HeadJournal!L$1),0)*($K1076+$L1076)/(SUMIF($A:$A,$A1076,$K:$K)+SUMIF($A:$A,$A1076,$L:$L)))/VLOOKUP($A1076,HeadJournal!$A$1:$L$890,COLUMN(HeadJournal!H$1),0),0)</f>
        <v>645.45704610836822</v>
      </c>
      <c r="P1076" s="30">
        <f>IFERROR(SUM(K1076:O1076)*VLOOKUP($A1076,HeadJournal!$A$1:$L$890,COLUMN(HeadJournal!H$1),0),0)</f>
        <v>1990.8525470349944</v>
      </c>
      <c r="Q1076" s="29">
        <v>1990.85</v>
      </c>
      <c r="R1076" s="31">
        <v>44977</v>
      </c>
      <c r="S1076" s="31" t="s">
        <v>3121</v>
      </c>
      <c r="T1076" s="95" t="str">
        <f t="shared" si="85"/>
        <v>2023 02</v>
      </c>
      <c r="U1076" s="32">
        <f t="shared" si="82"/>
        <v>-2.5470349944498594E-3</v>
      </c>
      <c r="V1076" s="22">
        <f t="shared" si="83"/>
        <v>-1.2793689810142873E-6</v>
      </c>
      <c r="X1076" s="33"/>
      <c r="Y1076" s="33"/>
    </row>
    <row r="1077" spans="1:25" x14ac:dyDescent="0.2">
      <c r="A1077" s="93" t="s">
        <v>466</v>
      </c>
      <c r="B1077" s="94">
        <f>IFERROR(VLOOKUP($A1077,HeadJournal!$A$1:$NTR$890,COLUMN(HeadJournal!B$1),0),"")</f>
        <v>0</v>
      </c>
      <c r="C1077" s="94" t="str">
        <f>IFERROR(VLOOKUP($A1077,HeadJournal!$A$1:$NTR$890,COLUMN(HeadJournal!C$1),0),"")</f>
        <v>Forever</v>
      </c>
      <c r="D1077" s="125" t="str">
        <f>IFERROR(VLOOKUP($A1077,HeadJournal!$A$1:$NTR$890,COLUMN(HeadJournal!D$1),0),"")</f>
        <v>Доставлен</v>
      </c>
      <c r="E1077" s="95">
        <f>IFERROR(VLOOKUP($A1077,HeadJournal!$A$1:$NTR$890,COLUMN(HeadJournal!G$1),0),"")</f>
        <v>44976</v>
      </c>
      <c r="F1077" s="95" t="str">
        <f t="shared" si="84"/>
        <v>2023 02</v>
      </c>
      <c r="G1077" s="96" t="s">
        <v>5</v>
      </c>
      <c r="H1077" s="160" t="str">
        <f>RIGHT(Journal!$J1077,9)</f>
        <v>000000463</v>
      </c>
      <c r="I1077" s="96" t="str">
        <f t="shared" si="81"/>
        <v>Forever</v>
      </c>
      <c r="J1077" s="97" t="s">
        <v>470</v>
      </c>
      <c r="K1077" s="29">
        <v>11646</v>
      </c>
      <c r="L1077" s="29"/>
      <c r="M1077" s="30">
        <f>IFERROR(VLOOKUP($A1077,HeadJournal!$A$1:$J$890,COLUMN(HeadJournal!I$1),0)*($K1077+$L1077)/(SUMIF($A:$A,$A1077,$K:$K)+SUMIF($A:$A,$A1077,$L:$L)),0)</f>
        <v>0</v>
      </c>
      <c r="N1077" s="30">
        <f>IFERROR((VLOOKUP($A1077,HeadJournal!$A$1:$K$890,COLUMN(HeadJournal!K$1),0)-VLOOKUP($A1077,HeadJournal!$A$1:$K$890,COLUMN(HeadJournal!J$1),0))*($K1077+$L1077)/(SUMIF($A:$A,$A1077,$K:$K)+SUMIF($A:$A,$A1077,$L:$L)),0)</f>
        <v>232.88819915350658</v>
      </c>
      <c r="O1077" s="30">
        <f>IFERROR((VLOOKUP($A1077,HeadJournal!$A$1:$L$890,COLUMN(HeadJournal!L$1),0)*($K1077+$L1077)/(SUMIF($A:$A,$A1077,$K:$K)+SUMIF($A:$A,$A1077,$L:$L)))/VLOOKUP($A1077,HeadJournal!$A$1:$L$890,COLUMN(HeadJournal!H$1),0),0)</f>
        <v>708.28161301969806</v>
      </c>
      <c r="P1077" s="30">
        <f>IFERROR(SUM(K1077:O1077)*VLOOKUP($A1077,HeadJournal!$A$1:$L$890,COLUMN(HeadJournal!H$1),0),0)</f>
        <v>2184.6291117280266</v>
      </c>
      <c r="Q1077" s="29">
        <v>3500</v>
      </c>
      <c r="R1077" s="31">
        <v>45012</v>
      </c>
      <c r="S1077" s="31" t="s">
        <v>3121</v>
      </c>
      <c r="T1077" s="95" t="str">
        <f t="shared" si="85"/>
        <v>2023 03</v>
      </c>
      <c r="U1077" s="32">
        <f t="shared" si="82"/>
        <v>1315.3708882719734</v>
      </c>
      <c r="V1077" s="22">
        <f t="shared" si="83"/>
        <v>0.60210260918455127</v>
      </c>
      <c r="X1077" s="33"/>
      <c r="Y1077" s="33"/>
    </row>
    <row r="1078" spans="1:25" x14ac:dyDescent="0.2">
      <c r="A1078" s="93" t="s">
        <v>466</v>
      </c>
      <c r="B1078" s="94">
        <f>IFERROR(VLOOKUP($A1078,HeadJournal!$A$1:$NTR$890,COLUMN(HeadJournal!B$1),0),"")</f>
        <v>0</v>
      </c>
      <c r="C1078" s="94" t="str">
        <f>IFERROR(VLOOKUP($A1078,HeadJournal!$A$1:$NTR$890,COLUMN(HeadJournal!C$1),0),"")</f>
        <v>Forever</v>
      </c>
      <c r="D1078" s="125" t="str">
        <f>IFERROR(VLOOKUP($A1078,HeadJournal!$A$1:$NTR$890,COLUMN(HeadJournal!D$1),0),"")</f>
        <v>Доставлен</v>
      </c>
      <c r="E1078" s="95">
        <f>IFERROR(VLOOKUP($A1078,HeadJournal!$A$1:$NTR$890,COLUMN(HeadJournal!G$1),0),"")</f>
        <v>44976</v>
      </c>
      <c r="F1078" s="95" t="str">
        <f t="shared" si="84"/>
        <v>2023 02</v>
      </c>
      <c r="G1078" s="96" t="s">
        <v>5</v>
      </c>
      <c r="H1078" s="160" t="str">
        <f>RIGHT(Journal!$J1078,9)</f>
        <v>000000624</v>
      </c>
      <c r="I1078" s="96" t="str">
        <f t="shared" si="81"/>
        <v>Forever</v>
      </c>
      <c r="J1078" s="97" t="s">
        <v>471</v>
      </c>
      <c r="K1078" s="29">
        <v>11722</v>
      </c>
      <c r="L1078" s="29"/>
      <c r="M1078" s="30">
        <f>IFERROR(VLOOKUP($A1078,HeadJournal!$A$1:$J$890,COLUMN(HeadJournal!I$1),0)*($K1078+$L1078)/(SUMIF($A:$A,$A1078,$K:$K)+SUMIF($A:$A,$A1078,$L:$L)),0)</f>
        <v>0</v>
      </c>
      <c r="N1078" s="30">
        <f>IFERROR((VLOOKUP($A1078,HeadJournal!$A$1:$K$890,COLUMN(HeadJournal!K$1),0)-VLOOKUP($A1078,HeadJournal!$A$1:$K$890,COLUMN(HeadJournal!J$1),0))*($K1078+$L1078)/(SUMIF($A:$A,$A1078,$K:$K)+SUMIF($A:$A,$A1078,$L:$L)),0)</f>
        <v>234.40799162608656</v>
      </c>
      <c r="O1078" s="30">
        <f>IFERROR((VLOOKUP($A1078,HeadJournal!$A$1:$L$890,COLUMN(HeadJournal!L$1),0)*($K1078+$L1078)/(SUMIF($A:$A,$A1078,$K:$K)+SUMIF($A:$A,$A1078,$L:$L)))/VLOOKUP($A1078,HeadJournal!$A$1:$L$890,COLUMN(HeadJournal!H$1),0),0)</f>
        <v>712.90374959787914</v>
      </c>
      <c r="P1078" s="30">
        <f>IFERROR(SUM(K1078:O1078)*VLOOKUP($A1078,HeadJournal!$A$1:$L$890,COLUMN(HeadJournal!H$1),0),0)</f>
        <v>2198.8856644063135</v>
      </c>
      <c r="Q1078" s="29">
        <v>3100</v>
      </c>
      <c r="R1078" s="31">
        <v>45115</v>
      </c>
      <c r="S1078" s="31" t="s">
        <v>3121</v>
      </c>
      <c r="T1078" s="95" t="str">
        <f t="shared" si="85"/>
        <v>2023 07</v>
      </c>
      <c r="U1078" s="32">
        <f t="shared" si="82"/>
        <v>901.11433559368652</v>
      </c>
      <c r="V1078" s="22">
        <f t="shared" si="83"/>
        <v>0.40980499813162508</v>
      </c>
      <c r="X1078" s="33"/>
      <c r="Y1078" s="33"/>
    </row>
    <row r="1079" spans="1:25" x14ac:dyDescent="0.2">
      <c r="A1079" s="93" t="s">
        <v>466</v>
      </c>
      <c r="B1079" s="94">
        <f>IFERROR(VLOOKUP($A1079,HeadJournal!$A$1:$NTR$890,COLUMN(HeadJournal!B$1),0),"")</f>
        <v>0</v>
      </c>
      <c r="C1079" s="94" t="str">
        <f>IFERROR(VLOOKUP($A1079,HeadJournal!$A$1:$NTR$890,COLUMN(HeadJournal!C$1),0),"")</f>
        <v>Forever</v>
      </c>
      <c r="D1079" s="125" t="str">
        <f>IFERROR(VLOOKUP($A1079,HeadJournal!$A$1:$NTR$890,COLUMN(HeadJournal!D$1),0),"")</f>
        <v>Доставлен</v>
      </c>
      <c r="E1079" s="95">
        <f>IFERROR(VLOOKUP($A1079,HeadJournal!$A$1:$NTR$890,COLUMN(HeadJournal!G$1),0),"")</f>
        <v>44976</v>
      </c>
      <c r="F1079" s="95" t="str">
        <f t="shared" si="84"/>
        <v>2023 02</v>
      </c>
      <c r="G1079" s="96" t="s">
        <v>7</v>
      </c>
      <c r="H1079" s="160" t="str">
        <f>RIGHT(Journal!$J1079,9)</f>
        <v>000000640</v>
      </c>
      <c r="I1079" s="96" t="str">
        <f t="shared" si="81"/>
        <v>Forever</v>
      </c>
      <c r="J1079" s="97" t="s">
        <v>472</v>
      </c>
      <c r="K1079" s="29">
        <v>7285</v>
      </c>
      <c r="L1079" s="29"/>
      <c r="M1079" s="30">
        <f>IFERROR(VLOOKUP($A1079,HeadJournal!$A$1:$J$890,COLUMN(HeadJournal!I$1),0)*($K1079+$L1079)/(SUMIF($A:$A,$A1079,$K:$K)+SUMIF($A:$A,$A1079,$L:$L)),0)</f>
        <v>0</v>
      </c>
      <c r="N1079" s="30">
        <f>IFERROR((VLOOKUP($A1079,HeadJournal!$A$1:$K$890,COLUMN(HeadJournal!K$1),0)-VLOOKUP($A1079,HeadJournal!$A$1:$K$890,COLUMN(HeadJournal!J$1),0))*($K1079+$L1079)/(SUMIF($A:$A,$A1079,$K:$K)+SUMIF($A:$A,$A1079,$L:$L)),0)</f>
        <v>145.68010740454193</v>
      </c>
      <c r="O1079" s="30">
        <f>IFERROR((VLOOKUP($A1079,HeadJournal!$A$1:$L$890,COLUMN(HeadJournal!L$1),0)*($K1079+$L1079)/(SUMIF($A:$A,$A1079,$K:$K)+SUMIF($A:$A,$A1079,$L:$L)))/VLOOKUP($A1079,HeadJournal!$A$1:$L$890,COLUMN(HeadJournal!H$1),0),0)</f>
        <v>443.05611805328016</v>
      </c>
      <c r="P1079" s="30">
        <f>IFERROR(SUM(K1079:O1079)*VLOOKUP($A1079,HeadJournal!$A$1:$L$890,COLUMN(HeadJournal!H$1),0),0)</f>
        <v>1366.5656087015861</v>
      </c>
      <c r="Q1079" s="29">
        <v>1365.57</v>
      </c>
      <c r="R1079" s="31">
        <v>44977</v>
      </c>
      <c r="S1079" s="31" t="s">
        <v>3121</v>
      </c>
      <c r="T1079" s="95" t="str">
        <f t="shared" si="85"/>
        <v>2023 02</v>
      </c>
      <c r="U1079" s="32">
        <f t="shared" si="82"/>
        <v>-0.99560870158620673</v>
      </c>
      <c r="V1079" s="22">
        <f t="shared" si="83"/>
        <v>-7.2854804427001764E-4</v>
      </c>
      <c r="X1079" s="33"/>
      <c r="Y1079" s="33"/>
    </row>
    <row r="1080" spans="1:25" x14ac:dyDescent="0.2">
      <c r="A1080" s="93" t="s">
        <v>466</v>
      </c>
      <c r="B1080" s="94">
        <f>IFERROR(VLOOKUP($A1080,HeadJournal!$A$1:$NTR$890,COLUMN(HeadJournal!B$1),0),"")</f>
        <v>0</v>
      </c>
      <c r="C1080" s="94" t="str">
        <f>IFERROR(VLOOKUP($A1080,HeadJournal!$A$1:$NTR$890,COLUMN(HeadJournal!C$1),0),"")</f>
        <v>Forever</v>
      </c>
      <c r="D1080" s="125" t="str">
        <f>IFERROR(VLOOKUP($A1080,HeadJournal!$A$1:$NTR$890,COLUMN(HeadJournal!D$1),0),"")</f>
        <v>Доставлен</v>
      </c>
      <c r="E1080" s="95">
        <f>IFERROR(VLOOKUP($A1080,HeadJournal!$A$1:$NTR$890,COLUMN(HeadJournal!G$1),0),"")</f>
        <v>44976</v>
      </c>
      <c r="F1080" s="95" t="str">
        <f t="shared" si="84"/>
        <v>2023 02</v>
      </c>
      <c r="G1080" s="96" t="s">
        <v>5</v>
      </c>
      <c r="H1080" s="160" t="str">
        <f>RIGHT(Journal!$J1080,9)</f>
        <v>000000641</v>
      </c>
      <c r="I1080" s="96" t="str">
        <f t="shared" si="81"/>
        <v>Forever</v>
      </c>
      <c r="J1080" s="97" t="s">
        <v>473</v>
      </c>
      <c r="K1080" s="29">
        <v>7787</v>
      </c>
      <c r="L1080" s="29"/>
      <c r="M1080" s="30">
        <f>IFERROR(VLOOKUP($A1080,HeadJournal!$A$1:$J$890,COLUMN(HeadJournal!I$1),0)*($K1080+$L1080)/(SUMIF($A:$A,$A1080,$K:$K)+SUMIF($A:$A,$A1080,$L:$L)),0)</f>
        <v>0</v>
      </c>
      <c r="N1080" s="30">
        <f>IFERROR((VLOOKUP($A1080,HeadJournal!$A$1:$K$890,COLUMN(HeadJournal!K$1),0)-VLOOKUP($A1080,HeadJournal!$A$1:$K$890,COLUMN(HeadJournal!J$1),0))*($K1080+$L1080)/(SUMIF($A:$A,$A1080,$K:$K)+SUMIF($A:$A,$A1080,$L:$L)),0)</f>
        <v>155.71873663132027</v>
      </c>
      <c r="O1080" s="30">
        <f>IFERROR((VLOOKUP($A1080,HeadJournal!$A$1:$L$890,COLUMN(HeadJournal!L$1),0)*($K1080+$L1080)/(SUMIF($A:$A,$A1080,$K:$K)+SUMIF($A:$A,$A1080,$L:$L)))/VLOOKUP($A1080,HeadJournal!$A$1:$L$890,COLUMN(HeadJournal!H$1),0),0)</f>
        <v>473.58654650389741</v>
      </c>
      <c r="P1080" s="30">
        <f>IFERROR(SUM(K1080:O1080)*VLOOKUP($A1080,HeadJournal!$A$1:$L$890,COLUMN(HeadJournal!H$1),0),0)</f>
        <v>1460.7338908660606</v>
      </c>
      <c r="Q1080" s="29">
        <v>1460.73</v>
      </c>
      <c r="R1080" s="31">
        <v>44977</v>
      </c>
      <c r="S1080" s="31" t="s">
        <v>3121</v>
      </c>
      <c r="T1080" s="95" t="str">
        <f t="shared" si="85"/>
        <v>2023 02</v>
      </c>
      <c r="U1080" s="32">
        <f t="shared" si="82"/>
        <v>-3.8908660606011836E-3</v>
      </c>
      <c r="V1080" s="22">
        <f t="shared" si="83"/>
        <v>-2.6636378363853198E-6</v>
      </c>
      <c r="X1080" s="33"/>
      <c r="Y1080" s="33"/>
    </row>
    <row r="1081" spans="1:25" x14ac:dyDescent="0.2">
      <c r="A1081" s="93" t="s">
        <v>466</v>
      </c>
      <c r="B1081" s="94">
        <f>IFERROR(VLOOKUP($A1081,HeadJournal!$A$1:$NTR$890,COLUMN(HeadJournal!B$1),0),"")</f>
        <v>0</v>
      </c>
      <c r="C1081" s="94" t="str">
        <f>IFERROR(VLOOKUP($A1081,HeadJournal!$A$1:$NTR$890,COLUMN(HeadJournal!C$1),0),"")</f>
        <v>Forever</v>
      </c>
      <c r="D1081" s="125" t="str">
        <f>IFERROR(VLOOKUP($A1081,HeadJournal!$A$1:$NTR$890,COLUMN(HeadJournal!D$1),0),"")</f>
        <v>Доставлен</v>
      </c>
      <c r="E1081" s="95">
        <f>IFERROR(VLOOKUP($A1081,HeadJournal!$A$1:$NTR$890,COLUMN(HeadJournal!G$1),0),"")</f>
        <v>44976</v>
      </c>
      <c r="F1081" s="95" t="str">
        <f t="shared" si="84"/>
        <v>2023 02</v>
      </c>
      <c r="G1081" s="96" t="s">
        <v>7</v>
      </c>
      <c r="H1081" s="160" t="str">
        <f>RIGHT(Journal!$J1081,9)</f>
        <v>000000067</v>
      </c>
      <c r="I1081" s="96" t="str">
        <f t="shared" si="81"/>
        <v>Forever</v>
      </c>
      <c r="J1081" s="97" t="s">
        <v>303</v>
      </c>
      <c r="K1081" s="29">
        <v>2519</v>
      </c>
      <c r="L1081" s="29"/>
      <c r="M1081" s="30">
        <f>IFERROR(VLOOKUP($A1081,HeadJournal!$A$1:$J$890,COLUMN(HeadJournal!I$1),0)*($K1081+$L1081)/(SUMIF($A:$A,$A1081,$K:$K)+SUMIF($A:$A,$A1081,$L:$L)),0)</f>
        <v>0</v>
      </c>
      <c r="N1081" s="30">
        <f>IFERROR((VLOOKUP($A1081,HeadJournal!$A$1:$K$890,COLUMN(HeadJournal!K$1),0)-VLOOKUP($A1081,HeadJournal!$A$1:$K$890,COLUMN(HeadJournal!J$1),0))*($K1081+$L1081)/(SUMIF($A:$A,$A1081,$K:$K)+SUMIF($A:$A,$A1081,$L:$L)),0)</f>
        <v>50.373121558276068</v>
      </c>
      <c r="O1081" s="30">
        <f>IFERROR((VLOOKUP($A1081,HeadJournal!$A$1:$L$890,COLUMN(HeadJournal!L$1),0)*($K1081+$L1081)/(SUMIF($A:$A,$A1081,$K:$K)+SUMIF($A:$A,$A1081,$L:$L)))/VLOOKUP($A1081,HeadJournal!$A$1:$L$890,COLUMN(HeadJournal!H$1),0),0)</f>
        <v>153.19950053208137</v>
      </c>
      <c r="P1081" s="30">
        <f>IFERROR(SUM(K1081:O1081)*VLOOKUP($A1081,HeadJournal!$A$1:$L$890,COLUMN(HeadJournal!H$1),0),0)</f>
        <v>472.52968679743253</v>
      </c>
      <c r="Q1081" s="29">
        <v>650</v>
      </c>
      <c r="R1081" s="31">
        <v>45012</v>
      </c>
      <c r="S1081" s="31" t="s">
        <v>3121</v>
      </c>
      <c r="T1081" s="95" t="str">
        <f t="shared" si="85"/>
        <v>2023 03</v>
      </c>
      <c r="U1081" s="32">
        <f t="shared" si="82"/>
        <v>177.47031320256747</v>
      </c>
      <c r="V1081" s="22">
        <f t="shared" si="83"/>
        <v>0.37557494938650643</v>
      </c>
      <c r="X1081" s="33"/>
      <c r="Y1081" s="33"/>
    </row>
    <row r="1082" spans="1:25" x14ac:dyDescent="0.2">
      <c r="A1082" s="93" t="s">
        <v>466</v>
      </c>
      <c r="B1082" s="94">
        <f>IFERROR(VLOOKUP($A1082,HeadJournal!$A$1:$NTR$890,COLUMN(HeadJournal!B$1),0),"")</f>
        <v>0</v>
      </c>
      <c r="C1082" s="94" t="str">
        <f>IFERROR(VLOOKUP($A1082,HeadJournal!$A$1:$NTR$890,COLUMN(HeadJournal!C$1),0),"")</f>
        <v>Forever</v>
      </c>
      <c r="D1082" s="125" t="str">
        <f>IFERROR(VLOOKUP($A1082,HeadJournal!$A$1:$NTR$890,COLUMN(HeadJournal!D$1),0),"")</f>
        <v>Доставлен</v>
      </c>
      <c r="E1082" s="95">
        <f>IFERROR(VLOOKUP($A1082,HeadJournal!$A$1:$NTR$890,COLUMN(HeadJournal!G$1),0),"")</f>
        <v>44976</v>
      </c>
      <c r="F1082" s="95" t="str">
        <f t="shared" si="84"/>
        <v>2023 02</v>
      </c>
      <c r="G1082" s="96" t="s">
        <v>7</v>
      </c>
      <c r="H1082" s="160" t="str">
        <f>RIGHT(Journal!$J1082,9)</f>
        <v>000000067</v>
      </c>
      <c r="I1082" s="96" t="str">
        <f t="shared" si="81"/>
        <v>Forever</v>
      </c>
      <c r="J1082" s="97" t="s">
        <v>303</v>
      </c>
      <c r="K1082" s="29">
        <v>2519</v>
      </c>
      <c r="L1082" s="29"/>
      <c r="M1082" s="30">
        <f>IFERROR(VLOOKUP($A1082,HeadJournal!$A$1:$J$890,COLUMN(HeadJournal!I$1),0)*($K1082+$L1082)/(SUMIF($A:$A,$A1082,$K:$K)+SUMIF($A:$A,$A1082,$L:$L)),0)</f>
        <v>0</v>
      </c>
      <c r="N1082" s="30">
        <f>IFERROR((VLOOKUP($A1082,HeadJournal!$A$1:$K$890,COLUMN(HeadJournal!K$1),0)-VLOOKUP($A1082,HeadJournal!$A$1:$K$890,COLUMN(HeadJournal!J$1),0))*($K1082+$L1082)/(SUMIF($A:$A,$A1082,$K:$K)+SUMIF($A:$A,$A1082,$L:$L)),0)</f>
        <v>50.373121558276068</v>
      </c>
      <c r="O1082" s="30">
        <f>IFERROR((VLOOKUP($A1082,HeadJournal!$A$1:$L$890,COLUMN(HeadJournal!L$1),0)*($K1082+$L1082)/(SUMIF($A:$A,$A1082,$K:$K)+SUMIF($A:$A,$A1082,$L:$L)))/VLOOKUP($A1082,HeadJournal!$A$1:$L$890,COLUMN(HeadJournal!H$1),0),0)</f>
        <v>153.19950053208137</v>
      </c>
      <c r="P1082" s="30">
        <f>IFERROR(SUM(K1082:O1082)*VLOOKUP($A1082,HeadJournal!$A$1:$L$890,COLUMN(HeadJournal!H$1),0),0)</f>
        <v>472.52968679743253</v>
      </c>
      <c r="Q1082" s="29">
        <v>650</v>
      </c>
      <c r="R1082" s="31">
        <v>45042</v>
      </c>
      <c r="S1082" s="31" t="s">
        <v>3121</v>
      </c>
      <c r="T1082" s="95" t="str">
        <f t="shared" si="85"/>
        <v>2023 04</v>
      </c>
      <c r="U1082" s="32">
        <f t="shared" si="82"/>
        <v>177.47031320256747</v>
      </c>
      <c r="V1082" s="22">
        <f t="shared" si="83"/>
        <v>0.37557494938650643</v>
      </c>
      <c r="X1082" s="33"/>
      <c r="Y1082" s="33"/>
    </row>
    <row r="1083" spans="1:25" x14ac:dyDescent="0.2">
      <c r="A1083" s="93" t="s">
        <v>474</v>
      </c>
      <c r="B1083" s="94">
        <f>IFERROR(VLOOKUP($A1083,HeadJournal!$A$1:$NTR$890,COLUMN(HeadJournal!B$1),0),"")</f>
        <v>0</v>
      </c>
      <c r="C1083" s="94" t="str">
        <f>IFERROR(VLOOKUP($A1083,HeadJournal!$A$1:$NTR$890,COLUMN(HeadJournal!C$1),0),"")</f>
        <v>WBRS</v>
      </c>
      <c r="D1083" s="125" t="str">
        <f>IFERROR(VLOOKUP($A1083,HeadJournal!$A$1:$NTR$890,COLUMN(HeadJournal!D$1),0),"")</f>
        <v>Доставлен</v>
      </c>
      <c r="E1083" s="95">
        <f>IFERROR(VLOOKUP($A1083,HeadJournal!$A$1:$NTR$890,COLUMN(HeadJournal!G$1),0),"")</f>
        <v>44969</v>
      </c>
      <c r="F1083" s="95" t="str">
        <f t="shared" si="84"/>
        <v>2023 02</v>
      </c>
      <c r="G1083" s="96" t="s">
        <v>7</v>
      </c>
      <c r="H1083" s="160" t="str">
        <f>RIGHT(Journal!$J1083,9)</f>
        <v>142850327</v>
      </c>
      <c r="I1083" s="96" t="str">
        <f t="shared" si="81"/>
        <v>ENOUGH</v>
      </c>
      <c r="J1083" s="97" t="s">
        <v>1663</v>
      </c>
      <c r="K1083" s="29">
        <v>259</v>
      </c>
      <c r="L1083" s="29"/>
      <c r="M1083" s="30">
        <f>IFERROR(VLOOKUP($A1083,HeadJournal!$A$1:$J$890,COLUMN(HeadJournal!I$1),0)*($K1083+$L1083)/(SUMIF($A:$A,$A1083,$K:$K)+SUMIF($A:$A,$A1083,$L:$L)),0)</f>
        <v>0</v>
      </c>
      <c r="N1083" s="30">
        <f>IFERROR((VLOOKUP($A1083,HeadJournal!$A$1:$K$890,COLUMN(HeadJournal!K$1),0)-VLOOKUP($A1083,HeadJournal!$A$1:$K$890,COLUMN(HeadJournal!J$1),0))*($K1083+$L1083)/(SUMIF($A:$A,$A1083,$K:$K)+SUMIF($A:$A,$A1083,$L:$L)),0)</f>
        <v>0</v>
      </c>
      <c r="O1083" s="30">
        <f>IFERROR((VLOOKUP($A1083,HeadJournal!$A$1:$L$890,COLUMN(HeadJournal!L$1),0)*($K1083+$L1083)/(SUMIF($A:$A,$A1083,$K:$K)+SUMIF($A:$A,$A1083,$L:$L)))/VLOOKUP($A1083,HeadJournal!$A$1:$L$890,COLUMN(HeadJournal!H$1),0),0)</f>
        <v>38.85</v>
      </c>
      <c r="P1083" s="30">
        <f>IFERROR(SUM(K1083:O1083)*VLOOKUP($A1083,HeadJournal!$A$1:$L$890,COLUMN(HeadJournal!H$1),0),0)</f>
        <v>297.85000000000002</v>
      </c>
      <c r="Q1083" s="29">
        <v>550</v>
      </c>
      <c r="R1083" s="31">
        <v>44985</v>
      </c>
      <c r="S1083" s="31" t="s">
        <v>3121</v>
      </c>
      <c r="T1083" s="95" t="str">
        <f t="shared" si="85"/>
        <v>2023 02</v>
      </c>
      <c r="U1083" s="32">
        <f t="shared" si="82"/>
        <v>252.14999999999998</v>
      </c>
      <c r="V1083" s="22">
        <f t="shared" si="83"/>
        <v>0.84656706395836812</v>
      </c>
      <c r="X1083" s="33"/>
      <c r="Y1083" s="33"/>
    </row>
    <row r="1084" spans="1:25" x14ac:dyDescent="0.2">
      <c r="A1084" s="93" t="s">
        <v>475</v>
      </c>
      <c r="B1084" s="94">
        <f>IFERROR(VLOOKUP($A1084,HeadJournal!$A$1:$NTR$890,COLUMN(HeadJournal!B$1),0),"")</f>
        <v>0</v>
      </c>
      <c r="C1084" s="94" t="str">
        <f>IFERROR(VLOOKUP($A1084,HeadJournal!$A$1:$NTR$890,COLUMN(HeadJournal!C$1),0),"")</f>
        <v>OZON_AV</v>
      </c>
      <c r="D1084" s="125" t="str">
        <f>IFERROR(VLOOKUP($A1084,HeadJournal!$A$1:$NTR$890,COLUMN(HeadJournal!D$1),0),"")</f>
        <v>Доставлен</v>
      </c>
      <c r="E1084" s="95">
        <f>IFERROR(VLOOKUP($A1084,HeadJournal!$A$1:$NTR$890,COLUMN(HeadJournal!G$1),0),"")</f>
        <v>44970</v>
      </c>
      <c r="F1084" s="95" t="str">
        <f t="shared" si="84"/>
        <v>2023 02</v>
      </c>
      <c r="G1084" s="96" t="s">
        <v>6</v>
      </c>
      <c r="H1084" s="160" t="str">
        <f>RIGHT(Journal!$J1084,9)</f>
        <v>750610820</v>
      </c>
      <c r="I1084" s="96" t="str">
        <f t="shared" si="81"/>
        <v>Nutrex Research</v>
      </c>
      <c r="J1084" s="97" t="s">
        <v>476</v>
      </c>
      <c r="K1084" s="29">
        <v>1685</v>
      </c>
      <c r="L1084" s="29"/>
      <c r="M1084" s="30">
        <f>IFERROR(VLOOKUP($A1084,HeadJournal!$A$1:$J$890,COLUMN(HeadJournal!I$1),0)*($K1084+$L1084)/(SUMIF($A:$A,$A1084,$K:$K)+SUMIF($A:$A,$A1084,$L:$L)),0)</f>
        <v>0</v>
      </c>
      <c r="N1084" s="30">
        <f>IFERROR((VLOOKUP($A1084,HeadJournal!$A$1:$K$890,COLUMN(HeadJournal!K$1),0)-VLOOKUP($A1084,HeadJournal!$A$1:$K$890,COLUMN(HeadJournal!J$1),0))*($K1084+$L1084)/(SUMIF($A:$A,$A1084,$K:$K)+SUMIF($A:$A,$A1084,$L:$L)),0)</f>
        <v>0</v>
      </c>
      <c r="O1084" s="30">
        <f>IFERROR((VLOOKUP($A1084,HeadJournal!$A$1:$L$890,COLUMN(HeadJournal!L$1),0)*($K1084+$L1084)/(SUMIF($A:$A,$A1084,$K:$K)+SUMIF($A:$A,$A1084,$L:$L)))/VLOOKUP($A1084,HeadJournal!$A$1:$L$890,COLUMN(HeadJournal!H$1),0),0)</f>
        <v>252.75</v>
      </c>
      <c r="P1084" s="30">
        <f>IFERROR(SUM(K1084:O1084)*VLOOKUP($A1084,HeadJournal!$A$1:$L$890,COLUMN(HeadJournal!H$1),0),0)</f>
        <v>1937.75</v>
      </c>
      <c r="Q1084" s="29">
        <v>2500</v>
      </c>
      <c r="R1084" s="31">
        <v>44981</v>
      </c>
      <c r="S1084" s="31" t="s">
        <v>3121</v>
      </c>
      <c r="T1084" s="95" t="str">
        <f t="shared" si="85"/>
        <v>2023 02</v>
      </c>
      <c r="U1084" s="32">
        <f t="shared" si="82"/>
        <v>562.25</v>
      </c>
      <c r="V1084" s="22">
        <f t="shared" si="83"/>
        <v>0.29015610888917559</v>
      </c>
      <c r="X1084" s="33"/>
      <c r="Y1084" s="33"/>
    </row>
    <row r="1085" spans="1:25" x14ac:dyDescent="0.2">
      <c r="A1085" s="93" t="s">
        <v>475</v>
      </c>
      <c r="B1085" s="94">
        <f>IFERROR(VLOOKUP($A1085,HeadJournal!$A$1:$NTR$890,COLUMN(HeadJournal!B$1),0),"")</f>
        <v>0</v>
      </c>
      <c r="C1085" s="94" t="str">
        <f>IFERROR(VLOOKUP($A1085,HeadJournal!$A$1:$NTR$890,COLUMN(HeadJournal!C$1),0),"")</f>
        <v>OZON_AV</v>
      </c>
      <c r="D1085" s="125" t="str">
        <f>IFERROR(VLOOKUP($A1085,HeadJournal!$A$1:$NTR$890,COLUMN(HeadJournal!D$1),0),"")</f>
        <v>Доставлен</v>
      </c>
      <c r="E1085" s="95">
        <f>IFERROR(VLOOKUP($A1085,HeadJournal!$A$1:$NTR$890,COLUMN(HeadJournal!G$1),0),"")</f>
        <v>44970</v>
      </c>
      <c r="F1085" s="95" t="str">
        <f t="shared" si="84"/>
        <v>2023 02</v>
      </c>
      <c r="G1085" s="96" t="s">
        <v>6</v>
      </c>
      <c r="H1085" s="160" t="str">
        <f>RIGHT(Journal!$J1085,9)</f>
        <v>750610820</v>
      </c>
      <c r="I1085" s="96" t="str">
        <f t="shared" si="81"/>
        <v>Nutrex Research</v>
      </c>
      <c r="J1085" s="97" t="s">
        <v>476</v>
      </c>
      <c r="K1085" s="29">
        <v>1685</v>
      </c>
      <c r="L1085" s="29"/>
      <c r="M1085" s="30">
        <f>IFERROR(VLOOKUP($A1085,HeadJournal!$A$1:$J$890,COLUMN(HeadJournal!I$1),0)*($K1085+$L1085)/(SUMIF($A:$A,$A1085,$K:$K)+SUMIF($A:$A,$A1085,$L:$L)),0)</f>
        <v>0</v>
      </c>
      <c r="N1085" s="30">
        <f>IFERROR((VLOOKUP($A1085,HeadJournal!$A$1:$K$890,COLUMN(HeadJournal!K$1),0)-VLOOKUP($A1085,HeadJournal!$A$1:$K$890,COLUMN(HeadJournal!J$1),0))*($K1085+$L1085)/(SUMIF($A:$A,$A1085,$K:$K)+SUMIF($A:$A,$A1085,$L:$L)),0)</f>
        <v>0</v>
      </c>
      <c r="O1085" s="30">
        <f>IFERROR((VLOOKUP($A1085,HeadJournal!$A$1:$L$890,COLUMN(HeadJournal!L$1),0)*($K1085+$L1085)/(SUMIF($A:$A,$A1085,$K:$K)+SUMIF($A:$A,$A1085,$L:$L)))/VLOOKUP($A1085,HeadJournal!$A$1:$L$890,COLUMN(HeadJournal!H$1),0),0)</f>
        <v>252.75</v>
      </c>
      <c r="P1085" s="30">
        <f>IFERROR(SUM(K1085:O1085)*VLOOKUP($A1085,HeadJournal!$A$1:$L$890,COLUMN(HeadJournal!H$1),0),0)</f>
        <v>1937.75</v>
      </c>
      <c r="Q1085" s="29">
        <v>2500</v>
      </c>
      <c r="R1085" s="31">
        <v>45059</v>
      </c>
      <c r="S1085" s="31" t="s">
        <v>3121</v>
      </c>
      <c r="T1085" s="95" t="str">
        <f t="shared" si="85"/>
        <v>2023 05</v>
      </c>
      <c r="U1085" s="32">
        <f t="shared" si="82"/>
        <v>562.25</v>
      </c>
      <c r="V1085" s="22">
        <f t="shared" si="83"/>
        <v>0.29015610888917559</v>
      </c>
      <c r="X1085" s="33"/>
      <c r="Y1085" s="33"/>
    </row>
    <row r="1086" spans="1:25" x14ac:dyDescent="0.2">
      <c r="A1086" s="93" t="s">
        <v>477</v>
      </c>
      <c r="B1086" s="94">
        <f>IFERROR(VLOOKUP($A1086,HeadJournal!$A$1:$NTR$890,COLUMN(HeadJournal!B$1),0),"")</f>
        <v>0</v>
      </c>
      <c r="C1086" s="94" t="str">
        <f>IFERROR(VLOOKUP($A1086,HeadJournal!$A$1:$NTR$890,COLUMN(HeadJournal!C$1),0),"")</f>
        <v>OZON_AV</v>
      </c>
      <c r="D1086" s="125" t="str">
        <f>IFERROR(VLOOKUP($A1086,HeadJournal!$A$1:$NTR$890,COLUMN(HeadJournal!D$1),0),"")</f>
        <v>Доставлен</v>
      </c>
      <c r="E1086" s="95">
        <f>IFERROR(VLOOKUP($A1086,HeadJournal!$A$1:$NTR$890,COLUMN(HeadJournal!G$1),0),"")</f>
        <v>44972</v>
      </c>
      <c r="F1086" s="95" t="str">
        <f t="shared" si="84"/>
        <v>2023 02</v>
      </c>
      <c r="G1086" s="96" t="s">
        <v>6</v>
      </c>
      <c r="H1086" s="160" t="str">
        <f>RIGHT(Journal!$J1086,9)</f>
        <v>825959086</v>
      </c>
      <c r="I1086" s="96" t="str">
        <f t="shared" si="81"/>
        <v>SOUL WAY</v>
      </c>
      <c r="J1086" s="97" t="s">
        <v>478</v>
      </c>
      <c r="K1086" s="29">
        <v>1023</v>
      </c>
      <c r="L1086" s="29"/>
      <c r="M1086" s="30">
        <f>IFERROR(VLOOKUP($A1086,HeadJournal!$A$1:$J$890,COLUMN(HeadJournal!I$1),0)*($K1086+$L1086)/(SUMIF($A:$A,$A1086,$K:$K)+SUMIF($A:$A,$A1086,$L:$L)),0)</f>
        <v>0</v>
      </c>
      <c r="N1086" s="30">
        <f>IFERROR((VLOOKUP($A1086,HeadJournal!$A$1:$K$890,COLUMN(HeadJournal!K$1),0)-VLOOKUP($A1086,HeadJournal!$A$1:$K$890,COLUMN(HeadJournal!J$1),0))*($K1086+$L1086)/(SUMIF($A:$A,$A1086,$K:$K)+SUMIF($A:$A,$A1086,$L:$L)),0)</f>
        <v>0</v>
      </c>
      <c r="O1086" s="30">
        <f>IFERROR((VLOOKUP($A1086,HeadJournal!$A$1:$L$890,COLUMN(HeadJournal!L$1),0)*($K1086+$L1086)/(SUMIF($A:$A,$A1086,$K:$K)+SUMIF($A:$A,$A1086,$L:$L)))/VLOOKUP($A1086,HeadJournal!$A$1:$L$890,COLUMN(HeadJournal!H$1),0),0)</f>
        <v>153.44999999999999</v>
      </c>
      <c r="P1086" s="30">
        <f>IFERROR(SUM(K1086:O1086)*VLOOKUP($A1086,HeadJournal!$A$1:$L$890,COLUMN(HeadJournal!H$1),0),0)</f>
        <v>1176.45</v>
      </c>
      <c r="Q1086" s="29">
        <v>1500</v>
      </c>
      <c r="R1086" s="31">
        <v>44980</v>
      </c>
      <c r="S1086" s="31" t="s">
        <v>3121</v>
      </c>
      <c r="T1086" s="95" t="str">
        <f t="shared" si="85"/>
        <v>2023 02</v>
      </c>
      <c r="U1086" s="32">
        <f t="shared" si="82"/>
        <v>323.54999999999995</v>
      </c>
      <c r="V1086" s="22">
        <f t="shared" si="83"/>
        <v>0.27502231289047552</v>
      </c>
      <c r="X1086" s="33"/>
      <c r="Y1086" s="33"/>
    </row>
    <row r="1087" spans="1:25" x14ac:dyDescent="0.2">
      <c r="A1087" s="93" t="s">
        <v>477</v>
      </c>
      <c r="B1087" s="94">
        <f>IFERROR(VLOOKUP($A1087,HeadJournal!$A$1:$NTR$890,COLUMN(HeadJournal!B$1),0),"")</f>
        <v>0</v>
      </c>
      <c r="C1087" s="94" t="str">
        <f>IFERROR(VLOOKUP($A1087,HeadJournal!$A$1:$NTR$890,COLUMN(HeadJournal!C$1),0),"")</f>
        <v>OZON_AV</v>
      </c>
      <c r="D1087" s="125" t="str">
        <f>IFERROR(VLOOKUP($A1087,HeadJournal!$A$1:$NTR$890,COLUMN(HeadJournal!D$1),0),"")</f>
        <v>Доставлен</v>
      </c>
      <c r="E1087" s="95">
        <f>IFERROR(VLOOKUP($A1087,HeadJournal!$A$1:$NTR$890,COLUMN(HeadJournal!G$1),0),"")</f>
        <v>44972</v>
      </c>
      <c r="F1087" s="95" t="str">
        <f t="shared" si="84"/>
        <v>2023 02</v>
      </c>
      <c r="G1087" s="96" t="s">
        <v>6</v>
      </c>
      <c r="H1087" s="160" t="str">
        <f>RIGHT(Journal!$J1087,9)</f>
        <v>825959086</v>
      </c>
      <c r="I1087" s="96" t="str">
        <f t="shared" si="81"/>
        <v>SOUL WAY</v>
      </c>
      <c r="J1087" s="97" t="s">
        <v>478</v>
      </c>
      <c r="K1087" s="29">
        <v>1023</v>
      </c>
      <c r="L1087" s="29"/>
      <c r="M1087" s="30">
        <f>IFERROR(VLOOKUP($A1087,HeadJournal!$A$1:$J$890,COLUMN(HeadJournal!I$1),0)*($K1087+$L1087)/(SUMIF($A:$A,$A1087,$K:$K)+SUMIF($A:$A,$A1087,$L:$L)),0)</f>
        <v>0</v>
      </c>
      <c r="N1087" s="30">
        <f>IFERROR((VLOOKUP($A1087,HeadJournal!$A$1:$K$890,COLUMN(HeadJournal!K$1),0)-VLOOKUP($A1087,HeadJournal!$A$1:$K$890,COLUMN(HeadJournal!J$1),0))*($K1087+$L1087)/(SUMIF($A:$A,$A1087,$K:$K)+SUMIF($A:$A,$A1087,$L:$L)),0)</f>
        <v>0</v>
      </c>
      <c r="O1087" s="30">
        <f>IFERROR((VLOOKUP($A1087,HeadJournal!$A$1:$L$890,COLUMN(HeadJournal!L$1),0)*($K1087+$L1087)/(SUMIF($A:$A,$A1087,$K:$K)+SUMIF($A:$A,$A1087,$L:$L)))/VLOOKUP($A1087,HeadJournal!$A$1:$L$890,COLUMN(HeadJournal!H$1),0),0)</f>
        <v>153.44999999999999</v>
      </c>
      <c r="P1087" s="30">
        <f>IFERROR(SUM(K1087:O1087)*VLOOKUP($A1087,HeadJournal!$A$1:$L$890,COLUMN(HeadJournal!H$1),0),0)</f>
        <v>1176.45</v>
      </c>
      <c r="Q1087" s="29">
        <v>1500</v>
      </c>
      <c r="R1087" s="31">
        <v>44990</v>
      </c>
      <c r="S1087" s="31" t="s">
        <v>3121</v>
      </c>
      <c r="T1087" s="95" t="str">
        <f t="shared" si="85"/>
        <v>2023 03</v>
      </c>
      <c r="U1087" s="32">
        <f t="shared" si="82"/>
        <v>323.54999999999995</v>
      </c>
      <c r="V1087" s="22">
        <f t="shared" si="83"/>
        <v>0.27502231289047552</v>
      </c>
      <c r="X1087" s="33"/>
      <c r="Y1087" s="33"/>
    </row>
    <row r="1088" spans="1:25" x14ac:dyDescent="0.2">
      <c r="A1088" s="93" t="s">
        <v>479</v>
      </c>
      <c r="B1088" s="94">
        <f>IFERROR(VLOOKUP($A1088,HeadJournal!$A$1:$NTR$890,COLUMN(HeadJournal!B$1),0),"")</f>
        <v>0</v>
      </c>
      <c r="C1088" s="94" t="str">
        <f>IFERROR(VLOOKUP($A1088,HeadJournal!$A$1:$NTR$890,COLUMN(HeadJournal!C$1),0),"")</f>
        <v>OZON_AV</v>
      </c>
      <c r="D1088" s="125" t="str">
        <f>IFERROR(VLOOKUP($A1088,HeadJournal!$A$1:$NTR$890,COLUMN(HeadJournal!D$1),0),"")</f>
        <v>Доставлен</v>
      </c>
      <c r="E1088" s="95">
        <f>IFERROR(VLOOKUP($A1088,HeadJournal!$A$1:$NTR$890,COLUMN(HeadJournal!G$1),0),"")</f>
        <v>44973</v>
      </c>
      <c r="F1088" s="95" t="str">
        <f t="shared" si="84"/>
        <v>2023 02</v>
      </c>
      <c r="G1088" s="96" t="s">
        <v>6</v>
      </c>
      <c r="H1088" s="160" t="str">
        <f>RIGHT(Journal!$J1088,9)</f>
        <v>170918389</v>
      </c>
      <c r="I1088" s="96" t="str">
        <f t="shared" si="81"/>
        <v>PRIMEKRAFT</v>
      </c>
      <c r="J1088" s="97" t="s">
        <v>480</v>
      </c>
      <c r="K1088" s="29">
        <v>797</v>
      </c>
      <c r="L1088" s="29"/>
      <c r="M1088" s="30">
        <f>IFERROR(VLOOKUP($A1088,HeadJournal!$A$1:$J$890,COLUMN(HeadJournal!I$1),0)*($K1088+$L1088)/(SUMIF($A:$A,$A1088,$K:$K)+SUMIF($A:$A,$A1088,$L:$L)),0)</f>
        <v>0</v>
      </c>
      <c r="N1088" s="30">
        <f>IFERROR((VLOOKUP($A1088,HeadJournal!$A$1:$K$890,COLUMN(HeadJournal!K$1),0)-VLOOKUP($A1088,HeadJournal!$A$1:$K$890,COLUMN(HeadJournal!J$1),0))*($K1088+$L1088)/(SUMIF($A:$A,$A1088,$K:$K)+SUMIF($A:$A,$A1088,$L:$L)),0)</f>
        <v>0</v>
      </c>
      <c r="O1088" s="30">
        <f>IFERROR((VLOOKUP($A1088,HeadJournal!$A$1:$L$890,COLUMN(HeadJournal!L$1),0)*($K1088+$L1088)/(SUMIF($A:$A,$A1088,$K:$K)+SUMIF($A:$A,$A1088,$L:$L)))/VLOOKUP($A1088,HeadJournal!$A$1:$L$890,COLUMN(HeadJournal!H$1),0),0)</f>
        <v>119.54999999999998</v>
      </c>
      <c r="P1088" s="30">
        <f>IFERROR(SUM(K1088:O1088)*VLOOKUP($A1088,HeadJournal!$A$1:$L$890,COLUMN(HeadJournal!H$1),0),0)</f>
        <v>916.55</v>
      </c>
      <c r="Q1088" s="29">
        <v>1500</v>
      </c>
      <c r="R1088" s="31">
        <v>44999</v>
      </c>
      <c r="S1088" s="31" t="s">
        <v>3121</v>
      </c>
      <c r="T1088" s="95" t="str">
        <f t="shared" si="85"/>
        <v>2023 03</v>
      </c>
      <c r="U1088" s="32">
        <f t="shared" si="82"/>
        <v>583.45000000000005</v>
      </c>
      <c r="V1088" s="22">
        <f t="shared" si="83"/>
        <v>0.63657192733620649</v>
      </c>
      <c r="X1088" s="33"/>
      <c r="Y1088" s="33"/>
    </row>
    <row r="1089" spans="1:25" x14ac:dyDescent="0.2">
      <c r="A1089" s="93" t="s">
        <v>479</v>
      </c>
      <c r="B1089" s="94">
        <f>IFERROR(VLOOKUP($A1089,HeadJournal!$A$1:$NTR$890,COLUMN(HeadJournal!B$1),0),"")</f>
        <v>0</v>
      </c>
      <c r="C1089" s="94" t="str">
        <f>IFERROR(VLOOKUP($A1089,HeadJournal!$A$1:$NTR$890,COLUMN(HeadJournal!C$1),0),"")</f>
        <v>OZON_AV</v>
      </c>
      <c r="D1089" s="125" t="str">
        <f>IFERROR(VLOOKUP($A1089,HeadJournal!$A$1:$NTR$890,COLUMN(HeadJournal!D$1),0),"")</f>
        <v>Доставлен</v>
      </c>
      <c r="E1089" s="95">
        <f>IFERROR(VLOOKUP($A1089,HeadJournal!$A$1:$NTR$890,COLUMN(HeadJournal!G$1),0),"")</f>
        <v>44973</v>
      </c>
      <c r="F1089" s="95" t="str">
        <f t="shared" si="84"/>
        <v>2023 02</v>
      </c>
      <c r="G1089" s="96" t="s">
        <v>6</v>
      </c>
      <c r="H1089" s="160" t="str">
        <f>RIGHT(Journal!$J1089,9)</f>
        <v>176208973</v>
      </c>
      <c r="I1089" s="96" t="str">
        <f t="shared" ref="I1089:I1152" si="86">IFERROR(LEFT(J1089,FIND(",",J1089)-1),"")</f>
        <v>Maxler</v>
      </c>
      <c r="J1089" s="97" t="s">
        <v>481</v>
      </c>
      <c r="K1089" s="29">
        <v>1242</v>
      </c>
      <c r="L1089" s="29"/>
      <c r="M1089" s="30">
        <f>IFERROR(VLOOKUP($A1089,HeadJournal!$A$1:$J$890,COLUMN(HeadJournal!I$1),0)*($K1089+$L1089)/(SUMIF($A:$A,$A1089,$K:$K)+SUMIF($A:$A,$A1089,$L:$L)),0)</f>
        <v>0</v>
      </c>
      <c r="N1089" s="30">
        <f>IFERROR((VLOOKUP($A1089,HeadJournal!$A$1:$K$890,COLUMN(HeadJournal!K$1),0)-VLOOKUP($A1089,HeadJournal!$A$1:$K$890,COLUMN(HeadJournal!J$1),0))*($K1089+$L1089)/(SUMIF($A:$A,$A1089,$K:$K)+SUMIF($A:$A,$A1089,$L:$L)),0)</f>
        <v>0</v>
      </c>
      <c r="O1089" s="30">
        <f>IFERROR((VLOOKUP($A1089,HeadJournal!$A$1:$L$890,COLUMN(HeadJournal!L$1),0)*($K1089+$L1089)/(SUMIF($A:$A,$A1089,$K:$K)+SUMIF($A:$A,$A1089,$L:$L)))/VLOOKUP($A1089,HeadJournal!$A$1:$L$890,COLUMN(HeadJournal!H$1),0),0)</f>
        <v>186.29999999999998</v>
      </c>
      <c r="P1089" s="30">
        <f>IFERROR(SUM(K1089:O1089)*VLOOKUP($A1089,HeadJournal!$A$1:$L$890,COLUMN(HeadJournal!H$1),0),0)</f>
        <v>1428.3</v>
      </c>
      <c r="Q1089" s="29">
        <v>2400</v>
      </c>
      <c r="R1089" s="31">
        <v>45008</v>
      </c>
      <c r="S1089" s="31" t="s">
        <v>3121</v>
      </c>
      <c r="T1089" s="95" t="str">
        <f t="shared" si="85"/>
        <v>2023 03</v>
      </c>
      <c r="U1089" s="32">
        <f t="shared" ref="U1089:U1152" si="87">Q1089-P1089</f>
        <v>971.7</v>
      </c>
      <c r="V1089" s="22">
        <f t="shared" ref="V1089:V1152" si="88">IF(Q1089&lt;&gt;0,IFERROR(U1089/P1089,""),"")</f>
        <v>0.68031926065952542</v>
      </c>
      <c r="X1089" s="33"/>
      <c r="Y1089" s="33"/>
    </row>
    <row r="1090" spans="1:25" x14ac:dyDescent="0.2">
      <c r="A1090" s="93" t="s">
        <v>479</v>
      </c>
      <c r="B1090" s="94">
        <f>IFERROR(VLOOKUP($A1090,HeadJournal!$A$1:$NTR$890,COLUMN(HeadJournal!B$1),0),"")</f>
        <v>0</v>
      </c>
      <c r="C1090" s="94" t="str">
        <f>IFERROR(VLOOKUP($A1090,HeadJournal!$A$1:$NTR$890,COLUMN(HeadJournal!C$1),0),"")</f>
        <v>OZON_AV</v>
      </c>
      <c r="D1090" s="125" t="str">
        <f>IFERROR(VLOOKUP($A1090,HeadJournal!$A$1:$NTR$890,COLUMN(HeadJournal!D$1),0),"")</f>
        <v>Доставлен</v>
      </c>
      <c r="E1090" s="95">
        <f>IFERROR(VLOOKUP($A1090,HeadJournal!$A$1:$NTR$890,COLUMN(HeadJournal!G$1),0),"")</f>
        <v>44973</v>
      </c>
      <c r="F1090" s="95" t="str">
        <f t="shared" si="84"/>
        <v>2023 02</v>
      </c>
      <c r="G1090" s="96" t="s">
        <v>6</v>
      </c>
      <c r="H1090" s="160" t="str">
        <f>RIGHT(Journal!$J1090,9)</f>
        <v>313178264</v>
      </c>
      <c r="I1090" s="96" t="str">
        <f t="shared" si="86"/>
        <v>BIG</v>
      </c>
      <c r="J1090" s="97" t="s">
        <v>482</v>
      </c>
      <c r="K1090" s="29">
        <v>634</v>
      </c>
      <c r="L1090" s="29"/>
      <c r="M1090" s="30">
        <f>IFERROR(VLOOKUP($A1090,HeadJournal!$A$1:$J$890,COLUMN(HeadJournal!I$1),0)*($K1090+$L1090)/(SUMIF($A:$A,$A1090,$K:$K)+SUMIF($A:$A,$A1090,$L:$L)),0)</f>
        <v>0</v>
      </c>
      <c r="N1090" s="30">
        <f>IFERROR((VLOOKUP($A1090,HeadJournal!$A$1:$K$890,COLUMN(HeadJournal!K$1),0)-VLOOKUP($A1090,HeadJournal!$A$1:$K$890,COLUMN(HeadJournal!J$1),0))*($K1090+$L1090)/(SUMIF($A:$A,$A1090,$K:$K)+SUMIF($A:$A,$A1090,$L:$L)),0)</f>
        <v>0</v>
      </c>
      <c r="O1090" s="30">
        <f>IFERROR((VLOOKUP($A1090,HeadJournal!$A$1:$L$890,COLUMN(HeadJournal!L$1),0)*($K1090+$L1090)/(SUMIF($A:$A,$A1090,$K:$K)+SUMIF($A:$A,$A1090,$L:$L)))/VLOOKUP($A1090,HeadJournal!$A$1:$L$890,COLUMN(HeadJournal!H$1),0),0)</f>
        <v>95.09999999999998</v>
      </c>
      <c r="P1090" s="30">
        <f>IFERROR(SUM(K1090:O1090)*VLOOKUP($A1090,HeadJournal!$A$1:$L$890,COLUMN(HeadJournal!H$1),0),0)</f>
        <v>729.1</v>
      </c>
      <c r="Q1090" s="29">
        <v>1400</v>
      </c>
      <c r="R1090" s="31">
        <v>45023</v>
      </c>
      <c r="S1090" s="31" t="s">
        <v>3121</v>
      </c>
      <c r="T1090" s="95" t="str">
        <f t="shared" si="85"/>
        <v>2023 04</v>
      </c>
      <c r="U1090" s="32">
        <f t="shared" si="87"/>
        <v>670.9</v>
      </c>
      <c r="V1090" s="22">
        <f t="shared" si="88"/>
        <v>0.92017555890824299</v>
      </c>
      <c r="X1090" s="33"/>
      <c r="Y1090" s="33"/>
    </row>
    <row r="1091" spans="1:25" x14ac:dyDescent="0.2">
      <c r="A1091" s="93" t="s">
        <v>479</v>
      </c>
      <c r="B1091" s="94">
        <f>IFERROR(VLOOKUP($A1091,HeadJournal!$A$1:$NTR$890,COLUMN(HeadJournal!B$1),0),"")</f>
        <v>0</v>
      </c>
      <c r="C1091" s="94" t="str">
        <f>IFERROR(VLOOKUP($A1091,HeadJournal!$A$1:$NTR$890,COLUMN(HeadJournal!C$1),0),"")</f>
        <v>OZON_AV</v>
      </c>
      <c r="D1091" s="125" t="str">
        <f>IFERROR(VLOOKUP($A1091,HeadJournal!$A$1:$NTR$890,COLUMN(HeadJournal!D$1),0),"")</f>
        <v>Доставлен</v>
      </c>
      <c r="E1091" s="95">
        <f>IFERROR(VLOOKUP($A1091,HeadJournal!$A$1:$NTR$890,COLUMN(HeadJournal!G$1),0),"")</f>
        <v>44973</v>
      </c>
      <c r="F1091" s="95" t="str">
        <f t="shared" si="84"/>
        <v>2023 02</v>
      </c>
      <c r="G1091" s="96" t="s">
        <v>6</v>
      </c>
      <c r="H1091" s="160" t="str">
        <f>RIGHT(Journal!$J1091,9)</f>
        <v>310155519</v>
      </c>
      <c r="I1091" s="96" t="str">
        <f t="shared" si="86"/>
        <v>BIG</v>
      </c>
      <c r="J1091" s="97" t="s">
        <v>376</v>
      </c>
      <c r="K1091" s="29">
        <v>1307</v>
      </c>
      <c r="L1091" s="29"/>
      <c r="M1091" s="30">
        <f>IFERROR(VLOOKUP($A1091,HeadJournal!$A$1:$J$890,COLUMN(HeadJournal!I$1),0)*($K1091+$L1091)/(SUMIF($A:$A,$A1091,$K:$K)+SUMIF($A:$A,$A1091,$L:$L)),0)</f>
        <v>0</v>
      </c>
      <c r="N1091" s="30">
        <f>IFERROR((VLOOKUP($A1091,HeadJournal!$A$1:$K$890,COLUMN(HeadJournal!K$1),0)-VLOOKUP($A1091,HeadJournal!$A$1:$K$890,COLUMN(HeadJournal!J$1),0))*($K1091+$L1091)/(SUMIF($A:$A,$A1091,$K:$K)+SUMIF($A:$A,$A1091,$L:$L)),0)</f>
        <v>0</v>
      </c>
      <c r="O1091" s="30">
        <f>IFERROR((VLOOKUP($A1091,HeadJournal!$A$1:$L$890,COLUMN(HeadJournal!L$1),0)*($K1091+$L1091)/(SUMIF($A:$A,$A1091,$K:$K)+SUMIF($A:$A,$A1091,$L:$L)))/VLOOKUP($A1091,HeadJournal!$A$1:$L$890,COLUMN(HeadJournal!H$1),0),0)</f>
        <v>196.04999999999998</v>
      </c>
      <c r="P1091" s="30">
        <f>IFERROR(SUM(K1091:O1091)*VLOOKUP($A1091,HeadJournal!$A$1:$L$890,COLUMN(HeadJournal!H$1),0),0)</f>
        <v>1503.05</v>
      </c>
      <c r="Q1091" s="29">
        <v>2500</v>
      </c>
      <c r="R1091" s="31">
        <v>45035</v>
      </c>
      <c r="S1091" s="31" t="s">
        <v>3121</v>
      </c>
      <c r="T1091" s="95" t="str">
        <f t="shared" si="85"/>
        <v>2023 04</v>
      </c>
      <c r="U1091" s="32">
        <f t="shared" si="87"/>
        <v>996.95</v>
      </c>
      <c r="V1091" s="22">
        <f t="shared" si="88"/>
        <v>0.66328465453577734</v>
      </c>
      <c r="X1091" s="33"/>
      <c r="Y1091" s="33"/>
    </row>
    <row r="1092" spans="1:25" x14ac:dyDescent="0.2">
      <c r="A1092" s="93" t="s">
        <v>479</v>
      </c>
      <c r="B1092" s="94">
        <f>IFERROR(VLOOKUP($A1092,HeadJournal!$A$1:$NTR$890,COLUMN(HeadJournal!B$1),0),"")</f>
        <v>0</v>
      </c>
      <c r="C1092" s="94" t="str">
        <f>IFERROR(VLOOKUP($A1092,HeadJournal!$A$1:$NTR$890,COLUMN(HeadJournal!C$1),0),"")</f>
        <v>OZON_AV</v>
      </c>
      <c r="D1092" s="125" t="str">
        <f>IFERROR(VLOOKUP($A1092,HeadJournal!$A$1:$NTR$890,COLUMN(HeadJournal!D$1),0),"")</f>
        <v>Доставлен</v>
      </c>
      <c r="E1092" s="95">
        <f>IFERROR(VLOOKUP($A1092,HeadJournal!$A$1:$NTR$890,COLUMN(HeadJournal!G$1),0),"")</f>
        <v>44973</v>
      </c>
      <c r="F1092" s="95" t="str">
        <f t="shared" ref="F1092:F1155" si="89">IFERROR(TEXT(E1092, "ГГГГ ММ"),"")</f>
        <v>2023 02</v>
      </c>
      <c r="G1092" s="96" t="s">
        <v>6</v>
      </c>
      <c r="H1092" s="160" t="str">
        <f>RIGHT(Journal!$J1092,9)</f>
        <v>310161195</v>
      </c>
      <c r="I1092" s="96" t="str">
        <f t="shared" si="86"/>
        <v>BIG</v>
      </c>
      <c r="J1092" s="97" t="s">
        <v>355</v>
      </c>
      <c r="K1092" s="29">
        <v>1208</v>
      </c>
      <c r="L1092" s="29"/>
      <c r="M1092" s="30">
        <f>IFERROR(VLOOKUP($A1092,HeadJournal!$A$1:$J$890,COLUMN(HeadJournal!I$1),0)*($K1092+$L1092)/(SUMIF($A:$A,$A1092,$K:$K)+SUMIF($A:$A,$A1092,$L:$L)),0)</f>
        <v>0</v>
      </c>
      <c r="N1092" s="30">
        <f>IFERROR((VLOOKUP($A1092,HeadJournal!$A$1:$K$890,COLUMN(HeadJournal!K$1),0)-VLOOKUP($A1092,HeadJournal!$A$1:$K$890,COLUMN(HeadJournal!J$1),0))*($K1092+$L1092)/(SUMIF($A:$A,$A1092,$K:$K)+SUMIF($A:$A,$A1092,$L:$L)),0)</f>
        <v>0</v>
      </c>
      <c r="O1092" s="30">
        <f>IFERROR((VLOOKUP($A1092,HeadJournal!$A$1:$L$890,COLUMN(HeadJournal!L$1),0)*($K1092+$L1092)/(SUMIF($A:$A,$A1092,$K:$K)+SUMIF($A:$A,$A1092,$L:$L)))/VLOOKUP($A1092,HeadJournal!$A$1:$L$890,COLUMN(HeadJournal!H$1),0),0)</f>
        <v>181.19999999999996</v>
      </c>
      <c r="P1092" s="30">
        <f>IFERROR(SUM(K1092:O1092)*VLOOKUP($A1092,HeadJournal!$A$1:$L$890,COLUMN(HeadJournal!H$1),0),0)</f>
        <v>1389.2</v>
      </c>
      <c r="Q1092" s="29">
        <v>2500</v>
      </c>
      <c r="R1092" s="31">
        <v>45208</v>
      </c>
      <c r="S1092" s="31" t="s">
        <v>3121</v>
      </c>
      <c r="T1092" s="95" t="str">
        <f t="shared" ref="T1092:T1155" si="90">IF(R1092="","",TEXT(R1092,"ГГГГ ММ"))</f>
        <v>2023 10</v>
      </c>
      <c r="U1092" s="32">
        <f t="shared" si="87"/>
        <v>1110.8</v>
      </c>
      <c r="V1092" s="22">
        <f t="shared" si="88"/>
        <v>0.79959689029657355</v>
      </c>
      <c r="X1092" s="33"/>
      <c r="Y1092" s="33"/>
    </row>
    <row r="1093" spans="1:25" x14ac:dyDescent="0.2">
      <c r="A1093" s="93" t="s">
        <v>483</v>
      </c>
      <c r="B1093" s="94">
        <f>IFERROR(VLOOKUP($A1093,HeadJournal!$A$1:$NTR$890,COLUMN(HeadJournal!B$1),0),"")</f>
        <v>0</v>
      </c>
      <c r="C1093" s="94" t="str">
        <f>IFERROR(VLOOKUP($A1093,HeadJournal!$A$1:$NTR$890,COLUMN(HeadJournal!C$1),0),"")</f>
        <v>OZON_AV</v>
      </c>
      <c r="D1093" s="125" t="str">
        <f>IFERROR(VLOOKUP($A1093,HeadJournal!$A$1:$NTR$890,COLUMN(HeadJournal!D$1),0),"")</f>
        <v>Доставлен</v>
      </c>
      <c r="E1093" s="95">
        <f>IFERROR(VLOOKUP($A1093,HeadJournal!$A$1:$NTR$890,COLUMN(HeadJournal!G$1),0),"")</f>
        <v>44974</v>
      </c>
      <c r="F1093" s="95" t="str">
        <f t="shared" si="89"/>
        <v>2023 02</v>
      </c>
      <c r="G1093" s="96" t="s">
        <v>7</v>
      </c>
      <c r="H1093" s="160" t="str">
        <f>RIGHT(Journal!$J1093,9)</f>
        <v>761430572</v>
      </c>
      <c r="I1093" s="96" t="str">
        <f t="shared" si="86"/>
        <v>Laneige</v>
      </c>
      <c r="J1093" s="97" t="s">
        <v>484</v>
      </c>
      <c r="K1093" s="29">
        <v>161</v>
      </c>
      <c r="L1093" s="29"/>
      <c r="M1093" s="30">
        <f>IFERROR(VLOOKUP($A1093,HeadJournal!$A$1:$J$890,COLUMN(HeadJournal!I$1),0)*($K1093+$L1093)/(SUMIF($A:$A,$A1093,$K:$K)+SUMIF($A:$A,$A1093,$L:$L)),0)</f>
        <v>0</v>
      </c>
      <c r="N1093" s="30">
        <f>IFERROR((VLOOKUP($A1093,HeadJournal!$A$1:$K$890,COLUMN(HeadJournal!K$1),0)-VLOOKUP($A1093,HeadJournal!$A$1:$K$890,COLUMN(HeadJournal!J$1),0))*($K1093+$L1093)/(SUMIF($A:$A,$A1093,$K:$K)+SUMIF($A:$A,$A1093,$L:$L)),0)</f>
        <v>0</v>
      </c>
      <c r="O1093" s="30">
        <f>IFERROR((VLOOKUP($A1093,HeadJournal!$A$1:$L$890,COLUMN(HeadJournal!L$1),0)*($K1093+$L1093)/(SUMIF($A:$A,$A1093,$K:$K)+SUMIF($A:$A,$A1093,$L:$L)))/VLOOKUP($A1093,HeadJournal!$A$1:$L$890,COLUMN(HeadJournal!H$1),0),0)</f>
        <v>24.150000000000002</v>
      </c>
      <c r="P1093" s="30">
        <f>IFERROR(SUM(K1093:O1093)*VLOOKUP($A1093,HeadJournal!$A$1:$L$890,COLUMN(HeadJournal!H$1),0),0)</f>
        <v>185.15</v>
      </c>
      <c r="Q1093" s="29">
        <v>350</v>
      </c>
      <c r="R1093" s="31">
        <v>44977</v>
      </c>
      <c r="S1093" s="31" t="s">
        <v>3121</v>
      </c>
      <c r="T1093" s="95" t="str">
        <f t="shared" si="90"/>
        <v>2023 02</v>
      </c>
      <c r="U1093" s="32">
        <f t="shared" si="87"/>
        <v>164.85</v>
      </c>
      <c r="V1093" s="22">
        <f t="shared" si="88"/>
        <v>0.89035916824196593</v>
      </c>
      <c r="X1093" s="33"/>
      <c r="Y1093" s="33"/>
    </row>
    <row r="1094" spans="1:25" x14ac:dyDescent="0.2">
      <c r="A1094" s="93" t="s">
        <v>483</v>
      </c>
      <c r="B1094" s="94">
        <f>IFERROR(VLOOKUP($A1094,HeadJournal!$A$1:$NTR$890,COLUMN(HeadJournal!B$1),0),"")</f>
        <v>0</v>
      </c>
      <c r="C1094" s="94" t="str">
        <f>IFERROR(VLOOKUP($A1094,HeadJournal!$A$1:$NTR$890,COLUMN(HeadJournal!C$1),0),"")</f>
        <v>OZON_AV</v>
      </c>
      <c r="D1094" s="125" t="str">
        <f>IFERROR(VLOOKUP($A1094,HeadJournal!$A$1:$NTR$890,COLUMN(HeadJournal!D$1),0),"")</f>
        <v>Доставлен</v>
      </c>
      <c r="E1094" s="95">
        <f>IFERROR(VLOOKUP($A1094,HeadJournal!$A$1:$NTR$890,COLUMN(HeadJournal!G$1),0),"")</f>
        <v>44974</v>
      </c>
      <c r="F1094" s="95" t="str">
        <f t="shared" si="89"/>
        <v>2023 02</v>
      </c>
      <c r="G1094" s="96" t="s">
        <v>7</v>
      </c>
      <c r="H1094" s="160" t="str">
        <f>RIGHT(Journal!$J1094,9)</f>
        <v>761430572</v>
      </c>
      <c r="I1094" s="96" t="str">
        <f t="shared" si="86"/>
        <v>Laneige</v>
      </c>
      <c r="J1094" s="97" t="s">
        <v>484</v>
      </c>
      <c r="K1094" s="29">
        <v>161</v>
      </c>
      <c r="L1094" s="29"/>
      <c r="M1094" s="30">
        <f>IFERROR(VLOOKUP($A1094,HeadJournal!$A$1:$J$890,COLUMN(HeadJournal!I$1),0)*($K1094+$L1094)/(SUMIF($A:$A,$A1094,$K:$K)+SUMIF($A:$A,$A1094,$L:$L)),0)</f>
        <v>0</v>
      </c>
      <c r="N1094" s="30">
        <f>IFERROR((VLOOKUP($A1094,HeadJournal!$A$1:$K$890,COLUMN(HeadJournal!K$1),0)-VLOOKUP($A1094,HeadJournal!$A$1:$K$890,COLUMN(HeadJournal!J$1),0))*($K1094+$L1094)/(SUMIF($A:$A,$A1094,$K:$K)+SUMIF($A:$A,$A1094,$L:$L)),0)</f>
        <v>0</v>
      </c>
      <c r="O1094" s="30">
        <f>IFERROR((VLOOKUP($A1094,HeadJournal!$A$1:$L$890,COLUMN(HeadJournal!L$1),0)*($K1094+$L1094)/(SUMIF($A:$A,$A1094,$K:$K)+SUMIF($A:$A,$A1094,$L:$L)))/VLOOKUP($A1094,HeadJournal!$A$1:$L$890,COLUMN(HeadJournal!H$1),0),0)</f>
        <v>24.150000000000002</v>
      </c>
      <c r="P1094" s="30">
        <f>IFERROR(SUM(K1094:O1094)*VLOOKUP($A1094,HeadJournal!$A$1:$L$890,COLUMN(HeadJournal!H$1),0),0)</f>
        <v>185.15</v>
      </c>
      <c r="Q1094" s="29">
        <v>350</v>
      </c>
      <c r="R1094" s="31">
        <v>45006</v>
      </c>
      <c r="S1094" s="31" t="s">
        <v>3121</v>
      </c>
      <c r="T1094" s="95" t="str">
        <f t="shared" si="90"/>
        <v>2023 03</v>
      </c>
      <c r="U1094" s="32">
        <f t="shared" si="87"/>
        <v>164.85</v>
      </c>
      <c r="V1094" s="22">
        <f t="shared" si="88"/>
        <v>0.89035916824196593</v>
      </c>
      <c r="X1094" s="33"/>
      <c r="Y1094" s="33"/>
    </row>
    <row r="1095" spans="1:25" x14ac:dyDescent="0.2">
      <c r="A1095" s="93" t="s">
        <v>483</v>
      </c>
      <c r="B1095" s="94">
        <f>IFERROR(VLOOKUP($A1095,HeadJournal!$A$1:$NTR$890,COLUMN(HeadJournal!B$1),0),"")</f>
        <v>0</v>
      </c>
      <c r="C1095" s="94" t="str">
        <f>IFERROR(VLOOKUP($A1095,HeadJournal!$A$1:$NTR$890,COLUMN(HeadJournal!C$1),0),"")</f>
        <v>OZON_AV</v>
      </c>
      <c r="D1095" s="125" t="str">
        <f>IFERROR(VLOOKUP($A1095,HeadJournal!$A$1:$NTR$890,COLUMN(HeadJournal!D$1),0),"")</f>
        <v>Доставлен</v>
      </c>
      <c r="E1095" s="95">
        <f>IFERROR(VLOOKUP($A1095,HeadJournal!$A$1:$NTR$890,COLUMN(HeadJournal!G$1),0),"")</f>
        <v>44974</v>
      </c>
      <c r="F1095" s="95" t="str">
        <f t="shared" si="89"/>
        <v>2023 02</v>
      </c>
      <c r="G1095" s="96" t="s">
        <v>7</v>
      </c>
      <c r="H1095" s="160" t="str">
        <f>RIGHT(Journal!$J1095,9)</f>
        <v>761430572</v>
      </c>
      <c r="I1095" s="96" t="str">
        <f t="shared" si="86"/>
        <v>Laneige</v>
      </c>
      <c r="J1095" s="97" t="s">
        <v>484</v>
      </c>
      <c r="K1095" s="29">
        <v>161</v>
      </c>
      <c r="L1095" s="29"/>
      <c r="M1095" s="30">
        <f>IFERROR(VLOOKUP($A1095,HeadJournal!$A$1:$J$890,COLUMN(HeadJournal!I$1),0)*($K1095+$L1095)/(SUMIF($A:$A,$A1095,$K:$K)+SUMIF($A:$A,$A1095,$L:$L)),0)</f>
        <v>0</v>
      </c>
      <c r="N1095" s="30">
        <f>IFERROR((VLOOKUP($A1095,HeadJournal!$A$1:$K$890,COLUMN(HeadJournal!K$1),0)-VLOOKUP($A1095,HeadJournal!$A$1:$K$890,COLUMN(HeadJournal!J$1),0))*($K1095+$L1095)/(SUMIF($A:$A,$A1095,$K:$K)+SUMIF($A:$A,$A1095,$L:$L)),0)</f>
        <v>0</v>
      </c>
      <c r="O1095" s="30">
        <f>IFERROR((VLOOKUP($A1095,HeadJournal!$A$1:$L$890,COLUMN(HeadJournal!L$1),0)*($K1095+$L1095)/(SUMIF($A:$A,$A1095,$K:$K)+SUMIF($A:$A,$A1095,$L:$L)))/VLOOKUP($A1095,HeadJournal!$A$1:$L$890,COLUMN(HeadJournal!H$1),0),0)</f>
        <v>24.150000000000002</v>
      </c>
      <c r="P1095" s="30">
        <f>IFERROR(SUM(K1095:O1095)*VLOOKUP($A1095,HeadJournal!$A$1:$L$890,COLUMN(HeadJournal!H$1),0),0)</f>
        <v>185.15</v>
      </c>
      <c r="Q1095" s="29"/>
      <c r="R1095" s="31"/>
      <c r="S1095" s="31"/>
      <c r="T1095" s="95" t="str">
        <f t="shared" si="90"/>
        <v/>
      </c>
      <c r="U1095" s="32">
        <f t="shared" si="87"/>
        <v>-185.15</v>
      </c>
      <c r="V1095" s="22" t="str">
        <f t="shared" si="88"/>
        <v/>
      </c>
      <c r="X1095" s="33"/>
      <c r="Y1095" s="33"/>
    </row>
    <row r="1096" spans="1:25" x14ac:dyDescent="0.2">
      <c r="A1096" s="93" t="s">
        <v>485</v>
      </c>
      <c r="B1096" s="94">
        <f>IFERROR(VLOOKUP($A1096,HeadJournal!$A$1:$NTR$890,COLUMN(HeadJournal!B$1),0),"")</f>
        <v>0</v>
      </c>
      <c r="C1096" s="94" t="str">
        <f>IFERROR(VLOOKUP($A1096,HeadJournal!$A$1:$NTR$890,COLUMN(HeadJournal!C$1),0),"")</f>
        <v>WBRS</v>
      </c>
      <c r="D1096" s="125" t="str">
        <f>IFERROR(VLOOKUP($A1096,HeadJournal!$A$1:$NTR$890,COLUMN(HeadJournal!D$1),0),"")</f>
        <v>Доставлен</v>
      </c>
      <c r="E1096" s="95">
        <f>IFERROR(VLOOKUP($A1096,HeadJournal!$A$1:$NTR$890,COLUMN(HeadJournal!G$1),0),"")</f>
        <v>44971</v>
      </c>
      <c r="F1096" s="95" t="str">
        <f t="shared" si="89"/>
        <v>2023 02</v>
      </c>
      <c r="G1096" s="96" t="s">
        <v>7</v>
      </c>
      <c r="H1096" s="160" t="str">
        <f>RIGHT(Journal!$J1096,9)</f>
        <v>132042820</v>
      </c>
      <c r="I1096" s="96" t="str">
        <f t="shared" si="86"/>
        <v>AVRANGpro</v>
      </c>
      <c r="J1096" s="97" t="s">
        <v>486</v>
      </c>
      <c r="K1096" s="29">
        <v>260</v>
      </c>
      <c r="L1096" s="29"/>
      <c r="M1096" s="30">
        <f>IFERROR(VLOOKUP($A1096,HeadJournal!$A$1:$J$890,COLUMN(HeadJournal!I$1),0)*($K1096+$L1096)/(SUMIF($A:$A,$A1096,$K:$K)+SUMIF($A:$A,$A1096,$L:$L)),0)</f>
        <v>0</v>
      </c>
      <c r="N1096" s="30">
        <f>IFERROR((VLOOKUP($A1096,HeadJournal!$A$1:$K$890,COLUMN(HeadJournal!K$1),0)-VLOOKUP($A1096,HeadJournal!$A$1:$K$890,COLUMN(HeadJournal!J$1),0))*($K1096+$L1096)/(SUMIF($A:$A,$A1096,$K:$K)+SUMIF($A:$A,$A1096,$L:$L)),0)</f>
        <v>0</v>
      </c>
      <c r="O1096" s="30">
        <f>IFERROR((VLOOKUP($A1096,HeadJournal!$A$1:$L$890,COLUMN(HeadJournal!L$1),0)*($K1096+$L1096)/(SUMIF($A:$A,$A1096,$K:$K)+SUMIF($A:$A,$A1096,$L:$L)))/VLOOKUP($A1096,HeadJournal!$A$1:$L$890,COLUMN(HeadJournal!H$1),0),0)</f>
        <v>39</v>
      </c>
      <c r="P1096" s="30">
        <f>IFERROR(SUM(K1096:O1096)*VLOOKUP($A1096,HeadJournal!$A$1:$L$890,COLUMN(HeadJournal!H$1),0),0)</f>
        <v>299</v>
      </c>
      <c r="Q1096" s="29">
        <v>800</v>
      </c>
      <c r="R1096" s="31">
        <v>44986</v>
      </c>
      <c r="S1096" s="31" t="s">
        <v>3121</v>
      </c>
      <c r="T1096" s="95" t="str">
        <f t="shared" si="90"/>
        <v>2023 03</v>
      </c>
      <c r="U1096" s="32">
        <f t="shared" si="87"/>
        <v>501</v>
      </c>
      <c r="V1096" s="22">
        <f t="shared" si="88"/>
        <v>1.6755852842809364</v>
      </c>
      <c r="X1096" s="33"/>
      <c r="Y1096" s="33"/>
    </row>
    <row r="1097" spans="1:25" x14ac:dyDescent="0.2">
      <c r="A1097" s="93" t="s">
        <v>487</v>
      </c>
      <c r="B1097" s="94">
        <f>IFERROR(VLOOKUP($A1097,HeadJournal!$A$1:$NTR$890,COLUMN(HeadJournal!B$1),0),"")</f>
        <v>0</v>
      </c>
      <c r="C1097" s="94" t="str">
        <f>IFERROR(VLOOKUP($A1097,HeadJournal!$A$1:$NTR$890,COLUMN(HeadJournal!C$1),0),"")</f>
        <v>WBRS</v>
      </c>
      <c r="D1097" s="125" t="str">
        <f>IFERROR(VLOOKUP($A1097,HeadJournal!$A$1:$NTR$890,COLUMN(HeadJournal!D$1),0),"")</f>
        <v>Доставлен</v>
      </c>
      <c r="E1097" s="95">
        <f>IFERROR(VLOOKUP($A1097,HeadJournal!$A$1:$NTR$890,COLUMN(HeadJournal!G$1),0),"")</f>
        <v>44974</v>
      </c>
      <c r="F1097" s="95" t="str">
        <f t="shared" si="89"/>
        <v>2023 02</v>
      </c>
      <c r="G1097" s="96" t="s">
        <v>7</v>
      </c>
      <c r="H1097" s="160" t="str">
        <f>RIGHT(Journal!$J1097,9)</f>
        <v>108772032</v>
      </c>
      <c r="I1097" s="96" t="str">
        <f t="shared" si="86"/>
        <v>Zozu</v>
      </c>
      <c r="J1097" s="97" t="s">
        <v>488</v>
      </c>
      <c r="K1097" s="29">
        <v>184</v>
      </c>
      <c r="L1097" s="29"/>
      <c r="M1097" s="30">
        <f>IFERROR(VLOOKUP($A1097,HeadJournal!$A$1:$J$890,COLUMN(HeadJournal!I$1),0)*($K1097+$L1097)/(SUMIF($A:$A,$A1097,$K:$K)+SUMIF($A:$A,$A1097,$L:$L)),0)</f>
        <v>0</v>
      </c>
      <c r="N1097" s="30">
        <f>IFERROR((VLOOKUP($A1097,HeadJournal!$A$1:$K$890,COLUMN(HeadJournal!K$1),0)-VLOOKUP($A1097,HeadJournal!$A$1:$K$890,COLUMN(HeadJournal!J$1),0))*($K1097+$L1097)/(SUMIF($A:$A,$A1097,$K:$K)+SUMIF($A:$A,$A1097,$L:$L)),0)</f>
        <v>0</v>
      </c>
      <c r="O1097" s="30">
        <f>IFERROR((VLOOKUP($A1097,HeadJournal!$A$1:$L$890,COLUMN(HeadJournal!L$1),0)*($K1097+$L1097)/(SUMIF($A:$A,$A1097,$K:$K)+SUMIF($A:$A,$A1097,$L:$L)))/VLOOKUP($A1097,HeadJournal!$A$1:$L$890,COLUMN(HeadJournal!H$1),0),0)</f>
        <v>27.599999999999998</v>
      </c>
      <c r="P1097" s="30">
        <f>IFERROR(SUM(K1097:O1097)*VLOOKUP($A1097,HeadJournal!$A$1:$L$890,COLUMN(HeadJournal!H$1),0),0)</f>
        <v>211.6</v>
      </c>
      <c r="Q1097" s="29">
        <v>500</v>
      </c>
      <c r="R1097" s="31">
        <v>45010</v>
      </c>
      <c r="S1097" s="31" t="s">
        <v>3121</v>
      </c>
      <c r="T1097" s="95" t="str">
        <f t="shared" si="90"/>
        <v>2023 03</v>
      </c>
      <c r="U1097" s="32">
        <f t="shared" si="87"/>
        <v>288.39999999999998</v>
      </c>
      <c r="V1097" s="22">
        <f t="shared" si="88"/>
        <v>1.3629489603024574</v>
      </c>
      <c r="X1097" s="33"/>
      <c r="Y1097" s="33"/>
    </row>
    <row r="1098" spans="1:25" x14ac:dyDescent="0.2">
      <c r="A1098" s="93" t="s">
        <v>487</v>
      </c>
      <c r="B1098" s="94">
        <f>IFERROR(VLOOKUP($A1098,HeadJournal!$A$1:$NTR$890,COLUMN(HeadJournal!B$1),0),"")</f>
        <v>0</v>
      </c>
      <c r="C1098" s="94" t="str">
        <f>IFERROR(VLOOKUP($A1098,HeadJournal!$A$1:$NTR$890,COLUMN(HeadJournal!C$1),0),"")</f>
        <v>WBRS</v>
      </c>
      <c r="D1098" s="125" t="str">
        <f>IFERROR(VLOOKUP($A1098,HeadJournal!$A$1:$NTR$890,COLUMN(HeadJournal!D$1),0),"")</f>
        <v>Доставлен</v>
      </c>
      <c r="E1098" s="95">
        <f>IFERROR(VLOOKUP($A1098,HeadJournal!$A$1:$NTR$890,COLUMN(HeadJournal!G$1),0),"")</f>
        <v>44974</v>
      </c>
      <c r="F1098" s="95" t="str">
        <f t="shared" si="89"/>
        <v>2023 02</v>
      </c>
      <c r="G1098" s="96" t="s">
        <v>7</v>
      </c>
      <c r="H1098" s="160" t="str">
        <f>RIGHT(Journal!$J1098,9)</f>
        <v>108772032</v>
      </c>
      <c r="I1098" s="96" t="str">
        <f t="shared" si="86"/>
        <v>Zozu</v>
      </c>
      <c r="J1098" s="97" t="s">
        <v>488</v>
      </c>
      <c r="K1098" s="29">
        <v>184</v>
      </c>
      <c r="L1098" s="29"/>
      <c r="M1098" s="30">
        <f>IFERROR(VLOOKUP($A1098,HeadJournal!$A$1:$J$890,COLUMN(HeadJournal!I$1),0)*($K1098+$L1098)/(SUMIF($A:$A,$A1098,$K:$K)+SUMIF($A:$A,$A1098,$L:$L)),0)</f>
        <v>0</v>
      </c>
      <c r="N1098" s="30">
        <f>IFERROR((VLOOKUP($A1098,HeadJournal!$A$1:$K$890,COLUMN(HeadJournal!K$1),0)-VLOOKUP($A1098,HeadJournal!$A$1:$K$890,COLUMN(HeadJournal!J$1),0))*($K1098+$L1098)/(SUMIF($A:$A,$A1098,$K:$K)+SUMIF($A:$A,$A1098,$L:$L)),0)</f>
        <v>0</v>
      </c>
      <c r="O1098" s="30">
        <f>IFERROR((VLOOKUP($A1098,HeadJournal!$A$1:$L$890,COLUMN(HeadJournal!L$1),0)*($K1098+$L1098)/(SUMIF($A:$A,$A1098,$K:$K)+SUMIF($A:$A,$A1098,$L:$L)))/VLOOKUP($A1098,HeadJournal!$A$1:$L$890,COLUMN(HeadJournal!H$1),0),0)</f>
        <v>27.599999999999998</v>
      </c>
      <c r="P1098" s="30">
        <f>IFERROR(SUM(K1098:O1098)*VLOOKUP($A1098,HeadJournal!$A$1:$L$890,COLUMN(HeadJournal!H$1),0),0)</f>
        <v>211.6</v>
      </c>
      <c r="Q1098" s="29"/>
      <c r="R1098" s="31"/>
      <c r="S1098" s="31"/>
      <c r="T1098" s="95" t="str">
        <f t="shared" si="90"/>
        <v/>
      </c>
      <c r="U1098" s="32">
        <f t="shared" si="87"/>
        <v>-211.6</v>
      </c>
      <c r="V1098" s="22" t="str">
        <f t="shared" si="88"/>
        <v/>
      </c>
      <c r="X1098" s="33"/>
      <c r="Y1098" s="33"/>
    </row>
    <row r="1099" spans="1:25" x14ac:dyDescent="0.2">
      <c r="A1099" s="93" t="s">
        <v>489</v>
      </c>
      <c r="B1099" s="94" t="str">
        <f>IFERROR(VLOOKUP($A1099,HeadJournal!$A$1:$NTR$890,COLUMN(HeadJournal!B$1),0),"")</f>
        <v>710000638956</v>
      </c>
      <c r="C1099" s="94" t="str">
        <f>IFERROR(VLOOKUP($A1099,HeadJournal!$A$1:$NTR$890,COLUMN(HeadJournal!C$1),0),"")</f>
        <v>iHerb_OA CZN6870</v>
      </c>
      <c r="D1099" s="125" t="str">
        <f>IFERROR(VLOOKUP($A1099,HeadJournal!$A$1:$NTR$890,COLUMN(HeadJournal!D$1),0),"")</f>
        <v>Доставлен</v>
      </c>
      <c r="E1099" s="95">
        <f>IFERROR(VLOOKUP($A1099,HeadJournal!$A$1:$NTR$890,COLUMN(HeadJournal!G$1),0),"")</f>
        <v>44978</v>
      </c>
      <c r="F1099" s="95" t="str">
        <f t="shared" si="89"/>
        <v>2023 02</v>
      </c>
      <c r="G1099" s="96" t="s">
        <v>5</v>
      </c>
      <c r="H1099" s="161" t="s">
        <v>2642</v>
      </c>
      <c r="I1099" s="97" t="s">
        <v>2212</v>
      </c>
      <c r="J1099" s="97" t="s">
        <v>2643</v>
      </c>
      <c r="K1099" s="29">
        <v>22.3</v>
      </c>
      <c r="L1099" s="29">
        <v>-2.23</v>
      </c>
      <c r="M1099" s="30">
        <f>IFERROR(VLOOKUP($A1099,HeadJournal!$A$1:$J$890,COLUMN(HeadJournal!I$1),0)*($K1099+$L1099)/(SUMIF($A:$A,$A1099,$K:$K)+SUMIF($A:$A,$A1099,$L:$L)),0)</f>
        <v>1.6996998269896191</v>
      </c>
      <c r="N1099" s="30">
        <f>IFERROR((VLOOKUP($A1099,HeadJournal!$A$1:$K$890,COLUMN(HeadJournal!K$1),0)-VLOOKUP($A1099,HeadJournal!$A$1:$K$890,COLUMN(HeadJournal!J$1),0))*($K1099+$L1099)/(SUMIF($A:$A,$A1099,$K:$K)+SUMIF($A:$A,$A1099,$L:$L)),0)</f>
        <v>-2.4672305720943267E-15</v>
      </c>
      <c r="O1099" s="30">
        <f>IFERROR((VLOOKUP($A1099,HeadJournal!$A$1:$L$890,COLUMN(HeadJournal!L$1),0)*($K1099+$L1099)/(SUMIF($A:$A,$A1099,$K:$K)+SUMIF($A:$A,$A1099,$L:$L)))/VLOOKUP($A1099,HeadJournal!$A$1:$L$890,COLUMN(HeadJournal!H$1),0),0)</f>
        <v>1.5121377966291878</v>
      </c>
      <c r="P1099" s="30">
        <f>IFERROR(SUM(K1099:O1099)*VLOOKUP($A1099,HeadJournal!$A$1:$L$890,COLUMN(HeadJournal!H$1),0),0)</f>
        <v>1919.1130185986156</v>
      </c>
      <c r="Q1099" s="29">
        <v>2800</v>
      </c>
      <c r="R1099" s="31">
        <v>45012</v>
      </c>
      <c r="S1099" s="31" t="s">
        <v>3121</v>
      </c>
      <c r="T1099" s="95" t="str">
        <f t="shared" si="90"/>
        <v>2023 03</v>
      </c>
      <c r="U1099" s="32">
        <f t="shared" si="87"/>
        <v>880.88698140138445</v>
      </c>
      <c r="V1099" s="22">
        <f t="shared" si="88"/>
        <v>0.45900735020005762</v>
      </c>
      <c r="X1099" s="33"/>
      <c r="Y1099" s="33"/>
    </row>
    <row r="1100" spans="1:25" x14ac:dyDescent="0.2">
      <c r="A1100" s="93" t="s">
        <v>489</v>
      </c>
      <c r="B1100" s="94" t="str">
        <f>IFERROR(VLOOKUP($A1100,HeadJournal!$A$1:$NTR$890,COLUMN(HeadJournal!B$1),0),"")</f>
        <v>710000638956</v>
      </c>
      <c r="C1100" s="94" t="str">
        <f>IFERROR(VLOOKUP($A1100,HeadJournal!$A$1:$NTR$890,COLUMN(HeadJournal!C$1),0),"")</f>
        <v>iHerb_OA CZN6870</v>
      </c>
      <c r="D1100" s="125" t="str">
        <f>IFERROR(VLOOKUP($A1100,HeadJournal!$A$1:$NTR$890,COLUMN(HeadJournal!D$1),0),"")</f>
        <v>Доставлен</v>
      </c>
      <c r="E1100" s="95">
        <f>IFERROR(VLOOKUP($A1100,HeadJournal!$A$1:$NTR$890,COLUMN(HeadJournal!G$1),0),"")</f>
        <v>44978</v>
      </c>
      <c r="F1100" s="95" t="str">
        <f t="shared" si="89"/>
        <v>2023 02</v>
      </c>
      <c r="G1100" s="96" t="s">
        <v>5</v>
      </c>
      <c r="H1100" s="161" t="s">
        <v>2642</v>
      </c>
      <c r="I1100" s="97" t="s">
        <v>2212</v>
      </c>
      <c r="J1100" s="97" t="s">
        <v>2643</v>
      </c>
      <c r="K1100" s="29">
        <v>22.3</v>
      </c>
      <c r="L1100" s="29">
        <v>-2.23</v>
      </c>
      <c r="M1100" s="30">
        <f>IFERROR(VLOOKUP($A1100,HeadJournal!$A$1:$J$890,COLUMN(HeadJournal!I$1),0)*($K1100+$L1100)/(SUMIF($A:$A,$A1100,$K:$K)+SUMIF($A:$A,$A1100,$L:$L)),0)</f>
        <v>1.6996998269896191</v>
      </c>
      <c r="N1100" s="30">
        <f>IFERROR((VLOOKUP($A1100,HeadJournal!$A$1:$K$890,COLUMN(HeadJournal!K$1),0)-VLOOKUP($A1100,HeadJournal!$A$1:$K$890,COLUMN(HeadJournal!J$1),0))*($K1100+$L1100)/(SUMIF($A:$A,$A1100,$K:$K)+SUMIF($A:$A,$A1100,$L:$L)),0)</f>
        <v>-2.4672305720943267E-15</v>
      </c>
      <c r="O1100" s="30">
        <f>IFERROR((VLOOKUP($A1100,HeadJournal!$A$1:$L$890,COLUMN(HeadJournal!L$1),0)*($K1100+$L1100)/(SUMIF($A:$A,$A1100,$K:$K)+SUMIF($A:$A,$A1100,$L:$L)))/VLOOKUP($A1100,HeadJournal!$A$1:$L$890,COLUMN(HeadJournal!H$1),0),0)</f>
        <v>1.5121377966291878</v>
      </c>
      <c r="P1100" s="30">
        <f>IFERROR(SUM(K1100:O1100)*VLOOKUP($A1100,HeadJournal!$A$1:$L$890,COLUMN(HeadJournal!H$1),0),0)</f>
        <v>1919.1130185986156</v>
      </c>
      <c r="Q1100" s="29">
        <v>2800</v>
      </c>
      <c r="R1100" s="31">
        <v>45068</v>
      </c>
      <c r="S1100" s="31" t="s">
        <v>3121</v>
      </c>
      <c r="T1100" s="95" t="str">
        <f t="shared" si="90"/>
        <v>2023 05</v>
      </c>
      <c r="U1100" s="32">
        <f t="shared" si="87"/>
        <v>880.88698140138445</v>
      </c>
      <c r="V1100" s="22">
        <f t="shared" si="88"/>
        <v>0.45900735020005762</v>
      </c>
      <c r="X1100" s="33"/>
      <c r="Y1100" s="33"/>
    </row>
    <row r="1101" spans="1:25" x14ac:dyDescent="0.2">
      <c r="A1101" s="93" t="s">
        <v>489</v>
      </c>
      <c r="B1101" s="94" t="str">
        <f>IFERROR(VLOOKUP($A1101,HeadJournal!$A$1:$NTR$890,COLUMN(HeadJournal!B$1),0),"")</f>
        <v>710000638956</v>
      </c>
      <c r="C1101" s="94" t="str">
        <f>IFERROR(VLOOKUP($A1101,HeadJournal!$A$1:$NTR$890,COLUMN(HeadJournal!C$1),0),"")</f>
        <v>iHerb_OA CZN6870</v>
      </c>
      <c r="D1101" s="125" t="str">
        <f>IFERROR(VLOOKUP($A1101,HeadJournal!$A$1:$NTR$890,COLUMN(HeadJournal!D$1),0),"")</f>
        <v>Доставлен</v>
      </c>
      <c r="E1101" s="95">
        <f>IFERROR(VLOOKUP($A1101,HeadJournal!$A$1:$NTR$890,COLUMN(HeadJournal!G$1),0),"")</f>
        <v>44978</v>
      </c>
      <c r="F1101" s="95" t="str">
        <f t="shared" si="89"/>
        <v>2023 02</v>
      </c>
      <c r="G1101" s="96" t="s">
        <v>5</v>
      </c>
      <c r="H1101" s="160" t="str">
        <f>RIGHT(Journal!$J1101,9)</f>
        <v>SOL-01249</v>
      </c>
      <c r="I1101" s="96" t="str">
        <f t="shared" si="86"/>
        <v>Solgar</v>
      </c>
      <c r="J1101" s="97" t="s">
        <v>490</v>
      </c>
      <c r="K1101" s="29">
        <v>11.66</v>
      </c>
      <c r="L1101" s="29"/>
      <c r="M1101" s="30">
        <f>IFERROR(VLOOKUP($A1101,HeadJournal!$A$1:$J$890,COLUMN(HeadJournal!I$1),0)*($K1101+$L1101)/(SUMIF($A:$A,$A1101,$K:$K)+SUMIF($A:$A,$A1101,$L:$L)),0)</f>
        <v>0.98746885813148766</v>
      </c>
      <c r="N1101" s="30">
        <f>IFERROR((VLOOKUP($A1101,HeadJournal!$A$1:$K$890,COLUMN(HeadJournal!K$1),0)-VLOOKUP($A1101,HeadJournal!$A$1:$K$890,COLUMN(HeadJournal!J$1),0))*($K1101+$L1101)/(SUMIF($A:$A,$A1101,$K:$K)+SUMIF($A:$A,$A1101,$L:$L)),0)</f>
        <v>-1.4333785984364648E-15</v>
      </c>
      <c r="O1101" s="30">
        <f>IFERROR((VLOOKUP($A1101,HeadJournal!$A$1:$L$890,COLUMN(HeadJournal!L$1),0)*($K1101+$L1101)/(SUMIF($A:$A,$A1101,$K:$K)+SUMIF($A:$A,$A1101,$L:$L)))/VLOOKUP($A1101,HeadJournal!$A$1:$L$890,COLUMN(HeadJournal!H$1),0),0)</f>
        <v>0.87850157990514821</v>
      </c>
      <c r="P1101" s="30">
        <f>IFERROR(SUM(K1101:O1101)*VLOOKUP($A1101,HeadJournal!$A$1:$L$890,COLUMN(HeadJournal!H$1),0),0)</f>
        <v>1114.9405977508648</v>
      </c>
      <c r="Q1101" s="29">
        <v>1500</v>
      </c>
      <c r="R1101" s="31">
        <v>44999</v>
      </c>
      <c r="S1101" s="31" t="s">
        <v>3121</v>
      </c>
      <c r="T1101" s="95" t="str">
        <f t="shared" si="90"/>
        <v>2023 03</v>
      </c>
      <c r="U1101" s="32">
        <f t="shared" si="87"/>
        <v>385.05940224913525</v>
      </c>
      <c r="V1101" s="22">
        <f t="shared" si="88"/>
        <v>0.34536315479578344</v>
      </c>
      <c r="X1101" s="33"/>
      <c r="Y1101" s="33"/>
    </row>
    <row r="1102" spans="1:25" x14ac:dyDescent="0.2">
      <c r="A1102" s="93" t="s">
        <v>489</v>
      </c>
      <c r="B1102" s="94" t="str">
        <f>IFERROR(VLOOKUP($A1102,HeadJournal!$A$1:$NTR$890,COLUMN(HeadJournal!B$1),0),"")</f>
        <v>710000638956</v>
      </c>
      <c r="C1102" s="94" t="str">
        <f>IFERROR(VLOOKUP($A1102,HeadJournal!$A$1:$NTR$890,COLUMN(HeadJournal!C$1),0),"")</f>
        <v>iHerb_OA CZN6870</v>
      </c>
      <c r="D1102" s="125" t="str">
        <f>IFERROR(VLOOKUP($A1102,HeadJournal!$A$1:$NTR$890,COLUMN(HeadJournal!D$1),0),"")</f>
        <v>Доставлен</v>
      </c>
      <c r="E1102" s="95">
        <f>IFERROR(VLOOKUP($A1102,HeadJournal!$A$1:$NTR$890,COLUMN(HeadJournal!G$1),0),"")</f>
        <v>44978</v>
      </c>
      <c r="F1102" s="95" t="str">
        <f t="shared" si="89"/>
        <v>2023 02</v>
      </c>
      <c r="G1102" s="96" t="s">
        <v>6</v>
      </c>
      <c r="H1102" s="160" t="str">
        <f>RIGHT(Journal!$J1102,9)</f>
        <v>UNN-03011</v>
      </c>
      <c r="I1102" s="96" t="str">
        <f t="shared" si="86"/>
        <v>Universal Nutrition</v>
      </c>
      <c r="J1102" s="97" t="s">
        <v>491</v>
      </c>
      <c r="K1102" s="29">
        <v>52.15</v>
      </c>
      <c r="L1102" s="29">
        <v>-5.2149999999999999</v>
      </c>
      <c r="M1102" s="30">
        <f>IFERROR(VLOOKUP($A1102,HeadJournal!$A$1:$J$890,COLUMN(HeadJournal!I$1),0)*($K1102+$L1102)/(SUMIF($A:$A,$A1102,$K:$K)+SUMIF($A:$A,$A1102,$L:$L)),0)</f>
        <v>3.9748585640138399</v>
      </c>
      <c r="N1102" s="30">
        <f>IFERROR((VLOOKUP($A1102,HeadJournal!$A$1:$K$890,COLUMN(HeadJournal!K$1),0)-VLOOKUP($A1102,HeadJournal!$A$1:$K$890,COLUMN(HeadJournal!J$1),0))*($K1102+$L1102)/(SUMIF($A:$A,$A1102,$K:$K)+SUMIF($A:$A,$A1102,$L:$L)),0)</f>
        <v>-5.7697791181488407E-15</v>
      </c>
      <c r="O1102" s="30">
        <f>IFERROR((VLOOKUP($A1102,HeadJournal!$A$1:$L$890,COLUMN(HeadJournal!L$1),0)*($K1102+$L1102)/(SUMIF($A:$A,$A1102,$K:$K)+SUMIF($A:$A,$A1102,$L:$L)))/VLOOKUP($A1102,HeadJournal!$A$1:$L$890,COLUMN(HeadJournal!H$1),0),0)</f>
        <v>3.5362325602785707</v>
      </c>
      <c r="P1102" s="30">
        <f>IFERROR(SUM(K1102:O1102)*VLOOKUP($A1102,HeadJournal!$A$1:$L$890,COLUMN(HeadJournal!H$1),0),0)</f>
        <v>4487.9705793685116</v>
      </c>
      <c r="Q1102" s="29">
        <v>5400</v>
      </c>
      <c r="R1102" s="31">
        <v>45133</v>
      </c>
      <c r="S1102" s="31" t="s">
        <v>3121</v>
      </c>
      <c r="T1102" s="95" t="str">
        <f t="shared" si="90"/>
        <v>2023 07</v>
      </c>
      <c r="U1102" s="32">
        <f t="shared" si="87"/>
        <v>912.02942063148839</v>
      </c>
      <c r="V1102" s="22">
        <f t="shared" si="88"/>
        <v>0.20321644371381267</v>
      </c>
      <c r="X1102" s="33"/>
      <c r="Y1102" s="33"/>
    </row>
    <row r="1103" spans="1:25" x14ac:dyDescent="0.2">
      <c r="A1103" s="93" t="s">
        <v>489</v>
      </c>
      <c r="B1103" s="94" t="str">
        <f>IFERROR(VLOOKUP($A1103,HeadJournal!$A$1:$NTR$890,COLUMN(HeadJournal!B$1),0),"")</f>
        <v>710000638956</v>
      </c>
      <c r="C1103" s="94" t="str">
        <f>IFERROR(VLOOKUP($A1103,HeadJournal!$A$1:$NTR$890,COLUMN(HeadJournal!C$1),0),"")</f>
        <v>iHerb_OA CZN6870</v>
      </c>
      <c r="D1103" s="125" t="str">
        <f>IFERROR(VLOOKUP($A1103,HeadJournal!$A$1:$NTR$890,COLUMN(HeadJournal!D$1),0),"")</f>
        <v>Доставлен</v>
      </c>
      <c r="E1103" s="95">
        <f>IFERROR(VLOOKUP($A1103,HeadJournal!$A$1:$NTR$890,COLUMN(HeadJournal!G$1),0),"")</f>
        <v>44978</v>
      </c>
      <c r="F1103" s="95" t="str">
        <f t="shared" si="89"/>
        <v>2023 02</v>
      </c>
      <c r="G1103" s="96" t="s">
        <v>6</v>
      </c>
      <c r="H1103" s="160" t="str">
        <f>RIGHT(Journal!$J1103,9)</f>
        <v>UNN-03011</v>
      </c>
      <c r="I1103" s="96" t="str">
        <f t="shared" si="86"/>
        <v>Universal Nutrition</v>
      </c>
      <c r="J1103" s="97" t="s">
        <v>491</v>
      </c>
      <c r="K1103" s="29">
        <v>52.15</v>
      </c>
      <c r="L1103" s="29">
        <v>-5.2149999999999999</v>
      </c>
      <c r="M1103" s="30">
        <f>IFERROR(VLOOKUP($A1103,HeadJournal!$A$1:$J$890,COLUMN(HeadJournal!I$1),0)*($K1103+$L1103)/(SUMIF($A:$A,$A1103,$K:$K)+SUMIF($A:$A,$A1103,$L:$L)),0)</f>
        <v>3.9748585640138399</v>
      </c>
      <c r="N1103" s="30">
        <f>IFERROR((VLOOKUP($A1103,HeadJournal!$A$1:$K$890,COLUMN(HeadJournal!K$1),0)-VLOOKUP($A1103,HeadJournal!$A$1:$K$890,COLUMN(HeadJournal!J$1),0))*($K1103+$L1103)/(SUMIF($A:$A,$A1103,$K:$K)+SUMIF($A:$A,$A1103,$L:$L)),0)</f>
        <v>-5.7697791181488407E-15</v>
      </c>
      <c r="O1103" s="30">
        <f>IFERROR((VLOOKUP($A1103,HeadJournal!$A$1:$L$890,COLUMN(HeadJournal!L$1),0)*($K1103+$L1103)/(SUMIF($A:$A,$A1103,$K:$K)+SUMIF($A:$A,$A1103,$L:$L)))/VLOOKUP($A1103,HeadJournal!$A$1:$L$890,COLUMN(HeadJournal!H$1),0),0)</f>
        <v>3.5362325602785707</v>
      </c>
      <c r="P1103" s="30">
        <f>IFERROR(SUM(K1103:O1103)*VLOOKUP($A1103,HeadJournal!$A$1:$L$890,COLUMN(HeadJournal!H$1),0),0)</f>
        <v>4487.9705793685116</v>
      </c>
      <c r="Q1103" s="29">
        <v>5500</v>
      </c>
      <c r="R1103" s="31">
        <v>45137</v>
      </c>
      <c r="S1103" s="31" t="s">
        <v>3121</v>
      </c>
      <c r="T1103" s="95" t="str">
        <f t="shared" si="90"/>
        <v>2023 07</v>
      </c>
      <c r="U1103" s="32">
        <f t="shared" si="87"/>
        <v>1012.0294206314884</v>
      </c>
      <c r="V1103" s="22">
        <f t="shared" si="88"/>
        <v>0.22549822970851291</v>
      </c>
      <c r="X1103" s="33"/>
      <c r="Y1103" s="33"/>
    </row>
    <row r="1104" spans="1:25" x14ac:dyDescent="0.2">
      <c r="A1104" s="93" t="s">
        <v>489</v>
      </c>
      <c r="B1104" s="94" t="str">
        <f>IFERROR(VLOOKUP($A1104,HeadJournal!$A$1:$NTR$890,COLUMN(HeadJournal!B$1),0),"")</f>
        <v>710000638956</v>
      </c>
      <c r="C1104" s="94" t="str">
        <f>IFERROR(VLOOKUP($A1104,HeadJournal!$A$1:$NTR$890,COLUMN(HeadJournal!C$1),0),"")</f>
        <v>iHerb_OA CZN6870</v>
      </c>
      <c r="D1104" s="125" t="str">
        <f>IFERROR(VLOOKUP($A1104,HeadJournal!$A$1:$NTR$890,COLUMN(HeadJournal!D$1),0),"")</f>
        <v>Доставлен</v>
      </c>
      <c r="E1104" s="95">
        <f>IFERROR(VLOOKUP($A1104,HeadJournal!$A$1:$NTR$890,COLUMN(HeadJournal!G$1),0),"")</f>
        <v>44978</v>
      </c>
      <c r="F1104" s="95" t="str">
        <f t="shared" si="89"/>
        <v>2023 02</v>
      </c>
      <c r="G1104" s="96" t="s">
        <v>5</v>
      </c>
      <c r="H1104" s="160" t="str">
        <f>RIGHT(Journal!$J1104,9)</f>
        <v>NOW-01648</v>
      </c>
      <c r="I1104" s="96" t="str">
        <f t="shared" si="86"/>
        <v>NOW Foods</v>
      </c>
      <c r="J1104" s="97" t="s">
        <v>49</v>
      </c>
      <c r="K1104" s="29">
        <v>14.08</v>
      </c>
      <c r="L1104" s="29">
        <v>-1.4075</v>
      </c>
      <c r="M1104" s="30">
        <f>IFERROR(VLOOKUP($A1104,HeadJournal!$A$1:$J$890,COLUMN(HeadJournal!I$1),0)*($K1104+$L1104)/(SUMIF($A:$A,$A1104,$K:$K)+SUMIF($A:$A,$A1104,$L:$L)),0)</f>
        <v>1.0732160467128025</v>
      </c>
      <c r="N1104" s="30">
        <f>IFERROR((VLOOKUP($A1104,HeadJournal!$A$1:$K$890,COLUMN(HeadJournal!K$1),0)-VLOOKUP($A1104,HeadJournal!$A$1:$K$890,COLUMN(HeadJournal!J$1),0))*($K1104+$L1104)/(SUMIF($A:$A,$A1104,$K:$K)+SUMIF($A:$A,$A1104,$L:$L)),0)</f>
        <v>-1.557846508463645E-15</v>
      </c>
      <c r="O1104" s="30">
        <f>IFERROR((VLOOKUP($A1104,HeadJournal!$A$1:$L$890,COLUMN(HeadJournal!L$1),0)*($K1104+$L1104)/(SUMIF($A:$A,$A1104,$K:$K)+SUMIF($A:$A,$A1104,$L:$L)))/VLOOKUP($A1104,HeadJournal!$A$1:$L$890,COLUMN(HeadJournal!H$1),0),0)</f>
        <v>0.95478655843464755</v>
      </c>
      <c r="P1104" s="30">
        <f>IFERROR(SUM(K1104:O1104)*VLOOKUP($A1104,HeadJournal!$A$1:$L$890,COLUMN(HeadJournal!H$1),0),0)</f>
        <v>1211.7568374783734</v>
      </c>
      <c r="Q1104" s="29">
        <v>1900</v>
      </c>
      <c r="R1104" s="31">
        <v>45090</v>
      </c>
      <c r="S1104" s="31" t="s">
        <v>3121</v>
      </c>
      <c r="T1104" s="95" t="str">
        <f t="shared" si="90"/>
        <v>2023 06</v>
      </c>
      <c r="U1104" s="32">
        <f t="shared" si="87"/>
        <v>688.24316252162657</v>
      </c>
      <c r="V1104" s="22">
        <f t="shared" si="88"/>
        <v>0.56797134642445113</v>
      </c>
      <c r="X1104" s="33"/>
      <c r="Y1104" s="33"/>
    </row>
    <row r="1105" spans="1:25" x14ac:dyDescent="0.2">
      <c r="A1105" s="93" t="s">
        <v>489</v>
      </c>
      <c r="B1105" s="94" t="str">
        <f>IFERROR(VLOOKUP($A1105,HeadJournal!$A$1:$NTR$890,COLUMN(HeadJournal!B$1),0),"")</f>
        <v>710000638956</v>
      </c>
      <c r="C1105" s="94" t="str">
        <f>IFERROR(VLOOKUP($A1105,HeadJournal!$A$1:$NTR$890,COLUMN(HeadJournal!C$1),0),"")</f>
        <v>iHerb_OA CZN6870</v>
      </c>
      <c r="D1105" s="125" t="str">
        <f>IFERROR(VLOOKUP($A1105,HeadJournal!$A$1:$NTR$890,COLUMN(HeadJournal!D$1),0),"")</f>
        <v>Доставлен</v>
      </c>
      <c r="E1105" s="95">
        <f>IFERROR(VLOOKUP($A1105,HeadJournal!$A$1:$NTR$890,COLUMN(HeadJournal!G$1),0),"")</f>
        <v>44978</v>
      </c>
      <c r="F1105" s="95" t="str">
        <f t="shared" si="89"/>
        <v>2023 02</v>
      </c>
      <c r="G1105" s="96" t="s">
        <v>5</v>
      </c>
      <c r="H1105" s="160" t="str">
        <f>RIGHT(Journal!$J1105,9)</f>
        <v>NOW-01648</v>
      </c>
      <c r="I1105" s="96" t="str">
        <f t="shared" si="86"/>
        <v>NOW Foods</v>
      </c>
      <c r="J1105" s="97" t="s">
        <v>49</v>
      </c>
      <c r="K1105" s="29">
        <v>14.08</v>
      </c>
      <c r="L1105" s="29">
        <v>-1.4075</v>
      </c>
      <c r="M1105" s="30">
        <f>IFERROR(VLOOKUP($A1105,HeadJournal!$A$1:$J$890,COLUMN(HeadJournal!I$1),0)*($K1105+$L1105)/(SUMIF($A:$A,$A1105,$K:$K)+SUMIF($A:$A,$A1105,$L:$L)),0)</f>
        <v>1.0732160467128025</v>
      </c>
      <c r="N1105" s="30">
        <f>IFERROR((VLOOKUP($A1105,HeadJournal!$A$1:$K$890,COLUMN(HeadJournal!K$1),0)-VLOOKUP($A1105,HeadJournal!$A$1:$K$890,COLUMN(HeadJournal!J$1),0))*($K1105+$L1105)/(SUMIF($A:$A,$A1105,$K:$K)+SUMIF($A:$A,$A1105,$L:$L)),0)</f>
        <v>-1.557846508463645E-15</v>
      </c>
      <c r="O1105" s="30">
        <f>IFERROR((VLOOKUP($A1105,HeadJournal!$A$1:$L$890,COLUMN(HeadJournal!L$1),0)*($K1105+$L1105)/(SUMIF($A:$A,$A1105,$K:$K)+SUMIF($A:$A,$A1105,$L:$L)))/VLOOKUP($A1105,HeadJournal!$A$1:$L$890,COLUMN(HeadJournal!H$1),0),0)</f>
        <v>0.95478655843464755</v>
      </c>
      <c r="P1105" s="30">
        <f>IFERROR(SUM(K1105:O1105)*VLOOKUP($A1105,HeadJournal!$A$1:$L$890,COLUMN(HeadJournal!H$1),0),0)</f>
        <v>1211.7568374783734</v>
      </c>
      <c r="Q1105" s="29">
        <v>1900</v>
      </c>
      <c r="R1105" s="31">
        <v>45218</v>
      </c>
      <c r="S1105" s="31" t="s">
        <v>3121</v>
      </c>
      <c r="T1105" s="95" t="str">
        <f t="shared" si="90"/>
        <v>2023 10</v>
      </c>
      <c r="U1105" s="32">
        <f t="shared" si="87"/>
        <v>688.24316252162657</v>
      </c>
      <c r="V1105" s="22">
        <f t="shared" si="88"/>
        <v>0.56797134642445113</v>
      </c>
      <c r="X1105" s="33"/>
      <c r="Y1105" s="33"/>
    </row>
    <row r="1106" spans="1:25" x14ac:dyDescent="0.2">
      <c r="A1106" s="93" t="s">
        <v>489</v>
      </c>
      <c r="B1106" s="94" t="str">
        <f>IFERROR(VLOOKUP($A1106,HeadJournal!$A$1:$NTR$890,COLUMN(HeadJournal!B$1),0),"")</f>
        <v>710000638956</v>
      </c>
      <c r="C1106" s="94" t="str">
        <f>IFERROR(VLOOKUP($A1106,HeadJournal!$A$1:$NTR$890,COLUMN(HeadJournal!C$1),0),"")</f>
        <v>iHerb_OA CZN6870</v>
      </c>
      <c r="D1106" s="125" t="str">
        <f>IFERROR(VLOOKUP($A1106,HeadJournal!$A$1:$NTR$890,COLUMN(HeadJournal!D$1),0),"")</f>
        <v>Доставлен</v>
      </c>
      <c r="E1106" s="95">
        <f>IFERROR(VLOOKUP($A1106,HeadJournal!$A$1:$NTR$890,COLUMN(HeadJournal!G$1),0),"")</f>
        <v>44978</v>
      </c>
      <c r="F1106" s="95" t="str">
        <f t="shared" si="89"/>
        <v>2023 02</v>
      </c>
      <c r="G1106" s="96" t="s">
        <v>5</v>
      </c>
      <c r="H1106" s="160" t="str">
        <f>RIGHT(Journal!$J1106,9)</f>
        <v>NOW-01648</v>
      </c>
      <c r="I1106" s="96" t="str">
        <f t="shared" si="86"/>
        <v>NOW Foods</v>
      </c>
      <c r="J1106" s="97" t="s">
        <v>49</v>
      </c>
      <c r="K1106" s="29">
        <v>14.08</v>
      </c>
      <c r="L1106" s="29">
        <v>-1.4075</v>
      </c>
      <c r="M1106" s="30">
        <f>IFERROR(VLOOKUP($A1106,HeadJournal!$A$1:$J$890,COLUMN(HeadJournal!I$1),0)*($K1106+$L1106)/(SUMIF($A:$A,$A1106,$K:$K)+SUMIF($A:$A,$A1106,$L:$L)),0)</f>
        <v>1.0732160467128025</v>
      </c>
      <c r="N1106" s="30">
        <f>IFERROR((VLOOKUP($A1106,HeadJournal!$A$1:$K$890,COLUMN(HeadJournal!K$1),0)-VLOOKUP($A1106,HeadJournal!$A$1:$K$890,COLUMN(HeadJournal!J$1),0))*($K1106+$L1106)/(SUMIF($A:$A,$A1106,$K:$K)+SUMIF($A:$A,$A1106,$L:$L)),0)</f>
        <v>-1.557846508463645E-15</v>
      </c>
      <c r="O1106" s="30">
        <f>IFERROR((VLOOKUP($A1106,HeadJournal!$A$1:$L$890,COLUMN(HeadJournal!L$1),0)*($K1106+$L1106)/(SUMIF($A:$A,$A1106,$K:$K)+SUMIF($A:$A,$A1106,$L:$L)))/VLOOKUP($A1106,HeadJournal!$A$1:$L$890,COLUMN(HeadJournal!H$1),0),0)</f>
        <v>0.95478655843464755</v>
      </c>
      <c r="P1106" s="30">
        <f>IFERROR(SUM(K1106:O1106)*VLOOKUP($A1106,HeadJournal!$A$1:$L$890,COLUMN(HeadJournal!H$1),0),0)</f>
        <v>1211.7568374783734</v>
      </c>
      <c r="Q1106" s="29">
        <v>1900</v>
      </c>
      <c r="R1106" s="31">
        <v>45238</v>
      </c>
      <c r="S1106" s="31" t="s">
        <v>3121</v>
      </c>
      <c r="T1106" s="95" t="str">
        <f t="shared" si="90"/>
        <v>2023 11</v>
      </c>
      <c r="U1106" s="32">
        <f t="shared" si="87"/>
        <v>688.24316252162657</v>
      </c>
      <c r="V1106" s="22">
        <f t="shared" si="88"/>
        <v>0.56797134642445113</v>
      </c>
      <c r="X1106" s="33"/>
      <c r="Y1106" s="33"/>
    </row>
    <row r="1107" spans="1:25" x14ac:dyDescent="0.2">
      <c r="A1107" s="93" t="s">
        <v>489</v>
      </c>
      <c r="B1107" s="94" t="str">
        <f>IFERROR(VLOOKUP($A1107,HeadJournal!$A$1:$NTR$890,COLUMN(HeadJournal!B$1),0),"")</f>
        <v>710000638956</v>
      </c>
      <c r="C1107" s="94" t="str">
        <f>IFERROR(VLOOKUP($A1107,HeadJournal!$A$1:$NTR$890,COLUMN(HeadJournal!C$1),0),"")</f>
        <v>iHerb_OA CZN6870</v>
      </c>
      <c r="D1107" s="125" t="str">
        <f>IFERROR(VLOOKUP($A1107,HeadJournal!$A$1:$NTR$890,COLUMN(HeadJournal!D$1),0),"")</f>
        <v>Доставлен</v>
      </c>
      <c r="E1107" s="95">
        <f>IFERROR(VLOOKUP($A1107,HeadJournal!$A$1:$NTR$890,COLUMN(HeadJournal!G$1),0),"")</f>
        <v>44978</v>
      </c>
      <c r="F1107" s="95" t="str">
        <f t="shared" si="89"/>
        <v>2023 02</v>
      </c>
      <c r="G1107" s="96" t="s">
        <v>5</v>
      </c>
      <c r="H1107" s="160" t="str">
        <f>RIGHT(Journal!$J1107,9)</f>
        <v>NOW-01648</v>
      </c>
      <c r="I1107" s="96" t="str">
        <f t="shared" si="86"/>
        <v>NOW Foods</v>
      </c>
      <c r="J1107" s="97" t="s">
        <v>49</v>
      </c>
      <c r="K1107" s="29">
        <v>14.08</v>
      </c>
      <c r="L1107" s="29">
        <v>-1.4075</v>
      </c>
      <c r="M1107" s="30">
        <f>IFERROR(VLOOKUP($A1107,HeadJournal!$A$1:$J$890,COLUMN(HeadJournal!I$1),0)*($K1107+$L1107)/(SUMIF($A:$A,$A1107,$K:$K)+SUMIF($A:$A,$A1107,$L:$L)),0)</f>
        <v>1.0732160467128025</v>
      </c>
      <c r="N1107" s="30">
        <f>IFERROR((VLOOKUP($A1107,HeadJournal!$A$1:$K$890,COLUMN(HeadJournal!K$1),0)-VLOOKUP($A1107,HeadJournal!$A$1:$K$890,COLUMN(HeadJournal!J$1),0))*($K1107+$L1107)/(SUMIF($A:$A,$A1107,$K:$K)+SUMIF($A:$A,$A1107,$L:$L)),0)</f>
        <v>-1.557846508463645E-15</v>
      </c>
      <c r="O1107" s="30">
        <f>IFERROR((VLOOKUP($A1107,HeadJournal!$A$1:$L$890,COLUMN(HeadJournal!L$1),0)*($K1107+$L1107)/(SUMIF($A:$A,$A1107,$K:$K)+SUMIF($A:$A,$A1107,$L:$L)))/VLOOKUP($A1107,HeadJournal!$A$1:$L$890,COLUMN(HeadJournal!H$1),0),0)</f>
        <v>0.95478655843464755</v>
      </c>
      <c r="P1107" s="30">
        <f>IFERROR(SUM(K1107:O1107)*VLOOKUP($A1107,HeadJournal!$A$1:$L$890,COLUMN(HeadJournal!H$1),0),0)</f>
        <v>1211.7568374783734</v>
      </c>
      <c r="Q1107" s="29">
        <v>2000</v>
      </c>
      <c r="R1107" s="31">
        <v>45241</v>
      </c>
      <c r="S1107" s="31" t="s">
        <v>3121</v>
      </c>
      <c r="T1107" s="95" t="str">
        <f t="shared" si="90"/>
        <v>2023 11</v>
      </c>
      <c r="U1107" s="32">
        <f t="shared" si="87"/>
        <v>788.24316252162657</v>
      </c>
      <c r="V1107" s="22">
        <f t="shared" si="88"/>
        <v>0.65049615413100115</v>
      </c>
      <c r="X1107" s="33"/>
      <c r="Y1107" s="33"/>
    </row>
    <row r="1108" spans="1:25" x14ac:dyDescent="0.2">
      <c r="A1108" s="93" t="s">
        <v>489</v>
      </c>
      <c r="B1108" s="94" t="str">
        <f>IFERROR(VLOOKUP($A1108,HeadJournal!$A$1:$NTR$890,COLUMN(HeadJournal!B$1),0),"")</f>
        <v>710000638956</v>
      </c>
      <c r="C1108" s="94" t="str">
        <f>IFERROR(VLOOKUP($A1108,HeadJournal!$A$1:$NTR$890,COLUMN(HeadJournal!C$1),0),"")</f>
        <v>iHerb_OA CZN6870</v>
      </c>
      <c r="D1108" s="125" t="str">
        <f>IFERROR(VLOOKUP($A1108,HeadJournal!$A$1:$NTR$890,COLUMN(HeadJournal!D$1),0),"")</f>
        <v>Доставлен</v>
      </c>
      <c r="E1108" s="95">
        <f>IFERROR(VLOOKUP($A1108,HeadJournal!$A$1:$NTR$890,COLUMN(HeadJournal!G$1),0),"")</f>
        <v>44978</v>
      </c>
      <c r="F1108" s="95" t="str">
        <f t="shared" si="89"/>
        <v>2023 02</v>
      </c>
      <c r="G1108" s="96" t="s">
        <v>5</v>
      </c>
      <c r="H1108" s="175" t="s">
        <v>3647</v>
      </c>
      <c r="I1108" s="176" t="s">
        <v>2042</v>
      </c>
      <c r="J1108" s="97" t="s">
        <v>3696</v>
      </c>
      <c r="K1108" s="29">
        <v>15.31</v>
      </c>
      <c r="L1108" s="29">
        <v>-1.53</v>
      </c>
      <c r="M1108" s="30">
        <f>IFERROR(VLOOKUP($A1108,HeadJournal!$A$1:$J$890,COLUMN(HeadJournal!I$1),0)*($K1108+$L1108)/(SUMIF($A:$A,$A1108,$K:$K)+SUMIF($A:$A,$A1108,$L:$L)),0)</f>
        <v>1.1670086505190309</v>
      </c>
      <c r="N1108" s="30">
        <f>IFERROR((VLOOKUP($A1108,HeadJournal!$A$1:$K$890,COLUMN(HeadJournal!K$1),0)-VLOOKUP($A1108,HeadJournal!$A$1:$K$890,COLUMN(HeadJournal!J$1),0))*($K1108+$L1108)/(SUMIF($A:$A,$A1108,$K:$K)+SUMIF($A:$A,$A1108,$L:$L)),0)</f>
        <v>-1.6939928890612766E-15</v>
      </c>
      <c r="O1108" s="30">
        <f>IFERROR((VLOOKUP($A1108,HeadJournal!$A$1:$L$890,COLUMN(HeadJournal!L$1),0)*($K1108+$L1108)/(SUMIF($A:$A,$A1108,$K:$K)+SUMIF($A:$A,$A1108,$L:$L)))/VLOOKUP($A1108,HeadJournal!$A$1:$L$890,COLUMN(HeadJournal!H$1),0),0)</f>
        <v>1.0382291398879027</v>
      </c>
      <c r="P1108" s="30">
        <f>IFERROR(SUM(K1108:O1108)*VLOOKUP($A1108,HeadJournal!$A$1:$L$890,COLUMN(HeadJournal!H$1),0),0)</f>
        <v>1317.6570700692041</v>
      </c>
      <c r="Q1108" s="29">
        <v>2200</v>
      </c>
      <c r="R1108" s="31">
        <v>45059</v>
      </c>
      <c r="S1108" s="31" t="s">
        <v>3121</v>
      </c>
      <c r="T1108" s="95" t="str">
        <f t="shared" si="90"/>
        <v>2023 05</v>
      </c>
      <c r="U1108" s="32">
        <f t="shared" si="87"/>
        <v>882.34292993079589</v>
      </c>
      <c r="V1108" s="22">
        <f t="shared" si="88"/>
        <v>0.66963017159271554</v>
      </c>
      <c r="X1108" s="33"/>
      <c r="Y1108" s="33"/>
    </row>
    <row r="1109" spans="1:25" x14ac:dyDescent="0.2">
      <c r="A1109" s="93" t="s">
        <v>489</v>
      </c>
      <c r="B1109" s="94" t="str">
        <f>IFERROR(VLOOKUP($A1109,HeadJournal!$A$1:$NTR$890,COLUMN(HeadJournal!B$1),0),"")</f>
        <v>710000638956</v>
      </c>
      <c r="C1109" s="94" t="str">
        <f>IFERROR(VLOOKUP($A1109,HeadJournal!$A$1:$NTR$890,COLUMN(HeadJournal!C$1),0),"")</f>
        <v>iHerb_OA CZN6870</v>
      </c>
      <c r="D1109" s="125" t="str">
        <f>IFERROR(VLOOKUP($A1109,HeadJournal!$A$1:$NTR$890,COLUMN(HeadJournal!D$1),0),"")</f>
        <v>Доставлен</v>
      </c>
      <c r="E1109" s="95">
        <f>IFERROR(VLOOKUP($A1109,HeadJournal!$A$1:$NTR$890,COLUMN(HeadJournal!G$1),0),"")</f>
        <v>44978</v>
      </c>
      <c r="F1109" s="95" t="str">
        <f t="shared" si="89"/>
        <v>2023 02</v>
      </c>
      <c r="G1109" s="96" t="s">
        <v>5</v>
      </c>
      <c r="H1109" s="161" t="s">
        <v>2773</v>
      </c>
      <c r="I1109" s="97" t="s">
        <v>2005</v>
      </c>
      <c r="J1109" s="97" t="s">
        <v>2774</v>
      </c>
      <c r="K1109" s="29">
        <v>11.7</v>
      </c>
      <c r="L1109" s="29">
        <v>-1.17</v>
      </c>
      <c r="M1109" s="30">
        <f>IFERROR(VLOOKUP($A1109,HeadJournal!$A$1:$J$890,COLUMN(HeadJournal!I$1),0)*($K1109+$L1109)/(SUMIF($A:$A,$A1109,$K:$K)+SUMIF($A:$A,$A1109,$L:$L)),0)</f>
        <v>0.89177076124567445</v>
      </c>
      <c r="N1109" s="30">
        <f>IFERROR((VLOOKUP($A1109,HeadJournal!$A$1:$K$890,COLUMN(HeadJournal!K$1),0)-VLOOKUP($A1109,HeadJournal!$A$1:$K$890,COLUMN(HeadJournal!J$1),0))*($K1109+$L1109)/(SUMIF($A:$A,$A1109,$K:$K)+SUMIF($A:$A,$A1109,$L:$L)),0)</f>
        <v>-1.2944662642826736E-15</v>
      </c>
      <c r="O1109" s="30">
        <f>IFERROR((VLOOKUP($A1109,HeadJournal!$A$1:$L$890,COLUMN(HeadJournal!L$1),0)*($K1109+$L1109)/(SUMIF($A:$A,$A1109,$K:$K)+SUMIF($A:$A,$A1109,$L:$L)))/VLOOKUP($A1109,HeadJournal!$A$1:$L$890,COLUMN(HeadJournal!H$1),0),0)</f>
        <v>0.79336377670679348</v>
      </c>
      <c r="P1109" s="30">
        <f>IFERROR(SUM(K1109:O1109)*VLOOKUP($A1109,HeadJournal!$A$1:$L$890,COLUMN(HeadJournal!H$1),0),0)</f>
        <v>1006.8888931660897</v>
      </c>
      <c r="Q1109" s="29">
        <v>1800</v>
      </c>
      <c r="R1109" s="31">
        <v>45046</v>
      </c>
      <c r="S1109" s="31" t="s">
        <v>3121</v>
      </c>
      <c r="T1109" s="95" t="str">
        <f t="shared" si="90"/>
        <v>2023 04</v>
      </c>
      <c r="U1109" s="32">
        <f t="shared" si="87"/>
        <v>793.1111068339103</v>
      </c>
      <c r="V1109" s="22">
        <f t="shared" si="88"/>
        <v>0.78768483019018065</v>
      </c>
      <c r="X1109" s="33"/>
      <c r="Y1109" s="33"/>
    </row>
    <row r="1110" spans="1:25" x14ac:dyDescent="0.2">
      <c r="A1110" s="93" t="s">
        <v>489</v>
      </c>
      <c r="B1110" s="94" t="str">
        <f>IFERROR(VLOOKUP($A1110,HeadJournal!$A$1:$NTR$890,COLUMN(HeadJournal!B$1),0),"")</f>
        <v>710000638956</v>
      </c>
      <c r="C1110" s="94" t="str">
        <f>IFERROR(VLOOKUP($A1110,HeadJournal!$A$1:$NTR$890,COLUMN(HeadJournal!C$1),0),"")</f>
        <v>iHerb_OA CZN6870</v>
      </c>
      <c r="D1110" s="125" t="str">
        <f>IFERROR(VLOOKUP($A1110,HeadJournal!$A$1:$NTR$890,COLUMN(HeadJournal!D$1),0),"")</f>
        <v>Доставлен</v>
      </c>
      <c r="E1110" s="95">
        <f>IFERROR(VLOOKUP($A1110,HeadJournal!$A$1:$NTR$890,COLUMN(HeadJournal!G$1),0),"")</f>
        <v>44978</v>
      </c>
      <c r="F1110" s="95" t="str">
        <f t="shared" si="89"/>
        <v>2023 02</v>
      </c>
      <c r="G1110" s="96" t="s">
        <v>5</v>
      </c>
      <c r="H1110" s="161" t="s">
        <v>2773</v>
      </c>
      <c r="I1110" s="97" t="s">
        <v>2005</v>
      </c>
      <c r="J1110" s="97" t="s">
        <v>2774</v>
      </c>
      <c r="K1110" s="29">
        <v>11.7</v>
      </c>
      <c r="L1110" s="29">
        <v>-1.17</v>
      </c>
      <c r="M1110" s="30">
        <f>IFERROR(VLOOKUP($A1110,HeadJournal!$A$1:$J$890,COLUMN(HeadJournal!I$1),0)*($K1110+$L1110)/(SUMIF($A:$A,$A1110,$K:$K)+SUMIF($A:$A,$A1110,$L:$L)),0)</f>
        <v>0.89177076124567445</v>
      </c>
      <c r="N1110" s="30">
        <f>IFERROR((VLOOKUP($A1110,HeadJournal!$A$1:$K$890,COLUMN(HeadJournal!K$1),0)-VLOOKUP($A1110,HeadJournal!$A$1:$K$890,COLUMN(HeadJournal!J$1),0))*($K1110+$L1110)/(SUMIF($A:$A,$A1110,$K:$K)+SUMIF($A:$A,$A1110,$L:$L)),0)</f>
        <v>-1.2944662642826736E-15</v>
      </c>
      <c r="O1110" s="30">
        <f>IFERROR((VLOOKUP($A1110,HeadJournal!$A$1:$L$890,COLUMN(HeadJournal!L$1),0)*($K1110+$L1110)/(SUMIF($A:$A,$A1110,$K:$K)+SUMIF($A:$A,$A1110,$L:$L)))/VLOOKUP($A1110,HeadJournal!$A$1:$L$890,COLUMN(HeadJournal!H$1),0),0)</f>
        <v>0.79336377670679348</v>
      </c>
      <c r="P1110" s="30">
        <f>IFERROR(SUM(K1110:O1110)*VLOOKUP($A1110,HeadJournal!$A$1:$L$890,COLUMN(HeadJournal!H$1),0),0)</f>
        <v>1006.8888931660897</v>
      </c>
      <c r="Q1110" s="29">
        <v>1800</v>
      </c>
      <c r="R1110" s="31">
        <v>45050</v>
      </c>
      <c r="S1110" s="31" t="s">
        <v>3121</v>
      </c>
      <c r="T1110" s="95" t="str">
        <f t="shared" si="90"/>
        <v>2023 05</v>
      </c>
      <c r="U1110" s="32">
        <f t="shared" si="87"/>
        <v>793.1111068339103</v>
      </c>
      <c r="V1110" s="22">
        <f t="shared" si="88"/>
        <v>0.78768483019018065</v>
      </c>
      <c r="X1110" s="33"/>
      <c r="Y1110" s="33"/>
    </row>
    <row r="1111" spans="1:25" x14ac:dyDescent="0.2">
      <c r="A1111" s="93" t="s">
        <v>492</v>
      </c>
      <c r="B1111" s="94">
        <f>IFERROR(VLOOKUP($A1111,HeadJournal!$A$1:$NTR$890,COLUMN(HeadJournal!B$1),0),"")</f>
        <v>0</v>
      </c>
      <c r="C1111" s="94" t="str">
        <f>IFERROR(VLOOKUP($A1111,HeadJournal!$A$1:$NTR$890,COLUMN(HeadJournal!C$1),0),"")</f>
        <v>CoralClub_OA</v>
      </c>
      <c r="D1111" s="125" t="str">
        <f>IFERROR(VLOOKUP($A1111,HeadJournal!$A$1:$NTR$890,COLUMN(HeadJournal!D$1),0),"")</f>
        <v>Доставлен</v>
      </c>
      <c r="E1111" s="95">
        <f>IFERROR(VLOOKUP($A1111,HeadJournal!$A$1:$NTR$890,COLUMN(HeadJournal!G$1),0),"")</f>
        <v>44983</v>
      </c>
      <c r="F1111" s="95" t="str">
        <f t="shared" si="89"/>
        <v>2023 02</v>
      </c>
      <c r="G1111" s="96" t="s">
        <v>5</v>
      </c>
      <c r="H1111" s="160" t="str">
        <f>RIGHT(Journal!$J1111,9)</f>
        <v>000002123</v>
      </c>
      <c r="I1111" s="96" t="str">
        <f t="shared" si="86"/>
        <v>CoralClub</v>
      </c>
      <c r="J1111" s="97" t="s">
        <v>493</v>
      </c>
      <c r="K1111" s="29">
        <v>710</v>
      </c>
      <c r="L1111" s="29"/>
      <c r="M1111" s="30">
        <f>IFERROR(VLOOKUP($A1111,HeadJournal!$A$1:$J$890,COLUMN(HeadJournal!I$1),0)*($K1111+$L1111)/(SUMIF($A:$A,$A1111,$K:$K)+SUMIF($A:$A,$A1111,$L:$L)),0)</f>
        <v>0</v>
      </c>
      <c r="N1111" s="30">
        <f>IFERROR((VLOOKUP($A1111,HeadJournal!$A$1:$K$890,COLUMN(HeadJournal!K$1),0)-VLOOKUP($A1111,HeadJournal!$A$1:$K$890,COLUMN(HeadJournal!J$1),0))*($K1111+$L1111)/(SUMIF($A:$A,$A1111,$K:$K)+SUMIF($A:$A,$A1111,$L:$L)),0)</f>
        <v>28.095238095238095</v>
      </c>
      <c r="O1111" s="30">
        <f>IFERROR((VLOOKUP($A1111,HeadJournal!$A$1:$L$890,COLUMN(HeadJournal!L$1),0)*($K1111+$L1111)/(SUMIF($A:$A,$A1111,$K:$K)+SUMIF($A:$A,$A1111,$L:$L)))/VLOOKUP($A1111,HeadJournal!$A$1:$L$890,COLUMN(HeadJournal!H$1),0),0)</f>
        <v>0</v>
      </c>
      <c r="P1111" s="30">
        <f>IFERROR(SUM(K1111:O1111)*VLOOKUP($A1111,HeadJournal!$A$1:$L$890,COLUMN(HeadJournal!H$1),0),0)</f>
        <v>738.09523809523807</v>
      </c>
      <c r="Q1111" s="29">
        <v>900</v>
      </c>
      <c r="R1111" s="31">
        <v>45010</v>
      </c>
      <c r="S1111" s="31" t="s">
        <v>3121</v>
      </c>
      <c r="T1111" s="95" t="str">
        <f t="shared" si="90"/>
        <v>2023 03</v>
      </c>
      <c r="U1111" s="32">
        <f t="shared" si="87"/>
        <v>161.90476190476193</v>
      </c>
      <c r="V1111" s="22">
        <f t="shared" si="88"/>
        <v>0.21935483870967745</v>
      </c>
      <c r="X1111" s="33"/>
      <c r="Y1111" s="33"/>
    </row>
    <row r="1112" spans="1:25" x14ac:dyDescent="0.2">
      <c r="A1112" s="93" t="s">
        <v>492</v>
      </c>
      <c r="B1112" s="94">
        <f>IFERROR(VLOOKUP($A1112,HeadJournal!$A$1:$NTR$890,COLUMN(HeadJournal!B$1),0),"")</f>
        <v>0</v>
      </c>
      <c r="C1112" s="94" t="str">
        <f>IFERROR(VLOOKUP($A1112,HeadJournal!$A$1:$NTR$890,COLUMN(HeadJournal!C$1),0),"")</f>
        <v>CoralClub_OA</v>
      </c>
      <c r="D1112" s="125" t="str">
        <f>IFERROR(VLOOKUP($A1112,HeadJournal!$A$1:$NTR$890,COLUMN(HeadJournal!D$1),0),"")</f>
        <v>Доставлен</v>
      </c>
      <c r="E1112" s="95">
        <f>IFERROR(VLOOKUP($A1112,HeadJournal!$A$1:$NTR$890,COLUMN(HeadJournal!G$1),0),"")</f>
        <v>44983</v>
      </c>
      <c r="F1112" s="95" t="str">
        <f t="shared" si="89"/>
        <v>2023 02</v>
      </c>
      <c r="G1112" s="96" t="s">
        <v>5</v>
      </c>
      <c r="H1112" s="160" t="str">
        <f>RIGHT(Journal!$J1112,9)</f>
        <v>000002123</v>
      </c>
      <c r="I1112" s="96" t="str">
        <f t="shared" si="86"/>
        <v>CoralClub</v>
      </c>
      <c r="J1112" s="97" t="s">
        <v>493</v>
      </c>
      <c r="K1112" s="29">
        <v>710</v>
      </c>
      <c r="L1112" s="29"/>
      <c r="M1112" s="30">
        <f>IFERROR(VLOOKUP($A1112,HeadJournal!$A$1:$J$890,COLUMN(HeadJournal!I$1),0)*($K1112+$L1112)/(SUMIF($A:$A,$A1112,$K:$K)+SUMIF($A:$A,$A1112,$L:$L)),0)</f>
        <v>0</v>
      </c>
      <c r="N1112" s="30">
        <f>IFERROR((VLOOKUP($A1112,HeadJournal!$A$1:$K$890,COLUMN(HeadJournal!K$1),0)-VLOOKUP($A1112,HeadJournal!$A$1:$K$890,COLUMN(HeadJournal!J$1),0))*($K1112+$L1112)/(SUMIF($A:$A,$A1112,$K:$K)+SUMIF($A:$A,$A1112,$L:$L)),0)</f>
        <v>28.095238095238095</v>
      </c>
      <c r="O1112" s="30">
        <f>IFERROR((VLOOKUP($A1112,HeadJournal!$A$1:$L$890,COLUMN(HeadJournal!L$1),0)*($K1112+$L1112)/(SUMIF($A:$A,$A1112,$K:$K)+SUMIF($A:$A,$A1112,$L:$L)))/VLOOKUP($A1112,HeadJournal!$A$1:$L$890,COLUMN(HeadJournal!H$1),0),0)</f>
        <v>0</v>
      </c>
      <c r="P1112" s="30">
        <f>IFERROR(SUM(K1112:O1112)*VLOOKUP($A1112,HeadJournal!$A$1:$L$890,COLUMN(HeadJournal!H$1),0),0)</f>
        <v>738.09523809523807</v>
      </c>
      <c r="Q1112" s="29">
        <v>900</v>
      </c>
      <c r="R1112" s="31">
        <v>45030</v>
      </c>
      <c r="S1112" s="31" t="s">
        <v>3121</v>
      </c>
      <c r="T1112" s="95" t="str">
        <f t="shared" si="90"/>
        <v>2023 04</v>
      </c>
      <c r="U1112" s="32">
        <f t="shared" si="87"/>
        <v>161.90476190476193</v>
      </c>
      <c r="V1112" s="22">
        <f t="shared" si="88"/>
        <v>0.21935483870967745</v>
      </c>
      <c r="X1112" s="33"/>
      <c r="Y1112" s="33"/>
    </row>
    <row r="1113" spans="1:25" x14ac:dyDescent="0.2">
      <c r="A1113" s="93" t="s">
        <v>492</v>
      </c>
      <c r="B1113" s="94">
        <f>IFERROR(VLOOKUP($A1113,HeadJournal!$A$1:$NTR$890,COLUMN(HeadJournal!B$1),0),"")</f>
        <v>0</v>
      </c>
      <c r="C1113" s="94" t="str">
        <f>IFERROR(VLOOKUP($A1113,HeadJournal!$A$1:$NTR$890,COLUMN(HeadJournal!C$1),0),"")</f>
        <v>CoralClub_OA</v>
      </c>
      <c r="D1113" s="125" t="str">
        <f>IFERROR(VLOOKUP($A1113,HeadJournal!$A$1:$NTR$890,COLUMN(HeadJournal!D$1),0),"")</f>
        <v>Доставлен</v>
      </c>
      <c r="E1113" s="95">
        <f>IFERROR(VLOOKUP($A1113,HeadJournal!$A$1:$NTR$890,COLUMN(HeadJournal!G$1),0),"")</f>
        <v>44983</v>
      </c>
      <c r="F1113" s="95" t="str">
        <f t="shared" si="89"/>
        <v>2023 02</v>
      </c>
      <c r="G1113" s="96" t="s">
        <v>5</v>
      </c>
      <c r="H1113" s="160" t="str">
        <f>RIGHT(Journal!$J1113,9)</f>
        <v>000091805</v>
      </c>
      <c r="I1113" s="96" t="str">
        <f t="shared" si="86"/>
        <v>CoralClub</v>
      </c>
      <c r="J1113" s="97" t="s">
        <v>494</v>
      </c>
      <c r="K1113" s="29">
        <v>781</v>
      </c>
      <c r="L1113" s="29"/>
      <c r="M1113" s="30">
        <f>IFERROR(VLOOKUP($A1113,HeadJournal!$A$1:$J$890,COLUMN(HeadJournal!I$1),0)*($K1113+$L1113)/(SUMIF($A:$A,$A1113,$K:$K)+SUMIF($A:$A,$A1113,$L:$L)),0)</f>
        <v>0</v>
      </c>
      <c r="N1113" s="30">
        <f>IFERROR((VLOOKUP($A1113,HeadJournal!$A$1:$K$890,COLUMN(HeadJournal!K$1),0)-VLOOKUP($A1113,HeadJournal!$A$1:$K$890,COLUMN(HeadJournal!J$1),0))*($K1113+$L1113)/(SUMIF($A:$A,$A1113,$K:$K)+SUMIF($A:$A,$A1113,$L:$L)),0)</f>
        <v>30.904761904761905</v>
      </c>
      <c r="O1113" s="30">
        <f>IFERROR((VLOOKUP($A1113,HeadJournal!$A$1:$L$890,COLUMN(HeadJournal!L$1),0)*($K1113+$L1113)/(SUMIF($A:$A,$A1113,$K:$K)+SUMIF($A:$A,$A1113,$L:$L)))/VLOOKUP($A1113,HeadJournal!$A$1:$L$890,COLUMN(HeadJournal!H$1),0),0)</f>
        <v>0</v>
      </c>
      <c r="P1113" s="30">
        <f>IFERROR(SUM(K1113:O1113)*VLOOKUP($A1113,HeadJournal!$A$1:$L$890,COLUMN(HeadJournal!H$1),0),0)</f>
        <v>811.90476190476193</v>
      </c>
      <c r="Q1113" s="29">
        <v>1000</v>
      </c>
      <c r="R1113" s="31">
        <v>44987</v>
      </c>
      <c r="S1113" s="31" t="s">
        <v>3121</v>
      </c>
      <c r="T1113" s="95" t="str">
        <f t="shared" si="90"/>
        <v>2023 03</v>
      </c>
      <c r="U1113" s="32">
        <f t="shared" si="87"/>
        <v>188.09523809523807</v>
      </c>
      <c r="V1113" s="22">
        <f t="shared" si="88"/>
        <v>0.23167155425219937</v>
      </c>
      <c r="X1113" s="33"/>
      <c r="Y1113" s="33"/>
    </row>
    <row r="1114" spans="1:25" x14ac:dyDescent="0.2">
      <c r="A1114" s="93" t="s">
        <v>492</v>
      </c>
      <c r="B1114" s="94">
        <f>IFERROR(VLOOKUP($A1114,HeadJournal!$A$1:$NTR$890,COLUMN(HeadJournal!B$1),0),"")</f>
        <v>0</v>
      </c>
      <c r="C1114" s="94" t="str">
        <f>IFERROR(VLOOKUP($A1114,HeadJournal!$A$1:$NTR$890,COLUMN(HeadJournal!C$1),0),"")</f>
        <v>CoralClub_OA</v>
      </c>
      <c r="D1114" s="125" t="str">
        <f>IFERROR(VLOOKUP($A1114,HeadJournal!$A$1:$NTR$890,COLUMN(HeadJournal!D$1),0),"")</f>
        <v>Доставлен</v>
      </c>
      <c r="E1114" s="95">
        <f>IFERROR(VLOOKUP($A1114,HeadJournal!$A$1:$NTR$890,COLUMN(HeadJournal!G$1),0),"")</f>
        <v>44983</v>
      </c>
      <c r="F1114" s="95" t="str">
        <f t="shared" si="89"/>
        <v>2023 02</v>
      </c>
      <c r="G1114" s="96" t="s">
        <v>5</v>
      </c>
      <c r="H1114" s="160" t="str">
        <f>RIGHT(Journal!$J1114,9)</f>
        <v>000091805</v>
      </c>
      <c r="I1114" s="96" t="str">
        <f t="shared" si="86"/>
        <v>CoralClub</v>
      </c>
      <c r="J1114" s="97" t="s">
        <v>494</v>
      </c>
      <c r="K1114" s="29">
        <v>781</v>
      </c>
      <c r="L1114" s="29"/>
      <c r="M1114" s="30">
        <f>IFERROR(VLOOKUP($A1114,HeadJournal!$A$1:$J$890,COLUMN(HeadJournal!I$1),0)*($K1114+$L1114)/(SUMIF($A:$A,$A1114,$K:$K)+SUMIF($A:$A,$A1114,$L:$L)),0)</f>
        <v>0</v>
      </c>
      <c r="N1114" s="30">
        <f>IFERROR((VLOOKUP($A1114,HeadJournal!$A$1:$K$890,COLUMN(HeadJournal!K$1),0)-VLOOKUP($A1114,HeadJournal!$A$1:$K$890,COLUMN(HeadJournal!J$1),0))*($K1114+$L1114)/(SUMIF($A:$A,$A1114,$K:$K)+SUMIF($A:$A,$A1114,$L:$L)),0)</f>
        <v>30.904761904761905</v>
      </c>
      <c r="O1114" s="30">
        <f>IFERROR((VLOOKUP($A1114,HeadJournal!$A$1:$L$890,COLUMN(HeadJournal!L$1),0)*($K1114+$L1114)/(SUMIF($A:$A,$A1114,$K:$K)+SUMIF($A:$A,$A1114,$L:$L)))/VLOOKUP($A1114,HeadJournal!$A$1:$L$890,COLUMN(HeadJournal!H$1),0),0)</f>
        <v>0</v>
      </c>
      <c r="P1114" s="30">
        <f>IFERROR(SUM(K1114:O1114)*VLOOKUP($A1114,HeadJournal!$A$1:$L$890,COLUMN(HeadJournal!H$1),0),0)</f>
        <v>811.90476190476193</v>
      </c>
      <c r="Q1114" s="29">
        <v>1100</v>
      </c>
      <c r="R1114" s="31">
        <v>45335</v>
      </c>
      <c r="S1114" s="31" t="s">
        <v>3121</v>
      </c>
      <c r="T1114" s="95" t="str">
        <f t="shared" si="90"/>
        <v>2024 02</v>
      </c>
      <c r="U1114" s="32">
        <f t="shared" si="87"/>
        <v>288.09523809523807</v>
      </c>
      <c r="V1114" s="22">
        <f t="shared" si="88"/>
        <v>0.35483870967741932</v>
      </c>
      <c r="X1114" s="33"/>
      <c r="Y1114" s="33"/>
    </row>
    <row r="1115" spans="1:25" x14ac:dyDescent="0.2">
      <c r="A1115" s="93" t="s">
        <v>495</v>
      </c>
      <c r="B1115" s="94" t="str">
        <f>IFERROR(VLOOKUP($A1115,HeadJournal!$A$1:$NTR$890,COLUMN(HeadJournal!B$1),0),"")</f>
        <v>710000630817</v>
      </c>
      <c r="C1115" s="94" t="str">
        <f>IFERROR(VLOOKUP($A1115,HeadJournal!$A$1:$NTR$890,COLUMN(HeadJournal!C$1),0),"")</f>
        <v>iHerb_AV CYG0792</v>
      </c>
      <c r="D1115" s="125" t="str">
        <f>IFERROR(VLOOKUP($A1115,HeadJournal!$A$1:$NTR$890,COLUMN(HeadJournal!D$1),0),"")</f>
        <v>Доставлен</v>
      </c>
      <c r="E1115" s="95">
        <f>IFERROR(VLOOKUP($A1115,HeadJournal!$A$1:$NTR$890,COLUMN(HeadJournal!G$1),0),"")</f>
        <v>44974</v>
      </c>
      <c r="F1115" s="95" t="str">
        <f t="shared" si="89"/>
        <v>2023 02</v>
      </c>
      <c r="G1115" s="96" t="s">
        <v>5</v>
      </c>
      <c r="H1115" s="161" t="s">
        <v>2051</v>
      </c>
      <c r="I1115" s="97" t="s">
        <v>2052</v>
      </c>
      <c r="J1115" s="97" t="s">
        <v>3097</v>
      </c>
      <c r="K1115" s="29">
        <v>17</v>
      </c>
      <c r="L1115" s="29">
        <v>-5.1000000000000005</v>
      </c>
      <c r="M1115" s="30">
        <f>IFERROR(VLOOKUP($A1115,HeadJournal!$A$1:$J$890,COLUMN(HeadJournal!I$1),0)*($K1115+$L1115)/(SUMIF($A:$A,$A1115,$K:$K)+SUMIF($A:$A,$A1115,$L:$L)),0)</f>
        <v>1.0027560613557642</v>
      </c>
      <c r="N1115" s="30">
        <f>IFERROR((VLOOKUP($A1115,HeadJournal!$A$1:$K$890,COLUMN(HeadJournal!K$1),0)-VLOOKUP($A1115,HeadJournal!$A$1:$K$890,COLUMN(HeadJournal!J$1),0))*($K1115+$L1115)/(SUMIF($A:$A,$A1115,$K:$K)+SUMIF($A:$A,$A1115,$L:$L)),0)</f>
        <v>-3.3470395073904755E-15</v>
      </c>
      <c r="O1115" s="30">
        <f>IFERROR((VLOOKUP($A1115,HeadJournal!$A$1:$L$890,COLUMN(HeadJournal!L$1),0)*($K1115+$L1115)/(SUMIF($A:$A,$A1115,$K:$K)+SUMIF($A:$A,$A1115,$L:$L)))/VLOOKUP($A1115,HeadJournal!$A$1:$L$890,COLUMN(HeadJournal!H$1),0),0)</f>
        <v>1.0382512752558768</v>
      </c>
      <c r="P1115" s="30">
        <f>IFERROR(SUM(K1115:O1115)*VLOOKUP($A1115,HeadJournal!$A$1:$L$890,COLUMN(HeadJournal!H$1),0),0)</f>
        <v>1135.2393913904</v>
      </c>
      <c r="Q1115" s="29">
        <v>2100</v>
      </c>
      <c r="R1115" s="31">
        <v>45139</v>
      </c>
      <c r="S1115" s="31" t="s">
        <v>3121</v>
      </c>
      <c r="T1115" s="95" t="str">
        <f t="shared" si="90"/>
        <v>2023 08</v>
      </c>
      <c r="U1115" s="32">
        <f t="shared" si="87"/>
        <v>964.76060860960001</v>
      </c>
      <c r="V1115" s="22">
        <f t="shared" si="88"/>
        <v>0.84983010273101622</v>
      </c>
      <c r="X1115" s="33"/>
      <c r="Y1115" s="33"/>
    </row>
    <row r="1116" spans="1:25" x14ac:dyDescent="0.2">
      <c r="A1116" s="93" t="s">
        <v>495</v>
      </c>
      <c r="B1116" s="94" t="str">
        <f>IFERROR(VLOOKUP($A1116,HeadJournal!$A$1:$NTR$890,COLUMN(HeadJournal!B$1),0),"")</f>
        <v>710000630817</v>
      </c>
      <c r="C1116" s="94" t="str">
        <f>IFERROR(VLOOKUP($A1116,HeadJournal!$A$1:$NTR$890,COLUMN(HeadJournal!C$1),0),"")</f>
        <v>iHerb_AV CYG0792</v>
      </c>
      <c r="D1116" s="125" t="str">
        <f>IFERROR(VLOOKUP($A1116,HeadJournal!$A$1:$NTR$890,COLUMN(HeadJournal!D$1),0),"")</f>
        <v>Доставлен</v>
      </c>
      <c r="E1116" s="95">
        <f>IFERROR(VLOOKUP($A1116,HeadJournal!$A$1:$NTR$890,COLUMN(HeadJournal!G$1),0),"")</f>
        <v>44974</v>
      </c>
      <c r="F1116" s="95" t="str">
        <f t="shared" si="89"/>
        <v>2023 02</v>
      </c>
      <c r="G1116" s="96" t="s">
        <v>5</v>
      </c>
      <c r="H1116" s="161" t="s">
        <v>2051</v>
      </c>
      <c r="I1116" s="97" t="s">
        <v>2052</v>
      </c>
      <c r="J1116" s="97" t="s">
        <v>3097</v>
      </c>
      <c r="K1116" s="29">
        <v>17</v>
      </c>
      <c r="L1116" s="29">
        <v>-5.1000000000000005</v>
      </c>
      <c r="M1116" s="30">
        <f>IFERROR(VLOOKUP($A1116,HeadJournal!$A$1:$J$890,COLUMN(HeadJournal!I$1),0)*($K1116+$L1116)/(SUMIF($A:$A,$A1116,$K:$K)+SUMIF($A:$A,$A1116,$L:$L)),0)</f>
        <v>1.0027560613557642</v>
      </c>
      <c r="N1116" s="30">
        <f>IFERROR((VLOOKUP($A1116,HeadJournal!$A$1:$K$890,COLUMN(HeadJournal!K$1),0)-VLOOKUP($A1116,HeadJournal!$A$1:$K$890,COLUMN(HeadJournal!J$1),0))*($K1116+$L1116)/(SUMIF($A:$A,$A1116,$K:$K)+SUMIF($A:$A,$A1116,$L:$L)),0)</f>
        <v>-3.3470395073904755E-15</v>
      </c>
      <c r="O1116" s="30">
        <f>IFERROR((VLOOKUP($A1116,HeadJournal!$A$1:$L$890,COLUMN(HeadJournal!L$1),0)*($K1116+$L1116)/(SUMIF($A:$A,$A1116,$K:$K)+SUMIF($A:$A,$A1116,$L:$L)))/VLOOKUP($A1116,HeadJournal!$A$1:$L$890,COLUMN(HeadJournal!H$1),0),0)</f>
        <v>1.0382512752558768</v>
      </c>
      <c r="P1116" s="30">
        <f>IFERROR(SUM(K1116:O1116)*VLOOKUP($A1116,HeadJournal!$A$1:$L$890,COLUMN(HeadJournal!H$1),0),0)</f>
        <v>1135.2393913904</v>
      </c>
      <c r="Q1116" s="29">
        <v>2100</v>
      </c>
      <c r="R1116" s="31">
        <v>45153</v>
      </c>
      <c r="S1116" s="31" t="s">
        <v>3121</v>
      </c>
      <c r="T1116" s="95" t="str">
        <f t="shared" si="90"/>
        <v>2023 08</v>
      </c>
      <c r="U1116" s="32">
        <f t="shared" si="87"/>
        <v>964.76060860960001</v>
      </c>
      <c r="V1116" s="22">
        <f t="shared" si="88"/>
        <v>0.84983010273101622</v>
      </c>
      <c r="X1116" s="33"/>
      <c r="Y1116" s="33"/>
    </row>
    <row r="1117" spans="1:25" x14ac:dyDescent="0.2">
      <c r="A1117" s="93" t="s">
        <v>495</v>
      </c>
      <c r="B1117" s="94" t="str">
        <f>IFERROR(VLOOKUP($A1117,HeadJournal!$A$1:$NTR$890,COLUMN(HeadJournal!B$1),0),"")</f>
        <v>710000630817</v>
      </c>
      <c r="C1117" s="94" t="str">
        <f>IFERROR(VLOOKUP($A1117,HeadJournal!$A$1:$NTR$890,COLUMN(HeadJournal!C$1),0),"")</f>
        <v>iHerb_AV CYG0792</v>
      </c>
      <c r="D1117" s="125" t="str">
        <f>IFERROR(VLOOKUP($A1117,HeadJournal!$A$1:$NTR$890,COLUMN(HeadJournal!D$1),0),"")</f>
        <v>Доставлен</v>
      </c>
      <c r="E1117" s="95">
        <f>IFERROR(VLOOKUP($A1117,HeadJournal!$A$1:$NTR$890,COLUMN(HeadJournal!G$1),0),"")</f>
        <v>44974</v>
      </c>
      <c r="F1117" s="95" t="str">
        <f t="shared" si="89"/>
        <v>2023 02</v>
      </c>
      <c r="G1117" s="96" t="s">
        <v>5</v>
      </c>
      <c r="H1117" s="161" t="s">
        <v>2051</v>
      </c>
      <c r="I1117" s="97" t="s">
        <v>2052</v>
      </c>
      <c r="J1117" s="97" t="s">
        <v>3097</v>
      </c>
      <c r="K1117" s="29">
        <v>17</v>
      </c>
      <c r="L1117" s="29">
        <v>-5.1000000000000005</v>
      </c>
      <c r="M1117" s="30">
        <f>IFERROR(VLOOKUP($A1117,HeadJournal!$A$1:$J$890,COLUMN(HeadJournal!I$1),0)*($K1117+$L1117)/(SUMIF($A:$A,$A1117,$K:$K)+SUMIF($A:$A,$A1117,$L:$L)),0)</f>
        <v>1.0027560613557642</v>
      </c>
      <c r="N1117" s="30">
        <f>IFERROR((VLOOKUP($A1117,HeadJournal!$A$1:$K$890,COLUMN(HeadJournal!K$1),0)-VLOOKUP($A1117,HeadJournal!$A$1:$K$890,COLUMN(HeadJournal!J$1),0))*($K1117+$L1117)/(SUMIF($A:$A,$A1117,$K:$K)+SUMIF($A:$A,$A1117,$L:$L)),0)</f>
        <v>-3.3470395073904755E-15</v>
      </c>
      <c r="O1117" s="30">
        <f>IFERROR((VLOOKUP($A1117,HeadJournal!$A$1:$L$890,COLUMN(HeadJournal!L$1),0)*($K1117+$L1117)/(SUMIF($A:$A,$A1117,$K:$K)+SUMIF($A:$A,$A1117,$L:$L)))/VLOOKUP($A1117,HeadJournal!$A$1:$L$890,COLUMN(HeadJournal!H$1),0),0)</f>
        <v>1.0382512752558768</v>
      </c>
      <c r="P1117" s="30">
        <f>IFERROR(SUM(K1117:O1117)*VLOOKUP($A1117,HeadJournal!$A$1:$L$890,COLUMN(HeadJournal!H$1),0),0)</f>
        <v>1135.2393913904</v>
      </c>
      <c r="Q1117" s="29">
        <v>1135.24</v>
      </c>
      <c r="R1117" s="31">
        <v>45158</v>
      </c>
      <c r="S1117" s="31" t="s">
        <v>3121</v>
      </c>
      <c r="T1117" s="95" t="str">
        <f t="shared" si="90"/>
        <v>2023 08</v>
      </c>
      <c r="U1117" s="32">
        <f t="shared" si="87"/>
        <v>6.086096000217367E-4</v>
      </c>
      <c r="V1117" s="22">
        <f t="shared" si="88"/>
        <v>5.3610683758632951E-7</v>
      </c>
      <c r="X1117" s="33"/>
      <c r="Y1117" s="33"/>
    </row>
    <row r="1118" spans="1:25" x14ac:dyDescent="0.2">
      <c r="A1118" s="93" t="s">
        <v>495</v>
      </c>
      <c r="B1118" s="94" t="str">
        <f>IFERROR(VLOOKUP($A1118,HeadJournal!$A$1:$NTR$890,COLUMN(HeadJournal!B$1),0),"")</f>
        <v>710000630817</v>
      </c>
      <c r="C1118" s="94" t="str">
        <f>IFERROR(VLOOKUP($A1118,HeadJournal!$A$1:$NTR$890,COLUMN(HeadJournal!C$1),0),"")</f>
        <v>iHerb_AV CYG0792</v>
      </c>
      <c r="D1118" s="125" t="str">
        <f>IFERROR(VLOOKUP($A1118,HeadJournal!$A$1:$NTR$890,COLUMN(HeadJournal!D$1),0),"")</f>
        <v>Доставлен</v>
      </c>
      <c r="E1118" s="95">
        <f>IFERROR(VLOOKUP($A1118,HeadJournal!$A$1:$NTR$890,COLUMN(HeadJournal!G$1),0),"")</f>
        <v>44974</v>
      </c>
      <c r="F1118" s="95" t="str">
        <f t="shared" si="89"/>
        <v>2023 02</v>
      </c>
      <c r="G1118" s="96" t="s">
        <v>5</v>
      </c>
      <c r="H1118" s="161" t="s">
        <v>2176</v>
      </c>
      <c r="I1118" s="97" t="s">
        <v>2005</v>
      </c>
      <c r="J1118" s="97" t="s">
        <v>2177</v>
      </c>
      <c r="K1118" s="29">
        <v>12.99</v>
      </c>
      <c r="L1118" s="29">
        <v>-1.3</v>
      </c>
      <c r="M1118" s="30">
        <f>IFERROR(VLOOKUP($A1118,HeadJournal!$A$1:$J$890,COLUMN(HeadJournal!I$1),0)*($K1118+$L1118)/(SUMIF($A:$A,$A1118,$K:$K)+SUMIF($A:$A,$A1118,$L:$L)),0)</f>
        <v>0.98506036615536841</v>
      </c>
      <c r="N1118" s="30">
        <f>IFERROR((VLOOKUP($A1118,HeadJournal!$A$1:$K$890,COLUMN(HeadJournal!K$1),0)-VLOOKUP($A1118,HeadJournal!$A$1:$K$890,COLUMN(HeadJournal!J$1),0))*($K1118+$L1118)/(SUMIF($A:$A,$A1118,$K:$K)+SUMIF($A:$A,$A1118,$L:$L)),0)</f>
        <v>-3.2879741043188791E-15</v>
      </c>
      <c r="O1118" s="30">
        <f>IFERROR((VLOOKUP($A1118,HeadJournal!$A$1:$L$890,COLUMN(HeadJournal!L$1),0)*($K1118+$L1118)/(SUMIF($A:$A,$A1118,$K:$K)+SUMIF($A:$A,$A1118,$L:$L)))/VLOOKUP($A1118,HeadJournal!$A$1:$L$890,COLUMN(HeadJournal!H$1),0),0)</f>
        <v>1.0199291939278323</v>
      </c>
      <c r="P1118" s="30">
        <f>IFERROR(SUM(K1118:O1118)*VLOOKUP($A1118,HeadJournal!$A$1:$L$890,COLUMN(HeadJournal!H$1),0),0)</f>
        <v>1115.2057550717459</v>
      </c>
      <c r="Q1118" s="29">
        <v>1900</v>
      </c>
      <c r="R1118" s="31">
        <v>45009</v>
      </c>
      <c r="S1118" s="31" t="s">
        <v>3121</v>
      </c>
      <c r="T1118" s="95" t="str">
        <f t="shared" si="90"/>
        <v>2023 03</v>
      </c>
      <c r="U1118" s="32">
        <f t="shared" si="87"/>
        <v>784.7942449282541</v>
      </c>
      <c r="V1118" s="22">
        <f t="shared" si="88"/>
        <v>0.70372148041664739</v>
      </c>
      <c r="X1118" s="33"/>
      <c r="Y1118" s="33"/>
    </row>
    <row r="1119" spans="1:25" x14ac:dyDescent="0.2">
      <c r="A1119" s="93" t="s">
        <v>495</v>
      </c>
      <c r="B1119" s="94" t="str">
        <f>IFERROR(VLOOKUP($A1119,HeadJournal!$A$1:$NTR$890,COLUMN(HeadJournal!B$1),0),"")</f>
        <v>710000630817</v>
      </c>
      <c r="C1119" s="94" t="str">
        <f>IFERROR(VLOOKUP($A1119,HeadJournal!$A$1:$NTR$890,COLUMN(HeadJournal!C$1),0),"")</f>
        <v>iHerb_AV CYG0792</v>
      </c>
      <c r="D1119" s="125" t="str">
        <f>IFERROR(VLOOKUP($A1119,HeadJournal!$A$1:$NTR$890,COLUMN(HeadJournal!D$1),0),"")</f>
        <v>Доставлен</v>
      </c>
      <c r="E1119" s="95">
        <f>IFERROR(VLOOKUP($A1119,HeadJournal!$A$1:$NTR$890,COLUMN(HeadJournal!G$1),0),"")</f>
        <v>44974</v>
      </c>
      <c r="F1119" s="95" t="str">
        <f t="shared" si="89"/>
        <v>2023 02</v>
      </c>
      <c r="G1119" s="96" t="s">
        <v>5</v>
      </c>
      <c r="H1119" s="160" t="str">
        <f>RIGHT(Journal!$J1119,9)</f>
        <v>NAP-03371</v>
      </c>
      <c r="I1119" s="96" t="str">
        <f t="shared" si="86"/>
        <v>NaturesPlus</v>
      </c>
      <c r="J1119" s="97" t="s">
        <v>496</v>
      </c>
      <c r="K1119" s="29">
        <v>8.64</v>
      </c>
      <c r="L1119" s="29">
        <v>-0.86</v>
      </c>
      <c r="M1119" s="30">
        <f>IFERROR(VLOOKUP($A1119,HeadJournal!$A$1:$J$890,COLUMN(HeadJournal!I$1),0)*($K1119+$L1119)/(SUMIF($A:$A,$A1119,$K:$K)+SUMIF($A:$A,$A1119,$L:$L)),0)</f>
        <v>0.65558337456704585</v>
      </c>
      <c r="N1119" s="30">
        <f>IFERROR((VLOOKUP($A1119,HeadJournal!$A$1:$K$890,COLUMN(HeadJournal!K$1),0)-VLOOKUP($A1119,HeadJournal!$A$1:$K$890,COLUMN(HeadJournal!J$1),0))*($K1119+$L1119)/(SUMIF($A:$A,$A1119,$K:$K)+SUMIF($A:$A,$A1119,$L:$L)),0)</f>
        <v>-2.1882325518905801E-15</v>
      </c>
      <c r="O1119" s="30">
        <f>IFERROR((VLOOKUP($A1119,HeadJournal!$A$1:$L$890,COLUMN(HeadJournal!L$1),0)*($K1119+$L1119)/(SUMIF($A:$A,$A1119,$K:$K)+SUMIF($A:$A,$A1119,$L:$L)))/VLOOKUP($A1119,HeadJournal!$A$1:$L$890,COLUMN(HeadJournal!H$1),0),0)</f>
        <v>0.6787894892009011</v>
      </c>
      <c r="P1119" s="30">
        <f>IFERROR(SUM(K1119:O1119)*VLOOKUP($A1119,HeadJournal!$A$1:$L$890,COLUMN(HeadJournal!H$1),0),0)</f>
        <v>742.198526472043</v>
      </c>
      <c r="Q1119" s="29">
        <v>1300</v>
      </c>
      <c r="R1119" s="31">
        <v>45009</v>
      </c>
      <c r="S1119" s="31" t="s">
        <v>3121</v>
      </c>
      <c r="T1119" s="95" t="str">
        <f t="shared" si="90"/>
        <v>2023 03</v>
      </c>
      <c r="U1119" s="32">
        <f t="shared" si="87"/>
        <v>557.801473527957</v>
      </c>
      <c r="V1119" s="22">
        <f t="shared" si="88"/>
        <v>0.75155292503665216</v>
      </c>
      <c r="X1119" s="33"/>
      <c r="Y1119" s="33"/>
    </row>
    <row r="1120" spans="1:25" x14ac:dyDescent="0.2">
      <c r="A1120" s="93" t="s">
        <v>495</v>
      </c>
      <c r="B1120" s="94" t="str">
        <f>IFERROR(VLOOKUP($A1120,HeadJournal!$A$1:$NTR$890,COLUMN(HeadJournal!B$1),0),"")</f>
        <v>710000630817</v>
      </c>
      <c r="C1120" s="94" t="str">
        <f>IFERROR(VLOOKUP($A1120,HeadJournal!$A$1:$NTR$890,COLUMN(HeadJournal!C$1),0),"")</f>
        <v>iHerb_AV CYG0792</v>
      </c>
      <c r="D1120" s="125" t="str">
        <f>IFERROR(VLOOKUP($A1120,HeadJournal!$A$1:$NTR$890,COLUMN(HeadJournal!D$1),0),"")</f>
        <v>Доставлен</v>
      </c>
      <c r="E1120" s="95">
        <f>IFERROR(VLOOKUP($A1120,HeadJournal!$A$1:$NTR$890,COLUMN(HeadJournal!G$1),0),"")</f>
        <v>44974</v>
      </c>
      <c r="F1120" s="95" t="str">
        <f t="shared" si="89"/>
        <v>2023 02</v>
      </c>
      <c r="G1120" s="96" t="s">
        <v>5</v>
      </c>
      <c r="H1120" s="160" t="str">
        <f>RIGHT(Journal!$J1120,9)</f>
        <v>CEN-27709</v>
      </c>
      <c r="I1120" s="96" t="str">
        <f t="shared" si="86"/>
        <v>21st Century</v>
      </c>
      <c r="J1120" s="97" t="s">
        <v>497</v>
      </c>
      <c r="K1120" s="29">
        <v>8.51</v>
      </c>
      <c r="L1120" s="29">
        <v>-0.85</v>
      </c>
      <c r="M1120" s="30">
        <f>IFERROR(VLOOKUP($A1120,HeadJournal!$A$1:$J$890,COLUMN(HeadJournal!I$1),0)*($K1120+$L1120)/(SUMIF($A:$A,$A1120,$K:$K)+SUMIF($A:$A,$A1120,$L:$L)),0)</f>
        <v>0.6454715487382483</v>
      </c>
      <c r="N1120" s="30">
        <f>IFERROR((VLOOKUP($A1120,HeadJournal!$A$1:$K$890,COLUMN(HeadJournal!K$1),0)-VLOOKUP($A1120,HeadJournal!$A$1:$K$890,COLUMN(HeadJournal!J$1),0))*($K1120+$L1120)/(SUMIF($A:$A,$A1120,$K:$K)+SUMIF($A:$A,$A1120,$L:$L)),0)</f>
        <v>-2.154480892992525E-15</v>
      </c>
      <c r="O1120" s="30">
        <f>IFERROR((VLOOKUP($A1120,HeadJournal!$A$1:$L$890,COLUMN(HeadJournal!L$1),0)*($K1120+$L1120)/(SUMIF($A:$A,$A1120,$K:$K)+SUMIF($A:$A,$A1120,$L:$L)))/VLOOKUP($A1120,HeadJournal!$A$1:$L$890,COLUMN(HeadJournal!H$1),0),0)</f>
        <v>0.66831972844201837</v>
      </c>
      <c r="P1120" s="30">
        <f>IFERROR(SUM(K1120:O1120)*VLOOKUP($A1120,HeadJournal!$A$1:$L$890,COLUMN(HeadJournal!H$1),0),0)</f>
        <v>730.75073428995506</v>
      </c>
      <c r="Q1120" s="29">
        <v>1300</v>
      </c>
      <c r="R1120" s="31">
        <v>45009</v>
      </c>
      <c r="S1120" s="31" t="s">
        <v>3121</v>
      </c>
      <c r="T1120" s="95" t="str">
        <f t="shared" si="90"/>
        <v>2023 03</v>
      </c>
      <c r="U1120" s="32">
        <f t="shared" si="87"/>
        <v>569.24926571004494</v>
      </c>
      <c r="V1120" s="22">
        <f t="shared" si="88"/>
        <v>0.77899239644714768</v>
      </c>
      <c r="X1120" s="33"/>
      <c r="Y1120" s="33"/>
    </row>
    <row r="1121" spans="1:25" x14ac:dyDescent="0.2">
      <c r="A1121" s="93" t="s">
        <v>495</v>
      </c>
      <c r="B1121" s="94" t="str">
        <f>IFERROR(VLOOKUP($A1121,HeadJournal!$A$1:$NTR$890,COLUMN(HeadJournal!B$1),0),"")</f>
        <v>710000630817</v>
      </c>
      <c r="C1121" s="94" t="str">
        <f>IFERROR(VLOOKUP($A1121,HeadJournal!$A$1:$NTR$890,COLUMN(HeadJournal!C$1),0),"")</f>
        <v>iHerb_AV CYG0792</v>
      </c>
      <c r="D1121" s="125" t="str">
        <f>IFERROR(VLOOKUP($A1121,HeadJournal!$A$1:$NTR$890,COLUMN(HeadJournal!D$1),0),"")</f>
        <v>Доставлен</v>
      </c>
      <c r="E1121" s="95">
        <f>IFERROR(VLOOKUP($A1121,HeadJournal!$A$1:$NTR$890,COLUMN(HeadJournal!G$1),0),"")</f>
        <v>44974</v>
      </c>
      <c r="F1121" s="95" t="str">
        <f t="shared" si="89"/>
        <v>2023 02</v>
      </c>
      <c r="G1121" s="96" t="s">
        <v>5</v>
      </c>
      <c r="H1121" s="161" t="s">
        <v>2843</v>
      </c>
      <c r="I1121" s="97" t="s">
        <v>2839</v>
      </c>
      <c r="J1121" s="97" t="s">
        <v>2844</v>
      </c>
      <c r="K1121" s="29">
        <v>17.87</v>
      </c>
      <c r="L1121" s="29"/>
      <c r="M1121" s="30">
        <f>IFERROR(VLOOKUP($A1121,HeadJournal!$A$1:$J$890,COLUMN(HeadJournal!I$1),0)*($K1121+$L1121)/(SUMIF($A:$A,$A1121,$K:$K)+SUMIF($A:$A,$A1121,$L:$L)),0)</f>
        <v>1.5058193963384463</v>
      </c>
      <c r="N1121" s="30">
        <f>IFERROR((VLOOKUP($A1121,HeadJournal!$A$1:$K$890,COLUMN(HeadJournal!K$1),0)-VLOOKUP($A1121,HeadJournal!$A$1:$K$890,COLUMN(HeadJournal!J$1),0))*($K1121+$L1121)/(SUMIF($A:$A,$A1121,$K:$K)+SUMIF($A:$A,$A1121,$L:$L)),0)</f>
        <v>-5.0261845375687235E-15</v>
      </c>
      <c r="O1121" s="30">
        <f>IFERROR((VLOOKUP($A1121,HeadJournal!$A$1:$L$890,COLUMN(HeadJournal!L$1),0)*($K1121+$L1121)/(SUMIF($A:$A,$A1121,$K:$K)+SUMIF($A:$A,$A1121,$L:$L)))/VLOOKUP($A1121,HeadJournal!$A$1:$L$890,COLUMN(HeadJournal!H$1),0),0)</f>
        <v>1.559121873010296</v>
      </c>
      <c r="P1121" s="30">
        <f>IFERROR(SUM(K1121:O1121)*VLOOKUP($A1121,HeadJournal!$A$1:$L$890,COLUMN(HeadJournal!H$1),0),0)</f>
        <v>1704.7670524492817</v>
      </c>
      <c r="Q1121" s="29">
        <v>2700</v>
      </c>
      <c r="R1121" s="31">
        <v>45009</v>
      </c>
      <c r="S1121" s="31" t="s">
        <v>3121</v>
      </c>
      <c r="T1121" s="95" t="str">
        <f t="shared" si="90"/>
        <v>2023 03</v>
      </c>
      <c r="U1121" s="32">
        <f t="shared" si="87"/>
        <v>995.23294755071834</v>
      </c>
      <c r="V1121" s="22">
        <f t="shared" si="88"/>
        <v>0.5837941002677417</v>
      </c>
      <c r="X1121" s="33"/>
      <c r="Y1121" s="33"/>
    </row>
    <row r="1122" spans="1:25" x14ac:dyDescent="0.2">
      <c r="A1122" s="93" t="s">
        <v>495</v>
      </c>
      <c r="B1122" s="94" t="str">
        <f>IFERROR(VLOOKUP($A1122,HeadJournal!$A$1:$NTR$890,COLUMN(HeadJournal!B$1),0),"")</f>
        <v>710000630817</v>
      </c>
      <c r="C1122" s="94" t="str">
        <f>IFERROR(VLOOKUP($A1122,HeadJournal!$A$1:$NTR$890,COLUMN(HeadJournal!C$1),0),"")</f>
        <v>iHerb_AV CYG0792</v>
      </c>
      <c r="D1122" s="125" t="str">
        <f>IFERROR(VLOOKUP($A1122,HeadJournal!$A$1:$NTR$890,COLUMN(HeadJournal!D$1),0),"")</f>
        <v>Доставлен</v>
      </c>
      <c r="E1122" s="95">
        <f>IFERROR(VLOOKUP($A1122,HeadJournal!$A$1:$NTR$890,COLUMN(HeadJournal!G$1),0),"")</f>
        <v>44974</v>
      </c>
      <c r="F1122" s="95" t="str">
        <f t="shared" si="89"/>
        <v>2023 02</v>
      </c>
      <c r="G1122" s="96" t="s">
        <v>5</v>
      </c>
      <c r="H1122" s="160" t="str">
        <f>RIGHT(Journal!$J1122,9)</f>
        <v>NOW-00386</v>
      </c>
      <c r="I1122" s="96" t="str">
        <f t="shared" si="86"/>
        <v>NOW Foods</v>
      </c>
      <c r="J1122" s="97" t="s">
        <v>498</v>
      </c>
      <c r="K1122" s="29">
        <v>28.6</v>
      </c>
      <c r="L1122" s="29">
        <v>-2.86</v>
      </c>
      <c r="M1122" s="30">
        <f>IFERROR(VLOOKUP($A1122,HeadJournal!$A$1:$J$890,COLUMN(HeadJournal!I$1),0)*($K1122+$L1122)/(SUMIF($A:$A,$A1122,$K:$K)+SUMIF($A:$A,$A1122,$L:$L)),0)</f>
        <v>2.1689866402770903</v>
      </c>
      <c r="N1122" s="30">
        <f>IFERROR((VLOOKUP($A1122,HeadJournal!$A$1:$K$890,COLUMN(HeadJournal!K$1),0)-VLOOKUP($A1122,HeadJournal!$A$1:$K$890,COLUMN(HeadJournal!J$1),0))*($K1122+$L1122)/(SUMIF($A:$A,$A1122,$K:$K)+SUMIF($A:$A,$A1122,$L:$L)),0)</f>
        <v>-7.2397308336328453E-15</v>
      </c>
      <c r="O1122" s="30">
        <f>IFERROR((VLOOKUP($A1122,HeadJournal!$A$1:$L$890,COLUMN(HeadJournal!L$1),0)*($K1122+$L1122)/(SUMIF($A:$A,$A1122,$K:$K)+SUMIF($A:$A,$A1122,$L:$L)))/VLOOKUP($A1122,HeadJournal!$A$1:$L$890,COLUMN(HeadJournal!H$1),0),0)</f>
        <v>2.2457636827803595</v>
      </c>
      <c r="P1122" s="30">
        <f>IFERROR(SUM(K1122:O1122)*VLOOKUP($A1122,HeadJournal!$A$1:$L$890,COLUMN(HeadJournal!H$1),0),0)</f>
        <v>2455.551423057891</v>
      </c>
      <c r="Q1122" s="29">
        <v>4500</v>
      </c>
      <c r="R1122" s="31">
        <v>45009</v>
      </c>
      <c r="S1122" s="31" t="s">
        <v>3121</v>
      </c>
      <c r="T1122" s="95" t="str">
        <f t="shared" si="90"/>
        <v>2023 03</v>
      </c>
      <c r="U1122" s="32">
        <f t="shared" si="87"/>
        <v>2044.448576942109</v>
      </c>
      <c r="V1122" s="22">
        <f t="shared" si="88"/>
        <v>0.83258226960531867</v>
      </c>
      <c r="X1122" s="33"/>
      <c r="Y1122" s="33"/>
    </row>
    <row r="1123" spans="1:25" x14ac:dyDescent="0.2">
      <c r="A1123" s="93" t="s">
        <v>495</v>
      </c>
      <c r="B1123" s="94" t="str">
        <f>IFERROR(VLOOKUP($A1123,HeadJournal!$A$1:$NTR$890,COLUMN(HeadJournal!B$1),0),"")</f>
        <v>710000630817</v>
      </c>
      <c r="C1123" s="94" t="str">
        <f>IFERROR(VLOOKUP($A1123,HeadJournal!$A$1:$NTR$890,COLUMN(HeadJournal!C$1),0),"")</f>
        <v>iHerb_AV CYG0792</v>
      </c>
      <c r="D1123" s="125" t="str">
        <f>IFERROR(VLOOKUP($A1123,HeadJournal!$A$1:$NTR$890,COLUMN(HeadJournal!D$1),0),"")</f>
        <v>Доставлен</v>
      </c>
      <c r="E1123" s="95">
        <f>IFERROR(VLOOKUP($A1123,HeadJournal!$A$1:$NTR$890,COLUMN(HeadJournal!G$1),0),"")</f>
        <v>44974</v>
      </c>
      <c r="F1123" s="95" t="str">
        <f t="shared" si="89"/>
        <v>2023 02</v>
      </c>
      <c r="G1123" s="96" t="s">
        <v>5</v>
      </c>
      <c r="H1123" s="161" t="s">
        <v>2016</v>
      </c>
      <c r="I1123" s="97" t="s">
        <v>2005</v>
      </c>
      <c r="J1123" s="97" t="s">
        <v>2017</v>
      </c>
      <c r="K1123" s="29">
        <v>25.37</v>
      </c>
      <c r="L1123" s="29">
        <v>-2.54</v>
      </c>
      <c r="M1123" s="30">
        <f>IFERROR(VLOOKUP($A1123,HeadJournal!$A$1:$J$890,COLUMN(HeadJournal!I$1),0)*($K1123+$L1123)/(SUMIF($A:$A,$A1123,$K:$K)+SUMIF($A:$A,$A1123,$L:$L)),0)</f>
        <v>1.923774863928748</v>
      </c>
      <c r="N1123" s="30">
        <f>IFERROR((VLOOKUP($A1123,HeadJournal!$A$1:$K$890,COLUMN(HeadJournal!K$1),0)-VLOOKUP($A1123,HeadJournal!$A$1:$K$890,COLUMN(HeadJournal!J$1),0))*($K1123+$L1123)/(SUMIF($A:$A,$A1123,$K:$K)+SUMIF($A:$A,$A1123,$L:$L)),0)</f>
        <v>-6.4212531053550065E-15</v>
      </c>
      <c r="O1123" s="30">
        <f>IFERROR((VLOOKUP($A1123,HeadJournal!$A$1:$L$890,COLUMN(HeadJournal!L$1),0)*($K1123+$L1123)/(SUMIF($A:$A,$A1123,$K:$K)+SUMIF($A:$A,$A1123,$L:$L)))/VLOOKUP($A1123,HeadJournal!$A$1:$L$890,COLUMN(HeadJournal!H$1),0),0)</f>
        <v>1.9918719843774517</v>
      </c>
      <c r="P1123" s="30">
        <f>IFERROR(SUM(K1123:O1123)*VLOOKUP($A1123,HeadJournal!$A$1:$L$890,COLUMN(HeadJournal!H$1),0),0)</f>
        <v>2177.9424626422551</v>
      </c>
      <c r="Q1123" s="29">
        <v>3400</v>
      </c>
      <c r="R1123" s="31">
        <v>45051</v>
      </c>
      <c r="S1123" s="31" t="s">
        <v>3121</v>
      </c>
      <c r="T1123" s="95" t="str">
        <f t="shared" si="90"/>
        <v>2023 05</v>
      </c>
      <c r="U1123" s="32">
        <f t="shared" si="87"/>
        <v>1222.0575373577449</v>
      </c>
      <c r="V1123" s="22">
        <f t="shared" si="88"/>
        <v>0.56110643798879722</v>
      </c>
      <c r="X1123" s="33"/>
      <c r="Y1123" s="33"/>
    </row>
    <row r="1124" spans="1:25" x14ac:dyDescent="0.2">
      <c r="A1124" s="93" t="s">
        <v>495</v>
      </c>
      <c r="B1124" s="94" t="str">
        <f>IFERROR(VLOOKUP($A1124,HeadJournal!$A$1:$NTR$890,COLUMN(HeadJournal!B$1),0),"")</f>
        <v>710000630817</v>
      </c>
      <c r="C1124" s="94" t="str">
        <f>IFERROR(VLOOKUP($A1124,HeadJournal!$A$1:$NTR$890,COLUMN(HeadJournal!C$1),0),"")</f>
        <v>iHerb_AV CYG0792</v>
      </c>
      <c r="D1124" s="125" t="str">
        <f>IFERROR(VLOOKUP($A1124,HeadJournal!$A$1:$NTR$890,COLUMN(HeadJournal!D$1),0),"")</f>
        <v>Доставлен</v>
      </c>
      <c r="E1124" s="95">
        <f>IFERROR(VLOOKUP($A1124,HeadJournal!$A$1:$NTR$890,COLUMN(HeadJournal!G$1),0),"")</f>
        <v>44974</v>
      </c>
      <c r="F1124" s="95" t="str">
        <f t="shared" si="89"/>
        <v>2023 02</v>
      </c>
      <c r="G1124" s="96" t="s">
        <v>5</v>
      </c>
      <c r="H1124" s="160" t="str">
        <f>RIGHT(Journal!$J1124,9)</f>
        <v>NOW-01742</v>
      </c>
      <c r="I1124" s="96" t="str">
        <f t="shared" si="86"/>
        <v>NOW Foods</v>
      </c>
      <c r="J1124" s="97" t="s">
        <v>499</v>
      </c>
      <c r="K1124" s="29">
        <v>14.91</v>
      </c>
      <c r="L1124" s="29">
        <v>-1.49</v>
      </c>
      <c r="M1124" s="30">
        <f>IFERROR(VLOOKUP($A1124,HeadJournal!$A$1:$J$890,COLUMN(HeadJournal!I$1),0)*($K1124+$L1124)/(SUMIF($A:$A,$A1124,$K:$K)+SUMIF($A:$A,$A1124,$L:$L)),0)</f>
        <v>1.1308391885205342</v>
      </c>
      <c r="N1124" s="30">
        <f>IFERROR((VLOOKUP($A1124,HeadJournal!$A$1:$K$890,COLUMN(HeadJournal!K$1),0)-VLOOKUP($A1124,HeadJournal!$A$1:$K$890,COLUMN(HeadJournal!J$1),0))*($K1124+$L1124)/(SUMIF($A:$A,$A1124,$K:$K)+SUMIF($A:$A,$A1124,$L:$L)),0)</f>
        <v>-3.7745605200991758E-15</v>
      </c>
      <c r="O1124" s="30">
        <f>IFERROR((VLOOKUP($A1124,HeadJournal!$A$1:$L$890,COLUMN(HeadJournal!L$1),0)*($K1124+$L1124)/(SUMIF($A:$A,$A1124,$K:$K)+SUMIF($A:$A,$A1124,$L:$L)))/VLOOKUP($A1124,HeadJournal!$A$1:$L$890,COLUMN(HeadJournal!H$1),0),0)</f>
        <v>1.1708682448683925</v>
      </c>
      <c r="P1124" s="30">
        <f>IFERROR(SUM(K1124:O1124)*VLOOKUP($A1124,HeadJournal!$A$1:$L$890,COLUMN(HeadJournal!H$1),0),0)</f>
        <v>1280.2447590301824</v>
      </c>
      <c r="Q1124" s="29">
        <v>2300</v>
      </c>
      <c r="R1124" s="31">
        <v>45009</v>
      </c>
      <c r="S1124" s="31" t="s">
        <v>3121</v>
      </c>
      <c r="T1124" s="95" t="str">
        <f t="shared" si="90"/>
        <v>2023 03</v>
      </c>
      <c r="U1124" s="32">
        <f t="shared" si="87"/>
        <v>1019.7552409698176</v>
      </c>
      <c r="V1124" s="22">
        <f t="shared" si="88"/>
        <v>0.79653147085898468</v>
      </c>
      <c r="X1124" s="33"/>
      <c r="Y1124" s="33"/>
    </row>
    <row r="1125" spans="1:25" x14ac:dyDescent="0.2">
      <c r="A1125" s="93" t="s">
        <v>495</v>
      </c>
      <c r="B1125" s="94" t="str">
        <f>IFERROR(VLOOKUP($A1125,HeadJournal!$A$1:$NTR$890,COLUMN(HeadJournal!B$1),0),"")</f>
        <v>710000630817</v>
      </c>
      <c r="C1125" s="94" t="str">
        <f>IFERROR(VLOOKUP($A1125,HeadJournal!$A$1:$NTR$890,COLUMN(HeadJournal!C$1),0),"")</f>
        <v>iHerb_AV CYG0792</v>
      </c>
      <c r="D1125" s="125" t="str">
        <f>IFERROR(VLOOKUP($A1125,HeadJournal!$A$1:$NTR$890,COLUMN(HeadJournal!D$1),0),"")</f>
        <v>Доставлен</v>
      </c>
      <c r="E1125" s="95">
        <f>IFERROR(VLOOKUP($A1125,HeadJournal!$A$1:$NTR$890,COLUMN(HeadJournal!G$1),0),"")</f>
        <v>44974</v>
      </c>
      <c r="F1125" s="95" t="str">
        <f t="shared" si="89"/>
        <v>2023 02</v>
      </c>
      <c r="G1125" s="96" t="s">
        <v>5</v>
      </c>
      <c r="H1125" s="160" t="str">
        <f>RIGHT(Journal!$J1125,9)</f>
        <v>NOW-01648</v>
      </c>
      <c r="I1125" s="96" t="str">
        <f t="shared" si="86"/>
        <v>NOW Foods</v>
      </c>
      <c r="J1125" s="97" t="s">
        <v>49</v>
      </c>
      <c r="K1125" s="29">
        <v>14.08</v>
      </c>
      <c r="L1125" s="29">
        <v>-1.41</v>
      </c>
      <c r="M1125" s="30">
        <f>IFERROR(VLOOKUP($A1125,HeadJournal!$A$1:$J$890,COLUMN(HeadJournal!I$1),0)*($K1125+$L1125)/(SUMIF($A:$A,$A1125,$K:$K)+SUMIF($A:$A,$A1125,$L:$L)),0)</f>
        <v>1.0676402770905491</v>
      </c>
      <c r="N1125" s="30">
        <f>IFERROR((VLOOKUP($A1125,HeadJournal!$A$1:$K$890,COLUMN(HeadJournal!K$1),0)-VLOOKUP($A1125,HeadJournal!$A$1:$K$890,COLUMN(HeadJournal!J$1),0))*($K1125+$L1125)/(SUMIF($A:$A,$A1125,$K:$K)+SUMIF($A:$A,$A1125,$L:$L)),0)</f>
        <v>-3.5636126519863303E-15</v>
      </c>
      <c r="O1125" s="30">
        <f>IFERROR((VLOOKUP($A1125,HeadJournal!$A$1:$L$890,COLUMN(HeadJournal!L$1),0)*($K1125+$L1125)/(SUMIF($A:$A,$A1125,$K:$K)+SUMIF($A:$A,$A1125,$L:$L)))/VLOOKUP($A1125,HeadJournal!$A$1:$L$890,COLUMN(HeadJournal!H$1),0),0)</f>
        <v>1.1054322401253749</v>
      </c>
      <c r="P1125" s="30">
        <f>IFERROR(SUM(K1125:O1125)*VLOOKUP($A1125,HeadJournal!$A$1:$L$890,COLUMN(HeadJournal!H$1),0),0)</f>
        <v>1208.6960578921319</v>
      </c>
      <c r="Q1125" s="29">
        <v>1800</v>
      </c>
      <c r="R1125" s="31">
        <v>45322</v>
      </c>
      <c r="S1125" s="31" t="s">
        <v>3121</v>
      </c>
      <c r="T1125" s="95" t="str">
        <f t="shared" si="90"/>
        <v>2024 01</v>
      </c>
      <c r="U1125" s="32">
        <f t="shared" si="87"/>
        <v>591.30394210786812</v>
      </c>
      <c r="V1125" s="22">
        <f t="shared" si="88"/>
        <v>0.48920813321676115</v>
      </c>
      <c r="X1125" s="33"/>
      <c r="Y1125" s="33"/>
    </row>
    <row r="1126" spans="1:25" x14ac:dyDescent="0.2">
      <c r="A1126" s="93" t="s">
        <v>495</v>
      </c>
      <c r="B1126" s="94" t="str">
        <f>IFERROR(VLOOKUP($A1126,HeadJournal!$A$1:$NTR$890,COLUMN(HeadJournal!B$1),0),"")</f>
        <v>710000630817</v>
      </c>
      <c r="C1126" s="94" t="str">
        <f>IFERROR(VLOOKUP($A1126,HeadJournal!$A$1:$NTR$890,COLUMN(HeadJournal!C$1),0),"")</f>
        <v>iHerb_AV CYG0792</v>
      </c>
      <c r="D1126" s="125" t="str">
        <f>IFERROR(VLOOKUP($A1126,HeadJournal!$A$1:$NTR$890,COLUMN(HeadJournal!D$1),0),"")</f>
        <v>Доставлен</v>
      </c>
      <c r="E1126" s="95">
        <f>IFERROR(VLOOKUP($A1126,HeadJournal!$A$1:$NTR$890,COLUMN(HeadJournal!G$1),0),"")</f>
        <v>44974</v>
      </c>
      <c r="F1126" s="95" t="str">
        <f t="shared" si="89"/>
        <v>2023 02</v>
      </c>
      <c r="G1126" s="96" t="s">
        <v>5</v>
      </c>
      <c r="H1126" s="160" t="str">
        <f>RIGHT(Journal!$J1126,9)</f>
        <v>NOW-01648</v>
      </c>
      <c r="I1126" s="96" t="str">
        <f t="shared" si="86"/>
        <v>NOW Foods</v>
      </c>
      <c r="J1126" s="97" t="s">
        <v>49</v>
      </c>
      <c r="K1126" s="29">
        <v>14.08</v>
      </c>
      <c r="L1126" s="29">
        <v>-1.41</v>
      </c>
      <c r="M1126" s="30">
        <f>IFERROR(VLOOKUP($A1126,HeadJournal!$A$1:$J$890,COLUMN(HeadJournal!I$1),0)*($K1126+$L1126)/(SUMIF($A:$A,$A1126,$K:$K)+SUMIF($A:$A,$A1126,$L:$L)),0)</f>
        <v>1.0676402770905491</v>
      </c>
      <c r="N1126" s="30">
        <f>IFERROR((VLOOKUP($A1126,HeadJournal!$A$1:$K$890,COLUMN(HeadJournal!K$1),0)-VLOOKUP($A1126,HeadJournal!$A$1:$K$890,COLUMN(HeadJournal!J$1),0))*($K1126+$L1126)/(SUMIF($A:$A,$A1126,$K:$K)+SUMIF($A:$A,$A1126,$L:$L)),0)</f>
        <v>-3.5636126519863303E-15</v>
      </c>
      <c r="O1126" s="30">
        <f>IFERROR((VLOOKUP($A1126,HeadJournal!$A$1:$L$890,COLUMN(HeadJournal!L$1),0)*($K1126+$L1126)/(SUMIF($A:$A,$A1126,$K:$K)+SUMIF($A:$A,$A1126,$L:$L)))/VLOOKUP($A1126,HeadJournal!$A$1:$L$890,COLUMN(HeadJournal!H$1),0),0)</f>
        <v>1.1054322401253749</v>
      </c>
      <c r="P1126" s="30">
        <f>IFERROR(SUM(K1126:O1126)*VLOOKUP($A1126,HeadJournal!$A$1:$L$890,COLUMN(HeadJournal!H$1),0),0)</f>
        <v>1208.6960578921319</v>
      </c>
      <c r="Q1126" s="29">
        <v>1800</v>
      </c>
      <c r="R1126" s="31">
        <v>45353</v>
      </c>
      <c r="S1126" s="31" t="s">
        <v>3121</v>
      </c>
      <c r="T1126" s="95" t="str">
        <f t="shared" si="90"/>
        <v>2024 03</v>
      </c>
      <c r="U1126" s="32">
        <f t="shared" si="87"/>
        <v>591.30394210786812</v>
      </c>
      <c r="V1126" s="22">
        <f t="shared" si="88"/>
        <v>0.48920813321676115</v>
      </c>
      <c r="X1126" s="33"/>
      <c r="Y1126" s="33"/>
    </row>
    <row r="1127" spans="1:25" x14ac:dyDescent="0.2">
      <c r="A1127" s="93" t="s">
        <v>495</v>
      </c>
      <c r="B1127" s="94" t="str">
        <f>IFERROR(VLOOKUP($A1127,HeadJournal!$A$1:$NTR$890,COLUMN(HeadJournal!B$1),0),"")</f>
        <v>710000630817</v>
      </c>
      <c r="C1127" s="94" t="str">
        <f>IFERROR(VLOOKUP($A1127,HeadJournal!$A$1:$NTR$890,COLUMN(HeadJournal!C$1),0),"")</f>
        <v>iHerb_AV CYG0792</v>
      </c>
      <c r="D1127" s="125" t="str">
        <f>IFERROR(VLOOKUP($A1127,HeadJournal!$A$1:$NTR$890,COLUMN(HeadJournal!D$1),0),"")</f>
        <v>Доставлен</v>
      </c>
      <c r="E1127" s="95">
        <f>IFERROR(VLOOKUP($A1127,HeadJournal!$A$1:$NTR$890,COLUMN(HeadJournal!G$1),0),"")</f>
        <v>44974</v>
      </c>
      <c r="F1127" s="95" t="str">
        <f t="shared" si="89"/>
        <v>2023 02</v>
      </c>
      <c r="G1127" s="96" t="s">
        <v>5</v>
      </c>
      <c r="H1127" s="161" t="s">
        <v>2948</v>
      </c>
      <c r="I1127" s="97" t="s">
        <v>2005</v>
      </c>
      <c r="J1127" s="97" t="s">
        <v>2949</v>
      </c>
      <c r="K1127" s="29">
        <v>25.63</v>
      </c>
      <c r="L1127" s="29">
        <v>-2.56</v>
      </c>
      <c r="M1127" s="30">
        <f>IFERROR(VLOOKUP($A1127,HeadJournal!$A$1:$J$890,COLUMN(HeadJournal!I$1),0)*($K1127+$L1127)/(SUMIF($A:$A,$A1127,$K:$K)+SUMIF($A:$A,$A1127,$L:$L)),0)</f>
        <v>1.9439985155863431</v>
      </c>
      <c r="N1127" s="30">
        <f>IFERROR((VLOOKUP($A1127,HeadJournal!$A$1:$K$890,COLUMN(HeadJournal!K$1),0)-VLOOKUP($A1127,HeadJournal!$A$1:$K$890,COLUMN(HeadJournal!J$1),0))*($K1127+$L1127)/(SUMIF($A:$A,$A1127,$K:$K)+SUMIF($A:$A,$A1127,$L:$L)),0)</f>
        <v>-6.4887564231511159E-15</v>
      </c>
      <c r="O1127" s="30">
        <f>IFERROR((VLOOKUP($A1127,HeadJournal!$A$1:$L$890,COLUMN(HeadJournal!L$1),0)*($K1127+$L1127)/(SUMIF($A:$A,$A1127,$K:$K)+SUMIF($A:$A,$A1127,$L:$L)))/VLOOKUP($A1127,HeadJournal!$A$1:$L$890,COLUMN(HeadJournal!H$1),0),0)</f>
        <v>2.0128115058952174</v>
      </c>
      <c r="P1127" s="30">
        <f>IFERROR(SUM(K1127:O1127)*VLOOKUP($A1127,HeadJournal!$A$1:$L$890,COLUMN(HeadJournal!H$1),0),0)</f>
        <v>2200.8380470064312</v>
      </c>
      <c r="Q1127" s="29">
        <v>3500</v>
      </c>
      <c r="R1127" s="31">
        <v>45009</v>
      </c>
      <c r="S1127" s="31" t="s">
        <v>3121</v>
      </c>
      <c r="T1127" s="95" t="str">
        <f t="shared" si="90"/>
        <v>2023 03</v>
      </c>
      <c r="U1127" s="32">
        <f t="shared" si="87"/>
        <v>1299.1619529935688</v>
      </c>
      <c r="V1127" s="22">
        <f t="shared" si="88"/>
        <v>0.59030329594705178</v>
      </c>
      <c r="X1127" s="33"/>
      <c r="Y1127" s="33"/>
    </row>
    <row r="1128" spans="1:25" x14ac:dyDescent="0.2">
      <c r="A1128" s="93" t="s">
        <v>495</v>
      </c>
      <c r="B1128" s="94" t="str">
        <f>IFERROR(VLOOKUP($A1128,HeadJournal!$A$1:$NTR$890,COLUMN(HeadJournal!B$1),0),"")</f>
        <v>710000630817</v>
      </c>
      <c r="C1128" s="94" t="str">
        <f>IFERROR(VLOOKUP($A1128,HeadJournal!$A$1:$NTR$890,COLUMN(HeadJournal!C$1),0),"")</f>
        <v>iHerb_AV CYG0792</v>
      </c>
      <c r="D1128" s="125" t="str">
        <f>IFERROR(VLOOKUP($A1128,HeadJournal!$A$1:$NTR$890,COLUMN(HeadJournal!D$1),0),"")</f>
        <v>Доставлен</v>
      </c>
      <c r="E1128" s="95">
        <f>IFERROR(VLOOKUP($A1128,HeadJournal!$A$1:$NTR$890,COLUMN(HeadJournal!G$1),0),"")</f>
        <v>44974</v>
      </c>
      <c r="F1128" s="95" t="str">
        <f t="shared" si="89"/>
        <v>2023 02</v>
      </c>
      <c r="G1128" s="96" t="s">
        <v>5</v>
      </c>
      <c r="H1128" s="160" t="str">
        <f>RIGHT(Journal!$J1128,9)</f>
        <v>NOB-27436</v>
      </c>
      <c r="I1128" s="96" t="str">
        <f t="shared" si="86"/>
        <v>Nobi Nutrition</v>
      </c>
      <c r="J1128" s="97" t="s">
        <v>500</v>
      </c>
      <c r="K1128" s="29">
        <v>19.68</v>
      </c>
      <c r="L1128" s="29">
        <v>-8.68</v>
      </c>
      <c r="M1128" s="30">
        <f>IFERROR(VLOOKUP($A1128,HeadJournal!$A$1:$J$890,COLUMN(HeadJournal!I$1),0)*($K1128+$L1128)/(SUMIF($A:$A,$A1128,$K:$K)+SUMIF($A:$A,$A1128,$L:$L)),0)</f>
        <v>0.92691736763978216</v>
      </c>
      <c r="N1128" s="30">
        <f>IFERROR((VLOOKUP($A1128,HeadJournal!$A$1:$K$890,COLUMN(HeadJournal!K$1),0)-VLOOKUP($A1128,HeadJournal!$A$1:$K$890,COLUMN(HeadJournal!J$1),0))*($K1128+$L1128)/(SUMIF($A:$A,$A1128,$K:$K)+SUMIF($A:$A,$A1128,$L:$L)),0)</f>
        <v>-3.0939020656550619E-15</v>
      </c>
      <c r="O1128" s="30">
        <f>IFERROR((VLOOKUP($A1128,HeadJournal!$A$1:$L$890,COLUMN(HeadJournal!L$1),0)*($K1128+$L1128)/(SUMIF($A:$A,$A1128,$K:$K)+SUMIF($A:$A,$A1128,$L:$L)))/VLOOKUP($A1128,HeadJournal!$A$1:$L$890,COLUMN(HeadJournal!H$1),0),0)</f>
        <v>0.95972806956425616</v>
      </c>
      <c r="P1128" s="30">
        <f>IFERROR(SUM(K1128:O1128)*VLOOKUP($A1128,HeadJournal!$A$1:$L$890,COLUMN(HeadJournal!H$1),0),0)</f>
        <v>1049.3809500247396</v>
      </c>
      <c r="Q1128" s="29">
        <v>2400</v>
      </c>
      <c r="R1128" s="31">
        <v>45012</v>
      </c>
      <c r="S1128" s="31" t="s">
        <v>3121</v>
      </c>
      <c r="T1128" s="95" t="str">
        <f t="shared" si="90"/>
        <v>2023 03</v>
      </c>
      <c r="U1128" s="32">
        <f t="shared" si="87"/>
        <v>1350.6190499752604</v>
      </c>
      <c r="V1128" s="22">
        <f t="shared" si="88"/>
        <v>1.2870626724674381</v>
      </c>
      <c r="X1128" s="33"/>
      <c r="Y1128" s="33"/>
    </row>
    <row r="1129" spans="1:25" x14ac:dyDescent="0.2">
      <c r="A1129" s="93" t="s">
        <v>501</v>
      </c>
      <c r="B1129" s="94" t="str">
        <f>IFERROR(VLOOKUP($A1129,HeadJournal!$A$1:$NTR$890,COLUMN(HeadJournal!B$1),0),"")</f>
        <v>710000646999</v>
      </c>
      <c r="C1129" s="94" t="str">
        <f>IFERROR(VLOOKUP($A1129,HeadJournal!$A$1:$NTR$890,COLUMN(HeadJournal!C$1),0),"")</f>
        <v>iHerb_VP DFD1605</v>
      </c>
      <c r="D1129" s="125" t="str">
        <f>IFERROR(VLOOKUP($A1129,HeadJournal!$A$1:$NTR$890,COLUMN(HeadJournal!D$1),0),"")</f>
        <v>Доставлен</v>
      </c>
      <c r="E1129" s="95">
        <f>IFERROR(VLOOKUP($A1129,HeadJournal!$A$1:$NTR$890,COLUMN(HeadJournal!G$1),0),"")</f>
        <v>44982</v>
      </c>
      <c r="F1129" s="95" t="str">
        <f t="shared" si="89"/>
        <v>2023 02</v>
      </c>
      <c r="G1129" s="96" t="s">
        <v>5</v>
      </c>
      <c r="H1129" s="160" t="str">
        <f>RIGHT(Journal!$J1129,9)</f>
        <v>NOW-00491</v>
      </c>
      <c r="I1129" s="96" t="str">
        <f t="shared" si="86"/>
        <v>NOW Foods</v>
      </c>
      <c r="J1129" s="97" t="s">
        <v>502</v>
      </c>
      <c r="K1129" s="29">
        <v>13.7</v>
      </c>
      <c r="L1129" s="29">
        <v>-2.06</v>
      </c>
      <c r="M1129" s="30">
        <f>IFERROR(VLOOKUP($A1129,HeadJournal!$A$1:$J$890,COLUMN(HeadJournal!I$1),0)*($K1129+$L1129)/(SUMIF($A:$A,$A1129,$K:$K)+SUMIF($A:$A,$A1129,$L:$L)),0)</f>
        <v>0.70993728841778148</v>
      </c>
      <c r="N1129" s="30">
        <f>IFERROR((VLOOKUP($A1129,HeadJournal!$A$1:$K$890,COLUMN(HeadJournal!K$1),0)-VLOOKUP($A1129,HeadJournal!$A$1:$K$890,COLUMN(HeadJournal!J$1),0))*($K1129+$L1129)/(SUMIF($A:$A,$A1129,$K:$K)+SUMIF($A:$A,$A1129,$L:$L)),0)</f>
        <v>3.6719984213319577E-15</v>
      </c>
      <c r="O1129" s="30">
        <f>IFERROR((VLOOKUP($A1129,HeadJournal!$A$1:$L$890,COLUMN(HeadJournal!L$1),0)*($K1129+$L1129)/(SUMIF($A:$A,$A1129,$K:$K)+SUMIF($A:$A,$A1129,$L:$L)))/VLOOKUP($A1129,HeadJournal!$A$1:$L$890,COLUMN(HeadJournal!H$1),0),0)</f>
        <v>1.0217017418371193</v>
      </c>
      <c r="P1129" s="30">
        <f>IFERROR(SUM(K1129:O1129)*VLOOKUP($A1129,HeadJournal!$A$1:$L$890,COLUMN(HeadJournal!H$1),0),0)</f>
        <v>1114.805674010767</v>
      </c>
      <c r="Q1129" s="29"/>
      <c r="R1129" s="31"/>
      <c r="S1129" s="31"/>
      <c r="T1129" s="95" t="str">
        <f t="shared" si="90"/>
        <v/>
      </c>
      <c r="U1129" s="32">
        <f t="shared" si="87"/>
        <v>-1114.805674010767</v>
      </c>
      <c r="V1129" s="22" t="str">
        <f t="shared" si="88"/>
        <v/>
      </c>
      <c r="X1129" s="33"/>
      <c r="Y1129" s="33"/>
    </row>
    <row r="1130" spans="1:25" x14ac:dyDescent="0.2">
      <c r="A1130" s="93" t="s">
        <v>501</v>
      </c>
      <c r="B1130" s="94" t="str">
        <f>IFERROR(VLOOKUP($A1130,HeadJournal!$A$1:$NTR$890,COLUMN(HeadJournal!B$1),0),"")</f>
        <v>710000646999</v>
      </c>
      <c r="C1130" s="94" t="str">
        <f>IFERROR(VLOOKUP($A1130,HeadJournal!$A$1:$NTR$890,COLUMN(HeadJournal!C$1),0),"")</f>
        <v>iHerb_VP DFD1605</v>
      </c>
      <c r="D1130" s="125" t="str">
        <f>IFERROR(VLOOKUP($A1130,HeadJournal!$A$1:$NTR$890,COLUMN(HeadJournal!D$1),0),"")</f>
        <v>Доставлен</v>
      </c>
      <c r="E1130" s="95">
        <f>IFERROR(VLOOKUP($A1130,HeadJournal!$A$1:$NTR$890,COLUMN(HeadJournal!G$1),0),"")</f>
        <v>44982</v>
      </c>
      <c r="F1130" s="95" t="str">
        <f t="shared" si="89"/>
        <v>2023 02</v>
      </c>
      <c r="G1130" s="96" t="s">
        <v>5</v>
      </c>
      <c r="H1130" s="161" t="s">
        <v>2087</v>
      </c>
      <c r="I1130" s="97" t="s">
        <v>2005</v>
      </c>
      <c r="J1130" s="97" t="s">
        <v>2088</v>
      </c>
      <c r="K1130" s="29">
        <v>19.05</v>
      </c>
      <c r="L1130" s="29">
        <v>-9.5299999999999994</v>
      </c>
      <c r="M1130" s="30">
        <f>IFERROR(VLOOKUP($A1130,HeadJournal!$A$1:$J$890,COLUMN(HeadJournal!I$1),0)*($K1130+$L1130)/(SUMIF($A:$A,$A1130,$K:$K)+SUMIF($A:$A,$A1130,$L:$L)),0)</f>
        <v>0.58063599533825438</v>
      </c>
      <c r="N1130" s="30">
        <f>IFERROR((VLOOKUP($A1130,HeadJournal!$A$1:$K$890,COLUMN(HeadJournal!K$1),0)-VLOOKUP($A1130,HeadJournal!$A$1:$K$890,COLUMN(HeadJournal!J$1),0))*($K1130+$L1130)/(SUMIF($A:$A,$A1130,$K:$K)+SUMIF($A:$A,$A1130,$L:$L)),0)</f>
        <v>3.0032152037010522E-15</v>
      </c>
      <c r="O1130" s="30">
        <f>IFERROR((VLOOKUP($A1130,HeadJournal!$A$1:$L$890,COLUMN(HeadJournal!L$1),0)*($K1130+$L1130)/(SUMIF($A:$A,$A1130,$K:$K)+SUMIF($A:$A,$A1130,$L:$L)))/VLOOKUP($A1130,HeadJournal!$A$1:$L$890,COLUMN(HeadJournal!H$1),0),0)</f>
        <v>0.8356186067258915</v>
      </c>
      <c r="P1130" s="30">
        <f>IFERROR(SUM(K1130:O1130)*VLOOKUP($A1130,HeadJournal!$A$1:$L$890,COLUMN(HeadJournal!H$1),0),0)</f>
        <v>911.76546534213946</v>
      </c>
      <c r="Q1130" s="29">
        <v>2500</v>
      </c>
      <c r="R1130" s="31">
        <v>45018</v>
      </c>
      <c r="S1130" s="31" t="s">
        <v>3121</v>
      </c>
      <c r="T1130" s="95" t="str">
        <f t="shared" si="90"/>
        <v>2023 04</v>
      </c>
      <c r="U1130" s="32">
        <f t="shared" si="87"/>
        <v>1588.2345346578604</v>
      </c>
      <c r="V1130" s="22">
        <f t="shared" si="88"/>
        <v>1.7419331999615453</v>
      </c>
      <c r="X1130" s="33"/>
      <c r="Y1130" s="33"/>
    </row>
    <row r="1131" spans="1:25" x14ac:dyDescent="0.2">
      <c r="A1131" s="93" t="s">
        <v>501</v>
      </c>
      <c r="B1131" s="94" t="str">
        <f>IFERROR(VLOOKUP($A1131,HeadJournal!$A$1:$NTR$890,COLUMN(HeadJournal!B$1),0),"")</f>
        <v>710000646999</v>
      </c>
      <c r="C1131" s="94" t="str">
        <f>IFERROR(VLOOKUP($A1131,HeadJournal!$A$1:$NTR$890,COLUMN(HeadJournal!C$1),0),"")</f>
        <v>iHerb_VP DFD1605</v>
      </c>
      <c r="D1131" s="125" t="str">
        <f>IFERROR(VLOOKUP($A1131,HeadJournal!$A$1:$NTR$890,COLUMN(HeadJournal!D$1),0),"")</f>
        <v>Доставлен</v>
      </c>
      <c r="E1131" s="95">
        <f>IFERROR(VLOOKUP($A1131,HeadJournal!$A$1:$NTR$890,COLUMN(HeadJournal!G$1),0),"")</f>
        <v>44982</v>
      </c>
      <c r="F1131" s="95" t="str">
        <f t="shared" si="89"/>
        <v>2023 02</v>
      </c>
      <c r="G1131" s="96" t="s">
        <v>5</v>
      </c>
      <c r="H1131" s="175" t="s">
        <v>3641</v>
      </c>
      <c r="I1131" s="176" t="s">
        <v>2681</v>
      </c>
      <c r="J1131" s="97" t="s">
        <v>3687</v>
      </c>
      <c r="K1131" s="29">
        <v>10.27</v>
      </c>
      <c r="L1131" s="29">
        <v>-1.54</v>
      </c>
      <c r="M1131" s="30">
        <f>IFERROR(VLOOKUP($A1131,HeadJournal!$A$1:$J$890,COLUMN(HeadJournal!I$1),0)*($K1131+$L1131)/(SUMIF($A:$A,$A1131,$K:$K)+SUMIF($A:$A,$A1131,$L:$L)),0)</f>
        <v>0.53245296631333616</v>
      </c>
      <c r="N1131" s="30">
        <f>IFERROR((VLOOKUP($A1131,HeadJournal!$A$1:$K$890,COLUMN(HeadJournal!K$1),0)-VLOOKUP($A1131,HeadJournal!$A$1:$K$890,COLUMN(HeadJournal!J$1),0))*($K1131+$L1131)/(SUMIF($A:$A,$A1131,$K:$K)+SUMIF($A:$A,$A1131,$L:$L)),0)</f>
        <v>2.7539988159989685E-15</v>
      </c>
      <c r="O1131" s="30">
        <f>IFERROR((VLOOKUP($A1131,HeadJournal!$A$1:$L$890,COLUMN(HeadJournal!L$1),0)*($K1131+$L1131)/(SUMIF($A:$A,$A1131,$K:$K)+SUMIF($A:$A,$A1131,$L:$L)))/VLOOKUP($A1131,HeadJournal!$A$1:$L$890,COLUMN(HeadJournal!H$1),0),0)</f>
        <v>0.7662763063778395</v>
      </c>
      <c r="P1131" s="30">
        <f>IFERROR(SUM(K1131:O1131)*VLOOKUP($A1131,HeadJournal!$A$1:$L$890,COLUMN(HeadJournal!H$1),0),0)</f>
        <v>836.10425550807543</v>
      </c>
      <c r="Q1131" s="29">
        <v>1600</v>
      </c>
      <c r="R1131" s="31">
        <v>45021</v>
      </c>
      <c r="S1131" s="31" t="s">
        <v>3121</v>
      </c>
      <c r="T1131" s="95" t="str">
        <f t="shared" si="90"/>
        <v>2023 04</v>
      </c>
      <c r="U1131" s="32">
        <f t="shared" si="87"/>
        <v>763.89574449192457</v>
      </c>
      <c r="V1131" s="22">
        <f t="shared" si="88"/>
        <v>0.91363695311863724</v>
      </c>
      <c r="X1131" s="33"/>
      <c r="Y1131" s="33"/>
    </row>
    <row r="1132" spans="1:25" x14ac:dyDescent="0.2">
      <c r="A1132" s="93" t="s">
        <v>501</v>
      </c>
      <c r="B1132" s="94" t="str">
        <f>IFERROR(VLOOKUP($A1132,HeadJournal!$A$1:$NTR$890,COLUMN(HeadJournal!B$1),0),"")</f>
        <v>710000646999</v>
      </c>
      <c r="C1132" s="94" t="str">
        <f>IFERROR(VLOOKUP($A1132,HeadJournal!$A$1:$NTR$890,COLUMN(HeadJournal!C$1),0),"")</f>
        <v>iHerb_VP DFD1605</v>
      </c>
      <c r="D1132" s="125" t="str">
        <f>IFERROR(VLOOKUP($A1132,HeadJournal!$A$1:$NTR$890,COLUMN(HeadJournal!D$1),0),"")</f>
        <v>Доставлен</v>
      </c>
      <c r="E1132" s="95">
        <f>IFERROR(VLOOKUP($A1132,HeadJournal!$A$1:$NTR$890,COLUMN(HeadJournal!G$1),0),"")</f>
        <v>44982</v>
      </c>
      <c r="F1132" s="95" t="str">
        <f t="shared" si="89"/>
        <v>2023 02</v>
      </c>
      <c r="G1132" s="96" t="s">
        <v>5</v>
      </c>
      <c r="H1132" s="160" t="str">
        <f>RIGHT(Journal!$J1132,9)</f>
        <v>NFS-04516</v>
      </c>
      <c r="I1132" s="96" t="str">
        <f t="shared" si="86"/>
        <v>Natural Factors</v>
      </c>
      <c r="J1132" s="97" t="s">
        <v>503</v>
      </c>
      <c r="K1132" s="29">
        <v>10.9</v>
      </c>
      <c r="L1132" s="29">
        <v>-1.64</v>
      </c>
      <c r="M1132" s="30">
        <f>IFERROR(VLOOKUP($A1132,HeadJournal!$A$1:$J$890,COLUMN(HeadJournal!I$1),0)*($K1132+$L1132)/(SUMIF($A:$A,$A1132,$K:$K)+SUMIF($A:$A,$A1132,$L:$L)),0)</f>
        <v>0.56477828958321785</v>
      </c>
      <c r="N1132" s="30">
        <f>IFERROR((VLOOKUP($A1132,HeadJournal!$A$1:$K$890,COLUMN(HeadJournal!K$1),0)-VLOOKUP($A1132,HeadJournal!$A$1:$K$890,COLUMN(HeadJournal!J$1),0))*($K1132+$L1132)/(SUMIF($A:$A,$A1132,$K:$K)+SUMIF($A:$A,$A1132,$L:$L)),0)</f>
        <v>2.9211946204066949E-15</v>
      </c>
      <c r="O1132" s="30">
        <f>IFERROR((VLOOKUP($A1132,HeadJournal!$A$1:$L$890,COLUMN(HeadJournal!L$1),0)*($K1132+$L1132)/(SUMIF($A:$A,$A1132,$K:$K)+SUMIF($A:$A,$A1132,$L:$L)))/VLOOKUP($A1132,HeadJournal!$A$1:$L$890,COLUMN(HeadJournal!H$1),0),0)</f>
        <v>0.81279709015564638</v>
      </c>
      <c r="P1132" s="30">
        <f>IFERROR(SUM(K1132:O1132)*VLOOKUP($A1132,HeadJournal!$A$1:$L$890,COLUMN(HeadJournal!H$1),0),0)</f>
        <v>886.86430767523234</v>
      </c>
      <c r="Q1132" s="29">
        <v>1900</v>
      </c>
      <c r="R1132" s="31">
        <v>45078</v>
      </c>
      <c r="S1132" s="31" t="s">
        <v>3121</v>
      </c>
      <c r="T1132" s="95" t="str">
        <f t="shared" si="90"/>
        <v>2023 06</v>
      </c>
      <c r="U1132" s="32">
        <f t="shared" si="87"/>
        <v>1013.1356923247677</v>
      </c>
      <c r="V1132" s="22">
        <f t="shared" si="88"/>
        <v>1.1423795991751373</v>
      </c>
      <c r="X1132" s="33"/>
      <c r="Y1132" s="33"/>
    </row>
    <row r="1133" spans="1:25" x14ac:dyDescent="0.2">
      <c r="A1133" s="93" t="s">
        <v>501</v>
      </c>
      <c r="B1133" s="94" t="str">
        <f>IFERROR(VLOOKUP($A1133,HeadJournal!$A$1:$NTR$890,COLUMN(HeadJournal!B$1),0),"")</f>
        <v>710000646999</v>
      </c>
      <c r="C1133" s="94" t="str">
        <f>IFERROR(VLOOKUP($A1133,HeadJournal!$A$1:$NTR$890,COLUMN(HeadJournal!C$1),0),"")</f>
        <v>iHerb_VP DFD1605</v>
      </c>
      <c r="D1133" s="125" t="str">
        <f>IFERROR(VLOOKUP($A1133,HeadJournal!$A$1:$NTR$890,COLUMN(HeadJournal!D$1),0),"")</f>
        <v>Доставлен</v>
      </c>
      <c r="E1133" s="95">
        <f>IFERROR(VLOOKUP($A1133,HeadJournal!$A$1:$NTR$890,COLUMN(HeadJournal!G$1),0),"")</f>
        <v>44982</v>
      </c>
      <c r="F1133" s="95" t="str">
        <f t="shared" si="89"/>
        <v>2023 02</v>
      </c>
      <c r="G1133" s="96" t="s">
        <v>5</v>
      </c>
      <c r="H1133" s="160" t="str">
        <f>RIGHT(Journal!$J1133,9)</f>
        <v>NTS-25554</v>
      </c>
      <c r="I1133" s="96" t="str">
        <f t="shared" si="86"/>
        <v>Nature's Secret</v>
      </c>
      <c r="J1133" s="97" t="s">
        <v>504</v>
      </c>
      <c r="K1133" s="29">
        <v>20.85</v>
      </c>
      <c r="L1133" s="29">
        <v>-4.17</v>
      </c>
      <c r="M1133" s="30">
        <f>IFERROR(VLOOKUP($A1133,HeadJournal!$A$1:$J$890,COLUMN(HeadJournal!I$1),0)*($K1133+$L1133)/(SUMIF($A:$A,$A1133,$K:$K)+SUMIF($A:$A,$A1133,$L:$L)),0)</f>
        <v>1.0173328153615631</v>
      </c>
      <c r="N1133" s="30">
        <f>IFERROR((VLOOKUP($A1133,HeadJournal!$A$1:$K$890,COLUMN(HeadJournal!K$1),0)-VLOOKUP($A1133,HeadJournal!$A$1:$K$890,COLUMN(HeadJournal!J$1),0))*($K1133+$L1133)/(SUMIF($A:$A,$A1133,$K:$K)+SUMIF($A:$A,$A1133,$L:$L)),0)</f>
        <v>5.2619358821148679E-15</v>
      </c>
      <c r="O1133" s="30">
        <f>IFERROR((VLOOKUP($A1133,HeadJournal!$A$1:$L$890,COLUMN(HeadJournal!L$1),0)*($K1133+$L1133)/(SUMIF($A:$A,$A1133,$K:$K)+SUMIF($A:$A,$A1133,$L:$L)))/VLOOKUP($A1133,HeadJournal!$A$1:$L$890,COLUMN(HeadJournal!H$1),0),0)</f>
        <v>1.4640880630449442</v>
      </c>
      <c r="P1133" s="30">
        <f>IFERROR(SUM(K1133:O1133)*VLOOKUP($A1133,HeadJournal!$A$1:$L$890,COLUMN(HeadJournal!H$1),0),0)</f>
        <v>1597.5050380154289</v>
      </c>
      <c r="Q1133" s="29"/>
      <c r="R1133" s="31"/>
      <c r="S1133" s="31"/>
      <c r="T1133" s="95" t="str">
        <f t="shared" si="90"/>
        <v/>
      </c>
      <c r="U1133" s="32">
        <f t="shared" si="87"/>
        <v>-1597.5050380154289</v>
      </c>
      <c r="V1133" s="22" t="str">
        <f t="shared" si="88"/>
        <v/>
      </c>
      <c r="X1133" s="33"/>
      <c r="Y1133" s="33"/>
    </row>
    <row r="1134" spans="1:25" x14ac:dyDescent="0.2">
      <c r="A1134" s="93" t="s">
        <v>501</v>
      </c>
      <c r="B1134" s="94" t="str">
        <f>IFERROR(VLOOKUP($A1134,HeadJournal!$A$1:$NTR$890,COLUMN(HeadJournal!B$1),0),"")</f>
        <v>710000646999</v>
      </c>
      <c r="C1134" s="94" t="str">
        <f>IFERROR(VLOOKUP($A1134,HeadJournal!$A$1:$NTR$890,COLUMN(HeadJournal!C$1),0),"")</f>
        <v>iHerb_VP DFD1605</v>
      </c>
      <c r="D1134" s="125" t="str">
        <f>IFERROR(VLOOKUP($A1134,HeadJournal!$A$1:$NTR$890,COLUMN(HeadJournal!D$1),0),"")</f>
        <v>Доставлен</v>
      </c>
      <c r="E1134" s="95">
        <f>IFERROR(VLOOKUP($A1134,HeadJournal!$A$1:$NTR$890,COLUMN(HeadJournal!G$1),0),"")</f>
        <v>44982</v>
      </c>
      <c r="F1134" s="95" t="str">
        <f t="shared" si="89"/>
        <v>2023 02</v>
      </c>
      <c r="G1134" s="96" t="s">
        <v>5</v>
      </c>
      <c r="H1134" s="160" t="str">
        <f>RIGHT(Journal!$J1134,9)</f>
        <v>FLI-55435</v>
      </c>
      <c r="I1134" s="96" t="str">
        <f t="shared" si="86"/>
        <v>Flintstones</v>
      </c>
      <c r="J1134" s="97" t="s">
        <v>505</v>
      </c>
      <c r="K1134" s="29">
        <v>22.14</v>
      </c>
      <c r="L1134" s="29">
        <v>-4.43</v>
      </c>
      <c r="M1134" s="30">
        <f>IFERROR(VLOOKUP($A1134,HeadJournal!$A$1:$J$890,COLUMN(HeadJournal!I$1),0)*($K1134+$L1134)/(SUMIF($A:$A,$A1134,$K:$K)+SUMIF($A:$A,$A1134,$L:$L)),0)</f>
        <v>1.0801537266218995</v>
      </c>
      <c r="N1134" s="30">
        <f>IFERROR((VLOOKUP($A1134,HeadJournal!$A$1:$K$890,COLUMN(HeadJournal!K$1),0)-VLOOKUP($A1134,HeadJournal!$A$1:$K$890,COLUMN(HeadJournal!J$1),0))*($K1134+$L1134)/(SUMIF($A:$A,$A1134,$K:$K)+SUMIF($A:$A,$A1134,$L:$L)),0)</f>
        <v>5.5868635774732797E-15</v>
      </c>
      <c r="O1134" s="30">
        <f>IFERROR((VLOOKUP($A1134,HeadJournal!$A$1:$L$890,COLUMN(HeadJournal!L$1),0)*($K1134+$L1134)/(SUMIF($A:$A,$A1134,$K:$K)+SUMIF($A:$A,$A1134,$L:$L)))/VLOOKUP($A1134,HeadJournal!$A$1:$L$890,COLUMN(HeadJournal!H$1),0),0)</f>
        <v>1.554496378688607</v>
      </c>
      <c r="P1134" s="30">
        <f>IFERROR(SUM(K1134:O1134)*VLOOKUP($A1134,HeadJournal!$A$1:$L$890,COLUMN(HeadJournal!H$1),0),0)</f>
        <v>1696.1519318497153</v>
      </c>
      <c r="Q1134" s="29">
        <v>2800</v>
      </c>
      <c r="R1134" s="31">
        <v>45194</v>
      </c>
      <c r="S1134" s="31" t="s">
        <v>3121</v>
      </c>
      <c r="T1134" s="95" t="str">
        <f t="shared" si="90"/>
        <v>2023 09</v>
      </c>
      <c r="U1134" s="32">
        <f t="shared" si="87"/>
        <v>1103.8480681502847</v>
      </c>
      <c r="V1134" s="22">
        <f t="shared" si="88"/>
        <v>0.65079551390570201</v>
      </c>
      <c r="X1134" s="33"/>
      <c r="Y1134" s="33"/>
    </row>
    <row r="1135" spans="1:25" x14ac:dyDescent="0.2">
      <c r="A1135" s="93" t="s">
        <v>501</v>
      </c>
      <c r="B1135" s="94" t="str">
        <f>IFERROR(VLOOKUP($A1135,HeadJournal!$A$1:$NTR$890,COLUMN(HeadJournal!B$1),0),"")</f>
        <v>710000646999</v>
      </c>
      <c r="C1135" s="94" t="str">
        <f>IFERROR(VLOOKUP($A1135,HeadJournal!$A$1:$NTR$890,COLUMN(HeadJournal!C$1),0),"")</f>
        <v>iHerb_VP DFD1605</v>
      </c>
      <c r="D1135" s="125" t="str">
        <f>IFERROR(VLOOKUP($A1135,HeadJournal!$A$1:$NTR$890,COLUMN(HeadJournal!D$1),0),"")</f>
        <v>Доставлен</v>
      </c>
      <c r="E1135" s="95">
        <f>IFERROR(VLOOKUP($A1135,HeadJournal!$A$1:$NTR$890,COLUMN(HeadJournal!G$1),0),"")</f>
        <v>44982</v>
      </c>
      <c r="F1135" s="95" t="str">
        <f t="shared" si="89"/>
        <v>2023 02</v>
      </c>
      <c r="G1135" s="96" t="s">
        <v>5</v>
      </c>
      <c r="H1135" s="161" t="s">
        <v>2225</v>
      </c>
      <c r="I1135" s="97" t="s">
        <v>2226</v>
      </c>
      <c r="J1135" s="97" t="s">
        <v>2227</v>
      </c>
      <c r="K1135" s="29">
        <v>19.46</v>
      </c>
      <c r="L1135" s="29">
        <v>-3.89</v>
      </c>
      <c r="M1135" s="30">
        <f>IFERROR(VLOOKUP($A1135,HeadJournal!$A$1:$J$890,COLUMN(HeadJournal!I$1),0)*($K1135+$L1135)/(SUMIF($A:$A,$A1135,$K:$K)+SUMIF($A:$A,$A1135,$L:$L)),0)</f>
        <v>0.94963261002275412</v>
      </c>
      <c r="N1135" s="30">
        <f>IFERROR((VLOOKUP($A1135,HeadJournal!$A$1:$K$890,COLUMN(HeadJournal!K$1),0)-VLOOKUP($A1135,HeadJournal!$A$1:$K$890,COLUMN(HeadJournal!J$1),0))*($K1135+$L1135)/(SUMIF($A:$A,$A1135,$K:$K)+SUMIF($A:$A,$A1135,$L:$L)),0)</f>
        <v>4.9117710842043458E-15</v>
      </c>
      <c r="O1135" s="30">
        <f>IFERROR((VLOOKUP($A1135,HeadJournal!$A$1:$L$890,COLUMN(HeadJournal!L$1),0)*($K1135+$L1135)/(SUMIF($A:$A,$A1135,$K:$K)+SUMIF($A:$A,$A1135,$L:$L)))/VLOOKUP($A1135,HeadJournal!$A$1:$L$890,COLUMN(HeadJournal!H$1),0),0)</f>
        <v>1.3666577423027446</v>
      </c>
      <c r="P1135" s="30">
        <f>IFERROR(SUM(K1135:O1135)*VLOOKUP($A1135,HeadJournal!$A$1:$L$890,COLUMN(HeadJournal!H$1),0),0)</f>
        <v>1491.1962495144023</v>
      </c>
      <c r="Q1135" s="29">
        <v>3000</v>
      </c>
      <c r="R1135" s="31">
        <v>45041</v>
      </c>
      <c r="S1135" s="31" t="s">
        <v>3121</v>
      </c>
      <c r="T1135" s="95" t="str">
        <f t="shared" si="90"/>
        <v>2023 04</v>
      </c>
      <c r="U1135" s="32">
        <f t="shared" si="87"/>
        <v>1508.8037504855977</v>
      </c>
      <c r="V1135" s="22">
        <f t="shared" si="88"/>
        <v>1.0118076349621514</v>
      </c>
      <c r="X1135" s="33"/>
      <c r="Y1135" s="33"/>
    </row>
    <row r="1136" spans="1:25" x14ac:dyDescent="0.2">
      <c r="A1136" s="93" t="s">
        <v>501</v>
      </c>
      <c r="B1136" s="94" t="str">
        <f>IFERROR(VLOOKUP($A1136,HeadJournal!$A$1:$NTR$890,COLUMN(HeadJournal!B$1),0),"")</f>
        <v>710000646999</v>
      </c>
      <c r="C1136" s="94" t="str">
        <f>IFERROR(VLOOKUP($A1136,HeadJournal!$A$1:$NTR$890,COLUMN(HeadJournal!C$1),0),"")</f>
        <v>iHerb_VP DFD1605</v>
      </c>
      <c r="D1136" s="125" t="str">
        <f>IFERROR(VLOOKUP($A1136,HeadJournal!$A$1:$NTR$890,COLUMN(HeadJournal!D$1),0),"")</f>
        <v>Доставлен</v>
      </c>
      <c r="E1136" s="95">
        <f>IFERROR(VLOOKUP($A1136,HeadJournal!$A$1:$NTR$890,COLUMN(HeadJournal!G$1),0),"")</f>
        <v>44982</v>
      </c>
      <c r="F1136" s="95" t="str">
        <f t="shared" si="89"/>
        <v>2023 02</v>
      </c>
      <c r="G1136" s="96" t="s">
        <v>5</v>
      </c>
      <c r="H1136" s="160" t="str">
        <f>RIGHT(Journal!$J1136,9)</f>
        <v>IRW-26529</v>
      </c>
      <c r="I1136" s="96" t="str">
        <f t="shared" si="86"/>
        <v>Applied Nutrition</v>
      </c>
      <c r="J1136" s="97" t="s">
        <v>506</v>
      </c>
      <c r="K1136" s="29">
        <v>20.32</v>
      </c>
      <c r="L1136" s="29">
        <v>-4.0599999999999996</v>
      </c>
      <c r="M1136" s="30">
        <f>IFERROR(VLOOKUP($A1136,HeadJournal!$A$1:$J$890,COLUMN(HeadJournal!I$1),0)*($K1136+$L1136)/(SUMIF($A:$A,$A1136,$K:$K)+SUMIF($A:$A,$A1136,$L:$L)),0)</f>
        <v>0.99171652144958145</v>
      </c>
      <c r="N1136" s="30">
        <f>IFERROR((VLOOKUP($A1136,HeadJournal!$A$1:$K$890,COLUMN(HeadJournal!K$1),0)-VLOOKUP($A1136,HeadJournal!$A$1:$K$890,COLUMN(HeadJournal!J$1),0))*($K1136+$L1136)/(SUMIF($A:$A,$A1136,$K:$K)+SUMIF($A:$A,$A1136,$L:$L)),0)</f>
        <v>5.129441093716292E-15</v>
      </c>
      <c r="O1136" s="30">
        <f>IFERROR((VLOOKUP($A1136,HeadJournal!$A$1:$L$890,COLUMN(HeadJournal!L$1),0)*($K1136+$L1136)/(SUMIF($A:$A,$A1136,$K:$K)+SUMIF($A:$A,$A1136,$L:$L)))/VLOOKUP($A1136,HeadJournal!$A$1:$L$890,COLUMN(HeadJournal!H$1),0),0)</f>
        <v>1.4272225362776256</v>
      </c>
      <c r="P1136" s="30">
        <f>IFERROR(SUM(K1136:O1136)*VLOOKUP($A1136,HeadJournal!$A$1:$L$890,COLUMN(HeadJournal!H$1),0),0)</f>
        <v>1557.2800910150406</v>
      </c>
      <c r="Q1136" s="29">
        <v>2600</v>
      </c>
      <c r="R1136" s="31">
        <v>45083</v>
      </c>
      <c r="S1136" s="31" t="s">
        <v>3121</v>
      </c>
      <c r="T1136" s="95" t="str">
        <f t="shared" si="90"/>
        <v>2023 06</v>
      </c>
      <c r="U1136" s="32">
        <f t="shared" si="87"/>
        <v>1042.7199089849594</v>
      </c>
      <c r="V1136" s="22">
        <f t="shared" si="88"/>
        <v>0.66957762768630202</v>
      </c>
      <c r="X1136" s="33"/>
      <c r="Y1136" s="33"/>
    </row>
    <row r="1137" spans="1:25" x14ac:dyDescent="0.2">
      <c r="A1137" s="93" t="s">
        <v>501</v>
      </c>
      <c r="B1137" s="94" t="str">
        <f>IFERROR(VLOOKUP($A1137,HeadJournal!$A$1:$NTR$890,COLUMN(HeadJournal!B$1),0),"")</f>
        <v>710000646999</v>
      </c>
      <c r="C1137" s="94" t="str">
        <f>IFERROR(VLOOKUP($A1137,HeadJournal!$A$1:$NTR$890,COLUMN(HeadJournal!C$1),0),"")</f>
        <v>iHerb_VP DFD1605</v>
      </c>
      <c r="D1137" s="125" t="str">
        <f>IFERROR(VLOOKUP($A1137,HeadJournal!$A$1:$NTR$890,COLUMN(HeadJournal!D$1),0),"")</f>
        <v>Доставлен</v>
      </c>
      <c r="E1137" s="95">
        <f>IFERROR(VLOOKUP($A1137,HeadJournal!$A$1:$NTR$890,COLUMN(HeadJournal!G$1),0),"")</f>
        <v>44982</v>
      </c>
      <c r="F1137" s="95" t="str">
        <f t="shared" si="89"/>
        <v>2023 02</v>
      </c>
      <c r="G1137" s="96" t="s">
        <v>5</v>
      </c>
      <c r="H1137" s="160" t="str">
        <f>RIGHT(Journal!$J1137,9)</f>
        <v>FLI-53728</v>
      </c>
      <c r="I1137" s="96" t="str">
        <f t="shared" si="86"/>
        <v>Flintstones</v>
      </c>
      <c r="J1137" s="97" t="s">
        <v>507</v>
      </c>
      <c r="K1137" s="29">
        <v>21.9</v>
      </c>
      <c r="L1137" s="29">
        <v>-4.38</v>
      </c>
      <c r="M1137" s="30">
        <f>IFERROR(VLOOKUP($A1137,HeadJournal!$A$1:$J$890,COLUMN(HeadJournal!I$1),0)*($K1137+$L1137)/(SUMIF($A:$A,$A1137,$K:$K)+SUMIF($A:$A,$A1137,$L:$L)),0)</f>
        <v>1.0685654031855267</v>
      </c>
      <c r="N1137" s="30">
        <f>IFERROR((VLOOKUP($A1137,HeadJournal!$A$1:$K$890,COLUMN(HeadJournal!K$1),0)-VLOOKUP($A1137,HeadJournal!$A$1:$K$890,COLUMN(HeadJournal!J$1),0))*($K1137+$L1137)/(SUMIF($A:$A,$A1137,$K:$K)+SUMIF($A:$A,$A1137,$L:$L)),0)</f>
        <v>5.5269254589120189E-15</v>
      </c>
      <c r="O1137" s="30">
        <f>IFERROR((VLOOKUP($A1137,HeadJournal!$A$1:$L$890,COLUMN(HeadJournal!L$1),0)*($K1137+$L1137)/(SUMIF($A:$A,$A1137,$K:$K)+SUMIF($A:$A,$A1137,$L:$L)))/VLOOKUP($A1137,HeadJournal!$A$1:$L$890,COLUMN(HeadJournal!H$1),0),0)</f>
        <v>1.5378191165795816</v>
      </c>
      <c r="P1137" s="30">
        <f>IFERROR(SUM(K1137:O1137)*VLOOKUP($A1137,HeadJournal!$A$1:$L$890,COLUMN(HeadJournal!H$1),0),0)</f>
        <v>1677.9549320162062</v>
      </c>
      <c r="Q1137" s="29">
        <v>2700</v>
      </c>
      <c r="R1137" s="31">
        <v>45216</v>
      </c>
      <c r="S1137" s="31" t="s">
        <v>3121</v>
      </c>
      <c r="T1137" s="95" t="str">
        <f t="shared" si="90"/>
        <v>2023 10</v>
      </c>
      <c r="U1137" s="32">
        <f t="shared" si="87"/>
        <v>1022.0450679837938</v>
      </c>
      <c r="V1137" s="22">
        <f t="shared" si="88"/>
        <v>0.60910162036099469</v>
      </c>
      <c r="X1137" s="33"/>
      <c r="Y1137" s="33"/>
    </row>
    <row r="1138" spans="1:25" x14ac:dyDescent="0.2">
      <c r="A1138" s="93" t="s">
        <v>501</v>
      </c>
      <c r="B1138" s="94" t="str">
        <f>IFERROR(VLOOKUP($A1138,HeadJournal!$A$1:$NTR$890,COLUMN(HeadJournal!B$1),0),"")</f>
        <v>710000646999</v>
      </c>
      <c r="C1138" s="94" t="str">
        <f>IFERROR(VLOOKUP($A1138,HeadJournal!$A$1:$NTR$890,COLUMN(HeadJournal!C$1),0),"")</f>
        <v>iHerb_VP DFD1605</v>
      </c>
      <c r="D1138" s="125" t="str">
        <f>IFERROR(VLOOKUP($A1138,HeadJournal!$A$1:$NTR$890,COLUMN(HeadJournal!D$1),0),"")</f>
        <v>Доставлен</v>
      </c>
      <c r="E1138" s="95">
        <f>IFERROR(VLOOKUP($A1138,HeadJournal!$A$1:$NTR$890,COLUMN(HeadJournal!G$1),0),"")</f>
        <v>44982</v>
      </c>
      <c r="F1138" s="95" t="str">
        <f t="shared" si="89"/>
        <v>2023 02</v>
      </c>
      <c r="G1138" s="96" t="s">
        <v>5</v>
      </c>
      <c r="H1138" s="160" t="str">
        <f>RIGHT(Journal!$J1138,9)</f>
        <v>EVL-02434</v>
      </c>
      <c r="I1138" s="96" t="str">
        <f t="shared" si="86"/>
        <v>EVLution Nutrition</v>
      </c>
      <c r="J1138" s="97" t="s">
        <v>508</v>
      </c>
      <c r="K1138" s="29">
        <v>5.73</v>
      </c>
      <c r="L1138" s="29">
        <v>-1.1499999999999999</v>
      </c>
      <c r="M1138" s="30">
        <f>IFERROR(VLOOKUP($A1138,HeadJournal!$A$1:$J$890,COLUMN(HeadJournal!I$1),0)*($K1138+$L1138)/(SUMIF($A:$A,$A1138,$K:$K)+SUMIF($A:$A,$A1138,$L:$L)),0)</f>
        <v>0.27933958599256353</v>
      </c>
      <c r="N1138" s="30">
        <f>IFERROR((VLOOKUP($A1138,HeadJournal!$A$1:$K$890,COLUMN(HeadJournal!K$1),0)-VLOOKUP($A1138,HeadJournal!$A$1:$K$890,COLUMN(HeadJournal!J$1),0))*($K1138+$L1138)/(SUMIF($A:$A,$A1138,$K:$K)+SUMIF($A:$A,$A1138,$L:$L)),0)</f>
        <v>1.4448241211082791E-15</v>
      </c>
      <c r="O1138" s="30">
        <f>IFERROR((VLOOKUP($A1138,HeadJournal!$A$1:$L$890,COLUMN(HeadJournal!L$1),0)*($K1138+$L1138)/(SUMIF($A:$A,$A1138,$K:$K)+SUMIF($A:$A,$A1138,$L:$L)))/VLOOKUP($A1138,HeadJournal!$A$1:$L$890,COLUMN(HeadJournal!H$1),0),0)</f>
        <v>0.4020097918912377</v>
      </c>
      <c r="P1138" s="30">
        <f>IFERROR(SUM(K1138:O1138)*VLOOKUP($A1138,HeadJournal!$A$1:$L$890,COLUMN(HeadJournal!H$1),0),0)</f>
        <v>438.64346967090319</v>
      </c>
      <c r="Q1138" s="29">
        <v>1500</v>
      </c>
      <c r="R1138" s="31">
        <v>45251</v>
      </c>
      <c r="S1138" s="31" t="s">
        <v>3121</v>
      </c>
      <c r="T1138" s="95" t="str">
        <f t="shared" si="90"/>
        <v>2023 11</v>
      </c>
      <c r="U1138" s="32">
        <f t="shared" si="87"/>
        <v>1061.3565303290968</v>
      </c>
      <c r="V1138" s="22">
        <f t="shared" si="88"/>
        <v>2.419633720126714</v>
      </c>
      <c r="X1138" s="33"/>
      <c r="Y1138" s="33"/>
    </row>
    <row r="1139" spans="1:25" x14ac:dyDescent="0.2">
      <c r="A1139" s="93" t="s">
        <v>501</v>
      </c>
      <c r="B1139" s="94" t="str">
        <f>IFERROR(VLOOKUP($A1139,HeadJournal!$A$1:$NTR$890,COLUMN(HeadJournal!B$1),0),"")</f>
        <v>710000646999</v>
      </c>
      <c r="C1139" s="94" t="str">
        <f>IFERROR(VLOOKUP($A1139,HeadJournal!$A$1:$NTR$890,COLUMN(HeadJournal!C$1),0),"")</f>
        <v>iHerb_VP DFD1605</v>
      </c>
      <c r="D1139" s="125" t="str">
        <f>IFERROR(VLOOKUP($A1139,HeadJournal!$A$1:$NTR$890,COLUMN(HeadJournal!D$1),0),"")</f>
        <v>Доставлен</v>
      </c>
      <c r="E1139" s="95">
        <f>IFERROR(VLOOKUP($A1139,HeadJournal!$A$1:$NTR$890,COLUMN(HeadJournal!G$1),0),"")</f>
        <v>44982</v>
      </c>
      <c r="F1139" s="95" t="str">
        <f t="shared" si="89"/>
        <v>2023 02</v>
      </c>
      <c r="G1139" s="96" t="s">
        <v>5</v>
      </c>
      <c r="H1139" s="161" t="s">
        <v>2588</v>
      </c>
      <c r="I1139" s="97" t="s">
        <v>2005</v>
      </c>
      <c r="J1139" s="97" t="s">
        <v>2589</v>
      </c>
      <c r="K1139" s="29">
        <v>9.42</v>
      </c>
      <c r="L1139" s="29">
        <v>-1.415</v>
      </c>
      <c r="M1139" s="30">
        <f>IFERROR(VLOOKUP($A1139,HeadJournal!$A$1:$J$890,COLUMN(HeadJournal!I$1),0)*($K1139+$L1139)/(SUMIF($A:$A,$A1139,$K:$K)+SUMIF($A:$A,$A1139,$L:$L)),0)</f>
        <v>0.48823436372717699</v>
      </c>
      <c r="N1139" s="30">
        <f>IFERROR((VLOOKUP($A1139,HeadJournal!$A$1:$K$890,COLUMN(HeadJournal!K$1),0)-VLOOKUP($A1139,HeadJournal!$A$1:$K$890,COLUMN(HeadJournal!J$1),0))*($K1139+$L1139)/(SUMIF($A:$A,$A1139,$K:$K)+SUMIF($A:$A,$A1139,$L:$L)),0)</f>
        <v>2.5252875741204742E-15</v>
      </c>
      <c r="O1139" s="30">
        <f>IFERROR((VLOOKUP($A1139,HeadJournal!$A$1:$L$890,COLUMN(HeadJournal!L$1),0)*($K1139+$L1139)/(SUMIF($A:$A,$A1139,$K:$K)+SUMIF($A:$A,$A1139,$L:$L)))/VLOOKUP($A1139,HeadJournal!$A$1:$L$890,COLUMN(HeadJournal!H$1),0),0)</f>
        <v>0.70263938517234881</v>
      </c>
      <c r="P1139" s="30">
        <f>IFERROR(SUM(K1139:O1139)*VLOOKUP($A1139,HeadJournal!$A$1:$L$890,COLUMN(HeadJournal!H$1),0),0)</f>
        <v>766.66833509073786</v>
      </c>
      <c r="Q1139" s="29">
        <v>1500</v>
      </c>
      <c r="R1139" s="31">
        <v>45014</v>
      </c>
      <c r="S1139" s="31" t="s">
        <v>3121</v>
      </c>
      <c r="T1139" s="95" t="str">
        <f t="shared" si="90"/>
        <v>2023 03</v>
      </c>
      <c r="U1139" s="32">
        <f t="shared" si="87"/>
        <v>733.33166490926214</v>
      </c>
      <c r="V1139" s="22">
        <f t="shared" si="88"/>
        <v>0.95651748134670234</v>
      </c>
      <c r="X1139" s="33"/>
      <c r="Y1139" s="33"/>
    </row>
    <row r="1140" spans="1:25" x14ac:dyDescent="0.2">
      <c r="A1140" s="93" t="s">
        <v>501</v>
      </c>
      <c r="B1140" s="94" t="str">
        <f>IFERROR(VLOOKUP($A1140,HeadJournal!$A$1:$NTR$890,COLUMN(HeadJournal!B$1),0),"")</f>
        <v>710000646999</v>
      </c>
      <c r="C1140" s="94" t="str">
        <f>IFERROR(VLOOKUP($A1140,HeadJournal!$A$1:$NTR$890,COLUMN(HeadJournal!C$1),0),"")</f>
        <v>iHerb_VP DFD1605</v>
      </c>
      <c r="D1140" s="125" t="str">
        <f>IFERROR(VLOOKUP($A1140,HeadJournal!$A$1:$NTR$890,COLUMN(HeadJournal!D$1),0),"")</f>
        <v>Доставлен</v>
      </c>
      <c r="E1140" s="95">
        <f>IFERROR(VLOOKUP($A1140,HeadJournal!$A$1:$NTR$890,COLUMN(HeadJournal!G$1),0),"")</f>
        <v>44982</v>
      </c>
      <c r="F1140" s="95" t="str">
        <f t="shared" si="89"/>
        <v>2023 02</v>
      </c>
      <c r="G1140" s="96" t="s">
        <v>5</v>
      </c>
      <c r="H1140" s="161" t="s">
        <v>2588</v>
      </c>
      <c r="I1140" s="97" t="s">
        <v>2005</v>
      </c>
      <c r="J1140" s="97" t="s">
        <v>2589</v>
      </c>
      <c r="K1140" s="29">
        <v>9.42</v>
      </c>
      <c r="L1140" s="29">
        <v>-1.415</v>
      </c>
      <c r="M1140" s="30">
        <f>IFERROR(VLOOKUP($A1140,HeadJournal!$A$1:$J$890,COLUMN(HeadJournal!I$1),0)*($K1140+$L1140)/(SUMIF($A:$A,$A1140,$K:$K)+SUMIF($A:$A,$A1140,$L:$L)),0)</f>
        <v>0.48823436372717699</v>
      </c>
      <c r="N1140" s="30">
        <f>IFERROR((VLOOKUP($A1140,HeadJournal!$A$1:$K$890,COLUMN(HeadJournal!K$1),0)-VLOOKUP($A1140,HeadJournal!$A$1:$K$890,COLUMN(HeadJournal!J$1),0))*($K1140+$L1140)/(SUMIF($A:$A,$A1140,$K:$K)+SUMIF($A:$A,$A1140,$L:$L)),0)</f>
        <v>2.5252875741204742E-15</v>
      </c>
      <c r="O1140" s="30">
        <f>IFERROR((VLOOKUP($A1140,HeadJournal!$A$1:$L$890,COLUMN(HeadJournal!L$1),0)*($K1140+$L1140)/(SUMIF($A:$A,$A1140,$K:$K)+SUMIF($A:$A,$A1140,$L:$L)))/VLOOKUP($A1140,HeadJournal!$A$1:$L$890,COLUMN(HeadJournal!H$1),0),0)</f>
        <v>0.70263938517234881</v>
      </c>
      <c r="P1140" s="30">
        <f>IFERROR(SUM(K1140:O1140)*VLOOKUP($A1140,HeadJournal!$A$1:$L$890,COLUMN(HeadJournal!H$1),0),0)</f>
        <v>766.66833509073786</v>
      </c>
      <c r="Q1140" s="29">
        <v>1600</v>
      </c>
      <c r="R1140" s="31">
        <v>45137</v>
      </c>
      <c r="S1140" s="31" t="s">
        <v>3121</v>
      </c>
      <c r="T1140" s="95" t="str">
        <f t="shared" si="90"/>
        <v>2023 07</v>
      </c>
      <c r="U1140" s="32">
        <f t="shared" si="87"/>
        <v>833.33166490926214</v>
      </c>
      <c r="V1140" s="22">
        <f t="shared" si="88"/>
        <v>1.0869519801031491</v>
      </c>
      <c r="X1140" s="33"/>
      <c r="Y1140" s="33"/>
    </row>
    <row r="1141" spans="1:25" x14ac:dyDescent="0.2">
      <c r="A1141" s="93" t="s">
        <v>501</v>
      </c>
      <c r="B1141" s="94" t="str">
        <f>IFERROR(VLOOKUP($A1141,HeadJournal!$A$1:$NTR$890,COLUMN(HeadJournal!B$1),0),"")</f>
        <v>710000646999</v>
      </c>
      <c r="C1141" s="94" t="str">
        <f>IFERROR(VLOOKUP($A1141,HeadJournal!$A$1:$NTR$890,COLUMN(HeadJournal!C$1),0),"")</f>
        <v>iHerb_VP DFD1605</v>
      </c>
      <c r="D1141" s="125" t="str">
        <f>IFERROR(VLOOKUP($A1141,HeadJournal!$A$1:$NTR$890,COLUMN(HeadJournal!D$1),0),"")</f>
        <v>Доставлен</v>
      </c>
      <c r="E1141" s="95">
        <f>IFERROR(VLOOKUP($A1141,HeadJournal!$A$1:$NTR$890,COLUMN(HeadJournal!G$1),0),"")</f>
        <v>44982</v>
      </c>
      <c r="F1141" s="95" t="str">
        <f t="shared" si="89"/>
        <v>2023 02</v>
      </c>
      <c r="G1141" s="96" t="s">
        <v>5</v>
      </c>
      <c r="H1141" s="161" t="s">
        <v>2089</v>
      </c>
      <c r="I1141" s="97" t="s">
        <v>2005</v>
      </c>
      <c r="J1141" s="97" t="s">
        <v>3781</v>
      </c>
      <c r="K1141" s="29">
        <v>19.72</v>
      </c>
      <c r="L1141" s="29">
        <v>-2.96</v>
      </c>
      <c r="M1141" s="30">
        <f>IFERROR(VLOOKUP($A1141,HeadJournal!$A$1:$J$890,COLUMN(HeadJournal!I$1),0)*($K1141+$L1141)/(SUMIF($A:$A,$A1141,$K:$K)+SUMIF($A:$A,$A1141,$L:$L)),0)</f>
        <v>1.0222121094400358</v>
      </c>
      <c r="N1141" s="30">
        <f>IFERROR((VLOOKUP($A1141,HeadJournal!$A$1:$K$890,COLUMN(HeadJournal!K$1),0)-VLOOKUP($A1141,HeadJournal!$A$1:$K$890,COLUMN(HeadJournal!J$1),0))*($K1141+$L1141)/(SUMIF($A:$A,$A1141,$K:$K)+SUMIF($A:$A,$A1141,$L:$L)),0)</f>
        <v>5.2871729846669766E-15</v>
      </c>
      <c r="O1141" s="30">
        <f>IFERROR((VLOOKUP($A1141,HeadJournal!$A$1:$L$890,COLUMN(HeadJournal!L$1),0)*($K1141+$L1141)/(SUMIF($A:$A,$A1141,$K:$K)+SUMIF($A:$A,$A1141,$L:$L)))/VLOOKUP($A1141,HeadJournal!$A$1:$L$890,COLUMN(HeadJournal!H$1),0),0)</f>
        <v>1.4711100681434808</v>
      </c>
      <c r="P1141" s="30">
        <f>IFERROR(SUM(K1141:O1141)*VLOOKUP($A1141,HeadJournal!$A$1:$L$890,COLUMN(HeadJournal!H$1),0),0)</f>
        <v>1605.1669326821695</v>
      </c>
      <c r="Q1141" s="29">
        <v>2800</v>
      </c>
      <c r="R1141" s="31">
        <v>45119</v>
      </c>
      <c r="S1141" s="31" t="s">
        <v>3121</v>
      </c>
      <c r="T1141" s="95" t="str">
        <f t="shared" si="90"/>
        <v>2023 07</v>
      </c>
      <c r="U1141" s="32">
        <f t="shared" si="87"/>
        <v>1194.8330673178305</v>
      </c>
      <c r="V1141" s="22">
        <f t="shared" si="88"/>
        <v>0.74436685866766039</v>
      </c>
      <c r="X1141" s="33"/>
      <c r="Y1141" s="33"/>
    </row>
    <row r="1142" spans="1:25" x14ac:dyDescent="0.2">
      <c r="A1142" s="93" t="s">
        <v>501</v>
      </c>
      <c r="B1142" s="94" t="str">
        <f>IFERROR(VLOOKUP($A1142,HeadJournal!$A$1:$NTR$890,COLUMN(HeadJournal!B$1),0),"")</f>
        <v>710000646999</v>
      </c>
      <c r="C1142" s="94" t="str">
        <f>IFERROR(VLOOKUP($A1142,HeadJournal!$A$1:$NTR$890,COLUMN(HeadJournal!C$1),0),"")</f>
        <v>iHerb_VP DFD1605</v>
      </c>
      <c r="D1142" s="125" t="str">
        <f>IFERROR(VLOOKUP($A1142,HeadJournal!$A$1:$NTR$890,COLUMN(HeadJournal!D$1),0),"")</f>
        <v>Доставлен</v>
      </c>
      <c r="E1142" s="95">
        <f>IFERROR(VLOOKUP($A1142,HeadJournal!$A$1:$NTR$890,COLUMN(HeadJournal!G$1),0),"")</f>
        <v>44982</v>
      </c>
      <c r="F1142" s="95" t="str">
        <f t="shared" si="89"/>
        <v>2023 02</v>
      </c>
      <c r="G1142" s="96" t="s">
        <v>5</v>
      </c>
      <c r="H1142" s="161" t="s">
        <v>2702</v>
      </c>
      <c r="I1142" s="97" t="s">
        <v>2703</v>
      </c>
      <c r="J1142" s="97" t="s">
        <v>2704</v>
      </c>
      <c r="K1142" s="29">
        <v>5.89</v>
      </c>
      <c r="L1142" s="29">
        <v>-0.88500000000000001</v>
      </c>
      <c r="M1142" s="30">
        <f>IFERROR(VLOOKUP($A1142,HeadJournal!$A$1:$J$890,COLUMN(HeadJournal!I$1),0)*($K1142+$L1142)/(SUMIF($A:$A,$A1142,$K:$K)+SUMIF($A:$A,$A1142,$L:$L)),0)</f>
        <v>0.30526083578444985</v>
      </c>
      <c r="N1142" s="30">
        <f>IFERROR((VLOOKUP($A1142,HeadJournal!$A$1:$K$890,COLUMN(HeadJournal!K$1),0)-VLOOKUP($A1142,HeadJournal!$A$1:$K$890,COLUMN(HeadJournal!J$1),0))*($K1142+$L1142)/(SUMIF($A:$A,$A1142,$K:$K)+SUMIF($A:$A,$A1142,$L:$L)),0)</f>
        <v>1.5788962284163617E-15</v>
      </c>
      <c r="O1142" s="30">
        <f>IFERROR((VLOOKUP($A1142,HeadJournal!$A$1:$L$890,COLUMN(HeadJournal!L$1),0)*($K1142+$L1142)/(SUMIF($A:$A,$A1142,$K:$K)+SUMIF($A:$A,$A1142,$L:$L)))/VLOOKUP($A1142,HeadJournal!$A$1:$L$890,COLUMN(HeadJournal!H$1),0),0)</f>
        <v>0.43931419397721494</v>
      </c>
      <c r="P1142" s="30">
        <f>IFERROR(SUM(K1142:O1142)*VLOOKUP($A1142,HeadJournal!$A$1:$L$890,COLUMN(HeadJournal!H$1),0),0)</f>
        <v>479.34728508796303</v>
      </c>
      <c r="Q1142" s="29">
        <v>900</v>
      </c>
      <c r="R1142" s="31">
        <v>45017</v>
      </c>
      <c r="S1142" s="31" t="s">
        <v>3121</v>
      </c>
      <c r="T1142" s="95" t="str">
        <f t="shared" si="90"/>
        <v>2023 04</v>
      </c>
      <c r="U1142" s="32">
        <f t="shared" si="87"/>
        <v>420.65271491203697</v>
      </c>
      <c r="V1142" s="22">
        <f t="shared" si="88"/>
        <v>0.87755313944219948</v>
      </c>
      <c r="X1142" s="33"/>
      <c r="Y1142" s="33"/>
    </row>
    <row r="1143" spans="1:25" x14ac:dyDescent="0.2">
      <c r="A1143" s="93" t="s">
        <v>501</v>
      </c>
      <c r="B1143" s="94" t="str">
        <f>IFERROR(VLOOKUP($A1143,HeadJournal!$A$1:$NTR$890,COLUMN(HeadJournal!B$1),0),"")</f>
        <v>710000646999</v>
      </c>
      <c r="C1143" s="94" t="str">
        <f>IFERROR(VLOOKUP($A1143,HeadJournal!$A$1:$NTR$890,COLUMN(HeadJournal!C$1),0),"")</f>
        <v>iHerb_VP DFD1605</v>
      </c>
      <c r="D1143" s="125" t="str">
        <f>IFERROR(VLOOKUP($A1143,HeadJournal!$A$1:$NTR$890,COLUMN(HeadJournal!D$1),0),"")</f>
        <v>Доставлен</v>
      </c>
      <c r="E1143" s="95">
        <f>IFERROR(VLOOKUP($A1143,HeadJournal!$A$1:$NTR$890,COLUMN(HeadJournal!G$1),0),"")</f>
        <v>44982</v>
      </c>
      <c r="F1143" s="95" t="str">
        <f t="shared" si="89"/>
        <v>2023 02</v>
      </c>
      <c r="G1143" s="96" t="s">
        <v>5</v>
      </c>
      <c r="H1143" s="161" t="s">
        <v>2702</v>
      </c>
      <c r="I1143" s="97" t="s">
        <v>2703</v>
      </c>
      <c r="J1143" s="97" t="s">
        <v>2704</v>
      </c>
      <c r="K1143" s="29">
        <v>5.89</v>
      </c>
      <c r="L1143" s="29">
        <v>-0.88500000000000001</v>
      </c>
      <c r="M1143" s="30">
        <f>IFERROR(VLOOKUP($A1143,HeadJournal!$A$1:$J$890,COLUMN(HeadJournal!I$1),0)*($K1143+$L1143)/(SUMIF($A:$A,$A1143,$K:$K)+SUMIF($A:$A,$A1143,$L:$L)),0)</f>
        <v>0.30526083578444985</v>
      </c>
      <c r="N1143" s="30">
        <f>IFERROR((VLOOKUP($A1143,HeadJournal!$A$1:$K$890,COLUMN(HeadJournal!K$1),0)-VLOOKUP($A1143,HeadJournal!$A$1:$K$890,COLUMN(HeadJournal!J$1),0))*($K1143+$L1143)/(SUMIF($A:$A,$A1143,$K:$K)+SUMIF($A:$A,$A1143,$L:$L)),0)</f>
        <v>1.5788962284163617E-15</v>
      </c>
      <c r="O1143" s="30">
        <f>IFERROR((VLOOKUP($A1143,HeadJournal!$A$1:$L$890,COLUMN(HeadJournal!L$1),0)*($K1143+$L1143)/(SUMIF($A:$A,$A1143,$K:$K)+SUMIF($A:$A,$A1143,$L:$L)))/VLOOKUP($A1143,HeadJournal!$A$1:$L$890,COLUMN(HeadJournal!H$1),0),0)</f>
        <v>0.43931419397721494</v>
      </c>
      <c r="P1143" s="30">
        <f>IFERROR(SUM(K1143:O1143)*VLOOKUP($A1143,HeadJournal!$A$1:$L$890,COLUMN(HeadJournal!H$1),0),0)</f>
        <v>479.34728508796303</v>
      </c>
      <c r="Q1143" s="29">
        <v>900</v>
      </c>
      <c r="R1143" s="31">
        <v>45017</v>
      </c>
      <c r="S1143" s="31" t="s">
        <v>3121</v>
      </c>
      <c r="T1143" s="95" t="str">
        <f t="shared" si="90"/>
        <v>2023 04</v>
      </c>
      <c r="U1143" s="32">
        <f t="shared" si="87"/>
        <v>420.65271491203697</v>
      </c>
      <c r="V1143" s="22">
        <f t="shared" si="88"/>
        <v>0.87755313944219948</v>
      </c>
      <c r="X1143" s="33"/>
      <c r="Y1143" s="33"/>
    </row>
    <row r="1144" spans="1:25" x14ac:dyDescent="0.2">
      <c r="A1144" s="93" t="s">
        <v>501</v>
      </c>
      <c r="B1144" s="94" t="str">
        <f>IFERROR(VLOOKUP($A1144,HeadJournal!$A$1:$NTR$890,COLUMN(HeadJournal!B$1),0),"")</f>
        <v>710000646999</v>
      </c>
      <c r="C1144" s="94" t="str">
        <f>IFERROR(VLOOKUP($A1144,HeadJournal!$A$1:$NTR$890,COLUMN(HeadJournal!C$1),0),"")</f>
        <v>iHerb_VP DFD1605</v>
      </c>
      <c r="D1144" s="125" t="str">
        <f>IFERROR(VLOOKUP($A1144,HeadJournal!$A$1:$NTR$890,COLUMN(HeadJournal!D$1),0),"")</f>
        <v>Доставлен</v>
      </c>
      <c r="E1144" s="95">
        <f>IFERROR(VLOOKUP($A1144,HeadJournal!$A$1:$NTR$890,COLUMN(HeadJournal!G$1),0),"")</f>
        <v>44982</v>
      </c>
      <c r="F1144" s="95" t="str">
        <f t="shared" si="89"/>
        <v>2023 02</v>
      </c>
      <c r="G1144" s="96" t="s">
        <v>5</v>
      </c>
      <c r="H1144" s="161" t="s">
        <v>2773</v>
      </c>
      <c r="I1144" s="97" t="s">
        <v>2005</v>
      </c>
      <c r="J1144" s="97" t="s">
        <v>2774</v>
      </c>
      <c r="K1144" s="29">
        <v>11.7</v>
      </c>
      <c r="L1144" s="29">
        <v>-1.76</v>
      </c>
      <c r="M1144" s="30">
        <f>IFERROR(VLOOKUP($A1144,HeadJournal!$A$1:$J$890,COLUMN(HeadJournal!I$1),0)*($K1144+$L1144)/(SUMIF($A:$A,$A1144,$K:$K)+SUMIF($A:$A,$A1144,$L:$L)),0)</f>
        <v>0.60625228925023611</v>
      </c>
      <c r="N1144" s="30">
        <f>IFERROR((VLOOKUP($A1144,HeadJournal!$A$1:$K$890,COLUMN(HeadJournal!K$1),0)-VLOOKUP($A1144,HeadJournal!$A$1:$K$890,COLUMN(HeadJournal!J$1),0))*($K1144+$L1144)/(SUMIF($A:$A,$A1144,$K:$K)+SUMIF($A:$A,$A1144,$L:$L)),0)</f>
        <v>3.1357099920996273E-15</v>
      </c>
      <c r="O1144" s="30">
        <f>IFERROR((VLOOKUP($A1144,HeadJournal!$A$1:$L$890,COLUMN(HeadJournal!L$1),0)*($K1144+$L1144)/(SUMIF($A:$A,$A1144,$K:$K)+SUMIF($A:$A,$A1144,$L:$L)))/VLOOKUP($A1144,HeadJournal!$A$1:$L$890,COLUMN(HeadJournal!H$1),0),0)</f>
        <v>0.87248413349321019</v>
      </c>
      <c r="P1144" s="30">
        <f>IFERROR(SUM(K1144:O1144)*VLOOKUP($A1144,HeadJournal!$A$1:$L$890,COLUMN(HeadJournal!H$1),0),0)</f>
        <v>951.99041234252786</v>
      </c>
      <c r="Q1144" s="29">
        <v>1800</v>
      </c>
      <c r="R1144" s="31">
        <v>45072</v>
      </c>
      <c r="S1144" s="31" t="s">
        <v>3121</v>
      </c>
      <c r="T1144" s="95" t="str">
        <f t="shared" si="90"/>
        <v>2023 05</v>
      </c>
      <c r="U1144" s="32">
        <f t="shared" si="87"/>
        <v>848.00958765747214</v>
      </c>
      <c r="V1144" s="22">
        <f t="shared" si="88"/>
        <v>0.89077534464953911</v>
      </c>
      <c r="X1144" s="33"/>
      <c r="Y1144" s="33"/>
    </row>
    <row r="1145" spans="1:25" x14ac:dyDescent="0.2">
      <c r="A1145" s="93" t="s">
        <v>509</v>
      </c>
      <c r="B1145" s="94">
        <f>IFERROR(VLOOKUP($A1145,HeadJournal!$A$1:$NTR$890,COLUMN(HeadJournal!B$1),0),"")</f>
        <v>0</v>
      </c>
      <c r="C1145" s="94" t="str">
        <f>IFERROR(VLOOKUP($A1145,HeadJournal!$A$1:$NTR$890,COLUMN(HeadJournal!C$1),0),"")</f>
        <v>OZON_AV</v>
      </c>
      <c r="D1145" s="125" t="str">
        <f>IFERROR(VLOOKUP($A1145,HeadJournal!$A$1:$NTR$890,COLUMN(HeadJournal!D$1),0),"")</f>
        <v>Доставлен</v>
      </c>
      <c r="E1145" s="95">
        <f>IFERROR(VLOOKUP($A1145,HeadJournal!$A$1:$NTR$890,COLUMN(HeadJournal!G$1),0),"")</f>
        <v>44976</v>
      </c>
      <c r="F1145" s="95" t="str">
        <f t="shared" si="89"/>
        <v>2023 02</v>
      </c>
      <c r="G1145" s="96" t="s">
        <v>6</v>
      </c>
      <c r="H1145" s="160" t="str">
        <f>RIGHT(Journal!$J1145,9)</f>
        <v>301131356</v>
      </c>
      <c r="I1145" s="96" t="str">
        <f t="shared" si="86"/>
        <v>SOLAB</v>
      </c>
      <c r="J1145" s="97" t="s">
        <v>510</v>
      </c>
      <c r="K1145" s="29">
        <v>538</v>
      </c>
      <c r="L1145" s="29"/>
      <c r="M1145" s="30">
        <f>IFERROR(VLOOKUP($A1145,HeadJournal!$A$1:$J$890,COLUMN(HeadJournal!I$1),0)*($K1145+$L1145)/(SUMIF($A:$A,$A1145,$K:$K)+SUMIF($A:$A,$A1145,$L:$L)),0)</f>
        <v>0</v>
      </c>
      <c r="N1145" s="30">
        <f>IFERROR((VLOOKUP($A1145,HeadJournal!$A$1:$K$890,COLUMN(HeadJournal!K$1),0)-VLOOKUP($A1145,HeadJournal!$A$1:$K$890,COLUMN(HeadJournal!J$1),0))*($K1145+$L1145)/(SUMIF($A:$A,$A1145,$K:$K)+SUMIF($A:$A,$A1145,$L:$L)),0)</f>
        <v>0</v>
      </c>
      <c r="O1145" s="30">
        <f>IFERROR((VLOOKUP($A1145,HeadJournal!$A$1:$L$890,COLUMN(HeadJournal!L$1),0)*($K1145+$L1145)/(SUMIF($A:$A,$A1145,$K:$K)+SUMIF($A:$A,$A1145,$L:$L)))/VLOOKUP($A1145,HeadJournal!$A$1:$L$890,COLUMN(HeadJournal!H$1),0),0)</f>
        <v>80.7</v>
      </c>
      <c r="P1145" s="30">
        <f>IFERROR(SUM(K1145:O1145)*VLOOKUP($A1145,HeadJournal!$A$1:$L$890,COLUMN(HeadJournal!H$1),0),0)</f>
        <v>618.70000000000005</v>
      </c>
      <c r="Q1145" s="29">
        <v>1200</v>
      </c>
      <c r="R1145" s="31">
        <v>44988</v>
      </c>
      <c r="S1145" s="31" t="s">
        <v>3121</v>
      </c>
      <c r="T1145" s="95" t="str">
        <f t="shared" si="90"/>
        <v>2023 03</v>
      </c>
      <c r="U1145" s="32">
        <f t="shared" si="87"/>
        <v>581.29999999999995</v>
      </c>
      <c r="V1145" s="22">
        <f t="shared" si="88"/>
        <v>0.93955067076127352</v>
      </c>
      <c r="X1145" s="33"/>
      <c r="Y1145" s="33"/>
    </row>
    <row r="1146" spans="1:25" x14ac:dyDescent="0.2">
      <c r="A1146" s="93" t="s">
        <v>509</v>
      </c>
      <c r="B1146" s="94">
        <f>IFERROR(VLOOKUP($A1146,HeadJournal!$A$1:$NTR$890,COLUMN(HeadJournal!B$1),0),"")</f>
        <v>0</v>
      </c>
      <c r="C1146" s="94" t="str">
        <f>IFERROR(VLOOKUP($A1146,HeadJournal!$A$1:$NTR$890,COLUMN(HeadJournal!C$1),0),"")</f>
        <v>OZON_AV</v>
      </c>
      <c r="D1146" s="125" t="str">
        <f>IFERROR(VLOOKUP($A1146,HeadJournal!$A$1:$NTR$890,COLUMN(HeadJournal!D$1),0),"")</f>
        <v>Доставлен</v>
      </c>
      <c r="E1146" s="95">
        <f>IFERROR(VLOOKUP($A1146,HeadJournal!$A$1:$NTR$890,COLUMN(HeadJournal!G$1),0),"")</f>
        <v>44976</v>
      </c>
      <c r="F1146" s="95" t="str">
        <f t="shared" si="89"/>
        <v>2023 02</v>
      </c>
      <c r="G1146" s="96" t="s">
        <v>6</v>
      </c>
      <c r="H1146" s="160" t="str">
        <f>RIGHT(Journal!$J1146,9)</f>
        <v>301131356</v>
      </c>
      <c r="I1146" s="96" t="str">
        <f t="shared" si="86"/>
        <v>SOLAB</v>
      </c>
      <c r="J1146" s="97" t="s">
        <v>510</v>
      </c>
      <c r="K1146" s="29">
        <v>538</v>
      </c>
      <c r="L1146" s="29"/>
      <c r="M1146" s="30">
        <f>IFERROR(VLOOKUP($A1146,HeadJournal!$A$1:$J$890,COLUMN(HeadJournal!I$1),0)*($K1146+$L1146)/(SUMIF($A:$A,$A1146,$K:$K)+SUMIF($A:$A,$A1146,$L:$L)),0)</f>
        <v>0</v>
      </c>
      <c r="N1146" s="30">
        <f>IFERROR((VLOOKUP($A1146,HeadJournal!$A$1:$K$890,COLUMN(HeadJournal!K$1),0)-VLOOKUP($A1146,HeadJournal!$A$1:$K$890,COLUMN(HeadJournal!J$1),0))*($K1146+$L1146)/(SUMIF($A:$A,$A1146,$K:$K)+SUMIF($A:$A,$A1146,$L:$L)),0)</f>
        <v>0</v>
      </c>
      <c r="O1146" s="30">
        <f>IFERROR((VLOOKUP($A1146,HeadJournal!$A$1:$L$890,COLUMN(HeadJournal!L$1),0)*($K1146+$L1146)/(SUMIF($A:$A,$A1146,$K:$K)+SUMIF($A:$A,$A1146,$L:$L)))/VLOOKUP($A1146,HeadJournal!$A$1:$L$890,COLUMN(HeadJournal!H$1),0),0)</f>
        <v>80.7</v>
      </c>
      <c r="P1146" s="30">
        <f>IFERROR(SUM(K1146:O1146)*VLOOKUP($A1146,HeadJournal!$A$1:$L$890,COLUMN(HeadJournal!H$1),0),0)</f>
        <v>618.70000000000005</v>
      </c>
      <c r="Q1146" s="29">
        <v>1200</v>
      </c>
      <c r="R1146" s="31">
        <v>45023</v>
      </c>
      <c r="S1146" s="31" t="s">
        <v>3121</v>
      </c>
      <c r="T1146" s="95" t="str">
        <f t="shared" si="90"/>
        <v>2023 04</v>
      </c>
      <c r="U1146" s="32">
        <f t="shared" si="87"/>
        <v>581.29999999999995</v>
      </c>
      <c r="V1146" s="22">
        <f t="shared" si="88"/>
        <v>0.93955067076127352</v>
      </c>
      <c r="X1146" s="33"/>
      <c r="Y1146" s="33"/>
    </row>
    <row r="1147" spans="1:25" x14ac:dyDescent="0.2">
      <c r="A1147" s="93" t="s">
        <v>511</v>
      </c>
      <c r="B1147" s="94">
        <f>IFERROR(VLOOKUP($A1147,HeadJournal!$A$1:$NTR$890,COLUMN(HeadJournal!B$1),0),"")</f>
        <v>0</v>
      </c>
      <c r="C1147" s="94" t="str">
        <f>IFERROR(VLOOKUP($A1147,HeadJournal!$A$1:$NTR$890,COLUMN(HeadJournal!C$1),0),"")</f>
        <v>OZON_AV</v>
      </c>
      <c r="D1147" s="125" t="str">
        <f>IFERROR(VLOOKUP($A1147,HeadJournal!$A$1:$NTR$890,COLUMN(HeadJournal!D$1),0),"")</f>
        <v>Доставлен</v>
      </c>
      <c r="E1147" s="95">
        <f>IFERROR(VLOOKUP($A1147,HeadJournal!$A$1:$NTR$890,COLUMN(HeadJournal!G$1),0),"")</f>
        <v>44978</v>
      </c>
      <c r="F1147" s="95" t="str">
        <f t="shared" si="89"/>
        <v>2023 02</v>
      </c>
      <c r="G1147" s="96" t="s">
        <v>6</v>
      </c>
      <c r="H1147" s="160" t="str">
        <f>RIGHT(Journal!$J1147,9)</f>
        <v>301131356</v>
      </c>
      <c r="I1147" s="96" t="str">
        <f t="shared" si="86"/>
        <v>SOLAB</v>
      </c>
      <c r="J1147" s="97" t="s">
        <v>510</v>
      </c>
      <c r="K1147" s="29">
        <v>538</v>
      </c>
      <c r="L1147" s="29"/>
      <c r="M1147" s="30">
        <f>IFERROR(VLOOKUP($A1147,HeadJournal!$A$1:$J$890,COLUMN(HeadJournal!I$1),0)*($K1147+$L1147)/(SUMIF($A:$A,$A1147,$K:$K)+SUMIF($A:$A,$A1147,$L:$L)),0)</f>
        <v>0</v>
      </c>
      <c r="N1147" s="30">
        <f>IFERROR((VLOOKUP($A1147,HeadJournal!$A$1:$K$890,COLUMN(HeadJournal!K$1),0)-VLOOKUP($A1147,HeadJournal!$A$1:$K$890,COLUMN(HeadJournal!J$1),0))*($K1147+$L1147)/(SUMIF($A:$A,$A1147,$K:$K)+SUMIF($A:$A,$A1147,$L:$L)),0)</f>
        <v>0</v>
      </c>
      <c r="O1147" s="30">
        <f>IFERROR((VLOOKUP($A1147,HeadJournal!$A$1:$L$890,COLUMN(HeadJournal!L$1),0)*($K1147+$L1147)/(SUMIF($A:$A,$A1147,$K:$K)+SUMIF($A:$A,$A1147,$L:$L)))/VLOOKUP($A1147,HeadJournal!$A$1:$L$890,COLUMN(HeadJournal!H$1),0),0)</f>
        <v>80.7</v>
      </c>
      <c r="P1147" s="30">
        <f>IFERROR(SUM(K1147:O1147)*VLOOKUP($A1147,HeadJournal!$A$1:$L$890,COLUMN(HeadJournal!H$1),0),0)</f>
        <v>618.70000000000005</v>
      </c>
      <c r="Q1147" s="29">
        <v>1200</v>
      </c>
      <c r="R1147" s="31">
        <v>45197</v>
      </c>
      <c r="S1147" s="31" t="s">
        <v>3121</v>
      </c>
      <c r="T1147" s="95" t="str">
        <f t="shared" si="90"/>
        <v>2023 09</v>
      </c>
      <c r="U1147" s="32">
        <f t="shared" si="87"/>
        <v>581.29999999999995</v>
      </c>
      <c r="V1147" s="22">
        <f t="shared" si="88"/>
        <v>0.93955067076127352</v>
      </c>
      <c r="X1147" s="33"/>
      <c r="Y1147" s="33"/>
    </row>
    <row r="1148" spans="1:25" x14ac:dyDescent="0.2">
      <c r="A1148" s="93" t="s">
        <v>512</v>
      </c>
      <c r="B1148" s="94">
        <f>IFERROR(VLOOKUP($A1148,HeadJournal!$A$1:$NTR$890,COLUMN(HeadJournal!B$1),0),"")</f>
        <v>0</v>
      </c>
      <c r="C1148" s="94" t="str">
        <f>IFERROR(VLOOKUP($A1148,HeadJournal!$A$1:$NTR$890,COLUMN(HeadJournal!C$1),0),"")</f>
        <v>OZON_AV</v>
      </c>
      <c r="D1148" s="125" t="str">
        <f>IFERROR(VLOOKUP($A1148,HeadJournal!$A$1:$NTR$890,COLUMN(HeadJournal!D$1),0),"")</f>
        <v>Доставлен</v>
      </c>
      <c r="E1148" s="95">
        <f>IFERROR(VLOOKUP($A1148,HeadJournal!$A$1:$NTR$890,COLUMN(HeadJournal!G$1),0),"")</f>
        <v>44983</v>
      </c>
      <c r="F1148" s="95" t="str">
        <f t="shared" si="89"/>
        <v>2023 02</v>
      </c>
      <c r="G1148" s="96" t="s">
        <v>6</v>
      </c>
      <c r="H1148" s="160" t="str">
        <f>RIGHT(Journal!$J1148,9)</f>
        <v>272372912</v>
      </c>
      <c r="I1148" s="96" t="str">
        <f t="shared" si="86"/>
        <v>Be First</v>
      </c>
      <c r="J1148" s="97" t="s">
        <v>513</v>
      </c>
      <c r="K1148" s="29">
        <v>801</v>
      </c>
      <c r="L1148" s="29"/>
      <c r="M1148" s="30">
        <f>IFERROR(VLOOKUP($A1148,HeadJournal!$A$1:$J$890,COLUMN(HeadJournal!I$1),0)*($K1148+$L1148)/(SUMIF($A:$A,$A1148,$K:$K)+SUMIF($A:$A,$A1148,$L:$L)),0)</f>
        <v>0</v>
      </c>
      <c r="N1148" s="30">
        <f>IFERROR((VLOOKUP($A1148,HeadJournal!$A$1:$K$890,COLUMN(HeadJournal!K$1),0)-VLOOKUP($A1148,HeadJournal!$A$1:$K$890,COLUMN(HeadJournal!J$1),0))*($K1148+$L1148)/(SUMIF($A:$A,$A1148,$K:$K)+SUMIF($A:$A,$A1148,$L:$L)),0)</f>
        <v>0</v>
      </c>
      <c r="O1148" s="30">
        <f>IFERROR((VLOOKUP($A1148,HeadJournal!$A$1:$L$890,COLUMN(HeadJournal!L$1),0)*($K1148+$L1148)/(SUMIF($A:$A,$A1148,$K:$K)+SUMIF($A:$A,$A1148,$L:$L)))/VLOOKUP($A1148,HeadJournal!$A$1:$L$890,COLUMN(HeadJournal!H$1),0),0)</f>
        <v>120.14999999999999</v>
      </c>
      <c r="P1148" s="30">
        <f>IFERROR(SUM(K1148:O1148)*VLOOKUP($A1148,HeadJournal!$A$1:$L$890,COLUMN(HeadJournal!H$1),0),0)</f>
        <v>921.15</v>
      </c>
      <c r="Q1148" s="29">
        <v>1400</v>
      </c>
      <c r="R1148" s="31">
        <v>45048</v>
      </c>
      <c r="S1148" s="31" t="s">
        <v>3121</v>
      </c>
      <c r="T1148" s="95" t="str">
        <f t="shared" si="90"/>
        <v>2023 05</v>
      </c>
      <c r="U1148" s="32">
        <f t="shared" si="87"/>
        <v>478.85</v>
      </c>
      <c r="V1148" s="22">
        <f t="shared" si="88"/>
        <v>0.51983933127069426</v>
      </c>
      <c r="X1148" s="33"/>
      <c r="Y1148" s="33"/>
    </row>
    <row r="1149" spans="1:25" x14ac:dyDescent="0.2">
      <c r="A1149" s="93" t="s">
        <v>512</v>
      </c>
      <c r="B1149" s="94">
        <f>IFERROR(VLOOKUP($A1149,HeadJournal!$A$1:$NTR$890,COLUMN(HeadJournal!B$1),0),"")</f>
        <v>0</v>
      </c>
      <c r="C1149" s="94" t="str">
        <f>IFERROR(VLOOKUP($A1149,HeadJournal!$A$1:$NTR$890,COLUMN(HeadJournal!C$1),0),"")</f>
        <v>OZON_AV</v>
      </c>
      <c r="D1149" s="125" t="str">
        <f>IFERROR(VLOOKUP($A1149,HeadJournal!$A$1:$NTR$890,COLUMN(HeadJournal!D$1),0),"")</f>
        <v>Доставлен</v>
      </c>
      <c r="E1149" s="95">
        <f>IFERROR(VLOOKUP($A1149,HeadJournal!$A$1:$NTR$890,COLUMN(HeadJournal!G$1),0),"")</f>
        <v>44983</v>
      </c>
      <c r="F1149" s="95" t="str">
        <f t="shared" si="89"/>
        <v>2023 02</v>
      </c>
      <c r="G1149" s="96" t="s">
        <v>6</v>
      </c>
      <c r="H1149" s="160" t="str">
        <f>RIGHT(Journal!$J1149,9)</f>
        <v>309538221</v>
      </c>
      <c r="I1149" s="96" t="str">
        <f t="shared" si="86"/>
        <v>R-Line</v>
      </c>
      <c r="J1149" s="97" t="s">
        <v>514</v>
      </c>
      <c r="K1149" s="29">
        <v>1515</v>
      </c>
      <c r="L1149" s="29"/>
      <c r="M1149" s="30">
        <f>IFERROR(VLOOKUP($A1149,HeadJournal!$A$1:$J$890,COLUMN(HeadJournal!I$1),0)*($K1149+$L1149)/(SUMIF($A:$A,$A1149,$K:$K)+SUMIF($A:$A,$A1149,$L:$L)),0)</f>
        <v>0</v>
      </c>
      <c r="N1149" s="30">
        <f>IFERROR((VLOOKUP($A1149,HeadJournal!$A$1:$K$890,COLUMN(HeadJournal!K$1),0)-VLOOKUP($A1149,HeadJournal!$A$1:$K$890,COLUMN(HeadJournal!J$1),0))*($K1149+$L1149)/(SUMIF($A:$A,$A1149,$K:$K)+SUMIF($A:$A,$A1149,$L:$L)),0)</f>
        <v>0</v>
      </c>
      <c r="O1149" s="30">
        <f>IFERROR((VLOOKUP($A1149,HeadJournal!$A$1:$L$890,COLUMN(HeadJournal!L$1),0)*($K1149+$L1149)/(SUMIF($A:$A,$A1149,$K:$K)+SUMIF($A:$A,$A1149,$L:$L)))/VLOOKUP($A1149,HeadJournal!$A$1:$L$890,COLUMN(HeadJournal!H$1),0),0)</f>
        <v>227.25</v>
      </c>
      <c r="P1149" s="30">
        <f>IFERROR(SUM(K1149:O1149)*VLOOKUP($A1149,HeadJournal!$A$1:$L$890,COLUMN(HeadJournal!H$1),0),0)</f>
        <v>1742.25</v>
      </c>
      <c r="Q1149" s="29">
        <v>2900</v>
      </c>
      <c r="R1149" s="31">
        <v>44943</v>
      </c>
      <c r="S1149" s="31" t="s">
        <v>3121</v>
      </c>
      <c r="T1149" s="95" t="str">
        <f t="shared" si="90"/>
        <v>2023 01</v>
      </c>
      <c r="U1149" s="32">
        <f t="shared" si="87"/>
        <v>1157.75</v>
      </c>
      <c r="V1149" s="22">
        <f t="shared" si="88"/>
        <v>0.66451427751470804</v>
      </c>
      <c r="X1149" s="33"/>
      <c r="Y1149" s="33"/>
    </row>
    <row r="1150" spans="1:25" x14ac:dyDescent="0.2">
      <c r="A1150" s="93" t="s">
        <v>515</v>
      </c>
      <c r="B1150" s="94">
        <f>IFERROR(VLOOKUP($A1150,HeadJournal!$A$1:$NTR$890,COLUMN(HeadJournal!B$1),0),"")</f>
        <v>0</v>
      </c>
      <c r="C1150" s="94" t="str">
        <f>IFERROR(VLOOKUP($A1150,HeadJournal!$A$1:$NTR$890,COLUMN(HeadJournal!C$1),0),"")</f>
        <v>OZON_AV</v>
      </c>
      <c r="D1150" s="125" t="str">
        <f>IFERROR(VLOOKUP($A1150,HeadJournal!$A$1:$NTR$890,COLUMN(HeadJournal!D$1),0),"")</f>
        <v>Доставлен</v>
      </c>
      <c r="E1150" s="95">
        <f>IFERROR(VLOOKUP($A1150,HeadJournal!$A$1:$NTR$890,COLUMN(HeadJournal!G$1),0),"")</f>
        <v>44987</v>
      </c>
      <c r="F1150" s="95" t="str">
        <f t="shared" si="89"/>
        <v>2023 03</v>
      </c>
      <c r="G1150" s="96" t="s">
        <v>7</v>
      </c>
      <c r="H1150" s="160" t="str">
        <f>RIGHT(Journal!$J1150,9)</f>
        <v>718888801</v>
      </c>
      <c r="I1150" s="96" t="str">
        <f t="shared" si="86"/>
        <v>VERIFIQUE</v>
      </c>
      <c r="J1150" s="97" t="s">
        <v>516</v>
      </c>
      <c r="K1150" s="29">
        <v>573</v>
      </c>
      <c r="L1150" s="29"/>
      <c r="M1150" s="30">
        <f>IFERROR(VLOOKUP($A1150,HeadJournal!$A$1:$J$890,COLUMN(HeadJournal!I$1),0)*($K1150+$L1150)/(SUMIF($A:$A,$A1150,$K:$K)+SUMIF($A:$A,$A1150,$L:$L)),0)</f>
        <v>0</v>
      </c>
      <c r="N1150" s="30">
        <f>IFERROR((VLOOKUP($A1150,HeadJournal!$A$1:$K$890,COLUMN(HeadJournal!K$1),0)-VLOOKUP($A1150,HeadJournal!$A$1:$K$890,COLUMN(HeadJournal!J$1),0))*($K1150+$L1150)/(SUMIF($A:$A,$A1150,$K:$K)+SUMIF($A:$A,$A1150,$L:$L)),0)</f>
        <v>0</v>
      </c>
      <c r="O1150" s="30">
        <f>IFERROR((VLOOKUP($A1150,HeadJournal!$A$1:$L$890,COLUMN(HeadJournal!L$1),0)*($K1150+$L1150)/(SUMIF($A:$A,$A1150,$K:$K)+SUMIF($A:$A,$A1150,$L:$L)))/VLOOKUP($A1150,HeadJournal!$A$1:$L$890,COLUMN(HeadJournal!H$1),0),0)</f>
        <v>85.95</v>
      </c>
      <c r="P1150" s="30">
        <f>IFERROR(SUM(K1150:O1150)*VLOOKUP($A1150,HeadJournal!$A$1:$L$890,COLUMN(HeadJournal!H$1),0),0)</f>
        <v>658.95</v>
      </c>
      <c r="Q1150" s="29">
        <v>1100</v>
      </c>
      <c r="R1150" s="31">
        <v>45004</v>
      </c>
      <c r="S1150" s="31" t="s">
        <v>3121</v>
      </c>
      <c r="T1150" s="95" t="str">
        <f t="shared" si="90"/>
        <v>2023 03</v>
      </c>
      <c r="U1150" s="32">
        <f t="shared" si="87"/>
        <v>441.04999999999995</v>
      </c>
      <c r="V1150" s="22">
        <f t="shared" si="88"/>
        <v>0.66932240685939737</v>
      </c>
      <c r="X1150" s="33"/>
      <c r="Y1150" s="33"/>
    </row>
    <row r="1151" spans="1:25" x14ac:dyDescent="0.2">
      <c r="A1151" s="93" t="s">
        <v>515</v>
      </c>
      <c r="B1151" s="94">
        <f>IFERROR(VLOOKUP($A1151,HeadJournal!$A$1:$NTR$890,COLUMN(HeadJournal!B$1),0),"")</f>
        <v>0</v>
      </c>
      <c r="C1151" s="94" t="str">
        <f>IFERROR(VLOOKUP($A1151,HeadJournal!$A$1:$NTR$890,COLUMN(HeadJournal!C$1),0),"")</f>
        <v>OZON_AV</v>
      </c>
      <c r="D1151" s="125" t="str">
        <f>IFERROR(VLOOKUP($A1151,HeadJournal!$A$1:$NTR$890,COLUMN(HeadJournal!D$1),0),"")</f>
        <v>Доставлен</v>
      </c>
      <c r="E1151" s="95">
        <f>IFERROR(VLOOKUP($A1151,HeadJournal!$A$1:$NTR$890,COLUMN(HeadJournal!G$1),0),"")</f>
        <v>44987</v>
      </c>
      <c r="F1151" s="95" t="str">
        <f t="shared" si="89"/>
        <v>2023 03</v>
      </c>
      <c r="G1151" s="96" t="s">
        <v>7</v>
      </c>
      <c r="H1151" s="160" t="str">
        <f>RIGHT(Journal!$J1151,9)</f>
        <v>718888801</v>
      </c>
      <c r="I1151" s="96" t="str">
        <f t="shared" si="86"/>
        <v>VERIFIQUE</v>
      </c>
      <c r="J1151" s="97" t="s">
        <v>516</v>
      </c>
      <c r="K1151" s="29">
        <v>573</v>
      </c>
      <c r="L1151" s="29"/>
      <c r="M1151" s="30">
        <f>IFERROR(VLOOKUP($A1151,HeadJournal!$A$1:$J$890,COLUMN(HeadJournal!I$1),0)*($K1151+$L1151)/(SUMIF($A:$A,$A1151,$K:$K)+SUMIF($A:$A,$A1151,$L:$L)),0)</f>
        <v>0</v>
      </c>
      <c r="N1151" s="30">
        <f>IFERROR((VLOOKUP($A1151,HeadJournal!$A$1:$K$890,COLUMN(HeadJournal!K$1),0)-VLOOKUP($A1151,HeadJournal!$A$1:$K$890,COLUMN(HeadJournal!J$1),0))*($K1151+$L1151)/(SUMIF($A:$A,$A1151,$K:$K)+SUMIF($A:$A,$A1151,$L:$L)),0)</f>
        <v>0</v>
      </c>
      <c r="O1151" s="30">
        <f>IFERROR((VLOOKUP($A1151,HeadJournal!$A$1:$L$890,COLUMN(HeadJournal!L$1),0)*($K1151+$L1151)/(SUMIF($A:$A,$A1151,$K:$K)+SUMIF($A:$A,$A1151,$L:$L)))/VLOOKUP($A1151,HeadJournal!$A$1:$L$890,COLUMN(HeadJournal!H$1),0),0)</f>
        <v>85.95</v>
      </c>
      <c r="P1151" s="30">
        <f>IFERROR(SUM(K1151:O1151)*VLOOKUP($A1151,HeadJournal!$A$1:$L$890,COLUMN(HeadJournal!H$1),0),0)</f>
        <v>658.95</v>
      </c>
      <c r="Q1151" s="29"/>
      <c r="R1151" s="31"/>
      <c r="S1151" s="31"/>
      <c r="T1151" s="95" t="str">
        <f t="shared" si="90"/>
        <v/>
      </c>
      <c r="U1151" s="32">
        <f t="shared" si="87"/>
        <v>-658.95</v>
      </c>
      <c r="V1151" s="22" t="str">
        <f t="shared" si="88"/>
        <v/>
      </c>
      <c r="X1151" s="33"/>
      <c r="Y1151" s="33"/>
    </row>
    <row r="1152" spans="1:25" x14ac:dyDescent="0.2">
      <c r="A1152" s="93" t="s">
        <v>517</v>
      </c>
      <c r="B1152" s="94">
        <f>IFERROR(VLOOKUP($A1152,HeadJournal!$A$1:$NTR$890,COLUMN(HeadJournal!B$1),0),"")</f>
        <v>0</v>
      </c>
      <c r="C1152" s="94" t="str">
        <f>IFERROR(VLOOKUP($A1152,HeadJournal!$A$1:$NTR$890,COLUMN(HeadJournal!C$1),0),"")</f>
        <v>WBRS</v>
      </c>
      <c r="D1152" s="125" t="str">
        <f>IFERROR(VLOOKUP($A1152,HeadJournal!$A$1:$NTR$890,COLUMN(HeadJournal!D$1),0),"")</f>
        <v>Доставлен</v>
      </c>
      <c r="E1152" s="95">
        <f>IFERROR(VLOOKUP($A1152,HeadJournal!$A$1:$NTR$890,COLUMN(HeadJournal!G$1),0),"")</f>
        <v>44977</v>
      </c>
      <c r="F1152" s="95" t="str">
        <f t="shared" si="89"/>
        <v>2023 02</v>
      </c>
      <c r="G1152" s="96" t="s">
        <v>5</v>
      </c>
      <c r="H1152" s="160" t="str">
        <f>RIGHT(Journal!$J1152,9)</f>
        <v>017919762</v>
      </c>
      <c r="I1152" s="96" t="str">
        <f t="shared" si="86"/>
        <v>Himalaya</v>
      </c>
      <c r="J1152" s="97" t="s">
        <v>227</v>
      </c>
      <c r="K1152" s="29">
        <v>337</v>
      </c>
      <c r="L1152" s="29"/>
      <c r="M1152" s="30">
        <f>IFERROR(VLOOKUP($A1152,HeadJournal!$A$1:$J$890,COLUMN(HeadJournal!I$1),0)*($K1152+$L1152)/(SUMIF($A:$A,$A1152,$K:$K)+SUMIF($A:$A,$A1152,$L:$L)),0)</f>
        <v>0</v>
      </c>
      <c r="N1152" s="30">
        <f>IFERROR((VLOOKUP($A1152,HeadJournal!$A$1:$K$890,COLUMN(HeadJournal!K$1),0)-VLOOKUP($A1152,HeadJournal!$A$1:$K$890,COLUMN(HeadJournal!J$1),0))*($K1152+$L1152)/(SUMIF($A:$A,$A1152,$K:$K)+SUMIF($A:$A,$A1152,$L:$L)),0)</f>
        <v>0</v>
      </c>
      <c r="O1152" s="30">
        <f>IFERROR((VLOOKUP($A1152,HeadJournal!$A$1:$L$890,COLUMN(HeadJournal!L$1),0)*($K1152+$L1152)/(SUMIF($A:$A,$A1152,$K:$K)+SUMIF($A:$A,$A1152,$L:$L)))/VLOOKUP($A1152,HeadJournal!$A$1:$L$890,COLUMN(HeadJournal!H$1),0),0)</f>
        <v>50.55</v>
      </c>
      <c r="P1152" s="30">
        <f>IFERROR(SUM(K1152:O1152)*VLOOKUP($A1152,HeadJournal!$A$1:$L$890,COLUMN(HeadJournal!H$1),0),0)</f>
        <v>387.55</v>
      </c>
      <c r="Q1152" s="29">
        <v>750</v>
      </c>
      <c r="R1152" s="31">
        <v>44991</v>
      </c>
      <c r="S1152" s="31" t="s">
        <v>3121</v>
      </c>
      <c r="T1152" s="95" t="str">
        <f t="shared" si="90"/>
        <v>2023 03</v>
      </c>
      <c r="U1152" s="32">
        <f t="shared" si="87"/>
        <v>362.45</v>
      </c>
      <c r="V1152" s="22">
        <f t="shared" si="88"/>
        <v>0.9352341633337633</v>
      </c>
      <c r="X1152" s="33"/>
      <c r="Y1152" s="33"/>
    </row>
    <row r="1153" spans="1:25" x14ac:dyDescent="0.2">
      <c r="A1153" s="93" t="s">
        <v>517</v>
      </c>
      <c r="B1153" s="94">
        <f>IFERROR(VLOOKUP($A1153,HeadJournal!$A$1:$NTR$890,COLUMN(HeadJournal!B$1),0),"")</f>
        <v>0</v>
      </c>
      <c r="C1153" s="94" t="str">
        <f>IFERROR(VLOOKUP($A1153,HeadJournal!$A$1:$NTR$890,COLUMN(HeadJournal!C$1),0),"")</f>
        <v>WBRS</v>
      </c>
      <c r="D1153" s="125" t="str">
        <f>IFERROR(VLOOKUP($A1153,HeadJournal!$A$1:$NTR$890,COLUMN(HeadJournal!D$1),0),"")</f>
        <v>Доставлен</v>
      </c>
      <c r="E1153" s="95">
        <f>IFERROR(VLOOKUP($A1153,HeadJournal!$A$1:$NTR$890,COLUMN(HeadJournal!G$1),0),"")</f>
        <v>44977</v>
      </c>
      <c r="F1153" s="95" t="str">
        <f t="shared" si="89"/>
        <v>2023 02</v>
      </c>
      <c r="G1153" s="96" t="s">
        <v>5</v>
      </c>
      <c r="H1153" s="160" t="str">
        <f>RIGHT(Journal!$J1153,9)</f>
        <v>017919762</v>
      </c>
      <c r="I1153" s="96" t="str">
        <f t="shared" ref="I1153:I1216" si="91">IFERROR(LEFT(J1153,FIND(",",J1153)-1),"")</f>
        <v>Himalaya</v>
      </c>
      <c r="J1153" s="97" t="s">
        <v>227</v>
      </c>
      <c r="K1153" s="29">
        <v>337</v>
      </c>
      <c r="L1153" s="29"/>
      <c r="M1153" s="30">
        <f>IFERROR(VLOOKUP($A1153,HeadJournal!$A$1:$J$890,COLUMN(HeadJournal!I$1),0)*($K1153+$L1153)/(SUMIF($A:$A,$A1153,$K:$K)+SUMIF($A:$A,$A1153,$L:$L)),0)</f>
        <v>0</v>
      </c>
      <c r="N1153" s="30">
        <f>IFERROR((VLOOKUP($A1153,HeadJournal!$A$1:$K$890,COLUMN(HeadJournal!K$1),0)-VLOOKUP($A1153,HeadJournal!$A$1:$K$890,COLUMN(HeadJournal!J$1),0))*($K1153+$L1153)/(SUMIF($A:$A,$A1153,$K:$K)+SUMIF($A:$A,$A1153,$L:$L)),0)</f>
        <v>0</v>
      </c>
      <c r="O1153" s="30">
        <f>IFERROR((VLOOKUP($A1153,HeadJournal!$A$1:$L$890,COLUMN(HeadJournal!L$1),0)*($K1153+$L1153)/(SUMIF($A:$A,$A1153,$K:$K)+SUMIF($A:$A,$A1153,$L:$L)))/VLOOKUP($A1153,HeadJournal!$A$1:$L$890,COLUMN(HeadJournal!H$1),0),0)</f>
        <v>50.55</v>
      </c>
      <c r="P1153" s="30">
        <f>IFERROR(SUM(K1153:O1153)*VLOOKUP($A1153,HeadJournal!$A$1:$L$890,COLUMN(HeadJournal!H$1),0),0)</f>
        <v>387.55</v>
      </c>
      <c r="Q1153" s="29">
        <v>750</v>
      </c>
      <c r="R1153" s="31">
        <v>45003</v>
      </c>
      <c r="S1153" s="31" t="s">
        <v>3121</v>
      </c>
      <c r="T1153" s="95" t="str">
        <f t="shared" si="90"/>
        <v>2023 03</v>
      </c>
      <c r="U1153" s="32">
        <f t="shared" ref="U1153:U1216" si="92">Q1153-P1153</f>
        <v>362.45</v>
      </c>
      <c r="V1153" s="22">
        <f t="shared" ref="V1153:V1216" si="93">IF(Q1153&lt;&gt;0,IFERROR(U1153/P1153,""),"")</f>
        <v>0.9352341633337633</v>
      </c>
      <c r="X1153" s="33"/>
      <c r="Y1153" s="33"/>
    </row>
    <row r="1154" spans="1:25" x14ac:dyDescent="0.2">
      <c r="A1154" s="93" t="s">
        <v>518</v>
      </c>
      <c r="B1154" s="94">
        <f>IFERROR(VLOOKUP($A1154,HeadJournal!$A$1:$NTR$890,COLUMN(HeadJournal!B$1),0),"")</f>
        <v>0</v>
      </c>
      <c r="C1154" s="94" t="str">
        <f>IFERROR(VLOOKUP($A1154,HeadJournal!$A$1:$NTR$890,COLUMN(HeadJournal!C$1),0),"")</f>
        <v>WBRS</v>
      </c>
      <c r="D1154" s="125" t="str">
        <f>IFERROR(VLOOKUP($A1154,HeadJournal!$A$1:$NTR$890,COLUMN(HeadJournal!D$1),0),"")</f>
        <v>Доставлен</v>
      </c>
      <c r="E1154" s="95">
        <f>IFERROR(VLOOKUP($A1154,HeadJournal!$A$1:$NTR$890,COLUMN(HeadJournal!G$1),0),"")</f>
        <v>44977</v>
      </c>
      <c r="F1154" s="95" t="str">
        <f t="shared" si="89"/>
        <v>2023 02</v>
      </c>
      <c r="G1154" s="96" t="s">
        <v>7</v>
      </c>
      <c r="H1154" s="160" t="str">
        <f>RIGHT(Journal!$J1154,9)</f>
        <v>142850327</v>
      </c>
      <c r="I1154" s="96" t="str">
        <f t="shared" si="91"/>
        <v>ENOUGH</v>
      </c>
      <c r="J1154" s="97" t="s">
        <v>1663</v>
      </c>
      <c r="K1154" s="29">
        <v>182</v>
      </c>
      <c r="L1154" s="29"/>
      <c r="M1154" s="30">
        <f>IFERROR(VLOOKUP($A1154,HeadJournal!$A$1:$J$890,COLUMN(HeadJournal!I$1),0)*($K1154+$L1154)/(SUMIF($A:$A,$A1154,$K:$K)+SUMIF($A:$A,$A1154,$L:$L)),0)</f>
        <v>0</v>
      </c>
      <c r="N1154" s="30">
        <f>IFERROR((VLOOKUP($A1154,HeadJournal!$A$1:$K$890,COLUMN(HeadJournal!K$1),0)-VLOOKUP($A1154,HeadJournal!$A$1:$K$890,COLUMN(HeadJournal!J$1),0))*($K1154+$L1154)/(SUMIF($A:$A,$A1154,$K:$K)+SUMIF($A:$A,$A1154,$L:$L)),0)</f>
        <v>0</v>
      </c>
      <c r="O1154" s="30">
        <f>IFERROR((VLOOKUP($A1154,HeadJournal!$A$1:$L$890,COLUMN(HeadJournal!L$1),0)*($K1154+$L1154)/(SUMIF($A:$A,$A1154,$K:$K)+SUMIF($A:$A,$A1154,$L:$L)))/VLOOKUP($A1154,HeadJournal!$A$1:$L$890,COLUMN(HeadJournal!H$1),0),0)</f>
        <v>27.3</v>
      </c>
      <c r="P1154" s="30">
        <f>IFERROR(SUM(K1154:O1154)*VLOOKUP($A1154,HeadJournal!$A$1:$L$890,COLUMN(HeadJournal!H$1),0),0)</f>
        <v>209.3</v>
      </c>
      <c r="Q1154" s="29">
        <v>450</v>
      </c>
      <c r="R1154" s="31">
        <v>45173</v>
      </c>
      <c r="S1154" s="31" t="s">
        <v>3121</v>
      </c>
      <c r="T1154" s="95" t="str">
        <f t="shared" si="90"/>
        <v>2023 09</v>
      </c>
      <c r="U1154" s="32">
        <f t="shared" si="92"/>
        <v>240.7</v>
      </c>
      <c r="V1154" s="22">
        <f t="shared" si="93"/>
        <v>1.1500238891543237</v>
      </c>
      <c r="X1154" s="33"/>
      <c r="Y1154" s="33"/>
    </row>
    <row r="1155" spans="1:25" x14ac:dyDescent="0.2">
      <c r="A1155" s="93" t="s">
        <v>518</v>
      </c>
      <c r="B1155" s="94">
        <f>IFERROR(VLOOKUP($A1155,HeadJournal!$A$1:$NTR$890,COLUMN(HeadJournal!B$1),0),"")</f>
        <v>0</v>
      </c>
      <c r="C1155" s="94" t="str">
        <f>IFERROR(VLOOKUP($A1155,HeadJournal!$A$1:$NTR$890,COLUMN(HeadJournal!C$1),0),"")</f>
        <v>WBRS</v>
      </c>
      <c r="D1155" s="125" t="str">
        <f>IFERROR(VLOOKUP($A1155,HeadJournal!$A$1:$NTR$890,COLUMN(HeadJournal!D$1),0),"")</f>
        <v>Доставлен</v>
      </c>
      <c r="E1155" s="95">
        <f>IFERROR(VLOOKUP($A1155,HeadJournal!$A$1:$NTR$890,COLUMN(HeadJournal!G$1),0),"")</f>
        <v>44977</v>
      </c>
      <c r="F1155" s="95" t="str">
        <f t="shared" si="89"/>
        <v>2023 02</v>
      </c>
      <c r="G1155" s="96" t="s">
        <v>7</v>
      </c>
      <c r="H1155" s="160" t="str">
        <f>RIGHT(Journal!$J1155,9)</f>
        <v>142850327</v>
      </c>
      <c r="I1155" s="96" t="str">
        <f t="shared" si="91"/>
        <v>ENOUGH</v>
      </c>
      <c r="J1155" s="97" t="s">
        <v>1663</v>
      </c>
      <c r="K1155" s="29">
        <v>182</v>
      </c>
      <c r="L1155" s="29"/>
      <c r="M1155" s="30">
        <f>IFERROR(VLOOKUP($A1155,HeadJournal!$A$1:$J$890,COLUMN(HeadJournal!I$1),0)*($K1155+$L1155)/(SUMIF($A:$A,$A1155,$K:$K)+SUMIF($A:$A,$A1155,$L:$L)),0)</f>
        <v>0</v>
      </c>
      <c r="N1155" s="30">
        <f>IFERROR((VLOOKUP($A1155,HeadJournal!$A$1:$K$890,COLUMN(HeadJournal!K$1),0)-VLOOKUP($A1155,HeadJournal!$A$1:$K$890,COLUMN(HeadJournal!J$1),0))*($K1155+$L1155)/(SUMIF($A:$A,$A1155,$K:$K)+SUMIF($A:$A,$A1155,$L:$L)),0)</f>
        <v>0</v>
      </c>
      <c r="O1155" s="30">
        <f>IFERROR((VLOOKUP($A1155,HeadJournal!$A$1:$L$890,COLUMN(HeadJournal!L$1),0)*($K1155+$L1155)/(SUMIF($A:$A,$A1155,$K:$K)+SUMIF($A:$A,$A1155,$L:$L)))/VLOOKUP($A1155,HeadJournal!$A$1:$L$890,COLUMN(HeadJournal!H$1),0),0)</f>
        <v>27.3</v>
      </c>
      <c r="P1155" s="30">
        <f>IFERROR(SUM(K1155:O1155)*VLOOKUP($A1155,HeadJournal!$A$1:$L$890,COLUMN(HeadJournal!H$1),0),0)</f>
        <v>209.3</v>
      </c>
      <c r="Q1155" s="29"/>
      <c r="R1155" s="31"/>
      <c r="S1155" s="31"/>
      <c r="T1155" s="95" t="str">
        <f t="shared" si="90"/>
        <v/>
      </c>
      <c r="U1155" s="32">
        <f t="shared" si="92"/>
        <v>-209.3</v>
      </c>
      <c r="V1155" s="22" t="str">
        <f t="shared" si="93"/>
        <v/>
      </c>
      <c r="X1155" s="33"/>
      <c r="Y1155" s="33"/>
    </row>
    <row r="1156" spans="1:25" x14ac:dyDescent="0.2">
      <c r="A1156" s="93" t="s">
        <v>519</v>
      </c>
      <c r="B1156" s="94">
        <f>IFERROR(VLOOKUP($A1156,HeadJournal!$A$1:$NTR$890,COLUMN(HeadJournal!B$1),0),"")</f>
        <v>0</v>
      </c>
      <c r="C1156" s="94" t="str">
        <f>IFERROR(VLOOKUP($A1156,HeadJournal!$A$1:$NTR$890,COLUMN(HeadJournal!C$1),0),"")</f>
        <v>WBRS</v>
      </c>
      <c r="D1156" s="125" t="str">
        <f>IFERROR(VLOOKUP($A1156,HeadJournal!$A$1:$NTR$890,COLUMN(HeadJournal!D$1),0),"")</f>
        <v>Доставлен</v>
      </c>
      <c r="E1156" s="95">
        <f>IFERROR(VLOOKUP($A1156,HeadJournal!$A$1:$NTR$890,COLUMN(HeadJournal!G$1),0),"")</f>
        <v>44973</v>
      </c>
      <c r="F1156" s="95" t="str">
        <f t="shared" ref="F1156:F1219" si="94">IFERROR(TEXT(E1156, "ГГГГ ММ"),"")</f>
        <v>2023 02</v>
      </c>
      <c r="G1156" s="96" t="s">
        <v>6</v>
      </c>
      <c r="H1156" s="160" t="str">
        <f>RIGHT(Journal!$J1156,9)</f>
        <v>139295316</v>
      </c>
      <c r="I1156" s="96" t="str">
        <f t="shared" si="91"/>
        <v>Cult</v>
      </c>
      <c r="J1156" s="97" t="s">
        <v>3515</v>
      </c>
      <c r="K1156" s="29">
        <v>1757</v>
      </c>
      <c r="L1156" s="29"/>
      <c r="M1156" s="30">
        <f>IFERROR(VLOOKUP($A1156,HeadJournal!$A$1:$J$890,COLUMN(HeadJournal!I$1),0)*($K1156+$L1156)/(SUMIF($A:$A,$A1156,$K:$K)+SUMIF($A:$A,$A1156,$L:$L)),0)</f>
        <v>0</v>
      </c>
      <c r="N1156" s="30">
        <f>IFERROR((VLOOKUP($A1156,HeadJournal!$A$1:$K$890,COLUMN(HeadJournal!K$1),0)-VLOOKUP($A1156,HeadJournal!$A$1:$K$890,COLUMN(HeadJournal!J$1),0))*($K1156+$L1156)/(SUMIF($A:$A,$A1156,$K:$K)+SUMIF($A:$A,$A1156,$L:$L)),0)</f>
        <v>0</v>
      </c>
      <c r="O1156" s="30">
        <f>IFERROR((VLOOKUP($A1156,HeadJournal!$A$1:$L$890,COLUMN(HeadJournal!L$1),0)*($K1156+$L1156)/(SUMIF($A:$A,$A1156,$K:$K)+SUMIF($A:$A,$A1156,$L:$L)))/VLOOKUP($A1156,HeadJournal!$A$1:$L$890,COLUMN(HeadJournal!H$1),0),0)</f>
        <v>263.55</v>
      </c>
      <c r="P1156" s="30">
        <f>IFERROR(SUM(K1156:O1156)*VLOOKUP($A1156,HeadJournal!$A$1:$L$890,COLUMN(HeadJournal!H$1),0),0)</f>
        <v>2020.55</v>
      </c>
      <c r="Q1156" s="29">
        <v>3100</v>
      </c>
      <c r="R1156" s="31">
        <v>44990</v>
      </c>
      <c r="S1156" s="31" t="s">
        <v>3121</v>
      </c>
      <c r="T1156" s="95" t="str">
        <f t="shared" ref="T1156:T1219" si="95">IF(R1156="","",TEXT(R1156,"ГГГГ ММ"))</f>
        <v>2023 03</v>
      </c>
      <c r="U1156" s="32">
        <f t="shared" si="92"/>
        <v>1079.45</v>
      </c>
      <c r="V1156" s="22">
        <f t="shared" si="93"/>
        <v>0.53423572789586993</v>
      </c>
      <c r="X1156" s="33"/>
      <c r="Y1156" s="33"/>
    </row>
    <row r="1157" spans="1:25" x14ac:dyDescent="0.2">
      <c r="A1157" s="93" t="s">
        <v>519</v>
      </c>
      <c r="B1157" s="94">
        <f>IFERROR(VLOOKUP($A1157,HeadJournal!$A$1:$NTR$890,COLUMN(HeadJournal!B$1),0),"")</f>
        <v>0</v>
      </c>
      <c r="C1157" s="94" t="str">
        <f>IFERROR(VLOOKUP($A1157,HeadJournal!$A$1:$NTR$890,COLUMN(HeadJournal!C$1),0),"")</f>
        <v>WBRS</v>
      </c>
      <c r="D1157" s="125" t="str">
        <f>IFERROR(VLOOKUP($A1157,HeadJournal!$A$1:$NTR$890,COLUMN(HeadJournal!D$1),0),"")</f>
        <v>Доставлен</v>
      </c>
      <c r="E1157" s="95">
        <f>IFERROR(VLOOKUP($A1157,HeadJournal!$A$1:$NTR$890,COLUMN(HeadJournal!G$1),0),"")</f>
        <v>44973</v>
      </c>
      <c r="F1157" s="95" t="str">
        <f t="shared" si="94"/>
        <v>2023 02</v>
      </c>
      <c r="G1157" s="96" t="s">
        <v>6</v>
      </c>
      <c r="H1157" s="160" t="str">
        <f>RIGHT(Journal!$J1157,9)</f>
        <v>139295316</v>
      </c>
      <c r="I1157" s="96" t="str">
        <f t="shared" si="91"/>
        <v>Cult</v>
      </c>
      <c r="J1157" s="97" t="s">
        <v>3515</v>
      </c>
      <c r="K1157" s="29">
        <v>1757</v>
      </c>
      <c r="L1157" s="29"/>
      <c r="M1157" s="30">
        <f>IFERROR(VLOOKUP($A1157,HeadJournal!$A$1:$J$890,COLUMN(HeadJournal!I$1),0)*($K1157+$L1157)/(SUMIF($A:$A,$A1157,$K:$K)+SUMIF($A:$A,$A1157,$L:$L)),0)</f>
        <v>0</v>
      </c>
      <c r="N1157" s="30">
        <f>IFERROR((VLOOKUP($A1157,HeadJournal!$A$1:$K$890,COLUMN(HeadJournal!K$1),0)-VLOOKUP($A1157,HeadJournal!$A$1:$K$890,COLUMN(HeadJournal!J$1),0))*($K1157+$L1157)/(SUMIF($A:$A,$A1157,$K:$K)+SUMIF($A:$A,$A1157,$L:$L)),0)</f>
        <v>0</v>
      </c>
      <c r="O1157" s="30">
        <f>IFERROR((VLOOKUP($A1157,HeadJournal!$A$1:$L$890,COLUMN(HeadJournal!L$1),0)*($K1157+$L1157)/(SUMIF($A:$A,$A1157,$K:$K)+SUMIF($A:$A,$A1157,$L:$L)))/VLOOKUP($A1157,HeadJournal!$A$1:$L$890,COLUMN(HeadJournal!H$1),0),0)</f>
        <v>263.55</v>
      </c>
      <c r="P1157" s="30">
        <f>IFERROR(SUM(K1157:O1157)*VLOOKUP($A1157,HeadJournal!$A$1:$L$890,COLUMN(HeadJournal!H$1),0),0)</f>
        <v>2020.55</v>
      </c>
      <c r="Q1157" s="29">
        <v>3100</v>
      </c>
      <c r="R1157" s="31">
        <v>44990</v>
      </c>
      <c r="S1157" s="31" t="s">
        <v>3121</v>
      </c>
      <c r="T1157" s="95" t="str">
        <f t="shared" si="95"/>
        <v>2023 03</v>
      </c>
      <c r="U1157" s="32">
        <f t="shared" si="92"/>
        <v>1079.45</v>
      </c>
      <c r="V1157" s="22">
        <f t="shared" si="93"/>
        <v>0.53423572789586993</v>
      </c>
      <c r="X1157" s="33"/>
      <c r="Y1157" s="33"/>
    </row>
    <row r="1158" spans="1:25" x14ac:dyDescent="0.2">
      <c r="A1158" s="93" t="s">
        <v>520</v>
      </c>
      <c r="B1158" s="94" t="str">
        <f>IFERROR(VLOOKUP($A1158,HeadJournal!$A$1:$NTR$890,COLUMN(HeadJournal!B$1),0),"")</f>
        <v>710000652834</v>
      </c>
      <c r="C1158" s="94" t="str">
        <f>IFERROR(VLOOKUP($A1158,HeadJournal!$A$1:$NTR$890,COLUMN(HeadJournal!C$1),0),"")</f>
        <v>iHerb_AV CYG0792</v>
      </c>
      <c r="D1158" s="125" t="str">
        <f>IFERROR(VLOOKUP($A1158,HeadJournal!$A$1:$NTR$890,COLUMN(HeadJournal!D$1),0),"")</f>
        <v>Доставлен</v>
      </c>
      <c r="E1158" s="95">
        <f>IFERROR(VLOOKUP($A1158,HeadJournal!$A$1:$NTR$890,COLUMN(HeadJournal!G$1),0),"")</f>
        <v>44985</v>
      </c>
      <c r="F1158" s="95" t="str">
        <f t="shared" si="94"/>
        <v>2023 02</v>
      </c>
      <c r="G1158" s="96" t="s">
        <v>5</v>
      </c>
      <c r="H1158" s="160" t="str">
        <f>RIGHT(Journal!$J1158,9)</f>
        <v>NOW-01452</v>
      </c>
      <c r="I1158" s="96" t="str">
        <f t="shared" si="91"/>
        <v>NOW Foods</v>
      </c>
      <c r="J1158" s="97" t="s">
        <v>149</v>
      </c>
      <c r="K1158" s="29">
        <v>10.199999999999999</v>
      </c>
      <c r="L1158" s="29">
        <v>-1.53</v>
      </c>
      <c r="M1158" s="30">
        <f>IFERROR(VLOOKUP($A1158,HeadJournal!$A$1:$J$890,COLUMN(HeadJournal!I$1),0)*($K1158+$L1158)/(SUMIF($A:$A,$A1158,$K:$K)+SUMIF($A:$A,$A1158,$L:$L)),0)</f>
        <v>1.0404944187312823</v>
      </c>
      <c r="N1158" s="30">
        <f>IFERROR((VLOOKUP($A1158,HeadJournal!$A$1:$K$890,COLUMN(HeadJournal!K$1),0)-VLOOKUP($A1158,HeadJournal!$A$1:$K$890,COLUMN(HeadJournal!J$1),0))*($K1158+$L1158)/(SUMIF($A:$A,$A1158,$K:$K)+SUMIF($A:$A,$A1158,$L:$L)),0)</f>
        <v>1.3417708726468977E-15</v>
      </c>
      <c r="O1158" s="30">
        <f>IFERROR((VLOOKUP($A1158,HeadJournal!$A$1:$L$890,COLUMN(HeadJournal!L$1),0)*($K1158+$L1158)/(SUMIF($A:$A,$A1158,$K:$K)+SUMIF($A:$A,$A1158,$L:$L)))/VLOOKUP($A1158,HeadJournal!$A$1:$L$890,COLUMN(HeadJournal!H$1),0),0)</f>
        <v>0.74453188044810537</v>
      </c>
      <c r="P1158" s="30">
        <f>IFERROR(SUM(K1158:O1158)*VLOOKUP($A1158,HeadJournal!$A$1:$L$890,COLUMN(HeadJournal!H$1),0),0)</f>
        <v>874.15080261366779</v>
      </c>
      <c r="Q1158" s="29">
        <v>1500</v>
      </c>
      <c r="R1158" s="31">
        <v>45018</v>
      </c>
      <c r="S1158" s="31" t="s">
        <v>3121</v>
      </c>
      <c r="T1158" s="95" t="str">
        <f t="shared" si="95"/>
        <v>2023 04</v>
      </c>
      <c r="U1158" s="32">
        <f t="shared" si="92"/>
        <v>625.84919738633221</v>
      </c>
      <c r="V1158" s="22">
        <f t="shared" si="93"/>
        <v>0.71595106418145926</v>
      </c>
      <c r="X1158" s="33"/>
      <c r="Y1158" s="33"/>
    </row>
    <row r="1159" spans="1:25" x14ac:dyDescent="0.2">
      <c r="A1159" s="93" t="s">
        <v>520</v>
      </c>
      <c r="B1159" s="94" t="str">
        <f>IFERROR(VLOOKUP($A1159,HeadJournal!$A$1:$NTR$890,COLUMN(HeadJournal!B$1),0),"")</f>
        <v>710000652834</v>
      </c>
      <c r="C1159" s="94" t="str">
        <f>IFERROR(VLOOKUP($A1159,HeadJournal!$A$1:$NTR$890,COLUMN(HeadJournal!C$1),0),"")</f>
        <v>iHerb_AV CYG0792</v>
      </c>
      <c r="D1159" s="125" t="str">
        <f>IFERROR(VLOOKUP($A1159,HeadJournal!$A$1:$NTR$890,COLUMN(HeadJournal!D$1),0),"")</f>
        <v>Доставлен</v>
      </c>
      <c r="E1159" s="95">
        <f>IFERROR(VLOOKUP($A1159,HeadJournal!$A$1:$NTR$890,COLUMN(HeadJournal!G$1),0),"")</f>
        <v>44985</v>
      </c>
      <c r="F1159" s="95" t="str">
        <f t="shared" si="94"/>
        <v>2023 02</v>
      </c>
      <c r="G1159" s="96" t="s">
        <v>5</v>
      </c>
      <c r="H1159" s="160" t="str">
        <f>RIGHT(Journal!$J1159,9)</f>
        <v>JRW-13007</v>
      </c>
      <c r="I1159" s="96" t="str">
        <f t="shared" si="91"/>
        <v>Jarrow Formulas</v>
      </c>
      <c r="J1159" s="97" t="s">
        <v>521</v>
      </c>
      <c r="K1159" s="29">
        <v>13.26</v>
      </c>
      <c r="L1159" s="29">
        <v>-1.99</v>
      </c>
      <c r="M1159" s="30">
        <f>IFERROR(VLOOKUP($A1159,HeadJournal!$A$1:$J$890,COLUMN(HeadJournal!I$1),0)*($K1159+$L1159)/(SUMIF($A:$A,$A1159,$K:$K)+SUMIF($A:$A,$A1159,$L:$L)),0)</f>
        <v>1.3525227334603867</v>
      </c>
      <c r="N1159" s="30">
        <f>IFERROR((VLOOKUP($A1159,HeadJournal!$A$1:$K$890,COLUMN(HeadJournal!K$1),0)-VLOOKUP($A1159,HeadJournal!$A$1:$K$890,COLUMN(HeadJournal!J$1),0))*($K1159+$L1159)/(SUMIF($A:$A,$A1159,$K:$K)+SUMIF($A:$A,$A1159,$L:$L)),0)</f>
        <v>1.7441473742480434E-15</v>
      </c>
      <c r="O1159" s="30">
        <f>IFERROR((VLOOKUP($A1159,HeadJournal!$A$1:$L$890,COLUMN(HeadJournal!L$1),0)*($K1159+$L1159)/(SUMIF($A:$A,$A1159,$K:$K)+SUMIF($A:$A,$A1159,$L:$L)))/VLOOKUP($A1159,HeadJournal!$A$1:$L$890,COLUMN(HeadJournal!H$1),0),0)</f>
        <v>0.96780557008652213</v>
      </c>
      <c r="P1159" s="30">
        <f>IFERROR(SUM(K1159:O1159)*VLOOKUP($A1159,HeadJournal!$A$1:$L$890,COLUMN(HeadJournal!H$1),0),0)</f>
        <v>1136.2952186223799</v>
      </c>
      <c r="Q1159" s="29">
        <v>2000</v>
      </c>
      <c r="R1159" s="31">
        <v>45018</v>
      </c>
      <c r="S1159" s="31" t="s">
        <v>3121</v>
      </c>
      <c r="T1159" s="95" t="str">
        <f t="shared" si="95"/>
        <v>2023 04</v>
      </c>
      <c r="U1159" s="32">
        <f t="shared" si="92"/>
        <v>863.70478137762007</v>
      </c>
      <c r="V1159" s="22">
        <f t="shared" si="93"/>
        <v>0.76010597177796568</v>
      </c>
      <c r="X1159" s="33"/>
      <c r="Y1159" s="33"/>
    </row>
    <row r="1160" spans="1:25" x14ac:dyDescent="0.2">
      <c r="A1160" s="93" t="s">
        <v>520</v>
      </c>
      <c r="B1160" s="94" t="str">
        <f>IFERROR(VLOOKUP($A1160,HeadJournal!$A$1:$NTR$890,COLUMN(HeadJournal!B$1),0),"")</f>
        <v>710000652834</v>
      </c>
      <c r="C1160" s="94" t="str">
        <f>IFERROR(VLOOKUP($A1160,HeadJournal!$A$1:$NTR$890,COLUMN(HeadJournal!C$1),0),"")</f>
        <v>iHerb_AV CYG0792</v>
      </c>
      <c r="D1160" s="125" t="str">
        <f>IFERROR(VLOOKUP($A1160,HeadJournal!$A$1:$NTR$890,COLUMN(HeadJournal!D$1),0),"")</f>
        <v>Доставлен</v>
      </c>
      <c r="E1160" s="95">
        <f>IFERROR(VLOOKUP($A1160,HeadJournal!$A$1:$NTR$890,COLUMN(HeadJournal!G$1),0),"")</f>
        <v>44985</v>
      </c>
      <c r="F1160" s="95" t="str">
        <f t="shared" si="94"/>
        <v>2023 02</v>
      </c>
      <c r="G1160" s="96" t="s">
        <v>5</v>
      </c>
      <c r="H1160" s="175" t="s">
        <v>3632</v>
      </c>
      <c r="I1160" s="176" t="s">
        <v>2008</v>
      </c>
      <c r="J1160" s="97" t="s">
        <v>3675</v>
      </c>
      <c r="K1160" s="29">
        <v>10.85</v>
      </c>
      <c r="L1160" s="29">
        <v>-1.63</v>
      </c>
      <c r="M1160" s="30">
        <f>IFERROR(VLOOKUP($A1160,HeadJournal!$A$1:$J$890,COLUMN(HeadJournal!I$1),0)*($K1160+$L1160)/(SUMIF($A:$A,$A1160,$K:$K)+SUMIF($A:$A,$A1160,$L:$L)),0)</f>
        <v>1.1065004083855159</v>
      </c>
      <c r="N1160" s="30">
        <f>IFERROR((VLOOKUP($A1160,HeadJournal!$A$1:$K$890,COLUMN(HeadJournal!K$1),0)-VLOOKUP($A1160,HeadJournal!$A$1:$K$890,COLUMN(HeadJournal!J$1),0))*($K1160+$L1160)/(SUMIF($A:$A,$A1160,$K:$K)+SUMIF($A:$A,$A1160,$L:$L)),0)</f>
        <v>1.4268889787548324E-15</v>
      </c>
      <c r="O1160" s="30">
        <f>IFERROR((VLOOKUP($A1160,HeadJournal!$A$1:$L$890,COLUMN(HeadJournal!L$1),0)*($K1160+$L1160)/(SUMIF($A:$A,$A1160,$K:$K)+SUMIF($A:$A,$A1160,$L:$L)))/VLOOKUP($A1160,HeadJournal!$A$1:$L$890,COLUMN(HeadJournal!H$1),0),0)</f>
        <v>0.79176285325623197</v>
      </c>
      <c r="P1160" s="30">
        <f>IFERROR(SUM(K1160:O1160)*VLOOKUP($A1160,HeadJournal!$A$1:$L$890,COLUMN(HeadJournal!H$1),0),0)</f>
        <v>929.60442907704908</v>
      </c>
      <c r="Q1160" s="29">
        <v>1700</v>
      </c>
      <c r="R1160" s="31">
        <v>45115</v>
      </c>
      <c r="S1160" s="31" t="s">
        <v>3121</v>
      </c>
      <c r="T1160" s="95" t="str">
        <f t="shared" si="95"/>
        <v>2023 07</v>
      </c>
      <c r="U1160" s="32">
        <f t="shared" si="92"/>
        <v>770.39557092295092</v>
      </c>
      <c r="V1160" s="22">
        <f t="shared" si="93"/>
        <v>0.82873483260813685</v>
      </c>
      <c r="X1160" s="33"/>
      <c r="Y1160" s="33"/>
    </row>
    <row r="1161" spans="1:25" x14ac:dyDescent="0.2">
      <c r="A1161" s="93" t="s">
        <v>520</v>
      </c>
      <c r="B1161" s="94" t="str">
        <f>IFERROR(VLOOKUP($A1161,HeadJournal!$A$1:$NTR$890,COLUMN(HeadJournal!B$1),0),"")</f>
        <v>710000652834</v>
      </c>
      <c r="C1161" s="94" t="str">
        <f>IFERROR(VLOOKUP($A1161,HeadJournal!$A$1:$NTR$890,COLUMN(HeadJournal!C$1),0),"")</f>
        <v>iHerb_AV CYG0792</v>
      </c>
      <c r="D1161" s="125" t="str">
        <f>IFERROR(VLOOKUP($A1161,HeadJournal!$A$1:$NTR$890,COLUMN(HeadJournal!D$1),0),"")</f>
        <v>Доставлен</v>
      </c>
      <c r="E1161" s="95">
        <f>IFERROR(VLOOKUP($A1161,HeadJournal!$A$1:$NTR$890,COLUMN(HeadJournal!G$1),0),"")</f>
        <v>44985</v>
      </c>
      <c r="F1161" s="95" t="str">
        <f t="shared" si="94"/>
        <v>2023 02</v>
      </c>
      <c r="G1161" s="96" t="s">
        <v>5</v>
      </c>
      <c r="H1161" s="160" t="str">
        <f>RIGHT(Journal!$J1161,9)</f>
        <v>NOW-01294</v>
      </c>
      <c r="I1161" s="96" t="str">
        <f t="shared" si="91"/>
        <v>NOW Foods</v>
      </c>
      <c r="J1161" s="97" t="s">
        <v>59</v>
      </c>
      <c r="K1161" s="29">
        <v>13.23</v>
      </c>
      <c r="L1161" s="29">
        <v>-1.98</v>
      </c>
      <c r="M1161" s="30">
        <f>IFERROR(VLOOKUP($A1161,HeadJournal!$A$1:$J$890,COLUMN(HeadJournal!I$1),0)*($K1161+$L1161)/(SUMIF($A:$A,$A1161,$K:$K)+SUMIF($A:$A,$A1161,$L:$L)),0)</f>
        <v>1.3501225156547783</v>
      </c>
      <c r="N1161" s="30">
        <f>IFERROR((VLOOKUP($A1161,HeadJournal!$A$1:$K$890,COLUMN(HeadJournal!K$1),0)-VLOOKUP($A1161,HeadJournal!$A$1:$K$890,COLUMN(HeadJournal!J$1),0))*($K1161+$L1161)/(SUMIF($A:$A,$A1161,$K:$K)+SUMIF($A:$A,$A1161,$L:$L)),0)</f>
        <v>1.7410521703895732E-15</v>
      </c>
      <c r="O1161" s="30">
        <f>IFERROR((VLOOKUP($A1161,HeadJournal!$A$1:$L$890,COLUMN(HeadJournal!L$1),0)*($K1161+$L1161)/(SUMIF($A:$A,$A1161,$K:$K)+SUMIF($A:$A,$A1161,$L:$L)))/VLOOKUP($A1161,HeadJournal!$A$1:$L$890,COLUMN(HeadJournal!H$1),0),0)</f>
        <v>0.96608808016622671</v>
      </c>
      <c r="P1161" s="30">
        <f>IFERROR(SUM(K1161:O1161)*VLOOKUP($A1161,HeadJournal!$A$1:$L$890,COLUMN(HeadJournal!H$1),0),0)</f>
        <v>1134.2787231146206</v>
      </c>
      <c r="Q1161" s="29">
        <v>2000</v>
      </c>
      <c r="R1161" s="31">
        <v>45014</v>
      </c>
      <c r="S1161" s="31" t="s">
        <v>3121</v>
      </c>
      <c r="T1161" s="95" t="str">
        <f t="shared" si="95"/>
        <v>2023 03</v>
      </c>
      <c r="U1161" s="32">
        <f t="shared" si="92"/>
        <v>865.72127688537944</v>
      </c>
      <c r="V1161" s="22">
        <f t="shared" si="93"/>
        <v>0.7632350490611266</v>
      </c>
      <c r="X1161" s="33"/>
      <c r="Y1161" s="33"/>
    </row>
    <row r="1162" spans="1:25" x14ac:dyDescent="0.2">
      <c r="A1162" s="93" t="s">
        <v>520</v>
      </c>
      <c r="B1162" s="94" t="str">
        <f>IFERROR(VLOOKUP($A1162,HeadJournal!$A$1:$NTR$890,COLUMN(HeadJournal!B$1),0),"")</f>
        <v>710000652834</v>
      </c>
      <c r="C1162" s="94" t="str">
        <f>IFERROR(VLOOKUP($A1162,HeadJournal!$A$1:$NTR$890,COLUMN(HeadJournal!C$1),0),"")</f>
        <v>iHerb_AV CYG0792</v>
      </c>
      <c r="D1162" s="125" t="str">
        <f>IFERROR(VLOOKUP($A1162,HeadJournal!$A$1:$NTR$890,COLUMN(HeadJournal!D$1),0),"")</f>
        <v>Доставлен</v>
      </c>
      <c r="E1162" s="95">
        <f>IFERROR(VLOOKUP($A1162,HeadJournal!$A$1:$NTR$890,COLUMN(HeadJournal!G$1),0),"")</f>
        <v>44985</v>
      </c>
      <c r="F1162" s="95" t="str">
        <f t="shared" si="94"/>
        <v>2023 02</v>
      </c>
      <c r="G1162" s="96" t="s">
        <v>5</v>
      </c>
      <c r="H1162" s="160" t="str">
        <f>RIGHT(Journal!$J1162,9)</f>
        <v>NOW-03212</v>
      </c>
      <c r="I1162" s="96" t="str">
        <f t="shared" si="91"/>
        <v>NOW Foods</v>
      </c>
      <c r="J1162" s="97" t="s">
        <v>100</v>
      </c>
      <c r="K1162" s="29">
        <v>23.8</v>
      </c>
      <c r="L1162" s="29">
        <v>-6.8</v>
      </c>
      <c r="M1162" s="30">
        <f>IFERROR(VLOOKUP($A1162,HeadJournal!$A$1:$J$890,COLUMN(HeadJournal!I$1),0)*($K1162+$L1162)/(SUMIF($A:$A,$A1162,$K:$K)+SUMIF($A:$A,$A1162,$L:$L)),0)</f>
        <v>2.0401851347672206</v>
      </c>
      <c r="N1162" s="30">
        <f>IFERROR((VLOOKUP($A1162,HeadJournal!$A$1:$K$890,COLUMN(HeadJournal!K$1),0)-VLOOKUP($A1162,HeadJournal!$A$1:$K$890,COLUMN(HeadJournal!J$1),0))*($K1162+$L1162)/(SUMIF($A:$A,$A1162,$K:$K)+SUMIF($A:$A,$A1162,$L:$L)),0)</f>
        <v>2.6309232796997997E-15</v>
      </c>
      <c r="O1162" s="30">
        <f>IFERROR((VLOOKUP($A1162,HeadJournal!$A$1:$L$890,COLUMN(HeadJournal!L$1),0)*($K1162+$L1162)/(SUMIF($A:$A,$A1162,$K:$K)+SUMIF($A:$A,$A1162,$L:$L)))/VLOOKUP($A1162,HeadJournal!$A$1:$L$890,COLUMN(HeadJournal!H$1),0),0)</f>
        <v>1.4598664322511872</v>
      </c>
      <c r="P1162" s="30">
        <f>IFERROR(SUM(K1162:O1162)*VLOOKUP($A1162,HeadJournal!$A$1:$L$890,COLUMN(HeadJournal!H$1),0),0)</f>
        <v>1714.0211815954267</v>
      </c>
      <c r="Q1162" s="29">
        <v>3200</v>
      </c>
      <c r="R1162" s="31">
        <v>45428</v>
      </c>
      <c r="S1162" s="31" t="s">
        <v>3121</v>
      </c>
      <c r="T1162" s="95" t="str">
        <f t="shared" si="95"/>
        <v>2024 05</v>
      </c>
      <c r="U1162" s="32">
        <f t="shared" si="92"/>
        <v>1485.9788184045733</v>
      </c>
      <c r="V1162" s="22">
        <f t="shared" si="93"/>
        <v>0.8669547578294281</v>
      </c>
      <c r="X1162" s="33"/>
      <c r="Y1162" s="33"/>
    </row>
    <row r="1163" spans="1:25" x14ac:dyDescent="0.2">
      <c r="A1163" s="93" t="s">
        <v>520</v>
      </c>
      <c r="B1163" s="94" t="str">
        <f>IFERROR(VLOOKUP($A1163,HeadJournal!$A$1:$NTR$890,COLUMN(HeadJournal!B$1),0),"")</f>
        <v>710000652834</v>
      </c>
      <c r="C1163" s="94" t="str">
        <f>IFERROR(VLOOKUP($A1163,HeadJournal!$A$1:$NTR$890,COLUMN(HeadJournal!C$1),0),"")</f>
        <v>iHerb_AV CYG0792</v>
      </c>
      <c r="D1163" s="125" t="str">
        <f>IFERROR(VLOOKUP($A1163,HeadJournal!$A$1:$NTR$890,COLUMN(HeadJournal!D$1),0),"")</f>
        <v>Доставлен</v>
      </c>
      <c r="E1163" s="95">
        <f>IFERROR(VLOOKUP($A1163,HeadJournal!$A$1:$NTR$890,COLUMN(HeadJournal!G$1),0),"")</f>
        <v>44985</v>
      </c>
      <c r="F1163" s="95" t="str">
        <f t="shared" si="94"/>
        <v>2023 02</v>
      </c>
      <c r="G1163" s="96" t="s">
        <v>5</v>
      </c>
      <c r="H1163" s="175" t="s">
        <v>3647</v>
      </c>
      <c r="I1163" s="176" t="s">
        <v>2042</v>
      </c>
      <c r="J1163" s="97" t="s">
        <v>3696</v>
      </c>
      <c r="K1163" s="29">
        <v>15.31</v>
      </c>
      <c r="L1163" s="29">
        <v>-2.2999999999999998</v>
      </c>
      <c r="M1163" s="30">
        <f>IFERROR(VLOOKUP($A1163,HeadJournal!$A$1:$J$890,COLUMN(HeadJournal!I$1),0)*($K1163+$L1163)/(SUMIF($A:$A,$A1163,$K:$K)+SUMIF($A:$A,$A1163,$L:$L)),0)</f>
        <v>1.5613416825483259</v>
      </c>
      <c r="N1163" s="30">
        <f>IFERROR((VLOOKUP($A1163,HeadJournal!$A$1:$K$890,COLUMN(HeadJournal!K$1),0)-VLOOKUP($A1163,HeadJournal!$A$1:$K$890,COLUMN(HeadJournal!J$1),0))*($K1163+$L1163)/(SUMIF($A:$A,$A1163,$K:$K)+SUMIF($A:$A,$A1163,$L:$L)),0)</f>
        <v>2.0134301099349644E-15</v>
      </c>
      <c r="O1163" s="30">
        <f>IFERROR((VLOOKUP($A1163,HeadJournal!$A$1:$L$890,COLUMN(HeadJournal!L$1),0)*($K1163+$L1163)/(SUMIF($A:$A,$A1163,$K:$K)+SUMIF($A:$A,$A1163,$L:$L)))/VLOOKUP($A1163,HeadJournal!$A$1:$L$890,COLUMN(HeadJournal!H$1),0),0)</f>
        <v>1.117227193152232</v>
      </c>
      <c r="P1163" s="30">
        <f>IFERROR(SUM(K1163:O1163)*VLOOKUP($A1163,HeadJournal!$A$1:$L$890,COLUMN(HeadJournal!H$1),0),0)</f>
        <v>1311.7303277974413</v>
      </c>
      <c r="Q1163" s="29">
        <v>2400</v>
      </c>
      <c r="R1163" s="31">
        <v>45260</v>
      </c>
      <c r="S1163" s="31" t="s">
        <v>3121</v>
      </c>
      <c r="T1163" s="95" t="str">
        <f t="shared" si="95"/>
        <v>2023 11</v>
      </c>
      <c r="U1163" s="32">
        <f t="shared" si="92"/>
        <v>1088.2696722025587</v>
      </c>
      <c r="V1163" s="22">
        <f t="shared" si="93"/>
        <v>0.8296443629765724</v>
      </c>
      <c r="X1163" s="33"/>
      <c r="Y1163" s="33"/>
    </row>
    <row r="1164" spans="1:25" x14ac:dyDescent="0.2">
      <c r="A1164" s="93" t="s">
        <v>520</v>
      </c>
      <c r="B1164" s="94" t="str">
        <f>IFERROR(VLOOKUP($A1164,HeadJournal!$A$1:$NTR$890,COLUMN(HeadJournal!B$1),0),"")</f>
        <v>710000652834</v>
      </c>
      <c r="C1164" s="94" t="str">
        <f>IFERROR(VLOOKUP($A1164,HeadJournal!$A$1:$NTR$890,COLUMN(HeadJournal!C$1),0),"")</f>
        <v>iHerb_AV CYG0792</v>
      </c>
      <c r="D1164" s="125" t="str">
        <f>IFERROR(VLOOKUP($A1164,HeadJournal!$A$1:$NTR$890,COLUMN(HeadJournal!D$1),0),"")</f>
        <v>Доставлен</v>
      </c>
      <c r="E1164" s="95">
        <f>IFERROR(VLOOKUP($A1164,HeadJournal!$A$1:$NTR$890,COLUMN(HeadJournal!G$1),0),"")</f>
        <v>44985</v>
      </c>
      <c r="F1164" s="95" t="str">
        <f t="shared" si="94"/>
        <v>2023 02</v>
      </c>
      <c r="G1164" s="96" t="s">
        <v>5</v>
      </c>
      <c r="H1164" s="161" t="s">
        <v>2471</v>
      </c>
      <c r="I1164" s="97" t="s">
        <v>2039</v>
      </c>
      <c r="J1164" s="97" t="s">
        <v>2472</v>
      </c>
      <c r="K1164" s="29">
        <v>20.69</v>
      </c>
      <c r="L1164" s="29">
        <v>-3.1</v>
      </c>
      <c r="M1164" s="30">
        <f>IFERROR(VLOOKUP($A1164,HeadJournal!$A$1:$J$890,COLUMN(HeadJournal!I$1),0)*($K1164+$L1164)/(SUMIF($A:$A,$A1164,$K:$K)+SUMIF($A:$A,$A1164,$L:$L)),0)</f>
        <v>2.1109915600326707</v>
      </c>
      <c r="N1164" s="30">
        <f>IFERROR((VLOOKUP($A1164,HeadJournal!$A$1:$K$890,COLUMN(HeadJournal!K$1),0)-VLOOKUP($A1164,HeadJournal!$A$1:$K$890,COLUMN(HeadJournal!J$1),0))*($K1164+$L1164)/(SUMIF($A:$A,$A1164,$K:$K)+SUMIF($A:$A,$A1164,$L:$L)),0)</f>
        <v>2.7222317935246748E-15</v>
      </c>
      <c r="O1164" s="30">
        <f>IFERROR((VLOOKUP($A1164,HeadJournal!$A$1:$L$890,COLUMN(HeadJournal!L$1),0)*($K1164+$L1164)/(SUMIF($A:$A,$A1164,$K:$K)+SUMIF($A:$A,$A1164,$L:$L)))/VLOOKUP($A1164,HeadJournal!$A$1:$L$890,COLUMN(HeadJournal!H$1),0),0)</f>
        <v>1.5105323848999046</v>
      </c>
      <c r="P1164" s="30">
        <f>IFERROR(SUM(K1164:O1164)*VLOOKUP($A1164,HeadJournal!$A$1:$L$890,COLUMN(HeadJournal!H$1),0),0)</f>
        <v>1773.5077990743266</v>
      </c>
      <c r="Q1164" s="29">
        <v>2900</v>
      </c>
      <c r="R1164" s="31">
        <v>45068</v>
      </c>
      <c r="S1164" s="31" t="s">
        <v>3121</v>
      </c>
      <c r="T1164" s="95" t="str">
        <f t="shared" si="95"/>
        <v>2023 05</v>
      </c>
      <c r="U1164" s="32">
        <f t="shared" si="92"/>
        <v>1126.4922009256734</v>
      </c>
      <c r="V1164" s="22">
        <f t="shared" si="93"/>
        <v>0.63517747230299204</v>
      </c>
      <c r="X1164" s="33"/>
      <c r="Y1164" s="33"/>
    </row>
    <row r="1165" spans="1:25" x14ac:dyDescent="0.2">
      <c r="A1165" s="93" t="s">
        <v>520</v>
      </c>
      <c r="B1165" s="94" t="str">
        <f>IFERROR(VLOOKUP($A1165,HeadJournal!$A$1:$NTR$890,COLUMN(HeadJournal!B$1),0),"")</f>
        <v>710000652834</v>
      </c>
      <c r="C1165" s="94" t="str">
        <f>IFERROR(VLOOKUP($A1165,HeadJournal!$A$1:$NTR$890,COLUMN(HeadJournal!C$1),0),"")</f>
        <v>iHerb_AV CYG0792</v>
      </c>
      <c r="D1165" s="125" t="str">
        <f>IFERROR(VLOOKUP($A1165,HeadJournal!$A$1:$NTR$890,COLUMN(HeadJournal!D$1),0),"")</f>
        <v>Доставлен</v>
      </c>
      <c r="E1165" s="95">
        <f>IFERROR(VLOOKUP($A1165,HeadJournal!$A$1:$NTR$890,COLUMN(HeadJournal!G$1),0),"")</f>
        <v>44985</v>
      </c>
      <c r="F1165" s="95" t="str">
        <f t="shared" si="94"/>
        <v>2023 02</v>
      </c>
      <c r="G1165" s="96" t="s">
        <v>5</v>
      </c>
      <c r="H1165" s="161" t="s">
        <v>2016</v>
      </c>
      <c r="I1165" s="97" t="s">
        <v>2005</v>
      </c>
      <c r="J1165" s="97" t="s">
        <v>2017</v>
      </c>
      <c r="K1165" s="29">
        <v>25.37</v>
      </c>
      <c r="L1165" s="29">
        <v>-3.81</v>
      </c>
      <c r="M1165" s="30">
        <f>IFERROR(VLOOKUP($A1165,HeadJournal!$A$1:$J$890,COLUMN(HeadJournal!I$1),0)*($K1165+$L1165)/(SUMIF($A:$A,$A1165,$K:$K)+SUMIF($A:$A,$A1165,$L:$L)),0)</f>
        <v>2.5874347944459575</v>
      </c>
      <c r="N1165" s="30">
        <f>IFERROR((VLOOKUP($A1165,HeadJournal!$A$1:$K$890,COLUMN(HeadJournal!K$1),0)-VLOOKUP($A1165,HeadJournal!$A$1:$K$890,COLUMN(HeadJournal!J$1),0))*($K1165+$L1165)/(SUMIF($A:$A,$A1165,$K:$K)+SUMIF($A:$A,$A1165,$L:$L)),0)</f>
        <v>3.3366297594310404E-15</v>
      </c>
      <c r="O1165" s="30">
        <f>IFERROR((VLOOKUP($A1165,HeadJournal!$A$1:$L$890,COLUMN(HeadJournal!L$1),0)*($K1165+$L1165)/(SUMIF($A:$A,$A1165,$K:$K)+SUMIF($A:$A,$A1165,$L:$L)))/VLOOKUP($A1165,HeadJournal!$A$1:$L$890,COLUMN(HeadJournal!H$1),0),0)</f>
        <v>1.8514541340785644</v>
      </c>
      <c r="P1165" s="30">
        <f>IFERROR(SUM(K1165:O1165)*VLOOKUP($A1165,HeadJournal!$A$1:$L$890,COLUMN(HeadJournal!H$1),0),0)</f>
        <v>2173.7821573645533</v>
      </c>
      <c r="Q1165" s="29">
        <v>3300</v>
      </c>
      <c r="R1165" s="31">
        <v>45158</v>
      </c>
      <c r="S1165" s="31" t="s">
        <v>3121</v>
      </c>
      <c r="T1165" s="95" t="str">
        <f t="shared" si="95"/>
        <v>2023 08</v>
      </c>
      <c r="U1165" s="32">
        <f t="shared" si="92"/>
        <v>1126.2178426354467</v>
      </c>
      <c r="V1165" s="22">
        <f t="shared" si="93"/>
        <v>0.51809140065849513</v>
      </c>
      <c r="X1165" s="33"/>
      <c r="Y1165" s="33"/>
    </row>
    <row r="1166" spans="1:25" x14ac:dyDescent="0.2">
      <c r="A1166" s="93" t="s">
        <v>520</v>
      </c>
      <c r="B1166" s="94" t="str">
        <f>IFERROR(VLOOKUP($A1166,HeadJournal!$A$1:$NTR$890,COLUMN(HeadJournal!B$1),0),"")</f>
        <v>710000652834</v>
      </c>
      <c r="C1166" s="94" t="str">
        <f>IFERROR(VLOOKUP($A1166,HeadJournal!$A$1:$NTR$890,COLUMN(HeadJournal!C$1),0),"")</f>
        <v>iHerb_AV CYG0792</v>
      </c>
      <c r="D1166" s="125" t="str">
        <f>IFERROR(VLOOKUP($A1166,HeadJournal!$A$1:$NTR$890,COLUMN(HeadJournal!D$1),0),"")</f>
        <v>Доставлен</v>
      </c>
      <c r="E1166" s="95">
        <f>IFERROR(VLOOKUP($A1166,HeadJournal!$A$1:$NTR$890,COLUMN(HeadJournal!G$1),0),"")</f>
        <v>44985</v>
      </c>
      <c r="F1166" s="95" t="str">
        <f t="shared" si="94"/>
        <v>2023 02</v>
      </c>
      <c r="G1166" s="96" t="s">
        <v>5</v>
      </c>
      <c r="H1166" s="161" t="s">
        <v>2502</v>
      </c>
      <c r="I1166" s="97" t="s">
        <v>2005</v>
      </c>
      <c r="J1166" s="97" t="s">
        <v>2503</v>
      </c>
      <c r="K1166" s="29">
        <v>19.61</v>
      </c>
      <c r="L1166" s="29">
        <v>-2.94</v>
      </c>
      <c r="M1166" s="30">
        <f>IFERROR(VLOOKUP($A1166,HeadJournal!$A$1:$J$890,COLUMN(HeadJournal!I$1),0)*($K1166+$L1166)/(SUMIF($A:$A,$A1166,$K:$K)+SUMIF($A:$A,$A1166,$L:$L)),0)</f>
        <v>2.0005815409746801</v>
      </c>
      <c r="N1166" s="30">
        <f>IFERROR((VLOOKUP($A1166,HeadJournal!$A$1:$K$890,COLUMN(HeadJournal!K$1),0)-VLOOKUP($A1166,HeadJournal!$A$1:$K$890,COLUMN(HeadJournal!J$1),0))*($K1166+$L1166)/(SUMIF($A:$A,$A1166,$K:$K)+SUMIF($A:$A,$A1166,$L:$L)),0)</f>
        <v>2.5798524160350386E-15</v>
      </c>
      <c r="O1166" s="30">
        <f>IFERROR((VLOOKUP($A1166,HeadJournal!$A$1:$L$890,COLUMN(HeadJournal!L$1),0)*($K1166+$L1166)/(SUMIF($A:$A,$A1166,$K:$K)+SUMIF($A:$A,$A1166,$L:$L)))/VLOOKUP($A1166,HeadJournal!$A$1:$L$890,COLUMN(HeadJournal!H$1),0),0)</f>
        <v>1.431527848566311</v>
      </c>
      <c r="P1166" s="30">
        <f>IFERROR(SUM(K1166:O1166)*VLOOKUP($A1166,HeadJournal!$A$1:$L$890,COLUMN(HeadJournal!H$1),0),0)</f>
        <v>1680.7490057173977</v>
      </c>
      <c r="Q1166" s="29">
        <v>2900</v>
      </c>
      <c r="R1166" s="31">
        <v>45038</v>
      </c>
      <c r="S1166" s="31" t="s">
        <v>3121</v>
      </c>
      <c r="T1166" s="95" t="str">
        <f t="shared" si="95"/>
        <v>2023 04</v>
      </c>
      <c r="U1166" s="32">
        <f t="shared" si="92"/>
        <v>1219.2509942826023</v>
      </c>
      <c r="V1166" s="22">
        <f t="shared" si="93"/>
        <v>0.72542122002457277</v>
      </c>
      <c r="X1166" s="33"/>
      <c r="Y1166" s="33"/>
    </row>
    <row r="1167" spans="1:25" x14ac:dyDescent="0.2">
      <c r="A1167" s="93" t="s">
        <v>520</v>
      </c>
      <c r="B1167" s="94" t="str">
        <f>IFERROR(VLOOKUP($A1167,HeadJournal!$A$1:$NTR$890,COLUMN(HeadJournal!B$1),0),"")</f>
        <v>710000652834</v>
      </c>
      <c r="C1167" s="94" t="str">
        <f>IFERROR(VLOOKUP($A1167,HeadJournal!$A$1:$NTR$890,COLUMN(HeadJournal!C$1),0),"")</f>
        <v>iHerb_AV CYG0792</v>
      </c>
      <c r="D1167" s="125" t="str">
        <f>IFERROR(VLOOKUP($A1167,HeadJournal!$A$1:$NTR$890,COLUMN(HeadJournal!D$1),0),"")</f>
        <v>Доставлен</v>
      </c>
      <c r="E1167" s="95">
        <f>IFERROR(VLOOKUP($A1167,HeadJournal!$A$1:$NTR$890,COLUMN(HeadJournal!G$1),0),"")</f>
        <v>44985</v>
      </c>
      <c r="F1167" s="95" t="str">
        <f t="shared" si="94"/>
        <v>2023 02</v>
      </c>
      <c r="G1167" s="96" t="s">
        <v>5</v>
      </c>
      <c r="H1167" s="161" t="s">
        <v>2502</v>
      </c>
      <c r="I1167" s="97" t="s">
        <v>2005</v>
      </c>
      <c r="J1167" s="97" t="s">
        <v>2503</v>
      </c>
      <c r="K1167" s="29">
        <v>19.61</v>
      </c>
      <c r="L1167" s="29">
        <v>-2.94</v>
      </c>
      <c r="M1167" s="30">
        <f>IFERROR(VLOOKUP($A1167,HeadJournal!$A$1:$J$890,COLUMN(HeadJournal!I$1),0)*($K1167+$L1167)/(SUMIF($A:$A,$A1167,$K:$K)+SUMIF($A:$A,$A1167,$L:$L)),0)</f>
        <v>2.0005815409746801</v>
      </c>
      <c r="N1167" s="30">
        <f>IFERROR((VLOOKUP($A1167,HeadJournal!$A$1:$K$890,COLUMN(HeadJournal!K$1),0)-VLOOKUP($A1167,HeadJournal!$A$1:$K$890,COLUMN(HeadJournal!J$1),0))*($K1167+$L1167)/(SUMIF($A:$A,$A1167,$K:$K)+SUMIF($A:$A,$A1167,$L:$L)),0)</f>
        <v>2.5798524160350386E-15</v>
      </c>
      <c r="O1167" s="30">
        <f>IFERROR((VLOOKUP($A1167,HeadJournal!$A$1:$L$890,COLUMN(HeadJournal!L$1),0)*($K1167+$L1167)/(SUMIF($A:$A,$A1167,$K:$K)+SUMIF($A:$A,$A1167,$L:$L)))/VLOOKUP($A1167,HeadJournal!$A$1:$L$890,COLUMN(HeadJournal!H$1),0),0)</f>
        <v>1.431527848566311</v>
      </c>
      <c r="P1167" s="30">
        <f>IFERROR(SUM(K1167:O1167)*VLOOKUP($A1167,HeadJournal!$A$1:$L$890,COLUMN(HeadJournal!H$1),0),0)</f>
        <v>1680.7490057173977</v>
      </c>
      <c r="Q1167" s="29">
        <v>2900</v>
      </c>
      <c r="R1167" s="31">
        <v>45253</v>
      </c>
      <c r="S1167" s="31" t="s">
        <v>3121</v>
      </c>
      <c r="T1167" s="95" t="str">
        <f t="shared" si="95"/>
        <v>2023 11</v>
      </c>
      <c r="U1167" s="32">
        <f t="shared" si="92"/>
        <v>1219.2509942826023</v>
      </c>
      <c r="V1167" s="22">
        <f t="shared" si="93"/>
        <v>0.72542122002457277</v>
      </c>
      <c r="X1167" s="33"/>
      <c r="Y1167" s="33"/>
    </row>
    <row r="1168" spans="1:25" x14ac:dyDescent="0.2">
      <c r="A1168" s="93" t="s">
        <v>520</v>
      </c>
      <c r="B1168" s="94" t="str">
        <f>IFERROR(VLOOKUP($A1168,HeadJournal!$A$1:$NTR$890,COLUMN(HeadJournal!B$1),0),"")</f>
        <v>710000652834</v>
      </c>
      <c r="C1168" s="94" t="str">
        <f>IFERROR(VLOOKUP($A1168,HeadJournal!$A$1:$NTR$890,COLUMN(HeadJournal!C$1),0),"")</f>
        <v>iHerb_AV CYG0792</v>
      </c>
      <c r="D1168" s="125" t="str">
        <f>IFERROR(VLOOKUP($A1168,HeadJournal!$A$1:$NTR$890,COLUMN(HeadJournal!D$1),0),"")</f>
        <v>Доставлен</v>
      </c>
      <c r="E1168" s="95">
        <f>IFERROR(VLOOKUP($A1168,HeadJournal!$A$1:$NTR$890,COLUMN(HeadJournal!G$1),0),"")</f>
        <v>44985</v>
      </c>
      <c r="F1168" s="95" t="str">
        <f t="shared" si="94"/>
        <v>2023 02</v>
      </c>
      <c r="G1168" s="96" t="s">
        <v>5</v>
      </c>
      <c r="H1168" s="160" t="str">
        <f>RIGHT(Journal!$J1168,9)</f>
        <v>NOW-01607</v>
      </c>
      <c r="I1168" s="96" t="str">
        <f t="shared" si="91"/>
        <v>NOW Foods</v>
      </c>
      <c r="J1168" s="97" t="s">
        <v>522</v>
      </c>
      <c r="K1168" s="29">
        <v>11.47</v>
      </c>
      <c r="L1168" s="29">
        <v>-1.72</v>
      </c>
      <c r="M1168" s="30">
        <f>IFERROR(VLOOKUP($A1168,HeadJournal!$A$1:$J$890,COLUMN(HeadJournal!I$1),0)*($K1168+$L1168)/(SUMIF($A:$A,$A1168,$K:$K)+SUMIF($A:$A,$A1168,$L:$L)),0)</f>
        <v>1.170106180234141</v>
      </c>
      <c r="N1168" s="30">
        <f>IFERROR((VLOOKUP($A1168,HeadJournal!$A$1:$K$890,COLUMN(HeadJournal!K$1),0)-VLOOKUP($A1168,HeadJournal!$A$1:$K$890,COLUMN(HeadJournal!J$1),0))*($K1168+$L1168)/(SUMIF($A:$A,$A1168,$K:$K)+SUMIF($A:$A,$A1168,$L:$L)),0)</f>
        <v>1.5089118810042968E-15</v>
      </c>
      <c r="O1168" s="30">
        <f>IFERROR((VLOOKUP($A1168,HeadJournal!$A$1:$L$890,COLUMN(HeadJournal!L$1),0)*($K1168+$L1168)/(SUMIF($A:$A,$A1168,$K:$K)+SUMIF($A:$A,$A1168,$L:$L)))/VLOOKUP($A1168,HeadJournal!$A$1:$L$890,COLUMN(HeadJournal!H$1),0),0)</f>
        <v>0.83727633614406316</v>
      </c>
      <c r="P1168" s="30">
        <f>IFERROR(SUM(K1168:O1168)*VLOOKUP($A1168,HeadJournal!$A$1:$L$890,COLUMN(HeadJournal!H$1),0),0)</f>
        <v>983.04156003267121</v>
      </c>
      <c r="Q1168" s="29">
        <v>1800</v>
      </c>
      <c r="R1168" s="31">
        <v>45176</v>
      </c>
      <c r="S1168" s="31" t="s">
        <v>3121</v>
      </c>
      <c r="T1168" s="95" t="str">
        <f t="shared" si="95"/>
        <v>2023 09</v>
      </c>
      <c r="U1168" s="32">
        <f t="shared" si="92"/>
        <v>816.95843996732879</v>
      </c>
      <c r="V1168" s="22">
        <f t="shared" si="93"/>
        <v>0.83105178171732363</v>
      </c>
      <c r="X1168" s="33"/>
      <c r="Y1168" s="33"/>
    </row>
    <row r="1169" spans="1:25" x14ac:dyDescent="0.2">
      <c r="A1169" s="93" t="s">
        <v>520</v>
      </c>
      <c r="B1169" s="94" t="str">
        <f>IFERROR(VLOOKUP($A1169,HeadJournal!$A$1:$NTR$890,COLUMN(HeadJournal!B$1),0),"")</f>
        <v>710000652834</v>
      </c>
      <c r="C1169" s="94" t="str">
        <f>IFERROR(VLOOKUP($A1169,HeadJournal!$A$1:$NTR$890,COLUMN(HeadJournal!C$1),0),"")</f>
        <v>iHerb_AV CYG0792</v>
      </c>
      <c r="D1169" s="125" t="str">
        <f>IFERROR(VLOOKUP($A1169,HeadJournal!$A$1:$NTR$890,COLUMN(HeadJournal!D$1),0),"")</f>
        <v>Доставлен</v>
      </c>
      <c r="E1169" s="95">
        <f>IFERROR(VLOOKUP($A1169,HeadJournal!$A$1:$NTR$890,COLUMN(HeadJournal!G$1),0),"")</f>
        <v>44985</v>
      </c>
      <c r="F1169" s="95" t="str">
        <f t="shared" si="94"/>
        <v>2023 02</v>
      </c>
      <c r="G1169" s="96" t="s">
        <v>5</v>
      </c>
      <c r="H1169" s="160" t="str">
        <f>RIGHT(Journal!$J1169,9)</f>
        <v>NOR-01817</v>
      </c>
      <c r="I1169" s="96" t="str">
        <f t="shared" si="91"/>
        <v>Nordic Naturals</v>
      </c>
      <c r="J1169" s="97" t="s">
        <v>523</v>
      </c>
      <c r="K1169" s="29">
        <v>8.69</v>
      </c>
      <c r="L1169" s="29">
        <v>-1.3</v>
      </c>
      <c r="M1169" s="30">
        <f>IFERROR(VLOOKUP($A1169,HeadJournal!$A$1:$J$890,COLUMN(HeadJournal!I$1),0)*($K1169+$L1169)/(SUMIF($A:$A,$A1169,$K:$K)+SUMIF($A:$A,$A1169,$L:$L)),0)</f>
        <v>0.8868804791723387</v>
      </c>
      <c r="N1169" s="30">
        <f>IFERROR((VLOOKUP($A1169,HeadJournal!$A$1:$K$890,COLUMN(HeadJournal!K$1),0)-VLOOKUP($A1169,HeadJournal!$A$1:$K$890,COLUMN(HeadJournal!J$1),0))*($K1169+$L1169)/(SUMIF($A:$A,$A1169,$K:$K)+SUMIF($A:$A,$A1169,$L:$L)),0)</f>
        <v>1.1436778257047952E-15</v>
      </c>
      <c r="O1169" s="30">
        <f>IFERROR((VLOOKUP($A1169,HeadJournal!$A$1:$L$890,COLUMN(HeadJournal!L$1),0)*($K1169+$L1169)/(SUMIF($A:$A,$A1169,$K:$K)+SUMIF($A:$A,$A1169,$L:$L)))/VLOOKUP($A1169,HeadJournal!$A$1:$L$890,COLUMN(HeadJournal!H$1),0),0)</f>
        <v>0.63461252554919245</v>
      </c>
      <c r="P1169" s="30">
        <f>IFERROR(SUM(K1169:O1169)*VLOOKUP($A1169,HeadJournal!$A$1:$L$890,COLUMN(HeadJournal!H$1),0),0)</f>
        <v>745.09509011707075</v>
      </c>
      <c r="Q1169" s="29">
        <v>1500</v>
      </c>
      <c r="R1169" s="31">
        <v>45016</v>
      </c>
      <c r="S1169" s="31" t="s">
        <v>3121</v>
      </c>
      <c r="T1169" s="95" t="str">
        <f t="shared" si="95"/>
        <v>2023 03</v>
      </c>
      <c r="U1169" s="32">
        <f t="shared" si="92"/>
        <v>754.90490988292925</v>
      </c>
      <c r="V1169" s="22">
        <f t="shared" si="93"/>
        <v>1.0131658628488844</v>
      </c>
      <c r="X1169" s="33"/>
      <c r="Y1169" s="33"/>
    </row>
    <row r="1170" spans="1:25" x14ac:dyDescent="0.2">
      <c r="A1170" s="93" t="s">
        <v>520</v>
      </c>
      <c r="B1170" s="94" t="str">
        <f>IFERROR(VLOOKUP($A1170,HeadJournal!$A$1:$NTR$890,COLUMN(HeadJournal!B$1),0),"")</f>
        <v>710000652834</v>
      </c>
      <c r="C1170" s="94" t="str">
        <f>IFERROR(VLOOKUP($A1170,HeadJournal!$A$1:$NTR$890,COLUMN(HeadJournal!C$1),0),"")</f>
        <v>iHerb_AV CYG0792</v>
      </c>
      <c r="D1170" s="125" t="str">
        <f>IFERROR(VLOOKUP($A1170,HeadJournal!$A$1:$NTR$890,COLUMN(HeadJournal!D$1),0),"")</f>
        <v>Доставлен</v>
      </c>
      <c r="E1170" s="95">
        <f>IFERROR(VLOOKUP($A1170,HeadJournal!$A$1:$NTR$890,COLUMN(HeadJournal!G$1),0),"")</f>
        <v>44985</v>
      </c>
      <c r="F1170" s="95" t="str">
        <f t="shared" si="94"/>
        <v>2023 02</v>
      </c>
      <c r="G1170" s="96" t="s">
        <v>5</v>
      </c>
      <c r="H1170" s="160" t="str">
        <f>RIGHT(Journal!$J1170,9)</f>
        <v>NRT-19491</v>
      </c>
      <c r="I1170" s="96" t="str">
        <f t="shared" si="91"/>
        <v>Nature's Bounty</v>
      </c>
      <c r="J1170" s="97" t="s">
        <v>524</v>
      </c>
      <c r="K1170" s="29">
        <v>13.885</v>
      </c>
      <c r="L1170" s="29">
        <v>-2.085</v>
      </c>
      <c r="M1170" s="30">
        <f>IFERROR(VLOOKUP($A1170,HeadJournal!$A$1:$J$890,COLUMN(HeadJournal!I$1),0)*($K1170+$L1170)/(SUMIF($A:$A,$A1170,$K:$K)+SUMIF($A:$A,$A1170,$L:$L)),0)</f>
        <v>1.4161285053090118</v>
      </c>
      <c r="N1170" s="30">
        <f>IFERROR((VLOOKUP($A1170,HeadJournal!$A$1:$K$890,COLUMN(HeadJournal!K$1),0)-VLOOKUP($A1170,HeadJournal!$A$1:$K$890,COLUMN(HeadJournal!J$1),0))*($K1170+$L1170)/(SUMIF($A:$A,$A1170,$K:$K)+SUMIF($A:$A,$A1170,$L:$L)),0)</f>
        <v>1.8261702764975079E-15</v>
      </c>
      <c r="O1170" s="30">
        <f>IFERROR((VLOOKUP($A1170,HeadJournal!$A$1:$L$890,COLUMN(HeadJournal!L$1),0)*($K1170+$L1170)/(SUMIF($A:$A,$A1170,$K:$K)+SUMIF($A:$A,$A1170,$L:$L)))/VLOOKUP($A1170,HeadJournal!$A$1:$L$890,COLUMN(HeadJournal!H$1),0),0)</f>
        <v>1.0133190529743534</v>
      </c>
      <c r="P1170" s="30">
        <f>IFERROR(SUM(K1170:O1170)*VLOOKUP($A1170,HeadJournal!$A$1:$L$890,COLUMN(HeadJournal!H$1),0),0)</f>
        <v>1189.732349578002</v>
      </c>
      <c r="Q1170" s="29">
        <v>2200</v>
      </c>
      <c r="R1170" s="31">
        <v>45048</v>
      </c>
      <c r="S1170" s="31" t="s">
        <v>3121</v>
      </c>
      <c r="T1170" s="95" t="str">
        <f t="shared" si="95"/>
        <v>2023 05</v>
      </c>
      <c r="U1170" s="32">
        <f t="shared" si="92"/>
        <v>1010.267650421998</v>
      </c>
      <c r="V1170" s="22">
        <f t="shared" si="93"/>
        <v>0.84915540102808829</v>
      </c>
      <c r="X1170" s="33"/>
      <c r="Y1170" s="33"/>
    </row>
    <row r="1171" spans="1:25" x14ac:dyDescent="0.2">
      <c r="A1171" s="93" t="s">
        <v>520</v>
      </c>
      <c r="B1171" s="94" t="str">
        <f>IFERROR(VLOOKUP($A1171,HeadJournal!$A$1:$NTR$890,COLUMN(HeadJournal!B$1),0),"")</f>
        <v>710000652834</v>
      </c>
      <c r="C1171" s="94" t="str">
        <f>IFERROR(VLOOKUP($A1171,HeadJournal!$A$1:$NTR$890,COLUMN(HeadJournal!C$1),0),"")</f>
        <v>iHerb_AV CYG0792</v>
      </c>
      <c r="D1171" s="125" t="str">
        <f>IFERROR(VLOOKUP($A1171,HeadJournal!$A$1:$NTR$890,COLUMN(HeadJournal!D$1),0),"")</f>
        <v>Доставлен</v>
      </c>
      <c r="E1171" s="95">
        <f>IFERROR(VLOOKUP($A1171,HeadJournal!$A$1:$NTR$890,COLUMN(HeadJournal!G$1),0),"")</f>
        <v>44985</v>
      </c>
      <c r="F1171" s="95" t="str">
        <f t="shared" si="94"/>
        <v>2023 02</v>
      </c>
      <c r="G1171" s="96" t="s">
        <v>5</v>
      </c>
      <c r="H1171" s="160" t="str">
        <f>RIGHT(Journal!$J1171,9)</f>
        <v>NRT-19491</v>
      </c>
      <c r="I1171" s="96" t="str">
        <f t="shared" si="91"/>
        <v>Nature's Bounty</v>
      </c>
      <c r="J1171" s="97" t="s">
        <v>524</v>
      </c>
      <c r="K1171" s="29">
        <v>13.885</v>
      </c>
      <c r="L1171" s="29">
        <v>-2.085</v>
      </c>
      <c r="M1171" s="30">
        <f>IFERROR(VLOOKUP($A1171,HeadJournal!$A$1:$J$890,COLUMN(HeadJournal!I$1),0)*($K1171+$L1171)/(SUMIF($A:$A,$A1171,$K:$K)+SUMIF($A:$A,$A1171,$L:$L)),0)</f>
        <v>1.4161285053090118</v>
      </c>
      <c r="N1171" s="30">
        <f>IFERROR((VLOOKUP($A1171,HeadJournal!$A$1:$K$890,COLUMN(HeadJournal!K$1),0)-VLOOKUP($A1171,HeadJournal!$A$1:$K$890,COLUMN(HeadJournal!J$1),0))*($K1171+$L1171)/(SUMIF($A:$A,$A1171,$K:$K)+SUMIF($A:$A,$A1171,$L:$L)),0)</f>
        <v>1.8261702764975079E-15</v>
      </c>
      <c r="O1171" s="30">
        <f>IFERROR((VLOOKUP($A1171,HeadJournal!$A$1:$L$890,COLUMN(HeadJournal!L$1),0)*($K1171+$L1171)/(SUMIF($A:$A,$A1171,$K:$K)+SUMIF($A:$A,$A1171,$L:$L)))/VLOOKUP($A1171,HeadJournal!$A$1:$L$890,COLUMN(HeadJournal!H$1),0),0)</f>
        <v>1.0133190529743534</v>
      </c>
      <c r="P1171" s="30">
        <f>IFERROR(SUM(K1171:O1171)*VLOOKUP($A1171,HeadJournal!$A$1:$L$890,COLUMN(HeadJournal!H$1),0),0)</f>
        <v>1189.732349578002</v>
      </c>
      <c r="Q1171" s="29">
        <v>2000</v>
      </c>
      <c r="R1171" s="31">
        <v>45095</v>
      </c>
      <c r="S1171" s="31" t="s">
        <v>3121</v>
      </c>
      <c r="T1171" s="95" t="str">
        <f t="shared" si="95"/>
        <v>2023 06</v>
      </c>
      <c r="U1171" s="32">
        <f t="shared" si="92"/>
        <v>810.26765042199804</v>
      </c>
      <c r="V1171" s="22">
        <f t="shared" si="93"/>
        <v>0.68105036457098944</v>
      </c>
      <c r="X1171" s="33"/>
      <c r="Y1171" s="33"/>
    </row>
    <row r="1172" spans="1:25" x14ac:dyDescent="0.2">
      <c r="A1172" s="93" t="s">
        <v>525</v>
      </c>
      <c r="B1172" s="94">
        <f>IFERROR(VLOOKUP($A1172,HeadJournal!$A$1:$NTR$890,COLUMN(HeadJournal!B$1),0),"")</f>
        <v>0</v>
      </c>
      <c r="C1172" s="94" t="str">
        <f>IFERROR(VLOOKUP($A1172,HeadJournal!$A$1:$NTR$890,COLUMN(HeadJournal!C$1),0),"")</f>
        <v>OZON_AV</v>
      </c>
      <c r="D1172" s="125" t="str">
        <f>IFERROR(VLOOKUP($A1172,HeadJournal!$A$1:$NTR$890,COLUMN(HeadJournal!D$1),0),"")</f>
        <v>Доставлен</v>
      </c>
      <c r="E1172" s="95">
        <f>IFERROR(VLOOKUP($A1172,HeadJournal!$A$1:$NTR$890,COLUMN(HeadJournal!G$1),0),"")</f>
        <v>44972</v>
      </c>
      <c r="F1172" s="95" t="str">
        <f t="shared" si="94"/>
        <v>2023 02</v>
      </c>
      <c r="G1172" s="96" t="s">
        <v>5</v>
      </c>
      <c r="H1172" s="160" t="s">
        <v>3733</v>
      </c>
      <c r="I1172" s="96" t="str">
        <f t="shared" si="91"/>
        <v>Cloma Pharma</v>
      </c>
      <c r="J1172" s="97" t="s">
        <v>526</v>
      </c>
      <c r="K1172" s="29">
        <v>2646</v>
      </c>
      <c r="L1172" s="29"/>
      <c r="M1172" s="30">
        <f>IFERROR(VLOOKUP($A1172,HeadJournal!$A$1:$J$890,COLUMN(HeadJournal!I$1),0)*($K1172+$L1172)/(SUMIF($A:$A,$A1172,$K:$K)+SUMIF($A:$A,$A1172,$L:$L)),0)</f>
        <v>0</v>
      </c>
      <c r="N1172" s="30">
        <f>IFERROR((VLOOKUP($A1172,HeadJournal!$A$1:$K$890,COLUMN(HeadJournal!K$1),0)-VLOOKUP($A1172,HeadJournal!$A$1:$K$890,COLUMN(HeadJournal!J$1),0))*($K1172+$L1172)/(SUMIF($A:$A,$A1172,$K:$K)+SUMIF($A:$A,$A1172,$L:$L)),0)</f>
        <v>0</v>
      </c>
      <c r="O1172" s="30">
        <f>IFERROR((VLOOKUP($A1172,HeadJournal!$A$1:$L$890,COLUMN(HeadJournal!L$1),0)*($K1172+$L1172)/(SUMIF($A:$A,$A1172,$K:$K)+SUMIF($A:$A,$A1172,$L:$L)))/VLOOKUP($A1172,HeadJournal!$A$1:$L$890,COLUMN(HeadJournal!H$1),0),0)</f>
        <v>396.90000000000003</v>
      </c>
      <c r="P1172" s="30">
        <f>IFERROR(SUM(K1172:O1172)*VLOOKUP($A1172,HeadJournal!$A$1:$L$890,COLUMN(HeadJournal!H$1),0),0)</f>
        <v>3042.9</v>
      </c>
      <c r="Q1172" s="29">
        <v>4000</v>
      </c>
      <c r="R1172" s="31">
        <v>45014</v>
      </c>
      <c r="S1172" s="31" t="s">
        <v>3121</v>
      </c>
      <c r="T1172" s="95" t="str">
        <f t="shared" si="95"/>
        <v>2023 03</v>
      </c>
      <c r="U1172" s="32">
        <f t="shared" si="92"/>
        <v>957.09999999999991</v>
      </c>
      <c r="V1172" s="22">
        <f t="shared" si="93"/>
        <v>0.31453547602615922</v>
      </c>
      <c r="X1172" s="33"/>
      <c r="Y1172" s="33"/>
    </row>
    <row r="1173" spans="1:25" x14ac:dyDescent="0.2">
      <c r="A1173" s="93" t="s">
        <v>525</v>
      </c>
      <c r="B1173" s="94">
        <f>IFERROR(VLOOKUP($A1173,HeadJournal!$A$1:$NTR$890,COLUMN(HeadJournal!B$1),0),"")</f>
        <v>0</v>
      </c>
      <c r="C1173" s="94" t="str">
        <f>IFERROR(VLOOKUP($A1173,HeadJournal!$A$1:$NTR$890,COLUMN(HeadJournal!C$1),0),"")</f>
        <v>OZON_AV</v>
      </c>
      <c r="D1173" s="125" t="str">
        <f>IFERROR(VLOOKUP($A1173,HeadJournal!$A$1:$NTR$890,COLUMN(HeadJournal!D$1),0),"")</f>
        <v>Доставлен</v>
      </c>
      <c r="E1173" s="95">
        <f>IFERROR(VLOOKUP($A1173,HeadJournal!$A$1:$NTR$890,COLUMN(HeadJournal!G$1),0),"")</f>
        <v>44972</v>
      </c>
      <c r="F1173" s="95" t="str">
        <f t="shared" si="94"/>
        <v>2023 02</v>
      </c>
      <c r="G1173" s="96" t="s">
        <v>5</v>
      </c>
      <c r="H1173" s="160" t="s">
        <v>3733</v>
      </c>
      <c r="I1173" s="96" t="str">
        <f t="shared" si="91"/>
        <v>Cloma Pharma</v>
      </c>
      <c r="J1173" s="97" t="s">
        <v>526</v>
      </c>
      <c r="K1173" s="29">
        <v>2646</v>
      </c>
      <c r="L1173" s="29"/>
      <c r="M1173" s="30">
        <f>IFERROR(VLOOKUP($A1173,HeadJournal!$A$1:$J$890,COLUMN(HeadJournal!I$1),0)*($K1173+$L1173)/(SUMIF($A:$A,$A1173,$K:$K)+SUMIF($A:$A,$A1173,$L:$L)),0)</f>
        <v>0</v>
      </c>
      <c r="N1173" s="30">
        <f>IFERROR((VLOOKUP($A1173,HeadJournal!$A$1:$K$890,COLUMN(HeadJournal!K$1),0)-VLOOKUP($A1173,HeadJournal!$A$1:$K$890,COLUMN(HeadJournal!J$1),0))*($K1173+$L1173)/(SUMIF($A:$A,$A1173,$K:$K)+SUMIF($A:$A,$A1173,$L:$L)),0)</f>
        <v>0</v>
      </c>
      <c r="O1173" s="30">
        <f>IFERROR((VLOOKUP($A1173,HeadJournal!$A$1:$L$890,COLUMN(HeadJournal!L$1),0)*($K1173+$L1173)/(SUMIF($A:$A,$A1173,$K:$K)+SUMIF($A:$A,$A1173,$L:$L)))/VLOOKUP($A1173,HeadJournal!$A$1:$L$890,COLUMN(HeadJournal!H$1),0),0)</f>
        <v>396.90000000000003</v>
      </c>
      <c r="P1173" s="30">
        <f>IFERROR(SUM(K1173:O1173)*VLOOKUP($A1173,HeadJournal!$A$1:$L$890,COLUMN(HeadJournal!H$1),0),0)</f>
        <v>3042.9</v>
      </c>
      <c r="Q1173" s="29">
        <v>4000</v>
      </c>
      <c r="R1173" s="31">
        <v>45036</v>
      </c>
      <c r="S1173" s="31" t="s">
        <v>3121</v>
      </c>
      <c r="T1173" s="95" t="str">
        <f t="shared" si="95"/>
        <v>2023 04</v>
      </c>
      <c r="U1173" s="32">
        <f t="shared" si="92"/>
        <v>957.09999999999991</v>
      </c>
      <c r="V1173" s="22">
        <f t="shared" si="93"/>
        <v>0.31453547602615922</v>
      </c>
      <c r="X1173" s="33"/>
      <c r="Y1173" s="33"/>
    </row>
    <row r="1174" spans="1:25" x14ac:dyDescent="0.2">
      <c r="A1174" s="93" t="s">
        <v>525</v>
      </c>
      <c r="B1174" s="94">
        <f>IFERROR(VLOOKUP($A1174,HeadJournal!$A$1:$NTR$890,COLUMN(HeadJournal!B$1),0),"")</f>
        <v>0</v>
      </c>
      <c r="C1174" s="94" t="str">
        <f>IFERROR(VLOOKUP($A1174,HeadJournal!$A$1:$NTR$890,COLUMN(HeadJournal!C$1),0),"")</f>
        <v>OZON_AV</v>
      </c>
      <c r="D1174" s="125" t="str">
        <f>IFERROR(VLOOKUP($A1174,HeadJournal!$A$1:$NTR$890,COLUMN(HeadJournal!D$1),0),"")</f>
        <v>Доставлен</v>
      </c>
      <c r="E1174" s="95">
        <f>IFERROR(VLOOKUP($A1174,HeadJournal!$A$1:$NTR$890,COLUMN(HeadJournal!G$1),0),"")</f>
        <v>44972</v>
      </c>
      <c r="F1174" s="95" t="str">
        <f t="shared" si="94"/>
        <v>2023 02</v>
      </c>
      <c r="G1174" s="96" t="s">
        <v>5</v>
      </c>
      <c r="H1174" s="160" t="str">
        <f>RIGHT(Journal!$J1174,9)</f>
        <v>832770275</v>
      </c>
      <c r="I1174" s="96" t="str">
        <f t="shared" si="91"/>
        <v>Divya</v>
      </c>
      <c r="J1174" s="97" t="s">
        <v>527</v>
      </c>
      <c r="K1174" s="29">
        <v>557</v>
      </c>
      <c r="L1174" s="29"/>
      <c r="M1174" s="30">
        <f>IFERROR(VLOOKUP($A1174,HeadJournal!$A$1:$J$890,COLUMN(HeadJournal!I$1),0)*($K1174+$L1174)/(SUMIF($A:$A,$A1174,$K:$K)+SUMIF($A:$A,$A1174,$L:$L)),0)</f>
        <v>0</v>
      </c>
      <c r="N1174" s="30">
        <f>IFERROR((VLOOKUP($A1174,HeadJournal!$A$1:$K$890,COLUMN(HeadJournal!K$1),0)-VLOOKUP($A1174,HeadJournal!$A$1:$K$890,COLUMN(HeadJournal!J$1),0))*($K1174+$L1174)/(SUMIF($A:$A,$A1174,$K:$K)+SUMIF($A:$A,$A1174,$L:$L)),0)</f>
        <v>0</v>
      </c>
      <c r="O1174" s="30">
        <f>IFERROR((VLOOKUP($A1174,HeadJournal!$A$1:$L$890,COLUMN(HeadJournal!L$1),0)*($K1174+$L1174)/(SUMIF($A:$A,$A1174,$K:$K)+SUMIF($A:$A,$A1174,$L:$L)))/VLOOKUP($A1174,HeadJournal!$A$1:$L$890,COLUMN(HeadJournal!H$1),0),0)</f>
        <v>83.55</v>
      </c>
      <c r="P1174" s="30">
        <f>IFERROR(SUM(K1174:O1174)*VLOOKUP($A1174,HeadJournal!$A$1:$L$890,COLUMN(HeadJournal!H$1),0),0)</f>
        <v>640.54999999999995</v>
      </c>
      <c r="Q1174" s="29">
        <v>1200</v>
      </c>
      <c r="R1174" s="31">
        <v>44987</v>
      </c>
      <c r="S1174" s="31" t="s">
        <v>3121</v>
      </c>
      <c r="T1174" s="95" t="str">
        <f t="shared" si="95"/>
        <v>2023 03</v>
      </c>
      <c r="U1174" s="32">
        <f t="shared" si="92"/>
        <v>559.45000000000005</v>
      </c>
      <c r="V1174" s="22">
        <f t="shared" si="93"/>
        <v>0.87339005542112258</v>
      </c>
      <c r="X1174" s="33"/>
      <c r="Y1174" s="33"/>
    </row>
    <row r="1175" spans="1:25" x14ac:dyDescent="0.2">
      <c r="A1175" s="93" t="s">
        <v>528</v>
      </c>
      <c r="B1175" s="94">
        <f>IFERROR(VLOOKUP($A1175,HeadJournal!$A$1:$NTR$890,COLUMN(HeadJournal!B$1),0),"")</f>
        <v>0</v>
      </c>
      <c r="C1175" s="94" t="str">
        <f>IFERROR(VLOOKUP($A1175,HeadJournal!$A$1:$NTR$890,COLUMN(HeadJournal!C$1),0),"")</f>
        <v>NSP</v>
      </c>
      <c r="D1175" s="125" t="str">
        <f>IFERROR(VLOOKUP($A1175,HeadJournal!$A$1:$NTR$890,COLUMN(HeadJournal!D$1),0),"")</f>
        <v>Доставлен</v>
      </c>
      <c r="E1175" s="95">
        <f>IFERROR(VLOOKUP($A1175,HeadJournal!$A$1:$NTR$890,COLUMN(HeadJournal!G$1),0),"")</f>
        <v>44994</v>
      </c>
      <c r="F1175" s="95" t="str">
        <f t="shared" si="94"/>
        <v>2023 03</v>
      </c>
      <c r="G1175" s="96" t="s">
        <v>5</v>
      </c>
      <c r="H1175" s="160" t="str">
        <f>RIGHT(Journal!$J1175,9)</f>
        <v>000000410</v>
      </c>
      <c r="I1175" s="96" t="str">
        <f t="shared" si="91"/>
        <v>NSP</v>
      </c>
      <c r="J1175" s="97" t="s">
        <v>529</v>
      </c>
      <c r="K1175" s="29">
        <v>997.84</v>
      </c>
      <c r="L1175" s="29"/>
      <c r="M1175" s="30">
        <f>IFERROR(VLOOKUP($A1175,HeadJournal!$A$1:$J$890,COLUMN(HeadJournal!I$1),0)*($K1175+$L1175)/(SUMIF($A:$A,$A1175,$K:$K)+SUMIF($A:$A,$A1175,$L:$L)),0)</f>
        <v>0</v>
      </c>
      <c r="N1175" s="30">
        <f>IFERROR((VLOOKUP($A1175,HeadJournal!$A$1:$K$890,COLUMN(HeadJournal!K$1),0)-VLOOKUP($A1175,HeadJournal!$A$1:$K$890,COLUMN(HeadJournal!J$1),0))*($K1175+$L1175)/(SUMIF($A:$A,$A1175,$K:$K)+SUMIF($A:$A,$A1175,$L:$L)),0)</f>
        <v>29.436677717597863</v>
      </c>
      <c r="O1175" s="30">
        <f>IFERROR((VLOOKUP($A1175,HeadJournal!$A$1:$L$890,COLUMN(HeadJournal!L$1),0)*($K1175+$L1175)/(SUMIF($A:$A,$A1175,$K:$K)+SUMIF($A:$A,$A1175,$L:$L)))/VLOOKUP($A1175,HeadJournal!$A$1:$L$890,COLUMN(HeadJournal!H$1),0),0)</f>
        <v>37.169868953340234</v>
      </c>
      <c r="P1175" s="30">
        <f>IFERROR(SUM(K1175:O1175)*VLOOKUP($A1175,HeadJournal!$A$1:$L$890,COLUMN(HeadJournal!H$1),0),0)</f>
        <v>1064.4465466709382</v>
      </c>
      <c r="Q1175" s="29">
        <v>1470</v>
      </c>
      <c r="R1175" s="31">
        <v>45016</v>
      </c>
      <c r="S1175" s="31" t="s">
        <v>3121</v>
      </c>
      <c r="T1175" s="95" t="str">
        <f t="shared" si="95"/>
        <v>2023 03</v>
      </c>
      <c r="U1175" s="32">
        <f t="shared" si="92"/>
        <v>405.55345332906177</v>
      </c>
      <c r="V1175" s="22">
        <f t="shared" si="93"/>
        <v>0.38099936027547099</v>
      </c>
      <c r="X1175" s="33"/>
      <c r="Y1175" s="33"/>
    </row>
    <row r="1176" spans="1:25" x14ac:dyDescent="0.2">
      <c r="A1176" s="93" t="s">
        <v>528</v>
      </c>
      <c r="B1176" s="94">
        <f>IFERROR(VLOOKUP($A1176,HeadJournal!$A$1:$NTR$890,COLUMN(HeadJournal!B$1),0),"")</f>
        <v>0</v>
      </c>
      <c r="C1176" s="94" t="str">
        <f>IFERROR(VLOOKUP($A1176,HeadJournal!$A$1:$NTR$890,COLUMN(HeadJournal!C$1),0),"")</f>
        <v>NSP</v>
      </c>
      <c r="D1176" s="125" t="str">
        <f>IFERROR(VLOOKUP($A1176,HeadJournal!$A$1:$NTR$890,COLUMN(HeadJournal!D$1),0),"")</f>
        <v>Доставлен</v>
      </c>
      <c r="E1176" s="95">
        <f>IFERROR(VLOOKUP($A1176,HeadJournal!$A$1:$NTR$890,COLUMN(HeadJournal!G$1),0),"")</f>
        <v>44994</v>
      </c>
      <c r="F1176" s="95" t="str">
        <f t="shared" si="94"/>
        <v>2023 03</v>
      </c>
      <c r="G1176" s="96" t="s">
        <v>5</v>
      </c>
      <c r="H1176" s="160" t="str">
        <f>RIGHT(Journal!$J1176,9)</f>
        <v>000001894</v>
      </c>
      <c r="I1176" s="96" t="str">
        <f t="shared" si="91"/>
        <v>NSP</v>
      </c>
      <c r="J1176" s="97" t="s">
        <v>530</v>
      </c>
      <c r="K1176" s="29">
        <v>1113.3800000000001</v>
      </c>
      <c r="L1176" s="29"/>
      <c r="M1176" s="30">
        <f>IFERROR(VLOOKUP($A1176,HeadJournal!$A$1:$J$890,COLUMN(HeadJournal!I$1),0)*($K1176+$L1176)/(SUMIF($A:$A,$A1176,$K:$K)+SUMIF($A:$A,$A1176,$L:$L)),0)</f>
        <v>0</v>
      </c>
      <c r="N1176" s="30">
        <f>IFERROR((VLOOKUP($A1176,HeadJournal!$A$1:$K$890,COLUMN(HeadJournal!K$1),0)-VLOOKUP($A1176,HeadJournal!$A$1:$K$890,COLUMN(HeadJournal!J$1),0))*($K1176+$L1176)/(SUMIF($A:$A,$A1176,$K:$K)+SUMIF($A:$A,$A1176,$L:$L)),0)</f>
        <v>32.845153769360934</v>
      </c>
      <c r="O1176" s="30">
        <f>IFERROR((VLOOKUP($A1176,HeadJournal!$A$1:$L$890,COLUMN(HeadJournal!L$1),0)*($K1176+$L1176)/(SUMIF($A:$A,$A1176,$K:$K)+SUMIF($A:$A,$A1176,$L:$L)))/VLOOKUP($A1176,HeadJournal!$A$1:$L$890,COLUMN(HeadJournal!H$1),0),0)</f>
        <v>41.473772042882587</v>
      </c>
      <c r="P1176" s="30">
        <f>IFERROR(SUM(K1176:O1176)*VLOOKUP($A1176,HeadJournal!$A$1:$L$890,COLUMN(HeadJournal!H$1),0),0)</f>
        <v>1187.6989258122435</v>
      </c>
      <c r="Q1176" s="29">
        <v>1640</v>
      </c>
      <c r="R1176" s="31">
        <v>45016</v>
      </c>
      <c r="S1176" s="31" t="s">
        <v>3121</v>
      </c>
      <c r="T1176" s="95" t="str">
        <f t="shared" si="95"/>
        <v>2023 03</v>
      </c>
      <c r="U1176" s="32">
        <f t="shared" si="92"/>
        <v>452.30107418775651</v>
      </c>
      <c r="V1176" s="22">
        <f t="shared" si="93"/>
        <v>0.38082132126072005</v>
      </c>
      <c r="X1176" s="33"/>
      <c r="Y1176" s="33"/>
    </row>
    <row r="1177" spans="1:25" x14ac:dyDescent="0.2">
      <c r="A1177" s="93" t="s">
        <v>528</v>
      </c>
      <c r="B1177" s="94">
        <f>IFERROR(VLOOKUP($A1177,HeadJournal!$A$1:$NTR$890,COLUMN(HeadJournal!B$1),0),"")</f>
        <v>0</v>
      </c>
      <c r="C1177" s="94" t="str">
        <f>IFERROR(VLOOKUP($A1177,HeadJournal!$A$1:$NTR$890,COLUMN(HeadJournal!C$1),0),"")</f>
        <v>NSP</v>
      </c>
      <c r="D1177" s="125" t="str">
        <f>IFERROR(VLOOKUP($A1177,HeadJournal!$A$1:$NTR$890,COLUMN(HeadJournal!D$1),0),"")</f>
        <v>Доставлен</v>
      </c>
      <c r="E1177" s="95">
        <f>IFERROR(VLOOKUP($A1177,HeadJournal!$A$1:$NTR$890,COLUMN(HeadJournal!G$1),0),"")</f>
        <v>44994</v>
      </c>
      <c r="F1177" s="95" t="str">
        <f t="shared" si="94"/>
        <v>2023 03</v>
      </c>
      <c r="G1177" s="96" t="s">
        <v>5</v>
      </c>
      <c r="H1177" s="160" t="str">
        <f>RIGHT(Journal!$J1177,9)</f>
        <v>000001894</v>
      </c>
      <c r="I1177" s="96" t="str">
        <f t="shared" si="91"/>
        <v>NSP</v>
      </c>
      <c r="J1177" s="97" t="s">
        <v>530</v>
      </c>
      <c r="K1177" s="29">
        <v>1113.3800000000001</v>
      </c>
      <c r="L1177" s="29"/>
      <c r="M1177" s="30">
        <f>IFERROR(VLOOKUP($A1177,HeadJournal!$A$1:$J$890,COLUMN(HeadJournal!I$1),0)*($K1177+$L1177)/(SUMIF($A:$A,$A1177,$K:$K)+SUMIF($A:$A,$A1177,$L:$L)),0)</f>
        <v>0</v>
      </c>
      <c r="N1177" s="30">
        <f>IFERROR((VLOOKUP($A1177,HeadJournal!$A$1:$K$890,COLUMN(HeadJournal!K$1),0)-VLOOKUP($A1177,HeadJournal!$A$1:$K$890,COLUMN(HeadJournal!J$1),0))*($K1177+$L1177)/(SUMIF($A:$A,$A1177,$K:$K)+SUMIF($A:$A,$A1177,$L:$L)),0)</f>
        <v>32.845153769360934</v>
      </c>
      <c r="O1177" s="30">
        <f>IFERROR((VLOOKUP($A1177,HeadJournal!$A$1:$L$890,COLUMN(HeadJournal!L$1),0)*($K1177+$L1177)/(SUMIF($A:$A,$A1177,$K:$K)+SUMIF($A:$A,$A1177,$L:$L)))/VLOOKUP($A1177,HeadJournal!$A$1:$L$890,COLUMN(HeadJournal!H$1),0),0)</f>
        <v>41.473772042882587</v>
      </c>
      <c r="P1177" s="30">
        <f>IFERROR(SUM(K1177:O1177)*VLOOKUP($A1177,HeadJournal!$A$1:$L$890,COLUMN(HeadJournal!H$1),0),0)</f>
        <v>1187.6989258122435</v>
      </c>
      <c r="Q1177" s="29">
        <v>1640</v>
      </c>
      <c r="R1177" s="31">
        <v>45016</v>
      </c>
      <c r="S1177" s="31" t="s">
        <v>3121</v>
      </c>
      <c r="T1177" s="95" t="str">
        <f t="shared" si="95"/>
        <v>2023 03</v>
      </c>
      <c r="U1177" s="32">
        <f t="shared" si="92"/>
        <v>452.30107418775651</v>
      </c>
      <c r="V1177" s="22">
        <f t="shared" si="93"/>
        <v>0.38082132126072005</v>
      </c>
      <c r="X1177" s="33"/>
      <c r="Y1177" s="33"/>
    </row>
    <row r="1178" spans="1:25" x14ac:dyDescent="0.2">
      <c r="A1178" s="93" t="s">
        <v>528</v>
      </c>
      <c r="B1178" s="94">
        <f>IFERROR(VLOOKUP($A1178,HeadJournal!$A$1:$NTR$890,COLUMN(HeadJournal!B$1),0),"")</f>
        <v>0</v>
      </c>
      <c r="C1178" s="94" t="str">
        <f>IFERROR(VLOOKUP($A1178,HeadJournal!$A$1:$NTR$890,COLUMN(HeadJournal!C$1),0),"")</f>
        <v>NSP</v>
      </c>
      <c r="D1178" s="125" t="str">
        <f>IFERROR(VLOOKUP($A1178,HeadJournal!$A$1:$NTR$890,COLUMN(HeadJournal!D$1),0),"")</f>
        <v>Доставлен</v>
      </c>
      <c r="E1178" s="95">
        <f>IFERROR(VLOOKUP($A1178,HeadJournal!$A$1:$NTR$890,COLUMN(HeadJournal!G$1),0),"")</f>
        <v>44994</v>
      </c>
      <c r="F1178" s="95" t="str">
        <f t="shared" si="94"/>
        <v>2023 03</v>
      </c>
      <c r="G1178" s="96" t="s">
        <v>5</v>
      </c>
      <c r="H1178" s="160" t="str">
        <f>RIGHT(Journal!$J1178,9)</f>
        <v>000001894</v>
      </c>
      <c r="I1178" s="96" t="str">
        <f t="shared" si="91"/>
        <v>NSP</v>
      </c>
      <c r="J1178" s="97" t="s">
        <v>530</v>
      </c>
      <c r="K1178" s="29">
        <v>1113.3800000000001</v>
      </c>
      <c r="L1178" s="29"/>
      <c r="M1178" s="30">
        <f>IFERROR(VLOOKUP($A1178,HeadJournal!$A$1:$J$890,COLUMN(HeadJournal!I$1),0)*($K1178+$L1178)/(SUMIF($A:$A,$A1178,$K:$K)+SUMIF($A:$A,$A1178,$L:$L)),0)</f>
        <v>0</v>
      </c>
      <c r="N1178" s="30">
        <f>IFERROR((VLOOKUP($A1178,HeadJournal!$A$1:$K$890,COLUMN(HeadJournal!K$1),0)-VLOOKUP($A1178,HeadJournal!$A$1:$K$890,COLUMN(HeadJournal!J$1),0))*($K1178+$L1178)/(SUMIF($A:$A,$A1178,$K:$K)+SUMIF($A:$A,$A1178,$L:$L)),0)</f>
        <v>32.845153769360934</v>
      </c>
      <c r="O1178" s="30">
        <f>IFERROR((VLOOKUP($A1178,HeadJournal!$A$1:$L$890,COLUMN(HeadJournal!L$1),0)*($K1178+$L1178)/(SUMIF($A:$A,$A1178,$K:$K)+SUMIF($A:$A,$A1178,$L:$L)))/VLOOKUP($A1178,HeadJournal!$A$1:$L$890,COLUMN(HeadJournal!H$1),0),0)</f>
        <v>41.473772042882587</v>
      </c>
      <c r="P1178" s="30">
        <f>IFERROR(SUM(K1178:O1178)*VLOOKUP($A1178,HeadJournal!$A$1:$L$890,COLUMN(HeadJournal!H$1),0),0)</f>
        <v>1187.6989258122435</v>
      </c>
      <c r="Q1178" s="29">
        <v>1640</v>
      </c>
      <c r="R1178" s="31">
        <v>45016</v>
      </c>
      <c r="S1178" s="31" t="s">
        <v>3121</v>
      </c>
      <c r="T1178" s="95" t="str">
        <f t="shared" si="95"/>
        <v>2023 03</v>
      </c>
      <c r="U1178" s="32">
        <f t="shared" si="92"/>
        <v>452.30107418775651</v>
      </c>
      <c r="V1178" s="22">
        <f t="shared" si="93"/>
        <v>0.38082132126072005</v>
      </c>
      <c r="X1178" s="33"/>
      <c r="Y1178" s="33"/>
    </row>
    <row r="1179" spans="1:25" x14ac:dyDescent="0.2">
      <c r="A1179" s="93" t="s">
        <v>528</v>
      </c>
      <c r="B1179" s="94">
        <f>IFERROR(VLOOKUP($A1179,HeadJournal!$A$1:$NTR$890,COLUMN(HeadJournal!B$1),0),"")</f>
        <v>0</v>
      </c>
      <c r="C1179" s="94" t="str">
        <f>IFERROR(VLOOKUP($A1179,HeadJournal!$A$1:$NTR$890,COLUMN(HeadJournal!C$1),0),"")</f>
        <v>NSP</v>
      </c>
      <c r="D1179" s="125" t="str">
        <f>IFERROR(VLOOKUP($A1179,HeadJournal!$A$1:$NTR$890,COLUMN(HeadJournal!D$1),0),"")</f>
        <v>Доставлен</v>
      </c>
      <c r="E1179" s="95">
        <f>IFERROR(VLOOKUP($A1179,HeadJournal!$A$1:$NTR$890,COLUMN(HeadJournal!G$1),0),"")</f>
        <v>44994</v>
      </c>
      <c r="F1179" s="95" t="str">
        <f t="shared" si="94"/>
        <v>2023 03</v>
      </c>
      <c r="G1179" s="96" t="s">
        <v>5</v>
      </c>
      <c r="H1179" s="160" t="str">
        <f>RIGHT(Journal!$J1179,9)</f>
        <v>000000170</v>
      </c>
      <c r="I1179" s="96" t="str">
        <f t="shared" si="91"/>
        <v>NSP</v>
      </c>
      <c r="J1179" s="97" t="s">
        <v>531</v>
      </c>
      <c r="K1179" s="29">
        <v>1031.0999999999999</v>
      </c>
      <c r="L1179" s="29"/>
      <c r="M1179" s="30">
        <f>IFERROR(VLOOKUP($A1179,HeadJournal!$A$1:$J$890,COLUMN(HeadJournal!I$1),0)*($K1179+$L1179)/(SUMIF($A:$A,$A1179,$K:$K)+SUMIF($A:$A,$A1179,$L:$L)),0)</f>
        <v>0</v>
      </c>
      <c r="N1179" s="30">
        <f>IFERROR((VLOOKUP($A1179,HeadJournal!$A$1:$K$890,COLUMN(HeadJournal!K$1),0)-VLOOKUP($A1179,HeadJournal!$A$1:$K$890,COLUMN(HeadJournal!J$1),0))*($K1179+$L1179)/(SUMIF($A:$A,$A1179,$K:$K)+SUMIF($A:$A,$A1179,$L:$L)),0)</f>
        <v>30.417860974319684</v>
      </c>
      <c r="O1179" s="30">
        <f>IFERROR((VLOOKUP($A1179,HeadJournal!$A$1:$L$890,COLUMN(HeadJournal!L$1),0)*($K1179+$L1179)/(SUMIF($A:$A,$A1179,$K:$K)+SUMIF($A:$A,$A1179,$L:$L)))/VLOOKUP($A1179,HeadJournal!$A$1:$L$890,COLUMN(HeadJournal!H$1),0),0)</f>
        <v>38.40881491801202</v>
      </c>
      <c r="P1179" s="30">
        <f>IFERROR(SUM(K1179:O1179)*VLOOKUP($A1179,HeadJournal!$A$1:$L$890,COLUMN(HeadJournal!H$1),0),0)</f>
        <v>1099.9266758923316</v>
      </c>
      <c r="Q1179" s="29">
        <v>1515</v>
      </c>
      <c r="R1179" s="31">
        <v>45016</v>
      </c>
      <c r="S1179" s="31" t="s">
        <v>3121</v>
      </c>
      <c r="T1179" s="95" t="str">
        <f t="shared" si="95"/>
        <v>2023 03</v>
      </c>
      <c r="U1179" s="32">
        <f t="shared" si="92"/>
        <v>415.07332410766844</v>
      </c>
      <c r="V1179" s="22">
        <f t="shared" si="93"/>
        <v>0.37736454002348307</v>
      </c>
      <c r="X1179" s="33"/>
      <c r="Y1179" s="33"/>
    </row>
    <row r="1180" spans="1:25" x14ac:dyDescent="0.2">
      <c r="A1180" s="93" t="s">
        <v>532</v>
      </c>
      <c r="B1180" s="94">
        <f>IFERROR(VLOOKUP($A1180,HeadJournal!$A$1:$NTR$890,COLUMN(HeadJournal!B$1),0),"")</f>
        <v>0</v>
      </c>
      <c r="C1180" s="94" t="str">
        <f>IFERROR(VLOOKUP($A1180,HeadJournal!$A$1:$NTR$890,COLUMN(HeadJournal!C$1),0),"")</f>
        <v>OZON_AV</v>
      </c>
      <c r="D1180" s="125" t="str">
        <f>IFERROR(VLOOKUP($A1180,HeadJournal!$A$1:$NTR$890,COLUMN(HeadJournal!D$1),0),"")</f>
        <v>Доставлен</v>
      </c>
      <c r="E1180" s="95">
        <f>IFERROR(VLOOKUP($A1180,HeadJournal!$A$1:$NTR$890,COLUMN(HeadJournal!G$1),0),"")</f>
        <v>44988</v>
      </c>
      <c r="F1180" s="95" t="str">
        <f t="shared" si="94"/>
        <v>2023 03</v>
      </c>
      <c r="G1180" s="96" t="s">
        <v>6</v>
      </c>
      <c r="H1180" s="160" t="str">
        <f>RIGHT(Journal!$J1180,9)</f>
        <v>309538221</v>
      </c>
      <c r="I1180" s="96" t="str">
        <f t="shared" si="91"/>
        <v>R-Line</v>
      </c>
      <c r="J1180" s="97" t="s">
        <v>514</v>
      </c>
      <c r="K1180" s="29">
        <v>1511</v>
      </c>
      <c r="L1180" s="29"/>
      <c r="M1180" s="30">
        <f>IFERROR(VLOOKUP($A1180,HeadJournal!$A$1:$J$890,COLUMN(HeadJournal!I$1),0)*($K1180+$L1180)/(SUMIF($A:$A,$A1180,$K:$K)+SUMIF($A:$A,$A1180,$L:$L)),0)</f>
        <v>0</v>
      </c>
      <c r="N1180" s="30">
        <f>IFERROR((VLOOKUP($A1180,HeadJournal!$A$1:$K$890,COLUMN(HeadJournal!K$1),0)-VLOOKUP($A1180,HeadJournal!$A$1:$K$890,COLUMN(HeadJournal!J$1),0))*($K1180+$L1180)/(SUMIF($A:$A,$A1180,$K:$K)+SUMIF($A:$A,$A1180,$L:$L)),0)</f>
        <v>0</v>
      </c>
      <c r="O1180" s="30">
        <f>IFERROR((VLOOKUP($A1180,HeadJournal!$A$1:$L$890,COLUMN(HeadJournal!L$1),0)*($K1180+$L1180)/(SUMIF($A:$A,$A1180,$K:$K)+SUMIF($A:$A,$A1180,$L:$L)))/VLOOKUP($A1180,HeadJournal!$A$1:$L$890,COLUMN(HeadJournal!H$1),0),0)</f>
        <v>226.65</v>
      </c>
      <c r="P1180" s="30">
        <f>IFERROR(SUM(K1180:O1180)*VLOOKUP($A1180,HeadJournal!$A$1:$L$890,COLUMN(HeadJournal!H$1),0),0)</f>
        <v>1737.65</v>
      </c>
      <c r="Q1180" s="29">
        <v>3000</v>
      </c>
      <c r="R1180" s="31">
        <v>45002</v>
      </c>
      <c r="S1180" s="31" t="s">
        <v>3121</v>
      </c>
      <c r="T1180" s="95" t="str">
        <f t="shared" si="95"/>
        <v>2023 03</v>
      </c>
      <c r="U1180" s="32">
        <f t="shared" si="92"/>
        <v>1262.3499999999999</v>
      </c>
      <c r="V1180" s="22">
        <f t="shared" si="93"/>
        <v>0.72646965729577295</v>
      </c>
      <c r="X1180" s="33"/>
      <c r="Y1180" s="33"/>
    </row>
    <row r="1181" spans="1:25" x14ac:dyDescent="0.2">
      <c r="A1181" s="93" t="s">
        <v>532</v>
      </c>
      <c r="B1181" s="94">
        <f>IFERROR(VLOOKUP($A1181,HeadJournal!$A$1:$NTR$890,COLUMN(HeadJournal!B$1),0),"")</f>
        <v>0</v>
      </c>
      <c r="C1181" s="94" t="str">
        <f>IFERROR(VLOOKUP($A1181,HeadJournal!$A$1:$NTR$890,COLUMN(HeadJournal!C$1),0),"")</f>
        <v>OZON_AV</v>
      </c>
      <c r="D1181" s="125" t="str">
        <f>IFERROR(VLOOKUP($A1181,HeadJournal!$A$1:$NTR$890,COLUMN(HeadJournal!D$1),0),"")</f>
        <v>Доставлен</v>
      </c>
      <c r="E1181" s="95">
        <f>IFERROR(VLOOKUP($A1181,HeadJournal!$A$1:$NTR$890,COLUMN(HeadJournal!G$1),0),"")</f>
        <v>44988</v>
      </c>
      <c r="F1181" s="95" t="str">
        <f t="shared" si="94"/>
        <v>2023 03</v>
      </c>
      <c r="G1181" s="96" t="s">
        <v>6</v>
      </c>
      <c r="H1181" s="160" t="str">
        <f>RIGHT(Journal!$J1181,9)</f>
        <v>309538221</v>
      </c>
      <c r="I1181" s="96" t="str">
        <f t="shared" si="91"/>
        <v>R-Line</v>
      </c>
      <c r="J1181" s="97" t="s">
        <v>514</v>
      </c>
      <c r="K1181" s="29">
        <v>1511</v>
      </c>
      <c r="L1181" s="29"/>
      <c r="M1181" s="30">
        <f>IFERROR(VLOOKUP($A1181,HeadJournal!$A$1:$J$890,COLUMN(HeadJournal!I$1),0)*($K1181+$L1181)/(SUMIF($A:$A,$A1181,$K:$K)+SUMIF($A:$A,$A1181,$L:$L)),0)</f>
        <v>0</v>
      </c>
      <c r="N1181" s="30">
        <f>IFERROR((VLOOKUP($A1181,HeadJournal!$A$1:$K$890,COLUMN(HeadJournal!K$1),0)-VLOOKUP($A1181,HeadJournal!$A$1:$K$890,COLUMN(HeadJournal!J$1),0))*($K1181+$L1181)/(SUMIF($A:$A,$A1181,$K:$K)+SUMIF($A:$A,$A1181,$L:$L)),0)</f>
        <v>0</v>
      </c>
      <c r="O1181" s="30">
        <f>IFERROR((VLOOKUP($A1181,HeadJournal!$A$1:$L$890,COLUMN(HeadJournal!L$1),0)*($K1181+$L1181)/(SUMIF($A:$A,$A1181,$K:$K)+SUMIF($A:$A,$A1181,$L:$L)))/VLOOKUP($A1181,HeadJournal!$A$1:$L$890,COLUMN(HeadJournal!H$1),0),0)</f>
        <v>226.65</v>
      </c>
      <c r="P1181" s="30">
        <f>IFERROR(SUM(K1181:O1181)*VLOOKUP($A1181,HeadJournal!$A$1:$L$890,COLUMN(HeadJournal!H$1),0),0)</f>
        <v>1737.65</v>
      </c>
      <c r="Q1181" s="29">
        <v>3100</v>
      </c>
      <c r="R1181" s="31">
        <v>45018</v>
      </c>
      <c r="S1181" s="31" t="s">
        <v>3121</v>
      </c>
      <c r="T1181" s="95" t="str">
        <f t="shared" si="95"/>
        <v>2023 04</v>
      </c>
      <c r="U1181" s="32">
        <f t="shared" si="92"/>
        <v>1362.35</v>
      </c>
      <c r="V1181" s="22">
        <f t="shared" si="93"/>
        <v>0.78401864587229875</v>
      </c>
      <c r="X1181" s="33"/>
      <c r="Y1181" s="33"/>
    </row>
    <row r="1182" spans="1:25" x14ac:dyDescent="0.2">
      <c r="A1182" s="93" t="s">
        <v>533</v>
      </c>
      <c r="B1182" s="94">
        <f>IFERROR(VLOOKUP($A1182,HeadJournal!$A$1:$NTR$890,COLUMN(HeadJournal!B$1),0),"")</f>
        <v>0</v>
      </c>
      <c r="C1182" s="94" t="str">
        <f>IFERROR(VLOOKUP($A1182,HeadJournal!$A$1:$NTR$890,COLUMN(HeadJournal!C$1),0),"")</f>
        <v>OZON_AV</v>
      </c>
      <c r="D1182" s="125" t="str">
        <f>IFERROR(VLOOKUP($A1182,HeadJournal!$A$1:$NTR$890,COLUMN(HeadJournal!D$1),0),"")</f>
        <v>Доставлен</v>
      </c>
      <c r="E1182" s="95">
        <f>IFERROR(VLOOKUP($A1182,HeadJournal!$A$1:$NTR$890,COLUMN(HeadJournal!G$1),0),"")</f>
        <v>44990</v>
      </c>
      <c r="F1182" s="95" t="str">
        <f t="shared" si="94"/>
        <v>2023 03</v>
      </c>
      <c r="G1182" s="96" t="s">
        <v>6</v>
      </c>
      <c r="H1182" s="160" t="str">
        <f>RIGHT(Journal!$J1182,9)</f>
        <v>281518094</v>
      </c>
      <c r="I1182" s="96" t="str">
        <f t="shared" si="91"/>
        <v>Be First</v>
      </c>
      <c r="J1182" s="97" t="s">
        <v>534</v>
      </c>
      <c r="K1182" s="29">
        <v>340</v>
      </c>
      <c r="L1182" s="29"/>
      <c r="M1182" s="30">
        <f>IFERROR(VLOOKUP($A1182,HeadJournal!$A$1:$J$890,COLUMN(HeadJournal!I$1),0)*($K1182+$L1182)/(SUMIF($A:$A,$A1182,$K:$K)+SUMIF($A:$A,$A1182,$L:$L)),0)</f>
        <v>0</v>
      </c>
      <c r="N1182" s="30">
        <f>IFERROR((VLOOKUP($A1182,HeadJournal!$A$1:$K$890,COLUMN(HeadJournal!K$1),0)-VLOOKUP($A1182,HeadJournal!$A$1:$K$890,COLUMN(HeadJournal!J$1),0))*($K1182+$L1182)/(SUMIF($A:$A,$A1182,$K:$K)+SUMIF($A:$A,$A1182,$L:$L)),0)</f>
        <v>0</v>
      </c>
      <c r="O1182" s="30">
        <f>IFERROR((VLOOKUP($A1182,HeadJournal!$A$1:$L$890,COLUMN(HeadJournal!L$1),0)*($K1182+$L1182)/(SUMIF($A:$A,$A1182,$K:$K)+SUMIF($A:$A,$A1182,$L:$L)))/VLOOKUP($A1182,HeadJournal!$A$1:$L$890,COLUMN(HeadJournal!H$1),0),0)</f>
        <v>51</v>
      </c>
      <c r="P1182" s="30">
        <f>IFERROR(SUM(K1182:O1182)*VLOOKUP($A1182,HeadJournal!$A$1:$L$890,COLUMN(HeadJournal!H$1),0),0)</f>
        <v>391</v>
      </c>
      <c r="Q1182" s="29">
        <v>550</v>
      </c>
      <c r="R1182" s="31">
        <v>44999</v>
      </c>
      <c r="S1182" s="31" t="s">
        <v>3121</v>
      </c>
      <c r="T1182" s="95" t="str">
        <f t="shared" si="95"/>
        <v>2023 03</v>
      </c>
      <c r="U1182" s="32">
        <f t="shared" si="92"/>
        <v>159</v>
      </c>
      <c r="V1182" s="22">
        <f t="shared" si="93"/>
        <v>0.40664961636828645</v>
      </c>
      <c r="X1182" s="33"/>
      <c r="Y1182" s="33"/>
    </row>
    <row r="1183" spans="1:25" x14ac:dyDescent="0.2">
      <c r="A1183" s="93" t="s">
        <v>533</v>
      </c>
      <c r="B1183" s="94">
        <f>IFERROR(VLOOKUP($A1183,HeadJournal!$A$1:$NTR$890,COLUMN(HeadJournal!B$1),0),"")</f>
        <v>0</v>
      </c>
      <c r="C1183" s="94" t="str">
        <f>IFERROR(VLOOKUP($A1183,HeadJournal!$A$1:$NTR$890,COLUMN(HeadJournal!C$1),0),"")</f>
        <v>OZON_AV</v>
      </c>
      <c r="D1183" s="125" t="str">
        <f>IFERROR(VLOOKUP($A1183,HeadJournal!$A$1:$NTR$890,COLUMN(HeadJournal!D$1),0),"")</f>
        <v>Доставлен</v>
      </c>
      <c r="E1183" s="95">
        <f>IFERROR(VLOOKUP($A1183,HeadJournal!$A$1:$NTR$890,COLUMN(HeadJournal!G$1),0),"")</f>
        <v>44990</v>
      </c>
      <c r="F1183" s="95" t="str">
        <f t="shared" si="94"/>
        <v>2023 03</v>
      </c>
      <c r="G1183" s="96" t="s">
        <v>6</v>
      </c>
      <c r="H1183" s="160" t="str">
        <f>RIGHT(Journal!$J1183,9)</f>
        <v>281518094</v>
      </c>
      <c r="I1183" s="96" t="str">
        <f t="shared" si="91"/>
        <v>Be First</v>
      </c>
      <c r="J1183" s="97" t="s">
        <v>534</v>
      </c>
      <c r="K1183" s="29">
        <v>340</v>
      </c>
      <c r="L1183" s="29"/>
      <c r="M1183" s="30">
        <f>IFERROR(VLOOKUP($A1183,HeadJournal!$A$1:$J$890,COLUMN(HeadJournal!I$1),0)*($K1183+$L1183)/(SUMIF($A:$A,$A1183,$K:$K)+SUMIF($A:$A,$A1183,$L:$L)),0)</f>
        <v>0</v>
      </c>
      <c r="N1183" s="30">
        <f>IFERROR((VLOOKUP($A1183,HeadJournal!$A$1:$K$890,COLUMN(HeadJournal!K$1),0)-VLOOKUP($A1183,HeadJournal!$A$1:$K$890,COLUMN(HeadJournal!J$1),0))*($K1183+$L1183)/(SUMIF($A:$A,$A1183,$K:$K)+SUMIF($A:$A,$A1183,$L:$L)),0)</f>
        <v>0</v>
      </c>
      <c r="O1183" s="30">
        <f>IFERROR((VLOOKUP($A1183,HeadJournal!$A$1:$L$890,COLUMN(HeadJournal!L$1),0)*($K1183+$L1183)/(SUMIF($A:$A,$A1183,$K:$K)+SUMIF($A:$A,$A1183,$L:$L)))/VLOOKUP($A1183,HeadJournal!$A$1:$L$890,COLUMN(HeadJournal!H$1),0),0)</f>
        <v>51</v>
      </c>
      <c r="P1183" s="30">
        <f>IFERROR(SUM(K1183:O1183)*VLOOKUP($A1183,HeadJournal!$A$1:$L$890,COLUMN(HeadJournal!H$1),0),0)</f>
        <v>391</v>
      </c>
      <c r="Q1183" s="29">
        <v>550</v>
      </c>
      <c r="R1183" s="31">
        <v>44999</v>
      </c>
      <c r="S1183" s="31" t="s">
        <v>3121</v>
      </c>
      <c r="T1183" s="95" t="str">
        <f t="shared" si="95"/>
        <v>2023 03</v>
      </c>
      <c r="U1183" s="32">
        <f t="shared" si="92"/>
        <v>159</v>
      </c>
      <c r="V1183" s="22">
        <f t="shared" si="93"/>
        <v>0.40664961636828645</v>
      </c>
      <c r="X1183" s="33"/>
      <c r="Y1183" s="33"/>
    </row>
    <row r="1184" spans="1:25" x14ac:dyDescent="0.2">
      <c r="A1184" s="93" t="s">
        <v>533</v>
      </c>
      <c r="B1184" s="94">
        <f>IFERROR(VLOOKUP($A1184,HeadJournal!$A$1:$NTR$890,COLUMN(HeadJournal!B$1),0),"")</f>
        <v>0</v>
      </c>
      <c r="C1184" s="94" t="str">
        <f>IFERROR(VLOOKUP($A1184,HeadJournal!$A$1:$NTR$890,COLUMN(HeadJournal!C$1),0),"")</f>
        <v>OZON_AV</v>
      </c>
      <c r="D1184" s="125" t="str">
        <f>IFERROR(VLOOKUP($A1184,HeadJournal!$A$1:$NTR$890,COLUMN(HeadJournal!D$1),0),"")</f>
        <v>Доставлен</v>
      </c>
      <c r="E1184" s="95">
        <f>IFERROR(VLOOKUP($A1184,HeadJournal!$A$1:$NTR$890,COLUMN(HeadJournal!G$1),0),"")</f>
        <v>44990</v>
      </c>
      <c r="F1184" s="95" t="str">
        <f t="shared" si="94"/>
        <v>2023 03</v>
      </c>
      <c r="G1184" s="96" t="s">
        <v>6</v>
      </c>
      <c r="H1184" s="160" t="str">
        <f>RIGHT(Journal!$J1184,9)</f>
        <v>281518019</v>
      </c>
      <c r="I1184" s="96" t="str">
        <f t="shared" si="91"/>
        <v>Be First</v>
      </c>
      <c r="J1184" s="97" t="s">
        <v>535</v>
      </c>
      <c r="K1184" s="29">
        <v>306</v>
      </c>
      <c r="L1184" s="29"/>
      <c r="M1184" s="30">
        <f>IFERROR(VLOOKUP($A1184,HeadJournal!$A$1:$J$890,COLUMN(HeadJournal!I$1),0)*($K1184+$L1184)/(SUMIF($A:$A,$A1184,$K:$K)+SUMIF($A:$A,$A1184,$L:$L)),0)</f>
        <v>0</v>
      </c>
      <c r="N1184" s="30">
        <f>IFERROR((VLOOKUP($A1184,HeadJournal!$A$1:$K$890,COLUMN(HeadJournal!K$1),0)-VLOOKUP($A1184,HeadJournal!$A$1:$K$890,COLUMN(HeadJournal!J$1),0))*($K1184+$L1184)/(SUMIF($A:$A,$A1184,$K:$K)+SUMIF($A:$A,$A1184,$L:$L)),0)</f>
        <v>0</v>
      </c>
      <c r="O1184" s="30">
        <f>IFERROR((VLOOKUP($A1184,HeadJournal!$A$1:$L$890,COLUMN(HeadJournal!L$1),0)*($K1184+$L1184)/(SUMIF($A:$A,$A1184,$K:$K)+SUMIF($A:$A,$A1184,$L:$L)))/VLOOKUP($A1184,HeadJournal!$A$1:$L$890,COLUMN(HeadJournal!H$1),0),0)</f>
        <v>45.9</v>
      </c>
      <c r="P1184" s="30">
        <f>IFERROR(SUM(K1184:O1184)*VLOOKUP($A1184,HeadJournal!$A$1:$L$890,COLUMN(HeadJournal!H$1),0),0)</f>
        <v>351.9</v>
      </c>
      <c r="Q1184" s="29">
        <v>550</v>
      </c>
      <c r="R1184" s="31">
        <v>44999</v>
      </c>
      <c r="S1184" s="31" t="s">
        <v>3121</v>
      </c>
      <c r="T1184" s="95" t="str">
        <f t="shared" si="95"/>
        <v>2023 03</v>
      </c>
      <c r="U1184" s="32">
        <f t="shared" si="92"/>
        <v>198.10000000000002</v>
      </c>
      <c r="V1184" s="22">
        <f t="shared" si="93"/>
        <v>0.56294401818698503</v>
      </c>
      <c r="X1184" s="33"/>
      <c r="Y1184" s="33"/>
    </row>
    <row r="1185" spans="1:25" x14ac:dyDescent="0.2">
      <c r="A1185" s="93" t="s">
        <v>533</v>
      </c>
      <c r="B1185" s="94">
        <f>IFERROR(VLOOKUP($A1185,HeadJournal!$A$1:$NTR$890,COLUMN(HeadJournal!B$1),0),"")</f>
        <v>0</v>
      </c>
      <c r="C1185" s="94" t="str">
        <f>IFERROR(VLOOKUP($A1185,HeadJournal!$A$1:$NTR$890,COLUMN(HeadJournal!C$1),0),"")</f>
        <v>OZON_AV</v>
      </c>
      <c r="D1185" s="125" t="str">
        <f>IFERROR(VLOOKUP($A1185,HeadJournal!$A$1:$NTR$890,COLUMN(HeadJournal!D$1),0),"")</f>
        <v>Доставлен</v>
      </c>
      <c r="E1185" s="95">
        <f>IFERROR(VLOOKUP($A1185,HeadJournal!$A$1:$NTR$890,COLUMN(HeadJournal!G$1),0),"")</f>
        <v>44990</v>
      </c>
      <c r="F1185" s="95" t="str">
        <f t="shared" si="94"/>
        <v>2023 03</v>
      </c>
      <c r="G1185" s="96" t="s">
        <v>6</v>
      </c>
      <c r="H1185" s="160" t="str">
        <f>RIGHT(Journal!$J1185,9)</f>
        <v>281518019</v>
      </c>
      <c r="I1185" s="96" t="str">
        <f t="shared" si="91"/>
        <v>Be First</v>
      </c>
      <c r="J1185" s="97" t="s">
        <v>535</v>
      </c>
      <c r="K1185" s="29">
        <v>306</v>
      </c>
      <c r="L1185" s="29"/>
      <c r="M1185" s="30">
        <f>IFERROR(VLOOKUP($A1185,HeadJournal!$A$1:$J$890,COLUMN(HeadJournal!I$1),0)*($K1185+$L1185)/(SUMIF($A:$A,$A1185,$K:$K)+SUMIF($A:$A,$A1185,$L:$L)),0)</f>
        <v>0</v>
      </c>
      <c r="N1185" s="30">
        <f>IFERROR((VLOOKUP($A1185,HeadJournal!$A$1:$K$890,COLUMN(HeadJournal!K$1),0)-VLOOKUP($A1185,HeadJournal!$A$1:$K$890,COLUMN(HeadJournal!J$1),0))*($K1185+$L1185)/(SUMIF($A:$A,$A1185,$K:$K)+SUMIF($A:$A,$A1185,$L:$L)),0)</f>
        <v>0</v>
      </c>
      <c r="O1185" s="30">
        <f>IFERROR((VLOOKUP($A1185,HeadJournal!$A$1:$L$890,COLUMN(HeadJournal!L$1),0)*($K1185+$L1185)/(SUMIF($A:$A,$A1185,$K:$K)+SUMIF($A:$A,$A1185,$L:$L)))/VLOOKUP($A1185,HeadJournal!$A$1:$L$890,COLUMN(HeadJournal!H$1),0),0)</f>
        <v>45.9</v>
      </c>
      <c r="P1185" s="30">
        <f>IFERROR(SUM(K1185:O1185)*VLOOKUP($A1185,HeadJournal!$A$1:$L$890,COLUMN(HeadJournal!H$1),0),0)</f>
        <v>351.9</v>
      </c>
      <c r="Q1185" s="29">
        <v>550</v>
      </c>
      <c r="R1185" s="31">
        <v>44999</v>
      </c>
      <c r="S1185" s="31" t="s">
        <v>3121</v>
      </c>
      <c r="T1185" s="95" t="str">
        <f t="shared" si="95"/>
        <v>2023 03</v>
      </c>
      <c r="U1185" s="32">
        <f t="shared" si="92"/>
        <v>198.10000000000002</v>
      </c>
      <c r="V1185" s="22">
        <f t="shared" si="93"/>
        <v>0.56294401818698503</v>
      </c>
      <c r="X1185" s="33"/>
      <c r="Y1185" s="33"/>
    </row>
    <row r="1186" spans="1:25" x14ac:dyDescent="0.2">
      <c r="A1186" s="93" t="s">
        <v>533</v>
      </c>
      <c r="B1186" s="94">
        <f>IFERROR(VLOOKUP($A1186,HeadJournal!$A$1:$NTR$890,COLUMN(HeadJournal!B$1),0),"")</f>
        <v>0</v>
      </c>
      <c r="C1186" s="94" t="str">
        <f>IFERROR(VLOOKUP($A1186,HeadJournal!$A$1:$NTR$890,COLUMN(HeadJournal!C$1),0),"")</f>
        <v>OZON_AV</v>
      </c>
      <c r="D1186" s="125" t="str">
        <f>IFERROR(VLOOKUP($A1186,HeadJournal!$A$1:$NTR$890,COLUMN(HeadJournal!D$1),0),"")</f>
        <v>Доставлен</v>
      </c>
      <c r="E1186" s="95">
        <f>IFERROR(VLOOKUP($A1186,HeadJournal!$A$1:$NTR$890,COLUMN(HeadJournal!G$1),0),"")</f>
        <v>44990</v>
      </c>
      <c r="F1186" s="95" t="str">
        <f t="shared" si="94"/>
        <v>2023 03</v>
      </c>
      <c r="G1186" s="96" t="s">
        <v>6</v>
      </c>
      <c r="H1186" s="160" t="str">
        <f>RIGHT(Journal!$J1186,9)</f>
        <v>281518154</v>
      </c>
      <c r="I1186" s="96" t="str">
        <f t="shared" si="91"/>
        <v>Be First</v>
      </c>
      <c r="J1186" s="97" t="s">
        <v>536</v>
      </c>
      <c r="K1186" s="29">
        <v>340</v>
      </c>
      <c r="L1186" s="29"/>
      <c r="M1186" s="30">
        <f>IFERROR(VLOOKUP($A1186,HeadJournal!$A$1:$J$890,COLUMN(HeadJournal!I$1),0)*($K1186+$L1186)/(SUMIF($A:$A,$A1186,$K:$K)+SUMIF($A:$A,$A1186,$L:$L)),0)</f>
        <v>0</v>
      </c>
      <c r="N1186" s="30">
        <f>IFERROR((VLOOKUP($A1186,HeadJournal!$A$1:$K$890,COLUMN(HeadJournal!K$1),0)-VLOOKUP($A1186,HeadJournal!$A$1:$K$890,COLUMN(HeadJournal!J$1),0))*($K1186+$L1186)/(SUMIF($A:$A,$A1186,$K:$K)+SUMIF($A:$A,$A1186,$L:$L)),0)</f>
        <v>0</v>
      </c>
      <c r="O1186" s="30">
        <f>IFERROR((VLOOKUP($A1186,HeadJournal!$A$1:$L$890,COLUMN(HeadJournal!L$1),0)*($K1186+$L1186)/(SUMIF($A:$A,$A1186,$K:$K)+SUMIF($A:$A,$A1186,$L:$L)))/VLOOKUP($A1186,HeadJournal!$A$1:$L$890,COLUMN(HeadJournal!H$1),0),0)</f>
        <v>51</v>
      </c>
      <c r="P1186" s="30">
        <f>IFERROR(SUM(K1186:O1186)*VLOOKUP($A1186,HeadJournal!$A$1:$L$890,COLUMN(HeadJournal!H$1),0),0)</f>
        <v>391</v>
      </c>
      <c r="Q1186" s="29">
        <v>550</v>
      </c>
      <c r="R1186" s="31">
        <v>44999</v>
      </c>
      <c r="S1186" s="31" t="s">
        <v>3121</v>
      </c>
      <c r="T1186" s="95" t="str">
        <f t="shared" si="95"/>
        <v>2023 03</v>
      </c>
      <c r="U1186" s="32">
        <f t="shared" si="92"/>
        <v>159</v>
      </c>
      <c r="V1186" s="22">
        <f t="shared" si="93"/>
        <v>0.40664961636828645</v>
      </c>
      <c r="X1186" s="33"/>
      <c r="Y1186" s="33"/>
    </row>
    <row r="1187" spans="1:25" x14ac:dyDescent="0.2">
      <c r="A1187" s="93" t="s">
        <v>533</v>
      </c>
      <c r="B1187" s="94">
        <f>IFERROR(VLOOKUP($A1187,HeadJournal!$A$1:$NTR$890,COLUMN(HeadJournal!B$1),0),"")</f>
        <v>0</v>
      </c>
      <c r="C1187" s="94" t="str">
        <f>IFERROR(VLOOKUP($A1187,HeadJournal!$A$1:$NTR$890,COLUMN(HeadJournal!C$1),0),"")</f>
        <v>OZON_AV</v>
      </c>
      <c r="D1187" s="125" t="str">
        <f>IFERROR(VLOOKUP($A1187,HeadJournal!$A$1:$NTR$890,COLUMN(HeadJournal!D$1),0),"")</f>
        <v>Доставлен</v>
      </c>
      <c r="E1187" s="95">
        <f>IFERROR(VLOOKUP($A1187,HeadJournal!$A$1:$NTR$890,COLUMN(HeadJournal!G$1),0),"")</f>
        <v>44990</v>
      </c>
      <c r="F1187" s="95" t="str">
        <f t="shared" si="94"/>
        <v>2023 03</v>
      </c>
      <c r="G1187" s="96" t="s">
        <v>6</v>
      </c>
      <c r="H1187" s="160" t="str">
        <f>RIGHT(Journal!$J1187,9)</f>
        <v>281518154</v>
      </c>
      <c r="I1187" s="96" t="str">
        <f t="shared" si="91"/>
        <v>Be First</v>
      </c>
      <c r="J1187" s="97" t="s">
        <v>536</v>
      </c>
      <c r="K1187" s="29">
        <v>340</v>
      </c>
      <c r="L1187" s="29"/>
      <c r="M1187" s="30">
        <f>IFERROR(VLOOKUP($A1187,HeadJournal!$A$1:$J$890,COLUMN(HeadJournal!I$1),0)*($K1187+$L1187)/(SUMIF($A:$A,$A1187,$K:$K)+SUMIF($A:$A,$A1187,$L:$L)),0)</f>
        <v>0</v>
      </c>
      <c r="N1187" s="30">
        <f>IFERROR((VLOOKUP($A1187,HeadJournal!$A$1:$K$890,COLUMN(HeadJournal!K$1),0)-VLOOKUP($A1187,HeadJournal!$A$1:$K$890,COLUMN(HeadJournal!J$1),0))*($K1187+$L1187)/(SUMIF($A:$A,$A1187,$K:$K)+SUMIF($A:$A,$A1187,$L:$L)),0)</f>
        <v>0</v>
      </c>
      <c r="O1187" s="30">
        <f>IFERROR((VLOOKUP($A1187,HeadJournal!$A$1:$L$890,COLUMN(HeadJournal!L$1),0)*($K1187+$L1187)/(SUMIF($A:$A,$A1187,$K:$K)+SUMIF($A:$A,$A1187,$L:$L)))/VLOOKUP($A1187,HeadJournal!$A$1:$L$890,COLUMN(HeadJournal!H$1),0),0)</f>
        <v>51</v>
      </c>
      <c r="P1187" s="30">
        <f>IFERROR(SUM(K1187:O1187)*VLOOKUP($A1187,HeadJournal!$A$1:$L$890,COLUMN(HeadJournal!H$1),0),0)</f>
        <v>391</v>
      </c>
      <c r="Q1187" s="29">
        <v>500</v>
      </c>
      <c r="R1187" s="31">
        <v>45008</v>
      </c>
      <c r="S1187" s="31" t="s">
        <v>3121</v>
      </c>
      <c r="T1187" s="95" t="str">
        <f t="shared" si="95"/>
        <v>2023 03</v>
      </c>
      <c r="U1187" s="32">
        <f t="shared" si="92"/>
        <v>109</v>
      </c>
      <c r="V1187" s="22">
        <f t="shared" si="93"/>
        <v>0.27877237851662406</v>
      </c>
      <c r="X1187" s="33"/>
      <c r="Y1187" s="33"/>
    </row>
    <row r="1188" spans="1:25" x14ac:dyDescent="0.2">
      <c r="A1188" s="93" t="s">
        <v>533</v>
      </c>
      <c r="B1188" s="94">
        <f>IFERROR(VLOOKUP($A1188,HeadJournal!$A$1:$NTR$890,COLUMN(HeadJournal!B$1),0),"")</f>
        <v>0</v>
      </c>
      <c r="C1188" s="94" t="str">
        <f>IFERROR(VLOOKUP($A1188,HeadJournal!$A$1:$NTR$890,COLUMN(HeadJournal!C$1),0),"")</f>
        <v>OZON_AV</v>
      </c>
      <c r="D1188" s="125" t="str">
        <f>IFERROR(VLOOKUP($A1188,HeadJournal!$A$1:$NTR$890,COLUMN(HeadJournal!D$1),0),"")</f>
        <v>Доставлен</v>
      </c>
      <c r="E1188" s="95">
        <f>IFERROR(VLOOKUP($A1188,HeadJournal!$A$1:$NTR$890,COLUMN(HeadJournal!G$1),0),"")</f>
        <v>44990</v>
      </c>
      <c r="F1188" s="95" t="str">
        <f t="shared" si="94"/>
        <v>2023 03</v>
      </c>
      <c r="G1188" s="96" t="s">
        <v>6</v>
      </c>
      <c r="H1188" s="160" t="str">
        <f>RIGHT(Journal!$J1188,9)</f>
        <v>281516886</v>
      </c>
      <c r="I1188" s="96" t="str">
        <f t="shared" si="91"/>
        <v>Be First</v>
      </c>
      <c r="J1188" s="97" t="s">
        <v>537</v>
      </c>
      <c r="K1188" s="29">
        <v>306</v>
      </c>
      <c r="L1188" s="29"/>
      <c r="M1188" s="30">
        <f>IFERROR(VLOOKUP($A1188,HeadJournal!$A$1:$J$890,COLUMN(HeadJournal!I$1),0)*($K1188+$L1188)/(SUMIF($A:$A,$A1188,$K:$K)+SUMIF($A:$A,$A1188,$L:$L)),0)</f>
        <v>0</v>
      </c>
      <c r="N1188" s="30">
        <f>IFERROR((VLOOKUP($A1188,HeadJournal!$A$1:$K$890,COLUMN(HeadJournal!K$1),0)-VLOOKUP($A1188,HeadJournal!$A$1:$K$890,COLUMN(HeadJournal!J$1),0))*($K1188+$L1188)/(SUMIF($A:$A,$A1188,$K:$K)+SUMIF($A:$A,$A1188,$L:$L)),0)</f>
        <v>0</v>
      </c>
      <c r="O1188" s="30">
        <f>IFERROR((VLOOKUP($A1188,HeadJournal!$A$1:$L$890,COLUMN(HeadJournal!L$1),0)*($K1188+$L1188)/(SUMIF($A:$A,$A1188,$K:$K)+SUMIF($A:$A,$A1188,$L:$L)))/VLOOKUP($A1188,HeadJournal!$A$1:$L$890,COLUMN(HeadJournal!H$1),0),0)</f>
        <v>45.9</v>
      </c>
      <c r="P1188" s="30">
        <f>IFERROR(SUM(K1188:O1188)*VLOOKUP($A1188,HeadJournal!$A$1:$L$890,COLUMN(HeadJournal!H$1),0),0)</f>
        <v>351.9</v>
      </c>
      <c r="Q1188" s="29">
        <v>550</v>
      </c>
      <c r="R1188" s="31">
        <v>45037</v>
      </c>
      <c r="S1188" s="31" t="s">
        <v>3121</v>
      </c>
      <c r="T1188" s="95" t="str">
        <f t="shared" si="95"/>
        <v>2023 04</v>
      </c>
      <c r="U1188" s="32">
        <f t="shared" si="92"/>
        <v>198.10000000000002</v>
      </c>
      <c r="V1188" s="22">
        <f t="shared" si="93"/>
        <v>0.56294401818698503</v>
      </c>
      <c r="X1188" s="33"/>
      <c r="Y1188" s="33"/>
    </row>
    <row r="1189" spans="1:25" x14ac:dyDescent="0.2">
      <c r="A1189" s="93" t="s">
        <v>533</v>
      </c>
      <c r="B1189" s="94">
        <f>IFERROR(VLOOKUP($A1189,HeadJournal!$A$1:$NTR$890,COLUMN(HeadJournal!B$1),0),"")</f>
        <v>0</v>
      </c>
      <c r="C1189" s="94" t="str">
        <f>IFERROR(VLOOKUP($A1189,HeadJournal!$A$1:$NTR$890,COLUMN(HeadJournal!C$1),0),"")</f>
        <v>OZON_AV</v>
      </c>
      <c r="D1189" s="125" t="str">
        <f>IFERROR(VLOOKUP($A1189,HeadJournal!$A$1:$NTR$890,COLUMN(HeadJournal!D$1),0),"")</f>
        <v>Доставлен</v>
      </c>
      <c r="E1189" s="95">
        <f>IFERROR(VLOOKUP($A1189,HeadJournal!$A$1:$NTR$890,COLUMN(HeadJournal!G$1),0),"")</f>
        <v>44990</v>
      </c>
      <c r="F1189" s="95" t="str">
        <f t="shared" si="94"/>
        <v>2023 03</v>
      </c>
      <c r="G1189" s="96" t="s">
        <v>6</v>
      </c>
      <c r="H1189" s="160" t="str">
        <f>RIGHT(Journal!$J1189,9)</f>
        <v>281516886</v>
      </c>
      <c r="I1189" s="96" t="str">
        <f t="shared" si="91"/>
        <v>Be First</v>
      </c>
      <c r="J1189" s="97" t="s">
        <v>537</v>
      </c>
      <c r="K1189" s="29">
        <v>306</v>
      </c>
      <c r="L1189" s="29"/>
      <c r="M1189" s="30">
        <f>IFERROR(VLOOKUP($A1189,HeadJournal!$A$1:$J$890,COLUMN(HeadJournal!I$1),0)*($K1189+$L1189)/(SUMIF($A:$A,$A1189,$K:$K)+SUMIF($A:$A,$A1189,$L:$L)),0)</f>
        <v>0</v>
      </c>
      <c r="N1189" s="30">
        <f>IFERROR((VLOOKUP($A1189,HeadJournal!$A$1:$K$890,COLUMN(HeadJournal!K$1),0)-VLOOKUP($A1189,HeadJournal!$A$1:$K$890,COLUMN(HeadJournal!J$1),0))*($K1189+$L1189)/(SUMIF($A:$A,$A1189,$K:$K)+SUMIF($A:$A,$A1189,$L:$L)),0)</f>
        <v>0</v>
      </c>
      <c r="O1189" s="30">
        <f>IFERROR((VLOOKUP($A1189,HeadJournal!$A$1:$L$890,COLUMN(HeadJournal!L$1),0)*($K1189+$L1189)/(SUMIF($A:$A,$A1189,$K:$K)+SUMIF($A:$A,$A1189,$L:$L)))/VLOOKUP($A1189,HeadJournal!$A$1:$L$890,COLUMN(HeadJournal!H$1),0),0)</f>
        <v>45.9</v>
      </c>
      <c r="P1189" s="30">
        <f>IFERROR(SUM(K1189:O1189)*VLOOKUP($A1189,HeadJournal!$A$1:$L$890,COLUMN(HeadJournal!H$1),0),0)</f>
        <v>351.9</v>
      </c>
      <c r="Q1189" s="29">
        <v>500</v>
      </c>
      <c r="R1189" s="31">
        <v>45043</v>
      </c>
      <c r="S1189" s="31" t="s">
        <v>3121</v>
      </c>
      <c r="T1189" s="95" t="str">
        <f t="shared" si="95"/>
        <v>2023 04</v>
      </c>
      <c r="U1189" s="32">
        <f t="shared" si="92"/>
        <v>148.10000000000002</v>
      </c>
      <c r="V1189" s="22">
        <f t="shared" si="93"/>
        <v>0.4208581983518046</v>
      </c>
      <c r="X1189" s="33"/>
      <c r="Y1189" s="33"/>
    </row>
    <row r="1190" spans="1:25" x14ac:dyDescent="0.2">
      <c r="A1190" s="93" t="s">
        <v>538</v>
      </c>
      <c r="B1190" s="94">
        <f>IFERROR(VLOOKUP($A1190,HeadJournal!$A$1:$NTR$890,COLUMN(HeadJournal!B$1),0),"")</f>
        <v>0</v>
      </c>
      <c r="C1190" s="94" t="str">
        <f>IFERROR(VLOOKUP($A1190,HeadJournal!$A$1:$NTR$890,COLUMN(HeadJournal!C$1),0),"")</f>
        <v>OZON_AV</v>
      </c>
      <c r="D1190" s="125" t="str">
        <f>IFERROR(VLOOKUP($A1190,HeadJournal!$A$1:$NTR$890,COLUMN(HeadJournal!D$1),0),"")</f>
        <v>Доставлен</v>
      </c>
      <c r="E1190" s="95">
        <f>IFERROR(VLOOKUP($A1190,HeadJournal!$A$1:$NTR$890,COLUMN(HeadJournal!G$1),0),"")</f>
        <v>44990</v>
      </c>
      <c r="F1190" s="95" t="str">
        <f t="shared" si="94"/>
        <v>2023 03</v>
      </c>
      <c r="G1190" s="96" t="s">
        <v>6</v>
      </c>
      <c r="H1190" s="160" t="str">
        <f>RIGHT(Journal!$J1190,9)</f>
        <v>825959086</v>
      </c>
      <c r="I1190" s="96" t="str">
        <f t="shared" si="91"/>
        <v>SOUL WAY</v>
      </c>
      <c r="J1190" s="97" t="s">
        <v>478</v>
      </c>
      <c r="K1190" s="29">
        <v>944</v>
      </c>
      <c r="L1190" s="29"/>
      <c r="M1190" s="30">
        <f>IFERROR(VLOOKUP($A1190,HeadJournal!$A$1:$J$890,COLUMN(HeadJournal!I$1),0)*($K1190+$L1190)/(SUMIF($A:$A,$A1190,$K:$K)+SUMIF($A:$A,$A1190,$L:$L)),0)</f>
        <v>0</v>
      </c>
      <c r="N1190" s="30">
        <f>IFERROR((VLOOKUP($A1190,HeadJournal!$A$1:$K$890,COLUMN(HeadJournal!K$1),0)-VLOOKUP($A1190,HeadJournal!$A$1:$K$890,COLUMN(HeadJournal!J$1),0))*($K1190+$L1190)/(SUMIF($A:$A,$A1190,$K:$K)+SUMIF($A:$A,$A1190,$L:$L)),0)</f>
        <v>0</v>
      </c>
      <c r="O1190" s="30">
        <f>IFERROR((VLOOKUP($A1190,HeadJournal!$A$1:$L$890,COLUMN(HeadJournal!L$1),0)*($K1190+$L1190)/(SUMIF($A:$A,$A1190,$K:$K)+SUMIF($A:$A,$A1190,$L:$L)))/VLOOKUP($A1190,HeadJournal!$A$1:$L$890,COLUMN(HeadJournal!H$1),0),0)</f>
        <v>141.6</v>
      </c>
      <c r="P1190" s="30">
        <f>IFERROR(SUM(K1190:O1190)*VLOOKUP($A1190,HeadJournal!$A$1:$L$890,COLUMN(HeadJournal!H$1),0),0)</f>
        <v>1085.5999999999999</v>
      </c>
      <c r="Q1190" s="29">
        <v>1500</v>
      </c>
      <c r="R1190" s="31">
        <v>44999</v>
      </c>
      <c r="S1190" s="31" t="s">
        <v>3121</v>
      </c>
      <c r="T1190" s="95" t="str">
        <f t="shared" si="95"/>
        <v>2023 03</v>
      </c>
      <c r="U1190" s="32">
        <f t="shared" si="92"/>
        <v>414.40000000000009</v>
      </c>
      <c r="V1190" s="22">
        <f t="shared" si="93"/>
        <v>0.38172439204126762</v>
      </c>
      <c r="X1190" s="33"/>
      <c r="Y1190" s="33"/>
    </row>
    <row r="1191" spans="1:25" x14ac:dyDescent="0.2">
      <c r="A1191" s="93" t="s">
        <v>538</v>
      </c>
      <c r="B1191" s="94">
        <f>IFERROR(VLOOKUP($A1191,HeadJournal!$A$1:$NTR$890,COLUMN(HeadJournal!B$1),0),"")</f>
        <v>0</v>
      </c>
      <c r="C1191" s="94" t="str">
        <f>IFERROR(VLOOKUP($A1191,HeadJournal!$A$1:$NTR$890,COLUMN(HeadJournal!C$1),0),"")</f>
        <v>OZON_AV</v>
      </c>
      <c r="D1191" s="125" t="str">
        <f>IFERROR(VLOOKUP($A1191,HeadJournal!$A$1:$NTR$890,COLUMN(HeadJournal!D$1),0),"")</f>
        <v>Доставлен</v>
      </c>
      <c r="E1191" s="95">
        <f>IFERROR(VLOOKUP($A1191,HeadJournal!$A$1:$NTR$890,COLUMN(HeadJournal!G$1),0),"")</f>
        <v>44990</v>
      </c>
      <c r="F1191" s="95" t="str">
        <f t="shared" si="94"/>
        <v>2023 03</v>
      </c>
      <c r="G1191" s="96" t="s">
        <v>6</v>
      </c>
      <c r="H1191" s="160" t="str">
        <f>RIGHT(Journal!$J1191,9)</f>
        <v>825959086</v>
      </c>
      <c r="I1191" s="96" t="str">
        <f t="shared" si="91"/>
        <v>SOUL WAY</v>
      </c>
      <c r="J1191" s="97" t="s">
        <v>478</v>
      </c>
      <c r="K1191" s="29">
        <v>944</v>
      </c>
      <c r="L1191" s="29"/>
      <c r="M1191" s="30">
        <f>IFERROR(VLOOKUP($A1191,HeadJournal!$A$1:$J$890,COLUMN(HeadJournal!I$1),0)*($K1191+$L1191)/(SUMIF($A:$A,$A1191,$K:$K)+SUMIF($A:$A,$A1191,$L:$L)),0)</f>
        <v>0</v>
      </c>
      <c r="N1191" s="30">
        <f>IFERROR((VLOOKUP($A1191,HeadJournal!$A$1:$K$890,COLUMN(HeadJournal!K$1),0)-VLOOKUP($A1191,HeadJournal!$A$1:$K$890,COLUMN(HeadJournal!J$1),0))*($K1191+$L1191)/(SUMIF($A:$A,$A1191,$K:$K)+SUMIF($A:$A,$A1191,$L:$L)),0)</f>
        <v>0</v>
      </c>
      <c r="O1191" s="30">
        <f>IFERROR((VLOOKUP($A1191,HeadJournal!$A$1:$L$890,COLUMN(HeadJournal!L$1),0)*($K1191+$L1191)/(SUMIF($A:$A,$A1191,$K:$K)+SUMIF($A:$A,$A1191,$L:$L)))/VLOOKUP($A1191,HeadJournal!$A$1:$L$890,COLUMN(HeadJournal!H$1),0),0)</f>
        <v>141.6</v>
      </c>
      <c r="P1191" s="30">
        <f>IFERROR(SUM(K1191:O1191)*VLOOKUP($A1191,HeadJournal!$A$1:$L$890,COLUMN(HeadJournal!H$1),0),0)</f>
        <v>1085.5999999999999</v>
      </c>
      <c r="Q1191" s="29">
        <v>1500</v>
      </c>
      <c r="R1191" s="31">
        <v>44999</v>
      </c>
      <c r="S1191" s="31" t="s">
        <v>3121</v>
      </c>
      <c r="T1191" s="95" t="str">
        <f t="shared" si="95"/>
        <v>2023 03</v>
      </c>
      <c r="U1191" s="32">
        <f t="shared" si="92"/>
        <v>414.40000000000009</v>
      </c>
      <c r="V1191" s="22">
        <f t="shared" si="93"/>
        <v>0.38172439204126762</v>
      </c>
      <c r="X1191" s="33"/>
      <c r="Y1191" s="33"/>
    </row>
    <row r="1192" spans="1:25" x14ac:dyDescent="0.2">
      <c r="A1192" s="93" t="s">
        <v>538</v>
      </c>
      <c r="B1192" s="94">
        <f>IFERROR(VLOOKUP($A1192,HeadJournal!$A$1:$NTR$890,COLUMN(HeadJournal!B$1),0),"")</f>
        <v>0</v>
      </c>
      <c r="C1192" s="94" t="str">
        <f>IFERROR(VLOOKUP($A1192,HeadJournal!$A$1:$NTR$890,COLUMN(HeadJournal!C$1),0),"")</f>
        <v>OZON_AV</v>
      </c>
      <c r="D1192" s="125" t="str">
        <f>IFERROR(VLOOKUP($A1192,HeadJournal!$A$1:$NTR$890,COLUMN(HeadJournal!D$1),0),"")</f>
        <v>Доставлен</v>
      </c>
      <c r="E1192" s="95">
        <f>IFERROR(VLOOKUP($A1192,HeadJournal!$A$1:$NTR$890,COLUMN(HeadJournal!G$1),0),"")</f>
        <v>44990</v>
      </c>
      <c r="F1192" s="95" t="str">
        <f t="shared" si="94"/>
        <v>2023 03</v>
      </c>
      <c r="G1192" s="96" t="s">
        <v>6</v>
      </c>
      <c r="H1192" s="160" t="str">
        <f>RIGHT(Journal!$J1192,9)</f>
        <v>799989625</v>
      </c>
      <c r="I1192" s="96" t="str">
        <f t="shared" si="91"/>
        <v>Cult</v>
      </c>
      <c r="J1192" s="97" t="s">
        <v>3516</v>
      </c>
      <c r="K1192" s="29">
        <v>1717.5</v>
      </c>
      <c r="L1192" s="29"/>
      <c r="M1192" s="30">
        <f>IFERROR(VLOOKUP($A1192,HeadJournal!$A$1:$J$890,COLUMN(HeadJournal!I$1),0)*($K1192+$L1192)/(SUMIF($A:$A,$A1192,$K:$K)+SUMIF($A:$A,$A1192,$L:$L)),0)</f>
        <v>0</v>
      </c>
      <c r="N1192" s="30">
        <f>IFERROR((VLOOKUP($A1192,HeadJournal!$A$1:$K$890,COLUMN(HeadJournal!K$1),0)-VLOOKUP($A1192,HeadJournal!$A$1:$K$890,COLUMN(HeadJournal!J$1),0))*($K1192+$L1192)/(SUMIF($A:$A,$A1192,$K:$K)+SUMIF($A:$A,$A1192,$L:$L)),0)</f>
        <v>0</v>
      </c>
      <c r="O1192" s="30">
        <f>IFERROR((VLOOKUP($A1192,HeadJournal!$A$1:$L$890,COLUMN(HeadJournal!L$1),0)*($K1192+$L1192)/(SUMIF($A:$A,$A1192,$K:$K)+SUMIF($A:$A,$A1192,$L:$L)))/VLOOKUP($A1192,HeadJournal!$A$1:$L$890,COLUMN(HeadJournal!H$1),0),0)</f>
        <v>257.62499999999994</v>
      </c>
      <c r="P1192" s="30">
        <f>IFERROR(SUM(K1192:O1192)*VLOOKUP($A1192,HeadJournal!$A$1:$L$890,COLUMN(HeadJournal!H$1),0),0)</f>
        <v>1975.125</v>
      </c>
      <c r="Q1192" s="29">
        <v>3100</v>
      </c>
      <c r="R1192" s="31">
        <v>45020</v>
      </c>
      <c r="S1192" s="31" t="s">
        <v>3121</v>
      </c>
      <c r="T1192" s="95" t="str">
        <f t="shared" si="95"/>
        <v>2023 04</v>
      </c>
      <c r="U1192" s="32">
        <f t="shared" si="92"/>
        <v>1124.875</v>
      </c>
      <c r="V1192" s="22">
        <f t="shared" si="93"/>
        <v>0.56952091639769631</v>
      </c>
      <c r="X1192" s="33"/>
      <c r="Y1192" s="33"/>
    </row>
    <row r="1193" spans="1:25" x14ac:dyDescent="0.2">
      <c r="A1193" s="93" t="s">
        <v>538</v>
      </c>
      <c r="B1193" s="94">
        <f>IFERROR(VLOOKUP($A1193,HeadJournal!$A$1:$NTR$890,COLUMN(HeadJournal!B$1),0),"")</f>
        <v>0</v>
      </c>
      <c r="C1193" s="94" t="str">
        <f>IFERROR(VLOOKUP($A1193,HeadJournal!$A$1:$NTR$890,COLUMN(HeadJournal!C$1),0),"")</f>
        <v>OZON_AV</v>
      </c>
      <c r="D1193" s="125" t="str">
        <f>IFERROR(VLOOKUP($A1193,HeadJournal!$A$1:$NTR$890,COLUMN(HeadJournal!D$1),0),"")</f>
        <v>Доставлен</v>
      </c>
      <c r="E1193" s="95">
        <f>IFERROR(VLOOKUP($A1193,HeadJournal!$A$1:$NTR$890,COLUMN(HeadJournal!G$1),0),"")</f>
        <v>44990</v>
      </c>
      <c r="F1193" s="95" t="str">
        <f t="shared" si="94"/>
        <v>2023 03</v>
      </c>
      <c r="G1193" s="96" t="s">
        <v>6</v>
      </c>
      <c r="H1193" s="160" t="str">
        <f>RIGHT(Journal!$J1193,9)</f>
        <v>799989625</v>
      </c>
      <c r="I1193" s="96" t="str">
        <f t="shared" si="91"/>
        <v>Cult</v>
      </c>
      <c r="J1193" s="97" t="s">
        <v>3516</v>
      </c>
      <c r="K1193" s="29">
        <v>1717.5</v>
      </c>
      <c r="L1193" s="29"/>
      <c r="M1193" s="30">
        <f>IFERROR(VLOOKUP($A1193,HeadJournal!$A$1:$J$890,COLUMN(HeadJournal!I$1),0)*($K1193+$L1193)/(SUMIF($A:$A,$A1193,$K:$K)+SUMIF($A:$A,$A1193,$L:$L)),0)</f>
        <v>0</v>
      </c>
      <c r="N1193" s="30">
        <f>IFERROR((VLOOKUP($A1193,HeadJournal!$A$1:$K$890,COLUMN(HeadJournal!K$1),0)-VLOOKUP($A1193,HeadJournal!$A$1:$K$890,COLUMN(HeadJournal!J$1),0))*($K1193+$L1193)/(SUMIF($A:$A,$A1193,$K:$K)+SUMIF($A:$A,$A1193,$L:$L)),0)</f>
        <v>0</v>
      </c>
      <c r="O1193" s="30">
        <f>IFERROR((VLOOKUP($A1193,HeadJournal!$A$1:$L$890,COLUMN(HeadJournal!L$1),0)*($K1193+$L1193)/(SUMIF($A:$A,$A1193,$K:$K)+SUMIF($A:$A,$A1193,$L:$L)))/VLOOKUP($A1193,HeadJournal!$A$1:$L$890,COLUMN(HeadJournal!H$1),0),0)</f>
        <v>257.62499999999994</v>
      </c>
      <c r="P1193" s="30">
        <f>IFERROR(SUM(K1193:O1193)*VLOOKUP($A1193,HeadJournal!$A$1:$L$890,COLUMN(HeadJournal!H$1),0),0)</f>
        <v>1975.125</v>
      </c>
      <c r="Q1193" s="29">
        <v>3100</v>
      </c>
      <c r="R1193" s="31">
        <v>45043</v>
      </c>
      <c r="S1193" s="31" t="s">
        <v>3121</v>
      </c>
      <c r="T1193" s="95" t="str">
        <f t="shared" si="95"/>
        <v>2023 04</v>
      </c>
      <c r="U1193" s="32">
        <f t="shared" si="92"/>
        <v>1124.875</v>
      </c>
      <c r="V1193" s="22">
        <f t="shared" si="93"/>
        <v>0.56952091639769631</v>
      </c>
      <c r="X1193" s="33"/>
      <c r="Y1193" s="33"/>
    </row>
    <row r="1194" spans="1:25" x14ac:dyDescent="0.2">
      <c r="A1194" s="93" t="s">
        <v>539</v>
      </c>
      <c r="B1194" s="94">
        <f>IFERROR(VLOOKUP($A1194,HeadJournal!$A$1:$NTR$890,COLUMN(HeadJournal!B$1),0),"")</f>
        <v>0</v>
      </c>
      <c r="C1194" s="94" t="str">
        <f>IFERROR(VLOOKUP($A1194,HeadJournal!$A$1:$NTR$890,COLUMN(HeadJournal!C$1),0),"")</f>
        <v>OZON_AV</v>
      </c>
      <c r="D1194" s="125" t="str">
        <f>IFERROR(VLOOKUP($A1194,HeadJournal!$A$1:$NTR$890,COLUMN(HeadJournal!D$1),0),"")</f>
        <v>Доставлен</v>
      </c>
      <c r="E1194" s="95">
        <f>IFERROR(VLOOKUP($A1194,HeadJournal!$A$1:$NTR$890,COLUMN(HeadJournal!G$1),0),"")</f>
        <v>44991</v>
      </c>
      <c r="F1194" s="95" t="str">
        <f t="shared" si="94"/>
        <v>2023 03</v>
      </c>
      <c r="G1194" s="96" t="s">
        <v>5</v>
      </c>
      <c r="H1194" s="160" t="str">
        <f>RIGHT(Journal!$J1194,9)</f>
        <v>852644785</v>
      </c>
      <c r="I1194" s="96" t="str">
        <f t="shared" si="91"/>
        <v>Секрет Императора</v>
      </c>
      <c r="J1194" s="97" t="s">
        <v>540</v>
      </c>
      <c r="K1194" s="29">
        <v>647</v>
      </c>
      <c r="L1194" s="29"/>
      <c r="M1194" s="30">
        <f>IFERROR(VLOOKUP($A1194,HeadJournal!$A$1:$J$890,COLUMN(HeadJournal!I$1),0)*($K1194+$L1194)/(SUMIF($A:$A,$A1194,$K:$K)+SUMIF($A:$A,$A1194,$L:$L)),0)</f>
        <v>0</v>
      </c>
      <c r="N1194" s="30">
        <f>IFERROR((VLOOKUP($A1194,HeadJournal!$A$1:$K$890,COLUMN(HeadJournal!K$1),0)-VLOOKUP($A1194,HeadJournal!$A$1:$K$890,COLUMN(HeadJournal!J$1),0))*($K1194+$L1194)/(SUMIF($A:$A,$A1194,$K:$K)+SUMIF($A:$A,$A1194,$L:$L)),0)</f>
        <v>0</v>
      </c>
      <c r="O1194" s="30">
        <f>IFERROR((VLOOKUP($A1194,HeadJournal!$A$1:$L$890,COLUMN(HeadJournal!L$1),0)*($K1194+$L1194)/(SUMIF($A:$A,$A1194,$K:$K)+SUMIF($A:$A,$A1194,$L:$L)))/VLOOKUP($A1194,HeadJournal!$A$1:$L$890,COLUMN(HeadJournal!H$1),0),0)</f>
        <v>97.05</v>
      </c>
      <c r="P1194" s="30">
        <f>IFERROR(SUM(K1194:O1194)*VLOOKUP($A1194,HeadJournal!$A$1:$L$890,COLUMN(HeadJournal!H$1),0),0)</f>
        <v>744.05</v>
      </c>
      <c r="Q1194" s="29">
        <v>1300</v>
      </c>
      <c r="R1194" s="31">
        <v>45006</v>
      </c>
      <c r="S1194" s="31" t="s">
        <v>3121</v>
      </c>
      <c r="T1194" s="95" t="str">
        <f t="shared" si="95"/>
        <v>2023 03</v>
      </c>
      <c r="U1194" s="32">
        <f t="shared" si="92"/>
        <v>555.95000000000005</v>
      </c>
      <c r="V1194" s="22">
        <f t="shared" si="93"/>
        <v>0.74719440897789136</v>
      </c>
      <c r="X1194" s="33"/>
      <c r="Y1194" s="33"/>
    </row>
    <row r="1195" spans="1:25" x14ac:dyDescent="0.2">
      <c r="A1195" s="93" t="s">
        <v>539</v>
      </c>
      <c r="B1195" s="94">
        <f>IFERROR(VLOOKUP($A1195,HeadJournal!$A$1:$NTR$890,COLUMN(HeadJournal!B$1),0),"")</f>
        <v>0</v>
      </c>
      <c r="C1195" s="94" t="str">
        <f>IFERROR(VLOOKUP($A1195,HeadJournal!$A$1:$NTR$890,COLUMN(HeadJournal!C$1),0),"")</f>
        <v>OZON_AV</v>
      </c>
      <c r="D1195" s="125" t="str">
        <f>IFERROR(VLOOKUP($A1195,HeadJournal!$A$1:$NTR$890,COLUMN(HeadJournal!D$1),0),"")</f>
        <v>Доставлен</v>
      </c>
      <c r="E1195" s="95">
        <f>IFERROR(VLOOKUP($A1195,HeadJournal!$A$1:$NTR$890,COLUMN(HeadJournal!G$1),0),"")</f>
        <v>44991</v>
      </c>
      <c r="F1195" s="95" t="str">
        <f t="shared" si="94"/>
        <v>2023 03</v>
      </c>
      <c r="G1195" s="96" t="s">
        <v>5</v>
      </c>
      <c r="H1195" s="160" t="str">
        <f>RIGHT(Journal!$J1195,9)</f>
        <v>852644785</v>
      </c>
      <c r="I1195" s="96" t="str">
        <f t="shared" si="91"/>
        <v>Секрет Императора</v>
      </c>
      <c r="J1195" s="97" t="s">
        <v>540</v>
      </c>
      <c r="K1195" s="29">
        <v>647</v>
      </c>
      <c r="L1195" s="29"/>
      <c r="M1195" s="30">
        <f>IFERROR(VLOOKUP($A1195,HeadJournal!$A$1:$J$890,COLUMN(HeadJournal!I$1),0)*($K1195+$L1195)/(SUMIF($A:$A,$A1195,$K:$K)+SUMIF($A:$A,$A1195,$L:$L)),0)</f>
        <v>0</v>
      </c>
      <c r="N1195" s="30">
        <f>IFERROR((VLOOKUP($A1195,HeadJournal!$A$1:$K$890,COLUMN(HeadJournal!K$1),0)-VLOOKUP($A1195,HeadJournal!$A$1:$K$890,COLUMN(HeadJournal!J$1),0))*($K1195+$L1195)/(SUMIF($A:$A,$A1195,$K:$K)+SUMIF($A:$A,$A1195,$L:$L)),0)</f>
        <v>0</v>
      </c>
      <c r="O1195" s="30">
        <f>IFERROR((VLOOKUP($A1195,HeadJournal!$A$1:$L$890,COLUMN(HeadJournal!L$1),0)*($K1195+$L1195)/(SUMIF($A:$A,$A1195,$K:$K)+SUMIF($A:$A,$A1195,$L:$L)))/VLOOKUP($A1195,HeadJournal!$A$1:$L$890,COLUMN(HeadJournal!H$1),0),0)</f>
        <v>97.05</v>
      </c>
      <c r="P1195" s="30">
        <f>IFERROR(SUM(K1195:O1195)*VLOOKUP($A1195,HeadJournal!$A$1:$L$890,COLUMN(HeadJournal!H$1),0),0)</f>
        <v>744.05</v>
      </c>
      <c r="Q1195" s="29">
        <v>1300</v>
      </c>
      <c r="R1195" s="31">
        <v>45006</v>
      </c>
      <c r="S1195" s="31" t="s">
        <v>3121</v>
      </c>
      <c r="T1195" s="95" t="str">
        <f t="shared" si="95"/>
        <v>2023 03</v>
      </c>
      <c r="U1195" s="32">
        <f t="shared" si="92"/>
        <v>555.95000000000005</v>
      </c>
      <c r="V1195" s="22">
        <f t="shared" si="93"/>
        <v>0.74719440897789136</v>
      </c>
      <c r="X1195" s="33"/>
      <c r="Y1195" s="33"/>
    </row>
    <row r="1196" spans="1:25" x14ac:dyDescent="0.2">
      <c r="A1196" s="93" t="s">
        <v>541</v>
      </c>
      <c r="B1196" s="94">
        <f>IFERROR(VLOOKUP($A1196,HeadJournal!$A$1:$NTR$890,COLUMN(HeadJournal!B$1),0),"")</f>
        <v>0</v>
      </c>
      <c r="C1196" s="94" t="str">
        <f>IFERROR(VLOOKUP($A1196,HeadJournal!$A$1:$NTR$890,COLUMN(HeadJournal!C$1),0),"")</f>
        <v>OZON_AV</v>
      </c>
      <c r="D1196" s="125" t="str">
        <f>IFERROR(VLOOKUP($A1196,HeadJournal!$A$1:$NTR$890,COLUMN(HeadJournal!D$1),0),"")</f>
        <v>Доставлен</v>
      </c>
      <c r="E1196" s="95">
        <f>IFERROR(VLOOKUP($A1196,HeadJournal!$A$1:$NTR$890,COLUMN(HeadJournal!G$1),0),"")</f>
        <v>44994</v>
      </c>
      <c r="F1196" s="95" t="str">
        <f t="shared" si="94"/>
        <v>2023 03</v>
      </c>
      <c r="G1196" s="96" t="s">
        <v>7</v>
      </c>
      <c r="H1196" s="160" t="str">
        <f>RIGHT(Journal!$J1196,9)</f>
        <v>179005500</v>
      </c>
      <c r="I1196" s="96" t="str">
        <f t="shared" si="91"/>
        <v>Farm Stay</v>
      </c>
      <c r="J1196" s="97" t="s">
        <v>542</v>
      </c>
      <c r="K1196" s="29">
        <v>288</v>
      </c>
      <c r="L1196" s="29"/>
      <c r="M1196" s="30">
        <f>IFERROR(VLOOKUP($A1196,HeadJournal!$A$1:$J$890,COLUMN(HeadJournal!I$1),0)*($K1196+$L1196)/(SUMIF($A:$A,$A1196,$K:$K)+SUMIF($A:$A,$A1196,$L:$L)),0)</f>
        <v>0</v>
      </c>
      <c r="N1196" s="30">
        <f>IFERROR((VLOOKUP($A1196,HeadJournal!$A$1:$K$890,COLUMN(HeadJournal!K$1),0)-VLOOKUP($A1196,HeadJournal!$A$1:$K$890,COLUMN(HeadJournal!J$1),0))*($K1196+$L1196)/(SUMIF($A:$A,$A1196,$K:$K)+SUMIF($A:$A,$A1196,$L:$L)),0)</f>
        <v>0</v>
      </c>
      <c r="O1196" s="30">
        <f>IFERROR((VLOOKUP($A1196,HeadJournal!$A$1:$L$890,COLUMN(HeadJournal!L$1),0)*($K1196+$L1196)/(SUMIF($A:$A,$A1196,$K:$K)+SUMIF($A:$A,$A1196,$L:$L)))/VLOOKUP($A1196,HeadJournal!$A$1:$L$890,COLUMN(HeadJournal!H$1),0),0)</f>
        <v>43.2</v>
      </c>
      <c r="P1196" s="30">
        <f>IFERROR(SUM(K1196:O1196)*VLOOKUP($A1196,HeadJournal!$A$1:$L$890,COLUMN(HeadJournal!H$1),0),0)</f>
        <v>331.2</v>
      </c>
      <c r="Q1196" s="29">
        <v>700</v>
      </c>
      <c r="R1196" s="31">
        <v>45052</v>
      </c>
      <c r="S1196" s="31" t="s">
        <v>3121</v>
      </c>
      <c r="T1196" s="95" t="str">
        <f t="shared" si="95"/>
        <v>2023 05</v>
      </c>
      <c r="U1196" s="32">
        <f t="shared" si="92"/>
        <v>368.8</v>
      </c>
      <c r="V1196" s="22">
        <f t="shared" si="93"/>
        <v>1.1135265700483092</v>
      </c>
      <c r="X1196" s="33"/>
      <c r="Y1196" s="33"/>
    </row>
    <row r="1197" spans="1:25" x14ac:dyDescent="0.2">
      <c r="A1197" s="93" t="s">
        <v>541</v>
      </c>
      <c r="B1197" s="94">
        <f>IFERROR(VLOOKUP($A1197,HeadJournal!$A$1:$NTR$890,COLUMN(HeadJournal!B$1),0),"")</f>
        <v>0</v>
      </c>
      <c r="C1197" s="94" t="str">
        <f>IFERROR(VLOOKUP($A1197,HeadJournal!$A$1:$NTR$890,COLUMN(HeadJournal!C$1),0),"")</f>
        <v>OZON_AV</v>
      </c>
      <c r="D1197" s="125" t="str">
        <f>IFERROR(VLOOKUP($A1197,HeadJournal!$A$1:$NTR$890,COLUMN(HeadJournal!D$1),0),"")</f>
        <v>Доставлен</v>
      </c>
      <c r="E1197" s="95">
        <f>IFERROR(VLOOKUP($A1197,HeadJournal!$A$1:$NTR$890,COLUMN(HeadJournal!G$1),0),"")</f>
        <v>44994</v>
      </c>
      <c r="F1197" s="95" t="str">
        <f t="shared" si="94"/>
        <v>2023 03</v>
      </c>
      <c r="G1197" s="96" t="s">
        <v>7</v>
      </c>
      <c r="H1197" s="160" t="str">
        <f>RIGHT(Journal!$J1197,9)</f>
        <v>180642802</v>
      </c>
      <c r="I1197" s="96" t="str">
        <f t="shared" si="91"/>
        <v>Farm Stay</v>
      </c>
      <c r="J1197" s="97" t="s">
        <v>543</v>
      </c>
      <c r="K1197" s="29">
        <v>287</v>
      </c>
      <c r="L1197" s="29"/>
      <c r="M1197" s="30">
        <f>IFERROR(VLOOKUP($A1197,HeadJournal!$A$1:$J$890,COLUMN(HeadJournal!I$1),0)*($K1197+$L1197)/(SUMIF($A:$A,$A1197,$K:$K)+SUMIF($A:$A,$A1197,$L:$L)),0)</f>
        <v>0</v>
      </c>
      <c r="N1197" s="30">
        <f>IFERROR((VLOOKUP($A1197,HeadJournal!$A$1:$K$890,COLUMN(HeadJournal!K$1),0)-VLOOKUP($A1197,HeadJournal!$A$1:$K$890,COLUMN(HeadJournal!J$1),0))*($K1197+$L1197)/(SUMIF($A:$A,$A1197,$K:$K)+SUMIF($A:$A,$A1197,$L:$L)),0)</f>
        <v>0</v>
      </c>
      <c r="O1197" s="30">
        <f>IFERROR((VLOOKUP($A1197,HeadJournal!$A$1:$L$890,COLUMN(HeadJournal!L$1),0)*($K1197+$L1197)/(SUMIF($A:$A,$A1197,$K:$K)+SUMIF($A:$A,$A1197,$L:$L)))/VLOOKUP($A1197,HeadJournal!$A$1:$L$890,COLUMN(HeadJournal!H$1),0),0)</f>
        <v>43.05</v>
      </c>
      <c r="P1197" s="30">
        <f>IFERROR(SUM(K1197:O1197)*VLOOKUP($A1197,HeadJournal!$A$1:$L$890,COLUMN(HeadJournal!H$1),0),0)</f>
        <v>330.05</v>
      </c>
      <c r="Q1197" s="29">
        <v>700</v>
      </c>
      <c r="R1197" s="31">
        <v>45006</v>
      </c>
      <c r="S1197" s="31" t="s">
        <v>3121</v>
      </c>
      <c r="T1197" s="95" t="str">
        <f t="shared" si="95"/>
        <v>2023 03</v>
      </c>
      <c r="U1197" s="32">
        <f t="shared" si="92"/>
        <v>369.95</v>
      </c>
      <c r="V1197" s="22">
        <f t="shared" si="93"/>
        <v>1.1208907741251324</v>
      </c>
      <c r="X1197" s="33"/>
      <c r="Y1197" s="33"/>
    </row>
    <row r="1198" spans="1:25" x14ac:dyDescent="0.2">
      <c r="A1198" s="93" t="s">
        <v>541</v>
      </c>
      <c r="B1198" s="94">
        <f>IFERROR(VLOOKUP($A1198,HeadJournal!$A$1:$NTR$890,COLUMN(HeadJournal!B$1),0),"")</f>
        <v>0</v>
      </c>
      <c r="C1198" s="94" t="str">
        <f>IFERROR(VLOOKUP($A1198,HeadJournal!$A$1:$NTR$890,COLUMN(HeadJournal!C$1),0),"")</f>
        <v>OZON_AV</v>
      </c>
      <c r="D1198" s="125" t="str">
        <f>IFERROR(VLOOKUP($A1198,HeadJournal!$A$1:$NTR$890,COLUMN(HeadJournal!D$1),0),"")</f>
        <v>Доставлен</v>
      </c>
      <c r="E1198" s="95">
        <f>IFERROR(VLOOKUP($A1198,HeadJournal!$A$1:$NTR$890,COLUMN(HeadJournal!G$1),0),"")</f>
        <v>44994</v>
      </c>
      <c r="F1198" s="95" t="str">
        <f t="shared" si="94"/>
        <v>2023 03</v>
      </c>
      <c r="G1198" s="96" t="s">
        <v>7</v>
      </c>
      <c r="H1198" s="160" t="str">
        <f>RIGHT(Journal!$J1198,9)</f>
        <v>392681875</v>
      </c>
      <c r="I1198" s="96" t="str">
        <f t="shared" si="91"/>
        <v>EKEL</v>
      </c>
      <c r="J1198" s="97" t="s">
        <v>544</v>
      </c>
      <c r="K1198" s="29">
        <v>311</v>
      </c>
      <c r="L1198" s="29"/>
      <c r="M1198" s="30">
        <f>IFERROR(VLOOKUP($A1198,HeadJournal!$A$1:$J$890,COLUMN(HeadJournal!I$1),0)*($K1198+$L1198)/(SUMIF($A:$A,$A1198,$K:$K)+SUMIF($A:$A,$A1198,$L:$L)),0)</f>
        <v>0</v>
      </c>
      <c r="N1198" s="30">
        <f>IFERROR((VLOOKUP($A1198,HeadJournal!$A$1:$K$890,COLUMN(HeadJournal!K$1),0)-VLOOKUP($A1198,HeadJournal!$A$1:$K$890,COLUMN(HeadJournal!J$1),0))*($K1198+$L1198)/(SUMIF($A:$A,$A1198,$K:$K)+SUMIF($A:$A,$A1198,$L:$L)),0)</f>
        <v>0</v>
      </c>
      <c r="O1198" s="30">
        <f>IFERROR((VLOOKUP($A1198,HeadJournal!$A$1:$L$890,COLUMN(HeadJournal!L$1),0)*($K1198+$L1198)/(SUMIF($A:$A,$A1198,$K:$K)+SUMIF($A:$A,$A1198,$L:$L)))/VLOOKUP($A1198,HeadJournal!$A$1:$L$890,COLUMN(HeadJournal!H$1),0),0)</f>
        <v>46.65</v>
      </c>
      <c r="P1198" s="30">
        <f>IFERROR(SUM(K1198:O1198)*VLOOKUP($A1198,HeadJournal!$A$1:$L$890,COLUMN(HeadJournal!H$1),0),0)</f>
        <v>357.65</v>
      </c>
      <c r="Q1198" s="29">
        <v>700</v>
      </c>
      <c r="R1198" s="31">
        <v>45010</v>
      </c>
      <c r="S1198" s="31" t="s">
        <v>3121</v>
      </c>
      <c r="T1198" s="95" t="str">
        <f t="shared" si="95"/>
        <v>2023 03</v>
      </c>
      <c r="U1198" s="32">
        <f t="shared" si="92"/>
        <v>342.35</v>
      </c>
      <c r="V1198" s="22">
        <f t="shared" si="93"/>
        <v>0.9572207465399134</v>
      </c>
      <c r="X1198" s="33"/>
      <c r="Y1198" s="33"/>
    </row>
    <row r="1199" spans="1:25" x14ac:dyDescent="0.2">
      <c r="A1199" s="93" t="s">
        <v>541</v>
      </c>
      <c r="B1199" s="94">
        <f>IFERROR(VLOOKUP($A1199,HeadJournal!$A$1:$NTR$890,COLUMN(HeadJournal!B$1),0),"")</f>
        <v>0</v>
      </c>
      <c r="C1199" s="94" t="str">
        <f>IFERROR(VLOOKUP($A1199,HeadJournal!$A$1:$NTR$890,COLUMN(HeadJournal!C$1),0),"")</f>
        <v>OZON_AV</v>
      </c>
      <c r="D1199" s="125" t="str">
        <f>IFERROR(VLOOKUP($A1199,HeadJournal!$A$1:$NTR$890,COLUMN(HeadJournal!D$1),0),"")</f>
        <v>Доставлен</v>
      </c>
      <c r="E1199" s="95">
        <f>IFERROR(VLOOKUP($A1199,HeadJournal!$A$1:$NTR$890,COLUMN(HeadJournal!G$1),0),"")</f>
        <v>44994</v>
      </c>
      <c r="F1199" s="95" t="str">
        <f t="shared" si="94"/>
        <v>2023 03</v>
      </c>
      <c r="G1199" s="96" t="s">
        <v>7</v>
      </c>
      <c r="H1199" s="160" t="str">
        <f>RIGHT(Journal!$J1199,9)</f>
        <v>536253138</v>
      </c>
      <c r="I1199" s="96" t="str">
        <f t="shared" si="91"/>
        <v>Enough</v>
      </c>
      <c r="J1199" s="97" t="s">
        <v>545</v>
      </c>
      <c r="K1199" s="29">
        <v>271</v>
      </c>
      <c r="L1199" s="29"/>
      <c r="M1199" s="30">
        <f>IFERROR(VLOOKUP($A1199,HeadJournal!$A$1:$J$890,COLUMN(HeadJournal!I$1),0)*($K1199+$L1199)/(SUMIF($A:$A,$A1199,$K:$K)+SUMIF($A:$A,$A1199,$L:$L)),0)</f>
        <v>0</v>
      </c>
      <c r="N1199" s="30">
        <f>IFERROR((VLOOKUP($A1199,HeadJournal!$A$1:$K$890,COLUMN(HeadJournal!K$1),0)-VLOOKUP($A1199,HeadJournal!$A$1:$K$890,COLUMN(HeadJournal!J$1),0))*($K1199+$L1199)/(SUMIF($A:$A,$A1199,$K:$K)+SUMIF($A:$A,$A1199,$L:$L)),0)</f>
        <v>0</v>
      </c>
      <c r="O1199" s="30">
        <f>IFERROR((VLOOKUP($A1199,HeadJournal!$A$1:$L$890,COLUMN(HeadJournal!L$1),0)*($K1199+$L1199)/(SUMIF($A:$A,$A1199,$K:$K)+SUMIF($A:$A,$A1199,$L:$L)))/VLOOKUP($A1199,HeadJournal!$A$1:$L$890,COLUMN(HeadJournal!H$1),0),0)</f>
        <v>40.65</v>
      </c>
      <c r="P1199" s="30">
        <f>IFERROR(SUM(K1199:O1199)*VLOOKUP($A1199,HeadJournal!$A$1:$L$890,COLUMN(HeadJournal!H$1),0),0)</f>
        <v>311.64999999999998</v>
      </c>
      <c r="Q1199" s="29">
        <v>500</v>
      </c>
      <c r="R1199" s="31">
        <v>45256</v>
      </c>
      <c r="S1199" s="31" t="s">
        <v>3121</v>
      </c>
      <c r="T1199" s="95" t="str">
        <f t="shared" si="95"/>
        <v>2023 11</v>
      </c>
      <c r="U1199" s="32">
        <f t="shared" si="92"/>
        <v>188.35000000000002</v>
      </c>
      <c r="V1199" s="22">
        <f t="shared" si="93"/>
        <v>0.60436386972565392</v>
      </c>
      <c r="X1199" s="33"/>
      <c r="Y1199" s="33"/>
    </row>
    <row r="1200" spans="1:25" x14ac:dyDescent="0.2">
      <c r="A1200" s="93" t="s">
        <v>541</v>
      </c>
      <c r="B1200" s="94">
        <f>IFERROR(VLOOKUP($A1200,HeadJournal!$A$1:$NTR$890,COLUMN(HeadJournal!B$1),0),"")</f>
        <v>0</v>
      </c>
      <c r="C1200" s="94" t="str">
        <f>IFERROR(VLOOKUP($A1200,HeadJournal!$A$1:$NTR$890,COLUMN(HeadJournal!C$1),0),"")</f>
        <v>OZON_AV</v>
      </c>
      <c r="D1200" s="125" t="str">
        <f>IFERROR(VLOOKUP($A1200,HeadJournal!$A$1:$NTR$890,COLUMN(HeadJournal!D$1),0),"")</f>
        <v>Доставлен</v>
      </c>
      <c r="E1200" s="95">
        <f>IFERROR(VLOOKUP($A1200,HeadJournal!$A$1:$NTR$890,COLUMN(HeadJournal!G$1),0),"")</f>
        <v>44994</v>
      </c>
      <c r="F1200" s="95" t="str">
        <f t="shared" si="94"/>
        <v>2023 03</v>
      </c>
      <c r="G1200" s="96" t="s">
        <v>7</v>
      </c>
      <c r="H1200" s="160" t="str">
        <f>RIGHT(Journal!$J1200,9)</f>
        <v>536253138</v>
      </c>
      <c r="I1200" s="96" t="str">
        <f t="shared" si="91"/>
        <v>Enough</v>
      </c>
      <c r="J1200" s="97" t="s">
        <v>545</v>
      </c>
      <c r="K1200" s="29">
        <v>271</v>
      </c>
      <c r="L1200" s="29"/>
      <c r="M1200" s="30">
        <f>IFERROR(VLOOKUP($A1200,HeadJournal!$A$1:$J$890,COLUMN(HeadJournal!I$1),0)*($K1200+$L1200)/(SUMIF($A:$A,$A1200,$K:$K)+SUMIF($A:$A,$A1200,$L:$L)),0)</f>
        <v>0</v>
      </c>
      <c r="N1200" s="30">
        <f>IFERROR((VLOOKUP($A1200,HeadJournal!$A$1:$K$890,COLUMN(HeadJournal!K$1),0)-VLOOKUP($A1200,HeadJournal!$A$1:$K$890,COLUMN(HeadJournal!J$1),0))*($K1200+$L1200)/(SUMIF($A:$A,$A1200,$K:$K)+SUMIF($A:$A,$A1200,$L:$L)),0)</f>
        <v>0</v>
      </c>
      <c r="O1200" s="30">
        <f>IFERROR((VLOOKUP($A1200,HeadJournal!$A$1:$L$890,COLUMN(HeadJournal!L$1),0)*($K1200+$L1200)/(SUMIF($A:$A,$A1200,$K:$K)+SUMIF($A:$A,$A1200,$L:$L)))/VLOOKUP($A1200,HeadJournal!$A$1:$L$890,COLUMN(HeadJournal!H$1),0),0)</f>
        <v>40.65</v>
      </c>
      <c r="P1200" s="30">
        <f>IFERROR(SUM(K1200:O1200)*VLOOKUP($A1200,HeadJournal!$A$1:$L$890,COLUMN(HeadJournal!H$1),0),0)</f>
        <v>311.64999999999998</v>
      </c>
      <c r="Q1200" s="29"/>
      <c r="R1200" s="31"/>
      <c r="S1200" s="31"/>
      <c r="T1200" s="95" t="str">
        <f t="shared" si="95"/>
        <v/>
      </c>
      <c r="U1200" s="32">
        <f t="shared" si="92"/>
        <v>-311.64999999999998</v>
      </c>
      <c r="V1200" s="22" t="str">
        <f t="shared" si="93"/>
        <v/>
      </c>
      <c r="X1200" s="33"/>
      <c r="Y1200" s="33"/>
    </row>
    <row r="1201" spans="1:25" x14ac:dyDescent="0.2">
      <c r="A1201" s="93" t="s">
        <v>546</v>
      </c>
      <c r="B1201" s="94" t="str">
        <f>IFERROR(VLOOKUP($A1201,HeadJournal!$A$1:$NTR$890,COLUMN(HeadJournal!B$1),0),"")</f>
        <v>710000669496</v>
      </c>
      <c r="C1201" s="94" t="str">
        <f>IFERROR(VLOOKUP($A1201,HeadJournal!$A$1:$NTR$890,COLUMN(HeadJournal!C$1),0),"")</f>
        <v>iHerb_AV CYG0792</v>
      </c>
      <c r="D1201" s="125" t="str">
        <f>IFERROR(VLOOKUP($A1201,HeadJournal!$A$1:$NTR$890,COLUMN(HeadJournal!D$1),0),"")</f>
        <v>Доставлен</v>
      </c>
      <c r="E1201" s="95">
        <f>IFERROR(VLOOKUP($A1201,HeadJournal!$A$1:$NTR$890,COLUMN(HeadJournal!G$1),0),"")</f>
        <v>44994</v>
      </c>
      <c r="F1201" s="95" t="str">
        <f t="shared" si="94"/>
        <v>2023 03</v>
      </c>
      <c r="G1201" s="96" t="s">
        <v>5</v>
      </c>
      <c r="H1201" s="161" t="s">
        <v>2422</v>
      </c>
      <c r="I1201" s="97" t="s">
        <v>2005</v>
      </c>
      <c r="J1201" s="97" t="s">
        <v>2423</v>
      </c>
      <c r="K1201" s="29">
        <v>30.67</v>
      </c>
      <c r="L1201" s="29">
        <v>-3.07</v>
      </c>
      <c r="M1201" s="30">
        <f>IFERROR(VLOOKUP($A1201,HeadJournal!$A$1:$J$890,COLUMN(HeadJournal!I$1),0)*($K1201+$L1201)/(SUMIF($A:$A,$A1201,$K:$K)+SUMIF($A:$A,$A1201,$L:$L)),0)</f>
        <v>2.0671007064690405</v>
      </c>
      <c r="N1201" s="30">
        <f>IFERROR((VLOOKUP($A1201,HeadJournal!$A$1:$K$890,COLUMN(HeadJournal!K$1),0)-VLOOKUP($A1201,HeadJournal!$A$1:$K$890,COLUMN(HeadJournal!J$1),0))*($K1201+$L1201)/(SUMIF($A:$A,$A1201,$K:$K)+SUMIF($A:$A,$A1201,$L:$L)),0)</f>
        <v>7.2442090804742194E-15</v>
      </c>
      <c r="O1201" s="30">
        <f>IFERROR((VLOOKUP($A1201,HeadJournal!$A$1:$L$890,COLUMN(HeadJournal!L$1),0)*($K1201+$L1201)/(SUMIF($A:$A,$A1201,$K:$K)+SUMIF($A:$A,$A1201,$L:$L)))/VLOOKUP($A1201,HeadJournal!$A$1:$L$890,COLUMN(HeadJournal!H$1),0),0)</f>
        <v>2.0916448317049348</v>
      </c>
      <c r="P1201" s="30">
        <f>IFERROR(SUM(K1201:O1201)*VLOOKUP($A1201,HeadJournal!$A$1:$L$890,COLUMN(HeadJournal!H$1),0),0)</f>
        <v>2665.4945006233556</v>
      </c>
      <c r="Q1201" s="29">
        <v>3700</v>
      </c>
      <c r="R1201" s="31">
        <v>45034</v>
      </c>
      <c r="S1201" s="31" t="s">
        <v>3121</v>
      </c>
      <c r="T1201" s="95" t="str">
        <f t="shared" si="95"/>
        <v>2023 04</v>
      </c>
      <c r="U1201" s="32">
        <f t="shared" si="92"/>
        <v>1034.5054993766444</v>
      </c>
      <c r="V1201" s="22">
        <f t="shared" si="93"/>
        <v>0.38811016084809541</v>
      </c>
      <c r="X1201" s="33"/>
      <c r="Y1201" s="33"/>
    </row>
    <row r="1202" spans="1:25" x14ac:dyDescent="0.2">
      <c r="A1202" s="93" t="s">
        <v>546</v>
      </c>
      <c r="B1202" s="94" t="str">
        <f>IFERROR(VLOOKUP($A1202,HeadJournal!$A$1:$NTR$890,COLUMN(HeadJournal!B$1),0),"")</f>
        <v>710000669496</v>
      </c>
      <c r="C1202" s="94" t="str">
        <f>IFERROR(VLOOKUP($A1202,HeadJournal!$A$1:$NTR$890,COLUMN(HeadJournal!C$1),0),"")</f>
        <v>iHerb_AV CYG0792</v>
      </c>
      <c r="D1202" s="125" t="str">
        <f>IFERROR(VLOOKUP($A1202,HeadJournal!$A$1:$NTR$890,COLUMN(HeadJournal!D$1),0),"")</f>
        <v>Доставлен</v>
      </c>
      <c r="E1202" s="95">
        <f>IFERROR(VLOOKUP($A1202,HeadJournal!$A$1:$NTR$890,COLUMN(HeadJournal!G$1),0),"")</f>
        <v>44994</v>
      </c>
      <c r="F1202" s="95" t="str">
        <f t="shared" si="94"/>
        <v>2023 03</v>
      </c>
      <c r="G1202" s="96" t="s">
        <v>5</v>
      </c>
      <c r="H1202" s="160" t="str">
        <f>RIGHT(Journal!$J1202,9)</f>
        <v>NRT-53098</v>
      </c>
      <c r="I1202" s="96" t="str">
        <f t="shared" si="91"/>
        <v>Nature's Bounty</v>
      </c>
      <c r="J1202" s="97" t="s">
        <v>370</v>
      </c>
      <c r="K1202" s="29">
        <v>12</v>
      </c>
      <c r="L1202" s="29">
        <v>-7.2</v>
      </c>
      <c r="M1202" s="30">
        <f>IFERROR(VLOOKUP($A1202,HeadJournal!$A$1:$J$890,COLUMN(HeadJournal!I$1),0)*($K1202+$L1202)/(SUMIF($A:$A,$A1202,$K:$K)+SUMIF($A:$A,$A1202,$L:$L)),0)</f>
        <v>0.35949577503809399</v>
      </c>
      <c r="N1202" s="30">
        <f>IFERROR((VLOOKUP($A1202,HeadJournal!$A$1:$K$890,COLUMN(HeadJournal!K$1),0)-VLOOKUP($A1202,HeadJournal!$A$1:$K$890,COLUMN(HeadJournal!J$1),0))*($K1202+$L1202)/(SUMIF($A:$A,$A1202,$K:$K)+SUMIF($A:$A,$A1202,$L:$L)),0)</f>
        <v>1.2598624487781251E-15</v>
      </c>
      <c r="O1202" s="30">
        <f>IFERROR((VLOOKUP($A1202,HeadJournal!$A$1:$L$890,COLUMN(HeadJournal!L$1),0)*($K1202+$L1202)/(SUMIF($A:$A,$A1202,$K:$K)+SUMIF($A:$A,$A1202,$L:$L)))/VLOOKUP($A1202,HeadJournal!$A$1:$L$890,COLUMN(HeadJournal!H$1),0),0)</f>
        <v>0.36376431855737995</v>
      </c>
      <c r="P1202" s="30">
        <f>IFERROR(SUM(K1202:O1202)*VLOOKUP($A1202,HeadJournal!$A$1:$L$890,COLUMN(HeadJournal!H$1),0),0)</f>
        <v>463.56426097797487</v>
      </c>
      <c r="Q1202" s="29">
        <v>1450</v>
      </c>
      <c r="R1202" s="31">
        <v>45066</v>
      </c>
      <c r="S1202" s="31" t="s">
        <v>3121</v>
      </c>
      <c r="T1202" s="95" t="str">
        <f t="shared" si="95"/>
        <v>2023 05</v>
      </c>
      <c r="U1202" s="32">
        <f t="shared" si="92"/>
        <v>986.43573902202513</v>
      </c>
      <c r="V1202" s="22">
        <f t="shared" si="93"/>
        <v>2.1279374232624315</v>
      </c>
      <c r="X1202" s="33"/>
      <c r="Y1202" s="33"/>
    </row>
    <row r="1203" spans="1:25" x14ac:dyDescent="0.2">
      <c r="A1203" s="93" t="s">
        <v>546</v>
      </c>
      <c r="B1203" s="94" t="str">
        <f>IFERROR(VLOOKUP($A1203,HeadJournal!$A$1:$NTR$890,COLUMN(HeadJournal!B$1),0),"")</f>
        <v>710000669496</v>
      </c>
      <c r="C1203" s="94" t="str">
        <f>IFERROR(VLOOKUP($A1203,HeadJournal!$A$1:$NTR$890,COLUMN(HeadJournal!C$1),0),"")</f>
        <v>iHerb_AV CYG0792</v>
      </c>
      <c r="D1203" s="125" t="str">
        <f>IFERROR(VLOOKUP($A1203,HeadJournal!$A$1:$NTR$890,COLUMN(HeadJournal!D$1),0),"")</f>
        <v>Доставлен</v>
      </c>
      <c r="E1203" s="95">
        <f>IFERROR(VLOOKUP($A1203,HeadJournal!$A$1:$NTR$890,COLUMN(HeadJournal!G$1),0),"")</f>
        <v>44994</v>
      </c>
      <c r="F1203" s="95" t="str">
        <f t="shared" si="94"/>
        <v>2023 03</v>
      </c>
      <c r="G1203" s="96" t="s">
        <v>5</v>
      </c>
      <c r="H1203" s="160" t="str">
        <f>RIGHT(Journal!$J1203,9)</f>
        <v>NRT-53098</v>
      </c>
      <c r="I1203" s="96" t="str">
        <f t="shared" si="91"/>
        <v>Nature's Bounty</v>
      </c>
      <c r="J1203" s="97" t="s">
        <v>370</v>
      </c>
      <c r="K1203" s="29">
        <v>12</v>
      </c>
      <c r="L1203" s="29">
        <v>-7.2</v>
      </c>
      <c r="M1203" s="30">
        <f>IFERROR(VLOOKUP($A1203,HeadJournal!$A$1:$J$890,COLUMN(HeadJournal!I$1),0)*($K1203+$L1203)/(SUMIF($A:$A,$A1203,$K:$K)+SUMIF($A:$A,$A1203,$L:$L)),0)</f>
        <v>0.35949577503809399</v>
      </c>
      <c r="N1203" s="30">
        <f>IFERROR((VLOOKUP($A1203,HeadJournal!$A$1:$K$890,COLUMN(HeadJournal!K$1),0)-VLOOKUP($A1203,HeadJournal!$A$1:$K$890,COLUMN(HeadJournal!J$1),0))*($K1203+$L1203)/(SUMIF($A:$A,$A1203,$K:$K)+SUMIF($A:$A,$A1203,$L:$L)),0)</f>
        <v>1.2598624487781251E-15</v>
      </c>
      <c r="O1203" s="30">
        <f>IFERROR((VLOOKUP($A1203,HeadJournal!$A$1:$L$890,COLUMN(HeadJournal!L$1),0)*($K1203+$L1203)/(SUMIF($A:$A,$A1203,$K:$K)+SUMIF($A:$A,$A1203,$L:$L)))/VLOOKUP($A1203,HeadJournal!$A$1:$L$890,COLUMN(HeadJournal!H$1),0),0)</f>
        <v>0.36376431855737995</v>
      </c>
      <c r="P1203" s="30">
        <f>IFERROR(SUM(K1203:O1203)*VLOOKUP($A1203,HeadJournal!$A$1:$L$890,COLUMN(HeadJournal!H$1),0),0)</f>
        <v>463.56426097797487</v>
      </c>
      <c r="Q1203" s="29">
        <v>1500</v>
      </c>
      <c r="R1203" s="31">
        <v>45154</v>
      </c>
      <c r="S1203" s="31" t="s">
        <v>3121</v>
      </c>
      <c r="T1203" s="95" t="str">
        <f t="shared" si="95"/>
        <v>2023 08</v>
      </c>
      <c r="U1203" s="32">
        <f t="shared" si="92"/>
        <v>1036.4357390220252</v>
      </c>
      <c r="V1203" s="22">
        <f t="shared" si="93"/>
        <v>2.235797334409412</v>
      </c>
      <c r="X1203" s="33"/>
      <c r="Y1203" s="33"/>
    </row>
    <row r="1204" spans="1:25" x14ac:dyDescent="0.2">
      <c r="A1204" s="93" t="s">
        <v>546</v>
      </c>
      <c r="B1204" s="94" t="str">
        <f>IFERROR(VLOOKUP($A1204,HeadJournal!$A$1:$NTR$890,COLUMN(HeadJournal!B$1),0),"")</f>
        <v>710000669496</v>
      </c>
      <c r="C1204" s="94" t="str">
        <f>IFERROR(VLOOKUP($A1204,HeadJournal!$A$1:$NTR$890,COLUMN(HeadJournal!C$1),0),"")</f>
        <v>iHerb_AV CYG0792</v>
      </c>
      <c r="D1204" s="125" t="str">
        <f>IFERROR(VLOOKUP($A1204,HeadJournal!$A$1:$NTR$890,COLUMN(HeadJournal!D$1),0),"")</f>
        <v>Доставлен</v>
      </c>
      <c r="E1204" s="95">
        <f>IFERROR(VLOOKUP($A1204,HeadJournal!$A$1:$NTR$890,COLUMN(HeadJournal!G$1),0),"")</f>
        <v>44994</v>
      </c>
      <c r="F1204" s="95" t="str">
        <f t="shared" si="94"/>
        <v>2023 03</v>
      </c>
      <c r="G1204" s="96" t="s">
        <v>5</v>
      </c>
      <c r="H1204" s="160" t="str">
        <f>RIGHT(Journal!$J1204,9)</f>
        <v>NOW-00068</v>
      </c>
      <c r="I1204" s="96" t="str">
        <f t="shared" si="91"/>
        <v>NOW Foods</v>
      </c>
      <c r="J1204" s="97" t="s">
        <v>547</v>
      </c>
      <c r="K1204" s="29">
        <v>28.8</v>
      </c>
      <c r="L1204" s="29">
        <v>-2.88</v>
      </c>
      <c r="M1204" s="30">
        <f>IFERROR(VLOOKUP($A1204,HeadJournal!$A$1:$J$890,COLUMN(HeadJournal!I$1),0)*($K1204+$L1204)/(SUMIF($A:$A,$A1204,$K:$K)+SUMIF($A:$A,$A1204,$L:$L)),0)</f>
        <v>1.9412771852057076</v>
      </c>
      <c r="N1204" s="30">
        <f>IFERROR((VLOOKUP($A1204,HeadJournal!$A$1:$K$890,COLUMN(HeadJournal!K$1),0)-VLOOKUP($A1204,HeadJournal!$A$1:$K$890,COLUMN(HeadJournal!J$1),0))*($K1204+$L1204)/(SUMIF($A:$A,$A1204,$K:$K)+SUMIF($A:$A,$A1204,$L:$L)),0)</f>
        <v>6.8032572234018756E-15</v>
      </c>
      <c r="O1204" s="30">
        <f>IFERROR((VLOOKUP($A1204,HeadJournal!$A$1:$L$890,COLUMN(HeadJournal!L$1),0)*($K1204+$L1204)/(SUMIF($A:$A,$A1204,$K:$K)+SUMIF($A:$A,$A1204,$L:$L)))/VLOOKUP($A1204,HeadJournal!$A$1:$L$890,COLUMN(HeadJournal!H$1),0),0)</f>
        <v>1.9643273202098521</v>
      </c>
      <c r="P1204" s="30">
        <f>IFERROR(SUM(K1204:O1204)*VLOOKUP($A1204,HeadJournal!$A$1:$L$890,COLUMN(HeadJournal!H$1),0),0)</f>
        <v>2503.2470092810645</v>
      </c>
      <c r="Q1204" s="29">
        <v>3500</v>
      </c>
      <c r="R1204" s="31">
        <v>45035</v>
      </c>
      <c r="S1204" s="31" t="s">
        <v>3121</v>
      </c>
      <c r="T1204" s="95" t="str">
        <f t="shared" si="95"/>
        <v>2023 04</v>
      </c>
      <c r="U1204" s="32">
        <f t="shared" si="92"/>
        <v>996.75299071893551</v>
      </c>
      <c r="V1204" s="22">
        <f t="shared" si="93"/>
        <v>0.39818403338678277</v>
      </c>
      <c r="X1204" s="33"/>
      <c r="Y1204" s="33"/>
    </row>
    <row r="1205" spans="1:25" x14ac:dyDescent="0.2">
      <c r="A1205" s="93" t="s">
        <v>546</v>
      </c>
      <c r="B1205" s="94" t="str">
        <f>IFERROR(VLOOKUP($A1205,HeadJournal!$A$1:$NTR$890,COLUMN(HeadJournal!B$1),0),"")</f>
        <v>710000669496</v>
      </c>
      <c r="C1205" s="94" t="str">
        <f>IFERROR(VLOOKUP($A1205,HeadJournal!$A$1:$NTR$890,COLUMN(HeadJournal!C$1),0),"")</f>
        <v>iHerb_AV CYG0792</v>
      </c>
      <c r="D1205" s="125" t="str">
        <f>IFERROR(VLOOKUP($A1205,HeadJournal!$A$1:$NTR$890,COLUMN(HeadJournal!D$1),0),"")</f>
        <v>Доставлен</v>
      </c>
      <c r="E1205" s="95">
        <f>IFERROR(VLOOKUP($A1205,HeadJournal!$A$1:$NTR$890,COLUMN(HeadJournal!G$1),0),"")</f>
        <v>44994</v>
      </c>
      <c r="F1205" s="95" t="str">
        <f t="shared" si="94"/>
        <v>2023 03</v>
      </c>
      <c r="G1205" s="96" t="s">
        <v>5</v>
      </c>
      <c r="H1205" s="161" t="s">
        <v>2051</v>
      </c>
      <c r="I1205" s="97" t="s">
        <v>2052</v>
      </c>
      <c r="J1205" s="97" t="s">
        <v>3097</v>
      </c>
      <c r="K1205" s="29">
        <v>17</v>
      </c>
      <c r="L1205" s="29">
        <v>-5.1000000000000005</v>
      </c>
      <c r="M1205" s="30">
        <f>IFERROR(VLOOKUP($A1205,HeadJournal!$A$1:$J$890,COLUMN(HeadJournal!I$1),0)*($K1205+$L1205)/(SUMIF($A:$A,$A1205,$K:$K)+SUMIF($A:$A,$A1205,$L:$L)),0)</f>
        <v>0.89124994228194132</v>
      </c>
      <c r="N1205" s="30">
        <f>IFERROR((VLOOKUP($A1205,HeadJournal!$A$1:$K$890,COLUMN(HeadJournal!K$1),0)-VLOOKUP($A1205,HeadJournal!$A$1:$K$890,COLUMN(HeadJournal!J$1),0))*($K1205+$L1205)/(SUMIF($A:$A,$A1205,$K:$K)+SUMIF($A:$A,$A1205,$L:$L)),0)</f>
        <v>3.1234089875957679E-15</v>
      </c>
      <c r="O1205" s="30">
        <f>IFERROR((VLOOKUP($A1205,HeadJournal!$A$1:$L$890,COLUMN(HeadJournal!L$1),0)*($K1205+$L1205)/(SUMIF($A:$A,$A1205,$K:$K)+SUMIF($A:$A,$A1205,$L:$L)))/VLOOKUP($A1205,HeadJournal!$A$1:$L$890,COLUMN(HeadJournal!H$1),0),0)</f>
        <v>0.90183237309017106</v>
      </c>
      <c r="P1205" s="30">
        <f>IFERROR(SUM(K1205:O1205)*VLOOKUP($A1205,HeadJournal!$A$1:$L$890,COLUMN(HeadJournal!H$1),0),0)</f>
        <v>1149.2530636745628</v>
      </c>
      <c r="Q1205" s="29">
        <v>2100</v>
      </c>
      <c r="R1205" s="31">
        <v>45179</v>
      </c>
      <c r="S1205" s="31" t="s">
        <v>3121</v>
      </c>
      <c r="T1205" s="95" t="str">
        <f t="shared" si="95"/>
        <v>2023 09</v>
      </c>
      <c r="U1205" s="32">
        <f t="shared" si="92"/>
        <v>950.74693632543722</v>
      </c>
      <c r="V1205" s="22">
        <f t="shared" si="93"/>
        <v>0.82727378884296188</v>
      </c>
      <c r="X1205" s="33"/>
      <c r="Y1205" s="33"/>
    </row>
    <row r="1206" spans="1:25" x14ac:dyDescent="0.2">
      <c r="A1206" s="93" t="s">
        <v>546</v>
      </c>
      <c r="B1206" s="94" t="str">
        <f>IFERROR(VLOOKUP($A1206,HeadJournal!$A$1:$NTR$890,COLUMN(HeadJournal!B$1),0),"")</f>
        <v>710000669496</v>
      </c>
      <c r="C1206" s="94" t="str">
        <f>IFERROR(VLOOKUP($A1206,HeadJournal!$A$1:$NTR$890,COLUMN(HeadJournal!C$1),0),"")</f>
        <v>iHerb_AV CYG0792</v>
      </c>
      <c r="D1206" s="125" t="str">
        <f>IFERROR(VLOOKUP($A1206,HeadJournal!$A$1:$NTR$890,COLUMN(HeadJournal!D$1),0),"")</f>
        <v>Доставлен</v>
      </c>
      <c r="E1206" s="95">
        <f>IFERROR(VLOOKUP($A1206,HeadJournal!$A$1:$NTR$890,COLUMN(HeadJournal!G$1),0),"")</f>
        <v>44994</v>
      </c>
      <c r="F1206" s="95" t="str">
        <f t="shared" si="94"/>
        <v>2023 03</v>
      </c>
      <c r="G1206" s="96" t="s">
        <v>5</v>
      </c>
      <c r="H1206" s="161" t="s">
        <v>2051</v>
      </c>
      <c r="I1206" s="97" t="s">
        <v>2052</v>
      </c>
      <c r="J1206" s="97" t="s">
        <v>3097</v>
      </c>
      <c r="K1206" s="29">
        <v>17</v>
      </c>
      <c r="L1206" s="29">
        <v>-5.1000000000000005</v>
      </c>
      <c r="M1206" s="30">
        <f>IFERROR(VLOOKUP($A1206,HeadJournal!$A$1:$J$890,COLUMN(HeadJournal!I$1),0)*($K1206+$L1206)/(SUMIF($A:$A,$A1206,$K:$K)+SUMIF($A:$A,$A1206,$L:$L)),0)</f>
        <v>0.89124994228194132</v>
      </c>
      <c r="N1206" s="30">
        <f>IFERROR((VLOOKUP($A1206,HeadJournal!$A$1:$K$890,COLUMN(HeadJournal!K$1),0)-VLOOKUP($A1206,HeadJournal!$A$1:$K$890,COLUMN(HeadJournal!J$1),0))*($K1206+$L1206)/(SUMIF($A:$A,$A1206,$K:$K)+SUMIF($A:$A,$A1206,$L:$L)),0)</f>
        <v>3.1234089875957679E-15</v>
      </c>
      <c r="O1206" s="30">
        <f>IFERROR((VLOOKUP($A1206,HeadJournal!$A$1:$L$890,COLUMN(HeadJournal!L$1),0)*($K1206+$L1206)/(SUMIF($A:$A,$A1206,$K:$K)+SUMIF($A:$A,$A1206,$L:$L)))/VLOOKUP($A1206,HeadJournal!$A$1:$L$890,COLUMN(HeadJournal!H$1),0),0)</f>
        <v>0.90183237309017106</v>
      </c>
      <c r="P1206" s="30">
        <f>IFERROR(SUM(K1206:O1206)*VLOOKUP($A1206,HeadJournal!$A$1:$L$890,COLUMN(HeadJournal!H$1),0),0)</f>
        <v>1149.2530636745628</v>
      </c>
      <c r="Q1206" s="29">
        <v>2200</v>
      </c>
      <c r="R1206" s="31">
        <v>45181</v>
      </c>
      <c r="S1206" s="31" t="s">
        <v>3121</v>
      </c>
      <c r="T1206" s="95" t="str">
        <f t="shared" si="95"/>
        <v>2023 09</v>
      </c>
      <c r="U1206" s="32">
        <f t="shared" si="92"/>
        <v>1050.7469363254372</v>
      </c>
      <c r="V1206" s="22">
        <f t="shared" si="93"/>
        <v>0.91428682640691239</v>
      </c>
      <c r="X1206" s="33"/>
      <c r="Y1206" s="33"/>
    </row>
    <row r="1207" spans="1:25" x14ac:dyDescent="0.2">
      <c r="A1207" s="93" t="s">
        <v>546</v>
      </c>
      <c r="B1207" s="94" t="str">
        <f>IFERROR(VLOOKUP($A1207,HeadJournal!$A$1:$NTR$890,COLUMN(HeadJournal!B$1),0),"")</f>
        <v>710000669496</v>
      </c>
      <c r="C1207" s="94" t="str">
        <f>IFERROR(VLOOKUP($A1207,HeadJournal!$A$1:$NTR$890,COLUMN(HeadJournal!C$1),0),"")</f>
        <v>iHerb_AV CYG0792</v>
      </c>
      <c r="D1207" s="125" t="str">
        <f>IFERROR(VLOOKUP($A1207,HeadJournal!$A$1:$NTR$890,COLUMN(HeadJournal!D$1),0),"")</f>
        <v>Доставлен</v>
      </c>
      <c r="E1207" s="95">
        <f>IFERROR(VLOOKUP($A1207,HeadJournal!$A$1:$NTR$890,COLUMN(HeadJournal!G$1),0),"")</f>
        <v>44994</v>
      </c>
      <c r="F1207" s="95" t="str">
        <f t="shared" si="94"/>
        <v>2023 03</v>
      </c>
      <c r="G1207" s="96" t="s">
        <v>5</v>
      </c>
      <c r="H1207" s="161" t="s">
        <v>2051</v>
      </c>
      <c r="I1207" s="97" t="s">
        <v>2052</v>
      </c>
      <c r="J1207" s="97" t="s">
        <v>3097</v>
      </c>
      <c r="K1207" s="29">
        <v>17</v>
      </c>
      <c r="L1207" s="29">
        <v>-5.1000000000000005</v>
      </c>
      <c r="M1207" s="30">
        <f>IFERROR(VLOOKUP($A1207,HeadJournal!$A$1:$J$890,COLUMN(HeadJournal!I$1),0)*($K1207+$L1207)/(SUMIF($A:$A,$A1207,$K:$K)+SUMIF($A:$A,$A1207,$L:$L)),0)</f>
        <v>0.89124994228194132</v>
      </c>
      <c r="N1207" s="30">
        <f>IFERROR((VLOOKUP($A1207,HeadJournal!$A$1:$K$890,COLUMN(HeadJournal!K$1),0)-VLOOKUP($A1207,HeadJournal!$A$1:$K$890,COLUMN(HeadJournal!J$1),0))*($K1207+$L1207)/(SUMIF($A:$A,$A1207,$K:$K)+SUMIF($A:$A,$A1207,$L:$L)),0)</f>
        <v>3.1234089875957679E-15</v>
      </c>
      <c r="O1207" s="30">
        <f>IFERROR((VLOOKUP($A1207,HeadJournal!$A$1:$L$890,COLUMN(HeadJournal!L$1),0)*($K1207+$L1207)/(SUMIF($A:$A,$A1207,$K:$K)+SUMIF($A:$A,$A1207,$L:$L)))/VLOOKUP($A1207,HeadJournal!$A$1:$L$890,COLUMN(HeadJournal!H$1),0),0)</f>
        <v>0.90183237309017106</v>
      </c>
      <c r="P1207" s="30">
        <f>IFERROR(SUM(K1207:O1207)*VLOOKUP($A1207,HeadJournal!$A$1:$L$890,COLUMN(HeadJournal!H$1),0),0)</f>
        <v>1149.2530636745628</v>
      </c>
      <c r="Q1207" s="29">
        <v>2100</v>
      </c>
      <c r="R1207" s="31">
        <v>45206</v>
      </c>
      <c r="S1207" s="31" t="s">
        <v>3121</v>
      </c>
      <c r="T1207" s="95" t="str">
        <f t="shared" si="95"/>
        <v>2023 10</v>
      </c>
      <c r="U1207" s="32">
        <f t="shared" si="92"/>
        <v>950.74693632543722</v>
      </c>
      <c r="V1207" s="22">
        <f t="shared" si="93"/>
        <v>0.82727378884296188</v>
      </c>
      <c r="X1207" s="33"/>
      <c r="Y1207" s="33"/>
    </row>
    <row r="1208" spans="1:25" x14ac:dyDescent="0.2">
      <c r="A1208" s="93" t="s">
        <v>546</v>
      </c>
      <c r="B1208" s="94" t="str">
        <f>IFERROR(VLOOKUP($A1208,HeadJournal!$A$1:$NTR$890,COLUMN(HeadJournal!B$1),0),"")</f>
        <v>710000669496</v>
      </c>
      <c r="C1208" s="94" t="str">
        <f>IFERROR(VLOOKUP($A1208,HeadJournal!$A$1:$NTR$890,COLUMN(HeadJournal!C$1),0),"")</f>
        <v>iHerb_AV CYG0792</v>
      </c>
      <c r="D1208" s="125" t="str">
        <f>IFERROR(VLOOKUP($A1208,HeadJournal!$A$1:$NTR$890,COLUMN(HeadJournal!D$1),0),"")</f>
        <v>Доставлен</v>
      </c>
      <c r="E1208" s="95">
        <f>IFERROR(VLOOKUP($A1208,HeadJournal!$A$1:$NTR$890,COLUMN(HeadJournal!G$1),0),"")</f>
        <v>44994</v>
      </c>
      <c r="F1208" s="95" t="str">
        <f t="shared" si="94"/>
        <v>2023 03</v>
      </c>
      <c r="G1208" s="96" t="s">
        <v>5</v>
      </c>
      <c r="H1208" s="160" t="str">
        <f>RIGHT(Journal!$J1208,9)</f>
        <v>NOW-02715</v>
      </c>
      <c r="I1208" s="96" t="str">
        <f t="shared" si="91"/>
        <v>NOW Foods</v>
      </c>
      <c r="J1208" s="97" t="s">
        <v>548</v>
      </c>
      <c r="K1208" s="29">
        <v>14.34</v>
      </c>
      <c r="L1208" s="29">
        <v>-7.17</v>
      </c>
      <c r="M1208" s="30">
        <f>IFERROR(VLOOKUP($A1208,HeadJournal!$A$1:$J$890,COLUMN(HeadJournal!I$1),0)*($K1208+$L1208)/(SUMIF($A:$A,$A1208,$K:$K)+SUMIF($A:$A,$A1208,$L:$L)),0)</f>
        <v>0.53699681396315291</v>
      </c>
      <c r="N1208" s="30">
        <f>IFERROR((VLOOKUP($A1208,HeadJournal!$A$1:$K$890,COLUMN(HeadJournal!K$1),0)-VLOOKUP($A1208,HeadJournal!$A$1:$K$890,COLUMN(HeadJournal!J$1),0))*($K1208+$L1208)/(SUMIF($A:$A,$A1208,$K:$K)+SUMIF($A:$A,$A1208,$L:$L)),0)</f>
        <v>1.8819195328623243E-15</v>
      </c>
      <c r="O1208" s="30">
        <f>IFERROR((VLOOKUP($A1208,HeadJournal!$A$1:$L$890,COLUMN(HeadJournal!L$1),0)*($K1208+$L1208)/(SUMIF($A:$A,$A1208,$K:$K)+SUMIF($A:$A,$A1208,$L:$L)))/VLOOKUP($A1208,HeadJournal!$A$1:$L$890,COLUMN(HeadJournal!H$1),0),0)</f>
        <v>0.5433729508450863</v>
      </c>
      <c r="P1208" s="30">
        <f>IFERROR(SUM(K1208:O1208)*VLOOKUP($A1208,HeadJournal!$A$1:$L$890,COLUMN(HeadJournal!H$1),0),0)</f>
        <v>692.44911483584997</v>
      </c>
      <c r="Q1208" s="29">
        <v>2000</v>
      </c>
      <c r="R1208" s="31">
        <v>45102</v>
      </c>
      <c r="S1208" s="31" t="s">
        <v>3121</v>
      </c>
      <c r="T1208" s="95" t="str">
        <f t="shared" si="95"/>
        <v>2023 06</v>
      </c>
      <c r="U1208" s="32">
        <f t="shared" si="92"/>
        <v>1307.55088516415</v>
      </c>
      <c r="V1208" s="22">
        <f t="shared" si="93"/>
        <v>1.8882988759024038</v>
      </c>
      <c r="X1208" s="33"/>
      <c r="Y1208" s="33"/>
    </row>
    <row r="1209" spans="1:25" x14ac:dyDescent="0.2">
      <c r="A1209" s="93" t="s">
        <v>546</v>
      </c>
      <c r="B1209" s="94" t="str">
        <f>IFERROR(VLOOKUP($A1209,HeadJournal!$A$1:$NTR$890,COLUMN(HeadJournal!B$1),0),"")</f>
        <v>710000669496</v>
      </c>
      <c r="C1209" s="94" t="str">
        <f>IFERROR(VLOOKUP($A1209,HeadJournal!$A$1:$NTR$890,COLUMN(HeadJournal!C$1),0),"")</f>
        <v>iHerb_AV CYG0792</v>
      </c>
      <c r="D1209" s="125" t="str">
        <f>IFERROR(VLOOKUP($A1209,HeadJournal!$A$1:$NTR$890,COLUMN(HeadJournal!D$1),0),"")</f>
        <v>Доставлен</v>
      </c>
      <c r="E1209" s="95">
        <f>IFERROR(VLOOKUP($A1209,HeadJournal!$A$1:$NTR$890,COLUMN(HeadJournal!G$1),0),"")</f>
        <v>44994</v>
      </c>
      <c r="F1209" s="95" t="str">
        <f t="shared" si="94"/>
        <v>2023 03</v>
      </c>
      <c r="G1209" s="96" t="s">
        <v>5</v>
      </c>
      <c r="H1209" s="175" t="s">
        <v>3654</v>
      </c>
      <c r="I1209" s="176" t="s">
        <v>2005</v>
      </c>
      <c r="J1209" s="97" t="s">
        <v>3703</v>
      </c>
      <c r="K1209" s="29">
        <v>9.3699999999999992</v>
      </c>
      <c r="L1209" s="29">
        <v>-0.93500000000000005</v>
      </c>
      <c r="M1209" s="30">
        <f>IFERROR(VLOOKUP($A1209,HeadJournal!$A$1:$J$890,COLUMN(HeadJournal!I$1),0)*($K1209+$L1209)/(SUMIF($A:$A,$A1209,$K:$K)+SUMIF($A:$A,$A1209,$L:$L)),0)</f>
        <v>0.63173892967631717</v>
      </c>
      <c r="N1209" s="30">
        <f>IFERROR((VLOOKUP($A1209,HeadJournal!$A$1:$K$890,COLUMN(HeadJournal!K$1),0)-VLOOKUP($A1209,HeadJournal!$A$1:$K$890,COLUMN(HeadJournal!J$1),0))*($K1209+$L1209)/(SUMIF($A:$A,$A1209,$K:$K)+SUMIF($A:$A,$A1209,$L:$L)),0)</f>
        <v>2.2139457823840591E-15</v>
      </c>
      <c r="O1209" s="30">
        <f>IFERROR((VLOOKUP($A1209,HeadJournal!$A$1:$L$890,COLUMN(HeadJournal!L$1),0)*($K1209+$L1209)/(SUMIF($A:$A,$A1209,$K:$K)+SUMIF($A:$A,$A1209,$L:$L)))/VLOOKUP($A1209,HeadJournal!$A$1:$L$890,COLUMN(HeadJournal!H$1),0),0)</f>
        <v>0.63924000563156236</v>
      </c>
      <c r="P1209" s="30">
        <f>IFERROR(SUM(K1209:O1209)*VLOOKUP($A1209,HeadJournal!$A$1:$L$890,COLUMN(HeadJournal!H$1),0),0)</f>
        <v>814.6176127810869</v>
      </c>
      <c r="Q1209" s="29">
        <v>1400</v>
      </c>
      <c r="R1209" s="31">
        <v>45045</v>
      </c>
      <c r="S1209" s="31" t="s">
        <v>3121</v>
      </c>
      <c r="T1209" s="95" t="str">
        <f t="shared" si="95"/>
        <v>2023 04</v>
      </c>
      <c r="U1209" s="32">
        <f t="shared" si="92"/>
        <v>585.3823872189131</v>
      </c>
      <c r="V1209" s="22">
        <f t="shared" si="93"/>
        <v>0.71859775437512363</v>
      </c>
      <c r="X1209" s="33"/>
      <c r="Y1209" s="33"/>
    </row>
    <row r="1210" spans="1:25" x14ac:dyDescent="0.2">
      <c r="A1210" s="93" t="s">
        <v>546</v>
      </c>
      <c r="B1210" s="94" t="str">
        <f>IFERROR(VLOOKUP($A1210,HeadJournal!$A$1:$NTR$890,COLUMN(HeadJournal!B$1),0),"")</f>
        <v>710000669496</v>
      </c>
      <c r="C1210" s="94" t="str">
        <f>IFERROR(VLOOKUP($A1210,HeadJournal!$A$1:$NTR$890,COLUMN(HeadJournal!C$1),0),"")</f>
        <v>iHerb_AV CYG0792</v>
      </c>
      <c r="D1210" s="125" t="str">
        <f>IFERROR(VLOOKUP($A1210,HeadJournal!$A$1:$NTR$890,COLUMN(HeadJournal!D$1),0),"")</f>
        <v>Доставлен</v>
      </c>
      <c r="E1210" s="95">
        <f>IFERROR(VLOOKUP($A1210,HeadJournal!$A$1:$NTR$890,COLUMN(HeadJournal!G$1),0),"")</f>
        <v>44994</v>
      </c>
      <c r="F1210" s="95" t="str">
        <f t="shared" si="94"/>
        <v>2023 03</v>
      </c>
      <c r="G1210" s="96" t="s">
        <v>5</v>
      </c>
      <c r="H1210" s="175" t="s">
        <v>3654</v>
      </c>
      <c r="I1210" s="176" t="s">
        <v>2005</v>
      </c>
      <c r="J1210" s="97" t="s">
        <v>3703</v>
      </c>
      <c r="K1210" s="29">
        <v>9.3699999999999992</v>
      </c>
      <c r="L1210" s="29">
        <v>-0.93500000000000005</v>
      </c>
      <c r="M1210" s="30">
        <f>IFERROR(VLOOKUP($A1210,HeadJournal!$A$1:$J$890,COLUMN(HeadJournal!I$1),0)*($K1210+$L1210)/(SUMIF($A:$A,$A1210,$K:$K)+SUMIF($A:$A,$A1210,$L:$L)),0)</f>
        <v>0.63173892967631717</v>
      </c>
      <c r="N1210" s="30">
        <f>IFERROR((VLOOKUP($A1210,HeadJournal!$A$1:$K$890,COLUMN(HeadJournal!K$1),0)-VLOOKUP($A1210,HeadJournal!$A$1:$K$890,COLUMN(HeadJournal!J$1),0))*($K1210+$L1210)/(SUMIF($A:$A,$A1210,$K:$K)+SUMIF($A:$A,$A1210,$L:$L)),0)</f>
        <v>2.2139457823840591E-15</v>
      </c>
      <c r="O1210" s="30">
        <f>IFERROR((VLOOKUP($A1210,HeadJournal!$A$1:$L$890,COLUMN(HeadJournal!L$1),0)*($K1210+$L1210)/(SUMIF($A:$A,$A1210,$K:$K)+SUMIF($A:$A,$A1210,$L:$L)))/VLOOKUP($A1210,HeadJournal!$A$1:$L$890,COLUMN(HeadJournal!H$1),0),0)</f>
        <v>0.63924000563156236</v>
      </c>
      <c r="P1210" s="30">
        <f>IFERROR(SUM(K1210:O1210)*VLOOKUP($A1210,HeadJournal!$A$1:$L$890,COLUMN(HeadJournal!H$1),0),0)</f>
        <v>814.6176127810869</v>
      </c>
      <c r="Q1210" s="29">
        <v>1500</v>
      </c>
      <c r="R1210" s="31">
        <v>45048</v>
      </c>
      <c r="S1210" s="31" t="s">
        <v>3121</v>
      </c>
      <c r="T1210" s="95" t="str">
        <f t="shared" si="95"/>
        <v>2023 05</v>
      </c>
      <c r="U1210" s="32">
        <f t="shared" si="92"/>
        <v>685.3823872189131</v>
      </c>
      <c r="V1210" s="22">
        <f t="shared" si="93"/>
        <v>0.84135473683048967</v>
      </c>
      <c r="X1210" s="33"/>
      <c r="Y1210" s="33"/>
    </row>
    <row r="1211" spans="1:25" x14ac:dyDescent="0.2">
      <c r="A1211" s="93" t="s">
        <v>546</v>
      </c>
      <c r="B1211" s="94" t="str">
        <f>IFERROR(VLOOKUP($A1211,HeadJournal!$A$1:$NTR$890,COLUMN(HeadJournal!B$1),0),"")</f>
        <v>710000669496</v>
      </c>
      <c r="C1211" s="94" t="str">
        <f>IFERROR(VLOOKUP($A1211,HeadJournal!$A$1:$NTR$890,COLUMN(HeadJournal!C$1),0),"")</f>
        <v>iHerb_AV CYG0792</v>
      </c>
      <c r="D1211" s="125" t="str">
        <f>IFERROR(VLOOKUP($A1211,HeadJournal!$A$1:$NTR$890,COLUMN(HeadJournal!D$1),0),"")</f>
        <v>Доставлен</v>
      </c>
      <c r="E1211" s="95">
        <f>IFERROR(VLOOKUP($A1211,HeadJournal!$A$1:$NTR$890,COLUMN(HeadJournal!G$1),0),"")</f>
        <v>44994</v>
      </c>
      <c r="F1211" s="95" t="str">
        <f t="shared" si="94"/>
        <v>2023 03</v>
      </c>
      <c r="G1211" s="96" t="s">
        <v>7</v>
      </c>
      <c r="H1211" s="160" t="str">
        <f>RIGHT(Journal!$J1211,9)</f>
        <v>NGN-68790</v>
      </c>
      <c r="I1211" s="96" t="str">
        <f t="shared" si="91"/>
        <v>Neutrogena</v>
      </c>
      <c r="J1211" s="97" t="s">
        <v>549</v>
      </c>
      <c r="K1211" s="29">
        <v>12.23</v>
      </c>
      <c r="L1211" s="29">
        <v>-2.4449999999999998</v>
      </c>
      <c r="M1211" s="30">
        <f>IFERROR(VLOOKUP($A1211,HeadJournal!$A$1:$J$890,COLUMN(HeadJournal!I$1),0)*($K1211+$L1211)/(SUMIF($A:$A,$A1211,$K:$K)+SUMIF($A:$A,$A1211,$L:$L)),0)</f>
        <v>0.73284711640578115</v>
      </c>
      <c r="N1211" s="30">
        <f>IFERROR((VLOOKUP($A1211,HeadJournal!$A$1:$K$890,COLUMN(HeadJournal!K$1),0)-VLOOKUP($A1211,HeadJournal!$A$1:$K$890,COLUMN(HeadJournal!J$1),0))*($K1211+$L1211)/(SUMIF($A:$A,$A1211,$K:$K)+SUMIF($A:$A,$A1211,$L:$L)),0)</f>
        <v>2.5682820961029072E-15</v>
      </c>
      <c r="O1211" s="30">
        <f>IFERROR((VLOOKUP($A1211,HeadJournal!$A$1:$L$890,COLUMN(HeadJournal!L$1),0)*($K1211+$L1211)/(SUMIF($A:$A,$A1211,$K:$K)+SUMIF($A:$A,$A1211,$L:$L)))/VLOOKUP($A1211,HeadJournal!$A$1:$L$890,COLUMN(HeadJournal!H$1),0),0)</f>
        <v>0.74154872022582563</v>
      </c>
      <c r="P1211" s="30">
        <f>IFERROR(SUM(K1211:O1211)*VLOOKUP($A1211,HeadJournal!$A$1:$L$890,COLUMN(HeadJournal!H$1),0),0)</f>
        <v>944.99506118114243</v>
      </c>
      <c r="Q1211" s="29"/>
      <c r="R1211" s="31"/>
      <c r="S1211" s="31"/>
      <c r="T1211" s="95" t="str">
        <f t="shared" si="95"/>
        <v/>
      </c>
      <c r="U1211" s="32">
        <f t="shared" si="92"/>
        <v>-944.99506118114243</v>
      </c>
      <c r="V1211" s="22" t="str">
        <f t="shared" si="93"/>
        <v/>
      </c>
      <c r="X1211" s="33"/>
      <c r="Y1211" s="33"/>
    </row>
    <row r="1212" spans="1:25" x14ac:dyDescent="0.2">
      <c r="A1212" s="93" t="s">
        <v>546</v>
      </c>
      <c r="B1212" s="94" t="str">
        <f>IFERROR(VLOOKUP($A1212,HeadJournal!$A$1:$NTR$890,COLUMN(HeadJournal!B$1),0),"")</f>
        <v>710000669496</v>
      </c>
      <c r="C1212" s="94" t="str">
        <f>IFERROR(VLOOKUP($A1212,HeadJournal!$A$1:$NTR$890,COLUMN(HeadJournal!C$1),0),"")</f>
        <v>iHerb_AV CYG0792</v>
      </c>
      <c r="D1212" s="125" t="str">
        <f>IFERROR(VLOOKUP($A1212,HeadJournal!$A$1:$NTR$890,COLUMN(HeadJournal!D$1),0),"")</f>
        <v>Доставлен</v>
      </c>
      <c r="E1212" s="95">
        <f>IFERROR(VLOOKUP($A1212,HeadJournal!$A$1:$NTR$890,COLUMN(HeadJournal!G$1),0),"")</f>
        <v>44994</v>
      </c>
      <c r="F1212" s="95" t="str">
        <f t="shared" si="94"/>
        <v>2023 03</v>
      </c>
      <c r="G1212" s="96" t="s">
        <v>7</v>
      </c>
      <c r="H1212" s="160" t="str">
        <f>RIGHT(Journal!$J1212,9)</f>
        <v>NGN-68790</v>
      </c>
      <c r="I1212" s="96" t="str">
        <f t="shared" si="91"/>
        <v>Neutrogena</v>
      </c>
      <c r="J1212" s="97" t="s">
        <v>549</v>
      </c>
      <c r="K1212" s="29">
        <v>12.23</v>
      </c>
      <c r="L1212" s="29">
        <v>-2.4449999999999998</v>
      </c>
      <c r="M1212" s="30">
        <f>IFERROR(VLOOKUP($A1212,HeadJournal!$A$1:$J$890,COLUMN(HeadJournal!I$1),0)*($K1212+$L1212)/(SUMIF($A:$A,$A1212,$K:$K)+SUMIF($A:$A,$A1212,$L:$L)),0)</f>
        <v>0.73284711640578115</v>
      </c>
      <c r="N1212" s="30">
        <f>IFERROR((VLOOKUP($A1212,HeadJournal!$A$1:$K$890,COLUMN(HeadJournal!K$1),0)-VLOOKUP($A1212,HeadJournal!$A$1:$K$890,COLUMN(HeadJournal!J$1),0))*($K1212+$L1212)/(SUMIF($A:$A,$A1212,$K:$K)+SUMIF($A:$A,$A1212,$L:$L)),0)</f>
        <v>2.5682820961029072E-15</v>
      </c>
      <c r="O1212" s="30">
        <f>IFERROR((VLOOKUP($A1212,HeadJournal!$A$1:$L$890,COLUMN(HeadJournal!L$1),0)*($K1212+$L1212)/(SUMIF($A:$A,$A1212,$K:$K)+SUMIF($A:$A,$A1212,$L:$L)))/VLOOKUP($A1212,HeadJournal!$A$1:$L$890,COLUMN(HeadJournal!H$1),0),0)</f>
        <v>0.74154872022582563</v>
      </c>
      <c r="P1212" s="30">
        <f>IFERROR(SUM(K1212:O1212)*VLOOKUP($A1212,HeadJournal!$A$1:$L$890,COLUMN(HeadJournal!H$1),0),0)</f>
        <v>944.99506118114243</v>
      </c>
      <c r="Q1212" s="29"/>
      <c r="R1212" s="31"/>
      <c r="S1212" s="31"/>
      <c r="T1212" s="95" t="str">
        <f t="shared" si="95"/>
        <v/>
      </c>
      <c r="U1212" s="32">
        <f t="shared" si="92"/>
        <v>-944.99506118114243</v>
      </c>
      <c r="V1212" s="22" t="str">
        <f t="shared" si="93"/>
        <v/>
      </c>
      <c r="X1212" s="33"/>
      <c r="Y1212" s="33"/>
    </row>
    <row r="1213" spans="1:25" x14ac:dyDescent="0.2">
      <c r="A1213" s="93" t="s">
        <v>546</v>
      </c>
      <c r="B1213" s="94" t="str">
        <f>IFERROR(VLOOKUP($A1213,HeadJournal!$A$1:$NTR$890,COLUMN(HeadJournal!B$1),0),"")</f>
        <v>710000669496</v>
      </c>
      <c r="C1213" s="94" t="str">
        <f>IFERROR(VLOOKUP($A1213,HeadJournal!$A$1:$NTR$890,COLUMN(HeadJournal!C$1),0),"")</f>
        <v>iHerb_AV CYG0792</v>
      </c>
      <c r="D1213" s="125" t="str">
        <f>IFERROR(VLOOKUP($A1213,HeadJournal!$A$1:$NTR$890,COLUMN(HeadJournal!D$1),0),"")</f>
        <v>Доставлен</v>
      </c>
      <c r="E1213" s="95">
        <f>IFERROR(VLOOKUP($A1213,HeadJournal!$A$1:$NTR$890,COLUMN(HeadJournal!G$1),0),"")</f>
        <v>44994</v>
      </c>
      <c r="F1213" s="95" t="str">
        <f t="shared" si="94"/>
        <v>2023 03</v>
      </c>
      <c r="G1213" s="96" t="s">
        <v>5</v>
      </c>
      <c r="H1213" s="161" t="s">
        <v>3585</v>
      </c>
      <c r="I1213" s="97" t="s">
        <v>2052</v>
      </c>
      <c r="J1213" s="97" t="s">
        <v>3586</v>
      </c>
      <c r="K1213" s="29">
        <v>35</v>
      </c>
      <c r="L1213" s="29">
        <v>-10.5</v>
      </c>
      <c r="M1213" s="30">
        <f>IFERROR(VLOOKUP($A1213,HeadJournal!$A$1:$J$890,COLUMN(HeadJournal!I$1),0)*($K1213+$L1213)/(SUMIF($A:$A,$A1213,$K:$K)+SUMIF($A:$A,$A1213,$L:$L)),0)</f>
        <v>1.8349263517569381</v>
      </c>
      <c r="N1213" s="30">
        <f>IFERROR((VLOOKUP($A1213,HeadJournal!$A$1:$K$890,COLUMN(HeadJournal!K$1),0)-VLOOKUP($A1213,HeadJournal!$A$1:$K$890,COLUMN(HeadJournal!J$1),0))*($K1213+$L1213)/(SUMIF($A:$A,$A1213,$K:$K)+SUMIF($A:$A,$A1213,$L:$L)),0)</f>
        <v>6.430547915638347E-15</v>
      </c>
      <c r="O1213" s="30">
        <f>IFERROR((VLOOKUP($A1213,HeadJournal!$A$1:$L$890,COLUMN(HeadJournal!L$1),0)*($K1213+$L1213)/(SUMIF($A:$A,$A1213,$K:$K)+SUMIF($A:$A,$A1213,$L:$L)))/VLOOKUP($A1213,HeadJournal!$A$1:$L$890,COLUMN(HeadJournal!H$1),0),0)</f>
        <v>1.8567137093032935</v>
      </c>
      <c r="P1213" s="30">
        <f>IFERROR(SUM(K1213:O1213)*VLOOKUP($A1213,HeadJournal!$A$1:$L$890,COLUMN(HeadJournal!H$1),0),0)</f>
        <v>2366.1092487417468</v>
      </c>
      <c r="Q1213" s="29">
        <v>3800</v>
      </c>
      <c r="R1213" s="31">
        <v>45059</v>
      </c>
      <c r="S1213" s="31" t="s">
        <v>3121</v>
      </c>
      <c r="T1213" s="95" t="str">
        <f t="shared" si="95"/>
        <v>2023 05</v>
      </c>
      <c r="U1213" s="32">
        <f t="shared" si="92"/>
        <v>1433.8907512582532</v>
      </c>
      <c r="V1213" s="22">
        <f t="shared" si="93"/>
        <v>0.60601206475177338</v>
      </c>
      <c r="X1213" s="33"/>
      <c r="Y1213" s="33"/>
    </row>
    <row r="1214" spans="1:25" x14ac:dyDescent="0.2">
      <c r="A1214" s="93" t="s">
        <v>546</v>
      </c>
      <c r="B1214" s="94" t="str">
        <f>IFERROR(VLOOKUP($A1214,HeadJournal!$A$1:$NTR$890,COLUMN(HeadJournal!B$1),0),"")</f>
        <v>710000669496</v>
      </c>
      <c r="C1214" s="94" t="str">
        <f>IFERROR(VLOOKUP($A1214,HeadJournal!$A$1:$NTR$890,COLUMN(HeadJournal!C$1),0),"")</f>
        <v>iHerb_AV CYG0792</v>
      </c>
      <c r="D1214" s="125" t="str">
        <f>IFERROR(VLOOKUP($A1214,HeadJournal!$A$1:$NTR$890,COLUMN(HeadJournal!D$1),0),"")</f>
        <v>Доставлен</v>
      </c>
      <c r="E1214" s="95">
        <f>IFERROR(VLOOKUP($A1214,HeadJournal!$A$1:$NTR$890,COLUMN(HeadJournal!G$1),0),"")</f>
        <v>44994</v>
      </c>
      <c r="F1214" s="95" t="str">
        <f t="shared" si="94"/>
        <v>2023 03</v>
      </c>
      <c r="G1214" s="96" t="s">
        <v>6</v>
      </c>
      <c r="H1214" s="160" t="str">
        <f>RIGHT(Journal!$J1214,9)</f>
        <v>UNN-03011</v>
      </c>
      <c r="I1214" s="96" t="str">
        <f t="shared" si="91"/>
        <v>Universal Nutrition</v>
      </c>
      <c r="J1214" s="97" t="s">
        <v>491</v>
      </c>
      <c r="K1214" s="29">
        <v>52.15</v>
      </c>
      <c r="L1214" s="29">
        <v>-13.04</v>
      </c>
      <c r="M1214" s="30">
        <f>IFERROR(VLOOKUP($A1214,HeadJournal!$A$1:$J$890,COLUMN(HeadJournal!I$1),0)*($K1214+$L1214)/(SUMIF($A:$A,$A1214,$K:$K)+SUMIF($A:$A,$A1214,$L:$L)),0)</f>
        <v>2.9291416170291367</v>
      </c>
      <c r="N1214" s="30">
        <f>IFERROR((VLOOKUP($A1214,HeadJournal!$A$1:$K$890,COLUMN(HeadJournal!K$1),0)-VLOOKUP($A1214,HeadJournal!$A$1:$K$890,COLUMN(HeadJournal!J$1),0))*($K1214+$L1214)/(SUMIF($A:$A,$A1214,$K:$K)+SUMIF($A:$A,$A1214,$L:$L)),0)</f>
        <v>1.0265254244106765E-14</v>
      </c>
      <c r="O1214" s="30">
        <f>IFERROR((VLOOKUP($A1214,HeadJournal!$A$1:$L$890,COLUMN(HeadJournal!L$1),0)*($K1214+$L1214)/(SUMIF($A:$A,$A1214,$K:$K)+SUMIF($A:$A,$A1214,$L:$L)))/VLOOKUP($A1214,HeadJournal!$A$1:$L$890,COLUMN(HeadJournal!H$1),0),0)</f>
        <v>2.963921353912319</v>
      </c>
      <c r="P1214" s="30">
        <f>IFERROR(SUM(K1214:O1214)*VLOOKUP($A1214,HeadJournal!$A$1:$L$890,COLUMN(HeadJournal!H$1),0),0)</f>
        <v>3777.082968093458</v>
      </c>
      <c r="Q1214" s="29">
        <v>5500</v>
      </c>
      <c r="R1214" s="31">
        <v>45137</v>
      </c>
      <c r="S1214" s="31" t="s">
        <v>3121</v>
      </c>
      <c r="T1214" s="95" t="str">
        <f t="shared" si="95"/>
        <v>2023 07</v>
      </c>
      <c r="U1214" s="32">
        <f t="shared" si="92"/>
        <v>1722.917031906542</v>
      </c>
      <c r="V1214" s="22">
        <f t="shared" si="93"/>
        <v>0.45615016838674621</v>
      </c>
      <c r="X1214" s="33"/>
      <c r="Y1214" s="33"/>
    </row>
    <row r="1215" spans="1:25" x14ac:dyDescent="0.2">
      <c r="A1215" s="93" t="s">
        <v>546</v>
      </c>
      <c r="B1215" s="94" t="str">
        <f>IFERROR(VLOOKUP($A1215,HeadJournal!$A$1:$NTR$890,COLUMN(HeadJournal!B$1),0),"")</f>
        <v>710000669496</v>
      </c>
      <c r="C1215" s="94" t="str">
        <f>IFERROR(VLOOKUP($A1215,HeadJournal!$A$1:$NTR$890,COLUMN(HeadJournal!C$1),0),"")</f>
        <v>iHerb_AV CYG0792</v>
      </c>
      <c r="D1215" s="125" t="str">
        <f>IFERROR(VLOOKUP($A1215,HeadJournal!$A$1:$NTR$890,COLUMN(HeadJournal!D$1),0),"")</f>
        <v>Доставлен</v>
      </c>
      <c r="E1215" s="95">
        <f>IFERROR(VLOOKUP($A1215,HeadJournal!$A$1:$NTR$890,COLUMN(HeadJournal!G$1),0),"")</f>
        <v>44994</v>
      </c>
      <c r="F1215" s="95" t="str">
        <f t="shared" si="94"/>
        <v>2023 03</v>
      </c>
      <c r="G1215" s="96" t="s">
        <v>5</v>
      </c>
      <c r="H1215" s="161" t="s">
        <v>2773</v>
      </c>
      <c r="I1215" s="97" t="s">
        <v>2005</v>
      </c>
      <c r="J1215" s="97" t="s">
        <v>2774</v>
      </c>
      <c r="K1215" s="29">
        <v>11.7</v>
      </c>
      <c r="L1215" s="29">
        <v>-1.17</v>
      </c>
      <c r="M1215" s="30">
        <f>IFERROR(VLOOKUP($A1215,HeadJournal!$A$1:$J$890,COLUMN(HeadJournal!I$1),0)*($K1215+$L1215)/(SUMIF($A:$A,$A1215,$K:$K)+SUMIF($A:$A,$A1215,$L:$L)),0)</f>
        <v>0.78864385648981872</v>
      </c>
      <c r="N1215" s="30">
        <f>IFERROR((VLOOKUP($A1215,HeadJournal!$A$1:$K$890,COLUMN(HeadJournal!K$1),0)-VLOOKUP($A1215,HeadJournal!$A$1:$K$890,COLUMN(HeadJournal!J$1),0))*($K1215+$L1215)/(SUMIF($A:$A,$A1215,$K:$K)+SUMIF($A:$A,$A1215,$L:$L)),0)</f>
        <v>2.7638232470070118E-15</v>
      </c>
      <c r="O1215" s="30">
        <f>IFERROR((VLOOKUP($A1215,HeadJournal!$A$1:$L$890,COLUMN(HeadJournal!L$1),0)*($K1215+$L1215)/(SUMIF($A:$A,$A1215,$K:$K)+SUMIF($A:$A,$A1215,$L:$L)))/VLOOKUP($A1215,HeadJournal!$A$1:$L$890,COLUMN(HeadJournal!H$1),0),0)</f>
        <v>0.79800797383525224</v>
      </c>
      <c r="P1215" s="30">
        <f>IFERROR(SUM(K1215:O1215)*VLOOKUP($A1215,HeadJournal!$A$1:$L$890,COLUMN(HeadJournal!H$1),0),0)</f>
        <v>1016.9440975204325</v>
      </c>
      <c r="Q1215" s="29">
        <v>1800</v>
      </c>
      <c r="R1215" s="31">
        <v>45096</v>
      </c>
      <c r="S1215" s="31" t="s">
        <v>3121</v>
      </c>
      <c r="T1215" s="95" t="str">
        <f t="shared" si="95"/>
        <v>2023 06</v>
      </c>
      <c r="U1215" s="32">
        <f t="shared" si="92"/>
        <v>783.05590247956752</v>
      </c>
      <c r="V1215" s="22">
        <f t="shared" si="93"/>
        <v>0.7700087983094217</v>
      </c>
      <c r="X1215" s="33"/>
      <c r="Y1215" s="33"/>
    </row>
    <row r="1216" spans="1:25" x14ac:dyDescent="0.2">
      <c r="A1216" s="93" t="s">
        <v>550</v>
      </c>
      <c r="B1216" s="94">
        <f>IFERROR(VLOOKUP($A1216,HeadJournal!$A$1:$NTR$890,COLUMN(HeadJournal!B$1),0),"")</f>
        <v>0</v>
      </c>
      <c r="C1216" s="94" t="str">
        <f>IFERROR(VLOOKUP($A1216,HeadJournal!$A$1:$NTR$890,COLUMN(HeadJournal!C$1),0),"")</f>
        <v>OZON_AV</v>
      </c>
      <c r="D1216" s="125" t="str">
        <f>IFERROR(VLOOKUP($A1216,HeadJournal!$A$1:$NTR$890,COLUMN(HeadJournal!D$1),0),"")</f>
        <v>Доставлен</v>
      </c>
      <c r="E1216" s="95">
        <f>IFERROR(VLOOKUP($A1216,HeadJournal!$A$1:$NTR$890,COLUMN(HeadJournal!G$1),0),"")</f>
        <v>44991</v>
      </c>
      <c r="F1216" s="95" t="str">
        <f t="shared" si="94"/>
        <v>2023 03</v>
      </c>
      <c r="G1216" s="96" t="s">
        <v>6</v>
      </c>
      <c r="H1216" s="160" t="str">
        <f>RIGHT(Journal!$J1216,9)</f>
        <v>572353524</v>
      </c>
      <c r="I1216" s="96" t="str">
        <f t="shared" si="91"/>
        <v>FORTIUS</v>
      </c>
      <c r="J1216" s="97" t="s">
        <v>551</v>
      </c>
      <c r="K1216" s="29">
        <v>197</v>
      </c>
      <c r="L1216" s="29"/>
      <c r="M1216" s="30">
        <f>IFERROR(VLOOKUP($A1216,HeadJournal!$A$1:$J$890,COLUMN(HeadJournal!I$1),0)*($K1216+$L1216)/(SUMIF($A:$A,$A1216,$K:$K)+SUMIF($A:$A,$A1216,$L:$L)),0)</f>
        <v>0</v>
      </c>
      <c r="N1216" s="30">
        <f>IFERROR((VLOOKUP($A1216,HeadJournal!$A$1:$K$890,COLUMN(HeadJournal!K$1),0)-VLOOKUP($A1216,HeadJournal!$A$1:$K$890,COLUMN(HeadJournal!J$1),0))*($K1216+$L1216)/(SUMIF($A:$A,$A1216,$K:$K)+SUMIF($A:$A,$A1216,$L:$L)),0)</f>
        <v>19</v>
      </c>
      <c r="O1216" s="30">
        <f>IFERROR((VLOOKUP($A1216,HeadJournal!$A$1:$L$890,COLUMN(HeadJournal!L$1),0)*($K1216+$L1216)/(SUMIF($A:$A,$A1216,$K:$K)+SUMIF($A:$A,$A1216,$L:$L)))/VLOOKUP($A1216,HeadJournal!$A$1:$L$890,COLUMN(HeadJournal!H$1),0),0)</f>
        <v>32.4</v>
      </c>
      <c r="P1216" s="30">
        <f>IFERROR(SUM(K1216:O1216)*VLOOKUP($A1216,HeadJournal!$A$1:$L$890,COLUMN(HeadJournal!H$1),0),0)</f>
        <v>248.4</v>
      </c>
      <c r="Q1216" s="29"/>
      <c r="R1216" s="31"/>
      <c r="S1216" s="31"/>
      <c r="T1216" s="95" t="str">
        <f t="shared" si="95"/>
        <v/>
      </c>
      <c r="U1216" s="32">
        <f t="shared" si="92"/>
        <v>-248.4</v>
      </c>
      <c r="V1216" s="22" t="str">
        <f t="shared" si="93"/>
        <v/>
      </c>
      <c r="X1216" s="33"/>
      <c r="Y1216" s="33"/>
    </row>
    <row r="1217" spans="1:25" x14ac:dyDescent="0.2">
      <c r="A1217" s="93" t="s">
        <v>550</v>
      </c>
      <c r="B1217" s="94">
        <f>IFERROR(VLOOKUP($A1217,HeadJournal!$A$1:$NTR$890,COLUMN(HeadJournal!B$1),0),"")</f>
        <v>0</v>
      </c>
      <c r="C1217" s="94" t="str">
        <f>IFERROR(VLOOKUP($A1217,HeadJournal!$A$1:$NTR$890,COLUMN(HeadJournal!C$1),0),"")</f>
        <v>OZON_AV</v>
      </c>
      <c r="D1217" s="125" t="str">
        <f>IFERROR(VLOOKUP($A1217,HeadJournal!$A$1:$NTR$890,COLUMN(HeadJournal!D$1),0),"")</f>
        <v>Доставлен</v>
      </c>
      <c r="E1217" s="95">
        <f>IFERROR(VLOOKUP($A1217,HeadJournal!$A$1:$NTR$890,COLUMN(HeadJournal!G$1),0),"")</f>
        <v>44991</v>
      </c>
      <c r="F1217" s="95" t="str">
        <f t="shared" si="94"/>
        <v>2023 03</v>
      </c>
      <c r="G1217" s="96" t="s">
        <v>6</v>
      </c>
      <c r="H1217" s="160" t="str">
        <f>RIGHT(Journal!$J1217,9)</f>
        <v>572353524</v>
      </c>
      <c r="I1217" s="96" t="str">
        <f t="shared" ref="I1217:I1227" si="96">IFERROR(LEFT(J1217,FIND(",",J1217)-1),"")</f>
        <v>FORTIUS</v>
      </c>
      <c r="J1217" s="97" t="s">
        <v>551</v>
      </c>
      <c r="K1217" s="29">
        <v>197</v>
      </c>
      <c r="L1217" s="29"/>
      <c r="M1217" s="30">
        <f>IFERROR(VLOOKUP($A1217,HeadJournal!$A$1:$J$890,COLUMN(HeadJournal!I$1),0)*($K1217+$L1217)/(SUMIF($A:$A,$A1217,$K:$K)+SUMIF($A:$A,$A1217,$L:$L)),0)</f>
        <v>0</v>
      </c>
      <c r="N1217" s="30">
        <f>IFERROR((VLOOKUP($A1217,HeadJournal!$A$1:$K$890,COLUMN(HeadJournal!K$1),0)-VLOOKUP($A1217,HeadJournal!$A$1:$K$890,COLUMN(HeadJournal!J$1),0))*($K1217+$L1217)/(SUMIF($A:$A,$A1217,$K:$K)+SUMIF($A:$A,$A1217,$L:$L)),0)</f>
        <v>19</v>
      </c>
      <c r="O1217" s="30">
        <f>IFERROR((VLOOKUP($A1217,HeadJournal!$A$1:$L$890,COLUMN(HeadJournal!L$1),0)*($K1217+$L1217)/(SUMIF($A:$A,$A1217,$K:$K)+SUMIF($A:$A,$A1217,$L:$L)))/VLOOKUP($A1217,HeadJournal!$A$1:$L$890,COLUMN(HeadJournal!H$1),0),0)</f>
        <v>32.4</v>
      </c>
      <c r="P1217" s="30">
        <f>IFERROR(SUM(K1217:O1217)*VLOOKUP($A1217,HeadJournal!$A$1:$L$890,COLUMN(HeadJournal!H$1),0),0)</f>
        <v>248.4</v>
      </c>
      <c r="Q1217" s="29"/>
      <c r="R1217" s="31"/>
      <c r="S1217" s="31"/>
      <c r="T1217" s="95" t="str">
        <f t="shared" si="95"/>
        <v/>
      </c>
      <c r="U1217" s="32">
        <f t="shared" ref="U1217:U1280" si="97">Q1217-P1217</f>
        <v>-248.4</v>
      </c>
      <c r="V1217" s="22" t="str">
        <f t="shared" ref="V1217:V1280" si="98">IF(Q1217&lt;&gt;0,IFERROR(U1217/P1217,""),"")</f>
        <v/>
      </c>
      <c r="X1217" s="33"/>
      <c r="Y1217" s="33"/>
    </row>
    <row r="1218" spans="1:25" x14ac:dyDescent="0.2">
      <c r="A1218" s="93" t="s">
        <v>552</v>
      </c>
      <c r="B1218" s="94">
        <f>IFERROR(VLOOKUP($A1218,HeadJournal!$A$1:$NTR$890,COLUMN(HeadJournal!B$1),0),"")</f>
        <v>0</v>
      </c>
      <c r="C1218" s="94" t="str">
        <f>IFERROR(VLOOKUP($A1218,HeadJournal!$A$1:$NTR$890,COLUMN(HeadJournal!C$1),0),"")</f>
        <v>CoralClub_OA</v>
      </c>
      <c r="D1218" s="125" t="str">
        <f>IFERROR(VLOOKUP($A1218,HeadJournal!$A$1:$NTR$890,COLUMN(HeadJournal!D$1),0),"")</f>
        <v>Доставлен</v>
      </c>
      <c r="E1218" s="95">
        <f>IFERROR(VLOOKUP($A1218,HeadJournal!$A$1:$NTR$890,COLUMN(HeadJournal!G$1),0),"")</f>
        <v>44998</v>
      </c>
      <c r="F1218" s="95" t="str">
        <f t="shared" si="94"/>
        <v>2023 03</v>
      </c>
      <c r="G1218" s="96" t="s">
        <v>5</v>
      </c>
      <c r="H1218" s="160" t="str">
        <f>RIGHT(Journal!$J1218,9)</f>
        <v>000002150</v>
      </c>
      <c r="I1218" s="96" t="str">
        <f t="shared" si="96"/>
        <v>CoralClub</v>
      </c>
      <c r="J1218" s="97" t="s">
        <v>307</v>
      </c>
      <c r="K1218" s="29">
        <v>1420</v>
      </c>
      <c r="L1218" s="29"/>
      <c r="M1218" s="30">
        <f>IFERROR(VLOOKUP($A1218,HeadJournal!$A$1:$J$890,COLUMN(HeadJournal!I$1),0)*($K1218+$L1218)/(SUMIF($A:$A,$A1218,$K:$K)+SUMIF($A:$A,$A1218,$L:$L)),0)</f>
        <v>0</v>
      </c>
      <c r="N1218" s="30">
        <f>IFERROR((VLOOKUP($A1218,HeadJournal!$A$1:$K$890,COLUMN(HeadJournal!K$1),0)-VLOOKUP($A1218,HeadJournal!$A$1:$K$890,COLUMN(HeadJournal!J$1),0))*($K1218+$L1218)/(SUMIF($A:$A,$A1218,$K:$K)+SUMIF($A:$A,$A1218,$L:$L)),0)</f>
        <v>30</v>
      </c>
      <c r="O1218" s="30">
        <f>IFERROR((VLOOKUP($A1218,HeadJournal!$A$1:$L$890,COLUMN(HeadJournal!L$1),0)*($K1218+$L1218)/(SUMIF($A:$A,$A1218,$K:$K)+SUMIF($A:$A,$A1218,$L:$L)))/VLOOKUP($A1218,HeadJournal!$A$1:$L$890,COLUMN(HeadJournal!H$1),0),0)</f>
        <v>0</v>
      </c>
      <c r="P1218" s="30">
        <f>IFERROR(SUM(K1218:O1218)*VLOOKUP($A1218,HeadJournal!$A$1:$L$890,COLUMN(HeadJournal!H$1),0),0)</f>
        <v>1450</v>
      </c>
      <c r="Q1218" s="29">
        <v>1800</v>
      </c>
      <c r="R1218" s="31">
        <v>45051</v>
      </c>
      <c r="S1218" s="31" t="s">
        <v>3121</v>
      </c>
      <c r="T1218" s="95" t="str">
        <f t="shared" si="95"/>
        <v>2023 05</v>
      </c>
      <c r="U1218" s="32">
        <f t="shared" si="97"/>
        <v>350</v>
      </c>
      <c r="V1218" s="22">
        <f t="shared" si="98"/>
        <v>0.2413793103448276</v>
      </c>
      <c r="X1218" s="33"/>
      <c r="Y1218" s="33"/>
    </row>
    <row r="1219" spans="1:25" x14ac:dyDescent="0.2">
      <c r="A1219" s="93" t="s">
        <v>552</v>
      </c>
      <c r="B1219" s="94">
        <f>IFERROR(VLOOKUP($A1219,HeadJournal!$A$1:$NTR$890,COLUMN(HeadJournal!B$1),0),"")</f>
        <v>0</v>
      </c>
      <c r="C1219" s="94" t="str">
        <f>IFERROR(VLOOKUP($A1219,HeadJournal!$A$1:$NTR$890,COLUMN(HeadJournal!C$1),0),"")</f>
        <v>CoralClub_OA</v>
      </c>
      <c r="D1219" s="125" t="str">
        <f>IFERROR(VLOOKUP($A1219,HeadJournal!$A$1:$NTR$890,COLUMN(HeadJournal!D$1),0),"")</f>
        <v>Доставлен</v>
      </c>
      <c r="E1219" s="95">
        <f>IFERROR(VLOOKUP($A1219,HeadJournal!$A$1:$NTR$890,COLUMN(HeadJournal!G$1),0),"")</f>
        <v>44998</v>
      </c>
      <c r="F1219" s="95" t="str">
        <f t="shared" si="94"/>
        <v>2023 03</v>
      </c>
      <c r="G1219" s="96" t="s">
        <v>5</v>
      </c>
      <c r="H1219" s="160" t="str">
        <f>RIGHT(Journal!$J1219,9)</f>
        <v>000002150</v>
      </c>
      <c r="I1219" s="96" t="str">
        <f t="shared" si="96"/>
        <v>CoralClub</v>
      </c>
      <c r="J1219" s="97" t="s">
        <v>307</v>
      </c>
      <c r="K1219" s="29">
        <v>1420</v>
      </c>
      <c r="L1219" s="29"/>
      <c r="M1219" s="30">
        <f>IFERROR(VLOOKUP($A1219,HeadJournal!$A$1:$J$890,COLUMN(HeadJournal!I$1),0)*($K1219+$L1219)/(SUMIF($A:$A,$A1219,$K:$K)+SUMIF($A:$A,$A1219,$L:$L)),0)</f>
        <v>0</v>
      </c>
      <c r="N1219" s="30">
        <f>IFERROR((VLOOKUP($A1219,HeadJournal!$A$1:$K$890,COLUMN(HeadJournal!K$1),0)-VLOOKUP($A1219,HeadJournal!$A$1:$K$890,COLUMN(HeadJournal!J$1),0))*($K1219+$L1219)/(SUMIF($A:$A,$A1219,$K:$K)+SUMIF($A:$A,$A1219,$L:$L)),0)</f>
        <v>30</v>
      </c>
      <c r="O1219" s="30">
        <f>IFERROR((VLOOKUP($A1219,HeadJournal!$A$1:$L$890,COLUMN(HeadJournal!L$1),0)*($K1219+$L1219)/(SUMIF($A:$A,$A1219,$K:$K)+SUMIF($A:$A,$A1219,$L:$L)))/VLOOKUP($A1219,HeadJournal!$A$1:$L$890,COLUMN(HeadJournal!H$1),0),0)</f>
        <v>0</v>
      </c>
      <c r="P1219" s="30">
        <f>IFERROR(SUM(K1219:O1219)*VLOOKUP($A1219,HeadJournal!$A$1:$L$890,COLUMN(HeadJournal!H$1),0),0)</f>
        <v>1450</v>
      </c>
      <c r="Q1219" s="29">
        <v>1450</v>
      </c>
      <c r="R1219" s="31">
        <v>45137</v>
      </c>
      <c r="S1219" s="31" t="s">
        <v>3121</v>
      </c>
      <c r="T1219" s="95" t="str">
        <f t="shared" si="95"/>
        <v>2023 07</v>
      </c>
      <c r="U1219" s="32">
        <f t="shared" si="97"/>
        <v>0</v>
      </c>
      <c r="V1219" s="22">
        <f t="shared" si="98"/>
        <v>0</v>
      </c>
      <c r="X1219" s="33"/>
      <c r="Y1219" s="33"/>
    </row>
    <row r="1220" spans="1:25" x14ac:dyDescent="0.2">
      <c r="A1220" s="93" t="s">
        <v>541</v>
      </c>
      <c r="B1220" s="94">
        <f>IFERROR(VLOOKUP($A1220,HeadJournal!$A$1:$NTR$890,COLUMN(HeadJournal!B$1),0),"")</f>
        <v>0</v>
      </c>
      <c r="C1220" s="94" t="str">
        <f>IFERROR(VLOOKUP($A1220,HeadJournal!$A$1:$NTR$890,COLUMN(HeadJournal!C$1),0),"")</f>
        <v>OZON_AV</v>
      </c>
      <c r="D1220" s="125" t="str">
        <f>IFERROR(VLOOKUP($A1220,HeadJournal!$A$1:$NTR$890,COLUMN(HeadJournal!D$1),0),"")</f>
        <v>Доставлен</v>
      </c>
      <c r="E1220" s="95">
        <f>IFERROR(VLOOKUP($A1220,HeadJournal!$A$1:$NTR$890,COLUMN(HeadJournal!G$1),0),"")</f>
        <v>44994</v>
      </c>
      <c r="F1220" s="95" t="str">
        <f t="shared" ref="F1220:F1283" si="99">IFERROR(TEXT(E1220, "ГГГГ ММ"),"")</f>
        <v>2023 03</v>
      </c>
      <c r="G1220" s="96" t="s">
        <v>6</v>
      </c>
      <c r="H1220" s="160" t="str">
        <f>RIGHT(Journal!$J1220,9)</f>
        <v>707636546</v>
      </c>
      <c r="I1220" s="96" t="str">
        <f t="shared" si="96"/>
        <v>Insane</v>
      </c>
      <c r="J1220" s="97" t="s">
        <v>553</v>
      </c>
      <c r="K1220" s="29">
        <v>1008</v>
      </c>
      <c r="L1220" s="29"/>
      <c r="M1220" s="30">
        <f>IFERROR(VLOOKUP($A1220,HeadJournal!$A$1:$J$890,COLUMN(HeadJournal!I$1),0)*($K1220+$L1220)/(SUMIF($A:$A,$A1220,$K:$K)+SUMIF($A:$A,$A1220,$L:$L)),0)</f>
        <v>0</v>
      </c>
      <c r="N1220" s="30">
        <f>IFERROR((VLOOKUP($A1220,HeadJournal!$A$1:$K$890,COLUMN(HeadJournal!K$1),0)-VLOOKUP($A1220,HeadJournal!$A$1:$K$890,COLUMN(HeadJournal!J$1),0))*($K1220+$L1220)/(SUMIF($A:$A,$A1220,$K:$K)+SUMIF($A:$A,$A1220,$L:$L)),0)</f>
        <v>0</v>
      </c>
      <c r="O1220" s="30">
        <f>IFERROR((VLOOKUP($A1220,HeadJournal!$A$1:$L$890,COLUMN(HeadJournal!L$1),0)*($K1220+$L1220)/(SUMIF($A:$A,$A1220,$K:$K)+SUMIF($A:$A,$A1220,$L:$L)))/VLOOKUP($A1220,HeadJournal!$A$1:$L$890,COLUMN(HeadJournal!H$1),0),0)</f>
        <v>151.19999999999999</v>
      </c>
      <c r="P1220" s="30">
        <f>IFERROR(SUM(K1220:O1220)*VLOOKUP($A1220,HeadJournal!$A$1:$L$890,COLUMN(HeadJournal!H$1),0),0)</f>
        <v>1159.2</v>
      </c>
      <c r="Q1220" s="29">
        <v>1600</v>
      </c>
      <c r="R1220" s="31">
        <v>45008</v>
      </c>
      <c r="S1220" s="31" t="s">
        <v>3121</v>
      </c>
      <c r="T1220" s="95" t="str">
        <f t="shared" ref="T1220:T1283" si="100">IF(R1220="","",TEXT(R1220,"ГГГГ ММ"))</f>
        <v>2023 03</v>
      </c>
      <c r="U1220" s="32">
        <f t="shared" si="97"/>
        <v>440.79999999999995</v>
      </c>
      <c r="V1220" s="22">
        <f t="shared" si="98"/>
        <v>0.38026224982746715</v>
      </c>
      <c r="X1220" s="33"/>
      <c r="Y1220" s="33"/>
    </row>
    <row r="1221" spans="1:25" x14ac:dyDescent="0.2">
      <c r="A1221" s="93" t="s">
        <v>541</v>
      </c>
      <c r="B1221" s="94">
        <f>IFERROR(VLOOKUP($A1221,HeadJournal!$A$1:$NTR$890,COLUMN(HeadJournal!B$1),0),"")</f>
        <v>0</v>
      </c>
      <c r="C1221" s="94" t="str">
        <f>IFERROR(VLOOKUP($A1221,HeadJournal!$A$1:$NTR$890,COLUMN(HeadJournal!C$1),0),"")</f>
        <v>OZON_AV</v>
      </c>
      <c r="D1221" s="125" t="str">
        <f>IFERROR(VLOOKUP($A1221,HeadJournal!$A$1:$NTR$890,COLUMN(HeadJournal!D$1),0),"")</f>
        <v>Доставлен</v>
      </c>
      <c r="E1221" s="95">
        <f>IFERROR(VLOOKUP($A1221,HeadJournal!$A$1:$NTR$890,COLUMN(HeadJournal!G$1),0),"")</f>
        <v>44994</v>
      </c>
      <c r="F1221" s="95" t="str">
        <f t="shared" si="99"/>
        <v>2023 03</v>
      </c>
      <c r="G1221" s="96" t="s">
        <v>6</v>
      </c>
      <c r="H1221" s="160" t="str">
        <f>RIGHT(Journal!$J1221,9)</f>
        <v>879350457</v>
      </c>
      <c r="I1221" s="96" t="str">
        <f t="shared" si="96"/>
        <v>Insane</v>
      </c>
      <c r="J1221" s="97" t="s">
        <v>554</v>
      </c>
      <c r="K1221" s="29">
        <v>1039</v>
      </c>
      <c r="L1221" s="29"/>
      <c r="M1221" s="30">
        <f>IFERROR(VLOOKUP($A1221,HeadJournal!$A$1:$J$890,COLUMN(HeadJournal!I$1),0)*($K1221+$L1221)/(SUMIF($A:$A,$A1221,$K:$K)+SUMIF($A:$A,$A1221,$L:$L)),0)</f>
        <v>0</v>
      </c>
      <c r="N1221" s="30">
        <f>IFERROR((VLOOKUP($A1221,HeadJournal!$A$1:$K$890,COLUMN(HeadJournal!K$1),0)-VLOOKUP($A1221,HeadJournal!$A$1:$K$890,COLUMN(HeadJournal!J$1),0))*($K1221+$L1221)/(SUMIF($A:$A,$A1221,$K:$K)+SUMIF($A:$A,$A1221,$L:$L)),0)</f>
        <v>0</v>
      </c>
      <c r="O1221" s="30">
        <f>IFERROR((VLOOKUP($A1221,HeadJournal!$A$1:$L$890,COLUMN(HeadJournal!L$1),0)*($K1221+$L1221)/(SUMIF($A:$A,$A1221,$K:$K)+SUMIF($A:$A,$A1221,$L:$L)))/VLOOKUP($A1221,HeadJournal!$A$1:$L$890,COLUMN(HeadJournal!H$1),0),0)</f>
        <v>155.85</v>
      </c>
      <c r="P1221" s="30">
        <f>IFERROR(SUM(K1221:O1221)*VLOOKUP($A1221,HeadJournal!$A$1:$L$890,COLUMN(HeadJournal!H$1),0),0)</f>
        <v>1194.8499999999999</v>
      </c>
      <c r="Q1221" s="29">
        <v>1700</v>
      </c>
      <c r="R1221" s="31">
        <v>45008</v>
      </c>
      <c r="S1221" s="31" t="s">
        <v>3121</v>
      </c>
      <c r="T1221" s="95" t="str">
        <f t="shared" si="100"/>
        <v>2023 03</v>
      </c>
      <c r="U1221" s="32">
        <f t="shared" si="97"/>
        <v>505.15000000000009</v>
      </c>
      <c r="V1221" s="22">
        <f t="shared" si="98"/>
        <v>0.42277273297903512</v>
      </c>
      <c r="X1221" s="33"/>
      <c r="Y1221" s="33"/>
    </row>
    <row r="1222" spans="1:25" x14ac:dyDescent="0.2">
      <c r="A1222" s="93" t="s">
        <v>555</v>
      </c>
      <c r="B1222" s="94">
        <f>IFERROR(VLOOKUP($A1222,HeadJournal!$A$1:$NTR$890,COLUMN(HeadJournal!B$1),0),"")</f>
        <v>0</v>
      </c>
      <c r="C1222" s="94" t="str">
        <f>IFERROR(VLOOKUP($A1222,HeadJournal!$A$1:$NTR$890,COLUMN(HeadJournal!C$1),0),"")</f>
        <v>OZON_AV</v>
      </c>
      <c r="D1222" s="125" t="str">
        <f>IFERROR(VLOOKUP($A1222,HeadJournal!$A$1:$NTR$890,COLUMN(HeadJournal!D$1),0),"")</f>
        <v>Доставлен</v>
      </c>
      <c r="E1222" s="95">
        <f>IFERROR(VLOOKUP($A1222,HeadJournal!$A$1:$NTR$890,COLUMN(HeadJournal!G$1),0),"")</f>
        <v>45000</v>
      </c>
      <c r="F1222" s="95" t="str">
        <f t="shared" si="99"/>
        <v>2023 03</v>
      </c>
      <c r="G1222" s="96" t="s">
        <v>6</v>
      </c>
      <c r="H1222" s="160" t="str">
        <f>RIGHT(Journal!$J1222,9)</f>
        <v>253451797</v>
      </c>
      <c r="I1222" s="96" t="str">
        <f t="shared" si="96"/>
        <v>Sports Element</v>
      </c>
      <c r="J1222" s="97" t="s">
        <v>556</v>
      </c>
      <c r="K1222" s="29">
        <v>315</v>
      </c>
      <c r="L1222" s="29"/>
      <c r="M1222" s="30">
        <f>IFERROR(VLOOKUP($A1222,HeadJournal!$A$1:$J$890,COLUMN(HeadJournal!I$1),0)*($K1222+$L1222)/(SUMIF($A:$A,$A1222,$K:$K)+SUMIF($A:$A,$A1222,$L:$L)),0)</f>
        <v>0</v>
      </c>
      <c r="N1222" s="30">
        <f>IFERROR((VLOOKUP($A1222,HeadJournal!$A$1:$K$890,COLUMN(HeadJournal!K$1),0)-VLOOKUP($A1222,HeadJournal!$A$1:$K$890,COLUMN(HeadJournal!J$1),0))*($K1222+$L1222)/(SUMIF($A:$A,$A1222,$K:$K)+SUMIF($A:$A,$A1222,$L:$L)),0)</f>
        <v>0</v>
      </c>
      <c r="O1222" s="30">
        <f>IFERROR((VLOOKUP($A1222,HeadJournal!$A$1:$L$890,COLUMN(HeadJournal!L$1),0)*($K1222+$L1222)/(SUMIF($A:$A,$A1222,$K:$K)+SUMIF($A:$A,$A1222,$L:$L)))/VLOOKUP($A1222,HeadJournal!$A$1:$L$890,COLUMN(HeadJournal!H$1),0),0)</f>
        <v>47.25</v>
      </c>
      <c r="P1222" s="30">
        <f>IFERROR(SUM(K1222:O1222)*VLOOKUP($A1222,HeadJournal!$A$1:$L$890,COLUMN(HeadJournal!H$1),0),0)</f>
        <v>362.25</v>
      </c>
      <c r="Q1222" s="29">
        <v>550</v>
      </c>
      <c r="R1222" s="31">
        <v>45020</v>
      </c>
      <c r="S1222" s="31" t="s">
        <v>3121</v>
      </c>
      <c r="T1222" s="95" t="str">
        <f t="shared" si="100"/>
        <v>2023 04</v>
      </c>
      <c r="U1222" s="32">
        <f t="shared" si="97"/>
        <v>187.75</v>
      </c>
      <c r="V1222" s="22">
        <f t="shared" si="98"/>
        <v>0.51828847481021389</v>
      </c>
      <c r="X1222" s="33"/>
      <c r="Y1222" s="33"/>
    </row>
    <row r="1223" spans="1:25" x14ac:dyDescent="0.2">
      <c r="A1223" s="93" t="s">
        <v>555</v>
      </c>
      <c r="B1223" s="94">
        <f>IFERROR(VLOOKUP($A1223,HeadJournal!$A$1:$NTR$890,COLUMN(HeadJournal!B$1),0),"")</f>
        <v>0</v>
      </c>
      <c r="C1223" s="94" t="str">
        <f>IFERROR(VLOOKUP($A1223,HeadJournal!$A$1:$NTR$890,COLUMN(HeadJournal!C$1),0),"")</f>
        <v>OZON_AV</v>
      </c>
      <c r="D1223" s="125" t="str">
        <f>IFERROR(VLOOKUP($A1223,HeadJournal!$A$1:$NTR$890,COLUMN(HeadJournal!D$1),0),"")</f>
        <v>Доставлен</v>
      </c>
      <c r="E1223" s="95">
        <f>IFERROR(VLOOKUP($A1223,HeadJournal!$A$1:$NTR$890,COLUMN(HeadJournal!G$1),0),"")</f>
        <v>45000</v>
      </c>
      <c r="F1223" s="95" t="str">
        <f t="shared" si="99"/>
        <v>2023 03</v>
      </c>
      <c r="G1223" s="96" t="s">
        <v>6</v>
      </c>
      <c r="H1223" s="160" t="str">
        <f>RIGHT(Journal!$J1223,9)</f>
        <v>253451797</v>
      </c>
      <c r="I1223" s="96" t="str">
        <f t="shared" si="96"/>
        <v>Sports Element</v>
      </c>
      <c r="J1223" s="97" t="s">
        <v>556</v>
      </c>
      <c r="K1223" s="29">
        <v>315</v>
      </c>
      <c r="L1223" s="29"/>
      <c r="M1223" s="30">
        <f>IFERROR(VLOOKUP($A1223,HeadJournal!$A$1:$J$890,COLUMN(HeadJournal!I$1),0)*($K1223+$L1223)/(SUMIF($A:$A,$A1223,$K:$K)+SUMIF($A:$A,$A1223,$L:$L)),0)</f>
        <v>0</v>
      </c>
      <c r="N1223" s="30">
        <f>IFERROR((VLOOKUP($A1223,HeadJournal!$A$1:$K$890,COLUMN(HeadJournal!K$1),0)-VLOOKUP($A1223,HeadJournal!$A$1:$K$890,COLUMN(HeadJournal!J$1),0))*($K1223+$L1223)/(SUMIF($A:$A,$A1223,$K:$K)+SUMIF($A:$A,$A1223,$L:$L)),0)</f>
        <v>0</v>
      </c>
      <c r="O1223" s="30">
        <f>IFERROR((VLOOKUP($A1223,HeadJournal!$A$1:$L$890,COLUMN(HeadJournal!L$1),0)*($K1223+$L1223)/(SUMIF($A:$A,$A1223,$K:$K)+SUMIF($A:$A,$A1223,$L:$L)))/VLOOKUP($A1223,HeadJournal!$A$1:$L$890,COLUMN(HeadJournal!H$1),0),0)</f>
        <v>47.25</v>
      </c>
      <c r="P1223" s="30">
        <f>IFERROR(SUM(K1223:O1223)*VLOOKUP($A1223,HeadJournal!$A$1:$L$890,COLUMN(HeadJournal!H$1),0),0)</f>
        <v>362.25</v>
      </c>
      <c r="Q1223" s="29">
        <v>500</v>
      </c>
      <c r="R1223" s="31">
        <v>45061</v>
      </c>
      <c r="S1223" s="31" t="s">
        <v>3121</v>
      </c>
      <c r="T1223" s="95" t="str">
        <f t="shared" si="100"/>
        <v>2023 05</v>
      </c>
      <c r="U1223" s="32">
        <f t="shared" si="97"/>
        <v>137.75</v>
      </c>
      <c r="V1223" s="22">
        <f t="shared" si="98"/>
        <v>0.3802622498274672</v>
      </c>
      <c r="X1223" s="33"/>
      <c r="Y1223" s="33"/>
    </row>
    <row r="1224" spans="1:25" x14ac:dyDescent="0.2">
      <c r="A1224" s="93" t="s">
        <v>555</v>
      </c>
      <c r="B1224" s="94">
        <f>IFERROR(VLOOKUP($A1224,HeadJournal!$A$1:$NTR$890,COLUMN(HeadJournal!B$1),0),"")</f>
        <v>0</v>
      </c>
      <c r="C1224" s="94" t="str">
        <f>IFERROR(VLOOKUP($A1224,HeadJournal!$A$1:$NTR$890,COLUMN(HeadJournal!C$1),0),"")</f>
        <v>OZON_AV</v>
      </c>
      <c r="D1224" s="125" t="str">
        <f>IFERROR(VLOOKUP($A1224,HeadJournal!$A$1:$NTR$890,COLUMN(HeadJournal!D$1),0),"")</f>
        <v>Доставлен</v>
      </c>
      <c r="E1224" s="95">
        <f>IFERROR(VLOOKUP($A1224,HeadJournal!$A$1:$NTR$890,COLUMN(HeadJournal!G$1),0),"")</f>
        <v>45000</v>
      </c>
      <c r="F1224" s="95" t="str">
        <f t="shared" si="99"/>
        <v>2023 03</v>
      </c>
      <c r="G1224" s="96" t="s">
        <v>6</v>
      </c>
      <c r="H1224" s="160" t="str">
        <f>RIGHT(Journal!$J1224,9)</f>
        <v>653844019</v>
      </c>
      <c r="I1224" s="96" t="str">
        <f t="shared" si="96"/>
        <v>Sports Element</v>
      </c>
      <c r="J1224" s="97" t="s">
        <v>557</v>
      </c>
      <c r="K1224" s="29">
        <v>315</v>
      </c>
      <c r="L1224" s="29"/>
      <c r="M1224" s="30">
        <f>IFERROR(VLOOKUP($A1224,HeadJournal!$A$1:$J$890,COLUMN(HeadJournal!I$1),0)*($K1224+$L1224)/(SUMIF($A:$A,$A1224,$K:$K)+SUMIF($A:$A,$A1224,$L:$L)),0)</f>
        <v>0</v>
      </c>
      <c r="N1224" s="30">
        <f>IFERROR((VLOOKUP($A1224,HeadJournal!$A$1:$K$890,COLUMN(HeadJournal!K$1),0)-VLOOKUP($A1224,HeadJournal!$A$1:$K$890,COLUMN(HeadJournal!J$1),0))*($K1224+$L1224)/(SUMIF($A:$A,$A1224,$K:$K)+SUMIF($A:$A,$A1224,$L:$L)),0)</f>
        <v>0</v>
      </c>
      <c r="O1224" s="30">
        <f>IFERROR((VLOOKUP($A1224,HeadJournal!$A$1:$L$890,COLUMN(HeadJournal!L$1),0)*($K1224+$L1224)/(SUMIF($A:$A,$A1224,$K:$K)+SUMIF($A:$A,$A1224,$L:$L)))/VLOOKUP($A1224,HeadJournal!$A$1:$L$890,COLUMN(HeadJournal!H$1),0),0)</f>
        <v>47.25</v>
      </c>
      <c r="P1224" s="30">
        <f>IFERROR(SUM(K1224:O1224)*VLOOKUP($A1224,HeadJournal!$A$1:$L$890,COLUMN(HeadJournal!H$1),0),0)</f>
        <v>362.25</v>
      </c>
      <c r="Q1224" s="29">
        <v>550</v>
      </c>
      <c r="R1224" s="31">
        <v>45069</v>
      </c>
      <c r="S1224" s="31" t="s">
        <v>3121</v>
      </c>
      <c r="T1224" s="95" t="str">
        <f t="shared" si="100"/>
        <v>2023 05</v>
      </c>
      <c r="U1224" s="32">
        <f t="shared" si="97"/>
        <v>187.75</v>
      </c>
      <c r="V1224" s="22">
        <f t="shared" si="98"/>
        <v>0.51828847481021389</v>
      </c>
      <c r="X1224" s="33"/>
      <c r="Y1224" s="33"/>
    </row>
    <row r="1225" spans="1:25" x14ac:dyDescent="0.2">
      <c r="A1225" s="93" t="s">
        <v>555</v>
      </c>
      <c r="B1225" s="94">
        <f>IFERROR(VLOOKUP($A1225,HeadJournal!$A$1:$NTR$890,COLUMN(HeadJournal!B$1),0),"")</f>
        <v>0</v>
      </c>
      <c r="C1225" s="94" t="str">
        <f>IFERROR(VLOOKUP($A1225,HeadJournal!$A$1:$NTR$890,COLUMN(HeadJournal!C$1),0),"")</f>
        <v>OZON_AV</v>
      </c>
      <c r="D1225" s="125" t="str">
        <f>IFERROR(VLOOKUP($A1225,HeadJournal!$A$1:$NTR$890,COLUMN(HeadJournal!D$1),0),"")</f>
        <v>Доставлен</v>
      </c>
      <c r="E1225" s="95">
        <f>IFERROR(VLOOKUP($A1225,HeadJournal!$A$1:$NTR$890,COLUMN(HeadJournal!G$1),0),"")</f>
        <v>45000</v>
      </c>
      <c r="F1225" s="95" t="str">
        <f t="shared" si="99"/>
        <v>2023 03</v>
      </c>
      <c r="G1225" s="96" t="s">
        <v>6</v>
      </c>
      <c r="H1225" s="160" t="str">
        <f>RIGHT(Journal!$J1225,9)</f>
        <v>653844019</v>
      </c>
      <c r="I1225" s="96" t="str">
        <f t="shared" si="96"/>
        <v>Sports Element</v>
      </c>
      <c r="J1225" s="97" t="s">
        <v>557</v>
      </c>
      <c r="K1225" s="29">
        <v>315</v>
      </c>
      <c r="L1225" s="29"/>
      <c r="M1225" s="30">
        <f>IFERROR(VLOOKUP($A1225,HeadJournal!$A$1:$J$890,COLUMN(HeadJournal!I$1),0)*($K1225+$L1225)/(SUMIF($A:$A,$A1225,$K:$K)+SUMIF($A:$A,$A1225,$L:$L)),0)</f>
        <v>0</v>
      </c>
      <c r="N1225" s="30">
        <f>IFERROR((VLOOKUP($A1225,HeadJournal!$A$1:$K$890,COLUMN(HeadJournal!K$1),0)-VLOOKUP($A1225,HeadJournal!$A$1:$K$890,COLUMN(HeadJournal!J$1),0))*($K1225+$L1225)/(SUMIF($A:$A,$A1225,$K:$K)+SUMIF($A:$A,$A1225,$L:$L)),0)</f>
        <v>0</v>
      </c>
      <c r="O1225" s="30">
        <f>IFERROR((VLOOKUP($A1225,HeadJournal!$A$1:$L$890,COLUMN(HeadJournal!L$1),0)*($K1225+$L1225)/(SUMIF($A:$A,$A1225,$K:$K)+SUMIF($A:$A,$A1225,$L:$L)))/VLOOKUP($A1225,HeadJournal!$A$1:$L$890,COLUMN(HeadJournal!H$1),0),0)</f>
        <v>47.25</v>
      </c>
      <c r="P1225" s="30">
        <f>IFERROR(SUM(K1225:O1225)*VLOOKUP($A1225,HeadJournal!$A$1:$L$890,COLUMN(HeadJournal!H$1),0),0)</f>
        <v>362.25</v>
      </c>
      <c r="Q1225" s="29">
        <v>550</v>
      </c>
      <c r="R1225" s="31">
        <v>45104</v>
      </c>
      <c r="S1225" s="31" t="s">
        <v>3121</v>
      </c>
      <c r="T1225" s="95" t="str">
        <f t="shared" si="100"/>
        <v>2023 06</v>
      </c>
      <c r="U1225" s="32">
        <f t="shared" si="97"/>
        <v>187.75</v>
      </c>
      <c r="V1225" s="22">
        <f t="shared" si="98"/>
        <v>0.51828847481021389</v>
      </c>
      <c r="X1225" s="33"/>
      <c r="Y1225" s="33"/>
    </row>
    <row r="1226" spans="1:25" x14ac:dyDescent="0.2">
      <c r="A1226" s="93" t="s">
        <v>558</v>
      </c>
      <c r="B1226" s="94">
        <f>IFERROR(VLOOKUP($A1226,HeadJournal!$A$1:$NTR$890,COLUMN(HeadJournal!B$1),0),"")</f>
        <v>0</v>
      </c>
      <c r="C1226" s="94" t="str">
        <f>IFERROR(VLOOKUP($A1226,HeadJournal!$A$1:$NTR$890,COLUMN(HeadJournal!C$1),0),"")</f>
        <v>OZON_AV</v>
      </c>
      <c r="D1226" s="125" t="str">
        <f>IFERROR(VLOOKUP($A1226,HeadJournal!$A$1:$NTR$890,COLUMN(HeadJournal!D$1),0),"")</f>
        <v>Доставлен</v>
      </c>
      <c r="E1226" s="95">
        <f>IFERROR(VLOOKUP($A1226,HeadJournal!$A$1:$NTR$890,COLUMN(HeadJournal!G$1),0),"")</f>
        <v>45000</v>
      </c>
      <c r="F1226" s="95" t="str">
        <f t="shared" si="99"/>
        <v>2023 03</v>
      </c>
      <c r="G1226" s="96" t="s">
        <v>6</v>
      </c>
      <c r="H1226" s="160" t="str">
        <f>RIGHT(Journal!$J1226,9)</f>
        <v>170918388</v>
      </c>
      <c r="I1226" s="96" t="str">
        <f t="shared" si="96"/>
        <v>PRIMEKRAFT</v>
      </c>
      <c r="J1226" s="97" t="s">
        <v>329</v>
      </c>
      <c r="K1226" s="29">
        <v>890</v>
      </c>
      <c r="L1226" s="29"/>
      <c r="M1226" s="30">
        <f>IFERROR(VLOOKUP($A1226,HeadJournal!$A$1:$J$890,COLUMN(HeadJournal!I$1),0)*($K1226+$L1226)/(SUMIF($A:$A,$A1226,$K:$K)+SUMIF($A:$A,$A1226,$L:$L)),0)</f>
        <v>0</v>
      </c>
      <c r="N1226" s="30">
        <f>IFERROR((VLOOKUP($A1226,HeadJournal!$A$1:$K$890,COLUMN(HeadJournal!K$1),0)-VLOOKUP($A1226,HeadJournal!$A$1:$K$890,COLUMN(HeadJournal!J$1),0))*($K1226+$L1226)/(SUMIF($A:$A,$A1226,$K:$K)+SUMIF($A:$A,$A1226,$L:$L)),0)</f>
        <v>0</v>
      </c>
      <c r="O1226" s="30">
        <f>IFERROR((VLOOKUP($A1226,HeadJournal!$A$1:$L$890,COLUMN(HeadJournal!L$1),0)*($K1226+$L1226)/(SUMIF($A:$A,$A1226,$K:$K)+SUMIF($A:$A,$A1226,$L:$L)))/VLOOKUP($A1226,HeadJournal!$A$1:$L$890,COLUMN(HeadJournal!H$1),0),0)</f>
        <v>133.5</v>
      </c>
      <c r="P1226" s="30">
        <f>IFERROR(SUM(K1226:O1226)*VLOOKUP($A1226,HeadJournal!$A$1:$L$890,COLUMN(HeadJournal!H$1),0),0)</f>
        <v>1023.5</v>
      </c>
      <c r="Q1226" s="29">
        <v>1500</v>
      </c>
      <c r="R1226" s="31">
        <v>45012</v>
      </c>
      <c r="S1226" s="31" t="s">
        <v>3121</v>
      </c>
      <c r="T1226" s="95" t="str">
        <f t="shared" si="100"/>
        <v>2023 03</v>
      </c>
      <c r="U1226" s="32">
        <f t="shared" si="97"/>
        <v>476.5</v>
      </c>
      <c r="V1226" s="22">
        <f t="shared" si="98"/>
        <v>0.46555935515388375</v>
      </c>
      <c r="X1226" s="33"/>
      <c r="Y1226" s="33"/>
    </row>
    <row r="1227" spans="1:25" x14ac:dyDescent="0.2">
      <c r="A1227" s="93" t="s">
        <v>558</v>
      </c>
      <c r="B1227" s="94">
        <f>IFERROR(VLOOKUP($A1227,HeadJournal!$A$1:$NTR$890,COLUMN(HeadJournal!B$1),0),"")</f>
        <v>0</v>
      </c>
      <c r="C1227" s="94" t="str">
        <f>IFERROR(VLOOKUP($A1227,HeadJournal!$A$1:$NTR$890,COLUMN(HeadJournal!C$1),0),"")</f>
        <v>OZON_AV</v>
      </c>
      <c r="D1227" s="125" t="str">
        <f>IFERROR(VLOOKUP($A1227,HeadJournal!$A$1:$NTR$890,COLUMN(HeadJournal!D$1),0),"")</f>
        <v>Доставлен</v>
      </c>
      <c r="E1227" s="95">
        <f>IFERROR(VLOOKUP($A1227,HeadJournal!$A$1:$NTR$890,COLUMN(HeadJournal!G$1),0),"")</f>
        <v>45000</v>
      </c>
      <c r="F1227" s="95" t="str">
        <f t="shared" si="99"/>
        <v>2023 03</v>
      </c>
      <c r="G1227" s="96" t="s">
        <v>6</v>
      </c>
      <c r="H1227" s="160" t="str">
        <f>RIGHT(Journal!$J1227,9)</f>
        <v>170919152</v>
      </c>
      <c r="I1227" s="96" t="str">
        <f t="shared" si="96"/>
        <v>PRIMEKRAFT</v>
      </c>
      <c r="J1227" s="97" t="s">
        <v>1054</v>
      </c>
      <c r="K1227" s="29">
        <v>890</v>
      </c>
      <c r="L1227" s="29"/>
      <c r="M1227" s="30">
        <f>IFERROR(VLOOKUP($A1227,HeadJournal!$A$1:$J$890,COLUMN(HeadJournal!I$1),0)*($K1227+$L1227)/(SUMIF($A:$A,$A1227,$K:$K)+SUMIF($A:$A,$A1227,$L:$L)),0)</f>
        <v>0</v>
      </c>
      <c r="N1227" s="30">
        <f>IFERROR((VLOOKUP($A1227,HeadJournal!$A$1:$K$890,COLUMN(HeadJournal!K$1),0)-VLOOKUP($A1227,HeadJournal!$A$1:$K$890,COLUMN(HeadJournal!J$1),0))*($K1227+$L1227)/(SUMIF($A:$A,$A1227,$K:$K)+SUMIF($A:$A,$A1227,$L:$L)),0)</f>
        <v>0</v>
      </c>
      <c r="O1227" s="30">
        <f>IFERROR((VLOOKUP($A1227,HeadJournal!$A$1:$L$890,COLUMN(HeadJournal!L$1),0)*($K1227+$L1227)/(SUMIF($A:$A,$A1227,$K:$K)+SUMIF($A:$A,$A1227,$L:$L)))/VLOOKUP($A1227,HeadJournal!$A$1:$L$890,COLUMN(HeadJournal!H$1),0),0)</f>
        <v>133.5</v>
      </c>
      <c r="P1227" s="30">
        <f>IFERROR(SUM(K1227:O1227)*VLOOKUP($A1227,HeadJournal!$A$1:$L$890,COLUMN(HeadJournal!H$1),0),0)</f>
        <v>1023.5</v>
      </c>
      <c r="Q1227" s="29">
        <v>1500</v>
      </c>
      <c r="R1227" s="31">
        <v>45008</v>
      </c>
      <c r="S1227" s="31" t="s">
        <v>3121</v>
      </c>
      <c r="T1227" s="95" t="str">
        <f t="shared" si="100"/>
        <v>2023 03</v>
      </c>
      <c r="U1227" s="32">
        <f t="shared" si="97"/>
        <v>476.5</v>
      </c>
      <c r="V1227" s="22">
        <f t="shared" si="98"/>
        <v>0.46555935515388375</v>
      </c>
      <c r="X1227" s="33"/>
      <c r="Y1227" s="33"/>
    </row>
    <row r="1228" spans="1:25" x14ac:dyDescent="0.2">
      <c r="A1228" s="93" t="s">
        <v>559</v>
      </c>
      <c r="B1228" s="94">
        <f>IFERROR(VLOOKUP($A1228,HeadJournal!$A$1:$NTR$890,COLUMN(HeadJournal!B$1),0),"")</f>
        <v>0</v>
      </c>
      <c r="C1228" s="94" t="str">
        <f>IFERROR(VLOOKUP($A1228,HeadJournal!$A$1:$NTR$890,COLUMN(HeadJournal!C$1),0),"")</f>
        <v>OZON_AV</v>
      </c>
      <c r="D1228" s="125" t="str">
        <f>IFERROR(VLOOKUP($A1228,HeadJournal!$A$1:$NTR$890,COLUMN(HeadJournal!D$1),0),"")</f>
        <v>Доставлен</v>
      </c>
      <c r="E1228" s="95">
        <f>IFERROR(VLOOKUP($A1228,HeadJournal!$A$1:$NTR$890,COLUMN(HeadJournal!G$1),0),"")</f>
        <v>45001</v>
      </c>
      <c r="F1228" s="95" t="str">
        <f t="shared" si="99"/>
        <v>2023 03</v>
      </c>
      <c r="G1228" s="96" t="s">
        <v>6</v>
      </c>
      <c r="H1228" s="160" t="str">
        <f>RIGHT(Journal!$J1228,9)</f>
        <v>825959086</v>
      </c>
      <c r="I1228" s="96" t="s">
        <v>560</v>
      </c>
      <c r="J1228" s="97" t="s">
        <v>478</v>
      </c>
      <c r="K1228" s="29">
        <v>897</v>
      </c>
      <c r="L1228" s="29"/>
      <c r="M1228" s="30">
        <f>IFERROR(VLOOKUP($A1228,HeadJournal!$A$1:$J$890,COLUMN(HeadJournal!I$1),0)*($K1228+$L1228)/(SUMIF($A:$A,$A1228,$K:$K)+SUMIF($A:$A,$A1228,$L:$L)),0)</f>
        <v>0</v>
      </c>
      <c r="N1228" s="30">
        <f>IFERROR((VLOOKUP($A1228,HeadJournal!$A$1:$K$890,COLUMN(HeadJournal!K$1),0)-VLOOKUP($A1228,HeadJournal!$A$1:$K$890,COLUMN(HeadJournal!J$1),0))*($K1228+$L1228)/(SUMIF($A:$A,$A1228,$K:$K)+SUMIF($A:$A,$A1228,$L:$L)),0)</f>
        <v>0</v>
      </c>
      <c r="O1228" s="30">
        <f>IFERROR((VLOOKUP($A1228,HeadJournal!$A$1:$L$890,COLUMN(HeadJournal!L$1),0)*($K1228+$L1228)/(SUMIF($A:$A,$A1228,$K:$K)+SUMIF($A:$A,$A1228,$L:$L)))/VLOOKUP($A1228,HeadJournal!$A$1:$L$890,COLUMN(HeadJournal!H$1),0),0)</f>
        <v>134.55000000000001</v>
      </c>
      <c r="P1228" s="30">
        <f>IFERROR(SUM(K1228:O1228)*VLOOKUP($A1228,HeadJournal!$A$1:$L$890,COLUMN(HeadJournal!H$1),0),0)</f>
        <v>1031.55</v>
      </c>
      <c r="Q1228" s="29">
        <v>1500</v>
      </c>
      <c r="R1228" s="31">
        <v>45020</v>
      </c>
      <c r="S1228" s="31" t="s">
        <v>3121</v>
      </c>
      <c r="T1228" s="95" t="str">
        <f t="shared" si="100"/>
        <v>2023 04</v>
      </c>
      <c r="U1228" s="32">
        <f t="shared" si="97"/>
        <v>468.45000000000005</v>
      </c>
      <c r="V1228" s="22">
        <f t="shared" si="98"/>
        <v>0.45412243710920464</v>
      </c>
      <c r="X1228" s="33"/>
      <c r="Y1228" s="33"/>
    </row>
    <row r="1229" spans="1:25" x14ac:dyDescent="0.2">
      <c r="A1229" s="93" t="s">
        <v>559</v>
      </c>
      <c r="B1229" s="94">
        <f>IFERROR(VLOOKUP($A1229,HeadJournal!$A$1:$NTR$890,COLUMN(HeadJournal!B$1),0),"")</f>
        <v>0</v>
      </c>
      <c r="C1229" s="94" t="str">
        <f>IFERROR(VLOOKUP($A1229,HeadJournal!$A$1:$NTR$890,COLUMN(HeadJournal!C$1),0),"")</f>
        <v>OZON_AV</v>
      </c>
      <c r="D1229" s="125" t="str">
        <f>IFERROR(VLOOKUP($A1229,HeadJournal!$A$1:$NTR$890,COLUMN(HeadJournal!D$1),0),"")</f>
        <v>Доставлен</v>
      </c>
      <c r="E1229" s="95">
        <f>IFERROR(VLOOKUP($A1229,HeadJournal!$A$1:$NTR$890,COLUMN(HeadJournal!G$1),0),"")</f>
        <v>45001</v>
      </c>
      <c r="F1229" s="95" t="str">
        <f t="shared" si="99"/>
        <v>2023 03</v>
      </c>
      <c r="G1229" s="96" t="s">
        <v>6</v>
      </c>
      <c r="H1229" s="160" t="str">
        <f>RIGHT(Journal!$J1229,9)</f>
        <v>626914560</v>
      </c>
      <c r="I1229" s="96" t="s">
        <v>560</v>
      </c>
      <c r="J1229" s="97" t="s">
        <v>561</v>
      </c>
      <c r="K1229" s="29">
        <v>897</v>
      </c>
      <c r="L1229" s="29"/>
      <c r="M1229" s="30">
        <f>IFERROR(VLOOKUP($A1229,HeadJournal!$A$1:$J$890,COLUMN(HeadJournal!I$1),0)*($K1229+$L1229)/(SUMIF($A:$A,$A1229,$K:$K)+SUMIF($A:$A,$A1229,$L:$L)),0)</f>
        <v>0</v>
      </c>
      <c r="N1229" s="30">
        <f>IFERROR((VLOOKUP($A1229,HeadJournal!$A$1:$K$890,COLUMN(HeadJournal!K$1),0)-VLOOKUP($A1229,HeadJournal!$A$1:$K$890,COLUMN(HeadJournal!J$1),0))*($K1229+$L1229)/(SUMIF($A:$A,$A1229,$K:$K)+SUMIF($A:$A,$A1229,$L:$L)),0)</f>
        <v>0</v>
      </c>
      <c r="O1229" s="30">
        <f>IFERROR((VLOOKUP($A1229,HeadJournal!$A$1:$L$890,COLUMN(HeadJournal!L$1),0)*($K1229+$L1229)/(SUMIF($A:$A,$A1229,$K:$K)+SUMIF($A:$A,$A1229,$L:$L)))/VLOOKUP($A1229,HeadJournal!$A$1:$L$890,COLUMN(HeadJournal!H$1),0),0)</f>
        <v>134.55000000000001</v>
      </c>
      <c r="P1229" s="30">
        <f>IFERROR(SUM(K1229:O1229)*VLOOKUP($A1229,HeadJournal!$A$1:$L$890,COLUMN(HeadJournal!H$1),0),0)</f>
        <v>1031.55</v>
      </c>
      <c r="Q1229" s="29">
        <v>1500</v>
      </c>
      <c r="R1229" s="31">
        <v>45015</v>
      </c>
      <c r="S1229" s="31" t="s">
        <v>3121</v>
      </c>
      <c r="T1229" s="95" t="str">
        <f t="shared" si="100"/>
        <v>2023 03</v>
      </c>
      <c r="U1229" s="32">
        <f t="shared" si="97"/>
        <v>468.45000000000005</v>
      </c>
      <c r="V1229" s="22">
        <f t="shared" si="98"/>
        <v>0.45412243710920464</v>
      </c>
      <c r="X1229" s="33"/>
      <c r="Y1229" s="33"/>
    </row>
    <row r="1230" spans="1:25" x14ac:dyDescent="0.2">
      <c r="A1230" s="93" t="s">
        <v>559</v>
      </c>
      <c r="B1230" s="94">
        <f>IFERROR(VLOOKUP($A1230,HeadJournal!$A$1:$NTR$890,COLUMN(HeadJournal!B$1),0),"")</f>
        <v>0</v>
      </c>
      <c r="C1230" s="94" t="str">
        <f>IFERROR(VLOOKUP($A1230,HeadJournal!$A$1:$NTR$890,COLUMN(HeadJournal!C$1),0),"")</f>
        <v>OZON_AV</v>
      </c>
      <c r="D1230" s="125" t="str">
        <f>IFERROR(VLOOKUP($A1230,HeadJournal!$A$1:$NTR$890,COLUMN(HeadJournal!D$1),0),"")</f>
        <v>Доставлен</v>
      </c>
      <c r="E1230" s="95">
        <f>IFERROR(VLOOKUP($A1230,HeadJournal!$A$1:$NTR$890,COLUMN(HeadJournal!G$1),0),"")</f>
        <v>45001</v>
      </c>
      <c r="F1230" s="95" t="str">
        <f t="shared" si="99"/>
        <v>2023 03</v>
      </c>
      <c r="G1230" s="96" t="s">
        <v>6</v>
      </c>
      <c r="H1230" s="160" t="str">
        <f>RIGHT(Journal!$J1230,9)</f>
        <v>825481466</v>
      </c>
      <c r="I1230" s="96" t="str">
        <f t="shared" ref="I1230:I1293" si="101">IFERROR(LEFT(J1230,FIND(",",J1230)-1),"")</f>
        <v>SOUL WAY</v>
      </c>
      <c r="J1230" s="97" t="s">
        <v>562</v>
      </c>
      <c r="K1230" s="29">
        <v>598</v>
      </c>
      <c r="L1230" s="29"/>
      <c r="M1230" s="30">
        <f>IFERROR(VLOOKUP($A1230,HeadJournal!$A$1:$J$890,COLUMN(HeadJournal!I$1),0)*($K1230+$L1230)/(SUMIF($A:$A,$A1230,$K:$K)+SUMIF($A:$A,$A1230,$L:$L)),0)</f>
        <v>0</v>
      </c>
      <c r="N1230" s="30">
        <f>IFERROR((VLOOKUP($A1230,HeadJournal!$A$1:$K$890,COLUMN(HeadJournal!K$1),0)-VLOOKUP($A1230,HeadJournal!$A$1:$K$890,COLUMN(HeadJournal!J$1),0))*($K1230+$L1230)/(SUMIF($A:$A,$A1230,$K:$K)+SUMIF($A:$A,$A1230,$L:$L)),0)</f>
        <v>0</v>
      </c>
      <c r="O1230" s="30">
        <f>IFERROR((VLOOKUP($A1230,HeadJournal!$A$1:$L$890,COLUMN(HeadJournal!L$1),0)*($K1230+$L1230)/(SUMIF($A:$A,$A1230,$K:$K)+SUMIF($A:$A,$A1230,$L:$L)))/VLOOKUP($A1230,HeadJournal!$A$1:$L$890,COLUMN(HeadJournal!H$1),0),0)</f>
        <v>89.7</v>
      </c>
      <c r="P1230" s="30">
        <f>IFERROR(SUM(K1230:O1230)*VLOOKUP($A1230,HeadJournal!$A$1:$L$890,COLUMN(HeadJournal!H$1),0),0)</f>
        <v>687.7</v>
      </c>
      <c r="Q1230" s="29">
        <v>1300</v>
      </c>
      <c r="R1230" s="31">
        <v>45015</v>
      </c>
      <c r="S1230" s="31" t="s">
        <v>3121</v>
      </c>
      <c r="T1230" s="95" t="str">
        <f t="shared" si="100"/>
        <v>2023 03</v>
      </c>
      <c r="U1230" s="32">
        <f t="shared" si="97"/>
        <v>612.29999999999995</v>
      </c>
      <c r="V1230" s="22">
        <f t="shared" si="98"/>
        <v>0.89035916824196581</v>
      </c>
      <c r="X1230" s="33"/>
      <c r="Y1230" s="33"/>
    </row>
    <row r="1231" spans="1:25" x14ac:dyDescent="0.2">
      <c r="A1231" s="93" t="s">
        <v>559</v>
      </c>
      <c r="B1231" s="94">
        <f>IFERROR(VLOOKUP($A1231,HeadJournal!$A$1:$NTR$890,COLUMN(HeadJournal!B$1),0),"")</f>
        <v>0</v>
      </c>
      <c r="C1231" s="94" t="str">
        <f>IFERROR(VLOOKUP($A1231,HeadJournal!$A$1:$NTR$890,COLUMN(HeadJournal!C$1),0),"")</f>
        <v>OZON_AV</v>
      </c>
      <c r="D1231" s="125" t="str">
        <f>IFERROR(VLOOKUP($A1231,HeadJournal!$A$1:$NTR$890,COLUMN(HeadJournal!D$1),0),"")</f>
        <v>Доставлен</v>
      </c>
      <c r="E1231" s="95">
        <f>IFERROR(VLOOKUP($A1231,HeadJournal!$A$1:$NTR$890,COLUMN(HeadJournal!G$1),0),"")</f>
        <v>45001</v>
      </c>
      <c r="F1231" s="95" t="str">
        <f t="shared" si="99"/>
        <v>2023 03</v>
      </c>
      <c r="G1231" s="96" t="s">
        <v>6</v>
      </c>
      <c r="H1231" s="160" t="str">
        <f>RIGHT(Journal!$J1231,9)</f>
        <v>825481466</v>
      </c>
      <c r="I1231" s="96" t="str">
        <f t="shared" si="101"/>
        <v>SOUL WAY</v>
      </c>
      <c r="J1231" s="97" t="s">
        <v>562</v>
      </c>
      <c r="K1231" s="29">
        <v>598</v>
      </c>
      <c r="L1231" s="29"/>
      <c r="M1231" s="30">
        <f>IFERROR(VLOOKUP($A1231,HeadJournal!$A$1:$J$890,COLUMN(HeadJournal!I$1),0)*($K1231+$L1231)/(SUMIF($A:$A,$A1231,$K:$K)+SUMIF($A:$A,$A1231,$L:$L)),0)</f>
        <v>0</v>
      </c>
      <c r="N1231" s="30">
        <f>IFERROR((VLOOKUP($A1231,HeadJournal!$A$1:$K$890,COLUMN(HeadJournal!K$1),0)-VLOOKUP($A1231,HeadJournal!$A$1:$K$890,COLUMN(HeadJournal!J$1),0))*($K1231+$L1231)/(SUMIF($A:$A,$A1231,$K:$K)+SUMIF($A:$A,$A1231,$L:$L)),0)</f>
        <v>0</v>
      </c>
      <c r="O1231" s="30">
        <f>IFERROR((VLOOKUP($A1231,HeadJournal!$A$1:$L$890,COLUMN(HeadJournal!L$1),0)*($K1231+$L1231)/(SUMIF($A:$A,$A1231,$K:$K)+SUMIF($A:$A,$A1231,$L:$L)))/VLOOKUP($A1231,HeadJournal!$A$1:$L$890,COLUMN(HeadJournal!H$1),0),0)</f>
        <v>89.7</v>
      </c>
      <c r="P1231" s="30">
        <f>IFERROR(SUM(K1231:O1231)*VLOOKUP($A1231,HeadJournal!$A$1:$L$890,COLUMN(HeadJournal!H$1),0),0)</f>
        <v>687.7</v>
      </c>
      <c r="Q1231" s="29">
        <v>1300</v>
      </c>
      <c r="R1231" s="31">
        <v>45015</v>
      </c>
      <c r="S1231" s="31" t="s">
        <v>3121</v>
      </c>
      <c r="T1231" s="95" t="str">
        <f t="shared" si="100"/>
        <v>2023 03</v>
      </c>
      <c r="U1231" s="32">
        <f t="shared" si="97"/>
        <v>612.29999999999995</v>
      </c>
      <c r="V1231" s="22">
        <f t="shared" si="98"/>
        <v>0.89035916824196581</v>
      </c>
      <c r="X1231" s="33"/>
      <c r="Y1231" s="33"/>
    </row>
    <row r="1232" spans="1:25" x14ac:dyDescent="0.2">
      <c r="A1232" s="93" t="s">
        <v>563</v>
      </c>
      <c r="B1232" s="94">
        <f>IFERROR(VLOOKUP($A1232,HeadJournal!$A$1:$NTR$890,COLUMN(HeadJournal!B$1),0),"")</f>
        <v>0</v>
      </c>
      <c r="C1232" s="94" t="str">
        <f>IFERROR(VLOOKUP($A1232,HeadJournal!$A$1:$NTR$890,COLUMN(HeadJournal!C$1),0),"")</f>
        <v>OZON_AV</v>
      </c>
      <c r="D1232" s="125" t="str">
        <f>IFERROR(VLOOKUP($A1232,HeadJournal!$A$1:$NTR$890,COLUMN(HeadJournal!D$1),0),"")</f>
        <v>Доставлен</v>
      </c>
      <c r="E1232" s="95">
        <f>IFERROR(VLOOKUP($A1232,HeadJournal!$A$1:$NTR$890,COLUMN(HeadJournal!G$1),0),"")</f>
        <v>45004</v>
      </c>
      <c r="F1232" s="95" t="str">
        <f t="shared" si="99"/>
        <v>2023 03</v>
      </c>
      <c r="G1232" s="96" t="s">
        <v>5</v>
      </c>
      <c r="H1232" s="160" t="str">
        <f>RIGHT(Journal!$J1232,9)</f>
        <v>017919762</v>
      </c>
      <c r="I1232" s="96" t="str">
        <f t="shared" si="101"/>
        <v>Himalaya</v>
      </c>
      <c r="J1232" s="97" t="s">
        <v>227</v>
      </c>
      <c r="K1232" s="29">
        <v>338.33333333333331</v>
      </c>
      <c r="L1232" s="29"/>
      <c r="M1232" s="30">
        <f>IFERROR(VLOOKUP($A1232,HeadJournal!$A$1:$J$890,COLUMN(HeadJournal!I$1),0)*($K1232+$L1232)/(SUMIF($A:$A,$A1232,$K:$K)+SUMIF($A:$A,$A1232,$L:$L)),0)</f>
        <v>0</v>
      </c>
      <c r="N1232" s="30">
        <f>IFERROR((VLOOKUP($A1232,HeadJournal!$A$1:$K$890,COLUMN(HeadJournal!K$1),0)-VLOOKUP($A1232,HeadJournal!$A$1:$K$890,COLUMN(HeadJournal!J$1),0))*($K1232+$L1232)/(SUMIF($A:$A,$A1232,$K:$K)+SUMIF($A:$A,$A1232,$L:$L)),0)</f>
        <v>0</v>
      </c>
      <c r="O1232" s="30">
        <f>IFERROR((VLOOKUP($A1232,HeadJournal!$A$1:$L$890,COLUMN(HeadJournal!L$1),0)*($K1232+$L1232)/(SUMIF($A:$A,$A1232,$K:$K)+SUMIF($A:$A,$A1232,$L:$L)))/VLOOKUP($A1232,HeadJournal!$A$1:$L$890,COLUMN(HeadJournal!H$1),0),0)</f>
        <v>50.749999999999993</v>
      </c>
      <c r="P1232" s="30">
        <f>IFERROR(SUM(K1232:O1232)*VLOOKUP($A1232,HeadJournal!$A$1:$L$890,COLUMN(HeadJournal!H$1),0),0)</f>
        <v>389.08333333333331</v>
      </c>
      <c r="Q1232" s="29">
        <v>750</v>
      </c>
      <c r="R1232" s="31">
        <v>45042</v>
      </c>
      <c r="S1232" s="31" t="s">
        <v>3121</v>
      </c>
      <c r="T1232" s="95" t="str">
        <f t="shared" si="100"/>
        <v>2023 04</v>
      </c>
      <c r="U1232" s="32">
        <f t="shared" si="97"/>
        <v>360.91666666666669</v>
      </c>
      <c r="V1232" s="22">
        <f t="shared" si="98"/>
        <v>0.92760762475904912</v>
      </c>
      <c r="X1232" s="33"/>
      <c r="Y1232" s="33"/>
    </row>
    <row r="1233" spans="1:25" x14ac:dyDescent="0.2">
      <c r="A1233" s="93" t="s">
        <v>563</v>
      </c>
      <c r="B1233" s="94">
        <f>IFERROR(VLOOKUP($A1233,HeadJournal!$A$1:$NTR$890,COLUMN(HeadJournal!B$1),0),"")</f>
        <v>0</v>
      </c>
      <c r="C1233" s="94" t="str">
        <f>IFERROR(VLOOKUP($A1233,HeadJournal!$A$1:$NTR$890,COLUMN(HeadJournal!C$1),0),"")</f>
        <v>OZON_AV</v>
      </c>
      <c r="D1233" s="125" t="str">
        <f>IFERROR(VLOOKUP($A1233,HeadJournal!$A$1:$NTR$890,COLUMN(HeadJournal!D$1),0),"")</f>
        <v>Доставлен</v>
      </c>
      <c r="E1233" s="95">
        <f>IFERROR(VLOOKUP($A1233,HeadJournal!$A$1:$NTR$890,COLUMN(HeadJournal!G$1),0),"")</f>
        <v>45004</v>
      </c>
      <c r="F1233" s="95" t="str">
        <f t="shared" si="99"/>
        <v>2023 03</v>
      </c>
      <c r="G1233" s="96" t="s">
        <v>5</v>
      </c>
      <c r="H1233" s="160" t="str">
        <f>RIGHT(Journal!$J1233,9)</f>
        <v>017919762</v>
      </c>
      <c r="I1233" s="96" t="str">
        <f t="shared" si="101"/>
        <v>Himalaya</v>
      </c>
      <c r="J1233" s="97" t="s">
        <v>227</v>
      </c>
      <c r="K1233" s="29">
        <v>338.33333333333331</v>
      </c>
      <c r="L1233" s="29"/>
      <c r="M1233" s="30">
        <f>IFERROR(VLOOKUP($A1233,HeadJournal!$A$1:$J$890,COLUMN(HeadJournal!I$1),0)*($K1233+$L1233)/(SUMIF($A:$A,$A1233,$K:$K)+SUMIF($A:$A,$A1233,$L:$L)),0)</f>
        <v>0</v>
      </c>
      <c r="N1233" s="30">
        <f>IFERROR((VLOOKUP($A1233,HeadJournal!$A$1:$K$890,COLUMN(HeadJournal!K$1),0)-VLOOKUP($A1233,HeadJournal!$A$1:$K$890,COLUMN(HeadJournal!J$1),0))*($K1233+$L1233)/(SUMIF($A:$A,$A1233,$K:$K)+SUMIF($A:$A,$A1233,$L:$L)),0)</f>
        <v>0</v>
      </c>
      <c r="O1233" s="30">
        <f>IFERROR((VLOOKUP($A1233,HeadJournal!$A$1:$L$890,COLUMN(HeadJournal!L$1),0)*($K1233+$L1233)/(SUMIF($A:$A,$A1233,$K:$K)+SUMIF($A:$A,$A1233,$L:$L)))/VLOOKUP($A1233,HeadJournal!$A$1:$L$890,COLUMN(HeadJournal!H$1),0),0)</f>
        <v>50.749999999999993</v>
      </c>
      <c r="P1233" s="30">
        <f>IFERROR(SUM(K1233:O1233)*VLOOKUP($A1233,HeadJournal!$A$1:$L$890,COLUMN(HeadJournal!H$1),0),0)</f>
        <v>389.08333333333331</v>
      </c>
      <c r="Q1233" s="29">
        <v>700</v>
      </c>
      <c r="R1233" s="31">
        <v>45142</v>
      </c>
      <c r="S1233" s="31" t="s">
        <v>3121</v>
      </c>
      <c r="T1233" s="95" t="str">
        <f t="shared" si="100"/>
        <v>2023 08</v>
      </c>
      <c r="U1233" s="32">
        <f t="shared" si="97"/>
        <v>310.91666666666669</v>
      </c>
      <c r="V1233" s="22">
        <f t="shared" si="98"/>
        <v>0.79910044977511252</v>
      </c>
      <c r="X1233" s="33"/>
      <c r="Y1233" s="33"/>
    </row>
    <row r="1234" spans="1:25" x14ac:dyDescent="0.2">
      <c r="A1234" s="93" t="s">
        <v>563</v>
      </c>
      <c r="B1234" s="94">
        <f>IFERROR(VLOOKUP($A1234,HeadJournal!$A$1:$NTR$890,COLUMN(HeadJournal!B$1),0),"")</f>
        <v>0</v>
      </c>
      <c r="C1234" s="94" t="str">
        <f>IFERROR(VLOOKUP($A1234,HeadJournal!$A$1:$NTR$890,COLUMN(HeadJournal!C$1),0),"")</f>
        <v>OZON_AV</v>
      </c>
      <c r="D1234" s="125" t="str">
        <f>IFERROR(VLOOKUP($A1234,HeadJournal!$A$1:$NTR$890,COLUMN(HeadJournal!D$1),0),"")</f>
        <v>Доставлен</v>
      </c>
      <c r="E1234" s="95">
        <f>IFERROR(VLOOKUP($A1234,HeadJournal!$A$1:$NTR$890,COLUMN(HeadJournal!G$1),0),"")</f>
        <v>45004</v>
      </c>
      <c r="F1234" s="95" t="str">
        <f t="shared" si="99"/>
        <v>2023 03</v>
      </c>
      <c r="G1234" s="96" t="s">
        <v>5</v>
      </c>
      <c r="H1234" s="160" t="str">
        <f>RIGHT(Journal!$J1234,9)</f>
        <v>017919762</v>
      </c>
      <c r="I1234" s="96" t="str">
        <f t="shared" si="101"/>
        <v>Himalaya</v>
      </c>
      <c r="J1234" s="97" t="s">
        <v>227</v>
      </c>
      <c r="K1234" s="29">
        <v>338.33333333333331</v>
      </c>
      <c r="L1234" s="29"/>
      <c r="M1234" s="30">
        <f>IFERROR(VLOOKUP($A1234,HeadJournal!$A$1:$J$890,COLUMN(HeadJournal!I$1),0)*($K1234+$L1234)/(SUMIF($A:$A,$A1234,$K:$K)+SUMIF($A:$A,$A1234,$L:$L)),0)</f>
        <v>0</v>
      </c>
      <c r="N1234" s="30">
        <f>IFERROR((VLOOKUP($A1234,HeadJournal!$A$1:$K$890,COLUMN(HeadJournal!K$1),0)-VLOOKUP($A1234,HeadJournal!$A$1:$K$890,COLUMN(HeadJournal!J$1),0))*($K1234+$L1234)/(SUMIF($A:$A,$A1234,$K:$K)+SUMIF($A:$A,$A1234,$L:$L)),0)</f>
        <v>0</v>
      </c>
      <c r="O1234" s="30">
        <f>IFERROR((VLOOKUP($A1234,HeadJournal!$A$1:$L$890,COLUMN(HeadJournal!L$1),0)*($K1234+$L1234)/(SUMIF($A:$A,$A1234,$K:$K)+SUMIF($A:$A,$A1234,$L:$L)))/VLOOKUP($A1234,HeadJournal!$A$1:$L$890,COLUMN(HeadJournal!H$1),0),0)</f>
        <v>50.749999999999993</v>
      </c>
      <c r="P1234" s="30">
        <f>IFERROR(SUM(K1234:O1234)*VLOOKUP($A1234,HeadJournal!$A$1:$L$890,COLUMN(HeadJournal!H$1),0),0)</f>
        <v>389.08333333333331</v>
      </c>
      <c r="Q1234" s="29"/>
      <c r="R1234" s="31"/>
      <c r="S1234" s="31"/>
      <c r="T1234" s="95" t="str">
        <f t="shared" si="100"/>
        <v/>
      </c>
      <c r="U1234" s="32">
        <f t="shared" si="97"/>
        <v>-389.08333333333331</v>
      </c>
      <c r="V1234" s="22" t="str">
        <f t="shared" si="98"/>
        <v/>
      </c>
      <c r="X1234" s="33"/>
      <c r="Y1234" s="33"/>
    </row>
    <row r="1235" spans="1:25" x14ac:dyDescent="0.2">
      <c r="A1235" s="93" t="s">
        <v>563</v>
      </c>
      <c r="B1235" s="94">
        <f>IFERROR(VLOOKUP($A1235,HeadJournal!$A$1:$NTR$890,COLUMN(HeadJournal!B$1),0),"")</f>
        <v>0</v>
      </c>
      <c r="C1235" s="94" t="str">
        <f>IFERROR(VLOOKUP($A1235,HeadJournal!$A$1:$NTR$890,COLUMN(HeadJournal!C$1),0),"")</f>
        <v>OZON_AV</v>
      </c>
      <c r="D1235" s="125" t="str">
        <f>IFERROR(VLOOKUP($A1235,HeadJournal!$A$1:$NTR$890,COLUMN(HeadJournal!D$1),0),"")</f>
        <v>Доставлен</v>
      </c>
      <c r="E1235" s="95">
        <f>IFERROR(VLOOKUP($A1235,HeadJournal!$A$1:$NTR$890,COLUMN(HeadJournal!G$1),0),"")</f>
        <v>45004</v>
      </c>
      <c r="F1235" s="95" t="str">
        <f t="shared" si="99"/>
        <v>2023 03</v>
      </c>
      <c r="G1235" s="96" t="s">
        <v>5</v>
      </c>
      <c r="H1235" s="160" t="str">
        <f>RIGHT(Journal!$J1235,9)</f>
        <v>818224809</v>
      </c>
      <c r="I1235" s="96" t="str">
        <f t="shared" si="101"/>
        <v>Himalaya</v>
      </c>
      <c r="J1235" s="97" t="s">
        <v>564</v>
      </c>
      <c r="K1235" s="29">
        <v>368</v>
      </c>
      <c r="L1235" s="29"/>
      <c r="M1235" s="30">
        <f>IFERROR(VLOOKUP($A1235,HeadJournal!$A$1:$J$890,COLUMN(HeadJournal!I$1),0)*($K1235+$L1235)/(SUMIF($A:$A,$A1235,$K:$K)+SUMIF($A:$A,$A1235,$L:$L)),0)</f>
        <v>0</v>
      </c>
      <c r="N1235" s="30">
        <f>IFERROR((VLOOKUP($A1235,HeadJournal!$A$1:$K$890,COLUMN(HeadJournal!K$1),0)-VLOOKUP($A1235,HeadJournal!$A$1:$K$890,COLUMN(HeadJournal!J$1),0))*($K1235+$L1235)/(SUMIF($A:$A,$A1235,$K:$K)+SUMIF($A:$A,$A1235,$L:$L)),0)</f>
        <v>0</v>
      </c>
      <c r="O1235" s="30">
        <f>IFERROR((VLOOKUP($A1235,HeadJournal!$A$1:$L$890,COLUMN(HeadJournal!L$1),0)*($K1235+$L1235)/(SUMIF($A:$A,$A1235,$K:$K)+SUMIF($A:$A,$A1235,$L:$L)))/VLOOKUP($A1235,HeadJournal!$A$1:$L$890,COLUMN(HeadJournal!H$1),0),0)</f>
        <v>55.199999999999996</v>
      </c>
      <c r="P1235" s="30">
        <f>IFERROR(SUM(K1235:O1235)*VLOOKUP($A1235,HeadJournal!$A$1:$L$890,COLUMN(HeadJournal!H$1),0),0)</f>
        <v>423.2</v>
      </c>
      <c r="Q1235" s="29">
        <v>800</v>
      </c>
      <c r="R1235" s="31">
        <v>45014</v>
      </c>
      <c r="S1235" s="31" t="s">
        <v>3121</v>
      </c>
      <c r="T1235" s="95" t="str">
        <f t="shared" si="100"/>
        <v>2023 03</v>
      </c>
      <c r="U1235" s="32">
        <f t="shared" si="97"/>
        <v>376.8</v>
      </c>
      <c r="V1235" s="22">
        <f t="shared" si="98"/>
        <v>0.89035916824196604</v>
      </c>
      <c r="X1235" s="33"/>
      <c r="Y1235" s="33"/>
    </row>
    <row r="1236" spans="1:25" x14ac:dyDescent="0.2">
      <c r="A1236" s="93" t="s">
        <v>565</v>
      </c>
      <c r="B1236" s="94">
        <f>IFERROR(VLOOKUP($A1236,HeadJournal!$A$1:$NTR$890,COLUMN(HeadJournal!B$1),0),"")</f>
        <v>0</v>
      </c>
      <c r="C1236" s="94" t="str">
        <f>IFERROR(VLOOKUP($A1236,HeadJournal!$A$1:$NTR$890,COLUMN(HeadJournal!C$1),0),"")</f>
        <v>CoralClub_AV</v>
      </c>
      <c r="D1236" s="125" t="str">
        <f>IFERROR(VLOOKUP($A1236,HeadJournal!$A$1:$NTR$890,COLUMN(HeadJournal!D$1),0),"")</f>
        <v>Доставлен</v>
      </c>
      <c r="E1236" s="95">
        <f>IFERROR(VLOOKUP($A1236,HeadJournal!$A$1:$NTR$890,COLUMN(HeadJournal!G$1),0),"")</f>
        <v>45006</v>
      </c>
      <c r="F1236" s="95" t="str">
        <f t="shared" si="99"/>
        <v>2023 03</v>
      </c>
      <c r="G1236" s="96" t="s">
        <v>5</v>
      </c>
      <c r="H1236" s="160" t="str">
        <f>RIGHT(Journal!$J1236,9)</f>
        <v>000091859</v>
      </c>
      <c r="I1236" s="96" t="str">
        <f t="shared" si="101"/>
        <v>CoralClub</v>
      </c>
      <c r="J1236" s="97" t="s">
        <v>566</v>
      </c>
      <c r="K1236" s="29">
        <v>1491</v>
      </c>
      <c r="L1236" s="29"/>
      <c r="M1236" s="30">
        <f>IFERROR(VLOOKUP($A1236,HeadJournal!$A$1:$J$890,COLUMN(HeadJournal!I$1),0)*($K1236+$L1236)/(SUMIF($A:$A,$A1236,$K:$K)+SUMIF($A:$A,$A1236,$L:$L)),0)</f>
        <v>0</v>
      </c>
      <c r="N1236" s="30">
        <f>IFERROR((VLOOKUP($A1236,HeadJournal!$A$1:$K$890,COLUMN(HeadJournal!K$1),0)-VLOOKUP($A1236,HeadJournal!$A$1:$K$890,COLUMN(HeadJournal!J$1),0))*($K1236+$L1236)/(SUMIF($A:$A,$A1236,$K:$K)+SUMIF($A:$A,$A1236,$L:$L)),0)</f>
        <v>13.30813953488372</v>
      </c>
      <c r="O1236" s="30">
        <f>IFERROR((VLOOKUP($A1236,HeadJournal!$A$1:$L$890,COLUMN(HeadJournal!L$1),0)*($K1236+$L1236)/(SUMIF($A:$A,$A1236,$K:$K)+SUMIF($A:$A,$A1236,$L:$L)))/VLOOKUP($A1236,HeadJournal!$A$1:$L$890,COLUMN(HeadJournal!H$1),0),0)</f>
        <v>0</v>
      </c>
      <c r="P1236" s="30">
        <f>IFERROR(SUM(K1236:O1236)*VLOOKUP($A1236,HeadJournal!$A$1:$L$890,COLUMN(HeadJournal!H$1),0),0)</f>
        <v>1504.3081395348838</v>
      </c>
      <c r="Q1236" s="29">
        <v>1504.31</v>
      </c>
      <c r="R1236" s="31">
        <v>45006</v>
      </c>
      <c r="S1236" s="31" t="s">
        <v>3121</v>
      </c>
      <c r="T1236" s="95" t="str">
        <f t="shared" si="100"/>
        <v>2023 03</v>
      </c>
      <c r="U1236" s="32">
        <f t="shared" si="97"/>
        <v>1.8604651161240326E-3</v>
      </c>
      <c r="V1236" s="22">
        <f t="shared" si="98"/>
        <v>1.236757993411688E-6</v>
      </c>
      <c r="X1236" s="33"/>
      <c r="Y1236" s="33"/>
    </row>
    <row r="1237" spans="1:25" x14ac:dyDescent="0.2">
      <c r="A1237" s="93" t="s">
        <v>565</v>
      </c>
      <c r="B1237" s="94">
        <f>IFERROR(VLOOKUP($A1237,HeadJournal!$A$1:$NTR$890,COLUMN(HeadJournal!B$1),0),"")</f>
        <v>0</v>
      </c>
      <c r="C1237" s="94" t="str">
        <f>IFERROR(VLOOKUP($A1237,HeadJournal!$A$1:$NTR$890,COLUMN(HeadJournal!C$1),0),"")</f>
        <v>CoralClub_AV</v>
      </c>
      <c r="D1237" s="125" t="str">
        <f>IFERROR(VLOOKUP($A1237,HeadJournal!$A$1:$NTR$890,COLUMN(HeadJournal!D$1),0),"")</f>
        <v>Доставлен</v>
      </c>
      <c r="E1237" s="95">
        <f>IFERROR(VLOOKUP($A1237,HeadJournal!$A$1:$NTR$890,COLUMN(HeadJournal!G$1),0),"")</f>
        <v>45006</v>
      </c>
      <c r="F1237" s="95" t="str">
        <f t="shared" si="99"/>
        <v>2023 03</v>
      </c>
      <c r="G1237" s="96" t="s">
        <v>5</v>
      </c>
      <c r="H1237" s="160" t="str">
        <f>RIGHT(Journal!$J1237,9)</f>
        <v>000091643</v>
      </c>
      <c r="I1237" s="96" t="str">
        <f t="shared" si="101"/>
        <v>CoralClub</v>
      </c>
      <c r="J1237" s="97" t="s">
        <v>567</v>
      </c>
      <c r="K1237" s="29">
        <v>781</v>
      </c>
      <c r="L1237" s="29"/>
      <c r="M1237" s="30">
        <f>IFERROR(VLOOKUP($A1237,HeadJournal!$A$1:$J$890,COLUMN(HeadJournal!I$1),0)*($K1237+$L1237)/(SUMIF($A:$A,$A1237,$K:$K)+SUMIF($A:$A,$A1237,$L:$L)),0)</f>
        <v>0</v>
      </c>
      <c r="N1237" s="30">
        <f>IFERROR((VLOOKUP($A1237,HeadJournal!$A$1:$K$890,COLUMN(HeadJournal!K$1),0)-VLOOKUP($A1237,HeadJournal!$A$1:$K$890,COLUMN(HeadJournal!J$1),0))*($K1237+$L1237)/(SUMIF($A:$A,$A1237,$K:$K)+SUMIF($A:$A,$A1237,$L:$L)),0)</f>
        <v>6.9709302325581399</v>
      </c>
      <c r="O1237" s="30">
        <f>IFERROR((VLOOKUP($A1237,HeadJournal!$A$1:$L$890,COLUMN(HeadJournal!L$1),0)*($K1237+$L1237)/(SUMIF($A:$A,$A1237,$K:$K)+SUMIF($A:$A,$A1237,$L:$L)))/VLOOKUP($A1237,HeadJournal!$A$1:$L$890,COLUMN(HeadJournal!H$1),0),0)</f>
        <v>0</v>
      </c>
      <c r="P1237" s="30">
        <f>IFERROR(SUM(K1237:O1237)*VLOOKUP($A1237,HeadJournal!$A$1:$L$890,COLUMN(HeadJournal!H$1),0),0)</f>
        <v>787.97093023255809</v>
      </c>
      <c r="Q1237" s="29">
        <v>1200</v>
      </c>
      <c r="R1237" s="31">
        <v>45347</v>
      </c>
      <c r="S1237" s="31" t="s">
        <v>3121</v>
      </c>
      <c r="T1237" s="95" t="str">
        <f t="shared" si="100"/>
        <v>2024 02</v>
      </c>
      <c r="U1237" s="32">
        <f t="shared" si="97"/>
        <v>412.02906976744191</v>
      </c>
      <c r="V1237" s="22">
        <f t="shared" si="98"/>
        <v>0.52289882019611755</v>
      </c>
      <c r="X1237" s="33"/>
      <c r="Y1237" s="33"/>
    </row>
    <row r="1238" spans="1:25" x14ac:dyDescent="0.2">
      <c r="A1238" s="93" t="s">
        <v>565</v>
      </c>
      <c r="B1238" s="94">
        <f>IFERROR(VLOOKUP($A1238,HeadJournal!$A$1:$NTR$890,COLUMN(HeadJournal!B$1),0),"")</f>
        <v>0</v>
      </c>
      <c r="C1238" s="94" t="str">
        <f>IFERROR(VLOOKUP($A1238,HeadJournal!$A$1:$NTR$890,COLUMN(HeadJournal!C$1),0),"")</f>
        <v>CoralClub_AV</v>
      </c>
      <c r="D1238" s="125" t="str">
        <f>IFERROR(VLOOKUP($A1238,HeadJournal!$A$1:$NTR$890,COLUMN(HeadJournal!D$1),0),"")</f>
        <v>Доставлен</v>
      </c>
      <c r="E1238" s="95">
        <f>IFERROR(VLOOKUP($A1238,HeadJournal!$A$1:$NTR$890,COLUMN(HeadJournal!G$1),0),"")</f>
        <v>45006</v>
      </c>
      <c r="F1238" s="95" t="str">
        <f t="shared" si="99"/>
        <v>2023 03</v>
      </c>
      <c r="G1238" s="96" t="s">
        <v>5</v>
      </c>
      <c r="H1238" s="160" t="str">
        <f>RIGHT(Journal!$J1238,9)</f>
        <v>000091643</v>
      </c>
      <c r="I1238" s="96" t="str">
        <f t="shared" si="101"/>
        <v>CoralClub</v>
      </c>
      <c r="J1238" s="97" t="s">
        <v>567</v>
      </c>
      <c r="K1238" s="29">
        <v>781</v>
      </c>
      <c r="L1238" s="29"/>
      <c r="M1238" s="30">
        <f>IFERROR(VLOOKUP($A1238,HeadJournal!$A$1:$J$890,COLUMN(HeadJournal!I$1),0)*($K1238+$L1238)/(SUMIF($A:$A,$A1238,$K:$K)+SUMIF($A:$A,$A1238,$L:$L)),0)</f>
        <v>0</v>
      </c>
      <c r="N1238" s="30">
        <f>IFERROR((VLOOKUP($A1238,HeadJournal!$A$1:$K$890,COLUMN(HeadJournal!K$1),0)-VLOOKUP($A1238,HeadJournal!$A$1:$K$890,COLUMN(HeadJournal!J$1),0))*($K1238+$L1238)/(SUMIF($A:$A,$A1238,$K:$K)+SUMIF($A:$A,$A1238,$L:$L)),0)</f>
        <v>6.9709302325581399</v>
      </c>
      <c r="O1238" s="30">
        <f>IFERROR((VLOOKUP($A1238,HeadJournal!$A$1:$L$890,COLUMN(HeadJournal!L$1),0)*($K1238+$L1238)/(SUMIF($A:$A,$A1238,$K:$K)+SUMIF($A:$A,$A1238,$L:$L)))/VLOOKUP($A1238,HeadJournal!$A$1:$L$890,COLUMN(HeadJournal!H$1),0),0)</f>
        <v>0</v>
      </c>
      <c r="P1238" s="30">
        <f>IFERROR(SUM(K1238:O1238)*VLOOKUP($A1238,HeadJournal!$A$1:$L$890,COLUMN(HeadJournal!H$1),0),0)</f>
        <v>787.97093023255809</v>
      </c>
      <c r="Q1238" s="29"/>
      <c r="R1238" s="31"/>
      <c r="S1238" s="31"/>
      <c r="T1238" s="95" t="str">
        <f t="shared" si="100"/>
        <v/>
      </c>
      <c r="U1238" s="32">
        <f t="shared" si="97"/>
        <v>-787.97093023255809</v>
      </c>
      <c r="V1238" s="22" t="str">
        <f t="shared" si="98"/>
        <v/>
      </c>
      <c r="X1238" s="33"/>
      <c r="Y1238" s="33"/>
    </row>
    <row r="1239" spans="1:25" x14ac:dyDescent="0.2">
      <c r="A1239" s="93" t="s">
        <v>568</v>
      </c>
      <c r="B1239" s="94">
        <f>IFERROR(VLOOKUP($A1239,HeadJournal!$A$1:$NTR$890,COLUMN(HeadJournal!B$1),0),"")</f>
        <v>0</v>
      </c>
      <c r="C1239" s="94" t="str">
        <f>IFERROR(VLOOKUP($A1239,HeadJournal!$A$1:$NTR$890,COLUMN(HeadJournal!C$1),0),"")</f>
        <v>CoralClub_OA</v>
      </c>
      <c r="D1239" s="125" t="str">
        <f>IFERROR(VLOOKUP($A1239,HeadJournal!$A$1:$NTR$890,COLUMN(HeadJournal!D$1),0),"")</f>
        <v>Доставлен</v>
      </c>
      <c r="E1239" s="95">
        <f>IFERROR(VLOOKUP($A1239,HeadJournal!$A$1:$NTR$890,COLUMN(HeadJournal!G$1),0),"")</f>
        <v>45006</v>
      </c>
      <c r="F1239" s="95" t="str">
        <f t="shared" si="99"/>
        <v>2023 03</v>
      </c>
      <c r="G1239" s="96" t="s">
        <v>5</v>
      </c>
      <c r="H1239" s="160" t="str">
        <f>RIGHT(Journal!$J1239,9)</f>
        <v>000216904</v>
      </c>
      <c r="I1239" s="96" t="str">
        <f t="shared" si="101"/>
        <v>CoralClub</v>
      </c>
      <c r="J1239" s="97" t="s">
        <v>569</v>
      </c>
      <c r="K1239" s="29">
        <v>4792.5</v>
      </c>
      <c r="L1239" s="29"/>
      <c r="M1239" s="30">
        <f>IFERROR(VLOOKUP($A1239,HeadJournal!$A$1:$J$890,COLUMN(HeadJournal!I$1),0)*($K1239+$L1239)/(SUMIF($A:$A,$A1239,$K:$K)+SUMIF($A:$A,$A1239,$L:$L)),0)</f>
        <v>0</v>
      </c>
      <c r="N1239" s="30">
        <f>IFERROR((VLOOKUP($A1239,HeadJournal!$A$1:$K$890,COLUMN(HeadJournal!K$1),0)-VLOOKUP($A1239,HeadJournal!$A$1:$K$890,COLUMN(HeadJournal!J$1),0))*($K1239+$L1239)/(SUMIF($A:$A,$A1239,$K:$K)+SUMIF($A:$A,$A1239,$L:$L)),0)</f>
        <v>27.25</v>
      </c>
      <c r="O1239" s="30">
        <f>IFERROR((VLOOKUP($A1239,HeadJournal!$A$1:$L$890,COLUMN(HeadJournal!L$1),0)*($K1239+$L1239)/(SUMIF($A:$A,$A1239,$K:$K)+SUMIF($A:$A,$A1239,$L:$L)))/VLOOKUP($A1239,HeadJournal!$A$1:$L$890,COLUMN(HeadJournal!H$1),0),0)</f>
        <v>0</v>
      </c>
      <c r="P1239" s="30">
        <f>IFERROR(SUM(K1239:O1239)*VLOOKUP($A1239,HeadJournal!$A$1:$L$890,COLUMN(HeadJournal!H$1),0),0)</f>
        <v>4819.75</v>
      </c>
      <c r="Q1239" s="29"/>
      <c r="R1239" s="31"/>
      <c r="S1239" s="31"/>
      <c r="T1239" s="95" t="str">
        <f t="shared" si="100"/>
        <v/>
      </c>
      <c r="U1239" s="32">
        <f t="shared" si="97"/>
        <v>-4819.75</v>
      </c>
      <c r="V1239" s="22" t="str">
        <f t="shared" si="98"/>
        <v/>
      </c>
      <c r="X1239" s="33"/>
      <c r="Y1239" s="33"/>
    </row>
    <row r="1240" spans="1:25" x14ac:dyDescent="0.2">
      <c r="A1240" s="93" t="s">
        <v>570</v>
      </c>
      <c r="B1240" s="94" t="str">
        <f>IFERROR(VLOOKUP($A1240,HeadJournal!$A$1:$NTR$890,COLUMN(HeadJournal!B$1),0),"")</f>
        <v>710000681685</v>
      </c>
      <c r="C1240" s="94" t="str">
        <f>IFERROR(VLOOKUP($A1240,HeadJournal!$A$1:$NTR$890,COLUMN(HeadJournal!C$1),0),"")</f>
        <v>iHerb_AV CYG0792</v>
      </c>
      <c r="D1240" s="125" t="str">
        <f>IFERROR(VLOOKUP($A1240,HeadJournal!$A$1:$NTR$890,COLUMN(HeadJournal!D$1),0),"")</f>
        <v>Доставлен</v>
      </c>
      <c r="E1240" s="95">
        <f>IFERROR(VLOOKUP($A1240,HeadJournal!$A$1:$NTR$890,COLUMN(HeadJournal!G$1),0),"")</f>
        <v>45000</v>
      </c>
      <c r="F1240" s="95" t="str">
        <f t="shared" si="99"/>
        <v>2023 03</v>
      </c>
      <c r="G1240" s="96" t="s">
        <v>5</v>
      </c>
      <c r="H1240" s="161" t="s">
        <v>2223</v>
      </c>
      <c r="I1240" s="97" t="s">
        <v>2008</v>
      </c>
      <c r="J1240" s="97" t="s">
        <v>2224</v>
      </c>
      <c r="K1240" s="29">
        <v>10.23</v>
      </c>
      <c r="L1240" s="29">
        <v>-1.5333333333333332</v>
      </c>
      <c r="M1240" s="30">
        <f>IFERROR(VLOOKUP($A1240,HeadJournal!$A$1:$J$890,COLUMN(HeadJournal!I$1),0)*($K1240+$L1240)/(SUMIF($A:$A,$A1240,$K:$K)+SUMIF($A:$A,$A1240,$L:$L)),0)</f>
        <v>0.74730328983143013</v>
      </c>
      <c r="N1240" s="30">
        <f>IFERROR((VLOOKUP($A1240,HeadJournal!$A$1:$K$890,COLUMN(HeadJournal!K$1),0)-VLOOKUP($A1240,HeadJournal!$A$1:$K$890,COLUMN(HeadJournal!J$1),0))*($K1240+$L1240)/(SUMIF($A:$A,$A1240,$K:$K)+SUMIF($A:$A,$A1240,$L:$L)),0)</f>
        <v>-2.0161022268603602E-15</v>
      </c>
      <c r="O1240" s="30">
        <f>IFERROR((VLOOKUP($A1240,HeadJournal!$A$1:$L$890,COLUMN(HeadJournal!L$1),0)*($K1240+$L1240)/(SUMIF($A:$A,$A1240,$K:$K)+SUMIF($A:$A,$A1240,$L:$L)))/VLOOKUP($A1240,HeadJournal!$A$1:$L$890,COLUMN(HeadJournal!H$1),0),0)</f>
        <v>0.28217324087160428</v>
      </c>
      <c r="P1240" s="30">
        <f>IFERROR(SUM(K1240:O1240)*VLOOKUP($A1240,HeadJournal!$A$1:$L$890,COLUMN(HeadJournal!H$1),0),0)</f>
        <v>817.14688662316462</v>
      </c>
      <c r="Q1240" s="29">
        <v>1700</v>
      </c>
      <c r="R1240" s="31">
        <v>45048</v>
      </c>
      <c r="S1240" s="31" t="s">
        <v>3121</v>
      </c>
      <c r="T1240" s="95" t="str">
        <f t="shared" si="100"/>
        <v>2023 05</v>
      </c>
      <c r="U1240" s="32">
        <f t="shared" si="97"/>
        <v>882.85311337683538</v>
      </c>
      <c r="V1240" s="22">
        <f t="shared" si="98"/>
        <v>1.0804093215421768</v>
      </c>
      <c r="X1240" s="33"/>
      <c r="Y1240" s="33"/>
    </row>
    <row r="1241" spans="1:25" x14ac:dyDescent="0.2">
      <c r="A1241" s="93" t="s">
        <v>570</v>
      </c>
      <c r="B1241" s="94" t="str">
        <f>IFERROR(VLOOKUP($A1241,HeadJournal!$A$1:$NTR$890,COLUMN(HeadJournal!B$1),0),"")</f>
        <v>710000681685</v>
      </c>
      <c r="C1241" s="94" t="str">
        <f>IFERROR(VLOOKUP($A1241,HeadJournal!$A$1:$NTR$890,COLUMN(HeadJournal!C$1),0),"")</f>
        <v>iHerb_AV CYG0792</v>
      </c>
      <c r="D1241" s="125" t="str">
        <f>IFERROR(VLOOKUP($A1241,HeadJournal!$A$1:$NTR$890,COLUMN(HeadJournal!D$1),0),"")</f>
        <v>Доставлен</v>
      </c>
      <c r="E1241" s="95">
        <f>IFERROR(VLOOKUP($A1241,HeadJournal!$A$1:$NTR$890,COLUMN(HeadJournal!G$1),0),"")</f>
        <v>45000</v>
      </c>
      <c r="F1241" s="95" t="str">
        <f t="shared" si="99"/>
        <v>2023 03</v>
      </c>
      <c r="G1241" s="96" t="s">
        <v>5</v>
      </c>
      <c r="H1241" s="161" t="s">
        <v>2223</v>
      </c>
      <c r="I1241" s="97" t="s">
        <v>2008</v>
      </c>
      <c r="J1241" s="97" t="s">
        <v>2224</v>
      </c>
      <c r="K1241" s="29">
        <v>10.23</v>
      </c>
      <c r="L1241" s="29">
        <v>-1.5333333333333332</v>
      </c>
      <c r="M1241" s="30">
        <f>IFERROR(VLOOKUP($A1241,HeadJournal!$A$1:$J$890,COLUMN(HeadJournal!I$1),0)*($K1241+$L1241)/(SUMIF($A:$A,$A1241,$K:$K)+SUMIF($A:$A,$A1241,$L:$L)),0)</f>
        <v>0.74730328983143013</v>
      </c>
      <c r="N1241" s="30">
        <f>IFERROR((VLOOKUP($A1241,HeadJournal!$A$1:$K$890,COLUMN(HeadJournal!K$1),0)-VLOOKUP($A1241,HeadJournal!$A$1:$K$890,COLUMN(HeadJournal!J$1),0))*($K1241+$L1241)/(SUMIF($A:$A,$A1241,$K:$K)+SUMIF($A:$A,$A1241,$L:$L)),0)</f>
        <v>-2.0161022268603602E-15</v>
      </c>
      <c r="O1241" s="30">
        <f>IFERROR((VLOOKUP($A1241,HeadJournal!$A$1:$L$890,COLUMN(HeadJournal!L$1),0)*($K1241+$L1241)/(SUMIF($A:$A,$A1241,$K:$K)+SUMIF($A:$A,$A1241,$L:$L)))/VLOOKUP($A1241,HeadJournal!$A$1:$L$890,COLUMN(HeadJournal!H$1),0),0)</f>
        <v>0.28217324087160428</v>
      </c>
      <c r="P1241" s="30">
        <f>IFERROR(SUM(K1241:O1241)*VLOOKUP($A1241,HeadJournal!$A$1:$L$890,COLUMN(HeadJournal!H$1),0),0)</f>
        <v>817.14688662316462</v>
      </c>
      <c r="Q1241" s="29">
        <v>817.15</v>
      </c>
      <c r="R1241" s="31">
        <v>45046</v>
      </c>
      <c r="S1241" s="31" t="s">
        <v>3121</v>
      </c>
      <c r="T1241" s="95" t="str">
        <f t="shared" si="100"/>
        <v>2023 04</v>
      </c>
      <c r="U1241" s="32">
        <f t="shared" si="97"/>
        <v>3.1133768353583946E-3</v>
      </c>
      <c r="V1241" s="22">
        <f t="shared" si="98"/>
        <v>3.8100577586782867E-6</v>
      </c>
      <c r="X1241" s="33"/>
      <c r="Y1241" s="33"/>
    </row>
    <row r="1242" spans="1:25" x14ac:dyDescent="0.2">
      <c r="A1242" s="93" t="s">
        <v>570</v>
      </c>
      <c r="B1242" s="94" t="str">
        <f>IFERROR(VLOOKUP($A1242,HeadJournal!$A$1:$NTR$890,COLUMN(HeadJournal!B$1),0),"")</f>
        <v>710000681685</v>
      </c>
      <c r="C1242" s="94" t="str">
        <f>IFERROR(VLOOKUP($A1242,HeadJournal!$A$1:$NTR$890,COLUMN(HeadJournal!C$1),0),"")</f>
        <v>iHerb_AV CYG0792</v>
      </c>
      <c r="D1242" s="125" t="str">
        <f>IFERROR(VLOOKUP($A1242,HeadJournal!$A$1:$NTR$890,COLUMN(HeadJournal!D$1),0),"")</f>
        <v>Доставлен</v>
      </c>
      <c r="E1242" s="95">
        <f>IFERROR(VLOOKUP($A1242,HeadJournal!$A$1:$NTR$890,COLUMN(HeadJournal!G$1),0),"")</f>
        <v>45000</v>
      </c>
      <c r="F1242" s="95" t="str">
        <f t="shared" si="99"/>
        <v>2023 03</v>
      </c>
      <c r="G1242" s="96" t="s">
        <v>5</v>
      </c>
      <c r="H1242" s="161" t="s">
        <v>2223</v>
      </c>
      <c r="I1242" s="97" t="s">
        <v>2008</v>
      </c>
      <c r="J1242" s="97" t="s">
        <v>2224</v>
      </c>
      <c r="K1242" s="29">
        <v>10.23</v>
      </c>
      <c r="L1242" s="29">
        <v>-1.5333333333333332</v>
      </c>
      <c r="M1242" s="30">
        <f>IFERROR(VLOOKUP($A1242,HeadJournal!$A$1:$J$890,COLUMN(HeadJournal!I$1),0)*($K1242+$L1242)/(SUMIF($A:$A,$A1242,$K:$K)+SUMIF($A:$A,$A1242,$L:$L)),0)</f>
        <v>0.74730328983143013</v>
      </c>
      <c r="N1242" s="30">
        <f>IFERROR((VLOOKUP($A1242,HeadJournal!$A$1:$K$890,COLUMN(HeadJournal!K$1),0)-VLOOKUP($A1242,HeadJournal!$A$1:$K$890,COLUMN(HeadJournal!J$1),0))*($K1242+$L1242)/(SUMIF($A:$A,$A1242,$K:$K)+SUMIF($A:$A,$A1242,$L:$L)),0)</f>
        <v>-2.0161022268603602E-15</v>
      </c>
      <c r="O1242" s="30">
        <f>IFERROR((VLOOKUP($A1242,HeadJournal!$A$1:$L$890,COLUMN(HeadJournal!L$1),0)*($K1242+$L1242)/(SUMIF($A:$A,$A1242,$K:$K)+SUMIF($A:$A,$A1242,$L:$L)))/VLOOKUP($A1242,HeadJournal!$A$1:$L$890,COLUMN(HeadJournal!H$1),0),0)</f>
        <v>0.28217324087160428</v>
      </c>
      <c r="P1242" s="30">
        <f>IFERROR(SUM(K1242:O1242)*VLOOKUP($A1242,HeadJournal!$A$1:$L$890,COLUMN(HeadJournal!H$1),0),0)</f>
        <v>817.14688662316462</v>
      </c>
      <c r="Q1242" s="29">
        <v>1700</v>
      </c>
      <c r="R1242" s="31">
        <v>45052</v>
      </c>
      <c r="S1242" s="31" t="s">
        <v>3121</v>
      </c>
      <c r="T1242" s="95" t="str">
        <f t="shared" si="100"/>
        <v>2023 05</v>
      </c>
      <c r="U1242" s="32">
        <f t="shared" si="97"/>
        <v>882.85311337683538</v>
      </c>
      <c r="V1242" s="22">
        <f t="shared" si="98"/>
        <v>1.0804093215421768</v>
      </c>
      <c r="X1242" s="33"/>
      <c r="Y1242" s="33"/>
    </row>
    <row r="1243" spans="1:25" x14ac:dyDescent="0.2">
      <c r="A1243" s="93" t="s">
        <v>570</v>
      </c>
      <c r="B1243" s="94" t="str">
        <f>IFERROR(VLOOKUP($A1243,HeadJournal!$A$1:$NTR$890,COLUMN(HeadJournal!B$1),0),"")</f>
        <v>710000681685</v>
      </c>
      <c r="C1243" s="94" t="str">
        <f>IFERROR(VLOOKUP($A1243,HeadJournal!$A$1:$NTR$890,COLUMN(HeadJournal!C$1),0),"")</f>
        <v>iHerb_AV CYG0792</v>
      </c>
      <c r="D1243" s="125" t="str">
        <f>IFERROR(VLOOKUP($A1243,HeadJournal!$A$1:$NTR$890,COLUMN(HeadJournal!D$1),0),"")</f>
        <v>Доставлен</v>
      </c>
      <c r="E1243" s="95">
        <f>IFERROR(VLOOKUP($A1243,HeadJournal!$A$1:$NTR$890,COLUMN(HeadJournal!G$1),0),"")</f>
        <v>45000</v>
      </c>
      <c r="F1243" s="95" t="str">
        <f t="shared" si="99"/>
        <v>2023 03</v>
      </c>
      <c r="G1243" s="96" t="s">
        <v>5</v>
      </c>
      <c r="H1243" s="161" t="s">
        <v>2832</v>
      </c>
      <c r="I1243" s="97" t="s">
        <v>2005</v>
      </c>
      <c r="J1243" s="97" t="s">
        <v>2833</v>
      </c>
      <c r="K1243" s="29">
        <v>14.1</v>
      </c>
      <c r="L1243" s="29">
        <v>-2.1166666666666667</v>
      </c>
      <c r="M1243" s="30">
        <f>IFERROR(VLOOKUP($A1243,HeadJournal!$A$1:$J$890,COLUMN(HeadJournal!I$1),0)*($K1243+$L1243)/(SUMIF($A:$A,$A1243,$K:$K)+SUMIF($A:$A,$A1243,$L:$L)),0)</f>
        <v>1.0297260739532352</v>
      </c>
      <c r="N1243" s="30">
        <f>IFERROR((VLOOKUP($A1243,HeadJournal!$A$1:$K$890,COLUMN(HeadJournal!K$1),0)-VLOOKUP($A1243,HeadJournal!$A$1:$K$890,COLUMN(HeadJournal!J$1),0))*($K1243+$L1243)/(SUMIF($A:$A,$A1243,$K:$K)+SUMIF($A:$A,$A1243,$L:$L)),0)</f>
        <v>-2.7780327733089281E-15</v>
      </c>
      <c r="O1243" s="30">
        <f>IFERROR((VLOOKUP($A1243,HeadJournal!$A$1:$L$890,COLUMN(HeadJournal!L$1),0)*($K1243+$L1243)/(SUMIF($A:$A,$A1243,$K:$K)+SUMIF($A:$A,$A1243,$L:$L)))/VLOOKUP($A1243,HeadJournal!$A$1:$L$890,COLUMN(HeadJournal!H$1),0),0)</f>
        <v>0.38881287885527682</v>
      </c>
      <c r="P1243" s="30">
        <f>IFERROR(SUM(K1243:O1243)*VLOOKUP($A1243,HeadJournal!$A$1:$L$890,COLUMN(HeadJournal!H$1),0),0)</f>
        <v>1125.9651427406193</v>
      </c>
      <c r="Q1243" s="29">
        <v>1800</v>
      </c>
      <c r="R1243" s="31">
        <v>45353</v>
      </c>
      <c r="S1243" s="31" t="s">
        <v>3121</v>
      </c>
      <c r="T1243" s="95" t="str">
        <f t="shared" si="100"/>
        <v>2024 03</v>
      </c>
      <c r="U1243" s="32">
        <f t="shared" si="97"/>
        <v>674.03485725938071</v>
      </c>
      <c r="V1243" s="22">
        <f t="shared" si="98"/>
        <v>0.59862852913791609</v>
      </c>
      <c r="X1243" s="33"/>
      <c r="Y1243" s="33"/>
    </row>
    <row r="1244" spans="1:25" x14ac:dyDescent="0.2">
      <c r="A1244" s="93" t="s">
        <v>570</v>
      </c>
      <c r="B1244" s="94" t="str">
        <f>IFERROR(VLOOKUP($A1244,HeadJournal!$A$1:$NTR$890,COLUMN(HeadJournal!B$1),0),"")</f>
        <v>710000681685</v>
      </c>
      <c r="C1244" s="94" t="str">
        <f>IFERROR(VLOOKUP($A1244,HeadJournal!$A$1:$NTR$890,COLUMN(HeadJournal!C$1),0),"")</f>
        <v>iHerb_AV CYG0792</v>
      </c>
      <c r="D1244" s="125" t="str">
        <f>IFERROR(VLOOKUP($A1244,HeadJournal!$A$1:$NTR$890,COLUMN(HeadJournal!D$1),0),"")</f>
        <v>Доставлен</v>
      </c>
      <c r="E1244" s="95">
        <f>IFERROR(VLOOKUP($A1244,HeadJournal!$A$1:$NTR$890,COLUMN(HeadJournal!G$1),0),"")</f>
        <v>45000</v>
      </c>
      <c r="F1244" s="95" t="str">
        <f t="shared" si="99"/>
        <v>2023 03</v>
      </c>
      <c r="G1244" s="96" t="s">
        <v>5</v>
      </c>
      <c r="H1244" s="161" t="s">
        <v>2832</v>
      </c>
      <c r="I1244" s="97" t="s">
        <v>2005</v>
      </c>
      <c r="J1244" s="97" t="s">
        <v>2833</v>
      </c>
      <c r="K1244" s="29">
        <v>14.1</v>
      </c>
      <c r="L1244" s="29">
        <v>-2.1166666666666667</v>
      </c>
      <c r="M1244" s="30">
        <f>IFERROR(VLOOKUP($A1244,HeadJournal!$A$1:$J$890,COLUMN(HeadJournal!I$1),0)*($K1244+$L1244)/(SUMIF($A:$A,$A1244,$K:$K)+SUMIF($A:$A,$A1244,$L:$L)),0)</f>
        <v>1.0297260739532352</v>
      </c>
      <c r="N1244" s="30">
        <f>IFERROR((VLOOKUP($A1244,HeadJournal!$A$1:$K$890,COLUMN(HeadJournal!K$1),0)-VLOOKUP($A1244,HeadJournal!$A$1:$K$890,COLUMN(HeadJournal!J$1),0))*($K1244+$L1244)/(SUMIF($A:$A,$A1244,$K:$K)+SUMIF($A:$A,$A1244,$L:$L)),0)</f>
        <v>-2.7780327733089281E-15</v>
      </c>
      <c r="O1244" s="30">
        <f>IFERROR((VLOOKUP($A1244,HeadJournal!$A$1:$L$890,COLUMN(HeadJournal!L$1),0)*($K1244+$L1244)/(SUMIF($A:$A,$A1244,$K:$K)+SUMIF($A:$A,$A1244,$L:$L)))/VLOOKUP($A1244,HeadJournal!$A$1:$L$890,COLUMN(HeadJournal!H$1),0),0)</f>
        <v>0.38881287885527682</v>
      </c>
      <c r="P1244" s="30">
        <f>IFERROR(SUM(K1244:O1244)*VLOOKUP($A1244,HeadJournal!$A$1:$L$890,COLUMN(HeadJournal!H$1),0),0)</f>
        <v>1125.9651427406193</v>
      </c>
      <c r="Q1244" s="29">
        <v>1800</v>
      </c>
      <c r="R1244" s="31">
        <v>45468</v>
      </c>
      <c r="S1244" s="31" t="s">
        <v>3121</v>
      </c>
      <c r="T1244" s="95" t="str">
        <f t="shared" si="100"/>
        <v>2024 06</v>
      </c>
      <c r="U1244" s="32">
        <f t="shared" si="97"/>
        <v>674.03485725938071</v>
      </c>
      <c r="V1244" s="22">
        <f t="shared" si="98"/>
        <v>0.59862852913791609</v>
      </c>
      <c r="X1244" s="33"/>
      <c r="Y1244" s="33"/>
    </row>
    <row r="1245" spans="1:25" x14ac:dyDescent="0.2">
      <c r="A1245" s="93" t="s">
        <v>570</v>
      </c>
      <c r="B1245" s="94" t="str">
        <f>IFERROR(VLOOKUP($A1245,HeadJournal!$A$1:$NTR$890,COLUMN(HeadJournal!B$1),0),"")</f>
        <v>710000681685</v>
      </c>
      <c r="C1245" s="94" t="str">
        <f>IFERROR(VLOOKUP($A1245,HeadJournal!$A$1:$NTR$890,COLUMN(HeadJournal!C$1),0),"")</f>
        <v>iHerb_AV CYG0792</v>
      </c>
      <c r="D1245" s="125" t="str">
        <f>IFERROR(VLOOKUP($A1245,HeadJournal!$A$1:$NTR$890,COLUMN(HeadJournal!D$1),0),"")</f>
        <v>Доставлен</v>
      </c>
      <c r="E1245" s="95">
        <f>IFERROR(VLOOKUP($A1245,HeadJournal!$A$1:$NTR$890,COLUMN(HeadJournal!G$1),0),"")</f>
        <v>45000</v>
      </c>
      <c r="F1245" s="95" t="str">
        <f t="shared" si="99"/>
        <v>2023 03</v>
      </c>
      <c r="G1245" s="96" t="s">
        <v>5</v>
      </c>
      <c r="H1245" s="161" t="s">
        <v>2832</v>
      </c>
      <c r="I1245" s="97" t="s">
        <v>2005</v>
      </c>
      <c r="J1245" s="97" t="s">
        <v>2833</v>
      </c>
      <c r="K1245" s="29">
        <v>14.1</v>
      </c>
      <c r="L1245" s="29">
        <v>-2.1166666666666667</v>
      </c>
      <c r="M1245" s="30">
        <f>IFERROR(VLOOKUP($A1245,HeadJournal!$A$1:$J$890,COLUMN(HeadJournal!I$1),0)*($K1245+$L1245)/(SUMIF($A:$A,$A1245,$K:$K)+SUMIF($A:$A,$A1245,$L:$L)),0)</f>
        <v>1.0297260739532352</v>
      </c>
      <c r="N1245" s="30">
        <f>IFERROR((VLOOKUP($A1245,HeadJournal!$A$1:$K$890,COLUMN(HeadJournal!K$1),0)-VLOOKUP($A1245,HeadJournal!$A$1:$K$890,COLUMN(HeadJournal!J$1),0))*($K1245+$L1245)/(SUMIF($A:$A,$A1245,$K:$K)+SUMIF($A:$A,$A1245,$L:$L)),0)</f>
        <v>-2.7780327733089281E-15</v>
      </c>
      <c r="O1245" s="30">
        <f>IFERROR((VLOOKUP($A1245,HeadJournal!$A$1:$L$890,COLUMN(HeadJournal!L$1),0)*($K1245+$L1245)/(SUMIF($A:$A,$A1245,$K:$K)+SUMIF($A:$A,$A1245,$L:$L)))/VLOOKUP($A1245,HeadJournal!$A$1:$L$890,COLUMN(HeadJournal!H$1),0),0)</f>
        <v>0.38881287885527682</v>
      </c>
      <c r="P1245" s="30">
        <f>IFERROR(SUM(K1245:O1245)*VLOOKUP($A1245,HeadJournal!$A$1:$L$890,COLUMN(HeadJournal!H$1),0),0)</f>
        <v>1125.9651427406193</v>
      </c>
      <c r="Q1245" s="29">
        <v>1700</v>
      </c>
      <c r="R1245" s="31">
        <v>45407</v>
      </c>
      <c r="S1245" s="31" t="s">
        <v>3121</v>
      </c>
      <c r="T1245" s="95" t="str">
        <f t="shared" si="100"/>
        <v>2024 04</v>
      </c>
      <c r="U1245" s="32">
        <f t="shared" si="97"/>
        <v>574.03485725938071</v>
      </c>
      <c r="V1245" s="22">
        <f t="shared" si="98"/>
        <v>0.50981583307469858</v>
      </c>
      <c r="X1245" s="33"/>
      <c r="Y1245" s="33"/>
    </row>
    <row r="1246" spans="1:25" x14ac:dyDescent="0.2">
      <c r="A1246" s="93" t="s">
        <v>570</v>
      </c>
      <c r="B1246" s="94" t="str">
        <f>IFERROR(VLOOKUP($A1246,HeadJournal!$A$1:$NTR$890,COLUMN(HeadJournal!B$1),0),"")</f>
        <v>710000681685</v>
      </c>
      <c r="C1246" s="94" t="str">
        <f>IFERROR(VLOOKUP($A1246,HeadJournal!$A$1:$NTR$890,COLUMN(HeadJournal!C$1),0),"")</f>
        <v>iHerb_AV CYG0792</v>
      </c>
      <c r="D1246" s="125" t="str">
        <f>IFERROR(VLOOKUP($A1246,HeadJournal!$A$1:$NTR$890,COLUMN(HeadJournal!D$1),0),"")</f>
        <v>Доставлен</v>
      </c>
      <c r="E1246" s="95">
        <f>IFERROR(VLOOKUP($A1246,HeadJournal!$A$1:$NTR$890,COLUMN(HeadJournal!G$1),0),"")</f>
        <v>45000</v>
      </c>
      <c r="F1246" s="95" t="str">
        <f t="shared" si="99"/>
        <v>2023 03</v>
      </c>
      <c r="G1246" s="96" t="s">
        <v>6</v>
      </c>
      <c r="H1246" s="161" t="s">
        <v>3626</v>
      </c>
      <c r="I1246" s="97" t="s">
        <v>3668</v>
      </c>
      <c r="J1246" s="97" t="s">
        <v>4169</v>
      </c>
      <c r="K1246" s="29">
        <v>46.25</v>
      </c>
      <c r="L1246" s="29">
        <v>-6.94</v>
      </c>
      <c r="M1246" s="30">
        <f>IFERROR(VLOOKUP($A1246,HeadJournal!$A$1:$J$890,COLUMN(HeadJournal!I$1),0)*($K1246+$L1246)/(SUMIF($A:$A,$A1246,$K:$K)+SUMIF($A:$A,$A1246,$L:$L)),0)</f>
        <v>3.3779025285481232</v>
      </c>
      <c r="N1246" s="30">
        <f>IFERROR((VLOOKUP($A1246,HeadJournal!$A$1:$K$890,COLUMN(HeadJournal!K$1),0)-VLOOKUP($A1246,HeadJournal!$A$1:$K$890,COLUMN(HeadJournal!J$1),0))*($K1246+$L1246)/(SUMIF($A:$A,$A1246,$K:$K)+SUMIF($A:$A,$A1246,$L:$L)),0)</f>
        <v>-9.1130293450993584E-15</v>
      </c>
      <c r="O1246" s="30">
        <f>IFERROR((VLOOKUP($A1246,HeadJournal!$A$1:$L$890,COLUMN(HeadJournal!L$1),0)*($K1246+$L1246)/(SUMIF($A:$A,$A1246,$K:$K)+SUMIF($A:$A,$A1246,$L:$L)))/VLOOKUP($A1246,HeadJournal!$A$1:$L$890,COLUMN(HeadJournal!H$1),0),0)</f>
        <v>1.2754576579527901</v>
      </c>
      <c r="P1246" s="30">
        <f>IFERROR(SUM(K1246:O1246)*VLOOKUP($A1246,HeadJournal!$A$1:$L$890,COLUMN(HeadJournal!H$1),0),0)</f>
        <v>3693.6041525285473</v>
      </c>
      <c r="Q1246" s="29">
        <v>5000</v>
      </c>
      <c r="R1246" s="31">
        <v>45034</v>
      </c>
      <c r="S1246" s="31" t="s">
        <v>3121</v>
      </c>
      <c r="T1246" s="95" t="str">
        <f t="shared" si="100"/>
        <v>2023 04</v>
      </c>
      <c r="U1246" s="32">
        <f t="shared" si="97"/>
        <v>1306.3958474714527</v>
      </c>
      <c r="V1246" s="22">
        <f t="shared" si="98"/>
        <v>0.35369135227366677</v>
      </c>
      <c r="X1246" s="33"/>
      <c r="Y1246" s="33"/>
    </row>
    <row r="1247" spans="1:25" x14ac:dyDescent="0.2">
      <c r="A1247" s="93" t="s">
        <v>570</v>
      </c>
      <c r="B1247" s="94" t="str">
        <f>IFERROR(VLOOKUP($A1247,HeadJournal!$A$1:$NTR$890,COLUMN(HeadJournal!B$1),0),"")</f>
        <v>710000681685</v>
      </c>
      <c r="C1247" s="94" t="str">
        <f>IFERROR(VLOOKUP($A1247,HeadJournal!$A$1:$NTR$890,COLUMN(HeadJournal!C$1),0),"")</f>
        <v>iHerb_AV CYG0792</v>
      </c>
      <c r="D1247" s="125" t="str">
        <f>IFERROR(VLOOKUP($A1247,HeadJournal!$A$1:$NTR$890,COLUMN(HeadJournal!D$1),0),"")</f>
        <v>Доставлен</v>
      </c>
      <c r="E1247" s="95">
        <f>IFERROR(VLOOKUP($A1247,HeadJournal!$A$1:$NTR$890,COLUMN(HeadJournal!G$1),0),"")</f>
        <v>45000</v>
      </c>
      <c r="F1247" s="95" t="str">
        <f t="shared" si="99"/>
        <v>2023 03</v>
      </c>
      <c r="G1247" s="96" t="s">
        <v>6</v>
      </c>
      <c r="H1247" s="175" t="s">
        <v>3627</v>
      </c>
      <c r="I1247" s="176" t="s">
        <v>3668</v>
      </c>
      <c r="J1247" s="97" t="s">
        <v>3669</v>
      </c>
      <c r="K1247" s="29">
        <v>35.54</v>
      </c>
      <c r="L1247" s="29">
        <v>-5.33</v>
      </c>
      <c r="M1247" s="30">
        <f>IFERROR(VLOOKUP($A1247,HeadJournal!$A$1:$J$890,COLUMN(HeadJournal!I$1),0)*($K1247+$L1247)/(SUMIF($A:$A,$A1247,$K:$K)+SUMIF($A:$A,$A1247,$L:$L)),0)</f>
        <v>2.5959408646003261</v>
      </c>
      <c r="N1247" s="30">
        <f>IFERROR((VLOOKUP($A1247,HeadJournal!$A$1:$K$890,COLUMN(HeadJournal!K$1),0)-VLOOKUP($A1247,HeadJournal!$A$1:$K$890,COLUMN(HeadJournal!J$1),0))*($K1247+$L1247)/(SUMIF($A:$A,$A1247,$K:$K)+SUMIF($A:$A,$A1247,$L:$L)),0)</f>
        <v>-7.0034244852569735E-15</v>
      </c>
      <c r="O1247" s="30">
        <f>IFERROR((VLOOKUP($A1247,HeadJournal!$A$1:$L$890,COLUMN(HeadJournal!L$1),0)*($K1247+$L1247)/(SUMIF($A:$A,$A1247,$K:$K)+SUMIF($A:$A,$A1247,$L:$L)))/VLOOKUP($A1247,HeadJournal!$A$1:$L$890,COLUMN(HeadJournal!H$1),0),0)</f>
        <v>0.9801978083631081</v>
      </c>
      <c r="P1247" s="30">
        <f>IFERROR(SUM(K1247:O1247)*VLOOKUP($A1247,HeadJournal!$A$1:$L$890,COLUMN(HeadJournal!H$1),0),0)</f>
        <v>2838.5596908645998</v>
      </c>
      <c r="Q1247" s="29">
        <v>4800</v>
      </c>
      <c r="R1247" s="31">
        <v>45290</v>
      </c>
      <c r="S1247" s="31" t="s">
        <v>3121</v>
      </c>
      <c r="T1247" s="95" t="str">
        <f t="shared" si="100"/>
        <v>2023 12</v>
      </c>
      <c r="U1247" s="32">
        <f t="shared" si="97"/>
        <v>1961.4403091354002</v>
      </c>
      <c r="V1247" s="22">
        <f t="shared" si="98"/>
        <v>0.6909984367945291</v>
      </c>
      <c r="X1247" s="33"/>
      <c r="Y1247" s="33"/>
    </row>
    <row r="1248" spans="1:25" x14ac:dyDescent="0.2">
      <c r="A1248" s="93" t="s">
        <v>570</v>
      </c>
      <c r="B1248" s="94" t="str">
        <f>IFERROR(VLOOKUP($A1248,HeadJournal!$A$1:$NTR$890,COLUMN(HeadJournal!B$1),0),"")</f>
        <v>710000681685</v>
      </c>
      <c r="C1248" s="94" t="str">
        <f>IFERROR(VLOOKUP($A1248,HeadJournal!$A$1:$NTR$890,COLUMN(HeadJournal!C$1),0),"")</f>
        <v>iHerb_AV CYG0792</v>
      </c>
      <c r="D1248" s="125" t="str">
        <f>IFERROR(VLOOKUP($A1248,HeadJournal!$A$1:$NTR$890,COLUMN(HeadJournal!D$1),0),"")</f>
        <v>Доставлен</v>
      </c>
      <c r="E1248" s="95">
        <f>IFERROR(VLOOKUP($A1248,HeadJournal!$A$1:$NTR$890,COLUMN(HeadJournal!G$1),0),"")</f>
        <v>45000</v>
      </c>
      <c r="F1248" s="95" t="str">
        <f t="shared" si="99"/>
        <v>2023 03</v>
      </c>
      <c r="G1248" s="96" t="s">
        <v>5</v>
      </c>
      <c r="H1248" s="161" t="s">
        <v>2016</v>
      </c>
      <c r="I1248" s="97" t="s">
        <v>2005</v>
      </c>
      <c r="J1248" s="97" t="s">
        <v>2017</v>
      </c>
      <c r="K1248" s="29">
        <v>25.37</v>
      </c>
      <c r="L1248" s="29">
        <v>-3.8050000000000002</v>
      </c>
      <c r="M1248" s="30">
        <f>IFERROR(VLOOKUP($A1248,HeadJournal!$A$1:$J$890,COLUMN(HeadJournal!I$1),0)*($K1248+$L1248)/(SUMIF($A:$A,$A1248,$K:$K)+SUMIF($A:$A,$A1248,$L:$L)),0)</f>
        <v>1.8530772838499183</v>
      </c>
      <c r="N1248" s="30">
        <f>IFERROR((VLOOKUP($A1248,HeadJournal!$A$1:$K$890,COLUMN(HeadJournal!K$1),0)-VLOOKUP($A1248,HeadJournal!$A$1:$K$890,COLUMN(HeadJournal!J$1),0))*($K1248+$L1248)/(SUMIF($A:$A,$A1248,$K:$K)+SUMIF($A:$A,$A1248,$L:$L)),0)</f>
        <v>-4.9992998684067075E-15</v>
      </c>
      <c r="O1248" s="30">
        <f>IFERROR((VLOOKUP($A1248,HeadJournal!$A$1:$L$890,COLUMN(HeadJournal!L$1),0)*($K1248+$L1248)/(SUMIF($A:$A,$A1248,$K:$K)+SUMIF($A:$A,$A1248,$L:$L)))/VLOOKUP($A1248,HeadJournal!$A$1:$L$890,COLUMN(HeadJournal!H$1),0),0)</f>
        <v>0.69970095125291054</v>
      </c>
      <c r="P1248" s="30">
        <f>IFERROR(SUM(K1248:O1248)*VLOOKUP($A1248,HeadJournal!$A$1:$L$890,COLUMN(HeadJournal!H$1),0),0)</f>
        <v>2026.2674522838495</v>
      </c>
      <c r="Q1248" s="29">
        <v>3300</v>
      </c>
      <c r="R1248" s="31">
        <v>45159</v>
      </c>
      <c r="S1248" s="31" t="s">
        <v>3121</v>
      </c>
      <c r="T1248" s="95" t="str">
        <f t="shared" si="100"/>
        <v>2023 08</v>
      </c>
      <c r="U1248" s="32">
        <f t="shared" si="97"/>
        <v>1273.7325477161505</v>
      </c>
      <c r="V1248" s="22">
        <f t="shared" si="98"/>
        <v>0.6286102786088279</v>
      </c>
      <c r="X1248" s="33"/>
      <c r="Y1248" s="33"/>
    </row>
    <row r="1249" spans="1:25" x14ac:dyDescent="0.2">
      <c r="A1249" s="93" t="s">
        <v>570</v>
      </c>
      <c r="B1249" s="94" t="str">
        <f>IFERROR(VLOOKUP($A1249,HeadJournal!$A$1:$NTR$890,COLUMN(HeadJournal!B$1),0),"")</f>
        <v>710000681685</v>
      </c>
      <c r="C1249" s="94" t="str">
        <f>IFERROR(VLOOKUP($A1249,HeadJournal!$A$1:$NTR$890,COLUMN(HeadJournal!C$1),0),"")</f>
        <v>iHerb_AV CYG0792</v>
      </c>
      <c r="D1249" s="125" t="str">
        <f>IFERROR(VLOOKUP($A1249,HeadJournal!$A$1:$NTR$890,COLUMN(HeadJournal!D$1),0),"")</f>
        <v>Доставлен</v>
      </c>
      <c r="E1249" s="95">
        <f>IFERROR(VLOOKUP($A1249,HeadJournal!$A$1:$NTR$890,COLUMN(HeadJournal!G$1),0),"")</f>
        <v>45000</v>
      </c>
      <c r="F1249" s="95" t="str">
        <f t="shared" si="99"/>
        <v>2023 03</v>
      </c>
      <c r="G1249" s="96" t="s">
        <v>5</v>
      </c>
      <c r="H1249" s="161" t="s">
        <v>2016</v>
      </c>
      <c r="I1249" s="97" t="s">
        <v>2005</v>
      </c>
      <c r="J1249" s="97" t="s">
        <v>2017</v>
      </c>
      <c r="K1249" s="29">
        <v>25.37</v>
      </c>
      <c r="L1249" s="29">
        <v>-3.8050000000000002</v>
      </c>
      <c r="M1249" s="30">
        <f>IFERROR(VLOOKUP($A1249,HeadJournal!$A$1:$J$890,COLUMN(HeadJournal!I$1),0)*($K1249+$L1249)/(SUMIF($A:$A,$A1249,$K:$K)+SUMIF($A:$A,$A1249,$L:$L)),0)</f>
        <v>1.8530772838499183</v>
      </c>
      <c r="N1249" s="30">
        <f>IFERROR((VLOOKUP($A1249,HeadJournal!$A$1:$K$890,COLUMN(HeadJournal!K$1),0)-VLOOKUP($A1249,HeadJournal!$A$1:$K$890,COLUMN(HeadJournal!J$1),0))*($K1249+$L1249)/(SUMIF($A:$A,$A1249,$K:$K)+SUMIF($A:$A,$A1249,$L:$L)),0)</f>
        <v>-4.9992998684067075E-15</v>
      </c>
      <c r="O1249" s="30">
        <f>IFERROR((VLOOKUP($A1249,HeadJournal!$A$1:$L$890,COLUMN(HeadJournal!L$1),0)*($K1249+$L1249)/(SUMIF($A:$A,$A1249,$K:$K)+SUMIF($A:$A,$A1249,$L:$L)))/VLOOKUP($A1249,HeadJournal!$A$1:$L$890,COLUMN(HeadJournal!H$1),0),0)</f>
        <v>0.69970095125291054</v>
      </c>
      <c r="P1249" s="30">
        <f>IFERROR(SUM(K1249:O1249)*VLOOKUP($A1249,HeadJournal!$A$1:$L$890,COLUMN(HeadJournal!H$1),0),0)</f>
        <v>2026.2674522838495</v>
      </c>
      <c r="Q1249" s="29">
        <v>3200</v>
      </c>
      <c r="R1249" s="31">
        <v>45172</v>
      </c>
      <c r="S1249" s="31" t="s">
        <v>3121</v>
      </c>
      <c r="T1249" s="95" t="str">
        <f t="shared" si="100"/>
        <v>2023 09</v>
      </c>
      <c r="U1249" s="32">
        <f t="shared" si="97"/>
        <v>1173.7325477161505</v>
      </c>
      <c r="V1249" s="22">
        <f t="shared" si="98"/>
        <v>0.57925845198431791</v>
      </c>
      <c r="X1249" s="33"/>
      <c r="Y1249" s="33"/>
    </row>
    <row r="1250" spans="1:25" x14ac:dyDescent="0.2">
      <c r="A1250" s="93" t="s">
        <v>570</v>
      </c>
      <c r="B1250" s="94" t="str">
        <f>IFERROR(VLOOKUP($A1250,HeadJournal!$A$1:$NTR$890,COLUMN(HeadJournal!B$1),0),"")</f>
        <v>710000681685</v>
      </c>
      <c r="C1250" s="94" t="str">
        <f>IFERROR(VLOOKUP($A1250,HeadJournal!$A$1:$NTR$890,COLUMN(HeadJournal!C$1),0),"")</f>
        <v>iHerb_AV CYG0792</v>
      </c>
      <c r="D1250" s="125" t="str">
        <f>IFERROR(VLOOKUP($A1250,HeadJournal!$A$1:$NTR$890,COLUMN(HeadJournal!D$1),0),"")</f>
        <v>Доставлен</v>
      </c>
      <c r="E1250" s="95">
        <f>IFERROR(VLOOKUP($A1250,HeadJournal!$A$1:$NTR$890,COLUMN(HeadJournal!G$1),0),"")</f>
        <v>45000</v>
      </c>
      <c r="F1250" s="95" t="str">
        <f t="shared" si="99"/>
        <v>2023 03</v>
      </c>
      <c r="G1250" s="96" t="s">
        <v>5</v>
      </c>
      <c r="H1250" s="161" t="s">
        <v>2680</v>
      </c>
      <c r="I1250" s="97" t="s">
        <v>2681</v>
      </c>
      <c r="J1250" s="97" t="s">
        <v>3853</v>
      </c>
      <c r="K1250" s="29">
        <v>5.68</v>
      </c>
      <c r="L1250" s="29">
        <v>-0.85</v>
      </c>
      <c r="M1250" s="30">
        <f>IFERROR(VLOOKUP($A1250,HeadJournal!$A$1:$J$890,COLUMN(HeadJournal!I$1),0)*($K1250+$L1250)/(SUMIF($A:$A,$A1250,$K:$K)+SUMIF($A:$A,$A1250,$L:$L)),0)</f>
        <v>0.41504119086460028</v>
      </c>
      <c r="N1250" s="30">
        <f>IFERROR((VLOOKUP($A1250,HeadJournal!$A$1:$K$890,COLUMN(HeadJournal!K$1),0)-VLOOKUP($A1250,HeadJournal!$A$1:$K$890,COLUMN(HeadJournal!J$1),0))*($K1250+$L1250)/(SUMIF($A:$A,$A1250,$K:$K)+SUMIF($A:$A,$A1250,$L:$L)),0)</f>
        <v>-1.1197133486855737E-15</v>
      </c>
      <c r="O1250" s="30">
        <f>IFERROR((VLOOKUP($A1250,HeadJournal!$A$1:$L$890,COLUMN(HeadJournal!L$1),0)*($K1250+$L1250)/(SUMIF($A:$A,$A1250,$K:$K)+SUMIF($A:$A,$A1250,$L:$L)))/VLOOKUP($A1250,HeadJournal!$A$1:$L$890,COLUMN(HeadJournal!H$1),0),0)</f>
        <v>0.15671484324375412</v>
      </c>
      <c r="P1250" s="30">
        <f>IFERROR(SUM(K1250:O1250)*VLOOKUP($A1250,HeadJournal!$A$1:$L$890,COLUMN(HeadJournal!H$1),0),0)</f>
        <v>453.83129119086448</v>
      </c>
      <c r="Q1250" s="29">
        <v>1100</v>
      </c>
      <c r="R1250" s="31">
        <v>45037</v>
      </c>
      <c r="S1250" s="31" t="s">
        <v>3121</v>
      </c>
      <c r="T1250" s="95" t="str">
        <f t="shared" si="100"/>
        <v>2023 04</v>
      </c>
      <c r="U1250" s="32">
        <f t="shared" si="97"/>
        <v>646.16870880913552</v>
      </c>
      <c r="V1250" s="22">
        <f t="shared" si="98"/>
        <v>1.4238081889716616</v>
      </c>
      <c r="X1250" s="33"/>
      <c r="Y1250" s="33"/>
    </row>
    <row r="1251" spans="1:25" x14ac:dyDescent="0.2">
      <c r="A1251" s="93" t="s">
        <v>570</v>
      </c>
      <c r="B1251" s="94" t="str">
        <f>IFERROR(VLOOKUP($A1251,HeadJournal!$A$1:$NTR$890,COLUMN(HeadJournal!B$1),0),"")</f>
        <v>710000681685</v>
      </c>
      <c r="C1251" s="94" t="str">
        <f>IFERROR(VLOOKUP($A1251,HeadJournal!$A$1:$NTR$890,COLUMN(HeadJournal!C$1),0),"")</f>
        <v>iHerb_AV CYG0792</v>
      </c>
      <c r="D1251" s="125" t="str">
        <f>IFERROR(VLOOKUP($A1251,HeadJournal!$A$1:$NTR$890,COLUMN(HeadJournal!D$1),0),"")</f>
        <v>Доставлен</v>
      </c>
      <c r="E1251" s="95">
        <f>IFERROR(VLOOKUP($A1251,HeadJournal!$A$1:$NTR$890,COLUMN(HeadJournal!G$1),0),"")</f>
        <v>45000</v>
      </c>
      <c r="F1251" s="95" t="str">
        <f t="shared" si="99"/>
        <v>2023 03</v>
      </c>
      <c r="G1251" s="96" t="s">
        <v>5</v>
      </c>
      <c r="H1251" s="161" t="s">
        <v>2680</v>
      </c>
      <c r="I1251" s="97" t="s">
        <v>2681</v>
      </c>
      <c r="J1251" s="97" t="s">
        <v>3853</v>
      </c>
      <c r="K1251" s="29">
        <v>5.68</v>
      </c>
      <c r="L1251" s="29">
        <v>-0.85</v>
      </c>
      <c r="M1251" s="30">
        <f>IFERROR(VLOOKUP($A1251,HeadJournal!$A$1:$J$890,COLUMN(HeadJournal!I$1),0)*($K1251+$L1251)/(SUMIF($A:$A,$A1251,$K:$K)+SUMIF($A:$A,$A1251,$L:$L)),0)</f>
        <v>0.41504119086460028</v>
      </c>
      <c r="N1251" s="30">
        <f>IFERROR((VLOOKUP($A1251,HeadJournal!$A$1:$K$890,COLUMN(HeadJournal!K$1),0)-VLOOKUP($A1251,HeadJournal!$A$1:$K$890,COLUMN(HeadJournal!J$1),0))*($K1251+$L1251)/(SUMIF($A:$A,$A1251,$K:$K)+SUMIF($A:$A,$A1251,$L:$L)),0)</f>
        <v>-1.1197133486855737E-15</v>
      </c>
      <c r="O1251" s="30">
        <f>IFERROR((VLOOKUP($A1251,HeadJournal!$A$1:$L$890,COLUMN(HeadJournal!L$1),0)*($K1251+$L1251)/(SUMIF($A:$A,$A1251,$K:$K)+SUMIF($A:$A,$A1251,$L:$L)))/VLOOKUP($A1251,HeadJournal!$A$1:$L$890,COLUMN(HeadJournal!H$1),0),0)</f>
        <v>0.15671484324375412</v>
      </c>
      <c r="P1251" s="30">
        <f>IFERROR(SUM(K1251:O1251)*VLOOKUP($A1251,HeadJournal!$A$1:$L$890,COLUMN(HeadJournal!H$1),0),0)</f>
        <v>453.83129119086448</v>
      </c>
      <c r="Q1251" s="29">
        <v>1000</v>
      </c>
      <c r="R1251" s="31">
        <v>45039</v>
      </c>
      <c r="S1251" s="31" t="s">
        <v>3121</v>
      </c>
      <c r="T1251" s="95" t="str">
        <f t="shared" si="100"/>
        <v>2023 04</v>
      </c>
      <c r="U1251" s="32">
        <f t="shared" si="97"/>
        <v>546.16870880913552</v>
      </c>
      <c r="V1251" s="22">
        <f t="shared" si="98"/>
        <v>1.2034619899742378</v>
      </c>
      <c r="X1251" s="33"/>
      <c r="Y1251" s="33"/>
    </row>
    <row r="1252" spans="1:25" x14ac:dyDescent="0.2">
      <c r="A1252" s="93" t="s">
        <v>570</v>
      </c>
      <c r="B1252" s="94" t="str">
        <f>IFERROR(VLOOKUP($A1252,HeadJournal!$A$1:$NTR$890,COLUMN(HeadJournal!B$1),0),"")</f>
        <v>710000681685</v>
      </c>
      <c r="C1252" s="94" t="str">
        <f>IFERROR(VLOOKUP($A1252,HeadJournal!$A$1:$NTR$890,COLUMN(HeadJournal!C$1),0),"")</f>
        <v>iHerb_AV CYG0792</v>
      </c>
      <c r="D1252" s="125" t="str">
        <f>IFERROR(VLOOKUP($A1252,HeadJournal!$A$1:$NTR$890,COLUMN(HeadJournal!D$1),0),"")</f>
        <v>Доставлен</v>
      </c>
      <c r="E1252" s="95">
        <f>IFERROR(VLOOKUP($A1252,HeadJournal!$A$1:$NTR$890,COLUMN(HeadJournal!G$1),0),"")</f>
        <v>45000</v>
      </c>
      <c r="F1252" s="95" t="str">
        <f t="shared" si="99"/>
        <v>2023 03</v>
      </c>
      <c r="G1252" s="96" t="s">
        <v>5</v>
      </c>
      <c r="H1252" s="161" t="s">
        <v>2650</v>
      </c>
      <c r="I1252" s="97" t="s">
        <v>2005</v>
      </c>
      <c r="J1252" s="97" t="s">
        <v>2651</v>
      </c>
      <c r="K1252" s="29">
        <v>10.79</v>
      </c>
      <c r="L1252" s="29">
        <v>-1.62</v>
      </c>
      <c r="M1252" s="30">
        <f>IFERROR(VLOOKUP($A1252,HeadJournal!$A$1:$J$890,COLUMN(HeadJournal!I$1),0)*($K1252+$L1252)/(SUMIF($A:$A,$A1252,$K:$K)+SUMIF($A:$A,$A1252,$L:$L)),0)</f>
        <v>0.78797675367047282</v>
      </c>
      <c r="N1252" s="30">
        <f>IFERROR((VLOOKUP($A1252,HeadJournal!$A$1:$K$890,COLUMN(HeadJournal!K$1),0)-VLOOKUP($A1252,HeadJournal!$A$1:$K$890,COLUMN(HeadJournal!J$1),0))*($K1252+$L1252)/(SUMIF($A:$A,$A1252,$K:$K)+SUMIF($A:$A,$A1252,$L:$L)),0)</f>
        <v>-2.1258325895334799E-15</v>
      </c>
      <c r="O1252" s="30">
        <f>IFERROR((VLOOKUP($A1252,HeadJournal!$A$1:$L$890,COLUMN(HeadJournal!L$1),0)*($K1252+$L1252)/(SUMIF($A:$A,$A1252,$K:$K)+SUMIF($A:$A,$A1252,$L:$L)))/VLOOKUP($A1252,HeadJournal!$A$1:$L$890,COLUMN(HeadJournal!H$1),0),0)</f>
        <v>0.29753107920190996</v>
      </c>
      <c r="P1252" s="30">
        <f>IFERROR(SUM(K1252:O1252)*VLOOKUP($A1252,HeadJournal!$A$1:$L$890,COLUMN(HeadJournal!H$1),0),0)</f>
        <v>861.62172675367003</v>
      </c>
      <c r="Q1252" s="29">
        <v>1500</v>
      </c>
      <c r="R1252" s="31">
        <v>45089</v>
      </c>
      <c r="S1252" s="31" t="s">
        <v>3121</v>
      </c>
      <c r="T1252" s="95" t="str">
        <f t="shared" si="100"/>
        <v>2023 06</v>
      </c>
      <c r="U1252" s="32">
        <f t="shared" si="97"/>
        <v>638.37827324632997</v>
      </c>
      <c r="V1252" s="22">
        <f t="shared" si="98"/>
        <v>0.74090317528498983</v>
      </c>
      <c r="X1252" s="33"/>
      <c r="Y1252" s="33"/>
    </row>
    <row r="1253" spans="1:25" x14ac:dyDescent="0.2">
      <c r="A1253" s="93" t="s">
        <v>570</v>
      </c>
      <c r="B1253" s="94" t="str">
        <f>IFERROR(VLOOKUP($A1253,HeadJournal!$A$1:$NTR$890,COLUMN(HeadJournal!B$1),0),"")</f>
        <v>710000681685</v>
      </c>
      <c r="C1253" s="94" t="str">
        <f>IFERROR(VLOOKUP($A1253,HeadJournal!$A$1:$NTR$890,COLUMN(HeadJournal!C$1),0),"")</f>
        <v>iHerb_AV CYG0792</v>
      </c>
      <c r="D1253" s="125" t="str">
        <f>IFERROR(VLOOKUP($A1253,HeadJournal!$A$1:$NTR$890,COLUMN(HeadJournal!D$1),0),"")</f>
        <v>Доставлен</v>
      </c>
      <c r="E1253" s="95">
        <f>IFERROR(VLOOKUP($A1253,HeadJournal!$A$1:$NTR$890,COLUMN(HeadJournal!G$1),0),"")</f>
        <v>45000</v>
      </c>
      <c r="F1253" s="95" t="str">
        <f t="shared" si="99"/>
        <v>2023 03</v>
      </c>
      <c r="G1253" s="96" t="s">
        <v>5</v>
      </c>
      <c r="H1253" s="161" t="s">
        <v>4158</v>
      </c>
      <c r="I1253" s="97" t="s">
        <v>2005</v>
      </c>
      <c r="J1253" s="97" t="s">
        <v>4159</v>
      </c>
      <c r="K1253" s="29">
        <v>8.2200000000000006</v>
      </c>
      <c r="L1253" s="29">
        <v>-1.23</v>
      </c>
      <c r="M1253" s="30">
        <f>IFERROR(VLOOKUP($A1253,HeadJournal!$A$1:$J$890,COLUMN(HeadJournal!I$1),0)*($K1253+$L1253)/(SUMIF($A:$A,$A1253,$K:$K)+SUMIF($A:$A,$A1253,$L:$L)),0)</f>
        <v>0.60064967373572586</v>
      </c>
      <c r="N1253" s="30">
        <f>IFERROR((VLOOKUP($A1253,HeadJournal!$A$1:$K$890,COLUMN(HeadJournal!K$1),0)-VLOOKUP($A1253,HeadJournal!$A$1:$K$890,COLUMN(HeadJournal!J$1),0))*($K1253+$L1253)/(SUMIF($A:$A,$A1253,$K:$K)+SUMIF($A:$A,$A1253,$L:$L)),0)</f>
        <v>-1.6204547220107992E-15</v>
      </c>
      <c r="O1253" s="30">
        <f>IFERROR((VLOOKUP($A1253,HeadJournal!$A$1:$L$890,COLUMN(HeadJournal!L$1),0)*($K1253+$L1253)/(SUMIF($A:$A,$A1253,$K:$K)+SUMIF($A:$A,$A1253,$L:$L)))/VLOOKUP($A1253,HeadJournal!$A$1:$L$890,COLUMN(HeadJournal!H$1),0),0)</f>
        <v>0.22679849984965658</v>
      </c>
      <c r="P1253" s="30">
        <f>IFERROR(SUM(K1253:O1253)*VLOOKUP($A1253,HeadJournal!$A$1:$L$890,COLUMN(HeadJournal!H$1),0),0)</f>
        <v>656.78689967373555</v>
      </c>
      <c r="Q1253" s="29">
        <v>1400</v>
      </c>
      <c r="R1253" s="31">
        <v>45202</v>
      </c>
      <c r="S1253" s="31" t="s">
        <v>3121</v>
      </c>
      <c r="T1253" s="95" t="str">
        <f t="shared" si="100"/>
        <v>2023 10</v>
      </c>
      <c r="U1253" s="32">
        <f t="shared" si="97"/>
        <v>743.21310032626445</v>
      </c>
      <c r="V1253" s="22">
        <f t="shared" si="98"/>
        <v>1.1315894100437476</v>
      </c>
      <c r="X1253" s="33"/>
      <c r="Y1253" s="33"/>
    </row>
    <row r="1254" spans="1:25" x14ac:dyDescent="0.2">
      <c r="A1254" s="93" t="s">
        <v>570</v>
      </c>
      <c r="B1254" s="94" t="str">
        <f>IFERROR(VLOOKUP($A1254,HeadJournal!$A$1:$NTR$890,COLUMN(HeadJournal!B$1),0),"")</f>
        <v>710000681685</v>
      </c>
      <c r="C1254" s="94" t="str">
        <f>IFERROR(VLOOKUP($A1254,HeadJournal!$A$1:$NTR$890,COLUMN(HeadJournal!C$1),0),"")</f>
        <v>iHerb_AV CYG0792</v>
      </c>
      <c r="D1254" s="125" t="str">
        <f>IFERROR(VLOOKUP($A1254,HeadJournal!$A$1:$NTR$890,COLUMN(HeadJournal!D$1),0),"")</f>
        <v>Доставлен</v>
      </c>
      <c r="E1254" s="95">
        <f>IFERROR(VLOOKUP($A1254,HeadJournal!$A$1:$NTR$890,COLUMN(HeadJournal!G$1),0),"")</f>
        <v>45000</v>
      </c>
      <c r="F1254" s="95" t="str">
        <f t="shared" si="99"/>
        <v>2023 03</v>
      </c>
      <c r="G1254" s="96" t="s">
        <v>6</v>
      </c>
      <c r="H1254" s="160" t="str">
        <f>RIGHT(Journal!$J1254,9)</f>
        <v>NRX-00741</v>
      </c>
      <c r="I1254" s="96" t="str">
        <f t="shared" si="101"/>
        <v>Nutrex Research</v>
      </c>
      <c r="J1254" s="97" t="s">
        <v>168</v>
      </c>
      <c r="K1254" s="29">
        <v>13.82</v>
      </c>
      <c r="L1254" s="29">
        <v>-2.7650000000000001</v>
      </c>
      <c r="M1254" s="30">
        <f>IFERROR(VLOOKUP($A1254,HeadJournal!$A$1:$J$890,COLUMN(HeadJournal!I$1),0)*($K1254+$L1254)/(SUMIF($A:$A,$A1254,$K:$K)+SUMIF($A:$A,$A1254,$L:$L)),0)</f>
        <v>0.94995452691680249</v>
      </c>
      <c r="N1254" s="30">
        <f>IFERROR((VLOOKUP($A1254,HeadJournal!$A$1:$K$890,COLUMN(HeadJournal!K$1),0)-VLOOKUP($A1254,HeadJournal!$A$1:$K$890,COLUMN(HeadJournal!J$1),0))*($K1254+$L1254)/(SUMIF($A:$A,$A1254,$K:$K)+SUMIF($A:$A,$A1254,$L:$L)),0)</f>
        <v>-2.5628221676436888E-15</v>
      </c>
      <c r="O1254" s="30">
        <f>IFERROR((VLOOKUP($A1254,HeadJournal!$A$1:$L$890,COLUMN(HeadJournal!L$1),0)*($K1254+$L1254)/(SUMIF($A:$A,$A1254,$K:$K)+SUMIF($A:$A,$A1254,$L:$L)))/VLOOKUP($A1254,HeadJournal!$A$1:$L$890,COLUMN(HeadJournal!H$1),0),0)</f>
        <v>0.35869204804548693</v>
      </c>
      <c r="P1254" s="30">
        <f>IFERROR(SUM(K1254:O1254)*VLOOKUP($A1254,HeadJournal!$A$1:$L$890,COLUMN(HeadJournal!H$1),0),0)</f>
        <v>1038.7380795269164</v>
      </c>
      <c r="Q1254" s="29">
        <v>2000</v>
      </c>
      <c r="R1254" s="31">
        <v>45035</v>
      </c>
      <c r="S1254" s="31" t="s">
        <v>3121</v>
      </c>
      <c r="T1254" s="95" t="str">
        <f t="shared" si="100"/>
        <v>2023 04</v>
      </c>
      <c r="U1254" s="32">
        <f t="shared" si="97"/>
        <v>961.26192047308359</v>
      </c>
      <c r="V1254" s="22">
        <f t="shared" si="98"/>
        <v>0.92541319069662042</v>
      </c>
      <c r="X1254" s="33"/>
      <c r="Y1254" s="33"/>
    </row>
    <row r="1255" spans="1:25" x14ac:dyDescent="0.2">
      <c r="A1255" s="93" t="s">
        <v>570</v>
      </c>
      <c r="B1255" s="94" t="str">
        <f>IFERROR(VLOOKUP($A1255,HeadJournal!$A$1:$NTR$890,COLUMN(HeadJournal!B$1),0),"")</f>
        <v>710000681685</v>
      </c>
      <c r="C1255" s="94" t="str">
        <f>IFERROR(VLOOKUP($A1255,HeadJournal!$A$1:$NTR$890,COLUMN(HeadJournal!C$1),0),"")</f>
        <v>iHerb_AV CYG0792</v>
      </c>
      <c r="D1255" s="125" t="str">
        <f>IFERROR(VLOOKUP($A1255,HeadJournal!$A$1:$NTR$890,COLUMN(HeadJournal!D$1),0),"")</f>
        <v>Доставлен</v>
      </c>
      <c r="E1255" s="95">
        <f>IFERROR(VLOOKUP($A1255,HeadJournal!$A$1:$NTR$890,COLUMN(HeadJournal!G$1),0),"")</f>
        <v>45000</v>
      </c>
      <c r="F1255" s="95" t="str">
        <f t="shared" si="99"/>
        <v>2023 03</v>
      </c>
      <c r="G1255" s="96" t="s">
        <v>6</v>
      </c>
      <c r="H1255" s="160" t="str">
        <f>RIGHT(Journal!$J1255,9)</f>
        <v>NRX-00741</v>
      </c>
      <c r="I1255" s="96" t="str">
        <f t="shared" si="101"/>
        <v>Nutrex Research</v>
      </c>
      <c r="J1255" s="97" t="s">
        <v>168</v>
      </c>
      <c r="K1255" s="29">
        <v>13.82</v>
      </c>
      <c r="L1255" s="29">
        <v>-2.7650000000000001</v>
      </c>
      <c r="M1255" s="30">
        <f>IFERROR(VLOOKUP($A1255,HeadJournal!$A$1:$J$890,COLUMN(HeadJournal!I$1),0)*($K1255+$L1255)/(SUMIF($A:$A,$A1255,$K:$K)+SUMIF($A:$A,$A1255,$L:$L)),0)</f>
        <v>0.94995452691680249</v>
      </c>
      <c r="N1255" s="30">
        <f>IFERROR((VLOOKUP($A1255,HeadJournal!$A$1:$K$890,COLUMN(HeadJournal!K$1),0)-VLOOKUP($A1255,HeadJournal!$A$1:$K$890,COLUMN(HeadJournal!J$1),0))*($K1255+$L1255)/(SUMIF($A:$A,$A1255,$K:$K)+SUMIF($A:$A,$A1255,$L:$L)),0)</f>
        <v>-2.5628221676436888E-15</v>
      </c>
      <c r="O1255" s="30">
        <f>IFERROR((VLOOKUP($A1255,HeadJournal!$A$1:$L$890,COLUMN(HeadJournal!L$1),0)*($K1255+$L1255)/(SUMIF($A:$A,$A1255,$K:$K)+SUMIF($A:$A,$A1255,$L:$L)))/VLOOKUP($A1255,HeadJournal!$A$1:$L$890,COLUMN(HeadJournal!H$1),0),0)</f>
        <v>0.35869204804548693</v>
      </c>
      <c r="P1255" s="30">
        <f>IFERROR(SUM(K1255:O1255)*VLOOKUP($A1255,HeadJournal!$A$1:$L$890,COLUMN(HeadJournal!H$1),0),0)</f>
        <v>1038.7380795269164</v>
      </c>
      <c r="Q1255" s="29">
        <v>2100</v>
      </c>
      <c r="R1255" s="31">
        <v>45199</v>
      </c>
      <c r="S1255" s="31" t="s">
        <v>3121</v>
      </c>
      <c r="T1255" s="95" t="str">
        <f t="shared" si="100"/>
        <v>2023 09</v>
      </c>
      <c r="U1255" s="32">
        <f t="shared" si="97"/>
        <v>1061.2619204730836</v>
      </c>
      <c r="V1255" s="22">
        <f t="shared" si="98"/>
        <v>1.0216838502314514</v>
      </c>
      <c r="X1255" s="33"/>
      <c r="Y1255" s="33"/>
    </row>
    <row r="1256" spans="1:25" x14ac:dyDescent="0.2">
      <c r="A1256" s="93" t="s">
        <v>570</v>
      </c>
      <c r="B1256" s="94" t="str">
        <f>IFERROR(VLOOKUP($A1256,HeadJournal!$A$1:$NTR$890,COLUMN(HeadJournal!B$1),0),"")</f>
        <v>710000681685</v>
      </c>
      <c r="C1256" s="94" t="str">
        <f>IFERROR(VLOOKUP($A1256,HeadJournal!$A$1:$NTR$890,COLUMN(HeadJournal!C$1),0),"")</f>
        <v>iHerb_AV CYG0792</v>
      </c>
      <c r="D1256" s="125" t="str">
        <f>IFERROR(VLOOKUP($A1256,HeadJournal!$A$1:$NTR$890,COLUMN(HeadJournal!D$1),0),"")</f>
        <v>Доставлен</v>
      </c>
      <c r="E1256" s="95">
        <f>IFERROR(VLOOKUP($A1256,HeadJournal!$A$1:$NTR$890,COLUMN(HeadJournal!G$1),0),"")</f>
        <v>45000</v>
      </c>
      <c r="F1256" s="95" t="str">
        <f t="shared" si="99"/>
        <v>2023 03</v>
      </c>
      <c r="G1256" s="96" t="s">
        <v>6</v>
      </c>
      <c r="H1256" s="160" t="str">
        <f>RIGHT(Journal!$J1256,9)</f>
        <v>NRX-00071</v>
      </c>
      <c r="I1256" s="96" t="str">
        <f t="shared" si="101"/>
        <v>Nutrex Research</v>
      </c>
      <c r="J1256" s="97" t="s">
        <v>336</v>
      </c>
      <c r="K1256" s="29">
        <v>28.23</v>
      </c>
      <c r="L1256" s="29">
        <v>-5.65</v>
      </c>
      <c r="M1256" s="30">
        <f>IFERROR(VLOOKUP($A1256,HeadJournal!$A$1:$J$890,COLUMN(HeadJournal!I$1),0)*($K1256+$L1256)/(SUMIF($A:$A,$A1256,$K:$K)+SUMIF($A:$A,$A1256,$L:$L)),0)</f>
        <v>1.9402960848287107</v>
      </c>
      <c r="N1256" s="30">
        <f>IFERROR((VLOOKUP($A1256,HeadJournal!$A$1:$K$890,COLUMN(HeadJournal!K$1),0)-VLOOKUP($A1256,HeadJournal!$A$1:$K$890,COLUMN(HeadJournal!J$1),0))*($K1256+$L1256)/(SUMIF($A:$A,$A1256,$K:$K)+SUMIF($A:$A,$A1256,$L:$L)),0)</f>
        <v>-5.2346019489275885E-15</v>
      </c>
      <c r="O1256" s="30">
        <f>IFERROR((VLOOKUP($A1256,HeadJournal!$A$1:$L$890,COLUMN(HeadJournal!L$1),0)*($K1256+$L1256)/(SUMIF($A:$A,$A1256,$K:$K)+SUMIF($A:$A,$A1256,$L:$L)))/VLOOKUP($A1256,HeadJournal!$A$1:$L$890,COLUMN(HeadJournal!H$1),0),0)</f>
        <v>0.73263378063022111</v>
      </c>
      <c r="P1256" s="30">
        <f>IFERROR(SUM(K1256:O1256)*VLOOKUP($A1256,HeadJournal!$A$1:$L$890,COLUMN(HeadJournal!H$1),0),0)</f>
        <v>2121.6377960848281</v>
      </c>
      <c r="Q1256" s="29"/>
      <c r="R1256" s="31"/>
      <c r="S1256" s="31"/>
      <c r="T1256" s="95" t="str">
        <f t="shared" si="100"/>
        <v/>
      </c>
      <c r="U1256" s="32">
        <f t="shared" si="97"/>
        <v>-2121.6377960848281</v>
      </c>
      <c r="V1256" s="22" t="str">
        <f t="shared" si="98"/>
        <v/>
      </c>
      <c r="X1256" s="33"/>
      <c r="Y1256" s="33"/>
    </row>
    <row r="1257" spans="1:25" x14ac:dyDescent="0.2">
      <c r="A1257" s="93" t="s">
        <v>571</v>
      </c>
      <c r="B1257" s="94" t="str">
        <f>IFERROR(VLOOKUP($A1257,HeadJournal!$A$1:$NTR$890,COLUMN(HeadJournal!B$1),0),"")</f>
        <v>710000688854</v>
      </c>
      <c r="C1257" s="94" t="str">
        <f>IFERROR(VLOOKUP($A1257,HeadJournal!$A$1:$NTR$890,COLUMN(HeadJournal!C$1),0),"")</f>
        <v>iHerb_AV CYG0792</v>
      </c>
      <c r="D1257" s="125" t="str">
        <f>IFERROR(VLOOKUP($A1257,HeadJournal!$A$1:$NTR$890,COLUMN(HeadJournal!D$1),0),"")</f>
        <v>Доставлен</v>
      </c>
      <c r="E1257" s="95">
        <f>IFERROR(VLOOKUP($A1257,HeadJournal!$A$1:$NTR$890,COLUMN(HeadJournal!G$1),0),"")</f>
        <v>45004</v>
      </c>
      <c r="F1257" s="95" t="str">
        <f t="shared" si="99"/>
        <v>2023 03</v>
      </c>
      <c r="G1257" s="96" t="s">
        <v>5</v>
      </c>
      <c r="H1257" s="161" t="s">
        <v>2051</v>
      </c>
      <c r="I1257" s="97" t="s">
        <v>2052</v>
      </c>
      <c r="J1257" s="97" t="s">
        <v>3097</v>
      </c>
      <c r="K1257" s="29">
        <v>17</v>
      </c>
      <c r="L1257" s="29">
        <v>-5.0999999999999996</v>
      </c>
      <c r="M1257" s="30">
        <f>IFERROR(VLOOKUP($A1257,HeadJournal!$A$1:$J$890,COLUMN(HeadJournal!I$1),0)*($K1257+$L1257)/(SUMIF($A:$A,$A1257,$K:$K)+SUMIF($A:$A,$A1257,$L:$L)),0)</f>
        <v>1.3383224928150057</v>
      </c>
      <c r="N1257" s="30">
        <f>IFERROR((VLOOKUP($A1257,HeadJournal!$A$1:$K$890,COLUMN(HeadJournal!K$1),0)-VLOOKUP($A1257,HeadJournal!$A$1:$K$890,COLUMN(HeadJournal!J$1),0))*($K1257+$L1257)/(SUMIF($A:$A,$A1257,$K:$K)+SUMIF($A:$A,$A1257,$L:$L)),0)</f>
        <v>2.5579968402798953E-15</v>
      </c>
      <c r="O1257" s="30">
        <f>IFERROR((VLOOKUP($A1257,HeadJournal!$A$1:$L$890,COLUMN(HeadJournal!L$1),0)*($K1257+$L1257)/(SUMIF($A:$A,$A1257,$K:$K)+SUMIF($A:$A,$A1257,$L:$L)))/VLOOKUP($A1257,HeadJournal!$A$1:$L$890,COLUMN(HeadJournal!H$1),0),0)</f>
        <v>0.71151090770090675</v>
      </c>
      <c r="P1257" s="30">
        <f>IFERROR(SUM(K1257:O1257)*VLOOKUP($A1257,HeadJournal!$A$1:$L$890,COLUMN(HeadJournal!H$1),0),0)</f>
        <v>1179.45182271971</v>
      </c>
      <c r="Q1257" s="29">
        <v>2200</v>
      </c>
      <c r="R1257" s="31">
        <v>45236</v>
      </c>
      <c r="S1257" s="31" t="s">
        <v>3121</v>
      </c>
      <c r="T1257" s="95" t="str">
        <f t="shared" si="100"/>
        <v>2023 11</v>
      </c>
      <c r="U1257" s="32">
        <f t="shared" si="97"/>
        <v>1020.54817728029</v>
      </c>
      <c r="V1257" s="22">
        <f t="shared" si="98"/>
        <v>0.86527330546405667</v>
      </c>
      <c r="X1257" s="33"/>
      <c r="Y1257" s="33"/>
    </row>
    <row r="1258" spans="1:25" x14ac:dyDescent="0.2">
      <c r="A1258" s="93" t="s">
        <v>571</v>
      </c>
      <c r="B1258" s="94" t="str">
        <f>IFERROR(VLOOKUP($A1258,HeadJournal!$A$1:$NTR$890,COLUMN(HeadJournal!B$1),0),"")</f>
        <v>710000688854</v>
      </c>
      <c r="C1258" s="94" t="str">
        <f>IFERROR(VLOOKUP($A1258,HeadJournal!$A$1:$NTR$890,COLUMN(HeadJournal!C$1),0),"")</f>
        <v>iHerb_AV CYG0792</v>
      </c>
      <c r="D1258" s="125" t="str">
        <f>IFERROR(VLOOKUP($A1258,HeadJournal!$A$1:$NTR$890,COLUMN(HeadJournal!D$1),0),"")</f>
        <v>Доставлен</v>
      </c>
      <c r="E1258" s="95">
        <f>IFERROR(VLOOKUP($A1258,HeadJournal!$A$1:$NTR$890,COLUMN(HeadJournal!G$1),0),"")</f>
        <v>45004</v>
      </c>
      <c r="F1258" s="95" t="str">
        <f t="shared" si="99"/>
        <v>2023 03</v>
      </c>
      <c r="G1258" s="96" t="s">
        <v>5</v>
      </c>
      <c r="H1258" s="161" t="s">
        <v>2051</v>
      </c>
      <c r="I1258" s="97" t="s">
        <v>2052</v>
      </c>
      <c r="J1258" s="97" t="s">
        <v>3097</v>
      </c>
      <c r="K1258" s="29">
        <v>17</v>
      </c>
      <c r="L1258" s="29">
        <v>-5.0999999999999996</v>
      </c>
      <c r="M1258" s="30">
        <f>IFERROR(VLOOKUP($A1258,HeadJournal!$A$1:$J$890,COLUMN(HeadJournal!I$1),0)*($K1258+$L1258)/(SUMIF($A:$A,$A1258,$K:$K)+SUMIF($A:$A,$A1258,$L:$L)),0)</f>
        <v>1.3383224928150057</v>
      </c>
      <c r="N1258" s="30">
        <f>IFERROR((VLOOKUP($A1258,HeadJournal!$A$1:$K$890,COLUMN(HeadJournal!K$1),0)-VLOOKUP($A1258,HeadJournal!$A$1:$K$890,COLUMN(HeadJournal!J$1),0))*($K1258+$L1258)/(SUMIF($A:$A,$A1258,$K:$K)+SUMIF($A:$A,$A1258,$L:$L)),0)</f>
        <v>2.5579968402798953E-15</v>
      </c>
      <c r="O1258" s="30">
        <f>IFERROR((VLOOKUP($A1258,HeadJournal!$A$1:$L$890,COLUMN(HeadJournal!L$1),0)*($K1258+$L1258)/(SUMIF($A:$A,$A1258,$K:$K)+SUMIF($A:$A,$A1258,$L:$L)))/VLOOKUP($A1258,HeadJournal!$A$1:$L$890,COLUMN(HeadJournal!H$1),0),0)</f>
        <v>0.71151090770090675</v>
      </c>
      <c r="P1258" s="30">
        <f>IFERROR(SUM(K1258:O1258)*VLOOKUP($A1258,HeadJournal!$A$1:$L$890,COLUMN(HeadJournal!H$1),0),0)</f>
        <v>1179.45182271971</v>
      </c>
      <c r="Q1258" s="29">
        <v>2200</v>
      </c>
      <c r="R1258" s="31">
        <v>45241</v>
      </c>
      <c r="S1258" s="31" t="s">
        <v>3121</v>
      </c>
      <c r="T1258" s="95" t="str">
        <f t="shared" si="100"/>
        <v>2023 11</v>
      </c>
      <c r="U1258" s="32">
        <f t="shared" si="97"/>
        <v>1020.54817728029</v>
      </c>
      <c r="V1258" s="22">
        <f t="shared" si="98"/>
        <v>0.86527330546405667</v>
      </c>
      <c r="X1258" s="33"/>
      <c r="Y1258" s="33"/>
    </row>
    <row r="1259" spans="1:25" x14ac:dyDescent="0.2">
      <c r="A1259" s="93" t="s">
        <v>571</v>
      </c>
      <c r="B1259" s="94" t="str">
        <f>IFERROR(VLOOKUP($A1259,HeadJournal!$A$1:$NTR$890,COLUMN(HeadJournal!B$1),0),"")</f>
        <v>710000688854</v>
      </c>
      <c r="C1259" s="94" t="str">
        <f>IFERROR(VLOOKUP($A1259,HeadJournal!$A$1:$NTR$890,COLUMN(HeadJournal!C$1),0),"")</f>
        <v>iHerb_AV CYG0792</v>
      </c>
      <c r="D1259" s="125" t="str">
        <f>IFERROR(VLOOKUP($A1259,HeadJournal!$A$1:$NTR$890,COLUMN(HeadJournal!D$1),0),"")</f>
        <v>Доставлен</v>
      </c>
      <c r="E1259" s="95">
        <f>IFERROR(VLOOKUP($A1259,HeadJournal!$A$1:$NTR$890,COLUMN(HeadJournal!G$1),0),"")</f>
        <v>45004</v>
      </c>
      <c r="F1259" s="95" t="str">
        <f t="shared" si="99"/>
        <v>2023 03</v>
      </c>
      <c r="G1259" s="96" t="s">
        <v>5</v>
      </c>
      <c r="H1259" s="161" t="s">
        <v>2051</v>
      </c>
      <c r="I1259" s="97" t="s">
        <v>2052</v>
      </c>
      <c r="J1259" s="97" t="s">
        <v>3097</v>
      </c>
      <c r="K1259" s="29">
        <v>17</v>
      </c>
      <c r="L1259" s="29">
        <v>-5.0999999999999996</v>
      </c>
      <c r="M1259" s="30">
        <f>IFERROR(VLOOKUP($A1259,HeadJournal!$A$1:$J$890,COLUMN(HeadJournal!I$1),0)*($K1259+$L1259)/(SUMIF($A:$A,$A1259,$K:$K)+SUMIF($A:$A,$A1259,$L:$L)),0)</f>
        <v>1.3383224928150057</v>
      </c>
      <c r="N1259" s="30">
        <f>IFERROR((VLOOKUP($A1259,HeadJournal!$A$1:$K$890,COLUMN(HeadJournal!K$1),0)-VLOOKUP($A1259,HeadJournal!$A$1:$K$890,COLUMN(HeadJournal!J$1),0))*($K1259+$L1259)/(SUMIF($A:$A,$A1259,$K:$K)+SUMIF($A:$A,$A1259,$L:$L)),0)</f>
        <v>2.5579968402798953E-15</v>
      </c>
      <c r="O1259" s="30">
        <f>IFERROR((VLOOKUP($A1259,HeadJournal!$A$1:$L$890,COLUMN(HeadJournal!L$1),0)*($K1259+$L1259)/(SUMIF($A:$A,$A1259,$K:$K)+SUMIF($A:$A,$A1259,$L:$L)))/VLOOKUP($A1259,HeadJournal!$A$1:$L$890,COLUMN(HeadJournal!H$1),0),0)</f>
        <v>0.71151090770090675</v>
      </c>
      <c r="P1259" s="30">
        <f>IFERROR(SUM(K1259:O1259)*VLOOKUP($A1259,HeadJournal!$A$1:$L$890,COLUMN(HeadJournal!H$1),0),0)</f>
        <v>1179.45182271971</v>
      </c>
      <c r="Q1259" s="29">
        <v>2200</v>
      </c>
      <c r="R1259" s="31">
        <v>45285</v>
      </c>
      <c r="S1259" s="31" t="s">
        <v>3121</v>
      </c>
      <c r="T1259" s="95" t="str">
        <f t="shared" si="100"/>
        <v>2023 12</v>
      </c>
      <c r="U1259" s="32">
        <f t="shared" si="97"/>
        <v>1020.54817728029</v>
      </c>
      <c r="V1259" s="22">
        <f t="shared" si="98"/>
        <v>0.86527330546405667</v>
      </c>
      <c r="X1259" s="33"/>
      <c r="Y1259" s="33"/>
    </row>
    <row r="1260" spans="1:25" x14ac:dyDescent="0.2">
      <c r="A1260" s="93" t="s">
        <v>571</v>
      </c>
      <c r="B1260" s="94" t="str">
        <f>IFERROR(VLOOKUP($A1260,HeadJournal!$A$1:$NTR$890,COLUMN(HeadJournal!B$1),0),"")</f>
        <v>710000688854</v>
      </c>
      <c r="C1260" s="94" t="str">
        <f>IFERROR(VLOOKUP($A1260,HeadJournal!$A$1:$NTR$890,COLUMN(HeadJournal!C$1),0),"")</f>
        <v>iHerb_AV CYG0792</v>
      </c>
      <c r="D1260" s="125" t="str">
        <f>IFERROR(VLOOKUP($A1260,HeadJournal!$A$1:$NTR$890,COLUMN(HeadJournal!D$1),0),"")</f>
        <v>Доставлен</v>
      </c>
      <c r="E1260" s="95">
        <f>IFERROR(VLOOKUP($A1260,HeadJournal!$A$1:$NTR$890,COLUMN(HeadJournal!G$1),0),"")</f>
        <v>45004</v>
      </c>
      <c r="F1260" s="95" t="str">
        <f t="shared" si="99"/>
        <v>2023 03</v>
      </c>
      <c r="G1260" s="96" t="s">
        <v>5</v>
      </c>
      <c r="H1260" s="161" t="s">
        <v>2051</v>
      </c>
      <c r="I1260" s="97" t="s">
        <v>2052</v>
      </c>
      <c r="J1260" s="97" t="s">
        <v>3097</v>
      </c>
      <c r="K1260" s="29">
        <v>17</v>
      </c>
      <c r="L1260" s="29">
        <v>-5.0999999999999996</v>
      </c>
      <c r="M1260" s="30">
        <f>IFERROR(VLOOKUP($A1260,HeadJournal!$A$1:$J$890,COLUMN(HeadJournal!I$1),0)*($K1260+$L1260)/(SUMIF($A:$A,$A1260,$K:$K)+SUMIF($A:$A,$A1260,$L:$L)),0)</f>
        <v>1.3383224928150057</v>
      </c>
      <c r="N1260" s="30">
        <f>IFERROR((VLOOKUP($A1260,HeadJournal!$A$1:$K$890,COLUMN(HeadJournal!K$1),0)-VLOOKUP($A1260,HeadJournal!$A$1:$K$890,COLUMN(HeadJournal!J$1),0))*($K1260+$L1260)/(SUMIF($A:$A,$A1260,$K:$K)+SUMIF($A:$A,$A1260,$L:$L)),0)</f>
        <v>2.5579968402798953E-15</v>
      </c>
      <c r="O1260" s="30">
        <f>IFERROR((VLOOKUP($A1260,HeadJournal!$A$1:$L$890,COLUMN(HeadJournal!L$1),0)*($K1260+$L1260)/(SUMIF($A:$A,$A1260,$K:$K)+SUMIF($A:$A,$A1260,$L:$L)))/VLOOKUP($A1260,HeadJournal!$A$1:$L$890,COLUMN(HeadJournal!H$1),0),0)</f>
        <v>0.71151090770090675</v>
      </c>
      <c r="P1260" s="30">
        <f>IFERROR(SUM(K1260:O1260)*VLOOKUP($A1260,HeadJournal!$A$1:$L$890,COLUMN(HeadJournal!H$1),0),0)</f>
        <v>1179.45182271971</v>
      </c>
      <c r="Q1260" s="29">
        <v>2200</v>
      </c>
      <c r="R1260" s="31">
        <v>45289</v>
      </c>
      <c r="S1260" s="31" t="s">
        <v>3121</v>
      </c>
      <c r="T1260" s="95" t="str">
        <f t="shared" si="100"/>
        <v>2023 12</v>
      </c>
      <c r="U1260" s="32">
        <f t="shared" si="97"/>
        <v>1020.54817728029</v>
      </c>
      <c r="V1260" s="22">
        <f t="shared" si="98"/>
        <v>0.86527330546405667</v>
      </c>
      <c r="X1260" s="33"/>
      <c r="Y1260" s="33"/>
    </row>
    <row r="1261" spans="1:25" x14ac:dyDescent="0.2">
      <c r="A1261" s="93" t="s">
        <v>571</v>
      </c>
      <c r="B1261" s="94" t="str">
        <f>IFERROR(VLOOKUP($A1261,HeadJournal!$A$1:$NTR$890,COLUMN(HeadJournal!B$1),0),"")</f>
        <v>710000688854</v>
      </c>
      <c r="C1261" s="94" t="str">
        <f>IFERROR(VLOOKUP($A1261,HeadJournal!$A$1:$NTR$890,COLUMN(HeadJournal!C$1),0),"")</f>
        <v>iHerb_AV CYG0792</v>
      </c>
      <c r="D1261" s="125" t="str">
        <f>IFERROR(VLOOKUP($A1261,HeadJournal!$A$1:$NTR$890,COLUMN(HeadJournal!D$1),0),"")</f>
        <v>Доставлен</v>
      </c>
      <c r="E1261" s="95">
        <f>IFERROR(VLOOKUP($A1261,HeadJournal!$A$1:$NTR$890,COLUMN(HeadJournal!G$1),0),"")</f>
        <v>45004</v>
      </c>
      <c r="F1261" s="95" t="str">
        <f t="shared" si="99"/>
        <v>2023 03</v>
      </c>
      <c r="G1261" s="96" t="s">
        <v>5</v>
      </c>
      <c r="H1261" s="161" t="s">
        <v>2051</v>
      </c>
      <c r="I1261" s="97" t="s">
        <v>2052</v>
      </c>
      <c r="J1261" s="97" t="s">
        <v>3097</v>
      </c>
      <c r="K1261" s="29">
        <v>17</v>
      </c>
      <c r="L1261" s="29">
        <v>-5.0999999999999996</v>
      </c>
      <c r="M1261" s="30">
        <f>IFERROR(VLOOKUP($A1261,HeadJournal!$A$1:$J$890,COLUMN(HeadJournal!I$1),0)*($K1261+$L1261)/(SUMIF($A:$A,$A1261,$K:$K)+SUMIF($A:$A,$A1261,$L:$L)),0)</f>
        <v>1.3383224928150057</v>
      </c>
      <c r="N1261" s="30">
        <f>IFERROR((VLOOKUP($A1261,HeadJournal!$A$1:$K$890,COLUMN(HeadJournal!K$1),0)-VLOOKUP($A1261,HeadJournal!$A$1:$K$890,COLUMN(HeadJournal!J$1),0))*($K1261+$L1261)/(SUMIF($A:$A,$A1261,$K:$K)+SUMIF($A:$A,$A1261,$L:$L)),0)</f>
        <v>2.5579968402798953E-15</v>
      </c>
      <c r="O1261" s="30">
        <f>IFERROR((VLOOKUP($A1261,HeadJournal!$A$1:$L$890,COLUMN(HeadJournal!L$1),0)*($K1261+$L1261)/(SUMIF($A:$A,$A1261,$K:$K)+SUMIF($A:$A,$A1261,$L:$L)))/VLOOKUP($A1261,HeadJournal!$A$1:$L$890,COLUMN(HeadJournal!H$1),0),0)</f>
        <v>0.71151090770090675</v>
      </c>
      <c r="P1261" s="30">
        <f>IFERROR(SUM(K1261:O1261)*VLOOKUP($A1261,HeadJournal!$A$1:$L$890,COLUMN(HeadJournal!H$1),0),0)</f>
        <v>1179.45182271971</v>
      </c>
      <c r="Q1261" s="29">
        <v>2200</v>
      </c>
      <c r="R1261" s="31">
        <v>45289</v>
      </c>
      <c r="S1261" s="31" t="s">
        <v>3121</v>
      </c>
      <c r="T1261" s="95" t="str">
        <f t="shared" si="100"/>
        <v>2023 12</v>
      </c>
      <c r="U1261" s="32">
        <f t="shared" si="97"/>
        <v>1020.54817728029</v>
      </c>
      <c r="V1261" s="22">
        <f t="shared" si="98"/>
        <v>0.86527330546405667</v>
      </c>
      <c r="X1261" s="33"/>
      <c r="Y1261" s="33"/>
    </row>
    <row r="1262" spans="1:25" x14ac:dyDescent="0.2">
      <c r="A1262" s="93" t="s">
        <v>571</v>
      </c>
      <c r="B1262" s="94" t="str">
        <f>IFERROR(VLOOKUP($A1262,HeadJournal!$A$1:$NTR$890,COLUMN(HeadJournal!B$1),0),"")</f>
        <v>710000688854</v>
      </c>
      <c r="C1262" s="94" t="str">
        <f>IFERROR(VLOOKUP($A1262,HeadJournal!$A$1:$NTR$890,COLUMN(HeadJournal!C$1),0),"")</f>
        <v>iHerb_AV CYG0792</v>
      </c>
      <c r="D1262" s="125" t="str">
        <f>IFERROR(VLOOKUP($A1262,HeadJournal!$A$1:$NTR$890,COLUMN(HeadJournal!D$1),0),"")</f>
        <v>Доставлен</v>
      </c>
      <c r="E1262" s="95">
        <f>IFERROR(VLOOKUP($A1262,HeadJournal!$A$1:$NTR$890,COLUMN(HeadJournal!G$1),0),"")</f>
        <v>45004</v>
      </c>
      <c r="F1262" s="95" t="str">
        <f t="shared" si="99"/>
        <v>2023 03</v>
      </c>
      <c r="G1262" s="96" t="s">
        <v>5</v>
      </c>
      <c r="H1262" s="161" t="s">
        <v>2565</v>
      </c>
      <c r="I1262" s="97" t="s">
        <v>2052</v>
      </c>
      <c r="J1262" s="97" t="s">
        <v>3829</v>
      </c>
      <c r="K1262" s="29">
        <v>22</v>
      </c>
      <c r="L1262" s="29">
        <v>-6.6</v>
      </c>
      <c r="M1262" s="30">
        <f>IFERROR(VLOOKUP($A1262,HeadJournal!$A$1:$J$890,COLUMN(HeadJournal!I$1),0)*($K1262+$L1262)/(SUMIF($A:$A,$A1262,$K:$K)+SUMIF($A:$A,$A1262,$L:$L)),0)</f>
        <v>1.7319467554076542</v>
      </c>
      <c r="N1262" s="30">
        <f>IFERROR((VLOOKUP($A1262,HeadJournal!$A$1:$K$890,COLUMN(HeadJournal!K$1),0)-VLOOKUP($A1262,HeadJournal!$A$1:$K$890,COLUMN(HeadJournal!J$1),0))*($K1262+$L1262)/(SUMIF($A:$A,$A1262,$K:$K)+SUMIF($A:$A,$A1262,$L:$L)),0)</f>
        <v>3.3103488521269237E-15</v>
      </c>
      <c r="O1262" s="30">
        <f>IFERROR((VLOOKUP($A1262,HeadJournal!$A$1:$L$890,COLUMN(HeadJournal!L$1),0)*($K1262+$L1262)/(SUMIF($A:$A,$A1262,$K:$K)+SUMIF($A:$A,$A1262,$L:$L)))/VLOOKUP($A1262,HeadJournal!$A$1:$L$890,COLUMN(HeadJournal!H$1),0),0)</f>
        <v>0.92077882173058512</v>
      </c>
      <c r="P1262" s="30">
        <f>IFERROR(SUM(K1262:O1262)*VLOOKUP($A1262,HeadJournal!$A$1:$L$890,COLUMN(HeadJournal!H$1),0),0)</f>
        <v>1526.3494176372717</v>
      </c>
      <c r="Q1262" s="29">
        <v>2600</v>
      </c>
      <c r="R1262" s="31">
        <v>45139</v>
      </c>
      <c r="S1262" s="31" t="s">
        <v>3121</v>
      </c>
      <c r="T1262" s="95" t="str">
        <f t="shared" si="100"/>
        <v>2023 08</v>
      </c>
      <c r="U1262" s="32">
        <f t="shared" si="97"/>
        <v>1073.6505823627283</v>
      </c>
      <c r="V1262" s="22">
        <f t="shared" si="98"/>
        <v>0.70341074589899399</v>
      </c>
      <c r="X1262" s="33"/>
      <c r="Y1262" s="33"/>
    </row>
    <row r="1263" spans="1:25" x14ac:dyDescent="0.2">
      <c r="A1263" s="93" t="s">
        <v>571</v>
      </c>
      <c r="B1263" s="94" t="str">
        <f>IFERROR(VLOOKUP($A1263,HeadJournal!$A$1:$NTR$890,COLUMN(HeadJournal!B$1),0),"")</f>
        <v>710000688854</v>
      </c>
      <c r="C1263" s="94" t="str">
        <f>IFERROR(VLOOKUP($A1263,HeadJournal!$A$1:$NTR$890,COLUMN(HeadJournal!C$1),0),"")</f>
        <v>iHerb_AV CYG0792</v>
      </c>
      <c r="D1263" s="125" t="str">
        <f>IFERROR(VLOOKUP($A1263,HeadJournal!$A$1:$NTR$890,COLUMN(HeadJournal!D$1),0),"")</f>
        <v>Доставлен</v>
      </c>
      <c r="E1263" s="95">
        <f>IFERROR(VLOOKUP($A1263,HeadJournal!$A$1:$NTR$890,COLUMN(HeadJournal!G$1),0),"")</f>
        <v>45004</v>
      </c>
      <c r="F1263" s="95" t="str">
        <f t="shared" si="99"/>
        <v>2023 03</v>
      </c>
      <c r="G1263" s="96" t="s">
        <v>5</v>
      </c>
      <c r="H1263" s="161" t="s">
        <v>2565</v>
      </c>
      <c r="I1263" s="97" t="s">
        <v>2052</v>
      </c>
      <c r="J1263" s="97" t="s">
        <v>3829</v>
      </c>
      <c r="K1263" s="29">
        <v>22</v>
      </c>
      <c r="L1263" s="29">
        <v>-6.6</v>
      </c>
      <c r="M1263" s="30">
        <f>IFERROR(VLOOKUP($A1263,HeadJournal!$A$1:$J$890,COLUMN(HeadJournal!I$1),0)*($K1263+$L1263)/(SUMIF($A:$A,$A1263,$K:$K)+SUMIF($A:$A,$A1263,$L:$L)),0)</f>
        <v>1.7319467554076542</v>
      </c>
      <c r="N1263" s="30">
        <f>IFERROR((VLOOKUP($A1263,HeadJournal!$A$1:$K$890,COLUMN(HeadJournal!K$1),0)-VLOOKUP($A1263,HeadJournal!$A$1:$K$890,COLUMN(HeadJournal!J$1),0))*($K1263+$L1263)/(SUMIF($A:$A,$A1263,$K:$K)+SUMIF($A:$A,$A1263,$L:$L)),0)</f>
        <v>3.3103488521269237E-15</v>
      </c>
      <c r="O1263" s="30">
        <f>IFERROR((VLOOKUP($A1263,HeadJournal!$A$1:$L$890,COLUMN(HeadJournal!L$1),0)*($K1263+$L1263)/(SUMIF($A:$A,$A1263,$K:$K)+SUMIF($A:$A,$A1263,$L:$L)))/VLOOKUP($A1263,HeadJournal!$A$1:$L$890,COLUMN(HeadJournal!H$1),0),0)</f>
        <v>0.92077882173058512</v>
      </c>
      <c r="P1263" s="30">
        <f>IFERROR(SUM(K1263:O1263)*VLOOKUP($A1263,HeadJournal!$A$1:$L$890,COLUMN(HeadJournal!H$1),0),0)</f>
        <v>1526.3494176372717</v>
      </c>
      <c r="Q1263" s="29">
        <v>2600</v>
      </c>
      <c r="R1263" s="31">
        <v>45152</v>
      </c>
      <c r="S1263" s="31" t="s">
        <v>3121</v>
      </c>
      <c r="T1263" s="95" t="str">
        <f t="shared" si="100"/>
        <v>2023 08</v>
      </c>
      <c r="U1263" s="32">
        <f t="shared" si="97"/>
        <v>1073.6505823627283</v>
      </c>
      <c r="V1263" s="22">
        <f t="shared" si="98"/>
        <v>0.70341074589899399</v>
      </c>
      <c r="X1263" s="33"/>
      <c r="Y1263" s="33"/>
    </row>
    <row r="1264" spans="1:25" x14ac:dyDescent="0.2">
      <c r="A1264" s="93" t="s">
        <v>571</v>
      </c>
      <c r="B1264" s="94" t="str">
        <f>IFERROR(VLOOKUP($A1264,HeadJournal!$A$1:$NTR$890,COLUMN(HeadJournal!B$1),0),"")</f>
        <v>710000688854</v>
      </c>
      <c r="C1264" s="94" t="str">
        <f>IFERROR(VLOOKUP($A1264,HeadJournal!$A$1:$NTR$890,COLUMN(HeadJournal!C$1),0),"")</f>
        <v>iHerb_AV CYG0792</v>
      </c>
      <c r="D1264" s="125" t="str">
        <f>IFERROR(VLOOKUP($A1264,HeadJournal!$A$1:$NTR$890,COLUMN(HeadJournal!D$1),0),"")</f>
        <v>Доставлен</v>
      </c>
      <c r="E1264" s="95">
        <f>IFERROR(VLOOKUP($A1264,HeadJournal!$A$1:$NTR$890,COLUMN(HeadJournal!G$1),0),"")</f>
        <v>45004</v>
      </c>
      <c r="F1264" s="95" t="str">
        <f t="shared" si="99"/>
        <v>2023 03</v>
      </c>
      <c r="G1264" s="96" t="s">
        <v>5</v>
      </c>
      <c r="H1264" s="161" t="s">
        <v>3573</v>
      </c>
      <c r="I1264" s="97" t="s">
        <v>2052</v>
      </c>
      <c r="J1264" s="97" t="s">
        <v>3574</v>
      </c>
      <c r="K1264" s="29">
        <v>14</v>
      </c>
      <c r="L1264" s="29">
        <v>-4.2</v>
      </c>
      <c r="M1264" s="30">
        <f>IFERROR(VLOOKUP($A1264,HeadJournal!$A$1:$J$890,COLUMN(HeadJournal!I$1),0)*($K1264+$L1264)/(SUMIF($A:$A,$A1264,$K:$K)+SUMIF($A:$A,$A1264,$L:$L)),0)</f>
        <v>1.1021479352594163</v>
      </c>
      <c r="N1264" s="30">
        <f>IFERROR((VLOOKUP($A1264,HeadJournal!$A$1:$K$890,COLUMN(HeadJournal!K$1),0)-VLOOKUP($A1264,HeadJournal!$A$1:$K$890,COLUMN(HeadJournal!J$1),0))*($K1264+$L1264)/(SUMIF($A:$A,$A1264,$K:$K)+SUMIF($A:$A,$A1264,$L:$L)),0)</f>
        <v>2.1065856331716786E-15</v>
      </c>
      <c r="O1264" s="30">
        <f>IFERROR((VLOOKUP($A1264,HeadJournal!$A$1:$L$890,COLUMN(HeadJournal!L$1),0)*($K1264+$L1264)/(SUMIF($A:$A,$A1264,$K:$K)+SUMIF($A:$A,$A1264,$L:$L)))/VLOOKUP($A1264,HeadJournal!$A$1:$L$890,COLUMN(HeadJournal!H$1),0),0)</f>
        <v>0.58595015928309968</v>
      </c>
      <c r="P1264" s="30">
        <f>IFERROR(SUM(K1264:O1264)*VLOOKUP($A1264,HeadJournal!$A$1:$L$890,COLUMN(HeadJournal!H$1),0),0)</f>
        <v>971.31326576917297</v>
      </c>
      <c r="Q1264" s="29">
        <v>2000</v>
      </c>
      <c r="R1264" s="31">
        <v>45160</v>
      </c>
      <c r="S1264" s="31" t="s">
        <v>3121</v>
      </c>
      <c r="T1264" s="95" t="str">
        <f t="shared" si="100"/>
        <v>2023 08</v>
      </c>
      <c r="U1264" s="32">
        <f t="shared" si="97"/>
        <v>1028.6867342308269</v>
      </c>
      <c r="V1264" s="22">
        <f t="shared" si="98"/>
        <v>1.0590679346031793</v>
      </c>
      <c r="X1264" s="33"/>
      <c r="Y1264" s="33"/>
    </row>
    <row r="1265" spans="1:25" x14ac:dyDescent="0.2">
      <c r="A1265" s="93" t="s">
        <v>571</v>
      </c>
      <c r="B1265" s="94" t="str">
        <f>IFERROR(VLOOKUP($A1265,HeadJournal!$A$1:$NTR$890,COLUMN(HeadJournal!B$1),0),"")</f>
        <v>710000688854</v>
      </c>
      <c r="C1265" s="94" t="str">
        <f>IFERROR(VLOOKUP($A1265,HeadJournal!$A$1:$NTR$890,COLUMN(HeadJournal!C$1),0),"")</f>
        <v>iHerb_AV CYG0792</v>
      </c>
      <c r="D1265" s="125" t="str">
        <f>IFERROR(VLOOKUP($A1265,HeadJournal!$A$1:$NTR$890,COLUMN(HeadJournal!D$1),0),"")</f>
        <v>Доставлен</v>
      </c>
      <c r="E1265" s="95">
        <f>IFERROR(VLOOKUP($A1265,HeadJournal!$A$1:$NTR$890,COLUMN(HeadJournal!G$1),0),"")</f>
        <v>45004</v>
      </c>
      <c r="F1265" s="95" t="str">
        <f t="shared" si="99"/>
        <v>2023 03</v>
      </c>
      <c r="G1265" s="96" t="s">
        <v>5</v>
      </c>
      <c r="H1265" s="161" t="s">
        <v>3573</v>
      </c>
      <c r="I1265" s="97" t="s">
        <v>2052</v>
      </c>
      <c r="J1265" s="97" t="s">
        <v>3574</v>
      </c>
      <c r="K1265" s="29">
        <v>14</v>
      </c>
      <c r="L1265" s="29">
        <v>-4.2</v>
      </c>
      <c r="M1265" s="30">
        <f>IFERROR(VLOOKUP($A1265,HeadJournal!$A$1:$J$890,COLUMN(HeadJournal!I$1),0)*($K1265+$L1265)/(SUMIF($A:$A,$A1265,$K:$K)+SUMIF($A:$A,$A1265,$L:$L)),0)</f>
        <v>1.1021479352594163</v>
      </c>
      <c r="N1265" s="30">
        <f>IFERROR((VLOOKUP($A1265,HeadJournal!$A$1:$K$890,COLUMN(HeadJournal!K$1),0)-VLOOKUP($A1265,HeadJournal!$A$1:$K$890,COLUMN(HeadJournal!J$1),0))*($K1265+$L1265)/(SUMIF($A:$A,$A1265,$K:$K)+SUMIF($A:$A,$A1265,$L:$L)),0)</f>
        <v>2.1065856331716786E-15</v>
      </c>
      <c r="O1265" s="30">
        <f>IFERROR((VLOOKUP($A1265,HeadJournal!$A$1:$L$890,COLUMN(HeadJournal!L$1),0)*($K1265+$L1265)/(SUMIF($A:$A,$A1265,$K:$K)+SUMIF($A:$A,$A1265,$L:$L)))/VLOOKUP($A1265,HeadJournal!$A$1:$L$890,COLUMN(HeadJournal!H$1),0),0)</f>
        <v>0.58595015928309968</v>
      </c>
      <c r="P1265" s="30">
        <f>IFERROR(SUM(K1265:O1265)*VLOOKUP($A1265,HeadJournal!$A$1:$L$890,COLUMN(HeadJournal!H$1),0),0)</f>
        <v>971.31326576917297</v>
      </c>
      <c r="Q1265" s="29">
        <v>2200</v>
      </c>
      <c r="R1265" s="31">
        <v>45216</v>
      </c>
      <c r="S1265" s="31" t="s">
        <v>3121</v>
      </c>
      <c r="T1265" s="95" t="str">
        <f t="shared" si="100"/>
        <v>2023 10</v>
      </c>
      <c r="U1265" s="32">
        <f t="shared" si="97"/>
        <v>1228.6867342308269</v>
      </c>
      <c r="V1265" s="22">
        <f t="shared" si="98"/>
        <v>1.2649747280634971</v>
      </c>
      <c r="X1265" s="33"/>
      <c r="Y1265" s="33"/>
    </row>
    <row r="1266" spans="1:25" x14ac:dyDescent="0.2">
      <c r="A1266" s="93" t="s">
        <v>571</v>
      </c>
      <c r="B1266" s="94" t="str">
        <f>IFERROR(VLOOKUP($A1266,HeadJournal!$A$1:$NTR$890,COLUMN(HeadJournal!B$1),0),"")</f>
        <v>710000688854</v>
      </c>
      <c r="C1266" s="94" t="str">
        <f>IFERROR(VLOOKUP($A1266,HeadJournal!$A$1:$NTR$890,COLUMN(HeadJournal!C$1),0),"")</f>
        <v>iHerb_AV CYG0792</v>
      </c>
      <c r="D1266" s="125" t="str">
        <f>IFERROR(VLOOKUP($A1266,HeadJournal!$A$1:$NTR$890,COLUMN(HeadJournal!D$1),0),"")</f>
        <v>Доставлен</v>
      </c>
      <c r="E1266" s="95">
        <f>IFERROR(VLOOKUP($A1266,HeadJournal!$A$1:$NTR$890,COLUMN(HeadJournal!G$1),0),"")</f>
        <v>45004</v>
      </c>
      <c r="F1266" s="95" t="str">
        <f t="shared" si="99"/>
        <v>2023 03</v>
      </c>
      <c r="G1266" s="96" t="s">
        <v>7</v>
      </c>
      <c r="H1266" s="175" t="s">
        <v>3640</v>
      </c>
      <c r="I1266" s="176" t="s">
        <v>3685</v>
      </c>
      <c r="J1266" s="97" t="s">
        <v>3686</v>
      </c>
      <c r="K1266" s="29">
        <v>9.92</v>
      </c>
      <c r="L1266" s="29">
        <v>-2.48</v>
      </c>
      <c r="M1266" s="30">
        <f>IFERROR(VLOOKUP($A1266,HeadJournal!$A$1:$J$890,COLUMN(HeadJournal!I$1),0)*($K1266+$L1266)/(SUMIF($A:$A,$A1266,$K:$K)+SUMIF($A:$A,$A1266,$L:$L)),0)</f>
        <v>0.83673271819694461</v>
      </c>
      <c r="N1266" s="30">
        <f>IFERROR((VLOOKUP($A1266,HeadJournal!$A$1:$K$890,COLUMN(HeadJournal!K$1),0)-VLOOKUP($A1266,HeadJournal!$A$1:$K$890,COLUMN(HeadJournal!J$1),0))*($K1266+$L1266)/(SUMIF($A:$A,$A1266,$K:$K)+SUMIF($A:$A,$A1266,$L:$L)),0)</f>
        <v>1.5992854194691108E-15</v>
      </c>
      <c r="O1266" s="30">
        <f>IFERROR((VLOOKUP($A1266,HeadJournal!$A$1:$L$890,COLUMN(HeadJournal!L$1),0)*($K1266+$L1266)/(SUMIF($A:$A,$A1266,$K:$K)+SUMIF($A:$A,$A1266,$L:$L)))/VLOOKUP($A1266,HeadJournal!$A$1:$L$890,COLUMN(HeadJournal!H$1),0),0)</f>
        <v>0.44484379439451643</v>
      </c>
      <c r="P1266" s="30">
        <f>IFERROR(SUM(K1266:O1266)*VLOOKUP($A1266,HeadJournal!$A$1:$L$890,COLUMN(HeadJournal!H$1),0),0)</f>
        <v>737.40517319618846</v>
      </c>
      <c r="Q1266" s="29">
        <v>1000</v>
      </c>
      <c r="R1266" s="31">
        <v>45079</v>
      </c>
      <c r="S1266" s="31" t="s">
        <v>3121</v>
      </c>
      <c r="T1266" s="95" t="str">
        <f t="shared" si="100"/>
        <v>2023 06</v>
      </c>
      <c r="U1266" s="32">
        <f t="shared" si="97"/>
        <v>262.59482680381154</v>
      </c>
      <c r="V1266" s="22">
        <f t="shared" si="98"/>
        <v>0.35610656983273908</v>
      </c>
      <c r="X1266" s="33"/>
      <c r="Y1266" s="33"/>
    </row>
    <row r="1267" spans="1:25" x14ac:dyDescent="0.2">
      <c r="A1267" s="93" t="s">
        <v>571</v>
      </c>
      <c r="B1267" s="94" t="str">
        <f>IFERROR(VLOOKUP($A1267,HeadJournal!$A$1:$NTR$890,COLUMN(HeadJournal!B$1),0),"")</f>
        <v>710000688854</v>
      </c>
      <c r="C1267" s="94" t="str">
        <f>IFERROR(VLOOKUP($A1267,HeadJournal!$A$1:$NTR$890,COLUMN(HeadJournal!C$1),0),"")</f>
        <v>iHerb_AV CYG0792</v>
      </c>
      <c r="D1267" s="125" t="str">
        <f>IFERROR(VLOOKUP($A1267,HeadJournal!$A$1:$NTR$890,COLUMN(HeadJournal!D$1),0),"")</f>
        <v>Доставлен</v>
      </c>
      <c r="E1267" s="95">
        <f>IFERROR(VLOOKUP($A1267,HeadJournal!$A$1:$NTR$890,COLUMN(HeadJournal!G$1),0),"")</f>
        <v>45004</v>
      </c>
      <c r="F1267" s="95" t="str">
        <f t="shared" si="99"/>
        <v>2023 03</v>
      </c>
      <c r="G1267" s="96" t="s">
        <v>7</v>
      </c>
      <c r="H1267" s="175" t="s">
        <v>3640</v>
      </c>
      <c r="I1267" s="176" t="s">
        <v>3685</v>
      </c>
      <c r="J1267" s="97" t="s">
        <v>3686</v>
      </c>
      <c r="K1267" s="29">
        <v>9.92</v>
      </c>
      <c r="L1267" s="29">
        <v>-2.48</v>
      </c>
      <c r="M1267" s="30">
        <f>IFERROR(VLOOKUP($A1267,HeadJournal!$A$1:$J$890,COLUMN(HeadJournal!I$1),0)*($K1267+$L1267)/(SUMIF($A:$A,$A1267,$K:$K)+SUMIF($A:$A,$A1267,$L:$L)),0)</f>
        <v>0.83673271819694461</v>
      </c>
      <c r="N1267" s="30">
        <f>IFERROR((VLOOKUP($A1267,HeadJournal!$A$1:$K$890,COLUMN(HeadJournal!K$1),0)-VLOOKUP($A1267,HeadJournal!$A$1:$K$890,COLUMN(HeadJournal!J$1),0))*($K1267+$L1267)/(SUMIF($A:$A,$A1267,$K:$K)+SUMIF($A:$A,$A1267,$L:$L)),0)</f>
        <v>1.5992854194691108E-15</v>
      </c>
      <c r="O1267" s="30">
        <f>IFERROR((VLOOKUP($A1267,HeadJournal!$A$1:$L$890,COLUMN(HeadJournal!L$1),0)*($K1267+$L1267)/(SUMIF($A:$A,$A1267,$K:$K)+SUMIF($A:$A,$A1267,$L:$L)))/VLOOKUP($A1267,HeadJournal!$A$1:$L$890,COLUMN(HeadJournal!H$1),0),0)</f>
        <v>0.44484379439451643</v>
      </c>
      <c r="P1267" s="30">
        <f>IFERROR(SUM(K1267:O1267)*VLOOKUP($A1267,HeadJournal!$A$1:$L$890,COLUMN(HeadJournal!H$1),0),0)</f>
        <v>737.40517319618846</v>
      </c>
      <c r="Q1267" s="29">
        <v>1500</v>
      </c>
      <c r="R1267" s="31">
        <v>45573</v>
      </c>
      <c r="S1267" s="31" t="s">
        <v>3121</v>
      </c>
      <c r="T1267" s="95" t="str">
        <f t="shared" si="100"/>
        <v>2024 10</v>
      </c>
      <c r="U1267" s="32">
        <f t="shared" si="97"/>
        <v>762.59482680381154</v>
      </c>
      <c r="V1267" s="22">
        <f t="shared" si="98"/>
        <v>1.0341598547491087</v>
      </c>
      <c r="X1267" s="33"/>
      <c r="Y1267" s="33"/>
    </row>
    <row r="1268" spans="1:25" x14ac:dyDescent="0.2">
      <c r="A1268" s="93" t="s">
        <v>571</v>
      </c>
      <c r="B1268" s="94" t="str">
        <f>IFERROR(VLOOKUP($A1268,HeadJournal!$A$1:$NTR$890,COLUMN(HeadJournal!B$1),0),"")</f>
        <v>710000688854</v>
      </c>
      <c r="C1268" s="94" t="str">
        <f>IFERROR(VLOOKUP($A1268,HeadJournal!$A$1:$NTR$890,COLUMN(HeadJournal!C$1),0),"")</f>
        <v>iHerb_AV CYG0792</v>
      </c>
      <c r="D1268" s="125" t="str">
        <f>IFERROR(VLOOKUP($A1268,HeadJournal!$A$1:$NTR$890,COLUMN(HeadJournal!D$1),0),"")</f>
        <v>Доставлен</v>
      </c>
      <c r="E1268" s="95">
        <f>IFERROR(VLOOKUP($A1268,HeadJournal!$A$1:$NTR$890,COLUMN(HeadJournal!G$1),0),"")</f>
        <v>45004</v>
      </c>
      <c r="F1268" s="95" t="str">
        <f t="shared" si="99"/>
        <v>2023 03</v>
      </c>
      <c r="G1268" s="96" t="s">
        <v>7</v>
      </c>
      <c r="H1268" s="175" t="s">
        <v>3640</v>
      </c>
      <c r="I1268" s="176" t="s">
        <v>3685</v>
      </c>
      <c r="J1268" s="97" t="s">
        <v>3686</v>
      </c>
      <c r="K1268" s="29">
        <v>9.92</v>
      </c>
      <c r="L1268" s="29">
        <v>-2.48</v>
      </c>
      <c r="M1268" s="30">
        <f>IFERROR(VLOOKUP($A1268,HeadJournal!$A$1:$J$890,COLUMN(HeadJournal!I$1),0)*($K1268+$L1268)/(SUMIF($A:$A,$A1268,$K:$K)+SUMIF($A:$A,$A1268,$L:$L)),0)</f>
        <v>0.83673271819694461</v>
      </c>
      <c r="N1268" s="30">
        <f>IFERROR((VLOOKUP($A1268,HeadJournal!$A$1:$K$890,COLUMN(HeadJournal!K$1),0)-VLOOKUP($A1268,HeadJournal!$A$1:$K$890,COLUMN(HeadJournal!J$1),0))*($K1268+$L1268)/(SUMIF($A:$A,$A1268,$K:$K)+SUMIF($A:$A,$A1268,$L:$L)),0)</f>
        <v>1.5992854194691108E-15</v>
      </c>
      <c r="O1268" s="30">
        <f>IFERROR((VLOOKUP($A1268,HeadJournal!$A$1:$L$890,COLUMN(HeadJournal!L$1),0)*($K1268+$L1268)/(SUMIF($A:$A,$A1268,$K:$K)+SUMIF($A:$A,$A1268,$L:$L)))/VLOOKUP($A1268,HeadJournal!$A$1:$L$890,COLUMN(HeadJournal!H$1),0),0)</f>
        <v>0.44484379439451643</v>
      </c>
      <c r="P1268" s="30">
        <f>IFERROR(SUM(K1268:O1268)*VLOOKUP($A1268,HeadJournal!$A$1:$L$890,COLUMN(HeadJournal!H$1),0),0)</f>
        <v>737.40517319618846</v>
      </c>
      <c r="Q1268" s="29"/>
      <c r="R1268" s="31"/>
      <c r="S1268" s="31"/>
      <c r="T1268" s="95" t="str">
        <f t="shared" si="100"/>
        <v/>
      </c>
      <c r="U1268" s="32">
        <f t="shared" si="97"/>
        <v>-737.40517319618846</v>
      </c>
      <c r="V1268" s="22" t="str">
        <f t="shared" si="98"/>
        <v/>
      </c>
      <c r="X1268" s="33"/>
      <c r="Y1268" s="33"/>
    </row>
    <row r="1269" spans="1:25" x14ac:dyDescent="0.2">
      <c r="A1269" s="93" t="s">
        <v>572</v>
      </c>
      <c r="B1269" s="94" t="str">
        <f>IFERROR(VLOOKUP($A1269,HeadJournal!$A$1:$NTR$890,COLUMN(HeadJournal!B$1),0),"")</f>
        <v>710000677963</v>
      </c>
      <c r="C1269" s="94" t="str">
        <f>IFERROR(VLOOKUP($A1269,HeadJournal!$A$1:$NTR$890,COLUMN(HeadJournal!C$1),0),"")</f>
        <v>iHerb_OA CZN6870</v>
      </c>
      <c r="D1269" s="125" t="str">
        <f>IFERROR(VLOOKUP($A1269,HeadJournal!$A$1:$NTR$890,COLUMN(HeadJournal!D$1),0),"")</f>
        <v>Доставлен</v>
      </c>
      <c r="E1269" s="95">
        <f>IFERROR(VLOOKUP($A1269,HeadJournal!$A$1:$NTR$890,COLUMN(HeadJournal!G$1),0),"")</f>
        <v>44999</v>
      </c>
      <c r="F1269" s="95" t="str">
        <f t="shared" si="99"/>
        <v>2023 03</v>
      </c>
      <c r="G1269" s="96" t="s">
        <v>5</v>
      </c>
      <c r="H1269" s="161" t="s">
        <v>2223</v>
      </c>
      <c r="I1269" s="97" t="s">
        <v>2008</v>
      </c>
      <c r="J1269" s="97" t="s">
        <v>2224</v>
      </c>
      <c r="K1269" s="29">
        <v>10.23</v>
      </c>
      <c r="L1269" s="29">
        <v>-1.5333333333333332</v>
      </c>
      <c r="M1269" s="30">
        <f>IFERROR(VLOOKUP($A1269,HeadJournal!$A$1:$J$890,COLUMN(HeadJournal!I$1),0)*($K1269+$L1269)/(SUMIF($A:$A,$A1269,$K:$K)+SUMIF($A:$A,$A1269,$L:$L)),0)</f>
        <v>0.6254026169718776</v>
      </c>
      <c r="N1269" s="30">
        <f>IFERROR((VLOOKUP($A1269,HeadJournal!$A$1:$K$890,COLUMN(HeadJournal!K$1),0)-VLOOKUP($A1269,HeadJournal!$A$1:$K$890,COLUMN(HeadJournal!J$1),0))*($K1269+$L1269)/(SUMIF($A:$A,$A1269,$K:$K)+SUMIF($A:$A,$A1269,$L:$L)),0)</f>
        <v>-1.1401546797042307E-15</v>
      </c>
      <c r="O1269" s="30">
        <f>IFERROR((VLOOKUP($A1269,HeadJournal!$A$1:$L$890,COLUMN(HeadJournal!L$1),0)*($K1269+$L1269)/(SUMIF($A:$A,$A1269,$K:$K)+SUMIF($A:$A,$A1269,$L:$L)))/VLOOKUP($A1269,HeadJournal!$A$1:$L$890,COLUMN(HeadJournal!H$1),0),0)</f>
        <v>0.65696638865146673</v>
      </c>
      <c r="P1269" s="30">
        <f>IFERROR(SUM(K1269:O1269)*VLOOKUP($A1269,HeadJournal!$A$1:$L$890,COLUMN(HeadJournal!H$1),0),0)</f>
        <v>839.36452588526527</v>
      </c>
      <c r="Q1269" s="29">
        <v>1600</v>
      </c>
      <c r="R1269" s="31">
        <v>45086</v>
      </c>
      <c r="S1269" s="31" t="s">
        <v>3121</v>
      </c>
      <c r="T1269" s="95" t="str">
        <f t="shared" si="100"/>
        <v>2023 06</v>
      </c>
      <c r="U1269" s="32">
        <f t="shared" si="97"/>
        <v>760.63547411473473</v>
      </c>
      <c r="V1269" s="22">
        <f t="shared" si="98"/>
        <v>0.90620398010328562</v>
      </c>
      <c r="X1269" s="33"/>
      <c r="Y1269" s="33"/>
    </row>
    <row r="1270" spans="1:25" x14ac:dyDescent="0.2">
      <c r="A1270" s="93" t="s">
        <v>572</v>
      </c>
      <c r="B1270" s="94" t="str">
        <f>IFERROR(VLOOKUP($A1270,HeadJournal!$A$1:$NTR$890,COLUMN(HeadJournal!B$1),0),"")</f>
        <v>710000677963</v>
      </c>
      <c r="C1270" s="94" t="str">
        <f>IFERROR(VLOOKUP($A1270,HeadJournal!$A$1:$NTR$890,COLUMN(HeadJournal!C$1),0),"")</f>
        <v>iHerb_OA CZN6870</v>
      </c>
      <c r="D1270" s="125" t="str">
        <f>IFERROR(VLOOKUP($A1270,HeadJournal!$A$1:$NTR$890,COLUMN(HeadJournal!D$1),0),"")</f>
        <v>Доставлен</v>
      </c>
      <c r="E1270" s="95">
        <f>IFERROR(VLOOKUP($A1270,HeadJournal!$A$1:$NTR$890,COLUMN(HeadJournal!G$1),0),"")</f>
        <v>44999</v>
      </c>
      <c r="F1270" s="95" t="str">
        <f t="shared" si="99"/>
        <v>2023 03</v>
      </c>
      <c r="G1270" s="96" t="s">
        <v>5</v>
      </c>
      <c r="H1270" s="161" t="s">
        <v>2223</v>
      </c>
      <c r="I1270" s="97" t="s">
        <v>2008</v>
      </c>
      <c r="J1270" s="97" t="s">
        <v>2224</v>
      </c>
      <c r="K1270" s="29">
        <v>10.23</v>
      </c>
      <c r="L1270" s="29">
        <v>-1.5333333333333332</v>
      </c>
      <c r="M1270" s="30">
        <f>IFERROR(VLOOKUP($A1270,HeadJournal!$A$1:$J$890,COLUMN(HeadJournal!I$1),0)*($K1270+$L1270)/(SUMIF($A:$A,$A1270,$K:$K)+SUMIF($A:$A,$A1270,$L:$L)),0)</f>
        <v>0.6254026169718776</v>
      </c>
      <c r="N1270" s="30">
        <f>IFERROR((VLOOKUP($A1270,HeadJournal!$A$1:$K$890,COLUMN(HeadJournal!K$1),0)-VLOOKUP($A1270,HeadJournal!$A$1:$K$890,COLUMN(HeadJournal!J$1),0))*($K1270+$L1270)/(SUMIF($A:$A,$A1270,$K:$K)+SUMIF($A:$A,$A1270,$L:$L)),0)</f>
        <v>-1.1401546797042307E-15</v>
      </c>
      <c r="O1270" s="30">
        <f>IFERROR((VLOOKUP($A1270,HeadJournal!$A$1:$L$890,COLUMN(HeadJournal!L$1),0)*($K1270+$L1270)/(SUMIF($A:$A,$A1270,$K:$K)+SUMIF($A:$A,$A1270,$L:$L)))/VLOOKUP($A1270,HeadJournal!$A$1:$L$890,COLUMN(HeadJournal!H$1),0),0)</f>
        <v>0.65696638865146673</v>
      </c>
      <c r="P1270" s="30">
        <f>IFERROR(SUM(K1270:O1270)*VLOOKUP($A1270,HeadJournal!$A$1:$L$890,COLUMN(HeadJournal!H$1),0),0)</f>
        <v>839.36452588526527</v>
      </c>
      <c r="Q1270" s="29">
        <v>1600</v>
      </c>
      <c r="R1270" s="31">
        <v>45086</v>
      </c>
      <c r="S1270" s="31" t="s">
        <v>3121</v>
      </c>
      <c r="T1270" s="95" t="str">
        <f t="shared" si="100"/>
        <v>2023 06</v>
      </c>
      <c r="U1270" s="32">
        <f t="shared" si="97"/>
        <v>760.63547411473473</v>
      </c>
      <c r="V1270" s="22">
        <f t="shared" si="98"/>
        <v>0.90620398010328562</v>
      </c>
      <c r="X1270" s="33"/>
      <c r="Y1270" s="33"/>
    </row>
    <row r="1271" spans="1:25" x14ac:dyDescent="0.2">
      <c r="A1271" s="93" t="s">
        <v>572</v>
      </c>
      <c r="B1271" s="94" t="str">
        <f>IFERROR(VLOOKUP($A1271,HeadJournal!$A$1:$NTR$890,COLUMN(HeadJournal!B$1),0),"")</f>
        <v>710000677963</v>
      </c>
      <c r="C1271" s="94" t="str">
        <f>IFERROR(VLOOKUP($A1271,HeadJournal!$A$1:$NTR$890,COLUMN(HeadJournal!C$1),0),"")</f>
        <v>iHerb_OA CZN6870</v>
      </c>
      <c r="D1271" s="125" t="str">
        <f>IFERROR(VLOOKUP($A1271,HeadJournal!$A$1:$NTR$890,COLUMN(HeadJournal!D$1),0),"")</f>
        <v>Доставлен</v>
      </c>
      <c r="E1271" s="95">
        <f>IFERROR(VLOOKUP($A1271,HeadJournal!$A$1:$NTR$890,COLUMN(HeadJournal!G$1),0),"")</f>
        <v>44999</v>
      </c>
      <c r="F1271" s="95" t="str">
        <f t="shared" si="99"/>
        <v>2023 03</v>
      </c>
      <c r="G1271" s="96" t="s">
        <v>5</v>
      </c>
      <c r="H1271" s="161" t="s">
        <v>2223</v>
      </c>
      <c r="I1271" s="97" t="s">
        <v>2008</v>
      </c>
      <c r="J1271" s="97" t="s">
        <v>2224</v>
      </c>
      <c r="K1271" s="29">
        <v>10.23</v>
      </c>
      <c r="L1271" s="29">
        <v>-1.5333333333333332</v>
      </c>
      <c r="M1271" s="30">
        <f>IFERROR(VLOOKUP($A1271,HeadJournal!$A$1:$J$890,COLUMN(HeadJournal!I$1),0)*($K1271+$L1271)/(SUMIF($A:$A,$A1271,$K:$K)+SUMIF($A:$A,$A1271,$L:$L)),0)</f>
        <v>0.6254026169718776</v>
      </c>
      <c r="N1271" s="30">
        <f>IFERROR((VLOOKUP($A1271,HeadJournal!$A$1:$K$890,COLUMN(HeadJournal!K$1),0)-VLOOKUP($A1271,HeadJournal!$A$1:$K$890,COLUMN(HeadJournal!J$1),0))*($K1271+$L1271)/(SUMIF($A:$A,$A1271,$K:$K)+SUMIF($A:$A,$A1271,$L:$L)),0)</f>
        <v>-1.1401546797042307E-15</v>
      </c>
      <c r="O1271" s="30">
        <f>IFERROR((VLOOKUP($A1271,HeadJournal!$A$1:$L$890,COLUMN(HeadJournal!L$1),0)*($K1271+$L1271)/(SUMIF($A:$A,$A1271,$K:$K)+SUMIF($A:$A,$A1271,$L:$L)))/VLOOKUP($A1271,HeadJournal!$A$1:$L$890,COLUMN(HeadJournal!H$1),0),0)</f>
        <v>0.65696638865146673</v>
      </c>
      <c r="P1271" s="30">
        <f>IFERROR(SUM(K1271:O1271)*VLOOKUP($A1271,HeadJournal!$A$1:$L$890,COLUMN(HeadJournal!H$1),0),0)</f>
        <v>839.36452588526527</v>
      </c>
      <c r="Q1271" s="29">
        <v>1600</v>
      </c>
      <c r="R1271" s="31">
        <v>45145</v>
      </c>
      <c r="S1271" s="31" t="s">
        <v>3121</v>
      </c>
      <c r="T1271" s="95" t="str">
        <f t="shared" si="100"/>
        <v>2023 08</v>
      </c>
      <c r="U1271" s="32">
        <f t="shared" si="97"/>
        <v>760.63547411473473</v>
      </c>
      <c r="V1271" s="22">
        <f t="shared" si="98"/>
        <v>0.90620398010328562</v>
      </c>
      <c r="X1271" s="33"/>
      <c r="Y1271" s="33"/>
    </row>
    <row r="1272" spans="1:25" x14ac:dyDescent="0.2">
      <c r="A1272" s="93" t="s">
        <v>572</v>
      </c>
      <c r="B1272" s="94" t="str">
        <f>IFERROR(VLOOKUP($A1272,HeadJournal!$A$1:$NTR$890,COLUMN(HeadJournal!B$1),0),"")</f>
        <v>710000677963</v>
      </c>
      <c r="C1272" s="94" t="str">
        <f>IFERROR(VLOOKUP($A1272,HeadJournal!$A$1:$NTR$890,COLUMN(HeadJournal!C$1),0),"")</f>
        <v>iHerb_OA CZN6870</v>
      </c>
      <c r="D1272" s="125" t="str">
        <f>IFERROR(VLOOKUP($A1272,HeadJournal!$A$1:$NTR$890,COLUMN(HeadJournal!D$1),0),"")</f>
        <v>Доставлен</v>
      </c>
      <c r="E1272" s="95">
        <f>IFERROR(VLOOKUP($A1272,HeadJournal!$A$1:$NTR$890,COLUMN(HeadJournal!G$1),0),"")</f>
        <v>44999</v>
      </c>
      <c r="F1272" s="95" t="str">
        <f t="shared" si="99"/>
        <v>2023 03</v>
      </c>
      <c r="G1272" s="96" t="s">
        <v>5</v>
      </c>
      <c r="H1272" s="161" t="s">
        <v>2665</v>
      </c>
      <c r="I1272" s="97" t="s">
        <v>2666</v>
      </c>
      <c r="J1272" s="97" t="s">
        <v>3930</v>
      </c>
      <c r="K1272" s="29">
        <v>7.51</v>
      </c>
      <c r="L1272" s="29">
        <v>-1.125</v>
      </c>
      <c r="M1272" s="30">
        <f>IFERROR(VLOOKUP($A1272,HeadJournal!$A$1:$J$890,COLUMN(HeadJournal!I$1),0)*($K1272+$L1272)/(SUMIF($A:$A,$A1272,$K:$K)+SUMIF($A:$A,$A1272,$L:$L)),0)</f>
        <v>0.45916393745098943</v>
      </c>
      <c r="N1272" s="30">
        <f>IFERROR((VLOOKUP($A1272,HeadJournal!$A$1:$K$890,COLUMN(HeadJournal!K$1),0)-VLOOKUP($A1272,HeadJournal!$A$1:$K$890,COLUMN(HeadJournal!J$1),0))*($K1272+$L1272)/(SUMIF($A:$A,$A1272,$K:$K)+SUMIF($A:$A,$A1272,$L:$L)),0)</f>
        <v>-8.3708941700783971E-16</v>
      </c>
      <c r="O1272" s="30">
        <f>IFERROR((VLOOKUP($A1272,HeadJournal!$A$1:$L$890,COLUMN(HeadJournal!L$1),0)*($K1272+$L1272)/(SUMIF($A:$A,$A1272,$K:$K)+SUMIF($A:$A,$A1272,$L:$L)))/VLOOKUP($A1272,HeadJournal!$A$1:$L$890,COLUMN(HeadJournal!H$1),0),0)</f>
        <v>0.48233772229278826</v>
      </c>
      <c r="P1272" s="30">
        <f>IFERROR(SUM(K1272:O1272)*VLOOKUP($A1272,HeadJournal!$A$1:$L$890,COLUMN(HeadJournal!H$1),0),0)</f>
        <v>616.252491120439</v>
      </c>
      <c r="Q1272" s="29">
        <v>1500</v>
      </c>
      <c r="R1272" s="31">
        <v>45039</v>
      </c>
      <c r="S1272" s="31" t="s">
        <v>3121</v>
      </c>
      <c r="T1272" s="95" t="str">
        <f t="shared" si="100"/>
        <v>2023 04</v>
      </c>
      <c r="U1272" s="32">
        <f t="shared" si="97"/>
        <v>883.747508879561</v>
      </c>
      <c r="V1272" s="22">
        <f t="shared" si="98"/>
        <v>1.4340672396679097</v>
      </c>
      <c r="X1272" s="33"/>
      <c r="Y1272" s="33"/>
    </row>
    <row r="1273" spans="1:25" x14ac:dyDescent="0.2">
      <c r="A1273" s="93" t="s">
        <v>572</v>
      </c>
      <c r="B1273" s="94" t="str">
        <f>IFERROR(VLOOKUP($A1273,HeadJournal!$A$1:$NTR$890,COLUMN(HeadJournal!B$1),0),"")</f>
        <v>710000677963</v>
      </c>
      <c r="C1273" s="94" t="str">
        <f>IFERROR(VLOOKUP($A1273,HeadJournal!$A$1:$NTR$890,COLUMN(HeadJournal!C$1),0),"")</f>
        <v>iHerb_OA CZN6870</v>
      </c>
      <c r="D1273" s="125" t="str">
        <f>IFERROR(VLOOKUP($A1273,HeadJournal!$A$1:$NTR$890,COLUMN(HeadJournal!D$1),0),"")</f>
        <v>Доставлен</v>
      </c>
      <c r="E1273" s="95">
        <f>IFERROR(VLOOKUP($A1273,HeadJournal!$A$1:$NTR$890,COLUMN(HeadJournal!G$1),0),"")</f>
        <v>44999</v>
      </c>
      <c r="F1273" s="95" t="str">
        <f t="shared" si="99"/>
        <v>2023 03</v>
      </c>
      <c r="G1273" s="96" t="s">
        <v>5</v>
      </c>
      <c r="H1273" s="161" t="s">
        <v>2665</v>
      </c>
      <c r="I1273" s="97" t="s">
        <v>2666</v>
      </c>
      <c r="J1273" s="97" t="s">
        <v>3930</v>
      </c>
      <c r="K1273" s="29">
        <v>7.51</v>
      </c>
      <c r="L1273" s="29">
        <v>-1.125</v>
      </c>
      <c r="M1273" s="30">
        <f>IFERROR(VLOOKUP($A1273,HeadJournal!$A$1:$J$890,COLUMN(HeadJournal!I$1),0)*($K1273+$L1273)/(SUMIF($A:$A,$A1273,$K:$K)+SUMIF($A:$A,$A1273,$L:$L)),0)</f>
        <v>0.45916393745098943</v>
      </c>
      <c r="N1273" s="30">
        <f>IFERROR((VLOOKUP($A1273,HeadJournal!$A$1:$K$890,COLUMN(HeadJournal!K$1),0)-VLOOKUP($A1273,HeadJournal!$A$1:$K$890,COLUMN(HeadJournal!J$1),0))*($K1273+$L1273)/(SUMIF($A:$A,$A1273,$K:$K)+SUMIF($A:$A,$A1273,$L:$L)),0)</f>
        <v>-8.3708941700783971E-16</v>
      </c>
      <c r="O1273" s="30">
        <f>IFERROR((VLOOKUP($A1273,HeadJournal!$A$1:$L$890,COLUMN(HeadJournal!L$1),0)*($K1273+$L1273)/(SUMIF($A:$A,$A1273,$K:$K)+SUMIF($A:$A,$A1273,$L:$L)))/VLOOKUP($A1273,HeadJournal!$A$1:$L$890,COLUMN(HeadJournal!H$1),0),0)</f>
        <v>0.48233772229278826</v>
      </c>
      <c r="P1273" s="30">
        <f>IFERROR(SUM(K1273:O1273)*VLOOKUP($A1273,HeadJournal!$A$1:$L$890,COLUMN(HeadJournal!H$1),0),0)</f>
        <v>616.252491120439</v>
      </c>
      <c r="Q1273" s="29">
        <v>1400</v>
      </c>
      <c r="R1273" s="31">
        <v>45175</v>
      </c>
      <c r="S1273" s="31" t="s">
        <v>3121</v>
      </c>
      <c r="T1273" s="95" t="str">
        <f t="shared" si="100"/>
        <v>2023 09</v>
      </c>
      <c r="U1273" s="32">
        <f t="shared" si="97"/>
        <v>783.747508879561</v>
      </c>
      <c r="V1273" s="22">
        <f t="shared" si="98"/>
        <v>1.2717960903567158</v>
      </c>
      <c r="X1273" s="33"/>
      <c r="Y1273" s="33"/>
    </row>
    <row r="1274" spans="1:25" x14ac:dyDescent="0.2">
      <c r="A1274" s="93" t="s">
        <v>572</v>
      </c>
      <c r="B1274" s="94" t="str">
        <f>IFERROR(VLOOKUP($A1274,HeadJournal!$A$1:$NTR$890,COLUMN(HeadJournal!B$1),0),"")</f>
        <v>710000677963</v>
      </c>
      <c r="C1274" s="94" t="str">
        <f>IFERROR(VLOOKUP($A1274,HeadJournal!$A$1:$NTR$890,COLUMN(HeadJournal!C$1),0),"")</f>
        <v>iHerb_OA CZN6870</v>
      </c>
      <c r="D1274" s="125" t="str">
        <f>IFERROR(VLOOKUP($A1274,HeadJournal!$A$1:$NTR$890,COLUMN(HeadJournal!D$1),0),"")</f>
        <v>Доставлен</v>
      </c>
      <c r="E1274" s="95">
        <f>IFERROR(VLOOKUP($A1274,HeadJournal!$A$1:$NTR$890,COLUMN(HeadJournal!G$1),0),"")</f>
        <v>44999</v>
      </c>
      <c r="F1274" s="95" t="str">
        <f t="shared" si="99"/>
        <v>2023 03</v>
      </c>
      <c r="G1274" s="96" t="s">
        <v>5</v>
      </c>
      <c r="H1274" s="161" t="s">
        <v>2016</v>
      </c>
      <c r="I1274" s="97" t="s">
        <v>2005</v>
      </c>
      <c r="J1274" s="97" t="s">
        <v>2017</v>
      </c>
      <c r="K1274" s="29">
        <v>25.37</v>
      </c>
      <c r="L1274" s="29">
        <v>-3.8066666666666666</v>
      </c>
      <c r="M1274" s="30">
        <f>IFERROR(VLOOKUP($A1274,HeadJournal!$A$1:$J$890,COLUMN(HeadJournal!I$1),0)*($K1274+$L1274)/(SUMIF($A:$A,$A1274,$K:$K)+SUMIF($A:$A,$A1274,$L:$L)),0)</f>
        <v>1.5506820732813629</v>
      </c>
      <c r="N1274" s="30">
        <f>IFERROR((VLOOKUP($A1274,HeadJournal!$A$1:$K$890,COLUMN(HeadJournal!K$1),0)-VLOOKUP($A1274,HeadJournal!$A$1:$K$890,COLUMN(HeadJournal!J$1),0))*($K1274+$L1274)/(SUMIF($A:$A,$A1274,$K:$K)+SUMIF($A:$A,$A1274,$L:$L)),0)</f>
        <v>-2.8270067546978414E-15</v>
      </c>
      <c r="O1274" s="30">
        <f>IFERROR((VLOOKUP($A1274,HeadJournal!$A$1:$L$890,COLUMN(HeadJournal!L$1),0)*($K1274+$L1274)/(SUMIF($A:$A,$A1274,$K:$K)+SUMIF($A:$A,$A1274,$L:$L)))/VLOOKUP($A1274,HeadJournal!$A$1:$L$890,COLUMN(HeadJournal!H$1),0),0)</f>
        <v>1.6289442576413715</v>
      </c>
      <c r="P1274" s="30">
        <f>IFERROR(SUM(K1274:O1274)*VLOOKUP($A1274,HeadJournal!$A$1:$L$890,COLUMN(HeadJournal!H$1),0),0)</f>
        <v>2081.1993552900653</v>
      </c>
      <c r="Q1274" s="29">
        <v>3500</v>
      </c>
      <c r="R1274" s="31">
        <v>45182</v>
      </c>
      <c r="S1274" s="31" t="s">
        <v>3121</v>
      </c>
      <c r="T1274" s="95" t="str">
        <f t="shared" si="100"/>
        <v>2023 09</v>
      </c>
      <c r="U1274" s="32">
        <f t="shared" si="97"/>
        <v>1418.8006447099347</v>
      </c>
      <c r="V1274" s="22">
        <f t="shared" si="98"/>
        <v>0.68172260437404886</v>
      </c>
      <c r="X1274" s="33"/>
      <c r="Y1274" s="33"/>
    </row>
    <row r="1275" spans="1:25" x14ac:dyDescent="0.2">
      <c r="A1275" s="93" t="s">
        <v>572</v>
      </c>
      <c r="B1275" s="94" t="str">
        <f>IFERROR(VLOOKUP($A1275,HeadJournal!$A$1:$NTR$890,COLUMN(HeadJournal!B$1),0),"")</f>
        <v>710000677963</v>
      </c>
      <c r="C1275" s="94" t="str">
        <f>IFERROR(VLOOKUP($A1275,HeadJournal!$A$1:$NTR$890,COLUMN(HeadJournal!C$1),0),"")</f>
        <v>iHerb_OA CZN6870</v>
      </c>
      <c r="D1275" s="125" t="str">
        <f>IFERROR(VLOOKUP($A1275,HeadJournal!$A$1:$NTR$890,COLUMN(HeadJournal!D$1),0),"")</f>
        <v>Доставлен</v>
      </c>
      <c r="E1275" s="95">
        <f>IFERROR(VLOOKUP($A1275,HeadJournal!$A$1:$NTR$890,COLUMN(HeadJournal!G$1),0),"")</f>
        <v>44999</v>
      </c>
      <c r="F1275" s="95" t="str">
        <f t="shared" si="99"/>
        <v>2023 03</v>
      </c>
      <c r="G1275" s="96" t="s">
        <v>5</v>
      </c>
      <c r="H1275" s="161" t="s">
        <v>2016</v>
      </c>
      <c r="I1275" s="97" t="s">
        <v>2005</v>
      </c>
      <c r="J1275" s="97" t="s">
        <v>2017</v>
      </c>
      <c r="K1275" s="29">
        <v>25.37</v>
      </c>
      <c r="L1275" s="29">
        <v>-3.8066666666666666</v>
      </c>
      <c r="M1275" s="30">
        <f>IFERROR(VLOOKUP($A1275,HeadJournal!$A$1:$J$890,COLUMN(HeadJournal!I$1),0)*($K1275+$L1275)/(SUMIF($A:$A,$A1275,$K:$K)+SUMIF($A:$A,$A1275,$L:$L)),0)</f>
        <v>1.5506820732813629</v>
      </c>
      <c r="N1275" s="30">
        <f>IFERROR((VLOOKUP($A1275,HeadJournal!$A$1:$K$890,COLUMN(HeadJournal!K$1),0)-VLOOKUP($A1275,HeadJournal!$A$1:$K$890,COLUMN(HeadJournal!J$1),0))*($K1275+$L1275)/(SUMIF($A:$A,$A1275,$K:$K)+SUMIF($A:$A,$A1275,$L:$L)),0)</f>
        <v>-2.8270067546978414E-15</v>
      </c>
      <c r="O1275" s="30">
        <f>IFERROR((VLOOKUP($A1275,HeadJournal!$A$1:$L$890,COLUMN(HeadJournal!L$1),0)*($K1275+$L1275)/(SUMIF($A:$A,$A1275,$K:$K)+SUMIF($A:$A,$A1275,$L:$L)))/VLOOKUP($A1275,HeadJournal!$A$1:$L$890,COLUMN(HeadJournal!H$1),0),0)</f>
        <v>1.6289442576413715</v>
      </c>
      <c r="P1275" s="30">
        <f>IFERROR(SUM(K1275:O1275)*VLOOKUP($A1275,HeadJournal!$A$1:$L$890,COLUMN(HeadJournal!H$1),0),0)</f>
        <v>2081.1993552900653</v>
      </c>
      <c r="Q1275" s="29">
        <v>3400</v>
      </c>
      <c r="R1275" s="31">
        <v>45188</v>
      </c>
      <c r="S1275" s="31" t="s">
        <v>3121</v>
      </c>
      <c r="T1275" s="95" t="str">
        <f t="shared" si="100"/>
        <v>2023 09</v>
      </c>
      <c r="U1275" s="32">
        <f t="shared" si="97"/>
        <v>1318.8006447099347</v>
      </c>
      <c r="V1275" s="22">
        <f t="shared" si="98"/>
        <v>0.63367338710621879</v>
      </c>
      <c r="X1275" s="33"/>
      <c r="Y1275" s="33"/>
    </row>
    <row r="1276" spans="1:25" x14ac:dyDescent="0.2">
      <c r="A1276" s="93" t="s">
        <v>572</v>
      </c>
      <c r="B1276" s="94" t="str">
        <f>IFERROR(VLOOKUP($A1276,HeadJournal!$A$1:$NTR$890,COLUMN(HeadJournal!B$1),0),"")</f>
        <v>710000677963</v>
      </c>
      <c r="C1276" s="94" t="str">
        <f>IFERROR(VLOOKUP($A1276,HeadJournal!$A$1:$NTR$890,COLUMN(HeadJournal!C$1),0),"")</f>
        <v>iHerb_OA CZN6870</v>
      </c>
      <c r="D1276" s="125" t="str">
        <f>IFERROR(VLOOKUP($A1276,HeadJournal!$A$1:$NTR$890,COLUMN(HeadJournal!D$1),0),"")</f>
        <v>Доставлен</v>
      </c>
      <c r="E1276" s="95">
        <f>IFERROR(VLOOKUP($A1276,HeadJournal!$A$1:$NTR$890,COLUMN(HeadJournal!G$1),0),"")</f>
        <v>44999</v>
      </c>
      <c r="F1276" s="95" t="str">
        <f t="shared" si="99"/>
        <v>2023 03</v>
      </c>
      <c r="G1276" s="96" t="s">
        <v>5</v>
      </c>
      <c r="H1276" s="161" t="s">
        <v>2016</v>
      </c>
      <c r="I1276" s="97" t="s">
        <v>2005</v>
      </c>
      <c r="J1276" s="97" t="s">
        <v>2017</v>
      </c>
      <c r="K1276" s="29">
        <v>25.37</v>
      </c>
      <c r="L1276" s="29">
        <v>-3.8066666666666666</v>
      </c>
      <c r="M1276" s="30">
        <f>IFERROR(VLOOKUP($A1276,HeadJournal!$A$1:$J$890,COLUMN(HeadJournal!I$1),0)*($K1276+$L1276)/(SUMIF($A:$A,$A1276,$K:$K)+SUMIF($A:$A,$A1276,$L:$L)),0)</f>
        <v>1.5506820732813629</v>
      </c>
      <c r="N1276" s="30">
        <f>IFERROR((VLOOKUP($A1276,HeadJournal!$A$1:$K$890,COLUMN(HeadJournal!K$1),0)-VLOOKUP($A1276,HeadJournal!$A$1:$K$890,COLUMN(HeadJournal!J$1),0))*($K1276+$L1276)/(SUMIF($A:$A,$A1276,$K:$K)+SUMIF($A:$A,$A1276,$L:$L)),0)</f>
        <v>-2.8270067546978414E-15</v>
      </c>
      <c r="O1276" s="30">
        <f>IFERROR((VLOOKUP($A1276,HeadJournal!$A$1:$L$890,COLUMN(HeadJournal!L$1),0)*($K1276+$L1276)/(SUMIF($A:$A,$A1276,$K:$K)+SUMIF($A:$A,$A1276,$L:$L)))/VLOOKUP($A1276,HeadJournal!$A$1:$L$890,COLUMN(HeadJournal!H$1),0),0)</f>
        <v>1.6289442576413715</v>
      </c>
      <c r="P1276" s="30">
        <f>IFERROR(SUM(K1276:O1276)*VLOOKUP($A1276,HeadJournal!$A$1:$L$890,COLUMN(HeadJournal!H$1),0),0)</f>
        <v>2081.1993552900653</v>
      </c>
      <c r="Q1276" s="29">
        <v>3500</v>
      </c>
      <c r="R1276" s="31">
        <v>45246</v>
      </c>
      <c r="S1276" s="31" t="s">
        <v>3121</v>
      </c>
      <c r="T1276" s="95" t="str">
        <f t="shared" si="100"/>
        <v>2023 11</v>
      </c>
      <c r="U1276" s="32">
        <f t="shared" si="97"/>
        <v>1418.8006447099347</v>
      </c>
      <c r="V1276" s="22">
        <f t="shared" si="98"/>
        <v>0.68172260437404886</v>
      </c>
      <c r="X1276" s="33"/>
      <c r="Y1276" s="33"/>
    </row>
    <row r="1277" spans="1:25" x14ac:dyDescent="0.2">
      <c r="A1277" s="93" t="s">
        <v>572</v>
      </c>
      <c r="B1277" s="94" t="str">
        <f>IFERROR(VLOOKUP($A1277,HeadJournal!$A$1:$NTR$890,COLUMN(HeadJournal!B$1),0),"")</f>
        <v>710000677963</v>
      </c>
      <c r="C1277" s="94" t="str">
        <f>IFERROR(VLOOKUP($A1277,HeadJournal!$A$1:$NTR$890,COLUMN(HeadJournal!C$1),0),"")</f>
        <v>iHerb_OA CZN6870</v>
      </c>
      <c r="D1277" s="125" t="str">
        <f>IFERROR(VLOOKUP($A1277,HeadJournal!$A$1:$NTR$890,COLUMN(HeadJournal!D$1),0),"")</f>
        <v>Доставлен</v>
      </c>
      <c r="E1277" s="95">
        <f>IFERROR(VLOOKUP($A1277,HeadJournal!$A$1:$NTR$890,COLUMN(HeadJournal!G$1),0),"")</f>
        <v>44999</v>
      </c>
      <c r="F1277" s="95" t="str">
        <f t="shared" si="99"/>
        <v>2023 03</v>
      </c>
      <c r="G1277" s="96" t="s">
        <v>5</v>
      </c>
      <c r="H1277" s="161" t="s">
        <v>2896</v>
      </c>
      <c r="I1277" s="97" t="s">
        <v>2666</v>
      </c>
      <c r="J1277" s="97" t="s">
        <v>2897</v>
      </c>
      <c r="K1277" s="29">
        <v>9.5399999999999991</v>
      </c>
      <c r="L1277" s="29">
        <v>-1.43</v>
      </c>
      <c r="M1277" s="30">
        <f>IFERROR(VLOOKUP($A1277,HeadJournal!$A$1:$J$890,COLUMN(HeadJournal!I$1),0)*($K1277+$L1277)/(SUMIF($A:$A,$A1277,$K:$K)+SUMIF($A:$A,$A1277,$L:$L)),0)</f>
        <v>0.58321370911942427</v>
      </c>
      <c r="N1277" s="30">
        <f>IFERROR((VLOOKUP($A1277,HeadJournal!$A$1:$K$890,COLUMN(HeadJournal!K$1),0)-VLOOKUP($A1277,HeadJournal!$A$1:$K$890,COLUMN(HeadJournal!J$1),0))*($K1277+$L1277)/(SUMIF($A:$A,$A1277,$K:$K)+SUMIF($A:$A,$A1277,$L:$L)),0)</f>
        <v>-1.0632412172174753E-15</v>
      </c>
      <c r="O1277" s="30">
        <f>IFERROR((VLOOKUP($A1277,HeadJournal!$A$1:$L$890,COLUMN(HeadJournal!L$1),0)*($K1277+$L1277)/(SUMIF($A:$A,$A1277,$K:$K)+SUMIF($A:$A,$A1277,$L:$L)))/VLOOKUP($A1277,HeadJournal!$A$1:$L$890,COLUMN(HeadJournal!H$1),0),0)</f>
        <v>0.61264822674933628</v>
      </c>
      <c r="P1277" s="30">
        <f>IFERROR(SUM(K1277:O1277)*VLOOKUP($A1277,HeadJournal!$A$1:$L$890,COLUMN(HeadJournal!H$1),0),0)</f>
        <v>782.74200516628957</v>
      </c>
      <c r="Q1277" s="29">
        <v>1600</v>
      </c>
      <c r="R1277" s="31">
        <v>45038</v>
      </c>
      <c r="S1277" s="31" t="s">
        <v>3121</v>
      </c>
      <c r="T1277" s="95" t="str">
        <f t="shared" si="100"/>
        <v>2023 04</v>
      </c>
      <c r="U1277" s="32">
        <f t="shared" si="97"/>
        <v>817.25799483371043</v>
      </c>
      <c r="V1277" s="22">
        <f t="shared" si="98"/>
        <v>1.0440962532221432</v>
      </c>
      <c r="X1277" s="33"/>
      <c r="Y1277" s="33"/>
    </row>
    <row r="1278" spans="1:25" x14ac:dyDescent="0.2">
      <c r="A1278" s="93" t="s">
        <v>572</v>
      </c>
      <c r="B1278" s="94" t="str">
        <f>IFERROR(VLOOKUP($A1278,HeadJournal!$A$1:$NTR$890,COLUMN(HeadJournal!B$1),0),"")</f>
        <v>710000677963</v>
      </c>
      <c r="C1278" s="94" t="str">
        <f>IFERROR(VLOOKUP($A1278,HeadJournal!$A$1:$NTR$890,COLUMN(HeadJournal!C$1),0),"")</f>
        <v>iHerb_OA CZN6870</v>
      </c>
      <c r="D1278" s="125" t="str">
        <f>IFERROR(VLOOKUP($A1278,HeadJournal!$A$1:$NTR$890,COLUMN(HeadJournal!D$1),0),"")</f>
        <v>Доставлен</v>
      </c>
      <c r="E1278" s="95">
        <f>IFERROR(VLOOKUP($A1278,HeadJournal!$A$1:$NTR$890,COLUMN(HeadJournal!G$1),0),"")</f>
        <v>44999</v>
      </c>
      <c r="F1278" s="95" t="str">
        <f t="shared" si="99"/>
        <v>2023 03</v>
      </c>
      <c r="G1278" s="96" t="s">
        <v>5</v>
      </c>
      <c r="H1278" s="161" t="s">
        <v>2896</v>
      </c>
      <c r="I1278" s="97" t="s">
        <v>2666</v>
      </c>
      <c r="J1278" s="97" t="s">
        <v>2897</v>
      </c>
      <c r="K1278" s="29">
        <v>9.5399999999999991</v>
      </c>
      <c r="L1278" s="29">
        <v>-1.43</v>
      </c>
      <c r="M1278" s="30">
        <f>IFERROR(VLOOKUP($A1278,HeadJournal!$A$1:$J$890,COLUMN(HeadJournal!I$1),0)*($K1278+$L1278)/(SUMIF($A:$A,$A1278,$K:$K)+SUMIF($A:$A,$A1278,$L:$L)),0)</f>
        <v>0.58321370911942427</v>
      </c>
      <c r="N1278" s="30">
        <f>IFERROR((VLOOKUP($A1278,HeadJournal!$A$1:$K$890,COLUMN(HeadJournal!K$1),0)-VLOOKUP($A1278,HeadJournal!$A$1:$K$890,COLUMN(HeadJournal!J$1),0))*($K1278+$L1278)/(SUMIF($A:$A,$A1278,$K:$K)+SUMIF($A:$A,$A1278,$L:$L)),0)</f>
        <v>-1.0632412172174753E-15</v>
      </c>
      <c r="O1278" s="30">
        <f>IFERROR((VLOOKUP($A1278,HeadJournal!$A$1:$L$890,COLUMN(HeadJournal!L$1),0)*($K1278+$L1278)/(SUMIF($A:$A,$A1278,$K:$K)+SUMIF($A:$A,$A1278,$L:$L)))/VLOOKUP($A1278,HeadJournal!$A$1:$L$890,COLUMN(HeadJournal!H$1),0),0)</f>
        <v>0.61264822674933628</v>
      </c>
      <c r="P1278" s="30">
        <f>IFERROR(SUM(K1278:O1278)*VLOOKUP($A1278,HeadJournal!$A$1:$L$890,COLUMN(HeadJournal!H$1),0),0)</f>
        <v>782.74200516628957</v>
      </c>
      <c r="Q1278" s="29">
        <v>1800</v>
      </c>
      <c r="R1278" s="31">
        <v>45396</v>
      </c>
      <c r="S1278" s="31" t="s">
        <v>3121</v>
      </c>
      <c r="T1278" s="95" t="str">
        <f t="shared" si="100"/>
        <v>2024 04</v>
      </c>
      <c r="U1278" s="32">
        <f t="shared" si="97"/>
        <v>1017.2579948337104</v>
      </c>
      <c r="V1278" s="22">
        <f t="shared" si="98"/>
        <v>1.2996082848749111</v>
      </c>
      <c r="X1278" s="33"/>
      <c r="Y1278" s="33"/>
    </row>
    <row r="1279" spans="1:25" x14ac:dyDescent="0.2">
      <c r="A1279" s="93" t="s">
        <v>572</v>
      </c>
      <c r="B1279" s="94" t="str">
        <f>IFERROR(VLOOKUP($A1279,HeadJournal!$A$1:$NTR$890,COLUMN(HeadJournal!B$1),0),"")</f>
        <v>710000677963</v>
      </c>
      <c r="C1279" s="94" t="str">
        <f>IFERROR(VLOOKUP($A1279,HeadJournal!$A$1:$NTR$890,COLUMN(HeadJournal!C$1),0),"")</f>
        <v>iHerb_OA CZN6870</v>
      </c>
      <c r="D1279" s="125" t="str">
        <f>IFERROR(VLOOKUP($A1279,HeadJournal!$A$1:$NTR$890,COLUMN(HeadJournal!D$1),0),"")</f>
        <v>Доставлен</v>
      </c>
      <c r="E1279" s="95">
        <f>IFERROR(VLOOKUP($A1279,HeadJournal!$A$1:$NTR$890,COLUMN(HeadJournal!G$1),0),"")</f>
        <v>44999</v>
      </c>
      <c r="F1279" s="95" t="str">
        <f t="shared" si="99"/>
        <v>2023 03</v>
      </c>
      <c r="G1279" s="96" t="s">
        <v>5</v>
      </c>
      <c r="H1279" s="161" t="s">
        <v>2642</v>
      </c>
      <c r="I1279" s="97" t="s">
        <v>2212</v>
      </c>
      <c r="J1279" s="97" t="s">
        <v>2643</v>
      </c>
      <c r="K1279" s="29">
        <v>22.3</v>
      </c>
      <c r="L1279" s="29">
        <v>-3.35</v>
      </c>
      <c r="M1279" s="30">
        <f>IFERROR(VLOOKUP($A1279,HeadJournal!$A$1:$J$890,COLUMN(HeadJournal!I$1),0)*($K1279+$L1279)/(SUMIF($A:$A,$A1279,$K:$K)+SUMIF($A:$A,$A1279,$L:$L)),0)</f>
        <v>1.3627496655749802</v>
      </c>
      <c r="N1279" s="30">
        <f>IFERROR((VLOOKUP($A1279,HeadJournal!$A$1:$K$890,COLUMN(HeadJournal!K$1),0)-VLOOKUP($A1279,HeadJournal!$A$1:$K$890,COLUMN(HeadJournal!J$1),0))*($K1279+$L1279)/(SUMIF($A:$A,$A1279,$K:$K)+SUMIF($A:$A,$A1279,$L:$L)),0)</f>
        <v>-2.4843922399841132E-15</v>
      </c>
      <c r="O1279" s="30">
        <f>IFERROR((VLOOKUP($A1279,HeadJournal!$A$1:$L$890,COLUMN(HeadJournal!L$1),0)*($K1279+$L1279)/(SUMIF($A:$A,$A1279,$K:$K)+SUMIF($A:$A,$A1279,$L:$L)))/VLOOKUP($A1279,HeadJournal!$A$1:$L$890,COLUMN(HeadJournal!H$1),0),0)</f>
        <v>1.4315269909864272</v>
      </c>
      <c r="P1279" s="30">
        <f>IFERROR(SUM(K1279:O1279)*VLOOKUP($A1279,HeadJournal!$A$1:$L$890,COLUMN(HeadJournal!H$1),0),0)</f>
        <v>1828.9717629964478</v>
      </c>
      <c r="Q1279" s="29">
        <v>3000</v>
      </c>
      <c r="R1279" s="31">
        <v>45187</v>
      </c>
      <c r="S1279" s="31" t="s">
        <v>3121</v>
      </c>
      <c r="T1279" s="95" t="str">
        <f t="shared" si="100"/>
        <v>2023 09</v>
      </c>
      <c r="U1279" s="32">
        <f t="shared" si="97"/>
        <v>1171.0282370035522</v>
      </c>
      <c r="V1279" s="22">
        <f t="shared" si="98"/>
        <v>0.64026589185009009</v>
      </c>
      <c r="X1279" s="33"/>
      <c r="Y1279" s="33"/>
    </row>
    <row r="1280" spans="1:25" x14ac:dyDescent="0.2">
      <c r="A1280" s="93" t="s">
        <v>572</v>
      </c>
      <c r="B1280" s="94" t="str">
        <f>IFERROR(VLOOKUP($A1280,HeadJournal!$A$1:$NTR$890,COLUMN(HeadJournal!B$1),0),"")</f>
        <v>710000677963</v>
      </c>
      <c r="C1280" s="94" t="str">
        <f>IFERROR(VLOOKUP($A1280,HeadJournal!$A$1:$NTR$890,COLUMN(HeadJournal!C$1),0),"")</f>
        <v>iHerb_OA CZN6870</v>
      </c>
      <c r="D1280" s="125" t="str">
        <f>IFERROR(VLOOKUP($A1280,HeadJournal!$A$1:$NTR$890,COLUMN(HeadJournal!D$1),0),"")</f>
        <v>Доставлен</v>
      </c>
      <c r="E1280" s="95">
        <f>IFERROR(VLOOKUP($A1280,HeadJournal!$A$1:$NTR$890,COLUMN(HeadJournal!G$1),0),"")</f>
        <v>44999</v>
      </c>
      <c r="F1280" s="95" t="str">
        <f t="shared" si="99"/>
        <v>2023 03</v>
      </c>
      <c r="G1280" s="96" t="s">
        <v>5</v>
      </c>
      <c r="H1280" s="161" t="s">
        <v>2225</v>
      </c>
      <c r="I1280" s="97" t="s">
        <v>2226</v>
      </c>
      <c r="J1280" s="97" t="s">
        <v>2227</v>
      </c>
      <c r="K1280" s="29">
        <v>19.46</v>
      </c>
      <c r="L1280" s="29">
        <v>-2.92</v>
      </c>
      <c r="M1280" s="30">
        <f>IFERROR(VLOOKUP($A1280,HeadJournal!$A$1:$J$890,COLUMN(HeadJournal!I$1),0)*($K1280+$L1280)/(SUMIF($A:$A,$A1280,$K:$K)+SUMIF($A:$A,$A1280,$L:$L)),0)</f>
        <v>1.1894395497947323</v>
      </c>
      <c r="N1280" s="30">
        <f>IFERROR((VLOOKUP($A1280,HeadJournal!$A$1:$K$890,COLUMN(HeadJournal!K$1),0)-VLOOKUP($A1280,HeadJournal!$A$1:$K$890,COLUMN(HeadJournal!J$1),0))*($K1280+$L1280)/(SUMIF($A:$A,$A1280,$K:$K)+SUMIF($A:$A,$A1280,$L:$L)),0)</f>
        <v>-2.168435232154999E-15</v>
      </c>
      <c r="O1280" s="30">
        <f>IFERROR((VLOOKUP($A1280,HeadJournal!$A$1:$L$890,COLUMN(HeadJournal!L$1),0)*($K1280+$L1280)/(SUMIF($A:$A,$A1280,$K:$K)+SUMIF($A:$A,$A1280,$L:$L)))/VLOOKUP($A1280,HeadJournal!$A$1:$L$890,COLUMN(HeadJournal!H$1),0),0)</f>
        <v>1.2494699963543801</v>
      </c>
      <c r="P1280" s="30">
        <f>IFERROR(SUM(K1280:O1280)*VLOOKUP($A1280,HeadJournal!$A$1:$L$890,COLUMN(HeadJournal!H$1),0),0)</f>
        <v>1596.3690216338389</v>
      </c>
      <c r="Q1280" s="29">
        <v>2800</v>
      </c>
      <c r="R1280" s="31">
        <v>45128</v>
      </c>
      <c r="S1280" s="31" t="s">
        <v>3121</v>
      </c>
      <c r="T1280" s="95" t="str">
        <f t="shared" si="100"/>
        <v>2023 07</v>
      </c>
      <c r="U1280" s="32">
        <f t="shared" si="97"/>
        <v>1203.6309783661611</v>
      </c>
      <c r="V1280" s="22">
        <f t="shared" si="98"/>
        <v>0.753980415589798</v>
      </c>
      <c r="X1280" s="33"/>
      <c r="Y1280" s="33"/>
    </row>
    <row r="1281" spans="1:25" x14ac:dyDescent="0.2">
      <c r="A1281" s="93" t="s">
        <v>572</v>
      </c>
      <c r="B1281" s="94" t="str">
        <f>IFERROR(VLOOKUP($A1281,HeadJournal!$A$1:$NTR$890,COLUMN(HeadJournal!B$1),0),"")</f>
        <v>710000677963</v>
      </c>
      <c r="C1281" s="94" t="str">
        <f>IFERROR(VLOOKUP($A1281,HeadJournal!$A$1:$NTR$890,COLUMN(HeadJournal!C$1),0),"")</f>
        <v>iHerb_OA CZN6870</v>
      </c>
      <c r="D1281" s="125" t="str">
        <f>IFERROR(VLOOKUP($A1281,HeadJournal!$A$1:$NTR$890,COLUMN(HeadJournal!D$1),0),"")</f>
        <v>Доставлен</v>
      </c>
      <c r="E1281" s="95">
        <f>IFERROR(VLOOKUP($A1281,HeadJournal!$A$1:$NTR$890,COLUMN(HeadJournal!G$1),0),"")</f>
        <v>44999</v>
      </c>
      <c r="F1281" s="95" t="str">
        <f t="shared" si="99"/>
        <v>2023 03</v>
      </c>
      <c r="G1281" s="96" t="s">
        <v>5</v>
      </c>
      <c r="H1281" s="160" t="str">
        <f>RIGHT(Journal!$J1281,9)</f>
        <v>CAL-13463</v>
      </c>
      <c r="I1281" s="96" t="str">
        <f t="shared" si="101"/>
        <v>KAL</v>
      </c>
      <c r="J1281" s="97" t="s">
        <v>573</v>
      </c>
      <c r="K1281" s="29">
        <v>19.84</v>
      </c>
      <c r="L1281" s="29">
        <v>-2.98</v>
      </c>
      <c r="M1281" s="30">
        <f>IFERROR(VLOOKUP($A1281,HeadJournal!$A$1:$J$890,COLUMN(HeadJournal!I$1),0)*($K1281+$L1281)/(SUMIF($A:$A,$A1281,$K:$K)+SUMIF($A:$A,$A1281,$L:$L)),0)</f>
        <v>1.2124516813506157</v>
      </c>
      <c r="N1281" s="30">
        <f>IFERROR((VLOOKUP($A1281,HeadJournal!$A$1:$K$890,COLUMN(HeadJournal!K$1),0)-VLOOKUP($A1281,HeadJournal!$A$1:$K$890,COLUMN(HeadJournal!J$1),0))*($K1281+$L1281)/(SUMIF($A:$A,$A1281,$K:$K)+SUMIF($A:$A,$A1281,$L:$L)),0)</f>
        <v>-2.2103880298750472E-15</v>
      </c>
      <c r="O1281" s="30">
        <f>IFERROR((VLOOKUP($A1281,HeadJournal!$A$1:$L$890,COLUMN(HeadJournal!L$1),0)*($K1281+$L1281)/(SUMIF($A:$A,$A1281,$K:$K)+SUMIF($A:$A,$A1281,$L:$L)))/VLOOKUP($A1281,HeadJournal!$A$1:$L$890,COLUMN(HeadJournal!H$1),0),0)</f>
        <v>1.2736435392100875</v>
      </c>
      <c r="P1281" s="30">
        <f>IFERROR(SUM(K1281:O1281)*VLOOKUP($A1281,HeadJournal!$A$1:$L$890,COLUMN(HeadJournal!H$1),0),0)</f>
        <v>1627.2540329350979</v>
      </c>
      <c r="Q1281" s="29">
        <v>2800</v>
      </c>
      <c r="R1281" s="31">
        <v>45325</v>
      </c>
      <c r="S1281" s="31" t="s">
        <v>3121</v>
      </c>
      <c r="T1281" s="95" t="str">
        <f t="shared" si="100"/>
        <v>2024 02</v>
      </c>
      <c r="U1281" s="32">
        <f t="shared" ref="U1281:U1344" si="102">Q1281-P1281</f>
        <v>1172.7459670649021</v>
      </c>
      <c r="V1281" s="22">
        <f t="shared" ref="V1281:V1344" si="103">IF(Q1281&lt;&gt;0,IFERROR(U1281/P1281,""),"")</f>
        <v>0.72069015859165264</v>
      </c>
      <c r="X1281" s="33"/>
      <c r="Y1281" s="33"/>
    </row>
    <row r="1282" spans="1:25" x14ac:dyDescent="0.2">
      <c r="A1282" s="93" t="s">
        <v>572</v>
      </c>
      <c r="B1282" s="94" t="str">
        <f>IFERROR(VLOOKUP($A1282,HeadJournal!$A$1:$NTR$890,COLUMN(HeadJournal!B$1),0),"")</f>
        <v>710000677963</v>
      </c>
      <c r="C1282" s="94" t="str">
        <f>IFERROR(VLOOKUP($A1282,HeadJournal!$A$1:$NTR$890,COLUMN(HeadJournal!C$1),0),"")</f>
        <v>iHerb_OA CZN6870</v>
      </c>
      <c r="D1282" s="125" t="str">
        <f>IFERROR(VLOOKUP($A1282,HeadJournal!$A$1:$NTR$890,COLUMN(HeadJournal!D$1),0),"")</f>
        <v>Доставлен</v>
      </c>
      <c r="E1282" s="95">
        <f>IFERROR(VLOOKUP($A1282,HeadJournal!$A$1:$NTR$890,COLUMN(HeadJournal!G$1),0),"")</f>
        <v>44999</v>
      </c>
      <c r="F1282" s="95" t="str">
        <f t="shared" si="99"/>
        <v>2023 03</v>
      </c>
      <c r="G1282" s="96" t="s">
        <v>5</v>
      </c>
      <c r="H1282" s="160" t="str">
        <f>RIGHT(Journal!$J1282,9)</f>
        <v>CAL-13462</v>
      </c>
      <c r="I1282" s="96" t="str">
        <f t="shared" si="101"/>
        <v>KAL</v>
      </c>
      <c r="J1282" s="97" t="s">
        <v>574</v>
      </c>
      <c r="K1282" s="29">
        <v>11.84</v>
      </c>
      <c r="L1282" s="29">
        <v>-1.78</v>
      </c>
      <c r="M1282" s="30">
        <f>IFERROR(VLOOKUP($A1282,HeadJournal!$A$1:$J$890,COLUMN(HeadJournal!I$1),0)*($K1282+$L1282)/(SUMIF($A:$A,$A1282,$K:$K)+SUMIF($A:$A,$A1282,$L:$L)),0)</f>
        <v>0.72344388578808994</v>
      </c>
      <c r="N1282" s="30">
        <f>IFERROR((VLOOKUP($A1282,HeadJournal!$A$1:$K$890,COLUMN(HeadJournal!K$1),0)-VLOOKUP($A1282,HeadJournal!$A$1:$K$890,COLUMN(HeadJournal!J$1),0))*($K1282+$L1282)/(SUMIF($A:$A,$A1282,$K:$K)+SUMIF($A:$A,$A1282,$L:$L)),0)</f>
        <v>-1.3188910783240201E-15</v>
      </c>
      <c r="O1282" s="30">
        <f>IFERROR((VLOOKUP($A1282,HeadJournal!$A$1:$L$890,COLUMN(HeadJournal!L$1),0)*($K1282+$L1282)/(SUMIF($A:$A,$A1282,$K:$K)+SUMIF($A:$A,$A1282,$L:$L)))/VLOOKUP($A1282,HeadJournal!$A$1:$L$890,COLUMN(HeadJournal!H$1),0),0)</f>
        <v>0.75995575352630385</v>
      </c>
      <c r="P1282" s="30">
        <f>IFERROR(SUM(K1282:O1282)*VLOOKUP($A1282,HeadJournal!$A$1:$L$890,COLUMN(HeadJournal!H$1),0),0)</f>
        <v>970.94754278333858</v>
      </c>
      <c r="Q1282" s="29">
        <v>1700</v>
      </c>
      <c r="R1282" s="31">
        <v>45544</v>
      </c>
      <c r="S1282" s="31" t="s">
        <v>3121</v>
      </c>
      <c r="T1282" s="95" t="str">
        <f t="shared" si="100"/>
        <v>2024 09</v>
      </c>
      <c r="U1282" s="32">
        <f t="shared" si="102"/>
        <v>729.05245721666142</v>
      </c>
      <c r="V1282" s="22">
        <f t="shared" si="103"/>
        <v>0.75086698826874243</v>
      </c>
      <c r="X1282" s="33"/>
      <c r="Y1282" s="33"/>
    </row>
    <row r="1283" spans="1:25" x14ac:dyDescent="0.2">
      <c r="A1283" s="93" t="s">
        <v>572</v>
      </c>
      <c r="B1283" s="94" t="str">
        <f>IFERROR(VLOOKUP($A1283,HeadJournal!$A$1:$NTR$890,COLUMN(HeadJournal!B$1),0),"")</f>
        <v>710000677963</v>
      </c>
      <c r="C1283" s="94" t="str">
        <f>IFERROR(VLOOKUP($A1283,HeadJournal!$A$1:$NTR$890,COLUMN(HeadJournal!C$1),0),"")</f>
        <v>iHerb_OA CZN6870</v>
      </c>
      <c r="D1283" s="125" t="str">
        <f>IFERROR(VLOOKUP($A1283,HeadJournal!$A$1:$NTR$890,COLUMN(HeadJournal!D$1),0),"")</f>
        <v>Доставлен</v>
      </c>
      <c r="E1283" s="95">
        <f>IFERROR(VLOOKUP($A1283,HeadJournal!$A$1:$NTR$890,COLUMN(HeadJournal!G$1),0),"")</f>
        <v>44999</v>
      </c>
      <c r="F1283" s="95" t="str">
        <f t="shared" si="99"/>
        <v>2023 03</v>
      </c>
      <c r="G1283" s="96" t="s">
        <v>5</v>
      </c>
      <c r="H1283" s="160" t="str">
        <f>RIGHT(Journal!$J1283,9)</f>
        <v>NOW-02715</v>
      </c>
      <c r="I1283" s="96" t="str">
        <f t="shared" si="101"/>
        <v>NOW Foods</v>
      </c>
      <c r="J1283" s="97" t="s">
        <v>548</v>
      </c>
      <c r="K1283" s="29">
        <v>14.34</v>
      </c>
      <c r="L1283" s="29">
        <v>-7.17</v>
      </c>
      <c r="M1283" s="30">
        <f>IFERROR(VLOOKUP($A1283,HeadJournal!$A$1:$J$890,COLUMN(HeadJournal!I$1),0)*($K1283+$L1283)/(SUMIF($A:$A,$A1283,$K:$K)+SUMIF($A:$A,$A1283,$L:$L)),0)</f>
        <v>0.51561557267401636</v>
      </c>
      <c r="N1283" s="30">
        <f>IFERROR((VLOOKUP($A1283,HeadJournal!$A$1:$K$890,COLUMN(HeadJournal!K$1),0)-VLOOKUP($A1283,HeadJournal!$A$1:$K$890,COLUMN(HeadJournal!J$1),0))*($K1283+$L1283)/(SUMIF($A:$A,$A1283,$K:$K)+SUMIF($A:$A,$A1283,$L:$L)),0)</f>
        <v>-9.4000487391483328E-16</v>
      </c>
      <c r="O1283" s="30">
        <f>IFERROR((VLOOKUP($A1283,HeadJournal!$A$1:$L$890,COLUMN(HeadJournal!L$1),0)*($K1283+$L1283)/(SUMIF($A:$A,$A1283,$K:$K)+SUMIF($A:$A,$A1283,$L:$L)))/VLOOKUP($A1283,HeadJournal!$A$1:$L$890,COLUMN(HeadJournal!H$1),0),0)</f>
        <v>0.54163844461069566</v>
      </c>
      <c r="P1283" s="30">
        <f>IFERROR(SUM(K1283:O1283)*VLOOKUP($A1283,HeadJournal!$A$1:$L$890,COLUMN(HeadJournal!H$1),0),0)</f>
        <v>692.01728446884067</v>
      </c>
      <c r="Q1283" s="29">
        <v>1900</v>
      </c>
      <c r="R1283" s="31">
        <v>45118</v>
      </c>
      <c r="S1283" s="31" t="s">
        <v>3121</v>
      </c>
      <c r="T1283" s="95" t="str">
        <f t="shared" si="100"/>
        <v>2023 07</v>
      </c>
      <c r="U1283" s="32">
        <f t="shared" si="102"/>
        <v>1207.9827155311593</v>
      </c>
      <c r="V1283" s="22">
        <f t="shared" si="103"/>
        <v>1.7455961616021614</v>
      </c>
      <c r="X1283" s="33"/>
      <c r="Y1283" s="33"/>
    </row>
    <row r="1284" spans="1:25" x14ac:dyDescent="0.2">
      <c r="A1284" s="93" t="s">
        <v>572</v>
      </c>
      <c r="B1284" s="94" t="str">
        <f>IFERROR(VLOOKUP($A1284,HeadJournal!$A$1:$NTR$890,COLUMN(HeadJournal!B$1),0),"")</f>
        <v>710000677963</v>
      </c>
      <c r="C1284" s="94" t="str">
        <f>IFERROR(VLOOKUP($A1284,HeadJournal!$A$1:$NTR$890,COLUMN(HeadJournal!C$1),0),"")</f>
        <v>iHerb_OA CZN6870</v>
      </c>
      <c r="D1284" s="125" t="str">
        <f>IFERROR(VLOOKUP($A1284,HeadJournal!$A$1:$NTR$890,COLUMN(HeadJournal!D$1),0),"")</f>
        <v>Доставлен</v>
      </c>
      <c r="E1284" s="95">
        <f>IFERROR(VLOOKUP($A1284,HeadJournal!$A$1:$NTR$890,COLUMN(HeadJournal!G$1),0),"")</f>
        <v>44999</v>
      </c>
      <c r="F1284" s="95" t="str">
        <f t="shared" ref="F1284:F1347" si="104">IFERROR(TEXT(E1284, "ГГГГ ММ"),"")</f>
        <v>2023 03</v>
      </c>
      <c r="G1284" s="96" t="s">
        <v>5</v>
      </c>
      <c r="H1284" s="160" t="str">
        <f>RIGHT(Journal!$J1284,9)</f>
        <v>NOW-04603</v>
      </c>
      <c r="I1284" s="96" t="str">
        <f t="shared" si="101"/>
        <v>NOW Foods</v>
      </c>
      <c r="J1284" s="97" t="s">
        <v>153</v>
      </c>
      <c r="K1284" s="29">
        <v>8.82</v>
      </c>
      <c r="L1284" s="29">
        <v>-1.32</v>
      </c>
      <c r="M1284" s="30">
        <f>IFERROR(VLOOKUP($A1284,HeadJournal!$A$1:$J$890,COLUMN(HeadJournal!I$1),0)*($K1284+$L1284)/(SUMIF($A:$A,$A1284,$K:$K)+SUMIF($A:$A,$A1284,$L:$L)),0)</f>
        <v>0.53934683334102129</v>
      </c>
      <c r="N1284" s="30">
        <f>IFERROR((VLOOKUP($A1284,HeadJournal!$A$1:$K$890,COLUMN(HeadJournal!K$1),0)-VLOOKUP($A1284,HeadJournal!$A$1:$K$890,COLUMN(HeadJournal!J$1),0))*($K1284+$L1284)/(SUMIF($A:$A,$A1284,$K:$K)+SUMIF($A:$A,$A1284,$L:$L)),0)</f>
        <v>-9.8326869656363309E-16</v>
      </c>
      <c r="O1284" s="30">
        <f>IFERROR((VLOOKUP($A1284,HeadJournal!$A$1:$L$890,COLUMN(HeadJournal!L$1),0)*($K1284+$L1284)/(SUMIF($A:$A,$A1284,$K:$K)+SUMIF($A:$A,$A1284,$L:$L)))/VLOOKUP($A1284,HeadJournal!$A$1:$L$890,COLUMN(HeadJournal!H$1),0),0)</f>
        <v>0.56656741068064398</v>
      </c>
      <c r="P1284" s="30">
        <f>IFERROR(SUM(K1284:O1284)*VLOOKUP($A1284,HeadJournal!$A$1:$L$890,COLUMN(HeadJournal!H$1),0),0)</f>
        <v>723.86745237326431</v>
      </c>
      <c r="Q1284" s="29">
        <v>1500</v>
      </c>
      <c r="R1284" s="31">
        <v>45243</v>
      </c>
      <c r="S1284" s="31" t="s">
        <v>3121</v>
      </c>
      <c r="T1284" s="95" t="str">
        <f t="shared" ref="T1284:T1347" si="105">IF(R1284="","",TEXT(R1284,"ГГГГ ММ"))</f>
        <v>2023 11</v>
      </c>
      <c r="U1284" s="32">
        <f t="shared" si="102"/>
        <v>776.13254762673569</v>
      </c>
      <c r="V1284" s="22">
        <f t="shared" si="103"/>
        <v>1.0722025767039471</v>
      </c>
      <c r="X1284" s="33"/>
      <c r="Y1284" s="33"/>
    </row>
    <row r="1285" spans="1:25" x14ac:dyDescent="0.2">
      <c r="A1285" s="93" t="s">
        <v>572</v>
      </c>
      <c r="B1285" s="94" t="str">
        <f>IFERROR(VLOOKUP($A1285,HeadJournal!$A$1:$NTR$890,COLUMN(HeadJournal!B$1),0),"")</f>
        <v>710000677963</v>
      </c>
      <c r="C1285" s="94" t="str">
        <f>IFERROR(VLOOKUP($A1285,HeadJournal!$A$1:$NTR$890,COLUMN(HeadJournal!C$1),0),"")</f>
        <v>iHerb_OA CZN6870</v>
      </c>
      <c r="D1285" s="125" t="str">
        <f>IFERROR(VLOOKUP($A1285,HeadJournal!$A$1:$NTR$890,COLUMN(HeadJournal!D$1),0),"")</f>
        <v>Доставлен</v>
      </c>
      <c r="E1285" s="95">
        <f>IFERROR(VLOOKUP($A1285,HeadJournal!$A$1:$NTR$890,COLUMN(HeadJournal!G$1),0),"")</f>
        <v>44999</v>
      </c>
      <c r="F1285" s="95" t="str">
        <f t="shared" si="104"/>
        <v>2023 03</v>
      </c>
      <c r="G1285" s="96" t="s">
        <v>5</v>
      </c>
      <c r="H1285" s="175" t="s">
        <v>3654</v>
      </c>
      <c r="I1285" s="176" t="s">
        <v>2005</v>
      </c>
      <c r="J1285" s="97" t="s">
        <v>3703</v>
      </c>
      <c r="K1285" s="29">
        <v>9.3699999999999992</v>
      </c>
      <c r="L1285" s="29">
        <v>-1.41</v>
      </c>
      <c r="M1285" s="30">
        <f>IFERROR(VLOOKUP($A1285,HeadJournal!$A$1:$J$890,COLUMN(HeadJournal!I$1),0)*($K1285+$L1285)/(SUMIF($A:$A,$A1285,$K:$K)+SUMIF($A:$A,$A1285,$L:$L)),0)</f>
        <v>0.57242677245260387</v>
      </c>
      <c r="N1285" s="30">
        <f>IFERROR((VLOOKUP($A1285,HeadJournal!$A$1:$K$890,COLUMN(HeadJournal!K$1),0)-VLOOKUP($A1285,HeadJournal!$A$1:$K$890,COLUMN(HeadJournal!J$1),0))*($K1285+$L1285)/(SUMIF($A:$A,$A1285,$K:$K)+SUMIF($A:$A,$A1285,$L:$L)),0)</f>
        <v>-1.0435758432862025E-15</v>
      </c>
      <c r="O1285" s="30">
        <f>IFERROR((VLOOKUP($A1285,HeadJournal!$A$1:$L$890,COLUMN(HeadJournal!L$1),0)*($K1285+$L1285)/(SUMIF($A:$A,$A1285,$K:$K)+SUMIF($A:$A,$A1285,$L:$L)))/VLOOKUP($A1285,HeadJournal!$A$1:$L$890,COLUMN(HeadJournal!H$1),0),0)</f>
        <v>0.60131687853572346</v>
      </c>
      <c r="P1285" s="30">
        <f>IFERROR(SUM(K1285:O1285)*VLOOKUP($A1285,HeadJournal!$A$1:$L$890,COLUMN(HeadJournal!H$1),0),0)</f>
        <v>768.26465611882429</v>
      </c>
      <c r="Q1285" s="29">
        <v>1500</v>
      </c>
      <c r="R1285" s="31">
        <v>45057</v>
      </c>
      <c r="S1285" s="31" t="s">
        <v>3121</v>
      </c>
      <c r="T1285" s="95" t="str">
        <f t="shared" si="105"/>
        <v>2023 05</v>
      </c>
      <c r="U1285" s="32">
        <f t="shared" si="102"/>
        <v>731.73534388117571</v>
      </c>
      <c r="V1285" s="22">
        <f t="shared" si="103"/>
        <v>0.95245217654266434</v>
      </c>
      <c r="X1285" s="33"/>
      <c r="Y1285" s="33"/>
    </row>
    <row r="1286" spans="1:25" x14ac:dyDescent="0.2">
      <c r="A1286" s="93" t="s">
        <v>572</v>
      </c>
      <c r="B1286" s="94" t="str">
        <f>IFERROR(VLOOKUP($A1286,HeadJournal!$A$1:$NTR$890,COLUMN(HeadJournal!B$1),0),"")</f>
        <v>710000677963</v>
      </c>
      <c r="C1286" s="94" t="str">
        <f>IFERROR(VLOOKUP($A1286,HeadJournal!$A$1:$NTR$890,COLUMN(HeadJournal!C$1),0),"")</f>
        <v>iHerb_OA CZN6870</v>
      </c>
      <c r="D1286" s="125" t="str">
        <f>IFERROR(VLOOKUP($A1286,HeadJournal!$A$1:$NTR$890,COLUMN(HeadJournal!D$1),0),"")</f>
        <v>Доставлен</v>
      </c>
      <c r="E1286" s="95">
        <f>IFERROR(VLOOKUP($A1286,HeadJournal!$A$1:$NTR$890,COLUMN(HeadJournal!G$1),0),"")</f>
        <v>44999</v>
      </c>
      <c r="F1286" s="95" t="str">
        <f t="shared" si="104"/>
        <v>2023 03</v>
      </c>
      <c r="G1286" s="96" t="s">
        <v>5</v>
      </c>
      <c r="H1286" s="161" t="s">
        <v>2832</v>
      </c>
      <c r="I1286" s="97" t="s">
        <v>2005</v>
      </c>
      <c r="J1286" s="97" t="s">
        <v>2833</v>
      </c>
      <c r="K1286" s="29">
        <v>14.1</v>
      </c>
      <c r="L1286" s="29">
        <v>-2.12</v>
      </c>
      <c r="M1286" s="30">
        <f>IFERROR(VLOOKUP($A1286,HeadJournal!$A$1:$J$890,COLUMN(HeadJournal!I$1),0)*($K1286+$L1286)/(SUMIF($A:$A,$A1286,$K:$K)+SUMIF($A:$A,$A1286,$L:$L)),0)</f>
        <v>0.86151667512339136</v>
      </c>
      <c r="N1286" s="30">
        <f>IFERROR((VLOOKUP($A1286,HeadJournal!$A$1:$K$890,COLUMN(HeadJournal!K$1),0)-VLOOKUP($A1286,HeadJournal!$A$1:$K$890,COLUMN(HeadJournal!J$1),0))*($K1286+$L1286)/(SUMIF($A:$A,$A1286,$K:$K)+SUMIF($A:$A,$A1286,$L:$L)),0)</f>
        <v>-1.5706078646443102E-15</v>
      </c>
      <c r="O1286" s="30">
        <f>IFERROR((VLOOKUP($A1286,HeadJournal!$A$1:$L$890,COLUMN(HeadJournal!L$1),0)*($K1286+$L1286)/(SUMIF($A:$A,$A1286,$K:$K)+SUMIF($A:$A,$A1286,$L:$L)))/VLOOKUP($A1286,HeadJournal!$A$1:$L$890,COLUMN(HeadJournal!H$1),0),0)</f>
        <v>0.90499701066054872</v>
      </c>
      <c r="P1286" s="30">
        <f>IFERROR(SUM(K1286:O1286)*VLOOKUP($A1286,HeadJournal!$A$1:$L$890,COLUMN(HeadJournal!H$1),0),0)</f>
        <v>1156.2576105908943</v>
      </c>
      <c r="Q1286" s="29">
        <v>1700</v>
      </c>
      <c r="R1286" s="31">
        <v>45440</v>
      </c>
      <c r="S1286" s="31" t="s">
        <v>3121</v>
      </c>
      <c r="T1286" s="95" t="str">
        <f t="shared" si="105"/>
        <v>2024 05</v>
      </c>
      <c r="U1286" s="32">
        <f t="shared" si="102"/>
        <v>543.74238940910573</v>
      </c>
      <c r="V1286" s="22">
        <f t="shared" si="103"/>
        <v>0.47026059281999572</v>
      </c>
      <c r="X1286" s="33"/>
      <c r="Y1286" s="33"/>
    </row>
    <row r="1287" spans="1:25" x14ac:dyDescent="0.2">
      <c r="A1287" s="93" t="s">
        <v>575</v>
      </c>
      <c r="B1287" s="94" t="str">
        <f>IFERROR(VLOOKUP($A1287,HeadJournal!$A$1:$NTR$890,COLUMN(HeadJournal!B$1),0),"")</f>
        <v>710000688945</v>
      </c>
      <c r="C1287" s="94" t="str">
        <f>IFERROR(VLOOKUP($A1287,HeadJournal!$A$1:$NTR$890,COLUMN(HeadJournal!C$1),0),"")</f>
        <v>iHerb_OA CZN6870</v>
      </c>
      <c r="D1287" s="125" t="str">
        <f>IFERROR(VLOOKUP($A1287,HeadJournal!$A$1:$NTR$890,COLUMN(HeadJournal!D$1),0),"")</f>
        <v>Доставлен</v>
      </c>
      <c r="E1287" s="95">
        <f>IFERROR(VLOOKUP($A1287,HeadJournal!$A$1:$NTR$890,COLUMN(HeadJournal!G$1),0),"")</f>
        <v>45004</v>
      </c>
      <c r="F1287" s="95" t="str">
        <f t="shared" si="104"/>
        <v>2023 03</v>
      </c>
      <c r="G1287" s="96" t="s">
        <v>5</v>
      </c>
      <c r="H1287" s="175" t="s">
        <v>3649</v>
      </c>
      <c r="I1287" s="176" t="s">
        <v>2042</v>
      </c>
      <c r="J1287" s="97" t="s">
        <v>3698</v>
      </c>
      <c r="K1287" s="29">
        <v>10.24</v>
      </c>
      <c r="L1287" s="29">
        <v>-1.02</v>
      </c>
      <c r="M1287" s="30">
        <f>IFERROR(VLOOKUP($A1287,HeadJournal!$A$1:$J$890,COLUMN(HeadJournal!I$1),0)*($K1287+$L1287)/(SUMIF($A:$A,$A1287,$K:$K)+SUMIF($A:$A,$A1287,$L:$L)),0)</f>
        <v>0.54744092150575951</v>
      </c>
      <c r="N1287" s="30">
        <f>IFERROR((VLOOKUP($A1287,HeadJournal!$A$1:$K$890,COLUMN(HeadJournal!K$1),0)-VLOOKUP($A1287,HeadJournal!$A$1:$K$890,COLUMN(HeadJournal!J$1),0))*($K1287+$L1287)/(SUMIF($A:$A,$A1287,$K:$K)+SUMIF($A:$A,$A1287,$L:$L)),0)</f>
        <v>1.5559206801349306E-15</v>
      </c>
      <c r="O1287" s="30">
        <f>IFERROR((VLOOKUP($A1287,HeadJournal!$A$1:$L$890,COLUMN(HeadJournal!L$1),0)*($K1287+$L1287)/(SUMIF($A:$A,$A1287,$K:$K)+SUMIF($A:$A,$A1287,$L:$L)))/VLOOKUP($A1287,HeadJournal!$A$1:$L$890,COLUMN(HeadJournal!H$1),0),0)</f>
        <v>0.43073787377134698</v>
      </c>
      <c r="P1287" s="30">
        <f>IFERROR(SUM(K1287:O1287)*VLOOKUP($A1287,HeadJournal!$A$1:$L$890,COLUMN(HeadJournal!H$1),0),0)</f>
        <v>866.34277639235279</v>
      </c>
      <c r="Q1287" s="29">
        <v>1700</v>
      </c>
      <c r="R1287" s="31">
        <v>45034</v>
      </c>
      <c r="S1287" s="31" t="s">
        <v>3121</v>
      </c>
      <c r="T1287" s="95" t="str">
        <f t="shared" si="105"/>
        <v>2023 04</v>
      </c>
      <c r="U1287" s="32">
        <f t="shared" si="102"/>
        <v>833.65722360764721</v>
      </c>
      <c r="V1287" s="22">
        <f t="shared" si="103"/>
        <v>0.96227180086753239</v>
      </c>
      <c r="X1287" s="33"/>
      <c r="Y1287" s="33"/>
    </row>
    <row r="1288" spans="1:25" x14ac:dyDescent="0.2">
      <c r="A1288" s="93" t="s">
        <v>575</v>
      </c>
      <c r="B1288" s="94" t="str">
        <f>IFERROR(VLOOKUP($A1288,HeadJournal!$A$1:$NTR$890,COLUMN(HeadJournal!B$1),0),"")</f>
        <v>710000688945</v>
      </c>
      <c r="C1288" s="94" t="str">
        <f>IFERROR(VLOOKUP($A1288,HeadJournal!$A$1:$NTR$890,COLUMN(HeadJournal!C$1),0),"")</f>
        <v>iHerb_OA CZN6870</v>
      </c>
      <c r="D1288" s="125" t="str">
        <f>IFERROR(VLOOKUP($A1288,HeadJournal!$A$1:$NTR$890,COLUMN(HeadJournal!D$1),0),"")</f>
        <v>Доставлен</v>
      </c>
      <c r="E1288" s="95">
        <f>IFERROR(VLOOKUP($A1288,HeadJournal!$A$1:$NTR$890,COLUMN(HeadJournal!G$1),0),"")</f>
        <v>45004</v>
      </c>
      <c r="F1288" s="95" t="str">
        <f t="shared" si="104"/>
        <v>2023 03</v>
      </c>
      <c r="G1288" s="96" t="s">
        <v>7</v>
      </c>
      <c r="H1288" s="160" t="str">
        <f>RIGHT(Journal!$J1288,9)</f>
        <v>ARH-19744</v>
      </c>
      <c r="I1288" s="96" t="str">
        <f t="shared" si="101"/>
        <v>Arm &amp; Hammer</v>
      </c>
      <c r="J1288" s="97" t="s">
        <v>81</v>
      </c>
      <c r="K1288" s="29">
        <v>4.07</v>
      </c>
      <c r="L1288" s="29">
        <v>-0.41</v>
      </c>
      <c r="M1288" s="30">
        <f>IFERROR(VLOOKUP($A1288,HeadJournal!$A$1:$J$890,COLUMN(HeadJournal!I$1),0)*($K1288+$L1288)/(SUMIF($A:$A,$A1288,$K:$K)+SUMIF($A:$A,$A1288,$L:$L)),0)</f>
        <v>0.21731385821161389</v>
      </c>
      <c r="N1288" s="30">
        <f>IFERROR((VLOOKUP($A1288,HeadJournal!$A$1:$K$890,COLUMN(HeadJournal!K$1),0)-VLOOKUP($A1288,HeadJournal!$A$1:$K$890,COLUMN(HeadJournal!J$1),0))*($K1288+$L1288)/(SUMIF($A:$A,$A1288,$K:$K)+SUMIF($A:$A,$A1288,$L:$L)),0)</f>
        <v>6.1764313332905055E-16</v>
      </c>
      <c r="O1288" s="30">
        <f>IFERROR((VLOOKUP($A1288,HeadJournal!$A$1:$L$890,COLUMN(HeadJournal!L$1),0)*($K1288+$L1288)/(SUMIF($A:$A,$A1288,$K:$K)+SUMIF($A:$A,$A1288,$L:$L)))/VLOOKUP($A1288,HeadJournal!$A$1:$L$890,COLUMN(HeadJournal!H$1),0),0)</f>
        <v>0.17098705184415725</v>
      </c>
      <c r="P1288" s="30">
        <f>IFERROR(SUM(K1288:O1288)*VLOOKUP($A1288,HeadJournal!$A$1:$L$890,COLUMN(HeadJournal!H$1),0),0)</f>
        <v>343.90613466334179</v>
      </c>
      <c r="Q1288" s="29">
        <v>700</v>
      </c>
      <c r="R1288" s="31">
        <v>45045</v>
      </c>
      <c r="S1288" s="31" t="s">
        <v>3121</v>
      </c>
      <c r="T1288" s="95" t="str">
        <f t="shared" si="105"/>
        <v>2023 04</v>
      </c>
      <c r="U1288" s="32">
        <f t="shared" si="102"/>
        <v>356.09386533665821</v>
      </c>
      <c r="V1288" s="22">
        <f t="shared" si="103"/>
        <v>1.0354391197041231</v>
      </c>
      <c r="X1288" s="33"/>
      <c r="Y1288" s="33"/>
    </row>
    <row r="1289" spans="1:25" x14ac:dyDescent="0.2">
      <c r="A1289" s="93" t="s">
        <v>575</v>
      </c>
      <c r="B1289" s="94" t="str">
        <f>IFERROR(VLOOKUP($A1289,HeadJournal!$A$1:$NTR$890,COLUMN(HeadJournal!B$1),0),"")</f>
        <v>710000688945</v>
      </c>
      <c r="C1289" s="94" t="str">
        <f>IFERROR(VLOOKUP($A1289,HeadJournal!$A$1:$NTR$890,COLUMN(HeadJournal!C$1),0),"")</f>
        <v>iHerb_OA CZN6870</v>
      </c>
      <c r="D1289" s="125" t="str">
        <f>IFERROR(VLOOKUP($A1289,HeadJournal!$A$1:$NTR$890,COLUMN(HeadJournal!D$1),0),"")</f>
        <v>Доставлен</v>
      </c>
      <c r="E1289" s="95">
        <f>IFERROR(VLOOKUP($A1289,HeadJournal!$A$1:$NTR$890,COLUMN(HeadJournal!G$1),0),"")</f>
        <v>45004</v>
      </c>
      <c r="F1289" s="95" t="str">
        <f t="shared" si="104"/>
        <v>2023 03</v>
      </c>
      <c r="G1289" s="96" t="s">
        <v>7</v>
      </c>
      <c r="H1289" s="160" t="str">
        <f>RIGHT(Journal!$J1289,9)</f>
        <v>ARH-19020</v>
      </c>
      <c r="I1289" s="96" t="str">
        <f t="shared" si="101"/>
        <v>Arm &amp; Hammer</v>
      </c>
      <c r="J1289" s="97" t="s">
        <v>576</v>
      </c>
      <c r="K1289" s="29">
        <v>5.17</v>
      </c>
      <c r="L1289" s="29">
        <v>-0.52</v>
      </c>
      <c r="M1289" s="30">
        <f>IFERROR(VLOOKUP($A1289,HeadJournal!$A$1:$J$890,COLUMN(HeadJournal!I$1),0)*($K1289+$L1289)/(SUMIF($A:$A,$A1289,$K:$K)+SUMIF($A:$A,$A1289,$L:$L)),0)</f>
        <v>0.27609547559672254</v>
      </c>
      <c r="N1289" s="30">
        <f>IFERROR((VLOOKUP($A1289,HeadJournal!$A$1:$K$890,COLUMN(HeadJournal!K$1),0)-VLOOKUP($A1289,HeadJournal!$A$1:$K$890,COLUMN(HeadJournal!J$1),0))*($K1289+$L1289)/(SUMIF($A:$A,$A1289,$K:$K)+SUMIF($A:$A,$A1289,$L:$L)),0)</f>
        <v>7.8471053824592497E-16</v>
      </c>
      <c r="O1289" s="30">
        <f>IFERROR((VLOOKUP($A1289,HeadJournal!$A$1:$L$890,COLUMN(HeadJournal!L$1),0)*($K1289+$L1289)/(SUMIF($A:$A,$A1289,$K:$K)+SUMIF($A:$A,$A1289,$L:$L)))/VLOOKUP($A1289,HeadJournal!$A$1:$L$890,COLUMN(HeadJournal!H$1),0),0)</f>
        <v>0.21723764783478997</v>
      </c>
      <c r="P1289" s="30">
        <f>IFERROR(SUM(K1289:O1289)*VLOOKUP($A1289,HeadJournal!$A$1:$L$890,COLUMN(HeadJournal!H$1),0),0)</f>
        <v>436.92992518703261</v>
      </c>
      <c r="Q1289" s="29">
        <v>800</v>
      </c>
      <c r="R1289" s="31">
        <v>45041</v>
      </c>
      <c r="S1289" s="31" t="s">
        <v>3121</v>
      </c>
      <c r="T1289" s="95" t="str">
        <f t="shared" si="105"/>
        <v>2023 04</v>
      </c>
      <c r="U1289" s="32">
        <f t="shared" si="102"/>
        <v>363.07007481296739</v>
      </c>
      <c r="V1289" s="22">
        <f t="shared" si="103"/>
        <v>0.83095721735596684</v>
      </c>
      <c r="X1289" s="33"/>
      <c r="Y1289" s="33"/>
    </row>
    <row r="1290" spans="1:25" x14ac:dyDescent="0.2">
      <c r="A1290" s="93" t="s">
        <v>575</v>
      </c>
      <c r="B1290" s="94" t="str">
        <f>IFERROR(VLOOKUP($A1290,HeadJournal!$A$1:$NTR$890,COLUMN(HeadJournal!B$1),0),"")</f>
        <v>710000688945</v>
      </c>
      <c r="C1290" s="94" t="str">
        <f>IFERROR(VLOOKUP($A1290,HeadJournal!$A$1:$NTR$890,COLUMN(HeadJournal!C$1),0),"")</f>
        <v>iHerb_OA CZN6870</v>
      </c>
      <c r="D1290" s="125" t="str">
        <f>IFERROR(VLOOKUP($A1290,HeadJournal!$A$1:$NTR$890,COLUMN(HeadJournal!D$1),0),"")</f>
        <v>Доставлен</v>
      </c>
      <c r="E1290" s="95">
        <f>IFERROR(VLOOKUP($A1290,HeadJournal!$A$1:$NTR$890,COLUMN(HeadJournal!G$1),0),"")</f>
        <v>45004</v>
      </c>
      <c r="F1290" s="95" t="str">
        <f t="shared" si="104"/>
        <v>2023 03</v>
      </c>
      <c r="G1290" s="96" t="s">
        <v>5</v>
      </c>
      <c r="H1290" s="160" t="str">
        <f>RIGHT(Journal!$J1290,9)</f>
        <v>NOW-01648</v>
      </c>
      <c r="I1290" s="96" t="str">
        <f t="shared" si="101"/>
        <v>NOW Foods</v>
      </c>
      <c r="J1290" s="97" t="s">
        <v>49</v>
      </c>
      <c r="K1290" s="29">
        <v>14.08</v>
      </c>
      <c r="L1290" s="29">
        <v>-2.8166666666666664</v>
      </c>
      <c r="M1290" s="30">
        <f>IFERROR(VLOOKUP($A1290,HeadJournal!$A$1:$J$890,COLUMN(HeadJournal!I$1),0)*($K1290+$L1290)/(SUMIF($A:$A,$A1290,$K:$K)+SUMIF($A:$A,$A1290,$L:$L)),0)</f>
        <v>0.66876459644539465</v>
      </c>
      <c r="N1290" s="30">
        <f>IFERROR((VLOOKUP($A1290,HeadJournal!$A$1:$K$890,COLUMN(HeadJournal!K$1),0)-VLOOKUP($A1290,HeadJournal!$A$1:$K$890,COLUMN(HeadJournal!J$1),0))*($K1290+$L1290)/(SUMIF($A:$A,$A1290,$K:$K)+SUMIF($A:$A,$A1290,$L:$L)),0)</f>
        <v>1.9007433037512403E-15</v>
      </c>
      <c r="O1290" s="30">
        <f>IFERROR((VLOOKUP($A1290,HeadJournal!$A$1:$L$890,COLUMN(HeadJournal!L$1),0)*($K1290+$L1290)/(SUMIF($A:$A,$A1290,$K:$K)+SUMIF($A:$A,$A1290,$L:$L)))/VLOOKUP($A1290,HeadJournal!$A$1:$L$890,COLUMN(HeadJournal!H$1),0),0)</f>
        <v>0.52619785808871344</v>
      </c>
      <c r="P1290" s="30">
        <f>IFERROR(SUM(K1290:O1290)*VLOOKUP($A1290,HeadJournal!$A$1:$L$890,COLUMN(HeadJournal!H$1),0),0)</f>
        <v>1058.3413743419233</v>
      </c>
      <c r="Q1290" s="29">
        <v>1700</v>
      </c>
      <c r="R1290" s="31">
        <v>45440</v>
      </c>
      <c r="S1290" s="31" t="s">
        <v>3121</v>
      </c>
      <c r="T1290" s="95" t="str">
        <f t="shared" si="105"/>
        <v>2024 05</v>
      </c>
      <c r="U1290" s="32">
        <f t="shared" si="102"/>
        <v>641.65862565807674</v>
      </c>
      <c r="V1290" s="22">
        <f t="shared" si="103"/>
        <v>0.60628700834554461</v>
      </c>
      <c r="X1290" s="33"/>
      <c r="Y1290" s="33"/>
    </row>
    <row r="1291" spans="1:25" x14ac:dyDescent="0.2">
      <c r="A1291" s="93" t="s">
        <v>575</v>
      </c>
      <c r="B1291" s="94" t="str">
        <f>IFERROR(VLOOKUP($A1291,HeadJournal!$A$1:$NTR$890,COLUMN(HeadJournal!B$1),0),"")</f>
        <v>710000688945</v>
      </c>
      <c r="C1291" s="94" t="str">
        <f>IFERROR(VLOOKUP($A1291,HeadJournal!$A$1:$NTR$890,COLUMN(HeadJournal!C$1),0),"")</f>
        <v>iHerb_OA CZN6870</v>
      </c>
      <c r="D1291" s="125" t="str">
        <f>IFERROR(VLOOKUP($A1291,HeadJournal!$A$1:$NTR$890,COLUMN(HeadJournal!D$1),0),"")</f>
        <v>Доставлен</v>
      </c>
      <c r="E1291" s="95">
        <f>IFERROR(VLOOKUP($A1291,HeadJournal!$A$1:$NTR$890,COLUMN(HeadJournal!G$1),0),"")</f>
        <v>45004</v>
      </c>
      <c r="F1291" s="95" t="str">
        <f t="shared" si="104"/>
        <v>2023 03</v>
      </c>
      <c r="G1291" s="96" t="s">
        <v>5</v>
      </c>
      <c r="H1291" s="160" t="str">
        <f>RIGHT(Journal!$J1291,9)</f>
        <v>NOW-01648</v>
      </c>
      <c r="I1291" s="96" t="str">
        <f t="shared" si="101"/>
        <v>NOW Foods</v>
      </c>
      <c r="J1291" s="97" t="s">
        <v>49</v>
      </c>
      <c r="K1291" s="29">
        <v>14.08</v>
      </c>
      <c r="L1291" s="29">
        <v>-2.8166666666666664</v>
      </c>
      <c r="M1291" s="30">
        <f>IFERROR(VLOOKUP($A1291,HeadJournal!$A$1:$J$890,COLUMN(HeadJournal!I$1),0)*($K1291+$L1291)/(SUMIF($A:$A,$A1291,$K:$K)+SUMIF($A:$A,$A1291,$L:$L)),0)</f>
        <v>0.66876459644539465</v>
      </c>
      <c r="N1291" s="30">
        <f>IFERROR((VLOOKUP($A1291,HeadJournal!$A$1:$K$890,COLUMN(HeadJournal!K$1),0)-VLOOKUP($A1291,HeadJournal!$A$1:$K$890,COLUMN(HeadJournal!J$1),0))*($K1291+$L1291)/(SUMIF($A:$A,$A1291,$K:$K)+SUMIF($A:$A,$A1291,$L:$L)),0)</f>
        <v>1.9007433037512403E-15</v>
      </c>
      <c r="O1291" s="30">
        <f>IFERROR((VLOOKUP($A1291,HeadJournal!$A$1:$L$890,COLUMN(HeadJournal!L$1),0)*($K1291+$L1291)/(SUMIF($A:$A,$A1291,$K:$K)+SUMIF($A:$A,$A1291,$L:$L)))/VLOOKUP($A1291,HeadJournal!$A$1:$L$890,COLUMN(HeadJournal!H$1),0),0)</f>
        <v>0.52619785808871344</v>
      </c>
      <c r="P1291" s="30">
        <f>IFERROR(SUM(K1291:O1291)*VLOOKUP($A1291,HeadJournal!$A$1:$L$890,COLUMN(HeadJournal!H$1),0),0)</f>
        <v>1058.3413743419233</v>
      </c>
      <c r="Q1291" s="29">
        <v>1800</v>
      </c>
      <c r="R1291" s="31">
        <v>45480</v>
      </c>
      <c r="S1291" s="31" t="s">
        <v>3121</v>
      </c>
      <c r="T1291" s="95" t="str">
        <f t="shared" si="105"/>
        <v>2024 07</v>
      </c>
      <c r="U1291" s="32">
        <f t="shared" si="102"/>
        <v>741.65862565807674</v>
      </c>
      <c r="V1291" s="22">
        <f t="shared" si="103"/>
        <v>0.70077447942469429</v>
      </c>
      <c r="X1291" s="33"/>
      <c r="Y1291" s="33"/>
    </row>
    <row r="1292" spans="1:25" x14ac:dyDescent="0.2">
      <c r="A1292" s="93" t="s">
        <v>575</v>
      </c>
      <c r="B1292" s="94" t="str">
        <f>IFERROR(VLOOKUP($A1292,HeadJournal!$A$1:$NTR$890,COLUMN(HeadJournal!B$1),0),"")</f>
        <v>710000688945</v>
      </c>
      <c r="C1292" s="94" t="str">
        <f>IFERROR(VLOOKUP($A1292,HeadJournal!$A$1:$NTR$890,COLUMN(HeadJournal!C$1),0),"")</f>
        <v>iHerb_OA CZN6870</v>
      </c>
      <c r="D1292" s="125" t="str">
        <f>IFERROR(VLOOKUP($A1292,HeadJournal!$A$1:$NTR$890,COLUMN(HeadJournal!D$1),0),"")</f>
        <v>Доставлен</v>
      </c>
      <c r="E1292" s="95">
        <f>IFERROR(VLOOKUP($A1292,HeadJournal!$A$1:$NTR$890,COLUMN(HeadJournal!G$1),0),"")</f>
        <v>45004</v>
      </c>
      <c r="F1292" s="95" t="str">
        <f t="shared" si="104"/>
        <v>2023 03</v>
      </c>
      <c r="G1292" s="96" t="s">
        <v>5</v>
      </c>
      <c r="H1292" s="160" t="str">
        <f>RIGHT(Journal!$J1292,9)</f>
        <v>NOW-01648</v>
      </c>
      <c r="I1292" s="96" t="str">
        <f t="shared" si="101"/>
        <v>NOW Foods</v>
      </c>
      <c r="J1292" s="97" t="s">
        <v>49</v>
      </c>
      <c r="K1292" s="29">
        <v>14.08</v>
      </c>
      <c r="L1292" s="29">
        <v>-2.8166666666666664</v>
      </c>
      <c r="M1292" s="30">
        <f>IFERROR(VLOOKUP($A1292,HeadJournal!$A$1:$J$890,COLUMN(HeadJournal!I$1),0)*($K1292+$L1292)/(SUMIF($A:$A,$A1292,$K:$K)+SUMIF($A:$A,$A1292,$L:$L)),0)</f>
        <v>0.66876459644539465</v>
      </c>
      <c r="N1292" s="30">
        <f>IFERROR((VLOOKUP($A1292,HeadJournal!$A$1:$K$890,COLUMN(HeadJournal!K$1),0)-VLOOKUP($A1292,HeadJournal!$A$1:$K$890,COLUMN(HeadJournal!J$1),0))*($K1292+$L1292)/(SUMIF($A:$A,$A1292,$K:$K)+SUMIF($A:$A,$A1292,$L:$L)),0)</f>
        <v>1.9007433037512403E-15</v>
      </c>
      <c r="O1292" s="30">
        <f>IFERROR((VLOOKUP($A1292,HeadJournal!$A$1:$L$890,COLUMN(HeadJournal!L$1),0)*($K1292+$L1292)/(SUMIF($A:$A,$A1292,$K:$K)+SUMIF($A:$A,$A1292,$L:$L)))/VLOOKUP($A1292,HeadJournal!$A$1:$L$890,COLUMN(HeadJournal!H$1),0),0)</f>
        <v>0.52619785808871344</v>
      </c>
      <c r="P1292" s="30">
        <f>IFERROR(SUM(K1292:O1292)*VLOOKUP($A1292,HeadJournal!$A$1:$L$890,COLUMN(HeadJournal!H$1),0),0)</f>
        <v>1058.3413743419233</v>
      </c>
      <c r="Q1292" s="29">
        <v>1800</v>
      </c>
      <c r="R1292" s="31">
        <v>45569</v>
      </c>
      <c r="S1292" s="31" t="s">
        <v>3121</v>
      </c>
      <c r="T1292" s="95" t="str">
        <f t="shared" si="105"/>
        <v>2024 10</v>
      </c>
      <c r="U1292" s="32">
        <f t="shared" si="102"/>
        <v>741.65862565807674</v>
      </c>
      <c r="V1292" s="22">
        <f t="shared" si="103"/>
        <v>0.70077447942469429</v>
      </c>
      <c r="X1292" s="33"/>
      <c r="Y1292" s="33"/>
    </row>
    <row r="1293" spans="1:25" x14ac:dyDescent="0.2">
      <c r="A1293" s="93" t="s">
        <v>575</v>
      </c>
      <c r="B1293" s="94" t="str">
        <f>IFERROR(VLOOKUP($A1293,HeadJournal!$A$1:$NTR$890,COLUMN(HeadJournal!B$1),0),"")</f>
        <v>710000688945</v>
      </c>
      <c r="C1293" s="94" t="str">
        <f>IFERROR(VLOOKUP($A1293,HeadJournal!$A$1:$NTR$890,COLUMN(HeadJournal!C$1),0),"")</f>
        <v>iHerb_OA CZN6870</v>
      </c>
      <c r="D1293" s="125" t="str">
        <f>IFERROR(VLOOKUP($A1293,HeadJournal!$A$1:$NTR$890,COLUMN(HeadJournal!D$1),0),"")</f>
        <v>Доставлен</v>
      </c>
      <c r="E1293" s="95">
        <f>IFERROR(VLOOKUP($A1293,HeadJournal!$A$1:$NTR$890,COLUMN(HeadJournal!G$1),0),"")</f>
        <v>45004</v>
      </c>
      <c r="F1293" s="95" t="str">
        <f t="shared" si="104"/>
        <v>2023 03</v>
      </c>
      <c r="G1293" s="96" t="s">
        <v>5</v>
      </c>
      <c r="H1293" s="160" t="str">
        <f>RIGHT(Journal!$J1293,9)</f>
        <v>NOW-01841</v>
      </c>
      <c r="I1293" s="96" t="str">
        <f t="shared" si="101"/>
        <v>NOW Foods</v>
      </c>
      <c r="J1293" s="97" t="s">
        <v>281</v>
      </c>
      <c r="K1293" s="29">
        <v>24.04</v>
      </c>
      <c r="L1293" s="29">
        <v>-2.4049999999999998</v>
      </c>
      <c r="M1293" s="30">
        <f>IFERROR(VLOOKUP($A1293,HeadJournal!$A$1:$J$890,COLUMN(HeadJournal!I$1),0)*($K1293+$L1293)/(SUMIF($A:$A,$A1293,$K:$K)+SUMIF($A:$A,$A1293,$L:$L)),0)</f>
        <v>1.2845861536634604</v>
      </c>
      <c r="N1293" s="30">
        <f>IFERROR((VLOOKUP($A1293,HeadJournal!$A$1:$K$890,COLUMN(HeadJournal!K$1),0)-VLOOKUP($A1293,HeadJournal!$A$1:$K$890,COLUMN(HeadJournal!J$1),0))*($K1293+$L1293)/(SUMIF($A:$A,$A1293,$K:$K)+SUMIF($A:$A,$A1293,$L:$L)),0)</f>
        <v>3.651013439774319E-15</v>
      </c>
      <c r="O1293" s="30">
        <f>IFERROR((VLOOKUP($A1293,HeadJournal!$A$1:$L$890,COLUMN(HeadJournal!L$1),0)*($K1293+$L1293)/(SUMIF($A:$A,$A1293,$K:$K)+SUMIF($A:$A,$A1293,$L:$L)))/VLOOKUP($A1293,HeadJournal!$A$1:$L$890,COLUMN(HeadJournal!H$1),0),0)</f>
        <v>1.010739034603372</v>
      </c>
      <c r="P1293" s="30">
        <f>IFERROR(SUM(K1293:O1293)*VLOOKUP($A1293,HeadJournal!$A$1:$L$890,COLUMN(HeadJournal!H$1),0),0)</f>
        <v>2032.8986949293439</v>
      </c>
      <c r="Q1293" s="29">
        <v>3200</v>
      </c>
      <c r="R1293" s="31">
        <v>45115</v>
      </c>
      <c r="S1293" s="31" t="s">
        <v>3121</v>
      </c>
      <c r="T1293" s="95" t="str">
        <f t="shared" si="105"/>
        <v>2023 07</v>
      </c>
      <c r="U1293" s="32">
        <f t="shared" si="102"/>
        <v>1167.1013050706561</v>
      </c>
      <c r="V1293" s="22">
        <f t="shared" si="103"/>
        <v>0.57410696754430268</v>
      </c>
      <c r="X1293" s="33"/>
      <c r="Y1293" s="33"/>
    </row>
    <row r="1294" spans="1:25" x14ac:dyDescent="0.2">
      <c r="A1294" s="93" t="s">
        <v>575</v>
      </c>
      <c r="B1294" s="94" t="str">
        <f>IFERROR(VLOOKUP($A1294,HeadJournal!$A$1:$NTR$890,COLUMN(HeadJournal!B$1),0),"")</f>
        <v>710000688945</v>
      </c>
      <c r="C1294" s="94" t="str">
        <f>IFERROR(VLOOKUP($A1294,HeadJournal!$A$1:$NTR$890,COLUMN(HeadJournal!C$1),0),"")</f>
        <v>iHerb_OA CZN6870</v>
      </c>
      <c r="D1294" s="125" t="str">
        <f>IFERROR(VLOOKUP($A1294,HeadJournal!$A$1:$NTR$890,COLUMN(HeadJournal!D$1),0),"")</f>
        <v>Доставлен</v>
      </c>
      <c r="E1294" s="95">
        <f>IFERROR(VLOOKUP($A1294,HeadJournal!$A$1:$NTR$890,COLUMN(HeadJournal!G$1),0),"")</f>
        <v>45004</v>
      </c>
      <c r="F1294" s="95" t="str">
        <f t="shared" si="104"/>
        <v>2023 03</v>
      </c>
      <c r="G1294" s="96" t="s">
        <v>5</v>
      </c>
      <c r="H1294" s="160" t="str">
        <f>RIGHT(Journal!$J1294,9)</f>
        <v>NOW-01841</v>
      </c>
      <c r="I1294" s="96" t="str">
        <f t="shared" ref="I1294:I1357" si="106">IFERROR(LEFT(J1294,FIND(",",J1294)-1),"")</f>
        <v>NOW Foods</v>
      </c>
      <c r="J1294" s="97" t="s">
        <v>281</v>
      </c>
      <c r="K1294" s="29">
        <v>24.04</v>
      </c>
      <c r="L1294" s="29">
        <v>-2.4049999999999998</v>
      </c>
      <c r="M1294" s="30">
        <f>IFERROR(VLOOKUP($A1294,HeadJournal!$A$1:$J$890,COLUMN(HeadJournal!I$1),0)*($K1294+$L1294)/(SUMIF($A:$A,$A1294,$K:$K)+SUMIF($A:$A,$A1294,$L:$L)),0)</f>
        <v>1.2845861536634604</v>
      </c>
      <c r="N1294" s="30">
        <f>IFERROR((VLOOKUP($A1294,HeadJournal!$A$1:$K$890,COLUMN(HeadJournal!K$1),0)-VLOOKUP($A1294,HeadJournal!$A$1:$K$890,COLUMN(HeadJournal!J$1),0))*($K1294+$L1294)/(SUMIF($A:$A,$A1294,$K:$K)+SUMIF($A:$A,$A1294,$L:$L)),0)</f>
        <v>3.651013439774319E-15</v>
      </c>
      <c r="O1294" s="30">
        <f>IFERROR((VLOOKUP($A1294,HeadJournal!$A$1:$L$890,COLUMN(HeadJournal!L$1),0)*($K1294+$L1294)/(SUMIF($A:$A,$A1294,$K:$K)+SUMIF($A:$A,$A1294,$L:$L)))/VLOOKUP($A1294,HeadJournal!$A$1:$L$890,COLUMN(HeadJournal!H$1),0),0)</f>
        <v>1.010739034603372</v>
      </c>
      <c r="P1294" s="30">
        <f>IFERROR(SUM(K1294:O1294)*VLOOKUP($A1294,HeadJournal!$A$1:$L$890,COLUMN(HeadJournal!H$1),0),0)</f>
        <v>2032.8986949293439</v>
      </c>
      <c r="Q1294" s="29">
        <v>3200</v>
      </c>
      <c r="R1294" s="31">
        <v>45145</v>
      </c>
      <c r="S1294" s="31" t="s">
        <v>3121</v>
      </c>
      <c r="T1294" s="95" t="str">
        <f t="shared" si="105"/>
        <v>2023 08</v>
      </c>
      <c r="U1294" s="32">
        <f t="shared" si="102"/>
        <v>1167.1013050706561</v>
      </c>
      <c r="V1294" s="22">
        <f t="shared" si="103"/>
        <v>0.57410696754430268</v>
      </c>
      <c r="X1294" s="33"/>
      <c r="Y1294" s="33"/>
    </row>
    <row r="1295" spans="1:25" x14ac:dyDescent="0.2">
      <c r="A1295" s="93" t="s">
        <v>575</v>
      </c>
      <c r="B1295" s="94" t="str">
        <f>IFERROR(VLOOKUP($A1295,HeadJournal!$A$1:$NTR$890,COLUMN(HeadJournal!B$1),0),"")</f>
        <v>710000688945</v>
      </c>
      <c r="C1295" s="94" t="str">
        <f>IFERROR(VLOOKUP($A1295,HeadJournal!$A$1:$NTR$890,COLUMN(HeadJournal!C$1),0),"")</f>
        <v>iHerb_OA CZN6870</v>
      </c>
      <c r="D1295" s="125" t="str">
        <f>IFERROR(VLOOKUP($A1295,HeadJournal!$A$1:$NTR$890,COLUMN(HeadJournal!D$1),0),"")</f>
        <v>Доставлен</v>
      </c>
      <c r="E1295" s="95">
        <f>IFERROR(VLOOKUP($A1295,HeadJournal!$A$1:$NTR$890,COLUMN(HeadJournal!G$1),0),"")</f>
        <v>45004</v>
      </c>
      <c r="F1295" s="95" t="str">
        <f t="shared" si="104"/>
        <v>2023 03</v>
      </c>
      <c r="G1295" s="96" t="s">
        <v>5</v>
      </c>
      <c r="H1295" s="161" t="s">
        <v>2127</v>
      </c>
      <c r="I1295" s="97" t="s">
        <v>2125</v>
      </c>
      <c r="J1295" s="97" t="s">
        <v>2128</v>
      </c>
      <c r="K1295" s="29">
        <v>7.88</v>
      </c>
      <c r="L1295" s="29">
        <v>-0.79</v>
      </c>
      <c r="M1295" s="30">
        <f>IFERROR(VLOOKUP($A1295,HeadJournal!$A$1:$J$890,COLUMN(HeadJournal!I$1),0)*($K1295+$L1295)/(SUMIF($A:$A,$A1295,$K:$K)+SUMIF($A:$A,$A1295,$L:$L)),0)</f>
        <v>0.42097138107113186</v>
      </c>
      <c r="N1295" s="30">
        <f>IFERROR((VLOOKUP($A1295,HeadJournal!$A$1:$K$890,COLUMN(HeadJournal!K$1),0)-VLOOKUP($A1295,HeadJournal!$A$1:$K$890,COLUMN(HeadJournal!J$1),0))*($K1295+$L1295)/(SUMIF($A:$A,$A1295,$K:$K)+SUMIF($A:$A,$A1295,$L:$L)),0)</f>
        <v>1.1964726271319585E-15</v>
      </c>
      <c r="O1295" s="30">
        <f>IFERROR((VLOOKUP($A1295,HeadJournal!$A$1:$L$890,COLUMN(HeadJournal!L$1),0)*($K1295+$L1295)/(SUMIF($A:$A,$A1295,$K:$K)+SUMIF($A:$A,$A1295,$L:$L)))/VLOOKUP($A1295,HeadJournal!$A$1:$L$890,COLUMN(HeadJournal!H$1),0),0)</f>
        <v>0.3312290157308948</v>
      </c>
      <c r="P1295" s="30">
        <f>IFERROR(SUM(K1295:O1295)*VLOOKUP($A1295,HeadJournal!$A$1:$L$890,COLUMN(HeadJournal!H$1),0),0)</f>
        <v>666.20068162926043</v>
      </c>
      <c r="Q1295" s="29">
        <v>1300</v>
      </c>
      <c r="R1295" s="31">
        <v>45052</v>
      </c>
      <c r="S1295" s="31" t="s">
        <v>3121</v>
      </c>
      <c r="T1295" s="95" t="str">
        <f t="shared" si="105"/>
        <v>2023 05</v>
      </c>
      <c r="U1295" s="32">
        <f t="shared" si="102"/>
        <v>633.79931837073957</v>
      </c>
      <c r="V1295" s="22">
        <f t="shared" si="103"/>
        <v>0.95136395961156917</v>
      </c>
      <c r="X1295" s="33"/>
      <c r="Y1295" s="33"/>
    </row>
    <row r="1296" spans="1:25" x14ac:dyDescent="0.2">
      <c r="A1296" s="93" t="s">
        <v>575</v>
      </c>
      <c r="B1296" s="94" t="str">
        <f>IFERROR(VLOOKUP($A1296,HeadJournal!$A$1:$NTR$890,COLUMN(HeadJournal!B$1),0),"")</f>
        <v>710000688945</v>
      </c>
      <c r="C1296" s="94" t="str">
        <f>IFERROR(VLOOKUP($A1296,HeadJournal!$A$1:$NTR$890,COLUMN(HeadJournal!C$1),0),"")</f>
        <v>iHerb_OA CZN6870</v>
      </c>
      <c r="D1296" s="125" t="str">
        <f>IFERROR(VLOOKUP($A1296,HeadJournal!$A$1:$NTR$890,COLUMN(HeadJournal!D$1),0),"")</f>
        <v>Доставлен</v>
      </c>
      <c r="E1296" s="95">
        <f>IFERROR(VLOOKUP($A1296,HeadJournal!$A$1:$NTR$890,COLUMN(HeadJournal!G$1),0),"")</f>
        <v>45004</v>
      </c>
      <c r="F1296" s="95" t="str">
        <f t="shared" si="104"/>
        <v>2023 03</v>
      </c>
      <c r="G1296" s="96" t="s">
        <v>5</v>
      </c>
      <c r="H1296" s="161" t="s">
        <v>2127</v>
      </c>
      <c r="I1296" s="97" t="s">
        <v>2125</v>
      </c>
      <c r="J1296" s="97" t="s">
        <v>2128</v>
      </c>
      <c r="K1296" s="29">
        <v>7.88</v>
      </c>
      <c r="L1296" s="29">
        <v>-0.79</v>
      </c>
      <c r="M1296" s="30">
        <f>IFERROR(VLOOKUP($A1296,HeadJournal!$A$1:$J$890,COLUMN(HeadJournal!I$1),0)*($K1296+$L1296)/(SUMIF($A:$A,$A1296,$K:$K)+SUMIF($A:$A,$A1296,$L:$L)),0)</f>
        <v>0.42097138107113186</v>
      </c>
      <c r="N1296" s="30">
        <f>IFERROR((VLOOKUP($A1296,HeadJournal!$A$1:$K$890,COLUMN(HeadJournal!K$1),0)-VLOOKUP($A1296,HeadJournal!$A$1:$K$890,COLUMN(HeadJournal!J$1),0))*($K1296+$L1296)/(SUMIF($A:$A,$A1296,$K:$K)+SUMIF($A:$A,$A1296,$L:$L)),0)</f>
        <v>1.1964726271319585E-15</v>
      </c>
      <c r="O1296" s="30">
        <f>IFERROR((VLOOKUP($A1296,HeadJournal!$A$1:$L$890,COLUMN(HeadJournal!L$1),0)*($K1296+$L1296)/(SUMIF($A:$A,$A1296,$K:$K)+SUMIF($A:$A,$A1296,$L:$L)))/VLOOKUP($A1296,HeadJournal!$A$1:$L$890,COLUMN(HeadJournal!H$1),0),0)</f>
        <v>0.3312290157308948</v>
      </c>
      <c r="P1296" s="30">
        <f>IFERROR(SUM(K1296:O1296)*VLOOKUP($A1296,HeadJournal!$A$1:$L$890,COLUMN(HeadJournal!H$1),0),0)</f>
        <v>666.20068162926043</v>
      </c>
      <c r="Q1296" s="29">
        <v>1200</v>
      </c>
      <c r="R1296" s="31">
        <v>45071</v>
      </c>
      <c r="S1296" s="31" t="s">
        <v>3121</v>
      </c>
      <c r="T1296" s="95" t="str">
        <f t="shared" si="105"/>
        <v>2023 05</v>
      </c>
      <c r="U1296" s="32">
        <f t="shared" si="102"/>
        <v>533.79931837073957</v>
      </c>
      <c r="V1296" s="22">
        <f t="shared" si="103"/>
        <v>0.80125903964144851</v>
      </c>
      <c r="X1296" s="33"/>
      <c r="Y1296" s="33"/>
    </row>
    <row r="1297" spans="1:25" x14ac:dyDescent="0.2">
      <c r="A1297" s="93" t="s">
        <v>575</v>
      </c>
      <c r="B1297" s="94" t="str">
        <f>IFERROR(VLOOKUP($A1297,HeadJournal!$A$1:$NTR$890,COLUMN(HeadJournal!B$1),0),"")</f>
        <v>710000688945</v>
      </c>
      <c r="C1297" s="94" t="str">
        <f>IFERROR(VLOOKUP($A1297,HeadJournal!$A$1:$NTR$890,COLUMN(HeadJournal!C$1),0),"")</f>
        <v>iHerb_OA CZN6870</v>
      </c>
      <c r="D1297" s="125" t="str">
        <f>IFERROR(VLOOKUP($A1297,HeadJournal!$A$1:$NTR$890,COLUMN(HeadJournal!D$1),0),"")</f>
        <v>Доставлен</v>
      </c>
      <c r="E1297" s="95">
        <f>IFERROR(VLOOKUP($A1297,HeadJournal!$A$1:$NTR$890,COLUMN(HeadJournal!G$1),0),"")</f>
        <v>45004</v>
      </c>
      <c r="F1297" s="95" t="str">
        <f t="shared" si="104"/>
        <v>2023 03</v>
      </c>
      <c r="G1297" s="96" t="s">
        <v>5</v>
      </c>
      <c r="H1297" s="175" t="s">
        <v>3621</v>
      </c>
      <c r="I1297" s="176" t="s">
        <v>2218</v>
      </c>
      <c r="J1297" s="97" t="s">
        <v>3663</v>
      </c>
      <c r="K1297" s="29">
        <v>5.41</v>
      </c>
      <c r="L1297" s="29">
        <v>-0.54</v>
      </c>
      <c r="M1297" s="30">
        <f>IFERROR(VLOOKUP($A1297,HeadJournal!$A$1:$J$890,COLUMN(HeadJournal!I$1),0)*($K1297+$L1297)/(SUMIF($A:$A,$A1297,$K:$K)+SUMIF($A:$A,$A1297,$L:$L)),0)</f>
        <v>0.28915805723785781</v>
      </c>
      <c r="N1297" s="30">
        <f>IFERROR((VLOOKUP($A1297,HeadJournal!$A$1:$K$890,COLUMN(HeadJournal!K$1),0)-VLOOKUP($A1297,HeadJournal!$A$1:$K$890,COLUMN(HeadJournal!J$1),0))*($K1297+$L1297)/(SUMIF($A:$A,$A1297,$K:$K)+SUMIF($A:$A,$A1297,$L:$L)),0)</f>
        <v>8.218366282274525E-16</v>
      </c>
      <c r="O1297" s="30">
        <f>IFERROR((VLOOKUP($A1297,HeadJournal!$A$1:$L$890,COLUMN(HeadJournal!L$1),0)*($K1297+$L1297)/(SUMIF($A:$A,$A1297,$K:$K)+SUMIF($A:$A,$A1297,$L:$L)))/VLOOKUP($A1297,HeadJournal!$A$1:$L$890,COLUMN(HeadJournal!H$1),0),0)</f>
        <v>0.22751555805493054</v>
      </c>
      <c r="P1297" s="30">
        <f>IFERROR(SUM(K1297:O1297)*VLOOKUP($A1297,HeadJournal!$A$1:$L$890,COLUMN(HeadJournal!H$1),0),0)</f>
        <v>457.60187863674162</v>
      </c>
      <c r="Q1297" s="29">
        <v>1100</v>
      </c>
      <c r="R1297" s="31">
        <v>45035</v>
      </c>
      <c r="S1297" s="31" t="s">
        <v>3121</v>
      </c>
      <c r="T1297" s="95" t="str">
        <f t="shared" si="105"/>
        <v>2023 04</v>
      </c>
      <c r="U1297" s="32">
        <f t="shared" si="102"/>
        <v>642.39812136325838</v>
      </c>
      <c r="V1297" s="22">
        <f t="shared" si="103"/>
        <v>1.4038362851067177</v>
      </c>
      <c r="X1297" s="33"/>
      <c r="Y1297" s="33"/>
    </row>
    <row r="1298" spans="1:25" x14ac:dyDescent="0.2">
      <c r="A1298" s="93" t="s">
        <v>575</v>
      </c>
      <c r="B1298" s="94" t="str">
        <f>IFERROR(VLOOKUP($A1298,HeadJournal!$A$1:$NTR$890,COLUMN(HeadJournal!B$1),0),"")</f>
        <v>710000688945</v>
      </c>
      <c r="C1298" s="94" t="str">
        <f>IFERROR(VLOOKUP($A1298,HeadJournal!$A$1:$NTR$890,COLUMN(HeadJournal!C$1),0),"")</f>
        <v>iHerb_OA CZN6870</v>
      </c>
      <c r="D1298" s="125" t="str">
        <f>IFERROR(VLOOKUP($A1298,HeadJournal!$A$1:$NTR$890,COLUMN(HeadJournal!D$1),0),"")</f>
        <v>Доставлен</v>
      </c>
      <c r="E1298" s="95">
        <f>IFERROR(VLOOKUP($A1298,HeadJournal!$A$1:$NTR$890,COLUMN(HeadJournal!G$1),0),"")</f>
        <v>45004</v>
      </c>
      <c r="F1298" s="95" t="str">
        <f t="shared" si="104"/>
        <v>2023 03</v>
      </c>
      <c r="G1298" s="96" t="s">
        <v>5</v>
      </c>
      <c r="H1298" s="175" t="s">
        <v>3621</v>
      </c>
      <c r="I1298" s="176" t="s">
        <v>2218</v>
      </c>
      <c r="J1298" s="97" t="s">
        <v>3663</v>
      </c>
      <c r="K1298" s="29">
        <v>5.41</v>
      </c>
      <c r="L1298" s="29">
        <v>-0.54</v>
      </c>
      <c r="M1298" s="30">
        <f>IFERROR(VLOOKUP($A1298,HeadJournal!$A$1:$J$890,COLUMN(HeadJournal!I$1),0)*($K1298+$L1298)/(SUMIF($A:$A,$A1298,$K:$K)+SUMIF($A:$A,$A1298,$L:$L)),0)</f>
        <v>0.28915805723785781</v>
      </c>
      <c r="N1298" s="30">
        <f>IFERROR((VLOOKUP($A1298,HeadJournal!$A$1:$K$890,COLUMN(HeadJournal!K$1),0)-VLOOKUP($A1298,HeadJournal!$A$1:$K$890,COLUMN(HeadJournal!J$1),0))*($K1298+$L1298)/(SUMIF($A:$A,$A1298,$K:$K)+SUMIF($A:$A,$A1298,$L:$L)),0)</f>
        <v>8.218366282274525E-16</v>
      </c>
      <c r="O1298" s="30">
        <f>IFERROR((VLOOKUP($A1298,HeadJournal!$A$1:$L$890,COLUMN(HeadJournal!L$1),0)*($K1298+$L1298)/(SUMIF($A:$A,$A1298,$K:$K)+SUMIF($A:$A,$A1298,$L:$L)))/VLOOKUP($A1298,HeadJournal!$A$1:$L$890,COLUMN(HeadJournal!H$1),0),0)</f>
        <v>0.22751555805493054</v>
      </c>
      <c r="P1298" s="30">
        <f>IFERROR(SUM(K1298:O1298)*VLOOKUP($A1298,HeadJournal!$A$1:$L$890,COLUMN(HeadJournal!H$1),0),0)</f>
        <v>457.60187863674162</v>
      </c>
      <c r="Q1298" s="29">
        <v>1200</v>
      </c>
      <c r="R1298" s="31">
        <v>45043</v>
      </c>
      <c r="S1298" s="31" t="s">
        <v>3121</v>
      </c>
      <c r="T1298" s="95" t="str">
        <f t="shared" si="105"/>
        <v>2023 04</v>
      </c>
      <c r="U1298" s="32">
        <f t="shared" si="102"/>
        <v>742.39812136325838</v>
      </c>
      <c r="V1298" s="22">
        <f t="shared" si="103"/>
        <v>1.6223668564800555</v>
      </c>
      <c r="X1298" s="33"/>
      <c r="Y1298" s="33"/>
    </row>
    <row r="1299" spans="1:25" x14ac:dyDescent="0.2">
      <c r="A1299" s="93" t="s">
        <v>575</v>
      </c>
      <c r="B1299" s="94" t="str">
        <f>IFERROR(VLOOKUP($A1299,HeadJournal!$A$1:$NTR$890,COLUMN(HeadJournal!B$1),0),"")</f>
        <v>710000688945</v>
      </c>
      <c r="C1299" s="94" t="str">
        <f>IFERROR(VLOOKUP($A1299,HeadJournal!$A$1:$NTR$890,COLUMN(HeadJournal!C$1),0),"")</f>
        <v>iHerb_OA CZN6870</v>
      </c>
      <c r="D1299" s="125" t="str">
        <f>IFERROR(VLOOKUP($A1299,HeadJournal!$A$1:$NTR$890,COLUMN(HeadJournal!D$1),0),"")</f>
        <v>Доставлен</v>
      </c>
      <c r="E1299" s="95">
        <f>IFERROR(VLOOKUP($A1299,HeadJournal!$A$1:$NTR$890,COLUMN(HeadJournal!G$1),0),"")</f>
        <v>45004</v>
      </c>
      <c r="F1299" s="95" t="str">
        <f t="shared" si="104"/>
        <v>2023 03</v>
      </c>
      <c r="G1299" s="96" t="s">
        <v>5</v>
      </c>
      <c r="H1299" s="175" t="s">
        <v>3621</v>
      </c>
      <c r="I1299" s="176" t="s">
        <v>2218</v>
      </c>
      <c r="J1299" s="97" t="s">
        <v>3663</v>
      </c>
      <c r="K1299" s="29">
        <v>5.41</v>
      </c>
      <c r="L1299" s="29">
        <v>-0.54</v>
      </c>
      <c r="M1299" s="30">
        <f>IFERROR(VLOOKUP($A1299,HeadJournal!$A$1:$J$890,COLUMN(HeadJournal!I$1),0)*($K1299+$L1299)/(SUMIF($A:$A,$A1299,$K:$K)+SUMIF($A:$A,$A1299,$L:$L)),0)</f>
        <v>0.28915805723785781</v>
      </c>
      <c r="N1299" s="30">
        <f>IFERROR((VLOOKUP($A1299,HeadJournal!$A$1:$K$890,COLUMN(HeadJournal!K$1),0)-VLOOKUP($A1299,HeadJournal!$A$1:$K$890,COLUMN(HeadJournal!J$1),0))*($K1299+$L1299)/(SUMIF($A:$A,$A1299,$K:$K)+SUMIF($A:$A,$A1299,$L:$L)),0)</f>
        <v>8.218366282274525E-16</v>
      </c>
      <c r="O1299" s="30">
        <f>IFERROR((VLOOKUP($A1299,HeadJournal!$A$1:$L$890,COLUMN(HeadJournal!L$1),0)*($K1299+$L1299)/(SUMIF($A:$A,$A1299,$K:$K)+SUMIF($A:$A,$A1299,$L:$L)))/VLOOKUP($A1299,HeadJournal!$A$1:$L$890,COLUMN(HeadJournal!H$1),0),0)</f>
        <v>0.22751555805493054</v>
      </c>
      <c r="P1299" s="30">
        <f>IFERROR(SUM(K1299:O1299)*VLOOKUP($A1299,HeadJournal!$A$1:$L$890,COLUMN(HeadJournal!H$1),0),0)</f>
        <v>457.60187863674162</v>
      </c>
      <c r="Q1299" s="29">
        <v>1100</v>
      </c>
      <c r="R1299" s="31">
        <v>45174</v>
      </c>
      <c r="S1299" s="31" t="s">
        <v>3121</v>
      </c>
      <c r="T1299" s="95" t="str">
        <f t="shared" si="105"/>
        <v>2023 09</v>
      </c>
      <c r="U1299" s="32">
        <f t="shared" si="102"/>
        <v>642.39812136325838</v>
      </c>
      <c r="V1299" s="22">
        <f t="shared" si="103"/>
        <v>1.4038362851067177</v>
      </c>
      <c r="X1299" s="33"/>
      <c r="Y1299" s="33"/>
    </row>
    <row r="1300" spans="1:25" x14ac:dyDescent="0.2">
      <c r="A1300" s="93" t="s">
        <v>575</v>
      </c>
      <c r="B1300" s="94" t="str">
        <f>IFERROR(VLOOKUP($A1300,HeadJournal!$A$1:$NTR$890,COLUMN(HeadJournal!B$1),0),"")</f>
        <v>710000688945</v>
      </c>
      <c r="C1300" s="94" t="str">
        <f>IFERROR(VLOOKUP($A1300,HeadJournal!$A$1:$NTR$890,COLUMN(HeadJournal!C$1),0),"")</f>
        <v>iHerb_OA CZN6870</v>
      </c>
      <c r="D1300" s="125" t="str">
        <f>IFERROR(VLOOKUP($A1300,HeadJournal!$A$1:$NTR$890,COLUMN(HeadJournal!D$1),0),"")</f>
        <v>Доставлен</v>
      </c>
      <c r="E1300" s="95">
        <f>IFERROR(VLOOKUP($A1300,HeadJournal!$A$1:$NTR$890,COLUMN(HeadJournal!G$1),0),"")</f>
        <v>45004</v>
      </c>
      <c r="F1300" s="95" t="str">
        <f t="shared" si="104"/>
        <v>2023 03</v>
      </c>
      <c r="G1300" s="96" t="s">
        <v>5</v>
      </c>
      <c r="H1300" s="161" t="s">
        <v>2696</v>
      </c>
      <c r="I1300" s="97" t="s">
        <v>2052</v>
      </c>
      <c r="J1300" s="97" t="s">
        <v>2697</v>
      </c>
      <c r="K1300" s="29">
        <v>8</v>
      </c>
      <c r="L1300" s="29">
        <v>-4</v>
      </c>
      <c r="M1300" s="30">
        <f>IFERROR(VLOOKUP($A1300,HeadJournal!$A$1:$J$890,COLUMN(HeadJournal!I$1),0)*($K1300+$L1300)/(SUMIF($A:$A,$A1300,$K:$K)+SUMIF($A:$A,$A1300,$L:$L)),0)</f>
        <v>0.23750148438427746</v>
      </c>
      <c r="N1300" s="30">
        <f>IFERROR((VLOOKUP($A1300,HeadJournal!$A$1:$K$890,COLUMN(HeadJournal!K$1),0)-VLOOKUP($A1300,HeadJournal!$A$1:$K$890,COLUMN(HeadJournal!J$1),0))*($K1300+$L1300)/(SUMIF($A:$A,$A1300,$K:$K)+SUMIF($A:$A,$A1300,$L:$L)),0)</f>
        <v>6.7501981784595693E-16</v>
      </c>
      <c r="O1300" s="30">
        <f>IFERROR((VLOOKUP($A1300,HeadJournal!$A$1:$L$890,COLUMN(HeadJournal!L$1),0)*($K1300+$L1300)/(SUMIF($A:$A,$A1300,$K:$K)+SUMIF($A:$A,$A1300,$L:$L)))/VLOOKUP($A1300,HeadJournal!$A$1:$L$890,COLUMN(HeadJournal!H$1),0),0)</f>
        <v>0.18687109491164727</v>
      </c>
      <c r="P1300" s="30">
        <f>IFERROR(SUM(K1300:O1300)*VLOOKUP($A1300,HeadJournal!$A$1:$L$890,COLUMN(HeadJournal!H$1),0),0)</f>
        <v>375.85369908561944</v>
      </c>
      <c r="Q1300" s="29">
        <v>900</v>
      </c>
      <c r="R1300" s="31">
        <v>45034</v>
      </c>
      <c r="S1300" s="31" t="s">
        <v>3121</v>
      </c>
      <c r="T1300" s="95" t="str">
        <f t="shared" si="105"/>
        <v>2023 04</v>
      </c>
      <c r="U1300" s="32">
        <f t="shared" si="102"/>
        <v>524.14630091438062</v>
      </c>
      <c r="V1300" s="22">
        <f t="shared" si="103"/>
        <v>1.3945487358233506</v>
      </c>
      <c r="X1300" s="33"/>
      <c r="Y1300" s="33"/>
    </row>
    <row r="1301" spans="1:25" x14ac:dyDescent="0.2">
      <c r="A1301" s="93" t="s">
        <v>575</v>
      </c>
      <c r="B1301" s="94" t="str">
        <f>IFERROR(VLOOKUP($A1301,HeadJournal!$A$1:$NTR$890,COLUMN(HeadJournal!B$1),0),"")</f>
        <v>710000688945</v>
      </c>
      <c r="C1301" s="94" t="str">
        <f>IFERROR(VLOOKUP($A1301,HeadJournal!$A$1:$NTR$890,COLUMN(HeadJournal!C$1),0),"")</f>
        <v>iHerb_OA CZN6870</v>
      </c>
      <c r="D1301" s="125" t="str">
        <f>IFERROR(VLOOKUP($A1301,HeadJournal!$A$1:$NTR$890,COLUMN(HeadJournal!D$1),0),"")</f>
        <v>Доставлен</v>
      </c>
      <c r="E1301" s="95">
        <f>IFERROR(VLOOKUP($A1301,HeadJournal!$A$1:$NTR$890,COLUMN(HeadJournal!G$1),0),"")</f>
        <v>45004</v>
      </c>
      <c r="F1301" s="95" t="str">
        <f t="shared" si="104"/>
        <v>2023 03</v>
      </c>
      <c r="G1301" s="96" t="s">
        <v>5</v>
      </c>
      <c r="H1301" s="161" t="s">
        <v>2696</v>
      </c>
      <c r="I1301" s="97" t="s">
        <v>2052</v>
      </c>
      <c r="J1301" s="97" t="s">
        <v>2697</v>
      </c>
      <c r="K1301" s="29">
        <v>8</v>
      </c>
      <c r="L1301" s="29">
        <v>-4</v>
      </c>
      <c r="M1301" s="30">
        <f>IFERROR(VLOOKUP($A1301,HeadJournal!$A$1:$J$890,COLUMN(HeadJournal!I$1),0)*($K1301+$L1301)/(SUMIF($A:$A,$A1301,$K:$K)+SUMIF($A:$A,$A1301,$L:$L)),0)</f>
        <v>0.23750148438427746</v>
      </c>
      <c r="N1301" s="30">
        <f>IFERROR((VLOOKUP($A1301,HeadJournal!$A$1:$K$890,COLUMN(HeadJournal!K$1),0)-VLOOKUP($A1301,HeadJournal!$A$1:$K$890,COLUMN(HeadJournal!J$1),0))*($K1301+$L1301)/(SUMIF($A:$A,$A1301,$K:$K)+SUMIF($A:$A,$A1301,$L:$L)),0)</f>
        <v>6.7501981784595693E-16</v>
      </c>
      <c r="O1301" s="30">
        <f>IFERROR((VLOOKUP($A1301,HeadJournal!$A$1:$L$890,COLUMN(HeadJournal!L$1),0)*($K1301+$L1301)/(SUMIF($A:$A,$A1301,$K:$K)+SUMIF($A:$A,$A1301,$L:$L)))/VLOOKUP($A1301,HeadJournal!$A$1:$L$890,COLUMN(HeadJournal!H$1),0),0)</f>
        <v>0.18687109491164727</v>
      </c>
      <c r="P1301" s="30">
        <f>IFERROR(SUM(K1301:O1301)*VLOOKUP($A1301,HeadJournal!$A$1:$L$890,COLUMN(HeadJournal!H$1),0),0)</f>
        <v>375.85369908561944</v>
      </c>
      <c r="Q1301" s="29">
        <v>900</v>
      </c>
      <c r="R1301" s="31">
        <v>45034</v>
      </c>
      <c r="S1301" s="31" t="s">
        <v>3121</v>
      </c>
      <c r="T1301" s="95" t="str">
        <f t="shared" si="105"/>
        <v>2023 04</v>
      </c>
      <c r="U1301" s="32">
        <f t="shared" si="102"/>
        <v>524.14630091438062</v>
      </c>
      <c r="V1301" s="22">
        <f t="shared" si="103"/>
        <v>1.3945487358233506</v>
      </c>
      <c r="X1301" s="33"/>
      <c r="Y1301" s="33"/>
    </row>
    <row r="1302" spans="1:25" x14ac:dyDescent="0.2">
      <c r="A1302" s="93" t="s">
        <v>575</v>
      </c>
      <c r="B1302" s="94" t="str">
        <f>IFERROR(VLOOKUP($A1302,HeadJournal!$A$1:$NTR$890,COLUMN(HeadJournal!B$1),0),"")</f>
        <v>710000688945</v>
      </c>
      <c r="C1302" s="94" t="str">
        <f>IFERROR(VLOOKUP($A1302,HeadJournal!$A$1:$NTR$890,COLUMN(HeadJournal!C$1),0),"")</f>
        <v>iHerb_OA CZN6870</v>
      </c>
      <c r="D1302" s="125" t="str">
        <f>IFERROR(VLOOKUP($A1302,HeadJournal!$A$1:$NTR$890,COLUMN(HeadJournal!D$1),0),"")</f>
        <v>Доставлен</v>
      </c>
      <c r="E1302" s="95">
        <f>IFERROR(VLOOKUP($A1302,HeadJournal!$A$1:$NTR$890,COLUMN(HeadJournal!G$1),0),"")</f>
        <v>45004</v>
      </c>
      <c r="F1302" s="95" t="str">
        <f t="shared" si="104"/>
        <v>2023 03</v>
      </c>
      <c r="G1302" s="96" t="s">
        <v>5</v>
      </c>
      <c r="H1302" s="161" t="s">
        <v>2696</v>
      </c>
      <c r="I1302" s="97" t="s">
        <v>2052</v>
      </c>
      <c r="J1302" s="97" t="s">
        <v>2697</v>
      </c>
      <c r="K1302" s="29">
        <v>8</v>
      </c>
      <c r="L1302" s="29">
        <v>-4</v>
      </c>
      <c r="M1302" s="30">
        <f>IFERROR(VLOOKUP($A1302,HeadJournal!$A$1:$J$890,COLUMN(HeadJournal!I$1),0)*($K1302+$L1302)/(SUMIF($A:$A,$A1302,$K:$K)+SUMIF($A:$A,$A1302,$L:$L)),0)</f>
        <v>0.23750148438427746</v>
      </c>
      <c r="N1302" s="30">
        <f>IFERROR((VLOOKUP($A1302,HeadJournal!$A$1:$K$890,COLUMN(HeadJournal!K$1),0)-VLOOKUP($A1302,HeadJournal!$A$1:$K$890,COLUMN(HeadJournal!J$1),0))*($K1302+$L1302)/(SUMIF($A:$A,$A1302,$K:$K)+SUMIF($A:$A,$A1302,$L:$L)),0)</f>
        <v>6.7501981784595693E-16</v>
      </c>
      <c r="O1302" s="30">
        <f>IFERROR((VLOOKUP($A1302,HeadJournal!$A$1:$L$890,COLUMN(HeadJournal!L$1),0)*($K1302+$L1302)/(SUMIF($A:$A,$A1302,$K:$K)+SUMIF($A:$A,$A1302,$L:$L)))/VLOOKUP($A1302,HeadJournal!$A$1:$L$890,COLUMN(HeadJournal!H$1),0),0)</f>
        <v>0.18687109491164727</v>
      </c>
      <c r="P1302" s="30">
        <f>IFERROR(SUM(K1302:O1302)*VLOOKUP($A1302,HeadJournal!$A$1:$L$890,COLUMN(HeadJournal!H$1),0),0)</f>
        <v>375.85369908561944</v>
      </c>
      <c r="Q1302" s="29">
        <v>900</v>
      </c>
      <c r="R1302" s="31">
        <v>45238</v>
      </c>
      <c r="S1302" s="31" t="s">
        <v>3121</v>
      </c>
      <c r="T1302" s="95" t="str">
        <f t="shared" si="105"/>
        <v>2023 11</v>
      </c>
      <c r="U1302" s="32">
        <f t="shared" si="102"/>
        <v>524.14630091438062</v>
      </c>
      <c r="V1302" s="22">
        <f t="shared" si="103"/>
        <v>1.3945487358233506</v>
      </c>
      <c r="X1302" s="33"/>
      <c r="Y1302" s="33"/>
    </row>
    <row r="1303" spans="1:25" x14ac:dyDescent="0.2">
      <c r="A1303" s="93" t="s">
        <v>575</v>
      </c>
      <c r="B1303" s="94" t="str">
        <f>IFERROR(VLOOKUP($A1303,HeadJournal!$A$1:$NTR$890,COLUMN(HeadJournal!B$1),0),"")</f>
        <v>710000688945</v>
      </c>
      <c r="C1303" s="94" t="str">
        <f>IFERROR(VLOOKUP($A1303,HeadJournal!$A$1:$NTR$890,COLUMN(HeadJournal!C$1),0),"")</f>
        <v>iHerb_OA CZN6870</v>
      </c>
      <c r="D1303" s="125" t="str">
        <f>IFERROR(VLOOKUP($A1303,HeadJournal!$A$1:$NTR$890,COLUMN(HeadJournal!D$1),0),"")</f>
        <v>Доставлен</v>
      </c>
      <c r="E1303" s="95">
        <f>IFERROR(VLOOKUP($A1303,HeadJournal!$A$1:$NTR$890,COLUMN(HeadJournal!G$1),0),"")</f>
        <v>45004</v>
      </c>
      <c r="F1303" s="95" t="str">
        <f t="shared" si="104"/>
        <v>2023 03</v>
      </c>
      <c r="G1303" s="96" t="s">
        <v>5</v>
      </c>
      <c r="H1303" s="160" t="str">
        <f>RIGHT(Journal!$J1303,9)</f>
        <v>NOW-01657</v>
      </c>
      <c r="I1303" s="96" t="str">
        <f t="shared" si="106"/>
        <v>NOW Foods</v>
      </c>
      <c r="J1303" s="97" t="s">
        <v>577</v>
      </c>
      <c r="K1303" s="29">
        <v>17.75</v>
      </c>
      <c r="L1303" s="29">
        <v>-5.3250000000000002</v>
      </c>
      <c r="M1303" s="30">
        <f>IFERROR(VLOOKUP($A1303,HeadJournal!$A$1:$J$890,COLUMN(HeadJournal!I$1),0)*($K1303+$L1303)/(SUMIF($A:$A,$A1303,$K:$K)+SUMIF($A:$A,$A1303,$L:$L)),0)</f>
        <v>0.73773898586866182</v>
      </c>
      <c r="N1303" s="30">
        <f>IFERROR((VLOOKUP($A1303,HeadJournal!$A$1:$K$890,COLUMN(HeadJournal!K$1),0)-VLOOKUP($A1303,HeadJournal!$A$1:$K$890,COLUMN(HeadJournal!J$1),0))*($K1303+$L1303)/(SUMIF($A:$A,$A1303,$K:$K)+SUMIF($A:$A,$A1303,$L:$L)),0)</f>
        <v>2.0967803091840035E-15</v>
      </c>
      <c r="O1303" s="30">
        <f>IFERROR((VLOOKUP($A1303,HeadJournal!$A$1:$L$890,COLUMN(HeadJournal!L$1),0)*($K1303+$L1303)/(SUMIF($A:$A,$A1303,$K:$K)+SUMIF($A:$A,$A1303,$L:$L)))/VLOOKUP($A1303,HeadJournal!$A$1:$L$890,COLUMN(HeadJournal!H$1),0),0)</f>
        <v>0.58046833856930424</v>
      </c>
      <c r="P1303" s="30">
        <f>IFERROR(SUM(K1303:O1303)*VLOOKUP($A1303,HeadJournal!$A$1:$L$890,COLUMN(HeadJournal!H$1),0),0)</f>
        <v>1167.4955527847053</v>
      </c>
      <c r="Q1303" s="29">
        <v>1700</v>
      </c>
      <c r="R1303" s="31">
        <v>45414</v>
      </c>
      <c r="S1303" s="31" t="s">
        <v>3121</v>
      </c>
      <c r="T1303" s="95" t="str">
        <f t="shared" si="105"/>
        <v>2024 05</v>
      </c>
      <c r="U1303" s="32">
        <f t="shared" si="102"/>
        <v>532.5044472152947</v>
      </c>
      <c r="V1303" s="22">
        <f t="shared" si="103"/>
        <v>0.45610833030170217</v>
      </c>
      <c r="X1303" s="33"/>
      <c r="Y1303" s="33"/>
    </row>
    <row r="1304" spans="1:25" x14ac:dyDescent="0.2">
      <c r="A1304" s="93" t="s">
        <v>575</v>
      </c>
      <c r="B1304" s="94" t="str">
        <f>IFERROR(VLOOKUP($A1304,HeadJournal!$A$1:$NTR$890,COLUMN(HeadJournal!B$1),0),"")</f>
        <v>710000688945</v>
      </c>
      <c r="C1304" s="94" t="str">
        <f>IFERROR(VLOOKUP($A1304,HeadJournal!$A$1:$NTR$890,COLUMN(HeadJournal!C$1),0),"")</f>
        <v>iHerb_OA CZN6870</v>
      </c>
      <c r="D1304" s="125" t="str">
        <f>IFERROR(VLOOKUP($A1304,HeadJournal!$A$1:$NTR$890,COLUMN(HeadJournal!D$1),0),"")</f>
        <v>Доставлен</v>
      </c>
      <c r="E1304" s="95">
        <f>IFERROR(VLOOKUP($A1304,HeadJournal!$A$1:$NTR$890,COLUMN(HeadJournal!G$1),0),"")</f>
        <v>45004</v>
      </c>
      <c r="F1304" s="95" t="str">
        <f t="shared" si="104"/>
        <v>2023 03</v>
      </c>
      <c r="G1304" s="96" t="s">
        <v>5</v>
      </c>
      <c r="H1304" s="160" t="str">
        <f>RIGHT(Journal!$J1304,9)</f>
        <v>NOW-01657</v>
      </c>
      <c r="I1304" s="96" t="str">
        <f t="shared" si="106"/>
        <v>NOW Foods</v>
      </c>
      <c r="J1304" s="97" t="s">
        <v>577</v>
      </c>
      <c r="K1304" s="29">
        <v>17.75</v>
      </c>
      <c r="L1304" s="29">
        <v>-5.3250000000000002</v>
      </c>
      <c r="M1304" s="30">
        <f>IFERROR(VLOOKUP($A1304,HeadJournal!$A$1:$J$890,COLUMN(HeadJournal!I$1),0)*($K1304+$L1304)/(SUMIF($A:$A,$A1304,$K:$K)+SUMIF($A:$A,$A1304,$L:$L)),0)</f>
        <v>0.73773898586866182</v>
      </c>
      <c r="N1304" s="30">
        <f>IFERROR((VLOOKUP($A1304,HeadJournal!$A$1:$K$890,COLUMN(HeadJournal!K$1),0)-VLOOKUP($A1304,HeadJournal!$A$1:$K$890,COLUMN(HeadJournal!J$1),0))*($K1304+$L1304)/(SUMIF($A:$A,$A1304,$K:$K)+SUMIF($A:$A,$A1304,$L:$L)),0)</f>
        <v>2.0967803091840035E-15</v>
      </c>
      <c r="O1304" s="30">
        <f>IFERROR((VLOOKUP($A1304,HeadJournal!$A$1:$L$890,COLUMN(HeadJournal!L$1),0)*($K1304+$L1304)/(SUMIF($A:$A,$A1304,$K:$K)+SUMIF($A:$A,$A1304,$L:$L)))/VLOOKUP($A1304,HeadJournal!$A$1:$L$890,COLUMN(HeadJournal!H$1),0),0)</f>
        <v>0.58046833856930424</v>
      </c>
      <c r="P1304" s="30">
        <f>IFERROR(SUM(K1304:O1304)*VLOOKUP($A1304,HeadJournal!$A$1:$L$890,COLUMN(HeadJournal!H$1),0),0)</f>
        <v>1167.4955527847053</v>
      </c>
      <c r="Q1304" s="29">
        <v>1600</v>
      </c>
      <c r="R1304" s="31">
        <v>45388</v>
      </c>
      <c r="S1304" s="31" t="s">
        <v>3121</v>
      </c>
      <c r="T1304" s="95" t="str">
        <f t="shared" si="105"/>
        <v>2024 04</v>
      </c>
      <c r="U1304" s="32">
        <f t="shared" si="102"/>
        <v>432.5044472152947</v>
      </c>
      <c r="V1304" s="22">
        <f t="shared" si="103"/>
        <v>0.37045489910748436</v>
      </c>
      <c r="X1304" s="33"/>
      <c r="Y1304" s="33"/>
    </row>
    <row r="1305" spans="1:25" x14ac:dyDescent="0.2">
      <c r="A1305" s="93" t="s">
        <v>575</v>
      </c>
      <c r="B1305" s="94" t="str">
        <f>IFERROR(VLOOKUP($A1305,HeadJournal!$A$1:$NTR$890,COLUMN(HeadJournal!B$1),0),"")</f>
        <v>710000688945</v>
      </c>
      <c r="C1305" s="94" t="str">
        <f>IFERROR(VLOOKUP($A1305,HeadJournal!$A$1:$NTR$890,COLUMN(HeadJournal!C$1),0),"")</f>
        <v>iHerb_OA CZN6870</v>
      </c>
      <c r="D1305" s="125" t="str">
        <f>IFERROR(VLOOKUP($A1305,HeadJournal!$A$1:$NTR$890,COLUMN(HeadJournal!D$1),0),"")</f>
        <v>Доставлен</v>
      </c>
      <c r="E1305" s="95">
        <f>IFERROR(VLOOKUP($A1305,HeadJournal!$A$1:$NTR$890,COLUMN(HeadJournal!G$1),0),"")</f>
        <v>45004</v>
      </c>
      <c r="F1305" s="95" t="str">
        <f t="shared" si="104"/>
        <v>2023 03</v>
      </c>
      <c r="G1305" s="96" t="s">
        <v>5</v>
      </c>
      <c r="H1305" s="161" t="s">
        <v>2773</v>
      </c>
      <c r="I1305" s="97" t="s">
        <v>2005</v>
      </c>
      <c r="J1305" s="97" t="s">
        <v>2774</v>
      </c>
      <c r="K1305" s="29">
        <v>11.7</v>
      </c>
      <c r="L1305" s="29">
        <v>-3.51</v>
      </c>
      <c r="M1305" s="30">
        <f>IFERROR(VLOOKUP($A1305,HeadJournal!$A$1:$J$890,COLUMN(HeadJournal!I$1),0)*($K1305+$L1305)/(SUMIF($A:$A,$A1305,$K:$K)+SUMIF($A:$A,$A1305,$L:$L)),0)</f>
        <v>0.48628428927680806</v>
      </c>
      <c r="N1305" s="30">
        <f>IFERROR((VLOOKUP($A1305,HeadJournal!$A$1:$K$890,COLUMN(HeadJournal!K$1),0)-VLOOKUP($A1305,HeadJournal!$A$1:$K$890,COLUMN(HeadJournal!J$1),0))*($K1305+$L1305)/(SUMIF($A:$A,$A1305,$K:$K)+SUMIF($A:$A,$A1305,$L:$L)),0)</f>
        <v>1.3821030770395967E-15</v>
      </c>
      <c r="O1305" s="30">
        <f>IFERROR((VLOOKUP($A1305,HeadJournal!$A$1:$L$890,COLUMN(HeadJournal!L$1),0)*($K1305+$L1305)/(SUMIF($A:$A,$A1305,$K:$K)+SUMIF($A:$A,$A1305,$L:$L)))/VLOOKUP($A1305,HeadJournal!$A$1:$L$890,COLUMN(HeadJournal!H$1),0),0)</f>
        <v>0.38261856683159773</v>
      </c>
      <c r="P1305" s="30">
        <f>IFERROR(SUM(K1305:O1305)*VLOOKUP($A1305,HeadJournal!$A$1:$L$890,COLUMN(HeadJournal!H$1),0),0)</f>
        <v>769.5604488778057</v>
      </c>
      <c r="Q1305" s="29">
        <v>1700</v>
      </c>
      <c r="R1305" s="31">
        <v>45101</v>
      </c>
      <c r="S1305" s="31" t="s">
        <v>3121</v>
      </c>
      <c r="T1305" s="95" t="str">
        <f t="shared" si="105"/>
        <v>2023 06</v>
      </c>
      <c r="U1305" s="32">
        <f t="shared" si="102"/>
        <v>930.4395511221943</v>
      </c>
      <c r="V1305" s="22">
        <f t="shared" si="103"/>
        <v>1.2090532361414714</v>
      </c>
      <c r="X1305" s="33"/>
      <c r="Y1305" s="33"/>
    </row>
    <row r="1306" spans="1:25" x14ac:dyDescent="0.2">
      <c r="A1306" s="93" t="s">
        <v>578</v>
      </c>
      <c r="B1306" s="94">
        <f>IFERROR(VLOOKUP($A1306,HeadJournal!$A$1:$NTR$890,COLUMN(HeadJournal!B$1),0),"")</f>
        <v>0</v>
      </c>
      <c r="C1306" s="94" t="str">
        <f>IFERROR(VLOOKUP($A1306,HeadJournal!$A$1:$NTR$890,COLUMN(HeadJournal!C$1),0),"")</f>
        <v>CoralClub_OA</v>
      </c>
      <c r="D1306" s="125" t="str">
        <f>IFERROR(VLOOKUP($A1306,HeadJournal!$A$1:$NTR$890,COLUMN(HeadJournal!D$1),0),"")</f>
        <v>Доставлен</v>
      </c>
      <c r="E1306" s="95">
        <f>IFERROR(VLOOKUP($A1306,HeadJournal!$A$1:$NTR$890,COLUMN(HeadJournal!G$1),0),"")</f>
        <v>45011</v>
      </c>
      <c r="F1306" s="95" t="str">
        <f t="shared" si="104"/>
        <v>2023 03</v>
      </c>
      <c r="G1306" s="96" t="s">
        <v>7</v>
      </c>
      <c r="H1306" s="160" t="str">
        <f>RIGHT(Journal!$J1306,9)</f>
        <v>000005501</v>
      </c>
      <c r="I1306" s="96" t="str">
        <f t="shared" si="106"/>
        <v>CoralClub</v>
      </c>
      <c r="J1306" s="97" t="s">
        <v>579</v>
      </c>
      <c r="K1306" s="29">
        <v>426</v>
      </c>
      <c r="L1306" s="29"/>
      <c r="M1306" s="30">
        <f>IFERROR(VLOOKUP($A1306,HeadJournal!$A$1:$J$890,COLUMN(HeadJournal!I$1),0)*($K1306+$L1306)/(SUMIF($A:$A,$A1306,$K:$K)+SUMIF($A:$A,$A1306,$L:$L)),0)</f>
        <v>0</v>
      </c>
      <c r="N1306" s="30">
        <f>IFERROR((VLOOKUP($A1306,HeadJournal!$A$1:$K$890,COLUMN(HeadJournal!K$1),0)-VLOOKUP($A1306,HeadJournal!$A$1:$K$890,COLUMN(HeadJournal!J$1),0))*($K1306+$L1306)/(SUMIF($A:$A,$A1306,$K:$K)+SUMIF($A:$A,$A1306,$L:$L)),0)</f>
        <v>0</v>
      </c>
      <c r="O1306" s="30">
        <f>IFERROR((VLOOKUP($A1306,HeadJournal!$A$1:$L$890,COLUMN(HeadJournal!L$1),0)*($K1306+$L1306)/(SUMIF($A:$A,$A1306,$K:$K)+SUMIF($A:$A,$A1306,$L:$L)))/VLOOKUP($A1306,HeadJournal!$A$1:$L$890,COLUMN(HeadJournal!H$1),0),0)</f>
        <v>0</v>
      </c>
      <c r="P1306" s="30">
        <f>IFERROR(SUM(K1306:O1306)*VLOOKUP($A1306,HeadJournal!$A$1:$L$890,COLUMN(HeadJournal!H$1),0),0)</f>
        <v>426</v>
      </c>
      <c r="Q1306" s="29">
        <v>650</v>
      </c>
      <c r="R1306" s="31">
        <v>45020</v>
      </c>
      <c r="S1306" s="31" t="s">
        <v>3121</v>
      </c>
      <c r="T1306" s="95" t="str">
        <f t="shared" si="105"/>
        <v>2023 04</v>
      </c>
      <c r="U1306" s="32">
        <f t="shared" si="102"/>
        <v>224</v>
      </c>
      <c r="V1306" s="22">
        <f t="shared" si="103"/>
        <v>0.5258215962441315</v>
      </c>
      <c r="X1306" s="33"/>
      <c r="Y1306" s="33"/>
    </row>
    <row r="1307" spans="1:25" x14ac:dyDescent="0.2">
      <c r="A1307" s="93" t="s">
        <v>578</v>
      </c>
      <c r="B1307" s="94">
        <f>IFERROR(VLOOKUP($A1307,HeadJournal!$A$1:$NTR$890,COLUMN(HeadJournal!B$1),0),"")</f>
        <v>0</v>
      </c>
      <c r="C1307" s="94" t="str">
        <f>IFERROR(VLOOKUP($A1307,HeadJournal!$A$1:$NTR$890,COLUMN(HeadJournal!C$1),0),"")</f>
        <v>CoralClub_OA</v>
      </c>
      <c r="D1307" s="125" t="str">
        <f>IFERROR(VLOOKUP($A1307,HeadJournal!$A$1:$NTR$890,COLUMN(HeadJournal!D$1),0),"")</f>
        <v>Доставлен</v>
      </c>
      <c r="E1307" s="95">
        <f>IFERROR(VLOOKUP($A1307,HeadJournal!$A$1:$NTR$890,COLUMN(HeadJournal!G$1),0),"")</f>
        <v>45011</v>
      </c>
      <c r="F1307" s="95" t="str">
        <f t="shared" si="104"/>
        <v>2023 03</v>
      </c>
      <c r="G1307" s="96" t="s">
        <v>7</v>
      </c>
      <c r="H1307" s="160" t="str">
        <f>RIGHT(Journal!$J1307,9)</f>
        <v>000005501</v>
      </c>
      <c r="I1307" s="96" t="str">
        <f t="shared" si="106"/>
        <v>CoralClub</v>
      </c>
      <c r="J1307" s="97" t="s">
        <v>579</v>
      </c>
      <c r="K1307" s="29">
        <v>426</v>
      </c>
      <c r="L1307" s="29"/>
      <c r="M1307" s="30">
        <f>IFERROR(VLOOKUP($A1307,HeadJournal!$A$1:$J$890,COLUMN(HeadJournal!I$1),0)*($K1307+$L1307)/(SUMIF($A:$A,$A1307,$K:$K)+SUMIF($A:$A,$A1307,$L:$L)),0)</f>
        <v>0</v>
      </c>
      <c r="N1307" s="30">
        <f>IFERROR((VLOOKUP($A1307,HeadJournal!$A$1:$K$890,COLUMN(HeadJournal!K$1),0)-VLOOKUP($A1307,HeadJournal!$A$1:$K$890,COLUMN(HeadJournal!J$1),0))*($K1307+$L1307)/(SUMIF($A:$A,$A1307,$K:$K)+SUMIF($A:$A,$A1307,$L:$L)),0)</f>
        <v>0</v>
      </c>
      <c r="O1307" s="30">
        <f>IFERROR((VLOOKUP($A1307,HeadJournal!$A$1:$L$890,COLUMN(HeadJournal!L$1),0)*($K1307+$L1307)/(SUMIF($A:$A,$A1307,$K:$K)+SUMIF($A:$A,$A1307,$L:$L)))/VLOOKUP($A1307,HeadJournal!$A$1:$L$890,COLUMN(HeadJournal!H$1),0),0)</f>
        <v>0</v>
      </c>
      <c r="P1307" s="30">
        <f>IFERROR(SUM(K1307:O1307)*VLOOKUP($A1307,HeadJournal!$A$1:$L$890,COLUMN(HeadJournal!H$1),0),0)</f>
        <v>426</v>
      </c>
      <c r="Q1307" s="29">
        <v>426</v>
      </c>
      <c r="R1307" s="31">
        <v>45323</v>
      </c>
      <c r="S1307" s="31" t="s">
        <v>3121</v>
      </c>
      <c r="T1307" s="95" t="str">
        <f t="shared" si="105"/>
        <v>2024 02</v>
      </c>
      <c r="U1307" s="32">
        <f t="shared" si="102"/>
        <v>0</v>
      </c>
      <c r="V1307" s="22">
        <f t="shared" si="103"/>
        <v>0</v>
      </c>
      <c r="X1307" s="33"/>
      <c r="Y1307" s="33"/>
    </row>
    <row r="1308" spans="1:25" x14ac:dyDescent="0.2">
      <c r="A1308" s="93" t="s">
        <v>578</v>
      </c>
      <c r="B1308" s="94">
        <f>IFERROR(VLOOKUP($A1308,HeadJournal!$A$1:$NTR$890,COLUMN(HeadJournal!B$1),0),"")</f>
        <v>0</v>
      </c>
      <c r="C1308" s="94" t="str">
        <f>IFERROR(VLOOKUP($A1308,HeadJournal!$A$1:$NTR$890,COLUMN(HeadJournal!C$1),0),"")</f>
        <v>CoralClub_OA</v>
      </c>
      <c r="D1308" s="125" t="str">
        <f>IFERROR(VLOOKUP($A1308,HeadJournal!$A$1:$NTR$890,COLUMN(HeadJournal!D$1),0),"")</f>
        <v>Доставлен</v>
      </c>
      <c r="E1308" s="95">
        <f>IFERROR(VLOOKUP($A1308,HeadJournal!$A$1:$NTR$890,COLUMN(HeadJournal!G$1),0),"")</f>
        <v>45011</v>
      </c>
      <c r="F1308" s="95" t="str">
        <f t="shared" si="104"/>
        <v>2023 03</v>
      </c>
      <c r="G1308" s="96" t="s">
        <v>7</v>
      </c>
      <c r="H1308" s="160" t="str">
        <f>RIGHT(Journal!$J1308,9)</f>
        <v>000005501</v>
      </c>
      <c r="I1308" s="96" t="str">
        <f t="shared" si="106"/>
        <v>CoralClub</v>
      </c>
      <c r="J1308" s="97" t="s">
        <v>579</v>
      </c>
      <c r="K1308" s="29">
        <v>426</v>
      </c>
      <c r="L1308" s="29"/>
      <c r="M1308" s="30">
        <f>IFERROR(VLOOKUP($A1308,HeadJournal!$A$1:$J$890,COLUMN(HeadJournal!I$1),0)*($K1308+$L1308)/(SUMIF($A:$A,$A1308,$K:$K)+SUMIF($A:$A,$A1308,$L:$L)),0)</f>
        <v>0</v>
      </c>
      <c r="N1308" s="30">
        <f>IFERROR((VLOOKUP($A1308,HeadJournal!$A$1:$K$890,COLUMN(HeadJournal!K$1),0)-VLOOKUP($A1308,HeadJournal!$A$1:$K$890,COLUMN(HeadJournal!J$1),0))*($K1308+$L1308)/(SUMIF($A:$A,$A1308,$K:$K)+SUMIF($A:$A,$A1308,$L:$L)),0)</f>
        <v>0</v>
      </c>
      <c r="O1308" s="30">
        <f>IFERROR((VLOOKUP($A1308,HeadJournal!$A$1:$L$890,COLUMN(HeadJournal!L$1),0)*($K1308+$L1308)/(SUMIF($A:$A,$A1308,$K:$K)+SUMIF($A:$A,$A1308,$L:$L)))/VLOOKUP($A1308,HeadJournal!$A$1:$L$890,COLUMN(HeadJournal!H$1),0),0)</f>
        <v>0</v>
      </c>
      <c r="P1308" s="30">
        <f>IFERROR(SUM(K1308:O1308)*VLOOKUP($A1308,HeadJournal!$A$1:$L$890,COLUMN(HeadJournal!H$1),0),0)</f>
        <v>426</v>
      </c>
      <c r="Q1308" s="29"/>
      <c r="R1308" s="31"/>
      <c r="S1308" s="31"/>
      <c r="T1308" s="95" t="str">
        <f t="shared" si="105"/>
        <v/>
      </c>
      <c r="U1308" s="32">
        <f t="shared" si="102"/>
        <v>-426</v>
      </c>
      <c r="V1308" s="22" t="str">
        <f t="shared" si="103"/>
        <v/>
      </c>
      <c r="X1308" s="33"/>
      <c r="Y1308" s="33"/>
    </row>
    <row r="1309" spans="1:25" x14ac:dyDescent="0.2">
      <c r="A1309" s="93" t="s">
        <v>578</v>
      </c>
      <c r="B1309" s="94">
        <f>IFERROR(VLOOKUP($A1309,HeadJournal!$A$1:$NTR$890,COLUMN(HeadJournal!B$1),0),"")</f>
        <v>0</v>
      </c>
      <c r="C1309" s="94" t="str">
        <f>IFERROR(VLOOKUP($A1309,HeadJournal!$A$1:$NTR$890,COLUMN(HeadJournal!C$1),0),"")</f>
        <v>CoralClub_OA</v>
      </c>
      <c r="D1309" s="125" t="str">
        <f>IFERROR(VLOOKUP($A1309,HeadJournal!$A$1:$NTR$890,COLUMN(HeadJournal!D$1),0),"")</f>
        <v>Доставлен</v>
      </c>
      <c r="E1309" s="95">
        <f>IFERROR(VLOOKUP($A1309,HeadJournal!$A$1:$NTR$890,COLUMN(HeadJournal!G$1),0),"")</f>
        <v>45011</v>
      </c>
      <c r="F1309" s="95" t="str">
        <f t="shared" si="104"/>
        <v>2023 03</v>
      </c>
      <c r="G1309" s="96" t="s">
        <v>7</v>
      </c>
      <c r="H1309" s="160" t="str">
        <f>RIGHT(Journal!$J1309,9)</f>
        <v>000005501</v>
      </c>
      <c r="I1309" s="96" t="str">
        <f t="shared" si="106"/>
        <v>CoralClub</v>
      </c>
      <c r="J1309" s="97" t="s">
        <v>579</v>
      </c>
      <c r="K1309" s="29">
        <v>426</v>
      </c>
      <c r="L1309" s="29"/>
      <c r="M1309" s="30">
        <f>IFERROR(VLOOKUP($A1309,HeadJournal!$A$1:$J$890,COLUMN(HeadJournal!I$1),0)*($K1309+$L1309)/(SUMIF($A:$A,$A1309,$K:$K)+SUMIF($A:$A,$A1309,$L:$L)),0)</f>
        <v>0</v>
      </c>
      <c r="N1309" s="30">
        <f>IFERROR((VLOOKUP($A1309,HeadJournal!$A$1:$K$890,COLUMN(HeadJournal!K$1),0)-VLOOKUP($A1309,HeadJournal!$A$1:$K$890,COLUMN(HeadJournal!J$1),0))*($K1309+$L1309)/(SUMIF($A:$A,$A1309,$K:$K)+SUMIF($A:$A,$A1309,$L:$L)),0)</f>
        <v>0</v>
      </c>
      <c r="O1309" s="30">
        <f>IFERROR((VLOOKUP($A1309,HeadJournal!$A$1:$L$890,COLUMN(HeadJournal!L$1),0)*($K1309+$L1309)/(SUMIF($A:$A,$A1309,$K:$K)+SUMIF($A:$A,$A1309,$L:$L)))/VLOOKUP($A1309,HeadJournal!$A$1:$L$890,COLUMN(HeadJournal!H$1),0),0)</f>
        <v>0</v>
      </c>
      <c r="P1309" s="30">
        <f>IFERROR(SUM(K1309:O1309)*VLOOKUP($A1309,HeadJournal!$A$1:$L$890,COLUMN(HeadJournal!H$1),0),0)</f>
        <v>426</v>
      </c>
      <c r="Q1309" s="29"/>
      <c r="R1309" s="31"/>
      <c r="S1309" s="31"/>
      <c r="T1309" s="95" t="str">
        <f t="shared" si="105"/>
        <v/>
      </c>
      <c r="U1309" s="32">
        <f t="shared" si="102"/>
        <v>-426</v>
      </c>
      <c r="V1309" s="22" t="str">
        <f t="shared" si="103"/>
        <v/>
      </c>
      <c r="X1309" s="33"/>
      <c r="Y1309" s="33"/>
    </row>
    <row r="1310" spans="1:25" x14ac:dyDescent="0.2">
      <c r="A1310" s="93" t="s">
        <v>578</v>
      </c>
      <c r="B1310" s="94">
        <f>IFERROR(VLOOKUP($A1310,HeadJournal!$A$1:$NTR$890,COLUMN(HeadJournal!B$1),0),"")</f>
        <v>0</v>
      </c>
      <c r="C1310" s="94" t="str">
        <f>IFERROR(VLOOKUP($A1310,HeadJournal!$A$1:$NTR$890,COLUMN(HeadJournal!C$1),0),"")</f>
        <v>CoralClub_OA</v>
      </c>
      <c r="D1310" s="125" t="str">
        <f>IFERROR(VLOOKUP($A1310,HeadJournal!$A$1:$NTR$890,COLUMN(HeadJournal!D$1),0),"")</f>
        <v>Доставлен</v>
      </c>
      <c r="E1310" s="95">
        <f>IFERROR(VLOOKUP($A1310,HeadJournal!$A$1:$NTR$890,COLUMN(HeadJournal!G$1),0),"")</f>
        <v>45011</v>
      </c>
      <c r="F1310" s="95" t="str">
        <f t="shared" si="104"/>
        <v>2023 03</v>
      </c>
      <c r="G1310" s="96" t="s">
        <v>7</v>
      </c>
      <c r="H1310" s="160" t="str">
        <f>RIGHT(Journal!$J1310,9)</f>
        <v>000005501</v>
      </c>
      <c r="I1310" s="96" t="str">
        <f t="shared" si="106"/>
        <v>CoralClub</v>
      </c>
      <c r="J1310" s="97" t="s">
        <v>579</v>
      </c>
      <c r="K1310" s="29">
        <v>426</v>
      </c>
      <c r="L1310" s="29"/>
      <c r="M1310" s="30">
        <f>IFERROR(VLOOKUP($A1310,HeadJournal!$A$1:$J$890,COLUMN(HeadJournal!I$1),0)*($K1310+$L1310)/(SUMIF($A:$A,$A1310,$K:$K)+SUMIF($A:$A,$A1310,$L:$L)),0)</f>
        <v>0</v>
      </c>
      <c r="N1310" s="30">
        <f>IFERROR((VLOOKUP($A1310,HeadJournal!$A$1:$K$890,COLUMN(HeadJournal!K$1),0)-VLOOKUP($A1310,HeadJournal!$A$1:$K$890,COLUMN(HeadJournal!J$1),0))*($K1310+$L1310)/(SUMIF($A:$A,$A1310,$K:$K)+SUMIF($A:$A,$A1310,$L:$L)),0)</f>
        <v>0</v>
      </c>
      <c r="O1310" s="30">
        <f>IFERROR((VLOOKUP($A1310,HeadJournal!$A$1:$L$890,COLUMN(HeadJournal!L$1),0)*($K1310+$L1310)/(SUMIF($A:$A,$A1310,$K:$K)+SUMIF($A:$A,$A1310,$L:$L)))/VLOOKUP($A1310,HeadJournal!$A$1:$L$890,COLUMN(HeadJournal!H$1),0),0)</f>
        <v>0</v>
      </c>
      <c r="P1310" s="30">
        <f>IFERROR(SUM(K1310:O1310)*VLOOKUP($A1310,HeadJournal!$A$1:$L$890,COLUMN(HeadJournal!H$1),0),0)</f>
        <v>426</v>
      </c>
      <c r="Q1310" s="29"/>
      <c r="R1310" s="31"/>
      <c r="S1310" s="31"/>
      <c r="T1310" s="95" t="str">
        <f t="shared" si="105"/>
        <v/>
      </c>
      <c r="U1310" s="32">
        <f t="shared" si="102"/>
        <v>-426</v>
      </c>
      <c r="V1310" s="22" t="str">
        <f t="shared" si="103"/>
        <v/>
      </c>
      <c r="X1310" s="33"/>
      <c r="Y1310" s="33"/>
    </row>
    <row r="1311" spans="1:25" x14ac:dyDescent="0.2">
      <c r="A1311" s="93" t="s">
        <v>578</v>
      </c>
      <c r="B1311" s="94">
        <f>IFERROR(VLOOKUP($A1311,HeadJournal!$A$1:$NTR$890,COLUMN(HeadJournal!B$1),0),"")</f>
        <v>0</v>
      </c>
      <c r="C1311" s="94" t="str">
        <f>IFERROR(VLOOKUP($A1311,HeadJournal!$A$1:$NTR$890,COLUMN(HeadJournal!C$1),0),"")</f>
        <v>CoralClub_OA</v>
      </c>
      <c r="D1311" s="125" t="str">
        <f>IFERROR(VLOOKUP($A1311,HeadJournal!$A$1:$NTR$890,COLUMN(HeadJournal!D$1),0),"")</f>
        <v>Доставлен</v>
      </c>
      <c r="E1311" s="95">
        <f>IFERROR(VLOOKUP($A1311,HeadJournal!$A$1:$NTR$890,COLUMN(HeadJournal!G$1),0),"")</f>
        <v>45011</v>
      </c>
      <c r="F1311" s="95" t="str">
        <f t="shared" si="104"/>
        <v>2023 03</v>
      </c>
      <c r="G1311" s="96" t="s">
        <v>7</v>
      </c>
      <c r="H1311" s="160" t="str">
        <f>RIGHT(Journal!$J1311,9)</f>
        <v>000005501</v>
      </c>
      <c r="I1311" s="96" t="str">
        <f t="shared" si="106"/>
        <v>CoralClub</v>
      </c>
      <c r="J1311" s="97" t="s">
        <v>579</v>
      </c>
      <c r="K1311" s="29">
        <v>426</v>
      </c>
      <c r="L1311" s="29"/>
      <c r="M1311" s="30">
        <f>IFERROR(VLOOKUP($A1311,HeadJournal!$A$1:$J$890,COLUMN(HeadJournal!I$1),0)*($K1311+$L1311)/(SUMIF($A:$A,$A1311,$K:$K)+SUMIF($A:$A,$A1311,$L:$L)),0)</f>
        <v>0</v>
      </c>
      <c r="N1311" s="30">
        <f>IFERROR((VLOOKUP($A1311,HeadJournal!$A$1:$K$890,COLUMN(HeadJournal!K$1),0)-VLOOKUP($A1311,HeadJournal!$A$1:$K$890,COLUMN(HeadJournal!J$1),0))*($K1311+$L1311)/(SUMIF($A:$A,$A1311,$K:$K)+SUMIF($A:$A,$A1311,$L:$L)),0)</f>
        <v>0</v>
      </c>
      <c r="O1311" s="30">
        <f>IFERROR((VLOOKUP($A1311,HeadJournal!$A$1:$L$890,COLUMN(HeadJournal!L$1),0)*($K1311+$L1311)/(SUMIF($A:$A,$A1311,$K:$K)+SUMIF($A:$A,$A1311,$L:$L)))/VLOOKUP($A1311,HeadJournal!$A$1:$L$890,COLUMN(HeadJournal!H$1),0),0)</f>
        <v>0</v>
      </c>
      <c r="P1311" s="30">
        <f>IFERROR(SUM(K1311:O1311)*VLOOKUP($A1311,HeadJournal!$A$1:$L$890,COLUMN(HeadJournal!H$1),0),0)</f>
        <v>426</v>
      </c>
      <c r="Q1311" s="29"/>
      <c r="R1311" s="31"/>
      <c r="S1311" s="31"/>
      <c r="T1311" s="95" t="str">
        <f t="shared" si="105"/>
        <v/>
      </c>
      <c r="U1311" s="32">
        <f t="shared" si="102"/>
        <v>-426</v>
      </c>
      <c r="V1311" s="22" t="str">
        <f t="shared" si="103"/>
        <v/>
      </c>
      <c r="X1311" s="33"/>
      <c r="Y1311" s="33"/>
    </row>
    <row r="1312" spans="1:25" x14ac:dyDescent="0.2">
      <c r="A1312" s="93" t="s">
        <v>578</v>
      </c>
      <c r="B1312" s="94">
        <f>IFERROR(VLOOKUP($A1312,HeadJournal!$A$1:$NTR$890,COLUMN(HeadJournal!B$1),0),"")</f>
        <v>0</v>
      </c>
      <c r="C1312" s="94" t="str">
        <f>IFERROR(VLOOKUP($A1312,HeadJournal!$A$1:$NTR$890,COLUMN(HeadJournal!C$1),0),"")</f>
        <v>CoralClub_OA</v>
      </c>
      <c r="D1312" s="125" t="str">
        <f>IFERROR(VLOOKUP($A1312,HeadJournal!$A$1:$NTR$890,COLUMN(HeadJournal!D$1),0),"")</f>
        <v>Доставлен</v>
      </c>
      <c r="E1312" s="95">
        <f>IFERROR(VLOOKUP($A1312,HeadJournal!$A$1:$NTR$890,COLUMN(HeadJournal!G$1),0),"")</f>
        <v>45011</v>
      </c>
      <c r="F1312" s="95" t="str">
        <f t="shared" si="104"/>
        <v>2023 03</v>
      </c>
      <c r="G1312" s="96" t="s">
        <v>7</v>
      </c>
      <c r="H1312" s="160" t="str">
        <f>RIGHT(Journal!$J1312,9)</f>
        <v>000005551</v>
      </c>
      <c r="I1312" s="96" t="str">
        <f t="shared" si="106"/>
        <v>CoralClub</v>
      </c>
      <c r="J1312" s="97" t="s">
        <v>580</v>
      </c>
      <c r="K1312" s="29">
        <v>426</v>
      </c>
      <c r="L1312" s="29"/>
      <c r="M1312" s="30">
        <f>IFERROR(VLOOKUP($A1312,HeadJournal!$A$1:$J$890,COLUMN(HeadJournal!I$1),0)*($K1312+$L1312)/(SUMIF($A:$A,$A1312,$K:$K)+SUMIF($A:$A,$A1312,$L:$L)),0)</f>
        <v>0</v>
      </c>
      <c r="N1312" s="30">
        <f>IFERROR((VLOOKUP($A1312,HeadJournal!$A$1:$K$890,COLUMN(HeadJournal!K$1),0)-VLOOKUP($A1312,HeadJournal!$A$1:$K$890,COLUMN(HeadJournal!J$1),0))*($K1312+$L1312)/(SUMIF($A:$A,$A1312,$K:$K)+SUMIF($A:$A,$A1312,$L:$L)),0)</f>
        <v>0</v>
      </c>
      <c r="O1312" s="30">
        <f>IFERROR((VLOOKUP($A1312,HeadJournal!$A$1:$L$890,COLUMN(HeadJournal!L$1),0)*($K1312+$L1312)/(SUMIF($A:$A,$A1312,$K:$K)+SUMIF($A:$A,$A1312,$L:$L)))/VLOOKUP($A1312,HeadJournal!$A$1:$L$890,COLUMN(HeadJournal!H$1),0),0)</f>
        <v>0</v>
      </c>
      <c r="P1312" s="30">
        <f>IFERROR(SUM(K1312:O1312)*VLOOKUP($A1312,HeadJournal!$A$1:$L$890,COLUMN(HeadJournal!H$1),0),0)</f>
        <v>426</v>
      </c>
      <c r="Q1312" s="29">
        <v>650</v>
      </c>
      <c r="R1312" s="31">
        <v>45020</v>
      </c>
      <c r="S1312" s="31" t="s">
        <v>3121</v>
      </c>
      <c r="T1312" s="95" t="str">
        <f t="shared" si="105"/>
        <v>2023 04</v>
      </c>
      <c r="U1312" s="32">
        <f t="shared" si="102"/>
        <v>224</v>
      </c>
      <c r="V1312" s="22">
        <f t="shared" si="103"/>
        <v>0.5258215962441315</v>
      </c>
      <c r="X1312" s="33"/>
      <c r="Y1312" s="33"/>
    </row>
    <row r="1313" spans="1:25" x14ac:dyDescent="0.2">
      <c r="A1313" s="93" t="s">
        <v>578</v>
      </c>
      <c r="B1313" s="94">
        <f>IFERROR(VLOOKUP($A1313,HeadJournal!$A$1:$NTR$890,COLUMN(HeadJournal!B$1),0),"")</f>
        <v>0</v>
      </c>
      <c r="C1313" s="94" t="str">
        <f>IFERROR(VLOOKUP($A1313,HeadJournal!$A$1:$NTR$890,COLUMN(HeadJournal!C$1),0),"")</f>
        <v>CoralClub_OA</v>
      </c>
      <c r="D1313" s="125" t="str">
        <f>IFERROR(VLOOKUP($A1313,HeadJournal!$A$1:$NTR$890,COLUMN(HeadJournal!D$1),0),"")</f>
        <v>Доставлен</v>
      </c>
      <c r="E1313" s="95">
        <f>IFERROR(VLOOKUP($A1313,HeadJournal!$A$1:$NTR$890,COLUMN(HeadJournal!G$1),0),"")</f>
        <v>45011</v>
      </c>
      <c r="F1313" s="95" t="str">
        <f t="shared" si="104"/>
        <v>2023 03</v>
      </c>
      <c r="G1313" s="96" t="s">
        <v>7</v>
      </c>
      <c r="H1313" s="160" t="str">
        <f>RIGHT(Journal!$J1313,9)</f>
        <v>000005551</v>
      </c>
      <c r="I1313" s="96" t="str">
        <f t="shared" si="106"/>
        <v>CoralClub</v>
      </c>
      <c r="J1313" s="97" t="s">
        <v>580</v>
      </c>
      <c r="K1313" s="29">
        <v>426</v>
      </c>
      <c r="L1313" s="29"/>
      <c r="M1313" s="30">
        <f>IFERROR(VLOOKUP($A1313,HeadJournal!$A$1:$J$890,COLUMN(HeadJournal!I$1),0)*($K1313+$L1313)/(SUMIF($A:$A,$A1313,$K:$K)+SUMIF($A:$A,$A1313,$L:$L)),0)</f>
        <v>0</v>
      </c>
      <c r="N1313" s="30">
        <f>IFERROR((VLOOKUP($A1313,HeadJournal!$A$1:$K$890,COLUMN(HeadJournal!K$1),0)-VLOOKUP($A1313,HeadJournal!$A$1:$K$890,COLUMN(HeadJournal!J$1),0))*($K1313+$L1313)/(SUMIF($A:$A,$A1313,$K:$K)+SUMIF($A:$A,$A1313,$L:$L)),0)</f>
        <v>0</v>
      </c>
      <c r="O1313" s="30">
        <f>IFERROR((VLOOKUP($A1313,HeadJournal!$A$1:$L$890,COLUMN(HeadJournal!L$1),0)*($K1313+$L1313)/(SUMIF($A:$A,$A1313,$K:$K)+SUMIF($A:$A,$A1313,$L:$L)))/VLOOKUP($A1313,HeadJournal!$A$1:$L$890,COLUMN(HeadJournal!H$1),0),0)</f>
        <v>0</v>
      </c>
      <c r="P1313" s="30">
        <f>IFERROR(SUM(K1313:O1313)*VLOOKUP($A1313,HeadJournal!$A$1:$L$890,COLUMN(HeadJournal!H$1),0),0)</f>
        <v>426</v>
      </c>
      <c r="Q1313" s="29"/>
      <c r="R1313" s="31"/>
      <c r="S1313" s="31"/>
      <c r="T1313" s="95" t="str">
        <f t="shared" si="105"/>
        <v/>
      </c>
      <c r="U1313" s="32">
        <f t="shared" si="102"/>
        <v>-426</v>
      </c>
      <c r="V1313" s="22" t="str">
        <f t="shared" si="103"/>
        <v/>
      </c>
      <c r="X1313" s="33"/>
      <c r="Y1313" s="33"/>
    </row>
    <row r="1314" spans="1:25" x14ac:dyDescent="0.2">
      <c r="A1314" s="93" t="s">
        <v>578</v>
      </c>
      <c r="B1314" s="94">
        <f>IFERROR(VLOOKUP($A1314,HeadJournal!$A$1:$NTR$890,COLUMN(HeadJournal!B$1),0),"")</f>
        <v>0</v>
      </c>
      <c r="C1314" s="94" t="str">
        <f>IFERROR(VLOOKUP($A1314,HeadJournal!$A$1:$NTR$890,COLUMN(HeadJournal!C$1),0),"")</f>
        <v>CoralClub_OA</v>
      </c>
      <c r="D1314" s="125" t="str">
        <f>IFERROR(VLOOKUP($A1314,HeadJournal!$A$1:$NTR$890,COLUMN(HeadJournal!D$1),0),"")</f>
        <v>Доставлен</v>
      </c>
      <c r="E1314" s="95">
        <f>IFERROR(VLOOKUP($A1314,HeadJournal!$A$1:$NTR$890,COLUMN(HeadJournal!G$1),0),"")</f>
        <v>45011</v>
      </c>
      <c r="F1314" s="95" t="str">
        <f t="shared" si="104"/>
        <v>2023 03</v>
      </c>
      <c r="G1314" s="96" t="s">
        <v>7</v>
      </c>
      <c r="H1314" s="160" t="str">
        <f>RIGHT(Journal!$J1314,9)</f>
        <v>000005551</v>
      </c>
      <c r="I1314" s="96" t="str">
        <f t="shared" si="106"/>
        <v>CoralClub</v>
      </c>
      <c r="J1314" s="97" t="s">
        <v>580</v>
      </c>
      <c r="K1314" s="29">
        <v>426</v>
      </c>
      <c r="L1314" s="29"/>
      <c r="M1314" s="30">
        <f>IFERROR(VLOOKUP($A1314,HeadJournal!$A$1:$J$890,COLUMN(HeadJournal!I$1),0)*($K1314+$L1314)/(SUMIF($A:$A,$A1314,$K:$K)+SUMIF($A:$A,$A1314,$L:$L)),0)</f>
        <v>0</v>
      </c>
      <c r="N1314" s="30">
        <f>IFERROR((VLOOKUP($A1314,HeadJournal!$A$1:$K$890,COLUMN(HeadJournal!K$1),0)-VLOOKUP($A1314,HeadJournal!$A$1:$K$890,COLUMN(HeadJournal!J$1),0))*($K1314+$L1314)/(SUMIF($A:$A,$A1314,$K:$K)+SUMIF($A:$A,$A1314,$L:$L)),0)</f>
        <v>0</v>
      </c>
      <c r="O1314" s="30">
        <f>IFERROR((VLOOKUP($A1314,HeadJournal!$A$1:$L$890,COLUMN(HeadJournal!L$1),0)*($K1314+$L1314)/(SUMIF($A:$A,$A1314,$K:$K)+SUMIF($A:$A,$A1314,$L:$L)))/VLOOKUP($A1314,HeadJournal!$A$1:$L$890,COLUMN(HeadJournal!H$1),0),0)</f>
        <v>0</v>
      </c>
      <c r="P1314" s="30">
        <f>IFERROR(SUM(K1314:O1314)*VLOOKUP($A1314,HeadJournal!$A$1:$L$890,COLUMN(HeadJournal!H$1),0),0)</f>
        <v>426</v>
      </c>
      <c r="Q1314" s="29"/>
      <c r="R1314" s="31"/>
      <c r="S1314" s="31"/>
      <c r="T1314" s="95" t="str">
        <f t="shared" si="105"/>
        <v/>
      </c>
      <c r="U1314" s="32">
        <f t="shared" si="102"/>
        <v>-426</v>
      </c>
      <c r="V1314" s="22" t="str">
        <f t="shared" si="103"/>
        <v/>
      </c>
      <c r="X1314" s="33"/>
      <c r="Y1314" s="33"/>
    </row>
    <row r="1315" spans="1:25" x14ac:dyDescent="0.2">
      <c r="A1315" s="93" t="s">
        <v>578</v>
      </c>
      <c r="B1315" s="94">
        <f>IFERROR(VLOOKUP($A1315,HeadJournal!$A$1:$NTR$890,COLUMN(HeadJournal!B$1),0),"")</f>
        <v>0</v>
      </c>
      <c r="C1315" s="94" t="str">
        <f>IFERROR(VLOOKUP($A1315,HeadJournal!$A$1:$NTR$890,COLUMN(HeadJournal!C$1),0),"")</f>
        <v>CoralClub_OA</v>
      </c>
      <c r="D1315" s="125" t="str">
        <f>IFERROR(VLOOKUP($A1315,HeadJournal!$A$1:$NTR$890,COLUMN(HeadJournal!D$1),0),"")</f>
        <v>Доставлен</v>
      </c>
      <c r="E1315" s="95">
        <f>IFERROR(VLOOKUP($A1315,HeadJournal!$A$1:$NTR$890,COLUMN(HeadJournal!G$1),0),"")</f>
        <v>45011</v>
      </c>
      <c r="F1315" s="95" t="str">
        <f t="shared" si="104"/>
        <v>2023 03</v>
      </c>
      <c r="G1315" s="96" t="s">
        <v>7</v>
      </c>
      <c r="H1315" s="160" t="str">
        <f>RIGHT(Journal!$J1315,9)</f>
        <v>000005551</v>
      </c>
      <c r="I1315" s="96" t="str">
        <f t="shared" si="106"/>
        <v>CoralClub</v>
      </c>
      <c r="J1315" s="97" t="s">
        <v>580</v>
      </c>
      <c r="K1315" s="29">
        <v>426</v>
      </c>
      <c r="L1315" s="29"/>
      <c r="M1315" s="30">
        <f>IFERROR(VLOOKUP($A1315,HeadJournal!$A$1:$J$890,COLUMN(HeadJournal!I$1),0)*($K1315+$L1315)/(SUMIF($A:$A,$A1315,$K:$K)+SUMIF($A:$A,$A1315,$L:$L)),0)</f>
        <v>0</v>
      </c>
      <c r="N1315" s="30">
        <f>IFERROR((VLOOKUP($A1315,HeadJournal!$A$1:$K$890,COLUMN(HeadJournal!K$1),0)-VLOOKUP($A1315,HeadJournal!$A$1:$K$890,COLUMN(HeadJournal!J$1),0))*($K1315+$L1315)/(SUMIF($A:$A,$A1315,$K:$K)+SUMIF($A:$A,$A1315,$L:$L)),0)</f>
        <v>0</v>
      </c>
      <c r="O1315" s="30">
        <f>IFERROR((VLOOKUP($A1315,HeadJournal!$A$1:$L$890,COLUMN(HeadJournal!L$1),0)*($K1315+$L1315)/(SUMIF($A:$A,$A1315,$K:$K)+SUMIF($A:$A,$A1315,$L:$L)))/VLOOKUP($A1315,HeadJournal!$A$1:$L$890,COLUMN(HeadJournal!H$1),0),0)</f>
        <v>0</v>
      </c>
      <c r="P1315" s="30">
        <f>IFERROR(SUM(K1315:O1315)*VLOOKUP($A1315,HeadJournal!$A$1:$L$890,COLUMN(HeadJournal!H$1),0),0)</f>
        <v>426</v>
      </c>
      <c r="Q1315" s="29"/>
      <c r="R1315" s="31"/>
      <c r="S1315" s="31"/>
      <c r="T1315" s="95" t="str">
        <f t="shared" si="105"/>
        <v/>
      </c>
      <c r="U1315" s="32">
        <f t="shared" si="102"/>
        <v>-426</v>
      </c>
      <c r="V1315" s="22" t="str">
        <f t="shared" si="103"/>
        <v/>
      </c>
      <c r="X1315" s="33"/>
      <c r="Y1315" s="33"/>
    </row>
    <row r="1316" spans="1:25" x14ac:dyDescent="0.2">
      <c r="A1316" s="93" t="s">
        <v>581</v>
      </c>
      <c r="B1316" s="94">
        <f>IFERROR(VLOOKUP($A1316,HeadJournal!$A$1:$NTR$890,COLUMN(HeadJournal!B$1),0),"")</f>
        <v>0</v>
      </c>
      <c r="C1316" s="94" t="str">
        <f>IFERROR(VLOOKUP($A1316,HeadJournal!$A$1:$NTR$890,COLUMN(HeadJournal!C$1),0),"")</f>
        <v>CoralClub_AV</v>
      </c>
      <c r="D1316" s="125" t="str">
        <f>IFERROR(VLOOKUP($A1316,HeadJournal!$A$1:$NTR$890,COLUMN(HeadJournal!D$1),0),"")</f>
        <v>Доставлен</v>
      </c>
      <c r="E1316" s="95">
        <f>IFERROR(VLOOKUP($A1316,HeadJournal!$A$1:$NTR$890,COLUMN(HeadJournal!G$1),0),"")</f>
        <v>45011</v>
      </c>
      <c r="F1316" s="95" t="str">
        <f t="shared" si="104"/>
        <v>2023 03</v>
      </c>
      <c r="G1316" s="96" t="s">
        <v>5</v>
      </c>
      <c r="H1316" s="160" t="str">
        <f>RIGHT(Journal!$J1316,9)</f>
        <v>000002153</v>
      </c>
      <c r="I1316" s="96" t="str">
        <f t="shared" si="106"/>
        <v>CoralClub</v>
      </c>
      <c r="J1316" s="97" t="s">
        <v>262</v>
      </c>
      <c r="K1316" s="29">
        <v>1065</v>
      </c>
      <c r="L1316" s="29"/>
      <c r="M1316" s="30">
        <f>IFERROR(VLOOKUP($A1316,HeadJournal!$A$1:$J$890,COLUMN(HeadJournal!I$1),0)*($K1316+$L1316)/(SUMIF($A:$A,$A1316,$K:$K)+SUMIF($A:$A,$A1316,$L:$L)),0)</f>
        <v>0</v>
      </c>
      <c r="N1316" s="30">
        <f>IFERROR((VLOOKUP($A1316,HeadJournal!$A$1:$K$890,COLUMN(HeadJournal!K$1),0)-VLOOKUP($A1316,HeadJournal!$A$1:$K$890,COLUMN(HeadJournal!J$1),0))*($K1316+$L1316)/(SUMIF($A:$A,$A1316,$K:$K)+SUMIF($A:$A,$A1316,$L:$L)),0)</f>
        <v>0</v>
      </c>
      <c r="O1316" s="30">
        <f>IFERROR((VLOOKUP($A1316,HeadJournal!$A$1:$L$890,COLUMN(HeadJournal!L$1),0)*($K1316+$L1316)/(SUMIF($A:$A,$A1316,$K:$K)+SUMIF($A:$A,$A1316,$L:$L)))/VLOOKUP($A1316,HeadJournal!$A$1:$L$890,COLUMN(HeadJournal!H$1),0),0)</f>
        <v>0</v>
      </c>
      <c r="P1316" s="30">
        <f>IFERROR(SUM(K1316:O1316)*VLOOKUP($A1316,HeadJournal!$A$1:$L$890,COLUMN(HeadJournal!H$1),0),0)</f>
        <v>1065</v>
      </c>
      <c r="Q1316" s="29">
        <v>1400</v>
      </c>
      <c r="R1316" s="31">
        <v>45052</v>
      </c>
      <c r="S1316" s="31" t="s">
        <v>3121</v>
      </c>
      <c r="T1316" s="95" t="str">
        <f t="shared" si="105"/>
        <v>2023 05</v>
      </c>
      <c r="U1316" s="32">
        <f t="shared" si="102"/>
        <v>335</v>
      </c>
      <c r="V1316" s="22">
        <f t="shared" si="103"/>
        <v>0.31455399061032863</v>
      </c>
      <c r="X1316" s="33"/>
      <c r="Y1316" s="33"/>
    </row>
    <row r="1317" spans="1:25" x14ac:dyDescent="0.2">
      <c r="A1317" s="93" t="s">
        <v>581</v>
      </c>
      <c r="B1317" s="94">
        <f>IFERROR(VLOOKUP($A1317,HeadJournal!$A$1:$NTR$890,COLUMN(HeadJournal!B$1),0),"")</f>
        <v>0</v>
      </c>
      <c r="C1317" s="94" t="str">
        <f>IFERROR(VLOOKUP($A1317,HeadJournal!$A$1:$NTR$890,COLUMN(HeadJournal!C$1),0),"")</f>
        <v>CoralClub_AV</v>
      </c>
      <c r="D1317" s="125" t="str">
        <f>IFERROR(VLOOKUP($A1317,HeadJournal!$A$1:$NTR$890,COLUMN(HeadJournal!D$1),0),"")</f>
        <v>Доставлен</v>
      </c>
      <c r="E1317" s="95">
        <f>IFERROR(VLOOKUP($A1317,HeadJournal!$A$1:$NTR$890,COLUMN(HeadJournal!G$1),0),"")</f>
        <v>45011</v>
      </c>
      <c r="F1317" s="95" t="str">
        <f t="shared" si="104"/>
        <v>2023 03</v>
      </c>
      <c r="G1317" s="96" t="s">
        <v>5</v>
      </c>
      <c r="H1317" s="160" t="str">
        <f>RIGHT(Journal!$J1317,9)</f>
        <v>000002153</v>
      </c>
      <c r="I1317" s="96" t="str">
        <f t="shared" si="106"/>
        <v>CoralClub</v>
      </c>
      <c r="J1317" s="97" t="s">
        <v>262</v>
      </c>
      <c r="K1317" s="29">
        <v>1065</v>
      </c>
      <c r="L1317" s="29"/>
      <c r="M1317" s="30">
        <f>IFERROR(VLOOKUP($A1317,HeadJournal!$A$1:$J$890,COLUMN(HeadJournal!I$1),0)*($K1317+$L1317)/(SUMIF($A:$A,$A1317,$K:$K)+SUMIF($A:$A,$A1317,$L:$L)),0)</f>
        <v>0</v>
      </c>
      <c r="N1317" s="30">
        <f>IFERROR((VLOOKUP($A1317,HeadJournal!$A$1:$K$890,COLUMN(HeadJournal!K$1),0)-VLOOKUP($A1317,HeadJournal!$A$1:$K$890,COLUMN(HeadJournal!J$1),0))*($K1317+$L1317)/(SUMIF($A:$A,$A1317,$K:$K)+SUMIF($A:$A,$A1317,$L:$L)),0)</f>
        <v>0</v>
      </c>
      <c r="O1317" s="30">
        <f>IFERROR((VLOOKUP($A1317,HeadJournal!$A$1:$L$890,COLUMN(HeadJournal!L$1),0)*($K1317+$L1317)/(SUMIF($A:$A,$A1317,$K:$K)+SUMIF($A:$A,$A1317,$L:$L)))/VLOOKUP($A1317,HeadJournal!$A$1:$L$890,COLUMN(HeadJournal!H$1),0),0)</f>
        <v>0</v>
      </c>
      <c r="P1317" s="30">
        <f>IFERROR(SUM(K1317:O1317)*VLOOKUP($A1317,HeadJournal!$A$1:$L$890,COLUMN(HeadJournal!H$1),0),0)</f>
        <v>1065</v>
      </c>
      <c r="Q1317" s="29">
        <v>1400</v>
      </c>
      <c r="R1317" s="31">
        <v>45071</v>
      </c>
      <c r="S1317" s="31" t="s">
        <v>3121</v>
      </c>
      <c r="T1317" s="95" t="str">
        <f t="shared" si="105"/>
        <v>2023 05</v>
      </c>
      <c r="U1317" s="32">
        <f t="shared" si="102"/>
        <v>335</v>
      </c>
      <c r="V1317" s="22">
        <f t="shared" si="103"/>
        <v>0.31455399061032863</v>
      </c>
      <c r="X1317" s="33"/>
      <c r="Y1317" s="33"/>
    </row>
    <row r="1318" spans="1:25" x14ac:dyDescent="0.2">
      <c r="A1318" s="93" t="s">
        <v>582</v>
      </c>
      <c r="B1318" s="94">
        <f>IFERROR(VLOOKUP($A1318,HeadJournal!$A$1:$NTR$890,COLUMN(HeadJournal!B$1),0),"")</f>
        <v>0</v>
      </c>
      <c r="C1318" s="94" t="str">
        <f>IFERROR(VLOOKUP($A1318,HeadJournal!$A$1:$NTR$890,COLUMN(HeadJournal!C$1),0),"")</f>
        <v>OZON_AV</v>
      </c>
      <c r="D1318" s="125" t="str">
        <f>IFERROR(VLOOKUP($A1318,HeadJournal!$A$1:$NTR$890,COLUMN(HeadJournal!D$1),0),"")</f>
        <v>Доставлен</v>
      </c>
      <c r="E1318" s="95">
        <f>IFERROR(VLOOKUP($A1318,HeadJournal!$A$1:$NTR$890,COLUMN(HeadJournal!G$1),0),"")</f>
        <v>45007</v>
      </c>
      <c r="F1318" s="95" t="str">
        <f t="shared" si="104"/>
        <v>2023 03</v>
      </c>
      <c r="G1318" s="96" t="s">
        <v>6</v>
      </c>
      <c r="H1318" s="160" t="str">
        <f>RIGHT(Journal!$J1318,9)</f>
        <v>361772752</v>
      </c>
      <c r="I1318" s="96" t="str">
        <f t="shared" si="106"/>
        <v>Scitec Nutrition</v>
      </c>
      <c r="J1318" s="97" t="s">
        <v>583</v>
      </c>
      <c r="K1318" s="29">
        <v>2316</v>
      </c>
      <c r="L1318" s="29"/>
      <c r="M1318" s="30">
        <f>IFERROR(VLOOKUP($A1318,HeadJournal!$A$1:$J$890,COLUMN(HeadJournal!I$1),0)*($K1318+$L1318)/(SUMIF($A:$A,$A1318,$K:$K)+SUMIF($A:$A,$A1318,$L:$L)),0)</f>
        <v>0</v>
      </c>
      <c r="N1318" s="30">
        <f>IFERROR((VLOOKUP($A1318,HeadJournal!$A$1:$K$890,COLUMN(HeadJournal!K$1),0)-VLOOKUP($A1318,HeadJournal!$A$1:$K$890,COLUMN(HeadJournal!J$1),0))*($K1318+$L1318)/(SUMIF($A:$A,$A1318,$K:$K)+SUMIF($A:$A,$A1318,$L:$L)),0)</f>
        <v>0</v>
      </c>
      <c r="O1318" s="30">
        <f>IFERROR((VLOOKUP($A1318,HeadJournal!$A$1:$L$890,COLUMN(HeadJournal!L$1),0)*($K1318+$L1318)/(SUMIF($A:$A,$A1318,$K:$K)+SUMIF($A:$A,$A1318,$L:$L)))/VLOOKUP($A1318,HeadJournal!$A$1:$L$890,COLUMN(HeadJournal!H$1),0),0)</f>
        <v>347.4</v>
      </c>
      <c r="P1318" s="30">
        <f>IFERROR(SUM(K1318:O1318)*VLOOKUP($A1318,HeadJournal!$A$1:$L$890,COLUMN(HeadJournal!H$1),0),0)</f>
        <v>2663.4</v>
      </c>
      <c r="Q1318" s="29">
        <v>3200</v>
      </c>
      <c r="R1318" s="31">
        <v>45015</v>
      </c>
      <c r="S1318" s="31" t="s">
        <v>3121</v>
      </c>
      <c r="T1318" s="95" t="str">
        <f t="shared" si="105"/>
        <v>2023 03</v>
      </c>
      <c r="U1318" s="32">
        <f t="shared" si="102"/>
        <v>536.59999999999991</v>
      </c>
      <c r="V1318" s="22">
        <f t="shared" si="103"/>
        <v>0.20147180295862427</v>
      </c>
      <c r="X1318" s="33"/>
      <c r="Y1318" s="33"/>
    </row>
    <row r="1319" spans="1:25" x14ac:dyDescent="0.2">
      <c r="A1319" s="93" t="s">
        <v>584</v>
      </c>
      <c r="B1319" s="94">
        <f>IFERROR(VLOOKUP($A1319,HeadJournal!$A$1:$NTR$890,COLUMN(HeadJournal!B$1),0),"")</f>
        <v>0</v>
      </c>
      <c r="C1319" s="94" t="str">
        <f>IFERROR(VLOOKUP($A1319,HeadJournal!$A$1:$NTR$890,COLUMN(HeadJournal!C$1),0),"")</f>
        <v>OZON_AV</v>
      </c>
      <c r="D1319" s="125" t="str">
        <f>IFERROR(VLOOKUP($A1319,HeadJournal!$A$1:$NTR$890,COLUMN(HeadJournal!D$1),0),"")</f>
        <v>Доставлен</v>
      </c>
      <c r="E1319" s="95">
        <f>IFERROR(VLOOKUP($A1319,HeadJournal!$A$1:$NTR$890,COLUMN(HeadJournal!G$1),0),"")</f>
        <v>45007</v>
      </c>
      <c r="F1319" s="95" t="str">
        <f t="shared" si="104"/>
        <v>2023 03</v>
      </c>
      <c r="G1319" s="96" t="s">
        <v>6</v>
      </c>
      <c r="H1319" s="160" t="str">
        <f>RIGHT(Journal!$J1319,9)</f>
        <v>626914560</v>
      </c>
      <c r="I1319" s="96" t="str">
        <f t="shared" si="106"/>
        <v>SOUL WAY</v>
      </c>
      <c r="J1319" s="97" t="s">
        <v>561</v>
      </c>
      <c r="K1319" s="29">
        <v>908</v>
      </c>
      <c r="L1319" s="29"/>
      <c r="M1319" s="30">
        <f>IFERROR(VLOOKUP($A1319,HeadJournal!$A$1:$J$890,COLUMN(HeadJournal!I$1),0)*($K1319+$L1319)/(SUMIF($A:$A,$A1319,$K:$K)+SUMIF($A:$A,$A1319,$L:$L)),0)</f>
        <v>0</v>
      </c>
      <c r="N1319" s="30">
        <f>IFERROR((VLOOKUP($A1319,HeadJournal!$A$1:$K$890,COLUMN(HeadJournal!K$1),0)-VLOOKUP($A1319,HeadJournal!$A$1:$K$890,COLUMN(HeadJournal!J$1),0))*($K1319+$L1319)/(SUMIF($A:$A,$A1319,$K:$K)+SUMIF($A:$A,$A1319,$L:$L)),0)</f>
        <v>0</v>
      </c>
      <c r="O1319" s="30">
        <f>IFERROR((VLOOKUP($A1319,HeadJournal!$A$1:$L$890,COLUMN(HeadJournal!L$1),0)*($K1319+$L1319)/(SUMIF($A:$A,$A1319,$K:$K)+SUMIF($A:$A,$A1319,$L:$L)))/VLOOKUP($A1319,HeadJournal!$A$1:$L$890,COLUMN(HeadJournal!H$1),0),0)</f>
        <v>136.19999999999999</v>
      </c>
      <c r="P1319" s="30">
        <f>IFERROR(SUM(K1319:O1319)*VLOOKUP($A1319,HeadJournal!$A$1:$L$890,COLUMN(HeadJournal!H$1),0),0)</f>
        <v>1044.2</v>
      </c>
      <c r="Q1319" s="29">
        <v>1500</v>
      </c>
      <c r="R1319" s="31">
        <v>45028</v>
      </c>
      <c r="S1319" s="31" t="s">
        <v>3121</v>
      </c>
      <c r="T1319" s="95" t="str">
        <f t="shared" si="105"/>
        <v>2023 04</v>
      </c>
      <c r="U1319" s="32">
        <f t="shared" si="102"/>
        <v>455.79999999999995</v>
      </c>
      <c r="V1319" s="22">
        <f t="shared" si="103"/>
        <v>0.4365064163953265</v>
      </c>
      <c r="X1319" s="33"/>
      <c r="Y1319" s="33"/>
    </row>
    <row r="1320" spans="1:25" x14ac:dyDescent="0.2">
      <c r="A1320" s="93" t="s">
        <v>585</v>
      </c>
      <c r="B1320" s="94">
        <f>IFERROR(VLOOKUP($A1320,HeadJournal!$A$1:$NTR$890,COLUMN(HeadJournal!B$1),0),"")</f>
        <v>0</v>
      </c>
      <c r="C1320" s="94" t="str">
        <f>IFERROR(VLOOKUP($A1320,HeadJournal!$A$1:$NTR$890,COLUMN(HeadJournal!C$1),0),"")</f>
        <v>Forever</v>
      </c>
      <c r="D1320" s="125" t="str">
        <f>IFERROR(VLOOKUP($A1320,HeadJournal!$A$1:$NTR$890,COLUMN(HeadJournal!D$1),0),"")</f>
        <v>Доставлен</v>
      </c>
      <c r="E1320" s="95">
        <f>IFERROR(VLOOKUP($A1320,HeadJournal!$A$1:$NTR$890,COLUMN(HeadJournal!G$1),0),"")</f>
        <v>45005</v>
      </c>
      <c r="F1320" s="95" t="str">
        <f t="shared" si="104"/>
        <v>2023 03</v>
      </c>
      <c r="G1320" s="96" t="s">
        <v>5</v>
      </c>
      <c r="H1320" s="160" t="str">
        <f>RIGHT(Journal!$J1320,9)</f>
        <v>000000153</v>
      </c>
      <c r="I1320" s="96" t="str">
        <f t="shared" si="106"/>
        <v>Forever</v>
      </c>
      <c r="J1320" s="97" t="s">
        <v>449</v>
      </c>
      <c r="K1320" s="29">
        <v>9623.3333333333339</v>
      </c>
      <c r="L1320" s="29"/>
      <c r="M1320" s="30">
        <f>IFERROR(VLOOKUP($A1320,HeadJournal!$A$1:$J$890,COLUMN(HeadJournal!I$1),0)*($K1320+$L1320)/(SUMIF($A:$A,$A1320,$K:$K)+SUMIF($A:$A,$A1320,$L:$L)),0)</f>
        <v>0</v>
      </c>
      <c r="N1320" s="30">
        <f>IFERROR((VLOOKUP($A1320,HeadJournal!$A$1:$K$890,COLUMN(HeadJournal!K$1),0)-VLOOKUP($A1320,HeadJournal!$A$1:$K$890,COLUMN(HeadJournal!J$1),0))*($K1320+$L1320)/(SUMIF($A:$A,$A1320,$K:$K)+SUMIF($A:$A,$A1320,$L:$L)),0)</f>
        <v>192.4985945607196</v>
      </c>
      <c r="O1320" s="30">
        <f>IFERROR((VLOOKUP($A1320,HeadJournal!$A$1:$L$890,COLUMN(HeadJournal!L$1),0)*($K1320+$L1320)/(SUMIF($A:$A,$A1320,$K:$K)+SUMIF($A:$A,$A1320,$L:$L)))/VLOOKUP($A1320,HeadJournal!$A$1:$L$890,COLUMN(HeadJournal!H$1),0),0)</f>
        <v>629.32134912223228</v>
      </c>
      <c r="P1320" s="30">
        <f>IFERROR(SUM(K1320:O1320)*VLOOKUP($A1320,HeadJournal!$A$1:$L$890,COLUMN(HeadJournal!H$1),0),0)</f>
        <v>1764.7092477904655</v>
      </c>
      <c r="Q1320" s="29">
        <v>2400</v>
      </c>
      <c r="R1320" s="31">
        <v>45020</v>
      </c>
      <c r="S1320" s="31" t="s">
        <v>3121</v>
      </c>
      <c r="T1320" s="95" t="str">
        <f t="shared" si="105"/>
        <v>2023 04</v>
      </c>
      <c r="U1320" s="32">
        <f t="shared" si="102"/>
        <v>635.2907522095345</v>
      </c>
      <c r="V1320" s="22">
        <f t="shared" si="103"/>
        <v>0.35999740637442751</v>
      </c>
      <c r="X1320" s="33"/>
      <c r="Y1320" s="33"/>
    </row>
    <row r="1321" spans="1:25" x14ac:dyDescent="0.2">
      <c r="A1321" s="93" t="s">
        <v>585</v>
      </c>
      <c r="B1321" s="94">
        <f>IFERROR(VLOOKUP($A1321,HeadJournal!$A$1:$NTR$890,COLUMN(HeadJournal!B$1),0),"")</f>
        <v>0</v>
      </c>
      <c r="C1321" s="94" t="str">
        <f>IFERROR(VLOOKUP($A1321,HeadJournal!$A$1:$NTR$890,COLUMN(HeadJournal!C$1),0),"")</f>
        <v>Forever</v>
      </c>
      <c r="D1321" s="125" t="str">
        <f>IFERROR(VLOOKUP($A1321,HeadJournal!$A$1:$NTR$890,COLUMN(HeadJournal!D$1),0),"")</f>
        <v>Доставлен</v>
      </c>
      <c r="E1321" s="95">
        <f>IFERROR(VLOOKUP($A1321,HeadJournal!$A$1:$NTR$890,COLUMN(HeadJournal!G$1),0),"")</f>
        <v>45005</v>
      </c>
      <c r="F1321" s="95" t="str">
        <f t="shared" si="104"/>
        <v>2023 03</v>
      </c>
      <c r="G1321" s="96" t="s">
        <v>5</v>
      </c>
      <c r="H1321" s="160" t="str">
        <f>RIGHT(Journal!$J1321,9)</f>
        <v>000000153</v>
      </c>
      <c r="I1321" s="96" t="str">
        <f t="shared" si="106"/>
        <v>Forever</v>
      </c>
      <c r="J1321" s="97" t="s">
        <v>449</v>
      </c>
      <c r="K1321" s="29">
        <v>9623.3333333333339</v>
      </c>
      <c r="L1321" s="29"/>
      <c r="M1321" s="30">
        <f>IFERROR(VLOOKUP($A1321,HeadJournal!$A$1:$J$890,COLUMN(HeadJournal!I$1),0)*($K1321+$L1321)/(SUMIF($A:$A,$A1321,$K:$K)+SUMIF($A:$A,$A1321,$L:$L)),0)</f>
        <v>0</v>
      </c>
      <c r="N1321" s="30">
        <f>IFERROR((VLOOKUP($A1321,HeadJournal!$A$1:$K$890,COLUMN(HeadJournal!K$1),0)-VLOOKUP($A1321,HeadJournal!$A$1:$K$890,COLUMN(HeadJournal!J$1),0))*($K1321+$L1321)/(SUMIF($A:$A,$A1321,$K:$K)+SUMIF($A:$A,$A1321,$L:$L)),0)</f>
        <v>192.4985945607196</v>
      </c>
      <c r="O1321" s="30">
        <f>IFERROR((VLOOKUP($A1321,HeadJournal!$A$1:$L$890,COLUMN(HeadJournal!L$1),0)*($K1321+$L1321)/(SUMIF($A:$A,$A1321,$K:$K)+SUMIF($A:$A,$A1321,$L:$L)))/VLOOKUP($A1321,HeadJournal!$A$1:$L$890,COLUMN(HeadJournal!H$1),0),0)</f>
        <v>629.32134912223228</v>
      </c>
      <c r="P1321" s="30">
        <f>IFERROR(SUM(K1321:O1321)*VLOOKUP($A1321,HeadJournal!$A$1:$L$890,COLUMN(HeadJournal!H$1),0),0)</f>
        <v>1764.7092477904655</v>
      </c>
      <c r="Q1321" s="29">
        <v>2400</v>
      </c>
      <c r="R1321" s="31">
        <v>45029</v>
      </c>
      <c r="S1321" s="31" t="s">
        <v>3121</v>
      </c>
      <c r="T1321" s="95" t="str">
        <f t="shared" si="105"/>
        <v>2023 04</v>
      </c>
      <c r="U1321" s="32">
        <f t="shared" si="102"/>
        <v>635.2907522095345</v>
      </c>
      <c r="V1321" s="22">
        <f t="shared" si="103"/>
        <v>0.35999740637442751</v>
      </c>
      <c r="X1321" s="33"/>
      <c r="Y1321" s="33"/>
    </row>
    <row r="1322" spans="1:25" x14ac:dyDescent="0.2">
      <c r="A1322" s="93" t="s">
        <v>585</v>
      </c>
      <c r="B1322" s="94">
        <f>IFERROR(VLOOKUP($A1322,HeadJournal!$A$1:$NTR$890,COLUMN(HeadJournal!B$1),0),"")</f>
        <v>0</v>
      </c>
      <c r="C1322" s="94" t="str">
        <f>IFERROR(VLOOKUP($A1322,HeadJournal!$A$1:$NTR$890,COLUMN(HeadJournal!C$1),0),"")</f>
        <v>Forever</v>
      </c>
      <c r="D1322" s="125" t="str">
        <f>IFERROR(VLOOKUP($A1322,HeadJournal!$A$1:$NTR$890,COLUMN(HeadJournal!D$1),0),"")</f>
        <v>Доставлен</v>
      </c>
      <c r="E1322" s="95">
        <f>IFERROR(VLOOKUP($A1322,HeadJournal!$A$1:$NTR$890,COLUMN(HeadJournal!G$1),0),"")</f>
        <v>45005</v>
      </c>
      <c r="F1322" s="95" t="str">
        <f t="shared" si="104"/>
        <v>2023 03</v>
      </c>
      <c r="G1322" s="96" t="s">
        <v>5</v>
      </c>
      <c r="H1322" s="160" t="str">
        <f>RIGHT(Journal!$J1322,9)</f>
        <v>000000153</v>
      </c>
      <c r="I1322" s="96" t="str">
        <f t="shared" si="106"/>
        <v>Forever</v>
      </c>
      <c r="J1322" s="97" t="s">
        <v>449</v>
      </c>
      <c r="K1322" s="29">
        <v>9623.3333333333339</v>
      </c>
      <c r="L1322" s="29"/>
      <c r="M1322" s="30">
        <f>IFERROR(VLOOKUP($A1322,HeadJournal!$A$1:$J$890,COLUMN(HeadJournal!I$1),0)*($K1322+$L1322)/(SUMIF($A:$A,$A1322,$K:$K)+SUMIF($A:$A,$A1322,$L:$L)),0)</f>
        <v>0</v>
      </c>
      <c r="N1322" s="30">
        <f>IFERROR((VLOOKUP($A1322,HeadJournal!$A$1:$K$890,COLUMN(HeadJournal!K$1),0)-VLOOKUP($A1322,HeadJournal!$A$1:$K$890,COLUMN(HeadJournal!J$1),0))*($K1322+$L1322)/(SUMIF($A:$A,$A1322,$K:$K)+SUMIF($A:$A,$A1322,$L:$L)),0)</f>
        <v>192.4985945607196</v>
      </c>
      <c r="O1322" s="30">
        <f>IFERROR((VLOOKUP($A1322,HeadJournal!$A$1:$L$890,COLUMN(HeadJournal!L$1),0)*($K1322+$L1322)/(SUMIF($A:$A,$A1322,$K:$K)+SUMIF($A:$A,$A1322,$L:$L)))/VLOOKUP($A1322,HeadJournal!$A$1:$L$890,COLUMN(HeadJournal!H$1),0),0)</f>
        <v>629.32134912223228</v>
      </c>
      <c r="P1322" s="30">
        <f>IFERROR(SUM(K1322:O1322)*VLOOKUP($A1322,HeadJournal!$A$1:$L$890,COLUMN(HeadJournal!H$1),0),0)</f>
        <v>1764.7092477904655</v>
      </c>
      <c r="Q1322" s="29">
        <v>1797.88</v>
      </c>
      <c r="R1322" s="31">
        <v>45005</v>
      </c>
      <c r="S1322" s="31" t="s">
        <v>3121</v>
      </c>
      <c r="T1322" s="95" t="str">
        <f t="shared" si="105"/>
        <v>2023 03</v>
      </c>
      <c r="U1322" s="32">
        <f t="shared" si="102"/>
        <v>33.170752209534612</v>
      </c>
      <c r="V1322" s="22">
        <f t="shared" si="103"/>
        <v>1.8796723738523285E-2</v>
      </c>
      <c r="X1322" s="33"/>
      <c r="Y1322" s="33"/>
    </row>
    <row r="1323" spans="1:25" x14ac:dyDescent="0.2">
      <c r="A1323" s="93" t="s">
        <v>585</v>
      </c>
      <c r="B1323" s="94">
        <f>IFERROR(VLOOKUP($A1323,HeadJournal!$A$1:$NTR$890,COLUMN(HeadJournal!B$1),0),"")</f>
        <v>0</v>
      </c>
      <c r="C1323" s="94" t="str">
        <f>IFERROR(VLOOKUP($A1323,HeadJournal!$A$1:$NTR$890,COLUMN(HeadJournal!C$1),0),"")</f>
        <v>Forever</v>
      </c>
      <c r="D1323" s="125" t="str">
        <f>IFERROR(VLOOKUP($A1323,HeadJournal!$A$1:$NTR$890,COLUMN(HeadJournal!D$1),0),"")</f>
        <v>Доставлен</v>
      </c>
      <c r="E1323" s="95">
        <f>IFERROR(VLOOKUP($A1323,HeadJournal!$A$1:$NTR$890,COLUMN(HeadJournal!G$1),0),"")</f>
        <v>45005</v>
      </c>
      <c r="F1323" s="95" t="str">
        <f t="shared" si="104"/>
        <v>2023 03</v>
      </c>
      <c r="G1323" s="96" t="s">
        <v>5</v>
      </c>
      <c r="H1323" s="160" t="str">
        <f>RIGHT(Journal!$J1323,9)</f>
        <v>000000153</v>
      </c>
      <c r="I1323" s="96" t="str">
        <f t="shared" si="106"/>
        <v>Forever</v>
      </c>
      <c r="J1323" s="97" t="s">
        <v>449</v>
      </c>
      <c r="K1323" s="29">
        <v>9623.3333333333339</v>
      </c>
      <c r="L1323" s="29"/>
      <c r="M1323" s="30">
        <f>IFERROR(VLOOKUP($A1323,HeadJournal!$A$1:$J$890,COLUMN(HeadJournal!I$1),0)*($K1323+$L1323)/(SUMIF($A:$A,$A1323,$K:$K)+SUMIF($A:$A,$A1323,$L:$L)),0)</f>
        <v>0</v>
      </c>
      <c r="N1323" s="30">
        <f>IFERROR((VLOOKUP($A1323,HeadJournal!$A$1:$K$890,COLUMN(HeadJournal!K$1),0)-VLOOKUP($A1323,HeadJournal!$A$1:$K$890,COLUMN(HeadJournal!J$1),0))*($K1323+$L1323)/(SUMIF($A:$A,$A1323,$K:$K)+SUMIF($A:$A,$A1323,$L:$L)),0)</f>
        <v>192.4985945607196</v>
      </c>
      <c r="O1323" s="30">
        <f>IFERROR((VLOOKUP($A1323,HeadJournal!$A$1:$L$890,COLUMN(HeadJournal!L$1),0)*($K1323+$L1323)/(SUMIF($A:$A,$A1323,$K:$K)+SUMIF($A:$A,$A1323,$L:$L)))/VLOOKUP($A1323,HeadJournal!$A$1:$L$890,COLUMN(HeadJournal!H$1),0),0)</f>
        <v>629.32134912223228</v>
      </c>
      <c r="P1323" s="30">
        <f>IFERROR(SUM(K1323:O1323)*VLOOKUP($A1323,HeadJournal!$A$1:$L$890,COLUMN(HeadJournal!H$1),0),0)</f>
        <v>1764.7092477904655</v>
      </c>
      <c r="Q1323" s="29">
        <v>2400</v>
      </c>
      <c r="R1323" s="31">
        <v>45042</v>
      </c>
      <c r="S1323" s="31" t="s">
        <v>3121</v>
      </c>
      <c r="T1323" s="95" t="str">
        <f t="shared" si="105"/>
        <v>2023 04</v>
      </c>
      <c r="U1323" s="32">
        <f t="shared" si="102"/>
        <v>635.2907522095345</v>
      </c>
      <c r="V1323" s="22">
        <f t="shared" si="103"/>
        <v>0.35999740637442751</v>
      </c>
      <c r="X1323" s="33"/>
      <c r="Y1323" s="33"/>
    </row>
    <row r="1324" spans="1:25" x14ac:dyDescent="0.2">
      <c r="A1324" s="93" t="s">
        <v>585</v>
      </c>
      <c r="B1324" s="94">
        <f>IFERROR(VLOOKUP($A1324,HeadJournal!$A$1:$NTR$890,COLUMN(HeadJournal!B$1),0),"")</f>
        <v>0</v>
      </c>
      <c r="C1324" s="94" t="str">
        <f>IFERROR(VLOOKUP($A1324,HeadJournal!$A$1:$NTR$890,COLUMN(HeadJournal!C$1),0),"")</f>
        <v>Forever</v>
      </c>
      <c r="D1324" s="125" t="str">
        <f>IFERROR(VLOOKUP($A1324,HeadJournal!$A$1:$NTR$890,COLUMN(HeadJournal!D$1),0),"")</f>
        <v>Доставлен</v>
      </c>
      <c r="E1324" s="95">
        <f>IFERROR(VLOOKUP($A1324,HeadJournal!$A$1:$NTR$890,COLUMN(HeadJournal!G$1),0),"")</f>
        <v>45005</v>
      </c>
      <c r="F1324" s="95" t="str">
        <f t="shared" si="104"/>
        <v>2023 03</v>
      </c>
      <c r="G1324" s="96" t="s">
        <v>5</v>
      </c>
      <c r="H1324" s="160" t="str">
        <f>RIGHT(Journal!$J1324,9)</f>
        <v>000000153</v>
      </c>
      <c r="I1324" s="96" t="str">
        <f t="shared" si="106"/>
        <v>Forever</v>
      </c>
      <c r="J1324" s="97" t="s">
        <v>449</v>
      </c>
      <c r="K1324" s="29">
        <v>9623.3333333333339</v>
      </c>
      <c r="L1324" s="29"/>
      <c r="M1324" s="30">
        <f>IFERROR(VLOOKUP($A1324,HeadJournal!$A$1:$J$890,COLUMN(HeadJournal!I$1),0)*($K1324+$L1324)/(SUMIF($A:$A,$A1324,$K:$K)+SUMIF($A:$A,$A1324,$L:$L)),0)</f>
        <v>0</v>
      </c>
      <c r="N1324" s="30">
        <f>IFERROR((VLOOKUP($A1324,HeadJournal!$A$1:$K$890,COLUMN(HeadJournal!K$1),0)-VLOOKUP($A1324,HeadJournal!$A$1:$K$890,COLUMN(HeadJournal!J$1),0))*($K1324+$L1324)/(SUMIF($A:$A,$A1324,$K:$K)+SUMIF($A:$A,$A1324,$L:$L)),0)</f>
        <v>192.4985945607196</v>
      </c>
      <c r="O1324" s="30">
        <f>IFERROR((VLOOKUP($A1324,HeadJournal!$A$1:$L$890,COLUMN(HeadJournal!L$1),0)*($K1324+$L1324)/(SUMIF($A:$A,$A1324,$K:$K)+SUMIF($A:$A,$A1324,$L:$L)))/VLOOKUP($A1324,HeadJournal!$A$1:$L$890,COLUMN(HeadJournal!H$1),0),0)</f>
        <v>629.32134912223228</v>
      </c>
      <c r="P1324" s="30">
        <f>IFERROR(SUM(K1324:O1324)*VLOOKUP($A1324,HeadJournal!$A$1:$L$890,COLUMN(HeadJournal!H$1),0),0)</f>
        <v>1764.7092477904655</v>
      </c>
      <c r="Q1324" s="29">
        <v>1764.71</v>
      </c>
      <c r="R1324" s="31">
        <v>45018</v>
      </c>
      <c r="S1324" s="31" t="s">
        <v>3121</v>
      </c>
      <c r="T1324" s="95" t="str">
        <f t="shared" si="105"/>
        <v>2023 04</v>
      </c>
      <c r="U1324" s="32">
        <f t="shared" si="102"/>
        <v>7.522095345393609E-4</v>
      </c>
      <c r="V1324" s="22">
        <f t="shared" si="103"/>
        <v>4.2625125667651923E-7</v>
      </c>
      <c r="X1324" s="33"/>
      <c r="Y1324" s="33"/>
    </row>
    <row r="1325" spans="1:25" x14ac:dyDescent="0.2">
      <c r="A1325" s="93" t="s">
        <v>585</v>
      </c>
      <c r="B1325" s="94">
        <f>IFERROR(VLOOKUP($A1325,HeadJournal!$A$1:$NTR$890,COLUMN(HeadJournal!B$1),0),"")</f>
        <v>0</v>
      </c>
      <c r="C1325" s="94" t="str">
        <f>IFERROR(VLOOKUP($A1325,HeadJournal!$A$1:$NTR$890,COLUMN(HeadJournal!C$1),0),"")</f>
        <v>Forever</v>
      </c>
      <c r="D1325" s="125" t="str">
        <f>IFERROR(VLOOKUP($A1325,HeadJournal!$A$1:$NTR$890,COLUMN(HeadJournal!D$1),0),"")</f>
        <v>Доставлен</v>
      </c>
      <c r="E1325" s="95">
        <f>IFERROR(VLOOKUP($A1325,HeadJournal!$A$1:$NTR$890,COLUMN(HeadJournal!G$1),0),"")</f>
        <v>45005</v>
      </c>
      <c r="F1325" s="95" t="str">
        <f t="shared" si="104"/>
        <v>2023 03</v>
      </c>
      <c r="G1325" s="96" t="s">
        <v>5</v>
      </c>
      <c r="H1325" s="160" t="str">
        <f>RIGHT(Journal!$J1325,9)</f>
        <v>000000153</v>
      </c>
      <c r="I1325" s="96" t="str">
        <f t="shared" si="106"/>
        <v>Forever</v>
      </c>
      <c r="J1325" s="97" t="s">
        <v>449</v>
      </c>
      <c r="K1325" s="29">
        <v>9623.3333333333339</v>
      </c>
      <c r="L1325" s="29"/>
      <c r="M1325" s="30">
        <f>IFERROR(VLOOKUP($A1325,HeadJournal!$A$1:$J$890,COLUMN(HeadJournal!I$1),0)*($K1325+$L1325)/(SUMIF($A:$A,$A1325,$K:$K)+SUMIF($A:$A,$A1325,$L:$L)),0)</f>
        <v>0</v>
      </c>
      <c r="N1325" s="30">
        <f>IFERROR((VLOOKUP($A1325,HeadJournal!$A$1:$K$890,COLUMN(HeadJournal!K$1),0)-VLOOKUP($A1325,HeadJournal!$A$1:$K$890,COLUMN(HeadJournal!J$1),0))*($K1325+$L1325)/(SUMIF($A:$A,$A1325,$K:$K)+SUMIF($A:$A,$A1325,$L:$L)),0)</f>
        <v>192.4985945607196</v>
      </c>
      <c r="O1325" s="30">
        <f>IFERROR((VLOOKUP($A1325,HeadJournal!$A$1:$L$890,COLUMN(HeadJournal!L$1),0)*($K1325+$L1325)/(SUMIF($A:$A,$A1325,$K:$K)+SUMIF($A:$A,$A1325,$L:$L)))/VLOOKUP($A1325,HeadJournal!$A$1:$L$890,COLUMN(HeadJournal!H$1),0),0)</f>
        <v>629.32134912223228</v>
      </c>
      <c r="P1325" s="30">
        <f>IFERROR(SUM(K1325:O1325)*VLOOKUP($A1325,HeadJournal!$A$1:$L$890,COLUMN(HeadJournal!H$1),0),0)</f>
        <v>1764.7092477904655</v>
      </c>
      <c r="Q1325" s="29">
        <v>1764.71</v>
      </c>
      <c r="R1325" s="31">
        <v>45048</v>
      </c>
      <c r="S1325" s="31" t="s">
        <v>3121</v>
      </c>
      <c r="T1325" s="95" t="str">
        <f t="shared" si="105"/>
        <v>2023 05</v>
      </c>
      <c r="U1325" s="32">
        <f t="shared" si="102"/>
        <v>7.522095345393609E-4</v>
      </c>
      <c r="V1325" s="22">
        <f t="shared" si="103"/>
        <v>4.2625125667651923E-7</v>
      </c>
      <c r="X1325" s="33"/>
      <c r="Y1325" s="33"/>
    </row>
    <row r="1326" spans="1:25" x14ac:dyDescent="0.2">
      <c r="A1326" s="93" t="s">
        <v>585</v>
      </c>
      <c r="B1326" s="94">
        <f>IFERROR(VLOOKUP($A1326,HeadJournal!$A$1:$NTR$890,COLUMN(HeadJournal!B$1),0),"")</f>
        <v>0</v>
      </c>
      <c r="C1326" s="94" t="str">
        <f>IFERROR(VLOOKUP($A1326,HeadJournal!$A$1:$NTR$890,COLUMN(HeadJournal!C$1),0),"")</f>
        <v>Forever</v>
      </c>
      <c r="D1326" s="125" t="str">
        <f>IFERROR(VLOOKUP($A1326,HeadJournal!$A$1:$NTR$890,COLUMN(HeadJournal!D$1),0),"")</f>
        <v>Доставлен</v>
      </c>
      <c r="E1326" s="95">
        <f>IFERROR(VLOOKUP($A1326,HeadJournal!$A$1:$NTR$890,COLUMN(HeadJournal!G$1),0),"")</f>
        <v>45005</v>
      </c>
      <c r="F1326" s="95" t="str">
        <f t="shared" si="104"/>
        <v>2023 03</v>
      </c>
      <c r="G1326" s="96" t="s">
        <v>7</v>
      </c>
      <c r="H1326" s="160" t="str">
        <f>RIGHT(Journal!$J1326,9)</f>
        <v>000000040</v>
      </c>
      <c r="I1326" s="96" t="str">
        <f t="shared" si="106"/>
        <v>Forever</v>
      </c>
      <c r="J1326" s="97" t="s">
        <v>299</v>
      </c>
      <c r="K1326" s="29">
        <v>7299</v>
      </c>
      <c r="L1326" s="29"/>
      <c r="M1326" s="30">
        <f>IFERROR(VLOOKUP($A1326,HeadJournal!$A$1:$J$890,COLUMN(HeadJournal!I$1),0)*($K1326+$L1326)/(SUMIF($A:$A,$A1326,$K:$K)+SUMIF($A:$A,$A1326,$L:$L)),0)</f>
        <v>0</v>
      </c>
      <c r="N1326" s="30">
        <f>IFERROR((VLOOKUP($A1326,HeadJournal!$A$1:$K$890,COLUMN(HeadJournal!K$1),0)-VLOOKUP($A1326,HeadJournal!$A$1:$K$890,COLUMN(HeadJournal!J$1),0))*($K1326+$L1326)/(SUMIF($A:$A,$A1326,$K:$K)+SUMIF($A:$A,$A1326,$L:$L)),0)</f>
        <v>146.00421631784124</v>
      </c>
      <c r="O1326" s="30">
        <f>IFERROR((VLOOKUP($A1326,HeadJournal!$A$1:$L$890,COLUMN(HeadJournal!L$1),0)*($K1326+$L1326)/(SUMIF($A:$A,$A1326,$K:$K)+SUMIF($A:$A,$A1326,$L:$L)))/VLOOKUP($A1326,HeadJournal!$A$1:$L$890,COLUMN(HeadJournal!H$1),0),0)</f>
        <v>477.32073369343669</v>
      </c>
      <c r="P1326" s="30">
        <f>IFERROR(SUM(K1326:O1326)*VLOOKUP($A1326,HeadJournal!$A$1:$L$890,COLUMN(HeadJournal!H$1),0),0)</f>
        <v>1338.4772566286047</v>
      </c>
      <c r="Q1326" s="29">
        <v>1800</v>
      </c>
      <c r="R1326" s="31">
        <v>45040</v>
      </c>
      <c r="S1326" s="31" t="s">
        <v>3121</v>
      </c>
      <c r="T1326" s="95" t="str">
        <f t="shared" si="105"/>
        <v>2023 04</v>
      </c>
      <c r="U1326" s="32">
        <f t="shared" si="102"/>
        <v>461.52274337139534</v>
      </c>
      <c r="V1326" s="22">
        <f t="shared" si="103"/>
        <v>0.34481179346587643</v>
      </c>
      <c r="X1326" s="33"/>
      <c r="Y1326" s="33"/>
    </row>
    <row r="1327" spans="1:25" x14ac:dyDescent="0.2">
      <c r="A1327" s="93" t="s">
        <v>585</v>
      </c>
      <c r="B1327" s="94">
        <f>IFERROR(VLOOKUP($A1327,HeadJournal!$A$1:$NTR$890,COLUMN(HeadJournal!B$1),0),"")</f>
        <v>0</v>
      </c>
      <c r="C1327" s="94" t="str">
        <f>IFERROR(VLOOKUP($A1327,HeadJournal!$A$1:$NTR$890,COLUMN(HeadJournal!C$1),0),"")</f>
        <v>Forever</v>
      </c>
      <c r="D1327" s="125" t="str">
        <f>IFERROR(VLOOKUP($A1327,HeadJournal!$A$1:$NTR$890,COLUMN(HeadJournal!D$1),0),"")</f>
        <v>Доставлен</v>
      </c>
      <c r="E1327" s="95">
        <f>IFERROR(VLOOKUP($A1327,HeadJournal!$A$1:$NTR$890,COLUMN(HeadJournal!G$1),0),"")</f>
        <v>45005</v>
      </c>
      <c r="F1327" s="95" t="str">
        <f t="shared" si="104"/>
        <v>2023 03</v>
      </c>
      <c r="G1327" s="96" t="s">
        <v>7</v>
      </c>
      <c r="H1327" s="160" t="str">
        <f>RIGHT(Journal!$J1327,9)</f>
        <v>000000040</v>
      </c>
      <c r="I1327" s="96" t="str">
        <f t="shared" si="106"/>
        <v>Forever</v>
      </c>
      <c r="J1327" s="97" t="s">
        <v>299</v>
      </c>
      <c r="K1327" s="29">
        <v>7299</v>
      </c>
      <c r="L1327" s="29"/>
      <c r="M1327" s="30">
        <f>IFERROR(VLOOKUP($A1327,HeadJournal!$A$1:$J$890,COLUMN(HeadJournal!I$1),0)*($K1327+$L1327)/(SUMIF($A:$A,$A1327,$K:$K)+SUMIF($A:$A,$A1327,$L:$L)),0)</f>
        <v>0</v>
      </c>
      <c r="N1327" s="30">
        <f>IFERROR((VLOOKUP($A1327,HeadJournal!$A$1:$K$890,COLUMN(HeadJournal!K$1),0)-VLOOKUP($A1327,HeadJournal!$A$1:$K$890,COLUMN(HeadJournal!J$1),0))*($K1327+$L1327)/(SUMIF($A:$A,$A1327,$K:$K)+SUMIF($A:$A,$A1327,$L:$L)),0)</f>
        <v>146.00421631784124</v>
      </c>
      <c r="O1327" s="30">
        <f>IFERROR((VLOOKUP($A1327,HeadJournal!$A$1:$L$890,COLUMN(HeadJournal!L$1),0)*($K1327+$L1327)/(SUMIF($A:$A,$A1327,$K:$K)+SUMIF($A:$A,$A1327,$L:$L)))/VLOOKUP($A1327,HeadJournal!$A$1:$L$890,COLUMN(HeadJournal!H$1),0),0)</f>
        <v>477.32073369343669</v>
      </c>
      <c r="P1327" s="30">
        <f>IFERROR(SUM(K1327:O1327)*VLOOKUP($A1327,HeadJournal!$A$1:$L$890,COLUMN(HeadJournal!H$1),0),0)</f>
        <v>1338.4772566286047</v>
      </c>
      <c r="Q1327" s="29">
        <v>1338.48</v>
      </c>
      <c r="R1327" s="31">
        <v>45097</v>
      </c>
      <c r="S1327" s="31" t="s">
        <v>3121</v>
      </c>
      <c r="T1327" s="95" t="str">
        <f t="shared" si="105"/>
        <v>2023 06</v>
      </c>
      <c r="U1327" s="32">
        <f t="shared" si="102"/>
        <v>2.7433713953541883E-3</v>
      </c>
      <c r="V1327" s="22">
        <f t="shared" si="103"/>
        <v>2.0496212257384722E-6</v>
      </c>
      <c r="X1327" s="33"/>
      <c r="Y1327" s="33"/>
    </row>
    <row r="1328" spans="1:25" x14ac:dyDescent="0.2">
      <c r="A1328" s="93" t="s">
        <v>586</v>
      </c>
      <c r="B1328" s="94">
        <f>IFERROR(VLOOKUP($A1328,HeadJournal!$A$1:$NTR$890,COLUMN(HeadJournal!B$1),0),"")</f>
        <v>0</v>
      </c>
      <c r="C1328" s="94" t="str">
        <f>IFERROR(VLOOKUP($A1328,HeadJournal!$A$1:$NTR$890,COLUMN(HeadJournal!C$1),0),"")</f>
        <v>OZON_OA</v>
      </c>
      <c r="D1328" s="125" t="str">
        <f>IFERROR(VLOOKUP($A1328,HeadJournal!$A$1:$NTR$890,COLUMN(HeadJournal!D$1),0),"")</f>
        <v>Доставлен</v>
      </c>
      <c r="E1328" s="95">
        <f>IFERROR(VLOOKUP($A1328,HeadJournal!$A$1:$NTR$890,COLUMN(HeadJournal!G$1),0),"")</f>
        <v>45014</v>
      </c>
      <c r="F1328" s="95" t="str">
        <f t="shared" si="104"/>
        <v>2023 03</v>
      </c>
      <c r="G1328" s="96" t="s">
        <v>6</v>
      </c>
      <c r="H1328" s="160" t="str">
        <f>RIGHT(Journal!$J1328,9)</f>
        <v>176208973</v>
      </c>
      <c r="I1328" s="96" t="str">
        <f t="shared" si="106"/>
        <v>Maxler</v>
      </c>
      <c r="J1328" s="97" t="s">
        <v>481</v>
      </c>
      <c r="K1328" s="29">
        <v>1444</v>
      </c>
      <c r="L1328" s="29"/>
      <c r="M1328" s="30">
        <f>IFERROR(VLOOKUP($A1328,HeadJournal!$A$1:$J$890,COLUMN(HeadJournal!I$1),0)*($K1328+$L1328)/(SUMIF($A:$A,$A1328,$K:$K)+SUMIF($A:$A,$A1328,$L:$L)),0)</f>
        <v>0</v>
      </c>
      <c r="N1328" s="30">
        <f>IFERROR((VLOOKUP($A1328,HeadJournal!$A$1:$K$890,COLUMN(HeadJournal!K$1),0)-VLOOKUP($A1328,HeadJournal!$A$1:$K$890,COLUMN(HeadJournal!J$1),0))*($K1328+$L1328)/(SUMIF($A:$A,$A1328,$K:$K)+SUMIF($A:$A,$A1328,$L:$L)),0)</f>
        <v>0</v>
      </c>
      <c r="O1328" s="30">
        <f>IFERROR((VLOOKUP($A1328,HeadJournal!$A$1:$L$890,COLUMN(HeadJournal!L$1),0)*($K1328+$L1328)/(SUMIF($A:$A,$A1328,$K:$K)+SUMIF($A:$A,$A1328,$L:$L)))/VLOOKUP($A1328,HeadJournal!$A$1:$L$890,COLUMN(HeadJournal!H$1),0),0)</f>
        <v>216.6</v>
      </c>
      <c r="P1328" s="30">
        <f>IFERROR(SUM(K1328:O1328)*VLOOKUP($A1328,HeadJournal!$A$1:$L$890,COLUMN(HeadJournal!H$1),0),0)</f>
        <v>1660.6</v>
      </c>
      <c r="Q1328" s="29">
        <v>2500</v>
      </c>
      <c r="R1328" s="31">
        <v>45020</v>
      </c>
      <c r="S1328" s="31" t="s">
        <v>3121</v>
      </c>
      <c r="T1328" s="95" t="str">
        <f t="shared" si="105"/>
        <v>2023 04</v>
      </c>
      <c r="U1328" s="32">
        <f t="shared" si="102"/>
        <v>839.40000000000009</v>
      </c>
      <c r="V1328" s="22">
        <f t="shared" si="103"/>
        <v>0.50547994700710597</v>
      </c>
      <c r="X1328" s="33"/>
      <c r="Y1328" s="33"/>
    </row>
    <row r="1329" spans="1:25" x14ac:dyDescent="0.2">
      <c r="A1329" s="93" t="s">
        <v>586</v>
      </c>
      <c r="B1329" s="94">
        <f>IFERROR(VLOOKUP($A1329,HeadJournal!$A$1:$NTR$890,COLUMN(HeadJournal!B$1),0),"")</f>
        <v>0</v>
      </c>
      <c r="C1329" s="94" t="str">
        <f>IFERROR(VLOOKUP($A1329,HeadJournal!$A$1:$NTR$890,COLUMN(HeadJournal!C$1),0),"")</f>
        <v>OZON_OA</v>
      </c>
      <c r="D1329" s="125" t="str">
        <f>IFERROR(VLOOKUP($A1329,HeadJournal!$A$1:$NTR$890,COLUMN(HeadJournal!D$1),0),"")</f>
        <v>Доставлен</v>
      </c>
      <c r="E1329" s="95">
        <f>IFERROR(VLOOKUP($A1329,HeadJournal!$A$1:$NTR$890,COLUMN(HeadJournal!G$1),0),"")</f>
        <v>45014</v>
      </c>
      <c r="F1329" s="95" t="str">
        <f t="shared" si="104"/>
        <v>2023 03</v>
      </c>
      <c r="G1329" s="96" t="s">
        <v>6</v>
      </c>
      <c r="H1329" s="160" t="str">
        <f>RIGHT(Journal!$J1329,9)</f>
        <v>486832912</v>
      </c>
      <c r="I1329" s="96" t="str">
        <f t="shared" si="106"/>
        <v>Maxler</v>
      </c>
      <c r="J1329" s="97" t="s">
        <v>587</v>
      </c>
      <c r="K1329" s="29">
        <v>2705</v>
      </c>
      <c r="L1329" s="29"/>
      <c r="M1329" s="30">
        <f>IFERROR(VLOOKUP($A1329,HeadJournal!$A$1:$J$890,COLUMN(HeadJournal!I$1),0)*($K1329+$L1329)/(SUMIF($A:$A,$A1329,$K:$K)+SUMIF($A:$A,$A1329,$L:$L)),0)</f>
        <v>0</v>
      </c>
      <c r="N1329" s="30">
        <f>IFERROR((VLOOKUP($A1329,HeadJournal!$A$1:$K$890,COLUMN(HeadJournal!K$1),0)-VLOOKUP($A1329,HeadJournal!$A$1:$K$890,COLUMN(HeadJournal!J$1),0))*($K1329+$L1329)/(SUMIF($A:$A,$A1329,$K:$K)+SUMIF($A:$A,$A1329,$L:$L)),0)</f>
        <v>0</v>
      </c>
      <c r="O1329" s="30">
        <f>IFERROR((VLOOKUP($A1329,HeadJournal!$A$1:$L$890,COLUMN(HeadJournal!L$1),0)*($K1329+$L1329)/(SUMIF($A:$A,$A1329,$K:$K)+SUMIF($A:$A,$A1329,$L:$L)))/VLOOKUP($A1329,HeadJournal!$A$1:$L$890,COLUMN(HeadJournal!H$1),0),0)</f>
        <v>405.75</v>
      </c>
      <c r="P1329" s="30">
        <f>IFERROR(SUM(K1329:O1329)*VLOOKUP($A1329,HeadJournal!$A$1:$L$890,COLUMN(HeadJournal!H$1),0),0)</f>
        <v>3110.75</v>
      </c>
      <c r="Q1329" s="29">
        <v>3600</v>
      </c>
      <c r="R1329" s="31">
        <v>45098</v>
      </c>
      <c r="S1329" s="31" t="s">
        <v>3121</v>
      </c>
      <c r="T1329" s="95" t="str">
        <f t="shared" si="105"/>
        <v>2023 06</v>
      </c>
      <c r="U1329" s="32">
        <f t="shared" si="102"/>
        <v>489.25</v>
      </c>
      <c r="V1329" s="22">
        <f t="shared" si="103"/>
        <v>0.15727718395885237</v>
      </c>
      <c r="X1329" s="33"/>
      <c r="Y1329" s="33"/>
    </row>
    <row r="1330" spans="1:25" x14ac:dyDescent="0.2">
      <c r="A1330" s="93" t="s">
        <v>586</v>
      </c>
      <c r="B1330" s="94">
        <f>IFERROR(VLOOKUP($A1330,HeadJournal!$A$1:$NTR$890,COLUMN(HeadJournal!B$1),0),"")</f>
        <v>0</v>
      </c>
      <c r="C1330" s="94" t="str">
        <f>IFERROR(VLOOKUP($A1330,HeadJournal!$A$1:$NTR$890,COLUMN(HeadJournal!C$1),0),"")</f>
        <v>OZON_OA</v>
      </c>
      <c r="D1330" s="125" t="str">
        <f>IFERROR(VLOOKUP($A1330,HeadJournal!$A$1:$NTR$890,COLUMN(HeadJournal!D$1),0),"")</f>
        <v>Доставлен</v>
      </c>
      <c r="E1330" s="95">
        <f>IFERROR(VLOOKUP($A1330,HeadJournal!$A$1:$NTR$890,COLUMN(HeadJournal!G$1),0),"")</f>
        <v>45014</v>
      </c>
      <c r="F1330" s="95" t="str">
        <f t="shared" si="104"/>
        <v>2023 03</v>
      </c>
      <c r="G1330" s="96" t="s">
        <v>6</v>
      </c>
      <c r="H1330" s="160" t="str">
        <f>RIGHT(Journal!$J1330,9)</f>
        <v>486832912</v>
      </c>
      <c r="I1330" s="96" t="str">
        <f t="shared" si="106"/>
        <v>Maxler</v>
      </c>
      <c r="J1330" s="97" t="s">
        <v>587</v>
      </c>
      <c r="K1330" s="29">
        <v>2705</v>
      </c>
      <c r="L1330" s="29"/>
      <c r="M1330" s="30">
        <f>IFERROR(VLOOKUP($A1330,HeadJournal!$A$1:$J$890,COLUMN(HeadJournal!I$1),0)*($K1330+$L1330)/(SUMIF($A:$A,$A1330,$K:$K)+SUMIF($A:$A,$A1330,$L:$L)),0)</f>
        <v>0</v>
      </c>
      <c r="N1330" s="30">
        <f>IFERROR((VLOOKUP($A1330,HeadJournal!$A$1:$K$890,COLUMN(HeadJournal!K$1),0)-VLOOKUP($A1330,HeadJournal!$A$1:$K$890,COLUMN(HeadJournal!J$1),0))*($K1330+$L1330)/(SUMIF($A:$A,$A1330,$K:$K)+SUMIF($A:$A,$A1330,$L:$L)),0)</f>
        <v>0</v>
      </c>
      <c r="O1330" s="30">
        <f>IFERROR((VLOOKUP($A1330,HeadJournal!$A$1:$L$890,COLUMN(HeadJournal!L$1),0)*($K1330+$L1330)/(SUMIF($A:$A,$A1330,$K:$K)+SUMIF($A:$A,$A1330,$L:$L)))/VLOOKUP($A1330,HeadJournal!$A$1:$L$890,COLUMN(HeadJournal!H$1),0),0)</f>
        <v>405.75</v>
      </c>
      <c r="P1330" s="30">
        <f>IFERROR(SUM(K1330:O1330)*VLOOKUP($A1330,HeadJournal!$A$1:$L$890,COLUMN(HeadJournal!H$1),0),0)</f>
        <v>3110.75</v>
      </c>
      <c r="Q1330" s="29">
        <v>3600</v>
      </c>
      <c r="R1330" s="31">
        <v>45020</v>
      </c>
      <c r="S1330" s="31" t="s">
        <v>3121</v>
      </c>
      <c r="T1330" s="95" t="str">
        <f t="shared" si="105"/>
        <v>2023 04</v>
      </c>
      <c r="U1330" s="32">
        <f t="shared" si="102"/>
        <v>489.25</v>
      </c>
      <c r="V1330" s="22">
        <f t="shared" si="103"/>
        <v>0.15727718395885237</v>
      </c>
      <c r="X1330" s="33"/>
      <c r="Y1330" s="33"/>
    </row>
    <row r="1331" spans="1:25" x14ac:dyDescent="0.2">
      <c r="A1331" s="93" t="s">
        <v>586</v>
      </c>
      <c r="B1331" s="94">
        <f>IFERROR(VLOOKUP($A1331,HeadJournal!$A$1:$NTR$890,COLUMN(HeadJournal!B$1),0),"")</f>
        <v>0</v>
      </c>
      <c r="C1331" s="94" t="str">
        <f>IFERROR(VLOOKUP($A1331,HeadJournal!$A$1:$NTR$890,COLUMN(HeadJournal!C$1),0),"")</f>
        <v>OZON_OA</v>
      </c>
      <c r="D1331" s="125" t="str">
        <f>IFERROR(VLOOKUP($A1331,HeadJournal!$A$1:$NTR$890,COLUMN(HeadJournal!D$1),0),"")</f>
        <v>Доставлен</v>
      </c>
      <c r="E1331" s="95">
        <f>IFERROR(VLOOKUP($A1331,HeadJournal!$A$1:$NTR$890,COLUMN(HeadJournal!G$1),0),"")</f>
        <v>45014</v>
      </c>
      <c r="F1331" s="95" t="str">
        <f t="shared" si="104"/>
        <v>2023 03</v>
      </c>
      <c r="G1331" s="96" t="s">
        <v>6</v>
      </c>
      <c r="H1331" s="160" t="str">
        <f>RIGHT(Journal!$J1331,9)</f>
        <v>170919156</v>
      </c>
      <c r="I1331" s="96" t="str">
        <f t="shared" si="106"/>
        <v>PRIMEKRAFT</v>
      </c>
      <c r="J1331" s="97" t="s">
        <v>588</v>
      </c>
      <c r="K1331" s="29">
        <v>942</v>
      </c>
      <c r="L1331" s="29"/>
      <c r="M1331" s="30">
        <f>IFERROR(VLOOKUP($A1331,HeadJournal!$A$1:$J$890,COLUMN(HeadJournal!I$1),0)*($K1331+$L1331)/(SUMIF($A:$A,$A1331,$K:$K)+SUMIF($A:$A,$A1331,$L:$L)),0)</f>
        <v>0</v>
      </c>
      <c r="N1331" s="30">
        <f>IFERROR((VLOOKUP($A1331,HeadJournal!$A$1:$K$890,COLUMN(HeadJournal!K$1),0)-VLOOKUP($A1331,HeadJournal!$A$1:$K$890,COLUMN(HeadJournal!J$1),0))*($K1331+$L1331)/(SUMIF($A:$A,$A1331,$K:$K)+SUMIF($A:$A,$A1331,$L:$L)),0)</f>
        <v>0</v>
      </c>
      <c r="O1331" s="30">
        <f>IFERROR((VLOOKUP($A1331,HeadJournal!$A$1:$L$890,COLUMN(HeadJournal!L$1),0)*($K1331+$L1331)/(SUMIF($A:$A,$A1331,$K:$K)+SUMIF($A:$A,$A1331,$L:$L)))/VLOOKUP($A1331,HeadJournal!$A$1:$L$890,COLUMN(HeadJournal!H$1),0),0)</f>
        <v>141.30000000000001</v>
      </c>
      <c r="P1331" s="30">
        <f>IFERROR(SUM(K1331:O1331)*VLOOKUP($A1331,HeadJournal!$A$1:$L$890,COLUMN(HeadJournal!H$1),0),0)</f>
        <v>1083.3</v>
      </c>
      <c r="Q1331" s="29">
        <v>1500</v>
      </c>
      <c r="R1331" s="31">
        <v>45034</v>
      </c>
      <c r="S1331" s="31" t="s">
        <v>3121</v>
      </c>
      <c r="T1331" s="95" t="str">
        <f t="shared" si="105"/>
        <v>2023 04</v>
      </c>
      <c r="U1331" s="32">
        <f t="shared" si="102"/>
        <v>416.70000000000005</v>
      </c>
      <c r="V1331" s="22">
        <f t="shared" si="103"/>
        <v>0.38465798947659935</v>
      </c>
      <c r="X1331" s="33"/>
      <c r="Y1331" s="33"/>
    </row>
    <row r="1332" spans="1:25" x14ac:dyDescent="0.2">
      <c r="A1332" s="93" t="s">
        <v>586</v>
      </c>
      <c r="B1332" s="94">
        <f>IFERROR(VLOOKUP($A1332,HeadJournal!$A$1:$NTR$890,COLUMN(HeadJournal!B$1),0),"")</f>
        <v>0</v>
      </c>
      <c r="C1332" s="94" t="str">
        <f>IFERROR(VLOOKUP($A1332,HeadJournal!$A$1:$NTR$890,COLUMN(HeadJournal!C$1),0),"")</f>
        <v>OZON_OA</v>
      </c>
      <c r="D1332" s="125" t="str">
        <f>IFERROR(VLOOKUP($A1332,HeadJournal!$A$1:$NTR$890,COLUMN(HeadJournal!D$1),0),"")</f>
        <v>Доставлен</v>
      </c>
      <c r="E1332" s="95">
        <f>IFERROR(VLOOKUP($A1332,HeadJournal!$A$1:$NTR$890,COLUMN(HeadJournal!G$1),0),"")</f>
        <v>45014</v>
      </c>
      <c r="F1332" s="95" t="str">
        <f t="shared" si="104"/>
        <v>2023 03</v>
      </c>
      <c r="G1332" s="96" t="s">
        <v>6</v>
      </c>
      <c r="H1332" s="160" t="str">
        <f>RIGHT(Journal!$J1332,9)</f>
        <v>170919152</v>
      </c>
      <c r="I1332" s="96" t="str">
        <f t="shared" si="106"/>
        <v>PRIMEKRAFT</v>
      </c>
      <c r="J1332" s="97" t="s">
        <v>1054</v>
      </c>
      <c r="K1332" s="29">
        <v>942</v>
      </c>
      <c r="L1332" s="29"/>
      <c r="M1332" s="30">
        <f>IFERROR(VLOOKUP($A1332,HeadJournal!$A$1:$J$890,COLUMN(HeadJournal!I$1),0)*($K1332+$L1332)/(SUMIF($A:$A,$A1332,$K:$K)+SUMIF($A:$A,$A1332,$L:$L)),0)</f>
        <v>0</v>
      </c>
      <c r="N1332" s="30">
        <f>IFERROR((VLOOKUP($A1332,HeadJournal!$A$1:$K$890,COLUMN(HeadJournal!K$1),0)-VLOOKUP($A1332,HeadJournal!$A$1:$K$890,COLUMN(HeadJournal!J$1),0))*($K1332+$L1332)/(SUMIF($A:$A,$A1332,$K:$K)+SUMIF($A:$A,$A1332,$L:$L)),0)</f>
        <v>0</v>
      </c>
      <c r="O1332" s="30">
        <f>IFERROR((VLOOKUP($A1332,HeadJournal!$A$1:$L$890,COLUMN(HeadJournal!L$1),0)*($K1332+$L1332)/(SUMIF($A:$A,$A1332,$K:$K)+SUMIF($A:$A,$A1332,$L:$L)))/VLOOKUP($A1332,HeadJournal!$A$1:$L$890,COLUMN(HeadJournal!H$1),0),0)</f>
        <v>141.30000000000001</v>
      </c>
      <c r="P1332" s="30">
        <f>IFERROR(SUM(K1332:O1332)*VLOOKUP($A1332,HeadJournal!$A$1:$L$890,COLUMN(HeadJournal!H$1),0),0)</f>
        <v>1083.3</v>
      </c>
      <c r="Q1332" s="29">
        <v>1500</v>
      </c>
      <c r="R1332" s="31">
        <v>45034</v>
      </c>
      <c r="S1332" s="31" t="s">
        <v>3121</v>
      </c>
      <c r="T1332" s="95" t="str">
        <f t="shared" si="105"/>
        <v>2023 04</v>
      </c>
      <c r="U1332" s="32">
        <f t="shared" si="102"/>
        <v>416.70000000000005</v>
      </c>
      <c r="V1332" s="22">
        <f t="shared" si="103"/>
        <v>0.38465798947659935</v>
      </c>
      <c r="X1332" s="33"/>
      <c r="Y1332" s="33"/>
    </row>
    <row r="1333" spans="1:25" x14ac:dyDescent="0.2">
      <c r="A1333" s="93" t="s">
        <v>586</v>
      </c>
      <c r="B1333" s="94">
        <f>IFERROR(VLOOKUP($A1333,HeadJournal!$A$1:$NTR$890,COLUMN(HeadJournal!B$1),0),"")</f>
        <v>0</v>
      </c>
      <c r="C1333" s="94" t="str">
        <f>IFERROR(VLOOKUP($A1333,HeadJournal!$A$1:$NTR$890,COLUMN(HeadJournal!C$1),0),"")</f>
        <v>OZON_OA</v>
      </c>
      <c r="D1333" s="125" t="str">
        <f>IFERROR(VLOOKUP($A1333,HeadJournal!$A$1:$NTR$890,COLUMN(HeadJournal!D$1),0),"")</f>
        <v>Доставлен</v>
      </c>
      <c r="E1333" s="95">
        <f>IFERROR(VLOOKUP($A1333,HeadJournal!$A$1:$NTR$890,COLUMN(HeadJournal!G$1),0),"")</f>
        <v>45014</v>
      </c>
      <c r="F1333" s="95" t="str">
        <f t="shared" si="104"/>
        <v>2023 03</v>
      </c>
      <c r="G1333" s="96" t="s">
        <v>6</v>
      </c>
      <c r="H1333" s="160" t="str">
        <f>RIGHT(Journal!$J1333,9)</f>
        <v>361772752</v>
      </c>
      <c r="I1333" s="96" t="str">
        <f t="shared" si="106"/>
        <v>Scitec Nutrition</v>
      </c>
      <c r="J1333" s="97" t="s">
        <v>583</v>
      </c>
      <c r="K1333" s="29">
        <v>2265</v>
      </c>
      <c r="L1333" s="29"/>
      <c r="M1333" s="30">
        <f>IFERROR(VLOOKUP($A1333,HeadJournal!$A$1:$J$890,COLUMN(HeadJournal!I$1),0)*($K1333+$L1333)/(SUMIF($A:$A,$A1333,$K:$K)+SUMIF($A:$A,$A1333,$L:$L)),0)</f>
        <v>0</v>
      </c>
      <c r="N1333" s="30">
        <f>IFERROR((VLOOKUP($A1333,HeadJournal!$A$1:$K$890,COLUMN(HeadJournal!K$1),0)-VLOOKUP($A1333,HeadJournal!$A$1:$K$890,COLUMN(HeadJournal!J$1),0))*($K1333+$L1333)/(SUMIF($A:$A,$A1333,$K:$K)+SUMIF($A:$A,$A1333,$L:$L)),0)</f>
        <v>0</v>
      </c>
      <c r="O1333" s="30">
        <f>IFERROR((VLOOKUP($A1333,HeadJournal!$A$1:$L$890,COLUMN(HeadJournal!L$1),0)*($K1333+$L1333)/(SUMIF($A:$A,$A1333,$K:$K)+SUMIF($A:$A,$A1333,$L:$L)))/VLOOKUP($A1333,HeadJournal!$A$1:$L$890,COLUMN(HeadJournal!H$1),0),0)</f>
        <v>339.75</v>
      </c>
      <c r="P1333" s="30">
        <f>IFERROR(SUM(K1333:O1333)*VLOOKUP($A1333,HeadJournal!$A$1:$L$890,COLUMN(HeadJournal!H$1),0),0)</f>
        <v>2604.75</v>
      </c>
      <c r="Q1333" s="29">
        <v>3600</v>
      </c>
      <c r="R1333" s="31">
        <v>45041</v>
      </c>
      <c r="S1333" s="31" t="s">
        <v>3121</v>
      </c>
      <c r="T1333" s="95" t="str">
        <f t="shared" si="105"/>
        <v>2023 04</v>
      </c>
      <c r="U1333" s="32">
        <f t="shared" si="102"/>
        <v>995.25</v>
      </c>
      <c r="V1333" s="22">
        <f t="shared" si="103"/>
        <v>0.38209041174776848</v>
      </c>
      <c r="X1333" s="33"/>
      <c r="Y1333" s="33"/>
    </row>
    <row r="1334" spans="1:25" x14ac:dyDescent="0.2">
      <c r="A1334" s="93" t="s">
        <v>586</v>
      </c>
      <c r="B1334" s="94">
        <f>IFERROR(VLOOKUP($A1334,HeadJournal!$A$1:$NTR$890,COLUMN(HeadJournal!B$1),0),"")</f>
        <v>0</v>
      </c>
      <c r="C1334" s="94" t="str">
        <f>IFERROR(VLOOKUP($A1334,HeadJournal!$A$1:$NTR$890,COLUMN(HeadJournal!C$1),0),"")</f>
        <v>OZON_OA</v>
      </c>
      <c r="D1334" s="125" t="str">
        <f>IFERROR(VLOOKUP($A1334,HeadJournal!$A$1:$NTR$890,COLUMN(HeadJournal!D$1),0),"")</f>
        <v>Доставлен</v>
      </c>
      <c r="E1334" s="95">
        <f>IFERROR(VLOOKUP($A1334,HeadJournal!$A$1:$NTR$890,COLUMN(HeadJournal!G$1),0),"")</f>
        <v>45014</v>
      </c>
      <c r="F1334" s="95" t="str">
        <f t="shared" si="104"/>
        <v>2023 03</v>
      </c>
      <c r="G1334" s="96" t="s">
        <v>6</v>
      </c>
      <c r="H1334" s="160" t="str">
        <f>RIGHT(Journal!$J1334,9)</f>
        <v>170919122</v>
      </c>
      <c r="I1334" s="96" t="str">
        <f t="shared" si="106"/>
        <v>PRIMEKRAFT</v>
      </c>
      <c r="J1334" s="97" t="s">
        <v>447</v>
      </c>
      <c r="K1334" s="29">
        <v>942</v>
      </c>
      <c r="L1334" s="29"/>
      <c r="M1334" s="30">
        <f>IFERROR(VLOOKUP($A1334,HeadJournal!$A$1:$J$890,COLUMN(HeadJournal!I$1),0)*($K1334+$L1334)/(SUMIF($A:$A,$A1334,$K:$K)+SUMIF($A:$A,$A1334,$L:$L)),0)</f>
        <v>0</v>
      </c>
      <c r="N1334" s="30">
        <f>IFERROR((VLOOKUP($A1334,HeadJournal!$A$1:$K$890,COLUMN(HeadJournal!K$1),0)-VLOOKUP($A1334,HeadJournal!$A$1:$K$890,COLUMN(HeadJournal!J$1),0))*($K1334+$L1334)/(SUMIF($A:$A,$A1334,$K:$K)+SUMIF($A:$A,$A1334,$L:$L)),0)</f>
        <v>0</v>
      </c>
      <c r="O1334" s="30">
        <f>IFERROR((VLOOKUP($A1334,HeadJournal!$A$1:$L$890,COLUMN(HeadJournal!L$1),0)*($K1334+$L1334)/(SUMIF($A:$A,$A1334,$K:$K)+SUMIF($A:$A,$A1334,$L:$L)))/VLOOKUP($A1334,HeadJournal!$A$1:$L$890,COLUMN(HeadJournal!H$1),0),0)</f>
        <v>141.30000000000001</v>
      </c>
      <c r="P1334" s="30">
        <f>IFERROR(SUM(K1334:O1334)*VLOOKUP($A1334,HeadJournal!$A$1:$L$890,COLUMN(HeadJournal!H$1),0),0)</f>
        <v>1083.3</v>
      </c>
      <c r="Q1334" s="29">
        <v>1500</v>
      </c>
      <c r="R1334" s="31">
        <v>45037</v>
      </c>
      <c r="S1334" s="31" t="s">
        <v>3121</v>
      </c>
      <c r="T1334" s="95" t="str">
        <f t="shared" si="105"/>
        <v>2023 04</v>
      </c>
      <c r="U1334" s="32">
        <f t="shared" si="102"/>
        <v>416.70000000000005</v>
      </c>
      <c r="V1334" s="22">
        <f t="shared" si="103"/>
        <v>0.38465798947659935</v>
      </c>
      <c r="X1334" s="33"/>
      <c r="Y1334" s="33"/>
    </row>
    <row r="1335" spans="1:25" x14ac:dyDescent="0.2">
      <c r="A1335" s="93" t="s">
        <v>589</v>
      </c>
      <c r="B1335" s="94">
        <f>IFERROR(VLOOKUP($A1335,HeadJournal!$A$1:$NTR$890,COLUMN(HeadJournal!B$1),0),"")</f>
        <v>0</v>
      </c>
      <c r="C1335" s="94" t="str">
        <f>IFERROR(VLOOKUP($A1335,HeadJournal!$A$1:$NTR$890,COLUMN(HeadJournal!C$1),0),"")</f>
        <v>WBRS</v>
      </c>
      <c r="D1335" s="125" t="str">
        <f>IFERROR(VLOOKUP($A1335,HeadJournal!$A$1:$NTR$890,COLUMN(HeadJournal!D$1),0),"")</f>
        <v>Доставлен</v>
      </c>
      <c r="E1335" s="95">
        <f>IFERROR(VLOOKUP($A1335,HeadJournal!$A$1:$NTR$890,COLUMN(HeadJournal!G$1),0),"")</f>
        <v>45008</v>
      </c>
      <c r="F1335" s="95" t="str">
        <f t="shared" si="104"/>
        <v>2023 03</v>
      </c>
      <c r="G1335" s="96" t="s">
        <v>7</v>
      </c>
      <c r="H1335" s="160" t="str">
        <f>RIGHT(Journal!$J1335,9)</f>
        <v>135353079</v>
      </c>
      <c r="I1335" s="96" t="str">
        <f t="shared" si="106"/>
        <v>La Agera</v>
      </c>
      <c r="J1335" s="97" t="s">
        <v>346</v>
      </c>
      <c r="K1335" s="29">
        <v>193</v>
      </c>
      <c r="L1335" s="29"/>
      <c r="M1335" s="30">
        <f>IFERROR(VLOOKUP($A1335,HeadJournal!$A$1:$J$890,COLUMN(HeadJournal!I$1),0)*($K1335+$L1335)/(SUMIF($A:$A,$A1335,$K:$K)+SUMIF($A:$A,$A1335,$L:$L)),0)</f>
        <v>0</v>
      </c>
      <c r="N1335" s="30">
        <f>IFERROR((VLOOKUP($A1335,HeadJournal!$A$1:$K$890,COLUMN(HeadJournal!K$1),0)-VLOOKUP($A1335,HeadJournal!$A$1:$K$890,COLUMN(HeadJournal!J$1),0))*($K1335+$L1335)/(SUMIF($A:$A,$A1335,$K:$K)+SUMIF($A:$A,$A1335,$L:$L)),0)</f>
        <v>0</v>
      </c>
      <c r="O1335" s="30">
        <f>IFERROR((VLOOKUP($A1335,HeadJournal!$A$1:$L$890,COLUMN(HeadJournal!L$1),0)*($K1335+$L1335)/(SUMIF($A:$A,$A1335,$K:$K)+SUMIF($A:$A,$A1335,$L:$L)))/VLOOKUP($A1335,HeadJournal!$A$1:$L$890,COLUMN(HeadJournal!H$1),0),0)</f>
        <v>28.949999999999996</v>
      </c>
      <c r="P1335" s="30">
        <f>IFERROR(SUM(K1335:O1335)*VLOOKUP($A1335,HeadJournal!$A$1:$L$890,COLUMN(HeadJournal!H$1),0),0)</f>
        <v>221.95</v>
      </c>
      <c r="Q1335" s="29">
        <v>500</v>
      </c>
      <c r="R1335" s="31">
        <v>45344</v>
      </c>
      <c r="S1335" s="31" t="s">
        <v>3121</v>
      </c>
      <c r="T1335" s="95" t="str">
        <f t="shared" si="105"/>
        <v>2024 02</v>
      </c>
      <c r="U1335" s="32">
        <f t="shared" si="102"/>
        <v>278.05</v>
      </c>
      <c r="V1335" s="22">
        <f t="shared" si="103"/>
        <v>1.2527596305474207</v>
      </c>
      <c r="X1335" s="33"/>
      <c r="Y1335" s="33"/>
    </row>
    <row r="1336" spans="1:25" x14ac:dyDescent="0.2">
      <c r="A1336" s="93" t="s">
        <v>589</v>
      </c>
      <c r="B1336" s="94">
        <f>IFERROR(VLOOKUP($A1336,HeadJournal!$A$1:$NTR$890,COLUMN(HeadJournal!B$1),0),"")</f>
        <v>0</v>
      </c>
      <c r="C1336" s="94" t="str">
        <f>IFERROR(VLOOKUP($A1336,HeadJournal!$A$1:$NTR$890,COLUMN(HeadJournal!C$1),0),"")</f>
        <v>WBRS</v>
      </c>
      <c r="D1336" s="125" t="str">
        <f>IFERROR(VLOOKUP($A1336,HeadJournal!$A$1:$NTR$890,COLUMN(HeadJournal!D$1),0),"")</f>
        <v>Доставлен</v>
      </c>
      <c r="E1336" s="95">
        <f>IFERROR(VLOOKUP($A1336,HeadJournal!$A$1:$NTR$890,COLUMN(HeadJournal!G$1),0),"")</f>
        <v>45008</v>
      </c>
      <c r="F1336" s="95" t="str">
        <f t="shared" si="104"/>
        <v>2023 03</v>
      </c>
      <c r="G1336" s="96" t="s">
        <v>7</v>
      </c>
      <c r="H1336" s="160" t="str">
        <f>RIGHT(Journal!$J1336,9)</f>
        <v>135353079</v>
      </c>
      <c r="I1336" s="96" t="str">
        <f t="shared" si="106"/>
        <v>La Agera</v>
      </c>
      <c r="J1336" s="97" t="s">
        <v>346</v>
      </c>
      <c r="K1336" s="29">
        <v>193</v>
      </c>
      <c r="L1336" s="29"/>
      <c r="M1336" s="30">
        <f>IFERROR(VLOOKUP($A1336,HeadJournal!$A$1:$J$890,COLUMN(HeadJournal!I$1),0)*($K1336+$L1336)/(SUMIF($A:$A,$A1336,$K:$K)+SUMIF($A:$A,$A1336,$L:$L)),0)</f>
        <v>0</v>
      </c>
      <c r="N1336" s="30">
        <f>IFERROR((VLOOKUP($A1336,HeadJournal!$A$1:$K$890,COLUMN(HeadJournal!K$1),0)-VLOOKUP($A1336,HeadJournal!$A$1:$K$890,COLUMN(HeadJournal!J$1),0))*($K1336+$L1336)/(SUMIF($A:$A,$A1336,$K:$K)+SUMIF($A:$A,$A1336,$L:$L)),0)</f>
        <v>0</v>
      </c>
      <c r="O1336" s="30">
        <f>IFERROR((VLOOKUP($A1336,HeadJournal!$A$1:$L$890,COLUMN(HeadJournal!L$1),0)*($K1336+$L1336)/(SUMIF($A:$A,$A1336,$K:$K)+SUMIF($A:$A,$A1336,$L:$L)))/VLOOKUP($A1336,HeadJournal!$A$1:$L$890,COLUMN(HeadJournal!H$1),0),0)</f>
        <v>28.949999999999996</v>
      </c>
      <c r="P1336" s="30">
        <f>IFERROR(SUM(K1336:O1336)*VLOOKUP($A1336,HeadJournal!$A$1:$L$890,COLUMN(HeadJournal!H$1),0),0)</f>
        <v>221.95</v>
      </c>
      <c r="Q1336" s="29"/>
      <c r="R1336" s="31"/>
      <c r="S1336" s="31"/>
      <c r="T1336" s="95" t="str">
        <f t="shared" si="105"/>
        <v/>
      </c>
      <c r="U1336" s="32">
        <f t="shared" si="102"/>
        <v>-221.95</v>
      </c>
      <c r="V1336" s="22" t="str">
        <f t="shared" si="103"/>
        <v/>
      </c>
      <c r="X1336" s="33"/>
      <c r="Y1336" s="33"/>
    </row>
    <row r="1337" spans="1:25" x14ac:dyDescent="0.2">
      <c r="A1337" s="93" t="s">
        <v>590</v>
      </c>
      <c r="B1337" s="94">
        <f>IFERROR(VLOOKUP($A1337,HeadJournal!$A$1:$NTR$890,COLUMN(HeadJournal!B$1),0),"")</f>
        <v>0</v>
      </c>
      <c r="C1337" s="94" t="str">
        <f>IFERROR(VLOOKUP($A1337,HeadJournal!$A$1:$NTR$890,COLUMN(HeadJournal!C$1),0),"")</f>
        <v>WBRS</v>
      </c>
      <c r="D1337" s="125" t="str">
        <f>IFERROR(VLOOKUP($A1337,HeadJournal!$A$1:$NTR$890,COLUMN(HeadJournal!D$1),0),"")</f>
        <v>Доставлен</v>
      </c>
      <c r="E1337" s="95">
        <f>IFERROR(VLOOKUP($A1337,HeadJournal!$A$1:$NTR$890,COLUMN(HeadJournal!G$1),0),"")</f>
        <v>45008</v>
      </c>
      <c r="F1337" s="95" t="str">
        <f t="shared" si="104"/>
        <v>2023 03</v>
      </c>
      <c r="G1337" s="96" t="s">
        <v>7</v>
      </c>
      <c r="H1337" s="160" t="str">
        <f>RIGHT(Journal!$J1337,9)</f>
        <v xml:space="preserve"> 66606944</v>
      </c>
      <c r="I1337" s="96" t="str">
        <f t="shared" si="106"/>
        <v>Dory_Room</v>
      </c>
      <c r="J1337" s="97" t="s">
        <v>591</v>
      </c>
      <c r="K1337" s="29">
        <v>229</v>
      </c>
      <c r="L1337" s="29"/>
      <c r="M1337" s="30">
        <f>IFERROR(VLOOKUP($A1337,HeadJournal!$A$1:$J$890,COLUMN(HeadJournal!I$1),0)*($K1337+$L1337)/(SUMIF($A:$A,$A1337,$K:$K)+SUMIF($A:$A,$A1337,$L:$L)),0)</f>
        <v>0</v>
      </c>
      <c r="N1337" s="30">
        <f>IFERROR((VLOOKUP($A1337,HeadJournal!$A$1:$K$890,COLUMN(HeadJournal!K$1),0)-VLOOKUP($A1337,HeadJournal!$A$1:$K$890,COLUMN(HeadJournal!J$1),0))*($K1337+$L1337)/(SUMIF($A:$A,$A1337,$K:$K)+SUMIF($A:$A,$A1337,$L:$L)),0)</f>
        <v>0</v>
      </c>
      <c r="O1337" s="30">
        <f>IFERROR((VLOOKUP($A1337,HeadJournal!$A$1:$L$890,COLUMN(HeadJournal!L$1),0)*($K1337+$L1337)/(SUMIF($A:$A,$A1337,$K:$K)+SUMIF($A:$A,$A1337,$L:$L)))/VLOOKUP($A1337,HeadJournal!$A$1:$L$890,COLUMN(HeadJournal!H$1),0),0)</f>
        <v>34.35</v>
      </c>
      <c r="P1337" s="30">
        <f>IFERROR(SUM(K1337:O1337)*VLOOKUP($A1337,HeadJournal!$A$1:$L$890,COLUMN(HeadJournal!H$1),0),0)</f>
        <v>263.35000000000002</v>
      </c>
      <c r="Q1337" s="29">
        <v>400</v>
      </c>
      <c r="R1337" s="31">
        <v>45288</v>
      </c>
      <c r="S1337" s="31" t="s">
        <v>3121</v>
      </c>
      <c r="T1337" s="95" t="str">
        <f t="shared" si="105"/>
        <v>2023 12</v>
      </c>
      <c r="U1337" s="32">
        <f t="shared" si="102"/>
        <v>136.64999999999998</v>
      </c>
      <c r="V1337" s="22">
        <f t="shared" si="103"/>
        <v>0.51889120941712541</v>
      </c>
      <c r="X1337" s="33"/>
      <c r="Y1337" s="33"/>
    </row>
    <row r="1338" spans="1:25" x14ac:dyDescent="0.2">
      <c r="A1338" s="93" t="s">
        <v>590</v>
      </c>
      <c r="B1338" s="94">
        <f>IFERROR(VLOOKUP($A1338,HeadJournal!$A$1:$NTR$890,COLUMN(HeadJournal!B$1),0),"")</f>
        <v>0</v>
      </c>
      <c r="C1338" s="94" t="str">
        <f>IFERROR(VLOOKUP($A1338,HeadJournal!$A$1:$NTR$890,COLUMN(HeadJournal!C$1),0),"")</f>
        <v>WBRS</v>
      </c>
      <c r="D1338" s="125" t="str">
        <f>IFERROR(VLOOKUP($A1338,HeadJournal!$A$1:$NTR$890,COLUMN(HeadJournal!D$1),0),"")</f>
        <v>Доставлен</v>
      </c>
      <c r="E1338" s="95">
        <f>IFERROR(VLOOKUP($A1338,HeadJournal!$A$1:$NTR$890,COLUMN(HeadJournal!G$1),0),"")</f>
        <v>45008</v>
      </c>
      <c r="F1338" s="95" t="str">
        <f t="shared" si="104"/>
        <v>2023 03</v>
      </c>
      <c r="G1338" s="96" t="s">
        <v>7</v>
      </c>
      <c r="H1338" s="160" t="str">
        <f>RIGHT(Journal!$J1338,9)</f>
        <v xml:space="preserve"> 66606944</v>
      </c>
      <c r="I1338" s="96" t="str">
        <f t="shared" si="106"/>
        <v>Dory_Room</v>
      </c>
      <c r="J1338" s="97" t="s">
        <v>591</v>
      </c>
      <c r="K1338" s="29">
        <v>229</v>
      </c>
      <c r="L1338" s="29"/>
      <c r="M1338" s="30">
        <f>IFERROR(VLOOKUP($A1338,HeadJournal!$A$1:$J$890,COLUMN(HeadJournal!I$1),0)*($K1338+$L1338)/(SUMIF($A:$A,$A1338,$K:$K)+SUMIF($A:$A,$A1338,$L:$L)),0)</f>
        <v>0</v>
      </c>
      <c r="N1338" s="30">
        <f>IFERROR((VLOOKUP($A1338,HeadJournal!$A$1:$K$890,COLUMN(HeadJournal!K$1),0)-VLOOKUP($A1338,HeadJournal!$A$1:$K$890,COLUMN(HeadJournal!J$1),0))*($K1338+$L1338)/(SUMIF($A:$A,$A1338,$K:$K)+SUMIF($A:$A,$A1338,$L:$L)),0)</f>
        <v>0</v>
      </c>
      <c r="O1338" s="30">
        <f>IFERROR((VLOOKUP($A1338,HeadJournal!$A$1:$L$890,COLUMN(HeadJournal!L$1),0)*($K1338+$L1338)/(SUMIF($A:$A,$A1338,$K:$K)+SUMIF($A:$A,$A1338,$L:$L)))/VLOOKUP($A1338,HeadJournal!$A$1:$L$890,COLUMN(HeadJournal!H$1),0),0)</f>
        <v>34.35</v>
      </c>
      <c r="P1338" s="30">
        <f>IFERROR(SUM(K1338:O1338)*VLOOKUP($A1338,HeadJournal!$A$1:$L$890,COLUMN(HeadJournal!H$1),0),0)</f>
        <v>263.35000000000002</v>
      </c>
      <c r="Q1338" s="29"/>
      <c r="R1338" s="31"/>
      <c r="S1338" s="31"/>
      <c r="T1338" s="95" t="str">
        <f t="shared" si="105"/>
        <v/>
      </c>
      <c r="U1338" s="32">
        <f t="shared" si="102"/>
        <v>-263.35000000000002</v>
      </c>
      <c r="V1338" s="22" t="str">
        <f t="shared" si="103"/>
        <v/>
      </c>
      <c r="X1338" s="33"/>
      <c r="Y1338" s="33"/>
    </row>
    <row r="1339" spans="1:25" x14ac:dyDescent="0.2">
      <c r="A1339" s="93" t="s">
        <v>592</v>
      </c>
      <c r="B1339" s="94">
        <f>IFERROR(VLOOKUP($A1339,HeadJournal!$A$1:$NTR$890,COLUMN(HeadJournal!B$1),0),"")</f>
        <v>0</v>
      </c>
      <c r="C1339" s="94" t="str">
        <f>IFERROR(VLOOKUP($A1339,HeadJournal!$A$1:$NTR$890,COLUMN(HeadJournal!C$1),0),"")</f>
        <v>WBRS</v>
      </c>
      <c r="D1339" s="125" t="str">
        <f>IFERROR(VLOOKUP($A1339,HeadJournal!$A$1:$NTR$890,COLUMN(HeadJournal!D$1),0),"")</f>
        <v>Доставлен</v>
      </c>
      <c r="E1339" s="95">
        <f>IFERROR(VLOOKUP($A1339,HeadJournal!$A$1:$NTR$890,COLUMN(HeadJournal!G$1),0),"")</f>
        <v>45008</v>
      </c>
      <c r="F1339" s="95" t="str">
        <f t="shared" si="104"/>
        <v>2023 03</v>
      </c>
      <c r="G1339" s="96" t="s">
        <v>7</v>
      </c>
      <c r="H1339" s="160" t="str">
        <f>RIGHT(Journal!$J1339,9)</f>
        <v>139994841</v>
      </c>
      <c r="I1339" s="96" t="str">
        <f t="shared" si="106"/>
        <v>Farm Stay</v>
      </c>
      <c r="J1339" s="97" t="s">
        <v>349</v>
      </c>
      <c r="K1339" s="29">
        <v>294</v>
      </c>
      <c r="L1339" s="29"/>
      <c r="M1339" s="30">
        <f>IFERROR(VLOOKUP($A1339,HeadJournal!$A$1:$J$890,COLUMN(HeadJournal!I$1),0)*($K1339+$L1339)/(SUMIF($A:$A,$A1339,$K:$K)+SUMIF($A:$A,$A1339,$L:$L)),0)</f>
        <v>0</v>
      </c>
      <c r="N1339" s="30">
        <f>IFERROR((VLOOKUP($A1339,HeadJournal!$A$1:$K$890,COLUMN(HeadJournal!K$1),0)-VLOOKUP($A1339,HeadJournal!$A$1:$K$890,COLUMN(HeadJournal!J$1),0))*($K1339+$L1339)/(SUMIF($A:$A,$A1339,$K:$K)+SUMIF($A:$A,$A1339,$L:$L)),0)</f>
        <v>0</v>
      </c>
      <c r="O1339" s="30">
        <f>IFERROR((VLOOKUP($A1339,HeadJournal!$A$1:$L$890,COLUMN(HeadJournal!L$1),0)*($K1339+$L1339)/(SUMIF($A:$A,$A1339,$K:$K)+SUMIF($A:$A,$A1339,$L:$L)))/VLOOKUP($A1339,HeadJournal!$A$1:$L$890,COLUMN(HeadJournal!H$1),0),0)</f>
        <v>44.1</v>
      </c>
      <c r="P1339" s="30">
        <f>IFERROR(SUM(K1339:O1339)*VLOOKUP($A1339,HeadJournal!$A$1:$L$890,COLUMN(HeadJournal!H$1),0),0)</f>
        <v>338.1</v>
      </c>
      <c r="Q1339" s="29">
        <v>700</v>
      </c>
      <c r="R1339" s="31">
        <v>45346</v>
      </c>
      <c r="S1339" s="31" t="s">
        <v>3121</v>
      </c>
      <c r="T1339" s="95" t="str">
        <f t="shared" si="105"/>
        <v>2024 02</v>
      </c>
      <c r="U1339" s="32">
        <f t="shared" si="102"/>
        <v>361.9</v>
      </c>
      <c r="V1339" s="22">
        <f t="shared" si="103"/>
        <v>1.0703933747412007</v>
      </c>
      <c r="X1339" s="33"/>
      <c r="Y1339" s="33"/>
    </row>
    <row r="1340" spans="1:25" x14ac:dyDescent="0.2">
      <c r="A1340" s="93" t="s">
        <v>592</v>
      </c>
      <c r="B1340" s="94">
        <f>IFERROR(VLOOKUP($A1340,HeadJournal!$A$1:$NTR$890,COLUMN(HeadJournal!B$1),0),"")</f>
        <v>0</v>
      </c>
      <c r="C1340" s="94" t="str">
        <f>IFERROR(VLOOKUP($A1340,HeadJournal!$A$1:$NTR$890,COLUMN(HeadJournal!C$1),0),"")</f>
        <v>WBRS</v>
      </c>
      <c r="D1340" s="125" t="str">
        <f>IFERROR(VLOOKUP($A1340,HeadJournal!$A$1:$NTR$890,COLUMN(HeadJournal!D$1),0),"")</f>
        <v>Доставлен</v>
      </c>
      <c r="E1340" s="95">
        <f>IFERROR(VLOOKUP($A1340,HeadJournal!$A$1:$NTR$890,COLUMN(HeadJournal!G$1),0),"")</f>
        <v>45008</v>
      </c>
      <c r="F1340" s="95" t="str">
        <f t="shared" si="104"/>
        <v>2023 03</v>
      </c>
      <c r="G1340" s="96" t="s">
        <v>7</v>
      </c>
      <c r="H1340" s="160" t="str">
        <f>RIGHT(Journal!$J1340,9)</f>
        <v>139994841</v>
      </c>
      <c r="I1340" s="96" t="str">
        <f t="shared" si="106"/>
        <v>Farm Stay</v>
      </c>
      <c r="J1340" s="97" t="s">
        <v>349</v>
      </c>
      <c r="K1340" s="29">
        <v>294</v>
      </c>
      <c r="L1340" s="29"/>
      <c r="M1340" s="30">
        <f>IFERROR(VLOOKUP($A1340,HeadJournal!$A$1:$J$890,COLUMN(HeadJournal!I$1),0)*($K1340+$L1340)/(SUMIF($A:$A,$A1340,$K:$K)+SUMIF($A:$A,$A1340,$L:$L)),0)</f>
        <v>0</v>
      </c>
      <c r="N1340" s="30">
        <f>IFERROR((VLOOKUP($A1340,HeadJournal!$A$1:$K$890,COLUMN(HeadJournal!K$1),0)-VLOOKUP($A1340,HeadJournal!$A$1:$K$890,COLUMN(HeadJournal!J$1),0))*($K1340+$L1340)/(SUMIF($A:$A,$A1340,$K:$K)+SUMIF($A:$A,$A1340,$L:$L)),0)</f>
        <v>0</v>
      </c>
      <c r="O1340" s="30">
        <f>IFERROR((VLOOKUP($A1340,HeadJournal!$A$1:$L$890,COLUMN(HeadJournal!L$1),0)*($K1340+$L1340)/(SUMIF($A:$A,$A1340,$K:$K)+SUMIF($A:$A,$A1340,$L:$L)))/VLOOKUP($A1340,HeadJournal!$A$1:$L$890,COLUMN(HeadJournal!H$1),0),0)</f>
        <v>44.1</v>
      </c>
      <c r="P1340" s="30">
        <f>IFERROR(SUM(K1340:O1340)*VLOOKUP($A1340,HeadJournal!$A$1:$L$890,COLUMN(HeadJournal!H$1),0),0)</f>
        <v>338.1</v>
      </c>
      <c r="Q1340" s="29">
        <v>500</v>
      </c>
      <c r="R1340" s="31">
        <v>45952</v>
      </c>
      <c r="S1340" s="31" t="s">
        <v>4641</v>
      </c>
      <c r="T1340" s="95" t="str">
        <f t="shared" si="105"/>
        <v>2025 10</v>
      </c>
      <c r="U1340" s="32">
        <f t="shared" si="102"/>
        <v>161.89999999999998</v>
      </c>
      <c r="V1340" s="22">
        <f t="shared" si="103"/>
        <v>0.47885241052942906</v>
      </c>
      <c r="X1340" s="33"/>
      <c r="Y1340" s="33"/>
    </row>
    <row r="1341" spans="1:25" x14ac:dyDescent="0.2">
      <c r="A1341" s="93" t="s">
        <v>593</v>
      </c>
      <c r="B1341" s="94">
        <f>IFERROR(VLOOKUP($A1341,HeadJournal!$A$1:$NTR$890,COLUMN(HeadJournal!B$1),0),"")</f>
        <v>0</v>
      </c>
      <c r="C1341" s="94" t="str">
        <f>IFERROR(VLOOKUP($A1341,HeadJournal!$A$1:$NTR$890,COLUMN(HeadJournal!C$1),0),"")</f>
        <v>WBRS</v>
      </c>
      <c r="D1341" s="125" t="str">
        <f>IFERROR(VLOOKUP($A1341,HeadJournal!$A$1:$NTR$890,COLUMN(HeadJournal!D$1),0),"")</f>
        <v>Доставлен</v>
      </c>
      <c r="E1341" s="95">
        <f>IFERROR(VLOOKUP($A1341,HeadJournal!$A$1:$NTR$890,COLUMN(HeadJournal!G$1),0),"")</f>
        <v>45008</v>
      </c>
      <c r="F1341" s="95" t="str">
        <f t="shared" si="104"/>
        <v>2023 03</v>
      </c>
      <c r="G1341" s="96" t="s">
        <v>7</v>
      </c>
      <c r="H1341" s="160" t="str">
        <f>RIGHT(Journal!$J1341,9)</f>
        <v>151780792</v>
      </c>
      <c r="I1341" s="96" t="str">
        <f t="shared" si="106"/>
        <v>Farm Stay</v>
      </c>
      <c r="J1341" s="97" t="s">
        <v>594</v>
      </c>
      <c r="K1341" s="29">
        <v>284</v>
      </c>
      <c r="L1341" s="29"/>
      <c r="M1341" s="30">
        <f>IFERROR(VLOOKUP($A1341,HeadJournal!$A$1:$J$890,COLUMN(HeadJournal!I$1),0)*($K1341+$L1341)/(SUMIF($A:$A,$A1341,$K:$K)+SUMIF($A:$A,$A1341,$L:$L)),0)</f>
        <v>0</v>
      </c>
      <c r="N1341" s="30">
        <f>IFERROR((VLOOKUP($A1341,HeadJournal!$A$1:$K$890,COLUMN(HeadJournal!K$1),0)-VLOOKUP($A1341,HeadJournal!$A$1:$K$890,COLUMN(HeadJournal!J$1),0))*($K1341+$L1341)/(SUMIF($A:$A,$A1341,$K:$K)+SUMIF($A:$A,$A1341,$L:$L)),0)</f>
        <v>0</v>
      </c>
      <c r="O1341" s="30">
        <f>IFERROR((VLOOKUP($A1341,HeadJournal!$A$1:$L$890,COLUMN(HeadJournal!L$1),0)*($K1341+$L1341)/(SUMIF($A:$A,$A1341,$K:$K)+SUMIF($A:$A,$A1341,$L:$L)))/VLOOKUP($A1341,HeadJournal!$A$1:$L$890,COLUMN(HeadJournal!H$1),0),0)</f>
        <v>42.599999999999994</v>
      </c>
      <c r="P1341" s="30">
        <f>IFERROR(SUM(K1341:O1341)*VLOOKUP($A1341,HeadJournal!$A$1:$L$890,COLUMN(HeadJournal!H$1),0),0)</f>
        <v>326.60000000000002</v>
      </c>
      <c r="Q1341" s="29">
        <v>1100</v>
      </c>
      <c r="R1341" s="31">
        <v>45018</v>
      </c>
      <c r="S1341" s="31" t="s">
        <v>3121</v>
      </c>
      <c r="T1341" s="95" t="str">
        <f t="shared" si="105"/>
        <v>2023 04</v>
      </c>
      <c r="U1341" s="32">
        <f t="shared" si="102"/>
        <v>773.4</v>
      </c>
      <c r="V1341" s="22">
        <f t="shared" si="103"/>
        <v>2.3680342927127982</v>
      </c>
      <c r="X1341" s="33"/>
      <c r="Y1341" s="33"/>
    </row>
    <row r="1342" spans="1:25" x14ac:dyDescent="0.2">
      <c r="A1342" s="93" t="s">
        <v>593</v>
      </c>
      <c r="B1342" s="94">
        <f>IFERROR(VLOOKUP($A1342,HeadJournal!$A$1:$NTR$890,COLUMN(HeadJournal!B$1),0),"")</f>
        <v>0</v>
      </c>
      <c r="C1342" s="94" t="str">
        <f>IFERROR(VLOOKUP($A1342,HeadJournal!$A$1:$NTR$890,COLUMN(HeadJournal!C$1),0),"")</f>
        <v>WBRS</v>
      </c>
      <c r="D1342" s="125" t="str">
        <f>IFERROR(VLOOKUP($A1342,HeadJournal!$A$1:$NTR$890,COLUMN(HeadJournal!D$1),0),"")</f>
        <v>Доставлен</v>
      </c>
      <c r="E1342" s="95">
        <f>IFERROR(VLOOKUP($A1342,HeadJournal!$A$1:$NTR$890,COLUMN(HeadJournal!G$1),0),"")</f>
        <v>45008</v>
      </c>
      <c r="F1342" s="95" t="str">
        <f t="shared" si="104"/>
        <v>2023 03</v>
      </c>
      <c r="G1342" s="96" t="s">
        <v>7</v>
      </c>
      <c r="H1342" s="160" t="str">
        <f>RIGHT(Journal!$J1342,9)</f>
        <v>151780792</v>
      </c>
      <c r="I1342" s="96" t="str">
        <f t="shared" si="106"/>
        <v>Farm Stay</v>
      </c>
      <c r="J1342" s="97" t="s">
        <v>594</v>
      </c>
      <c r="K1342" s="29">
        <v>284</v>
      </c>
      <c r="L1342" s="29"/>
      <c r="M1342" s="30">
        <f>IFERROR(VLOOKUP($A1342,HeadJournal!$A$1:$J$890,COLUMN(HeadJournal!I$1),0)*($K1342+$L1342)/(SUMIF($A:$A,$A1342,$K:$K)+SUMIF($A:$A,$A1342,$L:$L)),0)</f>
        <v>0</v>
      </c>
      <c r="N1342" s="30">
        <f>IFERROR((VLOOKUP($A1342,HeadJournal!$A$1:$K$890,COLUMN(HeadJournal!K$1),0)-VLOOKUP($A1342,HeadJournal!$A$1:$K$890,COLUMN(HeadJournal!J$1),0))*($K1342+$L1342)/(SUMIF($A:$A,$A1342,$K:$K)+SUMIF($A:$A,$A1342,$L:$L)),0)</f>
        <v>0</v>
      </c>
      <c r="O1342" s="30">
        <f>IFERROR((VLOOKUP($A1342,HeadJournal!$A$1:$L$890,COLUMN(HeadJournal!L$1),0)*($K1342+$L1342)/(SUMIF($A:$A,$A1342,$K:$K)+SUMIF($A:$A,$A1342,$L:$L)))/VLOOKUP($A1342,HeadJournal!$A$1:$L$890,COLUMN(HeadJournal!H$1),0),0)</f>
        <v>42.599999999999994</v>
      </c>
      <c r="P1342" s="30">
        <f>IFERROR(SUM(K1342:O1342)*VLOOKUP($A1342,HeadJournal!$A$1:$L$890,COLUMN(HeadJournal!H$1),0),0)</f>
        <v>326.60000000000002</v>
      </c>
      <c r="Q1342" s="29">
        <v>1050</v>
      </c>
      <c r="R1342" s="31">
        <v>45423</v>
      </c>
      <c r="S1342" s="31" t="s">
        <v>3121</v>
      </c>
      <c r="T1342" s="95" t="str">
        <f t="shared" si="105"/>
        <v>2024 05</v>
      </c>
      <c r="U1342" s="32">
        <f t="shared" si="102"/>
        <v>723.4</v>
      </c>
      <c r="V1342" s="22">
        <f t="shared" si="103"/>
        <v>2.2149418248622164</v>
      </c>
      <c r="X1342" s="33"/>
      <c r="Y1342" s="33"/>
    </row>
    <row r="1343" spans="1:25" x14ac:dyDescent="0.2">
      <c r="A1343" s="93" t="s">
        <v>593</v>
      </c>
      <c r="B1343" s="94">
        <f>IFERROR(VLOOKUP($A1343,HeadJournal!$A$1:$NTR$890,COLUMN(HeadJournal!B$1),0),"")</f>
        <v>0</v>
      </c>
      <c r="C1343" s="94" t="str">
        <f>IFERROR(VLOOKUP($A1343,HeadJournal!$A$1:$NTR$890,COLUMN(HeadJournal!C$1),0),"")</f>
        <v>WBRS</v>
      </c>
      <c r="D1343" s="125" t="str">
        <f>IFERROR(VLOOKUP($A1343,HeadJournal!$A$1:$NTR$890,COLUMN(HeadJournal!D$1),0),"")</f>
        <v>Доставлен</v>
      </c>
      <c r="E1343" s="95">
        <f>IFERROR(VLOOKUP($A1343,HeadJournal!$A$1:$NTR$890,COLUMN(HeadJournal!G$1),0),"")</f>
        <v>45008</v>
      </c>
      <c r="F1343" s="95" t="str">
        <f t="shared" si="104"/>
        <v>2023 03</v>
      </c>
      <c r="G1343" s="96" t="s">
        <v>7</v>
      </c>
      <c r="H1343" s="160" t="str">
        <f>RIGHT(Journal!$J1343,9)</f>
        <v>151780792</v>
      </c>
      <c r="I1343" s="96" t="str">
        <f t="shared" si="106"/>
        <v>Farm Stay</v>
      </c>
      <c r="J1343" s="97" t="s">
        <v>594</v>
      </c>
      <c r="K1343" s="29">
        <v>284</v>
      </c>
      <c r="L1343" s="29"/>
      <c r="M1343" s="30">
        <f>IFERROR(VLOOKUP($A1343,HeadJournal!$A$1:$J$890,COLUMN(HeadJournal!I$1),0)*($K1343+$L1343)/(SUMIF($A:$A,$A1343,$K:$K)+SUMIF($A:$A,$A1343,$L:$L)),0)</f>
        <v>0</v>
      </c>
      <c r="N1343" s="30">
        <f>IFERROR((VLOOKUP($A1343,HeadJournal!$A$1:$K$890,COLUMN(HeadJournal!K$1),0)-VLOOKUP($A1343,HeadJournal!$A$1:$K$890,COLUMN(HeadJournal!J$1),0))*($K1343+$L1343)/(SUMIF($A:$A,$A1343,$K:$K)+SUMIF($A:$A,$A1343,$L:$L)),0)</f>
        <v>0</v>
      </c>
      <c r="O1343" s="30">
        <f>IFERROR((VLOOKUP($A1343,HeadJournal!$A$1:$L$890,COLUMN(HeadJournal!L$1),0)*($K1343+$L1343)/(SUMIF($A:$A,$A1343,$K:$K)+SUMIF($A:$A,$A1343,$L:$L)))/VLOOKUP($A1343,HeadJournal!$A$1:$L$890,COLUMN(HeadJournal!H$1),0),0)</f>
        <v>42.599999999999994</v>
      </c>
      <c r="P1343" s="30">
        <f>IFERROR(SUM(K1343:O1343)*VLOOKUP($A1343,HeadJournal!$A$1:$L$890,COLUMN(HeadJournal!H$1),0),0)</f>
        <v>326.60000000000002</v>
      </c>
      <c r="Q1343" s="29">
        <v>1100</v>
      </c>
      <c r="R1343" s="31">
        <v>45644</v>
      </c>
      <c r="S1343" s="31" t="s">
        <v>3121</v>
      </c>
      <c r="T1343" s="95" t="str">
        <f t="shared" si="105"/>
        <v>2024 12</v>
      </c>
      <c r="U1343" s="32">
        <f t="shared" si="102"/>
        <v>773.4</v>
      </c>
      <c r="V1343" s="22">
        <f t="shared" si="103"/>
        <v>2.3680342927127982</v>
      </c>
      <c r="X1343" s="33"/>
      <c r="Y1343" s="33"/>
    </row>
    <row r="1344" spans="1:25" x14ac:dyDescent="0.2">
      <c r="A1344" s="93" t="s">
        <v>595</v>
      </c>
      <c r="B1344" s="94">
        <f>IFERROR(VLOOKUP($A1344,HeadJournal!$A$1:$NTR$890,COLUMN(HeadJournal!B$1),0),"")</f>
        <v>0</v>
      </c>
      <c r="C1344" s="94" t="str">
        <f>IFERROR(VLOOKUP($A1344,HeadJournal!$A$1:$NTR$890,COLUMN(HeadJournal!C$1),0),"")</f>
        <v>WBRS</v>
      </c>
      <c r="D1344" s="125" t="str">
        <f>IFERROR(VLOOKUP($A1344,HeadJournal!$A$1:$NTR$890,COLUMN(HeadJournal!D$1),0),"")</f>
        <v>Доставлен</v>
      </c>
      <c r="E1344" s="95">
        <f>IFERROR(VLOOKUP($A1344,HeadJournal!$A$1:$NTR$890,COLUMN(HeadJournal!G$1),0),"")</f>
        <v>45008</v>
      </c>
      <c r="F1344" s="95" t="str">
        <f t="shared" si="104"/>
        <v>2023 03</v>
      </c>
      <c r="G1344" s="96" t="s">
        <v>7</v>
      </c>
      <c r="H1344" s="160" t="str">
        <f>RIGHT(Journal!$J1344,9)</f>
        <v>120239758</v>
      </c>
      <c r="I1344" s="96" t="str">
        <f t="shared" si="106"/>
        <v>KIRKLAND</v>
      </c>
      <c r="J1344" s="97" t="s">
        <v>596</v>
      </c>
      <c r="K1344" s="29">
        <v>529</v>
      </c>
      <c r="L1344" s="29"/>
      <c r="M1344" s="30">
        <f>IFERROR(VLOOKUP($A1344,HeadJournal!$A$1:$J$890,COLUMN(HeadJournal!I$1),0)*($K1344+$L1344)/(SUMIF($A:$A,$A1344,$K:$K)+SUMIF($A:$A,$A1344,$L:$L)),0)</f>
        <v>0</v>
      </c>
      <c r="N1344" s="30">
        <f>IFERROR((VLOOKUP($A1344,HeadJournal!$A$1:$K$890,COLUMN(HeadJournal!K$1),0)-VLOOKUP($A1344,HeadJournal!$A$1:$K$890,COLUMN(HeadJournal!J$1),0))*($K1344+$L1344)/(SUMIF($A:$A,$A1344,$K:$K)+SUMIF($A:$A,$A1344,$L:$L)),0)</f>
        <v>0</v>
      </c>
      <c r="O1344" s="30">
        <f>IFERROR((VLOOKUP($A1344,HeadJournal!$A$1:$L$890,COLUMN(HeadJournal!L$1),0)*($K1344+$L1344)/(SUMIF($A:$A,$A1344,$K:$K)+SUMIF($A:$A,$A1344,$L:$L)))/VLOOKUP($A1344,HeadJournal!$A$1:$L$890,COLUMN(HeadJournal!H$1),0),0)</f>
        <v>79.349999999999994</v>
      </c>
      <c r="P1344" s="30">
        <f>IFERROR(SUM(K1344:O1344)*VLOOKUP($A1344,HeadJournal!$A$1:$L$890,COLUMN(HeadJournal!H$1),0),0)</f>
        <v>608.35</v>
      </c>
      <c r="Q1344" s="29">
        <v>1200</v>
      </c>
      <c r="R1344" s="31">
        <v>45028</v>
      </c>
      <c r="S1344" s="31" t="s">
        <v>3121</v>
      </c>
      <c r="T1344" s="95" t="str">
        <f t="shared" si="105"/>
        <v>2023 04</v>
      </c>
      <c r="U1344" s="32">
        <f t="shared" si="102"/>
        <v>591.65</v>
      </c>
      <c r="V1344" s="22">
        <f t="shared" si="103"/>
        <v>0.97254869729596438</v>
      </c>
      <c r="X1344" s="33"/>
      <c r="Y1344" s="33"/>
    </row>
    <row r="1345" spans="1:25" x14ac:dyDescent="0.2">
      <c r="A1345" s="93" t="s">
        <v>597</v>
      </c>
      <c r="B1345" s="94">
        <f>IFERROR(VLOOKUP($A1345,HeadJournal!$A$1:$NTR$890,COLUMN(HeadJournal!B$1),0),"")</f>
        <v>0</v>
      </c>
      <c r="C1345" s="94" t="str">
        <f>IFERROR(VLOOKUP($A1345,HeadJournal!$A$1:$NTR$890,COLUMN(HeadJournal!C$1),0),"")</f>
        <v>WBRS</v>
      </c>
      <c r="D1345" s="125" t="str">
        <f>IFERROR(VLOOKUP($A1345,HeadJournal!$A$1:$NTR$890,COLUMN(HeadJournal!D$1),0),"")</f>
        <v>Доставлен</v>
      </c>
      <c r="E1345" s="95">
        <f>IFERROR(VLOOKUP($A1345,HeadJournal!$A$1:$NTR$890,COLUMN(HeadJournal!G$1),0),"")</f>
        <v>45007</v>
      </c>
      <c r="F1345" s="95" t="str">
        <f t="shared" si="104"/>
        <v>2023 03</v>
      </c>
      <c r="G1345" s="96" t="s">
        <v>7</v>
      </c>
      <c r="H1345" s="160" t="str">
        <f>RIGHT(Journal!$J1345,9)</f>
        <v xml:space="preserve"> 85364831</v>
      </c>
      <c r="I1345" s="96" t="str">
        <f t="shared" si="106"/>
        <v>Farm Stay</v>
      </c>
      <c r="J1345" s="97" t="s">
        <v>598</v>
      </c>
      <c r="K1345" s="29">
        <v>267</v>
      </c>
      <c r="L1345" s="29"/>
      <c r="M1345" s="30">
        <f>IFERROR(VLOOKUP($A1345,HeadJournal!$A$1:$J$890,COLUMN(HeadJournal!I$1),0)*($K1345+$L1345)/(SUMIF($A:$A,$A1345,$K:$K)+SUMIF($A:$A,$A1345,$L:$L)),0)</f>
        <v>0</v>
      </c>
      <c r="N1345" s="30">
        <f>IFERROR((VLOOKUP($A1345,HeadJournal!$A$1:$K$890,COLUMN(HeadJournal!K$1),0)-VLOOKUP($A1345,HeadJournal!$A$1:$K$890,COLUMN(HeadJournal!J$1),0))*($K1345+$L1345)/(SUMIF($A:$A,$A1345,$K:$K)+SUMIF($A:$A,$A1345,$L:$L)),0)</f>
        <v>0</v>
      </c>
      <c r="O1345" s="30">
        <f>IFERROR((VLOOKUP($A1345,HeadJournal!$A$1:$L$890,COLUMN(HeadJournal!L$1),0)*($K1345+$L1345)/(SUMIF($A:$A,$A1345,$K:$K)+SUMIF($A:$A,$A1345,$L:$L)))/VLOOKUP($A1345,HeadJournal!$A$1:$L$890,COLUMN(HeadJournal!H$1),0),0)</f>
        <v>40.049999999999997</v>
      </c>
      <c r="P1345" s="30">
        <f>IFERROR(SUM(K1345:O1345)*VLOOKUP($A1345,HeadJournal!$A$1:$L$890,COLUMN(HeadJournal!H$1),0),0)</f>
        <v>307.05</v>
      </c>
      <c r="Q1345" s="29">
        <v>700</v>
      </c>
      <c r="R1345" s="31">
        <v>45036</v>
      </c>
      <c r="S1345" s="31" t="s">
        <v>3121</v>
      </c>
      <c r="T1345" s="95" t="str">
        <f t="shared" si="105"/>
        <v>2023 04</v>
      </c>
      <c r="U1345" s="32">
        <f t="shared" ref="U1345:U1408" si="107">Q1345-P1345</f>
        <v>392.95</v>
      </c>
      <c r="V1345" s="22">
        <f t="shared" ref="V1345:V1408" si="108">IF(Q1345&lt;&gt;0,IFERROR(U1345/P1345,""),"")</f>
        <v>1.2797589969060412</v>
      </c>
      <c r="X1345" s="33"/>
      <c r="Y1345" s="33"/>
    </row>
    <row r="1346" spans="1:25" x14ac:dyDescent="0.2">
      <c r="A1346" s="93" t="s">
        <v>597</v>
      </c>
      <c r="B1346" s="94">
        <f>IFERROR(VLOOKUP($A1346,HeadJournal!$A$1:$NTR$890,COLUMN(HeadJournal!B$1),0),"")</f>
        <v>0</v>
      </c>
      <c r="C1346" s="94" t="str">
        <f>IFERROR(VLOOKUP($A1346,HeadJournal!$A$1:$NTR$890,COLUMN(HeadJournal!C$1),0),"")</f>
        <v>WBRS</v>
      </c>
      <c r="D1346" s="125" t="str">
        <f>IFERROR(VLOOKUP($A1346,HeadJournal!$A$1:$NTR$890,COLUMN(HeadJournal!D$1),0),"")</f>
        <v>Доставлен</v>
      </c>
      <c r="E1346" s="95">
        <f>IFERROR(VLOOKUP($A1346,HeadJournal!$A$1:$NTR$890,COLUMN(HeadJournal!G$1),0),"")</f>
        <v>45007</v>
      </c>
      <c r="F1346" s="95" t="str">
        <f t="shared" si="104"/>
        <v>2023 03</v>
      </c>
      <c r="G1346" s="96" t="s">
        <v>7</v>
      </c>
      <c r="H1346" s="160" t="str">
        <f>RIGHT(Journal!$J1346,9)</f>
        <v xml:space="preserve"> 85364831</v>
      </c>
      <c r="I1346" s="96" t="str">
        <f t="shared" si="106"/>
        <v>Farm Stay</v>
      </c>
      <c r="J1346" s="97" t="s">
        <v>598</v>
      </c>
      <c r="K1346" s="29">
        <v>267</v>
      </c>
      <c r="L1346" s="29"/>
      <c r="M1346" s="30">
        <f>IFERROR(VLOOKUP($A1346,HeadJournal!$A$1:$J$890,COLUMN(HeadJournal!I$1),0)*($K1346+$L1346)/(SUMIF($A:$A,$A1346,$K:$K)+SUMIF($A:$A,$A1346,$L:$L)),0)</f>
        <v>0</v>
      </c>
      <c r="N1346" s="30">
        <f>IFERROR((VLOOKUP($A1346,HeadJournal!$A$1:$K$890,COLUMN(HeadJournal!K$1),0)-VLOOKUP($A1346,HeadJournal!$A$1:$K$890,COLUMN(HeadJournal!J$1),0))*($K1346+$L1346)/(SUMIF($A:$A,$A1346,$K:$K)+SUMIF($A:$A,$A1346,$L:$L)),0)</f>
        <v>0</v>
      </c>
      <c r="O1346" s="30">
        <f>IFERROR((VLOOKUP($A1346,HeadJournal!$A$1:$L$890,COLUMN(HeadJournal!L$1),0)*($K1346+$L1346)/(SUMIF($A:$A,$A1346,$K:$K)+SUMIF($A:$A,$A1346,$L:$L)))/VLOOKUP($A1346,HeadJournal!$A$1:$L$890,COLUMN(HeadJournal!H$1),0),0)</f>
        <v>40.049999999999997</v>
      </c>
      <c r="P1346" s="30">
        <f>IFERROR(SUM(K1346:O1346)*VLOOKUP($A1346,HeadJournal!$A$1:$L$890,COLUMN(HeadJournal!H$1),0),0)</f>
        <v>307.05</v>
      </c>
      <c r="Q1346" s="29"/>
      <c r="R1346" s="31"/>
      <c r="S1346" s="31"/>
      <c r="T1346" s="95" t="str">
        <f t="shared" si="105"/>
        <v/>
      </c>
      <c r="U1346" s="32">
        <f t="shared" si="107"/>
        <v>-307.05</v>
      </c>
      <c r="V1346" s="22" t="str">
        <f t="shared" si="108"/>
        <v/>
      </c>
      <c r="X1346" s="33"/>
      <c r="Y1346" s="33"/>
    </row>
    <row r="1347" spans="1:25" x14ac:dyDescent="0.2">
      <c r="A1347" s="93" t="s">
        <v>599</v>
      </c>
      <c r="B1347" s="94" t="str">
        <f>IFERROR(VLOOKUP($A1347,HeadJournal!$A$1:$NTR$890,COLUMN(HeadJournal!B$1),0),"")</f>
        <v>710000705343</v>
      </c>
      <c r="C1347" s="94" t="str">
        <f>IFERROR(VLOOKUP($A1347,HeadJournal!$A$1:$NTR$890,COLUMN(HeadJournal!C$1),0),"")</f>
        <v>iHerb_MH DLE7202</v>
      </c>
      <c r="D1347" s="125" t="str">
        <f>IFERROR(VLOOKUP($A1347,HeadJournal!$A$1:$NTR$890,COLUMN(HeadJournal!D$1),0),"")</f>
        <v>Доставлен</v>
      </c>
      <c r="E1347" s="95">
        <f>IFERROR(VLOOKUP($A1347,HeadJournal!$A$1:$NTR$890,COLUMN(HeadJournal!G$1),0),"")</f>
        <v>45014</v>
      </c>
      <c r="F1347" s="95" t="str">
        <f t="shared" si="104"/>
        <v>2023 03</v>
      </c>
      <c r="G1347" s="96" t="s">
        <v>5</v>
      </c>
      <c r="H1347" s="160" t="str">
        <f>RIGHT(Journal!$J1347,9)</f>
        <v>NOW-01252</v>
      </c>
      <c r="I1347" s="96" t="str">
        <f t="shared" si="106"/>
        <v>NOW Foods</v>
      </c>
      <c r="J1347" s="97" t="s">
        <v>600</v>
      </c>
      <c r="K1347" s="29">
        <v>22.06</v>
      </c>
      <c r="L1347" s="29">
        <v>-4.41</v>
      </c>
      <c r="M1347" s="30">
        <f>IFERROR(VLOOKUP($A1347,HeadJournal!$A$1:$J$890,COLUMN(HeadJournal!I$1),0)*($K1347+$L1347)/(SUMIF($A:$A,$A1347,$K:$K)+SUMIF($A:$A,$A1347,$L:$L)),0)</f>
        <v>4.7305542883211565E-2</v>
      </c>
      <c r="N1347" s="30">
        <f>IFERROR((VLOOKUP($A1347,HeadJournal!$A$1:$K$890,COLUMN(HeadJournal!K$1),0)-VLOOKUP($A1347,HeadJournal!$A$1:$K$890,COLUMN(HeadJournal!J$1),0))*($K1347+$L1347)/(SUMIF($A:$A,$A1347,$K:$K)+SUMIF($A:$A,$A1347,$L:$L)),0)</f>
        <v>2.8606476473918267E-15</v>
      </c>
      <c r="O1347" s="30">
        <f>IFERROR((VLOOKUP($A1347,HeadJournal!$A$1:$L$890,COLUMN(HeadJournal!L$1),0)*($K1347+$L1347)/(SUMIF($A:$A,$A1347,$K:$K)+SUMIF($A:$A,$A1347,$L:$L)))/VLOOKUP($A1347,HeadJournal!$A$1:$L$890,COLUMN(HeadJournal!H$1),0),0)</f>
        <v>1.5719176014383853</v>
      </c>
      <c r="P1347" s="30">
        <f>IFERROR(SUM(K1347:O1347)*VLOOKUP($A1347,HeadJournal!$A$1:$L$890,COLUMN(HeadJournal!H$1),0),0)</f>
        <v>1637.8839672673359</v>
      </c>
      <c r="Q1347" s="29">
        <v>3200</v>
      </c>
      <c r="R1347" s="31">
        <v>45187</v>
      </c>
      <c r="S1347" s="31" t="s">
        <v>3121</v>
      </c>
      <c r="T1347" s="95" t="str">
        <f t="shared" si="105"/>
        <v>2023 09</v>
      </c>
      <c r="U1347" s="32">
        <f t="shared" si="107"/>
        <v>1562.1160327326641</v>
      </c>
      <c r="V1347" s="22">
        <f t="shared" si="108"/>
        <v>0.95374035276681779</v>
      </c>
      <c r="X1347" s="33"/>
      <c r="Y1347" s="33"/>
    </row>
    <row r="1348" spans="1:25" x14ac:dyDescent="0.2">
      <c r="A1348" s="93" t="s">
        <v>599</v>
      </c>
      <c r="B1348" s="94" t="str">
        <f>IFERROR(VLOOKUP($A1348,HeadJournal!$A$1:$NTR$890,COLUMN(HeadJournal!B$1),0),"")</f>
        <v>710000705343</v>
      </c>
      <c r="C1348" s="94" t="str">
        <f>IFERROR(VLOOKUP($A1348,HeadJournal!$A$1:$NTR$890,COLUMN(HeadJournal!C$1),0),"")</f>
        <v>iHerb_MH DLE7202</v>
      </c>
      <c r="D1348" s="125" t="str">
        <f>IFERROR(VLOOKUP($A1348,HeadJournal!$A$1:$NTR$890,COLUMN(HeadJournal!D$1),0),"")</f>
        <v>Доставлен</v>
      </c>
      <c r="E1348" s="95">
        <f>IFERROR(VLOOKUP($A1348,HeadJournal!$A$1:$NTR$890,COLUMN(HeadJournal!G$1),0),"")</f>
        <v>45014</v>
      </c>
      <c r="F1348" s="95" t="str">
        <f t="shared" ref="F1348:F1411" si="109">IFERROR(TEXT(E1348, "ГГГГ ММ"),"")</f>
        <v>2023 03</v>
      </c>
      <c r="G1348" s="96" t="s">
        <v>5</v>
      </c>
      <c r="H1348" s="161" t="s">
        <v>2051</v>
      </c>
      <c r="I1348" s="97" t="s">
        <v>2052</v>
      </c>
      <c r="J1348" s="97" t="s">
        <v>3097</v>
      </c>
      <c r="K1348" s="29">
        <v>17</v>
      </c>
      <c r="L1348" s="29">
        <v>-5.1000000000000005</v>
      </c>
      <c r="M1348" s="30">
        <f>IFERROR(VLOOKUP($A1348,HeadJournal!$A$1:$J$890,COLUMN(HeadJournal!I$1),0)*($K1348+$L1348)/(SUMIF($A:$A,$A1348,$K:$K)+SUMIF($A:$A,$A1348,$L:$L)),0)</f>
        <v>3.1894388686131307E-2</v>
      </c>
      <c r="N1348" s="30">
        <f>IFERROR((VLOOKUP($A1348,HeadJournal!$A$1:$K$890,COLUMN(HeadJournal!K$1),0)-VLOOKUP($A1348,HeadJournal!$A$1:$K$890,COLUMN(HeadJournal!J$1),0))*($K1348+$L1348)/(SUMIF($A:$A,$A1348,$K:$K)+SUMIF($A:$A,$A1348,$L:$L)),0)</f>
        <v>1.9287086121225348E-15</v>
      </c>
      <c r="O1348" s="30">
        <f>IFERROR((VLOOKUP($A1348,HeadJournal!$A$1:$L$890,COLUMN(HeadJournal!L$1),0)*($K1348+$L1348)/(SUMIF($A:$A,$A1348,$K:$K)+SUMIF($A:$A,$A1348,$L:$L)))/VLOOKUP($A1348,HeadJournal!$A$1:$L$890,COLUMN(HeadJournal!H$1),0),0)</f>
        <v>1.0598197992700729</v>
      </c>
      <c r="P1348" s="30">
        <f>IFERROR(SUM(K1348:O1348)*VLOOKUP($A1348,HeadJournal!$A$1:$L$890,COLUMN(HeadJournal!H$1),0),0)</f>
        <v>1104.2957059762775</v>
      </c>
      <c r="Q1348" s="29">
        <v>2200</v>
      </c>
      <c r="R1348" s="31">
        <v>45289</v>
      </c>
      <c r="S1348" s="31" t="s">
        <v>3121</v>
      </c>
      <c r="T1348" s="95" t="str">
        <f t="shared" ref="T1348:T1411" si="110">IF(R1348="","",TEXT(R1348,"ГГГГ ММ"))</f>
        <v>2023 12</v>
      </c>
      <c r="U1348" s="32">
        <f t="shared" si="107"/>
        <v>1095.7042940237225</v>
      </c>
      <c r="V1348" s="22">
        <f t="shared" si="108"/>
        <v>0.99222000782393727</v>
      </c>
      <c r="X1348" s="33"/>
      <c r="Y1348" s="33"/>
    </row>
    <row r="1349" spans="1:25" x14ac:dyDescent="0.2">
      <c r="A1349" s="93" t="s">
        <v>599</v>
      </c>
      <c r="B1349" s="94" t="str">
        <f>IFERROR(VLOOKUP($A1349,HeadJournal!$A$1:$NTR$890,COLUMN(HeadJournal!B$1),0),"")</f>
        <v>710000705343</v>
      </c>
      <c r="C1349" s="94" t="str">
        <f>IFERROR(VLOOKUP($A1349,HeadJournal!$A$1:$NTR$890,COLUMN(HeadJournal!C$1),0),"")</f>
        <v>iHerb_MH DLE7202</v>
      </c>
      <c r="D1349" s="125" t="str">
        <f>IFERROR(VLOOKUP($A1349,HeadJournal!$A$1:$NTR$890,COLUMN(HeadJournal!D$1),0),"")</f>
        <v>Доставлен</v>
      </c>
      <c r="E1349" s="95">
        <f>IFERROR(VLOOKUP($A1349,HeadJournal!$A$1:$NTR$890,COLUMN(HeadJournal!G$1),0),"")</f>
        <v>45014</v>
      </c>
      <c r="F1349" s="95" t="str">
        <f t="shared" si="109"/>
        <v>2023 03</v>
      </c>
      <c r="G1349" s="96" t="s">
        <v>5</v>
      </c>
      <c r="H1349" s="161" t="s">
        <v>2051</v>
      </c>
      <c r="I1349" s="97" t="s">
        <v>2052</v>
      </c>
      <c r="J1349" s="97" t="s">
        <v>3097</v>
      </c>
      <c r="K1349" s="29">
        <v>17</v>
      </c>
      <c r="L1349" s="29">
        <v>-5.1000000000000005</v>
      </c>
      <c r="M1349" s="30">
        <f>IFERROR(VLOOKUP($A1349,HeadJournal!$A$1:$J$890,COLUMN(HeadJournal!I$1),0)*($K1349+$L1349)/(SUMIF($A:$A,$A1349,$K:$K)+SUMIF($A:$A,$A1349,$L:$L)),0)</f>
        <v>3.1894388686131307E-2</v>
      </c>
      <c r="N1349" s="30">
        <f>IFERROR((VLOOKUP($A1349,HeadJournal!$A$1:$K$890,COLUMN(HeadJournal!K$1),0)-VLOOKUP($A1349,HeadJournal!$A$1:$K$890,COLUMN(HeadJournal!J$1),0))*($K1349+$L1349)/(SUMIF($A:$A,$A1349,$K:$K)+SUMIF($A:$A,$A1349,$L:$L)),0)</f>
        <v>1.9287086121225348E-15</v>
      </c>
      <c r="O1349" s="30">
        <f>IFERROR((VLOOKUP($A1349,HeadJournal!$A$1:$L$890,COLUMN(HeadJournal!L$1),0)*($K1349+$L1349)/(SUMIF($A:$A,$A1349,$K:$K)+SUMIF($A:$A,$A1349,$L:$L)))/VLOOKUP($A1349,HeadJournal!$A$1:$L$890,COLUMN(HeadJournal!H$1),0),0)</f>
        <v>1.0598197992700729</v>
      </c>
      <c r="P1349" s="30">
        <f>IFERROR(SUM(K1349:O1349)*VLOOKUP($A1349,HeadJournal!$A$1:$L$890,COLUMN(HeadJournal!H$1),0),0)</f>
        <v>1104.2957059762775</v>
      </c>
      <c r="Q1349" s="29">
        <v>2300</v>
      </c>
      <c r="R1349" s="31">
        <v>45308</v>
      </c>
      <c r="S1349" s="31" t="s">
        <v>3121</v>
      </c>
      <c r="T1349" s="95" t="str">
        <f t="shared" si="110"/>
        <v>2024 01</v>
      </c>
      <c r="U1349" s="32">
        <f t="shared" si="107"/>
        <v>1195.7042940237225</v>
      </c>
      <c r="V1349" s="22">
        <f t="shared" si="108"/>
        <v>1.0827754627250255</v>
      </c>
      <c r="X1349" s="33"/>
      <c r="Y1349" s="33"/>
    </row>
    <row r="1350" spans="1:25" x14ac:dyDescent="0.2">
      <c r="A1350" s="93" t="s">
        <v>599</v>
      </c>
      <c r="B1350" s="94" t="str">
        <f>IFERROR(VLOOKUP($A1350,HeadJournal!$A$1:$NTR$890,COLUMN(HeadJournal!B$1),0),"")</f>
        <v>710000705343</v>
      </c>
      <c r="C1350" s="94" t="str">
        <f>IFERROR(VLOOKUP($A1350,HeadJournal!$A$1:$NTR$890,COLUMN(HeadJournal!C$1),0),"")</f>
        <v>iHerb_MH DLE7202</v>
      </c>
      <c r="D1350" s="125" t="str">
        <f>IFERROR(VLOOKUP($A1350,HeadJournal!$A$1:$NTR$890,COLUMN(HeadJournal!D$1),0),"")</f>
        <v>Доставлен</v>
      </c>
      <c r="E1350" s="95">
        <f>IFERROR(VLOOKUP($A1350,HeadJournal!$A$1:$NTR$890,COLUMN(HeadJournal!G$1),0),"")</f>
        <v>45014</v>
      </c>
      <c r="F1350" s="95" t="str">
        <f t="shared" si="109"/>
        <v>2023 03</v>
      </c>
      <c r="G1350" s="96" t="s">
        <v>5</v>
      </c>
      <c r="H1350" s="161" t="s">
        <v>2051</v>
      </c>
      <c r="I1350" s="97" t="s">
        <v>2052</v>
      </c>
      <c r="J1350" s="97" t="s">
        <v>3097</v>
      </c>
      <c r="K1350" s="29">
        <v>17</v>
      </c>
      <c r="L1350" s="29">
        <v>-5.1000000000000005</v>
      </c>
      <c r="M1350" s="30">
        <f>IFERROR(VLOOKUP($A1350,HeadJournal!$A$1:$J$890,COLUMN(HeadJournal!I$1),0)*($K1350+$L1350)/(SUMIF($A:$A,$A1350,$K:$K)+SUMIF($A:$A,$A1350,$L:$L)),0)</f>
        <v>3.1894388686131307E-2</v>
      </c>
      <c r="N1350" s="30">
        <f>IFERROR((VLOOKUP($A1350,HeadJournal!$A$1:$K$890,COLUMN(HeadJournal!K$1),0)-VLOOKUP($A1350,HeadJournal!$A$1:$K$890,COLUMN(HeadJournal!J$1),0))*($K1350+$L1350)/(SUMIF($A:$A,$A1350,$K:$K)+SUMIF($A:$A,$A1350,$L:$L)),0)</f>
        <v>1.9287086121225348E-15</v>
      </c>
      <c r="O1350" s="30">
        <f>IFERROR((VLOOKUP($A1350,HeadJournal!$A$1:$L$890,COLUMN(HeadJournal!L$1),0)*($K1350+$L1350)/(SUMIF($A:$A,$A1350,$K:$K)+SUMIF($A:$A,$A1350,$L:$L)))/VLOOKUP($A1350,HeadJournal!$A$1:$L$890,COLUMN(HeadJournal!H$1),0),0)</f>
        <v>1.0598197992700729</v>
      </c>
      <c r="P1350" s="30">
        <f>IFERROR(SUM(K1350:O1350)*VLOOKUP($A1350,HeadJournal!$A$1:$L$890,COLUMN(HeadJournal!H$1),0),0)</f>
        <v>1104.2957059762775</v>
      </c>
      <c r="Q1350" s="29">
        <v>2300</v>
      </c>
      <c r="R1350" s="31">
        <v>45319</v>
      </c>
      <c r="S1350" s="31" t="s">
        <v>3121</v>
      </c>
      <c r="T1350" s="95" t="str">
        <f t="shared" si="110"/>
        <v>2024 01</v>
      </c>
      <c r="U1350" s="32">
        <f t="shared" si="107"/>
        <v>1195.7042940237225</v>
      </c>
      <c r="V1350" s="22">
        <f t="shared" si="108"/>
        <v>1.0827754627250255</v>
      </c>
      <c r="X1350" s="33"/>
      <c r="Y1350" s="33"/>
    </row>
    <row r="1351" spans="1:25" x14ac:dyDescent="0.2">
      <c r="A1351" s="93" t="s">
        <v>599</v>
      </c>
      <c r="B1351" s="94" t="str">
        <f>IFERROR(VLOOKUP($A1351,HeadJournal!$A$1:$NTR$890,COLUMN(HeadJournal!B$1),0),"")</f>
        <v>710000705343</v>
      </c>
      <c r="C1351" s="94" t="str">
        <f>IFERROR(VLOOKUP($A1351,HeadJournal!$A$1:$NTR$890,COLUMN(HeadJournal!C$1),0),"")</f>
        <v>iHerb_MH DLE7202</v>
      </c>
      <c r="D1351" s="125" t="str">
        <f>IFERROR(VLOOKUP($A1351,HeadJournal!$A$1:$NTR$890,COLUMN(HeadJournal!D$1),0),"")</f>
        <v>Доставлен</v>
      </c>
      <c r="E1351" s="95">
        <f>IFERROR(VLOOKUP($A1351,HeadJournal!$A$1:$NTR$890,COLUMN(HeadJournal!G$1),0),"")</f>
        <v>45014</v>
      </c>
      <c r="F1351" s="95" t="str">
        <f t="shared" si="109"/>
        <v>2023 03</v>
      </c>
      <c r="G1351" s="96" t="s">
        <v>5</v>
      </c>
      <c r="H1351" s="161" t="s">
        <v>2073</v>
      </c>
      <c r="I1351" s="97" t="s">
        <v>2005</v>
      </c>
      <c r="J1351" s="97" t="s">
        <v>2074</v>
      </c>
      <c r="K1351" s="29">
        <v>16.79</v>
      </c>
      <c r="L1351" s="29">
        <v>-3.3566666666666669</v>
      </c>
      <c r="M1351" s="30">
        <f>IFERROR(VLOOKUP($A1351,HeadJournal!$A$1:$J$890,COLUMN(HeadJournal!I$1),0)*($K1351+$L1351)/(SUMIF($A:$A,$A1351,$K:$K)+SUMIF($A:$A,$A1351,$L:$L)),0)</f>
        <v>3.6004029805352708E-2</v>
      </c>
      <c r="N1351" s="30">
        <f>IFERROR((VLOOKUP($A1351,HeadJournal!$A$1:$K$890,COLUMN(HeadJournal!K$1),0)-VLOOKUP($A1351,HeadJournal!$A$1:$K$890,COLUMN(HeadJournal!J$1),0))*($K1351+$L1351)/(SUMIF($A:$A,$A1351,$K:$K)+SUMIF($A:$A,$A1351,$L:$L)),0)</f>
        <v>2.177225688194346E-15</v>
      </c>
      <c r="O1351" s="30">
        <f>IFERROR((VLOOKUP($A1351,HeadJournal!$A$1:$L$890,COLUMN(HeadJournal!L$1),0)*($K1351+$L1351)/(SUMIF($A:$A,$A1351,$K:$K)+SUMIF($A:$A,$A1351,$L:$L)))/VLOOKUP($A1351,HeadJournal!$A$1:$L$890,COLUMN(HeadJournal!H$1),0),0)</f>
        <v>1.1963792131816229</v>
      </c>
      <c r="P1351" s="30">
        <f>IFERROR(SUM(K1351:O1351)*VLOOKUP($A1351,HeadJournal!$A$1:$L$890,COLUMN(HeadJournal!H$1),0),0)</f>
        <v>1246.5859089872263</v>
      </c>
      <c r="Q1351" s="29">
        <v>2200</v>
      </c>
      <c r="R1351" s="31">
        <v>45096</v>
      </c>
      <c r="S1351" s="31" t="s">
        <v>3121</v>
      </c>
      <c r="T1351" s="95" t="str">
        <f t="shared" si="110"/>
        <v>2023 06</v>
      </c>
      <c r="U1351" s="32">
        <f t="shared" si="107"/>
        <v>953.41409101277372</v>
      </c>
      <c r="V1351" s="22">
        <f t="shared" si="108"/>
        <v>0.76482020544204898</v>
      </c>
      <c r="X1351" s="33"/>
      <c r="Y1351" s="33"/>
    </row>
    <row r="1352" spans="1:25" x14ac:dyDescent="0.2">
      <c r="A1352" s="93" t="s">
        <v>599</v>
      </c>
      <c r="B1352" s="94" t="str">
        <f>IFERROR(VLOOKUP($A1352,HeadJournal!$A$1:$NTR$890,COLUMN(HeadJournal!B$1),0),"")</f>
        <v>710000705343</v>
      </c>
      <c r="C1352" s="94" t="str">
        <f>IFERROR(VLOOKUP($A1352,HeadJournal!$A$1:$NTR$890,COLUMN(HeadJournal!C$1),0),"")</f>
        <v>iHerb_MH DLE7202</v>
      </c>
      <c r="D1352" s="125" t="str">
        <f>IFERROR(VLOOKUP($A1352,HeadJournal!$A$1:$NTR$890,COLUMN(HeadJournal!D$1),0),"")</f>
        <v>Доставлен</v>
      </c>
      <c r="E1352" s="95">
        <f>IFERROR(VLOOKUP($A1352,HeadJournal!$A$1:$NTR$890,COLUMN(HeadJournal!G$1),0),"")</f>
        <v>45014</v>
      </c>
      <c r="F1352" s="95" t="str">
        <f t="shared" si="109"/>
        <v>2023 03</v>
      </c>
      <c r="G1352" s="96" t="s">
        <v>5</v>
      </c>
      <c r="H1352" s="161" t="s">
        <v>2073</v>
      </c>
      <c r="I1352" s="97" t="s">
        <v>2005</v>
      </c>
      <c r="J1352" s="97" t="s">
        <v>2074</v>
      </c>
      <c r="K1352" s="29">
        <v>16.79</v>
      </c>
      <c r="L1352" s="29">
        <v>-3.3566666666666669</v>
      </c>
      <c r="M1352" s="30">
        <f>IFERROR(VLOOKUP($A1352,HeadJournal!$A$1:$J$890,COLUMN(HeadJournal!I$1),0)*($K1352+$L1352)/(SUMIF($A:$A,$A1352,$K:$K)+SUMIF($A:$A,$A1352,$L:$L)),0)</f>
        <v>3.6004029805352708E-2</v>
      </c>
      <c r="N1352" s="30">
        <f>IFERROR((VLOOKUP($A1352,HeadJournal!$A$1:$K$890,COLUMN(HeadJournal!K$1),0)-VLOOKUP($A1352,HeadJournal!$A$1:$K$890,COLUMN(HeadJournal!J$1),0))*($K1352+$L1352)/(SUMIF($A:$A,$A1352,$K:$K)+SUMIF($A:$A,$A1352,$L:$L)),0)</f>
        <v>2.177225688194346E-15</v>
      </c>
      <c r="O1352" s="30">
        <f>IFERROR((VLOOKUP($A1352,HeadJournal!$A$1:$L$890,COLUMN(HeadJournal!L$1),0)*($K1352+$L1352)/(SUMIF($A:$A,$A1352,$K:$K)+SUMIF($A:$A,$A1352,$L:$L)))/VLOOKUP($A1352,HeadJournal!$A$1:$L$890,COLUMN(HeadJournal!H$1),0),0)</f>
        <v>1.1963792131816229</v>
      </c>
      <c r="P1352" s="30">
        <f>IFERROR(SUM(K1352:O1352)*VLOOKUP($A1352,HeadJournal!$A$1:$L$890,COLUMN(HeadJournal!H$1),0),0)</f>
        <v>1246.5859089872263</v>
      </c>
      <c r="Q1352" s="29">
        <v>2100</v>
      </c>
      <c r="R1352" s="31">
        <v>45108</v>
      </c>
      <c r="S1352" s="31" t="s">
        <v>3121</v>
      </c>
      <c r="T1352" s="95" t="str">
        <f t="shared" si="110"/>
        <v>2023 07</v>
      </c>
      <c r="U1352" s="32">
        <f t="shared" si="107"/>
        <v>853.41409101277372</v>
      </c>
      <c r="V1352" s="22">
        <f t="shared" si="108"/>
        <v>0.68460110519468309</v>
      </c>
      <c r="X1352" s="33"/>
      <c r="Y1352" s="33"/>
    </row>
    <row r="1353" spans="1:25" x14ac:dyDescent="0.2">
      <c r="A1353" s="93" t="s">
        <v>599</v>
      </c>
      <c r="B1353" s="94" t="str">
        <f>IFERROR(VLOOKUP($A1353,HeadJournal!$A$1:$NTR$890,COLUMN(HeadJournal!B$1),0),"")</f>
        <v>710000705343</v>
      </c>
      <c r="C1353" s="94" t="str">
        <f>IFERROR(VLOOKUP($A1353,HeadJournal!$A$1:$NTR$890,COLUMN(HeadJournal!C$1),0),"")</f>
        <v>iHerb_MH DLE7202</v>
      </c>
      <c r="D1353" s="125" t="str">
        <f>IFERROR(VLOOKUP($A1353,HeadJournal!$A$1:$NTR$890,COLUMN(HeadJournal!D$1),0),"")</f>
        <v>Доставлен</v>
      </c>
      <c r="E1353" s="95">
        <f>IFERROR(VLOOKUP($A1353,HeadJournal!$A$1:$NTR$890,COLUMN(HeadJournal!G$1),0),"")</f>
        <v>45014</v>
      </c>
      <c r="F1353" s="95" t="str">
        <f t="shared" si="109"/>
        <v>2023 03</v>
      </c>
      <c r="G1353" s="96" t="s">
        <v>5</v>
      </c>
      <c r="H1353" s="161" t="s">
        <v>2073</v>
      </c>
      <c r="I1353" s="97" t="s">
        <v>2005</v>
      </c>
      <c r="J1353" s="97" t="s">
        <v>2074</v>
      </c>
      <c r="K1353" s="29">
        <v>16.79</v>
      </c>
      <c r="L1353" s="29">
        <v>-3.3566666666666669</v>
      </c>
      <c r="M1353" s="30">
        <f>IFERROR(VLOOKUP($A1353,HeadJournal!$A$1:$J$890,COLUMN(HeadJournal!I$1),0)*($K1353+$L1353)/(SUMIF($A:$A,$A1353,$K:$K)+SUMIF($A:$A,$A1353,$L:$L)),0)</f>
        <v>3.6004029805352708E-2</v>
      </c>
      <c r="N1353" s="30">
        <f>IFERROR((VLOOKUP($A1353,HeadJournal!$A$1:$K$890,COLUMN(HeadJournal!K$1),0)-VLOOKUP($A1353,HeadJournal!$A$1:$K$890,COLUMN(HeadJournal!J$1),0))*($K1353+$L1353)/(SUMIF($A:$A,$A1353,$K:$K)+SUMIF($A:$A,$A1353,$L:$L)),0)</f>
        <v>2.177225688194346E-15</v>
      </c>
      <c r="O1353" s="30">
        <f>IFERROR((VLOOKUP($A1353,HeadJournal!$A$1:$L$890,COLUMN(HeadJournal!L$1),0)*($K1353+$L1353)/(SUMIF($A:$A,$A1353,$K:$K)+SUMIF($A:$A,$A1353,$L:$L)))/VLOOKUP($A1353,HeadJournal!$A$1:$L$890,COLUMN(HeadJournal!H$1),0),0)</f>
        <v>1.1963792131816229</v>
      </c>
      <c r="P1353" s="30">
        <f>IFERROR(SUM(K1353:O1353)*VLOOKUP($A1353,HeadJournal!$A$1:$L$890,COLUMN(HeadJournal!H$1),0),0)</f>
        <v>1246.5859089872263</v>
      </c>
      <c r="Q1353" s="29">
        <v>2200</v>
      </c>
      <c r="R1353" s="31">
        <v>45113</v>
      </c>
      <c r="S1353" s="31" t="s">
        <v>3121</v>
      </c>
      <c r="T1353" s="95" t="str">
        <f t="shared" si="110"/>
        <v>2023 07</v>
      </c>
      <c r="U1353" s="32">
        <f t="shared" si="107"/>
        <v>953.41409101277372</v>
      </c>
      <c r="V1353" s="22">
        <f t="shared" si="108"/>
        <v>0.76482020544204898</v>
      </c>
      <c r="X1353" s="33"/>
      <c r="Y1353" s="33"/>
    </row>
    <row r="1354" spans="1:25" x14ac:dyDescent="0.2">
      <c r="A1354" s="93" t="s">
        <v>599</v>
      </c>
      <c r="B1354" s="94" t="str">
        <f>IFERROR(VLOOKUP($A1354,HeadJournal!$A$1:$NTR$890,COLUMN(HeadJournal!B$1),0),"")</f>
        <v>710000705343</v>
      </c>
      <c r="C1354" s="94" t="str">
        <f>IFERROR(VLOOKUP($A1354,HeadJournal!$A$1:$NTR$890,COLUMN(HeadJournal!C$1),0),"")</f>
        <v>iHerb_MH DLE7202</v>
      </c>
      <c r="D1354" s="125" t="str">
        <f>IFERROR(VLOOKUP($A1354,HeadJournal!$A$1:$NTR$890,COLUMN(HeadJournal!D$1),0),"")</f>
        <v>Доставлен</v>
      </c>
      <c r="E1354" s="95">
        <f>IFERROR(VLOOKUP($A1354,HeadJournal!$A$1:$NTR$890,COLUMN(HeadJournal!G$1),0),"")</f>
        <v>45014</v>
      </c>
      <c r="F1354" s="95" t="str">
        <f t="shared" si="109"/>
        <v>2023 03</v>
      </c>
      <c r="G1354" s="96" t="s">
        <v>5</v>
      </c>
      <c r="H1354" s="160" t="str">
        <f>RIGHT(Journal!$J1354,9)</f>
        <v>SIE-01490</v>
      </c>
      <c r="I1354" s="96" t="str">
        <f t="shared" si="106"/>
        <v>Sierra Fit</v>
      </c>
      <c r="J1354" s="97" t="s">
        <v>601</v>
      </c>
      <c r="K1354" s="29">
        <v>18</v>
      </c>
      <c r="L1354" s="29">
        <v>-10.26</v>
      </c>
      <c r="M1354" s="30">
        <f>IFERROR(VLOOKUP($A1354,HeadJournal!$A$1:$J$890,COLUMN(HeadJournal!I$1),0)*($K1354+$L1354)/(SUMIF($A:$A,$A1354,$K:$K)+SUMIF($A:$A,$A1354,$L:$L)),0)</f>
        <v>2.0744753649634989E-2</v>
      </c>
      <c r="N1354" s="30">
        <f>IFERROR((VLOOKUP($A1354,HeadJournal!$A$1:$K$890,COLUMN(HeadJournal!K$1),0)-VLOOKUP($A1354,HeadJournal!$A$1:$K$890,COLUMN(HeadJournal!J$1),0))*($K1354+$L1354)/(SUMIF($A:$A,$A1354,$K:$K)+SUMIF($A:$A,$A1354,$L:$L)),0)</f>
        <v>1.254470979649447E-15</v>
      </c>
      <c r="O1354" s="30">
        <f>IFERROR((VLOOKUP($A1354,HeadJournal!$A$1:$L$890,COLUMN(HeadJournal!L$1),0)*($K1354+$L1354)/(SUMIF($A:$A,$A1354,$K:$K)+SUMIF($A:$A,$A1354,$L:$L)))/VLOOKUP($A1354,HeadJournal!$A$1:$L$890,COLUMN(HeadJournal!H$1),0),0)</f>
        <v>0.68932817196221563</v>
      </c>
      <c r="P1354" s="30">
        <f>IFERROR(SUM(K1354:O1354)*VLOOKUP($A1354,HeadJournal!$A$1:$L$890,COLUMN(HeadJournal!H$1),0),0)</f>
        <v>718.25619867700732</v>
      </c>
      <c r="Q1354" s="29">
        <v>1800</v>
      </c>
      <c r="R1354" s="31">
        <v>45042</v>
      </c>
      <c r="S1354" s="31" t="s">
        <v>3121</v>
      </c>
      <c r="T1354" s="95" t="str">
        <f t="shared" si="110"/>
        <v>2023 04</v>
      </c>
      <c r="U1354" s="32">
        <f t="shared" si="107"/>
        <v>1081.7438013229926</v>
      </c>
      <c r="V1354" s="22">
        <f t="shared" si="108"/>
        <v>1.5060695658673209</v>
      </c>
      <c r="X1354" s="33"/>
      <c r="Y1354" s="33"/>
    </row>
    <row r="1355" spans="1:25" x14ac:dyDescent="0.2">
      <c r="A1355" s="93" t="s">
        <v>599</v>
      </c>
      <c r="B1355" s="94" t="str">
        <f>IFERROR(VLOOKUP($A1355,HeadJournal!$A$1:$NTR$890,COLUMN(HeadJournal!B$1),0),"")</f>
        <v>710000705343</v>
      </c>
      <c r="C1355" s="94" t="str">
        <f>IFERROR(VLOOKUP($A1355,HeadJournal!$A$1:$NTR$890,COLUMN(HeadJournal!C$1),0),"")</f>
        <v>iHerb_MH DLE7202</v>
      </c>
      <c r="D1355" s="125" t="str">
        <f>IFERROR(VLOOKUP($A1355,HeadJournal!$A$1:$NTR$890,COLUMN(HeadJournal!D$1),0),"")</f>
        <v>Доставлен</v>
      </c>
      <c r="E1355" s="95">
        <f>IFERROR(VLOOKUP($A1355,HeadJournal!$A$1:$NTR$890,COLUMN(HeadJournal!G$1),0),"")</f>
        <v>45014</v>
      </c>
      <c r="F1355" s="95" t="str">
        <f t="shared" si="109"/>
        <v>2023 03</v>
      </c>
      <c r="G1355" s="96" t="s">
        <v>5</v>
      </c>
      <c r="H1355" s="161" t="s">
        <v>3992</v>
      </c>
      <c r="I1355" s="97" t="s">
        <v>2666</v>
      </c>
      <c r="J1355" s="97" t="s">
        <v>3993</v>
      </c>
      <c r="K1355" s="29">
        <v>22.01</v>
      </c>
      <c r="L1355" s="29">
        <v>-2.2000000000000002</v>
      </c>
      <c r="M1355" s="30">
        <f>IFERROR(VLOOKUP($A1355,HeadJournal!$A$1:$J$890,COLUMN(HeadJournal!I$1),0)*($K1355+$L1355)/(SUMIF($A:$A,$A1355,$K:$K)+SUMIF($A:$A,$A1355,$L:$L)),0)</f>
        <v>5.3094776459853901E-2</v>
      </c>
      <c r="N1355" s="30">
        <f>IFERROR((VLOOKUP($A1355,HeadJournal!$A$1:$K$890,COLUMN(HeadJournal!K$1),0)-VLOOKUP($A1355,HeadJournal!$A$1:$K$890,COLUMN(HeadJournal!J$1),0))*($K1355+$L1355)/(SUMIF($A:$A,$A1355,$K:$K)+SUMIF($A:$A,$A1355,$L:$L)),0)</f>
        <v>3.2107325719451613E-15</v>
      </c>
      <c r="O1355" s="30">
        <f>IFERROR((VLOOKUP($A1355,HeadJournal!$A$1:$L$890,COLUMN(HeadJournal!L$1),0)*($K1355+$L1355)/(SUMIF($A:$A,$A1355,$K:$K)+SUMIF($A:$A,$A1355,$L:$L)))/VLOOKUP($A1355,HeadJournal!$A$1:$L$890,COLUMN(HeadJournal!H$1),0),0)</f>
        <v>1.7642882540790039</v>
      </c>
      <c r="P1355" s="30">
        <f>IFERROR(SUM(K1355:O1355)*VLOOKUP($A1355,HeadJournal!$A$1:$L$890,COLUMN(HeadJournal!H$1),0),0)</f>
        <v>1838.3275575958037</v>
      </c>
      <c r="Q1355" s="29">
        <v>3300</v>
      </c>
      <c r="R1355" s="31">
        <v>45043</v>
      </c>
      <c r="S1355" s="31" t="s">
        <v>3121</v>
      </c>
      <c r="T1355" s="95" t="str">
        <f t="shared" si="110"/>
        <v>2023 04</v>
      </c>
      <c r="U1355" s="32">
        <f t="shared" si="107"/>
        <v>1461.6724424041963</v>
      </c>
      <c r="V1355" s="22">
        <f t="shared" si="108"/>
        <v>0.79510990104276991</v>
      </c>
      <c r="X1355" s="33"/>
      <c r="Y1355" s="33"/>
    </row>
    <row r="1356" spans="1:25" x14ac:dyDescent="0.2">
      <c r="A1356" s="93" t="s">
        <v>599</v>
      </c>
      <c r="B1356" s="94" t="str">
        <f>IFERROR(VLOOKUP($A1356,HeadJournal!$A$1:$NTR$890,COLUMN(HeadJournal!B$1),0),"")</f>
        <v>710000705343</v>
      </c>
      <c r="C1356" s="94" t="str">
        <f>IFERROR(VLOOKUP($A1356,HeadJournal!$A$1:$NTR$890,COLUMN(HeadJournal!C$1),0),"")</f>
        <v>iHerb_MH DLE7202</v>
      </c>
      <c r="D1356" s="125" t="str">
        <f>IFERROR(VLOOKUP($A1356,HeadJournal!$A$1:$NTR$890,COLUMN(HeadJournal!D$1),0),"")</f>
        <v>Доставлен</v>
      </c>
      <c r="E1356" s="95">
        <f>IFERROR(VLOOKUP($A1356,HeadJournal!$A$1:$NTR$890,COLUMN(HeadJournal!G$1),0),"")</f>
        <v>45014</v>
      </c>
      <c r="F1356" s="95" t="str">
        <f t="shared" si="109"/>
        <v>2023 03</v>
      </c>
      <c r="G1356" s="96" t="s">
        <v>5</v>
      </c>
      <c r="H1356" s="160" t="str">
        <f>RIGHT(Journal!$J1356,9)</f>
        <v>SMS-55697</v>
      </c>
      <c r="I1356" s="96" t="str">
        <f t="shared" si="106"/>
        <v>The Smurfs</v>
      </c>
      <c r="J1356" s="97" t="s">
        <v>602</v>
      </c>
      <c r="K1356" s="29">
        <v>12.49</v>
      </c>
      <c r="L1356" s="29">
        <v>-2.5</v>
      </c>
      <c r="M1356" s="30">
        <f>IFERROR(VLOOKUP($A1356,HeadJournal!$A$1:$J$890,COLUMN(HeadJournal!I$1),0)*($K1356+$L1356)/(SUMIF($A:$A,$A1356,$K:$K)+SUMIF($A:$A,$A1356,$L:$L)),0)</f>
        <v>2.6775205291970743E-2</v>
      </c>
      <c r="N1356" s="30">
        <f>IFERROR((VLOOKUP($A1356,HeadJournal!$A$1:$K$890,COLUMN(HeadJournal!K$1),0)-VLOOKUP($A1356,HeadJournal!$A$1:$K$890,COLUMN(HeadJournal!J$1),0))*($K1356+$L1356)/(SUMIF($A:$A,$A1356,$K:$K)+SUMIF($A:$A,$A1356,$L:$L)),0)</f>
        <v>1.61914277605917E-15</v>
      </c>
      <c r="O1356" s="30">
        <f>IFERROR((VLOOKUP($A1356,HeadJournal!$A$1:$L$890,COLUMN(HeadJournal!L$1),0)*($K1356+$L1356)/(SUMIF($A:$A,$A1356,$K:$K)+SUMIF($A:$A,$A1356,$L:$L)))/VLOOKUP($A1356,HeadJournal!$A$1:$L$890,COLUMN(HeadJournal!H$1),0),0)</f>
        <v>0.88971426846285973</v>
      </c>
      <c r="P1356" s="30">
        <f>IFERROR(SUM(K1356:O1356)*VLOOKUP($A1356,HeadJournal!$A$1:$L$890,COLUMN(HeadJournal!H$1),0),0)</f>
        <v>927.05160526916086</v>
      </c>
      <c r="Q1356" s="29">
        <v>1700</v>
      </c>
      <c r="R1356" s="31">
        <v>45366</v>
      </c>
      <c r="S1356" s="31" t="s">
        <v>3121</v>
      </c>
      <c r="T1356" s="95" t="str">
        <f t="shared" si="110"/>
        <v>2024 03</v>
      </c>
      <c r="U1356" s="32">
        <f t="shared" si="107"/>
        <v>772.94839473083914</v>
      </c>
      <c r="V1356" s="22">
        <f t="shared" si="108"/>
        <v>0.83377062327228346</v>
      </c>
      <c r="X1356" s="33"/>
      <c r="Y1356" s="33"/>
    </row>
    <row r="1357" spans="1:25" x14ac:dyDescent="0.2">
      <c r="A1357" s="93" t="s">
        <v>599</v>
      </c>
      <c r="B1357" s="94" t="str">
        <f>IFERROR(VLOOKUP($A1357,HeadJournal!$A$1:$NTR$890,COLUMN(HeadJournal!B$1),0),"")</f>
        <v>710000705343</v>
      </c>
      <c r="C1357" s="94" t="str">
        <f>IFERROR(VLOOKUP($A1357,HeadJournal!$A$1:$NTR$890,COLUMN(HeadJournal!C$1),0),"")</f>
        <v>iHerb_MH DLE7202</v>
      </c>
      <c r="D1357" s="125" t="str">
        <f>IFERROR(VLOOKUP($A1357,HeadJournal!$A$1:$NTR$890,COLUMN(HeadJournal!D$1),0),"")</f>
        <v>Доставлен</v>
      </c>
      <c r="E1357" s="95">
        <f>IFERROR(VLOOKUP($A1357,HeadJournal!$A$1:$NTR$890,COLUMN(HeadJournal!G$1),0),"")</f>
        <v>45014</v>
      </c>
      <c r="F1357" s="95" t="str">
        <f t="shared" si="109"/>
        <v>2023 03</v>
      </c>
      <c r="G1357" s="96" t="s">
        <v>5</v>
      </c>
      <c r="H1357" s="160" t="str">
        <f>RIGHT(Journal!$J1357,9)</f>
        <v>SMS-55697</v>
      </c>
      <c r="I1357" s="96" t="str">
        <f t="shared" si="106"/>
        <v>The Smurfs</v>
      </c>
      <c r="J1357" s="97" t="s">
        <v>602</v>
      </c>
      <c r="K1357" s="29">
        <v>12.49</v>
      </c>
      <c r="L1357" s="29">
        <v>-2.5</v>
      </c>
      <c r="M1357" s="30">
        <f>IFERROR(VLOOKUP($A1357,HeadJournal!$A$1:$J$890,COLUMN(HeadJournal!I$1),0)*($K1357+$L1357)/(SUMIF($A:$A,$A1357,$K:$K)+SUMIF($A:$A,$A1357,$L:$L)),0)</f>
        <v>2.6775205291970743E-2</v>
      </c>
      <c r="N1357" s="30">
        <f>IFERROR((VLOOKUP($A1357,HeadJournal!$A$1:$K$890,COLUMN(HeadJournal!K$1),0)-VLOOKUP($A1357,HeadJournal!$A$1:$K$890,COLUMN(HeadJournal!J$1),0))*($K1357+$L1357)/(SUMIF($A:$A,$A1357,$K:$K)+SUMIF($A:$A,$A1357,$L:$L)),0)</f>
        <v>1.61914277605917E-15</v>
      </c>
      <c r="O1357" s="30">
        <f>IFERROR((VLOOKUP($A1357,HeadJournal!$A$1:$L$890,COLUMN(HeadJournal!L$1),0)*($K1357+$L1357)/(SUMIF($A:$A,$A1357,$K:$K)+SUMIF($A:$A,$A1357,$L:$L)))/VLOOKUP($A1357,HeadJournal!$A$1:$L$890,COLUMN(HeadJournal!H$1),0),0)</f>
        <v>0.88971426846285973</v>
      </c>
      <c r="P1357" s="30">
        <f>IFERROR(SUM(K1357:O1357)*VLOOKUP($A1357,HeadJournal!$A$1:$L$890,COLUMN(HeadJournal!H$1),0),0)</f>
        <v>927.05160526916086</v>
      </c>
      <c r="Q1357" s="29">
        <v>1800</v>
      </c>
      <c r="R1357" s="31">
        <v>45402</v>
      </c>
      <c r="S1357" s="31" t="s">
        <v>3121</v>
      </c>
      <c r="T1357" s="95" t="str">
        <f t="shared" si="110"/>
        <v>2024 04</v>
      </c>
      <c r="U1357" s="32">
        <f t="shared" si="107"/>
        <v>872.94839473083914</v>
      </c>
      <c r="V1357" s="22">
        <f t="shared" si="108"/>
        <v>0.94163948346477067</v>
      </c>
      <c r="X1357" s="33"/>
      <c r="Y1357" s="33"/>
    </row>
    <row r="1358" spans="1:25" x14ac:dyDescent="0.2">
      <c r="A1358" s="93" t="s">
        <v>599</v>
      </c>
      <c r="B1358" s="94" t="str">
        <f>IFERROR(VLOOKUP($A1358,HeadJournal!$A$1:$NTR$890,COLUMN(HeadJournal!B$1),0),"")</f>
        <v>710000705343</v>
      </c>
      <c r="C1358" s="94" t="str">
        <f>IFERROR(VLOOKUP($A1358,HeadJournal!$A$1:$NTR$890,COLUMN(HeadJournal!C$1),0),"")</f>
        <v>iHerb_MH DLE7202</v>
      </c>
      <c r="D1358" s="125" t="str">
        <f>IFERROR(VLOOKUP($A1358,HeadJournal!$A$1:$NTR$890,COLUMN(HeadJournal!D$1),0),"")</f>
        <v>Доставлен</v>
      </c>
      <c r="E1358" s="95">
        <f>IFERROR(VLOOKUP($A1358,HeadJournal!$A$1:$NTR$890,COLUMN(HeadJournal!G$1),0),"")</f>
        <v>45014</v>
      </c>
      <c r="F1358" s="95" t="str">
        <f t="shared" si="109"/>
        <v>2023 03</v>
      </c>
      <c r="G1358" s="96" t="s">
        <v>5</v>
      </c>
      <c r="H1358" s="160" t="str">
        <f>RIGHT(Journal!$J1358,9)</f>
        <v>VGL-10032</v>
      </c>
      <c r="I1358" s="96" t="str">
        <f t="shared" ref="I1358:I1421" si="111">IFERROR(LEFT(J1358,FIND(",",J1358)-1),"")</f>
        <v>VegLife</v>
      </c>
      <c r="J1358" s="97" t="s">
        <v>603</v>
      </c>
      <c r="K1358" s="29">
        <v>6.92</v>
      </c>
      <c r="L1358" s="29">
        <v>-1.73</v>
      </c>
      <c r="M1358" s="30">
        <f>IFERROR(VLOOKUP($A1358,HeadJournal!$A$1:$J$890,COLUMN(HeadJournal!I$1),0)*($K1358+$L1358)/(SUMIF($A:$A,$A1358,$K:$K)+SUMIF($A:$A,$A1358,$L:$L)),0)</f>
        <v>1.3910241788321134E-2</v>
      </c>
      <c r="N1358" s="30">
        <f>IFERROR((VLOOKUP($A1358,HeadJournal!$A$1:$K$890,COLUMN(HeadJournal!K$1),0)-VLOOKUP($A1358,HeadJournal!$A$1:$K$890,COLUMN(HeadJournal!J$1),0))*($K1358+$L1358)/(SUMIF($A:$A,$A1358,$K:$K)+SUMIF($A:$A,$A1358,$L:$L)),0)</f>
        <v>8.4117627705176092E-16</v>
      </c>
      <c r="O1358" s="30">
        <f>IFERROR((VLOOKUP($A1358,HeadJournal!$A$1:$L$890,COLUMN(HeadJournal!L$1),0)*($K1358+$L1358)/(SUMIF($A:$A,$A1358,$K:$K)+SUMIF($A:$A,$A1358,$L:$L)))/VLOOKUP($A1358,HeadJournal!$A$1:$L$890,COLUMN(HeadJournal!H$1),0),0)</f>
        <v>0.46222392926148559</v>
      </c>
      <c r="P1358" s="30">
        <f>IFERROR(SUM(K1358:O1358)*VLOOKUP($A1358,HeadJournal!$A$1:$L$890,COLUMN(HeadJournal!H$1),0),0)</f>
        <v>481.62140453923359</v>
      </c>
      <c r="Q1358" s="29">
        <v>1200</v>
      </c>
      <c r="R1358" s="31">
        <v>45185</v>
      </c>
      <c r="S1358" s="31" t="s">
        <v>3121</v>
      </c>
      <c r="T1358" s="95" t="str">
        <f t="shared" si="110"/>
        <v>2023 09</v>
      </c>
      <c r="U1358" s="32">
        <f t="shared" si="107"/>
        <v>718.37859546076641</v>
      </c>
      <c r="V1358" s="22">
        <f t="shared" si="108"/>
        <v>1.4915836146195329</v>
      </c>
      <c r="X1358" s="33"/>
      <c r="Y1358" s="33"/>
    </row>
    <row r="1359" spans="1:25" x14ac:dyDescent="0.2">
      <c r="A1359" s="93" t="s">
        <v>599</v>
      </c>
      <c r="B1359" s="94" t="str">
        <f>IFERROR(VLOOKUP($A1359,HeadJournal!$A$1:$NTR$890,COLUMN(HeadJournal!B$1),0),"")</f>
        <v>710000705343</v>
      </c>
      <c r="C1359" s="94" t="str">
        <f>IFERROR(VLOOKUP($A1359,HeadJournal!$A$1:$NTR$890,COLUMN(HeadJournal!C$1),0),"")</f>
        <v>iHerb_MH DLE7202</v>
      </c>
      <c r="D1359" s="125" t="str">
        <f>IFERROR(VLOOKUP($A1359,HeadJournal!$A$1:$NTR$890,COLUMN(HeadJournal!D$1),0),"")</f>
        <v>Доставлен</v>
      </c>
      <c r="E1359" s="95">
        <f>IFERROR(VLOOKUP($A1359,HeadJournal!$A$1:$NTR$890,COLUMN(HeadJournal!G$1),0),"")</f>
        <v>45014</v>
      </c>
      <c r="F1359" s="95" t="str">
        <f t="shared" si="109"/>
        <v>2023 03</v>
      </c>
      <c r="G1359" s="96" t="s">
        <v>5</v>
      </c>
      <c r="H1359" s="161" t="s">
        <v>2656</v>
      </c>
      <c r="I1359" s="97" t="s">
        <v>2657</v>
      </c>
      <c r="J1359" s="97" t="s">
        <v>2658</v>
      </c>
      <c r="K1359" s="29">
        <v>12.49</v>
      </c>
      <c r="L1359" s="29">
        <v>-2.5</v>
      </c>
      <c r="M1359" s="30">
        <f>IFERROR(VLOOKUP($A1359,HeadJournal!$A$1:$J$890,COLUMN(HeadJournal!I$1),0)*($K1359+$L1359)/(SUMIF($A:$A,$A1359,$K:$K)+SUMIF($A:$A,$A1359,$L:$L)),0)</f>
        <v>2.6775205291970743E-2</v>
      </c>
      <c r="N1359" s="30">
        <f>IFERROR((VLOOKUP($A1359,HeadJournal!$A$1:$K$890,COLUMN(HeadJournal!K$1),0)-VLOOKUP($A1359,HeadJournal!$A$1:$K$890,COLUMN(HeadJournal!J$1),0))*($K1359+$L1359)/(SUMIF($A:$A,$A1359,$K:$K)+SUMIF($A:$A,$A1359,$L:$L)),0)</f>
        <v>1.61914277605917E-15</v>
      </c>
      <c r="O1359" s="30">
        <f>IFERROR((VLOOKUP($A1359,HeadJournal!$A$1:$L$890,COLUMN(HeadJournal!L$1),0)*($K1359+$L1359)/(SUMIF($A:$A,$A1359,$K:$K)+SUMIF($A:$A,$A1359,$L:$L)))/VLOOKUP($A1359,HeadJournal!$A$1:$L$890,COLUMN(HeadJournal!H$1),0),0)</f>
        <v>0.88971426846285973</v>
      </c>
      <c r="P1359" s="30">
        <f>IFERROR(SUM(K1359:O1359)*VLOOKUP($A1359,HeadJournal!$A$1:$L$890,COLUMN(HeadJournal!H$1),0),0)</f>
        <v>927.05160526916086</v>
      </c>
      <c r="Q1359" s="29">
        <v>1700</v>
      </c>
      <c r="R1359" s="31">
        <v>45366</v>
      </c>
      <c r="S1359" s="31" t="s">
        <v>3121</v>
      </c>
      <c r="T1359" s="95" t="str">
        <f t="shared" si="110"/>
        <v>2024 03</v>
      </c>
      <c r="U1359" s="32">
        <f t="shared" si="107"/>
        <v>772.94839473083914</v>
      </c>
      <c r="V1359" s="22">
        <f t="shared" si="108"/>
        <v>0.83377062327228346</v>
      </c>
      <c r="X1359" s="33"/>
      <c r="Y1359" s="33"/>
    </row>
    <row r="1360" spans="1:25" x14ac:dyDescent="0.2">
      <c r="A1360" s="93" t="s">
        <v>599</v>
      </c>
      <c r="B1360" s="94" t="str">
        <f>IFERROR(VLOOKUP($A1360,HeadJournal!$A$1:$NTR$890,COLUMN(HeadJournal!B$1),0),"")</f>
        <v>710000705343</v>
      </c>
      <c r="C1360" s="94" t="str">
        <f>IFERROR(VLOOKUP($A1360,HeadJournal!$A$1:$NTR$890,COLUMN(HeadJournal!C$1),0),"")</f>
        <v>iHerb_MH DLE7202</v>
      </c>
      <c r="D1360" s="125" t="str">
        <f>IFERROR(VLOOKUP($A1360,HeadJournal!$A$1:$NTR$890,COLUMN(HeadJournal!D$1),0),"")</f>
        <v>Доставлен</v>
      </c>
      <c r="E1360" s="95">
        <f>IFERROR(VLOOKUP($A1360,HeadJournal!$A$1:$NTR$890,COLUMN(HeadJournal!G$1),0),"")</f>
        <v>45014</v>
      </c>
      <c r="F1360" s="95" t="str">
        <f t="shared" si="109"/>
        <v>2023 03</v>
      </c>
      <c r="G1360" s="96" t="s">
        <v>6</v>
      </c>
      <c r="H1360" s="160" t="str">
        <f>RIGHT(Journal!$J1360,9)</f>
        <v>MSC-60676</v>
      </c>
      <c r="I1360" s="96" t="str">
        <f t="shared" si="111"/>
        <v>MuscleTech</v>
      </c>
      <c r="J1360" s="97" t="s">
        <v>604</v>
      </c>
      <c r="K1360" s="29">
        <v>27.76</v>
      </c>
      <c r="L1360" s="29">
        <v>-8.76</v>
      </c>
      <c r="M1360" s="30">
        <f>IFERROR(VLOOKUP($A1360,HeadJournal!$A$1:$J$890,COLUMN(HeadJournal!I$1),0)*($K1360+$L1360)/(SUMIF($A:$A,$A1360,$K:$K)+SUMIF($A:$A,$A1360,$L:$L)),0)</f>
        <v>5.092381386861302E-2</v>
      </c>
      <c r="N1360" s="30">
        <f>IFERROR((VLOOKUP($A1360,HeadJournal!$A$1:$K$890,COLUMN(HeadJournal!K$1),0)-VLOOKUP($A1360,HeadJournal!$A$1:$K$890,COLUMN(HeadJournal!J$1),0))*($K1360+$L1360)/(SUMIF($A:$A,$A1360,$K:$K)+SUMIF($A:$A,$A1360,$L:$L)),0)</f>
        <v>3.0794507252376608E-15</v>
      </c>
      <c r="O1360" s="30">
        <f>IFERROR((VLOOKUP($A1360,HeadJournal!$A$1:$L$890,COLUMN(HeadJournal!L$1),0)*($K1360+$L1360)/(SUMIF($A:$A,$A1360,$K:$K)+SUMIF($A:$A,$A1360,$L:$L)))/VLOOKUP($A1360,HeadJournal!$A$1:$L$890,COLUMN(HeadJournal!H$1),0),0)</f>
        <v>1.6921492593387721</v>
      </c>
      <c r="P1360" s="30">
        <f>IFERROR(SUM(K1360:O1360)*VLOOKUP($A1360,HeadJournal!$A$1:$L$890,COLUMN(HeadJournal!H$1),0),0)</f>
        <v>1763.1612112226283</v>
      </c>
      <c r="Q1360" s="29">
        <v>2700</v>
      </c>
      <c r="R1360" s="31">
        <v>45048</v>
      </c>
      <c r="S1360" s="31" t="s">
        <v>3121</v>
      </c>
      <c r="T1360" s="95" t="str">
        <f t="shared" si="110"/>
        <v>2023 05</v>
      </c>
      <c r="U1360" s="32">
        <f t="shared" si="107"/>
        <v>936.83878877737175</v>
      </c>
      <c r="V1360" s="22">
        <f t="shared" si="108"/>
        <v>0.53134040314313624</v>
      </c>
      <c r="X1360" s="33"/>
      <c r="Y1360" s="33"/>
    </row>
    <row r="1361" spans="1:25" x14ac:dyDescent="0.2">
      <c r="A1361" s="93" t="s">
        <v>605</v>
      </c>
      <c r="B1361" s="94" t="str">
        <f>IFERROR(VLOOKUP($A1361,HeadJournal!$A$1:$NTR$890,COLUMN(HeadJournal!B$1),0),"")</f>
        <v>710000699962</v>
      </c>
      <c r="C1361" s="94" t="str">
        <f>IFERROR(VLOOKUP($A1361,HeadJournal!$A$1:$NTR$890,COLUMN(HeadJournal!C$1),0),"")</f>
        <v>iHerb_OA CZN6870</v>
      </c>
      <c r="D1361" s="125" t="str">
        <f>IFERROR(VLOOKUP($A1361,HeadJournal!$A$1:$NTR$890,COLUMN(HeadJournal!D$1),0),"")</f>
        <v>Доставлен</v>
      </c>
      <c r="E1361" s="95">
        <f>IFERROR(VLOOKUP($A1361,HeadJournal!$A$1:$NTR$890,COLUMN(HeadJournal!G$1),0),"")</f>
        <v>45011</v>
      </c>
      <c r="F1361" s="95" t="str">
        <f t="shared" si="109"/>
        <v>2023 03</v>
      </c>
      <c r="G1361" s="96" t="s">
        <v>5</v>
      </c>
      <c r="H1361" s="161" t="s">
        <v>2174</v>
      </c>
      <c r="I1361" s="97" t="s">
        <v>2005</v>
      </c>
      <c r="J1361" s="97" t="s">
        <v>2175</v>
      </c>
      <c r="K1361" s="29">
        <v>5.24</v>
      </c>
      <c r="L1361" s="29">
        <v>-0.52333333333333332</v>
      </c>
      <c r="M1361" s="30">
        <f>IFERROR(VLOOKUP($A1361,HeadJournal!$A$1:$J$890,COLUMN(HeadJournal!I$1),0)*($K1361+$L1361)/(SUMIF($A:$A,$A1361,$K:$K)+SUMIF($A:$A,$A1361,$L:$L)),0)</f>
        <v>0.26225424557376353</v>
      </c>
      <c r="N1361" s="30">
        <f>IFERROR((VLOOKUP($A1361,HeadJournal!$A$1:$K$890,COLUMN(HeadJournal!K$1),0)-VLOOKUP($A1361,HeadJournal!$A$1:$K$890,COLUMN(HeadJournal!J$1),0))*($K1361+$L1361)/(SUMIF($A:$A,$A1361,$K:$K)+SUMIF($A:$A,$A1361,$L:$L)),0)</f>
        <v>0</v>
      </c>
      <c r="O1361" s="30">
        <f>IFERROR((VLOOKUP($A1361,HeadJournal!$A$1:$L$890,COLUMN(HeadJournal!L$1),0)*($K1361+$L1361)/(SUMIF($A:$A,$A1361,$K:$K)+SUMIF($A:$A,$A1361,$L:$L)))/VLOOKUP($A1361,HeadJournal!$A$1:$L$890,COLUMN(HeadJournal!H$1),0),0)</f>
        <v>0.46569773172437495</v>
      </c>
      <c r="P1361" s="30">
        <f>IFERROR(SUM(K1361:O1361)*VLOOKUP($A1361,HeadJournal!$A$1:$L$890,COLUMN(HeadJournal!H$1),0),0)</f>
        <v>466.77105358243529</v>
      </c>
      <c r="Q1361" s="29">
        <v>850</v>
      </c>
      <c r="R1361" s="31">
        <v>45061</v>
      </c>
      <c r="S1361" s="31" t="s">
        <v>3121</v>
      </c>
      <c r="T1361" s="95" t="str">
        <f t="shared" si="110"/>
        <v>2023 05</v>
      </c>
      <c r="U1361" s="32">
        <f t="shared" si="107"/>
        <v>383.22894641756471</v>
      </c>
      <c r="V1361" s="22">
        <f t="shared" si="108"/>
        <v>0.82102123402106719</v>
      </c>
      <c r="X1361" s="33"/>
      <c r="Y1361" s="33"/>
    </row>
    <row r="1362" spans="1:25" x14ac:dyDescent="0.2">
      <c r="A1362" s="93" t="s">
        <v>605</v>
      </c>
      <c r="B1362" s="94" t="str">
        <f>IFERROR(VLOOKUP($A1362,HeadJournal!$A$1:$NTR$890,COLUMN(HeadJournal!B$1),0),"")</f>
        <v>710000699962</v>
      </c>
      <c r="C1362" s="94" t="str">
        <f>IFERROR(VLOOKUP($A1362,HeadJournal!$A$1:$NTR$890,COLUMN(HeadJournal!C$1),0),"")</f>
        <v>iHerb_OA CZN6870</v>
      </c>
      <c r="D1362" s="125" t="str">
        <f>IFERROR(VLOOKUP($A1362,HeadJournal!$A$1:$NTR$890,COLUMN(HeadJournal!D$1),0),"")</f>
        <v>Доставлен</v>
      </c>
      <c r="E1362" s="95">
        <f>IFERROR(VLOOKUP($A1362,HeadJournal!$A$1:$NTR$890,COLUMN(HeadJournal!G$1),0),"")</f>
        <v>45011</v>
      </c>
      <c r="F1362" s="95" t="str">
        <f t="shared" si="109"/>
        <v>2023 03</v>
      </c>
      <c r="G1362" s="96" t="s">
        <v>5</v>
      </c>
      <c r="H1362" s="161" t="s">
        <v>2174</v>
      </c>
      <c r="I1362" s="97" t="s">
        <v>2005</v>
      </c>
      <c r="J1362" s="97" t="s">
        <v>2175</v>
      </c>
      <c r="K1362" s="29">
        <v>5.24</v>
      </c>
      <c r="L1362" s="29">
        <v>-0.52333333333333332</v>
      </c>
      <c r="M1362" s="30">
        <f>IFERROR(VLOOKUP($A1362,HeadJournal!$A$1:$J$890,COLUMN(HeadJournal!I$1),0)*($K1362+$L1362)/(SUMIF($A:$A,$A1362,$K:$K)+SUMIF($A:$A,$A1362,$L:$L)),0)</f>
        <v>0.26225424557376353</v>
      </c>
      <c r="N1362" s="30">
        <f>IFERROR((VLOOKUP($A1362,HeadJournal!$A$1:$K$890,COLUMN(HeadJournal!K$1),0)-VLOOKUP($A1362,HeadJournal!$A$1:$K$890,COLUMN(HeadJournal!J$1),0))*($K1362+$L1362)/(SUMIF($A:$A,$A1362,$K:$K)+SUMIF($A:$A,$A1362,$L:$L)),0)</f>
        <v>0</v>
      </c>
      <c r="O1362" s="30">
        <f>IFERROR((VLOOKUP($A1362,HeadJournal!$A$1:$L$890,COLUMN(HeadJournal!L$1),0)*($K1362+$L1362)/(SUMIF($A:$A,$A1362,$K:$K)+SUMIF($A:$A,$A1362,$L:$L)))/VLOOKUP($A1362,HeadJournal!$A$1:$L$890,COLUMN(HeadJournal!H$1),0),0)</f>
        <v>0.46569773172437495</v>
      </c>
      <c r="P1362" s="30">
        <f>IFERROR(SUM(K1362:O1362)*VLOOKUP($A1362,HeadJournal!$A$1:$L$890,COLUMN(HeadJournal!H$1),0),0)</f>
        <v>466.77105358243529</v>
      </c>
      <c r="Q1362" s="29">
        <v>850</v>
      </c>
      <c r="R1362" s="31">
        <v>45119</v>
      </c>
      <c r="S1362" s="31" t="s">
        <v>3121</v>
      </c>
      <c r="T1362" s="95" t="str">
        <f t="shared" si="110"/>
        <v>2023 07</v>
      </c>
      <c r="U1362" s="32">
        <f t="shared" si="107"/>
        <v>383.22894641756471</v>
      </c>
      <c r="V1362" s="22">
        <f t="shared" si="108"/>
        <v>0.82102123402106719</v>
      </c>
      <c r="X1362" s="33"/>
      <c r="Y1362" s="33"/>
    </row>
    <row r="1363" spans="1:25" x14ac:dyDescent="0.2">
      <c r="A1363" s="93" t="s">
        <v>605</v>
      </c>
      <c r="B1363" s="94" t="str">
        <f>IFERROR(VLOOKUP($A1363,HeadJournal!$A$1:$NTR$890,COLUMN(HeadJournal!B$1),0),"")</f>
        <v>710000699962</v>
      </c>
      <c r="C1363" s="94" t="str">
        <f>IFERROR(VLOOKUP($A1363,HeadJournal!$A$1:$NTR$890,COLUMN(HeadJournal!C$1),0),"")</f>
        <v>iHerb_OA CZN6870</v>
      </c>
      <c r="D1363" s="125" t="str">
        <f>IFERROR(VLOOKUP($A1363,HeadJournal!$A$1:$NTR$890,COLUMN(HeadJournal!D$1),0),"")</f>
        <v>Доставлен</v>
      </c>
      <c r="E1363" s="95">
        <f>IFERROR(VLOOKUP($A1363,HeadJournal!$A$1:$NTR$890,COLUMN(HeadJournal!G$1),0),"")</f>
        <v>45011</v>
      </c>
      <c r="F1363" s="95" t="str">
        <f t="shared" si="109"/>
        <v>2023 03</v>
      </c>
      <c r="G1363" s="96" t="s">
        <v>5</v>
      </c>
      <c r="H1363" s="161" t="s">
        <v>2174</v>
      </c>
      <c r="I1363" s="97" t="s">
        <v>2005</v>
      </c>
      <c r="J1363" s="97" t="s">
        <v>2175</v>
      </c>
      <c r="K1363" s="29">
        <v>5.24</v>
      </c>
      <c r="L1363" s="29">
        <v>-0.52333333333333332</v>
      </c>
      <c r="M1363" s="30">
        <f>IFERROR(VLOOKUP($A1363,HeadJournal!$A$1:$J$890,COLUMN(HeadJournal!I$1),0)*($K1363+$L1363)/(SUMIF($A:$A,$A1363,$K:$K)+SUMIF($A:$A,$A1363,$L:$L)),0)</f>
        <v>0.26225424557376353</v>
      </c>
      <c r="N1363" s="30">
        <f>IFERROR((VLOOKUP($A1363,HeadJournal!$A$1:$K$890,COLUMN(HeadJournal!K$1),0)-VLOOKUP($A1363,HeadJournal!$A$1:$K$890,COLUMN(HeadJournal!J$1),0))*($K1363+$L1363)/(SUMIF($A:$A,$A1363,$K:$K)+SUMIF($A:$A,$A1363,$L:$L)),0)</f>
        <v>0</v>
      </c>
      <c r="O1363" s="30">
        <f>IFERROR((VLOOKUP($A1363,HeadJournal!$A$1:$L$890,COLUMN(HeadJournal!L$1),0)*($K1363+$L1363)/(SUMIF($A:$A,$A1363,$K:$K)+SUMIF($A:$A,$A1363,$L:$L)))/VLOOKUP($A1363,HeadJournal!$A$1:$L$890,COLUMN(HeadJournal!H$1),0),0)</f>
        <v>0.46569773172437495</v>
      </c>
      <c r="P1363" s="30">
        <f>IFERROR(SUM(K1363:O1363)*VLOOKUP($A1363,HeadJournal!$A$1:$L$890,COLUMN(HeadJournal!H$1),0),0)</f>
        <v>466.77105358243529</v>
      </c>
      <c r="Q1363" s="29">
        <v>900</v>
      </c>
      <c r="R1363" s="31">
        <v>45167</v>
      </c>
      <c r="S1363" s="31" t="s">
        <v>3121</v>
      </c>
      <c r="T1363" s="95" t="str">
        <f t="shared" si="110"/>
        <v>2023 08</v>
      </c>
      <c r="U1363" s="32">
        <f t="shared" si="107"/>
        <v>433.22894641756471</v>
      </c>
      <c r="V1363" s="22">
        <f t="shared" si="108"/>
        <v>0.92814013013995356</v>
      </c>
      <c r="X1363" s="33"/>
      <c r="Y1363" s="33"/>
    </row>
    <row r="1364" spans="1:25" x14ac:dyDescent="0.2">
      <c r="A1364" s="93" t="s">
        <v>605</v>
      </c>
      <c r="B1364" s="94" t="str">
        <f>IFERROR(VLOOKUP($A1364,HeadJournal!$A$1:$NTR$890,COLUMN(HeadJournal!B$1),0),"")</f>
        <v>710000699962</v>
      </c>
      <c r="C1364" s="94" t="str">
        <f>IFERROR(VLOOKUP($A1364,HeadJournal!$A$1:$NTR$890,COLUMN(HeadJournal!C$1),0),"")</f>
        <v>iHerb_OA CZN6870</v>
      </c>
      <c r="D1364" s="125" t="str">
        <f>IFERROR(VLOOKUP($A1364,HeadJournal!$A$1:$NTR$890,COLUMN(HeadJournal!D$1),0),"")</f>
        <v>Доставлен</v>
      </c>
      <c r="E1364" s="95">
        <f>IFERROR(VLOOKUP($A1364,HeadJournal!$A$1:$NTR$890,COLUMN(HeadJournal!G$1),0),"")</f>
        <v>45011</v>
      </c>
      <c r="F1364" s="95" t="str">
        <f t="shared" si="109"/>
        <v>2023 03</v>
      </c>
      <c r="G1364" s="96" t="s">
        <v>5</v>
      </c>
      <c r="H1364" s="161" t="s">
        <v>4093</v>
      </c>
      <c r="I1364" s="97" t="s">
        <v>2657</v>
      </c>
      <c r="J1364" s="97" t="s">
        <v>4094</v>
      </c>
      <c r="K1364" s="29">
        <v>12.49</v>
      </c>
      <c r="L1364" s="29">
        <v>-2.5</v>
      </c>
      <c r="M1364" s="30">
        <f>IFERROR(VLOOKUP($A1364,HeadJournal!$A$1:$J$890,COLUMN(HeadJournal!I$1),0)*($K1364+$L1364)/(SUMIF($A:$A,$A1364,$K:$K)+SUMIF($A:$A,$A1364,$L:$L)),0)</f>
        <v>0.55546005228591466</v>
      </c>
      <c r="N1364" s="30">
        <f>IFERROR((VLOOKUP($A1364,HeadJournal!$A$1:$K$890,COLUMN(HeadJournal!K$1),0)-VLOOKUP($A1364,HeadJournal!$A$1:$K$890,COLUMN(HeadJournal!J$1),0))*($K1364+$L1364)/(SUMIF($A:$A,$A1364,$K:$K)+SUMIF($A:$A,$A1364,$L:$L)),0)</f>
        <v>0</v>
      </c>
      <c r="O1364" s="30">
        <f>IFERROR((VLOOKUP($A1364,HeadJournal!$A$1:$L$890,COLUMN(HeadJournal!L$1),0)*($K1364+$L1364)/(SUMIF($A:$A,$A1364,$K:$K)+SUMIF($A:$A,$A1364,$L:$L)))/VLOOKUP($A1364,HeadJournal!$A$1:$L$890,COLUMN(HeadJournal!H$1),0),0)</f>
        <v>0.98635766924236878</v>
      </c>
      <c r="P1364" s="30">
        <f>IFERROR(SUM(K1364:O1364)*VLOOKUP($A1364,HeadJournal!$A$1:$L$890,COLUMN(HeadJournal!H$1),0),0)</f>
        <v>988.63098769368094</v>
      </c>
      <c r="Q1364" s="29">
        <v>1600</v>
      </c>
      <c r="R1364" s="31">
        <v>45253</v>
      </c>
      <c r="S1364" s="31" t="s">
        <v>3121</v>
      </c>
      <c r="T1364" s="95" t="str">
        <f t="shared" si="110"/>
        <v>2023 11</v>
      </c>
      <c r="U1364" s="32">
        <f t="shared" si="107"/>
        <v>611.36901230631906</v>
      </c>
      <c r="V1364" s="22">
        <f t="shared" si="108"/>
        <v>0.61839960502608349</v>
      </c>
      <c r="X1364" s="33"/>
      <c r="Y1364" s="33"/>
    </row>
    <row r="1365" spans="1:25" x14ac:dyDescent="0.2">
      <c r="A1365" s="93" t="s">
        <v>605</v>
      </c>
      <c r="B1365" s="94" t="str">
        <f>IFERROR(VLOOKUP($A1365,HeadJournal!$A$1:$NTR$890,COLUMN(HeadJournal!B$1),0),"")</f>
        <v>710000699962</v>
      </c>
      <c r="C1365" s="94" t="str">
        <f>IFERROR(VLOOKUP($A1365,HeadJournal!$A$1:$NTR$890,COLUMN(HeadJournal!C$1),0),"")</f>
        <v>iHerb_OA CZN6870</v>
      </c>
      <c r="D1365" s="125" t="str">
        <f>IFERROR(VLOOKUP($A1365,HeadJournal!$A$1:$NTR$890,COLUMN(HeadJournal!D$1),0),"")</f>
        <v>Доставлен</v>
      </c>
      <c r="E1365" s="95">
        <f>IFERROR(VLOOKUP($A1365,HeadJournal!$A$1:$NTR$890,COLUMN(HeadJournal!G$1),0),"")</f>
        <v>45011</v>
      </c>
      <c r="F1365" s="95" t="str">
        <f t="shared" si="109"/>
        <v>2023 03</v>
      </c>
      <c r="G1365" s="96" t="s">
        <v>5</v>
      </c>
      <c r="H1365" s="161" t="s">
        <v>4093</v>
      </c>
      <c r="I1365" s="97" t="s">
        <v>2657</v>
      </c>
      <c r="J1365" s="97" t="s">
        <v>4094</v>
      </c>
      <c r="K1365" s="29">
        <v>12.49</v>
      </c>
      <c r="L1365" s="29">
        <v>-2.5</v>
      </c>
      <c r="M1365" s="30">
        <f>IFERROR(VLOOKUP($A1365,HeadJournal!$A$1:$J$890,COLUMN(HeadJournal!I$1),0)*($K1365+$L1365)/(SUMIF($A:$A,$A1365,$K:$K)+SUMIF($A:$A,$A1365,$L:$L)),0)</f>
        <v>0.55546005228591466</v>
      </c>
      <c r="N1365" s="30">
        <f>IFERROR((VLOOKUP($A1365,HeadJournal!$A$1:$K$890,COLUMN(HeadJournal!K$1),0)-VLOOKUP($A1365,HeadJournal!$A$1:$K$890,COLUMN(HeadJournal!J$1),0))*($K1365+$L1365)/(SUMIF($A:$A,$A1365,$K:$K)+SUMIF($A:$A,$A1365,$L:$L)),0)</f>
        <v>0</v>
      </c>
      <c r="O1365" s="30">
        <f>IFERROR((VLOOKUP($A1365,HeadJournal!$A$1:$L$890,COLUMN(HeadJournal!L$1),0)*($K1365+$L1365)/(SUMIF($A:$A,$A1365,$K:$K)+SUMIF($A:$A,$A1365,$L:$L)))/VLOOKUP($A1365,HeadJournal!$A$1:$L$890,COLUMN(HeadJournal!H$1),0),0)</f>
        <v>0.98635766924236878</v>
      </c>
      <c r="P1365" s="30">
        <f>IFERROR(SUM(K1365:O1365)*VLOOKUP($A1365,HeadJournal!$A$1:$L$890,COLUMN(HeadJournal!H$1),0),0)</f>
        <v>988.63098769368094</v>
      </c>
      <c r="Q1365" s="29">
        <v>1600</v>
      </c>
      <c r="R1365" s="31">
        <v>45271</v>
      </c>
      <c r="S1365" s="31" t="s">
        <v>3121</v>
      </c>
      <c r="T1365" s="95" t="str">
        <f t="shared" si="110"/>
        <v>2023 12</v>
      </c>
      <c r="U1365" s="32">
        <f t="shared" si="107"/>
        <v>611.36901230631906</v>
      </c>
      <c r="V1365" s="22">
        <f t="shared" si="108"/>
        <v>0.61839960502608349</v>
      </c>
      <c r="X1365" s="33"/>
      <c r="Y1365" s="33"/>
    </row>
    <row r="1366" spans="1:25" x14ac:dyDescent="0.2">
      <c r="A1366" s="93" t="s">
        <v>605</v>
      </c>
      <c r="B1366" s="94" t="str">
        <f>IFERROR(VLOOKUP($A1366,HeadJournal!$A$1:$NTR$890,COLUMN(HeadJournal!B$1),0),"")</f>
        <v>710000699962</v>
      </c>
      <c r="C1366" s="94" t="str">
        <f>IFERROR(VLOOKUP($A1366,HeadJournal!$A$1:$NTR$890,COLUMN(HeadJournal!C$1),0),"")</f>
        <v>iHerb_OA CZN6870</v>
      </c>
      <c r="D1366" s="125" t="str">
        <f>IFERROR(VLOOKUP($A1366,HeadJournal!$A$1:$NTR$890,COLUMN(HeadJournal!D$1),0),"")</f>
        <v>Доставлен</v>
      </c>
      <c r="E1366" s="95">
        <f>IFERROR(VLOOKUP($A1366,HeadJournal!$A$1:$NTR$890,COLUMN(HeadJournal!G$1),0),"")</f>
        <v>45011</v>
      </c>
      <c r="F1366" s="95" t="str">
        <f t="shared" si="109"/>
        <v>2023 03</v>
      </c>
      <c r="G1366" s="96" t="s">
        <v>5</v>
      </c>
      <c r="H1366" s="161" t="s">
        <v>4093</v>
      </c>
      <c r="I1366" s="97" t="s">
        <v>2657</v>
      </c>
      <c r="J1366" s="97" t="s">
        <v>4094</v>
      </c>
      <c r="K1366" s="29">
        <v>12.49</v>
      </c>
      <c r="L1366" s="29">
        <v>-2.5</v>
      </c>
      <c r="M1366" s="30">
        <f>IFERROR(VLOOKUP($A1366,HeadJournal!$A$1:$J$890,COLUMN(HeadJournal!I$1),0)*($K1366+$L1366)/(SUMIF($A:$A,$A1366,$K:$K)+SUMIF($A:$A,$A1366,$L:$L)),0)</f>
        <v>0.55546005228591466</v>
      </c>
      <c r="N1366" s="30">
        <f>IFERROR((VLOOKUP($A1366,HeadJournal!$A$1:$K$890,COLUMN(HeadJournal!K$1),0)-VLOOKUP($A1366,HeadJournal!$A$1:$K$890,COLUMN(HeadJournal!J$1),0))*($K1366+$L1366)/(SUMIF($A:$A,$A1366,$K:$K)+SUMIF($A:$A,$A1366,$L:$L)),0)</f>
        <v>0</v>
      </c>
      <c r="O1366" s="30">
        <f>IFERROR((VLOOKUP($A1366,HeadJournal!$A$1:$L$890,COLUMN(HeadJournal!L$1),0)*($K1366+$L1366)/(SUMIF($A:$A,$A1366,$K:$K)+SUMIF($A:$A,$A1366,$L:$L)))/VLOOKUP($A1366,HeadJournal!$A$1:$L$890,COLUMN(HeadJournal!H$1),0),0)</f>
        <v>0.98635766924236878</v>
      </c>
      <c r="P1366" s="30">
        <f>IFERROR(SUM(K1366:O1366)*VLOOKUP($A1366,HeadJournal!$A$1:$L$890,COLUMN(HeadJournal!H$1),0),0)</f>
        <v>988.63098769368094</v>
      </c>
      <c r="Q1366" s="29">
        <v>1600</v>
      </c>
      <c r="R1366" s="31">
        <v>45286</v>
      </c>
      <c r="S1366" s="31" t="s">
        <v>3121</v>
      </c>
      <c r="T1366" s="95" t="str">
        <f t="shared" si="110"/>
        <v>2023 12</v>
      </c>
      <c r="U1366" s="32">
        <f t="shared" si="107"/>
        <v>611.36901230631906</v>
      </c>
      <c r="V1366" s="22">
        <f t="shared" si="108"/>
        <v>0.61839960502608349</v>
      </c>
      <c r="X1366" s="33"/>
      <c r="Y1366" s="33"/>
    </row>
    <row r="1367" spans="1:25" x14ac:dyDescent="0.2">
      <c r="A1367" s="93" t="s">
        <v>605</v>
      </c>
      <c r="B1367" s="94" t="str">
        <f>IFERROR(VLOOKUP($A1367,HeadJournal!$A$1:$NTR$890,COLUMN(HeadJournal!B$1),0),"")</f>
        <v>710000699962</v>
      </c>
      <c r="C1367" s="94" t="str">
        <f>IFERROR(VLOOKUP($A1367,HeadJournal!$A$1:$NTR$890,COLUMN(HeadJournal!C$1),0),"")</f>
        <v>iHerb_OA CZN6870</v>
      </c>
      <c r="D1367" s="125" t="str">
        <f>IFERROR(VLOOKUP($A1367,HeadJournal!$A$1:$NTR$890,COLUMN(HeadJournal!D$1),0),"")</f>
        <v>Доставлен</v>
      </c>
      <c r="E1367" s="95">
        <f>IFERROR(VLOOKUP($A1367,HeadJournal!$A$1:$NTR$890,COLUMN(HeadJournal!G$1),0),"")</f>
        <v>45011</v>
      </c>
      <c r="F1367" s="95" t="str">
        <f t="shared" si="109"/>
        <v>2023 03</v>
      </c>
      <c r="G1367" s="96" t="s">
        <v>7</v>
      </c>
      <c r="H1367" s="160" t="str">
        <f>RIGHT(Journal!$J1367,9)</f>
        <v>ARH-19470</v>
      </c>
      <c r="I1367" s="96" t="str">
        <f t="shared" si="111"/>
        <v>Arm &amp; Hammer</v>
      </c>
      <c r="J1367" s="97" t="s">
        <v>82</v>
      </c>
      <c r="K1367" s="29">
        <v>4.07</v>
      </c>
      <c r="L1367" s="29">
        <v>-0.41</v>
      </c>
      <c r="M1367" s="30">
        <f>IFERROR(VLOOKUP($A1367,HeadJournal!$A$1:$J$890,COLUMN(HeadJournal!I$1),0)*($K1367+$L1367)/(SUMIF($A:$A,$A1367,$K:$K)+SUMIF($A:$A,$A1367,$L:$L)),0)</f>
        <v>0.20350188101766242</v>
      </c>
      <c r="N1367" s="30">
        <f>IFERROR((VLOOKUP($A1367,HeadJournal!$A$1:$K$890,COLUMN(HeadJournal!K$1),0)-VLOOKUP($A1367,HeadJournal!$A$1:$K$890,COLUMN(HeadJournal!J$1),0))*($K1367+$L1367)/(SUMIF($A:$A,$A1367,$K:$K)+SUMIF($A:$A,$A1367,$L:$L)),0)</f>
        <v>0</v>
      </c>
      <c r="O1367" s="30">
        <f>IFERROR((VLOOKUP($A1367,HeadJournal!$A$1:$L$890,COLUMN(HeadJournal!L$1),0)*($K1367+$L1367)/(SUMIF($A:$A,$A1367,$K:$K)+SUMIF($A:$A,$A1367,$L:$L)))/VLOOKUP($A1367,HeadJournal!$A$1:$L$890,COLUMN(HeadJournal!H$1),0),0)</f>
        <v>0.36136827521792492</v>
      </c>
      <c r="P1367" s="30">
        <f>IFERROR(SUM(K1367:O1367)*VLOOKUP($A1367,HeadJournal!$A$1:$L$890,COLUMN(HeadJournal!H$1),0),0)</f>
        <v>362.20114263852577</v>
      </c>
      <c r="Q1367" s="29">
        <v>362.2</v>
      </c>
      <c r="R1367" s="31">
        <v>45342</v>
      </c>
      <c r="S1367" s="31" t="s">
        <v>3121</v>
      </c>
      <c r="T1367" s="95" t="str">
        <f t="shared" si="110"/>
        <v>2024 02</v>
      </c>
      <c r="U1367" s="32">
        <f t="shared" si="107"/>
        <v>-1.1426385257777838E-3</v>
      </c>
      <c r="V1367" s="22">
        <f t="shared" si="108"/>
        <v>-3.1547071261399335E-6</v>
      </c>
      <c r="X1367" s="33"/>
      <c r="Y1367" s="33"/>
    </row>
    <row r="1368" spans="1:25" x14ac:dyDescent="0.2">
      <c r="A1368" s="93" t="s">
        <v>605</v>
      </c>
      <c r="B1368" s="94" t="str">
        <f>IFERROR(VLOOKUP($A1368,HeadJournal!$A$1:$NTR$890,COLUMN(HeadJournal!B$1),0),"")</f>
        <v>710000699962</v>
      </c>
      <c r="C1368" s="94" t="str">
        <f>IFERROR(VLOOKUP($A1368,HeadJournal!$A$1:$NTR$890,COLUMN(HeadJournal!C$1),0),"")</f>
        <v>iHerb_OA CZN6870</v>
      </c>
      <c r="D1368" s="125" t="str">
        <f>IFERROR(VLOOKUP($A1368,HeadJournal!$A$1:$NTR$890,COLUMN(HeadJournal!D$1),0),"")</f>
        <v>Доставлен</v>
      </c>
      <c r="E1368" s="95">
        <f>IFERROR(VLOOKUP($A1368,HeadJournal!$A$1:$NTR$890,COLUMN(HeadJournal!G$1),0),"")</f>
        <v>45011</v>
      </c>
      <c r="F1368" s="95" t="str">
        <f t="shared" si="109"/>
        <v>2023 03</v>
      </c>
      <c r="G1368" s="96" t="s">
        <v>7</v>
      </c>
      <c r="H1368" s="160" t="str">
        <f>RIGHT(Journal!$J1368,9)</f>
        <v>ARH-19460</v>
      </c>
      <c r="I1368" s="96" t="str">
        <f t="shared" si="111"/>
        <v>Arm &amp; Hammer</v>
      </c>
      <c r="J1368" s="97" t="s">
        <v>457</v>
      </c>
      <c r="K1368" s="29">
        <v>4.07</v>
      </c>
      <c r="L1368" s="29">
        <v>-0.41</v>
      </c>
      <c r="M1368" s="30">
        <f>IFERROR(VLOOKUP($A1368,HeadJournal!$A$1:$J$890,COLUMN(HeadJournal!I$1),0)*($K1368+$L1368)/(SUMIF($A:$A,$A1368,$K:$K)+SUMIF($A:$A,$A1368,$L:$L)),0)</f>
        <v>0.20350188101766242</v>
      </c>
      <c r="N1368" s="30">
        <f>IFERROR((VLOOKUP($A1368,HeadJournal!$A$1:$K$890,COLUMN(HeadJournal!K$1),0)-VLOOKUP($A1368,HeadJournal!$A$1:$K$890,COLUMN(HeadJournal!J$1),0))*($K1368+$L1368)/(SUMIF($A:$A,$A1368,$K:$K)+SUMIF($A:$A,$A1368,$L:$L)),0)</f>
        <v>0</v>
      </c>
      <c r="O1368" s="30">
        <f>IFERROR((VLOOKUP($A1368,HeadJournal!$A$1:$L$890,COLUMN(HeadJournal!L$1),0)*($K1368+$L1368)/(SUMIF($A:$A,$A1368,$K:$K)+SUMIF($A:$A,$A1368,$L:$L)))/VLOOKUP($A1368,HeadJournal!$A$1:$L$890,COLUMN(HeadJournal!H$1),0),0)</f>
        <v>0.36136827521792492</v>
      </c>
      <c r="P1368" s="30">
        <f>IFERROR(SUM(K1368:O1368)*VLOOKUP($A1368,HeadJournal!$A$1:$L$890,COLUMN(HeadJournal!H$1),0),0)</f>
        <v>362.20114263852577</v>
      </c>
      <c r="Q1368" s="29">
        <v>362.2</v>
      </c>
      <c r="R1368" s="31">
        <v>45342</v>
      </c>
      <c r="S1368" s="31" t="s">
        <v>3121</v>
      </c>
      <c r="T1368" s="95" t="str">
        <f t="shared" si="110"/>
        <v>2024 02</v>
      </c>
      <c r="U1368" s="32">
        <f t="shared" si="107"/>
        <v>-1.1426385257777838E-3</v>
      </c>
      <c r="V1368" s="22">
        <f t="shared" si="108"/>
        <v>-3.1547071261399335E-6</v>
      </c>
      <c r="X1368" s="33"/>
      <c r="Y1368" s="33"/>
    </row>
    <row r="1369" spans="1:25" x14ac:dyDescent="0.2">
      <c r="A1369" s="93" t="s">
        <v>605</v>
      </c>
      <c r="B1369" s="94" t="str">
        <f>IFERROR(VLOOKUP($A1369,HeadJournal!$A$1:$NTR$890,COLUMN(HeadJournal!B$1),0),"")</f>
        <v>710000699962</v>
      </c>
      <c r="C1369" s="94" t="str">
        <f>IFERROR(VLOOKUP($A1369,HeadJournal!$A$1:$NTR$890,COLUMN(HeadJournal!C$1),0),"")</f>
        <v>iHerb_OA CZN6870</v>
      </c>
      <c r="D1369" s="125" t="str">
        <f>IFERROR(VLOOKUP($A1369,HeadJournal!$A$1:$NTR$890,COLUMN(HeadJournal!D$1),0),"")</f>
        <v>Доставлен</v>
      </c>
      <c r="E1369" s="95">
        <f>IFERROR(VLOOKUP($A1369,HeadJournal!$A$1:$NTR$890,COLUMN(HeadJournal!G$1),0),"")</f>
        <v>45011</v>
      </c>
      <c r="F1369" s="95" t="str">
        <f t="shared" si="109"/>
        <v>2023 03</v>
      </c>
      <c r="G1369" s="96" t="s">
        <v>7</v>
      </c>
      <c r="H1369" s="160" t="str">
        <f>RIGHT(Journal!$J1369,9)</f>
        <v>ARH-19792</v>
      </c>
      <c r="I1369" s="96" t="str">
        <f t="shared" si="111"/>
        <v>Arm &amp; Hammer</v>
      </c>
      <c r="J1369" s="97" t="s">
        <v>606</v>
      </c>
      <c r="K1369" s="29">
        <v>5.14</v>
      </c>
      <c r="L1369" s="29">
        <v>-0.51</v>
      </c>
      <c r="M1369" s="30">
        <f>IFERROR(VLOOKUP($A1369,HeadJournal!$A$1:$J$890,COLUMN(HeadJournal!I$1),0)*($K1369+$L1369)/(SUMIF($A:$A,$A1369,$K:$K)+SUMIF($A:$A,$A1369,$L:$L)),0)</f>
        <v>0.25743543964802651</v>
      </c>
      <c r="N1369" s="30">
        <f>IFERROR((VLOOKUP($A1369,HeadJournal!$A$1:$K$890,COLUMN(HeadJournal!K$1),0)-VLOOKUP($A1369,HeadJournal!$A$1:$K$890,COLUMN(HeadJournal!J$1),0))*($K1369+$L1369)/(SUMIF($A:$A,$A1369,$K:$K)+SUMIF($A:$A,$A1369,$L:$L)),0)</f>
        <v>0</v>
      </c>
      <c r="O1369" s="30">
        <f>IFERROR((VLOOKUP($A1369,HeadJournal!$A$1:$L$890,COLUMN(HeadJournal!L$1),0)*($K1369+$L1369)/(SUMIF($A:$A,$A1369,$K:$K)+SUMIF($A:$A,$A1369,$L:$L)))/VLOOKUP($A1369,HeadJournal!$A$1:$L$890,COLUMN(HeadJournal!H$1),0),0)</f>
        <v>0.45714074160081758</v>
      </c>
      <c r="P1369" s="30">
        <f>IFERROR(SUM(K1369:O1369)*VLOOKUP($A1369,HeadJournal!$A$1:$L$890,COLUMN(HeadJournal!H$1),0),0)</f>
        <v>458.19434164381812</v>
      </c>
      <c r="Q1369" s="29">
        <v>800</v>
      </c>
      <c r="R1369" s="31">
        <v>45048</v>
      </c>
      <c r="S1369" s="31" t="s">
        <v>3121</v>
      </c>
      <c r="T1369" s="95" t="str">
        <f t="shared" si="110"/>
        <v>2023 05</v>
      </c>
      <c r="U1369" s="32">
        <f t="shared" si="107"/>
        <v>341.80565835618188</v>
      </c>
      <c r="V1369" s="22">
        <f t="shared" si="108"/>
        <v>0.74598402313289125</v>
      </c>
      <c r="X1369" s="33"/>
      <c r="Y1369" s="33"/>
    </row>
    <row r="1370" spans="1:25" x14ac:dyDescent="0.2">
      <c r="A1370" s="93" t="s">
        <v>605</v>
      </c>
      <c r="B1370" s="94" t="str">
        <f>IFERROR(VLOOKUP($A1370,HeadJournal!$A$1:$NTR$890,COLUMN(HeadJournal!B$1),0),"")</f>
        <v>710000699962</v>
      </c>
      <c r="C1370" s="94" t="str">
        <f>IFERROR(VLOOKUP($A1370,HeadJournal!$A$1:$NTR$890,COLUMN(HeadJournal!C$1),0),"")</f>
        <v>iHerb_OA CZN6870</v>
      </c>
      <c r="D1370" s="125" t="str">
        <f>IFERROR(VLOOKUP($A1370,HeadJournal!$A$1:$NTR$890,COLUMN(HeadJournal!D$1),0),"")</f>
        <v>Доставлен</v>
      </c>
      <c r="E1370" s="95">
        <f>IFERROR(VLOOKUP($A1370,HeadJournal!$A$1:$NTR$890,COLUMN(HeadJournal!G$1),0),"")</f>
        <v>45011</v>
      </c>
      <c r="F1370" s="95" t="str">
        <f t="shared" si="109"/>
        <v>2023 03</v>
      </c>
      <c r="G1370" s="96" t="s">
        <v>5</v>
      </c>
      <c r="H1370" s="161" t="s">
        <v>2471</v>
      </c>
      <c r="I1370" s="97" t="s">
        <v>2039</v>
      </c>
      <c r="J1370" s="97" t="s">
        <v>2472</v>
      </c>
      <c r="K1370" s="29">
        <v>20.69</v>
      </c>
      <c r="L1370" s="29">
        <v>-2.0699999999999998</v>
      </c>
      <c r="M1370" s="30">
        <f>IFERROR(VLOOKUP($A1370,HeadJournal!$A$1:$J$890,COLUMN(HeadJournal!I$1),0)*($K1370+$L1370)/(SUMIF($A:$A,$A1370,$K:$K)+SUMIF($A:$A,$A1370,$L:$L)),0)</f>
        <v>1.035301919275649</v>
      </c>
      <c r="N1370" s="30">
        <f>IFERROR((VLOOKUP($A1370,HeadJournal!$A$1:$K$890,COLUMN(HeadJournal!K$1),0)-VLOOKUP($A1370,HeadJournal!$A$1:$K$890,COLUMN(HeadJournal!J$1),0))*($K1370+$L1370)/(SUMIF($A:$A,$A1370,$K:$K)+SUMIF($A:$A,$A1370,$L:$L)),0)</f>
        <v>0</v>
      </c>
      <c r="O1370" s="30">
        <f>IFERROR((VLOOKUP($A1370,HeadJournal!$A$1:$L$890,COLUMN(HeadJournal!L$1),0)*($K1370+$L1370)/(SUMIF($A:$A,$A1370,$K:$K)+SUMIF($A:$A,$A1370,$L:$L)))/VLOOKUP($A1370,HeadJournal!$A$1:$L$890,COLUMN(HeadJournal!H$1),0),0)</f>
        <v>1.8384364165458367</v>
      </c>
      <c r="P1370" s="30">
        <f>IFERROR(SUM(K1370:O1370)*VLOOKUP($A1370,HeadJournal!$A$1:$L$890,COLUMN(HeadJournal!H$1),0),0)</f>
        <v>1842.6735726582924</v>
      </c>
      <c r="Q1370" s="29">
        <v>2700</v>
      </c>
      <c r="R1370" s="31">
        <v>45226</v>
      </c>
      <c r="S1370" s="31" t="s">
        <v>3121</v>
      </c>
      <c r="T1370" s="95" t="str">
        <f t="shared" si="110"/>
        <v>2023 10</v>
      </c>
      <c r="U1370" s="32">
        <f t="shared" si="107"/>
        <v>857.32642734170759</v>
      </c>
      <c r="V1370" s="22">
        <f t="shared" si="108"/>
        <v>0.465262236384551</v>
      </c>
      <c r="X1370" s="33"/>
      <c r="Y1370" s="33"/>
    </row>
    <row r="1371" spans="1:25" x14ac:dyDescent="0.2">
      <c r="A1371" s="93" t="s">
        <v>605</v>
      </c>
      <c r="B1371" s="94" t="str">
        <f>IFERROR(VLOOKUP($A1371,HeadJournal!$A$1:$NTR$890,COLUMN(HeadJournal!B$1),0),"")</f>
        <v>710000699962</v>
      </c>
      <c r="C1371" s="94" t="str">
        <f>IFERROR(VLOOKUP($A1371,HeadJournal!$A$1:$NTR$890,COLUMN(HeadJournal!C$1),0),"")</f>
        <v>iHerb_OA CZN6870</v>
      </c>
      <c r="D1371" s="125" t="str">
        <f>IFERROR(VLOOKUP($A1371,HeadJournal!$A$1:$NTR$890,COLUMN(HeadJournal!D$1),0),"")</f>
        <v>Доставлен</v>
      </c>
      <c r="E1371" s="95">
        <f>IFERROR(VLOOKUP($A1371,HeadJournal!$A$1:$NTR$890,COLUMN(HeadJournal!G$1),0),"")</f>
        <v>45011</v>
      </c>
      <c r="F1371" s="95" t="str">
        <f t="shared" si="109"/>
        <v>2023 03</v>
      </c>
      <c r="G1371" s="96" t="s">
        <v>5</v>
      </c>
      <c r="H1371" s="160" t="str">
        <f>RIGHT(Journal!$J1371,9)</f>
        <v>LEX-23166</v>
      </c>
      <c r="I1371" s="96" t="str">
        <f t="shared" si="111"/>
        <v>Life Extension</v>
      </c>
      <c r="J1371" s="97" t="s">
        <v>42</v>
      </c>
      <c r="K1371" s="29">
        <v>11.77</v>
      </c>
      <c r="L1371" s="29">
        <v>-1.18</v>
      </c>
      <c r="M1371" s="30">
        <f>IFERROR(VLOOKUP($A1371,HeadJournal!$A$1:$J$890,COLUMN(HeadJournal!I$1),0)*($K1371+$L1371)/(SUMIF($A:$A,$A1371,$K:$K)+SUMIF($A:$A,$A1371,$L:$L)),0)</f>
        <v>0.58882101638717077</v>
      </c>
      <c r="N1371" s="30">
        <f>IFERROR((VLOOKUP($A1371,HeadJournal!$A$1:$K$890,COLUMN(HeadJournal!K$1),0)-VLOOKUP($A1371,HeadJournal!$A$1:$K$890,COLUMN(HeadJournal!J$1),0))*($K1371+$L1371)/(SUMIF($A:$A,$A1371,$K:$K)+SUMIF($A:$A,$A1371,$L:$L)),0)</f>
        <v>0</v>
      </c>
      <c r="O1371" s="30">
        <f>IFERROR((VLOOKUP($A1371,HeadJournal!$A$1:$L$890,COLUMN(HeadJournal!L$1),0)*($K1371+$L1371)/(SUMIF($A:$A,$A1371,$K:$K)+SUMIF($A:$A,$A1371,$L:$L)))/VLOOKUP($A1371,HeadJournal!$A$1:$L$890,COLUMN(HeadJournal!H$1),0),0)</f>
        <v>1.0455983700977662</v>
      </c>
      <c r="P1371" s="30">
        <f>IFERROR(SUM(K1371:O1371)*VLOOKUP($A1371,HeadJournal!$A$1:$L$890,COLUMN(HeadJournal!H$1),0),0)</f>
        <v>1048.0082241917999</v>
      </c>
      <c r="Q1371" s="29">
        <v>1700</v>
      </c>
      <c r="R1371" s="31">
        <v>45218</v>
      </c>
      <c r="S1371" s="31" t="s">
        <v>3121</v>
      </c>
      <c r="T1371" s="95" t="str">
        <f t="shared" si="110"/>
        <v>2023 10</v>
      </c>
      <c r="U1371" s="32">
        <f t="shared" si="107"/>
        <v>651.99177580820015</v>
      </c>
      <c r="V1371" s="22">
        <f t="shared" si="108"/>
        <v>0.62212467493850199</v>
      </c>
      <c r="X1371" s="33"/>
      <c r="Y1371" s="33"/>
    </row>
    <row r="1372" spans="1:25" x14ac:dyDescent="0.2">
      <c r="A1372" s="93" t="s">
        <v>605</v>
      </c>
      <c r="B1372" s="94" t="str">
        <f>IFERROR(VLOOKUP($A1372,HeadJournal!$A$1:$NTR$890,COLUMN(HeadJournal!B$1),0),"")</f>
        <v>710000699962</v>
      </c>
      <c r="C1372" s="94" t="str">
        <f>IFERROR(VLOOKUP($A1372,HeadJournal!$A$1:$NTR$890,COLUMN(HeadJournal!C$1),0),"")</f>
        <v>iHerb_OA CZN6870</v>
      </c>
      <c r="D1372" s="125" t="str">
        <f>IFERROR(VLOOKUP($A1372,HeadJournal!$A$1:$NTR$890,COLUMN(HeadJournal!D$1),0),"")</f>
        <v>Доставлен</v>
      </c>
      <c r="E1372" s="95">
        <f>IFERROR(VLOOKUP($A1372,HeadJournal!$A$1:$NTR$890,COLUMN(HeadJournal!G$1),0),"")</f>
        <v>45011</v>
      </c>
      <c r="F1372" s="95" t="str">
        <f t="shared" si="109"/>
        <v>2023 03</v>
      </c>
      <c r="G1372" s="96" t="s">
        <v>5</v>
      </c>
      <c r="H1372" s="160" t="str">
        <f>RIGHT(Journal!$J1372,9)</f>
        <v>CEN-27308</v>
      </c>
      <c r="I1372" s="96" t="str">
        <f t="shared" si="111"/>
        <v>21st Century</v>
      </c>
      <c r="J1372" s="97" t="s">
        <v>98</v>
      </c>
      <c r="K1372" s="29">
        <v>5.29</v>
      </c>
      <c r="L1372" s="29">
        <v>-0.53</v>
      </c>
      <c r="M1372" s="30">
        <f>IFERROR(VLOOKUP($A1372,HeadJournal!$A$1:$J$890,COLUMN(HeadJournal!I$1),0)*($K1372+$L1372)/(SUMIF($A:$A,$A1372,$K:$K)+SUMIF($A:$A,$A1372,$L:$L)),0)</f>
        <v>0.26466364853663205</v>
      </c>
      <c r="N1372" s="30">
        <f>IFERROR((VLOOKUP($A1372,HeadJournal!$A$1:$K$890,COLUMN(HeadJournal!K$1),0)-VLOOKUP($A1372,HeadJournal!$A$1:$K$890,COLUMN(HeadJournal!J$1),0))*($K1372+$L1372)/(SUMIF($A:$A,$A1372,$K:$K)+SUMIF($A:$A,$A1372,$L:$L)),0)</f>
        <v>0</v>
      </c>
      <c r="O1372" s="30">
        <f>IFERROR((VLOOKUP($A1372,HeadJournal!$A$1:$L$890,COLUMN(HeadJournal!L$1),0)*($K1372+$L1372)/(SUMIF($A:$A,$A1372,$K:$K)+SUMIF($A:$A,$A1372,$L:$L)))/VLOOKUP($A1372,HeadJournal!$A$1:$L$890,COLUMN(HeadJournal!H$1),0),0)</f>
        <v>0.46997622678615358</v>
      </c>
      <c r="P1372" s="30">
        <f>IFERROR(SUM(K1372:O1372)*VLOOKUP($A1372,HeadJournal!$A$1:$L$890,COLUMN(HeadJournal!H$1),0),0)</f>
        <v>471.05940955174384</v>
      </c>
      <c r="Q1372" s="29">
        <v>1700</v>
      </c>
      <c r="R1372" s="31">
        <v>45042</v>
      </c>
      <c r="S1372" s="31" t="s">
        <v>3121</v>
      </c>
      <c r="T1372" s="95" t="str">
        <f t="shared" si="110"/>
        <v>2023 04</v>
      </c>
      <c r="U1372" s="32">
        <f t="shared" si="107"/>
        <v>1228.9405904482562</v>
      </c>
      <c r="V1372" s="22">
        <f t="shared" si="108"/>
        <v>2.6088866192434321</v>
      </c>
      <c r="X1372" s="33"/>
      <c r="Y1372" s="33"/>
    </row>
    <row r="1373" spans="1:25" x14ac:dyDescent="0.2">
      <c r="A1373" s="93" t="s">
        <v>605</v>
      </c>
      <c r="B1373" s="94" t="str">
        <f>IFERROR(VLOOKUP($A1373,HeadJournal!$A$1:$NTR$890,COLUMN(HeadJournal!B$1),0),"")</f>
        <v>710000699962</v>
      </c>
      <c r="C1373" s="94" t="str">
        <f>IFERROR(VLOOKUP($A1373,HeadJournal!$A$1:$NTR$890,COLUMN(HeadJournal!C$1),0),"")</f>
        <v>iHerb_OA CZN6870</v>
      </c>
      <c r="D1373" s="125" t="str">
        <f>IFERROR(VLOOKUP($A1373,HeadJournal!$A$1:$NTR$890,COLUMN(HeadJournal!D$1),0),"")</f>
        <v>Доставлен</v>
      </c>
      <c r="E1373" s="95">
        <f>IFERROR(VLOOKUP($A1373,HeadJournal!$A$1:$NTR$890,COLUMN(HeadJournal!G$1),0),"")</f>
        <v>45011</v>
      </c>
      <c r="F1373" s="95" t="str">
        <f t="shared" si="109"/>
        <v>2023 03</v>
      </c>
      <c r="G1373" s="96" t="s">
        <v>5</v>
      </c>
      <c r="H1373" s="160" t="str">
        <f>RIGHT(Journal!$J1373,9)</f>
        <v>CEN-27305</v>
      </c>
      <c r="I1373" s="96" t="str">
        <f t="shared" si="111"/>
        <v>21st Century</v>
      </c>
      <c r="J1373" s="97" t="s">
        <v>99</v>
      </c>
      <c r="K1373" s="29">
        <v>5.21</v>
      </c>
      <c r="L1373" s="29">
        <v>-0.52</v>
      </c>
      <c r="M1373" s="30">
        <f>IFERROR(VLOOKUP($A1373,HeadJournal!$A$1:$J$890,COLUMN(HeadJournal!I$1),0)*($K1373+$L1373)/(SUMIF($A:$A,$A1373,$K:$K)+SUMIF($A:$A,$A1373,$L:$L)),0)</f>
        <v>0.26077153605815212</v>
      </c>
      <c r="N1373" s="30">
        <f>IFERROR((VLOOKUP($A1373,HeadJournal!$A$1:$K$890,COLUMN(HeadJournal!K$1),0)-VLOOKUP($A1373,HeadJournal!$A$1:$K$890,COLUMN(HeadJournal!J$1),0))*($K1373+$L1373)/(SUMIF($A:$A,$A1373,$K:$K)+SUMIF($A:$A,$A1373,$L:$L)),0)</f>
        <v>0</v>
      </c>
      <c r="O1373" s="30">
        <f>IFERROR((VLOOKUP($A1373,HeadJournal!$A$1:$L$890,COLUMN(HeadJournal!L$1),0)*($K1373+$L1373)/(SUMIF($A:$A,$A1373,$K:$K)+SUMIF($A:$A,$A1373,$L:$L)))/VLOOKUP($A1373,HeadJournal!$A$1:$L$890,COLUMN(HeadJournal!H$1),0),0)</f>
        <v>0.46306481168635727</v>
      </c>
      <c r="P1373" s="30">
        <f>IFERROR(SUM(K1373:O1373)*VLOOKUP($A1373,HeadJournal!$A$1:$L$890,COLUMN(HeadJournal!H$1),0),0)</f>
        <v>464.13206529362992</v>
      </c>
      <c r="Q1373" s="29">
        <v>1600</v>
      </c>
      <c r="R1373" s="31">
        <v>45201</v>
      </c>
      <c r="S1373" s="31" t="s">
        <v>3121</v>
      </c>
      <c r="T1373" s="95" t="str">
        <f t="shared" si="110"/>
        <v>2023 10</v>
      </c>
      <c r="U1373" s="32">
        <f t="shared" si="107"/>
        <v>1135.8679347063701</v>
      </c>
      <c r="V1373" s="22">
        <f t="shared" si="108"/>
        <v>2.4472946810683531</v>
      </c>
      <c r="X1373" s="33"/>
      <c r="Y1373" s="33"/>
    </row>
    <row r="1374" spans="1:25" x14ac:dyDescent="0.2">
      <c r="A1374" s="93" t="s">
        <v>605</v>
      </c>
      <c r="B1374" s="94" t="str">
        <f>IFERROR(VLOOKUP($A1374,HeadJournal!$A$1:$NTR$890,COLUMN(HeadJournal!B$1),0),"")</f>
        <v>710000699962</v>
      </c>
      <c r="C1374" s="94" t="str">
        <f>IFERROR(VLOOKUP($A1374,HeadJournal!$A$1:$NTR$890,COLUMN(HeadJournal!C$1),0),"")</f>
        <v>iHerb_OA CZN6870</v>
      </c>
      <c r="D1374" s="125" t="str">
        <f>IFERROR(VLOOKUP($A1374,HeadJournal!$A$1:$NTR$890,COLUMN(HeadJournal!D$1),0),"")</f>
        <v>Доставлен</v>
      </c>
      <c r="E1374" s="95">
        <f>IFERROR(VLOOKUP($A1374,HeadJournal!$A$1:$NTR$890,COLUMN(HeadJournal!G$1),0),"")</f>
        <v>45011</v>
      </c>
      <c r="F1374" s="95" t="str">
        <f t="shared" si="109"/>
        <v>2023 03</v>
      </c>
      <c r="G1374" s="96" t="s">
        <v>5</v>
      </c>
      <c r="H1374" s="161" t="s">
        <v>2659</v>
      </c>
      <c r="I1374" s="97" t="s">
        <v>2218</v>
      </c>
      <c r="J1374" s="97" t="s">
        <v>2660</v>
      </c>
      <c r="K1374" s="29">
        <v>7.51</v>
      </c>
      <c r="L1374" s="29">
        <v>-0.75</v>
      </c>
      <c r="M1374" s="30">
        <f>IFERROR(VLOOKUP($A1374,HeadJournal!$A$1:$J$890,COLUMN(HeadJournal!I$1),0)*($K1374+$L1374)/(SUMIF($A:$A,$A1374,$K:$K)+SUMIF($A:$A,$A1374,$L:$L)),0)</f>
        <v>0.37586686220748577</v>
      </c>
      <c r="N1374" s="30">
        <f>IFERROR((VLOOKUP($A1374,HeadJournal!$A$1:$K$890,COLUMN(HeadJournal!K$1),0)-VLOOKUP($A1374,HeadJournal!$A$1:$K$890,COLUMN(HeadJournal!J$1),0))*($K1374+$L1374)/(SUMIF($A:$A,$A1374,$K:$K)+SUMIF($A:$A,$A1374,$L:$L)),0)</f>
        <v>0</v>
      </c>
      <c r="O1374" s="30">
        <f>IFERROR((VLOOKUP($A1374,HeadJournal!$A$1:$L$890,COLUMN(HeadJournal!L$1),0)*($K1374+$L1374)/(SUMIF($A:$A,$A1374,$K:$K)+SUMIF($A:$A,$A1374,$L:$L)))/VLOOKUP($A1374,HeadJournal!$A$1:$L$890,COLUMN(HeadJournal!H$1),0),0)</f>
        <v>0.66744522963747865</v>
      </c>
      <c r="P1374" s="30">
        <f>IFERROR(SUM(K1374:O1374)*VLOOKUP($A1374,HeadJournal!$A$1:$L$890,COLUMN(HeadJournal!H$1),0),0)</f>
        <v>668.98353121214052</v>
      </c>
      <c r="Q1374" s="29">
        <v>1700</v>
      </c>
      <c r="R1374" s="31">
        <v>45059</v>
      </c>
      <c r="S1374" s="31" t="s">
        <v>3121</v>
      </c>
      <c r="T1374" s="95" t="str">
        <f t="shared" si="110"/>
        <v>2023 05</v>
      </c>
      <c r="U1374" s="32">
        <f t="shared" si="107"/>
        <v>1031.0164687878596</v>
      </c>
      <c r="V1374" s="22">
        <f t="shared" si="108"/>
        <v>1.5411686845560257</v>
      </c>
      <c r="X1374" s="33"/>
      <c r="Y1374" s="33"/>
    </row>
    <row r="1375" spans="1:25" x14ac:dyDescent="0.2">
      <c r="A1375" s="93" t="s">
        <v>605</v>
      </c>
      <c r="B1375" s="94" t="str">
        <f>IFERROR(VLOOKUP($A1375,HeadJournal!$A$1:$NTR$890,COLUMN(HeadJournal!B$1),0),"")</f>
        <v>710000699962</v>
      </c>
      <c r="C1375" s="94" t="str">
        <f>IFERROR(VLOOKUP($A1375,HeadJournal!$A$1:$NTR$890,COLUMN(HeadJournal!C$1),0),"")</f>
        <v>iHerb_OA CZN6870</v>
      </c>
      <c r="D1375" s="125" t="str">
        <f>IFERROR(VLOOKUP($A1375,HeadJournal!$A$1:$NTR$890,COLUMN(HeadJournal!D$1),0),"")</f>
        <v>Доставлен</v>
      </c>
      <c r="E1375" s="95">
        <f>IFERROR(VLOOKUP($A1375,HeadJournal!$A$1:$NTR$890,COLUMN(HeadJournal!G$1),0),"")</f>
        <v>45011</v>
      </c>
      <c r="F1375" s="95" t="str">
        <f t="shared" si="109"/>
        <v>2023 03</v>
      </c>
      <c r="G1375" s="96" t="s">
        <v>5</v>
      </c>
      <c r="H1375" s="161" t="s">
        <v>2788</v>
      </c>
      <c r="I1375" s="97" t="s">
        <v>2218</v>
      </c>
      <c r="J1375" s="97" t="s">
        <v>2789</v>
      </c>
      <c r="K1375" s="29">
        <v>7.55</v>
      </c>
      <c r="L1375" s="29">
        <v>-0.76</v>
      </c>
      <c r="M1375" s="30">
        <f>IFERROR(VLOOKUP($A1375,HeadJournal!$A$1:$J$890,COLUMN(HeadJournal!I$1),0)*($K1375+$L1375)/(SUMIF($A:$A,$A1375,$K:$K)+SUMIF($A:$A,$A1375,$L:$L)),0)</f>
        <v>0.37753491041254861</v>
      </c>
      <c r="N1375" s="30">
        <f>IFERROR((VLOOKUP($A1375,HeadJournal!$A$1:$K$890,COLUMN(HeadJournal!K$1),0)-VLOOKUP($A1375,HeadJournal!$A$1:$K$890,COLUMN(HeadJournal!J$1),0))*($K1375+$L1375)/(SUMIF($A:$A,$A1375,$K:$K)+SUMIF($A:$A,$A1375,$L:$L)),0)</f>
        <v>0</v>
      </c>
      <c r="O1375" s="30">
        <f>IFERROR((VLOOKUP($A1375,HeadJournal!$A$1:$L$890,COLUMN(HeadJournal!L$1),0)*($K1375+$L1375)/(SUMIF($A:$A,$A1375,$K:$K)+SUMIF($A:$A,$A1375,$L:$L)))/VLOOKUP($A1375,HeadJournal!$A$1:$L$890,COLUMN(HeadJournal!H$1),0),0)</f>
        <v>0.67040726468024869</v>
      </c>
      <c r="P1375" s="30">
        <f>IFERROR(SUM(K1375:O1375)*VLOOKUP($A1375,HeadJournal!$A$1:$L$890,COLUMN(HeadJournal!H$1),0),0)</f>
        <v>671.95239303704648</v>
      </c>
      <c r="Q1375" s="29">
        <v>1700</v>
      </c>
      <c r="R1375" s="31">
        <v>45173</v>
      </c>
      <c r="S1375" s="31" t="s">
        <v>3121</v>
      </c>
      <c r="T1375" s="95" t="str">
        <f t="shared" si="110"/>
        <v>2023 09</v>
      </c>
      <c r="U1375" s="32">
        <f t="shared" si="107"/>
        <v>1028.0476069629535</v>
      </c>
      <c r="V1375" s="22">
        <f t="shared" si="108"/>
        <v>1.529941135139725</v>
      </c>
      <c r="X1375" s="33"/>
      <c r="Y1375" s="33"/>
    </row>
    <row r="1376" spans="1:25" x14ac:dyDescent="0.2">
      <c r="A1376" s="93" t="s">
        <v>605</v>
      </c>
      <c r="B1376" s="94" t="str">
        <f>IFERROR(VLOOKUP($A1376,HeadJournal!$A$1:$NTR$890,COLUMN(HeadJournal!B$1),0),"")</f>
        <v>710000699962</v>
      </c>
      <c r="C1376" s="94" t="str">
        <f>IFERROR(VLOOKUP($A1376,HeadJournal!$A$1:$NTR$890,COLUMN(HeadJournal!C$1),0),"")</f>
        <v>iHerb_OA CZN6870</v>
      </c>
      <c r="D1376" s="125" t="str">
        <f>IFERROR(VLOOKUP($A1376,HeadJournal!$A$1:$NTR$890,COLUMN(HeadJournal!D$1),0),"")</f>
        <v>Доставлен</v>
      </c>
      <c r="E1376" s="95">
        <f>IFERROR(VLOOKUP($A1376,HeadJournal!$A$1:$NTR$890,COLUMN(HeadJournal!G$1),0),"")</f>
        <v>45011</v>
      </c>
      <c r="F1376" s="95" t="str">
        <f t="shared" si="109"/>
        <v>2023 03</v>
      </c>
      <c r="G1376" s="96" t="s">
        <v>5</v>
      </c>
      <c r="H1376" s="161" t="s">
        <v>2793</v>
      </c>
      <c r="I1376" s="97" t="s">
        <v>2218</v>
      </c>
      <c r="J1376" s="97" t="s">
        <v>2794</v>
      </c>
      <c r="K1376" s="29">
        <v>6.13</v>
      </c>
      <c r="L1376" s="29">
        <v>-0.61</v>
      </c>
      <c r="M1376" s="30">
        <f>IFERROR(VLOOKUP($A1376,HeadJournal!$A$1:$J$890,COLUMN(HeadJournal!I$1),0)*($K1376+$L1376)/(SUMIF($A:$A,$A1376,$K:$K)+SUMIF($A:$A,$A1376,$L:$L)),0)</f>
        <v>0.30692086973155641</v>
      </c>
      <c r="N1376" s="30">
        <f>IFERROR((VLOOKUP($A1376,HeadJournal!$A$1:$K$890,COLUMN(HeadJournal!K$1),0)-VLOOKUP($A1376,HeadJournal!$A$1:$K$890,COLUMN(HeadJournal!J$1),0))*($K1376+$L1376)/(SUMIF($A:$A,$A1376,$K:$K)+SUMIF($A:$A,$A1376,$L:$L)),0)</f>
        <v>0</v>
      </c>
      <c r="O1376" s="30">
        <f>IFERROR((VLOOKUP($A1376,HeadJournal!$A$1:$L$890,COLUMN(HeadJournal!L$1),0)*($K1376+$L1376)/(SUMIF($A:$A,$A1376,$K:$K)+SUMIF($A:$A,$A1376,$L:$L)))/VLOOKUP($A1376,HeadJournal!$A$1:$L$890,COLUMN(HeadJournal!H$1),0),0)</f>
        <v>0.54501444786965714</v>
      </c>
      <c r="P1376" s="30">
        <f>IFERROR(SUM(K1376:O1376)*VLOOKUP($A1376,HeadJournal!$A$1:$L$890,COLUMN(HeadJournal!H$1),0),0)</f>
        <v>546.27057578269455</v>
      </c>
      <c r="Q1376" s="29">
        <v>1700</v>
      </c>
      <c r="R1376" s="31">
        <v>45110</v>
      </c>
      <c r="S1376" s="31" t="s">
        <v>3121</v>
      </c>
      <c r="T1376" s="95" t="str">
        <f t="shared" si="110"/>
        <v>2023 07</v>
      </c>
      <c r="U1376" s="32">
        <f t="shared" si="107"/>
        <v>1153.7294242173054</v>
      </c>
      <c r="V1376" s="22">
        <f t="shared" si="108"/>
        <v>2.112010925289626</v>
      </c>
      <c r="X1376" s="33"/>
      <c r="Y1376" s="33"/>
    </row>
    <row r="1377" spans="1:25" x14ac:dyDescent="0.2">
      <c r="A1377" s="93" t="s">
        <v>605</v>
      </c>
      <c r="B1377" s="94" t="str">
        <f>IFERROR(VLOOKUP($A1377,HeadJournal!$A$1:$NTR$890,COLUMN(HeadJournal!B$1),0),"")</f>
        <v>710000699962</v>
      </c>
      <c r="C1377" s="94" t="str">
        <f>IFERROR(VLOOKUP($A1377,HeadJournal!$A$1:$NTR$890,COLUMN(HeadJournal!C$1),0),"")</f>
        <v>iHerb_OA CZN6870</v>
      </c>
      <c r="D1377" s="125" t="str">
        <f>IFERROR(VLOOKUP($A1377,HeadJournal!$A$1:$NTR$890,COLUMN(HeadJournal!D$1),0),"")</f>
        <v>Доставлен</v>
      </c>
      <c r="E1377" s="95">
        <f>IFERROR(VLOOKUP($A1377,HeadJournal!$A$1:$NTR$890,COLUMN(HeadJournal!G$1),0),"")</f>
        <v>45011</v>
      </c>
      <c r="F1377" s="95" t="str">
        <f t="shared" si="109"/>
        <v>2023 03</v>
      </c>
      <c r="G1377" s="96" t="s">
        <v>7</v>
      </c>
      <c r="H1377" s="160" t="str">
        <f>RIGHT(Journal!$J1377,9)</f>
        <v>ISK-73751</v>
      </c>
      <c r="I1377" s="96" t="str">
        <f t="shared" si="111"/>
        <v>It's Skin</v>
      </c>
      <c r="J1377" s="97" t="s">
        <v>607</v>
      </c>
      <c r="K1377" s="29">
        <v>10.210000000000001</v>
      </c>
      <c r="L1377" s="29">
        <v>-1.02</v>
      </c>
      <c r="M1377" s="30">
        <f>IFERROR(VLOOKUP($A1377,HeadJournal!$A$1:$J$890,COLUMN(HeadJournal!I$1),0)*($K1377+$L1377)/(SUMIF($A:$A,$A1377,$K:$K)+SUMIF($A:$A,$A1377,$L:$L)),0)</f>
        <v>0.51097876681757326</v>
      </c>
      <c r="N1377" s="30">
        <f>IFERROR((VLOOKUP($A1377,HeadJournal!$A$1:$K$890,COLUMN(HeadJournal!K$1),0)-VLOOKUP($A1377,HeadJournal!$A$1:$K$890,COLUMN(HeadJournal!J$1),0))*($K1377+$L1377)/(SUMIF($A:$A,$A1377,$K:$K)+SUMIF($A:$A,$A1377,$L:$L)),0)</f>
        <v>0</v>
      </c>
      <c r="O1377" s="30">
        <f>IFERROR((VLOOKUP($A1377,HeadJournal!$A$1:$L$890,COLUMN(HeadJournal!L$1),0)*($K1377+$L1377)/(SUMIF($A:$A,$A1377,$K:$K)+SUMIF($A:$A,$A1377,$L:$L)))/VLOOKUP($A1377,HeadJournal!$A$1:$L$890,COLUMN(HeadJournal!H$1),0),0)</f>
        <v>0.90737006810183873</v>
      </c>
      <c r="P1377" s="30">
        <f>IFERROR(SUM(K1377:O1377)*VLOOKUP($A1377,HeadJournal!$A$1:$L$890,COLUMN(HeadJournal!H$1),0),0)</f>
        <v>909.46133902952249</v>
      </c>
      <c r="Q1377" s="29">
        <v>1500</v>
      </c>
      <c r="R1377" s="31">
        <v>45173</v>
      </c>
      <c r="S1377" s="31" t="s">
        <v>3121</v>
      </c>
      <c r="T1377" s="95" t="str">
        <f t="shared" si="110"/>
        <v>2023 09</v>
      </c>
      <c r="U1377" s="32">
        <f t="shared" si="107"/>
        <v>590.53866097047751</v>
      </c>
      <c r="V1377" s="22">
        <f t="shared" si="108"/>
        <v>0.64932794350624701</v>
      </c>
      <c r="X1377" s="33"/>
      <c r="Y1377" s="33"/>
    </row>
    <row r="1378" spans="1:25" x14ac:dyDescent="0.2">
      <c r="A1378" s="93" t="s">
        <v>605</v>
      </c>
      <c r="B1378" s="94" t="str">
        <f>IFERROR(VLOOKUP($A1378,HeadJournal!$A$1:$NTR$890,COLUMN(HeadJournal!B$1),0),"")</f>
        <v>710000699962</v>
      </c>
      <c r="C1378" s="94" t="str">
        <f>IFERROR(VLOOKUP($A1378,HeadJournal!$A$1:$NTR$890,COLUMN(HeadJournal!C$1),0),"")</f>
        <v>iHerb_OA CZN6870</v>
      </c>
      <c r="D1378" s="125" t="str">
        <f>IFERROR(VLOOKUP($A1378,HeadJournal!$A$1:$NTR$890,COLUMN(HeadJournal!D$1),0),"")</f>
        <v>Доставлен</v>
      </c>
      <c r="E1378" s="95">
        <f>IFERROR(VLOOKUP($A1378,HeadJournal!$A$1:$NTR$890,COLUMN(HeadJournal!G$1),0),"")</f>
        <v>45011</v>
      </c>
      <c r="F1378" s="95" t="str">
        <f t="shared" si="109"/>
        <v>2023 03</v>
      </c>
      <c r="G1378" s="96" t="s">
        <v>5</v>
      </c>
      <c r="H1378" s="161" t="s">
        <v>2462</v>
      </c>
      <c r="I1378" s="97" t="s">
        <v>2005</v>
      </c>
      <c r="J1378" s="97" t="s">
        <v>2463</v>
      </c>
      <c r="K1378" s="29">
        <v>6.73</v>
      </c>
      <c r="L1378" s="29">
        <v>-1.35</v>
      </c>
      <c r="M1378" s="30">
        <f>IFERROR(VLOOKUP($A1378,HeadJournal!$A$1:$J$890,COLUMN(HeadJournal!I$1),0)*($K1378+$L1378)/(SUMIF($A:$A,$A1378,$K:$K)+SUMIF($A:$A,$A1378,$L:$L)),0)</f>
        <v>0.29913664477459673</v>
      </c>
      <c r="N1378" s="30">
        <f>IFERROR((VLOOKUP($A1378,HeadJournal!$A$1:$K$890,COLUMN(HeadJournal!K$1),0)-VLOOKUP($A1378,HeadJournal!$A$1:$K$890,COLUMN(HeadJournal!J$1),0))*($K1378+$L1378)/(SUMIF($A:$A,$A1378,$K:$K)+SUMIF($A:$A,$A1378,$L:$L)),0)</f>
        <v>0</v>
      </c>
      <c r="O1378" s="30">
        <f>IFERROR((VLOOKUP($A1378,HeadJournal!$A$1:$L$890,COLUMN(HeadJournal!L$1),0)*($K1378+$L1378)/(SUMIF($A:$A,$A1378,$K:$K)+SUMIF($A:$A,$A1378,$L:$L)))/VLOOKUP($A1378,HeadJournal!$A$1:$L$890,COLUMN(HeadJournal!H$1),0),0)</f>
        <v>0.53119161767006451</v>
      </c>
      <c r="P1378" s="30">
        <f>IFERROR(SUM(K1378:O1378)*VLOOKUP($A1378,HeadJournal!$A$1:$L$890,COLUMN(HeadJournal!H$1),0),0)</f>
        <v>532.41588726646694</v>
      </c>
      <c r="Q1378" s="29">
        <v>900</v>
      </c>
      <c r="R1378" s="31">
        <v>45042</v>
      </c>
      <c r="S1378" s="31" t="s">
        <v>3121</v>
      </c>
      <c r="T1378" s="95" t="str">
        <f t="shared" si="110"/>
        <v>2023 04</v>
      </c>
      <c r="U1378" s="32">
        <f t="shared" si="107"/>
        <v>367.58411273353306</v>
      </c>
      <c r="V1378" s="22">
        <f t="shared" si="108"/>
        <v>0.690407858827778</v>
      </c>
      <c r="X1378" s="33"/>
      <c r="Y1378" s="33"/>
    </row>
    <row r="1379" spans="1:25" x14ac:dyDescent="0.2">
      <c r="A1379" s="93" t="s">
        <v>605</v>
      </c>
      <c r="B1379" s="94" t="str">
        <f>IFERROR(VLOOKUP($A1379,HeadJournal!$A$1:$NTR$890,COLUMN(HeadJournal!B$1),0),"")</f>
        <v>710000699962</v>
      </c>
      <c r="C1379" s="94" t="str">
        <f>IFERROR(VLOOKUP($A1379,HeadJournal!$A$1:$NTR$890,COLUMN(HeadJournal!C$1),0),"")</f>
        <v>iHerb_OA CZN6870</v>
      </c>
      <c r="D1379" s="125" t="str">
        <f>IFERROR(VLOOKUP($A1379,HeadJournal!$A$1:$NTR$890,COLUMN(HeadJournal!D$1),0),"")</f>
        <v>Доставлен</v>
      </c>
      <c r="E1379" s="95">
        <f>IFERROR(VLOOKUP($A1379,HeadJournal!$A$1:$NTR$890,COLUMN(HeadJournal!G$1),0),"")</f>
        <v>45011</v>
      </c>
      <c r="F1379" s="95" t="str">
        <f t="shared" si="109"/>
        <v>2023 03</v>
      </c>
      <c r="G1379" s="96" t="s">
        <v>5</v>
      </c>
      <c r="H1379" s="175" t="s">
        <v>3622</v>
      </c>
      <c r="I1379" s="176" t="s">
        <v>2218</v>
      </c>
      <c r="J1379" s="97" t="s">
        <v>3664</v>
      </c>
      <c r="K1379" s="29">
        <v>7.79</v>
      </c>
      <c r="L1379" s="29">
        <v>-0.78</v>
      </c>
      <c r="M1379" s="30">
        <f>IFERROR(VLOOKUP($A1379,HeadJournal!$A$1:$J$890,COLUMN(HeadJournal!I$1),0)*($K1379+$L1379)/(SUMIF($A:$A,$A1379,$K:$K)+SUMIF($A:$A,$A1379,$L:$L)),0)</f>
        <v>0.38976726391634253</v>
      </c>
      <c r="N1379" s="30">
        <f>IFERROR((VLOOKUP($A1379,HeadJournal!$A$1:$K$890,COLUMN(HeadJournal!K$1),0)-VLOOKUP($A1379,HeadJournal!$A$1:$K$890,COLUMN(HeadJournal!J$1),0))*($K1379+$L1379)/(SUMIF($A:$A,$A1379,$K:$K)+SUMIF($A:$A,$A1379,$L:$L)),0)</f>
        <v>0</v>
      </c>
      <c r="O1379" s="30">
        <f>IFERROR((VLOOKUP($A1379,HeadJournal!$A$1:$L$890,COLUMN(HeadJournal!L$1),0)*($K1379+$L1379)/(SUMIF($A:$A,$A1379,$K:$K)+SUMIF($A:$A,$A1379,$L:$L)))/VLOOKUP($A1379,HeadJournal!$A$1:$L$890,COLUMN(HeadJournal!H$1),0),0)</f>
        <v>0.69212885499389432</v>
      </c>
      <c r="P1379" s="30">
        <f>IFERROR(SUM(K1379:O1379)*VLOOKUP($A1379,HeadJournal!$A$1:$L$890,COLUMN(HeadJournal!H$1),0),0)</f>
        <v>693.72404641969001</v>
      </c>
      <c r="Q1379" s="29">
        <v>1200</v>
      </c>
      <c r="R1379" s="31">
        <v>45042</v>
      </c>
      <c r="S1379" s="31" t="s">
        <v>3121</v>
      </c>
      <c r="T1379" s="95" t="str">
        <f t="shared" si="110"/>
        <v>2023 04</v>
      </c>
      <c r="U1379" s="32">
        <f t="shared" si="107"/>
        <v>506.27595358030999</v>
      </c>
      <c r="V1379" s="22">
        <f t="shared" si="108"/>
        <v>0.72979444231924828</v>
      </c>
      <c r="X1379" s="33"/>
      <c r="Y1379" s="33"/>
    </row>
    <row r="1380" spans="1:25" x14ac:dyDescent="0.2">
      <c r="A1380" s="93" t="s">
        <v>605</v>
      </c>
      <c r="B1380" s="94" t="str">
        <f>IFERROR(VLOOKUP($A1380,HeadJournal!$A$1:$NTR$890,COLUMN(HeadJournal!B$1),0),"")</f>
        <v>710000699962</v>
      </c>
      <c r="C1380" s="94" t="str">
        <f>IFERROR(VLOOKUP($A1380,HeadJournal!$A$1:$NTR$890,COLUMN(HeadJournal!C$1),0),"")</f>
        <v>iHerb_OA CZN6870</v>
      </c>
      <c r="D1380" s="125" t="str">
        <f>IFERROR(VLOOKUP($A1380,HeadJournal!$A$1:$NTR$890,COLUMN(HeadJournal!D$1),0),"")</f>
        <v>Доставлен</v>
      </c>
      <c r="E1380" s="95">
        <f>IFERROR(VLOOKUP($A1380,HeadJournal!$A$1:$NTR$890,COLUMN(HeadJournal!G$1),0),"")</f>
        <v>45011</v>
      </c>
      <c r="F1380" s="95" t="str">
        <f t="shared" si="109"/>
        <v>2023 03</v>
      </c>
      <c r="G1380" s="96" t="s">
        <v>5</v>
      </c>
      <c r="H1380" s="160" t="str">
        <f>RIGHT(Journal!$J1380,9)</f>
        <v>SPN-00215</v>
      </c>
      <c r="I1380" s="96" t="str">
        <f t="shared" si="111"/>
        <v>Super Nutrition</v>
      </c>
      <c r="J1380" s="97" t="s">
        <v>164</v>
      </c>
      <c r="K1380" s="29">
        <v>19.28</v>
      </c>
      <c r="L1380" s="29">
        <v>-5.78</v>
      </c>
      <c r="M1380" s="30">
        <f>IFERROR(VLOOKUP($A1380,HeadJournal!$A$1:$J$890,COLUMN(HeadJournal!I$1),0)*($K1380+$L1380)/(SUMIF($A:$A,$A1380,$K:$K)+SUMIF($A:$A,$A1380,$L:$L)),0)</f>
        <v>0.75062169227826314</v>
      </c>
      <c r="N1380" s="30">
        <f>IFERROR((VLOOKUP($A1380,HeadJournal!$A$1:$K$890,COLUMN(HeadJournal!K$1),0)-VLOOKUP($A1380,HeadJournal!$A$1:$K$890,COLUMN(HeadJournal!J$1),0))*($K1380+$L1380)/(SUMIF($A:$A,$A1380,$K:$K)+SUMIF($A:$A,$A1380,$L:$L)),0)</f>
        <v>0</v>
      </c>
      <c r="O1380" s="30">
        <f>IFERROR((VLOOKUP($A1380,HeadJournal!$A$1:$L$890,COLUMN(HeadJournal!L$1),0)*($K1380+$L1380)/(SUMIF($A:$A,$A1380,$K:$K)+SUMIF($A:$A,$A1380,$L:$L)))/VLOOKUP($A1380,HeadJournal!$A$1:$L$890,COLUMN(HeadJournal!H$1),0),0)</f>
        <v>1.3329157692464444</v>
      </c>
      <c r="P1380" s="30">
        <f>IFERROR(SUM(K1380:O1380)*VLOOKUP($A1380,HeadJournal!$A$1:$L$890,COLUMN(HeadJournal!H$1),0),0)</f>
        <v>1335.9878212076771</v>
      </c>
      <c r="Q1380" s="29">
        <v>2500</v>
      </c>
      <c r="R1380" s="31">
        <v>45173</v>
      </c>
      <c r="S1380" s="31" t="s">
        <v>3121</v>
      </c>
      <c r="T1380" s="95" t="str">
        <f t="shared" si="110"/>
        <v>2023 09</v>
      </c>
      <c r="U1380" s="32">
        <f t="shared" si="107"/>
        <v>1164.0121787923229</v>
      </c>
      <c r="V1380" s="22">
        <f t="shared" si="108"/>
        <v>0.87127454331140874</v>
      </c>
      <c r="X1380" s="33"/>
      <c r="Y1380" s="33"/>
    </row>
    <row r="1381" spans="1:25" x14ac:dyDescent="0.2">
      <c r="A1381" s="93" t="s">
        <v>605</v>
      </c>
      <c r="B1381" s="94" t="str">
        <f>IFERROR(VLOOKUP($A1381,HeadJournal!$A$1:$NTR$890,COLUMN(HeadJournal!B$1),0),"")</f>
        <v>710000699962</v>
      </c>
      <c r="C1381" s="94" t="str">
        <f>IFERROR(VLOOKUP($A1381,HeadJournal!$A$1:$NTR$890,COLUMN(HeadJournal!C$1),0),"")</f>
        <v>iHerb_OA CZN6870</v>
      </c>
      <c r="D1381" s="125" t="str">
        <f>IFERROR(VLOOKUP($A1381,HeadJournal!$A$1:$NTR$890,COLUMN(HeadJournal!D$1),0),"")</f>
        <v>Доставлен</v>
      </c>
      <c r="E1381" s="95">
        <f>IFERROR(VLOOKUP($A1381,HeadJournal!$A$1:$NTR$890,COLUMN(HeadJournal!G$1),0),"")</f>
        <v>45011</v>
      </c>
      <c r="F1381" s="95" t="str">
        <f t="shared" si="109"/>
        <v>2023 03</v>
      </c>
      <c r="G1381" s="96" t="s">
        <v>5</v>
      </c>
      <c r="H1381" s="160" t="str">
        <f>RIGHT(Journal!$J1381,9)</f>
        <v>NWY-15450</v>
      </c>
      <c r="I1381" s="96" t="str">
        <f t="shared" si="111"/>
        <v>Nature's Way</v>
      </c>
      <c r="J1381" s="97" t="s">
        <v>197</v>
      </c>
      <c r="K1381" s="29">
        <v>8.83</v>
      </c>
      <c r="L1381" s="29">
        <v>-0.88</v>
      </c>
      <c r="M1381" s="30">
        <f>IFERROR(VLOOKUP($A1381,HeadJournal!$A$1:$J$890,COLUMN(HeadJournal!I$1),0)*($K1381+$L1381)/(SUMIF($A:$A,$A1381,$K:$K)+SUMIF($A:$A,$A1381,$L:$L)),0)</f>
        <v>0.44203277434164384</v>
      </c>
      <c r="N1381" s="30">
        <f>IFERROR((VLOOKUP($A1381,HeadJournal!$A$1:$K$890,COLUMN(HeadJournal!K$1),0)-VLOOKUP($A1381,HeadJournal!$A$1:$K$890,COLUMN(HeadJournal!J$1),0))*($K1381+$L1381)/(SUMIF($A:$A,$A1381,$K:$K)+SUMIF($A:$A,$A1381,$L:$L)),0)</f>
        <v>0</v>
      </c>
      <c r="O1381" s="30">
        <f>IFERROR((VLOOKUP($A1381,HeadJournal!$A$1:$L$890,COLUMN(HeadJournal!L$1),0)*($K1381+$L1381)/(SUMIF($A:$A,$A1381,$K:$K)+SUMIF($A:$A,$A1381,$L:$L)))/VLOOKUP($A1381,HeadJournal!$A$1:$L$890,COLUMN(HeadJournal!H$1),0),0)</f>
        <v>0.78493928633401711</v>
      </c>
      <c r="P1381" s="30">
        <f>IFERROR(SUM(K1381:O1381)*VLOOKUP($A1381,HeadJournal!$A$1:$L$890,COLUMN(HeadJournal!H$1),0),0)</f>
        <v>786.74838360007652</v>
      </c>
      <c r="Q1381" s="29">
        <v>1300</v>
      </c>
      <c r="R1381" s="31">
        <v>45041</v>
      </c>
      <c r="S1381" s="31" t="s">
        <v>3121</v>
      </c>
      <c r="T1381" s="95" t="str">
        <f t="shared" si="110"/>
        <v>2023 04</v>
      </c>
      <c r="U1381" s="32">
        <f t="shared" si="107"/>
        <v>513.25161639992348</v>
      </c>
      <c r="V1381" s="22">
        <f t="shared" si="108"/>
        <v>0.65237072881082891</v>
      </c>
      <c r="X1381" s="33"/>
      <c r="Y1381" s="33"/>
    </row>
    <row r="1382" spans="1:25" x14ac:dyDescent="0.2">
      <c r="A1382" s="93" t="s">
        <v>608</v>
      </c>
      <c r="B1382" s="94" t="str">
        <f>IFERROR(VLOOKUP($A1382,HeadJournal!$A$1:$NTR$890,COLUMN(HeadJournal!B$1),0),"")</f>
        <v>710000713512</v>
      </c>
      <c r="C1382" s="94" t="str">
        <f>IFERROR(VLOOKUP($A1382,HeadJournal!$A$1:$NTR$890,COLUMN(HeadJournal!C$1),0),"")</f>
        <v>iHerb_VP DFD1605</v>
      </c>
      <c r="D1382" s="125" t="str">
        <f>IFERROR(VLOOKUP($A1382,HeadJournal!$A$1:$NTR$890,COLUMN(HeadJournal!D$1),0),"")</f>
        <v>Доставлен</v>
      </c>
      <c r="E1382" s="95">
        <f>IFERROR(VLOOKUP($A1382,HeadJournal!$A$1:$NTR$890,COLUMN(HeadJournal!G$1),0),"")</f>
        <v>45018</v>
      </c>
      <c r="F1382" s="95" t="str">
        <f t="shared" si="109"/>
        <v>2023 04</v>
      </c>
      <c r="G1382" s="96" t="s">
        <v>5</v>
      </c>
      <c r="H1382" s="160" t="str">
        <f>RIGHT(Journal!$J1382,9)</f>
        <v>NOW-00100</v>
      </c>
      <c r="I1382" s="96" t="str">
        <f t="shared" si="111"/>
        <v>NOW Foods</v>
      </c>
      <c r="J1382" s="97" t="s">
        <v>609</v>
      </c>
      <c r="K1382" s="29">
        <v>5.51</v>
      </c>
      <c r="L1382" s="29">
        <v>-0.55000000000000004</v>
      </c>
      <c r="M1382" s="30">
        <f>IFERROR(VLOOKUP($A1382,HeadJournal!$A$1:$J$890,COLUMN(HeadJournal!I$1),0)*($K1382+$L1382)/(SUMIF($A:$A,$A1382,$K:$K)+SUMIF($A:$A,$A1382,$L:$L)),0)</f>
        <v>0.36058323458189501</v>
      </c>
      <c r="N1382" s="30">
        <f>IFERROR((VLOOKUP($A1382,HeadJournal!$A$1:$K$890,COLUMN(HeadJournal!K$1),0)-VLOOKUP($A1382,HeadJournal!$A$1:$K$890,COLUMN(HeadJournal!J$1),0))*($K1382+$L1382)/(SUMIF($A:$A,$A1382,$K:$K)+SUMIF($A:$A,$A1382,$L:$L)),0)</f>
        <v>0</v>
      </c>
      <c r="O1382" s="30">
        <f>IFERROR((VLOOKUP($A1382,HeadJournal!$A$1:$L$890,COLUMN(HeadJournal!L$1),0)*($K1382+$L1382)/(SUMIF($A:$A,$A1382,$K:$K)+SUMIF($A:$A,$A1382,$L:$L)))/VLOOKUP($A1382,HeadJournal!$A$1:$L$890,COLUMN(HeadJournal!H$1),0),0)</f>
        <v>0.40935609879124985</v>
      </c>
      <c r="P1382" s="30">
        <f>IFERROR(SUM(K1382:O1382)*VLOOKUP($A1382,HeadJournal!$A$1:$L$890,COLUMN(HeadJournal!H$1),0),0)</f>
        <v>492.74120665670569</v>
      </c>
      <c r="Q1382" s="29">
        <v>800</v>
      </c>
      <c r="R1382" s="31">
        <v>45056</v>
      </c>
      <c r="S1382" s="31" t="s">
        <v>3121</v>
      </c>
      <c r="T1382" s="95" t="str">
        <f t="shared" si="110"/>
        <v>2023 05</v>
      </c>
      <c r="U1382" s="32">
        <f t="shared" si="107"/>
        <v>307.25879334329431</v>
      </c>
      <c r="V1382" s="22">
        <f t="shared" si="108"/>
        <v>0.62357032290453929</v>
      </c>
      <c r="X1382" s="33"/>
      <c r="Y1382" s="33"/>
    </row>
    <row r="1383" spans="1:25" x14ac:dyDescent="0.2">
      <c r="A1383" s="93" t="s">
        <v>608</v>
      </c>
      <c r="B1383" s="94" t="str">
        <f>IFERROR(VLOOKUP($A1383,HeadJournal!$A$1:$NTR$890,COLUMN(HeadJournal!B$1),0),"")</f>
        <v>710000713512</v>
      </c>
      <c r="C1383" s="94" t="str">
        <f>IFERROR(VLOOKUP($A1383,HeadJournal!$A$1:$NTR$890,COLUMN(HeadJournal!C$1),0),"")</f>
        <v>iHerb_VP DFD1605</v>
      </c>
      <c r="D1383" s="125" t="str">
        <f>IFERROR(VLOOKUP($A1383,HeadJournal!$A$1:$NTR$890,COLUMN(HeadJournal!D$1),0),"")</f>
        <v>Доставлен</v>
      </c>
      <c r="E1383" s="95">
        <f>IFERROR(VLOOKUP($A1383,HeadJournal!$A$1:$NTR$890,COLUMN(HeadJournal!G$1),0),"")</f>
        <v>45018</v>
      </c>
      <c r="F1383" s="95" t="str">
        <f t="shared" si="109"/>
        <v>2023 04</v>
      </c>
      <c r="G1383" s="96" t="s">
        <v>5</v>
      </c>
      <c r="H1383" s="161" t="s">
        <v>2027</v>
      </c>
      <c r="I1383" s="97" t="s">
        <v>2005</v>
      </c>
      <c r="J1383" s="97" t="s">
        <v>4110</v>
      </c>
      <c r="K1383" s="29">
        <v>6.64</v>
      </c>
      <c r="L1383" s="29">
        <v>-1.99</v>
      </c>
      <c r="M1383" s="30">
        <f>IFERROR(VLOOKUP($A1383,HeadJournal!$A$1:$J$890,COLUMN(HeadJournal!I$1),0)*($K1383+$L1383)/(SUMIF($A:$A,$A1383,$K:$K)+SUMIF($A:$A,$A1383,$L:$L)),0)</f>
        <v>0.33804678242052655</v>
      </c>
      <c r="N1383" s="30">
        <f>IFERROR((VLOOKUP($A1383,HeadJournal!$A$1:$K$890,COLUMN(HeadJournal!K$1),0)-VLOOKUP($A1383,HeadJournal!$A$1:$K$890,COLUMN(HeadJournal!J$1),0))*($K1383+$L1383)/(SUMIF($A:$A,$A1383,$K:$K)+SUMIF($A:$A,$A1383,$L:$L)),0)</f>
        <v>0</v>
      </c>
      <c r="O1383" s="30">
        <f>IFERROR((VLOOKUP($A1383,HeadJournal!$A$1:$L$890,COLUMN(HeadJournal!L$1),0)*($K1383+$L1383)/(SUMIF($A:$A,$A1383,$K:$K)+SUMIF($A:$A,$A1383,$L:$L)))/VLOOKUP($A1383,HeadJournal!$A$1:$L$890,COLUMN(HeadJournal!H$1),0),0)</f>
        <v>0.38377134261679663</v>
      </c>
      <c r="P1383" s="30">
        <f>IFERROR(SUM(K1383:O1383)*VLOOKUP($A1383,HeadJournal!$A$1:$L$890,COLUMN(HeadJournal!H$1),0),0)</f>
        <v>461.94488124066157</v>
      </c>
      <c r="Q1383" s="29">
        <v>1100</v>
      </c>
      <c r="R1383" s="31">
        <v>45123</v>
      </c>
      <c r="S1383" s="31" t="s">
        <v>3121</v>
      </c>
      <c r="T1383" s="95" t="str">
        <f t="shared" si="110"/>
        <v>2023 07</v>
      </c>
      <c r="U1383" s="32">
        <f t="shared" si="107"/>
        <v>638.05511875933848</v>
      </c>
      <c r="V1383" s="22">
        <f t="shared" si="108"/>
        <v>1.3812364735933245</v>
      </c>
      <c r="X1383" s="33"/>
      <c r="Y1383" s="33"/>
    </row>
    <row r="1384" spans="1:25" x14ac:dyDescent="0.2">
      <c r="A1384" s="93" t="s">
        <v>608</v>
      </c>
      <c r="B1384" s="94" t="str">
        <f>IFERROR(VLOOKUP($A1384,HeadJournal!$A$1:$NTR$890,COLUMN(HeadJournal!B$1),0),"")</f>
        <v>710000713512</v>
      </c>
      <c r="C1384" s="94" t="str">
        <f>IFERROR(VLOOKUP($A1384,HeadJournal!$A$1:$NTR$890,COLUMN(HeadJournal!C$1),0),"")</f>
        <v>iHerb_VP DFD1605</v>
      </c>
      <c r="D1384" s="125" t="str">
        <f>IFERROR(VLOOKUP($A1384,HeadJournal!$A$1:$NTR$890,COLUMN(HeadJournal!D$1),0),"")</f>
        <v>Доставлен</v>
      </c>
      <c r="E1384" s="95">
        <f>IFERROR(VLOOKUP($A1384,HeadJournal!$A$1:$NTR$890,COLUMN(HeadJournal!G$1),0),"")</f>
        <v>45018</v>
      </c>
      <c r="F1384" s="95" t="str">
        <f t="shared" si="109"/>
        <v>2023 04</v>
      </c>
      <c r="G1384" s="96" t="s">
        <v>5</v>
      </c>
      <c r="H1384" s="161" t="s">
        <v>2027</v>
      </c>
      <c r="I1384" s="97" t="s">
        <v>2005</v>
      </c>
      <c r="J1384" s="97" t="s">
        <v>4110</v>
      </c>
      <c r="K1384" s="29">
        <v>6.64</v>
      </c>
      <c r="L1384" s="29">
        <v>-1.99</v>
      </c>
      <c r="M1384" s="30">
        <f>IFERROR(VLOOKUP($A1384,HeadJournal!$A$1:$J$890,COLUMN(HeadJournal!I$1),0)*($K1384+$L1384)/(SUMIF($A:$A,$A1384,$K:$K)+SUMIF($A:$A,$A1384,$L:$L)),0)</f>
        <v>0.33804678242052655</v>
      </c>
      <c r="N1384" s="30">
        <f>IFERROR((VLOOKUP($A1384,HeadJournal!$A$1:$K$890,COLUMN(HeadJournal!K$1),0)-VLOOKUP($A1384,HeadJournal!$A$1:$K$890,COLUMN(HeadJournal!J$1),0))*($K1384+$L1384)/(SUMIF($A:$A,$A1384,$K:$K)+SUMIF($A:$A,$A1384,$L:$L)),0)</f>
        <v>0</v>
      </c>
      <c r="O1384" s="30">
        <f>IFERROR((VLOOKUP($A1384,HeadJournal!$A$1:$L$890,COLUMN(HeadJournal!L$1),0)*($K1384+$L1384)/(SUMIF($A:$A,$A1384,$K:$K)+SUMIF($A:$A,$A1384,$L:$L)))/VLOOKUP($A1384,HeadJournal!$A$1:$L$890,COLUMN(HeadJournal!H$1),0),0)</f>
        <v>0.38377134261679663</v>
      </c>
      <c r="P1384" s="30">
        <f>IFERROR(SUM(K1384:O1384)*VLOOKUP($A1384,HeadJournal!$A$1:$L$890,COLUMN(HeadJournal!H$1),0),0)</f>
        <v>461.94488124066157</v>
      </c>
      <c r="Q1384" s="29">
        <v>1100</v>
      </c>
      <c r="R1384" s="31">
        <v>45174</v>
      </c>
      <c r="S1384" s="31" t="s">
        <v>3121</v>
      </c>
      <c r="T1384" s="95" t="str">
        <f t="shared" si="110"/>
        <v>2023 09</v>
      </c>
      <c r="U1384" s="32">
        <f t="shared" si="107"/>
        <v>638.05511875933848</v>
      </c>
      <c r="V1384" s="22">
        <f t="shared" si="108"/>
        <v>1.3812364735933245</v>
      </c>
      <c r="X1384" s="33"/>
      <c r="Y1384" s="33"/>
    </row>
    <row r="1385" spans="1:25" x14ac:dyDescent="0.2">
      <c r="A1385" s="93" t="s">
        <v>608</v>
      </c>
      <c r="B1385" s="94" t="str">
        <f>IFERROR(VLOOKUP($A1385,HeadJournal!$A$1:$NTR$890,COLUMN(HeadJournal!B$1),0),"")</f>
        <v>710000713512</v>
      </c>
      <c r="C1385" s="94" t="str">
        <f>IFERROR(VLOOKUP($A1385,HeadJournal!$A$1:$NTR$890,COLUMN(HeadJournal!C$1),0),"")</f>
        <v>iHerb_VP DFD1605</v>
      </c>
      <c r="D1385" s="125" t="str">
        <f>IFERROR(VLOOKUP($A1385,HeadJournal!$A$1:$NTR$890,COLUMN(HeadJournal!D$1),0),"")</f>
        <v>Доставлен</v>
      </c>
      <c r="E1385" s="95">
        <f>IFERROR(VLOOKUP($A1385,HeadJournal!$A$1:$NTR$890,COLUMN(HeadJournal!G$1),0),"")</f>
        <v>45018</v>
      </c>
      <c r="F1385" s="95" t="str">
        <f t="shared" si="109"/>
        <v>2023 04</v>
      </c>
      <c r="G1385" s="96" t="s">
        <v>5</v>
      </c>
      <c r="H1385" s="161" t="s">
        <v>2614</v>
      </c>
      <c r="I1385" s="97" t="s">
        <v>2005</v>
      </c>
      <c r="J1385" s="97" t="s">
        <v>2641</v>
      </c>
      <c r="K1385" s="29">
        <v>4.6900000000000004</v>
      </c>
      <c r="L1385" s="29">
        <v>-0.94</v>
      </c>
      <c r="M1385" s="30">
        <f>IFERROR(VLOOKUP($A1385,HeadJournal!$A$1:$J$890,COLUMN(HeadJournal!I$1),0)*($K1385+$L1385)/(SUMIF($A:$A,$A1385,$K:$K)+SUMIF($A:$A,$A1385,$L:$L)),0)</f>
        <v>0.27261837291977953</v>
      </c>
      <c r="N1385" s="30">
        <f>IFERROR((VLOOKUP($A1385,HeadJournal!$A$1:$K$890,COLUMN(HeadJournal!K$1),0)-VLOOKUP($A1385,HeadJournal!$A$1:$K$890,COLUMN(HeadJournal!J$1),0))*($K1385+$L1385)/(SUMIF($A:$A,$A1385,$K:$K)+SUMIF($A:$A,$A1385,$L:$L)),0)</f>
        <v>0</v>
      </c>
      <c r="O1385" s="30">
        <f>IFERROR((VLOOKUP($A1385,HeadJournal!$A$1:$L$890,COLUMN(HeadJournal!L$1),0)*($K1385+$L1385)/(SUMIF($A:$A,$A1385,$K:$K)+SUMIF($A:$A,$A1385,$L:$L)))/VLOOKUP($A1385,HeadJournal!$A$1:$L$890,COLUMN(HeadJournal!H$1),0),0)</f>
        <v>0.30949301823935227</v>
      </c>
      <c r="P1385" s="30">
        <f>IFERROR(SUM(K1385:O1385)*VLOOKUP($A1385,HeadJournal!$A$1:$L$890,COLUMN(HeadJournal!H$1),0),0)</f>
        <v>372.53619454892066</v>
      </c>
      <c r="Q1385" s="29">
        <v>900</v>
      </c>
      <c r="R1385" s="31">
        <v>45182</v>
      </c>
      <c r="S1385" s="31" t="s">
        <v>3121</v>
      </c>
      <c r="T1385" s="95" t="str">
        <f t="shared" si="110"/>
        <v>2023 09</v>
      </c>
      <c r="U1385" s="32">
        <f t="shared" si="107"/>
        <v>527.46380545107934</v>
      </c>
      <c r="V1385" s="22">
        <f t="shared" si="108"/>
        <v>1.4158726404819544</v>
      </c>
      <c r="X1385" s="33"/>
      <c r="Y1385" s="33"/>
    </row>
    <row r="1386" spans="1:25" x14ac:dyDescent="0.2">
      <c r="A1386" s="93" t="s">
        <v>608</v>
      </c>
      <c r="B1386" s="94" t="str">
        <f>IFERROR(VLOOKUP($A1386,HeadJournal!$A$1:$NTR$890,COLUMN(HeadJournal!B$1),0),"")</f>
        <v>710000713512</v>
      </c>
      <c r="C1386" s="94" t="str">
        <f>IFERROR(VLOOKUP($A1386,HeadJournal!$A$1:$NTR$890,COLUMN(HeadJournal!C$1),0),"")</f>
        <v>iHerb_VP DFD1605</v>
      </c>
      <c r="D1386" s="125" t="str">
        <f>IFERROR(VLOOKUP($A1386,HeadJournal!$A$1:$NTR$890,COLUMN(HeadJournal!D$1),0),"")</f>
        <v>Доставлен</v>
      </c>
      <c r="E1386" s="95">
        <f>IFERROR(VLOOKUP($A1386,HeadJournal!$A$1:$NTR$890,COLUMN(HeadJournal!G$1),0),"")</f>
        <v>45018</v>
      </c>
      <c r="F1386" s="95" t="str">
        <f t="shared" si="109"/>
        <v>2023 04</v>
      </c>
      <c r="G1386" s="96" t="s">
        <v>5</v>
      </c>
      <c r="H1386" s="161" t="s">
        <v>2614</v>
      </c>
      <c r="I1386" s="97" t="s">
        <v>2005</v>
      </c>
      <c r="J1386" s="97" t="s">
        <v>2641</v>
      </c>
      <c r="K1386" s="29">
        <v>4.6900000000000004</v>
      </c>
      <c r="L1386" s="29">
        <v>-0.94</v>
      </c>
      <c r="M1386" s="30">
        <f>IFERROR(VLOOKUP($A1386,HeadJournal!$A$1:$J$890,COLUMN(HeadJournal!I$1),0)*($K1386+$L1386)/(SUMIF($A:$A,$A1386,$K:$K)+SUMIF($A:$A,$A1386,$L:$L)),0)</f>
        <v>0.27261837291977953</v>
      </c>
      <c r="N1386" s="30">
        <f>IFERROR((VLOOKUP($A1386,HeadJournal!$A$1:$K$890,COLUMN(HeadJournal!K$1),0)-VLOOKUP($A1386,HeadJournal!$A$1:$K$890,COLUMN(HeadJournal!J$1),0))*($K1386+$L1386)/(SUMIF($A:$A,$A1386,$K:$K)+SUMIF($A:$A,$A1386,$L:$L)),0)</f>
        <v>0</v>
      </c>
      <c r="O1386" s="30">
        <f>IFERROR((VLOOKUP($A1386,HeadJournal!$A$1:$L$890,COLUMN(HeadJournal!L$1),0)*($K1386+$L1386)/(SUMIF($A:$A,$A1386,$K:$K)+SUMIF($A:$A,$A1386,$L:$L)))/VLOOKUP($A1386,HeadJournal!$A$1:$L$890,COLUMN(HeadJournal!H$1),0),0)</f>
        <v>0.30949301823935227</v>
      </c>
      <c r="P1386" s="30">
        <f>IFERROR(SUM(K1386:O1386)*VLOOKUP($A1386,HeadJournal!$A$1:$L$890,COLUMN(HeadJournal!H$1),0),0)</f>
        <v>372.53619454892066</v>
      </c>
      <c r="Q1386" s="29">
        <v>900</v>
      </c>
      <c r="R1386" s="31">
        <v>45194</v>
      </c>
      <c r="S1386" s="31" t="s">
        <v>3121</v>
      </c>
      <c r="T1386" s="95" t="str">
        <f t="shared" si="110"/>
        <v>2023 09</v>
      </c>
      <c r="U1386" s="32">
        <f t="shared" si="107"/>
        <v>527.46380545107934</v>
      </c>
      <c r="V1386" s="22">
        <f t="shared" si="108"/>
        <v>1.4158726404819544</v>
      </c>
      <c r="X1386" s="33"/>
      <c r="Y1386" s="33"/>
    </row>
    <row r="1387" spans="1:25" x14ac:dyDescent="0.2">
      <c r="A1387" s="93" t="s">
        <v>608</v>
      </c>
      <c r="B1387" s="94" t="str">
        <f>IFERROR(VLOOKUP($A1387,HeadJournal!$A$1:$NTR$890,COLUMN(HeadJournal!B$1),0),"")</f>
        <v>710000713512</v>
      </c>
      <c r="C1387" s="94" t="str">
        <f>IFERROR(VLOOKUP($A1387,HeadJournal!$A$1:$NTR$890,COLUMN(HeadJournal!C$1),0),"")</f>
        <v>iHerb_VP DFD1605</v>
      </c>
      <c r="D1387" s="125" t="str">
        <f>IFERROR(VLOOKUP($A1387,HeadJournal!$A$1:$NTR$890,COLUMN(HeadJournal!D$1),0),"")</f>
        <v>Доставлен</v>
      </c>
      <c r="E1387" s="95">
        <f>IFERROR(VLOOKUP($A1387,HeadJournal!$A$1:$NTR$890,COLUMN(HeadJournal!G$1),0),"")</f>
        <v>45018</v>
      </c>
      <c r="F1387" s="95" t="str">
        <f t="shared" si="109"/>
        <v>2023 04</v>
      </c>
      <c r="G1387" s="96" t="s">
        <v>5</v>
      </c>
      <c r="H1387" s="161" t="s">
        <v>2202</v>
      </c>
      <c r="I1387" s="97" t="s">
        <v>2005</v>
      </c>
      <c r="J1387" s="97" t="s">
        <v>3692</v>
      </c>
      <c r="K1387" s="29">
        <v>14.07</v>
      </c>
      <c r="L1387" s="29">
        <v>-2.8149999999999999</v>
      </c>
      <c r="M1387" s="30">
        <f>IFERROR(VLOOKUP($A1387,HeadJournal!$A$1:$J$890,COLUMN(HeadJournal!I$1),0)*($K1387+$L1387)/(SUMIF($A:$A,$A1387,$K:$K)+SUMIF($A:$A,$A1387,$L:$L)),0)</f>
        <v>0.81821860992323159</v>
      </c>
      <c r="N1387" s="30">
        <f>IFERROR((VLOOKUP($A1387,HeadJournal!$A$1:$K$890,COLUMN(HeadJournal!K$1),0)-VLOOKUP($A1387,HeadJournal!$A$1:$K$890,COLUMN(HeadJournal!J$1),0))*($K1387+$L1387)/(SUMIF($A:$A,$A1387,$K:$K)+SUMIF($A:$A,$A1387,$L:$L)),0)</f>
        <v>0</v>
      </c>
      <c r="O1387" s="30">
        <f>IFERROR((VLOOKUP($A1387,HeadJournal!$A$1:$L$890,COLUMN(HeadJournal!L$1),0)*($K1387+$L1387)/(SUMIF($A:$A,$A1387,$K:$K)+SUMIF($A:$A,$A1387,$L:$L)))/VLOOKUP($A1387,HeadJournal!$A$1:$L$890,COLUMN(HeadJournal!H$1),0),0)</f>
        <v>0.92889171207570909</v>
      </c>
      <c r="P1387" s="30">
        <f>IFERROR(SUM(K1387:O1387)*VLOOKUP($A1387,HeadJournal!$A$1:$L$890,COLUMN(HeadJournal!H$1),0),0)</f>
        <v>1118.1052985728272</v>
      </c>
      <c r="Q1387" s="29">
        <v>1900</v>
      </c>
      <c r="R1387" s="31">
        <v>45071</v>
      </c>
      <c r="S1387" s="31" t="s">
        <v>3121</v>
      </c>
      <c r="T1387" s="95" t="str">
        <f t="shared" si="110"/>
        <v>2023 05</v>
      </c>
      <c r="U1387" s="32">
        <f t="shared" si="107"/>
        <v>781.89470142717278</v>
      </c>
      <c r="V1387" s="22">
        <f t="shared" si="108"/>
        <v>0.69930327888187216</v>
      </c>
      <c r="X1387" s="33"/>
      <c r="Y1387" s="33"/>
    </row>
    <row r="1388" spans="1:25" x14ac:dyDescent="0.2">
      <c r="A1388" s="93" t="s">
        <v>608</v>
      </c>
      <c r="B1388" s="94" t="str">
        <f>IFERROR(VLOOKUP($A1388,HeadJournal!$A$1:$NTR$890,COLUMN(HeadJournal!B$1),0),"")</f>
        <v>710000713512</v>
      </c>
      <c r="C1388" s="94" t="str">
        <f>IFERROR(VLOOKUP($A1388,HeadJournal!$A$1:$NTR$890,COLUMN(HeadJournal!C$1),0),"")</f>
        <v>iHerb_VP DFD1605</v>
      </c>
      <c r="D1388" s="125" t="str">
        <f>IFERROR(VLOOKUP($A1388,HeadJournal!$A$1:$NTR$890,COLUMN(HeadJournal!D$1),0),"")</f>
        <v>Доставлен</v>
      </c>
      <c r="E1388" s="95">
        <f>IFERROR(VLOOKUP($A1388,HeadJournal!$A$1:$NTR$890,COLUMN(HeadJournal!G$1),0),"")</f>
        <v>45018</v>
      </c>
      <c r="F1388" s="95" t="str">
        <f t="shared" si="109"/>
        <v>2023 04</v>
      </c>
      <c r="G1388" s="96" t="s">
        <v>5</v>
      </c>
      <c r="H1388" s="161" t="s">
        <v>2202</v>
      </c>
      <c r="I1388" s="97" t="s">
        <v>2005</v>
      </c>
      <c r="J1388" s="97" t="s">
        <v>3692</v>
      </c>
      <c r="K1388" s="29">
        <v>14.07</v>
      </c>
      <c r="L1388" s="29">
        <v>-2.8149999999999999</v>
      </c>
      <c r="M1388" s="30">
        <f>IFERROR(VLOOKUP($A1388,HeadJournal!$A$1:$J$890,COLUMN(HeadJournal!I$1),0)*($K1388+$L1388)/(SUMIF($A:$A,$A1388,$K:$K)+SUMIF($A:$A,$A1388,$L:$L)),0)</f>
        <v>0.81821860992323159</v>
      </c>
      <c r="N1388" s="30">
        <f>IFERROR((VLOOKUP($A1388,HeadJournal!$A$1:$K$890,COLUMN(HeadJournal!K$1),0)-VLOOKUP($A1388,HeadJournal!$A$1:$K$890,COLUMN(HeadJournal!J$1),0))*($K1388+$L1388)/(SUMIF($A:$A,$A1388,$K:$K)+SUMIF($A:$A,$A1388,$L:$L)),0)</f>
        <v>0</v>
      </c>
      <c r="O1388" s="30">
        <f>IFERROR((VLOOKUP($A1388,HeadJournal!$A$1:$L$890,COLUMN(HeadJournal!L$1),0)*($K1388+$L1388)/(SUMIF($A:$A,$A1388,$K:$K)+SUMIF($A:$A,$A1388,$L:$L)))/VLOOKUP($A1388,HeadJournal!$A$1:$L$890,COLUMN(HeadJournal!H$1),0),0)</f>
        <v>0.92889171207570909</v>
      </c>
      <c r="P1388" s="30">
        <f>IFERROR(SUM(K1388:O1388)*VLOOKUP($A1388,HeadJournal!$A$1:$L$890,COLUMN(HeadJournal!H$1),0),0)</f>
        <v>1118.1052985728272</v>
      </c>
      <c r="Q1388" s="29">
        <v>2000</v>
      </c>
      <c r="R1388" s="31">
        <v>45158</v>
      </c>
      <c r="S1388" s="31" t="s">
        <v>3121</v>
      </c>
      <c r="T1388" s="95" t="str">
        <f t="shared" si="110"/>
        <v>2023 08</v>
      </c>
      <c r="U1388" s="32">
        <f t="shared" si="107"/>
        <v>881.89470142717278</v>
      </c>
      <c r="V1388" s="22">
        <f t="shared" si="108"/>
        <v>0.78874029355986552</v>
      </c>
      <c r="X1388" s="33"/>
      <c r="Y1388" s="33"/>
    </row>
    <row r="1389" spans="1:25" x14ac:dyDescent="0.2">
      <c r="A1389" s="93" t="s">
        <v>608</v>
      </c>
      <c r="B1389" s="94" t="str">
        <f>IFERROR(VLOOKUP($A1389,HeadJournal!$A$1:$NTR$890,COLUMN(HeadJournal!B$1),0),"")</f>
        <v>710000713512</v>
      </c>
      <c r="C1389" s="94" t="str">
        <f>IFERROR(VLOOKUP($A1389,HeadJournal!$A$1:$NTR$890,COLUMN(HeadJournal!C$1),0),"")</f>
        <v>iHerb_VP DFD1605</v>
      </c>
      <c r="D1389" s="125" t="str">
        <f>IFERROR(VLOOKUP($A1389,HeadJournal!$A$1:$NTR$890,COLUMN(HeadJournal!D$1),0),"")</f>
        <v>Доставлен</v>
      </c>
      <c r="E1389" s="95">
        <f>IFERROR(VLOOKUP($A1389,HeadJournal!$A$1:$NTR$890,COLUMN(HeadJournal!G$1),0),"")</f>
        <v>45018</v>
      </c>
      <c r="F1389" s="95" t="str">
        <f t="shared" si="109"/>
        <v>2023 04</v>
      </c>
      <c r="G1389" s="96" t="s">
        <v>5</v>
      </c>
      <c r="H1389" s="175" t="s">
        <v>3654</v>
      </c>
      <c r="I1389" s="176" t="s">
        <v>2005</v>
      </c>
      <c r="J1389" s="97" t="s">
        <v>3703</v>
      </c>
      <c r="K1389" s="29">
        <v>9.3699999999999992</v>
      </c>
      <c r="L1389" s="29">
        <v>-1.875</v>
      </c>
      <c r="M1389" s="30">
        <f>IFERROR(VLOOKUP($A1389,HeadJournal!$A$1:$J$890,COLUMN(HeadJournal!I$1),0)*($K1389+$L1389)/(SUMIF($A:$A,$A1389,$K:$K)+SUMIF($A:$A,$A1389,$L:$L)),0)</f>
        <v>0.54487325467566594</v>
      </c>
      <c r="N1389" s="30">
        <f>IFERROR((VLOOKUP($A1389,HeadJournal!$A$1:$K$890,COLUMN(HeadJournal!K$1),0)-VLOOKUP($A1389,HeadJournal!$A$1:$K$890,COLUMN(HeadJournal!J$1),0))*($K1389+$L1389)/(SUMIF($A:$A,$A1389,$K:$K)+SUMIF($A:$A,$A1389,$L:$L)),0)</f>
        <v>0</v>
      </c>
      <c r="O1389" s="30">
        <f>IFERROR((VLOOKUP($A1389,HeadJournal!$A$1:$L$890,COLUMN(HeadJournal!L$1),0)*($K1389+$L1389)/(SUMIF($A:$A,$A1389,$K:$K)+SUMIF($A:$A,$A1389,$L:$L)))/VLOOKUP($A1389,HeadJournal!$A$1:$L$890,COLUMN(HeadJournal!H$1),0),0)</f>
        <v>0.61857337912105181</v>
      </c>
      <c r="P1389" s="30">
        <f>IFERROR(SUM(K1389:O1389)*VLOOKUP($A1389,HeadJournal!$A$1:$L$890,COLUMN(HeadJournal!H$1),0),0)</f>
        <v>744.57567417177609</v>
      </c>
      <c r="Q1389" s="29">
        <v>1500</v>
      </c>
      <c r="R1389" s="31">
        <v>45059</v>
      </c>
      <c r="S1389" s="31" t="s">
        <v>3121</v>
      </c>
      <c r="T1389" s="95" t="str">
        <f t="shared" si="110"/>
        <v>2023 05</v>
      </c>
      <c r="U1389" s="32">
        <f t="shared" si="107"/>
        <v>755.42432582822391</v>
      </c>
      <c r="V1389" s="22">
        <f t="shared" si="108"/>
        <v>1.0145702472331173</v>
      </c>
      <c r="X1389" s="33"/>
      <c r="Y1389" s="33"/>
    </row>
    <row r="1390" spans="1:25" x14ac:dyDescent="0.2">
      <c r="A1390" s="93" t="s">
        <v>608</v>
      </c>
      <c r="B1390" s="94" t="str">
        <f>IFERROR(VLOOKUP($A1390,HeadJournal!$A$1:$NTR$890,COLUMN(HeadJournal!B$1),0),"")</f>
        <v>710000713512</v>
      </c>
      <c r="C1390" s="94" t="str">
        <f>IFERROR(VLOOKUP($A1390,HeadJournal!$A$1:$NTR$890,COLUMN(HeadJournal!C$1),0),"")</f>
        <v>iHerb_VP DFD1605</v>
      </c>
      <c r="D1390" s="125" t="str">
        <f>IFERROR(VLOOKUP($A1390,HeadJournal!$A$1:$NTR$890,COLUMN(HeadJournal!D$1),0),"")</f>
        <v>Доставлен</v>
      </c>
      <c r="E1390" s="95">
        <f>IFERROR(VLOOKUP($A1390,HeadJournal!$A$1:$NTR$890,COLUMN(HeadJournal!G$1),0),"")</f>
        <v>45018</v>
      </c>
      <c r="F1390" s="95" t="str">
        <f t="shared" si="109"/>
        <v>2023 04</v>
      </c>
      <c r="G1390" s="96" t="s">
        <v>5</v>
      </c>
      <c r="H1390" s="175" t="s">
        <v>3654</v>
      </c>
      <c r="I1390" s="176" t="s">
        <v>2005</v>
      </c>
      <c r="J1390" s="97" t="s">
        <v>3703</v>
      </c>
      <c r="K1390" s="29">
        <v>9.3699999999999992</v>
      </c>
      <c r="L1390" s="29">
        <v>-1.875</v>
      </c>
      <c r="M1390" s="30">
        <f>IFERROR(VLOOKUP($A1390,HeadJournal!$A$1:$J$890,COLUMN(HeadJournal!I$1),0)*($K1390+$L1390)/(SUMIF($A:$A,$A1390,$K:$K)+SUMIF($A:$A,$A1390,$L:$L)),0)</f>
        <v>0.54487325467566594</v>
      </c>
      <c r="N1390" s="30">
        <f>IFERROR((VLOOKUP($A1390,HeadJournal!$A$1:$K$890,COLUMN(HeadJournal!K$1),0)-VLOOKUP($A1390,HeadJournal!$A$1:$K$890,COLUMN(HeadJournal!J$1),0))*($K1390+$L1390)/(SUMIF($A:$A,$A1390,$K:$K)+SUMIF($A:$A,$A1390,$L:$L)),0)</f>
        <v>0</v>
      </c>
      <c r="O1390" s="30">
        <f>IFERROR((VLOOKUP($A1390,HeadJournal!$A$1:$L$890,COLUMN(HeadJournal!L$1),0)*($K1390+$L1390)/(SUMIF($A:$A,$A1390,$K:$K)+SUMIF($A:$A,$A1390,$L:$L)))/VLOOKUP($A1390,HeadJournal!$A$1:$L$890,COLUMN(HeadJournal!H$1),0),0)</f>
        <v>0.61857337912105181</v>
      </c>
      <c r="P1390" s="30">
        <f>IFERROR(SUM(K1390:O1390)*VLOOKUP($A1390,HeadJournal!$A$1:$L$890,COLUMN(HeadJournal!H$1),0),0)</f>
        <v>744.57567417177609</v>
      </c>
      <c r="Q1390" s="29">
        <v>1500</v>
      </c>
      <c r="R1390" s="31">
        <v>45068</v>
      </c>
      <c r="S1390" s="31" t="s">
        <v>3121</v>
      </c>
      <c r="T1390" s="95" t="str">
        <f t="shared" si="110"/>
        <v>2023 05</v>
      </c>
      <c r="U1390" s="32">
        <f t="shared" si="107"/>
        <v>755.42432582822391</v>
      </c>
      <c r="V1390" s="22">
        <f t="shared" si="108"/>
        <v>1.0145702472331173</v>
      </c>
      <c r="X1390" s="33"/>
      <c r="Y1390" s="33"/>
    </row>
    <row r="1391" spans="1:25" x14ac:dyDescent="0.2">
      <c r="A1391" s="93" t="s">
        <v>608</v>
      </c>
      <c r="B1391" s="94" t="str">
        <f>IFERROR(VLOOKUP($A1391,HeadJournal!$A$1:$NTR$890,COLUMN(HeadJournal!B$1),0),"")</f>
        <v>710000713512</v>
      </c>
      <c r="C1391" s="94" t="str">
        <f>IFERROR(VLOOKUP($A1391,HeadJournal!$A$1:$NTR$890,COLUMN(HeadJournal!C$1),0),"")</f>
        <v>iHerb_VP DFD1605</v>
      </c>
      <c r="D1391" s="125" t="str">
        <f>IFERROR(VLOOKUP($A1391,HeadJournal!$A$1:$NTR$890,COLUMN(HeadJournal!D$1),0),"")</f>
        <v>Доставлен</v>
      </c>
      <c r="E1391" s="95">
        <f>IFERROR(VLOOKUP($A1391,HeadJournal!$A$1:$NTR$890,COLUMN(HeadJournal!G$1),0),"")</f>
        <v>45018</v>
      </c>
      <c r="F1391" s="95" t="str">
        <f t="shared" si="109"/>
        <v>2023 04</v>
      </c>
      <c r="G1391" s="96" t="s">
        <v>5</v>
      </c>
      <c r="H1391" s="161" t="s">
        <v>2831</v>
      </c>
      <c r="I1391" s="97" t="s">
        <v>2005</v>
      </c>
      <c r="J1391" s="97" t="s">
        <v>3911</v>
      </c>
      <c r="K1391" s="29">
        <v>11.52</v>
      </c>
      <c r="L1391" s="29">
        <v>-2.3050000000000002</v>
      </c>
      <c r="M1391" s="30">
        <f>IFERROR(VLOOKUP($A1391,HeadJournal!$A$1:$J$890,COLUMN(HeadJournal!I$1),0)*($K1391+$L1391)/(SUMIF($A:$A,$A1391,$K:$K)+SUMIF($A:$A,$A1391,$L:$L)),0)</f>
        <v>0.66991421505487159</v>
      </c>
      <c r="N1391" s="30">
        <f>IFERROR((VLOOKUP($A1391,HeadJournal!$A$1:$K$890,COLUMN(HeadJournal!K$1),0)-VLOOKUP($A1391,HeadJournal!$A$1:$K$890,COLUMN(HeadJournal!J$1),0))*($K1391+$L1391)/(SUMIF($A:$A,$A1391,$K:$K)+SUMIF($A:$A,$A1391,$L:$L)),0)</f>
        <v>0</v>
      </c>
      <c r="O1391" s="30">
        <f>IFERROR((VLOOKUP($A1391,HeadJournal!$A$1:$L$890,COLUMN(HeadJournal!L$1),0)*($K1391+$L1391)/(SUMIF($A:$A,$A1391,$K:$K)+SUMIF($A:$A,$A1391,$L:$L)))/VLOOKUP($A1391,HeadJournal!$A$1:$L$890,COLUMN(HeadJournal!H$1),0),0)</f>
        <v>0.7605275101535014</v>
      </c>
      <c r="P1391" s="30">
        <f>IFERROR(SUM(K1391:O1391)*VLOOKUP($A1391,HeadJournal!$A$1:$L$890,COLUMN(HeadJournal!H$1),0),0)</f>
        <v>915.44560873821433</v>
      </c>
      <c r="Q1391" s="29">
        <v>1600</v>
      </c>
      <c r="R1391" s="31">
        <v>45096</v>
      </c>
      <c r="S1391" s="31" t="s">
        <v>3121</v>
      </c>
      <c r="T1391" s="95" t="str">
        <f t="shared" si="110"/>
        <v>2023 06</v>
      </c>
      <c r="U1391" s="32">
        <f t="shared" si="107"/>
        <v>684.55439126178567</v>
      </c>
      <c r="V1391" s="22">
        <f t="shared" si="108"/>
        <v>0.74778270246478884</v>
      </c>
      <c r="X1391" s="33"/>
      <c r="Y1391" s="33"/>
    </row>
    <row r="1392" spans="1:25" x14ac:dyDescent="0.2">
      <c r="A1392" s="93" t="s">
        <v>608</v>
      </c>
      <c r="B1392" s="94" t="str">
        <f>IFERROR(VLOOKUP($A1392,HeadJournal!$A$1:$NTR$890,COLUMN(HeadJournal!B$1),0),"")</f>
        <v>710000713512</v>
      </c>
      <c r="C1392" s="94" t="str">
        <f>IFERROR(VLOOKUP($A1392,HeadJournal!$A$1:$NTR$890,COLUMN(HeadJournal!C$1),0),"")</f>
        <v>iHerb_VP DFD1605</v>
      </c>
      <c r="D1392" s="125" t="str">
        <f>IFERROR(VLOOKUP($A1392,HeadJournal!$A$1:$NTR$890,COLUMN(HeadJournal!D$1),0),"")</f>
        <v>Доставлен</v>
      </c>
      <c r="E1392" s="95">
        <f>IFERROR(VLOOKUP($A1392,HeadJournal!$A$1:$NTR$890,COLUMN(HeadJournal!G$1),0),"")</f>
        <v>45018</v>
      </c>
      <c r="F1392" s="95" t="str">
        <f t="shared" si="109"/>
        <v>2023 04</v>
      </c>
      <c r="G1392" s="96" t="s">
        <v>5</v>
      </c>
      <c r="H1392" s="161" t="s">
        <v>2831</v>
      </c>
      <c r="I1392" s="97" t="s">
        <v>2005</v>
      </c>
      <c r="J1392" s="97" t="s">
        <v>3911</v>
      </c>
      <c r="K1392" s="29">
        <v>11.52</v>
      </c>
      <c r="L1392" s="29">
        <v>-2.3050000000000002</v>
      </c>
      <c r="M1392" s="30">
        <f>IFERROR(VLOOKUP($A1392,HeadJournal!$A$1:$J$890,COLUMN(HeadJournal!I$1),0)*($K1392+$L1392)/(SUMIF($A:$A,$A1392,$K:$K)+SUMIF($A:$A,$A1392,$L:$L)),0)</f>
        <v>0.66991421505487159</v>
      </c>
      <c r="N1392" s="30">
        <f>IFERROR((VLOOKUP($A1392,HeadJournal!$A$1:$K$890,COLUMN(HeadJournal!K$1),0)-VLOOKUP($A1392,HeadJournal!$A$1:$K$890,COLUMN(HeadJournal!J$1),0))*($K1392+$L1392)/(SUMIF($A:$A,$A1392,$K:$K)+SUMIF($A:$A,$A1392,$L:$L)),0)</f>
        <v>0</v>
      </c>
      <c r="O1392" s="30">
        <f>IFERROR((VLOOKUP($A1392,HeadJournal!$A$1:$L$890,COLUMN(HeadJournal!L$1),0)*($K1392+$L1392)/(SUMIF($A:$A,$A1392,$K:$K)+SUMIF($A:$A,$A1392,$L:$L)))/VLOOKUP($A1392,HeadJournal!$A$1:$L$890,COLUMN(HeadJournal!H$1),0),0)</f>
        <v>0.7605275101535014</v>
      </c>
      <c r="P1392" s="30">
        <f>IFERROR(SUM(K1392:O1392)*VLOOKUP($A1392,HeadJournal!$A$1:$L$890,COLUMN(HeadJournal!H$1),0),0)</f>
        <v>915.44560873821433</v>
      </c>
      <c r="Q1392" s="29">
        <v>1600</v>
      </c>
      <c r="R1392" s="31">
        <v>45146</v>
      </c>
      <c r="S1392" s="31" t="s">
        <v>3121</v>
      </c>
      <c r="T1392" s="95" t="str">
        <f t="shared" si="110"/>
        <v>2023 08</v>
      </c>
      <c r="U1392" s="32">
        <f t="shared" si="107"/>
        <v>684.55439126178567</v>
      </c>
      <c r="V1392" s="22">
        <f t="shared" si="108"/>
        <v>0.74778270246478884</v>
      </c>
      <c r="X1392" s="33"/>
      <c r="Y1392" s="33"/>
    </row>
    <row r="1393" spans="1:25" x14ac:dyDescent="0.2">
      <c r="A1393" s="93" t="s">
        <v>608</v>
      </c>
      <c r="B1393" s="94" t="str">
        <f>IFERROR(VLOOKUP($A1393,HeadJournal!$A$1:$NTR$890,COLUMN(HeadJournal!B$1),0),"")</f>
        <v>710000713512</v>
      </c>
      <c r="C1393" s="94" t="str">
        <f>IFERROR(VLOOKUP($A1393,HeadJournal!$A$1:$NTR$890,COLUMN(HeadJournal!C$1),0),"")</f>
        <v>iHerb_VP DFD1605</v>
      </c>
      <c r="D1393" s="125" t="str">
        <f>IFERROR(VLOOKUP($A1393,HeadJournal!$A$1:$NTR$890,COLUMN(HeadJournal!D$1),0),"")</f>
        <v>Доставлен</v>
      </c>
      <c r="E1393" s="95">
        <f>IFERROR(VLOOKUP($A1393,HeadJournal!$A$1:$NTR$890,COLUMN(HeadJournal!G$1),0),"")</f>
        <v>45018</v>
      </c>
      <c r="F1393" s="95" t="str">
        <f t="shared" si="109"/>
        <v>2023 04</v>
      </c>
      <c r="G1393" s="96" t="s">
        <v>5</v>
      </c>
      <c r="H1393" s="175" t="s">
        <v>3652</v>
      </c>
      <c r="I1393" s="176" t="s">
        <v>2005</v>
      </c>
      <c r="J1393" s="97" t="s">
        <v>3701</v>
      </c>
      <c r="K1393" s="29">
        <v>9.66</v>
      </c>
      <c r="L1393" s="29">
        <v>-1.93</v>
      </c>
      <c r="M1393" s="30">
        <f>IFERROR(VLOOKUP($A1393,HeadJournal!$A$1:$J$890,COLUMN(HeadJournal!I$1),0)*($K1393+$L1393)/(SUMIF($A:$A,$A1393,$K:$K)+SUMIF($A:$A,$A1393,$L:$L)),0)</f>
        <v>0.5619573393786389</v>
      </c>
      <c r="N1393" s="30">
        <f>IFERROR((VLOOKUP($A1393,HeadJournal!$A$1:$K$890,COLUMN(HeadJournal!K$1),0)-VLOOKUP($A1393,HeadJournal!$A$1:$K$890,COLUMN(HeadJournal!J$1),0))*($K1393+$L1393)/(SUMIF($A:$A,$A1393,$K:$K)+SUMIF($A:$A,$A1393,$L:$L)),0)</f>
        <v>0</v>
      </c>
      <c r="O1393" s="30">
        <f>IFERROR((VLOOKUP($A1393,HeadJournal!$A$1:$L$890,COLUMN(HeadJournal!L$1),0)*($K1393+$L1393)/(SUMIF($A:$A,$A1393,$K:$K)+SUMIF($A:$A,$A1393,$L:$L)))/VLOOKUP($A1393,HeadJournal!$A$1:$L$890,COLUMN(HeadJournal!H$1),0),0)</f>
        <v>0.63796827493071795</v>
      </c>
      <c r="P1393" s="30">
        <f>IFERROR(SUM(K1393:O1393)*VLOOKUP($A1393,HeadJournal!$A$1:$L$890,COLUMN(HeadJournal!H$1),0),0)</f>
        <v>767.92127569684169</v>
      </c>
      <c r="Q1393" s="29">
        <v>1500</v>
      </c>
      <c r="R1393" s="31">
        <v>45289</v>
      </c>
      <c r="S1393" s="31" t="s">
        <v>3121</v>
      </c>
      <c r="T1393" s="95" t="str">
        <f t="shared" si="110"/>
        <v>2023 12</v>
      </c>
      <c r="U1393" s="32">
        <f t="shared" si="107"/>
        <v>732.07872430315831</v>
      </c>
      <c r="V1393" s="22">
        <f t="shared" si="108"/>
        <v>0.95332522678036435</v>
      </c>
      <c r="X1393" s="33"/>
      <c r="Y1393" s="33"/>
    </row>
    <row r="1394" spans="1:25" x14ac:dyDescent="0.2">
      <c r="A1394" s="93" t="s">
        <v>608</v>
      </c>
      <c r="B1394" s="94" t="str">
        <f>IFERROR(VLOOKUP($A1394,HeadJournal!$A$1:$NTR$890,COLUMN(HeadJournal!B$1),0),"")</f>
        <v>710000713512</v>
      </c>
      <c r="C1394" s="94" t="str">
        <f>IFERROR(VLOOKUP($A1394,HeadJournal!$A$1:$NTR$890,COLUMN(HeadJournal!C$1),0),"")</f>
        <v>iHerb_VP DFD1605</v>
      </c>
      <c r="D1394" s="125" t="str">
        <f>IFERROR(VLOOKUP($A1394,HeadJournal!$A$1:$NTR$890,COLUMN(HeadJournal!D$1),0),"")</f>
        <v>Доставлен</v>
      </c>
      <c r="E1394" s="95">
        <f>IFERROR(VLOOKUP($A1394,HeadJournal!$A$1:$NTR$890,COLUMN(HeadJournal!G$1),0),"")</f>
        <v>45018</v>
      </c>
      <c r="F1394" s="95" t="str">
        <f t="shared" si="109"/>
        <v>2023 04</v>
      </c>
      <c r="G1394" s="96" t="s">
        <v>5</v>
      </c>
      <c r="H1394" s="175" t="s">
        <v>3652</v>
      </c>
      <c r="I1394" s="176" t="s">
        <v>2005</v>
      </c>
      <c r="J1394" s="97" t="s">
        <v>3701</v>
      </c>
      <c r="K1394" s="29">
        <v>9.66</v>
      </c>
      <c r="L1394" s="29">
        <v>-1.93</v>
      </c>
      <c r="M1394" s="30">
        <f>IFERROR(VLOOKUP($A1394,HeadJournal!$A$1:$J$890,COLUMN(HeadJournal!I$1),0)*($K1394+$L1394)/(SUMIF($A:$A,$A1394,$K:$K)+SUMIF($A:$A,$A1394,$L:$L)),0)</f>
        <v>0.5619573393786389</v>
      </c>
      <c r="N1394" s="30">
        <f>IFERROR((VLOOKUP($A1394,HeadJournal!$A$1:$K$890,COLUMN(HeadJournal!K$1),0)-VLOOKUP($A1394,HeadJournal!$A$1:$K$890,COLUMN(HeadJournal!J$1),0))*($K1394+$L1394)/(SUMIF($A:$A,$A1394,$K:$K)+SUMIF($A:$A,$A1394,$L:$L)),0)</f>
        <v>0</v>
      </c>
      <c r="O1394" s="30">
        <f>IFERROR((VLOOKUP($A1394,HeadJournal!$A$1:$L$890,COLUMN(HeadJournal!L$1),0)*($K1394+$L1394)/(SUMIF($A:$A,$A1394,$K:$K)+SUMIF($A:$A,$A1394,$L:$L)))/VLOOKUP($A1394,HeadJournal!$A$1:$L$890,COLUMN(HeadJournal!H$1),0),0)</f>
        <v>0.63796827493071795</v>
      </c>
      <c r="P1394" s="30">
        <f>IFERROR(SUM(K1394:O1394)*VLOOKUP($A1394,HeadJournal!$A$1:$L$890,COLUMN(HeadJournal!H$1),0),0)</f>
        <v>767.92127569684169</v>
      </c>
      <c r="Q1394" s="29">
        <v>1600</v>
      </c>
      <c r="R1394" s="31">
        <v>45371</v>
      </c>
      <c r="S1394" s="31" t="s">
        <v>3121</v>
      </c>
      <c r="T1394" s="95" t="str">
        <f t="shared" si="110"/>
        <v>2024 03</v>
      </c>
      <c r="U1394" s="32">
        <f t="shared" si="107"/>
        <v>832.07872430315831</v>
      </c>
      <c r="V1394" s="22">
        <f t="shared" si="108"/>
        <v>1.0835469085657219</v>
      </c>
      <c r="X1394" s="33"/>
      <c r="Y1394" s="33"/>
    </row>
    <row r="1395" spans="1:25" x14ac:dyDescent="0.2">
      <c r="A1395" s="93" t="s">
        <v>608</v>
      </c>
      <c r="B1395" s="94" t="str">
        <f>IFERROR(VLOOKUP($A1395,HeadJournal!$A$1:$NTR$890,COLUMN(HeadJournal!B$1),0),"")</f>
        <v>710000713512</v>
      </c>
      <c r="C1395" s="94" t="str">
        <f>IFERROR(VLOOKUP($A1395,HeadJournal!$A$1:$NTR$890,COLUMN(HeadJournal!C$1),0),"")</f>
        <v>iHerb_VP DFD1605</v>
      </c>
      <c r="D1395" s="125" t="str">
        <f>IFERROR(VLOOKUP($A1395,HeadJournal!$A$1:$NTR$890,COLUMN(HeadJournal!D$1),0),"")</f>
        <v>Доставлен</v>
      </c>
      <c r="E1395" s="95">
        <f>IFERROR(VLOOKUP($A1395,HeadJournal!$A$1:$NTR$890,COLUMN(HeadJournal!G$1),0),"")</f>
        <v>45018</v>
      </c>
      <c r="F1395" s="95" t="str">
        <f t="shared" si="109"/>
        <v>2023 04</v>
      </c>
      <c r="G1395" s="96" t="s">
        <v>5</v>
      </c>
      <c r="H1395" s="161" t="s">
        <v>2118</v>
      </c>
      <c r="I1395" s="97" t="s">
        <v>2005</v>
      </c>
      <c r="J1395" s="97" t="s">
        <v>2119</v>
      </c>
      <c r="K1395" s="29">
        <v>12.26</v>
      </c>
      <c r="L1395" s="29">
        <v>-2.4500000000000002</v>
      </c>
      <c r="M1395" s="30">
        <f>IFERROR(VLOOKUP($A1395,HeadJournal!$A$1:$J$890,COLUMN(HeadJournal!I$1),0)*($K1395+$L1395)/(SUMIF($A:$A,$A1395,$K:$K)+SUMIF($A:$A,$A1395,$L:$L)),0)</f>
        <v>0.71316966355814315</v>
      </c>
      <c r="N1395" s="30">
        <f>IFERROR((VLOOKUP($A1395,HeadJournal!$A$1:$K$890,COLUMN(HeadJournal!K$1),0)-VLOOKUP($A1395,HeadJournal!$A$1:$K$890,COLUMN(HeadJournal!J$1),0))*($K1395+$L1395)/(SUMIF($A:$A,$A1395,$K:$K)+SUMIF($A:$A,$A1395,$L:$L)),0)</f>
        <v>0</v>
      </c>
      <c r="O1395" s="30">
        <f>IFERROR((VLOOKUP($A1395,HeadJournal!$A$1:$L$890,COLUMN(HeadJournal!L$1),0)*($K1395+$L1395)/(SUMIF($A:$A,$A1395,$K:$K)+SUMIF($A:$A,$A1395,$L:$L)))/VLOOKUP($A1395,HeadJournal!$A$1:$L$890,COLUMN(HeadJournal!H$1),0),0)</f>
        <v>0.80963373571414521</v>
      </c>
      <c r="P1395" s="30">
        <f>IFERROR(SUM(K1395:O1395)*VLOOKUP($A1395,HeadJournal!$A$1:$L$890,COLUMN(HeadJournal!H$1),0),0)</f>
        <v>974.55468493997626</v>
      </c>
      <c r="Q1395" s="29">
        <v>2000</v>
      </c>
      <c r="R1395" s="31">
        <v>45056</v>
      </c>
      <c r="S1395" s="31" t="s">
        <v>3121</v>
      </c>
      <c r="T1395" s="95" t="str">
        <f t="shared" si="110"/>
        <v>2023 05</v>
      </c>
      <c r="U1395" s="32">
        <f t="shared" si="107"/>
        <v>1025.4453150600239</v>
      </c>
      <c r="V1395" s="22">
        <f t="shared" si="108"/>
        <v>1.0522193684012529</v>
      </c>
      <c r="X1395" s="33"/>
      <c r="Y1395" s="33"/>
    </row>
    <row r="1396" spans="1:25" x14ac:dyDescent="0.2">
      <c r="A1396" s="93" t="s">
        <v>608</v>
      </c>
      <c r="B1396" s="94" t="str">
        <f>IFERROR(VLOOKUP($A1396,HeadJournal!$A$1:$NTR$890,COLUMN(HeadJournal!B$1),0),"")</f>
        <v>710000713512</v>
      </c>
      <c r="C1396" s="94" t="str">
        <f>IFERROR(VLOOKUP($A1396,HeadJournal!$A$1:$NTR$890,COLUMN(HeadJournal!C$1),0),"")</f>
        <v>iHerb_VP DFD1605</v>
      </c>
      <c r="D1396" s="125" t="str">
        <f>IFERROR(VLOOKUP($A1396,HeadJournal!$A$1:$NTR$890,COLUMN(HeadJournal!D$1),0),"")</f>
        <v>Доставлен</v>
      </c>
      <c r="E1396" s="95">
        <f>IFERROR(VLOOKUP($A1396,HeadJournal!$A$1:$NTR$890,COLUMN(HeadJournal!G$1),0),"")</f>
        <v>45018</v>
      </c>
      <c r="F1396" s="95" t="str">
        <f t="shared" si="109"/>
        <v>2023 04</v>
      </c>
      <c r="G1396" s="96" t="s">
        <v>5</v>
      </c>
      <c r="H1396" s="160" t="str">
        <f>RIGHT(Journal!$J1396,9)</f>
        <v>NOW-01298</v>
      </c>
      <c r="I1396" s="96" t="str">
        <f t="shared" si="111"/>
        <v>NOW Foods</v>
      </c>
      <c r="J1396" s="97" t="s">
        <v>453</v>
      </c>
      <c r="K1396" s="29">
        <v>20.73</v>
      </c>
      <c r="L1396" s="29">
        <v>-4.1449999999999996</v>
      </c>
      <c r="M1396" s="30">
        <f>IFERROR(VLOOKUP($A1396,HeadJournal!$A$1:$J$890,COLUMN(HeadJournal!I$1),0)*($K1396+$L1396)/(SUMIF($A:$A,$A1396,$K:$K)+SUMIF($A:$A,$A1396,$L:$L)),0)</f>
        <v>1.2057001906332117</v>
      </c>
      <c r="N1396" s="30">
        <f>IFERROR((VLOOKUP($A1396,HeadJournal!$A$1:$K$890,COLUMN(HeadJournal!K$1),0)-VLOOKUP($A1396,HeadJournal!$A$1:$K$890,COLUMN(HeadJournal!J$1),0))*($K1396+$L1396)/(SUMIF($A:$A,$A1396,$K:$K)+SUMIF($A:$A,$A1396,$L:$L)),0)</f>
        <v>0</v>
      </c>
      <c r="O1396" s="30">
        <f>IFERROR((VLOOKUP($A1396,HeadJournal!$A$1:$L$890,COLUMN(HeadJournal!L$1),0)*($K1396+$L1396)/(SUMIF($A:$A,$A1396,$K:$K)+SUMIF($A:$A,$A1396,$L:$L)))/VLOOKUP($A1396,HeadJournal!$A$1:$L$890,COLUMN(HeadJournal!H$1),0),0)</f>
        <v>1.3687844553332418</v>
      </c>
      <c r="P1396" s="30">
        <f>IFERROR(SUM(K1396:O1396)*VLOOKUP($A1396,HeadJournal!$A$1:$L$890,COLUMN(HeadJournal!H$1),0),0)</f>
        <v>1647.6034097583597</v>
      </c>
      <c r="Q1396" s="29">
        <v>2800</v>
      </c>
      <c r="R1396" s="31">
        <v>45054</v>
      </c>
      <c r="S1396" s="31" t="s">
        <v>3121</v>
      </c>
      <c r="T1396" s="95" t="str">
        <f t="shared" si="110"/>
        <v>2023 05</v>
      </c>
      <c r="U1396" s="32">
        <f t="shared" si="107"/>
        <v>1152.3965902416403</v>
      </c>
      <c r="V1396" s="22">
        <f t="shared" si="108"/>
        <v>0.69943809500288223</v>
      </c>
      <c r="X1396" s="33"/>
      <c r="Y1396" s="33"/>
    </row>
    <row r="1397" spans="1:25" x14ac:dyDescent="0.2">
      <c r="A1397" s="93" t="s">
        <v>608</v>
      </c>
      <c r="B1397" s="94" t="str">
        <f>IFERROR(VLOOKUP($A1397,HeadJournal!$A$1:$NTR$890,COLUMN(HeadJournal!B$1),0),"")</f>
        <v>710000713512</v>
      </c>
      <c r="C1397" s="94" t="str">
        <f>IFERROR(VLOOKUP($A1397,HeadJournal!$A$1:$NTR$890,COLUMN(HeadJournal!C$1),0),"")</f>
        <v>iHerb_VP DFD1605</v>
      </c>
      <c r="D1397" s="125" t="str">
        <f>IFERROR(VLOOKUP($A1397,HeadJournal!$A$1:$NTR$890,COLUMN(HeadJournal!D$1),0),"")</f>
        <v>Доставлен</v>
      </c>
      <c r="E1397" s="95">
        <f>IFERROR(VLOOKUP($A1397,HeadJournal!$A$1:$NTR$890,COLUMN(HeadJournal!G$1),0),"")</f>
        <v>45018</v>
      </c>
      <c r="F1397" s="95" t="str">
        <f t="shared" si="109"/>
        <v>2023 04</v>
      </c>
      <c r="G1397" s="96" t="s">
        <v>5</v>
      </c>
      <c r="H1397" s="160" t="str">
        <f>RIGHT(Journal!$J1397,9)</f>
        <v>NOW-01298</v>
      </c>
      <c r="I1397" s="96" t="str">
        <f t="shared" si="111"/>
        <v>NOW Foods</v>
      </c>
      <c r="J1397" s="97" t="s">
        <v>453</v>
      </c>
      <c r="K1397" s="29">
        <v>20.73</v>
      </c>
      <c r="L1397" s="29">
        <v>-4.1449999999999996</v>
      </c>
      <c r="M1397" s="30">
        <f>IFERROR(VLOOKUP($A1397,HeadJournal!$A$1:$J$890,COLUMN(HeadJournal!I$1),0)*($K1397+$L1397)/(SUMIF($A:$A,$A1397,$K:$K)+SUMIF($A:$A,$A1397,$L:$L)),0)</f>
        <v>1.2057001906332117</v>
      </c>
      <c r="N1397" s="30">
        <f>IFERROR((VLOOKUP($A1397,HeadJournal!$A$1:$K$890,COLUMN(HeadJournal!K$1),0)-VLOOKUP($A1397,HeadJournal!$A$1:$K$890,COLUMN(HeadJournal!J$1),0))*($K1397+$L1397)/(SUMIF($A:$A,$A1397,$K:$K)+SUMIF($A:$A,$A1397,$L:$L)),0)</f>
        <v>0</v>
      </c>
      <c r="O1397" s="30">
        <f>IFERROR((VLOOKUP($A1397,HeadJournal!$A$1:$L$890,COLUMN(HeadJournal!L$1),0)*($K1397+$L1397)/(SUMIF($A:$A,$A1397,$K:$K)+SUMIF($A:$A,$A1397,$L:$L)))/VLOOKUP($A1397,HeadJournal!$A$1:$L$890,COLUMN(HeadJournal!H$1),0),0)</f>
        <v>1.3687844553332418</v>
      </c>
      <c r="P1397" s="30">
        <f>IFERROR(SUM(K1397:O1397)*VLOOKUP($A1397,HeadJournal!$A$1:$L$890,COLUMN(HeadJournal!H$1),0),0)</f>
        <v>1647.6034097583597</v>
      </c>
      <c r="Q1397" s="29">
        <v>2800</v>
      </c>
      <c r="R1397" s="31">
        <v>45054</v>
      </c>
      <c r="S1397" s="31" t="s">
        <v>3121</v>
      </c>
      <c r="T1397" s="95" t="str">
        <f t="shared" si="110"/>
        <v>2023 05</v>
      </c>
      <c r="U1397" s="32">
        <f t="shared" si="107"/>
        <v>1152.3965902416403</v>
      </c>
      <c r="V1397" s="22">
        <f t="shared" si="108"/>
        <v>0.69943809500288223</v>
      </c>
      <c r="X1397" s="33"/>
      <c r="Y1397" s="33"/>
    </row>
    <row r="1398" spans="1:25" x14ac:dyDescent="0.2">
      <c r="A1398" s="93" t="s">
        <v>608</v>
      </c>
      <c r="B1398" s="94" t="str">
        <f>IFERROR(VLOOKUP($A1398,HeadJournal!$A$1:$NTR$890,COLUMN(HeadJournal!B$1),0),"")</f>
        <v>710000713512</v>
      </c>
      <c r="C1398" s="94" t="str">
        <f>IFERROR(VLOOKUP($A1398,HeadJournal!$A$1:$NTR$890,COLUMN(HeadJournal!C$1),0),"")</f>
        <v>iHerb_VP DFD1605</v>
      </c>
      <c r="D1398" s="125" t="str">
        <f>IFERROR(VLOOKUP($A1398,HeadJournal!$A$1:$NTR$890,COLUMN(HeadJournal!D$1),0),"")</f>
        <v>Доставлен</v>
      </c>
      <c r="E1398" s="95">
        <f>IFERROR(VLOOKUP($A1398,HeadJournal!$A$1:$NTR$890,COLUMN(HeadJournal!G$1),0),"")</f>
        <v>45018</v>
      </c>
      <c r="F1398" s="95" t="str">
        <f t="shared" si="109"/>
        <v>2023 04</v>
      </c>
      <c r="G1398" s="96" t="s">
        <v>5</v>
      </c>
      <c r="H1398" s="161" t="s">
        <v>2755</v>
      </c>
      <c r="I1398" s="97" t="s">
        <v>2005</v>
      </c>
      <c r="J1398" s="97" t="s">
        <v>2756</v>
      </c>
      <c r="K1398" s="29">
        <v>14.89</v>
      </c>
      <c r="L1398" s="29">
        <v>-2.98</v>
      </c>
      <c r="M1398" s="30">
        <f>IFERROR(VLOOKUP($A1398,HeadJournal!$A$1:$J$890,COLUMN(HeadJournal!I$1),0)*($K1398+$L1398)/(SUMIF($A:$A,$A1398,$K:$K)+SUMIF($A:$A,$A1398,$L:$L)),0)</f>
        <v>0.86583595239321964</v>
      </c>
      <c r="N1398" s="30">
        <f>IFERROR((VLOOKUP($A1398,HeadJournal!$A$1:$K$890,COLUMN(HeadJournal!K$1),0)-VLOOKUP($A1398,HeadJournal!$A$1:$K$890,COLUMN(HeadJournal!J$1),0))*($K1398+$L1398)/(SUMIF($A:$A,$A1398,$K:$K)+SUMIF($A:$A,$A1398,$L:$L)),0)</f>
        <v>0</v>
      </c>
      <c r="O1398" s="30">
        <f>IFERROR((VLOOKUP($A1398,HeadJournal!$A$1:$L$890,COLUMN(HeadJournal!L$1),0)*($K1398+$L1398)/(SUMIF($A:$A,$A1398,$K:$K)+SUMIF($A:$A,$A1398,$L:$L)))/VLOOKUP($A1398,HeadJournal!$A$1:$L$890,COLUMN(HeadJournal!H$1),0),0)</f>
        <v>0.98294982592818259</v>
      </c>
      <c r="P1398" s="30">
        <f>IFERROR(SUM(K1398:O1398)*VLOOKUP($A1398,HeadJournal!$A$1:$L$890,COLUMN(HeadJournal!H$1),0),0)</f>
        <v>1183.1749538873719</v>
      </c>
      <c r="Q1398" s="29">
        <v>2200</v>
      </c>
      <c r="R1398" s="31">
        <v>45056</v>
      </c>
      <c r="S1398" s="31" t="s">
        <v>3121</v>
      </c>
      <c r="T1398" s="95" t="str">
        <f t="shared" si="110"/>
        <v>2023 05</v>
      </c>
      <c r="U1398" s="32">
        <f t="shared" si="107"/>
        <v>1016.8250461126281</v>
      </c>
      <c r="V1398" s="22">
        <f t="shared" si="108"/>
        <v>0.85940379550108459</v>
      </c>
      <c r="X1398" s="33"/>
      <c r="Y1398" s="33"/>
    </row>
    <row r="1399" spans="1:25" x14ac:dyDescent="0.2">
      <c r="A1399" s="93" t="s">
        <v>608</v>
      </c>
      <c r="B1399" s="94" t="str">
        <f>IFERROR(VLOOKUP($A1399,HeadJournal!$A$1:$NTR$890,COLUMN(HeadJournal!B$1),0),"")</f>
        <v>710000713512</v>
      </c>
      <c r="C1399" s="94" t="str">
        <f>IFERROR(VLOOKUP($A1399,HeadJournal!$A$1:$NTR$890,COLUMN(HeadJournal!C$1),0),"")</f>
        <v>iHerb_VP DFD1605</v>
      </c>
      <c r="D1399" s="125" t="str">
        <f>IFERROR(VLOOKUP($A1399,HeadJournal!$A$1:$NTR$890,COLUMN(HeadJournal!D$1),0),"")</f>
        <v>Доставлен</v>
      </c>
      <c r="E1399" s="95">
        <f>IFERROR(VLOOKUP($A1399,HeadJournal!$A$1:$NTR$890,COLUMN(HeadJournal!G$1),0),"")</f>
        <v>45018</v>
      </c>
      <c r="F1399" s="95" t="str">
        <f t="shared" si="109"/>
        <v>2023 04</v>
      </c>
      <c r="G1399" s="96" t="s">
        <v>5</v>
      </c>
      <c r="H1399" s="161" t="s">
        <v>2755</v>
      </c>
      <c r="I1399" s="97" t="s">
        <v>2005</v>
      </c>
      <c r="J1399" s="97" t="s">
        <v>2756</v>
      </c>
      <c r="K1399" s="29">
        <v>14.89</v>
      </c>
      <c r="L1399" s="29">
        <v>-2.98</v>
      </c>
      <c r="M1399" s="30">
        <f>IFERROR(VLOOKUP($A1399,HeadJournal!$A$1:$J$890,COLUMN(HeadJournal!I$1),0)*($K1399+$L1399)/(SUMIF($A:$A,$A1399,$K:$K)+SUMIF($A:$A,$A1399,$L:$L)),0)</f>
        <v>0.86583595239321964</v>
      </c>
      <c r="N1399" s="30">
        <f>IFERROR((VLOOKUP($A1399,HeadJournal!$A$1:$K$890,COLUMN(HeadJournal!K$1),0)-VLOOKUP($A1399,HeadJournal!$A$1:$K$890,COLUMN(HeadJournal!J$1),0))*($K1399+$L1399)/(SUMIF($A:$A,$A1399,$K:$K)+SUMIF($A:$A,$A1399,$L:$L)),0)</f>
        <v>0</v>
      </c>
      <c r="O1399" s="30">
        <f>IFERROR((VLOOKUP($A1399,HeadJournal!$A$1:$L$890,COLUMN(HeadJournal!L$1),0)*($K1399+$L1399)/(SUMIF($A:$A,$A1399,$K:$K)+SUMIF($A:$A,$A1399,$L:$L)))/VLOOKUP($A1399,HeadJournal!$A$1:$L$890,COLUMN(HeadJournal!H$1),0),0)</f>
        <v>0.98294982592818259</v>
      </c>
      <c r="P1399" s="30">
        <f>IFERROR(SUM(K1399:O1399)*VLOOKUP($A1399,HeadJournal!$A$1:$L$890,COLUMN(HeadJournal!H$1),0),0)</f>
        <v>1183.1749538873719</v>
      </c>
      <c r="Q1399" s="29">
        <v>2100</v>
      </c>
      <c r="R1399" s="31">
        <v>45057</v>
      </c>
      <c r="S1399" s="31" t="s">
        <v>3121</v>
      </c>
      <c r="T1399" s="95" t="str">
        <f t="shared" si="110"/>
        <v>2023 05</v>
      </c>
      <c r="U1399" s="32">
        <f t="shared" si="107"/>
        <v>916.82504611262812</v>
      </c>
      <c r="V1399" s="22">
        <f t="shared" si="108"/>
        <v>0.77488544116012614</v>
      </c>
      <c r="X1399" s="33"/>
      <c r="Y1399" s="33"/>
    </row>
    <row r="1400" spans="1:25" x14ac:dyDescent="0.2">
      <c r="A1400" s="93" t="s">
        <v>608</v>
      </c>
      <c r="B1400" s="94" t="str">
        <f>IFERROR(VLOOKUP($A1400,HeadJournal!$A$1:$NTR$890,COLUMN(HeadJournal!B$1),0),"")</f>
        <v>710000713512</v>
      </c>
      <c r="C1400" s="94" t="str">
        <f>IFERROR(VLOOKUP($A1400,HeadJournal!$A$1:$NTR$890,COLUMN(HeadJournal!C$1),0),"")</f>
        <v>iHerb_VP DFD1605</v>
      </c>
      <c r="D1400" s="125" t="str">
        <f>IFERROR(VLOOKUP($A1400,HeadJournal!$A$1:$NTR$890,COLUMN(HeadJournal!D$1),0),"")</f>
        <v>Доставлен</v>
      </c>
      <c r="E1400" s="95">
        <f>IFERROR(VLOOKUP($A1400,HeadJournal!$A$1:$NTR$890,COLUMN(HeadJournal!G$1),0),"")</f>
        <v>45018</v>
      </c>
      <c r="F1400" s="95" t="str">
        <f t="shared" si="109"/>
        <v>2023 04</v>
      </c>
      <c r="G1400" s="96" t="s">
        <v>7</v>
      </c>
      <c r="H1400" s="160" t="str">
        <f>RIGHT(Journal!$J1400,9)</f>
        <v>MIZ-54035</v>
      </c>
      <c r="I1400" s="96" t="str">
        <f t="shared" si="111"/>
        <v>Mizon</v>
      </c>
      <c r="J1400" s="97" t="s">
        <v>610</v>
      </c>
      <c r="K1400" s="29">
        <v>15.33</v>
      </c>
      <c r="L1400" s="29">
        <v>-3.07</v>
      </c>
      <c r="M1400" s="30">
        <f>IFERROR(VLOOKUP($A1400,HeadJournal!$A$1:$J$890,COLUMN(HeadJournal!I$1),0)*($K1400+$L1400)/(SUMIF($A:$A,$A1400,$K:$K)+SUMIF($A:$A,$A1400,$L:$L)),0)</f>
        <v>0.89128033386573247</v>
      </c>
      <c r="N1400" s="30">
        <f>IFERROR((VLOOKUP($A1400,HeadJournal!$A$1:$K$890,COLUMN(HeadJournal!K$1),0)-VLOOKUP($A1400,HeadJournal!$A$1:$K$890,COLUMN(HeadJournal!J$1),0))*($K1400+$L1400)/(SUMIF($A:$A,$A1400,$K:$K)+SUMIF($A:$A,$A1400,$L:$L)),0)</f>
        <v>0</v>
      </c>
      <c r="O1400" s="30">
        <f>IFERROR((VLOOKUP($A1400,HeadJournal!$A$1:$L$890,COLUMN(HeadJournal!L$1),0)*($K1400+$L1400)/(SUMIF($A:$A,$A1400,$K:$K)+SUMIF($A:$A,$A1400,$L:$L)))/VLOOKUP($A1400,HeadJournal!$A$1:$L$890,COLUMN(HeadJournal!H$1),0),0)</f>
        <v>1.0118358409638555</v>
      </c>
      <c r="P1400" s="30">
        <f>IFERROR(SUM(K1400:O1400)*VLOOKUP($A1400,HeadJournal!$A$1:$L$890,COLUMN(HeadJournal!H$1),0),0)</f>
        <v>1217.9449987119376</v>
      </c>
      <c r="Q1400" s="29"/>
      <c r="R1400" s="31"/>
      <c r="S1400" s="31"/>
      <c r="T1400" s="95" t="str">
        <f t="shared" si="110"/>
        <v/>
      </c>
      <c r="U1400" s="32">
        <f t="shared" si="107"/>
        <v>-1217.9449987119376</v>
      </c>
      <c r="V1400" s="22" t="str">
        <f t="shared" si="108"/>
        <v/>
      </c>
      <c r="X1400" s="33"/>
      <c r="Y1400" s="33"/>
    </row>
    <row r="1401" spans="1:25" x14ac:dyDescent="0.2">
      <c r="A1401" s="93" t="s">
        <v>608</v>
      </c>
      <c r="B1401" s="94" t="str">
        <f>IFERROR(VLOOKUP($A1401,HeadJournal!$A$1:$NTR$890,COLUMN(HeadJournal!B$1),0),"")</f>
        <v>710000713512</v>
      </c>
      <c r="C1401" s="94" t="str">
        <f>IFERROR(VLOOKUP($A1401,HeadJournal!$A$1:$NTR$890,COLUMN(HeadJournal!C$1),0),"")</f>
        <v>iHerb_VP DFD1605</v>
      </c>
      <c r="D1401" s="125" t="str">
        <f>IFERROR(VLOOKUP($A1401,HeadJournal!$A$1:$NTR$890,COLUMN(HeadJournal!D$1),0),"")</f>
        <v>Доставлен</v>
      </c>
      <c r="E1401" s="95">
        <f>IFERROR(VLOOKUP($A1401,HeadJournal!$A$1:$NTR$890,COLUMN(HeadJournal!G$1),0),"")</f>
        <v>45018</v>
      </c>
      <c r="F1401" s="95" t="str">
        <f t="shared" si="109"/>
        <v>2023 04</v>
      </c>
      <c r="G1401" s="96" t="s">
        <v>5</v>
      </c>
      <c r="H1401" s="160" t="str">
        <f>RIGHT(Journal!$J1401,9)</f>
        <v>CGN-01066</v>
      </c>
      <c r="I1401" s="96" t="str">
        <f t="shared" si="111"/>
        <v>California Gold Nutrition</v>
      </c>
      <c r="J1401" s="97" t="s">
        <v>38</v>
      </c>
      <c r="K1401" s="29">
        <v>13.6</v>
      </c>
      <c r="L1401" s="29">
        <v>-2.72</v>
      </c>
      <c r="M1401" s="30">
        <f>IFERROR(VLOOKUP($A1401,HeadJournal!$A$1:$J$890,COLUMN(HeadJournal!I$1),0)*($K1401+$L1401)/(SUMIF($A:$A,$A1401,$K:$K)+SUMIF($A:$A,$A1401,$L:$L)),0)</f>
        <v>0.79095677263125364</v>
      </c>
      <c r="N1401" s="30">
        <f>IFERROR((VLOOKUP($A1401,HeadJournal!$A$1:$K$890,COLUMN(HeadJournal!K$1),0)-VLOOKUP($A1401,HeadJournal!$A$1:$K$890,COLUMN(HeadJournal!J$1),0))*($K1401+$L1401)/(SUMIF($A:$A,$A1401,$K:$K)+SUMIF($A:$A,$A1401,$L:$L)),0)</f>
        <v>0</v>
      </c>
      <c r="O1401" s="30">
        <f>IFERROR((VLOOKUP($A1401,HeadJournal!$A$1:$L$890,COLUMN(HeadJournal!L$1),0)*($K1401+$L1401)/(SUMIF($A:$A,$A1401,$K:$K)+SUMIF($A:$A,$A1401,$L:$L)))/VLOOKUP($A1401,HeadJournal!$A$1:$L$890,COLUMN(HeadJournal!H$1),0),0)</f>
        <v>0.89794241025177368</v>
      </c>
      <c r="P1401" s="30">
        <f>IFERROR(SUM(K1401:O1401)*VLOOKUP($A1401,HeadJournal!$A$1:$L$890,COLUMN(HeadJournal!H$1),0),0)</f>
        <v>1080.8516791179352</v>
      </c>
      <c r="Q1401" s="29">
        <v>1080.8499999999999</v>
      </c>
      <c r="R1401" s="31">
        <v>45127</v>
      </c>
      <c r="S1401" s="31" t="s">
        <v>3121</v>
      </c>
      <c r="T1401" s="95" t="str">
        <f t="shared" si="110"/>
        <v>2023 07</v>
      </c>
      <c r="U1401" s="32">
        <f t="shared" si="107"/>
        <v>-1.6791179352821928E-3</v>
      </c>
      <c r="V1401" s="22">
        <f t="shared" si="108"/>
        <v>-1.5535137408052995E-6</v>
      </c>
      <c r="X1401" s="33"/>
      <c r="Y1401" s="33"/>
    </row>
    <row r="1402" spans="1:25" x14ac:dyDescent="0.2">
      <c r="A1402" s="93" t="s">
        <v>608</v>
      </c>
      <c r="B1402" s="94" t="str">
        <f>IFERROR(VLOOKUP($A1402,HeadJournal!$A$1:$NTR$890,COLUMN(HeadJournal!B$1),0),"")</f>
        <v>710000713512</v>
      </c>
      <c r="C1402" s="94" t="str">
        <f>IFERROR(VLOOKUP($A1402,HeadJournal!$A$1:$NTR$890,COLUMN(HeadJournal!C$1),0),"")</f>
        <v>iHerb_VP DFD1605</v>
      </c>
      <c r="D1402" s="125" t="str">
        <f>IFERROR(VLOOKUP($A1402,HeadJournal!$A$1:$NTR$890,COLUMN(HeadJournal!D$1),0),"")</f>
        <v>Доставлен</v>
      </c>
      <c r="E1402" s="95">
        <f>IFERROR(VLOOKUP($A1402,HeadJournal!$A$1:$NTR$890,COLUMN(HeadJournal!G$1),0),"")</f>
        <v>45018</v>
      </c>
      <c r="F1402" s="95" t="str">
        <f t="shared" si="109"/>
        <v>2023 04</v>
      </c>
      <c r="G1402" s="96" t="s">
        <v>6</v>
      </c>
      <c r="H1402" s="160" t="str">
        <f>RIGHT(Journal!$J1402,9)</f>
        <v>RSP-00692</v>
      </c>
      <c r="I1402" s="96" t="str">
        <f t="shared" si="111"/>
        <v>RSP Nutrition</v>
      </c>
      <c r="J1402" s="97" t="s">
        <v>611</v>
      </c>
      <c r="K1402" s="29">
        <v>16.760000000000002</v>
      </c>
      <c r="L1402" s="29">
        <v>-5.76</v>
      </c>
      <c r="M1402" s="30">
        <f>IFERROR(VLOOKUP($A1402,HeadJournal!$A$1:$J$890,COLUMN(HeadJournal!I$1),0)*($K1402+$L1402)/(SUMIF($A:$A,$A1402,$K:$K)+SUMIF($A:$A,$A1402,$L:$L)),0)</f>
        <v>0.79968056056468662</v>
      </c>
      <c r="N1402" s="30">
        <f>IFERROR((VLOOKUP($A1402,HeadJournal!$A$1:$K$890,COLUMN(HeadJournal!K$1),0)-VLOOKUP($A1402,HeadJournal!$A$1:$K$890,COLUMN(HeadJournal!J$1),0))*($K1402+$L1402)/(SUMIF($A:$A,$A1402,$K:$K)+SUMIF($A:$A,$A1402,$L:$L)),0)</f>
        <v>0</v>
      </c>
      <c r="O1402" s="30">
        <f>IFERROR((VLOOKUP($A1402,HeadJournal!$A$1:$L$890,COLUMN(HeadJournal!L$1),0)*($K1402+$L1402)/(SUMIF($A:$A,$A1402,$K:$K)+SUMIF($A:$A,$A1402,$L:$L)))/VLOOKUP($A1402,HeadJournal!$A$1:$L$890,COLUMN(HeadJournal!H$1),0),0)</f>
        <v>0.90784618683543306</v>
      </c>
      <c r="P1402" s="30">
        <f>IFERROR(SUM(K1402:O1402)*VLOOKUP($A1402,HeadJournal!$A$1:$L$890,COLUMN(HeadJournal!H$1),0),0)</f>
        <v>1092.7728373435007</v>
      </c>
      <c r="Q1402" s="29">
        <v>2500</v>
      </c>
      <c r="R1402" s="31">
        <v>45152</v>
      </c>
      <c r="S1402" s="31" t="s">
        <v>3121</v>
      </c>
      <c r="T1402" s="95" t="str">
        <f t="shared" si="110"/>
        <v>2023 08</v>
      </c>
      <c r="U1402" s="32">
        <f t="shared" si="107"/>
        <v>1407.2271626564993</v>
      </c>
      <c r="V1402" s="22">
        <f t="shared" si="108"/>
        <v>1.2877581822745778</v>
      </c>
      <c r="X1402" s="33"/>
      <c r="Y1402" s="33"/>
    </row>
    <row r="1403" spans="1:25" x14ac:dyDescent="0.2">
      <c r="A1403" s="93" t="s">
        <v>612</v>
      </c>
      <c r="B1403" s="94">
        <f>IFERROR(VLOOKUP($A1403,HeadJournal!$A$1:$NTR$890,COLUMN(HeadJournal!B$1),0),"")</f>
        <v>0</v>
      </c>
      <c r="C1403" s="94" t="str">
        <f>IFERROR(VLOOKUP($A1403,HeadJournal!$A$1:$NTR$890,COLUMN(HeadJournal!C$1),0),"")</f>
        <v>OZON_AV</v>
      </c>
      <c r="D1403" s="125" t="str">
        <f>IFERROR(VLOOKUP($A1403,HeadJournal!$A$1:$NTR$890,COLUMN(HeadJournal!D$1),0),"")</f>
        <v>Доставлен</v>
      </c>
      <c r="E1403" s="95">
        <f>IFERROR(VLOOKUP($A1403,HeadJournal!$A$1:$NTR$890,COLUMN(HeadJournal!G$1),0),"")</f>
        <v>45018</v>
      </c>
      <c r="F1403" s="95" t="str">
        <f t="shared" si="109"/>
        <v>2023 04</v>
      </c>
      <c r="G1403" s="96" t="s">
        <v>6</v>
      </c>
      <c r="H1403" s="160" t="str">
        <f>RIGHT(Journal!$J1403,9)</f>
        <v>638236196</v>
      </c>
      <c r="I1403" s="96" t="str">
        <f t="shared" si="111"/>
        <v>Maxler</v>
      </c>
      <c r="J1403" s="97" t="s">
        <v>613</v>
      </c>
      <c r="K1403" s="29">
        <v>875</v>
      </c>
      <c r="L1403" s="29">
        <v>0</v>
      </c>
      <c r="M1403" s="30">
        <f>IFERROR(VLOOKUP($A1403,HeadJournal!$A$1:$J$890,COLUMN(HeadJournal!I$1),0)*($K1403+$L1403)/(SUMIF($A:$A,$A1403,$K:$K)+SUMIF($A:$A,$A1403,$L:$L)),0)</f>
        <v>0</v>
      </c>
      <c r="N1403" s="30">
        <f>IFERROR((VLOOKUP($A1403,HeadJournal!$A$1:$K$890,COLUMN(HeadJournal!K$1),0)-VLOOKUP($A1403,HeadJournal!$A$1:$K$890,COLUMN(HeadJournal!J$1),0))*($K1403+$L1403)/(SUMIF($A:$A,$A1403,$K:$K)+SUMIF($A:$A,$A1403,$L:$L)),0)</f>
        <v>0</v>
      </c>
      <c r="O1403" s="30">
        <f>IFERROR((VLOOKUP($A1403,HeadJournal!$A$1:$L$890,COLUMN(HeadJournal!L$1),0)*($K1403+$L1403)/(SUMIF($A:$A,$A1403,$K:$K)+SUMIF($A:$A,$A1403,$L:$L)))/VLOOKUP($A1403,HeadJournal!$A$1:$L$890,COLUMN(HeadJournal!H$1),0),0)</f>
        <v>131.25</v>
      </c>
      <c r="P1403" s="30">
        <f>IFERROR(SUM(K1403:O1403)*VLOOKUP($A1403,HeadJournal!$A$1:$L$890,COLUMN(HeadJournal!H$1),0),0)</f>
        <v>1006.25</v>
      </c>
      <c r="Q1403" s="29">
        <v>1700</v>
      </c>
      <c r="R1403" s="31">
        <v>45031</v>
      </c>
      <c r="S1403" s="31" t="s">
        <v>3121</v>
      </c>
      <c r="T1403" s="95" t="str">
        <f t="shared" si="110"/>
        <v>2023 04</v>
      </c>
      <c r="U1403" s="32">
        <f t="shared" si="107"/>
        <v>693.75</v>
      </c>
      <c r="V1403" s="22">
        <f t="shared" si="108"/>
        <v>0.68944099378881984</v>
      </c>
      <c r="X1403" s="33"/>
      <c r="Y1403" s="33"/>
    </row>
    <row r="1404" spans="1:25" x14ac:dyDescent="0.2">
      <c r="A1404" s="93" t="s">
        <v>612</v>
      </c>
      <c r="B1404" s="94">
        <f>IFERROR(VLOOKUP($A1404,HeadJournal!$A$1:$NTR$890,COLUMN(HeadJournal!B$1),0),"")</f>
        <v>0</v>
      </c>
      <c r="C1404" s="94" t="str">
        <f>IFERROR(VLOOKUP($A1404,HeadJournal!$A$1:$NTR$890,COLUMN(HeadJournal!C$1),0),"")</f>
        <v>OZON_AV</v>
      </c>
      <c r="D1404" s="125" t="str">
        <f>IFERROR(VLOOKUP($A1404,HeadJournal!$A$1:$NTR$890,COLUMN(HeadJournal!D$1),0),"")</f>
        <v>Доставлен</v>
      </c>
      <c r="E1404" s="95">
        <f>IFERROR(VLOOKUP($A1404,HeadJournal!$A$1:$NTR$890,COLUMN(HeadJournal!G$1),0),"")</f>
        <v>45018</v>
      </c>
      <c r="F1404" s="95" t="str">
        <f t="shared" si="109"/>
        <v>2023 04</v>
      </c>
      <c r="G1404" s="96" t="s">
        <v>6</v>
      </c>
      <c r="H1404" s="160" t="str">
        <f>RIGHT(Journal!$J1404,9)</f>
        <v>638236196</v>
      </c>
      <c r="I1404" s="96" t="str">
        <f t="shared" si="111"/>
        <v>Maxler</v>
      </c>
      <c r="J1404" s="97" t="s">
        <v>613</v>
      </c>
      <c r="K1404" s="29">
        <v>875</v>
      </c>
      <c r="L1404" s="29">
        <v>0</v>
      </c>
      <c r="M1404" s="30">
        <f>IFERROR(VLOOKUP($A1404,HeadJournal!$A$1:$J$890,COLUMN(HeadJournal!I$1),0)*($K1404+$L1404)/(SUMIF($A:$A,$A1404,$K:$K)+SUMIF($A:$A,$A1404,$L:$L)),0)</f>
        <v>0</v>
      </c>
      <c r="N1404" s="30">
        <f>IFERROR((VLOOKUP($A1404,HeadJournal!$A$1:$K$890,COLUMN(HeadJournal!K$1),0)-VLOOKUP($A1404,HeadJournal!$A$1:$K$890,COLUMN(HeadJournal!J$1),0))*($K1404+$L1404)/(SUMIF($A:$A,$A1404,$K:$K)+SUMIF($A:$A,$A1404,$L:$L)),0)</f>
        <v>0</v>
      </c>
      <c r="O1404" s="30">
        <f>IFERROR((VLOOKUP($A1404,HeadJournal!$A$1:$L$890,COLUMN(HeadJournal!L$1),0)*($K1404+$L1404)/(SUMIF($A:$A,$A1404,$K:$K)+SUMIF($A:$A,$A1404,$L:$L)))/VLOOKUP($A1404,HeadJournal!$A$1:$L$890,COLUMN(HeadJournal!H$1),0),0)</f>
        <v>131.25</v>
      </c>
      <c r="P1404" s="30">
        <f>IFERROR(SUM(K1404:O1404)*VLOOKUP($A1404,HeadJournal!$A$1:$L$890,COLUMN(HeadJournal!H$1),0),0)</f>
        <v>1006.25</v>
      </c>
      <c r="Q1404" s="29">
        <v>1700</v>
      </c>
      <c r="R1404" s="31">
        <v>45031</v>
      </c>
      <c r="S1404" s="31" t="s">
        <v>3121</v>
      </c>
      <c r="T1404" s="95" t="str">
        <f t="shared" si="110"/>
        <v>2023 04</v>
      </c>
      <c r="U1404" s="32">
        <f t="shared" si="107"/>
        <v>693.75</v>
      </c>
      <c r="V1404" s="22">
        <f t="shared" si="108"/>
        <v>0.68944099378881984</v>
      </c>
      <c r="X1404" s="33"/>
      <c r="Y1404" s="33"/>
    </row>
    <row r="1405" spans="1:25" x14ac:dyDescent="0.2">
      <c r="A1405" s="93" t="s">
        <v>612</v>
      </c>
      <c r="B1405" s="94">
        <f>IFERROR(VLOOKUP($A1405,HeadJournal!$A$1:$NTR$890,COLUMN(HeadJournal!B$1),0),"")</f>
        <v>0</v>
      </c>
      <c r="C1405" s="94" t="str">
        <f>IFERROR(VLOOKUP($A1405,HeadJournal!$A$1:$NTR$890,COLUMN(HeadJournal!C$1),0),"")</f>
        <v>OZON_AV</v>
      </c>
      <c r="D1405" s="125" t="str">
        <f>IFERROR(VLOOKUP($A1405,HeadJournal!$A$1:$NTR$890,COLUMN(HeadJournal!D$1),0),"")</f>
        <v>Доставлен</v>
      </c>
      <c r="E1405" s="95">
        <f>IFERROR(VLOOKUP($A1405,HeadJournal!$A$1:$NTR$890,COLUMN(HeadJournal!G$1),0),"")</f>
        <v>45018</v>
      </c>
      <c r="F1405" s="95" t="str">
        <f t="shared" si="109"/>
        <v>2023 04</v>
      </c>
      <c r="G1405" s="96" t="s">
        <v>6</v>
      </c>
      <c r="H1405" s="160" t="str">
        <f>RIGHT(Journal!$J1405,9)</f>
        <v>638236196</v>
      </c>
      <c r="I1405" s="96" t="str">
        <f t="shared" si="111"/>
        <v>Maxler</v>
      </c>
      <c r="J1405" s="97" t="s">
        <v>613</v>
      </c>
      <c r="K1405" s="29">
        <v>875</v>
      </c>
      <c r="L1405" s="29">
        <v>0</v>
      </c>
      <c r="M1405" s="30">
        <f>IFERROR(VLOOKUP($A1405,HeadJournal!$A$1:$J$890,COLUMN(HeadJournal!I$1),0)*($K1405+$L1405)/(SUMIF($A:$A,$A1405,$K:$K)+SUMIF($A:$A,$A1405,$L:$L)),0)</f>
        <v>0</v>
      </c>
      <c r="N1405" s="30">
        <f>IFERROR((VLOOKUP($A1405,HeadJournal!$A$1:$K$890,COLUMN(HeadJournal!K$1),0)-VLOOKUP($A1405,HeadJournal!$A$1:$K$890,COLUMN(HeadJournal!J$1),0))*($K1405+$L1405)/(SUMIF($A:$A,$A1405,$K:$K)+SUMIF($A:$A,$A1405,$L:$L)),0)</f>
        <v>0</v>
      </c>
      <c r="O1405" s="30">
        <f>IFERROR((VLOOKUP($A1405,HeadJournal!$A$1:$L$890,COLUMN(HeadJournal!L$1),0)*($K1405+$L1405)/(SUMIF($A:$A,$A1405,$K:$K)+SUMIF($A:$A,$A1405,$L:$L)))/VLOOKUP($A1405,HeadJournal!$A$1:$L$890,COLUMN(HeadJournal!H$1),0),0)</f>
        <v>131.25</v>
      </c>
      <c r="P1405" s="30">
        <f>IFERROR(SUM(K1405:O1405)*VLOOKUP($A1405,HeadJournal!$A$1:$L$890,COLUMN(HeadJournal!H$1),0),0)</f>
        <v>1006.25</v>
      </c>
      <c r="Q1405" s="29">
        <v>1700</v>
      </c>
      <c r="R1405" s="31">
        <v>45034</v>
      </c>
      <c r="S1405" s="31" t="s">
        <v>3121</v>
      </c>
      <c r="T1405" s="95" t="str">
        <f t="shared" si="110"/>
        <v>2023 04</v>
      </c>
      <c r="U1405" s="32">
        <f t="shared" si="107"/>
        <v>693.75</v>
      </c>
      <c r="V1405" s="22">
        <f t="shared" si="108"/>
        <v>0.68944099378881984</v>
      </c>
      <c r="X1405" s="33"/>
      <c r="Y1405" s="33"/>
    </row>
    <row r="1406" spans="1:25" x14ac:dyDescent="0.2">
      <c r="A1406" s="93" t="s">
        <v>614</v>
      </c>
      <c r="B1406" s="94">
        <f>IFERROR(VLOOKUP($A1406,HeadJournal!$A$1:$NTR$890,COLUMN(HeadJournal!B$1),0),"")</f>
        <v>0</v>
      </c>
      <c r="C1406" s="94" t="str">
        <f>IFERROR(VLOOKUP($A1406,HeadJournal!$A$1:$NTR$890,COLUMN(HeadJournal!C$1),0),"")</f>
        <v>CoralClub_OA</v>
      </c>
      <c r="D1406" s="125" t="str">
        <f>IFERROR(VLOOKUP($A1406,HeadJournal!$A$1:$NTR$890,COLUMN(HeadJournal!D$1),0),"")</f>
        <v>Доставлен</v>
      </c>
      <c r="E1406" s="95">
        <f>IFERROR(VLOOKUP($A1406,HeadJournal!$A$1:$NTR$890,COLUMN(HeadJournal!G$1),0),"")</f>
        <v>45020</v>
      </c>
      <c r="F1406" s="95" t="str">
        <f t="shared" si="109"/>
        <v>2023 04</v>
      </c>
      <c r="G1406" s="96" t="s">
        <v>5</v>
      </c>
      <c r="H1406" s="160" t="str">
        <f>RIGHT(Journal!$J1406,9)</f>
        <v>000091859</v>
      </c>
      <c r="I1406" s="96" t="str">
        <f t="shared" si="111"/>
        <v>CoralClub</v>
      </c>
      <c r="J1406" s="97" t="s">
        <v>566</v>
      </c>
      <c r="K1406" s="29">
        <v>1491</v>
      </c>
      <c r="L1406" s="29">
        <v>0</v>
      </c>
      <c r="M1406" s="30">
        <f>IFERROR(VLOOKUP($A1406,HeadJournal!$A$1:$J$890,COLUMN(HeadJournal!I$1),0)*($K1406+$L1406)/(SUMIF($A:$A,$A1406,$K:$K)+SUMIF($A:$A,$A1406,$L:$L)),0)</f>
        <v>0</v>
      </c>
      <c r="N1406" s="30">
        <f>IFERROR((VLOOKUP($A1406,HeadJournal!$A$1:$K$890,COLUMN(HeadJournal!K$1),0)-VLOOKUP($A1406,HeadJournal!$A$1:$K$890,COLUMN(HeadJournal!J$1),0))*($K1406+$L1406)/(SUMIF($A:$A,$A1406,$K:$K)+SUMIF($A:$A,$A1406,$L:$L)),0)</f>
        <v>9</v>
      </c>
      <c r="O1406" s="30">
        <f>IFERROR((VLOOKUP($A1406,HeadJournal!$A$1:$L$890,COLUMN(HeadJournal!L$1),0)*($K1406+$L1406)/(SUMIF($A:$A,$A1406,$K:$K)+SUMIF($A:$A,$A1406,$L:$L)))/VLOOKUP($A1406,HeadJournal!$A$1:$L$890,COLUMN(HeadJournal!H$1),0),0)</f>
        <v>0</v>
      </c>
      <c r="P1406" s="30">
        <f>IFERROR(SUM(K1406:O1406)*VLOOKUP($A1406,HeadJournal!$A$1:$L$890,COLUMN(HeadJournal!H$1),0),0)</f>
        <v>1500</v>
      </c>
      <c r="Q1406" s="29">
        <v>1900</v>
      </c>
      <c r="R1406" s="31">
        <v>45038</v>
      </c>
      <c r="S1406" s="31" t="s">
        <v>3121</v>
      </c>
      <c r="T1406" s="95" t="str">
        <f t="shared" si="110"/>
        <v>2023 04</v>
      </c>
      <c r="U1406" s="32">
        <f t="shared" si="107"/>
        <v>400</v>
      </c>
      <c r="V1406" s="22">
        <f t="shared" si="108"/>
        <v>0.26666666666666666</v>
      </c>
      <c r="X1406" s="33"/>
      <c r="Y1406" s="33"/>
    </row>
    <row r="1407" spans="1:25" x14ac:dyDescent="0.2">
      <c r="A1407" s="93" t="s">
        <v>614</v>
      </c>
      <c r="B1407" s="94">
        <f>IFERROR(VLOOKUP($A1407,HeadJournal!$A$1:$NTR$890,COLUMN(HeadJournal!B$1),0),"")</f>
        <v>0</v>
      </c>
      <c r="C1407" s="94" t="str">
        <f>IFERROR(VLOOKUP($A1407,HeadJournal!$A$1:$NTR$890,COLUMN(HeadJournal!C$1),0),"")</f>
        <v>CoralClub_OA</v>
      </c>
      <c r="D1407" s="125" t="str">
        <f>IFERROR(VLOOKUP($A1407,HeadJournal!$A$1:$NTR$890,COLUMN(HeadJournal!D$1),0),"")</f>
        <v>Доставлен</v>
      </c>
      <c r="E1407" s="95">
        <f>IFERROR(VLOOKUP($A1407,HeadJournal!$A$1:$NTR$890,COLUMN(HeadJournal!G$1),0),"")</f>
        <v>45020</v>
      </c>
      <c r="F1407" s="95" t="str">
        <f t="shared" si="109"/>
        <v>2023 04</v>
      </c>
      <c r="G1407" s="96" t="s">
        <v>5</v>
      </c>
      <c r="H1407" s="160" t="str">
        <f>RIGHT(Journal!$J1407,9)</f>
        <v>000091859</v>
      </c>
      <c r="I1407" s="96" t="str">
        <f t="shared" si="111"/>
        <v>CoralClub</v>
      </c>
      <c r="J1407" s="97" t="s">
        <v>566</v>
      </c>
      <c r="K1407" s="29">
        <v>1491</v>
      </c>
      <c r="L1407" s="29">
        <v>0</v>
      </c>
      <c r="M1407" s="30">
        <f>IFERROR(VLOOKUP($A1407,HeadJournal!$A$1:$J$890,COLUMN(HeadJournal!I$1),0)*($K1407+$L1407)/(SUMIF($A:$A,$A1407,$K:$K)+SUMIF($A:$A,$A1407,$L:$L)),0)</f>
        <v>0</v>
      </c>
      <c r="N1407" s="30">
        <f>IFERROR((VLOOKUP($A1407,HeadJournal!$A$1:$K$890,COLUMN(HeadJournal!K$1),0)-VLOOKUP($A1407,HeadJournal!$A$1:$K$890,COLUMN(HeadJournal!J$1),0))*($K1407+$L1407)/(SUMIF($A:$A,$A1407,$K:$K)+SUMIF($A:$A,$A1407,$L:$L)),0)</f>
        <v>9</v>
      </c>
      <c r="O1407" s="30">
        <f>IFERROR((VLOOKUP($A1407,HeadJournal!$A$1:$L$890,COLUMN(HeadJournal!L$1),0)*($K1407+$L1407)/(SUMIF($A:$A,$A1407,$K:$K)+SUMIF($A:$A,$A1407,$L:$L)))/VLOOKUP($A1407,HeadJournal!$A$1:$L$890,COLUMN(HeadJournal!H$1),0),0)</f>
        <v>0</v>
      </c>
      <c r="P1407" s="30">
        <f>IFERROR(SUM(K1407:O1407)*VLOOKUP($A1407,HeadJournal!$A$1:$L$890,COLUMN(HeadJournal!H$1),0),0)</f>
        <v>1500</v>
      </c>
      <c r="Q1407" s="29">
        <v>1900</v>
      </c>
      <c r="R1407" s="31">
        <v>45161</v>
      </c>
      <c r="S1407" s="31" t="s">
        <v>3121</v>
      </c>
      <c r="T1407" s="95" t="str">
        <f t="shared" si="110"/>
        <v>2023 08</v>
      </c>
      <c r="U1407" s="32">
        <f t="shared" si="107"/>
        <v>400</v>
      </c>
      <c r="V1407" s="22">
        <f t="shared" si="108"/>
        <v>0.26666666666666666</v>
      </c>
      <c r="X1407" s="33"/>
      <c r="Y1407" s="33"/>
    </row>
    <row r="1408" spans="1:25" x14ac:dyDescent="0.2">
      <c r="A1408" s="93" t="s">
        <v>615</v>
      </c>
      <c r="B1408" s="94">
        <f>IFERROR(VLOOKUP($A1408,HeadJournal!$A$1:$NTR$890,COLUMN(HeadJournal!B$1),0),"")</f>
        <v>0</v>
      </c>
      <c r="C1408" s="94" t="str">
        <f>IFERROR(VLOOKUP($A1408,HeadJournal!$A$1:$NTR$890,COLUMN(HeadJournal!C$1),0),"")</f>
        <v>CoralClub_OA</v>
      </c>
      <c r="D1408" s="125" t="str">
        <f>IFERROR(VLOOKUP($A1408,HeadJournal!$A$1:$NTR$890,COLUMN(HeadJournal!D$1),0),"")</f>
        <v>Доставлен</v>
      </c>
      <c r="E1408" s="95">
        <f>IFERROR(VLOOKUP($A1408,HeadJournal!$A$1:$NTR$890,COLUMN(HeadJournal!G$1),0),"")</f>
        <v>45030</v>
      </c>
      <c r="F1408" s="95" t="str">
        <f t="shared" si="109"/>
        <v>2023 04</v>
      </c>
      <c r="G1408" s="96" t="s">
        <v>5</v>
      </c>
      <c r="H1408" s="160" t="str">
        <f>RIGHT(Journal!$J1408,9)</f>
        <v>000002301</v>
      </c>
      <c r="I1408" s="96" t="str">
        <f t="shared" si="111"/>
        <v>CoralClub</v>
      </c>
      <c r="J1408" s="97" t="s">
        <v>616</v>
      </c>
      <c r="K1408" s="29">
        <v>1704</v>
      </c>
      <c r="L1408" s="29">
        <v>0</v>
      </c>
      <c r="M1408" s="30">
        <f>IFERROR(VLOOKUP($A1408,HeadJournal!$A$1:$J$890,COLUMN(HeadJournal!I$1),0)*($K1408+$L1408)/(SUMIF($A:$A,$A1408,$K:$K)+SUMIF($A:$A,$A1408,$L:$L)),0)</f>
        <v>0</v>
      </c>
      <c r="N1408" s="30">
        <f>IFERROR((VLOOKUP($A1408,HeadJournal!$A$1:$K$890,COLUMN(HeadJournal!K$1),0)-VLOOKUP($A1408,HeadJournal!$A$1:$K$890,COLUMN(HeadJournal!J$1),0))*($K1408+$L1408)/(SUMIF($A:$A,$A1408,$K:$K)+SUMIF($A:$A,$A1408,$L:$L)),0)</f>
        <v>45</v>
      </c>
      <c r="O1408" s="30">
        <f>IFERROR((VLOOKUP($A1408,HeadJournal!$A$1:$L$890,COLUMN(HeadJournal!L$1),0)*($K1408+$L1408)/(SUMIF($A:$A,$A1408,$K:$K)+SUMIF($A:$A,$A1408,$L:$L)))/VLOOKUP($A1408,HeadJournal!$A$1:$L$890,COLUMN(HeadJournal!H$1),0),0)</f>
        <v>0</v>
      </c>
      <c r="P1408" s="30">
        <f>IFERROR(SUM(K1408:O1408)*VLOOKUP($A1408,HeadJournal!$A$1:$L$890,COLUMN(HeadJournal!H$1),0),0)</f>
        <v>1749</v>
      </c>
      <c r="Q1408" s="29"/>
      <c r="R1408" s="31"/>
      <c r="S1408" s="31"/>
      <c r="T1408" s="95" t="str">
        <f t="shared" si="110"/>
        <v/>
      </c>
      <c r="U1408" s="32">
        <f t="shared" si="107"/>
        <v>-1749</v>
      </c>
      <c r="V1408" s="22" t="str">
        <f t="shared" si="108"/>
        <v/>
      </c>
      <c r="X1408" s="33"/>
      <c r="Y1408" s="33"/>
    </row>
    <row r="1409" spans="1:25" x14ac:dyDescent="0.2">
      <c r="A1409" s="93" t="s">
        <v>615</v>
      </c>
      <c r="B1409" s="94">
        <f>IFERROR(VLOOKUP($A1409,HeadJournal!$A$1:$NTR$890,COLUMN(HeadJournal!B$1),0),"")</f>
        <v>0</v>
      </c>
      <c r="C1409" s="94" t="str">
        <f>IFERROR(VLOOKUP($A1409,HeadJournal!$A$1:$NTR$890,COLUMN(HeadJournal!C$1),0),"")</f>
        <v>CoralClub_OA</v>
      </c>
      <c r="D1409" s="125" t="str">
        <f>IFERROR(VLOOKUP($A1409,HeadJournal!$A$1:$NTR$890,COLUMN(HeadJournal!D$1),0),"")</f>
        <v>Доставлен</v>
      </c>
      <c r="E1409" s="95">
        <f>IFERROR(VLOOKUP($A1409,HeadJournal!$A$1:$NTR$890,COLUMN(HeadJournal!G$1),0),"")</f>
        <v>45030</v>
      </c>
      <c r="F1409" s="95" t="str">
        <f t="shared" si="109"/>
        <v>2023 04</v>
      </c>
      <c r="G1409" s="96" t="s">
        <v>5</v>
      </c>
      <c r="H1409" s="160" t="str">
        <f>RIGHT(Journal!$J1409,9)</f>
        <v>000002301</v>
      </c>
      <c r="I1409" s="96" t="str">
        <f t="shared" si="111"/>
        <v>CoralClub</v>
      </c>
      <c r="J1409" s="97" t="s">
        <v>616</v>
      </c>
      <c r="K1409" s="29">
        <v>1704</v>
      </c>
      <c r="L1409" s="29">
        <v>0</v>
      </c>
      <c r="M1409" s="30">
        <f>IFERROR(VLOOKUP($A1409,HeadJournal!$A$1:$J$890,COLUMN(HeadJournal!I$1),0)*($K1409+$L1409)/(SUMIF($A:$A,$A1409,$K:$K)+SUMIF($A:$A,$A1409,$L:$L)),0)</f>
        <v>0</v>
      </c>
      <c r="N1409" s="30">
        <f>IFERROR((VLOOKUP($A1409,HeadJournal!$A$1:$K$890,COLUMN(HeadJournal!K$1),0)-VLOOKUP($A1409,HeadJournal!$A$1:$K$890,COLUMN(HeadJournal!J$1),0))*($K1409+$L1409)/(SUMIF($A:$A,$A1409,$K:$K)+SUMIF($A:$A,$A1409,$L:$L)),0)</f>
        <v>45</v>
      </c>
      <c r="O1409" s="30">
        <f>IFERROR((VLOOKUP($A1409,HeadJournal!$A$1:$L$890,COLUMN(HeadJournal!L$1),0)*($K1409+$L1409)/(SUMIF($A:$A,$A1409,$K:$K)+SUMIF($A:$A,$A1409,$L:$L)))/VLOOKUP($A1409,HeadJournal!$A$1:$L$890,COLUMN(HeadJournal!H$1),0),0)</f>
        <v>0</v>
      </c>
      <c r="P1409" s="30">
        <f>IFERROR(SUM(K1409:O1409)*VLOOKUP($A1409,HeadJournal!$A$1:$L$890,COLUMN(HeadJournal!H$1),0),0)</f>
        <v>1749</v>
      </c>
      <c r="Q1409" s="29"/>
      <c r="R1409" s="31"/>
      <c r="S1409" s="31"/>
      <c r="T1409" s="95" t="str">
        <f t="shared" si="110"/>
        <v/>
      </c>
      <c r="U1409" s="32">
        <f t="shared" ref="U1409:U1472" si="112">Q1409-P1409</f>
        <v>-1749</v>
      </c>
      <c r="V1409" s="22" t="str">
        <f t="shared" ref="V1409:V1472" si="113">IF(Q1409&lt;&gt;0,IFERROR(U1409/P1409,""),"")</f>
        <v/>
      </c>
      <c r="X1409" s="33"/>
      <c r="Y1409" s="33"/>
    </row>
    <row r="1410" spans="1:25" x14ac:dyDescent="0.2">
      <c r="A1410" s="93" t="s">
        <v>617</v>
      </c>
      <c r="B1410" s="94">
        <f>IFERROR(VLOOKUP($A1410,HeadJournal!$A$1:$NTR$890,COLUMN(HeadJournal!B$1),0),"")</f>
        <v>0</v>
      </c>
      <c r="C1410" s="94" t="str">
        <f>IFERROR(VLOOKUP($A1410,HeadJournal!$A$1:$NTR$890,COLUMN(HeadJournal!C$1),0),"")</f>
        <v>CoralClub_OA</v>
      </c>
      <c r="D1410" s="125" t="str">
        <f>IFERROR(VLOOKUP($A1410,HeadJournal!$A$1:$NTR$890,COLUMN(HeadJournal!D$1),0),"")</f>
        <v>Доставлен</v>
      </c>
      <c r="E1410" s="95">
        <f>IFERROR(VLOOKUP($A1410,HeadJournal!$A$1:$NTR$890,COLUMN(HeadJournal!G$1),0),"")</f>
        <v>45030</v>
      </c>
      <c r="F1410" s="95" t="str">
        <f t="shared" si="109"/>
        <v>2023 04</v>
      </c>
      <c r="G1410" s="96" t="s">
        <v>5</v>
      </c>
      <c r="H1410" s="160" t="str">
        <f>RIGHT(Journal!$J1410,9)</f>
        <v>000002152</v>
      </c>
      <c r="I1410" s="96" t="str">
        <f t="shared" si="111"/>
        <v>CoralClub</v>
      </c>
      <c r="J1410" s="97" t="s">
        <v>618</v>
      </c>
      <c r="K1410" s="29">
        <v>852</v>
      </c>
      <c r="L1410" s="29">
        <v>0</v>
      </c>
      <c r="M1410" s="30">
        <f>IFERROR(VLOOKUP($A1410,HeadJournal!$A$1:$J$890,COLUMN(HeadJournal!I$1),0)*($K1410+$L1410)/(SUMIF($A:$A,$A1410,$K:$K)+SUMIF($A:$A,$A1410,$L:$L)),0)</f>
        <v>0</v>
      </c>
      <c r="N1410" s="30">
        <f>IFERROR((VLOOKUP($A1410,HeadJournal!$A$1:$K$890,COLUMN(HeadJournal!K$1),0)-VLOOKUP($A1410,HeadJournal!$A$1:$K$890,COLUMN(HeadJournal!J$1),0))*($K1410+$L1410)/(SUMIF($A:$A,$A1410,$K:$K)+SUMIF($A:$A,$A1410,$L:$L)),0)</f>
        <v>0</v>
      </c>
      <c r="O1410" s="30">
        <f>IFERROR((VLOOKUP($A1410,HeadJournal!$A$1:$L$890,COLUMN(HeadJournal!L$1),0)*($K1410+$L1410)/(SUMIF($A:$A,$A1410,$K:$K)+SUMIF($A:$A,$A1410,$L:$L)))/VLOOKUP($A1410,HeadJournal!$A$1:$L$890,COLUMN(HeadJournal!H$1),0),0)</f>
        <v>0</v>
      </c>
      <c r="P1410" s="30">
        <f>IFERROR(SUM(K1410:O1410)*VLOOKUP($A1410,HeadJournal!$A$1:$L$890,COLUMN(HeadJournal!H$1),0),0)</f>
        <v>852</v>
      </c>
      <c r="Q1410" s="29">
        <v>1100</v>
      </c>
      <c r="R1410" s="31">
        <v>45029</v>
      </c>
      <c r="S1410" s="31" t="s">
        <v>3121</v>
      </c>
      <c r="T1410" s="95" t="str">
        <f t="shared" si="110"/>
        <v>2023 04</v>
      </c>
      <c r="U1410" s="32">
        <f t="shared" si="112"/>
        <v>248</v>
      </c>
      <c r="V1410" s="22">
        <f t="shared" si="113"/>
        <v>0.29107981220657275</v>
      </c>
      <c r="X1410" s="33"/>
      <c r="Y1410" s="33"/>
    </row>
    <row r="1411" spans="1:25" x14ac:dyDescent="0.2">
      <c r="A1411" s="93" t="s">
        <v>619</v>
      </c>
      <c r="B1411" s="94">
        <f>IFERROR(VLOOKUP($A1411,HeadJournal!$A$1:$NTR$890,COLUMN(HeadJournal!B$1),0),"")</f>
        <v>0</v>
      </c>
      <c r="C1411" s="94" t="str">
        <f>IFERROR(VLOOKUP($A1411,HeadJournal!$A$1:$NTR$890,COLUMN(HeadJournal!C$1),0),"")</f>
        <v>OZON_AV</v>
      </c>
      <c r="D1411" s="125" t="str">
        <f>IFERROR(VLOOKUP($A1411,HeadJournal!$A$1:$NTR$890,COLUMN(HeadJournal!D$1),0),"")</f>
        <v>Доставлен</v>
      </c>
      <c r="E1411" s="95">
        <f>IFERROR(VLOOKUP($A1411,HeadJournal!$A$1:$NTR$890,COLUMN(HeadJournal!G$1),0),"")</f>
        <v>45022</v>
      </c>
      <c r="F1411" s="95" t="str">
        <f t="shared" si="109"/>
        <v>2023 04</v>
      </c>
      <c r="G1411" s="96" t="s">
        <v>6</v>
      </c>
      <c r="H1411" s="160" t="str">
        <f>RIGHT(Journal!$J1411,9)</f>
        <v>200508013</v>
      </c>
      <c r="I1411" s="96" t="str">
        <f t="shared" si="111"/>
        <v>RusLab</v>
      </c>
      <c r="J1411" s="97" t="s">
        <v>381</v>
      </c>
      <c r="K1411" s="29">
        <v>787</v>
      </c>
      <c r="L1411" s="29">
        <v>0</v>
      </c>
      <c r="M1411" s="30">
        <f>IFERROR(VLOOKUP($A1411,HeadJournal!$A$1:$J$890,COLUMN(HeadJournal!I$1),0)*($K1411+$L1411)/(SUMIF($A:$A,$A1411,$K:$K)+SUMIF($A:$A,$A1411,$L:$L)),0)</f>
        <v>0</v>
      </c>
      <c r="N1411" s="30">
        <f>IFERROR((VLOOKUP($A1411,HeadJournal!$A$1:$K$890,COLUMN(HeadJournal!K$1),0)-VLOOKUP($A1411,HeadJournal!$A$1:$K$890,COLUMN(HeadJournal!J$1),0))*($K1411+$L1411)/(SUMIF($A:$A,$A1411,$K:$K)+SUMIF($A:$A,$A1411,$L:$L)),0)</f>
        <v>0</v>
      </c>
      <c r="O1411" s="30">
        <f>IFERROR((VLOOKUP($A1411,HeadJournal!$A$1:$L$890,COLUMN(HeadJournal!L$1),0)*($K1411+$L1411)/(SUMIF($A:$A,$A1411,$K:$K)+SUMIF($A:$A,$A1411,$L:$L)))/VLOOKUP($A1411,HeadJournal!$A$1:$L$890,COLUMN(HeadJournal!H$1),0),0)</f>
        <v>118.04999999999998</v>
      </c>
      <c r="P1411" s="30">
        <f>IFERROR(SUM(K1411:O1411)*VLOOKUP($A1411,HeadJournal!$A$1:$L$890,COLUMN(HeadJournal!H$1),0),0)</f>
        <v>905.05</v>
      </c>
      <c r="Q1411" s="29">
        <v>1200</v>
      </c>
      <c r="R1411" s="31">
        <v>45083</v>
      </c>
      <c r="S1411" s="31" t="s">
        <v>3121</v>
      </c>
      <c r="T1411" s="95" t="str">
        <f t="shared" si="110"/>
        <v>2023 06</v>
      </c>
      <c r="U1411" s="32">
        <f t="shared" si="112"/>
        <v>294.95000000000005</v>
      </c>
      <c r="V1411" s="22">
        <f t="shared" si="113"/>
        <v>0.32589359703883769</v>
      </c>
      <c r="X1411" s="33"/>
      <c r="Y1411" s="33"/>
    </row>
    <row r="1412" spans="1:25" x14ac:dyDescent="0.2">
      <c r="A1412" s="93" t="s">
        <v>619</v>
      </c>
      <c r="B1412" s="94">
        <f>IFERROR(VLOOKUP($A1412,HeadJournal!$A$1:$NTR$890,COLUMN(HeadJournal!B$1),0),"")</f>
        <v>0</v>
      </c>
      <c r="C1412" s="94" t="str">
        <f>IFERROR(VLOOKUP($A1412,HeadJournal!$A$1:$NTR$890,COLUMN(HeadJournal!C$1),0),"")</f>
        <v>OZON_AV</v>
      </c>
      <c r="D1412" s="125" t="str">
        <f>IFERROR(VLOOKUP($A1412,HeadJournal!$A$1:$NTR$890,COLUMN(HeadJournal!D$1),0),"")</f>
        <v>Доставлен</v>
      </c>
      <c r="E1412" s="95">
        <f>IFERROR(VLOOKUP($A1412,HeadJournal!$A$1:$NTR$890,COLUMN(HeadJournal!G$1),0),"")</f>
        <v>45022</v>
      </c>
      <c r="F1412" s="95" t="str">
        <f t="shared" ref="F1412:F1475" si="114">IFERROR(TEXT(E1412, "ГГГГ ММ"),"")</f>
        <v>2023 04</v>
      </c>
      <c r="G1412" s="96" t="s">
        <v>6</v>
      </c>
      <c r="H1412" s="160" t="str">
        <f>RIGHT(Journal!$J1412,9)</f>
        <v>200508013</v>
      </c>
      <c r="I1412" s="96" t="str">
        <f t="shared" si="111"/>
        <v>RusLab</v>
      </c>
      <c r="J1412" s="97" t="s">
        <v>381</v>
      </c>
      <c r="K1412" s="29">
        <v>787</v>
      </c>
      <c r="L1412" s="29">
        <v>0</v>
      </c>
      <c r="M1412" s="30">
        <f>IFERROR(VLOOKUP($A1412,HeadJournal!$A$1:$J$890,COLUMN(HeadJournal!I$1),0)*($K1412+$L1412)/(SUMIF($A:$A,$A1412,$K:$K)+SUMIF($A:$A,$A1412,$L:$L)),0)</f>
        <v>0</v>
      </c>
      <c r="N1412" s="30">
        <f>IFERROR((VLOOKUP($A1412,HeadJournal!$A$1:$K$890,COLUMN(HeadJournal!K$1),0)-VLOOKUP($A1412,HeadJournal!$A$1:$K$890,COLUMN(HeadJournal!J$1),0))*($K1412+$L1412)/(SUMIF($A:$A,$A1412,$K:$K)+SUMIF($A:$A,$A1412,$L:$L)),0)</f>
        <v>0</v>
      </c>
      <c r="O1412" s="30">
        <f>IFERROR((VLOOKUP($A1412,HeadJournal!$A$1:$L$890,COLUMN(HeadJournal!L$1),0)*($K1412+$L1412)/(SUMIF($A:$A,$A1412,$K:$K)+SUMIF($A:$A,$A1412,$L:$L)))/VLOOKUP($A1412,HeadJournal!$A$1:$L$890,COLUMN(HeadJournal!H$1),0),0)</f>
        <v>118.04999999999998</v>
      </c>
      <c r="P1412" s="30">
        <f>IFERROR(SUM(K1412:O1412)*VLOOKUP($A1412,HeadJournal!$A$1:$L$890,COLUMN(HeadJournal!H$1),0),0)</f>
        <v>905.05</v>
      </c>
      <c r="Q1412" s="29"/>
      <c r="R1412" s="31"/>
      <c r="S1412" s="31"/>
      <c r="T1412" s="95" t="str">
        <f t="shared" ref="T1412:T1475" si="115">IF(R1412="","",TEXT(R1412,"ГГГГ ММ"))</f>
        <v/>
      </c>
      <c r="U1412" s="32">
        <f t="shared" si="112"/>
        <v>-905.05</v>
      </c>
      <c r="V1412" s="22" t="str">
        <f t="shared" si="113"/>
        <v/>
      </c>
      <c r="X1412" s="33"/>
      <c r="Y1412" s="33"/>
    </row>
    <row r="1413" spans="1:25" x14ac:dyDescent="0.2">
      <c r="A1413" s="93" t="s">
        <v>620</v>
      </c>
      <c r="B1413" s="94">
        <f>IFERROR(VLOOKUP($A1413,HeadJournal!$A$1:$NTR$890,COLUMN(HeadJournal!B$1),0),"")</f>
        <v>0</v>
      </c>
      <c r="C1413" s="94" t="str">
        <f>IFERROR(VLOOKUP($A1413,HeadJournal!$A$1:$NTR$890,COLUMN(HeadJournal!C$1),0),"")</f>
        <v>OZON_AV</v>
      </c>
      <c r="D1413" s="125" t="str">
        <f>IFERROR(VLOOKUP($A1413,HeadJournal!$A$1:$NTR$890,COLUMN(HeadJournal!D$1),0),"")</f>
        <v>Доставлен</v>
      </c>
      <c r="E1413" s="95">
        <f>IFERROR(VLOOKUP($A1413,HeadJournal!$A$1:$NTR$890,COLUMN(HeadJournal!G$1),0),"")</f>
        <v>45024</v>
      </c>
      <c r="F1413" s="95" t="str">
        <f t="shared" si="114"/>
        <v>2023 04</v>
      </c>
      <c r="G1413" s="96" t="s">
        <v>6</v>
      </c>
      <c r="H1413" s="160" t="str">
        <f>RIGHT(Journal!$J1413,9)</f>
        <v>825959086</v>
      </c>
      <c r="I1413" s="96" t="str">
        <f t="shared" si="111"/>
        <v>SOUL WAY</v>
      </c>
      <c r="J1413" s="97" t="s">
        <v>478</v>
      </c>
      <c r="K1413" s="29">
        <v>534.79999999999995</v>
      </c>
      <c r="L1413" s="29">
        <v>0</v>
      </c>
      <c r="M1413" s="30">
        <f>IFERROR(VLOOKUP($A1413,HeadJournal!$A$1:$J$890,COLUMN(HeadJournal!I$1),0)*($K1413+$L1413)/(SUMIF($A:$A,$A1413,$K:$K)+SUMIF($A:$A,$A1413,$L:$L)),0)</f>
        <v>0</v>
      </c>
      <c r="N1413" s="30">
        <f>IFERROR((VLOOKUP($A1413,HeadJournal!$A$1:$K$890,COLUMN(HeadJournal!K$1),0)-VLOOKUP($A1413,HeadJournal!$A$1:$K$890,COLUMN(HeadJournal!J$1),0))*($K1413+$L1413)/(SUMIF($A:$A,$A1413,$K:$K)+SUMIF($A:$A,$A1413,$L:$L)),0)</f>
        <v>0</v>
      </c>
      <c r="O1413" s="30">
        <f>IFERROR((VLOOKUP($A1413,HeadJournal!$A$1:$L$890,COLUMN(HeadJournal!L$1),0)*($K1413+$L1413)/(SUMIF($A:$A,$A1413,$K:$K)+SUMIF($A:$A,$A1413,$L:$L)))/VLOOKUP($A1413,HeadJournal!$A$1:$L$890,COLUMN(HeadJournal!H$1),0),0)</f>
        <v>80.219999999999985</v>
      </c>
      <c r="P1413" s="30">
        <f>IFERROR(SUM(K1413:O1413)*VLOOKUP($A1413,HeadJournal!$A$1:$L$890,COLUMN(HeadJournal!H$1),0),0)</f>
        <v>615.02</v>
      </c>
      <c r="Q1413" s="29">
        <v>1600</v>
      </c>
      <c r="R1413" s="31">
        <v>45035</v>
      </c>
      <c r="S1413" s="31" t="s">
        <v>3121</v>
      </c>
      <c r="T1413" s="95" t="str">
        <f t="shared" si="115"/>
        <v>2023 04</v>
      </c>
      <c r="U1413" s="32">
        <f t="shared" si="112"/>
        <v>984.98</v>
      </c>
      <c r="V1413" s="22">
        <f t="shared" si="113"/>
        <v>1.6015414132873729</v>
      </c>
      <c r="X1413" s="33"/>
      <c r="Y1413" s="33"/>
    </row>
    <row r="1414" spans="1:25" x14ac:dyDescent="0.2">
      <c r="A1414" s="93" t="s">
        <v>620</v>
      </c>
      <c r="B1414" s="94">
        <f>IFERROR(VLOOKUP($A1414,HeadJournal!$A$1:$NTR$890,COLUMN(HeadJournal!B$1),0),"")</f>
        <v>0</v>
      </c>
      <c r="C1414" s="94" t="str">
        <f>IFERROR(VLOOKUP($A1414,HeadJournal!$A$1:$NTR$890,COLUMN(HeadJournal!C$1),0),"")</f>
        <v>OZON_AV</v>
      </c>
      <c r="D1414" s="125" t="str">
        <f>IFERROR(VLOOKUP($A1414,HeadJournal!$A$1:$NTR$890,COLUMN(HeadJournal!D$1),0),"")</f>
        <v>Доставлен</v>
      </c>
      <c r="E1414" s="95">
        <f>IFERROR(VLOOKUP($A1414,HeadJournal!$A$1:$NTR$890,COLUMN(HeadJournal!G$1),0),"")</f>
        <v>45024</v>
      </c>
      <c r="F1414" s="95" t="str">
        <f t="shared" si="114"/>
        <v>2023 04</v>
      </c>
      <c r="G1414" s="96" t="s">
        <v>6</v>
      </c>
      <c r="H1414" s="160" t="str">
        <f>RIGHT(Journal!$J1414,9)</f>
        <v>825481466</v>
      </c>
      <c r="I1414" s="96" t="str">
        <f t="shared" si="111"/>
        <v>SOUL WAY</v>
      </c>
      <c r="J1414" s="97" t="s">
        <v>562</v>
      </c>
      <c r="K1414" s="29">
        <v>802.2</v>
      </c>
      <c r="L1414" s="29">
        <v>0</v>
      </c>
      <c r="M1414" s="30">
        <f>IFERROR(VLOOKUP($A1414,HeadJournal!$A$1:$J$890,COLUMN(HeadJournal!I$1),0)*($K1414+$L1414)/(SUMIF($A:$A,$A1414,$K:$K)+SUMIF($A:$A,$A1414,$L:$L)),0)</f>
        <v>0</v>
      </c>
      <c r="N1414" s="30">
        <f>IFERROR((VLOOKUP($A1414,HeadJournal!$A$1:$K$890,COLUMN(HeadJournal!K$1),0)-VLOOKUP($A1414,HeadJournal!$A$1:$K$890,COLUMN(HeadJournal!J$1),0))*($K1414+$L1414)/(SUMIF($A:$A,$A1414,$K:$K)+SUMIF($A:$A,$A1414,$L:$L)),0)</f>
        <v>0</v>
      </c>
      <c r="O1414" s="30">
        <f>IFERROR((VLOOKUP($A1414,HeadJournal!$A$1:$L$890,COLUMN(HeadJournal!L$1),0)*($K1414+$L1414)/(SUMIF($A:$A,$A1414,$K:$K)+SUMIF($A:$A,$A1414,$L:$L)))/VLOOKUP($A1414,HeadJournal!$A$1:$L$890,COLUMN(HeadJournal!H$1),0),0)</f>
        <v>120.33000000000001</v>
      </c>
      <c r="P1414" s="30">
        <f>IFERROR(SUM(K1414:O1414)*VLOOKUP($A1414,HeadJournal!$A$1:$L$890,COLUMN(HeadJournal!H$1),0),0)</f>
        <v>922.53000000000009</v>
      </c>
      <c r="Q1414" s="29">
        <v>1300</v>
      </c>
      <c r="R1414" s="31">
        <v>45048</v>
      </c>
      <c r="S1414" s="31" t="s">
        <v>3121</v>
      </c>
      <c r="T1414" s="95" t="str">
        <f t="shared" si="115"/>
        <v>2023 05</v>
      </c>
      <c r="U1414" s="32">
        <f t="shared" si="112"/>
        <v>377.46999999999991</v>
      </c>
      <c r="V1414" s="22">
        <f t="shared" si="113"/>
        <v>0.4091682655306601</v>
      </c>
      <c r="X1414" s="33"/>
      <c r="Y1414" s="33"/>
    </row>
    <row r="1415" spans="1:25" x14ac:dyDescent="0.2">
      <c r="A1415" s="93" t="s">
        <v>620</v>
      </c>
      <c r="B1415" s="94">
        <f>IFERROR(VLOOKUP($A1415,HeadJournal!$A$1:$NTR$890,COLUMN(HeadJournal!B$1),0),"")</f>
        <v>0</v>
      </c>
      <c r="C1415" s="94" t="str">
        <f>IFERROR(VLOOKUP($A1415,HeadJournal!$A$1:$NTR$890,COLUMN(HeadJournal!C$1),0),"")</f>
        <v>OZON_AV</v>
      </c>
      <c r="D1415" s="125" t="str">
        <f>IFERROR(VLOOKUP($A1415,HeadJournal!$A$1:$NTR$890,COLUMN(HeadJournal!D$1),0),"")</f>
        <v>Доставлен</v>
      </c>
      <c r="E1415" s="95">
        <f>IFERROR(VLOOKUP($A1415,HeadJournal!$A$1:$NTR$890,COLUMN(HeadJournal!G$1),0),"")</f>
        <v>45024</v>
      </c>
      <c r="F1415" s="95" t="str">
        <f t="shared" si="114"/>
        <v>2023 04</v>
      </c>
      <c r="G1415" s="96" t="s">
        <v>6</v>
      </c>
      <c r="H1415" s="175" t="s">
        <v>1950</v>
      </c>
      <c r="I1415" s="176" t="s">
        <v>560</v>
      </c>
      <c r="J1415" s="97" t="s">
        <v>1951</v>
      </c>
      <c r="K1415" s="29">
        <v>1007</v>
      </c>
      <c r="L1415" s="29">
        <v>0</v>
      </c>
      <c r="M1415" s="30">
        <f>IFERROR(VLOOKUP($A1415,HeadJournal!$A$1:$J$890,COLUMN(HeadJournal!I$1),0)*($K1415+$L1415)/(SUMIF($A:$A,$A1415,$K:$K)+SUMIF($A:$A,$A1415,$L:$L)),0)</f>
        <v>0</v>
      </c>
      <c r="N1415" s="30">
        <f>IFERROR((VLOOKUP($A1415,HeadJournal!$A$1:$K$890,COLUMN(HeadJournal!K$1),0)-VLOOKUP($A1415,HeadJournal!$A$1:$K$890,COLUMN(HeadJournal!J$1),0))*($K1415+$L1415)/(SUMIF($A:$A,$A1415,$K:$K)+SUMIF($A:$A,$A1415,$L:$L)),0)</f>
        <v>0</v>
      </c>
      <c r="O1415" s="30">
        <f>IFERROR((VLOOKUP($A1415,HeadJournal!$A$1:$L$890,COLUMN(HeadJournal!L$1),0)*($K1415+$L1415)/(SUMIF($A:$A,$A1415,$K:$K)+SUMIF($A:$A,$A1415,$L:$L)))/VLOOKUP($A1415,HeadJournal!$A$1:$L$890,COLUMN(HeadJournal!H$1),0),0)</f>
        <v>151.04999999999998</v>
      </c>
      <c r="P1415" s="30">
        <f>IFERROR(SUM(K1415:O1415)*VLOOKUP($A1415,HeadJournal!$A$1:$L$890,COLUMN(HeadJournal!H$1),0),0)</f>
        <v>1158.05</v>
      </c>
      <c r="Q1415" s="29">
        <v>1600</v>
      </c>
      <c r="R1415" s="31">
        <v>45035</v>
      </c>
      <c r="S1415" s="31" t="s">
        <v>3121</v>
      </c>
      <c r="T1415" s="95" t="str">
        <f t="shared" si="115"/>
        <v>2023 04</v>
      </c>
      <c r="U1415" s="32">
        <f t="shared" si="112"/>
        <v>441.95000000000005</v>
      </c>
      <c r="V1415" s="22">
        <f t="shared" si="113"/>
        <v>0.3816329174042572</v>
      </c>
      <c r="X1415" s="33"/>
      <c r="Y1415" s="33"/>
    </row>
    <row r="1416" spans="1:25" x14ac:dyDescent="0.2">
      <c r="A1416" s="93" t="s">
        <v>620</v>
      </c>
      <c r="B1416" s="94">
        <f>IFERROR(VLOOKUP($A1416,HeadJournal!$A$1:$NTR$890,COLUMN(HeadJournal!B$1),0),"")</f>
        <v>0</v>
      </c>
      <c r="C1416" s="94" t="str">
        <f>IFERROR(VLOOKUP($A1416,HeadJournal!$A$1:$NTR$890,COLUMN(HeadJournal!C$1),0),"")</f>
        <v>OZON_AV</v>
      </c>
      <c r="D1416" s="125" t="str">
        <f>IFERROR(VLOOKUP($A1416,HeadJournal!$A$1:$NTR$890,COLUMN(HeadJournal!D$1),0),"")</f>
        <v>Доставлен</v>
      </c>
      <c r="E1416" s="95">
        <f>IFERROR(VLOOKUP($A1416,HeadJournal!$A$1:$NTR$890,COLUMN(HeadJournal!G$1),0),"")</f>
        <v>45024</v>
      </c>
      <c r="F1416" s="95" t="str">
        <f t="shared" si="114"/>
        <v>2023 04</v>
      </c>
      <c r="G1416" s="96" t="s">
        <v>6</v>
      </c>
      <c r="H1416" s="160" t="str">
        <f>RIGHT(Journal!$J1416,9)</f>
        <v>200508013</v>
      </c>
      <c r="I1416" s="96" t="str">
        <f t="shared" si="111"/>
        <v>RusLab</v>
      </c>
      <c r="J1416" s="97" t="s">
        <v>381</v>
      </c>
      <c r="K1416" s="29">
        <v>775</v>
      </c>
      <c r="L1416" s="29">
        <v>0</v>
      </c>
      <c r="M1416" s="30">
        <f>IFERROR(VLOOKUP($A1416,HeadJournal!$A$1:$J$890,COLUMN(HeadJournal!I$1),0)*($K1416+$L1416)/(SUMIF($A:$A,$A1416,$K:$K)+SUMIF($A:$A,$A1416,$L:$L)),0)</f>
        <v>0</v>
      </c>
      <c r="N1416" s="30">
        <f>IFERROR((VLOOKUP($A1416,HeadJournal!$A$1:$K$890,COLUMN(HeadJournal!K$1),0)-VLOOKUP($A1416,HeadJournal!$A$1:$K$890,COLUMN(HeadJournal!J$1),0))*($K1416+$L1416)/(SUMIF($A:$A,$A1416,$K:$K)+SUMIF($A:$A,$A1416,$L:$L)),0)</f>
        <v>0</v>
      </c>
      <c r="O1416" s="30">
        <f>IFERROR((VLOOKUP($A1416,HeadJournal!$A$1:$L$890,COLUMN(HeadJournal!L$1),0)*($K1416+$L1416)/(SUMIF($A:$A,$A1416,$K:$K)+SUMIF($A:$A,$A1416,$L:$L)))/VLOOKUP($A1416,HeadJournal!$A$1:$L$890,COLUMN(HeadJournal!H$1),0),0)</f>
        <v>116.25</v>
      </c>
      <c r="P1416" s="30">
        <f>IFERROR(SUM(K1416:O1416)*VLOOKUP($A1416,HeadJournal!$A$1:$L$890,COLUMN(HeadJournal!H$1),0),0)</f>
        <v>891.25</v>
      </c>
      <c r="Q1416" s="29"/>
      <c r="R1416" s="31"/>
      <c r="S1416" s="31"/>
      <c r="T1416" s="95" t="str">
        <f t="shared" si="115"/>
        <v/>
      </c>
      <c r="U1416" s="32">
        <f t="shared" si="112"/>
        <v>-891.25</v>
      </c>
      <c r="V1416" s="22" t="str">
        <f t="shared" si="113"/>
        <v/>
      </c>
      <c r="X1416" s="33"/>
      <c r="Y1416" s="33"/>
    </row>
    <row r="1417" spans="1:25" x14ac:dyDescent="0.2">
      <c r="A1417" s="93" t="s">
        <v>621</v>
      </c>
      <c r="B1417" s="94">
        <f>IFERROR(VLOOKUP($A1417,HeadJournal!$A$1:$NTR$890,COLUMN(HeadJournal!B$1),0),"")</f>
        <v>0</v>
      </c>
      <c r="C1417" s="94" t="str">
        <f>IFERROR(VLOOKUP($A1417,HeadJournal!$A$1:$NTR$890,COLUMN(HeadJournal!C$1),0),"")</f>
        <v>OZON_AV</v>
      </c>
      <c r="D1417" s="125" t="str">
        <f>IFERROR(VLOOKUP($A1417,HeadJournal!$A$1:$NTR$890,COLUMN(HeadJournal!D$1),0),"")</f>
        <v>Доставлен</v>
      </c>
      <c r="E1417" s="95">
        <f>IFERROR(VLOOKUP($A1417,HeadJournal!$A$1:$NTR$890,COLUMN(HeadJournal!G$1),0),"")</f>
        <v>45025</v>
      </c>
      <c r="F1417" s="95" t="str">
        <f t="shared" si="114"/>
        <v>2023 04</v>
      </c>
      <c r="G1417" s="96" t="s">
        <v>6</v>
      </c>
      <c r="H1417" s="160" t="str">
        <f>RIGHT(Journal!$J1417,9)</f>
        <v>185552102</v>
      </c>
      <c r="I1417" s="96" t="str">
        <f t="shared" si="111"/>
        <v>Mutant Mass</v>
      </c>
      <c r="J1417" s="97" t="s">
        <v>1923</v>
      </c>
      <c r="K1417" s="29">
        <v>2256</v>
      </c>
      <c r="L1417" s="29">
        <v>0</v>
      </c>
      <c r="M1417" s="30">
        <f>IFERROR(VLOOKUP($A1417,HeadJournal!$A$1:$J$890,COLUMN(HeadJournal!I$1),0)*($K1417+$L1417)/(SUMIF($A:$A,$A1417,$K:$K)+SUMIF($A:$A,$A1417,$L:$L)),0)</f>
        <v>0</v>
      </c>
      <c r="N1417" s="30">
        <f>IFERROR((VLOOKUP($A1417,HeadJournal!$A$1:$K$890,COLUMN(HeadJournal!K$1),0)-VLOOKUP($A1417,HeadJournal!$A$1:$K$890,COLUMN(HeadJournal!J$1),0))*($K1417+$L1417)/(SUMIF($A:$A,$A1417,$K:$K)+SUMIF($A:$A,$A1417,$L:$L)),0)</f>
        <v>0</v>
      </c>
      <c r="O1417" s="30">
        <f>IFERROR((VLOOKUP($A1417,HeadJournal!$A$1:$L$890,COLUMN(HeadJournal!L$1),0)*($K1417+$L1417)/(SUMIF($A:$A,$A1417,$K:$K)+SUMIF($A:$A,$A1417,$L:$L)))/VLOOKUP($A1417,HeadJournal!$A$1:$L$890,COLUMN(HeadJournal!H$1),0),0)</f>
        <v>338.4</v>
      </c>
      <c r="P1417" s="30">
        <f>IFERROR(SUM(K1417:O1417)*VLOOKUP($A1417,HeadJournal!$A$1:$L$890,COLUMN(HeadJournal!H$1),0),0)</f>
        <v>2594.4</v>
      </c>
      <c r="Q1417" s="29">
        <v>3700</v>
      </c>
      <c r="R1417" s="31">
        <v>45034</v>
      </c>
      <c r="S1417" s="31" t="s">
        <v>3121</v>
      </c>
      <c r="T1417" s="95" t="str">
        <f t="shared" si="115"/>
        <v>2023 04</v>
      </c>
      <c r="U1417" s="32">
        <f t="shared" si="112"/>
        <v>1105.5999999999999</v>
      </c>
      <c r="V1417" s="22">
        <f t="shared" si="113"/>
        <v>0.42614862781375262</v>
      </c>
      <c r="X1417" s="33"/>
      <c r="Y1417" s="33"/>
    </row>
    <row r="1418" spans="1:25" x14ac:dyDescent="0.2">
      <c r="A1418" s="93" t="s">
        <v>621</v>
      </c>
      <c r="B1418" s="94">
        <f>IFERROR(VLOOKUP($A1418,HeadJournal!$A$1:$NTR$890,COLUMN(HeadJournal!B$1),0),"")</f>
        <v>0</v>
      </c>
      <c r="C1418" s="94" t="str">
        <f>IFERROR(VLOOKUP($A1418,HeadJournal!$A$1:$NTR$890,COLUMN(HeadJournal!C$1),0),"")</f>
        <v>OZON_AV</v>
      </c>
      <c r="D1418" s="125" t="str">
        <f>IFERROR(VLOOKUP($A1418,HeadJournal!$A$1:$NTR$890,COLUMN(HeadJournal!D$1),0),"")</f>
        <v>Доставлен</v>
      </c>
      <c r="E1418" s="95">
        <f>IFERROR(VLOOKUP($A1418,HeadJournal!$A$1:$NTR$890,COLUMN(HeadJournal!G$1),0),"")</f>
        <v>45025</v>
      </c>
      <c r="F1418" s="95" t="str">
        <f t="shared" si="114"/>
        <v>2023 04</v>
      </c>
      <c r="G1418" s="96" t="s">
        <v>6</v>
      </c>
      <c r="H1418" s="160" t="str">
        <f>RIGHT(Journal!$J1418,9)</f>
        <v>185550660</v>
      </c>
      <c r="I1418" s="96" t="str">
        <f t="shared" si="111"/>
        <v>Mutant Mass</v>
      </c>
      <c r="J1418" s="97" t="s">
        <v>1924</v>
      </c>
      <c r="K1418" s="29">
        <v>2256</v>
      </c>
      <c r="L1418" s="29">
        <v>0</v>
      </c>
      <c r="M1418" s="30">
        <f>IFERROR(VLOOKUP($A1418,HeadJournal!$A$1:$J$890,COLUMN(HeadJournal!I$1),0)*($K1418+$L1418)/(SUMIF($A:$A,$A1418,$K:$K)+SUMIF($A:$A,$A1418,$L:$L)),0)</f>
        <v>0</v>
      </c>
      <c r="N1418" s="30">
        <f>IFERROR((VLOOKUP($A1418,HeadJournal!$A$1:$K$890,COLUMN(HeadJournal!K$1),0)-VLOOKUP($A1418,HeadJournal!$A$1:$K$890,COLUMN(HeadJournal!J$1),0))*($K1418+$L1418)/(SUMIF($A:$A,$A1418,$K:$K)+SUMIF($A:$A,$A1418,$L:$L)),0)</f>
        <v>0</v>
      </c>
      <c r="O1418" s="30">
        <f>IFERROR((VLOOKUP($A1418,HeadJournal!$A$1:$L$890,COLUMN(HeadJournal!L$1),0)*($K1418+$L1418)/(SUMIF($A:$A,$A1418,$K:$K)+SUMIF($A:$A,$A1418,$L:$L)))/VLOOKUP($A1418,HeadJournal!$A$1:$L$890,COLUMN(HeadJournal!H$1),0),0)</f>
        <v>338.4</v>
      </c>
      <c r="P1418" s="30">
        <f>IFERROR(SUM(K1418:O1418)*VLOOKUP($A1418,HeadJournal!$A$1:$L$890,COLUMN(HeadJournal!H$1),0),0)</f>
        <v>2594.4</v>
      </c>
      <c r="Q1418" s="29">
        <v>3700</v>
      </c>
      <c r="R1418" s="31">
        <v>45034</v>
      </c>
      <c r="S1418" s="31" t="s">
        <v>3121</v>
      </c>
      <c r="T1418" s="95" t="str">
        <f t="shared" si="115"/>
        <v>2023 04</v>
      </c>
      <c r="U1418" s="32">
        <f t="shared" si="112"/>
        <v>1105.5999999999999</v>
      </c>
      <c r="V1418" s="22">
        <f t="shared" si="113"/>
        <v>0.42614862781375262</v>
      </c>
      <c r="X1418" s="33"/>
      <c r="Y1418" s="33"/>
    </row>
    <row r="1419" spans="1:25" x14ac:dyDescent="0.2">
      <c r="A1419" s="93" t="s">
        <v>622</v>
      </c>
      <c r="B1419" s="94">
        <f>IFERROR(VLOOKUP($A1419,HeadJournal!$A$1:$NTR$890,COLUMN(HeadJournal!B$1),0),"")</f>
        <v>0</v>
      </c>
      <c r="C1419" s="94" t="str">
        <f>IFERROR(VLOOKUP($A1419,HeadJournal!$A$1:$NTR$890,COLUMN(HeadJournal!C$1),0),"")</f>
        <v>OZON_AV</v>
      </c>
      <c r="D1419" s="125" t="str">
        <f>IFERROR(VLOOKUP($A1419,HeadJournal!$A$1:$NTR$890,COLUMN(HeadJournal!D$1),0),"")</f>
        <v>Доставлен</v>
      </c>
      <c r="E1419" s="95">
        <f>IFERROR(VLOOKUP($A1419,HeadJournal!$A$1:$NTR$890,COLUMN(HeadJournal!G$1),0),"")</f>
        <v>45028</v>
      </c>
      <c r="F1419" s="95" t="str">
        <f t="shared" si="114"/>
        <v>2023 04</v>
      </c>
      <c r="G1419" s="96" t="s">
        <v>6</v>
      </c>
      <c r="H1419" s="160" t="str">
        <f>RIGHT(Journal!$J1419,9)</f>
        <v>269076077</v>
      </c>
      <c r="I1419" s="96" t="str">
        <f t="shared" si="111"/>
        <v>GLS</v>
      </c>
      <c r="J1419" s="97" t="s">
        <v>623</v>
      </c>
      <c r="K1419" s="29">
        <v>1237</v>
      </c>
      <c r="L1419" s="29">
        <v>0</v>
      </c>
      <c r="M1419" s="30">
        <f>IFERROR(VLOOKUP($A1419,HeadJournal!$A$1:$J$890,COLUMN(HeadJournal!I$1),0)*($K1419+$L1419)/(SUMIF($A:$A,$A1419,$K:$K)+SUMIF($A:$A,$A1419,$L:$L)),0)</f>
        <v>0</v>
      </c>
      <c r="N1419" s="30">
        <f>IFERROR((VLOOKUP($A1419,HeadJournal!$A$1:$K$890,COLUMN(HeadJournal!K$1),0)-VLOOKUP($A1419,HeadJournal!$A$1:$K$890,COLUMN(HeadJournal!J$1),0))*($K1419+$L1419)/(SUMIF($A:$A,$A1419,$K:$K)+SUMIF($A:$A,$A1419,$L:$L)),0)</f>
        <v>0</v>
      </c>
      <c r="O1419" s="30">
        <f>IFERROR((VLOOKUP($A1419,HeadJournal!$A$1:$L$890,COLUMN(HeadJournal!L$1),0)*($K1419+$L1419)/(SUMIF($A:$A,$A1419,$K:$K)+SUMIF($A:$A,$A1419,$L:$L)))/VLOOKUP($A1419,HeadJournal!$A$1:$L$890,COLUMN(HeadJournal!H$1),0),0)</f>
        <v>185.54999999999998</v>
      </c>
      <c r="P1419" s="30">
        <f>IFERROR(SUM(K1419:O1419)*VLOOKUP($A1419,HeadJournal!$A$1:$L$890,COLUMN(HeadJournal!H$1),0),0)</f>
        <v>1422.55</v>
      </c>
      <c r="Q1419" s="29">
        <v>1900</v>
      </c>
      <c r="R1419" s="31">
        <v>45035</v>
      </c>
      <c r="S1419" s="31" t="s">
        <v>3121</v>
      </c>
      <c r="T1419" s="95" t="str">
        <f t="shared" si="115"/>
        <v>2023 04</v>
      </c>
      <c r="U1419" s="32">
        <f t="shared" si="112"/>
        <v>477.45000000000005</v>
      </c>
      <c r="V1419" s="22">
        <f t="shared" si="113"/>
        <v>0.33562967909739555</v>
      </c>
      <c r="X1419" s="33"/>
      <c r="Y1419" s="33"/>
    </row>
    <row r="1420" spans="1:25" x14ac:dyDescent="0.2">
      <c r="A1420" s="93" t="s">
        <v>624</v>
      </c>
      <c r="B1420" s="94">
        <f>IFERROR(VLOOKUP($A1420,HeadJournal!$A$1:$NTR$890,COLUMN(HeadJournal!B$1),0),"")</f>
        <v>0</v>
      </c>
      <c r="C1420" s="94" t="str">
        <f>IFERROR(VLOOKUP($A1420,HeadJournal!$A$1:$NTR$890,COLUMN(HeadJournal!C$1),0),"")</f>
        <v>OZON_AV</v>
      </c>
      <c r="D1420" s="125" t="str">
        <f>IFERROR(VLOOKUP($A1420,HeadJournal!$A$1:$NTR$890,COLUMN(HeadJournal!D$1),0),"")</f>
        <v>Доставлен</v>
      </c>
      <c r="E1420" s="95">
        <f>IFERROR(VLOOKUP($A1420,HeadJournal!$A$1:$NTR$890,COLUMN(HeadJournal!G$1),0),"")</f>
        <v>45031</v>
      </c>
      <c r="F1420" s="95" t="str">
        <f t="shared" si="114"/>
        <v>2023 04</v>
      </c>
      <c r="G1420" s="96" t="s">
        <v>6</v>
      </c>
      <c r="H1420" s="160" t="str">
        <f>RIGHT(Journal!$J1420,9)</f>
        <v>928502066</v>
      </c>
      <c r="I1420" s="96" t="str">
        <f t="shared" si="111"/>
        <v>Tree of Life</v>
      </c>
      <c r="J1420" s="97" t="s">
        <v>625</v>
      </c>
      <c r="K1420" s="29">
        <v>1791</v>
      </c>
      <c r="L1420" s="29">
        <v>0</v>
      </c>
      <c r="M1420" s="30">
        <f>IFERROR(VLOOKUP($A1420,HeadJournal!$A$1:$J$890,COLUMN(HeadJournal!I$1),0)*($K1420+$L1420)/(SUMIF($A:$A,$A1420,$K:$K)+SUMIF($A:$A,$A1420,$L:$L)),0)</f>
        <v>0</v>
      </c>
      <c r="N1420" s="30">
        <f>IFERROR((VLOOKUP($A1420,HeadJournal!$A$1:$K$890,COLUMN(HeadJournal!K$1),0)-VLOOKUP($A1420,HeadJournal!$A$1:$K$890,COLUMN(HeadJournal!J$1),0))*($K1420+$L1420)/(SUMIF($A:$A,$A1420,$K:$K)+SUMIF($A:$A,$A1420,$L:$L)),0)</f>
        <v>0</v>
      </c>
      <c r="O1420" s="30">
        <f>IFERROR((VLOOKUP($A1420,HeadJournal!$A$1:$L$890,COLUMN(HeadJournal!L$1),0)*($K1420+$L1420)/(SUMIF($A:$A,$A1420,$K:$K)+SUMIF($A:$A,$A1420,$L:$L)))/VLOOKUP($A1420,HeadJournal!$A$1:$L$890,COLUMN(HeadJournal!H$1),0),0)</f>
        <v>268.64999999999998</v>
      </c>
      <c r="P1420" s="30">
        <f>IFERROR(SUM(K1420:O1420)*VLOOKUP($A1420,HeadJournal!$A$1:$L$890,COLUMN(HeadJournal!H$1),0),0)</f>
        <v>2059.65</v>
      </c>
      <c r="Q1420" s="29">
        <v>2800</v>
      </c>
      <c r="R1420" s="31">
        <v>45173</v>
      </c>
      <c r="S1420" s="31" t="s">
        <v>3121</v>
      </c>
      <c r="T1420" s="95" t="str">
        <f t="shared" si="115"/>
        <v>2023 09</v>
      </c>
      <c r="U1420" s="32">
        <f t="shared" si="112"/>
        <v>740.34999999999991</v>
      </c>
      <c r="V1420" s="22">
        <f t="shared" si="113"/>
        <v>0.35945427621197773</v>
      </c>
      <c r="X1420" s="33"/>
      <c r="Y1420" s="33"/>
    </row>
    <row r="1421" spans="1:25" x14ac:dyDescent="0.2">
      <c r="A1421" s="93" t="s">
        <v>624</v>
      </c>
      <c r="B1421" s="94">
        <f>IFERROR(VLOOKUP($A1421,HeadJournal!$A$1:$NTR$890,COLUMN(HeadJournal!B$1),0),"")</f>
        <v>0</v>
      </c>
      <c r="C1421" s="94" t="str">
        <f>IFERROR(VLOOKUP($A1421,HeadJournal!$A$1:$NTR$890,COLUMN(HeadJournal!C$1),0),"")</f>
        <v>OZON_AV</v>
      </c>
      <c r="D1421" s="125" t="str">
        <f>IFERROR(VLOOKUP($A1421,HeadJournal!$A$1:$NTR$890,COLUMN(HeadJournal!D$1),0),"")</f>
        <v>Доставлен</v>
      </c>
      <c r="E1421" s="95">
        <f>IFERROR(VLOOKUP($A1421,HeadJournal!$A$1:$NTR$890,COLUMN(HeadJournal!G$1),0),"")</f>
        <v>45031</v>
      </c>
      <c r="F1421" s="95" t="str">
        <f t="shared" si="114"/>
        <v>2023 04</v>
      </c>
      <c r="G1421" s="96" t="s">
        <v>6</v>
      </c>
      <c r="H1421" s="160" t="str">
        <f>RIGHT(Journal!$J1421,9)</f>
        <v>928476887</v>
      </c>
      <c r="I1421" s="96" t="str">
        <f t="shared" si="111"/>
        <v>Tree of Life</v>
      </c>
      <c r="J1421" s="97" t="s">
        <v>626</v>
      </c>
      <c r="K1421" s="29">
        <v>1791</v>
      </c>
      <c r="L1421" s="29">
        <v>0</v>
      </c>
      <c r="M1421" s="30">
        <f>IFERROR(VLOOKUP($A1421,HeadJournal!$A$1:$J$890,COLUMN(HeadJournal!I$1),0)*($K1421+$L1421)/(SUMIF($A:$A,$A1421,$K:$K)+SUMIF($A:$A,$A1421,$L:$L)),0)</f>
        <v>0</v>
      </c>
      <c r="N1421" s="30">
        <f>IFERROR((VLOOKUP($A1421,HeadJournal!$A$1:$K$890,COLUMN(HeadJournal!K$1),0)-VLOOKUP($A1421,HeadJournal!$A$1:$K$890,COLUMN(HeadJournal!J$1),0))*($K1421+$L1421)/(SUMIF($A:$A,$A1421,$K:$K)+SUMIF($A:$A,$A1421,$L:$L)),0)</f>
        <v>0</v>
      </c>
      <c r="O1421" s="30">
        <f>IFERROR((VLOOKUP($A1421,HeadJournal!$A$1:$L$890,COLUMN(HeadJournal!L$1),0)*($K1421+$L1421)/(SUMIF($A:$A,$A1421,$K:$K)+SUMIF($A:$A,$A1421,$L:$L)))/VLOOKUP($A1421,HeadJournal!$A$1:$L$890,COLUMN(HeadJournal!H$1),0),0)</f>
        <v>268.64999999999998</v>
      </c>
      <c r="P1421" s="30">
        <f>IFERROR(SUM(K1421:O1421)*VLOOKUP($A1421,HeadJournal!$A$1:$L$890,COLUMN(HeadJournal!H$1),0),0)</f>
        <v>2059.65</v>
      </c>
      <c r="Q1421" s="29">
        <v>2700</v>
      </c>
      <c r="R1421" s="31">
        <v>45071</v>
      </c>
      <c r="S1421" s="31" t="s">
        <v>3121</v>
      </c>
      <c r="T1421" s="95" t="str">
        <f t="shared" si="115"/>
        <v>2023 05</v>
      </c>
      <c r="U1421" s="32">
        <f t="shared" si="112"/>
        <v>640.34999999999991</v>
      </c>
      <c r="V1421" s="22">
        <f t="shared" si="113"/>
        <v>0.31090233777583565</v>
      </c>
      <c r="X1421" s="33"/>
      <c r="Y1421" s="33"/>
    </row>
    <row r="1422" spans="1:25" x14ac:dyDescent="0.2">
      <c r="A1422" s="93" t="s">
        <v>624</v>
      </c>
      <c r="B1422" s="94">
        <f>IFERROR(VLOOKUP($A1422,HeadJournal!$A$1:$NTR$890,COLUMN(HeadJournal!B$1),0),"")</f>
        <v>0</v>
      </c>
      <c r="C1422" s="94" t="str">
        <f>IFERROR(VLOOKUP($A1422,HeadJournal!$A$1:$NTR$890,COLUMN(HeadJournal!C$1),0),"")</f>
        <v>OZON_AV</v>
      </c>
      <c r="D1422" s="125" t="str">
        <f>IFERROR(VLOOKUP($A1422,HeadJournal!$A$1:$NTR$890,COLUMN(HeadJournal!D$1),0),"")</f>
        <v>Доставлен</v>
      </c>
      <c r="E1422" s="95">
        <f>IFERROR(VLOOKUP($A1422,HeadJournal!$A$1:$NTR$890,COLUMN(HeadJournal!G$1),0),"")</f>
        <v>45031</v>
      </c>
      <c r="F1422" s="95" t="str">
        <f t="shared" si="114"/>
        <v>2023 04</v>
      </c>
      <c r="G1422" s="96" t="s">
        <v>6</v>
      </c>
      <c r="H1422" s="160" t="str">
        <f>RIGHT(Journal!$J1422,9)</f>
        <v>470925526</v>
      </c>
      <c r="I1422" s="96" t="str">
        <f t="shared" ref="I1422:I1485" si="116">IFERROR(LEFT(J1422,FIND(",",J1422)-1),"")</f>
        <v>Scitec Nutrition</v>
      </c>
      <c r="J1422" s="97" t="s">
        <v>627</v>
      </c>
      <c r="K1422" s="29">
        <v>1994</v>
      </c>
      <c r="L1422" s="29">
        <v>0</v>
      </c>
      <c r="M1422" s="30">
        <f>IFERROR(VLOOKUP($A1422,HeadJournal!$A$1:$J$890,COLUMN(HeadJournal!I$1),0)*($K1422+$L1422)/(SUMIF($A:$A,$A1422,$K:$K)+SUMIF($A:$A,$A1422,$L:$L)),0)</f>
        <v>0</v>
      </c>
      <c r="N1422" s="30">
        <f>IFERROR((VLOOKUP($A1422,HeadJournal!$A$1:$K$890,COLUMN(HeadJournal!K$1),0)-VLOOKUP($A1422,HeadJournal!$A$1:$K$890,COLUMN(HeadJournal!J$1),0))*($K1422+$L1422)/(SUMIF($A:$A,$A1422,$K:$K)+SUMIF($A:$A,$A1422,$L:$L)),0)</f>
        <v>0</v>
      </c>
      <c r="O1422" s="30">
        <f>IFERROR((VLOOKUP($A1422,HeadJournal!$A$1:$L$890,COLUMN(HeadJournal!L$1),0)*($K1422+$L1422)/(SUMIF($A:$A,$A1422,$K:$K)+SUMIF($A:$A,$A1422,$L:$L)))/VLOOKUP($A1422,HeadJournal!$A$1:$L$890,COLUMN(HeadJournal!H$1),0),0)</f>
        <v>299.09999999999997</v>
      </c>
      <c r="P1422" s="30">
        <f>IFERROR(SUM(K1422:O1422)*VLOOKUP($A1422,HeadJournal!$A$1:$L$890,COLUMN(HeadJournal!H$1),0),0)</f>
        <v>2293.1</v>
      </c>
      <c r="Q1422" s="29">
        <v>3000</v>
      </c>
      <c r="R1422" s="31">
        <v>45043</v>
      </c>
      <c r="S1422" s="31" t="s">
        <v>3121</v>
      </c>
      <c r="T1422" s="95" t="str">
        <f t="shared" si="115"/>
        <v>2023 04</v>
      </c>
      <c r="U1422" s="32">
        <f t="shared" si="112"/>
        <v>706.90000000000009</v>
      </c>
      <c r="V1422" s="22">
        <f t="shared" si="113"/>
        <v>0.30827264401901361</v>
      </c>
      <c r="X1422" s="33"/>
      <c r="Y1422" s="33"/>
    </row>
    <row r="1423" spans="1:25" x14ac:dyDescent="0.2">
      <c r="A1423" s="93" t="s">
        <v>624</v>
      </c>
      <c r="B1423" s="94">
        <f>IFERROR(VLOOKUP($A1423,HeadJournal!$A$1:$NTR$890,COLUMN(HeadJournal!B$1),0),"")</f>
        <v>0</v>
      </c>
      <c r="C1423" s="94" t="str">
        <f>IFERROR(VLOOKUP($A1423,HeadJournal!$A$1:$NTR$890,COLUMN(HeadJournal!C$1),0),"")</f>
        <v>OZON_AV</v>
      </c>
      <c r="D1423" s="125" t="str">
        <f>IFERROR(VLOOKUP($A1423,HeadJournal!$A$1:$NTR$890,COLUMN(HeadJournal!D$1),0),"")</f>
        <v>Доставлен</v>
      </c>
      <c r="E1423" s="95">
        <f>IFERROR(VLOOKUP($A1423,HeadJournal!$A$1:$NTR$890,COLUMN(HeadJournal!G$1),0),"")</f>
        <v>45031</v>
      </c>
      <c r="F1423" s="95" t="str">
        <f t="shared" si="114"/>
        <v>2023 04</v>
      </c>
      <c r="G1423" s="96" t="s">
        <v>6</v>
      </c>
      <c r="H1423" s="160" t="str">
        <f>RIGHT(Journal!$J1423,9)</f>
        <v>898166516</v>
      </c>
      <c r="I1423" s="96" t="str">
        <f t="shared" si="116"/>
        <v>Scitec Nutrition</v>
      </c>
      <c r="J1423" s="97" t="s">
        <v>628</v>
      </c>
      <c r="K1423" s="29">
        <v>4823</v>
      </c>
      <c r="L1423" s="29">
        <v>0</v>
      </c>
      <c r="M1423" s="30">
        <f>IFERROR(VLOOKUP($A1423,HeadJournal!$A$1:$J$890,COLUMN(HeadJournal!I$1),0)*($K1423+$L1423)/(SUMIF($A:$A,$A1423,$K:$K)+SUMIF($A:$A,$A1423,$L:$L)),0)</f>
        <v>0</v>
      </c>
      <c r="N1423" s="30">
        <f>IFERROR((VLOOKUP($A1423,HeadJournal!$A$1:$K$890,COLUMN(HeadJournal!K$1),0)-VLOOKUP($A1423,HeadJournal!$A$1:$K$890,COLUMN(HeadJournal!J$1),0))*($K1423+$L1423)/(SUMIF($A:$A,$A1423,$K:$K)+SUMIF($A:$A,$A1423,$L:$L)),0)</f>
        <v>0</v>
      </c>
      <c r="O1423" s="30">
        <f>IFERROR((VLOOKUP($A1423,HeadJournal!$A$1:$L$890,COLUMN(HeadJournal!L$1),0)*($K1423+$L1423)/(SUMIF($A:$A,$A1423,$K:$K)+SUMIF($A:$A,$A1423,$L:$L)))/VLOOKUP($A1423,HeadJournal!$A$1:$L$890,COLUMN(HeadJournal!H$1),0),0)</f>
        <v>723.44999999999993</v>
      </c>
      <c r="P1423" s="30">
        <f>IFERROR(SUM(K1423:O1423)*VLOOKUP($A1423,HeadJournal!$A$1:$L$890,COLUMN(HeadJournal!H$1),0),0)</f>
        <v>5546.45</v>
      </c>
      <c r="Q1423" s="29">
        <v>6200</v>
      </c>
      <c r="R1423" s="31">
        <v>45050</v>
      </c>
      <c r="S1423" s="31" t="s">
        <v>3121</v>
      </c>
      <c r="T1423" s="95" t="str">
        <f t="shared" si="115"/>
        <v>2023 05</v>
      </c>
      <c r="U1423" s="32">
        <f t="shared" si="112"/>
        <v>653.55000000000018</v>
      </c>
      <c r="V1423" s="22">
        <f t="shared" si="113"/>
        <v>0.11783212685591689</v>
      </c>
      <c r="X1423" s="33"/>
      <c r="Y1423" s="33"/>
    </row>
    <row r="1424" spans="1:25" x14ac:dyDescent="0.2">
      <c r="A1424" s="93" t="s">
        <v>629</v>
      </c>
      <c r="B1424" s="94">
        <f>IFERROR(VLOOKUP($A1424,HeadJournal!$A$1:$NTR$890,COLUMN(HeadJournal!B$1),0),"")</f>
        <v>0</v>
      </c>
      <c r="C1424" s="94" t="str">
        <f>IFERROR(VLOOKUP($A1424,HeadJournal!$A$1:$NTR$890,COLUMN(HeadJournal!C$1),0),"")</f>
        <v>WBRS</v>
      </c>
      <c r="D1424" s="125" t="str">
        <f>IFERROR(VLOOKUP($A1424,HeadJournal!$A$1:$NTR$890,COLUMN(HeadJournal!D$1),0),"")</f>
        <v>Доставлен</v>
      </c>
      <c r="E1424" s="95">
        <f>IFERROR(VLOOKUP($A1424,HeadJournal!$A$1:$NTR$890,COLUMN(HeadJournal!G$1),0),"")</f>
        <v>45031</v>
      </c>
      <c r="F1424" s="95" t="str">
        <f t="shared" si="114"/>
        <v>2023 04</v>
      </c>
      <c r="G1424" s="96" t="s">
        <v>6</v>
      </c>
      <c r="H1424" s="160" t="str">
        <f>RIGHT(Journal!$J1424,9)</f>
        <v>113181451</v>
      </c>
      <c r="I1424" s="96" t="str">
        <f t="shared" si="116"/>
        <v>Maxler</v>
      </c>
      <c r="J1424" s="97" t="s">
        <v>630</v>
      </c>
      <c r="K1424" s="29">
        <v>982</v>
      </c>
      <c r="L1424" s="29">
        <v>0</v>
      </c>
      <c r="M1424" s="30">
        <f>IFERROR(VLOOKUP($A1424,HeadJournal!$A$1:$J$890,COLUMN(HeadJournal!I$1),0)*($K1424+$L1424)/(SUMIF($A:$A,$A1424,$K:$K)+SUMIF($A:$A,$A1424,$L:$L)),0)</f>
        <v>0</v>
      </c>
      <c r="N1424" s="30">
        <f>IFERROR((VLOOKUP($A1424,HeadJournal!$A$1:$K$890,COLUMN(HeadJournal!K$1),0)-VLOOKUP($A1424,HeadJournal!$A$1:$K$890,COLUMN(HeadJournal!J$1),0))*($K1424+$L1424)/(SUMIF($A:$A,$A1424,$K:$K)+SUMIF($A:$A,$A1424,$L:$L)),0)</f>
        <v>0</v>
      </c>
      <c r="O1424" s="30">
        <f>IFERROR((VLOOKUP($A1424,HeadJournal!$A$1:$L$890,COLUMN(HeadJournal!L$1),0)*($K1424+$L1424)/(SUMIF($A:$A,$A1424,$K:$K)+SUMIF($A:$A,$A1424,$L:$L)))/VLOOKUP($A1424,HeadJournal!$A$1:$L$890,COLUMN(HeadJournal!H$1),0),0)</f>
        <v>147.29999999999998</v>
      </c>
      <c r="P1424" s="30">
        <f>IFERROR(SUM(K1424:O1424)*VLOOKUP($A1424,HeadJournal!$A$1:$L$890,COLUMN(HeadJournal!H$1),0),0)</f>
        <v>1129.3</v>
      </c>
      <c r="Q1424" s="29">
        <v>1600</v>
      </c>
      <c r="R1424" s="31">
        <v>45042</v>
      </c>
      <c r="S1424" s="31" t="s">
        <v>3121</v>
      </c>
      <c r="T1424" s="95" t="str">
        <f t="shared" si="115"/>
        <v>2023 04</v>
      </c>
      <c r="U1424" s="32">
        <f t="shared" si="112"/>
        <v>470.70000000000005</v>
      </c>
      <c r="V1424" s="22">
        <f t="shared" si="113"/>
        <v>0.4168068715133269</v>
      </c>
      <c r="X1424" s="33"/>
      <c r="Y1424" s="33"/>
    </row>
    <row r="1425" spans="1:25" x14ac:dyDescent="0.2">
      <c r="A1425" s="93" t="s">
        <v>629</v>
      </c>
      <c r="B1425" s="94">
        <f>IFERROR(VLOOKUP($A1425,HeadJournal!$A$1:$NTR$890,COLUMN(HeadJournal!B$1),0),"")</f>
        <v>0</v>
      </c>
      <c r="C1425" s="94" t="str">
        <f>IFERROR(VLOOKUP($A1425,HeadJournal!$A$1:$NTR$890,COLUMN(HeadJournal!C$1),0),"")</f>
        <v>WBRS</v>
      </c>
      <c r="D1425" s="125" t="str">
        <f>IFERROR(VLOOKUP($A1425,HeadJournal!$A$1:$NTR$890,COLUMN(HeadJournal!D$1),0),"")</f>
        <v>Доставлен</v>
      </c>
      <c r="E1425" s="95">
        <f>IFERROR(VLOOKUP($A1425,HeadJournal!$A$1:$NTR$890,COLUMN(HeadJournal!G$1),0),"")</f>
        <v>45031</v>
      </c>
      <c r="F1425" s="95" t="str">
        <f t="shared" si="114"/>
        <v>2023 04</v>
      </c>
      <c r="G1425" s="96" t="s">
        <v>6</v>
      </c>
      <c r="H1425" s="160" t="str">
        <f>RIGHT(Journal!$J1425,9)</f>
        <v>113181451</v>
      </c>
      <c r="I1425" s="96" t="str">
        <f t="shared" si="116"/>
        <v>Maxler</v>
      </c>
      <c r="J1425" s="97" t="s">
        <v>630</v>
      </c>
      <c r="K1425" s="29">
        <v>982</v>
      </c>
      <c r="L1425" s="29">
        <v>0</v>
      </c>
      <c r="M1425" s="30">
        <f>IFERROR(VLOOKUP($A1425,HeadJournal!$A$1:$J$890,COLUMN(HeadJournal!I$1),0)*($K1425+$L1425)/(SUMIF($A:$A,$A1425,$K:$K)+SUMIF($A:$A,$A1425,$L:$L)),0)</f>
        <v>0</v>
      </c>
      <c r="N1425" s="30">
        <f>IFERROR((VLOOKUP($A1425,HeadJournal!$A$1:$K$890,COLUMN(HeadJournal!K$1),0)-VLOOKUP($A1425,HeadJournal!$A$1:$K$890,COLUMN(HeadJournal!J$1),0))*($K1425+$L1425)/(SUMIF($A:$A,$A1425,$K:$K)+SUMIF($A:$A,$A1425,$L:$L)),0)</f>
        <v>0</v>
      </c>
      <c r="O1425" s="30">
        <f>IFERROR((VLOOKUP($A1425,HeadJournal!$A$1:$L$890,COLUMN(HeadJournal!L$1),0)*($K1425+$L1425)/(SUMIF($A:$A,$A1425,$K:$K)+SUMIF($A:$A,$A1425,$L:$L)))/VLOOKUP($A1425,HeadJournal!$A$1:$L$890,COLUMN(HeadJournal!H$1),0),0)</f>
        <v>147.29999999999998</v>
      </c>
      <c r="P1425" s="30">
        <f>IFERROR(SUM(K1425:O1425)*VLOOKUP($A1425,HeadJournal!$A$1:$L$890,COLUMN(HeadJournal!H$1),0),0)</f>
        <v>1129.3</v>
      </c>
      <c r="Q1425" s="29">
        <v>1700</v>
      </c>
      <c r="R1425" s="31">
        <v>45048</v>
      </c>
      <c r="S1425" s="31" t="s">
        <v>3121</v>
      </c>
      <c r="T1425" s="95" t="str">
        <f t="shared" si="115"/>
        <v>2023 05</v>
      </c>
      <c r="U1425" s="32">
        <f t="shared" si="112"/>
        <v>570.70000000000005</v>
      </c>
      <c r="V1425" s="22">
        <f t="shared" si="113"/>
        <v>0.50535730098290987</v>
      </c>
      <c r="X1425" s="33"/>
      <c r="Y1425" s="33"/>
    </row>
    <row r="1426" spans="1:25" x14ac:dyDescent="0.2">
      <c r="A1426" s="93" t="s">
        <v>629</v>
      </c>
      <c r="B1426" s="94">
        <f>IFERROR(VLOOKUP($A1426,HeadJournal!$A$1:$NTR$890,COLUMN(HeadJournal!B$1),0),"")</f>
        <v>0</v>
      </c>
      <c r="C1426" s="94" t="str">
        <f>IFERROR(VLOOKUP($A1426,HeadJournal!$A$1:$NTR$890,COLUMN(HeadJournal!C$1),0),"")</f>
        <v>WBRS</v>
      </c>
      <c r="D1426" s="125" t="str">
        <f>IFERROR(VLOOKUP($A1426,HeadJournal!$A$1:$NTR$890,COLUMN(HeadJournal!D$1),0),"")</f>
        <v>Доставлен</v>
      </c>
      <c r="E1426" s="95">
        <f>IFERROR(VLOOKUP($A1426,HeadJournal!$A$1:$NTR$890,COLUMN(HeadJournal!G$1),0),"")</f>
        <v>45031</v>
      </c>
      <c r="F1426" s="95" t="str">
        <f t="shared" si="114"/>
        <v>2023 04</v>
      </c>
      <c r="G1426" s="96" t="s">
        <v>6</v>
      </c>
      <c r="H1426" s="160" t="str">
        <f>RIGHT(Journal!$J1426,9)</f>
        <v>113181451</v>
      </c>
      <c r="I1426" s="96" t="str">
        <f t="shared" si="116"/>
        <v>Maxler</v>
      </c>
      <c r="J1426" s="97" t="s">
        <v>630</v>
      </c>
      <c r="K1426" s="29">
        <v>982</v>
      </c>
      <c r="L1426" s="29">
        <v>0</v>
      </c>
      <c r="M1426" s="30">
        <f>IFERROR(VLOOKUP($A1426,HeadJournal!$A$1:$J$890,COLUMN(HeadJournal!I$1),0)*($K1426+$L1426)/(SUMIF($A:$A,$A1426,$K:$K)+SUMIF($A:$A,$A1426,$L:$L)),0)</f>
        <v>0</v>
      </c>
      <c r="N1426" s="30">
        <f>IFERROR((VLOOKUP($A1426,HeadJournal!$A$1:$K$890,COLUMN(HeadJournal!K$1),0)-VLOOKUP($A1426,HeadJournal!$A$1:$K$890,COLUMN(HeadJournal!J$1),0))*($K1426+$L1426)/(SUMIF($A:$A,$A1426,$K:$K)+SUMIF($A:$A,$A1426,$L:$L)),0)</f>
        <v>0</v>
      </c>
      <c r="O1426" s="30">
        <f>IFERROR((VLOOKUP($A1426,HeadJournal!$A$1:$L$890,COLUMN(HeadJournal!L$1),0)*($K1426+$L1426)/(SUMIF($A:$A,$A1426,$K:$K)+SUMIF($A:$A,$A1426,$L:$L)))/VLOOKUP($A1426,HeadJournal!$A$1:$L$890,COLUMN(HeadJournal!H$1),0),0)</f>
        <v>147.29999999999998</v>
      </c>
      <c r="P1426" s="30">
        <f>IFERROR(SUM(K1426:O1426)*VLOOKUP($A1426,HeadJournal!$A$1:$L$890,COLUMN(HeadJournal!H$1),0),0)</f>
        <v>1129.3</v>
      </c>
      <c r="Q1426" s="29">
        <v>1700</v>
      </c>
      <c r="R1426" s="31">
        <v>45048</v>
      </c>
      <c r="S1426" s="31" t="s">
        <v>3121</v>
      </c>
      <c r="T1426" s="95" t="str">
        <f t="shared" si="115"/>
        <v>2023 05</v>
      </c>
      <c r="U1426" s="32">
        <f t="shared" si="112"/>
        <v>570.70000000000005</v>
      </c>
      <c r="V1426" s="22">
        <f t="shared" si="113"/>
        <v>0.50535730098290987</v>
      </c>
      <c r="X1426" s="33"/>
      <c r="Y1426" s="33"/>
    </row>
    <row r="1427" spans="1:25" x14ac:dyDescent="0.2">
      <c r="A1427" s="93" t="s">
        <v>631</v>
      </c>
      <c r="B1427" s="94" t="str">
        <f>IFERROR(VLOOKUP($A1427,HeadJournal!$A$1:$NTR$890,COLUMN(HeadJournal!B$1),0),"")</f>
        <v>710000741061</v>
      </c>
      <c r="C1427" s="94" t="str">
        <f>IFERROR(VLOOKUP($A1427,HeadJournal!$A$1:$NTR$890,COLUMN(HeadJournal!C$1),0),"")</f>
        <v>iHerb_AV CYG0792</v>
      </c>
      <c r="D1427" s="125" t="str">
        <f>IFERROR(VLOOKUP($A1427,HeadJournal!$A$1:$NTR$890,COLUMN(HeadJournal!D$1),0),"")</f>
        <v>Доставлен</v>
      </c>
      <c r="E1427" s="95">
        <f>IFERROR(VLOOKUP($A1427,HeadJournal!$A$1:$NTR$890,COLUMN(HeadJournal!G$1),0),"")</f>
        <v>45031</v>
      </c>
      <c r="F1427" s="95" t="str">
        <f t="shared" si="114"/>
        <v>2023 04</v>
      </c>
      <c r="G1427" s="96" t="s">
        <v>6</v>
      </c>
      <c r="H1427" s="160" t="str">
        <f>RIGHT(Journal!$J1427,9)</f>
        <v>VPB-54130</v>
      </c>
      <c r="I1427" s="96" t="str">
        <f t="shared" si="116"/>
        <v>Vplab</v>
      </c>
      <c r="J1427" s="97" t="s">
        <v>275</v>
      </c>
      <c r="K1427" s="29">
        <v>15.02</v>
      </c>
      <c r="L1427" s="29">
        <v>-3.0049999999999999</v>
      </c>
      <c r="M1427" s="30">
        <f>IFERROR(VLOOKUP($A1427,HeadJournal!$A$1:$J$890,COLUMN(HeadJournal!I$1),0)*($K1427+$L1427)/(SUMIF($A:$A,$A1427,$K:$K)+SUMIF($A:$A,$A1427,$L:$L)),0)</f>
        <v>0.92787794483248509</v>
      </c>
      <c r="N1427" s="30">
        <f>IFERROR((VLOOKUP($A1427,HeadJournal!$A$1:$K$890,COLUMN(HeadJournal!K$1),0)-VLOOKUP($A1427,HeadJournal!$A$1:$K$890,COLUMN(HeadJournal!J$1),0))*($K1427+$L1427)/(SUMIF($A:$A,$A1427,$K:$K)+SUMIF($A:$A,$A1427,$L:$L)),0)</f>
        <v>2.6951330950341674E-15</v>
      </c>
      <c r="O1427" s="30">
        <f>IFERROR((VLOOKUP($A1427,HeadJournal!$A$1:$L$890,COLUMN(HeadJournal!L$1),0)*($K1427+$L1427)/(SUMIF($A:$A,$A1427,$K:$K)+SUMIF($A:$A,$A1427,$L:$L)))/VLOOKUP($A1427,HeadJournal!$A$1:$L$890,COLUMN(HeadJournal!H$1),0),0)</f>
        <v>0.81262205584446467</v>
      </c>
      <c r="P1427" s="30">
        <f>IFERROR(SUM(K1427:O1427)*VLOOKUP($A1427,HeadJournal!$A$1:$L$890,COLUMN(HeadJournal!H$1),0),0)</f>
        <v>1246.0962226234169</v>
      </c>
      <c r="Q1427" s="29">
        <v>2400</v>
      </c>
      <c r="R1427" s="31">
        <v>45158</v>
      </c>
      <c r="S1427" s="31" t="s">
        <v>3121</v>
      </c>
      <c r="T1427" s="95" t="str">
        <f t="shared" si="115"/>
        <v>2023 08</v>
      </c>
      <c r="U1427" s="32">
        <f t="shared" si="112"/>
        <v>1153.9037773765831</v>
      </c>
      <c r="V1427" s="22">
        <f t="shared" si="113"/>
        <v>0.9260149869865264</v>
      </c>
      <c r="X1427" s="33"/>
      <c r="Y1427" s="33"/>
    </row>
    <row r="1428" spans="1:25" x14ac:dyDescent="0.2">
      <c r="A1428" s="93" t="s">
        <v>631</v>
      </c>
      <c r="B1428" s="94" t="str">
        <f>IFERROR(VLOOKUP($A1428,HeadJournal!$A$1:$NTR$890,COLUMN(HeadJournal!B$1),0),"")</f>
        <v>710000741061</v>
      </c>
      <c r="C1428" s="94" t="str">
        <f>IFERROR(VLOOKUP($A1428,HeadJournal!$A$1:$NTR$890,COLUMN(HeadJournal!C$1),0),"")</f>
        <v>iHerb_AV CYG0792</v>
      </c>
      <c r="D1428" s="125" t="str">
        <f>IFERROR(VLOOKUP($A1428,HeadJournal!$A$1:$NTR$890,COLUMN(HeadJournal!D$1),0),"")</f>
        <v>Доставлен</v>
      </c>
      <c r="E1428" s="95">
        <f>IFERROR(VLOOKUP($A1428,HeadJournal!$A$1:$NTR$890,COLUMN(HeadJournal!G$1),0),"")</f>
        <v>45031</v>
      </c>
      <c r="F1428" s="95" t="str">
        <f t="shared" si="114"/>
        <v>2023 04</v>
      </c>
      <c r="G1428" s="96" t="s">
        <v>6</v>
      </c>
      <c r="H1428" s="160" t="str">
        <f>RIGHT(Journal!$J1428,9)</f>
        <v>VPB-54130</v>
      </c>
      <c r="I1428" s="96" t="str">
        <f t="shared" si="116"/>
        <v>Vplab</v>
      </c>
      <c r="J1428" s="97" t="s">
        <v>275</v>
      </c>
      <c r="K1428" s="29">
        <v>15.02</v>
      </c>
      <c r="L1428" s="29">
        <v>-3.0049999999999999</v>
      </c>
      <c r="M1428" s="30">
        <f>IFERROR(VLOOKUP($A1428,HeadJournal!$A$1:$J$890,COLUMN(HeadJournal!I$1),0)*($K1428+$L1428)/(SUMIF($A:$A,$A1428,$K:$K)+SUMIF($A:$A,$A1428,$L:$L)),0)</f>
        <v>0.92787794483248509</v>
      </c>
      <c r="N1428" s="30">
        <f>IFERROR((VLOOKUP($A1428,HeadJournal!$A$1:$K$890,COLUMN(HeadJournal!K$1),0)-VLOOKUP($A1428,HeadJournal!$A$1:$K$890,COLUMN(HeadJournal!J$1),0))*($K1428+$L1428)/(SUMIF($A:$A,$A1428,$K:$K)+SUMIF($A:$A,$A1428,$L:$L)),0)</f>
        <v>2.6951330950341674E-15</v>
      </c>
      <c r="O1428" s="30">
        <f>IFERROR((VLOOKUP($A1428,HeadJournal!$A$1:$L$890,COLUMN(HeadJournal!L$1),0)*($K1428+$L1428)/(SUMIF($A:$A,$A1428,$K:$K)+SUMIF($A:$A,$A1428,$L:$L)))/VLOOKUP($A1428,HeadJournal!$A$1:$L$890,COLUMN(HeadJournal!H$1),0),0)</f>
        <v>0.81262205584446467</v>
      </c>
      <c r="P1428" s="30">
        <f>IFERROR(SUM(K1428:O1428)*VLOOKUP($A1428,HeadJournal!$A$1:$L$890,COLUMN(HeadJournal!H$1),0),0)</f>
        <v>1246.0962226234169</v>
      </c>
      <c r="Q1428" s="29">
        <v>2400</v>
      </c>
      <c r="R1428" s="31">
        <v>45175</v>
      </c>
      <c r="S1428" s="31" t="s">
        <v>3121</v>
      </c>
      <c r="T1428" s="95" t="str">
        <f t="shared" si="115"/>
        <v>2023 09</v>
      </c>
      <c r="U1428" s="32">
        <f t="shared" si="112"/>
        <v>1153.9037773765831</v>
      </c>
      <c r="V1428" s="22">
        <f t="shared" si="113"/>
        <v>0.9260149869865264</v>
      </c>
      <c r="X1428" s="33"/>
      <c r="Y1428" s="33"/>
    </row>
    <row r="1429" spans="1:25" x14ac:dyDescent="0.2">
      <c r="A1429" s="93" t="s">
        <v>631</v>
      </c>
      <c r="B1429" s="94" t="str">
        <f>IFERROR(VLOOKUP($A1429,HeadJournal!$A$1:$NTR$890,COLUMN(HeadJournal!B$1),0),"")</f>
        <v>710000741061</v>
      </c>
      <c r="C1429" s="94" t="str">
        <f>IFERROR(VLOOKUP($A1429,HeadJournal!$A$1:$NTR$890,COLUMN(HeadJournal!C$1),0),"")</f>
        <v>iHerb_AV CYG0792</v>
      </c>
      <c r="D1429" s="125" t="str">
        <f>IFERROR(VLOOKUP($A1429,HeadJournal!$A$1:$NTR$890,COLUMN(HeadJournal!D$1),0),"")</f>
        <v>Доставлен</v>
      </c>
      <c r="E1429" s="95">
        <f>IFERROR(VLOOKUP($A1429,HeadJournal!$A$1:$NTR$890,COLUMN(HeadJournal!G$1),0),"")</f>
        <v>45031</v>
      </c>
      <c r="F1429" s="95" t="str">
        <f t="shared" si="114"/>
        <v>2023 04</v>
      </c>
      <c r="G1429" s="96" t="s">
        <v>5</v>
      </c>
      <c r="H1429" s="161" t="s">
        <v>2051</v>
      </c>
      <c r="I1429" s="97" t="s">
        <v>2052</v>
      </c>
      <c r="J1429" s="97" t="s">
        <v>3097</v>
      </c>
      <c r="K1429" s="29">
        <v>17</v>
      </c>
      <c r="L1429" s="29">
        <v>-5.1000000000000005</v>
      </c>
      <c r="M1429" s="30">
        <f>IFERROR(VLOOKUP($A1429,HeadJournal!$A$1:$J$890,COLUMN(HeadJournal!I$1),0)*($K1429+$L1429)/(SUMIF($A:$A,$A1429,$K:$K)+SUMIF($A:$A,$A1429,$L:$L)),0)</f>
        <v>0.91899688252239453</v>
      </c>
      <c r="N1429" s="30">
        <f>IFERROR((VLOOKUP($A1429,HeadJournal!$A$1:$K$890,COLUMN(HeadJournal!K$1),0)-VLOOKUP($A1429,HeadJournal!$A$1:$K$890,COLUMN(HeadJournal!J$1),0))*($K1429+$L1429)/(SUMIF($A:$A,$A1429,$K:$K)+SUMIF($A:$A,$A1429,$L:$L)),0)</f>
        <v>2.6693369813488629E-15</v>
      </c>
      <c r="O1429" s="30">
        <f>IFERROR((VLOOKUP($A1429,HeadJournal!$A$1:$L$890,COLUMN(HeadJournal!L$1),0)*($K1429+$L1429)/(SUMIF($A:$A,$A1429,$K:$K)+SUMIF($A:$A,$A1429,$L:$L)))/VLOOKUP($A1429,HeadJournal!$A$1:$L$890,COLUMN(HeadJournal!H$1),0),0)</f>
        <v>0.80484415019135469</v>
      </c>
      <c r="P1429" s="30">
        <f>IFERROR(SUM(K1429:O1429)*VLOOKUP($A1429,HeadJournal!$A$1:$L$890,COLUMN(HeadJournal!H$1),0),0)</f>
        <v>1234.1693757152443</v>
      </c>
      <c r="Q1429" s="29">
        <v>2300</v>
      </c>
      <c r="R1429" s="31">
        <v>45319</v>
      </c>
      <c r="S1429" s="31" t="s">
        <v>3121</v>
      </c>
      <c r="T1429" s="95" t="str">
        <f t="shared" si="115"/>
        <v>2024 01</v>
      </c>
      <c r="U1429" s="32">
        <f t="shared" si="112"/>
        <v>1065.8306242847557</v>
      </c>
      <c r="V1429" s="22">
        <f t="shared" si="113"/>
        <v>0.86360158115823416</v>
      </c>
      <c r="X1429" s="33"/>
      <c r="Y1429" s="33"/>
    </row>
    <row r="1430" spans="1:25" x14ac:dyDescent="0.2">
      <c r="A1430" s="93" t="s">
        <v>631</v>
      </c>
      <c r="B1430" s="94" t="str">
        <f>IFERROR(VLOOKUP($A1430,HeadJournal!$A$1:$NTR$890,COLUMN(HeadJournal!B$1),0),"")</f>
        <v>710000741061</v>
      </c>
      <c r="C1430" s="94" t="str">
        <f>IFERROR(VLOOKUP($A1430,HeadJournal!$A$1:$NTR$890,COLUMN(HeadJournal!C$1),0),"")</f>
        <v>iHerb_AV CYG0792</v>
      </c>
      <c r="D1430" s="125" t="str">
        <f>IFERROR(VLOOKUP($A1430,HeadJournal!$A$1:$NTR$890,COLUMN(HeadJournal!D$1),0),"")</f>
        <v>Доставлен</v>
      </c>
      <c r="E1430" s="95">
        <f>IFERROR(VLOOKUP($A1430,HeadJournal!$A$1:$NTR$890,COLUMN(HeadJournal!G$1),0),"")</f>
        <v>45031</v>
      </c>
      <c r="F1430" s="95" t="str">
        <f t="shared" si="114"/>
        <v>2023 04</v>
      </c>
      <c r="G1430" s="96" t="s">
        <v>5</v>
      </c>
      <c r="H1430" s="161" t="s">
        <v>2051</v>
      </c>
      <c r="I1430" s="97" t="s">
        <v>2052</v>
      </c>
      <c r="J1430" s="97" t="s">
        <v>3097</v>
      </c>
      <c r="K1430" s="29">
        <v>17</v>
      </c>
      <c r="L1430" s="29">
        <v>-5.1000000000000005</v>
      </c>
      <c r="M1430" s="30">
        <f>IFERROR(VLOOKUP($A1430,HeadJournal!$A$1:$J$890,COLUMN(HeadJournal!I$1),0)*($K1430+$L1430)/(SUMIF($A:$A,$A1430,$K:$K)+SUMIF($A:$A,$A1430,$L:$L)),0)</f>
        <v>0.91899688252239453</v>
      </c>
      <c r="N1430" s="30">
        <f>IFERROR((VLOOKUP($A1430,HeadJournal!$A$1:$K$890,COLUMN(HeadJournal!K$1),0)-VLOOKUP($A1430,HeadJournal!$A$1:$K$890,COLUMN(HeadJournal!J$1),0))*($K1430+$L1430)/(SUMIF($A:$A,$A1430,$K:$K)+SUMIF($A:$A,$A1430,$L:$L)),0)</f>
        <v>2.6693369813488629E-15</v>
      </c>
      <c r="O1430" s="30">
        <f>IFERROR((VLOOKUP($A1430,HeadJournal!$A$1:$L$890,COLUMN(HeadJournal!L$1),0)*($K1430+$L1430)/(SUMIF($A:$A,$A1430,$K:$K)+SUMIF($A:$A,$A1430,$L:$L)))/VLOOKUP($A1430,HeadJournal!$A$1:$L$890,COLUMN(HeadJournal!H$1),0),0)</f>
        <v>0.80484415019135469</v>
      </c>
      <c r="P1430" s="30">
        <f>IFERROR(SUM(K1430:O1430)*VLOOKUP($A1430,HeadJournal!$A$1:$L$890,COLUMN(HeadJournal!H$1),0),0)</f>
        <v>1234.1693757152443</v>
      </c>
      <c r="Q1430" s="29">
        <v>2300</v>
      </c>
      <c r="R1430" s="31">
        <v>45319</v>
      </c>
      <c r="S1430" s="31" t="s">
        <v>3121</v>
      </c>
      <c r="T1430" s="95" t="str">
        <f t="shared" si="115"/>
        <v>2024 01</v>
      </c>
      <c r="U1430" s="32">
        <f t="shared" si="112"/>
        <v>1065.8306242847557</v>
      </c>
      <c r="V1430" s="22">
        <f t="shared" si="113"/>
        <v>0.86360158115823416</v>
      </c>
      <c r="X1430" s="33"/>
      <c r="Y1430" s="33"/>
    </row>
    <row r="1431" spans="1:25" x14ac:dyDescent="0.2">
      <c r="A1431" s="93" t="s">
        <v>631</v>
      </c>
      <c r="B1431" s="94" t="str">
        <f>IFERROR(VLOOKUP($A1431,HeadJournal!$A$1:$NTR$890,COLUMN(HeadJournal!B$1),0),"")</f>
        <v>710000741061</v>
      </c>
      <c r="C1431" s="94" t="str">
        <f>IFERROR(VLOOKUP($A1431,HeadJournal!$A$1:$NTR$890,COLUMN(HeadJournal!C$1),0),"")</f>
        <v>iHerb_AV CYG0792</v>
      </c>
      <c r="D1431" s="125" t="str">
        <f>IFERROR(VLOOKUP($A1431,HeadJournal!$A$1:$NTR$890,COLUMN(HeadJournal!D$1),0),"")</f>
        <v>Доставлен</v>
      </c>
      <c r="E1431" s="95">
        <f>IFERROR(VLOOKUP($A1431,HeadJournal!$A$1:$NTR$890,COLUMN(HeadJournal!G$1),0),"")</f>
        <v>45031</v>
      </c>
      <c r="F1431" s="95" t="str">
        <f t="shared" si="114"/>
        <v>2023 04</v>
      </c>
      <c r="G1431" s="96" t="s">
        <v>5</v>
      </c>
      <c r="H1431" s="161" t="s">
        <v>2051</v>
      </c>
      <c r="I1431" s="97" t="s">
        <v>2052</v>
      </c>
      <c r="J1431" s="97" t="s">
        <v>3097</v>
      </c>
      <c r="K1431" s="29">
        <v>17</v>
      </c>
      <c r="L1431" s="29">
        <v>-5.1000000000000005</v>
      </c>
      <c r="M1431" s="30">
        <f>IFERROR(VLOOKUP($A1431,HeadJournal!$A$1:$J$890,COLUMN(HeadJournal!I$1),0)*($K1431+$L1431)/(SUMIF($A:$A,$A1431,$K:$K)+SUMIF($A:$A,$A1431,$L:$L)),0)</f>
        <v>0.91899688252239453</v>
      </c>
      <c r="N1431" s="30">
        <f>IFERROR((VLOOKUP($A1431,HeadJournal!$A$1:$K$890,COLUMN(HeadJournal!K$1),0)-VLOOKUP($A1431,HeadJournal!$A$1:$K$890,COLUMN(HeadJournal!J$1),0))*($K1431+$L1431)/(SUMIF($A:$A,$A1431,$K:$K)+SUMIF($A:$A,$A1431,$L:$L)),0)</f>
        <v>2.6693369813488629E-15</v>
      </c>
      <c r="O1431" s="30">
        <f>IFERROR((VLOOKUP($A1431,HeadJournal!$A$1:$L$890,COLUMN(HeadJournal!L$1),0)*($K1431+$L1431)/(SUMIF($A:$A,$A1431,$K:$K)+SUMIF($A:$A,$A1431,$L:$L)))/VLOOKUP($A1431,HeadJournal!$A$1:$L$890,COLUMN(HeadJournal!H$1),0),0)</f>
        <v>0.80484415019135469</v>
      </c>
      <c r="P1431" s="30">
        <f>IFERROR(SUM(K1431:O1431)*VLOOKUP($A1431,HeadJournal!$A$1:$L$890,COLUMN(HeadJournal!H$1),0),0)</f>
        <v>1234.1693757152443</v>
      </c>
      <c r="Q1431" s="29">
        <v>2300</v>
      </c>
      <c r="R1431" s="31">
        <v>45334</v>
      </c>
      <c r="S1431" s="31" t="s">
        <v>3121</v>
      </c>
      <c r="T1431" s="95" t="str">
        <f t="shared" si="115"/>
        <v>2024 02</v>
      </c>
      <c r="U1431" s="32">
        <f t="shared" si="112"/>
        <v>1065.8306242847557</v>
      </c>
      <c r="V1431" s="22">
        <f t="shared" si="113"/>
        <v>0.86360158115823416</v>
      </c>
      <c r="X1431" s="33"/>
      <c r="Y1431" s="33"/>
    </row>
    <row r="1432" spans="1:25" x14ac:dyDescent="0.2">
      <c r="A1432" s="93" t="s">
        <v>631</v>
      </c>
      <c r="B1432" s="94" t="str">
        <f>IFERROR(VLOOKUP($A1432,HeadJournal!$A$1:$NTR$890,COLUMN(HeadJournal!B$1),0),"")</f>
        <v>710000741061</v>
      </c>
      <c r="C1432" s="94" t="str">
        <f>IFERROR(VLOOKUP($A1432,HeadJournal!$A$1:$NTR$890,COLUMN(HeadJournal!C$1),0),"")</f>
        <v>iHerb_AV CYG0792</v>
      </c>
      <c r="D1432" s="125" t="str">
        <f>IFERROR(VLOOKUP($A1432,HeadJournal!$A$1:$NTR$890,COLUMN(HeadJournal!D$1),0),"")</f>
        <v>Доставлен</v>
      </c>
      <c r="E1432" s="95">
        <f>IFERROR(VLOOKUP($A1432,HeadJournal!$A$1:$NTR$890,COLUMN(HeadJournal!G$1),0),"")</f>
        <v>45031</v>
      </c>
      <c r="F1432" s="95" t="str">
        <f t="shared" si="114"/>
        <v>2023 04</v>
      </c>
      <c r="G1432" s="96" t="s">
        <v>5</v>
      </c>
      <c r="H1432" s="160" t="str">
        <f>RIGHT(Journal!$J1432,9)</f>
        <v>SPN-00215</v>
      </c>
      <c r="I1432" s="96" t="str">
        <f t="shared" si="116"/>
        <v>Super Nutrition</v>
      </c>
      <c r="J1432" s="97" t="s">
        <v>164</v>
      </c>
      <c r="K1432" s="29">
        <v>19.28</v>
      </c>
      <c r="L1432" s="29">
        <v>-5.78</v>
      </c>
      <c r="M1432" s="30">
        <f>IFERROR(VLOOKUP($A1432,HeadJournal!$A$1:$J$890,COLUMN(HeadJournal!I$1),0)*($K1432+$L1432)/(SUMIF($A:$A,$A1432,$K:$K)+SUMIF($A:$A,$A1432,$L:$L)),0)</f>
        <v>1.0425594885758258</v>
      </c>
      <c r="N1432" s="30">
        <f>IFERROR((VLOOKUP($A1432,HeadJournal!$A$1:$K$890,COLUMN(HeadJournal!K$1),0)-VLOOKUP($A1432,HeadJournal!$A$1:$K$890,COLUMN(HeadJournal!J$1),0))*($K1432+$L1432)/(SUMIF($A:$A,$A1432,$K:$K)+SUMIF($A:$A,$A1432,$L:$L)),0)</f>
        <v>3.0282394326226602E-15</v>
      </c>
      <c r="O1432" s="30">
        <f>IFERROR((VLOOKUP($A1432,HeadJournal!$A$1:$L$890,COLUMN(HeadJournal!L$1),0)*($K1432+$L1432)/(SUMIF($A:$A,$A1432,$K:$K)+SUMIF($A:$A,$A1432,$L:$L)))/VLOOKUP($A1432,HeadJournal!$A$1:$L$890,COLUMN(HeadJournal!H$1),0),0)</f>
        <v>0.91305848971288162</v>
      </c>
      <c r="P1432" s="30">
        <f>IFERROR(SUM(K1432:O1432)*VLOOKUP($A1432,HeadJournal!$A$1:$L$890,COLUMN(HeadJournal!H$1),0),0)</f>
        <v>1400.10811530721</v>
      </c>
      <c r="Q1432" s="29">
        <v>2500</v>
      </c>
      <c r="R1432" s="31">
        <v>45173</v>
      </c>
      <c r="S1432" s="31" t="s">
        <v>3121</v>
      </c>
      <c r="T1432" s="95" t="str">
        <f t="shared" si="115"/>
        <v>2023 09</v>
      </c>
      <c r="U1432" s="32">
        <f t="shared" si="112"/>
        <v>1099.89188469279</v>
      </c>
      <c r="V1432" s="22">
        <f t="shared" si="113"/>
        <v>0.78557639418542546</v>
      </c>
      <c r="X1432" s="33"/>
      <c r="Y1432" s="33"/>
    </row>
    <row r="1433" spans="1:25" x14ac:dyDescent="0.2">
      <c r="A1433" s="93" t="s">
        <v>631</v>
      </c>
      <c r="B1433" s="94" t="str">
        <f>IFERROR(VLOOKUP($A1433,HeadJournal!$A$1:$NTR$890,COLUMN(HeadJournal!B$1),0),"")</f>
        <v>710000741061</v>
      </c>
      <c r="C1433" s="94" t="str">
        <f>IFERROR(VLOOKUP($A1433,HeadJournal!$A$1:$NTR$890,COLUMN(HeadJournal!C$1),0),"")</f>
        <v>iHerb_AV CYG0792</v>
      </c>
      <c r="D1433" s="125" t="str">
        <f>IFERROR(VLOOKUP($A1433,HeadJournal!$A$1:$NTR$890,COLUMN(HeadJournal!D$1),0),"")</f>
        <v>Доставлен</v>
      </c>
      <c r="E1433" s="95">
        <f>IFERROR(VLOOKUP($A1433,HeadJournal!$A$1:$NTR$890,COLUMN(HeadJournal!G$1),0),"")</f>
        <v>45031</v>
      </c>
      <c r="F1433" s="95" t="str">
        <f t="shared" si="114"/>
        <v>2023 04</v>
      </c>
      <c r="G1433" s="96" t="s">
        <v>7</v>
      </c>
      <c r="H1433" s="175" t="s">
        <v>3624</v>
      </c>
      <c r="I1433" s="176" t="s">
        <v>3029</v>
      </c>
      <c r="J1433" s="97" t="s">
        <v>3666</v>
      </c>
      <c r="K1433" s="29">
        <v>11.76</v>
      </c>
      <c r="L1433" s="29">
        <v>-2.35</v>
      </c>
      <c r="M1433" s="30">
        <f>IFERROR(VLOOKUP($A1433,HeadJournal!$A$1:$J$890,COLUMN(HeadJournal!I$1),0)*($K1433+$L1433)/(SUMIF($A:$A,$A1433,$K:$K)+SUMIF($A:$A,$A1433,$L:$L)),0)</f>
        <v>0.72670257685174233</v>
      </c>
      <c r="N1433" s="30">
        <f>IFERROR((VLOOKUP($A1433,HeadJournal!$A$1:$K$890,COLUMN(HeadJournal!K$1),0)-VLOOKUP($A1433,HeadJournal!$A$1:$K$890,COLUMN(HeadJournal!J$1),0))*($K1433+$L1433)/(SUMIF($A:$A,$A1433,$K:$K)+SUMIF($A:$A,$A1433,$L:$L)),0)</f>
        <v>2.1107950415540173E-15</v>
      </c>
      <c r="O1433" s="30">
        <f>IFERROR((VLOOKUP($A1433,HeadJournal!$A$1:$L$890,COLUMN(HeadJournal!L$1),0)*($K1433+$L1433)/(SUMIF($A:$A,$A1433,$K:$K)+SUMIF($A:$A,$A1433,$L:$L)))/VLOOKUP($A1433,HeadJournal!$A$1:$L$890,COLUMN(HeadJournal!H$1),0),0)</f>
        <v>0.63643558431097891</v>
      </c>
      <c r="P1433" s="30">
        <f>IFERROR(SUM(K1433:O1433)*VLOOKUP($A1433,HeadJournal!$A$1:$L$890,COLUMN(HeadJournal!H$1),0),0)</f>
        <v>975.9272122252479</v>
      </c>
      <c r="Q1433" s="29">
        <v>1900</v>
      </c>
      <c r="R1433" s="31">
        <v>45231</v>
      </c>
      <c r="S1433" s="31" t="s">
        <v>3121</v>
      </c>
      <c r="T1433" s="95" t="str">
        <f t="shared" si="115"/>
        <v>2023 11</v>
      </c>
      <c r="U1433" s="32">
        <f t="shared" si="112"/>
        <v>924.0727877747521</v>
      </c>
      <c r="V1433" s="22">
        <f t="shared" si="113"/>
        <v>0.94686650418092078</v>
      </c>
      <c r="X1433" s="33"/>
      <c r="Y1433" s="33"/>
    </row>
    <row r="1434" spans="1:25" x14ac:dyDescent="0.2">
      <c r="A1434" s="93" t="s">
        <v>631</v>
      </c>
      <c r="B1434" s="94" t="str">
        <f>IFERROR(VLOOKUP($A1434,HeadJournal!$A$1:$NTR$890,COLUMN(HeadJournal!B$1),0),"")</f>
        <v>710000741061</v>
      </c>
      <c r="C1434" s="94" t="str">
        <f>IFERROR(VLOOKUP($A1434,HeadJournal!$A$1:$NTR$890,COLUMN(HeadJournal!C$1),0),"")</f>
        <v>iHerb_AV CYG0792</v>
      </c>
      <c r="D1434" s="125" t="str">
        <f>IFERROR(VLOOKUP($A1434,HeadJournal!$A$1:$NTR$890,COLUMN(HeadJournal!D$1),0),"")</f>
        <v>Доставлен</v>
      </c>
      <c r="E1434" s="95">
        <f>IFERROR(VLOOKUP($A1434,HeadJournal!$A$1:$NTR$890,COLUMN(HeadJournal!G$1),0),"")</f>
        <v>45031</v>
      </c>
      <c r="F1434" s="95" t="str">
        <f t="shared" si="114"/>
        <v>2023 04</v>
      </c>
      <c r="G1434" s="96" t="s">
        <v>5</v>
      </c>
      <c r="H1434" s="161" t="s">
        <v>2808</v>
      </c>
      <c r="I1434" s="97" t="s">
        <v>2005</v>
      </c>
      <c r="J1434" s="97" t="s">
        <v>2809</v>
      </c>
      <c r="K1434" s="29">
        <v>18.579999999999998</v>
      </c>
      <c r="L1434" s="29">
        <v>-3.72</v>
      </c>
      <c r="M1434" s="30">
        <f>IFERROR(VLOOKUP($A1434,HeadJournal!$A$1:$J$890,COLUMN(HeadJournal!I$1),0)*($K1434+$L1434)/(SUMIF($A:$A,$A1434,$K:$K)+SUMIF($A:$A,$A1434,$L:$L)),0)</f>
        <v>1.1475877037212423</v>
      </c>
      <c r="N1434" s="30">
        <f>IFERROR((VLOOKUP($A1434,HeadJournal!$A$1:$K$890,COLUMN(HeadJournal!K$1),0)-VLOOKUP($A1434,HeadJournal!$A$1:$K$890,COLUMN(HeadJournal!J$1),0))*($K1434+$L1434)/(SUMIF($A:$A,$A1434,$K:$K)+SUMIF($A:$A,$A1434,$L:$L)),0)</f>
        <v>3.3333065162053869E-15</v>
      </c>
      <c r="O1434" s="30">
        <f>IFERROR((VLOOKUP($A1434,HeadJournal!$A$1:$L$890,COLUMN(HeadJournal!L$1),0)*($K1434+$L1434)/(SUMIF($A:$A,$A1434,$K:$K)+SUMIF($A:$A,$A1434,$L:$L)))/VLOOKUP($A1434,HeadJournal!$A$1:$L$890,COLUMN(HeadJournal!H$1),0),0)</f>
        <v>1.0050406783061792</v>
      </c>
      <c r="P1434" s="30">
        <f>IFERROR(SUM(K1434:O1434)*VLOOKUP($A1434,HeadJournal!$A$1:$L$890,COLUMN(HeadJournal!H$1),0),0)</f>
        <v>1541.1560439603807</v>
      </c>
      <c r="Q1434" s="29">
        <v>2800</v>
      </c>
      <c r="R1434" s="31">
        <v>45654</v>
      </c>
      <c r="S1434" s="31" t="s">
        <v>3121</v>
      </c>
      <c r="T1434" s="95" t="str">
        <f t="shared" si="115"/>
        <v>2024 12</v>
      </c>
      <c r="U1434" s="32">
        <f t="shared" si="112"/>
        <v>1258.8439560396193</v>
      </c>
      <c r="V1434" s="22">
        <f t="shared" si="113"/>
        <v>0.81681797308772786</v>
      </c>
      <c r="X1434" s="33"/>
      <c r="Y1434" s="33"/>
    </row>
    <row r="1435" spans="1:25" x14ac:dyDescent="0.2">
      <c r="A1435" s="93" t="s">
        <v>631</v>
      </c>
      <c r="B1435" s="94" t="str">
        <f>IFERROR(VLOOKUP($A1435,HeadJournal!$A$1:$NTR$890,COLUMN(HeadJournal!B$1),0),"")</f>
        <v>710000741061</v>
      </c>
      <c r="C1435" s="94" t="str">
        <f>IFERROR(VLOOKUP($A1435,HeadJournal!$A$1:$NTR$890,COLUMN(HeadJournal!C$1),0),"")</f>
        <v>iHerb_AV CYG0792</v>
      </c>
      <c r="D1435" s="125" t="str">
        <f>IFERROR(VLOOKUP($A1435,HeadJournal!$A$1:$NTR$890,COLUMN(HeadJournal!D$1),0),"")</f>
        <v>Доставлен</v>
      </c>
      <c r="E1435" s="95">
        <f>IFERROR(VLOOKUP($A1435,HeadJournal!$A$1:$NTR$890,COLUMN(HeadJournal!G$1),0),"")</f>
        <v>45031</v>
      </c>
      <c r="F1435" s="95" t="str">
        <f t="shared" si="114"/>
        <v>2023 04</v>
      </c>
      <c r="G1435" s="96" t="s">
        <v>5</v>
      </c>
      <c r="H1435" s="160" t="str">
        <f>RIGHT(Journal!$J1435,9)</f>
        <v>CGN-01504</v>
      </c>
      <c r="I1435" s="96" t="str">
        <f t="shared" si="116"/>
        <v>California Gold Nutrition</v>
      </c>
      <c r="J1435" s="97" t="s">
        <v>632</v>
      </c>
      <c r="K1435" s="29">
        <v>36</v>
      </c>
      <c r="L1435" s="29">
        <v>-14.4</v>
      </c>
      <c r="M1435" s="30">
        <f>IFERROR(VLOOKUP($A1435,HeadJournal!$A$1:$J$890,COLUMN(HeadJournal!I$1),0)*($K1435+$L1435)/(SUMIF($A:$A,$A1435,$K:$K)+SUMIF($A:$A,$A1435,$L:$L)),0)</f>
        <v>1.6680951817213217</v>
      </c>
      <c r="N1435" s="30">
        <f>IFERROR((VLOOKUP($A1435,HeadJournal!$A$1:$K$890,COLUMN(HeadJournal!K$1),0)-VLOOKUP($A1435,HeadJournal!$A$1:$K$890,COLUMN(HeadJournal!J$1),0))*($K1435+$L1435)/(SUMIF($A:$A,$A1435,$K:$K)+SUMIF($A:$A,$A1435,$L:$L)),0)</f>
        <v>4.8451830921962564E-15</v>
      </c>
      <c r="O1435" s="30">
        <f>IFERROR((VLOOKUP($A1435,HeadJournal!$A$1:$L$890,COLUMN(HeadJournal!L$1),0)*($K1435+$L1435)/(SUMIF($A:$A,$A1435,$K:$K)+SUMIF($A:$A,$A1435,$L:$L)))/VLOOKUP($A1435,HeadJournal!$A$1:$L$890,COLUMN(HeadJournal!H$1),0),0)</f>
        <v>1.4608935835406107</v>
      </c>
      <c r="P1435" s="30">
        <f>IFERROR(SUM(K1435:O1435)*VLOOKUP($A1435,HeadJournal!$A$1:$L$890,COLUMN(HeadJournal!H$1),0),0)</f>
        <v>2240.1729844915358</v>
      </c>
      <c r="Q1435" s="29">
        <v>3700</v>
      </c>
      <c r="R1435" s="31">
        <v>45251</v>
      </c>
      <c r="S1435" s="31" t="s">
        <v>3121</v>
      </c>
      <c r="T1435" s="95" t="str">
        <f t="shared" si="115"/>
        <v>2023 11</v>
      </c>
      <c r="U1435" s="32">
        <f t="shared" si="112"/>
        <v>1459.8270155084642</v>
      </c>
      <c r="V1435" s="22">
        <f t="shared" si="113"/>
        <v>0.65165816462151882</v>
      </c>
      <c r="X1435" s="33"/>
      <c r="Y1435" s="33"/>
    </row>
    <row r="1436" spans="1:25" x14ac:dyDescent="0.2">
      <c r="A1436" s="93" t="s">
        <v>631</v>
      </c>
      <c r="B1436" s="94" t="str">
        <f>IFERROR(VLOOKUP($A1436,HeadJournal!$A$1:$NTR$890,COLUMN(HeadJournal!B$1),0),"")</f>
        <v>710000741061</v>
      </c>
      <c r="C1436" s="94" t="str">
        <f>IFERROR(VLOOKUP($A1436,HeadJournal!$A$1:$NTR$890,COLUMN(HeadJournal!C$1),0),"")</f>
        <v>iHerb_AV CYG0792</v>
      </c>
      <c r="D1436" s="125" t="str">
        <f>IFERROR(VLOOKUP($A1436,HeadJournal!$A$1:$NTR$890,COLUMN(HeadJournal!D$1),0),"")</f>
        <v>Доставлен</v>
      </c>
      <c r="E1436" s="95">
        <f>IFERROR(VLOOKUP($A1436,HeadJournal!$A$1:$NTR$890,COLUMN(HeadJournal!G$1),0),"")</f>
        <v>45031</v>
      </c>
      <c r="F1436" s="95" t="str">
        <f t="shared" si="114"/>
        <v>2023 04</v>
      </c>
      <c r="G1436" s="96" t="s">
        <v>6</v>
      </c>
      <c r="H1436" s="160" t="str">
        <f>RIGHT(Journal!$J1436,9)</f>
        <v>MSC-60676</v>
      </c>
      <c r="I1436" s="96" t="str">
        <f t="shared" si="116"/>
        <v>MuscleTech</v>
      </c>
      <c r="J1436" s="97" t="s">
        <v>604</v>
      </c>
      <c r="K1436" s="29">
        <v>27.76</v>
      </c>
      <c r="L1436" s="29">
        <v>-8.76</v>
      </c>
      <c r="M1436" s="30">
        <f>IFERROR(VLOOKUP($A1436,HeadJournal!$A$1:$J$890,COLUMN(HeadJournal!I$1),0)*($K1436+$L1436)/(SUMIF($A:$A,$A1436,$K:$K)+SUMIF($A:$A,$A1436,$L:$L)),0)</f>
        <v>1.4673059468844956</v>
      </c>
      <c r="N1436" s="30">
        <f>IFERROR((VLOOKUP($A1436,HeadJournal!$A$1:$K$890,COLUMN(HeadJournal!K$1),0)-VLOOKUP($A1436,HeadJournal!$A$1:$K$890,COLUMN(HeadJournal!J$1),0))*($K1436+$L1436)/(SUMIF($A:$A,$A1436,$K:$K)+SUMIF($A:$A,$A1436,$L:$L)),0)</f>
        <v>4.2619666088763362E-15</v>
      </c>
      <c r="O1436" s="30">
        <f>IFERROR((VLOOKUP($A1436,HeadJournal!$A$1:$L$890,COLUMN(HeadJournal!L$1),0)*($K1436+$L1436)/(SUMIF($A:$A,$A1436,$K:$K)+SUMIF($A:$A,$A1436,$L:$L)))/VLOOKUP($A1436,HeadJournal!$A$1:$L$890,COLUMN(HeadJournal!H$1),0),0)</f>
        <v>1.2850452818181297</v>
      </c>
      <c r="P1436" s="30">
        <f>IFERROR(SUM(K1436:O1436)*VLOOKUP($A1436,HeadJournal!$A$1:$L$890,COLUMN(HeadJournal!H$1),0),0)</f>
        <v>1970.5225326545915</v>
      </c>
      <c r="Q1436" s="29">
        <v>3700</v>
      </c>
      <c r="R1436" s="31">
        <v>45245</v>
      </c>
      <c r="S1436" s="31" t="s">
        <v>3121</v>
      </c>
      <c r="T1436" s="95" t="str">
        <f t="shared" si="115"/>
        <v>2023 11</v>
      </c>
      <c r="U1436" s="32">
        <f t="shared" si="112"/>
        <v>1729.4774673454085</v>
      </c>
      <c r="V1436" s="22">
        <f t="shared" si="113"/>
        <v>0.87767454504341091</v>
      </c>
      <c r="X1436" s="33"/>
      <c r="Y1436" s="33"/>
    </row>
    <row r="1437" spans="1:25" x14ac:dyDescent="0.2">
      <c r="A1437" s="93" t="s">
        <v>631</v>
      </c>
      <c r="B1437" s="94" t="str">
        <f>IFERROR(VLOOKUP($A1437,HeadJournal!$A$1:$NTR$890,COLUMN(HeadJournal!B$1),0),"")</f>
        <v>710000741061</v>
      </c>
      <c r="C1437" s="94" t="str">
        <f>IFERROR(VLOOKUP($A1437,HeadJournal!$A$1:$NTR$890,COLUMN(HeadJournal!C$1),0),"")</f>
        <v>iHerb_AV CYG0792</v>
      </c>
      <c r="D1437" s="125" t="str">
        <f>IFERROR(VLOOKUP($A1437,HeadJournal!$A$1:$NTR$890,COLUMN(HeadJournal!D$1),0),"")</f>
        <v>Доставлен</v>
      </c>
      <c r="E1437" s="95">
        <f>IFERROR(VLOOKUP($A1437,HeadJournal!$A$1:$NTR$890,COLUMN(HeadJournal!G$1),0),"")</f>
        <v>45031</v>
      </c>
      <c r="F1437" s="95" t="str">
        <f t="shared" si="114"/>
        <v>2023 04</v>
      </c>
      <c r="G1437" s="96" t="s">
        <v>6</v>
      </c>
      <c r="H1437" s="160" t="str">
        <f>RIGHT(Journal!$J1437,9)</f>
        <v>AMX-20047</v>
      </c>
      <c r="I1437" s="96" t="str">
        <f t="shared" si="116"/>
        <v>ALLMAX</v>
      </c>
      <c r="J1437" s="97" t="s">
        <v>633</v>
      </c>
      <c r="K1437" s="29">
        <v>35.57</v>
      </c>
      <c r="L1437" s="29">
        <v>-3.56</v>
      </c>
      <c r="M1437" s="30">
        <f>IFERROR(VLOOKUP($A1437,HeadJournal!$A$1:$J$890,COLUMN(HeadJournal!I$1),0)*($K1437+$L1437)/(SUMIF($A:$A,$A1437,$K:$K)+SUMIF($A:$A,$A1437,$L:$L)),0)</f>
        <v>2.4720243873564582</v>
      </c>
      <c r="N1437" s="30">
        <f>IFERROR((VLOOKUP($A1437,HeadJournal!$A$1:$K$890,COLUMN(HeadJournal!K$1),0)-VLOOKUP($A1437,HeadJournal!$A$1:$K$890,COLUMN(HeadJournal!J$1),0))*($K1437+$L1437)/(SUMIF($A:$A,$A1437,$K:$K)+SUMIF($A:$A,$A1437,$L:$L)),0)</f>
        <v>7.1802921657963955E-15</v>
      </c>
      <c r="O1437" s="30">
        <f>IFERROR((VLOOKUP($A1437,HeadJournal!$A$1:$L$890,COLUMN(HeadJournal!L$1),0)*($K1437+$L1437)/(SUMIF($A:$A,$A1437,$K:$K)+SUMIF($A:$A,$A1437,$L:$L)))/VLOOKUP($A1437,HeadJournal!$A$1:$L$890,COLUMN(HeadJournal!H$1),0),0)</f>
        <v>2.1649631300525436</v>
      </c>
      <c r="P1437" s="30">
        <f>IFERROR(SUM(K1437:O1437)*VLOOKUP($A1437,HeadJournal!$A$1:$L$890,COLUMN(HeadJournal!H$1),0),0)</f>
        <v>3319.8119089617617</v>
      </c>
      <c r="Q1437" s="29">
        <v>4700</v>
      </c>
      <c r="R1437" s="31">
        <v>45173</v>
      </c>
      <c r="S1437" s="31" t="s">
        <v>3121</v>
      </c>
      <c r="T1437" s="95" t="str">
        <f t="shared" si="115"/>
        <v>2023 09</v>
      </c>
      <c r="U1437" s="32">
        <f t="shared" si="112"/>
        <v>1380.1880910382383</v>
      </c>
      <c r="V1437" s="22">
        <f t="shared" si="113"/>
        <v>0.41574285799519239</v>
      </c>
      <c r="X1437" s="33"/>
      <c r="Y1437" s="33"/>
    </row>
    <row r="1438" spans="1:25" x14ac:dyDescent="0.2">
      <c r="A1438" s="93" t="s">
        <v>631</v>
      </c>
      <c r="B1438" s="94" t="str">
        <f>IFERROR(VLOOKUP($A1438,HeadJournal!$A$1:$NTR$890,COLUMN(HeadJournal!B$1),0),"")</f>
        <v>710000741061</v>
      </c>
      <c r="C1438" s="94" t="str">
        <f>IFERROR(VLOOKUP($A1438,HeadJournal!$A$1:$NTR$890,COLUMN(HeadJournal!C$1),0),"")</f>
        <v>iHerb_AV CYG0792</v>
      </c>
      <c r="D1438" s="125" t="str">
        <f>IFERROR(VLOOKUP($A1438,HeadJournal!$A$1:$NTR$890,COLUMN(HeadJournal!D$1),0),"")</f>
        <v>Доставлен</v>
      </c>
      <c r="E1438" s="95">
        <f>IFERROR(VLOOKUP($A1438,HeadJournal!$A$1:$NTR$890,COLUMN(HeadJournal!G$1),0),"")</f>
        <v>45031</v>
      </c>
      <c r="F1438" s="95" t="str">
        <f t="shared" si="114"/>
        <v>2023 04</v>
      </c>
      <c r="G1438" s="96" t="s">
        <v>6</v>
      </c>
      <c r="H1438" s="160" t="str">
        <f>RIGHT(Journal!$J1438,9)</f>
        <v>AMX-22897</v>
      </c>
      <c r="I1438" s="96" t="str">
        <f t="shared" si="116"/>
        <v>ALLMAX</v>
      </c>
      <c r="J1438" s="97" t="s">
        <v>634</v>
      </c>
      <c r="K1438" s="29">
        <v>23.74</v>
      </c>
      <c r="L1438" s="29">
        <v>-4.75</v>
      </c>
      <c r="M1438" s="30">
        <f>IFERROR(VLOOKUP($A1438,HeadJournal!$A$1:$J$890,COLUMN(HeadJournal!I$1),0)*($K1438+$L1438)/(SUMIF($A:$A,$A1438,$K:$K)+SUMIF($A:$A,$A1438,$L:$L)),0)</f>
        <v>1.4665336805966618</v>
      </c>
      <c r="N1438" s="30">
        <f>IFERROR((VLOOKUP($A1438,HeadJournal!$A$1:$K$890,COLUMN(HeadJournal!K$1),0)-VLOOKUP($A1438,HeadJournal!$A$1:$K$890,COLUMN(HeadJournal!J$1),0))*($K1438+$L1438)/(SUMIF($A:$A,$A1438,$K:$K)+SUMIF($A:$A,$A1438,$L:$L)),0)</f>
        <v>4.2597234685558748E-15</v>
      </c>
      <c r="O1438" s="30">
        <f>IFERROR((VLOOKUP($A1438,HeadJournal!$A$1:$L$890,COLUMN(HeadJournal!L$1),0)*($K1438+$L1438)/(SUMIF($A:$A,$A1438,$K:$K)+SUMIF($A:$A,$A1438,$L:$L)))/VLOOKUP($A1438,HeadJournal!$A$1:$L$890,COLUMN(HeadJournal!H$1),0),0)</f>
        <v>1.28436894219612</v>
      </c>
      <c r="P1438" s="30">
        <f>IFERROR(SUM(K1438:O1438)*VLOOKUP($A1438,HeadJournal!$A$1:$L$890,COLUMN(HeadJournal!H$1),0),0)</f>
        <v>1969.485415532142</v>
      </c>
      <c r="Q1438" s="29">
        <v>3300</v>
      </c>
      <c r="R1438" s="31">
        <v>45143</v>
      </c>
      <c r="S1438" s="31" t="s">
        <v>3121</v>
      </c>
      <c r="T1438" s="95" t="str">
        <f t="shared" si="115"/>
        <v>2023 08</v>
      </c>
      <c r="U1438" s="32">
        <f t="shared" si="112"/>
        <v>1330.514584467858</v>
      </c>
      <c r="V1438" s="22">
        <f t="shared" si="113"/>
        <v>0.67556457842992534</v>
      </c>
      <c r="X1438" s="33"/>
      <c r="Y1438" s="33"/>
    </row>
    <row r="1439" spans="1:25" x14ac:dyDescent="0.2">
      <c r="A1439" s="93" t="s">
        <v>631</v>
      </c>
      <c r="B1439" s="94" t="str">
        <f>IFERROR(VLOOKUP($A1439,HeadJournal!$A$1:$NTR$890,COLUMN(HeadJournal!B$1),0),"")</f>
        <v>710000741061</v>
      </c>
      <c r="C1439" s="94" t="str">
        <f>IFERROR(VLOOKUP($A1439,HeadJournal!$A$1:$NTR$890,COLUMN(HeadJournal!C$1),0),"")</f>
        <v>iHerb_AV CYG0792</v>
      </c>
      <c r="D1439" s="125" t="str">
        <f>IFERROR(VLOOKUP($A1439,HeadJournal!$A$1:$NTR$890,COLUMN(HeadJournal!D$1),0),"")</f>
        <v>Доставлен</v>
      </c>
      <c r="E1439" s="95">
        <f>IFERROR(VLOOKUP($A1439,HeadJournal!$A$1:$NTR$890,COLUMN(HeadJournal!G$1),0),"")</f>
        <v>45031</v>
      </c>
      <c r="F1439" s="95" t="str">
        <f t="shared" si="114"/>
        <v>2023 04</v>
      </c>
      <c r="G1439" s="96" t="s">
        <v>6</v>
      </c>
      <c r="H1439" s="160" t="str">
        <f>RIGHT(Journal!$J1439,9)</f>
        <v>MSC-71046</v>
      </c>
      <c r="I1439" s="96" t="str">
        <f t="shared" si="116"/>
        <v>MuscleTech</v>
      </c>
      <c r="J1439" s="97" t="s">
        <v>635</v>
      </c>
      <c r="K1439" s="29">
        <v>38.96</v>
      </c>
      <c r="L1439" s="29">
        <v>-7.79</v>
      </c>
      <c r="M1439" s="30">
        <f>IFERROR(VLOOKUP($A1439,HeadJournal!$A$1:$J$890,COLUMN(HeadJournal!I$1),0)*($K1439+$L1439)/(SUMIF($A:$A,$A1439,$K:$K)+SUMIF($A:$A,$A1439,$L:$L)),0)</f>
        <v>2.4071540191784071</v>
      </c>
      <c r="N1439" s="30">
        <f>IFERROR((VLOOKUP($A1439,HeadJournal!$A$1:$K$890,COLUMN(HeadJournal!K$1),0)-VLOOKUP($A1439,HeadJournal!$A$1:$K$890,COLUMN(HeadJournal!J$1),0))*($K1439+$L1439)/(SUMIF($A:$A,$A1439,$K:$K)+SUMIF($A:$A,$A1439,$L:$L)),0)</f>
        <v>6.9918683788776537E-15</v>
      </c>
      <c r="O1439" s="30">
        <f>IFERROR((VLOOKUP($A1439,HeadJournal!$A$1:$L$890,COLUMN(HeadJournal!L$1),0)*($K1439+$L1439)/(SUMIF($A:$A,$A1439,$K:$K)+SUMIF($A:$A,$A1439,$L:$L)))/VLOOKUP($A1439,HeadJournal!$A$1:$L$890,COLUMN(HeadJournal!H$1),0),0)</f>
        <v>2.1081506018037421</v>
      </c>
      <c r="P1439" s="30">
        <f>IFERROR(SUM(K1439:O1439)*VLOOKUP($A1439,HeadJournal!$A$1:$L$890,COLUMN(HeadJournal!H$1),0),0)</f>
        <v>3232.6940706759806</v>
      </c>
      <c r="Q1439" s="29">
        <v>4000</v>
      </c>
      <c r="R1439" s="31">
        <v>45083</v>
      </c>
      <c r="S1439" s="31" t="s">
        <v>3121</v>
      </c>
      <c r="T1439" s="95" t="str">
        <f t="shared" si="115"/>
        <v>2023 06</v>
      </c>
      <c r="U1439" s="32">
        <f t="shared" si="112"/>
        <v>767.30592932401942</v>
      </c>
      <c r="V1439" s="22">
        <f t="shared" si="113"/>
        <v>0.23735804024399068</v>
      </c>
      <c r="X1439" s="33"/>
      <c r="Y1439" s="33"/>
    </row>
    <row r="1440" spans="1:25" x14ac:dyDescent="0.2">
      <c r="A1440" s="93" t="s">
        <v>631</v>
      </c>
      <c r="B1440" s="94" t="str">
        <f>IFERROR(VLOOKUP($A1440,HeadJournal!$A$1:$NTR$890,COLUMN(HeadJournal!B$1),0),"")</f>
        <v>710000741061</v>
      </c>
      <c r="C1440" s="94" t="str">
        <f>IFERROR(VLOOKUP($A1440,HeadJournal!$A$1:$NTR$890,COLUMN(HeadJournal!C$1),0),"")</f>
        <v>iHerb_AV CYG0792</v>
      </c>
      <c r="D1440" s="125" t="str">
        <f>IFERROR(VLOOKUP($A1440,HeadJournal!$A$1:$NTR$890,COLUMN(HeadJournal!D$1),0),"")</f>
        <v>Доставлен</v>
      </c>
      <c r="E1440" s="95">
        <f>IFERROR(VLOOKUP($A1440,HeadJournal!$A$1:$NTR$890,COLUMN(HeadJournal!G$1),0),"")</f>
        <v>45031</v>
      </c>
      <c r="F1440" s="95" t="str">
        <f t="shared" si="114"/>
        <v>2023 04</v>
      </c>
      <c r="G1440" s="96" t="s">
        <v>6</v>
      </c>
      <c r="H1440" s="160" t="str">
        <f>RIGHT(Journal!$J1440,9)</f>
        <v>EVL-02018</v>
      </c>
      <c r="I1440" s="96" t="str">
        <f t="shared" si="116"/>
        <v>EVLution Nutrition</v>
      </c>
      <c r="J1440" s="97" t="s">
        <v>636</v>
      </c>
      <c r="K1440" s="29">
        <v>17.71</v>
      </c>
      <c r="L1440" s="29">
        <v>-1.77</v>
      </c>
      <c r="M1440" s="30">
        <f>IFERROR(VLOOKUP($A1440,HeadJournal!$A$1:$J$890,COLUMN(HeadJournal!I$1),0)*($K1440+$L1440)/(SUMIF($A:$A,$A1440,$K:$K)+SUMIF($A:$A,$A1440,$L:$L)),0)</f>
        <v>1.2309924628073086</v>
      </c>
      <c r="N1440" s="30">
        <f>IFERROR((VLOOKUP($A1440,HeadJournal!$A$1:$K$890,COLUMN(HeadJournal!K$1),0)-VLOOKUP($A1440,HeadJournal!$A$1:$K$890,COLUMN(HeadJournal!J$1),0))*($K1440+$L1440)/(SUMIF($A:$A,$A1440,$K:$K)+SUMIF($A:$A,$A1440,$L:$L)),0)</f>
        <v>3.5755656708152008E-15</v>
      </c>
      <c r="O1440" s="30">
        <f>IFERROR((VLOOKUP($A1440,HeadJournal!$A$1:$L$890,COLUMN(HeadJournal!L$1),0)*($K1440+$L1440)/(SUMIF($A:$A,$A1440,$K:$K)+SUMIF($A:$A,$A1440,$L:$L)))/VLOOKUP($A1440,HeadJournal!$A$1:$L$890,COLUMN(HeadJournal!H$1),0),0)</f>
        <v>1.0780853574832099</v>
      </c>
      <c r="P1440" s="30">
        <f>IFERROR(SUM(K1440:O1440)*VLOOKUP($A1440,HeadJournal!$A$1:$L$890,COLUMN(HeadJournal!H$1),0),0)</f>
        <v>1653.1646931849577</v>
      </c>
      <c r="Q1440" s="29">
        <v>2600</v>
      </c>
      <c r="R1440" s="31">
        <v>45068</v>
      </c>
      <c r="S1440" s="31" t="s">
        <v>3121</v>
      </c>
      <c r="T1440" s="95" t="str">
        <f t="shared" si="115"/>
        <v>2023 05</v>
      </c>
      <c r="U1440" s="32">
        <f t="shared" si="112"/>
        <v>946.83530681504226</v>
      </c>
      <c r="V1440" s="22">
        <f t="shared" si="113"/>
        <v>0.57274106489105214</v>
      </c>
      <c r="X1440" s="33"/>
      <c r="Y1440" s="33"/>
    </row>
    <row r="1441" spans="1:25" x14ac:dyDescent="0.2">
      <c r="A1441" s="93" t="s">
        <v>631</v>
      </c>
      <c r="B1441" s="94" t="str">
        <f>IFERROR(VLOOKUP($A1441,HeadJournal!$A$1:$NTR$890,COLUMN(HeadJournal!B$1),0),"")</f>
        <v>710000741061</v>
      </c>
      <c r="C1441" s="94" t="str">
        <f>IFERROR(VLOOKUP($A1441,HeadJournal!$A$1:$NTR$890,COLUMN(HeadJournal!C$1),0),"")</f>
        <v>iHerb_AV CYG0792</v>
      </c>
      <c r="D1441" s="125" t="str">
        <f>IFERROR(VLOOKUP($A1441,HeadJournal!$A$1:$NTR$890,COLUMN(HeadJournal!D$1),0),"")</f>
        <v>Доставлен</v>
      </c>
      <c r="E1441" s="95">
        <f>IFERROR(VLOOKUP($A1441,HeadJournal!$A$1:$NTR$890,COLUMN(HeadJournal!G$1),0),"")</f>
        <v>45031</v>
      </c>
      <c r="F1441" s="95" t="str">
        <f t="shared" si="114"/>
        <v>2023 04</v>
      </c>
      <c r="G1441" s="96" t="s">
        <v>6</v>
      </c>
      <c r="H1441" s="160" t="str">
        <f>RIGHT(Journal!$J1441,9)</f>
        <v>EVL-55160</v>
      </c>
      <c r="I1441" s="96" t="str">
        <f t="shared" si="116"/>
        <v>EVLution Nutrition</v>
      </c>
      <c r="J1441" s="97" t="s">
        <v>637</v>
      </c>
      <c r="K1441" s="29">
        <v>21.5</v>
      </c>
      <c r="L1441" s="29">
        <v>-4.3</v>
      </c>
      <c r="M1441" s="30">
        <f>IFERROR(VLOOKUP($A1441,HeadJournal!$A$1:$J$890,COLUMN(HeadJournal!I$1),0)*($K1441+$L1441)/(SUMIF($A:$A,$A1441,$K:$K)+SUMIF($A:$A,$A1441,$L:$L)),0)</f>
        <v>1.3282980150743855</v>
      </c>
      <c r="N1441" s="30">
        <f>IFERROR((VLOOKUP($A1441,HeadJournal!$A$1:$K$890,COLUMN(HeadJournal!K$1),0)-VLOOKUP($A1441,HeadJournal!$A$1:$K$890,COLUMN(HeadJournal!J$1),0))*($K1441+$L1441)/(SUMIF($A:$A,$A1441,$K:$K)+SUMIF($A:$A,$A1441,$L:$L)),0)</f>
        <v>3.8582013511933146E-15</v>
      </c>
      <c r="O1441" s="30">
        <f>IFERROR((VLOOKUP($A1441,HeadJournal!$A$1:$L$890,COLUMN(HeadJournal!L$1),0)*($K1441+$L1441)/(SUMIF($A:$A,$A1441,$K:$K)+SUMIF($A:$A,$A1441,$L:$L)))/VLOOKUP($A1441,HeadJournal!$A$1:$L$890,COLUMN(HeadJournal!H$1),0),0)</f>
        <v>1.1633041498564121</v>
      </c>
      <c r="P1441" s="30">
        <f>IFERROR(SUM(K1441:O1441)*VLOOKUP($A1441,HeadJournal!$A$1:$L$890,COLUMN(HeadJournal!H$1),0),0)</f>
        <v>1783.8414506136303</v>
      </c>
      <c r="Q1441" s="29"/>
      <c r="R1441" s="31"/>
      <c r="S1441" s="31"/>
      <c r="T1441" s="95" t="str">
        <f t="shared" si="115"/>
        <v/>
      </c>
      <c r="U1441" s="32">
        <f t="shared" si="112"/>
        <v>-1783.8414506136303</v>
      </c>
      <c r="V1441" s="22" t="str">
        <f t="shared" si="113"/>
        <v/>
      </c>
      <c r="X1441" s="33"/>
      <c r="Y1441" s="33"/>
    </row>
    <row r="1442" spans="1:25" x14ac:dyDescent="0.2">
      <c r="A1442" s="93" t="s">
        <v>638</v>
      </c>
      <c r="B1442" s="94" t="str">
        <f>IFERROR(VLOOKUP($A1442,HeadJournal!$A$1:$NTR$890,COLUMN(HeadJournal!B$1),0),"")</f>
        <v>710000721246</v>
      </c>
      <c r="C1442" s="94" t="str">
        <f>IFERROR(VLOOKUP($A1442,HeadJournal!$A$1:$NTR$890,COLUMN(HeadJournal!C$1),0),"")</f>
        <v>iHerb_OA CZN6870</v>
      </c>
      <c r="D1442" s="125" t="str">
        <f>IFERROR(VLOOKUP($A1442,HeadJournal!$A$1:$NTR$890,COLUMN(HeadJournal!D$1),0),"")</f>
        <v>Доставлен</v>
      </c>
      <c r="E1442" s="95">
        <f>IFERROR(VLOOKUP($A1442,HeadJournal!$A$1:$NTR$890,COLUMN(HeadJournal!G$1),0),"")</f>
        <v>45021</v>
      </c>
      <c r="F1442" s="95" t="str">
        <f t="shared" si="114"/>
        <v>2023 04</v>
      </c>
      <c r="G1442" s="96" t="s">
        <v>5</v>
      </c>
      <c r="H1442" s="160" t="str">
        <f>RIGHT(Journal!$J1442,9)</f>
        <v>NOW-00079</v>
      </c>
      <c r="I1442" s="96" t="str">
        <f t="shared" si="116"/>
        <v>NOW Foods</v>
      </c>
      <c r="J1442" s="97" t="s">
        <v>639</v>
      </c>
      <c r="K1442" s="29">
        <v>37.32</v>
      </c>
      <c r="L1442" s="29">
        <v>-7.46</v>
      </c>
      <c r="M1442" s="30">
        <f>IFERROR(VLOOKUP($A1442,HeadJournal!$A$1:$J$890,COLUMN(HeadJournal!I$1),0)*($K1442+$L1442)/(SUMIF($A:$A,$A1442,$K:$K)+SUMIF($A:$A,$A1442,$L:$L)),0)</f>
        <v>3.5838647044274028</v>
      </c>
      <c r="N1442" s="30">
        <f>IFERROR((VLOOKUP($A1442,HeadJournal!$A$1:$K$890,COLUMN(HeadJournal!K$1),0)-VLOOKUP($A1442,HeadJournal!$A$1:$K$890,COLUMN(HeadJournal!J$1),0))*($K1442+$L1442)/(SUMIF($A:$A,$A1442,$K:$K)+SUMIF($A:$A,$A1442,$L:$L)),0)</f>
        <v>-2.099115121424346E-14</v>
      </c>
      <c r="O1442" s="30">
        <f>IFERROR((VLOOKUP($A1442,HeadJournal!$A$1:$L$890,COLUMN(HeadJournal!L$1),0)*($K1442+$L1442)/(SUMIF($A:$A,$A1442,$K:$K)+SUMIF($A:$A,$A1442,$L:$L)))/VLOOKUP($A1442,HeadJournal!$A$1:$L$890,COLUMN(HeadJournal!H$1),0),0)</f>
        <v>2.9689993413751496</v>
      </c>
      <c r="P1442" s="30">
        <f>IFERROR(SUM(K1442:O1442)*VLOOKUP($A1442,HeadJournal!$A$1:$L$890,COLUMN(HeadJournal!H$1),0),0)</f>
        <v>3119.3378617363328</v>
      </c>
      <c r="Q1442" s="29">
        <v>3900</v>
      </c>
      <c r="R1442" s="31">
        <v>45152</v>
      </c>
      <c r="S1442" s="31" t="s">
        <v>3121</v>
      </c>
      <c r="T1442" s="95" t="str">
        <f t="shared" si="115"/>
        <v>2023 08</v>
      </c>
      <c r="U1442" s="32">
        <f t="shared" si="112"/>
        <v>780.6621382636672</v>
      </c>
      <c r="V1442" s="22">
        <f t="shared" si="113"/>
        <v>0.25026533606370016</v>
      </c>
      <c r="X1442" s="33"/>
      <c r="Y1442" s="33"/>
    </row>
    <row r="1443" spans="1:25" x14ac:dyDescent="0.2">
      <c r="A1443" s="93" t="s">
        <v>638</v>
      </c>
      <c r="B1443" s="94" t="str">
        <f>IFERROR(VLOOKUP($A1443,HeadJournal!$A$1:$NTR$890,COLUMN(HeadJournal!B$1),0),"")</f>
        <v>710000721246</v>
      </c>
      <c r="C1443" s="94" t="str">
        <f>IFERROR(VLOOKUP($A1443,HeadJournal!$A$1:$NTR$890,COLUMN(HeadJournal!C$1),0),"")</f>
        <v>iHerb_OA CZN6870</v>
      </c>
      <c r="D1443" s="125" t="str">
        <f>IFERROR(VLOOKUP($A1443,HeadJournal!$A$1:$NTR$890,COLUMN(HeadJournal!D$1),0),"")</f>
        <v>Доставлен</v>
      </c>
      <c r="E1443" s="95">
        <f>IFERROR(VLOOKUP($A1443,HeadJournal!$A$1:$NTR$890,COLUMN(HeadJournal!G$1),0),"")</f>
        <v>45021</v>
      </c>
      <c r="F1443" s="95" t="str">
        <f t="shared" si="114"/>
        <v>2023 04</v>
      </c>
      <c r="G1443" s="96" t="s">
        <v>5</v>
      </c>
      <c r="H1443" s="160" t="str">
        <f>RIGHT(Journal!$J1443,9)</f>
        <v>NOR-01817</v>
      </c>
      <c r="I1443" s="96" t="str">
        <f t="shared" si="116"/>
        <v>Nordic Naturals</v>
      </c>
      <c r="J1443" s="97" t="s">
        <v>523</v>
      </c>
      <c r="K1443" s="29">
        <v>8.69</v>
      </c>
      <c r="L1443" s="29">
        <v>-1.74</v>
      </c>
      <c r="M1443" s="30">
        <f>IFERROR(VLOOKUP($A1443,HeadJournal!$A$1:$J$890,COLUMN(HeadJournal!I$1),0)*($K1443+$L1443)/(SUMIF($A:$A,$A1443,$K:$K)+SUMIF($A:$A,$A1443,$L:$L)),0)</f>
        <v>0.83415471184763723</v>
      </c>
      <c r="N1443" s="30">
        <f>IFERROR((VLOOKUP($A1443,HeadJournal!$A$1:$K$890,COLUMN(HeadJournal!K$1),0)-VLOOKUP($A1443,HeadJournal!$A$1:$K$890,COLUMN(HeadJournal!J$1),0))*($K1443+$L1443)/(SUMIF($A:$A,$A1443,$K:$K)+SUMIF($A:$A,$A1443,$L:$L)),0)</f>
        <v>-4.8857501988945756E-15</v>
      </c>
      <c r="O1443" s="30">
        <f>IFERROR((VLOOKUP($A1443,HeadJournal!$A$1:$L$890,COLUMN(HeadJournal!L$1),0)*($K1443+$L1443)/(SUMIF($A:$A,$A1443,$K:$K)+SUMIF($A:$A,$A1443,$L:$L)))/VLOOKUP($A1443,HeadJournal!$A$1:$L$890,COLUMN(HeadJournal!H$1),0),0)</f>
        <v>0.69104304831069285</v>
      </c>
      <c r="P1443" s="30">
        <f>IFERROR(SUM(K1443:O1443)*VLOOKUP($A1443,HeadJournal!$A$1:$L$890,COLUMN(HeadJournal!H$1),0),0)</f>
        <v>726.0347668810283</v>
      </c>
      <c r="Q1443" s="29">
        <v>1400</v>
      </c>
      <c r="R1443" s="31">
        <v>45212</v>
      </c>
      <c r="S1443" s="31" t="s">
        <v>3121</v>
      </c>
      <c r="T1443" s="95" t="str">
        <f t="shared" si="115"/>
        <v>2023 10</v>
      </c>
      <c r="U1443" s="32">
        <f t="shared" si="112"/>
        <v>673.9652331189717</v>
      </c>
      <c r="V1443" s="22">
        <f t="shared" si="113"/>
        <v>0.92828231355126145</v>
      </c>
      <c r="X1443" s="33"/>
      <c r="Y1443" s="33"/>
    </row>
    <row r="1444" spans="1:25" x14ac:dyDescent="0.2">
      <c r="A1444" s="93" t="s">
        <v>638</v>
      </c>
      <c r="B1444" s="94" t="str">
        <f>IFERROR(VLOOKUP($A1444,HeadJournal!$A$1:$NTR$890,COLUMN(HeadJournal!B$1),0),"")</f>
        <v>710000721246</v>
      </c>
      <c r="C1444" s="94" t="str">
        <f>IFERROR(VLOOKUP($A1444,HeadJournal!$A$1:$NTR$890,COLUMN(HeadJournal!C$1),0),"")</f>
        <v>iHerb_OA CZN6870</v>
      </c>
      <c r="D1444" s="125" t="str">
        <f>IFERROR(VLOOKUP($A1444,HeadJournal!$A$1:$NTR$890,COLUMN(HeadJournal!D$1),0),"")</f>
        <v>Доставлен</v>
      </c>
      <c r="E1444" s="95">
        <f>IFERROR(VLOOKUP($A1444,HeadJournal!$A$1:$NTR$890,COLUMN(HeadJournal!G$1),0),"")</f>
        <v>45021</v>
      </c>
      <c r="F1444" s="95" t="str">
        <f t="shared" si="114"/>
        <v>2023 04</v>
      </c>
      <c r="G1444" s="96" t="s">
        <v>5</v>
      </c>
      <c r="H1444" s="160" t="str">
        <f>RIGHT(Journal!$J1444,9)</f>
        <v>LIL-01629</v>
      </c>
      <c r="I1444" s="96" t="str">
        <f t="shared" si="116"/>
        <v>L'il Critters</v>
      </c>
      <c r="J1444" s="97" t="s">
        <v>640</v>
      </c>
      <c r="K1444" s="29">
        <v>20.49</v>
      </c>
      <c r="L1444" s="29">
        <v>-4.0999999999999996</v>
      </c>
      <c r="M1444" s="30">
        <f>IFERROR(VLOOKUP($A1444,HeadJournal!$A$1:$J$890,COLUMN(HeadJournal!I$1),0)*($K1444+$L1444)/(SUMIF($A:$A,$A1444,$K:$K)+SUMIF($A:$A,$A1444,$L:$L)),0)</f>
        <v>1.9671648528320542</v>
      </c>
      <c r="N1444" s="30">
        <f>IFERROR((VLOOKUP($A1444,HeadJournal!$A$1:$K$890,COLUMN(HeadJournal!K$1),0)-VLOOKUP($A1444,HeadJournal!$A$1:$K$890,COLUMN(HeadJournal!J$1),0))*($K1444+$L1444)/(SUMIF($A:$A,$A1444,$K:$K)+SUMIF($A:$A,$A1444,$L:$L)),0)</f>
        <v>-1.1521934641709655E-14</v>
      </c>
      <c r="O1444" s="30">
        <f>IFERROR((VLOOKUP($A1444,HeadJournal!$A$1:$L$890,COLUMN(HeadJournal!L$1),0)*($K1444+$L1444)/(SUMIF($A:$A,$A1444,$K:$K)+SUMIF($A:$A,$A1444,$L:$L)))/VLOOKUP($A1444,HeadJournal!$A$1:$L$890,COLUMN(HeadJournal!H$1),0),0)</f>
        <v>1.6296684261600369</v>
      </c>
      <c r="P1444" s="30">
        <f>IFERROR(SUM(K1444:O1444)*VLOOKUP($A1444,HeadJournal!$A$1:$L$890,COLUMN(HeadJournal!H$1),0),0)</f>
        <v>1712.1884646302244</v>
      </c>
      <c r="Q1444" s="29">
        <v>3200</v>
      </c>
      <c r="R1444" s="31">
        <v>45059</v>
      </c>
      <c r="S1444" s="31" t="s">
        <v>3121</v>
      </c>
      <c r="T1444" s="95" t="str">
        <f t="shared" si="115"/>
        <v>2023 05</v>
      </c>
      <c r="U1444" s="32">
        <f t="shared" si="112"/>
        <v>1487.8115353697756</v>
      </c>
      <c r="V1444" s="22">
        <f t="shared" si="113"/>
        <v>0.86895313577007027</v>
      </c>
      <c r="X1444" s="33"/>
      <c r="Y1444" s="33"/>
    </row>
    <row r="1445" spans="1:25" x14ac:dyDescent="0.2">
      <c r="A1445" s="93" t="s">
        <v>638</v>
      </c>
      <c r="B1445" s="94" t="str">
        <f>IFERROR(VLOOKUP($A1445,HeadJournal!$A$1:$NTR$890,COLUMN(HeadJournal!B$1),0),"")</f>
        <v>710000721246</v>
      </c>
      <c r="C1445" s="94" t="str">
        <f>IFERROR(VLOOKUP($A1445,HeadJournal!$A$1:$NTR$890,COLUMN(HeadJournal!C$1),0),"")</f>
        <v>iHerb_OA CZN6870</v>
      </c>
      <c r="D1445" s="125" t="str">
        <f>IFERROR(VLOOKUP($A1445,HeadJournal!$A$1:$NTR$890,COLUMN(HeadJournal!D$1),0),"")</f>
        <v>Доставлен</v>
      </c>
      <c r="E1445" s="95">
        <f>IFERROR(VLOOKUP($A1445,HeadJournal!$A$1:$NTR$890,COLUMN(HeadJournal!G$1),0),"")</f>
        <v>45021</v>
      </c>
      <c r="F1445" s="95" t="str">
        <f t="shared" si="114"/>
        <v>2023 04</v>
      </c>
      <c r="G1445" s="96" t="s">
        <v>5</v>
      </c>
      <c r="H1445" s="161" t="s">
        <v>4137</v>
      </c>
      <c r="I1445" s="97" t="s">
        <v>2666</v>
      </c>
      <c r="J1445" s="97" t="s">
        <v>4138</v>
      </c>
      <c r="K1445" s="29">
        <v>10.27</v>
      </c>
      <c r="L1445" s="29">
        <v>-2.0550000000000002</v>
      </c>
      <c r="M1445" s="30">
        <f>IFERROR(VLOOKUP($A1445,HeadJournal!$A$1:$J$890,COLUMN(HeadJournal!I$1),0)*($K1445+$L1445)/(SUMIF($A:$A,$A1445,$K:$K)+SUMIF($A:$A,$A1445,$L:$L)),0)</f>
        <v>0.985982871629977</v>
      </c>
      <c r="N1445" s="30">
        <f>IFERROR((VLOOKUP($A1445,HeadJournal!$A$1:$K$890,COLUMN(HeadJournal!K$1),0)-VLOOKUP($A1445,HeadJournal!$A$1:$K$890,COLUMN(HeadJournal!J$1),0))*($K1445+$L1445)/(SUMIF($A:$A,$A1445,$K:$K)+SUMIF($A:$A,$A1445,$L:$L)),0)</f>
        <v>-5.7750270336574022E-15</v>
      </c>
      <c r="O1445" s="30">
        <f>IFERROR((VLOOKUP($A1445,HeadJournal!$A$1:$L$890,COLUMN(HeadJournal!L$1),0)*($K1445+$L1445)/(SUMIF($A:$A,$A1445,$K:$K)+SUMIF($A:$A,$A1445,$L:$L)))/VLOOKUP($A1445,HeadJournal!$A$1:$L$890,COLUMN(HeadJournal!H$1),0),0)</f>
        <v>0.81682282616868229</v>
      </c>
      <c r="P1445" s="30">
        <f>IFERROR(SUM(K1445:O1445)*VLOOKUP($A1445,HeadJournal!$A$1:$L$890,COLUMN(HeadJournal!H$1),0),0)</f>
        <v>858.18354099678402</v>
      </c>
      <c r="Q1445" s="29">
        <v>2000</v>
      </c>
      <c r="R1445" s="31">
        <v>45237</v>
      </c>
      <c r="S1445" s="31" t="s">
        <v>3121</v>
      </c>
      <c r="T1445" s="95" t="str">
        <f t="shared" si="115"/>
        <v>2023 11</v>
      </c>
      <c r="U1445" s="32">
        <f t="shared" si="112"/>
        <v>1141.8164590032161</v>
      </c>
      <c r="V1445" s="22">
        <f t="shared" si="113"/>
        <v>1.3305037960492592</v>
      </c>
      <c r="X1445" s="33"/>
      <c r="Y1445" s="33"/>
    </row>
    <row r="1446" spans="1:25" x14ac:dyDescent="0.2">
      <c r="A1446" s="93" t="s">
        <v>638</v>
      </c>
      <c r="B1446" s="94" t="str">
        <f>IFERROR(VLOOKUP($A1446,HeadJournal!$A$1:$NTR$890,COLUMN(HeadJournal!B$1),0),"")</f>
        <v>710000721246</v>
      </c>
      <c r="C1446" s="94" t="str">
        <f>IFERROR(VLOOKUP($A1446,HeadJournal!$A$1:$NTR$890,COLUMN(HeadJournal!C$1),0),"")</f>
        <v>iHerb_OA CZN6870</v>
      </c>
      <c r="D1446" s="125" t="str">
        <f>IFERROR(VLOOKUP($A1446,HeadJournal!$A$1:$NTR$890,COLUMN(HeadJournal!D$1),0),"")</f>
        <v>Доставлен</v>
      </c>
      <c r="E1446" s="95">
        <f>IFERROR(VLOOKUP($A1446,HeadJournal!$A$1:$NTR$890,COLUMN(HeadJournal!G$1),0),"")</f>
        <v>45021</v>
      </c>
      <c r="F1446" s="95" t="str">
        <f t="shared" si="114"/>
        <v>2023 04</v>
      </c>
      <c r="G1446" s="96" t="s">
        <v>5</v>
      </c>
      <c r="H1446" s="161" t="s">
        <v>4137</v>
      </c>
      <c r="I1446" s="97" t="s">
        <v>2666</v>
      </c>
      <c r="J1446" s="97" t="s">
        <v>4138</v>
      </c>
      <c r="K1446" s="29">
        <v>10.27</v>
      </c>
      <c r="L1446" s="29">
        <v>-2.0550000000000002</v>
      </c>
      <c r="M1446" s="30">
        <f>IFERROR(VLOOKUP($A1446,HeadJournal!$A$1:$J$890,COLUMN(HeadJournal!I$1),0)*($K1446+$L1446)/(SUMIF($A:$A,$A1446,$K:$K)+SUMIF($A:$A,$A1446,$L:$L)),0)</f>
        <v>0.985982871629977</v>
      </c>
      <c r="N1446" s="30">
        <f>IFERROR((VLOOKUP($A1446,HeadJournal!$A$1:$K$890,COLUMN(HeadJournal!K$1),0)-VLOOKUP($A1446,HeadJournal!$A$1:$K$890,COLUMN(HeadJournal!J$1),0))*($K1446+$L1446)/(SUMIF($A:$A,$A1446,$K:$K)+SUMIF($A:$A,$A1446,$L:$L)),0)</f>
        <v>-5.7750270336574022E-15</v>
      </c>
      <c r="O1446" s="30">
        <f>IFERROR((VLOOKUP($A1446,HeadJournal!$A$1:$L$890,COLUMN(HeadJournal!L$1),0)*($K1446+$L1446)/(SUMIF($A:$A,$A1446,$K:$K)+SUMIF($A:$A,$A1446,$L:$L)))/VLOOKUP($A1446,HeadJournal!$A$1:$L$890,COLUMN(HeadJournal!H$1),0),0)</f>
        <v>0.81682282616868229</v>
      </c>
      <c r="P1446" s="30">
        <f>IFERROR(SUM(K1446:O1446)*VLOOKUP($A1446,HeadJournal!$A$1:$L$890,COLUMN(HeadJournal!H$1),0),0)</f>
        <v>858.18354099678402</v>
      </c>
      <c r="Q1446" s="29">
        <v>2000</v>
      </c>
      <c r="R1446" s="31">
        <v>45237</v>
      </c>
      <c r="S1446" s="31" t="s">
        <v>3121</v>
      </c>
      <c r="T1446" s="95" t="str">
        <f t="shared" si="115"/>
        <v>2023 11</v>
      </c>
      <c r="U1446" s="32">
        <f t="shared" si="112"/>
        <v>1141.8164590032161</v>
      </c>
      <c r="V1446" s="22">
        <f t="shared" si="113"/>
        <v>1.3305037960492592</v>
      </c>
      <c r="X1446" s="33"/>
      <c r="Y1446" s="33"/>
    </row>
    <row r="1447" spans="1:25" x14ac:dyDescent="0.2">
      <c r="A1447" s="93" t="s">
        <v>638</v>
      </c>
      <c r="B1447" s="94" t="str">
        <f>IFERROR(VLOOKUP($A1447,HeadJournal!$A$1:$NTR$890,COLUMN(HeadJournal!B$1),0),"")</f>
        <v>710000721246</v>
      </c>
      <c r="C1447" s="94" t="str">
        <f>IFERROR(VLOOKUP($A1447,HeadJournal!$A$1:$NTR$890,COLUMN(HeadJournal!C$1),0),"")</f>
        <v>iHerb_OA CZN6870</v>
      </c>
      <c r="D1447" s="125" t="str">
        <f>IFERROR(VLOOKUP($A1447,HeadJournal!$A$1:$NTR$890,COLUMN(HeadJournal!D$1),0),"")</f>
        <v>Доставлен</v>
      </c>
      <c r="E1447" s="95">
        <f>IFERROR(VLOOKUP($A1447,HeadJournal!$A$1:$NTR$890,COLUMN(HeadJournal!G$1),0),"")</f>
        <v>45021</v>
      </c>
      <c r="F1447" s="95" t="str">
        <f t="shared" si="114"/>
        <v>2023 04</v>
      </c>
      <c r="G1447" s="96" t="s">
        <v>5</v>
      </c>
      <c r="H1447" s="161" t="s">
        <v>3992</v>
      </c>
      <c r="I1447" s="97" t="s">
        <v>2666</v>
      </c>
      <c r="J1447" s="97" t="s">
        <v>3993</v>
      </c>
      <c r="K1447" s="29">
        <v>22.01</v>
      </c>
      <c r="L1447" s="29">
        <v>-4.4000000000000004</v>
      </c>
      <c r="M1447" s="30">
        <f>IFERROR(VLOOKUP($A1447,HeadJournal!$A$1:$J$890,COLUMN(HeadJournal!I$1),0)*($K1447+$L1447)/(SUMIF($A:$A,$A1447,$K:$K)+SUMIF($A:$A,$A1447,$L:$L)),0)</f>
        <v>2.1135920108830062</v>
      </c>
      <c r="N1447" s="30">
        <f>IFERROR((VLOOKUP($A1447,HeadJournal!$A$1:$K$890,COLUMN(HeadJournal!K$1),0)-VLOOKUP($A1447,HeadJournal!$A$1:$K$890,COLUMN(HeadJournal!J$1),0))*($K1447+$L1447)/(SUMIF($A:$A,$A1447,$K:$K)+SUMIF($A:$A,$A1447,$L:$L)),0)</f>
        <v>-1.2379577122666688E-14</v>
      </c>
      <c r="O1447" s="30">
        <f>IFERROR((VLOOKUP($A1447,HeadJournal!$A$1:$L$890,COLUMN(HeadJournal!L$1),0)*($K1447+$L1447)/(SUMIF($A:$A,$A1447,$K:$K)+SUMIF($A:$A,$A1447,$L:$L)))/VLOOKUP($A1447,HeadJournal!$A$1:$L$890,COLUMN(HeadJournal!H$1),0),0)</f>
        <v>1.7509738245685322</v>
      </c>
      <c r="P1447" s="30">
        <f>IFERROR(SUM(K1447:O1447)*VLOOKUP($A1447,HeadJournal!$A$1:$L$890,COLUMN(HeadJournal!H$1),0),0)</f>
        <v>1839.6362942122178</v>
      </c>
      <c r="Q1447" s="29">
        <v>3400</v>
      </c>
      <c r="R1447" s="31">
        <v>45214</v>
      </c>
      <c r="S1447" s="31" t="s">
        <v>3121</v>
      </c>
      <c r="T1447" s="95" t="str">
        <f t="shared" si="115"/>
        <v>2023 10</v>
      </c>
      <c r="U1447" s="32">
        <f t="shared" si="112"/>
        <v>1560.3637057877822</v>
      </c>
      <c r="V1447" s="22">
        <f t="shared" si="113"/>
        <v>0.84819141190947878</v>
      </c>
      <c r="X1447" s="33"/>
      <c r="Y1447" s="33"/>
    </row>
    <row r="1448" spans="1:25" x14ac:dyDescent="0.2">
      <c r="A1448" s="93" t="s">
        <v>638</v>
      </c>
      <c r="B1448" s="94" t="str">
        <f>IFERROR(VLOOKUP($A1448,HeadJournal!$A$1:$NTR$890,COLUMN(HeadJournal!B$1),0),"")</f>
        <v>710000721246</v>
      </c>
      <c r="C1448" s="94" t="str">
        <f>IFERROR(VLOOKUP($A1448,HeadJournal!$A$1:$NTR$890,COLUMN(HeadJournal!C$1),0),"")</f>
        <v>iHerb_OA CZN6870</v>
      </c>
      <c r="D1448" s="125" t="str">
        <f>IFERROR(VLOOKUP($A1448,HeadJournal!$A$1:$NTR$890,COLUMN(HeadJournal!D$1),0),"")</f>
        <v>Доставлен</v>
      </c>
      <c r="E1448" s="95">
        <f>IFERROR(VLOOKUP($A1448,HeadJournal!$A$1:$NTR$890,COLUMN(HeadJournal!G$1),0),"")</f>
        <v>45021</v>
      </c>
      <c r="F1448" s="95" t="str">
        <f t="shared" si="114"/>
        <v>2023 04</v>
      </c>
      <c r="G1448" s="96" t="s">
        <v>5</v>
      </c>
      <c r="H1448" s="160" t="str">
        <f>RIGHT(Journal!$J1448,9)</f>
        <v>YUE-00112</v>
      </c>
      <c r="I1448" s="96" t="str">
        <f t="shared" si="116"/>
        <v>YumEarth</v>
      </c>
      <c r="J1448" s="97" t="s">
        <v>641</v>
      </c>
      <c r="K1448" s="29">
        <v>2.0541935483870968</v>
      </c>
      <c r="L1448" s="29">
        <v>-0.41096774193548385</v>
      </c>
      <c r="M1448" s="30">
        <f>IFERROR(VLOOKUP($A1448,HeadJournal!$A$1:$J$890,COLUMN(HeadJournal!I$1),0)*($K1448+$L1448)/(SUMIF($A:$A,$A1448,$K:$K)+SUMIF($A:$A,$A1448,$L:$L)),0)</f>
        <v>0.19722367612679809</v>
      </c>
      <c r="N1448" s="30">
        <f>IFERROR((VLOOKUP($A1448,HeadJournal!$A$1:$K$890,COLUMN(HeadJournal!K$1),0)-VLOOKUP($A1448,HeadJournal!$A$1:$K$890,COLUMN(HeadJournal!J$1),0))*($K1448+$L1448)/(SUMIF($A:$A,$A1448,$K:$K)+SUMIF($A:$A,$A1448,$L:$L)),0)</f>
        <v>-1.1551641454244128E-15</v>
      </c>
      <c r="O1448" s="30">
        <f>IFERROR((VLOOKUP($A1448,HeadJournal!$A$1:$L$890,COLUMN(HeadJournal!L$1),0)*($K1448+$L1448)/(SUMIF($A:$A,$A1448,$K:$K)+SUMIF($A:$A,$A1448,$L:$L)))/VLOOKUP($A1448,HeadJournal!$A$1:$L$890,COLUMN(HeadJournal!H$1),0),0)</f>
        <v>0.16338701731699559</v>
      </c>
      <c r="P1448" s="30">
        <f>IFERROR(SUM(K1448:O1448)*VLOOKUP($A1448,HeadJournal!$A$1:$L$890,COLUMN(HeadJournal!H$1),0),0)</f>
        <v>171.66029716834345</v>
      </c>
      <c r="Q1448" s="29">
        <v>200</v>
      </c>
      <c r="R1448" s="31">
        <v>45056</v>
      </c>
      <c r="S1448" s="31" t="s">
        <v>3121</v>
      </c>
      <c r="T1448" s="95" t="str">
        <f t="shared" si="115"/>
        <v>2023 05</v>
      </c>
      <c r="U1448" s="32">
        <f t="shared" si="112"/>
        <v>28.339702831656552</v>
      </c>
      <c r="V1448" s="22">
        <f t="shared" si="113"/>
        <v>0.16509177310735071</v>
      </c>
      <c r="X1448" s="33"/>
      <c r="Y1448" s="33"/>
    </row>
    <row r="1449" spans="1:25" x14ac:dyDescent="0.2">
      <c r="A1449" s="93" t="s">
        <v>638</v>
      </c>
      <c r="B1449" s="94" t="str">
        <f>IFERROR(VLOOKUP($A1449,HeadJournal!$A$1:$NTR$890,COLUMN(HeadJournal!B$1),0),"")</f>
        <v>710000721246</v>
      </c>
      <c r="C1449" s="94" t="str">
        <f>IFERROR(VLOOKUP($A1449,HeadJournal!$A$1:$NTR$890,COLUMN(HeadJournal!C$1),0),"")</f>
        <v>iHerb_OA CZN6870</v>
      </c>
      <c r="D1449" s="125" t="str">
        <f>IFERROR(VLOOKUP($A1449,HeadJournal!$A$1:$NTR$890,COLUMN(HeadJournal!D$1),0),"")</f>
        <v>Доставлен</v>
      </c>
      <c r="E1449" s="95">
        <f>IFERROR(VLOOKUP($A1449,HeadJournal!$A$1:$NTR$890,COLUMN(HeadJournal!G$1),0),"")</f>
        <v>45021</v>
      </c>
      <c r="F1449" s="95" t="str">
        <f t="shared" si="114"/>
        <v>2023 04</v>
      </c>
      <c r="G1449" s="96" t="s">
        <v>5</v>
      </c>
      <c r="H1449" s="160" t="str">
        <f>RIGHT(Journal!$J1449,9)</f>
        <v>YUE-00112</v>
      </c>
      <c r="I1449" s="96" t="str">
        <f t="shared" si="116"/>
        <v>YumEarth</v>
      </c>
      <c r="J1449" s="97" t="s">
        <v>641</v>
      </c>
      <c r="K1449" s="29">
        <v>2.0541935483870968</v>
      </c>
      <c r="L1449" s="29">
        <v>-0.41096774193548385</v>
      </c>
      <c r="M1449" s="30">
        <f>IFERROR(VLOOKUP($A1449,HeadJournal!$A$1:$J$890,COLUMN(HeadJournal!I$1),0)*($K1449+$L1449)/(SUMIF($A:$A,$A1449,$K:$K)+SUMIF($A:$A,$A1449,$L:$L)),0)</f>
        <v>0.19722367612679809</v>
      </c>
      <c r="N1449" s="30">
        <f>IFERROR((VLOOKUP($A1449,HeadJournal!$A$1:$K$890,COLUMN(HeadJournal!K$1),0)-VLOOKUP($A1449,HeadJournal!$A$1:$K$890,COLUMN(HeadJournal!J$1),0))*($K1449+$L1449)/(SUMIF($A:$A,$A1449,$K:$K)+SUMIF($A:$A,$A1449,$L:$L)),0)</f>
        <v>-1.1551641454244128E-15</v>
      </c>
      <c r="O1449" s="30">
        <f>IFERROR((VLOOKUP($A1449,HeadJournal!$A$1:$L$890,COLUMN(HeadJournal!L$1),0)*($K1449+$L1449)/(SUMIF($A:$A,$A1449,$K:$K)+SUMIF($A:$A,$A1449,$L:$L)))/VLOOKUP($A1449,HeadJournal!$A$1:$L$890,COLUMN(HeadJournal!H$1),0),0)</f>
        <v>0.16338701731699559</v>
      </c>
      <c r="P1449" s="30">
        <f>IFERROR(SUM(K1449:O1449)*VLOOKUP($A1449,HeadJournal!$A$1:$L$890,COLUMN(HeadJournal!H$1),0),0)</f>
        <v>171.66029716834345</v>
      </c>
      <c r="Q1449" s="29">
        <v>200</v>
      </c>
      <c r="R1449" s="31">
        <v>45056</v>
      </c>
      <c r="S1449" s="31" t="s">
        <v>3121</v>
      </c>
      <c r="T1449" s="95" t="str">
        <f t="shared" si="115"/>
        <v>2023 05</v>
      </c>
      <c r="U1449" s="32">
        <f t="shared" si="112"/>
        <v>28.339702831656552</v>
      </c>
      <c r="V1449" s="22">
        <f t="shared" si="113"/>
        <v>0.16509177310735071</v>
      </c>
      <c r="X1449" s="33"/>
      <c r="Y1449" s="33"/>
    </row>
    <row r="1450" spans="1:25" x14ac:dyDescent="0.2">
      <c r="A1450" s="93" t="s">
        <v>638</v>
      </c>
      <c r="B1450" s="94" t="str">
        <f>IFERROR(VLOOKUP($A1450,HeadJournal!$A$1:$NTR$890,COLUMN(HeadJournal!B$1),0),"")</f>
        <v>710000721246</v>
      </c>
      <c r="C1450" s="94" t="str">
        <f>IFERROR(VLOOKUP($A1450,HeadJournal!$A$1:$NTR$890,COLUMN(HeadJournal!C$1),0),"")</f>
        <v>iHerb_OA CZN6870</v>
      </c>
      <c r="D1450" s="125" t="str">
        <f>IFERROR(VLOOKUP($A1450,HeadJournal!$A$1:$NTR$890,COLUMN(HeadJournal!D$1),0),"")</f>
        <v>Доставлен</v>
      </c>
      <c r="E1450" s="95">
        <f>IFERROR(VLOOKUP($A1450,HeadJournal!$A$1:$NTR$890,COLUMN(HeadJournal!G$1),0),"")</f>
        <v>45021</v>
      </c>
      <c r="F1450" s="95" t="str">
        <f t="shared" si="114"/>
        <v>2023 04</v>
      </c>
      <c r="G1450" s="96" t="s">
        <v>5</v>
      </c>
      <c r="H1450" s="160" t="str">
        <f>RIGHT(Journal!$J1450,9)</f>
        <v>YUE-00112</v>
      </c>
      <c r="I1450" s="96" t="str">
        <f t="shared" si="116"/>
        <v>YumEarth</v>
      </c>
      <c r="J1450" s="97" t="s">
        <v>641</v>
      </c>
      <c r="K1450" s="29">
        <v>2.0541935483870968</v>
      </c>
      <c r="L1450" s="29">
        <v>-0.41096774193548385</v>
      </c>
      <c r="M1450" s="30">
        <f>IFERROR(VLOOKUP($A1450,HeadJournal!$A$1:$J$890,COLUMN(HeadJournal!I$1),0)*($K1450+$L1450)/(SUMIF($A:$A,$A1450,$K:$K)+SUMIF($A:$A,$A1450,$L:$L)),0)</f>
        <v>0.19722367612679809</v>
      </c>
      <c r="N1450" s="30">
        <f>IFERROR((VLOOKUP($A1450,HeadJournal!$A$1:$K$890,COLUMN(HeadJournal!K$1),0)-VLOOKUP($A1450,HeadJournal!$A$1:$K$890,COLUMN(HeadJournal!J$1),0))*($K1450+$L1450)/(SUMIF($A:$A,$A1450,$K:$K)+SUMIF($A:$A,$A1450,$L:$L)),0)</f>
        <v>-1.1551641454244128E-15</v>
      </c>
      <c r="O1450" s="30">
        <f>IFERROR((VLOOKUP($A1450,HeadJournal!$A$1:$L$890,COLUMN(HeadJournal!L$1),0)*($K1450+$L1450)/(SUMIF($A:$A,$A1450,$K:$K)+SUMIF($A:$A,$A1450,$L:$L)))/VLOOKUP($A1450,HeadJournal!$A$1:$L$890,COLUMN(HeadJournal!H$1),0),0)</f>
        <v>0.16338701731699559</v>
      </c>
      <c r="P1450" s="30">
        <f>IFERROR(SUM(K1450:O1450)*VLOOKUP($A1450,HeadJournal!$A$1:$L$890,COLUMN(HeadJournal!H$1),0),0)</f>
        <v>171.66029716834345</v>
      </c>
      <c r="Q1450" s="29">
        <v>200</v>
      </c>
      <c r="R1450" s="31">
        <v>45056</v>
      </c>
      <c r="S1450" s="31" t="s">
        <v>3121</v>
      </c>
      <c r="T1450" s="95" t="str">
        <f t="shared" si="115"/>
        <v>2023 05</v>
      </c>
      <c r="U1450" s="32">
        <f t="shared" si="112"/>
        <v>28.339702831656552</v>
      </c>
      <c r="V1450" s="22">
        <f t="shared" si="113"/>
        <v>0.16509177310735071</v>
      </c>
      <c r="X1450" s="33"/>
      <c r="Y1450" s="33"/>
    </row>
    <row r="1451" spans="1:25" x14ac:dyDescent="0.2">
      <c r="A1451" s="93" t="s">
        <v>638</v>
      </c>
      <c r="B1451" s="94" t="str">
        <f>IFERROR(VLOOKUP($A1451,HeadJournal!$A$1:$NTR$890,COLUMN(HeadJournal!B$1),0),"")</f>
        <v>710000721246</v>
      </c>
      <c r="C1451" s="94" t="str">
        <f>IFERROR(VLOOKUP($A1451,HeadJournal!$A$1:$NTR$890,COLUMN(HeadJournal!C$1),0),"")</f>
        <v>iHerb_OA CZN6870</v>
      </c>
      <c r="D1451" s="125" t="str">
        <f>IFERROR(VLOOKUP($A1451,HeadJournal!$A$1:$NTR$890,COLUMN(HeadJournal!D$1),0),"")</f>
        <v>Доставлен</v>
      </c>
      <c r="E1451" s="95">
        <f>IFERROR(VLOOKUP($A1451,HeadJournal!$A$1:$NTR$890,COLUMN(HeadJournal!G$1),0),"")</f>
        <v>45021</v>
      </c>
      <c r="F1451" s="95" t="str">
        <f t="shared" si="114"/>
        <v>2023 04</v>
      </c>
      <c r="G1451" s="96" t="s">
        <v>5</v>
      </c>
      <c r="H1451" s="160" t="str">
        <f>RIGHT(Journal!$J1451,9)</f>
        <v>YUE-00112</v>
      </c>
      <c r="I1451" s="96" t="str">
        <f t="shared" si="116"/>
        <v>YumEarth</v>
      </c>
      <c r="J1451" s="97" t="s">
        <v>641</v>
      </c>
      <c r="K1451" s="29">
        <v>2.0541935483870968</v>
      </c>
      <c r="L1451" s="29">
        <v>-0.41096774193548385</v>
      </c>
      <c r="M1451" s="30">
        <f>IFERROR(VLOOKUP($A1451,HeadJournal!$A$1:$J$890,COLUMN(HeadJournal!I$1),0)*($K1451+$L1451)/(SUMIF($A:$A,$A1451,$K:$K)+SUMIF($A:$A,$A1451,$L:$L)),0)</f>
        <v>0.19722367612679809</v>
      </c>
      <c r="N1451" s="30">
        <f>IFERROR((VLOOKUP($A1451,HeadJournal!$A$1:$K$890,COLUMN(HeadJournal!K$1),0)-VLOOKUP($A1451,HeadJournal!$A$1:$K$890,COLUMN(HeadJournal!J$1),0))*($K1451+$L1451)/(SUMIF($A:$A,$A1451,$K:$K)+SUMIF($A:$A,$A1451,$L:$L)),0)</f>
        <v>-1.1551641454244128E-15</v>
      </c>
      <c r="O1451" s="30">
        <f>IFERROR((VLOOKUP($A1451,HeadJournal!$A$1:$L$890,COLUMN(HeadJournal!L$1),0)*($K1451+$L1451)/(SUMIF($A:$A,$A1451,$K:$K)+SUMIF($A:$A,$A1451,$L:$L)))/VLOOKUP($A1451,HeadJournal!$A$1:$L$890,COLUMN(HeadJournal!H$1),0),0)</f>
        <v>0.16338701731699559</v>
      </c>
      <c r="P1451" s="30">
        <f>IFERROR(SUM(K1451:O1451)*VLOOKUP($A1451,HeadJournal!$A$1:$L$890,COLUMN(HeadJournal!H$1),0),0)</f>
        <v>171.66029716834345</v>
      </c>
      <c r="Q1451" s="29">
        <v>200</v>
      </c>
      <c r="R1451" s="31">
        <v>45056</v>
      </c>
      <c r="S1451" s="31" t="s">
        <v>3121</v>
      </c>
      <c r="T1451" s="95" t="str">
        <f t="shared" si="115"/>
        <v>2023 05</v>
      </c>
      <c r="U1451" s="32">
        <f t="shared" si="112"/>
        <v>28.339702831656552</v>
      </c>
      <c r="V1451" s="22">
        <f t="shared" si="113"/>
        <v>0.16509177310735071</v>
      </c>
      <c r="X1451" s="33"/>
      <c r="Y1451" s="33"/>
    </row>
    <row r="1452" spans="1:25" x14ac:dyDescent="0.2">
      <c r="A1452" s="93" t="s">
        <v>638</v>
      </c>
      <c r="B1452" s="94" t="str">
        <f>IFERROR(VLOOKUP($A1452,HeadJournal!$A$1:$NTR$890,COLUMN(HeadJournal!B$1),0),"")</f>
        <v>710000721246</v>
      </c>
      <c r="C1452" s="94" t="str">
        <f>IFERROR(VLOOKUP($A1452,HeadJournal!$A$1:$NTR$890,COLUMN(HeadJournal!C$1),0),"")</f>
        <v>iHerb_OA CZN6870</v>
      </c>
      <c r="D1452" s="125" t="str">
        <f>IFERROR(VLOOKUP($A1452,HeadJournal!$A$1:$NTR$890,COLUMN(HeadJournal!D$1),0),"")</f>
        <v>Доставлен</v>
      </c>
      <c r="E1452" s="95">
        <f>IFERROR(VLOOKUP($A1452,HeadJournal!$A$1:$NTR$890,COLUMN(HeadJournal!G$1),0),"")</f>
        <v>45021</v>
      </c>
      <c r="F1452" s="95" t="str">
        <f t="shared" si="114"/>
        <v>2023 04</v>
      </c>
      <c r="G1452" s="96" t="s">
        <v>5</v>
      </c>
      <c r="H1452" s="160" t="str">
        <f>RIGHT(Journal!$J1452,9)</f>
        <v>YUE-00112</v>
      </c>
      <c r="I1452" s="96" t="str">
        <f t="shared" si="116"/>
        <v>YumEarth</v>
      </c>
      <c r="J1452" s="97" t="s">
        <v>641</v>
      </c>
      <c r="K1452" s="29">
        <v>2.0541935483870968</v>
      </c>
      <c r="L1452" s="29">
        <v>-0.41096774193548385</v>
      </c>
      <c r="M1452" s="30">
        <f>IFERROR(VLOOKUP($A1452,HeadJournal!$A$1:$J$890,COLUMN(HeadJournal!I$1),0)*($K1452+$L1452)/(SUMIF($A:$A,$A1452,$K:$K)+SUMIF($A:$A,$A1452,$L:$L)),0)</f>
        <v>0.19722367612679809</v>
      </c>
      <c r="N1452" s="30">
        <f>IFERROR((VLOOKUP($A1452,HeadJournal!$A$1:$K$890,COLUMN(HeadJournal!K$1),0)-VLOOKUP($A1452,HeadJournal!$A$1:$K$890,COLUMN(HeadJournal!J$1),0))*($K1452+$L1452)/(SUMIF($A:$A,$A1452,$K:$K)+SUMIF($A:$A,$A1452,$L:$L)),0)</f>
        <v>-1.1551641454244128E-15</v>
      </c>
      <c r="O1452" s="30">
        <f>IFERROR((VLOOKUP($A1452,HeadJournal!$A$1:$L$890,COLUMN(HeadJournal!L$1),0)*($K1452+$L1452)/(SUMIF($A:$A,$A1452,$K:$K)+SUMIF($A:$A,$A1452,$L:$L)))/VLOOKUP($A1452,HeadJournal!$A$1:$L$890,COLUMN(HeadJournal!H$1),0),0)</f>
        <v>0.16338701731699559</v>
      </c>
      <c r="P1452" s="30">
        <f>IFERROR(SUM(K1452:O1452)*VLOOKUP($A1452,HeadJournal!$A$1:$L$890,COLUMN(HeadJournal!H$1),0),0)</f>
        <v>171.66029716834345</v>
      </c>
      <c r="Q1452" s="29">
        <v>200</v>
      </c>
      <c r="R1452" s="31">
        <v>45056</v>
      </c>
      <c r="S1452" s="31" t="s">
        <v>3121</v>
      </c>
      <c r="T1452" s="95" t="str">
        <f t="shared" si="115"/>
        <v>2023 05</v>
      </c>
      <c r="U1452" s="32">
        <f t="shared" si="112"/>
        <v>28.339702831656552</v>
      </c>
      <c r="V1452" s="22">
        <f t="shared" si="113"/>
        <v>0.16509177310735071</v>
      </c>
      <c r="X1452" s="33"/>
      <c r="Y1452" s="33"/>
    </row>
    <row r="1453" spans="1:25" x14ac:dyDescent="0.2">
      <c r="A1453" s="93" t="s">
        <v>638</v>
      </c>
      <c r="B1453" s="94" t="str">
        <f>IFERROR(VLOOKUP($A1453,HeadJournal!$A$1:$NTR$890,COLUMN(HeadJournal!B$1),0),"")</f>
        <v>710000721246</v>
      </c>
      <c r="C1453" s="94" t="str">
        <f>IFERROR(VLOOKUP($A1453,HeadJournal!$A$1:$NTR$890,COLUMN(HeadJournal!C$1),0),"")</f>
        <v>iHerb_OA CZN6870</v>
      </c>
      <c r="D1453" s="125" t="str">
        <f>IFERROR(VLOOKUP($A1453,HeadJournal!$A$1:$NTR$890,COLUMN(HeadJournal!D$1),0),"")</f>
        <v>Доставлен</v>
      </c>
      <c r="E1453" s="95">
        <f>IFERROR(VLOOKUP($A1453,HeadJournal!$A$1:$NTR$890,COLUMN(HeadJournal!G$1),0),"")</f>
        <v>45021</v>
      </c>
      <c r="F1453" s="95" t="str">
        <f t="shared" si="114"/>
        <v>2023 04</v>
      </c>
      <c r="G1453" s="96" t="s">
        <v>5</v>
      </c>
      <c r="H1453" s="160" t="str">
        <f>RIGHT(Journal!$J1453,9)</f>
        <v>YUE-00112</v>
      </c>
      <c r="I1453" s="96" t="str">
        <f t="shared" si="116"/>
        <v>YumEarth</v>
      </c>
      <c r="J1453" s="97" t="s">
        <v>641</v>
      </c>
      <c r="K1453" s="29">
        <v>2.0541935483870968</v>
      </c>
      <c r="L1453" s="29">
        <v>-0.41096774193548385</v>
      </c>
      <c r="M1453" s="30">
        <f>IFERROR(VLOOKUP($A1453,HeadJournal!$A$1:$J$890,COLUMN(HeadJournal!I$1),0)*($K1453+$L1453)/(SUMIF($A:$A,$A1453,$K:$K)+SUMIF($A:$A,$A1453,$L:$L)),0)</f>
        <v>0.19722367612679809</v>
      </c>
      <c r="N1453" s="30">
        <f>IFERROR((VLOOKUP($A1453,HeadJournal!$A$1:$K$890,COLUMN(HeadJournal!K$1),0)-VLOOKUP($A1453,HeadJournal!$A$1:$K$890,COLUMN(HeadJournal!J$1),0))*($K1453+$L1453)/(SUMIF($A:$A,$A1453,$K:$K)+SUMIF($A:$A,$A1453,$L:$L)),0)</f>
        <v>-1.1551641454244128E-15</v>
      </c>
      <c r="O1453" s="30">
        <f>IFERROR((VLOOKUP($A1453,HeadJournal!$A$1:$L$890,COLUMN(HeadJournal!L$1),0)*($K1453+$L1453)/(SUMIF($A:$A,$A1453,$K:$K)+SUMIF($A:$A,$A1453,$L:$L)))/VLOOKUP($A1453,HeadJournal!$A$1:$L$890,COLUMN(HeadJournal!H$1),0),0)</f>
        <v>0.16338701731699559</v>
      </c>
      <c r="P1453" s="30">
        <f>IFERROR(SUM(K1453:O1453)*VLOOKUP($A1453,HeadJournal!$A$1:$L$890,COLUMN(HeadJournal!H$1),0),0)</f>
        <v>171.66029716834345</v>
      </c>
      <c r="Q1453" s="29">
        <v>200</v>
      </c>
      <c r="R1453" s="31">
        <v>45056</v>
      </c>
      <c r="S1453" s="31" t="s">
        <v>3121</v>
      </c>
      <c r="T1453" s="95" t="str">
        <f t="shared" si="115"/>
        <v>2023 05</v>
      </c>
      <c r="U1453" s="32">
        <f t="shared" si="112"/>
        <v>28.339702831656552</v>
      </c>
      <c r="V1453" s="22">
        <f t="shared" si="113"/>
        <v>0.16509177310735071</v>
      </c>
      <c r="X1453" s="33"/>
      <c r="Y1453" s="33"/>
    </row>
    <row r="1454" spans="1:25" x14ac:dyDescent="0.2">
      <c r="A1454" s="93" t="s">
        <v>638</v>
      </c>
      <c r="B1454" s="94" t="str">
        <f>IFERROR(VLOOKUP($A1454,HeadJournal!$A$1:$NTR$890,COLUMN(HeadJournal!B$1),0),"")</f>
        <v>710000721246</v>
      </c>
      <c r="C1454" s="94" t="str">
        <f>IFERROR(VLOOKUP($A1454,HeadJournal!$A$1:$NTR$890,COLUMN(HeadJournal!C$1),0),"")</f>
        <v>iHerb_OA CZN6870</v>
      </c>
      <c r="D1454" s="125" t="str">
        <f>IFERROR(VLOOKUP($A1454,HeadJournal!$A$1:$NTR$890,COLUMN(HeadJournal!D$1),0),"")</f>
        <v>Доставлен</v>
      </c>
      <c r="E1454" s="95">
        <f>IFERROR(VLOOKUP($A1454,HeadJournal!$A$1:$NTR$890,COLUMN(HeadJournal!G$1),0),"")</f>
        <v>45021</v>
      </c>
      <c r="F1454" s="95" t="str">
        <f t="shared" si="114"/>
        <v>2023 04</v>
      </c>
      <c r="G1454" s="96" t="s">
        <v>5</v>
      </c>
      <c r="H1454" s="160" t="str">
        <f>RIGHT(Journal!$J1454,9)</f>
        <v>YUE-00112</v>
      </c>
      <c r="I1454" s="96" t="str">
        <f t="shared" si="116"/>
        <v>YumEarth</v>
      </c>
      <c r="J1454" s="97" t="s">
        <v>641</v>
      </c>
      <c r="K1454" s="29">
        <v>2.0541935483870968</v>
      </c>
      <c r="L1454" s="29">
        <v>-0.41096774193548385</v>
      </c>
      <c r="M1454" s="30">
        <f>IFERROR(VLOOKUP($A1454,HeadJournal!$A$1:$J$890,COLUMN(HeadJournal!I$1),0)*($K1454+$L1454)/(SUMIF($A:$A,$A1454,$K:$K)+SUMIF($A:$A,$A1454,$L:$L)),0)</f>
        <v>0.19722367612679809</v>
      </c>
      <c r="N1454" s="30">
        <f>IFERROR((VLOOKUP($A1454,HeadJournal!$A$1:$K$890,COLUMN(HeadJournal!K$1),0)-VLOOKUP($A1454,HeadJournal!$A$1:$K$890,COLUMN(HeadJournal!J$1),0))*($K1454+$L1454)/(SUMIF($A:$A,$A1454,$K:$K)+SUMIF($A:$A,$A1454,$L:$L)),0)</f>
        <v>-1.1551641454244128E-15</v>
      </c>
      <c r="O1454" s="30">
        <f>IFERROR((VLOOKUP($A1454,HeadJournal!$A$1:$L$890,COLUMN(HeadJournal!L$1),0)*($K1454+$L1454)/(SUMIF($A:$A,$A1454,$K:$K)+SUMIF($A:$A,$A1454,$L:$L)))/VLOOKUP($A1454,HeadJournal!$A$1:$L$890,COLUMN(HeadJournal!H$1),0),0)</f>
        <v>0.16338701731699559</v>
      </c>
      <c r="P1454" s="30">
        <f>IFERROR(SUM(K1454:O1454)*VLOOKUP($A1454,HeadJournal!$A$1:$L$890,COLUMN(HeadJournal!H$1),0),0)</f>
        <v>171.66029716834345</v>
      </c>
      <c r="Q1454" s="29">
        <v>200</v>
      </c>
      <c r="R1454" s="31">
        <v>45074</v>
      </c>
      <c r="S1454" s="31" t="s">
        <v>3121</v>
      </c>
      <c r="T1454" s="95" t="str">
        <f t="shared" si="115"/>
        <v>2023 05</v>
      </c>
      <c r="U1454" s="32">
        <f t="shared" si="112"/>
        <v>28.339702831656552</v>
      </c>
      <c r="V1454" s="22">
        <f t="shared" si="113"/>
        <v>0.16509177310735071</v>
      </c>
      <c r="X1454" s="33"/>
      <c r="Y1454" s="33"/>
    </row>
    <row r="1455" spans="1:25" x14ac:dyDescent="0.2">
      <c r="A1455" s="93" t="s">
        <v>638</v>
      </c>
      <c r="B1455" s="94" t="str">
        <f>IFERROR(VLOOKUP($A1455,HeadJournal!$A$1:$NTR$890,COLUMN(HeadJournal!B$1),0),"")</f>
        <v>710000721246</v>
      </c>
      <c r="C1455" s="94" t="str">
        <f>IFERROR(VLOOKUP($A1455,HeadJournal!$A$1:$NTR$890,COLUMN(HeadJournal!C$1),0),"")</f>
        <v>iHerb_OA CZN6870</v>
      </c>
      <c r="D1455" s="125" t="str">
        <f>IFERROR(VLOOKUP($A1455,HeadJournal!$A$1:$NTR$890,COLUMN(HeadJournal!D$1),0),"")</f>
        <v>Доставлен</v>
      </c>
      <c r="E1455" s="95">
        <f>IFERROR(VLOOKUP($A1455,HeadJournal!$A$1:$NTR$890,COLUMN(HeadJournal!G$1),0),"")</f>
        <v>45021</v>
      </c>
      <c r="F1455" s="95" t="str">
        <f t="shared" si="114"/>
        <v>2023 04</v>
      </c>
      <c r="G1455" s="96" t="s">
        <v>5</v>
      </c>
      <c r="H1455" s="160" t="str">
        <f>RIGHT(Journal!$J1455,9)</f>
        <v>YUE-00112</v>
      </c>
      <c r="I1455" s="96" t="str">
        <f t="shared" si="116"/>
        <v>YumEarth</v>
      </c>
      <c r="J1455" s="97" t="s">
        <v>641</v>
      </c>
      <c r="K1455" s="29">
        <v>2.0541935483870968</v>
      </c>
      <c r="L1455" s="29">
        <v>-0.41096774193548385</v>
      </c>
      <c r="M1455" s="30">
        <f>IFERROR(VLOOKUP($A1455,HeadJournal!$A$1:$J$890,COLUMN(HeadJournal!I$1),0)*($K1455+$L1455)/(SUMIF($A:$A,$A1455,$K:$K)+SUMIF($A:$A,$A1455,$L:$L)),0)</f>
        <v>0.19722367612679809</v>
      </c>
      <c r="N1455" s="30">
        <f>IFERROR((VLOOKUP($A1455,HeadJournal!$A$1:$K$890,COLUMN(HeadJournal!K$1),0)-VLOOKUP($A1455,HeadJournal!$A$1:$K$890,COLUMN(HeadJournal!J$1),0))*($K1455+$L1455)/(SUMIF($A:$A,$A1455,$K:$K)+SUMIF($A:$A,$A1455,$L:$L)),0)</f>
        <v>-1.1551641454244128E-15</v>
      </c>
      <c r="O1455" s="30">
        <f>IFERROR((VLOOKUP($A1455,HeadJournal!$A$1:$L$890,COLUMN(HeadJournal!L$1),0)*($K1455+$L1455)/(SUMIF($A:$A,$A1455,$K:$K)+SUMIF($A:$A,$A1455,$L:$L)))/VLOOKUP($A1455,HeadJournal!$A$1:$L$890,COLUMN(HeadJournal!H$1),0),0)</f>
        <v>0.16338701731699559</v>
      </c>
      <c r="P1455" s="30">
        <f>IFERROR(SUM(K1455:O1455)*VLOOKUP($A1455,HeadJournal!$A$1:$L$890,COLUMN(HeadJournal!H$1),0),0)</f>
        <v>171.66029716834345</v>
      </c>
      <c r="Q1455" s="29">
        <v>200</v>
      </c>
      <c r="R1455" s="31">
        <v>45074</v>
      </c>
      <c r="S1455" s="31" t="s">
        <v>3121</v>
      </c>
      <c r="T1455" s="95" t="str">
        <f t="shared" si="115"/>
        <v>2023 05</v>
      </c>
      <c r="U1455" s="32">
        <f t="shared" si="112"/>
        <v>28.339702831656552</v>
      </c>
      <c r="V1455" s="22">
        <f t="shared" si="113"/>
        <v>0.16509177310735071</v>
      </c>
      <c r="X1455" s="33"/>
      <c r="Y1455" s="33"/>
    </row>
    <row r="1456" spans="1:25" x14ac:dyDescent="0.2">
      <c r="A1456" s="93" t="s">
        <v>638</v>
      </c>
      <c r="B1456" s="94" t="str">
        <f>IFERROR(VLOOKUP($A1456,HeadJournal!$A$1:$NTR$890,COLUMN(HeadJournal!B$1),0),"")</f>
        <v>710000721246</v>
      </c>
      <c r="C1456" s="94" t="str">
        <f>IFERROR(VLOOKUP($A1456,HeadJournal!$A$1:$NTR$890,COLUMN(HeadJournal!C$1),0),"")</f>
        <v>iHerb_OA CZN6870</v>
      </c>
      <c r="D1456" s="125" t="str">
        <f>IFERROR(VLOOKUP($A1456,HeadJournal!$A$1:$NTR$890,COLUMN(HeadJournal!D$1),0),"")</f>
        <v>Доставлен</v>
      </c>
      <c r="E1456" s="95">
        <f>IFERROR(VLOOKUP($A1456,HeadJournal!$A$1:$NTR$890,COLUMN(HeadJournal!G$1),0),"")</f>
        <v>45021</v>
      </c>
      <c r="F1456" s="95" t="str">
        <f t="shared" si="114"/>
        <v>2023 04</v>
      </c>
      <c r="G1456" s="96" t="s">
        <v>5</v>
      </c>
      <c r="H1456" s="160" t="str">
        <f>RIGHT(Journal!$J1456,9)</f>
        <v>YUE-00112</v>
      </c>
      <c r="I1456" s="96" t="str">
        <f t="shared" si="116"/>
        <v>YumEarth</v>
      </c>
      <c r="J1456" s="97" t="s">
        <v>641</v>
      </c>
      <c r="K1456" s="29">
        <v>2.0541935483870968</v>
      </c>
      <c r="L1456" s="29">
        <v>-0.41096774193548385</v>
      </c>
      <c r="M1456" s="30">
        <f>IFERROR(VLOOKUP($A1456,HeadJournal!$A$1:$J$890,COLUMN(HeadJournal!I$1),0)*($K1456+$L1456)/(SUMIF($A:$A,$A1456,$K:$K)+SUMIF($A:$A,$A1456,$L:$L)),0)</f>
        <v>0.19722367612679809</v>
      </c>
      <c r="N1456" s="30">
        <f>IFERROR((VLOOKUP($A1456,HeadJournal!$A$1:$K$890,COLUMN(HeadJournal!K$1),0)-VLOOKUP($A1456,HeadJournal!$A$1:$K$890,COLUMN(HeadJournal!J$1),0))*($K1456+$L1456)/(SUMIF($A:$A,$A1456,$K:$K)+SUMIF($A:$A,$A1456,$L:$L)),0)</f>
        <v>-1.1551641454244128E-15</v>
      </c>
      <c r="O1456" s="30">
        <f>IFERROR((VLOOKUP($A1456,HeadJournal!$A$1:$L$890,COLUMN(HeadJournal!L$1),0)*($K1456+$L1456)/(SUMIF($A:$A,$A1456,$K:$K)+SUMIF($A:$A,$A1456,$L:$L)))/VLOOKUP($A1456,HeadJournal!$A$1:$L$890,COLUMN(HeadJournal!H$1),0),0)</f>
        <v>0.16338701731699559</v>
      </c>
      <c r="P1456" s="30">
        <f>IFERROR(SUM(K1456:O1456)*VLOOKUP($A1456,HeadJournal!$A$1:$L$890,COLUMN(HeadJournal!H$1),0),0)</f>
        <v>171.66029716834345</v>
      </c>
      <c r="Q1456" s="29">
        <v>200</v>
      </c>
      <c r="R1456" s="31">
        <v>45074</v>
      </c>
      <c r="S1456" s="31" t="s">
        <v>3121</v>
      </c>
      <c r="T1456" s="95" t="str">
        <f t="shared" si="115"/>
        <v>2023 05</v>
      </c>
      <c r="U1456" s="32">
        <f t="shared" si="112"/>
        <v>28.339702831656552</v>
      </c>
      <c r="V1456" s="22">
        <f t="shared" si="113"/>
        <v>0.16509177310735071</v>
      </c>
      <c r="X1456" s="33"/>
      <c r="Y1456" s="33"/>
    </row>
    <row r="1457" spans="1:25" x14ac:dyDescent="0.2">
      <c r="A1457" s="93" t="s">
        <v>638</v>
      </c>
      <c r="B1457" s="94" t="str">
        <f>IFERROR(VLOOKUP($A1457,HeadJournal!$A$1:$NTR$890,COLUMN(HeadJournal!B$1),0),"")</f>
        <v>710000721246</v>
      </c>
      <c r="C1457" s="94" t="str">
        <f>IFERROR(VLOOKUP($A1457,HeadJournal!$A$1:$NTR$890,COLUMN(HeadJournal!C$1),0),"")</f>
        <v>iHerb_OA CZN6870</v>
      </c>
      <c r="D1457" s="125" t="str">
        <f>IFERROR(VLOOKUP($A1457,HeadJournal!$A$1:$NTR$890,COLUMN(HeadJournal!D$1),0),"")</f>
        <v>Доставлен</v>
      </c>
      <c r="E1457" s="95">
        <f>IFERROR(VLOOKUP($A1457,HeadJournal!$A$1:$NTR$890,COLUMN(HeadJournal!G$1),0),"")</f>
        <v>45021</v>
      </c>
      <c r="F1457" s="95" t="str">
        <f t="shared" si="114"/>
        <v>2023 04</v>
      </c>
      <c r="G1457" s="96" t="s">
        <v>5</v>
      </c>
      <c r="H1457" s="160" t="str">
        <f>RIGHT(Journal!$J1457,9)</f>
        <v>YUE-00112</v>
      </c>
      <c r="I1457" s="96" t="str">
        <f t="shared" si="116"/>
        <v>YumEarth</v>
      </c>
      <c r="J1457" s="97" t="s">
        <v>641</v>
      </c>
      <c r="K1457" s="29">
        <v>2.0541935483870968</v>
      </c>
      <c r="L1457" s="29">
        <v>-0.41096774193548385</v>
      </c>
      <c r="M1457" s="30">
        <f>IFERROR(VLOOKUP($A1457,HeadJournal!$A$1:$J$890,COLUMN(HeadJournal!I$1),0)*($K1457+$L1457)/(SUMIF($A:$A,$A1457,$K:$K)+SUMIF($A:$A,$A1457,$L:$L)),0)</f>
        <v>0.19722367612679809</v>
      </c>
      <c r="N1457" s="30">
        <f>IFERROR((VLOOKUP($A1457,HeadJournal!$A$1:$K$890,COLUMN(HeadJournal!K$1),0)-VLOOKUP($A1457,HeadJournal!$A$1:$K$890,COLUMN(HeadJournal!J$1),0))*($K1457+$L1457)/(SUMIF($A:$A,$A1457,$K:$K)+SUMIF($A:$A,$A1457,$L:$L)),0)</f>
        <v>-1.1551641454244128E-15</v>
      </c>
      <c r="O1457" s="30">
        <f>IFERROR((VLOOKUP($A1457,HeadJournal!$A$1:$L$890,COLUMN(HeadJournal!L$1),0)*($K1457+$L1457)/(SUMIF($A:$A,$A1457,$K:$K)+SUMIF($A:$A,$A1457,$L:$L)))/VLOOKUP($A1457,HeadJournal!$A$1:$L$890,COLUMN(HeadJournal!H$1),0),0)</f>
        <v>0.16338701731699559</v>
      </c>
      <c r="P1457" s="30">
        <f>IFERROR(SUM(K1457:O1457)*VLOOKUP($A1457,HeadJournal!$A$1:$L$890,COLUMN(HeadJournal!H$1),0),0)</f>
        <v>171.66029716834345</v>
      </c>
      <c r="Q1457" s="29">
        <v>200</v>
      </c>
      <c r="R1457" s="31">
        <v>45074</v>
      </c>
      <c r="S1457" s="31" t="s">
        <v>3121</v>
      </c>
      <c r="T1457" s="95" t="str">
        <f t="shared" si="115"/>
        <v>2023 05</v>
      </c>
      <c r="U1457" s="32">
        <f t="shared" si="112"/>
        <v>28.339702831656552</v>
      </c>
      <c r="V1457" s="22">
        <f t="shared" si="113"/>
        <v>0.16509177310735071</v>
      </c>
      <c r="X1457" s="33"/>
      <c r="Y1457" s="33"/>
    </row>
    <row r="1458" spans="1:25" x14ac:dyDescent="0.2">
      <c r="A1458" s="93" t="s">
        <v>638</v>
      </c>
      <c r="B1458" s="94" t="str">
        <f>IFERROR(VLOOKUP($A1458,HeadJournal!$A$1:$NTR$890,COLUMN(HeadJournal!B$1),0),"")</f>
        <v>710000721246</v>
      </c>
      <c r="C1458" s="94" t="str">
        <f>IFERROR(VLOOKUP($A1458,HeadJournal!$A$1:$NTR$890,COLUMN(HeadJournal!C$1),0),"")</f>
        <v>iHerb_OA CZN6870</v>
      </c>
      <c r="D1458" s="125" t="str">
        <f>IFERROR(VLOOKUP($A1458,HeadJournal!$A$1:$NTR$890,COLUMN(HeadJournal!D$1),0),"")</f>
        <v>Доставлен</v>
      </c>
      <c r="E1458" s="95">
        <f>IFERROR(VLOOKUP($A1458,HeadJournal!$A$1:$NTR$890,COLUMN(HeadJournal!G$1),0),"")</f>
        <v>45021</v>
      </c>
      <c r="F1458" s="95" t="str">
        <f t="shared" si="114"/>
        <v>2023 04</v>
      </c>
      <c r="G1458" s="96" t="s">
        <v>5</v>
      </c>
      <c r="H1458" s="160" t="str">
        <f>RIGHT(Journal!$J1458,9)</f>
        <v>YUE-00112</v>
      </c>
      <c r="I1458" s="96" t="str">
        <f t="shared" si="116"/>
        <v>YumEarth</v>
      </c>
      <c r="J1458" s="97" t="s">
        <v>641</v>
      </c>
      <c r="K1458" s="29">
        <v>2.0541935483870968</v>
      </c>
      <c r="L1458" s="29">
        <v>-0.41096774193548385</v>
      </c>
      <c r="M1458" s="30">
        <f>IFERROR(VLOOKUP($A1458,HeadJournal!$A$1:$J$890,COLUMN(HeadJournal!I$1),0)*($K1458+$L1458)/(SUMIF($A:$A,$A1458,$K:$K)+SUMIF($A:$A,$A1458,$L:$L)),0)</f>
        <v>0.19722367612679809</v>
      </c>
      <c r="N1458" s="30">
        <f>IFERROR((VLOOKUP($A1458,HeadJournal!$A$1:$K$890,COLUMN(HeadJournal!K$1),0)-VLOOKUP($A1458,HeadJournal!$A$1:$K$890,COLUMN(HeadJournal!J$1),0))*($K1458+$L1458)/(SUMIF($A:$A,$A1458,$K:$K)+SUMIF($A:$A,$A1458,$L:$L)),0)</f>
        <v>-1.1551641454244128E-15</v>
      </c>
      <c r="O1458" s="30">
        <f>IFERROR((VLOOKUP($A1458,HeadJournal!$A$1:$L$890,COLUMN(HeadJournal!L$1),0)*($K1458+$L1458)/(SUMIF($A:$A,$A1458,$K:$K)+SUMIF($A:$A,$A1458,$L:$L)))/VLOOKUP($A1458,HeadJournal!$A$1:$L$890,COLUMN(HeadJournal!H$1),0),0)</f>
        <v>0.16338701731699559</v>
      </c>
      <c r="P1458" s="30">
        <f>IFERROR(SUM(K1458:O1458)*VLOOKUP($A1458,HeadJournal!$A$1:$L$890,COLUMN(HeadJournal!H$1),0),0)</f>
        <v>171.66029716834345</v>
      </c>
      <c r="Q1458" s="29">
        <v>200</v>
      </c>
      <c r="R1458" s="31">
        <v>45074</v>
      </c>
      <c r="S1458" s="31" t="s">
        <v>3121</v>
      </c>
      <c r="T1458" s="95" t="str">
        <f t="shared" si="115"/>
        <v>2023 05</v>
      </c>
      <c r="U1458" s="32">
        <f t="shared" si="112"/>
        <v>28.339702831656552</v>
      </c>
      <c r="V1458" s="22">
        <f t="shared" si="113"/>
        <v>0.16509177310735071</v>
      </c>
      <c r="X1458" s="33"/>
      <c r="Y1458" s="33"/>
    </row>
    <row r="1459" spans="1:25" x14ac:dyDescent="0.2">
      <c r="A1459" s="93" t="s">
        <v>638</v>
      </c>
      <c r="B1459" s="94" t="str">
        <f>IFERROR(VLOOKUP($A1459,HeadJournal!$A$1:$NTR$890,COLUMN(HeadJournal!B$1),0),"")</f>
        <v>710000721246</v>
      </c>
      <c r="C1459" s="94" t="str">
        <f>IFERROR(VLOOKUP($A1459,HeadJournal!$A$1:$NTR$890,COLUMN(HeadJournal!C$1),0),"")</f>
        <v>iHerb_OA CZN6870</v>
      </c>
      <c r="D1459" s="125" t="str">
        <f>IFERROR(VLOOKUP($A1459,HeadJournal!$A$1:$NTR$890,COLUMN(HeadJournal!D$1),0),"")</f>
        <v>Доставлен</v>
      </c>
      <c r="E1459" s="95">
        <f>IFERROR(VLOOKUP($A1459,HeadJournal!$A$1:$NTR$890,COLUMN(HeadJournal!G$1),0),"")</f>
        <v>45021</v>
      </c>
      <c r="F1459" s="95" t="str">
        <f t="shared" si="114"/>
        <v>2023 04</v>
      </c>
      <c r="G1459" s="96" t="s">
        <v>5</v>
      </c>
      <c r="H1459" s="160" t="str">
        <f>RIGHT(Journal!$J1459,9)</f>
        <v>YUE-00112</v>
      </c>
      <c r="I1459" s="96" t="str">
        <f t="shared" si="116"/>
        <v>YumEarth</v>
      </c>
      <c r="J1459" s="97" t="s">
        <v>641</v>
      </c>
      <c r="K1459" s="29">
        <v>2.0541935483870968</v>
      </c>
      <c r="L1459" s="29">
        <v>-0.41096774193548385</v>
      </c>
      <c r="M1459" s="30">
        <f>IFERROR(VLOOKUP($A1459,HeadJournal!$A$1:$J$890,COLUMN(HeadJournal!I$1),0)*($K1459+$L1459)/(SUMIF($A:$A,$A1459,$K:$K)+SUMIF($A:$A,$A1459,$L:$L)),0)</f>
        <v>0.19722367612679809</v>
      </c>
      <c r="N1459" s="30">
        <f>IFERROR((VLOOKUP($A1459,HeadJournal!$A$1:$K$890,COLUMN(HeadJournal!K$1),0)-VLOOKUP($A1459,HeadJournal!$A$1:$K$890,COLUMN(HeadJournal!J$1),0))*($K1459+$L1459)/(SUMIF($A:$A,$A1459,$K:$K)+SUMIF($A:$A,$A1459,$L:$L)),0)</f>
        <v>-1.1551641454244128E-15</v>
      </c>
      <c r="O1459" s="30">
        <f>IFERROR((VLOOKUP($A1459,HeadJournal!$A$1:$L$890,COLUMN(HeadJournal!L$1),0)*($K1459+$L1459)/(SUMIF($A:$A,$A1459,$K:$K)+SUMIF($A:$A,$A1459,$L:$L)))/VLOOKUP($A1459,HeadJournal!$A$1:$L$890,COLUMN(HeadJournal!H$1),0),0)</f>
        <v>0.16338701731699559</v>
      </c>
      <c r="P1459" s="30">
        <f>IFERROR(SUM(K1459:O1459)*VLOOKUP($A1459,HeadJournal!$A$1:$L$890,COLUMN(HeadJournal!H$1),0),0)</f>
        <v>171.66029716834345</v>
      </c>
      <c r="Q1459" s="29">
        <v>200</v>
      </c>
      <c r="R1459" s="31">
        <v>45074</v>
      </c>
      <c r="S1459" s="31" t="s">
        <v>3121</v>
      </c>
      <c r="T1459" s="95" t="str">
        <f t="shared" si="115"/>
        <v>2023 05</v>
      </c>
      <c r="U1459" s="32">
        <f t="shared" si="112"/>
        <v>28.339702831656552</v>
      </c>
      <c r="V1459" s="22">
        <f t="shared" si="113"/>
        <v>0.16509177310735071</v>
      </c>
      <c r="X1459" s="33"/>
      <c r="Y1459" s="33"/>
    </row>
    <row r="1460" spans="1:25" x14ac:dyDescent="0.2">
      <c r="A1460" s="93" t="s">
        <v>638</v>
      </c>
      <c r="B1460" s="94" t="str">
        <f>IFERROR(VLOOKUP($A1460,HeadJournal!$A$1:$NTR$890,COLUMN(HeadJournal!B$1),0),"")</f>
        <v>710000721246</v>
      </c>
      <c r="C1460" s="94" t="str">
        <f>IFERROR(VLOOKUP($A1460,HeadJournal!$A$1:$NTR$890,COLUMN(HeadJournal!C$1),0),"")</f>
        <v>iHerb_OA CZN6870</v>
      </c>
      <c r="D1460" s="125" t="str">
        <f>IFERROR(VLOOKUP($A1460,HeadJournal!$A$1:$NTR$890,COLUMN(HeadJournal!D$1),0),"")</f>
        <v>Доставлен</v>
      </c>
      <c r="E1460" s="95">
        <f>IFERROR(VLOOKUP($A1460,HeadJournal!$A$1:$NTR$890,COLUMN(HeadJournal!G$1),0),"")</f>
        <v>45021</v>
      </c>
      <c r="F1460" s="95" t="str">
        <f t="shared" si="114"/>
        <v>2023 04</v>
      </c>
      <c r="G1460" s="96" t="s">
        <v>5</v>
      </c>
      <c r="H1460" s="160" t="str">
        <f>RIGHT(Journal!$J1460,9)</f>
        <v>YUE-00112</v>
      </c>
      <c r="I1460" s="96" t="str">
        <f t="shared" si="116"/>
        <v>YumEarth</v>
      </c>
      <c r="J1460" s="97" t="s">
        <v>641</v>
      </c>
      <c r="K1460" s="29">
        <v>2.0541935483870968</v>
      </c>
      <c r="L1460" s="29">
        <v>-0.41096774193548385</v>
      </c>
      <c r="M1460" s="30">
        <f>IFERROR(VLOOKUP($A1460,HeadJournal!$A$1:$J$890,COLUMN(HeadJournal!I$1),0)*($K1460+$L1460)/(SUMIF($A:$A,$A1460,$K:$K)+SUMIF($A:$A,$A1460,$L:$L)),0)</f>
        <v>0.19722367612679809</v>
      </c>
      <c r="N1460" s="30">
        <f>IFERROR((VLOOKUP($A1460,HeadJournal!$A$1:$K$890,COLUMN(HeadJournal!K$1),0)-VLOOKUP($A1460,HeadJournal!$A$1:$K$890,COLUMN(HeadJournal!J$1),0))*($K1460+$L1460)/(SUMIF($A:$A,$A1460,$K:$K)+SUMIF($A:$A,$A1460,$L:$L)),0)</f>
        <v>-1.1551641454244128E-15</v>
      </c>
      <c r="O1460" s="30">
        <f>IFERROR((VLOOKUP($A1460,HeadJournal!$A$1:$L$890,COLUMN(HeadJournal!L$1),0)*($K1460+$L1460)/(SUMIF($A:$A,$A1460,$K:$K)+SUMIF($A:$A,$A1460,$L:$L)))/VLOOKUP($A1460,HeadJournal!$A$1:$L$890,COLUMN(HeadJournal!H$1),0),0)</f>
        <v>0.16338701731699559</v>
      </c>
      <c r="P1460" s="30">
        <f>IFERROR(SUM(K1460:O1460)*VLOOKUP($A1460,HeadJournal!$A$1:$L$890,COLUMN(HeadJournal!H$1),0),0)</f>
        <v>171.66029716834345</v>
      </c>
      <c r="Q1460" s="29">
        <v>300</v>
      </c>
      <c r="R1460" s="31">
        <v>45094</v>
      </c>
      <c r="S1460" s="31" t="s">
        <v>3121</v>
      </c>
      <c r="T1460" s="95" t="str">
        <f t="shared" si="115"/>
        <v>2023 06</v>
      </c>
      <c r="U1460" s="32">
        <f t="shared" si="112"/>
        <v>128.33970283165655</v>
      </c>
      <c r="V1460" s="22">
        <f t="shared" si="113"/>
        <v>0.74763765966102602</v>
      </c>
      <c r="X1460" s="33"/>
      <c r="Y1460" s="33"/>
    </row>
    <row r="1461" spans="1:25" x14ac:dyDescent="0.2">
      <c r="A1461" s="93" t="s">
        <v>638</v>
      </c>
      <c r="B1461" s="94" t="str">
        <f>IFERROR(VLOOKUP($A1461,HeadJournal!$A$1:$NTR$890,COLUMN(HeadJournal!B$1),0),"")</f>
        <v>710000721246</v>
      </c>
      <c r="C1461" s="94" t="str">
        <f>IFERROR(VLOOKUP($A1461,HeadJournal!$A$1:$NTR$890,COLUMN(HeadJournal!C$1),0),"")</f>
        <v>iHerb_OA CZN6870</v>
      </c>
      <c r="D1461" s="125" t="str">
        <f>IFERROR(VLOOKUP($A1461,HeadJournal!$A$1:$NTR$890,COLUMN(HeadJournal!D$1),0),"")</f>
        <v>Доставлен</v>
      </c>
      <c r="E1461" s="95">
        <f>IFERROR(VLOOKUP($A1461,HeadJournal!$A$1:$NTR$890,COLUMN(HeadJournal!G$1),0),"")</f>
        <v>45021</v>
      </c>
      <c r="F1461" s="95" t="str">
        <f t="shared" si="114"/>
        <v>2023 04</v>
      </c>
      <c r="G1461" s="96" t="s">
        <v>5</v>
      </c>
      <c r="H1461" s="160" t="str">
        <f>RIGHT(Journal!$J1461,9)</f>
        <v>YUE-00112</v>
      </c>
      <c r="I1461" s="96" t="str">
        <f t="shared" si="116"/>
        <v>YumEarth</v>
      </c>
      <c r="J1461" s="97" t="s">
        <v>641</v>
      </c>
      <c r="K1461" s="29">
        <v>2.0541935483870968</v>
      </c>
      <c r="L1461" s="29">
        <v>-0.41096774193548385</v>
      </c>
      <c r="M1461" s="30">
        <f>IFERROR(VLOOKUP($A1461,HeadJournal!$A$1:$J$890,COLUMN(HeadJournal!I$1),0)*($K1461+$L1461)/(SUMIF($A:$A,$A1461,$K:$K)+SUMIF($A:$A,$A1461,$L:$L)),0)</f>
        <v>0.19722367612679809</v>
      </c>
      <c r="N1461" s="30">
        <f>IFERROR((VLOOKUP($A1461,HeadJournal!$A$1:$K$890,COLUMN(HeadJournal!K$1),0)-VLOOKUP($A1461,HeadJournal!$A$1:$K$890,COLUMN(HeadJournal!J$1),0))*($K1461+$L1461)/(SUMIF($A:$A,$A1461,$K:$K)+SUMIF($A:$A,$A1461,$L:$L)),0)</f>
        <v>-1.1551641454244128E-15</v>
      </c>
      <c r="O1461" s="30">
        <f>IFERROR((VLOOKUP($A1461,HeadJournal!$A$1:$L$890,COLUMN(HeadJournal!L$1),0)*($K1461+$L1461)/(SUMIF($A:$A,$A1461,$K:$K)+SUMIF($A:$A,$A1461,$L:$L)))/VLOOKUP($A1461,HeadJournal!$A$1:$L$890,COLUMN(HeadJournal!H$1),0),0)</f>
        <v>0.16338701731699559</v>
      </c>
      <c r="P1461" s="30">
        <f>IFERROR(SUM(K1461:O1461)*VLOOKUP($A1461,HeadJournal!$A$1:$L$890,COLUMN(HeadJournal!H$1),0),0)</f>
        <v>171.66029716834345</v>
      </c>
      <c r="Q1461" s="29">
        <v>300</v>
      </c>
      <c r="R1461" s="31">
        <v>45094</v>
      </c>
      <c r="S1461" s="31" t="s">
        <v>3121</v>
      </c>
      <c r="T1461" s="95" t="str">
        <f t="shared" si="115"/>
        <v>2023 06</v>
      </c>
      <c r="U1461" s="32">
        <f t="shared" si="112"/>
        <v>128.33970283165655</v>
      </c>
      <c r="V1461" s="22">
        <f t="shared" si="113"/>
        <v>0.74763765966102602</v>
      </c>
      <c r="X1461" s="33"/>
      <c r="Y1461" s="33"/>
    </row>
    <row r="1462" spans="1:25" x14ac:dyDescent="0.2">
      <c r="A1462" s="93" t="s">
        <v>638</v>
      </c>
      <c r="B1462" s="94" t="str">
        <f>IFERROR(VLOOKUP($A1462,HeadJournal!$A$1:$NTR$890,COLUMN(HeadJournal!B$1),0),"")</f>
        <v>710000721246</v>
      </c>
      <c r="C1462" s="94" t="str">
        <f>IFERROR(VLOOKUP($A1462,HeadJournal!$A$1:$NTR$890,COLUMN(HeadJournal!C$1),0),"")</f>
        <v>iHerb_OA CZN6870</v>
      </c>
      <c r="D1462" s="125" t="str">
        <f>IFERROR(VLOOKUP($A1462,HeadJournal!$A$1:$NTR$890,COLUMN(HeadJournal!D$1),0),"")</f>
        <v>Доставлен</v>
      </c>
      <c r="E1462" s="95">
        <f>IFERROR(VLOOKUP($A1462,HeadJournal!$A$1:$NTR$890,COLUMN(HeadJournal!G$1),0),"")</f>
        <v>45021</v>
      </c>
      <c r="F1462" s="95" t="str">
        <f t="shared" si="114"/>
        <v>2023 04</v>
      </c>
      <c r="G1462" s="96" t="s">
        <v>5</v>
      </c>
      <c r="H1462" s="160" t="str">
        <f>RIGHT(Journal!$J1462,9)</f>
        <v>YUE-00112</v>
      </c>
      <c r="I1462" s="96" t="str">
        <f t="shared" si="116"/>
        <v>YumEarth</v>
      </c>
      <c r="J1462" s="97" t="s">
        <v>641</v>
      </c>
      <c r="K1462" s="29">
        <v>2.0541935483870968</v>
      </c>
      <c r="L1462" s="29">
        <v>-0.41096774193548385</v>
      </c>
      <c r="M1462" s="30">
        <f>IFERROR(VLOOKUP($A1462,HeadJournal!$A$1:$J$890,COLUMN(HeadJournal!I$1),0)*($K1462+$L1462)/(SUMIF($A:$A,$A1462,$K:$K)+SUMIF($A:$A,$A1462,$L:$L)),0)</f>
        <v>0.19722367612679809</v>
      </c>
      <c r="N1462" s="30">
        <f>IFERROR((VLOOKUP($A1462,HeadJournal!$A$1:$K$890,COLUMN(HeadJournal!K$1),0)-VLOOKUP($A1462,HeadJournal!$A$1:$K$890,COLUMN(HeadJournal!J$1),0))*($K1462+$L1462)/(SUMIF($A:$A,$A1462,$K:$K)+SUMIF($A:$A,$A1462,$L:$L)),0)</f>
        <v>-1.1551641454244128E-15</v>
      </c>
      <c r="O1462" s="30">
        <f>IFERROR((VLOOKUP($A1462,HeadJournal!$A$1:$L$890,COLUMN(HeadJournal!L$1),0)*($K1462+$L1462)/(SUMIF($A:$A,$A1462,$K:$K)+SUMIF($A:$A,$A1462,$L:$L)))/VLOOKUP($A1462,HeadJournal!$A$1:$L$890,COLUMN(HeadJournal!H$1),0),0)</f>
        <v>0.16338701731699559</v>
      </c>
      <c r="P1462" s="30">
        <f>IFERROR(SUM(K1462:O1462)*VLOOKUP($A1462,HeadJournal!$A$1:$L$890,COLUMN(HeadJournal!H$1),0),0)</f>
        <v>171.66029716834345</v>
      </c>
      <c r="Q1462" s="29">
        <v>171.66</v>
      </c>
      <c r="R1462" s="31">
        <v>45094</v>
      </c>
      <c r="S1462" s="31" t="s">
        <v>3121</v>
      </c>
      <c r="T1462" s="95" t="str">
        <f t="shared" si="115"/>
        <v>2023 06</v>
      </c>
      <c r="U1462" s="32">
        <f t="shared" si="112"/>
        <v>-2.9716834345094867E-4</v>
      </c>
      <c r="V1462" s="22">
        <f t="shared" si="113"/>
        <v>-1.7311419609131998E-6</v>
      </c>
      <c r="X1462" s="33"/>
      <c r="Y1462" s="33"/>
    </row>
    <row r="1463" spans="1:25" x14ac:dyDescent="0.2">
      <c r="A1463" s="93" t="s">
        <v>638</v>
      </c>
      <c r="B1463" s="94" t="str">
        <f>IFERROR(VLOOKUP($A1463,HeadJournal!$A$1:$NTR$890,COLUMN(HeadJournal!B$1),0),"")</f>
        <v>710000721246</v>
      </c>
      <c r="C1463" s="94" t="str">
        <f>IFERROR(VLOOKUP($A1463,HeadJournal!$A$1:$NTR$890,COLUMN(HeadJournal!C$1),0),"")</f>
        <v>iHerb_OA CZN6870</v>
      </c>
      <c r="D1463" s="125" t="str">
        <f>IFERROR(VLOOKUP($A1463,HeadJournal!$A$1:$NTR$890,COLUMN(HeadJournal!D$1),0),"")</f>
        <v>Доставлен</v>
      </c>
      <c r="E1463" s="95">
        <f>IFERROR(VLOOKUP($A1463,HeadJournal!$A$1:$NTR$890,COLUMN(HeadJournal!G$1),0),"")</f>
        <v>45021</v>
      </c>
      <c r="F1463" s="95" t="str">
        <f t="shared" si="114"/>
        <v>2023 04</v>
      </c>
      <c r="G1463" s="96" t="s">
        <v>5</v>
      </c>
      <c r="H1463" s="160" t="str">
        <f>RIGHT(Journal!$J1463,9)</f>
        <v>YUE-00112</v>
      </c>
      <c r="I1463" s="96" t="str">
        <f t="shared" si="116"/>
        <v>YumEarth</v>
      </c>
      <c r="J1463" s="97" t="s">
        <v>641</v>
      </c>
      <c r="K1463" s="29">
        <v>2.0541935483870968</v>
      </c>
      <c r="L1463" s="29">
        <v>-0.41096774193548385</v>
      </c>
      <c r="M1463" s="30">
        <f>IFERROR(VLOOKUP($A1463,HeadJournal!$A$1:$J$890,COLUMN(HeadJournal!I$1),0)*($K1463+$L1463)/(SUMIF($A:$A,$A1463,$K:$K)+SUMIF($A:$A,$A1463,$L:$L)),0)</f>
        <v>0.19722367612679809</v>
      </c>
      <c r="N1463" s="30">
        <f>IFERROR((VLOOKUP($A1463,HeadJournal!$A$1:$K$890,COLUMN(HeadJournal!K$1),0)-VLOOKUP($A1463,HeadJournal!$A$1:$K$890,COLUMN(HeadJournal!J$1),0))*($K1463+$L1463)/(SUMIF($A:$A,$A1463,$K:$K)+SUMIF($A:$A,$A1463,$L:$L)),0)</f>
        <v>-1.1551641454244128E-15</v>
      </c>
      <c r="O1463" s="30">
        <f>IFERROR((VLOOKUP($A1463,HeadJournal!$A$1:$L$890,COLUMN(HeadJournal!L$1),0)*($K1463+$L1463)/(SUMIF($A:$A,$A1463,$K:$K)+SUMIF($A:$A,$A1463,$L:$L)))/VLOOKUP($A1463,HeadJournal!$A$1:$L$890,COLUMN(HeadJournal!H$1),0),0)</f>
        <v>0.16338701731699559</v>
      </c>
      <c r="P1463" s="30">
        <f>IFERROR(SUM(K1463:O1463)*VLOOKUP($A1463,HeadJournal!$A$1:$L$890,COLUMN(HeadJournal!H$1),0),0)</f>
        <v>171.66029716834345</v>
      </c>
      <c r="Q1463" s="29">
        <v>250</v>
      </c>
      <c r="R1463" s="31">
        <v>45239</v>
      </c>
      <c r="S1463" s="31" t="s">
        <v>3121</v>
      </c>
      <c r="T1463" s="95" t="str">
        <f t="shared" si="115"/>
        <v>2023 11</v>
      </c>
      <c r="U1463" s="32">
        <f t="shared" si="112"/>
        <v>78.339702831656552</v>
      </c>
      <c r="V1463" s="22">
        <f t="shared" si="113"/>
        <v>0.45636471638418835</v>
      </c>
      <c r="X1463" s="33"/>
      <c r="Y1463" s="33"/>
    </row>
    <row r="1464" spans="1:25" x14ac:dyDescent="0.2">
      <c r="A1464" s="93" t="s">
        <v>638</v>
      </c>
      <c r="B1464" s="94" t="str">
        <f>IFERROR(VLOOKUP($A1464,HeadJournal!$A$1:$NTR$890,COLUMN(HeadJournal!B$1),0),"")</f>
        <v>710000721246</v>
      </c>
      <c r="C1464" s="94" t="str">
        <f>IFERROR(VLOOKUP($A1464,HeadJournal!$A$1:$NTR$890,COLUMN(HeadJournal!C$1),0),"")</f>
        <v>iHerb_OA CZN6870</v>
      </c>
      <c r="D1464" s="125" t="str">
        <f>IFERROR(VLOOKUP($A1464,HeadJournal!$A$1:$NTR$890,COLUMN(HeadJournal!D$1),0),"")</f>
        <v>Доставлен</v>
      </c>
      <c r="E1464" s="95">
        <f>IFERROR(VLOOKUP($A1464,HeadJournal!$A$1:$NTR$890,COLUMN(HeadJournal!G$1),0),"")</f>
        <v>45021</v>
      </c>
      <c r="F1464" s="95" t="str">
        <f t="shared" si="114"/>
        <v>2023 04</v>
      </c>
      <c r="G1464" s="96" t="s">
        <v>5</v>
      </c>
      <c r="H1464" s="160" t="str">
        <f>RIGHT(Journal!$J1464,9)</f>
        <v>YUE-00112</v>
      </c>
      <c r="I1464" s="96" t="str">
        <f t="shared" si="116"/>
        <v>YumEarth</v>
      </c>
      <c r="J1464" s="97" t="s">
        <v>641</v>
      </c>
      <c r="K1464" s="29">
        <v>2.0541935483870968</v>
      </c>
      <c r="L1464" s="29">
        <v>-0.41096774193548385</v>
      </c>
      <c r="M1464" s="30">
        <f>IFERROR(VLOOKUP($A1464,HeadJournal!$A$1:$J$890,COLUMN(HeadJournal!I$1),0)*($K1464+$L1464)/(SUMIF($A:$A,$A1464,$K:$K)+SUMIF($A:$A,$A1464,$L:$L)),0)</f>
        <v>0.19722367612679809</v>
      </c>
      <c r="N1464" s="30">
        <f>IFERROR((VLOOKUP($A1464,HeadJournal!$A$1:$K$890,COLUMN(HeadJournal!K$1),0)-VLOOKUP($A1464,HeadJournal!$A$1:$K$890,COLUMN(HeadJournal!J$1),0))*($K1464+$L1464)/(SUMIF($A:$A,$A1464,$K:$K)+SUMIF($A:$A,$A1464,$L:$L)),0)</f>
        <v>-1.1551641454244128E-15</v>
      </c>
      <c r="O1464" s="30">
        <f>IFERROR((VLOOKUP($A1464,HeadJournal!$A$1:$L$890,COLUMN(HeadJournal!L$1),0)*($K1464+$L1464)/(SUMIF($A:$A,$A1464,$K:$K)+SUMIF($A:$A,$A1464,$L:$L)))/VLOOKUP($A1464,HeadJournal!$A$1:$L$890,COLUMN(HeadJournal!H$1),0),0)</f>
        <v>0.16338701731699559</v>
      </c>
      <c r="P1464" s="30">
        <f>IFERROR(SUM(K1464:O1464)*VLOOKUP($A1464,HeadJournal!$A$1:$L$890,COLUMN(HeadJournal!H$1),0),0)</f>
        <v>171.66029716834345</v>
      </c>
      <c r="Q1464" s="29">
        <v>250</v>
      </c>
      <c r="R1464" s="31">
        <v>45239</v>
      </c>
      <c r="S1464" s="31" t="s">
        <v>3121</v>
      </c>
      <c r="T1464" s="95" t="str">
        <f t="shared" si="115"/>
        <v>2023 11</v>
      </c>
      <c r="U1464" s="32">
        <f t="shared" si="112"/>
        <v>78.339702831656552</v>
      </c>
      <c r="V1464" s="22">
        <f t="shared" si="113"/>
        <v>0.45636471638418835</v>
      </c>
      <c r="X1464" s="33"/>
      <c r="Y1464" s="33"/>
    </row>
    <row r="1465" spans="1:25" x14ac:dyDescent="0.2">
      <c r="A1465" s="93" t="s">
        <v>638</v>
      </c>
      <c r="B1465" s="94" t="str">
        <f>IFERROR(VLOOKUP($A1465,HeadJournal!$A$1:$NTR$890,COLUMN(HeadJournal!B$1),0),"")</f>
        <v>710000721246</v>
      </c>
      <c r="C1465" s="94" t="str">
        <f>IFERROR(VLOOKUP($A1465,HeadJournal!$A$1:$NTR$890,COLUMN(HeadJournal!C$1),0),"")</f>
        <v>iHerb_OA CZN6870</v>
      </c>
      <c r="D1465" s="125" t="str">
        <f>IFERROR(VLOOKUP($A1465,HeadJournal!$A$1:$NTR$890,COLUMN(HeadJournal!D$1),0),"")</f>
        <v>Доставлен</v>
      </c>
      <c r="E1465" s="95">
        <f>IFERROR(VLOOKUP($A1465,HeadJournal!$A$1:$NTR$890,COLUMN(HeadJournal!G$1),0),"")</f>
        <v>45021</v>
      </c>
      <c r="F1465" s="95" t="str">
        <f t="shared" si="114"/>
        <v>2023 04</v>
      </c>
      <c r="G1465" s="96" t="s">
        <v>5</v>
      </c>
      <c r="H1465" s="160" t="str">
        <f>RIGHT(Journal!$J1465,9)</f>
        <v>YUE-00112</v>
      </c>
      <c r="I1465" s="96" t="str">
        <f t="shared" si="116"/>
        <v>YumEarth</v>
      </c>
      <c r="J1465" s="97" t="s">
        <v>641</v>
      </c>
      <c r="K1465" s="29">
        <v>2.0541935483870968</v>
      </c>
      <c r="L1465" s="29">
        <v>-0.41096774193548385</v>
      </c>
      <c r="M1465" s="30">
        <f>IFERROR(VLOOKUP($A1465,HeadJournal!$A$1:$J$890,COLUMN(HeadJournal!I$1),0)*($K1465+$L1465)/(SUMIF($A:$A,$A1465,$K:$K)+SUMIF($A:$A,$A1465,$L:$L)),0)</f>
        <v>0.19722367612679809</v>
      </c>
      <c r="N1465" s="30">
        <f>IFERROR((VLOOKUP($A1465,HeadJournal!$A$1:$K$890,COLUMN(HeadJournal!K$1),0)-VLOOKUP($A1465,HeadJournal!$A$1:$K$890,COLUMN(HeadJournal!J$1),0))*($K1465+$L1465)/(SUMIF($A:$A,$A1465,$K:$K)+SUMIF($A:$A,$A1465,$L:$L)),0)</f>
        <v>-1.1551641454244128E-15</v>
      </c>
      <c r="O1465" s="30">
        <f>IFERROR((VLOOKUP($A1465,HeadJournal!$A$1:$L$890,COLUMN(HeadJournal!L$1),0)*($K1465+$L1465)/(SUMIF($A:$A,$A1465,$K:$K)+SUMIF($A:$A,$A1465,$L:$L)))/VLOOKUP($A1465,HeadJournal!$A$1:$L$890,COLUMN(HeadJournal!H$1),0),0)</f>
        <v>0.16338701731699559</v>
      </c>
      <c r="P1465" s="30">
        <f>IFERROR(SUM(K1465:O1465)*VLOOKUP($A1465,HeadJournal!$A$1:$L$890,COLUMN(HeadJournal!H$1),0),0)</f>
        <v>171.66029716834345</v>
      </c>
      <c r="Q1465" s="29">
        <v>250</v>
      </c>
      <c r="R1465" s="31">
        <v>45239</v>
      </c>
      <c r="S1465" s="31" t="s">
        <v>3121</v>
      </c>
      <c r="T1465" s="95" t="str">
        <f t="shared" si="115"/>
        <v>2023 11</v>
      </c>
      <c r="U1465" s="32">
        <f t="shared" si="112"/>
        <v>78.339702831656552</v>
      </c>
      <c r="V1465" s="22">
        <f t="shared" si="113"/>
        <v>0.45636471638418835</v>
      </c>
      <c r="X1465" s="33"/>
      <c r="Y1465" s="33"/>
    </row>
    <row r="1466" spans="1:25" x14ac:dyDescent="0.2">
      <c r="A1466" s="93" t="s">
        <v>638</v>
      </c>
      <c r="B1466" s="94" t="str">
        <f>IFERROR(VLOOKUP($A1466,HeadJournal!$A$1:$NTR$890,COLUMN(HeadJournal!B$1),0),"")</f>
        <v>710000721246</v>
      </c>
      <c r="C1466" s="94" t="str">
        <f>IFERROR(VLOOKUP($A1466,HeadJournal!$A$1:$NTR$890,COLUMN(HeadJournal!C$1),0),"")</f>
        <v>iHerb_OA CZN6870</v>
      </c>
      <c r="D1466" s="125" t="str">
        <f>IFERROR(VLOOKUP($A1466,HeadJournal!$A$1:$NTR$890,COLUMN(HeadJournal!D$1),0),"")</f>
        <v>Доставлен</v>
      </c>
      <c r="E1466" s="95">
        <f>IFERROR(VLOOKUP($A1466,HeadJournal!$A$1:$NTR$890,COLUMN(HeadJournal!G$1),0),"")</f>
        <v>45021</v>
      </c>
      <c r="F1466" s="95" t="str">
        <f t="shared" si="114"/>
        <v>2023 04</v>
      </c>
      <c r="G1466" s="96" t="s">
        <v>5</v>
      </c>
      <c r="H1466" s="160" t="str">
        <f>RIGHT(Journal!$J1466,9)</f>
        <v>YUE-00112</v>
      </c>
      <c r="I1466" s="96" t="str">
        <f t="shared" si="116"/>
        <v>YumEarth</v>
      </c>
      <c r="J1466" s="97" t="s">
        <v>641</v>
      </c>
      <c r="K1466" s="29">
        <v>2.0541935483870968</v>
      </c>
      <c r="L1466" s="29">
        <v>-0.41096774193548385</v>
      </c>
      <c r="M1466" s="30">
        <f>IFERROR(VLOOKUP($A1466,HeadJournal!$A$1:$J$890,COLUMN(HeadJournal!I$1),0)*($K1466+$L1466)/(SUMIF($A:$A,$A1466,$K:$K)+SUMIF($A:$A,$A1466,$L:$L)),0)</f>
        <v>0.19722367612679809</v>
      </c>
      <c r="N1466" s="30">
        <f>IFERROR((VLOOKUP($A1466,HeadJournal!$A$1:$K$890,COLUMN(HeadJournal!K$1),0)-VLOOKUP($A1466,HeadJournal!$A$1:$K$890,COLUMN(HeadJournal!J$1),0))*($K1466+$L1466)/(SUMIF($A:$A,$A1466,$K:$K)+SUMIF($A:$A,$A1466,$L:$L)),0)</f>
        <v>-1.1551641454244128E-15</v>
      </c>
      <c r="O1466" s="30">
        <f>IFERROR((VLOOKUP($A1466,HeadJournal!$A$1:$L$890,COLUMN(HeadJournal!L$1),0)*($K1466+$L1466)/(SUMIF($A:$A,$A1466,$K:$K)+SUMIF($A:$A,$A1466,$L:$L)))/VLOOKUP($A1466,HeadJournal!$A$1:$L$890,COLUMN(HeadJournal!H$1),0),0)</f>
        <v>0.16338701731699559</v>
      </c>
      <c r="P1466" s="30">
        <f>IFERROR(SUM(K1466:O1466)*VLOOKUP($A1466,HeadJournal!$A$1:$L$890,COLUMN(HeadJournal!H$1),0),0)</f>
        <v>171.66029716834345</v>
      </c>
      <c r="Q1466" s="29">
        <v>250</v>
      </c>
      <c r="R1466" s="31">
        <v>45239</v>
      </c>
      <c r="S1466" s="31" t="s">
        <v>3121</v>
      </c>
      <c r="T1466" s="95" t="str">
        <f t="shared" si="115"/>
        <v>2023 11</v>
      </c>
      <c r="U1466" s="32">
        <f t="shared" si="112"/>
        <v>78.339702831656552</v>
      </c>
      <c r="V1466" s="22">
        <f t="shared" si="113"/>
        <v>0.45636471638418835</v>
      </c>
      <c r="X1466" s="33"/>
      <c r="Y1466" s="33"/>
    </row>
    <row r="1467" spans="1:25" x14ac:dyDescent="0.2">
      <c r="A1467" s="93" t="s">
        <v>638</v>
      </c>
      <c r="B1467" s="94" t="str">
        <f>IFERROR(VLOOKUP($A1467,HeadJournal!$A$1:$NTR$890,COLUMN(HeadJournal!B$1),0),"")</f>
        <v>710000721246</v>
      </c>
      <c r="C1467" s="94" t="str">
        <f>IFERROR(VLOOKUP($A1467,HeadJournal!$A$1:$NTR$890,COLUMN(HeadJournal!C$1),0),"")</f>
        <v>iHerb_OA CZN6870</v>
      </c>
      <c r="D1467" s="125" t="str">
        <f>IFERROR(VLOOKUP($A1467,HeadJournal!$A$1:$NTR$890,COLUMN(HeadJournal!D$1),0),"")</f>
        <v>Доставлен</v>
      </c>
      <c r="E1467" s="95">
        <f>IFERROR(VLOOKUP($A1467,HeadJournal!$A$1:$NTR$890,COLUMN(HeadJournal!G$1),0),"")</f>
        <v>45021</v>
      </c>
      <c r="F1467" s="95" t="str">
        <f t="shared" si="114"/>
        <v>2023 04</v>
      </c>
      <c r="G1467" s="96" t="s">
        <v>5</v>
      </c>
      <c r="H1467" s="160" t="str">
        <f>RIGHT(Journal!$J1467,9)</f>
        <v>YUE-00112</v>
      </c>
      <c r="I1467" s="96" t="str">
        <f t="shared" si="116"/>
        <v>YumEarth</v>
      </c>
      <c r="J1467" s="97" t="s">
        <v>641</v>
      </c>
      <c r="K1467" s="29">
        <v>2.0541935483870968</v>
      </c>
      <c r="L1467" s="29">
        <v>-0.41096774193548385</v>
      </c>
      <c r="M1467" s="30">
        <f>IFERROR(VLOOKUP($A1467,HeadJournal!$A$1:$J$890,COLUMN(HeadJournal!I$1),0)*($K1467+$L1467)/(SUMIF($A:$A,$A1467,$K:$K)+SUMIF($A:$A,$A1467,$L:$L)),0)</f>
        <v>0.19722367612679809</v>
      </c>
      <c r="N1467" s="30">
        <f>IFERROR((VLOOKUP($A1467,HeadJournal!$A$1:$K$890,COLUMN(HeadJournal!K$1),0)-VLOOKUP($A1467,HeadJournal!$A$1:$K$890,COLUMN(HeadJournal!J$1),0))*($K1467+$L1467)/(SUMIF($A:$A,$A1467,$K:$K)+SUMIF($A:$A,$A1467,$L:$L)),0)</f>
        <v>-1.1551641454244128E-15</v>
      </c>
      <c r="O1467" s="30">
        <f>IFERROR((VLOOKUP($A1467,HeadJournal!$A$1:$L$890,COLUMN(HeadJournal!L$1),0)*($K1467+$L1467)/(SUMIF($A:$A,$A1467,$K:$K)+SUMIF($A:$A,$A1467,$L:$L)))/VLOOKUP($A1467,HeadJournal!$A$1:$L$890,COLUMN(HeadJournal!H$1),0),0)</f>
        <v>0.16338701731699559</v>
      </c>
      <c r="P1467" s="30">
        <f>IFERROR(SUM(K1467:O1467)*VLOOKUP($A1467,HeadJournal!$A$1:$L$890,COLUMN(HeadJournal!H$1),0),0)</f>
        <v>171.66029716834345</v>
      </c>
      <c r="Q1467" s="29">
        <v>250</v>
      </c>
      <c r="R1467" s="31">
        <v>45239</v>
      </c>
      <c r="S1467" s="31" t="s">
        <v>3121</v>
      </c>
      <c r="T1467" s="95" t="str">
        <f t="shared" si="115"/>
        <v>2023 11</v>
      </c>
      <c r="U1467" s="32">
        <f t="shared" si="112"/>
        <v>78.339702831656552</v>
      </c>
      <c r="V1467" s="22">
        <f t="shared" si="113"/>
        <v>0.45636471638418835</v>
      </c>
      <c r="X1467" s="33"/>
      <c r="Y1467" s="33"/>
    </row>
    <row r="1468" spans="1:25" x14ac:dyDescent="0.2">
      <c r="A1468" s="93" t="s">
        <v>638</v>
      </c>
      <c r="B1468" s="94" t="str">
        <f>IFERROR(VLOOKUP($A1468,HeadJournal!$A$1:$NTR$890,COLUMN(HeadJournal!B$1),0),"")</f>
        <v>710000721246</v>
      </c>
      <c r="C1468" s="94" t="str">
        <f>IFERROR(VLOOKUP($A1468,HeadJournal!$A$1:$NTR$890,COLUMN(HeadJournal!C$1),0),"")</f>
        <v>iHerb_OA CZN6870</v>
      </c>
      <c r="D1468" s="125" t="str">
        <f>IFERROR(VLOOKUP($A1468,HeadJournal!$A$1:$NTR$890,COLUMN(HeadJournal!D$1),0),"")</f>
        <v>Доставлен</v>
      </c>
      <c r="E1468" s="95">
        <f>IFERROR(VLOOKUP($A1468,HeadJournal!$A$1:$NTR$890,COLUMN(HeadJournal!G$1),0),"")</f>
        <v>45021</v>
      </c>
      <c r="F1468" s="95" t="str">
        <f t="shared" si="114"/>
        <v>2023 04</v>
      </c>
      <c r="G1468" s="96" t="s">
        <v>5</v>
      </c>
      <c r="H1468" s="160" t="str">
        <f>RIGHT(Journal!$J1468,9)</f>
        <v>YUE-00112</v>
      </c>
      <c r="I1468" s="96" t="str">
        <f t="shared" si="116"/>
        <v>YumEarth</v>
      </c>
      <c r="J1468" s="97" t="s">
        <v>641</v>
      </c>
      <c r="K1468" s="29">
        <v>2.0541935483870968</v>
      </c>
      <c r="L1468" s="29">
        <v>-0.41096774193548385</v>
      </c>
      <c r="M1468" s="30">
        <f>IFERROR(VLOOKUP($A1468,HeadJournal!$A$1:$J$890,COLUMN(HeadJournal!I$1),0)*($K1468+$L1468)/(SUMIF($A:$A,$A1468,$K:$K)+SUMIF($A:$A,$A1468,$L:$L)),0)</f>
        <v>0.19722367612679809</v>
      </c>
      <c r="N1468" s="30">
        <f>IFERROR((VLOOKUP($A1468,HeadJournal!$A$1:$K$890,COLUMN(HeadJournal!K$1),0)-VLOOKUP($A1468,HeadJournal!$A$1:$K$890,COLUMN(HeadJournal!J$1),0))*($K1468+$L1468)/(SUMIF($A:$A,$A1468,$K:$K)+SUMIF($A:$A,$A1468,$L:$L)),0)</f>
        <v>-1.1551641454244128E-15</v>
      </c>
      <c r="O1468" s="30">
        <f>IFERROR((VLOOKUP($A1468,HeadJournal!$A$1:$L$890,COLUMN(HeadJournal!L$1),0)*($K1468+$L1468)/(SUMIF($A:$A,$A1468,$K:$K)+SUMIF($A:$A,$A1468,$L:$L)))/VLOOKUP($A1468,HeadJournal!$A$1:$L$890,COLUMN(HeadJournal!H$1),0),0)</f>
        <v>0.16338701731699559</v>
      </c>
      <c r="P1468" s="30">
        <f>IFERROR(SUM(K1468:O1468)*VLOOKUP($A1468,HeadJournal!$A$1:$L$890,COLUMN(HeadJournal!H$1),0),0)</f>
        <v>171.66029716834345</v>
      </c>
      <c r="Q1468" s="29">
        <v>250</v>
      </c>
      <c r="R1468" s="31">
        <v>45239</v>
      </c>
      <c r="S1468" s="31" t="s">
        <v>3121</v>
      </c>
      <c r="T1468" s="95" t="str">
        <f t="shared" si="115"/>
        <v>2023 11</v>
      </c>
      <c r="U1468" s="32">
        <f t="shared" si="112"/>
        <v>78.339702831656552</v>
      </c>
      <c r="V1468" s="22">
        <f t="shared" si="113"/>
        <v>0.45636471638418835</v>
      </c>
      <c r="X1468" s="33"/>
      <c r="Y1468" s="33"/>
    </row>
    <row r="1469" spans="1:25" x14ac:dyDescent="0.2">
      <c r="A1469" s="93" t="s">
        <v>638</v>
      </c>
      <c r="B1469" s="94" t="str">
        <f>IFERROR(VLOOKUP($A1469,HeadJournal!$A$1:$NTR$890,COLUMN(HeadJournal!B$1),0),"")</f>
        <v>710000721246</v>
      </c>
      <c r="C1469" s="94" t="str">
        <f>IFERROR(VLOOKUP($A1469,HeadJournal!$A$1:$NTR$890,COLUMN(HeadJournal!C$1),0),"")</f>
        <v>iHerb_OA CZN6870</v>
      </c>
      <c r="D1469" s="125" t="str">
        <f>IFERROR(VLOOKUP($A1469,HeadJournal!$A$1:$NTR$890,COLUMN(HeadJournal!D$1),0),"")</f>
        <v>Доставлен</v>
      </c>
      <c r="E1469" s="95">
        <f>IFERROR(VLOOKUP($A1469,HeadJournal!$A$1:$NTR$890,COLUMN(HeadJournal!G$1),0),"")</f>
        <v>45021</v>
      </c>
      <c r="F1469" s="95" t="str">
        <f t="shared" si="114"/>
        <v>2023 04</v>
      </c>
      <c r="G1469" s="96" t="s">
        <v>5</v>
      </c>
      <c r="H1469" s="160" t="str">
        <f>RIGHT(Journal!$J1469,9)</f>
        <v>YUE-00112</v>
      </c>
      <c r="I1469" s="96" t="str">
        <f t="shared" si="116"/>
        <v>YumEarth</v>
      </c>
      <c r="J1469" s="97" t="s">
        <v>641</v>
      </c>
      <c r="K1469" s="29">
        <v>2.0541935483870968</v>
      </c>
      <c r="L1469" s="29">
        <v>-0.41096774193548385</v>
      </c>
      <c r="M1469" s="30">
        <f>IFERROR(VLOOKUP($A1469,HeadJournal!$A$1:$J$890,COLUMN(HeadJournal!I$1),0)*($K1469+$L1469)/(SUMIF($A:$A,$A1469,$K:$K)+SUMIF($A:$A,$A1469,$L:$L)),0)</f>
        <v>0.19722367612679809</v>
      </c>
      <c r="N1469" s="30">
        <f>IFERROR((VLOOKUP($A1469,HeadJournal!$A$1:$K$890,COLUMN(HeadJournal!K$1),0)-VLOOKUP($A1469,HeadJournal!$A$1:$K$890,COLUMN(HeadJournal!J$1),0))*($K1469+$L1469)/(SUMIF($A:$A,$A1469,$K:$K)+SUMIF($A:$A,$A1469,$L:$L)),0)</f>
        <v>-1.1551641454244128E-15</v>
      </c>
      <c r="O1469" s="30">
        <f>IFERROR((VLOOKUP($A1469,HeadJournal!$A$1:$L$890,COLUMN(HeadJournal!L$1),0)*($K1469+$L1469)/(SUMIF($A:$A,$A1469,$K:$K)+SUMIF($A:$A,$A1469,$L:$L)))/VLOOKUP($A1469,HeadJournal!$A$1:$L$890,COLUMN(HeadJournal!H$1),0),0)</f>
        <v>0.16338701731699559</v>
      </c>
      <c r="P1469" s="30">
        <f>IFERROR(SUM(K1469:O1469)*VLOOKUP($A1469,HeadJournal!$A$1:$L$890,COLUMN(HeadJournal!H$1),0),0)</f>
        <v>171.66029716834345</v>
      </c>
      <c r="Q1469" s="29">
        <v>250</v>
      </c>
      <c r="R1469" s="31">
        <v>45239</v>
      </c>
      <c r="S1469" s="31" t="s">
        <v>3121</v>
      </c>
      <c r="T1469" s="95" t="str">
        <f t="shared" si="115"/>
        <v>2023 11</v>
      </c>
      <c r="U1469" s="32">
        <f t="shared" si="112"/>
        <v>78.339702831656552</v>
      </c>
      <c r="V1469" s="22">
        <f t="shared" si="113"/>
        <v>0.45636471638418835</v>
      </c>
      <c r="X1469" s="33"/>
      <c r="Y1469" s="33"/>
    </row>
    <row r="1470" spans="1:25" x14ac:dyDescent="0.2">
      <c r="A1470" s="93" t="s">
        <v>638</v>
      </c>
      <c r="B1470" s="94" t="str">
        <f>IFERROR(VLOOKUP($A1470,HeadJournal!$A$1:$NTR$890,COLUMN(HeadJournal!B$1),0),"")</f>
        <v>710000721246</v>
      </c>
      <c r="C1470" s="94" t="str">
        <f>IFERROR(VLOOKUP($A1470,HeadJournal!$A$1:$NTR$890,COLUMN(HeadJournal!C$1),0),"")</f>
        <v>iHerb_OA CZN6870</v>
      </c>
      <c r="D1470" s="125" t="str">
        <f>IFERROR(VLOOKUP($A1470,HeadJournal!$A$1:$NTR$890,COLUMN(HeadJournal!D$1),0),"")</f>
        <v>Доставлен</v>
      </c>
      <c r="E1470" s="95">
        <f>IFERROR(VLOOKUP($A1470,HeadJournal!$A$1:$NTR$890,COLUMN(HeadJournal!G$1),0),"")</f>
        <v>45021</v>
      </c>
      <c r="F1470" s="95" t="str">
        <f t="shared" si="114"/>
        <v>2023 04</v>
      </c>
      <c r="G1470" s="96" t="s">
        <v>5</v>
      </c>
      <c r="H1470" s="160" t="str">
        <f>RIGHT(Journal!$J1470,9)</f>
        <v>YUE-00112</v>
      </c>
      <c r="I1470" s="96" t="str">
        <f t="shared" si="116"/>
        <v>YumEarth</v>
      </c>
      <c r="J1470" s="97" t="s">
        <v>641</v>
      </c>
      <c r="K1470" s="29">
        <v>2.0541935483870968</v>
      </c>
      <c r="L1470" s="29">
        <v>-0.41096774193548385</v>
      </c>
      <c r="M1470" s="30">
        <f>IFERROR(VLOOKUP($A1470,HeadJournal!$A$1:$J$890,COLUMN(HeadJournal!I$1),0)*($K1470+$L1470)/(SUMIF($A:$A,$A1470,$K:$K)+SUMIF($A:$A,$A1470,$L:$L)),0)</f>
        <v>0.19722367612679809</v>
      </c>
      <c r="N1470" s="30">
        <f>IFERROR((VLOOKUP($A1470,HeadJournal!$A$1:$K$890,COLUMN(HeadJournal!K$1),0)-VLOOKUP($A1470,HeadJournal!$A$1:$K$890,COLUMN(HeadJournal!J$1),0))*($K1470+$L1470)/(SUMIF($A:$A,$A1470,$K:$K)+SUMIF($A:$A,$A1470,$L:$L)),0)</f>
        <v>-1.1551641454244128E-15</v>
      </c>
      <c r="O1470" s="30">
        <f>IFERROR((VLOOKUP($A1470,HeadJournal!$A$1:$L$890,COLUMN(HeadJournal!L$1),0)*($K1470+$L1470)/(SUMIF($A:$A,$A1470,$K:$K)+SUMIF($A:$A,$A1470,$L:$L)))/VLOOKUP($A1470,HeadJournal!$A$1:$L$890,COLUMN(HeadJournal!H$1),0),0)</f>
        <v>0.16338701731699559</v>
      </c>
      <c r="P1470" s="30">
        <f>IFERROR(SUM(K1470:O1470)*VLOOKUP($A1470,HeadJournal!$A$1:$L$890,COLUMN(HeadJournal!H$1),0),0)</f>
        <v>171.66029716834345</v>
      </c>
      <c r="Q1470" s="29">
        <v>250</v>
      </c>
      <c r="R1470" s="31">
        <v>45239</v>
      </c>
      <c r="S1470" s="31" t="s">
        <v>3121</v>
      </c>
      <c r="T1470" s="95" t="str">
        <f t="shared" si="115"/>
        <v>2023 11</v>
      </c>
      <c r="U1470" s="32">
        <f t="shared" si="112"/>
        <v>78.339702831656552</v>
      </c>
      <c r="V1470" s="22">
        <f t="shared" si="113"/>
        <v>0.45636471638418835</v>
      </c>
      <c r="X1470" s="33"/>
      <c r="Y1470" s="33"/>
    </row>
    <row r="1471" spans="1:25" x14ac:dyDescent="0.2">
      <c r="A1471" s="93" t="s">
        <v>638</v>
      </c>
      <c r="B1471" s="94" t="str">
        <f>IFERROR(VLOOKUP($A1471,HeadJournal!$A$1:$NTR$890,COLUMN(HeadJournal!B$1),0),"")</f>
        <v>710000721246</v>
      </c>
      <c r="C1471" s="94" t="str">
        <f>IFERROR(VLOOKUP($A1471,HeadJournal!$A$1:$NTR$890,COLUMN(HeadJournal!C$1),0),"")</f>
        <v>iHerb_OA CZN6870</v>
      </c>
      <c r="D1471" s="125" t="str">
        <f>IFERROR(VLOOKUP($A1471,HeadJournal!$A$1:$NTR$890,COLUMN(HeadJournal!D$1),0),"")</f>
        <v>Доставлен</v>
      </c>
      <c r="E1471" s="95">
        <f>IFERROR(VLOOKUP($A1471,HeadJournal!$A$1:$NTR$890,COLUMN(HeadJournal!G$1),0),"")</f>
        <v>45021</v>
      </c>
      <c r="F1471" s="95" t="str">
        <f t="shared" si="114"/>
        <v>2023 04</v>
      </c>
      <c r="G1471" s="96" t="s">
        <v>5</v>
      </c>
      <c r="H1471" s="160" t="str">
        <f>RIGHT(Journal!$J1471,9)</f>
        <v>YUE-00112</v>
      </c>
      <c r="I1471" s="96" t="str">
        <f t="shared" si="116"/>
        <v>YumEarth</v>
      </c>
      <c r="J1471" s="97" t="s">
        <v>641</v>
      </c>
      <c r="K1471" s="29">
        <v>2.0541935483870968</v>
      </c>
      <c r="L1471" s="29">
        <v>-0.41096774193548385</v>
      </c>
      <c r="M1471" s="30">
        <f>IFERROR(VLOOKUP($A1471,HeadJournal!$A$1:$J$890,COLUMN(HeadJournal!I$1),0)*($K1471+$L1471)/(SUMIF($A:$A,$A1471,$K:$K)+SUMIF($A:$A,$A1471,$L:$L)),0)</f>
        <v>0.19722367612679809</v>
      </c>
      <c r="N1471" s="30">
        <f>IFERROR((VLOOKUP($A1471,HeadJournal!$A$1:$K$890,COLUMN(HeadJournal!K$1),0)-VLOOKUP($A1471,HeadJournal!$A$1:$K$890,COLUMN(HeadJournal!J$1),0))*($K1471+$L1471)/(SUMIF($A:$A,$A1471,$K:$K)+SUMIF($A:$A,$A1471,$L:$L)),0)</f>
        <v>-1.1551641454244128E-15</v>
      </c>
      <c r="O1471" s="30">
        <f>IFERROR((VLOOKUP($A1471,HeadJournal!$A$1:$L$890,COLUMN(HeadJournal!L$1),0)*($K1471+$L1471)/(SUMIF($A:$A,$A1471,$K:$K)+SUMIF($A:$A,$A1471,$L:$L)))/VLOOKUP($A1471,HeadJournal!$A$1:$L$890,COLUMN(HeadJournal!H$1),0),0)</f>
        <v>0.16338701731699559</v>
      </c>
      <c r="P1471" s="30">
        <f>IFERROR(SUM(K1471:O1471)*VLOOKUP($A1471,HeadJournal!$A$1:$L$890,COLUMN(HeadJournal!H$1),0),0)</f>
        <v>171.66029716834345</v>
      </c>
      <c r="Q1471" s="29"/>
      <c r="R1471" s="31"/>
      <c r="S1471" s="31"/>
      <c r="T1471" s="95" t="str">
        <f t="shared" si="115"/>
        <v/>
      </c>
      <c r="U1471" s="32">
        <f t="shared" si="112"/>
        <v>-171.66029716834345</v>
      </c>
      <c r="V1471" s="22" t="str">
        <f t="shared" si="113"/>
        <v/>
      </c>
      <c r="X1471" s="33"/>
      <c r="Y1471" s="33"/>
    </row>
    <row r="1472" spans="1:25" x14ac:dyDescent="0.2">
      <c r="A1472" s="93" t="s">
        <v>638</v>
      </c>
      <c r="B1472" s="94" t="str">
        <f>IFERROR(VLOOKUP($A1472,HeadJournal!$A$1:$NTR$890,COLUMN(HeadJournal!B$1),0),"")</f>
        <v>710000721246</v>
      </c>
      <c r="C1472" s="94" t="str">
        <f>IFERROR(VLOOKUP($A1472,HeadJournal!$A$1:$NTR$890,COLUMN(HeadJournal!C$1),0),"")</f>
        <v>iHerb_OA CZN6870</v>
      </c>
      <c r="D1472" s="125" t="str">
        <f>IFERROR(VLOOKUP($A1472,HeadJournal!$A$1:$NTR$890,COLUMN(HeadJournal!D$1),0),"")</f>
        <v>Доставлен</v>
      </c>
      <c r="E1472" s="95">
        <f>IFERROR(VLOOKUP($A1472,HeadJournal!$A$1:$NTR$890,COLUMN(HeadJournal!G$1),0),"")</f>
        <v>45021</v>
      </c>
      <c r="F1472" s="95" t="str">
        <f t="shared" si="114"/>
        <v>2023 04</v>
      </c>
      <c r="G1472" s="96" t="s">
        <v>5</v>
      </c>
      <c r="H1472" s="160" t="str">
        <f>RIGHT(Journal!$J1472,9)</f>
        <v>YUE-00112</v>
      </c>
      <c r="I1472" s="96" t="str">
        <f t="shared" si="116"/>
        <v>YumEarth</v>
      </c>
      <c r="J1472" s="97" t="s">
        <v>641</v>
      </c>
      <c r="K1472" s="29">
        <v>2.0541935483870968</v>
      </c>
      <c r="L1472" s="29">
        <v>-0.41096774193548385</v>
      </c>
      <c r="M1472" s="30">
        <f>IFERROR(VLOOKUP($A1472,HeadJournal!$A$1:$J$890,COLUMN(HeadJournal!I$1),0)*($K1472+$L1472)/(SUMIF($A:$A,$A1472,$K:$K)+SUMIF($A:$A,$A1472,$L:$L)),0)</f>
        <v>0.19722367612679809</v>
      </c>
      <c r="N1472" s="30">
        <f>IFERROR((VLOOKUP($A1472,HeadJournal!$A$1:$K$890,COLUMN(HeadJournal!K$1),0)-VLOOKUP($A1472,HeadJournal!$A$1:$K$890,COLUMN(HeadJournal!J$1),0))*($K1472+$L1472)/(SUMIF($A:$A,$A1472,$K:$K)+SUMIF($A:$A,$A1472,$L:$L)),0)</f>
        <v>-1.1551641454244128E-15</v>
      </c>
      <c r="O1472" s="30">
        <f>IFERROR((VLOOKUP($A1472,HeadJournal!$A$1:$L$890,COLUMN(HeadJournal!L$1),0)*($K1472+$L1472)/(SUMIF($A:$A,$A1472,$K:$K)+SUMIF($A:$A,$A1472,$L:$L)))/VLOOKUP($A1472,HeadJournal!$A$1:$L$890,COLUMN(HeadJournal!H$1),0),0)</f>
        <v>0.16338701731699559</v>
      </c>
      <c r="P1472" s="30">
        <f>IFERROR(SUM(K1472:O1472)*VLOOKUP($A1472,HeadJournal!$A$1:$L$890,COLUMN(HeadJournal!H$1),0),0)</f>
        <v>171.66029716834345</v>
      </c>
      <c r="Q1472" s="29"/>
      <c r="R1472" s="31"/>
      <c r="S1472" s="31"/>
      <c r="T1472" s="95" t="str">
        <f t="shared" si="115"/>
        <v/>
      </c>
      <c r="U1472" s="32">
        <f t="shared" si="112"/>
        <v>-171.66029716834345</v>
      </c>
      <c r="V1472" s="22" t="str">
        <f t="shared" si="113"/>
        <v/>
      </c>
      <c r="X1472" s="33"/>
      <c r="Y1472" s="33"/>
    </row>
    <row r="1473" spans="1:25" x14ac:dyDescent="0.2">
      <c r="A1473" s="93" t="s">
        <v>638</v>
      </c>
      <c r="B1473" s="94" t="str">
        <f>IFERROR(VLOOKUP($A1473,HeadJournal!$A$1:$NTR$890,COLUMN(HeadJournal!B$1),0),"")</f>
        <v>710000721246</v>
      </c>
      <c r="C1473" s="94" t="str">
        <f>IFERROR(VLOOKUP($A1473,HeadJournal!$A$1:$NTR$890,COLUMN(HeadJournal!C$1),0),"")</f>
        <v>iHerb_OA CZN6870</v>
      </c>
      <c r="D1473" s="125" t="str">
        <f>IFERROR(VLOOKUP($A1473,HeadJournal!$A$1:$NTR$890,COLUMN(HeadJournal!D$1),0),"")</f>
        <v>Доставлен</v>
      </c>
      <c r="E1473" s="95">
        <f>IFERROR(VLOOKUP($A1473,HeadJournal!$A$1:$NTR$890,COLUMN(HeadJournal!G$1),0),"")</f>
        <v>45021</v>
      </c>
      <c r="F1473" s="95" t="str">
        <f t="shared" si="114"/>
        <v>2023 04</v>
      </c>
      <c r="G1473" s="96" t="s">
        <v>5</v>
      </c>
      <c r="H1473" s="160" t="str">
        <f>RIGHT(Journal!$J1473,9)</f>
        <v>YUE-00112</v>
      </c>
      <c r="I1473" s="96" t="str">
        <f t="shared" si="116"/>
        <v>YumEarth</v>
      </c>
      <c r="J1473" s="97" t="s">
        <v>641</v>
      </c>
      <c r="K1473" s="29">
        <v>2.0541935483870968</v>
      </c>
      <c r="L1473" s="29">
        <v>-0.41096774193548385</v>
      </c>
      <c r="M1473" s="30">
        <f>IFERROR(VLOOKUP($A1473,HeadJournal!$A$1:$J$890,COLUMN(HeadJournal!I$1),0)*($K1473+$L1473)/(SUMIF($A:$A,$A1473,$K:$K)+SUMIF($A:$A,$A1473,$L:$L)),0)</f>
        <v>0.19722367612679809</v>
      </c>
      <c r="N1473" s="30">
        <f>IFERROR((VLOOKUP($A1473,HeadJournal!$A$1:$K$890,COLUMN(HeadJournal!K$1),0)-VLOOKUP($A1473,HeadJournal!$A$1:$K$890,COLUMN(HeadJournal!J$1),0))*($K1473+$L1473)/(SUMIF($A:$A,$A1473,$K:$K)+SUMIF($A:$A,$A1473,$L:$L)),0)</f>
        <v>-1.1551641454244128E-15</v>
      </c>
      <c r="O1473" s="30">
        <f>IFERROR((VLOOKUP($A1473,HeadJournal!$A$1:$L$890,COLUMN(HeadJournal!L$1),0)*($K1473+$L1473)/(SUMIF($A:$A,$A1473,$K:$K)+SUMIF($A:$A,$A1473,$L:$L)))/VLOOKUP($A1473,HeadJournal!$A$1:$L$890,COLUMN(HeadJournal!H$1),0),0)</f>
        <v>0.16338701731699559</v>
      </c>
      <c r="P1473" s="30">
        <f>IFERROR(SUM(K1473:O1473)*VLOOKUP($A1473,HeadJournal!$A$1:$L$890,COLUMN(HeadJournal!H$1),0),0)</f>
        <v>171.66029716834345</v>
      </c>
      <c r="Q1473" s="29"/>
      <c r="R1473" s="31"/>
      <c r="S1473" s="31"/>
      <c r="T1473" s="95" t="str">
        <f t="shared" si="115"/>
        <v/>
      </c>
      <c r="U1473" s="32">
        <f t="shared" ref="U1473:U1536" si="117">Q1473-P1473</f>
        <v>-171.66029716834345</v>
      </c>
      <c r="V1473" s="22" t="str">
        <f t="shared" ref="V1473:V1536" si="118">IF(Q1473&lt;&gt;0,IFERROR(U1473/P1473,""),"")</f>
        <v/>
      </c>
      <c r="X1473" s="33"/>
      <c r="Y1473" s="33"/>
    </row>
    <row r="1474" spans="1:25" x14ac:dyDescent="0.2">
      <c r="A1474" s="93" t="s">
        <v>638</v>
      </c>
      <c r="B1474" s="94" t="str">
        <f>IFERROR(VLOOKUP($A1474,HeadJournal!$A$1:$NTR$890,COLUMN(HeadJournal!B$1),0),"")</f>
        <v>710000721246</v>
      </c>
      <c r="C1474" s="94" t="str">
        <f>IFERROR(VLOOKUP($A1474,HeadJournal!$A$1:$NTR$890,COLUMN(HeadJournal!C$1),0),"")</f>
        <v>iHerb_OA CZN6870</v>
      </c>
      <c r="D1474" s="125" t="str">
        <f>IFERROR(VLOOKUP($A1474,HeadJournal!$A$1:$NTR$890,COLUMN(HeadJournal!D$1),0),"")</f>
        <v>Доставлен</v>
      </c>
      <c r="E1474" s="95">
        <f>IFERROR(VLOOKUP($A1474,HeadJournal!$A$1:$NTR$890,COLUMN(HeadJournal!G$1),0),"")</f>
        <v>45021</v>
      </c>
      <c r="F1474" s="95" t="str">
        <f t="shared" si="114"/>
        <v>2023 04</v>
      </c>
      <c r="G1474" s="96" t="s">
        <v>5</v>
      </c>
      <c r="H1474" s="160" t="str">
        <f>RIGHT(Journal!$J1474,9)</f>
        <v>YUE-00112</v>
      </c>
      <c r="I1474" s="96" t="str">
        <f t="shared" si="116"/>
        <v>YumEarth</v>
      </c>
      <c r="J1474" s="97" t="s">
        <v>641</v>
      </c>
      <c r="K1474" s="29">
        <v>2.0541935483870968</v>
      </c>
      <c r="L1474" s="29">
        <v>-0.41096774193548385</v>
      </c>
      <c r="M1474" s="30">
        <f>IFERROR(VLOOKUP($A1474,HeadJournal!$A$1:$J$890,COLUMN(HeadJournal!I$1),0)*($K1474+$L1474)/(SUMIF($A:$A,$A1474,$K:$K)+SUMIF($A:$A,$A1474,$L:$L)),0)</f>
        <v>0.19722367612679809</v>
      </c>
      <c r="N1474" s="30">
        <f>IFERROR((VLOOKUP($A1474,HeadJournal!$A$1:$K$890,COLUMN(HeadJournal!K$1),0)-VLOOKUP($A1474,HeadJournal!$A$1:$K$890,COLUMN(HeadJournal!J$1),0))*($K1474+$L1474)/(SUMIF($A:$A,$A1474,$K:$K)+SUMIF($A:$A,$A1474,$L:$L)),0)</f>
        <v>-1.1551641454244128E-15</v>
      </c>
      <c r="O1474" s="30">
        <f>IFERROR((VLOOKUP($A1474,HeadJournal!$A$1:$L$890,COLUMN(HeadJournal!L$1),0)*($K1474+$L1474)/(SUMIF($A:$A,$A1474,$K:$K)+SUMIF($A:$A,$A1474,$L:$L)))/VLOOKUP($A1474,HeadJournal!$A$1:$L$890,COLUMN(HeadJournal!H$1),0),0)</f>
        <v>0.16338701731699559</v>
      </c>
      <c r="P1474" s="30">
        <f>IFERROR(SUM(K1474:O1474)*VLOOKUP($A1474,HeadJournal!$A$1:$L$890,COLUMN(HeadJournal!H$1),0),0)</f>
        <v>171.66029716834345</v>
      </c>
      <c r="Q1474" s="29"/>
      <c r="R1474" s="31"/>
      <c r="S1474" s="31"/>
      <c r="T1474" s="95" t="str">
        <f t="shared" si="115"/>
        <v/>
      </c>
      <c r="U1474" s="32">
        <f t="shared" si="117"/>
        <v>-171.66029716834345</v>
      </c>
      <c r="V1474" s="22" t="str">
        <f t="shared" si="118"/>
        <v/>
      </c>
      <c r="X1474" s="33"/>
      <c r="Y1474" s="33"/>
    </row>
    <row r="1475" spans="1:25" x14ac:dyDescent="0.2">
      <c r="A1475" s="93" t="s">
        <v>638</v>
      </c>
      <c r="B1475" s="94" t="str">
        <f>IFERROR(VLOOKUP($A1475,HeadJournal!$A$1:$NTR$890,COLUMN(HeadJournal!B$1),0),"")</f>
        <v>710000721246</v>
      </c>
      <c r="C1475" s="94" t="str">
        <f>IFERROR(VLOOKUP($A1475,HeadJournal!$A$1:$NTR$890,COLUMN(HeadJournal!C$1),0),"")</f>
        <v>iHerb_OA CZN6870</v>
      </c>
      <c r="D1475" s="125" t="str">
        <f>IFERROR(VLOOKUP($A1475,HeadJournal!$A$1:$NTR$890,COLUMN(HeadJournal!D$1),0),"")</f>
        <v>Доставлен</v>
      </c>
      <c r="E1475" s="95">
        <f>IFERROR(VLOOKUP($A1475,HeadJournal!$A$1:$NTR$890,COLUMN(HeadJournal!G$1),0),"")</f>
        <v>45021</v>
      </c>
      <c r="F1475" s="95" t="str">
        <f t="shared" si="114"/>
        <v>2023 04</v>
      </c>
      <c r="G1475" s="96" t="s">
        <v>5</v>
      </c>
      <c r="H1475" s="160" t="str">
        <f>RIGHT(Journal!$J1475,9)</f>
        <v>YUE-00112</v>
      </c>
      <c r="I1475" s="96" t="str">
        <f t="shared" si="116"/>
        <v>YumEarth</v>
      </c>
      <c r="J1475" s="97" t="s">
        <v>641</v>
      </c>
      <c r="K1475" s="29">
        <v>2.0541935483870968</v>
      </c>
      <c r="L1475" s="29">
        <v>-0.41096774193548385</v>
      </c>
      <c r="M1475" s="30">
        <f>IFERROR(VLOOKUP($A1475,HeadJournal!$A$1:$J$890,COLUMN(HeadJournal!I$1),0)*($K1475+$L1475)/(SUMIF($A:$A,$A1475,$K:$K)+SUMIF($A:$A,$A1475,$L:$L)),0)</f>
        <v>0.19722367612679809</v>
      </c>
      <c r="N1475" s="30">
        <f>IFERROR((VLOOKUP($A1475,HeadJournal!$A$1:$K$890,COLUMN(HeadJournal!K$1),0)-VLOOKUP($A1475,HeadJournal!$A$1:$K$890,COLUMN(HeadJournal!J$1),0))*($K1475+$L1475)/(SUMIF($A:$A,$A1475,$K:$K)+SUMIF($A:$A,$A1475,$L:$L)),0)</f>
        <v>-1.1551641454244128E-15</v>
      </c>
      <c r="O1475" s="30">
        <f>IFERROR((VLOOKUP($A1475,HeadJournal!$A$1:$L$890,COLUMN(HeadJournal!L$1),0)*($K1475+$L1475)/(SUMIF($A:$A,$A1475,$K:$K)+SUMIF($A:$A,$A1475,$L:$L)))/VLOOKUP($A1475,HeadJournal!$A$1:$L$890,COLUMN(HeadJournal!H$1),0),0)</f>
        <v>0.16338701731699559</v>
      </c>
      <c r="P1475" s="30">
        <f>IFERROR(SUM(K1475:O1475)*VLOOKUP($A1475,HeadJournal!$A$1:$L$890,COLUMN(HeadJournal!H$1),0),0)</f>
        <v>171.66029716834345</v>
      </c>
      <c r="Q1475" s="29"/>
      <c r="R1475" s="31"/>
      <c r="S1475" s="31"/>
      <c r="T1475" s="95" t="str">
        <f t="shared" si="115"/>
        <v/>
      </c>
      <c r="U1475" s="32">
        <f t="shared" si="117"/>
        <v>-171.66029716834345</v>
      </c>
      <c r="V1475" s="22" t="str">
        <f t="shared" si="118"/>
        <v/>
      </c>
      <c r="X1475" s="33"/>
      <c r="Y1475" s="33"/>
    </row>
    <row r="1476" spans="1:25" x14ac:dyDescent="0.2">
      <c r="A1476" s="93" t="s">
        <v>638</v>
      </c>
      <c r="B1476" s="94" t="str">
        <f>IFERROR(VLOOKUP($A1476,HeadJournal!$A$1:$NTR$890,COLUMN(HeadJournal!B$1),0),"")</f>
        <v>710000721246</v>
      </c>
      <c r="C1476" s="94" t="str">
        <f>IFERROR(VLOOKUP($A1476,HeadJournal!$A$1:$NTR$890,COLUMN(HeadJournal!C$1),0),"")</f>
        <v>iHerb_OA CZN6870</v>
      </c>
      <c r="D1476" s="125" t="str">
        <f>IFERROR(VLOOKUP($A1476,HeadJournal!$A$1:$NTR$890,COLUMN(HeadJournal!D$1),0),"")</f>
        <v>Доставлен</v>
      </c>
      <c r="E1476" s="95">
        <f>IFERROR(VLOOKUP($A1476,HeadJournal!$A$1:$NTR$890,COLUMN(HeadJournal!G$1),0),"")</f>
        <v>45021</v>
      </c>
      <c r="F1476" s="95" t="str">
        <f t="shared" ref="F1476:F1539" si="119">IFERROR(TEXT(E1476, "ГГГГ ММ"),"")</f>
        <v>2023 04</v>
      </c>
      <c r="G1476" s="96" t="s">
        <v>5</v>
      </c>
      <c r="H1476" s="160" t="str">
        <f>RIGHT(Journal!$J1476,9)</f>
        <v>YUE-00112</v>
      </c>
      <c r="I1476" s="96" t="str">
        <f t="shared" si="116"/>
        <v>YumEarth</v>
      </c>
      <c r="J1476" s="97" t="s">
        <v>641</v>
      </c>
      <c r="K1476" s="29">
        <v>2.0541935483870968</v>
      </c>
      <c r="L1476" s="29">
        <v>-0.41096774193548385</v>
      </c>
      <c r="M1476" s="30">
        <f>IFERROR(VLOOKUP($A1476,HeadJournal!$A$1:$J$890,COLUMN(HeadJournal!I$1),0)*($K1476+$L1476)/(SUMIF($A:$A,$A1476,$K:$K)+SUMIF($A:$A,$A1476,$L:$L)),0)</f>
        <v>0.19722367612679809</v>
      </c>
      <c r="N1476" s="30">
        <f>IFERROR((VLOOKUP($A1476,HeadJournal!$A$1:$K$890,COLUMN(HeadJournal!K$1),0)-VLOOKUP($A1476,HeadJournal!$A$1:$K$890,COLUMN(HeadJournal!J$1),0))*($K1476+$L1476)/(SUMIF($A:$A,$A1476,$K:$K)+SUMIF($A:$A,$A1476,$L:$L)),0)</f>
        <v>-1.1551641454244128E-15</v>
      </c>
      <c r="O1476" s="30">
        <f>IFERROR((VLOOKUP($A1476,HeadJournal!$A$1:$L$890,COLUMN(HeadJournal!L$1),0)*($K1476+$L1476)/(SUMIF($A:$A,$A1476,$K:$K)+SUMIF($A:$A,$A1476,$L:$L)))/VLOOKUP($A1476,HeadJournal!$A$1:$L$890,COLUMN(HeadJournal!H$1),0),0)</f>
        <v>0.16338701731699559</v>
      </c>
      <c r="P1476" s="30">
        <f>IFERROR(SUM(K1476:O1476)*VLOOKUP($A1476,HeadJournal!$A$1:$L$890,COLUMN(HeadJournal!H$1),0),0)</f>
        <v>171.66029716834345</v>
      </c>
      <c r="Q1476" s="29"/>
      <c r="R1476" s="31"/>
      <c r="S1476" s="31"/>
      <c r="T1476" s="95" t="str">
        <f t="shared" ref="T1476:T1539" si="120">IF(R1476="","",TEXT(R1476,"ГГГГ ММ"))</f>
        <v/>
      </c>
      <c r="U1476" s="32">
        <f t="shared" si="117"/>
        <v>-171.66029716834345</v>
      </c>
      <c r="V1476" s="22" t="str">
        <f t="shared" si="118"/>
        <v/>
      </c>
      <c r="X1476" s="33"/>
      <c r="Y1476" s="33"/>
    </row>
    <row r="1477" spans="1:25" x14ac:dyDescent="0.2">
      <c r="A1477" s="93" t="s">
        <v>638</v>
      </c>
      <c r="B1477" s="94" t="str">
        <f>IFERROR(VLOOKUP($A1477,HeadJournal!$A$1:$NTR$890,COLUMN(HeadJournal!B$1),0),"")</f>
        <v>710000721246</v>
      </c>
      <c r="C1477" s="94" t="str">
        <f>IFERROR(VLOOKUP($A1477,HeadJournal!$A$1:$NTR$890,COLUMN(HeadJournal!C$1),0),"")</f>
        <v>iHerb_OA CZN6870</v>
      </c>
      <c r="D1477" s="125" t="str">
        <f>IFERROR(VLOOKUP($A1477,HeadJournal!$A$1:$NTR$890,COLUMN(HeadJournal!D$1),0),"")</f>
        <v>Доставлен</v>
      </c>
      <c r="E1477" s="95">
        <f>IFERROR(VLOOKUP($A1477,HeadJournal!$A$1:$NTR$890,COLUMN(HeadJournal!G$1),0),"")</f>
        <v>45021</v>
      </c>
      <c r="F1477" s="95" t="str">
        <f t="shared" si="119"/>
        <v>2023 04</v>
      </c>
      <c r="G1477" s="96" t="s">
        <v>5</v>
      </c>
      <c r="H1477" s="160" t="str">
        <f>RIGHT(Journal!$J1477,9)</f>
        <v>YUE-00112</v>
      </c>
      <c r="I1477" s="96" t="str">
        <f t="shared" si="116"/>
        <v>YumEarth</v>
      </c>
      <c r="J1477" s="97" t="s">
        <v>641</v>
      </c>
      <c r="K1477" s="29">
        <v>2.0541935483870968</v>
      </c>
      <c r="L1477" s="29">
        <v>-0.41096774193548385</v>
      </c>
      <c r="M1477" s="30">
        <f>IFERROR(VLOOKUP($A1477,HeadJournal!$A$1:$J$890,COLUMN(HeadJournal!I$1),0)*($K1477+$L1477)/(SUMIF($A:$A,$A1477,$K:$K)+SUMIF($A:$A,$A1477,$L:$L)),0)</f>
        <v>0.19722367612679809</v>
      </c>
      <c r="N1477" s="30">
        <f>IFERROR((VLOOKUP($A1477,HeadJournal!$A$1:$K$890,COLUMN(HeadJournal!K$1),0)-VLOOKUP($A1477,HeadJournal!$A$1:$K$890,COLUMN(HeadJournal!J$1),0))*($K1477+$L1477)/(SUMIF($A:$A,$A1477,$K:$K)+SUMIF($A:$A,$A1477,$L:$L)),0)</f>
        <v>-1.1551641454244128E-15</v>
      </c>
      <c r="O1477" s="30">
        <f>IFERROR((VLOOKUP($A1477,HeadJournal!$A$1:$L$890,COLUMN(HeadJournal!L$1),0)*($K1477+$L1477)/(SUMIF($A:$A,$A1477,$K:$K)+SUMIF($A:$A,$A1477,$L:$L)))/VLOOKUP($A1477,HeadJournal!$A$1:$L$890,COLUMN(HeadJournal!H$1),0),0)</f>
        <v>0.16338701731699559</v>
      </c>
      <c r="P1477" s="30">
        <f>IFERROR(SUM(K1477:O1477)*VLOOKUP($A1477,HeadJournal!$A$1:$L$890,COLUMN(HeadJournal!H$1),0),0)</f>
        <v>171.66029716834345</v>
      </c>
      <c r="Q1477" s="29"/>
      <c r="R1477" s="31"/>
      <c r="S1477" s="31"/>
      <c r="T1477" s="95" t="str">
        <f t="shared" si="120"/>
        <v/>
      </c>
      <c r="U1477" s="32">
        <f t="shared" si="117"/>
        <v>-171.66029716834345</v>
      </c>
      <c r="V1477" s="22" t="str">
        <f t="shared" si="118"/>
        <v/>
      </c>
      <c r="X1477" s="33"/>
      <c r="Y1477" s="33"/>
    </row>
    <row r="1478" spans="1:25" x14ac:dyDescent="0.2">
      <c r="A1478" s="93" t="s">
        <v>638</v>
      </c>
      <c r="B1478" s="94" t="str">
        <f>IFERROR(VLOOKUP($A1478,HeadJournal!$A$1:$NTR$890,COLUMN(HeadJournal!B$1),0),"")</f>
        <v>710000721246</v>
      </c>
      <c r="C1478" s="94" t="str">
        <f>IFERROR(VLOOKUP($A1478,HeadJournal!$A$1:$NTR$890,COLUMN(HeadJournal!C$1),0),"")</f>
        <v>iHerb_OA CZN6870</v>
      </c>
      <c r="D1478" s="125" t="str">
        <f>IFERROR(VLOOKUP($A1478,HeadJournal!$A$1:$NTR$890,COLUMN(HeadJournal!D$1),0),"")</f>
        <v>Доставлен</v>
      </c>
      <c r="E1478" s="95">
        <f>IFERROR(VLOOKUP($A1478,HeadJournal!$A$1:$NTR$890,COLUMN(HeadJournal!G$1),0),"")</f>
        <v>45021</v>
      </c>
      <c r="F1478" s="95" t="str">
        <f t="shared" si="119"/>
        <v>2023 04</v>
      </c>
      <c r="G1478" s="96" t="s">
        <v>5</v>
      </c>
      <c r="H1478" s="160" t="str">
        <f>RIGHT(Journal!$J1478,9)</f>
        <v>YUE-00112</v>
      </c>
      <c r="I1478" s="96" t="str">
        <f t="shared" si="116"/>
        <v>YumEarth</v>
      </c>
      <c r="J1478" s="97" t="s">
        <v>641</v>
      </c>
      <c r="K1478" s="29">
        <v>2.0541935483870968</v>
      </c>
      <c r="L1478" s="29">
        <v>-0.41096774193548385</v>
      </c>
      <c r="M1478" s="30">
        <f>IFERROR(VLOOKUP($A1478,HeadJournal!$A$1:$J$890,COLUMN(HeadJournal!I$1),0)*($K1478+$L1478)/(SUMIF($A:$A,$A1478,$K:$K)+SUMIF($A:$A,$A1478,$L:$L)),0)</f>
        <v>0.19722367612679809</v>
      </c>
      <c r="N1478" s="30">
        <f>IFERROR((VLOOKUP($A1478,HeadJournal!$A$1:$K$890,COLUMN(HeadJournal!K$1),0)-VLOOKUP($A1478,HeadJournal!$A$1:$K$890,COLUMN(HeadJournal!J$1),0))*($K1478+$L1478)/(SUMIF($A:$A,$A1478,$K:$K)+SUMIF($A:$A,$A1478,$L:$L)),0)</f>
        <v>-1.1551641454244128E-15</v>
      </c>
      <c r="O1478" s="30">
        <f>IFERROR((VLOOKUP($A1478,HeadJournal!$A$1:$L$890,COLUMN(HeadJournal!L$1),0)*($K1478+$L1478)/(SUMIF($A:$A,$A1478,$K:$K)+SUMIF($A:$A,$A1478,$L:$L)))/VLOOKUP($A1478,HeadJournal!$A$1:$L$890,COLUMN(HeadJournal!H$1),0),0)</f>
        <v>0.16338701731699559</v>
      </c>
      <c r="P1478" s="30">
        <f>IFERROR(SUM(K1478:O1478)*VLOOKUP($A1478,HeadJournal!$A$1:$L$890,COLUMN(HeadJournal!H$1),0),0)</f>
        <v>171.66029716834345</v>
      </c>
      <c r="Q1478" s="29"/>
      <c r="R1478" s="31"/>
      <c r="S1478" s="31"/>
      <c r="T1478" s="95" t="str">
        <f t="shared" si="120"/>
        <v/>
      </c>
      <c r="U1478" s="32">
        <f t="shared" si="117"/>
        <v>-171.66029716834345</v>
      </c>
      <c r="V1478" s="22" t="str">
        <f t="shared" si="118"/>
        <v/>
      </c>
      <c r="X1478" s="33"/>
      <c r="Y1478" s="33"/>
    </row>
    <row r="1479" spans="1:25" x14ac:dyDescent="0.2">
      <c r="A1479" s="93" t="s">
        <v>638</v>
      </c>
      <c r="B1479" s="94" t="str">
        <f>IFERROR(VLOOKUP($A1479,HeadJournal!$A$1:$NTR$890,COLUMN(HeadJournal!B$1),0),"")</f>
        <v>710000721246</v>
      </c>
      <c r="C1479" s="94" t="str">
        <f>IFERROR(VLOOKUP($A1479,HeadJournal!$A$1:$NTR$890,COLUMN(HeadJournal!C$1),0),"")</f>
        <v>iHerb_OA CZN6870</v>
      </c>
      <c r="D1479" s="125" t="str">
        <f>IFERROR(VLOOKUP($A1479,HeadJournal!$A$1:$NTR$890,COLUMN(HeadJournal!D$1),0),"")</f>
        <v>Доставлен</v>
      </c>
      <c r="E1479" s="95">
        <f>IFERROR(VLOOKUP($A1479,HeadJournal!$A$1:$NTR$890,COLUMN(HeadJournal!G$1),0),"")</f>
        <v>45021</v>
      </c>
      <c r="F1479" s="95" t="str">
        <f t="shared" si="119"/>
        <v>2023 04</v>
      </c>
      <c r="G1479" s="96" t="s">
        <v>5</v>
      </c>
      <c r="H1479" s="160" t="str">
        <f>RIGHT(Journal!$J1479,9)</f>
        <v>NAP-29932</v>
      </c>
      <c r="I1479" s="96" t="str">
        <f t="shared" si="116"/>
        <v>NaturesPlus</v>
      </c>
      <c r="J1479" s="97" t="s">
        <v>642</v>
      </c>
      <c r="K1479" s="29">
        <v>21.4</v>
      </c>
      <c r="L1479" s="29">
        <v>-4.28</v>
      </c>
      <c r="M1479" s="30">
        <f>IFERROR(VLOOKUP($A1479,HeadJournal!$A$1:$J$890,COLUMN(HeadJournal!I$1),0)*($K1479+$L1479)/(SUMIF($A:$A,$A1479,$K:$K)+SUMIF($A:$A,$A1479,$L:$L)),0)</f>
        <v>2.05478110314123</v>
      </c>
      <c r="N1479" s="30">
        <f>IFERROR((VLOOKUP($A1479,HeadJournal!$A$1:$K$890,COLUMN(HeadJournal!K$1),0)-VLOOKUP($A1479,HeadJournal!$A$1:$K$890,COLUMN(HeadJournal!J$1),0))*($K1479+$L1479)/(SUMIF($A:$A,$A1479,$K:$K)+SUMIF($A:$A,$A1479,$L:$L)),0)</f>
        <v>-1.2035114159003616E-14</v>
      </c>
      <c r="O1479" s="30">
        <f>IFERROR((VLOOKUP($A1479,HeadJournal!$A$1:$L$890,COLUMN(HeadJournal!L$1),0)*($K1479+$L1479)/(SUMIF($A:$A,$A1479,$K:$K)+SUMIF($A:$A,$A1479,$L:$L)))/VLOOKUP($A1479,HeadJournal!$A$1:$L$890,COLUMN(HeadJournal!H$1),0),0)</f>
        <v>1.7022528038962677</v>
      </c>
      <c r="P1479" s="30">
        <f>IFERROR(SUM(K1479:O1479)*VLOOKUP($A1479,HeadJournal!$A$1:$L$890,COLUMN(HeadJournal!H$1),0),0)</f>
        <v>1788.448231511253</v>
      </c>
      <c r="Q1479" s="29">
        <v>2700</v>
      </c>
      <c r="R1479" s="31">
        <v>45174</v>
      </c>
      <c r="S1479" s="31" t="s">
        <v>3121</v>
      </c>
      <c r="T1479" s="95" t="str">
        <f t="shared" si="120"/>
        <v>2023 09</v>
      </c>
      <c r="U1479" s="32">
        <f t="shared" si="117"/>
        <v>911.55176848874703</v>
      </c>
      <c r="V1479" s="22">
        <f t="shared" si="118"/>
        <v>0.50968865211070635</v>
      </c>
      <c r="X1479" s="33"/>
      <c r="Y1479" s="33"/>
    </row>
    <row r="1480" spans="1:25" x14ac:dyDescent="0.2">
      <c r="A1480" s="93" t="s">
        <v>638</v>
      </c>
      <c r="B1480" s="94" t="str">
        <f>IFERROR(VLOOKUP($A1480,HeadJournal!$A$1:$NTR$890,COLUMN(HeadJournal!B$1),0),"")</f>
        <v>710000721246</v>
      </c>
      <c r="C1480" s="94" t="str">
        <f>IFERROR(VLOOKUP($A1480,HeadJournal!$A$1:$NTR$890,COLUMN(HeadJournal!C$1),0),"")</f>
        <v>iHerb_OA CZN6870</v>
      </c>
      <c r="D1480" s="125" t="str">
        <f>IFERROR(VLOOKUP($A1480,HeadJournal!$A$1:$NTR$890,COLUMN(HeadJournal!D$1),0),"")</f>
        <v>Доставлен</v>
      </c>
      <c r="E1480" s="95">
        <f>IFERROR(VLOOKUP($A1480,HeadJournal!$A$1:$NTR$890,COLUMN(HeadJournal!G$1),0),"")</f>
        <v>45021</v>
      </c>
      <c r="F1480" s="95" t="str">
        <f t="shared" si="119"/>
        <v>2023 04</v>
      </c>
      <c r="G1480" s="96" t="s">
        <v>5</v>
      </c>
      <c r="H1480" s="160" t="str">
        <f>RIGHT(Journal!$J1480,9)</f>
        <v>LIL-00623</v>
      </c>
      <c r="I1480" s="96" t="str">
        <f t="shared" si="116"/>
        <v>L'il Critters</v>
      </c>
      <c r="J1480" s="97" t="s">
        <v>394</v>
      </c>
      <c r="K1480" s="29">
        <v>8.02</v>
      </c>
      <c r="L1480" s="29">
        <v>-1.6</v>
      </c>
      <c r="M1480" s="30">
        <f>IFERROR(VLOOKUP($A1480,HeadJournal!$A$1:$J$890,COLUMN(HeadJournal!I$1),0)*($K1480+$L1480)/(SUMIF($A:$A,$A1480,$K:$K)+SUMIF($A:$A,$A1480,$L:$L)),0)</f>
        <v>0.77054291367796135</v>
      </c>
      <c r="N1480" s="30">
        <f>IFERROR((VLOOKUP($A1480,HeadJournal!$A$1:$K$890,COLUMN(HeadJournal!K$1),0)-VLOOKUP($A1480,HeadJournal!$A$1:$K$890,COLUMN(HeadJournal!J$1),0))*($K1480+$L1480)/(SUMIF($A:$A,$A1480,$K:$K)+SUMIF($A:$A,$A1480,$L:$L)),0)</f>
        <v>-4.5131678096263564E-15</v>
      </c>
      <c r="O1480" s="30">
        <f>IFERROR((VLOOKUP($A1480,HeadJournal!$A$1:$L$890,COLUMN(HeadJournal!L$1),0)*($K1480+$L1480)/(SUMIF($A:$A,$A1480,$K:$K)+SUMIF($A:$A,$A1480,$L:$L)))/VLOOKUP($A1480,HeadJournal!$A$1:$L$890,COLUMN(HeadJournal!H$1),0),0)</f>
        <v>0.6383448014611004</v>
      </c>
      <c r="P1480" s="30">
        <f>IFERROR(SUM(K1480:O1480)*VLOOKUP($A1480,HeadJournal!$A$1:$L$890,COLUMN(HeadJournal!H$1),0),0)</f>
        <v>670.66808681671978</v>
      </c>
      <c r="Q1480" s="29">
        <v>1300</v>
      </c>
      <c r="R1480" s="31">
        <v>45224</v>
      </c>
      <c r="S1480" s="31" t="s">
        <v>3121</v>
      </c>
      <c r="T1480" s="95" t="str">
        <f t="shared" si="120"/>
        <v>2023 10</v>
      </c>
      <c r="U1480" s="32">
        <f t="shared" si="117"/>
        <v>629.33191318328022</v>
      </c>
      <c r="V1480" s="22">
        <f t="shared" si="118"/>
        <v>0.93836567678411709</v>
      </c>
      <c r="X1480" s="33"/>
      <c r="Y1480" s="33"/>
    </row>
    <row r="1481" spans="1:25" x14ac:dyDescent="0.2">
      <c r="A1481" s="93" t="s">
        <v>643</v>
      </c>
      <c r="B1481" s="94" t="str">
        <f>IFERROR(VLOOKUP($A1481,HeadJournal!$A$1:$NTR$890,COLUMN(HeadJournal!B$1),0),"")</f>
        <v>710000732635</v>
      </c>
      <c r="C1481" s="94" t="str">
        <f>IFERROR(VLOOKUP($A1481,HeadJournal!$A$1:$NTR$890,COLUMN(HeadJournal!C$1),0),"")</f>
        <v>iHerb_OA CZN6870</v>
      </c>
      <c r="D1481" s="125" t="str">
        <f>IFERROR(VLOOKUP($A1481,HeadJournal!$A$1:$NTR$890,COLUMN(HeadJournal!D$1),0),"")</f>
        <v>Доставлен</v>
      </c>
      <c r="E1481" s="95">
        <f>IFERROR(VLOOKUP($A1481,HeadJournal!$A$1:$NTR$890,COLUMN(HeadJournal!G$1),0),"")</f>
        <v>45026</v>
      </c>
      <c r="F1481" s="95" t="str">
        <f t="shared" si="119"/>
        <v>2023 04</v>
      </c>
      <c r="G1481" s="96" t="s">
        <v>5</v>
      </c>
      <c r="H1481" s="161" t="s">
        <v>2431</v>
      </c>
      <c r="I1481" s="97" t="s">
        <v>2221</v>
      </c>
      <c r="J1481" s="97" t="s">
        <v>4196</v>
      </c>
      <c r="K1481" s="29">
        <v>11.92</v>
      </c>
      <c r="L1481" s="29">
        <v>-1.79</v>
      </c>
      <c r="M1481" s="30">
        <f>IFERROR(VLOOKUP($A1481,HeadJournal!$A$1:$J$890,COLUMN(HeadJournal!I$1),0)*($K1481+$L1481)/(SUMIF($A:$A,$A1481,$K:$K)+SUMIF($A:$A,$A1481,$L:$L)),0)</f>
        <v>0.64085048442000525</v>
      </c>
      <c r="N1481" s="30">
        <f>IFERROR((VLOOKUP($A1481,HeadJournal!$A$1:$K$890,COLUMN(HeadJournal!K$1),0)-VLOOKUP($A1481,HeadJournal!$A$1:$K$890,COLUMN(HeadJournal!J$1),0))*($K1481+$L1481)/(SUMIF($A:$A,$A1481,$K:$K)+SUMIF($A:$A,$A1481,$L:$L)),0)</f>
        <v>0</v>
      </c>
      <c r="O1481" s="30">
        <f>IFERROR((VLOOKUP($A1481,HeadJournal!$A$1:$L$890,COLUMN(HeadJournal!L$1),0)*($K1481+$L1481)/(SUMIF($A:$A,$A1481,$K:$K)+SUMIF($A:$A,$A1481,$L:$L)))/VLOOKUP($A1481,HeadJournal!$A$1:$L$890,COLUMN(HeadJournal!H$1),0),0)</f>
        <v>0.91688706728365132</v>
      </c>
      <c r="P1481" s="30">
        <f>IFERROR(SUM(K1481:O1481)*VLOOKUP($A1481,HeadJournal!$A$1:$L$890,COLUMN(HeadJournal!H$1),0),0)</f>
        <v>1049.9489031159987</v>
      </c>
      <c r="Q1481" s="29">
        <v>2000</v>
      </c>
      <c r="R1481" s="31">
        <v>45064</v>
      </c>
      <c r="S1481" s="31" t="s">
        <v>3121</v>
      </c>
      <c r="T1481" s="95" t="str">
        <f t="shared" si="120"/>
        <v>2023 05</v>
      </c>
      <c r="U1481" s="32">
        <f t="shared" si="117"/>
        <v>950.05109688400125</v>
      </c>
      <c r="V1481" s="22">
        <f t="shared" si="118"/>
        <v>0.90485460203298984</v>
      </c>
      <c r="X1481" s="33"/>
      <c r="Y1481" s="33"/>
    </row>
    <row r="1482" spans="1:25" x14ac:dyDescent="0.2">
      <c r="A1482" s="93" t="s">
        <v>643</v>
      </c>
      <c r="B1482" s="94" t="str">
        <f>IFERROR(VLOOKUP($A1482,HeadJournal!$A$1:$NTR$890,COLUMN(HeadJournal!B$1),0),"")</f>
        <v>710000732635</v>
      </c>
      <c r="C1482" s="94" t="str">
        <f>IFERROR(VLOOKUP($A1482,HeadJournal!$A$1:$NTR$890,COLUMN(HeadJournal!C$1),0),"")</f>
        <v>iHerb_OA CZN6870</v>
      </c>
      <c r="D1482" s="125" t="str">
        <f>IFERROR(VLOOKUP($A1482,HeadJournal!$A$1:$NTR$890,COLUMN(HeadJournal!D$1),0),"")</f>
        <v>Доставлен</v>
      </c>
      <c r="E1482" s="95">
        <f>IFERROR(VLOOKUP($A1482,HeadJournal!$A$1:$NTR$890,COLUMN(HeadJournal!G$1),0),"")</f>
        <v>45026</v>
      </c>
      <c r="F1482" s="95" t="str">
        <f t="shared" si="119"/>
        <v>2023 04</v>
      </c>
      <c r="G1482" s="96" t="s">
        <v>5</v>
      </c>
      <c r="H1482" s="160" t="str">
        <f>RIGHT(Journal!$J1482,9)</f>
        <v>CEN-27285</v>
      </c>
      <c r="I1482" s="96" t="str">
        <f t="shared" si="116"/>
        <v>21st Century</v>
      </c>
      <c r="J1482" s="97" t="s">
        <v>644</v>
      </c>
      <c r="K1482" s="29">
        <v>6.12</v>
      </c>
      <c r="L1482" s="29">
        <v>-0.92</v>
      </c>
      <c r="M1482" s="30">
        <f>IFERROR(VLOOKUP($A1482,HeadJournal!$A$1:$J$890,COLUMN(HeadJournal!I$1),0)*($K1482+$L1482)/(SUMIF($A:$A,$A1482,$K:$K)+SUMIF($A:$A,$A1482,$L:$L)),0)</f>
        <v>0.32896569782665624</v>
      </c>
      <c r="N1482" s="30">
        <f>IFERROR((VLOOKUP($A1482,HeadJournal!$A$1:$K$890,COLUMN(HeadJournal!K$1),0)-VLOOKUP($A1482,HeadJournal!$A$1:$K$890,COLUMN(HeadJournal!J$1),0))*($K1482+$L1482)/(SUMIF($A:$A,$A1482,$K:$K)+SUMIF($A:$A,$A1482,$L:$L)),0)</f>
        <v>0</v>
      </c>
      <c r="O1482" s="30">
        <f>IFERROR((VLOOKUP($A1482,HeadJournal!$A$1:$L$890,COLUMN(HeadJournal!L$1),0)*($K1482+$L1482)/(SUMIF($A:$A,$A1482,$K:$K)+SUMIF($A:$A,$A1482,$L:$L)))/VLOOKUP($A1482,HeadJournal!$A$1:$L$890,COLUMN(HeadJournal!H$1),0),0)</f>
        <v>0.47066266040226923</v>
      </c>
      <c r="P1482" s="30">
        <f>IFERROR(SUM(K1482:O1482)*VLOOKUP($A1482,HeadJournal!$A$1:$L$890,COLUMN(HeadJournal!H$1),0),0)</f>
        <v>538.96686043466866</v>
      </c>
      <c r="Q1482" s="29">
        <v>1200</v>
      </c>
      <c r="R1482" s="31">
        <v>45062</v>
      </c>
      <c r="S1482" s="31" t="s">
        <v>3121</v>
      </c>
      <c r="T1482" s="95" t="str">
        <f t="shared" si="120"/>
        <v>2023 05</v>
      </c>
      <c r="U1482" s="32">
        <f t="shared" si="117"/>
        <v>661.03313956533134</v>
      </c>
      <c r="V1482" s="22">
        <f t="shared" si="118"/>
        <v>1.2264819752224061</v>
      </c>
      <c r="X1482" s="33"/>
      <c r="Y1482" s="33"/>
    </row>
    <row r="1483" spans="1:25" x14ac:dyDescent="0.2">
      <c r="A1483" s="93" t="s">
        <v>643</v>
      </c>
      <c r="B1483" s="94" t="str">
        <f>IFERROR(VLOOKUP($A1483,HeadJournal!$A$1:$NTR$890,COLUMN(HeadJournal!B$1),0),"")</f>
        <v>710000732635</v>
      </c>
      <c r="C1483" s="94" t="str">
        <f>IFERROR(VLOOKUP($A1483,HeadJournal!$A$1:$NTR$890,COLUMN(HeadJournal!C$1),0),"")</f>
        <v>iHerb_OA CZN6870</v>
      </c>
      <c r="D1483" s="125" t="str">
        <f>IFERROR(VLOOKUP($A1483,HeadJournal!$A$1:$NTR$890,COLUMN(HeadJournal!D$1),0),"")</f>
        <v>Доставлен</v>
      </c>
      <c r="E1483" s="95">
        <f>IFERROR(VLOOKUP($A1483,HeadJournal!$A$1:$NTR$890,COLUMN(HeadJournal!G$1),0),"")</f>
        <v>45026</v>
      </c>
      <c r="F1483" s="95" t="str">
        <f t="shared" si="119"/>
        <v>2023 04</v>
      </c>
      <c r="G1483" s="96" t="s">
        <v>7</v>
      </c>
      <c r="H1483" s="160" t="str">
        <f>RIGHT(Journal!$J1483,9)</f>
        <v>NBC-01023</v>
      </c>
      <c r="I1483" s="96" t="str">
        <f t="shared" si="116"/>
        <v>NutriBiotic</v>
      </c>
      <c r="J1483" s="97" t="s">
        <v>645</v>
      </c>
      <c r="K1483" s="29">
        <v>8.9700000000000006</v>
      </c>
      <c r="L1483" s="29">
        <v>-1.79</v>
      </c>
      <c r="M1483" s="30">
        <f>IFERROR(VLOOKUP($A1483,HeadJournal!$A$1:$J$890,COLUMN(HeadJournal!I$1),0)*($K1483+$L1483)/(SUMIF($A:$A,$A1483,$K:$K)+SUMIF($A:$A,$A1483,$L:$L)),0)</f>
        <v>0.45422571353757535</v>
      </c>
      <c r="N1483" s="30">
        <f>IFERROR((VLOOKUP($A1483,HeadJournal!$A$1:$K$890,COLUMN(HeadJournal!K$1),0)-VLOOKUP($A1483,HeadJournal!$A$1:$K$890,COLUMN(HeadJournal!J$1),0))*($K1483+$L1483)/(SUMIF($A:$A,$A1483,$K:$K)+SUMIF($A:$A,$A1483,$L:$L)),0)</f>
        <v>0</v>
      </c>
      <c r="O1483" s="30">
        <f>IFERROR((VLOOKUP($A1483,HeadJournal!$A$1:$L$890,COLUMN(HeadJournal!L$1),0)*($K1483+$L1483)/(SUMIF($A:$A,$A1483,$K:$K)+SUMIF($A:$A,$A1483,$L:$L)))/VLOOKUP($A1483,HeadJournal!$A$1:$L$890,COLUMN(HeadJournal!H$1),0),0)</f>
        <v>0.6498765195554409</v>
      </c>
      <c r="P1483" s="30">
        <f>IFERROR(SUM(K1483:O1483)*VLOOKUP($A1483,HeadJournal!$A$1:$L$890,COLUMN(HeadJournal!H$1),0),0)</f>
        <v>744.18885729248495</v>
      </c>
      <c r="Q1483" s="29">
        <v>1400</v>
      </c>
      <c r="R1483" s="31">
        <v>45373</v>
      </c>
      <c r="S1483" s="31" t="s">
        <v>3121</v>
      </c>
      <c r="T1483" s="95" t="str">
        <f t="shared" si="120"/>
        <v>2024 03</v>
      </c>
      <c r="U1483" s="32">
        <f t="shared" si="117"/>
        <v>655.81114270751505</v>
      </c>
      <c r="V1483" s="22">
        <f t="shared" si="118"/>
        <v>0.88124289457046356</v>
      </c>
      <c r="X1483" s="33"/>
      <c r="Y1483" s="33"/>
    </row>
    <row r="1484" spans="1:25" x14ac:dyDescent="0.2">
      <c r="A1484" s="93" t="s">
        <v>643</v>
      </c>
      <c r="B1484" s="94" t="str">
        <f>IFERROR(VLOOKUP($A1484,HeadJournal!$A$1:$NTR$890,COLUMN(HeadJournal!B$1),0),"")</f>
        <v>710000732635</v>
      </c>
      <c r="C1484" s="94" t="str">
        <f>IFERROR(VLOOKUP($A1484,HeadJournal!$A$1:$NTR$890,COLUMN(HeadJournal!C$1),0),"")</f>
        <v>iHerb_OA CZN6870</v>
      </c>
      <c r="D1484" s="125" t="str">
        <f>IFERROR(VLOOKUP($A1484,HeadJournal!$A$1:$NTR$890,COLUMN(HeadJournal!D$1),0),"")</f>
        <v>Доставлен</v>
      </c>
      <c r="E1484" s="95">
        <f>IFERROR(VLOOKUP($A1484,HeadJournal!$A$1:$NTR$890,COLUMN(HeadJournal!G$1),0),"")</f>
        <v>45026</v>
      </c>
      <c r="F1484" s="95" t="str">
        <f t="shared" si="119"/>
        <v>2023 04</v>
      </c>
      <c r="G1484" s="96" t="s">
        <v>7</v>
      </c>
      <c r="H1484" s="160" t="str">
        <f>RIGHT(Journal!$J1484,9)</f>
        <v>DME-00603</v>
      </c>
      <c r="I1484" s="96" t="str">
        <f t="shared" si="116"/>
        <v>DERMA E</v>
      </c>
      <c r="J1484" s="97" t="s">
        <v>646</v>
      </c>
      <c r="K1484" s="29">
        <v>17.14</v>
      </c>
      <c r="L1484" s="29">
        <v>-3.43</v>
      </c>
      <c r="M1484" s="30">
        <f>IFERROR(VLOOKUP($A1484,HeadJournal!$A$1:$J$890,COLUMN(HeadJournal!I$1),0)*($K1484+$L1484)/(SUMIF($A:$A,$A1484,$K:$K)+SUMIF($A:$A,$A1484,$L:$L)),0)</f>
        <v>0.86733071484681867</v>
      </c>
      <c r="N1484" s="30">
        <f>IFERROR((VLOOKUP($A1484,HeadJournal!$A$1:$K$890,COLUMN(HeadJournal!K$1),0)-VLOOKUP($A1484,HeadJournal!$A$1:$K$890,COLUMN(HeadJournal!J$1),0))*($K1484+$L1484)/(SUMIF($A:$A,$A1484,$K:$K)+SUMIF($A:$A,$A1484,$L:$L)),0)</f>
        <v>0</v>
      </c>
      <c r="O1484" s="30">
        <f>IFERROR((VLOOKUP($A1484,HeadJournal!$A$1:$L$890,COLUMN(HeadJournal!L$1),0)*($K1484+$L1484)/(SUMIF($A:$A,$A1484,$K:$K)+SUMIF($A:$A,$A1484,$L:$L)))/VLOOKUP($A1484,HeadJournal!$A$1:$L$890,COLUMN(HeadJournal!H$1),0),0)</f>
        <v>1.2409202065605982</v>
      </c>
      <c r="P1484" s="30">
        <f>IFERROR(SUM(K1484:O1484)*VLOOKUP($A1484,HeadJournal!$A$1:$L$890,COLUMN(HeadJournal!H$1),0),0)</f>
        <v>1421.0068570306364</v>
      </c>
      <c r="Q1484" s="29"/>
      <c r="R1484" s="31"/>
      <c r="S1484" s="31"/>
      <c r="T1484" s="95" t="str">
        <f t="shared" si="120"/>
        <v/>
      </c>
      <c r="U1484" s="32">
        <f t="shared" si="117"/>
        <v>-1421.0068570306364</v>
      </c>
      <c r="V1484" s="22" t="str">
        <f t="shared" si="118"/>
        <v/>
      </c>
      <c r="X1484" s="33"/>
      <c r="Y1484" s="33"/>
    </row>
    <row r="1485" spans="1:25" x14ac:dyDescent="0.2">
      <c r="A1485" s="93" t="s">
        <v>643</v>
      </c>
      <c r="B1485" s="94" t="str">
        <f>IFERROR(VLOOKUP($A1485,HeadJournal!$A$1:$NTR$890,COLUMN(HeadJournal!B$1),0),"")</f>
        <v>710000732635</v>
      </c>
      <c r="C1485" s="94" t="str">
        <f>IFERROR(VLOOKUP($A1485,HeadJournal!$A$1:$NTR$890,COLUMN(HeadJournal!C$1),0),"")</f>
        <v>iHerb_OA CZN6870</v>
      </c>
      <c r="D1485" s="125" t="str">
        <f>IFERROR(VLOOKUP($A1485,HeadJournal!$A$1:$NTR$890,COLUMN(HeadJournal!D$1),0),"")</f>
        <v>Доставлен</v>
      </c>
      <c r="E1485" s="95">
        <f>IFERROR(VLOOKUP($A1485,HeadJournal!$A$1:$NTR$890,COLUMN(HeadJournal!G$1),0),"")</f>
        <v>45026</v>
      </c>
      <c r="F1485" s="95" t="str">
        <f t="shared" si="119"/>
        <v>2023 04</v>
      </c>
      <c r="G1485" s="96" t="s">
        <v>7</v>
      </c>
      <c r="H1485" s="160" t="str">
        <f>RIGHT(Journal!$J1485,9)</f>
        <v>DME-00461</v>
      </c>
      <c r="I1485" s="96" t="str">
        <f t="shared" si="116"/>
        <v>DERMA E</v>
      </c>
      <c r="J1485" s="97" t="s">
        <v>647</v>
      </c>
      <c r="K1485" s="29">
        <v>16.72</v>
      </c>
      <c r="L1485" s="29">
        <v>-3.34</v>
      </c>
      <c r="M1485" s="30">
        <f>IFERROR(VLOOKUP($A1485,HeadJournal!$A$1:$J$890,COLUMN(HeadJournal!I$1),0)*($K1485+$L1485)/(SUMIF($A:$A,$A1485,$K:$K)+SUMIF($A:$A,$A1485,$L:$L)),0)</f>
        <v>0.84645404556166526</v>
      </c>
      <c r="N1485" s="30">
        <f>IFERROR((VLOOKUP($A1485,HeadJournal!$A$1:$K$890,COLUMN(HeadJournal!K$1),0)-VLOOKUP($A1485,HeadJournal!$A$1:$K$890,COLUMN(HeadJournal!J$1),0))*($K1485+$L1485)/(SUMIF($A:$A,$A1485,$K:$K)+SUMIF($A:$A,$A1485,$L:$L)),0)</f>
        <v>0</v>
      </c>
      <c r="O1485" s="30">
        <f>IFERROR((VLOOKUP($A1485,HeadJournal!$A$1:$L$890,COLUMN(HeadJournal!L$1),0)*($K1485+$L1485)/(SUMIF($A:$A,$A1485,$K:$K)+SUMIF($A:$A,$A1485,$L:$L)))/VLOOKUP($A1485,HeadJournal!$A$1:$L$890,COLUMN(HeadJournal!H$1),0),0)</f>
        <v>1.2110512300350693</v>
      </c>
      <c r="P1485" s="30">
        <f>IFERROR(SUM(K1485:O1485)*VLOOKUP($A1485,HeadJournal!$A$1:$L$890,COLUMN(HeadJournal!H$1),0),0)</f>
        <v>1386.8031908876667</v>
      </c>
      <c r="Q1485" s="29"/>
      <c r="R1485" s="31"/>
      <c r="S1485" s="31"/>
      <c r="T1485" s="95" t="str">
        <f t="shared" si="120"/>
        <v/>
      </c>
      <c r="U1485" s="32">
        <f t="shared" si="117"/>
        <v>-1386.8031908876667</v>
      </c>
      <c r="V1485" s="22" t="str">
        <f t="shared" si="118"/>
        <v/>
      </c>
      <c r="X1485" s="33"/>
      <c r="Y1485" s="33"/>
    </row>
    <row r="1486" spans="1:25" x14ac:dyDescent="0.2">
      <c r="A1486" s="93" t="s">
        <v>643</v>
      </c>
      <c r="B1486" s="94" t="str">
        <f>IFERROR(VLOOKUP($A1486,HeadJournal!$A$1:$NTR$890,COLUMN(HeadJournal!B$1),0),"")</f>
        <v>710000732635</v>
      </c>
      <c r="C1486" s="94" t="str">
        <f>IFERROR(VLOOKUP($A1486,HeadJournal!$A$1:$NTR$890,COLUMN(HeadJournal!C$1),0),"")</f>
        <v>iHerb_OA CZN6870</v>
      </c>
      <c r="D1486" s="125" t="str">
        <f>IFERROR(VLOOKUP($A1486,HeadJournal!$A$1:$NTR$890,COLUMN(HeadJournal!D$1),0),"")</f>
        <v>Доставлен</v>
      </c>
      <c r="E1486" s="95">
        <f>IFERROR(VLOOKUP($A1486,HeadJournal!$A$1:$NTR$890,COLUMN(HeadJournal!G$1),0),"")</f>
        <v>45026</v>
      </c>
      <c r="F1486" s="95" t="str">
        <f t="shared" si="119"/>
        <v>2023 04</v>
      </c>
      <c r="G1486" s="96" t="s">
        <v>7</v>
      </c>
      <c r="H1486" s="160" t="str">
        <f>RIGHT(Journal!$J1486,9)</f>
        <v>HEI-76054</v>
      </c>
      <c r="I1486" s="96" t="str">
        <f t="shared" ref="I1486:I1549" si="121">IFERROR(LEFT(J1486,FIND(",",J1486)-1),"")</f>
        <v>Heimish</v>
      </c>
      <c r="J1486" s="97" t="s">
        <v>648</v>
      </c>
      <c r="K1486" s="29">
        <v>8.51</v>
      </c>
      <c r="L1486" s="29">
        <v>-1.7</v>
      </c>
      <c r="M1486" s="30">
        <f>IFERROR(VLOOKUP($A1486,HeadJournal!$A$1:$J$890,COLUMN(HeadJournal!I$1),0)*($K1486+$L1486)/(SUMIF($A:$A,$A1486,$K:$K)+SUMIF($A:$A,$A1486,$L:$L)),0)</f>
        <v>0.43081853888452476</v>
      </c>
      <c r="N1486" s="30">
        <f>IFERROR((VLOOKUP($A1486,HeadJournal!$A$1:$K$890,COLUMN(HeadJournal!K$1),0)-VLOOKUP($A1486,HeadJournal!$A$1:$K$890,COLUMN(HeadJournal!J$1),0))*($K1486+$L1486)/(SUMIF($A:$A,$A1486,$K:$K)+SUMIF($A:$A,$A1486,$L:$L)),0)</f>
        <v>0</v>
      </c>
      <c r="O1486" s="30">
        <f>IFERROR((VLOOKUP($A1486,HeadJournal!$A$1:$L$890,COLUMN(HeadJournal!L$1),0)*($K1486+$L1486)/(SUMIF($A:$A,$A1486,$K:$K)+SUMIF($A:$A,$A1486,$L:$L)))/VLOOKUP($A1486,HeadJournal!$A$1:$L$890,COLUMN(HeadJournal!H$1),0),0)</f>
        <v>0.61638706102681784</v>
      </c>
      <c r="P1486" s="30">
        <f>IFERROR(SUM(K1486:O1486)*VLOOKUP($A1486,HeadJournal!$A$1:$L$890,COLUMN(HeadJournal!H$1),0),0)</f>
        <v>705.83929222309496</v>
      </c>
      <c r="Q1486" s="29"/>
      <c r="R1486" s="31"/>
      <c r="S1486" s="31"/>
      <c r="T1486" s="95" t="str">
        <f t="shared" si="120"/>
        <v/>
      </c>
      <c r="U1486" s="32">
        <f t="shared" si="117"/>
        <v>-705.83929222309496</v>
      </c>
      <c r="V1486" s="22" t="str">
        <f t="shared" si="118"/>
        <v/>
      </c>
      <c r="X1486" s="33"/>
      <c r="Y1486" s="33"/>
    </row>
    <row r="1487" spans="1:25" x14ac:dyDescent="0.2">
      <c r="A1487" s="93" t="s">
        <v>643</v>
      </c>
      <c r="B1487" s="94" t="str">
        <f>IFERROR(VLOOKUP($A1487,HeadJournal!$A$1:$NTR$890,COLUMN(HeadJournal!B$1),0),"")</f>
        <v>710000732635</v>
      </c>
      <c r="C1487" s="94" t="str">
        <f>IFERROR(VLOOKUP($A1487,HeadJournal!$A$1:$NTR$890,COLUMN(HeadJournal!C$1),0),"")</f>
        <v>iHerb_OA CZN6870</v>
      </c>
      <c r="D1487" s="125" t="str">
        <f>IFERROR(VLOOKUP($A1487,HeadJournal!$A$1:$NTR$890,COLUMN(HeadJournal!D$1),0),"")</f>
        <v>Доставлен</v>
      </c>
      <c r="E1487" s="95">
        <f>IFERROR(VLOOKUP($A1487,HeadJournal!$A$1:$NTR$890,COLUMN(HeadJournal!G$1),0),"")</f>
        <v>45026</v>
      </c>
      <c r="F1487" s="95" t="str">
        <f t="shared" si="119"/>
        <v>2023 04</v>
      </c>
      <c r="G1487" s="96" t="s">
        <v>6</v>
      </c>
      <c r="H1487" s="161" t="s">
        <v>3626</v>
      </c>
      <c r="I1487" s="97" t="s">
        <v>3668</v>
      </c>
      <c r="J1487" s="97" t="s">
        <v>4169</v>
      </c>
      <c r="K1487" s="29">
        <v>46.25</v>
      </c>
      <c r="L1487" s="29">
        <v>-9.25</v>
      </c>
      <c r="M1487" s="30">
        <f>IFERROR(VLOOKUP($A1487,HeadJournal!$A$1:$J$890,COLUMN(HeadJournal!I$1),0)*($K1487+$L1487)/(SUMIF($A:$A,$A1487,$K:$K)+SUMIF($A:$A,$A1487,$L:$L)),0)</f>
        <v>2.3407174653050538</v>
      </c>
      <c r="N1487" s="30">
        <f>IFERROR((VLOOKUP($A1487,HeadJournal!$A$1:$K$890,COLUMN(HeadJournal!K$1),0)-VLOOKUP($A1487,HeadJournal!$A$1:$K$890,COLUMN(HeadJournal!J$1),0))*($K1487+$L1487)/(SUMIF($A:$A,$A1487,$K:$K)+SUMIF($A:$A,$A1487,$L:$L)),0)</f>
        <v>0</v>
      </c>
      <c r="O1487" s="30">
        <f>IFERROR((VLOOKUP($A1487,HeadJournal!$A$1:$L$890,COLUMN(HeadJournal!L$1),0)*($K1487+$L1487)/(SUMIF($A:$A,$A1487,$K:$K)+SUMIF($A:$A,$A1487,$L:$L)))/VLOOKUP($A1487,HeadJournal!$A$1:$L$890,COLUMN(HeadJournal!H$1),0),0)</f>
        <v>3.3489458528623</v>
      </c>
      <c r="P1487" s="30">
        <f>IFERROR(SUM(K1487:O1487)*VLOOKUP($A1487,HeadJournal!$A$1:$L$890,COLUMN(HeadJournal!H$1),0),0)</f>
        <v>3834.9565069389892</v>
      </c>
      <c r="Q1487" s="29">
        <v>6000</v>
      </c>
      <c r="R1487" s="31">
        <v>45283</v>
      </c>
      <c r="S1487" s="31" t="s">
        <v>3121</v>
      </c>
      <c r="T1487" s="95" t="str">
        <f t="shared" si="120"/>
        <v>2023 12</v>
      </c>
      <c r="U1487" s="32">
        <f t="shared" si="117"/>
        <v>2165.0434930610108</v>
      </c>
      <c r="V1487" s="22">
        <f t="shared" si="118"/>
        <v>0.56455490150763654</v>
      </c>
      <c r="X1487" s="33"/>
      <c r="Y1487" s="33"/>
    </row>
    <row r="1488" spans="1:25" x14ac:dyDescent="0.2">
      <c r="A1488" s="93" t="s">
        <v>643</v>
      </c>
      <c r="B1488" s="94" t="str">
        <f>IFERROR(VLOOKUP($A1488,HeadJournal!$A$1:$NTR$890,COLUMN(HeadJournal!B$1),0),"")</f>
        <v>710000732635</v>
      </c>
      <c r="C1488" s="94" t="str">
        <f>IFERROR(VLOOKUP($A1488,HeadJournal!$A$1:$NTR$890,COLUMN(HeadJournal!C$1),0),"")</f>
        <v>iHerb_OA CZN6870</v>
      </c>
      <c r="D1488" s="125" t="str">
        <f>IFERROR(VLOOKUP($A1488,HeadJournal!$A$1:$NTR$890,COLUMN(HeadJournal!D$1),0),"")</f>
        <v>Доставлен</v>
      </c>
      <c r="E1488" s="95">
        <f>IFERROR(VLOOKUP($A1488,HeadJournal!$A$1:$NTR$890,COLUMN(HeadJournal!G$1),0),"")</f>
        <v>45026</v>
      </c>
      <c r="F1488" s="95" t="str">
        <f t="shared" si="119"/>
        <v>2023 04</v>
      </c>
      <c r="G1488" s="96" t="s">
        <v>7</v>
      </c>
      <c r="H1488" s="160" t="str">
        <f>RIGHT(Journal!$J1488,9)</f>
        <v>TDS-10193</v>
      </c>
      <c r="I1488" s="96" t="str">
        <f t="shared" si="121"/>
        <v>Thai Deodorant Stone</v>
      </c>
      <c r="J1488" s="97" t="s">
        <v>649</v>
      </c>
      <c r="K1488" s="29">
        <v>6.2</v>
      </c>
      <c r="L1488" s="29">
        <v>-0.93</v>
      </c>
      <c r="M1488" s="30">
        <f>IFERROR(VLOOKUP($A1488,HeadJournal!$A$1:$J$890,COLUMN(HeadJournal!I$1),0)*($K1488+$L1488)/(SUMIF($A:$A,$A1488,$K:$K)+SUMIF($A:$A,$A1488,$L:$L)),0)</f>
        <v>0.33339408222047662</v>
      </c>
      <c r="N1488" s="30">
        <f>IFERROR((VLOOKUP($A1488,HeadJournal!$A$1:$K$890,COLUMN(HeadJournal!K$1),0)-VLOOKUP($A1488,HeadJournal!$A$1:$K$890,COLUMN(HeadJournal!J$1),0))*($K1488+$L1488)/(SUMIF($A:$A,$A1488,$K:$K)+SUMIF($A:$A,$A1488,$L:$L)),0)</f>
        <v>0</v>
      </c>
      <c r="O1488" s="30">
        <f>IFERROR((VLOOKUP($A1488,HeadJournal!$A$1:$L$890,COLUMN(HeadJournal!L$1),0)*($K1488+$L1488)/(SUMIF($A:$A,$A1488,$K:$K)+SUMIF($A:$A,$A1488,$L:$L)))/VLOOKUP($A1488,HeadJournal!$A$1:$L$890,COLUMN(HeadJournal!H$1),0),0)</f>
        <v>0.47699850390768439</v>
      </c>
      <c r="P1488" s="30">
        <f>IFERROR(SUM(K1488:O1488)*VLOOKUP($A1488,HeadJournal!$A$1:$L$890,COLUMN(HeadJournal!H$1),0),0)</f>
        <v>546.22218355590473</v>
      </c>
      <c r="Q1488" s="29"/>
      <c r="R1488" s="31"/>
      <c r="S1488" s="31"/>
      <c r="T1488" s="95" t="str">
        <f t="shared" si="120"/>
        <v/>
      </c>
      <c r="U1488" s="32">
        <f t="shared" si="117"/>
        <v>-546.22218355590473</v>
      </c>
      <c r="V1488" s="22" t="str">
        <f t="shared" si="118"/>
        <v/>
      </c>
      <c r="X1488" s="33"/>
      <c r="Y1488" s="33"/>
    </row>
    <row r="1489" spans="1:25" x14ac:dyDescent="0.2">
      <c r="A1489" s="93" t="s">
        <v>643</v>
      </c>
      <c r="B1489" s="94" t="str">
        <f>IFERROR(VLOOKUP($A1489,HeadJournal!$A$1:$NTR$890,COLUMN(HeadJournal!B$1),0),"")</f>
        <v>710000732635</v>
      </c>
      <c r="C1489" s="94" t="str">
        <f>IFERROR(VLOOKUP($A1489,HeadJournal!$A$1:$NTR$890,COLUMN(HeadJournal!C$1),0),"")</f>
        <v>iHerb_OA CZN6870</v>
      </c>
      <c r="D1489" s="125" t="str">
        <f>IFERROR(VLOOKUP($A1489,HeadJournal!$A$1:$NTR$890,COLUMN(HeadJournal!D$1),0),"")</f>
        <v>Доставлен</v>
      </c>
      <c r="E1489" s="95">
        <f>IFERROR(VLOOKUP($A1489,HeadJournal!$A$1:$NTR$890,COLUMN(HeadJournal!G$1),0),"")</f>
        <v>45026</v>
      </c>
      <c r="F1489" s="95" t="str">
        <f t="shared" si="119"/>
        <v>2023 04</v>
      </c>
      <c r="G1489" s="96" t="s">
        <v>5</v>
      </c>
      <c r="H1489" s="161" t="s">
        <v>2773</v>
      </c>
      <c r="I1489" s="97" t="s">
        <v>2005</v>
      </c>
      <c r="J1489" s="97" t="s">
        <v>2774</v>
      </c>
      <c r="K1489" s="29">
        <v>11.7</v>
      </c>
      <c r="L1489" s="29">
        <v>-2.34</v>
      </c>
      <c r="M1489" s="30">
        <f>IFERROR(VLOOKUP($A1489,HeadJournal!$A$1:$J$890,COLUMN(HeadJournal!I$1),0)*($K1489+$L1489)/(SUMIF($A:$A,$A1489,$K:$K)+SUMIF($A:$A,$A1489,$L:$L)),0)</f>
        <v>0.59213825608798121</v>
      </c>
      <c r="N1489" s="30">
        <f>IFERROR((VLOOKUP($A1489,HeadJournal!$A$1:$K$890,COLUMN(HeadJournal!K$1),0)-VLOOKUP($A1489,HeadJournal!$A$1:$K$890,COLUMN(HeadJournal!J$1),0))*($K1489+$L1489)/(SUMIF($A:$A,$A1489,$K:$K)+SUMIF($A:$A,$A1489,$L:$L)),0)</f>
        <v>0</v>
      </c>
      <c r="O1489" s="30">
        <f>IFERROR((VLOOKUP($A1489,HeadJournal!$A$1:$L$890,COLUMN(HeadJournal!L$1),0)*($K1489+$L1489)/(SUMIF($A:$A,$A1489,$K:$K)+SUMIF($A:$A,$A1489,$L:$L)))/VLOOKUP($A1489,HeadJournal!$A$1:$L$890,COLUMN(HeadJournal!H$1),0),0)</f>
        <v>0.84719278872408454</v>
      </c>
      <c r="P1489" s="30">
        <f>IFERROR(SUM(K1489:O1489)*VLOOKUP($A1489,HeadJournal!$A$1:$L$890,COLUMN(HeadJournal!H$1),0),0)</f>
        <v>970.14034878240363</v>
      </c>
      <c r="Q1489" s="29">
        <v>1900</v>
      </c>
      <c r="R1489" s="31">
        <v>45183</v>
      </c>
      <c r="S1489" s="31" t="s">
        <v>3121</v>
      </c>
      <c r="T1489" s="95" t="str">
        <f t="shared" si="120"/>
        <v>2023 09</v>
      </c>
      <c r="U1489" s="32">
        <f t="shared" si="117"/>
        <v>929.85965121759637</v>
      </c>
      <c r="V1489" s="22">
        <f t="shared" si="118"/>
        <v>0.95847951524193131</v>
      </c>
      <c r="X1489" s="33"/>
      <c r="Y1489" s="33"/>
    </row>
    <row r="1490" spans="1:25" x14ac:dyDescent="0.2">
      <c r="A1490" s="93" t="s">
        <v>643</v>
      </c>
      <c r="B1490" s="94" t="str">
        <f>IFERROR(VLOOKUP($A1490,HeadJournal!$A$1:$NTR$890,COLUMN(HeadJournal!B$1),0),"")</f>
        <v>710000732635</v>
      </c>
      <c r="C1490" s="94" t="str">
        <f>IFERROR(VLOOKUP($A1490,HeadJournal!$A$1:$NTR$890,COLUMN(HeadJournal!C$1),0),"")</f>
        <v>iHerb_OA CZN6870</v>
      </c>
      <c r="D1490" s="125" t="str">
        <f>IFERROR(VLOOKUP($A1490,HeadJournal!$A$1:$NTR$890,COLUMN(HeadJournal!D$1),0),"")</f>
        <v>Доставлен</v>
      </c>
      <c r="E1490" s="95">
        <f>IFERROR(VLOOKUP($A1490,HeadJournal!$A$1:$NTR$890,COLUMN(HeadJournal!G$1),0),"")</f>
        <v>45026</v>
      </c>
      <c r="F1490" s="95" t="str">
        <f t="shared" si="119"/>
        <v>2023 04</v>
      </c>
      <c r="G1490" s="96" t="s">
        <v>5</v>
      </c>
      <c r="H1490" s="161" t="s">
        <v>2174</v>
      </c>
      <c r="I1490" s="97" t="s">
        <v>2005</v>
      </c>
      <c r="J1490" s="97" t="s">
        <v>2175</v>
      </c>
      <c r="K1490" s="29">
        <v>5.24</v>
      </c>
      <c r="L1490" s="29">
        <v>-0.78500000000000003</v>
      </c>
      <c r="M1490" s="30">
        <f>IFERROR(VLOOKUP($A1490,HeadJournal!$A$1:$J$890,COLUMN(HeadJournal!I$1),0)*($K1490+$L1490)/(SUMIF($A:$A,$A1490,$K:$K)+SUMIF($A:$A,$A1490,$L:$L)),0)</f>
        <v>0.281835035349568</v>
      </c>
      <c r="N1490" s="30">
        <f>IFERROR((VLOOKUP($A1490,HeadJournal!$A$1:$K$890,COLUMN(HeadJournal!K$1),0)-VLOOKUP($A1490,HeadJournal!$A$1:$K$890,COLUMN(HeadJournal!J$1),0))*($K1490+$L1490)/(SUMIF($A:$A,$A1490,$K:$K)+SUMIF($A:$A,$A1490,$L:$L)),0)</f>
        <v>0</v>
      </c>
      <c r="O1490" s="30">
        <f>IFERROR((VLOOKUP($A1490,HeadJournal!$A$1:$L$890,COLUMN(HeadJournal!L$1),0)*($K1490+$L1490)/(SUMIF($A:$A,$A1490,$K:$K)+SUMIF($A:$A,$A1490,$L:$L)))/VLOOKUP($A1490,HeadJournal!$A$1:$L$890,COLUMN(HeadJournal!H$1),0),0)</f>
        <v>0.40323118309463646</v>
      </c>
      <c r="P1490" s="30">
        <f>IFERROR(SUM(K1490:O1490)*VLOOKUP($A1490,HeadJournal!$A$1:$L$890,COLUMN(HeadJournal!H$1),0),0)</f>
        <v>461.74949293008632</v>
      </c>
      <c r="Q1490" s="29">
        <v>1000</v>
      </c>
      <c r="R1490" s="31">
        <v>45218</v>
      </c>
      <c r="S1490" s="31" t="s">
        <v>3121</v>
      </c>
      <c r="T1490" s="95" t="str">
        <f t="shared" si="120"/>
        <v>2023 10</v>
      </c>
      <c r="U1490" s="32">
        <f t="shared" si="117"/>
        <v>538.25050706991374</v>
      </c>
      <c r="V1490" s="22">
        <f t="shared" si="118"/>
        <v>1.1656764442866654</v>
      </c>
      <c r="X1490" s="33"/>
      <c r="Y1490" s="33"/>
    </row>
    <row r="1491" spans="1:25" x14ac:dyDescent="0.2">
      <c r="A1491" s="93" t="s">
        <v>643</v>
      </c>
      <c r="B1491" s="94" t="str">
        <f>IFERROR(VLOOKUP($A1491,HeadJournal!$A$1:$NTR$890,COLUMN(HeadJournal!B$1),0),"")</f>
        <v>710000732635</v>
      </c>
      <c r="C1491" s="94" t="str">
        <f>IFERROR(VLOOKUP($A1491,HeadJournal!$A$1:$NTR$890,COLUMN(HeadJournal!C$1),0),"")</f>
        <v>iHerb_OA CZN6870</v>
      </c>
      <c r="D1491" s="125" t="str">
        <f>IFERROR(VLOOKUP($A1491,HeadJournal!$A$1:$NTR$890,COLUMN(HeadJournal!D$1),0),"")</f>
        <v>Доставлен</v>
      </c>
      <c r="E1491" s="95">
        <f>IFERROR(VLOOKUP($A1491,HeadJournal!$A$1:$NTR$890,COLUMN(HeadJournal!G$1),0),"")</f>
        <v>45026</v>
      </c>
      <c r="F1491" s="95" t="str">
        <f t="shared" si="119"/>
        <v>2023 04</v>
      </c>
      <c r="G1491" s="96" t="s">
        <v>5</v>
      </c>
      <c r="H1491" s="161" t="s">
        <v>2174</v>
      </c>
      <c r="I1491" s="97" t="s">
        <v>2005</v>
      </c>
      <c r="J1491" s="97" t="s">
        <v>2175</v>
      </c>
      <c r="K1491" s="29">
        <v>5.24</v>
      </c>
      <c r="L1491" s="29">
        <v>-0.78500000000000003</v>
      </c>
      <c r="M1491" s="30">
        <f>IFERROR(VLOOKUP($A1491,HeadJournal!$A$1:$J$890,COLUMN(HeadJournal!I$1),0)*($K1491+$L1491)/(SUMIF($A:$A,$A1491,$K:$K)+SUMIF($A:$A,$A1491,$L:$L)),0)</f>
        <v>0.281835035349568</v>
      </c>
      <c r="N1491" s="30">
        <f>IFERROR((VLOOKUP($A1491,HeadJournal!$A$1:$K$890,COLUMN(HeadJournal!K$1),0)-VLOOKUP($A1491,HeadJournal!$A$1:$K$890,COLUMN(HeadJournal!J$1),0))*($K1491+$L1491)/(SUMIF($A:$A,$A1491,$K:$K)+SUMIF($A:$A,$A1491,$L:$L)),0)</f>
        <v>0</v>
      </c>
      <c r="O1491" s="30">
        <f>IFERROR((VLOOKUP($A1491,HeadJournal!$A$1:$L$890,COLUMN(HeadJournal!L$1),0)*($K1491+$L1491)/(SUMIF($A:$A,$A1491,$K:$K)+SUMIF($A:$A,$A1491,$L:$L)))/VLOOKUP($A1491,HeadJournal!$A$1:$L$890,COLUMN(HeadJournal!H$1),0),0)</f>
        <v>0.40323118309463646</v>
      </c>
      <c r="P1491" s="30">
        <f>IFERROR(SUM(K1491:O1491)*VLOOKUP($A1491,HeadJournal!$A$1:$L$890,COLUMN(HeadJournal!H$1),0),0)</f>
        <v>461.74949293008632</v>
      </c>
      <c r="Q1491" s="29">
        <v>1000</v>
      </c>
      <c r="R1491" s="31">
        <v>45221</v>
      </c>
      <c r="S1491" s="31" t="s">
        <v>3121</v>
      </c>
      <c r="T1491" s="95" t="str">
        <f t="shared" si="120"/>
        <v>2023 10</v>
      </c>
      <c r="U1491" s="32">
        <f t="shared" si="117"/>
        <v>538.25050706991374</v>
      </c>
      <c r="V1491" s="22">
        <f t="shared" si="118"/>
        <v>1.1656764442866654</v>
      </c>
      <c r="X1491" s="33"/>
      <c r="Y1491" s="33"/>
    </row>
    <row r="1492" spans="1:25" x14ac:dyDescent="0.2">
      <c r="A1492" s="93" t="s">
        <v>643</v>
      </c>
      <c r="B1492" s="94" t="str">
        <f>IFERROR(VLOOKUP($A1492,HeadJournal!$A$1:$NTR$890,COLUMN(HeadJournal!B$1),0),"")</f>
        <v>710000732635</v>
      </c>
      <c r="C1492" s="94" t="str">
        <f>IFERROR(VLOOKUP($A1492,HeadJournal!$A$1:$NTR$890,COLUMN(HeadJournal!C$1),0),"")</f>
        <v>iHerb_OA CZN6870</v>
      </c>
      <c r="D1492" s="125" t="str">
        <f>IFERROR(VLOOKUP($A1492,HeadJournal!$A$1:$NTR$890,COLUMN(HeadJournal!D$1),0),"")</f>
        <v>Доставлен</v>
      </c>
      <c r="E1492" s="95">
        <f>IFERROR(VLOOKUP($A1492,HeadJournal!$A$1:$NTR$890,COLUMN(HeadJournal!G$1),0),"")</f>
        <v>45026</v>
      </c>
      <c r="F1492" s="95" t="str">
        <f t="shared" si="119"/>
        <v>2023 04</v>
      </c>
      <c r="G1492" s="96" t="s">
        <v>5</v>
      </c>
      <c r="H1492" s="160" t="str">
        <f>RIGHT(Journal!$J1492,9)</f>
        <v>NOW-03776</v>
      </c>
      <c r="I1492" s="96" t="str">
        <f t="shared" si="121"/>
        <v>NOW Foods</v>
      </c>
      <c r="J1492" s="97" t="s">
        <v>650</v>
      </c>
      <c r="K1492" s="29">
        <v>16.54</v>
      </c>
      <c r="L1492" s="29">
        <v>-2.48</v>
      </c>
      <c r="M1492" s="30">
        <f>IFERROR(VLOOKUP($A1492,HeadJournal!$A$1:$J$890,COLUMN(HeadJournal!I$1),0)*($K1492+$L1492)/(SUMIF($A:$A,$A1492,$K:$K)+SUMIF($A:$A,$A1492,$L:$L)),0)</f>
        <v>0.88947263681592037</v>
      </c>
      <c r="N1492" s="30">
        <f>IFERROR((VLOOKUP($A1492,HeadJournal!$A$1:$K$890,COLUMN(HeadJournal!K$1),0)-VLOOKUP($A1492,HeadJournal!$A$1:$K$890,COLUMN(HeadJournal!J$1),0))*($K1492+$L1492)/(SUMIF($A:$A,$A1492,$K:$K)+SUMIF($A:$A,$A1492,$L:$L)),0)</f>
        <v>0</v>
      </c>
      <c r="O1492" s="30">
        <f>IFERROR((VLOOKUP($A1492,HeadJournal!$A$1:$L$890,COLUMN(HeadJournal!L$1),0)*($K1492+$L1492)/(SUMIF($A:$A,$A1492,$K:$K)+SUMIF($A:$A,$A1492,$L:$L)))/VLOOKUP($A1492,HeadJournal!$A$1:$L$890,COLUMN(HeadJournal!H$1),0),0)</f>
        <v>1.2725994240876739</v>
      </c>
      <c r="P1492" s="30">
        <f>IFERROR(SUM(K1492:O1492)*VLOOKUP($A1492,HeadJournal!$A$1:$L$890,COLUMN(HeadJournal!H$1),0),0)</f>
        <v>1457.2834726368155</v>
      </c>
      <c r="Q1492" s="29">
        <v>2500</v>
      </c>
      <c r="R1492" s="31">
        <v>45061</v>
      </c>
      <c r="S1492" s="31" t="s">
        <v>3121</v>
      </c>
      <c r="T1492" s="95" t="str">
        <f t="shared" si="120"/>
        <v>2023 05</v>
      </c>
      <c r="U1492" s="32">
        <f t="shared" si="117"/>
        <v>1042.7165273631845</v>
      </c>
      <c r="V1492" s="22">
        <f t="shared" si="118"/>
        <v>0.71552072533732114</v>
      </c>
      <c r="X1492" s="33"/>
      <c r="Y1492" s="33"/>
    </row>
    <row r="1493" spans="1:25" x14ac:dyDescent="0.2">
      <c r="A1493" s="93" t="s">
        <v>643</v>
      </c>
      <c r="B1493" s="94" t="str">
        <f>IFERROR(VLOOKUP($A1493,HeadJournal!$A$1:$NTR$890,COLUMN(HeadJournal!B$1),0),"")</f>
        <v>710000732635</v>
      </c>
      <c r="C1493" s="94" t="str">
        <f>IFERROR(VLOOKUP($A1493,HeadJournal!$A$1:$NTR$890,COLUMN(HeadJournal!C$1),0),"")</f>
        <v>iHerb_OA CZN6870</v>
      </c>
      <c r="D1493" s="125" t="str">
        <f>IFERROR(VLOOKUP($A1493,HeadJournal!$A$1:$NTR$890,COLUMN(HeadJournal!D$1),0),"")</f>
        <v>Доставлен</v>
      </c>
      <c r="E1493" s="95">
        <f>IFERROR(VLOOKUP($A1493,HeadJournal!$A$1:$NTR$890,COLUMN(HeadJournal!G$1),0),"")</f>
        <v>45026</v>
      </c>
      <c r="F1493" s="95" t="str">
        <f t="shared" si="119"/>
        <v>2023 04</v>
      </c>
      <c r="G1493" s="96" t="s">
        <v>5</v>
      </c>
      <c r="H1493" s="161" t="s">
        <v>2016</v>
      </c>
      <c r="I1493" s="97" t="s">
        <v>2005</v>
      </c>
      <c r="J1493" s="97" t="s">
        <v>2017</v>
      </c>
      <c r="K1493" s="29">
        <v>25.37</v>
      </c>
      <c r="L1493" s="29">
        <v>-5.0750000000000002</v>
      </c>
      <c r="M1493" s="30">
        <f>IFERROR(VLOOKUP($A1493,HeadJournal!$A$1:$J$890,COLUMN(HeadJournal!I$1),0)*($K1493+$L1493)/(SUMIF($A:$A,$A1493,$K:$K)+SUMIF($A:$A,$A1493,$L:$L)),0)</f>
        <v>1.2839151610369208</v>
      </c>
      <c r="N1493" s="30">
        <f>IFERROR((VLOOKUP($A1493,HeadJournal!$A$1:$K$890,COLUMN(HeadJournal!K$1),0)-VLOOKUP($A1493,HeadJournal!$A$1:$K$890,COLUMN(HeadJournal!J$1),0))*($K1493+$L1493)/(SUMIF($A:$A,$A1493,$K:$K)+SUMIF($A:$A,$A1493,$L:$L)),0)</f>
        <v>0</v>
      </c>
      <c r="O1493" s="30">
        <f>IFERROR((VLOOKUP($A1493,HeadJournal!$A$1:$L$890,COLUMN(HeadJournal!L$1),0)*($K1493+$L1493)/(SUMIF($A:$A,$A1493,$K:$K)+SUMIF($A:$A,$A1493,$L:$L)))/VLOOKUP($A1493,HeadJournal!$A$1:$L$890,COLUMN(HeadJournal!H$1),0),0)</f>
        <v>1.8369420563200103</v>
      </c>
      <c r="P1493" s="30">
        <f>IFERROR(SUM(K1493:O1493)*VLOOKUP($A1493,HeadJournal!$A$1:$L$890,COLUMN(HeadJournal!H$1),0),0)</f>
        <v>2103.5254677926155</v>
      </c>
      <c r="Q1493" s="29">
        <v>3400</v>
      </c>
      <c r="R1493" s="31">
        <v>45259</v>
      </c>
      <c r="S1493" s="31" t="s">
        <v>3121</v>
      </c>
      <c r="T1493" s="95" t="str">
        <f t="shared" si="120"/>
        <v>2023 11</v>
      </c>
      <c r="U1493" s="32">
        <f t="shared" si="117"/>
        <v>1296.4745322073845</v>
      </c>
      <c r="V1493" s="22">
        <f t="shared" si="118"/>
        <v>0.61633412671151111</v>
      </c>
      <c r="X1493" s="33"/>
      <c r="Y1493" s="33"/>
    </row>
    <row r="1494" spans="1:25" x14ac:dyDescent="0.2">
      <c r="A1494" s="93" t="s">
        <v>643</v>
      </c>
      <c r="B1494" s="94" t="str">
        <f>IFERROR(VLOOKUP($A1494,HeadJournal!$A$1:$NTR$890,COLUMN(HeadJournal!B$1),0),"")</f>
        <v>710000732635</v>
      </c>
      <c r="C1494" s="94" t="str">
        <f>IFERROR(VLOOKUP($A1494,HeadJournal!$A$1:$NTR$890,COLUMN(HeadJournal!C$1),0),"")</f>
        <v>iHerb_OA CZN6870</v>
      </c>
      <c r="D1494" s="125" t="str">
        <f>IFERROR(VLOOKUP($A1494,HeadJournal!$A$1:$NTR$890,COLUMN(HeadJournal!D$1),0),"")</f>
        <v>Доставлен</v>
      </c>
      <c r="E1494" s="95">
        <f>IFERROR(VLOOKUP($A1494,HeadJournal!$A$1:$NTR$890,COLUMN(HeadJournal!G$1),0),"")</f>
        <v>45026</v>
      </c>
      <c r="F1494" s="95" t="str">
        <f t="shared" si="119"/>
        <v>2023 04</v>
      </c>
      <c r="G1494" s="96" t="s">
        <v>5</v>
      </c>
      <c r="H1494" s="161" t="s">
        <v>2016</v>
      </c>
      <c r="I1494" s="97" t="s">
        <v>2005</v>
      </c>
      <c r="J1494" s="97" t="s">
        <v>2017</v>
      </c>
      <c r="K1494" s="29">
        <v>25.37</v>
      </c>
      <c r="L1494" s="29">
        <v>-5.0750000000000002</v>
      </c>
      <c r="M1494" s="30">
        <f>IFERROR(VLOOKUP($A1494,HeadJournal!$A$1:$J$890,COLUMN(HeadJournal!I$1),0)*($K1494+$L1494)/(SUMIF($A:$A,$A1494,$K:$K)+SUMIF($A:$A,$A1494,$L:$L)),0)</f>
        <v>1.2839151610369208</v>
      </c>
      <c r="N1494" s="30">
        <f>IFERROR((VLOOKUP($A1494,HeadJournal!$A$1:$K$890,COLUMN(HeadJournal!K$1),0)-VLOOKUP($A1494,HeadJournal!$A$1:$K$890,COLUMN(HeadJournal!J$1),0))*($K1494+$L1494)/(SUMIF($A:$A,$A1494,$K:$K)+SUMIF($A:$A,$A1494,$L:$L)),0)</f>
        <v>0</v>
      </c>
      <c r="O1494" s="30">
        <f>IFERROR((VLOOKUP($A1494,HeadJournal!$A$1:$L$890,COLUMN(HeadJournal!L$1),0)*($K1494+$L1494)/(SUMIF($A:$A,$A1494,$K:$K)+SUMIF($A:$A,$A1494,$L:$L)))/VLOOKUP($A1494,HeadJournal!$A$1:$L$890,COLUMN(HeadJournal!H$1),0),0)</f>
        <v>1.8369420563200103</v>
      </c>
      <c r="P1494" s="30">
        <f>IFERROR(SUM(K1494:O1494)*VLOOKUP($A1494,HeadJournal!$A$1:$L$890,COLUMN(HeadJournal!H$1),0),0)</f>
        <v>2103.5254677926155</v>
      </c>
      <c r="Q1494" s="29">
        <v>3500</v>
      </c>
      <c r="R1494" s="31">
        <v>45269</v>
      </c>
      <c r="S1494" s="31" t="s">
        <v>3121</v>
      </c>
      <c r="T1494" s="95" t="str">
        <f t="shared" si="120"/>
        <v>2023 12</v>
      </c>
      <c r="U1494" s="32">
        <f t="shared" si="117"/>
        <v>1396.4745322073845</v>
      </c>
      <c r="V1494" s="22">
        <f t="shared" si="118"/>
        <v>0.66387336573243794</v>
      </c>
      <c r="X1494" s="33"/>
      <c r="Y1494" s="33"/>
    </row>
    <row r="1495" spans="1:25" x14ac:dyDescent="0.2">
      <c r="A1495" s="93" t="s">
        <v>643</v>
      </c>
      <c r="B1495" s="94" t="str">
        <f>IFERROR(VLOOKUP($A1495,HeadJournal!$A$1:$NTR$890,COLUMN(HeadJournal!B$1),0),"")</f>
        <v>710000732635</v>
      </c>
      <c r="C1495" s="94" t="str">
        <f>IFERROR(VLOOKUP($A1495,HeadJournal!$A$1:$NTR$890,COLUMN(HeadJournal!C$1),0),"")</f>
        <v>iHerb_OA CZN6870</v>
      </c>
      <c r="D1495" s="125" t="str">
        <f>IFERROR(VLOOKUP($A1495,HeadJournal!$A$1:$NTR$890,COLUMN(HeadJournal!D$1),0),"")</f>
        <v>Доставлен</v>
      </c>
      <c r="E1495" s="95">
        <f>IFERROR(VLOOKUP($A1495,HeadJournal!$A$1:$NTR$890,COLUMN(HeadJournal!G$1),0),"")</f>
        <v>45026</v>
      </c>
      <c r="F1495" s="95" t="str">
        <f t="shared" si="119"/>
        <v>2023 04</v>
      </c>
      <c r="G1495" s="96" t="s">
        <v>5</v>
      </c>
      <c r="H1495" s="161" t="s">
        <v>2793</v>
      </c>
      <c r="I1495" s="97" t="s">
        <v>2218</v>
      </c>
      <c r="J1495" s="97" t="s">
        <v>2794</v>
      </c>
      <c r="K1495" s="29">
        <v>6.13</v>
      </c>
      <c r="L1495" s="29">
        <v>-0.92</v>
      </c>
      <c r="M1495" s="30">
        <f>IFERROR(VLOOKUP($A1495,HeadJournal!$A$1:$J$890,COLUMN(HeadJournal!I$1),0)*($K1495+$L1495)/(SUMIF($A:$A,$A1495,$K:$K)+SUMIF($A:$A,$A1495,$L:$L)),0)</f>
        <v>0.32959832416863055</v>
      </c>
      <c r="N1495" s="30">
        <f>IFERROR((VLOOKUP($A1495,HeadJournal!$A$1:$K$890,COLUMN(HeadJournal!K$1),0)-VLOOKUP($A1495,HeadJournal!$A$1:$K$890,COLUMN(HeadJournal!J$1),0))*($K1495+$L1495)/(SUMIF($A:$A,$A1495,$K:$K)+SUMIF($A:$A,$A1495,$L:$L)),0)</f>
        <v>0</v>
      </c>
      <c r="O1495" s="30">
        <f>IFERROR((VLOOKUP($A1495,HeadJournal!$A$1:$L$890,COLUMN(HeadJournal!L$1),0)*($K1495+$L1495)/(SUMIF($A:$A,$A1495,$K:$K)+SUMIF($A:$A,$A1495,$L:$L)))/VLOOKUP($A1495,HeadJournal!$A$1:$L$890,COLUMN(HeadJournal!H$1),0),0)</f>
        <v>0.47156778090304274</v>
      </c>
      <c r="P1495" s="30">
        <f>IFERROR(SUM(K1495:O1495)*VLOOKUP($A1495,HeadJournal!$A$1:$L$890,COLUMN(HeadJournal!H$1),0),0)</f>
        <v>540.00333516627381</v>
      </c>
      <c r="Q1495" s="29">
        <v>1700</v>
      </c>
      <c r="R1495" s="31">
        <v>45241</v>
      </c>
      <c r="S1495" s="31" t="s">
        <v>3121</v>
      </c>
      <c r="T1495" s="95" t="str">
        <f t="shared" si="120"/>
        <v>2023 11</v>
      </c>
      <c r="U1495" s="32">
        <f t="shared" si="117"/>
        <v>1159.9966648337263</v>
      </c>
      <c r="V1495" s="22">
        <f t="shared" si="118"/>
        <v>2.1481287045691091</v>
      </c>
      <c r="X1495" s="33"/>
      <c r="Y1495" s="33"/>
    </row>
    <row r="1496" spans="1:25" x14ac:dyDescent="0.2">
      <c r="A1496" s="93" t="s">
        <v>643</v>
      </c>
      <c r="B1496" s="94" t="str">
        <f>IFERROR(VLOOKUP($A1496,HeadJournal!$A$1:$NTR$890,COLUMN(HeadJournal!B$1),0),"")</f>
        <v>710000732635</v>
      </c>
      <c r="C1496" s="94" t="str">
        <f>IFERROR(VLOOKUP($A1496,HeadJournal!$A$1:$NTR$890,COLUMN(HeadJournal!C$1),0),"")</f>
        <v>iHerb_OA CZN6870</v>
      </c>
      <c r="D1496" s="125" t="str">
        <f>IFERROR(VLOOKUP($A1496,HeadJournal!$A$1:$NTR$890,COLUMN(HeadJournal!D$1),0),"")</f>
        <v>Доставлен</v>
      </c>
      <c r="E1496" s="95">
        <f>IFERROR(VLOOKUP($A1496,HeadJournal!$A$1:$NTR$890,COLUMN(HeadJournal!G$1),0),"")</f>
        <v>45026</v>
      </c>
      <c r="F1496" s="95" t="str">
        <f t="shared" si="119"/>
        <v>2023 04</v>
      </c>
      <c r="G1496" s="96" t="s">
        <v>5</v>
      </c>
      <c r="H1496" s="161" t="s">
        <v>2793</v>
      </c>
      <c r="I1496" s="97" t="s">
        <v>2218</v>
      </c>
      <c r="J1496" s="97" t="s">
        <v>2794</v>
      </c>
      <c r="K1496" s="29">
        <v>6.13</v>
      </c>
      <c r="L1496" s="29">
        <v>-0.92</v>
      </c>
      <c r="M1496" s="30">
        <f>IFERROR(VLOOKUP($A1496,HeadJournal!$A$1:$J$890,COLUMN(HeadJournal!I$1),0)*($K1496+$L1496)/(SUMIF($A:$A,$A1496,$K:$K)+SUMIF($A:$A,$A1496,$L:$L)),0)</f>
        <v>0.32959832416863055</v>
      </c>
      <c r="N1496" s="30">
        <f>IFERROR((VLOOKUP($A1496,HeadJournal!$A$1:$K$890,COLUMN(HeadJournal!K$1),0)-VLOOKUP($A1496,HeadJournal!$A$1:$K$890,COLUMN(HeadJournal!J$1),0))*($K1496+$L1496)/(SUMIF($A:$A,$A1496,$K:$K)+SUMIF($A:$A,$A1496,$L:$L)),0)</f>
        <v>0</v>
      </c>
      <c r="O1496" s="30">
        <f>IFERROR((VLOOKUP($A1496,HeadJournal!$A$1:$L$890,COLUMN(HeadJournal!L$1),0)*($K1496+$L1496)/(SUMIF($A:$A,$A1496,$K:$K)+SUMIF($A:$A,$A1496,$L:$L)))/VLOOKUP($A1496,HeadJournal!$A$1:$L$890,COLUMN(HeadJournal!H$1),0),0)</f>
        <v>0.47156778090304274</v>
      </c>
      <c r="P1496" s="30">
        <f>IFERROR(SUM(K1496:O1496)*VLOOKUP($A1496,HeadJournal!$A$1:$L$890,COLUMN(HeadJournal!H$1),0),0)</f>
        <v>540.00333516627381</v>
      </c>
      <c r="Q1496" s="29">
        <v>1700</v>
      </c>
      <c r="R1496" s="31">
        <v>45369</v>
      </c>
      <c r="S1496" s="31" t="s">
        <v>3121</v>
      </c>
      <c r="T1496" s="95" t="str">
        <f t="shared" si="120"/>
        <v>2024 03</v>
      </c>
      <c r="U1496" s="32">
        <f t="shared" si="117"/>
        <v>1159.9966648337263</v>
      </c>
      <c r="V1496" s="22">
        <f t="shared" si="118"/>
        <v>2.1481287045691091</v>
      </c>
      <c r="X1496" s="33"/>
      <c r="Y1496" s="33"/>
    </row>
    <row r="1497" spans="1:25" x14ac:dyDescent="0.2">
      <c r="A1497" s="93" t="s">
        <v>643</v>
      </c>
      <c r="B1497" s="94" t="str">
        <f>IFERROR(VLOOKUP($A1497,HeadJournal!$A$1:$NTR$890,COLUMN(HeadJournal!B$1),0),"")</f>
        <v>710000732635</v>
      </c>
      <c r="C1497" s="94" t="str">
        <f>IFERROR(VLOOKUP($A1497,HeadJournal!$A$1:$NTR$890,COLUMN(HeadJournal!C$1),0),"")</f>
        <v>iHerb_OA CZN6870</v>
      </c>
      <c r="D1497" s="125" t="str">
        <f>IFERROR(VLOOKUP($A1497,HeadJournal!$A$1:$NTR$890,COLUMN(HeadJournal!D$1),0),"")</f>
        <v>Доставлен</v>
      </c>
      <c r="E1497" s="95">
        <f>IFERROR(VLOOKUP($A1497,HeadJournal!$A$1:$NTR$890,COLUMN(HeadJournal!G$1),0),"")</f>
        <v>45026</v>
      </c>
      <c r="F1497" s="95" t="str">
        <f t="shared" si="119"/>
        <v>2023 04</v>
      </c>
      <c r="G1497" s="96" t="s">
        <v>5</v>
      </c>
      <c r="H1497" s="160" t="str">
        <f>RIGHT(Journal!$J1497,9)</f>
        <v>CEN-27308</v>
      </c>
      <c r="I1497" s="96" t="str">
        <f t="shared" si="121"/>
        <v>21st Century</v>
      </c>
      <c r="J1497" s="97" t="s">
        <v>98</v>
      </c>
      <c r="K1497" s="29">
        <v>5.29</v>
      </c>
      <c r="L1497" s="29">
        <v>-0.79</v>
      </c>
      <c r="M1497" s="30">
        <f>IFERROR(VLOOKUP($A1497,HeadJournal!$A$1:$J$890,COLUMN(HeadJournal!I$1),0)*($K1497+$L1497)/(SUMIF($A:$A,$A1497,$K:$K)+SUMIF($A:$A,$A1497,$L:$L)),0)</f>
        <v>0.28468185388845246</v>
      </c>
      <c r="N1497" s="30">
        <f>IFERROR((VLOOKUP($A1497,HeadJournal!$A$1:$K$890,COLUMN(HeadJournal!K$1),0)-VLOOKUP($A1497,HeadJournal!$A$1:$K$890,COLUMN(HeadJournal!J$1),0))*($K1497+$L1497)/(SUMIF($A:$A,$A1497,$K:$K)+SUMIF($A:$A,$A1497,$L:$L)),0)</f>
        <v>0</v>
      </c>
      <c r="O1497" s="30">
        <f>IFERROR((VLOOKUP($A1497,HeadJournal!$A$1:$L$890,COLUMN(HeadJournal!L$1),0)*($K1497+$L1497)/(SUMIF($A:$A,$A1497,$K:$K)+SUMIF($A:$A,$A1497,$L:$L)))/VLOOKUP($A1497,HeadJournal!$A$1:$L$890,COLUMN(HeadJournal!H$1),0),0)</f>
        <v>0.40730422534811755</v>
      </c>
      <c r="P1497" s="30">
        <f>IFERROR(SUM(K1497:O1497)*VLOOKUP($A1497,HeadJournal!$A$1:$L$890,COLUMN(HeadJournal!H$1),0),0)</f>
        <v>466.41362922230945</v>
      </c>
      <c r="Q1497" s="29">
        <v>900</v>
      </c>
      <c r="R1497" s="31">
        <v>45908</v>
      </c>
      <c r="S1497" s="31"/>
      <c r="T1497" s="95" t="str">
        <f t="shared" si="120"/>
        <v>2025 09</v>
      </c>
      <c r="U1497" s="32">
        <f t="shared" si="117"/>
        <v>433.58637077769055</v>
      </c>
      <c r="V1497" s="22">
        <f t="shared" si="118"/>
        <v>0.92961771185941855</v>
      </c>
      <c r="X1497" s="33"/>
      <c r="Y1497" s="33"/>
    </row>
    <row r="1498" spans="1:25" x14ac:dyDescent="0.2">
      <c r="A1498" s="93" t="s">
        <v>643</v>
      </c>
      <c r="B1498" s="94" t="str">
        <f>IFERROR(VLOOKUP($A1498,HeadJournal!$A$1:$NTR$890,COLUMN(HeadJournal!B$1),0),"")</f>
        <v>710000732635</v>
      </c>
      <c r="C1498" s="94" t="str">
        <f>IFERROR(VLOOKUP($A1498,HeadJournal!$A$1:$NTR$890,COLUMN(HeadJournal!C$1),0),"")</f>
        <v>iHerb_OA CZN6870</v>
      </c>
      <c r="D1498" s="125" t="str">
        <f>IFERROR(VLOOKUP($A1498,HeadJournal!$A$1:$NTR$890,COLUMN(HeadJournal!D$1),0),"")</f>
        <v>Доставлен</v>
      </c>
      <c r="E1498" s="95">
        <f>IFERROR(VLOOKUP($A1498,HeadJournal!$A$1:$NTR$890,COLUMN(HeadJournal!G$1),0),"")</f>
        <v>45026</v>
      </c>
      <c r="F1498" s="95" t="str">
        <f t="shared" si="119"/>
        <v>2023 04</v>
      </c>
      <c r="G1498" s="96" t="s">
        <v>5</v>
      </c>
      <c r="H1498" s="160" t="str">
        <f>RIGHT(Journal!$J1498,9)</f>
        <v>CEN-27305</v>
      </c>
      <c r="I1498" s="96" t="str">
        <f t="shared" si="121"/>
        <v>21st Century</v>
      </c>
      <c r="J1498" s="97" t="s">
        <v>99</v>
      </c>
      <c r="K1498" s="29">
        <v>5.21</v>
      </c>
      <c r="L1498" s="29">
        <v>-0.78</v>
      </c>
      <c r="M1498" s="30">
        <f>IFERROR(VLOOKUP($A1498,HeadJournal!$A$1:$J$890,COLUMN(HeadJournal!I$1),0)*($K1498+$L1498)/(SUMIF($A:$A,$A1498,$K:$K)+SUMIF($A:$A,$A1498,$L:$L)),0)</f>
        <v>0.28025346949463209</v>
      </c>
      <c r="N1498" s="30">
        <f>IFERROR((VLOOKUP($A1498,HeadJournal!$A$1:$K$890,COLUMN(HeadJournal!K$1),0)-VLOOKUP($A1498,HeadJournal!$A$1:$K$890,COLUMN(HeadJournal!J$1),0))*($K1498+$L1498)/(SUMIF($A:$A,$A1498,$K:$K)+SUMIF($A:$A,$A1498,$L:$L)),0)</f>
        <v>0</v>
      </c>
      <c r="O1498" s="30">
        <f>IFERROR((VLOOKUP($A1498,HeadJournal!$A$1:$L$890,COLUMN(HeadJournal!L$1),0)*($K1498+$L1498)/(SUMIF($A:$A,$A1498,$K:$K)+SUMIF($A:$A,$A1498,$L:$L)))/VLOOKUP($A1498,HeadJournal!$A$1:$L$890,COLUMN(HeadJournal!H$1),0),0)</f>
        <v>0.40096838184270234</v>
      </c>
      <c r="P1498" s="30">
        <f>IFERROR(SUM(K1498:O1498)*VLOOKUP($A1498,HeadJournal!$A$1:$L$890,COLUMN(HeadJournal!H$1),0),0)</f>
        <v>459.15830610107344</v>
      </c>
      <c r="Q1498" s="29">
        <v>1600</v>
      </c>
      <c r="R1498" s="31">
        <v>45592</v>
      </c>
      <c r="S1498" s="31" t="s">
        <v>3121</v>
      </c>
      <c r="T1498" s="95" t="str">
        <f t="shared" si="120"/>
        <v>2024 10</v>
      </c>
      <c r="U1498" s="32">
        <f t="shared" si="117"/>
        <v>1140.8416938989267</v>
      </c>
      <c r="V1498" s="22">
        <f t="shared" si="118"/>
        <v>2.4846369514391315</v>
      </c>
      <c r="X1498" s="33"/>
      <c r="Y1498" s="33"/>
    </row>
    <row r="1499" spans="1:25" x14ac:dyDescent="0.2">
      <c r="A1499" s="93" t="s">
        <v>651</v>
      </c>
      <c r="B1499" s="94">
        <f>IFERROR(VLOOKUP($A1499,HeadJournal!$A$1:$NTR$890,COLUMN(HeadJournal!B$1),0),"")</f>
        <v>0</v>
      </c>
      <c r="C1499" s="94" t="str">
        <f>IFERROR(VLOOKUP($A1499,HeadJournal!$A$1:$NTR$890,COLUMN(HeadJournal!C$1),0),"")</f>
        <v>CoralClub_AV</v>
      </c>
      <c r="D1499" s="125" t="str">
        <f>IFERROR(VLOOKUP($A1499,HeadJournal!$A$1:$NTR$890,COLUMN(HeadJournal!D$1),0),"")</f>
        <v>Доставлен</v>
      </c>
      <c r="E1499" s="95">
        <f>IFERROR(VLOOKUP($A1499,HeadJournal!$A$1:$NTR$890,COLUMN(HeadJournal!G$1),0),"")</f>
        <v>45040</v>
      </c>
      <c r="F1499" s="95" t="str">
        <f t="shared" si="119"/>
        <v>2023 04</v>
      </c>
      <c r="G1499" s="96" t="s">
        <v>5</v>
      </c>
      <c r="H1499" s="160" t="str">
        <f>RIGHT(Journal!$J1499,9)</f>
        <v>000091865</v>
      </c>
      <c r="I1499" s="96" t="str">
        <f t="shared" si="121"/>
        <v>CoralClub</v>
      </c>
      <c r="J1499" s="97" t="s">
        <v>250</v>
      </c>
      <c r="K1499" s="29">
        <v>1200</v>
      </c>
      <c r="L1499" s="29">
        <v>0</v>
      </c>
      <c r="M1499" s="30">
        <f>IFERROR(VLOOKUP($A1499,HeadJournal!$A$1:$J$890,COLUMN(HeadJournal!I$1),0)*($K1499+$L1499)/(SUMIF($A:$A,$A1499,$K:$K)+SUMIF($A:$A,$A1499,$L:$L)),0)</f>
        <v>0</v>
      </c>
      <c r="N1499" s="30">
        <f>IFERROR((VLOOKUP($A1499,HeadJournal!$A$1:$K$890,COLUMN(HeadJournal!K$1),0)-VLOOKUP($A1499,HeadJournal!$A$1:$K$890,COLUMN(HeadJournal!J$1),0))*($K1499+$L1499)/(SUMIF($A:$A,$A1499,$K:$K)+SUMIF($A:$A,$A1499,$L:$L)),0)</f>
        <v>0</v>
      </c>
      <c r="O1499" s="30">
        <f>IFERROR((VLOOKUP($A1499,HeadJournal!$A$1:$L$890,COLUMN(HeadJournal!L$1),0)*($K1499+$L1499)/(SUMIF($A:$A,$A1499,$K:$K)+SUMIF($A:$A,$A1499,$L:$L)))/VLOOKUP($A1499,HeadJournal!$A$1:$L$890,COLUMN(HeadJournal!H$1),0),0)</f>
        <v>0</v>
      </c>
      <c r="P1499" s="30">
        <f>IFERROR(SUM(K1499:O1499)*VLOOKUP($A1499,HeadJournal!$A$1:$L$890,COLUMN(HeadJournal!H$1),0),0)</f>
        <v>1200</v>
      </c>
      <c r="Q1499" s="29">
        <v>1500</v>
      </c>
      <c r="R1499" s="31">
        <v>45039</v>
      </c>
      <c r="S1499" s="31" t="s">
        <v>3121</v>
      </c>
      <c r="T1499" s="95" t="str">
        <f t="shared" si="120"/>
        <v>2023 04</v>
      </c>
      <c r="U1499" s="32">
        <f t="shared" si="117"/>
        <v>300</v>
      </c>
      <c r="V1499" s="22">
        <f t="shared" si="118"/>
        <v>0.25</v>
      </c>
      <c r="X1499" s="33"/>
      <c r="Y1499" s="33"/>
    </row>
    <row r="1500" spans="1:25" x14ac:dyDescent="0.2">
      <c r="A1500" s="93" t="s">
        <v>651</v>
      </c>
      <c r="B1500" s="94">
        <f>IFERROR(VLOOKUP($A1500,HeadJournal!$A$1:$NTR$890,COLUMN(HeadJournal!B$1),0),"")</f>
        <v>0</v>
      </c>
      <c r="C1500" s="94" t="str">
        <f>IFERROR(VLOOKUP($A1500,HeadJournal!$A$1:$NTR$890,COLUMN(HeadJournal!C$1),0),"")</f>
        <v>CoralClub_AV</v>
      </c>
      <c r="D1500" s="125" t="str">
        <f>IFERROR(VLOOKUP($A1500,HeadJournal!$A$1:$NTR$890,COLUMN(HeadJournal!D$1),0),"")</f>
        <v>Доставлен</v>
      </c>
      <c r="E1500" s="95">
        <f>IFERROR(VLOOKUP($A1500,HeadJournal!$A$1:$NTR$890,COLUMN(HeadJournal!G$1),0),"")</f>
        <v>45040</v>
      </c>
      <c r="F1500" s="95" t="str">
        <f t="shared" si="119"/>
        <v>2023 04</v>
      </c>
      <c r="G1500" s="96" t="s">
        <v>5</v>
      </c>
      <c r="H1500" s="160" t="str">
        <f>RIGHT(Journal!$J1500,9)</f>
        <v>000091865</v>
      </c>
      <c r="I1500" s="96" t="str">
        <f t="shared" si="121"/>
        <v>CoralClub</v>
      </c>
      <c r="J1500" s="97" t="s">
        <v>250</v>
      </c>
      <c r="K1500" s="29">
        <v>1200</v>
      </c>
      <c r="L1500" s="29">
        <v>0</v>
      </c>
      <c r="M1500" s="30">
        <f>IFERROR(VLOOKUP($A1500,HeadJournal!$A$1:$J$890,COLUMN(HeadJournal!I$1),0)*($K1500+$L1500)/(SUMIF($A:$A,$A1500,$K:$K)+SUMIF($A:$A,$A1500,$L:$L)),0)</f>
        <v>0</v>
      </c>
      <c r="N1500" s="30">
        <f>IFERROR((VLOOKUP($A1500,HeadJournal!$A$1:$K$890,COLUMN(HeadJournal!K$1),0)-VLOOKUP($A1500,HeadJournal!$A$1:$K$890,COLUMN(HeadJournal!J$1),0))*($K1500+$L1500)/(SUMIF($A:$A,$A1500,$K:$K)+SUMIF($A:$A,$A1500,$L:$L)),0)</f>
        <v>0</v>
      </c>
      <c r="O1500" s="30">
        <f>IFERROR((VLOOKUP($A1500,HeadJournal!$A$1:$L$890,COLUMN(HeadJournal!L$1),0)*($K1500+$L1500)/(SUMIF($A:$A,$A1500,$K:$K)+SUMIF($A:$A,$A1500,$L:$L)))/VLOOKUP($A1500,HeadJournal!$A$1:$L$890,COLUMN(HeadJournal!H$1),0),0)</f>
        <v>0</v>
      </c>
      <c r="P1500" s="30">
        <f>IFERROR(SUM(K1500:O1500)*VLOOKUP($A1500,HeadJournal!$A$1:$L$890,COLUMN(HeadJournal!H$1),0),0)</f>
        <v>1200</v>
      </c>
      <c r="Q1500" s="29">
        <v>1500</v>
      </c>
      <c r="R1500" s="31">
        <v>45065</v>
      </c>
      <c r="S1500" s="31" t="s">
        <v>3121</v>
      </c>
      <c r="T1500" s="95" t="str">
        <f t="shared" si="120"/>
        <v>2023 05</v>
      </c>
      <c r="U1500" s="32">
        <f t="shared" si="117"/>
        <v>300</v>
      </c>
      <c r="V1500" s="22">
        <f t="shared" si="118"/>
        <v>0.25</v>
      </c>
      <c r="X1500" s="33"/>
      <c r="Y1500" s="33"/>
    </row>
    <row r="1501" spans="1:25" x14ac:dyDescent="0.2">
      <c r="A1501" s="93" t="s">
        <v>652</v>
      </c>
      <c r="B1501" s="94">
        <f>IFERROR(VLOOKUP($A1501,HeadJournal!$A$1:$NTR$890,COLUMN(HeadJournal!B$1),0),"")</f>
        <v>0</v>
      </c>
      <c r="C1501" s="94" t="str">
        <f>IFERROR(VLOOKUP($A1501,HeadJournal!$A$1:$NTR$890,COLUMN(HeadJournal!C$1),0),"")</f>
        <v>OZON_AV</v>
      </c>
      <c r="D1501" s="125" t="str">
        <f>IFERROR(VLOOKUP($A1501,HeadJournal!$A$1:$NTR$890,COLUMN(HeadJournal!D$1),0),"")</f>
        <v>Доставлен</v>
      </c>
      <c r="E1501" s="95">
        <f>IFERROR(VLOOKUP($A1501,HeadJournal!$A$1:$NTR$890,COLUMN(HeadJournal!G$1),0),"")</f>
        <v>45035</v>
      </c>
      <c r="F1501" s="95" t="str">
        <f t="shared" si="119"/>
        <v>2023 04</v>
      </c>
      <c r="G1501" s="96" t="s">
        <v>6</v>
      </c>
      <c r="H1501" s="160" t="str">
        <f>RIGHT(Journal!$J1501,9)</f>
        <v>825959086</v>
      </c>
      <c r="I1501" s="96" t="str">
        <f t="shared" si="121"/>
        <v>SOUL WAY</v>
      </c>
      <c r="J1501" s="97" t="s">
        <v>478</v>
      </c>
      <c r="K1501" s="29">
        <v>691.1</v>
      </c>
      <c r="L1501" s="29">
        <v>0</v>
      </c>
      <c r="M1501" s="30">
        <f>IFERROR(VLOOKUP($A1501,HeadJournal!$A$1:$J$890,COLUMN(HeadJournal!I$1),0)*($K1501+$L1501)/(SUMIF($A:$A,$A1501,$K:$K)+SUMIF($A:$A,$A1501,$L:$L)),0)</f>
        <v>0</v>
      </c>
      <c r="N1501" s="30">
        <f>IFERROR((VLOOKUP($A1501,HeadJournal!$A$1:$K$890,COLUMN(HeadJournal!K$1),0)-VLOOKUP($A1501,HeadJournal!$A$1:$K$890,COLUMN(HeadJournal!J$1),0))*($K1501+$L1501)/(SUMIF($A:$A,$A1501,$K:$K)+SUMIF($A:$A,$A1501,$L:$L)),0)</f>
        <v>0</v>
      </c>
      <c r="O1501" s="30">
        <f>IFERROR((VLOOKUP($A1501,HeadJournal!$A$1:$L$890,COLUMN(HeadJournal!L$1),0)*($K1501+$L1501)/(SUMIF($A:$A,$A1501,$K:$K)+SUMIF($A:$A,$A1501,$L:$L)))/VLOOKUP($A1501,HeadJournal!$A$1:$L$890,COLUMN(HeadJournal!H$1),0),0)</f>
        <v>103.66499999999999</v>
      </c>
      <c r="P1501" s="30">
        <f>IFERROR(SUM(K1501:O1501)*VLOOKUP($A1501,HeadJournal!$A$1:$L$890,COLUMN(HeadJournal!H$1),0),0)</f>
        <v>794.76499999999999</v>
      </c>
      <c r="Q1501" s="29">
        <v>1600</v>
      </c>
      <c r="R1501" s="31">
        <v>45043</v>
      </c>
      <c r="S1501" s="31" t="s">
        <v>3121</v>
      </c>
      <c r="T1501" s="95" t="str">
        <f t="shared" si="120"/>
        <v>2023 04</v>
      </c>
      <c r="U1501" s="32">
        <f t="shared" si="117"/>
        <v>805.23500000000001</v>
      </c>
      <c r="V1501" s="22">
        <f t="shared" si="118"/>
        <v>1.0131737054349399</v>
      </c>
      <c r="X1501" s="33"/>
      <c r="Y1501" s="33"/>
    </row>
    <row r="1502" spans="1:25" x14ac:dyDescent="0.2">
      <c r="A1502" s="93" t="s">
        <v>652</v>
      </c>
      <c r="B1502" s="94">
        <f>IFERROR(VLOOKUP($A1502,HeadJournal!$A$1:$NTR$890,COLUMN(HeadJournal!B$1),0),"")</f>
        <v>0</v>
      </c>
      <c r="C1502" s="94" t="str">
        <f>IFERROR(VLOOKUP($A1502,HeadJournal!$A$1:$NTR$890,COLUMN(HeadJournal!C$1),0),"")</f>
        <v>OZON_AV</v>
      </c>
      <c r="D1502" s="125" t="str">
        <f>IFERROR(VLOOKUP($A1502,HeadJournal!$A$1:$NTR$890,COLUMN(HeadJournal!D$1),0),"")</f>
        <v>Доставлен</v>
      </c>
      <c r="E1502" s="95">
        <f>IFERROR(VLOOKUP($A1502,HeadJournal!$A$1:$NTR$890,COLUMN(HeadJournal!G$1),0),"")</f>
        <v>45035</v>
      </c>
      <c r="F1502" s="95" t="str">
        <f t="shared" si="119"/>
        <v>2023 04</v>
      </c>
      <c r="G1502" s="96" t="s">
        <v>6</v>
      </c>
      <c r="H1502" s="160" t="str">
        <f>RIGHT(Journal!$J1502,9)</f>
        <v>825959086</v>
      </c>
      <c r="I1502" s="96" t="str">
        <f t="shared" si="121"/>
        <v>SOUL WAY</v>
      </c>
      <c r="J1502" s="97" t="s">
        <v>478</v>
      </c>
      <c r="K1502" s="29">
        <v>691.1</v>
      </c>
      <c r="L1502" s="29">
        <v>0</v>
      </c>
      <c r="M1502" s="30">
        <f>IFERROR(VLOOKUP($A1502,HeadJournal!$A$1:$J$890,COLUMN(HeadJournal!I$1),0)*($K1502+$L1502)/(SUMIF($A:$A,$A1502,$K:$K)+SUMIF($A:$A,$A1502,$L:$L)),0)</f>
        <v>0</v>
      </c>
      <c r="N1502" s="30">
        <f>IFERROR((VLOOKUP($A1502,HeadJournal!$A$1:$K$890,COLUMN(HeadJournal!K$1),0)-VLOOKUP($A1502,HeadJournal!$A$1:$K$890,COLUMN(HeadJournal!J$1),0))*($K1502+$L1502)/(SUMIF($A:$A,$A1502,$K:$K)+SUMIF($A:$A,$A1502,$L:$L)),0)</f>
        <v>0</v>
      </c>
      <c r="O1502" s="30">
        <f>IFERROR((VLOOKUP($A1502,HeadJournal!$A$1:$L$890,COLUMN(HeadJournal!L$1),0)*($K1502+$L1502)/(SUMIF($A:$A,$A1502,$K:$K)+SUMIF($A:$A,$A1502,$L:$L)))/VLOOKUP($A1502,HeadJournal!$A$1:$L$890,COLUMN(HeadJournal!H$1),0),0)</f>
        <v>103.66499999999999</v>
      </c>
      <c r="P1502" s="30">
        <f>IFERROR(SUM(K1502:O1502)*VLOOKUP($A1502,HeadJournal!$A$1:$L$890,COLUMN(HeadJournal!H$1),0),0)</f>
        <v>794.76499999999999</v>
      </c>
      <c r="Q1502" s="29">
        <v>1700</v>
      </c>
      <c r="R1502" s="31">
        <v>45195</v>
      </c>
      <c r="S1502" s="31" t="s">
        <v>3121</v>
      </c>
      <c r="T1502" s="95" t="str">
        <f t="shared" si="120"/>
        <v>2023 09</v>
      </c>
      <c r="U1502" s="32">
        <f t="shared" si="117"/>
        <v>905.23500000000001</v>
      </c>
      <c r="V1502" s="22">
        <f t="shared" si="118"/>
        <v>1.1389970620246237</v>
      </c>
      <c r="X1502" s="33"/>
      <c r="Y1502" s="33"/>
    </row>
    <row r="1503" spans="1:25" x14ac:dyDescent="0.2">
      <c r="A1503" s="93" t="s">
        <v>652</v>
      </c>
      <c r="B1503" s="94">
        <f>IFERROR(VLOOKUP($A1503,HeadJournal!$A$1:$NTR$890,COLUMN(HeadJournal!B$1),0),"")</f>
        <v>0</v>
      </c>
      <c r="C1503" s="94" t="str">
        <f>IFERROR(VLOOKUP($A1503,HeadJournal!$A$1:$NTR$890,COLUMN(HeadJournal!C$1),0),"")</f>
        <v>OZON_AV</v>
      </c>
      <c r="D1503" s="125" t="str">
        <f>IFERROR(VLOOKUP($A1503,HeadJournal!$A$1:$NTR$890,COLUMN(HeadJournal!D$1),0),"")</f>
        <v>Доставлен</v>
      </c>
      <c r="E1503" s="95">
        <f>IFERROR(VLOOKUP($A1503,HeadJournal!$A$1:$NTR$890,COLUMN(HeadJournal!G$1),0),"")</f>
        <v>45035</v>
      </c>
      <c r="F1503" s="95" t="str">
        <f t="shared" si="119"/>
        <v>2023 04</v>
      </c>
      <c r="G1503" s="96" t="s">
        <v>6</v>
      </c>
      <c r="H1503" s="160" t="str">
        <f>RIGHT(Journal!$J1503,9)</f>
        <v>626914560</v>
      </c>
      <c r="I1503" s="96" t="str">
        <f t="shared" si="121"/>
        <v>SOUL WAY</v>
      </c>
      <c r="J1503" s="97" t="s">
        <v>561</v>
      </c>
      <c r="K1503" s="29">
        <v>761.6</v>
      </c>
      <c r="L1503" s="29">
        <v>0</v>
      </c>
      <c r="M1503" s="30">
        <f>IFERROR(VLOOKUP($A1503,HeadJournal!$A$1:$J$890,COLUMN(HeadJournal!I$1),0)*($K1503+$L1503)/(SUMIF($A:$A,$A1503,$K:$K)+SUMIF($A:$A,$A1503,$L:$L)),0)</f>
        <v>0</v>
      </c>
      <c r="N1503" s="30">
        <f>IFERROR((VLOOKUP($A1503,HeadJournal!$A$1:$K$890,COLUMN(HeadJournal!K$1),0)-VLOOKUP($A1503,HeadJournal!$A$1:$K$890,COLUMN(HeadJournal!J$1),0))*($K1503+$L1503)/(SUMIF($A:$A,$A1503,$K:$K)+SUMIF($A:$A,$A1503,$L:$L)),0)</f>
        <v>0</v>
      </c>
      <c r="O1503" s="30">
        <f>IFERROR((VLOOKUP($A1503,HeadJournal!$A$1:$L$890,COLUMN(HeadJournal!L$1),0)*($K1503+$L1503)/(SUMIF($A:$A,$A1503,$K:$K)+SUMIF($A:$A,$A1503,$L:$L)))/VLOOKUP($A1503,HeadJournal!$A$1:$L$890,COLUMN(HeadJournal!H$1),0),0)</f>
        <v>114.24</v>
      </c>
      <c r="P1503" s="30">
        <f>IFERROR(SUM(K1503:O1503)*VLOOKUP($A1503,HeadJournal!$A$1:$L$890,COLUMN(HeadJournal!H$1),0),0)</f>
        <v>875.84</v>
      </c>
      <c r="Q1503" s="29">
        <v>1500</v>
      </c>
      <c r="R1503" s="31">
        <v>45083</v>
      </c>
      <c r="S1503" s="31" t="s">
        <v>3121</v>
      </c>
      <c r="T1503" s="95" t="str">
        <f t="shared" si="120"/>
        <v>2023 06</v>
      </c>
      <c r="U1503" s="32">
        <f t="shared" si="117"/>
        <v>624.16</v>
      </c>
      <c r="V1503" s="22">
        <f t="shared" si="118"/>
        <v>0.71264157837047859</v>
      </c>
      <c r="X1503" s="33"/>
      <c r="Y1503" s="33"/>
    </row>
    <row r="1504" spans="1:25" x14ac:dyDescent="0.2">
      <c r="A1504" s="93" t="s">
        <v>652</v>
      </c>
      <c r="B1504" s="94">
        <f>IFERROR(VLOOKUP($A1504,HeadJournal!$A$1:$NTR$890,COLUMN(HeadJournal!B$1),0),"")</f>
        <v>0</v>
      </c>
      <c r="C1504" s="94" t="str">
        <f>IFERROR(VLOOKUP($A1504,HeadJournal!$A$1:$NTR$890,COLUMN(HeadJournal!C$1),0),"")</f>
        <v>OZON_AV</v>
      </c>
      <c r="D1504" s="125" t="str">
        <f>IFERROR(VLOOKUP($A1504,HeadJournal!$A$1:$NTR$890,COLUMN(HeadJournal!D$1),0),"")</f>
        <v>Доставлен</v>
      </c>
      <c r="E1504" s="95">
        <f>IFERROR(VLOOKUP($A1504,HeadJournal!$A$1:$NTR$890,COLUMN(HeadJournal!G$1),0),"")</f>
        <v>45035</v>
      </c>
      <c r="F1504" s="95" t="str">
        <f t="shared" si="119"/>
        <v>2023 04</v>
      </c>
      <c r="G1504" s="96" t="s">
        <v>6</v>
      </c>
      <c r="H1504" s="160" t="str">
        <f>RIGHT(Journal!$J1504,9)</f>
        <v>626914560</v>
      </c>
      <c r="I1504" s="96" t="str">
        <f t="shared" si="121"/>
        <v>SOUL WAY</v>
      </c>
      <c r="J1504" s="97" t="s">
        <v>561</v>
      </c>
      <c r="K1504" s="29">
        <v>761.6</v>
      </c>
      <c r="L1504" s="29">
        <v>0</v>
      </c>
      <c r="M1504" s="30">
        <f>IFERROR(VLOOKUP($A1504,HeadJournal!$A$1:$J$890,COLUMN(HeadJournal!I$1),0)*($K1504+$L1504)/(SUMIF($A:$A,$A1504,$K:$K)+SUMIF($A:$A,$A1504,$L:$L)),0)</f>
        <v>0</v>
      </c>
      <c r="N1504" s="30">
        <f>IFERROR((VLOOKUP($A1504,HeadJournal!$A$1:$K$890,COLUMN(HeadJournal!K$1),0)-VLOOKUP($A1504,HeadJournal!$A$1:$K$890,COLUMN(HeadJournal!J$1),0))*($K1504+$L1504)/(SUMIF($A:$A,$A1504,$K:$K)+SUMIF($A:$A,$A1504,$L:$L)),0)</f>
        <v>0</v>
      </c>
      <c r="O1504" s="30">
        <f>IFERROR((VLOOKUP($A1504,HeadJournal!$A$1:$L$890,COLUMN(HeadJournal!L$1),0)*($K1504+$L1504)/(SUMIF($A:$A,$A1504,$K:$K)+SUMIF($A:$A,$A1504,$L:$L)))/VLOOKUP($A1504,HeadJournal!$A$1:$L$890,COLUMN(HeadJournal!H$1),0),0)</f>
        <v>114.24</v>
      </c>
      <c r="P1504" s="30">
        <f>IFERROR(SUM(K1504:O1504)*VLOOKUP($A1504,HeadJournal!$A$1:$L$890,COLUMN(HeadJournal!H$1),0),0)</f>
        <v>875.84</v>
      </c>
      <c r="Q1504" s="29">
        <v>1600</v>
      </c>
      <c r="R1504" s="31">
        <v>45083</v>
      </c>
      <c r="S1504" s="31" t="s">
        <v>3121</v>
      </c>
      <c r="T1504" s="95" t="str">
        <f t="shared" si="120"/>
        <v>2023 06</v>
      </c>
      <c r="U1504" s="32">
        <f t="shared" si="117"/>
        <v>724.16</v>
      </c>
      <c r="V1504" s="22">
        <f t="shared" si="118"/>
        <v>0.82681768359517716</v>
      </c>
      <c r="X1504" s="33"/>
      <c r="Y1504" s="33"/>
    </row>
    <row r="1505" spans="1:25" x14ac:dyDescent="0.2">
      <c r="A1505" s="93" t="s">
        <v>652</v>
      </c>
      <c r="B1505" s="94">
        <f>IFERROR(VLOOKUP($A1505,HeadJournal!$A$1:$NTR$890,COLUMN(HeadJournal!B$1),0),"")</f>
        <v>0</v>
      </c>
      <c r="C1505" s="94" t="str">
        <f>IFERROR(VLOOKUP($A1505,HeadJournal!$A$1:$NTR$890,COLUMN(HeadJournal!C$1),0),"")</f>
        <v>OZON_AV</v>
      </c>
      <c r="D1505" s="125" t="str">
        <f>IFERROR(VLOOKUP($A1505,HeadJournal!$A$1:$NTR$890,COLUMN(HeadJournal!D$1),0),"")</f>
        <v>Доставлен</v>
      </c>
      <c r="E1505" s="95">
        <f>IFERROR(VLOOKUP($A1505,HeadJournal!$A$1:$NTR$890,COLUMN(HeadJournal!G$1),0),"")</f>
        <v>45035</v>
      </c>
      <c r="F1505" s="95" t="str">
        <f t="shared" si="119"/>
        <v>2023 04</v>
      </c>
      <c r="G1505" s="96" t="s">
        <v>6</v>
      </c>
      <c r="H1505" s="160" t="str">
        <f>RIGHT(Journal!$J1505,9)</f>
        <v>626914560</v>
      </c>
      <c r="I1505" s="96" t="str">
        <f t="shared" si="121"/>
        <v>SOUL WAY</v>
      </c>
      <c r="J1505" s="97" t="s">
        <v>561</v>
      </c>
      <c r="K1505" s="29">
        <v>761.6</v>
      </c>
      <c r="L1505" s="29">
        <v>0</v>
      </c>
      <c r="M1505" s="30">
        <f>IFERROR(VLOOKUP($A1505,HeadJournal!$A$1:$J$890,COLUMN(HeadJournal!I$1),0)*($K1505+$L1505)/(SUMIF($A:$A,$A1505,$K:$K)+SUMIF($A:$A,$A1505,$L:$L)),0)</f>
        <v>0</v>
      </c>
      <c r="N1505" s="30">
        <f>IFERROR((VLOOKUP($A1505,HeadJournal!$A$1:$K$890,COLUMN(HeadJournal!K$1),0)-VLOOKUP($A1505,HeadJournal!$A$1:$K$890,COLUMN(HeadJournal!J$1),0))*($K1505+$L1505)/(SUMIF($A:$A,$A1505,$K:$K)+SUMIF($A:$A,$A1505,$L:$L)),0)</f>
        <v>0</v>
      </c>
      <c r="O1505" s="30">
        <f>IFERROR((VLOOKUP($A1505,HeadJournal!$A$1:$L$890,COLUMN(HeadJournal!L$1),0)*($K1505+$L1505)/(SUMIF($A:$A,$A1505,$K:$K)+SUMIF($A:$A,$A1505,$L:$L)))/VLOOKUP($A1505,HeadJournal!$A$1:$L$890,COLUMN(HeadJournal!H$1),0),0)</f>
        <v>114.24</v>
      </c>
      <c r="P1505" s="30">
        <f>IFERROR(SUM(K1505:O1505)*VLOOKUP($A1505,HeadJournal!$A$1:$L$890,COLUMN(HeadJournal!H$1),0),0)</f>
        <v>875.84</v>
      </c>
      <c r="Q1505" s="29">
        <v>1600</v>
      </c>
      <c r="R1505" s="31">
        <v>45098</v>
      </c>
      <c r="S1505" s="31" t="s">
        <v>3121</v>
      </c>
      <c r="T1505" s="95" t="str">
        <f t="shared" si="120"/>
        <v>2023 06</v>
      </c>
      <c r="U1505" s="32">
        <f t="shared" si="117"/>
        <v>724.16</v>
      </c>
      <c r="V1505" s="22">
        <f t="shared" si="118"/>
        <v>0.82681768359517716</v>
      </c>
      <c r="X1505" s="33"/>
      <c r="Y1505" s="33"/>
    </row>
    <row r="1506" spans="1:25" x14ac:dyDescent="0.2">
      <c r="A1506" s="93" t="s">
        <v>653</v>
      </c>
      <c r="B1506" s="94">
        <f>IFERROR(VLOOKUP($A1506,HeadJournal!$A$1:$NTR$890,COLUMN(HeadJournal!B$1),0),"")</f>
        <v>0</v>
      </c>
      <c r="C1506" s="94" t="str">
        <f>IFERROR(VLOOKUP($A1506,HeadJournal!$A$1:$NTR$890,COLUMN(HeadJournal!C$1),0),"")</f>
        <v>OZON_AV</v>
      </c>
      <c r="D1506" s="125" t="str">
        <f>IFERROR(VLOOKUP($A1506,HeadJournal!$A$1:$NTR$890,COLUMN(HeadJournal!D$1),0),"")</f>
        <v>Доставлен</v>
      </c>
      <c r="E1506" s="95">
        <f>IFERROR(VLOOKUP($A1506,HeadJournal!$A$1:$NTR$890,COLUMN(HeadJournal!G$1),0),"")</f>
        <v>45036</v>
      </c>
      <c r="F1506" s="95" t="str">
        <f t="shared" si="119"/>
        <v>2023 04</v>
      </c>
      <c r="G1506" s="96" t="s">
        <v>6</v>
      </c>
      <c r="H1506" s="160" t="str">
        <f>RIGHT(Journal!$J1506,9)</f>
        <v>309538221</v>
      </c>
      <c r="I1506" s="96" t="str">
        <f t="shared" si="121"/>
        <v>R-Line</v>
      </c>
      <c r="J1506" s="97" t="s">
        <v>514</v>
      </c>
      <c r="K1506" s="29">
        <v>1588</v>
      </c>
      <c r="L1506" s="29">
        <v>0</v>
      </c>
      <c r="M1506" s="30">
        <f>IFERROR(VLOOKUP($A1506,HeadJournal!$A$1:$J$890,COLUMN(HeadJournal!I$1),0)*($K1506+$L1506)/(SUMIF($A:$A,$A1506,$K:$K)+SUMIF($A:$A,$A1506,$L:$L)),0)</f>
        <v>0</v>
      </c>
      <c r="N1506" s="30">
        <f>IFERROR((VLOOKUP($A1506,HeadJournal!$A$1:$K$890,COLUMN(HeadJournal!K$1),0)-VLOOKUP($A1506,HeadJournal!$A$1:$K$890,COLUMN(HeadJournal!J$1),0))*($K1506+$L1506)/(SUMIF($A:$A,$A1506,$K:$K)+SUMIF($A:$A,$A1506,$L:$L)),0)</f>
        <v>0</v>
      </c>
      <c r="O1506" s="30">
        <f>IFERROR((VLOOKUP($A1506,HeadJournal!$A$1:$L$890,COLUMN(HeadJournal!L$1),0)*($K1506+$L1506)/(SUMIF($A:$A,$A1506,$K:$K)+SUMIF($A:$A,$A1506,$L:$L)))/VLOOKUP($A1506,HeadJournal!$A$1:$L$890,COLUMN(HeadJournal!H$1),0),0)</f>
        <v>238.2</v>
      </c>
      <c r="P1506" s="30">
        <f>IFERROR(SUM(K1506:O1506)*VLOOKUP($A1506,HeadJournal!$A$1:$L$890,COLUMN(HeadJournal!H$1),0),0)</f>
        <v>1826.2</v>
      </c>
      <c r="Q1506" s="29">
        <v>3000</v>
      </c>
      <c r="R1506" s="31">
        <v>45041</v>
      </c>
      <c r="S1506" s="31" t="s">
        <v>3121</v>
      </c>
      <c r="T1506" s="95" t="str">
        <f t="shared" si="120"/>
        <v>2023 04</v>
      </c>
      <c r="U1506" s="32">
        <f t="shared" si="117"/>
        <v>1173.8</v>
      </c>
      <c r="V1506" s="22">
        <f t="shared" si="118"/>
        <v>0.64275544847223742</v>
      </c>
      <c r="X1506" s="33"/>
      <c r="Y1506" s="33"/>
    </row>
    <row r="1507" spans="1:25" x14ac:dyDescent="0.2">
      <c r="A1507" s="93" t="s">
        <v>653</v>
      </c>
      <c r="B1507" s="94">
        <f>IFERROR(VLOOKUP($A1507,HeadJournal!$A$1:$NTR$890,COLUMN(HeadJournal!B$1),0),"")</f>
        <v>0</v>
      </c>
      <c r="C1507" s="94" t="str">
        <f>IFERROR(VLOOKUP($A1507,HeadJournal!$A$1:$NTR$890,COLUMN(HeadJournal!C$1),0),"")</f>
        <v>OZON_AV</v>
      </c>
      <c r="D1507" s="125" t="str">
        <f>IFERROR(VLOOKUP($A1507,HeadJournal!$A$1:$NTR$890,COLUMN(HeadJournal!D$1),0),"")</f>
        <v>Доставлен</v>
      </c>
      <c r="E1507" s="95">
        <f>IFERROR(VLOOKUP($A1507,HeadJournal!$A$1:$NTR$890,COLUMN(HeadJournal!G$1),0),"")</f>
        <v>45036</v>
      </c>
      <c r="F1507" s="95" t="str">
        <f t="shared" si="119"/>
        <v>2023 04</v>
      </c>
      <c r="G1507" s="96" t="s">
        <v>6</v>
      </c>
      <c r="H1507" s="160" t="str">
        <f>RIGHT(Journal!$J1507,9)</f>
        <v>309538221</v>
      </c>
      <c r="I1507" s="96" t="str">
        <f t="shared" si="121"/>
        <v>R-Line</v>
      </c>
      <c r="J1507" s="97" t="s">
        <v>514</v>
      </c>
      <c r="K1507" s="29">
        <v>1588</v>
      </c>
      <c r="L1507" s="29">
        <v>0</v>
      </c>
      <c r="M1507" s="30">
        <f>IFERROR(VLOOKUP($A1507,HeadJournal!$A$1:$J$890,COLUMN(HeadJournal!I$1),0)*($K1507+$L1507)/(SUMIF($A:$A,$A1507,$K:$K)+SUMIF($A:$A,$A1507,$L:$L)),0)</f>
        <v>0</v>
      </c>
      <c r="N1507" s="30">
        <f>IFERROR((VLOOKUP($A1507,HeadJournal!$A$1:$K$890,COLUMN(HeadJournal!K$1),0)-VLOOKUP($A1507,HeadJournal!$A$1:$K$890,COLUMN(HeadJournal!J$1),0))*($K1507+$L1507)/(SUMIF($A:$A,$A1507,$K:$K)+SUMIF($A:$A,$A1507,$L:$L)),0)</f>
        <v>0</v>
      </c>
      <c r="O1507" s="30">
        <f>IFERROR((VLOOKUP($A1507,HeadJournal!$A$1:$L$890,COLUMN(HeadJournal!L$1),0)*($K1507+$L1507)/(SUMIF($A:$A,$A1507,$K:$K)+SUMIF($A:$A,$A1507,$L:$L)))/VLOOKUP($A1507,HeadJournal!$A$1:$L$890,COLUMN(HeadJournal!H$1),0),0)</f>
        <v>238.2</v>
      </c>
      <c r="P1507" s="30">
        <f>IFERROR(SUM(K1507:O1507)*VLOOKUP($A1507,HeadJournal!$A$1:$L$890,COLUMN(HeadJournal!H$1),0),0)</f>
        <v>1826.2</v>
      </c>
      <c r="Q1507" s="29">
        <v>3100</v>
      </c>
      <c r="R1507" s="31">
        <v>45061</v>
      </c>
      <c r="S1507" s="31" t="s">
        <v>3121</v>
      </c>
      <c r="T1507" s="95" t="str">
        <f t="shared" si="120"/>
        <v>2023 05</v>
      </c>
      <c r="U1507" s="32">
        <f t="shared" si="117"/>
        <v>1273.8</v>
      </c>
      <c r="V1507" s="22">
        <f t="shared" si="118"/>
        <v>0.697513963421312</v>
      </c>
      <c r="X1507" s="33"/>
      <c r="Y1507" s="33"/>
    </row>
    <row r="1508" spans="1:25" x14ac:dyDescent="0.2">
      <c r="A1508" s="93" t="s">
        <v>653</v>
      </c>
      <c r="B1508" s="94">
        <f>IFERROR(VLOOKUP($A1508,HeadJournal!$A$1:$NTR$890,COLUMN(HeadJournal!B$1),0),"")</f>
        <v>0</v>
      </c>
      <c r="C1508" s="94" t="str">
        <f>IFERROR(VLOOKUP($A1508,HeadJournal!$A$1:$NTR$890,COLUMN(HeadJournal!C$1),0),"")</f>
        <v>OZON_AV</v>
      </c>
      <c r="D1508" s="125" t="str">
        <f>IFERROR(VLOOKUP($A1508,HeadJournal!$A$1:$NTR$890,COLUMN(HeadJournal!D$1),0),"")</f>
        <v>Доставлен</v>
      </c>
      <c r="E1508" s="95">
        <f>IFERROR(VLOOKUP($A1508,HeadJournal!$A$1:$NTR$890,COLUMN(HeadJournal!G$1),0),"")</f>
        <v>45036</v>
      </c>
      <c r="F1508" s="95" t="str">
        <f t="shared" si="119"/>
        <v>2023 04</v>
      </c>
      <c r="G1508" s="96" t="s">
        <v>6</v>
      </c>
      <c r="H1508" s="160" t="str">
        <f>RIGHT(Journal!$J1508,9)</f>
        <v>650779619</v>
      </c>
      <c r="I1508" s="96" t="str">
        <f t="shared" si="121"/>
        <v>MACLEN</v>
      </c>
      <c r="J1508" s="97" t="s">
        <v>654</v>
      </c>
      <c r="K1508" s="29">
        <v>307</v>
      </c>
      <c r="L1508" s="29">
        <v>0</v>
      </c>
      <c r="M1508" s="30">
        <f>IFERROR(VLOOKUP($A1508,HeadJournal!$A$1:$J$890,COLUMN(HeadJournal!I$1),0)*($K1508+$L1508)/(SUMIF($A:$A,$A1508,$K:$K)+SUMIF($A:$A,$A1508,$L:$L)),0)</f>
        <v>0</v>
      </c>
      <c r="N1508" s="30">
        <f>IFERROR((VLOOKUP($A1508,HeadJournal!$A$1:$K$890,COLUMN(HeadJournal!K$1),0)-VLOOKUP($A1508,HeadJournal!$A$1:$K$890,COLUMN(HeadJournal!J$1),0))*($K1508+$L1508)/(SUMIF($A:$A,$A1508,$K:$K)+SUMIF($A:$A,$A1508,$L:$L)),0)</f>
        <v>0</v>
      </c>
      <c r="O1508" s="30">
        <f>IFERROR((VLOOKUP($A1508,HeadJournal!$A$1:$L$890,COLUMN(HeadJournal!L$1),0)*($K1508+$L1508)/(SUMIF($A:$A,$A1508,$K:$K)+SUMIF($A:$A,$A1508,$L:$L)))/VLOOKUP($A1508,HeadJournal!$A$1:$L$890,COLUMN(HeadJournal!H$1),0),0)</f>
        <v>46.05</v>
      </c>
      <c r="P1508" s="30">
        <f>IFERROR(SUM(K1508:O1508)*VLOOKUP($A1508,HeadJournal!$A$1:$L$890,COLUMN(HeadJournal!H$1),0),0)</f>
        <v>353.05</v>
      </c>
      <c r="Q1508" s="29">
        <v>500</v>
      </c>
      <c r="R1508" s="31">
        <v>45042</v>
      </c>
      <c r="S1508" s="31" t="s">
        <v>3121</v>
      </c>
      <c r="T1508" s="95" t="str">
        <f t="shared" si="120"/>
        <v>2023 04</v>
      </c>
      <c r="U1508" s="32">
        <f t="shared" si="117"/>
        <v>146.94999999999999</v>
      </c>
      <c r="V1508" s="22">
        <f t="shared" si="118"/>
        <v>0.41622999575130998</v>
      </c>
      <c r="X1508" s="33"/>
      <c r="Y1508" s="33"/>
    </row>
    <row r="1509" spans="1:25" x14ac:dyDescent="0.2">
      <c r="A1509" s="93" t="s">
        <v>653</v>
      </c>
      <c r="B1509" s="94">
        <f>IFERROR(VLOOKUP($A1509,HeadJournal!$A$1:$NTR$890,COLUMN(HeadJournal!B$1),0),"")</f>
        <v>0</v>
      </c>
      <c r="C1509" s="94" t="str">
        <f>IFERROR(VLOOKUP($A1509,HeadJournal!$A$1:$NTR$890,COLUMN(HeadJournal!C$1),0),"")</f>
        <v>OZON_AV</v>
      </c>
      <c r="D1509" s="125" t="str">
        <f>IFERROR(VLOOKUP($A1509,HeadJournal!$A$1:$NTR$890,COLUMN(HeadJournal!D$1),0),"")</f>
        <v>Доставлен</v>
      </c>
      <c r="E1509" s="95">
        <f>IFERROR(VLOOKUP($A1509,HeadJournal!$A$1:$NTR$890,COLUMN(HeadJournal!G$1),0),"")</f>
        <v>45036</v>
      </c>
      <c r="F1509" s="95" t="str">
        <f t="shared" si="119"/>
        <v>2023 04</v>
      </c>
      <c r="G1509" s="96" t="s">
        <v>6</v>
      </c>
      <c r="H1509" s="160" t="str">
        <f>RIGHT(Journal!$J1509,9)</f>
        <v>628950568</v>
      </c>
      <c r="I1509" s="96" t="str">
        <f t="shared" si="121"/>
        <v>Starwind</v>
      </c>
      <c r="J1509" s="97" t="s">
        <v>655</v>
      </c>
      <c r="K1509" s="29">
        <v>433</v>
      </c>
      <c r="L1509" s="29">
        <v>0</v>
      </c>
      <c r="M1509" s="30">
        <f>IFERROR(VLOOKUP($A1509,HeadJournal!$A$1:$J$890,COLUMN(HeadJournal!I$1),0)*($K1509+$L1509)/(SUMIF($A:$A,$A1509,$K:$K)+SUMIF($A:$A,$A1509,$L:$L)),0)</f>
        <v>0</v>
      </c>
      <c r="N1509" s="30">
        <f>IFERROR((VLOOKUP($A1509,HeadJournal!$A$1:$K$890,COLUMN(HeadJournal!K$1),0)-VLOOKUP($A1509,HeadJournal!$A$1:$K$890,COLUMN(HeadJournal!J$1),0))*($K1509+$L1509)/(SUMIF($A:$A,$A1509,$K:$K)+SUMIF($A:$A,$A1509,$L:$L)),0)</f>
        <v>0</v>
      </c>
      <c r="O1509" s="30">
        <f>IFERROR((VLOOKUP($A1509,HeadJournal!$A$1:$L$890,COLUMN(HeadJournal!L$1),0)*($K1509+$L1509)/(SUMIF($A:$A,$A1509,$K:$K)+SUMIF($A:$A,$A1509,$L:$L)))/VLOOKUP($A1509,HeadJournal!$A$1:$L$890,COLUMN(HeadJournal!H$1),0),0)</f>
        <v>64.949999999999989</v>
      </c>
      <c r="P1509" s="30">
        <f>IFERROR(SUM(K1509:O1509)*VLOOKUP($A1509,HeadJournal!$A$1:$L$890,COLUMN(HeadJournal!H$1),0),0)</f>
        <v>497.95</v>
      </c>
      <c r="Q1509" s="29">
        <v>800</v>
      </c>
      <c r="R1509" s="31">
        <v>45042</v>
      </c>
      <c r="S1509" s="31" t="s">
        <v>3121</v>
      </c>
      <c r="T1509" s="95" t="str">
        <f t="shared" si="120"/>
        <v>2023 04</v>
      </c>
      <c r="U1509" s="32">
        <f t="shared" si="117"/>
        <v>302.05</v>
      </c>
      <c r="V1509" s="22">
        <f t="shared" si="118"/>
        <v>0.60658700672758314</v>
      </c>
      <c r="X1509" s="33"/>
      <c r="Y1509" s="33"/>
    </row>
    <row r="1510" spans="1:25" x14ac:dyDescent="0.2">
      <c r="A1510" s="93" t="s">
        <v>656</v>
      </c>
      <c r="B1510" s="94">
        <f>IFERROR(VLOOKUP($A1510,HeadJournal!$A$1:$NTR$890,COLUMN(HeadJournal!B$1),0),"")</f>
        <v>0</v>
      </c>
      <c r="C1510" s="94" t="str">
        <f>IFERROR(VLOOKUP($A1510,HeadJournal!$A$1:$NTR$890,COLUMN(HeadJournal!C$1),0),"")</f>
        <v>WBRS</v>
      </c>
      <c r="D1510" s="125" t="str">
        <f>IFERROR(VLOOKUP($A1510,HeadJournal!$A$1:$NTR$890,COLUMN(HeadJournal!D$1),0),"")</f>
        <v>Доставлен</v>
      </c>
      <c r="E1510" s="95">
        <f>IFERROR(VLOOKUP($A1510,HeadJournal!$A$1:$NTR$890,COLUMN(HeadJournal!G$1),0),"")</f>
        <v>45035</v>
      </c>
      <c r="F1510" s="95" t="str">
        <f t="shared" si="119"/>
        <v>2023 04</v>
      </c>
      <c r="G1510" s="96" t="s">
        <v>5</v>
      </c>
      <c r="H1510" s="160" t="str">
        <f>RIGHT(Journal!$J1510,9)</f>
        <v xml:space="preserve"> 66190183</v>
      </c>
      <c r="I1510" s="96" t="str">
        <f t="shared" si="121"/>
        <v>Kirkland</v>
      </c>
      <c r="J1510" s="97" t="s">
        <v>657</v>
      </c>
      <c r="K1510" s="29">
        <v>567</v>
      </c>
      <c r="L1510" s="29"/>
      <c r="M1510" s="30">
        <f>IFERROR(VLOOKUP($A1510,HeadJournal!$A$1:$J$890,COLUMN(HeadJournal!I$1),0)*($K1510+$L1510)/(SUMIF($A:$A,$A1510,$K:$K)+SUMIF($A:$A,$A1510,$L:$L)),0)</f>
        <v>0</v>
      </c>
      <c r="N1510" s="30">
        <f>IFERROR((VLOOKUP($A1510,HeadJournal!$A$1:$K$890,COLUMN(HeadJournal!K$1),0)-VLOOKUP($A1510,HeadJournal!$A$1:$K$890,COLUMN(HeadJournal!J$1),0))*($K1510+$L1510)/(SUMIF($A:$A,$A1510,$K:$K)+SUMIF($A:$A,$A1510,$L:$L)),0)</f>
        <v>0</v>
      </c>
      <c r="O1510" s="30">
        <f>IFERROR((VLOOKUP($A1510,HeadJournal!$A$1:$L$890,COLUMN(HeadJournal!L$1),0)*($K1510+$L1510)/(SUMIF($A:$A,$A1510,$K:$K)+SUMIF($A:$A,$A1510,$L:$L)))/VLOOKUP($A1510,HeadJournal!$A$1:$L$890,COLUMN(HeadJournal!H$1),0),0)</f>
        <v>85.05</v>
      </c>
      <c r="P1510" s="30">
        <f>IFERROR(SUM(K1510:O1510)*VLOOKUP($A1510,HeadJournal!$A$1:$L$890,COLUMN(HeadJournal!H$1),0),0)</f>
        <v>652.04999999999995</v>
      </c>
      <c r="Q1510" s="29">
        <v>1200</v>
      </c>
      <c r="R1510" s="31">
        <v>45058</v>
      </c>
      <c r="S1510" s="31" t="s">
        <v>3121</v>
      </c>
      <c r="T1510" s="95" t="str">
        <f t="shared" si="120"/>
        <v>2023 05</v>
      </c>
      <c r="U1510" s="32">
        <f t="shared" si="117"/>
        <v>547.95000000000005</v>
      </c>
      <c r="V1510" s="22">
        <f t="shared" si="118"/>
        <v>0.84034966643662312</v>
      </c>
      <c r="X1510" s="33"/>
      <c r="Y1510" s="33"/>
    </row>
    <row r="1511" spans="1:25" x14ac:dyDescent="0.2">
      <c r="A1511" s="93" t="s">
        <v>656</v>
      </c>
      <c r="B1511" s="94">
        <f>IFERROR(VLOOKUP($A1511,HeadJournal!$A$1:$NTR$890,COLUMN(HeadJournal!B$1),0),"")</f>
        <v>0</v>
      </c>
      <c r="C1511" s="94" t="str">
        <f>IFERROR(VLOOKUP($A1511,HeadJournal!$A$1:$NTR$890,COLUMN(HeadJournal!C$1),0),"")</f>
        <v>WBRS</v>
      </c>
      <c r="D1511" s="125" t="str">
        <f>IFERROR(VLOOKUP($A1511,HeadJournal!$A$1:$NTR$890,COLUMN(HeadJournal!D$1),0),"")</f>
        <v>Доставлен</v>
      </c>
      <c r="E1511" s="95">
        <f>IFERROR(VLOOKUP($A1511,HeadJournal!$A$1:$NTR$890,COLUMN(HeadJournal!G$1),0),"")</f>
        <v>45035</v>
      </c>
      <c r="F1511" s="95" t="str">
        <f t="shared" si="119"/>
        <v>2023 04</v>
      </c>
      <c r="G1511" s="96" t="s">
        <v>5</v>
      </c>
      <c r="H1511" s="160" t="str">
        <f>RIGHT(Journal!$J1511,9)</f>
        <v xml:space="preserve"> 66190183</v>
      </c>
      <c r="I1511" s="96" t="str">
        <f t="shared" si="121"/>
        <v>Kirkland</v>
      </c>
      <c r="J1511" s="97" t="s">
        <v>657</v>
      </c>
      <c r="K1511" s="29">
        <v>567</v>
      </c>
      <c r="L1511" s="29"/>
      <c r="M1511" s="30">
        <f>IFERROR(VLOOKUP($A1511,HeadJournal!$A$1:$J$890,COLUMN(HeadJournal!I$1),0)*($K1511+$L1511)/(SUMIF($A:$A,$A1511,$K:$K)+SUMIF($A:$A,$A1511,$L:$L)),0)</f>
        <v>0</v>
      </c>
      <c r="N1511" s="30">
        <f>IFERROR((VLOOKUP($A1511,HeadJournal!$A$1:$K$890,COLUMN(HeadJournal!K$1),0)-VLOOKUP($A1511,HeadJournal!$A$1:$K$890,COLUMN(HeadJournal!J$1),0))*($K1511+$L1511)/(SUMIF($A:$A,$A1511,$K:$K)+SUMIF($A:$A,$A1511,$L:$L)),0)</f>
        <v>0</v>
      </c>
      <c r="O1511" s="30">
        <f>IFERROR((VLOOKUP($A1511,HeadJournal!$A$1:$L$890,COLUMN(HeadJournal!L$1),0)*($K1511+$L1511)/(SUMIF($A:$A,$A1511,$K:$K)+SUMIF($A:$A,$A1511,$L:$L)))/VLOOKUP($A1511,HeadJournal!$A$1:$L$890,COLUMN(HeadJournal!H$1),0),0)</f>
        <v>85.05</v>
      </c>
      <c r="P1511" s="30">
        <f>IFERROR(SUM(K1511:O1511)*VLOOKUP($A1511,HeadJournal!$A$1:$L$890,COLUMN(HeadJournal!H$1),0),0)</f>
        <v>652.04999999999995</v>
      </c>
      <c r="Q1511" s="29">
        <v>1200</v>
      </c>
      <c r="R1511" s="31">
        <v>45189</v>
      </c>
      <c r="S1511" s="31" t="s">
        <v>3121</v>
      </c>
      <c r="T1511" s="95" t="str">
        <f t="shared" si="120"/>
        <v>2023 09</v>
      </c>
      <c r="U1511" s="32">
        <f t="shared" si="117"/>
        <v>547.95000000000005</v>
      </c>
      <c r="V1511" s="22">
        <f t="shared" si="118"/>
        <v>0.84034966643662312</v>
      </c>
      <c r="X1511" s="33"/>
      <c r="Y1511" s="33"/>
    </row>
    <row r="1512" spans="1:25" x14ac:dyDescent="0.2">
      <c r="A1512" s="93" t="s">
        <v>658</v>
      </c>
      <c r="B1512" s="94" t="str">
        <f>IFERROR(VLOOKUP($A1512,HeadJournal!$A$1:$NTR$890,COLUMN(HeadJournal!B$1),0),"")</f>
        <v>710000746689</v>
      </c>
      <c r="C1512" s="94" t="str">
        <f>IFERROR(VLOOKUP($A1512,HeadJournal!$A$1:$NTR$890,COLUMN(HeadJournal!C$1),0),"")</f>
        <v>iHerb_VP DFD1605</v>
      </c>
      <c r="D1512" s="125" t="str">
        <f>IFERROR(VLOOKUP($A1512,HeadJournal!$A$1:$NTR$890,COLUMN(HeadJournal!D$1),0),"")</f>
        <v>Доставлен</v>
      </c>
      <c r="E1512" s="95">
        <f>IFERROR(VLOOKUP($A1512,HeadJournal!$A$1:$NTR$890,COLUMN(HeadJournal!G$1),0),"")</f>
        <v>45034</v>
      </c>
      <c r="F1512" s="95" t="str">
        <f t="shared" si="119"/>
        <v>2023 04</v>
      </c>
      <c r="G1512" s="96" t="s">
        <v>5</v>
      </c>
      <c r="H1512" s="160" t="str">
        <f>RIGHT(Journal!$J1512,9)</f>
        <v>NOW-00035</v>
      </c>
      <c r="I1512" s="96" t="str">
        <f t="shared" si="121"/>
        <v>NOW Foods</v>
      </c>
      <c r="J1512" s="97" t="s">
        <v>659</v>
      </c>
      <c r="K1512" s="29">
        <v>19.78</v>
      </c>
      <c r="L1512" s="29">
        <v>-1.98</v>
      </c>
      <c r="M1512" s="30">
        <f>IFERROR(VLOOKUP($A1512,HeadJournal!$A$1:$J$890,COLUMN(HeadJournal!I$1),0)*($K1512+$L1512)/(SUMIF($A:$A,$A1512,$K:$K)+SUMIF($A:$A,$A1512,$L:$L)),0)</f>
        <v>0.60874073400336548</v>
      </c>
      <c r="N1512" s="30">
        <f>IFERROR((VLOOKUP($A1512,HeadJournal!$A$1:$K$890,COLUMN(HeadJournal!K$1),0)-VLOOKUP($A1512,HeadJournal!$A$1:$K$890,COLUMN(HeadJournal!J$1),0))*($K1512+$L1512)/(SUMIF($A:$A,$A1512,$K:$K)+SUMIF($A:$A,$A1512,$L:$L)),0)</f>
        <v>4.601450069227264E-15</v>
      </c>
      <c r="O1512" s="30">
        <f>IFERROR((VLOOKUP($A1512,HeadJournal!$A$1:$L$890,COLUMN(HeadJournal!L$1),0)*($K1512+$L1512)/(SUMIF($A:$A,$A1512,$K:$K)+SUMIF($A:$A,$A1512,$L:$L)))/VLOOKUP($A1512,HeadJournal!$A$1:$L$890,COLUMN(HeadJournal!H$1),0),0)</f>
        <v>1.0818623395146727</v>
      </c>
      <c r="P1512" s="30">
        <f>IFERROR(SUM(K1512:O1512)*VLOOKUP($A1512,HeadJournal!$A$1:$L$890,COLUMN(HeadJournal!H$1),0),0)</f>
        <v>1777.1845741052352</v>
      </c>
      <c r="Q1512" s="29">
        <v>2700</v>
      </c>
      <c r="R1512" s="31">
        <v>45092</v>
      </c>
      <c r="S1512" s="31" t="s">
        <v>3121</v>
      </c>
      <c r="T1512" s="95" t="str">
        <f t="shared" si="120"/>
        <v>2023 06</v>
      </c>
      <c r="U1512" s="32">
        <f t="shared" si="117"/>
        <v>922.81542589476476</v>
      </c>
      <c r="V1512" s="22">
        <f t="shared" si="118"/>
        <v>0.5192569411983432</v>
      </c>
      <c r="X1512" s="33"/>
      <c r="Y1512" s="33"/>
    </row>
    <row r="1513" spans="1:25" x14ac:dyDescent="0.2">
      <c r="A1513" s="93" t="s">
        <v>658</v>
      </c>
      <c r="B1513" s="94" t="str">
        <f>IFERROR(VLOOKUP($A1513,HeadJournal!$A$1:$NTR$890,COLUMN(HeadJournal!B$1),0),"")</f>
        <v>710000746689</v>
      </c>
      <c r="C1513" s="94" t="str">
        <f>IFERROR(VLOOKUP($A1513,HeadJournal!$A$1:$NTR$890,COLUMN(HeadJournal!C$1),0),"")</f>
        <v>iHerb_VP DFD1605</v>
      </c>
      <c r="D1513" s="125" t="str">
        <f>IFERROR(VLOOKUP($A1513,HeadJournal!$A$1:$NTR$890,COLUMN(HeadJournal!D$1),0),"")</f>
        <v>Доставлен</v>
      </c>
      <c r="E1513" s="95">
        <f>IFERROR(VLOOKUP($A1513,HeadJournal!$A$1:$NTR$890,COLUMN(HeadJournal!G$1),0),"")</f>
        <v>45034</v>
      </c>
      <c r="F1513" s="95" t="str">
        <f t="shared" si="119"/>
        <v>2023 04</v>
      </c>
      <c r="G1513" s="96" t="s">
        <v>5</v>
      </c>
      <c r="H1513" s="161" t="s">
        <v>2678</v>
      </c>
      <c r="I1513" s="97" t="s">
        <v>2005</v>
      </c>
      <c r="J1513" s="97" t="s">
        <v>2679</v>
      </c>
      <c r="K1513" s="29">
        <v>7.83</v>
      </c>
      <c r="L1513" s="29">
        <v>-0.78</v>
      </c>
      <c r="M1513" s="30">
        <f>IFERROR(VLOOKUP($A1513,HeadJournal!$A$1:$J$890,COLUMN(HeadJournal!I$1),0)*($K1513+$L1513)/(SUMIF($A:$A,$A1513,$K:$K)+SUMIF($A:$A,$A1513,$L:$L)),0)</f>
        <v>0.24110236936650151</v>
      </c>
      <c r="N1513" s="30">
        <f>IFERROR((VLOOKUP($A1513,HeadJournal!$A$1:$K$890,COLUMN(HeadJournal!K$1),0)-VLOOKUP($A1513,HeadJournal!$A$1:$K$890,COLUMN(HeadJournal!J$1),0))*($K1513+$L1513)/(SUMIF($A:$A,$A1513,$K:$K)+SUMIF($A:$A,$A1513,$L:$L)),0)</f>
        <v>1.8224844375310227E-15</v>
      </c>
      <c r="O1513" s="30">
        <f>IFERROR((VLOOKUP($A1513,HeadJournal!$A$1:$L$890,COLUMN(HeadJournal!L$1),0)*($K1513+$L1513)/(SUMIF($A:$A,$A1513,$K:$K)+SUMIF($A:$A,$A1513,$L:$L)))/VLOOKUP($A1513,HeadJournal!$A$1:$L$890,COLUMN(HeadJournal!H$1),0),0)</f>
        <v>0.42849042098755302</v>
      </c>
      <c r="P1513" s="30">
        <f>IFERROR(SUM(K1513:O1513)*VLOOKUP($A1513,HeadJournal!$A$1:$L$890,COLUMN(HeadJournal!H$1),0),0)</f>
        <v>703.88490154168028</v>
      </c>
      <c r="Q1513" s="29">
        <v>1400</v>
      </c>
      <c r="R1513" s="31">
        <v>45092</v>
      </c>
      <c r="S1513" s="31" t="s">
        <v>3121</v>
      </c>
      <c r="T1513" s="95" t="str">
        <f t="shared" si="120"/>
        <v>2023 06</v>
      </c>
      <c r="U1513" s="32">
        <f t="shared" si="117"/>
        <v>696.11509845831972</v>
      </c>
      <c r="V1513" s="22">
        <f t="shared" si="118"/>
        <v>0.98896154319215712</v>
      </c>
      <c r="X1513" s="33"/>
      <c r="Y1513" s="33"/>
    </row>
    <row r="1514" spans="1:25" x14ac:dyDescent="0.2">
      <c r="A1514" s="93" t="s">
        <v>658</v>
      </c>
      <c r="B1514" s="94" t="str">
        <f>IFERROR(VLOOKUP($A1514,HeadJournal!$A$1:$NTR$890,COLUMN(HeadJournal!B$1),0),"")</f>
        <v>710000746689</v>
      </c>
      <c r="C1514" s="94" t="str">
        <f>IFERROR(VLOOKUP($A1514,HeadJournal!$A$1:$NTR$890,COLUMN(HeadJournal!C$1),0),"")</f>
        <v>iHerb_VP DFD1605</v>
      </c>
      <c r="D1514" s="125" t="str">
        <f>IFERROR(VLOOKUP($A1514,HeadJournal!$A$1:$NTR$890,COLUMN(HeadJournal!D$1),0),"")</f>
        <v>Доставлен</v>
      </c>
      <c r="E1514" s="95">
        <f>IFERROR(VLOOKUP($A1514,HeadJournal!$A$1:$NTR$890,COLUMN(HeadJournal!G$1),0),"")</f>
        <v>45034</v>
      </c>
      <c r="F1514" s="95" t="str">
        <f t="shared" si="119"/>
        <v>2023 04</v>
      </c>
      <c r="G1514" s="96" t="s">
        <v>5</v>
      </c>
      <c r="H1514" s="161" t="s">
        <v>2843</v>
      </c>
      <c r="I1514" s="97" t="s">
        <v>2839</v>
      </c>
      <c r="J1514" s="97" t="s">
        <v>2844</v>
      </c>
      <c r="K1514" s="29">
        <v>17.87</v>
      </c>
      <c r="L1514" s="29">
        <v>0</v>
      </c>
      <c r="M1514" s="30">
        <f>IFERROR(VLOOKUP($A1514,HeadJournal!$A$1:$J$890,COLUMN(HeadJournal!I$1),0)*($K1514+$L1514)/(SUMIF($A:$A,$A1514,$K:$K)+SUMIF($A:$A,$A1514,$L:$L)),0)</f>
        <v>0.61113465823821012</v>
      </c>
      <c r="N1514" s="30">
        <f>IFERROR((VLOOKUP($A1514,HeadJournal!$A$1:$K$890,COLUMN(HeadJournal!K$1),0)-VLOOKUP($A1514,HeadJournal!$A$1:$K$890,COLUMN(HeadJournal!J$1),0))*($K1514+$L1514)/(SUMIF($A:$A,$A1514,$K:$K)+SUMIF($A:$A,$A1514,$L:$L)),0)</f>
        <v>4.6195456593871465E-15</v>
      </c>
      <c r="O1514" s="30">
        <f>IFERROR((VLOOKUP($A1514,HeadJournal!$A$1:$L$890,COLUMN(HeadJournal!L$1),0)*($K1514+$L1514)/(SUMIF($A:$A,$A1514,$K:$K)+SUMIF($A:$A,$A1514,$L:$L)))/VLOOKUP($A1514,HeadJournal!$A$1:$L$890,COLUMN(HeadJournal!H$1),0),0)</f>
        <v>1.0861168543329889</v>
      </c>
      <c r="P1514" s="30">
        <f>IFERROR(SUM(K1514:O1514)*VLOOKUP($A1514,HeadJournal!$A$1:$L$890,COLUMN(HeadJournal!H$1),0),0)</f>
        <v>1784.1735022056491</v>
      </c>
      <c r="Q1514" s="29">
        <v>2500</v>
      </c>
      <c r="R1514" s="31">
        <v>45083</v>
      </c>
      <c r="S1514" s="31" t="s">
        <v>3121</v>
      </c>
      <c r="T1514" s="95" t="str">
        <f t="shared" si="120"/>
        <v>2023 06</v>
      </c>
      <c r="U1514" s="32">
        <f t="shared" si="117"/>
        <v>715.82649779435087</v>
      </c>
      <c r="V1514" s="22">
        <f t="shared" si="118"/>
        <v>0.40120901745790111</v>
      </c>
      <c r="X1514" s="33"/>
      <c r="Y1514" s="33"/>
    </row>
    <row r="1515" spans="1:25" x14ac:dyDescent="0.2">
      <c r="A1515" s="93" t="s">
        <v>658</v>
      </c>
      <c r="B1515" s="94" t="str">
        <f>IFERROR(VLOOKUP($A1515,HeadJournal!$A$1:$NTR$890,COLUMN(HeadJournal!B$1),0),"")</f>
        <v>710000746689</v>
      </c>
      <c r="C1515" s="94" t="str">
        <f>IFERROR(VLOOKUP($A1515,HeadJournal!$A$1:$NTR$890,COLUMN(HeadJournal!C$1),0),"")</f>
        <v>iHerb_VP DFD1605</v>
      </c>
      <c r="D1515" s="125" t="str">
        <f>IFERROR(VLOOKUP($A1515,HeadJournal!$A$1:$NTR$890,COLUMN(HeadJournal!D$1),0),"")</f>
        <v>Доставлен</v>
      </c>
      <c r="E1515" s="95">
        <f>IFERROR(VLOOKUP($A1515,HeadJournal!$A$1:$NTR$890,COLUMN(HeadJournal!G$1),0),"")</f>
        <v>45034</v>
      </c>
      <c r="F1515" s="95" t="str">
        <f t="shared" si="119"/>
        <v>2023 04</v>
      </c>
      <c r="G1515" s="96" t="s">
        <v>5</v>
      </c>
      <c r="H1515" s="161" t="s">
        <v>4113</v>
      </c>
      <c r="I1515" s="97" t="s">
        <v>2102</v>
      </c>
      <c r="J1515" s="97" t="s">
        <v>4114</v>
      </c>
      <c r="K1515" s="29">
        <v>33.04</v>
      </c>
      <c r="L1515" s="29">
        <v>-4.96</v>
      </c>
      <c r="M1515" s="30">
        <f>IFERROR(VLOOKUP($A1515,HeadJournal!$A$1:$J$890,COLUMN(HeadJournal!I$1),0)*($K1515+$L1515)/(SUMIF($A:$A,$A1515,$K:$K)+SUMIF($A:$A,$A1515,$L:$L)),0)</f>
        <v>0.96030560734912929</v>
      </c>
      <c r="N1515" s="30">
        <f>IFERROR((VLOOKUP($A1515,HeadJournal!$A$1:$K$890,COLUMN(HeadJournal!K$1),0)-VLOOKUP($A1515,HeadJournal!$A$1:$K$890,COLUMN(HeadJournal!J$1),0))*($K1515+$L1515)/(SUMIF($A:$A,$A1515,$K:$K)+SUMIF($A:$A,$A1515,$L:$L)),0)</f>
        <v>7.2589167384214355E-15</v>
      </c>
      <c r="O1515" s="30">
        <f>IFERROR((VLOOKUP($A1515,HeadJournal!$A$1:$L$890,COLUMN(HeadJournal!L$1),0)*($K1515+$L1515)/(SUMIF($A:$A,$A1515,$K:$K)+SUMIF($A:$A,$A1515,$L:$L)))/VLOOKUP($A1515,HeadJournal!$A$1:$L$890,COLUMN(HeadJournal!H$1),0),0)</f>
        <v>1.7066682299759557</v>
      </c>
      <c r="P1515" s="30">
        <f>IFERROR(SUM(K1515:O1515)*VLOOKUP($A1515,HeadJournal!$A$1:$L$890,COLUMN(HeadJournal!H$1),0),0)</f>
        <v>2803.5585865660119</v>
      </c>
      <c r="Q1515" s="29">
        <v>4200</v>
      </c>
      <c r="R1515" s="31">
        <v>45221</v>
      </c>
      <c r="S1515" s="31" t="s">
        <v>3121</v>
      </c>
      <c r="T1515" s="95" t="str">
        <f t="shared" si="120"/>
        <v>2023 10</v>
      </c>
      <c r="U1515" s="32">
        <f t="shared" si="117"/>
        <v>1396.4414134339881</v>
      </c>
      <c r="V1515" s="22">
        <f t="shared" si="118"/>
        <v>0.49809603413511827</v>
      </c>
      <c r="X1515" s="33"/>
      <c r="Y1515" s="33"/>
    </row>
    <row r="1516" spans="1:25" x14ac:dyDescent="0.2">
      <c r="A1516" s="93" t="s">
        <v>658</v>
      </c>
      <c r="B1516" s="94" t="str">
        <f>IFERROR(VLOOKUP($A1516,HeadJournal!$A$1:$NTR$890,COLUMN(HeadJournal!B$1),0),"")</f>
        <v>710000746689</v>
      </c>
      <c r="C1516" s="94" t="str">
        <f>IFERROR(VLOOKUP($A1516,HeadJournal!$A$1:$NTR$890,COLUMN(HeadJournal!C$1),0),"")</f>
        <v>iHerb_VP DFD1605</v>
      </c>
      <c r="D1516" s="125" t="str">
        <f>IFERROR(VLOOKUP($A1516,HeadJournal!$A$1:$NTR$890,COLUMN(HeadJournal!D$1),0),"")</f>
        <v>Доставлен</v>
      </c>
      <c r="E1516" s="95">
        <f>IFERROR(VLOOKUP($A1516,HeadJournal!$A$1:$NTR$890,COLUMN(HeadJournal!G$1),0),"")</f>
        <v>45034</v>
      </c>
      <c r="F1516" s="95" t="str">
        <f t="shared" si="119"/>
        <v>2023 04</v>
      </c>
      <c r="G1516" s="96" t="s">
        <v>5</v>
      </c>
      <c r="H1516" s="175" t="s">
        <v>3643</v>
      </c>
      <c r="I1516" s="176" t="s">
        <v>2102</v>
      </c>
      <c r="J1516" s="97" t="s">
        <v>3693</v>
      </c>
      <c r="K1516" s="29">
        <v>14.73</v>
      </c>
      <c r="L1516" s="29">
        <v>-2.21</v>
      </c>
      <c r="M1516" s="30">
        <f>IFERROR(VLOOKUP($A1516,HeadJournal!$A$1:$J$890,COLUMN(HeadJournal!I$1),0)*($K1516+$L1516)/(SUMIF($A:$A,$A1516,$K:$K)+SUMIF($A:$A,$A1516,$L:$L)),0)</f>
        <v>0.42817044886079414</v>
      </c>
      <c r="N1516" s="30">
        <f>IFERROR((VLOOKUP($A1516,HeadJournal!$A$1:$K$890,COLUMN(HeadJournal!K$1),0)-VLOOKUP($A1516,HeadJournal!$A$1:$K$890,COLUMN(HeadJournal!J$1),0))*($K1516+$L1516)/(SUMIF($A:$A,$A1516,$K:$K)+SUMIF($A:$A,$A1516,$L:$L)),0)</f>
        <v>3.2365255543104123E-15</v>
      </c>
      <c r="O1516" s="30">
        <f>IFERROR((VLOOKUP($A1516,HeadJournal!$A$1:$L$890,COLUMN(HeadJournal!L$1),0)*($K1516+$L1516)/(SUMIF($A:$A,$A1516,$K:$K)+SUMIF($A:$A,$A1516,$L:$L)))/VLOOKUP($A1516,HeadJournal!$A$1:$L$890,COLUMN(HeadJournal!H$1),0),0)</f>
        <v>0.76095036464739918</v>
      </c>
      <c r="P1516" s="30">
        <f>IFERROR(SUM(K1516:O1516)*VLOOKUP($A1516,HeadJournal!$A$1:$L$890,COLUMN(HeadJournal!H$1),0),0)</f>
        <v>1250.0197116740194</v>
      </c>
      <c r="Q1516" s="29">
        <v>2200</v>
      </c>
      <c r="R1516" s="31">
        <v>45086</v>
      </c>
      <c r="S1516" s="31" t="s">
        <v>3121</v>
      </c>
      <c r="T1516" s="95" t="str">
        <f t="shared" si="120"/>
        <v>2023 06</v>
      </c>
      <c r="U1516" s="32">
        <f t="shared" si="117"/>
        <v>949.98028832598061</v>
      </c>
      <c r="V1516" s="22">
        <f t="shared" si="118"/>
        <v>0.75997224640063665</v>
      </c>
      <c r="X1516" s="33"/>
      <c r="Y1516" s="33"/>
    </row>
    <row r="1517" spans="1:25" x14ac:dyDescent="0.2">
      <c r="A1517" s="93" t="s">
        <v>658</v>
      </c>
      <c r="B1517" s="94" t="str">
        <f>IFERROR(VLOOKUP($A1517,HeadJournal!$A$1:$NTR$890,COLUMN(HeadJournal!B$1),0),"")</f>
        <v>710000746689</v>
      </c>
      <c r="C1517" s="94" t="str">
        <f>IFERROR(VLOOKUP($A1517,HeadJournal!$A$1:$NTR$890,COLUMN(HeadJournal!C$1),0),"")</f>
        <v>iHerb_VP DFD1605</v>
      </c>
      <c r="D1517" s="125" t="str">
        <f>IFERROR(VLOOKUP($A1517,HeadJournal!$A$1:$NTR$890,COLUMN(HeadJournal!D$1),0),"")</f>
        <v>Доставлен</v>
      </c>
      <c r="E1517" s="95">
        <f>IFERROR(VLOOKUP($A1517,HeadJournal!$A$1:$NTR$890,COLUMN(HeadJournal!G$1),0),"")</f>
        <v>45034</v>
      </c>
      <c r="F1517" s="95" t="str">
        <f t="shared" si="119"/>
        <v>2023 04</v>
      </c>
      <c r="G1517" s="96" t="s">
        <v>5</v>
      </c>
      <c r="H1517" s="175" t="s">
        <v>3643</v>
      </c>
      <c r="I1517" s="176" t="s">
        <v>2102</v>
      </c>
      <c r="J1517" s="97" t="s">
        <v>3693</v>
      </c>
      <c r="K1517" s="29">
        <v>14.73</v>
      </c>
      <c r="L1517" s="29">
        <v>-2.21</v>
      </c>
      <c r="M1517" s="30">
        <f>IFERROR(VLOOKUP($A1517,HeadJournal!$A$1:$J$890,COLUMN(HeadJournal!I$1),0)*($K1517+$L1517)/(SUMIF($A:$A,$A1517,$K:$K)+SUMIF($A:$A,$A1517,$L:$L)),0)</f>
        <v>0.42817044886079414</v>
      </c>
      <c r="N1517" s="30">
        <f>IFERROR((VLOOKUP($A1517,HeadJournal!$A$1:$K$890,COLUMN(HeadJournal!K$1),0)-VLOOKUP($A1517,HeadJournal!$A$1:$K$890,COLUMN(HeadJournal!J$1),0))*($K1517+$L1517)/(SUMIF($A:$A,$A1517,$K:$K)+SUMIF($A:$A,$A1517,$L:$L)),0)</f>
        <v>3.2365255543104123E-15</v>
      </c>
      <c r="O1517" s="30">
        <f>IFERROR((VLOOKUP($A1517,HeadJournal!$A$1:$L$890,COLUMN(HeadJournal!L$1),0)*($K1517+$L1517)/(SUMIF($A:$A,$A1517,$K:$K)+SUMIF($A:$A,$A1517,$L:$L)))/VLOOKUP($A1517,HeadJournal!$A$1:$L$890,COLUMN(HeadJournal!H$1),0),0)</f>
        <v>0.76095036464739918</v>
      </c>
      <c r="P1517" s="30">
        <f>IFERROR(SUM(K1517:O1517)*VLOOKUP($A1517,HeadJournal!$A$1:$L$890,COLUMN(HeadJournal!H$1),0),0)</f>
        <v>1250.0197116740194</v>
      </c>
      <c r="Q1517" s="29">
        <v>2200</v>
      </c>
      <c r="R1517" s="31">
        <v>45115</v>
      </c>
      <c r="S1517" s="31" t="s">
        <v>3121</v>
      </c>
      <c r="T1517" s="95" t="str">
        <f t="shared" si="120"/>
        <v>2023 07</v>
      </c>
      <c r="U1517" s="32">
        <f t="shared" si="117"/>
        <v>949.98028832598061</v>
      </c>
      <c r="V1517" s="22">
        <f t="shared" si="118"/>
        <v>0.75997224640063665</v>
      </c>
      <c r="X1517" s="33"/>
      <c r="Y1517" s="33"/>
    </row>
    <row r="1518" spans="1:25" x14ac:dyDescent="0.2">
      <c r="A1518" s="93" t="s">
        <v>658</v>
      </c>
      <c r="B1518" s="94" t="str">
        <f>IFERROR(VLOOKUP($A1518,HeadJournal!$A$1:$NTR$890,COLUMN(HeadJournal!B$1),0),"")</f>
        <v>710000746689</v>
      </c>
      <c r="C1518" s="94" t="str">
        <f>IFERROR(VLOOKUP($A1518,HeadJournal!$A$1:$NTR$890,COLUMN(HeadJournal!C$1),0),"")</f>
        <v>iHerb_VP DFD1605</v>
      </c>
      <c r="D1518" s="125" t="str">
        <f>IFERROR(VLOOKUP($A1518,HeadJournal!$A$1:$NTR$890,COLUMN(HeadJournal!D$1),0),"")</f>
        <v>Доставлен</v>
      </c>
      <c r="E1518" s="95">
        <f>IFERROR(VLOOKUP($A1518,HeadJournal!$A$1:$NTR$890,COLUMN(HeadJournal!G$1),0),"")</f>
        <v>45034</v>
      </c>
      <c r="F1518" s="95" t="str">
        <f t="shared" si="119"/>
        <v>2023 04</v>
      </c>
      <c r="G1518" s="96" t="s">
        <v>5</v>
      </c>
      <c r="H1518" s="160" t="str">
        <f>RIGHT(Journal!$J1518,9)</f>
        <v>NFS-04955</v>
      </c>
      <c r="I1518" s="96" t="str">
        <f t="shared" si="121"/>
        <v>Natural Factors</v>
      </c>
      <c r="J1518" s="97" t="s">
        <v>660</v>
      </c>
      <c r="K1518" s="29">
        <v>19.5</v>
      </c>
      <c r="L1518" s="29">
        <v>-2.93</v>
      </c>
      <c r="M1518" s="30">
        <f>IFERROR(VLOOKUP($A1518,HeadJournal!$A$1:$J$890,COLUMN(HeadJournal!I$1),0)*($K1518+$L1518)/(SUMIF($A:$A,$A1518,$K:$K)+SUMIF($A:$A,$A1518,$L:$L)),0)</f>
        <v>0.56667606530538006</v>
      </c>
      <c r="N1518" s="30">
        <f>IFERROR((VLOOKUP($A1518,HeadJournal!$A$1:$K$890,COLUMN(HeadJournal!K$1),0)-VLOOKUP($A1518,HeadJournal!$A$1:$K$890,COLUMN(HeadJournal!J$1),0))*($K1518+$L1518)/(SUMIF($A:$A,$A1518,$K:$K)+SUMIF($A:$A,$A1518,$L:$L)),0)</f>
        <v>4.283484699275043E-15</v>
      </c>
      <c r="O1518" s="30">
        <f>IFERROR((VLOOKUP($A1518,HeadJournal!$A$1:$L$890,COLUMN(HeadJournal!L$1),0)*($K1518+$L1518)/(SUMIF($A:$A,$A1518,$K:$K)+SUMIF($A:$A,$A1518,$L:$L)))/VLOOKUP($A1518,HeadJournal!$A$1:$L$890,COLUMN(HeadJournal!H$1),0),0)</f>
        <v>1.0071044362785466</v>
      </c>
      <c r="P1518" s="30">
        <f>IFERROR(SUM(K1518:O1518)*VLOOKUP($A1518,HeadJournal!$A$1:$L$890,COLUMN(HeadJournal!H$1),0),0)</f>
        <v>1654.3791231979633</v>
      </c>
      <c r="Q1518" s="29">
        <v>2600</v>
      </c>
      <c r="R1518" s="31">
        <v>45153</v>
      </c>
      <c r="S1518" s="31" t="s">
        <v>3121</v>
      </c>
      <c r="T1518" s="95" t="str">
        <f t="shared" si="120"/>
        <v>2023 08</v>
      </c>
      <c r="U1518" s="32">
        <f t="shared" si="117"/>
        <v>945.62087680203672</v>
      </c>
      <c r="V1518" s="22">
        <f t="shared" si="118"/>
        <v>0.57158656292405574</v>
      </c>
      <c r="X1518" s="33"/>
      <c r="Y1518" s="33"/>
    </row>
    <row r="1519" spans="1:25" x14ac:dyDescent="0.2">
      <c r="A1519" s="93" t="s">
        <v>658</v>
      </c>
      <c r="B1519" s="94" t="str">
        <f>IFERROR(VLOOKUP($A1519,HeadJournal!$A$1:$NTR$890,COLUMN(HeadJournal!B$1),0),"")</f>
        <v>710000746689</v>
      </c>
      <c r="C1519" s="94" t="str">
        <f>IFERROR(VLOOKUP($A1519,HeadJournal!$A$1:$NTR$890,COLUMN(HeadJournal!C$1),0),"")</f>
        <v>iHerb_VP DFD1605</v>
      </c>
      <c r="D1519" s="125" t="str">
        <f>IFERROR(VLOOKUP($A1519,HeadJournal!$A$1:$NTR$890,COLUMN(HeadJournal!D$1),0),"")</f>
        <v>Доставлен</v>
      </c>
      <c r="E1519" s="95">
        <f>IFERROR(VLOOKUP($A1519,HeadJournal!$A$1:$NTR$890,COLUMN(HeadJournal!G$1),0),"")</f>
        <v>45034</v>
      </c>
      <c r="F1519" s="95" t="str">
        <f t="shared" si="119"/>
        <v>2023 04</v>
      </c>
      <c r="G1519" s="96" t="s">
        <v>5</v>
      </c>
      <c r="H1519" s="160" t="str">
        <f>RIGHT(Journal!$J1519,9)</f>
        <v>NFS-04993</v>
      </c>
      <c r="I1519" s="96" t="str">
        <f t="shared" si="121"/>
        <v>Natural Factors</v>
      </c>
      <c r="J1519" s="97" t="s">
        <v>661</v>
      </c>
      <c r="K1519" s="29">
        <v>21.29</v>
      </c>
      <c r="L1519" s="29">
        <v>-3.19</v>
      </c>
      <c r="M1519" s="30">
        <f>IFERROR(VLOOKUP($A1519,HeadJournal!$A$1:$J$890,COLUMN(HeadJournal!I$1),0)*($K1519+$L1519)/(SUMIF($A:$A,$A1519,$K:$K)+SUMIF($A:$A,$A1519,$L:$L)),0)</f>
        <v>0.61900040929555689</v>
      </c>
      <c r="N1519" s="30">
        <f>IFERROR((VLOOKUP($A1519,HeadJournal!$A$1:$K$890,COLUMN(HeadJournal!K$1),0)-VLOOKUP($A1519,HeadJournal!$A$1:$K$890,COLUMN(HeadJournal!J$1),0))*($K1519+$L1519)/(SUMIF($A:$A,$A1519,$K:$K)+SUMIF($A:$A,$A1519,$L:$L)),0)</f>
        <v>4.6790025984839025E-15</v>
      </c>
      <c r="O1519" s="30">
        <f>IFERROR((VLOOKUP($A1519,HeadJournal!$A$1:$L$890,COLUMN(HeadJournal!L$1),0)*($K1519+$L1519)/(SUMIF($A:$A,$A1519,$K:$K)+SUMIF($A:$A,$A1519,$L:$L)))/VLOOKUP($A1519,HeadJournal!$A$1:$L$890,COLUMN(HeadJournal!H$1),0),0)</f>
        <v>1.1000959744503132</v>
      </c>
      <c r="P1519" s="30">
        <f>IFERROR(SUM(K1519:O1519)*VLOOKUP($A1519,HeadJournal!$A$1:$L$890,COLUMN(HeadJournal!H$1),0),0)</f>
        <v>1807.1371231070084</v>
      </c>
      <c r="Q1519" s="29">
        <v>2900</v>
      </c>
      <c r="R1519" s="31">
        <v>45176</v>
      </c>
      <c r="S1519" s="31" t="s">
        <v>3121</v>
      </c>
      <c r="T1519" s="95" t="str">
        <f t="shared" si="120"/>
        <v>2023 09</v>
      </c>
      <c r="U1519" s="32">
        <f t="shared" si="117"/>
        <v>1092.8628768929916</v>
      </c>
      <c r="V1519" s="22">
        <f t="shared" si="118"/>
        <v>0.60474817484465926</v>
      </c>
      <c r="X1519" s="33"/>
      <c r="Y1519" s="33"/>
    </row>
    <row r="1520" spans="1:25" x14ac:dyDescent="0.2">
      <c r="A1520" s="93" t="s">
        <v>658</v>
      </c>
      <c r="B1520" s="94" t="str">
        <f>IFERROR(VLOOKUP($A1520,HeadJournal!$A$1:$NTR$890,COLUMN(HeadJournal!B$1),0),"")</f>
        <v>710000746689</v>
      </c>
      <c r="C1520" s="94" t="str">
        <f>IFERROR(VLOOKUP($A1520,HeadJournal!$A$1:$NTR$890,COLUMN(HeadJournal!C$1),0),"")</f>
        <v>iHerb_VP DFD1605</v>
      </c>
      <c r="D1520" s="125" t="str">
        <f>IFERROR(VLOOKUP($A1520,HeadJournal!$A$1:$NTR$890,COLUMN(HeadJournal!D$1),0),"")</f>
        <v>Доставлен</v>
      </c>
      <c r="E1520" s="95">
        <f>IFERROR(VLOOKUP($A1520,HeadJournal!$A$1:$NTR$890,COLUMN(HeadJournal!G$1),0),"")</f>
        <v>45034</v>
      </c>
      <c r="F1520" s="95" t="str">
        <f t="shared" si="119"/>
        <v>2023 04</v>
      </c>
      <c r="G1520" s="96" t="s">
        <v>5</v>
      </c>
      <c r="H1520" s="160" t="str">
        <f>RIGHT(Journal!$J1520,9)</f>
        <v>SRE-01347</v>
      </c>
      <c r="I1520" s="96" t="str">
        <f t="shared" si="121"/>
        <v>Sports Research</v>
      </c>
      <c r="J1520" s="97" t="s">
        <v>662</v>
      </c>
      <c r="K1520" s="29">
        <v>28.2</v>
      </c>
      <c r="L1520" s="29">
        <v>-16.21</v>
      </c>
      <c r="M1520" s="30">
        <f>IFERROR(VLOOKUP($A1520,HeadJournal!$A$1:$J$890,COLUMN(HeadJournal!I$1),0)*($K1520+$L1520)/(SUMIF($A:$A,$A1520,$K:$K)+SUMIF($A:$A,$A1520,$L:$L)),0)</f>
        <v>0.41004502251125569</v>
      </c>
      <c r="N1520" s="30">
        <f>IFERROR((VLOOKUP($A1520,HeadJournal!$A$1:$K$890,COLUMN(HeadJournal!K$1),0)-VLOOKUP($A1520,HeadJournal!$A$1:$K$890,COLUMN(HeadJournal!J$1),0))*($K1520+$L1520)/(SUMIF($A:$A,$A1520,$K:$K)+SUMIF($A:$A,$A1520,$L:$L)),0)</f>
        <v>3.0995160859570159E-15</v>
      </c>
      <c r="O1520" s="30">
        <f>IFERROR((VLOOKUP($A1520,HeadJournal!$A$1:$L$890,COLUMN(HeadJournal!L$1),0)*($K1520+$L1520)/(SUMIF($A:$A,$A1520,$K:$K)+SUMIF($A:$A,$A1520,$L:$L)))/VLOOKUP($A1520,HeadJournal!$A$1:$L$890,COLUMN(HeadJournal!H$1),0),0)</f>
        <v>0.72873760959443401</v>
      </c>
      <c r="P1520" s="30">
        <f>IFERROR(SUM(K1520:O1520)*VLOOKUP($A1520,HeadJournal!$A$1:$L$890,COLUMN(HeadJournal!H$1),0),0)</f>
        <v>1197.1035417708858</v>
      </c>
      <c r="Q1520" s="29">
        <v>1197.0999999999999</v>
      </c>
      <c r="R1520" s="31">
        <v>45117</v>
      </c>
      <c r="S1520" s="31" t="s">
        <v>3121</v>
      </c>
      <c r="T1520" s="95" t="str">
        <f t="shared" si="120"/>
        <v>2023 07</v>
      </c>
      <c r="U1520" s="32">
        <f t="shared" si="117"/>
        <v>-3.5417708859313279E-3</v>
      </c>
      <c r="V1520" s="22">
        <f t="shared" si="118"/>
        <v>-2.958616997066064E-6</v>
      </c>
      <c r="X1520" s="33"/>
      <c r="Y1520" s="33"/>
    </row>
    <row r="1521" spans="1:25" x14ac:dyDescent="0.2">
      <c r="A1521" s="93" t="s">
        <v>658</v>
      </c>
      <c r="B1521" s="94" t="str">
        <f>IFERROR(VLOOKUP($A1521,HeadJournal!$A$1:$NTR$890,COLUMN(HeadJournal!B$1),0),"")</f>
        <v>710000746689</v>
      </c>
      <c r="C1521" s="94" t="str">
        <f>IFERROR(VLOOKUP($A1521,HeadJournal!$A$1:$NTR$890,COLUMN(HeadJournal!C$1),0),"")</f>
        <v>iHerb_VP DFD1605</v>
      </c>
      <c r="D1521" s="125" t="str">
        <f>IFERROR(VLOOKUP($A1521,HeadJournal!$A$1:$NTR$890,COLUMN(HeadJournal!D$1),0),"")</f>
        <v>Доставлен</v>
      </c>
      <c r="E1521" s="95">
        <f>IFERROR(VLOOKUP($A1521,HeadJournal!$A$1:$NTR$890,COLUMN(HeadJournal!G$1),0),"")</f>
        <v>45034</v>
      </c>
      <c r="F1521" s="95" t="str">
        <f t="shared" si="119"/>
        <v>2023 04</v>
      </c>
      <c r="G1521" s="96" t="s">
        <v>5</v>
      </c>
      <c r="H1521" s="161" t="s">
        <v>2838</v>
      </c>
      <c r="I1521" s="97" t="s">
        <v>2839</v>
      </c>
      <c r="J1521" s="97" t="s">
        <v>2840</v>
      </c>
      <c r="K1521" s="29">
        <v>26.73</v>
      </c>
      <c r="L1521" s="29">
        <v>0</v>
      </c>
      <c r="M1521" s="30">
        <f>IFERROR(VLOOKUP($A1521,HeadJournal!$A$1:$J$890,COLUMN(HeadJournal!I$1),0)*($K1521+$L1521)/(SUMIF($A:$A,$A1521,$K:$K)+SUMIF($A:$A,$A1521,$L:$L)),0)</f>
        <v>0.91413706853426735</v>
      </c>
      <c r="N1521" s="30">
        <f>IFERROR((VLOOKUP($A1521,HeadJournal!$A$1:$K$890,COLUMN(HeadJournal!K$1),0)-VLOOKUP($A1521,HeadJournal!$A$1:$K$890,COLUMN(HeadJournal!J$1),0))*($K1521+$L1521)/(SUMIF($A:$A,$A1521,$K:$K)+SUMIF($A:$A,$A1521,$L:$L)),0)</f>
        <v>6.9099303567665591E-15</v>
      </c>
      <c r="O1521" s="30">
        <f>IFERROR((VLOOKUP($A1521,HeadJournal!$A$1:$L$890,COLUMN(HeadJournal!L$1),0)*($K1521+$L1521)/(SUMIF($A:$A,$A1521,$K:$K)+SUMIF($A:$A,$A1521,$L:$L)))/VLOOKUP($A1521,HeadJournal!$A$1:$L$890,COLUMN(HeadJournal!H$1),0),0)</f>
        <v>1.6246168727655734</v>
      </c>
      <c r="P1521" s="30">
        <f>IFERROR(SUM(K1521:O1521)*VLOOKUP($A1521,HeadJournal!$A$1:$L$890,COLUMN(HeadJournal!H$1),0),0)</f>
        <v>2668.7721160580304</v>
      </c>
      <c r="Q1521" s="29">
        <v>3400</v>
      </c>
      <c r="R1521" s="31">
        <v>45083</v>
      </c>
      <c r="S1521" s="31" t="s">
        <v>3121</v>
      </c>
      <c r="T1521" s="95" t="str">
        <f t="shared" si="120"/>
        <v>2023 06</v>
      </c>
      <c r="U1521" s="32">
        <f t="shared" si="117"/>
        <v>731.22788394196959</v>
      </c>
      <c r="V1521" s="22">
        <f t="shared" si="118"/>
        <v>0.27399412619090391</v>
      </c>
      <c r="X1521" s="33"/>
      <c r="Y1521" s="33"/>
    </row>
    <row r="1522" spans="1:25" x14ac:dyDescent="0.2">
      <c r="A1522" s="93" t="s">
        <v>658</v>
      </c>
      <c r="B1522" s="94" t="str">
        <f>IFERROR(VLOOKUP($A1522,HeadJournal!$A$1:$NTR$890,COLUMN(HeadJournal!B$1),0),"")</f>
        <v>710000746689</v>
      </c>
      <c r="C1522" s="94" t="str">
        <f>IFERROR(VLOOKUP($A1522,HeadJournal!$A$1:$NTR$890,COLUMN(HeadJournal!C$1),0),"")</f>
        <v>iHerb_VP DFD1605</v>
      </c>
      <c r="D1522" s="125" t="str">
        <f>IFERROR(VLOOKUP($A1522,HeadJournal!$A$1:$NTR$890,COLUMN(HeadJournal!D$1),0),"")</f>
        <v>Доставлен</v>
      </c>
      <c r="E1522" s="95">
        <f>IFERROR(VLOOKUP($A1522,HeadJournal!$A$1:$NTR$890,COLUMN(HeadJournal!G$1),0),"")</f>
        <v>45034</v>
      </c>
      <c r="F1522" s="95" t="str">
        <f t="shared" si="119"/>
        <v>2023 04</v>
      </c>
      <c r="G1522" s="96" t="s">
        <v>5</v>
      </c>
      <c r="H1522" s="161" t="s">
        <v>2546</v>
      </c>
      <c r="I1522" s="97" t="s">
        <v>2039</v>
      </c>
      <c r="J1522" s="97" t="s">
        <v>2547</v>
      </c>
      <c r="K1522" s="29">
        <v>10.54</v>
      </c>
      <c r="L1522" s="29">
        <v>-1.05</v>
      </c>
      <c r="M1522" s="30">
        <f>IFERROR(VLOOKUP($A1522,HeadJournal!$A$1:$J$890,COLUMN(HeadJournal!I$1),0)*($K1522+$L1522)/(SUMIF($A:$A,$A1522,$K:$K)+SUMIF($A:$A,$A1522,$L:$L)),0)</f>
        <v>0.32454772840965945</v>
      </c>
      <c r="N1522" s="30">
        <f>IFERROR((VLOOKUP($A1522,HeadJournal!$A$1:$K$890,COLUMN(HeadJournal!K$1),0)-VLOOKUP($A1522,HeadJournal!$A$1:$K$890,COLUMN(HeadJournal!J$1),0))*($K1522+$L1522)/(SUMIF($A:$A,$A1522,$K:$K)+SUMIF($A:$A,$A1522,$L:$L)),0)</f>
        <v>2.4532450088183553E-15</v>
      </c>
      <c r="O1522" s="30">
        <f>IFERROR((VLOOKUP($A1522,HeadJournal!$A$1:$L$890,COLUMN(HeadJournal!L$1),0)*($K1522+$L1522)/(SUMIF($A:$A,$A1522,$K:$K)+SUMIF($A:$A,$A1522,$L:$L)))/VLOOKUP($A1522,HeadJournal!$A$1:$L$890,COLUMN(HeadJournal!H$1),0),0)</f>
        <v>0.57679065179742939</v>
      </c>
      <c r="P1522" s="30">
        <f>IFERROR(SUM(K1522:O1522)*VLOOKUP($A1522,HeadJournal!$A$1:$L$890,COLUMN(HeadJournal!H$1),0),0)</f>
        <v>947.49896675610557</v>
      </c>
      <c r="Q1522" s="29">
        <v>1500</v>
      </c>
      <c r="R1522" s="31">
        <v>45096</v>
      </c>
      <c r="S1522" s="31" t="s">
        <v>3121</v>
      </c>
      <c r="T1522" s="95" t="str">
        <f t="shared" si="120"/>
        <v>2023 06</v>
      </c>
      <c r="U1522" s="32">
        <f t="shared" si="117"/>
        <v>552.50103324389443</v>
      </c>
      <c r="V1522" s="22">
        <f t="shared" si="118"/>
        <v>0.58311518284337394</v>
      </c>
      <c r="X1522" s="33"/>
      <c r="Y1522" s="33"/>
    </row>
    <row r="1523" spans="1:25" x14ac:dyDescent="0.2">
      <c r="A1523" s="93" t="s">
        <v>658</v>
      </c>
      <c r="B1523" s="94" t="str">
        <f>IFERROR(VLOOKUP($A1523,HeadJournal!$A$1:$NTR$890,COLUMN(HeadJournal!B$1),0),"")</f>
        <v>710000746689</v>
      </c>
      <c r="C1523" s="94" t="str">
        <f>IFERROR(VLOOKUP($A1523,HeadJournal!$A$1:$NTR$890,COLUMN(HeadJournal!C$1),0),"")</f>
        <v>iHerb_VP DFD1605</v>
      </c>
      <c r="D1523" s="125" t="str">
        <f>IFERROR(VLOOKUP($A1523,HeadJournal!$A$1:$NTR$890,COLUMN(HeadJournal!D$1),0),"")</f>
        <v>Доставлен</v>
      </c>
      <c r="E1523" s="95">
        <f>IFERROR(VLOOKUP($A1523,HeadJournal!$A$1:$NTR$890,COLUMN(HeadJournal!G$1),0),"")</f>
        <v>45034</v>
      </c>
      <c r="F1523" s="95" t="str">
        <f t="shared" si="119"/>
        <v>2023 04</v>
      </c>
      <c r="G1523" s="96" t="s">
        <v>5</v>
      </c>
      <c r="H1523" s="160" t="str">
        <f>RIGHT(Journal!$J1523,9)</f>
        <v>NFS-01121</v>
      </c>
      <c r="I1523" s="96" t="str">
        <f t="shared" si="121"/>
        <v>Natural Factors</v>
      </c>
      <c r="J1523" s="97" t="s">
        <v>663</v>
      </c>
      <c r="K1523" s="29">
        <v>7.95</v>
      </c>
      <c r="L1523" s="29">
        <v>-1.19</v>
      </c>
      <c r="M1523" s="30">
        <f>IFERROR(VLOOKUP($A1523,HeadJournal!$A$1:$J$890,COLUMN(HeadJournal!I$1),0)*($K1523+$L1523)/(SUMIF($A:$A,$A1523,$K:$K)+SUMIF($A:$A,$A1523,$L:$L)),0)</f>
        <v>0.23118468325071631</v>
      </c>
      <c r="N1523" s="30">
        <f>IFERROR((VLOOKUP($A1523,HeadJournal!$A$1:$K$890,COLUMN(HeadJournal!K$1),0)-VLOOKUP($A1523,HeadJournal!$A$1:$K$890,COLUMN(HeadJournal!J$1),0))*($K1523+$L1523)/(SUMIF($A:$A,$A1523,$K:$K)+SUMIF($A:$A,$A1523,$L:$L)),0)</f>
        <v>1.7475169925829383E-15</v>
      </c>
      <c r="O1523" s="30">
        <f>IFERROR((VLOOKUP($A1523,HeadJournal!$A$1:$L$890,COLUMN(HeadJournal!L$1),0)*($K1523+$L1523)/(SUMIF($A:$A,$A1523,$K:$K)+SUMIF($A:$A,$A1523,$L:$L)))/VLOOKUP($A1523,HeadJournal!$A$1:$L$890,COLUMN(HeadJournal!H$1),0),0)</f>
        <v>0.41086457388310049</v>
      </c>
      <c r="P1523" s="30">
        <f>IFERROR(SUM(K1523:O1523)*VLOOKUP($A1523,HeadJournal!$A$1:$L$890,COLUMN(HeadJournal!H$1),0),0)</f>
        <v>674.9307708399657</v>
      </c>
      <c r="Q1523" s="29">
        <v>1500</v>
      </c>
      <c r="R1523" s="31">
        <v>45102</v>
      </c>
      <c r="S1523" s="31" t="s">
        <v>3121</v>
      </c>
      <c r="T1523" s="95" t="str">
        <f t="shared" si="120"/>
        <v>2023 06</v>
      </c>
      <c r="U1523" s="32">
        <f t="shared" si="117"/>
        <v>825.0692291600343</v>
      </c>
      <c r="V1523" s="22">
        <f t="shared" si="118"/>
        <v>1.2224501605301208</v>
      </c>
      <c r="X1523" s="33"/>
      <c r="Y1523" s="33"/>
    </row>
    <row r="1524" spans="1:25" x14ac:dyDescent="0.2">
      <c r="A1524" s="93" t="s">
        <v>658</v>
      </c>
      <c r="B1524" s="94" t="str">
        <f>IFERROR(VLOOKUP($A1524,HeadJournal!$A$1:$NTR$890,COLUMN(HeadJournal!B$1),0),"")</f>
        <v>710000746689</v>
      </c>
      <c r="C1524" s="94" t="str">
        <f>IFERROR(VLOOKUP($A1524,HeadJournal!$A$1:$NTR$890,COLUMN(HeadJournal!C$1),0),"")</f>
        <v>iHerb_VP DFD1605</v>
      </c>
      <c r="D1524" s="125" t="str">
        <f>IFERROR(VLOOKUP($A1524,HeadJournal!$A$1:$NTR$890,COLUMN(HeadJournal!D$1),0),"")</f>
        <v>Доставлен</v>
      </c>
      <c r="E1524" s="95">
        <f>IFERROR(VLOOKUP($A1524,HeadJournal!$A$1:$NTR$890,COLUMN(HeadJournal!G$1),0),"")</f>
        <v>45034</v>
      </c>
      <c r="F1524" s="95" t="str">
        <f t="shared" si="119"/>
        <v>2023 04</v>
      </c>
      <c r="G1524" s="96" t="s">
        <v>5</v>
      </c>
      <c r="H1524" s="160" t="str">
        <f>RIGHT(Journal!$J1524,9)</f>
        <v>CGN-01101</v>
      </c>
      <c r="I1524" s="96" t="str">
        <f t="shared" si="121"/>
        <v>California Gold Nutrition</v>
      </c>
      <c r="J1524" s="97" t="s">
        <v>664</v>
      </c>
      <c r="K1524" s="29">
        <v>23</v>
      </c>
      <c r="L1524" s="29">
        <v>-13.8</v>
      </c>
      <c r="M1524" s="30">
        <f>IFERROR(VLOOKUP($A1524,HeadJournal!$A$1:$J$890,COLUMN(HeadJournal!I$1),0)*($K1524+$L1524)/(SUMIF($A:$A,$A1524,$K:$K)+SUMIF($A:$A,$A1524,$L:$L)),0)</f>
        <v>0.31463004229387431</v>
      </c>
      <c r="N1524" s="30">
        <f>IFERROR((VLOOKUP($A1524,HeadJournal!$A$1:$K$890,COLUMN(HeadJournal!K$1),0)-VLOOKUP($A1524,HeadJournal!$A$1:$K$890,COLUMN(HeadJournal!J$1),0))*($K1524+$L1524)/(SUMIF($A:$A,$A1524,$K:$K)+SUMIF($A:$A,$A1524,$L:$L)),0)</f>
        <v>2.3782775638702708E-15</v>
      </c>
      <c r="O1524" s="30">
        <f>IFERROR((VLOOKUP($A1524,HeadJournal!$A$1:$L$890,COLUMN(HeadJournal!L$1),0)*($K1524+$L1524)/(SUMIF($A:$A,$A1524,$K:$K)+SUMIF($A:$A,$A1524,$L:$L)))/VLOOKUP($A1524,HeadJournal!$A$1:$L$890,COLUMN(HeadJournal!H$1),0),0)</f>
        <v>0.55916480469297691</v>
      </c>
      <c r="P1524" s="30">
        <f>IFERROR(SUM(K1524:O1524)*VLOOKUP($A1524,HeadJournal!$A$1:$L$890,COLUMN(HeadJournal!H$1),0),0)</f>
        <v>918.54483605439111</v>
      </c>
      <c r="Q1524" s="29">
        <v>918.54</v>
      </c>
      <c r="R1524" s="31">
        <v>45035</v>
      </c>
      <c r="S1524" s="31" t="s">
        <v>3121</v>
      </c>
      <c r="T1524" s="95" t="str">
        <f t="shared" si="120"/>
        <v>2023 04</v>
      </c>
      <c r="U1524" s="32">
        <f t="shared" si="117"/>
        <v>-4.8360543911485365E-3</v>
      </c>
      <c r="V1524" s="22">
        <f t="shared" si="118"/>
        <v>-5.264908365194023E-6</v>
      </c>
      <c r="X1524" s="33"/>
      <c r="Y1524" s="33"/>
    </row>
    <row r="1525" spans="1:25" x14ac:dyDescent="0.2">
      <c r="A1525" s="93" t="s">
        <v>658</v>
      </c>
      <c r="B1525" s="94" t="str">
        <f>IFERROR(VLOOKUP($A1525,HeadJournal!$A$1:$NTR$890,COLUMN(HeadJournal!B$1),0),"")</f>
        <v>710000746689</v>
      </c>
      <c r="C1525" s="94" t="str">
        <f>IFERROR(VLOOKUP($A1525,HeadJournal!$A$1:$NTR$890,COLUMN(HeadJournal!C$1),0),"")</f>
        <v>iHerb_VP DFD1605</v>
      </c>
      <c r="D1525" s="125" t="str">
        <f>IFERROR(VLOOKUP($A1525,HeadJournal!$A$1:$NTR$890,COLUMN(HeadJournal!D$1),0),"")</f>
        <v>Доставлен</v>
      </c>
      <c r="E1525" s="95">
        <f>IFERROR(VLOOKUP($A1525,HeadJournal!$A$1:$NTR$890,COLUMN(HeadJournal!G$1),0),"")</f>
        <v>45034</v>
      </c>
      <c r="F1525" s="95" t="str">
        <f t="shared" si="119"/>
        <v>2023 04</v>
      </c>
      <c r="G1525" s="96" t="s">
        <v>5</v>
      </c>
      <c r="H1525" s="160" t="str">
        <f>RIGHT(Journal!$J1525,9)</f>
        <v>VPB-54131</v>
      </c>
      <c r="I1525" s="96" t="str">
        <f t="shared" si="121"/>
        <v>Vplab</v>
      </c>
      <c r="J1525" s="97" t="s">
        <v>665</v>
      </c>
      <c r="K1525" s="29">
        <v>15.3</v>
      </c>
      <c r="L1525" s="29">
        <v>-3.06</v>
      </c>
      <c r="M1525" s="30">
        <f>IFERROR(VLOOKUP($A1525,HeadJournal!$A$1:$J$890,COLUMN(HeadJournal!I$1),0)*($K1525+$L1525)/(SUMIF($A:$A,$A1525,$K:$K)+SUMIF($A:$A,$A1525,$L:$L)),0)</f>
        <v>0.41859475192141538</v>
      </c>
      <c r="N1525" s="30">
        <f>IFERROR((VLOOKUP($A1525,HeadJournal!$A$1:$K$890,COLUMN(HeadJournal!K$1),0)-VLOOKUP($A1525,HeadJournal!$A$1:$K$890,COLUMN(HeadJournal!J$1),0))*($K1525+$L1525)/(SUMIF($A:$A,$A1525,$K:$K)+SUMIF($A:$A,$A1525,$L:$L)),0)</f>
        <v>3.1641431936708826E-15</v>
      </c>
      <c r="O1525" s="30">
        <f>IFERROR((VLOOKUP($A1525,HeadJournal!$A$1:$L$890,COLUMN(HeadJournal!L$1),0)*($K1525+$L1525)/(SUMIF($A:$A,$A1525,$K:$K)+SUMIF($A:$A,$A1525,$L:$L)))/VLOOKUP($A1525,HeadJournal!$A$1:$L$890,COLUMN(HeadJournal!H$1),0),0)</f>
        <v>0.74393230537413457</v>
      </c>
      <c r="P1525" s="30">
        <f>IFERROR(SUM(K1525:O1525)*VLOOKUP($A1525,HeadJournal!$A$1:$L$890,COLUMN(HeadJournal!H$1),0),0)</f>
        <v>1222.0639992723641</v>
      </c>
      <c r="Q1525" s="29">
        <v>2300</v>
      </c>
      <c r="R1525" s="31">
        <v>45191</v>
      </c>
      <c r="S1525" s="31" t="s">
        <v>3121</v>
      </c>
      <c r="T1525" s="95" t="str">
        <f t="shared" si="120"/>
        <v>2023 09</v>
      </c>
      <c r="U1525" s="32">
        <f t="shared" si="117"/>
        <v>1077.9360007276359</v>
      </c>
      <c r="V1525" s="22">
        <f t="shared" si="118"/>
        <v>0.88206182439664027</v>
      </c>
      <c r="X1525" s="33"/>
      <c r="Y1525" s="33"/>
    </row>
    <row r="1526" spans="1:25" x14ac:dyDescent="0.2">
      <c r="A1526" s="93" t="s">
        <v>658</v>
      </c>
      <c r="B1526" s="94" t="str">
        <f>IFERROR(VLOOKUP($A1526,HeadJournal!$A$1:$NTR$890,COLUMN(HeadJournal!B$1),0),"")</f>
        <v>710000746689</v>
      </c>
      <c r="C1526" s="94" t="str">
        <f>IFERROR(VLOOKUP($A1526,HeadJournal!$A$1:$NTR$890,COLUMN(HeadJournal!C$1),0),"")</f>
        <v>iHerb_VP DFD1605</v>
      </c>
      <c r="D1526" s="125" t="str">
        <f>IFERROR(VLOOKUP($A1526,HeadJournal!$A$1:$NTR$890,COLUMN(HeadJournal!D$1),0),"")</f>
        <v>Доставлен</v>
      </c>
      <c r="E1526" s="95">
        <f>IFERROR(VLOOKUP($A1526,HeadJournal!$A$1:$NTR$890,COLUMN(HeadJournal!G$1),0),"")</f>
        <v>45034</v>
      </c>
      <c r="F1526" s="95" t="str">
        <f t="shared" si="119"/>
        <v>2023 04</v>
      </c>
      <c r="G1526" s="96" t="s">
        <v>7</v>
      </c>
      <c r="H1526" s="160" t="str">
        <f>RIGHT(Journal!$J1526,9)</f>
        <v>ARH-00546</v>
      </c>
      <c r="I1526" s="96" t="str">
        <f t="shared" si="121"/>
        <v>Arm &amp; Hammer</v>
      </c>
      <c r="J1526" s="97" t="s">
        <v>666</v>
      </c>
      <c r="K1526" s="29">
        <v>5.2</v>
      </c>
      <c r="L1526" s="29">
        <v>-0.52</v>
      </c>
      <c r="M1526" s="30">
        <f>IFERROR(VLOOKUP($A1526,HeadJournal!$A$1:$J$890,COLUMN(HeadJournal!I$1),0)*($K1526+$L1526)/(SUMIF($A:$A,$A1526,$K:$K)+SUMIF($A:$A,$A1526,$L:$L)),0)</f>
        <v>0.16005093455818822</v>
      </c>
      <c r="N1526" s="30">
        <f>IFERROR((VLOOKUP($A1526,HeadJournal!$A$1:$K$890,COLUMN(HeadJournal!K$1),0)-VLOOKUP($A1526,HeadJournal!$A$1:$K$890,COLUMN(HeadJournal!J$1),0))*($K1526+$L1526)/(SUMIF($A:$A,$A1526,$K:$K)+SUMIF($A:$A,$A1526,$L:$L)),0)</f>
        <v>1.2098194564035726E-15</v>
      </c>
      <c r="O1526" s="30">
        <f>IFERROR((VLOOKUP($A1526,HeadJournal!$A$1:$L$890,COLUMN(HeadJournal!L$1),0)*($K1526+$L1526)/(SUMIF($A:$A,$A1526,$K:$K)+SUMIF($A:$A,$A1526,$L:$L)))/VLOOKUP($A1526,HeadJournal!$A$1:$L$890,COLUMN(HeadJournal!H$1),0),0)</f>
        <v>0.28444470499599256</v>
      </c>
      <c r="P1526" s="30">
        <f>IFERROR(SUM(K1526:O1526)*VLOOKUP($A1526,HeadJournal!$A$1:$L$890,COLUMN(HeadJournal!H$1),0),0)</f>
        <v>467.25976442766859</v>
      </c>
      <c r="Q1526" s="29">
        <v>800</v>
      </c>
      <c r="R1526" s="31">
        <v>45083</v>
      </c>
      <c r="S1526" s="31" t="s">
        <v>3121</v>
      </c>
      <c r="T1526" s="95" t="str">
        <f t="shared" si="120"/>
        <v>2023 06</v>
      </c>
      <c r="U1526" s="32">
        <f t="shared" si="117"/>
        <v>332.74023557233141</v>
      </c>
      <c r="V1526" s="22">
        <f t="shared" si="118"/>
        <v>0.71210975329727821</v>
      </c>
      <c r="X1526" s="33"/>
      <c r="Y1526" s="33"/>
    </row>
    <row r="1527" spans="1:25" x14ac:dyDescent="0.2">
      <c r="A1527" s="93" t="s">
        <v>658</v>
      </c>
      <c r="B1527" s="94" t="str">
        <f>IFERROR(VLOOKUP($A1527,HeadJournal!$A$1:$NTR$890,COLUMN(HeadJournal!B$1),0),"")</f>
        <v>710000746689</v>
      </c>
      <c r="C1527" s="94" t="str">
        <f>IFERROR(VLOOKUP($A1527,HeadJournal!$A$1:$NTR$890,COLUMN(HeadJournal!C$1),0),"")</f>
        <v>iHerb_VP DFD1605</v>
      </c>
      <c r="D1527" s="125" t="str">
        <f>IFERROR(VLOOKUP($A1527,HeadJournal!$A$1:$NTR$890,COLUMN(HeadJournal!D$1),0),"")</f>
        <v>Доставлен</v>
      </c>
      <c r="E1527" s="95">
        <f>IFERROR(VLOOKUP($A1527,HeadJournal!$A$1:$NTR$890,COLUMN(HeadJournal!G$1),0),"")</f>
        <v>45034</v>
      </c>
      <c r="F1527" s="95" t="str">
        <f t="shared" si="119"/>
        <v>2023 04</v>
      </c>
      <c r="G1527" s="96" t="s">
        <v>7</v>
      </c>
      <c r="H1527" s="160" t="str">
        <f>RIGHT(Journal!$J1527,9)</f>
        <v>ARH-19792</v>
      </c>
      <c r="I1527" s="96" t="str">
        <f t="shared" si="121"/>
        <v>Arm &amp; Hammer</v>
      </c>
      <c r="J1527" s="97" t="s">
        <v>606</v>
      </c>
      <c r="K1527" s="29">
        <v>5.14</v>
      </c>
      <c r="L1527" s="29">
        <v>-0.51</v>
      </c>
      <c r="M1527" s="30">
        <f>IFERROR(VLOOKUP($A1527,HeadJournal!$A$1:$J$890,COLUMN(HeadJournal!I$1),0)*($K1527+$L1527)/(SUMIF($A:$A,$A1527,$K:$K)+SUMIF($A:$A,$A1527,$L:$L)),0)</f>
        <v>0.15834098867615631</v>
      </c>
      <c r="N1527" s="30">
        <f>IFERROR((VLOOKUP($A1527,HeadJournal!$A$1:$K$890,COLUMN(HeadJournal!K$1),0)-VLOOKUP($A1527,HeadJournal!$A$1:$K$890,COLUMN(HeadJournal!J$1),0))*($K1527+$L1527)/(SUMIF($A:$A,$A1527,$K:$K)+SUMIF($A:$A,$A1527,$L:$L)),0)</f>
        <v>1.1968940348607995E-15</v>
      </c>
      <c r="O1527" s="30">
        <f>IFERROR((VLOOKUP($A1527,HeadJournal!$A$1:$L$890,COLUMN(HeadJournal!L$1),0)*($K1527+$L1527)/(SUMIF($A:$A,$A1527,$K:$K)+SUMIF($A:$A,$A1527,$L:$L)))/VLOOKUP($A1527,HeadJournal!$A$1:$L$890,COLUMN(HeadJournal!H$1),0),0)</f>
        <v>0.2814057658400525</v>
      </c>
      <c r="P1527" s="30">
        <f>IFERROR(SUM(K1527:O1527)*VLOOKUP($A1527,HeadJournal!$A$1:$L$890,COLUMN(HeadJournal!H$1),0),0)</f>
        <v>462.26767292737293</v>
      </c>
      <c r="Q1527" s="29"/>
      <c r="R1527" s="31"/>
      <c r="S1527" s="31"/>
      <c r="T1527" s="95" t="str">
        <f t="shared" si="120"/>
        <v/>
      </c>
      <c r="U1527" s="32">
        <f t="shared" si="117"/>
        <v>-462.26767292737293</v>
      </c>
      <c r="V1527" s="22" t="str">
        <f t="shared" si="118"/>
        <v/>
      </c>
      <c r="X1527" s="33"/>
      <c r="Y1527" s="33"/>
    </row>
    <row r="1528" spans="1:25" x14ac:dyDescent="0.2">
      <c r="A1528" s="93" t="s">
        <v>658</v>
      </c>
      <c r="B1528" s="94" t="str">
        <f>IFERROR(VLOOKUP($A1528,HeadJournal!$A$1:$NTR$890,COLUMN(HeadJournal!B$1),0),"")</f>
        <v>710000746689</v>
      </c>
      <c r="C1528" s="94" t="str">
        <f>IFERROR(VLOOKUP($A1528,HeadJournal!$A$1:$NTR$890,COLUMN(HeadJournal!C$1),0),"")</f>
        <v>iHerb_VP DFD1605</v>
      </c>
      <c r="D1528" s="125" t="str">
        <f>IFERROR(VLOOKUP($A1528,HeadJournal!$A$1:$NTR$890,COLUMN(HeadJournal!D$1),0),"")</f>
        <v>Доставлен</v>
      </c>
      <c r="E1528" s="95">
        <f>IFERROR(VLOOKUP($A1528,HeadJournal!$A$1:$NTR$890,COLUMN(HeadJournal!G$1),0),"")</f>
        <v>45034</v>
      </c>
      <c r="F1528" s="95" t="str">
        <f t="shared" si="119"/>
        <v>2023 04</v>
      </c>
      <c r="G1528" s="96" t="s">
        <v>7</v>
      </c>
      <c r="H1528" s="160" t="str">
        <f>RIGHT(Journal!$J1528,9)</f>
        <v>ARH-19724</v>
      </c>
      <c r="I1528" s="96" t="str">
        <f t="shared" si="121"/>
        <v>Arm &amp; Hammer</v>
      </c>
      <c r="J1528" s="97" t="s">
        <v>667</v>
      </c>
      <c r="K1528" s="29">
        <v>4.07</v>
      </c>
      <c r="L1528" s="29">
        <v>-0.41</v>
      </c>
      <c r="M1528" s="30">
        <f>IFERROR(VLOOKUP($A1528,HeadJournal!$A$1:$J$890,COLUMN(HeadJournal!I$1),0)*($K1528+$L1528)/(SUMIF($A:$A,$A1528,$K:$K)+SUMIF($A:$A,$A1528,$L:$L)),0)</f>
        <v>0.12516803856473696</v>
      </c>
      <c r="N1528" s="30">
        <f>IFERROR((VLOOKUP($A1528,HeadJournal!$A$1:$K$890,COLUMN(HeadJournal!K$1),0)-VLOOKUP($A1528,HeadJournal!$A$1:$K$890,COLUMN(HeadJournal!J$1),0))*($K1528+$L1528)/(SUMIF($A:$A,$A1528,$K:$K)+SUMIF($A:$A,$A1528,$L:$L)),0)</f>
        <v>9.4614085693099923E-16</v>
      </c>
      <c r="O1528" s="30">
        <f>IFERROR((VLOOKUP($A1528,HeadJournal!$A$1:$L$890,COLUMN(HeadJournal!L$1),0)*($K1528+$L1528)/(SUMIF($A:$A,$A1528,$K:$K)+SUMIF($A:$A,$A1528,$L:$L)))/VLOOKUP($A1528,HeadJournal!$A$1:$L$890,COLUMN(HeadJournal!H$1),0),0)</f>
        <v>0.22245034621481471</v>
      </c>
      <c r="P1528" s="30">
        <f>IFERROR(SUM(K1528:O1528)*VLOOKUP($A1528,HeadJournal!$A$1:$L$890,COLUMN(HeadJournal!H$1),0),0)</f>
        <v>365.42109782163834</v>
      </c>
      <c r="Q1528" s="29">
        <v>800</v>
      </c>
      <c r="R1528" s="31">
        <v>45289</v>
      </c>
      <c r="S1528" s="31" t="s">
        <v>3121</v>
      </c>
      <c r="T1528" s="95" t="str">
        <f t="shared" si="120"/>
        <v>2023 12</v>
      </c>
      <c r="U1528" s="32">
        <f t="shared" si="117"/>
        <v>434.57890217836166</v>
      </c>
      <c r="V1528" s="22">
        <f t="shared" si="118"/>
        <v>1.1892550943801257</v>
      </c>
      <c r="X1528" s="33"/>
      <c r="Y1528" s="33"/>
    </row>
    <row r="1529" spans="1:25" x14ac:dyDescent="0.2">
      <c r="A1529" s="93" t="s">
        <v>668</v>
      </c>
      <c r="B1529" s="94" t="str">
        <f>IFERROR(VLOOKUP($A1529,HeadJournal!$A$1:$NTR$890,COLUMN(HeadJournal!B$1),0),"")</f>
        <v>710000760111</v>
      </c>
      <c r="C1529" s="94" t="str">
        <f>IFERROR(VLOOKUP($A1529,HeadJournal!$A$1:$NTR$890,COLUMN(HeadJournal!C$1),0),"")</f>
        <v>iHerb_MH DLE7202</v>
      </c>
      <c r="D1529" s="125" t="str">
        <f>IFERROR(VLOOKUP($A1529,HeadJournal!$A$1:$NTR$890,COLUMN(HeadJournal!D$1),0),"")</f>
        <v>Доставлен</v>
      </c>
      <c r="E1529" s="95">
        <f>IFERROR(VLOOKUP($A1529,HeadJournal!$A$1:$NTR$890,COLUMN(HeadJournal!G$1),0),"")</f>
        <v>45042</v>
      </c>
      <c r="F1529" s="95" t="str">
        <f t="shared" si="119"/>
        <v>2023 04</v>
      </c>
      <c r="G1529" s="96" t="s">
        <v>5</v>
      </c>
      <c r="H1529" s="160" t="str">
        <f>RIGHT(Journal!$J1529,9)</f>
        <v>SNS-01303</v>
      </c>
      <c r="I1529" s="96" t="str">
        <f t="shared" si="121"/>
        <v>Source Naturals</v>
      </c>
      <c r="J1529" s="97" t="s">
        <v>669</v>
      </c>
      <c r="K1529" s="29">
        <v>30.67</v>
      </c>
      <c r="L1529" s="29">
        <v>-3.07</v>
      </c>
      <c r="M1529" s="30">
        <f>IFERROR(VLOOKUP($A1529,HeadJournal!$A$1:$J$890,COLUMN(HeadJournal!I$1),0)*($K1529+$L1529)/(SUMIF($A:$A,$A1529,$K:$K)+SUMIF($A:$A,$A1529,$L:$L)),0)</f>
        <v>2.1795846738812528</v>
      </c>
      <c r="N1529" s="30">
        <f>IFERROR((VLOOKUP($A1529,HeadJournal!$A$1:$K$890,COLUMN(HeadJournal!K$1),0)-VLOOKUP($A1529,HeadJournal!$A$1:$K$890,COLUMN(HeadJournal!J$1),0))*($K1529+$L1529)/(SUMIF($A:$A,$A1529,$K:$K)+SUMIF($A:$A,$A1529,$L:$L)),0)</f>
        <v>0</v>
      </c>
      <c r="O1529" s="30">
        <f>IFERROR((VLOOKUP($A1529,HeadJournal!$A$1:$L$890,COLUMN(HeadJournal!L$1),0)*($K1529+$L1529)/(SUMIF($A:$A,$A1529,$K:$K)+SUMIF($A:$A,$A1529,$L:$L)))/VLOOKUP($A1529,HeadJournal!$A$1:$L$890,COLUMN(HeadJournal!H$1),0),0)</f>
        <v>1.821717201260928</v>
      </c>
      <c r="P1529" s="30">
        <f>IFERROR(SUM(K1529:O1529)*VLOOKUP($A1529,HeadJournal!$A$1:$L$890,COLUMN(HeadJournal!H$1),0),0)</f>
        <v>2844.1171687627962</v>
      </c>
      <c r="Q1529" s="29">
        <v>3600</v>
      </c>
      <c r="R1529" s="31">
        <v>45083</v>
      </c>
      <c r="S1529" s="31" t="s">
        <v>3121</v>
      </c>
      <c r="T1529" s="95" t="str">
        <f t="shared" si="120"/>
        <v>2023 06</v>
      </c>
      <c r="U1529" s="32">
        <f t="shared" si="117"/>
        <v>755.88283123720385</v>
      </c>
      <c r="V1529" s="22">
        <f t="shared" si="118"/>
        <v>0.26577063685671443</v>
      </c>
      <c r="X1529" s="33"/>
      <c r="Y1529" s="33"/>
    </row>
    <row r="1530" spans="1:25" x14ac:dyDescent="0.2">
      <c r="A1530" s="93" t="s">
        <v>668</v>
      </c>
      <c r="B1530" s="94" t="str">
        <f>IFERROR(VLOOKUP($A1530,HeadJournal!$A$1:$NTR$890,COLUMN(HeadJournal!B$1),0),"")</f>
        <v>710000760111</v>
      </c>
      <c r="C1530" s="94" t="str">
        <f>IFERROR(VLOOKUP($A1530,HeadJournal!$A$1:$NTR$890,COLUMN(HeadJournal!C$1),0),"")</f>
        <v>iHerb_MH DLE7202</v>
      </c>
      <c r="D1530" s="125" t="str">
        <f>IFERROR(VLOOKUP($A1530,HeadJournal!$A$1:$NTR$890,COLUMN(HeadJournal!D$1),0),"")</f>
        <v>Доставлен</v>
      </c>
      <c r="E1530" s="95">
        <f>IFERROR(VLOOKUP($A1530,HeadJournal!$A$1:$NTR$890,COLUMN(HeadJournal!G$1),0),"")</f>
        <v>45042</v>
      </c>
      <c r="F1530" s="95" t="str">
        <f t="shared" si="119"/>
        <v>2023 04</v>
      </c>
      <c r="G1530" s="96" t="s">
        <v>5</v>
      </c>
      <c r="H1530" s="161" t="s">
        <v>2051</v>
      </c>
      <c r="I1530" s="97" t="s">
        <v>2052</v>
      </c>
      <c r="J1530" s="97" t="s">
        <v>3097</v>
      </c>
      <c r="K1530" s="29">
        <v>17</v>
      </c>
      <c r="L1530" s="29">
        <v>-5.0999999999999996</v>
      </c>
      <c r="M1530" s="30">
        <f>IFERROR(VLOOKUP($A1530,HeadJournal!$A$1:$J$890,COLUMN(HeadJournal!I$1),0)*($K1530+$L1530)/(SUMIF($A:$A,$A1530,$K:$K)+SUMIF($A:$A,$A1530,$L:$L)),0)</f>
        <v>0.93974846446329352</v>
      </c>
      <c r="N1530" s="30">
        <f>IFERROR((VLOOKUP($A1530,HeadJournal!$A$1:$K$890,COLUMN(HeadJournal!K$1),0)-VLOOKUP($A1530,HeadJournal!$A$1:$K$890,COLUMN(HeadJournal!J$1),0))*($K1530+$L1530)/(SUMIF($A:$A,$A1530,$K:$K)+SUMIF($A:$A,$A1530,$L:$L)),0)</f>
        <v>0</v>
      </c>
      <c r="O1530" s="30">
        <f>IFERROR((VLOOKUP($A1530,HeadJournal!$A$1:$L$890,COLUMN(HeadJournal!L$1),0)*($K1530+$L1530)/(SUMIF($A:$A,$A1530,$K:$K)+SUMIF($A:$A,$A1530,$L:$L)))/VLOOKUP($A1530,HeadJournal!$A$1:$L$890,COLUMN(HeadJournal!H$1),0),0)</f>
        <v>0.78545053242771889</v>
      </c>
      <c r="P1530" s="30">
        <f>IFERROR(SUM(K1530:O1530)*VLOOKUP($A1530,HeadJournal!$A$1:$L$890,COLUMN(HeadJournal!H$1),0),0)</f>
        <v>1226.2679097201913</v>
      </c>
      <c r="Q1530" s="29">
        <v>2400</v>
      </c>
      <c r="R1530" s="31">
        <v>45377</v>
      </c>
      <c r="S1530" s="31" t="s">
        <v>3121</v>
      </c>
      <c r="T1530" s="95" t="str">
        <f t="shared" si="120"/>
        <v>2024 03</v>
      </c>
      <c r="U1530" s="32">
        <f t="shared" si="117"/>
        <v>1173.7320902798087</v>
      </c>
      <c r="V1530" s="22">
        <f t="shared" si="118"/>
        <v>0.95715795950954141</v>
      </c>
      <c r="X1530" s="33"/>
      <c r="Y1530" s="33"/>
    </row>
    <row r="1531" spans="1:25" x14ac:dyDescent="0.2">
      <c r="A1531" s="93" t="s">
        <v>668</v>
      </c>
      <c r="B1531" s="94" t="str">
        <f>IFERROR(VLOOKUP($A1531,HeadJournal!$A$1:$NTR$890,COLUMN(HeadJournal!B$1),0),"")</f>
        <v>710000760111</v>
      </c>
      <c r="C1531" s="94" t="str">
        <f>IFERROR(VLOOKUP($A1531,HeadJournal!$A$1:$NTR$890,COLUMN(HeadJournal!C$1),0),"")</f>
        <v>iHerb_MH DLE7202</v>
      </c>
      <c r="D1531" s="125" t="str">
        <f>IFERROR(VLOOKUP($A1531,HeadJournal!$A$1:$NTR$890,COLUMN(HeadJournal!D$1),0),"")</f>
        <v>Доставлен</v>
      </c>
      <c r="E1531" s="95">
        <f>IFERROR(VLOOKUP($A1531,HeadJournal!$A$1:$NTR$890,COLUMN(HeadJournal!G$1),0),"")</f>
        <v>45042</v>
      </c>
      <c r="F1531" s="95" t="str">
        <f t="shared" si="119"/>
        <v>2023 04</v>
      </c>
      <c r="G1531" s="96" t="s">
        <v>5</v>
      </c>
      <c r="H1531" s="161" t="s">
        <v>2051</v>
      </c>
      <c r="I1531" s="97" t="s">
        <v>2052</v>
      </c>
      <c r="J1531" s="97" t="s">
        <v>3097</v>
      </c>
      <c r="K1531" s="29">
        <v>17</v>
      </c>
      <c r="L1531" s="29">
        <v>-5.0999999999999996</v>
      </c>
      <c r="M1531" s="30">
        <f>IFERROR(VLOOKUP($A1531,HeadJournal!$A$1:$J$890,COLUMN(HeadJournal!I$1),0)*($K1531+$L1531)/(SUMIF($A:$A,$A1531,$K:$K)+SUMIF($A:$A,$A1531,$L:$L)),0)</f>
        <v>0.93974846446329352</v>
      </c>
      <c r="N1531" s="30">
        <f>IFERROR((VLOOKUP($A1531,HeadJournal!$A$1:$K$890,COLUMN(HeadJournal!K$1),0)-VLOOKUP($A1531,HeadJournal!$A$1:$K$890,COLUMN(HeadJournal!J$1),0))*($K1531+$L1531)/(SUMIF($A:$A,$A1531,$K:$K)+SUMIF($A:$A,$A1531,$L:$L)),0)</f>
        <v>0</v>
      </c>
      <c r="O1531" s="30">
        <f>IFERROR((VLOOKUP($A1531,HeadJournal!$A$1:$L$890,COLUMN(HeadJournal!L$1),0)*($K1531+$L1531)/(SUMIF($A:$A,$A1531,$K:$K)+SUMIF($A:$A,$A1531,$L:$L)))/VLOOKUP($A1531,HeadJournal!$A$1:$L$890,COLUMN(HeadJournal!H$1),0),0)</f>
        <v>0.78545053242771889</v>
      </c>
      <c r="P1531" s="30">
        <f>IFERROR(SUM(K1531:O1531)*VLOOKUP($A1531,HeadJournal!$A$1:$L$890,COLUMN(HeadJournal!H$1),0),0)</f>
        <v>1226.2679097201913</v>
      </c>
      <c r="Q1531" s="29">
        <v>2400</v>
      </c>
      <c r="R1531" s="31">
        <v>45388</v>
      </c>
      <c r="S1531" s="31" t="s">
        <v>3121</v>
      </c>
      <c r="T1531" s="95" t="str">
        <f t="shared" si="120"/>
        <v>2024 04</v>
      </c>
      <c r="U1531" s="32">
        <f t="shared" si="117"/>
        <v>1173.7320902798087</v>
      </c>
      <c r="V1531" s="22">
        <f t="shared" si="118"/>
        <v>0.95715795950954141</v>
      </c>
      <c r="X1531" s="33"/>
      <c r="Y1531" s="33"/>
    </row>
    <row r="1532" spans="1:25" x14ac:dyDescent="0.2">
      <c r="A1532" s="93" t="s">
        <v>668</v>
      </c>
      <c r="B1532" s="94" t="str">
        <f>IFERROR(VLOOKUP($A1532,HeadJournal!$A$1:$NTR$890,COLUMN(HeadJournal!B$1),0),"")</f>
        <v>710000760111</v>
      </c>
      <c r="C1532" s="94" t="str">
        <f>IFERROR(VLOOKUP($A1532,HeadJournal!$A$1:$NTR$890,COLUMN(HeadJournal!C$1),0),"")</f>
        <v>iHerb_MH DLE7202</v>
      </c>
      <c r="D1532" s="125" t="str">
        <f>IFERROR(VLOOKUP($A1532,HeadJournal!$A$1:$NTR$890,COLUMN(HeadJournal!D$1),0),"")</f>
        <v>Доставлен</v>
      </c>
      <c r="E1532" s="95">
        <f>IFERROR(VLOOKUP($A1532,HeadJournal!$A$1:$NTR$890,COLUMN(HeadJournal!G$1),0),"")</f>
        <v>45042</v>
      </c>
      <c r="F1532" s="95" t="str">
        <f t="shared" si="119"/>
        <v>2023 04</v>
      </c>
      <c r="G1532" s="96" t="s">
        <v>5</v>
      </c>
      <c r="H1532" s="161" t="s">
        <v>2051</v>
      </c>
      <c r="I1532" s="97" t="s">
        <v>2052</v>
      </c>
      <c r="J1532" s="97" t="s">
        <v>3097</v>
      </c>
      <c r="K1532" s="29">
        <v>17</v>
      </c>
      <c r="L1532" s="29">
        <v>-5.0999999999999996</v>
      </c>
      <c r="M1532" s="30">
        <f>IFERROR(VLOOKUP($A1532,HeadJournal!$A$1:$J$890,COLUMN(HeadJournal!I$1),0)*($K1532+$L1532)/(SUMIF($A:$A,$A1532,$K:$K)+SUMIF($A:$A,$A1532,$L:$L)),0)</f>
        <v>0.93974846446329352</v>
      </c>
      <c r="N1532" s="30">
        <f>IFERROR((VLOOKUP($A1532,HeadJournal!$A$1:$K$890,COLUMN(HeadJournal!K$1),0)-VLOOKUP($A1532,HeadJournal!$A$1:$K$890,COLUMN(HeadJournal!J$1),0))*($K1532+$L1532)/(SUMIF($A:$A,$A1532,$K:$K)+SUMIF($A:$A,$A1532,$L:$L)),0)</f>
        <v>0</v>
      </c>
      <c r="O1532" s="30">
        <f>IFERROR((VLOOKUP($A1532,HeadJournal!$A$1:$L$890,COLUMN(HeadJournal!L$1),0)*($K1532+$L1532)/(SUMIF($A:$A,$A1532,$K:$K)+SUMIF($A:$A,$A1532,$L:$L)))/VLOOKUP($A1532,HeadJournal!$A$1:$L$890,COLUMN(HeadJournal!H$1),0),0)</f>
        <v>0.78545053242771889</v>
      </c>
      <c r="P1532" s="30">
        <f>IFERROR(SUM(K1532:O1532)*VLOOKUP($A1532,HeadJournal!$A$1:$L$890,COLUMN(HeadJournal!H$1),0),0)</f>
        <v>1226.2679097201913</v>
      </c>
      <c r="Q1532" s="29">
        <v>2300</v>
      </c>
      <c r="R1532" s="31">
        <v>45402</v>
      </c>
      <c r="S1532" s="31" t="s">
        <v>3121</v>
      </c>
      <c r="T1532" s="95" t="str">
        <f t="shared" si="120"/>
        <v>2024 04</v>
      </c>
      <c r="U1532" s="32">
        <f t="shared" si="117"/>
        <v>1073.7320902798087</v>
      </c>
      <c r="V1532" s="22">
        <f t="shared" si="118"/>
        <v>0.87560971119664377</v>
      </c>
      <c r="X1532" s="33"/>
      <c r="Y1532" s="33"/>
    </row>
    <row r="1533" spans="1:25" x14ac:dyDescent="0.2">
      <c r="A1533" s="93" t="s">
        <v>668</v>
      </c>
      <c r="B1533" s="94" t="str">
        <f>IFERROR(VLOOKUP($A1533,HeadJournal!$A$1:$NTR$890,COLUMN(HeadJournal!B$1),0),"")</f>
        <v>710000760111</v>
      </c>
      <c r="C1533" s="94" t="str">
        <f>IFERROR(VLOOKUP($A1533,HeadJournal!$A$1:$NTR$890,COLUMN(HeadJournal!C$1),0),"")</f>
        <v>iHerb_MH DLE7202</v>
      </c>
      <c r="D1533" s="125" t="str">
        <f>IFERROR(VLOOKUP($A1533,HeadJournal!$A$1:$NTR$890,COLUMN(HeadJournal!D$1),0),"")</f>
        <v>Доставлен</v>
      </c>
      <c r="E1533" s="95">
        <f>IFERROR(VLOOKUP($A1533,HeadJournal!$A$1:$NTR$890,COLUMN(HeadJournal!G$1),0),"")</f>
        <v>45042</v>
      </c>
      <c r="F1533" s="95" t="str">
        <f t="shared" si="119"/>
        <v>2023 04</v>
      </c>
      <c r="G1533" s="96" t="s">
        <v>5</v>
      </c>
      <c r="H1533" s="161" t="s">
        <v>2051</v>
      </c>
      <c r="I1533" s="97" t="s">
        <v>2052</v>
      </c>
      <c r="J1533" s="97" t="s">
        <v>3097</v>
      </c>
      <c r="K1533" s="29">
        <v>17</v>
      </c>
      <c r="L1533" s="29">
        <v>-5.0999999999999996</v>
      </c>
      <c r="M1533" s="30">
        <f>IFERROR(VLOOKUP($A1533,HeadJournal!$A$1:$J$890,COLUMN(HeadJournal!I$1),0)*($K1533+$L1533)/(SUMIF($A:$A,$A1533,$K:$K)+SUMIF($A:$A,$A1533,$L:$L)),0)</f>
        <v>0.93974846446329352</v>
      </c>
      <c r="N1533" s="30">
        <f>IFERROR((VLOOKUP($A1533,HeadJournal!$A$1:$K$890,COLUMN(HeadJournal!K$1),0)-VLOOKUP($A1533,HeadJournal!$A$1:$K$890,COLUMN(HeadJournal!J$1),0))*($K1533+$L1533)/(SUMIF($A:$A,$A1533,$K:$K)+SUMIF($A:$A,$A1533,$L:$L)),0)</f>
        <v>0</v>
      </c>
      <c r="O1533" s="30">
        <f>IFERROR((VLOOKUP($A1533,HeadJournal!$A$1:$L$890,COLUMN(HeadJournal!L$1),0)*($K1533+$L1533)/(SUMIF($A:$A,$A1533,$K:$K)+SUMIF($A:$A,$A1533,$L:$L)))/VLOOKUP($A1533,HeadJournal!$A$1:$L$890,COLUMN(HeadJournal!H$1),0),0)</f>
        <v>0.78545053242771889</v>
      </c>
      <c r="P1533" s="30">
        <f>IFERROR(SUM(K1533:O1533)*VLOOKUP($A1533,HeadJournal!$A$1:$L$890,COLUMN(HeadJournal!H$1),0),0)</f>
        <v>1226.2679097201913</v>
      </c>
      <c r="Q1533" s="29">
        <v>2300</v>
      </c>
      <c r="R1533" s="31">
        <v>45402</v>
      </c>
      <c r="S1533" s="31" t="s">
        <v>3121</v>
      </c>
      <c r="T1533" s="95" t="str">
        <f t="shared" si="120"/>
        <v>2024 04</v>
      </c>
      <c r="U1533" s="32">
        <f t="shared" si="117"/>
        <v>1073.7320902798087</v>
      </c>
      <c r="V1533" s="22">
        <f t="shared" si="118"/>
        <v>0.87560971119664377</v>
      </c>
      <c r="X1533" s="33"/>
      <c r="Y1533" s="33"/>
    </row>
    <row r="1534" spans="1:25" x14ac:dyDescent="0.2">
      <c r="A1534" s="93" t="s">
        <v>668</v>
      </c>
      <c r="B1534" s="94" t="str">
        <f>IFERROR(VLOOKUP($A1534,HeadJournal!$A$1:$NTR$890,COLUMN(HeadJournal!B$1),0),"")</f>
        <v>710000760111</v>
      </c>
      <c r="C1534" s="94" t="str">
        <f>IFERROR(VLOOKUP($A1534,HeadJournal!$A$1:$NTR$890,COLUMN(HeadJournal!C$1),0),"")</f>
        <v>iHerb_MH DLE7202</v>
      </c>
      <c r="D1534" s="125" t="str">
        <f>IFERROR(VLOOKUP($A1534,HeadJournal!$A$1:$NTR$890,COLUMN(HeadJournal!D$1),0),"")</f>
        <v>Доставлен</v>
      </c>
      <c r="E1534" s="95">
        <f>IFERROR(VLOOKUP($A1534,HeadJournal!$A$1:$NTR$890,COLUMN(HeadJournal!G$1),0),"")</f>
        <v>45042</v>
      </c>
      <c r="F1534" s="95" t="str">
        <f t="shared" si="119"/>
        <v>2023 04</v>
      </c>
      <c r="G1534" s="96" t="s">
        <v>5</v>
      </c>
      <c r="H1534" s="160" t="str">
        <f>RIGHT(Journal!$J1534,9)</f>
        <v>NWY-11534</v>
      </c>
      <c r="I1534" s="96" t="str">
        <f t="shared" si="121"/>
        <v>Nature's Way</v>
      </c>
      <c r="J1534" s="97" t="s">
        <v>670</v>
      </c>
      <c r="K1534" s="29">
        <v>12.68</v>
      </c>
      <c r="L1534" s="29">
        <v>-2.54</v>
      </c>
      <c r="M1534" s="30">
        <f>IFERROR(VLOOKUP($A1534,HeadJournal!$A$1:$J$890,COLUMN(HeadJournal!I$1),0)*($K1534+$L1534)/(SUMIF($A:$A,$A1534,$K:$K)+SUMIF($A:$A,$A1534,$L:$L)),0)</f>
        <v>0.80076045627376446</v>
      </c>
      <c r="N1534" s="30">
        <f>IFERROR((VLOOKUP($A1534,HeadJournal!$A$1:$K$890,COLUMN(HeadJournal!K$1),0)-VLOOKUP($A1534,HeadJournal!$A$1:$K$890,COLUMN(HeadJournal!J$1),0))*($K1534+$L1534)/(SUMIF($A:$A,$A1534,$K:$K)+SUMIF($A:$A,$A1534,$L:$L)),0)</f>
        <v>0</v>
      </c>
      <c r="O1534" s="30">
        <f>IFERROR((VLOOKUP($A1534,HeadJournal!$A$1:$L$890,COLUMN(HeadJournal!L$1),0)*($K1534+$L1534)/(SUMIF($A:$A,$A1534,$K:$K)+SUMIF($A:$A,$A1534,$L:$L)))/VLOOKUP($A1534,HeadJournal!$A$1:$L$890,COLUMN(HeadJournal!H$1),0),0)</f>
        <v>0.66928305872412353</v>
      </c>
      <c r="P1534" s="30">
        <f>IFERROR(SUM(K1534:O1534)*VLOOKUP($A1534,HeadJournal!$A$1:$L$890,COLUMN(HeadJournal!H$1),0),0)</f>
        <v>1044.9039163498101</v>
      </c>
      <c r="Q1534" s="29">
        <v>1600</v>
      </c>
      <c r="R1534" s="31">
        <v>45099</v>
      </c>
      <c r="S1534" s="31" t="s">
        <v>3121</v>
      </c>
      <c r="T1534" s="95" t="str">
        <f t="shared" si="120"/>
        <v>2023 06</v>
      </c>
      <c r="U1534" s="32">
        <f t="shared" si="117"/>
        <v>555.09608365018994</v>
      </c>
      <c r="V1534" s="22">
        <f t="shared" si="118"/>
        <v>0.53124127009622235</v>
      </c>
      <c r="X1534" s="33"/>
      <c r="Y1534" s="33"/>
    </row>
    <row r="1535" spans="1:25" x14ac:dyDescent="0.2">
      <c r="A1535" s="93" t="s">
        <v>668</v>
      </c>
      <c r="B1535" s="94" t="str">
        <f>IFERROR(VLOOKUP($A1535,HeadJournal!$A$1:$NTR$890,COLUMN(HeadJournal!B$1),0),"")</f>
        <v>710000760111</v>
      </c>
      <c r="C1535" s="94" t="str">
        <f>IFERROR(VLOOKUP($A1535,HeadJournal!$A$1:$NTR$890,COLUMN(HeadJournal!C$1),0),"")</f>
        <v>iHerb_MH DLE7202</v>
      </c>
      <c r="D1535" s="125" t="str">
        <f>IFERROR(VLOOKUP($A1535,HeadJournal!$A$1:$NTR$890,COLUMN(HeadJournal!D$1),0),"")</f>
        <v>Доставлен</v>
      </c>
      <c r="E1535" s="95">
        <f>IFERROR(VLOOKUP($A1535,HeadJournal!$A$1:$NTR$890,COLUMN(HeadJournal!G$1),0),"")</f>
        <v>45042</v>
      </c>
      <c r="F1535" s="95" t="str">
        <f t="shared" si="119"/>
        <v>2023 04</v>
      </c>
      <c r="G1535" s="96" t="s">
        <v>5</v>
      </c>
      <c r="H1535" s="160" t="str">
        <f>RIGHT(Journal!$J1535,9)</f>
        <v>SRE-01347</v>
      </c>
      <c r="I1535" s="96" t="str">
        <f t="shared" si="121"/>
        <v>Sports Research</v>
      </c>
      <c r="J1535" s="97" t="s">
        <v>662</v>
      </c>
      <c r="K1535" s="29">
        <v>28.2</v>
      </c>
      <c r="L1535" s="29">
        <v>-16.21</v>
      </c>
      <c r="M1535" s="30">
        <f>IFERROR(VLOOKUP($A1535,HeadJournal!$A$1:$J$890,COLUMN(HeadJournal!I$1),0)*($K1535+$L1535)/(SUMIF($A:$A,$A1535,$K:$K)+SUMIF($A:$A,$A1535,$L:$L)),0)</f>
        <v>0.94685580579116702</v>
      </c>
      <c r="N1535" s="30">
        <f>IFERROR((VLOOKUP($A1535,HeadJournal!$A$1:$K$890,COLUMN(HeadJournal!K$1),0)-VLOOKUP($A1535,HeadJournal!$A$1:$K$890,COLUMN(HeadJournal!J$1),0))*($K1535+$L1535)/(SUMIF($A:$A,$A1535,$K:$K)+SUMIF($A:$A,$A1535,$L:$L)),0)</f>
        <v>0</v>
      </c>
      <c r="O1535" s="30">
        <f>IFERROR((VLOOKUP($A1535,HeadJournal!$A$1:$L$890,COLUMN(HeadJournal!L$1),0)*($K1535+$L1535)/(SUMIF($A:$A,$A1535,$K:$K)+SUMIF($A:$A,$A1535,$L:$L)))/VLOOKUP($A1535,HeadJournal!$A$1:$L$890,COLUMN(HeadJournal!H$1),0),0)</f>
        <v>0.79139091460574351</v>
      </c>
      <c r="P1535" s="30">
        <f>IFERROR(SUM(K1535:O1535)*VLOOKUP($A1535,HeadJournal!$A$1:$L$890,COLUMN(HeadJournal!H$1),0),0)</f>
        <v>1235.5422048357218</v>
      </c>
      <c r="Q1535" s="29">
        <v>2800</v>
      </c>
      <c r="R1535" s="31">
        <v>45142</v>
      </c>
      <c r="S1535" s="31" t="s">
        <v>3121</v>
      </c>
      <c r="T1535" s="95" t="str">
        <f t="shared" si="120"/>
        <v>2023 08</v>
      </c>
      <c r="U1535" s="32">
        <f t="shared" si="117"/>
        <v>1564.4577951642782</v>
      </c>
      <c r="V1535" s="22">
        <f t="shared" si="118"/>
        <v>1.2662115377695975</v>
      </c>
      <c r="X1535" s="33"/>
      <c r="Y1535" s="33"/>
    </row>
    <row r="1536" spans="1:25" x14ac:dyDescent="0.2">
      <c r="A1536" s="93" t="s">
        <v>668</v>
      </c>
      <c r="B1536" s="94" t="str">
        <f>IFERROR(VLOOKUP($A1536,HeadJournal!$A$1:$NTR$890,COLUMN(HeadJournal!B$1),0),"")</f>
        <v>710000760111</v>
      </c>
      <c r="C1536" s="94" t="str">
        <f>IFERROR(VLOOKUP($A1536,HeadJournal!$A$1:$NTR$890,COLUMN(HeadJournal!C$1),0),"")</f>
        <v>iHerb_MH DLE7202</v>
      </c>
      <c r="D1536" s="125" t="str">
        <f>IFERROR(VLOOKUP($A1536,HeadJournal!$A$1:$NTR$890,COLUMN(HeadJournal!D$1),0),"")</f>
        <v>Доставлен</v>
      </c>
      <c r="E1536" s="95">
        <f>IFERROR(VLOOKUP($A1536,HeadJournal!$A$1:$NTR$890,COLUMN(HeadJournal!G$1),0),"")</f>
        <v>45042</v>
      </c>
      <c r="F1536" s="95" t="str">
        <f t="shared" si="119"/>
        <v>2023 04</v>
      </c>
      <c r="G1536" s="96" t="s">
        <v>5</v>
      </c>
      <c r="H1536" s="160" t="str">
        <f>RIGHT(Journal!$J1536,9)</f>
        <v>DRB-00203</v>
      </c>
      <c r="I1536" s="96" t="str">
        <f t="shared" si="121"/>
        <v>Doctor's Best</v>
      </c>
      <c r="J1536" s="97" t="s">
        <v>671</v>
      </c>
      <c r="K1536" s="29">
        <v>12.39</v>
      </c>
      <c r="L1536" s="29">
        <v>-2.48</v>
      </c>
      <c r="M1536" s="30">
        <f>IFERROR(VLOOKUP($A1536,HeadJournal!$A$1:$J$890,COLUMN(HeadJournal!I$1),0)*($K1536+$L1536)/(SUMIF($A:$A,$A1536,$K:$K)+SUMIF($A:$A,$A1536,$L:$L)),0)</f>
        <v>0.78259725065808738</v>
      </c>
      <c r="N1536" s="30">
        <f>IFERROR((VLOOKUP($A1536,HeadJournal!$A$1:$K$890,COLUMN(HeadJournal!K$1),0)-VLOOKUP($A1536,HeadJournal!$A$1:$K$890,COLUMN(HeadJournal!J$1),0))*($K1536+$L1536)/(SUMIF($A:$A,$A1536,$K:$K)+SUMIF($A:$A,$A1536,$L:$L)),0)</f>
        <v>0</v>
      </c>
      <c r="O1536" s="30">
        <f>IFERROR((VLOOKUP($A1536,HeadJournal!$A$1:$L$890,COLUMN(HeadJournal!L$1),0)*($K1536+$L1536)/(SUMIF($A:$A,$A1536,$K:$K)+SUMIF($A:$A,$A1536,$L:$L)))/VLOOKUP($A1536,HeadJournal!$A$1:$L$890,COLUMN(HeadJournal!H$1),0),0)</f>
        <v>0.65410208204694908</v>
      </c>
      <c r="P1536" s="30">
        <f>IFERROR(SUM(K1536:O1536)*VLOOKUP($A1536,HeadJournal!$A$1:$L$890,COLUMN(HeadJournal!H$1),0),0)</f>
        <v>1021.2029399434532</v>
      </c>
      <c r="Q1536" s="29">
        <v>1700</v>
      </c>
      <c r="R1536" s="31">
        <v>45096</v>
      </c>
      <c r="S1536" s="31" t="s">
        <v>3121</v>
      </c>
      <c r="T1536" s="95" t="str">
        <f t="shared" si="120"/>
        <v>2023 06</v>
      </c>
      <c r="U1536" s="32">
        <f t="shared" si="117"/>
        <v>678.7970600565468</v>
      </c>
      <c r="V1536" s="22">
        <f t="shared" si="118"/>
        <v>0.66470339391515432</v>
      </c>
      <c r="X1536" s="33"/>
      <c r="Y1536" s="33"/>
    </row>
    <row r="1537" spans="1:25" x14ac:dyDescent="0.2">
      <c r="A1537" s="93" t="s">
        <v>668</v>
      </c>
      <c r="B1537" s="94" t="str">
        <f>IFERROR(VLOOKUP($A1537,HeadJournal!$A$1:$NTR$890,COLUMN(HeadJournal!B$1),0),"")</f>
        <v>710000760111</v>
      </c>
      <c r="C1537" s="94" t="str">
        <f>IFERROR(VLOOKUP($A1537,HeadJournal!$A$1:$NTR$890,COLUMN(HeadJournal!C$1),0),"")</f>
        <v>iHerb_MH DLE7202</v>
      </c>
      <c r="D1537" s="125" t="str">
        <f>IFERROR(VLOOKUP($A1537,HeadJournal!$A$1:$NTR$890,COLUMN(HeadJournal!D$1),0),"")</f>
        <v>Доставлен</v>
      </c>
      <c r="E1537" s="95">
        <f>IFERROR(VLOOKUP($A1537,HeadJournal!$A$1:$NTR$890,COLUMN(HeadJournal!G$1),0),"")</f>
        <v>45042</v>
      </c>
      <c r="F1537" s="95" t="str">
        <f t="shared" si="119"/>
        <v>2023 04</v>
      </c>
      <c r="G1537" s="96" t="s">
        <v>6</v>
      </c>
      <c r="H1537" s="160" t="str">
        <f>RIGHT(Journal!$J1537,9)</f>
        <v>EVL-02017</v>
      </c>
      <c r="I1537" s="96" t="str">
        <f t="shared" si="121"/>
        <v>EVLution Nutrition</v>
      </c>
      <c r="J1537" s="97" t="s">
        <v>672</v>
      </c>
      <c r="K1537" s="29">
        <v>19.190000000000001</v>
      </c>
      <c r="L1537" s="29">
        <v>-1.92</v>
      </c>
      <c r="M1537" s="30">
        <f>IFERROR(VLOOKUP($A1537,HeadJournal!$A$1:$J$890,COLUMN(HeadJournal!I$1),0)*($K1537+$L1537)/(SUMIF($A:$A,$A1537,$K:$K)+SUMIF($A:$A,$A1537,$L:$L)),0)</f>
        <v>1.3638198303597551</v>
      </c>
      <c r="N1537" s="30">
        <f>IFERROR((VLOOKUP($A1537,HeadJournal!$A$1:$K$890,COLUMN(HeadJournal!K$1),0)-VLOOKUP($A1537,HeadJournal!$A$1:$K$890,COLUMN(HeadJournal!J$1),0))*($K1537+$L1537)/(SUMIF($A:$A,$A1537,$K:$K)+SUMIF($A:$A,$A1537,$L:$L)),0)</f>
        <v>0</v>
      </c>
      <c r="O1537" s="30">
        <f>IFERROR((VLOOKUP($A1537,HeadJournal!$A$1:$L$890,COLUMN(HeadJournal!L$1),0)*($K1537+$L1537)/(SUMIF($A:$A,$A1537,$K:$K)+SUMIF($A:$A,$A1537,$L:$L)))/VLOOKUP($A1537,HeadJournal!$A$1:$L$890,COLUMN(HeadJournal!H$1),0),0)</f>
        <v>1.13989333571653</v>
      </c>
      <c r="P1537" s="30">
        <f>IFERROR(SUM(K1537:O1537)*VLOOKUP($A1537,HeadJournal!$A$1:$L$890,COLUMN(HeadJournal!H$1),0),0)</f>
        <v>1779.6341849468658</v>
      </c>
      <c r="Q1537" s="29"/>
      <c r="R1537" s="31"/>
      <c r="S1537" s="31"/>
      <c r="T1537" s="95" t="str">
        <f t="shared" si="120"/>
        <v/>
      </c>
      <c r="U1537" s="32">
        <f t="shared" ref="U1537:U1600" si="122">Q1537-P1537</f>
        <v>-1779.6341849468658</v>
      </c>
      <c r="V1537" s="22" t="str">
        <f t="shared" ref="V1537:V1600" si="123">IF(Q1537&lt;&gt;0,IFERROR(U1537/P1537,""),"")</f>
        <v/>
      </c>
      <c r="X1537" s="33"/>
      <c r="Y1537" s="33"/>
    </row>
    <row r="1538" spans="1:25" x14ac:dyDescent="0.2">
      <c r="A1538" s="93" t="s">
        <v>668</v>
      </c>
      <c r="B1538" s="94" t="str">
        <f>IFERROR(VLOOKUP($A1538,HeadJournal!$A$1:$NTR$890,COLUMN(HeadJournal!B$1),0),"")</f>
        <v>710000760111</v>
      </c>
      <c r="C1538" s="94" t="str">
        <f>IFERROR(VLOOKUP($A1538,HeadJournal!$A$1:$NTR$890,COLUMN(HeadJournal!C$1),0),"")</f>
        <v>iHerb_MH DLE7202</v>
      </c>
      <c r="D1538" s="125" t="str">
        <f>IFERROR(VLOOKUP($A1538,HeadJournal!$A$1:$NTR$890,COLUMN(HeadJournal!D$1),0),"")</f>
        <v>Доставлен</v>
      </c>
      <c r="E1538" s="95">
        <f>IFERROR(VLOOKUP($A1538,HeadJournal!$A$1:$NTR$890,COLUMN(HeadJournal!G$1),0),"")</f>
        <v>45042</v>
      </c>
      <c r="F1538" s="95" t="str">
        <f t="shared" si="119"/>
        <v>2023 04</v>
      </c>
      <c r="G1538" s="96" t="s">
        <v>7</v>
      </c>
      <c r="H1538" s="160" t="str">
        <f>RIGHT(Journal!$J1538,9)</f>
        <v>PSK-01936</v>
      </c>
      <c r="I1538" s="96" t="str">
        <f t="shared" si="121"/>
        <v>PrescriptSkin</v>
      </c>
      <c r="J1538" s="97" t="s">
        <v>673</v>
      </c>
      <c r="K1538" s="29">
        <v>13</v>
      </c>
      <c r="L1538" s="29">
        <v>-3.9</v>
      </c>
      <c r="M1538" s="30">
        <f>IFERROR(VLOOKUP($A1538,HeadJournal!$A$1:$J$890,COLUMN(HeadJournal!I$1),0)*($K1538+$L1538)/(SUMIF($A:$A,$A1538,$K:$K)+SUMIF($A:$A,$A1538,$L:$L)),0)</f>
        <v>0.71863117870722448</v>
      </c>
      <c r="N1538" s="30">
        <f>IFERROR((VLOOKUP($A1538,HeadJournal!$A$1:$K$890,COLUMN(HeadJournal!K$1),0)-VLOOKUP($A1538,HeadJournal!$A$1:$K$890,COLUMN(HeadJournal!J$1),0))*($K1538+$L1538)/(SUMIF($A:$A,$A1538,$K:$K)+SUMIF($A:$A,$A1538,$L:$L)),0)</f>
        <v>0</v>
      </c>
      <c r="O1538" s="30">
        <f>IFERROR((VLOOKUP($A1538,HeadJournal!$A$1:$L$890,COLUMN(HeadJournal!L$1),0)*($K1538+$L1538)/(SUMIF($A:$A,$A1538,$K:$K)+SUMIF($A:$A,$A1538,$L:$L)))/VLOOKUP($A1538,HeadJournal!$A$1:$L$890,COLUMN(HeadJournal!H$1),0),0)</f>
        <v>0.6006386424447262</v>
      </c>
      <c r="P1538" s="30">
        <f>IFERROR(SUM(K1538:O1538)*VLOOKUP($A1538,HeadJournal!$A$1:$L$890,COLUMN(HeadJournal!H$1),0),0)</f>
        <v>937.73428390367565</v>
      </c>
      <c r="Q1538" s="29"/>
      <c r="R1538" s="31"/>
      <c r="S1538" s="31"/>
      <c r="T1538" s="95" t="str">
        <f t="shared" si="120"/>
        <v/>
      </c>
      <c r="U1538" s="32">
        <f t="shared" si="122"/>
        <v>-937.73428390367565</v>
      </c>
      <c r="V1538" s="22" t="str">
        <f t="shared" si="123"/>
        <v/>
      </c>
      <c r="X1538" s="33"/>
      <c r="Y1538" s="33"/>
    </row>
    <row r="1539" spans="1:25" x14ac:dyDescent="0.2">
      <c r="A1539" s="93" t="s">
        <v>668</v>
      </c>
      <c r="B1539" s="94" t="str">
        <f>IFERROR(VLOOKUP($A1539,HeadJournal!$A$1:$NTR$890,COLUMN(HeadJournal!B$1),0),"")</f>
        <v>710000760111</v>
      </c>
      <c r="C1539" s="94" t="str">
        <f>IFERROR(VLOOKUP($A1539,HeadJournal!$A$1:$NTR$890,COLUMN(HeadJournal!C$1),0),"")</f>
        <v>iHerb_MH DLE7202</v>
      </c>
      <c r="D1539" s="125" t="str">
        <f>IFERROR(VLOOKUP($A1539,HeadJournal!$A$1:$NTR$890,COLUMN(HeadJournal!D$1),0),"")</f>
        <v>Доставлен</v>
      </c>
      <c r="E1539" s="95">
        <f>IFERROR(VLOOKUP($A1539,HeadJournal!$A$1:$NTR$890,COLUMN(HeadJournal!G$1),0),"")</f>
        <v>45042</v>
      </c>
      <c r="F1539" s="95" t="str">
        <f t="shared" si="119"/>
        <v>2023 04</v>
      </c>
      <c r="G1539" s="96" t="s">
        <v>5</v>
      </c>
      <c r="H1539" s="160" t="str">
        <f>RIGHT(Journal!$J1539,9)</f>
        <v>NOW-03151</v>
      </c>
      <c r="I1539" s="96" t="str">
        <f t="shared" si="121"/>
        <v>NOW Foods</v>
      </c>
      <c r="J1539" s="97" t="s">
        <v>674</v>
      </c>
      <c r="K1539" s="29">
        <v>25.06</v>
      </c>
      <c r="L1539" s="29">
        <v>-5.01</v>
      </c>
      <c r="M1539" s="30">
        <f>IFERROR(VLOOKUP($A1539,HeadJournal!$A$1:$J$890,COLUMN(HeadJournal!I$1),0)*($K1539+$L1539)/(SUMIF($A:$A,$A1539,$K:$K)+SUMIF($A:$A,$A1539,$L:$L)),0)</f>
        <v>1.5833577069318516</v>
      </c>
      <c r="N1539" s="30">
        <f>IFERROR((VLOOKUP($A1539,HeadJournal!$A$1:$K$890,COLUMN(HeadJournal!K$1),0)-VLOOKUP($A1539,HeadJournal!$A$1:$K$890,COLUMN(HeadJournal!J$1),0))*($K1539+$L1539)/(SUMIF($A:$A,$A1539,$K:$K)+SUMIF($A:$A,$A1539,$L:$L)),0)</f>
        <v>0</v>
      </c>
      <c r="O1539" s="30">
        <f>IFERROR((VLOOKUP($A1539,HeadJournal!$A$1:$L$890,COLUMN(HeadJournal!L$1),0)*($K1539+$L1539)/(SUMIF($A:$A,$A1539,$K:$K)+SUMIF($A:$A,$A1539,$L:$L)))/VLOOKUP($A1539,HeadJournal!$A$1:$L$890,COLUMN(HeadJournal!H$1),0),0)</f>
        <v>1.3233851407710724</v>
      </c>
      <c r="P1539" s="30">
        <f>IFERROR(SUM(K1539:O1539)*VLOOKUP($A1539,HeadJournal!$A$1:$L$890,COLUMN(HeadJournal!H$1),0),0)</f>
        <v>2066.1068562932633</v>
      </c>
      <c r="Q1539" s="29">
        <v>2750</v>
      </c>
      <c r="R1539" s="31">
        <v>45100</v>
      </c>
      <c r="S1539" s="31" t="s">
        <v>3121</v>
      </c>
      <c r="T1539" s="95" t="str">
        <f t="shared" si="120"/>
        <v>2023 06</v>
      </c>
      <c r="U1539" s="32">
        <f t="shared" si="122"/>
        <v>683.89314370673674</v>
      </c>
      <c r="V1539" s="22">
        <f t="shared" si="123"/>
        <v>0.33100569877285424</v>
      </c>
      <c r="X1539" s="33"/>
      <c r="Y1539" s="33"/>
    </row>
    <row r="1540" spans="1:25" x14ac:dyDescent="0.2">
      <c r="A1540" s="93" t="s">
        <v>668</v>
      </c>
      <c r="B1540" s="94" t="str">
        <f>IFERROR(VLOOKUP($A1540,HeadJournal!$A$1:$NTR$890,COLUMN(HeadJournal!B$1),0),"")</f>
        <v>710000760111</v>
      </c>
      <c r="C1540" s="94" t="str">
        <f>IFERROR(VLOOKUP($A1540,HeadJournal!$A$1:$NTR$890,COLUMN(HeadJournal!C$1),0),"")</f>
        <v>iHerb_MH DLE7202</v>
      </c>
      <c r="D1540" s="125" t="str">
        <f>IFERROR(VLOOKUP($A1540,HeadJournal!$A$1:$NTR$890,COLUMN(HeadJournal!D$1),0),"")</f>
        <v>Доставлен</v>
      </c>
      <c r="E1540" s="95">
        <f>IFERROR(VLOOKUP($A1540,HeadJournal!$A$1:$NTR$890,COLUMN(HeadJournal!G$1),0),"")</f>
        <v>45042</v>
      </c>
      <c r="F1540" s="95" t="str">
        <f t="shared" ref="F1540:F1603" si="124">IFERROR(TEXT(E1540, "ГГГГ ММ"),"")</f>
        <v>2023 04</v>
      </c>
      <c r="G1540" s="96" t="s">
        <v>6</v>
      </c>
      <c r="H1540" s="160" t="str">
        <f>RIGHT(Journal!$J1540,9)</f>
        <v>NRX-00741</v>
      </c>
      <c r="I1540" s="96" t="str">
        <f t="shared" si="121"/>
        <v>Nutrex Research</v>
      </c>
      <c r="J1540" s="97" t="s">
        <v>168</v>
      </c>
      <c r="K1540" s="29">
        <v>13.82</v>
      </c>
      <c r="L1540" s="29">
        <v>-1.38</v>
      </c>
      <c r="M1540" s="30">
        <f>IFERROR(VLOOKUP($A1540,HeadJournal!$A$1:$J$890,COLUMN(HeadJournal!I$1),0)*($K1540+$L1540)/(SUMIF($A:$A,$A1540,$K:$K)+SUMIF($A:$A,$A1540,$L:$L)),0)</f>
        <v>0.98239251243053549</v>
      </c>
      <c r="N1540" s="30">
        <f>IFERROR((VLOOKUP($A1540,HeadJournal!$A$1:$K$890,COLUMN(HeadJournal!K$1),0)-VLOOKUP($A1540,HeadJournal!$A$1:$K$890,COLUMN(HeadJournal!J$1),0))*($K1540+$L1540)/(SUMIF($A:$A,$A1540,$K:$K)+SUMIF($A:$A,$A1540,$L:$L)),0)</f>
        <v>0</v>
      </c>
      <c r="O1540" s="30">
        <f>IFERROR((VLOOKUP($A1540,HeadJournal!$A$1:$L$890,COLUMN(HeadJournal!L$1),0)*($K1540+$L1540)/(SUMIF($A:$A,$A1540,$K:$K)+SUMIF($A:$A,$A1540,$L:$L)))/VLOOKUP($A1540,HeadJournal!$A$1:$L$890,COLUMN(HeadJournal!H$1),0),0)</f>
        <v>0.82109282549586748</v>
      </c>
      <c r="P1540" s="30">
        <f>IFERROR(SUM(K1540:O1540)*VLOOKUP($A1540,HeadJournal!$A$1:$L$890,COLUMN(HeadJournal!H$1),0),0)</f>
        <v>1281.9136804133764</v>
      </c>
      <c r="Q1540" s="29">
        <v>2100</v>
      </c>
      <c r="R1540" s="31">
        <v>45251</v>
      </c>
      <c r="S1540" s="31" t="s">
        <v>3121</v>
      </c>
      <c r="T1540" s="95" t="str">
        <f t="shared" ref="T1540:T1603" si="125">IF(R1540="","",TEXT(R1540,"ГГГГ ММ"))</f>
        <v>2023 11</v>
      </c>
      <c r="U1540" s="32">
        <f t="shared" si="122"/>
        <v>818.08631958662363</v>
      </c>
      <c r="V1540" s="22">
        <f t="shared" si="123"/>
        <v>0.63817582422774111</v>
      </c>
      <c r="X1540" s="33"/>
      <c r="Y1540" s="33"/>
    </row>
    <row r="1541" spans="1:25" x14ac:dyDescent="0.2">
      <c r="A1541" s="93" t="s">
        <v>668</v>
      </c>
      <c r="B1541" s="94" t="str">
        <f>IFERROR(VLOOKUP($A1541,HeadJournal!$A$1:$NTR$890,COLUMN(HeadJournal!B$1),0),"")</f>
        <v>710000760111</v>
      </c>
      <c r="C1541" s="94" t="str">
        <f>IFERROR(VLOOKUP($A1541,HeadJournal!$A$1:$NTR$890,COLUMN(HeadJournal!C$1),0),"")</f>
        <v>iHerb_MH DLE7202</v>
      </c>
      <c r="D1541" s="125" t="str">
        <f>IFERROR(VLOOKUP($A1541,HeadJournal!$A$1:$NTR$890,COLUMN(HeadJournal!D$1),0),"")</f>
        <v>Доставлен</v>
      </c>
      <c r="E1541" s="95">
        <f>IFERROR(VLOOKUP($A1541,HeadJournal!$A$1:$NTR$890,COLUMN(HeadJournal!G$1),0),"")</f>
        <v>45042</v>
      </c>
      <c r="F1541" s="95" t="str">
        <f t="shared" si="124"/>
        <v>2023 04</v>
      </c>
      <c r="G1541" s="96" t="s">
        <v>5</v>
      </c>
      <c r="H1541" s="160" t="str">
        <f>RIGHT(Journal!$J1541,9)</f>
        <v>CEN-28026</v>
      </c>
      <c r="I1541" s="96" t="str">
        <f t="shared" si="121"/>
        <v>21st Century</v>
      </c>
      <c r="J1541" s="97" t="s">
        <v>32</v>
      </c>
      <c r="K1541" s="29">
        <v>2</v>
      </c>
      <c r="L1541" s="29">
        <v>-0.2</v>
      </c>
      <c r="M1541" s="30">
        <f>IFERROR(VLOOKUP($A1541,HeadJournal!$A$1:$J$890,COLUMN(HeadJournal!I$1),0)*($K1541+$L1541)/(SUMIF($A:$A,$A1541,$K:$K)+SUMIF($A:$A,$A1541,$L:$L)),0)</f>
        <v>0.14214682655747299</v>
      </c>
      <c r="N1541" s="30">
        <f>IFERROR((VLOOKUP($A1541,HeadJournal!$A$1:$K$890,COLUMN(HeadJournal!K$1),0)-VLOOKUP($A1541,HeadJournal!$A$1:$K$890,COLUMN(HeadJournal!J$1),0))*($K1541+$L1541)/(SUMIF($A:$A,$A1541,$K:$K)+SUMIF($A:$A,$A1541,$L:$L)),0)</f>
        <v>0</v>
      </c>
      <c r="O1541" s="30">
        <f>IFERROR((VLOOKUP($A1541,HeadJournal!$A$1:$L$890,COLUMN(HeadJournal!L$1),0)*($K1541+$L1541)/(SUMIF($A:$A,$A1541,$K:$K)+SUMIF($A:$A,$A1541,$L:$L)))/VLOOKUP($A1541,HeadJournal!$A$1:$L$890,COLUMN(HeadJournal!H$1),0),0)</f>
        <v>0.11880764356049529</v>
      </c>
      <c r="P1541" s="30">
        <f>IFERROR(SUM(K1541:O1541)*VLOOKUP($A1541,HeadJournal!$A$1:$L$890,COLUMN(HeadJournal!H$1),0),0)</f>
        <v>185.48590231061715</v>
      </c>
      <c r="Q1541" s="29">
        <v>500</v>
      </c>
      <c r="R1541" s="31">
        <v>45264</v>
      </c>
      <c r="S1541" s="31" t="s">
        <v>3121</v>
      </c>
      <c r="T1541" s="95" t="str">
        <f t="shared" si="125"/>
        <v>2023 12</v>
      </c>
      <c r="U1541" s="32">
        <f t="shared" si="122"/>
        <v>314.51409768938288</v>
      </c>
      <c r="V1541" s="22">
        <f t="shared" si="123"/>
        <v>1.6956226525652252</v>
      </c>
      <c r="X1541" s="33"/>
      <c r="Y1541" s="33"/>
    </row>
    <row r="1542" spans="1:25" x14ac:dyDescent="0.2">
      <c r="A1542" s="93" t="s">
        <v>668</v>
      </c>
      <c r="B1542" s="94" t="str">
        <f>IFERROR(VLOOKUP($A1542,HeadJournal!$A$1:$NTR$890,COLUMN(HeadJournal!B$1),0),"")</f>
        <v>710000760111</v>
      </c>
      <c r="C1542" s="94" t="str">
        <f>IFERROR(VLOOKUP($A1542,HeadJournal!$A$1:$NTR$890,COLUMN(HeadJournal!C$1),0),"")</f>
        <v>iHerb_MH DLE7202</v>
      </c>
      <c r="D1542" s="125" t="str">
        <f>IFERROR(VLOOKUP($A1542,HeadJournal!$A$1:$NTR$890,COLUMN(HeadJournal!D$1),0),"")</f>
        <v>Доставлен</v>
      </c>
      <c r="E1542" s="95">
        <f>IFERROR(VLOOKUP($A1542,HeadJournal!$A$1:$NTR$890,COLUMN(HeadJournal!G$1),0),"")</f>
        <v>45042</v>
      </c>
      <c r="F1542" s="95" t="str">
        <f t="shared" si="124"/>
        <v>2023 04</v>
      </c>
      <c r="G1542" s="96" t="s">
        <v>5</v>
      </c>
      <c r="H1542" s="160" t="str">
        <f>RIGHT(Journal!$J1542,9)</f>
        <v>NAP-03645</v>
      </c>
      <c r="I1542" s="96" t="str">
        <f t="shared" si="121"/>
        <v>NaturesPlus</v>
      </c>
      <c r="J1542" s="97" t="s">
        <v>675</v>
      </c>
      <c r="K1542" s="29">
        <v>9.19</v>
      </c>
      <c r="L1542" s="29">
        <v>-2.76</v>
      </c>
      <c r="M1542" s="30">
        <f>IFERROR(VLOOKUP($A1542,HeadJournal!$A$1:$J$890,COLUMN(HeadJournal!I$1),0)*($K1542+$L1542)/(SUMIF($A:$A,$A1542,$K:$K)+SUMIF($A:$A,$A1542,$L:$L)),0)</f>
        <v>0.5077800526469729</v>
      </c>
      <c r="N1542" s="30">
        <f>IFERROR((VLOOKUP($A1542,HeadJournal!$A$1:$K$890,COLUMN(HeadJournal!K$1),0)-VLOOKUP($A1542,HeadJournal!$A$1:$K$890,COLUMN(HeadJournal!J$1),0))*($K1542+$L1542)/(SUMIF($A:$A,$A1542,$K:$K)+SUMIF($A:$A,$A1542,$L:$L)),0)</f>
        <v>0</v>
      </c>
      <c r="O1542" s="30">
        <f>IFERROR((VLOOKUP($A1542,HeadJournal!$A$1:$L$890,COLUMN(HeadJournal!L$1),0)*($K1542+$L1542)/(SUMIF($A:$A,$A1542,$K:$K)+SUMIF($A:$A,$A1542,$L:$L)))/VLOOKUP($A1542,HeadJournal!$A$1:$L$890,COLUMN(HeadJournal!H$1),0),0)</f>
        <v>0.4244073044966582</v>
      </c>
      <c r="P1542" s="30">
        <f>IFERROR(SUM(K1542:O1542)*VLOOKUP($A1542,HeadJournal!$A$1:$L$890,COLUMN(HeadJournal!H$1),0),0)</f>
        <v>662.59686214292685</v>
      </c>
      <c r="Q1542" s="29">
        <v>1600</v>
      </c>
      <c r="R1542" s="31">
        <v>45218</v>
      </c>
      <c r="S1542" s="31" t="s">
        <v>3121</v>
      </c>
      <c r="T1542" s="95" t="str">
        <f t="shared" si="125"/>
        <v>2023 10</v>
      </c>
      <c r="U1542" s="32">
        <f t="shared" si="122"/>
        <v>937.40313785707315</v>
      </c>
      <c r="V1542" s="22">
        <f t="shared" si="123"/>
        <v>1.4147412875234362</v>
      </c>
      <c r="X1542" s="33"/>
      <c r="Y1542" s="33"/>
    </row>
    <row r="1543" spans="1:25" x14ac:dyDescent="0.2">
      <c r="A1543" s="93" t="s">
        <v>668</v>
      </c>
      <c r="B1543" s="94" t="str">
        <f>IFERROR(VLOOKUP($A1543,HeadJournal!$A$1:$NTR$890,COLUMN(HeadJournal!B$1),0),"")</f>
        <v>710000760111</v>
      </c>
      <c r="C1543" s="94" t="str">
        <f>IFERROR(VLOOKUP($A1543,HeadJournal!$A$1:$NTR$890,COLUMN(HeadJournal!C$1),0),"")</f>
        <v>iHerb_MH DLE7202</v>
      </c>
      <c r="D1543" s="125" t="str">
        <f>IFERROR(VLOOKUP($A1543,HeadJournal!$A$1:$NTR$890,COLUMN(HeadJournal!D$1),0),"")</f>
        <v>Доставлен</v>
      </c>
      <c r="E1543" s="95">
        <f>IFERROR(VLOOKUP($A1543,HeadJournal!$A$1:$NTR$890,COLUMN(HeadJournal!G$1),0),"")</f>
        <v>45042</v>
      </c>
      <c r="F1543" s="95" t="str">
        <f t="shared" si="124"/>
        <v>2023 04</v>
      </c>
      <c r="G1543" s="96" t="s">
        <v>5</v>
      </c>
      <c r="H1543" s="161" t="s">
        <v>2680</v>
      </c>
      <c r="I1543" s="97" t="s">
        <v>2681</v>
      </c>
      <c r="J1543" s="97" t="s">
        <v>3853</v>
      </c>
      <c r="K1543" s="29">
        <v>5.68</v>
      </c>
      <c r="L1543" s="29">
        <v>-0.56999999999999995</v>
      </c>
      <c r="M1543" s="30">
        <f>IFERROR(VLOOKUP($A1543,HeadJournal!$A$1:$J$890,COLUMN(HeadJournal!I$1),0)*($K1543+$L1543)/(SUMIF($A:$A,$A1543,$K:$K)+SUMIF($A:$A,$A1543,$L:$L)),0)</f>
        <v>0.40353904650482603</v>
      </c>
      <c r="N1543" s="30">
        <f>IFERROR((VLOOKUP($A1543,HeadJournal!$A$1:$K$890,COLUMN(HeadJournal!K$1),0)-VLOOKUP($A1543,HeadJournal!$A$1:$K$890,COLUMN(HeadJournal!J$1),0))*($K1543+$L1543)/(SUMIF($A:$A,$A1543,$K:$K)+SUMIF($A:$A,$A1543,$L:$L)),0)</f>
        <v>0</v>
      </c>
      <c r="O1543" s="30">
        <f>IFERROR((VLOOKUP($A1543,HeadJournal!$A$1:$L$890,COLUMN(HeadJournal!L$1),0)*($K1543+$L1543)/(SUMIF($A:$A,$A1543,$K:$K)+SUMIF($A:$A,$A1543,$L:$L)))/VLOOKUP($A1543,HeadJournal!$A$1:$L$890,COLUMN(HeadJournal!H$1),0),0)</f>
        <v>0.33728169921896162</v>
      </c>
      <c r="P1543" s="30">
        <f>IFERROR(SUM(K1543:O1543)*VLOOKUP($A1543,HeadJournal!$A$1:$L$890,COLUMN(HeadJournal!H$1),0),0)</f>
        <v>526.57386711514084</v>
      </c>
      <c r="Q1543" s="29">
        <v>1000</v>
      </c>
      <c r="R1543" s="31">
        <v>45084</v>
      </c>
      <c r="S1543" s="31" t="s">
        <v>3121</v>
      </c>
      <c r="T1543" s="95" t="str">
        <f t="shared" si="125"/>
        <v>2023 06</v>
      </c>
      <c r="U1543" s="32">
        <f t="shared" si="122"/>
        <v>473.42613288485916</v>
      </c>
      <c r="V1543" s="22">
        <f t="shared" si="123"/>
        <v>0.89906879632775172</v>
      </c>
      <c r="X1543" s="33"/>
      <c r="Y1543" s="33"/>
    </row>
    <row r="1544" spans="1:25" x14ac:dyDescent="0.2">
      <c r="A1544" s="93" t="s">
        <v>668</v>
      </c>
      <c r="B1544" s="94" t="str">
        <f>IFERROR(VLOOKUP($A1544,HeadJournal!$A$1:$NTR$890,COLUMN(HeadJournal!B$1),0),"")</f>
        <v>710000760111</v>
      </c>
      <c r="C1544" s="94" t="str">
        <f>IFERROR(VLOOKUP($A1544,HeadJournal!$A$1:$NTR$890,COLUMN(HeadJournal!C$1),0),"")</f>
        <v>iHerb_MH DLE7202</v>
      </c>
      <c r="D1544" s="125" t="str">
        <f>IFERROR(VLOOKUP($A1544,HeadJournal!$A$1:$NTR$890,COLUMN(HeadJournal!D$1),0),"")</f>
        <v>Доставлен</v>
      </c>
      <c r="E1544" s="95">
        <f>IFERROR(VLOOKUP($A1544,HeadJournal!$A$1:$NTR$890,COLUMN(HeadJournal!G$1),0),"")</f>
        <v>45042</v>
      </c>
      <c r="F1544" s="95" t="str">
        <f t="shared" si="124"/>
        <v>2023 04</v>
      </c>
      <c r="G1544" s="96" t="s">
        <v>5</v>
      </c>
      <c r="H1544" s="161" t="s">
        <v>2462</v>
      </c>
      <c r="I1544" s="97" t="s">
        <v>2005</v>
      </c>
      <c r="J1544" s="97" t="s">
        <v>2463</v>
      </c>
      <c r="K1544" s="29">
        <v>6.73</v>
      </c>
      <c r="L1544" s="29">
        <v>-0.67500000000000004</v>
      </c>
      <c r="M1544" s="30">
        <f>IFERROR(VLOOKUP($A1544,HeadJournal!$A$1:$J$890,COLUMN(HeadJournal!I$1),0)*($K1544+$L1544)/(SUMIF($A:$A,$A1544,$K:$K)+SUMIF($A:$A,$A1544,$L:$L)),0)</f>
        <v>0.47816613044749939</v>
      </c>
      <c r="N1544" s="30">
        <f>IFERROR((VLOOKUP($A1544,HeadJournal!$A$1:$K$890,COLUMN(HeadJournal!K$1),0)-VLOOKUP($A1544,HeadJournal!$A$1:$K$890,COLUMN(HeadJournal!J$1),0))*($K1544+$L1544)/(SUMIF($A:$A,$A1544,$K:$K)+SUMIF($A:$A,$A1544,$L:$L)),0)</f>
        <v>0</v>
      </c>
      <c r="O1544" s="30">
        <f>IFERROR((VLOOKUP($A1544,HeadJournal!$A$1:$L$890,COLUMN(HeadJournal!L$1),0)*($K1544+$L1544)/(SUMIF($A:$A,$A1544,$K:$K)+SUMIF($A:$A,$A1544,$L:$L)))/VLOOKUP($A1544,HeadJournal!$A$1:$L$890,COLUMN(HeadJournal!H$1),0),0)</f>
        <v>0.3996557120882217</v>
      </c>
      <c r="P1544" s="30">
        <f>IFERROR(SUM(K1544:O1544)*VLOOKUP($A1544,HeadJournal!$A$1:$L$890,COLUMN(HeadJournal!H$1),0),0)</f>
        <v>623.9539658282149</v>
      </c>
      <c r="Q1544" s="29">
        <v>1000</v>
      </c>
      <c r="R1544" s="31">
        <v>45083</v>
      </c>
      <c r="S1544" s="31" t="s">
        <v>3121</v>
      </c>
      <c r="T1544" s="95" t="str">
        <f t="shared" si="125"/>
        <v>2023 06</v>
      </c>
      <c r="U1544" s="32">
        <f t="shared" si="122"/>
        <v>376.0460341717851</v>
      </c>
      <c r="V1544" s="22">
        <f t="shared" si="123"/>
        <v>0.60268233678527006</v>
      </c>
      <c r="X1544" s="33"/>
      <c r="Y1544" s="33"/>
    </row>
    <row r="1545" spans="1:25" x14ac:dyDescent="0.2">
      <c r="A1545" s="93" t="s">
        <v>668</v>
      </c>
      <c r="B1545" s="94" t="str">
        <f>IFERROR(VLOOKUP($A1545,HeadJournal!$A$1:$NTR$890,COLUMN(HeadJournal!B$1),0),"")</f>
        <v>710000760111</v>
      </c>
      <c r="C1545" s="94" t="str">
        <f>IFERROR(VLOOKUP($A1545,HeadJournal!$A$1:$NTR$890,COLUMN(HeadJournal!C$1),0),"")</f>
        <v>iHerb_MH DLE7202</v>
      </c>
      <c r="D1545" s="125" t="str">
        <f>IFERROR(VLOOKUP($A1545,HeadJournal!$A$1:$NTR$890,COLUMN(HeadJournal!D$1),0),"")</f>
        <v>Доставлен</v>
      </c>
      <c r="E1545" s="95">
        <f>IFERROR(VLOOKUP($A1545,HeadJournal!$A$1:$NTR$890,COLUMN(HeadJournal!G$1),0),"")</f>
        <v>45042</v>
      </c>
      <c r="F1545" s="95" t="str">
        <f t="shared" si="124"/>
        <v>2023 04</v>
      </c>
      <c r="G1545" s="96" t="s">
        <v>5</v>
      </c>
      <c r="H1545" s="161" t="s">
        <v>2462</v>
      </c>
      <c r="I1545" s="97" t="s">
        <v>2005</v>
      </c>
      <c r="J1545" s="97" t="s">
        <v>2463</v>
      </c>
      <c r="K1545" s="29">
        <v>6.73</v>
      </c>
      <c r="L1545" s="29">
        <v>-0.67500000000000004</v>
      </c>
      <c r="M1545" s="30">
        <f>IFERROR(VLOOKUP($A1545,HeadJournal!$A$1:$J$890,COLUMN(HeadJournal!I$1),0)*($K1545+$L1545)/(SUMIF($A:$A,$A1545,$K:$K)+SUMIF($A:$A,$A1545,$L:$L)),0)</f>
        <v>0.47816613044749939</v>
      </c>
      <c r="N1545" s="30">
        <f>IFERROR((VLOOKUP($A1545,HeadJournal!$A$1:$K$890,COLUMN(HeadJournal!K$1),0)-VLOOKUP($A1545,HeadJournal!$A$1:$K$890,COLUMN(HeadJournal!J$1),0))*($K1545+$L1545)/(SUMIF($A:$A,$A1545,$K:$K)+SUMIF($A:$A,$A1545,$L:$L)),0)</f>
        <v>0</v>
      </c>
      <c r="O1545" s="30">
        <f>IFERROR((VLOOKUP($A1545,HeadJournal!$A$1:$L$890,COLUMN(HeadJournal!L$1),0)*($K1545+$L1545)/(SUMIF($A:$A,$A1545,$K:$K)+SUMIF($A:$A,$A1545,$L:$L)))/VLOOKUP($A1545,HeadJournal!$A$1:$L$890,COLUMN(HeadJournal!H$1),0),0)</f>
        <v>0.3996557120882217</v>
      </c>
      <c r="P1545" s="30">
        <f>IFERROR(SUM(K1545:O1545)*VLOOKUP($A1545,HeadJournal!$A$1:$L$890,COLUMN(HeadJournal!H$1),0),0)</f>
        <v>623.9539658282149</v>
      </c>
      <c r="Q1545" s="29">
        <v>1200</v>
      </c>
      <c r="R1545" s="31">
        <v>45090</v>
      </c>
      <c r="S1545" s="31" t="s">
        <v>3121</v>
      </c>
      <c r="T1545" s="95" t="str">
        <f t="shared" si="125"/>
        <v>2023 06</v>
      </c>
      <c r="U1545" s="32">
        <f t="shared" si="122"/>
        <v>576.0460341717851</v>
      </c>
      <c r="V1545" s="22">
        <f t="shared" si="123"/>
        <v>0.92321880414232405</v>
      </c>
      <c r="X1545" s="33"/>
      <c r="Y1545" s="33"/>
    </row>
    <row r="1546" spans="1:25" x14ac:dyDescent="0.2">
      <c r="A1546" s="93" t="s">
        <v>668</v>
      </c>
      <c r="B1546" s="94" t="str">
        <f>IFERROR(VLOOKUP($A1546,HeadJournal!$A$1:$NTR$890,COLUMN(HeadJournal!B$1),0),"")</f>
        <v>710000760111</v>
      </c>
      <c r="C1546" s="94" t="str">
        <f>IFERROR(VLOOKUP($A1546,HeadJournal!$A$1:$NTR$890,COLUMN(HeadJournal!C$1),0),"")</f>
        <v>iHerb_MH DLE7202</v>
      </c>
      <c r="D1546" s="125" t="str">
        <f>IFERROR(VLOOKUP($A1546,HeadJournal!$A$1:$NTR$890,COLUMN(HeadJournal!D$1),0),"")</f>
        <v>Доставлен</v>
      </c>
      <c r="E1546" s="95">
        <f>IFERROR(VLOOKUP($A1546,HeadJournal!$A$1:$NTR$890,COLUMN(HeadJournal!G$1),0),"")</f>
        <v>45042</v>
      </c>
      <c r="F1546" s="95" t="str">
        <f t="shared" si="124"/>
        <v>2023 04</v>
      </c>
      <c r="G1546" s="96" t="s">
        <v>6</v>
      </c>
      <c r="H1546" s="160" t="str">
        <f>RIGHT(Journal!$J1546,9)</f>
        <v>EVL-02045</v>
      </c>
      <c r="I1546" s="96" t="str">
        <f t="shared" si="121"/>
        <v>EVLution Nutrition</v>
      </c>
      <c r="J1546" s="97" t="s">
        <v>676</v>
      </c>
      <c r="K1546" s="29">
        <v>16.989999999999998</v>
      </c>
      <c r="L1546" s="29">
        <v>-3.4</v>
      </c>
      <c r="M1546" s="30">
        <f>IFERROR(VLOOKUP($A1546,HeadJournal!$A$1:$J$890,COLUMN(HeadJournal!I$1),0)*($K1546+$L1546)/(SUMIF($A:$A,$A1546,$K:$K)+SUMIF($A:$A,$A1546,$L:$L)),0)</f>
        <v>1.0732085405089209</v>
      </c>
      <c r="N1546" s="30">
        <f>IFERROR((VLOOKUP($A1546,HeadJournal!$A$1:$K$890,COLUMN(HeadJournal!K$1),0)-VLOOKUP($A1546,HeadJournal!$A$1:$K$890,COLUMN(HeadJournal!J$1),0))*($K1546+$L1546)/(SUMIF($A:$A,$A1546,$K:$K)+SUMIF($A:$A,$A1546,$L:$L)),0)</f>
        <v>0</v>
      </c>
      <c r="O1546" s="30">
        <f>IFERROR((VLOOKUP($A1546,HeadJournal!$A$1:$L$890,COLUMN(HeadJournal!L$1),0)*($K1546+$L1546)/(SUMIF($A:$A,$A1546,$K:$K)+SUMIF($A:$A,$A1546,$L:$L)))/VLOOKUP($A1546,HeadJournal!$A$1:$L$890,COLUMN(HeadJournal!H$1),0),0)</f>
        <v>0.89699770888173935</v>
      </c>
      <c r="P1546" s="30">
        <f>IFERROR(SUM(K1546:O1546)*VLOOKUP($A1546,HeadJournal!$A$1:$L$890,COLUMN(HeadJournal!H$1),0),0)</f>
        <v>1400.4185624451593</v>
      </c>
      <c r="Q1546" s="29"/>
      <c r="R1546" s="31"/>
      <c r="S1546" s="31"/>
      <c r="T1546" s="95" t="str">
        <f t="shared" si="125"/>
        <v/>
      </c>
      <c r="U1546" s="32">
        <f t="shared" si="122"/>
        <v>-1400.4185624451593</v>
      </c>
      <c r="V1546" s="22" t="str">
        <f t="shared" si="123"/>
        <v/>
      </c>
      <c r="X1546" s="33"/>
      <c r="Y1546" s="33"/>
    </row>
    <row r="1547" spans="1:25" x14ac:dyDescent="0.2">
      <c r="A1547" s="93" t="s">
        <v>677</v>
      </c>
      <c r="B1547" s="94" t="str">
        <f>IFERROR(VLOOKUP($A1547,HeadJournal!$A$1:$NTR$890,COLUMN(HeadJournal!B$1),0),"")</f>
        <v>710000772381</v>
      </c>
      <c r="C1547" s="94" t="str">
        <f>IFERROR(VLOOKUP($A1547,HeadJournal!$A$1:$NTR$890,COLUMN(HeadJournal!C$1),0),"")</f>
        <v>iHerb_AV CYG0792</v>
      </c>
      <c r="D1547" s="125" t="str">
        <f>IFERROR(VLOOKUP($A1547,HeadJournal!$A$1:$NTR$890,COLUMN(HeadJournal!D$1),0),"")</f>
        <v>Доставлен</v>
      </c>
      <c r="E1547" s="95">
        <f>IFERROR(VLOOKUP($A1547,HeadJournal!$A$1:$NTR$890,COLUMN(HeadJournal!G$1),0),"")</f>
        <v>45049</v>
      </c>
      <c r="F1547" s="95" t="str">
        <f t="shared" si="124"/>
        <v>2023 05</v>
      </c>
      <c r="G1547" s="96" t="s">
        <v>7</v>
      </c>
      <c r="H1547" s="160" t="str">
        <f>RIGHT(Journal!$J1547,9)</f>
        <v>DME-04100</v>
      </c>
      <c r="I1547" s="96" t="str">
        <f t="shared" si="121"/>
        <v>DERMA E</v>
      </c>
      <c r="J1547" s="97" t="s">
        <v>678</v>
      </c>
      <c r="K1547" s="29">
        <v>21.7</v>
      </c>
      <c r="L1547" s="29">
        <v>-2.17</v>
      </c>
      <c r="M1547" s="30">
        <f>IFERROR(VLOOKUP($A1547,HeadJournal!$A$1:$J$890,COLUMN(HeadJournal!I$1),0)*($K1547+$L1547)/(SUMIF($A:$A,$A1547,$K:$K)+SUMIF($A:$A,$A1547,$L:$L)),0)</f>
        <v>1.2479911728019959</v>
      </c>
      <c r="N1547" s="30">
        <f>IFERROR((VLOOKUP($A1547,HeadJournal!$A$1:$K$890,COLUMN(HeadJournal!K$1),0)-VLOOKUP($A1547,HeadJournal!$A$1:$K$890,COLUMN(HeadJournal!J$1),0))*($K1547+$L1547)/(SUMIF($A:$A,$A1547,$K:$K)+SUMIF($A:$A,$A1547,$L:$L)),0)</f>
        <v>-3.5505548033120558E-15</v>
      </c>
      <c r="O1547" s="30">
        <f>IFERROR((VLOOKUP($A1547,HeadJournal!$A$1:$L$890,COLUMN(HeadJournal!L$1),0)*($K1547+$L1547)/(SUMIF($A:$A,$A1547,$K:$K)+SUMIF($A:$A,$A1547,$L:$L)))/VLOOKUP($A1547,HeadJournal!$A$1:$L$890,COLUMN(HeadJournal!H$1),0),0)</f>
        <v>0.98637057035869646</v>
      </c>
      <c r="P1547" s="30">
        <f>IFERROR(SUM(K1547:O1547)*VLOOKUP($A1547,HeadJournal!$A$1:$L$890,COLUMN(HeadJournal!H$1),0),0)</f>
        <v>1978.9598404068186</v>
      </c>
      <c r="Q1547" s="29">
        <v>2500</v>
      </c>
      <c r="R1547" s="31">
        <v>45083</v>
      </c>
      <c r="S1547" s="31" t="s">
        <v>3121</v>
      </c>
      <c r="T1547" s="95" t="str">
        <f t="shared" si="125"/>
        <v>2023 06</v>
      </c>
      <c r="U1547" s="32">
        <f t="shared" si="122"/>
        <v>521.04015959318144</v>
      </c>
      <c r="V1547" s="22">
        <f t="shared" si="123"/>
        <v>0.26328991066643892</v>
      </c>
      <c r="X1547" s="33"/>
      <c r="Y1547" s="33"/>
    </row>
    <row r="1548" spans="1:25" x14ac:dyDescent="0.2">
      <c r="A1548" s="93" t="s">
        <v>677</v>
      </c>
      <c r="B1548" s="94" t="str">
        <f>IFERROR(VLOOKUP($A1548,HeadJournal!$A$1:$NTR$890,COLUMN(HeadJournal!B$1),0),"")</f>
        <v>710000772381</v>
      </c>
      <c r="C1548" s="94" t="str">
        <f>IFERROR(VLOOKUP($A1548,HeadJournal!$A$1:$NTR$890,COLUMN(HeadJournal!C$1),0),"")</f>
        <v>iHerb_AV CYG0792</v>
      </c>
      <c r="D1548" s="125" t="str">
        <f>IFERROR(VLOOKUP($A1548,HeadJournal!$A$1:$NTR$890,COLUMN(HeadJournal!D$1),0),"")</f>
        <v>Доставлен</v>
      </c>
      <c r="E1548" s="95">
        <f>IFERROR(VLOOKUP($A1548,HeadJournal!$A$1:$NTR$890,COLUMN(HeadJournal!G$1),0),"")</f>
        <v>45049</v>
      </c>
      <c r="F1548" s="95" t="str">
        <f t="shared" si="124"/>
        <v>2023 05</v>
      </c>
      <c r="G1548" s="96" t="s">
        <v>7</v>
      </c>
      <c r="H1548" s="160" t="str">
        <f>RIGHT(Journal!$J1548,9)</f>
        <v>DME-00466</v>
      </c>
      <c r="I1548" s="96" t="str">
        <f t="shared" si="121"/>
        <v>DERMA E</v>
      </c>
      <c r="J1548" s="97" t="s">
        <v>679</v>
      </c>
      <c r="K1548" s="29">
        <v>28.94</v>
      </c>
      <c r="L1548" s="29">
        <v>-2.89</v>
      </c>
      <c r="M1548" s="30">
        <f>IFERROR(VLOOKUP($A1548,HeadJournal!$A$1:$J$890,COLUMN(HeadJournal!I$1),0)*($K1548+$L1548)/(SUMIF($A:$A,$A1548,$K:$K)+SUMIF($A:$A,$A1548,$L:$L)),0)</f>
        <v>1.6646272427799282</v>
      </c>
      <c r="N1548" s="30">
        <f>IFERROR((VLOOKUP($A1548,HeadJournal!$A$1:$K$890,COLUMN(HeadJournal!K$1),0)-VLOOKUP($A1548,HeadJournal!$A$1:$K$890,COLUMN(HeadJournal!J$1),0))*($K1548+$L1548)/(SUMIF($A:$A,$A1548,$K:$K)+SUMIF($A:$A,$A1548,$L:$L)),0)</f>
        <v>-4.7358910714940634E-15</v>
      </c>
      <c r="O1548" s="30">
        <f>IFERROR((VLOOKUP($A1548,HeadJournal!$A$1:$L$890,COLUMN(HeadJournal!L$1),0)*($K1548+$L1548)/(SUMIF($A:$A,$A1548,$K:$K)+SUMIF($A:$A,$A1548,$L:$L)))/VLOOKUP($A1548,HeadJournal!$A$1:$L$890,COLUMN(HeadJournal!H$1),0),0)</f>
        <v>1.315665814533745</v>
      </c>
      <c r="P1548" s="30">
        <f>IFERROR(SUM(K1548:O1548)*VLOOKUP($A1548,HeadJournal!$A$1:$L$890,COLUMN(HeadJournal!H$1),0),0)</f>
        <v>2639.6264128314197</v>
      </c>
      <c r="Q1548" s="29">
        <v>3200</v>
      </c>
      <c r="R1548" s="31">
        <v>45083</v>
      </c>
      <c r="S1548" s="31" t="s">
        <v>3121</v>
      </c>
      <c r="T1548" s="95" t="str">
        <f t="shared" si="125"/>
        <v>2023 06</v>
      </c>
      <c r="U1548" s="32">
        <f t="shared" si="122"/>
        <v>560.37358716858034</v>
      </c>
      <c r="V1548" s="22">
        <f t="shared" si="123"/>
        <v>0.21229276402318253</v>
      </c>
      <c r="X1548" s="33"/>
      <c r="Y1548" s="33"/>
    </row>
    <row r="1549" spans="1:25" x14ac:dyDescent="0.2">
      <c r="A1549" s="93" t="s">
        <v>677</v>
      </c>
      <c r="B1549" s="94" t="str">
        <f>IFERROR(VLOOKUP($A1549,HeadJournal!$A$1:$NTR$890,COLUMN(HeadJournal!B$1),0),"")</f>
        <v>710000772381</v>
      </c>
      <c r="C1549" s="94" t="str">
        <f>IFERROR(VLOOKUP($A1549,HeadJournal!$A$1:$NTR$890,COLUMN(HeadJournal!C$1),0),"")</f>
        <v>iHerb_AV CYG0792</v>
      </c>
      <c r="D1549" s="125" t="str">
        <f>IFERROR(VLOOKUP($A1549,HeadJournal!$A$1:$NTR$890,COLUMN(HeadJournal!D$1),0),"")</f>
        <v>Доставлен</v>
      </c>
      <c r="E1549" s="95">
        <f>IFERROR(VLOOKUP($A1549,HeadJournal!$A$1:$NTR$890,COLUMN(HeadJournal!G$1),0),"")</f>
        <v>45049</v>
      </c>
      <c r="F1549" s="95" t="str">
        <f t="shared" si="124"/>
        <v>2023 05</v>
      </c>
      <c r="G1549" s="96" t="s">
        <v>7</v>
      </c>
      <c r="H1549" s="160" t="str">
        <f>RIGHT(Journal!$J1549,9)</f>
        <v>DME-00775</v>
      </c>
      <c r="I1549" s="96" t="str">
        <f t="shared" si="121"/>
        <v>DERMA E</v>
      </c>
      <c r="J1549" s="97" t="s">
        <v>680</v>
      </c>
      <c r="K1549" s="29">
        <v>28.51</v>
      </c>
      <c r="L1549" s="29">
        <v>-2.85</v>
      </c>
      <c r="M1549" s="30">
        <f>IFERROR(VLOOKUP($A1549,HeadJournal!$A$1:$J$890,COLUMN(HeadJournal!I$1),0)*($K1549+$L1549)/(SUMIF($A:$A,$A1549,$K:$K)+SUMIF($A:$A,$A1549,$L:$L)),0)</f>
        <v>1.6397057600665239</v>
      </c>
      <c r="N1549" s="30">
        <f>IFERROR((VLOOKUP($A1549,HeadJournal!$A$1:$K$890,COLUMN(HeadJournal!K$1),0)-VLOOKUP($A1549,HeadJournal!$A$1:$K$890,COLUMN(HeadJournal!J$1),0))*($K1549+$L1549)/(SUMIF($A:$A,$A1549,$K:$K)+SUMIF($A:$A,$A1549,$L:$L)),0)</f>
        <v>-4.6649890554525011E-15</v>
      </c>
      <c r="O1549" s="30">
        <f>IFERROR((VLOOKUP($A1549,HeadJournal!$A$1:$L$890,COLUMN(HeadJournal!L$1),0)*($K1549+$L1549)/(SUMIF($A:$A,$A1549,$K:$K)+SUMIF($A:$A,$A1549,$L:$L)))/VLOOKUP($A1549,HeadJournal!$A$1:$L$890,COLUMN(HeadJournal!H$1),0),0)</f>
        <v>1.2959687063699001</v>
      </c>
      <c r="P1549" s="30">
        <f>IFERROR(SUM(K1549:O1549)*VLOOKUP($A1549,HeadJournal!$A$1:$L$890,COLUMN(HeadJournal!H$1),0),0)</f>
        <v>2600.1080135606226</v>
      </c>
      <c r="Q1549" s="29">
        <v>3400</v>
      </c>
      <c r="R1549" s="31">
        <v>45083</v>
      </c>
      <c r="S1549" s="31" t="s">
        <v>3121</v>
      </c>
      <c r="T1549" s="95" t="str">
        <f t="shared" si="125"/>
        <v>2023 06</v>
      </c>
      <c r="U1549" s="32">
        <f t="shared" si="122"/>
        <v>799.89198643937743</v>
      </c>
      <c r="V1549" s="22">
        <f t="shared" si="123"/>
        <v>0.30763798360207145</v>
      </c>
      <c r="X1549" s="33"/>
      <c r="Y1549" s="33"/>
    </row>
    <row r="1550" spans="1:25" x14ac:dyDescent="0.2">
      <c r="A1550" s="93" t="s">
        <v>677</v>
      </c>
      <c r="B1550" s="94" t="str">
        <f>IFERROR(VLOOKUP($A1550,HeadJournal!$A$1:$NTR$890,COLUMN(HeadJournal!B$1),0),"")</f>
        <v>710000772381</v>
      </c>
      <c r="C1550" s="94" t="str">
        <f>IFERROR(VLOOKUP($A1550,HeadJournal!$A$1:$NTR$890,COLUMN(HeadJournal!C$1),0),"")</f>
        <v>iHerb_AV CYG0792</v>
      </c>
      <c r="D1550" s="125" t="str">
        <f>IFERROR(VLOOKUP($A1550,HeadJournal!$A$1:$NTR$890,COLUMN(HeadJournal!D$1),0),"")</f>
        <v>Доставлен</v>
      </c>
      <c r="E1550" s="95">
        <f>IFERROR(VLOOKUP($A1550,HeadJournal!$A$1:$NTR$890,COLUMN(HeadJournal!G$1),0),"")</f>
        <v>45049</v>
      </c>
      <c r="F1550" s="95" t="str">
        <f t="shared" si="124"/>
        <v>2023 05</v>
      </c>
      <c r="G1550" s="96" t="s">
        <v>5</v>
      </c>
      <c r="H1550" s="160" t="str">
        <f>RIGHT(Journal!$J1550,9)</f>
        <v>NOW-01298</v>
      </c>
      <c r="I1550" s="96" t="str">
        <f t="shared" ref="I1550:I1612" si="126">IFERROR(LEFT(J1550,FIND(",",J1550)-1),"")</f>
        <v>NOW Foods</v>
      </c>
      <c r="J1550" s="97" t="s">
        <v>453</v>
      </c>
      <c r="K1550" s="29">
        <v>20.73</v>
      </c>
      <c r="L1550" s="29">
        <v>-4.1449999999999996</v>
      </c>
      <c r="M1550" s="30">
        <f>IFERROR(VLOOKUP($A1550,HeadJournal!$A$1:$J$890,COLUMN(HeadJournal!I$1),0)*($K1550+$L1550)/(SUMIF($A:$A,$A1550,$K:$K)+SUMIF($A:$A,$A1550,$L:$L)),0)</f>
        <v>1.0598020276969331</v>
      </c>
      <c r="N1550" s="30">
        <f>IFERROR((VLOOKUP($A1550,HeadJournal!$A$1:$K$890,COLUMN(HeadJournal!K$1),0)-VLOOKUP($A1550,HeadJournal!$A$1:$K$890,COLUMN(HeadJournal!J$1),0))*($K1550+$L1550)/(SUMIF($A:$A,$A1550,$K:$K)+SUMIF($A:$A,$A1550,$L:$L)),0)</f>
        <v>-3.0151536821776985E-15</v>
      </c>
      <c r="O1550" s="30">
        <f>IFERROR((VLOOKUP($A1550,HeadJournal!$A$1:$L$890,COLUMN(HeadJournal!L$1),0)*($K1550+$L1550)/(SUMIF($A:$A,$A1550,$K:$K)+SUMIF($A:$A,$A1550,$L:$L)))/VLOOKUP($A1550,HeadJournal!$A$1:$L$890,COLUMN(HeadJournal!H$1),0),0)</f>
        <v>0.83763215101889299</v>
      </c>
      <c r="P1550" s="30">
        <f>IFERROR(SUM(K1550:O1550)*VLOOKUP($A1550,HeadJournal!$A$1:$L$890,COLUMN(HeadJournal!H$1),0),0)</f>
        <v>1680.5452612978538</v>
      </c>
      <c r="Q1550" s="29">
        <v>2500</v>
      </c>
      <c r="R1550" s="31">
        <v>45083</v>
      </c>
      <c r="S1550" s="31" t="s">
        <v>3121</v>
      </c>
      <c r="T1550" s="95" t="str">
        <f t="shared" si="125"/>
        <v>2023 06</v>
      </c>
      <c r="U1550" s="32">
        <f t="shared" si="122"/>
        <v>819.45473870214619</v>
      </c>
      <c r="V1550" s="22">
        <f t="shared" si="123"/>
        <v>0.48761241816795614</v>
      </c>
      <c r="X1550" s="33"/>
      <c r="Y1550" s="33"/>
    </row>
    <row r="1551" spans="1:25" x14ac:dyDescent="0.2">
      <c r="A1551" s="93" t="s">
        <v>677</v>
      </c>
      <c r="B1551" s="94" t="str">
        <f>IFERROR(VLOOKUP($A1551,HeadJournal!$A$1:$NTR$890,COLUMN(HeadJournal!B$1),0),"")</f>
        <v>710000772381</v>
      </c>
      <c r="C1551" s="94" t="str">
        <f>IFERROR(VLOOKUP($A1551,HeadJournal!$A$1:$NTR$890,COLUMN(HeadJournal!C$1),0),"")</f>
        <v>iHerb_AV CYG0792</v>
      </c>
      <c r="D1551" s="125" t="str">
        <f>IFERROR(VLOOKUP($A1551,HeadJournal!$A$1:$NTR$890,COLUMN(HeadJournal!D$1),0),"")</f>
        <v>Доставлен</v>
      </c>
      <c r="E1551" s="95">
        <f>IFERROR(VLOOKUP($A1551,HeadJournal!$A$1:$NTR$890,COLUMN(HeadJournal!G$1),0),"")</f>
        <v>45049</v>
      </c>
      <c r="F1551" s="95" t="str">
        <f t="shared" si="124"/>
        <v>2023 05</v>
      </c>
      <c r="G1551" s="96" t="s">
        <v>5</v>
      </c>
      <c r="H1551" s="160" t="str">
        <f>RIGHT(Journal!$J1551,9)</f>
        <v>NOW-01298</v>
      </c>
      <c r="I1551" s="96" t="str">
        <f t="shared" si="126"/>
        <v>NOW Foods</v>
      </c>
      <c r="J1551" s="97" t="s">
        <v>453</v>
      </c>
      <c r="K1551" s="29">
        <v>20.73</v>
      </c>
      <c r="L1551" s="29">
        <v>-4.1449999999999996</v>
      </c>
      <c r="M1551" s="30">
        <f>IFERROR(VLOOKUP($A1551,HeadJournal!$A$1:$J$890,COLUMN(HeadJournal!I$1),0)*($K1551+$L1551)/(SUMIF($A:$A,$A1551,$K:$K)+SUMIF($A:$A,$A1551,$L:$L)),0)</f>
        <v>1.0598020276969331</v>
      </c>
      <c r="N1551" s="30">
        <f>IFERROR((VLOOKUP($A1551,HeadJournal!$A$1:$K$890,COLUMN(HeadJournal!K$1),0)-VLOOKUP($A1551,HeadJournal!$A$1:$K$890,COLUMN(HeadJournal!J$1),0))*($K1551+$L1551)/(SUMIF($A:$A,$A1551,$K:$K)+SUMIF($A:$A,$A1551,$L:$L)),0)</f>
        <v>-3.0151536821776985E-15</v>
      </c>
      <c r="O1551" s="30">
        <f>IFERROR((VLOOKUP($A1551,HeadJournal!$A$1:$L$890,COLUMN(HeadJournal!L$1),0)*($K1551+$L1551)/(SUMIF($A:$A,$A1551,$K:$K)+SUMIF($A:$A,$A1551,$L:$L)))/VLOOKUP($A1551,HeadJournal!$A$1:$L$890,COLUMN(HeadJournal!H$1),0),0)</f>
        <v>0.83763215101889299</v>
      </c>
      <c r="P1551" s="30">
        <f>IFERROR(SUM(K1551:O1551)*VLOOKUP($A1551,HeadJournal!$A$1:$L$890,COLUMN(HeadJournal!H$1),0),0)</f>
        <v>1680.5452612978538</v>
      </c>
      <c r="Q1551" s="29">
        <v>2500</v>
      </c>
      <c r="R1551" s="31">
        <v>45087</v>
      </c>
      <c r="S1551" s="31" t="s">
        <v>3121</v>
      </c>
      <c r="T1551" s="95" t="str">
        <f t="shared" si="125"/>
        <v>2023 06</v>
      </c>
      <c r="U1551" s="32">
        <f t="shared" si="122"/>
        <v>819.45473870214619</v>
      </c>
      <c r="V1551" s="22">
        <f t="shared" si="123"/>
        <v>0.48761241816795614</v>
      </c>
      <c r="X1551" s="33"/>
      <c r="Y1551" s="33"/>
    </row>
    <row r="1552" spans="1:25" x14ac:dyDescent="0.2">
      <c r="A1552" s="93" t="s">
        <v>677</v>
      </c>
      <c r="B1552" s="94" t="str">
        <f>IFERROR(VLOOKUP($A1552,HeadJournal!$A$1:$NTR$890,COLUMN(HeadJournal!B$1),0),"")</f>
        <v>710000772381</v>
      </c>
      <c r="C1552" s="94" t="str">
        <f>IFERROR(VLOOKUP($A1552,HeadJournal!$A$1:$NTR$890,COLUMN(HeadJournal!C$1),0),"")</f>
        <v>iHerb_AV CYG0792</v>
      </c>
      <c r="D1552" s="125" t="str">
        <f>IFERROR(VLOOKUP($A1552,HeadJournal!$A$1:$NTR$890,COLUMN(HeadJournal!D$1),0),"")</f>
        <v>Доставлен</v>
      </c>
      <c r="E1552" s="95">
        <f>IFERROR(VLOOKUP($A1552,HeadJournal!$A$1:$NTR$890,COLUMN(HeadJournal!G$1),0),"")</f>
        <v>45049</v>
      </c>
      <c r="F1552" s="95" t="str">
        <f t="shared" si="124"/>
        <v>2023 05</v>
      </c>
      <c r="G1552" s="96" t="s">
        <v>5</v>
      </c>
      <c r="H1552" s="161" t="s">
        <v>2027</v>
      </c>
      <c r="I1552" s="97" t="s">
        <v>2005</v>
      </c>
      <c r="J1552" s="97" t="s">
        <v>4110</v>
      </c>
      <c r="K1552" s="29">
        <v>6.64</v>
      </c>
      <c r="L1552" s="29">
        <v>-1.9933333333333334</v>
      </c>
      <c r="M1552" s="30">
        <f>IFERROR(VLOOKUP($A1552,HeadJournal!$A$1:$J$890,COLUMN(HeadJournal!I$1),0)*($K1552+$L1552)/(SUMIF($A:$A,$A1552,$K:$K)+SUMIF($A:$A,$A1552,$L:$L)),0)</f>
        <v>0.29692775130329102</v>
      </c>
      <c r="N1552" s="30">
        <f>IFERROR((VLOOKUP($A1552,HeadJournal!$A$1:$K$890,COLUMN(HeadJournal!K$1),0)-VLOOKUP($A1552,HeadJournal!$A$1:$K$890,COLUMN(HeadJournal!J$1),0))*($K1552+$L1552)/(SUMIF($A:$A,$A1552,$K:$K)+SUMIF($A:$A,$A1552,$L:$L)),0)</f>
        <v>-8.4476419112766777E-16</v>
      </c>
      <c r="O1552" s="30">
        <f>IFERROR((VLOOKUP($A1552,HeadJournal!$A$1:$L$890,COLUMN(HeadJournal!L$1),0)*($K1552+$L1552)/(SUMIF($A:$A,$A1552,$K:$K)+SUMIF($A:$A,$A1552,$L:$L)))/VLOOKUP($A1552,HeadJournal!$A$1:$L$890,COLUMN(HeadJournal!H$1),0),0)</f>
        <v>0.23468178444786186</v>
      </c>
      <c r="P1552" s="30">
        <f>IFERROR(SUM(K1552:O1552)*VLOOKUP($A1552,HeadJournal!$A$1:$L$890,COLUMN(HeadJournal!H$1),0),0)</f>
        <v>470.84315028624417</v>
      </c>
      <c r="Q1552" s="29">
        <v>1100</v>
      </c>
      <c r="R1552" s="31">
        <v>45231</v>
      </c>
      <c r="S1552" s="31" t="s">
        <v>3121</v>
      </c>
      <c r="T1552" s="95" t="str">
        <f t="shared" si="125"/>
        <v>2023 11</v>
      </c>
      <c r="U1552" s="32">
        <f t="shared" si="122"/>
        <v>629.15684971375583</v>
      </c>
      <c r="V1552" s="22">
        <f t="shared" si="123"/>
        <v>1.3362344749653181</v>
      </c>
      <c r="X1552" s="33"/>
      <c r="Y1552" s="33"/>
    </row>
    <row r="1553" spans="1:25" x14ac:dyDescent="0.2">
      <c r="A1553" s="93" t="s">
        <v>677</v>
      </c>
      <c r="B1553" s="94" t="str">
        <f>IFERROR(VLOOKUP($A1553,HeadJournal!$A$1:$NTR$890,COLUMN(HeadJournal!B$1),0),"")</f>
        <v>710000772381</v>
      </c>
      <c r="C1553" s="94" t="str">
        <f>IFERROR(VLOOKUP($A1553,HeadJournal!$A$1:$NTR$890,COLUMN(HeadJournal!C$1),0),"")</f>
        <v>iHerb_AV CYG0792</v>
      </c>
      <c r="D1553" s="125" t="str">
        <f>IFERROR(VLOOKUP($A1553,HeadJournal!$A$1:$NTR$890,COLUMN(HeadJournal!D$1),0),"")</f>
        <v>Доставлен</v>
      </c>
      <c r="E1553" s="95">
        <f>IFERROR(VLOOKUP($A1553,HeadJournal!$A$1:$NTR$890,COLUMN(HeadJournal!G$1),0),"")</f>
        <v>45049</v>
      </c>
      <c r="F1553" s="95" t="str">
        <f t="shared" si="124"/>
        <v>2023 05</v>
      </c>
      <c r="G1553" s="96" t="s">
        <v>5</v>
      </c>
      <c r="H1553" s="161" t="s">
        <v>2027</v>
      </c>
      <c r="I1553" s="97" t="s">
        <v>2005</v>
      </c>
      <c r="J1553" s="97" t="s">
        <v>4110</v>
      </c>
      <c r="K1553" s="29">
        <v>6.64</v>
      </c>
      <c r="L1553" s="29">
        <v>-1.9933333333333334</v>
      </c>
      <c r="M1553" s="30">
        <f>IFERROR(VLOOKUP($A1553,HeadJournal!$A$1:$J$890,COLUMN(HeadJournal!I$1),0)*($K1553+$L1553)/(SUMIF($A:$A,$A1553,$K:$K)+SUMIF($A:$A,$A1553,$L:$L)),0)</f>
        <v>0.29692775130329102</v>
      </c>
      <c r="N1553" s="30">
        <f>IFERROR((VLOOKUP($A1553,HeadJournal!$A$1:$K$890,COLUMN(HeadJournal!K$1),0)-VLOOKUP($A1553,HeadJournal!$A$1:$K$890,COLUMN(HeadJournal!J$1),0))*($K1553+$L1553)/(SUMIF($A:$A,$A1553,$K:$K)+SUMIF($A:$A,$A1553,$L:$L)),0)</f>
        <v>-8.4476419112766777E-16</v>
      </c>
      <c r="O1553" s="30">
        <f>IFERROR((VLOOKUP($A1553,HeadJournal!$A$1:$L$890,COLUMN(HeadJournal!L$1),0)*($K1553+$L1553)/(SUMIF($A:$A,$A1553,$K:$K)+SUMIF($A:$A,$A1553,$L:$L)))/VLOOKUP($A1553,HeadJournal!$A$1:$L$890,COLUMN(HeadJournal!H$1),0),0)</f>
        <v>0.23468178444786186</v>
      </c>
      <c r="P1553" s="30">
        <f>IFERROR(SUM(K1553:O1553)*VLOOKUP($A1553,HeadJournal!$A$1:$L$890,COLUMN(HeadJournal!H$1),0),0)</f>
        <v>470.84315028624417</v>
      </c>
      <c r="Q1553" s="29">
        <v>1100</v>
      </c>
      <c r="R1553" s="31">
        <v>45285</v>
      </c>
      <c r="S1553" s="31" t="s">
        <v>3121</v>
      </c>
      <c r="T1553" s="95" t="str">
        <f t="shared" si="125"/>
        <v>2023 12</v>
      </c>
      <c r="U1553" s="32">
        <f t="shared" si="122"/>
        <v>629.15684971375583</v>
      </c>
      <c r="V1553" s="22">
        <f t="shared" si="123"/>
        <v>1.3362344749653181</v>
      </c>
      <c r="X1553" s="33"/>
      <c r="Y1553" s="33"/>
    </row>
    <row r="1554" spans="1:25" x14ac:dyDescent="0.2">
      <c r="A1554" s="93" t="s">
        <v>677</v>
      </c>
      <c r="B1554" s="94" t="str">
        <f>IFERROR(VLOOKUP($A1554,HeadJournal!$A$1:$NTR$890,COLUMN(HeadJournal!B$1),0),"")</f>
        <v>710000772381</v>
      </c>
      <c r="C1554" s="94" t="str">
        <f>IFERROR(VLOOKUP($A1554,HeadJournal!$A$1:$NTR$890,COLUMN(HeadJournal!C$1),0),"")</f>
        <v>iHerb_AV CYG0792</v>
      </c>
      <c r="D1554" s="125" t="str">
        <f>IFERROR(VLOOKUP($A1554,HeadJournal!$A$1:$NTR$890,COLUMN(HeadJournal!D$1),0),"")</f>
        <v>Доставлен</v>
      </c>
      <c r="E1554" s="95">
        <f>IFERROR(VLOOKUP($A1554,HeadJournal!$A$1:$NTR$890,COLUMN(HeadJournal!G$1),0),"")</f>
        <v>45049</v>
      </c>
      <c r="F1554" s="95" t="str">
        <f t="shared" si="124"/>
        <v>2023 05</v>
      </c>
      <c r="G1554" s="96" t="s">
        <v>5</v>
      </c>
      <c r="H1554" s="161" t="s">
        <v>2027</v>
      </c>
      <c r="I1554" s="97" t="s">
        <v>2005</v>
      </c>
      <c r="J1554" s="97" t="s">
        <v>4110</v>
      </c>
      <c r="K1554" s="29">
        <v>6.64</v>
      </c>
      <c r="L1554" s="29">
        <v>-1.9933333333333334</v>
      </c>
      <c r="M1554" s="30">
        <f>IFERROR(VLOOKUP($A1554,HeadJournal!$A$1:$J$890,COLUMN(HeadJournal!I$1),0)*($K1554+$L1554)/(SUMIF($A:$A,$A1554,$K:$K)+SUMIF($A:$A,$A1554,$L:$L)),0)</f>
        <v>0.29692775130329102</v>
      </c>
      <c r="N1554" s="30">
        <f>IFERROR((VLOOKUP($A1554,HeadJournal!$A$1:$K$890,COLUMN(HeadJournal!K$1),0)-VLOOKUP($A1554,HeadJournal!$A$1:$K$890,COLUMN(HeadJournal!J$1),0))*($K1554+$L1554)/(SUMIF($A:$A,$A1554,$K:$K)+SUMIF($A:$A,$A1554,$L:$L)),0)</f>
        <v>-8.4476419112766777E-16</v>
      </c>
      <c r="O1554" s="30">
        <f>IFERROR((VLOOKUP($A1554,HeadJournal!$A$1:$L$890,COLUMN(HeadJournal!L$1),0)*($K1554+$L1554)/(SUMIF($A:$A,$A1554,$K:$K)+SUMIF($A:$A,$A1554,$L:$L)))/VLOOKUP($A1554,HeadJournal!$A$1:$L$890,COLUMN(HeadJournal!H$1),0),0)</f>
        <v>0.23468178444786186</v>
      </c>
      <c r="P1554" s="30">
        <f>IFERROR(SUM(K1554:O1554)*VLOOKUP($A1554,HeadJournal!$A$1:$L$890,COLUMN(HeadJournal!H$1),0),0)</f>
        <v>470.84315028624417</v>
      </c>
      <c r="Q1554" s="29">
        <v>1200</v>
      </c>
      <c r="R1554" s="31">
        <v>45310</v>
      </c>
      <c r="S1554" s="31" t="s">
        <v>3121</v>
      </c>
      <c r="T1554" s="95" t="str">
        <f t="shared" si="125"/>
        <v>2024 01</v>
      </c>
      <c r="U1554" s="32">
        <f t="shared" si="122"/>
        <v>729.15684971375583</v>
      </c>
      <c r="V1554" s="22">
        <f t="shared" si="123"/>
        <v>1.5486194272348925</v>
      </c>
      <c r="X1554" s="33"/>
      <c r="Y1554" s="33"/>
    </row>
    <row r="1555" spans="1:25" x14ac:dyDescent="0.2">
      <c r="A1555" s="93" t="s">
        <v>677</v>
      </c>
      <c r="B1555" s="94" t="str">
        <f>IFERROR(VLOOKUP($A1555,HeadJournal!$A$1:$NTR$890,COLUMN(HeadJournal!B$1),0),"")</f>
        <v>710000772381</v>
      </c>
      <c r="C1555" s="94" t="str">
        <f>IFERROR(VLOOKUP($A1555,HeadJournal!$A$1:$NTR$890,COLUMN(HeadJournal!C$1),0),"")</f>
        <v>iHerb_AV CYG0792</v>
      </c>
      <c r="D1555" s="125" t="str">
        <f>IFERROR(VLOOKUP($A1555,HeadJournal!$A$1:$NTR$890,COLUMN(HeadJournal!D$1),0),"")</f>
        <v>Доставлен</v>
      </c>
      <c r="E1555" s="95">
        <f>IFERROR(VLOOKUP($A1555,HeadJournal!$A$1:$NTR$890,COLUMN(HeadJournal!G$1),0),"")</f>
        <v>45049</v>
      </c>
      <c r="F1555" s="95" t="str">
        <f t="shared" si="124"/>
        <v>2023 05</v>
      </c>
      <c r="G1555" s="96" t="s">
        <v>5</v>
      </c>
      <c r="H1555" s="161" t="s">
        <v>2773</v>
      </c>
      <c r="I1555" s="97" t="s">
        <v>2005</v>
      </c>
      <c r="J1555" s="97" t="s">
        <v>2774</v>
      </c>
      <c r="K1555" s="29">
        <v>11.7</v>
      </c>
      <c r="L1555" s="29">
        <v>-1.17</v>
      </c>
      <c r="M1555" s="30">
        <f>IFERROR(VLOOKUP($A1555,HeadJournal!$A$1:$J$890,COLUMN(HeadJournal!I$1),0)*($K1555+$L1555)/(SUMIF($A:$A,$A1555,$K:$K)+SUMIF($A:$A,$A1555,$L:$L)),0)</f>
        <v>0.6728800332619056</v>
      </c>
      <c r="N1555" s="30">
        <f>IFERROR((VLOOKUP($A1555,HeadJournal!$A$1:$K$890,COLUMN(HeadJournal!K$1),0)-VLOOKUP($A1555,HeadJournal!$A$1:$K$890,COLUMN(HeadJournal!J$1),0))*($K1555+$L1555)/(SUMIF($A:$A,$A1555,$K:$K)+SUMIF($A:$A,$A1555,$L:$L)),0)</f>
        <v>-1.9143544331221683E-15</v>
      </c>
      <c r="O1555" s="30">
        <f>IFERROR((VLOOKUP($A1555,HeadJournal!$A$1:$L$890,COLUMN(HeadJournal!L$1),0)*($K1555+$L1555)/(SUMIF($A:$A,$A1555,$K:$K)+SUMIF($A:$A,$A1555,$L:$L)))/VLOOKUP($A1555,HeadJournal!$A$1:$L$890,COLUMN(HeadJournal!H$1),0),0)</f>
        <v>0.53182192042381327</v>
      </c>
      <c r="P1555" s="30">
        <f>IFERROR(SUM(K1555:O1555)*VLOOKUP($A1555,HeadJournal!$A$1:$L$890,COLUMN(HeadJournal!H$1),0),0)</f>
        <v>1066.9967803115103</v>
      </c>
      <c r="Q1555" s="29">
        <v>1800</v>
      </c>
      <c r="R1555" s="31">
        <v>45218</v>
      </c>
      <c r="S1555" s="31" t="s">
        <v>3121</v>
      </c>
      <c r="T1555" s="95" t="str">
        <f t="shared" si="125"/>
        <v>2023 10</v>
      </c>
      <c r="U1555" s="32">
        <f t="shared" si="122"/>
        <v>733.00321968848971</v>
      </c>
      <c r="V1555" s="22">
        <f t="shared" si="123"/>
        <v>0.68697791147456788</v>
      </c>
      <c r="X1555" s="33"/>
      <c r="Y1555" s="33"/>
    </row>
    <row r="1556" spans="1:25" x14ac:dyDescent="0.2">
      <c r="A1556" s="93" t="s">
        <v>677</v>
      </c>
      <c r="B1556" s="94" t="str">
        <f>IFERROR(VLOOKUP($A1556,HeadJournal!$A$1:$NTR$890,COLUMN(HeadJournal!B$1),0),"")</f>
        <v>710000772381</v>
      </c>
      <c r="C1556" s="94" t="str">
        <f>IFERROR(VLOOKUP($A1556,HeadJournal!$A$1:$NTR$890,COLUMN(HeadJournal!C$1),0),"")</f>
        <v>iHerb_AV CYG0792</v>
      </c>
      <c r="D1556" s="125" t="str">
        <f>IFERROR(VLOOKUP($A1556,HeadJournal!$A$1:$NTR$890,COLUMN(HeadJournal!D$1),0),"")</f>
        <v>Доставлен</v>
      </c>
      <c r="E1556" s="95">
        <f>IFERROR(VLOOKUP($A1556,HeadJournal!$A$1:$NTR$890,COLUMN(HeadJournal!G$1),0),"")</f>
        <v>45049</v>
      </c>
      <c r="F1556" s="95" t="str">
        <f t="shared" si="124"/>
        <v>2023 05</v>
      </c>
      <c r="G1556" s="96" t="s">
        <v>5</v>
      </c>
      <c r="H1556" s="161" t="s">
        <v>2773</v>
      </c>
      <c r="I1556" s="97" t="s">
        <v>2005</v>
      </c>
      <c r="J1556" s="97" t="s">
        <v>2774</v>
      </c>
      <c r="K1556" s="29">
        <v>11.7</v>
      </c>
      <c r="L1556" s="29">
        <v>-1.17</v>
      </c>
      <c r="M1556" s="30">
        <f>IFERROR(VLOOKUP($A1556,HeadJournal!$A$1:$J$890,COLUMN(HeadJournal!I$1),0)*($K1556+$L1556)/(SUMIF($A:$A,$A1556,$K:$K)+SUMIF($A:$A,$A1556,$L:$L)),0)</f>
        <v>0.6728800332619056</v>
      </c>
      <c r="N1556" s="30">
        <f>IFERROR((VLOOKUP($A1556,HeadJournal!$A$1:$K$890,COLUMN(HeadJournal!K$1),0)-VLOOKUP($A1556,HeadJournal!$A$1:$K$890,COLUMN(HeadJournal!J$1),0))*($K1556+$L1556)/(SUMIF($A:$A,$A1556,$K:$K)+SUMIF($A:$A,$A1556,$L:$L)),0)</f>
        <v>-1.9143544331221683E-15</v>
      </c>
      <c r="O1556" s="30">
        <f>IFERROR((VLOOKUP($A1556,HeadJournal!$A$1:$L$890,COLUMN(HeadJournal!L$1),0)*($K1556+$L1556)/(SUMIF($A:$A,$A1556,$K:$K)+SUMIF($A:$A,$A1556,$L:$L)))/VLOOKUP($A1556,HeadJournal!$A$1:$L$890,COLUMN(HeadJournal!H$1),0),0)</f>
        <v>0.53182192042381327</v>
      </c>
      <c r="P1556" s="30">
        <f>IFERROR(SUM(K1556:O1556)*VLOOKUP($A1556,HeadJournal!$A$1:$L$890,COLUMN(HeadJournal!H$1),0),0)</f>
        <v>1066.9967803115103</v>
      </c>
      <c r="Q1556" s="29">
        <v>1900</v>
      </c>
      <c r="R1556" s="31">
        <v>45299</v>
      </c>
      <c r="S1556" s="31" t="s">
        <v>3121</v>
      </c>
      <c r="T1556" s="95" t="str">
        <f t="shared" si="125"/>
        <v>2024 01</v>
      </c>
      <c r="U1556" s="32">
        <f t="shared" si="122"/>
        <v>833.00321968848971</v>
      </c>
      <c r="V1556" s="22">
        <f t="shared" si="123"/>
        <v>0.78069890655648833</v>
      </c>
      <c r="X1556" s="33"/>
      <c r="Y1556" s="33"/>
    </row>
    <row r="1557" spans="1:25" x14ac:dyDescent="0.2">
      <c r="A1557" s="93" t="s">
        <v>677</v>
      </c>
      <c r="B1557" s="94" t="str">
        <f>IFERROR(VLOOKUP($A1557,HeadJournal!$A$1:$NTR$890,COLUMN(HeadJournal!B$1),0),"")</f>
        <v>710000772381</v>
      </c>
      <c r="C1557" s="94" t="str">
        <f>IFERROR(VLOOKUP($A1557,HeadJournal!$A$1:$NTR$890,COLUMN(HeadJournal!C$1),0),"")</f>
        <v>iHerb_AV CYG0792</v>
      </c>
      <c r="D1557" s="125" t="str">
        <f>IFERROR(VLOOKUP($A1557,HeadJournal!$A$1:$NTR$890,COLUMN(HeadJournal!D$1),0),"")</f>
        <v>Доставлен</v>
      </c>
      <c r="E1557" s="95">
        <f>IFERROR(VLOOKUP($A1557,HeadJournal!$A$1:$NTR$890,COLUMN(HeadJournal!G$1),0),"")</f>
        <v>45049</v>
      </c>
      <c r="F1557" s="95" t="str">
        <f t="shared" si="124"/>
        <v>2023 05</v>
      </c>
      <c r="G1557" s="96" t="s">
        <v>5</v>
      </c>
      <c r="H1557" s="161" t="s">
        <v>2773</v>
      </c>
      <c r="I1557" s="97" t="s">
        <v>2005</v>
      </c>
      <c r="J1557" s="97" t="s">
        <v>2774</v>
      </c>
      <c r="K1557" s="29">
        <v>11.7</v>
      </c>
      <c r="L1557" s="29">
        <v>-1.17</v>
      </c>
      <c r="M1557" s="30">
        <f>IFERROR(VLOOKUP($A1557,HeadJournal!$A$1:$J$890,COLUMN(HeadJournal!I$1),0)*($K1557+$L1557)/(SUMIF($A:$A,$A1557,$K:$K)+SUMIF($A:$A,$A1557,$L:$L)),0)</f>
        <v>0.6728800332619056</v>
      </c>
      <c r="N1557" s="30">
        <f>IFERROR((VLOOKUP($A1557,HeadJournal!$A$1:$K$890,COLUMN(HeadJournal!K$1),0)-VLOOKUP($A1557,HeadJournal!$A$1:$K$890,COLUMN(HeadJournal!J$1),0))*($K1557+$L1557)/(SUMIF($A:$A,$A1557,$K:$K)+SUMIF($A:$A,$A1557,$L:$L)),0)</f>
        <v>-1.9143544331221683E-15</v>
      </c>
      <c r="O1557" s="30">
        <f>IFERROR((VLOOKUP($A1557,HeadJournal!$A$1:$L$890,COLUMN(HeadJournal!L$1),0)*($K1557+$L1557)/(SUMIF($A:$A,$A1557,$K:$K)+SUMIF($A:$A,$A1557,$L:$L)))/VLOOKUP($A1557,HeadJournal!$A$1:$L$890,COLUMN(HeadJournal!H$1),0),0)</f>
        <v>0.53182192042381327</v>
      </c>
      <c r="P1557" s="30">
        <f>IFERROR(SUM(K1557:O1557)*VLOOKUP($A1557,HeadJournal!$A$1:$L$890,COLUMN(HeadJournal!H$1),0),0)</f>
        <v>1066.9967803115103</v>
      </c>
      <c r="Q1557" s="29">
        <v>2000</v>
      </c>
      <c r="R1557" s="31">
        <v>45413</v>
      </c>
      <c r="S1557" s="31" t="s">
        <v>3121</v>
      </c>
      <c r="T1557" s="95" t="str">
        <f t="shared" si="125"/>
        <v>2024 05</v>
      </c>
      <c r="U1557" s="32">
        <f t="shared" si="122"/>
        <v>933.00321968848971</v>
      </c>
      <c r="V1557" s="22">
        <f t="shared" si="123"/>
        <v>0.87441990163840877</v>
      </c>
      <c r="X1557" s="33"/>
      <c r="Y1557" s="33"/>
    </row>
    <row r="1558" spans="1:25" x14ac:dyDescent="0.2">
      <c r="A1558" s="93" t="s">
        <v>677</v>
      </c>
      <c r="B1558" s="94" t="str">
        <f>IFERROR(VLOOKUP($A1558,HeadJournal!$A$1:$NTR$890,COLUMN(HeadJournal!B$1),0),"")</f>
        <v>710000772381</v>
      </c>
      <c r="C1558" s="94" t="str">
        <f>IFERROR(VLOOKUP($A1558,HeadJournal!$A$1:$NTR$890,COLUMN(HeadJournal!C$1),0),"")</f>
        <v>iHerb_AV CYG0792</v>
      </c>
      <c r="D1558" s="125" t="str">
        <f>IFERROR(VLOOKUP($A1558,HeadJournal!$A$1:$NTR$890,COLUMN(HeadJournal!D$1),0),"")</f>
        <v>Доставлен</v>
      </c>
      <c r="E1558" s="95">
        <f>IFERROR(VLOOKUP($A1558,HeadJournal!$A$1:$NTR$890,COLUMN(HeadJournal!G$1),0),"")</f>
        <v>45049</v>
      </c>
      <c r="F1558" s="95" t="str">
        <f t="shared" si="124"/>
        <v>2023 05</v>
      </c>
      <c r="G1558" s="96" t="s">
        <v>5</v>
      </c>
      <c r="H1558" s="175" t="s">
        <v>3654</v>
      </c>
      <c r="I1558" s="176" t="s">
        <v>2005</v>
      </c>
      <c r="J1558" s="97" t="s">
        <v>3703</v>
      </c>
      <c r="K1558" s="29">
        <v>9.3699999999999992</v>
      </c>
      <c r="L1558" s="29">
        <v>-0.93666666666666665</v>
      </c>
      <c r="M1558" s="30">
        <f>IFERROR(VLOOKUP($A1558,HeadJournal!$A$1:$J$890,COLUMN(HeadJournal!I$1),0)*($K1558+$L1558)/(SUMIF($A:$A,$A1558,$K:$K)+SUMIF($A:$A,$A1558,$L:$L)),0)</f>
        <v>0.53890043816164002</v>
      </c>
      <c r="N1558" s="30">
        <f>IFERROR((VLOOKUP($A1558,HeadJournal!$A$1:$K$890,COLUMN(HeadJournal!K$1),0)-VLOOKUP($A1558,HeadJournal!$A$1:$K$890,COLUMN(HeadJournal!J$1),0))*($K1558+$L1558)/(SUMIF($A:$A,$A1558,$K:$K)+SUMIF($A:$A,$A1558,$L:$L)),0)</f>
        <v>-1.5331803468816349E-15</v>
      </c>
      <c r="O1558" s="30">
        <f>IFERROR((VLOOKUP($A1558,HeadJournal!$A$1:$L$890,COLUMN(HeadJournal!L$1),0)*($K1558+$L1558)/(SUMIF($A:$A,$A1558,$K:$K)+SUMIF($A:$A,$A1558,$L:$L)))/VLOOKUP($A1558,HeadJournal!$A$1:$L$890,COLUMN(HeadJournal!H$1),0),0)</f>
        <v>0.42592892012416816</v>
      </c>
      <c r="P1558" s="30">
        <f>IFERROR(SUM(K1558:O1558)*VLOOKUP($A1558,HeadJournal!$A$1:$L$890,COLUMN(HeadJournal!H$1),0),0)</f>
        <v>854.54316371893663</v>
      </c>
      <c r="Q1558" s="29">
        <v>1500</v>
      </c>
      <c r="R1558" s="31">
        <v>45084</v>
      </c>
      <c r="S1558" s="31" t="s">
        <v>3121</v>
      </c>
      <c r="T1558" s="95" t="str">
        <f t="shared" si="125"/>
        <v>2023 06</v>
      </c>
      <c r="U1558" s="32">
        <f t="shared" si="122"/>
        <v>645.45683628106337</v>
      </c>
      <c r="V1558" s="22">
        <f t="shared" si="123"/>
        <v>0.75532385452837958</v>
      </c>
      <c r="X1558" s="33"/>
      <c r="Y1558" s="33"/>
    </row>
    <row r="1559" spans="1:25" x14ac:dyDescent="0.2">
      <c r="A1559" s="93" t="s">
        <v>677</v>
      </c>
      <c r="B1559" s="94" t="str">
        <f>IFERROR(VLOOKUP($A1559,HeadJournal!$A$1:$NTR$890,COLUMN(HeadJournal!B$1),0),"")</f>
        <v>710000772381</v>
      </c>
      <c r="C1559" s="94" t="str">
        <f>IFERROR(VLOOKUP($A1559,HeadJournal!$A$1:$NTR$890,COLUMN(HeadJournal!C$1),0),"")</f>
        <v>iHerb_AV CYG0792</v>
      </c>
      <c r="D1559" s="125" t="str">
        <f>IFERROR(VLOOKUP($A1559,HeadJournal!$A$1:$NTR$890,COLUMN(HeadJournal!D$1),0),"")</f>
        <v>Доставлен</v>
      </c>
      <c r="E1559" s="95">
        <f>IFERROR(VLOOKUP($A1559,HeadJournal!$A$1:$NTR$890,COLUMN(HeadJournal!G$1),0),"")</f>
        <v>45049</v>
      </c>
      <c r="F1559" s="95" t="str">
        <f t="shared" si="124"/>
        <v>2023 05</v>
      </c>
      <c r="G1559" s="96" t="s">
        <v>5</v>
      </c>
      <c r="H1559" s="175" t="s">
        <v>3654</v>
      </c>
      <c r="I1559" s="176" t="s">
        <v>2005</v>
      </c>
      <c r="J1559" s="97" t="s">
        <v>3703</v>
      </c>
      <c r="K1559" s="29">
        <v>9.3699999999999992</v>
      </c>
      <c r="L1559" s="29">
        <v>-0.93666666666666665</v>
      </c>
      <c r="M1559" s="30">
        <f>IFERROR(VLOOKUP($A1559,HeadJournal!$A$1:$J$890,COLUMN(HeadJournal!I$1),0)*($K1559+$L1559)/(SUMIF($A:$A,$A1559,$K:$K)+SUMIF($A:$A,$A1559,$L:$L)),0)</f>
        <v>0.53890043816164002</v>
      </c>
      <c r="N1559" s="30">
        <f>IFERROR((VLOOKUP($A1559,HeadJournal!$A$1:$K$890,COLUMN(HeadJournal!K$1),0)-VLOOKUP($A1559,HeadJournal!$A$1:$K$890,COLUMN(HeadJournal!J$1),0))*($K1559+$L1559)/(SUMIF($A:$A,$A1559,$K:$K)+SUMIF($A:$A,$A1559,$L:$L)),0)</f>
        <v>-1.5331803468816349E-15</v>
      </c>
      <c r="O1559" s="30">
        <f>IFERROR((VLOOKUP($A1559,HeadJournal!$A$1:$L$890,COLUMN(HeadJournal!L$1),0)*($K1559+$L1559)/(SUMIF($A:$A,$A1559,$K:$K)+SUMIF($A:$A,$A1559,$L:$L)))/VLOOKUP($A1559,HeadJournal!$A$1:$L$890,COLUMN(HeadJournal!H$1),0),0)</f>
        <v>0.42592892012416816</v>
      </c>
      <c r="P1559" s="30">
        <f>IFERROR(SUM(K1559:O1559)*VLOOKUP($A1559,HeadJournal!$A$1:$L$890,COLUMN(HeadJournal!H$1),0),0)</f>
        <v>854.54316371893663</v>
      </c>
      <c r="Q1559" s="29">
        <v>1500</v>
      </c>
      <c r="R1559" s="31">
        <v>45115</v>
      </c>
      <c r="S1559" s="31" t="s">
        <v>3121</v>
      </c>
      <c r="T1559" s="95" t="str">
        <f t="shared" si="125"/>
        <v>2023 07</v>
      </c>
      <c r="U1559" s="32">
        <f t="shared" si="122"/>
        <v>645.45683628106337</v>
      </c>
      <c r="V1559" s="22">
        <f t="shared" si="123"/>
        <v>0.75532385452837958</v>
      </c>
      <c r="X1559" s="33"/>
      <c r="Y1559" s="33"/>
    </row>
    <row r="1560" spans="1:25" x14ac:dyDescent="0.2">
      <c r="A1560" s="93" t="s">
        <v>677</v>
      </c>
      <c r="B1560" s="94" t="str">
        <f>IFERROR(VLOOKUP($A1560,HeadJournal!$A$1:$NTR$890,COLUMN(HeadJournal!B$1),0),"")</f>
        <v>710000772381</v>
      </c>
      <c r="C1560" s="94" t="str">
        <f>IFERROR(VLOOKUP($A1560,HeadJournal!$A$1:$NTR$890,COLUMN(HeadJournal!C$1),0),"")</f>
        <v>iHerb_AV CYG0792</v>
      </c>
      <c r="D1560" s="125" t="str">
        <f>IFERROR(VLOOKUP($A1560,HeadJournal!$A$1:$NTR$890,COLUMN(HeadJournal!D$1),0),"")</f>
        <v>Доставлен</v>
      </c>
      <c r="E1560" s="95">
        <f>IFERROR(VLOOKUP($A1560,HeadJournal!$A$1:$NTR$890,COLUMN(HeadJournal!G$1),0),"")</f>
        <v>45049</v>
      </c>
      <c r="F1560" s="95" t="str">
        <f t="shared" si="124"/>
        <v>2023 05</v>
      </c>
      <c r="G1560" s="96" t="s">
        <v>5</v>
      </c>
      <c r="H1560" s="175" t="s">
        <v>3654</v>
      </c>
      <c r="I1560" s="176" t="s">
        <v>2005</v>
      </c>
      <c r="J1560" s="97" t="s">
        <v>3703</v>
      </c>
      <c r="K1560" s="29">
        <v>9.3699999999999992</v>
      </c>
      <c r="L1560" s="29">
        <v>-0.93666666666666665</v>
      </c>
      <c r="M1560" s="30">
        <f>IFERROR(VLOOKUP($A1560,HeadJournal!$A$1:$J$890,COLUMN(HeadJournal!I$1),0)*($K1560+$L1560)/(SUMIF($A:$A,$A1560,$K:$K)+SUMIF($A:$A,$A1560,$L:$L)),0)</f>
        <v>0.53890043816164002</v>
      </c>
      <c r="N1560" s="30">
        <f>IFERROR((VLOOKUP($A1560,HeadJournal!$A$1:$K$890,COLUMN(HeadJournal!K$1),0)-VLOOKUP($A1560,HeadJournal!$A$1:$K$890,COLUMN(HeadJournal!J$1),0))*($K1560+$L1560)/(SUMIF($A:$A,$A1560,$K:$K)+SUMIF($A:$A,$A1560,$L:$L)),0)</f>
        <v>-1.5331803468816349E-15</v>
      </c>
      <c r="O1560" s="30">
        <f>IFERROR((VLOOKUP($A1560,HeadJournal!$A$1:$L$890,COLUMN(HeadJournal!L$1),0)*($K1560+$L1560)/(SUMIF($A:$A,$A1560,$K:$K)+SUMIF($A:$A,$A1560,$L:$L)))/VLOOKUP($A1560,HeadJournal!$A$1:$L$890,COLUMN(HeadJournal!H$1),0),0)</f>
        <v>0.42592892012416816</v>
      </c>
      <c r="P1560" s="30">
        <f>IFERROR(SUM(K1560:O1560)*VLOOKUP($A1560,HeadJournal!$A$1:$L$890,COLUMN(HeadJournal!H$1),0),0)</f>
        <v>854.54316371893663</v>
      </c>
      <c r="Q1560" s="29">
        <v>1500</v>
      </c>
      <c r="R1560" s="31">
        <v>45212</v>
      </c>
      <c r="S1560" s="31" t="s">
        <v>3121</v>
      </c>
      <c r="T1560" s="95" t="str">
        <f t="shared" si="125"/>
        <v>2023 10</v>
      </c>
      <c r="U1560" s="32">
        <f t="shared" si="122"/>
        <v>645.45683628106337</v>
      </c>
      <c r="V1560" s="22">
        <f t="shared" si="123"/>
        <v>0.75532385452837958</v>
      </c>
      <c r="X1560" s="33"/>
      <c r="Y1560" s="33"/>
    </row>
    <row r="1561" spans="1:25" x14ac:dyDescent="0.2">
      <c r="A1561" s="93" t="s">
        <v>677</v>
      </c>
      <c r="B1561" s="94" t="str">
        <f>IFERROR(VLOOKUP($A1561,HeadJournal!$A$1:$NTR$890,COLUMN(HeadJournal!B$1),0),"")</f>
        <v>710000772381</v>
      </c>
      <c r="C1561" s="94" t="str">
        <f>IFERROR(VLOOKUP($A1561,HeadJournal!$A$1:$NTR$890,COLUMN(HeadJournal!C$1),0),"")</f>
        <v>iHerb_AV CYG0792</v>
      </c>
      <c r="D1561" s="125" t="str">
        <f>IFERROR(VLOOKUP($A1561,HeadJournal!$A$1:$NTR$890,COLUMN(HeadJournal!D$1),0),"")</f>
        <v>Доставлен</v>
      </c>
      <c r="E1561" s="95">
        <f>IFERROR(VLOOKUP($A1561,HeadJournal!$A$1:$NTR$890,COLUMN(HeadJournal!G$1),0),"")</f>
        <v>45049</v>
      </c>
      <c r="F1561" s="95" t="str">
        <f t="shared" si="124"/>
        <v>2023 05</v>
      </c>
      <c r="G1561" s="96" t="s">
        <v>6</v>
      </c>
      <c r="H1561" s="160" t="str">
        <f>RIGHT(Journal!$J1561,9)</f>
        <v>NOW-02038</v>
      </c>
      <c r="I1561" s="96" t="str">
        <f t="shared" si="126"/>
        <v>NOW Foods</v>
      </c>
      <c r="J1561" s="97" t="s">
        <v>681</v>
      </c>
      <c r="K1561" s="29">
        <v>29.64</v>
      </c>
      <c r="L1561" s="29">
        <v>-2.9649999999999999</v>
      </c>
      <c r="M1561" s="30">
        <f>IFERROR(VLOOKUP($A1561,HeadJournal!$A$1:$J$890,COLUMN(HeadJournal!I$1),0)*($K1561+$L1561)/(SUMIF($A:$A,$A1561,$K:$K)+SUMIF($A:$A,$A1561,$L:$L)),0)</f>
        <v>1.7045655163591009</v>
      </c>
      <c r="N1561" s="30">
        <f>IFERROR((VLOOKUP($A1561,HeadJournal!$A$1:$K$890,COLUMN(HeadJournal!K$1),0)-VLOOKUP($A1561,HeadJournal!$A$1:$K$890,COLUMN(HeadJournal!J$1),0))*($K1561+$L1561)/(SUMIF($A:$A,$A1561,$K:$K)+SUMIF($A:$A,$A1561,$L:$L)),0)</f>
        <v>-4.8495160972016941E-15</v>
      </c>
      <c r="O1561" s="30">
        <f>IFERROR((VLOOKUP($A1561,HeadJournal!$A$1:$L$890,COLUMN(HeadJournal!L$1),0)*($K1561+$L1561)/(SUMIF($A:$A,$A1561,$K:$K)+SUMIF($A:$A,$A1561,$L:$L)))/VLOOKUP($A1561,HeadJournal!$A$1:$L$890,COLUMN(HeadJournal!H$1),0),0)</f>
        <v>1.3472316930014454</v>
      </c>
      <c r="P1561" s="30">
        <f>IFERROR(SUM(K1561:O1561)*VLOOKUP($A1561,HeadJournal!$A$1:$L$890,COLUMN(HeadJournal!H$1),0),0)</f>
        <v>2702.9571808935934</v>
      </c>
      <c r="Q1561" s="29">
        <v>3500</v>
      </c>
      <c r="R1561" s="31">
        <v>45098</v>
      </c>
      <c r="S1561" s="31" t="s">
        <v>3121</v>
      </c>
      <c r="T1561" s="95" t="str">
        <f t="shared" si="125"/>
        <v>2023 06</v>
      </c>
      <c r="U1561" s="32">
        <f t="shared" si="122"/>
        <v>797.04281910640657</v>
      </c>
      <c r="V1561" s="22">
        <f t="shared" si="123"/>
        <v>0.29487807825461204</v>
      </c>
      <c r="X1561" s="33"/>
      <c r="Y1561" s="33"/>
    </row>
    <row r="1562" spans="1:25" x14ac:dyDescent="0.2">
      <c r="A1562" s="93" t="s">
        <v>677</v>
      </c>
      <c r="B1562" s="94" t="str">
        <f>IFERROR(VLOOKUP($A1562,HeadJournal!$A$1:$NTR$890,COLUMN(HeadJournal!B$1),0),"")</f>
        <v>710000772381</v>
      </c>
      <c r="C1562" s="94" t="str">
        <f>IFERROR(VLOOKUP($A1562,HeadJournal!$A$1:$NTR$890,COLUMN(HeadJournal!C$1),0),"")</f>
        <v>iHerb_AV CYG0792</v>
      </c>
      <c r="D1562" s="125" t="str">
        <f>IFERROR(VLOOKUP($A1562,HeadJournal!$A$1:$NTR$890,COLUMN(HeadJournal!D$1),0),"")</f>
        <v>Доставлен</v>
      </c>
      <c r="E1562" s="95">
        <f>IFERROR(VLOOKUP($A1562,HeadJournal!$A$1:$NTR$890,COLUMN(HeadJournal!G$1),0),"")</f>
        <v>45049</v>
      </c>
      <c r="F1562" s="95" t="str">
        <f t="shared" si="124"/>
        <v>2023 05</v>
      </c>
      <c r="G1562" s="96" t="s">
        <v>6</v>
      </c>
      <c r="H1562" s="160" t="str">
        <f>RIGHT(Journal!$J1562,9)</f>
        <v>NOW-02038</v>
      </c>
      <c r="I1562" s="96" t="str">
        <f t="shared" si="126"/>
        <v>NOW Foods</v>
      </c>
      <c r="J1562" s="97" t="s">
        <v>681</v>
      </c>
      <c r="K1562" s="29">
        <v>29.64</v>
      </c>
      <c r="L1562" s="29">
        <v>-2.9649999999999999</v>
      </c>
      <c r="M1562" s="30">
        <f>IFERROR(VLOOKUP($A1562,HeadJournal!$A$1:$J$890,COLUMN(HeadJournal!I$1),0)*($K1562+$L1562)/(SUMIF($A:$A,$A1562,$K:$K)+SUMIF($A:$A,$A1562,$L:$L)),0)</f>
        <v>1.7045655163591009</v>
      </c>
      <c r="N1562" s="30">
        <f>IFERROR((VLOOKUP($A1562,HeadJournal!$A$1:$K$890,COLUMN(HeadJournal!K$1),0)-VLOOKUP($A1562,HeadJournal!$A$1:$K$890,COLUMN(HeadJournal!J$1),0))*($K1562+$L1562)/(SUMIF($A:$A,$A1562,$K:$K)+SUMIF($A:$A,$A1562,$L:$L)),0)</f>
        <v>-4.8495160972016941E-15</v>
      </c>
      <c r="O1562" s="30">
        <f>IFERROR((VLOOKUP($A1562,HeadJournal!$A$1:$L$890,COLUMN(HeadJournal!L$1),0)*($K1562+$L1562)/(SUMIF($A:$A,$A1562,$K:$K)+SUMIF($A:$A,$A1562,$L:$L)))/VLOOKUP($A1562,HeadJournal!$A$1:$L$890,COLUMN(HeadJournal!H$1),0),0)</f>
        <v>1.3472316930014454</v>
      </c>
      <c r="P1562" s="30">
        <f>IFERROR(SUM(K1562:O1562)*VLOOKUP($A1562,HeadJournal!$A$1:$L$890,COLUMN(HeadJournal!H$1),0),0)</f>
        <v>2702.9571808935934</v>
      </c>
      <c r="Q1562" s="29">
        <v>3500</v>
      </c>
      <c r="R1562" s="31">
        <v>45115</v>
      </c>
      <c r="S1562" s="31" t="s">
        <v>3121</v>
      </c>
      <c r="T1562" s="95" t="str">
        <f t="shared" si="125"/>
        <v>2023 07</v>
      </c>
      <c r="U1562" s="32">
        <f t="shared" si="122"/>
        <v>797.04281910640657</v>
      </c>
      <c r="V1562" s="22">
        <f t="shared" si="123"/>
        <v>0.29487807825461204</v>
      </c>
      <c r="X1562" s="33"/>
      <c r="Y1562" s="33"/>
    </row>
    <row r="1563" spans="1:25" x14ac:dyDescent="0.2">
      <c r="A1563" s="93" t="s">
        <v>677</v>
      </c>
      <c r="B1563" s="94" t="str">
        <f>IFERROR(VLOOKUP($A1563,HeadJournal!$A$1:$NTR$890,COLUMN(HeadJournal!B$1),0),"")</f>
        <v>710000772381</v>
      </c>
      <c r="C1563" s="94" t="str">
        <f>IFERROR(VLOOKUP($A1563,HeadJournal!$A$1:$NTR$890,COLUMN(HeadJournal!C$1),0),"")</f>
        <v>iHerb_AV CYG0792</v>
      </c>
      <c r="D1563" s="125" t="str">
        <f>IFERROR(VLOOKUP($A1563,HeadJournal!$A$1:$NTR$890,COLUMN(HeadJournal!D$1),0),"")</f>
        <v>Доставлен</v>
      </c>
      <c r="E1563" s="95">
        <f>IFERROR(VLOOKUP($A1563,HeadJournal!$A$1:$NTR$890,COLUMN(HeadJournal!G$1),0),"")</f>
        <v>45049</v>
      </c>
      <c r="F1563" s="95" t="str">
        <f t="shared" si="124"/>
        <v>2023 05</v>
      </c>
      <c r="G1563" s="96" t="s">
        <v>5</v>
      </c>
      <c r="H1563" s="175" t="s">
        <v>3632</v>
      </c>
      <c r="I1563" s="176" t="s">
        <v>2008</v>
      </c>
      <c r="J1563" s="97" t="s">
        <v>3675</v>
      </c>
      <c r="K1563" s="29">
        <v>11.47</v>
      </c>
      <c r="L1563" s="29">
        <v>-2.29</v>
      </c>
      <c r="M1563" s="30">
        <f>IFERROR(VLOOKUP($A1563,HeadJournal!$A$1:$J$890,COLUMN(HeadJournal!I$1),0)*($K1563+$L1563)/(SUMIF($A:$A,$A1563,$K:$K)+SUMIF($A:$A,$A1563,$L:$L)),0)</f>
        <v>0.58661336233089212</v>
      </c>
      <c r="N1563" s="30">
        <f>IFERROR((VLOOKUP($A1563,HeadJournal!$A$1:$K$890,COLUMN(HeadJournal!K$1),0)-VLOOKUP($A1563,HeadJournal!$A$1:$K$890,COLUMN(HeadJournal!J$1),0))*($K1563+$L1563)/(SUMIF($A:$A,$A1563,$K:$K)+SUMIF($A:$A,$A1563,$L:$L)),0)</f>
        <v>-1.6689243775936852E-15</v>
      </c>
      <c r="O1563" s="30">
        <f>IFERROR((VLOOKUP($A1563,HeadJournal!$A$1:$L$890,COLUMN(HeadJournal!L$1),0)*($K1563+$L1563)/(SUMIF($A:$A,$A1563,$K:$K)+SUMIF($A:$A,$A1563,$L:$L)))/VLOOKUP($A1563,HeadJournal!$A$1:$L$890,COLUMN(HeadJournal!H$1),0),0)</f>
        <v>0.4636396229335808</v>
      </c>
      <c r="P1563" s="30">
        <f>IFERROR(SUM(K1563:O1563)*VLOOKUP($A1563,HeadJournal!$A$1:$L$890,COLUMN(HeadJournal!H$1),0),0)</f>
        <v>930.20232129721421</v>
      </c>
      <c r="Q1563" s="29">
        <v>1700</v>
      </c>
      <c r="R1563" s="31">
        <v>45132</v>
      </c>
      <c r="S1563" s="31" t="s">
        <v>3121</v>
      </c>
      <c r="T1563" s="95" t="str">
        <f t="shared" si="125"/>
        <v>2023 07</v>
      </c>
      <c r="U1563" s="32">
        <f t="shared" si="122"/>
        <v>769.79767870278579</v>
      </c>
      <c r="V1563" s="22">
        <f t="shared" si="123"/>
        <v>0.82755940409744833</v>
      </c>
      <c r="X1563" s="33"/>
      <c r="Y1563" s="33"/>
    </row>
    <row r="1564" spans="1:25" x14ac:dyDescent="0.2">
      <c r="A1564" s="93" t="s">
        <v>677</v>
      </c>
      <c r="B1564" s="94" t="str">
        <f>IFERROR(VLOOKUP($A1564,HeadJournal!$A$1:$NTR$890,COLUMN(HeadJournal!B$1),0),"")</f>
        <v>710000772381</v>
      </c>
      <c r="C1564" s="94" t="str">
        <f>IFERROR(VLOOKUP($A1564,HeadJournal!$A$1:$NTR$890,COLUMN(HeadJournal!C$1),0),"")</f>
        <v>iHerb_AV CYG0792</v>
      </c>
      <c r="D1564" s="125" t="str">
        <f>IFERROR(VLOOKUP($A1564,HeadJournal!$A$1:$NTR$890,COLUMN(HeadJournal!D$1),0),"")</f>
        <v>Доставлен</v>
      </c>
      <c r="E1564" s="95">
        <f>IFERROR(VLOOKUP($A1564,HeadJournal!$A$1:$NTR$890,COLUMN(HeadJournal!G$1),0),"")</f>
        <v>45049</v>
      </c>
      <c r="F1564" s="95" t="str">
        <f t="shared" si="124"/>
        <v>2023 05</v>
      </c>
      <c r="G1564" s="96" t="s">
        <v>5</v>
      </c>
      <c r="H1564" s="160" t="str">
        <f>RIGHT(Journal!$J1564,9)</f>
        <v>NOW-03891</v>
      </c>
      <c r="I1564" s="96" t="str">
        <f t="shared" si="126"/>
        <v>NOW Foods</v>
      </c>
      <c r="J1564" s="97" t="s">
        <v>682</v>
      </c>
      <c r="K1564" s="29">
        <v>35.82</v>
      </c>
      <c r="L1564" s="29">
        <v>-7.16</v>
      </c>
      <c r="M1564" s="30">
        <f>IFERROR(VLOOKUP($A1564,HeadJournal!$A$1:$J$890,COLUMN(HeadJournal!I$1),0)*($K1564+$L1564)/(SUMIF($A:$A,$A1564,$K:$K)+SUMIF($A:$A,$A1564,$L:$L)),0)</f>
        <v>1.8314094732465542</v>
      </c>
      <c r="N1564" s="30">
        <f>IFERROR((VLOOKUP($A1564,HeadJournal!$A$1:$K$890,COLUMN(HeadJournal!K$1),0)-VLOOKUP($A1564,HeadJournal!$A$1:$K$890,COLUMN(HeadJournal!J$1),0))*($K1564+$L1564)/(SUMIF($A:$A,$A1564,$K:$K)+SUMIF($A:$A,$A1564,$L:$L)),0)</f>
        <v>-5.2103891788491308E-15</v>
      </c>
      <c r="O1564" s="30">
        <f>IFERROR((VLOOKUP($A1564,HeadJournal!$A$1:$L$890,COLUMN(HeadJournal!L$1),0)*($K1564+$L1564)/(SUMIF($A:$A,$A1564,$K:$K)+SUMIF($A:$A,$A1564,$L:$L)))/VLOOKUP($A1564,HeadJournal!$A$1:$L$890,COLUMN(HeadJournal!H$1),0),0)</f>
        <v>1.447484923014861</v>
      </c>
      <c r="P1564" s="30">
        <f>IFERROR(SUM(K1564:O1564)*VLOOKUP($A1564,HeadJournal!$A$1:$L$890,COLUMN(HeadJournal!H$1),0),0)</f>
        <v>2904.095700259059</v>
      </c>
      <c r="Q1564" s="29">
        <v>4200</v>
      </c>
      <c r="R1564" s="31">
        <v>45179</v>
      </c>
      <c r="S1564" s="31" t="s">
        <v>3121</v>
      </c>
      <c r="T1564" s="95" t="str">
        <f t="shared" si="125"/>
        <v>2023 09</v>
      </c>
      <c r="U1564" s="32">
        <f t="shared" si="122"/>
        <v>1295.904299740941</v>
      </c>
      <c r="V1564" s="22">
        <f t="shared" si="123"/>
        <v>0.44623333164445661</v>
      </c>
      <c r="X1564" s="33"/>
      <c r="Y1564" s="33"/>
    </row>
    <row r="1565" spans="1:25" x14ac:dyDescent="0.2">
      <c r="A1565" s="93" t="s">
        <v>677</v>
      </c>
      <c r="B1565" s="94" t="str">
        <f>IFERROR(VLOOKUP($A1565,HeadJournal!$A$1:$NTR$890,COLUMN(HeadJournal!B$1),0),"")</f>
        <v>710000772381</v>
      </c>
      <c r="C1565" s="94" t="str">
        <f>IFERROR(VLOOKUP($A1565,HeadJournal!$A$1:$NTR$890,COLUMN(HeadJournal!C$1),0),"")</f>
        <v>iHerb_AV CYG0792</v>
      </c>
      <c r="D1565" s="125" t="str">
        <f>IFERROR(VLOOKUP($A1565,HeadJournal!$A$1:$NTR$890,COLUMN(HeadJournal!D$1),0),"")</f>
        <v>Доставлен</v>
      </c>
      <c r="E1565" s="95">
        <f>IFERROR(VLOOKUP($A1565,HeadJournal!$A$1:$NTR$890,COLUMN(HeadJournal!G$1),0),"")</f>
        <v>45049</v>
      </c>
      <c r="F1565" s="95" t="str">
        <f t="shared" si="124"/>
        <v>2023 05</v>
      </c>
      <c r="G1565" s="96" t="s">
        <v>6</v>
      </c>
      <c r="H1565" s="160" t="str">
        <f>RIGHT(Journal!$J1565,9)</f>
        <v>MSC-71092</v>
      </c>
      <c r="I1565" s="96" t="str">
        <f t="shared" si="126"/>
        <v>MuscleTech</v>
      </c>
      <c r="J1565" s="97" t="s">
        <v>162</v>
      </c>
      <c r="K1565" s="29">
        <v>27.53</v>
      </c>
      <c r="L1565" s="29">
        <v>-8.26</v>
      </c>
      <c r="M1565" s="30">
        <f>IFERROR(VLOOKUP($A1565,HeadJournal!$A$1:$J$890,COLUMN(HeadJournal!I$1),0)*($K1565+$L1565)/(SUMIF($A:$A,$A1565,$K:$K)+SUMIF($A:$A,$A1565,$L:$L)),0)</f>
        <v>1.2313768509930603</v>
      </c>
      <c r="N1565" s="30">
        <f>IFERROR((VLOOKUP($A1565,HeadJournal!$A$1:$K$890,COLUMN(HeadJournal!K$1),0)-VLOOKUP($A1565,HeadJournal!$A$1:$K$890,COLUMN(HeadJournal!J$1),0))*($K1565+$L1565)/(SUMIF($A:$A,$A1565,$K:$K)+SUMIF($A:$A,$A1565,$L:$L)),0)</f>
        <v>-3.5032867926176818E-15</v>
      </c>
      <c r="O1565" s="30">
        <f>IFERROR((VLOOKUP($A1565,HeadJournal!$A$1:$L$890,COLUMN(HeadJournal!L$1),0)*($K1565+$L1565)/(SUMIF($A:$A,$A1565,$K:$K)+SUMIF($A:$A,$A1565,$L:$L)))/VLOOKUP($A1565,HeadJournal!$A$1:$L$890,COLUMN(HeadJournal!H$1),0),0)</f>
        <v>0.97323916491613327</v>
      </c>
      <c r="P1565" s="30">
        <f>IFERROR(SUM(K1565:O1565)*VLOOKUP($A1565,HeadJournal!$A$1:$L$890,COLUMN(HeadJournal!H$1),0),0)</f>
        <v>1952.6142408929545</v>
      </c>
      <c r="Q1565" s="29">
        <v>2800</v>
      </c>
      <c r="R1565" s="31">
        <v>45083</v>
      </c>
      <c r="S1565" s="31" t="s">
        <v>3121</v>
      </c>
      <c r="T1565" s="95" t="str">
        <f t="shared" si="125"/>
        <v>2023 06</v>
      </c>
      <c r="U1565" s="32">
        <f t="shared" si="122"/>
        <v>847.38575910704549</v>
      </c>
      <c r="V1565" s="22">
        <f t="shared" si="123"/>
        <v>0.43397499688393421</v>
      </c>
      <c r="X1565" s="33"/>
      <c r="Y1565" s="33"/>
    </row>
    <row r="1566" spans="1:25" x14ac:dyDescent="0.2">
      <c r="A1566" s="93" t="s">
        <v>677</v>
      </c>
      <c r="B1566" s="94" t="str">
        <f>IFERROR(VLOOKUP($A1566,HeadJournal!$A$1:$NTR$890,COLUMN(HeadJournal!B$1),0),"")</f>
        <v>710000772381</v>
      </c>
      <c r="C1566" s="94" t="str">
        <f>IFERROR(VLOOKUP($A1566,HeadJournal!$A$1:$NTR$890,COLUMN(HeadJournal!C$1),0),"")</f>
        <v>iHerb_AV CYG0792</v>
      </c>
      <c r="D1566" s="125" t="str">
        <f>IFERROR(VLOOKUP($A1566,HeadJournal!$A$1:$NTR$890,COLUMN(HeadJournal!D$1),0),"")</f>
        <v>Доставлен</v>
      </c>
      <c r="E1566" s="95">
        <f>IFERROR(VLOOKUP($A1566,HeadJournal!$A$1:$NTR$890,COLUMN(HeadJournal!G$1),0),"")</f>
        <v>45049</v>
      </c>
      <c r="F1566" s="95" t="str">
        <f t="shared" si="124"/>
        <v>2023 05</v>
      </c>
      <c r="G1566" s="96" t="s">
        <v>6</v>
      </c>
      <c r="H1566" s="160" t="str">
        <f>RIGHT(Journal!$J1566,9)</f>
        <v>MSC-71651</v>
      </c>
      <c r="I1566" s="96" t="str">
        <f t="shared" si="126"/>
        <v>MuscleTech</v>
      </c>
      <c r="J1566" s="97" t="s">
        <v>683</v>
      </c>
      <c r="K1566" s="29">
        <v>31.75</v>
      </c>
      <c r="L1566" s="29">
        <v>-17.78</v>
      </c>
      <c r="M1566" s="30">
        <f>IFERROR(VLOOKUP($A1566,HeadJournal!$A$1:$J$890,COLUMN(HeadJournal!I$1),0)*($K1566+$L1566)/(SUMIF($A:$A,$A1566,$K:$K)+SUMIF($A:$A,$A1566,$L:$L)),0)</f>
        <v>0.89270029104167337</v>
      </c>
      <c r="N1566" s="30">
        <f>IFERROR((VLOOKUP($A1566,HeadJournal!$A$1:$K$890,COLUMN(HeadJournal!K$1),0)-VLOOKUP($A1566,HeadJournal!$A$1:$K$890,COLUMN(HeadJournal!J$1),0))*($K1566+$L1566)/(SUMIF($A:$A,$A1566,$K:$K)+SUMIF($A:$A,$A1566,$L:$L)),0)</f>
        <v>-2.5397465746169695E-15</v>
      </c>
      <c r="O1566" s="30">
        <f>IFERROR((VLOOKUP($A1566,HeadJournal!$A$1:$L$890,COLUMN(HeadJournal!L$1),0)*($K1566+$L1566)/(SUMIF($A:$A,$A1566,$K:$K)+SUMIF($A:$A,$A1566,$L:$L)))/VLOOKUP($A1566,HeadJournal!$A$1:$L$890,COLUMN(HeadJournal!H$1),0),0)</f>
        <v>0.70556051551003529</v>
      </c>
      <c r="P1566" s="30">
        <f>IFERROR(SUM(K1566:O1566)*VLOOKUP($A1566,HeadJournal!$A$1:$L$890,COLUMN(HeadJournal!H$1),0),0)</f>
        <v>1415.5693277257169</v>
      </c>
      <c r="Q1566" s="29">
        <v>3400</v>
      </c>
      <c r="R1566" s="31">
        <v>45253</v>
      </c>
      <c r="S1566" s="31" t="s">
        <v>3121</v>
      </c>
      <c r="T1566" s="95" t="str">
        <f t="shared" si="125"/>
        <v>2023 11</v>
      </c>
      <c r="U1566" s="32">
        <f t="shared" si="122"/>
        <v>1984.4306722742831</v>
      </c>
      <c r="V1566" s="22">
        <f t="shared" si="123"/>
        <v>1.4018604623642916</v>
      </c>
      <c r="X1566" s="33"/>
      <c r="Y1566" s="33"/>
    </row>
    <row r="1567" spans="1:25" x14ac:dyDescent="0.2">
      <c r="A1567" s="93" t="s">
        <v>677</v>
      </c>
      <c r="B1567" s="94" t="str">
        <f>IFERROR(VLOOKUP($A1567,HeadJournal!$A$1:$NTR$890,COLUMN(HeadJournal!B$1),0),"")</f>
        <v>710000772381</v>
      </c>
      <c r="C1567" s="94" t="str">
        <f>IFERROR(VLOOKUP($A1567,HeadJournal!$A$1:$NTR$890,COLUMN(HeadJournal!C$1),0),"")</f>
        <v>iHerb_AV CYG0792</v>
      </c>
      <c r="D1567" s="125" t="str">
        <f>IFERROR(VLOOKUP($A1567,HeadJournal!$A$1:$NTR$890,COLUMN(HeadJournal!D$1),0),"")</f>
        <v>Доставлен</v>
      </c>
      <c r="E1567" s="95">
        <f>IFERROR(VLOOKUP($A1567,HeadJournal!$A$1:$NTR$890,COLUMN(HeadJournal!G$1),0),"")</f>
        <v>45049</v>
      </c>
      <c r="F1567" s="95" t="str">
        <f t="shared" si="124"/>
        <v>2023 05</v>
      </c>
      <c r="G1567" s="96" t="s">
        <v>5</v>
      </c>
      <c r="H1567" s="160" t="str">
        <f>RIGHT(Journal!$J1567,9)</f>
        <v>RHS-20001</v>
      </c>
      <c r="I1567" s="96" t="str">
        <f t="shared" si="126"/>
        <v>Real Health</v>
      </c>
      <c r="J1567" s="97" t="s">
        <v>684</v>
      </c>
      <c r="K1567" s="29">
        <v>19.53</v>
      </c>
      <c r="L1567" s="29">
        <v>-6.53</v>
      </c>
      <c r="M1567" s="30">
        <f>IFERROR(VLOOKUP($A1567,HeadJournal!$A$1:$J$890,COLUMN(HeadJournal!I$1),0)*($K1567+$L1567)/(SUMIF($A:$A,$A1567,$K:$K)+SUMIF($A:$A,$A1567,$L:$L)),0)</f>
        <v>0.83071609044679706</v>
      </c>
      <c r="N1567" s="30">
        <f>IFERROR((VLOOKUP($A1567,HeadJournal!$A$1:$K$890,COLUMN(HeadJournal!K$1),0)-VLOOKUP($A1567,HeadJournal!$A$1:$K$890,COLUMN(HeadJournal!J$1),0))*($K1567+$L1567)/(SUMIF($A:$A,$A1567,$K:$K)+SUMIF($A:$A,$A1567,$L:$L)),0)</f>
        <v>-2.3634005347187261E-15</v>
      </c>
      <c r="O1567" s="30">
        <f>IFERROR((VLOOKUP($A1567,HeadJournal!$A$1:$L$890,COLUMN(HeadJournal!L$1),0)*($K1567+$L1567)/(SUMIF($A:$A,$A1567,$K:$K)+SUMIF($A:$A,$A1567,$L:$L)))/VLOOKUP($A1567,HeadJournal!$A$1:$L$890,COLUMN(HeadJournal!H$1),0),0)</f>
        <v>0.65657027212816443</v>
      </c>
      <c r="P1567" s="30">
        <f>IFERROR(SUM(K1567:O1567)*VLOOKUP($A1567,HeadJournal!$A$1:$L$890,COLUMN(HeadJournal!H$1),0),0)</f>
        <v>1317.2799756932227</v>
      </c>
      <c r="Q1567" s="29">
        <v>2300</v>
      </c>
      <c r="R1567" s="31">
        <v>45092</v>
      </c>
      <c r="S1567" s="31" t="s">
        <v>3121</v>
      </c>
      <c r="T1567" s="95" t="str">
        <f t="shared" si="125"/>
        <v>2023 06</v>
      </c>
      <c r="U1567" s="32">
        <f t="shared" si="122"/>
        <v>982.7200243067773</v>
      </c>
      <c r="V1567" s="22">
        <f t="shared" si="123"/>
        <v>0.74602213837617759</v>
      </c>
      <c r="X1567" s="33"/>
      <c r="Y1567" s="33"/>
    </row>
    <row r="1568" spans="1:25" x14ac:dyDescent="0.2">
      <c r="A1568" s="93" t="s">
        <v>685</v>
      </c>
      <c r="B1568" s="94" t="str">
        <f>IFERROR(VLOOKUP($A1568,HeadJournal!$A$1:$NTR$890,COLUMN(HeadJournal!B$1),0),"")</f>
        <v>710000769553</v>
      </c>
      <c r="C1568" s="94" t="str">
        <f>IFERROR(VLOOKUP($A1568,HeadJournal!$A$1:$NTR$890,COLUMN(HeadJournal!C$1),0),"")</f>
        <v>iHerb_OA CZN6870</v>
      </c>
      <c r="D1568" s="125" t="str">
        <f>IFERROR(VLOOKUP($A1568,HeadJournal!$A$1:$NTR$890,COLUMN(HeadJournal!D$1),0),"")</f>
        <v>Доставлен</v>
      </c>
      <c r="E1568" s="95">
        <f>IFERROR(VLOOKUP($A1568,HeadJournal!$A$1:$NTR$890,COLUMN(HeadJournal!G$1),0),"")</f>
        <v>45045</v>
      </c>
      <c r="F1568" s="95" t="str">
        <f t="shared" si="124"/>
        <v>2023 04</v>
      </c>
      <c r="G1568" s="96" t="s">
        <v>5</v>
      </c>
      <c r="H1568" s="160" t="str">
        <f>RIGHT(Journal!$J1568,9)</f>
        <v>NOW-03043</v>
      </c>
      <c r="I1568" s="96" t="str">
        <f t="shared" si="126"/>
        <v>NOW Foods</v>
      </c>
      <c r="J1568" s="97" t="s">
        <v>686</v>
      </c>
      <c r="K1568" s="29">
        <v>23.32</v>
      </c>
      <c r="L1568" s="29">
        <v>-4.66</v>
      </c>
      <c r="M1568" s="30">
        <f>IFERROR(VLOOKUP($A1568,HeadJournal!$A$1:$J$890,COLUMN(HeadJournal!I$1),0)*($K1568+$L1568)/(SUMIF($A:$A,$A1568,$K:$K)+SUMIF($A:$A,$A1568,$L:$L)),0)</f>
        <v>1.5295081967213118</v>
      </c>
      <c r="N1568" s="30">
        <f>IFERROR((VLOOKUP($A1568,HeadJournal!$A$1:$K$890,COLUMN(HeadJournal!K$1),0)-VLOOKUP($A1568,HeadJournal!$A$1:$K$890,COLUMN(HeadJournal!J$1),0))*($K1568+$L1568)/(SUMIF($A:$A,$A1568,$K:$K)+SUMIF($A:$A,$A1568,$L:$L)),0)</f>
        <v>0</v>
      </c>
      <c r="O1568" s="30">
        <f>IFERROR((VLOOKUP($A1568,HeadJournal!$A$1:$L$890,COLUMN(HeadJournal!L$1),0)*($K1568+$L1568)/(SUMIF($A:$A,$A1568,$K:$K)+SUMIF($A:$A,$A1568,$L:$L)))/VLOOKUP($A1568,HeadJournal!$A$1:$L$890,COLUMN(HeadJournal!H$1),0),0)</f>
        <v>1.2798911581567058</v>
      </c>
      <c r="P1568" s="30">
        <f>IFERROR(SUM(K1568:O1568)*VLOOKUP($A1568,HeadJournal!$A$1:$L$890,COLUMN(HeadJournal!H$1),0),0)</f>
        <v>1949.1801587301588</v>
      </c>
      <c r="Q1568" s="29">
        <v>2900</v>
      </c>
      <c r="R1568" s="31">
        <v>45083</v>
      </c>
      <c r="S1568" s="31" t="s">
        <v>3121</v>
      </c>
      <c r="T1568" s="95" t="str">
        <f t="shared" si="125"/>
        <v>2023 06</v>
      </c>
      <c r="U1568" s="32">
        <f t="shared" si="122"/>
        <v>950.81984126984116</v>
      </c>
      <c r="V1568" s="22">
        <f t="shared" si="123"/>
        <v>0.48780500715196901</v>
      </c>
      <c r="X1568" s="33"/>
      <c r="Y1568" s="33"/>
    </row>
    <row r="1569" spans="1:25" x14ac:dyDescent="0.2">
      <c r="A1569" s="93" t="s">
        <v>685</v>
      </c>
      <c r="B1569" s="94" t="str">
        <f>IFERROR(VLOOKUP($A1569,HeadJournal!$A$1:$NTR$890,COLUMN(HeadJournal!B$1),0),"")</f>
        <v>710000769553</v>
      </c>
      <c r="C1569" s="94" t="str">
        <f>IFERROR(VLOOKUP($A1569,HeadJournal!$A$1:$NTR$890,COLUMN(HeadJournal!C$1),0),"")</f>
        <v>iHerb_OA CZN6870</v>
      </c>
      <c r="D1569" s="125" t="str">
        <f>IFERROR(VLOOKUP($A1569,HeadJournal!$A$1:$NTR$890,COLUMN(HeadJournal!D$1),0),"")</f>
        <v>Доставлен</v>
      </c>
      <c r="E1569" s="95">
        <f>IFERROR(VLOOKUP($A1569,HeadJournal!$A$1:$NTR$890,COLUMN(HeadJournal!G$1),0),"")</f>
        <v>45045</v>
      </c>
      <c r="F1569" s="95" t="str">
        <f t="shared" si="124"/>
        <v>2023 04</v>
      </c>
      <c r="G1569" s="96" t="s">
        <v>5</v>
      </c>
      <c r="H1569" s="160" t="str">
        <f>RIGHT(Journal!$J1569,9)</f>
        <v>SNS-02757</v>
      </c>
      <c r="I1569" s="96" t="str">
        <f t="shared" si="126"/>
        <v>Source Naturals</v>
      </c>
      <c r="J1569" s="97" t="s">
        <v>687</v>
      </c>
      <c r="K1569" s="29">
        <v>12.46</v>
      </c>
      <c r="L1569" s="29">
        <v>-1.25</v>
      </c>
      <c r="M1569" s="30">
        <f>IFERROR(VLOOKUP($A1569,HeadJournal!$A$1:$J$890,COLUMN(HeadJournal!I$1),0)*($K1569+$L1569)/(SUMIF($A:$A,$A1569,$K:$K)+SUMIF($A:$A,$A1569,$L:$L)),0)</f>
        <v>0.91885245901639367</v>
      </c>
      <c r="N1569" s="30">
        <f>IFERROR((VLOOKUP($A1569,HeadJournal!$A$1:$K$890,COLUMN(HeadJournal!K$1),0)-VLOOKUP($A1569,HeadJournal!$A$1:$K$890,COLUMN(HeadJournal!J$1),0))*($K1569+$L1569)/(SUMIF($A:$A,$A1569,$K:$K)+SUMIF($A:$A,$A1569,$L:$L)),0)</f>
        <v>0</v>
      </c>
      <c r="O1569" s="30">
        <f>IFERROR((VLOOKUP($A1569,HeadJournal!$A$1:$L$890,COLUMN(HeadJournal!L$1),0)*($K1569+$L1569)/(SUMIF($A:$A,$A1569,$K:$K)+SUMIF($A:$A,$A1569,$L:$L)))/VLOOKUP($A1569,HeadJournal!$A$1:$L$890,COLUMN(HeadJournal!H$1),0),0)</f>
        <v>0.76889495621311221</v>
      </c>
      <c r="P1569" s="30">
        <f>IFERROR(SUM(K1569:O1569)*VLOOKUP($A1569,HeadJournal!$A$1:$L$890,COLUMN(HeadJournal!H$1),0),0)</f>
        <v>1170.9705026455028</v>
      </c>
      <c r="Q1569" s="29">
        <v>2000</v>
      </c>
      <c r="R1569" s="31">
        <v>45083</v>
      </c>
      <c r="S1569" s="31" t="s">
        <v>3121</v>
      </c>
      <c r="T1569" s="95" t="str">
        <f t="shared" si="125"/>
        <v>2023 06</v>
      </c>
      <c r="U1569" s="32">
        <f t="shared" si="122"/>
        <v>829.02949735449715</v>
      </c>
      <c r="V1569" s="22">
        <f t="shared" si="123"/>
        <v>0.70798495391772975</v>
      </c>
      <c r="X1569" s="33"/>
      <c r="Y1569" s="33"/>
    </row>
    <row r="1570" spans="1:25" x14ac:dyDescent="0.2">
      <c r="A1570" s="93" t="s">
        <v>685</v>
      </c>
      <c r="B1570" s="94" t="str">
        <f>IFERROR(VLOOKUP($A1570,HeadJournal!$A$1:$NTR$890,COLUMN(HeadJournal!B$1),0),"")</f>
        <v>710000769553</v>
      </c>
      <c r="C1570" s="94" t="str">
        <f>IFERROR(VLOOKUP($A1570,HeadJournal!$A$1:$NTR$890,COLUMN(HeadJournal!C$1),0),"")</f>
        <v>iHerb_OA CZN6870</v>
      </c>
      <c r="D1570" s="125" t="str">
        <f>IFERROR(VLOOKUP($A1570,HeadJournal!$A$1:$NTR$890,COLUMN(HeadJournal!D$1),0),"")</f>
        <v>Доставлен</v>
      </c>
      <c r="E1570" s="95">
        <f>IFERROR(VLOOKUP($A1570,HeadJournal!$A$1:$NTR$890,COLUMN(HeadJournal!G$1),0),"")</f>
        <v>45045</v>
      </c>
      <c r="F1570" s="95" t="str">
        <f t="shared" si="124"/>
        <v>2023 04</v>
      </c>
      <c r="G1570" s="96" t="s">
        <v>5</v>
      </c>
      <c r="H1570" s="161" t="s">
        <v>2702</v>
      </c>
      <c r="I1570" s="97" t="s">
        <v>2703</v>
      </c>
      <c r="J1570" s="97" t="s">
        <v>2704</v>
      </c>
      <c r="K1570" s="29">
        <v>5.89</v>
      </c>
      <c r="L1570" s="29">
        <v>-0.59</v>
      </c>
      <c r="M1570" s="30">
        <f>IFERROR(VLOOKUP($A1570,HeadJournal!$A$1:$J$890,COLUMN(HeadJournal!I$1),0)*($K1570+$L1570)/(SUMIF($A:$A,$A1570,$K:$K)+SUMIF($A:$A,$A1570,$L:$L)),0)</f>
        <v>0.43442622950819676</v>
      </c>
      <c r="N1570" s="30">
        <f>IFERROR((VLOOKUP($A1570,HeadJournal!$A$1:$K$890,COLUMN(HeadJournal!K$1),0)-VLOOKUP($A1570,HeadJournal!$A$1:$K$890,COLUMN(HeadJournal!J$1),0))*($K1570+$L1570)/(SUMIF($A:$A,$A1570,$K:$K)+SUMIF($A:$A,$A1570,$L:$L)),0)</f>
        <v>0</v>
      </c>
      <c r="O1570" s="30">
        <f>IFERROR((VLOOKUP($A1570,HeadJournal!$A$1:$L$890,COLUMN(HeadJournal!L$1),0)*($K1570+$L1570)/(SUMIF($A:$A,$A1570,$K:$K)+SUMIF($A:$A,$A1570,$L:$L)))/VLOOKUP($A1570,HeadJournal!$A$1:$L$890,COLUMN(HeadJournal!H$1),0),0)</f>
        <v>0.36352749936926804</v>
      </c>
      <c r="P1570" s="30">
        <f>IFERROR(SUM(K1570:O1570)*VLOOKUP($A1570,HeadJournal!$A$1:$L$890,COLUMN(HeadJournal!H$1),0),0)</f>
        <v>553.62566137566137</v>
      </c>
      <c r="Q1570" s="29">
        <v>800</v>
      </c>
      <c r="R1570" s="31">
        <v>45083</v>
      </c>
      <c r="S1570" s="31" t="s">
        <v>3121</v>
      </c>
      <c r="T1570" s="95" t="str">
        <f t="shared" si="125"/>
        <v>2023 06</v>
      </c>
      <c r="U1570" s="32">
        <f t="shared" si="122"/>
        <v>246.37433862433863</v>
      </c>
      <c r="V1570" s="22">
        <f t="shared" si="123"/>
        <v>0.44501972327681161</v>
      </c>
      <c r="X1570" s="33"/>
      <c r="Y1570" s="33"/>
    </row>
    <row r="1571" spans="1:25" x14ac:dyDescent="0.2">
      <c r="A1571" s="93" t="s">
        <v>685</v>
      </c>
      <c r="B1571" s="94" t="str">
        <f>IFERROR(VLOOKUP($A1571,HeadJournal!$A$1:$NTR$890,COLUMN(HeadJournal!B$1),0),"")</f>
        <v>710000769553</v>
      </c>
      <c r="C1571" s="94" t="str">
        <f>IFERROR(VLOOKUP($A1571,HeadJournal!$A$1:$NTR$890,COLUMN(HeadJournal!C$1),0),"")</f>
        <v>iHerb_OA CZN6870</v>
      </c>
      <c r="D1571" s="125" t="str">
        <f>IFERROR(VLOOKUP($A1571,HeadJournal!$A$1:$NTR$890,COLUMN(HeadJournal!D$1),0),"")</f>
        <v>Доставлен</v>
      </c>
      <c r="E1571" s="95">
        <f>IFERROR(VLOOKUP($A1571,HeadJournal!$A$1:$NTR$890,COLUMN(HeadJournal!G$1),0),"")</f>
        <v>45045</v>
      </c>
      <c r="F1571" s="95" t="str">
        <f t="shared" si="124"/>
        <v>2023 04</v>
      </c>
      <c r="G1571" s="96" t="s">
        <v>5</v>
      </c>
      <c r="H1571" s="161" t="s">
        <v>2016</v>
      </c>
      <c r="I1571" s="97" t="s">
        <v>2005</v>
      </c>
      <c r="J1571" s="97" t="s">
        <v>2017</v>
      </c>
      <c r="K1571" s="29">
        <v>25.37</v>
      </c>
      <c r="L1571" s="29">
        <v>-10.146666666666667</v>
      </c>
      <c r="M1571" s="30">
        <f>IFERROR(VLOOKUP($A1571,HeadJournal!$A$1:$J$890,COLUMN(HeadJournal!I$1),0)*($K1571+$L1571)/(SUMIF($A:$A,$A1571,$K:$K)+SUMIF($A:$A,$A1571,$L:$L)),0)</f>
        <v>1.2478142076502736</v>
      </c>
      <c r="N1571" s="30">
        <f>IFERROR((VLOOKUP($A1571,HeadJournal!$A$1:$K$890,COLUMN(HeadJournal!K$1),0)-VLOOKUP($A1571,HeadJournal!$A$1:$K$890,COLUMN(HeadJournal!J$1),0))*($K1571+$L1571)/(SUMIF($A:$A,$A1571,$K:$K)+SUMIF($A:$A,$A1571,$L:$L)),0)</f>
        <v>0</v>
      </c>
      <c r="O1571" s="30">
        <f>IFERROR((VLOOKUP($A1571,HeadJournal!$A$1:$L$890,COLUMN(HeadJournal!L$1),0)*($K1571+$L1571)/(SUMIF($A:$A,$A1571,$K:$K)+SUMIF($A:$A,$A1571,$L:$L)))/VLOOKUP($A1571,HeadJournal!$A$1:$L$890,COLUMN(HeadJournal!H$1),0),0)</f>
        <v>1.0441698676851869</v>
      </c>
      <c r="P1571" s="30">
        <f>IFERROR(SUM(K1571:O1571)*VLOOKUP($A1571,HeadJournal!$A$1:$L$890,COLUMN(HeadJournal!H$1),0),0)</f>
        <v>1590.1939594356265</v>
      </c>
      <c r="Q1571" s="29">
        <v>3500</v>
      </c>
      <c r="R1571" s="31">
        <v>45275</v>
      </c>
      <c r="S1571" s="31" t="s">
        <v>3121</v>
      </c>
      <c r="T1571" s="95" t="str">
        <f t="shared" si="125"/>
        <v>2023 12</v>
      </c>
      <c r="U1571" s="32">
        <f t="shared" si="122"/>
        <v>1909.8060405643735</v>
      </c>
      <c r="V1571" s="22">
        <f t="shared" si="123"/>
        <v>1.2009893693987996</v>
      </c>
      <c r="X1571" s="33"/>
      <c r="Y1571" s="33"/>
    </row>
    <row r="1572" spans="1:25" x14ac:dyDescent="0.2">
      <c r="A1572" s="93" t="s">
        <v>685</v>
      </c>
      <c r="B1572" s="94" t="str">
        <f>IFERROR(VLOOKUP($A1572,HeadJournal!$A$1:$NTR$890,COLUMN(HeadJournal!B$1),0),"")</f>
        <v>710000769553</v>
      </c>
      <c r="C1572" s="94" t="str">
        <f>IFERROR(VLOOKUP($A1572,HeadJournal!$A$1:$NTR$890,COLUMN(HeadJournal!C$1),0),"")</f>
        <v>iHerb_OA CZN6870</v>
      </c>
      <c r="D1572" s="125" t="str">
        <f>IFERROR(VLOOKUP($A1572,HeadJournal!$A$1:$NTR$890,COLUMN(HeadJournal!D$1),0),"")</f>
        <v>Доставлен</v>
      </c>
      <c r="E1572" s="95">
        <f>IFERROR(VLOOKUP($A1572,HeadJournal!$A$1:$NTR$890,COLUMN(HeadJournal!G$1),0),"")</f>
        <v>45045</v>
      </c>
      <c r="F1572" s="95" t="str">
        <f t="shared" si="124"/>
        <v>2023 04</v>
      </c>
      <c r="G1572" s="96" t="s">
        <v>5</v>
      </c>
      <c r="H1572" s="161" t="s">
        <v>2016</v>
      </c>
      <c r="I1572" s="97" t="s">
        <v>2005</v>
      </c>
      <c r="J1572" s="97" t="s">
        <v>2017</v>
      </c>
      <c r="K1572" s="29">
        <v>25.37</v>
      </c>
      <c r="L1572" s="29">
        <v>-10.146666666666667</v>
      </c>
      <c r="M1572" s="30">
        <f>IFERROR(VLOOKUP($A1572,HeadJournal!$A$1:$J$890,COLUMN(HeadJournal!I$1),0)*($K1572+$L1572)/(SUMIF($A:$A,$A1572,$K:$K)+SUMIF($A:$A,$A1572,$L:$L)),0)</f>
        <v>1.2478142076502736</v>
      </c>
      <c r="N1572" s="30">
        <f>IFERROR((VLOOKUP($A1572,HeadJournal!$A$1:$K$890,COLUMN(HeadJournal!K$1),0)-VLOOKUP($A1572,HeadJournal!$A$1:$K$890,COLUMN(HeadJournal!J$1),0))*($K1572+$L1572)/(SUMIF($A:$A,$A1572,$K:$K)+SUMIF($A:$A,$A1572,$L:$L)),0)</f>
        <v>0</v>
      </c>
      <c r="O1572" s="30">
        <f>IFERROR((VLOOKUP($A1572,HeadJournal!$A$1:$L$890,COLUMN(HeadJournal!L$1),0)*($K1572+$L1572)/(SUMIF($A:$A,$A1572,$K:$K)+SUMIF($A:$A,$A1572,$L:$L)))/VLOOKUP($A1572,HeadJournal!$A$1:$L$890,COLUMN(HeadJournal!H$1),0),0)</f>
        <v>1.0441698676851869</v>
      </c>
      <c r="P1572" s="30">
        <f>IFERROR(SUM(K1572:O1572)*VLOOKUP($A1572,HeadJournal!$A$1:$L$890,COLUMN(HeadJournal!H$1),0),0)</f>
        <v>1590.1939594356265</v>
      </c>
      <c r="Q1572" s="29">
        <v>3500</v>
      </c>
      <c r="R1572" s="31">
        <v>45315</v>
      </c>
      <c r="S1572" s="31" t="s">
        <v>3121</v>
      </c>
      <c r="T1572" s="95" t="str">
        <f t="shared" si="125"/>
        <v>2024 01</v>
      </c>
      <c r="U1572" s="32">
        <f t="shared" si="122"/>
        <v>1909.8060405643735</v>
      </c>
      <c r="V1572" s="22">
        <f t="shared" si="123"/>
        <v>1.2009893693987996</v>
      </c>
      <c r="X1572" s="33"/>
      <c r="Y1572" s="33"/>
    </row>
    <row r="1573" spans="1:25" x14ac:dyDescent="0.2">
      <c r="A1573" s="93" t="s">
        <v>685</v>
      </c>
      <c r="B1573" s="94" t="str">
        <f>IFERROR(VLOOKUP($A1573,HeadJournal!$A$1:$NTR$890,COLUMN(HeadJournal!B$1),0),"")</f>
        <v>710000769553</v>
      </c>
      <c r="C1573" s="94" t="str">
        <f>IFERROR(VLOOKUP($A1573,HeadJournal!$A$1:$NTR$890,COLUMN(HeadJournal!C$1),0),"")</f>
        <v>iHerb_OA CZN6870</v>
      </c>
      <c r="D1573" s="125" t="str">
        <f>IFERROR(VLOOKUP($A1573,HeadJournal!$A$1:$NTR$890,COLUMN(HeadJournal!D$1),0),"")</f>
        <v>Доставлен</v>
      </c>
      <c r="E1573" s="95">
        <f>IFERROR(VLOOKUP($A1573,HeadJournal!$A$1:$NTR$890,COLUMN(HeadJournal!G$1),0),"")</f>
        <v>45045</v>
      </c>
      <c r="F1573" s="95" t="str">
        <f t="shared" si="124"/>
        <v>2023 04</v>
      </c>
      <c r="G1573" s="96" t="s">
        <v>5</v>
      </c>
      <c r="H1573" s="161" t="s">
        <v>2016</v>
      </c>
      <c r="I1573" s="97" t="s">
        <v>2005</v>
      </c>
      <c r="J1573" s="97" t="s">
        <v>2017</v>
      </c>
      <c r="K1573" s="29">
        <v>25.37</v>
      </c>
      <c r="L1573" s="29">
        <v>-10.146666666666667</v>
      </c>
      <c r="M1573" s="30">
        <f>IFERROR(VLOOKUP($A1573,HeadJournal!$A$1:$J$890,COLUMN(HeadJournal!I$1),0)*($K1573+$L1573)/(SUMIF($A:$A,$A1573,$K:$K)+SUMIF($A:$A,$A1573,$L:$L)),0)</f>
        <v>1.2478142076502736</v>
      </c>
      <c r="N1573" s="30">
        <f>IFERROR((VLOOKUP($A1573,HeadJournal!$A$1:$K$890,COLUMN(HeadJournal!K$1),0)-VLOOKUP($A1573,HeadJournal!$A$1:$K$890,COLUMN(HeadJournal!J$1),0))*($K1573+$L1573)/(SUMIF($A:$A,$A1573,$K:$K)+SUMIF($A:$A,$A1573,$L:$L)),0)</f>
        <v>0</v>
      </c>
      <c r="O1573" s="30">
        <f>IFERROR((VLOOKUP($A1573,HeadJournal!$A$1:$L$890,COLUMN(HeadJournal!L$1),0)*($K1573+$L1573)/(SUMIF($A:$A,$A1573,$K:$K)+SUMIF($A:$A,$A1573,$L:$L)))/VLOOKUP($A1573,HeadJournal!$A$1:$L$890,COLUMN(HeadJournal!H$1),0),0)</f>
        <v>1.0441698676851869</v>
      </c>
      <c r="P1573" s="30">
        <f>IFERROR(SUM(K1573:O1573)*VLOOKUP($A1573,HeadJournal!$A$1:$L$890,COLUMN(HeadJournal!H$1),0),0)</f>
        <v>1590.1939594356265</v>
      </c>
      <c r="Q1573" s="29">
        <v>3600</v>
      </c>
      <c r="R1573" s="31">
        <v>45329</v>
      </c>
      <c r="S1573" s="31" t="s">
        <v>3121</v>
      </c>
      <c r="T1573" s="95" t="str">
        <f t="shared" si="125"/>
        <v>2024 02</v>
      </c>
      <c r="U1573" s="32">
        <f t="shared" si="122"/>
        <v>2009.8060405643735</v>
      </c>
      <c r="V1573" s="22">
        <f t="shared" si="123"/>
        <v>1.263874779953051</v>
      </c>
      <c r="X1573" s="33"/>
      <c r="Y1573" s="33"/>
    </row>
    <row r="1574" spans="1:25" x14ac:dyDescent="0.2">
      <c r="A1574" s="93" t="s">
        <v>685</v>
      </c>
      <c r="B1574" s="94" t="str">
        <f>IFERROR(VLOOKUP($A1574,HeadJournal!$A$1:$NTR$890,COLUMN(HeadJournal!B$1),0),"")</f>
        <v>710000769553</v>
      </c>
      <c r="C1574" s="94" t="str">
        <f>IFERROR(VLOOKUP($A1574,HeadJournal!$A$1:$NTR$890,COLUMN(HeadJournal!C$1),0),"")</f>
        <v>iHerb_OA CZN6870</v>
      </c>
      <c r="D1574" s="125" t="str">
        <f>IFERROR(VLOOKUP($A1574,HeadJournal!$A$1:$NTR$890,COLUMN(HeadJournal!D$1),0),"")</f>
        <v>Доставлен</v>
      </c>
      <c r="E1574" s="95">
        <f>IFERROR(VLOOKUP($A1574,HeadJournal!$A$1:$NTR$890,COLUMN(HeadJournal!G$1),0),"")</f>
        <v>45045</v>
      </c>
      <c r="F1574" s="95" t="str">
        <f t="shared" si="124"/>
        <v>2023 04</v>
      </c>
      <c r="G1574" s="96" t="s">
        <v>5</v>
      </c>
      <c r="H1574" s="160" t="str">
        <f>RIGHT(Journal!$J1574,9)</f>
        <v>CAR-01001</v>
      </c>
      <c r="I1574" s="96" t="str">
        <f t="shared" si="126"/>
        <v>Carlson</v>
      </c>
      <c r="J1574" s="97" t="s">
        <v>688</v>
      </c>
      <c r="K1574" s="29">
        <v>48.83</v>
      </c>
      <c r="L1574" s="29">
        <v>-4.88</v>
      </c>
      <c r="M1574" s="30">
        <f>IFERROR(VLOOKUP($A1574,HeadJournal!$A$1:$J$890,COLUMN(HeadJournal!I$1),0)*($K1574+$L1574)/(SUMIF($A:$A,$A1574,$K:$K)+SUMIF($A:$A,$A1574,$L:$L)),0)</f>
        <v>3.6024590163934427</v>
      </c>
      <c r="N1574" s="30">
        <f>IFERROR((VLOOKUP($A1574,HeadJournal!$A$1:$K$890,COLUMN(HeadJournal!K$1),0)-VLOOKUP($A1574,HeadJournal!$A$1:$K$890,COLUMN(HeadJournal!J$1),0))*($K1574+$L1574)/(SUMIF($A:$A,$A1574,$K:$K)+SUMIF($A:$A,$A1574,$L:$L)),0)</f>
        <v>0</v>
      </c>
      <c r="O1574" s="30">
        <f>IFERROR((VLOOKUP($A1574,HeadJournal!$A$1:$L$890,COLUMN(HeadJournal!L$1),0)*($K1574+$L1574)/(SUMIF($A:$A,$A1574,$K:$K)+SUMIF($A:$A,$A1574,$L:$L)))/VLOOKUP($A1574,HeadJournal!$A$1:$L$890,COLUMN(HeadJournal!H$1),0),0)</f>
        <v>3.0145346409961</v>
      </c>
      <c r="P1574" s="30">
        <f>IFERROR(SUM(K1574:O1574)*VLOOKUP($A1574,HeadJournal!$A$1:$L$890,COLUMN(HeadJournal!H$1),0),0)</f>
        <v>4590.9146825396829</v>
      </c>
      <c r="Q1574" s="29">
        <v>4800</v>
      </c>
      <c r="R1574" s="31">
        <v>45083</v>
      </c>
      <c r="S1574" s="31" t="s">
        <v>3121</v>
      </c>
      <c r="T1574" s="95" t="str">
        <f t="shared" si="125"/>
        <v>2023 06</v>
      </c>
      <c r="U1574" s="32">
        <f t="shared" si="122"/>
        <v>209.08531746031713</v>
      </c>
      <c r="V1574" s="22">
        <f t="shared" si="123"/>
        <v>4.554328100574756E-2</v>
      </c>
      <c r="X1574" s="33"/>
      <c r="Y1574" s="33"/>
    </row>
    <row r="1575" spans="1:25" x14ac:dyDescent="0.2">
      <c r="A1575" s="93" t="s">
        <v>685</v>
      </c>
      <c r="B1575" s="94" t="str">
        <f>IFERROR(VLOOKUP($A1575,HeadJournal!$A$1:$NTR$890,COLUMN(HeadJournal!B$1),0),"")</f>
        <v>710000769553</v>
      </c>
      <c r="C1575" s="94" t="str">
        <f>IFERROR(VLOOKUP($A1575,HeadJournal!$A$1:$NTR$890,COLUMN(HeadJournal!C$1),0),"")</f>
        <v>iHerb_OA CZN6870</v>
      </c>
      <c r="D1575" s="125" t="str">
        <f>IFERROR(VLOOKUP($A1575,HeadJournal!$A$1:$NTR$890,COLUMN(HeadJournal!D$1),0),"")</f>
        <v>Доставлен</v>
      </c>
      <c r="E1575" s="95">
        <f>IFERROR(VLOOKUP($A1575,HeadJournal!$A$1:$NTR$890,COLUMN(HeadJournal!G$1),0),"")</f>
        <v>45045</v>
      </c>
      <c r="F1575" s="95" t="str">
        <f t="shared" si="124"/>
        <v>2023 04</v>
      </c>
      <c r="G1575" s="96" t="s">
        <v>5</v>
      </c>
      <c r="H1575" s="160" t="str">
        <f>RIGHT(Journal!$J1575,9)</f>
        <v>SOR-45852</v>
      </c>
      <c r="I1575" s="96" t="str">
        <f t="shared" si="126"/>
        <v>Solaray</v>
      </c>
      <c r="J1575" s="97" t="s">
        <v>689</v>
      </c>
      <c r="K1575" s="29">
        <v>16.04</v>
      </c>
      <c r="L1575" s="29">
        <v>-1.6</v>
      </c>
      <c r="M1575" s="30">
        <f>IFERROR(VLOOKUP($A1575,HeadJournal!$A$1:$J$890,COLUMN(HeadJournal!I$1),0)*($K1575+$L1575)/(SUMIF($A:$A,$A1575,$K:$K)+SUMIF($A:$A,$A1575,$L:$L)),0)</f>
        <v>1.1836065573770493</v>
      </c>
      <c r="N1575" s="30">
        <f>IFERROR((VLOOKUP($A1575,HeadJournal!$A$1:$K$890,COLUMN(HeadJournal!K$1),0)-VLOOKUP($A1575,HeadJournal!$A$1:$K$890,COLUMN(HeadJournal!J$1),0))*($K1575+$L1575)/(SUMIF($A:$A,$A1575,$K:$K)+SUMIF($A:$A,$A1575,$L:$L)),0)</f>
        <v>0</v>
      </c>
      <c r="O1575" s="30">
        <f>IFERROR((VLOOKUP($A1575,HeadJournal!$A$1:$L$890,COLUMN(HeadJournal!L$1),0)*($K1575+$L1575)/(SUMIF($A:$A,$A1575,$K:$K)+SUMIF($A:$A,$A1575,$L:$L)))/VLOOKUP($A1575,HeadJournal!$A$1:$L$890,COLUMN(HeadJournal!H$1),0),0)</f>
        <v>0.99044096054570385</v>
      </c>
      <c r="P1575" s="30">
        <f>IFERROR(SUM(K1575:O1575)*VLOOKUP($A1575,HeadJournal!$A$1:$L$890,COLUMN(HeadJournal!H$1),0),0)</f>
        <v>1508.3687830687832</v>
      </c>
      <c r="Q1575" s="29">
        <v>2000</v>
      </c>
      <c r="R1575" s="31">
        <v>45083</v>
      </c>
      <c r="S1575" s="31" t="s">
        <v>3121</v>
      </c>
      <c r="T1575" s="95" t="str">
        <f t="shared" si="125"/>
        <v>2023 06</v>
      </c>
      <c r="U1575" s="32">
        <f t="shared" si="122"/>
        <v>491.63121693121684</v>
      </c>
      <c r="V1575" s="22">
        <f t="shared" si="123"/>
        <v>0.32593568790981664</v>
      </c>
      <c r="X1575" s="33"/>
      <c r="Y1575" s="33"/>
    </row>
    <row r="1576" spans="1:25" x14ac:dyDescent="0.2">
      <c r="A1576" s="93" t="s">
        <v>685</v>
      </c>
      <c r="B1576" s="94" t="str">
        <f>IFERROR(VLOOKUP($A1576,HeadJournal!$A$1:$NTR$890,COLUMN(HeadJournal!B$1),0),"")</f>
        <v>710000769553</v>
      </c>
      <c r="C1576" s="94" t="str">
        <f>IFERROR(VLOOKUP($A1576,HeadJournal!$A$1:$NTR$890,COLUMN(HeadJournal!C$1),0),"")</f>
        <v>iHerb_OA CZN6870</v>
      </c>
      <c r="D1576" s="125" t="str">
        <f>IFERROR(VLOOKUP($A1576,HeadJournal!$A$1:$NTR$890,COLUMN(HeadJournal!D$1),0),"")</f>
        <v>Доставлен</v>
      </c>
      <c r="E1576" s="95">
        <f>IFERROR(VLOOKUP($A1576,HeadJournal!$A$1:$NTR$890,COLUMN(HeadJournal!G$1),0),"")</f>
        <v>45045</v>
      </c>
      <c r="F1576" s="95" t="str">
        <f t="shared" si="124"/>
        <v>2023 04</v>
      </c>
      <c r="G1576" s="96" t="s">
        <v>5</v>
      </c>
      <c r="H1576" s="160" t="str">
        <f>RIGHT(Journal!$J1576,9)</f>
        <v>LEX-14591</v>
      </c>
      <c r="I1576" s="96" t="str">
        <f t="shared" si="126"/>
        <v>Life Extension</v>
      </c>
      <c r="J1576" s="97" t="s">
        <v>690</v>
      </c>
      <c r="K1576" s="29">
        <v>9.4</v>
      </c>
      <c r="L1576" s="29">
        <v>-0.94</v>
      </c>
      <c r="M1576" s="30">
        <f>IFERROR(VLOOKUP($A1576,HeadJournal!$A$1:$J$890,COLUMN(HeadJournal!I$1),0)*($K1576+$L1576)/(SUMIF($A:$A,$A1576,$K:$K)+SUMIF($A:$A,$A1576,$L:$L)),0)</f>
        <v>0.69344262295081982</v>
      </c>
      <c r="N1576" s="30">
        <f>IFERROR((VLOOKUP($A1576,HeadJournal!$A$1:$K$890,COLUMN(HeadJournal!K$1),0)-VLOOKUP($A1576,HeadJournal!$A$1:$K$890,COLUMN(HeadJournal!J$1),0))*($K1576+$L1576)/(SUMIF($A:$A,$A1576,$K:$K)+SUMIF($A:$A,$A1576,$L:$L)),0)</f>
        <v>0</v>
      </c>
      <c r="O1576" s="30">
        <f>IFERROR((VLOOKUP($A1576,HeadJournal!$A$1:$L$890,COLUMN(HeadJournal!L$1),0)*($K1576+$L1576)/(SUMIF($A:$A,$A1576,$K:$K)+SUMIF($A:$A,$A1576,$L:$L)))/VLOOKUP($A1576,HeadJournal!$A$1:$L$890,COLUMN(HeadJournal!H$1),0),0)</f>
        <v>0.58027219710641653</v>
      </c>
      <c r="P1576" s="30">
        <f>IFERROR(SUM(K1576:O1576)*VLOOKUP($A1576,HeadJournal!$A$1:$L$890,COLUMN(HeadJournal!H$1),0),0)</f>
        <v>883.71190476190486</v>
      </c>
      <c r="Q1576" s="29">
        <v>1400</v>
      </c>
      <c r="R1576" s="31">
        <v>45083</v>
      </c>
      <c r="S1576" s="31" t="s">
        <v>3121</v>
      </c>
      <c r="T1576" s="95" t="str">
        <f t="shared" si="125"/>
        <v>2023 06</v>
      </c>
      <c r="U1576" s="32">
        <f t="shared" si="122"/>
        <v>516.28809523809514</v>
      </c>
      <c r="V1576" s="22">
        <f t="shared" si="123"/>
        <v>0.5842267060747548</v>
      </c>
      <c r="X1576" s="33"/>
      <c r="Y1576" s="33"/>
    </row>
    <row r="1577" spans="1:25" x14ac:dyDescent="0.2">
      <c r="A1577" s="93" t="s">
        <v>685</v>
      </c>
      <c r="B1577" s="94" t="str">
        <f>IFERROR(VLOOKUP($A1577,HeadJournal!$A$1:$NTR$890,COLUMN(HeadJournal!B$1),0),"")</f>
        <v>710000769553</v>
      </c>
      <c r="C1577" s="94" t="str">
        <f>IFERROR(VLOOKUP($A1577,HeadJournal!$A$1:$NTR$890,COLUMN(HeadJournal!C$1),0),"")</f>
        <v>iHerb_OA CZN6870</v>
      </c>
      <c r="D1577" s="125" t="str">
        <f>IFERROR(VLOOKUP($A1577,HeadJournal!$A$1:$NTR$890,COLUMN(HeadJournal!D$1),0),"")</f>
        <v>Доставлен</v>
      </c>
      <c r="E1577" s="95">
        <f>IFERROR(VLOOKUP($A1577,HeadJournal!$A$1:$NTR$890,COLUMN(HeadJournal!G$1),0),"")</f>
        <v>45045</v>
      </c>
      <c r="F1577" s="95" t="str">
        <f t="shared" si="124"/>
        <v>2023 04</v>
      </c>
      <c r="G1577" s="96" t="s">
        <v>5</v>
      </c>
      <c r="H1577" s="160" t="str">
        <f>RIGHT(Journal!$J1577,9)</f>
        <v>NOW-01686</v>
      </c>
      <c r="I1577" s="96" t="str">
        <f t="shared" si="126"/>
        <v>NOW Foods</v>
      </c>
      <c r="J1577" s="97" t="s">
        <v>691</v>
      </c>
      <c r="K1577" s="29">
        <v>14.45</v>
      </c>
      <c r="L1577" s="29">
        <v>-1.4450000000000001</v>
      </c>
      <c r="M1577" s="30">
        <f>IFERROR(VLOOKUP($A1577,HeadJournal!$A$1:$J$890,COLUMN(HeadJournal!I$1),0)*($K1577+$L1577)/(SUMIF($A:$A,$A1577,$K:$K)+SUMIF($A:$A,$A1577,$L:$L)),0)</f>
        <v>1.0659836065573771</v>
      </c>
      <c r="N1577" s="30">
        <f>IFERROR((VLOOKUP($A1577,HeadJournal!$A$1:$K$890,COLUMN(HeadJournal!K$1),0)-VLOOKUP($A1577,HeadJournal!$A$1:$K$890,COLUMN(HeadJournal!J$1),0))*($K1577+$L1577)/(SUMIF($A:$A,$A1577,$K:$K)+SUMIF($A:$A,$A1577,$L:$L)),0)</f>
        <v>0</v>
      </c>
      <c r="O1577" s="30">
        <f>IFERROR((VLOOKUP($A1577,HeadJournal!$A$1:$L$890,COLUMN(HeadJournal!L$1),0)*($K1577+$L1577)/(SUMIF($A:$A,$A1577,$K:$K)+SUMIF($A:$A,$A1577,$L:$L)))/VLOOKUP($A1577,HeadJournal!$A$1:$L$890,COLUMN(HeadJournal!H$1),0),0)</f>
        <v>0.89201417533911886</v>
      </c>
      <c r="P1577" s="30">
        <f>IFERROR(SUM(K1577:O1577)*VLOOKUP($A1577,HeadJournal!$A$1:$L$890,COLUMN(HeadJournal!H$1),0),0)</f>
        <v>1358.4720238095238</v>
      </c>
      <c r="Q1577" s="29">
        <v>2200</v>
      </c>
      <c r="R1577" s="31">
        <v>45218</v>
      </c>
      <c r="S1577" s="31" t="s">
        <v>3121</v>
      </c>
      <c r="T1577" s="95" t="str">
        <f t="shared" si="125"/>
        <v>2023 10</v>
      </c>
      <c r="U1577" s="32">
        <f t="shared" si="122"/>
        <v>841.52797619047624</v>
      </c>
      <c r="V1577" s="22">
        <f t="shared" si="123"/>
        <v>0.61946654877043672</v>
      </c>
      <c r="X1577" s="33"/>
      <c r="Y1577" s="33"/>
    </row>
    <row r="1578" spans="1:25" x14ac:dyDescent="0.2">
      <c r="A1578" s="93" t="s">
        <v>685</v>
      </c>
      <c r="B1578" s="94" t="str">
        <f>IFERROR(VLOOKUP($A1578,HeadJournal!$A$1:$NTR$890,COLUMN(HeadJournal!B$1),0),"")</f>
        <v>710000769553</v>
      </c>
      <c r="C1578" s="94" t="str">
        <f>IFERROR(VLOOKUP($A1578,HeadJournal!$A$1:$NTR$890,COLUMN(HeadJournal!C$1),0),"")</f>
        <v>iHerb_OA CZN6870</v>
      </c>
      <c r="D1578" s="125" t="str">
        <f>IFERROR(VLOOKUP($A1578,HeadJournal!$A$1:$NTR$890,COLUMN(HeadJournal!D$1),0),"")</f>
        <v>Доставлен</v>
      </c>
      <c r="E1578" s="95">
        <f>IFERROR(VLOOKUP($A1578,HeadJournal!$A$1:$NTR$890,COLUMN(HeadJournal!G$1),0),"")</f>
        <v>45045</v>
      </c>
      <c r="F1578" s="95" t="str">
        <f t="shared" si="124"/>
        <v>2023 04</v>
      </c>
      <c r="G1578" s="96" t="s">
        <v>5</v>
      </c>
      <c r="H1578" s="160" t="str">
        <f>RIGHT(Journal!$J1578,9)</f>
        <v>NOW-01686</v>
      </c>
      <c r="I1578" s="96" t="str">
        <f t="shared" si="126"/>
        <v>NOW Foods</v>
      </c>
      <c r="J1578" s="97" t="s">
        <v>691</v>
      </c>
      <c r="K1578" s="29">
        <v>14.45</v>
      </c>
      <c r="L1578" s="29">
        <v>-1.4450000000000001</v>
      </c>
      <c r="M1578" s="30">
        <f>IFERROR(VLOOKUP($A1578,HeadJournal!$A$1:$J$890,COLUMN(HeadJournal!I$1),0)*($K1578+$L1578)/(SUMIF($A:$A,$A1578,$K:$K)+SUMIF($A:$A,$A1578,$L:$L)),0)</f>
        <v>1.0659836065573771</v>
      </c>
      <c r="N1578" s="30">
        <f>IFERROR((VLOOKUP($A1578,HeadJournal!$A$1:$K$890,COLUMN(HeadJournal!K$1),0)-VLOOKUP($A1578,HeadJournal!$A$1:$K$890,COLUMN(HeadJournal!J$1),0))*($K1578+$L1578)/(SUMIF($A:$A,$A1578,$K:$K)+SUMIF($A:$A,$A1578,$L:$L)),0)</f>
        <v>0</v>
      </c>
      <c r="O1578" s="30">
        <f>IFERROR((VLOOKUP($A1578,HeadJournal!$A$1:$L$890,COLUMN(HeadJournal!L$1),0)*($K1578+$L1578)/(SUMIF($A:$A,$A1578,$K:$K)+SUMIF($A:$A,$A1578,$L:$L)))/VLOOKUP($A1578,HeadJournal!$A$1:$L$890,COLUMN(HeadJournal!H$1),0),0)</f>
        <v>0.89201417533911886</v>
      </c>
      <c r="P1578" s="30">
        <f>IFERROR(SUM(K1578:O1578)*VLOOKUP($A1578,HeadJournal!$A$1:$L$890,COLUMN(HeadJournal!H$1),0),0)</f>
        <v>1358.4720238095238</v>
      </c>
      <c r="Q1578" s="29">
        <v>2300</v>
      </c>
      <c r="R1578" s="31">
        <v>45764</v>
      </c>
      <c r="S1578" s="31" t="s">
        <v>3121</v>
      </c>
      <c r="T1578" s="95" t="str">
        <f t="shared" si="125"/>
        <v>2025 04</v>
      </c>
      <c r="U1578" s="32">
        <f t="shared" si="122"/>
        <v>941.52797619047624</v>
      </c>
      <c r="V1578" s="22">
        <f t="shared" si="123"/>
        <v>0.69307866462363843</v>
      </c>
      <c r="X1578" s="33"/>
      <c r="Y1578" s="33"/>
    </row>
    <row r="1579" spans="1:25" x14ac:dyDescent="0.2">
      <c r="A1579" s="93" t="s">
        <v>685</v>
      </c>
      <c r="B1579" s="94" t="str">
        <f>IFERROR(VLOOKUP($A1579,HeadJournal!$A$1:$NTR$890,COLUMN(HeadJournal!B$1),0),"")</f>
        <v>710000769553</v>
      </c>
      <c r="C1579" s="94" t="str">
        <f>IFERROR(VLOOKUP($A1579,HeadJournal!$A$1:$NTR$890,COLUMN(HeadJournal!C$1),0),"")</f>
        <v>iHerb_OA CZN6870</v>
      </c>
      <c r="D1579" s="125" t="str">
        <f>IFERROR(VLOOKUP($A1579,HeadJournal!$A$1:$NTR$890,COLUMN(HeadJournal!D$1),0),"")</f>
        <v>Доставлен</v>
      </c>
      <c r="E1579" s="95">
        <f>IFERROR(VLOOKUP($A1579,HeadJournal!$A$1:$NTR$890,COLUMN(HeadJournal!G$1),0),"")</f>
        <v>45045</v>
      </c>
      <c r="F1579" s="95" t="str">
        <f t="shared" si="124"/>
        <v>2023 04</v>
      </c>
      <c r="G1579" s="96" t="s">
        <v>5</v>
      </c>
      <c r="H1579" s="160" t="str">
        <f>RIGHT(Journal!$J1579,9)</f>
        <v>SRE-01347</v>
      </c>
      <c r="I1579" s="96" t="str">
        <f t="shared" si="126"/>
        <v>Sports Research</v>
      </c>
      <c r="J1579" s="97" t="s">
        <v>662</v>
      </c>
      <c r="K1579" s="29">
        <v>28.2</v>
      </c>
      <c r="L1579" s="29">
        <v>-16.21</v>
      </c>
      <c r="M1579" s="30">
        <f>IFERROR(VLOOKUP($A1579,HeadJournal!$A$1:$J$890,COLUMN(HeadJournal!I$1),0)*($K1579+$L1579)/(SUMIF($A:$A,$A1579,$K:$K)+SUMIF($A:$A,$A1579,$L:$L)),0)</f>
        <v>0.98278688524590163</v>
      </c>
      <c r="N1579" s="30">
        <f>IFERROR((VLOOKUP($A1579,HeadJournal!$A$1:$K$890,COLUMN(HeadJournal!K$1),0)-VLOOKUP($A1579,HeadJournal!$A$1:$K$890,COLUMN(HeadJournal!J$1),0))*($K1579+$L1579)/(SUMIF($A:$A,$A1579,$K:$K)+SUMIF($A:$A,$A1579,$L:$L)),0)</f>
        <v>0</v>
      </c>
      <c r="O1579" s="30">
        <f>IFERROR((VLOOKUP($A1579,HeadJournal!$A$1:$L$890,COLUMN(HeadJournal!L$1),0)*($K1579+$L1579)/(SUMIF($A:$A,$A1579,$K:$K)+SUMIF($A:$A,$A1579,$L:$L)))/VLOOKUP($A1579,HeadJournal!$A$1:$L$890,COLUMN(HeadJournal!H$1),0),0)</f>
        <v>0.82239522970519308</v>
      </c>
      <c r="P1579" s="30">
        <f>IFERROR(SUM(K1579:O1579)*VLOOKUP($A1579,HeadJournal!$A$1:$L$890,COLUMN(HeadJournal!H$1),0),0)</f>
        <v>1252.4474867724869</v>
      </c>
      <c r="Q1579" s="29">
        <v>3600</v>
      </c>
      <c r="R1579" s="31">
        <v>45261</v>
      </c>
      <c r="S1579" s="31" t="s">
        <v>3121</v>
      </c>
      <c r="T1579" s="95" t="str">
        <f t="shared" si="125"/>
        <v>2023 12</v>
      </c>
      <c r="U1579" s="32">
        <f t="shared" si="122"/>
        <v>2347.5525132275134</v>
      </c>
      <c r="V1579" s="22">
        <f t="shared" si="123"/>
        <v>1.8743720100210139</v>
      </c>
      <c r="X1579" s="33"/>
      <c r="Y1579" s="33"/>
    </row>
    <row r="1580" spans="1:25" x14ac:dyDescent="0.2">
      <c r="A1580" s="93" t="s">
        <v>685</v>
      </c>
      <c r="B1580" s="94" t="str">
        <f>IFERROR(VLOOKUP($A1580,HeadJournal!$A$1:$NTR$890,COLUMN(HeadJournal!B$1),0),"")</f>
        <v>710000769553</v>
      </c>
      <c r="C1580" s="94" t="str">
        <f>IFERROR(VLOOKUP($A1580,HeadJournal!$A$1:$NTR$890,COLUMN(HeadJournal!C$1),0),"")</f>
        <v>iHerb_OA CZN6870</v>
      </c>
      <c r="D1580" s="125" t="str">
        <f>IFERROR(VLOOKUP($A1580,HeadJournal!$A$1:$NTR$890,COLUMN(HeadJournal!D$1),0),"")</f>
        <v>Доставлен</v>
      </c>
      <c r="E1580" s="95">
        <f>IFERROR(VLOOKUP($A1580,HeadJournal!$A$1:$NTR$890,COLUMN(HeadJournal!G$1),0),"")</f>
        <v>45045</v>
      </c>
      <c r="F1580" s="95" t="str">
        <f t="shared" si="124"/>
        <v>2023 04</v>
      </c>
      <c r="G1580" s="96" t="s">
        <v>5</v>
      </c>
      <c r="H1580" s="161" t="s">
        <v>2073</v>
      </c>
      <c r="I1580" s="97" t="s">
        <v>2005</v>
      </c>
      <c r="J1580" s="97" t="s">
        <v>2074</v>
      </c>
      <c r="K1580" s="29">
        <v>16.79</v>
      </c>
      <c r="L1580" s="29">
        <v>-3.36</v>
      </c>
      <c r="M1580" s="30">
        <f>IFERROR(VLOOKUP($A1580,HeadJournal!$A$1:$J$890,COLUMN(HeadJournal!I$1),0)*($K1580+$L1580)/(SUMIF($A:$A,$A1580,$K:$K)+SUMIF($A:$A,$A1580,$L:$L)),0)</f>
        <v>1.1008196721311478</v>
      </c>
      <c r="N1580" s="30">
        <f>IFERROR((VLOOKUP($A1580,HeadJournal!$A$1:$K$890,COLUMN(HeadJournal!K$1),0)-VLOOKUP($A1580,HeadJournal!$A$1:$K$890,COLUMN(HeadJournal!J$1),0))*($K1580+$L1580)/(SUMIF($A:$A,$A1580,$K:$K)+SUMIF($A:$A,$A1580,$L:$L)),0)</f>
        <v>0</v>
      </c>
      <c r="O1580" s="30">
        <f>IFERROR((VLOOKUP($A1580,HeadJournal!$A$1:$L$890,COLUMN(HeadJournal!L$1),0)*($K1580+$L1580)/(SUMIF($A:$A,$A1580,$K:$K)+SUMIF($A:$A,$A1580,$L:$L)))/VLOOKUP($A1580,HeadJournal!$A$1:$L$890,COLUMN(HeadJournal!H$1),0),0)</f>
        <v>0.92116496538288106</v>
      </c>
      <c r="P1580" s="30">
        <f>IFERROR(SUM(K1580:O1580)*VLOOKUP($A1580,HeadJournal!$A$1:$L$890,COLUMN(HeadJournal!H$1),0),0)</f>
        <v>1402.8665343915345</v>
      </c>
      <c r="Q1580" s="29">
        <v>2200</v>
      </c>
      <c r="R1580" s="31">
        <v>45119</v>
      </c>
      <c r="S1580" s="31" t="s">
        <v>3121</v>
      </c>
      <c r="T1580" s="95" t="str">
        <f t="shared" si="125"/>
        <v>2023 07</v>
      </c>
      <c r="U1580" s="32">
        <f t="shared" si="122"/>
        <v>797.13346560846549</v>
      </c>
      <c r="V1580" s="22">
        <f t="shared" si="123"/>
        <v>0.56821760735365057</v>
      </c>
      <c r="X1580" s="33"/>
      <c r="Y1580" s="33"/>
    </row>
    <row r="1581" spans="1:25" x14ac:dyDescent="0.2">
      <c r="A1581" s="93" t="s">
        <v>685</v>
      </c>
      <c r="B1581" s="94" t="str">
        <f>IFERROR(VLOOKUP($A1581,HeadJournal!$A$1:$NTR$890,COLUMN(HeadJournal!B$1),0),"")</f>
        <v>710000769553</v>
      </c>
      <c r="C1581" s="94" t="str">
        <f>IFERROR(VLOOKUP($A1581,HeadJournal!$A$1:$NTR$890,COLUMN(HeadJournal!C$1),0),"")</f>
        <v>iHerb_OA CZN6870</v>
      </c>
      <c r="D1581" s="125" t="str">
        <f>IFERROR(VLOOKUP($A1581,HeadJournal!$A$1:$NTR$890,COLUMN(HeadJournal!D$1),0),"")</f>
        <v>Доставлен</v>
      </c>
      <c r="E1581" s="95">
        <f>IFERROR(VLOOKUP($A1581,HeadJournal!$A$1:$NTR$890,COLUMN(HeadJournal!G$1),0),"")</f>
        <v>45045</v>
      </c>
      <c r="F1581" s="95" t="str">
        <f t="shared" si="124"/>
        <v>2023 04</v>
      </c>
      <c r="G1581" s="96" t="s">
        <v>5</v>
      </c>
      <c r="H1581" s="161" t="s">
        <v>2073</v>
      </c>
      <c r="I1581" s="97" t="s">
        <v>2005</v>
      </c>
      <c r="J1581" s="97" t="s">
        <v>2074</v>
      </c>
      <c r="K1581" s="29">
        <v>16.79</v>
      </c>
      <c r="L1581" s="29">
        <v>-3.36</v>
      </c>
      <c r="M1581" s="30">
        <f>IFERROR(VLOOKUP($A1581,HeadJournal!$A$1:$J$890,COLUMN(HeadJournal!I$1),0)*($K1581+$L1581)/(SUMIF($A:$A,$A1581,$K:$K)+SUMIF($A:$A,$A1581,$L:$L)),0)</f>
        <v>1.1008196721311478</v>
      </c>
      <c r="N1581" s="30">
        <f>IFERROR((VLOOKUP($A1581,HeadJournal!$A$1:$K$890,COLUMN(HeadJournal!K$1),0)-VLOOKUP($A1581,HeadJournal!$A$1:$K$890,COLUMN(HeadJournal!J$1),0))*($K1581+$L1581)/(SUMIF($A:$A,$A1581,$K:$K)+SUMIF($A:$A,$A1581,$L:$L)),0)</f>
        <v>0</v>
      </c>
      <c r="O1581" s="30">
        <f>IFERROR((VLOOKUP($A1581,HeadJournal!$A$1:$L$890,COLUMN(HeadJournal!L$1),0)*($K1581+$L1581)/(SUMIF($A:$A,$A1581,$K:$K)+SUMIF($A:$A,$A1581,$L:$L)))/VLOOKUP($A1581,HeadJournal!$A$1:$L$890,COLUMN(HeadJournal!H$1),0),0)</f>
        <v>0.92116496538288106</v>
      </c>
      <c r="P1581" s="30">
        <f>IFERROR(SUM(K1581:O1581)*VLOOKUP($A1581,HeadJournal!$A$1:$L$890,COLUMN(HeadJournal!H$1),0),0)</f>
        <v>1402.8665343915345</v>
      </c>
      <c r="Q1581" s="29">
        <v>2100</v>
      </c>
      <c r="R1581" s="31">
        <v>45119</v>
      </c>
      <c r="S1581" s="31" t="s">
        <v>3121</v>
      </c>
      <c r="T1581" s="95" t="str">
        <f t="shared" si="125"/>
        <v>2023 07</v>
      </c>
      <c r="U1581" s="32">
        <f t="shared" si="122"/>
        <v>697.13346560846549</v>
      </c>
      <c r="V1581" s="22">
        <f t="shared" si="123"/>
        <v>0.49693498883757553</v>
      </c>
      <c r="X1581" s="33"/>
      <c r="Y1581" s="33"/>
    </row>
    <row r="1582" spans="1:25" x14ac:dyDescent="0.2">
      <c r="A1582" s="93" t="s">
        <v>685</v>
      </c>
      <c r="B1582" s="94" t="str">
        <f>IFERROR(VLOOKUP($A1582,HeadJournal!$A$1:$NTR$890,COLUMN(HeadJournal!B$1),0),"")</f>
        <v>710000769553</v>
      </c>
      <c r="C1582" s="94" t="str">
        <f>IFERROR(VLOOKUP($A1582,HeadJournal!$A$1:$NTR$890,COLUMN(HeadJournal!C$1),0),"")</f>
        <v>iHerb_OA CZN6870</v>
      </c>
      <c r="D1582" s="125" t="str">
        <f>IFERROR(VLOOKUP($A1582,HeadJournal!$A$1:$NTR$890,COLUMN(HeadJournal!D$1),0),"")</f>
        <v>Доставлен</v>
      </c>
      <c r="E1582" s="95">
        <f>IFERROR(VLOOKUP($A1582,HeadJournal!$A$1:$NTR$890,COLUMN(HeadJournal!G$1),0),"")</f>
        <v>45045</v>
      </c>
      <c r="F1582" s="95" t="str">
        <f t="shared" si="124"/>
        <v>2023 04</v>
      </c>
      <c r="G1582" s="96" t="s">
        <v>5</v>
      </c>
      <c r="H1582" s="161" t="s">
        <v>2475</v>
      </c>
      <c r="I1582" s="97" t="s">
        <v>2005</v>
      </c>
      <c r="J1582" s="97" t="s">
        <v>3755</v>
      </c>
      <c r="K1582" s="29">
        <v>11.27</v>
      </c>
      <c r="L1582" s="29">
        <v>-2.2549999999999999</v>
      </c>
      <c r="M1582" s="30">
        <f>IFERROR(VLOOKUP($A1582,HeadJournal!$A$1:$J$890,COLUMN(HeadJournal!I$1),0)*($K1582+$L1582)/(SUMIF($A:$A,$A1582,$K:$K)+SUMIF($A:$A,$A1582,$L:$L)),0)</f>
        <v>0.73893442622950833</v>
      </c>
      <c r="N1582" s="30">
        <f>IFERROR((VLOOKUP($A1582,HeadJournal!$A$1:$K$890,COLUMN(HeadJournal!K$1),0)-VLOOKUP($A1582,HeadJournal!$A$1:$K$890,COLUMN(HeadJournal!J$1),0))*($K1582+$L1582)/(SUMIF($A:$A,$A1582,$K:$K)+SUMIF($A:$A,$A1582,$L:$L)),0)</f>
        <v>0</v>
      </c>
      <c r="O1582" s="30">
        <f>IFERROR((VLOOKUP($A1582,HeadJournal!$A$1:$L$890,COLUMN(HeadJournal!L$1),0)*($K1582+$L1582)/(SUMIF($A:$A,$A1582,$K:$K)+SUMIF($A:$A,$A1582,$L:$L)))/VLOOKUP($A1582,HeadJournal!$A$1:$L$890,COLUMN(HeadJournal!H$1),0),0)</f>
        <v>0.61833969939885869</v>
      </c>
      <c r="P1582" s="30">
        <f>IFERROR(SUM(K1582:O1582)*VLOOKUP($A1582,HeadJournal!$A$1:$L$890,COLUMN(HeadJournal!H$1),0),0)</f>
        <v>941.68591269841295</v>
      </c>
      <c r="Q1582" s="29">
        <v>1700</v>
      </c>
      <c r="R1582" s="31">
        <v>45251</v>
      </c>
      <c r="S1582" s="31" t="s">
        <v>3121</v>
      </c>
      <c r="T1582" s="95" t="str">
        <f t="shared" si="125"/>
        <v>2023 11</v>
      </c>
      <c r="U1582" s="32">
        <f t="shared" si="122"/>
        <v>758.31408730158705</v>
      </c>
      <c r="V1582" s="22">
        <f t="shared" si="123"/>
        <v>0.80527283787078052</v>
      </c>
      <c r="X1582" s="33"/>
      <c r="Y1582" s="33"/>
    </row>
    <row r="1583" spans="1:25" x14ac:dyDescent="0.2">
      <c r="A1583" s="93" t="s">
        <v>685</v>
      </c>
      <c r="B1583" s="94" t="str">
        <f>IFERROR(VLOOKUP($A1583,HeadJournal!$A$1:$NTR$890,COLUMN(HeadJournal!B$1),0),"")</f>
        <v>710000769553</v>
      </c>
      <c r="C1583" s="94" t="str">
        <f>IFERROR(VLOOKUP($A1583,HeadJournal!$A$1:$NTR$890,COLUMN(HeadJournal!C$1),0),"")</f>
        <v>iHerb_OA CZN6870</v>
      </c>
      <c r="D1583" s="125" t="str">
        <f>IFERROR(VLOOKUP($A1583,HeadJournal!$A$1:$NTR$890,COLUMN(HeadJournal!D$1),0),"")</f>
        <v>Доставлен</v>
      </c>
      <c r="E1583" s="95">
        <f>IFERROR(VLOOKUP($A1583,HeadJournal!$A$1:$NTR$890,COLUMN(HeadJournal!G$1),0),"")</f>
        <v>45045</v>
      </c>
      <c r="F1583" s="95" t="str">
        <f t="shared" si="124"/>
        <v>2023 04</v>
      </c>
      <c r="G1583" s="96" t="s">
        <v>5</v>
      </c>
      <c r="H1583" s="161" t="s">
        <v>2475</v>
      </c>
      <c r="I1583" s="97" t="s">
        <v>2005</v>
      </c>
      <c r="J1583" s="97" t="s">
        <v>3755</v>
      </c>
      <c r="K1583" s="29">
        <v>11.27</v>
      </c>
      <c r="L1583" s="29">
        <v>-2.2549999999999999</v>
      </c>
      <c r="M1583" s="30">
        <f>IFERROR(VLOOKUP($A1583,HeadJournal!$A$1:$J$890,COLUMN(HeadJournal!I$1),0)*($K1583+$L1583)/(SUMIF($A:$A,$A1583,$K:$K)+SUMIF($A:$A,$A1583,$L:$L)),0)</f>
        <v>0.73893442622950833</v>
      </c>
      <c r="N1583" s="30">
        <f>IFERROR((VLOOKUP($A1583,HeadJournal!$A$1:$K$890,COLUMN(HeadJournal!K$1),0)-VLOOKUP($A1583,HeadJournal!$A$1:$K$890,COLUMN(HeadJournal!J$1),0))*($K1583+$L1583)/(SUMIF($A:$A,$A1583,$K:$K)+SUMIF($A:$A,$A1583,$L:$L)),0)</f>
        <v>0</v>
      </c>
      <c r="O1583" s="30">
        <f>IFERROR((VLOOKUP($A1583,HeadJournal!$A$1:$L$890,COLUMN(HeadJournal!L$1),0)*($K1583+$L1583)/(SUMIF($A:$A,$A1583,$K:$K)+SUMIF($A:$A,$A1583,$L:$L)))/VLOOKUP($A1583,HeadJournal!$A$1:$L$890,COLUMN(HeadJournal!H$1),0),0)</f>
        <v>0.61833969939885869</v>
      </c>
      <c r="P1583" s="30">
        <f>IFERROR(SUM(K1583:O1583)*VLOOKUP($A1583,HeadJournal!$A$1:$L$890,COLUMN(HeadJournal!H$1),0),0)</f>
        <v>941.68591269841295</v>
      </c>
      <c r="Q1583" s="29">
        <v>1700</v>
      </c>
      <c r="R1583" s="31">
        <v>45323</v>
      </c>
      <c r="S1583" s="31" t="s">
        <v>3121</v>
      </c>
      <c r="T1583" s="95" t="str">
        <f t="shared" si="125"/>
        <v>2024 02</v>
      </c>
      <c r="U1583" s="32">
        <f t="shared" si="122"/>
        <v>758.31408730158705</v>
      </c>
      <c r="V1583" s="22">
        <f t="shared" si="123"/>
        <v>0.80527283787078052</v>
      </c>
      <c r="X1583" s="33"/>
      <c r="Y1583" s="33"/>
    </row>
    <row r="1584" spans="1:25" x14ac:dyDescent="0.2">
      <c r="A1584" s="93" t="s">
        <v>692</v>
      </c>
      <c r="B1584" s="94">
        <f>IFERROR(VLOOKUP($A1584,HeadJournal!$A$1:$NTR$890,COLUMN(HeadJournal!B$1),0),"")</f>
        <v>0</v>
      </c>
      <c r="C1584" s="94" t="str">
        <f>IFERROR(VLOOKUP($A1584,HeadJournal!$A$1:$NTR$890,COLUMN(HeadJournal!C$1),0),"")</f>
        <v>WBRS</v>
      </c>
      <c r="D1584" s="125" t="str">
        <f>IFERROR(VLOOKUP($A1584,HeadJournal!$A$1:$NTR$890,COLUMN(HeadJournal!D$1),0),"")</f>
        <v>Доставлен</v>
      </c>
      <c r="E1584" s="95">
        <f>IFERROR(VLOOKUP($A1584,HeadJournal!$A$1:$NTR$890,COLUMN(HeadJournal!G$1),0),"")</f>
        <v>45048</v>
      </c>
      <c r="F1584" s="95" t="str">
        <f t="shared" si="124"/>
        <v>2023 05</v>
      </c>
      <c r="G1584" s="96" t="s">
        <v>6</v>
      </c>
      <c r="H1584" s="160" t="str">
        <f>RIGHT(Journal!$J1584,9)</f>
        <v>113181451</v>
      </c>
      <c r="I1584" s="96" t="str">
        <f t="shared" si="126"/>
        <v>Maxler</v>
      </c>
      <c r="J1584" s="97" t="s">
        <v>630</v>
      </c>
      <c r="K1584" s="29">
        <v>982</v>
      </c>
      <c r="L1584" s="29">
        <v>0</v>
      </c>
      <c r="M1584" s="30">
        <f>IFERROR(VLOOKUP($A1584,HeadJournal!$A$1:$J$890,COLUMN(HeadJournal!I$1),0)*($K1584+$L1584)/(SUMIF($A:$A,$A1584,$K:$K)+SUMIF($A:$A,$A1584,$L:$L)),0)</f>
        <v>0</v>
      </c>
      <c r="N1584" s="30">
        <f>IFERROR((VLOOKUP($A1584,HeadJournal!$A$1:$K$890,COLUMN(HeadJournal!K$1),0)-VLOOKUP($A1584,HeadJournal!$A$1:$K$890,COLUMN(HeadJournal!J$1),0))*($K1584+$L1584)/(SUMIF($A:$A,$A1584,$K:$K)+SUMIF($A:$A,$A1584,$L:$L)),0)</f>
        <v>0</v>
      </c>
      <c r="O1584" s="30">
        <f>IFERROR((VLOOKUP($A1584,HeadJournal!$A$1:$L$890,COLUMN(HeadJournal!L$1),0)*($K1584+$L1584)/(SUMIF($A:$A,$A1584,$K:$K)+SUMIF($A:$A,$A1584,$L:$L)))/VLOOKUP($A1584,HeadJournal!$A$1:$L$890,COLUMN(HeadJournal!H$1),0),0)</f>
        <v>147.29999999999998</v>
      </c>
      <c r="P1584" s="30">
        <f>IFERROR(SUM(K1584:O1584)*VLOOKUP($A1584,HeadJournal!$A$1:$L$890,COLUMN(HeadJournal!H$1),0),0)</f>
        <v>1129.3</v>
      </c>
      <c r="Q1584" s="29">
        <v>1700</v>
      </c>
      <c r="R1584" s="31">
        <v>45062</v>
      </c>
      <c r="S1584" s="31" t="s">
        <v>3121</v>
      </c>
      <c r="T1584" s="95" t="str">
        <f t="shared" si="125"/>
        <v>2023 05</v>
      </c>
      <c r="U1584" s="32">
        <f t="shared" si="122"/>
        <v>570.70000000000005</v>
      </c>
      <c r="V1584" s="22">
        <f t="shared" si="123"/>
        <v>0.50535730098290987</v>
      </c>
      <c r="X1584" s="33"/>
      <c r="Y1584" s="33"/>
    </row>
    <row r="1585" spans="1:25" x14ac:dyDescent="0.2">
      <c r="A1585" s="93" t="s">
        <v>692</v>
      </c>
      <c r="B1585" s="94">
        <f>IFERROR(VLOOKUP($A1585,HeadJournal!$A$1:$NTR$890,COLUMN(HeadJournal!B$1),0),"")</f>
        <v>0</v>
      </c>
      <c r="C1585" s="94" t="str">
        <f>IFERROR(VLOOKUP($A1585,HeadJournal!$A$1:$NTR$890,COLUMN(HeadJournal!C$1),0),"")</f>
        <v>WBRS</v>
      </c>
      <c r="D1585" s="125" t="str">
        <f>IFERROR(VLOOKUP($A1585,HeadJournal!$A$1:$NTR$890,COLUMN(HeadJournal!D$1),0),"")</f>
        <v>Доставлен</v>
      </c>
      <c r="E1585" s="95">
        <f>IFERROR(VLOOKUP($A1585,HeadJournal!$A$1:$NTR$890,COLUMN(HeadJournal!G$1),0),"")</f>
        <v>45048</v>
      </c>
      <c r="F1585" s="95" t="str">
        <f t="shared" si="124"/>
        <v>2023 05</v>
      </c>
      <c r="G1585" s="96" t="s">
        <v>6</v>
      </c>
      <c r="H1585" s="160" t="str">
        <f>RIGHT(Journal!$J1585,9)</f>
        <v>113181451</v>
      </c>
      <c r="I1585" s="96" t="str">
        <f t="shared" si="126"/>
        <v>Maxler</v>
      </c>
      <c r="J1585" s="97" t="s">
        <v>630</v>
      </c>
      <c r="K1585" s="29">
        <v>982</v>
      </c>
      <c r="L1585" s="29">
        <v>0</v>
      </c>
      <c r="M1585" s="30">
        <f>IFERROR(VLOOKUP($A1585,HeadJournal!$A$1:$J$890,COLUMN(HeadJournal!I$1),0)*($K1585+$L1585)/(SUMIF($A:$A,$A1585,$K:$K)+SUMIF($A:$A,$A1585,$L:$L)),0)</f>
        <v>0</v>
      </c>
      <c r="N1585" s="30">
        <f>IFERROR((VLOOKUP($A1585,HeadJournal!$A$1:$K$890,COLUMN(HeadJournal!K$1),0)-VLOOKUP($A1585,HeadJournal!$A$1:$K$890,COLUMN(HeadJournal!J$1),0))*($K1585+$L1585)/(SUMIF($A:$A,$A1585,$K:$K)+SUMIF($A:$A,$A1585,$L:$L)),0)</f>
        <v>0</v>
      </c>
      <c r="O1585" s="30">
        <f>IFERROR((VLOOKUP($A1585,HeadJournal!$A$1:$L$890,COLUMN(HeadJournal!L$1),0)*($K1585+$L1585)/(SUMIF($A:$A,$A1585,$K:$K)+SUMIF($A:$A,$A1585,$L:$L)))/VLOOKUP($A1585,HeadJournal!$A$1:$L$890,COLUMN(HeadJournal!H$1),0),0)</f>
        <v>147.29999999999998</v>
      </c>
      <c r="P1585" s="30">
        <f>IFERROR(SUM(K1585:O1585)*VLOOKUP($A1585,HeadJournal!$A$1:$L$890,COLUMN(HeadJournal!H$1),0),0)</f>
        <v>1129.3</v>
      </c>
      <c r="Q1585" s="29">
        <v>1700</v>
      </c>
      <c r="R1585" s="31">
        <v>45064</v>
      </c>
      <c r="S1585" s="31" t="s">
        <v>3121</v>
      </c>
      <c r="T1585" s="95" t="str">
        <f t="shared" si="125"/>
        <v>2023 05</v>
      </c>
      <c r="U1585" s="32">
        <f t="shared" si="122"/>
        <v>570.70000000000005</v>
      </c>
      <c r="V1585" s="22">
        <f t="shared" si="123"/>
        <v>0.50535730098290987</v>
      </c>
      <c r="X1585" s="33"/>
      <c r="Y1585" s="33"/>
    </row>
    <row r="1586" spans="1:25" x14ac:dyDescent="0.2">
      <c r="A1586" s="93" t="s">
        <v>692</v>
      </c>
      <c r="B1586" s="94">
        <f>IFERROR(VLOOKUP($A1586,HeadJournal!$A$1:$NTR$890,COLUMN(HeadJournal!B$1),0),"")</f>
        <v>0</v>
      </c>
      <c r="C1586" s="94" t="str">
        <f>IFERROR(VLOOKUP($A1586,HeadJournal!$A$1:$NTR$890,COLUMN(HeadJournal!C$1),0),"")</f>
        <v>WBRS</v>
      </c>
      <c r="D1586" s="125" t="str">
        <f>IFERROR(VLOOKUP($A1586,HeadJournal!$A$1:$NTR$890,COLUMN(HeadJournal!D$1),0),"")</f>
        <v>Доставлен</v>
      </c>
      <c r="E1586" s="95">
        <f>IFERROR(VLOOKUP($A1586,HeadJournal!$A$1:$NTR$890,COLUMN(HeadJournal!G$1),0),"")</f>
        <v>45048</v>
      </c>
      <c r="F1586" s="95" t="str">
        <f t="shared" si="124"/>
        <v>2023 05</v>
      </c>
      <c r="G1586" s="96" t="s">
        <v>6</v>
      </c>
      <c r="H1586" s="160" t="str">
        <f>RIGHT(Journal!$J1586,9)</f>
        <v>113181451</v>
      </c>
      <c r="I1586" s="96" t="str">
        <f t="shared" si="126"/>
        <v>Maxler</v>
      </c>
      <c r="J1586" s="97" t="s">
        <v>630</v>
      </c>
      <c r="K1586" s="29">
        <v>982</v>
      </c>
      <c r="L1586" s="29">
        <v>0</v>
      </c>
      <c r="M1586" s="30">
        <f>IFERROR(VLOOKUP($A1586,HeadJournal!$A$1:$J$890,COLUMN(HeadJournal!I$1),0)*($K1586+$L1586)/(SUMIF($A:$A,$A1586,$K:$K)+SUMIF($A:$A,$A1586,$L:$L)),0)</f>
        <v>0</v>
      </c>
      <c r="N1586" s="30">
        <f>IFERROR((VLOOKUP($A1586,HeadJournal!$A$1:$K$890,COLUMN(HeadJournal!K$1),0)-VLOOKUP($A1586,HeadJournal!$A$1:$K$890,COLUMN(HeadJournal!J$1),0))*($K1586+$L1586)/(SUMIF($A:$A,$A1586,$K:$K)+SUMIF($A:$A,$A1586,$L:$L)),0)</f>
        <v>0</v>
      </c>
      <c r="O1586" s="30">
        <f>IFERROR((VLOOKUP($A1586,HeadJournal!$A$1:$L$890,COLUMN(HeadJournal!L$1),0)*($K1586+$L1586)/(SUMIF($A:$A,$A1586,$K:$K)+SUMIF($A:$A,$A1586,$L:$L)))/VLOOKUP($A1586,HeadJournal!$A$1:$L$890,COLUMN(HeadJournal!H$1),0),0)</f>
        <v>147.29999999999998</v>
      </c>
      <c r="P1586" s="30">
        <f>IFERROR(SUM(K1586:O1586)*VLOOKUP($A1586,HeadJournal!$A$1:$L$890,COLUMN(HeadJournal!H$1),0),0)</f>
        <v>1129.3</v>
      </c>
      <c r="Q1586" s="29">
        <v>1700</v>
      </c>
      <c r="R1586" s="31">
        <v>45098</v>
      </c>
      <c r="S1586" s="31" t="s">
        <v>3121</v>
      </c>
      <c r="T1586" s="95" t="str">
        <f t="shared" si="125"/>
        <v>2023 06</v>
      </c>
      <c r="U1586" s="32">
        <f t="shared" si="122"/>
        <v>570.70000000000005</v>
      </c>
      <c r="V1586" s="22">
        <f t="shared" si="123"/>
        <v>0.50535730098290987</v>
      </c>
      <c r="X1586" s="33"/>
      <c r="Y1586" s="33"/>
    </row>
    <row r="1587" spans="1:25" x14ac:dyDescent="0.2">
      <c r="A1587" s="93" t="s">
        <v>693</v>
      </c>
      <c r="B1587" s="94">
        <f>IFERROR(VLOOKUP($A1587,HeadJournal!$A$1:$NTR$890,COLUMN(HeadJournal!B$1),0),"")</f>
        <v>0</v>
      </c>
      <c r="C1587" s="94" t="str">
        <f>IFERROR(VLOOKUP($A1587,HeadJournal!$A$1:$NTR$890,COLUMN(HeadJournal!C$1),0),"")</f>
        <v>OZON_AV</v>
      </c>
      <c r="D1587" s="125" t="str">
        <f>IFERROR(VLOOKUP($A1587,HeadJournal!$A$1:$NTR$890,COLUMN(HeadJournal!D$1),0),"")</f>
        <v>Доставлен</v>
      </c>
      <c r="E1587" s="95">
        <f>IFERROR(VLOOKUP($A1587,HeadJournal!$A$1:$NTR$890,COLUMN(HeadJournal!G$1),0),"")</f>
        <v>45042</v>
      </c>
      <c r="F1587" s="95" t="str">
        <f t="shared" si="124"/>
        <v>2023 04</v>
      </c>
      <c r="G1587" s="96" t="s">
        <v>6</v>
      </c>
      <c r="H1587" s="160" t="str">
        <f>RIGHT(Journal!$J1587,9)</f>
        <v>170918388</v>
      </c>
      <c r="I1587" s="96" t="str">
        <f t="shared" si="126"/>
        <v>PRIMEKRAFT</v>
      </c>
      <c r="J1587" s="97" t="s">
        <v>329</v>
      </c>
      <c r="K1587" s="29">
        <v>786</v>
      </c>
      <c r="L1587" s="29">
        <v>0</v>
      </c>
      <c r="M1587" s="30">
        <f>IFERROR(VLOOKUP($A1587,HeadJournal!$A$1:$J$890,COLUMN(HeadJournal!I$1),0)*($K1587+$L1587)/(SUMIF($A:$A,$A1587,$K:$K)+SUMIF($A:$A,$A1587,$L:$L)),0)</f>
        <v>0</v>
      </c>
      <c r="N1587" s="30">
        <f>IFERROR((VLOOKUP($A1587,HeadJournal!$A$1:$K$890,COLUMN(HeadJournal!K$1),0)-VLOOKUP($A1587,HeadJournal!$A$1:$K$890,COLUMN(HeadJournal!J$1),0))*($K1587+$L1587)/(SUMIF($A:$A,$A1587,$K:$K)+SUMIF($A:$A,$A1587,$L:$L)),0)</f>
        <v>0</v>
      </c>
      <c r="O1587" s="30">
        <f>IFERROR((VLOOKUP($A1587,HeadJournal!$A$1:$L$890,COLUMN(HeadJournal!L$1),0)*($K1587+$L1587)/(SUMIF($A:$A,$A1587,$K:$K)+SUMIF($A:$A,$A1587,$L:$L)))/VLOOKUP($A1587,HeadJournal!$A$1:$L$890,COLUMN(HeadJournal!H$1),0),0)</f>
        <v>117.89999999999999</v>
      </c>
      <c r="P1587" s="30">
        <f>IFERROR(SUM(K1587:O1587)*VLOOKUP($A1587,HeadJournal!$A$1:$L$890,COLUMN(HeadJournal!H$1),0),0)</f>
        <v>903.9</v>
      </c>
      <c r="Q1587" s="29">
        <v>1500</v>
      </c>
      <c r="R1587" s="31">
        <v>45064</v>
      </c>
      <c r="S1587" s="31" t="s">
        <v>3121</v>
      </c>
      <c r="T1587" s="95" t="str">
        <f t="shared" si="125"/>
        <v>2023 05</v>
      </c>
      <c r="U1587" s="32">
        <f t="shared" si="122"/>
        <v>596.1</v>
      </c>
      <c r="V1587" s="22">
        <f t="shared" si="123"/>
        <v>0.65947560570859609</v>
      </c>
      <c r="X1587" s="33"/>
      <c r="Y1587" s="33"/>
    </row>
    <row r="1588" spans="1:25" x14ac:dyDescent="0.2">
      <c r="A1588" s="93" t="s">
        <v>693</v>
      </c>
      <c r="B1588" s="94">
        <f>IFERROR(VLOOKUP($A1588,HeadJournal!$A$1:$NTR$890,COLUMN(HeadJournal!B$1),0),"")</f>
        <v>0</v>
      </c>
      <c r="C1588" s="94" t="str">
        <f>IFERROR(VLOOKUP($A1588,HeadJournal!$A$1:$NTR$890,COLUMN(HeadJournal!C$1),0),"")</f>
        <v>OZON_AV</v>
      </c>
      <c r="D1588" s="125" t="str">
        <f>IFERROR(VLOOKUP($A1588,HeadJournal!$A$1:$NTR$890,COLUMN(HeadJournal!D$1),0),"")</f>
        <v>Доставлен</v>
      </c>
      <c r="E1588" s="95">
        <f>IFERROR(VLOOKUP($A1588,HeadJournal!$A$1:$NTR$890,COLUMN(HeadJournal!G$1),0),"")</f>
        <v>45042</v>
      </c>
      <c r="F1588" s="95" t="str">
        <f t="shared" si="124"/>
        <v>2023 04</v>
      </c>
      <c r="G1588" s="96" t="s">
        <v>6</v>
      </c>
      <c r="H1588" s="160" t="str">
        <f>RIGHT(Journal!$J1588,9)</f>
        <v>170918388</v>
      </c>
      <c r="I1588" s="96" t="str">
        <f t="shared" si="126"/>
        <v>PRIMEKRAFT</v>
      </c>
      <c r="J1588" s="97" t="s">
        <v>329</v>
      </c>
      <c r="K1588" s="29">
        <v>786</v>
      </c>
      <c r="L1588" s="29">
        <v>0</v>
      </c>
      <c r="M1588" s="30">
        <f>IFERROR(VLOOKUP($A1588,HeadJournal!$A$1:$J$890,COLUMN(HeadJournal!I$1),0)*($K1588+$L1588)/(SUMIF($A:$A,$A1588,$K:$K)+SUMIF($A:$A,$A1588,$L:$L)),0)</f>
        <v>0</v>
      </c>
      <c r="N1588" s="30">
        <f>IFERROR((VLOOKUP($A1588,HeadJournal!$A$1:$K$890,COLUMN(HeadJournal!K$1),0)-VLOOKUP($A1588,HeadJournal!$A$1:$K$890,COLUMN(HeadJournal!J$1),0))*($K1588+$L1588)/(SUMIF($A:$A,$A1588,$K:$K)+SUMIF($A:$A,$A1588,$L:$L)),0)</f>
        <v>0</v>
      </c>
      <c r="O1588" s="30">
        <f>IFERROR((VLOOKUP($A1588,HeadJournal!$A$1:$L$890,COLUMN(HeadJournal!L$1),0)*($K1588+$L1588)/(SUMIF($A:$A,$A1588,$K:$K)+SUMIF($A:$A,$A1588,$L:$L)))/VLOOKUP($A1588,HeadJournal!$A$1:$L$890,COLUMN(HeadJournal!H$1),0),0)</f>
        <v>117.89999999999999</v>
      </c>
      <c r="P1588" s="30">
        <f>IFERROR(SUM(K1588:O1588)*VLOOKUP($A1588,HeadJournal!$A$1:$L$890,COLUMN(HeadJournal!H$1),0),0)</f>
        <v>903.9</v>
      </c>
      <c r="Q1588" s="29">
        <v>1500</v>
      </c>
      <c r="R1588" s="31">
        <v>45071</v>
      </c>
      <c r="S1588" s="31" t="s">
        <v>3121</v>
      </c>
      <c r="T1588" s="95" t="str">
        <f t="shared" si="125"/>
        <v>2023 05</v>
      </c>
      <c r="U1588" s="32">
        <f t="shared" si="122"/>
        <v>596.1</v>
      </c>
      <c r="V1588" s="22">
        <f t="shared" si="123"/>
        <v>0.65947560570859609</v>
      </c>
      <c r="X1588" s="33"/>
      <c r="Y1588" s="33"/>
    </row>
    <row r="1589" spans="1:25" x14ac:dyDescent="0.2">
      <c r="A1589" s="93" t="s">
        <v>694</v>
      </c>
      <c r="B1589" s="94">
        <f>IFERROR(VLOOKUP($A1589,HeadJournal!$A$1:$NTR$890,COLUMN(HeadJournal!B$1),0),"")</f>
        <v>0</v>
      </c>
      <c r="C1589" s="94" t="str">
        <f>IFERROR(VLOOKUP($A1589,HeadJournal!$A$1:$NTR$890,COLUMN(HeadJournal!C$1),0),"")</f>
        <v>OZON_AV</v>
      </c>
      <c r="D1589" s="125" t="str">
        <f>IFERROR(VLOOKUP($A1589,HeadJournal!$A$1:$NTR$890,COLUMN(HeadJournal!D$1),0),"")</f>
        <v>Доставлен</v>
      </c>
      <c r="E1589" s="95">
        <f>IFERROR(VLOOKUP($A1589,HeadJournal!$A$1:$NTR$890,COLUMN(HeadJournal!G$1),0),"")</f>
        <v>45050</v>
      </c>
      <c r="F1589" s="95" t="str">
        <f t="shared" si="124"/>
        <v>2023 05</v>
      </c>
      <c r="G1589" s="96" t="s">
        <v>6</v>
      </c>
      <c r="H1589" s="160" t="str">
        <f>RIGHT(Journal!$J1589,9)</f>
        <v>686750940</v>
      </c>
      <c r="I1589" s="96" t="str">
        <f t="shared" si="126"/>
        <v>Tree of Life</v>
      </c>
      <c r="J1589" s="97" t="s">
        <v>695</v>
      </c>
      <c r="K1589" s="29">
        <v>2387</v>
      </c>
      <c r="L1589" s="29">
        <v>0</v>
      </c>
      <c r="M1589" s="30">
        <f>IFERROR(VLOOKUP($A1589,HeadJournal!$A$1:$J$890,COLUMN(HeadJournal!I$1),0)*($K1589+$L1589)/(SUMIF($A:$A,$A1589,$K:$K)+SUMIF($A:$A,$A1589,$L:$L)),0)</f>
        <v>0</v>
      </c>
      <c r="N1589" s="30">
        <f>IFERROR((VLOOKUP($A1589,HeadJournal!$A$1:$K$890,COLUMN(HeadJournal!K$1),0)-VLOOKUP($A1589,HeadJournal!$A$1:$K$890,COLUMN(HeadJournal!J$1),0))*($K1589+$L1589)/(SUMIF($A:$A,$A1589,$K:$K)+SUMIF($A:$A,$A1589,$L:$L)),0)</f>
        <v>0</v>
      </c>
      <c r="O1589" s="30">
        <f>IFERROR((VLOOKUP($A1589,HeadJournal!$A$1:$L$890,COLUMN(HeadJournal!L$1),0)*($K1589+$L1589)/(SUMIF($A:$A,$A1589,$K:$K)+SUMIF($A:$A,$A1589,$L:$L)))/VLOOKUP($A1589,HeadJournal!$A$1:$L$890,COLUMN(HeadJournal!H$1),0),0)</f>
        <v>358.05</v>
      </c>
      <c r="P1589" s="30">
        <f>IFERROR(SUM(K1589:O1589)*VLOOKUP($A1589,HeadJournal!$A$1:$L$890,COLUMN(HeadJournal!H$1),0),0)</f>
        <v>2745.05</v>
      </c>
      <c r="Q1589" s="29">
        <v>3500</v>
      </c>
      <c r="R1589" s="31">
        <v>45056</v>
      </c>
      <c r="S1589" s="31" t="s">
        <v>3121</v>
      </c>
      <c r="T1589" s="95" t="str">
        <f t="shared" si="125"/>
        <v>2023 05</v>
      </c>
      <c r="U1589" s="32">
        <f t="shared" si="122"/>
        <v>754.94999999999982</v>
      </c>
      <c r="V1589" s="22">
        <f t="shared" si="123"/>
        <v>0.27502231289047552</v>
      </c>
      <c r="X1589" s="33"/>
      <c r="Y1589" s="33"/>
    </row>
    <row r="1590" spans="1:25" x14ac:dyDescent="0.2">
      <c r="A1590" s="93" t="s">
        <v>694</v>
      </c>
      <c r="B1590" s="94">
        <f>IFERROR(VLOOKUP($A1590,HeadJournal!$A$1:$NTR$890,COLUMN(HeadJournal!B$1),0),"")</f>
        <v>0</v>
      </c>
      <c r="C1590" s="94" t="str">
        <f>IFERROR(VLOOKUP($A1590,HeadJournal!$A$1:$NTR$890,COLUMN(HeadJournal!C$1),0),"")</f>
        <v>OZON_AV</v>
      </c>
      <c r="D1590" s="125" t="str">
        <f>IFERROR(VLOOKUP($A1590,HeadJournal!$A$1:$NTR$890,COLUMN(HeadJournal!D$1),0),"")</f>
        <v>Доставлен</v>
      </c>
      <c r="E1590" s="95">
        <f>IFERROR(VLOOKUP($A1590,HeadJournal!$A$1:$NTR$890,COLUMN(HeadJournal!G$1),0),"")</f>
        <v>45050</v>
      </c>
      <c r="F1590" s="95" t="str">
        <f t="shared" si="124"/>
        <v>2023 05</v>
      </c>
      <c r="G1590" s="96" t="s">
        <v>6</v>
      </c>
      <c r="H1590" s="160" t="str">
        <f>RIGHT(Journal!$J1590,9)</f>
        <v>931543942</v>
      </c>
      <c r="I1590" s="96" t="str">
        <f t="shared" si="126"/>
        <v>Scitec Nutrition</v>
      </c>
      <c r="J1590" s="97" t="s">
        <v>696</v>
      </c>
      <c r="K1590" s="29">
        <v>3249</v>
      </c>
      <c r="L1590" s="29">
        <v>0</v>
      </c>
      <c r="M1590" s="30">
        <f>IFERROR(VLOOKUP($A1590,HeadJournal!$A$1:$J$890,COLUMN(HeadJournal!I$1),0)*($K1590+$L1590)/(SUMIF($A:$A,$A1590,$K:$K)+SUMIF($A:$A,$A1590,$L:$L)),0)</f>
        <v>0</v>
      </c>
      <c r="N1590" s="30">
        <f>IFERROR((VLOOKUP($A1590,HeadJournal!$A$1:$K$890,COLUMN(HeadJournal!K$1),0)-VLOOKUP($A1590,HeadJournal!$A$1:$K$890,COLUMN(HeadJournal!J$1),0))*($K1590+$L1590)/(SUMIF($A:$A,$A1590,$K:$K)+SUMIF($A:$A,$A1590,$L:$L)),0)</f>
        <v>0</v>
      </c>
      <c r="O1590" s="30">
        <f>IFERROR((VLOOKUP($A1590,HeadJournal!$A$1:$L$890,COLUMN(HeadJournal!L$1),0)*($K1590+$L1590)/(SUMIF($A:$A,$A1590,$K:$K)+SUMIF($A:$A,$A1590,$L:$L)))/VLOOKUP($A1590,HeadJournal!$A$1:$L$890,COLUMN(HeadJournal!H$1),0),0)</f>
        <v>487.35</v>
      </c>
      <c r="P1590" s="30">
        <f>IFERROR(SUM(K1590:O1590)*VLOOKUP($A1590,HeadJournal!$A$1:$L$890,COLUMN(HeadJournal!H$1),0),0)</f>
        <v>3736.35</v>
      </c>
      <c r="Q1590" s="29">
        <v>4200</v>
      </c>
      <c r="R1590" s="31">
        <v>45104</v>
      </c>
      <c r="S1590" s="31" t="s">
        <v>3121</v>
      </c>
      <c r="T1590" s="95" t="str">
        <f t="shared" si="125"/>
        <v>2023 06</v>
      </c>
      <c r="U1590" s="32">
        <f t="shared" si="122"/>
        <v>463.65000000000009</v>
      </c>
      <c r="V1590" s="22">
        <f t="shared" si="123"/>
        <v>0.12409169376530574</v>
      </c>
      <c r="X1590" s="33"/>
      <c r="Y1590" s="33"/>
    </row>
    <row r="1591" spans="1:25" x14ac:dyDescent="0.2">
      <c r="A1591" s="93" t="s">
        <v>697</v>
      </c>
      <c r="B1591" s="94">
        <f>IFERROR(VLOOKUP($A1591,HeadJournal!$A$1:$NTR$890,COLUMN(HeadJournal!B$1),0),"")</f>
        <v>0</v>
      </c>
      <c r="C1591" s="94" t="str">
        <f>IFERROR(VLOOKUP($A1591,HeadJournal!$A$1:$NTR$890,COLUMN(HeadJournal!C$1),0),"")</f>
        <v>OZON_OA</v>
      </c>
      <c r="D1591" s="125" t="str">
        <f>IFERROR(VLOOKUP($A1591,HeadJournal!$A$1:$NTR$890,COLUMN(HeadJournal!D$1),0),"")</f>
        <v>Доставлен</v>
      </c>
      <c r="E1591" s="95">
        <f>IFERROR(VLOOKUP($A1591,HeadJournal!$A$1:$NTR$890,COLUMN(HeadJournal!G$1),0),"")</f>
        <v>45048</v>
      </c>
      <c r="F1591" s="95" t="str">
        <f t="shared" si="124"/>
        <v>2023 05</v>
      </c>
      <c r="G1591" s="96" t="s">
        <v>5</v>
      </c>
      <c r="H1591" s="160" t="str">
        <f>RIGHT(Journal!$J1591,9)</f>
        <v>479516746</v>
      </c>
      <c r="I1591" s="96" t="str">
        <f t="shared" si="126"/>
        <v>Aminofood</v>
      </c>
      <c r="J1591" s="97" t="s">
        <v>698</v>
      </c>
      <c r="K1591" s="29">
        <v>311</v>
      </c>
      <c r="L1591" s="29">
        <v>0</v>
      </c>
      <c r="M1591" s="30">
        <f>IFERROR(VLOOKUP($A1591,HeadJournal!$A$1:$J$890,COLUMN(HeadJournal!I$1),0)*($K1591+$L1591)/(SUMIF($A:$A,$A1591,$K:$K)+SUMIF($A:$A,$A1591,$L:$L)),0)</f>
        <v>0</v>
      </c>
      <c r="N1591" s="30">
        <f>IFERROR((VLOOKUP($A1591,HeadJournal!$A$1:$K$890,COLUMN(HeadJournal!K$1),0)-VLOOKUP($A1591,HeadJournal!$A$1:$K$890,COLUMN(HeadJournal!J$1),0))*($K1591+$L1591)/(SUMIF($A:$A,$A1591,$K:$K)+SUMIF($A:$A,$A1591,$L:$L)),0)</f>
        <v>0</v>
      </c>
      <c r="O1591" s="30">
        <f>IFERROR((VLOOKUP($A1591,HeadJournal!$A$1:$L$890,COLUMN(HeadJournal!L$1),0)*($K1591+$L1591)/(SUMIF($A:$A,$A1591,$K:$K)+SUMIF($A:$A,$A1591,$L:$L)))/VLOOKUP($A1591,HeadJournal!$A$1:$L$890,COLUMN(HeadJournal!H$1),0),0)</f>
        <v>46.65</v>
      </c>
      <c r="P1591" s="30">
        <f>IFERROR(SUM(K1591:O1591)*VLOOKUP($A1591,HeadJournal!$A$1:$L$890,COLUMN(HeadJournal!H$1),0),0)</f>
        <v>357.65</v>
      </c>
      <c r="Q1591" s="29"/>
      <c r="R1591" s="31"/>
      <c r="S1591" s="31"/>
      <c r="T1591" s="95" t="str">
        <f t="shared" si="125"/>
        <v/>
      </c>
      <c r="U1591" s="32">
        <f t="shared" si="122"/>
        <v>-357.65</v>
      </c>
      <c r="V1591" s="22" t="str">
        <f t="shared" si="123"/>
        <v/>
      </c>
      <c r="X1591" s="33"/>
      <c r="Y1591" s="33"/>
    </row>
    <row r="1592" spans="1:25" x14ac:dyDescent="0.2">
      <c r="A1592" s="93" t="s">
        <v>697</v>
      </c>
      <c r="B1592" s="94">
        <f>IFERROR(VLOOKUP($A1592,HeadJournal!$A$1:$NTR$890,COLUMN(HeadJournal!B$1),0),"")</f>
        <v>0</v>
      </c>
      <c r="C1592" s="94" t="str">
        <f>IFERROR(VLOOKUP($A1592,HeadJournal!$A$1:$NTR$890,COLUMN(HeadJournal!C$1),0),"")</f>
        <v>OZON_OA</v>
      </c>
      <c r="D1592" s="125" t="str">
        <f>IFERROR(VLOOKUP($A1592,HeadJournal!$A$1:$NTR$890,COLUMN(HeadJournal!D$1),0),"")</f>
        <v>Доставлен</v>
      </c>
      <c r="E1592" s="95">
        <f>IFERROR(VLOOKUP($A1592,HeadJournal!$A$1:$NTR$890,COLUMN(HeadJournal!G$1),0),"")</f>
        <v>45048</v>
      </c>
      <c r="F1592" s="95" t="str">
        <f t="shared" si="124"/>
        <v>2023 05</v>
      </c>
      <c r="G1592" s="96" t="s">
        <v>5</v>
      </c>
      <c r="H1592" s="160" t="str">
        <f>RIGHT(Journal!$J1592,9)</f>
        <v>479516746</v>
      </c>
      <c r="I1592" s="96" t="str">
        <f t="shared" si="126"/>
        <v>Aminofood</v>
      </c>
      <c r="J1592" s="97" t="s">
        <v>698</v>
      </c>
      <c r="K1592" s="29">
        <v>311</v>
      </c>
      <c r="L1592" s="29">
        <v>0</v>
      </c>
      <c r="M1592" s="30">
        <f>IFERROR(VLOOKUP($A1592,HeadJournal!$A$1:$J$890,COLUMN(HeadJournal!I$1),0)*($K1592+$L1592)/(SUMIF($A:$A,$A1592,$K:$K)+SUMIF($A:$A,$A1592,$L:$L)),0)</f>
        <v>0</v>
      </c>
      <c r="N1592" s="30">
        <f>IFERROR((VLOOKUP($A1592,HeadJournal!$A$1:$K$890,COLUMN(HeadJournal!K$1),0)-VLOOKUP($A1592,HeadJournal!$A$1:$K$890,COLUMN(HeadJournal!J$1),0))*($K1592+$L1592)/(SUMIF($A:$A,$A1592,$K:$K)+SUMIF($A:$A,$A1592,$L:$L)),0)</f>
        <v>0</v>
      </c>
      <c r="O1592" s="30">
        <f>IFERROR((VLOOKUP($A1592,HeadJournal!$A$1:$L$890,COLUMN(HeadJournal!L$1),0)*($K1592+$L1592)/(SUMIF($A:$A,$A1592,$K:$K)+SUMIF($A:$A,$A1592,$L:$L)))/VLOOKUP($A1592,HeadJournal!$A$1:$L$890,COLUMN(HeadJournal!H$1),0),0)</f>
        <v>46.65</v>
      </c>
      <c r="P1592" s="30">
        <f>IFERROR(SUM(K1592:O1592)*VLOOKUP($A1592,HeadJournal!$A$1:$L$890,COLUMN(HeadJournal!H$1),0),0)</f>
        <v>357.65</v>
      </c>
      <c r="Q1592" s="29"/>
      <c r="R1592" s="31"/>
      <c r="S1592" s="31"/>
      <c r="T1592" s="95" t="str">
        <f t="shared" si="125"/>
        <v/>
      </c>
      <c r="U1592" s="32">
        <f t="shared" si="122"/>
        <v>-357.65</v>
      </c>
      <c r="V1592" s="22" t="str">
        <f t="shared" si="123"/>
        <v/>
      </c>
      <c r="X1592" s="33"/>
      <c r="Y1592" s="33"/>
    </row>
    <row r="1593" spans="1:25" x14ac:dyDescent="0.2">
      <c r="A1593" s="93" t="s">
        <v>697</v>
      </c>
      <c r="B1593" s="94">
        <f>IFERROR(VLOOKUP($A1593,HeadJournal!$A$1:$NTR$890,COLUMN(HeadJournal!B$1),0),"")</f>
        <v>0</v>
      </c>
      <c r="C1593" s="94" t="str">
        <f>IFERROR(VLOOKUP($A1593,HeadJournal!$A$1:$NTR$890,COLUMN(HeadJournal!C$1),0),"")</f>
        <v>OZON_OA</v>
      </c>
      <c r="D1593" s="125" t="str">
        <f>IFERROR(VLOOKUP($A1593,HeadJournal!$A$1:$NTR$890,COLUMN(HeadJournal!D$1),0),"")</f>
        <v>Доставлен</v>
      </c>
      <c r="E1593" s="95">
        <f>IFERROR(VLOOKUP($A1593,HeadJournal!$A$1:$NTR$890,COLUMN(HeadJournal!G$1),0),"")</f>
        <v>45048</v>
      </c>
      <c r="F1593" s="95" t="str">
        <f t="shared" si="124"/>
        <v>2023 05</v>
      </c>
      <c r="G1593" s="96" t="s">
        <v>6</v>
      </c>
      <c r="H1593" s="160" t="str">
        <f>RIGHT(Journal!$J1593,9)</f>
        <v>561311513</v>
      </c>
      <c r="I1593" s="96" t="str">
        <f t="shared" si="126"/>
        <v>Aminofood</v>
      </c>
      <c r="J1593" s="97" t="s">
        <v>699</v>
      </c>
      <c r="K1593" s="29">
        <v>588</v>
      </c>
      <c r="L1593" s="29">
        <v>0</v>
      </c>
      <c r="M1593" s="30">
        <f>IFERROR(VLOOKUP($A1593,HeadJournal!$A$1:$J$890,COLUMN(HeadJournal!I$1),0)*($K1593+$L1593)/(SUMIF($A:$A,$A1593,$K:$K)+SUMIF($A:$A,$A1593,$L:$L)),0)</f>
        <v>0</v>
      </c>
      <c r="N1593" s="30">
        <f>IFERROR((VLOOKUP($A1593,HeadJournal!$A$1:$K$890,COLUMN(HeadJournal!K$1),0)-VLOOKUP($A1593,HeadJournal!$A$1:$K$890,COLUMN(HeadJournal!J$1),0))*($K1593+$L1593)/(SUMIF($A:$A,$A1593,$K:$K)+SUMIF($A:$A,$A1593,$L:$L)),0)</f>
        <v>0</v>
      </c>
      <c r="O1593" s="30">
        <f>IFERROR((VLOOKUP($A1593,HeadJournal!$A$1:$L$890,COLUMN(HeadJournal!L$1),0)*($K1593+$L1593)/(SUMIF($A:$A,$A1593,$K:$K)+SUMIF($A:$A,$A1593,$L:$L)))/VLOOKUP($A1593,HeadJournal!$A$1:$L$890,COLUMN(HeadJournal!H$1),0),0)</f>
        <v>88.2</v>
      </c>
      <c r="P1593" s="30">
        <f>IFERROR(SUM(K1593:O1593)*VLOOKUP($A1593,HeadJournal!$A$1:$L$890,COLUMN(HeadJournal!H$1),0),0)</f>
        <v>676.2</v>
      </c>
      <c r="Q1593" s="29">
        <v>1400</v>
      </c>
      <c r="R1593" s="31">
        <v>45056</v>
      </c>
      <c r="S1593" s="31" t="s">
        <v>3121</v>
      </c>
      <c r="T1593" s="95" t="str">
        <f t="shared" si="125"/>
        <v>2023 05</v>
      </c>
      <c r="U1593" s="32">
        <f t="shared" si="122"/>
        <v>723.8</v>
      </c>
      <c r="V1593" s="22">
        <f t="shared" si="123"/>
        <v>1.0703933747412007</v>
      </c>
      <c r="X1593" s="33"/>
      <c r="Y1593" s="33"/>
    </row>
    <row r="1594" spans="1:25" x14ac:dyDescent="0.2">
      <c r="A1594" s="93" t="s">
        <v>700</v>
      </c>
      <c r="B1594" s="94">
        <f>IFERROR(VLOOKUP($A1594,HeadJournal!$A$1:$NTR$890,COLUMN(HeadJournal!B$1),0),"")</f>
        <v>0</v>
      </c>
      <c r="C1594" s="94" t="str">
        <f>IFERROR(VLOOKUP($A1594,HeadJournal!$A$1:$NTR$890,COLUMN(HeadJournal!C$1),0),"")</f>
        <v>CoralClub_OA</v>
      </c>
      <c r="D1594" s="125" t="str">
        <f>IFERROR(VLOOKUP($A1594,HeadJournal!$A$1:$NTR$890,COLUMN(HeadJournal!D$1),0),"")</f>
        <v>Доставлен</v>
      </c>
      <c r="E1594" s="95">
        <f>IFERROR(VLOOKUP($A1594,HeadJournal!$A$1:$NTR$890,COLUMN(HeadJournal!G$1),0),"")</f>
        <v>45052</v>
      </c>
      <c r="F1594" s="95" t="str">
        <f t="shared" si="124"/>
        <v>2023 05</v>
      </c>
      <c r="G1594" s="96" t="s">
        <v>5</v>
      </c>
      <c r="H1594" s="160" t="str">
        <f>RIGHT(Journal!$J1594,9)</f>
        <v>000091848</v>
      </c>
      <c r="I1594" s="96" t="str">
        <f t="shared" si="126"/>
        <v>CoralClub</v>
      </c>
      <c r="J1594" s="97" t="s">
        <v>701</v>
      </c>
      <c r="K1594" s="29">
        <v>1198.8</v>
      </c>
      <c r="L1594" s="29">
        <v>0</v>
      </c>
      <c r="M1594" s="30">
        <f>IFERROR(VLOOKUP($A1594,HeadJournal!$A$1:$J$890,COLUMN(HeadJournal!I$1),0)*($K1594+$L1594)/(SUMIF($A:$A,$A1594,$K:$K)+SUMIF($A:$A,$A1594,$L:$L)),0)</f>
        <v>-1198.8</v>
      </c>
      <c r="N1594" s="30">
        <f>IFERROR((VLOOKUP($A1594,HeadJournal!$A$1:$K$890,COLUMN(HeadJournal!K$1),0)-VLOOKUP($A1594,HeadJournal!$A$1:$K$890,COLUMN(HeadJournal!J$1),0))*($K1594+$L1594)/(SUMIF($A:$A,$A1594,$K:$K)+SUMIF($A:$A,$A1594,$L:$L)),0)</f>
        <v>0</v>
      </c>
      <c r="O1594" s="30">
        <f>IFERROR((VLOOKUP($A1594,HeadJournal!$A$1:$L$890,COLUMN(HeadJournal!L$1),0)*($K1594+$L1594)/(SUMIF($A:$A,$A1594,$K:$K)+SUMIF($A:$A,$A1594,$L:$L)))/VLOOKUP($A1594,HeadJournal!$A$1:$L$890,COLUMN(HeadJournal!H$1),0),0)</f>
        <v>0</v>
      </c>
      <c r="P1594" s="30">
        <f>IFERROR(SUM(K1594:O1594)*VLOOKUP($A1594,HeadJournal!$A$1:$L$890,COLUMN(HeadJournal!H$1),0),0)</f>
        <v>0</v>
      </c>
      <c r="Q1594" s="29">
        <v>1600</v>
      </c>
      <c r="R1594" s="31">
        <v>45057</v>
      </c>
      <c r="S1594" s="31" t="s">
        <v>3121</v>
      </c>
      <c r="T1594" s="95" t="str">
        <f t="shared" si="125"/>
        <v>2023 05</v>
      </c>
      <c r="U1594" s="32">
        <f t="shared" si="122"/>
        <v>1600</v>
      </c>
      <c r="V1594" s="22" t="str">
        <f t="shared" si="123"/>
        <v/>
      </c>
      <c r="X1594" s="33"/>
      <c r="Y1594" s="33"/>
    </row>
    <row r="1595" spans="1:25" x14ac:dyDescent="0.2">
      <c r="A1595" s="93" t="s">
        <v>702</v>
      </c>
      <c r="B1595" s="94">
        <f>IFERROR(VLOOKUP($A1595,HeadJournal!$A$1:$NTR$890,COLUMN(HeadJournal!B$1),0),"")</f>
        <v>0</v>
      </c>
      <c r="C1595" s="94" t="str">
        <f>IFERROR(VLOOKUP($A1595,HeadJournal!$A$1:$NTR$890,COLUMN(HeadJournal!C$1),0),"")</f>
        <v>CoralClub_AV</v>
      </c>
      <c r="D1595" s="125" t="str">
        <f>IFERROR(VLOOKUP($A1595,HeadJournal!$A$1:$NTR$890,COLUMN(HeadJournal!D$1),0),"")</f>
        <v>Доставлен</v>
      </c>
      <c r="E1595" s="95">
        <f>IFERROR(VLOOKUP($A1595,HeadJournal!$A$1:$NTR$890,COLUMN(HeadJournal!G$1),0),"")</f>
        <v>45052</v>
      </c>
      <c r="F1595" s="95" t="str">
        <f t="shared" si="124"/>
        <v>2023 05</v>
      </c>
      <c r="G1595" s="96" t="s">
        <v>5</v>
      </c>
      <c r="H1595" s="160" t="str">
        <f>RIGHT(Journal!$J1595,9)</f>
        <v>000002149</v>
      </c>
      <c r="I1595" s="96" t="str">
        <f t="shared" si="126"/>
        <v>CoralClub</v>
      </c>
      <c r="J1595" s="97" t="s">
        <v>703</v>
      </c>
      <c r="K1595" s="29">
        <v>629</v>
      </c>
      <c r="L1595" s="29">
        <v>0</v>
      </c>
      <c r="M1595" s="30">
        <f>IFERROR(VLOOKUP($A1595,HeadJournal!$A$1:$J$890,COLUMN(HeadJournal!I$1),0)*($K1595+$L1595)/(SUMIF($A:$A,$A1595,$K:$K)+SUMIF($A:$A,$A1595,$L:$L)),0)</f>
        <v>0</v>
      </c>
      <c r="N1595" s="30">
        <f>IFERROR((VLOOKUP($A1595,HeadJournal!$A$1:$K$890,COLUMN(HeadJournal!K$1),0)-VLOOKUP($A1595,HeadJournal!$A$1:$K$890,COLUMN(HeadJournal!J$1),0))*($K1595+$L1595)/(SUMIF($A:$A,$A1595,$K:$K)+SUMIF($A:$A,$A1595,$L:$L)),0)</f>
        <v>21</v>
      </c>
      <c r="O1595" s="30">
        <f>IFERROR((VLOOKUP($A1595,HeadJournal!$A$1:$L$890,COLUMN(HeadJournal!L$1),0)*($K1595+$L1595)/(SUMIF($A:$A,$A1595,$K:$K)+SUMIF($A:$A,$A1595,$L:$L)))/VLOOKUP($A1595,HeadJournal!$A$1:$L$890,COLUMN(HeadJournal!H$1),0),0)</f>
        <v>0</v>
      </c>
      <c r="P1595" s="30">
        <f>IFERROR(SUM(K1595:O1595)*VLOOKUP($A1595,HeadJournal!$A$1:$L$890,COLUMN(HeadJournal!H$1),0),0)</f>
        <v>650</v>
      </c>
      <c r="Q1595" s="29">
        <v>1000</v>
      </c>
      <c r="R1595" s="31">
        <v>45057</v>
      </c>
      <c r="S1595" s="31" t="s">
        <v>3121</v>
      </c>
      <c r="T1595" s="95" t="str">
        <f t="shared" si="125"/>
        <v>2023 05</v>
      </c>
      <c r="U1595" s="32">
        <f t="shared" si="122"/>
        <v>350</v>
      </c>
      <c r="V1595" s="22">
        <f t="shared" si="123"/>
        <v>0.53846153846153844</v>
      </c>
      <c r="X1595" s="33"/>
      <c r="Y1595" s="33"/>
    </row>
    <row r="1596" spans="1:25" x14ac:dyDescent="0.2">
      <c r="A1596" s="93" t="s">
        <v>702</v>
      </c>
      <c r="B1596" s="94">
        <f>IFERROR(VLOOKUP($A1596,HeadJournal!$A$1:$NTR$890,COLUMN(HeadJournal!B$1),0),"")</f>
        <v>0</v>
      </c>
      <c r="C1596" s="94" t="str">
        <f>IFERROR(VLOOKUP($A1596,HeadJournal!$A$1:$NTR$890,COLUMN(HeadJournal!C$1),0),"")</f>
        <v>CoralClub_AV</v>
      </c>
      <c r="D1596" s="125" t="str">
        <f>IFERROR(VLOOKUP($A1596,HeadJournal!$A$1:$NTR$890,COLUMN(HeadJournal!D$1),0),"")</f>
        <v>Доставлен</v>
      </c>
      <c r="E1596" s="95">
        <f>IFERROR(VLOOKUP($A1596,HeadJournal!$A$1:$NTR$890,COLUMN(HeadJournal!G$1),0),"")</f>
        <v>45052</v>
      </c>
      <c r="F1596" s="95" t="str">
        <f t="shared" si="124"/>
        <v>2023 05</v>
      </c>
      <c r="G1596" s="96" t="s">
        <v>5</v>
      </c>
      <c r="H1596" s="160" t="str">
        <f>RIGHT(Journal!$J1596,9)</f>
        <v>000002149</v>
      </c>
      <c r="I1596" s="96" t="str">
        <f t="shared" si="126"/>
        <v>CoralClub</v>
      </c>
      <c r="J1596" s="97" t="s">
        <v>703</v>
      </c>
      <c r="K1596" s="29">
        <v>629</v>
      </c>
      <c r="L1596" s="29">
        <v>0</v>
      </c>
      <c r="M1596" s="30">
        <f>IFERROR(VLOOKUP($A1596,HeadJournal!$A$1:$J$890,COLUMN(HeadJournal!I$1),0)*($K1596+$L1596)/(SUMIF($A:$A,$A1596,$K:$K)+SUMIF($A:$A,$A1596,$L:$L)),0)</f>
        <v>0</v>
      </c>
      <c r="N1596" s="30">
        <f>IFERROR((VLOOKUP($A1596,HeadJournal!$A$1:$K$890,COLUMN(HeadJournal!K$1),0)-VLOOKUP($A1596,HeadJournal!$A$1:$K$890,COLUMN(HeadJournal!J$1),0))*($K1596+$L1596)/(SUMIF($A:$A,$A1596,$K:$K)+SUMIF($A:$A,$A1596,$L:$L)),0)</f>
        <v>21</v>
      </c>
      <c r="O1596" s="30">
        <f>IFERROR((VLOOKUP($A1596,HeadJournal!$A$1:$L$890,COLUMN(HeadJournal!L$1),0)*($K1596+$L1596)/(SUMIF($A:$A,$A1596,$K:$K)+SUMIF($A:$A,$A1596,$L:$L)))/VLOOKUP($A1596,HeadJournal!$A$1:$L$890,COLUMN(HeadJournal!H$1),0),0)</f>
        <v>0</v>
      </c>
      <c r="P1596" s="30">
        <f>IFERROR(SUM(K1596:O1596)*VLOOKUP($A1596,HeadJournal!$A$1:$L$890,COLUMN(HeadJournal!H$1),0),0)</f>
        <v>650</v>
      </c>
      <c r="Q1596" s="29">
        <v>1100</v>
      </c>
      <c r="R1596" s="31">
        <v>45182</v>
      </c>
      <c r="S1596" s="31" t="s">
        <v>3121</v>
      </c>
      <c r="T1596" s="95" t="str">
        <f t="shared" si="125"/>
        <v>2023 09</v>
      </c>
      <c r="U1596" s="32">
        <f t="shared" si="122"/>
        <v>450</v>
      </c>
      <c r="V1596" s="22">
        <f t="shared" si="123"/>
        <v>0.69230769230769229</v>
      </c>
      <c r="X1596" s="33"/>
      <c r="Y1596" s="33"/>
    </row>
    <row r="1597" spans="1:25" x14ac:dyDescent="0.2">
      <c r="A1597" s="93" t="s">
        <v>704</v>
      </c>
      <c r="B1597" s="94">
        <f>IFERROR(VLOOKUP($A1597,HeadJournal!$A$1:$NTR$890,COLUMN(HeadJournal!B$1),0),"")</f>
        <v>0</v>
      </c>
      <c r="C1597" s="94" t="str">
        <f>IFERROR(VLOOKUP($A1597,HeadJournal!$A$1:$NTR$890,COLUMN(HeadJournal!C$1),0),"")</f>
        <v>WBRS</v>
      </c>
      <c r="D1597" s="125" t="str">
        <f>IFERROR(VLOOKUP($A1597,HeadJournal!$A$1:$NTR$890,COLUMN(HeadJournal!D$1),0),"")</f>
        <v>Доставлен</v>
      </c>
      <c r="E1597" s="95">
        <f>IFERROR(VLOOKUP($A1597,HeadJournal!$A$1:$NTR$890,COLUMN(HeadJournal!G$1),0),"")</f>
        <v>45048</v>
      </c>
      <c r="F1597" s="95" t="str">
        <f t="shared" si="124"/>
        <v>2023 05</v>
      </c>
      <c r="G1597" s="96" t="s">
        <v>6</v>
      </c>
      <c r="H1597" s="160" t="str">
        <f>RIGHT(Journal!$J1597,9)</f>
        <v>156652333</v>
      </c>
      <c r="I1597" s="96" t="str">
        <f t="shared" si="126"/>
        <v>Insane Labz</v>
      </c>
      <c r="J1597" s="97" t="s">
        <v>705</v>
      </c>
      <c r="K1597" s="29">
        <v>2730</v>
      </c>
      <c r="L1597" s="29">
        <v>0</v>
      </c>
      <c r="M1597" s="30">
        <f>IFERROR(VLOOKUP($A1597,HeadJournal!$A$1:$J$890,COLUMN(HeadJournal!I$1),0)*($K1597+$L1597)/(SUMIF($A:$A,$A1597,$K:$K)+SUMIF($A:$A,$A1597,$L:$L)),0)</f>
        <v>0</v>
      </c>
      <c r="N1597" s="30">
        <f>IFERROR((VLOOKUP($A1597,HeadJournal!$A$1:$K$890,COLUMN(HeadJournal!K$1),0)-VLOOKUP($A1597,HeadJournal!$A$1:$K$890,COLUMN(HeadJournal!J$1),0))*($K1597+$L1597)/(SUMIF($A:$A,$A1597,$K:$K)+SUMIF($A:$A,$A1597,$L:$L)),0)</f>
        <v>0</v>
      </c>
      <c r="O1597" s="30">
        <f>IFERROR((VLOOKUP($A1597,HeadJournal!$A$1:$L$890,COLUMN(HeadJournal!L$1),0)*($K1597+$L1597)/(SUMIF($A:$A,$A1597,$K:$K)+SUMIF($A:$A,$A1597,$L:$L)))/VLOOKUP($A1597,HeadJournal!$A$1:$L$890,COLUMN(HeadJournal!H$1),0),0)</f>
        <v>409.5</v>
      </c>
      <c r="P1597" s="30">
        <f>IFERROR(SUM(K1597:O1597)*VLOOKUP($A1597,HeadJournal!$A$1:$L$890,COLUMN(HeadJournal!H$1),0),0)</f>
        <v>3139.5</v>
      </c>
      <c r="Q1597" s="29">
        <v>3700</v>
      </c>
      <c r="R1597" s="31">
        <v>45186</v>
      </c>
      <c r="S1597" s="31" t="s">
        <v>3121</v>
      </c>
      <c r="T1597" s="95" t="str">
        <f t="shared" si="125"/>
        <v>2023 09</v>
      </c>
      <c r="U1597" s="32">
        <f t="shared" si="122"/>
        <v>560.5</v>
      </c>
      <c r="V1597" s="22">
        <f t="shared" si="123"/>
        <v>0.17853161331422202</v>
      </c>
      <c r="X1597" s="33"/>
      <c r="Y1597" s="33"/>
    </row>
    <row r="1598" spans="1:25" x14ac:dyDescent="0.2">
      <c r="A1598" s="93" t="s">
        <v>704</v>
      </c>
      <c r="B1598" s="94">
        <f>IFERROR(VLOOKUP($A1598,HeadJournal!$A$1:$NTR$890,COLUMN(HeadJournal!B$1),0),"")</f>
        <v>0</v>
      </c>
      <c r="C1598" s="94" t="str">
        <f>IFERROR(VLOOKUP($A1598,HeadJournal!$A$1:$NTR$890,COLUMN(HeadJournal!C$1),0),"")</f>
        <v>WBRS</v>
      </c>
      <c r="D1598" s="125" t="str">
        <f>IFERROR(VLOOKUP($A1598,HeadJournal!$A$1:$NTR$890,COLUMN(HeadJournal!D$1),0),"")</f>
        <v>Доставлен</v>
      </c>
      <c r="E1598" s="95">
        <f>IFERROR(VLOOKUP($A1598,HeadJournal!$A$1:$NTR$890,COLUMN(HeadJournal!G$1),0),"")</f>
        <v>45048</v>
      </c>
      <c r="F1598" s="95" t="str">
        <f t="shared" si="124"/>
        <v>2023 05</v>
      </c>
      <c r="G1598" s="96" t="s">
        <v>6</v>
      </c>
      <c r="H1598" s="160" t="str">
        <f>RIGHT(Journal!$J1598,9)</f>
        <v>156652333</v>
      </c>
      <c r="I1598" s="96" t="str">
        <f t="shared" si="126"/>
        <v>Insane Labz</v>
      </c>
      <c r="J1598" s="97" t="s">
        <v>705</v>
      </c>
      <c r="K1598" s="29">
        <v>2730</v>
      </c>
      <c r="L1598" s="29">
        <v>0</v>
      </c>
      <c r="M1598" s="30">
        <f>IFERROR(VLOOKUP($A1598,HeadJournal!$A$1:$J$890,COLUMN(HeadJournal!I$1),0)*($K1598+$L1598)/(SUMIF($A:$A,$A1598,$K:$K)+SUMIF($A:$A,$A1598,$L:$L)),0)</f>
        <v>0</v>
      </c>
      <c r="N1598" s="30">
        <f>IFERROR((VLOOKUP($A1598,HeadJournal!$A$1:$K$890,COLUMN(HeadJournal!K$1),0)-VLOOKUP($A1598,HeadJournal!$A$1:$K$890,COLUMN(HeadJournal!J$1),0))*($K1598+$L1598)/(SUMIF($A:$A,$A1598,$K:$K)+SUMIF($A:$A,$A1598,$L:$L)),0)</f>
        <v>0</v>
      </c>
      <c r="O1598" s="30">
        <f>IFERROR((VLOOKUP($A1598,HeadJournal!$A$1:$L$890,COLUMN(HeadJournal!L$1),0)*($K1598+$L1598)/(SUMIF($A:$A,$A1598,$K:$K)+SUMIF($A:$A,$A1598,$L:$L)))/VLOOKUP($A1598,HeadJournal!$A$1:$L$890,COLUMN(HeadJournal!H$1),0),0)</f>
        <v>409.5</v>
      </c>
      <c r="P1598" s="30">
        <f>IFERROR(SUM(K1598:O1598)*VLOOKUP($A1598,HeadJournal!$A$1:$L$890,COLUMN(HeadJournal!H$1),0),0)</f>
        <v>3139.5</v>
      </c>
      <c r="Q1598" s="29">
        <v>3800</v>
      </c>
      <c r="R1598" s="31">
        <v>45214</v>
      </c>
      <c r="S1598" s="31" t="s">
        <v>3121</v>
      </c>
      <c r="T1598" s="95" t="str">
        <f t="shared" si="125"/>
        <v>2023 10</v>
      </c>
      <c r="U1598" s="32">
        <f t="shared" si="122"/>
        <v>660.5</v>
      </c>
      <c r="V1598" s="22">
        <f t="shared" si="123"/>
        <v>0.21038381907947126</v>
      </c>
      <c r="X1598" s="33"/>
      <c r="Y1598" s="33"/>
    </row>
    <row r="1599" spans="1:25" x14ac:dyDescent="0.2">
      <c r="A1599" s="93" t="s">
        <v>706</v>
      </c>
      <c r="B1599" s="94">
        <f>IFERROR(VLOOKUP($A1599,HeadJournal!$A$1:$NTR$890,COLUMN(HeadJournal!B$1),0),"")</f>
        <v>0</v>
      </c>
      <c r="C1599" s="94" t="str">
        <f>IFERROR(VLOOKUP($A1599,HeadJournal!$A$1:$NTR$890,COLUMN(HeadJournal!C$1),0),"")</f>
        <v>WBRS</v>
      </c>
      <c r="D1599" s="125" t="str">
        <f>IFERROR(VLOOKUP($A1599,HeadJournal!$A$1:$NTR$890,COLUMN(HeadJournal!D$1),0),"")</f>
        <v>Доставлен</v>
      </c>
      <c r="E1599" s="95">
        <f>IFERROR(VLOOKUP($A1599,HeadJournal!$A$1:$NTR$890,COLUMN(HeadJournal!G$1),0),"")</f>
        <v>45058</v>
      </c>
      <c r="F1599" s="95" t="str">
        <f t="shared" si="124"/>
        <v>2023 05</v>
      </c>
      <c r="G1599" s="96" t="s">
        <v>6</v>
      </c>
      <c r="H1599" s="160" t="str">
        <f>RIGHT(Journal!$J1599,9)</f>
        <v>769390102</v>
      </c>
      <c r="I1599" s="96" t="str">
        <f t="shared" si="126"/>
        <v>Cloma Pharma</v>
      </c>
      <c r="J1599" s="97" t="s">
        <v>741</v>
      </c>
      <c r="K1599" s="29">
        <v>2229</v>
      </c>
      <c r="L1599" s="29">
        <v>0</v>
      </c>
      <c r="M1599" s="30">
        <f>IFERROR(VLOOKUP($A1599,HeadJournal!$A$1:$J$890,COLUMN(HeadJournal!I$1),0)*($K1599+$L1599)/(SUMIF($A:$A,$A1599,$K:$K)+SUMIF($A:$A,$A1599,$L:$L)),0)</f>
        <v>0</v>
      </c>
      <c r="N1599" s="30">
        <f>IFERROR((VLOOKUP($A1599,HeadJournal!$A$1:$K$890,COLUMN(HeadJournal!K$1),0)-VLOOKUP($A1599,HeadJournal!$A$1:$K$890,COLUMN(HeadJournal!J$1),0))*($K1599+$L1599)/(SUMIF($A:$A,$A1599,$K:$K)+SUMIF($A:$A,$A1599,$L:$L)),0)</f>
        <v>0</v>
      </c>
      <c r="O1599" s="30">
        <f>IFERROR((VLOOKUP($A1599,HeadJournal!$A$1:$L$890,COLUMN(HeadJournal!L$1),0)*($K1599+$L1599)/(SUMIF($A:$A,$A1599,$K:$K)+SUMIF($A:$A,$A1599,$L:$L)))/VLOOKUP($A1599,HeadJournal!$A$1:$L$890,COLUMN(HeadJournal!H$1),0),0)</f>
        <v>334.34999999999997</v>
      </c>
      <c r="P1599" s="30">
        <f>IFERROR(SUM(K1599:O1599)*VLOOKUP($A1599,HeadJournal!$A$1:$L$890,COLUMN(HeadJournal!H$1),0),0)</f>
        <v>2563.35</v>
      </c>
      <c r="Q1599" s="29">
        <v>4000</v>
      </c>
      <c r="R1599" s="31">
        <v>45062</v>
      </c>
      <c r="S1599" s="31" t="s">
        <v>3121</v>
      </c>
      <c r="T1599" s="95" t="str">
        <f t="shared" si="125"/>
        <v>2023 05</v>
      </c>
      <c r="U1599" s="32">
        <f t="shared" si="122"/>
        <v>1436.65</v>
      </c>
      <c r="V1599" s="22">
        <f t="shared" si="123"/>
        <v>0.56045799442136268</v>
      </c>
      <c r="X1599" s="33"/>
      <c r="Y1599" s="33"/>
    </row>
    <row r="1600" spans="1:25" x14ac:dyDescent="0.2">
      <c r="A1600" s="93" t="s">
        <v>706</v>
      </c>
      <c r="B1600" s="94">
        <f>IFERROR(VLOOKUP($A1600,HeadJournal!$A$1:$NTR$890,COLUMN(HeadJournal!B$1),0),"")</f>
        <v>0</v>
      </c>
      <c r="C1600" s="94" t="str">
        <f>IFERROR(VLOOKUP($A1600,HeadJournal!$A$1:$NTR$890,COLUMN(HeadJournal!C$1),0),"")</f>
        <v>WBRS</v>
      </c>
      <c r="D1600" s="125" t="str">
        <f>IFERROR(VLOOKUP($A1600,HeadJournal!$A$1:$NTR$890,COLUMN(HeadJournal!D$1),0),"")</f>
        <v>Доставлен</v>
      </c>
      <c r="E1600" s="95">
        <f>IFERROR(VLOOKUP($A1600,HeadJournal!$A$1:$NTR$890,COLUMN(HeadJournal!G$1),0),"")</f>
        <v>45058</v>
      </c>
      <c r="F1600" s="95" t="str">
        <f t="shared" si="124"/>
        <v>2023 05</v>
      </c>
      <c r="G1600" s="96" t="s">
        <v>6</v>
      </c>
      <c r="H1600" s="160" t="str">
        <f>RIGHT(Journal!$J1600,9)</f>
        <v>769390102</v>
      </c>
      <c r="I1600" s="96" t="str">
        <f t="shared" si="126"/>
        <v>Cloma Pharma</v>
      </c>
      <c r="J1600" s="97" t="s">
        <v>741</v>
      </c>
      <c r="K1600" s="29">
        <v>2229</v>
      </c>
      <c r="L1600" s="29">
        <v>0</v>
      </c>
      <c r="M1600" s="30">
        <f>IFERROR(VLOOKUP($A1600,HeadJournal!$A$1:$J$890,COLUMN(HeadJournal!I$1),0)*($K1600+$L1600)/(SUMIF($A:$A,$A1600,$K:$K)+SUMIF($A:$A,$A1600,$L:$L)),0)</f>
        <v>0</v>
      </c>
      <c r="N1600" s="30">
        <f>IFERROR((VLOOKUP($A1600,HeadJournal!$A$1:$K$890,COLUMN(HeadJournal!K$1),0)-VLOOKUP($A1600,HeadJournal!$A$1:$K$890,COLUMN(HeadJournal!J$1),0))*($K1600+$L1600)/(SUMIF($A:$A,$A1600,$K:$K)+SUMIF($A:$A,$A1600,$L:$L)),0)</f>
        <v>0</v>
      </c>
      <c r="O1600" s="30">
        <f>IFERROR((VLOOKUP($A1600,HeadJournal!$A$1:$L$890,COLUMN(HeadJournal!L$1),0)*($K1600+$L1600)/(SUMIF($A:$A,$A1600,$K:$K)+SUMIF($A:$A,$A1600,$L:$L)))/VLOOKUP($A1600,HeadJournal!$A$1:$L$890,COLUMN(HeadJournal!H$1),0),0)</f>
        <v>334.34999999999997</v>
      </c>
      <c r="P1600" s="30">
        <f>IFERROR(SUM(K1600:O1600)*VLOOKUP($A1600,HeadJournal!$A$1:$L$890,COLUMN(HeadJournal!H$1),0),0)</f>
        <v>2563.35</v>
      </c>
      <c r="Q1600" s="29">
        <v>4000</v>
      </c>
      <c r="R1600" s="31">
        <v>45067</v>
      </c>
      <c r="S1600" s="31" t="s">
        <v>3121</v>
      </c>
      <c r="T1600" s="95" t="str">
        <f t="shared" si="125"/>
        <v>2023 05</v>
      </c>
      <c r="U1600" s="32">
        <f t="shared" si="122"/>
        <v>1436.65</v>
      </c>
      <c r="V1600" s="22">
        <f t="shared" si="123"/>
        <v>0.56045799442136268</v>
      </c>
      <c r="X1600" s="33"/>
      <c r="Y1600" s="33"/>
    </row>
    <row r="1601" spans="1:25" x14ac:dyDescent="0.2">
      <c r="A1601" s="93" t="s">
        <v>707</v>
      </c>
      <c r="B1601" s="94">
        <f>IFERROR(VLOOKUP($A1601,HeadJournal!$A$1:$NTR$890,COLUMN(HeadJournal!B$1),0),"")</f>
        <v>0</v>
      </c>
      <c r="C1601" s="94" t="str">
        <f>IFERROR(VLOOKUP($A1601,HeadJournal!$A$1:$NTR$890,COLUMN(HeadJournal!C$1),0),"")</f>
        <v>NSP</v>
      </c>
      <c r="D1601" s="125" t="str">
        <f>IFERROR(VLOOKUP($A1601,HeadJournal!$A$1:$NTR$890,COLUMN(HeadJournal!D$1),0),"")</f>
        <v>Доставлен</v>
      </c>
      <c r="E1601" s="95">
        <f>IFERROR(VLOOKUP($A1601,HeadJournal!$A$1:$NTR$890,COLUMN(HeadJournal!G$1),0),"")</f>
        <v>45048</v>
      </c>
      <c r="F1601" s="95" t="str">
        <f t="shared" si="124"/>
        <v>2023 05</v>
      </c>
      <c r="G1601" s="96" t="s">
        <v>5</v>
      </c>
      <c r="H1601" s="160" t="str">
        <f>RIGHT(Journal!$J1601,9)</f>
        <v>000001881</v>
      </c>
      <c r="I1601" s="96" t="str">
        <f t="shared" si="126"/>
        <v>NSP</v>
      </c>
      <c r="J1601" s="97" t="s">
        <v>708</v>
      </c>
      <c r="K1601" s="29">
        <v>2226.4</v>
      </c>
      <c r="L1601" s="29">
        <v>0</v>
      </c>
      <c r="M1601" s="30">
        <f>IFERROR(VLOOKUP($A1601,HeadJournal!$A$1:$J$890,COLUMN(HeadJournal!I$1),0)*($K1601+$L1601)/(SUMIF($A:$A,$A1601,$K:$K)+SUMIF($A:$A,$A1601,$L:$L)),0)</f>
        <v>56.626088179602782</v>
      </c>
      <c r="N1601" s="30">
        <f>IFERROR((VLOOKUP($A1601,HeadJournal!$A$1:$K$890,COLUMN(HeadJournal!K$1),0)-VLOOKUP($A1601,HeadJournal!$A$1:$K$890,COLUMN(HeadJournal!J$1),0))*($K1601+$L1601)/(SUMIF($A:$A,$A1601,$K:$K)+SUMIF($A:$A,$A1601,$L:$L)),0)</f>
        <v>0</v>
      </c>
      <c r="O1601" s="30">
        <f>IFERROR((VLOOKUP($A1601,HeadJournal!$A$1:$L$890,COLUMN(HeadJournal!L$1),0)*($K1601+$L1601)/(SUMIF($A:$A,$A1601,$K:$K)+SUMIF($A:$A,$A1601,$L:$L)))/VLOOKUP($A1601,HeadJournal!$A$1:$L$890,COLUMN(HeadJournal!H$1),0),0)</f>
        <v>47.447390489423761</v>
      </c>
      <c r="P1601" s="30">
        <f>IFERROR(SUM(K1601:O1601)*VLOOKUP($A1601,HeadJournal!$A$1:$L$890,COLUMN(HeadJournal!H$1),0),0)</f>
        <v>2330.4734786690269</v>
      </c>
      <c r="Q1601" s="29">
        <v>3200</v>
      </c>
      <c r="R1601" s="31">
        <v>45083</v>
      </c>
      <c r="S1601" s="31" t="s">
        <v>3121</v>
      </c>
      <c r="T1601" s="95" t="str">
        <f t="shared" si="125"/>
        <v>2023 06</v>
      </c>
      <c r="U1601" s="32">
        <f t="shared" ref="U1601:U1664" si="127">Q1601-P1601</f>
        <v>869.52652133097308</v>
      </c>
      <c r="V1601" s="22">
        <f t="shared" ref="V1601:V1664" si="128">IF(Q1601&lt;&gt;0,IFERROR(U1601/P1601,""),"")</f>
        <v>0.37311152831808858</v>
      </c>
      <c r="X1601" s="33"/>
      <c r="Y1601" s="33"/>
    </row>
    <row r="1602" spans="1:25" x14ac:dyDescent="0.2">
      <c r="A1602" s="93" t="s">
        <v>707</v>
      </c>
      <c r="B1602" s="94">
        <f>IFERROR(VLOOKUP($A1602,HeadJournal!$A$1:$NTR$890,COLUMN(HeadJournal!B$1),0),"")</f>
        <v>0</v>
      </c>
      <c r="C1602" s="94" t="str">
        <f>IFERROR(VLOOKUP($A1602,HeadJournal!$A$1:$NTR$890,COLUMN(HeadJournal!C$1),0),"")</f>
        <v>NSP</v>
      </c>
      <c r="D1602" s="125" t="str">
        <f>IFERROR(VLOOKUP($A1602,HeadJournal!$A$1:$NTR$890,COLUMN(HeadJournal!D$1),0),"")</f>
        <v>Доставлен</v>
      </c>
      <c r="E1602" s="95">
        <f>IFERROR(VLOOKUP($A1602,HeadJournal!$A$1:$NTR$890,COLUMN(HeadJournal!G$1),0),"")</f>
        <v>45048</v>
      </c>
      <c r="F1602" s="95" t="str">
        <f t="shared" si="124"/>
        <v>2023 05</v>
      </c>
      <c r="G1602" s="96" t="s">
        <v>5</v>
      </c>
      <c r="H1602" s="160" t="str">
        <f>RIGHT(Journal!$J1602,9)</f>
        <v>000000907</v>
      </c>
      <c r="I1602" s="96" t="str">
        <f t="shared" si="126"/>
        <v>NSP</v>
      </c>
      <c r="J1602" s="97" t="s">
        <v>709</v>
      </c>
      <c r="K1602" s="29">
        <v>2190.09</v>
      </c>
      <c r="L1602" s="29">
        <v>0</v>
      </c>
      <c r="M1602" s="30">
        <f>IFERROR(VLOOKUP($A1602,HeadJournal!$A$1:$J$890,COLUMN(HeadJournal!I$1),0)*($K1602+$L1602)/(SUMIF($A:$A,$A1602,$K:$K)+SUMIF($A:$A,$A1602,$L:$L)),0)</f>
        <v>55.702582402652837</v>
      </c>
      <c r="N1602" s="30">
        <f>IFERROR((VLOOKUP($A1602,HeadJournal!$A$1:$K$890,COLUMN(HeadJournal!K$1),0)-VLOOKUP($A1602,HeadJournal!$A$1:$K$890,COLUMN(HeadJournal!J$1),0))*($K1602+$L1602)/(SUMIF($A:$A,$A1602,$K:$K)+SUMIF($A:$A,$A1602,$L:$L)),0)</f>
        <v>0</v>
      </c>
      <c r="O1602" s="30">
        <f>IFERROR((VLOOKUP($A1602,HeadJournal!$A$1:$L$890,COLUMN(HeadJournal!L$1),0)*($K1602+$L1602)/(SUMIF($A:$A,$A1602,$K:$K)+SUMIF($A:$A,$A1602,$L:$L)))/VLOOKUP($A1602,HeadJournal!$A$1:$L$890,COLUMN(HeadJournal!H$1),0),0)</f>
        <v>46.673578618838519</v>
      </c>
      <c r="P1602" s="30">
        <f>IFERROR(SUM(K1602:O1602)*VLOOKUP($A1602,HeadJournal!$A$1:$L$890,COLUMN(HeadJournal!H$1),0),0)</f>
        <v>2292.4661610214916</v>
      </c>
      <c r="Q1602" s="29">
        <v>2900</v>
      </c>
      <c r="R1602" s="31">
        <v>45083</v>
      </c>
      <c r="S1602" s="31" t="s">
        <v>3121</v>
      </c>
      <c r="T1602" s="95" t="str">
        <f t="shared" si="125"/>
        <v>2023 06</v>
      </c>
      <c r="U1602" s="32">
        <f t="shared" si="127"/>
        <v>607.53383897850836</v>
      </c>
      <c r="V1602" s="22">
        <f t="shared" si="128"/>
        <v>0.26501321995863159</v>
      </c>
      <c r="X1602" s="33"/>
      <c r="Y1602" s="33"/>
    </row>
    <row r="1603" spans="1:25" x14ac:dyDescent="0.2">
      <c r="A1603" s="93" t="s">
        <v>707</v>
      </c>
      <c r="B1603" s="94">
        <f>IFERROR(VLOOKUP($A1603,HeadJournal!$A$1:$NTR$890,COLUMN(HeadJournal!B$1),0),"")</f>
        <v>0</v>
      </c>
      <c r="C1603" s="94" t="str">
        <f>IFERROR(VLOOKUP($A1603,HeadJournal!$A$1:$NTR$890,COLUMN(HeadJournal!C$1),0),"")</f>
        <v>NSP</v>
      </c>
      <c r="D1603" s="125" t="str">
        <f>IFERROR(VLOOKUP($A1603,HeadJournal!$A$1:$NTR$890,COLUMN(HeadJournal!D$1),0),"")</f>
        <v>Доставлен</v>
      </c>
      <c r="E1603" s="95">
        <f>IFERROR(VLOOKUP($A1603,HeadJournal!$A$1:$NTR$890,COLUMN(HeadJournal!G$1),0),"")</f>
        <v>45048</v>
      </c>
      <c r="F1603" s="95" t="str">
        <f t="shared" si="124"/>
        <v>2023 05</v>
      </c>
      <c r="G1603" s="96" t="s">
        <v>5</v>
      </c>
      <c r="H1603" s="160" t="str">
        <f>RIGHT(Journal!$J1603,9)</f>
        <v>000000999</v>
      </c>
      <c r="I1603" s="96" t="str">
        <f t="shared" si="126"/>
        <v>NSP</v>
      </c>
      <c r="J1603" s="97" t="s">
        <v>710</v>
      </c>
      <c r="K1603" s="29">
        <v>2172.38</v>
      </c>
      <c r="L1603" s="29">
        <v>0</v>
      </c>
      <c r="M1603" s="30">
        <f>IFERROR(VLOOKUP($A1603,HeadJournal!$A$1:$J$890,COLUMN(HeadJournal!I$1),0)*($K1603+$L1603)/(SUMIF($A:$A,$A1603,$K:$K)+SUMIF($A:$A,$A1603,$L:$L)),0)</f>
        <v>55.252147610315077</v>
      </c>
      <c r="N1603" s="30">
        <f>IFERROR((VLOOKUP($A1603,HeadJournal!$A$1:$K$890,COLUMN(HeadJournal!K$1),0)-VLOOKUP($A1603,HeadJournal!$A$1:$K$890,COLUMN(HeadJournal!J$1),0))*($K1603+$L1603)/(SUMIF($A:$A,$A1603,$K:$K)+SUMIF($A:$A,$A1603,$L:$L)),0)</f>
        <v>0</v>
      </c>
      <c r="O1603" s="30">
        <f>IFERROR((VLOOKUP($A1603,HeadJournal!$A$1:$L$890,COLUMN(HeadJournal!L$1),0)*($K1603+$L1603)/(SUMIF($A:$A,$A1603,$K:$K)+SUMIF($A:$A,$A1603,$L:$L)))/VLOOKUP($A1603,HeadJournal!$A$1:$L$890,COLUMN(HeadJournal!H$1),0),0)</f>
        <v>46.296156194490827</v>
      </c>
      <c r="P1603" s="30">
        <f>IFERROR(SUM(K1603:O1603)*VLOOKUP($A1603,HeadJournal!$A$1:$L$890,COLUMN(HeadJournal!H$1),0),0)</f>
        <v>2273.9283038048061</v>
      </c>
      <c r="Q1603" s="29">
        <v>3700</v>
      </c>
      <c r="R1603" s="31">
        <v>45156</v>
      </c>
      <c r="S1603" s="31" t="s">
        <v>3121</v>
      </c>
      <c r="T1603" s="95" t="str">
        <f t="shared" si="125"/>
        <v>2023 08</v>
      </c>
      <c r="U1603" s="32">
        <f t="shared" si="127"/>
        <v>1426.0716961951939</v>
      </c>
      <c r="V1603" s="22">
        <f t="shared" si="128"/>
        <v>0.62714013181904082</v>
      </c>
      <c r="X1603" s="36"/>
      <c r="Y1603" s="33"/>
    </row>
    <row r="1604" spans="1:25" x14ac:dyDescent="0.2">
      <c r="A1604" s="93" t="s">
        <v>707</v>
      </c>
      <c r="B1604" s="94">
        <f>IFERROR(VLOOKUP($A1604,HeadJournal!$A$1:$NTR$890,COLUMN(HeadJournal!B$1),0),"")</f>
        <v>0</v>
      </c>
      <c r="C1604" s="94" t="str">
        <f>IFERROR(VLOOKUP($A1604,HeadJournal!$A$1:$NTR$890,COLUMN(HeadJournal!C$1),0),"")</f>
        <v>NSP</v>
      </c>
      <c r="D1604" s="125" t="str">
        <f>IFERROR(VLOOKUP($A1604,HeadJournal!$A$1:$NTR$890,COLUMN(HeadJournal!D$1),0),"")</f>
        <v>Доставлен</v>
      </c>
      <c r="E1604" s="95">
        <f>IFERROR(VLOOKUP($A1604,HeadJournal!$A$1:$NTR$890,COLUMN(HeadJournal!G$1),0),"")</f>
        <v>45048</v>
      </c>
      <c r="F1604" s="95" t="str">
        <f t="shared" ref="F1604:F1667" si="129">IFERROR(TEXT(E1604, "ГГГГ ММ"),"")</f>
        <v>2023 05</v>
      </c>
      <c r="G1604" s="96" t="s">
        <v>5</v>
      </c>
      <c r="H1604" s="160" t="str">
        <f>RIGHT(Journal!$J1604,9)</f>
        <v>000000514</v>
      </c>
      <c r="I1604" s="96" t="str">
        <f t="shared" si="126"/>
        <v>NSP</v>
      </c>
      <c r="J1604" s="97" t="s">
        <v>711</v>
      </c>
      <c r="K1604" s="29">
        <v>1339.03</v>
      </c>
      <c r="L1604" s="29">
        <v>0</v>
      </c>
      <c r="M1604" s="30">
        <f>IFERROR(VLOOKUP($A1604,HeadJournal!$A$1:$J$890,COLUMN(HeadJournal!I$1),0)*($K1604+$L1604)/(SUMIF($A:$A,$A1604,$K:$K)+SUMIF($A:$A,$A1604,$L:$L)),0)</f>
        <v>34.056787125015049</v>
      </c>
      <c r="N1604" s="30">
        <f>IFERROR((VLOOKUP($A1604,HeadJournal!$A$1:$K$890,COLUMN(HeadJournal!K$1),0)-VLOOKUP($A1604,HeadJournal!$A$1:$K$890,COLUMN(HeadJournal!J$1),0))*($K1604+$L1604)/(SUMIF($A:$A,$A1604,$K:$K)+SUMIF($A:$A,$A1604,$L:$L)),0)</f>
        <v>0</v>
      </c>
      <c r="O1604" s="30">
        <f>IFERROR((VLOOKUP($A1604,HeadJournal!$A$1:$L$890,COLUMN(HeadJournal!L$1),0)*($K1604+$L1604)/(SUMIF($A:$A,$A1604,$K:$K)+SUMIF($A:$A,$A1604,$L:$L)))/VLOOKUP($A1604,HeadJournal!$A$1:$L$890,COLUMN(HeadJournal!H$1),0),0)</f>
        <v>28.536417214810051</v>
      </c>
      <c r="P1604" s="30">
        <f>IFERROR(SUM(K1604:O1604)*VLOOKUP($A1604,HeadJournal!$A$1:$L$890,COLUMN(HeadJournal!H$1),0),0)</f>
        <v>1401.623204339825</v>
      </c>
      <c r="Q1604" s="29">
        <v>2000</v>
      </c>
      <c r="R1604" s="31">
        <v>45062</v>
      </c>
      <c r="S1604" s="31" t="s">
        <v>3121</v>
      </c>
      <c r="T1604" s="95" t="str">
        <f t="shared" ref="T1604:T1667" si="130">IF(R1604="","",TEXT(R1604,"ГГГГ ММ"))</f>
        <v>2023 05</v>
      </c>
      <c r="U1604" s="32">
        <f t="shared" si="127"/>
        <v>598.37679566017505</v>
      </c>
      <c r="V1604" s="22">
        <f t="shared" si="128"/>
        <v>0.42691701579099856</v>
      </c>
      <c r="X1604" s="33"/>
      <c r="Y1604" s="33"/>
    </row>
    <row r="1605" spans="1:25" x14ac:dyDescent="0.2">
      <c r="A1605" s="93" t="s">
        <v>707</v>
      </c>
      <c r="B1605" s="94">
        <f>IFERROR(VLOOKUP($A1605,HeadJournal!$A$1:$NTR$890,COLUMN(HeadJournal!B$1),0),"")</f>
        <v>0</v>
      </c>
      <c r="C1605" s="94" t="str">
        <f>IFERROR(VLOOKUP($A1605,HeadJournal!$A$1:$NTR$890,COLUMN(HeadJournal!C$1),0),"")</f>
        <v>NSP</v>
      </c>
      <c r="D1605" s="125" t="str">
        <f>IFERROR(VLOOKUP($A1605,HeadJournal!$A$1:$NTR$890,COLUMN(HeadJournal!D$1),0),"")</f>
        <v>Доставлен</v>
      </c>
      <c r="E1605" s="95">
        <f>IFERROR(VLOOKUP($A1605,HeadJournal!$A$1:$NTR$890,COLUMN(HeadJournal!G$1),0),"")</f>
        <v>45048</v>
      </c>
      <c r="F1605" s="95" t="str">
        <f t="shared" si="129"/>
        <v>2023 05</v>
      </c>
      <c r="G1605" s="96" t="s">
        <v>5</v>
      </c>
      <c r="H1605" s="160" t="str">
        <f>RIGHT(Journal!$J1605,9)</f>
        <v>000000850</v>
      </c>
      <c r="I1605" s="96" t="str">
        <f t="shared" si="126"/>
        <v>NSP</v>
      </c>
      <c r="J1605" s="97" t="s">
        <v>712</v>
      </c>
      <c r="K1605" s="29">
        <v>1456.81</v>
      </c>
      <c r="L1605" s="29">
        <v>0</v>
      </c>
      <c r="M1605" s="30">
        <f>IFERROR(VLOOKUP($A1605,HeadJournal!$A$1:$J$890,COLUMN(HeadJournal!I$1),0)*($K1605+$L1605)/(SUMIF($A:$A,$A1605,$K:$K)+SUMIF($A:$A,$A1605,$L:$L)),0)</f>
        <v>37.052394682414267</v>
      </c>
      <c r="N1605" s="30">
        <f>IFERROR((VLOOKUP($A1605,HeadJournal!$A$1:$K$890,COLUMN(HeadJournal!K$1),0)-VLOOKUP($A1605,HeadJournal!$A$1:$K$890,COLUMN(HeadJournal!J$1),0))*($K1605+$L1605)/(SUMIF($A:$A,$A1605,$K:$K)+SUMIF($A:$A,$A1605,$L:$L)),0)</f>
        <v>0</v>
      </c>
      <c r="O1605" s="30">
        <f>IFERROR((VLOOKUP($A1605,HeadJournal!$A$1:$L$890,COLUMN(HeadJournal!L$1),0)*($K1605+$L1605)/(SUMIF($A:$A,$A1605,$K:$K)+SUMIF($A:$A,$A1605,$L:$L)))/VLOOKUP($A1605,HeadJournal!$A$1:$L$890,COLUMN(HeadJournal!H$1),0),0)</f>
        <v>31.04645748243686</v>
      </c>
      <c r="P1605" s="30">
        <f>IFERROR(SUM(K1605:O1605)*VLOOKUP($A1605,HeadJournal!$A$1:$L$890,COLUMN(HeadJournal!H$1),0),0)</f>
        <v>1524.9088521648509</v>
      </c>
      <c r="Q1605" s="29">
        <v>1550</v>
      </c>
      <c r="R1605" s="31">
        <v>45066</v>
      </c>
      <c r="S1605" s="31" t="s">
        <v>3121</v>
      </c>
      <c r="T1605" s="95" t="str">
        <f t="shared" si="130"/>
        <v>2023 05</v>
      </c>
      <c r="U1605" s="32">
        <f t="shared" si="127"/>
        <v>25.091147835149059</v>
      </c>
      <c r="V1605" s="22">
        <f t="shared" si="128"/>
        <v>1.645419514715793E-2</v>
      </c>
      <c r="X1605" s="33"/>
      <c r="Y1605" s="33"/>
    </row>
    <row r="1606" spans="1:25" x14ac:dyDescent="0.2">
      <c r="A1606" s="93" t="s">
        <v>713</v>
      </c>
      <c r="B1606" s="94">
        <f>IFERROR(VLOOKUP($A1606,HeadJournal!$A$1:$NTR$890,COLUMN(HeadJournal!B$1),0),"")</f>
        <v>0</v>
      </c>
      <c r="C1606" s="94" t="str">
        <f>IFERROR(VLOOKUP($A1606,HeadJournal!$A$1:$NTR$890,COLUMN(HeadJournal!C$1),0),"")</f>
        <v>OZON_AV</v>
      </c>
      <c r="D1606" s="125" t="s">
        <v>714</v>
      </c>
      <c r="E1606" s="95">
        <f>IFERROR(VLOOKUP($A1606,HeadJournal!$A$1:$NTR$890,COLUMN(HeadJournal!G$1),0),"")</f>
        <v>45058</v>
      </c>
      <c r="F1606" s="95" t="str">
        <f t="shared" si="129"/>
        <v>2023 05</v>
      </c>
      <c r="G1606" s="96" t="s">
        <v>6</v>
      </c>
      <c r="H1606" s="160" t="str">
        <f>RIGHT(Journal!$J1606,9)</f>
        <v>190950286</v>
      </c>
      <c r="I1606" s="96" t="str">
        <f t="shared" si="126"/>
        <v>Maxler</v>
      </c>
      <c r="J1606" s="97" t="s">
        <v>715</v>
      </c>
      <c r="K1606" s="29">
        <v>1703</v>
      </c>
      <c r="L1606" s="29">
        <v>0</v>
      </c>
      <c r="M1606" s="30">
        <f>IFERROR(VLOOKUP($A1606,HeadJournal!$A$1:$J$890,COLUMN(HeadJournal!I$1),0)*($K1606+$L1606)/(SUMIF($A:$A,$A1606,$K:$K)+SUMIF($A:$A,$A1606,$L:$L)),0)</f>
        <v>0</v>
      </c>
      <c r="N1606" s="30">
        <f>IFERROR((VLOOKUP($A1606,HeadJournal!$A$1:$K$890,COLUMN(HeadJournal!K$1),0)-VLOOKUP($A1606,HeadJournal!$A$1:$K$890,COLUMN(HeadJournal!J$1),0))*($K1606+$L1606)/(SUMIF($A:$A,$A1606,$K:$K)+SUMIF($A:$A,$A1606,$L:$L)),0)</f>
        <v>0</v>
      </c>
      <c r="O1606" s="30">
        <f>IFERROR((VLOOKUP($A1606,HeadJournal!$A$1:$L$890,COLUMN(HeadJournal!L$1),0)*($K1606+$L1606)/(SUMIF($A:$A,$A1606,$K:$K)+SUMIF($A:$A,$A1606,$L:$L)))/VLOOKUP($A1606,HeadJournal!$A$1:$L$890,COLUMN(HeadJournal!H$1),0),0)</f>
        <v>170.3</v>
      </c>
      <c r="P1606" s="30">
        <f>IFERROR(SUM(K1606:O1606)*VLOOKUP($A1606,HeadJournal!$A$1:$L$890,COLUMN(HeadJournal!H$1),0),0)</f>
        <v>1873.3</v>
      </c>
      <c r="Q1606" s="29">
        <v>2300</v>
      </c>
      <c r="R1606" s="31">
        <v>45080</v>
      </c>
      <c r="S1606" s="31" t="s">
        <v>3121</v>
      </c>
      <c r="T1606" s="95" t="str">
        <f t="shared" si="130"/>
        <v>2023 06</v>
      </c>
      <c r="U1606" s="32">
        <f t="shared" si="127"/>
        <v>426.70000000000005</v>
      </c>
      <c r="V1606" s="22">
        <f t="shared" si="128"/>
        <v>0.22777985373405224</v>
      </c>
      <c r="X1606" s="33"/>
      <c r="Y1606" s="33"/>
    </row>
    <row r="1607" spans="1:25" x14ac:dyDescent="0.2">
      <c r="A1607" s="93" t="s">
        <v>713</v>
      </c>
      <c r="B1607" s="94">
        <f>IFERROR(VLOOKUP($A1607,HeadJournal!$A$1:$NTR$890,COLUMN(HeadJournal!B$1),0),"")</f>
        <v>0</v>
      </c>
      <c r="C1607" s="94" t="str">
        <f>IFERROR(VLOOKUP($A1607,HeadJournal!$A$1:$NTR$890,COLUMN(HeadJournal!C$1),0),"")</f>
        <v>OZON_AV</v>
      </c>
      <c r="D1607" s="125" t="s">
        <v>714</v>
      </c>
      <c r="E1607" s="95">
        <f>IFERROR(VLOOKUP($A1607,HeadJournal!$A$1:$NTR$890,COLUMN(HeadJournal!G$1),0),"")</f>
        <v>45058</v>
      </c>
      <c r="F1607" s="95" t="str">
        <f t="shared" si="129"/>
        <v>2023 05</v>
      </c>
      <c r="G1607" s="96" t="s">
        <v>6</v>
      </c>
      <c r="H1607" s="160" t="str">
        <f>RIGHT(Journal!$J1607,9)</f>
        <v>190950286</v>
      </c>
      <c r="I1607" s="96" t="str">
        <f t="shared" si="126"/>
        <v>Maxler</v>
      </c>
      <c r="J1607" s="97" t="s">
        <v>715</v>
      </c>
      <c r="K1607" s="29">
        <v>1703</v>
      </c>
      <c r="L1607" s="29">
        <v>0</v>
      </c>
      <c r="M1607" s="30">
        <f>IFERROR(VLOOKUP($A1607,HeadJournal!$A$1:$J$890,COLUMN(HeadJournal!I$1),0)*($K1607+$L1607)/(SUMIF($A:$A,$A1607,$K:$K)+SUMIF($A:$A,$A1607,$L:$L)),0)</f>
        <v>0</v>
      </c>
      <c r="N1607" s="30">
        <f>IFERROR((VLOOKUP($A1607,HeadJournal!$A$1:$K$890,COLUMN(HeadJournal!K$1),0)-VLOOKUP($A1607,HeadJournal!$A$1:$K$890,COLUMN(HeadJournal!J$1),0))*($K1607+$L1607)/(SUMIF($A:$A,$A1607,$K:$K)+SUMIF($A:$A,$A1607,$L:$L)),0)</f>
        <v>0</v>
      </c>
      <c r="O1607" s="30">
        <f>IFERROR((VLOOKUP($A1607,HeadJournal!$A$1:$L$890,COLUMN(HeadJournal!L$1),0)*($K1607+$L1607)/(SUMIF($A:$A,$A1607,$K:$K)+SUMIF($A:$A,$A1607,$L:$L)))/VLOOKUP($A1607,HeadJournal!$A$1:$L$890,COLUMN(HeadJournal!H$1),0),0)</f>
        <v>170.3</v>
      </c>
      <c r="P1607" s="30">
        <f>IFERROR(SUM(K1607:O1607)*VLOOKUP($A1607,HeadJournal!$A$1:$L$890,COLUMN(HeadJournal!H$1),0),0)</f>
        <v>1873.3</v>
      </c>
      <c r="Q1607" s="29">
        <v>2300</v>
      </c>
      <c r="R1607" s="31">
        <v>45098</v>
      </c>
      <c r="S1607" s="31" t="s">
        <v>3121</v>
      </c>
      <c r="T1607" s="95" t="str">
        <f t="shared" si="130"/>
        <v>2023 06</v>
      </c>
      <c r="U1607" s="32">
        <f t="shared" si="127"/>
        <v>426.70000000000005</v>
      </c>
      <c r="V1607" s="22">
        <f t="shared" si="128"/>
        <v>0.22777985373405224</v>
      </c>
      <c r="X1607" s="33"/>
      <c r="Y1607" s="33"/>
    </row>
    <row r="1608" spans="1:25" x14ac:dyDescent="0.2">
      <c r="A1608" s="93" t="s">
        <v>716</v>
      </c>
      <c r="B1608" s="94" t="str">
        <f>IFERROR(VLOOKUP($A1608,HeadJournal!$A$1:$NTR$890,COLUMN(HeadJournal!B$1),0),"")</f>
        <v>710000790688</v>
      </c>
      <c r="C1608" s="94" t="str">
        <f>IFERROR(VLOOKUP($A1608,HeadJournal!$A$1:$NTR$890,COLUMN(HeadJournal!C$1),0),"")</f>
        <v>iHerb_AV CYG0792</v>
      </c>
      <c r="D1608" s="125" t="str">
        <f>IFERROR(VLOOKUP($A1608,HeadJournal!$A$1:$NTR$890,COLUMN(HeadJournal!D$1),0),"")</f>
        <v>Доставлен</v>
      </c>
      <c r="E1608" s="95">
        <f>IFERROR(VLOOKUP($A1608,HeadJournal!$A$1:$NTR$890,COLUMN(HeadJournal!G$1),0),"")</f>
        <v>45059</v>
      </c>
      <c r="F1608" s="95" t="str">
        <f t="shared" si="129"/>
        <v>2023 05</v>
      </c>
      <c r="G1608" s="96" t="s">
        <v>5</v>
      </c>
      <c r="H1608" s="160" t="str">
        <f>RIGHT(Journal!$J1608,9)</f>
        <v>CGN-00950</v>
      </c>
      <c r="I1608" s="96" t="str">
        <f t="shared" si="126"/>
        <v>California Gold Nutrition</v>
      </c>
      <c r="J1608" s="97" t="s">
        <v>717</v>
      </c>
      <c r="K1608" s="29">
        <v>15</v>
      </c>
      <c r="L1608" s="29">
        <v>-4.5</v>
      </c>
      <c r="M1608" s="30">
        <f>IFERROR(VLOOKUP($A1608,HeadJournal!$A$1:$J$890,COLUMN(HeadJournal!I$1),0)*($K1608+$L1608)/(SUMIF($A:$A,$A1608,$K:$K)+SUMIF($A:$A,$A1608,$L:$L)),0)</f>
        <v>0.87147560030983717</v>
      </c>
      <c r="N1608" s="30">
        <f>IFERROR((VLOOKUP($A1608,HeadJournal!$A$1:$K$890,COLUMN(HeadJournal!K$1),0)-VLOOKUP($A1608,HeadJournal!$A$1:$K$890,COLUMN(HeadJournal!J$1),0))*($K1608+$L1608)/(SUMIF($A:$A,$A1608,$K:$K)+SUMIF($A:$A,$A1608,$L:$L)),0)</f>
        <v>-2.3116030133171343E-15</v>
      </c>
      <c r="O1608" s="30">
        <f>IFERROR((VLOOKUP($A1608,HeadJournal!$A$1:$L$890,COLUMN(HeadJournal!L$1),0)*($K1608+$L1608)/(SUMIF($A:$A,$A1608,$K:$K)+SUMIF($A:$A,$A1608,$L:$L)))/VLOOKUP($A1608,HeadJournal!$A$1:$L$890,COLUMN(HeadJournal!H$1),0),0)</f>
        <v>0.61784157634046522</v>
      </c>
      <c r="P1608" s="30">
        <f>IFERROR(SUM(K1608:O1608)*VLOOKUP($A1608,HeadJournal!$A$1:$L$890,COLUMN(HeadJournal!H$1),0),0)</f>
        <v>1047.3693067389618</v>
      </c>
      <c r="Q1608" s="29">
        <v>2600</v>
      </c>
      <c r="R1608" s="31">
        <v>45209</v>
      </c>
      <c r="S1608" s="31" t="s">
        <v>3121</v>
      </c>
      <c r="T1608" s="95" t="str">
        <f t="shared" si="130"/>
        <v>2023 10</v>
      </c>
      <c r="U1608" s="32">
        <f t="shared" si="127"/>
        <v>1552.6306932610382</v>
      </c>
      <c r="V1608" s="22">
        <f t="shared" si="128"/>
        <v>1.4824099611007637</v>
      </c>
      <c r="X1608" s="33"/>
      <c r="Y1608" s="33"/>
    </row>
    <row r="1609" spans="1:25" x14ac:dyDescent="0.2">
      <c r="A1609" s="93" t="s">
        <v>716</v>
      </c>
      <c r="B1609" s="94" t="str">
        <f>IFERROR(VLOOKUP($A1609,HeadJournal!$A$1:$NTR$890,COLUMN(HeadJournal!B$1),0),"")</f>
        <v>710000790688</v>
      </c>
      <c r="C1609" s="94" t="str">
        <f>IFERROR(VLOOKUP($A1609,HeadJournal!$A$1:$NTR$890,COLUMN(HeadJournal!C$1),0),"")</f>
        <v>iHerb_AV CYG0792</v>
      </c>
      <c r="D1609" s="125" t="str">
        <f>IFERROR(VLOOKUP($A1609,HeadJournal!$A$1:$NTR$890,COLUMN(HeadJournal!D$1),0),"")</f>
        <v>Доставлен</v>
      </c>
      <c r="E1609" s="95">
        <f>IFERROR(VLOOKUP($A1609,HeadJournal!$A$1:$NTR$890,COLUMN(HeadJournal!G$1),0),"")</f>
        <v>45059</v>
      </c>
      <c r="F1609" s="95" t="str">
        <f t="shared" si="129"/>
        <v>2023 05</v>
      </c>
      <c r="G1609" s="96" t="s">
        <v>5</v>
      </c>
      <c r="H1609" s="160" t="str">
        <f>RIGHT(Journal!$J1609,9)</f>
        <v>CEN-27493</v>
      </c>
      <c r="I1609" s="96" t="str">
        <f t="shared" si="126"/>
        <v>21st Century</v>
      </c>
      <c r="J1609" s="97" t="s">
        <v>152</v>
      </c>
      <c r="K1609" s="29">
        <v>7.06</v>
      </c>
      <c r="L1609" s="29">
        <v>-0.71</v>
      </c>
      <c r="M1609" s="30">
        <f>IFERROR(VLOOKUP($A1609,HeadJournal!$A$1:$J$890,COLUMN(HeadJournal!I$1),0)*($K1609+$L1609)/(SUMIF($A:$A,$A1609,$K:$K)+SUMIF($A:$A,$A1609,$L:$L)),0)</f>
        <v>0.52703524399690149</v>
      </c>
      <c r="N1609" s="30">
        <f>IFERROR((VLOOKUP($A1609,HeadJournal!$A$1:$K$890,COLUMN(HeadJournal!K$1),0)-VLOOKUP($A1609,HeadJournal!$A$1:$K$890,COLUMN(HeadJournal!J$1),0))*($K1609+$L1609)/(SUMIF($A:$A,$A1609,$K:$K)+SUMIF($A:$A,$A1609,$L:$L)),0)</f>
        <v>-1.3979694413870287E-15</v>
      </c>
      <c r="O1609" s="30">
        <f>IFERROR((VLOOKUP($A1609,HeadJournal!$A$1:$L$890,COLUMN(HeadJournal!L$1),0)*($K1609+$L1609)/(SUMIF($A:$A,$A1609,$K:$K)+SUMIF($A:$A,$A1609,$L:$L)))/VLOOKUP($A1609,HeadJournal!$A$1:$L$890,COLUMN(HeadJournal!H$1),0),0)</f>
        <v>0.37364704854875758</v>
      </c>
      <c r="P1609" s="30">
        <f>IFERROR(SUM(K1609:O1609)*VLOOKUP($A1609,HeadJournal!$A$1:$L$890,COLUMN(HeadJournal!H$1),0),0)</f>
        <v>633.40905693261016</v>
      </c>
      <c r="Q1609" s="29">
        <v>1200</v>
      </c>
      <c r="R1609" s="31">
        <v>45100</v>
      </c>
      <c r="S1609" s="31" t="s">
        <v>3121</v>
      </c>
      <c r="T1609" s="95" t="str">
        <f t="shared" si="130"/>
        <v>2023 06</v>
      </c>
      <c r="U1609" s="32">
        <f t="shared" si="127"/>
        <v>566.59094306738984</v>
      </c>
      <c r="V1609" s="22">
        <f t="shared" si="128"/>
        <v>0.89451032767229721</v>
      </c>
      <c r="X1609" s="33"/>
      <c r="Y1609" s="33"/>
    </row>
    <row r="1610" spans="1:25" x14ac:dyDescent="0.2">
      <c r="A1610" s="93" t="s">
        <v>716</v>
      </c>
      <c r="B1610" s="94" t="str">
        <f>IFERROR(VLOOKUP($A1610,HeadJournal!$A$1:$NTR$890,COLUMN(HeadJournal!B$1),0),"")</f>
        <v>710000790688</v>
      </c>
      <c r="C1610" s="94" t="str">
        <f>IFERROR(VLOOKUP($A1610,HeadJournal!$A$1:$NTR$890,COLUMN(HeadJournal!C$1),0),"")</f>
        <v>iHerb_AV CYG0792</v>
      </c>
      <c r="D1610" s="125" t="str">
        <f>IFERROR(VLOOKUP($A1610,HeadJournal!$A$1:$NTR$890,COLUMN(HeadJournal!D$1),0),"")</f>
        <v>Доставлен</v>
      </c>
      <c r="E1610" s="95">
        <f>IFERROR(VLOOKUP($A1610,HeadJournal!$A$1:$NTR$890,COLUMN(HeadJournal!G$1),0),"")</f>
        <v>45059</v>
      </c>
      <c r="F1610" s="95" t="str">
        <f t="shared" si="129"/>
        <v>2023 05</v>
      </c>
      <c r="G1610" s="96" t="s">
        <v>5</v>
      </c>
      <c r="H1610" s="161" t="s">
        <v>2696</v>
      </c>
      <c r="I1610" s="97" t="s">
        <v>2052</v>
      </c>
      <c r="J1610" s="97" t="s">
        <v>2697</v>
      </c>
      <c r="K1610" s="29">
        <v>8</v>
      </c>
      <c r="L1610" s="29">
        <v>-3.2</v>
      </c>
      <c r="M1610" s="30">
        <f>IFERROR(VLOOKUP($A1610,HeadJournal!$A$1:$J$890,COLUMN(HeadJournal!I$1),0)*($K1610+$L1610)/(SUMIF($A:$A,$A1610,$K:$K)+SUMIF($A:$A,$A1610,$L:$L)),0)</f>
        <v>0.39838884585592554</v>
      </c>
      <c r="N1610" s="30">
        <f>IFERROR((VLOOKUP($A1610,HeadJournal!$A$1:$K$890,COLUMN(HeadJournal!K$1),0)-VLOOKUP($A1610,HeadJournal!$A$1:$K$890,COLUMN(HeadJournal!J$1),0))*($K1610+$L1610)/(SUMIF($A:$A,$A1610,$K:$K)+SUMIF($A:$A,$A1610,$L:$L)),0)</f>
        <v>-1.0567328060878327E-15</v>
      </c>
      <c r="O1610" s="30">
        <f>IFERROR((VLOOKUP($A1610,HeadJournal!$A$1:$L$890,COLUMN(HeadJournal!L$1),0)*($K1610+$L1610)/(SUMIF($A:$A,$A1610,$K:$K)+SUMIF($A:$A,$A1610,$L:$L)))/VLOOKUP($A1610,HeadJournal!$A$1:$L$890,COLUMN(HeadJournal!H$1),0),0)</f>
        <v>0.28244186346992695</v>
      </c>
      <c r="P1610" s="30">
        <f>IFERROR(SUM(K1610:O1610)*VLOOKUP($A1610,HeadJournal!$A$1:$L$890,COLUMN(HeadJournal!H$1),0),0)</f>
        <v>478.79739736638248</v>
      </c>
      <c r="Q1610" s="29">
        <v>900</v>
      </c>
      <c r="R1610" s="31">
        <v>45229</v>
      </c>
      <c r="S1610" s="31" t="s">
        <v>3121</v>
      </c>
      <c r="T1610" s="95" t="str">
        <f t="shared" si="130"/>
        <v>2023 10</v>
      </c>
      <c r="U1610" s="32">
        <f t="shared" si="127"/>
        <v>421.20260263361752</v>
      </c>
      <c r="V1610" s="22">
        <f t="shared" si="128"/>
        <v>0.87970946573735731</v>
      </c>
      <c r="X1610" s="33"/>
      <c r="Y1610" s="33"/>
    </row>
    <row r="1611" spans="1:25" x14ac:dyDescent="0.2">
      <c r="A1611" s="93" t="s">
        <v>716</v>
      </c>
      <c r="B1611" s="94" t="str">
        <f>IFERROR(VLOOKUP($A1611,HeadJournal!$A$1:$NTR$890,COLUMN(HeadJournal!B$1),0),"")</f>
        <v>710000790688</v>
      </c>
      <c r="C1611" s="94" t="str">
        <f>IFERROR(VLOOKUP($A1611,HeadJournal!$A$1:$NTR$890,COLUMN(HeadJournal!C$1),0),"")</f>
        <v>iHerb_AV CYG0792</v>
      </c>
      <c r="D1611" s="125" t="str">
        <f>IFERROR(VLOOKUP($A1611,HeadJournal!$A$1:$NTR$890,COLUMN(HeadJournal!D$1),0),"")</f>
        <v>Доставлен</v>
      </c>
      <c r="E1611" s="95">
        <f>IFERROR(VLOOKUP($A1611,HeadJournal!$A$1:$NTR$890,COLUMN(HeadJournal!G$1),0),"")</f>
        <v>45059</v>
      </c>
      <c r="F1611" s="95" t="str">
        <f t="shared" si="129"/>
        <v>2023 05</v>
      </c>
      <c r="G1611" s="96" t="s">
        <v>5</v>
      </c>
      <c r="H1611" s="161" t="s">
        <v>2696</v>
      </c>
      <c r="I1611" s="97" t="s">
        <v>2052</v>
      </c>
      <c r="J1611" s="97" t="s">
        <v>2697</v>
      </c>
      <c r="K1611" s="29">
        <v>8</v>
      </c>
      <c r="L1611" s="29">
        <v>-3.2</v>
      </c>
      <c r="M1611" s="30">
        <f>IFERROR(VLOOKUP($A1611,HeadJournal!$A$1:$J$890,COLUMN(HeadJournal!I$1),0)*($K1611+$L1611)/(SUMIF($A:$A,$A1611,$K:$K)+SUMIF($A:$A,$A1611,$L:$L)),0)</f>
        <v>0.39838884585592554</v>
      </c>
      <c r="N1611" s="30">
        <f>IFERROR((VLOOKUP($A1611,HeadJournal!$A$1:$K$890,COLUMN(HeadJournal!K$1),0)-VLOOKUP($A1611,HeadJournal!$A$1:$K$890,COLUMN(HeadJournal!J$1),0))*($K1611+$L1611)/(SUMIF($A:$A,$A1611,$K:$K)+SUMIF($A:$A,$A1611,$L:$L)),0)</f>
        <v>-1.0567328060878327E-15</v>
      </c>
      <c r="O1611" s="30">
        <f>IFERROR((VLOOKUP($A1611,HeadJournal!$A$1:$L$890,COLUMN(HeadJournal!L$1),0)*($K1611+$L1611)/(SUMIF($A:$A,$A1611,$K:$K)+SUMIF($A:$A,$A1611,$L:$L)))/VLOOKUP($A1611,HeadJournal!$A$1:$L$890,COLUMN(HeadJournal!H$1),0),0)</f>
        <v>0.28244186346992695</v>
      </c>
      <c r="P1611" s="30">
        <f>IFERROR(SUM(K1611:O1611)*VLOOKUP($A1611,HeadJournal!$A$1:$L$890,COLUMN(HeadJournal!H$1),0),0)</f>
        <v>478.79739736638248</v>
      </c>
      <c r="Q1611" s="29">
        <v>900</v>
      </c>
      <c r="R1611" s="31">
        <v>45325</v>
      </c>
      <c r="S1611" s="31" t="s">
        <v>3121</v>
      </c>
      <c r="T1611" s="95" t="str">
        <f t="shared" si="130"/>
        <v>2024 02</v>
      </c>
      <c r="U1611" s="32">
        <f t="shared" si="127"/>
        <v>421.20260263361752</v>
      </c>
      <c r="V1611" s="22">
        <f t="shared" si="128"/>
        <v>0.87970946573735731</v>
      </c>
      <c r="X1611" s="33"/>
      <c r="Y1611" s="33"/>
    </row>
    <row r="1612" spans="1:25" x14ac:dyDescent="0.2">
      <c r="A1612" s="93" t="s">
        <v>716</v>
      </c>
      <c r="B1612" s="94" t="str">
        <f>IFERROR(VLOOKUP($A1612,HeadJournal!$A$1:$NTR$890,COLUMN(HeadJournal!B$1),0),"")</f>
        <v>710000790688</v>
      </c>
      <c r="C1612" s="94" t="str">
        <f>IFERROR(VLOOKUP($A1612,HeadJournal!$A$1:$NTR$890,COLUMN(HeadJournal!C$1),0),"")</f>
        <v>iHerb_AV CYG0792</v>
      </c>
      <c r="D1612" s="125" t="str">
        <f>IFERROR(VLOOKUP($A1612,HeadJournal!$A$1:$NTR$890,COLUMN(HeadJournal!D$1),0),"")</f>
        <v>Доставлен</v>
      </c>
      <c r="E1612" s="95">
        <f>IFERROR(VLOOKUP($A1612,HeadJournal!$A$1:$NTR$890,COLUMN(HeadJournal!G$1),0),"")</f>
        <v>45059</v>
      </c>
      <c r="F1612" s="95" t="str">
        <f t="shared" si="129"/>
        <v>2023 05</v>
      </c>
      <c r="G1612" s="96" t="s">
        <v>5</v>
      </c>
      <c r="H1612" s="160" t="str">
        <f>RIGHT(Journal!$J1612,9)</f>
        <v>SOL-00955</v>
      </c>
      <c r="I1612" s="96" t="str">
        <f t="shared" si="126"/>
        <v>Solgar</v>
      </c>
      <c r="J1612" s="97" t="s">
        <v>718</v>
      </c>
      <c r="K1612" s="29">
        <v>13.24</v>
      </c>
      <c r="L1612" s="29">
        <v>0</v>
      </c>
      <c r="M1612" s="30">
        <f>IFERROR(VLOOKUP($A1612,HeadJournal!$A$1:$J$890,COLUMN(HeadJournal!I$1),0)*($K1612+$L1612)/(SUMIF($A:$A,$A1612,$K:$K)+SUMIF($A:$A,$A1612,$L:$L)),0)</f>
        <v>1.0988892331525948</v>
      </c>
      <c r="N1612" s="30">
        <f>IFERROR((VLOOKUP($A1612,HeadJournal!$A$1:$K$890,COLUMN(HeadJournal!K$1),0)-VLOOKUP($A1612,HeadJournal!$A$1:$K$890,COLUMN(HeadJournal!J$1),0))*($K1612+$L1612)/(SUMIF($A:$A,$A1612,$K:$K)+SUMIF($A:$A,$A1612,$L:$L)),0)</f>
        <v>-2.914821323458939E-15</v>
      </c>
      <c r="O1612" s="30">
        <f>IFERROR((VLOOKUP($A1612,HeadJournal!$A$1:$L$890,COLUMN(HeadJournal!L$1),0)*($K1612+$L1612)/(SUMIF($A:$A,$A1612,$K:$K)+SUMIF($A:$A,$A1612,$L:$L)))/VLOOKUP($A1612,HeadJournal!$A$1:$L$890,COLUMN(HeadJournal!H$1),0),0)</f>
        <v>0.7790688067378817</v>
      </c>
      <c r="P1612" s="30">
        <f>IFERROR(SUM(K1612:O1612)*VLOOKUP($A1612,HeadJournal!$A$1:$L$890,COLUMN(HeadJournal!H$1),0),0)</f>
        <v>1320.6828210689384</v>
      </c>
      <c r="Q1612" s="29">
        <v>1900</v>
      </c>
      <c r="R1612" s="31">
        <v>45089</v>
      </c>
      <c r="S1612" s="31" t="s">
        <v>3121</v>
      </c>
      <c r="T1612" s="95" t="str">
        <f t="shared" si="130"/>
        <v>2023 06</v>
      </c>
      <c r="U1612" s="32">
        <f t="shared" si="127"/>
        <v>579.31717893106156</v>
      </c>
      <c r="V1612" s="22">
        <f t="shared" si="128"/>
        <v>0.43864974215547986</v>
      </c>
      <c r="X1612" s="33"/>
      <c r="Y1612" s="33"/>
    </row>
    <row r="1613" spans="1:25" x14ac:dyDescent="0.2">
      <c r="A1613" s="93" t="s">
        <v>716</v>
      </c>
      <c r="B1613" s="94" t="str">
        <f>IFERROR(VLOOKUP($A1613,HeadJournal!$A$1:$NTR$890,COLUMN(HeadJournal!B$1),0),"")</f>
        <v>710000790688</v>
      </c>
      <c r="C1613" s="94" t="str">
        <f>IFERROR(VLOOKUP($A1613,HeadJournal!$A$1:$NTR$890,COLUMN(HeadJournal!C$1),0),"")</f>
        <v>iHerb_AV CYG0792</v>
      </c>
      <c r="D1613" s="125" t="str">
        <f>IFERROR(VLOOKUP($A1613,HeadJournal!$A$1:$NTR$890,COLUMN(HeadJournal!D$1),0),"")</f>
        <v>Доставлен</v>
      </c>
      <c r="E1613" s="95">
        <f>IFERROR(VLOOKUP($A1613,HeadJournal!$A$1:$NTR$890,COLUMN(HeadJournal!G$1),0),"")</f>
        <v>45059</v>
      </c>
      <c r="F1613" s="95" t="str">
        <f t="shared" si="129"/>
        <v>2023 05</v>
      </c>
      <c r="G1613" s="96" t="s">
        <v>7</v>
      </c>
      <c r="H1613" s="161" t="s">
        <v>2724</v>
      </c>
      <c r="I1613" s="97" t="s">
        <v>2725</v>
      </c>
      <c r="J1613" s="97" t="s">
        <v>2726</v>
      </c>
      <c r="K1613" s="29">
        <v>16.940000000000001</v>
      </c>
      <c r="L1613" s="29">
        <v>-3.39</v>
      </c>
      <c r="M1613" s="30">
        <f>IFERROR(VLOOKUP($A1613,HeadJournal!$A$1:$J$890,COLUMN(HeadJournal!I$1),0)*($K1613+$L1613)/(SUMIF($A:$A,$A1613,$K:$K)+SUMIF($A:$A,$A1613,$L:$L)),0)</f>
        <v>1.1246185127807899</v>
      </c>
      <c r="N1613" s="30">
        <f>IFERROR((VLOOKUP($A1613,HeadJournal!$A$1:$K$890,COLUMN(HeadJournal!K$1),0)-VLOOKUP($A1613,HeadJournal!$A$1:$K$890,COLUMN(HeadJournal!J$1),0))*($K1613+$L1613)/(SUMIF($A:$A,$A1613,$K:$K)+SUMIF($A:$A,$A1613,$L:$L)),0)</f>
        <v>-2.9830686505187782E-15</v>
      </c>
      <c r="O1613" s="30">
        <f>IFERROR((VLOOKUP($A1613,HeadJournal!$A$1:$L$890,COLUMN(HeadJournal!L$1),0)*($K1613+$L1613)/(SUMIF($A:$A,$A1613,$K:$K)+SUMIF($A:$A,$A1613,$L:$L)))/VLOOKUP($A1613,HeadJournal!$A$1:$L$890,COLUMN(HeadJournal!H$1),0),0)</f>
        <v>0.79730984375364822</v>
      </c>
      <c r="P1613" s="30">
        <f>IFERROR(SUM(K1613:O1613)*VLOOKUP($A1613,HeadJournal!$A$1:$L$890,COLUMN(HeadJournal!H$1),0),0)</f>
        <v>1351.6051529821839</v>
      </c>
      <c r="Q1613" s="29"/>
      <c r="R1613" s="31"/>
      <c r="S1613" s="31"/>
      <c r="T1613" s="95" t="str">
        <f t="shared" si="130"/>
        <v/>
      </c>
      <c r="U1613" s="32">
        <f t="shared" si="127"/>
        <v>-1351.6051529821839</v>
      </c>
      <c r="V1613" s="22" t="str">
        <f t="shared" si="128"/>
        <v/>
      </c>
      <c r="X1613" s="33"/>
      <c r="Y1613" s="33"/>
    </row>
    <row r="1614" spans="1:25" x14ac:dyDescent="0.2">
      <c r="A1614" s="93" t="s">
        <v>716</v>
      </c>
      <c r="B1614" s="94" t="str">
        <f>IFERROR(VLOOKUP($A1614,HeadJournal!$A$1:$NTR$890,COLUMN(HeadJournal!B$1),0),"")</f>
        <v>710000790688</v>
      </c>
      <c r="C1614" s="94" t="str">
        <f>IFERROR(VLOOKUP($A1614,HeadJournal!$A$1:$NTR$890,COLUMN(HeadJournal!C$1),0),"")</f>
        <v>iHerb_AV CYG0792</v>
      </c>
      <c r="D1614" s="125" t="str">
        <f>IFERROR(VLOOKUP($A1614,HeadJournal!$A$1:$NTR$890,COLUMN(HeadJournal!D$1),0),"")</f>
        <v>Доставлен</v>
      </c>
      <c r="E1614" s="95">
        <f>IFERROR(VLOOKUP($A1614,HeadJournal!$A$1:$NTR$890,COLUMN(HeadJournal!G$1),0),"")</f>
        <v>45059</v>
      </c>
      <c r="F1614" s="95" t="str">
        <f t="shared" si="129"/>
        <v>2023 05</v>
      </c>
      <c r="G1614" s="96" t="s">
        <v>5</v>
      </c>
      <c r="H1614" s="160" t="str">
        <f>RIGHT(Journal!$J1614,9)</f>
        <v>HEC-50301</v>
      </c>
      <c r="I1614" s="96" t="str">
        <f t="shared" ref="I1614:I1672" si="131">IFERROR(LEFT(J1614,FIND(",",J1614)-1),"")</f>
        <v>Herbs Etc</v>
      </c>
      <c r="J1614" s="97" t="s">
        <v>719</v>
      </c>
      <c r="K1614" s="29">
        <v>51.6</v>
      </c>
      <c r="L1614" s="29">
        <v>-5.16</v>
      </c>
      <c r="M1614" s="30">
        <f>IFERROR(VLOOKUP($A1614,HeadJournal!$A$1:$J$890,COLUMN(HeadJournal!I$1),0)*($K1614+$L1614)/(SUMIF($A:$A,$A1614,$K:$K)+SUMIF($A:$A,$A1614,$L:$L)),0)</f>
        <v>3.8544120836560793</v>
      </c>
      <c r="N1614" s="30">
        <f>IFERROR((VLOOKUP($A1614,HeadJournal!$A$1:$K$890,COLUMN(HeadJournal!K$1),0)-VLOOKUP($A1614,HeadJournal!$A$1:$K$890,COLUMN(HeadJournal!J$1),0))*($K1614+$L1614)/(SUMIF($A:$A,$A1614,$K:$K)+SUMIF($A:$A,$A1614,$L:$L)),0)</f>
        <v>-1.0223889898899782E-14</v>
      </c>
      <c r="O1614" s="30">
        <f>IFERROR((VLOOKUP($A1614,HeadJournal!$A$1:$L$890,COLUMN(HeadJournal!L$1),0)*($K1614+$L1614)/(SUMIF($A:$A,$A1614,$K:$K)+SUMIF($A:$A,$A1614,$L:$L)))/VLOOKUP($A1614,HeadJournal!$A$1:$L$890,COLUMN(HeadJournal!H$1),0),0)</f>
        <v>2.732625029071543</v>
      </c>
      <c r="P1614" s="30">
        <f>IFERROR(SUM(K1614:O1614)*VLOOKUP($A1614,HeadJournal!$A$1:$L$890,COLUMN(HeadJournal!H$1),0),0)</f>
        <v>4632.3648195197502</v>
      </c>
      <c r="Q1614" s="29">
        <v>5100</v>
      </c>
      <c r="R1614" s="31">
        <v>45089</v>
      </c>
      <c r="S1614" s="31" t="s">
        <v>3121</v>
      </c>
      <c r="T1614" s="95" t="str">
        <f t="shared" si="130"/>
        <v>2023 06</v>
      </c>
      <c r="U1614" s="32">
        <f t="shared" si="127"/>
        <v>467.6351804802498</v>
      </c>
      <c r="V1614" s="22">
        <f t="shared" si="128"/>
        <v>0.10094955788234546</v>
      </c>
      <c r="X1614" s="33"/>
      <c r="Y1614" s="33"/>
    </row>
    <row r="1615" spans="1:25" x14ac:dyDescent="0.2">
      <c r="A1615" s="93" t="s">
        <v>716</v>
      </c>
      <c r="B1615" s="94" t="str">
        <f>IFERROR(VLOOKUP($A1615,HeadJournal!$A$1:$NTR$890,COLUMN(HeadJournal!B$1),0),"")</f>
        <v>710000790688</v>
      </c>
      <c r="C1615" s="94" t="str">
        <f>IFERROR(VLOOKUP($A1615,HeadJournal!$A$1:$NTR$890,COLUMN(HeadJournal!C$1),0),"")</f>
        <v>iHerb_AV CYG0792</v>
      </c>
      <c r="D1615" s="125" t="str">
        <f>IFERROR(VLOOKUP($A1615,HeadJournal!$A$1:$NTR$890,COLUMN(HeadJournal!D$1),0),"")</f>
        <v>Доставлен</v>
      </c>
      <c r="E1615" s="95">
        <f>IFERROR(VLOOKUP($A1615,HeadJournal!$A$1:$NTR$890,COLUMN(HeadJournal!G$1),0),"")</f>
        <v>45059</v>
      </c>
      <c r="F1615" s="95" t="str">
        <f t="shared" si="129"/>
        <v>2023 05</v>
      </c>
      <c r="G1615" s="96" t="s">
        <v>5</v>
      </c>
      <c r="H1615" s="160" t="str">
        <f>RIGHT(Journal!$J1615,9)</f>
        <v>NLI-00117</v>
      </c>
      <c r="I1615" s="96" t="str">
        <f t="shared" si="131"/>
        <v>Nature's Life</v>
      </c>
      <c r="J1615" s="97" t="s">
        <v>720</v>
      </c>
      <c r="K1615" s="29">
        <v>6.42</v>
      </c>
      <c r="L1615" s="29">
        <v>-1.28</v>
      </c>
      <c r="M1615" s="30">
        <f>IFERROR(VLOOKUP($A1615,HeadJournal!$A$1:$J$890,COLUMN(HeadJournal!I$1),0)*($K1615+$L1615)/(SUMIF($A:$A,$A1615,$K:$K)+SUMIF($A:$A,$A1615,$L:$L)),0)</f>
        <v>0.42660805577072031</v>
      </c>
      <c r="N1615" s="30">
        <f>IFERROR((VLOOKUP($A1615,HeadJournal!$A$1:$K$890,COLUMN(HeadJournal!K$1),0)-VLOOKUP($A1615,HeadJournal!$A$1:$K$890,COLUMN(HeadJournal!J$1),0))*($K1615+$L1615)/(SUMIF($A:$A,$A1615,$K:$K)+SUMIF($A:$A,$A1615,$L:$L)),0)</f>
        <v>-1.1315847131857208E-15</v>
      </c>
      <c r="O1615" s="30">
        <f>IFERROR((VLOOKUP($A1615,HeadJournal!$A$1:$L$890,COLUMN(HeadJournal!L$1),0)*($K1615+$L1615)/(SUMIF($A:$A,$A1615,$K:$K)+SUMIF($A:$A,$A1615,$L:$L)))/VLOOKUP($A1615,HeadJournal!$A$1:$L$890,COLUMN(HeadJournal!H$1),0),0)</f>
        <v>0.30244816213238007</v>
      </c>
      <c r="P1615" s="30">
        <f>IFERROR(SUM(K1615:O1615)*VLOOKUP($A1615,HeadJournal!$A$1:$L$890,COLUMN(HeadJournal!H$1),0),0)</f>
        <v>512.71221301316791</v>
      </c>
      <c r="Q1615" s="29">
        <v>1100</v>
      </c>
      <c r="R1615" s="31">
        <v>45089</v>
      </c>
      <c r="S1615" s="31" t="s">
        <v>3121</v>
      </c>
      <c r="T1615" s="95" t="str">
        <f t="shared" si="130"/>
        <v>2023 06</v>
      </c>
      <c r="U1615" s="32">
        <f t="shared" si="127"/>
        <v>587.28778698683209</v>
      </c>
      <c r="V1615" s="22">
        <f t="shared" si="128"/>
        <v>1.1454530867041173</v>
      </c>
      <c r="X1615" s="33"/>
      <c r="Y1615" s="33"/>
    </row>
    <row r="1616" spans="1:25" x14ac:dyDescent="0.2">
      <c r="A1616" s="93" t="s">
        <v>716</v>
      </c>
      <c r="B1616" s="94" t="str">
        <f>IFERROR(VLOOKUP($A1616,HeadJournal!$A$1:$NTR$890,COLUMN(HeadJournal!B$1),0),"")</f>
        <v>710000790688</v>
      </c>
      <c r="C1616" s="94" t="str">
        <f>IFERROR(VLOOKUP($A1616,HeadJournal!$A$1:$NTR$890,COLUMN(HeadJournal!C$1),0),"")</f>
        <v>iHerb_AV CYG0792</v>
      </c>
      <c r="D1616" s="125" t="str">
        <f>IFERROR(VLOOKUP($A1616,HeadJournal!$A$1:$NTR$890,COLUMN(HeadJournal!D$1),0),"")</f>
        <v>Доставлен</v>
      </c>
      <c r="E1616" s="95">
        <f>IFERROR(VLOOKUP($A1616,HeadJournal!$A$1:$NTR$890,COLUMN(HeadJournal!G$1),0),"")</f>
        <v>45059</v>
      </c>
      <c r="F1616" s="95" t="str">
        <f t="shared" si="129"/>
        <v>2023 05</v>
      </c>
      <c r="G1616" s="96" t="s">
        <v>5</v>
      </c>
      <c r="H1616" s="161" t="s">
        <v>2806</v>
      </c>
      <c r="I1616" s="97" t="s">
        <v>2009</v>
      </c>
      <c r="J1616" s="97" t="s">
        <v>2807</v>
      </c>
      <c r="K1616" s="29">
        <v>20.5</v>
      </c>
      <c r="L1616" s="29">
        <v>-2.0499999999999998</v>
      </c>
      <c r="M1616" s="30">
        <f>IFERROR(VLOOKUP($A1616,HeadJournal!$A$1:$J$890,COLUMN(HeadJournal!I$1),0)*($K1616+$L1616)/(SUMIF($A:$A,$A1616,$K:$K)+SUMIF($A:$A,$A1616,$L:$L)),0)</f>
        <v>1.5313071262587137</v>
      </c>
      <c r="N1616" s="30">
        <f>IFERROR((VLOOKUP($A1616,HeadJournal!$A$1:$K$890,COLUMN(HeadJournal!K$1),0)-VLOOKUP($A1616,HeadJournal!$A$1:$K$890,COLUMN(HeadJournal!J$1),0))*($K1616+$L1616)/(SUMIF($A:$A,$A1616,$K:$K)+SUMIF($A:$A,$A1616,$L:$L)),0)</f>
        <v>-4.0618167234001073E-15</v>
      </c>
      <c r="O1616" s="30">
        <f>IFERROR((VLOOKUP($A1616,HeadJournal!$A$1:$L$890,COLUMN(HeadJournal!L$1),0)*($K1616+$L1616)/(SUMIF($A:$A,$A1616,$K:$K)+SUMIF($A:$A,$A1616,$L:$L)))/VLOOKUP($A1616,HeadJournal!$A$1:$L$890,COLUMN(HeadJournal!H$1),0),0)</f>
        <v>1.0856359127125317</v>
      </c>
      <c r="P1616" s="30">
        <f>IFERROR(SUM(K1616:O1616)*VLOOKUP($A1616,HeadJournal!$A$1:$L$890,COLUMN(HeadJournal!H$1),0),0)</f>
        <v>1840.3774961270326</v>
      </c>
      <c r="Q1616" s="29">
        <v>2700</v>
      </c>
      <c r="R1616" s="31">
        <v>45096</v>
      </c>
      <c r="S1616" s="31" t="s">
        <v>3121</v>
      </c>
      <c r="T1616" s="95" t="str">
        <f t="shared" si="130"/>
        <v>2023 06</v>
      </c>
      <c r="U1616" s="32">
        <f t="shared" si="127"/>
        <v>859.6225038729674</v>
      </c>
      <c r="V1616" s="22">
        <f t="shared" si="128"/>
        <v>0.46709031472183993</v>
      </c>
      <c r="X1616" s="33"/>
      <c r="Y1616" s="33"/>
    </row>
    <row r="1617" spans="1:25" x14ac:dyDescent="0.2">
      <c r="A1617" s="93" t="s">
        <v>716</v>
      </c>
      <c r="B1617" s="94" t="str">
        <f>IFERROR(VLOOKUP($A1617,HeadJournal!$A$1:$NTR$890,COLUMN(HeadJournal!B$1),0),"")</f>
        <v>710000790688</v>
      </c>
      <c r="C1617" s="94" t="str">
        <f>IFERROR(VLOOKUP($A1617,HeadJournal!$A$1:$NTR$890,COLUMN(HeadJournal!C$1),0),"")</f>
        <v>iHerb_AV CYG0792</v>
      </c>
      <c r="D1617" s="125" t="str">
        <f>IFERROR(VLOOKUP($A1617,HeadJournal!$A$1:$NTR$890,COLUMN(HeadJournal!D$1),0),"")</f>
        <v>Доставлен</v>
      </c>
      <c r="E1617" s="95">
        <f>IFERROR(VLOOKUP($A1617,HeadJournal!$A$1:$NTR$890,COLUMN(HeadJournal!G$1),0),"")</f>
        <v>45059</v>
      </c>
      <c r="F1617" s="95" t="str">
        <f t="shared" si="129"/>
        <v>2023 05</v>
      </c>
      <c r="G1617" s="96" t="s">
        <v>5</v>
      </c>
      <c r="H1617" s="175" t="s">
        <v>3630</v>
      </c>
      <c r="I1617" s="176" t="s">
        <v>2052</v>
      </c>
      <c r="J1617" s="97" t="s">
        <v>3673</v>
      </c>
      <c r="K1617" s="29">
        <v>15</v>
      </c>
      <c r="L1617" s="29">
        <v>-4.5</v>
      </c>
      <c r="M1617" s="30">
        <f>IFERROR(VLOOKUP($A1617,HeadJournal!$A$1:$J$890,COLUMN(HeadJournal!I$1),0)*($K1617+$L1617)/(SUMIF($A:$A,$A1617,$K:$K)+SUMIF($A:$A,$A1617,$L:$L)),0)</f>
        <v>0.87147560030983717</v>
      </c>
      <c r="N1617" s="30">
        <f>IFERROR((VLOOKUP($A1617,HeadJournal!$A$1:$K$890,COLUMN(HeadJournal!K$1),0)-VLOOKUP($A1617,HeadJournal!$A$1:$K$890,COLUMN(HeadJournal!J$1),0))*($K1617+$L1617)/(SUMIF($A:$A,$A1617,$K:$K)+SUMIF($A:$A,$A1617,$L:$L)),0)</f>
        <v>-2.3116030133171343E-15</v>
      </c>
      <c r="O1617" s="30">
        <f>IFERROR((VLOOKUP($A1617,HeadJournal!$A$1:$L$890,COLUMN(HeadJournal!L$1),0)*($K1617+$L1617)/(SUMIF($A:$A,$A1617,$K:$K)+SUMIF($A:$A,$A1617,$L:$L)))/VLOOKUP($A1617,HeadJournal!$A$1:$L$890,COLUMN(HeadJournal!H$1),0),0)</f>
        <v>0.61784157634046522</v>
      </c>
      <c r="P1617" s="30">
        <f>IFERROR(SUM(K1617:O1617)*VLOOKUP($A1617,HeadJournal!$A$1:$L$890,COLUMN(HeadJournal!H$1),0),0)</f>
        <v>1047.3693067389618</v>
      </c>
      <c r="Q1617" s="29">
        <v>2500</v>
      </c>
      <c r="R1617" s="31">
        <v>45216</v>
      </c>
      <c r="S1617" s="31" t="s">
        <v>3121</v>
      </c>
      <c r="T1617" s="95" t="str">
        <f t="shared" si="130"/>
        <v>2023 10</v>
      </c>
      <c r="U1617" s="32">
        <f t="shared" si="127"/>
        <v>1452.6306932610382</v>
      </c>
      <c r="V1617" s="22">
        <f t="shared" si="128"/>
        <v>1.3869326549045806</v>
      </c>
      <c r="X1617" s="33"/>
      <c r="Y1617" s="33"/>
    </row>
    <row r="1618" spans="1:25" x14ac:dyDescent="0.2">
      <c r="A1618" s="93" t="s">
        <v>716</v>
      </c>
      <c r="B1618" s="94" t="str">
        <f>IFERROR(VLOOKUP($A1618,HeadJournal!$A$1:$NTR$890,COLUMN(HeadJournal!B$1),0),"")</f>
        <v>710000790688</v>
      </c>
      <c r="C1618" s="94" t="str">
        <f>IFERROR(VLOOKUP($A1618,HeadJournal!$A$1:$NTR$890,COLUMN(HeadJournal!C$1),0),"")</f>
        <v>iHerb_AV CYG0792</v>
      </c>
      <c r="D1618" s="125" t="str">
        <f>IFERROR(VLOOKUP($A1618,HeadJournal!$A$1:$NTR$890,COLUMN(HeadJournal!D$1),0),"")</f>
        <v>Доставлен</v>
      </c>
      <c r="E1618" s="95">
        <f>IFERROR(VLOOKUP($A1618,HeadJournal!$A$1:$NTR$890,COLUMN(HeadJournal!G$1),0),"")</f>
        <v>45059</v>
      </c>
      <c r="F1618" s="95" t="str">
        <f t="shared" si="129"/>
        <v>2023 05</v>
      </c>
      <c r="G1618" s="96" t="s">
        <v>5</v>
      </c>
      <c r="H1618" s="175" t="s">
        <v>3630</v>
      </c>
      <c r="I1618" s="176" t="s">
        <v>2052</v>
      </c>
      <c r="J1618" s="97" t="s">
        <v>3673</v>
      </c>
      <c r="K1618" s="29">
        <v>15</v>
      </c>
      <c r="L1618" s="29">
        <v>-4.5</v>
      </c>
      <c r="M1618" s="30">
        <f>IFERROR(VLOOKUP($A1618,HeadJournal!$A$1:$J$890,COLUMN(HeadJournal!I$1),0)*($K1618+$L1618)/(SUMIF($A:$A,$A1618,$K:$K)+SUMIF($A:$A,$A1618,$L:$L)),0)</f>
        <v>0.87147560030983717</v>
      </c>
      <c r="N1618" s="30">
        <f>IFERROR((VLOOKUP($A1618,HeadJournal!$A$1:$K$890,COLUMN(HeadJournal!K$1),0)-VLOOKUP($A1618,HeadJournal!$A$1:$K$890,COLUMN(HeadJournal!J$1),0))*($K1618+$L1618)/(SUMIF($A:$A,$A1618,$K:$K)+SUMIF($A:$A,$A1618,$L:$L)),0)</f>
        <v>-2.3116030133171343E-15</v>
      </c>
      <c r="O1618" s="30">
        <f>IFERROR((VLOOKUP($A1618,HeadJournal!$A$1:$L$890,COLUMN(HeadJournal!L$1),0)*($K1618+$L1618)/(SUMIF($A:$A,$A1618,$K:$K)+SUMIF($A:$A,$A1618,$L:$L)))/VLOOKUP($A1618,HeadJournal!$A$1:$L$890,COLUMN(HeadJournal!H$1),0),0)</f>
        <v>0.61784157634046522</v>
      </c>
      <c r="P1618" s="30">
        <f>IFERROR(SUM(K1618:O1618)*VLOOKUP($A1618,HeadJournal!$A$1:$L$890,COLUMN(HeadJournal!H$1),0),0)</f>
        <v>1047.3693067389618</v>
      </c>
      <c r="Q1618" s="29">
        <v>2700</v>
      </c>
      <c r="R1618" s="31">
        <v>45276</v>
      </c>
      <c r="S1618" s="31" t="s">
        <v>3121</v>
      </c>
      <c r="T1618" s="95" t="str">
        <f t="shared" si="130"/>
        <v>2023 12</v>
      </c>
      <c r="U1618" s="32">
        <f t="shared" si="127"/>
        <v>1652.6306932610382</v>
      </c>
      <c r="V1618" s="22">
        <f t="shared" si="128"/>
        <v>1.5778872672969471</v>
      </c>
      <c r="X1618" s="33"/>
      <c r="Y1618" s="33"/>
    </row>
    <row r="1619" spans="1:25" x14ac:dyDescent="0.2">
      <c r="A1619" s="93" t="s">
        <v>716</v>
      </c>
      <c r="B1619" s="94" t="str">
        <f>IFERROR(VLOOKUP($A1619,HeadJournal!$A$1:$NTR$890,COLUMN(HeadJournal!B$1),0),"")</f>
        <v>710000790688</v>
      </c>
      <c r="C1619" s="94" t="str">
        <f>IFERROR(VLOOKUP($A1619,HeadJournal!$A$1:$NTR$890,COLUMN(HeadJournal!C$1),0),"")</f>
        <v>iHerb_AV CYG0792</v>
      </c>
      <c r="D1619" s="125" t="str">
        <f>IFERROR(VLOOKUP($A1619,HeadJournal!$A$1:$NTR$890,COLUMN(HeadJournal!D$1),0),"")</f>
        <v>Доставлен</v>
      </c>
      <c r="E1619" s="95">
        <f>IFERROR(VLOOKUP($A1619,HeadJournal!$A$1:$NTR$890,COLUMN(HeadJournal!G$1),0),"")</f>
        <v>45059</v>
      </c>
      <c r="F1619" s="95" t="str">
        <f t="shared" si="129"/>
        <v>2023 05</v>
      </c>
      <c r="G1619" s="96" t="s">
        <v>5</v>
      </c>
      <c r="H1619" s="160" t="str">
        <f>RIGHT(Journal!$J1619,9)</f>
        <v>MSC-60557</v>
      </c>
      <c r="I1619" s="96" t="str">
        <f t="shared" si="131"/>
        <v>Xenadrine</v>
      </c>
      <c r="J1619" s="97" t="s">
        <v>721</v>
      </c>
      <c r="K1619" s="29">
        <v>20.309999999999999</v>
      </c>
      <c r="L1619" s="29">
        <v>-5.08</v>
      </c>
      <c r="M1619" s="30">
        <f>IFERROR(VLOOKUP($A1619,HeadJournal!$A$1:$J$890,COLUMN(HeadJournal!I$1),0)*($K1619+$L1619)/(SUMIF($A:$A,$A1619,$K:$K)+SUMIF($A:$A,$A1619,$L:$L)),0)</f>
        <v>1.2640546088303637</v>
      </c>
      <c r="N1619" s="30">
        <f>IFERROR((VLOOKUP($A1619,HeadJournal!$A$1:$K$890,COLUMN(HeadJournal!K$1),0)-VLOOKUP($A1619,HeadJournal!$A$1:$K$890,COLUMN(HeadJournal!J$1),0))*($K1619+$L1619)/(SUMIF($A:$A,$A1619,$K:$K)+SUMIF($A:$A,$A1619,$L:$L)),0)</f>
        <v>-3.352925132649519E-15</v>
      </c>
      <c r="O1619" s="30">
        <f>IFERROR((VLOOKUP($A1619,HeadJournal!$A$1:$L$890,COLUMN(HeadJournal!L$1),0)*($K1619+$L1619)/(SUMIF($A:$A,$A1619,$K:$K)+SUMIF($A:$A,$A1619,$L:$L)))/VLOOKUP($A1619,HeadJournal!$A$1:$L$890,COLUMN(HeadJournal!H$1),0),0)</f>
        <v>0.89616449596812231</v>
      </c>
      <c r="P1619" s="30">
        <f>IFERROR(SUM(K1619:O1619)*VLOOKUP($A1619,HeadJournal!$A$1:$L$890,COLUMN(HeadJournal!H$1),0),0)</f>
        <v>1519.1842420604173</v>
      </c>
      <c r="Q1619" s="29">
        <v>2700</v>
      </c>
      <c r="R1619" s="31">
        <v>45111</v>
      </c>
      <c r="S1619" s="31" t="s">
        <v>3121</v>
      </c>
      <c r="T1619" s="95" t="str">
        <f t="shared" si="130"/>
        <v>2023 07</v>
      </c>
      <c r="U1619" s="32">
        <f t="shared" si="127"/>
        <v>1180.8157579395827</v>
      </c>
      <c r="V1619" s="22">
        <f t="shared" si="128"/>
        <v>0.77726961960721952</v>
      </c>
      <c r="X1619" s="33"/>
      <c r="Y1619" s="33"/>
    </row>
    <row r="1620" spans="1:25" x14ac:dyDescent="0.2">
      <c r="A1620" s="93" t="s">
        <v>716</v>
      </c>
      <c r="B1620" s="94" t="str">
        <f>IFERROR(VLOOKUP($A1620,HeadJournal!$A$1:$NTR$890,COLUMN(HeadJournal!B$1),0),"")</f>
        <v>710000790688</v>
      </c>
      <c r="C1620" s="94" t="str">
        <f>IFERROR(VLOOKUP($A1620,HeadJournal!$A$1:$NTR$890,COLUMN(HeadJournal!C$1),0),"")</f>
        <v>iHerb_AV CYG0792</v>
      </c>
      <c r="D1620" s="125" t="str">
        <f>IFERROR(VLOOKUP($A1620,HeadJournal!$A$1:$NTR$890,COLUMN(HeadJournal!D$1),0),"")</f>
        <v>Доставлен</v>
      </c>
      <c r="E1620" s="95">
        <f>IFERROR(VLOOKUP($A1620,HeadJournal!$A$1:$NTR$890,COLUMN(HeadJournal!G$1),0),"")</f>
        <v>45059</v>
      </c>
      <c r="F1620" s="95" t="str">
        <f t="shared" si="129"/>
        <v>2023 05</v>
      </c>
      <c r="G1620" s="96" t="s">
        <v>5</v>
      </c>
      <c r="H1620" s="161" t="s">
        <v>2087</v>
      </c>
      <c r="I1620" s="97" t="s">
        <v>2005</v>
      </c>
      <c r="J1620" s="97" t="s">
        <v>2088</v>
      </c>
      <c r="K1620" s="29">
        <v>19.05</v>
      </c>
      <c r="L1620" s="29">
        <v>-1.91</v>
      </c>
      <c r="M1620" s="30">
        <f>IFERROR(VLOOKUP($A1620,HeadJournal!$A$1:$J$890,COLUMN(HeadJournal!I$1),0)*($K1620+$L1620)/(SUMIF($A:$A,$A1620,$K:$K)+SUMIF($A:$A,$A1620,$L:$L)),0)</f>
        <v>1.4225801704105343</v>
      </c>
      <c r="N1620" s="30">
        <f>IFERROR((VLOOKUP($A1620,HeadJournal!$A$1:$K$890,COLUMN(HeadJournal!K$1),0)-VLOOKUP($A1620,HeadJournal!$A$1:$K$890,COLUMN(HeadJournal!J$1),0))*($K1620+$L1620)/(SUMIF($A:$A,$A1620,$K:$K)+SUMIF($A:$A,$A1620,$L:$L)),0)</f>
        <v>-3.773416728405303E-15</v>
      </c>
      <c r="O1620" s="30">
        <f>IFERROR((VLOOKUP($A1620,HeadJournal!$A$1:$L$890,COLUMN(HeadJournal!L$1),0)*($K1620+$L1620)/(SUMIF($A:$A,$A1620,$K:$K)+SUMIF($A:$A,$A1620,$L:$L)))/VLOOKUP($A1620,HeadJournal!$A$1:$L$890,COLUMN(HeadJournal!H$1),0),0)</f>
        <v>1.0085528208071974</v>
      </c>
      <c r="P1620" s="30">
        <f>IFERROR(SUM(K1620:O1620)*VLOOKUP($A1620,HeadJournal!$A$1:$L$890,COLUMN(HeadJournal!H$1),0),0)</f>
        <v>1709.7057064291239</v>
      </c>
      <c r="Q1620" s="29">
        <v>2500</v>
      </c>
      <c r="R1620" s="31">
        <v>45106</v>
      </c>
      <c r="S1620" s="31" t="s">
        <v>3121</v>
      </c>
      <c r="T1620" s="95" t="str">
        <f t="shared" si="130"/>
        <v>2023 06</v>
      </c>
      <c r="U1620" s="32">
        <f t="shared" si="127"/>
        <v>790.29429357087611</v>
      </c>
      <c r="V1620" s="22">
        <f t="shared" si="128"/>
        <v>0.46223995778868737</v>
      </c>
      <c r="X1620" s="33"/>
      <c r="Y1620" s="33"/>
    </row>
    <row r="1621" spans="1:25" x14ac:dyDescent="0.2">
      <c r="A1621" s="93" t="s">
        <v>716</v>
      </c>
      <c r="B1621" s="94" t="str">
        <f>IFERROR(VLOOKUP($A1621,HeadJournal!$A$1:$NTR$890,COLUMN(HeadJournal!B$1),0),"")</f>
        <v>710000790688</v>
      </c>
      <c r="C1621" s="94" t="str">
        <f>IFERROR(VLOOKUP($A1621,HeadJournal!$A$1:$NTR$890,COLUMN(HeadJournal!C$1),0),"")</f>
        <v>iHerb_AV CYG0792</v>
      </c>
      <c r="D1621" s="125" t="str">
        <f>IFERROR(VLOOKUP($A1621,HeadJournal!$A$1:$NTR$890,COLUMN(HeadJournal!D$1),0),"")</f>
        <v>Доставлен</v>
      </c>
      <c r="E1621" s="95">
        <f>IFERROR(VLOOKUP($A1621,HeadJournal!$A$1:$NTR$890,COLUMN(HeadJournal!G$1),0),"")</f>
        <v>45059</v>
      </c>
      <c r="F1621" s="95" t="str">
        <f t="shared" si="129"/>
        <v>2023 05</v>
      </c>
      <c r="G1621" s="96" t="s">
        <v>7</v>
      </c>
      <c r="H1621" s="160" t="str">
        <f>RIGHT(Journal!$J1621,9)</f>
        <v>ADN-11917</v>
      </c>
      <c r="I1621" s="96" t="str">
        <f t="shared" si="131"/>
        <v>Andalou Naturals</v>
      </c>
      <c r="J1621" s="97" t="s">
        <v>722</v>
      </c>
      <c r="K1621" s="29">
        <v>9.5500000000000007</v>
      </c>
      <c r="L1621" s="29">
        <v>-1.91</v>
      </c>
      <c r="M1621" s="30">
        <f>IFERROR(VLOOKUP($A1621,HeadJournal!$A$1:$J$890,COLUMN(HeadJournal!I$1),0)*($K1621+$L1621)/(SUMIF($A:$A,$A1621,$K:$K)+SUMIF($A:$A,$A1621,$L:$L)),0)</f>
        <v>0.63410224632068157</v>
      </c>
      <c r="N1621" s="30">
        <f>IFERROR((VLOOKUP($A1621,HeadJournal!$A$1:$K$890,COLUMN(HeadJournal!K$1),0)-VLOOKUP($A1621,HeadJournal!$A$1:$K$890,COLUMN(HeadJournal!J$1),0))*($K1621+$L1621)/(SUMIF($A:$A,$A1621,$K:$K)+SUMIF($A:$A,$A1621,$L:$L)),0)</f>
        <v>-1.681966383023134E-15</v>
      </c>
      <c r="O1621" s="30">
        <f>IFERROR((VLOOKUP($A1621,HeadJournal!$A$1:$L$890,COLUMN(HeadJournal!L$1),0)*($K1621+$L1621)/(SUMIF($A:$A,$A1621,$K:$K)+SUMIF($A:$A,$A1621,$L:$L)))/VLOOKUP($A1621,HeadJournal!$A$1:$L$890,COLUMN(HeadJournal!H$1),0),0)</f>
        <v>0.44955329935630045</v>
      </c>
      <c r="P1621" s="30">
        <f>IFERROR(SUM(K1621:O1621)*VLOOKUP($A1621,HeadJournal!$A$1:$L$890,COLUMN(HeadJournal!H$1),0),0)</f>
        <v>762.08585747482539</v>
      </c>
      <c r="Q1621" s="29">
        <v>1500</v>
      </c>
      <c r="R1621" s="31">
        <v>45092</v>
      </c>
      <c r="S1621" s="31" t="s">
        <v>3121</v>
      </c>
      <c r="T1621" s="95" t="str">
        <f t="shared" si="130"/>
        <v>2023 06</v>
      </c>
      <c r="U1621" s="32">
        <f t="shared" si="127"/>
        <v>737.91414252517461</v>
      </c>
      <c r="V1621" s="22">
        <f t="shared" si="128"/>
        <v>0.96828216307576698</v>
      </c>
      <c r="X1621" s="33"/>
      <c r="Y1621" s="33"/>
    </row>
    <row r="1622" spans="1:25" x14ac:dyDescent="0.2">
      <c r="A1622" s="93" t="s">
        <v>716</v>
      </c>
      <c r="B1622" s="94" t="str">
        <f>IFERROR(VLOOKUP($A1622,HeadJournal!$A$1:$NTR$890,COLUMN(HeadJournal!B$1),0),"")</f>
        <v>710000790688</v>
      </c>
      <c r="C1622" s="94" t="str">
        <f>IFERROR(VLOOKUP($A1622,HeadJournal!$A$1:$NTR$890,COLUMN(HeadJournal!C$1),0),"")</f>
        <v>iHerb_AV CYG0792</v>
      </c>
      <c r="D1622" s="125" t="str">
        <f>IFERROR(VLOOKUP($A1622,HeadJournal!$A$1:$NTR$890,COLUMN(HeadJournal!D$1),0),"")</f>
        <v>Доставлен</v>
      </c>
      <c r="E1622" s="95">
        <f>IFERROR(VLOOKUP($A1622,HeadJournal!$A$1:$NTR$890,COLUMN(HeadJournal!G$1),0),"")</f>
        <v>45059</v>
      </c>
      <c r="F1622" s="95" t="str">
        <f t="shared" si="129"/>
        <v>2023 05</v>
      </c>
      <c r="G1622" s="96" t="s">
        <v>5</v>
      </c>
      <c r="H1622" s="161" t="s">
        <v>3585</v>
      </c>
      <c r="I1622" s="97" t="s">
        <v>2052</v>
      </c>
      <c r="J1622" s="97" t="s">
        <v>3586</v>
      </c>
      <c r="K1622" s="29">
        <v>35</v>
      </c>
      <c r="L1622" s="29">
        <v>-10.5</v>
      </c>
      <c r="M1622" s="30">
        <f>IFERROR(VLOOKUP($A1622,HeadJournal!$A$1:$J$890,COLUMN(HeadJournal!I$1),0)*($K1622+$L1622)/(SUMIF($A:$A,$A1622,$K:$K)+SUMIF($A:$A,$A1622,$L:$L)),0)</f>
        <v>2.0334430673896198</v>
      </c>
      <c r="N1622" s="30">
        <f>IFERROR((VLOOKUP($A1622,HeadJournal!$A$1:$K$890,COLUMN(HeadJournal!K$1),0)-VLOOKUP($A1622,HeadJournal!$A$1:$K$890,COLUMN(HeadJournal!J$1),0))*($K1622+$L1622)/(SUMIF($A:$A,$A1622,$K:$K)+SUMIF($A:$A,$A1622,$L:$L)),0)</f>
        <v>-5.3937403644066463E-15</v>
      </c>
      <c r="O1622" s="30">
        <f>IFERROR((VLOOKUP($A1622,HeadJournal!$A$1:$L$890,COLUMN(HeadJournal!L$1),0)*($K1622+$L1622)/(SUMIF($A:$A,$A1622,$K:$K)+SUMIF($A:$A,$A1622,$L:$L)))/VLOOKUP($A1622,HeadJournal!$A$1:$L$890,COLUMN(HeadJournal!H$1),0),0)</f>
        <v>1.4416303447944188</v>
      </c>
      <c r="P1622" s="30">
        <f>IFERROR(SUM(K1622:O1622)*VLOOKUP($A1622,HeadJournal!$A$1:$L$890,COLUMN(HeadJournal!H$1),0),0)</f>
        <v>2443.8617157242438</v>
      </c>
      <c r="Q1622" s="29">
        <v>3900</v>
      </c>
      <c r="R1622" s="31">
        <v>45102</v>
      </c>
      <c r="S1622" s="31" t="s">
        <v>3121</v>
      </c>
      <c r="T1622" s="95" t="str">
        <f t="shared" si="130"/>
        <v>2023 06</v>
      </c>
      <c r="U1622" s="32">
        <f t="shared" si="127"/>
        <v>1456.1382842757562</v>
      </c>
      <c r="V1622" s="22">
        <f t="shared" si="128"/>
        <v>0.59583497499334837</v>
      </c>
      <c r="X1622" s="33"/>
      <c r="Y1622" s="33"/>
    </row>
    <row r="1623" spans="1:25" x14ac:dyDescent="0.2">
      <c r="A1623" s="93" t="s">
        <v>716</v>
      </c>
      <c r="B1623" s="94" t="str">
        <f>IFERROR(VLOOKUP($A1623,HeadJournal!$A$1:$NTR$890,COLUMN(HeadJournal!B$1),0),"")</f>
        <v>710000790688</v>
      </c>
      <c r="C1623" s="94" t="str">
        <f>IFERROR(VLOOKUP($A1623,HeadJournal!$A$1:$NTR$890,COLUMN(HeadJournal!C$1),0),"")</f>
        <v>iHerb_AV CYG0792</v>
      </c>
      <c r="D1623" s="125" t="str">
        <f>IFERROR(VLOOKUP($A1623,HeadJournal!$A$1:$NTR$890,COLUMN(HeadJournal!D$1),0),"")</f>
        <v>Доставлен</v>
      </c>
      <c r="E1623" s="95">
        <f>IFERROR(VLOOKUP($A1623,HeadJournal!$A$1:$NTR$890,COLUMN(HeadJournal!G$1),0),"")</f>
        <v>45059</v>
      </c>
      <c r="F1623" s="95" t="str">
        <f t="shared" si="129"/>
        <v>2023 05</v>
      </c>
      <c r="G1623" s="96" t="s">
        <v>5</v>
      </c>
      <c r="H1623" s="161" t="s">
        <v>3585</v>
      </c>
      <c r="I1623" s="97" t="s">
        <v>2052</v>
      </c>
      <c r="J1623" s="97" t="s">
        <v>3586</v>
      </c>
      <c r="K1623" s="29">
        <v>35</v>
      </c>
      <c r="L1623" s="29">
        <v>-10.5</v>
      </c>
      <c r="M1623" s="30">
        <f>IFERROR(VLOOKUP($A1623,HeadJournal!$A$1:$J$890,COLUMN(HeadJournal!I$1),0)*($K1623+$L1623)/(SUMIF($A:$A,$A1623,$K:$K)+SUMIF($A:$A,$A1623,$L:$L)),0)</f>
        <v>2.0334430673896198</v>
      </c>
      <c r="N1623" s="30">
        <f>IFERROR((VLOOKUP($A1623,HeadJournal!$A$1:$K$890,COLUMN(HeadJournal!K$1),0)-VLOOKUP($A1623,HeadJournal!$A$1:$K$890,COLUMN(HeadJournal!J$1),0))*($K1623+$L1623)/(SUMIF($A:$A,$A1623,$K:$K)+SUMIF($A:$A,$A1623,$L:$L)),0)</f>
        <v>-5.3937403644066463E-15</v>
      </c>
      <c r="O1623" s="30">
        <f>IFERROR((VLOOKUP($A1623,HeadJournal!$A$1:$L$890,COLUMN(HeadJournal!L$1),0)*($K1623+$L1623)/(SUMIF($A:$A,$A1623,$K:$K)+SUMIF($A:$A,$A1623,$L:$L)))/VLOOKUP($A1623,HeadJournal!$A$1:$L$890,COLUMN(HeadJournal!H$1),0),0)</f>
        <v>1.4416303447944188</v>
      </c>
      <c r="P1623" s="30">
        <f>IFERROR(SUM(K1623:O1623)*VLOOKUP($A1623,HeadJournal!$A$1:$L$890,COLUMN(HeadJournal!H$1),0),0)</f>
        <v>2443.8617157242438</v>
      </c>
      <c r="Q1623" s="29">
        <v>3900</v>
      </c>
      <c r="R1623" s="31">
        <v>45119</v>
      </c>
      <c r="S1623" s="31" t="s">
        <v>3121</v>
      </c>
      <c r="T1623" s="95" t="str">
        <f t="shared" si="130"/>
        <v>2023 07</v>
      </c>
      <c r="U1623" s="32">
        <f t="shared" si="127"/>
        <v>1456.1382842757562</v>
      </c>
      <c r="V1623" s="22">
        <f t="shared" si="128"/>
        <v>0.59583497499334837</v>
      </c>
      <c r="X1623" s="33"/>
      <c r="Y1623" s="33"/>
    </row>
    <row r="1624" spans="1:25" x14ac:dyDescent="0.2">
      <c r="A1624" s="93" t="s">
        <v>716</v>
      </c>
      <c r="B1624" s="94" t="str">
        <f>IFERROR(VLOOKUP($A1624,HeadJournal!$A$1:$NTR$890,COLUMN(HeadJournal!B$1),0),"")</f>
        <v>710000790688</v>
      </c>
      <c r="C1624" s="94" t="str">
        <f>IFERROR(VLOOKUP($A1624,HeadJournal!$A$1:$NTR$890,COLUMN(HeadJournal!C$1),0),"")</f>
        <v>iHerb_AV CYG0792</v>
      </c>
      <c r="D1624" s="125" t="str">
        <f>IFERROR(VLOOKUP($A1624,HeadJournal!$A$1:$NTR$890,COLUMN(HeadJournal!D$1),0),"")</f>
        <v>Доставлен</v>
      </c>
      <c r="E1624" s="95">
        <f>IFERROR(VLOOKUP($A1624,HeadJournal!$A$1:$NTR$890,COLUMN(HeadJournal!G$1),0),"")</f>
        <v>45059</v>
      </c>
      <c r="F1624" s="95" t="str">
        <f t="shared" si="129"/>
        <v>2023 05</v>
      </c>
      <c r="G1624" s="96" t="s">
        <v>7</v>
      </c>
      <c r="H1624" s="160" t="str">
        <f>RIGHT(Journal!$J1624,9)</f>
        <v>EUC-03222</v>
      </c>
      <c r="I1624" s="96" t="str">
        <f t="shared" si="131"/>
        <v>Eucerin</v>
      </c>
      <c r="J1624" s="97" t="s">
        <v>723</v>
      </c>
      <c r="K1624" s="29">
        <v>16.79</v>
      </c>
      <c r="L1624" s="29">
        <v>-3.36</v>
      </c>
      <c r="M1624" s="30">
        <f>IFERROR(VLOOKUP($A1624,HeadJournal!$A$1:$J$890,COLUMN(HeadJournal!I$1),0)*($K1624+$L1624)/(SUMIF($A:$A,$A1624,$K:$K)+SUMIF($A:$A,$A1624,$L:$L)),0)</f>
        <v>1.1146587916343917</v>
      </c>
      <c r="N1624" s="30">
        <f>IFERROR((VLOOKUP($A1624,HeadJournal!$A$1:$K$890,COLUMN(HeadJournal!K$1),0)-VLOOKUP($A1624,HeadJournal!$A$1:$K$890,COLUMN(HeadJournal!J$1),0))*($K1624+$L1624)/(SUMIF($A:$A,$A1624,$K:$K)+SUMIF($A:$A,$A1624,$L:$L)),0)</f>
        <v>-2.9566503303665821E-15</v>
      </c>
      <c r="O1624" s="30">
        <f>IFERROR((VLOOKUP($A1624,HeadJournal!$A$1:$L$890,COLUMN(HeadJournal!L$1),0)*($K1624+$L1624)/(SUMIF($A:$A,$A1624,$K:$K)+SUMIF($A:$A,$A1624,$L:$L)))/VLOOKUP($A1624,HeadJournal!$A$1:$L$890,COLUMN(HeadJournal!H$1),0),0)</f>
        <v>0.79024879716689989</v>
      </c>
      <c r="P1624" s="30">
        <f>IFERROR(SUM(K1624:O1624)*VLOOKUP($A1624,HeadJournal!$A$1:$L$890,COLUMN(HeadJournal!H$1),0),0)</f>
        <v>1339.6352180480242</v>
      </c>
      <c r="Q1624" s="29"/>
      <c r="R1624" s="31"/>
      <c r="S1624" s="31"/>
      <c r="T1624" s="95" t="str">
        <f t="shared" si="130"/>
        <v/>
      </c>
      <c r="U1624" s="32">
        <f t="shared" si="127"/>
        <v>-1339.6352180480242</v>
      </c>
      <c r="V1624" s="22" t="str">
        <f t="shared" si="128"/>
        <v/>
      </c>
      <c r="X1624" s="33"/>
      <c r="Y1624" s="33"/>
    </row>
    <row r="1625" spans="1:25" x14ac:dyDescent="0.2">
      <c r="A1625" s="93" t="s">
        <v>716</v>
      </c>
      <c r="B1625" s="94" t="str">
        <f>IFERROR(VLOOKUP($A1625,HeadJournal!$A$1:$NTR$890,COLUMN(HeadJournal!B$1),0),"")</f>
        <v>710000790688</v>
      </c>
      <c r="C1625" s="94" t="str">
        <f>IFERROR(VLOOKUP($A1625,HeadJournal!$A$1:$NTR$890,COLUMN(HeadJournal!C$1),0),"")</f>
        <v>iHerb_AV CYG0792</v>
      </c>
      <c r="D1625" s="125" t="str">
        <f>IFERROR(VLOOKUP($A1625,HeadJournal!$A$1:$NTR$890,COLUMN(HeadJournal!D$1),0),"")</f>
        <v>Доставлен</v>
      </c>
      <c r="E1625" s="95">
        <f>IFERROR(VLOOKUP($A1625,HeadJournal!$A$1:$NTR$890,COLUMN(HeadJournal!G$1),0),"")</f>
        <v>45059</v>
      </c>
      <c r="F1625" s="95" t="str">
        <f t="shared" si="129"/>
        <v>2023 05</v>
      </c>
      <c r="G1625" s="96" t="s">
        <v>5</v>
      </c>
      <c r="H1625" s="160" t="str">
        <f>RIGHT(Journal!$J1625,9)</f>
        <v>EVL-02221</v>
      </c>
      <c r="I1625" s="96" t="str">
        <f t="shared" si="131"/>
        <v>EVLution Nutrition</v>
      </c>
      <c r="J1625" s="97" t="s">
        <v>724</v>
      </c>
      <c r="K1625" s="29">
        <v>22.99</v>
      </c>
      <c r="L1625" s="29">
        <v>-11.5</v>
      </c>
      <c r="M1625" s="30">
        <f>IFERROR(VLOOKUP($A1625,HeadJournal!$A$1:$J$890,COLUMN(HeadJournal!I$1),0)*($K1625+$L1625)/(SUMIF($A:$A,$A1625,$K:$K)+SUMIF($A:$A,$A1625,$L:$L)),0)</f>
        <v>0.95364329976762163</v>
      </c>
      <c r="N1625" s="30">
        <f>IFERROR((VLOOKUP($A1625,HeadJournal!$A$1:$K$890,COLUMN(HeadJournal!K$1),0)-VLOOKUP($A1625,HeadJournal!$A$1:$K$890,COLUMN(HeadJournal!J$1),0))*($K1625+$L1625)/(SUMIF($A:$A,$A1625,$K:$K)+SUMIF($A:$A,$A1625,$L:$L)),0)</f>
        <v>-2.5295541545727493E-15</v>
      </c>
      <c r="O1625" s="30">
        <f>IFERROR((VLOOKUP($A1625,HeadJournal!$A$1:$L$890,COLUMN(HeadJournal!L$1),0)*($K1625+$L1625)/(SUMIF($A:$A,$A1625,$K:$K)+SUMIF($A:$A,$A1625,$L:$L)))/VLOOKUP($A1625,HeadJournal!$A$1:$L$890,COLUMN(HeadJournal!H$1),0),0)</f>
        <v>0.67609521068113754</v>
      </c>
      <c r="P1625" s="30">
        <f>IFERROR(SUM(K1625:O1625)*VLOOKUP($A1625,HeadJournal!$A$1:$L$890,COLUMN(HeadJournal!H$1),0),0)</f>
        <v>1146.1212699457778</v>
      </c>
      <c r="Q1625" s="29">
        <v>2700</v>
      </c>
      <c r="R1625" s="31">
        <v>45504</v>
      </c>
      <c r="S1625" s="31" t="s">
        <v>3121</v>
      </c>
      <c r="T1625" s="95" t="str">
        <f t="shared" si="130"/>
        <v>2024 07</v>
      </c>
      <c r="U1625" s="32">
        <f t="shared" si="127"/>
        <v>1553.8787300542222</v>
      </c>
      <c r="V1625" s="22">
        <f t="shared" si="128"/>
        <v>1.3557716541878113</v>
      </c>
      <c r="X1625" s="33"/>
      <c r="Y1625" s="33"/>
    </row>
    <row r="1626" spans="1:25" x14ac:dyDescent="0.2">
      <c r="A1626" s="93" t="s">
        <v>725</v>
      </c>
      <c r="B1626" s="94" t="str">
        <f>IFERROR(VLOOKUP($A1626,HeadJournal!$A$1:$NTR$890,COLUMN(HeadJournal!B$1),0),"")</f>
        <v>710000782272</v>
      </c>
      <c r="C1626" s="94" t="str">
        <f>IFERROR(VLOOKUP($A1626,HeadJournal!$A$1:$NTR$890,COLUMN(HeadJournal!C$1),0),"")</f>
        <v>iHerb_MH DLE7202</v>
      </c>
      <c r="D1626" s="125" t="str">
        <f>IFERROR(VLOOKUP($A1626,HeadJournal!$A$1:$NTR$890,COLUMN(HeadJournal!D$1),0),"")</f>
        <v>Доставлен</v>
      </c>
      <c r="E1626" s="95">
        <f>IFERROR(VLOOKUP($A1626,HeadJournal!$A$1:$NTR$890,COLUMN(HeadJournal!G$1),0),"")</f>
        <v>45054</v>
      </c>
      <c r="F1626" s="95" t="str">
        <f t="shared" si="129"/>
        <v>2023 05</v>
      </c>
      <c r="G1626" s="96" t="s">
        <v>5</v>
      </c>
      <c r="H1626" s="161" t="s">
        <v>2124</v>
      </c>
      <c r="I1626" s="97" t="s">
        <v>2125</v>
      </c>
      <c r="J1626" s="97" t="s">
        <v>2126</v>
      </c>
      <c r="K1626" s="29">
        <v>11.37</v>
      </c>
      <c r="L1626" s="29">
        <v>-1.1399999999999999</v>
      </c>
      <c r="M1626" s="30">
        <f>IFERROR(VLOOKUP($A1626,HeadJournal!$A$1:$J$890,COLUMN(HeadJournal!I$1),0)*($K1626+$L1626)/(SUMIF($A:$A,$A1626,$K:$K)+SUMIF($A:$A,$A1626,$L:$L)),0)</f>
        <v>0.77023090095564262</v>
      </c>
      <c r="N1626" s="30">
        <f>IFERROR((VLOOKUP($A1626,HeadJournal!$A$1:$K$890,COLUMN(HeadJournal!K$1),0)-VLOOKUP($A1626,HeadJournal!$A$1:$K$890,COLUMN(HeadJournal!J$1),0))*($K1626+$L1626)/(SUMIF($A:$A,$A1626,$K:$K)+SUMIF($A:$A,$A1626,$L:$L)),0)</f>
        <v>1.6061099678121471E-15</v>
      </c>
      <c r="O1626" s="30">
        <f>IFERROR((VLOOKUP($A1626,HeadJournal!$A$1:$L$890,COLUMN(HeadJournal!L$1),0)*($K1626+$L1626)/(SUMIF($A:$A,$A1626,$K:$K)+SUMIF($A:$A,$A1626,$L:$L)))/VLOOKUP($A1626,HeadJournal!$A$1:$L$890,COLUMN(HeadJournal!H$1),0),0)</f>
        <v>0.85061139748618886</v>
      </c>
      <c r="P1626" s="30">
        <f>IFERROR(SUM(K1626:O1626)*VLOOKUP($A1626,HeadJournal!$A$1:$L$890,COLUMN(HeadJournal!H$1),0),0)</f>
        <v>1044.9429144971239</v>
      </c>
      <c r="Q1626" s="29">
        <v>1800</v>
      </c>
      <c r="R1626" s="31">
        <v>45102</v>
      </c>
      <c r="S1626" s="31" t="s">
        <v>3121</v>
      </c>
      <c r="T1626" s="95" t="str">
        <f t="shared" si="130"/>
        <v>2023 06</v>
      </c>
      <c r="U1626" s="32">
        <f t="shared" si="127"/>
        <v>755.05708550287613</v>
      </c>
      <c r="V1626" s="22">
        <f t="shared" si="128"/>
        <v>0.72258213824651407</v>
      </c>
      <c r="X1626" s="33"/>
      <c r="Y1626" s="33"/>
    </row>
    <row r="1627" spans="1:25" x14ac:dyDescent="0.2">
      <c r="A1627" s="93" t="s">
        <v>725</v>
      </c>
      <c r="B1627" s="94" t="str">
        <f>IFERROR(VLOOKUP($A1627,HeadJournal!$A$1:$NTR$890,COLUMN(HeadJournal!B$1),0),"")</f>
        <v>710000782272</v>
      </c>
      <c r="C1627" s="94" t="str">
        <f>IFERROR(VLOOKUP($A1627,HeadJournal!$A$1:$NTR$890,COLUMN(HeadJournal!C$1),0),"")</f>
        <v>iHerb_MH DLE7202</v>
      </c>
      <c r="D1627" s="125" t="str">
        <f>IFERROR(VLOOKUP($A1627,HeadJournal!$A$1:$NTR$890,COLUMN(HeadJournal!D$1),0),"")</f>
        <v>Доставлен</v>
      </c>
      <c r="E1627" s="95">
        <f>IFERROR(VLOOKUP($A1627,HeadJournal!$A$1:$NTR$890,COLUMN(HeadJournal!G$1),0),"")</f>
        <v>45054</v>
      </c>
      <c r="F1627" s="95" t="str">
        <f t="shared" si="129"/>
        <v>2023 05</v>
      </c>
      <c r="G1627" s="96" t="s">
        <v>5</v>
      </c>
      <c r="H1627" s="160" t="str">
        <f>RIGHT(Journal!$J1627,9)</f>
        <v>NOW-01298</v>
      </c>
      <c r="I1627" s="96" t="str">
        <f t="shared" si="131"/>
        <v>NOW Foods</v>
      </c>
      <c r="J1627" s="97" t="s">
        <v>453</v>
      </c>
      <c r="K1627" s="29">
        <v>20.73</v>
      </c>
      <c r="L1627" s="29">
        <v>-4.1459999999999999</v>
      </c>
      <c r="M1627" s="30">
        <f>IFERROR(VLOOKUP($A1627,HeadJournal!$A$1:$J$890,COLUMN(HeadJournal!I$1),0)*($K1627+$L1627)/(SUMIF($A:$A,$A1627,$K:$K)+SUMIF($A:$A,$A1627,$L:$L)),0)</f>
        <v>1.2486323813732532</v>
      </c>
      <c r="N1627" s="30">
        <f>IFERROR((VLOOKUP($A1627,HeadJournal!$A$1:$K$890,COLUMN(HeadJournal!K$1),0)-VLOOKUP($A1627,HeadJournal!$A$1:$K$890,COLUMN(HeadJournal!J$1),0))*($K1627+$L1627)/(SUMIF($A:$A,$A1627,$K:$K)+SUMIF($A:$A,$A1627,$L:$L)),0)</f>
        <v>2.6036879478198096E-15</v>
      </c>
      <c r="O1627" s="30">
        <f>IFERROR((VLOOKUP($A1627,HeadJournal!$A$1:$L$890,COLUMN(HeadJournal!L$1),0)*($K1627+$L1627)/(SUMIF($A:$A,$A1627,$K:$K)+SUMIF($A:$A,$A1627,$L:$L)))/VLOOKUP($A1627,HeadJournal!$A$1:$L$890,COLUMN(HeadJournal!H$1),0),0)</f>
        <v>1.3789383593265843</v>
      </c>
      <c r="P1627" s="30">
        <f>IFERROR(SUM(K1627:O1627)*VLOOKUP($A1627,HeadJournal!$A$1:$L$890,COLUMN(HeadJournal!H$1),0),0)</f>
        <v>1693.9719740000301</v>
      </c>
      <c r="Q1627" s="29">
        <v>2800</v>
      </c>
      <c r="R1627" s="31">
        <v>45089</v>
      </c>
      <c r="S1627" s="31" t="s">
        <v>3121</v>
      </c>
      <c r="T1627" s="95" t="str">
        <f t="shared" si="130"/>
        <v>2023 06</v>
      </c>
      <c r="U1627" s="32">
        <f t="shared" si="127"/>
        <v>1106.0280259999699</v>
      </c>
      <c r="V1627" s="22">
        <f t="shared" si="128"/>
        <v>0.65291990834315317</v>
      </c>
      <c r="X1627" s="33"/>
      <c r="Y1627" s="33"/>
    </row>
    <row r="1628" spans="1:25" x14ac:dyDescent="0.2">
      <c r="A1628" s="93" t="s">
        <v>725</v>
      </c>
      <c r="B1628" s="94" t="str">
        <f>IFERROR(VLOOKUP($A1628,HeadJournal!$A$1:$NTR$890,COLUMN(HeadJournal!B$1),0),"")</f>
        <v>710000782272</v>
      </c>
      <c r="C1628" s="94" t="str">
        <f>IFERROR(VLOOKUP($A1628,HeadJournal!$A$1:$NTR$890,COLUMN(HeadJournal!C$1),0),"")</f>
        <v>iHerb_MH DLE7202</v>
      </c>
      <c r="D1628" s="125" t="str">
        <f>IFERROR(VLOOKUP($A1628,HeadJournal!$A$1:$NTR$890,COLUMN(HeadJournal!D$1),0),"")</f>
        <v>Доставлен</v>
      </c>
      <c r="E1628" s="95">
        <f>IFERROR(VLOOKUP($A1628,HeadJournal!$A$1:$NTR$890,COLUMN(HeadJournal!G$1),0),"")</f>
        <v>45054</v>
      </c>
      <c r="F1628" s="95" t="str">
        <f t="shared" si="129"/>
        <v>2023 05</v>
      </c>
      <c r="G1628" s="96" t="s">
        <v>5</v>
      </c>
      <c r="H1628" s="160" t="str">
        <f>RIGHT(Journal!$J1628,9)</f>
        <v>NOW-01298</v>
      </c>
      <c r="I1628" s="96" t="str">
        <f t="shared" si="131"/>
        <v>NOW Foods</v>
      </c>
      <c r="J1628" s="97" t="s">
        <v>453</v>
      </c>
      <c r="K1628" s="29">
        <v>20.73</v>
      </c>
      <c r="L1628" s="29">
        <v>-4.1459999999999999</v>
      </c>
      <c r="M1628" s="30">
        <f>IFERROR(VLOOKUP($A1628,HeadJournal!$A$1:$J$890,COLUMN(HeadJournal!I$1),0)*($K1628+$L1628)/(SUMIF($A:$A,$A1628,$K:$K)+SUMIF($A:$A,$A1628,$L:$L)),0)</f>
        <v>1.2486323813732532</v>
      </c>
      <c r="N1628" s="30">
        <f>IFERROR((VLOOKUP($A1628,HeadJournal!$A$1:$K$890,COLUMN(HeadJournal!K$1),0)-VLOOKUP($A1628,HeadJournal!$A$1:$K$890,COLUMN(HeadJournal!J$1),0))*($K1628+$L1628)/(SUMIF($A:$A,$A1628,$K:$K)+SUMIF($A:$A,$A1628,$L:$L)),0)</f>
        <v>2.6036879478198096E-15</v>
      </c>
      <c r="O1628" s="30">
        <f>IFERROR((VLOOKUP($A1628,HeadJournal!$A$1:$L$890,COLUMN(HeadJournal!L$1),0)*($K1628+$L1628)/(SUMIF($A:$A,$A1628,$K:$K)+SUMIF($A:$A,$A1628,$L:$L)))/VLOOKUP($A1628,HeadJournal!$A$1:$L$890,COLUMN(HeadJournal!H$1),0),0)</f>
        <v>1.3789383593265843</v>
      </c>
      <c r="P1628" s="30">
        <f>IFERROR(SUM(K1628:O1628)*VLOOKUP($A1628,HeadJournal!$A$1:$L$890,COLUMN(HeadJournal!H$1),0),0)</f>
        <v>1693.9719740000301</v>
      </c>
      <c r="Q1628" s="29">
        <v>2800</v>
      </c>
      <c r="R1628" s="31">
        <v>45089</v>
      </c>
      <c r="S1628" s="31" t="s">
        <v>3121</v>
      </c>
      <c r="T1628" s="95" t="str">
        <f t="shared" si="130"/>
        <v>2023 06</v>
      </c>
      <c r="U1628" s="32">
        <f t="shared" si="127"/>
        <v>1106.0280259999699</v>
      </c>
      <c r="V1628" s="22">
        <f t="shared" si="128"/>
        <v>0.65291990834315317</v>
      </c>
      <c r="X1628" s="33"/>
      <c r="Y1628" s="33"/>
    </row>
    <row r="1629" spans="1:25" x14ac:dyDescent="0.2">
      <c r="A1629" s="93" t="s">
        <v>725</v>
      </c>
      <c r="B1629" s="94" t="str">
        <f>IFERROR(VLOOKUP($A1629,HeadJournal!$A$1:$NTR$890,COLUMN(HeadJournal!B$1),0),"")</f>
        <v>710000782272</v>
      </c>
      <c r="C1629" s="94" t="str">
        <f>IFERROR(VLOOKUP($A1629,HeadJournal!$A$1:$NTR$890,COLUMN(HeadJournal!C$1),0),"")</f>
        <v>iHerb_MH DLE7202</v>
      </c>
      <c r="D1629" s="125" t="str">
        <f>IFERROR(VLOOKUP($A1629,HeadJournal!$A$1:$NTR$890,COLUMN(HeadJournal!D$1),0),"")</f>
        <v>Доставлен</v>
      </c>
      <c r="E1629" s="95">
        <f>IFERROR(VLOOKUP($A1629,HeadJournal!$A$1:$NTR$890,COLUMN(HeadJournal!G$1),0),"")</f>
        <v>45054</v>
      </c>
      <c r="F1629" s="95" t="str">
        <f t="shared" si="129"/>
        <v>2023 05</v>
      </c>
      <c r="G1629" s="96" t="s">
        <v>5</v>
      </c>
      <c r="H1629" s="160" t="str">
        <f>RIGHT(Journal!$J1629,9)</f>
        <v>NOW-01298</v>
      </c>
      <c r="I1629" s="96" t="str">
        <f t="shared" si="131"/>
        <v>NOW Foods</v>
      </c>
      <c r="J1629" s="97" t="s">
        <v>453</v>
      </c>
      <c r="K1629" s="29">
        <v>20.73</v>
      </c>
      <c r="L1629" s="29">
        <v>-4.1459999999999999</v>
      </c>
      <c r="M1629" s="30">
        <f>IFERROR(VLOOKUP($A1629,HeadJournal!$A$1:$J$890,COLUMN(HeadJournal!I$1),0)*($K1629+$L1629)/(SUMIF($A:$A,$A1629,$K:$K)+SUMIF($A:$A,$A1629,$L:$L)),0)</f>
        <v>1.2486323813732532</v>
      </c>
      <c r="N1629" s="30">
        <f>IFERROR((VLOOKUP($A1629,HeadJournal!$A$1:$K$890,COLUMN(HeadJournal!K$1),0)-VLOOKUP($A1629,HeadJournal!$A$1:$K$890,COLUMN(HeadJournal!J$1),0))*($K1629+$L1629)/(SUMIF($A:$A,$A1629,$K:$K)+SUMIF($A:$A,$A1629,$L:$L)),0)</f>
        <v>2.6036879478198096E-15</v>
      </c>
      <c r="O1629" s="30">
        <f>IFERROR((VLOOKUP($A1629,HeadJournal!$A$1:$L$890,COLUMN(HeadJournal!L$1),0)*($K1629+$L1629)/(SUMIF($A:$A,$A1629,$K:$K)+SUMIF($A:$A,$A1629,$L:$L)))/VLOOKUP($A1629,HeadJournal!$A$1:$L$890,COLUMN(HeadJournal!H$1),0),0)</f>
        <v>1.3789383593265843</v>
      </c>
      <c r="P1629" s="30">
        <f>IFERROR(SUM(K1629:O1629)*VLOOKUP($A1629,HeadJournal!$A$1:$L$890,COLUMN(HeadJournal!H$1),0),0)</f>
        <v>1693.9719740000301</v>
      </c>
      <c r="Q1629" s="29">
        <v>2800</v>
      </c>
      <c r="R1629" s="31">
        <v>45089</v>
      </c>
      <c r="S1629" s="31" t="s">
        <v>3121</v>
      </c>
      <c r="T1629" s="95" t="str">
        <f t="shared" si="130"/>
        <v>2023 06</v>
      </c>
      <c r="U1629" s="32">
        <f t="shared" si="127"/>
        <v>1106.0280259999699</v>
      </c>
      <c r="V1629" s="22">
        <f t="shared" si="128"/>
        <v>0.65291990834315317</v>
      </c>
      <c r="X1629" s="33"/>
      <c r="Y1629" s="33"/>
    </row>
    <row r="1630" spans="1:25" x14ac:dyDescent="0.2">
      <c r="A1630" s="93" t="s">
        <v>725</v>
      </c>
      <c r="B1630" s="94" t="str">
        <f>IFERROR(VLOOKUP($A1630,HeadJournal!$A$1:$NTR$890,COLUMN(HeadJournal!B$1),0),"")</f>
        <v>710000782272</v>
      </c>
      <c r="C1630" s="94" t="str">
        <f>IFERROR(VLOOKUP($A1630,HeadJournal!$A$1:$NTR$890,COLUMN(HeadJournal!C$1),0),"")</f>
        <v>iHerb_MH DLE7202</v>
      </c>
      <c r="D1630" s="125" t="str">
        <f>IFERROR(VLOOKUP($A1630,HeadJournal!$A$1:$NTR$890,COLUMN(HeadJournal!D$1),0),"")</f>
        <v>Доставлен</v>
      </c>
      <c r="E1630" s="95">
        <f>IFERROR(VLOOKUP($A1630,HeadJournal!$A$1:$NTR$890,COLUMN(HeadJournal!G$1),0),"")</f>
        <v>45054</v>
      </c>
      <c r="F1630" s="95" t="str">
        <f t="shared" si="129"/>
        <v>2023 05</v>
      </c>
      <c r="G1630" s="96" t="s">
        <v>5</v>
      </c>
      <c r="H1630" s="160" t="str">
        <f>RIGHT(Journal!$J1630,9)</f>
        <v>NOW-01298</v>
      </c>
      <c r="I1630" s="96" t="str">
        <f t="shared" si="131"/>
        <v>NOW Foods</v>
      </c>
      <c r="J1630" s="97" t="s">
        <v>453</v>
      </c>
      <c r="K1630" s="29">
        <v>20.73</v>
      </c>
      <c r="L1630" s="29">
        <v>-4.1459999999999999</v>
      </c>
      <c r="M1630" s="30">
        <f>IFERROR(VLOOKUP($A1630,HeadJournal!$A$1:$J$890,COLUMN(HeadJournal!I$1),0)*($K1630+$L1630)/(SUMIF($A:$A,$A1630,$K:$K)+SUMIF($A:$A,$A1630,$L:$L)),0)</f>
        <v>1.2486323813732532</v>
      </c>
      <c r="N1630" s="30">
        <f>IFERROR((VLOOKUP($A1630,HeadJournal!$A$1:$K$890,COLUMN(HeadJournal!K$1),0)-VLOOKUP($A1630,HeadJournal!$A$1:$K$890,COLUMN(HeadJournal!J$1),0))*($K1630+$L1630)/(SUMIF($A:$A,$A1630,$K:$K)+SUMIF($A:$A,$A1630,$L:$L)),0)</f>
        <v>2.6036879478198096E-15</v>
      </c>
      <c r="O1630" s="30">
        <f>IFERROR((VLOOKUP($A1630,HeadJournal!$A$1:$L$890,COLUMN(HeadJournal!L$1),0)*($K1630+$L1630)/(SUMIF($A:$A,$A1630,$K:$K)+SUMIF($A:$A,$A1630,$L:$L)))/VLOOKUP($A1630,HeadJournal!$A$1:$L$890,COLUMN(HeadJournal!H$1),0),0)</f>
        <v>1.3789383593265843</v>
      </c>
      <c r="P1630" s="30">
        <f>IFERROR(SUM(K1630:O1630)*VLOOKUP($A1630,HeadJournal!$A$1:$L$890,COLUMN(HeadJournal!H$1),0),0)</f>
        <v>1693.9719740000301</v>
      </c>
      <c r="Q1630" s="29">
        <v>2600</v>
      </c>
      <c r="R1630" s="31">
        <v>45098</v>
      </c>
      <c r="S1630" s="31" t="s">
        <v>3121</v>
      </c>
      <c r="T1630" s="95" t="str">
        <f t="shared" si="130"/>
        <v>2023 06</v>
      </c>
      <c r="U1630" s="32">
        <f t="shared" si="127"/>
        <v>906.02802599996994</v>
      </c>
      <c r="V1630" s="22">
        <f t="shared" si="128"/>
        <v>0.53485420060435651</v>
      </c>
      <c r="X1630" s="33"/>
      <c r="Y1630" s="33"/>
    </row>
    <row r="1631" spans="1:25" x14ac:dyDescent="0.2">
      <c r="A1631" s="93" t="s">
        <v>725</v>
      </c>
      <c r="B1631" s="94" t="str">
        <f>IFERROR(VLOOKUP($A1631,HeadJournal!$A$1:$NTR$890,COLUMN(HeadJournal!B$1),0),"")</f>
        <v>710000782272</v>
      </c>
      <c r="C1631" s="94" t="str">
        <f>IFERROR(VLOOKUP($A1631,HeadJournal!$A$1:$NTR$890,COLUMN(HeadJournal!C$1),0),"")</f>
        <v>iHerb_MH DLE7202</v>
      </c>
      <c r="D1631" s="125" t="str">
        <f>IFERROR(VLOOKUP($A1631,HeadJournal!$A$1:$NTR$890,COLUMN(HeadJournal!D$1),0),"")</f>
        <v>Доставлен</v>
      </c>
      <c r="E1631" s="95">
        <f>IFERROR(VLOOKUP($A1631,HeadJournal!$A$1:$NTR$890,COLUMN(HeadJournal!G$1),0),"")</f>
        <v>45054</v>
      </c>
      <c r="F1631" s="95" t="str">
        <f t="shared" si="129"/>
        <v>2023 05</v>
      </c>
      <c r="G1631" s="96" t="s">
        <v>5</v>
      </c>
      <c r="H1631" s="160" t="str">
        <f>RIGHT(Journal!$J1631,9)</f>
        <v>NOW-01298</v>
      </c>
      <c r="I1631" s="96" t="str">
        <f t="shared" si="131"/>
        <v>NOW Foods</v>
      </c>
      <c r="J1631" s="97" t="s">
        <v>453</v>
      </c>
      <c r="K1631" s="29">
        <v>20.73</v>
      </c>
      <c r="L1631" s="29">
        <v>-4.1459999999999999</v>
      </c>
      <c r="M1631" s="30">
        <f>IFERROR(VLOOKUP($A1631,HeadJournal!$A$1:$J$890,COLUMN(HeadJournal!I$1),0)*($K1631+$L1631)/(SUMIF($A:$A,$A1631,$K:$K)+SUMIF($A:$A,$A1631,$L:$L)),0)</f>
        <v>1.2486323813732532</v>
      </c>
      <c r="N1631" s="30">
        <f>IFERROR((VLOOKUP($A1631,HeadJournal!$A$1:$K$890,COLUMN(HeadJournal!K$1),0)-VLOOKUP($A1631,HeadJournal!$A$1:$K$890,COLUMN(HeadJournal!J$1),0))*($K1631+$L1631)/(SUMIF($A:$A,$A1631,$K:$K)+SUMIF($A:$A,$A1631,$L:$L)),0)</f>
        <v>2.6036879478198096E-15</v>
      </c>
      <c r="O1631" s="30">
        <f>IFERROR((VLOOKUP($A1631,HeadJournal!$A$1:$L$890,COLUMN(HeadJournal!L$1),0)*($K1631+$L1631)/(SUMIF($A:$A,$A1631,$K:$K)+SUMIF($A:$A,$A1631,$L:$L)))/VLOOKUP($A1631,HeadJournal!$A$1:$L$890,COLUMN(HeadJournal!H$1),0),0)</f>
        <v>1.3789383593265843</v>
      </c>
      <c r="P1631" s="30">
        <f>IFERROR(SUM(K1631:O1631)*VLOOKUP($A1631,HeadJournal!$A$1:$L$890,COLUMN(HeadJournal!H$1),0),0)</f>
        <v>1693.9719740000301</v>
      </c>
      <c r="Q1631" s="29">
        <v>2600</v>
      </c>
      <c r="R1631" s="31">
        <v>45102</v>
      </c>
      <c r="S1631" s="31" t="s">
        <v>3121</v>
      </c>
      <c r="T1631" s="95" t="str">
        <f t="shared" si="130"/>
        <v>2023 06</v>
      </c>
      <c r="U1631" s="32">
        <f t="shared" si="127"/>
        <v>906.02802599996994</v>
      </c>
      <c r="V1631" s="22">
        <f t="shared" si="128"/>
        <v>0.53485420060435651</v>
      </c>
      <c r="X1631" s="33"/>
      <c r="Y1631" s="33"/>
    </row>
    <row r="1632" spans="1:25" x14ac:dyDescent="0.2">
      <c r="A1632" s="93" t="s">
        <v>725</v>
      </c>
      <c r="B1632" s="94" t="str">
        <f>IFERROR(VLOOKUP($A1632,HeadJournal!$A$1:$NTR$890,COLUMN(HeadJournal!B$1),0),"")</f>
        <v>710000782272</v>
      </c>
      <c r="C1632" s="94" t="str">
        <f>IFERROR(VLOOKUP($A1632,HeadJournal!$A$1:$NTR$890,COLUMN(HeadJournal!C$1),0),"")</f>
        <v>iHerb_MH DLE7202</v>
      </c>
      <c r="D1632" s="125" t="str">
        <f>IFERROR(VLOOKUP($A1632,HeadJournal!$A$1:$NTR$890,COLUMN(HeadJournal!D$1),0),"")</f>
        <v>Доставлен</v>
      </c>
      <c r="E1632" s="95">
        <f>IFERROR(VLOOKUP($A1632,HeadJournal!$A$1:$NTR$890,COLUMN(HeadJournal!G$1),0),"")</f>
        <v>45054</v>
      </c>
      <c r="F1632" s="95" t="str">
        <f t="shared" si="129"/>
        <v>2023 05</v>
      </c>
      <c r="G1632" s="96" t="s">
        <v>5</v>
      </c>
      <c r="H1632" s="160" t="str">
        <f>RIGHT(Journal!$J1632,9)</f>
        <v>THR-27202</v>
      </c>
      <c r="I1632" s="96" t="str">
        <f t="shared" si="131"/>
        <v>Thorne</v>
      </c>
      <c r="J1632" s="97" t="s">
        <v>726</v>
      </c>
      <c r="K1632" s="29">
        <v>18</v>
      </c>
      <c r="L1632" s="29">
        <v>-3.6</v>
      </c>
      <c r="M1632" s="30">
        <f>IFERROR(VLOOKUP($A1632,HeadJournal!$A$1:$J$890,COLUMN(HeadJournal!I$1),0)*($K1632+$L1632)/(SUMIF($A:$A,$A1632,$K:$K)+SUMIF($A:$A,$A1632,$L:$L)),0)</f>
        <v>1.0841959896149811</v>
      </c>
      <c r="N1632" s="30">
        <f>IFERROR((VLOOKUP($A1632,HeadJournal!$A$1:$K$890,COLUMN(HeadJournal!K$1),0)-VLOOKUP($A1632,HeadJournal!$A$1:$K$890,COLUMN(HeadJournal!J$1),0))*($K1632+$L1632)/(SUMIF($A:$A,$A1632,$K:$K)+SUMIF($A:$A,$A1632,$L:$L)),0)</f>
        <v>2.2607999546915857E-15</v>
      </c>
      <c r="O1632" s="30">
        <f>IFERROR((VLOOKUP($A1632,HeadJournal!$A$1:$L$890,COLUMN(HeadJournal!L$1),0)*($K1632+$L1632)/(SUMIF($A:$A,$A1632,$K:$K)+SUMIF($A:$A,$A1632,$L:$L)))/VLOOKUP($A1632,HeadJournal!$A$1:$L$890,COLUMN(HeadJournal!H$1),0),0)</f>
        <v>1.1973415565787999</v>
      </c>
      <c r="P1632" s="30">
        <f>IFERROR(SUM(K1632:O1632)*VLOOKUP($A1632,HeadJournal!$A$1:$L$890,COLUMN(HeadJournal!H$1),0),0)</f>
        <v>1470.8873869754241</v>
      </c>
      <c r="Q1632" s="29">
        <v>2400</v>
      </c>
      <c r="R1632" s="31">
        <v>45089</v>
      </c>
      <c r="S1632" s="31" t="s">
        <v>3121</v>
      </c>
      <c r="T1632" s="95" t="str">
        <f t="shared" si="130"/>
        <v>2023 06</v>
      </c>
      <c r="U1632" s="32">
        <f t="shared" si="127"/>
        <v>929.11261302457592</v>
      </c>
      <c r="V1632" s="22">
        <f t="shared" si="128"/>
        <v>0.6316680809501698</v>
      </c>
      <c r="X1632" s="33"/>
      <c r="Y1632" s="33"/>
    </row>
    <row r="1633" spans="1:25" x14ac:dyDescent="0.2">
      <c r="A1633" s="93" t="s">
        <v>725</v>
      </c>
      <c r="B1633" s="94" t="str">
        <f>IFERROR(VLOOKUP($A1633,HeadJournal!$A$1:$NTR$890,COLUMN(HeadJournal!B$1),0),"")</f>
        <v>710000782272</v>
      </c>
      <c r="C1633" s="94" t="str">
        <f>IFERROR(VLOOKUP($A1633,HeadJournal!$A$1:$NTR$890,COLUMN(HeadJournal!C$1),0),"")</f>
        <v>iHerb_MH DLE7202</v>
      </c>
      <c r="D1633" s="125" t="str">
        <f>IFERROR(VLOOKUP($A1633,HeadJournal!$A$1:$NTR$890,COLUMN(HeadJournal!D$1),0),"")</f>
        <v>Доставлен</v>
      </c>
      <c r="E1633" s="95">
        <f>IFERROR(VLOOKUP($A1633,HeadJournal!$A$1:$NTR$890,COLUMN(HeadJournal!G$1),0),"")</f>
        <v>45054</v>
      </c>
      <c r="F1633" s="95" t="str">
        <f t="shared" si="129"/>
        <v>2023 05</v>
      </c>
      <c r="G1633" s="96" t="s">
        <v>5</v>
      </c>
      <c r="H1633" s="160" t="str">
        <f>RIGHT(Journal!$J1633,9)</f>
        <v>THR-27202</v>
      </c>
      <c r="I1633" s="96" t="str">
        <f t="shared" si="131"/>
        <v>Thorne</v>
      </c>
      <c r="J1633" s="97" t="s">
        <v>726</v>
      </c>
      <c r="K1633" s="29">
        <v>18</v>
      </c>
      <c r="L1633" s="29">
        <v>-3.6</v>
      </c>
      <c r="M1633" s="30">
        <f>IFERROR(VLOOKUP($A1633,HeadJournal!$A$1:$J$890,COLUMN(HeadJournal!I$1),0)*($K1633+$L1633)/(SUMIF($A:$A,$A1633,$K:$K)+SUMIF($A:$A,$A1633,$L:$L)),0)</f>
        <v>1.0841959896149811</v>
      </c>
      <c r="N1633" s="30">
        <f>IFERROR((VLOOKUP($A1633,HeadJournal!$A$1:$K$890,COLUMN(HeadJournal!K$1),0)-VLOOKUP($A1633,HeadJournal!$A$1:$K$890,COLUMN(HeadJournal!J$1),0))*($K1633+$L1633)/(SUMIF($A:$A,$A1633,$K:$K)+SUMIF($A:$A,$A1633,$L:$L)),0)</f>
        <v>2.2607999546915857E-15</v>
      </c>
      <c r="O1633" s="30">
        <f>IFERROR((VLOOKUP($A1633,HeadJournal!$A$1:$L$890,COLUMN(HeadJournal!L$1),0)*($K1633+$L1633)/(SUMIF($A:$A,$A1633,$K:$K)+SUMIF($A:$A,$A1633,$L:$L)))/VLOOKUP($A1633,HeadJournal!$A$1:$L$890,COLUMN(HeadJournal!H$1),0),0)</f>
        <v>1.1973415565787999</v>
      </c>
      <c r="P1633" s="30">
        <f>IFERROR(SUM(K1633:O1633)*VLOOKUP($A1633,HeadJournal!$A$1:$L$890,COLUMN(HeadJournal!H$1),0),0)</f>
        <v>1470.8873869754241</v>
      </c>
      <c r="Q1633" s="29">
        <v>2300</v>
      </c>
      <c r="R1633" s="31">
        <v>45089</v>
      </c>
      <c r="S1633" s="31" t="s">
        <v>3121</v>
      </c>
      <c r="T1633" s="95" t="str">
        <f t="shared" si="130"/>
        <v>2023 06</v>
      </c>
      <c r="U1633" s="32">
        <f t="shared" si="127"/>
        <v>829.11261302457592</v>
      </c>
      <c r="V1633" s="22">
        <f t="shared" si="128"/>
        <v>0.5636819109105794</v>
      </c>
      <c r="X1633" s="33"/>
      <c r="Y1633" s="33"/>
    </row>
    <row r="1634" spans="1:25" x14ac:dyDescent="0.2">
      <c r="A1634" s="93" t="s">
        <v>725</v>
      </c>
      <c r="B1634" s="94" t="str">
        <f>IFERROR(VLOOKUP($A1634,HeadJournal!$A$1:$NTR$890,COLUMN(HeadJournal!B$1),0),"")</f>
        <v>710000782272</v>
      </c>
      <c r="C1634" s="94" t="str">
        <f>IFERROR(VLOOKUP($A1634,HeadJournal!$A$1:$NTR$890,COLUMN(HeadJournal!C$1),0),"")</f>
        <v>iHerb_MH DLE7202</v>
      </c>
      <c r="D1634" s="125" t="str">
        <f>IFERROR(VLOOKUP($A1634,HeadJournal!$A$1:$NTR$890,COLUMN(HeadJournal!D$1),0),"")</f>
        <v>Доставлен</v>
      </c>
      <c r="E1634" s="95">
        <f>IFERROR(VLOOKUP($A1634,HeadJournal!$A$1:$NTR$890,COLUMN(HeadJournal!G$1),0),"")</f>
        <v>45054</v>
      </c>
      <c r="F1634" s="95" t="str">
        <f t="shared" si="129"/>
        <v>2023 05</v>
      </c>
      <c r="G1634" s="96" t="s">
        <v>5</v>
      </c>
      <c r="H1634" s="175" t="s">
        <v>3632</v>
      </c>
      <c r="I1634" s="176" t="s">
        <v>2008</v>
      </c>
      <c r="J1634" s="97" t="s">
        <v>3675</v>
      </c>
      <c r="K1634" s="29">
        <v>11.47</v>
      </c>
      <c r="L1634" s="29">
        <v>-2.2949999999999999</v>
      </c>
      <c r="M1634" s="30">
        <f>IFERROR(VLOOKUP($A1634,HeadJournal!$A$1:$J$890,COLUMN(HeadJournal!I$1),0)*($K1634+$L1634)/(SUMIF($A:$A,$A1634,$K:$K)+SUMIF($A:$A,$A1634,$L:$L)),0)</f>
        <v>0.69079848643871189</v>
      </c>
      <c r="N1634" s="30">
        <f>IFERROR((VLOOKUP($A1634,HeadJournal!$A$1:$K$890,COLUMN(HeadJournal!K$1),0)-VLOOKUP($A1634,HeadJournal!$A$1:$K$890,COLUMN(HeadJournal!J$1),0))*($K1634+$L1634)/(SUMIF($A:$A,$A1634,$K:$K)+SUMIF($A:$A,$A1634,$L:$L)),0)</f>
        <v>1.4404749711316182E-15</v>
      </c>
      <c r="O1634" s="30">
        <f>IFERROR((VLOOKUP($A1634,HeadJournal!$A$1:$L$890,COLUMN(HeadJournal!L$1),0)*($K1634+$L1634)/(SUMIF($A:$A,$A1634,$K:$K)+SUMIF($A:$A,$A1634,$L:$L)))/VLOOKUP($A1634,HeadJournal!$A$1:$L$890,COLUMN(HeadJournal!H$1),0),0)</f>
        <v>0.76288949872295075</v>
      </c>
      <c r="P1634" s="30">
        <f>IFERROR(SUM(K1634:O1634)*VLOOKUP($A1634,HeadJournal!$A$1:$L$890,COLUMN(HeadJournal!H$1),0),0)</f>
        <v>937.1799844096887</v>
      </c>
      <c r="Q1634" s="29">
        <v>1800</v>
      </c>
      <c r="R1634" s="31">
        <v>45185</v>
      </c>
      <c r="S1634" s="31" t="s">
        <v>3121</v>
      </c>
      <c r="T1634" s="95" t="str">
        <f t="shared" si="130"/>
        <v>2023 09</v>
      </c>
      <c r="U1634" s="32">
        <f t="shared" si="127"/>
        <v>862.8200155903113</v>
      </c>
      <c r="V1634" s="22">
        <f t="shared" si="128"/>
        <v>0.92065561572336041</v>
      </c>
      <c r="X1634" s="33"/>
      <c r="Y1634" s="33"/>
    </row>
    <row r="1635" spans="1:25" x14ac:dyDescent="0.2">
      <c r="A1635" s="93" t="s">
        <v>725</v>
      </c>
      <c r="B1635" s="94" t="str">
        <f>IFERROR(VLOOKUP($A1635,HeadJournal!$A$1:$NTR$890,COLUMN(HeadJournal!B$1),0),"")</f>
        <v>710000782272</v>
      </c>
      <c r="C1635" s="94" t="str">
        <f>IFERROR(VLOOKUP($A1635,HeadJournal!$A$1:$NTR$890,COLUMN(HeadJournal!C$1),0),"")</f>
        <v>iHerb_MH DLE7202</v>
      </c>
      <c r="D1635" s="125" t="str">
        <f>IFERROR(VLOOKUP($A1635,HeadJournal!$A$1:$NTR$890,COLUMN(HeadJournal!D$1),0),"")</f>
        <v>Доставлен</v>
      </c>
      <c r="E1635" s="95">
        <f>IFERROR(VLOOKUP($A1635,HeadJournal!$A$1:$NTR$890,COLUMN(HeadJournal!G$1),0),"")</f>
        <v>45054</v>
      </c>
      <c r="F1635" s="95" t="str">
        <f t="shared" si="129"/>
        <v>2023 05</v>
      </c>
      <c r="G1635" s="96" t="s">
        <v>5</v>
      </c>
      <c r="H1635" s="175" t="s">
        <v>3632</v>
      </c>
      <c r="I1635" s="176" t="s">
        <v>2008</v>
      </c>
      <c r="J1635" s="97" t="s">
        <v>3675</v>
      </c>
      <c r="K1635" s="29">
        <v>11.47</v>
      </c>
      <c r="L1635" s="29">
        <v>-2.2949999999999999</v>
      </c>
      <c r="M1635" s="30">
        <f>IFERROR(VLOOKUP($A1635,HeadJournal!$A$1:$J$890,COLUMN(HeadJournal!I$1),0)*($K1635+$L1635)/(SUMIF($A:$A,$A1635,$K:$K)+SUMIF($A:$A,$A1635,$L:$L)),0)</f>
        <v>0.69079848643871189</v>
      </c>
      <c r="N1635" s="30">
        <f>IFERROR((VLOOKUP($A1635,HeadJournal!$A$1:$K$890,COLUMN(HeadJournal!K$1),0)-VLOOKUP($A1635,HeadJournal!$A$1:$K$890,COLUMN(HeadJournal!J$1),0))*($K1635+$L1635)/(SUMIF($A:$A,$A1635,$K:$K)+SUMIF($A:$A,$A1635,$L:$L)),0)</f>
        <v>1.4404749711316182E-15</v>
      </c>
      <c r="O1635" s="30">
        <f>IFERROR((VLOOKUP($A1635,HeadJournal!$A$1:$L$890,COLUMN(HeadJournal!L$1),0)*($K1635+$L1635)/(SUMIF($A:$A,$A1635,$K:$K)+SUMIF($A:$A,$A1635,$L:$L)))/VLOOKUP($A1635,HeadJournal!$A$1:$L$890,COLUMN(HeadJournal!H$1),0),0)</f>
        <v>0.76288949872295075</v>
      </c>
      <c r="P1635" s="30">
        <f>IFERROR(SUM(K1635:O1635)*VLOOKUP($A1635,HeadJournal!$A$1:$L$890,COLUMN(HeadJournal!H$1),0),0)</f>
        <v>937.1799844096887</v>
      </c>
      <c r="Q1635" s="29"/>
      <c r="R1635" s="31"/>
      <c r="S1635" s="31"/>
      <c r="T1635" s="95" t="str">
        <f t="shared" si="130"/>
        <v/>
      </c>
      <c r="U1635" s="32">
        <f t="shared" si="127"/>
        <v>-937.1799844096887</v>
      </c>
      <c r="V1635" s="22" t="str">
        <f t="shared" si="128"/>
        <v/>
      </c>
      <c r="X1635" s="33"/>
      <c r="Y1635" s="33"/>
    </row>
    <row r="1636" spans="1:25" x14ac:dyDescent="0.2">
      <c r="A1636" s="93" t="s">
        <v>725</v>
      </c>
      <c r="B1636" s="94" t="str">
        <f>IFERROR(VLOOKUP($A1636,HeadJournal!$A$1:$NTR$890,COLUMN(HeadJournal!B$1),0),"")</f>
        <v>710000782272</v>
      </c>
      <c r="C1636" s="94" t="str">
        <f>IFERROR(VLOOKUP($A1636,HeadJournal!$A$1:$NTR$890,COLUMN(HeadJournal!C$1),0),"")</f>
        <v>iHerb_MH DLE7202</v>
      </c>
      <c r="D1636" s="125" t="str">
        <f>IFERROR(VLOOKUP($A1636,HeadJournal!$A$1:$NTR$890,COLUMN(HeadJournal!D$1),0),"")</f>
        <v>Доставлен</v>
      </c>
      <c r="E1636" s="95">
        <f>IFERROR(VLOOKUP($A1636,HeadJournal!$A$1:$NTR$890,COLUMN(HeadJournal!G$1),0),"")</f>
        <v>45054</v>
      </c>
      <c r="F1636" s="95" t="str">
        <f t="shared" si="129"/>
        <v>2023 05</v>
      </c>
      <c r="G1636" s="96" t="s">
        <v>5</v>
      </c>
      <c r="H1636" s="160" t="str">
        <f>RIGHT(Journal!$J1636,9)</f>
        <v>CAL-21068</v>
      </c>
      <c r="I1636" s="96" t="str">
        <f t="shared" si="131"/>
        <v>KAL</v>
      </c>
      <c r="J1636" s="97" t="s">
        <v>727</v>
      </c>
      <c r="K1636" s="29">
        <v>20.420000000000002</v>
      </c>
      <c r="L1636" s="29">
        <v>-4.08</v>
      </c>
      <c r="M1636" s="30">
        <f>IFERROR(VLOOKUP($A1636,HeadJournal!$A$1:$J$890,COLUMN(HeadJournal!I$1),0)*($K1636+$L1636)/(SUMIF($A:$A,$A1636,$K:$K)+SUMIF($A:$A,$A1636,$L:$L)),0)</f>
        <v>1.230261282660333</v>
      </c>
      <c r="N1636" s="30">
        <f>IFERROR((VLOOKUP($A1636,HeadJournal!$A$1:$K$890,COLUMN(HeadJournal!K$1),0)-VLOOKUP($A1636,HeadJournal!$A$1:$K$890,COLUMN(HeadJournal!J$1),0))*($K1636+$L1636)/(SUMIF($A:$A,$A1636,$K:$K)+SUMIF($A:$A,$A1636,$L:$L)),0)</f>
        <v>2.5653799485875362E-15</v>
      </c>
      <c r="O1636" s="30">
        <f>IFERROR((VLOOKUP($A1636,HeadJournal!$A$1:$L$890,COLUMN(HeadJournal!L$1),0)*($K1636+$L1636)/(SUMIF($A:$A,$A1636,$K:$K)+SUMIF($A:$A,$A1636,$L:$L)))/VLOOKUP($A1636,HeadJournal!$A$1:$L$890,COLUMN(HeadJournal!H$1),0),0)</f>
        <v>1.3586500718401107</v>
      </c>
      <c r="P1636" s="30">
        <f>IFERROR(SUM(K1636:O1636)*VLOOKUP($A1636,HeadJournal!$A$1:$L$890,COLUMN(HeadJournal!H$1),0),0)</f>
        <v>1669.0486043873912</v>
      </c>
      <c r="Q1636" s="29">
        <v>2600</v>
      </c>
      <c r="R1636" s="31">
        <v>45104</v>
      </c>
      <c r="S1636" s="31" t="s">
        <v>3121</v>
      </c>
      <c r="T1636" s="95" t="str">
        <f t="shared" si="130"/>
        <v>2023 06</v>
      </c>
      <c r="U1636" s="32">
        <f t="shared" si="127"/>
        <v>930.95139561260885</v>
      </c>
      <c r="V1636" s="22">
        <f t="shared" si="128"/>
        <v>0.55777368805524152</v>
      </c>
      <c r="X1636" s="33"/>
      <c r="Y1636" s="33"/>
    </row>
    <row r="1637" spans="1:25" x14ac:dyDescent="0.2">
      <c r="A1637" s="93" t="s">
        <v>725</v>
      </c>
      <c r="B1637" s="94" t="str">
        <f>IFERROR(VLOOKUP($A1637,HeadJournal!$A$1:$NTR$890,COLUMN(HeadJournal!B$1),0),"")</f>
        <v>710000782272</v>
      </c>
      <c r="C1637" s="94" t="str">
        <f>IFERROR(VLOOKUP($A1637,HeadJournal!$A$1:$NTR$890,COLUMN(HeadJournal!C$1),0),"")</f>
        <v>iHerb_MH DLE7202</v>
      </c>
      <c r="D1637" s="125" t="str">
        <f>IFERROR(VLOOKUP($A1637,HeadJournal!$A$1:$NTR$890,COLUMN(HeadJournal!D$1),0),"")</f>
        <v>Доставлен</v>
      </c>
      <c r="E1637" s="95">
        <f>IFERROR(VLOOKUP($A1637,HeadJournal!$A$1:$NTR$890,COLUMN(HeadJournal!G$1),0),"")</f>
        <v>45054</v>
      </c>
      <c r="F1637" s="95" t="str">
        <f t="shared" si="129"/>
        <v>2023 05</v>
      </c>
      <c r="G1637" s="96" t="s">
        <v>5</v>
      </c>
      <c r="H1637" s="160" t="str">
        <f>RIGHT(Journal!$J1637,9)</f>
        <v>CEN-27454</v>
      </c>
      <c r="I1637" s="96" t="str">
        <f t="shared" si="131"/>
        <v>21st Century</v>
      </c>
      <c r="J1637" s="97" t="s">
        <v>728</v>
      </c>
      <c r="K1637" s="29">
        <v>7.38</v>
      </c>
      <c r="L1637" s="29">
        <v>-3.69</v>
      </c>
      <c r="M1637" s="30">
        <f>IFERROR(VLOOKUP($A1637,HeadJournal!$A$1:$J$890,COLUMN(HeadJournal!I$1),0)*($K1637+$L1637)/(SUMIF($A:$A,$A1637,$K:$K)+SUMIF($A:$A,$A1637,$L:$L)),0)</f>
        <v>0.27782522233883888</v>
      </c>
      <c r="N1637" s="30">
        <f>IFERROR((VLOOKUP($A1637,HeadJournal!$A$1:$K$890,COLUMN(HeadJournal!K$1),0)-VLOOKUP($A1637,HeadJournal!$A$1:$K$890,COLUMN(HeadJournal!J$1),0))*($K1637+$L1637)/(SUMIF($A:$A,$A1637,$K:$K)+SUMIF($A:$A,$A1637,$L:$L)),0)</f>
        <v>5.7932998838971883E-16</v>
      </c>
      <c r="O1637" s="30">
        <f>IFERROR((VLOOKUP($A1637,HeadJournal!$A$1:$L$890,COLUMN(HeadJournal!L$1),0)*($K1637+$L1637)/(SUMIF($A:$A,$A1637,$K:$K)+SUMIF($A:$A,$A1637,$L:$L)))/VLOOKUP($A1637,HeadJournal!$A$1:$L$890,COLUMN(HeadJournal!H$1),0),0)</f>
        <v>0.30681877387331741</v>
      </c>
      <c r="P1637" s="30">
        <f>IFERROR(SUM(K1637:O1637)*VLOOKUP($A1637,HeadJournal!$A$1:$L$890,COLUMN(HeadJournal!H$1),0),0)</f>
        <v>376.91489291245239</v>
      </c>
      <c r="Q1637" s="29">
        <v>850</v>
      </c>
      <c r="R1637" s="31">
        <v>45113</v>
      </c>
      <c r="S1637" s="31" t="s">
        <v>3121</v>
      </c>
      <c r="T1637" s="95" t="str">
        <f t="shared" si="130"/>
        <v>2023 07</v>
      </c>
      <c r="U1637" s="32">
        <f t="shared" si="127"/>
        <v>473.08510708754761</v>
      </c>
      <c r="V1637" s="22">
        <f t="shared" si="128"/>
        <v>1.2551510061912918</v>
      </c>
      <c r="X1637" s="33"/>
      <c r="Y1637" s="33"/>
    </row>
    <row r="1638" spans="1:25" x14ac:dyDescent="0.2">
      <c r="A1638" s="93" t="s">
        <v>725</v>
      </c>
      <c r="B1638" s="94" t="str">
        <f>IFERROR(VLOOKUP($A1638,HeadJournal!$A$1:$NTR$890,COLUMN(HeadJournal!B$1),0),"")</f>
        <v>710000782272</v>
      </c>
      <c r="C1638" s="94" t="str">
        <f>IFERROR(VLOOKUP($A1638,HeadJournal!$A$1:$NTR$890,COLUMN(HeadJournal!C$1),0),"")</f>
        <v>iHerb_MH DLE7202</v>
      </c>
      <c r="D1638" s="125" t="str">
        <f>IFERROR(VLOOKUP($A1638,HeadJournal!$A$1:$NTR$890,COLUMN(HeadJournal!D$1),0),"")</f>
        <v>Доставлен</v>
      </c>
      <c r="E1638" s="95">
        <f>IFERROR(VLOOKUP($A1638,HeadJournal!$A$1:$NTR$890,COLUMN(HeadJournal!G$1),0),"")</f>
        <v>45054</v>
      </c>
      <c r="F1638" s="95" t="str">
        <f t="shared" si="129"/>
        <v>2023 05</v>
      </c>
      <c r="G1638" s="96" t="s">
        <v>5</v>
      </c>
      <c r="H1638" s="161" t="s">
        <v>2051</v>
      </c>
      <c r="I1638" s="97" t="s">
        <v>2052</v>
      </c>
      <c r="J1638" s="97" t="s">
        <v>3097</v>
      </c>
      <c r="K1638" s="29">
        <v>17</v>
      </c>
      <c r="L1638" s="29">
        <v>-5.0999999999999996</v>
      </c>
      <c r="M1638" s="30">
        <f>IFERROR(VLOOKUP($A1638,HeadJournal!$A$1:$J$890,COLUMN(HeadJournal!I$1),0)*($K1638+$L1638)/(SUMIF($A:$A,$A1638,$K:$K)+SUMIF($A:$A,$A1638,$L:$L)),0)</f>
        <v>0.8959675191957136</v>
      </c>
      <c r="N1638" s="30">
        <f>IFERROR((VLOOKUP($A1638,HeadJournal!$A$1:$K$890,COLUMN(HeadJournal!K$1),0)-VLOOKUP($A1638,HeadJournal!$A$1:$K$890,COLUMN(HeadJournal!J$1),0))*($K1638+$L1638)/(SUMIF($A:$A,$A1638,$K:$K)+SUMIF($A:$A,$A1638,$L:$L)),0)</f>
        <v>1.8682999625576299E-15</v>
      </c>
      <c r="O1638" s="30">
        <f>IFERROR((VLOOKUP($A1638,HeadJournal!$A$1:$L$890,COLUMN(HeadJournal!L$1),0)*($K1638+$L1638)/(SUMIF($A:$A,$A1638,$K:$K)+SUMIF($A:$A,$A1638,$L:$L)))/VLOOKUP($A1638,HeadJournal!$A$1:$L$890,COLUMN(HeadJournal!H$1),0),0)</f>
        <v>0.98946975856164709</v>
      </c>
      <c r="P1638" s="30">
        <f>IFERROR(SUM(K1638:O1638)*VLOOKUP($A1638,HeadJournal!$A$1:$L$890,COLUMN(HeadJournal!H$1),0),0)</f>
        <v>1215.5249934033018</v>
      </c>
      <c r="Q1638" s="29">
        <v>2300</v>
      </c>
      <c r="R1638" s="31">
        <v>45430</v>
      </c>
      <c r="S1638" s="31" t="s">
        <v>3121</v>
      </c>
      <c r="T1638" s="95" t="str">
        <f t="shared" si="130"/>
        <v>2024 05</v>
      </c>
      <c r="U1638" s="32">
        <f t="shared" si="127"/>
        <v>1084.4750065966982</v>
      </c>
      <c r="V1638" s="22">
        <f t="shared" si="128"/>
        <v>0.89218651404305416</v>
      </c>
      <c r="X1638" s="33"/>
      <c r="Y1638" s="33"/>
    </row>
    <row r="1639" spans="1:25" x14ac:dyDescent="0.2">
      <c r="A1639" s="93" t="s">
        <v>725</v>
      </c>
      <c r="B1639" s="94" t="str">
        <f>IFERROR(VLOOKUP($A1639,HeadJournal!$A$1:$NTR$890,COLUMN(HeadJournal!B$1),0),"")</f>
        <v>710000782272</v>
      </c>
      <c r="C1639" s="94" t="str">
        <f>IFERROR(VLOOKUP($A1639,HeadJournal!$A$1:$NTR$890,COLUMN(HeadJournal!C$1),0),"")</f>
        <v>iHerb_MH DLE7202</v>
      </c>
      <c r="D1639" s="125" t="str">
        <f>IFERROR(VLOOKUP($A1639,HeadJournal!$A$1:$NTR$890,COLUMN(HeadJournal!D$1),0),"")</f>
        <v>Доставлен</v>
      </c>
      <c r="E1639" s="95">
        <f>IFERROR(VLOOKUP($A1639,HeadJournal!$A$1:$NTR$890,COLUMN(HeadJournal!G$1),0),"")</f>
        <v>45054</v>
      </c>
      <c r="F1639" s="95" t="str">
        <f t="shared" si="129"/>
        <v>2023 05</v>
      </c>
      <c r="G1639" s="96" t="s">
        <v>5</v>
      </c>
      <c r="H1639" s="160" t="str">
        <f>RIGHT(Journal!$J1639,9)</f>
        <v>SPN-00124</v>
      </c>
      <c r="I1639" s="96" t="str">
        <f t="shared" si="131"/>
        <v>Super Nutrition</v>
      </c>
      <c r="J1639" s="97" t="s">
        <v>729</v>
      </c>
      <c r="K1639" s="29">
        <v>16</v>
      </c>
      <c r="L1639" s="29">
        <v>-7.2</v>
      </c>
      <c r="M1639" s="30">
        <f>IFERROR(VLOOKUP($A1639,HeadJournal!$A$1:$J$890,COLUMN(HeadJournal!I$1),0)*($K1639+$L1639)/(SUMIF($A:$A,$A1639,$K:$K)+SUMIF($A:$A,$A1639,$L:$L)),0)</f>
        <v>0.66256421587582182</v>
      </c>
      <c r="N1639" s="30">
        <f>IFERROR((VLOOKUP($A1639,HeadJournal!$A$1:$K$890,COLUMN(HeadJournal!K$1),0)-VLOOKUP($A1639,HeadJournal!$A$1:$K$890,COLUMN(HeadJournal!J$1),0))*($K1639+$L1639)/(SUMIF($A:$A,$A1639,$K:$K)+SUMIF($A:$A,$A1639,$L:$L)),0)</f>
        <v>1.3815999723115248E-15</v>
      </c>
      <c r="O1639" s="30">
        <f>IFERROR((VLOOKUP($A1639,HeadJournal!$A$1:$L$890,COLUMN(HeadJournal!L$1),0)*($K1639+$L1639)/(SUMIF($A:$A,$A1639,$K:$K)+SUMIF($A:$A,$A1639,$L:$L)))/VLOOKUP($A1639,HeadJournal!$A$1:$L$890,COLUMN(HeadJournal!H$1),0),0)</f>
        <v>0.73170872902037776</v>
      </c>
      <c r="P1639" s="30">
        <f>IFERROR(SUM(K1639:O1639)*VLOOKUP($A1639,HeadJournal!$A$1:$L$890,COLUMN(HeadJournal!H$1),0),0)</f>
        <v>898.87562537387032</v>
      </c>
      <c r="Q1639" s="29"/>
      <c r="R1639" s="31"/>
      <c r="S1639" s="31"/>
      <c r="T1639" s="95" t="str">
        <f t="shared" si="130"/>
        <v/>
      </c>
      <c r="U1639" s="32">
        <f t="shared" si="127"/>
        <v>-898.87562537387032</v>
      </c>
      <c r="V1639" s="22" t="str">
        <f t="shared" si="128"/>
        <v/>
      </c>
      <c r="X1639" s="33"/>
      <c r="Y1639" s="33"/>
    </row>
    <row r="1640" spans="1:25" x14ac:dyDescent="0.2">
      <c r="A1640" s="93" t="s">
        <v>730</v>
      </c>
      <c r="B1640" s="94">
        <f>IFERROR(VLOOKUP($A1640,HeadJournal!$A$1:$NTR$890,COLUMN(HeadJournal!B$1),0),"")</f>
        <v>0</v>
      </c>
      <c r="C1640" s="94" t="str">
        <f>IFERROR(VLOOKUP($A1640,HeadJournal!$A$1:$NTR$890,COLUMN(HeadJournal!C$1),0),"")</f>
        <v>CoralClub_AV</v>
      </c>
      <c r="D1640" s="125" t="str">
        <f>IFERROR(VLOOKUP($A1640,HeadJournal!$A$1:$NTR$890,COLUMN(HeadJournal!D$1),0),"")</f>
        <v>Доставлен</v>
      </c>
      <c r="E1640" s="95">
        <f>IFERROR(VLOOKUP($A1640,HeadJournal!$A$1:$NTR$890,COLUMN(HeadJournal!G$1),0),"")</f>
        <v>45067</v>
      </c>
      <c r="F1640" s="95" t="str">
        <f t="shared" si="129"/>
        <v>2023 05</v>
      </c>
      <c r="G1640" s="96" t="s">
        <v>5</v>
      </c>
      <c r="H1640" s="160" t="str">
        <f>RIGHT(Journal!$J1640,9)</f>
        <v>000091865</v>
      </c>
      <c r="I1640" s="96" t="str">
        <f t="shared" si="131"/>
        <v>CoralClub</v>
      </c>
      <c r="J1640" s="97" t="s">
        <v>250</v>
      </c>
      <c r="K1640" s="29">
        <v>1184</v>
      </c>
      <c r="L1640" s="29">
        <v>0</v>
      </c>
      <c r="M1640" s="30">
        <f>IFERROR(VLOOKUP($A1640,HeadJournal!$A$1:$J$890,COLUMN(HeadJournal!I$1),0)*($K1640+$L1640)/(SUMIF($A:$A,$A1640,$K:$K)+SUMIF($A:$A,$A1640,$L:$L)),0)</f>
        <v>0</v>
      </c>
      <c r="N1640" s="30">
        <f>IFERROR((VLOOKUP($A1640,HeadJournal!$A$1:$K$890,COLUMN(HeadJournal!K$1),0)-VLOOKUP($A1640,HeadJournal!$A$1:$K$890,COLUMN(HeadJournal!J$1),0))*($K1640+$L1640)/(SUMIF($A:$A,$A1640,$K:$K)+SUMIF($A:$A,$A1640,$L:$L)),0)</f>
        <v>0</v>
      </c>
      <c r="O1640" s="30">
        <f>IFERROR((VLOOKUP($A1640,HeadJournal!$A$1:$L$890,COLUMN(HeadJournal!L$1),0)*($K1640+$L1640)/(SUMIF($A:$A,$A1640,$K:$K)+SUMIF($A:$A,$A1640,$L:$L)))/VLOOKUP($A1640,HeadJournal!$A$1:$L$890,COLUMN(HeadJournal!H$1),0),0)</f>
        <v>2.9502151198524893</v>
      </c>
      <c r="P1640" s="30">
        <f>IFERROR(SUM(K1640:O1640)*VLOOKUP($A1640,HeadJournal!$A$1:$L$890,COLUMN(HeadJournal!H$1),0),0)</f>
        <v>1186.9502151198526</v>
      </c>
      <c r="Q1640" s="29">
        <v>1500</v>
      </c>
      <c r="R1640" s="31">
        <v>45115</v>
      </c>
      <c r="S1640" s="31" t="s">
        <v>3121</v>
      </c>
      <c r="T1640" s="95" t="str">
        <f t="shared" si="130"/>
        <v>2023 07</v>
      </c>
      <c r="U1640" s="32">
        <f t="shared" si="127"/>
        <v>313.0497848801474</v>
      </c>
      <c r="V1640" s="22">
        <f t="shared" si="128"/>
        <v>0.26374297834264021</v>
      </c>
      <c r="X1640" s="33"/>
      <c r="Y1640" s="33"/>
    </row>
    <row r="1641" spans="1:25" x14ac:dyDescent="0.2">
      <c r="A1641" s="93" t="s">
        <v>730</v>
      </c>
      <c r="B1641" s="94">
        <f>IFERROR(VLOOKUP($A1641,HeadJournal!$A$1:$NTR$890,COLUMN(HeadJournal!B$1),0),"")</f>
        <v>0</v>
      </c>
      <c r="C1641" s="94" t="str">
        <f>IFERROR(VLOOKUP($A1641,HeadJournal!$A$1:$NTR$890,COLUMN(HeadJournal!C$1),0),"")</f>
        <v>CoralClub_AV</v>
      </c>
      <c r="D1641" s="125" t="str">
        <f>IFERROR(VLOOKUP($A1641,HeadJournal!$A$1:$NTR$890,COLUMN(HeadJournal!D$1),0),"")</f>
        <v>Доставлен</v>
      </c>
      <c r="E1641" s="95">
        <f>IFERROR(VLOOKUP($A1641,HeadJournal!$A$1:$NTR$890,COLUMN(HeadJournal!G$1),0),"")</f>
        <v>45067</v>
      </c>
      <c r="F1641" s="95" t="str">
        <f t="shared" si="129"/>
        <v>2023 05</v>
      </c>
      <c r="G1641" s="96" t="s">
        <v>5</v>
      </c>
      <c r="H1641" s="160" t="str">
        <f>RIGHT(Journal!$J1641,9)</f>
        <v>000002154</v>
      </c>
      <c r="I1641" s="96" t="str">
        <f t="shared" si="131"/>
        <v>CoralClub</v>
      </c>
      <c r="J1641" s="97" t="s">
        <v>731</v>
      </c>
      <c r="K1641" s="29">
        <v>438.45</v>
      </c>
      <c r="L1641" s="29">
        <v>0</v>
      </c>
      <c r="M1641" s="30">
        <f>IFERROR(VLOOKUP($A1641,HeadJournal!$A$1:$J$890,COLUMN(HeadJournal!I$1),0)*($K1641+$L1641)/(SUMIF($A:$A,$A1641,$K:$K)+SUMIF($A:$A,$A1641,$L:$L)),0)</f>
        <v>0</v>
      </c>
      <c r="N1641" s="30">
        <f>IFERROR((VLOOKUP($A1641,HeadJournal!$A$1:$K$890,COLUMN(HeadJournal!K$1),0)-VLOOKUP($A1641,HeadJournal!$A$1:$K$890,COLUMN(HeadJournal!J$1),0))*($K1641+$L1641)/(SUMIF($A:$A,$A1641,$K:$K)+SUMIF($A:$A,$A1641,$L:$L)),0)</f>
        <v>0</v>
      </c>
      <c r="O1641" s="30">
        <f>IFERROR((VLOOKUP($A1641,HeadJournal!$A$1:$L$890,COLUMN(HeadJournal!L$1),0)*($K1641+$L1641)/(SUMIF($A:$A,$A1641,$K:$K)+SUMIF($A:$A,$A1641,$L:$L)))/VLOOKUP($A1641,HeadJournal!$A$1:$L$890,COLUMN(HeadJournal!H$1),0),0)</f>
        <v>1.092501536570375</v>
      </c>
      <c r="P1641" s="30">
        <f>IFERROR(SUM(K1641:O1641)*VLOOKUP($A1641,HeadJournal!$A$1:$L$890,COLUMN(HeadJournal!H$1),0),0)</f>
        <v>439.54250153657034</v>
      </c>
      <c r="Q1641" s="29">
        <v>700</v>
      </c>
      <c r="R1641" s="31">
        <v>45153</v>
      </c>
      <c r="S1641" s="31" t="s">
        <v>3121</v>
      </c>
      <c r="T1641" s="95" t="str">
        <f t="shared" si="130"/>
        <v>2023 08</v>
      </c>
      <c r="U1641" s="32">
        <f t="shared" si="127"/>
        <v>260.45749846342966</v>
      </c>
      <c r="V1641" s="22">
        <f t="shared" si="128"/>
        <v>0.59256499099156934</v>
      </c>
      <c r="X1641" s="33"/>
      <c r="Y1641" s="33"/>
    </row>
    <row r="1642" spans="1:25" x14ac:dyDescent="0.2">
      <c r="A1642" s="93" t="s">
        <v>730</v>
      </c>
      <c r="B1642" s="94">
        <f>IFERROR(VLOOKUP($A1642,HeadJournal!$A$1:$NTR$890,COLUMN(HeadJournal!B$1),0),"")</f>
        <v>0</v>
      </c>
      <c r="C1642" s="94" t="str">
        <f>IFERROR(VLOOKUP($A1642,HeadJournal!$A$1:$NTR$890,COLUMN(HeadJournal!C$1),0),"")</f>
        <v>CoralClub_AV</v>
      </c>
      <c r="D1642" s="125" t="str">
        <f>IFERROR(VLOOKUP($A1642,HeadJournal!$A$1:$NTR$890,COLUMN(HeadJournal!D$1),0),"")</f>
        <v>Доставлен</v>
      </c>
      <c r="E1642" s="95">
        <f>IFERROR(VLOOKUP($A1642,HeadJournal!$A$1:$NTR$890,COLUMN(HeadJournal!G$1),0),"")</f>
        <v>45067</v>
      </c>
      <c r="F1642" s="95" t="str">
        <f t="shared" si="129"/>
        <v>2023 05</v>
      </c>
      <c r="G1642" s="96" t="s">
        <v>5</v>
      </c>
      <c r="H1642" s="160" t="str">
        <f>RIGHT(Journal!$J1642,9)</f>
        <v>000002154</v>
      </c>
      <c r="I1642" s="96" t="str">
        <f t="shared" si="131"/>
        <v>CoralClub</v>
      </c>
      <c r="J1642" s="97" t="s">
        <v>731</v>
      </c>
      <c r="K1642" s="29">
        <v>438.45</v>
      </c>
      <c r="L1642" s="29">
        <v>0</v>
      </c>
      <c r="M1642" s="30">
        <f>IFERROR(VLOOKUP($A1642,HeadJournal!$A$1:$J$890,COLUMN(HeadJournal!I$1),0)*($K1642+$L1642)/(SUMIF($A:$A,$A1642,$K:$K)+SUMIF($A:$A,$A1642,$L:$L)),0)</f>
        <v>0</v>
      </c>
      <c r="N1642" s="30">
        <f>IFERROR((VLOOKUP($A1642,HeadJournal!$A$1:$K$890,COLUMN(HeadJournal!K$1),0)-VLOOKUP($A1642,HeadJournal!$A$1:$K$890,COLUMN(HeadJournal!J$1),0))*($K1642+$L1642)/(SUMIF($A:$A,$A1642,$K:$K)+SUMIF($A:$A,$A1642,$L:$L)),0)</f>
        <v>0</v>
      </c>
      <c r="O1642" s="30">
        <f>IFERROR((VLOOKUP($A1642,HeadJournal!$A$1:$L$890,COLUMN(HeadJournal!L$1),0)*($K1642+$L1642)/(SUMIF($A:$A,$A1642,$K:$K)+SUMIF($A:$A,$A1642,$L:$L)))/VLOOKUP($A1642,HeadJournal!$A$1:$L$890,COLUMN(HeadJournal!H$1),0),0)</f>
        <v>1.092501536570375</v>
      </c>
      <c r="P1642" s="30">
        <f>IFERROR(SUM(K1642:O1642)*VLOOKUP($A1642,HeadJournal!$A$1:$L$890,COLUMN(HeadJournal!H$1),0),0)</f>
        <v>439.54250153657034</v>
      </c>
      <c r="Q1642" s="29">
        <v>700</v>
      </c>
      <c r="R1642" s="31">
        <v>45256</v>
      </c>
      <c r="S1642" s="31" t="s">
        <v>3121</v>
      </c>
      <c r="T1642" s="95" t="str">
        <f t="shared" si="130"/>
        <v>2023 11</v>
      </c>
      <c r="U1642" s="32">
        <f t="shared" si="127"/>
        <v>260.45749846342966</v>
      </c>
      <c r="V1642" s="22">
        <f t="shared" si="128"/>
        <v>0.59256499099156934</v>
      </c>
      <c r="X1642" s="33"/>
      <c r="Y1642" s="33"/>
    </row>
    <row r="1643" spans="1:25" x14ac:dyDescent="0.2">
      <c r="A1643" s="93" t="s">
        <v>730</v>
      </c>
      <c r="B1643" s="94">
        <f>IFERROR(VLOOKUP($A1643,HeadJournal!$A$1:$NTR$890,COLUMN(HeadJournal!B$1),0),"")</f>
        <v>0</v>
      </c>
      <c r="C1643" s="94" t="str">
        <f>IFERROR(VLOOKUP($A1643,HeadJournal!$A$1:$NTR$890,COLUMN(HeadJournal!C$1),0),"")</f>
        <v>CoralClub_AV</v>
      </c>
      <c r="D1643" s="125" t="str">
        <f>IFERROR(VLOOKUP($A1643,HeadJournal!$A$1:$NTR$890,COLUMN(HeadJournal!D$1),0),"")</f>
        <v>Доставлен</v>
      </c>
      <c r="E1643" s="95">
        <f>IFERROR(VLOOKUP($A1643,HeadJournal!$A$1:$NTR$890,COLUMN(HeadJournal!G$1),0),"")</f>
        <v>45067</v>
      </c>
      <c r="F1643" s="95" t="str">
        <f t="shared" si="129"/>
        <v>2023 05</v>
      </c>
      <c r="G1643" s="96" t="s">
        <v>5</v>
      </c>
      <c r="H1643" s="160" t="str">
        <f>RIGHT(Journal!$J1643,9)</f>
        <v>000002154</v>
      </c>
      <c r="I1643" s="96" t="str">
        <f t="shared" si="131"/>
        <v>CoralClub</v>
      </c>
      <c r="J1643" s="97" t="s">
        <v>731</v>
      </c>
      <c r="K1643" s="29">
        <v>438.45</v>
      </c>
      <c r="L1643" s="29">
        <v>0</v>
      </c>
      <c r="M1643" s="30">
        <f>IFERROR(VLOOKUP($A1643,HeadJournal!$A$1:$J$890,COLUMN(HeadJournal!I$1),0)*($K1643+$L1643)/(SUMIF($A:$A,$A1643,$K:$K)+SUMIF($A:$A,$A1643,$L:$L)),0)</f>
        <v>0</v>
      </c>
      <c r="N1643" s="30">
        <f>IFERROR((VLOOKUP($A1643,HeadJournal!$A$1:$K$890,COLUMN(HeadJournal!K$1),0)-VLOOKUP($A1643,HeadJournal!$A$1:$K$890,COLUMN(HeadJournal!J$1),0))*($K1643+$L1643)/(SUMIF($A:$A,$A1643,$K:$K)+SUMIF($A:$A,$A1643,$L:$L)),0)</f>
        <v>0</v>
      </c>
      <c r="O1643" s="30">
        <f>IFERROR((VLOOKUP($A1643,HeadJournal!$A$1:$L$890,COLUMN(HeadJournal!L$1),0)*($K1643+$L1643)/(SUMIF($A:$A,$A1643,$K:$K)+SUMIF($A:$A,$A1643,$L:$L)))/VLOOKUP($A1643,HeadJournal!$A$1:$L$890,COLUMN(HeadJournal!H$1),0),0)</f>
        <v>1.092501536570375</v>
      </c>
      <c r="P1643" s="30">
        <f>IFERROR(SUM(K1643:O1643)*VLOOKUP($A1643,HeadJournal!$A$1:$L$890,COLUMN(HeadJournal!H$1),0),0)</f>
        <v>439.54250153657034</v>
      </c>
      <c r="Q1643" s="29">
        <v>700</v>
      </c>
      <c r="R1643" s="31">
        <v>45290</v>
      </c>
      <c r="S1643" s="31" t="s">
        <v>3121</v>
      </c>
      <c r="T1643" s="95" t="str">
        <f t="shared" si="130"/>
        <v>2023 12</v>
      </c>
      <c r="U1643" s="32">
        <f t="shared" si="127"/>
        <v>260.45749846342966</v>
      </c>
      <c r="V1643" s="22">
        <f t="shared" si="128"/>
        <v>0.59256499099156934</v>
      </c>
      <c r="X1643" s="33"/>
      <c r="Y1643" s="33"/>
    </row>
    <row r="1644" spans="1:25" x14ac:dyDescent="0.2">
      <c r="A1644" s="93" t="s">
        <v>730</v>
      </c>
      <c r="B1644" s="94">
        <f>IFERROR(VLOOKUP($A1644,HeadJournal!$A$1:$NTR$890,COLUMN(HeadJournal!B$1),0),"")</f>
        <v>0</v>
      </c>
      <c r="C1644" s="94" t="str">
        <f>IFERROR(VLOOKUP($A1644,HeadJournal!$A$1:$NTR$890,COLUMN(HeadJournal!C$1),0),"")</f>
        <v>CoralClub_AV</v>
      </c>
      <c r="D1644" s="125" t="str">
        <f>IFERROR(VLOOKUP($A1644,HeadJournal!$A$1:$NTR$890,COLUMN(HeadJournal!D$1),0),"")</f>
        <v>Доставлен</v>
      </c>
      <c r="E1644" s="95">
        <f>IFERROR(VLOOKUP($A1644,HeadJournal!$A$1:$NTR$890,COLUMN(HeadJournal!G$1),0),"")</f>
        <v>45067</v>
      </c>
      <c r="F1644" s="95" t="str">
        <f t="shared" si="129"/>
        <v>2023 05</v>
      </c>
      <c r="G1644" s="96" t="s">
        <v>5</v>
      </c>
      <c r="H1644" s="160" t="str">
        <f>RIGHT(Journal!$J1644,9)</f>
        <v>000002154</v>
      </c>
      <c r="I1644" s="96" t="str">
        <f t="shared" si="131"/>
        <v>CoralClub</v>
      </c>
      <c r="J1644" s="97" t="s">
        <v>731</v>
      </c>
      <c r="K1644" s="29">
        <v>438.45</v>
      </c>
      <c r="L1644" s="29">
        <v>0</v>
      </c>
      <c r="M1644" s="30">
        <f>IFERROR(VLOOKUP($A1644,HeadJournal!$A$1:$J$890,COLUMN(HeadJournal!I$1),0)*($K1644+$L1644)/(SUMIF($A:$A,$A1644,$K:$K)+SUMIF($A:$A,$A1644,$L:$L)),0)</f>
        <v>0</v>
      </c>
      <c r="N1644" s="30">
        <f>IFERROR((VLOOKUP($A1644,HeadJournal!$A$1:$K$890,COLUMN(HeadJournal!K$1),0)-VLOOKUP($A1644,HeadJournal!$A$1:$K$890,COLUMN(HeadJournal!J$1),0))*($K1644+$L1644)/(SUMIF($A:$A,$A1644,$K:$K)+SUMIF($A:$A,$A1644,$L:$L)),0)</f>
        <v>0</v>
      </c>
      <c r="O1644" s="30">
        <f>IFERROR((VLOOKUP($A1644,HeadJournal!$A$1:$L$890,COLUMN(HeadJournal!L$1),0)*($K1644+$L1644)/(SUMIF($A:$A,$A1644,$K:$K)+SUMIF($A:$A,$A1644,$L:$L)))/VLOOKUP($A1644,HeadJournal!$A$1:$L$890,COLUMN(HeadJournal!H$1),0),0)</f>
        <v>1.092501536570375</v>
      </c>
      <c r="P1644" s="30">
        <f>IFERROR(SUM(K1644:O1644)*VLOOKUP($A1644,HeadJournal!$A$1:$L$890,COLUMN(HeadJournal!H$1),0),0)</f>
        <v>439.54250153657034</v>
      </c>
      <c r="Q1644" s="29"/>
      <c r="R1644" s="31"/>
      <c r="S1644" s="31"/>
      <c r="T1644" s="95" t="str">
        <f t="shared" si="130"/>
        <v/>
      </c>
      <c r="U1644" s="32">
        <f t="shared" si="127"/>
        <v>-439.54250153657034</v>
      </c>
      <c r="V1644" s="22" t="str">
        <f t="shared" si="128"/>
        <v/>
      </c>
      <c r="X1644" s="33"/>
      <c r="Y1644" s="33"/>
    </row>
    <row r="1645" spans="1:25" x14ac:dyDescent="0.2">
      <c r="A1645" s="93" t="s">
        <v>730</v>
      </c>
      <c r="B1645" s="94">
        <f>IFERROR(VLOOKUP($A1645,HeadJournal!$A$1:$NTR$890,COLUMN(HeadJournal!B$1),0),"")</f>
        <v>0</v>
      </c>
      <c r="C1645" s="94" t="str">
        <f>IFERROR(VLOOKUP($A1645,HeadJournal!$A$1:$NTR$890,COLUMN(HeadJournal!C$1),0),"")</f>
        <v>CoralClub_AV</v>
      </c>
      <c r="D1645" s="125" t="str">
        <f>IFERROR(VLOOKUP($A1645,HeadJournal!$A$1:$NTR$890,COLUMN(HeadJournal!D$1),0),"")</f>
        <v>Доставлен</v>
      </c>
      <c r="E1645" s="95">
        <f>IFERROR(VLOOKUP($A1645,HeadJournal!$A$1:$NTR$890,COLUMN(HeadJournal!G$1),0),"")</f>
        <v>45067</v>
      </c>
      <c r="F1645" s="95" t="str">
        <f t="shared" si="129"/>
        <v>2023 05</v>
      </c>
      <c r="G1645" s="96" t="s">
        <v>5</v>
      </c>
      <c r="H1645" s="160" t="str">
        <f>RIGHT(Journal!$J1645,9)</f>
        <v>000005701</v>
      </c>
      <c r="I1645" s="96" t="str">
        <f t="shared" si="131"/>
        <v>CoralClub</v>
      </c>
      <c r="J1645" s="97" t="s">
        <v>732</v>
      </c>
      <c r="K1645" s="29">
        <v>1184</v>
      </c>
      <c r="L1645" s="29">
        <v>0</v>
      </c>
      <c r="M1645" s="30">
        <f>IFERROR(VLOOKUP($A1645,HeadJournal!$A$1:$J$890,COLUMN(HeadJournal!I$1),0)*($K1645+$L1645)/(SUMIF($A:$A,$A1645,$K:$K)+SUMIF($A:$A,$A1645,$L:$L)),0)</f>
        <v>0</v>
      </c>
      <c r="N1645" s="30">
        <f>IFERROR((VLOOKUP($A1645,HeadJournal!$A$1:$K$890,COLUMN(HeadJournal!K$1),0)-VLOOKUP($A1645,HeadJournal!$A$1:$K$890,COLUMN(HeadJournal!J$1),0))*($K1645+$L1645)/(SUMIF($A:$A,$A1645,$K:$K)+SUMIF($A:$A,$A1645,$L:$L)),0)</f>
        <v>0</v>
      </c>
      <c r="O1645" s="30">
        <f>IFERROR((VLOOKUP($A1645,HeadJournal!$A$1:$L$890,COLUMN(HeadJournal!L$1),0)*($K1645+$L1645)/(SUMIF($A:$A,$A1645,$K:$K)+SUMIF($A:$A,$A1645,$L:$L)))/VLOOKUP($A1645,HeadJournal!$A$1:$L$890,COLUMN(HeadJournal!H$1),0),0)</f>
        <v>2.9502151198524893</v>
      </c>
      <c r="P1645" s="30">
        <f>IFERROR(SUM(K1645:O1645)*VLOOKUP($A1645,HeadJournal!$A$1:$L$890,COLUMN(HeadJournal!H$1),0),0)</f>
        <v>1186.9502151198526</v>
      </c>
      <c r="Q1645" s="29">
        <v>1500</v>
      </c>
      <c r="R1645" s="31">
        <v>45068</v>
      </c>
      <c r="S1645" s="31" t="s">
        <v>3121</v>
      </c>
      <c r="T1645" s="95" t="str">
        <f t="shared" si="130"/>
        <v>2023 05</v>
      </c>
      <c r="U1645" s="32">
        <f t="shared" si="127"/>
        <v>313.0497848801474</v>
      </c>
      <c r="V1645" s="22">
        <f t="shared" si="128"/>
        <v>0.26374297834264021</v>
      </c>
      <c r="X1645" s="33"/>
      <c r="Y1645" s="33"/>
    </row>
    <row r="1646" spans="1:25" x14ac:dyDescent="0.2">
      <c r="A1646" s="93" t="s">
        <v>730</v>
      </c>
      <c r="B1646" s="94">
        <f>IFERROR(VLOOKUP($A1646,HeadJournal!$A$1:$NTR$890,COLUMN(HeadJournal!B$1),0),"")</f>
        <v>0</v>
      </c>
      <c r="C1646" s="94" t="str">
        <f>IFERROR(VLOOKUP($A1646,HeadJournal!$A$1:$NTR$890,COLUMN(HeadJournal!C$1),0),"")</f>
        <v>CoralClub_AV</v>
      </c>
      <c r="D1646" s="125" t="str">
        <f>IFERROR(VLOOKUP($A1646,HeadJournal!$A$1:$NTR$890,COLUMN(HeadJournal!D$1),0),"")</f>
        <v>Доставлен</v>
      </c>
      <c r="E1646" s="95">
        <f>IFERROR(VLOOKUP($A1646,HeadJournal!$A$1:$NTR$890,COLUMN(HeadJournal!G$1),0),"")</f>
        <v>45067</v>
      </c>
      <c r="F1646" s="95" t="str">
        <f t="shared" si="129"/>
        <v>2023 05</v>
      </c>
      <c r="G1646" s="96" t="s">
        <v>5</v>
      </c>
      <c r="H1646" s="160" t="str">
        <f>RIGHT(Journal!$J1646,9)</f>
        <v>000080350</v>
      </c>
      <c r="I1646" s="96" t="str">
        <f t="shared" si="131"/>
        <v>CoralClub</v>
      </c>
      <c r="J1646" s="97" t="s">
        <v>733</v>
      </c>
      <c r="K1646" s="29">
        <v>6586</v>
      </c>
      <c r="L1646" s="29">
        <v>0</v>
      </c>
      <c r="M1646" s="30">
        <f>IFERROR(VLOOKUP($A1646,HeadJournal!$A$1:$J$890,COLUMN(HeadJournal!I$1),0)*($K1646+$L1646)/(SUMIF($A:$A,$A1646,$K:$K)+SUMIF($A:$A,$A1646,$L:$L)),0)</f>
        <v>0</v>
      </c>
      <c r="N1646" s="30">
        <f>IFERROR((VLOOKUP($A1646,HeadJournal!$A$1:$K$890,COLUMN(HeadJournal!K$1),0)-VLOOKUP($A1646,HeadJournal!$A$1:$K$890,COLUMN(HeadJournal!J$1),0))*($K1646+$L1646)/(SUMIF($A:$A,$A1646,$K:$K)+SUMIF($A:$A,$A1646,$L:$L)),0)</f>
        <v>0</v>
      </c>
      <c r="O1646" s="30">
        <f>IFERROR((VLOOKUP($A1646,HeadJournal!$A$1:$L$890,COLUMN(HeadJournal!L$1),0)*($K1646+$L1646)/(SUMIF($A:$A,$A1646,$K:$K)+SUMIF($A:$A,$A1646,$L:$L)))/VLOOKUP($A1646,HeadJournal!$A$1:$L$890,COLUMN(HeadJournal!H$1),0),0)</f>
        <v>16.410571604179474</v>
      </c>
      <c r="P1646" s="30">
        <f>IFERROR(SUM(K1646:O1646)*VLOOKUP($A1646,HeadJournal!$A$1:$L$890,COLUMN(HeadJournal!H$1),0),0)</f>
        <v>6602.4105716041795</v>
      </c>
      <c r="Q1646" s="29">
        <v>8350</v>
      </c>
      <c r="R1646" s="31">
        <v>45067</v>
      </c>
      <c r="S1646" s="31" t="s">
        <v>3121</v>
      </c>
      <c r="T1646" s="95" t="str">
        <f t="shared" si="130"/>
        <v>2023 05</v>
      </c>
      <c r="U1646" s="32">
        <f t="shared" si="127"/>
        <v>1747.5894283958205</v>
      </c>
      <c r="V1646" s="22">
        <f t="shared" si="128"/>
        <v>0.264689602296455</v>
      </c>
      <c r="X1646" s="33"/>
      <c r="Y1646" s="33"/>
    </row>
    <row r="1647" spans="1:25" x14ac:dyDescent="0.2">
      <c r="A1647" s="93" t="s">
        <v>730</v>
      </c>
      <c r="B1647" s="94">
        <f>IFERROR(VLOOKUP($A1647,HeadJournal!$A$1:$NTR$890,COLUMN(HeadJournal!B$1),0),"")</f>
        <v>0</v>
      </c>
      <c r="C1647" s="94" t="str">
        <f>IFERROR(VLOOKUP($A1647,HeadJournal!$A$1:$NTR$890,COLUMN(HeadJournal!C$1),0),"")</f>
        <v>CoralClub_AV</v>
      </c>
      <c r="D1647" s="125" t="str">
        <f>IFERROR(VLOOKUP($A1647,HeadJournal!$A$1:$NTR$890,COLUMN(HeadJournal!D$1),0),"")</f>
        <v>Доставлен</v>
      </c>
      <c r="E1647" s="95">
        <f>IFERROR(VLOOKUP($A1647,HeadJournal!$A$1:$NTR$890,COLUMN(HeadJournal!G$1),0),"")</f>
        <v>45067</v>
      </c>
      <c r="F1647" s="95" t="str">
        <f t="shared" si="129"/>
        <v>2023 05</v>
      </c>
      <c r="G1647" s="96" t="s">
        <v>5</v>
      </c>
      <c r="H1647" s="160" t="str">
        <f>RIGHT(Journal!$J1647,9)</f>
        <v>000091619</v>
      </c>
      <c r="I1647" s="96" t="str">
        <f t="shared" si="131"/>
        <v>CoralClub</v>
      </c>
      <c r="J1647" s="97" t="s">
        <v>263</v>
      </c>
      <c r="K1647" s="29">
        <v>1332</v>
      </c>
      <c r="L1647" s="29">
        <v>0</v>
      </c>
      <c r="M1647" s="30">
        <f>IFERROR(VLOOKUP($A1647,HeadJournal!$A$1:$J$890,COLUMN(HeadJournal!I$1),0)*($K1647+$L1647)/(SUMIF($A:$A,$A1647,$K:$K)+SUMIF($A:$A,$A1647,$L:$L)),0)</f>
        <v>0</v>
      </c>
      <c r="N1647" s="30">
        <f>IFERROR((VLOOKUP($A1647,HeadJournal!$A$1:$K$890,COLUMN(HeadJournal!K$1),0)-VLOOKUP($A1647,HeadJournal!$A$1:$K$890,COLUMN(HeadJournal!J$1),0))*($K1647+$L1647)/(SUMIF($A:$A,$A1647,$K:$K)+SUMIF($A:$A,$A1647,$L:$L)),0)</f>
        <v>0</v>
      </c>
      <c r="O1647" s="30">
        <f>IFERROR((VLOOKUP($A1647,HeadJournal!$A$1:$L$890,COLUMN(HeadJournal!L$1),0)*($K1647+$L1647)/(SUMIF($A:$A,$A1647,$K:$K)+SUMIF($A:$A,$A1647,$L:$L)))/VLOOKUP($A1647,HeadJournal!$A$1:$L$890,COLUMN(HeadJournal!H$1),0),0)</f>
        <v>3.3189920098340506</v>
      </c>
      <c r="P1647" s="30">
        <f>IFERROR(SUM(K1647:O1647)*VLOOKUP($A1647,HeadJournal!$A$1:$L$890,COLUMN(HeadJournal!H$1),0),0)</f>
        <v>1335.3189920098341</v>
      </c>
      <c r="Q1647" s="29">
        <v>1690</v>
      </c>
      <c r="R1647" s="31">
        <v>45068</v>
      </c>
      <c r="S1647" s="31" t="s">
        <v>3121</v>
      </c>
      <c r="T1647" s="95" t="str">
        <f t="shared" si="130"/>
        <v>2023 05</v>
      </c>
      <c r="U1647" s="32">
        <f t="shared" si="127"/>
        <v>354.68100799016588</v>
      </c>
      <c r="V1647" s="22">
        <f t="shared" si="128"/>
        <v>0.26561519016240714</v>
      </c>
      <c r="X1647" s="33"/>
      <c r="Y1647" s="33"/>
    </row>
    <row r="1648" spans="1:25" x14ac:dyDescent="0.2">
      <c r="A1648" s="93" t="s">
        <v>734</v>
      </c>
      <c r="B1648" s="94">
        <f>IFERROR(VLOOKUP($A1648,HeadJournal!$A$1:$NTR$890,COLUMN(HeadJournal!B$1),0),"")</f>
        <v>0</v>
      </c>
      <c r="C1648" s="94" t="str">
        <f>IFERROR(VLOOKUP($A1648,HeadJournal!$A$1:$NTR$890,COLUMN(HeadJournal!C$1),0),"")</f>
        <v>CoralClub_OA</v>
      </c>
      <c r="D1648" s="125" t="str">
        <f>IFERROR(VLOOKUP($A1648,HeadJournal!$A$1:$NTR$890,COLUMN(HeadJournal!D$1),0),"")</f>
        <v>Доставлен</v>
      </c>
      <c r="E1648" s="95">
        <f>IFERROR(VLOOKUP($A1648,HeadJournal!$A$1:$NTR$890,COLUMN(HeadJournal!G$1),0),"")</f>
        <v>45065</v>
      </c>
      <c r="F1648" s="95" t="str">
        <f t="shared" si="129"/>
        <v>2023 05</v>
      </c>
      <c r="G1648" s="96" t="s">
        <v>5</v>
      </c>
      <c r="H1648" s="160" t="str">
        <f>RIGHT(Journal!$J1648,9)</f>
        <v>000002149</v>
      </c>
      <c r="I1648" s="96" t="str">
        <f t="shared" si="131"/>
        <v>CoralClub</v>
      </c>
      <c r="J1648" s="97" t="s">
        <v>703</v>
      </c>
      <c r="K1648" s="29">
        <v>629</v>
      </c>
      <c r="L1648" s="29">
        <v>0</v>
      </c>
      <c r="M1648" s="30">
        <f>IFERROR(VLOOKUP($A1648,HeadJournal!$A$1:$J$890,COLUMN(HeadJournal!I$1),0)*($K1648+$L1648)/(SUMIF($A:$A,$A1648,$K:$K)+SUMIF($A:$A,$A1648,$L:$L)),0)</f>
        <v>-507.4</v>
      </c>
      <c r="N1648" s="30">
        <f>IFERROR((VLOOKUP($A1648,HeadJournal!$A$1:$K$890,COLUMN(HeadJournal!K$1),0)-VLOOKUP($A1648,HeadJournal!$A$1:$K$890,COLUMN(HeadJournal!J$1),0))*($K1648+$L1648)/(SUMIF($A:$A,$A1648,$K:$K)+SUMIF($A:$A,$A1648,$L:$L)),0)</f>
        <v>507.4</v>
      </c>
      <c r="O1648" s="30">
        <f>IFERROR((VLOOKUP($A1648,HeadJournal!$A$1:$L$890,COLUMN(HeadJournal!L$1),0)*($K1648+$L1648)/(SUMIF($A:$A,$A1648,$K:$K)+SUMIF($A:$A,$A1648,$L:$L)))/VLOOKUP($A1648,HeadJournal!$A$1:$L$890,COLUMN(HeadJournal!H$1),0),0)</f>
        <v>0</v>
      </c>
      <c r="P1648" s="30">
        <f>IFERROR(SUM(K1648:O1648)*VLOOKUP($A1648,HeadJournal!$A$1:$L$890,COLUMN(HeadJournal!H$1),0),0)</f>
        <v>629</v>
      </c>
      <c r="Q1648" s="29">
        <v>1100</v>
      </c>
      <c r="R1648" s="31">
        <v>45259</v>
      </c>
      <c r="S1648" s="31" t="s">
        <v>3121</v>
      </c>
      <c r="T1648" s="95" t="str">
        <f t="shared" si="130"/>
        <v>2023 11</v>
      </c>
      <c r="U1648" s="32">
        <f t="shared" si="127"/>
        <v>471</v>
      </c>
      <c r="V1648" s="22">
        <f t="shared" si="128"/>
        <v>0.74880763116057236</v>
      </c>
      <c r="X1648" s="33"/>
      <c r="Y1648" s="33"/>
    </row>
    <row r="1649" spans="1:25" x14ac:dyDescent="0.2">
      <c r="A1649" s="93" t="s">
        <v>735</v>
      </c>
      <c r="B1649" s="94">
        <f>IFERROR(VLOOKUP($A1649,HeadJournal!$A$1:$NTR$890,COLUMN(HeadJournal!B$1),0),"")</f>
        <v>0</v>
      </c>
      <c r="C1649" s="94" t="str">
        <f>IFERROR(VLOOKUP($A1649,HeadJournal!$A$1:$NTR$890,COLUMN(HeadJournal!C$1),0),"")</f>
        <v>OZON_AV</v>
      </c>
      <c r="D1649" s="125" t="str">
        <f>IFERROR(VLOOKUP($A1649,HeadJournal!$A$1:$NTR$890,COLUMN(HeadJournal!D$1),0),"")</f>
        <v>Доставлен</v>
      </c>
      <c r="E1649" s="95">
        <f>IFERROR(VLOOKUP($A1649,HeadJournal!$A$1:$NTR$890,COLUMN(HeadJournal!G$1),0),"")</f>
        <v>45069</v>
      </c>
      <c r="F1649" s="95" t="str">
        <f t="shared" si="129"/>
        <v>2023 05</v>
      </c>
      <c r="G1649" s="96" t="s">
        <v>5</v>
      </c>
      <c r="H1649" s="160" t="str">
        <f>RIGHT(Journal!$J1649,9)</f>
        <v>983333252</v>
      </c>
      <c r="I1649" s="96" t="str">
        <f t="shared" si="131"/>
        <v>Sumyin Wan Slim</v>
      </c>
      <c r="J1649" s="97" t="s">
        <v>736</v>
      </c>
      <c r="K1649" s="29">
        <v>936</v>
      </c>
      <c r="L1649" s="29">
        <v>0</v>
      </c>
      <c r="M1649" s="30">
        <f>IFERROR(VLOOKUP($A1649,HeadJournal!$A$1:$J$890,COLUMN(HeadJournal!I$1),0)*($K1649+$L1649)/(SUMIF($A:$A,$A1649,$K:$K)+SUMIF($A:$A,$A1649,$L:$L)),0)</f>
        <v>0</v>
      </c>
      <c r="N1649" s="30">
        <f>IFERROR((VLOOKUP($A1649,HeadJournal!$A$1:$K$890,COLUMN(HeadJournal!K$1),0)-VLOOKUP($A1649,HeadJournal!$A$1:$K$890,COLUMN(HeadJournal!J$1),0))*($K1649+$L1649)/(SUMIF($A:$A,$A1649,$K:$K)+SUMIF($A:$A,$A1649,$L:$L)),0)</f>
        <v>0</v>
      </c>
      <c r="O1649" s="30">
        <f>IFERROR((VLOOKUP($A1649,HeadJournal!$A$1:$L$890,COLUMN(HeadJournal!L$1),0)*($K1649+$L1649)/(SUMIF($A:$A,$A1649,$K:$K)+SUMIF($A:$A,$A1649,$L:$L)))/VLOOKUP($A1649,HeadJournal!$A$1:$L$890,COLUMN(HeadJournal!H$1),0),0)</f>
        <v>93.600000000000009</v>
      </c>
      <c r="P1649" s="30">
        <f>IFERROR(SUM(K1649:O1649)*VLOOKUP($A1649,HeadJournal!$A$1:$L$890,COLUMN(HeadJournal!H$1),0),0)</f>
        <v>1029.5999999999999</v>
      </c>
      <c r="Q1649" s="29">
        <v>1600</v>
      </c>
      <c r="R1649" s="31">
        <v>45086</v>
      </c>
      <c r="S1649" s="31" t="s">
        <v>3121</v>
      </c>
      <c r="T1649" s="95" t="str">
        <f t="shared" si="130"/>
        <v>2023 06</v>
      </c>
      <c r="U1649" s="32">
        <f t="shared" si="127"/>
        <v>570.40000000000009</v>
      </c>
      <c r="V1649" s="22">
        <f t="shared" si="128"/>
        <v>0.55400155400155415</v>
      </c>
      <c r="X1649" s="33"/>
      <c r="Y1649" s="33"/>
    </row>
    <row r="1650" spans="1:25" x14ac:dyDescent="0.2">
      <c r="A1650" s="93" t="s">
        <v>735</v>
      </c>
      <c r="B1650" s="94">
        <f>IFERROR(VLOOKUP($A1650,HeadJournal!$A$1:$NTR$890,COLUMN(HeadJournal!B$1),0),"")</f>
        <v>0</v>
      </c>
      <c r="C1650" s="94" t="str">
        <f>IFERROR(VLOOKUP($A1650,HeadJournal!$A$1:$NTR$890,COLUMN(HeadJournal!C$1),0),"")</f>
        <v>OZON_AV</v>
      </c>
      <c r="D1650" s="125" t="str">
        <f>IFERROR(VLOOKUP($A1650,HeadJournal!$A$1:$NTR$890,COLUMN(HeadJournal!D$1),0),"")</f>
        <v>Доставлен</v>
      </c>
      <c r="E1650" s="95">
        <f>IFERROR(VLOOKUP($A1650,HeadJournal!$A$1:$NTR$890,COLUMN(HeadJournal!G$1),0),"")</f>
        <v>45069</v>
      </c>
      <c r="F1650" s="95" t="str">
        <f t="shared" si="129"/>
        <v>2023 05</v>
      </c>
      <c r="G1650" s="96" t="s">
        <v>6</v>
      </c>
      <c r="H1650" s="160" t="str">
        <f>RIGHT(Journal!$J1650,9)</f>
        <v>892721541</v>
      </c>
      <c r="I1650" s="96" t="str">
        <f t="shared" si="131"/>
        <v>FatZorb</v>
      </c>
      <c r="J1650" s="97" t="s">
        <v>737</v>
      </c>
      <c r="K1650" s="29">
        <v>1021</v>
      </c>
      <c r="L1650" s="29">
        <v>0</v>
      </c>
      <c r="M1650" s="30">
        <f>IFERROR(VLOOKUP($A1650,HeadJournal!$A$1:$J$890,COLUMN(HeadJournal!I$1),0)*($K1650+$L1650)/(SUMIF($A:$A,$A1650,$K:$K)+SUMIF($A:$A,$A1650,$L:$L)),0)</f>
        <v>0</v>
      </c>
      <c r="N1650" s="30">
        <f>IFERROR((VLOOKUP($A1650,HeadJournal!$A$1:$K$890,COLUMN(HeadJournal!K$1),0)-VLOOKUP($A1650,HeadJournal!$A$1:$K$890,COLUMN(HeadJournal!J$1),0))*($K1650+$L1650)/(SUMIF($A:$A,$A1650,$K:$K)+SUMIF($A:$A,$A1650,$L:$L)),0)</f>
        <v>0</v>
      </c>
      <c r="O1650" s="30">
        <f>IFERROR((VLOOKUP($A1650,HeadJournal!$A$1:$L$890,COLUMN(HeadJournal!L$1),0)*($K1650+$L1650)/(SUMIF($A:$A,$A1650,$K:$K)+SUMIF($A:$A,$A1650,$L:$L)))/VLOOKUP($A1650,HeadJournal!$A$1:$L$890,COLUMN(HeadJournal!H$1),0),0)</f>
        <v>102.10000000000001</v>
      </c>
      <c r="P1650" s="30">
        <f>IFERROR(SUM(K1650:O1650)*VLOOKUP($A1650,HeadJournal!$A$1:$L$890,COLUMN(HeadJournal!H$1),0),0)</f>
        <v>1123.0999999999999</v>
      </c>
      <c r="Q1650" s="29">
        <v>1700</v>
      </c>
      <c r="R1650" s="31">
        <v>45086</v>
      </c>
      <c r="S1650" s="31" t="s">
        <v>3121</v>
      </c>
      <c r="T1650" s="95" t="str">
        <f t="shared" si="130"/>
        <v>2023 06</v>
      </c>
      <c r="U1650" s="32">
        <f t="shared" si="127"/>
        <v>576.90000000000009</v>
      </c>
      <c r="V1650" s="22">
        <f t="shared" si="128"/>
        <v>0.51366752737957455</v>
      </c>
      <c r="X1650" s="33"/>
      <c r="Y1650" s="33"/>
    </row>
    <row r="1651" spans="1:25" x14ac:dyDescent="0.2">
      <c r="A1651" s="93" t="s">
        <v>738</v>
      </c>
      <c r="B1651" s="94">
        <f>IFERROR(VLOOKUP($A1651,HeadJournal!$A$1:$NTR$890,COLUMN(HeadJournal!B$1),0),"")</f>
        <v>0</v>
      </c>
      <c r="C1651" s="94" t="str">
        <f>IFERROR(VLOOKUP($A1651,HeadJournal!$A$1:$NTR$890,COLUMN(HeadJournal!C$1),0),"")</f>
        <v>OZON_AV</v>
      </c>
      <c r="D1651" s="125" t="str">
        <f>IFERROR(VLOOKUP($A1651,HeadJournal!$A$1:$NTR$890,COLUMN(HeadJournal!D$1),0),"")</f>
        <v>Доставлен</v>
      </c>
      <c r="E1651" s="95">
        <f>IFERROR(VLOOKUP($A1651,HeadJournal!$A$1:$NTR$890,COLUMN(HeadJournal!G$1),0),"")</f>
        <v>45069</v>
      </c>
      <c r="F1651" s="95" t="str">
        <f t="shared" si="129"/>
        <v>2023 05</v>
      </c>
      <c r="G1651" s="96" t="s">
        <v>5</v>
      </c>
      <c r="H1651" s="160" t="str">
        <f>RIGHT(Journal!$J1651,9)</f>
        <v>983333197</v>
      </c>
      <c r="I1651" s="96" t="str">
        <f t="shared" si="131"/>
        <v>B-Fit</v>
      </c>
      <c r="J1651" s="97" t="s">
        <v>739</v>
      </c>
      <c r="K1651" s="29">
        <v>1096</v>
      </c>
      <c r="L1651" s="29"/>
      <c r="M1651" s="30">
        <f>IFERROR(VLOOKUP($A1651,HeadJournal!$A$1:$J$890,COLUMN(HeadJournal!I$1),0)*($K1651+$L1651)/(SUMIF($A:$A,$A1651,$K:$K)+SUMIF($A:$A,$A1651,$L:$L)),0)</f>
        <v>0</v>
      </c>
      <c r="N1651" s="30">
        <f>IFERROR((VLOOKUP($A1651,HeadJournal!$A$1:$K$890,COLUMN(HeadJournal!K$1),0)-VLOOKUP($A1651,HeadJournal!$A$1:$K$890,COLUMN(HeadJournal!J$1),0))*($K1651+$L1651)/(SUMIF($A:$A,$A1651,$K:$K)+SUMIF($A:$A,$A1651,$L:$L)),0)</f>
        <v>0</v>
      </c>
      <c r="O1651" s="30">
        <f>IFERROR((VLOOKUP($A1651,HeadJournal!$A$1:$L$890,COLUMN(HeadJournal!L$1),0)*($K1651+$L1651)/(SUMIF($A:$A,$A1651,$K:$K)+SUMIF($A:$A,$A1651,$L:$L)))/VLOOKUP($A1651,HeadJournal!$A$1:$L$890,COLUMN(HeadJournal!H$1),0),0)</f>
        <v>109.60000000000001</v>
      </c>
      <c r="P1651" s="30">
        <f>IFERROR(SUM(K1651:O1651)*VLOOKUP($A1651,HeadJournal!$A$1:$L$890,COLUMN(HeadJournal!H$1),0),0)</f>
        <v>1205.5999999999999</v>
      </c>
      <c r="Q1651" s="29">
        <v>1700</v>
      </c>
      <c r="R1651" s="31">
        <v>45086</v>
      </c>
      <c r="S1651" s="31" t="s">
        <v>3121</v>
      </c>
      <c r="T1651" s="95" t="str">
        <f t="shared" si="130"/>
        <v>2023 06</v>
      </c>
      <c r="U1651" s="32">
        <f t="shared" si="127"/>
        <v>494.40000000000009</v>
      </c>
      <c r="V1651" s="22">
        <f t="shared" si="128"/>
        <v>0.41008626410086274</v>
      </c>
      <c r="X1651" s="33"/>
      <c r="Y1651" s="33"/>
    </row>
    <row r="1652" spans="1:25" x14ac:dyDescent="0.2">
      <c r="A1652" s="93" t="s">
        <v>740</v>
      </c>
      <c r="B1652" s="94">
        <f>IFERROR(VLOOKUP($A1652,HeadJournal!$A$1:$NTR$890,COLUMN(HeadJournal!B$1),0),"")</f>
        <v>0</v>
      </c>
      <c r="C1652" s="94" t="str">
        <f>IFERROR(VLOOKUP($A1652,HeadJournal!$A$1:$NTR$890,COLUMN(HeadJournal!C$1),0),"")</f>
        <v>OZON_AV</v>
      </c>
      <c r="D1652" s="125" t="str">
        <f>IFERROR(VLOOKUP($A1652,HeadJournal!$A$1:$NTR$890,COLUMN(HeadJournal!D$1),0),"")</f>
        <v>Доставлен</v>
      </c>
      <c r="E1652" s="95">
        <f>IFERROR(VLOOKUP($A1652,HeadJournal!$A$1:$NTR$890,COLUMN(HeadJournal!G$1),0),"")</f>
        <v>45072</v>
      </c>
      <c r="F1652" s="95" t="str">
        <f t="shared" si="129"/>
        <v>2023 05</v>
      </c>
      <c r="G1652" s="96" t="s">
        <v>6</v>
      </c>
      <c r="H1652" s="160" t="str">
        <f>RIGHT(Journal!$J1652,9)</f>
        <v>769390102</v>
      </c>
      <c r="I1652" s="96" t="str">
        <f t="shared" si="131"/>
        <v>Cloma Pharma</v>
      </c>
      <c r="J1652" s="97" t="s">
        <v>741</v>
      </c>
      <c r="K1652" s="29">
        <v>2105</v>
      </c>
      <c r="L1652" s="29"/>
      <c r="M1652" s="30">
        <f>IFERROR(VLOOKUP($A1652,HeadJournal!$A$1:$J$890,COLUMN(HeadJournal!I$1),0)*($K1652+$L1652)/(SUMIF($A:$A,$A1652,$K:$K)+SUMIF($A:$A,$A1652,$L:$L)),0)</f>
        <v>0</v>
      </c>
      <c r="N1652" s="30">
        <f>IFERROR((VLOOKUP($A1652,HeadJournal!$A$1:$K$890,COLUMN(HeadJournal!K$1),0)-VLOOKUP($A1652,HeadJournal!$A$1:$K$890,COLUMN(HeadJournal!J$1),0))*($K1652+$L1652)/(SUMIF($A:$A,$A1652,$K:$K)+SUMIF($A:$A,$A1652,$L:$L)),0)</f>
        <v>0</v>
      </c>
      <c r="O1652" s="30">
        <f>IFERROR((VLOOKUP($A1652,HeadJournal!$A$1:$L$890,COLUMN(HeadJournal!L$1),0)*($K1652+$L1652)/(SUMIF($A:$A,$A1652,$K:$K)+SUMIF($A:$A,$A1652,$L:$L)))/VLOOKUP($A1652,HeadJournal!$A$1:$L$890,COLUMN(HeadJournal!H$1),0),0)</f>
        <v>210.5</v>
      </c>
      <c r="P1652" s="30">
        <f>IFERROR(SUM(K1652:O1652)*VLOOKUP($A1652,HeadJournal!$A$1:$L$890,COLUMN(HeadJournal!H$1),0),0)</f>
        <v>2315.5</v>
      </c>
      <c r="Q1652" s="29">
        <v>4000</v>
      </c>
      <c r="R1652" s="31">
        <v>45082</v>
      </c>
      <c r="S1652" s="31" t="s">
        <v>3121</v>
      </c>
      <c r="T1652" s="95" t="str">
        <f t="shared" si="130"/>
        <v>2023 06</v>
      </c>
      <c r="U1652" s="32">
        <f t="shared" si="127"/>
        <v>1684.5</v>
      </c>
      <c r="V1652" s="22">
        <f t="shared" si="128"/>
        <v>0.72748866335564677</v>
      </c>
      <c r="X1652" s="33"/>
      <c r="Y1652" s="33"/>
    </row>
    <row r="1653" spans="1:25" x14ac:dyDescent="0.2">
      <c r="A1653" s="93" t="s">
        <v>740</v>
      </c>
      <c r="B1653" s="94">
        <f>IFERROR(VLOOKUP($A1653,HeadJournal!$A$1:$NTR$890,COLUMN(HeadJournal!B$1),0),"")</f>
        <v>0</v>
      </c>
      <c r="C1653" s="94" t="str">
        <f>IFERROR(VLOOKUP($A1653,HeadJournal!$A$1:$NTR$890,COLUMN(HeadJournal!C$1),0),"")</f>
        <v>OZON_AV</v>
      </c>
      <c r="D1653" s="125" t="str">
        <f>IFERROR(VLOOKUP($A1653,HeadJournal!$A$1:$NTR$890,COLUMN(HeadJournal!D$1),0),"")</f>
        <v>Доставлен</v>
      </c>
      <c r="E1653" s="95">
        <f>IFERROR(VLOOKUP($A1653,HeadJournal!$A$1:$NTR$890,COLUMN(HeadJournal!G$1),0),"")</f>
        <v>45072</v>
      </c>
      <c r="F1653" s="95" t="str">
        <f t="shared" si="129"/>
        <v>2023 05</v>
      </c>
      <c r="G1653" s="96" t="s">
        <v>6</v>
      </c>
      <c r="H1653" s="160" t="str">
        <f>RIGHT(Journal!$J1653,9)</f>
        <v>769390102</v>
      </c>
      <c r="I1653" s="96" t="str">
        <f t="shared" si="131"/>
        <v>Cloma Pharma</v>
      </c>
      <c r="J1653" s="97" t="s">
        <v>741</v>
      </c>
      <c r="K1653" s="29">
        <v>2105</v>
      </c>
      <c r="L1653" s="29"/>
      <c r="M1653" s="30">
        <f>IFERROR(VLOOKUP($A1653,HeadJournal!$A$1:$J$890,COLUMN(HeadJournal!I$1),0)*($K1653+$L1653)/(SUMIF($A:$A,$A1653,$K:$K)+SUMIF($A:$A,$A1653,$L:$L)),0)</f>
        <v>0</v>
      </c>
      <c r="N1653" s="30">
        <f>IFERROR((VLOOKUP($A1653,HeadJournal!$A$1:$K$890,COLUMN(HeadJournal!K$1),0)-VLOOKUP($A1653,HeadJournal!$A$1:$K$890,COLUMN(HeadJournal!J$1),0))*($K1653+$L1653)/(SUMIF($A:$A,$A1653,$K:$K)+SUMIF($A:$A,$A1653,$L:$L)),0)</f>
        <v>0</v>
      </c>
      <c r="O1653" s="30">
        <f>IFERROR((VLOOKUP($A1653,HeadJournal!$A$1:$L$890,COLUMN(HeadJournal!L$1),0)*($K1653+$L1653)/(SUMIF($A:$A,$A1653,$K:$K)+SUMIF($A:$A,$A1653,$L:$L)))/VLOOKUP($A1653,HeadJournal!$A$1:$L$890,COLUMN(HeadJournal!H$1),0),0)</f>
        <v>210.5</v>
      </c>
      <c r="P1653" s="30">
        <f>IFERROR(SUM(K1653:O1653)*VLOOKUP($A1653,HeadJournal!$A$1:$L$890,COLUMN(HeadJournal!H$1),0),0)</f>
        <v>2315.5</v>
      </c>
      <c r="Q1653" s="29">
        <v>4000</v>
      </c>
      <c r="R1653" s="31">
        <v>45122</v>
      </c>
      <c r="S1653" s="31" t="s">
        <v>3121</v>
      </c>
      <c r="T1653" s="95" t="str">
        <f t="shared" si="130"/>
        <v>2023 07</v>
      </c>
      <c r="U1653" s="32">
        <f t="shared" si="127"/>
        <v>1684.5</v>
      </c>
      <c r="V1653" s="22">
        <f t="shared" si="128"/>
        <v>0.72748866335564677</v>
      </c>
      <c r="X1653" s="33"/>
      <c r="Y1653" s="33"/>
    </row>
    <row r="1654" spans="1:25" x14ac:dyDescent="0.2">
      <c r="A1654" s="93" t="s">
        <v>740</v>
      </c>
      <c r="B1654" s="94">
        <f>IFERROR(VLOOKUP($A1654,HeadJournal!$A$1:$NTR$890,COLUMN(HeadJournal!B$1),0),"")</f>
        <v>0</v>
      </c>
      <c r="C1654" s="94" t="str">
        <f>IFERROR(VLOOKUP($A1654,HeadJournal!$A$1:$NTR$890,COLUMN(HeadJournal!C$1),0),"")</f>
        <v>OZON_AV</v>
      </c>
      <c r="D1654" s="125" t="str">
        <f>IFERROR(VLOOKUP($A1654,HeadJournal!$A$1:$NTR$890,COLUMN(HeadJournal!D$1),0),"")</f>
        <v>Доставлен</v>
      </c>
      <c r="E1654" s="95">
        <f>IFERROR(VLOOKUP($A1654,HeadJournal!$A$1:$NTR$890,COLUMN(HeadJournal!G$1),0),"")</f>
        <v>45072</v>
      </c>
      <c r="F1654" s="95" t="str">
        <f t="shared" si="129"/>
        <v>2023 05</v>
      </c>
      <c r="G1654" s="96" t="s">
        <v>6</v>
      </c>
      <c r="H1654" s="160" t="str">
        <f>RIGHT(Journal!$J1654,9)</f>
        <v>769390102</v>
      </c>
      <c r="I1654" s="96" t="str">
        <f t="shared" si="131"/>
        <v>Cloma Pharma</v>
      </c>
      <c r="J1654" s="97" t="s">
        <v>741</v>
      </c>
      <c r="K1654" s="29">
        <v>2105</v>
      </c>
      <c r="L1654" s="29"/>
      <c r="M1654" s="30">
        <f>IFERROR(VLOOKUP($A1654,HeadJournal!$A$1:$J$890,COLUMN(HeadJournal!I$1),0)*($K1654+$L1654)/(SUMIF($A:$A,$A1654,$K:$K)+SUMIF($A:$A,$A1654,$L:$L)),0)</f>
        <v>0</v>
      </c>
      <c r="N1654" s="30">
        <f>IFERROR((VLOOKUP($A1654,HeadJournal!$A$1:$K$890,COLUMN(HeadJournal!K$1),0)-VLOOKUP($A1654,HeadJournal!$A$1:$K$890,COLUMN(HeadJournal!J$1),0))*($K1654+$L1654)/(SUMIF($A:$A,$A1654,$K:$K)+SUMIF($A:$A,$A1654,$L:$L)),0)</f>
        <v>0</v>
      </c>
      <c r="O1654" s="30">
        <f>IFERROR((VLOOKUP($A1654,HeadJournal!$A$1:$L$890,COLUMN(HeadJournal!L$1),0)*($K1654+$L1654)/(SUMIF($A:$A,$A1654,$K:$K)+SUMIF($A:$A,$A1654,$L:$L)))/VLOOKUP($A1654,HeadJournal!$A$1:$L$890,COLUMN(HeadJournal!H$1),0),0)</f>
        <v>210.5</v>
      </c>
      <c r="P1654" s="30">
        <f>IFERROR(SUM(K1654:O1654)*VLOOKUP($A1654,HeadJournal!$A$1:$L$890,COLUMN(HeadJournal!H$1),0),0)</f>
        <v>2315.5</v>
      </c>
      <c r="Q1654" s="29">
        <v>3900</v>
      </c>
      <c r="R1654" s="31">
        <v>45137</v>
      </c>
      <c r="S1654" s="31" t="s">
        <v>3121</v>
      </c>
      <c r="T1654" s="95" t="str">
        <f t="shared" si="130"/>
        <v>2023 07</v>
      </c>
      <c r="U1654" s="32">
        <f t="shared" si="127"/>
        <v>1584.5</v>
      </c>
      <c r="V1654" s="22">
        <f t="shared" si="128"/>
        <v>0.68430144677175553</v>
      </c>
      <c r="X1654" s="33"/>
      <c r="Y1654" s="33"/>
    </row>
    <row r="1655" spans="1:25" x14ac:dyDescent="0.2">
      <c r="A1655" s="93" t="s">
        <v>742</v>
      </c>
      <c r="B1655" s="94" t="str">
        <f>IFERROR(VLOOKUP($A1655,HeadJournal!$A$1:$NTR$890,COLUMN(HeadJournal!B$1),0),"")</f>
        <v>710000817994</v>
      </c>
      <c r="C1655" s="94" t="str">
        <f>IFERROR(VLOOKUP($A1655,HeadJournal!$A$1:$NTR$890,COLUMN(HeadJournal!C$1),0),"")</f>
        <v>iHerb_MH DLE7202</v>
      </c>
      <c r="D1655" s="125" t="str">
        <f>IFERROR(VLOOKUP($A1655,HeadJournal!$A$1:$NTR$890,COLUMN(HeadJournal!D$1),0),"")</f>
        <v>Доставлен</v>
      </c>
      <c r="E1655" s="95">
        <f>IFERROR(VLOOKUP($A1655,HeadJournal!$A$1:$NTR$890,COLUMN(HeadJournal!G$1),0),"")</f>
        <v>45072</v>
      </c>
      <c r="F1655" s="95" t="str">
        <f t="shared" si="129"/>
        <v>2023 05</v>
      </c>
      <c r="G1655" s="96" t="s">
        <v>7</v>
      </c>
      <c r="H1655" s="160" t="str">
        <f>RIGHT(Journal!$J1655,9)</f>
        <v>ARH-19793</v>
      </c>
      <c r="I1655" s="96" t="str">
        <f t="shared" si="131"/>
        <v>Arm &amp; Hammer</v>
      </c>
      <c r="J1655" s="97" t="s">
        <v>743</v>
      </c>
      <c r="K1655" s="29">
        <v>5.14</v>
      </c>
      <c r="L1655" s="29">
        <v>-0.79</v>
      </c>
      <c r="M1655" s="30">
        <f>IFERROR(VLOOKUP($A1655,HeadJournal!$A$1:$J$890,COLUMN(HeadJournal!I$1),0)*($K1655+$L1655)/(SUMIF($A:$A,$A1655,$K:$K)+SUMIF($A:$A,$A1655,$L:$L)),0)</f>
        <v>0.11422968710034953</v>
      </c>
      <c r="N1655" s="30">
        <f>IFERROR((VLOOKUP($A1655,HeadJournal!$A$1:$K$890,COLUMN(HeadJournal!K$1),0)-VLOOKUP($A1655,HeadJournal!$A$1:$K$890,COLUMN(HeadJournal!J$1),0))*($K1655+$L1655)/(SUMIF($A:$A,$A1655,$K:$K)+SUMIF($A:$A,$A1655,$L:$L)),0)</f>
        <v>-1.0540918750299035E-15</v>
      </c>
      <c r="O1655" s="30">
        <f>IFERROR((VLOOKUP($A1655,HeadJournal!$A$1:$L$890,COLUMN(HeadJournal!L$1),0)*($K1655+$L1655)/(SUMIF($A:$A,$A1655,$K:$K)+SUMIF($A:$A,$A1655,$L:$L)))/VLOOKUP($A1655,HeadJournal!$A$1:$L$890,COLUMN(HeadJournal!H$1),0),0)</f>
        <v>0.37507766245606328</v>
      </c>
      <c r="P1655" s="30">
        <f>IFERROR(SUM(K1655:O1655)*VLOOKUP($A1655,HeadJournal!$A$1:$L$890,COLUMN(HeadJournal!H$1),0),0)</f>
        <v>432.27562447655407</v>
      </c>
      <c r="Q1655" s="29">
        <v>700</v>
      </c>
      <c r="R1655" s="31">
        <v>45122</v>
      </c>
      <c r="S1655" s="31" t="s">
        <v>3121</v>
      </c>
      <c r="T1655" s="95" t="str">
        <f t="shared" si="130"/>
        <v>2023 07</v>
      </c>
      <c r="U1655" s="32">
        <f t="shared" si="127"/>
        <v>267.72437552344593</v>
      </c>
      <c r="V1655" s="22">
        <f t="shared" si="128"/>
        <v>0.61933720146176519</v>
      </c>
      <c r="X1655" s="33"/>
      <c r="Y1655" s="33"/>
    </row>
    <row r="1656" spans="1:25" x14ac:dyDescent="0.2">
      <c r="A1656" s="93" t="s">
        <v>742</v>
      </c>
      <c r="B1656" s="94" t="str">
        <f>IFERROR(VLOOKUP($A1656,HeadJournal!$A$1:$NTR$890,COLUMN(HeadJournal!B$1),0),"")</f>
        <v>710000817994</v>
      </c>
      <c r="C1656" s="94" t="str">
        <f>IFERROR(VLOOKUP($A1656,HeadJournal!$A$1:$NTR$890,COLUMN(HeadJournal!C$1),0),"")</f>
        <v>iHerb_MH DLE7202</v>
      </c>
      <c r="D1656" s="125" t="str">
        <f>IFERROR(VLOOKUP($A1656,HeadJournal!$A$1:$NTR$890,COLUMN(HeadJournal!D$1),0),"")</f>
        <v>Доставлен</v>
      </c>
      <c r="E1656" s="95">
        <f>IFERROR(VLOOKUP($A1656,HeadJournal!$A$1:$NTR$890,COLUMN(HeadJournal!G$1),0),"")</f>
        <v>45072</v>
      </c>
      <c r="F1656" s="95" t="str">
        <f t="shared" si="129"/>
        <v>2023 05</v>
      </c>
      <c r="G1656" s="96" t="s">
        <v>7</v>
      </c>
      <c r="H1656" s="160" t="str">
        <f>RIGHT(Journal!$J1656,9)</f>
        <v>ARH-19793</v>
      </c>
      <c r="I1656" s="96" t="str">
        <f t="shared" si="131"/>
        <v>Arm &amp; Hammer</v>
      </c>
      <c r="J1656" s="97" t="s">
        <v>743</v>
      </c>
      <c r="K1656" s="29">
        <v>5.14</v>
      </c>
      <c r="L1656" s="29">
        <v>-0.79</v>
      </c>
      <c r="M1656" s="30">
        <f>IFERROR(VLOOKUP($A1656,HeadJournal!$A$1:$J$890,COLUMN(HeadJournal!I$1),0)*($K1656+$L1656)/(SUMIF($A:$A,$A1656,$K:$K)+SUMIF($A:$A,$A1656,$L:$L)),0)</f>
        <v>0.11422968710034953</v>
      </c>
      <c r="N1656" s="30">
        <f>IFERROR((VLOOKUP($A1656,HeadJournal!$A$1:$K$890,COLUMN(HeadJournal!K$1),0)-VLOOKUP($A1656,HeadJournal!$A$1:$K$890,COLUMN(HeadJournal!J$1),0))*($K1656+$L1656)/(SUMIF($A:$A,$A1656,$K:$K)+SUMIF($A:$A,$A1656,$L:$L)),0)</f>
        <v>-1.0540918750299035E-15</v>
      </c>
      <c r="O1656" s="30">
        <f>IFERROR((VLOOKUP($A1656,HeadJournal!$A$1:$L$890,COLUMN(HeadJournal!L$1),0)*($K1656+$L1656)/(SUMIF($A:$A,$A1656,$K:$K)+SUMIF($A:$A,$A1656,$L:$L)))/VLOOKUP($A1656,HeadJournal!$A$1:$L$890,COLUMN(HeadJournal!H$1),0),0)</f>
        <v>0.37507766245606328</v>
      </c>
      <c r="P1656" s="30">
        <f>IFERROR(SUM(K1656:O1656)*VLOOKUP($A1656,HeadJournal!$A$1:$L$890,COLUMN(HeadJournal!H$1),0),0)</f>
        <v>432.27562447655407</v>
      </c>
      <c r="Q1656" s="29">
        <v>800</v>
      </c>
      <c r="R1656" s="31">
        <v>45174</v>
      </c>
      <c r="S1656" s="31" t="s">
        <v>3121</v>
      </c>
      <c r="T1656" s="95" t="str">
        <f t="shared" si="130"/>
        <v>2023 09</v>
      </c>
      <c r="U1656" s="32">
        <f t="shared" si="127"/>
        <v>367.72437552344593</v>
      </c>
      <c r="V1656" s="22">
        <f t="shared" si="128"/>
        <v>0.85067108738487451</v>
      </c>
      <c r="X1656" s="33"/>
      <c r="Y1656" s="33"/>
    </row>
    <row r="1657" spans="1:25" x14ac:dyDescent="0.2">
      <c r="A1657" s="93" t="s">
        <v>742</v>
      </c>
      <c r="B1657" s="94" t="str">
        <f>IFERROR(VLOOKUP($A1657,HeadJournal!$A$1:$NTR$890,COLUMN(HeadJournal!B$1),0),"")</f>
        <v>710000817994</v>
      </c>
      <c r="C1657" s="94" t="str">
        <f>IFERROR(VLOOKUP($A1657,HeadJournal!$A$1:$NTR$890,COLUMN(HeadJournal!C$1),0),"")</f>
        <v>iHerb_MH DLE7202</v>
      </c>
      <c r="D1657" s="125" t="str">
        <f>IFERROR(VLOOKUP($A1657,HeadJournal!$A$1:$NTR$890,COLUMN(HeadJournal!D$1),0),"")</f>
        <v>Доставлен</v>
      </c>
      <c r="E1657" s="95">
        <f>IFERROR(VLOOKUP($A1657,HeadJournal!$A$1:$NTR$890,COLUMN(HeadJournal!G$1),0),"")</f>
        <v>45072</v>
      </c>
      <c r="F1657" s="95" t="str">
        <f t="shared" si="129"/>
        <v>2023 05</v>
      </c>
      <c r="G1657" s="96" t="s">
        <v>5</v>
      </c>
      <c r="H1657" s="161" t="s">
        <v>2025</v>
      </c>
      <c r="I1657" s="97" t="s">
        <v>2008</v>
      </c>
      <c r="J1657" s="97" t="s">
        <v>2026</v>
      </c>
      <c r="K1657" s="29">
        <v>15.19</v>
      </c>
      <c r="L1657" s="29">
        <v>-2.27</v>
      </c>
      <c r="M1657" s="30">
        <f>IFERROR(VLOOKUP($A1657,HeadJournal!$A$1:$J$890,COLUMN(HeadJournal!I$1),0)*($K1657+$L1657)/(SUMIF($A:$A,$A1657,$K:$K)+SUMIF($A:$A,$A1657,$L:$L)),0)</f>
        <v>0.33927530053713006</v>
      </c>
      <c r="N1657" s="30">
        <f>IFERROR((VLOOKUP($A1657,HeadJournal!$A$1:$K$890,COLUMN(HeadJournal!K$1),0)-VLOOKUP($A1657,HeadJournal!$A$1:$K$890,COLUMN(HeadJournal!J$1),0))*($K1657+$L1657)/(SUMIF($A:$A,$A1657,$K:$K)+SUMIF($A:$A,$A1657,$L:$L)),0)</f>
        <v>-3.1307740288244492E-15</v>
      </c>
      <c r="O1657" s="30">
        <f>IFERROR((VLOOKUP($A1657,HeadJournal!$A$1:$L$890,COLUMN(HeadJournal!L$1),0)*($K1657+$L1657)/(SUMIF($A:$A,$A1657,$K:$K)+SUMIF($A:$A,$A1657,$L:$L)))/VLOOKUP($A1657,HeadJournal!$A$1:$L$890,COLUMN(HeadJournal!H$1),0),0)</f>
        <v>1.114023769869503</v>
      </c>
      <c r="P1657" s="30">
        <f>IFERROR(SUM(K1657:O1657)*VLOOKUP($A1657,HeadJournal!$A$1:$L$890,COLUMN(HeadJournal!H$1),0),0)</f>
        <v>1283.9082915487536</v>
      </c>
      <c r="Q1657" s="29">
        <v>2200</v>
      </c>
      <c r="R1657" s="31">
        <v>45142</v>
      </c>
      <c r="S1657" s="31" t="s">
        <v>3121</v>
      </c>
      <c r="T1657" s="95" t="str">
        <f t="shared" si="130"/>
        <v>2023 08</v>
      </c>
      <c r="U1657" s="32">
        <f t="shared" si="127"/>
        <v>916.0917084512464</v>
      </c>
      <c r="V1657" s="22">
        <f t="shared" si="128"/>
        <v>0.71351802498773709</v>
      </c>
      <c r="X1657" s="33"/>
      <c r="Y1657" s="33"/>
    </row>
    <row r="1658" spans="1:25" x14ac:dyDescent="0.2">
      <c r="A1658" s="93" t="s">
        <v>742</v>
      </c>
      <c r="B1658" s="94" t="str">
        <f>IFERROR(VLOOKUP($A1658,HeadJournal!$A$1:$NTR$890,COLUMN(HeadJournal!B$1),0),"")</f>
        <v>710000817994</v>
      </c>
      <c r="C1658" s="94" t="str">
        <f>IFERROR(VLOOKUP($A1658,HeadJournal!$A$1:$NTR$890,COLUMN(HeadJournal!C$1),0),"")</f>
        <v>iHerb_MH DLE7202</v>
      </c>
      <c r="D1658" s="125" t="str">
        <f>IFERROR(VLOOKUP($A1658,HeadJournal!$A$1:$NTR$890,COLUMN(HeadJournal!D$1),0),"")</f>
        <v>Доставлен</v>
      </c>
      <c r="E1658" s="95">
        <f>IFERROR(VLOOKUP($A1658,HeadJournal!$A$1:$NTR$890,COLUMN(HeadJournal!G$1),0),"")</f>
        <v>45072</v>
      </c>
      <c r="F1658" s="95" t="str">
        <f t="shared" si="129"/>
        <v>2023 05</v>
      </c>
      <c r="G1658" s="96" t="s">
        <v>5</v>
      </c>
      <c r="H1658" s="161" t="s">
        <v>2073</v>
      </c>
      <c r="I1658" s="97" t="s">
        <v>2005</v>
      </c>
      <c r="J1658" s="97" t="s">
        <v>2074</v>
      </c>
      <c r="K1658" s="29">
        <v>16.79</v>
      </c>
      <c r="L1658" s="29">
        <v>-2.5150000000000001</v>
      </c>
      <c r="M1658" s="30">
        <f>IFERROR(VLOOKUP($A1658,HeadJournal!$A$1:$J$890,COLUMN(HeadJournal!I$1),0)*($K1658+$L1658)/(SUMIF($A:$A,$A1658,$K:$K)+SUMIF($A:$A,$A1658,$L:$L)),0)</f>
        <v>0.37485719157643438</v>
      </c>
      <c r="N1658" s="30">
        <f>IFERROR((VLOOKUP($A1658,HeadJournal!$A$1:$K$890,COLUMN(HeadJournal!K$1),0)-VLOOKUP($A1658,HeadJournal!$A$1:$K$890,COLUMN(HeadJournal!J$1),0))*($K1658+$L1658)/(SUMIF($A:$A,$A1658,$K:$K)+SUMIF($A:$A,$A1658,$L:$L)),0)</f>
        <v>-3.4591175898969824E-15</v>
      </c>
      <c r="O1658" s="30">
        <f>IFERROR((VLOOKUP($A1658,HeadJournal!$A$1:$L$890,COLUMN(HeadJournal!L$1),0)*($K1658+$L1658)/(SUMIF($A:$A,$A1658,$K:$K)+SUMIF($A:$A,$A1658,$L:$L)))/VLOOKUP($A1658,HeadJournal!$A$1:$L$890,COLUMN(HeadJournal!H$1),0),0)</f>
        <v>1.2308583061058167</v>
      </c>
      <c r="P1658" s="30">
        <f>IFERROR(SUM(K1658:O1658)*VLOOKUP($A1658,HeadJournal!$A$1:$L$890,COLUMN(HeadJournal!H$1),0),0)</f>
        <v>1418.5596642305306</v>
      </c>
      <c r="Q1658" s="29">
        <v>2100</v>
      </c>
      <c r="R1658" s="31">
        <v>45152</v>
      </c>
      <c r="S1658" s="31" t="s">
        <v>3121</v>
      </c>
      <c r="T1658" s="95" t="str">
        <f t="shared" si="130"/>
        <v>2023 08</v>
      </c>
      <c r="U1658" s="32">
        <f t="shared" si="127"/>
        <v>681.44033576946936</v>
      </c>
      <c r="V1658" s="22">
        <f t="shared" si="128"/>
        <v>0.48037481464630749</v>
      </c>
      <c r="X1658" s="33"/>
      <c r="Y1658" s="33"/>
    </row>
    <row r="1659" spans="1:25" x14ac:dyDescent="0.2">
      <c r="A1659" s="93" t="s">
        <v>742</v>
      </c>
      <c r="B1659" s="94" t="str">
        <f>IFERROR(VLOOKUP($A1659,HeadJournal!$A$1:$NTR$890,COLUMN(HeadJournal!B$1),0),"")</f>
        <v>710000817994</v>
      </c>
      <c r="C1659" s="94" t="str">
        <f>IFERROR(VLOOKUP($A1659,HeadJournal!$A$1:$NTR$890,COLUMN(HeadJournal!C$1),0),"")</f>
        <v>iHerb_MH DLE7202</v>
      </c>
      <c r="D1659" s="125" t="str">
        <f>IFERROR(VLOOKUP($A1659,HeadJournal!$A$1:$NTR$890,COLUMN(HeadJournal!D$1),0),"")</f>
        <v>Доставлен</v>
      </c>
      <c r="E1659" s="95">
        <f>IFERROR(VLOOKUP($A1659,HeadJournal!$A$1:$NTR$890,COLUMN(HeadJournal!G$1),0),"")</f>
        <v>45072</v>
      </c>
      <c r="F1659" s="95" t="str">
        <f t="shared" si="129"/>
        <v>2023 05</v>
      </c>
      <c r="G1659" s="96" t="s">
        <v>5</v>
      </c>
      <c r="H1659" s="161" t="s">
        <v>2073</v>
      </c>
      <c r="I1659" s="97" t="s">
        <v>2005</v>
      </c>
      <c r="J1659" s="97" t="s">
        <v>2074</v>
      </c>
      <c r="K1659" s="29">
        <v>16.79</v>
      </c>
      <c r="L1659" s="29">
        <v>-2.5150000000000001</v>
      </c>
      <c r="M1659" s="30">
        <f>IFERROR(VLOOKUP($A1659,HeadJournal!$A$1:$J$890,COLUMN(HeadJournal!I$1),0)*($K1659+$L1659)/(SUMIF($A:$A,$A1659,$K:$K)+SUMIF($A:$A,$A1659,$L:$L)),0)</f>
        <v>0.37485719157643438</v>
      </c>
      <c r="N1659" s="30">
        <f>IFERROR((VLOOKUP($A1659,HeadJournal!$A$1:$K$890,COLUMN(HeadJournal!K$1),0)-VLOOKUP($A1659,HeadJournal!$A$1:$K$890,COLUMN(HeadJournal!J$1),0))*($K1659+$L1659)/(SUMIF($A:$A,$A1659,$K:$K)+SUMIF($A:$A,$A1659,$L:$L)),0)</f>
        <v>-3.4591175898969824E-15</v>
      </c>
      <c r="O1659" s="30">
        <f>IFERROR((VLOOKUP($A1659,HeadJournal!$A$1:$L$890,COLUMN(HeadJournal!L$1),0)*($K1659+$L1659)/(SUMIF($A:$A,$A1659,$K:$K)+SUMIF($A:$A,$A1659,$L:$L)))/VLOOKUP($A1659,HeadJournal!$A$1:$L$890,COLUMN(HeadJournal!H$1),0),0)</f>
        <v>1.2308583061058167</v>
      </c>
      <c r="P1659" s="30">
        <f>IFERROR(SUM(K1659:O1659)*VLOOKUP($A1659,HeadJournal!$A$1:$L$890,COLUMN(HeadJournal!H$1),0),0)</f>
        <v>1418.5596642305306</v>
      </c>
      <c r="Q1659" s="29">
        <v>2400</v>
      </c>
      <c r="R1659" s="31">
        <v>45176</v>
      </c>
      <c r="S1659" s="31" t="s">
        <v>3121</v>
      </c>
      <c r="T1659" s="95" t="str">
        <f t="shared" si="130"/>
        <v>2023 09</v>
      </c>
      <c r="U1659" s="32">
        <f t="shared" si="127"/>
        <v>981.44033576946936</v>
      </c>
      <c r="V1659" s="22">
        <f t="shared" si="128"/>
        <v>0.69185693102435142</v>
      </c>
      <c r="X1659" s="33"/>
      <c r="Y1659" s="33"/>
    </row>
    <row r="1660" spans="1:25" x14ac:dyDescent="0.2">
      <c r="A1660" s="93" t="s">
        <v>742</v>
      </c>
      <c r="B1660" s="94" t="str">
        <f>IFERROR(VLOOKUP($A1660,HeadJournal!$A$1:$NTR$890,COLUMN(HeadJournal!B$1),0),"")</f>
        <v>710000817994</v>
      </c>
      <c r="C1660" s="94" t="str">
        <f>IFERROR(VLOOKUP($A1660,HeadJournal!$A$1:$NTR$890,COLUMN(HeadJournal!C$1),0),"")</f>
        <v>iHerb_MH DLE7202</v>
      </c>
      <c r="D1660" s="125" t="str">
        <f>IFERROR(VLOOKUP($A1660,HeadJournal!$A$1:$NTR$890,COLUMN(HeadJournal!D$1),0),"")</f>
        <v>Доставлен</v>
      </c>
      <c r="E1660" s="95">
        <f>IFERROR(VLOOKUP($A1660,HeadJournal!$A$1:$NTR$890,COLUMN(HeadJournal!G$1),0),"")</f>
        <v>45072</v>
      </c>
      <c r="F1660" s="95" t="str">
        <f t="shared" si="129"/>
        <v>2023 05</v>
      </c>
      <c r="G1660" s="96" t="s">
        <v>7</v>
      </c>
      <c r="H1660" s="160" t="str">
        <f>RIGHT(Journal!$J1660,9)</f>
        <v>ARH-00546</v>
      </c>
      <c r="I1660" s="96" t="str">
        <f t="shared" si="131"/>
        <v>Arm &amp; Hammer</v>
      </c>
      <c r="J1660" s="97" t="s">
        <v>666</v>
      </c>
      <c r="K1660" s="29">
        <v>5.2</v>
      </c>
      <c r="L1660" s="29">
        <v>-0.78</v>
      </c>
      <c r="M1660" s="30">
        <f>IFERROR(VLOOKUP($A1660,HeadJournal!$A$1:$J$890,COLUMN(HeadJournal!I$1),0)*($K1660+$L1660)/(SUMIF($A:$A,$A1660,$K:$K)+SUMIF($A:$A,$A1660,$L:$L)),0)</f>
        <v>0.11606786597322871</v>
      </c>
      <c r="N1660" s="30">
        <f>IFERROR((VLOOKUP($A1660,HeadJournal!$A$1:$K$890,COLUMN(HeadJournal!K$1),0)-VLOOKUP($A1660,HeadJournal!$A$1:$K$890,COLUMN(HeadJournal!J$1),0))*($K1660+$L1660)/(SUMIF($A:$A,$A1660,$K:$K)+SUMIF($A:$A,$A1660,$L:$L)),0)</f>
        <v>-1.0710542730188906E-15</v>
      </c>
      <c r="O1660" s="30">
        <f>IFERROR((VLOOKUP($A1660,HeadJournal!$A$1:$L$890,COLUMN(HeadJournal!L$1),0)*($K1660+$L1660)/(SUMIF($A:$A,$A1660,$K:$K)+SUMIF($A:$A,$A1660,$L:$L)))/VLOOKUP($A1660,HeadJournal!$A$1:$L$890,COLUMN(HeadJournal!H$1),0),0)</f>
        <v>0.38111339495535623</v>
      </c>
      <c r="P1660" s="30">
        <f>IFERROR(SUM(K1660:O1660)*VLOOKUP($A1660,HeadJournal!$A$1:$L$890,COLUMN(HeadJournal!H$1),0),0)</f>
        <v>439.23178395088939</v>
      </c>
      <c r="Q1660" s="29">
        <v>700</v>
      </c>
      <c r="R1660" s="31">
        <v>45122</v>
      </c>
      <c r="S1660" s="31" t="s">
        <v>3121</v>
      </c>
      <c r="T1660" s="95" t="str">
        <f t="shared" si="130"/>
        <v>2023 07</v>
      </c>
      <c r="U1660" s="32">
        <f t="shared" si="127"/>
        <v>260.76821604911061</v>
      </c>
      <c r="V1660" s="22">
        <f t="shared" si="128"/>
        <v>0.59369158967390934</v>
      </c>
      <c r="X1660" s="33"/>
      <c r="Y1660" s="33"/>
    </row>
    <row r="1661" spans="1:25" x14ac:dyDescent="0.2">
      <c r="A1661" s="93" t="s">
        <v>742</v>
      </c>
      <c r="B1661" s="94" t="str">
        <f>IFERROR(VLOOKUP($A1661,HeadJournal!$A$1:$NTR$890,COLUMN(HeadJournal!B$1),0),"")</f>
        <v>710000817994</v>
      </c>
      <c r="C1661" s="94" t="str">
        <f>IFERROR(VLOOKUP($A1661,HeadJournal!$A$1:$NTR$890,COLUMN(HeadJournal!C$1),0),"")</f>
        <v>iHerb_MH DLE7202</v>
      </c>
      <c r="D1661" s="125" t="str">
        <f>IFERROR(VLOOKUP($A1661,HeadJournal!$A$1:$NTR$890,COLUMN(HeadJournal!D$1),0),"")</f>
        <v>Доставлен</v>
      </c>
      <c r="E1661" s="95">
        <f>IFERROR(VLOOKUP($A1661,HeadJournal!$A$1:$NTR$890,COLUMN(HeadJournal!G$1),0),"")</f>
        <v>45072</v>
      </c>
      <c r="F1661" s="95" t="str">
        <f t="shared" si="129"/>
        <v>2023 05</v>
      </c>
      <c r="G1661" s="96" t="s">
        <v>7</v>
      </c>
      <c r="H1661" s="160" t="str">
        <f>RIGHT(Journal!$J1661,9)</f>
        <v>ARH-00546</v>
      </c>
      <c r="I1661" s="96" t="str">
        <f t="shared" si="131"/>
        <v>Arm &amp; Hammer</v>
      </c>
      <c r="J1661" s="97" t="s">
        <v>666</v>
      </c>
      <c r="K1661" s="29">
        <v>5.2</v>
      </c>
      <c r="L1661" s="29">
        <v>-0.78</v>
      </c>
      <c r="M1661" s="30">
        <f>IFERROR(VLOOKUP($A1661,HeadJournal!$A$1:$J$890,COLUMN(HeadJournal!I$1),0)*($K1661+$L1661)/(SUMIF($A:$A,$A1661,$K:$K)+SUMIF($A:$A,$A1661,$L:$L)),0)</f>
        <v>0.11606786597322871</v>
      </c>
      <c r="N1661" s="30">
        <f>IFERROR((VLOOKUP($A1661,HeadJournal!$A$1:$K$890,COLUMN(HeadJournal!K$1),0)-VLOOKUP($A1661,HeadJournal!$A$1:$K$890,COLUMN(HeadJournal!J$1),0))*($K1661+$L1661)/(SUMIF($A:$A,$A1661,$K:$K)+SUMIF($A:$A,$A1661,$L:$L)),0)</f>
        <v>-1.0710542730188906E-15</v>
      </c>
      <c r="O1661" s="30">
        <f>IFERROR((VLOOKUP($A1661,HeadJournal!$A$1:$L$890,COLUMN(HeadJournal!L$1),0)*($K1661+$L1661)/(SUMIF($A:$A,$A1661,$K:$K)+SUMIF($A:$A,$A1661,$L:$L)))/VLOOKUP($A1661,HeadJournal!$A$1:$L$890,COLUMN(HeadJournal!H$1),0),0)</f>
        <v>0.38111339495535623</v>
      </c>
      <c r="P1661" s="30">
        <f>IFERROR(SUM(K1661:O1661)*VLOOKUP($A1661,HeadJournal!$A$1:$L$890,COLUMN(HeadJournal!H$1),0),0)</f>
        <v>439.23178395088939</v>
      </c>
      <c r="Q1661" s="29">
        <v>800</v>
      </c>
      <c r="R1661" s="31">
        <v>45152</v>
      </c>
      <c r="S1661" s="31" t="s">
        <v>3121</v>
      </c>
      <c r="T1661" s="95" t="str">
        <f t="shared" si="130"/>
        <v>2023 08</v>
      </c>
      <c r="U1661" s="32">
        <f t="shared" si="127"/>
        <v>360.76821604911061</v>
      </c>
      <c r="V1661" s="22">
        <f t="shared" si="128"/>
        <v>0.82136181677018205</v>
      </c>
      <c r="X1661" s="33"/>
      <c r="Y1661" s="33"/>
    </row>
    <row r="1662" spans="1:25" x14ac:dyDescent="0.2">
      <c r="A1662" s="93" t="s">
        <v>742</v>
      </c>
      <c r="B1662" s="94" t="str">
        <f>IFERROR(VLOOKUP($A1662,HeadJournal!$A$1:$NTR$890,COLUMN(HeadJournal!B$1),0),"")</f>
        <v>710000817994</v>
      </c>
      <c r="C1662" s="94" t="str">
        <f>IFERROR(VLOOKUP($A1662,HeadJournal!$A$1:$NTR$890,COLUMN(HeadJournal!C$1),0),"")</f>
        <v>iHerb_MH DLE7202</v>
      </c>
      <c r="D1662" s="125" t="str">
        <f>IFERROR(VLOOKUP($A1662,HeadJournal!$A$1:$NTR$890,COLUMN(HeadJournal!D$1),0),"")</f>
        <v>Доставлен</v>
      </c>
      <c r="E1662" s="95">
        <f>IFERROR(VLOOKUP($A1662,HeadJournal!$A$1:$NTR$890,COLUMN(HeadJournal!G$1),0),"")</f>
        <v>45072</v>
      </c>
      <c r="F1662" s="95" t="str">
        <f t="shared" si="129"/>
        <v>2023 05</v>
      </c>
      <c r="G1662" s="96" t="s">
        <v>7</v>
      </c>
      <c r="H1662" s="160" t="str">
        <f>RIGHT(Journal!$J1662,9)</f>
        <v>ARH-19792</v>
      </c>
      <c r="I1662" s="96" t="str">
        <f t="shared" si="131"/>
        <v>Arm &amp; Hammer</v>
      </c>
      <c r="J1662" s="97" t="s">
        <v>606</v>
      </c>
      <c r="K1662" s="29">
        <v>5.14</v>
      </c>
      <c r="L1662" s="29">
        <v>-0.77</v>
      </c>
      <c r="M1662" s="30">
        <f>IFERROR(VLOOKUP($A1662,HeadJournal!$A$1:$J$890,COLUMN(HeadJournal!I$1),0)*($K1662+$L1662)/(SUMIF($A:$A,$A1662,$K:$K)+SUMIF($A:$A,$A1662,$L:$L)),0)</f>
        <v>0.11475488106402928</v>
      </c>
      <c r="N1662" s="30">
        <f>IFERROR((VLOOKUP($A1662,HeadJournal!$A$1:$K$890,COLUMN(HeadJournal!K$1),0)-VLOOKUP($A1662,HeadJournal!$A$1:$K$890,COLUMN(HeadJournal!J$1),0))*($K1662+$L1662)/(SUMIF($A:$A,$A1662,$K:$K)+SUMIF($A:$A,$A1662,$L:$L)),0)</f>
        <v>-1.0589382744553283E-15</v>
      </c>
      <c r="O1662" s="30">
        <f>IFERROR((VLOOKUP($A1662,HeadJournal!$A$1:$L$890,COLUMN(HeadJournal!L$1),0)*($K1662+$L1662)/(SUMIF($A:$A,$A1662,$K:$K)+SUMIF($A:$A,$A1662,$L:$L)))/VLOOKUP($A1662,HeadJournal!$A$1:$L$890,COLUMN(HeadJournal!H$1),0),0)</f>
        <v>0.37680215745586126</v>
      </c>
      <c r="P1662" s="30">
        <f>IFERROR(SUM(K1662:O1662)*VLOOKUP($A1662,HeadJournal!$A$1:$L$890,COLUMN(HeadJournal!H$1),0),0)</f>
        <v>434.26309861207841</v>
      </c>
      <c r="Q1662" s="29"/>
      <c r="R1662" s="31"/>
      <c r="S1662" s="31"/>
      <c r="T1662" s="95" t="str">
        <f t="shared" si="130"/>
        <v/>
      </c>
      <c r="U1662" s="32">
        <f t="shared" si="127"/>
        <v>-434.26309861207841</v>
      </c>
      <c r="V1662" s="22" t="str">
        <f t="shared" si="128"/>
        <v/>
      </c>
      <c r="X1662" s="33"/>
      <c r="Y1662" s="33"/>
    </row>
    <row r="1663" spans="1:25" x14ac:dyDescent="0.2">
      <c r="A1663" s="93" t="s">
        <v>742</v>
      </c>
      <c r="B1663" s="94" t="str">
        <f>IFERROR(VLOOKUP($A1663,HeadJournal!$A$1:$NTR$890,COLUMN(HeadJournal!B$1),0),"")</f>
        <v>710000817994</v>
      </c>
      <c r="C1663" s="94" t="str">
        <f>IFERROR(VLOOKUP($A1663,HeadJournal!$A$1:$NTR$890,COLUMN(HeadJournal!C$1),0),"")</f>
        <v>iHerb_MH DLE7202</v>
      </c>
      <c r="D1663" s="125" t="str">
        <f>IFERROR(VLOOKUP($A1663,HeadJournal!$A$1:$NTR$890,COLUMN(HeadJournal!D$1),0),"")</f>
        <v>Доставлен</v>
      </c>
      <c r="E1663" s="95">
        <f>IFERROR(VLOOKUP($A1663,HeadJournal!$A$1:$NTR$890,COLUMN(HeadJournal!G$1),0),"")</f>
        <v>45072</v>
      </c>
      <c r="F1663" s="95" t="str">
        <f t="shared" si="129"/>
        <v>2023 05</v>
      </c>
      <c r="G1663" s="96" t="s">
        <v>5</v>
      </c>
      <c r="H1663" s="161" t="s">
        <v>2471</v>
      </c>
      <c r="I1663" s="97" t="s">
        <v>2039</v>
      </c>
      <c r="J1663" s="97" t="s">
        <v>2472</v>
      </c>
      <c r="K1663" s="29">
        <v>20.69</v>
      </c>
      <c r="L1663" s="29">
        <v>-3.1</v>
      </c>
      <c r="M1663" s="30">
        <f>IFERROR(VLOOKUP($A1663,HeadJournal!$A$1:$J$890,COLUMN(HeadJournal!I$1),0)*($K1663+$L1663)/(SUMIF($A:$A,$A1663,$K:$K)+SUMIF($A:$A,$A1663,$L:$L)),0)</f>
        <v>0.46190809105635589</v>
      </c>
      <c r="N1663" s="30">
        <f>IFERROR((VLOOKUP($A1663,HeadJournal!$A$1:$K$890,COLUMN(HeadJournal!K$1),0)-VLOOKUP($A1663,HeadJournal!$A$1:$K$890,COLUMN(HeadJournal!J$1),0))*($K1663+$L1663)/(SUMIF($A:$A,$A1663,$K:$K)+SUMIF($A:$A,$A1663,$L:$L)),0)</f>
        <v>-4.2624082946611504E-15</v>
      </c>
      <c r="O1663" s="30">
        <f>IFERROR((VLOOKUP($A1663,HeadJournal!$A$1:$L$890,COLUMN(HeadJournal!L$1),0)*($K1663+$L1663)/(SUMIF($A:$A,$A1663,$K:$K)+SUMIF($A:$A,$A1663,$L:$L)))/VLOOKUP($A1663,HeadJournal!$A$1:$L$890,COLUMN(HeadJournal!H$1),0),0)</f>
        <v>1.5166933523223343</v>
      </c>
      <c r="P1663" s="30">
        <f>IFERROR(SUM(K1663:O1663)*VLOOKUP($A1663,HeadJournal!$A$1:$L$890,COLUMN(HeadJournal!H$1),0),0)</f>
        <v>1747.9835021936979</v>
      </c>
      <c r="Q1663" s="29">
        <v>2700</v>
      </c>
      <c r="R1663" s="31">
        <v>45239</v>
      </c>
      <c r="S1663" s="31" t="s">
        <v>3121</v>
      </c>
      <c r="T1663" s="95" t="str">
        <f t="shared" si="130"/>
        <v>2023 11</v>
      </c>
      <c r="U1663" s="32">
        <f t="shared" si="127"/>
        <v>952.01649780630214</v>
      </c>
      <c r="V1663" s="22">
        <f t="shared" si="128"/>
        <v>0.54463700407442817</v>
      </c>
      <c r="X1663" s="33"/>
      <c r="Y1663" s="33"/>
    </row>
    <row r="1664" spans="1:25" x14ac:dyDescent="0.2">
      <c r="A1664" s="93" t="s">
        <v>742</v>
      </c>
      <c r="B1664" s="94" t="str">
        <f>IFERROR(VLOOKUP($A1664,HeadJournal!$A$1:$NTR$890,COLUMN(HeadJournal!B$1),0),"")</f>
        <v>710000817994</v>
      </c>
      <c r="C1664" s="94" t="str">
        <f>IFERROR(VLOOKUP($A1664,HeadJournal!$A$1:$NTR$890,COLUMN(HeadJournal!C$1),0),"")</f>
        <v>iHerb_MH DLE7202</v>
      </c>
      <c r="D1664" s="125" t="str">
        <f>IFERROR(VLOOKUP($A1664,HeadJournal!$A$1:$NTR$890,COLUMN(HeadJournal!D$1),0),"")</f>
        <v>Доставлен</v>
      </c>
      <c r="E1664" s="95">
        <f>IFERROR(VLOOKUP($A1664,HeadJournal!$A$1:$NTR$890,COLUMN(HeadJournal!G$1),0),"")</f>
        <v>45072</v>
      </c>
      <c r="F1664" s="95" t="str">
        <f t="shared" si="129"/>
        <v>2023 05</v>
      </c>
      <c r="G1664" s="96" t="s">
        <v>5</v>
      </c>
      <c r="H1664" s="161" t="s">
        <v>2471</v>
      </c>
      <c r="I1664" s="97" t="s">
        <v>2039</v>
      </c>
      <c r="J1664" s="97" t="s">
        <v>2472</v>
      </c>
      <c r="K1664" s="29">
        <v>20.69</v>
      </c>
      <c r="L1664" s="29">
        <v>-3.1</v>
      </c>
      <c r="M1664" s="30">
        <f>IFERROR(VLOOKUP($A1664,HeadJournal!$A$1:$J$890,COLUMN(HeadJournal!I$1),0)*($K1664+$L1664)/(SUMIF($A:$A,$A1664,$K:$K)+SUMIF($A:$A,$A1664,$L:$L)),0)</f>
        <v>0.46190809105635589</v>
      </c>
      <c r="N1664" s="30">
        <f>IFERROR((VLOOKUP($A1664,HeadJournal!$A$1:$K$890,COLUMN(HeadJournal!K$1),0)-VLOOKUP($A1664,HeadJournal!$A$1:$K$890,COLUMN(HeadJournal!J$1),0))*($K1664+$L1664)/(SUMIF($A:$A,$A1664,$K:$K)+SUMIF($A:$A,$A1664,$L:$L)),0)</f>
        <v>-4.2624082946611504E-15</v>
      </c>
      <c r="O1664" s="30">
        <f>IFERROR((VLOOKUP($A1664,HeadJournal!$A$1:$L$890,COLUMN(HeadJournal!L$1),0)*($K1664+$L1664)/(SUMIF($A:$A,$A1664,$K:$K)+SUMIF($A:$A,$A1664,$L:$L)))/VLOOKUP($A1664,HeadJournal!$A$1:$L$890,COLUMN(HeadJournal!H$1),0),0)</f>
        <v>1.5166933523223343</v>
      </c>
      <c r="P1664" s="30">
        <f>IFERROR(SUM(K1664:O1664)*VLOOKUP($A1664,HeadJournal!$A$1:$L$890,COLUMN(HeadJournal!H$1),0),0)</f>
        <v>1747.9835021936979</v>
      </c>
      <c r="Q1664" s="29">
        <v>2600</v>
      </c>
      <c r="R1664" s="31">
        <v>45276</v>
      </c>
      <c r="S1664" s="31" t="s">
        <v>3121</v>
      </c>
      <c r="T1664" s="95" t="str">
        <f t="shared" si="130"/>
        <v>2023 12</v>
      </c>
      <c r="U1664" s="32">
        <f t="shared" si="127"/>
        <v>852.01649780630214</v>
      </c>
      <c r="V1664" s="22">
        <f t="shared" si="128"/>
        <v>0.4874282261457456</v>
      </c>
      <c r="X1664" s="33"/>
      <c r="Y1664" s="33"/>
    </row>
    <row r="1665" spans="1:25" x14ac:dyDescent="0.2">
      <c r="A1665" s="93" t="s">
        <v>742</v>
      </c>
      <c r="B1665" s="94" t="str">
        <f>IFERROR(VLOOKUP($A1665,HeadJournal!$A$1:$NTR$890,COLUMN(HeadJournal!B$1),0),"")</f>
        <v>710000817994</v>
      </c>
      <c r="C1665" s="94" t="str">
        <f>IFERROR(VLOOKUP($A1665,HeadJournal!$A$1:$NTR$890,COLUMN(HeadJournal!C$1),0),"")</f>
        <v>iHerb_MH DLE7202</v>
      </c>
      <c r="D1665" s="125" t="str">
        <f>IFERROR(VLOOKUP($A1665,HeadJournal!$A$1:$NTR$890,COLUMN(HeadJournal!D$1),0),"")</f>
        <v>Доставлен</v>
      </c>
      <c r="E1665" s="95">
        <f>IFERROR(VLOOKUP($A1665,HeadJournal!$A$1:$NTR$890,COLUMN(HeadJournal!G$1),0),"")</f>
        <v>45072</v>
      </c>
      <c r="F1665" s="95" t="str">
        <f t="shared" si="129"/>
        <v>2023 05</v>
      </c>
      <c r="G1665" s="96" t="s">
        <v>5</v>
      </c>
      <c r="H1665" s="161" t="s">
        <v>2680</v>
      </c>
      <c r="I1665" s="97" t="s">
        <v>2681</v>
      </c>
      <c r="J1665" s="97" t="s">
        <v>3853</v>
      </c>
      <c r="K1665" s="29">
        <v>5.68</v>
      </c>
      <c r="L1665" s="29">
        <v>-0.85</v>
      </c>
      <c r="M1665" s="30">
        <f>IFERROR(VLOOKUP($A1665,HeadJournal!$A$1:$J$890,COLUMN(HeadJournal!I$1),0)*($K1665+$L1665)/(SUMIF($A:$A,$A1665,$K:$K)+SUMIF($A:$A,$A1665,$L:$L)),0)</f>
        <v>0.12683434222866397</v>
      </c>
      <c r="N1665" s="30">
        <f>IFERROR((VLOOKUP($A1665,HeadJournal!$A$1:$K$890,COLUMN(HeadJournal!K$1),0)-VLOOKUP($A1665,HeadJournal!$A$1:$K$890,COLUMN(HeadJournal!J$1),0))*($K1665+$L1665)/(SUMIF($A:$A,$A1665,$K:$K)+SUMIF($A:$A,$A1665,$L:$L)),0)</f>
        <v>-1.1704054612400998E-15</v>
      </c>
      <c r="O1665" s="30">
        <f>IFERROR((VLOOKUP($A1665,HeadJournal!$A$1:$L$890,COLUMN(HeadJournal!L$1),0)*($K1665+$L1665)/(SUMIF($A:$A,$A1665,$K:$K)+SUMIF($A:$A,$A1665,$L:$L)))/VLOOKUP($A1665,HeadJournal!$A$1:$L$890,COLUMN(HeadJournal!H$1),0),0)</f>
        <v>0.41646554245121509</v>
      </c>
      <c r="P1665" s="30">
        <f>IFERROR(SUM(K1665:O1665)*VLOOKUP($A1665,HeadJournal!$A$1:$L$890,COLUMN(HeadJournal!H$1),0),0)</f>
        <v>479.97500372913936</v>
      </c>
      <c r="Q1665" s="29">
        <v>1100</v>
      </c>
      <c r="R1665" s="31">
        <v>45116</v>
      </c>
      <c r="S1665" s="31" t="s">
        <v>3121</v>
      </c>
      <c r="T1665" s="95" t="str">
        <f t="shared" si="130"/>
        <v>2023 07</v>
      </c>
      <c r="U1665" s="32">
        <f t="shared" ref="U1665:U1728" si="132">Q1665-P1665</f>
        <v>620.02499627086058</v>
      </c>
      <c r="V1665" s="22">
        <f t="shared" ref="V1665:V1728" si="133">IF(Q1665&lt;&gt;0,IFERROR(U1665/P1665,""),"")</f>
        <v>1.2917860127165175</v>
      </c>
      <c r="X1665" s="33"/>
      <c r="Y1665" s="33"/>
    </row>
    <row r="1666" spans="1:25" x14ac:dyDescent="0.2">
      <c r="A1666" s="93" t="s">
        <v>742</v>
      </c>
      <c r="B1666" s="94" t="str">
        <f>IFERROR(VLOOKUP($A1666,HeadJournal!$A$1:$NTR$890,COLUMN(HeadJournal!B$1),0),"")</f>
        <v>710000817994</v>
      </c>
      <c r="C1666" s="94" t="str">
        <f>IFERROR(VLOOKUP($A1666,HeadJournal!$A$1:$NTR$890,COLUMN(HeadJournal!C$1),0),"")</f>
        <v>iHerb_MH DLE7202</v>
      </c>
      <c r="D1666" s="125" t="str">
        <f>IFERROR(VLOOKUP($A1666,HeadJournal!$A$1:$NTR$890,COLUMN(HeadJournal!D$1),0),"")</f>
        <v>Доставлен</v>
      </c>
      <c r="E1666" s="95">
        <f>IFERROR(VLOOKUP($A1666,HeadJournal!$A$1:$NTR$890,COLUMN(HeadJournal!G$1),0),"")</f>
        <v>45072</v>
      </c>
      <c r="F1666" s="95" t="str">
        <f t="shared" si="129"/>
        <v>2023 05</v>
      </c>
      <c r="G1666" s="96" t="s">
        <v>5</v>
      </c>
      <c r="H1666" s="161" t="s">
        <v>2680</v>
      </c>
      <c r="I1666" s="97" t="s">
        <v>2681</v>
      </c>
      <c r="J1666" s="97" t="s">
        <v>3853</v>
      </c>
      <c r="K1666" s="29">
        <v>5.68</v>
      </c>
      <c r="L1666" s="29">
        <v>-0.85</v>
      </c>
      <c r="M1666" s="30">
        <f>IFERROR(VLOOKUP($A1666,HeadJournal!$A$1:$J$890,COLUMN(HeadJournal!I$1),0)*($K1666+$L1666)/(SUMIF($A:$A,$A1666,$K:$K)+SUMIF($A:$A,$A1666,$L:$L)),0)</f>
        <v>0.12683434222866397</v>
      </c>
      <c r="N1666" s="30">
        <f>IFERROR((VLOOKUP($A1666,HeadJournal!$A$1:$K$890,COLUMN(HeadJournal!K$1),0)-VLOOKUP($A1666,HeadJournal!$A$1:$K$890,COLUMN(HeadJournal!J$1),0))*($K1666+$L1666)/(SUMIF($A:$A,$A1666,$K:$K)+SUMIF($A:$A,$A1666,$L:$L)),0)</f>
        <v>-1.1704054612400998E-15</v>
      </c>
      <c r="O1666" s="30">
        <f>IFERROR((VLOOKUP($A1666,HeadJournal!$A$1:$L$890,COLUMN(HeadJournal!L$1),0)*($K1666+$L1666)/(SUMIF($A:$A,$A1666,$K:$K)+SUMIF($A:$A,$A1666,$L:$L)))/VLOOKUP($A1666,HeadJournal!$A$1:$L$890,COLUMN(HeadJournal!H$1),0),0)</f>
        <v>0.41646554245121509</v>
      </c>
      <c r="P1666" s="30">
        <f>IFERROR(SUM(K1666:O1666)*VLOOKUP($A1666,HeadJournal!$A$1:$L$890,COLUMN(HeadJournal!H$1),0),0)</f>
        <v>479.97500372913936</v>
      </c>
      <c r="Q1666" s="29">
        <v>1000</v>
      </c>
      <c r="R1666" s="31">
        <v>45146</v>
      </c>
      <c r="S1666" s="31" t="s">
        <v>3121</v>
      </c>
      <c r="T1666" s="95" t="str">
        <f t="shared" si="130"/>
        <v>2023 08</v>
      </c>
      <c r="U1666" s="32">
        <f t="shared" si="132"/>
        <v>520.02499627086058</v>
      </c>
      <c r="V1666" s="22">
        <f t="shared" si="133"/>
        <v>1.0834418297422888</v>
      </c>
      <c r="X1666" s="33"/>
      <c r="Y1666" s="33"/>
    </row>
    <row r="1667" spans="1:25" x14ac:dyDescent="0.2">
      <c r="A1667" s="93" t="s">
        <v>742</v>
      </c>
      <c r="B1667" s="94" t="str">
        <f>IFERROR(VLOOKUP($A1667,HeadJournal!$A$1:$NTR$890,COLUMN(HeadJournal!B$1),0),"")</f>
        <v>710000817994</v>
      </c>
      <c r="C1667" s="94" t="str">
        <f>IFERROR(VLOOKUP($A1667,HeadJournal!$A$1:$NTR$890,COLUMN(HeadJournal!C$1),0),"")</f>
        <v>iHerb_MH DLE7202</v>
      </c>
      <c r="D1667" s="125" t="str">
        <f>IFERROR(VLOOKUP($A1667,HeadJournal!$A$1:$NTR$890,COLUMN(HeadJournal!D$1),0),"")</f>
        <v>Доставлен</v>
      </c>
      <c r="E1667" s="95">
        <f>IFERROR(VLOOKUP($A1667,HeadJournal!$A$1:$NTR$890,COLUMN(HeadJournal!G$1),0),"")</f>
        <v>45072</v>
      </c>
      <c r="F1667" s="95" t="str">
        <f t="shared" si="129"/>
        <v>2023 05</v>
      </c>
      <c r="G1667" s="96" t="s">
        <v>5</v>
      </c>
      <c r="H1667" s="161" t="s">
        <v>3083</v>
      </c>
      <c r="I1667" s="97" t="s">
        <v>2102</v>
      </c>
      <c r="J1667" s="97" t="s">
        <v>3084</v>
      </c>
      <c r="K1667" s="29">
        <v>5.33</v>
      </c>
      <c r="L1667" s="29">
        <v>-0.79500000000000004</v>
      </c>
      <c r="M1667" s="30">
        <f>IFERROR(VLOOKUP($A1667,HeadJournal!$A$1:$J$890,COLUMN(HeadJournal!I$1),0)*($K1667+$L1667)/(SUMIF($A:$A,$A1667,$K:$K)+SUMIF($A:$A,$A1667,$L:$L)),0)</f>
        <v>0.11908773126438739</v>
      </c>
      <c r="N1667" s="30">
        <f>IFERROR((VLOOKUP($A1667,HeadJournal!$A$1:$K$890,COLUMN(HeadJournal!K$1),0)-VLOOKUP($A1667,HeadJournal!$A$1:$K$890,COLUMN(HeadJournal!J$1),0))*($K1667+$L1667)/(SUMIF($A:$A,$A1667,$K:$K)+SUMIF($A:$A,$A1667,$L:$L)),0)</f>
        <v>-1.0989210697150835E-15</v>
      </c>
      <c r="O1667" s="30">
        <f>IFERROR((VLOOKUP($A1667,HeadJournal!$A$1:$L$890,COLUMN(HeadJournal!L$1),0)*($K1667+$L1667)/(SUMIF($A:$A,$A1667,$K:$K)+SUMIF($A:$A,$A1667,$L:$L)))/VLOOKUP($A1667,HeadJournal!$A$1:$L$890,COLUMN(HeadJournal!H$1),0),0)</f>
        <v>0.39102924120419474</v>
      </c>
      <c r="P1667" s="30">
        <f>IFERROR(SUM(K1667:O1667)*VLOOKUP($A1667,HeadJournal!$A$1:$L$890,COLUMN(HeadJournal!H$1),0),0)</f>
        <v>450.65976023015469</v>
      </c>
      <c r="Q1667" s="29">
        <v>1100</v>
      </c>
      <c r="R1667" s="31">
        <v>45115</v>
      </c>
      <c r="S1667" s="31" t="s">
        <v>3121</v>
      </c>
      <c r="T1667" s="95" t="str">
        <f t="shared" si="130"/>
        <v>2023 07</v>
      </c>
      <c r="U1667" s="32">
        <f t="shared" si="132"/>
        <v>649.34023976984531</v>
      </c>
      <c r="V1667" s="22">
        <f t="shared" si="133"/>
        <v>1.4408658084720574</v>
      </c>
      <c r="X1667" s="33"/>
      <c r="Y1667" s="33"/>
    </row>
    <row r="1668" spans="1:25" x14ac:dyDescent="0.2">
      <c r="A1668" s="93" t="s">
        <v>742</v>
      </c>
      <c r="B1668" s="94" t="str">
        <f>IFERROR(VLOOKUP($A1668,HeadJournal!$A$1:$NTR$890,COLUMN(HeadJournal!B$1),0),"")</f>
        <v>710000817994</v>
      </c>
      <c r="C1668" s="94" t="str">
        <f>IFERROR(VLOOKUP($A1668,HeadJournal!$A$1:$NTR$890,COLUMN(HeadJournal!C$1),0),"")</f>
        <v>iHerb_MH DLE7202</v>
      </c>
      <c r="D1668" s="125" t="str">
        <f>IFERROR(VLOOKUP($A1668,HeadJournal!$A$1:$NTR$890,COLUMN(HeadJournal!D$1),0),"")</f>
        <v>Доставлен</v>
      </c>
      <c r="E1668" s="95">
        <f>IFERROR(VLOOKUP($A1668,HeadJournal!$A$1:$NTR$890,COLUMN(HeadJournal!G$1),0),"")</f>
        <v>45072</v>
      </c>
      <c r="F1668" s="95" t="str">
        <f t="shared" ref="F1668:F1731" si="134">IFERROR(TEXT(E1668, "ГГГГ ММ"),"")</f>
        <v>2023 05</v>
      </c>
      <c r="G1668" s="96" t="s">
        <v>5</v>
      </c>
      <c r="H1668" s="161" t="s">
        <v>3083</v>
      </c>
      <c r="I1668" s="97" t="s">
        <v>2102</v>
      </c>
      <c r="J1668" s="97" t="s">
        <v>3084</v>
      </c>
      <c r="K1668" s="29">
        <v>5.33</v>
      </c>
      <c r="L1668" s="29">
        <v>-0.79500000000000004</v>
      </c>
      <c r="M1668" s="30">
        <f>IFERROR(VLOOKUP($A1668,HeadJournal!$A$1:$J$890,COLUMN(HeadJournal!I$1),0)*($K1668+$L1668)/(SUMIF($A:$A,$A1668,$K:$K)+SUMIF($A:$A,$A1668,$L:$L)),0)</f>
        <v>0.11908773126438739</v>
      </c>
      <c r="N1668" s="30">
        <f>IFERROR((VLOOKUP($A1668,HeadJournal!$A$1:$K$890,COLUMN(HeadJournal!K$1),0)-VLOOKUP($A1668,HeadJournal!$A$1:$K$890,COLUMN(HeadJournal!J$1),0))*($K1668+$L1668)/(SUMIF($A:$A,$A1668,$K:$K)+SUMIF($A:$A,$A1668,$L:$L)),0)</f>
        <v>-1.0989210697150835E-15</v>
      </c>
      <c r="O1668" s="30">
        <f>IFERROR((VLOOKUP($A1668,HeadJournal!$A$1:$L$890,COLUMN(HeadJournal!L$1),0)*($K1668+$L1668)/(SUMIF($A:$A,$A1668,$K:$K)+SUMIF($A:$A,$A1668,$L:$L)))/VLOOKUP($A1668,HeadJournal!$A$1:$L$890,COLUMN(HeadJournal!H$1),0),0)</f>
        <v>0.39102924120419474</v>
      </c>
      <c r="P1668" s="30">
        <f>IFERROR(SUM(K1668:O1668)*VLOOKUP($A1668,HeadJournal!$A$1:$L$890,COLUMN(HeadJournal!H$1),0),0)</f>
        <v>450.65976023015469</v>
      </c>
      <c r="Q1668" s="29">
        <v>1100</v>
      </c>
      <c r="R1668" s="31">
        <v>45118</v>
      </c>
      <c r="S1668" s="31" t="s">
        <v>3121</v>
      </c>
      <c r="T1668" s="95" t="str">
        <f t="shared" ref="T1668:T1731" si="135">IF(R1668="","",TEXT(R1668,"ГГГГ ММ"))</f>
        <v>2023 07</v>
      </c>
      <c r="U1668" s="32">
        <f t="shared" si="132"/>
        <v>649.34023976984531</v>
      </c>
      <c r="V1668" s="22">
        <f t="shared" si="133"/>
        <v>1.4408658084720574</v>
      </c>
      <c r="X1668" s="33"/>
      <c r="Y1668" s="33"/>
    </row>
    <row r="1669" spans="1:25" x14ac:dyDescent="0.2">
      <c r="A1669" s="93" t="s">
        <v>744</v>
      </c>
      <c r="B1669" s="94" t="str">
        <f>IFERROR(VLOOKUP($A1669,HeadJournal!$A$1:$NTR$890,COLUMN(HeadJournal!B$1),0),"")</f>
        <v>710000804444</v>
      </c>
      <c r="C1669" s="94" t="str">
        <f>IFERROR(VLOOKUP($A1669,HeadJournal!$A$1:$NTR$890,COLUMN(HeadJournal!C$1),0),"")</f>
        <v>iHerb_OA CZN6870</v>
      </c>
      <c r="D1669" s="125" t="str">
        <f>IFERROR(VLOOKUP($A1669,HeadJournal!$A$1:$NTR$890,COLUMN(HeadJournal!D$1),0),"")</f>
        <v>Доставлен</v>
      </c>
      <c r="E1669" s="95">
        <f>IFERROR(VLOOKUP($A1669,HeadJournal!$A$1:$NTR$890,COLUMN(HeadJournal!G$1),0),"")</f>
        <v>45068</v>
      </c>
      <c r="F1669" s="95" t="str">
        <f t="shared" si="134"/>
        <v>2023 05</v>
      </c>
      <c r="G1669" s="96" t="s">
        <v>5</v>
      </c>
      <c r="H1669" s="161" t="s">
        <v>3033</v>
      </c>
      <c r="I1669" s="97" t="s">
        <v>2007</v>
      </c>
      <c r="J1669" s="97" t="s">
        <v>3034</v>
      </c>
      <c r="K1669" s="29">
        <v>30</v>
      </c>
      <c r="L1669" s="29">
        <v>-32.519999999999996</v>
      </c>
      <c r="M1669" s="30">
        <f>IFERROR(VLOOKUP($A1669,HeadJournal!$A$1:$J$890,COLUMN(HeadJournal!I$1),0)*($K1669+$L1669)/(SUMIF($A:$A,$A1669,$K:$K)+SUMIF($A:$A,$A1669,$L:$L)),0)</f>
        <v>-4.6551724137930975E-2</v>
      </c>
      <c r="N1669" s="30">
        <f>IFERROR((VLOOKUP($A1669,HeadJournal!$A$1:$K$890,COLUMN(HeadJournal!K$1),0)-VLOOKUP($A1669,HeadJournal!$A$1:$K$890,COLUMN(HeadJournal!J$1),0))*($K1669+$L1669)/(SUMIF($A:$A,$A1669,$K:$K)+SUMIF($A:$A,$A1669,$L:$L)),0)</f>
        <v>0</v>
      </c>
      <c r="O1669" s="30">
        <f>IFERROR((VLOOKUP($A1669,HeadJournal!$A$1:$L$890,COLUMN(HeadJournal!L$1),0)*($K1669+$L1669)/(SUMIF($A:$A,$A1669,$K:$K)+SUMIF($A:$A,$A1669,$L:$L)))/VLOOKUP($A1669,HeadJournal!$A$1:$L$890,COLUMN(HeadJournal!H$1),0),0)</f>
        <v>-0.30779461859674778</v>
      </c>
      <c r="P1669" s="30">
        <f>IFERROR(SUM(K1669:O1669)*VLOOKUP($A1669,HeadJournal!$A$1:$L$890,COLUMN(HeadJournal!H$1),0),0)</f>
        <v>-256.48729465768776</v>
      </c>
      <c r="Q1669" s="29">
        <v>2800</v>
      </c>
      <c r="R1669" s="31">
        <v>45111</v>
      </c>
      <c r="S1669" s="31" t="s">
        <v>3121</v>
      </c>
      <c r="T1669" s="95" t="str">
        <f t="shared" si="135"/>
        <v>2023 07</v>
      </c>
      <c r="U1669" s="32">
        <f t="shared" si="132"/>
        <v>3056.4872946576879</v>
      </c>
      <c r="V1669" s="22">
        <f t="shared" si="133"/>
        <v>-11.916720080567449</v>
      </c>
      <c r="X1669" s="33"/>
      <c r="Y1669" s="33"/>
    </row>
    <row r="1670" spans="1:25" x14ac:dyDescent="0.2">
      <c r="A1670" s="93" t="s">
        <v>744</v>
      </c>
      <c r="B1670" s="94" t="str">
        <f>IFERROR(VLOOKUP($A1670,HeadJournal!$A$1:$NTR$890,COLUMN(HeadJournal!B$1),0),"")</f>
        <v>710000804444</v>
      </c>
      <c r="C1670" s="94" t="str">
        <f>IFERROR(VLOOKUP($A1670,HeadJournal!$A$1:$NTR$890,COLUMN(HeadJournal!C$1),0),"")</f>
        <v>iHerb_OA CZN6870</v>
      </c>
      <c r="D1670" s="125" t="str">
        <f>IFERROR(VLOOKUP($A1670,HeadJournal!$A$1:$NTR$890,COLUMN(HeadJournal!D$1),0),"")</f>
        <v>Доставлен</v>
      </c>
      <c r="E1670" s="95">
        <f>IFERROR(VLOOKUP($A1670,HeadJournal!$A$1:$NTR$890,COLUMN(HeadJournal!G$1),0),"")</f>
        <v>45068</v>
      </c>
      <c r="F1670" s="95" t="str">
        <f t="shared" si="134"/>
        <v>2023 05</v>
      </c>
      <c r="G1670" s="96" t="s">
        <v>5</v>
      </c>
      <c r="H1670" s="161" t="s">
        <v>3033</v>
      </c>
      <c r="I1670" s="97" t="s">
        <v>2007</v>
      </c>
      <c r="J1670" s="97" t="s">
        <v>3034</v>
      </c>
      <c r="K1670" s="29">
        <v>30</v>
      </c>
      <c r="L1670" s="29">
        <v>-9</v>
      </c>
      <c r="M1670" s="30">
        <f>IFERROR(VLOOKUP($A1670,HeadJournal!$A$1:$J$890,COLUMN(HeadJournal!I$1),0)*($K1670+$L1670)/(SUMIF($A:$A,$A1670,$K:$K)+SUMIF($A:$A,$A1670,$L:$L)),0)</f>
        <v>0.38793103448275873</v>
      </c>
      <c r="N1670" s="30">
        <f>IFERROR((VLOOKUP($A1670,HeadJournal!$A$1:$K$890,COLUMN(HeadJournal!K$1),0)-VLOOKUP($A1670,HeadJournal!$A$1:$K$890,COLUMN(HeadJournal!J$1),0))*($K1670+$L1670)/(SUMIF($A:$A,$A1670,$K:$K)+SUMIF($A:$A,$A1670,$L:$L)),0)</f>
        <v>0</v>
      </c>
      <c r="O1670" s="30">
        <f>IFERROR((VLOOKUP($A1670,HeadJournal!$A$1:$L$890,COLUMN(HeadJournal!L$1),0)*($K1670+$L1670)/(SUMIF($A:$A,$A1670,$K:$K)+SUMIF($A:$A,$A1670,$L:$L)))/VLOOKUP($A1670,HeadJournal!$A$1:$L$890,COLUMN(HeadJournal!H$1),0),0)</f>
        <v>2.5649551549729024</v>
      </c>
      <c r="P1670" s="30">
        <f>IFERROR(SUM(K1670:O1670)*VLOOKUP($A1670,HeadJournal!$A$1:$L$890,COLUMN(HeadJournal!H$1),0),0)</f>
        <v>2137.3941221474015</v>
      </c>
      <c r="Q1670" s="29">
        <v>3200</v>
      </c>
      <c r="R1670" s="31">
        <v>45111</v>
      </c>
      <c r="S1670" s="31" t="s">
        <v>3121</v>
      </c>
      <c r="T1670" s="95" t="str">
        <f t="shared" si="135"/>
        <v>2023 07</v>
      </c>
      <c r="U1670" s="32">
        <f t="shared" si="132"/>
        <v>1062.6058778525985</v>
      </c>
      <c r="V1670" s="22">
        <f t="shared" si="133"/>
        <v>0.49715018247781906</v>
      </c>
      <c r="X1670" s="33"/>
      <c r="Y1670" s="33"/>
    </row>
    <row r="1671" spans="1:25" x14ac:dyDescent="0.2">
      <c r="A1671" s="93" t="s">
        <v>744</v>
      </c>
      <c r="B1671" s="94" t="str">
        <f>IFERROR(VLOOKUP($A1671,HeadJournal!$A$1:$NTR$890,COLUMN(HeadJournal!B$1),0),"")</f>
        <v>710000804444</v>
      </c>
      <c r="C1671" s="94" t="str">
        <f>IFERROR(VLOOKUP($A1671,HeadJournal!$A$1:$NTR$890,COLUMN(HeadJournal!C$1),0),"")</f>
        <v>iHerb_OA CZN6870</v>
      </c>
      <c r="D1671" s="125" t="str">
        <f>IFERROR(VLOOKUP($A1671,HeadJournal!$A$1:$NTR$890,COLUMN(HeadJournal!D$1),0),"")</f>
        <v>Доставлен</v>
      </c>
      <c r="E1671" s="95">
        <f>IFERROR(VLOOKUP($A1671,HeadJournal!$A$1:$NTR$890,COLUMN(HeadJournal!G$1),0),"")</f>
        <v>45068</v>
      </c>
      <c r="F1671" s="95" t="str">
        <f t="shared" si="134"/>
        <v>2023 05</v>
      </c>
      <c r="G1671" s="96" t="s">
        <v>5</v>
      </c>
      <c r="H1671" s="160" t="str">
        <f>RIGHT(Journal!$J1671,9)</f>
        <v>NOW-00147</v>
      </c>
      <c r="I1671" s="96" t="str">
        <f t="shared" si="131"/>
        <v>NOW Foods</v>
      </c>
      <c r="J1671" s="97" t="s">
        <v>745</v>
      </c>
      <c r="K1671" s="29">
        <v>16.420000000000002</v>
      </c>
      <c r="L1671" s="29">
        <v>-1.64</v>
      </c>
      <c r="M1671" s="30">
        <f>IFERROR(VLOOKUP($A1671,HeadJournal!$A$1:$J$890,COLUMN(HeadJournal!I$1),0)*($K1671+$L1671)/(SUMIF($A:$A,$A1671,$K:$K)+SUMIF($A:$A,$A1671,$L:$L)),0)</f>
        <v>0.27302955665024642</v>
      </c>
      <c r="N1671" s="30">
        <f>IFERROR((VLOOKUP($A1671,HeadJournal!$A$1:$K$890,COLUMN(HeadJournal!K$1),0)-VLOOKUP($A1671,HeadJournal!$A$1:$K$890,COLUMN(HeadJournal!J$1),0))*($K1671+$L1671)/(SUMIF($A:$A,$A1671,$K:$K)+SUMIF($A:$A,$A1671,$L:$L)),0)</f>
        <v>0</v>
      </c>
      <c r="O1671" s="30">
        <f>IFERROR((VLOOKUP($A1671,HeadJournal!$A$1:$L$890,COLUMN(HeadJournal!L$1),0)*($K1671+$L1671)/(SUMIF($A:$A,$A1671,$K:$K)+SUMIF($A:$A,$A1671,$L:$L)))/VLOOKUP($A1671,HeadJournal!$A$1:$L$890,COLUMN(HeadJournal!H$1),0),0)</f>
        <v>1.8052398662142619</v>
      </c>
      <c r="P1671" s="30">
        <f>IFERROR(SUM(K1671:O1671)*VLOOKUP($A1671,HeadJournal!$A$1:$L$890,COLUMN(HeadJournal!H$1),0),0)</f>
        <v>1504.3183393018378</v>
      </c>
      <c r="Q1671" s="29">
        <v>2000</v>
      </c>
      <c r="R1671" s="31">
        <v>45100</v>
      </c>
      <c r="S1671" s="31" t="s">
        <v>3121</v>
      </c>
      <c r="T1671" s="95" t="str">
        <f t="shared" si="135"/>
        <v>2023 06</v>
      </c>
      <c r="U1671" s="32">
        <f t="shared" si="132"/>
        <v>495.6816606981622</v>
      </c>
      <c r="V1671" s="22">
        <f t="shared" si="133"/>
        <v>0.32950582848588467</v>
      </c>
      <c r="X1671" s="33"/>
      <c r="Y1671" s="33"/>
    </row>
    <row r="1672" spans="1:25" x14ac:dyDescent="0.2">
      <c r="A1672" s="93" t="s">
        <v>744</v>
      </c>
      <c r="B1672" s="94" t="str">
        <f>IFERROR(VLOOKUP($A1672,HeadJournal!$A$1:$NTR$890,COLUMN(HeadJournal!B$1),0),"")</f>
        <v>710000804444</v>
      </c>
      <c r="C1672" s="94" t="str">
        <f>IFERROR(VLOOKUP($A1672,HeadJournal!$A$1:$NTR$890,COLUMN(HeadJournal!C$1),0),"")</f>
        <v>iHerb_OA CZN6870</v>
      </c>
      <c r="D1672" s="125" t="str">
        <f>IFERROR(VLOOKUP($A1672,HeadJournal!$A$1:$NTR$890,COLUMN(HeadJournal!D$1),0),"")</f>
        <v>Доставлен</v>
      </c>
      <c r="E1672" s="95">
        <f>IFERROR(VLOOKUP($A1672,HeadJournal!$A$1:$NTR$890,COLUMN(HeadJournal!G$1),0),"")</f>
        <v>45068</v>
      </c>
      <c r="F1672" s="95" t="str">
        <f t="shared" si="134"/>
        <v>2023 05</v>
      </c>
      <c r="G1672" s="96" t="s">
        <v>5</v>
      </c>
      <c r="H1672" s="160" t="str">
        <f>RIGHT(Journal!$J1672,9)</f>
        <v>CEN-27285</v>
      </c>
      <c r="I1672" s="96" t="str">
        <f t="shared" si="131"/>
        <v>21st Century</v>
      </c>
      <c r="J1672" s="97" t="s">
        <v>644</v>
      </c>
      <c r="K1672" s="29">
        <v>6.12</v>
      </c>
      <c r="L1672" s="29">
        <v>-0.61</v>
      </c>
      <c r="M1672" s="30">
        <f>IFERROR(VLOOKUP($A1672,HeadJournal!$A$1:$J$890,COLUMN(HeadJournal!I$1),0)*($K1672+$L1672)/(SUMIF($A:$A,$A1672,$K:$K)+SUMIF($A:$A,$A1672,$L:$L)),0)</f>
        <v>0.1017857142857143</v>
      </c>
      <c r="N1672" s="30">
        <f>IFERROR((VLOOKUP($A1672,HeadJournal!$A$1:$K$890,COLUMN(HeadJournal!K$1),0)-VLOOKUP($A1672,HeadJournal!$A$1:$K$890,COLUMN(HeadJournal!J$1),0))*($K1672+$L1672)/(SUMIF($A:$A,$A1672,$K:$K)+SUMIF($A:$A,$A1672,$L:$L)),0)</f>
        <v>0</v>
      </c>
      <c r="O1672" s="30">
        <f>IFERROR((VLOOKUP($A1672,HeadJournal!$A$1:$L$890,COLUMN(HeadJournal!L$1),0)*($K1672+$L1672)/(SUMIF($A:$A,$A1672,$K:$K)+SUMIF($A:$A,$A1672,$L:$L)))/VLOOKUP($A1672,HeadJournal!$A$1:$L$890,COLUMN(HeadJournal!H$1),0),0)</f>
        <v>0.67299537637622342</v>
      </c>
      <c r="P1672" s="30">
        <f>IFERROR(SUM(K1672:O1672)*VLOOKUP($A1672,HeadJournal!$A$1:$L$890,COLUMN(HeadJournal!H$1),0),0)</f>
        <v>560.81150538248482</v>
      </c>
      <c r="Q1672" s="29">
        <v>1200</v>
      </c>
      <c r="R1672" s="31">
        <v>45102</v>
      </c>
      <c r="S1672" s="31" t="s">
        <v>3121</v>
      </c>
      <c r="T1672" s="95" t="str">
        <f t="shared" si="135"/>
        <v>2023 06</v>
      </c>
      <c r="U1672" s="32">
        <f t="shared" si="132"/>
        <v>639.18849461751518</v>
      </c>
      <c r="V1672" s="22">
        <f t="shared" si="133"/>
        <v>1.139756386027736</v>
      </c>
      <c r="X1672" s="33"/>
      <c r="Y1672" s="33"/>
    </row>
    <row r="1673" spans="1:25" x14ac:dyDescent="0.2">
      <c r="A1673" s="93" t="s">
        <v>744</v>
      </c>
      <c r="B1673" s="94" t="str">
        <f>IFERROR(VLOOKUP($A1673,HeadJournal!$A$1:$NTR$890,COLUMN(HeadJournal!B$1),0),"")</f>
        <v>710000804444</v>
      </c>
      <c r="C1673" s="94" t="str">
        <f>IFERROR(VLOOKUP($A1673,HeadJournal!$A$1:$NTR$890,COLUMN(HeadJournal!C$1),0),"")</f>
        <v>iHerb_OA CZN6870</v>
      </c>
      <c r="D1673" s="125" t="str">
        <f>IFERROR(VLOOKUP($A1673,HeadJournal!$A$1:$NTR$890,COLUMN(HeadJournal!D$1),0),"")</f>
        <v>Доставлен</v>
      </c>
      <c r="E1673" s="95">
        <f>IFERROR(VLOOKUP($A1673,HeadJournal!$A$1:$NTR$890,COLUMN(HeadJournal!G$1),0),"")</f>
        <v>45068</v>
      </c>
      <c r="F1673" s="95" t="str">
        <f t="shared" si="134"/>
        <v>2023 05</v>
      </c>
      <c r="G1673" s="96" t="s">
        <v>5</v>
      </c>
      <c r="H1673" s="161" t="s">
        <v>2771</v>
      </c>
      <c r="I1673" s="97" t="s">
        <v>2052</v>
      </c>
      <c r="J1673" s="97" t="s">
        <v>3858</v>
      </c>
      <c r="K1673" s="29">
        <v>7</v>
      </c>
      <c r="L1673" s="29">
        <v>-4.2</v>
      </c>
      <c r="M1673" s="30">
        <f>IFERROR(VLOOKUP($A1673,HeadJournal!$A$1:$J$890,COLUMN(HeadJournal!I$1),0)*($K1673+$L1673)/(SUMIF($A:$A,$A1673,$K:$K)+SUMIF($A:$A,$A1673,$L:$L)),0)</f>
        <v>5.1724137931034496E-2</v>
      </c>
      <c r="N1673" s="30">
        <f>IFERROR((VLOOKUP($A1673,HeadJournal!$A$1:$K$890,COLUMN(HeadJournal!K$1),0)-VLOOKUP($A1673,HeadJournal!$A$1:$K$890,COLUMN(HeadJournal!J$1),0))*($K1673+$L1673)/(SUMIF($A:$A,$A1673,$K:$K)+SUMIF($A:$A,$A1673,$L:$L)),0)</f>
        <v>0</v>
      </c>
      <c r="O1673" s="30">
        <f>IFERROR((VLOOKUP($A1673,HeadJournal!$A$1:$L$890,COLUMN(HeadJournal!L$1),0)*($K1673+$L1673)/(SUMIF($A:$A,$A1673,$K:$K)+SUMIF($A:$A,$A1673,$L:$L)))/VLOOKUP($A1673,HeadJournal!$A$1:$L$890,COLUMN(HeadJournal!H$1),0),0)</f>
        <v>0.34199402066305362</v>
      </c>
      <c r="P1673" s="30">
        <f>IFERROR(SUM(K1673:O1673)*VLOOKUP($A1673,HeadJournal!$A$1:$L$890,COLUMN(HeadJournal!H$1),0),0)</f>
        <v>284.98588295298686</v>
      </c>
      <c r="Q1673" s="29">
        <v>900</v>
      </c>
      <c r="R1673" s="31">
        <v>45195</v>
      </c>
      <c r="S1673" s="31" t="s">
        <v>3121</v>
      </c>
      <c r="T1673" s="95" t="str">
        <f t="shared" si="135"/>
        <v>2023 09</v>
      </c>
      <c r="U1673" s="32">
        <f t="shared" si="132"/>
        <v>615.01411704701309</v>
      </c>
      <c r="V1673" s="22">
        <f t="shared" si="133"/>
        <v>2.1580511661641495</v>
      </c>
      <c r="X1673" s="33"/>
      <c r="Y1673" s="33"/>
    </row>
    <row r="1674" spans="1:25" x14ac:dyDescent="0.2">
      <c r="A1674" s="93" t="s">
        <v>744</v>
      </c>
      <c r="B1674" s="94" t="str">
        <f>IFERROR(VLOOKUP($A1674,HeadJournal!$A$1:$NTR$890,COLUMN(HeadJournal!B$1),0),"")</f>
        <v>710000804444</v>
      </c>
      <c r="C1674" s="94" t="str">
        <f>IFERROR(VLOOKUP($A1674,HeadJournal!$A$1:$NTR$890,COLUMN(HeadJournal!C$1),0),"")</f>
        <v>iHerb_OA CZN6870</v>
      </c>
      <c r="D1674" s="125" t="str">
        <f>IFERROR(VLOOKUP($A1674,HeadJournal!$A$1:$NTR$890,COLUMN(HeadJournal!D$1),0),"")</f>
        <v>Доставлен</v>
      </c>
      <c r="E1674" s="95">
        <f>IFERROR(VLOOKUP($A1674,HeadJournal!$A$1:$NTR$890,COLUMN(HeadJournal!G$1),0),"")</f>
        <v>45068</v>
      </c>
      <c r="F1674" s="95" t="str">
        <f t="shared" si="134"/>
        <v>2023 05</v>
      </c>
      <c r="G1674" s="96" t="s">
        <v>5</v>
      </c>
      <c r="H1674" s="161" t="s">
        <v>2771</v>
      </c>
      <c r="I1674" s="97" t="s">
        <v>2052</v>
      </c>
      <c r="J1674" s="97" t="s">
        <v>3858</v>
      </c>
      <c r="K1674" s="29">
        <v>7</v>
      </c>
      <c r="L1674" s="29">
        <v>-4.2</v>
      </c>
      <c r="M1674" s="30">
        <f>IFERROR(VLOOKUP($A1674,HeadJournal!$A$1:$J$890,COLUMN(HeadJournal!I$1),0)*($K1674+$L1674)/(SUMIF($A:$A,$A1674,$K:$K)+SUMIF($A:$A,$A1674,$L:$L)),0)</f>
        <v>5.1724137931034496E-2</v>
      </c>
      <c r="N1674" s="30">
        <f>IFERROR((VLOOKUP($A1674,HeadJournal!$A$1:$K$890,COLUMN(HeadJournal!K$1),0)-VLOOKUP($A1674,HeadJournal!$A$1:$K$890,COLUMN(HeadJournal!J$1),0))*($K1674+$L1674)/(SUMIF($A:$A,$A1674,$K:$K)+SUMIF($A:$A,$A1674,$L:$L)),0)</f>
        <v>0</v>
      </c>
      <c r="O1674" s="30">
        <f>IFERROR((VLOOKUP($A1674,HeadJournal!$A$1:$L$890,COLUMN(HeadJournal!L$1),0)*($K1674+$L1674)/(SUMIF($A:$A,$A1674,$K:$K)+SUMIF($A:$A,$A1674,$L:$L)))/VLOOKUP($A1674,HeadJournal!$A$1:$L$890,COLUMN(HeadJournal!H$1),0),0)</f>
        <v>0.34199402066305362</v>
      </c>
      <c r="P1674" s="30">
        <f>IFERROR(SUM(K1674:O1674)*VLOOKUP($A1674,HeadJournal!$A$1:$L$890,COLUMN(HeadJournal!H$1),0),0)</f>
        <v>284.98588295298686</v>
      </c>
      <c r="Q1674" s="29">
        <v>1200</v>
      </c>
      <c r="R1674" s="31">
        <v>45208</v>
      </c>
      <c r="S1674" s="31" t="s">
        <v>3121</v>
      </c>
      <c r="T1674" s="95" t="str">
        <f t="shared" si="135"/>
        <v>2023 10</v>
      </c>
      <c r="U1674" s="32">
        <f t="shared" si="132"/>
        <v>915.01411704701309</v>
      </c>
      <c r="V1674" s="22">
        <f t="shared" si="133"/>
        <v>3.210734888218866</v>
      </c>
      <c r="X1674" s="33"/>
      <c r="Y1674" s="33"/>
    </row>
    <row r="1675" spans="1:25" x14ac:dyDescent="0.2">
      <c r="A1675" s="93" t="s">
        <v>744</v>
      </c>
      <c r="B1675" s="94" t="str">
        <f>IFERROR(VLOOKUP($A1675,HeadJournal!$A$1:$NTR$890,COLUMN(HeadJournal!B$1),0),"")</f>
        <v>710000804444</v>
      </c>
      <c r="C1675" s="94" t="str">
        <f>IFERROR(VLOOKUP($A1675,HeadJournal!$A$1:$NTR$890,COLUMN(HeadJournal!C$1),0),"")</f>
        <v>iHerb_OA CZN6870</v>
      </c>
      <c r="D1675" s="125" t="str">
        <f>IFERROR(VLOOKUP($A1675,HeadJournal!$A$1:$NTR$890,COLUMN(HeadJournal!D$1),0),"")</f>
        <v>Доставлен</v>
      </c>
      <c r="E1675" s="95">
        <f>IFERROR(VLOOKUP($A1675,HeadJournal!$A$1:$NTR$890,COLUMN(HeadJournal!G$1),0),"")</f>
        <v>45068</v>
      </c>
      <c r="F1675" s="95" t="str">
        <f t="shared" si="134"/>
        <v>2023 05</v>
      </c>
      <c r="G1675" s="96" t="s">
        <v>5</v>
      </c>
      <c r="H1675" s="161" t="s">
        <v>2771</v>
      </c>
      <c r="I1675" s="97" t="s">
        <v>2052</v>
      </c>
      <c r="J1675" s="97" t="s">
        <v>3858</v>
      </c>
      <c r="K1675" s="29">
        <v>7</v>
      </c>
      <c r="L1675" s="29">
        <v>-4.2</v>
      </c>
      <c r="M1675" s="30">
        <f>IFERROR(VLOOKUP($A1675,HeadJournal!$A$1:$J$890,COLUMN(HeadJournal!I$1),0)*($K1675+$L1675)/(SUMIF($A:$A,$A1675,$K:$K)+SUMIF($A:$A,$A1675,$L:$L)),0)</f>
        <v>5.1724137931034496E-2</v>
      </c>
      <c r="N1675" s="30">
        <f>IFERROR((VLOOKUP($A1675,HeadJournal!$A$1:$K$890,COLUMN(HeadJournal!K$1),0)-VLOOKUP($A1675,HeadJournal!$A$1:$K$890,COLUMN(HeadJournal!J$1),0))*($K1675+$L1675)/(SUMIF($A:$A,$A1675,$K:$K)+SUMIF($A:$A,$A1675,$L:$L)),0)</f>
        <v>0</v>
      </c>
      <c r="O1675" s="30">
        <f>IFERROR((VLOOKUP($A1675,HeadJournal!$A$1:$L$890,COLUMN(HeadJournal!L$1),0)*($K1675+$L1675)/(SUMIF($A:$A,$A1675,$K:$K)+SUMIF($A:$A,$A1675,$L:$L)))/VLOOKUP($A1675,HeadJournal!$A$1:$L$890,COLUMN(HeadJournal!H$1),0),0)</f>
        <v>0.34199402066305362</v>
      </c>
      <c r="P1675" s="30">
        <f>IFERROR(SUM(K1675:O1675)*VLOOKUP($A1675,HeadJournal!$A$1:$L$890,COLUMN(HeadJournal!H$1),0),0)</f>
        <v>284.98588295298686</v>
      </c>
      <c r="Q1675" s="29">
        <v>1200</v>
      </c>
      <c r="R1675" s="31">
        <v>45261</v>
      </c>
      <c r="S1675" s="31" t="s">
        <v>3121</v>
      </c>
      <c r="T1675" s="95" t="str">
        <f t="shared" si="135"/>
        <v>2023 12</v>
      </c>
      <c r="U1675" s="32">
        <f t="shared" si="132"/>
        <v>915.01411704701309</v>
      </c>
      <c r="V1675" s="22">
        <f t="shared" si="133"/>
        <v>3.210734888218866</v>
      </c>
      <c r="X1675" s="33"/>
      <c r="Y1675" s="33"/>
    </row>
    <row r="1676" spans="1:25" x14ac:dyDescent="0.2">
      <c r="A1676" s="93" t="s">
        <v>744</v>
      </c>
      <c r="B1676" s="94" t="str">
        <f>IFERROR(VLOOKUP($A1676,HeadJournal!$A$1:$NTR$890,COLUMN(HeadJournal!B$1),0),"")</f>
        <v>710000804444</v>
      </c>
      <c r="C1676" s="94" t="str">
        <f>IFERROR(VLOOKUP($A1676,HeadJournal!$A$1:$NTR$890,COLUMN(HeadJournal!C$1),0),"")</f>
        <v>iHerb_OA CZN6870</v>
      </c>
      <c r="D1676" s="125" t="str">
        <f>IFERROR(VLOOKUP($A1676,HeadJournal!$A$1:$NTR$890,COLUMN(HeadJournal!D$1),0),"")</f>
        <v>Доставлен</v>
      </c>
      <c r="E1676" s="95">
        <f>IFERROR(VLOOKUP($A1676,HeadJournal!$A$1:$NTR$890,COLUMN(HeadJournal!G$1),0),"")</f>
        <v>45068</v>
      </c>
      <c r="F1676" s="95" t="str">
        <f t="shared" si="134"/>
        <v>2023 05</v>
      </c>
      <c r="G1676" s="96" t="s">
        <v>5</v>
      </c>
      <c r="H1676" s="161" t="s">
        <v>2771</v>
      </c>
      <c r="I1676" s="97" t="s">
        <v>2052</v>
      </c>
      <c r="J1676" s="97" t="s">
        <v>3858</v>
      </c>
      <c r="K1676" s="29">
        <v>7</v>
      </c>
      <c r="L1676" s="29">
        <v>-4.2</v>
      </c>
      <c r="M1676" s="30">
        <f>IFERROR(VLOOKUP($A1676,HeadJournal!$A$1:$J$890,COLUMN(HeadJournal!I$1),0)*($K1676+$L1676)/(SUMIF($A:$A,$A1676,$K:$K)+SUMIF($A:$A,$A1676,$L:$L)),0)</f>
        <v>5.1724137931034496E-2</v>
      </c>
      <c r="N1676" s="30">
        <f>IFERROR((VLOOKUP($A1676,HeadJournal!$A$1:$K$890,COLUMN(HeadJournal!K$1),0)-VLOOKUP($A1676,HeadJournal!$A$1:$K$890,COLUMN(HeadJournal!J$1),0))*($K1676+$L1676)/(SUMIF($A:$A,$A1676,$K:$K)+SUMIF($A:$A,$A1676,$L:$L)),0)</f>
        <v>0</v>
      </c>
      <c r="O1676" s="30">
        <f>IFERROR((VLOOKUP($A1676,HeadJournal!$A$1:$L$890,COLUMN(HeadJournal!L$1),0)*($K1676+$L1676)/(SUMIF($A:$A,$A1676,$K:$K)+SUMIF($A:$A,$A1676,$L:$L)))/VLOOKUP($A1676,HeadJournal!$A$1:$L$890,COLUMN(HeadJournal!H$1),0),0)</f>
        <v>0.34199402066305362</v>
      </c>
      <c r="P1676" s="30">
        <f>IFERROR(SUM(K1676:O1676)*VLOOKUP($A1676,HeadJournal!$A$1:$L$890,COLUMN(HeadJournal!H$1),0),0)</f>
        <v>284.98588295298686</v>
      </c>
      <c r="Q1676" s="29">
        <v>338.4</v>
      </c>
      <c r="R1676" s="31">
        <v>45377</v>
      </c>
      <c r="S1676" s="31" t="s">
        <v>3121</v>
      </c>
      <c r="T1676" s="95" t="str">
        <f t="shared" si="135"/>
        <v>2024 03</v>
      </c>
      <c r="U1676" s="32">
        <f t="shared" si="132"/>
        <v>53.414117047013121</v>
      </c>
      <c r="V1676" s="22">
        <f t="shared" si="133"/>
        <v>0.18742723847772019</v>
      </c>
      <c r="X1676" s="33"/>
      <c r="Y1676" s="33"/>
    </row>
    <row r="1677" spans="1:25" x14ac:dyDescent="0.2">
      <c r="A1677" s="93" t="s">
        <v>744</v>
      </c>
      <c r="B1677" s="94" t="str">
        <f>IFERROR(VLOOKUP($A1677,HeadJournal!$A$1:$NTR$890,COLUMN(HeadJournal!B$1),0),"")</f>
        <v>710000804444</v>
      </c>
      <c r="C1677" s="94" t="str">
        <f>IFERROR(VLOOKUP($A1677,HeadJournal!$A$1:$NTR$890,COLUMN(HeadJournal!C$1),0),"")</f>
        <v>iHerb_OA CZN6870</v>
      </c>
      <c r="D1677" s="125" t="str">
        <f>IFERROR(VLOOKUP($A1677,HeadJournal!$A$1:$NTR$890,COLUMN(HeadJournal!D$1),0),"")</f>
        <v>Доставлен</v>
      </c>
      <c r="E1677" s="95">
        <f>IFERROR(VLOOKUP($A1677,HeadJournal!$A$1:$NTR$890,COLUMN(HeadJournal!G$1),0),"")</f>
        <v>45068</v>
      </c>
      <c r="F1677" s="95" t="str">
        <f t="shared" si="134"/>
        <v>2023 05</v>
      </c>
      <c r="G1677" s="96" t="s">
        <v>5</v>
      </c>
      <c r="H1677" s="161" t="s">
        <v>2771</v>
      </c>
      <c r="I1677" s="97" t="s">
        <v>2052</v>
      </c>
      <c r="J1677" s="97" t="s">
        <v>3858</v>
      </c>
      <c r="K1677" s="29">
        <v>7</v>
      </c>
      <c r="L1677" s="29">
        <v>-4.2</v>
      </c>
      <c r="M1677" s="30">
        <f>IFERROR(VLOOKUP($A1677,HeadJournal!$A$1:$J$890,COLUMN(HeadJournal!I$1),0)*($K1677+$L1677)/(SUMIF($A:$A,$A1677,$K:$K)+SUMIF($A:$A,$A1677,$L:$L)),0)</f>
        <v>5.1724137931034496E-2</v>
      </c>
      <c r="N1677" s="30">
        <f>IFERROR((VLOOKUP($A1677,HeadJournal!$A$1:$K$890,COLUMN(HeadJournal!K$1),0)-VLOOKUP($A1677,HeadJournal!$A$1:$K$890,COLUMN(HeadJournal!J$1),0))*($K1677+$L1677)/(SUMIF($A:$A,$A1677,$K:$K)+SUMIF($A:$A,$A1677,$L:$L)),0)</f>
        <v>0</v>
      </c>
      <c r="O1677" s="30">
        <f>IFERROR((VLOOKUP($A1677,HeadJournal!$A$1:$L$890,COLUMN(HeadJournal!L$1),0)*($K1677+$L1677)/(SUMIF($A:$A,$A1677,$K:$K)+SUMIF($A:$A,$A1677,$L:$L)))/VLOOKUP($A1677,HeadJournal!$A$1:$L$890,COLUMN(HeadJournal!H$1),0),0)</f>
        <v>0.34199402066305362</v>
      </c>
      <c r="P1677" s="30">
        <f>IFERROR(SUM(K1677:O1677)*VLOOKUP($A1677,HeadJournal!$A$1:$L$890,COLUMN(HeadJournal!H$1),0),0)</f>
        <v>284.98588295298686</v>
      </c>
      <c r="Q1677" s="29">
        <v>338.4</v>
      </c>
      <c r="R1677" s="31">
        <v>45069</v>
      </c>
      <c r="S1677" s="31" t="s">
        <v>3121</v>
      </c>
      <c r="T1677" s="95" t="str">
        <f t="shared" si="135"/>
        <v>2023 05</v>
      </c>
      <c r="U1677" s="32">
        <f t="shared" si="132"/>
        <v>53.414117047013121</v>
      </c>
      <c r="V1677" s="22">
        <f t="shared" si="133"/>
        <v>0.18742723847772019</v>
      </c>
      <c r="X1677" s="33"/>
      <c r="Y1677" s="33"/>
    </row>
    <row r="1678" spans="1:25" x14ac:dyDescent="0.2">
      <c r="A1678" s="93" t="s">
        <v>744</v>
      </c>
      <c r="B1678" s="94" t="str">
        <f>IFERROR(VLOOKUP($A1678,HeadJournal!$A$1:$NTR$890,COLUMN(HeadJournal!B$1),0),"")</f>
        <v>710000804444</v>
      </c>
      <c r="C1678" s="94" t="str">
        <f>IFERROR(VLOOKUP($A1678,HeadJournal!$A$1:$NTR$890,COLUMN(HeadJournal!C$1),0),"")</f>
        <v>iHerb_OA CZN6870</v>
      </c>
      <c r="D1678" s="125" t="str">
        <f>IFERROR(VLOOKUP($A1678,HeadJournal!$A$1:$NTR$890,COLUMN(HeadJournal!D$1),0),"")</f>
        <v>Доставлен</v>
      </c>
      <c r="E1678" s="95">
        <f>IFERROR(VLOOKUP($A1678,HeadJournal!$A$1:$NTR$890,COLUMN(HeadJournal!G$1),0),"")</f>
        <v>45068</v>
      </c>
      <c r="F1678" s="95" t="str">
        <f t="shared" si="134"/>
        <v>2023 05</v>
      </c>
      <c r="G1678" s="96" t="s">
        <v>5</v>
      </c>
      <c r="H1678" s="160" t="str">
        <f>RIGHT(Journal!$J1678,9)</f>
        <v>CDL-10200</v>
      </c>
      <c r="I1678" s="96" t="str">
        <f t="shared" ref="I1678:I1741" si="136">IFERROR(LEFT(J1678,FIND(",",J1678)-1),"")</f>
        <v>ChildLife Essentials</v>
      </c>
      <c r="J1678" s="97" t="s">
        <v>746</v>
      </c>
      <c r="K1678" s="29">
        <v>8.68</v>
      </c>
      <c r="L1678" s="29">
        <v>-1.74</v>
      </c>
      <c r="M1678" s="30">
        <f>IFERROR(VLOOKUP($A1678,HeadJournal!$A$1:$J$890,COLUMN(HeadJournal!I$1),0)*($K1678+$L1678)/(SUMIF($A:$A,$A1678,$K:$K)+SUMIF($A:$A,$A1678,$L:$L)),0)</f>
        <v>0.12820197044334977</v>
      </c>
      <c r="N1678" s="30">
        <f>IFERROR((VLOOKUP($A1678,HeadJournal!$A$1:$K$890,COLUMN(HeadJournal!K$1),0)-VLOOKUP($A1678,HeadJournal!$A$1:$K$890,COLUMN(HeadJournal!J$1),0))*($K1678+$L1678)/(SUMIF($A:$A,$A1678,$K:$K)+SUMIF($A:$A,$A1678,$L:$L)),0)</f>
        <v>0</v>
      </c>
      <c r="O1678" s="30">
        <f>IFERROR((VLOOKUP($A1678,HeadJournal!$A$1:$L$890,COLUMN(HeadJournal!L$1),0)*($K1678+$L1678)/(SUMIF($A:$A,$A1678,$K:$K)+SUMIF($A:$A,$A1678,$L:$L)))/VLOOKUP($A1678,HeadJournal!$A$1:$L$890,COLUMN(HeadJournal!H$1),0),0)</f>
        <v>0.84765660835771139</v>
      </c>
      <c r="P1678" s="30">
        <f>IFERROR(SUM(K1678:O1678)*VLOOKUP($A1678,HeadJournal!$A$1:$L$890,COLUMN(HeadJournal!H$1),0),0)</f>
        <v>706.35786703347446</v>
      </c>
      <c r="Q1678" s="29"/>
      <c r="R1678" s="31"/>
      <c r="S1678" s="31"/>
      <c r="T1678" s="95" t="str">
        <f t="shared" si="135"/>
        <v/>
      </c>
      <c r="U1678" s="32">
        <f t="shared" si="132"/>
        <v>-706.35786703347446</v>
      </c>
      <c r="V1678" s="22" t="str">
        <f t="shared" si="133"/>
        <v/>
      </c>
      <c r="X1678" s="33"/>
      <c r="Y1678" s="33"/>
    </row>
    <row r="1679" spans="1:25" x14ac:dyDescent="0.2">
      <c r="A1679" s="93" t="s">
        <v>744</v>
      </c>
      <c r="B1679" s="94" t="str">
        <f>IFERROR(VLOOKUP($A1679,HeadJournal!$A$1:$NTR$890,COLUMN(HeadJournal!B$1),0),"")</f>
        <v>710000804444</v>
      </c>
      <c r="C1679" s="94" t="str">
        <f>IFERROR(VLOOKUP($A1679,HeadJournal!$A$1:$NTR$890,COLUMN(HeadJournal!C$1),0),"")</f>
        <v>iHerb_OA CZN6870</v>
      </c>
      <c r="D1679" s="125" t="str">
        <f>IFERROR(VLOOKUP($A1679,HeadJournal!$A$1:$NTR$890,COLUMN(HeadJournal!D$1),0),"")</f>
        <v>Доставлен</v>
      </c>
      <c r="E1679" s="95">
        <f>IFERROR(VLOOKUP($A1679,HeadJournal!$A$1:$NTR$890,COLUMN(HeadJournal!G$1),0),"")</f>
        <v>45068</v>
      </c>
      <c r="F1679" s="95" t="str">
        <f t="shared" si="134"/>
        <v>2023 05</v>
      </c>
      <c r="G1679" s="96" t="s">
        <v>7</v>
      </c>
      <c r="H1679" s="160" t="str">
        <f>RIGHT(Journal!$J1679,9)</f>
        <v>RNA-02056</v>
      </c>
      <c r="I1679" s="96" t="str">
        <f t="shared" si="136"/>
        <v>artnaturals</v>
      </c>
      <c r="J1679" s="97" t="s">
        <v>747</v>
      </c>
      <c r="K1679" s="29">
        <v>21.56</v>
      </c>
      <c r="L1679" s="29">
        <v>-2.16</v>
      </c>
      <c r="M1679" s="30">
        <f>IFERROR(VLOOKUP($A1679,HeadJournal!$A$1:$J$890,COLUMN(HeadJournal!I$1),0)*($K1679+$L1679)/(SUMIF($A:$A,$A1679,$K:$K)+SUMIF($A:$A,$A1679,$L:$L)),0)</f>
        <v>0.35837438423645329</v>
      </c>
      <c r="N1679" s="30">
        <f>IFERROR((VLOOKUP($A1679,HeadJournal!$A$1:$K$890,COLUMN(HeadJournal!K$1),0)-VLOOKUP($A1679,HeadJournal!$A$1:$K$890,COLUMN(HeadJournal!J$1),0))*($K1679+$L1679)/(SUMIF($A:$A,$A1679,$K:$K)+SUMIF($A:$A,$A1679,$L:$L)),0)</f>
        <v>0</v>
      </c>
      <c r="O1679" s="30">
        <f>IFERROR((VLOOKUP($A1679,HeadJournal!$A$1:$L$890,COLUMN(HeadJournal!L$1),0)*($K1679+$L1679)/(SUMIF($A:$A,$A1679,$K:$K)+SUMIF($A:$A,$A1679,$L:$L)))/VLOOKUP($A1679,HeadJournal!$A$1:$L$890,COLUMN(HeadJournal!H$1),0),0)</f>
        <v>2.3695300003083002</v>
      </c>
      <c r="P1679" s="30">
        <f>IFERROR(SUM(K1679:O1679)*VLOOKUP($A1679,HeadJournal!$A$1:$L$890,COLUMN(HeadJournal!H$1),0),0)</f>
        <v>1974.5450461742655</v>
      </c>
      <c r="Q1679" s="29">
        <v>2344.65</v>
      </c>
      <c r="R1679" s="31">
        <v>45069</v>
      </c>
      <c r="S1679" s="31" t="s">
        <v>3121</v>
      </c>
      <c r="T1679" s="95" t="str">
        <f t="shared" si="135"/>
        <v>2023 05</v>
      </c>
      <c r="U1679" s="32">
        <f t="shared" si="132"/>
        <v>370.10495382573458</v>
      </c>
      <c r="V1679" s="22">
        <f t="shared" si="133"/>
        <v>0.18743809088722638</v>
      </c>
      <c r="X1679" s="33"/>
      <c r="Y1679" s="33"/>
    </row>
    <row r="1680" spans="1:25" x14ac:dyDescent="0.2">
      <c r="A1680" s="93" t="s">
        <v>744</v>
      </c>
      <c r="B1680" s="94" t="str">
        <f>IFERROR(VLOOKUP($A1680,HeadJournal!$A$1:$NTR$890,COLUMN(HeadJournal!B$1),0),"")</f>
        <v>710000804444</v>
      </c>
      <c r="C1680" s="94" t="str">
        <f>IFERROR(VLOOKUP($A1680,HeadJournal!$A$1:$NTR$890,COLUMN(HeadJournal!C$1),0),"")</f>
        <v>iHerb_OA CZN6870</v>
      </c>
      <c r="D1680" s="125" t="str">
        <f>IFERROR(VLOOKUP($A1680,HeadJournal!$A$1:$NTR$890,COLUMN(HeadJournal!D$1),0),"")</f>
        <v>Доставлен</v>
      </c>
      <c r="E1680" s="95">
        <f>IFERROR(VLOOKUP($A1680,HeadJournal!$A$1:$NTR$890,COLUMN(HeadJournal!G$1),0),"")</f>
        <v>45068</v>
      </c>
      <c r="F1680" s="95" t="str">
        <f t="shared" si="134"/>
        <v>2023 05</v>
      </c>
      <c r="G1680" s="96" t="s">
        <v>5</v>
      </c>
      <c r="H1680" s="161" t="s">
        <v>2028</v>
      </c>
      <c r="I1680" s="97" t="s">
        <v>2009</v>
      </c>
      <c r="J1680" s="97" t="s">
        <v>2029</v>
      </c>
      <c r="K1680" s="29">
        <v>11.36</v>
      </c>
      <c r="L1680" s="29">
        <v>-2.27</v>
      </c>
      <c r="M1680" s="30">
        <f>IFERROR(VLOOKUP($A1680,HeadJournal!$A$1:$J$890,COLUMN(HeadJournal!I$1),0)*($K1680+$L1680)/(SUMIF($A:$A,$A1680,$K:$K)+SUMIF($A:$A,$A1680,$L:$L)),0)</f>
        <v>0.16791871921182272</v>
      </c>
      <c r="N1680" s="30">
        <f>IFERROR((VLOOKUP($A1680,HeadJournal!$A$1:$K$890,COLUMN(HeadJournal!K$1),0)-VLOOKUP($A1680,HeadJournal!$A$1:$K$890,COLUMN(HeadJournal!J$1),0))*($K1680+$L1680)/(SUMIF($A:$A,$A1680,$K:$K)+SUMIF($A:$A,$A1680,$L:$L)),0)</f>
        <v>0</v>
      </c>
      <c r="O1680" s="30">
        <f>IFERROR((VLOOKUP($A1680,HeadJournal!$A$1:$L$890,COLUMN(HeadJournal!L$1),0)*($K1680+$L1680)/(SUMIF($A:$A,$A1680,$K:$K)+SUMIF($A:$A,$A1680,$L:$L)))/VLOOKUP($A1680,HeadJournal!$A$1:$L$890,COLUMN(HeadJournal!H$1),0),0)</f>
        <v>1.1102591599382707</v>
      </c>
      <c r="P1680" s="30">
        <f>IFERROR(SUM(K1680:O1680)*VLOOKUP($A1680,HeadJournal!$A$1:$L$890,COLUMN(HeadJournal!H$1),0),0)</f>
        <v>925.18631287237508</v>
      </c>
      <c r="Q1680" s="29">
        <v>1700</v>
      </c>
      <c r="R1680" s="31">
        <v>45101</v>
      </c>
      <c r="S1680" s="31" t="s">
        <v>3121</v>
      </c>
      <c r="T1680" s="95" t="str">
        <f t="shared" si="135"/>
        <v>2023 06</v>
      </c>
      <c r="U1680" s="32">
        <f t="shared" si="132"/>
        <v>774.81368712762492</v>
      </c>
      <c r="V1680" s="22">
        <f t="shared" si="133"/>
        <v>0.8374677363331321</v>
      </c>
      <c r="X1680" s="33"/>
      <c r="Y1680" s="33"/>
    </row>
    <row r="1681" spans="1:25" x14ac:dyDescent="0.2">
      <c r="A1681" s="93" t="s">
        <v>744</v>
      </c>
      <c r="B1681" s="94" t="str">
        <f>IFERROR(VLOOKUP($A1681,HeadJournal!$A$1:$NTR$890,COLUMN(HeadJournal!B$1),0),"")</f>
        <v>710000804444</v>
      </c>
      <c r="C1681" s="94" t="str">
        <f>IFERROR(VLOOKUP($A1681,HeadJournal!$A$1:$NTR$890,COLUMN(HeadJournal!C$1),0),"")</f>
        <v>iHerb_OA CZN6870</v>
      </c>
      <c r="D1681" s="125" t="str">
        <f>IFERROR(VLOOKUP($A1681,HeadJournal!$A$1:$NTR$890,COLUMN(HeadJournal!D$1),0),"")</f>
        <v>Доставлен</v>
      </c>
      <c r="E1681" s="95">
        <f>IFERROR(VLOOKUP($A1681,HeadJournal!$A$1:$NTR$890,COLUMN(HeadJournal!G$1),0),"")</f>
        <v>45068</v>
      </c>
      <c r="F1681" s="95" t="str">
        <f t="shared" si="134"/>
        <v>2023 05</v>
      </c>
      <c r="G1681" s="96" t="s">
        <v>5</v>
      </c>
      <c r="H1681" s="160" t="str">
        <f>RIGHT(Journal!$J1681,9)</f>
        <v>NFS-20726</v>
      </c>
      <c r="I1681" s="96" t="str">
        <f t="shared" si="136"/>
        <v>Natural Factors</v>
      </c>
      <c r="J1681" s="97" t="s">
        <v>748</v>
      </c>
      <c r="K1681" s="29">
        <v>26.22</v>
      </c>
      <c r="L1681" s="29">
        <v>-2.62</v>
      </c>
      <c r="M1681" s="30">
        <f>IFERROR(VLOOKUP($A1681,HeadJournal!$A$1:$J$890,COLUMN(HeadJournal!I$1),0)*($K1681+$L1681)/(SUMIF($A:$A,$A1681,$K:$K)+SUMIF($A:$A,$A1681,$L:$L)),0)</f>
        <v>0.435960591133005</v>
      </c>
      <c r="N1681" s="30">
        <f>IFERROR((VLOOKUP($A1681,HeadJournal!$A$1:$K$890,COLUMN(HeadJournal!K$1),0)-VLOOKUP($A1681,HeadJournal!$A$1:$K$890,COLUMN(HeadJournal!J$1),0))*($K1681+$L1681)/(SUMIF($A:$A,$A1681,$K:$K)+SUMIF($A:$A,$A1681,$L:$L)),0)</f>
        <v>0</v>
      </c>
      <c r="O1681" s="30">
        <f>IFERROR((VLOOKUP($A1681,HeadJournal!$A$1:$L$890,COLUMN(HeadJournal!L$1),0)*($K1681+$L1681)/(SUMIF($A:$A,$A1681,$K:$K)+SUMIF($A:$A,$A1681,$L:$L)))/VLOOKUP($A1681,HeadJournal!$A$1:$L$890,COLUMN(HeadJournal!H$1),0),0)</f>
        <v>2.8825210313028804</v>
      </c>
      <c r="P1681" s="30">
        <f>IFERROR(SUM(K1681:O1681)*VLOOKUP($A1681,HeadJournal!$A$1:$L$890,COLUMN(HeadJournal!H$1),0),0)</f>
        <v>2402.0238706037458</v>
      </c>
      <c r="Q1681" s="29">
        <v>3000</v>
      </c>
      <c r="R1681" s="31">
        <v>45103</v>
      </c>
      <c r="S1681" s="31" t="s">
        <v>3121</v>
      </c>
      <c r="T1681" s="95" t="str">
        <f t="shared" si="135"/>
        <v>2023 06</v>
      </c>
      <c r="U1681" s="32">
        <f t="shared" si="132"/>
        <v>597.97612939625424</v>
      </c>
      <c r="V1681" s="22">
        <f t="shared" si="133"/>
        <v>0.24894678887847757</v>
      </c>
      <c r="X1681" s="33"/>
      <c r="Y1681" s="33"/>
    </row>
    <row r="1682" spans="1:25" x14ac:dyDescent="0.2">
      <c r="A1682" s="93" t="s">
        <v>744</v>
      </c>
      <c r="B1682" s="94" t="str">
        <f>IFERROR(VLOOKUP($A1682,HeadJournal!$A$1:$NTR$890,COLUMN(HeadJournal!B$1),0),"")</f>
        <v>710000804444</v>
      </c>
      <c r="C1682" s="94" t="str">
        <f>IFERROR(VLOOKUP($A1682,HeadJournal!$A$1:$NTR$890,COLUMN(HeadJournal!C$1),0),"")</f>
        <v>iHerb_OA CZN6870</v>
      </c>
      <c r="D1682" s="125" t="str">
        <f>IFERROR(VLOOKUP($A1682,HeadJournal!$A$1:$NTR$890,COLUMN(HeadJournal!D$1),0),"")</f>
        <v>Доставлен</v>
      </c>
      <c r="E1682" s="95">
        <f>IFERROR(VLOOKUP($A1682,HeadJournal!$A$1:$NTR$890,COLUMN(HeadJournal!G$1),0),"")</f>
        <v>45068</v>
      </c>
      <c r="F1682" s="95" t="str">
        <f t="shared" si="134"/>
        <v>2023 05</v>
      </c>
      <c r="G1682" s="96" t="s">
        <v>5</v>
      </c>
      <c r="H1682" s="161" t="s">
        <v>2038</v>
      </c>
      <c r="I1682" s="97" t="s">
        <v>2039</v>
      </c>
      <c r="J1682" s="97" t="s">
        <v>2040</v>
      </c>
      <c r="K1682" s="29">
        <v>15.73</v>
      </c>
      <c r="L1682" s="29">
        <v>-5.73</v>
      </c>
      <c r="M1682" s="30">
        <f>IFERROR(VLOOKUP($A1682,HeadJournal!$A$1:$J$890,COLUMN(HeadJournal!I$1),0)*($K1682+$L1682)/(SUMIF($A:$A,$A1682,$K:$K)+SUMIF($A:$A,$A1682,$L:$L)),0)</f>
        <v>0.18472906403940892</v>
      </c>
      <c r="N1682" s="30">
        <f>IFERROR((VLOOKUP($A1682,HeadJournal!$A$1:$K$890,COLUMN(HeadJournal!K$1),0)-VLOOKUP($A1682,HeadJournal!$A$1:$K$890,COLUMN(HeadJournal!J$1),0))*($K1682+$L1682)/(SUMIF($A:$A,$A1682,$K:$K)+SUMIF($A:$A,$A1682,$L:$L)),0)</f>
        <v>0</v>
      </c>
      <c r="O1682" s="30">
        <f>IFERROR((VLOOKUP($A1682,HeadJournal!$A$1:$L$890,COLUMN(HeadJournal!L$1),0)*($K1682+$L1682)/(SUMIF($A:$A,$A1682,$K:$K)+SUMIF($A:$A,$A1682,$L:$L)))/VLOOKUP($A1682,HeadJournal!$A$1:$L$890,COLUMN(HeadJournal!H$1),0),0)</f>
        <v>1.2214072166537631</v>
      </c>
      <c r="P1682" s="30">
        <f>IFERROR(SUM(K1682:O1682)*VLOOKUP($A1682,HeadJournal!$A$1:$L$890,COLUMN(HeadJournal!H$1),0),0)</f>
        <v>1017.8067248320958</v>
      </c>
      <c r="Q1682" s="29">
        <v>2200</v>
      </c>
      <c r="R1682" s="31">
        <v>45534</v>
      </c>
      <c r="S1682" s="31" t="s">
        <v>3121</v>
      </c>
      <c r="T1682" s="95" t="str">
        <f t="shared" si="135"/>
        <v>2024 08</v>
      </c>
      <c r="U1682" s="32">
        <f t="shared" si="132"/>
        <v>1182.1932751679042</v>
      </c>
      <c r="V1682" s="22">
        <f t="shared" si="133"/>
        <v>1.1615105759523514</v>
      </c>
      <c r="X1682" s="33"/>
      <c r="Y1682" s="33"/>
    </row>
    <row r="1683" spans="1:25" x14ac:dyDescent="0.2">
      <c r="A1683" s="93" t="s">
        <v>749</v>
      </c>
      <c r="B1683" s="94" t="str">
        <f>IFERROR(VLOOKUP($A1683,HeadJournal!$A$1:$NTR$890,COLUMN(HeadJournal!B$1),0),"")</f>
        <v>710000812893</v>
      </c>
      <c r="C1683" s="94" t="str">
        <f>IFERROR(VLOOKUP($A1683,HeadJournal!$A$1:$NTR$890,COLUMN(HeadJournal!C$1),0),"")</f>
        <v>iHerb_OA CZN6870</v>
      </c>
      <c r="D1683" s="125" t="str">
        <f>IFERROR(VLOOKUP($A1683,HeadJournal!$A$1:$NTR$890,COLUMN(HeadJournal!D$1),0),"")</f>
        <v>Доставлен</v>
      </c>
      <c r="E1683" s="95">
        <f>IFERROR(VLOOKUP($A1683,HeadJournal!$A$1:$NTR$890,COLUMN(HeadJournal!G$1),0),"")</f>
        <v>45073</v>
      </c>
      <c r="F1683" s="95" t="str">
        <f t="shared" si="134"/>
        <v>2023 05</v>
      </c>
      <c r="G1683" s="96" t="s">
        <v>5</v>
      </c>
      <c r="H1683" s="161" t="s">
        <v>2223</v>
      </c>
      <c r="I1683" s="97" t="s">
        <v>2008</v>
      </c>
      <c r="J1683" s="97" t="s">
        <v>2224</v>
      </c>
      <c r="K1683" s="29">
        <v>10.67</v>
      </c>
      <c r="L1683" s="29">
        <v>-2.1339999999999999</v>
      </c>
      <c r="M1683" s="30">
        <f>IFERROR(VLOOKUP($A1683,HeadJournal!$A$1:$J$890,COLUMN(HeadJournal!I$1),0)*($K1683+$L1683)/(SUMIF($A:$A,$A1683,$K:$K)+SUMIF($A:$A,$A1683,$L:$L)),0)</f>
        <v>0.40324698538799814</v>
      </c>
      <c r="N1683" s="30">
        <f>IFERROR((VLOOKUP($A1683,HeadJournal!$A$1:$K$890,COLUMN(HeadJournal!K$1),0)-VLOOKUP($A1683,HeadJournal!$A$1:$K$890,COLUMN(HeadJournal!J$1),0))*($K1683+$L1683)/(SUMIF($A:$A,$A1683,$K:$K)+SUMIF($A:$A,$A1683,$L:$L)),0)</f>
        <v>-5.1625984898126355E-15</v>
      </c>
      <c r="O1683" s="30">
        <f>IFERROR((VLOOKUP($A1683,HeadJournal!$A$1:$L$890,COLUMN(HeadJournal!L$1),0)*($K1683+$L1683)/(SUMIF($A:$A,$A1683,$K:$K)+SUMIF($A:$A,$A1683,$L:$L)))/VLOOKUP($A1683,HeadJournal!$A$1:$L$890,COLUMN(HeadJournal!H$1),0),0)</f>
        <v>0.90148015481182109</v>
      </c>
      <c r="P1683" s="30">
        <f>IFERROR(SUM(K1683:O1683)*VLOOKUP($A1683,HeadJournal!$A$1:$L$890,COLUMN(HeadJournal!H$1),0),0)</f>
        <v>877.40973641651249</v>
      </c>
      <c r="Q1683" s="29">
        <v>1600</v>
      </c>
      <c r="R1683" s="31">
        <v>45167</v>
      </c>
      <c r="S1683" s="31" t="s">
        <v>3121</v>
      </c>
      <c r="T1683" s="95" t="str">
        <f t="shared" si="135"/>
        <v>2023 08</v>
      </c>
      <c r="U1683" s="32">
        <f t="shared" si="132"/>
        <v>722.59026358348751</v>
      </c>
      <c r="V1683" s="22">
        <f t="shared" si="133"/>
        <v>0.82354940182755043</v>
      </c>
      <c r="X1683" s="33"/>
      <c r="Y1683" s="33"/>
    </row>
    <row r="1684" spans="1:25" x14ac:dyDescent="0.2">
      <c r="A1684" s="93" t="s">
        <v>749</v>
      </c>
      <c r="B1684" s="94" t="str">
        <f>IFERROR(VLOOKUP($A1684,HeadJournal!$A$1:$NTR$890,COLUMN(HeadJournal!B$1),0),"")</f>
        <v>710000812893</v>
      </c>
      <c r="C1684" s="94" t="str">
        <f>IFERROR(VLOOKUP($A1684,HeadJournal!$A$1:$NTR$890,COLUMN(HeadJournal!C$1),0),"")</f>
        <v>iHerb_OA CZN6870</v>
      </c>
      <c r="D1684" s="125" t="str">
        <f>IFERROR(VLOOKUP($A1684,HeadJournal!$A$1:$NTR$890,COLUMN(HeadJournal!D$1),0),"")</f>
        <v>Доставлен</v>
      </c>
      <c r="E1684" s="95">
        <f>IFERROR(VLOOKUP($A1684,HeadJournal!$A$1:$NTR$890,COLUMN(HeadJournal!G$1),0),"")</f>
        <v>45073</v>
      </c>
      <c r="F1684" s="95" t="str">
        <f t="shared" si="134"/>
        <v>2023 05</v>
      </c>
      <c r="G1684" s="96" t="s">
        <v>5</v>
      </c>
      <c r="H1684" s="161" t="s">
        <v>2223</v>
      </c>
      <c r="I1684" s="97" t="s">
        <v>2008</v>
      </c>
      <c r="J1684" s="97" t="s">
        <v>2224</v>
      </c>
      <c r="K1684" s="29">
        <v>10.67</v>
      </c>
      <c r="L1684" s="29">
        <v>-2.1339999999999999</v>
      </c>
      <c r="M1684" s="30">
        <f>IFERROR(VLOOKUP($A1684,HeadJournal!$A$1:$J$890,COLUMN(HeadJournal!I$1),0)*($K1684+$L1684)/(SUMIF($A:$A,$A1684,$K:$K)+SUMIF($A:$A,$A1684,$L:$L)),0)</f>
        <v>0.40324698538799814</v>
      </c>
      <c r="N1684" s="30">
        <f>IFERROR((VLOOKUP($A1684,HeadJournal!$A$1:$K$890,COLUMN(HeadJournal!K$1),0)-VLOOKUP($A1684,HeadJournal!$A$1:$K$890,COLUMN(HeadJournal!J$1),0))*($K1684+$L1684)/(SUMIF($A:$A,$A1684,$K:$K)+SUMIF($A:$A,$A1684,$L:$L)),0)</f>
        <v>-5.1625984898126355E-15</v>
      </c>
      <c r="O1684" s="30">
        <f>IFERROR((VLOOKUP($A1684,HeadJournal!$A$1:$L$890,COLUMN(HeadJournal!L$1),0)*($K1684+$L1684)/(SUMIF($A:$A,$A1684,$K:$K)+SUMIF($A:$A,$A1684,$L:$L)))/VLOOKUP($A1684,HeadJournal!$A$1:$L$890,COLUMN(HeadJournal!H$1),0),0)</f>
        <v>0.90148015481182109</v>
      </c>
      <c r="P1684" s="30">
        <f>IFERROR(SUM(K1684:O1684)*VLOOKUP($A1684,HeadJournal!$A$1:$L$890,COLUMN(HeadJournal!H$1),0),0)</f>
        <v>877.40973641651249</v>
      </c>
      <c r="Q1684" s="29">
        <v>1600</v>
      </c>
      <c r="R1684" s="31">
        <v>45188</v>
      </c>
      <c r="S1684" s="31" t="s">
        <v>3121</v>
      </c>
      <c r="T1684" s="95" t="str">
        <f t="shared" si="135"/>
        <v>2023 09</v>
      </c>
      <c r="U1684" s="32">
        <f t="shared" si="132"/>
        <v>722.59026358348751</v>
      </c>
      <c r="V1684" s="22">
        <f t="shared" si="133"/>
        <v>0.82354940182755043</v>
      </c>
      <c r="X1684" s="33"/>
      <c r="Y1684" s="33"/>
    </row>
    <row r="1685" spans="1:25" x14ac:dyDescent="0.2">
      <c r="A1685" s="93" t="s">
        <v>749</v>
      </c>
      <c r="B1685" s="94" t="str">
        <f>IFERROR(VLOOKUP($A1685,HeadJournal!$A$1:$NTR$890,COLUMN(HeadJournal!B$1),0),"")</f>
        <v>710000812893</v>
      </c>
      <c r="C1685" s="94" t="str">
        <f>IFERROR(VLOOKUP($A1685,HeadJournal!$A$1:$NTR$890,COLUMN(HeadJournal!C$1),0),"")</f>
        <v>iHerb_OA CZN6870</v>
      </c>
      <c r="D1685" s="125" t="str">
        <f>IFERROR(VLOOKUP($A1685,HeadJournal!$A$1:$NTR$890,COLUMN(HeadJournal!D$1),0),"")</f>
        <v>Доставлен</v>
      </c>
      <c r="E1685" s="95">
        <f>IFERROR(VLOOKUP($A1685,HeadJournal!$A$1:$NTR$890,COLUMN(HeadJournal!G$1),0),"")</f>
        <v>45073</v>
      </c>
      <c r="F1685" s="95" t="str">
        <f t="shared" si="134"/>
        <v>2023 05</v>
      </c>
      <c r="G1685" s="96" t="s">
        <v>5</v>
      </c>
      <c r="H1685" s="161" t="s">
        <v>2223</v>
      </c>
      <c r="I1685" s="97" t="s">
        <v>2008</v>
      </c>
      <c r="J1685" s="97" t="s">
        <v>2224</v>
      </c>
      <c r="K1685" s="29">
        <v>10.67</v>
      </c>
      <c r="L1685" s="29">
        <v>-2.1339999999999999</v>
      </c>
      <c r="M1685" s="30">
        <f>IFERROR(VLOOKUP($A1685,HeadJournal!$A$1:$J$890,COLUMN(HeadJournal!I$1),0)*($K1685+$L1685)/(SUMIF($A:$A,$A1685,$K:$K)+SUMIF($A:$A,$A1685,$L:$L)),0)</f>
        <v>0.40324698538799814</v>
      </c>
      <c r="N1685" s="30">
        <f>IFERROR((VLOOKUP($A1685,HeadJournal!$A$1:$K$890,COLUMN(HeadJournal!K$1),0)-VLOOKUP($A1685,HeadJournal!$A$1:$K$890,COLUMN(HeadJournal!J$1),0))*($K1685+$L1685)/(SUMIF($A:$A,$A1685,$K:$K)+SUMIF($A:$A,$A1685,$L:$L)),0)</f>
        <v>-5.1625984898126355E-15</v>
      </c>
      <c r="O1685" s="30">
        <f>IFERROR((VLOOKUP($A1685,HeadJournal!$A$1:$L$890,COLUMN(HeadJournal!L$1),0)*($K1685+$L1685)/(SUMIF($A:$A,$A1685,$K:$K)+SUMIF($A:$A,$A1685,$L:$L)))/VLOOKUP($A1685,HeadJournal!$A$1:$L$890,COLUMN(HeadJournal!H$1),0),0)</f>
        <v>0.90148015481182109</v>
      </c>
      <c r="P1685" s="30">
        <f>IFERROR(SUM(K1685:O1685)*VLOOKUP($A1685,HeadJournal!$A$1:$L$890,COLUMN(HeadJournal!H$1),0),0)</f>
        <v>877.40973641651249</v>
      </c>
      <c r="Q1685" s="29">
        <v>1650</v>
      </c>
      <c r="R1685" s="31">
        <v>45195</v>
      </c>
      <c r="S1685" s="31" t="s">
        <v>3121</v>
      </c>
      <c r="T1685" s="95" t="str">
        <f t="shared" si="135"/>
        <v>2023 09</v>
      </c>
      <c r="U1685" s="32">
        <f t="shared" si="132"/>
        <v>772.59026358348751</v>
      </c>
      <c r="V1685" s="22">
        <f t="shared" si="133"/>
        <v>0.88053532063466133</v>
      </c>
      <c r="X1685" s="33"/>
      <c r="Y1685" s="33"/>
    </row>
    <row r="1686" spans="1:25" x14ac:dyDescent="0.2">
      <c r="A1686" s="93" t="s">
        <v>749</v>
      </c>
      <c r="B1686" s="94" t="str">
        <f>IFERROR(VLOOKUP($A1686,HeadJournal!$A$1:$NTR$890,COLUMN(HeadJournal!B$1),0),"")</f>
        <v>710000812893</v>
      </c>
      <c r="C1686" s="94" t="str">
        <f>IFERROR(VLOOKUP($A1686,HeadJournal!$A$1:$NTR$890,COLUMN(HeadJournal!C$1),0),"")</f>
        <v>iHerb_OA CZN6870</v>
      </c>
      <c r="D1686" s="125" t="str">
        <f>IFERROR(VLOOKUP($A1686,HeadJournal!$A$1:$NTR$890,COLUMN(HeadJournal!D$1),0),"")</f>
        <v>Доставлен</v>
      </c>
      <c r="E1686" s="95">
        <f>IFERROR(VLOOKUP($A1686,HeadJournal!$A$1:$NTR$890,COLUMN(HeadJournal!G$1),0),"")</f>
        <v>45073</v>
      </c>
      <c r="F1686" s="95" t="str">
        <f t="shared" si="134"/>
        <v>2023 05</v>
      </c>
      <c r="G1686" s="96" t="s">
        <v>5</v>
      </c>
      <c r="H1686" s="161" t="s">
        <v>2223</v>
      </c>
      <c r="I1686" s="97" t="s">
        <v>2008</v>
      </c>
      <c r="J1686" s="97" t="s">
        <v>2224</v>
      </c>
      <c r="K1686" s="29">
        <v>10.67</v>
      </c>
      <c r="L1686" s="29">
        <v>-2.1339999999999999</v>
      </c>
      <c r="M1686" s="30">
        <f>IFERROR(VLOOKUP($A1686,HeadJournal!$A$1:$J$890,COLUMN(HeadJournal!I$1),0)*($K1686+$L1686)/(SUMIF($A:$A,$A1686,$K:$K)+SUMIF($A:$A,$A1686,$L:$L)),0)</f>
        <v>0.40324698538799814</v>
      </c>
      <c r="N1686" s="30">
        <f>IFERROR((VLOOKUP($A1686,HeadJournal!$A$1:$K$890,COLUMN(HeadJournal!K$1),0)-VLOOKUP($A1686,HeadJournal!$A$1:$K$890,COLUMN(HeadJournal!J$1),0))*($K1686+$L1686)/(SUMIF($A:$A,$A1686,$K:$K)+SUMIF($A:$A,$A1686,$L:$L)),0)</f>
        <v>-5.1625984898126355E-15</v>
      </c>
      <c r="O1686" s="30">
        <f>IFERROR((VLOOKUP($A1686,HeadJournal!$A$1:$L$890,COLUMN(HeadJournal!L$1),0)*($K1686+$L1686)/(SUMIF($A:$A,$A1686,$K:$K)+SUMIF($A:$A,$A1686,$L:$L)))/VLOOKUP($A1686,HeadJournal!$A$1:$L$890,COLUMN(HeadJournal!H$1),0),0)</f>
        <v>0.90148015481182109</v>
      </c>
      <c r="P1686" s="30">
        <f>IFERROR(SUM(K1686:O1686)*VLOOKUP($A1686,HeadJournal!$A$1:$L$890,COLUMN(HeadJournal!H$1),0),0)</f>
        <v>877.40973641651249</v>
      </c>
      <c r="Q1686" s="29">
        <v>1650</v>
      </c>
      <c r="R1686" s="31">
        <v>45195</v>
      </c>
      <c r="S1686" s="31" t="s">
        <v>3121</v>
      </c>
      <c r="T1686" s="95" t="str">
        <f t="shared" si="135"/>
        <v>2023 09</v>
      </c>
      <c r="U1686" s="32">
        <f t="shared" si="132"/>
        <v>772.59026358348751</v>
      </c>
      <c r="V1686" s="22">
        <f t="shared" si="133"/>
        <v>0.88053532063466133</v>
      </c>
      <c r="X1686" s="33"/>
      <c r="Y1686" s="33"/>
    </row>
    <row r="1687" spans="1:25" x14ac:dyDescent="0.2">
      <c r="A1687" s="93" t="s">
        <v>749</v>
      </c>
      <c r="B1687" s="94" t="str">
        <f>IFERROR(VLOOKUP($A1687,HeadJournal!$A$1:$NTR$890,COLUMN(HeadJournal!B$1),0),"")</f>
        <v>710000812893</v>
      </c>
      <c r="C1687" s="94" t="str">
        <f>IFERROR(VLOOKUP($A1687,HeadJournal!$A$1:$NTR$890,COLUMN(HeadJournal!C$1),0),"")</f>
        <v>iHerb_OA CZN6870</v>
      </c>
      <c r="D1687" s="125" t="str">
        <f>IFERROR(VLOOKUP($A1687,HeadJournal!$A$1:$NTR$890,COLUMN(HeadJournal!D$1),0),"")</f>
        <v>Доставлен</v>
      </c>
      <c r="E1687" s="95">
        <f>IFERROR(VLOOKUP($A1687,HeadJournal!$A$1:$NTR$890,COLUMN(HeadJournal!G$1),0),"")</f>
        <v>45073</v>
      </c>
      <c r="F1687" s="95" t="str">
        <f t="shared" si="134"/>
        <v>2023 05</v>
      </c>
      <c r="G1687" s="96" t="s">
        <v>5</v>
      </c>
      <c r="H1687" s="161" t="s">
        <v>2223</v>
      </c>
      <c r="I1687" s="97" t="s">
        <v>2008</v>
      </c>
      <c r="J1687" s="97" t="s">
        <v>2224</v>
      </c>
      <c r="K1687" s="29">
        <v>10.67</v>
      </c>
      <c r="L1687" s="29">
        <v>-2.1339999999999999</v>
      </c>
      <c r="M1687" s="30">
        <f>IFERROR(VLOOKUP($A1687,HeadJournal!$A$1:$J$890,COLUMN(HeadJournal!I$1),0)*($K1687+$L1687)/(SUMIF($A:$A,$A1687,$K:$K)+SUMIF($A:$A,$A1687,$L:$L)),0)</f>
        <v>0.40324698538799814</v>
      </c>
      <c r="N1687" s="30">
        <f>IFERROR((VLOOKUP($A1687,HeadJournal!$A$1:$K$890,COLUMN(HeadJournal!K$1),0)-VLOOKUP($A1687,HeadJournal!$A$1:$K$890,COLUMN(HeadJournal!J$1),0))*($K1687+$L1687)/(SUMIF($A:$A,$A1687,$K:$K)+SUMIF($A:$A,$A1687,$L:$L)),0)</f>
        <v>-5.1625984898126355E-15</v>
      </c>
      <c r="O1687" s="30">
        <f>IFERROR((VLOOKUP($A1687,HeadJournal!$A$1:$L$890,COLUMN(HeadJournal!L$1),0)*($K1687+$L1687)/(SUMIF($A:$A,$A1687,$K:$K)+SUMIF($A:$A,$A1687,$L:$L)))/VLOOKUP($A1687,HeadJournal!$A$1:$L$890,COLUMN(HeadJournal!H$1),0),0)</f>
        <v>0.90148015481182109</v>
      </c>
      <c r="P1687" s="30">
        <f>IFERROR(SUM(K1687:O1687)*VLOOKUP($A1687,HeadJournal!$A$1:$L$890,COLUMN(HeadJournal!H$1),0),0)</f>
        <v>877.40973641651249</v>
      </c>
      <c r="Q1687" s="29">
        <v>1700</v>
      </c>
      <c r="R1687" s="31">
        <v>45197</v>
      </c>
      <c r="S1687" s="31" t="s">
        <v>3121</v>
      </c>
      <c r="T1687" s="95" t="str">
        <f t="shared" si="135"/>
        <v>2023 09</v>
      </c>
      <c r="U1687" s="32">
        <f t="shared" si="132"/>
        <v>822.59026358348751</v>
      </c>
      <c r="V1687" s="22">
        <f t="shared" si="133"/>
        <v>0.93752123944177224</v>
      </c>
      <c r="X1687" s="33"/>
      <c r="Y1687" s="33"/>
    </row>
    <row r="1688" spans="1:25" x14ac:dyDescent="0.2">
      <c r="A1688" s="93" t="s">
        <v>749</v>
      </c>
      <c r="B1688" s="94" t="str">
        <f>IFERROR(VLOOKUP($A1688,HeadJournal!$A$1:$NTR$890,COLUMN(HeadJournal!B$1),0),"")</f>
        <v>710000812893</v>
      </c>
      <c r="C1688" s="94" t="str">
        <f>IFERROR(VLOOKUP($A1688,HeadJournal!$A$1:$NTR$890,COLUMN(HeadJournal!C$1),0),"")</f>
        <v>iHerb_OA CZN6870</v>
      </c>
      <c r="D1688" s="125" t="str">
        <f>IFERROR(VLOOKUP($A1688,HeadJournal!$A$1:$NTR$890,COLUMN(HeadJournal!D$1),0),"")</f>
        <v>Доставлен</v>
      </c>
      <c r="E1688" s="95">
        <f>IFERROR(VLOOKUP($A1688,HeadJournal!$A$1:$NTR$890,COLUMN(HeadJournal!G$1),0),"")</f>
        <v>45073</v>
      </c>
      <c r="F1688" s="95" t="str">
        <f t="shared" si="134"/>
        <v>2023 05</v>
      </c>
      <c r="G1688" s="96" t="s">
        <v>5</v>
      </c>
      <c r="H1688" s="175" t="s">
        <v>3628</v>
      </c>
      <c r="I1688" s="176" t="s">
        <v>3670</v>
      </c>
      <c r="J1688" s="97" t="s">
        <v>3671</v>
      </c>
      <c r="K1688" s="29">
        <v>18.79</v>
      </c>
      <c r="L1688" s="29">
        <v>-9.3000000000000007</v>
      </c>
      <c r="M1688" s="30">
        <f>IFERROR(VLOOKUP($A1688,HeadJournal!$A$1:$J$890,COLUMN(HeadJournal!I$1),0)*($K1688+$L1688)/(SUMIF($A:$A,$A1688,$K:$K)+SUMIF($A:$A,$A1688,$L:$L)),0)</f>
        <v>0.44831465456093045</v>
      </c>
      <c r="N1688" s="30">
        <f>IFERROR((VLOOKUP($A1688,HeadJournal!$A$1:$K$890,COLUMN(HeadJournal!K$1),0)-VLOOKUP($A1688,HeadJournal!$A$1:$K$890,COLUMN(HeadJournal!J$1),0))*($K1688+$L1688)/(SUMIF($A:$A,$A1688,$K:$K)+SUMIF($A:$A,$A1688,$L:$L)),0)</f>
        <v>-5.7395805609561751E-15</v>
      </c>
      <c r="O1688" s="30">
        <f>IFERROR((VLOOKUP($A1688,HeadJournal!$A$1:$L$890,COLUMN(HeadJournal!L$1),0)*($K1688+$L1688)/(SUMIF($A:$A,$A1688,$K:$K)+SUMIF($A:$A,$A1688,$L:$L)))/VLOOKUP($A1688,HeadJournal!$A$1:$L$890,COLUMN(HeadJournal!H$1),0),0)</f>
        <v>1.0022313342507241</v>
      </c>
      <c r="P1688" s="30">
        <f>IFERROR(SUM(K1688:O1688)*VLOOKUP($A1688,HeadJournal!$A$1:$L$890,COLUMN(HeadJournal!H$1),0),0)</f>
        <v>975.47075897290313</v>
      </c>
      <c r="Q1688" s="29">
        <v>2500</v>
      </c>
      <c r="R1688" s="31">
        <v>45112</v>
      </c>
      <c r="S1688" s="31" t="s">
        <v>3121</v>
      </c>
      <c r="T1688" s="95" t="str">
        <f t="shared" si="135"/>
        <v>2023 07</v>
      </c>
      <c r="U1688" s="32">
        <f t="shared" si="132"/>
        <v>1524.5292410270968</v>
      </c>
      <c r="V1688" s="22">
        <f t="shared" si="133"/>
        <v>1.562865136657003</v>
      </c>
      <c r="X1688" s="33"/>
      <c r="Y1688" s="33"/>
    </row>
    <row r="1689" spans="1:25" x14ac:dyDescent="0.2">
      <c r="A1689" s="93" t="s">
        <v>749</v>
      </c>
      <c r="B1689" s="94" t="str">
        <f>IFERROR(VLOOKUP($A1689,HeadJournal!$A$1:$NTR$890,COLUMN(HeadJournal!B$1),0),"")</f>
        <v>710000812893</v>
      </c>
      <c r="C1689" s="94" t="str">
        <f>IFERROR(VLOOKUP($A1689,HeadJournal!$A$1:$NTR$890,COLUMN(HeadJournal!C$1),0),"")</f>
        <v>iHerb_OA CZN6870</v>
      </c>
      <c r="D1689" s="125" t="str">
        <f>IFERROR(VLOOKUP($A1689,HeadJournal!$A$1:$NTR$890,COLUMN(HeadJournal!D$1),0),"")</f>
        <v>Доставлен</v>
      </c>
      <c r="E1689" s="95">
        <f>IFERROR(VLOOKUP($A1689,HeadJournal!$A$1:$NTR$890,COLUMN(HeadJournal!G$1),0),"")</f>
        <v>45073</v>
      </c>
      <c r="F1689" s="95" t="str">
        <f t="shared" si="134"/>
        <v>2023 05</v>
      </c>
      <c r="G1689" s="96" t="s">
        <v>5</v>
      </c>
      <c r="H1689" s="160" t="str">
        <f>RIGHT(Journal!$J1689,9)</f>
        <v>DRB-00273</v>
      </c>
      <c r="I1689" s="96" t="str">
        <f t="shared" si="136"/>
        <v>Doctor's Best</v>
      </c>
      <c r="J1689" s="97" t="s">
        <v>750</v>
      </c>
      <c r="K1689" s="29">
        <v>26.98</v>
      </c>
      <c r="L1689" s="29">
        <v>-5.4</v>
      </c>
      <c r="M1689" s="30">
        <f>IFERROR(VLOOKUP($A1689,HeadJournal!$A$1:$J$890,COLUMN(HeadJournal!I$1),0)*($K1689+$L1689)/(SUMIF($A:$A,$A1689,$K:$K)+SUMIF($A:$A,$A1689,$L:$L)),0)</f>
        <v>1.0194552418782803</v>
      </c>
      <c r="N1689" s="30">
        <f>IFERROR((VLOOKUP($A1689,HeadJournal!$A$1:$K$890,COLUMN(HeadJournal!K$1),0)-VLOOKUP($A1689,HeadJournal!$A$1:$K$890,COLUMN(HeadJournal!J$1),0))*($K1689+$L1689)/(SUMIF($A:$A,$A1689,$K:$K)+SUMIF($A:$A,$A1689,$L:$L)),0)</f>
        <v>-1.3051648946831851E-14</v>
      </c>
      <c r="O1689" s="30">
        <f>IFERROR((VLOOKUP($A1689,HeadJournal!$A$1:$L$890,COLUMN(HeadJournal!L$1),0)*($K1689+$L1689)/(SUMIF($A:$A,$A1689,$K:$K)+SUMIF($A:$A,$A1689,$L:$L)))/VLOOKUP($A1689,HeadJournal!$A$1:$L$890,COLUMN(HeadJournal!H$1),0),0)</f>
        <v>2.2790465956934276</v>
      </c>
      <c r="P1689" s="30">
        <f>IFERROR(SUM(K1689:O1689)*VLOOKUP($A1689,HeadJournal!$A$1:$L$890,COLUMN(HeadJournal!H$1),0),0)</f>
        <v>2218.1937806781089</v>
      </c>
      <c r="Q1689" s="29">
        <v>3700</v>
      </c>
      <c r="R1689" s="31">
        <v>45162</v>
      </c>
      <c r="S1689" s="31" t="s">
        <v>3121</v>
      </c>
      <c r="T1689" s="95" t="str">
        <f t="shared" si="135"/>
        <v>2023 08</v>
      </c>
      <c r="U1689" s="32">
        <f t="shared" si="132"/>
        <v>1481.8062193218911</v>
      </c>
      <c r="V1689" s="22">
        <f t="shared" si="133"/>
        <v>0.66802379135194323</v>
      </c>
      <c r="X1689" s="33"/>
      <c r="Y1689" s="33"/>
    </row>
    <row r="1690" spans="1:25" x14ac:dyDescent="0.2">
      <c r="A1690" s="93" t="s">
        <v>749</v>
      </c>
      <c r="B1690" s="94" t="str">
        <f>IFERROR(VLOOKUP($A1690,HeadJournal!$A$1:$NTR$890,COLUMN(HeadJournal!B$1),0),"")</f>
        <v>710000812893</v>
      </c>
      <c r="C1690" s="94" t="str">
        <f>IFERROR(VLOOKUP($A1690,HeadJournal!$A$1:$NTR$890,COLUMN(HeadJournal!C$1),0),"")</f>
        <v>iHerb_OA CZN6870</v>
      </c>
      <c r="D1690" s="125" t="str">
        <f>IFERROR(VLOOKUP($A1690,HeadJournal!$A$1:$NTR$890,COLUMN(HeadJournal!D$1),0),"")</f>
        <v>Доставлен</v>
      </c>
      <c r="E1690" s="95">
        <f>IFERROR(VLOOKUP($A1690,HeadJournal!$A$1:$NTR$890,COLUMN(HeadJournal!G$1),0),"")</f>
        <v>45073</v>
      </c>
      <c r="F1690" s="95" t="str">
        <f t="shared" si="134"/>
        <v>2023 05</v>
      </c>
      <c r="G1690" s="96" t="s">
        <v>5</v>
      </c>
      <c r="H1690" s="160" t="str">
        <f>RIGHT(Journal!$J1690,9)</f>
        <v>SOL-00680</v>
      </c>
      <c r="I1690" s="96" t="str">
        <f t="shared" si="136"/>
        <v>Solgar</v>
      </c>
      <c r="J1690" s="97" t="s">
        <v>433</v>
      </c>
      <c r="K1690" s="29">
        <v>10.26</v>
      </c>
      <c r="L1690" s="29">
        <v>0</v>
      </c>
      <c r="M1690" s="30">
        <f>IFERROR(VLOOKUP($A1690,HeadJournal!$A$1:$J$890,COLUMN(HeadJournal!I$1),0)*($K1690+$L1690)/(SUMIF($A:$A,$A1690,$K:$K)+SUMIF($A:$A,$A1690,$L:$L)),0)</f>
        <v>0.48469002695417779</v>
      </c>
      <c r="N1690" s="30">
        <f>IFERROR((VLOOKUP($A1690,HeadJournal!$A$1:$K$890,COLUMN(HeadJournal!K$1),0)-VLOOKUP($A1690,HeadJournal!$A$1:$K$890,COLUMN(HeadJournal!J$1),0))*($K1690+$L1690)/(SUMIF($A:$A,$A1690,$K:$K)+SUMIF($A:$A,$A1690,$L:$L)),0)</f>
        <v>-6.2052788783361818E-15</v>
      </c>
      <c r="O1690" s="30">
        <f>IFERROR((VLOOKUP($A1690,HeadJournal!$A$1:$L$890,COLUMN(HeadJournal!L$1),0)*($K1690+$L1690)/(SUMIF($A:$A,$A1690,$K:$K)+SUMIF($A:$A,$A1690,$L:$L)))/VLOOKUP($A1690,HeadJournal!$A$1:$L$890,COLUMN(HeadJournal!H$1),0),0)</f>
        <v>1.0835504203806565</v>
      </c>
      <c r="P1690" s="30">
        <f>IFERROR(SUM(K1690:O1690)*VLOOKUP($A1690,HeadJournal!$A$1:$L$890,COLUMN(HeadJournal!H$1),0),0)</f>
        <v>1054.618544474393</v>
      </c>
      <c r="Q1690" s="29">
        <v>1600</v>
      </c>
      <c r="R1690" s="31">
        <v>45106</v>
      </c>
      <c r="S1690" s="31" t="s">
        <v>3121</v>
      </c>
      <c r="T1690" s="95" t="str">
        <f t="shared" si="135"/>
        <v>2023 06</v>
      </c>
      <c r="U1690" s="32">
        <f t="shared" si="132"/>
        <v>545.38145552560695</v>
      </c>
      <c r="V1690" s="22">
        <f t="shared" si="133"/>
        <v>0.51713622748537702</v>
      </c>
      <c r="X1690" s="33"/>
      <c r="Y1690" s="33"/>
    </row>
    <row r="1691" spans="1:25" x14ac:dyDescent="0.2">
      <c r="A1691" s="93" t="s">
        <v>749</v>
      </c>
      <c r="B1691" s="94" t="str">
        <f>IFERROR(VLOOKUP($A1691,HeadJournal!$A$1:$NTR$890,COLUMN(HeadJournal!B$1),0),"")</f>
        <v>710000812893</v>
      </c>
      <c r="C1691" s="94" t="str">
        <f>IFERROR(VLOOKUP($A1691,HeadJournal!$A$1:$NTR$890,COLUMN(HeadJournal!C$1),0),"")</f>
        <v>iHerb_OA CZN6870</v>
      </c>
      <c r="D1691" s="125" t="str">
        <f>IFERROR(VLOOKUP($A1691,HeadJournal!$A$1:$NTR$890,COLUMN(HeadJournal!D$1),0),"")</f>
        <v>Доставлен</v>
      </c>
      <c r="E1691" s="95">
        <f>IFERROR(VLOOKUP($A1691,HeadJournal!$A$1:$NTR$890,COLUMN(HeadJournal!G$1),0),"")</f>
        <v>45073</v>
      </c>
      <c r="F1691" s="95" t="str">
        <f t="shared" si="134"/>
        <v>2023 05</v>
      </c>
      <c r="G1691" s="96" t="s">
        <v>5</v>
      </c>
      <c r="H1691" s="160" t="str">
        <f>RIGHT(Journal!$J1691,9)</f>
        <v>SOL-00680</v>
      </c>
      <c r="I1691" s="96" t="str">
        <f t="shared" si="136"/>
        <v>Solgar</v>
      </c>
      <c r="J1691" s="97" t="s">
        <v>433</v>
      </c>
      <c r="K1691" s="29">
        <v>10.26</v>
      </c>
      <c r="L1691" s="29">
        <v>0</v>
      </c>
      <c r="M1691" s="30">
        <f>IFERROR(VLOOKUP($A1691,HeadJournal!$A$1:$J$890,COLUMN(HeadJournal!I$1),0)*($K1691+$L1691)/(SUMIF($A:$A,$A1691,$K:$K)+SUMIF($A:$A,$A1691,$L:$L)),0)</f>
        <v>0.48469002695417779</v>
      </c>
      <c r="N1691" s="30">
        <f>IFERROR((VLOOKUP($A1691,HeadJournal!$A$1:$K$890,COLUMN(HeadJournal!K$1),0)-VLOOKUP($A1691,HeadJournal!$A$1:$K$890,COLUMN(HeadJournal!J$1),0))*($K1691+$L1691)/(SUMIF($A:$A,$A1691,$K:$K)+SUMIF($A:$A,$A1691,$L:$L)),0)</f>
        <v>-6.2052788783361818E-15</v>
      </c>
      <c r="O1691" s="30">
        <f>IFERROR((VLOOKUP($A1691,HeadJournal!$A$1:$L$890,COLUMN(HeadJournal!L$1),0)*($K1691+$L1691)/(SUMIF($A:$A,$A1691,$K:$K)+SUMIF($A:$A,$A1691,$L:$L)))/VLOOKUP($A1691,HeadJournal!$A$1:$L$890,COLUMN(HeadJournal!H$1),0),0)</f>
        <v>1.0835504203806565</v>
      </c>
      <c r="P1691" s="30">
        <f>IFERROR(SUM(K1691:O1691)*VLOOKUP($A1691,HeadJournal!$A$1:$L$890,COLUMN(HeadJournal!H$1),0),0)</f>
        <v>1054.618544474393</v>
      </c>
      <c r="Q1691" s="29">
        <v>1700</v>
      </c>
      <c r="R1691" s="31">
        <v>45666</v>
      </c>
      <c r="S1691" s="31" t="s">
        <v>3121</v>
      </c>
      <c r="T1691" s="95" t="str">
        <f t="shared" si="135"/>
        <v>2025 01</v>
      </c>
      <c r="U1691" s="32">
        <f t="shared" si="132"/>
        <v>645.38145552560695</v>
      </c>
      <c r="V1691" s="22">
        <f t="shared" si="133"/>
        <v>0.61195724170321308</v>
      </c>
      <c r="X1691" s="33"/>
      <c r="Y1691" s="33"/>
    </row>
    <row r="1692" spans="1:25" x14ac:dyDescent="0.2">
      <c r="A1692" s="93" t="s">
        <v>749</v>
      </c>
      <c r="B1692" s="94" t="str">
        <f>IFERROR(VLOOKUP($A1692,HeadJournal!$A$1:$NTR$890,COLUMN(HeadJournal!B$1),0),"")</f>
        <v>710000812893</v>
      </c>
      <c r="C1692" s="94" t="str">
        <f>IFERROR(VLOOKUP($A1692,HeadJournal!$A$1:$NTR$890,COLUMN(HeadJournal!C$1),0),"")</f>
        <v>iHerb_OA CZN6870</v>
      </c>
      <c r="D1692" s="125" t="str">
        <f>IFERROR(VLOOKUP($A1692,HeadJournal!$A$1:$NTR$890,COLUMN(HeadJournal!D$1),0),"")</f>
        <v>Доставлен</v>
      </c>
      <c r="E1692" s="95">
        <f>IFERROR(VLOOKUP($A1692,HeadJournal!$A$1:$NTR$890,COLUMN(HeadJournal!G$1),0),"")</f>
        <v>45073</v>
      </c>
      <c r="F1692" s="95" t="str">
        <f t="shared" si="134"/>
        <v>2023 05</v>
      </c>
      <c r="G1692" s="96" t="s">
        <v>5</v>
      </c>
      <c r="H1692" s="175" t="s">
        <v>3654</v>
      </c>
      <c r="I1692" s="176" t="s">
        <v>2005</v>
      </c>
      <c r="J1692" s="97" t="s">
        <v>3703</v>
      </c>
      <c r="K1692" s="29">
        <v>9.3699999999999992</v>
      </c>
      <c r="L1692" s="29">
        <v>-1.8733333333333333</v>
      </c>
      <c r="M1692" s="30">
        <f>IFERROR(VLOOKUP($A1692,HeadJournal!$A$1:$J$890,COLUMN(HeadJournal!I$1),0)*($K1692+$L1692)/(SUMIF($A:$A,$A1692,$K:$K)+SUMIF($A:$A,$A1692,$L:$L)),0)</f>
        <v>0.35414810611434233</v>
      </c>
      <c r="N1692" s="30">
        <f>IFERROR((VLOOKUP($A1692,HeadJournal!$A$1:$K$890,COLUMN(HeadJournal!K$1),0)-VLOOKUP($A1692,HeadJournal!$A$1:$K$890,COLUMN(HeadJournal!J$1),0))*($K1692+$L1692)/(SUMIF($A:$A,$A1692,$K:$K)+SUMIF($A:$A,$A1692,$L:$L)),0)</f>
        <v>-4.5340065618512249E-15</v>
      </c>
      <c r="O1692" s="30">
        <f>IFERROR((VLOOKUP($A1692,HeadJournal!$A$1:$L$890,COLUMN(HeadJournal!L$1),0)*($K1692+$L1692)/(SUMIF($A:$A,$A1692,$K:$K)+SUMIF($A:$A,$A1692,$L:$L)))/VLOOKUP($A1692,HeadJournal!$A$1:$L$890,COLUMN(HeadJournal!H$1),0),0)</f>
        <v>0.79171699007020679</v>
      </c>
      <c r="P1692" s="30">
        <f>IFERROR(SUM(K1692:O1692)*VLOOKUP($A1692,HeadJournal!$A$1:$L$890,COLUMN(HeadJournal!H$1),0),0)</f>
        <v>770.57735754480495</v>
      </c>
      <c r="Q1692" s="29">
        <v>1600</v>
      </c>
      <c r="R1692" s="31">
        <v>45220</v>
      </c>
      <c r="S1692" s="31" t="s">
        <v>3121</v>
      </c>
      <c r="T1692" s="95" t="str">
        <f t="shared" si="135"/>
        <v>2023 10</v>
      </c>
      <c r="U1692" s="32">
        <f t="shared" si="132"/>
        <v>829.42264245519505</v>
      </c>
      <c r="V1692" s="22">
        <f t="shared" si="133"/>
        <v>1.0763651881725171</v>
      </c>
      <c r="X1692" s="33"/>
      <c r="Y1692" s="33"/>
    </row>
    <row r="1693" spans="1:25" x14ac:dyDescent="0.2">
      <c r="A1693" s="93" t="s">
        <v>749</v>
      </c>
      <c r="B1693" s="94" t="str">
        <f>IFERROR(VLOOKUP($A1693,HeadJournal!$A$1:$NTR$890,COLUMN(HeadJournal!B$1),0),"")</f>
        <v>710000812893</v>
      </c>
      <c r="C1693" s="94" t="str">
        <f>IFERROR(VLOOKUP($A1693,HeadJournal!$A$1:$NTR$890,COLUMN(HeadJournal!C$1),0),"")</f>
        <v>iHerb_OA CZN6870</v>
      </c>
      <c r="D1693" s="125" t="str">
        <f>IFERROR(VLOOKUP($A1693,HeadJournal!$A$1:$NTR$890,COLUMN(HeadJournal!D$1),0),"")</f>
        <v>Доставлен</v>
      </c>
      <c r="E1693" s="95">
        <f>IFERROR(VLOOKUP($A1693,HeadJournal!$A$1:$NTR$890,COLUMN(HeadJournal!G$1),0),"")</f>
        <v>45073</v>
      </c>
      <c r="F1693" s="95" t="str">
        <f t="shared" si="134"/>
        <v>2023 05</v>
      </c>
      <c r="G1693" s="96" t="s">
        <v>5</v>
      </c>
      <c r="H1693" s="175" t="s">
        <v>3654</v>
      </c>
      <c r="I1693" s="176" t="s">
        <v>2005</v>
      </c>
      <c r="J1693" s="97" t="s">
        <v>3703</v>
      </c>
      <c r="K1693" s="29">
        <v>9.3699999999999992</v>
      </c>
      <c r="L1693" s="29">
        <v>-1.8733333333333333</v>
      </c>
      <c r="M1693" s="30">
        <f>IFERROR(VLOOKUP($A1693,HeadJournal!$A$1:$J$890,COLUMN(HeadJournal!I$1),0)*($K1693+$L1693)/(SUMIF($A:$A,$A1693,$K:$K)+SUMIF($A:$A,$A1693,$L:$L)),0)</f>
        <v>0.35414810611434233</v>
      </c>
      <c r="N1693" s="30">
        <f>IFERROR((VLOOKUP($A1693,HeadJournal!$A$1:$K$890,COLUMN(HeadJournal!K$1),0)-VLOOKUP($A1693,HeadJournal!$A$1:$K$890,COLUMN(HeadJournal!J$1),0))*($K1693+$L1693)/(SUMIF($A:$A,$A1693,$K:$K)+SUMIF($A:$A,$A1693,$L:$L)),0)</f>
        <v>-4.5340065618512249E-15</v>
      </c>
      <c r="O1693" s="30">
        <f>IFERROR((VLOOKUP($A1693,HeadJournal!$A$1:$L$890,COLUMN(HeadJournal!L$1),0)*($K1693+$L1693)/(SUMIF($A:$A,$A1693,$K:$K)+SUMIF($A:$A,$A1693,$L:$L)))/VLOOKUP($A1693,HeadJournal!$A$1:$L$890,COLUMN(HeadJournal!H$1),0),0)</f>
        <v>0.79171699007020679</v>
      </c>
      <c r="P1693" s="30">
        <f>IFERROR(SUM(K1693:O1693)*VLOOKUP($A1693,HeadJournal!$A$1:$L$890,COLUMN(HeadJournal!H$1),0),0)</f>
        <v>770.57735754480495</v>
      </c>
      <c r="Q1693" s="29">
        <v>1500</v>
      </c>
      <c r="R1693" s="31">
        <v>45237</v>
      </c>
      <c r="S1693" s="31" t="s">
        <v>3121</v>
      </c>
      <c r="T1693" s="95" t="str">
        <f t="shared" si="135"/>
        <v>2023 11</v>
      </c>
      <c r="U1693" s="32">
        <f t="shared" si="132"/>
        <v>729.42264245519505</v>
      </c>
      <c r="V1693" s="22">
        <f t="shared" si="133"/>
        <v>0.94659236391173485</v>
      </c>
      <c r="X1693" s="33"/>
      <c r="Y1693" s="33"/>
    </row>
    <row r="1694" spans="1:25" x14ac:dyDescent="0.2">
      <c r="A1694" s="93" t="s">
        <v>749</v>
      </c>
      <c r="B1694" s="94" t="str">
        <f>IFERROR(VLOOKUP($A1694,HeadJournal!$A$1:$NTR$890,COLUMN(HeadJournal!B$1),0),"")</f>
        <v>710000812893</v>
      </c>
      <c r="C1694" s="94" t="str">
        <f>IFERROR(VLOOKUP($A1694,HeadJournal!$A$1:$NTR$890,COLUMN(HeadJournal!C$1),0),"")</f>
        <v>iHerb_OA CZN6870</v>
      </c>
      <c r="D1694" s="125" t="str">
        <f>IFERROR(VLOOKUP($A1694,HeadJournal!$A$1:$NTR$890,COLUMN(HeadJournal!D$1),0),"")</f>
        <v>Доставлен</v>
      </c>
      <c r="E1694" s="95">
        <f>IFERROR(VLOOKUP($A1694,HeadJournal!$A$1:$NTR$890,COLUMN(HeadJournal!G$1),0),"")</f>
        <v>45073</v>
      </c>
      <c r="F1694" s="95" t="str">
        <f t="shared" si="134"/>
        <v>2023 05</v>
      </c>
      <c r="G1694" s="96" t="s">
        <v>5</v>
      </c>
      <c r="H1694" s="175" t="s">
        <v>3654</v>
      </c>
      <c r="I1694" s="176" t="s">
        <v>2005</v>
      </c>
      <c r="J1694" s="97" t="s">
        <v>3703</v>
      </c>
      <c r="K1694" s="29">
        <v>9.3699999999999992</v>
      </c>
      <c r="L1694" s="29">
        <v>-1.8733333333333333</v>
      </c>
      <c r="M1694" s="30">
        <f>IFERROR(VLOOKUP($A1694,HeadJournal!$A$1:$J$890,COLUMN(HeadJournal!I$1),0)*($K1694+$L1694)/(SUMIF($A:$A,$A1694,$K:$K)+SUMIF($A:$A,$A1694,$L:$L)),0)</f>
        <v>0.35414810611434233</v>
      </c>
      <c r="N1694" s="30">
        <f>IFERROR((VLOOKUP($A1694,HeadJournal!$A$1:$K$890,COLUMN(HeadJournal!K$1),0)-VLOOKUP($A1694,HeadJournal!$A$1:$K$890,COLUMN(HeadJournal!J$1),0))*($K1694+$L1694)/(SUMIF($A:$A,$A1694,$K:$K)+SUMIF($A:$A,$A1694,$L:$L)),0)</f>
        <v>-4.5340065618512249E-15</v>
      </c>
      <c r="O1694" s="30">
        <f>IFERROR((VLOOKUP($A1694,HeadJournal!$A$1:$L$890,COLUMN(HeadJournal!L$1),0)*($K1694+$L1694)/(SUMIF($A:$A,$A1694,$K:$K)+SUMIF($A:$A,$A1694,$L:$L)))/VLOOKUP($A1694,HeadJournal!$A$1:$L$890,COLUMN(HeadJournal!H$1),0),0)</f>
        <v>0.79171699007020679</v>
      </c>
      <c r="P1694" s="30">
        <f>IFERROR(SUM(K1694:O1694)*VLOOKUP($A1694,HeadJournal!$A$1:$L$890,COLUMN(HeadJournal!H$1),0),0)</f>
        <v>770.57735754480495</v>
      </c>
      <c r="Q1694" s="29">
        <v>1600</v>
      </c>
      <c r="R1694" s="31">
        <v>45244</v>
      </c>
      <c r="S1694" s="31" t="s">
        <v>3121</v>
      </c>
      <c r="T1694" s="95" t="str">
        <f t="shared" si="135"/>
        <v>2023 11</v>
      </c>
      <c r="U1694" s="32">
        <f t="shared" si="132"/>
        <v>829.42264245519505</v>
      </c>
      <c r="V1694" s="22">
        <f t="shared" si="133"/>
        <v>1.0763651881725171</v>
      </c>
      <c r="X1694" s="33"/>
      <c r="Y1694" s="33"/>
    </row>
    <row r="1695" spans="1:25" x14ac:dyDescent="0.2">
      <c r="A1695" s="93" t="s">
        <v>749</v>
      </c>
      <c r="B1695" s="94" t="str">
        <f>IFERROR(VLOOKUP($A1695,HeadJournal!$A$1:$NTR$890,COLUMN(HeadJournal!B$1),0),"")</f>
        <v>710000812893</v>
      </c>
      <c r="C1695" s="94" t="str">
        <f>IFERROR(VLOOKUP($A1695,HeadJournal!$A$1:$NTR$890,COLUMN(HeadJournal!C$1),0),"")</f>
        <v>iHerb_OA CZN6870</v>
      </c>
      <c r="D1695" s="125" t="str">
        <f>IFERROR(VLOOKUP($A1695,HeadJournal!$A$1:$NTR$890,COLUMN(HeadJournal!D$1),0),"")</f>
        <v>Доставлен</v>
      </c>
      <c r="E1695" s="95">
        <f>IFERROR(VLOOKUP($A1695,HeadJournal!$A$1:$NTR$890,COLUMN(HeadJournal!G$1),0),"")</f>
        <v>45073</v>
      </c>
      <c r="F1695" s="95" t="str">
        <f t="shared" si="134"/>
        <v>2023 05</v>
      </c>
      <c r="G1695" s="96" t="s">
        <v>5</v>
      </c>
      <c r="H1695" s="175" t="s">
        <v>3655</v>
      </c>
      <c r="I1695" s="176" t="s">
        <v>2005</v>
      </c>
      <c r="J1695" s="97" t="s">
        <v>3704</v>
      </c>
      <c r="K1695" s="29">
        <v>6.49</v>
      </c>
      <c r="L1695" s="29">
        <v>-1.3</v>
      </c>
      <c r="M1695" s="30">
        <f>IFERROR(VLOOKUP($A1695,HeadJournal!$A$1:$J$890,COLUMN(HeadJournal!I$1),0)*($K1695+$L1695)/(SUMIF($A:$A,$A1695,$K:$K)+SUMIF($A:$A,$A1695,$L:$L)),0)</f>
        <v>0.24517945807916011</v>
      </c>
      <c r="N1695" s="30">
        <f>IFERROR((VLOOKUP($A1695,HeadJournal!$A$1:$K$890,COLUMN(HeadJournal!K$1),0)-VLOOKUP($A1695,HeadJournal!$A$1:$K$890,COLUMN(HeadJournal!J$1),0))*($K1695+$L1695)/(SUMIF($A:$A,$A1695,$K:$K)+SUMIF($A:$A,$A1695,$L:$L)),0)</f>
        <v>-3.1389276197431563E-15</v>
      </c>
      <c r="O1695" s="30">
        <f>IFERROR((VLOOKUP($A1695,HeadJournal!$A$1:$L$890,COLUMN(HeadJournal!L$1),0)*($K1695+$L1695)/(SUMIF($A:$A,$A1695,$K:$K)+SUMIF($A:$A,$A1695,$L:$L)))/VLOOKUP($A1695,HeadJournal!$A$1:$L$890,COLUMN(HeadJournal!H$1),0),0)</f>
        <v>0.54811176235629699</v>
      </c>
      <c r="P1695" s="30">
        <f>IFERROR(SUM(K1695:O1695)*VLOOKUP($A1695,HeadJournal!$A$1:$L$890,COLUMN(HeadJournal!H$1),0),0)</f>
        <v>533.4766321464034</v>
      </c>
      <c r="Q1695" s="29">
        <v>1200</v>
      </c>
      <c r="R1695" s="31">
        <v>45311</v>
      </c>
      <c r="S1695" s="31" t="s">
        <v>3121</v>
      </c>
      <c r="T1695" s="95" t="str">
        <f t="shared" si="135"/>
        <v>2024 01</v>
      </c>
      <c r="U1695" s="32">
        <f t="shared" si="132"/>
        <v>666.5233678535966</v>
      </c>
      <c r="V1695" s="22">
        <f t="shared" si="133"/>
        <v>1.249395620520227</v>
      </c>
      <c r="X1695" s="33"/>
      <c r="Y1695" s="33"/>
    </row>
    <row r="1696" spans="1:25" x14ac:dyDescent="0.2">
      <c r="A1696" s="93" t="s">
        <v>749</v>
      </c>
      <c r="B1696" s="94" t="str">
        <f>IFERROR(VLOOKUP($A1696,HeadJournal!$A$1:$NTR$890,COLUMN(HeadJournal!B$1),0),"")</f>
        <v>710000812893</v>
      </c>
      <c r="C1696" s="94" t="str">
        <f>IFERROR(VLOOKUP($A1696,HeadJournal!$A$1:$NTR$890,COLUMN(HeadJournal!C$1),0),"")</f>
        <v>iHerb_OA CZN6870</v>
      </c>
      <c r="D1696" s="125" t="str">
        <f>IFERROR(VLOOKUP($A1696,HeadJournal!$A$1:$NTR$890,COLUMN(HeadJournal!D$1),0),"")</f>
        <v>Доставлен</v>
      </c>
      <c r="E1696" s="95">
        <f>IFERROR(VLOOKUP($A1696,HeadJournal!$A$1:$NTR$890,COLUMN(HeadJournal!G$1),0),"")</f>
        <v>45073</v>
      </c>
      <c r="F1696" s="95" t="str">
        <f t="shared" si="134"/>
        <v>2023 05</v>
      </c>
      <c r="G1696" s="96" t="s">
        <v>5</v>
      </c>
      <c r="H1696" s="175" t="s">
        <v>3655</v>
      </c>
      <c r="I1696" s="176" t="s">
        <v>2005</v>
      </c>
      <c r="J1696" s="97" t="s">
        <v>3704</v>
      </c>
      <c r="K1696" s="29">
        <v>6.49</v>
      </c>
      <c r="L1696" s="29">
        <v>-1.3</v>
      </c>
      <c r="M1696" s="30">
        <f>IFERROR(VLOOKUP($A1696,HeadJournal!$A$1:$J$890,COLUMN(HeadJournal!I$1),0)*($K1696+$L1696)/(SUMIF($A:$A,$A1696,$K:$K)+SUMIF($A:$A,$A1696,$L:$L)),0)</f>
        <v>0.24517945807916011</v>
      </c>
      <c r="N1696" s="30">
        <f>IFERROR((VLOOKUP($A1696,HeadJournal!$A$1:$K$890,COLUMN(HeadJournal!K$1),0)-VLOOKUP($A1696,HeadJournal!$A$1:$K$890,COLUMN(HeadJournal!J$1),0))*($K1696+$L1696)/(SUMIF($A:$A,$A1696,$K:$K)+SUMIF($A:$A,$A1696,$L:$L)),0)</f>
        <v>-3.1389276197431563E-15</v>
      </c>
      <c r="O1696" s="30">
        <f>IFERROR((VLOOKUP($A1696,HeadJournal!$A$1:$L$890,COLUMN(HeadJournal!L$1),0)*($K1696+$L1696)/(SUMIF($A:$A,$A1696,$K:$K)+SUMIF($A:$A,$A1696,$L:$L)))/VLOOKUP($A1696,HeadJournal!$A$1:$L$890,COLUMN(HeadJournal!H$1),0),0)</f>
        <v>0.54811176235629699</v>
      </c>
      <c r="P1696" s="30">
        <f>IFERROR(SUM(K1696:O1696)*VLOOKUP($A1696,HeadJournal!$A$1:$L$890,COLUMN(HeadJournal!H$1),0),0)</f>
        <v>533.4766321464034</v>
      </c>
      <c r="Q1696" s="29">
        <v>1200</v>
      </c>
      <c r="R1696" s="31">
        <v>45311</v>
      </c>
      <c r="S1696" s="31" t="s">
        <v>3121</v>
      </c>
      <c r="T1696" s="95" t="str">
        <f t="shared" si="135"/>
        <v>2024 01</v>
      </c>
      <c r="U1696" s="32">
        <f t="shared" si="132"/>
        <v>666.5233678535966</v>
      </c>
      <c r="V1696" s="22">
        <f t="shared" si="133"/>
        <v>1.249395620520227</v>
      </c>
      <c r="X1696" s="33"/>
      <c r="Y1696" s="33"/>
    </row>
    <row r="1697" spans="1:25" x14ac:dyDescent="0.2">
      <c r="A1697" s="93" t="s">
        <v>749</v>
      </c>
      <c r="B1697" s="94" t="str">
        <f>IFERROR(VLOOKUP($A1697,HeadJournal!$A$1:$NTR$890,COLUMN(HeadJournal!B$1),0),"")</f>
        <v>710000812893</v>
      </c>
      <c r="C1697" s="94" t="str">
        <f>IFERROR(VLOOKUP($A1697,HeadJournal!$A$1:$NTR$890,COLUMN(HeadJournal!C$1),0),"")</f>
        <v>iHerb_OA CZN6870</v>
      </c>
      <c r="D1697" s="125" t="str">
        <f>IFERROR(VLOOKUP($A1697,HeadJournal!$A$1:$NTR$890,COLUMN(HeadJournal!D$1),0),"")</f>
        <v>Доставлен</v>
      </c>
      <c r="E1697" s="95">
        <f>IFERROR(VLOOKUP($A1697,HeadJournal!$A$1:$NTR$890,COLUMN(HeadJournal!G$1),0),"")</f>
        <v>45073</v>
      </c>
      <c r="F1697" s="95" t="str">
        <f t="shared" si="134"/>
        <v>2023 05</v>
      </c>
      <c r="G1697" s="96" t="s">
        <v>5</v>
      </c>
      <c r="H1697" s="160" t="str">
        <f>RIGHT(Journal!$J1697,9)</f>
        <v>NOW-02210</v>
      </c>
      <c r="I1697" s="96" t="str">
        <f t="shared" si="136"/>
        <v>NOW Foods</v>
      </c>
      <c r="J1697" s="97" t="s">
        <v>341</v>
      </c>
      <c r="K1697" s="29">
        <v>8.65</v>
      </c>
      <c r="L1697" s="29">
        <v>-1.73</v>
      </c>
      <c r="M1697" s="30">
        <f>IFERROR(VLOOKUP($A1697,HeadJournal!$A$1:$J$890,COLUMN(HeadJournal!I$1),0)*($K1697+$L1697)/(SUMIF($A:$A,$A1697,$K:$K)+SUMIF($A:$A,$A1697,$L:$L)),0)</f>
        <v>0.3269059441055468</v>
      </c>
      <c r="N1697" s="30">
        <f>IFERROR((VLOOKUP($A1697,HeadJournal!$A$1:$K$890,COLUMN(HeadJournal!K$1),0)-VLOOKUP($A1697,HeadJournal!$A$1:$K$890,COLUMN(HeadJournal!J$1),0))*($K1697+$L1697)/(SUMIF($A:$A,$A1697,$K:$K)+SUMIF($A:$A,$A1697,$L:$L)),0)</f>
        <v>-4.1852368263242079E-15</v>
      </c>
      <c r="O1697" s="30">
        <f>IFERROR((VLOOKUP($A1697,HeadJournal!$A$1:$L$890,COLUMN(HeadJournal!L$1),0)*($K1697+$L1697)/(SUMIF($A:$A,$A1697,$K:$K)+SUMIF($A:$A,$A1697,$L:$L)))/VLOOKUP($A1697,HeadJournal!$A$1:$L$890,COLUMN(HeadJournal!H$1),0),0)</f>
        <v>0.73081568314172929</v>
      </c>
      <c r="P1697" s="30">
        <f>IFERROR(SUM(K1697:O1697)*VLOOKUP($A1697,HeadJournal!$A$1:$L$890,COLUMN(HeadJournal!H$1),0),0)</f>
        <v>711.30217619520454</v>
      </c>
      <c r="Q1697" s="29">
        <v>1500</v>
      </c>
      <c r="R1697" s="31">
        <v>45101</v>
      </c>
      <c r="S1697" s="31" t="s">
        <v>3121</v>
      </c>
      <c r="T1697" s="95" t="str">
        <f t="shared" si="135"/>
        <v>2023 06</v>
      </c>
      <c r="U1697" s="32">
        <f t="shared" si="132"/>
        <v>788.69782380479546</v>
      </c>
      <c r="V1697" s="22">
        <f t="shared" si="133"/>
        <v>1.1088083942377129</v>
      </c>
      <c r="X1697" s="33"/>
      <c r="Y1697" s="33"/>
    </row>
    <row r="1698" spans="1:25" x14ac:dyDescent="0.2">
      <c r="A1698" s="93" t="s">
        <v>749</v>
      </c>
      <c r="B1698" s="94" t="str">
        <f>IFERROR(VLOOKUP($A1698,HeadJournal!$A$1:$NTR$890,COLUMN(HeadJournal!B$1),0),"")</f>
        <v>710000812893</v>
      </c>
      <c r="C1698" s="94" t="str">
        <f>IFERROR(VLOOKUP($A1698,HeadJournal!$A$1:$NTR$890,COLUMN(HeadJournal!C$1),0),"")</f>
        <v>iHerb_OA CZN6870</v>
      </c>
      <c r="D1698" s="125" t="str">
        <f>IFERROR(VLOOKUP($A1698,HeadJournal!$A$1:$NTR$890,COLUMN(HeadJournal!D$1),0),"")</f>
        <v>Доставлен</v>
      </c>
      <c r="E1698" s="95">
        <f>IFERROR(VLOOKUP($A1698,HeadJournal!$A$1:$NTR$890,COLUMN(HeadJournal!G$1),0),"")</f>
        <v>45073</v>
      </c>
      <c r="F1698" s="95" t="str">
        <f t="shared" si="134"/>
        <v>2023 05</v>
      </c>
      <c r="G1698" s="96" t="s">
        <v>5</v>
      </c>
      <c r="H1698" s="160" t="str">
        <f>RIGHT(Journal!$J1698,9)</f>
        <v>NOW-02210</v>
      </c>
      <c r="I1698" s="96" t="str">
        <f t="shared" si="136"/>
        <v>NOW Foods</v>
      </c>
      <c r="J1698" s="97" t="s">
        <v>341</v>
      </c>
      <c r="K1698" s="29">
        <v>8.65</v>
      </c>
      <c r="L1698" s="29">
        <v>-1.73</v>
      </c>
      <c r="M1698" s="30">
        <f>IFERROR(VLOOKUP($A1698,HeadJournal!$A$1:$J$890,COLUMN(HeadJournal!I$1),0)*($K1698+$L1698)/(SUMIF($A:$A,$A1698,$K:$K)+SUMIF($A:$A,$A1698,$L:$L)),0)</f>
        <v>0.3269059441055468</v>
      </c>
      <c r="N1698" s="30">
        <f>IFERROR((VLOOKUP($A1698,HeadJournal!$A$1:$K$890,COLUMN(HeadJournal!K$1),0)-VLOOKUP($A1698,HeadJournal!$A$1:$K$890,COLUMN(HeadJournal!J$1),0))*($K1698+$L1698)/(SUMIF($A:$A,$A1698,$K:$K)+SUMIF($A:$A,$A1698,$L:$L)),0)</f>
        <v>-4.1852368263242079E-15</v>
      </c>
      <c r="O1698" s="30">
        <f>IFERROR((VLOOKUP($A1698,HeadJournal!$A$1:$L$890,COLUMN(HeadJournal!L$1),0)*($K1698+$L1698)/(SUMIF($A:$A,$A1698,$K:$K)+SUMIF($A:$A,$A1698,$L:$L)))/VLOOKUP($A1698,HeadJournal!$A$1:$L$890,COLUMN(HeadJournal!H$1),0),0)</f>
        <v>0.73081568314172929</v>
      </c>
      <c r="P1698" s="30">
        <f>IFERROR(SUM(K1698:O1698)*VLOOKUP($A1698,HeadJournal!$A$1:$L$890,COLUMN(HeadJournal!H$1),0),0)</f>
        <v>711.30217619520454</v>
      </c>
      <c r="Q1698" s="29">
        <v>1500</v>
      </c>
      <c r="R1698" s="31">
        <v>45115</v>
      </c>
      <c r="S1698" s="31" t="s">
        <v>3121</v>
      </c>
      <c r="T1698" s="95" t="str">
        <f t="shared" si="135"/>
        <v>2023 07</v>
      </c>
      <c r="U1698" s="32">
        <f t="shared" si="132"/>
        <v>788.69782380479546</v>
      </c>
      <c r="V1698" s="22">
        <f t="shared" si="133"/>
        <v>1.1088083942377129</v>
      </c>
      <c r="X1698" s="33"/>
      <c r="Y1698" s="33"/>
    </row>
    <row r="1699" spans="1:25" x14ac:dyDescent="0.2">
      <c r="A1699" s="93" t="s">
        <v>3512</v>
      </c>
      <c r="B1699" s="94">
        <f>IFERROR(VLOOKUP($A1699,HeadJournal!$A$1:$NTR$890,COLUMN(HeadJournal!B$1),0),"")</f>
        <v>0</v>
      </c>
      <c r="C1699" s="94" t="str">
        <f>IFERROR(VLOOKUP($A1699,HeadJournal!$A$1:$NTR$890,COLUMN(HeadJournal!C$1),0),"")</f>
        <v>Forever</v>
      </c>
      <c r="D1699" s="125" t="str">
        <f>IFERROR(VLOOKUP($A1699,HeadJournal!$A$1:$NTR$890,COLUMN(HeadJournal!D$1),0),"")</f>
        <v>Доставлен</v>
      </c>
      <c r="E1699" s="95">
        <f>IFERROR(VLOOKUP($A1699,HeadJournal!$A$1:$NTR$890,COLUMN(HeadJournal!G$1),0),"")</f>
        <v>45058</v>
      </c>
      <c r="F1699" s="95" t="str">
        <f t="shared" si="134"/>
        <v>2023 05</v>
      </c>
      <c r="G1699" s="96" t="s">
        <v>5</v>
      </c>
      <c r="H1699" s="160" t="str">
        <f>RIGHT(Journal!$J1699,9)</f>
        <v>000000153</v>
      </c>
      <c r="I1699" s="96" t="str">
        <f t="shared" si="136"/>
        <v>Forever</v>
      </c>
      <c r="J1699" s="97" t="s">
        <v>449</v>
      </c>
      <c r="K1699" s="29">
        <v>9623.3333333333339</v>
      </c>
      <c r="L1699" s="29"/>
      <c r="M1699" s="30">
        <f>IFERROR(VLOOKUP($A1699,HeadJournal!$A$1:$J$890,COLUMN(HeadJournal!I$1),0)*($K1699+$L1699)/(SUMIF($A:$A,$A1699,$K:$K)+SUMIF($A:$A,$A1699,$L:$L)),0)</f>
        <v>0</v>
      </c>
      <c r="N1699" s="30">
        <f>IFERROR((VLOOKUP($A1699,HeadJournal!$A$1:$K$890,COLUMN(HeadJournal!K$1),0)-VLOOKUP($A1699,HeadJournal!$A$1:$K$890,COLUMN(HeadJournal!J$1),0))*($K1699+$L1699)/(SUMIF($A:$A,$A1699,$K:$K)+SUMIF($A:$A,$A1699,$L:$L)),0)</f>
        <v>192.48065254514407</v>
      </c>
      <c r="O1699" s="30">
        <f>IFERROR((VLOOKUP($A1699,HeadJournal!$A$1:$L$890,COLUMN(HeadJournal!L$1),0)*($K1699+$L1699)/(SUMIF($A:$A,$A1699,$K:$K)+SUMIF($A:$A,$A1699,$L:$L)))/VLOOKUP($A1699,HeadJournal!$A$1:$L$890,COLUMN(HeadJournal!H$1),0),0)</f>
        <v>218.25461423695765</v>
      </c>
      <c r="P1699" s="30">
        <f>IFERROR(SUM(K1699:O1699)*VLOOKUP($A1699,HeadJournal!$A$1:$L$890,COLUMN(HeadJournal!H$1),0),0)</f>
        <v>1756.1630545362061</v>
      </c>
      <c r="Q1699" s="29">
        <v>2400</v>
      </c>
      <c r="R1699" s="31">
        <v>45086</v>
      </c>
      <c r="S1699" s="31" t="s">
        <v>3121</v>
      </c>
      <c r="T1699" s="95" t="str">
        <f t="shared" si="135"/>
        <v>2023 06</v>
      </c>
      <c r="U1699" s="32">
        <f t="shared" si="132"/>
        <v>643.83694546379388</v>
      </c>
      <c r="V1699" s="22">
        <f t="shared" si="133"/>
        <v>0.36661569881039774</v>
      </c>
      <c r="X1699" s="33"/>
      <c r="Y1699" s="33"/>
    </row>
    <row r="1700" spans="1:25" x14ac:dyDescent="0.2">
      <c r="A1700" s="93" t="s">
        <v>3512</v>
      </c>
      <c r="B1700" s="94">
        <f>IFERROR(VLOOKUP($A1700,HeadJournal!$A$1:$NTR$890,COLUMN(HeadJournal!B$1),0),"")</f>
        <v>0</v>
      </c>
      <c r="C1700" s="94" t="str">
        <f>IFERROR(VLOOKUP($A1700,HeadJournal!$A$1:$NTR$890,COLUMN(HeadJournal!C$1),0),"")</f>
        <v>Forever</v>
      </c>
      <c r="D1700" s="125" t="str">
        <f>IFERROR(VLOOKUP($A1700,HeadJournal!$A$1:$NTR$890,COLUMN(HeadJournal!D$1),0),"")</f>
        <v>Доставлен</v>
      </c>
      <c r="E1700" s="95">
        <f>IFERROR(VLOOKUP($A1700,HeadJournal!$A$1:$NTR$890,COLUMN(HeadJournal!G$1),0),"")</f>
        <v>45058</v>
      </c>
      <c r="F1700" s="95" t="str">
        <f t="shared" si="134"/>
        <v>2023 05</v>
      </c>
      <c r="G1700" s="96" t="s">
        <v>5</v>
      </c>
      <c r="H1700" s="160" t="str">
        <f>RIGHT(Journal!$J1700,9)</f>
        <v>000000153</v>
      </c>
      <c r="I1700" s="96" t="str">
        <f t="shared" si="136"/>
        <v>Forever</v>
      </c>
      <c r="J1700" s="97" t="s">
        <v>449</v>
      </c>
      <c r="K1700" s="29">
        <v>9623.3333333333339</v>
      </c>
      <c r="L1700" s="29"/>
      <c r="M1700" s="30">
        <f>IFERROR(VLOOKUP($A1700,HeadJournal!$A$1:$J$890,COLUMN(HeadJournal!I$1),0)*($K1700+$L1700)/(SUMIF($A:$A,$A1700,$K:$K)+SUMIF($A:$A,$A1700,$L:$L)),0)</f>
        <v>0</v>
      </c>
      <c r="N1700" s="30">
        <f>IFERROR((VLOOKUP($A1700,HeadJournal!$A$1:$K$890,COLUMN(HeadJournal!K$1),0)-VLOOKUP($A1700,HeadJournal!$A$1:$K$890,COLUMN(HeadJournal!J$1),0))*($K1700+$L1700)/(SUMIF($A:$A,$A1700,$K:$K)+SUMIF($A:$A,$A1700,$L:$L)),0)</f>
        <v>192.48065254514407</v>
      </c>
      <c r="O1700" s="30">
        <f>IFERROR((VLOOKUP($A1700,HeadJournal!$A$1:$L$890,COLUMN(HeadJournal!L$1),0)*($K1700+$L1700)/(SUMIF($A:$A,$A1700,$K:$K)+SUMIF($A:$A,$A1700,$L:$L)))/VLOOKUP($A1700,HeadJournal!$A$1:$L$890,COLUMN(HeadJournal!H$1),0),0)</f>
        <v>218.25461423695765</v>
      </c>
      <c r="P1700" s="30">
        <f>IFERROR(SUM(K1700:O1700)*VLOOKUP($A1700,HeadJournal!$A$1:$L$890,COLUMN(HeadJournal!H$1),0),0)</f>
        <v>1756.1630545362061</v>
      </c>
      <c r="Q1700" s="29">
        <v>2400</v>
      </c>
      <c r="R1700" s="31">
        <v>45086</v>
      </c>
      <c r="S1700" s="31" t="s">
        <v>3121</v>
      </c>
      <c r="T1700" s="95" t="str">
        <f t="shared" si="135"/>
        <v>2023 06</v>
      </c>
      <c r="U1700" s="32">
        <f t="shared" si="132"/>
        <v>643.83694546379388</v>
      </c>
      <c r="V1700" s="22">
        <f t="shared" si="133"/>
        <v>0.36661569881039774</v>
      </c>
      <c r="X1700" s="33"/>
      <c r="Y1700" s="33"/>
    </row>
    <row r="1701" spans="1:25" x14ac:dyDescent="0.2">
      <c r="A1701" s="93" t="s">
        <v>3512</v>
      </c>
      <c r="B1701" s="94">
        <f>IFERROR(VLOOKUP($A1701,HeadJournal!$A$1:$NTR$890,COLUMN(HeadJournal!B$1),0),"")</f>
        <v>0</v>
      </c>
      <c r="C1701" s="94" t="str">
        <f>IFERROR(VLOOKUP($A1701,HeadJournal!$A$1:$NTR$890,COLUMN(HeadJournal!C$1),0),"")</f>
        <v>Forever</v>
      </c>
      <c r="D1701" s="125" t="str">
        <f>IFERROR(VLOOKUP($A1701,HeadJournal!$A$1:$NTR$890,COLUMN(HeadJournal!D$1),0),"")</f>
        <v>Доставлен</v>
      </c>
      <c r="E1701" s="95">
        <f>IFERROR(VLOOKUP($A1701,HeadJournal!$A$1:$NTR$890,COLUMN(HeadJournal!G$1),0),"")</f>
        <v>45058</v>
      </c>
      <c r="F1701" s="95" t="str">
        <f t="shared" si="134"/>
        <v>2023 05</v>
      </c>
      <c r="G1701" s="96" t="s">
        <v>5</v>
      </c>
      <c r="H1701" s="160" t="str">
        <f>RIGHT(Journal!$J1701,9)</f>
        <v>000000153</v>
      </c>
      <c r="I1701" s="96" t="str">
        <f t="shared" si="136"/>
        <v>Forever</v>
      </c>
      <c r="J1701" s="97" t="s">
        <v>449</v>
      </c>
      <c r="K1701" s="29">
        <v>9623.3333333333339</v>
      </c>
      <c r="L1701" s="29"/>
      <c r="M1701" s="30">
        <f>IFERROR(VLOOKUP($A1701,HeadJournal!$A$1:$J$890,COLUMN(HeadJournal!I$1),0)*($K1701+$L1701)/(SUMIF($A:$A,$A1701,$K:$K)+SUMIF($A:$A,$A1701,$L:$L)),0)</f>
        <v>0</v>
      </c>
      <c r="N1701" s="30">
        <f>IFERROR((VLOOKUP($A1701,HeadJournal!$A$1:$K$890,COLUMN(HeadJournal!K$1),0)-VLOOKUP($A1701,HeadJournal!$A$1:$K$890,COLUMN(HeadJournal!J$1),0))*($K1701+$L1701)/(SUMIF($A:$A,$A1701,$K:$K)+SUMIF($A:$A,$A1701,$L:$L)),0)</f>
        <v>192.48065254514407</v>
      </c>
      <c r="O1701" s="30">
        <f>IFERROR((VLOOKUP($A1701,HeadJournal!$A$1:$L$890,COLUMN(HeadJournal!L$1),0)*($K1701+$L1701)/(SUMIF($A:$A,$A1701,$K:$K)+SUMIF($A:$A,$A1701,$L:$L)))/VLOOKUP($A1701,HeadJournal!$A$1:$L$890,COLUMN(HeadJournal!H$1),0),0)</f>
        <v>218.25461423695765</v>
      </c>
      <c r="P1701" s="30">
        <f>IFERROR(SUM(K1701:O1701)*VLOOKUP($A1701,HeadJournal!$A$1:$L$890,COLUMN(HeadJournal!H$1),0),0)</f>
        <v>1756.1630545362061</v>
      </c>
      <c r="Q1701" s="29">
        <v>2400</v>
      </c>
      <c r="R1701" s="31">
        <v>45096</v>
      </c>
      <c r="S1701" s="31" t="s">
        <v>3121</v>
      </c>
      <c r="T1701" s="95" t="str">
        <f t="shared" si="135"/>
        <v>2023 06</v>
      </c>
      <c r="U1701" s="32">
        <f t="shared" si="132"/>
        <v>643.83694546379388</v>
      </c>
      <c r="V1701" s="22">
        <f t="shared" si="133"/>
        <v>0.36661569881039774</v>
      </c>
      <c r="X1701" s="33"/>
      <c r="Y1701" s="33"/>
    </row>
    <row r="1702" spans="1:25" x14ac:dyDescent="0.2">
      <c r="A1702" s="93" t="s">
        <v>3512</v>
      </c>
      <c r="B1702" s="94">
        <f>IFERROR(VLOOKUP($A1702,HeadJournal!$A$1:$NTR$890,COLUMN(HeadJournal!B$1),0),"")</f>
        <v>0</v>
      </c>
      <c r="C1702" s="94" t="str">
        <f>IFERROR(VLOOKUP($A1702,HeadJournal!$A$1:$NTR$890,COLUMN(HeadJournal!C$1),0),"")</f>
        <v>Forever</v>
      </c>
      <c r="D1702" s="125" t="str">
        <f>IFERROR(VLOOKUP($A1702,HeadJournal!$A$1:$NTR$890,COLUMN(HeadJournal!D$1),0),"")</f>
        <v>Доставлен</v>
      </c>
      <c r="E1702" s="95">
        <f>IFERROR(VLOOKUP($A1702,HeadJournal!$A$1:$NTR$890,COLUMN(HeadJournal!G$1),0),"")</f>
        <v>45058</v>
      </c>
      <c r="F1702" s="95" t="str">
        <f t="shared" si="134"/>
        <v>2023 05</v>
      </c>
      <c r="G1702" s="96" t="s">
        <v>5</v>
      </c>
      <c r="H1702" s="160" t="str">
        <f>RIGHT(Journal!$J1702,9)</f>
        <v>000000153</v>
      </c>
      <c r="I1702" s="96" t="str">
        <f t="shared" si="136"/>
        <v>Forever</v>
      </c>
      <c r="J1702" s="97" t="s">
        <v>449</v>
      </c>
      <c r="K1702" s="29">
        <v>9623.3333333333339</v>
      </c>
      <c r="L1702" s="29"/>
      <c r="M1702" s="30">
        <f>IFERROR(VLOOKUP($A1702,HeadJournal!$A$1:$J$890,COLUMN(HeadJournal!I$1),0)*($K1702+$L1702)/(SUMIF($A:$A,$A1702,$K:$K)+SUMIF($A:$A,$A1702,$L:$L)),0)</f>
        <v>0</v>
      </c>
      <c r="N1702" s="30">
        <f>IFERROR((VLOOKUP($A1702,HeadJournal!$A$1:$K$890,COLUMN(HeadJournal!K$1),0)-VLOOKUP($A1702,HeadJournal!$A$1:$K$890,COLUMN(HeadJournal!J$1),0))*($K1702+$L1702)/(SUMIF($A:$A,$A1702,$K:$K)+SUMIF($A:$A,$A1702,$L:$L)),0)</f>
        <v>192.48065254514407</v>
      </c>
      <c r="O1702" s="30">
        <f>IFERROR((VLOOKUP($A1702,HeadJournal!$A$1:$L$890,COLUMN(HeadJournal!L$1),0)*($K1702+$L1702)/(SUMIF($A:$A,$A1702,$K:$K)+SUMIF($A:$A,$A1702,$L:$L)))/VLOOKUP($A1702,HeadJournal!$A$1:$L$890,COLUMN(HeadJournal!H$1),0),0)</f>
        <v>218.25461423695765</v>
      </c>
      <c r="P1702" s="30">
        <f>IFERROR(SUM(K1702:O1702)*VLOOKUP($A1702,HeadJournal!$A$1:$L$890,COLUMN(HeadJournal!H$1),0),0)</f>
        <v>1756.1630545362061</v>
      </c>
      <c r="Q1702" s="29">
        <v>2500</v>
      </c>
      <c r="R1702" s="31">
        <v>45147</v>
      </c>
      <c r="S1702" s="31" t="s">
        <v>3121</v>
      </c>
      <c r="T1702" s="95" t="str">
        <f t="shared" si="135"/>
        <v>2023 08</v>
      </c>
      <c r="U1702" s="32">
        <f t="shared" si="132"/>
        <v>743.83694546379388</v>
      </c>
      <c r="V1702" s="22">
        <f t="shared" si="133"/>
        <v>0.42355801959416434</v>
      </c>
      <c r="X1702" s="33"/>
      <c r="Y1702" s="33"/>
    </row>
    <row r="1703" spans="1:25" x14ac:dyDescent="0.2">
      <c r="A1703" s="93" t="s">
        <v>3512</v>
      </c>
      <c r="B1703" s="94">
        <f>IFERROR(VLOOKUP($A1703,HeadJournal!$A$1:$NTR$890,COLUMN(HeadJournal!B$1),0),"")</f>
        <v>0</v>
      </c>
      <c r="C1703" s="94" t="str">
        <f>IFERROR(VLOOKUP($A1703,HeadJournal!$A$1:$NTR$890,COLUMN(HeadJournal!C$1),0),"")</f>
        <v>Forever</v>
      </c>
      <c r="D1703" s="125" t="str">
        <f>IFERROR(VLOOKUP($A1703,HeadJournal!$A$1:$NTR$890,COLUMN(HeadJournal!D$1),0),"")</f>
        <v>Доставлен</v>
      </c>
      <c r="E1703" s="95">
        <f>IFERROR(VLOOKUP($A1703,HeadJournal!$A$1:$NTR$890,COLUMN(HeadJournal!G$1),0),"")</f>
        <v>45058</v>
      </c>
      <c r="F1703" s="95" t="str">
        <f t="shared" si="134"/>
        <v>2023 05</v>
      </c>
      <c r="G1703" s="96" t="s">
        <v>5</v>
      </c>
      <c r="H1703" s="160" t="str">
        <f>RIGHT(Journal!$J1703,9)</f>
        <v>000000153</v>
      </c>
      <c r="I1703" s="96" t="str">
        <f t="shared" si="136"/>
        <v>Forever</v>
      </c>
      <c r="J1703" s="97" t="s">
        <v>449</v>
      </c>
      <c r="K1703" s="29">
        <v>9623.3333333333339</v>
      </c>
      <c r="L1703" s="29"/>
      <c r="M1703" s="30">
        <f>IFERROR(VLOOKUP($A1703,HeadJournal!$A$1:$J$890,COLUMN(HeadJournal!I$1),0)*($K1703+$L1703)/(SUMIF($A:$A,$A1703,$K:$K)+SUMIF($A:$A,$A1703,$L:$L)),0)</f>
        <v>0</v>
      </c>
      <c r="N1703" s="30">
        <f>IFERROR((VLOOKUP($A1703,HeadJournal!$A$1:$K$890,COLUMN(HeadJournal!K$1),0)-VLOOKUP($A1703,HeadJournal!$A$1:$K$890,COLUMN(HeadJournal!J$1),0))*($K1703+$L1703)/(SUMIF($A:$A,$A1703,$K:$K)+SUMIF($A:$A,$A1703,$L:$L)),0)</f>
        <v>192.48065254514407</v>
      </c>
      <c r="O1703" s="30">
        <f>IFERROR((VLOOKUP($A1703,HeadJournal!$A$1:$L$890,COLUMN(HeadJournal!L$1),0)*($K1703+$L1703)/(SUMIF($A:$A,$A1703,$K:$K)+SUMIF($A:$A,$A1703,$L:$L)))/VLOOKUP($A1703,HeadJournal!$A$1:$L$890,COLUMN(HeadJournal!H$1),0),0)</f>
        <v>218.25461423695765</v>
      </c>
      <c r="P1703" s="30">
        <f>IFERROR(SUM(K1703:O1703)*VLOOKUP($A1703,HeadJournal!$A$1:$L$890,COLUMN(HeadJournal!H$1),0),0)</f>
        <v>1756.1630545362061</v>
      </c>
      <c r="Q1703" s="29">
        <v>1756.16</v>
      </c>
      <c r="R1703" s="31">
        <v>45127</v>
      </c>
      <c r="S1703" s="31" t="s">
        <v>3121</v>
      </c>
      <c r="T1703" s="95" t="str">
        <f t="shared" si="135"/>
        <v>2023 07</v>
      </c>
      <c r="U1703" s="32">
        <f t="shared" si="132"/>
        <v>-3.0545362060365733E-3</v>
      </c>
      <c r="V1703" s="22">
        <f t="shared" si="133"/>
        <v>-1.7393238048976387E-6</v>
      </c>
      <c r="X1703" s="33"/>
      <c r="Y1703" s="33"/>
    </row>
    <row r="1704" spans="1:25" x14ac:dyDescent="0.2">
      <c r="A1704" s="93" t="s">
        <v>3512</v>
      </c>
      <c r="B1704" s="94">
        <f>IFERROR(VLOOKUP($A1704,HeadJournal!$A$1:$NTR$890,COLUMN(HeadJournal!B$1),0),"")</f>
        <v>0</v>
      </c>
      <c r="C1704" s="94" t="str">
        <f>IFERROR(VLOOKUP($A1704,HeadJournal!$A$1:$NTR$890,COLUMN(HeadJournal!C$1),0),"")</f>
        <v>Forever</v>
      </c>
      <c r="D1704" s="125" t="str">
        <f>IFERROR(VLOOKUP($A1704,HeadJournal!$A$1:$NTR$890,COLUMN(HeadJournal!D$1),0),"")</f>
        <v>Доставлен</v>
      </c>
      <c r="E1704" s="95">
        <f>IFERROR(VLOOKUP($A1704,HeadJournal!$A$1:$NTR$890,COLUMN(HeadJournal!G$1),0),"")</f>
        <v>45058</v>
      </c>
      <c r="F1704" s="95" t="str">
        <f t="shared" si="134"/>
        <v>2023 05</v>
      </c>
      <c r="G1704" s="96" t="s">
        <v>5</v>
      </c>
      <c r="H1704" s="160" t="str">
        <f>RIGHT(Journal!$J1704,9)</f>
        <v>000000153</v>
      </c>
      <c r="I1704" s="96" t="str">
        <f t="shared" si="136"/>
        <v>Forever</v>
      </c>
      <c r="J1704" s="97" t="s">
        <v>449</v>
      </c>
      <c r="K1704" s="29">
        <v>9623.3333333333339</v>
      </c>
      <c r="L1704" s="29"/>
      <c r="M1704" s="30">
        <f>IFERROR(VLOOKUP($A1704,HeadJournal!$A$1:$J$890,COLUMN(HeadJournal!I$1),0)*($K1704+$L1704)/(SUMIF($A:$A,$A1704,$K:$K)+SUMIF($A:$A,$A1704,$L:$L)),0)</f>
        <v>0</v>
      </c>
      <c r="N1704" s="30">
        <f>IFERROR((VLOOKUP($A1704,HeadJournal!$A$1:$K$890,COLUMN(HeadJournal!K$1),0)-VLOOKUP($A1704,HeadJournal!$A$1:$K$890,COLUMN(HeadJournal!J$1),0))*($K1704+$L1704)/(SUMIF($A:$A,$A1704,$K:$K)+SUMIF($A:$A,$A1704,$L:$L)),0)</f>
        <v>192.48065254514407</v>
      </c>
      <c r="O1704" s="30">
        <f>IFERROR((VLOOKUP($A1704,HeadJournal!$A$1:$L$890,COLUMN(HeadJournal!L$1),0)*($K1704+$L1704)/(SUMIF($A:$A,$A1704,$K:$K)+SUMIF($A:$A,$A1704,$L:$L)))/VLOOKUP($A1704,HeadJournal!$A$1:$L$890,COLUMN(HeadJournal!H$1),0),0)</f>
        <v>218.25461423695765</v>
      </c>
      <c r="P1704" s="30">
        <f>IFERROR(SUM(K1704:O1704)*VLOOKUP($A1704,HeadJournal!$A$1:$L$890,COLUMN(HeadJournal!H$1),0),0)</f>
        <v>1756.1630545362061</v>
      </c>
      <c r="Q1704" s="29">
        <v>1756.16</v>
      </c>
      <c r="R1704" s="31">
        <v>45127</v>
      </c>
      <c r="S1704" s="31" t="s">
        <v>3121</v>
      </c>
      <c r="T1704" s="95" t="str">
        <f t="shared" si="135"/>
        <v>2023 07</v>
      </c>
      <c r="U1704" s="32">
        <f t="shared" si="132"/>
        <v>-3.0545362060365733E-3</v>
      </c>
      <c r="V1704" s="22">
        <f t="shared" si="133"/>
        <v>-1.7393238048976387E-6</v>
      </c>
      <c r="X1704" s="33"/>
      <c r="Y1704" s="33"/>
    </row>
    <row r="1705" spans="1:25" x14ac:dyDescent="0.2">
      <c r="A1705" s="93" t="s">
        <v>3512</v>
      </c>
      <c r="B1705" s="94">
        <f>IFERROR(VLOOKUP($A1705,HeadJournal!$A$1:$NTR$890,COLUMN(HeadJournal!B$1),0),"")</f>
        <v>0</v>
      </c>
      <c r="C1705" s="94" t="str">
        <f>IFERROR(VLOOKUP($A1705,HeadJournal!$A$1:$NTR$890,COLUMN(HeadJournal!C$1),0),"")</f>
        <v>Forever</v>
      </c>
      <c r="D1705" s="125" t="str">
        <f>IFERROR(VLOOKUP($A1705,HeadJournal!$A$1:$NTR$890,COLUMN(HeadJournal!D$1),0),"")</f>
        <v>Доставлен</v>
      </c>
      <c r="E1705" s="95">
        <f>IFERROR(VLOOKUP($A1705,HeadJournal!$A$1:$NTR$890,COLUMN(HeadJournal!G$1),0),"")</f>
        <v>45058</v>
      </c>
      <c r="F1705" s="95" t="str">
        <f t="shared" si="134"/>
        <v>2023 05</v>
      </c>
      <c r="G1705" s="96" t="s">
        <v>5</v>
      </c>
      <c r="H1705" s="160" t="str">
        <f>RIGHT(Journal!$J1705,9)</f>
        <v>000000205</v>
      </c>
      <c r="I1705" s="96" t="str">
        <f t="shared" si="136"/>
        <v>Forever</v>
      </c>
      <c r="J1705" s="97" t="s">
        <v>468</v>
      </c>
      <c r="K1705" s="29">
        <v>8516</v>
      </c>
      <c r="L1705" s="29"/>
      <c r="M1705" s="30">
        <f>IFERROR(VLOOKUP($A1705,HeadJournal!$A$1:$J$890,COLUMN(HeadJournal!I$1),0)*($K1705+$L1705)/(SUMIF($A:$A,$A1705,$K:$K)+SUMIF($A:$A,$A1705,$L:$L)),0)</f>
        <v>0</v>
      </c>
      <c r="N1705" s="30">
        <f>IFERROR((VLOOKUP($A1705,HeadJournal!$A$1:$K$890,COLUMN(HeadJournal!K$1),0)-VLOOKUP($A1705,HeadJournal!$A$1:$K$890,COLUMN(HeadJournal!J$1),0))*($K1705+$L1705)/(SUMIF($A:$A,$A1705,$K:$K)+SUMIF($A:$A,$A1705,$L:$L)),0)</f>
        <v>170.33237655778802</v>
      </c>
      <c r="O1705" s="30">
        <f>IFERROR((VLOOKUP($A1705,HeadJournal!$A$1:$L$890,COLUMN(HeadJournal!L$1),0)*($K1705+$L1705)/(SUMIF($A:$A,$A1705,$K:$K)+SUMIF($A:$A,$A1705,$L:$L)))/VLOOKUP($A1705,HeadJournal!$A$1:$L$890,COLUMN(HeadJournal!H$1),0),0)</f>
        <v>193.14059177436073</v>
      </c>
      <c r="P1705" s="30">
        <f>IFERROR(SUM(K1705:O1705)*VLOOKUP($A1705,HeadJournal!$A$1:$L$890,COLUMN(HeadJournal!H$1),0),0)</f>
        <v>1554.0856847000691</v>
      </c>
      <c r="Q1705" s="29">
        <v>1554.09</v>
      </c>
      <c r="R1705" s="31">
        <v>45059</v>
      </c>
      <c r="S1705" s="31" t="s">
        <v>3121</v>
      </c>
      <c r="T1705" s="95" t="str">
        <f t="shared" si="135"/>
        <v>2023 05</v>
      </c>
      <c r="U1705" s="32">
        <f t="shared" si="132"/>
        <v>4.3152999307949358E-3</v>
      </c>
      <c r="V1705" s="22">
        <f t="shared" si="133"/>
        <v>2.7767451777459539E-6</v>
      </c>
      <c r="X1705" s="33"/>
      <c r="Y1705" s="33"/>
    </row>
    <row r="1706" spans="1:25" x14ac:dyDescent="0.2">
      <c r="A1706" s="93" t="s">
        <v>3512</v>
      </c>
      <c r="B1706" s="94">
        <f>IFERROR(VLOOKUP($A1706,HeadJournal!$A$1:$NTR$890,COLUMN(HeadJournal!B$1),0),"")</f>
        <v>0</v>
      </c>
      <c r="C1706" s="94" t="str">
        <f>IFERROR(VLOOKUP($A1706,HeadJournal!$A$1:$NTR$890,COLUMN(HeadJournal!C$1),0),"")</f>
        <v>Forever</v>
      </c>
      <c r="D1706" s="125" t="str">
        <f>IFERROR(VLOOKUP($A1706,HeadJournal!$A$1:$NTR$890,COLUMN(HeadJournal!D$1),0),"")</f>
        <v>Доставлен</v>
      </c>
      <c r="E1706" s="95">
        <f>IFERROR(VLOOKUP($A1706,HeadJournal!$A$1:$NTR$890,COLUMN(HeadJournal!G$1),0),"")</f>
        <v>45058</v>
      </c>
      <c r="F1706" s="95" t="str">
        <f t="shared" si="134"/>
        <v>2023 05</v>
      </c>
      <c r="G1706" s="96" t="s">
        <v>5</v>
      </c>
      <c r="H1706" s="160" t="str">
        <f>RIGHT(Journal!$J1706,9)</f>
        <v>000000037</v>
      </c>
      <c r="I1706" s="96" t="str">
        <f t="shared" si="136"/>
        <v>Forever</v>
      </c>
      <c r="J1706" s="97" t="s">
        <v>297</v>
      </c>
      <c r="K1706" s="29">
        <v>6716</v>
      </c>
      <c r="L1706" s="29"/>
      <c r="M1706" s="30">
        <f>IFERROR(VLOOKUP($A1706,HeadJournal!$A$1:$J$890,COLUMN(HeadJournal!I$1),0)*($K1706+$L1706)/(SUMIF($A:$A,$A1706,$K:$K)+SUMIF($A:$A,$A1706,$L:$L)),0)</f>
        <v>0</v>
      </c>
      <c r="N1706" s="30">
        <f>IFERROR((VLOOKUP($A1706,HeadJournal!$A$1:$K$890,COLUMN(HeadJournal!K$1),0)-VLOOKUP($A1706,HeadJournal!$A$1:$K$890,COLUMN(HeadJournal!J$1),0))*($K1706+$L1706)/(SUMIF($A:$A,$A1706,$K:$K)+SUMIF($A:$A,$A1706,$L:$L)),0)</f>
        <v>134.32976056389202</v>
      </c>
      <c r="O1706" s="30">
        <f>IFERROR((VLOOKUP($A1706,HeadJournal!$A$1:$L$890,COLUMN(HeadJournal!L$1),0)*($K1706+$L1706)/(SUMIF($A:$A,$A1706,$K:$K)+SUMIF($A:$A,$A1706,$L:$L)))/VLOOKUP($A1706,HeadJournal!$A$1:$L$890,COLUMN(HeadJournal!H$1),0),0)</f>
        <v>152.31707542938076</v>
      </c>
      <c r="P1706" s="30">
        <f>IFERROR(SUM(K1706:O1706)*VLOOKUP($A1706,HeadJournal!$A$1:$L$890,COLUMN(HeadJournal!H$1),0),0)</f>
        <v>1225.6035061584855</v>
      </c>
      <c r="Q1706" s="29">
        <v>2000</v>
      </c>
      <c r="R1706" s="31">
        <v>45325</v>
      </c>
      <c r="S1706" s="31" t="s">
        <v>3121</v>
      </c>
      <c r="T1706" s="95" t="str">
        <f t="shared" si="135"/>
        <v>2024 02</v>
      </c>
      <c r="U1706" s="32">
        <f t="shared" si="132"/>
        <v>774.39649384151448</v>
      </c>
      <c r="V1706" s="22">
        <f t="shared" si="133"/>
        <v>0.63184911755741624</v>
      </c>
      <c r="X1706" s="33"/>
      <c r="Y1706" s="33"/>
    </row>
    <row r="1707" spans="1:25" x14ac:dyDescent="0.2">
      <c r="A1707" s="93" t="s">
        <v>3512</v>
      </c>
      <c r="B1707" s="94">
        <f>IFERROR(VLOOKUP($A1707,HeadJournal!$A$1:$NTR$890,COLUMN(HeadJournal!B$1),0),"")</f>
        <v>0</v>
      </c>
      <c r="C1707" s="94" t="str">
        <f>IFERROR(VLOOKUP($A1707,HeadJournal!$A$1:$NTR$890,COLUMN(HeadJournal!C$1),0),"")</f>
        <v>Forever</v>
      </c>
      <c r="D1707" s="125" t="str">
        <f>IFERROR(VLOOKUP($A1707,HeadJournal!$A$1:$NTR$890,COLUMN(HeadJournal!D$1),0),"")</f>
        <v>Доставлен</v>
      </c>
      <c r="E1707" s="95">
        <f>IFERROR(VLOOKUP($A1707,HeadJournal!$A$1:$NTR$890,COLUMN(HeadJournal!G$1),0),"")</f>
        <v>45058</v>
      </c>
      <c r="F1707" s="95" t="str">
        <f t="shared" si="134"/>
        <v>2023 05</v>
      </c>
      <c r="G1707" s="96" t="s">
        <v>5</v>
      </c>
      <c r="H1707" s="160" t="str">
        <f>RIGHT(Journal!$J1707,9)</f>
        <v>000000037</v>
      </c>
      <c r="I1707" s="96" t="str">
        <f t="shared" si="136"/>
        <v>Forever</v>
      </c>
      <c r="J1707" s="97" t="s">
        <v>297</v>
      </c>
      <c r="K1707" s="29">
        <v>6716</v>
      </c>
      <c r="L1707" s="29"/>
      <c r="M1707" s="30">
        <f>IFERROR(VLOOKUP($A1707,HeadJournal!$A$1:$J$890,COLUMN(HeadJournal!I$1),0)*($K1707+$L1707)/(SUMIF($A:$A,$A1707,$K:$K)+SUMIF($A:$A,$A1707,$L:$L)),0)</f>
        <v>0</v>
      </c>
      <c r="N1707" s="30">
        <f>IFERROR((VLOOKUP($A1707,HeadJournal!$A$1:$K$890,COLUMN(HeadJournal!K$1),0)-VLOOKUP($A1707,HeadJournal!$A$1:$K$890,COLUMN(HeadJournal!J$1),0))*($K1707+$L1707)/(SUMIF($A:$A,$A1707,$K:$K)+SUMIF($A:$A,$A1707,$L:$L)),0)</f>
        <v>134.32976056389202</v>
      </c>
      <c r="O1707" s="30">
        <f>IFERROR((VLOOKUP($A1707,HeadJournal!$A$1:$L$890,COLUMN(HeadJournal!L$1),0)*($K1707+$L1707)/(SUMIF($A:$A,$A1707,$K:$K)+SUMIF($A:$A,$A1707,$L:$L)))/VLOOKUP($A1707,HeadJournal!$A$1:$L$890,COLUMN(HeadJournal!H$1),0),0)</f>
        <v>152.31707542938076</v>
      </c>
      <c r="P1707" s="30">
        <f>IFERROR(SUM(K1707:O1707)*VLOOKUP($A1707,HeadJournal!$A$1:$L$890,COLUMN(HeadJournal!H$1),0),0)</f>
        <v>1225.6035061584855</v>
      </c>
      <c r="Q1707" s="29">
        <v>2000</v>
      </c>
      <c r="R1707" s="31">
        <v>45333</v>
      </c>
      <c r="S1707" s="31" t="s">
        <v>3121</v>
      </c>
      <c r="T1707" s="95" t="str">
        <f t="shared" si="135"/>
        <v>2024 02</v>
      </c>
      <c r="U1707" s="32">
        <f t="shared" si="132"/>
        <v>774.39649384151448</v>
      </c>
      <c r="V1707" s="22">
        <f t="shared" si="133"/>
        <v>0.63184911755741624</v>
      </c>
      <c r="X1707" s="33"/>
      <c r="Y1707" s="33"/>
    </row>
    <row r="1708" spans="1:25" x14ac:dyDescent="0.2">
      <c r="A1708" s="93" t="s">
        <v>3512</v>
      </c>
      <c r="B1708" s="94">
        <f>IFERROR(VLOOKUP($A1708,HeadJournal!$A$1:$NTR$890,COLUMN(HeadJournal!B$1),0),"")</f>
        <v>0</v>
      </c>
      <c r="C1708" s="94" t="str">
        <f>IFERROR(VLOOKUP($A1708,HeadJournal!$A$1:$NTR$890,COLUMN(HeadJournal!C$1),0),"")</f>
        <v>Forever</v>
      </c>
      <c r="D1708" s="125" t="str">
        <f>IFERROR(VLOOKUP($A1708,HeadJournal!$A$1:$NTR$890,COLUMN(HeadJournal!D$1),0),"")</f>
        <v>Доставлен</v>
      </c>
      <c r="E1708" s="95">
        <f>IFERROR(VLOOKUP($A1708,HeadJournal!$A$1:$NTR$890,COLUMN(HeadJournal!G$1),0),"")</f>
        <v>45058</v>
      </c>
      <c r="F1708" s="95" t="str">
        <f t="shared" si="134"/>
        <v>2023 05</v>
      </c>
      <c r="G1708" s="96" t="s">
        <v>7</v>
      </c>
      <c r="H1708" s="160" t="str">
        <f>RIGHT(Journal!$J1708,9)</f>
        <v>000000051</v>
      </c>
      <c r="I1708" s="96" t="str">
        <f t="shared" si="136"/>
        <v>Forever</v>
      </c>
      <c r="J1708" s="97" t="s">
        <v>300</v>
      </c>
      <c r="K1708" s="29">
        <v>7299</v>
      </c>
      <c r="L1708" s="29"/>
      <c r="M1708" s="30">
        <f>IFERROR(VLOOKUP($A1708,HeadJournal!$A$1:$J$890,COLUMN(HeadJournal!I$1),0)*($K1708+$L1708)/(SUMIF($A:$A,$A1708,$K:$K)+SUMIF($A:$A,$A1708,$L:$L)),0)</f>
        <v>0</v>
      </c>
      <c r="N1708" s="30">
        <f>IFERROR((VLOOKUP($A1708,HeadJournal!$A$1:$K$890,COLUMN(HeadJournal!K$1),0)-VLOOKUP($A1708,HeadJournal!$A$1:$K$890,COLUMN(HeadJournal!J$1),0))*($K1708+$L1708)/(SUMIF($A:$A,$A1708,$K:$K)+SUMIF($A:$A,$A1708,$L:$L)),0)</f>
        <v>145.99060785524833</v>
      </c>
      <c r="O1708" s="30">
        <f>IFERROR((VLOOKUP($A1708,HeadJournal!$A$1:$L$890,COLUMN(HeadJournal!L$1),0)*($K1708+$L1708)/(SUMIF($A:$A,$A1708,$K:$K)+SUMIF($A:$A,$A1708,$L:$L)))/VLOOKUP($A1708,HeadJournal!$A$1:$L$890,COLUMN(HeadJournal!H$1),0),0)</f>
        <v>165.5393587788937</v>
      </c>
      <c r="P1708" s="30">
        <f>IFERROR(SUM(K1708:O1708)*VLOOKUP($A1708,HeadJournal!$A$1:$L$890,COLUMN(HeadJournal!H$1),0),0)</f>
        <v>1331.9952339861209</v>
      </c>
      <c r="Q1708" s="29"/>
      <c r="R1708" s="31"/>
      <c r="S1708" s="31"/>
      <c r="T1708" s="95" t="str">
        <f t="shared" si="135"/>
        <v/>
      </c>
      <c r="U1708" s="32">
        <f t="shared" si="132"/>
        <v>-1331.9952339861209</v>
      </c>
      <c r="V1708" s="22" t="str">
        <f t="shared" si="133"/>
        <v/>
      </c>
      <c r="X1708" s="33"/>
      <c r="Y1708" s="33"/>
    </row>
    <row r="1709" spans="1:25" x14ac:dyDescent="0.2">
      <c r="A1709" s="93" t="s">
        <v>3512</v>
      </c>
      <c r="B1709" s="94">
        <f>IFERROR(VLOOKUP($A1709,HeadJournal!$A$1:$NTR$890,COLUMN(HeadJournal!B$1),0),"")</f>
        <v>0</v>
      </c>
      <c r="C1709" s="94" t="str">
        <f>IFERROR(VLOOKUP($A1709,HeadJournal!$A$1:$NTR$890,COLUMN(HeadJournal!C$1),0),"")</f>
        <v>Forever</v>
      </c>
      <c r="D1709" s="125" t="str">
        <f>IFERROR(VLOOKUP($A1709,HeadJournal!$A$1:$NTR$890,COLUMN(HeadJournal!D$1),0),"")</f>
        <v>Доставлен</v>
      </c>
      <c r="E1709" s="95">
        <f>IFERROR(VLOOKUP($A1709,HeadJournal!$A$1:$NTR$890,COLUMN(HeadJournal!G$1),0),"")</f>
        <v>45058</v>
      </c>
      <c r="F1709" s="95" t="str">
        <f t="shared" si="134"/>
        <v>2023 05</v>
      </c>
      <c r="G1709" s="96" t="s">
        <v>7</v>
      </c>
      <c r="H1709" s="160" t="str">
        <f>RIGHT(Journal!$J1709,9)</f>
        <v>000000612</v>
      </c>
      <c r="I1709" s="96" t="str">
        <f t="shared" si="136"/>
        <v>Forever</v>
      </c>
      <c r="J1709" s="97" t="s">
        <v>751</v>
      </c>
      <c r="K1709" s="29">
        <v>4672</v>
      </c>
      <c r="L1709" s="29"/>
      <c r="M1709" s="30">
        <f>IFERROR(VLOOKUP($A1709,HeadJournal!$A$1:$J$890,COLUMN(HeadJournal!I$1),0)*($K1709+$L1709)/(SUMIF($A:$A,$A1709,$K:$K)+SUMIF($A:$A,$A1709,$L:$L)),0)</f>
        <v>0</v>
      </c>
      <c r="N1709" s="30">
        <f>IFERROR((VLOOKUP($A1709,HeadJournal!$A$1:$K$890,COLUMN(HeadJournal!K$1),0)-VLOOKUP($A1709,HeadJournal!$A$1:$K$890,COLUMN(HeadJournal!J$1),0))*($K1709+$L1709)/(SUMIF($A:$A,$A1709,$K:$K)+SUMIF($A:$A,$A1709,$L:$L)),0)</f>
        <v>93.446789957490097</v>
      </c>
      <c r="O1709" s="30">
        <f>IFERROR((VLOOKUP($A1709,HeadJournal!$A$1:$L$890,COLUMN(HeadJournal!L$1),0)*($K1709+$L1709)/(SUMIF($A:$A,$A1709,$K:$K)+SUMIF($A:$A,$A1709,$L:$L)))/VLOOKUP($A1709,HeadJournal!$A$1:$L$890,COLUMN(HeadJournal!H$1),0),0)</f>
        <v>105.95970464652574</v>
      </c>
      <c r="P1709" s="30">
        <f>IFERROR(SUM(K1709:O1709)*VLOOKUP($A1709,HeadJournal!$A$1:$L$890,COLUMN(HeadJournal!H$1),0),0)</f>
        <v>852.59374341459875</v>
      </c>
      <c r="Q1709" s="29">
        <v>852.59</v>
      </c>
      <c r="R1709" s="31">
        <v>45059</v>
      </c>
      <c r="S1709" s="31" t="s">
        <v>3121</v>
      </c>
      <c r="T1709" s="95" t="str">
        <f t="shared" si="135"/>
        <v>2023 05</v>
      </c>
      <c r="U1709" s="32">
        <f t="shared" si="132"/>
        <v>-3.7434145987162992E-3</v>
      </c>
      <c r="V1709" s="22">
        <f t="shared" si="133"/>
        <v>-4.3906193631260952E-6</v>
      </c>
      <c r="X1709" s="33"/>
      <c r="Y1709" s="33"/>
    </row>
    <row r="1710" spans="1:25" x14ac:dyDescent="0.2">
      <c r="A1710" s="93" t="s">
        <v>3512</v>
      </c>
      <c r="B1710" s="94">
        <f>IFERROR(VLOOKUP($A1710,HeadJournal!$A$1:$NTR$890,COLUMN(HeadJournal!B$1),0),"")</f>
        <v>0</v>
      </c>
      <c r="C1710" s="94" t="str">
        <f>IFERROR(VLOOKUP($A1710,HeadJournal!$A$1:$NTR$890,COLUMN(HeadJournal!C$1),0),"")</f>
        <v>Forever</v>
      </c>
      <c r="D1710" s="125" t="str">
        <f>IFERROR(VLOOKUP($A1710,HeadJournal!$A$1:$NTR$890,COLUMN(HeadJournal!D$1),0),"")</f>
        <v>Доставлен</v>
      </c>
      <c r="E1710" s="95">
        <f>IFERROR(VLOOKUP($A1710,HeadJournal!$A$1:$NTR$890,COLUMN(HeadJournal!G$1),0),"")</f>
        <v>45058</v>
      </c>
      <c r="F1710" s="95" t="str">
        <f t="shared" si="134"/>
        <v>2023 05</v>
      </c>
      <c r="G1710" s="96" t="s">
        <v>7</v>
      </c>
      <c r="H1710" s="160" t="str">
        <f>RIGHT(Journal!$J1710,9)</f>
        <v>000000063</v>
      </c>
      <c r="I1710" s="96" t="str">
        <f t="shared" si="136"/>
        <v>Forever</v>
      </c>
      <c r="J1710" s="97" t="s">
        <v>752</v>
      </c>
      <c r="K1710" s="29">
        <v>5495</v>
      </c>
      <c r="L1710" s="29"/>
      <c r="M1710" s="30">
        <f>IFERROR(VLOOKUP($A1710,HeadJournal!$A$1:$J$890,COLUMN(HeadJournal!I$1),0)*($K1710+$L1710)/(SUMIF($A:$A,$A1710,$K:$K)+SUMIF($A:$A,$A1710,$L:$L)),0)</f>
        <v>0</v>
      </c>
      <c r="N1710" s="30">
        <f>IFERROR((VLOOKUP($A1710,HeadJournal!$A$1:$K$890,COLUMN(HeadJournal!K$1),0)-VLOOKUP($A1710,HeadJournal!$A$1:$K$890,COLUMN(HeadJournal!J$1),0))*($K1710+$L1710)/(SUMIF($A:$A,$A1710,$K:$K)+SUMIF($A:$A,$A1710,$L:$L)),0)</f>
        <v>109.90798604803256</v>
      </c>
      <c r="O1710" s="30">
        <f>IFERROR((VLOOKUP($A1710,HeadJournal!$A$1:$L$890,COLUMN(HeadJournal!L$1),0)*($K1710+$L1710)/(SUMIF($A:$A,$A1710,$K:$K)+SUMIF($A:$A,$A1710,$L:$L)))/VLOOKUP($A1710,HeadJournal!$A$1:$L$890,COLUMN(HeadJournal!H$1),0),0)</f>
        <v>124.62512350870269</v>
      </c>
      <c r="P1710" s="30">
        <f>IFERROR(SUM(K1710:O1710)*VLOOKUP($A1710,HeadJournal!$A$1:$L$890,COLUMN(HeadJournal!H$1),0),0)</f>
        <v>1002.7830950477783</v>
      </c>
      <c r="Q1710" s="29">
        <v>1003.78</v>
      </c>
      <c r="R1710" s="31">
        <v>45059</v>
      </c>
      <c r="S1710" s="31" t="s">
        <v>3121</v>
      </c>
      <c r="T1710" s="95" t="str">
        <f t="shared" si="135"/>
        <v>2023 05</v>
      </c>
      <c r="U1710" s="32">
        <f t="shared" si="132"/>
        <v>0.99690495222171194</v>
      </c>
      <c r="V1710" s="22">
        <f t="shared" si="133"/>
        <v>9.9413817120063601E-4</v>
      </c>
      <c r="X1710" s="33"/>
      <c r="Y1710" s="33"/>
    </row>
    <row r="1711" spans="1:25" x14ac:dyDescent="0.2">
      <c r="A1711" s="93" t="s">
        <v>3512</v>
      </c>
      <c r="B1711" s="94">
        <f>IFERROR(VLOOKUP($A1711,HeadJournal!$A$1:$NTR$890,COLUMN(HeadJournal!B$1),0),"")</f>
        <v>0</v>
      </c>
      <c r="C1711" s="94" t="str">
        <f>IFERROR(VLOOKUP($A1711,HeadJournal!$A$1:$NTR$890,COLUMN(HeadJournal!C$1),0),"")</f>
        <v>Forever</v>
      </c>
      <c r="D1711" s="125" t="str">
        <f>IFERROR(VLOOKUP($A1711,HeadJournal!$A$1:$NTR$890,COLUMN(HeadJournal!D$1),0),"")</f>
        <v>Доставлен</v>
      </c>
      <c r="E1711" s="95">
        <f>IFERROR(VLOOKUP($A1711,HeadJournal!$A$1:$NTR$890,COLUMN(HeadJournal!G$1),0),"")</f>
        <v>45058</v>
      </c>
      <c r="F1711" s="95" t="str">
        <f t="shared" si="134"/>
        <v>2023 05</v>
      </c>
      <c r="G1711" s="96" t="s">
        <v>7</v>
      </c>
      <c r="H1711" s="160" t="str">
        <f>RIGHT(Journal!$J1711,9)</f>
        <v>000000640</v>
      </c>
      <c r="I1711" s="96" t="str">
        <f t="shared" si="136"/>
        <v>Forever</v>
      </c>
      <c r="J1711" s="97" t="s">
        <v>472</v>
      </c>
      <c r="K1711" s="29">
        <v>7648</v>
      </c>
      <c r="L1711" s="29"/>
      <c r="M1711" s="30">
        <f>IFERROR(VLOOKUP($A1711,HeadJournal!$A$1:$J$890,COLUMN(HeadJournal!I$1),0)*($K1711+$L1711)/(SUMIF($A:$A,$A1711,$K:$K)+SUMIF($A:$A,$A1711,$L:$L)),0)</f>
        <v>0</v>
      </c>
      <c r="N1711" s="30">
        <f>IFERROR((VLOOKUP($A1711,HeadJournal!$A$1:$K$890,COLUMN(HeadJournal!K$1),0)-VLOOKUP($A1711,HeadJournal!$A$1:$K$890,COLUMN(HeadJournal!J$1),0))*($K1711+$L1711)/(SUMIF($A:$A,$A1711,$K:$K)+SUMIF($A:$A,$A1711,$L:$L)),0)</f>
        <v>152.97111506739819</v>
      </c>
      <c r="O1711" s="30">
        <f>IFERROR((VLOOKUP($A1711,HeadJournal!$A$1:$L$890,COLUMN(HeadJournal!L$1),0)*($K1711+$L1711)/(SUMIF($A:$A,$A1711,$K:$K)+SUMIF($A:$A,$A1711,$L:$L)))/VLOOKUP($A1711,HeadJournal!$A$1:$L$890,COLUMN(HeadJournal!H$1),0),0)</f>
        <v>173.45458500355929</v>
      </c>
      <c r="P1711" s="30">
        <f>IFERROR(SUM(K1711:O1711)*VLOOKUP($A1711,HeadJournal!$A$1:$L$890,COLUMN(HeadJournal!H$1),0),0)</f>
        <v>1395.6842786033501</v>
      </c>
      <c r="Q1711" s="29">
        <v>1395.68</v>
      </c>
      <c r="R1711" s="31">
        <v>45059</v>
      </c>
      <c r="S1711" s="31" t="s">
        <v>3121</v>
      </c>
      <c r="T1711" s="95" t="str">
        <f t="shared" si="135"/>
        <v>2023 05</v>
      </c>
      <c r="U1711" s="32">
        <f t="shared" si="132"/>
        <v>-4.2786033500306075E-3</v>
      </c>
      <c r="V1711" s="22">
        <f t="shared" si="133"/>
        <v>-3.0655954327379621E-6</v>
      </c>
      <c r="X1711" s="33"/>
      <c r="Y1711" s="33"/>
    </row>
    <row r="1712" spans="1:25" x14ac:dyDescent="0.2">
      <c r="A1712" s="93" t="s">
        <v>3512</v>
      </c>
      <c r="B1712" s="94">
        <f>IFERROR(VLOOKUP($A1712,HeadJournal!$A$1:$NTR$890,COLUMN(HeadJournal!B$1),0),"")</f>
        <v>0</v>
      </c>
      <c r="C1712" s="94" t="str">
        <f>IFERROR(VLOOKUP($A1712,HeadJournal!$A$1:$NTR$890,COLUMN(HeadJournal!C$1),0),"")</f>
        <v>Forever</v>
      </c>
      <c r="D1712" s="125" t="str">
        <f>IFERROR(VLOOKUP($A1712,HeadJournal!$A$1:$NTR$890,COLUMN(HeadJournal!D$1),0),"")</f>
        <v>Доставлен</v>
      </c>
      <c r="E1712" s="95">
        <f>IFERROR(VLOOKUP($A1712,HeadJournal!$A$1:$NTR$890,COLUMN(HeadJournal!G$1),0),"")</f>
        <v>45058</v>
      </c>
      <c r="F1712" s="95" t="str">
        <f t="shared" si="134"/>
        <v>2023 05</v>
      </c>
      <c r="G1712" s="96" t="s">
        <v>7</v>
      </c>
      <c r="H1712" s="160" t="str">
        <f>RIGHT(Journal!$J1712,9)</f>
        <v>000000067</v>
      </c>
      <c r="I1712" s="96" t="str">
        <f t="shared" si="136"/>
        <v>Forever</v>
      </c>
      <c r="J1712" s="97" t="s">
        <v>303</v>
      </c>
      <c r="K1712" s="29">
        <v>2645</v>
      </c>
      <c r="L1712" s="29"/>
      <c r="M1712" s="30">
        <f>IFERROR(VLOOKUP($A1712,HeadJournal!$A$1:$J$890,COLUMN(HeadJournal!I$1),0)*($K1712+$L1712)/(SUMIF($A:$A,$A1712,$K:$K)+SUMIF($A:$A,$A1712,$L:$L)),0)</f>
        <v>0</v>
      </c>
      <c r="N1712" s="30">
        <f>IFERROR((VLOOKUP($A1712,HeadJournal!$A$1:$K$890,COLUMN(HeadJournal!K$1),0)-VLOOKUP($A1712,HeadJournal!$A$1:$K$890,COLUMN(HeadJournal!J$1),0))*($K1712+$L1712)/(SUMIF($A:$A,$A1712,$K:$K)+SUMIF($A:$A,$A1712,$L:$L)),0)</f>
        <v>52.903844057697199</v>
      </c>
      <c r="O1712" s="30">
        <f>IFERROR((VLOOKUP($A1712,HeadJournal!$A$1:$L$890,COLUMN(HeadJournal!L$1),0)*($K1712+$L1712)/(SUMIF($A:$A,$A1712,$K:$K)+SUMIF($A:$A,$A1712,$L:$L)))/VLOOKUP($A1712,HeadJournal!$A$1:$L$890,COLUMN(HeadJournal!H$1),0),0)</f>
        <v>59.987889295817766</v>
      </c>
      <c r="P1712" s="30">
        <f>IFERROR(SUM(K1712:O1712)*VLOOKUP($A1712,HeadJournal!$A$1:$L$890,COLUMN(HeadJournal!H$1),0),0)</f>
        <v>482.68631235693789</v>
      </c>
      <c r="Q1712" s="29">
        <v>700</v>
      </c>
      <c r="R1712" s="31">
        <v>45098</v>
      </c>
      <c r="S1712" s="31" t="s">
        <v>3121</v>
      </c>
      <c r="T1712" s="95" t="str">
        <f t="shared" si="135"/>
        <v>2023 06</v>
      </c>
      <c r="U1712" s="32">
        <f t="shared" si="132"/>
        <v>217.31368764306211</v>
      </c>
      <c r="V1712" s="22">
        <f t="shared" si="133"/>
        <v>0.45021721577711227</v>
      </c>
      <c r="X1712" s="33"/>
      <c r="Y1712" s="33"/>
    </row>
    <row r="1713" spans="1:25" x14ac:dyDescent="0.2">
      <c r="A1713" s="93" t="s">
        <v>3512</v>
      </c>
      <c r="B1713" s="94">
        <f>IFERROR(VLOOKUP($A1713,HeadJournal!$A$1:$NTR$890,COLUMN(HeadJournal!B$1),0),"")</f>
        <v>0</v>
      </c>
      <c r="C1713" s="94" t="str">
        <f>IFERROR(VLOOKUP($A1713,HeadJournal!$A$1:$NTR$890,COLUMN(HeadJournal!C$1),0),"")</f>
        <v>Forever</v>
      </c>
      <c r="D1713" s="125" t="str">
        <f>IFERROR(VLOOKUP($A1713,HeadJournal!$A$1:$NTR$890,COLUMN(HeadJournal!D$1),0),"")</f>
        <v>Доставлен</v>
      </c>
      <c r="E1713" s="95">
        <f>IFERROR(VLOOKUP($A1713,HeadJournal!$A$1:$NTR$890,COLUMN(HeadJournal!G$1),0),"")</f>
        <v>45058</v>
      </c>
      <c r="F1713" s="95" t="str">
        <f t="shared" si="134"/>
        <v>2023 05</v>
      </c>
      <c r="G1713" s="96" t="s">
        <v>7</v>
      </c>
      <c r="H1713" s="160" t="str">
        <f>RIGHT(Journal!$J1713,9)</f>
        <v>000000067</v>
      </c>
      <c r="I1713" s="96" t="str">
        <f t="shared" si="136"/>
        <v>Forever</v>
      </c>
      <c r="J1713" s="97" t="s">
        <v>303</v>
      </c>
      <c r="K1713" s="29">
        <v>2645</v>
      </c>
      <c r="L1713" s="29"/>
      <c r="M1713" s="30">
        <f>IFERROR(VLOOKUP($A1713,HeadJournal!$A$1:$J$890,COLUMN(HeadJournal!I$1),0)*($K1713+$L1713)/(SUMIF($A:$A,$A1713,$K:$K)+SUMIF($A:$A,$A1713,$L:$L)),0)</f>
        <v>0</v>
      </c>
      <c r="N1713" s="30">
        <f>IFERROR((VLOOKUP($A1713,HeadJournal!$A$1:$K$890,COLUMN(HeadJournal!K$1),0)-VLOOKUP($A1713,HeadJournal!$A$1:$K$890,COLUMN(HeadJournal!J$1),0))*($K1713+$L1713)/(SUMIF($A:$A,$A1713,$K:$K)+SUMIF($A:$A,$A1713,$L:$L)),0)</f>
        <v>52.903844057697199</v>
      </c>
      <c r="O1713" s="30">
        <f>IFERROR((VLOOKUP($A1713,HeadJournal!$A$1:$L$890,COLUMN(HeadJournal!L$1),0)*($K1713+$L1713)/(SUMIF($A:$A,$A1713,$K:$K)+SUMIF($A:$A,$A1713,$L:$L)))/VLOOKUP($A1713,HeadJournal!$A$1:$L$890,COLUMN(HeadJournal!H$1),0),0)</f>
        <v>59.987889295817766</v>
      </c>
      <c r="P1713" s="30">
        <f>IFERROR(SUM(K1713:O1713)*VLOOKUP($A1713,HeadJournal!$A$1:$L$890,COLUMN(HeadJournal!H$1),0),0)</f>
        <v>482.68631235693789</v>
      </c>
      <c r="Q1713" s="29">
        <v>800</v>
      </c>
      <c r="R1713" s="31">
        <v>45195</v>
      </c>
      <c r="S1713" s="31" t="s">
        <v>3121</v>
      </c>
      <c r="T1713" s="95" t="str">
        <f t="shared" si="135"/>
        <v>2023 09</v>
      </c>
      <c r="U1713" s="32">
        <f t="shared" si="132"/>
        <v>317.31368764306211</v>
      </c>
      <c r="V1713" s="22">
        <f t="shared" si="133"/>
        <v>0.6573911037452711</v>
      </c>
      <c r="X1713" s="33"/>
      <c r="Y1713" s="33"/>
    </row>
    <row r="1714" spans="1:25" x14ac:dyDescent="0.2">
      <c r="A1714" s="93" t="s">
        <v>753</v>
      </c>
      <c r="B1714" s="94">
        <f>IFERROR(VLOOKUP($A1714,HeadJournal!$A$1:$NTR$890,COLUMN(HeadJournal!B$1),0),"")</f>
        <v>0</v>
      </c>
      <c r="C1714" s="94" t="str">
        <f>IFERROR(VLOOKUP($A1714,HeadJournal!$A$1:$NTR$890,COLUMN(HeadJournal!C$1),0),"")</f>
        <v>OZON_AV</v>
      </c>
      <c r="D1714" s="125" t="str">
        <f>IFERROR(VLOOKUP($A1714,HeadJournal!$A$1:$NTR$890,COLUMN(HeadJournal!D$1),0),"")</f>
        <v>Доставлен</v>
      </c>
      <c r="E1714" s="95">
        <f>IFERROR(VLOOKUP($A1714,HeadJournal!$A$1:$NTR$890,COLUMN(HeadJournal!G$1),0),"")</f>
        <v>45077</v>
      </c>
      <c r="F1714" s="95" t="str">
        <f t="shared" si="134"/>
        <v>2023 05</v>
      </c>
      <c r="G1714" s="96" t="s">
        <v>6</v>
      </c>
      <c r="H1714" s="160" t="str">
        <f>RIGHT(Journal!$J1714,9)</f>
        <v>909837585</v>
      </c>
      <c r="I1714" s="96" t="str">
        <f t="shared" si="136"/>
        <v>Black Panther</v>
      </c>
      <c r="J1714" s="97" t="s">
        <v>754</v>
      </c>
      <c r="K1714" s="29">
        <v>757.5</v>
      </c>
      <c r="L1714" s="29"/>
      <c r="M1714" s="30">
        <f>IFERROR(VLOOKUP($A1714,HeadJournal!$A$1:$J$890,COLUMN(HeadJournal!I$1),0)*($K1714+$L1714)/(SUMIF($A:$A,$A1714,$K:$K)+SUMIF($A:$A,$A1714,$L:$L)),0)</f>
        <v>0</v>
      </c>
      <c r="N1714" s="30">
        <f>IFERROR((VLOOKUP($A1714,HeadJournal!$A$1:$K$890,COLUMN(HeadJournal!K$1),0)-VLOOKUP($A1714,HeadJournal!$A$1:$K$890,COLUMN(HeadJournal!J$1),0))*($K1714+$L1714)/(SUMIF($A:$A,$A1714,$K:$K)+SUMIF($A:$A,$A1714,$L:$L)),0)</f>
        <v>0</v>
      </c>
      <c r="O1714" s="30">
        <f>IFERROR((VLOOKUP($A1714,HeadJournal!$A$1:$L$890,COLUMN(HeadJournal!L$1),0)*($K1714+$L1714)/(SUMIF($A:$A,$A1714,$K:$K)+SUMIF($A:$A,$A1714,$L:$L)))/VLOOKUP($A1714,HeadJournal!$A$1:$L$890,COLUMN(HeadJournal!H$1),0),0)</f>
        <v>75.75</v>
      </c>
      <c r="P1714" s="30">
        <f>IFERROR(SUM(K1714:O1714)*VLOOKUP($A1714,HeadJournal!$A$1:$L$890,COLUMN(HeadJournal!H$1),0),0)</f>
        <v>833.25</v>
      </c>
      <c r="Q1714" s="29">
        <v>2600</v>
      </c>
      <c r="R1714" s="31">
        <v>45110</v>
      </c>
      <c r="S1714" s="31" t="s">
        <v>3121</v>
      </c>
      <c r="T1714" s="95" t="str">
        <f t="shared" si="135"/>
        <v>2023 07</v>
      </c>
      <c r="U1714" s="32">
        <f t="shared" si="132"/>
        <v>1766.75</v>
      </c>
      <c r="V1714" s="22">
        <f t="shared" si="133"/>
        <v>2.1203120312031203</v>
      </c>
      <c r="X1714" s="33"/>
      <c r="Y1714" s="33"/>
    </row>
    <row r="1715" spans="1:25" x14ac:dyDescent="0.2">
      <c r="A1715" s="93" t="s">
        <v>753</v>
      </c>
      <c r="B1715" s="94">
        <f>IFERROR(VLOOKUP($A1715,HeadJournal!$A$1:$NTR$890,COLUMN(HeadJournal!B$1),0),"")</f>
        <v>0</v>
      </c>
      <c r="C1715" s="94" t="str">
        <f>IFERROR(VLOOKUP($A1715,HeadJournal!$A$1:$NTR$890,COLUMN(HeadJournal!C$1),0),"")</f>
        <v>OZON_AV</v>
      </c>
      <c r="D1715" s="125" t="str">
        <f>IFERROR(VLOOKUP($A1715,HeadJournal!$A$1:$NTR$890,COLUMN(HeadJournal!D$1),0),"")</f>
        <v>Доставлен</v>
      </c>
      <c r="E1715" s="95">
        <f>IFERROR(VLOOKUP($A1715,HeadJournal!$A$1:$NTR$890,COLUMN(HeadJournal!G$1),0),"")</f>
        <v>45077</v>
      </c>
      <c r="F1715" s="95" t="str">
        <f t="shared" si="134"/>
        <v>2023 05</v>
      </c>
      <c r="G1715" s="96" t="s">
        <v>6</v>
      </c>
      <c r="H1715" s="160" t="str">
        <f>RIGHT(Journal!$J1715,9)</f>
        <v>909837585</v>
      </c>
      <c r="I1715" s="96" t="str">
        <f t="shared" si="136"/>
        <v>Black Panther</v>
      </c>
      <c r="J1715" s="97" t="s">
        <v>754</v>
      </c>
      <c r="K1715" s="29">
        <v>757.5</v>
      </c>
      <c r="L1715" s="29"/>
      <c r="M1715" s="30">
        <f>IFERROR(VLOOKUP($A1715,HeadJournal!$A$1:$J$890,COLUMN(HeadJournal!I$1),0)*($K1715+$L1715)/(SUMIF($A:$A,$A1715,$K:$K)+SUMIF($A:$A,$A1715,$L:$L)),0)</f>
        <v>0</v>
      </c>
      <c r="N1715" s="30">
        <f>IFERROR((VLOOKUP($A1715,HeadJournal!$A$1:$K$890,COLUMN(HeadJournal!K$1),0)-VLOOKUP($A1715,HeadJournal!$A$1:$K$890,COLUMN(HeadJournal!J$1),0))*($K1715+$L1715)/(SUMIF($A:$A,$A1715,$K:$K)+SUMIF($A:$A,$A1715,$L:$L)),0)</f>
        <v>0</v>
      </c>
      <c r="O1715" s="30">
        <f>IFERROR((VLOOKUP($A1715,HeadJournal!$A$1:$L$890,COLUMN(HeadJournal!L$1),0)*($K1715+$L1715)/(SUMIF($A:$A,$A1715,$K:$K)+SUMIF($A:$A,$A1715,$L:$L)))/VLOOKUP($A1715,HeadJournal!$A$1:$L$890,COLUMN(HeadJournal!H$1),0),0)</f>
        <v>75.75</v>
      </c>
      <c r="P1715" s="30">
        <f>IFERROR(SUM(K1715:O1715)*VLOOKUP($A1715,HeadJournal!$A$1:$L$890,COLUMN(HeadJournal!H$1),0),0)</f>
        <v>833.25</v>
      </c>
      <c r="Q1715" s="29">
        <v>2500</v>
      </c>
      <c r="R1715" s="31">
        <v>45118</v>
      </c>
      <c r="S1715" s="31" t="s">
        <v>3121</v>
      </c>
      <c r="T1715" s="95" t="str">
        <f t="shared" si="135"/>
        <v>2023 07</v>
      </c>
      <c r="U1715" s="32">
        <f t="shared" si="132"/>
        <v>1666.75</v>
      </c>
      <c r="V1715" s="22">
        <f t="shared" si="133"/>
        <v>2.0003000300030003</v>
      </c>
      <c r="X1715" s="33"/>
      <c r="Y1715" s="33"/>
    </row>
    <row r="1716" spans="1:25" x14ac:dyDescent="0.2">
      <c r="A1716" s="93" t="s">
        <v>755</v>
      </c>
      <c r="B1716" s="94">
        <f>IFERROR(VLOOKUP($A1716,HeadJournal!$A$1:$NTR$890,COLUMN(HeadJournal!B$1),0),"")</f>
        <v>0</v>
      </c>
      <c r="C1716" s="94" t="str">
        <f>IFERROR(VLOOKUP($A1716,HeadJournal!$A$1:$NTR$890,COLUMN(HeadJournal!C$1),0),"")</f>
        <v>OZON_AV</v>
      </c>
      <c r="D1716" s="125" t="str">
        <f>IFERROR(VLOOKUP($A1716,HeadJournal!$A$1:$NTR$890,COLUMN(HeadJournal!D$1),0),"")</f>
        <v>Доставлен</v>
      </c>
      <c r="E1716" s="95">
        <f>IFERROR(VLOOKUP($A1716,HeadJournal!$A$1:$NTR$890,COLUMN(HeadJournal!G$1),0),"")</f>
        <v>45079</v>
      </c>
      <c r="F1716" s="95" t="str">
        <f t="shared" si="134"/>
        <v>2023 06</v>
      </c>
      <c r="G1716" s="96" t="s">
        <v>6</v>
      </c>
      <c r="H1716" s="160" t="str">
        <f>RIGHT(Journal!$J1716,9)</f>
        <v>897817701</v>
      </c>
      <c r="I1716" s="96" t="str">
        <f t="shared" si="136"/>
        <v>Bio Produkt</v>
      </c>
      <c r="J1716" s="97" t="s">
        <v>3600</v>
      </c>
      <c r="K1716" s="29">
        <v>2156</v>
      </c>
      <c r="L1716" s="29"/>
      <c r="M1716" s="30">
        <f>IFERROR(VLOOKUP($A1716,HeadJournal!$A$1:$J$890,COLUMN(HeadJournal!I$1),0)*($K1716+$L1716)/(SUMIF($A:$A,$A1716,$K:$K)+SUMIF($A:$A,$A1716,$L:$L)),0)</f>
        <v>0</v>
      </c>
      <c r="N1716" s="30">
        <f>IFERROR((VLOOKUP($A1716,HeadJournal!$A$1:$K$890,COLUMN(HeadJournal!K$1),0)-VLOOKUP($A1716,HeadJournal!$A$1:$K$890,COLUMN(HeadJournal!J$1),0))*($K1716+$L1716)/(SUMIF($A:$A,$A1716,$K:$K)+SUMIF($A:$A,$A1716,$L:$L)),0)</f>
        <v>0</v>
      </c>
      <c r="O1716" s="30">
        <f>IFERROR((VLOOKUP($A1716,HeadJournal!$A$1:$L$890,COLUMN(HeadJournal!L$1),0)*($K1716+$L1716)/(SUMIF($A:$A,$A1716,$K:$K)+SUMIF($A:$A,$A1716,$L:$L)))/VLOOKUP($A1716,HeadJournal!$A$1:$L$890,COLUMN(HeadJournal!H$1),0),0)</f>
        <v>215.60000000000002</v>
      </c>
      <c r="P1716" s="30">
        <f>IFERROR(SUM(K1716:O1716)*VLOOKUP($A1716,HeadJournal!$A$1:$L$890,COLUMN(HeadJournal!H$1),0),0)</f>
        <v>2371.6</v>
      </c>
      <c r="Q1716" s="29">
        <v>3000</v>
      </c>
      <c r="R1716" s="31">
        <v>45089</v>
      </c>
      <c r="S1716" s="31" t="s">
        <v>3121</v>
      </c>
      <c r="T1716" s="95" t="str">
        <f t="shared" si="135"/>
        <v>2023 06</v>
      </c>
      <c r="U1716" s="32">
        <f t="shared" si="132"/>
        <v>628.40000000000009</v>
      </c>
      <c r="V1716" s="22">
        <f t="shared" si="133"/>
        <v>0.26496879743632995</v>
      </c>
      <c r="X1716" s="33"/>
      <c r="Y1716" s="33"/>
    </row>
    <row r="1717" spans="1:25" x14ac:dyDescent="0.2">
      <c r="A1717" s="93" t="s">
        <v>756</v>
      </c>
      <c r="B1717" s="94">
        <f>IFERROR(VLOOKUP($A1717,HeadJournal!$A$1:$NTR$890,COLUMN(HeadJournal!B$1),0),"")</f>
        <v>0</v>
      </c>
      <c r="C1717" s="94" t="str">
        <f>IFERROR(VLOOKUP($A1717,HeadJournal!$A$1:$NTR$890,COLUMN(HeadJournal!C$1),0),"")</f>
        <v>NSP</v>
      </c>
      <c r="D1717" s="125" t="str">
        <f>IFERROR(VLOOKUP($A1717,HeadJournal!$A$1:$NTR$890,COLUMN(HeadJournal!D$1),0),"")</f>
        <v>Доставлен</v>
      </c>
      <c r="E1717" s="95">
        <f>IFERROR(VLOOKUP($A1717,HeadJournal!$A$1:$NTR$890,COLUMN(HeadJournal!G$1),0),"")</f>
        <v>45072</v>
      </c>
      <c r="F1717" s="95" t="str">
        <f t="shared" si="134"/>
        <v>2023 05</v>
      </c>
      <c r="G1717" s="96" t="s">
        <v>5</v>
      </c>
      <c r="H1717" s="160" t="str">
        <f>RIGHT(Journal!$J1717,9)</f>
        <v>000001580</v>
      </c>
      <c r="I1717" s="96" t="str">
        <f t="shared" si="136"/>
        <v>NSP</v>
      </c>
      <c r="J1717" s="97" t="s">
        <v>757</v>
      </c>
      <c r="K1717" s="29">
        <v>2060.0250000000001</v>
      </c>
      <c r="L1717" s="29"/>
      <c r="M1717" s="30">
        <f>IFERROR(VLOOKUP($A1717,HeadJournal!$A$1:$J$890,COLUMN(HeadJournal!I$1),0)*($K1717+$L1717)/(SUMIF($A:$A,$A1717,$K:$K)+SUMIF($A:$A,$A1717,$L:$L)),0)</f>
        <v>61.809358207988957</v>
      </c>
      <c r="N1717" s="30">
        <f>IFERROR((VLOOKUP($A1717,HeadJournal!$A$1:$K$890,COLUMN(HeadJournal!K$1),0)-VLOOKUP($A1717,HeadJournal!$A$1:$K$890,COLUMN(HeadJournal!J$1),0))*($K1717+$L1717)/(SUMIF($A:$A,$A1717,$K:$K)+SUMIF($A:$A,$A1717,$L:$L)),0)</f>
        <v>0</v>
      </c>
      <c r="O1717" s="30">
        <f>IFERROR((VLOOKUP($A1717,HeadJournal!$A$1:$L$890,COLUMN(HeadJournal!L$1),0)*($K1717+$L1717)/(SUMIF($A:$A,$A1717,$K:$K)+SUMIF($A:$A,$A1717,$L:$L)))/VLOOKUP($A1717,HeadJournal!$A$1:$L$890,COLUMN(HeadJournal!H$1),0),0)</f>
        <v>80.828244027708848</v>
      </c>
      <c r="P1717" s="30">
        <f>IFERROR(SUM(K1717:O1717)*VLOOKUP($A1717,HeadJournal!$A$1:$L$890,COLUMN(HeadJournal!H$1),0),0)</f>
        <v>2202.6626022356982</v>
      </c>
      <c r="Q1717" s="29">
        <v>2800</v>
      </c>
      <c r="R1717" s="31">
        <v>45090</v>
      </c>
      <c r="S1717" s="31" t="s">
        <v>3121</v>
      </c>
      <c r="T1717" s="95" t="str">
        <f t="shared" si="135"/>
        <v>2023 06</v>
      </c>
      <c r="U1717" s="32">
        <f t="shared" si="132"/>
        <v>597.33739776430184</v>
      </c>
      <c r="V1717" s="22">
        <f t="shared" si="133"/>
        <v>0.27118878631616372</v>
      </c>
      <c r="X1717" s="33"/>
      <c r="Y1717" s="33"/>
    </row>
    <row r="1718" spans="1:25" x14ac:dyDescent="0.2">
      <c r="A1718" s="93" t="s">
        <v>756</v>
      </c>
      <c r="B1718" s="94">
        <f>IFERROR(VLOOKUP($A1718,HeadJournal!$A$1:$NTR$890,COLUMN(HeadJournal!B$1),0),"")</f>
        <v>0</v>
      </c>
      <c r="C1718" s="94" t="str">
        <f>IFERROR(VLOOKUP($A1718,HeadJournal!$A$1:$NTR$890,COLUMN(HeadJournal!C$1),0),"")</f>
        <v>NSP</v>
      </c>
      <c r="D1718" s="125" t="str">
        <f>IFERROR(VLOOKUP($A1718,HeadJournal!$A$1:$NTR$890,COLUMN(HeadJournal!D$1),0),"")</f>
        <v>Доставлен</v>
      </c>
      <c r="E1718" s="95">
        <f>IFERROR(VLOOKUP($A1718,HeadJournal!$A$1:$NTR$890,COLUMN(HeadJournal!G$1),0),"")</f>
        <v>45072</v>
      </c>
      <c r="F1718" s="95" t="str">
        <f t="shared" si="134"/>
        <v>2023 05</v>
      </c>
      <c r="G1718" s="96" t="s">
        <v>5</v>
      </c>
      <c r="H1718" s="160" t="str">
        <f>RIGHT(Journal!$J1718,9)</f>
        <v>000001580</v>
      </c>
      <c r="I1718" s="96" t="str">
        <f t="shared" si="136"/>
        <v>NSP</v>
      </c>
      <c r="J1718" s="97" t="s">
        <v>757</v>
      </c>
      <c r="K1718" s="29">
        <v>2060.0250000000001</v>
      </c>
      <c r="L1718" s="29"/>
      <c r="M1718" s="30">
        <f>IFERROR(VLOOKUP($A1718,HeadJournal!$A$1:$J$890,COLUMN(HeadJournal!I$1),0)*($K1718+$L1718)/(SUMIF($A:$A,$A1718,$K:$K)+SUMIF($A:$A,$A1718,$L:$L)),0)</f>
        <v>61.809358207988957</v>
      </c>
      <c r="N1718" s="30">
        <f>IFERROR((VLOOKUP($A1718,HeadJournal!$A$1:$K$890,COLUMN(HeadJournal!K$1),0)-VLOOKUP($A1718,HeadJournal!$A$1:$K$890,COLUMN(HeadJournal!J$1),0))*($K1718+$L1718)/(SUMIF($A:$A,$A1718,$K:$K)+SUMIF($A:$A,$A1718,$L:$L)),0)</f>
        <v>0</v>
      </c>
      <c r="O1718" s="30">
        <f>IFERROR((VLOOKUP($A1718,HeadJournal!$A$1:$L$890,COLUMN(HeadJournal!L$1),0)*($K1718+$L1718)/(SUMIF($A:$A,$A1718,$K:$K)+SUMIF($A:$A,$A1718,$L:$L)))/VLOOKUP($A1718,HeadJournal!$A$1:$L$890,COLUMN(HeadJournal!H$1),0),0)</f>
        <v>80.828244027708848</v>
      </c>
      <c r="P1718" s="30">
        <f>IFERROR(SUM(K1718:O1718)*VLOOKUP($A1718,HeadJournal!$A$1:$L$890,COLUMN(HeadJournal!H$1),0),0)</f>
        <v>2202.6626022356982</v>
      </c>
      <c r="Q1718" s="29">
        <v>3550</v>
      </c>
      <c r="R1718" s="31">
        <v>45119</v>
      </c>
      <c r="S1718" s="31" t="s">
        <v>3121</v>
      </c>
      <c r="T1718" s="95" t="str">
        <f t="shared" si="135"/>
        <v>2023 07</v>
      </c>
      <c r="U1718" s="32">
        <f t="shared" si="132"/>
        <v>1347.3373977643018</v>
      </c>
      <c r="V1718" s="22">
        <f t="shared" si="133"/>
        <v>0.61168578265085038</v>
      </c>
      <c r="X1718" s="33"/>
      <c r="Y1718" s="33"/>
    </row>
    <row r="1719" spans="1:25" x14ac:dyDescent="0.2">
      <c r="A1719" s="93" t="s">
        <v>756</v>
      </c>
      <c r="B1719" s="94">
        <f>IFERROR(VLOOKUP($A1719,HeadJournal!$A$1:$NTR$890,COLUMN(HeadJournal!B$1),0),"")</f>
        <v>0</v>
      </c>
      <c r="C1719" s="94" t="str">
        <f>IFERROR(VLOOKUP($A1719,HeadJournal!$A$1:$NTR$890,COLUMN(HeadJournal!C$1),0),"")</f>
        <v>NSP</v>
      </c>
      <c r="D1719" s="125" t="str">
        <f>IFERROR(VLOOKUP($A1719,HeadJournal!$A$1:$NTR$890,COLUMN(HeadJournal!D$1),0),"")</f>
        <v>Доставлен</v>
      </c>
      <c r="E1719" s="95">
        <f>IFERROR(VLOOKUP($A1719,HeadJournal!$A$1:$NTR$890,COLUMN(HeadJournal!G$1),0),"")</f>
        <v>45072</v>
      </c>
      <c r="F1719" s="95" t="str">
        <f t="shared" si="134"/>
        <v>2023 05</v>
      </c>
      <c r="G1719" s="96" t="s">
        <v>5</v>
      </c>
      <c r="H1719" s="160" t="str">
        <f>RIGHT(Journal!$J1719,9)</f>
        <v>000000090</v>
      </c>
      <c r="I1719" s="96" t="str">
        <f t="shared" si="136"/>
        <v>NSP</v>
      </c>
      <c r="J1719" s="97" t="s">
        <v>758</v>
      </c>
      <c r="K1719" s="29">
        <v>977.24</v>
      </c>
      <c r="L1719" s="29"/>
      <c r="M1719" s="30">
        <f>IFERROR(VLOOKUP($A1719,HeadJournal!$A$1:$J$890,COLUMN(HeadJournal!I$1),0)*($K1719+$L1719)/(SUMIF($A:$A,$A1719,$K:$K)+SUMIF($A:$A,$A1719,$L:$L)),0)</f>
        <v>29.321283584022098</v>
      </c>
      <c r="N1719" s="30">
        <f>IFERROR((VLOOKUP($A1719,HeadJournal!$A$1:$K$890,COLUMN(HeadJournal!K$1),0)-VLOOKUP($A1719,HeadJournal!$A$1:$K$890,COLUMN(HeadJournal!J$1),0))*($K1719+$L1719)/(SUMIF($A:$A,$A1719,$K:$K)+SUMIF($A:$A,$A1719,$L:$L)),0)</f>
        <v>0</v>
      </c>
      <c r="O1719" s="30">
        <f>IFERROR((VLOOKUP($A1719,HeadJournal!$A$1:$L$890,COLUMN(HeadJournal!L$1),0)*($K1719+$L1719)/(SUMIF($A:$A,$A1719,$K:$K)+SUMIF($A:$A,$A1719,$L:$L)))/VLOOKUP($A1719,HeadJournal!$A$1:$L$890,COLUMN(HeadJournal!H$1),0),0)</f>
        <v>38.343511944582318</v>
      </c>
      <c r="P1719" s="30">
        <f>IFERROR(SUM(K1719:O1719)*VLOOKUP($A1719,HeadJournal!$A$1:$L$890,COLUMN(HeadJournal!H$1),0),0)</f>
        <v>1044.9047955286044</v>
      </c>
      <c r="Q1719" s="29">
        <v>1800</v>
      </c>
      <c r="R1719" s="31">
        <v>45176</v>
      </c>
      <c r="S1719" s="31" t="s">
        <v>3121</v>
      </c>
      <c r="T1719" s="95" t="str">
        <f t="shared" si="135"/>
        <v>2023 09</v>
      </c>
      <c r="U1719" s="32">
        <f t="shared" si="132"/>
        <v>755.09520447139562</v>
      </c>
      <c r="V1719" s="22">
        <f t="shared" si="133"/>
        <v>0.72264497943030526</v>
      </c>
      <c r="X1719" s="33"/>
      <c r="Y1719" s="33"/>
    </row>
    <row r="1720" spans="1:25" x14ac:dyDescent="0.2">
      <c r="A1720" s="93" t="s">
        <v>759</v>
      </c>
      <c r="B1720" s="94">
        <f>IFERROR(VLOOKUP($A1720,HeadJournal!$A$1:$NTR$890,COLUMN(HeadJournal!B$1),0),"")</f>
        <v>0</v>
      </c>
      <c r="C1720" s="94" t="str">
        <f>IFERROR(VLOOKUP($A1720,HeadJournal!$A$1:$NTR$890,COLUMN(HeadJournal!C$1),0),"")</f>
        <v>OZON_AV</v>
      </c>
      <c r="D1720" s="125" t="str">
        <f>IFERROR(VLOOKUP($A1720,HeadJournal!$A$1:$NTR$890,COLUMN(HeadJournal!D$1),0),"")</f>
        <v>Доставлен</v>
      </c>
      <c r="E1720" s="95">
        <f>IFERROR(VLOOKUP($A1720,HeadJournal!$A$1:$NTR$890,COLUMN(HeadJournal!G$1),0),"")</f>
        <v>45085</v>
      </c>
      <c r="F1720" s="95" t="str">
        <f t="shared" si="134"/>
        <v>2023 06</v>
      </c>
      <c r="G1720" s="96" t="s">
        <v>6</v>
      </c>
      <c r="H1720" s="160" t="str">
        <f>RIGHT(Journal!$J1720,9)</f>
        <v>892721541</v>
      </c>
      <c r="I1720" s="96" t="str">
        <f t="shared" si="136"/>
        <v>FatZorb</v>
      </c>
      <c r="J1720" s="97" t="s">
        <v>737</v>
      </c>
      <c r="K1720" s="29">
        <v>1037</v>
      </c>
      <c r="L1720" s="29"/>
      <c r="M1720" s="30">
        <f>IFERROR(VLOOKUP($A1720,HeadJournal!$A$1:$J$890,COLUMN(HeadJournal!I$1),0)*($K1720+$L1720)/(SUMIF($A:$A,$A1720,$K:$K)+SUMIF($A:$A,$A1720,$L:$L)),0)</f>
        <v>0</v>
      </c>
      <c r="N1720" s="30">
        <f>IFERROR((VLOOKUP($A1720,HeadJournal!$A$1:$K$890,COLUMN(HeadJournal!K$1),0)-VLOOKUP($A1720,HeadJournal!$A$1:$K$890,COLUMN(HeadJournal!J$1),0))*($K1720+$L1720)/(SUMIF($A:$A,$A1720,$K:$K)+SUMIF($A:$A,$A1720,$L:$L)),0)</f>
        <v>0</v>
      </c>
      <c r="O1720" s="30">
        <f>IFERROR((VLOOKUP($A1720,HeadJournal!$A$1:$L$890,COLUMN(HeadJournal!L$1),0)*($K1720+$L1720)/(SUMIF($A:$A,$A1720,$K:$K)+SUMIF($A:$A,$A1720,$L:$L)))/VLOOKUP($A1720,HeadJournal!$A$1:$L$890,COLUMN(HeadJournal!H$1),0),0)</f>
        <v>103.7</v>
      </c>
      <c r="P1720" s="30">
        <f>IFERROR(SUM(K1720:O1720)*VLOOKUP($A1720,HeadJournal!$A$1:$L$890,COLUMN(HeadJournal!H$1),0),0)</f>
        <v>1140.7</v>
      </c>
      <c r="Q1720" s="29">
        <v>2000</v>
      </c>
      <c r="R1720" s="31">
        <v>45106</v>
      </c>
      <c r="S1720" s="31" t="s">
        <v>3121</v>
      </c>
      <c r="T1720" s="95" t="str">
        <f t="shared" si="135"/>
        <v>2023 06</v>
      </c>
      <c r="U1720" s="32">
        <f t="shared" si="132"/>
        <v>859.3</v>
      </c>
      <c r="V1720" s="22">
        <f t="shared" si="133"/>
        <v>0.75330937143859023</v>
      </c>
      <c r="X1720" s="33"/>
      <c r="Y1720" s="33"/>
    </row>
    <row r="1721" spans="1:25" x14ac:dyDescent="0.2">
      <c r="A1721" s="93" t="s">
        <v>3513</v>
      </c>
      <c r="B1721" s="94">
        <f>IFERROR(VLOOKUP($A1721,HeadJournal!$A$1:$NTR$890,COLUMN(HeadJournal!B$1),0),"")</f>
        <v>0</v>
      </c>
      <c r="C1721" s="94" t="str">
        <f>IFERROR(VLOOKUP($A1721,HeadJournal!$A$1:$NTR$890,COLUMN(HeadJournal!C$1),0),"")</f>
        <v>Forever</v>
      </c>
      <c r="D1721" s="125" t="str">
        <f>IFERROR(VLOOKUP($A1721,HeadJournal!$A$1:$NTR$890,COLUMN(HeadJournal!D$1),0),"")</f>
        <v>Доставлен</v>
      </c>
      <c r="E1721" s="95">
        <f>IFERROR(VLOOKUP($A1721,HeadJournal!$A$1:$NTR$890,COLUMN(HeadJournal!G$1),0),"")</f>
        <v>45096</v>
      </c>
      <c r="F1721" s="95" t="str">
        <f t="shared" si="134"/>
        <v>2023 06</v>
      </c>
      <c r="G1721" s="96" t="s">
        <v>5</v>
      </c>
      <c r="H1721" s="160" t="str">
        <f>RIGHT(Journal!$J1721,9)</f>
        <v>000000015</v>
      </c>
      <c r="I1721" s="96" t="str">
        <f t="shared" si="136"/>
        <v>Forever</v>
      </c>
      <c r="J1721" s="97" t="s">
        <v>295</v>
      </c>
      <c r="K1721" s="29">
        <v>9622</v>
      </c>
      <c r="L1721" s="29"/>
      <c r="M1721" s="30">
        <f>IFERROR(VLOOKUP($A1721,HeadJournal!$A$1:$J$890,COLUMN(HeadJournal!I$1),0)*($K1721+$L1721)/(SUMIF($A:$A,$A1721,$K:$K)+SUMIF($A:$A,$A1721,$L:$L)),0)</f>
        <v>0</v>
      </c>
      <c r="N1721" s="30">
        <f>IFERROR((VLOOKUP($A1721,HeadJournal!$A$1:$K$890,COLUMN(HeadJournal!K$1),0)-VLOOKUP($A1721,HeadJournal!$A$1:$K$890,COLUMN(HeadJournal!J$1),0))*($K1721+$L1721)/(SUMIF($A:$A,$A1721,$K:$K)+SUMIF($A:$A,$A1721,$L:$L)),0)</f>
        <v>192.39507526161404</v>
      </c>
      <c r="O1721" s="30">
        <f>IFERROR((VLOOKUP($A1721,HeadJournal!$A$1:$L$890,COLUMN(HeadJournal!L$1),0)*($K1721+$L1721)/(SUMIF($A:$A,$A1721,$K:$K)+SUMIF($A:$A,$A1721,$L:$L)))/VLOOKUP($A1721,HeadJournal!$A$1:$L$890,COLUMN(HeadJournal!H$1),0),0)</f>
        <v>440.19211377292328</v>
      </c>
      <c r="P1721" s="30">
        <f>IFERROR(SUM(K1721:O1721)*VLOOKUP($A1721,HeadJournal!$A$1:$L$890,COLUMN(HeadJournal!H$1),0),0)</f>
        <v>1944.0643392913332</v>
      </c>
      <c r="Q1721" s="29">
        <v>1944.06</v>
      </c>
      <c r="R1721" s="31">
        <v>45143</v>
      </c>
      <c r="S1721" s="31" t="s">
        <v>3121</v>
      </c>
      <c r="T1721" s="95" t="str">
        <f t="shared" si="135"/>
        <v>2023 08</v>
      </c>
      <c r="U1721" s="32">
        <f t="shared" si="132"/>
        <v>-4.3392913332809258E-3</v>
      </c>
      <c r="V1721" s="22">
        <f t="shared" si="133"/>
        <v>-2.2320718741555237E-6</v>
      </c>
      <c r="X1721" s="33"/>
      <c r="Y1721" s="33"/>
    </row>
    <row r="1722" spans="1:25" x14ac:dyDescent="0.2">
      <c r="A1722" s="93" t="s">
        <v>3513</v>
      </c>
      <c r="B1722" s="94">
        <f>IFERROR(VLOOKUP($A1722,HeadJournal!$A$1:$NTR$890,COLUMN(HeadJournal!B$1),0),"")</f>
        <v>0</v>
      </c>
      <c r="C1722" s="94" t="str">
        <f>IFERROR(VLOOKUP($A1722,HeadJournal!$A$1:$NTR$890,COLUMN(HeadJournal!C$1),0),"")</f>
        <v>Forever</v>
      </c>
      <c r="D1722" s="125" t="str">
        <f>IFERROR(VLOOKUP($A1722,HeadJournal!$A$1:$NTR$890,COLUMN(HeadJournal!D$1),0),"")</f>
        <v>Доставлен</v>
      </c>
      <c r="E1722" s="95">
        <f>IFERROR(VLOOKUP($A1722,HeadJournal!$A$1:$NTR$890,COLUMN(HeadJournal!G$1),0),"")</f>
        <v>45096</v>
      </c>
      <c r="F1722" s="95" t="str">
        <f t="shared" si="134"/>
        <v>2023 06</v>
      </c>
      <c r="G1722" s="96" t="s">
        <v>5</v>
      </c>
      <c r="H1722" s="160" t="str">
        <f>RIGHT(Journal!$J1722,9)</f>
        <v>000000015</v>
      </c>
      <c r="I1722" s="96" t="str">
        <f t="shared" si="136"/>
        <v>Forever</v>
      </c>
      <c r="J1722" s="97" t="s">
        <v>295</v>
      </c>
      <c r="K1722" s="29">
        <v>9622</v>
      </c>
      <c r="L1722" s="29"/>
      <c r="M1722" s="30">
        <f>IFERROR(VLOOKUP($A1722,HeadJournal!$A$1:$J$890,COLUMN(HeadJournal!I$1),0)*($K1722+$L1722)/(SUMIF($A:$A,$A1722,$K:$K)+SUMIF($A:$A,$A1722,$L:$L)),0)</f>
        <v>0</v>
      </c>
      <c r="N1722" s="30">
        <f>IFERROR((VLOOKUP($A1722,HeadJournal!$A$1:$K$890,COLUMN(HeadJournal!K$1),0)-VLOOKUP($A1722,HeadJournal!$A$1:$K$890,COLUMN(HeadJournal!J$1),0))*($K1722+$L1722)/(SUMIF($A:$A,$A1722,$K:$K)+SUMIF($A:$A,$A1722,$L:$L)),0)</f>
        <v>192.39507526161404</v>
      </c>
      <c r="O1722" s="30">
        <f>IFERROR((VLOOKUP($A1722,HeadJournal!$A$1:$L$890,COLUMN(HeadJournal!L$1),0)*($K1722+$L1722)/(SUMIF($A:$A,$A1722,$K:$K)+SUMIF($A:$A,$A1722,$L:$L)))/VLOOKUP($A1722,HeadJournal!$A$1:$L$890,COLUMN(HeadJournal!H$1),0),0)</f>
        <v>440.19211377292328</v>
      </c>
      <c r="P1722" s="30">
        <f>IFERROR(SUM(K1722:O1722)*VLOOKUP($A1722,HeadJournal!$A$1:$L$890,COLUMN(HeadJournal!H$1),0),0)</f>
        <v>1944.0643392913332</v>
      </c>
      <c r="Q1722" s="29">
        <v>1944.06</v>
      </c>
      <c r="R1722" s="31">
        <v>45151</v>
      </c>
      <c r="S1722" s="31" t="s">
        <v>3121</v>
      </c>
      <c r="T1722" s="95" t="str">
        <f t="shared" si="135"/>
        <v>2023 08</v>
      </c>
      <c r="U1722" s="32">
        <f t="shared" si="132"/>
        <v>-4.3392913332809258E-3</v>
      </c>
      <c r="V1722" s="22">
        <f t="shared" si="133"/>
        <v>-2.2320718741555237E-6</v>
      </c>
      <c r="X1722" s="33"/>
      <c r="Y1722" s="33"/>
    </row>
    <row r="1723" spans="1:25" x14ac:dyDescent="0.2">
      <c r="A1723" s="93" t="s">
        <v>3513</v>
      </c>
      <c r="B1723" s="94">
        <f>IFERROR(VLOOKUP($A1723,HeadJournal!$A$1:$NTR$890,COLUMN(HeadJournal!B$1),0),"")</f>
        <v>0</v>
      </c>
      <c r="C1723" s="94" t="str">
        <f>IFERROR(VLOOKUP($A1723,HeadJournal!$A$1:$NTR$890,COLUMN(HeadJournal!C$1),0),"")</f>
        <v>Forever</v>
      </c>
      <c r="D1723" s="125" t="str">
        <f>IFERROR(VLOOKUP($A1723,HeadJournal!$A$1:$NTR$890,COLUMN(HeadJournal!D$1),0),"")</f>
        <v>Доставлен</v>
      </c>
      <c r="E1723" s="95">
        <f>IFERROR(VLOOKUP($A1723,HeadJournal!$A$1:$NTR$890,COLUMN(HeadJournal!G$1),0),"")</f>
        <v>45096</v>
      </c>
      <c r="F1723" s="95" t="str">
        <f t="shared" si="134"/>
        <v>2023 06</v>
      </c>
      <c r="G1723" s="96" t="s">
        <v>5</v>
      </c>
      <c r="H1723" s="160" t="str">
        <f>RIGHT(Journal!$J1723,9)</f>
        <v>000000015</v>
      </c>
      <c r="I1723" s="96" t="str">
        <f t="shared" si="136"/>
        <v>Forever</v>
      </c>
      <c r="J1723" s="97" t="s">
        <v>295</v>
      </c>
      <c r="K1723" s="29">
        <v>9622</v>
      </c>
      <c r="L1723" s="29"/>
      <c r="M1723" s="30">
        <f>IFERROR(VLOOKUP($A1723,HeadJournal!$A$1:$J$890,COLUMN(HeadJournal!I$1),0)*($K1723+$L1723)/(SUMIF($A:$A,$A1723,$K:$K)+SUMIF($A:$A,$A1723,$L:$L)),0)</f>
        <v>0</v>
      </c>
      <c r="N1723" s="30">
        <f>IFERROR((VLOOKUP($A1723,HeadJournal!$A$1:$K$890,COLUMN(HeadJournal!K$1),0)-VLOOKUP($A1723,HeadJournal!$A$1:$K$890,COLUMN(HeadJournal!J$1),0))*($K1723+$L1723)/(SUMIF($A:$A,$A1723,$K:$K)+SUMIF($A:$A,$A1723,$L:$L)),0)</f>
        <v>192.39507526161404</v>
      </c>
      <c r="O1723" s="30">
        <f>IFERROR((VLOOKUP($A1723,HeadJournal!$A$1:$L$890,COLUMN(HeadJournal!L$1),0)*($K1723+$L1723)/(SUMIF($A:$A,$A1723,$K:$K)+SUMIF($A:$A,$A1723,$L:$L)))/VLOOKUP($A1723,HeadJournal!$A$1:$L$890,COLUMN(HeadJournal!H$1),0),0)</f>
        <v>440.19211377292328</v>
      </c>
      <c r="P1723" s="30">
        <f>IFERROR(SUM(K1723:O1723)*VLOOKUP($A1723,HeadJournal!$A$1:$L$890,COLUMN(HeadJournal!H$1),0),0)</f>
        <v>1944.0643392913332</v>
      </c>
      <c r="Q1723" s="29">
        <v>2800</v>
      </c>
      <c r="R1723" s="31">
        <v>45187</v>
      </c>
      <c r="S1723" s="31" t="s">
        <v>3121</v>
      </c>
      <c r="T1723" s="95" t="str">
        <f t="shared" si="135"/>
        <v>2023 09</v>
      </c>
      <c r="U1723" s="32">
        <f t="shared" si="132"/>
        <v>855.93566070866677</v>
      </c>
      <c r="V1723" s="22">
        <f t="shared" si="133"/>
        <v>0.44028155005439773</v>
      </c>
      <c r="X1723" s="33"/>
      <c r="Y1723" s="33"/>
    </row>
    <row r="1724" spans="1:25" x14ac:dyDescent="0.2">
      <c r="A1724" s="93" t="s">
        <v>3513</v>
      </c>
      <c r="B1724" s="94">
        <f>IFERROR(VLOOKUP($A1724,HeadJournal!$A$1:$NTR$890,COLUMN(HeadJournal!B$1),0),"")</f>
        <v>0</v>
      </c>
      <c r="C1724" s="94" t="str">
        <f>IFERROR(VLOOKUP($A1724,HeadJournal!$A$1:$NTR$890,COLUMN(HeadJournal!C$1),0),"")</f>
        <v>Forever</v>
      </c>
      <c r="D1724" s="125" t="str">
        <f>IFERROR(VLOOKUP($A1724,HeadJournal!$A$1:$NTR$890,COLUMN(HeadJournal!D$1),0),"")</f>
        <v>Доставлен</v>
      </c>
      <c r="E1724" s="95">
        <f>IFERROR(VLOOKUP($A1724,HeadJournal!$A$1:$NTR$890,COLUMN(HeadJournal!G$1),0),"")</f>
        <v>45096</v>
      </c>
      <c r="F1724" s="95" t="str">
        <f t="shared" si="134"/>
        <v>2023 06</v>
      </c>
      <c r="G1724" s="96" t="s">
        <v>5</v>
      </c>
      <c r="H1724" s="160" t="str">
        <f>RIGHT(Journal!$J1724,9)</f>
        <v>000000015</v>
      </c>
      <c r="I1724" s="96" t="str">
        <f t="shared" si="136"/>
        <v>Forever</v>
      </c>
      <c r="J1724" s="97" t="s">
        <v>295</v>
      </c>
      <c r="K1724" s="29">
        <v>9622</v>
      </c>
      <c r="L1724" s="29"/>
      <c r="M1724" s="30">
        <f>IFERROR(VLOOKUP($A1724,HeadJournal!$A$1:$J$890,COLUMN(HeadJournal!I$1),0)*($K1724+$L1724)/(SUMIF($A:$A,$A1724,$K:$K)+SUMIF($A:$A,$A1724,$L:$L)),0)</f>
        <v>0</v>
      </c>
      <c r="N1724" s="30">
        <f>IFERROR((VLOOKUP($A1724,HeadJournal!$A$1:$K$890,COLUMN(HeadJournal!K$1),0)-VLOOKUP($A1724,HeadJournal!$A$1:$K$890,COLUMN(HeadJournal!J$1),0))*($K1724+$L1724)/(SUMIF($A:$A,$A1724,$K:$K)+SUMIF($A:$A,$A1724,$L:$L)),0)</f>
        <v>192.39507526161404</v>
      </c>
      <c r="O1724" s="30">
        <f>IFERROR((VLOOKUP($A1724,HeadJournal!$A$1:$L$890,COLUMN(HeadJournal!L$1),0)*($K1724+$L1724)/(SUMIF($A:$A,$A1724,$K:$K)+SUMIF($A:$A,$A1724,$L:$L)))/VLOOKUP($A1724,HeadJournal!$A$1:$L$890,COLUMN(HeadJournal!H$1),0),0)</f>
        <v>440.19211377292328</v>
      </c>
      <c r="P1724" s="30">
        <f>IFERROR(SUM(K1724:O1724)*VLOOKUP($A1724,HeadJournal!$A$1:$L$890,COLUMN(HeadJournal!H$1),0),0)</f>
        <v>1944.0643392913332</v>
      </c>
      <c r="Q1724" s="29">
        <v>3000</v>
      </c>
      <c r="R1724" s="31">
        <v>45195</v>
      </c>
      <c r="S1724" s="31" t="s">
        <v>3121</v>
      </c>
      <c r="T1724" s="95" t="str">
        <f t="shared" si="135"/>
        <v>2023 09</v>
      </c>
      <c r="U1724" s="32">
        <f t="shared" si="132"/>
        <v>1055.9356607086668</v>
      </c>
      <c r="V1724" s="22">
        <f t="shared" si="133"/>
        <v>0.54315880362971181</v>
      </c>
      <c r="X1724" s="33"/>
      <c r="Y1724" s="33"/>
    </row>
    <row r="1725" spans="1:25" x14ac:dyDescent="0.2">
      <c r="A1725" s="93" t="s">
        <v>3513</v>
      </c>
      <c r="B1725" s="94">
        <f>IFERROR(VLOOKUP($A1725,HeadJournal!$A$1:$NTR$890,COLUMN(HeadJournal!B$1),0),"")</f>
        <v>0</v>
      </c>
      <c r="C1725" s="94" t="str">
        <f>IFERROR(VLOOKUP($A1725,HeadJournal!$A$1:$NTR$890,COLUMN(HeadJournal!C$1),0),"")</f>
        <v>Forever</v>
      </c>
      <c r="D1725" s="125" t="str">
        <f>IFERROR(VLOOKUP($A1725,HeadJournal!$A$1:$NTR$890,COLUMN(HeadJournal!D$1),0),"")</f>
        <v>Доставлен</v>
      </c>
      <c r="E1725" s="95">
        <f>IFERROR(VLOOKUP($A1725,HeadJournal!$A$1:$NTR$890,COLUMN(HeadJournal!G$1),0),"")</f>
        <v>45096</v>
      </c>
      <c r="F1725" s="95" t="str">
        <f t="shared" si="134"/>
        <v>2023 06</v>
      </c>
      <c r="G1725" s="96" t="s">
        <v>5</v>
      </c>
      <c r="H1725" s="161" t="s">
        <v>3677</v>
      </c>
      <c r="I1725" s="97" t="s">
        <v>1368</v>
      </c>
      <c r="J1725" s="97" t="s">
        <v>3678</v>
      </c>
      <c r="K1725" s="29">
        <v>13123.666666666666</v>
      </c>
      <c r="L1725" s="29"/>
      <c r="M1725" s="30">
        <f>IFERROR(VLOOKUP($A1725,HeadJournal!$A$1:$J$890,COLUMN(HeadJournal!I$1),0)*($K1725+$L1725)/(SUMIF($A:$A,$A1725,$K:$K)+SUMIF($A:$A,$A1725,$L:$L)),0)</f>
        <v>0</v>
      </c>
      <c r="N1725" s="30">
        <f>IFERROR((VLOOKUP($A1725,HeadJournal!$A$1:$K$890,COLUMN(HeadJournal!K$1),0)-VLOOKUP($A1725,HeadJournal!$A$1:$K$890,COLUMN(HeadJournal!J$1),0))*($K1725+$L1725)/(SUMIF($A:$A,$A1725,$K:$K)+SUMIF($A:$A,$A1725,$L:$L)),0)</f>
        <v>262.41205945143093</v>
      </c>
      <c r="O1725" s="30">
        <f>IFERROR((VLOOKUP($A1725,HeadJournal!$A$1:$L$890,COLUMN(HeadJournal!L$1),0)*($K1725+$L1725)/(SUMIF($A:$A,$A1725,$K:$K)+SUMIF($A:$A,$A1725,$L:$L)))/VLOOKUP($A1725,HeadJournal!$A$1:$L$890,COLUMN(HeadJournal!H$1),0),0)</f>
        <v>600.3881282946636</v>
      </c>
      <c r="P1725" s="30">
        <f>IFERROR(SUM(K1725:O1725)*VLOOKUP($A1725,HeadJournal!$A$1:$L$890,COLUMN(HeadJournal!H$1),0),0)</f>
        <v>2651.5539770747273</v>
      </c>
      <c r="Q1725" s="29">
        <v>3400</v>
      </c>
      <c r="R1725" s="31">
        <v>45118</v>
      </c>
      <c r="S1725" s="31" t="s">
        <v>3121</v>
      </c>
      <c r="T1725" s="95" t="str">
        <f t="shared" si="135"/>
        <v>2023 07</v>
      </c>
      <c r="U1725" s="32">
        <f t="shared" si="132"/>
        <v>748.4460229252727</v>
      </c>
      <c r="V1725" s="22">
        <f t="shared" si="133"/>
        <v>0.28226693832986965</v>
      </c>
      <c r="X1725" s="33"/>
      <c r="Y1725" s="33"/>
    </row>
    <row r="1726" spans="1:25" x14ac:dyDescent="0.2">
      <c r="A1726" s="93" t="s">
        <v>3513</v>
      </c>
      <c r="B1726" s="94">
        <f>IFERROR(VLOOKUP($A1726,HeadJournal!$A$1:$NTR$890,COLUMN(HeadJournal!B$1),0),"")</f>
        <v>0</v>
      </c>
      <c r="C1726" s="94" t="str">
        <f>IFERROR(VLOOKUP($A1726,HeadJournal!$A$1:$NTR$890,COLUMN(HeadJournal!C$1),0),"")</f>
        <v>Forever</v>
      </c>
      <c r="D1726" s="125" t="str">
        <f>IFERROR(VLOOKUP($A1726,HeadJournal!$A$1:$NTR$890,COLUMN(HeadJournal!D$1),0),"")</f>
        <v>Доставлен</v>
      </c>
      <c r="E1726" s="95">
        <f>IFERROR(VLOOKUP($A1726,HeadJournal!$A$1:$NTR$890,COLUMN(HeadJournal!G$1),0),"")</f>
        <v>45096</v>
      </c>
      <c r="F1726" s="95" t="str">
        <f t="shared" si="134"/>
        <v>2023 06</v>
      </c>
      <c r="G1726" s="96" t="s">
        <v>5</v>
      </c>
      <c r="H1726" s="161" t="s">
        <v>3677</v>
      </c>
      <c r="I1726" s="97" t="s">
        <v>1368</v>
      </c>
      <c r="J1726" s="97" t="s">
        <v>3678</v>
      </c>
      <c r="K1726" s="29">
        <v>13123.666666666666</v>
      </c>
      <c r="L1726" s="29"/>
      <c r="M1726" s="30">
        <f>IFERROR(VLOOKUP($A1726,HeadJournal!$A$1:$J$890,COLUMN(HeadJournal!I$1),0)*($K1726+$L1726)/(SUMIF($A:$A,$A1726,$K:$K)+SUMIF($A:$A,$A1726,$L:$L)),0)</f>
        <v>0</v>
      </c>
      <c r="N1726" s="30">
        <f>IFERROR((VLOOKUP($A1726,HeadJournal!$A$1:$K$890,COLUMN(HeadJournal!K$1),0)-VLOOKUP($A1726,HeadJournal!$A$1:$K$890,COLUMN(HeadJournal!J$1),0))*($K1726+$L1726)/(SUMIF($A:$A,$A1726,$K:$K)+SUMIF($A:$A,$A1726,$L:$L)),0)</f>
        <v>262.41205945143093</v>
      </c>
      <c r="O1726" s="30">
        <f>IFERROR((VLOOKUP($A1726,HeadJournal!$A$1:$L$890,COLUMN(HeadJournal!L$1),0)*($K1726+$L1726)/(SUMIF($A:$A,$A1726,$K:$K)+SUMIF($A:$A,$A1726,$L:$L)))/VLOOKUP($A1726,HeadJournal!$A$1:$L$890,COLUMN(HeadJournal!H$1),0),0)</f>
        <v>600.3881282946636</v>
      </c>
      <c r="P1726" s="30">
        <f>IFERROR(SUM(K1726:O1726)*VLOOKUP($A1726,HeadJournal!$A$1:$L$890,COLUMN(HeadJournal!H$1),0),0)</f>
        <v>2651.5539770747273</v>
      </c>
      <c r="Q1726" s="29">
        <v>3400</v>
      </c>
      <c r="R1726" s="31">
        <v>45118</v>
      </c>
      <c r="S1726" s="31" t="s">
        <v>3121</v>
      </c>
      <c r="T1726" s="95" t="str">
        <f t="shared" si="135"/>
        <v>2023 07</v>
      </c>
      <c r="U1726" s="32">
        <f t="shared" si="132"/>
        <v>748.4460229252727</v>
      </c>
      <c r="V1726" s="22">
        <f t="shared" si="133"/>
        <v>0.28226693832986965</v>
      </c>
      <c r="X1726" s="33"/>
      <c r="Y1726" s="33"/>
    </row>
    <row r="1727" spans="1:25" x14ac:dyDescent="0.2">
      <c r="A1727" s="93" t="s">
        <v>3513</v>
      </c>
      <c r="B1727" s="94">
        <f>IFERROR(VLOOKUP($A1727,HeadJournal!$A$1:$NTR$890,COLUMN(HeadJournal!B$1),0),"")</f>
        <v>0</v>
      </c>
      <c r="C1727" s="94" t="str">
        <f>IFERROR(VLOOKUP($A1727,HeadJournal!$A$1:$NTR$890,COLUMN(HeadJournal!C$1),0),"")</f>
        <v>Forever</v>
      </c>
      <c r="D1727" s="125" t="str">
        <f>IFERROR(VLOOKUP($A1727,HeadJournal!$A$1:$NTR$890,COLUMN(HeadJournal!D$1),0),"")</f>
        <v>Доставлен</v>
      </c>
      <c r="E1727" s="95">
        <f>IFERROR(VLOOKUP($A1727,HeadJournal!$A$1:$NTR$890,COLUMN(HeadJournal!G$1),0),"")</f>
        <v>45096</v>
      </c>
      <c r="F1727" s="95" t="str">
        <f t="shared" si="134"/>
        <v>2023 06</v>
      </c>
      <c r="G1727" s="96" t="s">
        <v>5</v>
      </c>
      <c r="H1727" s="161" t="s">
        <v>3677</v>
      </c>
      <c r="I1727" s="97" t="s">
        <v>1368</v>
      </c>
      <c r="J1727" s="97" t="s">
        <v>3678</v>
      </c>
      <c r="K1727" s="29">
        <v>13123.666666666666</v>
      </c>
      <c r="L1727" s="29"/>
      <c r="M1727" s="30">
        <f>IFERROR(VLOOKUP($A1727,HeadJournal!$A$1:$J$890,COLUMN(HeadJournal!I$1),0)*($K1727+$L1727)/(SUMIF($A:$A,$A1727,$K:$K)+SUMIF($A:$A,$A1727,$L:$L)),0)</f>
        <v>0</v>
      </c>
      <c r="N1727" s="30">
        <f>IFERROR((VLOOKUP($A1727,HeadJournal!$A$1:$K$890,COLUMN(HeadJournal!K$1),0)-VLOOKUP($A1727,HeadJournal!$A$1:$K$890,COLUMN(HeadJournal!J$1),0))*($K1727+$L1727)/(SUMIF($A:$A,$A1727,$K:$K)+SUMIF($A:$A,$A1727,$L:$L)),0)</f>
        <v>262.41205945143093</v>
      </c>
      <c r="O1727" s="30">
        <f>IFERROR((VLOOKUP($A1727,HeadJournal!$A$1:$L$890,COLUMN(HeadJournal!L$1),0)*($K1727+$L1727)/(SUMIF($A:$A,$A1727,$K:$K)+SUMIF($A:$A,$A1727,$L:$L)))/VLOOKUP($A1727,HeadJournal!$A$1:$L$890,COLUMN(HeadJournal!H$1),0),0)</f>
        <v>600.3881282946636</v>
      </c>
      <c r="P1727" s="30">
        <f>IFERROR(SUM(K1727:O1727)*VLOOKUP($A1727,HeadJournal!$A$1:$L$890,COLUMN(HeadJournal!H$1),0),0)</f>
        <v>2651.5539770747273</v>
      </c>
      <c r="Q1727" s="29">
        <v>3400</v>
      </c>
      <c r="R1727" s="31">
        <v>45507</v>
      </c>
      <c r="S1727" s="31" t="s">
        <v>3121</v>
      </c>
      <c r="T1727" s="95" t="str">
        <f t="shared" si="135"/>
        <v>2024 08</v>
      </c>
      <c r="U1727" s="32">
        <f t="shared" si="132"/>
        <v>748.4460229252727</v>
      </c>
      <c r="V1727" s="22">
        <f t="shared" si="133"/>
        <v>0.28226693832986965</v>
      </c>
      <c r="X1727" s="33"/>
      <c r="Y1727" s="33"/>
    </row>
    <row r="1728" spans="1:25" x14ac:dyDescent="0.2">
      <c r="A1728" s="93" t="s">
        <v>3513</v>
      </c>
      <c r="B1728" s="94">
        <f>IFERROR(VLOOKUP($A1728,HeadJournal!$A$1:$NTR$890,COLUMN(HeadJournal!B$1),0),"")</f>
        <v>0</v>
      </c>
      <c r="C1728" s="94" t="str">
        <f>IFERROR(VLOOKUP($A1728,HeadJournal!$A$1:$NTR$890,COLUMN(HeadJournal!C$1),0),"")</f>
        <v>Forever</v>
      </c>
      <c r="D1728" s="125" t="str">
        <f>IFERROR(VLOOKUP($A1728,HeadJournal!$A$1:$NTR$890,COLUMN(HeadJournal!D$1),0),"")</f>
        <v>Доставлен</v>
      </c>
      <c r="E1728" s="95">
        <f>IFERROR(VLOOKUP($A1728,HeadJournal!$A$1:$NTR$890,COLUMN(HeadJournal!G$1),0),"")</f>
        <v>45096</v>
      </c>
      <c r="F1728" s="95" t="str">
        <f t="shared" si="134"/>
        <v>2023 06</v>
      </c>
      <c r="G1728" s="96" t="s">
        <v>5</v>
      </c>
      <c r="H1728" s="160" t="str">
        <f>RIGHT(Journal!$J1728,9)</f>
        <v>000000206</v>
      </c>
      <c r="I1728" s="96" t="str">
        <f t="shared" si="136"/>
        <v>Forever</v>
      </c>
      <c r="J1728" s="97" t="s">
        <v>760</v>
      </c>
      <c r="K1728" s="29">
        <v>8914</v>
      </c>
      <c r="L1728" s="29"/>
      <c r="M1728" s="30">
        <f>IFERROR(VLOOKUP($A1728,HeadJournal!$A$1:$J$890,COLUMN(HeadJournal!I$1),0)*($K1728+$L1728)/(SUMIF($A:$A,$A1728,$K:$K)+SUMIF($A:$A,$A1728,$L:$L)),0)</f>
        <v>0</v>
      </c>
      <c r="N1728" s="30">
        <f>IFERROR((VLOOKUP($A1728,HeadJournal!$A$1:$K$890,COLUMN(HeadJournal!K$1),0)-VLOOKUP($A1728,HeadJournal!$A$1:$K$890,COLUMN(HeadJournal!J$1),0))*($K1728+$L1728)/(SUMIF($A:$A,$A1728,$K:$K)+SUMIF($A:$A,$A1728,$L:$L)),0)</f>
        <v>178.23838088568152</v>
      </c>
      <c r="O1728" s="30">
        <f>IFERROR((VLOOKUP($A1728,HeadJournal!$A$1:$L$890,COLUMN(HeadJournal!L$1),0)*($K1728+$L1728)/(SUMIF($A:$A,$A1728,$K:$K)+SUMIF($A:$A,$A1728,$L:$L)))/VLOOKUP($A1728,HeadJournal!$A$1:$L$890,COLUMN(HeadJournal!H$1),0),0)</f>
        <v>407.80217233130725</v>
      </c>
      <c r="P1728" s="30">
        <f>IFERROR(SUM(K1728:O1728)*VLOOKUP($A1728,HeadJournal!$A$1:$L$890,COLUMN(HeadJournal!H$1),0),0)</f>
        <v>1801.017410147884</v>
      </c>
      <c r="Q1728" s="29">
        <v>2400</v>
      </c>
      <c r="R1728" s="31">
        <v>45118</v>
      </c>
      <c r="S1728" s="31" t="s">
        <v>3121</v>
      </c>
      <c r="T1728" s="95" t="str">
        <f t="shared" si="135"/>
        <v>2023 07</v>
      </c>
      <c r="U1728" s="32">
        <f t="shared" si="132"/>
        <v>598.98258985211601</v>
      </c>
      <c r="V1728" s="22">
        <f t="shared" si="133"/>
        <v>0.33258012192282621</v>
      </c>
      <c r="X1728" s="33"/>
      <c r="Y1728" s="33"/>
    </row>
    <row r="1729" spans="1:25" x14ac:dyDescent="0.2">
      <c r="A1729" s="93" t="s">
        <v>3513</v>
      </c>
      <c r="B1729" s="94">
        <f>IFERROR(VLOOKUP($A1729,HeadJournal!$A$1:$NTR$890,COLUMN(HeadJournal!B$1),0),"")</f>
        <v>0</v>
      </c>
      <c r="C1729" s="94" t="str">
        <f>IFERROR(VLOOKUP($A1729,HeadJournal!$A$1:$NTR$890,COLUMN(HeadJournal!C$1),0),"")</f>
        <v>Forever</v>
      </c>
      <c r="D1729" s="125" t="str">
        <f>IFERROR(VLOOKUP($A1729,HeadJournal!$A$1:$NTR$890,COLUMN(HeadJournal!D$1),0),"")</f>
        <v>Доставлен</v>
      </c>
      <c r="E1729" s="95">
        <f>IFERROR(VLOOKUP($A1729,HeadJournal!$A$1:$NTR$890,COLUMN(HeadJournal!G$1),0),"")</f>
        <v>45096</v>
      </c>
      <c r="F1729" s="95" t="str">
        <f t="shared" si="134"/>
        <v>2023 06</v>
      </c>
      <c r="G1729" s="96" t="s">
        <v>5</v>
      </c>
      <c r="H1729" s="160" t="str">
        <f>RIGHT(Journal!$J1729,9)</f>
        <v>000000206</v>
      </c>
      <c r="I1729" s="96" t="str">
        <f t="shared" si="136"/>
        <v>Forever</v>
      </c>
      <c r="J1729" s="97" t="s">
        <v>760</v>
      </c>
      <c r="K1729" s="29">
        <v>8914</v>
      </c>
      <c r="L1729" s="29"/>
      <c r="M1729" s="30">
        <f>IFERROR(VLOOKUP($A1729,HeadJournal!$A$1:$J$890,COLUMN(HeadJournal!I$1),0)*($K1729+$L1729)/(SUMIF($A:$A,$A1729,$K:$K)+SUMIF($A:$A,$A1729,$L:$L)),0)</f>
        <v>0</v>
      </c>
      <c r="N1729" s="30">
        <f>IFERROR((VLOOKUP($A1729,HeadJournal!$A$1:$K$890,COLUMN(HeadJournal!K$1),0)-VLOOKUP($A1729,HeadJournal!$A$1:$K$890,COLUMN(HeadJournal!J$1),0))*($K1729+$L1729)/(SUMIF($A:$A,$A1729,$K:$K)+SUMIF($A:$A,$A1729,$L:$L)),0)</f>
        <v>178.23838088568152</v>
      </c>
      <c r="O1729" s="30">
        <f>IFERROR((VLOOKUP($A1729,HeadJournal!$A$1:$L$890,COLUMN(HeadJournal!L$1),0)*($K1729+$L1729)/(SUMIF($A:$A,$A1729,$K:$K)+SUMIF($A:$A,$A1729,$L:$L)))/VLOOKUP($A1729,HeadJournal!$A$1:$L$890,COLUMN(HeadJournal!H$1),0),0)</f>
        <v>407.80217233130725</v>
      </c>
      <c r="P1729" s="30">
        <f>IFERROR(SUM(K1729:O1729)*VLOOKUP($A1729,HeadJournal!$A$1:$L$890,COLUMN(HeadJournal!H$1),0),0)</f>
        <v>1801.017410147884</v>
      </c>
      <c r="Q1729" s="29">
        <v>2400</v>
      </c>
      <c r="R1729" s="31">
        <v>45118</v>
      </c>
      <c r="S1729" s="31" t="s">
        <v>3121</v>
      </c>
      <c r="T1729" s="95" t="str">
        <f t="shared" si="135"/>
        <v>2023 07</v>
      </c>
      <c r="U1729" s="32">
        <f t="shared" ref="U1729:U1792" si="137">Q1729-P1729</f>
        <v>598.98258985211601</v>
      </c>
      <c r="V1729" s="22">
        <f t="shared" ref="V1729:V1792" si="138">IF(Q1729&lt;&gt;0,IFERROR(U1729/P1729,""),"")</f>
        <v>0.33258012192282621</v>
      </c>
      <c r="X1729" s="33"/>
      <c r="Y1729" s="33"/>
    </row>
    <row r="1730" spans="1:25" x14ac:dyDescent="0.2">
      <c r="A1730" s="93" t="s">
        <v>3513</v>
      </c>
      <c r="B1730" s="94">
        <f>IFERROR(VLOOKUP($A1730,HeadJournal!$A$1:$NTR$890,COLUMN(HeadJournal!B$1),0),"")</f>
        <v>0</v>
      </c>
      <c r="C1730" s="94" t="str">
        <f>IFERROR(VLOOKUP($A1730,HeadJournal!$A$1:$NTR$890,COLUMN(HeadJournal!C$1),0),"")</f>
        <v>Forever</v>
      </c>
      <c r="D1730" s="125" t="str">
        <f>IFERROR(VLOOKUP($A1730,HeadJournal!$A$1:$NTR$890,COLUMN(HeadJournal!D$1),0),"")</f>
        <v>Доставлен</v>
      </c>
      <c r="E1730" s="95">
        <f>IFERROR(VLOOKUP($A1730,HeadJournal!$A$1:$NTR$890,COLUMN(HeadJournal!G$1),0),"")</f>
        <v>45096</v>
      </c>
      <c r="F1730" s="95" t="str">
        <f t="shared" si="134"/>
        <v>2023 06</v>
      </c>
      <c r="G1730" s="96" t="s">
        <v>7</v>
      </c>
      <c r="H1730" s="160" t="str">
        <f>RIGHT(Journal!$J1730,9)</f>
        <v>000000028</v>
      </c>
      <c r="I1730" s="96" t="str">
        <f t="shared" si="136"/>
        <v>Forever</v>
      </c>
      <c r="J1730" s="97" t="s">
        <v>296</v>
      </c>
      <c r="K1730" s="29">
        <v>2836</v>
      </c>
      <c r="L1730" s="29"/>
      <c r="M1730" s="30">
        <f>IFERROR(VLOOKUP($A1730,HeadJournal!$A$1:$J$890,COLUMN(HeadJournal!I$1),0)*($K1730+$L1730)/(SUMIF($A:$A,$A1730,$K:$K)+SUMIF($A:$A,$A1730,$L:$L)),0)</f>
        <v>0</v>
      </c>
      <c r="N1730" s="30">
        <f>IFERROR((VLOOKUP($A1730,HeadJournal!$A$1:$K$890,COLUMN(HeadJournal!K$1),0)-VLOOKUP($A1730,HeadJournal!$A$1:$K$890,COLUMN(HeadJournal!J$1),0))*($K1730+$L1730)/(SUMIF($A:$A,$A1730,$K:$K)+SUMIF($A:$A,$A1730,$L:$L)),0)</f>
        <v>56.706758827887903</v>
      </c>
      <c r="O1730" s="30">
        <f>IFERROR((VLOOKUP($A1730,HeadJournal!$A$1:$L$890,COLUMN(HeadJournal!L$1),0)*($K1730+$L1730)/(SUMIF($A:$A,$A1730,$K:$K)+SUMIF($A:$A,$A1730,$L:$L)))/VLOOKUP($A1730,HeadJournal!$A$1:$L$890,COLUMN(HeadJournal!H$1),0),0)</f>
        <v>129.74275978590839</v>
      </c>
      <c r="P1730" s="30">
        <f>IFERROR(SUM(K1730:O1730)*VLOOKUP($A1730,HeadJournal!$A$1:$L$890,COLUMN(HeadJournal!H$1),0),0)</f>
        <v>572.99589131471839</v>
      </c>
      <c r="Q1730" s="29">
        <v>573</v>
      </c>
      <c r="R1730" s="31">
        <v>45097</v>
      </c>
      <c r="S1730" s="31" t="s">
        <v>3121</v>
      </c>
      <c r="T1730" s="95" t="str">
        <f t="shared" si="135"/>
        <v>2023 06</v>
      </c>
      <c r="U1730" s="32">
        <f t="shared" si="137"/>
        <v>4.1086852816079045E-3</v>
      </c>
      <c r="V1730" s="22">
        <f t="shared" si="138"/>
        <v>7.1705318378124397E-6</v>
      </c>
      <c r="X1730" s="33"/>
      <c r="Y1730" s="33"/>
    </row>
    <row r="1731" spans="1:25" x14ac:dyDescent="0.2">
      <c r="A1731" s="93" t="s">
        <v>761</v>
      </c>
      <c r="B1731" s="94">
        <f>IFERROR(VLOOKUP($A1731,HeadJournal!$A$1:$NTR$890,COLUMN(HeadJournal!B$1),0),"")</f>
        <v>0</v>
      </c>
      <c r="C1731" s="94" t="str">
        <f>IFERROR(VLOOKUP($A1731,HeadJournal!$A$1:$NTR$890,COLUMN(HeadJournal!C$1),0),"")</f>
        <v>NSP_AV</v>
      </c>
      <c r="D1731" s="125" t="str">
        <f>IFERROR(VLOOKUP($A1731,HeadJournal!$A$1:$NTR$890,COLUMN(HeadJournal!D$1),0),"")</f>
        <v>Доставлен</v>
      </c>
      <c r="E1731" s="95">
        <f>IFERROR(VLOOKUP($A1731,HeadJournal!$A$1:$NTR$890,COLUMN(HeadJournal!G$1),0),"")</f>
        <v>45093</v>
      </c>
      <c r="F1731" s="95" t="str">
        <f t="shared" si="134"/>
        <v>2023 06</v>
      </c>
      <c r="G1731" s="96" t="s">
        <v>5</v>
      </c>
      <c r="H1731" s="160" t="str">
        <f>RIGHT(Journal!$J1731,9)</f>
        <v>000001346</v>
      </c>
      <c r="I1731" s="96" t="str">
        <f t="shared" si="136"/>
        <v>NSP</v>
      </c>
      <c r="J1731" s="97" t="s">
        <v>762</v>
      </c>
      <c r="K1731" s="29">
        <v>2179.9499999999998</v>
      </c>
      <c r="L1731" s="29"/>
      <c r="M1731" s="30">
        <f>IFERROR(VLOOKUP($A1731,HeadJournal!$A$1:$J$890,COLUMN(HeadJournal!I$1),0)*($K1731+$L1731)/(SUMIF($A:$A,$A1731,$K:$K)+SUMIF($A:$A,$A1731,$L:$L)),0)</f>
        <v>48.327611888874856</v>
      </c>
      <c r="N1731" s="30">
        <f>IFERROR((VLOOKUP($A1731,HeadJournal!$A$1:$K$890,COLUMN(HeadJournal!K$1),0)-VLOOKUP($A1731,HeadJournal!$A$1:$K$890,COLUMN(HeadJournal!J$1),0))*($K1731+$L1731)/(SUMIF($A:$A,$A1731,$K:$K)+SUMIF($A:$A,$A1731,$L:$L)),0)</f>
        <v>-9.2725516378171105E-4</v>
      </c>
      <c r="O1731" s="30">
        <f>IFERROR((VLOOKUP($A1731,HeadJournal!$A$1:$L$890,COLUMN(HeadJournal!L$1),0)*($K1731+$L1731)/(SUMIF($A:$A,$A1731,$K:$K)+SUMIF($A:$A,$A1731,$L:$L)))/VLOOKUP($A1731,HeadJournal!$A$1:$L$890,COLUMN(HeadJournal!H$1),0),0)</f>
        <v>18.545103278602753</v>
      </c>
      <c r="P1731" s="30">
        <f>IFERROR(SUM(K1731:O1731)*VLOOKUP($A1731,HeadJournal!$A$1:$L$890,COLUMN(HeadJournal!H$1),0),0)</f>
        <v>2246.8217879123135</v>
      </c>
      <c r="Q1731" s="29">
        <v>3052.29</v>
      </c>
      <c r="R1731" s="31">
        <v>45110</v>
      </c>
      <c r="S1731" s="31" t="s">
        <v>3121</v>
      </c>
      <c r="T1731" s="95" t="str">
        <f t="shared" si="135"/>
        <v>2023 07</v>
      </c>
      <c r="U1731" s="32">
        <f t="shared" si="137"/>
        <v>805.46821208768642</v>
      </c>
      <c r="V1731" s="22">
        <f t="shared" si="138"/>
        <v>0.35849225622656339</v>
      </c>
      <c r="X1731" s="33"/>
      <c r="Y1731" s="33"/>
    </row>
    <row r="1732" spans="1:25" x14ac:dyDescent="0.2">
      <c r="A1732" s="93" t="s">
        <v>761</v>
      </c>
      <c r="B1732" s="94">
        <f>IFERROR(VLOOKUP($A1732,HeadJournal!$A$1:$NTR$890,COLUMN(HeadJournal!B$1),0),"")</f>
        <v>0</v>
      </c>
      <c r="C1732" s="94" t="str">
        <f>IFERROR(VLOOKUP($A1732,HeadJournal!$A$1:$NTR$890,COLUMN(HeadJournal!C$1),0),"")</f>
        <v>NSP_AV</v>
      </c>
      <c r="D1732" s="125" t="str">
        <f>IFERROR(VLOOKUP($A1732,HeadJournal!$A$1:$NTR$890,COLUMN(HeadJournal!D$1),0),"")</f>
        <v>Доставлен</v>
      </c>
      <c r="E1732" s="95">
        <f>IFERROR(VLOOKUP($A1732,HeadJournal!$A$1:$NTR$890,COLUMN(HeadJournal!G$1),0),"")</f>
        <v>45093</v>
      </c>
      <c r="F1732" s="95" t="str">
        <f t="shared" ref="F1732:F1795" si="139">IFERROR(TEXT(E1732, "ГГГГ ММ"),"")</f>
        <v>2023 06</v>
      </c>
      <c r="G1732" s="96" t="s">
        <v>5</v>
      </c>
      <c r="H1732" s="160" t="str">
        <f>RIGHT(Journal!$J1732,9)</f>
        <v>000001580</v>
      </c>
      <c r="I1732" s="96" t="str">
        <f t="shared" si="136"/>
        <v>NSP</v>
      </c>
      <c r="J1732" s="97" t="s">
        <v>757</v>
      </c>
      <c r="K1732" s="29">
        <v>2335.9166666666665</v>
      </c>
      <c r="L1732" s="29"/>
      <c r="M1732" s="30">
        <f>IFERROR(VLOOKUP($A1732,HeadJournal!$A$1:$J$890,COLUMN(HeadJournal!I$1),0)*($K1732+$L1732)/(SUMIF($A:$A,$A1732,$K:$K)+SUMIF($A:$A,$A1732,$L:$L)),0)</f>
        <v>51.78525841024836</v>
      </c>
      <c r="N1732" s="30">
        <f>IFERROR((VLOOKUP($A1732,HeadJournal!$A$1:$K$890,COLUMN(HeadJournal!K$1),0)-VLOOKUP($A1732,HeadJournal!$A$1:$K$890,COLUMN(HeadJournal!J$1),0))*($K1732+$L1732)/(SUMIF($A:$A,$A1732,$K:$K)+SUMIF($A:$A,$A1732,$L:$L)),0)</f>
        <v>-9.9359654640263691E-4</v>
      </c>
      <c r="O1732" s="30">
        <f>IFERROR((VLOOKUP($A1732,HeadJournal!$A$1:$L$890,COLUMN(HeadJournal!L$1),0)*($K1732+$L1732)/(SUMIF($A:$A,$A1732,$K:$K)+SUMIF($A:$A,$A1732,$L:$L)))/VLOOKUP($A1732,HeadJournal!$A$1:$L$890,COLUMN(HeadJournal!H$1),0),0)</f>
        <v>19.871930931233663</v>
      </c>
      <c r="P1732" s="30">
        <f>IFERROR(SUM(K1732:O1732)*VLOOKUP($A1732,HeadJournal!$A$1:$L$890,COLUMN(HeadJournal!H$1),0),0)</f>
        <v>2407.5728624116023</v>
      </c>
      <c r="Q1732" s="29">
        <v>3269.92</v>
      </c>
      <c r="R1732" s="31">
        <v>45110</v>
      </c>
      <c r="S1732" s="31" t="s">
        <v>3121</v>
      </c>
      <c r="T1732" s="95" t="str">
        <f t="shared" ref="T1732:T1795" si="140">IF(R1732="","",TEXT(R1732,"ГГГГ ММ"))</f>
        <v>2023 07</v>
      </c>
      <c r="U1732" s="32">
        <f t="shared" si="137"/>
        <v>862.3471375883978</v>
      </c>
      <c r="V1732" s="22">
        <f t="shared" si="138"/>
        <v>0.35818111719560064</v>
      </c>
      <c r="X1732" s="33"/>
      <c r="Y1732" s="33"/>
    </row>
    <row r="1733" spans="1:25" x14ac:dyDescent="0.2">
      <c r="A1733" s="93" t="s">
        <v>761</v>
      </c>
      <c r="B1733" s="94">
        <f>IFERROR(VLOOKUP($A1733,HeadJournal!$A$1:$NTR$890,COLUMN(HeadJournal!B$1),0),"")</f>
        <v>0</v>
      </c>
      <c r="C1733" s="94" t="str">
        <f>IFERROR(VLOOKUP($A1733,HeadJournal!$A$1:$NTR$890,COLUMN(HeadJournal!C$1),0),"")</f>
        <v>NSP_AV</v>
      </c>
      <c r="D1733" s="125" t="str">
        <f>IFERROR(VLOOKUP($A1733,HeadJournal!$A$1:$NTR$890,COLUMN(HeadJournal!D$1),0),"")</f>
        <v>Доставлен</v>
      </c>
      <c r="E1733" s="95">
        <f>IFERROR(VLOOKUP($A1733,HeadJournal!$A$1:$NTR$890,COLUMN(HeadJournal!G$1),0),"")</f>
        <v>45093</v>
      </c>
      <c r="F1733" s="95" t="str">
        <f t="shared" si="139"/>
        <v>2023 06</v>
      </c>
      <c r="G1733" s="96" t="s">
        <v>5</v>
      </c>
      <c r="H1733" s="160" t="str">
        <f>RIGHT(Journal!$J1733,9)</f>
        <v>000001580</v>
      </c>
      <c r="I1733" s="96" t="str">
        <f t="shared" si="136"/>
        <v>NSP</v>
      </c>
      <c r="J1733" s="97" t="s">
        <v>757</v>
      </c>
      <c r="K1733" s="29">
        <v>2335.9166666666665</v>
      </c>
      <c r="L1733" s="29"/>
      <c r="M1733" s="30">
        <f>IFERROR(VLOOKUP($A1733,HeadJournal!$A$1:$J$890,COLUMN(HeadJournal!I$1),0)*($K1733+$L1733)/(SUMIF($A:$A,$A1733,$K:$K)+SUMIF($A:$A,$A1733,$L:$L)),0)</f>
        <v>51.78525841024836</v>
      </c>
      <c r="N1733" s="30">
        <f>IFERROR((VLOOKUP($A1733,HeadJournal!$A$1:$K$890,COLUMN(HeadJournal!K$1),0)-VLOOKUP($A1733,HeadJournal!$A$1:$K$890,COLUMN(HeadJournal!J$1),0))*($K1733+$L1733)/(SUMIF($A:$A,$A1733,$K:$K)+SUMIF($A:$A,$A1733,$L:$L)),0)</f>
        <v>-9.9359654640263691E-4</v>
      </c>
      <c r="O1733" s="30">
        <f>IFERROR((VLOOKUP($A1733,HeadJournal!$A$1:$L$890,COLUMN(HeadJournal!L$1),0)*($K1733+$L1733)/(SUMIF($A:$A,$A1733,$K:$K)+SUMIF($A:$A,$A1733,$L:$L)))/VLOOKUP($A1733,HeadJournal!$A$1:$L$890,COLUMN(HeadJournal!H$1),0),0)</f>
        <v>19.871930931233663</v>
      </c>
      <c r="P1733" s="30">
        <f>IFERROR(SUM(K1733:O1733)*VLOOKUP($A1733,HeadJournal!$A$1:$L$890,COLUMN(HeadJournal!H$1),0),0)</f>
        <v>2407.5728624116023</v>
      </c>
      <c r="Q1733" s="29">
        <v>3269.92</v>
      </c>
      <c r="R1733" s="31">
        <v>45110</v>
      </c>
      <c r="S1733" s="31" t="s">
        <v>3121</v>
      </c>
      <c r="T1733" s="95" t="str">
        <f t="shared" si="140"/>
        <v>2023 07</v>
      </c>
      <c r="U1733" s="32">
        <f t="shared" si="137"/>
        <v>862.3471375883978</v>
      </c>
      <c r="V1733" s="22">
        <f t="shared" si="138"/>
        <v>0.35818111719560064</v>
      </c>
      <c r="X1733" s="33"/>
      <c r="Y1733" s="33"/>
    </row>
    <row r="1734" spans="1:25" x14ac:dyDescent="0.2">
      <c r="A1734" s="93" t="s">
        <v>761</v>
      </c>
      <c r="B1734" s="94">
        <f>IFERROR(VLOOKUP($A1734,HeadJournal!$A$1:$NTR$890,COLUMN(HeadJournal!B$1),0),"")</f>
        <v>0</v>
      </c>
      <c r="C1734" s="94" t="str">
        <f>IFERROR(VLOOKUP($A1734,HeadJournal!$A$1:$NTR$890,COLUMN(HeadJournal!C$1),0),"")</f>
        <v>NSP_AV</v>
      </c>
      <c r="D1734" s="125" t="str">
        <f>IFERROR(VLOOKUP($A1734,HeadJournal!$A$1:$NTR$890,COLUMN(HeadJournal!D$1),0),"")</f>
        <v>Доставлен</v>
      </c>
      <c r="E1734" s="95">
        <f>IFERROR(VLOOKUP($A1734,HeadJournal!$A$1:$NTR$890,COLUMN(HeadJournal!G$1),0),"")</f>
        <v>45093</v>
      </c>
      <c r="F1734" s="95" t="str">
        <f t="shared" si="139"/>
        <v>2023 06</v>
      </c>
      <c r="G1734" s="96" t="s">
        <v>5</v>
      </c>
      <c r="H1734" s="160" t="str">
        <f>RIGHT(Journal!$J1734,9)</f>
        <v>000001580</v>
      </c>
      <c r="I1734" s="96" t="str">
        <f t="shared" si="136"/>
        <v>NSP</v>
      </c>
      <c r="J1734" s="97" t="s">
        <v>757</v>
      </c>
      <c r="K1734" s="29">
        <v>2335.9166666666665</v>
      </c>
      <c r="L1734" s="29"/>
      <c r="M1734" s="30">
        <f>IFERROR(VLOOKUP($A1734,HeadJournal!$A$1:$J$890,COLUMN(HeadJournal!I$1),0)*($K1734+$L1734)/(SUMIF($A:$A,$A1734,$K:$K)+SUMIF($A:$A,$A1734,$L:$L)),0)</f>
        <v>51.78525841024836</v>
      </c>
      <c r="N1734" s="30">
        <f>IFERROR((VLOOKUP($A1734,HeadJournal!$A$1:$K$890,COLUMN(HeadJournal!K$1),0)-VLOOKUP($A1734,HeadJournal!$A$1:$K$890,COLUMN(HeadJournal!J$1),0))*($K1734+$L1734)/(SUMIF($A:$A,$A1734,$K:$K)+SUMIF($A:$A,$A1734,$L:$L)),0)</f>
        <v>-9.9359654640263691E-4</v>
      </c>
      <c r="O1734" s="30">
        <f>IFERROR((VLOOKUP($A1734,HeadJournal!$A$1:$L$890,COLUMN(HeadJournal!L$1),0)*($K1734+$L1734)/(SUMIF($A:$A,$A1734,$K:$K)+SUMIF($A:$A,$A1734,$L:$L)))/VLOOKUP($A1734,HeadJournal!$A$1:$L$890,COLUMN(HeadJournal!H$1),0),0)</f>
        <v>19.871930931233663</v>
      </c>
      <c r="P1734" s="30">
        <f>IFERROR(SUM(K1734:O1734)*VLOOKUP($A1734,HeadJournal!$A$1:$L$890,COLUMN(HeadJournal!H$1),0),0)</f>
        <v>2407.5728624116023</v>
      </c>
      <c r="Q1734" s="29">
        <v>3269.92</v>
      </c>
      <c r="R1734" s="31">
        <v>45110</v>
      </c>
      <c r="S1734" s="31" t="s">
        <v>3121</v>
      </c>
      <c r="T1734" s="95" t="str">
        <f t="shared" si="140"/>
        <v>2023 07</v>
      </c>
      <c r="U1734" s="32">
        <f t="shared" si="137"/>
        <v>862.3471375883978</v>
      </c>
      <c r="V1734" s="22">
        <f t="shared" si="138"/>
        <v>0.35818111719560064</v>
      </c>
      <c r="X1734" s="33"/>
      <c r="Y1734" s="33"/>
    </row>
    <row r="1735" spans="1:25" x14ac:dyDescent="0.2">
      <c r="A1735" s="93" t="s">
        <v>761</v>
      </c>
      <c r="B1735" s="94">
        <f>IFERROR(VLOOKUP($A1735,HeadJournal!$A$1:$NTR$890,COLUMN(HeadJournal!B$1),0),"")</f>
        <v>0</v>
      </c>
      <c r="C1735" s="94" t="str">
        <f>IFERROR(VLOOKUP($A1735,HeadJournal!$A$1:$NTR$890,COLUMN(HeadJournal!C$1),0),"")</f>
        <v>NSP_AV</v>
      </c>
      <c r="D1735" s="125" t="str">
        <f>IFERROR(VLOOKUP($A1735,HeadJournal!$A$1:$NTR$890,COLUMN(HeadJournal!D$1),0),"")</f>
        <v>Доставлен</v>
      </c>
      <c r="E1735" s="95">
        <f>IFERROR(VLOOKUP($A1735,HeadJournal!$A$1:$NTR$890,COLUMN(HeadJournal!G$1),0),"")</f>
        <v>45093</v>
      </c>
      <c r="F1735" s="95" t="str">
        <f t="shared" si="139"/>
        <v>2023 06</v>
      </c>
      <c r="G1735" s="96" t="s">
        <v>5</v>
      </c>
      <c r="H1735" s="160" t="str">
        <f>RIGHT(Journal!$J1735,9)</f>
        <v>000001841</v>
      </c>
      <c r="I1735" s="96" t="str">
        <f t="shared" si="136"/>
        <v>NSP</v>
      </c>
      <c r="J1735" s="97" t="s">
        <v>763</v>
      </c>
      <c r="K1735" s="29">
        <v>3073.15</v>
      </c>
      <c r="L1735" s="29"/>
      <c r="M1735" s="30">
        <f>IFERROR(VLOOKUP($A1735,HeadJournal!$A$1:$J$890,COLUMN(HeadJournal!I$1),0)*($K1735+$L1735)/(SUMIF($A:$A,$A1735,$K:$K)+SUMIF($A:$A,$A1735,$L:$L)),0)</f>
        <v>68.129085747973932</v>
      </c>
      <c r="N1735" s="30">
        <f>IFERROR((VLOOKUP($A1735,HeadJournal!$A$1:$K$890,COLUMN(HeadJournal!K$1),0)-VLOOKUP($A1735,HeadJournal!$A$1:$K$890,COLUMN(HeadJournal!J$1),0))*($K1735+$L1735)/(SUMIF($A:$A,$A1735,$K:$K)+SUMIF($A:$A,$A1735,$L:$L)),0)</f>
        <v>-1.3071832870367511E-3</v>
      </c>
      <c r="O1735" s="30">
        <f>IFERROR((VLOOKUP($A1735,HeadJournal!$A$1:$L$890,COLUMN(HeadJournal!L$1),0)*($K1735+$L1735)/(SUMIF($A:$A,$A1735,$K:$K)+SUMIF($A:$A,$A1735,$L:$L)))/VLOOKUP($A1735,HeadJournal!$A$1:$L$890,COLUMN(HeadJournal!H$1),0),0)</f>
        <v>26.143665744919865</v>
      </c>
      <c r="P1735" s="30">
        <f>IFERROR(SUM(K1735:O1735)*VLOOKUP($A1735,HeadJournal!$A$1:$L$890,COLUMN(HeadJournal!H$1),0),0)</f>
        <v>3167.4214443096071</v>
      </c>
      <c r="Q1735" s="29">
        <v>4302.7700000000004</v>
      </c>
      <c r="R1735" s="31">
        <v>45110</v>
      </c>
      <c r="S1735" s="31" t="s">
        <v>3121</v>
      </c>
      <c r="T1735" s="95" t="str">
        <f t="shared" si="140"/>
        <v>2023 07</v>
      </c>
      <c r="U1735" s="32">
        <f t="shared" si="137"/>
        <v>1135.3485556903934</v>
      </c>
      <c r="V1735" s="22">
        <f t="shared" si="138"/>
        <v>0.3584456870209331</v>
      </c>
      <c r="X1735" s="33"/>
      <c r="Y1735" s="33"/>
    </row>
    <row r="1736" spans="1:25" x14ac:dyDescent="0.2">
      <c r="A1736" s="93" t="s">
        <v>761</v>
      </c>
      <c r="B1736" s="94">
        <f>IFERROR(VLOOKUP($A1736,HeadJournal!$A$1:$NTR$890,COLUMN(HeadJournal!B$1),0),"")</f>
        <v>0</v>
      </c>
      <c r="C1736" s="94" t="str">
        <f>IFERROR(VLOOKUP($A1736,HeadJournal!$A$1:$NTR$890,COLUMN(HeadJournal!C$1),0),"")</f>
        <v>NSP_AV</v>
      </c>
      <c r="D1736" s="125" t="str">
        <f>IFERROR(VLOOKUP($A1736,HeadJournal!$A$1:$NTR$890,COLUMN(HeadJournal!D$1),0),"")</f>
        <v>Доставлен</v>
      </c>
      <c r="E1736" s="95">
        <f>IFERROR(VLOOKUP($A1736,HeadJournal!$A$1:$NTR$890,COLUMN(HeadJournal!G$1),0),"")</f>
        <v>45093</v>
      </c>
      <c r="F1736" s="95" t="str">
        <f t="shared" si="139"/>
        <v>2023 06</v>
      </c>
      <c r="G1736" s="96" t="s">
        <v>5</v>
      </c>
      <c r="H1736" s="160" t="str">
        <f>RIGHT(Journal!$J1736,9)</f>
        <v>000001622</v>
      </c>
      <c r="I1736" s="96" t="str">
        <f t="shared" si="136"/>
        <v>NSP</v>
      </c>
      <c r="J1736" s="97" t="s">
        <v>764</v>
      </c>
      <c r="K1736" s="29">
        <v>2725.84</v>
      </c>
      <c r="L1736" s="29"/>
      <c r="M1736" s="30">
        <f>IFERROR(VLOOKUP($A1736,HeadJournal!$A$1:$J$890,COLUMN(HeadJournal!I$1),0)*($K1736+$L1736)/(SUMIF($A:$A,$A1736,$K:$K)+SUMIF($A:$A,$A1736,$L:$L)),0)</f>
        <v>60.429522507933967</v>
      </c>
      <c r="N1736" s="30">
        <f>IFERROR((VLOOKUP($A1736,HeadJournal!$A$1:$K$890,COLUMN(HeadJournal!K$1),0)-VLOOKUP($A1736,HeadJournal!$A$1:$K$890,COLUMN(HeadJournal!J$1),0))*($K1736+$L1736)/(SUMIF($A:$A,$A1736,$K:$K)+SUMIF($A:$A,$A1736,$L:$L)),0)</f>
        <v>-1.1594528386626938E-3</v>
      </c>
      <c r="O1736" s="30">
        <f>IFERROR((VLOOKUP($A1736,HeadJournal!$A$1:$L$890,COLUMN(HeadJournal!L$1),0)*($K1736+$L1736)/(SUMIF($A:$A,$A1736,$K:$K)+SUMIF($A:$A,$A1736,$L:$L)))/VLOOKUP($A1736,HeadJournal!$A$1:$L$890,COLUMN(HeadJournal!H$1),0),0)</f>
        <v>23.189056776965774</v>
      </c>
      <c r="P1736" s="30">
        <f>IFERROR(SUM(K1736:O1736)*VLOOKUP($A1736,HeadJournal!$A$1:$L$890,COLUMN(HeadJournal!H$1),0),0)</f>
        <v>2809.4574198320611</v>
      </c>
      <c r="Q1736" s="29">
        <v>3815.81</v>
      </c>
      <c r="R1736" s="31">
        <v>45110</v>
      </c>
      <c r="S1736" s="31" t="s">
        <v>3121</v>
      </c>
      <c r="T1736" s="95" t="str">
        <f t="shared" si="140"/>
        <v>2023 07</v>
      </c>
      <c r="U1736" s="32">
        <f t="shared" si="137"/>
        <v>1006.3525801679389</v>
      </c>
      <c r="V1736" s="22">
        <f t="shared" si="138"/>
        <v>0.35820175563582485</v>
      </c>
      <c r="X1736" s="33"/>
      <c r="Y1736" s="33"/>
    </row>
    <row r="1737" spans="1:25" x14ac:dyDescent="0.2">
      <c r="A1737" s="93" t="s">
        <v>761</v>
      </c>
      <c r="B1737" s="94">
        <f>IFERROR(VLOOKUP($A1737,HeadJournal!$A$1:$NTR$890,COLUMN(HeadJournal!B$1),0),"")</f>
        <v>0</v>
      </c>
      <c r="C1737" s="94" t="str">
        <f>IFERROR(VLOOKUP($A1737,HeadJournal!$A$1:$NTR$890,COLUMN(HeadJournal!C$1),0),"")</f>
        <v>NSP_AV</v>
      </c>
      <c r="D1737" s="125" t="str">
        <f>IFERROR(VLOOKUP($A1737,HeadJournal!$A$1:$NTR$890,COLUMN(HeadJournal!D$1),0),"")</f>
        <v>Доставлен</v>
      </c>
      <c r="E1737" s="95">
        <f>IFERROR(VLOOKUP($A1737,HeadJournal!$A$1:$NTR$890,COLUMN(HeadJournal!G$1),0),"")</f>
        <v>45093</v>
      </c>
      <c r="F1737" s="95" t="str">
        <f t="shared" si="139"/>
        <v>2023 06</v>
      </c>
      <c r="G1737" s="96" t="s">
        <v>5</v>
      </c>
      <c r="H1737" s="160" t="str">
        <f>RIGHT(Journal!$J1737,9)</f>
        <v>000003302</v>
      </c>
      <c r="I1737" s="96" t="str">
        <f t="shared" si="136"/>
        <v>NSP</v>
      </c>
      <c r="J1737" s="97" t="s">
        <v>765</v>
      </c>
      <c r="K1737" s="29">
        <v>2186.29</v>
      </c>
      <c r="L1737" s="29"/>
      <c r="M1737" s="30">
        <f>IFERROR(VLOOKUP($A1737,HeadJournal!$A$1:$J$890,COLUMN(HeadJournal!I$1),0)*($K1737+$L1737)/(SUMIF($A:$A,$A1737,$K:$K)+SUMIF($A:$A,$A1737,$L:$L)),0)</f>
        <v>48.468164222357494</v>
      </c>
      <c r="N1737" s="30">
        <f>IFERROR((VLOOKUP($A1737,HeadJournal!$A$1:$K$890,COLUMN(HeadJournal!K$1),0)-VLOOKUP($A1737,HeadJournal!$A$1:$K$890,COLUMN(HeadJournal!J$1),0))*($K1737+$L1737)/(SUMIF($A:$A,$A1737,$K:$K)+SUMIF($A:$A,$A1737,$L:$L)),0)</f>
        <v>-9.2995192184422448E-4</v>
      </c>
      <c r="O1737" s="30">
        <f>IFERROR((VLOOKUP($A1737,HeadJournal!$A$1:$L$890,COLUMN(HeadJournal!L$1),0)*($K1737+$L1737)/(SUMIF($A:$A,$A1737,$K:$K)+SUMIF($A:$A,$A1737,$L:$L)))/VLOOKUP($A1737,HeadJournal!$A$1:$L$890,COLUMN(HeadJournal!H$1),0),0)</f>
        <v>18.599038439861658</v>
      </c>
      <c r="P1737" s="30">
        <f>IFERROR(SUM(K1737:O1737)*VLOOKUP($A1737,HeadJournal!$A$1:$L$890,COLUMN(HeadJournal!H$1),0),0)</f>
        <v>2253.3562727102972</v>
      </c>
      <c r="Q1737" s="29">
        <v>3060.45</v>
      </c>
      <c r="R1737" s="31">
        <v>45110</v>
      </c>
      <c r="S1737" s="31" t="s">
        <v>3121</v>
      </c>
      <c r="T1737" s="95" t="str">
        <f t="shared" si="140"/>
        <v>2023 07</v>
      </c>
      <c r="U1737" s="32">
        <f t="shared" si="137"/>
        <v>807.09372728970266</v>
      </c>
      <c r="V1737" s="22">
        <f t="shared" si="138"/>
        <v>0.35817404334333008</v>
      </c>
      <c r="X1737" s="33"/>
      <c r="Y1737" s="33"/>
    </row>
    <row r="1738" spans="1:25" x14ac:dyDescent="0.2">
      <c r="A1738" s="93" t="s">
        <v>761</v>
      </c>
      <c r="B1738" s="94">
        <f>IFERROR(VLOOKUP($A1738,HeadJournal!$A$1:$NTR$890,COLUMN(HeadJournal!B$1),0),"")</f>
        <v>0</v>
      </c>
      <c r="C1738" s="94" t="str">
        <f>IFERROR(VLOOKUP($A1738,HeadJournal!$A$1:$NTR$890,COLUMN(HeadJournal!C$1),0),"")</f>
        <v>NSP_AV</v>
      </c>
      <c r="D1738" s="125" t="str">
        <f>IFERROR(VLOOKUP($A1738,HeadJournal!$A$1:$NTR$890,COLUMN(HeadJournal!D$1),0),"")</f>
        <v>Доставлен</v>
      </c>
      <c r="E1738" s="95">
        <f>IFERROR(VLOOKUP($A1738,HeadJournal!$A$1:$NTR$890,COLUMN(HeadJournal!G$1),0),"")</f>
        <v>45093</v>
      </c>
      <c r="F1738" s="95" t="str">
        <f t="shared" si="139"/>
        <v>2023 06</v>
      </c>
      <c r="G1738" s="96" t="s">
        <v>5</v>
      </c>
      <c r="H1738" s="160" t="str">
        <f>RIGHT(Journal!$J1738,9)</f>
        <v>000000312</v>
      </c>
      <c r="I1738" s="96" t="str">
        <f t="shared" si="136"/>
        <v>NSP</v>
      </c>
      <c r="J1738" s="97" t="s">
        <v>766</v>
      </c>
      <c r="K1738" s="29">
        <v>2693.2</v>
      </c>
      <c r="L1738" s="29"/>
      <c r="M1738" s="30">
        <f>IFERROR(VLOOKUP($A1738,HeadJournal!$A$1:$J$890,COLUMN(HeadJournal!I$1),0)*($K1738+$L1738)/(SUMIF($A:$A,$A1738,$K:$K)+SUMIF($A:$A,$A1738,$L:$L)),0)</f>
        <v>59.705921851013905</v>
      </c>
      <c r="N1738" s="30">
        <f>IFERROR((VLOOKUP($A1738,HeadJournal!$A$1:$K$890,COLUMN(HeadJournal!K$1),0)-VLOOKUP($A1738,HeadJournal!$A$1:$K$890,COLUMN(HeadJournal!J$1),0))*($K1738+$L1738)/(SUMIF($A:$A,$A1738,$K:$K)+SUMIF($A:$A,$A1738,$L:$L)),0)</f>
        <v>-1.1455692135585239E-3</v>
      </c>
      <c r="O1738" s="30">
        <f>IFERROR((VLOOKUP($A1738,HeadJournal!$A$1:$L$890,COLUMN(HeadJournal!L$1),0)*($K1738+$L1738)/(SUMIF($A:$A,$A1738,$K:$K)+SUMIF($A:$A,$A1738,$L:$L)))/VLOOKUP($A1738,HeadJournal!$A$1:$L$890,COLUMN(HeadJournal!H$1),0),0)</f>
        <v>22.911384274837928</v>
      </c>
      <c r="P1738" s="30">
        <f>IFERROR(SUM(K1738:O1738)*VLOOKUP($A1738,HeadJournal!$A$1:$L$890,COLUMN(HeadJournal!H$1),0),0)</f>
        <v>2775.8161605566384</v>
      </c>
      <c r="Q1738" s="29">
        <v>3770.47</v>
      </c>
      <c r="R1738" s="31">
        <v>45110</v>
      </c>
      <c r="S1738" s="31" t="s">
        <v>3121</v>
      </c>
      <c r="T1738" s="95" t="str">
        <f t="shared" si="140"/>
        <v>2023 07</v>
      </c>
      <c r="U1738" s="32">
        <f t="shared" si="137"/>
        <v>994.65383944336145</v>
      </c>
      <c r="V1738" s="22">
        <f t="shared" si="138"/>
        <v>0.35832842735662368</v>
      </c>
      <c r="X1738" s="33"/>
      <c r="Y1738" s="33"/>
    </row>
    <row r="1739" spans="1:25" x14ac:dyDescent="0.2">
      <c r="A1739" s="93" t="s">
        <v>761</v>
      </c>
      <c r="B1739" s="94">
        <f>IFERROR(VLOOKUP($A1739,HeadJournal!$A$1:$NTR$890,COLUMN(HeadJournal!B$1),0),"")</f>
        <v>0</v>
      </c>
      <c r="C1739" s="94" t="str">
        <f>IFERROR(VLOOKUP($A1739,HeadJournal!$A$1:$NTR$890,COLUMN(HeadJournal!C$1),0),"")</f>
        <v>NSP_AV</v>
      </c>
      <c r="D1739" s="125" t="str">
        <f>IFERROR(VLOOKUP($A1739,HeadJournal!$A$1:$NTR$890,COLUMN(HeadJournal!D$1),0),"")</f>
        <v>Доставлен</v>
      </c>
      <c r="E1739" s="95">
        <f>IFERROR(VLOOKUP($A1739,HeadJournal!$A$1:$NTR$890,COLUMN(HeadJournal!G$1),0),"")</f>
        <v>45093</v>
      </c>
      <c r="F1739" s="95" t="str">
        <f t="shared" si="139"/>
        <v>2023 06</v>
      </c>
      <c r="G1739" s="96" t="s">
        <v>5</v>
      </c>
      <c r="H1739" s="160" t="str">
        <f>RIGHT(Journal!$J1739,9)</f>
        <v>000000999</v>
      </c>
      <c r="I1739" s="96" t="str">
        <f t="shared" si="136"/>
        <v>NSP</v>
      </c>
      <c r="J1739" s="97" t="s">
        <v>710</v>
      </c>
      <c r="K1739" s="29">
        <v>2446.5500000000002</v>
      </c>
      <c r="L1739" s="29"/>
      <c r="M1739" s="30">
        <f>IFERROR(VLOOKUP($A1739,HeadJournal!$A$1:$J$890,COLUMN(HeadJournal!I$1),0)*($K1739+$L1739)/(SUMIF($A:$A,$A1739,$K:$K)+SUMIF($A:$A,$A1739,$L:$L)),0)</f>
        <v>54.237904019232914</v>
      </c>
      <c r="N1739" s="30">
        <f>IFERROR((VLOOKUP($A1739,HeadJournal!$A$1:$K$890,COLUMN(HeadJournal!K$1),0)-VLOOKUP($A1739,HeadJournal!$A$1:$K$890,COLUMN(HeadJournal!J$1),0))*($K1739+$L1739)/(SUMIF($A:$A,$A1739,$K:$K)+SUMIF($A:$A,$A1739,$L:$L)),0)</f>
        <v>-1.0406551163788828E-3</v>
      </c>
      <c r="O1739" s="30">
        <f>IFERROR((VLOOKUP($A1739,HeadJournal!$A$1:$L$890,COLUMN(HeadJournal!L$1),0)*($K1739+$L1739)/(SUMIF($A:$A,$A1739,$K:$K)+SUMIF($A:$A,$A1739,$L:$L)))/VLOOKUP($A1739,HeadJournal!$A$1:$L$890,COLUMN(HeadJournal!H$1),0),0)</f>
        <v>20.813102330909231</v>
      </c>
      <c r="P1739" s="30">
        <f>IFERROR(SUM(K1739:O1739)*VLOOKUP($A1739,HeadJournal!$A$1:$L$890,COLUMN(HeadJournal!H$1),0),0)</f>
        <v>2521.5999656950257</v>
      </c>
      <c r="Q1739" s="29">
        <v>3424.98</v>
      </c>
      <c r="R1739" s="31">
        <v>45110</v>
      </c>
      <c r="S1739" s="31" t="s">
        <v>3121</v>
      </c>
      <c r="T1739" s="95" t="str">
        <f t="shared" si="140"/>
        <v>2023 07</v>
      </c>
      <c r="U1739" s="32">
        <f t="shared" si="137"/>
        <v>903.38003430497429</v>
      </c>
      <c r="V1739" s="22">
        <f t="shared" si="138"/>
        <v>0.35825668091487967</v>
      </c>
      <c r="X1739" s="33"/>
      <c r="Y1739" s="33"/>
    </row>
    <row r="1740" spans="1:25" x14ac:dyDescent="0.2">
      <c r="A1740" s="93" t="s">
        <v>761</v>
      </c>
      <c r="B1740" s="94">
        <f>IFERROR(VLOOKUP($A1740,HeadJournal!$A$1:$NTR$890,COLUMN(HeadJournal!B$1),0),"")</f>
        <v>0</v>
      </c>
      <c r="C1740" s="94" t="str">
        <f>IFERROR(VLOOKUP($A1740,HeadJournal!$A$1:$NTR$890,COLUMN(HeadJournal!C$1),0),"")</f>
        <v>NSP_AV</v>
      </c>
      <c r="D1740" s="125" t="str">
        <f>IFERROR(VLOOKUP($A1740,HeadJournal!$A$1:$NTR$890,COLUMN(HeadJournal!D$1),0),"")</f>
        <v>Доставлен</v>
      </c>
      <c r="E1740" s="95">
        <f>IFERROR(VLOOKUP($A1740,HeadJournal!$A$1:$NTR$890,COLUMN(HeadJournal!G$1),0),"")</f>
        <v>45093</v>
      </c>
      <c r="F1740" s="95" t="str">
        <f t="shared" si="139"/>
        <v>2023 06</v>
      </c>
      <c r="G1740" s="96" t="s">
        <v>5</v>
      </c>
      <c r="H1740" s="160" t="str">
        <f>RIGHT(Journal!$J1740,9)</f>
        <v>000000170</v>
      </c>
      <c r="I1740" s="96" t="str">
        <f t="shared" si="136"/>
        <v>NSP</v>
      </c>
      <c r="J1740" s="97" t="s">
        <v>531</v>
      </c>
      <c r="K1740" s="29">
        <v>1196.98</v>
      </c>
      <c r="L1740" s="29"/>
      <c r="M1740" s="30">
        <f>IFERROR(VLOOKUP($A1740,HeadJournal!$A$1:$J$890,COLUMN(HeadJournal!I$1),0)*($K1740+$L1740)/(SUMIF($A:$A,$A1740,$K:$K)+SUMIF($A:$A,$A1740,$L:$L)),0)</f>
        <v>26.536014531867899</v>
      </c>
      <c r="N1740" s="30">
        <f>IFERROR((VLOOKUP($A1740,HeadJournal!$A$1:$K$890,COLUMN(HeadJournal!K$1),0)-VLOOKUP($A1740,HeadJournal!$A$1:$K$890,COLUMN(HeadJournal!J$1),0))*($K1740+$L1740)/(SUMIF($A:$A,$A1740,$K:$K)+SUMIF($A:$A,$A1740,$L:$L)),0)</f>
        <v>-5.0914281792859126E-4</v>
      </c>
      <c r="O1740" s="30">
        <f>IFERROR((VLOOKUP($A1740,HeadJournal!$A$1:$L$890,COLUMN(HeadJournal!L$1),0)*($K1740+$L1740)/(SUMIF($A:$A,$A1740,$K:$K)+SUMIF($A:$A,$A1740,$L:$L)))/VLOOKUP($A1740,HeadJournal!$A$1:$L$890,COLUMN(HeadJournal!H$1),0),0)</f>
        <v>10.182856360201807</v>
      </c>
      <c r="P1740" s="30">
        <f>IFERROR(SUM(K1740:O1740)*VLOOKUP($A1740,HeadJournal!$A$1:$L$890,COLUMN(HeadJournal!H$1),0),0)</f>
        <v>1233.6983617492519</v>
      </c>
      <c r="Q1740" s="29">
        <v>1675.77</v>
      </c>
      <c r="R1740" s="31">
        <v>45110</v>
      </c>
      <c r="S1740" s="31" t="s">
        <v>3121</v>
      </c>
      <c r="T1740" s="95" t="str">
        <f t="shared" si="140"/>
        <v>2023 07</v>
      </c>
      <c r="U1740" s="32">
        <f t="shared" si="137"/>
        <v>442.07163825074804</v>
      </c>
      <c r="V1740" s="22">
        <f t="shared" si="138"/>
        <v>0.35833040875886213</v>
      </c>
      <c r="X1740" s="33"/>
      <c r="Y1740" s="33"/>
    </row>
    <row r="1741" spans="1:25" x14ac:dyDescent="0.2">
      <c r="A1741" s="93" t="s">
        <v>767</v>
      </c>
      <c r="B1741" s="94">
        <f>IFERROR(VLOOKUP($A1741,HeadJournal!$A$1:$NTR$890,COLUMN(HeadJournal!B$1),0),"")</f>
        <v>0</v>
      </c>
      <c r="C1741" s="94" t="str">
        <f>IFERROR(VLOOKUP($A1741,HeadJournal!$A$1:$NTR$890,COLUMN(HeadJournal!C$1),0),"")</f>
        <v>CoralClub_OA</v>
      </c>
      <c r="D1741" s="125" t="str">
        <f>IFERROR(VLOOKUP($A1741,HeadJournal!$A$1:$NTR$890,COLUMN(HeadJournal!D$1),0),"")</f>
        <v>Доставлен</v>
      </c>
      <c r="E1741" s="95">
        <f>IFERROR(VLOOKUP($A1741,HeadJournal!$A$1:$NTR$890,COLUMN(HeadJournal!G$1),0),"")</f>
        <v>45096</v>
      </c>
      <c r="F1741" s="95" t="str">
        <f t="shared" si="139"/>
        <v>2023 06</v>
      </c>
      <c r="G1741" s="96" t="s">
        <v>5</v>
      </c>
      <c r="H1741" s="160" t="str">
        <f>RIGHT(Journal!$J1741,9)</f>
        <v>000091848</v>
      </c>
      <c r="I1741" s="96" t="str">
        <f t="shared" si="136"/>
        <v>CoralClub</v>
      </c>
      <c r="J1741" s="97" t="s">
        <v>701</v>
      </c>
      <c r="K1741" s="29">
        <v>1332</v>
      </c>
      <c r="L1741" s="29"/>
      <c r="M1741" s="30">
        <f>IFERROR(VLOOKUP($A1741,HeadJournal!$A$1:$J$890,COLUMN(HeadJournal!I$1),0)*($K1741+$L1741)/(SUMIF($A:$A,$A1741,$K:$K)+SUMIF($A:$A,$A1741,$L:$L)),0)</f>
        <v>0</v>
      </c>
      <c r="N1741" s="30">
        <f>IFERROR((VLOOKUP($A1741,HeadJournal!$A$1:$K$890,COLUMN(HeadJournal!K$1),0)-VLOOKUP($A1741,HeadJournal!$A$1:$K$890,COLUMN(HeadJournal!J$1),0))*($K1741+$L1741)/(SUMIF($A:$A,$A1741,$K:$K)+SUMIF($A:$A,$A1741,$L:$L)),0)</f>
        <v>18</v>
      </c>
      <c r="O1741" s="30">
        <f>IFERROR((VLOOKUP($A1741,HeadJournal!$A$1:$L$890,COLUMN(HeadJournal!L$1),0)*($K1741+$L1741)/(SUMIF($A:$A,$A1741,$K:$K)+SUMIF($A:$A,$A1741,$L:$L)))/VLOOKUP($A1741,HeadJournal!$A$1:$L$890,COLUMN(HeadJournal!H$1),0),0)</f>
        <v>0</v>
      </c>
      <c r="P1741" s="30">
        <f>IFERROR(SUM(K1741:O1741)*VLOOKUP($A1741,HeadJournal!$A$1:$L$890,COLUMN(HeadJournal!H$1),0),0)</f>
        <v>1350</v>
      </c>
      <c r="Q1741" s="29">
        <v>1700</v>
      </c>
      <c r="R1741" s="31">
        <v>45097</v>
      </c>
      <c r="S1741" s="31" t="s">
        <v>3121</v>
      </c>
      <c r="T1741" s="95" t="str">
        <f t="shared" si="140"/>
        <v>2023 06</v>
      </c>
      <c r="U1741" s="32">
        <f t="shared" si="137"/>
        <v>350</v>
      </c>
      <c r="V1741" s="22">
        <f t="shared" si="138"/>
        <v>0.25925925925925924</v>
      </c>
      <c r="X1741" s="33"/>
      <c r="Y1741" s="33"/>
    </row>
    <row r="1742" spans="1:25" x14ac:dyDescent="0.2">
      <c r="A1742" s="93" t="s">
        <v>767</v>
      </c>
      <c r="B1742" s="94">
        <f>IFERROR(VLOOKUP($A1742,HeadJournal!$A$1:$NTR$890,COLUMN(HeadJournal!B$1),0),"")</f>
        <v>0</v>
      </c>
      <c r="C1742" s="94" t="str">
        <f>IFERROR(VLOOKUP($A1742,HeadJournal!$A$1:$NTR$890,COLUMN(HeadJournal!C$1),0),"")</f>
        <v>CoralClub_OA</v>
      </c>
      <c r="D1742" s="125" t="str">
        <f>IFERROR(VLOOKUP($A1742,HeadJournal!$A$1:$NTR$890,COLUMN(HeadJournal!D$1),0),"")</f>
        <v>Доставлен</v>
      </c>
      <c r="E1742" s="95">
        <f>IFERROR(VLOOKUP($A1742,HeadJournal!$A$1:$NTR$890,COLUMN(HeadJournal!G$1),0),"")</f>
        <v>45096</v>
      </c>
      <c r="F1742" s="95" t="str">
        <f t="shared" si="139"/>
        <v>2023 06</v>
      </c>
      <c r="G1742" s="96" t="s">
        <v>5</v>
      </c>
      <c r="H1742" s="160" t="str">
        <f>RIGHT(Journal!$J1742,9)</f>
        <v>000091848</v>
      </c>
      <c r="I1742" s="96" t="str">
        <f t="shared" ref="I1742:I1805" si="141">IFERROR(LEFT(J1742,FIND(",",J1742)-1),"")</f>
        <v>CoralClub</v>
      </c>
      <c r="J1742" s="97" t="s">
        <v>701</v>
      </c>
      <c r="K1742" s="29">
        <v>1332</v>
      </c>
      <c r="L1742" s="29"/>
      <c r="M1742" s="30">
        <f>IFERROR(VLOOKUP($A1742,HeadJournal!$A$1:$J$890,COLUMN(HeadJournal!I$1),0)*($K1742+$L1742)/(SUMIF($A:$A,$A1742,$K:$K)+SUMIF($A:$A,$A1742,$L:$L)),0)</f>
        <v>0</v>
      </c>
      <c r="N1742" s="30">
        <f>IFERROR((VLOOKUP($A1742,HeadJournal!$A$1:$K$890,COLUMN(HeadJournal!K$1),0)-VLOOKUP($A1742,HeadJournal!$A$1:$K$890,COLUMN(HeadJournal!J$1),0))*($K1742+$L1742)/(SUMIF($A:$A,$A1742,$K:$K)+SUMIF($A:$A,$A1742,$L:$L)),0)</f>
        <v>18</v>
      </c>
      <c r="O1742" s="30">
        <f>IFERROR((VLOOKUP($A1742,HeadJournal!$A$1:$L$890,COLUMN(HeadJournal!L$1),0)*($K1742+$L1742)/(SUMIF($A:$A,$A1742,$K:$K)+SUMIF($A:$A,$A1742,$L:$L)))/VLOOKUP($A1742,HeadJournal!$A$1:$L$890,COLUMN(HeadJournal!H$1),0),0)</f>
        <v>0</v>
      </c>
      <c r="P1742" s="30">
        <f>IFERROR(SUM(K1742:O1742)*VLOOKUP($A1742,HeadJournal!$A$1:$L$890,COLUMN(HeadJournal!H$1),0),0)</f>
        <v>1350</v>
      </c>
      <c r="Q1742" s="29">
        <v>1800</v>
      </c>
      <c r="R1742" s="31">
        <v>45204</v>
      </c>
      <c r="S1742" s="31" t="s">
        <v>3121</v>
      </c>
      <c r="T1742" s="95" t="str">
        <f t="shared" si="140"/>
        <v>2023 10</v>
      </c>
      <c r="U1742" s="32">
        <f t="shared" si="137"/>
        <v>450</v>
      </c>
      <c r="V1742" s="22">
        <f t="shared" si="138"/>
        <v>0.33333333333333331</v>
      </c>
      <c r="X1742" s="33"/>
      <c r="Y1742" s="33"/>
    </row>
    <row r="1743" spans="1:25" x14ac:dyDescent="0.2">
      <c r="A1743" s="93" t="s">
        <v>768</v>
      </c>
      <c r="B1743" s="94" t="str">
        <f>IFERROR(VLOOKUP($A1743,HeadJournal!$A$1:$NTR$890,COLUMN(HeadJournal!B$1),0),"")</f>
        <v>710000844692</v>
      </c>
      <c r="C1743" s="94" t="str">
        <f>IFERROR(VLOOKUP($A1743,HeadJournal!$A$1:$NTR$890,COLUMN(HeadJournal!C$1),0),"")</f>
        <v>iHerb_VP DFD1605</v>
      </c>
      <c r="D1743" s="125" t="str">
        <f>IFERROR(VLOOKUP($A1743,HeadJournal!$A$1:$NTR$890,COLUMN(HeadJournal!D$1),0),"")</f>
        <v>Доставлен</v>
      </c>
      <c r="E1743" s="95">
        <f>IFERROR(VLOOKUP($A1743,HeadJournal!$A$1:$NTR$890,COLUMN(HeadJournal!G$1),0),"")</f>
        <v>45095</v>
      </c>
      <c r="F1743" s="95" t="str">
        <f t="shared" si="139"/>
        <v>2023 06</v>
      </c>
      <c r="G1743" s="96" t="s">
        <v>5</v>
      </c>
      <c r="H1743" s="161" t="s">
        <v>2845</v>
      </c>
      <c r="I1743" s="97" t="s">
        <v>2839</v>
      </c>
      <c r="J1743" s="97" t="s">
        <v>2846</v>
      </c>
      <c r="K1743" s="29">
        <v>23.09</v>
      </c>
      <c r="L1743" s="29">
        <v>-1.165</v>
      </c>
      <c r="M1743" s="30">
        <f>IFERROR(VLOOKUP($A1743,HeadJournal!$A$1:$J$890,COLUMN(HeadJournal!I$1),0)*($K1743+$L1743)/(SUMIF($A:$A,$A1743,$K:$K)+SUMIF($A:$A,$A1743,$L:$L)),0)</f>
        <v>-0.2520718562874254</v>
      </c>
      <c r="N1743" s="30">
        <f>IFERROR((VLOOKUP($A1743,HeadJournal!$A$1:$K$890,COLUMN(HeadJournal!K$1),0)-VLOOKUP($A1743,HeadJournal!$A$1:$K$890,COLUMN(HeadJournal!J$1),0))*($K1743+$L1743)/(SUMIF($A:$A,$A1743,$K:$K)+SUMIF($A:$A,$A1743,$L:$L)),0)</f>
        <v>3.7314130494707058E-15</v>
      </c>
      <c r="O1743" s="30">
        <f>IFERROR((VLOOKUP($A1743,HeadJournal!$A$1:$L$890,COLUMN(HeadJournal!L$1),0)*($K1743+$L1743)/(SUMIF($A:$A,$A1743,$K:$K)+SUMIF($A:$A,$A1743,$L:$L)))/VLOOKUP($A1743,HeadJournal!$A$1:$L$890,COLUMN(HeadJournal!H$1),0),0)</f>
        <v>1.2657470074711119</v>
      </c>
      <c r="P1743" s="30">
        <f>IFERROR(SUM(K1743:O1743)*VLOOKUP($A1743,HeadJournal!$A$1:$L$890,COLUMN(HeadJournal!H$1),0),0)</f>
        <v>2144.559083832336</v>
      </c>
      <c r="Q1743" s="29">
        <v>3000</v>
      </c>
      <c r="R1743" s="31">
        <v>45323</v>
      </c>
      <c r="S1743" s="31" t="s">
        <v>3121</v>
      </c>
      <c r="T1743" s="95" t="str">
        <f t="shared" si="140"/>
        <v>2024 02</v>
      </c>
      <c r="U1743" s="32">
        <f t="shared" si="137"/>
        <v>855.440916167664</v>
      </c>
      <c r="V1743" s="22">
        <f t="shared" si="138"/>
        <v>0.39888894767076666</v>
      </c>
      <c r="X1743" s="33"/>
      <c r="Y1743" s="33"/>
    </row>
    <row r="1744" spans="1:25" x14ac:dyDescent="0.2">
      <c r="A1744" s="93" t="s">
        <v>768</v>
      </c>
      <c r="B1744" s="94" t="str">
        <f>IFERROR(VLOOKUP($A1744,HeadJournal!$A$1:$NTR$890,COLUMN(HeadJournal!B$1),0),"")</f>
        <v>710000844692</v>
      </c>
      <c r="C1744" s="94" t="str">
        <f>IFERROR(VLOOKUP($A1744,HeadJournal!$A$1:$NTR$890,COLUMN(HeadJournal!C$1),0),"")</f>
        <v>iHerb_VP DFD1605</v>
      </c>
      <c r="D1744" s="125" t="str">
        <f>IFERROR(VLOOKUP($A1744,HeadJournal!$A$1:$NTR$890,COLUMN(HeadJournal!D$1),0),"")</f>
        <v>Доставлен</v>
      </c>
      <c r="E1744" s="95">
        <f>IFERROR(VLOOKUP($A1744,HeadJournal!$A$1:$NTR$890,COLUMN(HeadJournal!G$1),0),"")</f>
        <v>45095</v>
      </c>
      <c r="F1744" s="95" t="str">
        <f t="shared" si="139"/>
        <v>2023 06</v>
      </c>
      <c r="G1744" s="96" t="s">
        <v>5</v>
      </c>
      <c r="H1744" s="161" t="s">
        <v>2845</v>
      </c>
      <c r="I1744" s="97" t="s">
        <v>2839</v>
      </c>
      <c r="J1744" s="97" t="s">
        <v>2846</v>
      </c>
      <c r="K1744" s="29">
        <v>23.09</v>
      </c>
      <c r="L1744" s="29">
        <v>-1.165</v>
      </c>
      <c r="M1744" s="30">
        <f>IFERROR(VLOOKUP($A1744,HeadJournal!$A$1:$J$890,COLUMN(HeadJournal!I$1),0)*($K1744+$L1744)/(SUMIF($A:$A,$A1744,$K:$K)+SUMIF($A:$A,$A1744,$L:$L)),0)</f>
        <v>-0.2520718562874254</v>
      </c>
      <c r="N1744" s="30">
        <f>IFERROR((VLOOKUP($A1744,HeadJournal!$A$1:$K$890,COLUMN(HeadJournal!K$1),0)-VLOOKUP($A1744,HeadJournal!$A$1:$K$890,COLUMN(HeadJournal!J$1),0))*($K1744+$L1744)/(SUMIF($A:$A,$A1744,$K:$K)+SUMIF($A:$A,$A1744,$L:$L)),0)</f>
        <v>3.7314130494707058E-15</v>
      </c>
      <c r="O1744" s="30">
        <f>IFERROR((VLOOKUP($A1744,HeadJournal!$A$1:$L$890,COLUMN(HeadJournal!L$1),0)*($K1744+$L1744)/(SUMIF($A:$A,$A1744,$K:$K)+SUMIF($A:$A,$A1744,$L:$L)))/VLOOKUP($A1744,HeadJournal!$A$1:$L$890,COLUMN(HeadJournal!H$1),0),0)</f>
        <v>1.2657470074711119</v>
      </c>
      <c r="P1744" s="30">
        <f>IFERROR(SUM(K1744:O1744)*VLOOKUP($A1744,HeadJournal!$A$1:$L$890,COLUMN(HeadJournal!H$1),0),0)</f>
        <v>2144.559083832336</v>
      </c>
      <c r="Q1744" s="29">
        <v>3000</v>
      </c>
      <c r="R1744" s="31">
        <v>45337</v>
      </c>
      <c r="S1744" s="31" t="s">
        <v>3121</v>
      </c>
      <c r="T1744" s="95" t="str">
        <f t="shared" si="140"/>
        <v>2024 02</v>
      </c>
      <c r="U1744" s="32">
        <f t="shared" si="137"/>
        <v>855.440916167664</v>
      </c>
      <c r="V1744" s="22">
        <f t="shared" si="138"/>
        <v>0.39888894767076666</v>
      </c>
      <c r="X1744" s="33"/>
      <c r="Y1744" s="33"/>
    </row>
    <row r="1745" spans="1:25" x14ac:dyDescent="0.2">
      <c r="A1745" s="93" t="s">
        <v>768</v>
      </c>
      <c r="B1745" s="94" t="str">
        <f>IFERROR(VLOOKUP($A1745,HeadJournal!$A$1:$NTR$890,COLUMN(HeadJournal!B$1),0),"")</f>
        <v>710000844692</v>
      </c>
      <c r="C1745" s="94" t="str">
        <f>IFERROR(VLOOKUP($A1745,HeadJournal!$A$1:$NTR$890,COLUMN(HeadJournal!C$1),0),"")</f>
        <v>iHerb_VP DFD1605</v>
      </c>
      <c r="D1745" s="125" t="str">
        <f>IFERROR(VLOOKUP($A1745,HeadJournal!$A$1:$NTR$890,COLUMN(HeadJournal!D$1),0),"")</f>
        <v>Доставлен</v>
      </c>
      <c r="E1745" s="95">
        <f>IFERROR(VLOOKUP($A1745,HeadJournal!$A$1:$NTR$890,COLUMN(HeadJournal!G$1),0),"")</f>
        <v>45095</v>
      </c>
      <c r="F1745" s="95" t="str">
        <f t="shared" si="139"/>
        <v>2023 06</v>
      </c>
      <c r="G1745" s="96" t="s">
        <v>5</v>
      </c>
      <c r="H1745" s="161" t="s">
        <v>2847</v>
      </c>
      <c r="I1745" s="97" t="s">
        <v>2839</v>
      </c>
      <c r="J1745" s="97" t="s">
        <v>2848</v>
      </c>
      <c r="K1745" s="29">
        <v>13.48</v>
      </c>
      <c r="L1745" s="29">
        <v>-0.67</v>
      </c>
      <c r="M1745" s="30">
        <f>IFERROR(VLOOKUP($A1745,HeadJournal!$A$1:$J$890,COLUMN(HeadJournal!I$1),0)*($K1745+$L1745)/(SUMIF($A:$A,$A1745,$K:$K)+SUMIF($A:$A,$A1745,$L:$L)),0)</f>
        <v>-0.14727664670658697</v>
      </c>
      <c r="N1745" s="30">
        <f>IFERROR((VLOOKUP($A1745,HeadJournal!$A$1:$K$890,COLUMN(HeadJournal!K$1),0)-VLOOKUP($A1745,HeadJournal!$A$1:$K$890,COLUMN(HeadJournal!J$1),0))*($K1745+$L1745)/(SUMIF($A:$A,$A1745,$K:$K)+SUMIF($A:$A,$A1745,$L:$L)),0)</f>
        <v>2.180132322176499E-15</v>
      </c>
      <c r="O1745" s="30">
        <f>IFERROR((VLOOKUP($A1745,HeadJournal!$A$1:$L$890,COLUMN(HeadJournal!L$1),0)*($K1745+$L1745)/(SUMIF($A:$A,$A1745,$K:$K)+SUMIF($A:$A,$A1745,$L:$L)))/VLOOKUP($A1745,HeadJournal!$A$1:$L$890,COLUMN(HeadJournal!H$1),0),0)</f>
        <v>0.73953109079612056</v>
      </c>
      <c r="P1745" s="30">
        <f>IFERROR(SUM(K1745:O1745)*VLOOKUP($A1745,HeadJournal!$A$1:$L$890,COLUMN(HeadJournal!H$1),0),0)</f>
        <v>1252.9898227544913</v>
      </c>
      <c r="Q1745" s="29">
        <v>1700</v>
      </c>
      <c r="R1745" s="31">
        <v>45143</v>
      </c>
      <c r="S1745" s="31" t="s">
        <v>3121</v>
      </c>
      <c r="T1745" s="95" t="str">
        <f t="shared" si="140"/>
        <v>2023 08</v>
      </c>
      <c r="U1745" s="32">
        <f t="shared" si="137"/>
        <v>447.01017724550866</v>
      </c>
      <c r="V1745" s="22">
        <f t="shared" si="138"/>
        <v>0.35675483481807579</v>
      </c>
      <c r="X1745" s="33"/>
      <c r="Y1745" s="33"/>
    </row>
    <row r="1746" spans="1:25" x14ac:dyDescent="0.2">
      <c r="A1746" s="93" t="s">
        <v>768</v>
      </c>
      <c r="B1746" s="94" t="str">
        <f>IFERROR(VLOOKUP($A1746,HeadJournal!$A$1:$NTR$890,COLUMN(HeadJournal!B$1),0),"")</f>
        <v>710000844692</v>
      </c>
      <c r="C1746" s="94" t="str">
        <f>IFERROR(VLOOKUP($A1746,HeadJournal!$A$1:$NTR$890,COLUMN(HeadJournal!C$1),0),"")</f>
        <v>iHerb_VP DFD1605</v>
      </c>
      <c r="D1746" s="125" t="str">
        <f>IFERROR(VLOOKUP($A1746,HeadJournal!$A$1:$NTR$890,COLUMN(HeadJournal!D$1),0),"")</f>
        <v>Доставлен</v>
      </c>
      <c r="E1746" s="95">
        <f>IFERROR(VLOOKUP($A1746,HeadJournal!$A$1:$NTR$890,COLUMN(HeadJournal!G$1),0),"")</f>
        <v>45095</v>
      </c>
      <c r="F1746" s="95" t="str">
        <f t="shared" si="139"/>
        <v>2023 06</v>
      </c>
      <c r="G1746" s="96" t="s">
        <v>5</v>
      </c>
      <c r="H1746" s="161" t="s">
        <v>2847</v>
      </c>
      <c r="I1746" s="97" t="s">
        <v>2839</v>
      </c>
      <c r="J1746" s="97" t="s">
        <v>2848</v>
      </c>
      <c r="K1746" s="29">
        <v>13.48</v>
      </c>
      <c r="L1746" s="29">
        <v>-0.67</v>
      </c>
      <c r="M1746" s="30">
        <f>IFERROR(VLOOKUP($A1746,HeadJournal!$A$1:$J$890,COLUMN(HeadJournal!I$1),0)*($K1746+$L1746)/(SUMIF($A:$A,$A1746,$K:$K)+SUMIF($A:$A,$A1746,$L:$L)),0)</f>
        <v>-0.14727664670658697</v>
      </c>
      <c r="N1746" s="30">
        <f>IFERROR((VLOOKUP($A1746,HeadJournal!$A$1:$K$890,COLUMN(HeadJournal!K$1),0)-VLOOKUP($A1746,HeadJournal!$A$1:$K$890,COLUMN(HeadJournal!J$1),0))*($K1746+$L1746)/(SUMIF($A:$A,$A1746,$K:$K)+SUMIF($A:$A,$A1746,$L:$L)),0)</f>
        <v>2.180132322176499E-15</v>
      </c>
      <c r="O1746" s="30">
        <f>IFERROR((VLOOKUP($A1746,HeadJournal!$A$1:$L$890,COLUMN(HeadJournal!L$1),0)*($K1746+$L1746)/(SUMIF($A:$A,$A1746,$K:$K)+SUMIF($A:$A,$A1746,$L:$L)))/VLOOKUP($A1746,HeadJournal!$A$1:$L$890,COLUMN(HeadJournal!H$1),0),0)</f>
        <v>0.73953109079612056</v>
      </c>
      <c r="P1746" s="30">
        <f>IFERROR(SUM(K1746:O1746)*VLOOKUP($A1746,HeadJournal!$A$1:$L$890,COLUMN(HeadJournal!H$1),0),0)</f>
        <v>1252.9898227544913</v>
      </c>
      <c r="Q1746" s="29">
        <v>1900</v>
      </c>
      <c r="R1746" s="31">
        <v>45218</v>
      </c>
      <c r="S1746" s="31" t="s">
        <v>3121</v>
      </c>
      <c r="T1746" s="95" t="str">
        <f t="shared" si="140"/>
        <v>2023 10</v>
      </c>
      <c r="U1746" s="32">
        <f t="shared" si="137"/>
        <v>647.01017724550866</v>
      </c>
      <c r="V1746" s="22">
        <f t="shared" si="138"/>
        <v>0.51637305067902595</v>
      </c>
      <c r="X1746" s="33"/>
      <c r="Y1746" s="33"/>
    </row>
    <row r="1747" spans="1:25" x14ac:dyDescent="0.2">
      <c r="A1747" s="93" t="s">
        <v>768</v>
      </c>
      <c r="B1747" s="94" t="str">
        <f>IFERROR(VLOOKUP($A1747,HeadJournal!$A$1:$NTR$890,COLUMN(HeadJournal!B$1),0),"")</f>
        <v>710000844692</v>
      </c>
      <c r="C1747" s="94" t="str">
        <f>IFERROR(VLOOKUP($A1747,HeadJournal!$A$1:$NTR$890,COLUMN(HeadJournal!C$1),0),"")</f>
        <v>iHerb_VP DFD1605</v>
      </c>
      <c r="D1747" s="125" t="str">
        <f>IFERROR(VLOOKUP($A1747,HeadJournal!$A$1:$NTR$890,COLUMN(HeadJournal!D$1),0),"")</f>
        <v>Доставлен</v>
      </c>
      <c r="E1747" s="95">
        <f>IFERROR(VLOOKUP($A1747,HeadJournal!$A$1:$NTR$890,COLUMN(HeadJournal!G$1),0),"")</f>
        <v>45095</v>
      </c>
      <c r="F1747" s="95" t="str">
        <f t="shared" si="139"/>
        <v>2023 06</v>
      </c>
      <c r="G1747" s="96" t="s">
        <v>5</v>
      </c>
      <c r="H1747" s="161" t="s">
        <v>2843</v>
      </c>
      <c r="I1747" s="97" t="s">
        <v>2839</v>
      </c>
      <c r="J1747" s="97" t="s">
        <v>2844</v>
      </c>
      <c r="K1747" s="29">
        <v>17.87</v>
      </c>
      <c r="L1747" s="29">
        <v>-0.89333333333333342</v>
      </c>
      <c r="M1747" s="30">
        <f>IFERROR(VLOOKUP($A1747,HeadJournal!$A$1:$J$890,COLUMN(HeadJournal!I$1),0)*($K1747+$L1747)/(SUMIF($A:$A,$A1747,$K:$K)+SUMIF($A:$A,$A1747,$L:$L)),0)</f>
        <v>-0.19518083832335345</v>
      </c>
      <c r="N1747" s="30">
        <f>IFERROR((VLOOKUP($A1747,HeadJournal!$A$1:$K$890,COLUMN(HeadJournal!K$1),0)-VLOOKUP($A1747,HeadJournal!$A$1:$K$890,COLUMN(HeadJournal!J$1),0))*($K1747+$L1747)/(SUMIF($A:$A,$A1747,$K:$K)+SUMIF($A:$A,$A1747,$L:$L)),0)</f>
        <v>2.8892568089630263E-15</v>
      </c>
      <c r="O1747" s="30">
        <f>IFERROR((VLOOKUP($A1747,HeadJournal!$A$1:$L$890,COLUMN(HeadJournal!L$1),0)*($K1747+$L1747)/(SUMIF($A:$A,$A1747,$K:$K)+SUMIF($A:$A,$A1747,$L:$L)))/VLOOKUP($A1747,HeadJournal!$A$1:$L$890,COLUMN(HeadJournal!H$1),0),0)</f>
        <v>0.98007594208291493</v>
      </c>
      <c r="P1747" s="30">
        <f>IFERROR(SUM(K1747:O1747)*VLOOKUP($A1747,HeadJournal!$A$1:$L$890,COLUMN(HeadJournal!H$1),0),0)</f>
        <v>1660.5457109780446</v>
      </c>
      <c r="Q1747" s="29">
        <v>2500</v>
      </c>
      <c r="R1747" s="31">
        <v>45124</v>
      </c>
      <c r="S1747" s="31" t="s">
        <v>3121</v>
      </c>
      <c r="T1747" s="95" t="str">
        <f t="shared" si="140"/>
        <v>2023 07</v>
      </c>
      <c r="U1747" s="32">
        <f t="shared" si="137"/>
        <v>839.45428902195545</v>
      </c>
      <c r="V1747" s="22">
        <f t="shared" si="138"/>
        <v>0.50552916638923806</v>
      </c>
      <c r="X1747" s="33"/>
      <c r="Y1747" s="33"/>
    </row>
    <row r="1748" spans="1:25" x14ac:dyDescent="0.2">
      <c r="A1748" s="93" t="s">
        <v>768</v>
      </c>
      <c r="B1748" s="94" t="str">
        <f>IFERROR(VLOOKUP($A1748,HeadJournal!$A$1:$NTR$890,COLUMN(HeadJournal!B$1),0),"")</f>
        <v>710000844692</v>
      </c>
      <c r="C1748" s="94" t="str">
        <f>IFERROR(VLOOKUP($A1748,HeadJournal!$A$1:$NTR$890,COLUMN(HeadJournal!C$1),0),"")</f>
        <v>iHerb_VP DFD1605</v>
      </c>
      <c r="D1748" s="125" t="str">
        <f>IFERROR(VLOOKUP($A1748,HeadJournal!$A$1:$NTR$890,COLUMN(HeadJournal!D$1),0),"")</f>
        <v>Доставлен</v>
      </c>
      <c r="E1748" s="95">
        <f>IFERROR(VLOOKUP($A1748,HeadJournal!$A$1:$NTR$890,COLUMN(HeadJournal!G$1),0),"")</f>
        <v>45095</v>
      </c>
      <c r="F1748" s="95" t="str">
        <f t="shared" si="139"/>
        <v>2023 06</v>
      </c>
      <c r="G1748" s="96" t="s">
        <v>5</v>
      </c>
      <c r="H1748" s="161" t="s">
        <v>2843</v>
      </c>
      <c r="I1748" s="97" t="s">
        <v>2839</v>
      </c>
      <c r="J1748" s="97" t="s">
        <v>2844</v>
      </c>
      <c r="K1748" s="29">
        <v>17.87</v>
      </c>
      <c r="L1748" s="29">
        <v>-0.89333333333333342</v>
      </c>
      <c r="M1748" s="30">
        <f>IFERROR(VLOOKUP($A1748,HeadJournal!$A$1:$J$890,COLUMN(HeadJournal!I$1),0)*($K1748+$L1748)/(SUMIF($A:$A,$A1748,$K:$K)+SUMIF($A:$A,$A1748,$L:$L)),0)</f>
        <v>-0.19518083832335345</v>
      </c>
      <c r="N1748" s="30">
        <f>IFERROR((VLOOKUP($A1748,HeadJournal!$A$1:$K$890,COLUMN(HeadJournal!K$1),0)-VLOOKUP($A1748,HeadJournal!$A$1:$K$890,COLUMN(HeadJournal!J$1),0))*($K1748+$L1748)/(SUMIF($A:$A,$A1748,$K:$K)+SUMIF($A:$A,$A1748,$L:$L)),0)</f>
        <v>2.8892568089630263E-15</v>
      </c>
      <c r="O1748" s="30">
        <f>IFERROR((VLOOKUP($A1748,HeadJournal!$A$1:$L$890,COLUMN(HeadJournal!L$1),0)*($K1748+$L1748)/(SUMIF($A:$A,$A1748,$K:$K)+SUMIF($A:$A,$A1748,$L:$L)))/VLOOKUP($A1748,HeadJournal!$A$1:$L$890,COLUMN(HeadJournal!H$1),0),0)</f>
        <v>0.98007594208291493</v>
      </c>
      <c r="P1748" s="30">
        <f>IFERROR(SUM(K1748:O1748)*VLOOKUP($A1748,HeadJournal!$A$1:$L$890,COLUMN(HeadJournal!H$1),0),0)</f>
        <v>1660.5457109780446</v>
      </c>
      <c r="Q1748" s="29">
        <v>2400</v>
      </c>
      <c r="R1748" s="31">
        <v>45195</v>
      </c>
      <c r="S1748" s="31" t="s">
        <v>3121</v>
      </c>
      <c r="T1748" s="95" t="str">
        <f t="shared" si="140"/>
        <v>2023 09</v>
      </c>
      <c r="U1748" s="32">
        <f t="shared" si="137"/>
        <v>739.45428902195545</v>
      </c>
      <c r="V1748" s="22">
        <f t="shared" si="138"/>
        <v>0.44530799973366852</v>
      </c>
      <c r="X1748" s="33"/>
      <c r="Y1748" s="33"/>
    </row>
    <row r="1749" spans="1:25" x14ac:dyDescent="0.2">
      <c r="A1749" s="93" t="s">
        <v>768</v>
      </c>
      <c r="B1749" s="94" t="str">
        <f>IFERROR(VLOOKUP($A1749,HeadJournal!$A$1:$NTR$890,COLUMN(HeadJournal!B$1),0),"")</f>
        <v>710000844692</v>
      </c>
      <c r="C1749" s="94" t="str">
        <f>IFERROR(VLOOKUP($A1749,HeadJournal!$A$1:$NTR$890,COLUMN(HeadJournal!C$1),0),"")</f>
        <v>iHerb_VP DFD1605</v>
      </c>
      <c r="D1749" s="125" t="str">
        <f>IFERROR(VLOOKUP($A1749,HeadJournal!$A$1:$NTR$890,COLUMN(HeadJournal!D$1),0),"")</f>
        <v>Доставлен</v>
      </c>
      <c r="E1749" s="95">
        <f>IFERROR(VLOOKUP($A1749,HeadJournal!$A$1:$NTR$890,COLUMN(HeadJournal!G$1),0),"")</f>
        <v>45095</v>
      </c>
      <c r="F1749" s="95" t="str">
        <f t="shared" si="139"/>
        <v>2023 06</v>
      </c>
      <c r="G1749" s="96" t="s">
        <v>5</v>
      </c>
      <c r="H1749" s="161" t="s">
        <v>2843</v>
      </c>
      <c r="I1749" s="97" t="s">
        <v>2839</v>
      </c>
      <c r="J1749" s="97" t="s">
        <v>2844</v>
      </c>
      <c r="K1749" s="29">
        <v>17.87</v>
      </c>
      <c r="L1749" s="29">
        <v>-0.89333333333333342</v>
      </c>
      <c r="M1749" s="30">
        <f>IFERROR(VLOOKUP($A1749,HeadJournal!$A$1:$J$890,COLUMN(HeadJournal!I$1),0)*($K1749+$L1749)/(SUMIF($A:$A,$A1749,$K:$K)+SUMIF($A:$A,$A1749,$L:$L)),0)</f>
        <v>-0.19518083832335345</v>
      </c>
      <c r="N1749" s="30">
        <f>IFERROR((VLOOKUP($A1749,HeadJournal!$A$1:$K$890,COLUMN(HeadJournal!K$1),0)-VLOOKUP($A1749,HeadJournal!$A$1:$K$890,COLUMN(HeadJournal!J$1),0))*($K1749+$L1749)/(SUMIF($A:$A,$A1749,$K:$K)+SUMIF($A:$A,$A1749,$L:$L)),0)</f>
        <v>2.8892568089630263E-15</v>
      </c>
      <c r="O1749" s="30">
        <f>IFERROR((VLOOKUP($A1749,HeadJournal!$A$1:$L$890,COLUMN(HeadJournal!L$1),0)*($K1749+$L1749)/(SUMIF($A:$A,$A1749,$K:$K)+SUMIF($A:$A,$A1749,$L:$L)))/VLOOKUP($A1749,HeadJournal!$A$1:$L$890,COLUMN(HeadJournal!H$1),0),0)</f>
        <v>0.98007594208291493</v>
      </c>
      <c r="P1749" s="30">
        <f>IFERROR(SUM(K1749:O1749)*VLOOKUP($A1749,HeadJournal!$A$1:$L$890,COLUMN(HeadJournal!H$1),0),0)</f>
        <v>1660.5457109780446</v>
      </c>
      <c r="Q1749" s="29">
        <v>2500</v>
      </c>
      <c r="R1749" s="31">
        <v>45209</v>
      </c>
      <c r="S1749" s="31" t="s">
        <v>3121</v>
      </c>
      <c r="T1749" s="95" t="str">
        <f t="shared" si="140"/>
        <v>2023 10</v>
      </c>
      <c r="U1749" s="32">
        <f t="shared" si="137"/>
        <v>839.45428902195545</v>
      </c>
      <c r="V1749" s="22">
        <f t="shared" si="138"/>
        <v>0.50552916638923806</v>
      </c>
      <c r="X1749" s="33"/>
      <c r="Y1749" s="33"/>
    </row>
    <row r="1750" spans="1:25" x14ac:dyDescent="0.2">
      <c r="A1750" s="93" t="s">
        <v>768</v>
      </c>
      <c r="B1750" s="94" t="str">
        <f>IFERROR(VLOOKUP($A1750,HeadJournal!$A$1:$NTR$890,COLUMN(HeadJournal!B$1),0),"")</f>
        <v>710000844692</v>
      </c>
      <c r="C1750" s="94" t="str">
        <f>IFERROR(VLOOKUP($A1750,HeadJournal!$A$1:$NTR$890,COLUMN(HeadJournal!C$1),0),"")</f>
        <v>iHerb_VP DFD1605</v>
      </c>
      <c r="D1750" s="125" t="str">
        <f>IFERROR(VLOOKUP($A1750,HeadJournal!$A$1:$NTR$890,COLUMN(HeadJournal!D$1),0),"")</f>
        <v>Доставлен</v>
      </c>
      <c r="E1750" s="95">
        <f>IFERROR(VLOOKUP($A1750,HeadJournal!$A$1:$NTR$890,COLUMN(HeadJournal!G$1),0),"")</f>
        <v>45095</v>
      </c>
      <c r="F1750" s="95" t="str">
        <f t="shared" si="139"/>
        <v>2023 06</v>
      </c>
      <c r="G1750" s="96" t="s">
        <v>5</v>
      </c>
      <c r="H1750" s="160" t="str">
        <f>RIGHT(Journal!$J1750,9)</f>
        <v>SOL-19377</v>
      </c>
      <c r="I1750" s="96" t="str">
        <f t="shared" si="141"/>
        <v>Solgar</v>
      </c>
      <c r="J1750" s="97" t="s">
        <v>769</v>
      </c>
      <c r="K1750" s="29">
        <v>15.27</v>
      </c>
      <c r="L1750" s="29">
        <v>-0.76</v>
      </c>
      <c r="M1750" s="30">
        <f>IFERROR(VLOOKUP($A1750,HeadJournal!$A$1:$J$890,COLUMN(HeadJournal!I$1),0)*($K1750+$L1750)/(SUMIF($A:$A,$A1750,$K:$K)+SUMIF($A:$A,$A1750,$L:$L)),0)</f>
        <v>-0.16682155688622768</v>
      </c>
      <c r="N1750" s="30">
        <f>IFERROR((VLOOKUP($A1750,HeadJournal!$A$1:$K$890,COLUMN(HeadJournal!K$1),0)-VLOOKUP($A1750,HeadJournal!$A$1:$K$890,COLUMN(HeadJournal!J$1),0))*($K1750+$L1750)/(SUMIF($A:$A,$A1750,$K:$K)+SUMIF($A:$A,$A1750,$L:$L)),0)</f>
        <v>2.4694551127854022E-15</v>
      </c>
      <c r="O1750" s="30">
        <f>IFERROR((VLOOKUP($A1750,HeadJournal!$A$1:$L$890,COLUMN(HeadJournal!L$1),0)*($K1750+$L1750)/(SUMIF($A:$A,$A1750,$K:$K)+SUMIF($A:$A,$A1750,$L:$L)))/VLOOKUP($A1750,HeadJournal!$A$1:$L$890,COLUMN(HeadJournal!H$1),0),0)</f>
        <v>0.83767339012113251</v>
      </c>
      <c r="P1750" s="30">
        <f>IFERROR(SUM(K1750:O1750)*VLOOKUP($A1750,HeadJournal!$A$1:$L$890,COLUMN(HeadJournal!H$1),0),0)</f>
        <v>1419.2726251497006</v>
      </c>
      <c r="Q1750" s="29">
        <v>2000</v>
      </c>
      <c r="R1750" s="31">
        <v>45139</v>
      </c>
      <c r="S1750" s="31" t="s">
        <v>3121</v>
      </c>
      <c r="T1750" s="95" t="str">
        <f t="shared" si="140"/>
        <v>2023 08</v>
      </c>
      <c r="U1750" s="32">
        <f t="shared" si="137"/>
        <v>580.72737485029938</v>
      </c>
      <c r="V1750" s="22">
        <f t="shared" si="138"/>
        <v>0.40917253285924965</v>
      </c>
      <c r="X1750" s="33"/>
      <c r="Y1750" s="33"/>
    </row>
    <row r="1751" spans="1:25" x14ac:dyDescent="0.2">
      <c r="A1751" s="93" t="s">
        <v>768</v>
      </c>
      <c r="B1751" s="94" t="str">
        <f>IFERROR(VLOOKUP($A1751,HeadJournal!$A$1:$NTR$890,COLUMN(HeadJournal!B$1),0),"")</f>
        <v>710000844692</v>
      </c>
      <c r="C1751" s="94" t="str">
        <f>IFERROR(VLOOKUP($A1751,HeadJournal!$A$1:$NTR$890,COLUMN(HeadJournal!C$1),0),"")</f>
        <v>iHerb_VP DFD1605</v>
      </c>
      <c r="D1751" s="125" t="str">
        <f>IFERROR(VLOOKUP($A1751,HeadJournal!$A$1:$NTR$890,COLUMN(HeadJournal!D$1),0),"")</f>
        <v>Доставлен</v>
      </c>
      <c r="E1751" s="95">
        <f>IFERROR(VLOOKUP($A1751,HeadJournal!$A$1:$NTR$890,COLUMN(HeadJournal!G$1),0),"")</f>
        <v>45095</v>
      </c>
      <c r="F1751" s="95" t="str">
        <f t="shared" si="139"/>
        <v>2023 06</v>
      </c>
      <c r="G1751" s="96" t="s">
        <v>5</v>
      </c>
      <c r="H1751" s="160" t="str">
        <f>RIGHT(Journal!$J1751,9)</f>
        <v>SOL-01250</v>
      </c>
      <c r="I1751" s="96" t="str">
        <f t="shared" si="141"/>
        <v>Solgar</v>
      </c>
      <c r="J1751" s="97" t="s">
        <v>770</v>
      </c>
      <c r="K1751" s="29">
        <v>20.09</v>
      </c>
      <c r="L1751" s="29">
        <v>-1</v>
      </c>
      <c r="M1751" s="30">
        <f>IFERROR(VLOOKUP($A1751,HeadJournal!$A$1:$J$890,COLUMN(HeadJournal!I$1),0)*($K1751+$L1751)/(SUMIF($A:$A,$A1751,$K:$K)+SUMIF($A:$A,$A1751,$L:$L)),0)</f>
        <v>-0.21947784431137746</v>
      </c>
      <c r="N1751" s="30">
        <f>IFERROR((VLOOKUP($A1751,HeadJournal!$A$1:$K$890,COLUMN(HeadJournal!K$1),0)-VLOOKUP($A1751,HeadJournal!$A$1:$K$890,COLUMN(HeadJournal!J$1),0))*($K1751+$L1751)/(SUMIF($A:$A,$A1751,$K:$K)+SUMIF($A:$A,$A1751,$L:$L)),0)</f>
        <v>3.2489247486611526E-15</v>
      </c>
      <c r="O1751" s="30">
        <f>IFERROR((VLOOKUP($A1751,HeadJournal!$A$1:$L$890,COLUMN(HeadJournal!L$1),0)*($K1751+$L1751)/(SUMIF($A:$A,$A1751,$K:$K)+SUMIF($A:$A,$A1751,$L:$L)))/VLOOKUP($A1751,HeadJournal!$A$1:$L$890,COLUMN(HeadJournal!H$1),0),0)</f>
        <v>1.1020802906555769</v>
      </c>
      <c r="P1751" s="30">
        <f>IFERROR(SUM(K1751:O1751)*VLOOKUP($A1751,HeadJournal!$A$1:$L$890,COLUMN(HeadJournal!H$1),0),0)</f>
        <v>1867.2580574850303</v>
      </c>
      <c r="Q1751" s="29">
        <v>2500</v>
      </c>
      <c r="R1751" s="31">
        <v>45263</v>
      </c>
      <c r="S1751" s="31" t="s">
        <v>3121</v>
      </c>
      <c r="T1751" s="95" t="str">
        <f t="shared" si="140"/>
        <v>2023 12</v>
      </c>
      <c r="U1751" s="32">
        <f t="shared" si="137"/>
        <v>632.74194251496965</v>
      </c>
      <c r="V1751" s="22">
        <f t="shared" si="138"/>
        <v>0.33886154084518783</v>
      </c>
      <c r="X1751" s="33"/>
      <c r="Y1751" s="33"/>
    </row>
    <row r="1752" spans="1:25" x14ac:dyDescent="0.2">
      <c r="A1752" s="93" t="s">
        <v>768</v>
      </c>
      <c r="B1752" s="94" t="str">
        <f>IFERROR(VLOOKUP($A1752,HeadJournal!$A$1:$NTR$890,COLUMN(HeadJournal!B$1),0),"")</f>
        <v>710000844692</v>
      </c>
      <c r="C1752" s="94" t="str">
        <f>IFERROR(VLOOKUP($A1752,HeadJournal!$A$1:$NTR$890,COLUMN(HeadJournal!C$1),0),"")</f>
        <v>iHerb_VP DFD1605</v>
      </c>
      <c r="D1752" s="125" t="str">
        <f>IFERROR(VLOOKUP($A1752,HeadJournal!$A$1:$NTR$890,COLUMN(HeadJournal!D$1),0),"")</f>
        <v>Доставлен</v>
      </c>
      <c r="E1752" s="95">
        <f>IFERROR(VLOOKUP($A1752,HeadJournal!$A$1:$NTR$890,COLUMN(HeadJournal!G$1),0),"")</f>
        <v>45095</v>
      </c>
      <c r="F1752" s="95" t="str">
        <f t="shared" si="139"/>
        <v>2023 06</v>
      </c>
      <c r="G1752" s="96" t="s">
        <v>5</v>
      </c>
      <c r="H1752" s="160" t="str">
        <f>RIGHT(Journal!$J1752,9)</f>
        <v>RHS-20001</v>
      </c>
      <c r="I1752" s="96" t="str">
        <f t="shared" si="141"/>
        <v>Real Health</v>
      </c>
      <c r="J1752" s="97" t="s">
        <v>684</v>
      </c>
      <c r="K1752" s="29">
        <v>19.53</v>
      </c>
      <c r="L1752" s="29">
        <v>-6.53</v>
      </c>
      <c r="M1752" s="30">
        <f>IFERROR(VLOOKUP($A1752,HeadJournal!$A$1:$J$890,COLUMN(HeadJournal!I$1),0)*($K1752+$L1752)/(SUMIF($A:$A,$A1752,$K:$K)+SUMIF($A:$A,$A1752,$L:$L)),0)</f>
        <v>-0.14946107784431151</v>
      </c>
      <c r="N1752" s="30">
        <f>IFERROR((VLOOKUP($A1752,HeadJournal!$A$1:$K$890,COLUMN(HeadJournal!K$1),0)-VLOOKUP($A1752,HeadJournal!$A$1:$K$890,COLUMN(HeadJournal!J$1),0))*($K1752+$L1752)/(SUMIF($A:$A,$A1752,$K:$K)+SUMIF($A:$A,$A1752,$L:$L)),0)</f>
        <v>2.2124683987739647E-15</v>
      </c>
      <c r="O1752" s="30">
        <f>IFERROR((VLOOKUP($A1752,HeadJournal!$A$1:$L$890,COLUMN(HeadJournal!L$1),0)*($K1752+$L1752)/(SUMIF($A:$A,$A1752,$K:$K)+SUMIF($A:$A,$A1752,$L:$L)))/VLOOKUP($A1752,HeadJournal!$A$1:$L$890,COLUMN(HeadJournal!H$1),0),0)</f>
        <v>0.75049993601479836</v>
      </c>
      <c r="P1752" s="30">
        <f>IFERROR(SUM(K1752:O1752)*VLOOKUP($A1752,HeadJournal!$A$1:$L$890,COLUMN(HeadJournal!H$1),0),0)</f>
        <v>1271.5743712574852</v>
      </c>
      <c r="Q1752" s="29">
        <v>2200</v>
      </c>
      <c r="R1752" s="31">
        <v>45131</v>
      </c>
      <c r="S1752" s="31" t="s">
        <v>3121</v>
      </c>
      <c r="T1752" s="95" t="str">
        <f t="shared" si="140"/>
        <v>2023 07</v>
      </c>
      <c r="U1752" s="32">
        <f t="shared" si="137"/>
        <v>928.42562874251485</v>
      </c>
      <c r="V1752" s="22">
        <f t="shared" si="138"/>
        <v>0.73013867668972932</v>
      </c>
      <c r="X1752" s="33"/>
      <c r="Y1752" s="33"/>
    </row>
    <row r="1753" spans="1:25" x14ac:dyDescent="0.2">
      <c r="A1753" s="93" t="s">
        <v>771</v>
      </c>
      <c r="B1753" s="94" t="str">
        <f>IFERROR(VLOOKUP($A1753,HeadJournal!$A$1:$NTR$890,COLUMN(HeadJournal!B$1),0),"")</f>
        <v>710000841136</v>
      </c>
      <c r="C1753" s="94" t="str">
        <f>IFERROR(VLOOKUP($A1753,HeadJournal!$A$1:$NTR$890,COLUMN(HeadJournal!C$1),0),"")</f>
        <v>iHerb_AV CYG0792</v>
      </c>
      <c r="D1753" s="125" t="str">
        <f>IFERROR(VLOOKUP($A1753,HeadJournal!$A$1:$NTR$890,COLUMN(HeadJournal!D$1),0),"")</f>
        <v>Доставлен</v>
      </c>
      <c r="E1753" s="95">
        <f>IFERROR(VLOOKUP($A1753,HeadJournal!$A$1:$NTR$890,COLUMN(HeadJournal!G$1),0),"")</f>
        <v>45092</v>
      </c>
      <c r="F1753" s="95" t="str">
        <f t="shared" si="139"/>
        <v>2023 06</v>
      </c>
      <c r="G1753" s="96" t="s">
        <v>5</v>
      </c>
      <c r="H1753" s="161" t="s">
        <v>2439</v>
      </c>
      <c r="I1753" s="97" t="s">
        <v>2042</v>
      </c>
      <c r="J1753" s="97" t="s">
        <v>2440</v>
      </c>
      <c r="K1753" s="29">
        <v>34.65</v>
      </c>
      <c r="L1753" s="29">
        <v>-3.4649999999999999</v>
      </c>
      <c r="M1753" s="30">
        <f>IFERROR(VLOOKUP($A1753,HeadJournal!$A$1:$J$890,COLUMN(HeadJournal!I$1),0)*($K1753+$L1753)/(SUMIF($A:$A,$A1753,$K:$K)+SUMIF($A:$A,$A1753,$L:$L)),0)</f>
        <v>2.1700550747442962</v>
      </c>
      <c r="N1753" s="30">
        <f>IFERROR((VLOOKUP($A1753,HeadJournal!$A$1:$K$890,COLUMN(HeadJournal!K$1),0)-VLOOKUP($A1753,HeadJournal!$A$1:$K$890,COLUMN(HeadJournal!J$1),0))*($K1753+$L1753)/(SUMIF($A:$A,$A1753,$K:$K)+SUMIF($A:$A,$A1753,$L:$L)),0)</f>
        <v>0</v>
      </c>
      <c r="O1753" s="30">
        <f>IFERROR((VLOOKUP($A1753,HeadJournal!$A$1:$L$890,COLUMN(HeadJournal!L$1),0)*($K1753+$L1753)/(SUMIF($A:$A,$A1753,$K:$K)+SUMIF($A:$A,$A1753,$L:$L)))/VLOOKUP($A1753,HeadJournal!$A$1:$L$890,COLUMN(HeadJournal!H$1),0),0)</f>
        <v>1.3273011500032792</v>
      </c>
      <c r="P1753" s="30">
        <f>IFERROR(SUM(K1753:O1753)*VLOOKUP($A1753,HeadJournal!$A$1:$L$890,COLUMN(HeadJournal!H$1),0),0)</f>
        <v>3210.4083752950432</v>
      </c>
      <c r="Q1753" s="29">
        <v>3900</v>
      </c>
      <c r="R1753" s="31">
        <v>45124</v>
      </c>
      <c r="S1753" s="31" t="s">
        <v>3121</v>
      </c>
      <c r="T1753" s="95" t="str">
        <f t="shared" si="140"/>
        <v>2023 07</v>
      </c>
      <c r="U1753" s="32">
        <f t="shared" si="137"/>
        <v>689.59162470495676</v>
      </c>
      <c r="V1753" s="22">
        <f t="shared" si="138"/>
        <v>0.21479872467675762</v>
      </c>
      <c r="X1753" s="33"/>
      <c r="Y1753" s="33"/>
    </row>
    <row r="1754" spans="1:25" x14ac:dyDescent="0.2">
      <c r="A1754" s="93" t="s">
        <v>771</v>
      </c>
      <c r="B1754" s="94" t="str">
        <f>IFERROR(VLOOKUP($A1754,HeadJournal!$A$1:$NTR$890,COLUMN(HeadJournal!B$1),0),"")</f>
        <v>710000841136</v>
      </c>
      <c r="C1754" s="94" t="str">
        <f>IFERROR(VLOOKUP($A1754,HeadJournal!$A$1:$NTR$890,COLUMN(HeadJournal!C$1),0),"")</f>
        <v>iHerb_AV CYG0792</v>
      </c>
      <c r="D1754" s="125" t="str">
        <f>IFERROR(VLOOKUP($A1754,HeadJournal!$A$1:$NTR$890,COLUMN(HeadJournal!D$1),0),"")</f>
        <v>Доставлен</v>
      </c>
      <c r="E1754" s="95">
        <f>IFERROR(VLOOKUP($A1754,HeadJournal!$A$1:$NTR$890,COLUMN(HeadJournal!G$1),0),"")</f>
        <v>45092</v>
      </c>
      <c r="F1754" s="95" t="str">
        <f t="shared" si="139"/>
        <v>2023 06</v>
      </c>
      <c r="G1754" s="96" t="s">
        <v>5</v>
      </c>
      <c r="H1754" s="161" t="s">
        <v>2439</v>
      </c>
      <c r="I1754" s="97" t="s">
        <v>2042</v>
      </c>
      <c r="J1754" s="97" t="s">
        <v>2440</v>
      </c>
      <c r="K1754" s="29">
        <v>34.65</v>
      </c>
      <c r="L1754" s="29">
        <v>-3.4649999999999999</v>
      </c>
      <c r="M1754" s="30">
        <f>IFERROR(VLOOKUP($A1754,HeadJournal!$A$1:$J$890,COLUMN(HeadJournal!I$1),0)*($K1754+$L1754)/(SUMIF($A:$A,$A1754,$K:$K)+SUMIF($A:$A,$A1754,$L:$L)),0)</f>
        <v>2.1700550747442962</v>
      </c>
      <c r="N1754" s="30">
        <f>IFERROR((VLOOKUP($A1754,HeadJournal!$A$1:$K$890,COLUMN(HeadJournal!K$1),0)-VLOOKUP($A1754,HeadJournal!$A$1:$K$890,COLUMN(HeadJournal!J$1),0))*($K1754+$L1754)/(SUMIF($A:$A,$A1754,$K:$K)+SUMIF($A:$A,$A1754,$L:$L)),0)</f>
        <v>0</v>
      </c>
      <c r="O1754" s="30">
        <f>IFERROR((VLOOKUP($A1754,HeadJournal!$A$1:$L$890,COLUMN(HeadJournal!L$1),0)*($K1754+$L1754)/(SUMIF($A:$A,$A1754,$K:$K)+SUMIF($A:$A,$A1754,$L:$L)))/VLOOKUP($A1754,HeadJournal!$A$1:$L$890,COLUMN(HeadJournal!H$1),0),0)</f>
        <v>1.3273011500032792</v>
      </c>
      <c r="P1754" s="30">
        <f>IFERROR(SUM(K1754:O1754)*VLOOKUP($A1754,HeadJournal!$A$1:$L$890,COLUMN(HeadJournal!H$1),0),0)</f>
        <v>3210.4083752950432</v>
      </c>
      <c r="Q1754" s="29">
        <v>3900</v>
      </c>
      <c r="R1754" s="31">
        <v>45124</v>
      </c>
      <c r="S1754" s="31" t="s">
        <v>3121</v>
      </c>
      <c r="T1754" s="95" t="str">
        <f t="shared" si="140"/>
        <v>2023 07</v>
      </c>
      <c r="U1754" s="32">
        <f t="shared" si="137"/>
        <v>689.59162470495676</v>
      </c>
      <c r="V1754" s="22">
        <f t="shared" si="138"/>
        <v>0.21479872467675762</v>
      </c>
      <c r="X1754" s="33"/>
      <c r="Y1754" s="33"/>
    </row>
    <row r="1755" spans="1:25" x14ac:dyDescent="0.2">
      <c r="A1755" s="93" t="s">
        <v>771</v>
      </c>
      <c r="B1755" s="94" t="str">
        <f>IFERROR(VLOOKUP($A1755,HeadJournal!$A$1:$NTR$890,COLUMN(HeadJournal!B$1),0),"")</f>
        <v>710000841136</v>
      </c>
      <c r="C1755" s="94" t="str">
        <f>IFERROR(VLOOKUP($A1755,HeadJournal!$A$1:$NTR$890,COLUMN(HeadJournal!C$1),0),"")</f>
        <v>iHerb_AV CYG0792</v>
      </c>
      <c r="D1755" s="125" t="str">
        <f>IFERROR(VLOOKUP($A1755,HeadJournal!$A$1:$NTR$890,COLUMN(HeadJournal!D$1),0),"")</f>
        <v>Доставлен</v>
      </c>
      <c r="E1755" s="95">
        <f>IFERROR(VLOOKUP($A1755,HeadJournal!$A$1:$NTR$890,COLUMN(HeadJournal!G$1),0),"")</f>
        <v>45092</v>
      </c>
      <c r="F1755" s="95" t="str">
        <f t="shared" si="139"/>
        <v>2023 06</v>
      </c>
      <c r="G1755" s="96" t="s">
        <v>5</v>
      </c>
      <c r="H1755" s="161" t="s">
        <v>2439</v>
      </c>
      <c r="I1755" s="97" t="s">
        <v>2042</v>
      </c>
      <c r="J1755" s="97" t="s">
        <v>2440</v>
      </c>
      <c r="K1755" s="29">
        <v>34.65</v>
      </c>
      <c r="L1755" s="29">
        <v>-3.4649999999999999</v>
      </c>
      <c r="M1755" s="30">
        <f>IFERROR(VLOOKUP($A1755,HeadJournal!$A$1:$J$890,COLUMN(HeadJournal!I$1),0)*($K1755+$L1755)/(SUMIF($A:$A,$A1755,$K:$K)+SUMIF($A:$A,$A1755,$L:$L)),0)</f>
        <v>2.1700550747442962</v>
      </c>
      <c r="N1755" s="30">
        <f>IFERROR((VLOOKUP($A1755,HeadJournal!$A$1:$K$890,COLUMN(HeadJournal!K$1),0)-VLOOKUP($A1755,HeadJournal!$A$1:$K$890,COLUMN(HeadJournal!J$1),0))*($K1755+$L1755)/(SUMIF($A:$A,$A1755,$K:$K)+SUMIF($A:$A,$A1755,$L:$L)),0)</f>
        <v>0</v>
      </c>
      <c r="O1755" s="30">
        <f>IFERROR((VLOOKUP($A1755,HeadJournal!$A$1:$L$890,COLUMN(HeadJournal!L$1),0)*($K1755+$L1755)/(SUMIF($A:$A,$A1755,$K:$K)+SUMIF($A:$A,$A1755,$L:$L)))/VLOOKUP($A1755,HeadJournal!$A$1:$L$890,COLUMN(HeadJournal!H$1),0),0)</f>
        <v>1.3273011500032792</v>
      </c>
      <c r="P1755" s="30">
        <f>IFERROR(SUM(K1755:O1755)*VLOOKUP($A1755,HeadJournal!$A$1:$L$890,COLUMN(HeadJournal!H$1),0),0)</f>
        <v>3210.4083752950432</v>
      </c>
      <c r="Q1755" s="29">
        <v>3900</v>
      </c>
      <c r="R1755" s="31">
        <v>45124</v>
      </c>
      <c r="S1755" s="31" t="s">
        <v>3121</v>
      </c>
      <c r="T1755" s="95" t="str">
        <f t="shared" si="140"/>
        <v>2023 07</v>
      </c>
      <c r="U1755" s="32">
        <f t="shared" si="137"/>
        <v>689.59162470495676</v>
      </c>
      <c r="V1755" s="22">
        <f t="shared" si="138"/>
        <v>0.21479872467675762</v>
      </c>
      <c r="X1755" s="33"/>
      <c r="Y1755" s="33"/>
    </row>
    <row r="1756" spans="1:25" x14ac:dyDescent="0.2">
      <c r="A1756" s="93" t="s">
        <v>771</v>
      </c>
      <c r="B1756" s="94" t="str">
        <f>IFERROR(VLOOKUP($A1756,HeadJournal!$A$1:$NTR$890,COLUMN(HeadJournal!B$1),0),"")</f>
        <v>710000841136</v>
      </c>
      <c r="C1756" s="94" t="str">
        <f>IFERROR(VLOOKUP($A1756,HeadJournal!$A$1:$NTR$890,COLUMN(HeadJournal!C$1),0),"")</f>
        <v>iHerb_AV CYG0792</v>
      </c>
      <c r="D1756" s="125" t="str">
        <f>IFERROR(VLOOKUP($A1756,HeadJournal!$A$1:$NTR$890,COLUMN(HeadJournal!D$1),0),"")</f>
        <v>Доставлен</v>
      </c>
      <c r="E1756" s="95">
        <f>IFERROR(VLOOKUP($A1756,HeadJournal!$A$1:$NTR$890,COLUMN(HeadJournal!G$1),0),"")</f>
        <v>45092</v>
      </c>
      <c r="F1756" s="95" t="str">
        <f t="shared" si="139"/>
        <v>2023 06</v>
      </c>
      <c r="G1756" s="96" t="s">
        <v>5</v>
      </c>
      <c r="H1756" s="161" t="s">
        <v>2439</v>
      </c>
      <c r="I1756" s="97" t="s">
        <v>2042</v>
      </c>
      <c r="J1756" s="97" t="s">
        <v>2440</v>
      </c>
      <c r="K1756" s="29">
        <v>34.65</v>
      </c>
      <c r="L1756" s="29">
        <v>-3.4649999999999999</v>
      </c>
      <c r="M1756" s="30">
        <f>IFERROR(VLOOKUP($A1756,HeadJournal!$A$1:$J$890,COLUMN(HeadJournal!I$1),0)*($K1756+$L1756)/(SUMIF($A:$A,$A1756,$K:$K)+SUMIF($A:$A,$A1756,$L:$L)),0)</f>
        <v>2.1700550747442962</v>
      </c>
      <c r="N1756" s="30">
        <f>IFERROR((VLOOKUP($A1756,HeadJournal!$A$1:$K$890,COLUMN(HeadJournal!K$1),0)-VLOOKUP($A1756,HeadJournal!$A$1:$K$890,COLUMN(HeadJournal!J$1),0))*($K1756+$L1756)/(SUMIF($A:$A,$A1756,$K:$K)+SUMIF($A:$A,$A1756,$L:$L)),0)</f>
        <v>0</v>
      </c>
      <c r="O1756" s="30">
        <f>IFERROR((VLOOKUP($A1756,HeadJournal!$A$1:$L$890,COLUMN(HeadJournal!L$1),0)*($K1756+$L1756)/(SUMIF($A:$A,$A1756,$K:$K)+SUMIF($A:$A,$A1756,$L:$L)))/VLOOKUP($A1756,HeadJournal!$A$1:$L$890,COLUMN(HeadJournal!H$1),0),0)</f>
        <v>1.3273011500032792</v>
      </c>
      <c r="P1756" s="30">
        <f>IFERROR(SUM(K1756:O1756)*VLOOKUP($A1756,HeadJournal!$A$1:$L$890,COLUMN(HeadJournal!H$1),0),0)</f>
        <v>3210.4083752950432</v>
      </c>
      <c r="Q1756" s="29">
        <v>3900</v>
      </c>
      <c r="R1756" s="31">
        <v>45124</v>
      </c>
      <c r="S1756" s="31" t="s">
        <v>3121</v>
      </c>
      <c r="T1756" s="95" t="str">
        <f t="shared" si="140"/>
        <v>2023 07</v>
      </c>
      <c r="U1756" s="32">
        <f t="shared" si="137"/>
        <v>689.59162470495676</v>
      </c>
      <c r="V1756" s="22">
        <f t="shared" si="138"/>
        <v>0.21479872467675762</v>
      </c>
      <c r="X1756" s="33"/>
      <c r="Y1756" s="33"/>
    </row>
    <row r="1757" spans="1:25" x14ac:dyDescent="0.2">
      <c r="A1757" s="93" t="s">
        <v>771</v>
      </c>
      <c r="B1757" s="94" t="str">
        <f>IFERROR(VLOOKUP($A1757,HeadJournal!$A$1:$NTR$890,COLUMN(HeadJournal!B$1),0),"")</f>
        <v>710000841136</v>
      </c>
      <c r="C1757" s="94" t="str">
        <f>IFERROR(VLOOKUP($A1757,HeadJournal!$A$1:$NTR$890,COLUMN(HeadJournal!C$1),0),"")</f>
        <v>iHerb_AV CYG0792</v>
      </c>
      <c r="D1757" s="125" t="str">
        <f>IFERROR(VLOOKUP($A1757,HeadJournal!$A$1:$NTR$890,COLUMN(HeadJournal!D$1),0),"")</f>
        <v>Доставлен</v>
      </c>
      <c r="E1757" s="95">
        <f>IFERROR(VLOOKUP($A1757,HeadJournal!$A$1:$NTR$890,COLUMN(HeadJournal!G$1),0),"")</f>
        <v>45092</v>
      </c>
      <c r="F1757" s="95" t="str">
        <f t="shared" si="139"/>
        <v>2023 06</v>
      </c>
      <c r="G1757" s="96" t="s">
        <v>5</v>
      </c>
      <c r="H1757" s="160" t="str">
        <f>RIGHT(Journal!$J1757,9)</f>
        <v>SNS-01177</v>
      </c>
      <c r="I1757" s="96" t="str">
        <f t="shared" si="141"/>
        <v>Source Naturals</v>
      </c>
      <c r="J1757" s="97" t="s">
        <v>772</v>
      </c>
      <c r="K1757" s="29">
        <v>24.69</v>
      </c>
      <c r="L1757" s="29">
        <v>-2.4700000000000002</v>
      </c>
      <c r="M1757" s="30">
        <f>IFERROR(VLOOKUP($A1757,HeadJournal!$A$1:$J$890,COLUMN(HeadJournal!I$1),0)*($K1757+$L1757)/(SUMIF($A:$A,$A1757,$K:$K)+SUMIF($A:$A,$A1757,$L:$L)),0)</f>
        <v>1.5462120814756537</v>
      </c>
      <c r="N1757" s="30">
        <f>IFERROR((VLOOKUP($A1757,HeadJournal!$A$1:$K$890,COLUMN(HeadJournal!K$1),0)-VLOOKUP($A1757,HeadJournal!$A$1:$K$890,COLUMN(HeadJournal!J$1),0))*($K1757+$L1757)/(SUMIF($A:$A,$A1757,$K:$K)+SUMIF($A:$A,$A1757,$L:$L)),0)</f>
        <v>0</v>
      </c>
      <c r="O1757" s="30">
        <f>IFERROR((VLOOKUP($A1757,HeadJournal!$A$1:$L$890,COLUMN(HeadJournal!L$1),0)*($K1757+$L1757)/(SUMIF($A:$A,$A1757,$K:$K)+SUMIF($A:$A,$A1757,$L:$L)))/VLOOKUP($A1757,HeadJournal!$A$1:$L$890,COLUMN(HeadJournal!H$1),0),0)</f>
        <v>0.94573133086653405</v>
      </c>
      <c r="P1757" s="30">
        <f>IFERROR(SUM(K1757:O1757)*VLOOKUP($A1757,HeadJournal!$A$1:$L$890,COLUMN(HeadJournal!H$1),0),0)</f>
        <v>2287.4867435964684</v>
      </c>
      <c r="Q1757" s="29">
        <v>2900</v>
      </c>
      <c r="R1757" s="31">
        <v>45123</v>
      </c>
      <c r="S1757" s="31" t="s">
        <v>3121</v>
      </c>
      <c r="T1757" s="95" t="str">
        <f t="shared" si="140"/>
        <v>2023 07</v>
      </c>
      <c r="U1757" s="32">
        <f t="shared" si="137"/>
        <v>612.51325640353161</v>
      </c>
      <c r="V1757" s="22">
        <f t="shared" si="138"/>
        <v>0.26776690973977685</v>
      </c>
      <c r="X1757" s="33"/>
      <c r="Y1757" s="33"/>
    </row>
    <row r="1758" spans="1:25" x14ac:dyDescent="0.2">
      <c r="A1758" s="93" t="s">
        <v>771</v>
      </c>
      <c r="B1758" s="94" t="str">
        <f>IFERROR(VLOOKUP($A1758,HeadJournal!$A$1:$NTR$890,COLUMN(HeadJournal!B$1),0),"")</f>
        <v>710000841136</v>
      </c>
      <c r="C1758" s="94" t="str">
        <f>IFERROR(VLOOKUP($A1758,HeadJournal!$A$1:$NTR$890,COLUMN(HeadJournal!C$1),0),"")</f>
        <v>iHerb_AV CYG0792</v>
      </c>
      <c r="D1758" s="125" t="str">
        <f>IFERROR(VLOOKUP($A1758,HeadJournal!$A$1:$NTR$890,COLUMN(HeadJournal!D$1),0),"")</f>
        <v>Доставлен</v>
      </c>
      <c r="E1758" s="95">
        <f>IFERROR(VLOOKUP($A1758,HeadJournal!$A$1:$NTR$890,COLUMN(HeadJournal!G$1),0),"")</f>
        <v>45092</v>
      </c>
      <c r="F1758" s="95" t="str">
        <f t="shared" si="139"/>
        <v>2023 06</v>
      </c>
      <c r="G1758" s="96" t="s">
        <v>5</v>
      </c>
      <c r="H1758" s="160" t="str">
        <f>RIGHT(Journal!$J1758,9)</f>
        <v>NOW-02008</v>
      </c>
      <c r="I1758" s="96" t="str">
        <f t="shared" si="141"/>
        <v>NOW Foods</v>
      </c>
      <c r="J1758" s="97" t="s">
        <v>773</v>
      </c>
      <c r="K1758" s="29">
        <v>19.37</v>
      </c>
      <c r="L1758" s="29">
        <v>-1.94</v>
      </c>
      <c r="M1758" s="30">
        <f>IFERROR(VLOOKUP($A1758,HeadJournal!$A$1:$J$890,COLUMN(HeadJournal!I$1),0)*($K1758+$L1758)/(SUMIF($A:$A,$A1758,$K:$K)+SUMIF($A:$A,$A1758,$L:$L)),0)</f>
        <v>1.2128927353789667</v>
      </c>
      <c r="N1758" s="30">
        <f>IFERROR((VLOOKUP($A1758,HeadJournal!$A$1:$K$890,COLUMN(HeadJournal!K$1),0)-VLOOKUP($A1758,HeadJournal!$A$1:$K$890,COLUMN(HeadJournal!J$1),0))*($K1758+$L1758)/(SUMIF($A:$A,$A1758,$K:$K)+SUMIF($A:$A,$A1758,$L:$L)),0)</f>
        <v>0</v>
      </c>
      <c r="O1758" s="30">
        <f>IFERROR((VLOOKUP($A1758,HeadJournal!$A$1:$L$890,COLUMN(HeadJournal!L$1),0)*($K1758+$L1758)/(SUMIF($A:$A,$A1758,$K:$K)+SUMIF($A:$A,$A1758,$L:$L)))/VLOOKUP($A1758,HeadJournal!$A$1:$L$890,COLUMN(HeadJournal!H$1),0),0)</f>
        <v>0.741858555220688</v>
      </c>
      <c r="P1758" s="30">
        <f>IFERROR(SUM(K1758:O1758)*VLOOKUP($A1758,HeadJournal!$A$1:$L$890,COLUMN(HeadJournal!H$1),0),0)</f>
        <v>1794.3696643063204</v>
      </c>
      <c r="Q1758" s="29">
        <v>2500</v>
      </c>
      <c r="R1758" s="31">
        <v>45123</v>
      </c>
      <c r="S1758" s="31" t="s">
        <v>3121</v>
      </c>
      <c r="T1758" s="95" t="str">
        <f t="shared" si="140"/>
        <v>2023 07</v>
      </c>
      <c r="U1758" s="32">
        <f t="shared" si="137"/>
        <v>705.63033569367963</v>
      </c>
      <c r="V1758" s="22">
        <f t="shared" si="138"/>
        <v>0.39324691546569751</v>
      </c>
      <c r="X1758" s="33"/>
      <c r="Y1758" s="33"/>
    </row>
    <row r="1759" spans="1:25" x14ac:dyDescent="0.2">
      <c r="A1759" s="93" t="s">
        <v>771</v>
      </c>
      <c r="B1759" s="94" t="str">
        <f>IFERROR(VLOOKUP($A1759,HeadJournal!$A$1:$NTR$890,COLUMN(HeadJournal!B$1),0),"")</f>
        <v>710000841136</v>
      </c>
      <c r="C1759" s="94" t="str">
        <f>IFERROR(VLOOKUP($A1759,HeadJournal!$A$1:$NTR$890,COLUMN(HeadJournal!C$1),0),"")</f>
        <v>iHerb_AV CYG0792</v>
      </c>
      <c r="D1759" s="125" t="str">
        <f>IFERROR(VLOOKUP($A1759,HeadJournal!$A$1:$NTR$890,COLUMN(HeadJournal!D$1),0),"")</f>
        <v>Доставлен</v>
      </c>
      <c r="E1759" s="95">
        <f>IFERROR(VLOOKUP($A1759,HeadJournal!$A$1:$NTR$890,COLUMN(HeadJournal!G$1),0),"")</f>
        <v>45092</v>
      </c>
      <c r="F1759" s="95" t="str">
        <f t="shared" si="139"/>
        <v>2023 06</v>
      </c>
      <c r="G1759" s="96" t="s">
        <v>5</v>
      </c>
      <c r="H1759" s="160" t="str">
        <f>RIGHT(Journal!$J1759,9)</f>
        <v>CEN-27305</v>
      </c>
      <c r="I1759" s="96" t="str">
        <f t="shared" si="141"/>
        <v>21st Century</v>
      </c>
      <c r="J1759" s="97" t="s">
        <v>99</v>
      </c>
      <c r="K1759" s="29">
        <v>6.63</v>
      </c>
      <c r="L1759" s="29">
        <v>-3.32</v>
      </c>
      <c r="M1759" s="30">
        <f>IFERROR(VLOOKUP($A1759,HeadJournal!$A$1:$J$890,COLUMN(HeadJournal!I$1),0)*($K1759+$L1759)/(SUMIF($A:$A,$A1759,$K:$K)+SUMIF($A:$A,$A1759,$L:$L)),0)</f>
        <v>0.23033132266806541</v>
      </c>
      <c r="N1759" s="30">
        <f>IFERROR((VLOOKUP($A1759,HeadJournal!$A$1:$K$890,COLUMN(HeadJournal!K$1),0)-VLOOKUP($A1759,HeadJournal!$A$1:$K$890,COLUMN(HeadJournal!J$1),0))*($K1759+$L1759)/(SUMIF($A:$A,$A1759,$K:$K)+SUMIF($A:$A,$A1759,$L:$L)),0)</f>
        <v>0</v>
      </c>
      <c r="O1759" s="30">
        <f>IFERROR((VLOOKUP($A1759,HeadJournal!$A$1:$L$890,COLUMN(HeadJournal!L$1),0)*($K1759+$L1759)/(SUMIF($A:$A,$A1759,$K:$K)+SUMIF($A:$A,$A1759,$L:$L)))/VLOOKUP($A1759,HeadJournal!$A$1:$L$890,COLUMN(HeadJournal!H$1),0),0)</f>
        <v>0.14088076980955119</v>
      </c>
      <c r="P1759" s="30">
        <f>IFERROR(SUM(K1759:O1759)*VLOOKUP($A1759,HeadJournal!$A$1:$L$890,COLUMN(HeadJournal!H$1),0),0)</f>
        <v>340.75522598129209</v>
      </c>
      <c r="Q1759" s="29">
        <v>1600</v>
      </c>
      <c r="R1759" s="31">
        <v>45841</v>
      </c>
      <c r="S1759" s="31" t="s">
        <v>3231</v>
      </c>
      <c r="T1759" s="95" t="str">
        <f t="shared" si="140"/>
        <v>2025 07</v>
      </c>
      <c r="U1759" s="32">
        <f t="shared" si="137"/>
        <v>1259.2447740187079</v>
      </c>
      <c r="V1759" s="22">
        <f t="shared" si="138"/>
        <v>3.6954525653785337</v>
      </c>
      <c r="X1759" s="33"/>
      <c r="Y1759" s="33"/>
    </row>
    <row r="1760" spans="1:25" x14ac:dyDescent="0.2">
      <c r="A1760" s="93" t="s">
        <v>771</v>
      </c>
      <c r="B1760" s="94" t="str">
        <f>IFERROR(VLOOKUP($A1760,HeadJournal!$A$1:$NTR$890,COLUMN(HeadJournal!B$1),0),"")</f>
        <v>710000841136</v>
      </c>
      <c r="C1760" s="94" t="str">
        <f>IFERROR(VLOOKUP($A1760,HeadJournal!$A$1:$NTR$890,COLUMN(HeadJournal!C$1),0),"")</f>
        <v>iHerb_AV CYG0792</v>
      </c>
      <c r="D1760" s="125" t="str">
        <f>IFERROR(VLOOKUP($A1760,HeadJournal!$A$1:$NTR$890,COLUMN(HeadJournal!D$1),0),"")</f>
        <v>Доставлен</v>
      </c>
      <c r="E1760" s="95">
        <f>IFERROR(VLOOKUP($A1760,HeadJournal!$A$1:$NTR$890,COLUMN(HeadJournal!G$1),0),"")</f>
        <v>45092</v>
      </c>
      <c r="F1760" s="95" t="str">
        <f t="shared" si="139"/>
        <v>2023 06</v>
      </c>
      <c r="G1760" s="96" t="s">
        <v>5</v>
      </c>
      <c r="H1760" s="161" t="s">
        <v>2027</v>
      </c>
      <c r="I1760" s="97" t="s">
        <v>2005</v>
      </c>
      <c r="J1760" s="97" t="s">
        <v>4110</v>
      </c>
      <c r="K1760" s="29">
        <v>6.64</v>
      </c>
      <c r="L1760" s="29">
        <v>-1.99</v>
      </c>
      <c r="M1760" s="30">
        <f>IFERROR(VLOOKUP($A1760,HeadJournal!$A$1:$J$890,COLUMN(HeadJournal!I$1),0)*($K1760+$L1760)/(SUMIF($A:$A,$A1760,$K:$K)+SUMIF($A:$A,$A1760,$L:$L)),0)</f>
        <v>0.32357723577235775</v>
      </c>
      <c r="N1760" s="30">
        <f>IFERROR((VLOOKUP($A1760,HeadJournal!$A$1:$K$890,COLUMN(HeadJournal!K$1),0)-VLOOKUP($A1760,HeadJournal!$A$1:$K$890,COLUMN(HeadJournal!J$1),0))*($K1760+$L1760)/(SUMIF($A:$A,$A1760,$K:$K)+SUMIF($A:$A,$A1760,$L:$L)),0)</f>
        <v>0</v>
      </c>
      <c r="O1760" s="30">
        <f>IFERROR((VLOOKUP($A1760,HeadJournal!$A$1:$L$890,COLUMN(HeadJournal!L$1),0)*($K1760+$L1760)/(SUMIF($A:$A,$A1760,$K:$K)+SUMIF($A:$A,$A1760,$L:$L)))/VLOOKUP($A1760,HeadJournal!$A$1:$L$890,COLUMN(HeadJournal!H$1),0),0)</f>
        <v>0.19791407239106132</v>
      </c>
      <c r="P1760" s="30">
        <f>IFERROR(SUM(K1760:O1760)*VLOOKUP($A1760,HeadJournal!$A$1:$L$890,COLUMN(HeadJournal!H$1),0),0)</f>
        <v>478.70447154471537</v>
      </c>
      <c r="Q1760" s="29">
        <v>1100</v>
      </c>
      <c r="R1760" s="31">
        <v>45302</v>
      </c>
      <c r="S1760" s="31" t="s">
        <v>3121</v>
      </c>
      <c r="T1760" s="95" t="str">
        <f t="shared" si="140"/>
        <v>2024 01</v>
      </c>
      <c r="U1760" s="32">
        <f t="shared" si="137"/>
        <v>621.29552845528463</v>
      </c>
      <c r="V1760" s="22">
        <f t="shared" si="138"/>
        <v>1.2978686546429095</v>
      </c>
      <c r="X1760" s="33"/>
      <c r="Y1760" s="33"/>
    </row>
    <row r="1761" spans="1:25" x14ac:dyDescent="0.2">
      <c r="A1761" s="93" t="s">
        <v>771</v>
      </c>
      <c r="B1761" s="94" t="str">
        <f>IFERROR(VLOOKUP($A1761,HeadJournal!$A$1:$NTR$890,COLUMN(HeadJournal!B$1),0),"")</f>
        <v>710000841136</v>
      </c>
      <c r="C1761" s="94" t="str">
        <f>IFERROR(VLOOKUP($A1761,HeadJournal!$A$1:$NTR$890,COLUMN(HeadJournal!C$1),0),"")</f>
        <v>iHerb_AV CYG0792</v>
      </c>
      <c r="D1761" s="125" t="str">
        <f>IFERROR(VLOOKUP($A1761,HeadJournal!$A$1:$NTR$890,COLUMN(HeadJournal!D$1),0),"")</f>
        <v>Доставлен</v>
      </c>
      <c r="E1761" s="95">
        <f>IFERROR(VLOOKUP($A1761,HeadJournal!$A$1:$NTR$890,COLUMN(HeadJournal!G$1),0),"")</f>
        <v>45092</v>
      </c>
      <c r="F1761" s="95" t="str">
        <f t="shared" si="139"/>
        <v>2023 06</v>
      </c>
      <c r="G1761" s="96" t="s">
        <v>5</v>
      </c>
      <c r="H1761" s="161" t="s">
        <v>2027</v>
      </c>
      <c r="I1761" s="97" t="s">
        <v>2005</v>
      </c>
      <c r="J1761" s="97" t="s">
        <v>4110</v>
      </c>
      <c r="K1761" s="29">
        <v>6.64</v>
      </c>
      <c r="L1761" s="29">
        <v>-1.99</v>
      </c>
      <c r="M1761" s="30">
        <f>IFERROR(VLOOKUP($A1761,HeadJournal!$A$1:$J$890,COLUMN(HeadJournal!I$1),0)*($K1761+$L1761)/(SUMIF($A:$A,$A1761,$K:$K)+SUMIF($A:$A,$A1761,$L:$L)),0)</f>
        <v>0.32357723577235775</v>
      </c>
      <c r="N1761" s="30">
        <f>IFERROR((VLOOKUP($A1761,HeadJournal!$A$1:$K$890,COLUMN(HeadJournal!K$1),0)-VLOOKUP($A1761,HeadJournal!$A$1:$K$890,COLUMN(HeadJournal!J$1),0))*($K1761+$L1761)/(SUMIF($A:$A,$A1761,$K:$K)+SUMIF($A:$A,$A1761,$L:$L)),0)</f>
        <v>0</v>
      </c>
      <c r="O1761" s="30">
        <f>IFERROR((VLOOKUP($A1761,HeadJournal!$A$1:$L$890,COLUMN(HeadJournal!L$1),0)*($K1761+$L1761)/(SUMIF($A:$A,$A1761,$K:$K)+SUMIF($A:$A,$A1761,$L:$L)))/VLOOKUP($A1761,HeadJournal!$A$1:$L$890,COLUMN(HeadJournal!H$1),0),0)</f>
        <v>0.19791407239106132</v>
      </c>
      <c r="P1761" s="30">
        <f>IFERROR(SUM(K1761:O1761)*VLOOKUP($A1761,HeadJournal!$A$1:$L$890,COLUMN(HeadJournal!H$1),0),0)</f>
        <v>478.70447154471537</v>
      </c>
      <c r="Q1761" s="29">
        <v>1200</v>
      </c>
      <c r="R1761" s="31">
        <v>45332</v>
      </c>
      <c r="S1761" s="31" t="s">
        <v>3121</v>
      </c>
      <c r="T1761" s="95" t="str">
        <f t="shared" si="140"/>
        <v>2024 02</v>
      </c>
      <c r="U1761" s="32">
        <f t="shared" si="137"/>
        <v>721.29552845528463</v>
      </c>
      <c r="V1761" s="22">
        <f t="shared" si="138"/>
        <v>1.5067658050649919</v>
      </c>
      <c r="X1761" s="33"/>
      <c r="Y1761" s="33"/>
    </row>
    <row r="1762" spans="1:25" x14ac:dyDescent="0.2">
      <c r="A1762" s="93" t="s">
        <v>771</v>
      </c>
      <c r="B1762" s="94" t="str">
        <f>IFERROR(VLOOKUP($A1762,HeadJournal!$A$1:$NTR$890,COLUMN(HeadJournal!B$1),0),"")</f>
        <v>710000841136</v>
      </c>
      <c r="C1762" s="94" t="str">
        <f>IFERROR(VLOOKUP($A1762,HeadJournal!$A$1:$NTR$890,COLUMN(HeadJournal!C$1),0),"")</f>
        <v>iHerb_AV CYG0792</v>
      </c>
      <c r="D1762" s="125" t="str">
        <f>IFERROR(VLOOKUP($A1762,HeadJournal!$A$1:$NTR$890,COLUMN(HeadJournal!D$1),0),"")</f>
        <v>Доставлен</v>
      </c>
      <c r="E1762" s="95">
        <f>IFERROR(VLOOKUP($A1762,HeadJournal!$A$1:$NTR$890,COLUMN(HeadJournal!G$1),0),"")</f>
        <v>45092</v>
      </c>
      <c r="F1762" s="95" t="str">
        <f t="shared" si="139"/>
        <v>2023 06</v>
      </c>
      <c r="G1762" s="96" t="s">
        <v>5</v>
      </c>
      <c r="H1762" s="161" t="s">
        <v>2661</v>
      </c>
      <c r="I1762" s="97" t="s">
        <v>2005</v>
      </c>
      <c r="J1762" s="97" t="s">
        <v>2662</v>
      </c>
      <c r="K1762" s="29">
        <v>9.6</v>
      </c>
      <c r="L1762" s="29">
        <v>-2.88</v>
      </c>
      <c r="M1762" s="30">
        <f>IFERROR(VLOOKUP($A1762,HeadJournal!$A$1:$J$890,COLUMN(HeadJournal!I$1),0)*($K1762+$L1762)/(SUMIF($A:$A,$A1762,$K:$K)+SUMIF($A:$A,$A1762,$L:$L)),0)</f>
        <v>0.46762129556779441</v>
      </c>
      <c r="N1762" s="30">
        <f>IFERROR((VLOOKUP($A1762,HeadJournal!$A$1:$K$890,COLUMN(HeadJournal!K$1),0)-VLOOKUP($A1762,HeadJournal!$A$1:$K$890,COLUMN(HeadJournal!J$1),0))*($K1762+$L1762)/(SUMIF($A:$A,$A1762,$K:$K)+SUMIF($A:$A,$A1762,$L:$L)),0)</f>
        <v>0</v>
      </c>
      <c r="O1762" s="30">
        <f>IFERROR((VLOOKUP($A1762,HeadJournal!$A$1:$L$890,COLUMN(HeadJournal!L$1),0)*($K1762+$L1762)/(SUMIF($A:$A,$A1762,$K:$K)+SUMIF($A:$A,$A1762,$L:$L)))/VLOOKUP($A1762,HeadJournal!$A$1:$L$890,COLUMN(HeadJournal!H$1),0),0)</f>
        <v>0.28601775622966286</v>
      </c>
      <c r="P1762" s="30">
        <f>IFERROR(SUM(K1762:O1762)*VLOOKUP($A1762,HeadJournal!$A$1:$L$890,COLUMN(HeadJournal!H$1),0),0)</f>
        <v>691.80517178075013</v>
      </c>
      <c r="Q1762" s="29">
        <v>1600</v>
      </c>
      <c r="R1762" s="31">
        <v>45402</v>
      </c>
      <c r="S1762" s="31" t="s">
        <v>3121</v>
      </c>
      <c r="T1762" s="95" t="str">
        <f t="shared" si="140"/>
        <v>2024 04</v>
      </c>
      <c r="U1762" s="32">
        <f t="shared" si="137"/>
        <v>908.19482821924987</v>
      </c>
      <c r="V1762" s="22">
        <f t="shared" si="138"/>
        <v>1.3127898796730575</v>
      </c>
      <c r="X1762" s="33"/>
      <c r="Y1762" s="33"/>
    </row>
    <row r="1763" spans="1:25" x14ac:dyDescent="0.2">
      <c r="A1763" s="93" t="s">
        <v>771</v>
      </c>
      <c r="B1763" s="94" t="str">
        <f>IFERROR(VLOOKUP($A1763,HeadJournal!$A$1:$NTR$890,COLUMN(HeadJournal!B$1),0),"")</f>
        <v>710000841136</v>
      </c>
      <c r="C1763" s="94" t="str">
        <f>IFERROR(VLOOKUP($A1763,HeadJournal!$A$1:$NTR$890,COLUMN(HeadJournal!C$1),0),"")</f>
        <v>iHerb_AV CYG0792</v>
      </c>
      <c r="D1763" s="125" t="str">
        <f>IFERROR(VLOOKUP($A1763,HeadJournal!$A$1:$NTR$890,COLUMN(HeadJournal!D$1),0),"")</f>
        <v>Доставлен</v>
      </c>
      <c r="E1763" s="95">
        <f>IFERROR(VLOOKUP($A1763,HeadJournal!$A$1:$NTR$890,COLUMN(HeadJournal!G$1),0),"")</f>
        <v>45092</v>
      </c>
      <c r="F1763" s="95" t="str">
        <f t="shared" si="139"/>
        <v>2023 06</v>
      </c>
      <c r="G1763" s="96" t="s">
        <v>5</v>
      </c>
      <c r="H1763" s="175" t="s">
        <v>3654</v>
      </c>
      <c r="I1763" s="176" t="s">
        <v>2005</v>
      </c>
      <c r="J1763" s="97" t="s">
        <v>3703</v>
      </c>
      <c r="K1763" s="29">
        <v>9.3699999999999992</v>
      </c>
      <c r="L1763" s="29">
        <v>-2.625</v>
      </c>
      <c r="M1763" s="30">
        <f>IFERROR(VLOOKUP($A1763,HeadJournal!$A$1:$J$890,COLUMN(HeadJournal!I$1),0)*($K1763+$L1763)/(SUMIF($A:$A,$A1763,$K:$K)+SUMIF($A:$A,$A1763,$L:$L)),0)</f>
        <v>0.46936095812571027</v>
      </c>
      <c r="N1763" s="30">
        <f>IFERROR((VLOOKUP($A1763,HeadJournal!$A$1:$K$890,COLUMN(HeadJournal!K$1),0)-VLOOKUP($A1763,HeadJournal!$A$1:$K$890,COLUMN(HeadJournal!J$1),0))*($K1763+$L1763)/(SUMIF($A:$A,$A1763,$K:$K)+SUMIF($A:$A,$A1763,$L:$L)),0)</f>
        <v>0</v>
      </c>
      <c r="O1763" s="30">
        <f>IFERROR((VLOOKUP($A1763,HeadJournal!$A$1:$L$890,COLUMN(HeadJournal!L$1),0)*($K1763+$L1763)/(SUMIF($A:$A,$A1763,$K:$K)+SUMIF($A:$A,$A1763,$L:$L)))/VLOOKUP($A1763,HeadJournal!$A$1:$L$890,COLUMN(HeadJournal!H$1),0),0)</f>
        <v>0.2870818103823029</v>
      </c>
      <c r="P1763" s="30">
        <f>IFERROR(SUM(K1763:O1763)*VLOOKUP($A1763,HeadJournal!$A$1:$L$890,COLUMN(HeadJournal!H$1),0),0)</f>
        <v>694.37885173529151</v>
      </c>
      <c r="Q1763" s="29">
        <v>1600</v>
      </c>
      <c r="R1763" s="31">
        <v>45264</v>
      </c>
      <c r="S1763" s="31" t="s">
        <v>3121</v>
      </c>
      <c r="T1763" s="95" t="str">
        <f t="shared" si="140"/>
        <v>2023 12</v>
      </c>
      <c r="U1763" s="32">
        <f t="shared" si="137"/>
        <v>905.62114826470849</v>
      </c>
      <c r="V1763" s="22">
        <f t="shared" si="138"/>
        <v>1.3042176414237137</v>
      </c>
      <c r="X1763" s="33"/>
      <c r="Y1763" s="33"/>
    </row>
    <row r="1764" spans="1:25" x14ac:dyDescent="0.2">
      <c r="A1764" s="93" t="s">
        <v>771</v>
      </c>
      <c r="B1764" s="94" t="str">
        <f>IFERROR(VLOOKUP($A1764,HeadJournal!$A$1:$NTR$890,COLUMN(HeadJournal!B$1),0),"")</f>
        <v>710000841136</v>
      </c>
      <c r="C1764" s="94" t="str">
        <f>IFERROR(VLOOKUP($A1764,HeadJournal!$A$1:$NTR$890,COLUMN(HeadJournal!C$1),0),"")</f>
        <v>iHerb_AV CYG0792</v>
      </c>
      <c r="D1764" s="125" t="str">
        <f>IFERROR(VLOOKUP($A1764,HeadJournal!$A$1:$NTR$890,COLUMN(HeadJournal!D$1),0),"")</f>
        <v>Доставлен</v>
      </c>
      <c r="E1764" s="95">
        <f>IFERROR(VLOOKUP($A1764,HeadJournal!$A$1:$NTR$890,COLUMN(HeadJournal!G$1),0),"")</f>
        <v>45092</v>
      </c>
      <c r="F1764" s="95" t="str">
        <f t="shared" si="139"/>
        <v>2023 06</v>
      </c>
      <c r="G1764" s="96" t="s">
        <v>5</v>
      </c>
      <c r="H1764" s="175" t="s">
        <v>3654</v>
      </c>
      <c r="I1764" s="176" t="s">
        <v>2005</v>
      </c>
      <c r="J1764" s="97" t="s">
        <v>3703</v>
      </c>
      <c r="K1764" s="29">
        <v>9.3699999999999992</v>
      </c>
      <c r="L1764" s="29">
        <v>-2.625</v>
      </c>
      <c r="M1764" s="30">
        <f>IFERROR(VLOOKUP($A1764,HeadJournal!$A$1:$J$890,COLUMN(HeadJournal!I$1),0)*($K1764+$L1764)/(SUMIF($A:$A,$A1764,$K:$K)+SUMIF($A:$A,$A1764,$L:$L)),0)</f>
        <v>0.46936095812571027</v>
      </c>
      <c r="N1764" s="30">
        <f>IFERROR((VLOOKUP($A1764,HeadJournal!$A$1:$K$890,COLUMN(HeadJournal!K$1),0)-VLOOKUP($A1764,HeadJournal!$A$1:$K$890,COLUMN(HeadJournal!J$1),0))*($K1764+$L1764)/(SUMIF($A:$A,$A1764,$K:$K)+SUMIF($A:$A,$A1764,$L:$L)),0)</f>
        <v>0</v>
      </c>
      <c r="O1764" s="30">
        <f>IFERROR((VLOOKUP($A1764,HeadJournal!$A$1:$L$890,COLUMN(HeadJournal!L$1),0)*($K1764+$L1764)/(SUMIF($A:$A,$A1764,$K:$K)+SUMIF($A:$A,$A1764,$L:$L)))/VLOOKUP($A1764,HeadJournal!$A$1:$L$890,COLUMN(HeadJournal!H$1),0),0)</f>
        <v>0.2870818103823029</v>
      </c>
      <c r="P1764" s="30">
        <f>IFERROR(SUM(K1764:O1764)*VLOOKUP($A1764,HeadJournal!$A$1:$L$890,COLUMN(HeadJournal!H$1),0),0)</f>
        <v>694.37885173529151</v>
      </c>
      <c r="Q1764" s="29">
        <v>1700</v>
      </c>
      <c r="R1764" s="31">
        <v>45357</v>
      </c>
      <c r="S1764" s="31" t="s">
        <v>3121</v>
      </c>
      <c r="T1764" s="95" t="str">
        <f t="shared" si="140"/>
        <v>2024 03</v>
      </c>
      <c r="U1764" s="32">
        <f t="shared" si="137"/>
        <v>1005.6211482647085</v>
      </c>
      <c r="V1764" s="22">
        <f t="shared" si="138"/>
        <v>1.4482312440126959</v>
      </c>
      <c r="X1764" s="33"/>
      <c r="Y1764" s="33"/>
    </row>
    <row r="1765" spans="1:25" x14ac:dyDescent="0.2">
      <c r="A1765" s="93" t="s">
        <v>771</v>
      </c>
      <c r="B1765" s="94" t="str">
        <f>IFERROR(VLOOKUP($A1765,HeadJournal!$A$1:$NTR$890,COLUMN(HeadJournal!B$1),0),"")</f>
        <v>710000841136</v>
      </c>
      <c r="C1765" s="94" t="str">
        <f>IFERROR(VLOOKUP($A1765,HeadJournal!$A$1:$NTR$890,COLUMN(HeadJournal!C$1),0),"")</f>
        <v>iHerb_AV CYG0792</v>
      </c>
      <c r="D1765" s="125" t="str">
        <f>IFERROR(VLOOKUP($A1765,HeadJournal!$A$1:$NTR$890,COLUMN(HeadJournal!D$1),0),"")</f>
        <v>Доставлен</v>
      </c>
      <c r="E1765" s="95">
        <f>IFERROR(VLOOKUP($A1765,HeadJournal!$A$1:$NTR$890,COLUMN(HeadJournal!G$1),0),"")</f>
        <v>45092</v>
      </c>
      <c r="F1765" s="95" t="str">
        <f t="shared" si="139"/>
        <v>2023 06</v>
      </c>
      <c r="G1765" s="96" t="s">
        <v>5</v>
      </c>
      <c r="H1765" s="160" t="str">
        <f>RIGHT(Journal!$J1765,9)</f>
        <v>NOW-02390</v>
      </c>
      <c r="I1765" s="96" t="str">
        <f t="shared" si="141"/>
        <v>NOW Foods</v>
      </c>
      <c r="J1765" s="97" t="s">
        <v>774</v>
      </c>
      <c r="K1765" s="29">
        <v>30.08</v>
      </c>
      <c r="L1765" s="29">
        <v>-9.93</v>
      </c>
      <c r="M1765" s="30">
        <f>IFERROR(VLOOKUP($A1765,HeadJournal!$A$1:$J$890,COLUMN(HeadJournal!I$1),0)*($K1765+$L1765)/(SUMIF($A:$A,$A1765,$K:$K)+SUMIF($A:$A,$A1765,$L:$L)),0)</f>
        <v>1.4021680216802168</v>
      </c>
      <c r="N1765" s="30">
        <f>IFERROR((VLOOKUP($A1765,HeadJournal!$A$1:$K$890,COLUMN(HeadJournal!K$1),0)-VLOOKUP($A1765,HeadJournal!$A$1:$K$890,COLUMN(HeadJournal!J$1),0))*($K1765+$L1765)/(SUMIF($A:$A,$A1765,$K:$K)+SUMIF($A:$A,$A1765,$L:$L)),0)</f>
        <v>0</v>
      </c>
      <c r="O1765" s="30">
        <f>IFERROR((VLOOKUP($A1765,HeadJournal!$A$1:$L$890,COLUMN(HeadJournal!L$1),0)*($K1765+$L1765)/(SUMIF($A:$A,$A1765,$K:$K)+SUMIF($A:$A,$A1765,$L:$L)))/VLOOKUP($A1765,HeadJournal!$A$1:$L$890,COLUMN(HeadJournal!H$1),0),0)</f>
        <v>0.85762764702793237</v>
      </c>
      <c r="P1765" s="30">
        <f>IFERROR(SUM(K1765:O1765)*VLOOKUP($A1765,HeadJournal!$A$1:$L$890,COLUMN(HeadJournal!H$1),0),0)</f>
        <v>2074.3860433604336</v>
      </c>
      <c r="Q1765" s="29">
        <v>3600</v>
      </c>
      <c r="R1765" s="31">
        <v>45456</v>
      </c>
      <c r="S1765" s="31" t="s">
        <v>3121</v>
      </c>
      <c r="T1765" s="95" t="str">
        <f t="shared" si="140"/>
        <v>2024 06</v>
      </c>
      <c r="U1765" s="32">
        <f t="shared" si="137"/>
        <v>1525.6139566395664</v>
      </c>
      <c r="V1765" s="22">
        <f t="shared" si="138"/>
        <v>0.73545324966037884</v>
      </c>
      <c r="X1765" s="33"/>
      <c r="Y1765" s="33"/>
    </row>
    <row r="1766" spans="1:25" x14ac:dyDescent="0.2">
      <c r="A1766" s="93" t="s">
        <v>771</v>
      </c>
      <c r="B1766" s="94" t="str">
        <f>IFERROR(VLOOKUP($A1766,HeadJournal!$A$1:$NTR$890,COLUMN(HeadJournal!B$1),0),"")</f>
        <v>710000841136</v>
      </c>
      <c r="C1766" s="94" t="str">
        <f>IFERROR(VLOOKUP($A1766,HeadJournal!$A$1:$NTR$890,COLUMN(HeadJournal!C$1),0),"")</f>
        <v>iHerb_AV CYG0792</v>
      </c>
      <c r="D1766" s="125" t="str">
        <f>IFERROR(VLOOKUP($A1766,HeadJournal!$A$1:$NTR$890,COLUMN(HeadJournal!D$1),0),"")</f>
        <v>Доставлен</v>
      </c>
      <c r="E1766" s="95">
        <f>IFERROR(VLOOKUP($A1766,HeadJournal!$A$1:$NTR$890,COLUMN(HeadJournal!G$1),0),"")</f>
        <v>45092</v>
      </c>
      <c r="F1766" s="95" t="str">
        <f t="shared" si="139"/>
        <v>2023 06</v>
      </c>
      <c r="G1766" s="96" t="s">
        <v>5</v>
      </c>
      <c r="H1766" s="160" t="str">
        <f>RIGHT(Journal!$J1766,9)</f>
        <v>NOW-00106</v>
      </c>
      <c r="I1766" s="96" t="str">
        <f t="shared" si="141"/>
        <v>NOW Foods</v>
      </c>
      <c r="J1766" s="97" t="s">
        <v>775</v>
      </c>
      <c r="K1766" s="29">
        <v>16.309999999999999</v>
      </c>
      <c r="L1766" s="29">
        <v>-4.8899999999999997</v>
      </c>
      <c r="M1766" s="30">
        <f>IFERROR(VLOOKUP($A1766,HeadJournal!$A$1:$J$890,COLUMN(HeadJournal!I$1),0)*($K1766+$L1766)/(SUMIF($A:$A,$A1766,$K:$K)+SUMIF($A:$A,$A1766,$L:$L)),0)</f>
        <v>0.79467785645598388</v>
      </c>
      <c r="N1766" s="30">
        <f>IFERROR((VLOOKUP($A1766,HeadJournal!$A$1:$K$890,COLUMN(HeadJournal!K$1),0)-VLOOKUP($A1766,HeadJournal!$A$1:$K$890,COLUMN(HeadJournal!J$1),0))*($K1766+$L1766)/(SUMIF($A:$A,$A1766,$K:$K)+SUMIF($A:$A,$A1766,$L:$L)),0)</f>
        <v>0</v>
      </c>
      <c r="O1766" s="30">
        <f>IFERROR((VLOOKUP($A1766,HeadJournal!$A$1:$L$890,COLUMN(HeadJournal!L$1),0)*($K1766+$L1766)/(SUMIF($A:$A,$A1766,$K:$K)+SUMIF($A:$A,$A1766,$L:$L)))/VLOOKUP($A1766,HeadJournal!$A$1:$L$890,COLUMN(HeadJournal!H$1),0),0)</f>
        <v>0.48605993692600435</v>
      </c>
      <c r="P1766" s="30">
        <f>IFERROR(SUM(K1766:O1766)*VLOOKUP($A1766,HeadJournal!$A$1:$L$890,COLUMN(HeadJournal!H$1),0),0)</f>
        <v>1175.6570032345483</v>
      </c>
      <c r="Q1766" s="29">
        <v>2500</v>
      </c>
      <c r="R1766" s="31">
        <v>45137</v>
      </c>
      <c r="S1766" s="31" t="s">
        <v>3121</v>
      </c>
      <c r="T1766" s="95" t="str">
        <f t="shared" si="140"/>
        <v>2023 07</v>
      </c>
      <c r="U1766" s="32">
        <f t="shared" si="137"/>
        <v>1324.3429967654517</v>
      </c>
      <c r="V1766" s="22">
        <f t="shared" si="138"/>
        <v>1.1264705548657716</v>
      </c>
      <c r="X1766" s="33"/>
      <c r="Y1766" s="33"/>
    </row>
    <row r="1767" spans="1:25" x14ac:dyDescent="0.2">
      <c r="A1767" s="93" t="s">
        <v>776</v>
      </c>
      <c r="B1767" s="94" t="str">
        <f>IFERROR(VLOOKUP($A1767,HeadJournal!$A$1:$NTR$890,COLUMN(HeadJournal!B$1),0),"")</f>
        <v>710000834372</v>
      </c>
      <c r="C1767" s="94" t="str">
        <f>IFERROR(VLOOKUP($A1767,HeadJournal!$A$1:$NTR$890,COLUMN(HeadJournal!C$1),0),"")</f>
        <v>iHerb_OA CZN6870</v>
      </c>
      <c r="D1767" s="125" t="str">
        <f>IFERROR(VLOOKUP($A1767,HeadJournal!$A$1:$NTR$890,COLUMN(HeadJournal!D$1),0),"")</f>
        <v>Доставлен</v>
      </c>
      <c r="E1767" s="95">
        <f>IFERROR(VLOOKUP($A1767,HeadJournal!$A$1:$NTR$890,COLUMN(HeadJournal!G$1),0),"")</f>
        <v>45088</v>
      </c>
      <c r="F1767" s="95" t="str">
        <f t="shared" si="139"/>
        <v>2023 06</v>
      </c>
      <c r="G1767" s="96" t="s">
        <v>5</v>
      </c>
      <c r="H1767" s="160" t="str">
        <f>RIGHT(Journal!$J1767,9)</f>
        <v>PTF-10433</v>
      </c>
      <c r="I1767" s="96" t="str">
        <f t="shared" si="141"/>
        <v>Planetary Herbals</v>
      </c>
      <c r="J1767" s="97" t="s">
        <v>777</v>
      </c>
      <c r="K1767" s="29">
        <v>19.190000000000001</v>
      </c>
      <c r="L1767" s="29">
        <v>-1.92</v>
      </c>
      <c r="M1767" s="30">
        <f>IFERROR(VLOOKUP($A1767,HeadJournal!$A$1:$J$890,COLUMN(HeadJournal!I$1),0)*($K1767+$L1767)/(SUMIF($A:$A,$A1767,$K:$K)+SUMIF($A:$A,$A1767,$L:$L)),0)</f>
        <v>-0.24483709436170903</v>
      </c>
      <c r="N1767" s="30">
        <f>IFERROR((VLOOKUP($A1767,HeadJournal!$A$1:$K$890,COLUMN(HeadJournal!K$1),0)-VLOOKUP($A1767,HeadJournal!$A$1:$K$890,COLUMN(HeadJournal!J$1),0))*($K1767+$L1767)/(SUMIF($A:$A,$A1767,$K:$K)+SUMIF($A:$A,$A1767,$L:$L)),0)</f>
        <v>0</v>
      </c>
      <c r="O1767" s="30">
        <f>IFERROR((VLOOKUP($A1767,HeadJournal!$A$1:$L$890,COLUMN(HeadJournal!L$1),0)*($K1767+$L1767)/(SUMIF($A:$A,$A1767,$K:$K)+SUMIF($A:$A,$A1767,$L:$L)))/VLOOKUP($A1767,HeadJournal!$A$1:$L$890,COLUMN(HeadJournal!H$1),0),0)</f>
        <v>1.1094041870971354</v>
      </c>
      <c r="P1767" s="30">
        <f>IFERROR(SUM(K1767:O1767)*VLOOKUP($A1767,HeadJournal!$A$1:$L$890,COLUMN(HeadJournal!H$1),0),0)</f>
        <v>1658.4736912271574</v>
      </c>
      <c r="Q1767" s="29">
        <v>2500</v>
      </c>
      <c r="R1767" s="31">
        <v>45119</v>
      </c>
      <c r="S1767" s="31" t="s">
        <v>3121</v>
      </c>
      <c r="T1767" s="95" t="str">
        <f t="shared" si="140"/>
        <v>2023 07</v>
      </c>
      <c r="U1767" s="32">
        <f t="shared" si="137"/>
        <v>841.52630877284264</v>
      </c>
      <c r="V1767" s="22">
        <f t="shared" si="138"/>
        <v>0.50741010437745959</v>
      </c>
      <c r="X1767" s="33"/>
      <c r="Y1767" s="33"/>
    </row>
    <row r="1768" spans="1:25" x14ac:dyDescent="0.2">
      <c r="A1768" s="93" t="s">
        <v>776</v>
      </c>
      <c r="B1768" s="94" t="str">
        <f>IFERROR(VLOOKUP($A1768,HeadJournal!$A$1:$NTR$890,COLUMN(HeadJournal!B$1),0),"")</f>
        <v>710000834372</v>
      </c>
      <c r="C1768" s="94" t="str">
        <f>IFERROR(VLOOKUP($A1768,HeadJournal!$A$1:$NTR$890,COLUMN(HeadJournal!C$1),0),"")</f>
        <v>iHerb_OA CZN6870</v>
      </c>
      <c r="D1768" s="125" t="str">
        <f>IFERROR(VLOOKUP($A1768,HeadJournal!$A$1:$NTR$890,COLUMN(HeadJournal!D$1),0),"")</f>
        <v>Доставлен</v>
      </c>
      <c r="E1768" s="95">
        <f>IFERROR(VLOOKUP($A1768,HeadJournal!$A$1:$NTR$890,COLUMN(HeadJournal!G$1),0),"")</f>
        <v>45088</v>
      </c>
      <c r="F1768" s="95" t="str">
        <f t="shared" si="139"/>
        <v>2023 06</v>
      </c>
      <c r="G1768" s="96" t="s">
        <v>5</v>
      </c>
      <c r="H1768" s="160" t="str">
        <f>RIGHT(Journal!$J1768,9)</f>
        <v>NAP-03430</v>
      </c>
      <c r="I1768" s="96" t="str">
        <f t="shared" si="141"/>
        <v>NaturesPlus</v>
      </c>
      <c r="J1768" s="97" t="s">
        <v>778</v>
      </c>
      <c r="K1768" s="29">
        <v>6.88</v>
      </c>
      <c r="L1768" s="29">
        <v>-0.69</v>
      </c>
      <c r="M1768" s="30">
        <f>IFERROR(VLOOKUP($A1768,HeadJournal!$A$1:$J$890,COLUMN(HeadJournal!I$1),0)*($K1768+$L1768)/(SUMIF($A:$A,$A1768,$K:$K)+SUMIF($A:$A,$A1768,$L:$L)),0)</f>
        <v>-8.7755739090849952E-2</v>
      </c>
      <c r="N1768" s="30">
        <f>IFERROR((VLOOKUP($A1768,HeadJournal!$A$1:$K$890,COLUMN(HeadJournal!K$1),0)-VLOOKUP($A1768,HeadJournal!$A$1:$K$890,COLUMN(HeadJournal!J$1),0))*($K1768+$L1768)/(SUMIF($A:$A,$A1768,$K:$K)+SUMIF($A:$A,$A1768,$L:$L)),0)</f>
        <v>0</v>
      </c>
      <c r="O1768" s="30">
        <f>IFERROR((VLOOKUP($A1768,HeadJournal!$A$1:$L$890,COLUMN(HeadJournal!L$1),0)*($K1768+$L1768)/(SUMIF($A:$A,$A1768,$K:$K)+SUMIF($A:$A,$A1768,$L:$L)))/VLOOKUP($A1768,HeadJournal!$A$1:$L$890,COLUMN(HeadJournal!H$1),0),0)</f>
        <v>0.39763821181999226</v>
      </c>
      <c r="P1768" s="30">
        <f>IFERROR(SUM(K1768:O1768)*VLOOKUP($A1768,HeadJournal!$A$1:$L$890,COLUMN(HeadJournal!H$1),0),0)</f>
        <v>594.43845678610899</v>
      </c>
      <c r="Q1768" s="29">
        <v>1000</v>
      </c>
      <c r="R1768" s="31">
        <v>45119</v>
      </c>
      <c r="S1768" s="31" t="s">
        <v>3121</v>
      </c>
      <c r="T1768" s="95" t="str">
        <f t="shared" si="140"/>
        <v>2023 07</v>
      </c>
      <c r="U1768" s="32">
        <f t="shared" si="137"/>
        <v>405.56154321389101</v>
      </c>
      <c r="V1768" s="22">
        <f t="shared" si="138"/>
        <v>0.68225993554757558</v>
      </c>
      <c r="X1768" s="33"/>
      <c r="Y1768" s="33"/>
    </row>
    <row r="1769" spans="1:25" x14ac:dyDescent="0.2">
      <c r="A1769" s="93" t="s">
        <v>776</v>
      </c>
      <c r="B1769" s="94" t="str">
        <f>IFERROR(VLOOKUP($A1769,HeadJournal!$A$1:$NTR$890,COLUMN(HeadJournal!B$1),0),"")</f>
        <v>710000834372</v>
      </c>
      <c r="C1769" s="94" t="str">
        <f>IFERROR(VLOOKUP($A1769,HeadJournal!$A$1:$NTR$890,COLUMN(HeadJournal!C$1),0),"")</f>
        <v>iHerb_OA CZN6870</v>
      </c>
      <c r="D1769" s="125" t="str">
        <f>IFERROR(VLOOKUP($A1769,HeadJournal!$A$1:$NTR$890,COLUMN(HeadJournal!D$1),0),"")</f>
        <v>Доставлен</v>
      </c>
      <c r="E1769" s="95">
        <f>IFERROR(VLOOKUP($A1769,HeadJournal!$A$1:$NTR$890,COLUMN(HeadJournal!G$1),0),"")</f>
        <v>45088</v>
      </c>
      <c r="F1769" s="95" t="str">
        <f t="shared" si="139"/>
        <v>2023 06</v>
      </c>
      <c r="G1769" s="96" t="s">
        <v>5</v>
      </c>
      <c r="H1769" s="160" t="str">
        <f>RIGHT(Journal!$J1769,9)</f>
        <v>JRW-14093</v>
      </c>
      <c r="I1769" s="96" t="str">
        <f t="shared" si="141"/>
        <v>Jarrow Formulas</v>
      </c>
      <c r="J1769" s="97" t="s">
        <v>779</v>
      </c>
      <c r="K1769" s="29">
        <v>39.97</v>
      </c>
      <c r="L1769" s="29">
        <v>-4</v>
      </c>
      <c r="M1769" s="30">
        <f>IFERROR(VLOOKUP($A1769,HeadJournal!$A$1:$J$890,COLUMN(HeadJournal!I$1),0)*($K1769+$L1769)/(SUMIF($A:$A,$A1769,$K:$K)+SUMIF($A:$A,$A1769,$L:$L)),0)</f>
        <v>-0.50994732392534292</v>
      </c>
      <c r="N1769" s="30">
        <f>IFERROR((VLOOKUP($A1769,HeadJournal!$A$1:$K$890,COLUMN(HeadJournal!K$1),0)-VLOOKUP($A1769,HeadJournal!$A$1:$K$890,COLUMN(HeadJournal!J$1),0))*($K1769+$L1769)/(SUMIF($A:$A,$A1769,$K:$K)+SUMIF($A:$A,$A1769,$L:$L)),0)</f>
        <v>0</v>
      </c>
      <c r="O1769" s="30">
        <f>IFERROR((VLOOKUP($A1769,HeadJournal!$A$1:$L$890,COLUMN(HeadJournal!L$1),0)*($K1769+$L1769)/(SUMIF($A:$A,$A1769,$K:$K)+SUMIF($A:$A,$A1769,$L:$L)))/VLOOKUP($A1769,HeadJournal!$A$1:$L$890,COLUMN(HeadJournal!H$1),0),0)</f>
        <v>2.3106698673933956</v>
      </c>
      <c r="P1769" s="30">
        <f>IFERROR(SUM(K1769:O1769)*VLOOKUP($A1769,HeadJournal!$A$1:$L$890,COLUMN(HeadJournal!H$1),0),0)</f>
        <v>3454.2732294986008</v>
      </c>
      <c r="Q1769" s="29">
        <v>4000</v>
      </c>
      <c r="R1769" s="31">
        <v>45115</v>
      </c>
      <c r="S1769" s="31" t="s">
        <v>3121</v>
      </c>
      <c r="T1769" s="95" t="str">
        <f t="shared" si="140"/>
        <v>2023 07</v>
      </c>
      <c r="U1769" s="32">
        <f t="shared" si="137"/>
        <v>545.72677050139919</v>
      </c>
      <c r="V1769" s="22">
        <f t="shared" si="138"/>
        <v>0.15798598843919862</v>
      </c>
      <c r="X1769" s="33"/>
      <c r="Y1769" s="33"/>
    </row>
    <row r="1770" spans="1:25" x14ac:dyDescent="0.2">
      <c r="A1770" s="93" t="s">
        <v>776</v>
      </c>
      <c r="B1770" s="94" t="str">
        <f>IFERROR(VLOOKUP($A1770,HeadJournal!$A$1:$NTR$890,COLUMN(HeadJournal!B$1),0),"")</f>
        <v>710000834372</v>
      </c>
      <c r="C1770" s="94" t="str">
        <f>IFERROR(VLOOKUP($A1770,HeadJournal!$A$1:$NTR$890,COLUMN(HeadJournal!C$1),0),"")</f>
        <v>iHerb_OA CZN6870</v>
      </c>
      <c r="D1770" s="125" t="str">
        <f>IFERROR(VLOOKUP($A1770,HeadJournal!$A$1:$NTR$890,COLUMN(HeadJournal!D$1),0),"")</f>
        <v>Доставлен</v>
      </c>
      <c r="E1770" s="95">
        <f>IFERROR(VLOOKUP($A1770,HeadJournal!$A$1:$NTR$890,COLUMN(HeadJournal!G$1),0),"")</f>
        <v>45088</v>
      </c>
      <c r="F1770" s="95" t="str">
        <f t="shared" si="139"/>
        <v>2023 06</v>
      </c>
      <c r="G1770" s="96" t="s">
        <v>5</v>
      </c>
      <c r="H1770" s="160" t="str">
        <f>RIGHT(Journal!$J1770,9)</f>
        <v>NTH-11212</v>
      </c>
      <c r="I1770" s="96" t="str">
        <f t="shared" si="141"/>
        <v>Nature's Truth</v>
      </c>
      <c r="J1770" s="97" t="s">
        <v>780</v>
      </c>
      <c r="K1770" s="29">
        <v>11.68</v>
      </c>
      <c r="L1770" s="29">
        <v>-2.34</v>
      </c>
      <c r="M1770" s="30">
        <f>IFERROR(VLOOKUP($A1770,HeadJournal!$A$1:$J$890,COLUMN(HeadJournal!I$1),0)*($K1770+$L1770)/(SUMIF($A:$A,$A1770,$K:$K)+SUMIF($A:$A,$A1770,$L:$L)),0)</f>
        <v>-0.13241334460557974</v>
      </c>
      <c r="N1770" s="30">
        <f>IFERROR((VLOOKUP($A1770,HeadJournal!$A$1:$K$890,COLUMN(HeadJournal!K$1),0)-VLOOKUP($A1770,HeadJournal!$A$1:$K$890,COLUMN(HeadJournal!J$1),0))*($K1770+$L1770)/(SUMIF($A:$A,$A1770,$K:$K)+SUMIF($A:$A,$A1770,$L:$L)),0)</f>
        <v>0</v>
      </c>
      <c r="O1770" s="30">
        <f>IFERROR((VLOOKUP($A1770,HeadJournal!$A$1:$L$890,COLUMN(HeadJournal!L$1),0)*($K1770+$L1770)/(SUMIF($A:$A,$A1770,$K:$K)+SUMIF($A:$A,$A1770,$L:$L)))/VLOOKUP($A1770,HeadJournal!$A$1:$L$890,COLUMN(HeadJournal!H$1),0),0)</f>
        <v>0.59999045208380086</v>
      </c>
      <c r="P1770" s="30">
        <f>IFERROR(SUM(K1770:O1770)*VLOOKUP($A1770,HeadJournal!$A$1:$L$890,COLUMN(HeadJournal!H$1),0),0)</f>
        <v>896.93944852702089</v>
      </c>
      <c r="Q1770" s="29"/>
      <c r="R1770" s="31"/>
      <c r="S1770" s="31"/>
      <c r="T1770" s="95" t="str">
        <f t="shared" si="140"/>
        <v/>
      </c>
      <c r="U1770" s="32">
        <f t="shared" si="137"/>
        <v>-896.93944852702089</v>
      </c>
      <c r="V1770" s="22" t="str">
        <f t="shared" si="138"/>
        <v/>
      </c>
      <c r="X1770" s="33"/>
      <c r="Y1770" s="33"/>
    </row>
    <row r="1771" spans="1:25" x14ac:dyDescent="0.2">
      <c r="A1771" s="93" t="s">
        <v>776</v>
      </c>
      <c r="B1771" s="94" t="str">
        <f>IFERROR(VLOOKUP($A1771,HeadJournal!$A$1:$NTR$890,COLUMN(HeadJournal!B$1),0),"")</f>
        <v>710000834372</v>
      </c>
      <c r="C1771" s="94" t="str">
        <f>IFERROR(VLOOKUP($A1771,HeadJournal!$A$1:$NTR$890,COLUMN(HeadJournal!C$1),0),"")</f>
        <v>iHerb_OA CZN6870</v>
      </c>
      <c r="D1771" s="125" t="str">
        <f>IFERROR(VLOOKUP($A1771,HeadJournal!$A$1:$NTR$890,COLUMN(HeadJournal!D$1),0),"")</f>
        <v>Доставлен</v>
      </c>
      <c r="E1771" s="95">
        <f>IFERROR(VLOOKUP($A1771,HeadJournal!$A$1:$NTR$890,COLUMN(HeadJournal!G$1),0),"")</f>
        <v>45088</v>
      </c>
      <c r="F1771" s="95" t="str">
        <f t="shared" si="139"/>
        <v>2023 06</v>
      </c>
      <c r="G1771" s="96" t="s">
        <v>5</v>
      </c>
      <c r="H1771" s="160" t="str">
        <f>RIGHT(Journal!$J1771,9)</f>
        <v>EMT-04213</v>
      </c>
      <c r="I1771" s="96" t="str">
        <f t="shared" si="141"/>
        <v>Nature's Way</v>
      </c>
      <c r="J1771" s="97" t="s">
        <v>781</v>
      </c>
      <c r="K1771" s="29">
        <v>16.260000000000002</v>
      </c>
      <c r="L1771" s="29">
        <v>-3.25</v>
      </c>
      <c r="M1771" s="30">
        <f>IFERROR(VLOOKUP($A1771,HeadJournal!$A$1:$J$890,COLUMN(HeadJournal!I$1),0)*($K1771+$L1771)/(SUMIF($A:$A,$A1771,$K:$K)+SUMIF($A:$A,$A1771,$L:$L)),0)</f>
        <v>-0.18444299928464589</v>
      </c>
      <c r="N1771" s="30">
        <f>IFERROR((VLOOKUP($A1771,HeadJournal!$A$1:$K$890,COLUMN(HeadJournal!K$1),0)-VLOOKUP($A1771,HeadJournal!$A$1:$K$890,COLUMN(HeadJournal!J$1),0))*($K1771+$L1771)/(SUMIF($A:$A,$A1771,$K:$K)+SUMIF($A:$A,$A1771,$L:$L)),0)</f>
        <v>0</v>
      </c>
      <c r="O1771" s="30">
        <f>IFERROR((VLOOKUP($A1771,HeadJournal!$A$1:$L$890,COLUMN(HeadJournal!L$1),0)*($K1771+$L1771)/(SUMIF($A:$A,$A1771,$K:$K)+SUMIF($A:$A,$A1771,$L:$L)))/VLOOKUP($A1771,HeadJournal!$A$1:$L$890,COLUMN(HeadJournal!H$1),0),0)</f>
        <v>0.83574687169274631</v>
      </c>
      <c r="P1771" s="30">
        <f>IFERROR(SUM(K1771:O1771)*VLOOKUP($A1771,HeadJournal!$A$1:$L$890,COLUMN(HeadJournal!H$1),0),0)</f>
        <v>1249.3771119204007</v>
      </c>
      <c r="Q1771" s="29"/>
      <c r="R1771" s="31"/>
      <c r="S1771" s="31"/>
      <c r="T1771" s="95" t="str">
        <f t="shared" si="140"/>
        <v/>
      </c>
      <c r="U1771" s="32">
        <f t="shared" si="137"/>
        <v>-1249.3771119204007</v>
      </c>
      <c r="V1771" s="22" t="str">
        <f t="shared" si="138"/>
        <v/>
      </c>
      <c r="X1771" s="33"/>
      <c r="Y1771" s="33"/>
    </row>
    <row r="1772" spans="1:25" x14ac:dyDescent="0.2">
      <c r="A1772" s="93" t="s">
        <v>776</v>
      </c>
      <c r="B1772" s="94" t="str">
        <f>IFERROR(VLOOKUP($A1772,HeadJournal!$A$1:$NTR$890,COLUMN(HeadJournal!B$1),0),"")</f>
        <v>710000834372</v>
      </c>
      <c r="C1772" s="94" t="str">
        <f>IFERROR(VLOOKUP($A1772,HeadJournal!$A$1:$NTR$890,COLUMN(HeadJournal!C$1),0),"")</f>
        <v>iHerb_OA CZN6870</v>
      </c>
      <c r="D1772" s="125" t="str">
        <f>IFERROR(VLOOKUP($A1772,HeadJournal!$A$1:$NTR$890,COLUMN(HeadJournal!D$1),0),"")</f>
        <v>Доставлен</v>
      </c>
      <c r="E1772" s="95">
        <f>IFERROR(VLOOKUP($A1772,HeadJournal!$A$1:$NTR$890,COLUMN(HeadJournal!G$1),0),"")</f>
        <v>45088</v>
      </c>
      <c r="F1772" s="95" t="str">
        <f t="shared" si="139"/>
        <v>2023 06</v>
      </c>
      <c r="G1772" s="96" t="s">
        <v>5</v>
      </c>
      <c r="H1772" s="160" t="str">
        <f>RIGHT(Journal!$J1772,9)</f>
        <v>EVL-02739</v>
      </c>
      <c r="I1772" s="96" t="str">
        <f t="shared" si="141"/>
        <v>EVLution Nutrition</v>
      </c>
      <c r="J1772" s="97" t="s">
        <v>782</v>
      </c>
      <c r="K1772" s="29">
        <v>11.64</v>
      </c>
      <c r="L1772" s="29">
        <v>-2.33</v>
      </c>
      <c r="M1772" s="30">
        <f>IFERROR(VLOOKUP($A1772,HeadJournal!$A$1:$J$890,COLUMN(HeadJournal!I$1),0)*($K1772+$L1772)/(SUMIF($A:$A,$A1772,$K:$K)+SUMIF($A:$A,$A1772,$L:$L)),0)</f>
        <v>-0.13198803407686804</v>
      </c>
      <c r="N1772" s="30">
        <f>IFERROR((VLOOKUP($A1772,HeadJournal!$A$1:$K$890,COLUMN(HeadJournal!K$1),0)-VLOOKUP($A1772,HeadJournal!$A$1:$K$890,COLUMN(HeadJournal!J$1),0))*($K1772+$L1772)/(SUMIF($A:$A,$A1772,$K:$K)+SUMIF($A:$A,$A1772,$L:$L)),0)</f>
        <v>0</v>
      </c>
      <c r="O1772" s="30">
        <f>IFERROR((VLOOKUP($A1772,HeadJournal!$A$1:$L$890,COLUMN(HeadJournal!L$1),0)*($K1772+$L1772)/(SUMIF($A:$A,$A1772,$K:$K)+SUMIF($A:$A,$A1772,$L:$L)))/VLOOKUP($A1772,HeadJournal!$A$1:$L$890,COLUMN(HeadJournal!H$1),0),0)</f>
        <v>0.59806328789081231</v>
      </c>
      <c r="P1772" s="30">
        <f>IFERROR(SUM(K1772:O1772)*VLOOKUP($A1772,HeadJournal!$A$1:$L$890,COLUMN(HeadJournal!H$1),0),0)</f>
        <v>894.05848670091711</v>
      </c>
      <c r="Q1772" s="29">
        <v>1700</v>
      </c>
      <c r="R1772" s="31">
        <v>45152</v>
      </c>
      <c r="S1772" s="31" t="s">
        <v>3121</v>
      </c>
      <c r="T1772" s="95" t="str">
        <f t="shared" si="140"/>
        <v>2023 08</v>
      </c>
      <c r="U1772" s="32">
        <f t="shared" si="137"/>
        <v>805.94151329908289</v>
      </c>
      <c r="V1772" s="22">
        <f t="shared" si="138"/>
        <v>0.90144160061945544</v>
      </c>
      <c r="X1772" s="33"/>
      <c r="Y1772" s="33"/>
    </row>
    <row r="1773" spans="1:25" x14ac:dyDescent="0.2">
      <c r="A1773" s="93" t="s">
        <v>776</v>
      </c>
      <c r="B1773" s="94" t="str">
        <f>IFERROR(VLOOKUP($A1773,HeadJournal!$A$1:$NTR$890,COLUMN(HeadJournal!B$1),0),"")</f>
        <v>710000834372</v>
      </c>
      <c r="C1773" s="94" t="str">
        <f>IFERROR(VLOOKUP($A1773,HeadJournal!$A$1:$NTR$890,COLUMN(HeadJournal!C$1),0),"")</f>
        <v>iHerb_OA CZN6870</v>
      </c>
      <c r="D1773" s="125" t="str">
        <f>IFERROR(VLOOKUP($A1773,HeadJournal!$A$1:$NTR$890,COLUMN(HeadJournal!D$1),0),"")</f>
        <v>Доставлен</v>
      </c>
      <c r="E1773" s="95">
        <f>IFERROR(VLOOKUP($A1773,HeadJournal!$A$1:$NTR$890,COLUMN(HeadJournal!G$1),0),"")</f>
        <v>45088</v>
      </c>
      <c r="F1773" s="95" t="str">
        <f t="shared" si="139"/>
        <v>2023 06</v>
      </c>
      <c r="G1773" s="96" t="s">
        <v>6</v>
      </c>
      <c r="H1773" s="160" t="str">
        <f>RIGHT(Journal!$J1773,9)</f>
        <v>EVL-02018</v>
      </c>
      <c r="I1773" s="96" t="str">
        <f t="shared" si="141"/>
        <v>EVLution Nutrition</v>
      </c>
      <c r="J1773" s="97" t="s">
        <v>636</v>
      </c>
      <c r="K1773" s="29">
        <v>17.71</v>
      </c>
      <c r="L1773" s="29">
        <v>-3.54</v>
      </c>
      <c r="M1773" s="30">
        <f>IFERROR(VLOOKUP($A1773,HeadJournal!$A$1:$J$890,COLUMN(HeadJournal!I$1),0)*($K1773+$L1773)/(SUMIF($A:$A,$A1773,$K:$K)+SUMIF($A:$A,$A1773,$L:$L)),0)</f>
        <v>-0.20088833972816542</v>
      </c>
      <c r="N1773" s="30">
        <f>IFERROR((VLOOKUP($A1773,HeadJournal!$A$1:$K$890,COLUMN(HeadJournal!K$1),0)-VLOOKUP($A1773,HeadJournal!$A$1:$K$890,COLUMN(HeadJournal!J$1),0))*($K1773+$L1773)/(SUMIF($A:$A,$A1773,$K:$K)+SUMIF($A:$A,$A1773,$L:$L)),0)</f>
        <v>0</v>
      </c>
      <c r="O1773" s="30">
        <f>IFERROR((VLOOKUP($A1773,HeadJournal!$A$1:$L$890,COLUMN(HeadJournal!L$1),0)*($K1773+$L1773)/(SUMIF($A:$A,$A1773,$K:$K)+SUMIF($A:$A,$A1773,$L:$L)))/VLOOKUP($A1773,HeadJournal!$A$1:$L$890,COLUMN(HeadJournal!H$1),0),0)</f>
        <v>0.91026388715497419</v>
      </c>
      <c r="P1773" s="30">
        <f>IFERROR(SUM(K1773:O1773)*VLOOKUP($A1773,HeadJournal!$A$1:$L$890,COLUMN(HeadJournal!H$1),0),0)</f>
        <v>1360.7743025297523</v>
      </c>
      <c r="Q1773" s="29">
        <v>2400</v>
      </c>
      <c r="R1773" s="31">
        <v>45197</v>
      </c>
      <c r="S1773" s="31" t="s">
        <v>3121</v>
      </c>
      <c r="T1773" s="95" t="str">
        <f t="shared" si="140"/>
        <v>2023 09</v>
      </c>
      <c r="U1773" s="32">
        <f t="shared" si="137"/>
        <v>1039.2256974702477</v>
      </c>
      <c r="V1773" s="22">
        <f t="shared" si="138"/>
        <v>0.76370173623816351</v>
      </c>
      <c r="X1773" s="33"/>
      <c r="Y1773" s="33"/>
    </row>
    <row r="1774" spans="1:25" x14ac:dyDescent="0.2">
      <c r="A1774" s="93" t="s">
        <v>776</v>
      </c>
      <c r="B1774" s="94" t="str">
        <f>IFERROR(VLOOKUP($A1774,HeadJournal!$A$1:$NTR$890,COLUMN(HeadJournal!B$1),0),"")</f>
        <v>710000834372</v>
      </c>
      <c r="C1774" s="94" t="str">
        <f>IFERROR(VLOOKUP($A1774,HeadJournal!$A$1:$NTR$890,COLUMN(HeadJournal!C$1),0),"")</f>
        <v>iHerb_OA CZN6870</v>
      </c>
      <c r="D1774" s="125" t="str">
        <f>IFERROR(VLOOKUP($A1774,HeadJournal!$A$1:$NTR$890,COLUMN(HeadJournal!D$1),0),"")</f>
        <v>Доставлен</v>
      </c>
      <c r="E1774" s="95">
        <f>IFERROR(VLOOKUP($A1774,HeadJournal!$A$1:$NTR$890,COLUMN(HeadJournal!G$1),0),"")</f>
        <v>45088</v>
      </c>
      <c r="F1774" s="95" t="str">
        <f t="shared" si="139"/>
        <v>2023 06</v>
      </c>
      <c r="G1774" s="96" t="s">
        <v>5</v>
      </c>
      <c r="H1774" s="160" t="str">
        <f>RIGHT(Journal!$J1774,9)</f>
        <v>EVL-02067</v>
      </c>
      <c r="I1774" s="96" t="str">
        <f t="shared" si="141"/>
        <v>EVLution Nutrition</v>
      </c>
      <c r="J1774" s="97" t="s">
        <v>783</v>
      </c>
      <c r="K1774" s="29">
        <v>19.420000000000002</v>
      </c>
      <c r="L1774" s="29">
        <v>-3.88</v>
      </c>
      <c r="M1774" s="30">
        <f>IFERROR(VLOOKUP($A1774,HeadJournal!$A$1:$J$890,COLUMN(HeadJournal!I$1),0)*($K1774+$L1774)/(SUMIF($A:$A,$A1774,$K:$K)+SUMIF($A:$A,$A1774,$L:$L)),0)</f>
        <v>-0.22031085387266697</v>
      </c>
      <c r="N1774" s="30">
        <f>IFERROR((VLOOKUP($A1774,HeadJournal!$A$1:$K$890,COLUMN(HeadJournal!K$1),0)-VLOOKUP($A1774,HeadJournal!$A$1:$K$890,COLUMN(HeadJournal!J$1),0))*($K1774+$L1774)/(SUMIF($A:$A,$A1774,$K:$K)+SUMIF($A:$A,$A1774,$L:$L)),0)</f>
        <v>0</v>
      </c>
      <c r="O1774" s="30">
        <f>IFERROR((VLOOKUP($A1774,HeadJournal!$A$1:$L$890,COLUMN(HeadJournal!L$1),0)*($K1774+$L1774)/(SUMIF($A:$A,$A1774,$K:$K)+SUMIF($A:$A,$A1774,$L:$L)))/VLOOKUP($A1774,HeadJournal!$A$1:$L$890,COLUMN(HeadJournal!H$1),0),0)</f>
        <v>0.99827105196812282</v>
      </c>
      <c r="P1774" s="30">
        <f>IFERROR(SUM(K1774:O1774)*VLOOKUP($A1774,HeadJournal!$A$1:$L$890,COLUMN(HeadJournal!H$1),0),0)</f>
        <v>1492.3382259218315</v>
      </c>
      <c r="Q1774" s="29">
        <v>2200</v>
      </c>
      <c r="R1774" s="31">
        <v>45716</v>
      </c>
      <c r="S1774" s="31" t="s">
        <v>3121</v>
      </c>
      <c r="T1774" s="95" t="str">
        <f t="shared" si="140"/>
        <v>2025 02</v>
      </c>
      <c r="U1774" s="32">
        <f t="shared" si="137"/>
        <v>707.66177407816849</v>
      </c>
      <c r="V1774" s="22">
        <f t="shared" si="138"/>
        <v>0.47419664107380155</v>
      </c>
      <c r="X1774" s="33"/>
      <c r="Y1774" s="33"/>
    </row>
    <row r="1775" spans="1:25" x14ac:dyDescent="0.2">
      <c r="A1775" s="93" t="s">
        <v>776</v>
      </c>
      <c r="B1775" s="94" t="str">
        <f>IFERROR(VLOOKUP($A1775,HeadJournal!$A$1:$NTR$890,COLUMN(HeadJournal!B$1),0),"")</f>
        <v>710000834372</v>
      </c>
      <c r="C1775" s="94" t="str">
        <f>IFERROR(VLOOKUP($A1775,HeadJournal!$A$1:$NTR$890,COLUMN(HeadJournal!C$1),0),"")</f>
        <v>iHerb_OA CZN6870</v>
      </c>
      <c r="D1775" s="125" t="str">
        <f>IFERROR(VLOOKUP($A1775,HeadJournal!$A$1:$NTR$890,COLUMN(HeadJournal!D$1),0),"")</f>
        <v>Доставлен</v>
      </c>
      <c r="E1775" s="95">
        <f>IFERROR(VLOOKUP($A1775,HeadJournal!$A$1:$NTR$890,COLUMN(HeadJournal!G$1),0),"")</f>
        <v>45088</v>
      </c>
      <c r="F1775" s="95" t="str">
        <f t="shared" si="139"/>
        <v>2023 06</v>
      </c>
      <c r="G1775" s="96" t="s">
        <v>5</v>
      </c>
      <c r="H1775" s="160" t="str">
        <f>RIGHT(Journal!$J1775,9)</f>
        <v>COC-09475</v>
      </c>
      <c r="I1775" s="96" t="str">
        <f t="shared" si="141"/>
        <v>Cococare</v>
      </c>
      <c r="J1775" s="97" t="s">
        <v>784</v>
      </c>
      <c r="K1775" s="29">
        <v>5.98</v>
      </c>
      <c r="L1775" s="29">
        <v>-0.6</v>
      </c>
      <c r="M1775" s="30">
        <f>IFERROR(VLOOKUP($A1775,HeadJournal!$A$1:$J$890,COLUMN(HeadJournal!I$1),0)*($K1775+$L1775)/(SUMIF($A:$A,$A1775,$K:$K)+SUMIF($A:$A,$A1775,$L:$L)),0)</f>
        <v>-7.6272354815633742E-2</v>
      </c>
      <c r="N1775" s="30">
        <f>IFERROR((VLOOKUP($A1775,HeadJournal!$A$1:$K$890,COLUMN(HeadJournal!K$1),0)-VLOOKUP($A1775,HeadJournal!$A$1:$K$890,COLUMN(HeadJournal!J$1),0))*($K1775+$L1775)/(SUMIF($A:$A,$A1775,$K:$K)+SUMIF($A:$A,$A1775,$L:$L)),0)</f>
        <v>0</v>
      </c>
      <c r="O1775" s="30">
        <f>IFERROR((VLOOKUP($A1775,HeadJournal!$A$1:$L$890,COLUMN(HeadJournal!L$1),0)*($K1775+$L1775)/(SUMIF($A:$A,$A1775,$K:$K)+SUMIF($A:$A,$A1775,$L:$L)))/VLOOKUP($A1775,HeadJournal!$A$1:$L$890,COLUMN(HeadJournal!H$1),0),0)</f>
        <v>0.34560477860929867</v>
      </c>
      <c r="P1775" s="30">
        <f>IFERROR(SUM(K1775:O1775)*VLOOKUP($A1775,HeadJournal!$A$1:$L$890,COLUMN(HeadJournal!H$1),0),0)</f>
        <v>516.6524874813033</v>
      </c>
      <c r="Q1775" s="29"/>
      <c r="R1775" s="31"/>
      <c r="S1775" s="31"/>
      <c r="T1775" s="95" t="str">
        <f t="shared" si="140"/>
        <v/>
      </c>
      <c r="U1775" s="32">
        <f t="shared" si="137"/>
        <v>-516.6524874813033</v>
      </c>
      <c r="V1775" s="22" t="str">
        <f t="shared" si="138"/>
        <v/>
      </c>
      <c r="X1775" s="33"/>
      <c r="Y1775" s="33"/>
    </row>
    <row r="1776" spans="1:25" x14ac:dyDescent="0.2">
      <c r="A1776" s="93" t="s">
        <v>776</v>
      </c>
      <c r="B1776" s="94" t="str">
        <f>IFERROR(VLOOKUP($A1776,HeadJournal!$A$1:$NTR$890,COLUMN(HeadJournal!B$1),0),"")</f>
        <v>710000834372</v>
      </c>
      <c r="C1776" s="94" t="str">
        <f>IFERROR(VLOOKUP($A1776,HeadJournal!$A$1:$NTR$890,COLUMN(HeadJournal!C$1),0),"")</f>
        <v>iHerb_OA CZN6870</v>
      </c>
      <c r="D1776" s="125" t="str">
        <f>IFERROR(VLOOKUP($A1776,HeadJournal!$A$1:$NTR$890,COLUMN(HeadJournal!D$1),0),"")</f>
        <v>Доставлен</v>
      </c>
      <c r="E1776" s="95">
        <f>IFERROR(VLOOKUP($A1776,HeadJournal!$A$1:$NTR$890,COLUMN(HeadJournal!G$1),0),"")</f>
        <v>45088</v>
      </c>
      <c r="F1776" s="95" t="str">
        <f t="shared" si="139"/>
        <v>2023 06</v>
      </c>
      <c r="G1776" s="96" t="s">
        <v>5</v>
      </c>
      <c r="H1776" s="160" t="str">
        <f>RIGHT(Journal!$J1776,9)</f>
        <v>CGN-01990</v>
      </c>
      <c r="I1776" s="96" t="str">
        <f t="shared" si="141"/>
        <v>California Gold Nutrition</v>
      </c>
      <c r="J1776" s="97" t="s">
        <v>785</v>
      </c>
      <c r="K1776" s="29">
        <v>12</v>
      </c>
      <c r="L1776" s="29">
        <v>-3.6</v>
      </c>
      <c r="M1776" s="30">
        <f>IFERROR(VLOOKUP($A1776,HeadJournal!$A$1:$J$890,COLUMN(HeadJournal!I$1),0)*($K1776+$L1776)/(SUMIF($A:$A,$A1776,$K:$K)+SUMIF($A:$A,$A1776,$L:$L)),0)</f>
        <v>-0.11908694803927942</v>
      </c>
      <c r="N1776" s="30">
        <f>IFERROR((VLOOKUP($A1776,HeadJournal!$A$1:$K$890,COLUMN(HeadJournal!K$1),0)-VLOOKUP($A1776,HeadJournal!$A$1:$K$890,COLUMN(HeadJournal!J$1),0))*($K1776+$L1776)/(SUMIF($A:$A,$A1776,$K:$K)+SUMIF($A:$A,$A1776,$L:$L)),0)</f>
        <v>0</v>
      </c>
      <c r="O1776" s="30">
        <f>IFERROR((VLOOKUP($A1776,HeadJournal!$A$1:$L$890,COLUMN(HeadJournal!L$1),0)*($K1776+$L1776)/(SUMIF($A:$A,$A1776,$K:$K)+SUMIF($A:$A,$A1776,$L:$L)))/VLOOKUP($A1776,HeadJournal!$A$1:$L$890,COLUMN(HeadJournal!H$1),0),0)</f>
        <v>0.5396059740368232</v>
      </c>
      <c r="P1776" s="30">
        <f>IFERROR(SUM(K1776:O1776)*VLOOKUP($A1776,HeadJournal!$A$1:$L$890,COLUMN(HeadJournal!H$1),0),0)</f>
        <v>806.66931130909791</v>
      </c>
      <c r="Q1776" s="29">
        <v>2500</v>
      </c>
      <c r="R1776" s="31">
        <v>45668</v>
      </c>
      <c r="S1776" s="31" t="s">
        <v>3121</v>
      </c>
      <c r="T1776" s="95" t="str">
        <f t="shared" si="140"/>
        <v>2025 01</v>
      </c>
      <c r="U1776" s="32">
        <f t="shared" si="137"/>
        <v>1693.3306886909022</v>
      </c>
      <c r="V1776" s="22">
        <f t="shared" si="138"/>
        <v>2.0991633931665157</v>
      </c>
      <c r="X1776" s="33"/>
      <c r="Y1776" s="33"/>
    </row>
    <row r="1777" spans="1:25" x14ac:dyDescent="0.2">
      <c r="A1777" s="93" t="s">
        <v>776</v>
      </c>
      <c r="B1777" s="94" t="str">
        <f>IFERROR(VLOOKUP($A1777,HeadJournal!$A$1:$NTR$890,COLUMN(HeadJournal!B$1),0),"")</f>
        <v>710000834372</v>
      </c>
      <c r="C1777" s="94" t="str">
        <f>IFERROR(VLOOKUP($A1777,HeadJournal!$A$1:$NTR$890,COLUMN(HeadJournal!C$1),0),"")</f>
        <v>iHerb_OA CZN6870</v>
      </c>
      <c r="D1777" s="125" t="str">
        <f>IFERROR(VLOOKUP($A1777,HeadJournal!$A$1:$NTR$890,COLUMN(HeadJournal!D$1),0),"")</f>
        <v>Доставлен</v>
      </c>
      <c r="E1777" s="95">
        <f>IFERROR(VLOOKUP($A1777,HeadJournal!$A$1:$NTR$890,COLUMN(HeadJournal!G$1),0),"")</f>
        <v>45088</v>
      </c>
      <c r="F1777" s="95" t="str">
        <f t="shared" si="139"/>
        <v>2023 06</v>
      </c>
      <c r="G1777" s="96" t="s">
        <v>5</v>
      </c>
      <c r="H1777" s="160" t="str">
        <f>RIGHT(Journal!$J1777,9)</f>
        <v>NBC-00300</v>
      </c>
      <c r="I1777" s="96" t="str">
        <f t="shared" si="141"/>
        <v>NutriBiotic</v>
      </c>
      <c r="J1777" s="97" t="s">
        <v>786</v>
      </c>
      <c r="K1777" s="29">
        <v>12.14</v>
      </c>
      <c r="L1777" s="29">
        <v>-4.1399999999999997</v>
      </c>
      <c r="M1777" s="30">
        <f>IFERROR(VLOOKUP($A1777,HeadJournal!$A$1:$J$890,COLUMN(HeadJournal!I$1),0)*($K1777+$L1777)/(SUMIF($A:$A,$A1777,$K:$K)+SUMIF($A:$A,$A1777,$L:$L)),0)</f>
        <v>-0.11341614098978993</v>
      </c>
      <c r="N1777" s="30">
        <f>IFERROR((VLOOKUP($A1777,HeadJournal!$A$1:$K$890,COLUMN(HeadJournal!K$1),0)-VLOOKUP($A1777,HeadJournal!$A$1:$K$890,COLUMN(HeadJournal!J$1),0))*($K1777+$L1777)/(SUMIF($A:$A,$A1777,$K:$K)+SUMIF($A:$A,$A1777,$L:$L)),0)</f>
        <v>0</v>
      </c>
      <c r="O1777" s="30">
        <f>IFERROR((VLOOKUP($A1777,HeadJournal!$A$1:$L$890,COLUMN(HeadJournal!L$1),0)*($K1777+$L1777)/(SUMIF($A:$A,$A1777,$K:$K)+SUMIF($A:$A,$A1777,$L:$L)))/VLOOKUP($A1777,HeadJournal!$A$1:$L$890,COLUMN(HeadJournal!H$1),0),0)</f>
        <v>0.513910451463641</v>
      </c>
      <c r="P1777" s="30">
        <f>IFERROR(SUM(K1777:O1777)*VLOOKUP($A1777,HeadJournal!$A$1:$L$890,COLUMN(HeadJournal!H$1),0),0)</f>
        <v>768.25648696104565</v>
      </c>
      <c r="Q1777" s="29">
        <v>2000</v>
      </c>
      <c r="R1777" s="31">
        <v>45261</v>
      </c>
      <c r="S1777" s="31" t="s">
        <v>3121</v>
      </c>
      <c r="T1777" s="95" t="str">
        <f t="shared" si="140"/>
        <v>2023 12</v>
      </c>
      <c r="U1777" s="32">
        <f t="shared" si="137"/>
        <v>1231.7435130389545</v>
      </c>
      <c r="V1777" s="22">
        <f t="shared" si="138"/>
        <v>1.603297250259873</v>
      </c>
      <c r="X1777" s="33"/>
      <c r="Y1777" s="33"/>
    </row>
    <row r="1778" spans="1:25" x14ac:dyDescent="0.2">
      <c r="A1778" s="93" t="s">
        <v>776</v>
      </c>
      <c r="B1778" s="94" t="str">
        <f>IFERROR(VLOOKUP($A1778,HeadJournal!$A$1:$NTR$890,COLUMN(HeadJournal!B$1),0),"")</f>
        <v>710000834372</v>
      </c>
      <c r="C1778" s="94" t="str">
        <f>IFERROR(VLOOKUP($A1778,HeadJournal!$A$1:$NTR$890,COLUMN(HeadJournal!C$1),0),"")</f>
        <v>iHerb_OA CZN6870</v>
      </c>
      <c r="D1778" s="125" t="str">
        <f>IFERROR(VLOOKUP($A1778,HeadJournal!$A$1:$NTR$890,COLUMN(HeadJournal!D$1),0),"")</f>
        <v>Доставлен</v>
      </c>
      <c r="E1778" s="95">
        <f>IFERROR(VLOOKUP($A1778,HeadJournal!$A$1:$NTR$890,COLUMN(HeadJournal!G$1),0),"")</f>
        <v>45088</v>
      </c>
      <c r="F1778" s="95" t="str">
        <f t="shared" si="139"/>
        <v>2023 06</v>
      </c>
      <c r="G1778" s="96" t="s">
        <v>5</v>
      </c>
      <c r="H1778" s="160" t="str">
        <f>RIGHT(Journal!$J1778,9)</f>
        <v>FOA-01488</v>
      </c>
      <c r="I1778" s="96" t="str">
        <f t="shared" si="141"/>
        <v>Force Factor</v>
      </c>
      <c r="J1778" s="97" t="s">
        <v>787</v>
      </c>
      <c r="K1778" s="29">
        <v>13.99</v>
      </c>
      <c r="L1778" s="29">
        <v>-2.8</v>
      </c>
      <c r="M1778" s="30">
        <f>IFERROR(VLOOKUP($A1778,HeadJournal!$A$1:$J$890,COLUMN(HeadJournal!I$1),0)*($K1778+$L1778)/(SUMIF($A:$A,$A1778,$K:$K)+SUMIF($A:$A,$A1778,$L:$L)),0)</f>
        <v>-0.15864082720946865</v>
      </c>
      <c r="N1778" s="30">
        <f>IFERROR((VLOOKUP($A1778,HeadJournal!$A$1:$K$890,COLUMN(HeadJournal!K$1),0)-VLOOKUP($A1778,HeadJournal!$A$1:$K$890,COLUMN(HeadJournal!J$1),0))*($K1778+$L1778)/(SUMIF($A:$A,$A1778,$K:$K)+SUMIF($A:$A,$A1778,$L:$L)),0)</f>
        <v>0</v>
      </c>
      <c r="O1778" s="30">
        <f>IFERROR((VLOOKUP($A1778,HeadJournal!$A$1:$L$890,COLUMN(HeadJournal!L$1),0)*($K1778+$L1778)/(SUMIF($A:$A,$A1778,$K:$K)+SUMIF($A:$A,$A1778,$L:$L)))/VLOOKUP($A1778,HeadJournal!$A$1:$L$890,COLUMN(HeadJournal!H$1),0),0)</f>
        <v>0.71883224398476797</v>
      </c>
      <c r="P1778" s="30">
        <f>IFERROR(SUM(K1778:O1778)*VLOOKUP($A1778,HeadJournal!$A$1:$L$890,COLUMN(HeadJournal!H$1),0),0)</f>
        <v>1074.5987611367627</v>
      </c>
      <c r="Q1778" s="29">
        <v>2000</v>
      </c>
      <c r="R1778" s="31">
        <v>45268</v>
      </c>
      <c r="S1778" s="31" t="s">
        <v>3121</v>
      </c>
      <c r="T1778" s="95" t="str">
        <f t="shared" si="140"/>
        <v>2023 12</v>
      </c>
      <c r="U1778" s="32">
        <f t="shared" si="137"/>
        <v>925.40123886323727</v>
      </c>
      <c r="V1778" s="22">
        <f t="shared" si="138"/>
        <v>0.86115978570857732</v>
      </c>
      <c r="X1778" s="33"/>
      <c r="Y1778" s="33"/>
    </row>
    <row r="1779" spans="1:25" x14ac:dyDescent="0.2">
      <c r="A1779" s="93" t="s">
        <v>788</v>
      </c>
      <c r="B1779" s="94">
        <f>IFERROR(VLOOKUP($A1779,HeadJournal!$A$1:$NTR$890,COLUMN(HeadJournal!B$1),0),"")</f>
        <v>0</v>
      </c>
      <c r="C1779" s="94" t="str">
        <f>IFERROR(VLOOKUP($A1779,HeadJournal!$A$1:$NTR$890,COLUMN(HeadJournal!C$1),0),"")</f>
        <v>WBRS</v>
      </c>
      <c r="D1779" s="125" t="str">
        <f>IFERROR(VLOOKUP($A1779,HeadJournal!$A$1:$NTR$890,COLUMN(HeadJournal!D$1),0),"")</f>
        <v>Доставлен</v>
      </c>
      <c r="E1779" s="95">
        <f>IFERROR(VLOOKUP($A1779,HeadJournal!$A$1:$NTR$890,COLUMN(HeadJournal!G$1),0),"")</f>
        <v>45098</v>
      </c>
      <c r="F1779" s="95" t="str">
        <f t="shared" si="139"/>
        <v>2023 06</v>
      </c>
      <c r="G1779" s="96" t="s">
        <v>6</v>
      </c>
      <c r="H1779" s="160" t="str">
        <f>RIGHT(Journal!$J1779,9)</f>
        <v>138948952</v>
      </c>
      <c r="I1779" s="96" t="str">
        <f t="shared" si="141"/>
        <v>Workout time</v>
      </c>
      <c r="J1779" s="97" t="s">
        <v>789</v>
      </c>
      <c r="K1779" s="29">
        <v>374</v>
      </c>
      <c r="L1779" s="29"/>
      <c r="M1779" s="30">
        <f>IFERROR(VLOOKUP($A1779,HeadJournal!$A$1:$J$890,COLUMN(HeadJournal!I$1),0)*($K1779+$L1779)/(SUMIF($A:$A,$A1779,$K:$K)+SUMIF($A:$A,$A1779,$L:$L)),0)</f>
        <v>0</v>
      </c>
      <c r="N1779" s="30">
        <f>IFERROR((VLOOKUP($A1779,HeadJournal!$A$1:$K$890,COLUMN(HeadJournal!K$1),0)-VLOOKUP($A1779,HeadJournal!$A$1:$K$890,COLUMN(HeadJournal!J$1),0))*($K1779+$L1779)/(SUMIF($A:$A,$A1779,$K:$K)+SUMIF($A:$A,$A1779,$L:$L)),0)</f>
        <v>0</v>
      </c>
      <c r="O1779" s="30">
        <f>IFERROR((VLOOKUP($A1779,HeadJournal!$A$1:$L$890,COLUMN(HeadJournal!L$1),0)*($K1779+$L1779)/(SUMIF($A:$A,$A1779,$K:$K)+SUMIF($A:$A,$A1779,$L:$L)))/VLOOKUP($A1779,HeadJournal!$A$1:$L$890,COLUMN(HeadJournal!H$1),0),0)</f>
        <v>37.400000000000006</v>
      </c>
      <c r="P1779" s="30">
        <f>IFERROR(SUM(K1779:O1779)*VLOOKUP($A1779,HeadJournal!$A$1:$L$890,COLUMN(HeadJournal!H$1),0),0)</f>
        <v>411.4</v>
      </c>
      <c r="Q1779" s="29">
        <v>550</v>
      </c>
      <c r="R1779" s="31">
        <v>45113</v>
      </c>
      <c r="S1779" s="31" t="s">
        <v>3121</v>
      </c>
      <c r="T1779" s="95" t="str">
        <f t="shared" si="140"/>
        <v>2023 07</v>
      </c>
      <c r="U1779" s="32">
        <f t="shared" si="137"/>
        <v>138.60000000000002</v>
      </c>
      <c r="V1779" s="22">
        <f t="shared" si="138"/>
        <v>0.3368983957219252</v>
      </c>
      <c r="X1779" s="33"/>
      <c r="Y1779" s="33"/>
    </row>
    <row r="1780" spans="1:25" x14ac:dyDescent="0.2">
      <c r="A1780" s="93" t="s">
        <v>788</v>
      </c>
      <c r="B1780" s="94">
        <f>IFERROR(VLOOKUP($A1780,HeadJournal!$A$1:$NTR$890,COLUMN(HeadJournal!B$1),0),"")</f>
        <v>0</v>
      </c>
      <c r="C1780" s="94" t="str">
        <f>IFERROR(VLOOKUP($A1780,HeadJournal!$A$1:$NTR$890,COLUMN(HeadJournal!C$1),0),"")</f>
        <v>WBRS</v>
      </c>
      <c r="D1780" s="125" t="str">
        <f>IFERROR(VLOOKUP($A1780,HeadJournal!$A$1:$NTR$890,COLUMN(HeadJournal!D$1),0),"")</f>
        <v>Доставлен</v>
      </c>
      <c r="E1780" s="95">
        <f>IFERROR(VLOOKUP($A1780,HeadJournal!$A$1:$NTR$890,COLUMN(HeadJournal!G$1),0),"")</f>
        <v>45098</v>
      </c>
      <c r="F1780" s="95" t="str">
        <f t="shared" si="139"/>
        <v>2023 06</v>
      </c>
      <c r="G1780" s="96" t="s">
        <v>6</v>
      </c>
      <c r="H1780" s="160" t="str">
        <f>RIGHT(Journal!$J1780,9)</f>
        <v>138948952</v>
      </c>
      <c r="I1780" s="96" t="str">
        <f t="shared" si="141"/>
        <v>Workout time</v>
      </c>
      <c r="J1780" s="97" t="s">
        <v>789</v>
      </c>
      <c r="K1780" s="29">
        <v>374</v>
      </c>
      <c r="L1780" s="29"/>
      <c r="M1780" s="30">
        <f>IFERROR(VLOOKUP($A1780,HeadJournal!$A$1:$J$890,COLUMN(HeadJournal!I$1),0)*($K1780+$L1780)/(SUMIF($A:$A,$A1780,$K:$K)+SUMIF($A:$A,$A1780,$L:$L)),0)</f>
        <v>0</v>
      </c>
      <c r="N1780" s="30">
        <f>IFERROR((VLOOKUP($A1780,HeadJournal!$A$1:$K$890,COLUMN(HeadJournal!K$1),0)-VLOOKUP($A1780,HeadJournal!$A$1:$K$890,COLUMN(HeadJournal!J$1),0))*($K1780+$L1780)/(SUMIF($A:$A,$A1780,$K:$K)+SUMIF($A:$A,$A1780,$L:$L)),0)</f>
        <v>0</v>
      </c>
      <c r="O1780" s="30">
        <f>IFERROR((VLOOKUP($A1780,HeadJournal!$A$1:$L$890,COLUMN(HeadJournal!L$1),0)*($K1780+$L1780)/(SUMIF($A:$A,$A1780,$K:$K)+SUMIF($A:$A,$A1780,$L:$L)))/VLOOKUP($A1780,HeadJournal!$A$1:$L$890,COLUMN(HeadJournal!H$1),0),0)</f>
        <v>37.400000000000006</v>
      </c>
      <c r="P1780" s="30">
        <f>IFERROR(SUM(K1780:O1780)*VLOOKUP($A1780,HeadJournal!$A$1:$L$890,COLUMN(HeadJournal!H$1),0),0)</f>
        <v>411.4</v>
      </c>
      <c r="Q1780" s="29">
        <v>550</v>
      </c>
      <c r="R1780" s="31">
        <v>45113</v>
      </c>
      <c r="S1780" s="31" t="s">
        <v>3121</v>
      </c>
      <c r="T1780" s="95" t="str">
        <f t="shared" si="140"/>
        <v>2023 07</v>
      </c>
      <c r="U1780" s="32">
        <f t="shared" si="137"/>
        <v>138.60000000000002</v>
      </c>
      <c r="V1780" s="22">
        <f t="shared" si="138"/>
        <v>0.3368983957219252</v>
      </c>
      <c r="X1780" s="33"/>
      <c r="Y1780" s="33"/>
    </row>
    <row r="1781" spans="1:25" x14ac:dyDescent="0.2">
      <c r="A1781" s="93" t="s">
        <v>788</v>
      </c>
      <c r="B1781" s="94">
        <f>IFERROR(VLOOKUP($A1781,HeadJournal!$A$1:$NTR$890,COLUMN(HeadJournal!B$1),0),"")</f>
        <v>0</v>
      </c>
      <c r="C1781" s="94" t="str">
        <f>IFERROR(VLOOKUP($A1781,HeadJournal!$A$1:$NTR$890,COLUMN(HeadJournal!C$1),0),"")</f>
        <v>WBRS</v>
      </c>
      <c r="D1781" s="125" t="str">
        <f>IFERROR(VLOOKUP($A1781,HeadJournal!$A$1:$NTR$890,COLUMN(HeadJournal!D$1),0),"")</f>
        <v>Доставлен</v>
      </c>
      <c r="E1781" s="95">
        <f>IFERROR(VLOOKUP($A1781,HeadJournal!$A$1:$NTR$890,COLUMN(HeadJournal!G$1),0),"")</f>
        <v>45098</v>
      </c>
      <c r="F1781" s="95" t="str">
        <f t="shared" si="139"/>
        <v>2023 06</v>
      </c>
      <c r="G1781" s="96" t="s">
        <v>6</v>
      </c>
      <c r="H1781" s="160" t="str">
        <f>RIGHT(Journal!$J1781,9)</f>
        <v>143238214</v>
      </c>
      <c r="I1781" s="96" t="str">
        <f t="shared" si="141"/>
        <v>Workout time</v>
      </c>
      <c r="J1781" s="97" t="s">
        <v>790</v>
      </c>
      <c r="K1781" s="29">
        <v>374</v>
      </c>
      <c r="L1781" s="29"/>
      <c r="M1781" s="30">
        <f>IFERROR(VLOOKUP($A1781,HeadJournal!$A$1:$J$890,COLUMN(HeadJournal!I$1),0)*($K1781+$L1781)/(SUMIF($A:$A,$A1781,$K:$K)+SUMIF($A:$A,$A1781,$L:$L)),0)</f>
        <v>0</v>
      </c>
      <c r="N1781" s="30">
        <f>IFERROR((VLOOKUP($A1781,HeadJournal!$A$1:$K$890,COLUMN(HeadJournal!K$1),0)-VLOOKUP($A1781,HeadJournal!$A$1:$K$890,COLUMN(HeadJournal!J$1),0))*($K1781+$L1781)/(SUMIF($A:$A,$A1781,$K:$K)+SUMIF($A:$A,$A1781,$L:$L)),0)</f>
        <v>0</v>
      </c>
      <c r="O1781" s="30">
        <f>IFERROR((VLOOKUP($A1781,HeadJournal!$A$1:$L$890,COLUMN(HeadJournal!L$1),0)*($K1781+$L1781)/(SUMIF($A:$A,$A1781,$K:$K)+SUMIF($A:$A,$A1781,$L:$L)))/VLOOKUP($A1781,HeadJournal!$A$1:$L$890,COLUMN(HeadJournal!H$1),0),0)</f>
        <v>37.400000000000006</v>
      </c>
      <c r="P1781" s="30">
        <f>IFERROR(SUM(K1781:O1781)*VLOOKUP($A1781,HeadJournal!$A$1:$L$890,COLUMN(HeadJournal!H$1),0),0)</f>
        <v>411.4</v>
      </c>
      <c r="Q1781" s="29">
        <v>550</v>
      </c>
      <c r="R1781" s="31">
        <v>45117</v>
      </c>
      <c r="S1781" s="31" t="s">
        <v>3121</v>
      </c>
      <c r="T1781" s="95" t="str">
        <f t="shared" si="140"/>
        <v>2023 07</v>
      </c>
      <c r="U1781" s="32">
        <f t="shared" si="137"/>
        <v>138.60000000000002</v>
      </c>
      <c r="V1781" s="22">
        <f t="shared" si="138"/>
        <v>0.3368983957219252</v>
      </c>
      <c r="X1781" s="33"/>
      <c r="Y1781" s="33"/>
    </row>
    <row r="1782" spans="1:25" x14ac:dyDescent="0.2">
      <c r="A1782" s="93" t="s">
        <v>788</v>
      </c>
      <c r="B1782" s="94">
        <f>IFERROR(VLOOKUP($A1782,HeadJournal!$A$1:$NTR$890,COLUMN(HeadJournal!B$1),0),"")</f>
        <v>0</v>
      </c>
      <c r="C1782" s="94" t="str">
        <f>IFERROR(VLOOKUP($A1782,HeadJournal!$A$1:$NTR$890,COLUMN(HeadJournal!C$1),0),"")</f>
        <v>WBRS</v>
      </c>
      <c r="D1782" s="125" t="str">
        <f>IFERROR(VLOOKUP($A1782,HeadJournal!$A$1:$NTR$890,COLUMN(HeadJournal!D$1),0),"")</f>
        <v>Доставлен</v>
      </c>
      <c r="E1782" s="95">
        <f>IFERROR(VLOOKUP($A1782,HeadJournal!$A$1:$NTR$890,COLUMN(HeadJournal!G$1),0),"")</f>
        <v>45098</v>
      </c>
      <c r="F1782" s="95" t="str">
        <f t="shared" si="139"/>
        <v>2023 06</v>
      </c>
      <c r="G1782" s="96" t="s">
        <v>6</v>
      </c>
      <c r="H1782" s="160" t="str">
        <f>RIGHT(Journal!$J1782,9)</f>
        <v>143233562</v>
      </c>
      <c r="I1782" s="96" t="str">
        <f t="shared" si="141"/>
        <v>Workout time</v>
      </c>
      <c r="J1782" s="97" t="s">
        <v>791</v>
      </c>
      <c r="K1782" s="29">
        <v>374</v>
      </c>
      <c r="L1782" s="29"/>
      <c r="M1782" s="30">
        <f>IFERROR(VLOOKUP($A1782,HeadJournal!$A$1:$J$890,COLUMN(HeadJournal!I$1),0)*($K1782+$L1782)/(SUMIF($A:$A,$A1782,$K:$K)+SUMIF($A:$A,$A1782,$L:$L)),0)</f>
        <v>0</v>
      </c>
      <c r="N1782" s="30">
        <f>IFERROR((VLOOKUP($A1782,HeadJournal!$A$1:$K$890,COLUMN(HeadJournal!K$1),0)-VLOOKUP($A1782,HeadJournal!$A$1:$K$890,COLUMN(HeadJournal!J$1),0))*($K1782+$L1782)/(SUMIF($A:$A,$A1782,$K:$K)+SUMIF($A:$A,$A1782,$L:$L)),0)</f>
        <v>0</v>
      </c>
      <c r="O1782" s="30">
        <f>IFERROR((VLOOKUP($A1782,HeadJournal!$A$1:$L$890,COLUMN(HeadJournal!L$1),0)*($K1782+$L1782)/(SUMIF($A:$A,$A1782,$K:$K)+SUMIF($A:$A,$A1782,$L:$L)))/VLOOKUP($A1782,HeadJournal!$A$1:$L$890,COLUMN(HeadJournal!H$1),0),0)</f>
        <v>37.400000000000006</v>
      </c>
      <c r="P1782" s="30">
        <f>IFERROR(SUM(K1782:O1782)*VLOOKUP($A1782,HeadJournal!$A$1:$L$890,COLUMN(HeadJournal!H$1),0),0)</f>
        <v>411.4</v>
      </c>
      <c r="Q1782" s="29">
        <v>550</v>
      </c>
      <c r="R1782" s="31">
        <v>45122</v>
      </c>
      <c r="S1782" s="31" t="s">
        <v>3121</v>
      </c>
      <c r="T1782" s="95" t="str">
        <f t="shared" si="140"/>
        <v>2023 07</v>
      </c>
      <c r="U1782" s="32">
        <f t="shared" si="137"/>
        <v>138.60000000000002</v>
      </c>
      <c r="V1782" s="22">
        <f t="shared" si="138"/>
        <v>0.3368983957219252</v>
      </c>
      <c r="X1782" s="33"/>
      <c r="Y1782" s="33"/>
    </row>
    <row r="1783" spans="1:25" x14ac:dyDescent="0.2">
      <c r="A1783" s="93" t="s">
        <v>788</v>
      </c>
      <c r="B1783" s="94">
        <f>IFERROR(VLOOKUP($A1783,HeadJournal!$A$1:$NTR$890,COLUMN(HeadJournal!B$1),0),"")</f>
        <v>0</v>
      </c>
      <c r="C1783" s="94" t="str">
        <f>IFERROR(VLOOKUP($A1783,HeadJournal!$A$1:$NTR$890,COLUMN(HeadJournal!C$1),0),"")</f>
        <v>WBRS</v>
      </c>
      <c r="D1783" s="125" t="str">
        <f>IFERROR(VLOOKUP($A1783,HeadJournal!$A$1:$NTR$890,COLUMN(HeadJournal!D$1),0),"")</f>
        <v>Доставлен</v>
      </c>
      <c r="E1783" s="95">
        <f>IFERROR(VLOOKUP($A1783,HeadJournal!$A$1:$NTR$890,COLUMN(HeadJournal!G$1),0),"")</f>
        <v>45098</v>
      </c>
      <c r="F1783" s="95" t="str">
        <f t="shared" si="139"/>
        <v>2023 06</v>
      </c>
      <c r="G1783" s="96" t="s">
        <v>6</v>
      </c>
      <c r="H1783" s="160" t="str">
        <f>RIGHT(Journal!$J1783,9)</f>
        <v>143233562</v>
      </c>
      <c r="I1783" s="96" t="str">
        <f t="shared" si="141"/>
        <v>Workout time</v>
      </c>
      <c r="J1783" s="97" t="s">
        <v>791</v>
      </c>
      <c r="K1783" s="29">
        <v>374</v>
      </c>
      <c r="L1783" s="29"/>
      <c r="M1783" s="30">
        <f>IFERROR(VLOOKUP($A1783,HeadJournal!$A$1:$J$890,COLUMN(HeadJournal!I$1),0)*($K1783+$L1783)/(SUMIF($A:$A,$A1783,$K:$K)+SUMIF($A:$A,$A1783,$L:$L)),0)</f>
        <v>0</v>
      </c>
      <c r="N1783" s="30">
        <f>IFERROR((VLOOKUP($A1783,HeadJournal!$A$1:$K$890,COLUMN(HeadJournal!K$1),0)-VLOOKUP($A1783,HeadJournal!$A$1:$K$890,COLUMN(HeadJournal!J$1),0))*($K1783+$L1783)/(SUMIF($A:$A,$A1783,$K:$K)+SUMIF($A:$A,$A1783,$L:$L)),0)</f>
        <v>0</v>
      </c>
      <c r="O1783" s="30">
        <f>IFERROR((VLOOKUP($A1783,HeadJournal!$A$1:$L$890,COLUMN(HeadJournal!L$1),0)*($K1783+$L1783)/(SUMIF($A:$A,$A1783,$K:$K)+SUMIF($A:$A,$A1783,$L:$L)))/VLOOKUP($A1783,HeadJournal!$A$1:$L$890,COLUMN(HeadJournal!H$1),0),0)</f>
        <v>37.400000000000006</v>
      </c>
      <c r="P1783" s="30">
        <f>IFERROR(SUM(K1783:O1783)*VLOOKUP($A1783,HeadJournal!$A$1:$L$890,COLUMN(HeadJournal!H$1),0),0)</f>
        <v>411.4</v>
      </c>
      <c r="Q1783" s="29">
        <v>550</v>
      </c>
      <c r="R1783" s="31">
        <v>45133</v>
      </c>
      <c r="S1783" s="31" t="s">
        <v>3121</v>
      </c>
      <c r="T1783" s="95" t="str">
        <f t="shared" si="140"/>
        <v>2023 07</v>
      </c>
      <c r="U1783" s="32">
        <f t="shared" si="137"/>
        <v>138.60000000000002</v>
      </c>
      <c r="V1783" s="22">
        <f t="shared" si="138"/>
        <v>0.3368983957219252</v>
      </c>
      <c r="X1783" s="33"/>
      <c r="Y1783" s="33"/>
    </row>
    <row r="1784" spans="1:25" x14ac:dyDescent="0.2">
      <c r="A1784" s="93" t="s">
        <v>788</v>
      </c>
      <c r="B1784" s="94">
        <f>IFERROR(VLOOKUP($A1784,HeadJournal!$A$1:$NTR$890,COLUMN(HeadJournal!B$1),0),"")</f>
        <v>0</v>
      </c>
      <c r="C1784" s="94" t="str">
        <f>IFERROR(VLOOKUP($A1784,HeadJournal!$A$1:$NTR$890,COLUMN(HeadJournal!C$1),0),"")</f>
        <v>WBRS</v>
      </c>
      <c r="D1784" s="125" t="str">
        <f>IFERROR(VLOOKUP($A1784,HeadJournal!$A$1:$NTR$890,COLUMN(HeadJournal!D$1),0),"")</f>
        <v>Доставлен</v>
      </c>
      <c r="E1784" s="95">
        <f>IFERROR(VLOOKUP($A1784,HeadJournal!$A$1:$NTR$890,COLUMN(HeadJournal!G$1),0),"")</f>
        <v>45098</v>
      </c>
      <c r="F1784" s="95" t="str">
        <f t="shared" si="139"/>
        <v>2023 06</v>
      </c>
      <c r="G1784" s="96" t="s">
        <v>6</v>
      </c>
      <c r="H1784" s="160" t="str">
        <f>RIGHT(Journal!$J1784,9)</f>
        <v>149869594</v>
      </c>
      <c r="I1784" s="96" t="str">
        <f t="shared" si="141"/>
        <v>Workout time</v>
      </c>
      <c r="J1784" s="97" t="s">
        <v>792</v>
      </c>
      <c r="K1784" s="29">
        <v>374</v>
      </c>
      <c r="L1784" s="29"/>
      <c r="M1784" s="30">
        <f>IFERROR(VLOOKUP($A1784,HeadJournal!$A$1:$J$890,COLUMN(HeadJournal!I$1),0)*($K1784+$L1784)/(SUMIF($A:$A,$A1784,$K:$K)+SUMIF($A:$A,$A1784,$L:$L)),0)</f>
        <v>0</v>
      </c>
      <c r="N1784" s="30">
        <f>IFERROR((VLOOKUP($A1784,HeadJournal!$A$1:$K$890,COLUMN(HeadJournal!K$1),0)-VLOOKUP($A1784,HeadJournal!$A$1:$K$890,COLUMN(HeadJournal!J$1),0))*($K1784+$L1784)/(SUMIF($A:$A,$A1784,$K:$K)+SUMIF($A:$A,$A1784,$L:$L)),0)</f>
        <v>0</v>
      </c>
      <c r="O1784" s="30">
        <f>IFERROR((VLOOKUP($A1784,HeadJournal!$A$1:$L$890,COLUMN(HeadJournal!L$1),0)*($K1784+$L1784)/(SUMIF($A:$A,$A1784,$K:$K)+SUMIF($A:$A,$A1784,$L:$L)))/VLOOKUP($A1784,HeadJournal!$A$1:$L$890,COLUMN(HeadJournal!H$1),0),0)</f>
        <v>37.400000000000006</v>
      </c>
      <c r="P1784" s="30">
        <f>IFERROR(SUM(K1784:O1784)*VLOOKUP($A1784,HeadJournal!$A$1:$L$890,COLUMN(HeadJournal!H$1),0),0)</f>
        <v>411.4</v>
      </c>
      <c r="Q1784" s="29">
        <v>550</v>
      </c>
      <c r="R1784" s="31">
        <v>45133</v>
      </c>
      <c r="S1784" s="31" t="s">
        <v>3121</v>
      </c>
      <c r="T1784" s="95" t="str">
        <f t="shared" si="140"/>
        <v>2023 07</v>
      </c>
      <c r="U1784" s="32">
        <f t="shared" si="137"/>
        <v>138.60000000000002</v>
      </c>
      <c r="V1784" s="22">
        <f t="shared" si="138"/>
        <v>0.3368983957219252</v>
      </c>
      <c r="X1784" s="33"/>
      <c r="Y1784" s="33"/>
    </row>
    <row r="1785" spans="1:25" x14ac:dyDescent="0.2">
      <c r="A1785" s="93" t="s">
        <v>793</v>
      </c>
      <c r="B1785" s="94">
        <f>IFERROR(VLOOKUP($A1785,HeadJournal!$A$1:$NTR$890,COLUMN(HeadJournal!B$1),0),"")</f>
        <v>0</v>
      </c>
      <c r="C1785" s="94" t="str">
        <f>IFERROR(VLOOKUP($A1785,HeadJournal!$A$1:$NTR$890,COLUMN(HeadJournal!C$1),0),"")</f>
        <v>WBRS</v>
      </c>
      <c r="D1785" s="125" t="str">
        <f>IFERROR(VLOOKUP($A1785,HeadJournal!$A$1:$NTR$890,COLUMN(HeadJournal!D$1),0),"")</f>
        <v>Доставлен</v>
      </c>
      <c r="E1785" s="95">
        <f>IFERROR(VLOOKUP($A1785,HeadJournal!$A$1:$NTR$890,COLUMN(HeadJournal!G$1),0),"")</f>
        <v>45098</v>
      </c>
      <c r="F1785" s="95" t="str">
        <f t="shared" si="139"/>
        <v>2023 06</v>
      </c>
      <c r="G1785" s="96" t="s">
        <v>6</v>
      </c>
      <c r="H1785" s="160" t="str">
        <f>RIGHT(Journal!$J1785,9)</f>
        <v>139631886</v>
      </c>
      <c r="I1785" s="96" t="str">
        <f t="shared" si="141"/>
        <v>MAXLER</v>
      </c>
      <c r="J1785" s="97" t="s">
        <v>794</v>
      </c>
      <c r="K1785" s="29">
        <v>940</v>
      </c>
      <c r="L1785" s="29"/>
      <c r="M1785" s="30">
        <f>IFERROR(VLOOKUP($A1785,HeadJournal!$A$1:$J$890,COLUMN(HeadJournal!I$1),0)*($K1785+$L1785)/(SUMIF($A:$A,$A1785,$K:$K)+SUMIF($A:$A,$A1785,$L:$L)),0)</f>
        <v>0</v>
      </c>
      <c r="N1785" s="30">
        <f>IFERROR((VLOOKUP($A1785,HeadJournal!$A$1:$K$890,COLUMN(HeadJournal!K$1),0)-VLOOKUP($A1785,HeadJournal!$A$1:$K$890,COLUMN(HeadJournal!J$1),0))*($K1785+$L1785)/(SUMIF($A:$A,$A1785,$K:$K)+SUMIF($A:$A,$A1785,$L:$L)),0)</f>
        <v>0</v>
      </c>
      <c r="O1785" s="30">
        <f>IFERROR((VLOOKUP($A1785,HeadJournal!$A$1:$L$890,COLUMN(HeadJournal!L$1),0)*($K1785+$L1785)/(SUMIF($A:$A,$A1785,$K:$K)+SUMIF($A:$A,$A1785,$L:$L)))/VLOOKUP($A1785,HeadJournal!$A$1:$L$890,COLUMN(HeadJournal!H$1),0),0)</f>
        <v>94</v>
      </c>
      <c r="P1785" s="30">
        <f>IFERROR(SUM(K1785:O1785)*VLOOKUP($A1785,HeadJournal!$A$1:$L$890,COLUMN(HeadJournal!H$1),0),0)</f>
        <v>1034</v>
      </c>
      <c r="Q1785" s="29">
        <v>1700</v>
      </c>
      <c r="R1785" s="31">
        <v>45107</v>
      </c>
      <c r="S1785" s="31" t="s">
        <v>3121</v>
      </c>
      <c r="T1785" s="95" t="str">
        <f t="shared" si="140"/>
        <v>2023 06</v>
      </c>
      <c r="U1785" s="32">
        <f t="shared" si="137"/>
        <v>666</v>
      </c>
      <c r="V1785" s="22">
        <f t="shared" si="138"/>
        <v>0.64410058027079309</v>
      </c>
      <c r="X1785" s="33"/>
      <c r="Y1785" s="33"/>
    </row>
    <row r="1786" spans="1:25" x14ac:dyDescent="0.2">
      <c r="A1786" s="93" t="s">
        <v>793</v>
      </c>
      <c r="B1786" s="94">
        <f>IFERROR(VLOOKUP($A1786,HeadJournal!$A$1:$NTR$890,COLUMN(HeadJournal!B$1),0),"")</f>
        <v>0</v>
      </c>
      <c r="C1786" s="94" t="str">
        <f>IFERROR(VLOOKUP($A1786,HeadJournal!$A$1:$NTR$890,COLUMN(HeadJournal!C$1),0),"")</f>
        <v>WBRS</v>
      </c>
      <c r="D1786" s="125" t="str">
        <f>IFERROR(VLOOKUP($A1786,HeadJournal!$A$1:$NTR$890,COLUMN(HeadJournal!D$1),0),"")</f>
        <v>Доставлен</v>
      </c>
      <c r="E1786" s="95">
        <f>IFERROR(VLOOKUP($A1786,HeadJournal!$A$1:$NTR$890,COLUMN(HeadJournal!G$1),0),"")</f>
        <v>45098</v>
      </c>
      <c r="F1786" s="95" t="str">
        <f t="shared" si="139"/>
        <v>2023 06</v>
      </c>
      <c r="G1786" s="96" t="s">
        <v>6</v>
      </c>
      <c r="H1786" s="160" t="str">
        <f>RIGHT(Journal!$J1786,9)</f>
        <v>139631886</v>
      </c>
      <c r="I1786" s="96" t="str">
        <f t="shared" si="141"/>
        <v>MAXLER</v>
      </c>
      <c r="J1786" s="97" t="s">
        <v>794</v>
      </c>
      <c r="K1786" s="29">
        <v>940</v>
      </c>
      <c r="L1786" s="29"/>
      <c r="M1786" s="30">
        <f>IFERROR(VLOOKUP($A1786,HeadJournal!$A$1:$J$890,COLUMN(HeadJournal!I$1),0)*($K1786+$L1786)/(SUMIF($A:$A,$A1786,$K:$K)+SUMIF($A:$A,$A1786,$L:$L)),0)</f>
        <v>0</v>
      </c>
      <c r="N1786" s="30">
        <f>IFERROR((VLOOKUP($A1786,HeadJournal!$A$1:$K$890,COLUMN(HeadJournal!K$1),0)-VLOOKUP($A1786,HeadJournal!$A$1:$K$890,COLUMN(HeadJournal!J$1),0))*($K1786+$L1786)/(SUMIF($A:$A,$A1786,$K:$K)+SUMIF($A:$A,$A1786,$L:$L)),0)</f>
        <v>0</v>
      </c>
      <c r="O1786" s="30">
        <f>IFERROR((VLOOKUP($A1786,HeadJournal!$A$1:$L$890,COLUMN(HeadJournal!L$1),0)*($K1786+$L1786)/(SUMIF($A:$A,$A1786,$K:$K)+SUMIF($A:$A,$A1786,$L:$L)))/VLOOKUP($A1786,HeadJournal!$A$1:$L$890,COLUMN(HeadJournal!H$1),0),0)</f>
        <v>94</v>
      </c>
      <c r="P1786" s="30">
        <f>IFERROR(SUM(K1786:O1786)*VLOOKUP($A1786,HeadJournal!$A$1:$L$890,COLUMN(HeadJournal!H$1),0),0)</f>
        <v>1034</v>
      </c>
      <c r="Q1786" s="29">
        <v>2000</v>
      </c>
      <c r="R1786" s="31">
        <v>45122</v>
      </c>
      <c r="S1786" s="31" t="s">
        <v>3121</v>
      </c>
      <c r="T1786" s="95" t="str">
        <f t="shared" si="140"/>
        <v>2023 07</v>
      </c>
      <c r="U1786" s="32">
        <f t="shared" si="137"/>
        <v>966</v>
      </c>
      <c r="V1786" s="22">
        <f t="shared" si="138"/>
        <v>0.93423597678916825</v>
      </c>
      <c r="X1786" s="33"/>
      <c r="Y1786" s="33"/>
    </row>
    <row r="1787" spans="1:25" x14ac:dyDescent="0.2">
      <c r="A1787" s="93" t="s">
        <v>795</v>
      </c>
      <c r="B1787" s="94" t="str">
        <f>IFERROR(VLOOKUP($A1787,HeadJournal!$A$1:$NTR$890,COLUMN(HeadJournal!B$1),0),"")</f>
        <v>710000859578</v>
      </c>
      <c r="C1787" s="94" t="str">
        <f>IFERROR(VLOOKUP($A1787,HeadJournal!$A$1:$NTR$890,COLUMN(HeadJournal!C$1),0),"")</f>
        <v>iHerb_OA CZN6870</v>
      </c>
      <c r="D1787" s="125" t="str">
        <f>IFERROR(VLOOKUP($A1787,HeadJournal!$A$1:$NTR$890,COLUMN(HeadJournal!D$1),0),"")</f>
        <v>Доставлен</v>
      </c>
      <c r="E1787" s="95">
        <f>IFERROR(VLOOKUP($A1787,HeadJournal!$A$1:$NTR$890,COLUMN(HeadJournal!G$1),0),"")</f>
        <v>45105</v>
      </c>
      <c r="F1787" s="95" t="str">
        <f t="shared" si="139"/>
        <v>2023 06</v>
      </c>
      <c r="G1787" s="96" t="s">
        <v>5</v>
      </c>
      <c r="H1787" s="160" t="str">
        <f>RIGHT(Journal!$J1787,9)</f>
        <v>NOW-01298</v>
      </c>
      <c r="I1787" s="96" t="str">
        <f t="shared" si="141"/>
        <v>NOW Foods</v>
      </c>
      <c r="J1787" s="97" t="s">
        <v>453</v>
      </c>
      <c r="K1787" s="29">
        <v>21.64</v>
      </c>
      <c r="L1787" s="29">
        <v>-4.33</v>
      </c>
      <c r="M1787" s="30">
        <f>IFERROR(VLOOKUP($A1787,HeadJournal!$A$1:$J$890,COLUMN(HeadJournal!I$1),0)*($K1787+$L1787)/(SUMIF($A:$A,$A1787,$K:$K)+SUMIF($A:$A,$A1787,$L:$L)),0)</f>
        <v>1.3583320472487681</v>
      </c>
      <c r="N1787" s="30">
        <f>IFERROR((VLOOKUP($A1787,HeadJournal!$A$1:$K$890,COLUMN(HeadJournal!K$1),0)-VLOOKUP($A1787,HeadJournal!$A$1:$K$890,COLUMN(HeadJournal!J$1),0))*($K1787+$L1787)/(SUMIF($A:$A,$A1787,$K:$K)+SUMIF($A:$A,$A1787,$L:$L)),0)</f>
        <v>-2.9202812977995687E-15</v>
      </c>
      <c r="O1787" s="30">
        <f>IFERROR((VLOOKUP($A1787,HeadJournal!$A$1:$L$890,COLUMN(HeadJournal!L$1),0)*($K1787+$L1787)/(SUMIF($A:$A,$A1787,$K:$K)+SUMIF($A:$A,$A1787,$L:$L)))/VLOOKUP($A1787,HeadJournal!$A$1:$L$890,COLUMN(HeadJournal!H$1),0),0)</f>
        <v>1.2277348308699523</v>
      </c>
      <c r="P1787" s="30">
        <f>IFERROR(SUM(K1787:O1787)*VLOOKUP($A1787,HeadJournal!$A$1:$L$890,COLUMN(HeadJournal!H$1),0),0)</f>
        <v>1848.2141918442451</v>
      </c>
      <c r="Q1787" s="29">
        <v>2700</v>
      </c>
      <c r="R1787" s="31">
        <v>45145</v>
      </c>
      <c r="S1787" s="31" t="s">
        <v>3121</v>
      </c>
      <c r="T1787" s="95" t="str">
        <f t="shared" si="140"/>
        <v>2023 08</v>
      </c>
      <c r="U1787" s="32">
        <f t="shared" si="137"/>
        <v>851.78580815575492</v>
      </c>
      <c r="V1787" s="22">
        <f t="shared" si="138"/>
        <v>0.46086963941435727</v>
      </c>
      <c r="X1787" s="33"/>
      <c r="Y1787" s="33"/>
    </row>
    <row r="1788" spans="1:25" x14ac:dyDescent="0.2">
      <c r="A1788" s="93" t="s">
        <v>795</v>
      </c>
      <c r="B1788" s="94" t="str">
        <f>IFERROR(VLOOKUP($A1788,HeadJournal!$A$1:$NTR$890,COLUMN(HeadJournal!B$1),0),"")</f>
        <v>710000859578</v>
      </c>
      <c r="C1788" s="94" t="str">
        <f>IFERROR(VLOOKUP($A1788,HeadJournal!$A$1:$NTR$890,COLUMN(HeadJournal!C$1),0),"")</f>
        <v>iHerb_OA CZN6870</v>
      </c>
      <c r="D1788" s="125" t="str">
        <f>IFERROR(VLOOKUP($A1788,HeadJournal!$A$1:$NTR$890,COLUMN(HeadJournal!D$1),0),"")</f>
        <v>Доставлен</v>
      </c>
      <c r="E1788" s="95">
        <f>IFERROR(VLOOKUP($A1788,HeadJournal!$A$1:$NTR$890,COLUMN(HeadJournal!G$1),0),"")</f>
        <v>45105</v>
      </c>
      <c r="F1788" s="95" t="str">
        <f t="shared" si="139"/>
        <v>2023 06</v>
      </c>
      <c r="G1788" s="96" t="s">
        <v>5</v>
      </c>
      <c r="H1788" s="160" t="str">
        <f>RIGHT(Journal!$J1788,9)</f>
        <v>NOW-01298</v>
      </c>
      <c r="I1788" s="96" t="str">
        <f t="shared" si="141"/>
        <v>NOW Foods</v>
      </c>
      <c r="J1788" s="97" t="s">
        <v>453</v>
      </c>
      <c r="K1788" s="29">
        <v>21.64</v>
      </c>
      <c r="L1788" s="29">
        <v>-4.33</v>
      </c>
      <c r="M1788" s="30">
        <f>IFERROR(VLOOKUP($A1788,HeadJournal!$A$1:$J$890,COLUMN(HeadJournal!I$1),0)*($K1788+$L1788)/(SUMIF($A:$A,$A1788,$K:$K)+SUMIF($A:$A,$A1788,$L:$L)),0)</f>
        <v>1.3583320472487681</v>
      </c>
      <c r="N1788" s="30">
        <f>IFERROR((VLOOKUP($A1788,HeadJournal!$A$1:$K$890,COLUMN(HeadJournal!K$1),0)-VLOOKUP($A1788,HeadJournal!$A$1:$K$890,COLUMN(HeadJournal!J$1),0))*($K1788+$L1788)/(SUMIF($A:$A,$A1788,$K:$K)+SUMIF($A:$A,$A1788,$L:$L)),0)</f>
        <v>-2.9202812977995687E-15</v>
      </c>
      <c r="O1788" s="30">
        <f>IFERROR((VLOOKUP($A1788,HeadJournal!$A$1:$L$890,COLUMN(HeadJournal!L$1),0)*($K1788+$L1788)/(SUMIF($A:$A,$A1788,$K:$K)+SUMIF($A:$A,$A1788,$L:$L)))/VLOOKUP($A1788,HeadJournal!$A$1:$L$890,COLUMN(HeadJournal!H$1),0),0)</f>
        <v>1.2277348308699523</v>
      </c>
      <c r="P1788" s="30">
        <f>IFERROR(SUM(K1788:O1788)*VLOOKUP($A1788,HeadJournal!$A$1:$L$890,COLUMN(HeadJournal!H$1),0),0)</f>
        <v>1848.2141918442451</v>
      </c>
      <c r="Q1788" s="29">
        <v>2700</v>
      </c>
      <c r="R1788" s="31">
        <v>45166</v>
      </c>
      <c r="S1788" s="31" t="s">
        <v>3121</v>
      </c>
      <c r="T1788" s="95" t="str">
        <f t="shared" si="140"/>
        <v>2023 08</v>
      </c>
      <c r="U1788" s="32">
        <f t="shared" si="137"/>
        <v>851.78580815575492</v>
      </c>
      <c r="V1788" s="22">
        <f t="shared" si="138"/>
        <v>0.46086963941435727</v>
      </c>
      <c r="X1788" s="33"/>
      <c r="Y1788" s="33"/>
    </row>
    <row r="1789" spans="1:25" x14ac:dyDescent="0.2">
      <c r="A1789" s="93" t="s">
        <v>795</v>
      </c>
      <c r="B1789" s="94" t="str">
        <f>IFERROR(VLOOKUP($A1789,HeadJournal!$A$1:$NTR$890,COLUMN(HeadJournal!B$1),0),"")</f>
        <v>710000859578</v>
      </c>
      <c r="C1789" s="94" t="str">
        <f>IFERROR(VLOOKUP($A1789,HeadJournal!$A$1:$NTR$890,COLUMN(HeadJournal!C$1),0),"")</f>
        <v>iHerb_OA CZN6870</v>
      </c>
      <c r="D1789" s="125" t="str">
        <f>IFERROR(VLOOKUP($A1789,HeadJournal!$A$1:$NTR$890,COLUMN(HeadJournal!D$1),0),"")</f>
        <v>Доставлен</v>
      </c>
      <c r="E1789" s="95">
        <f>IFERROR(VLOOKUP($A1789,HeadJournal!$A$1:$NTR$890,COLUMN(HeadJournal!G$1),0),"")</f>
        <v>45105</v>
      </c>
      <c r="F1789" s="95" t="str">
        <f t="shared" si="139"/>
        <v>2023 06</v>
      </c>
      <c r="G1789" s="96" t="s">
        <v>5</v>
      </c>
      <c r="H1789" s="161" t="s">
        <v>2546</v>
      </c>
      <c r="I1789" s="97" t="s">
        <v>2039</v>
      </c>
      <c r="J1789" s="97" t="s">
        <v>2547</v>
      </c>
      <c r="K1789" s="29">
        <v>10.54</v>
      </c>
      <c r="L1789" s="29">
        <v>-2.11</v>
      </c>
      <c r="M1789" s="30">
        <f>IFERROR(VLOOKUP($A1789,HeadJournal!$A$1:$J$890,COLUMN(HeadJournal!I$1),0)*($K1789+$L1789)/(SUMIF($A:$A,$A1789,$K:$K)+SUMIF($A:$A,$A1789,$L:$L)),0)</f>
        <v>0.66151006113848143</v>
      </c>
      <c r="N1789" s="30">
        <f>IFERROR((VLOOKUP($A1789,HeadJournal!$A$1:$K$890,COLUMN(HeadJournal!K$1),0)-VLOOKUP($A1789,HeadJournal!$A$1:$K$890,COLUMN(HeadJournal!J$1),0))*($K1789+$L1789)/(SUMIF($A:$A,$A1789,$K:$K)+SUMIF($A:$A,$A1789,$L:$L)),0)</f>
        <v>-1.4221820531744865E-15</v>
      </c>
      <c r="O1789" s="30">
        <f>IFERROR((VLOOKUP($A1789,HeadJournal!$A$1:$L$890,COLUMN(HeadJournal!L$1),0)*($K1789+$L1789)/(SUMIF($A:$A,$A1789,$K:$K)+SUMIF($A:$A,$A1789,$L:$L)))/VLOOKUP($A1789,HeadJournal!$A$1:$L$890,COLUMN(HeadJournal!H$1),0),0)</f>
        <v>0.5979089904236683</v>
      </c>
      <c r="P1789" s="30">
        <f>IFERROR(SUM(K1789:O1789)*VLOOKUP($A1789,HeadJournal!$A$1:$L$890,COLUMN(HeadJournal!H$1),0),0)</f>
        <v>900.08351457232709</v>
      </c>
      <c r="Q1789" s="29">
        <v>1500</v>
      </c>
      <c r="R1789" s="31">
        <v>45153</v>
      </c>
      <c r="S1789" s="31" t="s">
        <v>3121</v>
      </c>
      <c r="T1789" s="95" t="str">
        <f t="shared" si="140"/>
        <v>2023 08</v>
      </c>
      <c r="U1789" s="32">
        <f t="shared" si="137"/>
        <v>599.91648542767291</v>
      </c>
      <c r="V1789" s="22">
        <f t="shared" si="138"/>
        <v>0.66651202440111579</v>
      </c>
      <c r="X1789" s="33"/>
      <c r="Y1789" s="33"/>
    </row>
    <row r="1790" spans="1:25" x14ac:dyDescent="0.2">
      <c r="A1790" s="93" t="s">
        <v>795</v>
      </c>
      <c r="B1790" s="94" t="str">
        <f>IFERROR(VLOOKUP($A1790,HeadJournal!$A$1:$NTR$890,COLUMN(HeadJournal!B$1),0),"")</f>
        <v>710000859578</v>
      </c>
      <c r="C1790" s="94" t="str">
        <f>IFERROR(VLOOKUP($A1790,HeadJournal!$A$1:$NTR$890,COLUMN(HeadJournal!C$1),0),"")</f>
        <v>iHerb_OA CZN6870</v>
      </c>
      <c r="D1790" s="125" t="str">
        <f>IFERROR(VLOOKUP($A1790,HeadJournal!$A$1:$NTR$890,COLUMN(HeadJournal!D$1),0),"")</f>
        <v>Доставлен</v>
      </c>
      <c r="E1790" s="95">
        <f>IFERROR(VLOOKUP($A1790,HeadJournal!$A$1:$NTR$890,COLUMN(HeadJournal!G$1),0),"")</f>
        <v>45105</v>
      </c>
      <c r="F1790" s="95" t="str">
        <f t="shared" si="139"/>
        <v>2023 06</v>
      </c>
      <c r="G1790" s="96" t="s">
        <v>5</v>
      </c>
      <c r="H1790" s="161" t="s">
        <v>2546</v>
      </c>
      <c r="I1790" s="97" t="s">
        <v>2039</v>
      </c>
      <c r="J1790" s="97" t="s">
        <v>2547</v>
      </c>
      <c r="K1790" s="29">
        <v>10.54</v>
      </c>
      <c r="L1790" s="29">
        <v>-2.11</v>
      </c>
      <c r="M1790" s="30">
        <f>IFERROR(VLOOKUP($A1790,HeadJournal!$A$1:$J$890,COLUMN(HeadJournal!I$1),0)*($K1790+$L1790)/(SUMIF($A:$A,$A1790,$K:$K)+SUMIF($A:$A,$A1790,$L:$L)),0)</f>
        <v>0.66151006113848143</v>
      </c>
      <c r="N1790" s="30">
        <f>IFERROR((VLOOKUP($A1790,HeadJournal!$A$1:$K$890,COLUMN(HeadJournal!K$1),0)-VLOOKUP($A1790,HeadJournal!$A$1:$K$890,COLUMN(HeadJournal!J$1),0))*($K1790+$L1790)/(SUMIF($A:$A,$A1790,$K:$K)+SUMIF($A:$A,$A1790,$L:$L)),0)</f>
        <v>-1.4221820531744865E-15</v>
      </c>
      <c r="O1790" s="30">
        <f>IFERROR((VLOOKUP($A1790,HeadJournal!$A$1:$L$890,COLUMN(HeadJournal!L$1),0)*($K1790+$L1790)/(SUMIF($A:$A,$A1790,$K:$K)+SUMIF($A:$A,$A1790,$L:$L)))/VLOOKUP($A1790,HeadJournal!$A$1:$L$890,COLUMN(HeadJournal!H$1),0),0)</f>
        <v>0.5979089904236683</v>
      </c>
      <c r="P1790" s="30">
        <f>IFERROR(SUM(K1790:O1790)*VLOOKUP($A1790,HeadJournal!$A$1:$L$890,COLUMN(HeadJournal!H$1),0),0)</f>
        <v>900.08351457232709</v>
      </c>
      <c r="Q1790" s="29">
        <v>1500</v>
      </c>
      <c r="R1790" s="31">
        <v>45167</v>
      </c>
      <c r="S1790" s="31" t="s">
        <v>3121</v>
      </c>
      <c r="T1790" s="95" t="str">
        <f t="shared" si="140"/>
        <v>2023 08</v>
      </c>
      <c r="U1790" s="32">
        <f t="shared" si="137"/>
        <v>599.91648542767291</v>
      </c>
      <c r="V1790" s="22">
        <f t="shared" si="138"/>
        <v>0.66651202440111579</v>
      </c>
      <c r="X1790" s="33"/>
      <c r="Y1790" s="33"/>
    </row>
    <row r="1791" spans="1:25" x14ac:dyDescent="0.2">
      <c r="A1791" s="93" t="s">
        <v>795</v>
      </c>
      <c r="B1791" s="94" t="str">
        <f>IFERROR(VLOOKUP($A1791,HeadJournal!$A$1:$NTR$890,COLUMN(HeadJournal!B$1),0),"")</f>
        <v>710000859578</v>
      </c>
      <c r="C1791" s="94" t="str">
        <f>IFERROR(VLOOKUP($A1791,HeadJournal!$A$1:$NTR$890,COLUMN(HeadJournal!C$1),0),"")</f>
        <v>iHerb_OA CZN6870</v>
      </c>
      <c r="D1791" s="125" t="str">
        <f>IFERROR(VLOOKUP($A1791,HeadJournal!$A$1:$NTR$890,COLUMN(HeadJournal!D$1),0),"")</f>
        <v>Доставлен</v>
      </c>
      <c r="E1791" s="95">
        <f>IFERROR(VLOOKUP($A1791,HeadJournal!$A$1:$NTR$890,COLUMN(HeadJournal!G$1),0),"")</f>
        <v>45105</v>
      </c>
      <c r="F1791" s="95" t="str">
        <f t="shared" si="139"/>
        <v>2023 06</v>
      </c>
      <c r="G1791" s="96" t="s">
        <v>5</v>
      </c>
      <c r="H1791" s="161" t="s">
        <v>2680</v>
      </c>
      <c r="I1791" s="97" t="s">
        <v>2681</v>
      </c>
      <c r="J1791" s="97" t="s">
        <v>3853</v>
      </c>
      <c r="K1791" s="29">
        <v>5.68</v>
      </c>
      <c r="L1791" s="29">
        <v>-1.135</v>
      </c>
      <c r="M1791" s="30">
        <f>IFERROR(VLOOKUP($A1791,HeadJournal!$A$1:$J$890,COLUMN(HeadJournal!I$1),0)*($K1791+$L1791)/(SUMIF($A:$A,$A1791,$K:$K)+SUMIF($A:$A,$A1791,$L:$L)),0)</f>
        <v>0.35665044221523107</v>
      </c>
      <c r="N1791" s="30">
        <f>IFERROR((VLOOKUP($A1791,HeadJournal!$A$1:$K$890,COLUMN(HeadJournal!K$1),0)-VLOOKUP($A1791,HeadJournal!$A$1:$K$890,COLUMN(HeadJournal!J$1),0))*($K1791+$L1791)/(SUMIF($A:$A,$A1791,$K:$K)+SUMIF($A:$A,$A1791,$L:$L)),0)</f>
        <v>-7.6676363365101314E-16</v>
      </c>
      <c r="O1791" s="30">
        <f>IFERROR((VLOOKUP($A1791,HeadJournal!$A$1:$L$890,COLUMN(HeadJournal!L$1),0)*($K1791+$L1791)/(SUMIF($A:$A,$A1791,$K:$K)+SUMIF($A:$A,$A1791,$L:$L)))/VLOOKUP($A1791,HeadJournal!$A$1:$L$890,COLUMN(HeadJournal!H$1),0),0)</f>
        <v>0.32236018522841897</v>
      </c>
      <c r="P1791" s="30">
        <f>IFERROR(SUM(K1791:O1791)*VLOOKUP($A1791,HeadJournal!$A$1:$L$890,COLUMN(HeadJournal!H$1),0),0)</f>
        <v>485.27634326586315</v>
      </c>
      <c r="Q1791" s="29">
        <v>1000</v>
      </c>
      <c r="R1791" s="31">
        <v>45161</v>
      </c>
      <c r="S1791" s="31" t="s">
        <v>3121</v>
      </c>
      <c r="T1791" s="95" t="str">
        <f t="shared" si="140"/>
        <v>2023 08</v>
      </c>
      <c r="U1791" s="32">
        <f t="shared" si="137"/>
        <v>514.72365673413685</v>
      </c>
      <c r="V1791" s="22">
        <f t="shared" si="138"/>
        <v>1.0606815351230521</v>
      </c>
      <c r="X1791" s="33"/>
      <c r="Y1791" s="33"/>
    </row>
    <row r="1792" spans="1:25" x14ac:dyDescent="0.2">
      <c r="A1792" s="93" t="s">
        <v>795</v>
      </c>
      <c r="B1792" s="94" t="str">
        <f>IFERROR(VLOOKUP($A1792,HeadJournal!$A$1:$NTR$890,COLUMN(HeadJournal!B$1),0),"")</f>
        <v>710000859578</v>
      </c>
      <c r="C1792" s="94" t="str">
        <f>IFERROR(VLOOKUP($A1792,HeadJournal!$A$1:$NTR$890,COLUMN(HeadJournal!C$1),0),"")</f>
        <v>iHerb_OA CZN6870</v>
      </c>
      <c r="D1792" s="125" t="str">
        <f>IFERROR(VLOOKUP($A1792,HeadJournal!$A$1:$NTR$890,COLUMN(HeadJournal!D$1),0),"")</f>
        <v>Доставлен</v>
      </c>
      <c r="E1792" s="95">
        <f>IFERROR(VLOOKUP($A1792,HeadJournal!$A$1:$NTR$890,COLUMN(HeadJournal!G$1),0),"")</f>
        <v>45105</v>
      </c>
      <c r="F1792" s="95" t="str">
        <f t="shared" si="139"/>
        <v>2023 06</v>
      </c>
      <c r="G1792" s="96" t="s">
        <v>5</v>
      </c>
      <c r="H1792" s="161" t="s">
        <v>2680</v>
      </c>
      <c r="I1792" s="97" t="s">
        <v>2681</v>
      </c>
      <c r="J1792" s="97" t="s">
        <v>3853</v>
      </c>
      <c r="K1792" s="29">
        <v>5.68</v>
      </c>
      <c r="L1792" s="29">
        <v>-1.135</v>
      </c>
      <c r="M1792" s="30">
        <f>IFERROR(VLOOKUP($A1792,HeadJournal!$A$1:$J$890,COLUMN(HeadJournal!I$1),0)*($K1792+$L1792)/(SUMIF($A:$A,$A1792,$K:$K)+SUMIF($A:$A,$A1792,$L:$L)),0)</f>
        <v>0.35665044221523107</v>
      </c>
      <c r="N1792" s="30">
        <f>IFERROR((VLOOKUP($A1792,HeadJournal!$A$1:$K$890,COLUMN(HeadJournal!K$1),0)-VLOOKUP($A1792,HeadJournal!$A$1:$K$890,COLUMN(HeadJournal!J$1),0))*($K1792+$L1792)/(SUMIF($A:$A,$A1792,$K:$K)+SUMIF($A:$A,$A1792,$L:$L)),0)</f>
        <v>-7.6676363365101314E-16</v>
      </c>
      <c r="O1792" s="30">
        <f>IFERROR((VLOOKUP($A1792,HeadJournal!$A$1:$L$890,COLUMN(HeadJournal!L$1),0)*($K1792+$L1792)/(SUMIF($A:$A,$A1792,$K:$K)+SUMIF($A:$A,$A1792,$L:$L)))/VLOOKUP($A1792,HeadJournal!$A$1:$L$890,COLUMN(HeadJournal!H$1),0),0)</f>
        <v>0.32236018522841897</v>
      </c>
      <c r="P1792" s="30">
        <f>IFERROR(SUM(K1792:O1792)*VLOOKUP($A1792,HeadJournal!$A$1:$L$890,COLUMN(HeadJournal!H$1),0),0)</f>
        <v>485.27634326586315</v>
      </c>
      <c r="Q1792" s="29">
        <v>1000</v>
      </c>
      <c r="R1792" s="31">
        <v>45167</v>
      </c>
      <c r="S1792" s="31" t="s">
        <v>3121</v>
      </c>
      <c r="T1792" s="95" t="str">
        <f t="shared" si="140"/>
        <v>2023 08</v>
      </c>
      <c r="U1792" s="32">
        <f t="shared" si="137"/>
        <v>514.72365673413685</v>
      </c>
      <c r="V1792" s="22">
        <f t="shared" si="138"/>
        <v>1.0606815351230521</v>
      </c>
      <c r="X1792" s="33"/>
      <c r="Y1792" s="33"/>
    </row>
    <row r="1793" spans="1:25" x14ac:dyDescent="0.2">
      <c r="A1793" s="93" t="s">
        <v>795</v>
      </c>
      <c r="B1793" s="94" t="str">
        <f>IFERROR(VLOOKUP($A1793,HeadJournal!$A$1:$NTR$890,COLUMN(HeadJournal!B$1),0),"")</f>
        <v>710000859578</v>
      </c>
      <c r="C1793" s="94" t="str">
        <f>IFERROR(VLOOKUP($A1793,HeadJournal!$A$1:$NTR$890,COLUMN(HeadJournal!C$1),0),"")</f>
        <v>iHerb_OA CZN6870</v>
      </c>
      <c r="D1793" s="125" t="str">
        <f>IFERROR(VLOOKUP($A1793,HeadJournal!$A$1:$NTR$890,COLUMN(HeadJournal!D$1),0),"")</f>
        <v>Доставлен</v>
      </c>
      <c r="E1793" s="95">
        <f>IFERROR(VLOOKUP($A1793,HeadJournal!$A$1:$NTR$890,COLUMN(HeadJournal!G$1),0),"")</f>
        <v>45105</v>
      </c>
      <c r="F1793" s="95" t="str">
        <f t="shared" si="139"/>
        <v>2023 06</v>
      </c>
      <c r="G1793" s="96" t="s">
        <v>5</v>
      </c>
      <c r="H1793" s="175" t="s">
        <v>3643</v>
      </c>
      <c r="I1793" s="176" t="s">
        <v>2102</v>
      </c>
      <c r="J1793" s="97" t="s">
        <v>3693</v>
      </c>
      <c r="K1793" s="29">
        <v>15.93</v>
      </c>
      <c r="L1793" s="29">
        <v>-3.1850000000000001</v>
      </c>
      <c r="M1793" s="30">
        <f>IFERROR(VLOOKUP($A1793,HeadJournal!$A$1:$J$890,COLUMN(HeadJournal!I$1),0)*($K1793+$L1793)/(SUMIF($A:$A,$A1793,$K:$K)+SUMIF($A:$A,$A1793,$L:$L)),0)</f>
        <v>1.000112186145901</v>
      </c>
      <c r="N1793" s="30">
        <f>IFERROR((VLOOKUP($A1793,HeadJournal!$A$1:$K$890,COLUMN(HeadJournal!K$1),0)-VLOOKUP($A1793,HeadJournal!$A$1:$K$890,COLUMN(HeadJournal!J$1),0))*($K1793+$L1793)/(SUMIF($A:$A,$A1793,$K:$K)+SUMIF($A:$A,$A1793,$L:$L)),0)</f>
        <v>-2.150143566750751E-15</v>
      </c>
      <c r="O1793" s="30">
        <f>IFERROR((VLOOKUP($A1793,HeadJournal!$A$1:$L$890,COLUMN(HeadJournal!L$1),0)*($K1793+$L1793)/(SUMIF($A:$A,$A1793,$K:$K)+SUMIF($A:$A,$A1793,$L:$L)))/VLOOKUP($A1793,HeadJournal!$A$1:$L$890,COLUMN(HeadJournal!H$1),0),0)</f>
        <v>0.90395611897386141</v>
      </c>
      <c r="P1793" s="30">
        <f>IFERROR(SUM(K1793:O1793)*VLOOKUP($A1793,HeadJournal!$A$1:$L$890,COLUMN(HeadJournal!H$1),0),0)</f>
        <v>1360.8024191250663</v>
      </c>
      <c r="Q1793" s="29">
        <v>2200</v>
      </c>
      <c r="R1793" s="31">
        <v>45146</v>
      </c>
      <c r="S1793" s="31" t="s">
        <v>3121</v>
      </c>
      <c r="T1793" s="95" t="str">
        <f t="shared" si="140"/>
        <v>2023 08</v>
      </c>
      <c r="U1793" s="32">
        <f t="shared" ref="U1793:U1856" si="142">Q1793-P1793</f>
        <v>839.19758087493369</v>
      </c>
      <c r="V1793" s="22">
        <f t="shared" ref="V1793:V1856" si="143">IF(Q1793&lt;&gt;0,IFERROR(U1793/P1793,""),"")</f>
        <v>0.61669318710830878</v>
      </c>
      <c r="X1793" s="33"/>
      <c r="Y1793" s="33"/>
    </row>
    <row r="1794" spans="1:25" x14ac:dyDescent="0.2">
      <c r="A1794" s="93" t="s">
        <v>795</v>
      </c>
      <c r="B1794" s="94" t="str">
        <f>IFERROR(VLOOKUP($A1794,HeadJournal!$A$1:$NTR$890,COLUMN(HeadJournal!B$1),0),"")</f>
        <v>710000859578</v>
      </c>
      <c r="C1794" s="94" t="str">
        <f>IFERROR(VLOOKUP($A1794,HeadJournal!$A$1:$NTR$890,COLUMN(HeadJournal!C$1),0),"")</f>
        <v>iHerb_OA CZN6870</v>
      </c>
      <c r="D1794" s="125" t="str">
        <f>IFERROR(VLOOKUP($A1794,HeadJournal!$A$1:$NTR$890,COLUMN(HeadJournal!D$1),0),"")</f>
        <v>Доставлен</v>
      </c>
      <c r="E1794" s="95">
        <f>IFERROR(VLOOKUP($A1794,HeadJournal!$A$1:$NTR$890,COLUMN(HeadJournal!G$1),0),"")</f>
        <v>45105</v>
      </c>
      <c r="F1794" s="95" t="str">
        <f t="shared" si="139"/>
        <v>2023 06</v>
      </c>
      <c r="G1794" s="96" t="s">
        <v>5</v>
      </c>
      <c r="H1794" s="175" t="s">
        <v>3643</v>
      </c>
      <c r="I1794" s="176" t="s">
        <v>2102</v>
      </c>
      <c r="J1794" s="97" t="s">
        <v>3693</v>
      </c>
      <c r="K1794" s="29">
        <v>15.93</v>
      </c>
      <c r="L1794" s="29">
        <v>-3.1850000000000001</v>
      </c>
      <c r="M1794" s="30">
        <f>IFERROR(VLOOKUP($A1794,HeadJournal!$A$1:$J$890,COLUMN(HeadJournal!I$1),0)*($K1794+$L1794)/(SUMIF($A:$A,$A1794,$K:$K)+SUMIF($A:$A,$A1794,$L:$L)),0)</f>
        <v>1.000112186145901</v>
      </c>
      <c r="N1794" s="30">
        <f>IFERROR((VLOOKUP($A1794,HeadJournal!$A$1:$K$890,COLUMN(HeadJournal!K$1),0)-VLOOKUP($A1794,HeadJournal!$A$1:$K$890,COLUMN(HeadJournal!J$1),0))*($K1794+$L1794)/(SUMIF($A:$A,$A1794,$K:$K)+SUMIF($A:$A,$A1794,$L:$L)),0)</f>
        <v>-2.150143566750751E-15</v>
      </c>
      <c r="O1794" s="30">
        <f>IFERROR((VLOOKUP($A1794,HeadJournal!$A$1:$L$890,COLUMN(HeadJournal!L$1),0)*($K1794+$L1794)/(SUMIF($A:$A,$A1794,$K:$K)+SUMIF($A:$A,$A1794,$L:$L)))/VLOOKUP($A1794,HeadJournal!$A$1:$L$890,COLUMN(HeadJournal!H$1),0),0)</f>
        <v>0.90395611897386141</v>
      </c>
      <c r="P1794" s="30">
        <f>IFERROR(SUM(K1794:O1794)*VLOOKUP($A1794,HeadJournal!$A$1:$L$890,COLUMN(HeadJournal!H$1),0),0)</f>
        <v>1360.8024191250663</v>
      </c>
      <c r="Q1794" s="29">
        <v>2400</v>
      </c>
      <c r="R1794" s="31">
        <v>45224</v>
      </c>
      <c r="S1794" s="31" t="s">
        <v>3121</v>
      </c>
      <c r="T1794" s="95" t="str">
        <f t="shared" si="140"/>
        <v>2023 10</v>
      </c>
      <c r="U1794" s="32">
        <f t="shared" si="142"/>
        <v>1039.1975808749337</v>
      </c>
      <c r="V1794" s="22">
        <f t="shared" si="143"/>
        <v>0.76366529502724589</v>
      </c>
      <c r="X1794" s="33"/>
      <c r="Y1794" s="33"/>
    </row>
    <row r="1795" spans="1:25" x14ac:dyDescent="0.2">
      <c r="A1795" s="93" t="s">
        <v>795</v>
      </c>
      <c r="B1795" s="94" t="str">
        <f>IFERROR(VLOOKUP($A1795,HeadJournal!$A$1:$NTR$890,COLUMN(HeadJournal!B$1),0),"")</f>
        <v>710000859578</v>
      </c>
      <c r="C1795" s="94" t="str">
        <f>IFERROR(VLOOKUP($A1795,HeadJournal!$A$1:$NTR$890,COLUMN(HeadJournal!C$1),0),"")</f>
        <v>iHerb_OA CZN6870</v>
      </c>
      <c r="D1795" s="125" t="str">
        <f>IFERROR(VLOOKUP($A1795,HeadJournal!$A$1:$NTR$890,COLUMN(HeadJournal!D$1),0),"")</f>
        <v>Доставлен</v>
      </c>
      <c r="E1795" s="95">
        <f>IFERROR(VLOOKUP($A1795,HeadJournal!$A$1:$NTR$890,COLUMN(HeadJournal!G$1),0),"")</f>
        <v>45105</v>
      </c>
      <c r="F1795" s="95" t="str">
        <f t="shared" si="139"/>
        <v>2023 06</v>
      </c>
      <c r="G1795" s="96" t="s">
        <v>5</v>
      </c>
      <c r="H1795" s="160" t="str">
        <f>RIGHT(Journal!$J1795,9)</f>
        <v>NFS-04950</v>
      </c>
      <c r="I1795" s="96" t="str">
        <f t="shared" si="141"/>
        <v>Natural Factors</v>
      </c>
      <c r="J1795" s="97" t="s">
        <v>796</v>
      </c>
      <c r="K1795" s="29">
        <v>16.71</v>
      </c>
      <c r="L1795" s="29">
        <v>-3.34</v>
      </c>
      <c r="M1795" s="30">
        <f>IFERROR(VLOOKUP($A1795,HeadJournal!$A$1:$J$890,COLUMN(HeadJournal!I$1),0)*($K1795+$L1795)/(SUMIF($A:$A,$A1795,$K:$K)+SUMIF($A:$A,$A1795,$L:$L)),0)</f>
        <v>1.0491565263845193</v>
      </c>
      <c r="N1795" s="30">
        <f>IFERROR((VLOOKUP($A1795,HeadJournal!$A$1:$K$890,COLUMN(HeadJournal!K$1),0)-VLOOKUP($A1795,HeadJournal!$A$1:$K$890,COLUMN(HeadJournal!J$1),0))*($K1795+$L1795)/(SUMIF($A:$A,$A1795,$K:$K)+SUMIF($A:$A,$A1795,$L:$L)),0)</f>
        <v>-2.2555841104321336E-15</v>
      </c>
      <c r="O1795" s="30">
        <f>IFERROR((VLOOKUP($A1795,HeadJournal!$A$1:$L$890,COLUMN(HeadJournal!L$1),0)*($K1795+$L1795)/(SUMIF($A:$A,$A1795,$K:$K)+SUMIF($A:$A,$A1795,$L:$L)))/VLOOKUP($A1795,HeadJournal!$A$1:$L$890,COLUMN(HeadJournal!H$1),0),0)</f>
        <v>0.94828507733860556</v>
      </c>
      <c r="P1795" s="30">
        <f>IFERROR(SUM(K1795:O1795)*VLOOKUP($A1795,HeadJournal!$A$1:$L$890,COLUMN(HeadJournal!H$1),0),0)</f>
        <v>1427.5345895411645</v>
      </c>
      <c r="Q1795" s="29">
        <v>2200</v>
      </c>
      <c r="R1795" s="31">
        <v>45146</v>
      </c>
      <c r="S1795" s="31" t="s">
        <v>3121</v>
      </c>
      <c r="T1795" s="95" t="str">
        <f t="shared" si="140"/>
        <v>2023 08</v>
      </c>
      <c r="U1795" s="32">
        <f t="shared" si="142"/>
        <v>772.46541045883555</v>
      </c>
      <c r="V1795" s="22">
        <f t="shared" si="143"/>
        <v>0.54111852428536944</v>
      </c>
      <c r="X1795" s="33"/>
      <c r="Y1795" s="33"/>
    </row>
    <row r="1796" spans="1:25" x14ac:dyDescent="0.2">
      <c r="A1796" s="93" t="s">
        <v>795</v>
      </c>
      <c r="B1796" s="94" t="str">
        <f>IFERROR(VLOOKUP($A1796,HeadJournal!$A$1:$NTR$890,COLUMN(HeadJournal!B$1),0),"")</f>
        <v>710000859578</v>
      </c>
      <c r="C1796" s="94" t="str">
        <f>IFERROR(VLOOKUP($A1796,HeadJournal!$A$1:$NTR$890,COLUMN(HeadJournal!C$1),0),"")</f>
        <v>iHerb_OA CZN6870</v>
      </c>
      <c r="D1796" s="125" t="str">
        <f>IFERROR(VLOOKUP($A1796,HeadJournal!$A$1:$NTR$890,COLUMN(HeadJournal!D$1),0),"")</f>
        <v>Доставлен</v>
      </c>
      <c r="E1796" s="95">
        <f>IFERROR(VLOOKUP($A1796,HeadJournal!$A$1:$NTR$890,COLUMN(HeadJournal!G$1),0),"")</f>
        <v>45105</v>
      </c>
      <c r="F1796" s="95" t="str">
        <f t="shared" ref="F1796:F1859" si="144">IFERROR(TEXT(E1796, "ГГГГ ММ"),"")</f>
        <v>2023 06</v>
      </c>
      <c r="G1796" s="96" t="s">
        <v>5</v>
      </c>
      <c r="H1796" s="161" t="s">
        <v>2089</v>
      </c>
      <c r="I1796" s="97" t="s">
        <v>2005</v>
      </c>
      <c r="J1796" s="97" t="s">
        <v>3781</v>
      </c>
      <c r="K1796" s="29">
        <v>20.54</v>
      </c>
      <c r="L1796" s="29">
        <v>-4.1100000000000003</v>
      </c>
      <c r="M1796" s="30">
        <f>IFERROR(VLOOKUP($A1796,HeadJournal!$A$1:$J$890,COLUMN(HeadJournal!I$1),0)*($K1796+$L1796)/(SUMIF($A:$A,$A1796,$K:$K)+SUMIF($A:$A,$A1796,$L:$L)),0)</f>
        <v>1.2892776161927937</v>
      </c>
      <c r="N1796" s="30">
        <f>IFERROR((VLOOKUP($A1796,HeadJournal!$A$1:$K$890,COLUMN(HeadJournal!K$1),0)-VLOOKUP($A1796,HeadJournal!$A$1:$K$890,COLUMN(HeadJournal!J$1),0))*($K1796+$L1796)/(SUMIF($A:$A,$A1796,$K:$K)+SUMIF($A:$A,$A1796,$L:$L)),0)</f>
        <v>-2.771821012296182E-15</v>
      </c>
      <c r="O1796" s="30">
        <f>IFERROR((VLOOKUP($A1796,HeadJournal!$A$1:$L$890,COLUMN(HeadJournal!L$1),0)*($K1796+$L1796)/(SUMIF($A:$A,$A1796,$K:$K)+SUMIF($A:$A,$A1796,$L:$L)))/VLOOKUP($A1796,HeadJournal!$A$1:$L$890,COLUMN(HeadJournal!H$1),0),0)</f>
        <v>1.1653196574923923</v>
      </c>
      <c r="P1796" s="30">
        <f>IFERROR(SUM(K1796:O1796)*VLOOKUP($A1796,HeadJournal!$A$1:$L$890,COLUMN(HeadJournal!H$1),0),0)</f>
        <v>1754.255295898379</v>
      </c>
      <c r="Q1796" s="29">
        <v>2800</v>
      </c>
      <c r="R1796" s="31">
        <v>45137</v>
      </c>
      <c r="S1796" s="31" t="s">
        <v>3121</v>
      </c>
      <c r="T1796" s="95" t="str">
        <f t="shared" ref="T1796:T1859" si="145">IF(R1796="","",TEXT(R1796,"ГГГГ ММ"))</f>
        <v>2023 07</v>
      </c>
      <c r="U1796" s="32">
        <f t="shared" si="142"/>
        <v>1045.744704101621</v>
      </c>
      <c r="V1796" s="22">
        <f t="shared" si="143"/>
        <v>0.59611888106974775</v>
      </c>
      <c r="X1796" s="33"/>
      <c r="Y1796" s="33"/>
    </row>
    <row r="1797" spans="1:25" x14ac:dyDescent="0.2">
      <c r="A1797" s="93" t="s">
        <v>795</v>
      </c>
      <c r="B1797" s="94" t="str">
        <f>IFERROR(VLOOKUP($A1797,HeadJournal!$A$1:$NTR$890,COLUMN(HeadJournal!B$1),0),"")</f>
        <v>710000859578</v>
      </c>
      <c r="C1797" s="94" t="str">
        <f>IFERROR(VLOOKUP($A1797,HeadJournal!$A$1:$NTR$890,COLUMN(HeadJournal!C$1),0),"")</f>
        <v>iHerb_OA CZN6870</v>
      </c>
      <c r="D1797" s="125" t="str">
        <f>IFERROR(VLOOKUP($A1797,HeadJournal!$A$1:$NTR$890,COLUMN(HeadJournal!D$1),0),"")</f>
        <v>Доставлен</v>
      </c>
      <c r="E1797" s="95">
        <f>IFERROR(VLOOKUP($A1797,HeadJournal!$A$1:$NTR$890,COLUMN(HeadJournal!G$1),0),"")</f>
        <v>45105</v>
      </c>
      <c r="F1797" s="95" t="str">
        <f t="shared" si="144"/>
        <v>2023 06</v>
      </c>
      <c r="G1797" s="96" t="s">
        <v>5</v>
      </c>
      <c r="H1797" s="161" t="s">
        <v>2089</v>
      </c>
      <c r="I1797" s="97" t="s">
        <v>2005</v>
      </c>
      <c r="J1797" s="97" t="s">
        <v>3781</v>
      </c>
      <c r="K1797" s="29">
        <v>20.54</v>
      </c>
      <c r="L1797" s="29">
        <v>-4.1100000000000003</v>
      </c>
      <c r="M1797" s="30">
        <f>IFERROR(VLOOKUP($A1797,HeadJournal!$A$1:$J$890,COLUMN(HeadJournal!I$1),0)*($K1797+$L1797)/(SUMIF($A:$A,$A1797,$K:$K)+SUMIF($A:$A,$A1797,$L:$L)),0)</f>
        <v>1.2892776161927937</v>
      </c>
      <c r="N1797" s="30">
        <f>IFERROR((VLOOKUP($A1797,HeadJournal!$A$1:$K$890,COLUMN(HeadJournal!K$1),0)-VLOOKUP($A1797,HeadJournal!$A$1:$K$890,COLUMN(HeadJournal!J$1),0))*($K1797+$L1797)/(SUMIF($A:$A,$A1797,$K:$K)+SUMIF($A:$A,$A1797,$L:$L)),0)</f>
        <v>-2.771821012296182E-15</v>
      </c>
      <c r="O1797" s="30">
        <f>IFERROR((VLOOKUP($A1797,HeadJournal!$A$1:$L$890,COLUMN(HeadJournal!L$1),0)*($K1797+$L1797)/(SUMIF($A:$A,$A1797,$K:$K)+SUMIF($A:$A,$A1797,$L:$L)))/VLOOKUP($A1797,HeadJournal!$A$1:$L$890,COLUMN(HeadJournal!H$1),0),0)</f>
        <v>1.1653196574923923</v>
      </c>
      <c r="P1797" s="30">
        <f>IFERROR(SUM(K1797:O1797)*VLOOKUP($A1797,HeadJournal!$A$1:$L$890,COLUMN(HeadJournal!H$1),0),0)</f>
        <v>1754.255295898379</v>
      </c>
      <c r="Q1797" s="29">
        <v>2800</v>
      </c>
      <c r="R1797" s="31">
        <v>45156</v>
      </c>
      <c r="S1797" s="31" t="s">
        <v>3121</v>
      </c>
      <c r="T1797" s="95" t="str">
        <f t="shared" si="145"/>
        <v>2023 08</v>
      </c>
      <c r="U1797" s="32">
        <f t="shared" si="142"/>
        <v>1045.744704101621</v>
      </c>
      <c r="V1797" s="22">
        <f t="shared" si="143"/>
        <v>0.59611888106974775</v>
      </c>
      <c r="X1797" s="33"/>
      <c r="Y1797" s="33"/>
    </row>
    <row r="1798" spans="1:25" x14ac:dyDescent="0.2">
      <c r="A1798" s="93" t="s">
        <v>795</v>
      </c>
      <c r="B1798" s="94" t="str">
        <f>IFERROR(VLOOKUP($A1798,HeadJournal!$A$1:$NTR$890,COLUMN(HeadJournal!B$1),0),"")</f>
        <v>710000859578</v>
      </c>
      <c r="C1798" s="94" t="str">
        <f>IFERROR(VLOOKUP($A1798,HeadJournal!$A$1:$NTR$890,COLUMN(HeadJournal!C$1),0),"")</f>
        <v>iHerb_OA CZN6870</v>
      </c>
      <c r="D1798" s="125" t="str">
        <f>IFERROR(VLOOKUP($A1798,HeadJournal!$A$1:$NTR$890,COLUMN(HeadJournal!D$1),0),"")</f>
        <v>Доставлен</v>
      </c>
      <c r="E1798" s="95">
        <f>IFERROR(VLOOKUP($A1798,HeadJournal!$A$1:$NTR$890,COLUMN(HeadJournal!G$1),0),"")</f>
        <v>45105</v>
      </c>
      <c r="F1798" s="95" t="str">
        <f t="shared" si="144"/>
        <v>2023 06</v>
      </c>
      <c r="G1798" s="96" t="s">
        <v>5</v>
      </c>
      <c r="H1798" s="160" t="str">
        <f>RIGHT(Journal!$J1798,9)</f>
        <v>NOW-00446</v>
      </c>
      <c r="I1798" s="96" t="str">
        <f t="shared" si="141"/>
        <v>NOW Foods</v>
      </c>
      <c r="J1798" s="97" t="s">
        <v>797</v>
      </c>
      <c r="K1798" s="29">
        <v>6.12</v>
      </c>
      <c r="L1798" s="29">
        <v>-1.22</v>
      </c>
      <c r="M1798" s="30">
        <f>IFERROR(VLOOKUP($A1798,HeadJournal!$A$1:$J$890,COLUMN(HeadJournal!I$1),0)*($K1798+$L1798)/(SUMIF($A:$A,$A1798,$K:$K)+SUMIF($A:$A,$A1798,$L:$L)),0)</f>
        <v>0.38450762747076628</v>
      </c>
      <c r="N1798" s="30">
        <f>IFERROR((VLOOKUP($A1798,HeadJournal!$A$1:$K$890,COLUMN(HeadJournal!K$1),0)-VLOOKUP($A1798,HeadJournal!$A$1:$K$890,COLUMN(HeadJournal!J$1),0))*($K1798+$L1798)/(SUMIF($A:$A,$A1798,$K:$K)+SUMIF($A:$A,$A1798,$L:$L)),0)</f>
        <v>-8.2665386246203846E-16</v>
      </c>
      <c r="O1798" s="30">
        <f>IFERROR((VLOOKUP($A1798,HeadJournal!$A$1:$L$890,COLUMN(HeadJournal!L$1),0)*($K1798+$L1798)/(SUMIF($A:$A,$A1798,$K:$K)+SUMIF($A:$A,$A1798,$L:$L)))/VLOOKUP($A1798,HeadJournal!$A$1:$L$890,COLUMN(HeadJournal!H$1),0),0)</f>
        <v>0.34753903357959365</v>
      </c>
      <c r="P1798" s="30">
        <f>IFERROR(SUM(K1798:O1798)*VLOOKUP($A1798,HeadJournal!$A$1:$L$890,COLUMN(HeadJournal!H$1),0),0)</f>
        <v>523.1802160622068</v>
      </c>
      <c r="Q1798" s="29">
        <v>1000</v>
      </c>
      <c r="R1798" s="31">
        <v>45143</v>
      </c>
      <c r="S1798" s="31" t="s">
        <v>3121</v>
      </c>
      <c r="T1798" s="95" t="str">
        <f t="shared" si="145"/>
        <v>2023 08</v>
      </c>
      <c r="U1798" s="32">
        <f t="shared" si="142"/>
        <v>476.8197839377932</v>
      </c>
      <c r="V1798" s="22">
        <f t="shared" si="143"/>
        <v>0.91138726063964681</v>
      </c>
      <c r="X1798" s="33"/>
      <c r="Y1798" s="33"/>
    </row>
    <row r="1799" spans="1:25" x14ac:dyDescent="0.2">
      <c r="A1799" s="93" t="s">
        <v>795</v>
      </c>
      <c r="B1799" s="94" t="str">
        <f>IFERROR(VLOOKUP($A1799,HeadJournal!$A$1:$NTR$890,COLUMN(HeadJournal!B$1),0),"")</f>
        <v>710000859578</v>
      </c>
      <c r="C1799" s="94" t="str">
        <f>IFERROR(VLOOKUP($A1799,HeadJournal!$A$1:$NTR$890,COLUMN(HeadJournal!C$1),0),"")</f>
        <v>iHerb_OA CZN6870</v>
      </c>
      <c r="D1799" s="125" t="str">
        <f>IFERROR(VLOOKUP($A1799,HeadJournal!$A$1:$NTR$890,COLUMN(HeadJournal!D$1),0),"")</f>
        <v>Доставлен</v>
      </c>
      <c r="E1799" s="95">
        <f>IFERROR(VLOOKUP($A1799,HeadJournal!$A$1:$NTR$890,COLUMN(HeadJournal!G$1),0),"")</f>
        <v>45105</v>
      </c>
      <c r="F1799" s="95" t="str">
        <f t="shared" si="144"/>
        <v>2023 06</v>
      </c>
      <c r="G1799" s="96" t="s">
        <v>5</v>
      </c>
      <c r="H1799" s="160" t="str">
        <f>RIGHT(Journal!$J1799,9)</f>
        <v>CEN-27848</v>
      </c>
      <c r="I1799" s="96" t="str">
        <f t="shared" si="141"/>
        <v>21st Century</v>
      </c>
      <c r="J1799" s="97" t="s">
        <v>798</v>
      </c>
      <c r="K1799" s="29">
        <v>7.88</v>
      </c>
      <c r="L1799" s="29">
        <v>-3.94</v>
      </c>
      <c r="M1799" s="30">
        <f>IFERROR(VLOOKUP($A1799,HeadJournal!$A$1:$J$890,COLUMN(HeadJournal!I$1),0)*($K1799+$L1799)/(SUMIF($A:$A,$A1799,$K:$K)+SUMIF($A:$A,$A1799,$L:$L)),0)</f>
        <v>0.30917552086424877</v>
      </c>
      <c r="N1799" s="30">
        <f>IFERROR((VLOOKUP($A1799,HeadJournal!$A$1:$K$890,COLUMN(HeadJournal!K$1),0)-VLOOKUP($A1799,HeadJournal!$A$1:$K$890,COLUMN(HeadJournal!J$1),0))*($K1799+$L1799)/(SUMIF($A:$A,$A1799,$K:$K)+SUMIF($A:$A,$A1799,$L:$L)),0)</f>
        <v>-6.6469718736743493E-16</v>
      </c>
      <c r="O1799" s="30">
        <f>IFERROR((VLOOKUP($A1799,HeadJournal!$A$1:$L$890,COLUMN(HeadJournal!L$1),0)*($K1799+$L1799)/(SUMIF($A:$A,$A1799,$K:$K)+SUMIF($A:$A,$A1799,$L:$L)))/VLOOKUP($A1799,HeadJournal!$A$1:$L$890,COLUMN(HeadJournal!H$1),0),0)</f>
        <v>0.27944975353134671</v>
      </c>
      <c r="P1799" s="30">
        <f>IFERROR(SUM(K1799:O1799)*VLOOKUP($A1799,HeadJournal!$A$1:$L$890,COLUMN(HeadJournal!H$1),0),0)</f>
        <v>420.67960230308046</v>
      </c>
      <c r="Q1799" s="29">
        <v>1400</v>
      </c>
      <c r="R1799" s="31">
        <v>45331</v>
      </c>
      <c r="S1799" s="31" t="s">
        <v>3121</v>
      </c>
      <c r="T1799" s="95" t="str">
        <f t="shared" si="145"/>
        <v>2024 02</v>
      </c>
      <c r="U1799" s="32">
        <f t="shared" si="142"/>
        <v>979.3203976969196</v>
      </c>
      <c r="V1799" s="22">
        <f t="shared" si="143"/>
        <v>2.3279483776619241</v>
      </c>
      <c r="X1799" s="33"/>
      <c r="Y1799" s="33"/>
    </row>
    <row r="1800" spans="1:25" x14ac:dyDescent="0.2">
      <c r="A1800" s="93" t="s">
        <v>795</v>
      </c>
      <c r="B1800" s="94" t="str">
        <f>IFERROR(VLOOKUP($A1800,HeadJournal!$A$1:$NTR$890,COLUMN(HeadJournal!B$1),0),"")</f>
        <v>710000859578</v>
      </c>
      <c r="C1800" s="94" t="str">
        <f>IFERROR(VLOOKUP($A1800,HeadJournal!$A$1:$NTR$890,COLUMN(HeadJournal!C$1),0),"")</f>
        <v>iHerb_OA CZN6870</v>
      </c>
      <c r="D1800" s="125" t="str">
        <f>IFERROR(VLOOKUP($A1800,HeadJournal!$A$1:$NTR$890,COLUMN(HeadJournal!D$1),0),"")</f>
        <v>Доставлен</v>
      </c>
      <c r="E1800" s="95">
        <f>IFERROR(VLOOKUP($A1800,HeadJournal!$A$1:$NTR$890,COLUMN(HeadJournal!G$1),0),"")</f>
        <v>45105</v>
      </c>
      <c r="F1800" s="95" t="str">
        <f t="shared" si="144"/>
        <v>2023 06</v>
      </c>
      <c r="G1800" s="96" t="s">
        <v>5</v>
      </c>
      <c r="H1800" s="160" t="str">
        <f>RIGHT(Journal!$J1800,9)</f>
        <v>NFS-01032</v>
      </c>
      <c r="I1800" s="96" t="str">
        <f t="shared" si="141"/>
        <v>Natural Factors</v>
      </c>
      <c r="J1800" s="97" t="s">
        <v>799</v>
      </c>
      <c r="K1800" s="29">
        <v>10.61</v>
      </c>
      <c r="L1800" s="29">
        <v>-2.12</v>
      </c>
      <c r="M1800" s="30">
        <f>IFERROR(VLOOKUP($A1800,HeadJournal!$A$1:$J$890,COLUMN(HeadJournal!I$1),0)*($K1800+$L1800)/(SUMIF($A:$A,$A1800,$K:$K)+SUMIF($A:$A,$A1800,$L:$L)),0)</f>
        <v>0.66621831780138863</v>
      </c>
      <c r="N1800" s="30">
        <f>IFERROR((VLOOKUP($A1800,HeadJournal!$A$1:$K$890,COLUMN(HeadJournal!K$1),0)-VLOOKUP($A1800,HeadJournal!$A$1:$K$890,COLUMN(HeadJournal!J$1),0))*($K1800+$L1800)/(SUMIF($A:$A,$A1800,$K:$K)+SUMIF($A:$A,$A1800,$L:$L)),0)</f>
        <v>-1.4323043453678989E-15</v>
      </c>
      <c r="O1800" s="30">
        <f>IFERROR((VLOOKUP($A1800,HeadJournal!$A$1:$L$890,COLUMN(HeadJournal!L$1),0)*($K1800+$L1800)/(SUMIF($A:$A,$A1800,$K:$K)+SUMIF($A:$A,$A1800,$L:$L)))/VLOOKUP($A1800,HeadJournal!$A$1:$L$890,COLUMN(HeadJournal!H$1),0),0)</f>
        <v>0.60216457042668348</v>
      </c>
      <c r="P1800" s="30">
        <f>IFERROR(SUM(K1800:O1800)*VLOOKUP($A1800,HeadJournal!$A$1:$L$890,COLUMN(HeadJournal!H$1),0),0)</f>
        <v>906.48980293227248</v>
      </c>
      <c r="Q1800" s="29">
        <v>1500</v>
      </c>
      <c r="R1800" s="31">
        <v>45139</v>
      </c>
      <c r="S1800" s="31" t="s">
        <v>3121</v>
      </c>
      <c r="T1800" s="95" t="str">
        <f t="shared" si="145"/>
        <v>2023 08</v>
      </c>
      <c r="U1800" s="32">
        <f t="shared" si="142"/>
        <v>593.51019706772752</v>
      </c>
      <c r="V1800" s="22">
        <f t="shared" si="143"/>
        <v>0.6547345542640054</v>
      </c>
      <c r="X1800" s="33"/>
      <c r="Y1800" s="33"/>
    </row>
    <row r="1801" spans="1:25" x14ac:dyDescent="0.2">
      <c r="A1801" s="93" t="s">
        <v>795</v>
      </c>
      <c r="B1801" s="94" t="str">
        <f>IFERROR(VLOOKUP($A1801,HeadJournal!$A$1:$NTR$890,COLUMN(HeadJournal!B$1),0),"")</f>
        <v>710000859578</v>
      </c>
      <c r="C1801" s="94" t="str">
        <f>IFERROR(VLOOKUP($A1801,HeadJournal!$A$1:$NTR$890,COLUMN(HeadJournal!C$1),0),"")</f>
        <v>iHerb_OA CZN6870</v>
      </c>
      <c r="D1801" s="125" t="str">
        <f>IFERROR(VLOOKUP($A1801,HeadJournal!$A$1:$NTR$890,COLUMN(HeadJournal!D$1),0),"")</f>
        <v>Доставлен</v>
      </c>
      <c r="E1801" s="95">
        <f>IFERROR(VLOOKUP($A1801,HeadJournal!$A$1:$NTR$890,COLUMN(HeadJournal!G$1),0),"")</f>
        <v>45105</v>
      </c>
      <c r="F1801" s="95" t="str">
        <f t="shared" si="144"/>
        <v>2023 06</v>
      </c>
      <c r="G1801" s="96" t="s">
        <v>5</v>
      </c>
      <c r="H1801" s="160" t="str">
        <f>RIGHT(Journal!$J1801,9)</f>
        <v>NFS-04516</v>
      </c>
      <c r="I1801" s="96" t="str">
        <f t="shared" si="141"/>
        <v>Natural Factors</v>
      </c>
      <c r="J1801" s="97" t="s">
        <v>503</v>
      </c>
      <c r="K1801" s="29">
        <v>11.78</v>
      </c>
      <c r="L1801" s="29">
        <v>-2.355</v>
      </c>
      <c r="M1801" s="30">
        <f>IFERROR(VLOOKUP($A1801,HeadJournal!$A$1:$J$890,COLUMN(HeadJournal!I$1),0)*($K1801+$L1801)/(SUMIF($A:$A,$A1801,$K:$K)+SUMIF($A:$A,$A1801,$L:$L)),0)</f>
        <v>0.73958865079836145</v>
      </c>
      <c r="N1801" s="30">
        <f>IFERROR((VLOOKUP($A1801,HeadJournal!$A$1:$K$890,COLUMN(HeadJournal!K$1),0)-VLOOKUP($A1801,HeadJournal!$A$1:$K$890,COLUMN(HeadJournal!J$1),0))*($K1801+$L1801)/(SUMIF($A:$A,$A1801,$K:$K)+SUMIF($A:$A,$A1801,$L:$L)),0)</f>
        <v>-1.5900433987152472E-15</v>
      </c>
      <c r="O1801" s="30">
        <f>IFERROR((VLOOKUP($A1801,HeadJournal!$A$1:$L$890,COLUMN(HeadJournal!L$1),0)*($K1801+$L1801)/(SUMIF($A:$A,$A1801,$K:$K)+SUMIF($A:$A,$A1801,$L:$L)))/VLOOKUP($A1801,HeadJournal!$A$1:$L$890,COLUMN(HeadJournal!H$1),0),0)</f>
        <v>0.66848069214034078</v>
      </c>
      <c r="P1801" s="30">
        <f>IFERROR(SUM(K1801:O1801)*VLOOKUP($A1801,HeadJournal!$A$1:$L$890,COLUMN(HeadJournal!H$1),0),0)</f>
        <v>1006.3211298747548</v>
      </c>
      <c r="Q1801" s="29">
        <v>1600</v>
      </c>
      <c r="R1801" s="31">
        <v>45736</v>
      </c>
      <c r="S1801" s="31" t="s">
        <v>3121</v>
      </c>
      <c r="T1801" s="95" t="str">
        <f t="shared" si="145"/>
        <v>2025 03</v>
      </c>
      <c r="U1801" s="32">
        <f t="shared" si="142"/>
        <v>593.67887012524523</v>
      </c>
      <c r="V1801" s="22">
        <f t="shared" si="143"/>
        <v>0.58994972131722367</v>
      </c>
      <c r="X1801" s="33"/>
      <c r="Y1801" s="33"/>
    </row>
    <row r="1802" spans="1:25" x14ac:dyDescent="0.2">
      <c r="A1802" s="93" t="s">
        <v>795</v>
      </c>
      <c r="B1802" s="94" t="str">
        <f>IFERROR(VLOOKUP($A1802,HeadJournal!$A$1:$NTR$890,COLUMN(HeadJournal!B$1),0),"")</f>
        <v>710000859578</v>
      </c>
      <c r="C1802" s="94" t="str">
        <f>IFERROR(VLOOKUP($A1802,HeadJournal!$A$1:$NTR$890,COLUMN(HeadJournal!C$1),0),"")</f>
        <v>iHerb_OA CZN6870</v>
      </c>
      <c r="D1802" s="125" t="str">
        <f>IFERROR(VLOOKUP($A1802,HeadJournal!$A$1:$NTR$890,COLUMN(HeadJournal!D$1),0),"")</f>
        <v>Доставлен</v>
      </c>
      <c r="E1802" s="95">
        <f>IFERROR(VLOOKUP($A1802,HeadJournal!$A$1:$NTR$890,COLUMN(HeadJournal!G$1),0),"")</f>
        <v>45105</v>
      </c>
      <c r="F1802" s="95" t="str">
        <f t="shared" si="144"/>
        <v>2023 06</v>
      </c>
      <c r="G1802" s="96" t="s">
        <v>5</v>
      </c>
      <c r="H1802" s="160" t="str">
        <f>RIGHT(Journal!$J1802,9)</f>
        <v>NFS-04516</v>
      </c>
      <c r="I1802" s="96" t="str">
        <f t="shared" si="141"/>
        <v>Natural Factors</v>
      </c>
      <c r="J1802" s="97" t="s">
        <v>503</v>
      </c>
      <c r="K1802" s="29">
        <v>11.78</v>
      </c>
      <c r="L1802" s="29">
        <v>-2.355</v>
      </c>
      <c r="M1802" s="30">
        <f>IFERROR(VLOOKUP($A1802,HeadJournal!$A$1:$J$890,COLUMN(HeadJournal!I$1),0)*($K1802+$L1802)/(SUMIF($A:$A,$A1802,$K:$K)+SUMIF($A:$A,$A1802,$L:$L)),0)</f>
        <v>0.73958865079836145</v>
      </c>
      <c r="N1802" s="30">
        <f>IFERROR((VLOOKUP($A1802,HeadJournal!$A$1:$K$890,COLUMN(HeadJournal!K$1),0)-VLOOKUP($A1802,HeadJournal!$A$1:$K$890,COLUMN(HeadJournal!J$1),0))*($K1802+$L1802)/(SUMIF($A:$A,$A1802,$K:$K)+SUMIF($A:$A,$A1802,$L:$L)),0)</f>
        <v>-1.5900433987152472E-15</v>
      </c>
      <c r="O1802" s="30">
        <f>IFERROR((VLOOKUP($A1802,HeadJournal!$A$1:$L$890,COLUMN(HeadJournal!L$1),0)*($K1802+$L1802)/(SUMIF($A:$A,$A1802,$K:$K)+SUMIF($A:$A,$A1802,$L:$L)))/VLOOKUP($A1802,HeadJournal!$A$1:$L$890,COLUMN(HeadJournal!H$1),0),0)</f>
        <v>0.66848069214034078</v>
      </c>
      <c r="P1802" s="30">
        <f>IFERROR(SUM(K1802:O1802)*VLOOKUP($A1802,HeadJournal!$A$1:$L$890,COLUMN(HeadJournal!H$1),0),0)</f>
        <v>1006.3211298747548</v>
      </c>
      <c r="Q1802" s="29">
        <v>1600</v>
      </c>
      <c r="R1802" s="31">
        <v>45743</v>
      </c>
      <c r="S1802" s="31" t="s">
        <v>3121</v>
      </c>
      <c r="T1802" s="95" t="str">
        <f t="shared" si="145"/>
        <v>2025 03</v>
      </c>
      <c r="U1802" s="32">
        <f t="shared" si="142"/>
        <v>593.67887012524523</v>
      </c>
      <c r="V1802" s="22">
        <f t="shared" si="143"/>
        <v>0.58994972131722367</v>
      </c>
      <c r="X1802" s="33"/>
      <c r="Y1802" s="33"/>
    </row>
    <row r="1803" spans="1:25" x14ac:dyDescent="0.2">
      <c r="A1803" s="93" t="s">
        <v>800</v>
      </c>
      <c r="B1803" s="94">
        <f>IFERROR(VLOOKUP($A1803,HeadJournal!$A$1:$NTR$890,COLUMN(HeadJournal!B$1),0),"")</f>
        <v>0</v>
      </c>
      <c r="C1803" s="94" t="str">
        <f>IFERROR(VLOOKUP($A1803,HeadJournal!$A$1:$NTR$890,COLUMN(HeadJournal!C$1),0),"")</f>
        <v>WBRS</v>
      </c>
      <c r="D1803" s="125" t="str">
        <f>IFERROR(VLOOKUP($A1803,HeadJournal!$A$1:$NTR$890,COLUMN(HeadJournal!D$1),0),"")</f>
        <v>Доставлен</v>
      </c>
      <c r="E1803" s="95">
        <f>IFERROR(VLOOKUP($A1803,HeadJournal!$A$1:$NTR$890,COLUMN(HeadJournal!G$1),0),"")</f>
        <v>45100</v>
      </c>
      <c r="F1803" s="95" t="str">
        <f t="shared" si="144"/>
        <v>2023 06</v>
      </c>
      <c r="G1803" s="96" t="s">
        <v>6</v>
      </c>
      <c r="H1803" s="160" t="str">
        <f>RIGHT(Journal!$J1803,9)</f>
        <v>163432814</v>
      </c>
      <c r="I1803" s="96" t="str">
        <f t="shared" si="141"/>
        <v>Bio Product</v>
      </c>
      <c r="J1803" s="97" t="s">
        <v>801</v>
      </c>
      <c r="K1803" s="29">
        <v>2479</v>
      </c>
      <c r="L1803" s="29"/>
      <c r="M1803" s="30">
        <f>IFERROR(VLOOKUP($A1803,HeadJournal!$A$1:$J$890,COLUMN(HeadJournal!I$1),0)*($K1803+$L1803)/(SUMIF($A:$A,$A1803,$K:$K)+SUMIF($A:$A,$A1803,$L:$L)),0)</f>
        <v>0</v>
      </c>
      <c r="N1803" s="30">
        <f>IFERROR((VLOOKUP($A1803,HeadJournal!$A$1:$K$890,COLUMN(HeadJournal!K$1),0)-VLOOKUP($A1803,HeadJournal!$A$1:$K$890,COLUMN(HeadJournal!J$1),0))*($K1803+$L1803)/(SUMIF($A:$A,$A1803,$K:$K)+SUMIF($A:$A,$A1803,$L:$L)),0)</f>
        <v>0</v>
      </c>
      <c r="O1803" s="30">
        <f>IFERROR((VLOOKUP($A1803,HeadJournal!$A$1:$L$890,COLUMN(HeadJournal!L$1),0)*($K1803+$L1803)/(SUMIF($A:$A,$A1803,$K:$K)+SUMIF($A:$A,$A1803,$L:$L)))/VLOOKUP($A1803,HeadJournal!$A$1:$L$890,COLUMN(HeadJournal!H$1),0),0)</f>
        <v>247.89999999999998</v>
      </c>
      <c r="P1803" s="30">
        <f>IFERROR(SUM(K1803:O1803)*VLOOKUP($A1803,HeadJournal!$A$1:$L$890,COLUMN(HeadJournal!H$1),0),0)</f>
        <v>2726.9</v>
      </c>
      <c r="Q1803" s="29">
        <v>3200</v>
      </c>
      <c r="R1803" s="31">
        <v>45110</v>
      </c>
      <c r="S1803" s="31" t="s">
        <v>3121</v>
      </c>
      <c r="T1803" s="95" t="str">
        <f t="shared" si="145"/>
        <v>2023 07</v>
      </c>
      <c r="U1803" s="32">
        <f t="shared" si="142"/>
        <v>473.09999999999991</v>
      </c>
      <c r="V1803" s="22">
        <f t="shared" si="143"/>
        <v>0.1734937108071436</v>
      </c>
      <c r="X1803" s="33"/>
      <c r="Y1803" s="33"/>
    </row>
    <row r="1804" spans="1:25" x14ac:dyDescent="0.2">
      <c r="A1804" s="93" t="s">
        <v>802</v>
      </c>
      <c r="B1804" s="94">
        <f>IFERROR(VLOOKUP($A1804,HeadJournal!$A$1:$NTR$890,COLUMN(HeadJournal!B$1),0),"")</f>
        <v>0</v>
      </c>
      <c r="C1804" s="94" t="str">
        <f>IFERROR(VLOOKUP($A1804,HeadJournal!$A$1:$NTR$890,COLUMN(HeadJournal!C$1),0),"")</f>
        <v>WBRS</v>
      </c>
      <c r="D1804" s="125" t="str">
        <f>IFERROR(VLOOKUP($A1804,HeadJournal!$A$1:$NTR$890,COLUMN(HeadJournal!D$1),0),"")</f>
        <v>Доставлен</v>
      </c>
      <c r="E1804" s="95">
        <f>IFERROR(VLOOKUP($A1804,HeadJournal!$A$1:$NTR$890,COLUMN(HeadJournal!G$1),0),"")</f>
        <v>45102</v>
      </c>
      <c r="F1804" s="95" t="str">
        <f t="shared" si="144"/>
        <v>2023 06</v>
      </c>
      <c r="G1804" s="96" t="s">
        <v>6</v>
      </c>
      <c r="H1804" s="160" t="str">
        <f>RIGHT(Journal!$J1804,9)</f>
        <v>072421834</v>
      </c>
      <c r="I1804" s="96" t="str">
        <f t="shared" si="141"/>
        <v>R-Line</v>
      </c>
      <c r="J1804" s="97" t="s">
        <v>803</v>
      </c>
      <c r="K1804" s="29">
        <v>1791</v>
      </c>
      <c r="L1804" s="29"/>
      <c r="M1804" s="30">
        <f>IFERROR(VLOOKUP($A1804,HeadJournal!$A$1:$J$890,COLUMN(HeadJournal!I$1),0)*($K1804+$L1804)/(SUMIF($A:$A,$A1804,$K:$K)+SUMIF($A:$A,$A1804,$L:$L)),0)</f>
        <v>0</v>
      </c>
      <c r="N1804" s="30">
        <f>IFERROR((VLOOKUP($A1804,HeadJournal!$A$1:$K$890,COLUMN(HeadJournal!K$1),0)-VLOOKUP($A1804,HeadJournal!$A$1:$K$890,COLUMN(HeadJournal!J$1),0))*($K1804+$L1804)/(SUMIF($A:$A,$A1804,$K:$K)+SUMIF($A:$A,$A1804,$L:$L)),0)</f>
        <v>0</v>
      </c>
      <c r="O1804" s="30">
        <f>IFERROR((VLOOKUP($A1804,HeadJournal!$A$1:$L$890,COLUMN(HeadJournal!L$1),0)*($K1804+$L1804)/(SUMIF($A:$A,$A1804,$K:$K)+SUMIF($A:$A,$A1804,$L:$L)))/VLOOKUP($A1804,HeadJournal!$A$1:$L$890,COLUMN(HeadJournal!H$1),0),0)</f>
        <v>179.10000000000002</v>
      </c>
      <c r="P1804" s="30">
        <f>IFERROR(SUM(K1804:O1804)*VLOOKUP($A1804,HeadJournal!$A$1:$L$890,COLUMN(HeadJournal!H$1),0),0)</f>
        <v>1970.1</v>
      </c>
      <c r="Q1804" s="29">
        <v>2800</v>
      </c>
      <c r="R1804" s="31">
        <v>45122</v>
      </c>
      <c r="S1804" s="31" t="s">
        <v>3121</v>
      </c>
      <c r="T1804" s="95" t="str">
        <f t="shared" si="145"/>
        <v>2023 07</v>
      </c>
      <c r="U1804" s="32">
        <f t="shared" si="142"/>
        <v>829.90000000000009</v>
      </c>
      <c r="V1804" s="22">
        <f t="shared" si="143"/>
        <v>0.42124765240343137</v>
      </c>
      <c r="X1804" s="33"/>
      <c r="Y1804" s="33"/>
    </row>
    <row r="1805" spans="1:25" x14ac:dyDescent="0.2">
      <c r="A1805" s="93" t="s">
        <v>804</v>
      </c>
      <c r="B1805" s="94">
        <f>IFERROR(VLOOKUP($A1805,HeadJournal!$A$1:$NTR$890,COLUMN(HeadJournal!B$1),0),"")</f>
        <v>0</v>
      </c>
      <c r="C1805" s="94" t="str">
        <f>IFERROR(VLOOKUP($A1805,HeadJournal!$A$1:$NTR$890,COLUMN(HeadJournal!C$1),0),"")</f>
        <v>WBRS</v>
      </c>
      <c r="D1805" s="125" t="str">
        <f>IFERROR(VLOOKUP($A1805,HeadJournal!$A$1:$NTR$890,COLUMN(HeadJournal!D$1),0),"")</f>
        <v>Доставлен</v>
      </c>
      <c r="E1805" s="95">
        <f>IFERROR(VLOOKUP($A1805,HeadJournal!$A$1:$NTR$890,COLUMN(HeadJournal!G$1),0),"")</f>
        <v>45098</v>
      </c>
      <c r="F1805" s="95" t="str">
        <f t="shared" si="144"/>
        <v>2023 06</v>
      </c>
      <c r="G1805" s="96" t="s">
        <v>6</v>
      </c>
      <c r="H1805" s="160" t="str">
        <f>RIGHT(Journal!$J1805,9)</f>
        <v>158521482</v>
      </c>
      <c r="I1805" s="96" t="str">
        <f t="shared" si="141"/>
        <v>Maxler</v>
      </c>
      <c r="J1805" s="97" t="s">
        <v>805</v>
      </c>
      <c r="K1805" s="29">
        <v>1619</v>
      </c>
      <c r="L1805" s="29"/>
      <c r="M1805" s="30">
        <f>IFERROR(VLOOKUP($A1805,HeadJournal!$A$1:$J$890,COLUMN(HeadJournal!I$1),0)*($K1805+$L1805)/(SUMIF($A:$A,$A1805,$K:$K)+SUMIF($A:$A,$A1805,$L:$L)),0)</f>
        <v>0</v>
      </c>
      <c r="N1805" s="30">
        <f>IFERROR((VLOOKUP($A1805,HeadJournal!$A$1:$K$890,COLUMN(HeadJournal!K$1),0)-VLOOKUP($A1805,HeadJournal!$A$1:$K$890,COLUMN(HeadJournal!J$1),0))*($K1805+$L1805)/(SUMIF($A:$A,$A1805,$K:$K)+SUMIF($A:$A,$A1805,$L:$L)),0)</f>
        <v>0</v>
      </c>
      <c r="O1805" s="30">
        <f>IFERROR((VLOOKUP($A1805,HeadJournal!$A$1:$L$890,COLUMN(HeadJournal!L$1),0)*($K1805+$L1805)/(SUMIF($A:$A,$A1805,$K:$K)+SUMIF($A:$A,$A1805,$L:$L)))/VLOOKUP($A1805,HeadJournal!$A$1:$L$890,COLUMN(HeadJournal!H$1),0),0)</f>
        <v>161.9</v>
      </c>
      <c r="P1805" s="30">
        <f>IFERROR(SUM(K1805:O1805)*VLOOKUP($A1805,HeadJournal!$A$1:$L$890,COLUMN(HeadJournal!H$1),0),0)</f>
        <v>1780.9</v>
      </c>
      <c r="Q1805" s="29">
        <v>2500</v>
      </c>
      <c r="R1805" s="31">
        <v>45113</v>
      </c>
      <c r="S1805" s="31" t="s">
        <v>3121</v>
      </c>
      <c r="T1805" s="95" t="str">
        <f t="shared" si="145"/>
        <v>2023 07</v>
      </c>
      <c r="U1805" s="32">
        <f t="shared" si="142"/>
        <v>719.09999999999991</v>
      </c>
      <c r="V1805" s="22">
        <f t="shared" si="143"/>
        <v>0.40378460329047106</v>
      </c>
      <c r="X1805" s="33"/>
      <c r="Y1805" s="33"/>
    </row>
    <row r="1806" spans="1:25" x14ac:dyDescent="0.2">
      <c r="A1806" s="93" t="s">
        <v>804</v>
      </c>
      <c r="B1806" s="94">
        <f>IFERROR(VLOOKUP($A1806,HeadJournal!$A$1:$NTR$890,COLUMN(HeadJournal!B$1),0),"")</f>
        <v>0</v>
      </c>
      <c r="C1806" s="94" t="str">
        <f>IFERROR(VLOOKUP($A1806,HeadJournal!$A$1:$NTR$890,COLUMN(HeadJournal!C$1),0),"")</f>
        <v>WBRS</v>
      </c>
      <c r="D1806" s="125" t="str">
        <f>IFERROR(VLOOKUP($A1806,HeadJournal!$A$1:$NTR$890,COLUMN(HeadJournal!D$1),0),"")</f>
        <v>Доставлен</v>
      </c>
      <c r="E1806" s="95">
        <f>IFERROR(VLOOKUP($A1806,HeadJournal!$A$1:$NTR$890,COLUMN(HeadJournal!G$1),0),"")</f>
        <v>45098</v>
      </c>
      <c r="F1806" s="95" t="str">
        <f t="shared" si="144"/>
        <v>2023 06</v>
      </c>
      <c r="G1806" s="96" t="s">
        <v>6</v>
      </c>
      <c r="H1806" s="160" t="str">
        <f>RIGHT(Journal!$J1806,9)</f>
        <v>158521482</v>
      </c>
      <c r="I1806" s="96" t="str">
        <f t="shared" ref="I1806:I1869" si="146">IFERROR(LEFT(J1806,FIND(",",J1806)-1),"")</f>
        <v>Maxler</v>
      </c>
      <c r="J1806" s="97" t="s">
        <v>805</v>
      </c>
      <c r="K1806" s="29">
        <v>1619</v>
      </c>
      <c r="L1806" s="29"/>
      <c r="M1806" s="30">
        <f>IFERROR(VLOOKUP($A1806,HeadJournal!$A$1:$J$890,COLUMN(HeadJournal!I$1),0)*($K1806+$L1806)/(SUMIF($A:$A,$A1806,$K:$K)+SUMIF($A:$A,$A1806,$L:$L)),0)</f>
        <v>0</v>
      </c>
      <c r="N1806" s="30">
        <f>IFERROR((VLOOKUP($A1806,HeadJournal!$A$1:$K$890,COLUMN(HeadJournal!K$1),0)-VLOOKUP($A1806,HeadJournal!$A$1:$K$890,COLUMN(HeadJournal!J$1),0))*($K1806+$L1806)/(SUMIF($A:$A,$A1806,$K:$K)+SUMIF($A:$A,$A1806,$L:$L)),0)</f>
        <v>0</v>
      </c>
      <c r="O1806" s="30">
        <f>IFERROR((VLOOKUP($A1806,HeadJournal!$A$1:$L$890,COLUMN(HeadJournal!L$1),0)*($K1806+$L1806)/(SUMIF($A:$A,$A1806,$K:$K)+SUMIF($A:$A,$A1806,$L:$L)))/VLOOKUP($A1806,HeadJournal!$A$1:$L$890,COLUMN(HeadJournal!H$1),0),0)</f>
        <v>161.9</v>
      </c>
      <c r="P1806" s="30">
        <f>IFERROR(SUM(K1806:O1806)*VLOOKUP($A1806,HeadJournal!$A$1:$L$890,COLUMN(HeadJournal!H$1),0),0)</f>
        <v>1780.9</v>
      </c>
      <c r="Q1806" s="29">
        <v>2500</v>
      </c>
      <c r="R1806" s="31">
        <v>45113</v>
      </c>
      <c r="S1806" s="31" t="s">
        <v>3121</v>
      </c>
      <c r="T1806" s="95" t="str">
        <f t="shared" si="145"/>
        <v>2023 07</v>
      </c>
      <c r="U1806" s="32">
        <f t="shared" si="142"/>
        <v>719.09999999999991</v>
      </c>
      <c r="V1806" s="22">
        <f t="shared" si="143"/>
        <v>0.40378460329047106</v>
      </c>
      <c r="X1806" s="33"/>
      <c r="Y1806" s="33"/>
    </row>
    <row r="1807" spans="1:25" x14ac:dyDescent="0.2">
      <c r="A1807" s="93" t="s">
        <v>806</v>
      </c>
      <c r="B1807" s="94">
        <f>IFERROR(VLOOKUP($A1807,HeadJournal!$A$1:$NTR$890,COLUMN(HeadJournal!B$1),0),"")</f>
        <v>0</v>
      </c>
      <c r="C1807" s="94" t="str">
        <f>IFERROR(VLOOKUP($A1807,HeadJournal!$A$1:$NTR$890,COLUMN(HeadJournal!C$1),0),"")</f>
        <v>WBRS</v>
      </c>
      <c r="D1807" s="125" t="str">
        <f>IFERROR(VLOOKUP($A1807,HeadJournal!$A$1:$NTR$890,COLUMN(HeadJournal!D$1),0),"")</f>
        <v>Доставлен</v>
      </c>
      <c r="E1807" s="95">
        <f>IFERROR(VLOOKUP($A1807,HeadJournal!$A$1:$NTR$890,COLUMN(HeadJournal!G$1),0),"")</f>
        <v>45100</v>
      </c>
      <c r="F1807" s="95" t="str">
        <f t="shared" si="144"/>
        <v>2023 06</v>
      </c>
      <c r="G1807" s="96" t="s">
        <v>6</v>
      </c>
      <c r="H1807" s="160" t="str">
        <f>RIGHT(Journal!$J1807,9)</f>
        <v>161172556</v>
      </c>
      <c r="I1807" s="96" t="str">
        <f t="shared" si="146"/>
        <v>Red Ginseng</v>
      </c>
      <c r="J1807" s="97" t="s">
        <v>807</v>
      </c>
      <c r="K1807" s="29">
        <v>1134</v>
      </c>
      <c r="L1807" s="29"/>
      <c r="M1807" s="30">
        <f>IFERROR(VLOOKUP($A1807,HeadJournal!$A$1:$J$890,COLUMN(HeadJournal!I$1),0)*($K1807+$L1807)/(SUMIF($A:$A,$A1807,$K:$K)+SUMIF($A:$A,$A1807,$L:$L)),0)</f>
        <v>0</v>
      </c>
      <c r="N1807" s="30">
        <f>IFERROR((VLOOKUP($A1807,HeadJournal!$A$1:$K$890,COLUMN(HeadJournal!K$1),0)-VLOOKUP($A1807,HeadJournal!$A$1:$K$890,COLUMN(HeadJournal!J$1),0))*($K1807+$L1807)/(SUMIF($A:$A,$A1807,$K:$K)+SUMIF($A:$A,$A1807,$L:$L)),0)</f>
        <v>0</v>
      </c>
      <c r="O1807" s="30">
        <f>IFERROR((VLOOKUP($A1807,HeadJournal!$A$1:$L$890,COLUMN(HeadJournal!L$1),0)*($K1807+$L1807)/(SUMIF($A:$A,$A1807,$K:$K)+SUMIF($A:$A,$A1807,$L:$L)))/VLOOKUP($A1807,HeadJournal!$A$1:$L$890,COLUMN(HeadJournal!H$1),0),0)</f>
        <v>113.4</v>
      </c>
      <c r="P1807" s="30">
        <f>IFERROR(SUM(K1807:O1807)*VLOOKUP($A1807,HeadJournal!$A$1:$L$890,COLUMN(HeadJournal!H$1),0),0)</f>
        <v>1247.4000000000001</v>
      </c>
      <c r="Q1807" s="29">
        <v>1800</v>
      </c>
      <c r="R1807" s="31">
        <v>45110</v>
      </c>
      <c r="S1807" s="31" t="s">
        <v>3121</v>
      </c>
      <c r="T1807" s="95" t="str">
        <f t="shared" si="145"/>
        <v>2023 07</v>
      </c>
      <c r="U1807" s="32">
        <f t="shared" si="142"/>
        <v>552.59999999999991</v>
      </c>
      <c r="V1807" s="22">
        <f t="shared" si="143"/>
        <v>0.4430014430014429</v>
      </c>
      <c r="X1807" s="33"/>
      <c r="Y1807" s="33"/>
    </row>
    <row r="1808" spans="1:25" x14ac:dyDescent="0.2">
      <c r="A1808" s="93" t="s">
        <v>808</v>
      </c>
      <c r="B1808" s="94">
        <f>IFERROR(VLOOKUP($A1808,HeadJournal!$A$1:$NTR$890,COLUMN(HeadJournal!B$1),0),"")</f>
        <v>0</v>
      </c>
      <c r="C1808" s="94" t="str">
        <f>IFERROR(VLOOKUP($A1808,HeadJournal!$A$1:$NTR$890,COLUMN(HeadJournal!C$1),0),"")</f>
        <v>OZON_OA</v>
      </c>
      <c r="D1808" s="125" t="str">
        <f>IFERROR(VLOOKUP($A1808,HeadJournal!$A$1:$NTR$890,COLUMN(HeadJournal!D$1),0),"")</f>
        <v>Доставлен</v>
      </c>
      <c r="E1808" s="95">
        <f>IFERROR(VLOOKUP($A1808,HeadJournal!$A$1:$NTR$890,COLUMN(HeadJournal!G$1),0),"")</f>
        <v>45098</v>
      </c>
      <c r="F1808" s="95" t="str">
        <f t="shared" si="144"/>
        <v>2023 06</v>
      </c>
      <c r="G1808" s="96" t="s">
        <v>6</v>
      </c>
      <c r="H1808" s="160" t="str">
        <f>RIGHT(Journal!$J1808,9)</f>
        <v>170918388</v>
      </c>
      <c r="I1808" s="96" t="str">
        <f t="shared" si="146"/>
        <v>PRIMEKRAFT</v>
      </c>
      <c r="J1808" s="97" t="s">
        <v>329</v>
      </c>
      <c r="K1808" s="29">
        <v>749</v>
      </c>
      <c r="L1808" s="29"/>
      <c r="M1808" s="30">
        <f>IFERROR(VLOOKUP($A1808,HeadJournal!$A$1:$J$890,COLUMN(HeadJournal!I$1),0)*($K1808+$L1808)/(SUMIF($A:$A,$A1808,$K:$K)+SUMIF($A:$A,$A1808,$L:$L)),0)</f>
        <v>0</v>
      </c>
      <c r="N1808" s="30">
        <f>IFERROR((VLOOKUP($A1808,HeadJournal!$A$1:$K$890,COLUMN(HeadJournal!K$1),0)-VLOOKUP($A1808,HeadJournal!$A$1:$K$890,COLUMN(HeadJournal!J$1),0))*($K1808+$L1808)/(SUMIF($A:$A,$A1808,$K:$K)+SUMIF($A:$A,$A1808,$L:$L)),0)</f>
        <v>0</v>
      </c>
      <c r="O1808" s="30">
        <f>IFERROR((VLOOKUP($A1808,HeadJournal!$A$1:$L$890,COLUMN(HeadJournal!L$1),0)*($K1808+$L1808)/(SUMIF($A:$A,$A1808,$K:$K)+SUMIF($A:$A,$A1808,$L:$L)))/VLOOKUP($A1808,HeadJournal!$A$1:$L$890,COLUMN(HeadJournal!H$1),0),0)</f>
        <v>74.900000000000006</v>
      </c>
      <c r="P1808" s="30">
        <f>IFERROR(SUM(K1808:O1808)*VLOOKUP($A1808,HeadJournal!$A$1:$L$890,COLUMN(HeadJournal!H$1),0),0)</f>
        <v>823.9</v>
      </c>
      <c r="Q1808" s="29">
        <v>1500</v>
      </c>
      <c r="R1808" s="31">
        <v>45204</v>
      </c>
      <c r="S1808" s="31" t="s">
        <v>3121</v>
      </c>
      <c r="T1808" s="95" t="str">
        <f t="shared" si="145"/>
        <v>2023 10</v>
      </c>
      <c r="U1808" s="32">
        <f t="shared" si="142"/>
        <v>676.1</v>
      </c>
      <c r="V1808" s="22">
        <f t="shared" si="143"/>
        <v>0.82060929724481135</v>
      </c>
      <c r="X1808" s="33"/>
      <c r="Y1808" s="33"/>
    </row>
    <row r="1809" spans="1:25" x14ac:dyDescent="0.2">
      <c r="A1809" s="93" t="s">
        <v>808</v>
      </c>
      <c r="B1809" s="94">
        <f>IFERROR(VLOOKUP($A1809,HeadJournal!$A$1:$NTR$890,COLUMN(HeadJournal!B$1),0),"")</f>
        <v>0</v>
      </c>
      <c r="C1809" s="94" t="str">
        <f>IFERROR(VLOOKUP($A1809,HeadJournal!$A$1:$NTR$890,COLUMN(HeadJournal!C$1),0),"")</f>
        <v>OZON_OA</v>
      </c>
      <c r="D1809" s="125" t="str">
        <f>IFERROR(VLOOKUP($A1809,HeadJournal!$A$1:$NTR$890,COLUMN(HeadJournal!D$1),0),"")</f>
        <v>Доставлен</v>
      </c>
      <c r="E1809" s="95">
        <f>IFERROR(VLOOKUP($A1809,HeadJournal!$A$1:$NTR$890,COLUMN(HeadJournal!G$1),0),"")</f>
        <v>45098</v>
      </c>
      <c r="F1809" s="95" t="str">
        <f t="shared" si="144"/>
        <v>2023 06</v>
      </c>
      <c r="G1809" s="96" t="s">
        <v>6</v>
      </c>
      <c r="H1809" s="160" t="str">
        <f>RIGHT(Journal!$J1809,9)</f>
        <v>152851473</v>
      </c>
      <c r="I1809" s="96" t="str">
        <f t="shared" si="146"/>
        <v>PRIMEKRAFT</v>
      </c>
      <c r="J1809" s="97" t="s">
        <v>809</v>
      </c>
      <c r="K1809" s="29">
        <v>1356</v>
      </c>
      <c r="L1809" s="29"/>
      <c r="M1809" s="30">
        <f>IFERROR(VLOOKUP($A1809,HeadJournal!$A$1:$J$890,COLUMN(HeadJournal!I$1),0)*($K1809+$L1809)/(SUMIF($A:$A,$A1809,$K:$K)+SUMIF($A:$A,$A1809,$L:$L)),0)</f>
        <v>0</v>
      </c>
      <c r="N1809" s="30">
        <f>IFERROR((VLOOKUP($A1809,HeadJournal!$A$1:$K$890,COLUMN(HeadJournal!K$1),0)-VLOOKUP($A1809,HeadJournal!$A$1:$K$890,COLUMN(HeadJournal!J$1),0))*($K1809+$L1809)/(SUMIF($A:$A,$A1809,$K:$K)+SUMIF($A:$A,$A1809,$L:$L)),0)</f>
        <v>0</v>
      </c>
      <c r="O1809" s="30">
        <f>IFERROR((VLOOKUP($A1809,HeadJournal!$A$1:$L$890,COLUMN(HeadJournal!L$1),0)*($K1809+$L1809)/(SUMIF($A:$A,$A1809,$K:$K)+SUMIF($A:$A,$A1809,$L:$L)))/VLOOKUP($A1809,HeadJournal!$A$1:$L$890,COLUMN(HeadJournal!H$1),0),0)</f>
        <v>135.6</v>
      </c>
      <c r="P1809" s="30">
        <f>IFERROR(SUM(K1809:O1809)*VLOOKUP($A1809,HeadJournal!$A$1:$L$890,COLUMN(HeadJournal!H$1),0),0)</f>
        <v>1491.6</v>
      </c>
      <c r="Q1809" s="29">
        <v>2200</v>
      </c>
      <c r="R1809" s="31">
        <v>45115</v>
      </c>
      <c r="S1809" s="31" t="s">
        <v>3121</v>
      </c>
      <c r="T1809" s="95" t="str">
        <f t="shared" si="145"/>
        <v>2023 07</v>
      </c>
      <c r="U1809" s="32">
        <f t="shared" si="142"/>
        <v>708.40000000000009</v>
      </c>
      <c r="V1809" s="22">
        <f t="shared" si="143"/>
        <v>0.47492625368731572</v>
      </c>
      <c r="X1809" s="33"/>
      <c r="Y1809" s="33"/>
    </row>
    <row r="1810" spans="1:25" x14ac:dyDescent="0.2">
      <c r="A1810" s="93" t="s">
        <v>808</v>
      </c>
      <c r="B1810" s="94">
        <f>IFERROR(VLOOKUP($A1810,HeadJournal!$A$1:$NTR$890,COLUMN(HeadJournal!B$1),0),"")</f>
        <v>0</v>
      </c>
      <c r="C1810" s="94" t="str">
        <f>IFERROR(VLOOKUP($A1810,HeadJournal!$A$1:$NTR$890,COLUMN(HeadJournal!C$1),0),"")</f>
        <v>OZON_OA</v>
      </c>
      <c r="D1810" s="125" t="str">
        <f>IFERROR(VLOOKUP($A1810,HeadJournal!$A$1:$NTR$890,COLUMN(HeadJournal!D$1),0),"")</f>
        <v>Доставлен</v>
      </c>
      <c r="E1810" s="95">
        <f>IFERROR(VLOOKUP($A1810,HeadJournal!$A$1:$NTR$890,COLUMN(HeadJournal!G$1),0),"")</f>
        <v>45098</v>
      </c>
      <c r="F1810" s="95" t="str">
        <f t="shared" si="144"/>
        <v>2023 06</v>
      </c>
      <c r="G1810" s="96" t="s">
        <v>6</v>
      </c>
      <c r="H1810" s="160" t="str">
        <f>RIGHT(Journal!$J1810,9)</f>
        <v>170919121</v>
      </c>
      <c r="I1810" s="96" t="str">
        <f t="shared" si="146"/>
        <v>PRIMEKRAFT</v>
      </c>
      <c r="J1810" s="97" t="s">
        <v>810</v>
      </c>
      <c r="K1810" s="29">
        <v>749</v>
      </c>
      <c r="L1810" s="29"/>
      <c r="M1810" s="30">
        <f>IFERROR(VLOOKUP($A1810,HeadJournal!$A$1:$J$890,COLUMN(HeadJournal!I$1),0)*($K1810+$L1810)/(SUMIF($A:$A,$A1810,$K:$K)+SUMIF($A:$A,$A1810,$L:$L)),0)</f>
        <v>0</v>
      </c>
      <c r="N1810" s="30">
        <f>IFERROR((VLOOKUP($A1810,HeadJournal!$A$1:$K$890,COLUMN(HeadJournal!K$1),0)-VLOOKUP($A1810,HeadJournal!$A$1:$K$890,COLUMN(HeadJournal!J$1),0))*($K1810+$L1810)/(SUMIF($A:$A,$A1810,$K:$K)+SUMIF($A:$A,$A1810,$L:$L)),0)</f>
        <v>0</v>
      </c>
      <c r="O1810" s="30">
        <f>IFERROR((VLOOKUP($A1810,HeadJournal!$A$1:$L$890,COLUMN(HeadJournal!L$1),0)*($K1810+$L1810)/(SUMIF($A:$A,$A1810,$K:$K)+SUMIF($A:$A,$A1810,$L:$L)))/VLOOKUP($A1810,HeadJournal!$A$1:$L$890,COLUMN(HeadJournal!H$1),0),0)</f>
        <v>74.900000000000006</v>
      </c>
      <c r="P1810" s="30">
        <f>IFERROR(SUM(K1810:O1810)*VLOOKUP($A1810,HeadJournal!$A$1:$L$890,COLUMN(HeadJournal!H$1),0),0)</f>
        <v>823.9</v>
      </c>
      <c r="Q1810" s="29">
        <v>1500</v>
      </c>
      <c r="R1810" s="31">
        <v>45212</v>
      </c>
      <c r="S1810" s="31" t="s">
        <v>3121</v>
      </c>
      <c r="T1810" s="95" t="str">
        <f t="shared" si="145"/>
        <v>2023 10</v>
      </c>
      <c r="U1810" s="32">
        <f t="shared" si="142"/>
        <v>676.1</v>
      </c>
      <c r="V1810" s="22">
        <f t="shared" si="143"/>
        <v>0.82060929724481135</v>
      </c>
      <c r="X1810" s="33"/>
      <c r="Y1810" s="33"/>
    </row>
    <row r="1811" spans="1:25" x14ac:dyDescent="0.2">
      <c r="A1811" s="93" t="s">
        <v>808</v>
      </c>
      <c r="B1811" s="94">
        <f>IFERROR(VLOOKUP($A1811,HeadJournal!$A$1:$NTR$890,COLUMN(HeadJournal!B$1),0),"")</f>
        <v>0</v>
      </c>
      <c r="C1811" s="94" t="str">
        <f>IFERROR(VLOOKUP($A1811,HeadJournal!$A$1:$NTR$890,COLUMN(HeadJournal!C$1),0),"")</f>
        <v>OZON_OA</v>
      </c>
      <c r="D1811" s="125" t="str">
        <f>IFERROR(VLOOKUP($A1811,HeadJournal!$A$1:$NTR$890,COLUMN(HeadJournal!D$1),0),"")</f>
        <v>Доставлен</v>
      </c>
      <c r="E1811" s="95">
        <f>IFERROR(VLOOKUP($A1811,HeadJournal!$A$1:$NTR$890,COLUMN(HeadJournal!G$1),0),"")</f>
        <v>45098</v>
      </c>
      <c r="F1811" s="95" t="str">
        <f t="shared" si="144"/>
        <v>2023 06</v>
      </c>
      <c r="G1811" s="96" t="s">
        <v>6</v>
      </c>
      <c r="H1811" s="160" t="str">
        <f>RIGHT(Journal!$J1811,9)</f>
        <v>152851475</v>
      </c>
      <c r="I1811" s="96" t="str">
        <f t="shared" si="146"/>
        <v>PRIMEKRAFT</v>
      </c>
      <c r="J1811" s="97" t="s">
        <v>811</v>
      </c>
      <c r="K1811" s="29">
        <v>1356</v>
      </c>
      <c r="L1811" s="29"/>
      <c r="M1811" s="30">
        <f>IFERROR(VLOOKUP($A1811,HeadJournal!$A$1:$J$890,COLUMN(HeadJournal!I$1),0)*($K1811+$L1811)/(SUMIF($A:$A,$A1811,$K:$K)+SUMIF($A:$A,$A1811,$L:$L)),0)</f>
        <v>0</v>
      </c>
      <c r="N1811" s="30">
        <f>IFERROR((VLOOKUP($A1811,HeadJournal!$A$1:$K$890,COLUMN(HeadJournal!K$1),0)-VLOOKUP($A1811,HeadJournal!$A$1:$K$890,COLUMN(HeadJournal!J$1),0))*($K1811+$L1811)/(SUMIF($A:$A,$A1811,$K:$K)+SUMIF($A:$A,$A1811,$L:$L)),0)</f>
        <v>0</v>
      </c>
      <c r="O1811" s="30">
        <f>IFERROR((VLOOKUP($A1811,HeadJournal!$A$1:$L$890,COLUMN(HeadJournal!L$1),0)*($K1811+$L1811)/(SUMIF($A:$A,$A1811,$K:$K)+SUMIF($A:$A,$A1811,$L:$L)))/VLOOKUP($A1811,HeadJournal!$A$1:$L$890,COLUMN(HeadJournal!H$1),0),0)</f>
        <v>135.6</v>
      </c>
      <c r="P1811" s="30">
        <f>IFERROR(SUM(K1811:O1811)*VLOOKUP($A1811,HeadJournal!$A$1:$L$890,COLUMN(HeadJournal!H$1),0),0)</f>
        <v>1491.6</v>
      </c>
      <c r="Q1811" s="29">
        <v>2100</v>
      </c>
      <c r="R1811" s="31">
        <v>45137</v>
      </c>
      <c r="S1811" s="31" t="s">
        <v>3121</v>
      </c>
      <c r="T1811" s="95" t="str">
        <f t="shared" si="145"/>
        <v>2023 07</v>
      </c>
      <c r="U1811" s="32">
        <f t="shared" si="142"/>
        <v>608.40000000000009</v>
      </c>
      <c r="V1811" s="22">
        <f t="shared" si="143"/>
        <v>0.40788415124698318</v>
      </c>
      <c r="X1811" s="33"/>
      <c r="Y1811" s="33"/>
    </row>
    <row r="1812" spans="1:25" x14ac:dyDescent="0.2">
      <c r="A1812" s="93" t="s">
        <v>812</v>
      </c>
      <c r="B1812" s="94">
        <f>IFERROR(VLOOKUP($A1812,HeadJournal!$A$1:$NTR$890,COLUMN(HeadJournal!B$1),0),"")</f>
        <v>0</v>
      </c>
      <c r="C1812" s="94" t="str">
        <f>IFERROR(VLOOKUP($A1812,HeadJournal!$A$1:$NTR$890,COLUMN(HeadJournal!C$1),0),"")</f>
        <v>OZON_OA</v>
      </c>
      <c r="D1812" s="125" t="str">
        <f>IFERROR(VLOOKUP($A1812,HeadJournal!$A$1:$NTR$890,COLUMN(HeadJournal!D$1),0),"")</f>
        <v>Доставлен</v>
      </c>
      <c r="E1812" s="95">
        <f>IFERROR(VLOOKUP($A1812,HeadJournal!$A$1:$NTR$890,COLUMN(HeadJournal!G$1),0),"")</f>
        <v>45099</v>
      </c>
      <c r="F1812" s="95" t="str">
        <f t="shared" si="144"/>
        <v>2023 06</v>
      </c>
      <c r="G1812" s="96" t="s">
        <v>6</v>
      </c>
      <c r="H1812" s="160" t="str">
        <f>RIGHT(Journal!$J1812,9)</f>
        <v>864964824</v>
      </c>
      <c r="I1812" s="96" t="str">
        <f t="shared" si="146"/>
        <v>Trec Nutrition</v>
      </c>
      <c r="J1812" s="97" t="s">
        <v>813</v>
      </c>
      <c r="K1812" s="29">
        <v>2650</v>
      </c>
      <c r="L1812" s="29"/>
      <c r="M1812" s="30">
        <f>IFERROR(VLOOKUP($A1812,HeadJournal!$A$1:$J$890,COLUMN(HeadJournal!I$1),0)*($K1812+$L1812)/(SUMIF($A:$A,$A1812,$K:$K)+SUMIF($A:$A,$A1812,$L:$L)),0)</f>
        <v>0</v>
      </c>
      <c r="N1812" s="30">
        <f>IFERROR((VLOOKUP($A1812,HeadJournal!$A$1:$K$890,COLUMN(HeadJournal!K$1),0)-VLOOKUP($A1812,HeadJournal!$A$1:$K$890,COLUMN(HeadJournal!J$1),0))*($K1812+$L1812)/(SUMIF($A:$A,$A1812,$K:$K)+SUMIF($A:$A,$A1812,$L:$L)),0)</f>
        <v>0</v>
      </c>
      <c r="O1812" s="30">
        <f>IFERROR((VLOOKUP($A1812,HeadJournal!$A$1:$L$890,COLUMN(HeadJournal!L$1),0)*($K1812+$L1812)/(SUMIF($A:$A,$A1812,$K:$K)+SUMIF($A:$A,$A1812,$L:$L)))/VLOOKUP($A1812,HeadJournal!$A$1:$L$890,COLUMN(HeadJournal!H$1),0),0)</f>
        <v>265</v>
      </c>
      <c r="P1812" s="30">
        <f>IFERROR(SUM(K1812:O1812)*VLOOKUP($A1812,HeadJournal!$A$1:$L$890,COLUMN(HeadJournal!H$1),0),0)</f>
        <v>2915</v>
      </c>
      <c r="Q1812" s="29">
        <v>3450</v>
      </c>
      <c r="R1812" s="31">
        <v>45117</v>
      </c>
      <c r="S1812" s="31" t="s">
        <v>3121</v>
      </c>
      <c r="T1812" s="95" t="str">
        <f t="shared" si="145"/>
        <v>2023 07</v>
      </c>
      <c r="U1812" s="32">
        <f t="shared" si="142"/>
        <v>535</v>
      </c>
      <c r="V1812" s="22">
        <f t="shared" si="143"/>
        <v>0.18353344768439109</v>
      </c>
      <c r="X1812" s="33"/>
      <c r="Y1812" s="33"/>
    </row>
    <row r="1813" spans="1:25" x14ac:dyDescent="0.2">
      <c r="A1813" s="93" t="s">
        <v>812</v>
      </c>
      <c r="B1813" s="94">
        <f>IFERROR(VLOOKUP($A1813,HeadJournal!$A$1:$NTR$890,COLUMN(HeadJournal!B$1),0),"")</f>
        <v>0</v>
      </c>
      <c r="C1813" s="94" t="str">
        <f>IFERROR(VLOOKUP($A1813,HeadJournal!$A$1:$NTR$890,COLUMN(HeadJournal!C$1),0),"")</f>
        <v>OZON_OA</v>
      </c>
      <c r="D1813" s="125" t="str">
        <f>IFERROR(VLOOKUP($A1813,HeadJournal!$A$1:$NTR$890,COLUMN(HeadJournal!D$1),0),"")</f>
        <v>Доставлен</v>
      </c>
      <c r="E1813" s="95">
        <f>IFERROR(VLOOKUP($A1813,HeadJournal!$A$1:$NTR$890,COLUMN(HeadJournal!G$1),0),"")</f>
        <v>45099</v>
      </c>
      <c r="F1813" s="95" t="str">
        <f t="shared" si="144"/>
        <v>2023 06</v>
      </c>
      <c r="G1813" s="96" t="s">
        <v>6</v>
      </c>
      <c r="H1813" s="160" t="str">
        <f>RIGHT(Journal!$J1813,9)</f>
        <v>864964824</v>
      </c>
      <c r="I1813" s="96" t="str">
        <f t="shared" si="146"/>
        <v>Trec Nutrition</v>
      </c>
      <c r="J1813" s="97" t="s">
        <v>813</v>
      </c>
      <c r="K1813" s="29">
        <v>2650</v>
      </c>
      <c r="L1813" s="29"/>
      <c r="M1813" s="30">
        <f>IFERROR(VLOOKUP($A1813,HeadJournal!$A$1:$J$890,COLUMN(HeadJournal!I$1),0)*($K1813+$L1813)/(SUMIF($A:$A,$A1813,$K:$K)+SUMIF($A:$A,$A1813,$L:$L)),0)</f>
        <v>0</v>
      </c>
      <c r="N1813" s="30">
        <f>IFERROR((VLOOKUP($A1813,HeadJournal!$A$1:$K$890,COLUMN(HeadJournal!K$1),0)-VLOOKUP($A1813,HeadJournal!$A$1:$K$890,COLUMN(HeadJournal!J$1),0))*($K1813+$L1813)/(SUMIF($A:$A,$A1813,$K:$K)+SUMIF($A:$A,$A1813,$L:$L)),0)</f>
        <v>0</v>
      </c>
      <c r="O1813" s="30">
        <f>IFERROR((VLOOKUP($A1813,HeadJournal!$A$1:$L$890,COLUMN(HeadJournal!L$1),0)*($K1813+$L1813)/(SUMIF($A:$A,$A1813,$K:$K)+SUMIF($A:$A,$A1813,$L:$L)))/VLOOKUP($A1813,HeadJournal!$A$1:$L$890,COLUMN(HeadJournal!H$1),0),0)</f>
        <v>265</v>
      </c>
      <c r="P1813" s="30">
        <f>IFERROR(SUM(K1813:O1813)*VLOOKUP($A1813,HeadJournal!$A$1:$L$890,COLUMN(HeadJournal!H$1),0),0)</f>
        <v>2915</v>
      </c>
      <c r="Q1813" s="29">
        <v>3600</v>
      </c>
      <c r="R1813" s="31">
        <v>45173</v>
      </c>
      <c r="S1813" s="31" t="s">
        <v>3121</v>
      </c>
      <c r="T1813" s="95" t="str">
        <f t="shared" si="145"/>
        <v>2023 09</v>
      </c>
      <c r="U1813" s="32">
        <f t="shared" si="142"/>
        <v>685</v>
      </c>
      <c r="V1813" s="22">
        <f t="shared" si="143"/>
        <v>0.23499142367066894</v>
      </c>
      <c r="X1813" s="33"/>
      <c r="Y1813" s="33"/>
    </row>
    <row r="1814" spans="1:25" x14ac:dyDescent="0.2">
      <c r="A1814" s="93" t="s">
        <v>814</v>
      </c>
      <c r="B1814" s="94">
        <f>IFERROR(VLOOKUP($A1814,HeadJournal!$A$1:$NTR$890,COLUMN(HeadJournal!B$1),0),"")</f>
        <v>0</v>
      </c>
      <c r="C1814" s="94" t="str">
        <f>IFERROR(VLOOKUP($A1814,HeadJournal!$A$1:$NTR$890,COLUMN(HeadJournal!C$1),0),"")</f>
        <v>OZON_OA</v>
      </c>
      <c r="D1814" s="125" t="str">
        <f>IFERROR(VLOOKUP($A1814,HeadJournal!$A$1:$NTR$890,COLUMN(HeadJournal!D$1),0),"")</f>
        <v>Доставлен</v>
      </c>
      <c r="E1814" s="95">
        <f>IFERROR(VLOOKUP($A1814,HeadJournal!$A$1:$NTR$890,COLUMN(HeadJournal!G$1),0),"")</f>
        <v>45102</v>
      </c>
      <c r="F1814" s="95" t="str">
        <f t="shared" si="144"/>
        <v>2023 06</v>
      </c>
      <c r="G1814" s="96" t="s">
        <v>6</v>
      </c>
      <c r="H1814" s="160" t="str">
        <f>RIGHT(Journal!$J1814,9)</f>
        <v>309534042</v>
      </c>
      <c r="I1814" s="96" t="str">
        <f t="shared" si="146"/>
        <v>R-Line</v>
      </c>
      <c r="J1814" s="97" t="s">
        <v>815</v>
      </c>
      <c r="K1814" s="29">
        <v>1612</v>
      </c>
      <c r="L1814" s="29"/>
      <c r="M1814" s="30">
        <f>IFERROR(VLOOKUP($A1814,HeadJournal!$A$1:$J$890,COLUMN(HeadJournal!I$1),0)*($K1814+$L1814)/(SUMIF($A:$A,$A1814,$K:$K)+SUMIF($A:$A,$A1814,$L:$L)),0)</f>
        <v>0</v>
      </c>
      <c r="N1814" s="30">
        <f>IFERROR((VLOOKUP($A1814,HeadJournal!$A$1:$K$890,COLUMN(HeadJournal!K$1),0)-VLOOKUP($A1814,HeadJournal!$A$1:$K$890,COLUMN(HeadJournal!J$1),0))*($K1814+$L1814)/(SUMIF($A:$A,$A1814,$K:$K)+SUMIF($A:$A,$A1814,$L:$L)),0)</f>
        <v>0</v>
      </c>
      <c r="O1814" s="30">
        <f>IFERROR((VLOOKUP($A1814,HeadJournal!$A$1:$L$890,COLUMN(HeadJournal!L$1),0)*($K1814+$L1814)/(SUMIF($A:$A,$A1814,$K:$K)+SUMIF($A:$A,$A1814,$L:$L)))/VLOOKUP($A1814,HeadJournal!$A$1:$L$890,COLUMN(HeadJournal!H$1),0),0)</f>
        <v>161.20000000000002</v>
      </c>
      <c r="P1814" s="30">
        <f>IFERROR(SUM(K1814:O1814)*VLOOKUP($A1814,HeadJournal!$A$1:$L$890,COLUMN(HeadJournal!H$1),0),0)</f>
        <v>1773.2</v>
      </c>
      <c r="Q1814" s="29">
        <v>2900</v>
      </c>
      <c r="R1814" s="31">
        <v>45113</v>
      </c>
      <c r="S1814" s="31" t="s">
        <v>3121</v>
      </c>
      <c r="T1814" s="95" t="str">
        <f t="shared" si="145"/>
        <v>2023 07</v>
      </c>
      <c r="U1814" s="32">
        <f t="shared" si="142"/>
        <v>1126.8</v>
      </c>
      <c r="V1814" s="22">
        <f t="shared" si="143"/>
        <v>0.63546131288066765</v>
      </c>
      <c r="X1814" s="33"/>
      <c r="Y1814" s="33"/>
    </row>
    <row r="1815" spans="1:25" x14ac:dyDescent="0.2">
      <c r="A1815" s="93" t="s">
        <v>816</v>
      </c>
      <c r="B1815" s="94">
        <f>IFERROR(VLOOKUP($A1815,HeadJournal!$A$1:$NTR$890,COLUMN(HeadJournal!B$1),0),"")</f>
        <v>0</v>
      </c>
      <c r="C1815" s="94" t="str">
        <f>IFERROR(VLOOKUP($A1815,HeadJournal!$A$1:$NTR$890,COLUMN(HeadJournal!C$1),0),"")</f>
        <v>CoralClub_OA</v>
      </c>
      <c r="D1815" s="125" t="str">
        <f>IFERROR(VLOOKUP($A1815,HeadJournal!$A$1:$NTR$890,COLUMN(HeadJournal!D$1),0),"")</f>
        <v>Доставлен</v>
      </c>
      <c r="E1815" s="95">
        <f>IFERROR(VLOOKUP($A1815,HeadJournal!$A$1:$NTR$890,COLUMN(HeadJournal!G$1),0),"")</f>
        <v>45116</v>
      </c>
      <c r="F1815" s="95" t="str">
        <f t="shared" si="144"/>
        <v>2023 07</v>
      </c>
      <c r="G1815" s="96" t="s">
        <v>5</v>
      </c>
      <c r="H1815" s="160" t="str">
        <f>RIGHT(Journal!$J1815,9)</f>
        <v>000001405</v>
      </c>
      <c r="I1815" s="96" t="str">
        <f t="shared" si="146"/>
        <v>CoralClub</v>
      </c>
      <c r="J1815" s="97" t="s">
        <v>249</v>
      </c>
      <c r="K1815" s="29">
        <v>962</v>
      </c>
      <c r="L1815" s="29"/>
      <c r="M1815" s="30">
        <f>IFERROR(VLOOKUP($A1815,HeadJournal!$A$1:$J$890,COLUMN(HeadJournal!I$1),0)*($K1815+$L1815)/(SUMIF($A:$A,$A1815,$K:$K)+SUMIF($A:$A,$A1815,$L:$L)),0)</f>
        <v>0</v>
      </c>
      <c r="N1815" s="30">
        <f>IFERROR((VLOOKUP($A1815,HeadJournal!$A$1:$K$890,COLUMN(HeadJournal!K$1),0)-VLOOKUP($A1815,HeadJournal!$A$1:$K$890,COLUMN(HeadJournal!J$1),0))*($K1815+$L1815)/(SUMIF($A:$A,$A1815,$K:$K)+SUMIF($A:$A,$A1815,$L:$L)),0)</f>
        <v>4.666666666666667</v>
      </c>
      <c r="O1815" s="30">
        <f>IFERROR((VLOOKUP($A1815,HeadJournal!$A$1:$L$890,COLUMN(HeadJournal!L$1),0)*($K1815+$L1815)/(SUMIF($A:$A,$A1815,$K:$K)+SUMIF($A:$A,$A1815,$L:$L)))/VLOOKUP($A1815,HeadJournal!$A$1:$L$890,COLUMN(HeadJournal!H$1),0),0)</f>
        <v>0</v>
      </c>
      <c r="P1815" s="30">
        <f>IFERROR(SUM(K1815:O1815)*VLOOKUP($A1815,HeadJournal!$A$1:$L$890,COLUMN(HeadJournal!H$1),0),0)</f>
        <v>966.66666666666663</v>
      </c>
      <c r="Q1815" s="29">
        <v>1200</v>
      </c>
      <c r="R1815" s="31">
        <v>45113</v>
      </c>
      <c r="S1815" s="31" t="s">
        <v>3121</v>
      </c>
      <c r="T1815" s="95" t="str">
        <f t="shared" si="145"/>
        <v>2023 07</v>
      </c>
      <c r="U1815" s="32">
        <f t="shared" si="142"/>
        <v>233.33333333333337</v>
      </c>
      <c r="V1815" s="22">
        <f t="shared" si="143"/>
        <v>0.24137931034482762</v>
      </c>
      <c r="X1815" s="33"/>
      <c r="Y1815" s="33"/>
    </row>
    <row r="1816" spans="1:25" x14ac:dyDescent="0.2">
      <c r="A1816" s="93" t="s">
        <v>816</v>
      </c>
      <c r="B1816" s="94">
        <f>IFERROR(VLOOKUP($A1816,HeadJournal!$A$1:$NTR$890,COLUMN(HeadJournal!B$1),0),"")</f>
        <v>0</v>
      </c>
      <c r="C1816" s="94" t="str">
        <f>IFERROR(VLOOKUP($A1816,HeadJournal!$A$1:$NTR$890,COLUMN(HeadJournal!C$1),0),"")</f>
        <v>CoralClub_OA</v>
      </c>
      <c r="D1816" s="125" t="str">
        <f>IFERROR(VLOOKUP($A1816,HeadJournal!$A$1:$NTR$890,COLUMN(HeadJournal!D$1),0),"")</f>
        <v>Доставлен</v>
      </c>
      <c r="E1816" s="95">
        <f>IFERROR(VLOOKUP($A1816,HeadJournal!$A$1:$NTR$890,COLUMN(HeadJournal!G$1),0),"")</f>
        <v>45116</v>
      </c>
      <c r="F1816" s="95" t="str">
        <f t="shared" si="144"/>
        <v>2023 07</v>
      </c>
      <c r="G1816" s="96" t="s">
        <v>5</v>
      </c>
      <c r="H1816" s="160" t="str">
        <f>RIGHT(Journal!$J1816,9)</f>
        <v>000001405</v>
      </c>
      <c r="I1816" s="96" t="str">
        <f t="shared" si="146"/>
        <v>CoralClub</v>
      </c>
      <c r="J1816" s="97" t="s">
        <v>249</v>
      </c>
      <c r="K1816" s="29">
        <v>962</v>
      </c>
      <c r="L1816" s="29"/>
      <c r="M1816" s="30">
        <f>IFERROR(VLOOKUP($A1816,HeadJournal!$A$1:$J$890,COLUMN(HeadJournal!I$1),0)*($K1816+$L1816)/(SUMIF($A:$A,$A1816,$K:$K)+SUMIF($A:$A,$A1816,$L:$L)),0)</f>
        <v>0</v>
      </c>
      <c r="N1816" s="30">
        <f>IFERROR((VLOOKUP($A1816,HeadJournal!$A$1:$K$890,COLUMN(HeadJournal!K$1),0)-VLOOKUP($A1816,HeadJournal!$A$1:$K$890,COLUMN(HeadJournal!J$1),0))*($K1816+$L1816)/(SUMIF($A:$A,$A1816,$K:$K)+SUMIF($A:$A,$A1816,$L:$L)),0)</f>
        <v>4.666666666666667</v>
      </c>
      <c r="O1816" s="30">
        <f>IFERROR((VLOOKUP($A1816,HeadJournal!$A$1:$L$890,COLUMN(HeadJournal!L$1),0)*($K1816+$L1816)/(SUMIF($A:$A,$A1816,$K:$K)+SUMIF($A:$A,$A1816,$L:$L)))/VLOOKUP($A1816,HeadJournal!$A$1:$L$890,COLUMN(HeadJournal!H$1),0),0)</f>
        <v>0</v>
      </c>
      <c r="P1816" s="30">
        <f>IFERROR(SUM(K1816:O1816)*VLOOKUP($A1816,HeadJournal!$A$1:$L$890,COLUMN(HeadJournal!H$1),0),0)</f>
        <v>966.66666666666663</v>
      </c>
      <c r="Q1816" s="29">
        <v>1400</v>
      </c>
      <c r="R1816" s="31">
        <v>45175</v>
      </c>
      <c r="S1816" s="31" t="s">
        <v>3121</v>
      </c>
      <c r="T1816" s="95" t="str">
        <f t="shared" si="145"/>
        <v>2023 09</v>
      </c>
      <c r="U1816" s="32">
        <f t="shared" si="142"/>
        <v>433.33333333333337</v>
      </c>
      <c r="V1816" s="22">
        <f t="shared" si="143"/>
        <v>0.44827586206896558</v>
      </c>
      <c r="X1816" s="33"/>
      <c r="Y1816" s="33"/>
    </row>
    <row r="1817" spans="1:25" x14ac:dyDescent="0.2">
      <c r="A1817" s="93" t="s">
        <v>816</v>
      </c>
      <c r="B1817" s="94">
        <f>IFERROR(VLOOKUP($A1817,HeadJournal!$A$1:$NTR$890,COLUMN(HeadJournal!B$1),0),"")</f>
        <v>0</v>
      </c>
      <c r="C1817" s="94" t="str">
        <f>IFERROR(VLOOKUP($A1817,HeadJournal!$A$1:$NTR$890,COLUMN(HeadJournal!C$1),0),"")</f>
        <v>CoralClub_OA</v>
      </c>
      <c r="D1817" s="125" t="str">
        <f>IFERROR(VLOOKUP($A1817,HeadJournal!$A$1:$NTR$890,COLUMN(HeadJournal!D$1),0),"")</f>
        <v>Доставлен</v>
      </c>
      <c r="E1817" s="95">
        <f>IFERROR(VLOOKUP($A1817,HeadJournal!$A$1:$NTR$890,COLUMN(HeadJournal!G$1),0),"")</f>
        <v>45116</v>
      </c>
      <c r="F1817" s="95" t="str">
        <f t="shared" si="144"/>
        <v>2023 07</v>
      </c>
      <c r="G1817" s="96" t="s">
        <v>5</v>
      </c>
      <c r="H1817" s="160" t="str">
        <f>RIGHT(Journal!$J1817,9)</f>
        <v>000001405</v>
      </c>
      <c r="I1817" s="96" t="str">
        <f t="shared" si="146"/>
        <v>CoralClub</v>
      </c>
      <c r="J1817" s="97" t="s">
        <v>249</v>
      </c>
      <c r="K1817" s="29">
        <v>962</v>
      </c>
      <c r="L1817" s="29"/>
      <c r="M1817" s="30">
        <f>IFERROR(VLOOKUP($A1817,HeadJournal!$A$1:$J$890,COLUMN(HeadJournal!I$1),0)*($K1817+$L1817)/(SUMIF($A:$A,$A1817,$K:$K)+SUMIF($A:$A,$A1817,$L:$L)),0)</f>
        <v>0</v>
      </c>
      <c r="N1817" s="30">
        <f>IFERROR((VLOOKUP($A1817,HeadJournal!$A$1:$K$890,COLUMN(HeadJournal!K$1),0)-VLOOKUP($A1817,HeadJournal!$A$1:$K$890,COLUMN(HeadJournal!J$1),0))*($K1817+$L1817)/(SUMIF($A:$A,$A1817,$K:$K)+SUMIF($A:$A,$A1817,$L:$L)),0)</f>
        <v>4.666666666666667</v>
      </c>
      <c r="O1817" s="30">
        <f>IFERROR((VLOOKUP($A1817,HeadJournal!$A$1:$L$890,COLUMN(HeadJournal!L$1),0)*($K1817+$L1817)/(SUMIF($A:$A,$A1817,$K:$K)+SUMIF($A:$A,$A1817,$L:$L)))/VLOOKUP($A1817,HeadJournal!$A$1:$L$890,COLUMN(HeadJournal!H$1),0),0)</f>
        <v>0</v>
      </c>
      <c r="P1817" s="30">
        <f>IFERROR(SUM(K1817:O1817)*VLOOKUP($A1817,HeadJournal!$A$1:$L$890,COLUMN(HeadJournal!H$1),0),0)</f>
        <v>966.66666666666663</v>
      </c>
      <c r="Q1817" s="29">
        <v>1300</v>
      </c>
      <c r="R1817" s="31">
        <v>45179</v>
      </c>
      <c r="S1817" s="31" t="s">
        <v>3121</v>
      </c>
      <c r="T1817" s="95" t="str">
        <f t="shared" si="145"/>
        <v>2023 09</v>
      </c>
      <c r="U1817" s="32">
        <f t="shared" si="142"/>
        <v>333.33333333333337</v>
      </c>
      <c r="V1817" s="22">
        <f t="shared" si="143"/>
        <v>0.34482758620689663</v>
      </c>
      <c r="X1817" s="33"/>
      <c r="Y1817" s="33"/>
    </row>
    <row r="1818" spans="1:25" x14ac:dyDescent="0.2">
      <c r="A1818" s="93" t="s">
        <v>817</v>
      </c>
      <c r="B1818" s="94">
        <f>IFERROR(VLOOKUP($A1818,HeadJournal!$A$1:$NTR$890,COLUMN(HeadJournal!B$1),0),"")</f>
        <v>0</v>
      </c>
      <c r="C1818" s="94" t="str">
        <f>IFERROR(VLOOKUP($A1818,HeadJournal!$A$1:$NTR$890,COLUMN(HeadJournal!C$1),0),"")</f>
        <v>CoralClub_AV</v>
      </c>
      <c r="D1818" s="125" t="str">
        <f>IFERROR(VLOOKUP($A1818,HeadJournal!$A$1:$NTR$890,COLUMN(HeadJournal!D$1),0),"")</f>
        <v>Доставлен</v>
      </c>
      <c r="E1818" s="95">
        <f>IFERROR(VLOOKUP($A1818,HeadJournal!$A$1:$NTR$890,COLUMN(HeadJournal!G$1),0),"")</f>
        <v>45109</v>
      </c>
      <c r="F1818" s="95" t="str">
        <f t="shared" si="144"/>
        <v>2023 07</v>
      </c>
      <c r="G1818" s="96" t="s">
        <v>5</v>
      </c>
      <c r="H1818" s="160" t="str">
        <f>RIGHT(Journal!$J1818,9)</f>
        <v xml:space="preserve"> 00120060</v>
      </c>
      <c r="I1818" s="96" t="str">
        <f t="shared" si="146"/>
        <v>CoralClub</v>
      </c>
      <c r="J1818" s="97" t="s">
        <v>818</v>
      </c>
      <c r="K1818" s="29">
        <v>6660</v>
      </c>
      <c r="L1818" s="29"/>
      <c r="M1818" s="30">
        <f>IFERROR(VLOOKUP($A1818,HeadJournal!$A$1:$J$890,COLUMN(HeadJournal!I$1),0)*($K1818+$L1818)/(SUMIF($A:$A,$A1818,$K:$K)+SUMIF($A:$A,$A1818,$L:$L)),0)</f>
        <v>0</v>
      </c>
      <c r="N1818" s="30">
        <f>IFERROR((VLOOKUP($A1818,HeadJournal!$A$1:$K$890,COLUMN(HeadJournal!K$1),0)-VLOOKUP($A1818,HeadJournal!$A$1:$K$890,COLUMN(HeadJournal!J$1),0))*($K1818+$L1818)/(SUMIF($A:$A,$A1818,$K:$K)+SUMIF($A:$A,$A1818,$L:$L)),0)</f>
        <v>40</v>
      </c>
      <c r="O1818" s="30">
        <f>IFERROR((VLOOKUP($A1818,HeadJournal!$A$1:$L$890,COLUMN(HeadJournal!L$1),0)*($K1818+$L1818)/(SUMIF($A:$A,$A1818,$K:$K)+SUMIF($A:$A,$A1818,$L:$L)))/VLOOKUP($A1818,HeadJournal!$A$1:$L$890,COLUMN(HeadJournal!H$1),0),0)</f>
        <v>0</v>
      </c>
      <c r="P1818" s="30">
        <f>IFERROR(SUM(K1818:O1818)*VLOOKUP($A1818,HeadJournal!$A$1:$L$890,COLUMN(HeadJournal!H$1),0),0)</f>
        <v>6700</v>
      </c>
      <c r="Q1818" s="29"/>
      <c r="R1818" s="31"/>
      <c r="S1818" s="31"/>
      <c r="T1818" s="95" t="str">
        <f t="shared" si="145"/>
        <v/>
      </c>
      <c r="U1818" s="32">
        <f t="shared" si="142"/>
        <v>-6700</v>
      </c>
      <c r="V1818" s="22" t="str">
        <f t="shared" si="143"/>
        <v/>
      </c>
      <c r="X1818" s="33"/>
      <c r="Y1818" s="33"/>
    </row>
    <row r="1819" spans="1:25" x14ac:dyDescent="0.2">
      <c r="A1819" s="93" t="s">
        <v>819</v>
      </c>
      <c r="B1819" s="94">
        <f>IFERROR(VLOOKUP($A1819,HeadJournal!$A$1:$NTR$890,COLUMN(HeadJournal!B$1),0),"")</f>
        <v>0</v>
      </c>
      <c r="C1819" s="94" t="str">
        <f>IFERROR(VLOOKUP($A1819,HeadJournal!$A$1:$NTR$890,COLUMN(HeadJournal!C$1),0),"")</f>
        <v>OZON_OA</v>
      </c>
      <c r="D1819" s="125" t="str">
        <f>IFERROR(VLOOKUP($A1819,HeadJournal!$A$1:$NTR$890,COLUMN(HeadJournal!D$1),0),"")</f>
        <v>Доставлен</v>
      </c>
      <c r="E1819" s="95">
        <f>IFERROR(VLOOKUP($A1819,HeadJournal!$A$1:$NTR$890,COLUMN(HeadJournal!G$1),0),"")</f>
        <v>45111</v>
      </c>
      <c r="F1819" s="95" t="str">
        <f t="shared" si="144"/>
        <v>2023 07</v>
      </c>
      <c r="G1819" s="96" t="s">
        <v>6</v>
      </c>
      <c r="H1819" s="160" t="str">
        <f>RIGHT(Journal!$J1819,9)</f>
        <v>892721541</v>
      </c>
      <c r="I1819" s="96" t="str">
        <f t="shared" si="146"/>
        <v>FatZorb</v>
      </c>
      <c r="J1819" s="97" t="s">
        <v>737</v>
      </c>
      <c r="K1819" s="29">
        <v>1032</v>
      </c>
      <c r="L1819" s="29"/>
      <c r="M1819" s="30">
        <f>IFERROR(VLOOKUP($A1819,HeadJournal!$A$1:$J$890,COLUMN(HeadJournal!I$1),0)*($K1819+$L1819)/(SUMIF($A:$A,$A1819,$K:$K)+SUMIF($A:$A,$A1819,$L:$L)),0)</f>
        <v>0</v>
      </c>
      <c r="N1819" s="30">
        <f>IFERROR((VLOOKUP($A1819,HeadJournal!$A$1:$K$890,COLUMN(HeadJournal!K$1),0)-VLOOKUP($A1819,HeadJournal!$A$1:$K$890,COLUMN(HeadJournal!J$1),0))*($K1819+$L1819)/(SUMIF($A:$A,$A1819,$K:$K)+SUMIF($A:$A,$A1819,$L:$L)),0)</f>
        <v>0</v>
      </c>
      <c r="O1819" s="30">
        <f>IFERROR((VLOOKUP($A1819,HeadJournal!$A$1:$L$890,COLUMN(HeadJournal!L$1),0)*($K1819+$L1819)/(SUMIF($A:$A,$A1819,$K:$K)+SUMIF($A:$A,$A1819,$L:$L)))/VLOOKUP($A1819,HeadJournal!$A$1:$L$890,COLUMN(HeadJournal!H$1),0),0)</f>
        <v>103.2</v>
      </c>
      <c r="P1819" s="30">
        <f>IFERROR(SUM(K1819:O1819)*VLOOKUP($A1819,HeadJournal!$A$1:$L$890,COLUMN(HeadJournal!H$1),0),0)</f>
        <v>1135.2</v>
      </c>
      <c r="Q1819" s="29">
        <v>2000</v>
      </c>
      <c r="R1819" s="31">
        <v>45123</v>
      </c>
      <c r="S1819" s="31" t="s">
        <v>3121</v>
      </c>
      <c r="T1819" s="95" t="str">
        <f t="shared" si="145"/>
        <v>2023 07</v>
      </c>
      <c r="U1819" s="32">
        <f t="shared" si="142"/>
        <v>864.8</v>
      </c>
      <c r="V1819" s="22">
        <f t="shared" si="143"/>
        <v>0.76180408738548266</v>
      </c>
      <c r="X1819" s="33"/>
      <c r="Y1819" s="33"/>
    </row>
    <row r="1820" spans="1:25" x14ac:dyDescent="0.2">
      <c r="A1820" s="93" t="s">
        <v>820</v>
      </c>
      <c r="B1820" s="94">
        <f>IFERROR(VLOOKUP($A1820,HeadJournal!$A$1:$NTR$890,COLUMN(HeadJournal!B$1),0),"")</f>
        <v>0</v>
      </c>
      <c r="C1820" s="94" t="str">
        <f>IFERROR(VLOOKUP($A1820,HeadJournal!$A$1:$NTR$890,COLUMN(HeadJournal!C$1),0),"")</f>
        <v>OZON_OA</v>
      </c>
      <c r="D1820" s="125" t="str">
        <f>IFERROR(VLOOKUP($A1820,HeadJournal!$A$1:$NTR$890,COLUMN(HeadJournal!D$1),0),"")</f>
        <v>Доставлен</v>
      </c>
      <c r="E1820" s="95">
        <f>IFERROR(VLOOKUP($A1820,HeadJournal!$A$1:$NTR$890,COLUMN(HeadJournal!G$1),0),"")</f>
        <v>45116</v>
      </c>
      <c r="F1820" s="95" t="str">
        <f t="shared" si="144"/>
        <v>2023 07</v>
      </c>
      <c r="G1820" s="96" t="s">
        <v>6</v>
      </c>
      <c r="H1820" s="160" t="str">
        <f>RIGHT(Journal!$J1820,9)</f>
        <v>892721541</v>
      </c>
      <c r="I1820" s="96" t="str">
        <f t="shared" si="146"/>
        <v>FatZorb</v>
      </c>
      <c r="J1820" s="97" t="s">
        <v>737</v>
      </c>
      <c r="K1820" s="29">
        <v>1021</v>
      </c>
      <c r="L1820" s="29"/>
      <c r="M1820" s="30">
        <f>IFERROR(VLOOKUP($A1820,HeadJournal!$A$1:$J$890,COLUMN(HeadJournal!I$1),0)*($K1820+$L1820)/(SUMIF($A:$A,$A1820,$K:$K)+SUMIF($A:$A,$A1820,$L:$L)),0)</f>
        <v>0</v>
      </c>
      <c r="N1820" s="30">
        <f>IFERROR((VLOOKUP($A1820,HeadJournal!$A$1:$K$890,COLUMN(HeadJournal!K$1),0)-VLOOKUP($A1820,HeadJournal!$A$1:$K$890,COLUMN(HeadJournal!J$1),0))*($K1820+$L1820)/(SUMIF($A:$A,$A1820,$K:$K)+SUMIF($A:$A,$A1820,$L:$L)),0)</f>
        <v>0</v>
      </c>
      <c r="O1820" s="30">
        <f>IFERROR((VLOOKUP($A1820,HeadJournal!$A$1:$L$890,COLUMN(HeadJournal!L$1),0)*($K1820+$L1820)/(SUMIF($A:$A,$A1820,$K:$K)+SUMIF($A:$A,$A1820,$L:$L)))/VLOOKUP($A1820,HeadJournal!$A$1:$L$890,COLUMN(HeadJournal!H$1),0),0)</f>
        <v>102.10000000000002</v>
      </c>
      <c r="P1820" s="30">
        <f>IFERROR(SUM(K1820:O1820)*VLOOKUP($A1820,HeadJournal!$A$1:$L$890,COLUMN(HeadJournal!H$1),0),0)</f>
        <v>1123.0999999999999</v>
      </c>
      <c r="Q1820" s="29">
        <v>2000</v>
      </c>
      <c r="R1820" s="31">
        <v>45130</v>
      </c>
      <c r="S1820" s="31" t="s">
        <v>3121</v>
      </c>
      <c r="T1820" s="95" t="str">
        <f t="shared" si="145"/>
        <v>2023 07</v>
      </c>
      <c r="U1820" s="32">
        <f t="shared" si="142"/>
        <v>876.90000000000009</v>
      </c>
      <c r="V1820" s="22">
        <f t="shared" si="143"/>
        <v>0.78078532632891118</v>
      </c>
      <c r="X1820" s="33"/>
      <c r="Y1820" s="33"/>
    </row>
    <row r="1821" spans="1:25" x14ac:dyDescent="0.2">
      <c r="A1821" s="93" t="s">
        <v>820</v>
      </c>
      <c r="B1821" s="94">
        <f>IFERROR(VLOOKUP($A1821,HeadJournal!$A$1:$NTR$890,COLUMN(HeadJournal!B$1),0),"")</f>
        <v>0</v>
      </c>
      <c r="C1821" s="94" t="str">
        <f>IFERROR(VLOOKUP($A1821,HeadJournal!$A$1:$NTR$890,COLUMN(HeadJournal!C$1),0),"")</f>
        <v>OZON_OA</v>
      </c>
      <c r="D1821" s="125" t="str">
        <f>IFERROR(VLOOKUP($A1821,HeadJournal!$A$1:$NTR$890,COLUMN(HeadJournal!D$1),0),"")</f>
        <v>Доставлен</v>
      </c>
      <c r="E1821" s="95">
        <f>IFERROR(VLOOKUP($A1821,HeadJournal!$A$1:$NTR$890,COLUMN(HeadJournal!G$1),0),"")</f>
        <v>45116</v>
      </c>
      <c r="F1821" s="95" t="str">
        <f t="shared" si="144"/>
        <v>2023 07</v>
      </c>
      <c r="G1821" s="96" t="s">
        <v>6</v>
      </c>
      <c r="H1821" s="160" t="str">
        <f>RIGHT(Journal!$J1821,9)</f>
        <v>892721541</v>
      </c>
      <c r="I1821" s="96" t="str">
        <f t="shared" si="146"/>
        <v>FatZorb</v>
      </c>
      <c r="J1821" s="97" t="s">
        <v>737</v>
      </c>
      <c r="K1821" s="29">
        <v>1021</v>
      </c>
      <c r="L1821" s="29"/>
      <c r="M1821" s="30">
        <f>IFERROR(VLOOKUP($A1821,HeadJournal!$A$1:$J$890,COLUMN(HeadJournal!I$1),0)*($K1821+$L1821)/(SUMIF($A:$A,$A1821,$K:$K)+SUMIF($A:$A,$A1821,$L:$L)),0)</f>
        <v>0</v>
      </c>
      <c r="N1821" s="30">
        <f>IFERROR((VLOOKUP($A1821,HeadJournal!$A$1:$K$890,COLUMN(HeadJournal!K$1),0)-VLOOKUP($A1821,HeadJournal!$A$1:$K$890,COLUMN(HeadJournal!J$1),0))*($K1821+$L1821)/(SUMIF($A:$A,$A1821,$K:$K)+SUMIF($A:$A,$A1821,$L:$L)),0)</f>
        <v>0</v>
      </c>
      <c r="O1821" s="30">
        <f>IFERROR((VLOOKUP($A1821,HeadJournal!$A$1:$L$890,COLUMN(HeadJournal!L$1),0)*($K1821+$L1821)/(SUMIF($A:$A,$A1821,$K:$K)+SUMIF($A:$A,$A1821,$L:$L)))/VLOOKUP($A1821,HeadJournal!$A$1:$L$890,COLUMN(HeadJournal!H$1),0),0)</f>
        <v>102.10000000000002</v>
      </c>
      <c r="P1821" s="30">
        <f>IFERROR(SUM(K1821:O1821)*VLOOKUP($A1821,HeadJournal!$A$1:$L$890,COLUMN(HeadJournal!H$1),0),0)</f>
        <v>1123.0999999999999</v>
      </c>
      <c r="Q1821" s="29">
        <v>2000</v>
      </c>
      <c r="R1821" s="31">
        <v>45129</v>
      </c>
      <c r="S1821" s="31" t="s">
        <v>3121</v>
      </c>
      <c r="T1821" s="95" t="str">
        <f t="shared" si="145"/>
        <v>2023 07</v>
      </c>
      <c r="U1821" s="32">
        <f t="shared" si="142"/>
        <v>876.90000000000009</v>
      </c>
      <c r="V1821" s="22">
        <f t="shared" si="143"/>
        <v>0.78078532632891118</v>
      </c>
      <c r="X1821" s="33"/>
      <c r="Y1821" s="33"/>
    </row>
    <row r="1822" spans="1:25" x14ac:dyDescent="0.2">
      <c r="A1822" s="93" t="s">
        <v>820</v>
      </c>
      <c r="B1822" s="94">
        <f>IFERROR(VLOOKUP($A1822,HeadJournal!$A$1:$NTR$890,COLUMN(HeadJournal!B$1),0),"")</f>
        <v>0</v>
      </c>
      <c r="C1822" s="94" t="str">
        <f>IFERROR(VLOOKUP($A1822,HeadJournal!$A$1:$NTR$890,COLUMN(HeadJournal!C$1),0),"")</f>
        <v>OZON_OA</v>
      </c>
      <c r="D1822" s="125" t="str">
        <f>IFERROR(VLOOKUP($A1822,HeadJournal!$A$1:$NTR$890,COLUMN(HeadJournal!D$1),0),"")</f>
        <v>Доставлен</v>
      </c>
      <c r="E1822" s="95">
        <f>IFERROR(VLOOKUP($A1822,HeadJournal!$A$1:$NTR$890,COLUMN(HeadJournal!G$1),0),"")</f>
        <v>45116</v>
      </c>
      <c r="F1822" s="95" t="str">
        <f t="shared" si="144"/>
        <v>2023 07</v>
      </c>
      <c r="G1822" s="96" t="s">
        <v>6</v>
      </c>
      <c r="H1822" s="160" t="str">
        <f>RIGHT(Journal!$J1822,9)</f>
        <v>892721541</v>
      </c>
      <c r="I1822" s="96" t="str">
        <f t="shared" si="146"/>
        <v>FatZorb</v>
      </c>
      <c r="J1822" s="97" t="s">
        <v>737</v>
      </c>
      <c r="K1822" s="29">
        <v>1021</v>
      </c>
      <c r="L1822" s="29"/>
      <c r="M1822" s="30">
        <f>IFERROR(VLOOKUP($A1822,HeadJournal!$A$1:$J$890,COLUMN(HeadJournal!I$1),0)*($K1822+$L1822)/(SUMIF($A:$A,$A1822,$K:$K)+SUMIF($A:$A,$A1822,$L:$L)),0)</f>
        <v>0</v>
      </c>
      <c r="N1822" s="30">
        <f>IFERROR((VLOOKUP($A1822,HeadJournal!$A$1:$K$890,COLUMN(HeadJournal!K$1),0)-VLOOKUP($A1822,HeadJournal!$A$1:$K$890,COLUMN(HeadJournal!J$1),0))*($K1822+$L1822)/(SUMIF($A:$A,$A1822,$K:$K)+SUMIF($A:$A,$A1822,$L:$L)),0)</f>
        <v>0</v>
      </c>
      <c r="O1822" s="30">
        <f>IFERROR((VLOOKUP($A1822,HeadJournal!$A$1:$L$890,COLUMN(HeadJournal!L$1),0)*($K1822+$L1822)/(SUMIF($A:$A,$A1822,$K:$K)+SUMIF($A:$A,$A1822,$L:$L)))/VLOOKUP($A1822,HeadJournal!$A$1:$L$890,COLUMN(HeadJournal!H$1),0),0)</f>
        <v>102.10000000000002</v>
      </c>
      <c r="P1822" s="30">
        <f>IFERROR(SUM(K1822:O1822)*VLOOKUP($A1822,HeadJournal!$A$1:$L$890,COLUMN(HeadJournal!H$1),0),0)</f>
        <v>1123.0999999999999</v>
      </c>
      <c r="Q1822" s="29">
        <v>2200</v>
      </c>
      <c r="R1822" s="31">
        <v>45132</v>
      </c>
      <c r="S1822" s="31" t="s">
        <v>3121</v>
      </c>
      <c r="T1822" s="95" t="str">
        <f t="shared" si="145"/>
        <v>2023 07</v>
      </c>
      <c r="U1822" s="32">
        <f t="shared" si="142"/>
        <v>1076.9000000000001</v>
      </c>
      <c r="V1822" s="22">
        <f t="shared" si="143"/>
        <v>0.95886385896180226</v>
      </c>
      <c r="X1822" s="33"/>
      <c r="Y1822" s="33"/>
    </row>
    <row r="1823" spans="1:25" x14ac:dyDescent="0.2">
      <c r="A1823" s="93" t="s">
        <v>820</v>
      </c>
      <c r="B1823" s="94">
        <f>IFERROR(VLOOKUP($A1823,HeadJournal!$A$1:$NTR$890,COLUMN(HeadJournal!B$1),0),"")</f>
        <v>0</v>
      </c>
      <c r="C1823" s="94" t="str">
        <f>IFERROR(VLOOKUP($A1823,HeadJournal!$A$1:$NTR$890,COLUMN(HeadJournal!C$1),0),"")</f>
        <v>OZON_OA</v>
      </c>
      <c r="D1823" s="125" t="str">
        <f>IFERROR(VLOOKUP($A1823,HeadJournal!$A$1:$NTR$890,COLUMN(HeadJournal!D$1),0),"")</f>
        <v>Доставлен</v>
      </c>
      <c r="E1823" s="95">
        <f>IFERROR(VLOOKUP($A1823,HeadJournal!$A$1:$NTR$890,COLUMN(HeadJournal!G$1),0),"")</f>
        <v>45116</v>
      </c>
      <c r="F1823" s="95" t="str">
        <f t="shared" si="144"/>
        <v>2023 07</v>
      </c>
      <c r="G1823" s="96" t="s">
        <v>5</v>
      </c>
      <c r="H1823" s="160" t="str">
        <f>RIGHT(Journal!$J1823,9)</f>
        <v>857698302</v>
      </c>
      <c r="I1823" s="96" t="str">
        <f t="shared" si="146"/>
        <v>Patanjali</v>
      </c>
      <c r="J1823" s="97" t="s">
        <v>821</v>
      </c>
      <c r="K1823" s="29">
        <v>405</v>
      </c>
      <c r="L1823" s="29"/>
      <c r="M1823" s="30">
        <f>IFERROR(VLOOKUP($A1823,HeadJournal!$A$1:$J$890,COLUMN(HeadJournal!I$1),0)*($K1823+$L1823)/(SUMIF($A:$A,$A1823,$K:$K)+SUMIF($A:$A,$A1823,$L:$L)),0)</f>
        <v>0</v>
      </c>
      <c r="N1823" s="30">
        <f>IFERROR((VLOOKUP($A1823,HeadJournal!$A$1:$K$890,COLUMN(HeadJournal!K$1),0)-VLOOKUP($A1823,HeadJournal!$A$1:$K$890,COLUMN(HeadJournal!J$1),0))*($K1823+$L1823)/(SUMIF($A:$A,$A1823,$K:$K)+SUMIF($A:$A,$A1823,$L:$L)),0)</f>
        <v>0</v>
      </c>
      <c r="O1823" s="30">
        <f>IFERROR((VLOOKUP($A1823,HeadJournal!$A$1:$L$890,COLUMN(HeadJournal!L$1),0)*($K1823+$L1823)/(SUMIF($A:$A,$A1823,$K:$K)+SUMIF($A:$A,$A1823,$L:$L)))/VLOOKUP($A1823,HeadJournal!$A$1:$L$890,COLUMN(HeadJournal!H$1),0),0)</f>
        <v>40.500000000000007</v>
      </c>
      <c r="P1823" s="30">
        <f>IFERROR(SUM(K1823:O1823)*VLOOKUP($A1823,HeadJournal!$A$1:$L$890,COLUMN(HeadJournal!H$1),0),0)</f>
        <v>445.5</v>
      </c>
      <c r="Q1823" s="29">
        <v>900</v>
      </c>
      <c r="R1823" s="31">
        <v>45131</v>
      </c>
      <c r="S1823" s="31" t="s">
        <v>3121</v>
      </c>
      <c r="T1823" s="95" t="str">
        <f t="shared" si="145"/>
        <v>2023 07</v>
      </c>
      <c r="U1823" s="32">
        <f t="shared" si="142"/>
        <v>454.5</v>
      </c>
      <c r="V1823" s="22">
        <f t="shared" si="143"/>
        <v>1.0202020202020201</v>
      </c>
      <c r="X1823" s="33"/>
      <c r="Y1823" s="33"/>
    </row>
    <row r="1824" spans="1:25" x14ac:dyDescent="0.2">
      <c r="A1824" s="93" t="s">
        <v>820</v>
      </c>
      <c r="B1824" s="94">
        <f>IFERROR(VLOOKUP($A1824,HeadJournal!$A$1:$NTR$890,COLUMN(HeadJournal!B$1),0),"")</f>
        <v>0</v>
      </c>
      <c r="C1824" s="94" t="str">
        <f>IFERROR(VLOOKUP($A1824,HeadJournal!$A$1:$NTR$890,COLUMN(HeadJournal!C$1),0),"")</f>
        <v>OZON_OA</v>
      </c>
      <c r="D1824" s="125" t="str">
        <f>IFERROR(VLOOKUP($A1824,HeadJournal!$A$1:$NTR$890,COLUMN(HeadJournal!D$1),0),"")</f>
        <v>Доставлен</v>
      </c>
      <c r="E1824" s="95">
        <f>IFERROR(VLOOKUP($A1824,HeadJournal!$A$1:$NTR$890,COLUMN(HeadJournal!G$1),0),"")</f>
        <v>45116</v>
      </c>
      <c r="F1824" s="95" t="str">
        <f t="shared" si="144"/>
        <v>2023 07</v>
      </c>
      <c r="G1824" s="96" t="s">
        <v>5</v>
      </c>
      <c r="H1824" s="160" t="str">
        <f>RIGHT(Journal!$J1824,9)</f>
        <v>857698302</v>
      </c>
      <c r="I1824" s="96" t="str">
        <f t="shared" si="146"/>
        <v>Patanjali</v>
      </c>
      <c r="J1824" s="97" t="s">
        <v>821</v>
      </c>
      <c r="K1824" s="29">
        <v>405</v>
      </c>
      <c r="L1824" s="29"/>
      <c r="M1824" s="30">
        <f>IFERROR(VLOOKUP($A1824,HeadJournal!$A$1:$J$890,COLUMN(HeadJournal!I$1),0)*($K1824+$L1824)/(SUMIF($A:$A,$A1824,$K:$K)+SUMIF($A:$A,$A1824,$L:$L)),0)</f>
        <v>0</v>
      </c>
      <c r="N1824" s="30">
        <f>IFERROR((VLOOKUP($A1824,HeadJournal!$A$1:$K$890,COLUMN(HeadJournal!K$1),0)-VLOOKUP($A1824,HeadJournal!$A$1:$K$890,COLUMN(HeadJournal!J$1),0))*($K1824+$L1824)/(SUMIF($A:$A,$A1824,$K:$K)+SUMIF($A:$A,$A1824,$L:$L)),0)</f>
        <v>0</v>
      </c>
      <c r="O1824" s="30">
        <f>IFERROR((VLOOKUP($A1824,HeadJournal!$A$1:$L$890,COLUMN(HeadJournal!L$1),0)*($K1824+$L1824)/(SUMIF($A:$A,$A1824,$K:$K)+SUMIF($A:$A,$A1824,$L:$L)))/VLOOKUP($A1824,HeadJournal!$A$1:$L$890,COLUMN(HeadJournal!H$1),0),0)</f>
        <v>40.500000000000007</v>
      </c>
      <c r="P1824" s="30">
        <f>IFERROR(SUM(K1824:O1824)*VLOOKUP($A1824,HeadJournal!$A$1:$L$890,COLUMN(HeadJournal!H$1),0),0)</f>
        <v>445.5</v>
      </c>
      <c r="Q1824" s="29">
        <v>900</v>
      </c>
      <c r="R1824" s="31">
        <v>45131</v>
      </c>
      <c r="S1824" s="31" t="s">
        <v>3121</v>
      </c>
      <c r="T1824" s="95" t="str">
        <f t="shared" si="145"/>
        <v>2023 07</v>
      </c>
      <c r="U1824" s="32">
        <f t="shared" si="142"/>
        <v>454.5</v>
      </c>
      <c r="V1824" s="22">
        <f t="shared" si="143"/>
        <v>1.0202020202020201</v>
      </c>
      <c r="X1824" s="33"/>
      <c r="Y1824" s="33"/>
    </row>
    <row r="1825" spans="1:25" x14ac:dyDescent="0.2">
      <c r="A1825" s="93" t="s">
        <v>820</v>
      </c>
      <c r="B1825" s="94">
        <f>IFERROR(VLOOKUP($A1825,HeadJournal!$A$1:$NTR$890,COLUMN(HeadJournal!B$1),0),"")</f>
        <v>0</v>
      </c>
      <c r="C1825" s="94" t="str">
        <f>IFERROR(VLOOKUP($A1825,HeadJournal!$A$1:$NTR$890,COLUMN(HeadJournal!C$1),0),"")</f>
        <v>OZON_OA</v>
      </c>
      <c r="D1825" s="125" t="str">
        <f>IFERROR(VLOOKUP($A1825,HeadJournal!$A$1:$NTR$890,COLUMN(HeadJournal!D$1),0),"")</f>
        <v>Доставлен</v>
      </c>
      <c r="E1825" s="95">
        <f>IFERROR(VLOOKUP($A1825,HeadJournal!$A$1:$NTR$890,COLUMN(HeadJournal!G$1),0),"")</f>
        <v>45116</v>
      </c>
      <c r="F1825" s="95" t="str">
        <f t="shared" si="144"/>
        <v>2023 07</v>
      </c>
      <c r="G1825" s="96" t="s">
        <v>6</v>
      </c>
      <c r="H1825" s="160" t="str">
        <f>RIGHT(Journal!$J1825,9)</f>
        <v>361772752</v>
      </c>
      <c r="I1825" s="96" t="str">
        <f t="shared" si="146"/>
        <v>Scitec Nutrition</v>
      </c>
      <c r="J1825" s="97" t="s">
        <v>583</v>
      </c>
      <c r="K1825" s="29">
        <v>2456</v>
      </c>
      <c r="L1825" s="29"/>
      <c r="M1825" s="30">
        <f>IFERROR(VLOOKUP($A1825,HeadJournal!$A$1:$J$890,COLUMN(HeadJournal!I$1),0)*($K1825+$L1825)/(SUMIF($A:$A,$A1825,$K:$K)+SUMIF($A:$A,$A1825,$L:$L)),0)</f>
        <v>0</v>
      </c>
      <c r="N1825" s="30">
        <f>IFERROR((VLOOKUP($A1825,HeadJournal!$A$1:$K$890,COLUMN(HeadJournal!K$1),0)-VLOOKUP($A1825,HeadJournal!$A$1:$K$890,COLUMN(HeadJournal!J$1),0))*($K1825+$L1825)/(SUMIF($A:$A,$A1825,$K:$K)+SUMIF($A:$A,$A1825,$L:$L)),0)</f>
        <v>0</v>
      </c>
      <c r="O1825" s="30">
        <f>IFERROR((VLOOKUP($A1825,HeadJournal!$A$1:$L$890,COLUMN(HeadJournal!L$1),0)*($K1825+$L1825)/(SUMIF($A:$A,$A1825,$K:$K)+SUMIF($A:$A,$A1825,$L:$L)))/VLOOKUP($A1825,HeadJournal!$A$1:$L$890,COLUMN(HeadJournal!H$1),0),0)</f>
        <v>245.60000000000002</v>
      </c>
      <c r="P1825" s="30">
        <f>IFERROR(SUM(K1825:O1825)*VLOOKUP($A1825,HeadJournal!$A$1:$L$890,COLUMN(HeadJournal!H$1),0),0)</f>
        <v>2701.6</v>
      </c>
      <c r="Q1825" s="29">
        <v>3600</v>
      </c>
      <c r="R1825" s="31">
        <v>45173</v>
      </c>
      <c r="S1825" s="31" t="s">
        <v>3121</v>
      </c>
      <c r="T1825" s="95" t="str">
        <f t="shared" si="145"/>
        <v>2023 09</v>
      </c>
      <c r="U1825" s="32">
        <f t="shared" si="142"/>
        <v>898.40000000000009</v>
      </c>
      <c r="V1825" s="22">
        <f t="shared" si="143"/>
        <v>0.33254367782055083</v>
      </c>
      <c r="X1825" s="33"/>
      <c r="Y1825" s="33"/>
    </row>
    <row r="1826" spans="1:25" x14ac:dyDescent="0.2">
      <c r="A1826" s="93" t="s">
        <v>822</v>
      </c>
      <c r="B1826" s="94" t="str">
        <f>IFERROR(VLOOKUP($A1826,HeadJournal!$A$1:$NTR$890,COLUMN(HeadJournal!B$1),0),"")</f>
        <v>710000853782</v>
      </c>
      <c r="C1826" s="94" t="str">
        <f>IFERROR(VLOOKUP($A1826,HeadJournal!$A$1:$NTR$890,COLUMN(HeadJournal!C$1),0),"")</f>
        <v>iHerb_AV CYG0792</v>
      </c>
      <c r="D1826" s="125" t="str">
        <f>IFERROR(VLOOKUP($A1826,HeadJournal!$A$1:$NTR$890,COLUMN(HeadJournal!D$1),0),"")</f>
        <v>Доставлен</v>
      </c>
      <c r="E1826" s="95">
        <f>IFERROR(VLOOKUP($A1826,HeadJournal!$A$1:$NTR$890,COLUMN(HeadJournal!G$1),0),"")</f>
        <v>45101</v>
      </c>
      <c r="F1826" s="95" t="str">
        <f t="shared" si="144"/>
        <v>2023 06</v>
      </c>
      <c r="G1826" s="96" t="s">
        <v>5</v>
      </c>
      <c r="H1826" s="160" t="str">
        <f>RIGHT(Journal!$J1826,9)</f>
        <v>DRB-00149</v>
      </c>
      <c r="I1826" s="96" t="str">
        <f t="shared" si="146"/>
        <v>Doctor's Best</v>
      </c>
      <c r="J1826" s="97" t="s">
        <v>823</v>
      </c>
      <c r="K1826" s="29">
        <v>15.48</v>
      </c>
      <c r="L1826" s="29">
        <v>-3.1</v>
      </c>
      <c r="M1826" s="30">
        <f>IFERROR(VLOOKUP($A1826,HeadJournal!$A$1:$J$890,COLUMN(HeadJournal!I$1),0)*($K1826+$L1826)/(SUMIF($A:$A,$A1826,$K:$K)+SUMIF($A:$A,$A1826,$L:$L)),0)</f>
        <v>0.73891654622343594</v>
      </c>
      <c r="N1826" s="30">
        <f>IFERROR((VLOOKUP($A1826,HeadJournal!$A$1:$K$890,COLUMN(HeadJournal!K$1),0)-VLOOKUP($A1826,HeadJournal!$A$1:$K$890,COLUMN(HeadJournal!J$1),0))*($K1826+$L1826)/(SUMIF($A:$A,$A1826,$K:$K)+SUMIF($A:$A,$A1826,$L:$L)),0)</f>
        <v>3.7670441919426345E-15</v>
      </c>
      <c r="O1826" s="30">
        <f>IFERROR((VLOOKUP($A1826,HeadJournal!$A$1:$L$890,COLUMN(HeadJournal!L$1),0)*($K1826+$L1826)/(SUMIF($A:$A,$A1826,$K:$K)+SUMIF($A:$A,$A1826,$L:$L)))/VLOOKUP($A1826,HeadJournal!$A$1:$L$890,COLUMN(HeadJournal!H$1),0),0)</f>
        <v>0.79044366441940506</v>
      </c>
      <c r="P1826" s="30">
        <f>IFERROR(SUM(K1826:O1826)*VLOOKUP($A1826,HeadJournal!$A$1:$L$890,COLUMN(HeadJournal!H$1),0),0)</f>
        <v>1294.4101482790004</v>
      </c>
      <c r="Q1826" s="29">
        <v>1900</v>
      </c>
      <c r="R1826" s="31">
        <v>45139</v>
      </c>
      <c r="S1826" s="31" t="s">
        <v>3121</v>
      </c>
      <c r="T1826" s="95" t="str">
        <f t="shared" si="145"/>
        <v>2023 08</v>
      </c>
      <c r="U1826" s="32">
        <f t="shared" si="142"/>
        <v>605.5898517209996</v>
      </c>
      <c r="V1826" s="22">
        <f t="shared" si="143"/>
        <v>0.46785004932645913</v>
      </c>
      <c r="X1826" s="33"/>
      <c r="Y1826" s="33"/>
    </row>
    <row r="1827" spans="1:25" x14ac:dyDescent="0.2">
      <c r="A1827" s="93" t="s">
        <v>822</v>
      </c>
      <c r="B1827" s="94" t="str">
        <f>IFERROR(VLOOKUP($A1827,HeadJournal!$A$1:$NTR$890,COLUMN(HeadJournal!B$1),0),"")</f>
        <v>710000853782</v>
      </c>
      <c r="C1827" s="94" t="str">
        <f>IFERROR(VLOOKUP($A1827,HeadJournal!$A$1:$NTR$890,COLUMN(HeadJournal!C$1),0),"")</f>
        <v>iHerb_AV CYG0792</v>
      </c>
      <c r="D1827" s="125" t="str">
        <f>IFERROR(VLOOKUP($A1827,HeadJournal!$A$1:$NTR$890,COLUMN(HeadJournal!D$1),0),"")</f>
        <v>Доставлен</v>
      </c>
      <c r="E1827" s="95">
        <f>IFERROR(VLOOKUP($A1827,HeadJournal!$A$1:$NTR$890,COLUMN(HeadJournal!G$1),0),"")</f>
        <v>45101</v>
      </c>
      <c r="F1827" s="95" t="str">
        <f t="shared" si="144"/>
        <v>2023 06</v>
      </c>
      <c r="G1827" s="96" t="s">
        <v>5</v>
      </c>
      <c r="H1827" s="160" t="str">
        <f>RIGHT(Journal!$J1827,9)</f>
        <v>ULM-01273</v>
      </c>
      <c r="I1827" s="96" t="str">
        <f t="shared" si="146"/>
        <v>Ultamins</v>
      </c>
      <c r="J1827" s="97" t="s">
        <v>824</v>
      </c>
      <c r="K1827" s="29">
        <v>30</v>
      </c>
      <c r="L1827" s="29">
        <v>-6</v>
      </c>
      <c r="M1827" s="30">
        <f>IFERROR(VLOOKUP($A1827,HeadJournal!$A$1:$J$890,COLUMN(HeadJournal!I$1),0)*($K1827+$L1827)/(SUMIF($A:$A,$A1827,$K:$K)+SUMIF($A:$A,$A1827,$L:$L)),0)</f>
        <v>1.4324714951019759</v>
      </c>
      <c r="N1827" s="30">
        <f>IFERROR((VLOOKUP($A1827,HeadJournal!$A$1:$K$890,COLUMN(HeadJournal!K$1),0)-VLOOKUP($A1827,HeadJournal!$A$1:$K$890,COLUMN(HeadJournal!J$1),0))*($K1827+$L1827)/(SUMIF($A:$A,$A1827,$K:$K)+SUMIF($A:$A,$A1827,$L:$L)),0)</f>
        <v>7.3028320360761877E-15</v>
      </c>
      <c r="O1827" s="30">
        <f>IFERROR((VLOOKUP($A1827,HeadJournal!$A$1:$L$890,COLUMN(HeadJournal!L$1),0)*($K1827+$L1827)/(SUMIF($A:$A,$A1827,$K:$K)+SUMIF($A:$A,$A1827,$L:$L)))/VLOOKUP($A1827,HeadJournal!$A$1:$L$890,COLUMN(HeadJournal!H$1),0),0)</f>
        <v>1.5323625158372958</v>
      </c>
      <c r="P1827" s="30">
        <f>IFERROR(SUM(K1827:O1827)*VLOOKUP($A1827,HeadJournal!$A$1:$L$890,COLUMN(HeadJournal!H$1),0),0)</f>
        <v>2509.3573149189019</v>
      </c>
      <c r="Q1827" s="29">
        <v>3300</v>
      </c>
      <c r="R1827" s="31">
        <v>45137</v>
      </c>
      <c r="S1827" s="31" t="s">
        <v>3121</v>
      </c>
      <c r="T1827" s="95" t="str">
        <f t="shared" si="145"/>
        <v>2023 07</v>
      </c>
      <c r="U1827" s="32">
        <f t="shared" si="142"/>
        <v>790.64268508109808</v>
      </c>
      <c r="V1827" s="22">
        <f t="shared" si="143"/>
        <v>0.31507776129787651</v>
      </c>
      <c r="X1827" s="33"/>
      <c r="Y1827" s="33"/>
    </row>
    <row r="1828" spans="1:25" x14ac:dyDescent="0.2">
      <c r="A1828" s="93" t="s">
        <v>822</v>
      </c>
      <c r="B1828" s="94" t="str">
        <f>IFERROR(VLOOKUP($A1828,HeadJournal!$A$1:$NTR$890,COLUMN(HeadJournal!B$1),0),"")</f>
        <v>710000853782</v>
      </c>
      <c r="C1828" s="94" t="str">
        <f>IFERROR(VLOOKUP($A1828,HeadJournal!$A$1:$NTR$890,COLUMN(HeadJournal!C$1),0),"")</f>
        <v>iHerb_AV CYG0792</v>
      </c>
      <c r="D1828" s="125" t="str">
        <f>IFERROR(VLOOKUP($A1828,HeadJournal!$A$1:$NTR$890,COLUMN(HeadJournal!D$1),0),"")</f>
        <v>Доставлен</v>
      </c>
      <c r="E1828" s="95">
        <f>IFERROR(VLOOKUP($A1828,HeadJournal!$A$1:$NTR$890,COLUMN(HeadJournal!G$1),0),"")</f>
        <v>45101</v>
      </c>
      <c r="F1828" s="95" t="str">
        <f t="shared" si="144"/>
        <v>2023 06</v>
      </c>
      <c r="G1828" s="96" t="s">
        <v>5</v>
      </c>
      <c r="H1828" s="160" t="str">
        <f>RIGHT(Journal!$J1828,9)</f>
        <v>NOW-03347</v>
      </c>
      <c r="I1828" s="96" t="str">
        <f t="shared" si="146"/>
        <v>NOW Foods</v>
      </c>
      <c r="J1828" s="97" t="s">
        <v>825</v>
      </c>
      <c r="K1828" s="29">
        <v>12.03</v>
      </c>
      <c r="L1828" s="29">
        <v>-2.41</v>
      </c>
      <c r="M1828" s="30">
        <f>IFERROR(VLOOKUP($A1828,HeadJournal!$A$1:$J$890,COLUMN(HeadJournal!I$1),0)*($K1828+$L1828)/(SUMIF($A:$A,$A1828,$K:$K)+SUMIF($A:$A,$A1828,$L:$L)),0)</f>
        <v>0.57418232428670857</v>
      </c>
      <c r="N1828" s="30">
        <f>IFERROR((VLOOKUP($A1828,HeadJournal!$A$1:$K$890,COLUMN(HeadJournal!K$1),0)-VLOOKUP($A1828,HeadJournal!$A$1:$K$890,COLUMN(HeadJournal!J$1),0))*($K1828+$L1828)/(SUMIF($A:$A,$A1828,$K:$K)+SUMIF($A:$A,$A1828,$L:$L)),0)</f>
        <v>2.9272185077938721E-15</v>
      </c>
      <c r="O1828" s="30">
        <f>IFERROR((VLOOKUP($A1828,HeadJournal!$A$1:$L$890,COLUMN(HeadJournal!L$1),0)*($K1828+$L1828)/(SUMIF($A:$A,$A1828,$K:$K)+SUMIF($A:$A,$A1828,$L:$L)))/VLOOKUP($A1828,HeadJournal!$A$1:$L$890,COLUMN(HeadJournal!H$1),0),0)</f>
        <v>0.61422197509811594</v>
      </c>
      <c r="P1828" s="30">
        <f>IFERROR(SUM(K1828:O1828)*VLOOKUP($A1828,HeadJournal!$A$1:$L$890,COLUMN(HeadJournal!H$1),0),0)</f>
        <v>1005.8340570633266</v>
      </c>
      <c r="Q1828" s="29">
        <v>1800</v>
      </c>
      <c r="R1828" s="31">
        <v>45139</v>
      </c>
      <c r="S1828" s="31" t="s">
        <v>3121</v>
      </c>
      <c r="T1828" s="95" t="str">
        <f t="shared" si="145"/>
        <v>2023 08</v>
      </c>
      <c r="U1828" s="32">
        <f t="shared" si="142"/>
        <v>794.16594293667345</v>
      </c>
      <c r="V1828" s="22">
        <f t="shared" si="143"/>
        <v>0.78955960713375739</v>
      </c>
      <c r="X1828" s="33"/>
      <c r="Y1828" s="33"/>
    </row>
    <row r="1829" spans="1:25" x14ac:dyDescent="0.2">
      <c r="A1829" s="93" t="s">
        <v>822</v>
      </c>
      <c r="B1829" s="94" t="str">
        <f>IFERROR(VLOOKUP($A1829,HeadJournal!$A$1:$NTR$890,COLUMN(HeadJournal!B$1),0),"")</f>
        <v>710000853782</v>
      </c>
      <c r="C1829" s="94" t="str">
        <f>IFERROR(VLOOKUP($A1829,HeadJournal!$A$1:$NTR$890,COLUMN(HeadJournal!C$1),0),"")</f>
        <v>iHerb_AV CYG0792</v>
      </c>
      <c r="D1829" s="125" t="str">
        <f>IFERROR(VLOOKUP($A1829,HeadJournal!$A$1:$NTR$890,COLUMN(HeadJournal!D$1),0),"")</f>
        <v>Доставлен</v>
      </c>
      <c r="E1829" s="95">
        <f>IFERROR(VLOOKUP($A1829,HeadJournal!$A$1:$NTR$890,COLUMN(HeadJournal!G$1),0),"")</f>
        <v>45101</v>
      </c>
      <c r="F1829" s="95" t="str">
        <f t="shared" si="144"/>
        <v>2023 06</v>
      </c>
      <c r="G1829" s="96" t="s">
        <v>5</v>
      </c>
      <c r="H1829" s="160" t="str">
        <f>RIGHT(Journal!$J1829,9)</f>
        <v>CGN-01747</v>
      </c>
      <c r="I1829" s="96" t="str">
        <f t="shared" si="146"/>
        <v>California Gold Nutrition</v>
      </c>
      <c r="J1829" s="97" t="s">
        <v>826</v>
      </c>
      <c r="K1829" s="29">
        <v>18</v>
      </c>
      <c r="L1829" s="29">
        <v>-9</v>
      </c>
      <c r="M1829" s="30">
        <f>IFERROR(VLOOKUP($A1829,HeadJournal!$A$1:$J$890,COLUMN(HeadJournal!I$1),0)*($K1829+$L1829)/(SUMIF($A:$A,$A1829,$K:$K)+SUMIF($A:$A,$A1829,$L:$L)),0)</f>
        <v>0.53717681066324097</v>
      </c>
      <c r="N1829" s="30">
        <f>IFERROR((VLOOKUP($A1829,HeadJournal!$A$1:$K$890,COLUMN(HeadJournal!K$1),0)-VLOOKUP($A1829,HeadJournal!$A$1:$K$890,COLUMN(HeadJournal!J$1),0))*($K1829+$L1829)/(SUMIF($A:$A,$A1829,$K:$K)+SUMIF($A:$A,$A1829,$L:$L)),0)</f>
        <v>2.7385620135285706E-15</v>
      </c>
      <c r="O1829" s="30">
        <f>IFERROR((VLOOKUP($A1829,HeadJournal!$A$1:$L$890,COLUMN(HeadJournal!L$1),0)*($K1829+$L1829)/(SUMIF($A:$A,$A1829,$K:$K)+SUMIF($A:$A,$A1829,$L:$L)))/VLOOKUP($A1829,HeadJournal!$A$1:$L$890,COLUMN(HeadJournal!H$1),0),0)</f>
        <v>0.57463594343898583</v>
      </c>
      <c r="P1829" s="30">
        <f>IFERROR(SUM(K1829:O1829)*VLOOKUP($A1829,HeadJournal!$A$1:$L$890,COLUMN(HeadJournal!H$1),0),0)</f>
        <v>941.00899309458828</v>
      </c>
      <c r="Q1829" s="29">
        <v>3000</v>
      </c>
      <c r="R1829" s="31">
        <v>45268</v>
      </c>
      <c r="S1829" s="31" t="s">
        <v>3121</v>
      </c>
      <c r="T1829" s="95" t="str">
        <f t="shared" si="145"/>
        <v>2023 12</v>
      </c>
      <c r="U1829" s="32">
        <f t="shared" si="142"/>
        <v>2058.9910069054117</v>
      </c>
      <c r="V1829" s="22">
        <f t="shared" si="143"/>
        <v>2.1880673001160642</v>
      </c>
      <c r="X1829" s="33"/>
      <c r="Y1829" s="33"/>
    </row>
    <row r="1830" spans="1:25" x14ac:dyDescent="0.2">
      <c r="A1830" s="93" t="s">
        <v>822</v>
      </c>
      <c r="B1830" s="94" t="str">
        <f>IFERROR(VLOOKUP($A1830,HeadJournal!$A$1:$NTR$890,COLUMN(HeadJournal!B$1),0),"")</f>
        <v>710000853782</v>
      </c>
      <c r="C1830" s="94" t="str">
        <f>IFERROR(VLOOKUP($A1830,HeadJournal!$A$1:$NTR$890,COLUMN(HeadJournal!C$1),0),"")</f>
        <v>iHerb_AV CYG0792</v>
      </c>
      <c r="D1830" s="125" t="str">
        <f>IFERROR(VLOOKUP($A1830,HeadJournal!$A$1:$NTR$890,COLUMN(HeadJournal!D$1),0),"")</f>
        <v>Доставлен</v>
      </c>
      <c r="E1830" s="95">
        <f>IFERROR(VLOOKUP($A1830,HeadJournal!$A$1:$NTR$890,COLUMN(HeadJournal!G$1),0),"")</f>
        <v>45101</v>
      </c>
      <c r="F1830" s="95" t="str">
        <f t="shared" si="144"/>
        <v>2023 06</v>
      </c>
      <c r="G1830" s="96" t="s">
        <v>5</v>
      </c>
      <c r="H1830" s="161" t="s">
        <v>3577</v>
      </c>
      <c r="I1830" s="97" t="s">
        <v>2052</v>
      </c>
      <c r="J1830" s="97" t="s">
        <v>3578</v>
      </c>
      <c r="K1830" s="29">
        <v>9</v>
      </c>
      <c r="L1830" s="29">
        <v>-1.8</v>
      </c>
      <c r="M1830" s="30">
        <f>IFERROR(VLOOKUP($A1830,HeadJournal!$A$1:$J$890,COLUMN(HeadJournal!I$1),0)*($K1830+$L1830)/(SUMIF($A:$A,$A1830,$K:$K)+SUMIF($A:$A,$A1830,$L:$L)),0)</f>
        <v>0.42974144853059276</v>
      </c>
      <c r="N1830" s="30">
        <f>IFERROR((VLOOKUP($A1830,HeadJournal!$A$1:$K$890,COLUMN(HeadJournal!K$1),0)-VLOOKUP($A1830,HeadJournal!$A$1:$K$890,COLUMN(HeadJournal!J$1),0))*($K1830+$L1830)/(SUMIF($A:$A,$A1830,$K:$K)+SUMIF($A:$A,$A1830,$L:$L)),0)</f>
        <v>2.1908496108228566E-15</v>
      </c>
      <c r="O1830" s="30">
        <f>IFERROR((VLOOKUP($A1830,HeadJournal!$A$1:$L$890,COLUMN(HeadJournal!L$1),0)*($K1830+$L1830)/(SUMIF($A:$A,$A1830,$K:$K)+SUMIF($A:$A,$A1830,$L:$L)))/VLOOKUP($A1830,HeadJournal!$A$1:$L$890,COLUMN(HeadJournal!H$1),0),0)</f>
        <v>0.45970875475118878</v>
      </c>
      <c r="P1830" s="30">
        <f>IFERROR(SUM(K1830:O1830)*VLOOKUP($A1830,HeadJournal!$A$1:$L$890,COLUMN(HeadJournal!H$1),0),0)</f>
        <v>752.8071944756706</v>
      </c>
      <c r="Q1830" s="29">
        <v>1700</v>
      </c>
      <c r="R1830" s="31">
        <v>45159</v>
      </c>
      <c r="S1830" s="31" t="s">
        <v>3121</v>
      </c>
      <c r="T1830" s="95" t="str">
        <f t="shared" si="145"/>
        <v>2023 08</v>
      </c>
      <c r="U1830" s="32">
        <f t="shared" si="142"/>
        <v>947.1928055243294</v>
      </c>
      <c r="V1830" s="22">
        <f t="shared" si="143"/>
        <v>1.2582143375822121</v>
      </c>
      <c r="X1830" s="33"/>
      <c r="Y1830" s="33"/>
    </row>
    <row r="1831" spans="1:25" x14ac:dyDescent="0.2">
      <c r="A1831" s="93" t="s">
        <v>822</v>
      </c>
      <c r="B1831" s="94" t="str">
        <f>IFERROR(VLOOKUP($A1831,HeadJournal!$A$1:$NTR$890,COLUMN(HeadJournal!B$1),0),"")</f>
        <v>710000853782</v>
      </c>
      <c r="C1831" s="94" t="str">
        <f>IFERROR(VLOOKUP($A1831,HeadJournal!$A$1:$NTR$890,COLUMN(HeadJournal!C$1),0),"")</f>
        <v>iHerb_AV CYG0792</v>
      </c>
      <c r="D1831" s="125" t="str">
        <f>IFERROR(VLOOKUP($A1831,HeadJournal!$A$1:$NTR$890,COLUMN(HeadJournal!D$1),0),"")</f>
        <v>Доставлен</v>
      </c>
      <c r="E1831" s="95">
        <f>IFERROR(VLOOKUP($A1831,HeadJournal!$A$1:$NTR$890,COLUMN(HeadJournal!G$1),0),"")</f>
        <v>45101</v>
      </c>
      <c r="F1831" s="95" t="str">
        <f t="shared" si="144"/>
        <v>2023 06</v>
      </c>
      <c r="G1831" s="96" t="s">
        <v>5</v>
      </c>
      <c r="H1831" s="160" t="str">
        <f>RIGHT(Journal!$J1831,9)</f>
        <v>NFS-01032</v>
      </c>
      <c r="I1831" s="96" t="str">
        <f t="shared" si="146"/>
        <v>Natural Factors</v>
      </c>
      <c r="J1831" s="97" t="s">
        <v>799</v>
      </c>
      <c r="K1831" s="29">
        <v>9.77</v>
      </c>
      <c r="L1831" s="29">
        <v>-1.9550000000000001</v>
      </c>
      <c r="M1831" s="30">
        <f>IFERROR(VLOOKUP($A1831,HeadJournal!$A$1:$J$890,COLUMN(HeadJournal!I$1),0)*($K1831+$L1831)/(SUMIF($A:$A,$A1831,$K:$K)+SUMIF($A:$A,$A1831,$L:$L)),0)</f>
        <v>0.4664485305925809</v>
      </c>
      <c r="N1831" s="30">
        <f>IFERROR((VLOOKUP($A1831,HeadJournal!$A$1:$K$890,COLUMN(HeadJournal!K$1),0)-VLOOKUP($A1831,HeadJournal!$A$1:$K$890,COLUMN(HeadJournal!J$1),0))*($K1831+$L1831)/(SUMIF($A:$A,$A1831,$K:$K)+SUMIF($A:$A,$A1831,$L:$L)),0)</f>
        <v>2.3779846817473087E-15</v>
      </c>
      <c r="O1831" s="30">
        <f>IFERROR((VLOOKUP($A1831,HeadJournal!$A$1:$L$890,COLUMN(HeadJournal!L$1),0)*($K1831+$L1831)/(SUMIF($A:$A,$A1831,$K:$K)+SUMIF($A:$A,$A1831,$L:$L)))/VLOOKUP($A1831,HeadJournal!$A$1:$L$890,COLUMN(HeadJournal!H$1),0),0)</f>
        <v>0.49897554421951934</v>
      </c>
      <c r="P1831" s="30">
        <f>IFERROR(SUM(K1831:O1831)*VLOOKUP($A1831,HeadJournal!$A$1:$L$890,COLUMN(HeadJournal!H$1),0),0)</f>
        <v>817.1094756704673</v>
      </c>
      <c r="Q1831" s="29">
        <v>1700</v>
      </c>
      <c r="R1831" s="31">
        <v>45152</v>
      </c>
      <c r="S1831" s="31" t="s">
        <v>3121</v>
      </c>
      <c r="T1831" s="95" t="str">
        <f t="shared" si="145"/>
        <v>2023 08</v>
      </c>
      <c r="U1831" s="32">
        <f t="shared" si="142"/>
        <v>882.8905243295327</v>
      </c>
      <c r="V1831" s="22">
        <f t="shared" si="143"/>
        <v>1.0805045720527102</v>
      </c>
      <c r="X1831" s="33"/>
      <c r="Y1831" s="33"/>
    </row>
    <row r="1832" spans="1:25" x14ac:dyDescent="0.2">
      <c r="A1832" s="93" t="s">
        <v>822</v>
      </c>
      <c r="B1832" s="94" t="str">
        <f>IFERROR(VLOOKUP($A1832,HeadJournal!$A$1:$NTR$890,COLUMN(HeadJournal!B$1),0),"")</f>
        <v>710000853782</v>
      </c>
      <c r="C1832" s="94" t="str">
        <f>IFERROR(VLOOKUP($A1832,HeadJournal!$A$1:$NTR$890,COLUMN(HeadJournal!C$1),0),"")</f>
        <v>iHerb_AV CYG0792</v>
      </c>
      <c r="D1832" s="125" t="str">
        <f>IFERROR(VLOOKUP($A1832,HeadJournal!$A$1:$NTR$890,COLUMN(HeadJournal!D$1),0),"")</f>
        <v>Доставлен</v>
      </c>
      <c r="E1832" s="95">
        <f>IFERROR(VLOOKUP($A1832,HeadJournal!$A$1:$NTR$890,COLUMN(HeadJournal!G$1),0),"")</f>
        <v>45101</v>
      </c>
      <c r="F1832" s="95" t="str">
        <f t="shared" si="144"/>
        <v>2023 06</v>
      </c>
      <c r="G1832" s="96" t="s">
        <v>5</v>
      </c>
      <c r="H1832" s="160" t="str">
        <f>RIGHT(Journal!$J1832,9)</f>
        <v>NFS-01032</v>
      </c>
      <c r="I1832" s="96" t="str">
        <f t="shared" si="146"/>
        <v>Natural Factors</v>
      </c>
      <c r="J1832" s="97" t="s">
        <v>799</v>
      </c>
      <c r="K1832" s="29">
        <v>9.77</v>
      </c>
      <c r="L1832" s="29">
        <v>-1.9550000000000001</v>
      </c>
      <c r="M1832" s="30">
        <f>IFERROR(VLOOKUP($A1832,HeadJournal!$A$1:$J$890,COLUMN(HeadJournal!I$1),0)*($K1832+$L1832)/(SUMIF($A:$A,$A1832,$K:$K)+SUMIF($A:$A,$A1832,$L:$L)),0)</f>
        <v>0.4664485305925809</v>
      </c>
      <c r="N1832" s="30">
        <f>IFERROR((VLOOKUP($A1832,HeadJournal!$A$1:$K$890,COLUMN(HeadJournal!K$1),0)-VLOOKUP($A1832,HeadJournal!$A$1:$K$890,COLUMN(HeadJournal!J$1),0))*($K1832+$L1832)/(SUMIF($A:$A,$A1832,$K:$K)+SUMIF($A:$A,$A1832,$L:$L)),0)</f>
        <v>2.3779846817473087E-15</v>
      </c>
      <c r="O1832" s="30">
        <f>IFERROR((VLOOKUP($A1832,HeadJournal!$A$1:$L$890,COLUMN(HeadJournal!L$1),0)*($K1832+$L1832)/(SUMIF($A:$A,$A1832,$K:$K)+SUMIF($A:$A,$A1832,$L:$L)))/VLOOKUP($A1832,HeadJournal!$A$1:$L$890,COLUMN(HeadJournal!H$1),0),0)</f>
        <v>0.49897554421951934</v>
      </c>
      <c r="P1832" s="30">
        <f>IFERROR(SUM(K1832:O1832)*VLOOKUP($A1832,HeadJournal!$A$1:$L$890,COLUMN(HeadJournal!H$1),0),0)</f>
        <v>817.1094756704673</v>
      </c>
      <c r="Q1832" s="29">
        <v>1800</v>
      </c>
      <c r="R1832" s="31">
        <v>45767</v>
      </c>
      <c r="S1832" s="31" t="s">
        <v>3121</v>
      </c>
      <c r="T1832" s="95" t="str">
        <f t="shared" si="145"/>
        <v>2025 04</v>
      </c>
      <c r="U1832" s="32">
        <f t="shared" si="142"/>
        <v>982.8905243295327</v>
      </c>
      <c r="V1832" s="22">
        <f t="shared" si="143"/>
        <v>1.2028871939381638</v>
      </c>
      <c r="X1832" s="33"/>
      <c r="Y1832" s="33"/>
    </row>
    <row r="1833" spans="1:25" x14ac:dyDescent="0.2">
      <c r="A1833" s="93" t="s">
        <v>822</v>
      </c>
      <c r="B1833" s="94" t="str">
        <f>IFERROR(VLOOKUP($A1833,HeadJournal!$A$1:$NTR$890,COLUMN(HeadJournal!B$1),0),"")</f>
        <v>710000853782</v>
      </c>
      <c r="C1833" s="94" t="str">
        <f>IFERROR(VLOOKUP($A1833,HeadJournal!$A$1:$NTR$890,COLUMN(HeadJournal!C$1),0),"")</f>
        <v>iHerb_AV CYG0792</v>
      </c>
      <c r="D1833" s="125" t="str">
        <f>IFERROR(VLOOKUP($A1833,HeadJournal!$A$1:$NTR$890,COLUMN(HeadJournal!D$1),0),"")</f>
        <v>Доставлен</v>
      </c>
      <c r="E1833" s="95">
        <f>IFERROR(VLOOKUP($A1833,HeadJournal!$A$1:$NTR$890,COLUMN(HeadJournal!G$1),0),"")</f>
        <v>45101</v>
      </c>
      <c r="F1833" s="95" t="str">
        <f t="shared" si="144"/>
        <v>2023 06</v>
      </c>
      <c r="G1833" s="96" t="s">
        <v>5</v>
      </c>
      <c r="H1833" s="161" t="s">
        <v>2471</v>
      </c>
      <c r="I1833" s="97" t="s">
        <v>2039</v>
      </c>
      <c r="J1833" s="97" t="s">
        <v>2472</v>
      </c>
      <c r="K1833" s="29">
        <v>20.69</v>
      </c>
      <c r="L1833" s="29">
        <v>-4.1399999999999997</v>
      </c>
      <c r="M1833" s="30">
        <f>IFERROR(VLOOKUP($A1833,HeadJournal!$A$1:$J$890,COLUMN(HeadJournal!I$1),0)*($K1833+$L1833)/(SUMIF($A:$A,$A1833,$K:$K)+SUMIF($A:$A,$A1833,$L:$L)),0)</f>
        <v>0.98780846849740434</v>
      </c>
      <c r="N1833" s="30">
        <f>IFERROR((VLOOKUP($A1833,HeadJournal!$A$1:$K$890,COLUMN(HeadJournal!K$1),0)-VLOOKUP($A1833,HeadJournal!$A$1:$K$890,COLUMN(HeadJournal!J$1),0))*($K1833+$L1833)/(SUMIF($A:$A,$A1833,$K:$K)+SUMIF($A:$A,$A1833,$L:$L)),0)</f>
        <v>5.0359112582108721E-15</v>
      </c>
      <c r="O1833" s="30">
        <f>IFERROR((VLOOKUP($A1833,HeadJournal!$A$1:$L$890,COLUMN(HeadJournal!L$1),0)*($K1833+$L1833)/(SUMIF($A:$A,$A1833,$K:$K)+SUMIF($A:$A,$A1833,$L:$L)))/VLOOKUP($A1833,HeadJournal!$A$1:$L$890,COLUMN(HeadJournal!H$1),0),0)</f>
        <v>1.0566916515461351</v>
      </c>
      <c r="P1833" s="30">
        <f>IFERROR(SUM(K1833:O1833)*VLOOKUP($A1833,HeadJournal!$A$1:$L$890,COLUMN(HeadJournal!H$1),0),0)</f>
        <v>1730.4109817461597</v>
      </c>
      <c r="Q1833" s="29">
        <v>2700</v>
      </c>
      <c r="R1833" s="31">
        <v>45282</v>
      </c>
      <c r="S1833" s="31" t="s">
        <v>3121</v>
      </c>
      <c r="T1833" s="95" t="str">
        <f t="shared" si="145"/>
        <v>2023 12</v>
      </c>
      <c r="U1833" s="32">
        <f t="shared" si="142"/>
        <v>969.58901825384032</v>
      </c>
      <c r="V1833" s="22">
        <f t="shared" si="143"/>
        <v>0.56032296863686504</v>
      </c>
      <c r="X1833" s="33"/>
      <c r="Y1833" s="33"/>
    </row>
    <row r="1834" spans="1:25" x14ac:dyDescent="0.2">
      <c r="A1834" s="93" t="s">
        <v>822</v>
      </c>
      <c r="B1834" s="94" t="str">
        <f>IFERROR(VLOOKUP($A1834,HeadJournal!$A$1:$NTR$890,COLUMN(HeadJournal!B$1),0),"")</f>
        <v>710000853782</v>
      </c>
      <c r="C1834" s="94" t="str">
        <f>IFERROR(VLOOKUP($A1834,HeadJournal!$A$1:$NTR$890,COLUMN(HeadJournal!C$1),0),"")</f>
        <v>iHerb_AV CYG0792</v>
      </c>
      <c r="D1834" s="125" t="str">
        <f>IFERROR(VLOOKUP($A1834,HeadJournal!$A$1:$NTR$890,COLUMN(HeadJournal!D$1),0),"")</f>
        <v>Доставлен</v>
      </c>
      <c r="E1834" s="95">
        <f>IFERROR(VLOOKUP($A1834,HeadJournal!$A$1:$NTR$890,COLUMN(HeadJournal!G$1),0),"")</f>
        <v>45101</v>
      </c>
      <c r="F1834" s="95" t="str">
        <f t="shared" si="144"/>
        <v>2023 06</v>
      </c>
      <c r="G1834" s="96" t="s">
        <v>5</v>
      </c>
      <c r="H1834" s="161" t="s">
        <v>2806</v>
      </c>
      <c r="I1834" s="97" t="s">
        <v>2009</v>
      </c>
      <c r="J1834" s="97" t="s">
        <v>2807</v>
      </c>
      <c r="K1834" s="29">
        <v>20.5</v>
      </c>
      <c r="L1834" s="29">
        <v>-4.0999999999999996</v>
      </c>
      <c r="M1834" s="30">
        <f>IFERROR(VLOOKUP($A1834,HeadJournal!$A$1:$J$890,COLUMN(HeadJournal!I$1),0)*($K1834+$L1834)/(SUMIF($A:$A,$A1834,$K:$K)+SUMIF($A:$A,$A1834,$L:$L)),0)</f>
        <v>0.97885552165301681</v>
      </c>
      <c r="N1834" s="30">
        <f>IFERROR((VLOOKUP($A1834,HeadJournal!$A$1:$K$890,COLUMN(HeadJournal!K$1),0)-VLOOKUP($A1834,HeadJournal!$A$1:$K$890,COLUMN(HeadJournal!J$1),0))*($K1834+$L1834)/(SUMIF($A:$A,$A1834,$K:$K)+SUMIF($A:$A,$A1834,$L:$L)),0)</f>
        <v>4.9902685579853952E-15</v>
      </c>
      <c r="O1834" s="30">
        <f>IFERROR((VLOOKUP($A1834,HeadJournal!$A$1:$L$890,COLUMN(HeadJournal!L$1),0)*($K1834+$L1834)/(SUMIF($A:$A,$A1834,$K:$K)+SUMIF($A:$A,$A1834,$L:$L)))/VLOOKUP($A1834,HeadJournal!$A$1:$L$890,COLUMN(HeadJournal!H$1),0),0)</f>
        <v>1.0471143858221519</v>
      </c>
      <c r="P1834" s="30">
        <f>IFERROR(SUM(K1834:O1834)*VLOOKUP($A1834,HeadJournal!$A$1:$L$890,COLUMN(HeadJournal!H$1),0),0)</f>
        <v>1714.7274985279162</v>
      </c>
      <c r="Q1834" s="29">
        <v>2700</v>
      </c>
      <c r="R1834" s="31">
        <v>45148</v>
      </c>
      <c r="S1834" s="31" t="s">
        <v>3121</v>
      </c>
      <c r="T1834" s="95" t="str">
        <f t="shared" si="145"/>
        <v>2023 08</v>
      </c>
      <c r="U1834" s="32">
        <f t="shared" si="142"/>
        <v>985.27250147208383</v>
      </c>
      <c r="V1834" s="22">
        <f t="shared" si="143"/>
        <v>0.57459421530122701</v>
      </c>
      <c r="X1834" s="33"/>
      <c r="Y1834" s="33"/>
    </row>
    <row r="1835" spans="1:25" x14ac:dyDescent="0.2">
      <c r="A1835" s="93" t="s">
        <v>822</v>
      </c>
      <c r="B1835" s="94" t="str">
        <f>IFERROR(VLOOKUP($A1835,HeadJournal!$A$1:$NTR$890,COLUMN(HeadJournal!B$1),0),"")</f>
        <v>710000853782</v>
      </c>
      <c r="C1835" s="94" t="str">
        <f>IFERROR(VLOOKUP($A1835,HeadJournal!$A$1:$NTR$890,COLUMN(HeadJournal!C$1),0),"")</f>
        <v>iHerb_AV CYG0792</v>
      </c>
      <c r="D1835" s="125" t="str">
        <f>IFERROR(VLOOKUP($A1835,HeadJournal!$A$1:$NTR$890,COLUMN(HeadJournal!D$1),0),"")</f>
        <v>Доставлен</v>
      </c>
      <c r="E1835" s="95">
        <f>IFERROR(VLOOKUP($A1835,HeadJournal!$A$1:$NTR$890,COLUMN(HeadJournal!G$1),0),"")</f>
        <v>45101</v>
      </c>
      <c r="F1835" s="95" t="str">
        <f t="shared" si="144"/>
        <v>2023 06</v>
      </c>
      <c r="G1835" s="96" t="s">
        <v>5</v>
      </c>
      <c r="H1835" s="161" t="s">
        <v>2806</v>
      </c>
      <c r="I1835" s="97" t="s">
        <v>2009</v>
      </c>
      <c r="J1835" s="97" t="s">
        <v>2807</v>
      </c>
      <c r="K1835" s="29">
        <v>20.5</v>
      </c>
      <c r="L1835" s="29">
        <v>-4.0999999999999996</v>
      </c>
      <c r="M1835" s="30">
        <f>IFERROR(VLOOKUP($A1835,HeadJournal!$A$1:$J$890,COLUMN(HeadJournal!I$1),0)*($K1835+$L1835)/(SUMIF($A:$A,$A1835,$K:$K)+SUMIF($A:$A,$A1835,$L:$L)),0)</f>
        <v>0.97885552165301681</v>
      </c>
      <c r="N1835" s="30">
        <f>IFERROR((VLOOKUP($A1835,HeadJournal!$A$1:$K$890,COLUMN(HeadJournal!K$1),0)-VLOOKUP($A1835,HeadJournal!$A$1:$K$890,COLUMN(HeadJournal!J$1),0))*($K1835+$L1835)/(SUMIF($A:$A,$A1835,$K:$K)+SUMIF($A:$A,$A1835,$L:$L)),0)</f>
        <v>4.9902685579853952E-15</v>
      </c>
      <c r="O1835" s="30">
        <f>IFERROR((VLOOKUP($A1835,HeadJournal!$A$1:$L$890,COLUMN(HeadJournal!L$1),0)*($K1835+$L1835)/(SUMIF($A:$A,$A1835,$K:$K)+SUMIF($A:$A,$A1835,$L:$L)))/VLOOKUP($A1835,HeadJournal!$A$1:$L$890,COLUMN(HeadJournal!H$1),0),0)</f>
        <v>1.0471143858221519</v>
      </c>
      <c r="P1835" s="30">
        <f>IFERROR(SUM(K1835:O1835)*VLOOKUP($A1835,HeadJournal!$A$1:$L$890,COLUMN(HeadJournal!H$1),0),0)</f>
        <v>1714.7274985279162</v>
      </c>
      <c r="Q1835" s="29">
        <v>2700</v>
      </c>
      <c r="R1835" s="31">
        <v>45193</v>
      </c>
      <c r="S1835" s="31" t="s">
        <v>3121</v>
      </c>
      <c r="T1835" s="95" t="str">
        <f t="shared" si="145"/>
        <v>2023 09</v>
      </c>
      <c r="U1835" s="32">
        <f t="shared" si="142"/>
        <v>985.27250147208383</v>
      </c>
      <c r="V1835" s="22">
        <f t="shared" si="143"/>
        <v>0.57459421530122701</v>
      </c>
      <c r="X1835" s="33"/>
      <c r="Y1835" s="33"/>
    </row>
    <row r="1836" spans="1:25" x14ac:dyDescent="0.2">
      <c r="A1836" s="93" t="s">
        <v>822</v>
      </c>
      <c r="B1836" s="94" t="str">
        <f>IFERROR(VLOOKUP($A1836,HeadJournal!$A$1:$NTR$890,COLUMN(HeadJournal!B$1),0),"")</f>
        <v>710000853782</v>
      </c>
      <c r="C1836" s="94" t="str">
        <f>IFERROR(VLOOKUP($A1836,HeadJournal!$A$1:$NTR$890,COLUMN(HeadJournal!C$1),0),"")</f>
        <v>iHerb_AV CYG0792</v>
      </c>
      <c r="D1836" s="125" t="str">
        <f>IFERROR(VLOOKUP($A1836,HeadJournal!$A$1:$NTR$890,COLUMN(HeadJournal!D$1),0),"")</f>
        <v>Доставлен</v>
      </c>
      <c r="E1836" s="95">
        <f>IFERROR(VLOOKUP($A1836,HeadJournal!$A$1:$NTR$890,COLUMN(HeadJournal!G$1),0),"")</f>
        <v>45101</v>
      </c>
      <c r="F1836" s="95" t="str">
        <f t="shared" si="144"/>
        <v>2023 06</v>
      </c>
      <c r="G1836" s="96" t="s">
        <v>5</v>
      </c>
      <c r="H1836" s="161" t="s">
        <v>2028</v>
      </c>
      <c r="I1836" s="97" t="s">
        <v>2009</v>
      </c>
      <c r="J1836" s="97" t="s">
        <v>2029</v>
      </c>
      <c r="K1836" s="29">
        <v>11.35</v>
      </c>
      <c r="L1836" s="29">
        <v>-2.27</v>
      </c>
      <c r="M1836" s="30">
        <f>IFERROR(VLOOKUP($A1836,HeadJournal!$A$1:$J$890,COLUMN(HeadJournal!I$1),0)*($K1836+$L1836)/(SUMIF($A:$A,$A1836,$K:$K)+SUMIF($A:$A,$A1836,$L:$L)),0)</f>
        <v>0.54195171564691424</v>
      </c>
      <c r="N1836" s="30">
        <f>IFERROR((VLOOKUP($A1836,HeadJournal!$A$1:$K$890,COLUMN(HeadJournal!K$1),0)-VLOOKUP($A1836,HeadJournal!$A$1:$K$890,COLUMN(HeadJournal!J$1),0))*($K1836+$L1836)/(SUMIF($A:$A,$A1836,$K:$K)+SUMIF($A:$A,$A1836,$L:$L)),0)</f>
        <v>2.7629047869821581E-15</v>
      </c>
      <c r="O1836" s="30">
        <f>IFERROR((VLOOKUP($A1836,HeadJournal!$A$1:$L$890,COLUMN(HeadJournal!L$1),0)*($K1836+$L1836)/(SUMIF($A:$A,$A1836,$K:$K)+SUMIF($A:$A,$A1836,$L:$L)))/VLOOKUP($A1836,HeadJournal!$A$1:$L$890,COLUMN(HeadJournal!H$1),0),0)</f>
        <v>0.57974381849177681</v>
      </c>
      <c r="P1836" s="30">
        <f>IFERROR(SUM(K1836:O1836)*VLOOKUP($A1836,HeadJournal!$A$1:$L$890,COLUMN(HeadJournal!H$1),0),0)</f>
        <v>949.37351747765138</v>
      </c>
      <c r="Q1836" s="29">
        <v>1700</v>
      </c>
      <c r="R1836" s="31">
        <v>45201</v>
      </c>
      <c r="S1836" s="31" t="s">
        <v>3121</v>
      </c>
      <c r="T1836" s="95" t="str">
        <f t="shared" si="145"/>
        <v>2023 10</v>
      </c>
      <c r="U1836" s="32">
        <f t="shared" si="142"/>
        <v>750.62648252234862</v>
      </c>
      <c r="V1836" s="22">
        <f t="shared" si="143"/>
        <v>0.7906545408140887</v>
      </c>
      <c r="X1836" s="33"/>
      <c r="Y1836" s="33"/>
    </row>
    <row r="1837" spans="1:25" x14ac:dyDescent="0.2">
      <c r="A1837" s="93" t="s">
        <v>822</v>
      </c>
      <c r="B1837" s="94" t="str">
        <f>IFERROR(VLOOKUP($A1837,HeadJournal!$A$1:$NTR$890,COLUMN(HeadJournal!B$1),0),"")</f>
        <v>710000853782</v>
      </c>
      <c r="C1837" s="94" t="str">
        <f>IFERROR(VLOOKUP($A1837,HeadJournal!$A$1:$NTR$890,COLUMN(HeadJournal!C$1),0),"")</f>
        <v>iHerb_AV CYG0792</v>
      </c>
      <c r="D1837" s="125" t="str">
        <f>IFERROR(VLOOKUP($A1837,HeadJournal!$A$1:$NTR$890,COLUMN(HeadJournal!D$1),0),"")</f>
        <v>Доставлен</v>
      </c>
      <c r="E1837" s="95">
        <f>IFERROR(VLOOKUP($A1837,HeadJournal!$A$1:$NTR$890,COLUMN(HeadJournal!G$1),0),"")</f>
        <v>45101</v>
      </c>
      <c r="F1837" s="95" t="str">
        <f t="shared" si="144"/>
        <v>2023 06</v>
      </c>
      <c r="G1837" s="96" t="s">
        <v>5</v>
      </c>
      <c r="H1837" s="161" t="s">
        <v>2028</v>
      </c>
      <c r="I1837" s="97" t="s">
        <v>2009</v>
      </c>
      <c r="J1837" s="97" t="s">
        <v>2029</v>
      </c>
      <c r="K1837" s="29">
        <v>11.35</v>
      </c>
      <c r="L1837" s="29">
        <v>-2.27</v>
      </c>
      <c r="M1837" s="30">
        <f>IFERROR(VLOOKUP($A1837,HeadJournal!$A$1:$J$890,COLUMN(HeadJournal!I$1),0)*($K1837+$L1837)/(SUMIF($A:$A,$A1837,$K:$K)+SUMIF($A:$A,$A1837,$L:$L)),0)</f>
        <v>0.54195171564691424</v>
      </c>
      <c r="N1837" s="30">
        <f>IFERROR((VLOOKUP($A1837,HeadJournal!$A$1:$K$890,COLUMN(HeadJournal!K$1),0)-VLOOKUP($A1837,HeadJournal!$A$1:$K$890,COLUMN(HeadJournal!J$1),0))*($K1837+$L1837)/(SUMIF($A:$A,$A1837,$K:$K)+SUMIF($A:$A,$A1837,$L:$L)),0)</f>
        <v>2.7629047869821581E-15</v>
      </c>
      <c r="O1837" s="30">
        <f>IFERROR((VLOOKUP($A1837,HeadJournal!$A$1:$L$890,COLUMN(HeadJournal!L$1),0)*($K1837+$L1837)/(SUMIF($A:$A,$A1837,$K:$K)+SUMIF($A:$A,$A1837,$L:$L)))/VLOOKUP($A1837,HeadJournal!$A$1:$L$890,COLUMN(HeadJournal!H$1),0),0)</f>
        <v>0.57974381849177681</v>
      </c>
      <c r="P1837" s="30">
        <f>IFERROR(SUM(K1837:O1837)*VLOOKUP($A1837,HeadJournal!$A$1:$L$890,COLUMN(HeadJournal!H$1),0),0)</f>
        <v>949.37351747765138</v>
      </c>
      <c r="Q1837" s="29">
        <v>1700</v>
      </c>
      <c r="R1837" s="31">
        <v>45241</v>
      </c>
      <c r="S1837" s="31" t="s">
        <v>3121</v>
      </c>
      <c r="T1837" s="95" t="str">
        <f t="shared" si="145"/>
        <v>2023 11</v>
      </c>
      <c r="U1837" s="32">
        <f t="shared" si="142"/>
        <v>750.62648252234862</v>
      </c>
      <c r="V1837" s="22">
        <f t="shared" si="143"/>
        <v>0.7906545408140887</v>
      </c>
      <c r="X1837" s="33"/>
      <c r="Y1837" s="33"/>
    </row>
    <row r="1838" spans="1:25" x14ac:dyDescent="0.2">
      <c r="A1838" s="93" t="s">
        <v>822</v>
      </c>
      <c r="B1838" s="94" t="str">
        <f>IFERROR(VLOOKUP($A1838,HeadJournal!$A$1:$NTR$890,COLUMN(HeadJournal!B$1),0),"")</f>
        <v>710000853782</v>
      </c>
      <c r="C1838" s="94" t="str">
        <f>IFERROR(VLOOKUP($A1838,HeadJournal!$A$1:$NTR$890,COLUMN(HeadJournal!C$1),0),"")</f>
        <v>iHerb_AV CYG0792</v>
      </c>
      <c r="D1838" s="125" t="str">
        <f>IFERROR(VLOOKUP($A1838,HeadJournal!$A$1:$NTR$890,COLUMN(HeadJournal!D$1),0),"")</f>
        <v>Доставлен</v>
      </c>
      <c r="E1838" s="95">
        <f>IFERROR(VLOOKUP($A1838,HeadJournal!$A$1:$NTR$890,COLUMN(HeadJournal!G$1),0),"")</f>
        <v>45101</v>
      </c>
      <c r="F1838" s="95" t="str">
        <f t="shared" si="144"/>
        <v>2023 06</v>
      </c>
      <c r="G1838" s="96" t="s">
        <v>5</v>
      </c>
      <c r="H1838" s="161" t="s">
        <v>2773</v>
      </c>
      <c r="I1838" s="97" t="s">
        <v>2005</v>
      </c>
      <c r="J1838" s="97" t="s">
        <v>2774</v>
      </c>
      <c r="K1838" s="29">
        <v>11.7</v>
      </c>
      <c r="L1838" s="29">
        <v>-2.34</v>
      </c>
      <c r="M1838" s="30">
        <f>IFERROR(VLOOKUP($A1838,HeadJournal!$A$1:$J$890,COLUMN(HeadJournal!I$1),0)*($K1838+$L1838)/(SUMIF($A:$A,$A1838,$K:$K)+SUMIF($A:$A,$A1838,$L:$L)),0)</f>
        <v>0.55866388308977066</v>
      </c>
      <c r="N1838" s="30">
        <f>IFERROR((VLOOKUP($A1838,HeadJournal!$A$1:$K$890,COLUMN(HeadJournal!K$1),0)-VLOOKUP($A1838,HeadJournal!$A$1:$K$890,COLUMN(HeadJournal!J$1),0))*($K1838+$L1838)/(SUMIF($A:$A,$A1838,$K:$K)+SUMIF($A:$A,$A1838,$L:$L)),0)</f>
        <v>2.8481044940697131E-15</v>
      </c>
      <c r="O1838" s="30">
        <f>IFERROR((VLOOKUP($A1838,HeadJournal!$A$1:$L$890,COLUMN(HeadJournal!L$1),0)*($K1838+$L1838)/(SUMIF($A:$A,$A1838,$K:$K)+SUMIF($A:$A,$A1838,$L:$L)))/VLOOKUP($A1838,HeadJournal!$A$1:$L$890,COLUMN(HeadJournal!H$1),0),0)</f>
        <v>0.59762138117654529</v>
      </c>
      <c r="P1838" s="30">
        <f>IFERROR(SUM(K1838:O1838)*VLOOKUP($A1838,HeadJournal!$A$1:$L$890,COLUMN(HeadJournal!H$1),0),0)</f>
        <v>978.64935281837177</v>
      </c>
      <c r="Q1838" s="29">
        <v>1900</v>
      </c>
      <c r="R1838" s="31">
        <v>45440</v>
      </c>
      <c r="S1838" s="31" t="s">
        <v>3121</v>
      </c>
      <c r="T1838" s="95" t="str">
        <f t="shared" si="145"/>
        <v>2024 05</v>
      </c>
      <c r="U1838" s="32">
        <f t="shared" si="142"/>
        <v>921.35064718162823</v>
      </c>
      <c r="V1838" s="22">
        <f t="shared" si="143"/>
        <v>0.94145124045529549</v>
      </c>
      <c r="X1838" s="33"/>
      <c r="Y1838" s="33"/>
    </row>
    <row r="1839" spans="1:25" x14ac:dyDescent="0.2">
      <c r="A1839" s="93" t="s">
        <v>822</v>
      </c>
      <c r="B1839" s="94" t="str">
        <f>IFERROR(VLOOKUP($A1839,HeadJournal!$A$1:$NTR$890,COLUMN(HeadJournal!B$1),0),"")</f>
        <v>710000853782</v>
      </c>
      <c r="C1839" s="94" t="str">
        <f>IFERROR(VLOOKUP($A1839,HeadJournal!$A$1:$NTR$890,COLUMN(HeadJournal!C$1),0),"")</f>
        <v>iHerb_AV CYG0792</v>
      </c>
      <c r="D1839" s="125" t="str">
        <f>IFERROR(VLOOKUP($A1839,HeadJournal!$A$1:$NTR$890,COLUMN(HeadJournal!D$1),0),"")</f>
        <v>Доставлен</v>
      </c>
      <c r="E1839" s="95">
        <f>IFERROR(VLOOKUP($A1839,HeadJournal!$A$1:$NTR$890,COLUMN(HeadJournal!G$1),0),"")</f>
        <v>45101</v>
      </c>
      <c r="F1839" s="95" t="str">
        <f t="shared" si="144"/>
        <v>2023 06</v>
      </c>
      <c r="G1839" s="96" t="s">
        <v>5</v>
      </c>
      <c r="H1839" s="161" t="s">
        <v>2773</v>
      </c>
      <c r="I1839" s="97" t="s">
        <v>2005</v>
      </c>
      <c r="J1839" s="97" t="s">
        <v>2774</v>
      </c>
      <c r="K1839" s="29">
        <v>11.7</v>
      </c>
      <c r="L1839" s="29">
        <v>-2.34</v>
      </c>
      <c r="M1839" s="30">
        <f>IFERROR(VLOOKUP($A1839,HeadJournal!$A$1:$J$890,COLUMN(HeadJournal!I$1),0)*($K1839+$L1839)/(SUMIF($A:$A,$A1839,$K:$K)+SUMIF($A:$A,$A1839,$L:$L)),0)</f>
        <v>0.55866388308977066</v>
      </c>
      <c r="N1839" s="30">
        <f>IFERROR((VLOOKUP($A1839,HeadJournal!$A$1:$K$890,COLUMN(HeadJournal!K$1),0)-VLOOKUP($A1839,HeadJournal!$A$1:$K$890,COLUMN(HeadJournal!J$1),0))*($K1839+$L1839)/(SUMIF($A:$A,$A1839,$K:$K)+SUMIF($A:$A,$A1839,$L:$L)),0)</f>
        <v>2.8481044940697131E-15</v>
      </c>
      <c r="O1839" s="30">
        <f>IFERROR((VLOOKUP($A1839,HeadJournal!$A$1:$L$890,COLUMN(HeadJournal!L$1),0)*($K1839+$L1839)/(SUMIF($A:$A,$A1839,$K:$K)+SUMIF($A:$A,$A1839,$L:$L)))/VLOOKUP($A1839,HeadJournal!$A$1:$L$890,COLUMN(HeadJournal!H$1),0),0)</f>
        <v>0.59762138117654529</v>
      </c>
      <c r="P1839" s="30">
        <f>IFERROR(SUM(K1839:O1839)*VLOOKUP($A1839,HeadJournal!$A$1:$L$890,COLUMN(HeadJournal!H$1),0),0)</f>
        <v>978.64935281837177</v>
      </c>
      <c r="Q1839" s="29">
        <v>2000</v>
      </c>
      <c r="R1839" s="31">
        <v>45643</v>
      </c>
      <c r="S1839" s="31" t="s">
        <v>3121</v>
      </c>
      <c r="T1839" s="95" t="str">
        <f t="shared" si="145"/>
        <v>2024 12</v>
      </c>
      <c r="U1839" s="32">
        <f t="shared" si="142"/>
        <v>1021.3506471816282</v>
      </c>
      <c r="V1839" s="22">
        <f t="shared" si="143"/>
        <v>1.0436328846897847</v>
      </c>
      <c r="X1839" s="33"/>
      <c r="Y1839" s="33"/>
    </row>
    <row r="1840" spans="1:25" x14ac:dyDescent="0.2">
      <c r="A1840" s="93" t="s">
        <v>822</v>
      </c>
      <c r="B1840" s="94" t="str">
        <f>IFERROR(VLOOKUP($A1840,HeadJournal!$A$1:$NTR$890,COLUMN(HeadJournal!B$1),0),"")</f>
        <v>710000853782</v>
      </c>
      <c r="C1840" s="94" t="str">
        <f>IFERROR(VLOOKUP($A1840,HeadJournal!$A$1:$NTR$890,COLUMN(HeadJournal!C$1),0),"")</f>
        <v>iHerb_AV CYG0792</v>
      </c>
      <c r="D1840" s="125" t="str">
        <f>IFERROR(VLOOKUP($A1840,HeadJournal!$A$1:$NTR$890,COLUMN(HeadJournal!D$1),0),"")</f>
        <v>Доставлен</v>
      </c>
      <c r="E1840" s="95">
        <f>IFERROR(VLOOKUP($A1840,HeadJournal!$A$1:$NTR$890,COLUMN(HeadJournal!G$1),0),"")</f>
        <v>45101</v>
      </c>
      <c r="F1840" s="95" t="str">
        <f t="shared" si="144"/>
        <v>2023 06</v>
      </c>
      <c r="G1840" s="96" t="s">
        <v>5</v>
      </c>
      <c r="H1840" s="160" t="str">
        <f>RIGHT(Journal!$J1840,9)</f>
        <v>NOW-02631</v>
      </c>
      <c r="I1840" s="96" t="str">
        <f t="shared" si="146"/>
        <v>NOW Foods</v>
      </c>
      <c r="J1840" s="97" t="s">
        <v>827</v>
      </c>
      <c r="K1840" s="29">
        <v>14.22</v>
      </c>
      <c r="L1840" s="29">
        <v>-2.8450000000000002</v>
      </c>
      <c r="M1840" s="30">
        <f>IFERROR(VLOOKUP($A1840,HeadJournal!$A$1:$J$890,COLUMN(HeadJournal!I$1),0)*($K1840+$L1840)/(SUMIF($A:$A,$A1840,$K:$K)+SUMIF($A:$A,$A1840,$L:$L)),0)</f>
        <v>0.67893180236604067</v>
      </c>
      <c r="N1840" s="30">
        <f>IFERROR((VLOOKUP($A1840,HeadJournal!$A$1:$K$890,COLUMN(HeadJournal!K$1),0)-VLOOKUP($A1840,HeadJournal!$A$1:$K$890,COLUMN(HeadJournal!J$1),0))*($K1840+$L1840)/(SUMIF($A:$A,$A1840,$K:$K)+SUMIF($A:$A,$A1840,$L:$L)),0)</f>
        <v>3.4612381004319433E-15</v>
      </c>
      <c r="O1840" s="30">
        <f>IFERROR((VLOOKUP($A1840,HeadJournal!$A$1:$L$890,COLUMN(HeadJournal!L$1),0)*($K1840+$L1840)/(SUMIF($A:$A,$A1840,$K:$K)+SUMIF($A:$A,$A1840,$L:$L)))/VLOOKUP($A1840,HeadJournal!$A$1:$L$890,COLUMN(HeadJournal!H$1),0),0)</f>
        <v>0.72627598406871829</v>
      </c>
      <c r="P1840" s="30">
        <f>IFERROR(SUM(K1840:O1840)*VLOOKUP($A1840,HeadJournal!$A$1:$L$890,COLUMN(HeadJournal!H$1),0),0)</f>
        <v>1189.3308107167711</v>
      </c>
      <c r="Q1840" s="29">
        <v>2000</v>
      </c>
      <c r="R1840" s="31">
        <v>45137</v>
      </c>
      <c r="S1840" s="31" t="s">
        <v>3121</v>
      </c>
      <c r="T1840" s="95" t="str">
        <f t="shared" si="145"/>
        <v>2023 07</v>
      </c>
      <c r="U1840" s="32">
        <f t="shared" si="142"/>
        <v>810.66918928322889</v>
      </c>
      <c r="V1840" s="22">
        <f t="shared" si="143"/>
        <v>0.68161791654473736</v>
      </c>
      <c r="X1840" s="33"/>
      <c r="Y1840" s="33"/>
    </row>
    <row r="1841" spans="1:25" x14ac:dyDescent="0.2">
      <c r="A1841" s="93" t="s">
        <v>822</v>
      </c>
      <c r="B1841" s="94" t="str">
        <f>IFERROR(VLOOKUP($A1841,HeadJournal!$A$1:$NTR$890,COLUMN(HeadJournal!B$1),0),"")</f>
        <v>710000853782</v>
      </c>
      <c r="C1841" s="94" t="str">
        <f>IFERROR(VLOOKUP($A1841,HeadJournal!$A$1:$NTR$890,COLUMN(HeadJournal!C$1),0),"")</f>
        <v>iHerb_AV CYG0792</v>
      </c>
      <c r="D1841" s="125" t="str">
        <f>IFERROR(VLOOKUP($A1841,HeadJournal!$A$1:$NTR$890,COLUMN(HeadJournal!D$1),0),"")</f>
        <v>Доставлен</v>
      </c>
      <c r="E1841" s="95">
        <f>IFERROR(VLOOKUP($A1841,HeadJournal!$A$1:$NTR$890,COLUMN(HeadJournal!G$1),0),"")</f>
        <v>45101</v>
      </c>
      <c r="F1841" s="95" t="str">
        <f t="shared" si="144"/>
        <v>2023 06</v>
      </c>
      <c r="G1841" s="96" t="s">
        <v>5</v>
      </c>
      <c r="H1841" s="160" t="str">
        <f>RIGHT(Journal!$J1841,9)</f>
        <v>NOW-02631</v>
      </c>
      <c r="I1841" s="96" t="str">
        <f t="shared" si="146"/>
        <v>NOW Foods</v>
      </c>
      <c r="J1841" s="97" t="s">
        <v>827</v>
      </c>
      <c r="K1841" s="29">
        <v>14.22</v>
      </c>
      <c r="L1841" s="29">
        <v>-2.8450000000000002</v>
      </c>
      <c r="M1841" s="30">
        <f>IFERROR(VLOOKUP($A1841,HeadJournal!$A$1:$J$890,COLUMN(HeadJournal!I$1),0)*($K1841+$L1841)/(SUMIF($A:$A,$A1841,$K:$K)+SUMIF($A:$A,$A1841,$L:$L)),0)</f>
        <v>0.67893180236604067</v>
      </c>
      <c r="N1841" s="30">
        <f>IFERROR((VLOOKUP($A1841,HeadJournal!$A$1:$K$890,COLUMN(HeadJournal!K$1),0)-VLOOKUP($A1841,HeadJournal!$A$1:$K$890,COLUMN(HeadJournal!J$1),0))*($K1841+$L1841)/(SUMIF($A:$A,$A1841,$K:$K)+SUMIF($A:$A,$A1841,$L:$L)),0)</f>
        <v>3.4612381004319433E-15</v>
      </c>
      <c r="O1841" s="30">
        <f>IFERROR((VLOOKUP($A1841,HeadJournal!$A$1:$L$890,COLUMN(HeadJournal!L$1),0)*($K1841+$L1841)/(SUMIF($A:$A,$A1841,$K:$K)+SUMIF($A:$A,$A1841,$L:$L)))/VLOOKUP($A1841,HeadJournal!$A$1:$L$890,COLUMN(HeadJournal!H$1),0),0)</f>
        <v>0.72627598406871829</v>
      </c>
      <c r="P1841" s="30">
        <f>IFERROR(SUM(K1841:O1841)*VLOOKUP($A1841,HeadJournal!$A$1:$L$890,COLUMN(HeadJournal!H$1),0),0)</f>
        <v>1189.3308107167711</v>
      </c>
      <c r="Q1841" s="29">
        <v>2000</v>
      </c>
      <c r="R1841" s="31">
        <v>45137</v>
      </c>
      <c r="S1841" s="31" t="s">
        <v>3121</v>
      </c>
      <c r="T1841" s="95" t="str">
        <f t="shared" si="145"/>
        <v>2023 07</v>
      </c>
      <c r="U1841" s="32">
        <f t="shared" si="142"/>
        <v>810.66918928322889</v>
      </c>
      <c r="V1841" s="22">
        <f t="shared" si="143"/>
        <v>0.68161791654473736</v>
      </c>
      <c r="X1841" s="33"/>
      <c r="Y1841" s="33"/>
    </row>
    <row r="1842" spans="1:25" x14ac:dyDescent="0.2">
      <c r="A1842" s="93" t="s">
        <v>828</v>
      </c>
      <c r="B1842" s="94" t="str">
        <f>IFERROR(VLOOKUP($A1842,HeadJournal!$A$1:$NTR$890,COLUMN(HeadJournal!B$1),0),"")</f>
        <v>710000870557</v>
      </c>
      <c r="C1842" s="94" t="str">
        <f>IFERROR(VLOOKUP($A1842,HeadJournal!$A$1:$NTR$890,COLUMN(HeadJournal!C$1),0),"")</f>
        <v>iHerb_AV CYG0792</v>
      </c>
      <c r="D1842" s="125" t="str">
        <f>IFERROR(VLOOKUP($A1842,HeadJournal!$A$1:$NTR$890,COLUMN(HeadJournal!D$1),0),"")</f>
        <v>Доставлен</v>
      </c>
      <c r="E1842" s="95">
        <f>IFERROR(VLOOKUP($A1842,HeadJournal!$A$1:$NTR$890,COLUMN(HeadJournal!G$1),0),"")</f>
        <v>45113</v>
      </c>
      <c r="F1842" s="95" t="str">
        <f t="shared" si="144"/>
        <v>2023 07</v>
      </c>
      <c r="G1842" s="96" t="s">
        <v>5</v>
      </c>
      <c r="H1842" s="160" t="str">
        <f>RIGHT(Journal!$J1842,9)</f>
        <v>HEC-50306</v>
      </c>
      <c r="I1842" s="96" t="str">
        <f t="shared" si="146"/>
        <v>Herbs Etc</v>
      </c>
      <c r="J1842" s="97" t="s">
        <v>829</v>
      </c>
      <c r="K1842" s="29">
        <v>30.88</v>
      </c>
      <c r="L1842" s="29">
        <v>-3.09</v>
      </c>
      <c r="M1842" s="30">
        <f>IFERROR(VLOOKUP($A1842,HeadJournal!$A$1:$J$890,COLUMN(HeadJournal!I$1),0)*($K1842+$L1842)/(SUMIF($A:$A,$A1842,$K:$K)+SUMIF($A:$A,$A1842,$L:$L)),0)</f>
        <v>1.6174346617238187</v>
      </c>
      <c r="N1842" s="30">
        <f>IFERROR((VLOOKUP($A1842,HeadJournal!$A$1:$K$890,COLUMN(HeadJournal!K$1),0)-VLOOKUP($A1842,HeadJournal!$A$1:$K$890,COLUMN(HeadJournal!J$1),0))*($K1842+$L1842)/(SUMIF($A:$A,$A1842,$K:$K)+SUMIF($A:$A,$A1842,$L:$L)),0)</f>
        <v>4.8800698490634995E-15</v>
      </c>
      <c r="O1842" s="30">
        <f>IFERROR((VLOOKUP($A1842,HeadJournal!$A$1:$L$890,COLUMN(HeadJournal!L$1),0)*($K1842+$L1842)/(SUMIF($A:$A,$A1842,$K:$K)+SUMIF($A:$A,$A1842,$L:$L)))/VLOOKUP($A1842,HeadJournal!$A$1:$L$890,COLUMN(HeadJournal!H$1),0),0)</f>
        <v>2.0884512205754846</v>
      </c>
      <c r="P1842" s="30">
        <f>IFERROR(SUM(K1842:O1842)*VLOOKUP($A1842,HeadJournal!$A$1:$L$890,COLUMN(HeadJournal!H$1),0),0)</f>
        <v>3155.5137207290709</v>
      </c>
      <c r="Q1842" s="29">
        <v>3600</v>
      </c>
      <c r="R1842" s="31">
        <v>45152</v>
      </c>
      <c r="S1842" s="31" t="s">
        <v>3121</v>
      </c>
      <c r="T1842" s="95" t="str">
        <f t="shared" si="145"/>
        <v>2023 08</v>
      </c>
      <c r="U1842" s="32">
        <f t="shared" si="142"/>
        <v>444.48627927092912</v>
      </c>
      <c r="V1842" s="22">
        <f t="shared" si="143"/>
        <v>0.14086019539418515</v>
      </c>
      <c r="X1842" s="33"/>
      <c r="Y1842" s="33"/>
    </row>
    <row r="1843" spans="1:25" x14ac:dyDescent="0.2">
      <c r="A1843" s="93" t="s">
        <v>828</v>
      </c>
      <c r="B1843" s="94" t="str">
        <f>IFERROR(VLOOKUP($A1843,HeadJournal!$A$1:$NTR$890,COLUMN(HeadJournal!B$1),0),"")</f>
        <v>710000870557</v>
      </c>
      <c r="C1843" s="94" t="str">
        <f>IFERROR(VLOOKUP($A1843,HeadJournal!$A$1:$NTR$890,COLUMN(HeadJournal!C$1),0),"")</f>
        <v>iHerb_AV CYG0792</v>
      </c>
      <c r="D1843" s="125" t="str">
        <f>IFERROR(VLOOKUP($A1843,HeadJournal!$A$1:$NTR$890,COLUMN(HeadJournal!D$1),0),"")</f>
        <v>Доставлен</v>
      </c>
      <c r="E1843" s="95">
        <f>IFERROR(VLOOKUP($A1843,HeadJournal!$A$1:$NTR$890,COLUMN(HeadJournal!G$1),0),"")</f>
        <v>45113</v>
      </c>
      <c r="F1843" s="95" t="str">
        <f t="shared" si="144"/>
        <v>2023 07</v>
      </c>
      <c r="G1843" s="96" t="s">
        <v>5</v>
      </c>
      <c r="H1843" s="160" t="str">
        <f>RIGHT(Journal!$J1843,9)</f>
        <v>HEC-50306</v>
      </c>
      <c r="I1843" s="96" t="str">
        <f t="shared" si="146"/>
        <v>Herbs Etc</v>
      </c>
      <c r="J1843" s="97" t="s">
        <v>829</v>
      </c>
      <c r="K1843" s="29">
        <v>30.88</v>
      </c>
      <c r="L1843" s="29">
        <v>-3.09</v>
      </c>
      <c r="M1843" s="30">
        <f>IFERROR(VLOOKUP($A1843,HeadJournal!$A$1:$J$890,COLUMN(HeadJournal!I$1),0)*($K1843+$L1843)/(SUMIF($A:$A,$A1843,$K:$K)+SUMIF($A:$A,$A1843,$L:$L)),0)</f>
        <v>1.6174346617238187</v>
      </c>
      <c r="N1843" s="30">
        <f>IFERROR((VLOOKUP($A1843,HeadJournal!$A$1:$K$890,COLUMN(HeadJournal!K$1),0)-VLOOKUP($A1843,HeadJournal!$A$1:$K$890,COLUMN(HeadJournal!J$1),0))*($K1843+$L1843)/(SUMIF($A:$A,$A1843,$K:$K)+SUMIF($A:$A,$A1843,$L:$L)),0)</f>
        <v>4.8800698490634995E-15</v>
      </c>
      <c r="O1843" s="30">
        <f>IFERROR((VLOOKUP($A1843,HeadJournal!$A$1:$L$890,COLUMN(HeadJournal!L$1),0)*($K1843+$L1843)/(SUMIF($A:$A,$A1843,$K:$K)+SUMIF($A:$A,$A1843,$L:$L)))/VLOOKUP($A1843,HeadJournal!$A$1:$L$890,COLUMN(HeadJournal!H$1),0),0)</f>
        <v>2.0884512205754846</v>
      </c>
      <c r="P1843" s="30">
        <f>IFERROR(SUM(K1843:O1843)*VLOOKUP($A1843,HeadJournal!$A$1:$L$890,COLUMN(HeadJournal!H$1),0),0)</f>
        <v>3155.5137207290709</v>
      </c>
      <c r="Q1843" s="29">
        <v>3600</v>
      </c>
      <c r="R1843" s="31">
        <v>45152</v>
      </c>
      <c r="S1843" s="31" t="s">
        <v>3121</v>
      </c>
      <c r="T1843" s="95" t="str">
        <f t="shared" si="145"/>
        <v>2023 08</v>
      </c>
      <c r="U1843" s="32">
        <f t="shared" si="142"/>
        <v>444.48627927092912</v>
      </c>
      <c r="V1843" s="22">
        <f t="shared" si="143"/>
        <v>0.14086019539418515</v>
      </c>
      <c r="X1843" s="33"/>
      <c r="Y1843" s="33"/>
    </row>
    <row r="1844" spans="1:25" x14ac:dyDescent="0.2">
      <c r="A1844" s="93" t="s">
        <v>828</v>
      </c>
      <c r="B1844" s="94" t="str">
        <f>IFERROR(VLOOKUP($A1844,HeadJournal!$A$1:$NTR$890,COLUMN(HeadJournal!B$1),0),"")</f>
        <v>710000870557</v>
      </c>
      <c r="C1844" s="94" t="str">
        <f>IFERROR(VLOOKUP($A1844,HeadJournal!$A$1:$NTR$890,COLUMN(HeadJournal!C$1),0),"")</f>
        <v>iHerb_AV CYG0792</v>
      </c>
      <c r="D1844" s="125" t="str">
        <f>IFERROR(VLOOKUP($A1844,HeadJournal!$A$1:$NTR$890,COLUMN(HeadJournal!D$1),0),"")</f>
        <v>Доставлен</v>
      </c>
      <c r="E1844" s="95">
        <f>IFERROR(VLOOKUP($A1844,HeadJournal!$A$1:$NTR$890,COLUMN(HeadJournal!G$1),0),"")</f>
        <v>45113</v>
      </c>
      <c r="F1844" s="95" t="str">
        <f t="shared" si="144"/>
        <v>2023 07</v>
      </c>
      <c r="G1844" s="96" t="s">
        <v>5</v>
      </c>
      <c r="H1844" s="161" t="s">
        <v>3083</v>
      </c>
      <c r="I1844" s="97" t="s">
        <v>2102</v>
      </c>
      <c r="J1844" s="97" t="s">
        <v>3084</v>
      </c>
      <c r="K1844" s="29">
        <v>5.77</v>
      </c>
      <c r="L1844" s="29">
        <v>-1.155</v>
      </c>
      <c r="M1844" s="30">
        <f>IFERROR(VLOOKUP($A1844,HeadJournal!$A$1:$J$890,COLUMN(HeadJournal!I$1),0)*($K1844+$L1844)/(SUMIF($A:$A,$A1844,$K:$K)+SUMIF($A:$A,$A1844,$L:$L)),0)</f>
        <v>0.26860240963855425</v>
      </c>
      <c r="N1844" s="30">
        <f>IFERROR((VLOOKUP($A1844,HeadJournal!$A$1:$K$890,COLUMN(HeadJournal!K$1),0)-VLOOKUP($A1844,HeadJournal!$A$1:$K$890,COLUMN(HeadJournal!J$1),0))*($K1844+$L1844)/(SUMIF($A:$A,$A1844,$K:$K)+SUMIF($A:$A,$A1844,$L:$L)),0)</f>
        <v>8.1041822070629891E-16</v>
      </c>
      <c r="O1844" s="30">
        <f>IFERROR((VLOOKUP($A1844,HeadJournal!$A$1:$L$890,COLUMN(HeadJournal!L$1),0)*($K1844+$L1844)/(SUMIF($A:$A,$A1844,$K:$K)+SUMIF($A:$A,$A1844,$L:$L)))/VLOOKUP($A1844,HeadJournal!$A$1:$L$890,COLUMN(HeadJournal!H$1),0),0)</f>
        <v>0.34682268380553655</v>
      </c>
      <c r="P1844" s="30">
        <f>IFERROR(SUM(K1844:O1844)*VLOOKUP($A1844,HeadJournal!$A$1:$L$890,COLUMN(HeadJournal!H$1),0),0)</f>
        <v>524.02647791164657</v>
      </c>
      <c r="Q1844" s="29">
        <v>1000</v>
      </c>
      <c r="R1844" s="31">
        <v>45308</v>
      </c>
      <c r="S1844" s="31" t="s">
        <v>3121</v>
      </c>
      <c r="T1844" s="95" t="str">
        <f t="shared" si="145"/>
        <v>2024 01</v>
      </c>
      <c r="U1844" s="32">
        <f t="shared" si="142"/>
        <v>475.97352208835343</v>
      </c>
      <c r="V1844" s="22">
        <f t="shared" si="143"/>
        <v>0.90830051944170065</v>
      </c>
      <c r="X1844" s="33"/>
      <c r="Y1844" s="33"/>
    </row>
    <row r="1845" spans="1:25" x14ac:dyDescent="0.2">
      <c r="A1845" s="93" t="s">
        <v>828</v>
      </c>
      <c r="B1845" s="94" t="str">
        <f>IFERROR(VLOOKUP($A1845,HeadJournal!$A$1:$NTR$890,COLUMN(HeadJournal!B$1),0),"")</f>
        <v>710000870557</v>
      </c>
      <c r="C1845" s="94" t="str">
        <f>IFERROR(VLOOKUP($A1845,HeadJournal!$A$1:$NTR$890,COLUMN(HeadJournal!C$1),0),"")</f>
        <v>iHerb_AV CYG0792</v>
      </c>
      <c r="D1845" s="125" t="str">
        <f>IFERROR(VLOOKUP($A1845,HeadJournal!$A$1:$NTR$890,COLUMN(HeadJournal!D$1),0),"")</f>
        <v>Доставлен</v>
      </c>
      <c r="E1845" s="95">
        <f>IFERROR(VLOOKUP($A1845,HeadJournal!$A$1:$NTR$890,COLUMN(HeadJournal!G$1),0),"")</f>
        <v>45113</v>
      </c>
      <c r="F1845" s="95" t="str">
        <f t="shared" si="144"/>
        <v>2023 07</v>
      </c>
      <c r="G1845" s="96" t="s">
        <v>5</v>
      </c>
      <c r="H1845" s="161" t="s">
        <v>3083</v>
      </c>
      <c r="I1845" s="97" t="s">
        <v>2102</v>
      </c>
      <c r="J1845" s="97" t="s">
        <v>3084</v>
      </c>
      <c r="K1845" s="29">
        <v>5.77</v>
      </c>
      <c r="L1845" s="29">
        <v>-1.155</v>
      </c>
      <c r="M1845" s="30">
        <f>IFERROR(VLOOKUP($A1845,HeadJournal!$A$1:$J$890,COLUMN(HeadJournal!I$1),0)*($K1845+$L1845)/(SUMIF($A:$A,$A1845,$K:$K)+SUMIF($A:$A,$A1845,$L:$L)),0)</f>
        <v>0.26860240963855425</v>
      </c>
      <c r="N1845" s="30">
        <f>IFERROR((VLOOKUP($A1845,HeadJournal!$A$1:$K$890,COLUMN(HeadJournal!K$1),0)-VLOOKUP($A1845,HeadJournal!$A$1:$K$890,COLUMN(HeadJournal!J$1),0))*($K1845+$L1845)/(SUMIF($A:$A,$A1845,$K:$K)+SUMIF($A:$A,$A1845,$L:$L)),0)</f>
        <v>8.1041822070629891E-16</v>
      </c>
      <c r="O1845" s="30">
        <f>IFERROR((VLOOKUP($A1845,HeadJournal!$A$1:$L$890,COLUMN(HeadJournal!L$1),0)*($K1845+$L1845)/(SUMIF($A:$A,$A1845,$K:$K)+SUMIF($A:$A,$A1845,$L:$L)))/VLOOKUP($A1845,HeadJournal!$A$1:$L$890,COLUMN(HeadJournal!H$1),0),0)</f>
        <v>0.34682268380553655</v>
      </c>
      <c r="P1845" s="30">
        <f>IFERROR(SUM(K1845:O1845)*VLOOKUP($A1845,HeadJournal!$A$1:$L$890,COLUMN(HeadJournal!H$1),0),0)</f>
        <v>524.02647791164657</v>
      </c>
      <c r="Q1845" s="29">
        <v>1200</v>
      </c>
      <c r="R1845" s="31">
        <v>45603</v>
      </c>
      <c r="S1845" s="31" t="s">
        <v>3121</v>
      </c>
      <c r="T1845" s="95" t="str">
        <f t="shared" si="145"/>
        <v>2024 11</v>
      </c>
      <c r="U1845" s="32">
        <f t="shared" si="142"/>
        <v>675.97352208835343</v>
      </c>
      <c r="V1845" s="22">
        <f t="shared" si="143"/>
        <v>1.2899606233300407</v>
      </c>
      <c r="X1845" s="33"/>
      <c r="Y1845" s="33"/>
    </row>
    <row r="1846" spans="1:25" x14ac:dyDescent="0.2">
      <c r="A1846" s="93" t="s">
        <v>828</v>
      </c>
      <c r="B1846" s="94" t="str">
        <f>IFERROR(VLOOKUP($A1846,HeadJournal!$A$1:$NTR$890,COLUMN(HeadJournal!B$1),0),"")</f>
        <v>710000870557</v>
      </c>
      <c r="C1846" s="94" t="str">
        <f>IFERROR(VLOOKUP($A1846,HeadJournal!$A$1:$NTR$890,COLUMN(HeadJournal!C$1),0),"")</f>
        <v>iHerb_AV CYG0792</v>
      </c>
      <c r="D1846" s="125" t="str">
        <f>IFERROR(VLOOKUP($A1846,HeadJournal!$A$1:$NTR$890,COLUMN(HeadJournal!D$1),0),"")</f>
        <v>Доставлен</v>
      </c>
      <c r="E1846" s="95">
        <f>IFERROR(VLOOKUP($A1846,HeadJournal!$A$1:$NTR$890,COLUMN(HeadJournal!G$1),0),"")</f>
        <v>45113</v>
      </c>
      <c r="F1846" s="95" t="str">
        <f t="shared" si="144"/>
        <v>2023 07</v>
      </c>
      <c r="G1846" s="96" t="s">
        <v>5</v>
      </c>
      <c r="H1846" s="160" t="str">
        <f>RIGHT(Journal!$J1846,9)</f>
        <v>CRO-88517</v>
      </c>
      <c r="I1846" s="96" t="str">
        <f t="shared" si="146"/>
        <v>Christopher's Original Formulas</v>
      </c>
      <c r="J1846" s="97" t="s">
        <v>830</v>
      </c>
      <c r="K1846" s="29">
        <v>14.68</v>
      </c>
      <c r="L1846" s="29">
        <v>-1.47</v>
      </c>
      <c r="M1846" s="30">
        <f>IFERROR(VLOOKUP($A1846,HeadJournal!$A$1:$J$890,COLUMN(HeadJournal!I$1),0)*($K1846+$L1846)/(SUMIF($A:$A,$A1846,$K:$K)+SUMIF($A:$A,$A1846,$L:$L)),0)</f>
        <v>0.76884893419833189</v>
      </c>
      <c r="N1846" s="30">
        <f>IFERROR((VLOOKUP($A1846,HeadJournal!$A$1:$K$890,COLUMN(HeadJournal!K$1),0)-VLOOKUP($A1846,HeadJournal!$A$1:$K$890,COLUMN(HeadJournal!J$1),0))*($K1846+$L1846)/(SUMIF($A:$A,$A1846,$K:$K)+SUMIF($A:$A,$A1846,$L:$L)),0)</f>
        <v>2.3197453294756685E-15</v>
      </c>
      <c r="O1846" s="30">
        <f>IFERROR((VLOOKUP($A1846,HeadJournal!$A$1:$L$890,COLUMN(HeadJournal!L$1),0)*($K1846+$L1846)/(SUMIF($A:$A,$A1846,$K:$K)+SUMIF($A:$A,$A1846,$L:$L)))/VLOOKUP($A1846,HeadJournal!$A$1:$L$890,COLUMN(HeadJournal!H$1),0),0)</f>
        <v>0.99274705375322603</v>
      </c>
      <c r="P1846" s="30">
        <f>IFERROR(SUM(K1846:O1846)*VLOOKUP($A1846,HeadJournal!$A$1:$L$890,COLUMN(HeadJournal!H$1),0),0)</f>
        <v>1499.9761155390793</v>
      </c>
      <c r="Q1846" s="29">
        <v>2000</v>
      </c>
      <c r="R1846" s="31">
        <v>45154</v>
      </c>
      <c r="S1846" s="31" t="s">
        <v>3121</v>
      </c>
      <c r="T1846" s="95" t="str">
        <f t="shared" si="145"/>
        <v>2023 08</v>
      </c>
      <c r="U1846" s="32">
        <f t="shared" si="142"/>
        <v>500.02388446092073</v>
      </c>
      <c r="V1846" s="22">
        <f t="shared" si="143"/>
        <v>0.33335456430332305</v>
      </c>
      <c r="X1846" s="33"/>
      <c r="Y1846" s="33"/>
    </row>
    <row r="1847" spans="1:25" x14ac:dyDescent="0.2">
      <c r="A1847" s="93" t="s">
        <v>828</v>
      </c>
      <c r="B1847" s="94" t="str">
        <f>IFERROR(VLOOKUP($A1847,HeadJournal!$A$1:$NTR$890,COLUMN(HeadJournal!B$1),0),"")</f>
        <v>710000870557</v>
      </c>
      <c r="C1847" s="94" t="str">
        <f>IFERROR(VLOOKUP($A1847,HeadJournal!$A$1:$NTR$890,COLUMN(HeadJournal!C$1),0),"")</f>
        <v>iHerb_AV CYG0792</v>
      </c>
      <c r="D1847" s="125" t="str">
        <f>IFERROR(VLOOKUP($A1847,HeadJournal!$A$1:$NTR$890,COLUMN(HeadJournal!D$1),0),"")</f>
        <v>Доставлен</v>
      </c>
      <c r="E1847" s="95">
        <f>IFERROR(VLOOKUP($A1847,HeadJournal!$A$1:$NTR$890,COLUMN(HeadJournal!G$1),0),"")</f>
        <v>45113</v>
      </c>
      <c r="F1847" s="95" t="str">
        <f t="shared" si="144"/>
        <v>2023 07</v>
      </c>
      <c r="G1847" s="96" t="s">
        <v>5</v>
      </c>
      <c r="H1847" s="161" t="s">
        <v>3577</v>
      </c>
      <c r="I1847" s="97" t="s">
        <v>2052</v>
      </c>
      <c r="J1847" s="97" t="s">
        <v>3578</v>
      </c>
      <c r="K1847" s="29">
        <v>9</v>
      </c>
      <c r="L1847" s="29">
        <v>-2.6999999999999997</v>
      </c>
      <c r="M1847" s="30">
        <f>IFERROR(VLOOKUP($A1847,HeadJournal!$A$1:$J$890,COLUMN(HeadJournal!I$1),0)*($K1847+$L1847)/(SUMIF($A:$A,$A1847,$K:$K)+SUMIF($A:$A,$A1847,$L:$L)),0)</f>
        <v>0.36667284522706223</v>
      </c>
      <c r="N1847" s="30">
        <f>IFERROR((VLOOKUP($A1847,HeadJournal!$A$1:$K$890,COLUMN(HeadJournal!K$1),0)-VLOOKUP($A1847,HeadJournal!$A$1:$K$890,COLUMN(HeadJournal!J$1),0))*($K1847+$L1847)/(SUMIF($A:$A,$A1847,$K:$K)+SUMIF($A:$A,$A1847,$L:$L)),0)</f>
        <v>1.1063130640194333E-15</v>
      </c>
      <c r="O1847" s="30">
        <f>IFERROR((VLOOKUP($A1847,HeadJournal!$A$1:$L$890,COLUMN(HeadJournal!L$1),0)*($K1847+$L1847)/(SUMIF($A:$A,$A1847,$K:$K)+SUMIF($A:$A,$A1847,$L:$L)))/VLOOKUP($A1847,HeadJournal!$A$1:$L$890,COLUMN(HeadJournal!H$1),0),0)</f>
        <v>0.47345241776270436</v>
      </c>
      <c r="P1847" s="30">
        <f>IFERROR(SUM(K1847:O1847)*VLOOKUP($A1847,HeadJournal!$A$1:$L$890,COLUMN(HeadJournal!H$1),0),0)</f>
        <v>715.3557553290085</v>
      </c>
      <c r="Q1847" s="29">
        <v>2000</v>
      </c>
      <c r="R1847" s="31">
        <v>45264</v>
      </c>
      <c r="S1847" s="31" t="s">
        <v>3121</v>
      </c>
      <c r="T1847" s="95" t="str">
        <f t="shared" si="145"/>
        <v>2023 12</v>
      </c>
      <c r="U1847" s="32">
        <f t="shared" si="142"/>
        <v>1284.6442446709916</v>
      </c>
      <c r="V1847" s="22">
        <f t="shared" si="143"/>
        <v>1.7958117134042688</v>
      </c>
      <c r="X1847" s="33"/>
      <c r="Y1847" s="33"/>
    </row>
    <row r="1848" spans="1:25" x14ac:dyDescent="0.2">
      <c r="A1848" s="93" t="s">
        <v>828</v>
      </c>
      <c r="B1848" s="94" t="str">
        <f>IFERROR(VLOOKUP($A1848,HeadJournal!$A$1:$NTR$890,COLUMN(HeadJournal!B$1),0),"")</f>
        <v>710000870557</v>
      </c>
      <c r="C1848" s="94" t="str">
        <f>IFERROR(VLOOKUP($A1848,HeadJournal!$A$1:$NTR$890,COLUMN(HeadJournal!C$1),0),"")</f>
        <v>iHerb_AV CYG0792</v>
      </c>
      <c r="D1848" s="125" t="str">
        <f>IFERROR(VLOOKUP($A1848,HeadJournal!$A$1:$NTR$890,COLUMN(HeadJournal!D$1),0),"")</f>
        <v>Доставлен</v>
      </c>
      <c r="E1848" s="95">
        <f>IFERROR(VLOOKUP($A1848,HeadJournal!$A$1:$NTR$890,COLUMN(HeadJournal!G$1),0),"")</f>
        <v>45113</v>
      </c>
      <c r="F1848" s="95" t="str">
        <f t="shared" si="144"/>
        <v>2023 07</v>
      </c>
      <c r="G1848" s="96" t="s">
        <v>5</v>
      </c>
      <c r="H1848" s="161" t="s">
        <v>3577</v>
      </c>
      <c r="I1848" s="97" t="s">
        <v>2052</v>
      </c>
      <c r="J1848" s="97" t="s">
        <v>3578</v>
      </c>
      <c r="K1848" s="29">
        <v>9</v>
      </c>
      <c r="L1848" s="29">
        <v>-2.6999999999999997</v>
      </c>
      <c r="M1848" s="30">
        <f>IFERROR(VLOOKUP($A1848,HeadJournal!$A$1:$J$890,COLUMN(HeadJournal!I$1),0)*($K1848+$L1848)/(SUMIF($A:$A,$A1848,$K:$K)+SUMIF($A:$A,$A1848,$L:$L)),0)</f>
        <v>0.36667284522706223</v>
      </c>
      <c r="N1848" s="30">
        <f>IFERROR((VLOOKUP($A1848,HeadJournal!$A$1:$K$890,COLUMN(HeadJournal!K$1),0)-VLOOKUP($A1848,HeadJournal!$A$1:$K$890,COLUMN(HeadJournal!J$1),0))*($K1848+$L1848)/(SUMIF($A:$A,$A1848,$K:$K)+SUMIF($A:$A,$A1848,$L:$L)),0)</f>
        <v>1.1063130640194333E-15</v>
      </c>
      <c r="O1848" s="30">
        <f>IFERROR((VLOOKUP($A1848,HeadJournal!$A$1:$L$890,COLUMN(HeadJournal!L$1),0)*($K1848+$L1848)/(SUMIF($A:$A,$A1848,$K:$K)+SUMIF($A:$A,$A1848,$L:$L)))/VLOOKUP($A1848,HeadJournal!$A$1:$L$890,COLUMN(HeadJournal!H$1),0),0)</f>
        <v>0.47345241776270436</v>
      </c>
      <c r="P1848" s="30">
        <f>IFERROR(SUM(K1848:O1848)*VLOOKUP($A1848,HeadJournal!$A$1:$L$890,COLUMN(HeadJournal!H$1),0),0)</f>
        <v>715.3557553290085</v>
      </c>
      <c r="Q1848" s="29">
        <v>2000</v>
      </c>
      <c r="R1848" s="31">
        <v>45424</v>
      </c>
      <c r="S1848" s="31" t="s">
        <v>3121</v>
      </c>
      <c r="T1848" s="95" t="str">
        <f t="shared" si="145"/>
        <v>2024 05</v>
      </c>
      <c r="U1848" s="32">
        <f t="shared" si="142"/>
        <v>1284.6442446709916</v>
      </c>
      <c r="V1848" s="22">
        <f t="shared" si="143"/>
        <v>1.7958117134042688</v>
      </c>
      <c r="X1848" s="33"/>
      <c r="Y1848" s="33"/>
    </row>
    <row r="1849" spans="1:25" x14ac:dyDescent="0.2">
      <c r="A1849" s="93" t="s">
        <v>828</v>
      </c>
      <c r="B1849" s="94" t="str">
        <f>IFERROR(VLOOKUP($A1849,HeadJournal!$A$1:$NTR$890,COLUMN(HeadJournal!B$1),0),"")</f>
        <v>710000870557</v>
      </c>
      <c r="C1849" s="94" t="str">
        <f>IFERROR(VLOOKUP($A1849,HeadJournal!$A$1:$NTR$890,COLUMN(HeadJournal!C$1),0),"")</f>
        <v>iHerb_AV CYG0792</v>
      </c>
      <c r="D1849" s="125" t="str">
        <f>IFERROR(VLOOKUP($A1849,HeadJournal!$A$1:$NTR$890,COLUMN(HeadJournal!D$1),0),"")</f>
        <v>Доставлен</v>
      </c>
      <c r="E1849" s="95">
        <f>IFERROR(VLOOKUP($A1849,HeadJournal!$A$1:$NTR$890,COLUMN(HeadJournal!G$1),0),"")</f>
        <v>45113</v>
      </c>
      <c r="F1849" s="95" t="str">
        <f t="shared" si="144"/>
        <v>2023 07</v>
      </c>
      <c r="G1849" s="96" t="s">
        <v>5</v>
      </c>
      <c r="H1849" s="161" t="s">
        <v>3577</v>
      </c>
      <c r="I1849" s="97" t="s">
        <v>2052</v>
      </c>
      <c r="J1849" s="97" t="s">
        <v>3578</v>
      </c>
      <c r="K1849" s="29">
        <v>9</v>
      </c>
      <c r="L1849" s="29">
        <v>-2.6999999999999997</v>
      </c>
      <c r="M1849" s="30">
        <f>IFERROR(VLOOKUP($A1849,HeadJournal!$A$1:$J$890,COLUMN(HeadJournal!I$1),0)*($K1849+$L1849)/(SUMIF($A:$A,$A1849,$K:$K)+SUMIF($A:$A,$A1849,$L:$L)),0)</f>
        <v>0.36667284522706223</v>
      </c>
      <c r="N1849" s="30">
        <f>IFERROR((VLOOKUP($A1849,HeadJournal!$A$1:$K$890,COLUMN(HeadJournal!K$1),0)-VLOOKUP($A1849,HeadJournal!$A$1:$K$890,COLUMN(HeadJournal!J$1),0))*($K1849+$L1849)/(SUMIF($A:$A,$A1849,$K:$K)+SUMIF($A:$A,$A1849,$L:$L)),0)</f>
        <v>1.1063130640194333E-15</v>
      </c>
      <c r="O1849" s="30">
        <f>IFERROR((VLOOKUP($A1849,HeadJournal!$A$1:$L$890,COLUMN(HeadJournal!L$1),0)*($K1849+$L1849)/(SUMIF($A:$A,$A1849,$K:$K)+SUMIF($A:$A,$A1849,$L:$L)))/VLOOKUP($A1849,HeadJournal!$A$1:$L$890,COLUMN(HeadJournal!H$1),0),0)</f>
        <v>0.47345241776270436</v>
      </c>
      <c r="P1849" s="30">
        <f>IFERROR(SUM(K1849:O1849)*VLOOKUP($A1849,HeadJournal!$A$1:$L$890,COLUMN(HeadJournal!H$1),0),0)</f>
        <v>715.3557553290085</v>
      </c>
      <c r="Q1849" s="29"/>
      <c r="R1849" s="31"/>
      <c r="S1849" s="31"/>
      <c r="T1849" s="95" t="str">
        <f t="shared" si="145"/>
        <v/>
      </c>
      <c r="U1849" s="32">
        <f t="shared" si="142"/>
        <v>-715.3557553290085</v>
      </c>
      <c r="V1849" s="22" t="str">
        <f t="shared" si="143"/>
        <v/>
      </c>
      <c r="X1849" s="33"/>
      <c r="Y1849" s="33"/>
    </row>
    <row r="1850" spans="1:25" x14ac:dyDescent="0.2">
      <c r="A1850" s="93" t="s">
        <v>828</v>
      </c>
      <c r="B1850" s="94" t="str">
        <f>IFERROR(VLOOKUP($A1850,HeadJournal!$A$1:$NTR$890,COLUMN(HeadJournal!B$1),0),"")</f>
        <v>710000870557</v>
      </c>
      <c r="C1850" s="94" t="str">
        <f>IFERROR(VLOOKUP($A1850,HeadJournal!$A$1:$NTR$890,COLUMN(HeadJournal!C$1),0),"")</f>
        <v>iHerb_AV CYG0792</v>
      </c>
      <c r="D1850" s="125" t="str">
        <f>IFERROR(VLOOKUP($A1850,HeadJournal!$A$1:$NTR$890,COLUMN(HeadJournal!D$1),0),"")</f>
        <v>Доставлен</v>
      </c>
      <c r="E1850" s="95">
        <f>IFERROR(VLOOKUP($A1850,HeadJournal!$A$1:$NTR$890,COLUMN(HeadJournal!G$1),0),"")</f>
        <v>45113</v>
      </c>
      <c r="F1850" s="95" t="str">
        <f t="shared" si="144"/>
        <v>2023 07</v>
      </c>
      <c r="G1850" s="96" t="s">
        <v>5</v>
      </c>
      <c r="H1850" s="161" t="s">
        <v>4207</v>
      </c>
      <c r="I1850" s="97" t="s">
        <v>2102</v>
      </c>
      <c r="J1850" s="97" t="s">
        <v>4208</v>
      </c>
      <c r="K1850" s="29">
        <v>18.190000000000001</v>
      </c>
      <c r="L1850" s="29">
        <v>-3.64</v>
      </c>
      <c r="M1850" s="30">
        <f>IFERROR(VLOOKUP($A1850,HeadJournal!$A$1:$J$890,COLUMN(HeadJournal!I$1),0)*($K1850+$L1850)/(SUMIF($A:$A,$A1850,$K:$K)+SUMIF($A:$A,$A1850,$L:$L)),0)</f>
        <v>0.84683966635773888</v>
      </c>
      <c r="N1850" s="30">
        <f>IFERROR((VLOOKUP($A1850,HeadJournal!$A$1:$K$890,COLUMN(HeadJournal!K$1),0)-VLOOKUP($A1850,HeadJournal!$A$1:$K$890,COLUMN(HeadJournal!J$1),0))*($K1850+$L1850)/(SUMIF($A:$A,$A1850,$K:$K)+SUMIF($A:$A,$A1850,$L:$L)),0)</f>
        <v>2.5550563621401197E-15</v>
      </c>
      <c r="O1850" s="30">
        <f>IFERROR((VLOOKUP($A1850,HeadJournal!$A$1:$L$890,COLUMN(HeadJournal!L$1),0)*($K1850+$L1850)/(SUMIF($A:$A,$A1850,$K:$K)+SUMIF($A:$A,$A1850,$L:$L)))/VLOOKUP($A1850,HeadJournal!$A$1:$L$890,COLUMN(HeadJournal!H$1),0),0)</f>
        <v>1.0934496314995792</v>
      </c>
      <c r="P1850" s="30">
        <f>IFERROR(SUM(K1850:O1850)*VLOOKUP($A1850,HeadJournal!$A$1:$L$890,COLUMN(HeadJournal!H$1),0),0)</f>
        <v>1652.1311492122338</v>
      </c>
      <c r="Q1850" s="29">
        <v>2600</v>
      </c>
      <c r="R1850" s="31">
        <v>45346</v>
      </c>
      <c r="S1850" s="31" t="s">
        <v>3121</v>
      </c>
      <c r="T1850" s="95" t="str">
        <f t="shared" si="145"/>
        <v>2024 02</v>
      </c>
      <c r="U1850" s="32">
        <f t="shared" si="142"/>
        <v>947.86885078776618</v>
      </c>
      <c r="V1850" s="22">
        <f t="shared" si="143"/>
        <v>0.57372494383374306</v>
      </c>
      <c r="X1850" s="33"/>
      <c r="Y1850" s="33"/>
    </row>
    <row r="1851" spans="1:25" x14ac:dyDescent="0.2">
      <c r="A1851" s="93" t="s">
        <v>828</v>
      </c>
      <c r="B1851" s="94" t="str">
        <f>IFERROR(VLOOKUP($A1851,HeadJournal!$A$1:$NTR$890,COLUMN(HeadJournal!B$1),0),"")</f>
        <v>710000870557</v>
      </c>
      <c r="C1851" s="94" t="str">
        <f>IFERROR(VLOOKUP($A1851,HeadJournal!$A$1:$NTR$890,COLUMN(HeadJournal!C$1),0),"")</f>
        <v>iHerb_AV CYG0792</v>
      </c>
      <c r="D1851" s="125" t="str">
        <f>IFERROR(VLOOKUP($A1851,HeadJournal!$A$1:$NTR$890,COLUMN(HeadJournal!D$1),0),"")</f>
        <v>Доставлен</v>
      </c>
      <c r="E1851" s="95">
        <f>IFERROR(VLOOKUP($A1851,HeadJournal!$A$1:$NTR$890,COLUMN(HeadJournal!G$1),0),"")</f>
        <v>45113</v>
      </c>
      <c r="F1851" s="95" t="str">
        <f t="shared" si="144"/>
        <v>2023 07</v>
      </c>
      <c r="G1851" s="96" t="s">
        <v>5</v>
      </c>
      <c r="H1851" s="161" t="s">
        <v>3101</v>
      </c>
      <c r="I1851" s="97" t="s">
        <v>2102</v>
      </c>
      <c r="J1851" s="97" t="s">
        <v>3102</v>
      </c>
      <c r="K1851" s="29">
        <v>10.220000000000001</v>
      </c>
      <c r="L1851" s="29">
        <v>-2.04</v>
      </c>
      <c r="M1851" s="30">
        <f>IFERROR(VLOOKUP($A1851,HeadJournal!$A$1:$J$890,COLUMN(HeadJournal!I$1),0)*($K1851+$L1851)/(SUMIF($A:$A,$A1851,$K:$K)+SUMIF($A:$A,$A1851,$L:$L)),0)</f>
        <v>0.4760926784059315</v>
      </c>
      <c r="N1851" s="30">
        <f>IFERROR((VLOOKUP($A1851,HeadJournal!$A$1:$K$890,COLUMN(HeadJournal!K$1),0)-VLOOKUP($A1851,HeadJournal!$A$1:$K$890,COLUMN(HeadJournal!J$1),0))*($K1851+$L1851)/(SUMIF($A:$A,$A1851,$K:$K)+SUMIF($A:$A,$A1851,$L:$L)),0)</f>
        <v>1.4364509307426926E-15</v>
      </c>
      <c r="O1851" s="30">
        <f>IFERROR((VLOOKUP($A1851,HeadJournal!$A$1:$L$890,COLUMN(HeadJournal!L$1),0)*($K1851+$L1851)/(SUMIF($A:$A,$A1851,$K:$K)+SUMIF($A:$A,$A1851,$L:$L)))/VLOOKUP($A1851,HeadJournal!$A$1:$L$890,COLUMN(HeadJournal!H$1),0),0)</f>
        <v>0.61473663131728906</v>
      </c>
      <c r="P1851" s="30">
        <f>IFERROR(SUM(K1851:O1851)*VLOOKUP($A1851,HeadJournal!$A$1:$L$890,COLUMN(HeadJournal!H$1),0),0)</f>
        <v>928.82699660179196</v>
      </c>
      <c r="Q1851" s="29">
        <v>1700</v>
      </c>
      <c r="R1851" s="31">
        <v>45306</v>
      </c>
      <c r="S1851" s="31" t="s">
        <v>3121</v>
      </c>
      <c r="T1851" s="95" t="str">
        <f t="shared" si="145"/>
        <v>2024 01</v>
      </c>
      <c r="U1851" s="32">
        <f t="shared" si="142"/>
        <v>771.17300339820804</v>
      </c>
      <c r="V1851" s="22">
        <f t="shared" si="143"/>
        <v>0.83026549208800227</v>
      </c>
      <c r="X1851" s="33"/>
      <c r="Y1851" s="33"/>
    </row>
    <row r="1852" spans="1:25" x14ac:dyDescent="0.2">
      <c r="A1852" s="93" t="s">
        <v>828</v>
      </c>
      <c r="B1852" s="94" t="str">
        <f>IFERROR(VLOOKUP($A1852,HeadJournal!$A$1:$NTR$890,COLUMN(HeadJournal!B$1),0),"")</f>
        <v>710000870557</v>
      </c>
      <c r="C1852" s="94" t="str">
        <f>IFERROR(VLOOKUP($A1852,HeadJournal!$A$1:$NTR$890,COLUMN(HeadJournal!C$1),0),"")</f>
        <v>iHerb_AV CYG0792</v>
      </c>
      <c r="D1852" s="125" t="str">
        <f>IFERROR(VLOOKUP($A1852,HeadJournal!$A$1:$NTR$890,COLUMN(HeadJournal!D$1),0),"")</f>
        <v>Доставлен</v>
      </c>
      <c r="E1852" s="95">
        <f>IFERROR(VLOOKUP($A1852,HeadJournal!$A$1:$NTR$890,COLUMN(HeadJournal!G$1),0),"")</f>
        <v>45113</v>
      </c>
      <c r="F1852" s="95" t="str">
        <f t="shared" si="144"/>
        <v>2023 07</v>
      </c>
      <c r="G1852" s="96" t="s">
        <v>5</v>
      </c>
      <c r="H1852" s="160" t="str">
        <f>RIGHT(Journal!$J1852,9)</f>
        <v>WAK-11145</v>
      </c>
      <c r="I1852" s="96" t="str">
        <f t="shared" si="146"/>
        <v>Kyolic</v>
      </c>
      <c r="J1852" s="97" t="s">
        <v>831</v>
      </c>
      <c r="K1852" s="29">
        <v>25.09</v>
      </c>
      <c r="L1852" s="29">
        <v>-8.09</v>
      </c>
      <c r="M1852" s="30">
        <f>IFERROR(VLOOKUP($A1852,HeadJournal!$A$1:$J$890,COLUMN(HeadJournal!I$1),0)*($K1852+$L1852)/(SUMIF($A:$A,$A1852,$K:$K)+SUMIF($A:$A,$A1852,$L:$L)),0)</f>
        <v>0.98943466172381866</v>
      </c>
      <c r="N1852" s="30">
        <f>IFERROR((VLOOKUP($A1852,HeadJournal!$A$1:$K$890,COLUMN(HeadJournal!K$1),0)-VLOOKUP($A1852,HeadJournal!$A$1:$K$890,COLUMN(HeadJournal!J$1),0))*($K1852+$L1852)/(SUMIF($A:$A,$A1852,$K:$K)+SUMIF($A:$A,$A1852,$L:$L)),0)</f>
        <v>2.985289220369899E-15</v>
      </c>
      <c r="O1852" s="30">
        <f>IFERROR((VLOOKUP($A1852,HeadJournal!$A$1:$L$890,COLUMN(HeadJournal!L$1),0)*($K1852+$L1852)/(SUMIF($A:$A,$A1852,$K:$K)+SUMIF($A:$A,$A1852,$L:$L)))/VLOOKUP($A1852,HeadJournal!$A$1:$L$890,COLUMN(HeadJournal!H$1),0),0)</f>
        <v>1.2775700161850752</v>
      </c>
      <c r="P1852" s="30">
        <f>IFERROR(SUM(K1852:O1852)*VLOOKUP($A1852,HeadJournal!$A$1:$L$890,COLUMN(HeadJournal!H$1),0),0)</f>
        <v>1930.3250540624038</v>
      </c>
      <c r="Q1852" s="29"/>
      <c r="R1852" s="31"/>
      <c r="S1852" s="31"/>
      <c r="T1852" s="95" t="str">
        <f t="shared" si="145"/>
        <v/>
      </c>
      <c r="U1852" s="32">
        <f t="shared" si="142"/>
        <v>-1930.3250540624038</v>
      </c>
      <c r="V1852" s="22" t="str">
        <f t="shared" si="143"/>
        <v/>
      </c>
      <c r="X1852" s="33"/>
      <c r="Y1852" s="33"/>
    </row>
    <row r="1853" spans="1:25" x14ac:dyDescent="0.2">
      <c r="A1853" s="93" t="s">
        <v>828</v>
      </c>
      <c r="B1853" s="94" t="str">
        <f>IFERROR(VLOOKUP($A1853,HeadJournal!$A$1:$NTR$890,COLUMN(HeadJournal!B$1),0),"")</f>
        <v>710000870557</v>
      </c>
      <c r="C1853" s="94" t="str">
        <f>IFERROR(VLOOKUP($A1853,HeadJournal!$A$1:$NTR$890,COLUMN(HeadJournal!C$1),0),"")</f>
        <v>iHerb_AV CYG0792</v>
      </c>
      <c r="D1853" s="125" t="str">
        <f>IFERROR(VLOOKUP($A1853,HeadJournal!$A$1:$NTR$890,COLUMN(HeadJournal!D$1),0),"")</f>
        <v>Доставлен</v>
      </c>
      <c r="E1853" s="95">
        <f>IFERROR(VLOOKUP($A1853,HeadJournal!$A$1:$NTR$890,COLUMN(HeadJournal!G$1),0),"")</f>
        <v>45113</v>
      </c>
      <c r="F1853" s="95" t="str">
        <f t="shared" si="144"/>
        <v>2023 07</v>
      </c>
      <c r="G1853" s="96" t="s">
        <v>5</v>
      </c>
      <c r="H1853" s="160" t="str">
        <f>RIGHT(Journal!$J1853,9)</f>
        <v>CGN-01156</v>
      </c>
      <c r="I1853" s="96" t="str">
        <f t="shared" si="146"/>
        <v>California Gold Nutrition</v>
      </c>
      <c r="J1853" s="97" t="s">
        <v>832</v>
      </c>
      <c r="K1853" s="29">
        <v>18</v>
      </c>
      <c r="L1853" s="29">
        <v>-5.4</v>
      </c>
      <c r="M1853" s="30">
        <f>IFERROR(VLOOKUP($A1853,HeadJournal!$A$1:$J$890,COLUMN(HeadJournal!I$1),0)*($K1853+$L1853)/(SUMIF($A:$A,$A1853,$K:$K)+SUMIF($A:$A,$A1853,$L:$L)),0)</f>
        <v>0.73334569045412434</v>
      </c>
      <c r="N1853" s="30">
        <f>IFERROR((VLOOKUP($A1853,HeadJournal!$A$1:$K$890,COLUMN(HeadJournal!K$1),0)-VLOOKUP($A1853,HeadJournal!$A$1:$K$890,COLUMN(HeadJournal!J$1),0))*($K1853+$L1853)/(SUMIF($A:$A,$A1853,$K:$K)+SUMIF($A:$A,$A1853,$L:$L)),0)</f>
        <v>2.2126261280388663E-15</v>
      </c>
      <c r="O1853" s="30">
        <f>IFERROR((VLOOKUP($A1853,HeadJournal!$A$1:$L$890,COLUMN(HeadJournal!L$1),0)*($K1853+$L1853)/(SUMIF($A:$A,$A1853,$K:$K)+SUMIF($A:$A,$A1853,$L:$L)))/VLOOKUP($A1853,HeadJournal!$A$1:$L$890,COLUMN(HeadJournal!H$1),0),0)</f>
        <v>0.94690483552540861</v>
      </c>
      <c r="P1853" s="30">
        <f>IFERROR(SUM(K1853:O1853)*VLOOKUP($A1853,HeadJournal!$A$1:$L$890,COLUMN(HeadJournal!H$1),0),0)</f>
        <v>1430.7115106580168</v>
      </c>
      <c r="Q1853" s="29">
        <v>2700</v>
      </c>
      <c r="R1853" s="31">
        <v>45153</v>
      </c>
      <c r="S1853" s="31" t="s">
        <v>3121</v>
      </c>
      <c r="T1853" s="95" t="str">
        <f t="shared" si="145"/>
        <v>2023 08</v>
      </c>
      <c r="U1853" s="32">
        <f t="shared" si="142"/>
        <v>1269.2884893419832</v>
      </c>
      <c r="V1853" s="22">
        <f t="shared" si="143"/>
        <v>0.88717290654788161</v>
      </c>
      <c r="X1853" s="33"/>
      <c r="Y1853" s="33"/>
    </row>
    <row r="1854" spans="1:25" x14ac:dyDescent="0.2">
      <c r="A1854" s="93" t="s">
        <v>828</v>
      </c>
      <c r="B1854" s="94" t="str">
        <f>IFERROR(VLOOKUP($A1854,HeadJournal!$A$1:$NTR$890,COLUMN(HeadJournal!B$1),0),"")</f>
        <v>710000870557</v>
      </c>
      <c r="C1854" s="94" t="str">
        <f>IFERROR(VLOOKUP($A1854,HeadJournal!$A$1:$NTR$890,COLUMN(HeadJournal!C$1),0),"")</f>
        <v>iHerb_AV CYG0792</v>
      </c>
      <c r="D1854" s="125" t="str">
        <f>IFERROR(VLOOKUP($A1854,HeadJournal!$A$1:$NTR$890,COLUMN(HeadJournal!D$1),0),"")</f>
        <v>Доставлен</v>
      </c>
      <c r="E1854" s="95">
        <f>IFERROR(VLOOKUP($A1854,HeadJournal!$A$1:$NTR$890,COLUMN(HeadJournal!G$1),0),"")</f>
        <v>45113</v>
      </c>
      <c r="F1854" s="95" t="str">
        <f t="shared" si="144"/>
        <v>2023 07</v>
      </c>
      <c r="G1854" s="96" t="s">
        <v>5</v>
      </c>
      <c r="H1854" s="160" t="str">
        <f>RIGHT(Journal!$J1854,9)</f>
        <v>CGN-01156</v>
      </c>
      <c r="I1854" s="96" t="str">
        <f t="shared" si="146"/>
        <v>California Gold Nutrition</v>
      </c>
      <c r="J1854" s="97" t="s">
        <v>832</v>
      </c>
      <c r="K1854" s="29">
        <v>18</v>
      </c>
      <c r="L1854" s="29">
        <v>-5.4</v>
      </c>
      <c r="M1854" s="30">
        <f>IFERROR(VLOOKUP($A1854,HeadJournal!$A$1:$J$890,COLUMN(HeadJournal!I$1),0)*($K1854+$L1854)/(SUMIF($A:$A,$A1854,$K:$K)+SUMIF($A:$A,$A1854,$L:$L)),0)</f>
        <v>0.73334569045412434</v>
      </c>
      <c r="N1854" s="30">
        <f>IFERROR((VLOOKUP($A1854,HeadJournal!$A$1:$K$890,COLUMN(HeadJournal!K$1),0)-VLOOKUP($A1854,HeadJournal!$A$1:$K$890,COLUMN(HeadJournal!J$1),0))*($K1854+$L1854)/(SUMIF($A:$A,$A1854,$K:$K)+SUMIF($A:$A,$A1854,$L:$L)),0)</f>
        <v>2.2126261280388663E-15</v>
      </c>
      <c r="O1854" s="30">
        <f>IFERROR((VLOOKUP($A1854,HeadJournal!$A$1:$L$890,COLUMN(HeadJournal!L$1),0)*($K1854+$L1854)/(SUMIF($A:$A,$A1854,$K:$K)+SUMIF($A:$A,$A1854,$L:$L)))/VLOOKUP($A1854,HeadJournal!$A$1:$L$890,COLUMN(HeadJournal!H$1),0),0)</f>
        <v>0.94690483552540861</v>
      </c>
      <c r="P1854" s="30">
        <f>IFERROR(SUM(K1854:O1854)*VLOOKUP($A1854,HeadJournal!$A$1:$L$890,COLUMN(HeadJournal!H$1),0),0)</f>
        <v>1430.7115106580168</v>
      </c>
      <c r="Q1854" s="29">
        <v>2500</v>
      </c>
      <c r="R1854" s="31">
        <v>45264</v>
      </c>
      <c r="S1854" s="31" t="s">
        <v>3121</v>
      </c>
      <c r="T1854" s="95" t="str">
        <f t="shared" si="145"/>
        <v>2023 12</v>
      </c>
      <c r="U1854" s="32">
        <f t="shared" si="142"/>
        <v>1069.2884893419832</v>
      </c>
      <c r="V1854" s="22">
        <f t="shared" si="143"/>
        <v>0.74738232087766809</v>
      </c>
      <c r="X1854" s="33"/>
      <c r="Y1854" s="33"/>
    </row>
    <row r="1855" spans="1:25" x14ac:dyDescent="0.2">
      <c r="A1855" s="93" t="s">
        <v>833</v>
      </c>
      <c r="B1855" s="94" t="str">
        <f>IFERROR(VLOOKUP($A1855,HeadJournal!$A$1:$NTR$890,COLUMN(HeadJournal!B$1),0),"")</f>
        <v>710000879029</v>
      </c>
      <c r="C1855" s="94" t="str">
        <f>IFERROR(VLOOKUP($A1855,HeadJournal!$A$1:$NTR$890,COLUMN(HeadJournal!C$1),0),"")</f>
        <v>iHerb_OA CZN6870</v>
      </c>
      <c r="D1855" s="125" t="str">
        <f>IFERROR(VLOOKUP($A1855,HeadJournal!$A$1:$NTR$890,COLUMN(HeadJournal!D$1),0),"")</f>
        <v>Доставлен</v>
      </c>
      <c r="E1855" s="95">
        <f>IFERROR(VLOOKUP($A1855,HeadJournal!$A$1:$NTR$890,COLUMN(HeadJournal!G$1),0),"")</f>
        <v>45120</v>
      </c>
      <c r="F1855" s="95" t="str">
        <f t="shared" si="144"/>
        <v>2023 07</v>
      </c>
      <c r="G1855" s="96" t="s">
        <v>5</v>
      </c>
      <c r="H1855" s="161" t="s">
        <v>3033</v>
      </c>
      <c r="I1855" s="97" t="s">
        <v>2007</v>
      </c>
      <c r="J1855" s="97" t="s">
        <v>3034</v>
      </c>
      <c r="K1855" s="29">
        <v>33.6</v>
      </c>
      <c r="L1855" s="29">
        <v>-10.08</v>
      </c>
      <c r="M1855" s="30">
        <f>IFERROR(VLOOKUP($A1855,HeadJournal!$A$1:$J$890,COLUMN(HeadJournal!I$1),0)*($K1855+$L1855)/(SUMIF($A:$A,$A1855,$K:$K)+SUMIF($A:$A,$A1855,$L:$L)),0)</f>
        <v>-2.6444576775840072</v>
      </c>
      <c r="N1855" s="30">
        <f>IFERROR((VLOOKUP($A1855,HeadJournal!$A$1:$K$890,COLUMN(HeadJournal!K$1),0)-VLOOKUP($A1855,HeadJournal!$A$1:$K$890,COLUMN(HeadJournal!J$1),0))*($K1855+$L1855)/(SUMIF($A:$A,$A1855,$K:$K)+SUMIF($A:$A,$A1855,$L:$L)),0)</f>
        <v>0</v>
      </c>
      <c r="O1855" s="30">
        <f>IFERROR((VLOOKUP($A1855,HeadJournal!$A$1:$L$890,COLUMN(HeadJournal!L$1),0)*($K1855+$L1855)/(SUMIF($A:$A,$A1855,$K:$K)+SUMIF($A:$A,$A1855,$L:$L)))/VLOOKUP($A1855,HeadJournal!$A$1:$L$890,COLUMN(HeadJournal!H$1),0),0)</f>
        <v>1.9979646330713032</v>
      </c>
      <c r="P1855" s="30">
        <f>IFERROR(SUM(K1855:O1855)*VLOOKUP($A1855,HeadJournal!$A$1:$L$890,COLUMN(HeadJournal!H$1),0),0)</f>
        <v>2326.1790216928971</v>
      </c>
      <c r="Q1855" s="29">
        <v>3500</v>
      </c>
      <c r="R1855" s="31">
        <v>45153</v>
      </c>
      <c r="S1855" s="31" t="s">
        <v>3121</v>
      </c>
      <c r="T1855" s="95" t="str">
        <f t="shared" si="145"/>
        <v>2023 08</v>
      </c>
      <c r="U1855" s="32">
        <f t="shared" si="142"/>
        <v>1173.8209783071029</v>
      </c>
      <c r="V1855" s="22">
        <f t="shared" si="143"/>
        <v>0.50461334547366199</v>
      </c>
      <c r="X1855" s="33"/>
      <c r="Y1855" s="33"/>
    </row>
    <row r="1856" spans="1:25" x14ac:dyDescent="0.2">
      <c r="A1856" s="93" t="s">
        <v>833</v>
      </c>
      <c r="B1856" s="94" t="str">
        <f>IFERROR(VLOOKUP($A1856,HeadJournal!$A$1:$NTR$890,COLUMN(HeadJournal!B$1),0),"")</f>
        <v>710000879029</v>
      </c>
      <c r="C1856" s="94" t="str">
        <f>IFERROR(VLOOKUP($A1856,HeadJournal!$A$1:$NTR$890,COLUMN(HeadJournal!C$1),0),"")</f>
        <v>iHerb_OA CZN6870</v>
      </c>
      <c r="D1856" s="125" t="str">
        <f>IFERROR(VLOOKUP($A1856,HeadJournal!$A$1:$NTR$890,COLUMN(HeadJournal!D$1),0),"")</f>
        <v>Доставлен</v>
      </c>
      <c r="E1856" s="95">
        <f>IFERROR(VLOOKUP($A1856,HeadJournal!$A$1:$NTR$890,COLUMN(HeadJournal!G$1),0),"")</f>
        <v>45120</v>
      </c>
      <c r="F1856" s="95" t="str">
        <f t="shared" si="144"/>
        <v>2023 07</v>
      </c>
      <c r="G1856" s="96" t="s">
        <v>5</v>
      </c>
      <c r="H1856" s="161" t="s">
        <v>3033</v>
      </c>
      <c r="I1856" s="97" t="s">
        <v>2007</v>
      </c>
      <c r="J1856" s="97" t="s">
        <v>3034</v>
      </c>
      <c r="K1856" s="29">
        <v>33.6</v>
      </c>
      <c r="L1856" s="29">
        <v>-10.08</v>
      </c>
      <c r="M1856" s="30">
        <f>IFERROR(VLOOKUP($A1856,HeadJournal!$A$1:$J$890,COLUMN(HeadJournal!I$1),0)*($K1856+$L1856)/(SUMIF($A:$A,$A1856,$K:$K)+SUMIF($A:$A,$A1856,$L:$L)),0)</f>
        <v>-2.6444576775840072</v>
      </c>
      <c r="N1856" s="30">
        <f>IFERROR((VLOOKUP($A1856,HeadJournal!$A$1:$K$890,COLUMN(HeadJournal!K$1),0)-VLOOKUP($A1856,HeadJournal!$A$1:$K$890,COLUMN(HeadJournal!J$1),0))*($K1856+$L1856)/(SUMIF($A:$A,$A1856,$K:$K)+SUMIF($A:$A,$A1856,$L:$L)),0)</f>
        <v>0</v>
      </c>
      <c r="O1856" s="30">
        <f>IFERROR((VLOOKUP($A1856,HeadJournal!$A$1:$L$890,COLUMN(HeadJournal!L$1),0)*($K1856+$L1856)/(SUMIF($A:$A,$A1856,$K:$K)+SUMIF($A:$A,$A1856,$L:$L)))/VLOOKUP($A1856,HeadJournal!$A$1:$L$890,COLUMN(HeadJournal!H$1),0),0)</f>
        <v>1.9979646330713032</v>
      </c>
      <c r="P1856" s="30">
        <f>IFERROR(SUM(K1856:O1856)*VLOOKUP($A1856,HeadJournal!$A$1:$L$890,COLUMN(HeadJournal!H$1),0),0)</f>
        <v>2326.1790216928971</v>
      </c>
      <c r="Q1856" s="29">
        <v>3500</v>
      </c>
      <c r="R1856" s="31">
        <v>45153</v>
      </c>
      <c r="S1856" s="31" t="s">
        <v>3121</v>
      </c>
      <c r="T1856" s="95" t="str">
        <f t="shared" si="145"/>
        <v>2023 08</v>
      </c>
      <c r="U1856" s="32">
        <f t="shared" si="142"/>
        <v>1173.8209783071029</v>
      </c>
      <c r="V1856" s="22">
        <f t="shared" si="143"/>
        <v>0.50461334547366199</v>
      </c>
      <c r="X1856" s="33"/>
      <c r="Y1856" s="33"/>
    </row>
    <row r="1857" spans="1:25" x14ac:dyDescent="0.2">
      <c r="A1857" s="93" t="s">
        <v>833</v>
      </c>
      <c r="B1857" s="94" t="str">
        <f>IFERROR(VLOOKUP($A1857,HeadJournal!$A$1:$NTR$890,COLUMN(HeadJournal!B$1),0),"")</f>
        <v>710000879029</v>
      </c>
      <c r="C1857" s="94" t="str">
        <f>IFERROR(VLOOKUP($A1857,HeadJournal!$A$1:$NTR$890,COLUMN(HeadJournal!C$1),0),"")</f>
        <v>iHerb_OA CZN6870</v>
      </c>
      <c r="D1857" s="125" t="str">
        <f>IFERROR(VLOOKUP($A1857,HeadJournal!$A$1:$NTR$890,COLUMN(HeadJournal!D$1),0),"")</f>
        <v>Доставлен</v>
      </c>
      <c r="E1857" s="95">
        <f>IFERROR(VLOOKUP($A1857,HeadJournal!$A$1:$NTR$890,COLUMN(HeadJournal!G$1),0),"")</f>
        <v>45120</v>
      </c>
      <c r="F1857" s="95" t="str">
        <f t="shared" si="144"/>
        <v>2023 07</v>
      </c>
      <c r="G1857" s="96" t="s">
        <v>5</v>
      </c>
      <c r="H1857" s="161" t="s">
        <v>3033</v>
      </c>
      <c r="I1857" s="97" t="s">
        <v>2007</v>
      </c>
      <c r="J1857" s="97" t="s">
        <v>3034</v>
      </c>
      <c r="K1857" s="29">
        <v>33.6</v>
      </c>
      <c r="L1857" s="29">
        <v>-10.08</v>
      </c>
      <c r="M1857" s="30">
        <f>IFERROR(VLOOKUP($A1857,HeadJournal!$A$1:$J$890,COLUMN(HeadJournal!I$1),0)*($K1857+$L1857)/(SUMIF($A:$A,$A1857,$K:$K)+SUMIF($A:$A,$A1857,$L:$L)),0)</f>
        <v>-2.6444576775840072</v>
      </c>
      <c r="N1857" s="30">
        <f>IFERROR((VLOOKUP($A1857,HeadJournal!$A$1:$K$890,COLUMN(HeadJournal!K$1),0)-VLOOKUP($A1857,HeadJournal!$A$1:$K$890,COLUMN(HeadJournal!J$1),0))*($K1857+$L1857)/(SUMIF($A:$A,$A1857,$K:$K)+SUMIF($A:$A,$A1857,$L:$L)),0)</f>
        <v>0</v>
      </c>
      <c r="O1857" s="30">
        <f>IFERROR((VLOOKUP($A1857,HeadJournal!$A$1:$L$890,COLUMN(HeadJournal!L$1),0)*($K1857+$L1857)/(SUMIF($A:$A,$A1857,$K:$K)+SUMIF($A:$A,$A1857,$L:$L)))/VLOOKUP($A1857,HeadJournal!$A$1:$L$890,COLUMN(HeadJournal!H$1),0),0)</f>
        <v>1.9979646330713032</v>
      </c>
      <c r="P1857" s="30">
        <f>IFERROR(SUM(K1857:O1857)*VLOOKUP($A1857,HeadJournal!$A$1:$L$890,COLUMN(HeadJournal!H$1),0),0)</f>
        <v>2326.1790216928971</v>
      </c>
      <c r="Q1857" s="29">
        <v>4000</v>
      </c>
      <c r="R1857" s="31">
        <v>45177</v>
      </c>
      <c r="S1857" s="31" t="s">
        <v>3121</v>
      </c>
      <c r="T1857" s="95" t="str">
        <f t="shared" si="145"/>
        <v>2023 09</v>
      </c>
      <c r="U1857" s="32">
        <f t="shared" ref="U1857:U1920" si="147">Q1857-P1857</f>
        <v>1673.8209783071029</v>
      </c>
      <c r="V1857" s="22">
        <f t="shared" ref="V1857:V1920" si="148">IF(Q1857&lt;&gt;0,IFERROR(U1857/P1857,""),"")</f>
        <v>0.71955810911275653</v>
      </c>
      <c r="X1857" s="33"/>
      <c r="Y1857" s="33"/>
    </row>
    <row r="1858" spans="1:25" x14ac:dyDescent="0.2">
      <c r="A1858" s="93" t="s">
        <v>833</v>
      </c>
      <c r="B1858" s="94" t="str">
        <f>IFERROR(VLOOKUP($A1858,HeadJournal!$A$1:$NTR$890,COLUMN(HeadJournal!B$1),0),"")</f>
        <v>710000879029</v>
      </c>
      <c r="C1858" s="94" t="str">
        <f>IFERROR(VLOOKUP($A1858,HeadJournal!$A$1:$NTR$890,COLUMN(HeadJournal!C$1),0),"")</f>
        <v>iHerb_OA CZN6870</v>
      </c>
      <c r="D1858" s="125" t="str">
        <f>IFERROR(VLOOKUP($A1858,HeadJournal!$A$1:$NTR$890,COLUMN(HeadJournal!D$1),0),"")</f>
        <v>Доставлен</v>
      </c>
      <c r="E1858" s="95">
        <f>IFERROR(VLOOKUP($A1858,HeadJournal!$A$1:$NTR$890,COLUMN(HeadJournal!G$1),0),"")</f>
        <v>45120</v>
      </c>
      <c r="F1858" s="95" t="str">
        <f t="shared" si="144"/>
        <v>2023 07</v>
      </c>
      <c r="G1858" s="96" t="s">
        <v>5</v>
      </c>
      <c r="H1858" s="175" t="s">
        <v>3628</v>
      </c>
      <c r="I1858" s="176" t="s">
        <v>3670</v>
      </c>
      <c r="J1858" s="97" t="s">
        <v>3671</v>
      </c>
      <c r="K1858" s="29">
        <v>22.14</v>
      </c>
      <c r="L1858" s="29">
        <v>-4.43</v>
      </c>
      <c r="M1858" s="30">
        <f>IFERROR(VLOOKUP($A1858,HeadJournal!$A$1:$J$890,COLUMN(HeadJournal!I$1),0)*($K1858+$L1858)/(SUMIF($A:$A,$A1858,$K:$K)+SUMIF($A:$A,$A1858,$L:$L)),0)</f>
        <v>-1.9912136679427195</v>
      </c>
      <c r="N1858" s="30">
        <f>IFERROR((VLOOKUP($A1858,HeadJournal!$A$1:$K$890,COLUMN(HeadJournal!K$1),0)-VLOOKUP($A1858,HeadJournal!$A$1:$K$890,COLUMN(HeadJournal!J$1),0))*($K1858+$L1858)/(SUMIF($A:$A,$A1858,$K:$K)+SUMIF($A:$A,$A1858,$L:$L)),0)</f>
        <v>0</v>
      </c>
      <c r="O1858" s="30">
        <f>IFERROR((VLOOKUP($A1858,HeadJournal!$A$1:$L$890,COLUMN(HeadJournal!L$1),0)*($K1858+$L1858)/(SUMIF($A:$A,$A1858,$K:$K)+SUMIF($A:$A,$A1858,$L:$L)))/VLOOKUP($A1858,HeadJournal!$A$1:$L$890,COLUMN(HeadJournal!H$1),0),0)</f>
        <v>1.5044197981161893</v>
      </c>
      <c r="P1858" s="30">
        <f>IFERROR(SUM(K1858:O1858)*VLOOKUP($A1858,HeadJournal!$A$1:$L$890,COLUMN(HeadJournal!H$1),0),0)</f>
        <v>1751.557418119949</v>
      </c>
      <c r="Q1858" s="29">
        <v>2600</v>
      </c>
      <c r="R1858" s="31">
        <v>45182</v>
      </c>
      <c r="S1858" s="31" t="s">
        <v>3121</v>
      </c>
      <c r="T1858" s="95" t="str">
        <f t="shared" si="145"/>
        <v>2023 09</v>
      </c>
      <c r="U1858" s="32">
        <f t="shared" si="147"/>
        <v>848.44258188005097</v>
      </c>
      <c r="V1858" s="22">
        <f t="shared" si="148"/>
        <v>0.4843932451787592</v>
      </c>
      <c r="X1858" s="33"/>
      <c r="Y1858" s="33"/>
    </row>
    <row r="1859" spans="1:25" x14ac:dyDescent="0.2">
      <c r="A1859" s="93" t="s">
        <v>833</v>
      </c>
      <c r="B1859" s="94" t="str">
        <f>IFERROR(VLOOKUP($A1859,HeadJournal!$A$1:$NTR$890,COLUMN(HeadJournal!B$1),0),"")</f>
        <v>710000879029</v>
      </c>
      <c r="C1859" s="94" t="str">
        <f>IFERROR(VLOOKUP($A1859,HeadJournal!$A$1:$NTR$890,COLUMN(HeadJournal!C$1),0),"")</f>
        <v>iHerb_OA CZN6870</v>
      </c>
      <c r="D1859" s="125" t="str">
        <f>IFERROR(VLOOKUP($A1859,HeadJournal!$A$1:$NTR$890,COLUMN(HeadJournal!D$1),0),"")</f>
        <v>Доставлен</v>
      </c>
      <c r="E1859" s="95">
        <f>IFERROR(VLOOKUP($A1859,HeadJournal!$A$1:$NTR$890,COLUMN(HeadJournal!G$1),0),"")</f>
        <v>45120</v>
      </c>
      <c r="F1859" s="95" t="str">
        <f t="shared" si="144"/>
        <v>2023 07</v>
      </c>
      <c r="G1859" s="96" t="s">
        <v>5</v>
      </c>
      <c r="H1859" s="160" t="str">
        <f>RIGHT(Journal!$J1859,9)</f>
        <v>SWV-01922</v>
      </c>
      <c r="I1859" s="96" t="str">
        <f t="shared" si="146"/>
        <v>Swanson</v>
      </c>
      <c r="J1859" s="97" t="s">
        <v>834</v>
      </c>
      <c r="K1859" s="29">
        <v>3.43</v>
      </c>
      <c r="L1859" s="29">
        <v>-0.68500000000000005</v>
      </c>
      <c r="M1859" s="30">
        <f>IFERROR(VLOOKUP($A1859,HeadJournal!$A$1:$J$890,COLUMN(HeadJournal!I$1),0)*($K1859+$L1859)/(SUMIF($A:$A,$A1859,$K:$K)+SUMIF($A:$A,$A1859,$L:$L)),0)</f>
        <v>-0.30863249680986815</v>
      </c>
      <c r="N1859" s="30">
        <f>IFERROR((VLOOKUP($A1859,HeadJournal!$A$1:$K$890,COLUMN(HeadJournal!K$1),0)-VLOOKUP($A1859,HeadJournal!$A$1:$K$890,COLUMN(HeadJournal!J$1),0))*($K1859+$L1859)/(SUMIF($A:$A,$A1859,$K:$K)+SUMIF($A:$A,$A1859,$L:$L)),0)</f>
        <v>0</v>
      </c>
      <c r="O1859" s="30">
        <f>IFERROR((VLOOKUP($A1859,HeadJournal!$A$1:$L$890,COLUMN(HeadJournal!L$1),0)*($K1859+$L1859)/(SUMIF($A:$A,$A1859,$K:$K)+SUMIF($A:$A,$A1859,$L:$L)))/VLOOKUP($A1859,HeadJournal!$A$1:$L$890,COLUMN(HeadJournal!H$1),0),0)</f>
        <v>0.23318082133421453</v>
      </c>
      <c r="P1859" s="30">
        <f>IFERROR(SUM(K1859:O1859)*VLOOKUP($A1859,HeadJournal!$A$1:$L$890,COLUMN(HeadJournal!H$1),0),0)</f>
        <v>271.48645470012764</v>
      </c>
      <c r="Q1859" s="29">
        <v>1100</v>
      </c>
      <c r="R1859" s="31">
        <v>45492</v>
      </c>
      <c r="S1859" s="31" t="s">
        <v>3121</v>
      </c>
      <c r="T1859" s="95" t="str">
        <f t="shared" si="145"/>
        <v>2024 07</v>
      </c>
      <c r="U1859" s="32">
        <f t="shared" si="147"/>
        <v>828.51354529987236</v>
      </c>
      <c r="V1859" s="22">
        <f t="shared" si="148"/>
        <v>3.0517675226744299</v>
      </c>
      <c r="X1859" s="33"/>
      <c r="Y1859" s="33"/>
    </row>
    <row r="1860" spans="1:25" x14ac:dyDescent="0.2">
      <c r="A1860" s="93" t="s">
        <v>833</v>
      </c>
      <c r="B1860" s="94" t="str">
        <f>IFERROR(VLOOKUP($A1860,HeadJournal!$A$1:$NTR$890,COLUMN(HeadJournal!B$1),0),"")</f>
        <v>710000879029</v>
      </c>
      <c r="C1860" s="94" t="str">
        <f>IFERROR(VLOOKUP($A1860,HeadJournal!$A$1:$NTR$890,COLUMN(HeadJournal!C$1),0),"")</f>
        <v>iHerb_OA CZN6870</v>
      </c>
      <c r="D1860" s="125" t="str">
        <f>IFERROR(VLOOKUP($A1860,HeadJournal!$A$1:$NTR$890,COLUMN(HeadJournal!D$1),0),"")</f>
        <v>Доставлен</v>
      </c>
      <c r="E1860" s="95">
        <f>IFERROR(VLOOKUP($A1860,HeadJournal!$A$1:$NTR$890,COLUMN(HeadJournal!G$1),0),"")</f>
        <v>45120</v>
      </c>
      <c r="F1860" s="95" t="str">
        <f t="shared" ref="F1860:F1923" si="149">IFERROR(TEXT(E1860, "ГГГГ ММ"),"")</f>
        <v>2023 07</v>
      </c>
      <c r="G1860" s="96" t="s">
        <v>5</v>
      </c>
      <c r="H1860" s="160" t="str">
        <f>RIGHT(Journal!$J1860,9)</f>
        <v>SWV-01922</v>
      </c>
      <c r="I1860" s="96" t="str">
        <f t="shared" si="146"/>
        <v>Swanson</v>
      </c>
      <c r="J1860" s="97" t="s">
        <v>834</v>
      </c>
      <c r="K1860" s="29">
        <v>3.43</v>
      </c>
      <c r="L1860" s="29">
        <v>-0.68500000000000005</v>
      </c>
      <c r="M1860" s="30">
        <f>IFERROR(VLOOKUP($A1860,HeadJournal!$A$1:$J$890,COLUMN(HeadJournal!I$1),0)*($K1860+$L1860)/(SUMIF($A:$A,$A1860,$K:$K)+SUMIF($A:$A,$A1860,$L:$L)),0)</f>
        <v>-0.30863249680986815</v>
      </c>
      <c r="N1860" s="30">
        <f>IFERROR((VLOOKUP($A1860,HeadJournal!$A$1:$K$890,COLUMN(HeadJournal!K$1),0)-VLOOKUP($A1860,HeadJournal!$A$1:$K$890,COLUMN(HeadJournal!J$1),0))*($K1860+$L1860)/(SUMIF($A:$A,$A1860,$K:$K)+SUMIF($A:$A,$A1860,$L:$L)),0)</f>
        <v>0</v>
      </c>
      <c r="O1860" s="30">
        <f>IFERROR((VLOOKUP($A1860,HeadJournal!$A$1:$L$890,COLUMN(HeadJournal!L$1),0)*($K1860+$L1860)/(SUMIF($A:$A,$A1860,$K:$K)+SUMIF($A:$A,$A1860,$L:$L)))/VLOOKUP($A1860,HeadJournal!$A$1:$L$890,COLUMN(HeadJournal!H$1),0),0)</f>
        <v>0.23318082133421453</v>
      </c>
      <c r="P1860" s="30">
        <f>IFERROR(SUM(K1860:O1860)*VLOOKUP($A1860,HeadJournal!$A$1:$L$890,COLUMN(HeadJournal!H$1),0),0)</f>
        <v>271.48645470012764</v>
      </c>
      <c r="Q1860" s="29">
        <v>1000</v>
      </c>
      <c r="R1860" s="31">
        <v>45750</v>
      </c>
      <c r="S1860" s="31" t="s">
        <v>3121</v>
      </c>
      <c r="T1860" s="95" t="str">
        <f t="shared" ref="T1860:T1923" si="150">IF(R1860="","",TEXT(R1860,"ГГГГ ММ"))</f>
        <v>2025 04</v>
      </c>
      <c r="U1860" s="32">
        <f t="shared" si="147"/>
        <v>728.51354529987236</v>
      </c>
      <c r="V1860" s="22">
        <f t="shared" si="148"/>
        <v>2.6834250206131181</v>
      </c>
      <c r="X1860" s="33"/>
      <c r="Y1860" s="33"/>
    </row>
    <row r="1861" spans="1:25" x14ac:dyDescent="0.2">
      <c r="A1861" s="93" t="s">
        <v>833</v>
      </c>
      <c r="B1861" s="94" t="str">
        <f>IFERROR(VLOOKUP($A1861,HeadJournal!$A$1:$NTR$890,COLUMN(HeadJournal!B$1),0),"")</f>
        <v>710000879029</v>
      </c>
      <c r="C1861" s="94" t="str">
        <f>IFERROR(VLOOKUP($A1861,HeadJournal!$A$1:$NTR$890,COLUMN(HeadJournal!C$1),0),"")</f>
        <v>iHerb_OA CZN6870</v>
      </c>
      <c r="D1861" s="125" t="str">
        <f>IFERROR(VLOOKUP($A1861,HeadJournal!$A$1:$NTR$890,COLUMN(HeadJournal!D$1),0),"")</f>
        <v>Доставлен</v>
      </c>
      <c r="E1861" s="95">
        <f>IFERROR(VLOOKUP($A1861,HeadJournal!$A$1:$NTR$890,COLUMN(HeadJournal!G$1),0),"")</f>
        <v>45120</v>
      </c>
      <c r="F1861" s="95" t="str">
        <f t="shared" si="149"/>
        <v>2023 07</v>
      </c>
      <c r="G1861" s="96" t="s">
        <v>5</v>
      </c>
      <c r="H1861" s="160" t="str">
        <f>RIGHT(Journal!$J1861,9)</f>
        <v>SWV-11613</v>
      </c>
      <c r="I1861" s="96" t="str">
        <f t="shared" si="146"/>
        <v>Swanson</v>
      </c>
      <c r="J1861" s="97" t="s">
        <v>835</v>
      </c>
      <c r="K1861" s="29">
        <v>7.78</v>
      </c>
      <c r="L1861" s="29">
        <v>-1.56</v>
      </c>
      <c r="M1861" s="30">
        <f>IFERROR(VLOOKUP($A1861,HeadJournal!$A$1:$J$890,COLUMN(HeadJournal!I$1),0)*($K1861+$L1861)/(SUMIF($A:$A,$A1861,$K:$K)+SUMIF($A:$A,$A1861,$L:$L)),0)</f>
        <v>-0.69934212391889983</v>
      </c>
      <c r="N1861" s="30">
        <f>IFERROR((VLOOKUP($A1861,HeadJournal!$A$1:$K$890,COLUMN(HeadJournal!K$1),0)-VLOOKUP($A1861,HeadJournal!$A$1:$K$890,COLUMN(HeadJournal!J$1),0))*($K1861+$L1861)/(SUMIF($A:$A,$A1861,$K:$K)+SUMIF($A:$A,$A1861,$L:$L)),0)</f>
        <v>0</v>
      </c>
      <c r="O1861" s="30">
        <f>IFERROR((VLOOKUP($A1861,HeadJournal!$A$1:$L$890,COLUMN(HeadJournal!L$1),0)*($K1861+$L1861)/(SUMIF($A:$A,$A1861,$K:$K)+SUMIF($A:$A,$A1861,$L:$L)))/VLOOKUP($A1861,HeadJournal!$A$1:$L$890,COLUMN(HeadJournal!H$1),0),0)</f>
        <v>0.52837330007242789</v>
      </c>
      <c r="P1861" s="30">
        <f>IFERROR(SUM(K1861:O1861)*VLOOKUP($A1861,HeadJournal!$A$1:$L$890,COLUMN(HeadJournal!H$1),0),0)</f>
        <v>615.17149298171</v>
      </c>
      <c r="Q1861" s="29">
        <v>1500</v>
      </c>
      <c r="R1861" s="31">
        <v>45306</v>
      </c>
      <c r="S1861" s="31" t="s">
        <v>3121</v>
      </c>
      <c r="T1861" s="95" t="str">
        <f t="shared" si="150"/>
        <v>2024 01</v>
      </c>
      <c r="U1861" s="32">
        <f t="shared" si="147"/>
        <v>884.82850701829</v>
      </c>
      <c r="V1861" s="22">
        <f t="shared" si="148"/>
        <v>1.4383444569733945</v>
      </c>
      <c r="X1861" s="33"/>
      <c r="Y1861" s="33"/>
    </row>
    <row r="1862" spans="1:25" x14ac:dyDescent="0.2">
      <c r="A1862" s="93" t="s">
        <v>833</v>
      </c>
      <c r="B1862" s="94" t="str">
        <f>IFERROR(VLOOKUP($A1862,HeadJournal!$A$1:$NTR$890,COLUMN(HeadJournal!B$1),0),"")</f>
        <v>710000879029</v>
      </c>
      <c r="C1862" s="94" t="str">
        <f>IFERROR(VLOOKUP($A1862,HeadJournal!$A$1:$NTR$890,COLUMN(HeadJournal!C$1),0),"")</f>
        <v>iHerb_OA CZN6870</v>
      </c>
      <c r="D1862" s="125" t="str">
        <f>IFERROR(VLOOKUP($A1862,HeadJournal!$A$1:$NTR$890,COLUMN(HeadJournal!D$1),0),"")</f>
        <v>Доставлен</v>
      </c>
      <c r="E1862" s="95">
        <f>IFERROR(VLOOKUP($A1862,HeadJournal!$A$1:$NTR$890,COLUMN(HeadJournal!G$1),0),"")</f>
        <v>45120</v>
      </c>
      <c r="F1862" s="95" t="str">
        <f t="shared" si="149"/>
        <v>2023 07</v>
      </c>
      <c r="G1862" s="96" t="s">
        <v>5</v>
      </c>
      <c r="H1862" s="161" t="s">
        <v>4039</v>
      </c>
      <c r="I1862" s="97" t="s">
        <v>2239</v>
      </c>
      <c r="J1862" s="97" t="s">
        <v>4040</v>
      </c>
      <c r="K1862" s="29">
        <v>16.3</v>
      </c>
      <c r="L1862" s="29">
        <v>-6.3</v>
      </c>
      <c r="M1862" s="30">
        <f>IFERROR(VLOOKUP($A1862,HeadJournal!$A$1:$J$890,COLUMN(HeadJournal!I$1),0)*($K1862+$L1862)/(SUMIF($A:$A,$A1862,$K:$K)+SUMIF($A:$A,$A1862,$L:$L)),0)</f>
        <v>-1.1243442506734722</v>
      </c>
      <c r="N1862" s="30">
        <f>IFERROR((VLOOKUP($A1862,HeadJournal!$A$1:$K$890,COLUMN(HeadJournal!K$1),0)-VLOOKUP($A1862,HeadJournal!$A$1:$K$890,COLUMN(HeadJournal!J$1),0))*($K1862+$L1862)/(SUMIF($A:$A,$A1862,$K:$K)+SUMIF($A:$A,$A1862,$L:$L)),0)</f>
        <v>0</v>
      </c>
      <c r="O1862" s="30">
        <f>IFERROR((VLOOKUP($A1862,HeadJournal!$A$1:$L$890,COLUMN(HeadJournal!L$1),0)*($K1862+$L1862)/(SUMIF($A:$A,$A1862,$K:$K)+SUMIF($A:$A,$A1862,$L:$L)))/VLOOKUP($A1862,HeadJournal!$A$1:$L$890,COLUMN(HeadJournal!H$1),0),0)</f>
        <v>0.84947475895888724</v>
      </c>
      <c r="P1862" s="30">
        <f>IFERROR(SUM(K1862:O1862)*VLOOKUP($A1862,HeadJournal!$A$1:$L$890,COLUMN(HeadJournal!H$1),0),0)</f>
        <v>989.02169289663982</v>
      </c>
      <c r="Q1862" s="29">
        <v>2300</v>
      </c>
      <c r="R1862" s="31">
        <v>45158</v>
      </c>
      <c r="S1862" s="31" t="s">
        <v>3121</v>
      </c>
      <c r="T1862" s="95" t="str">
        <f t="shared" si="150"/>
        <v>2023 08</v>
      </c>
      <c r="U1862" s="32">
        <f t="shared" si="147"/>
        <v>1310.9783071033603</v>
      </c>
      <c r="V1862" s="22">
        <f t="shared" si="148"/>
        <v>1.3255303867640924</v>
      </c>
      <c r="X1862" s="33"/>
      <c r="Y1862" s="33"/>
    </row>
    <row r="1863" spans="1:25" x14ac:dyDescent="0.2">
      <c r="A1863" s="93" t="s">
        <v>833</v>
      </c>
      <c r="B1863" s="94" t="str">
        <f>IFERROR(VLOOKUP($A1863,HeadJournal!$A$1:$NTR$890,COLUMN(HeadJournal!B$1),0),"")</f>
        <v>710000879029</v>
      </c>
      <c r="C1863" s="94" t="str">
        <f>IFERROR(VLOOKUP($A1863,HeadJournal!$A$1:$NTR$890,COLUMN(HeadJournal!C$1),0),"")</f>
        <v>iHerb_OA CZN6870</v>
      </c>
      <c r="D1863" s="125" t="str">
        <f>IFERROR(VLOOKUP($A1863,HeadJournal!$A$1:$NTR$890,COLUMN(HeadJournal!D$1),0),"")</f>
        <v>Доставлен</v>
      </c>
      <c r="E1863" s="95">
        <f>IFERROR(VLOOKUP($A1863,HeadJournal!$A$1:$NTR$890,COLUMN(HeadJournal!G$1),0),"")</f>
        <v>45120</v>
      </c>
      <c r="F1863" s="95" t="str">
        <f t="shared" si="149"/>
        <v>2023 07</v>
      </c>
      <c r="G1863" s="96" t="s">
        <v>6</v>
      </c>
      <c r="H1863" s="160" t="str">
        <f>RIGHT(Journal!$J1863,9)</f>
        <v>OPN-05223</v>
      </c>
      <c r="I1863" s="96" t="str">
        <f t="shared" si="146"/>
        <v>Optimum Nutrition</v>
      </c>
      <c r="J1863" s="97" t="s">
        <v>836</v>
      </c>
      <c r="K1863" s="29">
        <v>36.56</v>
      </c>
      <c r="L1863" s="29">
        <v>-5.48</v>
      </c>
      <c r="M1863" s="30">
        <f>IFERROR(VLOOKUP($A1863,HeadJournal!$A$1:$J$890,COLUMN(HeadJournal!I$1),0)*($K1863+$L1863)/(SUMIF($A:$A,$A1863,$K:$K)+SUMIF($A:$A,$A1863,$L:$L)),0)</f>
        <v>-3.4944619310931522</v>
      </c>
      <c r="N1863" s="30">
        <f>IFERROR((VLOOKUP($A1863,HeadJournal!$A$1:$K$890,COLUMN(HeadJournal!K$1),0)-VLOOKUP($A1863,HeadJournal!$A$1:$K$890,COLUMN(HeadJournal!J$1),0))*($K1863+$L1863)/(SUMIF($A:$A,$A1863,$K:$K)+SUMIF($A:$A,$A1863,$L:$L)),0)</f>
        <v>0</v>
      </c>
      <c r="O1863" s="30">
        <f>IFERROR((VLOOKUP($A1863,HeadJournal!$A$1:$L$890,COLUMN(HeadJournal!L$1),0)*($K1863+$L1863)/(SUMIF($A:$A,$A1863,$K:$K)+SUMIF($A:$A,$A1863,$L:$L)))/VLOOKUP($A1863,HeadJournal!$A$1:$L$890,COLUMN(HeadJournal!H$1),0),0)</f>
        <v>2.6401675508442213</v>
      </c>
      <c r="P1863" s="30">
        <f>IFERROR(SUM(K1863:O1863)*VLOOKUP($A1863,HeadJournal!$A$1:$L$890,COLUMN(HeadJournal!H$1),0),0)</f>
        <v>3073.8794215227567</v>
      </c>
      <c r="Q1863" s="29">
        <v>3800</v>
      </c>
      <c r="R1863" s="31">
        <v>45152</v>
      </c>
      <c r="S1863" s="31" t="s">
        <v>3121</v>
      </c>
      <c r="T1863" s="95" t="str">
        <f t="shared" si="150"/>
        <v>2023 08</v>
      </c>
      <c r="U1863" s="32">
        <f t="shared" si="147"/>
        <v>726.12057847724327</v>
      </c>
      <c r="V1863" s="22">
        <f t="shared" si="148"/>
        <v>0.23622285682160341</v>
      </c>
      <c r="X1863" s="33"/>
      <c r="Y1863" s="33"/>
    </row>
    <row r="1864" spans="1:25" x14ac:dyDescent="0.2">
      <c r="A1864" s="93" t="s">
        <v>837</v>
      </c>
      <c r="B1864" s="94">
        <f>IFERROR(VLOOKUP($A1864,HeadJournal!$A$1:$NTR$890,COLUMN(HeadJournal!B$1),0),"")</f>
        <v>0</v>
      </c>
      <c r="C1864" s="94" t="str">
        <f>IFERROR(VLOOKUP($A1864,HeadJournal!$A$1:$NTR$890,COLUMN(HeadJournal!C$1),0),"")</f>
        <v>OZON_OA</v>
      </c>
      <c r="D1864" s="125" t="str">
        <f>IFERROR(VLOOKUP($A1864,HeadJournal!$A$1:$NTR$890,COLUMN(HeadJournal!D$1),0),"")</f>
        <v>Доставлен</v>
      </c>
      <c r="E1864" s="95">
        <f>IFERROR(VLOOKUP($A1864,HeadJournal!$A$1:$NTR$890,COLUMN(HeadJournal!G$1),0),"")</f>
        <v>45089</v>
      </c>
      <c r="F1864" s="95" t="str">
        <f t="shared" si="149"/>
        <v>2023 06</v>
      </c>
      <c r="G1864" s="96" t="s">
        <v>6</v>
      </c>
      <c r="H1864" s="160" t="str">
        <f>RIGHT(Journal!$J1864,9)</f>
        <v>190901500</v>
      </c>
      <c r="I1864" s="96" t="str">
        <f t="shared" si="146"/>
        <v>Maxler</v>
      </c>
      <c r="J1864" s="97" t="s">
        <v>838</v>
      </c>
      <c r="K1864" s="29">
        <v>1722</v>
      </c>
      <c r="L1864" s="29"/>
      <c r="M1864" s="30">
        <f>IFERROR(VLOOKUP($A1864,HeadJournal!$A$1:$J$890,COLUMN(HeadJournal!I$1),0)*($K1864+$L1864)/(SUMIF($A:$A,$A1864,$K:$K)+SUMIF($A:$A,$A1864,$L:$L)),0)</f>
        <v>0</v>
      </c>
      <c r="N1864" s="30">
        <f>IFERROR((VLOOKUP($A1864,HeadJournal!$A$1:$K$890,COLUMN(HeadJournal!K$1),0)-VLOOKUP($A1864,HeadJournal!$A$1:$K$890,COLUMN(HeadJournal!J$1),0))*($K1864+$L1864)/(SUMIF($A:$A,$A1864,$K:$K)+SUMIF($A:$A,$A1864,$L:$L)),0)</f>
        <v>0</v>
      </c>
      <c r="O1864" s="30">
        <f>IFERROR((VLOOKUP($A1864,HeadJournal!$A$1:$L$890,COLUMN(HeadJournal!L$1),0)*($K1864+$L1864)/(SUMIF($A:$A,$A1864,$K:$K)+SUMIF($A:$A,$A1864,$L:$L)))/VLOOKUP($A1864,HeadJournal!$A$1:$L$890,COLUMN(HeadJournal!H$1),0),0)</f>
        <v>172.2</v>
      </c>
      <c r="P1864" s="30">
        <f>IFERROR(SUM(K1864:O1864)*VLOOKUP($A1864,HeadJournal!$A$1:$L$890,COLUMN(HeadJournal!H$1),0),0)</f>
        <v>1894.2</v>
      </c>
      <c r="Q1864" s="29">
        <v>2300</v>
      </c>
      <c r="R1864" s="31">
        <v>45133</v>
      </c>
      <c r="S1864" s="31" t="s">
        <v>3121</v>
      </c>
      <c r="T1864" s="95" t="str">
        <f t="shared" si="150"/>
        <v>2023 07</v>
      </c>
      <c r="U1864" s="32">
        <f t="shared" si="147"/>
        <v>405.79999999999995</v>
      </c>
      <c r="V1864" s="22">
        <f t="shared" si="148"/>
        <v>0.21423292154999468</v>
      </c>
      <c r="X1864" s="33"/>
      <c r="Y1864" s="33"/>
    </row>
    <row r="1865" spans="1:25" x14ac:dyDescent="0.2">
      <c r="A1865" s="93" t="s">
        <v>837</v>
      </c>
      <c r="B1865" s="94">
        <f>IFERROR(VLOOKUP($A1865,HeadJournal!$A$1:$NTR$890,COLUMN(HeadJournal!B$1),0),"")</f>
        <v>0</v>
      </c>
      <c r="C1865" s="94" t="str">
        <f>IFERROR(VLOOKUP($A1865,HeadJournal!$A$1:$NTR$890,COLUMN(HeadJournal!C$1),0),"")</f>
        <v>OZON_OA</v>
      </c>
      <c r="D1865" s="125" t="str">
        <f>IFERROR(VLOOKUP($A1865,HeadJournal!$A$1:$NTR$890,COLUMN(HeadJournal!D$1),0),"")</f>
        <v>Доставлен</v>
      </c>
      <c r="E1865" s="95">
        <f>IFERROR(VLOOKUP($A1865,HeadJournal!$A$1:$NTR$890,COLUMN(HeadJournal!G$1),0),"")</f>
        <v>45089</v>
      </c>
      <c r="F1865" s="95" t="str">
        <f t="shared" si="149"/>
        <v>2023 06</v>
      </c>
      <c r="G1865" s="96" t="s">
        <v>6</v>
      </c>
      <c r="H1865" s="160" t="str">
        <f>RIGHT(Journal!$J1865,9)</f>
        <v>190901500</v>
      </c>
      <c r="I1865" s="96" t="str">
        <f t="shared" si="146"/>
        <v>Maxler</v>
      </c>
      <c r="J1865" s="97" t="s">
        <v>838</v>
      </c>
      <c r="K1865" s="29">
        <v>1722</v>
      </c>
      <c r="L1865" s="29"/>
      <c r="M1865" s="30">
        <f>IFERROR(VLOOKUP($A1865,HeadJournal!$A$1:$J$890,COLUMN(HeadJournal!I$1),0)*($K1865+$L1865)/(SUMIF($A:$A,$A1865,$K:$K)+SUMIF($A:$A,$A1865,$L:$L)),0)</f>
        <v>0</v>
      </c>
      <c r="N1865" s="30">
        <f>IFERROR((VLOOKUP($A1865,HeadJournal!$A$1:$K$890,COLUMN(HeadJournal!K$1),0)-VLOOKUP($A1865,HeadJournal!$A$1:$K$890,COLUMN(HeadJournal!J$1),0))*($K1865+$L1865)/(SUMIF($A:$A,$A1865,$K:$K)+SUMIF($A:$A,$A1865,$L:$L)),0)</f>
        <v>0</v>
      </c>
      <c r="O1865" s="30">
        <f>IFERROR((VLOOKUP($A1865,HeadJournal!$A$1:$L$890,COLUMN(HeadJournal!L$1),0)*($K1865+$L1865)/(SUMIF($A:$A,$A1865,$K:$K)+SUMIF($A:$A,$A1865,$L:$L)))/VLOOKUP($A1865,HeadJournal!$A$1:$L$890,COLUMN(HeadJournal!H$1),0),0)</f>
        <v>172.2</v>
      </c>
      <c r="P1865" s="30">
        <f>IFERROR(SUM(K1865:O1865)*VLOOKUP($A1865,HeadJournal!$A$1:$L$890,COLUMN(HeadJournal!H$1),0),0)</f>
        <v>1894.2</v>
      </c>
      <c r="Q1865" s="29">
        <v>2300</v>
      </c>
      <c r="R1865" s="31">
        <v>45133</v>
      </c>
      <c r="S1865" s="31" t="s">
        <v>3121</v>
      </c>
      <c r="T1865" s="95" t="str">
        <f t="shared" si="150"/>
        <v>2023 07</v>
      </c>
      <c r="U1865" s="32">
        <f t="shared" si="147"/>
        <v>405.79999999999995</v>
      </c>
      <c r="V1865" s="22">
        <f t="shared" si="148"/>
        <v>0.21423292154999468</v>
      </c>
      <c r="X1865" s="33"/>
      <c r="Y1865" s="33"/>
    </row>
    <row r="1866" spans="1:25" x14ac:dyDescent="0.2">
      <c r="A1866" s="93" t="s">
        <v>837</v>
      </c>
      <c r="B1866" s="94">
        <f>IFERROR(VLOOKUP($A1866,HeadJournal!$A$1:$NTR$890,COLUMN(HeadJournal!B$1),0),"")</f>
        <v>0</v>
      </c>
      <c r="C1866" s="94" t="str">
        <f>IFERROR(VLOOKUP($A1866,HeadJournal!$A$1:$NTR$890,COLUMN(HeadJournal!C$1),0),"")</f>
        <v>OZON_OA</v>
      </c>
      <c r="D1866" s="125" t="str">
        <f>IFERROR(VLOOKUP($A1866,HeadJournal!$A$1:$NTR$890,COLUMN(HeadJournal!D$1),0),"")</f>
        <v>Доставлен</v>
      </c>
      <c r="E1866" s="95">
        <f>IFERROR(VLOOKUP($A1866,HeadJournal!$A$1:$NTR$890,COLUMN(HeadJournal!G$1),0),"")</f>
        <v>45089</v>
      </c>
      <c r="F1866" s="95" t="str">
        <f t="shared" si="149"/>
        <v>2023 06</v>
      </c>
      <c r="G1866" s="96" t="s">
        <v>5</v>
      </c>
      <c r="H1866" s="160" t="str">
        <f>RIGHT(Journal!$J1866,9)</f>
        <v>487034945</v>
      </c>
      <c r="I1866" s="96" t="str">
        <f t="shared" si="146"/>
        <v>Dabur</v>
      </c>
      <c r="J1866" s="97" t="s">
        <v>839</v>
      </c>
      <c r="K1866" s="29">
        <v>779</v>
      </c>
      <c r="L1866" s="29"/>
      <c r="M1866" s="30">
        <f>IFERROR(VLOOKUP($A1866,HeadJournal!$A$1:$J$890,COLUMN(HeadJournal!I$1),0)*($K1866+$L1866)/(SUMIF($A:$A,$A1866,$K:$K)+SUMIF($A:$A,$A1866,$L:$L)),0)</f>
        <v>0</v>
      </c>
      <c r="N1866" s="30">
        <f>IFERROR((VLOOKUP($A1866,HeadJournal!$A$1:$K$890,COLUMN(HeadJournal!K$1),0)-VLOOKUP($A1866,HeadJournal!$A$1:$K$890,COLUMN(HeadJournal!J$1),0))*($K1866+$L1866)/(SUMIF($A:$A,$A1866,$K:$K)+SUMIF($A:$A,$A1866,$L:$L)),0)</f>
        <v>0</v>
      </c>
      <c r="O1866" s="30">
        <f>IFERROR((VLOOKUP($A1866,HeadJournal!$A$1:$L$890,COLUMN(HeadJournal!L$1),0)*($K1866+$L1866)/(SUMIF($A:$A,$A1866,$K:$K)+SUMIF($A:$A,$A1866,$L:$L)))/VLOOKUP($A1866,HeadJournal!$A$1:$L$890,COLUMN(HeadJournal!H$1),0),0)</f>
        <v>77.900000000000006</v>
      </c>
      <c r="P1866" s="30">
        <f>IFERROR(SUM(K1866:O1866)*VLOOKUP($A1866,HeadJournal!$A$1:$L$890,COLUMN(HeadJournal!H$1),0),0)</f>
        <v>856.9</v>
      </c>
      <c r="Q1866" s="29">
        <v>1200</v>
      </c>
      <c r="R1866" s="31">
        <v>45131</v>
      </c>
      <c r="S1866" s="31" t="s">
        <v>3121</v>
      </c>
      <c r="T1866" s="95" t="str">
        <f t="shared" si="150"/>
        <v>2023 07</v>
      </c>
      <c r="U1866" s="32">
        <f t="shared" si="147"/>
        <v>343.1</v>
      </c>
      <c r="V1866" s="22">
        <f t="shared" si="148"/>
        <v>0.40039677908740812</v>
      </c>
      <c r="X1866" s="33"/>
      <c r="Y1866" s="33"/>
    </row>
    <row r="1867" spans="1:25" x14ac:dyDescent="0.2">
      <c r="A1867" s="93" t="s">
        <v>840</v>
      </c>
      <c r="B1867" s="94">
        <f>IFERROR(VLOOKUP($A1867,HeadJournal!$A$1:$NTR$890,COLUMN(HeadJournal!B$1),0),"")</f>
        <v>0</v>
      </c>
      <c r="C1867" s="94" t="str">
        <f>IFERROR(VLOOKUP($A1867,HeadJournal!$A$1:$NTR$890,COLUMN(HeadJournal!C$1),0),"")</f>
        <v>WBRS</v>
      </c>
      <c r="D1867" s="125" t="str">
        <f>IFERROR(VLOOKUP($A1867,HeadJournal!$A$1:$NTR$890,COLUMN(HeadJournal!D$1),0),"")</f>
        <v>Доставлен</v>
      </c>
      <c r="E1867" s="95">
        <f>IFERROR(VLOOKUP($A1867,HeadJournal!$A$1:$NTR$890,COLUMN(HeadJournal!G$1),0),"")</f>
        <v>45101</v>
      </c>
      <c r="F1867" s="95" t="str">
        <f t="shared" si="149"/>
        <v>2023 06</v>
      </c>
      <c r="G1867" s="96" t="s">
        <v>5</v>
      </c>
      <c r="H1867" s="160" t="str">
        <f>RIGHT(Journal!$J1867,9)</f>
        <v>096053915</v>
      </c>
      <c r="I1867" s="96" t="str">
        <f t="shared" si="146"/>
        <v>Doctor's Best</v>
      </c>
      <c r="J1867" s="97" t="s">
        <v>841</v>
      </c>
      <c r="K1867" s="29">
        <v>1947</v>
      </c>
      <c r="L1867" s="29"/>
      <c r="M1867" s="30">
        <f>IFERROR(VLOOKUP($A1867,HeadJournal!$A$1:$J$890,COLUMN(HeadJournal!I$1),0)*($K1867+$L1867)/(SUMIF($A:$A,$A1867,$K:$K)+SUMIF($A:$A,$A1867,$L:$L)),0)</f>
        <v>0</v>
      </c>
      <c r="N1867" s="30">
        <f>IFERROR((VLOOKUP($A1867,HeadJournal!$A$1:$K$890,COLUMN(HeadJournal!K$1),0)-VLOOKUP($A1867,HeadJournal!$A$1:$K$890,COLUMN(HeadJournal!J$1),0))*($K1867+$L1867)/(SUMIF($A:$A,$A1867,$K:$K)+SUMIF($A:$A,$A1867,$L:$L)),0)</f>
        <v>0</v>
      </c>
      <c r="O1867" s="30">
        <f>IFERROR((VLOOKUP($A1867,HeadJournal!$A$1:$L$890,COLUMN(HeadJournal!L$1),0)*($K1867+$L1867)/(SUMIF($A:$A,$A1867,$K:$K)+SUMIF($A:$A,$A1867,$L:$L)))/VLOOKUP($A1867,HeadJournal!$A$1:$L$890,COLUMN(HeadJournal!H$1),0),0)</f>
        <v>194.70000000000002</v>
      </c>
      <c r="P1867" s="30">
        <f>IFERROR(SUM(K1867:O1867)*VLOOKUP($A1867,HeadJournal!$A$1:$L$890,COLUMN(HeadJournal!H$1),0),0)</f>
        <v>2141.6999999999998</v>
      </c>
      <c r="Q1867" s="29">
        <v>2100</v>
      </c>
      <c r="R1867" s="31">
        <v>45139</v>
      </c>
      <c r="S1867" s="31" t="s">
        <v>3121</v>
      </c>
      <c r="T1867" s="95" t="str">
        <f t="shared" si="150"/>
        <v>2023 08</v>
      </c>
      <c r="U1867" s="32">
        <f t="shared" si="147"/>
        <v>-41.699999999999818</v>
      </c>
      <c r="V1867" s="22">
        <f t="shared" si="148"/>
        <v>-1.9470514077601822E-2</v>
      </c>
      <c r="X1867" s="33"/>
      <c r="Y1867" s="33"/>
    </row>
    <row r="1868" spans="1:25" x14ac:dyDescent="0.2">
      <c r="A1868" s="93" t="s">
        <v>842</v>
      </c>
      <c r="B1868" s="94">
        <f>IFERROR(VLOOKUP($A1868,HeadJournal!$A$1:$NTR$890,COLUMN(HeadJournal!B$1),0),"")</f>
        <v>0</v>
      </c>
      <c r="C1868" s="94" t="s">
        <v>843</v>
      </c>
      <c r="D1868" s="125" t="str">
        <f>IFERROR(VLOOKUP($A1868,HeadJournal!$A$1:$NTR$890,COLUMN(HeadJournal!D$1),0),"")</f>
        <v>Доставлен</v>
      </c>
      <c r="E1868" s="95">
        <f>IFERROR(VLOOKUP($A1868,HeadJournal!$A$1:$NTR$890,COLUMN(HeadJournal!G$1),0),"")</f>
        <v>45122</v>
      </c>
      <c r="F1868" s="95" t="str">
        <f t="shared" si="149"/>
        <v>2023 07</v>
      </c>
      <c r="G1868" s="96" t="s">
        <v>6</v>
      </c>
      <c r="H1868" s="160" t="str">
        <f>RIGHT(Journal!$J1868,9)</f>
        <v>052838724</v>
      </c>
      <c r="I1868" s="96" t="str">
        <f t="shared" si="146"/>
        <v>MAXLER</v>
      </c>
      <c r="J1868" s="97" t="s">
        <v>844</v>
      </c>
      <c r="K1868" s="29">
        <v>1484</v>
      </c>
      <c r="L1868" s="29"/>
      <c r="M1868" s="30">
        <f>IFERROR(VLOOKUP($A1868,HeadJournal!$A$1:$J$890,COLUMN(HeadJournal!I$1),0)*($K1868+$L1868)/(SUMIF($A:$A,$A1868,$K:$K)+SUMIF($A:$A,$A1868,$L:$L)),0)</f>
        <v>0</v>
      </c>
      <c r="N1868" s="30">
        <f>IFERROR((VLOOKUP($A1868,HeadJournal!$A$1:$K$890,COLUMN(HeadJournal!K$1),0)-VLOOKUP($A1868,HeadJournal!$A$1:$K$890,COLUMN(HeadJournal!J$1),0))*($K1868+$L1868)/(SUMIF($A:$A,$A1868,$K:$K)+SUMIF($A:$A,$A1868,$L:$L)),0)</f>
        <v>0</v>
      </c>
      <c r="O1868" s="30">
        <f>IFERROR((VLOOKUP($A1868,HeadJournal!$A$1:$L$890,COLUMN(HeadJournal!L$1),0)*($K1868+$L1868)/(SUMIF($A:$A,$A1868,$K:$K)+SUMIF($A:$A,$A1868,$L:$L)))/VLOOKUP($A1868,HeadJournal!$A$1:$L$890,COLUMN(HeadJournal!H$1),0),0)</f>
        <v>148.4</v>
      </c>
      <c r="P1868" s="30">
        <f>IFERROR(SUM(K1868:O1868)*VLOOKUP($A1868,HeadJournal!$A$1:$L$890,COLUMN(HeadJournal!H$1),0),0)</f>
        <v>1632.4</v>
      </c>
      <c r="Q1868" s="29">
        <v>2700</v>
      </c>
      <c r="R1868" s="31">
        <v>45131</v>
      </c>
      <c r="S1868" s="31" t="s">
        <v>3121</v>
      </c>
      <c r="T1868" s="95" t="str">
        <f t="shared" si="150"/>
        <v>2023 07</v>
      </c>
      <c r="U1868" s="32">
        <f t="shared" si="147"/>
        <v>1067.5999999999999</v>
      </c>
      <c r="V1868" s="22">
        <f t="shared" si="148"/>
        <v>0.65400637098750292</v>
      </c>
      <c r="X1868" s="33"/>
      <c r="Y1868" s="33"/>
    </row>
    <row r="1869" spans="1:25" x14ac:dyDescent="0.2">
      <c r="A1869" s="93" t="s">
        <v>842</v>
      </c>
      <c r="B1869" s="94">
        <f>IFERROR(VLOOKUP($A1869,HeadJournal!$A$1:$NTR$890,COLUMN(HeadJournal!B$1),0),"")</f>
        <v>0</v>
      </c>
      <c r="C1869" s="94" t="str">
        <f>IFERROR(VLOOKUP($A1869,HeadJournal!$A$1:$NTR$890,COLUMN(HeadJournal!C$1),0),"")</f>
        <v>WBRS</v>
      </c>
      <c r="D1869" s="125" t="str">
        <f>IFERROR(VLOOKUP($A1869,HeadJournal!$A$1:$NTR$890,COLUMN(HeadJournal!D$1),0),"")</f>
        <v>Доставлен</v>
      </c>
      <c r="E1869" s="95">
        <f>IFERROR(VLOOKUP($A1869,HeadJournal!$A$1:$NTR$890,COLUMN(HeadJournal!G$1),0),"")</f>
        <v>45122</v>
      </c>
      <c r="F1869" s="95" t="str">
        <f t="shared" si="149"/>
        <v>2023 07</v>
      </c>
      <c r="G1869" s="96" t="s">
        <v>6</v>
      </c>
      <c r="H1869" s="160" t="str">
        <f>RIGHT(Journal!$J1869,9)</f>
        <v>052838724</v>
      </c>
      <c r="I1869" s="96" t="str">
        <f t="shared" si="146"/>
        <v>MAXLER</v>
      </c>
      <c r="J1869" s="97" t="s">
        <v>844</v>
      </c>
      <c r="K1869" s="29">
        <v>1484</v>
      </c>
      <c r="L1869" s="29"/>
      <c r="M1869" s="30">
        <f>IFERROR(VLOOKUP($A1869,HeadJournal!$A$1:$J$890,COLUMN(HeadJournal!I$1),0)*($K1869+$L1869)/(SUMIF($A:$A,$A1869,$K:$K)+SUMIF($A:$A,$A1869,$L:$L)),0)</f>
        <v>0</v>
      </c>
      <c r="N1869" s="30">
        <f>IFERROR((VLOOKUP($A1869,HeadJournal!$A$1:$K$890,COLUMN(HeadJournal!K$1),0)-VLOOKUP($A1869,HeadJournal!$A$1:$K$890,COLUMN(HeadJournal!J$1),0))*($K1869+$L1869)/(SUMIF($A:$A,$A1869,$K:$K)+SUMIF($A:$A,$A1869,$L:$L)),0)</f>
        <v>0</v>
      </c>
      <c r="O1869" s="30">
        <f>IFERROR((VLOOKUP($A1869,HeadJournal!$A$1:$L$890,COLUMN(HeadJournal!L$1),0)*($K1869+$L1869)/(SUMIF($A:$A,$A1869,$K:$K)+SUMIF($A:$A,$A1869,$L:$L)))/VLOOKUP($A1869,HeadJournal!$A$1:$L$890,COLUMN(HeadJournal!H$1),0),0)</f>
        <v>148.4</v>
      </c>
      <c r="P1869" s="30">
        <f>IFERROR(SUM(K1869:O1869)*VLOOKUP($A1869,HeadJournal!$A$1:$L$890,COLUMN(HeadJournal!H$1),0),0)</f>
        <v>1632.4</v>
      </c>
      <c r="Q1869" s="29">
        <v>2700</v>
      </c>
      <c r="R1869" s="31">
        <v>45186</v>
      </c>
      <c r="S1869" s="31" t="s">
        <v>3121</v>
      </c>
      <c r="T1869" s="95" t="str">
        <f t="shared" si="150"/>
        <v>2023 09</v>
      </c>
      <c r="U1869" s="32">
        <f t="shared" si="147"/>
        <v>1067.5999999999999</v>
      </c>
      <c r="V1869" s="22">
        <f t="shared" si="148"/>
        <v>0.65400637098750292</v>
      </c>
      <c r="X1869" s="33"/>
      <c r="Y1869" s="33"/>
    </row>
    <row r="1870" spans="1:25" x14ac:dyDescent="0.2">
      <c r="A1870" s="93" t="s">
        <v>842</v>
      </c>
      <c r="B1870" s="94">
        <f>IFERROR(VLOOKUP($A1870,HeadJournal!$A$1:$NTR$890,COLUMN(HeadJournal!B$1),0),"")</f>
        <v>0</v>
      </c>
      <c r="C1870" s="94" t="str">
        <f>IFERROR(VLOOKUP($A1870,HeadJournal!$A$1:$NTR$890,COLUMN(HeadJournal!C$1),0),"")</f>
        <v>WBRS</v>
      </c>
      <c r="D1870" s="125" t="str">
        <f>IFERROR(VLOOKUP($A1870,HeadJournal!$A$1:$NTR$890,COLUMN(HeadJournal!D$1),0),"")</f>
        <v>Доставлен</v>
      </c>
      <c r="E1870" s="95">
        <f>IFERROR(VLOOKUP($A1870,HeadJournal!$A$1:$NTR$890,COLUMN(HeadJournal!G$1),0),"")</f>
        <v>45122</v>
      </c>
      <c r="F1870" s="95" t="str">
        <f t="shared" si="149"/>
        <v>2023 07</v>
      </c>
      <c r="G1870" s="96" t="s">
        <v>6</v>
      </c>
      <c r="H1870" s="160" t="str">
        <f>RIGHT(Journal!$J1870,9)</f>
        <v>052838724</v>
      </c>
      <c r="I1870" s="96" t="str">
        <f t="shared" ref="I1870:I1932" si="151">IFERROR(LEFT(J1870,FIND(",",J1870)-1),"")</f>
        <v>MAXLER</v>
      </c>
      <c r="J1870" s="97" t="s">
        <v>844</v>
      </c>
      <c r="K1870" s="29">
        <v>1484</v>
      </c>
      <c r="L1870" s="29"/>
      <c r="M1870" s="30">
        <f>IFERROR(VLOOKUP($A1870,HeadJournal!$A$1:$J$890,COLUMN(HeadJournal!I$1),0)*($K1870+$L1870)/(SUMIF($A:$A,$A1870,$K:$K)+SUMIF($A:$A,$A1870,$L:$L)),0)</f>
        <v>0</v>
      </c>
      <c r="N1870" s="30">
        <f>IFERROR((VLOOKUP($A1870,HeadJournal!$A$1:$K$890,COLUMN(HeadJournal!K$1),0)-VLOOKUP($A1870,HeadJournal!$A$1:$K$890,COLUMN(HeadJournal!J$1),0))*($K1870+$L1870)/(SUMIF($A:$A,$A1870,$K:$K)+SUMIF($A:$A,$A1870,$L:$L)),0)</f>
        <v>0</v>
      </c>
      <c r="O1870" s="30">
        <f>IFERROR((VLOOKUP($A1870,HeadJournal!$A$1:$L$890,COLUMN(HeadJournal!L$1),0)*($K1870+$L1870)/(SUMIF($A:$A,$A1870,$K:$K)+SUMIF($A:$A,$A1870,$L:$L)))/VLOOKUP($A1870,HeadJournal!$A$1:$L$890,COLUMN(HeadJournal!H$1),0),0)</f>
        <v>148.4</v>
      </c>
      <c r="P1870" s="30">
        <f>IFERROR(SUM(K1870:O1870)*VLOOKUP($A1870,HeadJournal!$A$1:$L$890,COLUMN(HeadJournal!H$1),0),0)</f>
        <v>1632.4</v>
      </c>
      <c r="Q1870" s="29">
        <v>2700</v>
      </c>
      <c r="R1870" s="31">
        <v>45208</v>
      </c>
      <c r="S1870" s="31" t="s">
        <v>3121</v>
      </c>
      <c r="T1870" s="95" t="str">
        <f t="shared" si="150"/>
        <v>2023 10</v>
      </c>
      <c r="U1870" s="32">
        <f t="shared" si="147"/>
        <v>1067.5999999999999</v>
      </c>
      <c r="V1870" s="22">
        <f t="shared" si="148"/>
        <v>0.65400637098750292</v>
      </c>
      <c r="X1870" s="33"/>
      <c r="Y1870" s="33"/>
    </row>
    <row r="1871" spans="1:25" x14ac:dyDescent="0.2">
      <c r="A1871" s="93" t="s">
        <v>842</v>
      </c>
      <c r="B1871" s="94">
        <f>IFERROR(VLOOKUP($A1871,HeadJournal!$A$1:$NTR$890,COLUMN(HeadJournal!B$1),0),"")</f>
        <v>0</v>
      </c>
      <c r="C1871" s="94" t="str">
        <f>IFERROR(VLOOKUP($A1871,HeadJournal!$A$1:$NTR$890,COLUMN(HeadJournal!C$1),0),"")</f>
        <v>WBRS</v>
      </c>
      <c r="D1871" s="125" t="str">
        <f>IFERROR(VLOOKUP($A1871,HeadJournal!$A$1:$NTR$890,COLUMN(HeadJournal!D$1),0),"")</f>
        <v>Доставлен</v>
      </c>
      <c r="E1871" s="95">
        <f>IFERROR(VLOOKUP($A1871,HeadJournal!$A$1:$NTR$890,COLUMN(HeadJournal!G$1),0),"")</f>
        <v>45122</v>
      </c>
      <c r="F1871" s="95" t="str">
        <f t="shared" si="149"/>
        <v>2023 07</v>
      </c>
      <c r="G1871" s="96" t="s">
        <v>6</v>
      </c>
      <c r="H1871" s="160" t="str">
        <f>RIGHT(Journal!$J1871,9)</f>
        <v>146853513</v>
      </c>
      <c r="I1871" s="96" t="str">
        <f t="shared" si="151"/>
        <v>MAXLER</v>
      </c>
      <c r="J1871" s="97" t="s">
        <v>845</v>
      </c>
      <c r="K1871" s="29">
        <v>879</v>
      </c>
      <c r="L1871" s="29"/>
      <c r="M1871" s="30">
        <f>IFERROR(VLOOKUP($A1871,HeadJournal!$A$1:$J$890,COLUMN(HeadJournal!I$1),0)*($K1871+$L1871)/(SUMIF($A:$A,$A1871,$K:$K)+SUMIF($A:$A,$A1871,$L:$L)),0)</f>
        <v>0</v>
      </c>
      <c r="N1871" s="30">
        <f>IFERROR((VLOOKUP($A1871,HeadJournal!$A$1:$K$890,COLUMN(HeadJournal!K$1),0)-VLOOKUP($A1871,HeadJournal!$A$1:$K$890,COLUMN(HeadJournal!J$1),0))*($K1871+$L1871)/(SUMIF($A:$A,$A1871,$K:$K)+SUMIF($A:$A,$A1871,$L:$L)),0)</f>
        <v>0</v>
      </c>
      <c r="O1871" s="30">
        <f>IFERROR((VLOOKUP($A1871,HeadJournal!$A$1:$L$890,COLUMN(HeadJournal!L$1),0)*($K1871+$L1871)/(SUMIF($A:$A,$A1871,$K:$K)+SUMIF($A:$A,$A1871,$L:$L)))/VLOOKUP($A1871,HeadJournal!$A$1:$L$890,COLUMN(HeadJournal!H$1),0),0)</f>
        <v>87.9</v>
      </c>
      <c r="P1871" s="30">
        <f>IFERROR(SUM(K1871:O1871)*VLOOKUP($A1871,HeadJournal!$A$1:$L$890,COLUMN(HeadJournal!H$1),0),0)</f>
        <v>966.9</v>
      </c>
      <c r="Q1871" s="29">
        <v>1700</v>
      </c>
      <c r="R1871" s="31">
        <v>45131</v>
      </c>
      <c r="S1871" s="31" t="s">
        <v>3121</v>
      </c>
      <c r="T1871" s="95" t="str">
        <f t="shared" si="150"/>
        <v>2023 07</v>
      </c>
      <c r="U1871" s="32">
        <f t="shared" si="147"/>
        <v>733.1</v>
      </c>
      <c r="V1871" s="22">
        <f t="shared" si="148"/>
        <v>0.75819629744544426</v>
      </c>
      <c r="X1871" s="33"/>
      <c r="Y1871" s="33"/>
    </row>
    <row r="1872" spans="1:25" x14ac:dyDescent="0.2">
      <c r="A1872" s="93" t="s">
        <v>846</v>
      </c>
      <c r="B1872" s="94">
        <f>IFERROR(VLOOKUP($A1872,HeadJournal!$A$1:$NTR$890,COLUMN(HeadJournal!B$1),0),"")</f>
        <v>0</v>
      </c>
      <c r="C1872" s="94" t="str">
        <f>IFERROR(VLOOKUP($A1872,HeadJournal!$A$1:$NTR$890,COLUMN(HeadJournal!C$1),0),"")</f>
        <v>WBRS</v>
      </c>
      <c r="D1872" s="125" t="str">
        <f>IFERROR(VLOOKUP($A1872,HeadJournal!$A$1:$NTR$890,COLUMN(HeadJournal!D$1),0),"")</f>
        <v>Доставлен</v>
      </c>
      <c r="E1872" s="95">
        <f>IFERROR(VLOOKUP($A1872,HeadJournal!$A$1:$NTR$890,COLUMN(HeadJournal!G$1),0),"")</f>
        <v>45122</v>
      </c>
      <c r="F1872" s="95" t="str">
        <f t="shared" si="149"/>
        <v>2023 07</v>
      </c>
      <c r="G1872" s="96" t="s">
        <v>6</v>
      </c>
      <c r="H1872" s="160" t="str">
        <f>RIGHT(Journal!$J1872,9)</f>
        <v>138948952</v>
      </c>
      <c r="I1872" s="96" t="str">
        <f t="shared" si="151"/>
        <v>Workout time</v>
      </c>
      <c r="J1872" s="97" t="s">
        <v>789</v>
      </c>
      <c r="K1872" s="29">
        <v>325</v>
      </c>
      <c r="L1872" s="29"/>
      <c r="M1872" s="30">
        <f>IFERROR(VLOOKUP($A1872,HeadJournal!$A$1:$J$890,COLUMN(HeadJournal!I$1),0)*($K1872+$L1872)/(SUMIF($A:$A,$A1872,$K:$K)+SUMIF($A:$A,$A1872,$L:$L)),0)</f>
        <v>0</v>
      </c>
      <c r="N1872" s="30">
        <f>IFERROR((VLOOKUP($A1872,HeadJournal!$A$1:$K$890,COLUMN(HeadJournal!K$1),0)-VLOOKUP($A1872,HeadJournal!$A$1:$K$890,COLUMN(HeadJournal!J$1),0))*($K1872+$L1872)/(SUMIF($A:$A,$A1872,$K:$K)+SUMIF($A:$A,$A1872,$L:$L)),0)</f>
        <v>0</v>
      </c>
      <c r="O1872" s="30">
        <f>IFERROR((VLOOKUP($A1872,HeadJournal!$A$1:$L$890,COLUMN(HeadJournal!L$1),0)*($K1872+$L1872)/(SUMIF($A:$A,$A1872,$K:$K)+SUMIF($A:$A,$A1872,$L:$L)))/VLOOKUP($A1872,HeadJournal!$A$1:$L$890,COLUMN(HeadJournal!H$1),0),0)</f>
        <v>32.5</v>
      </c>
      <c r="P1872" s="30">
        <f>IFERROR(SUM(K1872:O1872)*VLOOKUP($A1872,HeadJournal!$A$1:$L$890,COLUMN(HeadJournal!H$1),0),0)</f>
        <v>357.5</v>
      </c>
      <c r="Q1872" s="29">
        <v>500</v>
      </c>
      <c r="R1872" s="31">
        <v>45137</v>
      </c>
      <c r="S1872" s="31" t="s">
        <v>3121</v>
      </c>
      <c r="T1872" s="95" t="str">
        <f t="shared" si="150"/>
        <v>2023 07</v>
      </c>
      <c r="U1872" s="32">
        <f t="shared" si="147"/>
        <v>142.5</v>
      </c>
      <c r="V1872" s="22">
        <f t="shared" si="148"/>
        <v>0.39860139860139859</v>
      </c>
      <c r="X1872" s="33"/>
      <c r="Y1872" s="33"/>
    </row>
    <row r="1873" spans="1:25" x14ac:dyDescent="0.2">
      <c r="A1873" s="93" t="s">
        <v>846</v>
      </c>
      <c r="B1873" s="94">
        <f>IFERROR(VLOOKUP($A1873,HeadJournal!$A$1:$NTR$890,COLUMN(HeadJournal!B$1),0),"")</f>
        <v>0</v>
      </c>
      <c r="C1873" s="94" t="str">
        <f>IFERROR(VLOOKUP($A1873,HeadJournal!$A$1:$NTR$890,COLUMN(HeadJournal!C$1),0),"")</f>
        <v>WBRS</v>
      </c>
      <c r="D1873" s="125" t="str">
        <f>IFERROR(VLOOKUP($A1873,HeadJournal!$A$1:$NTR$890,COLUMN(HeadJournal!D$1),0),"")</f>
        <v>Доставлен</v>
      </c>
      <c r="E1873" s="95">
        <f>IFERROR(VLOOKUP($A1873,HeadJournal!$A$1:$NTR$890,COLUMN(HeadJournal!G$1),0),"")</f>
        <v>45122</v>
      </c>
      <c r="F1873" s="95" t="str">
        <f t="shared" si="149"/>
        <v>2023 07</v>
      </c>
      <c r="G1873" s="96" t="s">
        <v>6</v>
      </c>
      <c r="H1873" s="160" t="str">
        <f>RIGHT(Journal!$J1873,9)</f>
        <v>138948952</v>
      </c>
      <c r="I1873" s="96" t="str">
        <f t="shared" si="151"/>
        <v>Workout time</v>
      </c>
      <c r="J1873" s="97" t="s">
        <v>789</v>
      </c>
      <c r="K1873" s="29">
        <v>325</v>
      </c>
      <c r="L1873" s="29"/>
      <c r="M1873" s="30">
        <f>IFERROR(VLOOKUP($A1873,HeadJournal!$A$1:$J$890,COLUMN(HeadJournal!I$1),0)*($K1873+$L1873)/(SUMIF($A:$A,$A1873,$K:$K)+SUMIF($A:$A,$A1873,$L:$L)),0)</f>
        <v>0</v>
      </c>
      <c r="N1873" s="30">
        <f>IFERROR((VLOOKUP($A1873,HeadJournal!$A$1:$K$890,COLUMN(HeadJournal!K$1),0)-VLOOKUP($A1873,HeadJournal!$A$1:$K$890,COLUMN(HeadJournal!J$1),0))*($K1873+$L1873)/(SUMIF($A:$A,$A1873,$K:$K)+SUMIF($A:$A,$A1873,$L:$L)),0)</f>
        <v>0</v>
      </c>
      <c r="O1873" s="30">
        <f>IFERROR((VLOOKUP($A1873,HeadJournal!$A$1:$L$890,COLUMN(HeadJournal!L$1),0)*($K1873+$L1873)/(SUMIF($A:$A,$A1873,$K:$K)+SUMIF($A:$A,$A1873,$L:$L)))/VLOOKUP($A1873,HeadJournal!$A$1:$L$890,COLUMN(HeadJournal!H$1),0),0)</f>
        <v>32.5</v>
      </c>
      <c r="P1873" s="30">
        <f>IFERROR(SUM(K1873:O1873)*VLOOKUP($A1873,HeadJournal!$A$1:$L$890,COLUMN(HeadJournal!H$1),0),0)</f>
        <v>357.5</v>
      </c>
      <c r="Q1873" s="29">
        <v>500</v>
      </c>
      <c r="R1873" s="31">
        <v>45137</v>
      </c>
      <c r="S1873" s="31" t="s">
        <v>3121</v>
      </c>
      <c r="T1873" s="95" t="str">
        <f t="shared" si="150"/>
        <v>2023 07</v>
      </c>
      <c r="U1873" s="32">
        <f t="shared" si="147"/>
        <v>142.5</v>
      </c>
      <c r="V1873" s="22">
        <f t="shared" si="148"/>
        <v>0.39860139860139859</v>
      </c>
      <c r="X1873" s="33"/>
      <c r="Y1873" s="33"/>
    </row>
    <row r="1874" spans="1:25" x14ac:dyDescent="0.2">
      <c r="A1874" s="93" t="s">
        <v>847</v>
      </c>
      <c r="B1874" s="94">
        <f>IFERROR(VLOOKUP($A1874,HeadJournal!$A$1:$NTR$890,COLUMN(HeadJournal!B$1),0),"")</f>
        <v>0</v>
      </c>
      <c r="C1874" s="94" t="str">
        <f>IFERROR(VLOOKUP($A1874,HeadJournal!$A$1:$NTR$890,COLUMN(HeadJournal!C$1),0),"")</f>
        <v>WBRS</v>
      </c>
      <c r="D1874" s="125" t="str">
        <f>IFERROR(VLOOKUP($A1874,HeadJournal!$A$1:$NTR$890,COLUMN(HeadJournal!D$1),0),"")</f>
        <v>Доставлен</v>
      </c>
      <c r="E1874" s="95">
        <f>IFERROR(VLOOKUP($A1874,HeadJournal!$A$1:$NTR$890,COLUMN(HeadJournal!G$1),0),"")</f>
        <v>45116</v>
      </c>
      <c r="F1874" s="95" t="str">
        <f t="shared" si="149"/>
        <v>2023 07</v>
      </c>
      <c r="G1874" s="96" t="s">
        <v>6</v>
      </c>
      <c r="H1874" s="160" t="str">
        <f>RIGHT(Journal!$J1874,9)</f>
        <v>088061892</v>
      </c>
      <c r="I1874" s="96" t="str">
        <f t="shared" si="151"/>
        <v>MAXLER</v>
      </c>
      <c r="J1874" s="97" t="s">
        <v>848</v>
      </c>
      <c r="K1874" s="29">
        <v>1702</v>
      </c>
      <c r="L1874" s="29"/>
      <c r="M1874" s="30">
        <f>IFERROR(VLOOKUP($A1874,HeadJournal!$A$1:$J$890,COLUMN(HeadJournal!I$1),0)*($K1874+$L1874)/(SUMIF($A:$A,$A1874,$K:$K)+SUMIF($A:$A,$A1874,$L:$L)),0)</f>
        <v>0</v>
      </c>
      <c r="N1874" s="30">
        <f>IFERROR((VLOOKUP($A1874,HeadJournal!$A$1:$K$890,COLUMN(HeadJournal!K$1),0)-VLOOKUP($A1874,HeadJournal!$A$1:$K$890,COLUMN(HeadJournal!J$1),0))*($K1874+$L1874)/(SUMIF($A:$A,$A1874,$K:$K)+SUMIF($A:$A,$A1874,$L:$L)),0)</f>
        <v>0</v>
      </c>
      <c r="O1874" s="30">
        <f>IFERROR((VLOOKUP($A1874,HeadJournal!$A$1:$L$890,COLUMN(HeadJournal!L$1),0)*($K1874+$L1874)/(SUMIF($A:$A,$A1874,$K:$K)+SUMIF($A:$A,$A1874,$L:$L)))/VLOOKUP($A1874,HeadJournal!$A$1:$L$890,COLUMN(HeadJournal!H$1),0),0)</f>
        <v>170.20000000000002</v>
      </c>
      <c r="P1874" s="30">
        <f>IFERROR(SUM(K1874:O1874)*VLOOKUP($A1874,HeadJournal!$A$1:$L$890,COLUMN(HeadJournal!H$1),0),0)</f>
        <v>1872.2</v>
      </c>
      <c r="Q1874" s="29">
        <v>2300</v>
      </c>
      <c r="R1874" s="31">
        <v>45137</v>
      </c>
      <c r="S1874" s="31" t="s">
        <v>3121</v>
      </c>
      <c r="T1874" s="95" t="str">
        <f t="shared" si="150"/>
        <v>2023 07</v>
      </c>
      <c r="U1874" s="32">
        <f t="shared" si="147"/>
        <v>427.79999999999995</v>
      </c>
      <c r="V1874" s="22">
        <f t="shared" si="148"/>
        <v>0.22850122850122848</v>
      </c>
      <c r="X1874" s="33"/>
      <c r="Y1874" s="33"/>
    </row>
    <row r="1875" spans="1:25" x14ac:dyDescent="0.2">
      <c r="A1875" s="93" t="s">
        <v>847</v>
      </c>
      <c r="B1875" s="94">
        <f>IFERROR(VLOOKUP($A1875,HeadJournal!$A$1:$NTR$890,COLUMN(HeadJournal!B$1),0),"")</f>
        <v>0</v>
      </c>
      <c r="C1875" s="94" t="str">
        <f>IFERROR(VLOOKUP($A1875,HeadJournal!$A$1:$NTR$890,COLUMN(HeadJournal!C$1),0),"")</f>
        <v>WBRS</v>
      </c>
      <c r="D1875" s="125" t="str">
        <f>IFERROR(VLOOKUP($A1875,HeadJournal!$A$1:$NTR$890,COLUMN(HeadJournal!D$1),0),"")</f>
        <v>Доставлен</v>
      </c>
      <c r="E1875" s="95">
        <f>IFERROR(VLOOKUP($A1875,HeadJournal!$A$1:$NTR$890,COLUMN(HeadJournal!G$1),0),"")</f>
        <v>45116</v>
      </c>
      <c r="F1875" s="95" t="str">
        <f t="shared" si="149"/>
        <v>2023 07</v>
      </c>
      <c r="G1875" s="96" t="s">
        <v>6</v>
      </c>
      <c r="H1875" s="160" t="str">
        <f>RIGHT(Journal!$J1875,9)</f>
        <v>088061892</v>
      </c>
      <c r="I1875" s="96" t="str">
        <f t="shared" si="151"/>
        <v>MAXLER</v>
      </c>
      <c r="J1875" s="97" t="s">
        <v>848</v>
      </c>
      <c r="K1875" s="29">
        <v>1702</v>
      </c>
      <c r="L1875" s="29"/>
      <c r="M1875" s="30">
        <f>IFERROR(VLOOKUP($A1875,HeadJournal!$A$1:$J$890,COLUMN(HeadJournal!I$1),0)*($K1875+$L1875)/(SUMIF($A:$A,$A1875,$K:$K)+SUMIF($A:$A,$A1875,$L:$L)),0)</f>
        <v>0</v>
      </c>
      <c r="N1875" s="30">
        <f>IFERROR((VLOOKUP($A1875,HeadJournal!$A$1:$K$890,COLUMN(HeadJournal!K$1),0)-VLOOKUP($A1875,HeadJournal!$A$1:$K$890,COLUMN(HeadJournal!J$1),0))*($K1875+$L1875)/(SUMIF($A:$A,$A1875,$K:$K)+SUMIF($A:$A,$A1875,$L:$L)),0)</f>
        <v>0</v>
      </c>
      <c r="O1875" s="30">
        <f>IFERROR((VLOOKUP($A1875,HeadJournal!$A$1:$L$890,COLUMN(HeadJournal!L$1),0)*($K1875+$L1875)/(SUMIF($A:$A,$A1875,$K:$K)+SUMIF($A:$A,$A1875,$L:$L)))/VLOOKUP($A1875,HeadJournal!$A$1:$L$890,COLUMN(HeadJournal!H$1),0),0)</f>
        <v>170.20000000000002</v>
      </c>
      <c r="P1875" s="30">
        <f>IFERROR(SUM(K1875:O1875)*VLOOKUP($A1875,HeadJournal!$A$1:$L$890,COLUMN(HeadJournal!H$1),0),0)</f>
        <v>1872.2</v>
      </c>
      <c r="Q1875" s="29">
        <v>2500</v>
      </c>
      <c r="R1875" s="31">
        <v>45176</v>
      </c>
      <c r="S1875" s="31" t="s">
        <v>3121</v>
      </c>
      <c r="T1875" s="95" t="str">
        <f t="shared" si="150"/>
        <v>2023 09</v>
      </c>
      <c r="U1875" s="32">
        <f t="shared" si="147"/>
        <v>627.79999999999995</v>
      </c>
      <c r="V1875" s="22">
        <f t="shared" si="148"/>
        <v>0.33532742228394397</v>
      </c>
      <c r="X1875" s="33"/>
      <c r="Y1875" s="33"/>
    </row>
    <row r="1876" spans="1:25" x14ac:dyDescent="0.2">
      <c r="A1876" s="93" t="s">
        <v>849</v>
      </c>
      <c r="B1876" s="94">
        <f>IFERROR(VLOOKUP($A1876,HeadJournal!$A$1:$NTR$890,COLUMN(HeadJournal!B$1),0),"")</f>
        <v>0</v>
      </c>
      <c r="C1876" s="94" t="str">
        <f>IFERROR(VLOOKUP($A1876,HeadJournal!$A$1:$NTR$890,COLUMN(HeadJournal!C$1),0),"")</f>
        <v>WBRS</v>
      </c>
      <c r="D1876" s="125" t="str">
        <f>IFERROR(VLOOKUP($A1876,HeadJournal!$A$1:$NTR$890,COLUMN(HeadJournal!D$1),0),"")</f>
        <v>Доставлен</v>
      </c>
      <c r="E1876" s="95">
        <f>IFERROR(VLOOKUP($A1876,HeadJournal!$A$1:$NTR$890,COLUMN(HeadJournal!G$1),0),"")</f>
        <v>45131</v>
      </c>
      <c r="F1876" s="95" t="str">
        <f t="shared" si="149"/>
        <v>2023 07</v>
      </c>
      <c r="G1876" s="96" t="s">
        <v>6</v>
      </c>
      <c r="H1876" s="160" t="str">
        <f>RIGHT(Journal!$J1876,9)</f>
        <v>146853513</v>
      </c>
      <c r="I1876" s="96" t="str">
        <f t="shared" si="151"/>
        <v>MAXLER</v>
      </c>
      <c r="J1876" s="97" t="s">
        <v>845</v>
      </c>
      <c r="K1876" s="29">
        <v>940</v>
      </c>
      <c r="L1876" s="29"/>
      <c r="M1876" s="30">
        <f>IFERROR(VLOOKUP($A1876,HeadJournal!$A$1:$J$890,COLUMN(HeadJournal!I$1),0)*($K1876+$L1876)/(SUMIF($A:$A,$A1876,$K:$K)+SUMIF($A:$A,$A1876,$L:$L)),0)</f>
        <v>0</v>
      </c>
      <c r="N1876" s="30">
        <f>IFERROR((VLOOKUP($A1876,HeadJournal!$A$1:$K$890,COLUMN(HeadJournal!K$1),0)-VLOOKUP($A1876,HeadJournal!$A$1:$K$890,COLUMN(HeadJournal!J$1),0))*($K1876+$L1876)/(SUMIF($A:$A,$A1876,$K:$K)+SUMIF($A:$A,$A1876,$L:$L)),0)</f>
        <v>0</v>
      </c>
      <c r="O1876" s="30">
        <f>IFERROR((VLOOKUP($A1876,HeadJournal!$A$1:$L$890,COLUMN(HeadJournal!L$1),0)*($K1876+$L1876)/(SUMIF($A:$A,$A1876,$K:$K)+SUMIF($A:$A,$A1876,$L:$L)))/VLOOKUP($A1876,HeadJournal!$A$1:$L$890,COLUMN(HeadJournal!H$1),0),0)</f>
        <v>94</v>
      </c>
      <c r="P1876" s="30">
        <f>IFERROR(SUM(K1876:O1876)*VLOOKUP($A1876,HeadJournal!$A$1:$L$890,COLUMN(HeadJournal!H$1),0),0)</f>
        <v>1034</v>
      </c>
      <c r="Q1876" s="29">
        <v>1700</v>
      </c>
      <c r="R1876" s="31">
        <v>45137</v>
      </c>
      <c r="S1876" s="31" t="s">
        <v>3121</v>
      </c>
      <c r="T1876" s="95" t="str">
        <f t="shared" si="150"/>
        <v>2023 07</v>
      </c>
      <c r="U1876" s="32">
        <f t="shared" si="147"/>
        <v>666</v>
      </c>
      <c r="V1876" s="22">
        <f t="shared" si="148"/>
        <v>0.64410058027079309</v>
      </c>
      <c r="X1876" s="33"/>
      <c r="Y1876" s="33"/>
    </row>
    <row r="1877" spans="1:25" x14ac:dyDescent="0.2">
      <c r="A1877" s="93" t="s">
        <v>849</v>
      </c>
      <c r="B1877" s="94">
        <f>IFERROR(VLOOKUP($A1877,HeadJournal!$A$1:$NTR$890,COLUMN(HeadJournal!B$1),0),"")</f>
        <v>0</v>
      </c>
      <c r="C1877" s="94" t="str">
        <f>IFERROR(VLOOKUP($A1877,HeadJournal!$A$1:$NTR$890,COLUMN(HeadJournal!C$1),0),"")</f>
        <v>WBRS</v>
      </c>
      <c r="D1877" s="125" t="str">
        <f>IFERROR(VLOOKUP($A1877,HeadJournal!$A$1:$NTR$890,COLUMN(HeadJournal!D$1),0),"")</f>
        <v>Доставлен</v>
      </c>
      <c r="E1877" s="95">
        <f>IFERROR(VLOOKUP($A1877,HeadJournal!$A$1:$NTR$890,COLUMN(HeadJournal!G$1),0),"")</f>
        <v>45131</v>
      </c>
      <c r="F1877" s="95" t="str">
        <f t="shared" si="149"/>
        <v>2023 07</v>
      </c>
      <c r="G1877" s="96" t="s">
        <v>6</v>
      </c>
      <c r="H1877" s="160" t="str">
        <f>RIGHT(Journal!$J1877,9)</f>
        <v>146853513</v>
      </c>
      <c r="I1877" s="96" t="str">
        <f t="shared" si="151"/>
        <v>MAXLER</v>
      </c>
      <c r="J1877" s="97" t="s">
        <v>845</v>
      </c>
      <c r="K1877" s="29">
        <v>940</v>
      </c>
      <c r="L1877" s="29"/>
      <c r="M1877" s="30">
        <f>IFERROR(VLOOKUP($A1877,HeadJournal!$A$1:$J$890,COLUMN(HeadJournal!I$1),0)*($K1877+$L1877)/(SUMIF($A:$A,$A1877,$K:$K)+SUMIF($A:$A,$A1877,$L:$L)),0)</f>
        <v>0</v>
      </c>
      <c r="N1877" s="30">
        <f>IFERROR((VLOOKUP($A1877,HeadJournal!$A$1:$K$890,COLUMN(HeadJournal!K$1),0)-VLOOKUP($A1877,HeadJournal!$A$1:$K$890,COLUMN(HeadJournal!J$1),0))*($K1877+$L1877)/(SUMIF($A:$A,$A1877,$K:$K)+SUMIF($A:$A,$A1877,$L:$L)),0)</f>
        <v>0</v>
      </c>
      <c r="O1877" s="30">
        <f>IFERROR((VLOOKUP($A1877,HeadJournal!$A$1:$L$890,COLUMN(HeadJournal!L$1),0)*($K1877+$L1877)/(SUMIF($A:$A,$A1877,$K:$K)+SUMIF($A:$A,$A1877,$L:$L)))/VLOOKUP($A1877,HeadJournal!$A$1:$L$890,COLUMN(HeadJournal!H$1),0),0)</f>
        <v>94</v>
      </c>
      <c r="P1877" s="30">
        <f>IFERROR(SUM(K1877:O1877)*VLOOKUP($A1877,HeadJournal!$A$1:$L$890,COLUMN(HeadJournal!H$1),0),0)</f>
        <v>1034</v>
      </c>
      <c r="Q1877" s="29">
        <v>1700</v>
      </c>
      <c r="R1877" s="31">
        <v>45143</v>
      </c>
      <c r="S1877" s="31" t="s">
        <v>3121</v>
      </c>
      <c r="T1877" s="95" t="str">
        <f t="shared" si="150"/>
        <v>2023 08</v>
      </c>
      <c r="U1877" s="32">
        <f t="shared" si="147"/>
        <v>666</v>
      </c>
      <c r="V1877" s="22">
        <f t="shared" si="148"/>
        <v>0.64410058027079309</v>
      </c>
      <c r="X1877" s="33"/>
      <c r="Y1877" s="33"/>
    </row>
    <row r="1878" spans="1:25" x14ac:dyDescent="0.2">
      <c r="A1878" s="93" t="s">
        <v>850</v>
      </c>
      <c r="B1878" s="94">
        <f>IFERROR(VLOOKUP($A1878,HeadJournal!$A$1:$NTR$890,COLUMN(HeadJournal!B$1),0),"")</f>
        <v>0</v>
      </c>
      <c r="C1878" s="94" t="str">
        <f>IFERROR(VLOOKUP($A1878,HeadJournal!$A$1:$NTR$890,COLUMN(HeadJournal!C$1),0),"")</f>
        <v>WBRS</v>
      </c>
      <c r="D1878" s="125" t="str">
        <f>IFERROR(VLOOKUP($A1878,HeadJournal!$A$1:$NTR$890,COLUMN(HeadJournal!D$1),0),"")</f>
        <v>Доставлен</v>
      </c>
      <c r="E1878" s="95">
        <f>IFERROR(VLOOKUP($A1878,HeadJournal!$A$1:$NTR$890,COLUMN(HeadJournal!G$1),0),"")</f>
        <v>45131</v>
      </c>
      <c r="F1878" s="95" t="str">
        <f t="shared" si="149"/>
        <v>2023 07</v>
      </c>
      <c r="G1878" s="96" t="s">
        <v>5</v>
      </c>
      <c r="H1878" s="160" t="str">
        <f>RIGHT(Journal!$J1878,9)</f>
        <v>062045172</v>
      </c>
      <c r="I1878" s="96" t="str">
        <f t="shared" si="151"/>
        <v>Patanjali</v>
      </c>
      <c r="J1878" s="97" t="s">
        <v>851</v>
      </c>
      <c r="K1878" s="29">
        <v>413</v>
      </c>
      <c r="L1878" s="29"/>
      <c r="M1878" s="30">
        <f>IFERROR(VLOOKUP($A1878,HeadJournal!$A$1:$J$890,COLUMN(HeadJournal!I$1),0)*($K1878+$L1878)/(SUMIF($A:$A,$A1878,$K:$K)+SUMIF($A:$A,$A1878,$L:$L)),0)</f>
        <v>0</v>
      </c>
      <c r="N1878" s="30">
        <f>IFERROR((VLOOKUP($A1878,HeadJournal!$A$1:$K$890,COLUMN(HeadJournal!K$1),0)-VLOOKUP($A1878,HeadJournal!$A$1:$K$890,COLUMN(HeadJournal!J$1),0))*($K1878+$L1878)/(SUMIF($A:$A,$A1878,$K:$K)+SUMIF($A:$A,$A1878,$L:$L)),0)</f>
        <v>0</v>
      </c>
      <c r="O1878" s="30">
        <f>IFERROR((VLOOKUP($A1878,HeadJournal!$A$1:$L$890,COLUMN(HeadJournal!L$1),0)*($K1878+$L1878)/(SUMIF($A:$A,$A1878,$K:$K)+SUMIF($A:$A,$A1878,$L:$L)))/VLOOKUP($A1878,HeadJournal!$A$1:$L$890,COLUMN(HeadJournal!H$1),0),0)</f>
        <v>41.300000000000004</v>
      </c>
      <c r="P1878" s="30">
        <f>IFERROR(SUM(K1878:O1878)*VLOOKUP($A1878,HeadJournal!$A$1:$L$890,COLUMN(HeadJournal!H$1),0),0)</f>
        <v>454.3</v>
      </c>
      <c r="Q1878" s="29">
        <v>900</v>
      </c>
      <c r="R1878" s="31">
        <v>45139</v>
      </c>
      <c r="S1878" s="31" t="s">
        <v>3121</v>
      </c>
      <c r="T1878" s="95" t="str">
        <f t="shared" si="150"/>
        <v>2023 08</v>
      </c>
      <c r="U1878" s="32">
        <f t="shared" si="147"/>
        <v>445.7</v>
      </c>
      <c r="V1878" s="22">
        <f t="shared" si="148"/>
        <v>0.98106977767994707</v>
      </c>
      <c r="X1878" s="33"/>
      <c r="Y1878" s="33"/>
    </row>
    <row r="1879" spans="1:25" x14ac:dyDescent="0.2">
      <c r="A1879" s="93" t="s">
        <v>850</v>
      </c>
      <c r="B1879" s="94">
        <f>IFERROR(VLOOKUP($A1879,HeadJournal!$A$1:$NTR$890,COLUMN(HeadJournal!B$1),0),"")</f>
        <v>0</v>
      </c>
      <c r="C1879" s="94" t="str">
        <f>IFERROR(VLOOKUP($A1879,HeadJournal!$A$1:$NTR$890,COLUMN(HeadJournal!C$1),0),"")</f>
        <v>WBRS</v>
      </c>
      <c r="D1879" s="125" t="str">
        <f>IFERROR(VLOOKUP($A1879,HeadJournal!$A$1:$NTR$890,COLUMN(HeadJournal!D$1),0),"")</f>
        <v>Доставлен</v>
      </c>
      <c r="E1879" s="95">
        <f>IFERROR(VLOOKUP($A1879,HeadJournal!$A$1:$NTR$890,COLUMN(HeadJournal!G$1),0),"")</f>
        <v>45131</v>
      </c>
      <c r="F1879" s="95" t="str">
        <f t="shared" si="149"/>
        <v>2023 07</v>
      </c>
      <c r="G1879" s="96" t="s">
        <v>5</v>
      </c>
      <c r="H1879" s="160" t="str">
        <f>RIGHT(Journal!$J1879,9)</f>
        <v>062045172</v>
      </c>
      <c r="I1879" s="96" t="str">
        <f t="shared" si="151"/>
        <v>Patanjali</v>
      </c>
      <c r="J1879" s="97" t="s">
        <v>851</v>
      </c>
      <c r="K1879" s="29">
        <v>413</v>
      </c>
      <c r="L1879" s="29"/>
      <c r="M1879" s="30">
        <f>IFERROR(VLOOKUP($A1879,HeadJournal!$A$1:$J$890,COLUMN(HeadJournal!I$1),0)*($K1879+$L1879)/(SUMIF($A:$A,$A1879,$K:$K)+SUMIF($A:$A,$A1879,$L:$L)),0)</f>
        <v>0</v>
      </c>
      <c r="N1879" s="30">
        <f>IFERROR((VLOOKUP($A1879,HeadJournal!$A$1:$K$890,COLUMN(HeadJournal!K$1),0)-VLOOKUP($A1879,HeadJournal!$A$1:$K$890,COLUMN(HeadJournal!J$1),0))*($K1879+$L1879)/(SUMIF($A:$A,$A1879,$K:$K)+SUMIF($A:$A,$A1879,$L:$L)),0)</f>
        <v>0</v>
      </c>
      <c r="O1879" s="30">
        <f>IFERROR((VLOOKUP($A1879,HeadJournal!$A$1:$L$890,COLUMN(HeadJournal!L$1),0)*($K1879+$L1879)/(SUMIF($A:$A,$A1879,$K:$K)+SUMIF($A:$A,$A1879,$L:$L)))/VLOOKUP($A1879,HeadJournal!$A$1:$L$890,COLUMN(HeadJournal!H$1),0),0)</f>
        <v>41.300000000000004</v>
      </c>
      <c r="P1879" s="30">
        <f>IFERROR(SUM(K1879:O1879)*VLOOKUP($A1879,HeadJournal!$A$1:$L$890,COLUMN(HeadJournal!H$1),0),0)</f>
        <v>454.3</v>
      </c>
      <c r="Q1879" s="29">
        <v>900</v>
      </c>
      <c r="R1879" s="31">
        <v>45139</v>
      </c>
      <c r="S1879" s="31" t="s">
        <v>3121</v>
      </c>
      <c r="T1879" s="95" t="str">
        <f t="shared" si="150"/>
        <v>2023 08</v>
      </c>
      <c r="U1879" s="32">
        <f t="shared" si="147"/>
        <v>445.7</v>
      </c>
      <c r="V1879" s="22">
        <f t="shared" si="148"/>
        <v>0.98106977767994707</v>
      </c>
      <c r="X1879" s="33"/>
      <c r="Y1879" s="33"/>
    </row>
    <row r="1880" spans="1:25" x14ac:dyDescent="0.2">
      <c r="A1880" s="93" t="s">
        <v>850</v>
      </c>
      <c r="B1880" s="94">
        <f>IFERROR(VLOOKUP($A1880,HeadJournal!$A$1:$NTR$890,COLUMN(HeadJournal!B$1),0),"")</f>
        <v>0</v>
      </c>
      <c r="C1880" s="94" t="str">
        <f>IFERROR(VLOOKUP($A1880,HeadJournal!$A$1:$NTR$890,COLUMN(HeadJournal!C$1),0),"")</f>
        <v>WBRS</v>
      </c>
      <c r="D1880" s="125" t="str">
        <f>IFERROR(VLOOKUP($A1880,HeadJournal!$A$1:$NTR$890,COLUMN(HeadJournal!D$1),0),"")</f>
        <v>Доставлен</v>
      </c>
      <c r="E1880" s="95">
        <f>IFERROR(VLOOKUP($A1880,HeadJournal!$A$1:$NTR$890,COLUMN(HeadJournal!G$1),0),"")</f>
        <v>45131</v>
      </c>
      <c r="F1880" s="95" t="str">
        <f t="shared" si="149"/>
        <v>2023 07</v>
      </c>
      <c r="G1880" s="96" t="s">
        <v>5</v>
      </c>
      <c r="H1880" s="160" t="str">
        <f>RIGHT(Journal!$J1880,9)</f>
        <v>062045172</v>
      </c>
      <c r="I1880" s="96" t="str">
        <f t="shared" si="151"/>
        <v>Patanjali</v>
      </c>
      <c r="J1880" s="97" t="s">
        <v>851</v>
      </c>
      <c r="K1880" s="29">
        <v>413</v>
      </c>
      <c r="L1880" s="29"/>
      <c r="M1880" s="30">
        <f>IFERROR(VLOOKUP($A1880,HeadJournal!$A$1:$J$890,COLUMN(HeadJournal!I$1),0)*($K1880+$L1880)/(SUMIF($A:$A,$A1880,$K:$K)+SUMIF($A:$A,$A1880,$L:$L)),0)</f>
        <v>0</v>
      </c>
      <c r="N1880" s="30">
        <f>IFERROR((VLOOKUP($A1880,HeadJournal!$A$1:$K$890,COLUMN(HeadJournal!K$1),0)-VLOOKUP($A1880,HeadJournal!$A$1:$K$890,COLUMN(HeadJournal!J$1),0))*($K1880+$L1880)/(SUMIF($A:$A,$A1880,$K:$K)+SUMIF($A:$A,$A1880,$L:$L)),0)</f>
        <v>0</v>
      </c>
      <c r="O1880" s="30">
        <f>IFERROR((VLOOKUP($A1880,HeadJournal!$A$1:$L$890,COLUMN(HeadJournal!L$1),0)*($K1880+$L1880)/(SUMIF($A:$A,$A1880,$K:$K)+SUMIF($A:$A,$A1880,$L:$L)))/VLOOKUP($A1880,HeadJournal!$A$1:$L$890,COLUMN(HeadJournal!H$1),0),0)</f>
        <v>41.300000000000004</v>
      </c>
      <c r="P1880" s="30">
        <f>IFERROR(SUM(K1880:O1880)*VLOOKUP($A1880,HeadJournal!$A$1:$L$890,COLUMN(HeadJournal!H$1),0),0)</f>
        <v>454.3</v>
      </c>
      <c r="Q1880" s="29">
        <v>900</v>
      </c>
      <c r="R1880" s="31">
        <v>45139</v>
      </c>
      <c r="S1880" s="31" t="s">
        <v>3121</v>
      </c>
      <c r="T1880" s="95" t="str">
        <f t="shared" si="150"/>
        <v>2023 08</v>
      </c>
      <c r="U1880" s="32">
        <f t="shared" si="147"/>
        <v>445.7</v>
      </c>
      <c r="V1880" s="22">
        <f t="shared" si="148"/>
        <v>0.98106977767994707</v>
      </c>
      <c r="X1880" s="33"/>
      <c r="Y1880" s="33"/>
    </row>
    <row r="1881" spans="1:25" x14ac:dyDescent="0.2">
      <c r="A1881" s="93" t="s">
        <v>850</v>
      </c>
      <c r="B1881" s="94">
        <f>IFERROR(VLOOKUP($A1881,HeadJournal!$A$1:$NTR$890,COLUMN(HeadJournal!B$1),0),"")</f>
        <v>0</v>
      </c>
      <c r="C1881" s="94" t="str">
        <f>IFERROR(VLOOKUP($A1881,HeadJournal!$A$1:$NTR$890,COLUMN(HeadJournal!C$1),0),"")</f>
        <v>WBRS</v>
      </c>
      <c r="D1881" s="125" t="str">
        <f>IFERROR(VLOOKUP($A1881,HeadJournal!$A$1:$NTR$890,COLUMN(HeadJournal!D$1),0),"")</f>
        <v>Доставлен</v>
      </c>
      <c r="E1881" s="95">
        <f>IFERROR(VLOOKUP($A1881,HeadJournal!$A$1:$NTR$890,COLUMN(HeadJournal!G$1),0),"")</f>
        <v>45131</v>
      </c>
      <c r="F1881" s="95" t="str">
        <f t="shared" si="149"/>
        <v>2023 07</v>
      </c>
      <c r="G1881" s="96" t="s">
        <v>5</v>
      </c>
      <c r="H1881" s="160" t="str">
        <f>RIGHT(Journal!$J1881,9)</f>
        <v>062045172</v>
      </c>
      <c r="I1881" s="96" t="str">
        <f t="shared" si="151"/>
        <v>Patanjali</v>
      </c>
      <c r="J1881" s="97" t="s">
        <v>851</v>
      </c>
      <c r="K1881" s="29">
        <v>413</v>
      </c>
      <c r="L1881" s="29"/>
      <c r="M1881" s="30">
        <f>IFERROR(VLOOKUP($A1881,HeadJournal!$A$1:$J$890,COLUMN(HeadJournal!I$1),0)*($K1881+$L1881)/(SUMIF($A:$A,$A1881,$K:$K)+SUMIF($A:$A,$A1881,$L:$L)),0)</f>
        <v>0</v>
      </c>
      <c r="N1881" s="30">
        <f>IFERROR((VLOOKUP($A1881,HeadJournal!$A$1:$K$890,COLUMN(HeadJournal!K$1),0)-VLOOKUP($A1881,HeadJournal!$A$1:$K$890,COLUMN(HeadJournal!J$1),0))*($K1881+$L1881)/(SUMIF($A:$A,$A1881,$K:$K)+SUMIF($A:$A,$A1881,$L:$L)),0)</f>
        <v>0</v>
      </c>
      <c r="O1881" s="30">
        <f>IFERROR((VLOOKUP($A1881,HeadJournal!$A$1:$L$890,COLUMN(HeadJournal!L$1),0)*($K1881+$L1881)/(SUMIF($A:$A,$A1881,$K:$K)+SUMIF($A:$A,$A1881,$L:$L)))/VLOOKUP($A1881,HeadJournal!$A$1:$L$890,COLUMN(HeadJournal!H$1),0),0)</f>
        <v>41.300000000000004</v>
      </c>
      <c r="P1881" s="30">
        <f>IFERROR(SUM(K1881:O1881)*VLOOKUP($A1881,HeadJournal!$A$1:$L$890,COLUMN(HeadJournal!H$1),0),0)</f>
        <v>454.3</v>
      </c>
      <c r="Q1881" s="29">
        <v>900</v>
      </c>
      <c r="R1881" s="31">
        <v>45139</v>
      </c>
      <c r="S1881" s="31" t="s">
        <v>3121</v>
      </c>
      <c r="T1881" s="95" t="str">
        <f t="shared" si="150"/>
        <v>2023 08</v>
      </c>
      <c r="U1881" s="32">
        <f t="shared" si="147"/>
        <v>445.7</v>
      </c>
      <c r="V1881" s="22">
        <f t="shared" si="148"/>
        <v>0.98106977767994707</v>
      </c>
      <c r="X1881" s="33"/>
      <c r="Y1881" s="33"/>
    </row>
    <row r="1882" spans="1:25" x14ac:dyDescent="0.2">
      <c r="A1882" s="93" t="s">
        <v>852</v>
      </c>
      <c r="B1882" s="94">
        <f>IFERROR(VLOOKUP($A1882,HeadJournal!$A$1:$NTR$890,COLUMN(HeadJournal!B$1),0),"")</f>
        <v>0</v>
      </c>
      <c r="C1882" s="94" t="str">
        <f>IFERROR(VLOOKUP($A1882,HeadJournal!$A$1:$NTR$890,COLUMN(HeadJournal!C$1),0),"")</f>
        <v>OZON_OA</v>
      </c>
      <c r="D1882" s="125" t="str">
        <f>IFERROR(VLOOKUP($A1882,HeadJournal!$A$1:$NTR$890,COLUMN(HeadJournal!D$1),0),"")</f>
        <v>Доставлен</v>
      </c>
      <c r="E1882" s="95">
        <f>IFERROR(VLOOKUP($A1882,HeadJournal!$A$1:$NTR$890,COLUMN(HeadJournal!G$1),0),"")</f>
        <v>45125</v>
      </c>
      <c r="F1882" s="95" t="str">
        <f t="shared" si="149"/>
        <v>2023 07</v>
      </c>
      <c r="G1882" s="96" t="s">
        <v>6</v>
      </c>
      <c r="H1882" s="160" t="str">
        <f>RIGHT(Journal!$J1882,9)</f>
        <v>892721541</v>
      </c>
      <c r="I1882" s="96" t="str">
        <f t="shared" si="151"/>
        <v>FatZorb</v>
      </c>
      <c r="J1882" s="97" t="s">
        <v>737</v>
      </c>
      <c r="K1882" s="29">
        <v>822</v>
      </c>
      <c r="L1882" s="29"/>
      <c r="M1882" s="30">
        <f>IFERROR(VLOOKUP($A1882,HeadJournal!$A$1:$J$890,COLUMN(HeadJournal!I$1),0)*($K1882+$L1882)/(SUMIF($A:$A,$A1882,$K:$K)+SUMIF($A:$A,$A1882,$L:$L)),0)</f>
        <v>0</v>
      </c>
      <c r="N1882" s="30">
        <f>IFERROR((VLOOKUP($A1882,HeadJournal!$A$1:$K$890,COLUMN(HeadJournal!K$1),0)-VLOOKUP($A1882,HeadJournal!$A$1:$K$890,COLUMN(HeadJournal!J$1),0))*($K1882+$L1882)/(SUMIF($A:$A,$A1882,$K:$K)+SUMIF($A:$A,$A1882,$L:$L)),0)</f>
        <v>0</v>
      </c>
      <c r="O1882" s="30">
        <f>IFERROR((VLOOKUP($A1882,HeadJournal!$A$1:$L$890,COLUMN(HeadJournal!L$1),0)*($K1882+$L1882)/(SUMIF($A:$A,$A1882,$K:$K)+SUMIF($A:$A,$A1882,$L:$L)))/VLOOKUP($A1882,HeadJournal!$A$1:$L$890,COLUMN(HeadJournal!H$1),0),0)</f>
        <v>82.2</v>
      </c>
      <c r="P1882" s="30">
        <f>IFERROR(SUM(K1882:O1882)*VLOOKUP($A1882,HeadJournal!$A$1:$L$890,COLUMN(HeadJournal!H$1),0),0)</f>
        <v>904.2</v>
      </c>
      <c r="Q1882" s="29">
        <v>2000</v>
      </c>
      <c r="R1882" s="31">
        <v>45159</v>
      </c>
      <c r="S1882" s="31" t="s">
        <v>3121</v>
      </c>
      <c r="T1882" s="95" t="str">
        <f t="shared" si="150"/>
        <v>2023 08</v>
      </c>
      <c r="U1882" s="32">
        <f t="shared" si="147"/>
        <v>1095.8</v>
      </c>
      <c r="V1882" s="22">
        <f t="shared" si="148"/>
        <v>1.2119000221190002</v>
      </c>
      <c r="X1882" s="33"/>
      <c r="Y1882" s="33"/>
    </row>
    <row r="1883" spans="1:25" x14ac:dyDescent="0.2">
      <c r="A1883" s="93" t="s">
        <v>852</v>
      </c>
      <c r="B1883" s="94">
        <f>IFERROR(VLOOKUP($A1883,HeadJournal!$A$1:$NTR$890,COLUMN(HeadJournal!B$1),0),"")</f>
        <v>0</v>
      </c>
      <c r="C1883" s="94" t="str">
        <f>IFERROR(VLOOKUP($A1883,HeadJournal!$A$1:$NTR$890,COLUMN(HeadJournal!C$1),0),"")</f>
        <v>OZON_OA</v>
      </c>
      <c r="D1883" s="125" t="str">
        <f>IFERROR(VLOOKUP($A1883,HeadJournal!$A$1:$NTR$890,COLUMN(HeadJournal!D$1),0),"")</f>
        <v>Доставлен</v>
      </c>
      <c r="E1883" s="95">
        <f>IFERROR(VLOOKUP($A1883,HeadJournal!$A$1:$NTR$890,COLUMN(HeadJournal!G$1),0),"")</f>
        <v>45125</v>
      </c>
      <c r="F1883" s="95" t="str">
        <f t="shared" si="149"/>
        <v>2023 07</v>
      </c>
      <c r="G1883" s="96" t="s">
        <v>6</v>
      </c>
      <c r="H1883" s="160" t="str">
        <f>RIGHT(Journal!$J1883,9)</f>
        <v>892721541</v>
      </c>
      <c r="I1883" s="96" t="str">
        <f t="shared" si="151"/>
        <v>FatZorb</v>
      </c>
      <c r="J1883" s="97" t="s">
        <v>737</v>
      </c>
      <c r="K1883" s="29">
        <v>822</v>
      </c>
      <c r="L1883" s="29"/>
      <c r="M1883" s="30">
        <f>IFERROR(VLOOKUP($A1883,HeadJournal!$A$1:$J$890,COLUMN(HeadJournal!I$1),0)*($K1883+$L1883)/(SUMIF($A:$A,$A1883,$K:$K)+SUMIF($A:$A,$A1883,$L:$L)),0)</f>
        <v>0</v>
      </c>
      <c r="N1883" s="30">
        <f>IFERROR((VLOOKUP($A1883,HeadJournal!$A$1:$K$890,COLUMN(HeadJournal!K$1),0)-VLOOKUP($A1883,HeadJournal!$A$1:$K$890,COLUMN(HeadJournal!J$1),0))*($K1883+$L1883)/(SUMIF($A:$A,$A1883,$K:$K)+SUMIF($A:$A,$A1883,$L:$L)),0)</f>
        <v>0</v>
      </c>
      <c r="O1883" s="30">
        <f>IFERROR((VLOOKUP($A1883,HeadJournal!$A$1:$L$890,COLUMN(HeadJournal!L$1),0)*($K1883+$L1883)/(SUMIF($A:$A,$A1883,$K:$K)+SUMIF($A:$A,$A1883,$L:$L)))/VLOOKUP($A1883,HeadJournal!$A$1:$L$890,COLUMN(HeadJournal!H$1),0),0)</f>
        <v>82.2</v>
      </c>
      <c r="P1883" s="30">
        <f>IFERROR(SUM(K1883:O1883)*VLOOKUP($A1883,HeadJournal!$A$1:$L$890,COLUMN(HeadJournal!H$1),0),0)</f>
        <v>904.2</v>
      </c>
      <c r="Q1883" s="29">
        <v>2000</v>
      </c>
      <c r="R1883" s="31">
        <v>45239</v>
      </c>
      <c r="S1883" s="31" t="s">
        <v>3121</v>
      </c>
      <c r="T1883" s="95" t="str">
        <f t="shared" si="150"/>
        <v>2023 11</v>
      </c>
      <c r="U1883" s="32">
        <f t="shared" si="147"/>
        <v>1095.8</v>
      </c>
      <c r="V1883" s="22">
        <f t="shared" si="148"/>
        <v>1.2119000221190002</v>
      </c>
      <c r="X1883" s="33"/>
      <c r="Y1883" s="33"/>
    </row>
    <row r="1884" spans="1:25" x14ac:dyDescent="0.2">
      <c r="A1884" s="93" t="s">
        <v>852</v>
      </c>
      <c r="B1884" s="94">
        <f>IFERROR(VLOOKUP($A1884,HeadJournal!$A$1:$NTR$890,COLUMN(HeadJournal!B$1),0),"")</f>
        <v>0</v>
      </c>
      <c r="C1884" s="94" t="str">
        <f>IFERROR(VLOOKUP($A1884,HeadJournal!$A$1:$NTR$890,COLUMN(HeadJournal!C$1),0),"")</f>
        <v>OZON_OA</v>
      </c>
      <c r="D1884" s="125" t="str">
        <f>IFERROR(VLOOKUP($A1884,HeadJournal!$A$1:$NTR$890,COLUMN(HeadJournal!D$1),0),"")</f>
        <v>Доставлен</v>
      </c>
      <c r="E1884" s="95">
        <f>IFERROR(VLOOKUP($A1884,HeadJournal!$A$1:$NTR$890,COLUMN(HeadJournal!G$1),0),"")</f>
        <v>45125</v>
      </c>
      <c r="F1884" s="95" t="str">
        <f t="shared" si="149"/>
        <v>2023 07</v>
      </c>
      <c r="G1884" s="96" t="s">
        <v>6</v>
      </c>
      <c r="H1884" s="160" t="str">
        <f>RIGHT(Journal!$J1884,9)</f>
        <v>892721541</v>
      </c>
      <c r="I1884" s="96" t="str">
        <f t="shared" si="151"/>
        <v>FatZorb</v>
      </c>
      <c r="J1884" s="97" t="s">
        <v>737</v>
      </c>
      <c r="K1884" s="29">
        <v>822</v>
      </c>
      <c r="L1884" s="29"/>
      <c r="M1884" s="30">
        <f>IFERROR(VLOOKUP($A1884,HeadJournal!$A$1:$J$890,COLUMN(HeadJournal!I$1),0)*($K1884+$L1884)/(SUMIF($A:$A,$A1884,$K:$K)+SUMIF($A:$A,$A1884,$L:$L)),0)</f>
        <v>0</v>
      </c>
      <c r="N1884" s="30">
        <f>IFERROR((VLOOKUP($A1884,HeadJournal!$A$1:$K$890,COLUMN(HeadJournal!K$1),0)-VLOOKUP($A1884,HeadJournal!$A$1:$K$890,COLUMN(HeadJournal!J$1),0))*($K1884+$L1884)/(SUMIF($A:$A,$A1884,$K:$K)+SUMIF($A:$A,$A1884,$L:$L)),0)</f>
        <v>0</v>
      </c>
      <c r="O1884" s="30">
        <f>IFERROR((VLOOKUP($A1884,HeadJournal!$A$1:$L$890,COLUMN(HeadJournal!L$1),0)*($K1884+$L1884)/(SUMIF($A:$A,$A1884,$K:$K)+SUMIF($A:$A,$A1884,$L:$L)))/VLOOKUP($A1884,HeadJournal!$A$1:$L$890,COLUMN(HeadJournal!H$1),0),0)</f>
        <v>82.2</v>
      </c>
      <c r="P1884" s="30">
        <f>IFERROR(SUM(K1884:O1884)*VLOOKUP($A1884,HeadJournal!$A$1:$L$890,COLUMN(HeadJournal!H$1),0),0)</f>
        <v>904.2</v>
      </c>
      <c r="Q1884" s="29">
        <v>1900</v>
      </c>
      <c r="R1884" s="31">
        <v>45260</v>
      </c>
      <c r="S1884" s="31" t="s">
        <v>3121</v>
      </c>
      <c r="T1884" s="95" t="str">
        <f t="shared" si="150"/>
        <v>2023 11</v>
      </c>
      <c r="U1884" s="32">
        <f t="shared" si="147"/>
        <v>995.8</v>
      </c>
      <c r="V1884" s="22">
        <f t="shared" si="148"/>
        <v>1.1013050210130502</v>
      </c>
      <c r="X1884" s="33"/>
      <c r="Y1884" s="33"/>
    </row>
    <row r="1885" spans="1:25" x14ac:dyDescent="0.2">
      <c r="A1885" s="93" t="s">
        <v>853</v>
      </c>
      <c r="B1885" s="94">
        <f>IFERROR(VLOOKUP($A1885,HeadJournal!$A$1:$NTR$890,COLUMN(HeadJournal!B$1),0),"")</f>
        <v>0</v>
      </c>
      <c r="C1885" s="94" t="str">
        <f>IFERROR(VLOOKUP($A1885,HeadJournal!$A$1:$NTR$890,COLUMN(HeadJournal!C$1),0),"")</f>
        <v>OZON_OA</v>
      </c>
      <c r="D1885" s="125" t="str">
        <f>IFERROR(VLOOKUP($A1885,HeadJournal!$A$1:$NTR$890,COLUMN(HeadJournal!D$1),0),"")</f>
        <v>Доставлен</v>
      </c>
      <c r="E1885" s="95">
        <f>IFERROR(VLOOKUP($A1885,HeadJournal!$A$1:$NTR$890,COLUMN(HeadJournal!G$1),0),"")</f>
        <v>45139</v>
      </c>
      <c r="F1885" s="95" t="str">
        <f t="shared" si="149"/>
        <v>2023 08</v>
      </c>
      <c r="G1885" s="96" t="s">
        <v>6</v>
      </c>
      <c r="H1885" s="160" t="str">
        <f>RIGHT(Journal!$J1885,9)</f>
        <v>155522407</v>
      </c>
      <c r="I1885" s="96" t="str">
        <f t="shared" si="151"/>
        <v>PRIMEKRAFT</v>
      </c>
      <c r="J1885" s="97" t="s">
        <v>854</v>
      </c>
      <c r="K1885" s="29">
        <v>1463</v>
      </c>
      <c r="L1885" s="29"/>
      <c r="M1885" s="30">
        <f>IFERROR(VLOOKUP($A1885,HeadJournal!$A$1:$J$890,COLUMN(HeadJournal!I$1),0)*($K1885+$L1885)/(SUMIF($A:$A,$A1885,$K:$K)+SUMIF($A:$A,$A1885,$L:$L)),0)</f>
        <v>0</v>
      </c>
      <c r="N1885" s="30">
        <f>IFERROR((VLOOKUP($A1885,HeadJournal!$A$1:$K$890,COLUMN(HeadJournal!K$1),0)-VLOOKUP($A1885,HeadJournal!$A$1:$K$890,COLUMN(HeadJournal!J$1),0))*($K1885+$L1885)/(SUMIF($A:$A,$A1885,$K:$K)+SUMIF($A:$A,$A1885,$L:$L)),0)</f>
        <v>0</v>
      </c>
      <c r="O1885" s="30">
        <f>IFERROR((VLOOKUP($A1885,HeadJournal!$A$1:$L$890,COLUMN(HeadJournal!L$1),0)*($K1885+$L1885)/(SUMIF($A:$A,$A1885,$K:$K)+SUMIF($A:$A,$A1885,$L:$L)))/VLOOKUP($A1885,HeadJournal!$A$1:$L$890,COLUMN(HeadJournal!H$1),0),0)</f>
        <v>146.30000000000001</v>
      </c>
      <c r="P1885" s="30">
        <f>IFERROR(SUM(K1885:O1885)*VLOOKUP($A1885,HeadJournal!$A$1:$L$890,COLUMN(HeadJournal!H$1),0),0)</f>
        <v>1609.3</v>
      </c>
      <c r="Q1885" s="29">
        <v>2200</v>
      </c>
      <c r="R1885" s="31">
        <v>45179</v>
      </c>
      <c r="S1885" s="31" t="s">
        <v>3121</v>
      </c>
      <c r="T1885" s="95" t="str">
        <f t="shared" si="150"/>
        <v>2023 09</v>
      </c>
      <c r="U1885" s="32">
        <f t="shared" si="147"/>
        <v>590.70000000000005</v>
      </c>
      <c r="V1885" s="22">
        <f t="shared" si="148"/>
        <v>0.36705399863294602</v>
      </c>
      <c r="X1885" s="33"/>
      <c r="Y1885" s="33"/>
    </row>
    <row r="1886" spans="1:25" x14ac:dyDescent="0.2">
      <c r="A1886" s="93" t="s">
        <v>853</v>
      </c>
      <c r="B1886" s="94">
        <f>IFERROR(VLOOKUP($A1886,HeadJournal!$A$1:$NTR$890,COLUMN(HeadJournal!B$1),0),"")</f>
        <v>0</v>
      </c>
      <c r="C1886" s="94" t="str">
        <f>IFERROR(VLOOKUP($A1886,HeadJournal!$A$1:$NTR$890,COLUMN(HeadJournal!C$1),0),"")</f>
        <v>OZON_OA</v>
      </c>
      <c r="D1886" s="125" t="str">
        <f>IFERROR(VLOOKUP($A1886,HeadJournal!$A$1:$NTR$890,COLUMN(HeadJournal!D$1),0),"")</f>
        <v>Доставлен</v>
      </c>
      <c r="E1886" s="95">
        <f>IFERROR(VLOOKUP($A1886,HeadJournal!$A$1:$NTR$890,COLUMN(HeadJournal!G$1),0),"")</f>
        <v>45139</v>
      </c>
      <c r="F1886" s="95" t="str">
        <f t="shared" si="149"/>
        <v>2023 08</v>
      </c>
      <c r="G1886" s="96" t="s">
        <v>6</v>
      </c>
      <c r="H1886" s="160" t="str">
        <f>RIGHT(Journal!$J1886,9)</f>
        <v>152851473</v>
      </c>
      <c r="I1886" s="96" t="str">
        <f t="shared" si="151"/>
        <v>PRIMEKRAFT</v>
      </c>
      <c r="J1886" s="97" t="s">
        <v>809</v>
      </c>
      <c r="K1886" s="29">
        <v>1459</v>
      </c>
      <c r="L1886" s="29"/>
      <c r="M1886" s="30">
        <f>IFERROR(VLOOKUP($A1886,HeadJournal!$A$1:$J$890,COLUMN(HeadJournal!I$1),0)*($K1886+$L1886)/(SUMIF($A:$A,$A1886,$K:$K)+SUMIF($A:$A,$A1886,$L:$L)),0)</f>
        <v>0</v>
      </c>
      <c r="N1886" s="30">
        <f>IFERROR((VLOOKUP($A1886,HeadJournal!$A$1:$K$890,COLUMN(HeadJournal!K$1),0)-VLOOKUP($A1886,HeadJournal!$A$1:$K$890,COLUMN(HeadJournal!J$1),0))*($K1886+$L1886)/(SUMIF($A:$A,$A1886,$K:$K)+SUMIF($A:$A,$A1886,$L:$L)),0)</f>
        <v>0</v>
      </c>
      <c r="O1886" s="30">
        <f>IFERROR((VLOOKUP($A1886,HeadJournal!$A$1:$L$890,COLUMN(HeadJournal!L$1),0)*($K1886+$L1886)/(SUMIF($A:$A,$A1886,$K:$K)+SUMIF($A:$A,$A1886,$L:$L)))/VLOOKUP($A1886,HeadJournal!$A$1:$L$890,COLUMN(HeadJournal!H$1),0),0)</f>
        <v>145.9</v>
      </c>
      <c r="P1886" s="30">
        <f>IFERROR(SUM(K1886:O1886)*VLOOKUP($A1886,HeadJournal!$A$1:$L$890,COLUMN(HeadJournal!H$1),0),0)</f>
        <v>1604.9</v>
      </c>
      <c r="Q1886" s="29">
        <v>2200</v>
      </c>
      <c r="R1886" s="31">
        <v>45318</v>
      </c>
      <c r="S1886" s="31" t="s">
        <v>3121</v>
      </c>
      <c r="T1886" s="95" t="str">
        <f t="shared" si="150"/>
        <v>2024 01</v>
      </c>
      <c r="U1886" s="32">
        <f t="shared" si="147"/>
        <v>595.09999999999991</v>
      </c>
      <c r="V1886" s="22">
        <f t="shared" si="148"/>
        <v>0.37080191912268667</v>
      </c>
      <c r="X1886" s="33"/>
      <c r="Y1886" s="33"/>
    </row>
    <row r="1887" spans="1:25" x14ac:dyDescent="0.2">
      <c r="A1887" s="93" t="s">
        <v>853</v>
      </c>
      <c r="B1887" s="94">
        <f>IFERROR(VLOOKUP($A1887,HeadJournal!$A$1:$NTR$890,COLUMN(HeadJournal!B$1),0),"")</f>
        <v>0</v>
      </c>
      <c r="C1887" s="94" t="str">
        <f>IFERROR(VLOOKUP($A1887,HeadJournal!$A$1:$NTR$890,COLUMN(HeadJournal!C$1),0),"")</f>
        <v>OZON_OA</v>
      </c>
      <c r="D1887" s="125" t="str">
        <f>IFERROR(VLOOKUP($A1887,HeadJournal!$A$1:$NTR$890,COLUMN(HeadJournal!D$1),0),"")</f>
        <v>Доставлен</v>
      </c>
      <c r="E1887" s="95">
        <f>IFERROR(VLOOKUP($A1887,HeadJournal!$A$1:$NTR$890,COLUMN(HeadJournal!G$1),0),"")</f>
        <v>45139</v>
      </c>
      <c r="F1887" s="95" t="str">
        <f t="shared" si="149"/>
        <v>2023 08</v>
      </c>
      <c r="G1887" s="96" t="s">
        <v>6</v>
      </c>
      <c r="H1887" s="160" t="str">
        <f>RIGHT(Journal!$J1887,9)</f>
        <v>309538221</v>
      </c>
      <c r="I1887" s="96" t="str">
        <f t="shared" si="151"/>
        <v>R-Line</v>
      </c>
      <c r="J1887" s="97" t="s">
        <v>514</v>
      </c>
      <c r="K1887" s="29">
        <v>1549</v>
      </c>
      <c r="L1887" s="29"/>
      <c r="M1887" s="30">
        <f>IFERROR(VLOOKUP($A1887,HeadJournal!$A$1:$J$890,COLUMN(HeadJournal!I$1),0)*($K1887+$L1887)/(SUMIF($A:$A,$A1887,$K:$K)+SUMIF($A:$A,$A1887,$L:$L)),0)</f>
        <v>0</v>
      </c>
      <c r="N1887" s="30">
        <f>IFERROR((VLOOKUP($A1887,HeadJournal!$A$1:$K$890,COLUMN(HeadJournal!K$1),0)-VLOOKUP($A1887,HeadJournal!$A$1:$K$890,COLUMN(HeadJournal!J$1),0))*($K1887+$L1887)/(SUMIF($A:$A,$A1887,$K:$K)+SUMIF($A:$A,$A1887,$L:$L)),0)</f>
        <v>0</v>
      </c>
      <c r="O1887" s="30">
        <f>IFERROR((VLOOKUP($A1887,HeadJournal!$A$1:$L$890,COLUMN(HeadJournal!L$1),0)*($K1887+$L1887)/(SUMIF($A:$A,$A1887,$K:$K)+SUMIF($A:$A,$A1887,$L:$L)))/VLOOKUP($A1887,HeadJournal!$A$1:$L$890,COLUMN(HeadJournal!H$1),0),0)</f>
        <v>154.9</v>
      </c>
      <c r="P1887" s="30">
        <f>IFERROR(SUM(K1887:O1887)*VLOOKUP($A1887,HeadJournal!$A$1:$L$890,COLUMN(HeadJournal!H$1),0),0)</f>
        <v>1703.9</v>
      </c>
      <c r="Q1887" s="29">
        <v>3000</v>
      </c>
      <c r="R1887" s="31">
        <v>45195</v>
      </c>
      <c r="S1887" s="31" t="s">
        <v>3121</v>
      </c>
      <c r="T1887" s="95" t="str">
        <f t="shared" si="150"/>
        <v>2023 09</v>
      </c>
      <c r="U1887" s="32">
        <f t="shared" si="147"/>
        <v>1296.0999999999999</v>
      </c>
      <c r="V1887" s="22">
        <f t="shared" si="148"/>
        <v>0.76066670579259332</v>
      </c>
      <c r="X1887" s="33"/>
      <c r="Y1887" s="33"/>
    </row>
    <row r="1888" spans="1:25" x14ac:dyDescent="0.2">
      <c r="A1888" s="93" t="s">
        <v>853</v>
      </c>
      <c r="B1888" s="94">
        <f>IFERROR(VLOOKUP($A1888,HeadJournal!$A$1:$NTR$890,COLUMN(HeadJournal!B$1),0),"")</f>
        <v>0</v>
      </c>
      <c r="C1888" s="94" t="str">
        <f>IFERROR(VLOOKUP($A1888,HeadJournal!$A$1:$NTR$890,COLUMN(HeadJournal!C$1),0),"")</f>
        <v>OZON_OA</v>
      </c>
      <c r="D1888" s="125" t="str">
        <f>IFERROR(VLOOKUP($A1888,HeadJournal!$A$1:$NTR$890,COLUMN(HeadJournal!D$1),0),"")</f>
        <v>Доставлен</v>
      </c>
      <c r="E1888" s="95">
        <f>IFERROR(VLOOKUP($A1888,HeadJournal!$A$1:$NTR$890,COLUMN(HeadJournal!G$1),0),"")</f>
        <v>45139</v>
      </c>
      <c r="F1888" s="95" t="str">
        <f t="shared" si="149"/>
        <v>2023 08</v>
      </c>
      <c r="G1888" s="96" t="s">
        <v>6</v>
      </c>
      <c r="H1888" s="160" t="str">
        <f>RIGHT(Journal!$J1888,9)</f>
        <v>309534042</v>
      </c>
      <c r="I1888" s="96" t="str">
        <f t="shared" si="151"/>
        <v>R-Line</v>
      </c>
      <c r="J1888" s="97" t="s">
        <v>815</v>
      </c>
      <c r="K1888" s="29">
        <v>1567</v>
      </c>
      <c r="L1888" s="29"/>
      <c r="M1888" s="30">
        <f>IFERROR(VLOOKUP($A1888,HeadJournal!$A$1:$J$890,COLUMN(HeadJournal!I$1),0)*($K1888+$L1888)/(SUMIF($A:$A,$A1888,$K:$K)+SUMIF($A:$A,$A1888,$L:$L)),0)</f>
        <v>0</v>
      </c>
      <c r="N1888" s="30">
        <f>IFERROR((VLOOKUP($A1888,HeadJournal!$A$1:$K$890,COLUMN(HeadJournal!K$1),0)-VLOOKUP($A1888,HeadJournal!$A$1:$K$890,COLUMN(HeadJournal!J$1),0))*($K1888+$L1888)/(SUMIF($A:$A,$A1888,$K:$K)+SUMIF($A:$A,$A1888,$L:$L)),0)</f>
        <v>0</v>
      </c>
      <c r="O1888" s="30">
        <f>IFERROR((VLOOKUP($A1888,HeadJournal!$A$1:$L$890,COLUMN(HeadJournal!L$1),0)*($K1888+$L1888)/(SUMIF($A:$A,$A1888,$K:$K)+SUMIF($A:$A,$A1888,$L:$L)))/VLOOKUP($A1888,HeadJournal!$A$1:$L$890,COLUMN(HeadJournal!H$1),0),0)</f>
        <v>156.70000000000002</v>
      </c>
      <c r="P1888" s="30">
        <f>IFERROR(SUM(K1888:O1888)*VLOOKUP($A1888,HeadJournal!$A$1:$L$890,COLUMN(HeadJournal!H$1),0),0)</f>
        <v>1723.7</v>
      </c>
      <c r="Q1888" s="29">
        <v>2800</v>
      </c>
      <c r="R1888" s="31">
        <v>45154</v>
      </c>
      <c r="S1888" s="31" t="s">
        <v>3121</v>
      </c>
      <c r="T1888" s="95" t="str">
        <f t="shared" si="150"/>
        <v>2023 08</v>
      </c>
      <c r="U1888" s="32">
        <f t="shared" si="147"/>
        <v>1076.3</v>
      </c>
      <c r="V1888" s="22">
        <f t="shared" si="148"/>
        <v>0.62441260080060335</v>
      </c>
      <c r="X1888" s="33"/>
      <c r="Y1888" s="33"/>
    </row>
    <row r="1889" spans="1:25" x14ac:dyDescent="0.2">
      <c r="A1889" s="93" t="s">
        <v>855</v>
      </c>
      <c r="B1889" s="94">
        <f>IFERROR(VLOOKUP($A1889,HeadJournal!$A$1:$NTR$890,COLUMN(HeadJournal!B$1),0),"")</f>
        <v>0</v>
      </c>
      <c r="C1889" s="94" t="str">
        <f>IFERROR(VLOOKUP($A1889,HeadJournal!$A$1:$NTR$890,COLUMN(HeadJournal!C$1),0),"")</f>
        <v>WBRS</v>
      </c>
      <c r="D1889" s="125" t="str">
        <f>IFERROR(VLOOKUP($A1889,HeadJournal!$A$1:$NTR$890,COLUMN(HeadJournal!D$1),0),"")</f>
        <v>Доставлен</v>
      </c>
      <c r="E1889" s="95">
        <f>IFERROR(VLOOKUP($A1889,HeadJournal!$A$1:$NTR$890,COLUMN(HeadJournal!G$1),0),"")</f>
        <v>45139</v>
      </c>
      <c r="F1889" s="95" t="str">
        <f t="shared" si="149"/>
        <v>2023 08</v>
      </c>
      <c r="G1889" s="96" t="s">
        <v>6</v>
      </c>
      <c r="H1889" s="160" t="str">
        <f>RIGHT(Journal!$J1889,9)</f>
        <v>138948952</v>
      </c>
      <c r="I1889" s="96" t="str">
        <f t="shared" si="151"/>
        <v>Workout time</v>
      </c>
      <c r="J1889" s="97" t="s">
        <v>789</v>
      </c>
      <c r="K1889" s="29">
        <v>369</v>
      </c>
      <c r="L1889" s="29"/>
      <c r="M1889" s="30">
        <f>IFERROR(VLOOKUP($A1889,HeadJournal!$A$1:$J$890,COLUMN(HeadJournal!I$1),0)*($K1889+$L1889)/(SUMIF($A:$A,$A1889,$K:$K)+SUMIF($A:$A,$A1889,$L:$L)),0)</f>
        <v>0</v>
      </c>
      <c r="N1889" s="30">
        <f>IFERROR((VLOOKUP($A1889,HeadJournal!$A$1:$K$890,COLUMN(HeadJournal!K$1),0)-VLOOKUP($A1889,HeadJournal!$A$1:$K$890,COLUMN(HeadJournal!J$1),0))*($K1889+$L1889)/(SUMIF($A:$A,$A1889,$K:$K)+SUMIF($A:$A,$A1889,$L:$L)),0)</f>
        <v>0</v>
      </c>
      <c r="O1889" s="30">
        <f>IFERROR((VLOOKUP($A1889,HeadJournal!$A$1:$L$890,COLUMN(HeadJournal!L$1),0)*($K1889+$L1889)/(SUMIF($A:$A,$A1889,$K:$K)+SUMIF($A:$A,$A1889,$L:$L)))/VLOOKUP($A1889,HeadJournal!$A$1:$L$890,COLUMN(HeadJournal!H$1),0),0)</f>
        <v>36.9</v>
      </c>
      <c r="P1889" s="30">
        <f>IFERROR(SUM(K1889:O1889)*VLOOKUP($A1889,HeadJournal!$A$1:$L$890,COLUMN(HeadJournal!H$1),0),0)</f>
        <v>405.9</v>
      </c>
      <c r="Q1889" s="29">
        <v>550</v>
      </c>
      <c r="R1889" s="31">
        <v>45179</v>
      </c>
      <c r="S1889" s="31" t="s">
        <v>3121</v>
      </c>
      <c r="T1889" s="95" t="str">
        <f t="shared" si="150"/>
        <v>2023 09</v>
      </c>
      <c r="U1889" s="32">
        <f t="shared" si="147"/>
        <v>144.10000000000002</v>
      </c>
      <c r="V1889" s="22">
        <f t="shared" si="148"/>
        <v>0.35501355013550145</v>
      </c>
      <c r="X1889" s="33"/>
      <c r="Y1889" s="33"/>
    </row>
    <row r="1890" spans="1:25" x14ac:dyDescent="0.2">
      <c r="A1890" s="93" t="s">
        <v>855</v>
      </c>
      <c r="B1890" s="94">
        <f>IFERROR(VLOOKUP($A1890,HeadJournal!$A$1:$NTR$890,COLUMN(HeadJournal!B$1),0),"")</f>
        <v>0</v>
      </c>
      <c r="C1890" s="94" t="str">
        <f>IFERROR(VLOOKUP($A1890,HeadJournal!$A$1:$NTR$890,COLUMN(HeadJournal!C$1),0),"")</f>
        <v>WBRS</v>
      </c>
      <c r="D1890" s="125" t="str">
        <f>IFERROR(VLOOKUP($A1890,HeadJournal!$A$1:$NTR$890,COLUMN(HeadJournal!D$1),0),"")</f>
        <v>Доставлен</v>
      </c>
      <c r="E1890" s="95">
        <f>IFERROR(VLOOKUP($A1890,HeadJournal!$A$1:$NTR$890,COLUMN(HeadJournal!G$1),0),"")</f>
        <v>45139</v>
      </c>
      <c r="F1890" s="95" t="str">
        <f t="shared" si="149"/>
        <v>2023 08</v>
      </c>
      <c r="G1890" s="96" t="s">
        <v>6</v>
      </c>
      <c r="H1890" s="160" t="str">
        <f>RIGHT(Journal!$J1890,9)</f>
        <v>138948952</v>
      </c>
      <c r="I1890" s="96" t="str">
        <f t="shared" si="151"/>
        <v>Workout time</v>
      </c>
      <c r="J1890" s="97" t="s">
        <v>789</v>
      </c>
      <c r="K1890" s="29">
        <v>369</v>
      </c>
      <c r="L1890" s="29"/>
      <c r="M1890" s="30">
        <f>IFERROR(VLOOKUP($A1890,HeadJournal!$A$1:$J$890,COLUMN(HeadJournal!I$1),0)*($K1890+$L1890)/(SUMIF($A:$A,$A1890,$K:$K)+SUMIF($A:$A,$A1890,$L:$L)),0)</f>
        <v>0</v>
      </c>
      <c r="N1890" s="30">
        <f>IFERROR((VLOOKUP($A1890,HeadJournal!$A$1:$K$890,COLUMN(HeadJournal!K$1),0)-VLOOKUP($A1890,HeadJournal!$A$1:$K$890,COLUMN(HeadJournal!J$1),0))*($K1890+$L1890)/(SUMIF($A:$A,$A1890,$K:$K)+SUMIF($A:$A,$A1890,$L:$L)),0)</f>
        <v>0</v>
      </c>
      <c r="O1890" s="30">
        <f>IFERROR((VLOOKUP($A1890,HeadJournal!$A$1:$L$890,COLUMN(HeadJournal!L$1),0)*($K1890+$L1890)/(SUMIF($A:$A,$A1890,$K:$K)+SUMIF($A:$A,$A1890,$L:$L)))/VLOOKUP($A1890,HeadJournal!$A$1:$L$890,COLUMN(HeadJournal!H$1),0),0)</f>
        <v>36.9</v>
      </c>
      <c r="P1890" s="30">
        <f>IFERROR(SUM(K1890:O1890)*VLOOKUP($A1890,HeadJournal!$A$1:$L$890,COLUMN(HeadJournal!H$1),0),0)</f>
        <v>405.9</v>
      </c>
      <c r="Q1890" s="29">
        <v>550</v>
      </c>
      <c r="R1890" s="31">
        <v>45186</v>
      </c>
      <c r="S1890" s="31" t="s">
        <v>3121</v>
      </c>
      <c r="T1890" s="95" t="str">
        <f t="shared" si="150"/>
        <v>2023 09</v>
      </c>
      <c r="U1890" s="32">
        <f t="shared" si="147"/>
        <v>144.10000000000002</v>
      </c>
      <c r="V1890" s="22">
        <f t="shared" si="148"/>
        <v>0.35501355013550145</v>
      </c>
      <c r="X1890" s="33"/>
      <c r="Y1890" s="33"/>
    </row>
    <row r="1891" spans="1:25" x14ac:dyDescent="0.2">
      <c r="A1891" s="93" t="s">
        <v>856</v>
      </c>
      <c r="B1891" s="94">
        <f>IFERROR(VLOOKUP($A1891,HeadJournal!$A$1:$NTR$890,COLUMN(HeadJournal!B$1),0),"")</f>
        <v>0</v>
      </c>
      <c r="C1891" s="94" t="str">
        <f>IFERROR(VLOOKUP($A1891,HeadJournal!$A$1:$NTR$890,COLUMN(HeadJournal!C$1),0),"")</f>
        <v>WBRS</v>
      </c>
      <c r="D1891" s="125" t="str">
        <f>IFERROR(VLOOKUP($A1891,HeadJournal!$A$1:$NTR$890,COLUMN(HeadJournal!D$1),0),"")</f>
        <v>Доставлен</v>
      </c>
      <c r="E1891" s="95">
        <f>IFERROR(VLOOKUP($A1891,HeadJournal!$A$1:$NTR$890,COLUMN(HeadJournal!G$1),0),"")</f>
        <v>45139</v>
      </c>
      <c r="F1891" s="95" t="str">
        <f t="shared" si="149"/>
        <v>2023 08</v>
      </c>
      <c r="G1891" s="96" t="s">
        <v>6</v>
      </c>
      <c r="H1891" s="160" t="str">
        <f>RIGHT(Journal!$J1891,9)</f>
        <v>139631886</v>
      </c>
      <c r="I1891" s="96" t="str">
        <f t="shared" si="151"/>
        <v>MAXLER</v>
      </c>
      <c r="J1891" s="97" t="s">
        <v>794</v>
      </c>
      <c r="K1891" s="29">
        <v>911</v>
      </c>
      <c r="L1891" s="29"/>
      <c r="M1891" s="30">
        <f>IFERROR(VLOOKUP($A1891,HeadJournal!$A$1:$J$890,COLUMN(HeadJournal!I$1),0)*($K1891+$L1891)/(SUMIF($A:$A,$A1891,$K:$K)+SUMIF($A:$A,$A1891,$L:$L)),0)</f>
        <v>0</v>
      </c>
      <c r="N1891" s="30">
        <f>IFERROR((VLOOKUP($A1891,HeadJournal!$A$1:$K$890,COLUMN(HeadJournal!K$1),0)-VLOOKUP($A1891,HeadJournal!$A$1:$K$890,COLUMN(HeadJournal!J$1),0))*($K1891+$L1891)/(SUMIF($A:$A,$A1891,$K:$K)+SUMIF($A:$A,$A1891,$L:$L)),0)</f>
        <v>0</v>
      </c>
      <c r="O1891" s="30">
        <f>IFERROR((VLOOKUP($A1891,HeadJournal!$A$1:$L$890,COLUMN(HeadJournal!L$1),0)*($K1891+$L1891)/(SUMIF($A:$A,$A1891,$K:$K)+SUMIF($A:$A,$A1891,$L:$L)))/VLOOKUP($A1891,HeadJournal!$A$1:$L$890,COLUMN(HeadJournal!H$1),0),0)</f>
        <v>91.100000000000009</v>
      </c>
      <c r="P1891" s="30">
        <f>IFERROR(SUM(K1891:O1891)*VLOOKUP($A1891,HeadJournal!$A$1:$L$890,COLUMN(HeadJournal!H$1),0),0)</f>
        <v>1002.1</v>
      </c>
      <c r="Q1891" s="29">
        <v>1700</v>
      </c>
      <c r="R1891" s="31">
        <v>45179</v>
      </c>
      <c r="S1891" s="31" t="s">
        <v>3121</v>
      </c>
      <c r="T1891" s="95" t="str">
        <f t="shared" si="150"/>
        <v>2023 09</v>
      </c>
      <c r="U1891" s="32">
        <f t="shared" si="147"/>
        <v>697.9</v>
      </c>
      <c r="V1891" s="22">
        <f t="shared" si="148"/>
        <v>0.69643748128929239</v>
      </c>
      <c r="X1891" s="33"/>
      <c r="Y1891" s="33"/>
    </row>
    <row r="1892" spans="1:25" x14ac:dyDescent="0.2">
      <c r="A1892" s="93" t="s">
        <v>856</v>
      </c>
      <c r="B1892" s="94">
        <f>IFERROR(VLOOKUP($A1892,HeadJournal!$A$1:$NTR$890,COLUMN(HeadJournal!B$1),0),"")</f>
        <v>0</v>
      </c>
      <c r="C1892" s="94" t="str">
        <f>IFERROR(VLOOKUP($A1892,HeadJournal!$A$1:$NTR$890,COLUMN(HeadJournal!C$1),0),"")</f>
        <v>WBRS</v>
      </c>
      <c r="D1892" s="125" t="str">
        <f>IFERROR(VLOOKUP($A1892,HeadJournal!$A$1:$NTR$890,COLUMN(HeadJournal!D$1),0),"")</f>
        <v>Доставлен</v>
      </c>
      <c r="E1892" s="95">
        <f>IFERROR(VLOOKUP($A1892,HeadJournal!$A$1:$NTR$890,COLUMN(HeadJournal!G$1),0),"")</f>
        <v>45139</v>
      </c>
      <c r="F1892" s="95" t="str">
        <f t="shared" si="149"/>
        <v>2023 08</v>
      </c>
      <c r="G1892" s="96" t="s">
        <v>6</v>
      </c>
      <c r="H1892" s="160" t="str">
        <f>RIGHT(Journal!$J1892,9)</f>
        <v>139631886</v>
      </c>
      <c r="I1892" s="96" t="str">
        <f t="shared" si="151"/>
        <v>MAXLER</v>
      </c>
      <c r="J1892" s="97" t="s">
        <v>794</v>
      </c>
      <c r="K1892" s="29">
        <v>911</v>
      </c>
      <c r="L1892" s="29"/>
      <c r="M1892" s="30">
        <f>IFERROR(VLOOKUP($A1892,HeadJournal!$A$1:$J$890,COLUMN(HeadJournal!I$1),0)*($K1892+$L1892)/(SUMIF($A:$A,$A1892,$K:$K)+SUMIF($A:$A,$A1892,$L:$L)),0)</f>
        <v>0</v>
      </c>
      <c r="N1892" s="30">
        <f>IFERROR((VLOOKUP($A1892,HeadJournal!$A$1:$K$890,COLUMN(HeadJournal!K$1),0)-VLOOKUP($A1892,HeadJournal!$A$1:$K$890,COLUMN(HeadJournal!J$1),0))*($K1892+$L1892)/(SUMIF($A:$A,$A1892,$K:$K)+SUMIF($A:$A,$A1892,$L:$L)),0)</f>
        <v>0</v>
      </c>
      <c r="O1892" s="30">
        <f>IFERROR((VLOOKUP($A1892,HeadJournal!$A$1:$L$890,COLUMN(HeadJournal!L$1),0)*($K1892+$L1892)/(SUMIF($A:$A,$A1892,$K:$K)+SUMIF($A:$A,$A1892,$L:$L)))/VLOOKUP($A1892,HeadJournal!$A$1:$L$890,COLUMN(HeadJournal!H$1),0),0)</f>
        <v>91.100000000000009</v>
      </c>
      <c r="P1892" s="30">
        <f>IFERROR(SUM(K1892:O1892)*VLOOKUP($A1892,HeadJournal!$A$1:$L$890,COLUMN(HeadJournal!H$1),0),0)</f>
        <v>1002.1</v>
      </c>
      <c r="Q1892" s="29">
        <v>1700</v>
      </c>
      <c r="R1892" s="31">
        <v>45189</v>
      </c>
      <c r="S1892" s="31" t="s">
        <v>3121</v>
      </c>
      <c r="T1892" s="95" t="str">
        <f t="shared" si="150"/>
        <v>2023 09</v>
      </c>
      <c r="U1892" s="32">
        <f t="shared" si="147"/>
        <v>697.9</v>
      </c>
      <c r="V1892" s="22">
        <f t="shared" si="148"/>
        <v>0.69643748128929239</v>
      </c>
      <c r="X1892" s="33"/>
      <c r="Y1892" s="33"/>
    </row>
    <row r="1893" spans="1:25" x14ac:dyDescent="0.2">
      <c r="A1893" s="93" t="s">
        <v>857</v>
      </c>
      <c r="B1893" s="94">
        <f>IFERROR(VLOOKUP($A1893,HeadJournal!$A$1:$NTR$890,COLUMN(HeadJournal!B$1),0),"")</f>
        <v>0</v>
      </c>
      <c r="C1893" s="94" t="str">
        <f>IFERROR(VLOOKUP($A1893,HeadJournal!$A$1:$NTR$890,COLUMN(HeadJournal!C$1),0),"")</f>
        <v>WBRS</v>
      </c>
      <c r="D1893" s="125" t="str">
        <f>IFERROR(VLOOKUP($A1893,HeadJournal!$A$1:$NTR$890,COLUMN(HeadJournal!D$1),0),"")</f>
        <v>Доставлен</v>
      </c>
      <c r="E1893" s="95">
        <f>IFERROR(VLOOKUP($A1893,HeadJournal!$A$1:$NTR$890,COLUMN(HeadJournal!G$1),0),"")</f>
        <v>45139</v>
      </c>
      <c r="F1893" s="95" t="str">
        <f t="shared" si="149"/>
        <v>2023 08</v>
      </c>
      <c r="G1893" s="96" t="s">
        <v>6</v>
      </c>
      <c r="H1893" s="160" t="str">
        <f>RIGHT(Journal!$J1893,9)</f>
        <v>030091936</v>
      </c>
      <c r="I1893" s="96" t="str">
        <f t="shared" si="151"/>
        <v>Workout time</v>
      </c>
      <c r="J1893" s="97" t="s">
        <v>858</v>
      </c>
      <c r="K1893" s="29">
        <v>369</v>
      </c>
      <c r="L1893" s="29"/>
      <c r="M1893" s="30">
        <f>IFERROR(VLOOKUP($A1893,HeadJournal!$A$1:$J$890,COLUMN(HeadJournal!I$1),0)*($K1893+$L1893)/(SUMIF($A:$A,$A1893,$K:$K)+SUMIF($A:$A,$A1893,$L:$L)),0)</f>
        <v>0</v>
      </c>
      <c r="N1893" s="30">
        <f>IFERROR((VLOOKUP($A1893,HeadJournal!$A$1:$K$890,COLUMN(HeadJournal!K$1),0)-VLOOKUP($A1893,HeadJournal!$A$1:$K$890,COLUMN(HeadJournal!J$1),0))*($K1893+$L1893)/(SUMIF($A:$A,$A1893,$K:$K)+SUMIF($A:$A,$A1893,$L:$L)),0)</f>
        <v>0</v>
      </c>
      <c r="O1893" s="30">
        <f>IFERROR((VLOOKUP($A1893,HeadJournal!$A$1:$L$890,COLUMN(HeadJournal!L$1),0)*($K1893+$L1893)/(SUMIF($A:$A,$A1893,$K:$K)+SUMIF($A:$A,$A1893,$L:$L)))/VLOOKUP($A1893,HeadJournal!$A$1:$L$890,COLUMN(HeadJournal!H$1),0),0)</f>
        <v>36.9</v>
      </c>
      <c r="P1893" s="30">
        <f>IFERROR(SUM(K1893:O1893)*VLOOKUP($A1893,HeadJournal!$A$1:$L$890,COLUMN(HeadJournal!H$1),0),0)</f>
        <v>405.9</v>
      </c>
      <c r="Q1893" s="29">
        <v>550</v>
      </c>
      <c r="R1893" s="31">
        <v>45186</v>
      </c>
      <c r="S1893" s="31" t="s">
        <v>3121</v>
      </c>
      <c r="T1893" s="95" t="str">
        <f t="shared" si="150"/>
        <v>2023 09</v>
      </c>
      <c r="U1893" s="32">
        <f t="shared" si="147"/>
        <v>144.10000000000002</v>
      </c>
      <c r="V1893" s="22">
        <f t="shared" si="148"/>
        <v>0.35501355013550145</v>
      </c>
      <c r="X1893" s="33"/>
      <c r="Y1893" s="33"/>
    </row>
    <row r="1894" spans="1:25" x14ac:dyDescent="0.2">
      <c r="A1894" s="93" t="s">
        <v>857</v>
      </c>
      <c r="B1894" s="94">
        <f>IFERROR(VLOOKUP($A1894,HeadJournal!$A$1:$NTR$890,COLUMN(HeadJournal!B$1),0),"")</f>
        <v>0</v>
      </c>
      <c r="C1894" s="94" t="str">
        <f>IFERROR(VLOOKUP($A1894,HeadJournal!$A$1:$NTR$890,COLUMN(HeadJournal!C$1),0),"")</f>
        <v>WBRS</v>
      </c>
      <c r="D1894" s="125" t="str">
        <f>IFERROR(VLOOKUP($A1894,HeadJournal!$A$1:$NTR$890,COLUMN(HeadJournal!D$1),0),"")</f>
        <v>Доставлен</v>
      </c>
      <c r="E1894" s="95">
        <f>IFERROR(VLOOKUP($A1894,HeadJournal!$A$1:$NTR$890,COLUMN(HeadJournal!G$1),0),"")</f>
        <v>45139</v>
      </c>
      <c r="F1894" s="95" t="str">
        <f t="shared" si="149"/>
        <v>2023 08</v>
      </c>
      <c r="G1894" s="96" t="s">
        <v>6</v>
      </c>
      <c r="H1894" s="160" t="str">
        <f>RIGHT(Journal!$J1894,9)</f>
        <v>030091936</v>
      </c>
      <c r="I1894" s="96" t="str">
        <f t="shared" si="151"/>
        <v>Workout time</v>
      </c>
      <c r="J1894" s="97" t="s">
        <v>858</v>
      </c>
      <c r="K1894" s="29">
        <v>369</v>
      </c>
      <c r="L1894" s="29"/>
      <c r="M1894" s="30">
        <f>IFERROR(VLOOKUP($A1894,HeadJournal!$A$1:$J$890,COLUMN(HeadJournal!I$1),0)*($K1894+$L1894)/(SUMIF($A:$A,$A1894,$K:$K)+SUMIF($A:$A,$A1894,$L:$L)),0)</f>
        <v>0</v>
      </c>
      <c r="N1894" s="30">
        <f>IFERROR((VLOOKUP($A1894,HeadJournal!$A$1:$K$890,COLUMN(HeadJournal!K$1),0)-VLOOKUP($A1894,HeadJournal!$A$1:$K$890,COLUMN(HeadJournal!J$1),0))*($K1894+$L1894)/(SUMIF($A:$A,$A1894,$K:$K)+SUMIF($A:$A,$A1894,$L:$L)),0)</f>
        <v>0</v>
      </c>
      <c r="O1894" s="30">
        <f>IFERROR((VLOOKUP($A1894,HeadJournal!$A$1:$L$890,COLUMN(HeadJournal!L$1),0)*($K1894+$L1894)/(SUMIF($A:$A,$A1894,$K:$K)+SUMIF($A:$A,$A1894,$L:$L)))/VLOOKUP($A1894,HeadJournal!$A$1:$L$890,COLUMN(HeadJournal!H$1),0),0)</f>
        <v>36.9</v>
      </c>
      <c r="P1894" s="30">
        <f>IFERROR(SUM(K1894:O1894)*VLOOKUP($A1894,HeadJournal!$A$1:$L$890,COLUMN(HeadJournal!H$1),0),0)</f>
        <v>405.9</v>
      </c>
      <c r="Q1894" s="29">
        <v>550</v>
      </c>
      <c r="R1894" s="31">
        <v>45186</v>
      </c>
      <c r="S1894" s="31" t="s">
        <v>3121</v>
      </c>
      <c r="T1894" s="95" t="str">
        <f t="shared" si="150"/>
        <v>2023 09</v>
      </c>
      <c r="U1894" s="32">
        <f t="shared" si="147"/>
        <v>144.10000000000002</v>
      </c>
      <c r="V1894" s="22">
        <f t="shared" si="148"/>
        <v>0.35501355013550145</v>
      </c>
      <c r="X1894" s="33"/>
      <c r="Y1894" s="33"/>
    </row>
    <row r="1895" spans="1:25" x14ac:dyDescent="0.2">
      <c r="A1895" s="93" t="s">
        <v>859</v>
      </c>
      <c r="B1895" s="94">
        <f>IFERROR(VLOOKUP($A1895,HeadJournal!$A$1:$NTR$890,COLUMN(HeadJournal!B$1),0),"")</f>
        <v>0</v>
      </c>
      <c r="C1895" s="94" t="str">
        <f>IFERROR(VLOOKUP($A1895,HeadJournal!$A$1:$NTR$890,COLUMN(HeadJournal!C$1),0),"")</f>
        <v>WBRS</v>
      </c>
      <c r="D1895" s="125" t="str">
        <f>IFERROR(VLOOKUP($A1895,HeadJournal!$A$1:$NTR$890,COLUMN(HeadJournal!D$1),0),"")</f>
        <v>Доставлен</v>
      </c>
      <c r="E1895" s="95">
        <f>IFERROR(VLOOKUP($A1895,HeadJournal!$A$1:$NTR$890,COLUMN(HeadJournal!G$1),0),"")</f>
        <v>45139</v>
      </c>
      <c r="F1895" s="95" t="str">
        <f t="shared" si="149"/>
        <v>2023 08</v>
      </c>
      <c r="G1895" s="96" t="s">
        <v>6</v>
      </c>
      <c r="H1895" s="160" t="str">
        <f>RIGHT(Journal!$J1895,9)</f>
        <v>108438397</v>
      </c>
      <c r="I1895" s="96" t="str">
        <f t="shared" si="151"/>
        <v>Red ginseng</v>
      </c>
      <c r="J1895" s="97" t="s">
        <v>860</v>
      </c>
      <c r="K1895" s="29">
        <v>1045</v>
      </c>
      <c r="L1895" s="29"/>
      <c r="M1895" s="30">
        <f>IFERROR(VLOOKUP($A1895,HeadJournal!$A$1:$J$890,COLUMN(HeadJournal!I$1),0)*($K1895+$L1895)/(SUMIF($A:$A,$A1895,$K:$K)+SUMIF($A:$A,$A1895,$L:$L)),0)</f>
        <v>0</v>
      </c>
      <c r="N1895" s="30">
        <f>IFERROR((VLOOKUP($A1895,HeadJournal!$A$1:$K$890,COLUMN(HeadJournal!K$1),0)-VLOOKUP($A1895,HeadJournal!$A$1:$K$890,COLUMN(HeadJournal!J$1),0))*($K1895+$L1895)/(SUMIF($A:$A,$A1895,$K:$K)+SUMIF($A:$A,$A1895,$L:$L)),0)</f>
        <v>0</v>
      </c>
      <c r="O1895" s="30">
        <f>IFERROR((VLOOKUP($A1895,HeadJournal!$A$1:$L$890,COLUMN(HeadJournal!L$1),0)*($K1895+$L1895)/(SUMIF($A:$A,$A1895,$K:$K)+SUMIF($A:$A,$A1895,$L:$L)))/VLOOKUP($A1895,HeadJournal!$A$1:$L$890,COLUMN(HeadJournal!H$1),0),0)</f>
        <v>104.5</v>
      </c>
      <c r="P1895" s="30">
        <f>IFERROR(SUM(K1895:O1895)*VLOOKUP($A1895,HeadJournal!$A$1:$L$890,COLUMN(HeadJournal!H$1),0),0)</f>
        <v>1149.5</v>
      </c>
      <c r="Q1895" s="29">
        <v>1800</v>
      </c>
      <c r="R1895" s="31">
        <v>45145</v>
      </c>
      <c r="S1895" s="31" t="s">
        <v>3121</v>
      </c>
      <c r="T1895" s="95" t="str">
        <f t="shared" si="150"/>
        <v>2023 08</v>
      </c>
      <c r="U1895" s="32">
        <f t="shared" si="147"/>
        <v>650.5</v>
      </c>
      <c r="V1895" s="22">
        <f t="shared" si="148"/>
        <v>0.56589821661591999</v>
      </c>
      <c r="X1895" s="33"/>
      <c r="Y1895" s="33"/>
    </row>
    <row r="1896" spans="1:25" x14ac:dyDescent="0.2">
      <c r="A1896" s="93" t="s">
        <v>859</v>
      </c>
      <c r="B1896" s="94">
        <f>IFERROR(VLOOKUP($A1896,HeadJournal!$A$1:$NTR$890,COLUMN(HeadJournal!B$1),0),"")</f>
        <v>0</v>
      </c>
      <c r="C1896" s="94" t="str">
        <f>IFERROR(VLOOKUP($A1896,HeadJournal!$A$1:$NTR$890,COLUMN(HeadJournal!C$1),0),"")</f>
        <v>WBRS</v>
      </c>
      <c r="D1896" s="125" t="str">
        <f>IFERROR(VLOOKUP($A1896,HeadJournal!$A$1:$NTR$890,COLUMN(HeadJournal!D$1),0),"")</f>
        <v>Доставлен</v>
      </c>
      <c r="E1896" s="95">
        <f>IFERROR(VLOOKUP($A1896,HeadJournal!$A$1:$NTR$890,COLUMN(HeadJournal!G$1),0),"")</f>
        <v>45139</v>
      </c>
      <c r="F1896" s="95" t="str">
        <f t="shared" si="149"/>
        <v>2023 08</v>
      </c>
      <c r="G1896" s="96" t="s">
        <v>6</v>
      </c>
      <c r="H1896" s="160" t="str">
        <f>RIGHT(Journal!$J1896,9)</f>
        <v>108438397</v>
      </c>
      <c r="I1896" s="96" t="str">
        <f t="shared" si="151"/>
        <v>Red ginseng</v>
      </c>
      <c r="J1896" s="97" t="s">
        <v>860</v>
      </c>
      <c r="K1896" s="29">
        <v>1045</v>
      </c>
      <c r="L1896" s="29"/>
      <c r="M1896" s="30">
        <f>IFERROR(VLOOKUP($A1896,HeadJournal!$A$1:$J$890,COLUMN(HeadJournal!I$1),0)*($K1896+$L1896)/(SUMIF($A:$A,$A1896,$K:$K)+SUMIF($A:$A,$A1896,$L:$L)),0)</f>
        <v>0</v>
      </c>
      <c r="N1896" s="30">
        <f>IFERROR((VLOOKUP($A1896,HeadJournal!$A$1:$K$890,COLUMN(HeadJournal!K$1),0)-VLOOKUP($A1896,HeadJournal!$A$1:$K$890,COLUMN(HeadJournal!J$1),0))*($K1896+$L1896)/(SUMIF($A:$A,$A1896,$K:$K)+SUMIF($A:$A,$A1896,$L:$L)),0)</f>
        <v>0</v>
      </c>
      <c r="O1896" s="30">
        <f>IFERROR((VLOOKUP($A1896,HeadJournal!$A$1:$L$890,COLUMN(HeadJournal!L$1),0)*($K1896+$L1896)/(SUMIF($A:$A,$A1896,$K:$K)+SUMIF($A:$A,$A1896,$L:$L)))/VLOOKUP($A1896,HeadJournal!$A$1:$L$890,COLUMN(HeadJournal!H$1),0),0)</f>
        <v>104.5</v>
      </c>
      <c r="P1896" s="30">
        <f>IFERROR(SUM(K1896:O1896)*VLOOKUP($A1896,HeadJournal!$A$1:$L$890,COLUMN(HeadJournal!H$1),0),0)</f>
        <v>1149.5</v>
      </c>
      <c r="Q1896" s="29">
        <v>1700</v>
      </c>
      <c r="R1896" s="31">
        <v>45167</v>
      </c>
      <c r="S1896" s="31" t="s">
        <v>3121</v>
      </c>
      <c r="T1896" s="95" t="str">
        <f t="shared" si="150"/>
        <v>2023 08</v>
      </c>
      <c r="U1896" s="32">
        <f t="shared" si="147"/>
        <v>550.5</v>
      </c>
      <c r="V1896" s="22">
        <f t="shared" si="148"/>
        <v>0.47890387124836886</v>
      </c>
      <c r="X1896" s="33"/>
      <c r="Y1896" s="33"/>
    </row>
    <row r="1897" spans="1:25" x14ac:dyDescent="0.2">
      <c r="A1897" s="93" t="s">
        <v>861</v>
      </c>
      <c r="B1897" s="94">
        <f>IFERROR(VLOOKUP($A1897,HeadJournal!$A$1:$NTR$890,COLUMN(HeadJournal!B$1),0),"")</f>
        <v>0</v>
      </c>
      <c r="C1897" s="94" t="str">
        <f>IFERROR(VLOOKUP($A1897,HeadJournal!$A$1:$NTR$890,COLUMN(HeadJournal!C$1),0),"")</f>
        <v>WBRS</v>
      </c>
      <c r="D1897" s="125" t="str">
        <f>IFERROR(VLOOKUP($A1897,HeadJournal!$A$1:$NTR$890,COLUMN(HeadJournal!D$1),0),"")</f>
        <v>Доставлен</v>
      </c>
      <c r="E1897" s="95">
        <f>IFERROR(VLOOKUP($A1897,HeadJournal!$A$1:$NTR$890,COLUMN(HeadJournal!G$1),0),"")</f>
        <v>45139</v>
      </c>
      <c r="F1897" s="95" t="str">
        <f t="shared" si="149"/>
        <v>2023 08</v>
      </c>
      <c r="G1897" s="96" t="s">
        <v>5</v>
      </c>
      <c r="H1897" s="160" t="str">
        <f>RIGHT(Journal!$J1897,9)</f>
        <v>062045172</v>
      </c>
      <c r="I1897" s="96" t="str">
        <f t="shared" si="151"/>
        <v>Patanjali</v>
      </c>
      <c r="J1897" s="97" t="s">
        <v>851</v>
      </c>
      <c r="K1897" s="29">
        <v>364</v>
      </c>
      <c r="L1897" s="29"/>
      <c r="M1897" s="30">
        <f>IFERROR(VLOOKUP($A1897,HeadJournal!$A$1:$J$890,COLUMN(HeadJournal!I$1),0)*($K1897+$L1897)/(SUMIF($A:$A,$A1897,$K:$K)+SUMIF($A:$A,$A1897,$L:$L)),0)</f>
        <v>0</v>
      </c>
      <c r="N1897" s="30">
        <f>IFERROR((VLOOKUP($A1897,HeadJournal!$A$1:$K$890,COLUMN(HeadJournal!K$1),0)-VLOOKUP($A1897,HeadJournal!$A$1:$K$890,COLUMN(HeadJournal!J$1),0))*($K1897+$L1897)/(SUMIF($A:$A,$A1897,$K:$K)+SUMIF($A:$A,$A1897,$L:$L)),0)</f>
        <v>0</v>
      </c>
      <c r="O1897" s="30">
        <f>IFERROR((VLOOKUP($A1897,HeadJournal!$A$1:$L$890,COLUMN(HeadJournal!L$1),0)*($K1897+$L1897)/(SUMIF($A:$A,$A1897,$K:$K)+SUMIF($A:$A,$A1897,$L:$L)))/VLOOKUP($A1897,HeadJournal!$A$1:$L$890,COLUMN(HeadJournal!H$1),0),0)</f>
        <v>36.4</v>
      </c>
      <c r="P1897" s="30">
        <f>IFERROR(SUM(K1897:O1897)*VLOOKUP($A1897,HeadJournal!$A$1:$L$890,COLUMN(HeadJournal!H$1),0),0)</f>
        <v>400.4</v>
      </c>
      <c r="Q1897" s="29">
        <v>800</v>
      </c>
      <c r="R1897" s="31">
        <v>45605</v>
      </c>
      <c r="S1897" s="31" t="s">
        <v>3121</v>
      </c>
      <c r="T1897" s="95" t="str">
        <f t="shared" si="150"/>
        <v>2024 11</v>
      </c>
      <c r="U1897" s="32">
        <f t="shared" si="147"/>
        <v>399.6</v>
      </c>
      <c r="V1897" s="22">
        <f t="shared" si="148"/>
        <v>0.99800199800199807</v>
      </c>
      <c r="X1897" s="33"/>
      <c r="Y1897" s="33"/>
    </row>
    <row r="1898" spans="1:25" x14ac:dyDescent="0.2">
      <c r="A1898" s="93" t="s">
        <v>861</v>
      </c>
      <c r="B1898" s="94">
        <f>IFERROR(VLOOKUP($A1898,HeadJournal!$A$1:$NTR$890,COLUMN(HeadJournal!B$1),0),"")</f>
        <v>0</v>
      </c>
      <c r="C1898" s="94" t="str">
        <f>IFERROR(VLOOKUP($A1898,HeadJournal!$A$1:$NTR$890,COLUMN(HeadJournal!C$1),0),"")</f>
        <v>WBRS</v>
      </c>
      <c r="D1898" s="125" t="str">
        <f>IFERROR(VLOOKUP($A1898,HeadJournal!$A$1:$NTR$890,COLUMN(HeadJournal!D$1),0),"")</f>
        <v>Доставлен</v>
      </c>
      <c r="E1898" s="95">
        <f>IFERROR(VLOOKUP($A1898,HeadJournal!$A$1:$NTR$890,COLUMN(HeadJournal!G$1),0),"")</f>
        <v>45139</v>
      </c>
      <c r="F1898" s="95" t="str">
        <f t="shared" si="149"/>
        <v>2023 08</v>
      </c>
      <c r="G1898" s="96" t="s">
        <v>5</v>
      </c>
      <c r="H1898" s="160" t="str">
        <f>RIGHT(Journal!$J1898,9)</f>
        <v>062045172</v>
      </c>
      <c r="I1898" s="96" t="str">
        <f t="shared" si="151"/>
        <v>Patanjali</v>
      </c>
      <c r="J1898" s="97" t="s">
        <v>851</v>
      </c>
      <c r="K1898" s="29">
        <v>364</v>
      </c>
      <c r="L1898" s="29"/>
      <c r="M1898" s="30">
        <f>IFERROR(VLOOKUP($A1898,HeadJournal!$A$1:$J$890,COLUMN(HeadJournal!I$1),0)*($K1898+$L1898)/(SUMIF($A:$A,$A1898,$K:$K)+SUMIF($A:$A,$A1898,$L:$L)),0)</f>
        <v>0</v>
      </c>
      <c r="N1898" s="30">
        <f>IFERROR((VLOOKUP($A1898,HeadJournal!$A$1:$K$890,COLUMN(HeadJournal!K$1),0)-VLOOKUP($A1898,HeadJournal!$A$1:$K$890,COLUMN(HeadJournal!J$1),0))*($K1898+$L1898)/(SUMIF($A:$A,$A1898,$K:$K)+SUMIF($A:$A,$A1898,$L:$L)),0)</f>
        <v>0</v>
      </c>
      <c r="O1898" s="30">
        <f>IFERROR((VLOOKUP($A1898,HeadJournal!$A$1:$L$890,COLUMN(HeadJournal!L$1),0)*($K1898+$L1898)/(SUMIF($A:$A,$A1898,$K:$K)+SUMIF($A:$A,$A1898,$L:$L)))/VLOOKUP($A1898,HeadJournal!$A$1:$L$890,COLUMN(HeadJournal!H$1),0),0)</f>
        <v>36.4</v>
      </c>
      <c r="P1898" s="30">
        <f>IFERROR(SUM(K1898:O1898)*VLOOKUP($A1898,HeadJournal!$A$1:$L$890,COLUMN(HeadJournal!H$1),0),0)</f>
        <v>400.4</v>
      </c>
      <c r="Q1898" s="29">
        <v>500</v>
      </c>
      <c r="R1898" s="31">
        <v>45734</v>
      </c>
      <c r="S1898" s="31" t="s">
        <v>3121</v>
      </c>
      <c r="T1898" s="95" t="str">
        <f t="shared" si="150"/>
        <v>2025 03</v>
      </c>
      <c r="U1898" s="32">
        <f t="shared" si="147"/>
        <v>99.600000000000023</v>
      </c>
      <c r="V1898" s="22">
        <f t="shared" si="148"/>
        <v>0.24875124875124882</v>
      </c>
      <c r="X1898" s="33"/>
      <c r="Y1898" s="33"/>
    </row>
    <row r="1899" spans="1:25" x14ac:dyDescent="0.2">
      <c r="A1899" s="93" t="s">
        <v>861</v>
      </c>
      <c r="B1899" s="94">
        <f>IFERROR(VLOOKUP($A1899,HeadJournal!$A$1:$NTR$890,COLUMN(HeadJournal!B$1),0),"")</f>
        <v>0</v>
      </c>
      <c r="C1899" s="94" t="str">
        <f>IFERROR(VLOOKUP($A1899,HeadJournal!$A$1:$NTR$890,COLUMN(HeadJournal!C$1),0),"")</f>
        <v>WBRS</v>
      </c>
      <c r="D1899" s="125" t="str">
        <f>IFERROR(VLOOKUP($A1899,HeadJournal!$A$1:$NTR$890,COLUMN(HeadJournal!D$1),0),"")</f>
        <v>Доставлен</v>
      </c>
      <c r="E1899" s="95">
        <f>IFERROR(VLOOKUP($A1899,HeadJournal!$A$1:$NTR$890,COLUMN(HeadJournal!G$1),0),"")</f>
        <v>45139</v>
      </c>
      <c r="F1899" s="95" t="str">
        <f t="shared" si="149"/>
        <v>2023 08</v>
      </c>
      <c r="G1899" s="96" t="s">
        <v>5</v>
      </c>
      <c r="H1899" s="160" t="str">
        <f>RIGHT(Journal!$J1899,9)</f>
        <v>062045172</v>
      </c>
      <c r="I1899" s="96" t="str">
        <f t="shared" si="151"/>
        <v>Patanjali</v>
      </c>
      <c r="J1899" s="97" t="s">
        <v>851</v>
      </c>
      <c r="K1899" s="29">
        <v>364</v>
      </c>
      <c r="L1899" s="29"/>
      <c r="M1899" s="30">
        <f>IFERROR(VLOOKUP($A1899,HeadJournal!$A$1:$J$890,COLUMN(HeadJournal!I$1),0)*($K1899+$L1899)/(SUMIF($A:$A,$A1899,$K:$K)+SUMIF($A:$A,$A1899,$L:$L)),0)</f>
        <v>0</v>
      </c>
      <c r="N1899" s="30">
        <f>IFERROR((VLOOKUP($A1899,HeadJournal!$A$1:$K$890,COLUMN(HeadJournal!K$1),0)-VLOOKUP($A1899,HeadJournal!$A$1:$K$890,COLUMN(HeadJournal!J$1),0))*($K1899+$L1899)/(SUMIF($A:$A,$A1899,$K:$K)+SUMIF($A:$A,$A1899,$L:$L)),0)</f>
        <v>0</v>
      </c>
      <c r="O1899" s="30">
        <f>IFERROR((VLOOKUP($A1899,HeadJournal!$A$1:$L$890,COLUMN(HeadJournal!L$1),0)*($K1899+$L1899)/(SUMIF($A:$A,$A1899,$K:$K)+SUMIF($A:$A,$A1899,$L:$L)))/VLOOKUP($A1899,HeadJournal!$A$1:$L$890,COLUMN(HeadJournal!H$1),0),0)</f>
        <v>36.4</v>
      </c>
      <c r="P1899" s="30">
        <f>IFERROR(SUM(K1899:O1899)*VLOOKUP($A1899,HeadJournal!$A$1:$L$890,COLUMN(HeadJournal!H$1),0),0)</f>
        <v>400.4</v>
      </c>
      <c r="Q1899" s="29"/>
      <c r="R1899" s="31"/>
      <c r="S1899" s="31"/>
      <c r="T1899" s="95" t="str">
        <f t="shared" si="150"/>
        <v/>
      </c>
      <c r="U1899" s="32">
        <f t="shared" si="147"/>
        <v>-400.4</v>
      </c>
      <c r="V1899" s="22" t="str">
        <f t="shared" si="148"/>
        <v/>
      </c>
      <c r="X1899" s="33"/>
      <c r="Y1899" s="33"/>
    </row>
    <row r="1900" spans="1:25" x14ac:dyDescent="0.2">
      <c r="A1900" s="93" t="s">
        <v>861</v>
      </c>
      <c r="B1900" s="94">
        <f>IFERROR(VLOOKUP($A1900,HeadJournal!$A$1:$NTR$890,COLUMN(HeadJournal!B$1),0),"")</f>
        <v>0</v>
      </c>
      <c r="C1900" s="94" t="str">
        <f>IFERROR(VLOOKUP($A1900,HeadJournal!$A$1:$NTR$890,COLUMN(HeadJournal!C$1),0),"")</f>
        <v>WBRS</v>
      </c>
      <c r="D1900" s="125" t="str">
        <f>IFERROR(VLOOKUP($A1900,HeadJournal!$A$1:$NTR$890,COLUMN(HeadJournal!D$1),0),"")</f>
        <v>Доставлен</v>
      </c>
      <c r="E1900" s="95">
        <f>IFERROR(VLOOKUP($A1900,HeadJournal!$A$1:$NTR$890,COLUMN(HeadJournal!G$1),0),"")</f>
        <v>45139</v>
      </c>
      <c r="F1900" s="95" t="str">
        <f t="shared" si="149"/>
        <v>2023 08</v>
      </c>
      <c r="G1900" s="96" t="s">
        <v>5</v>
      </c>
      <c r="H1900" s="160" t="str">
        <f>RIGHT(Journal!$J1900,9)</f>
        <v>062045172</v>
      </c>
      <c r="I1900" s="96" t="str">
        <f t="shared" si="151"/>
        <v>Patanjali</v>
      </c>
      <c r="J1900" s="97" t="s">
        <v>851</v>
      </c>
      <c r="K1900" s="29">
        <v>364</v>
      </c>
      <c r="L1900" s="29"/>
      <c r="M1900" s="30">
        <f>IFERROR(VLOOKUP($A1900,HeadJournal!$A$1:$J$890,COLUMN(HeadJournal!I$1),0)*($K1900+$L1900)/(SUMIF($A:$A,$A1900,$K:$K)+SUMIF($A:$A,$A1900,$L:$L)),0)</f>
        <v>0</v>
      </c>
      <c r="N1900" s="30">
        <f>IFERROR((VLOOKUP($A1900,HeadJournal!$A$1:$K$890,COLUMN(HeadJournal!K$1),0)-VLOOKUP($A1900,HeadJournal!$A$1:$K$890,COLUMN(HeadJournal!J$1),0))*($K1900+$L1900)/(SUMIF($A:$A,$A1900,$K:$K)+SUMIF($A:$A,$A1900,$L:$L)),0)</f>
        <v>0</v>
      </c>
      <c r="O1900" s="30">
        <f>IFERROR((VLOOKUP($A1900,HeadJournal!$A$1:$L$890,COLUMN(HeadJournal!L$1),0)*($K1900+$L1900)/(SUMIF($A:$A,$A1900,$K:$K)+SUMIF($A:$A,$A1900,$L:$L)))/VLOOKUP($A1900,HeadJournal!$A$1:$L$890,COLUMN(HeadJournal!H$1),0),0)</f>
        <v>36.4</v>
      </c>
      <c r="P1900" s="30">
        <f>IFERROR(SUM(K1900:O1900)*VLOOKUP($A1900,HeadJournal!$A$1:$L$890,COLUMN(HeadJournal!H$1),0),0)</f>
        <v>400.4</v>
      </c>
      <c r="Q1900" s="29"/>
      <c r="R1900" s="31"/>
      <c r="S1900" s="31"/>
      <c r="T1900" s="95" t="str">
        <f t="shared" si="150"/>
        <v/>
      </c>
      <c r="U1900" s="32">
        <f t="shared" si="147"/>
        <v>-400.4</v>
      </c>
      <c r="V1900" s="22" t="str">
        <f t="shared" si="148"/>
        <v/>
      </c>
      <c r="X1900" s="33"/>
      <c r="Y1900" s="33"/>
    </row>
    <row r="1901" spans="1:25" x14ac:dyDescent="0.2">
      <c r="A1901" s="93" t="s">
        <v>862</v>
      </c>
      <c r="B1901" s="94">
        <f>IFERROR(VLOOKUP($A1901,HeadJournal!$A$1:$NTR$890,COLUMN(HeadJournal!B$1),0),"")</f>
        <v>0</v>
      </c>
      <c r="C1901" s="94" t="str">
        <f>IFERROR(VLOOKUP($A1901,HeadJournal!$A$1:$NTR$890,COLUMN(HeadJournal!C$1),0),"")</f>
        <v>WBRS</v>
      </c>
      <c r="D1901" s="125" t="str">
        <f>IFERROR(VLOOKUP($A1901,HeadJournal!$A$1:$NTR$890,COLUMN(HeadJournal!D$1),0),"")</f>
        <v>Доставлен</v>
      </c>
      <c r="E1901" s="95">
        <f>IFERROR(VLOOKUP($A1901,HeadJournal!$A$1:$NTR$890,COLUMN(HeadJournal!G$1),0),"")</f>
        <v>45139</v>
      </c>
      <c r="F1901" s="95" t="str">
        <f t="shared" si="149"/>
        <v>2023 08</v>
      </c>
      <c r="G1901" s="96" t="s">
        <v>5</v>
      </c>
      <c r="H1901" s="160" t="str">
        <f>RIGHT(Journal!$J1901,9)</f>
        <v>026995436</v>
      </c>
      <c r="I1901" s="96" t="str">
        <f t="shared" si="151"/>
        <v>Patanjali</v>
      </c>
      <c r="J1901" s="97" t="s">
        <v>221</v>
      </c>
      <c r="K1901" s="29">
        <v>595</v>
      </c>
      <c r="L1901" s="29"/>
      <c r="M1901" s="30">
        <f>IFERROR(VLOOKUP($A1901,HeadJournal!$A$1:$J$890,COLUMN(HeadJournal!I$1),0)*($K1901+$L1901)/(SUMIF($A:$A,$A1901,$K:$K)+SUMIF($A:$A,$A1901,$L:$L)),0)</f>
        <v>0</v>
      </c>
      <c r="N1901" s="30">
        <f>IFERROR((VLOOKUP($A1901,HeadJournal!$A$1:$K$890,COLUMN(HeadJournal!K$1),0)-VLOOKUP($A1901,HeadJournal!$A$1:$K$890,COLUMN(HeadJournal!J$1),0))*($K1901+$L1901)/(SUMIF($A:$A,$A1901,$K:$K)+SUMIF($A:$A,$A1901,$L:$L)),0)</f>
        <v>0</v>
      </c>
      <c r="O1901" s="30">
        <f>IFERROR((VLOOKUP($A1901,HeadJournal!$A$1:$L$890,COLUMN(HeadJournal!L$1),0)*($K1901+$L1901)/(SUMIF($A:$A,$A1901,$K:$K)+SUMIF($A:$A,$A1901,$L:$L)))/VLOOKUP($A1901,HeadJournal!$A$1:$L$890,COLUMN(HeadJournal!H$1),0),0)</f>
        <v>59.5</v>
      </c>
      <c r="P1901" s="30">
        <f>IFERROR(SUM(K1901:O1901)*VLOOKUP($A1901,HeadJournal!$A$1:$L$890,COLUMN(HeadJournal!H$1),0),0)</f>
        <v>654.5</v>
      </c>
      <c r="Q1901" s="29">
        <v>1600</v>
      </c>
      <c r="R1901" s="31">
        <v>45206</v>
      </c>
      <c r="S1901" s="31" t="s">
        <v>3121</v>
      </c>
      <c r="T1901" s="95" t="str">
        <f t="shared" si="150"/>
        <v>2023 10</v>
      </c>
      <c r="U1901" s="32">
        <f t="shared" si="147"/>
        <v>945.5</v>
      </c>
      <c r="V1901" s="22">
        <f t="shared" si="148"/>
        <v>1.4446142093200918</v>
      </c>
      <c r="X1901" s="33"/>
      <c r="Y1901" s="33"/>
    </row>
    <row r="1902" spans="1:25" x14ac:dyDescent="0.2">
      <c r="A1902" s="93" t="s">
        <v>862</v>
      </c>
      <c r="B1902" s="94">
        <f>IFERROR(VLOOKUP($A1902,HeadJournal!$A$1:$NTR$890,COLUMN(HeadJournal!B$1),0),"")</f>
        <v>0</v>
      </c>
      <c r="C1902" s="94" t="str">
        <f>IFERROR(VLOOKUP($A1902,HeadJournal!$A$1:$NTR$890,COLUMN(HeadJournal!C$1),0),"")</f>
        <v>WBRS</v>
      </c>
      <c r="D1902" s="125" t="str">
        <f>IFERROR(VLOOKUP($A1902,HeadJournal!$A$1:$NTR$890,COLUMN(HeadJournal!D$1),0),"")</f>
        <v>Доставлен</v>
      </c>
      <c r="E1902" s="95">
        <f>IFERROR(VLOOKUP($A1902,HeadJournal!$A$1:$NTR$890,COLUMN(HeadJournal!G$1),0),"")</f>
        <v>45139</v>
      </c>
      <c r="F1902" s="95" t="str">
        <f t="shared" si="149"/>
        <v>2023 08</v>
      </c>
      <c r="G1902" s="96" t="s">
        <v>5</v>
      </c>
      <c r="H1902" s="160" t="str">
        <f>RIGHT(Journal!$J1902,9)</f>
        <v>026995436</v>
      </c>
      <c r="I1902" s="96" t="str">
        <f t="shared" si="151"/>
        <v>Patanjali</v>
      </c>
      <c r="J1902" s="97" t="s">
        <v>221</v>
      </c>
      <c r="K1902" s="29">
        <v>595</v>
      </c>
      <c r="L1902" s="29"/>
      <c r="M1902" s="30">
        <f>IFERROR(VLOOKUP($A1902,HeadJournal!$A$1:$J$890,COLUMN(HeadJournal!I$1),0)*($K1902+$L1902)/(SUMIF($A:$A,$A1902,$K:$K)+SUMIF($A:$A,$A1902,$L:$L)),0)</f>
        <v>0</v>
      </c>
      <c r="N1902" s="30">
        <f>IFERROR((VLOOKUP($A1902,HeadJournal!$A$1:$K$890,COLUMN(HeadJournal!K$1),0)-VLOOKUP($A1902,HeadJournal!$A$1:$K$890,COLUMN(HeadJournal!J$1),0))*($K1902+$L1902)/(SUMIF($A:$A,$A1902,$K:$K)+SUMIF($A:$A,$A1902,$L:$L)),0)</f>
        <v>0</v>
      </c>
      <c r="O1902" s="30">
        <f>IFERROR((VLOOKUP($A1902,HeadJournal!$A$1:$L$890,COLUMN(HeadJournal!L$1),0)*($K1902+$L1902)/(SUMIF($A:$A,$A1902,$K:$K)+SUMIF($A:$A,$A1902,$L:$L)))/VLOOKUP($A1902,HeadJournal!$A$1:$L$890,COLUMN(HeadJournal!H$1),0),0)</f>
        <v>59.5</v>
      </c>
      <c r="P1902" s="30">
        <f>IFERROR(SUM(K1902:O1902)*VLOOKUP($A1902,HeadJournal!$A$1:$L$890,COLUMN(HeadJournal!H$1),0),0)</f>
        <v>654.5</v>
      </c>
      <c r="Q1902" s="29">
        <v>1600</v>
      </c>
      <c r="R1902" s="31">
        <v>45285</v>
      </c>
      <c r="S1902" s="31" t="s">
        <v>3121</v>
      </c>
      <c r="T1902" s="95" t="str">
        <f t="shared" si="150"/>
        <v>2023 12</v>
      </c>
      <c r="U1902" s="32">
        <f t="shared" si="147"/>
        <v>945.5</v>
      </c>
      <c r="V1902" s="22">
        <f t="shared" si="148"/>
        <v>1.4446142093200918</v>
      </c>
      <c r="X1902" s="33"/>
      <c r="Y1902" s="33"/>
    </row>
    <row r="1903" spans="1:25" x14ac:dyDescent="0.2">
      <c r="A1903" s="93" t="s">
        <v>863</v>
      </c>
      <c r="B1903" s="94">
        <f>IFERROR(VLOOKUP($A1903,HeadJournal!$A$1:$NTR$890,COLUMN(HeadJournal!B$1),0),"")</f>
        <v>0</v>
      </c>
      <c r="C1903" s="94" t="str">
        <f>IFERROR(VLOOKUP($A1903,HeadJournal!$A$1:$NTR$890,COLUMN(HeadJournal!C$1),0),"")</f>
        <v>WBRS</v>
      </c>
      <c r="D1903" s="125" t="str">
        <f>IFERROR(VLOOKUP($A1903,HeadJournal!$A$1:$NTR$890,COLUMN(HeadJournal!D$1),0),"")</f>
        <v>Доставлен</v>
      </c>
      <c r="E1903" s="95">
        <f>IFERROR(VLOOKUP($A1903,HeadJournal!$A$1:$NTR$890,COLUMN(HeadJournal!G$1),0),"")</f>
        <v>45131</v>
      </c>
      <c r="F1903" s="95" t="str">
        <f t="shared" si="149"/>
        <v>2023 07</v>
      </c>
      <c r="G1903" s="96" t="s">
        <v>5</v>
      </c>
      <c r="H1903" s="160" t="str">
        <f>RIGHT(Journal!$J1903,9)</f>
        <v>487034945</v>
      </c>
      <c r="I1903" s="96" t="str">
        <f t="shared" si="151"/>
        <v>Dabur</v>
      </c>
      <c r="J1903" s="97" t="s">
        <v>839</v>
      </c>
      <c r="K1903" s="29">
        <v>518</v>
      </c>
      <c r="L1903" s="29"/>
      <c r="M1903" s="30">
        <f>IFERROR(VLOOKUP($A1903,HeadJournal!$A$1:$J$890,COLUMN(HeadJournal!I$1),0)*($K1903+$L1903)/(SUMIF($A:$A,$A1903,$K:$K)+SUMIF($A:$A,$A1903,$L:$L)),0)</f>
        <v>0</v>
      </c>
      <c r="N1903" s="30">
        <f>IFERROR((VLOOKUP($A1903,HeadJournal!$A$1:$K$890,COLUMN(HeadJournal!K$1),0)-VLOOKUP($A1903,HeadJournal!$A$1:$K$890,COLUMN(HeadJournal!J$1),0))*($K1903+$L1903)/(SUMIF($A:$A,$A1903,$K:$K)+SUMIF($A:$A,$A1903,$L:$L)),0)</f>
        <v>0</v>
      </c>
      <c r="O1903" s="30">
        <f>IFERROR((VLOOKUP($A1903,HeadJournal!$A$1:$L$890,COLUMN(HeadJournal!L$1),0)*($K1903+$L1903)/(SUMIF($A:$A,$A1903,$K:$K)+SUMIF($A:$A,$A1903,$L:$L)))/VLOOKUP($A1903,HeadJournal!$A$1:$L$890,COLUMN(HeadJournal!H$1),0),0)</f>
        <v>51.800000000000004</v>
      </c>
      <c r="P1903" s="30">
        <f>IFERROR(SUM(K1903:O1903)*VLOOKUP($A1903,HeadJournal!$A$1:$L$890,COLUMN(HeadJournal!H$1),0),0)</f>
        <v>569.79999999999995</v>
      </c>
      <c r="Q1903" s="29">
        <v>1200</v>
      </c>
      <c r="R1903" s="31">
        <v>45153</v>
      </c>
      <c r="S1903" s="31" t="s">
        <v>3121</v>
      </c>
      <c r="T1903" s="95" t="str">
        <f t="shared" si="150"/>
        <v>2023 08</v>
      </c>
      <c r="U1903" s="32">
        <f t="shared" si="147"/>
        <v>630.20000000000005</v>
      </c>
      <c r="V1903" s="22">
        <f t="shared" si="148"/>
        <v>1.1060021060021061</v>
      </c>
      <c r="X1903" s="33"/>
      <c r="Y1903" s="33"/>
    </row>
    <row r="1904" spans="1:25" x14ac:dyDescent="0.2">
      <c r="A1904" s="93" t="s">
        <v>863</v>
      </c>
      <c r="B1904" s="94">
        <f>IFERROR(VLOOKUP($A1904,HeadJournal!$A$1:$NTR$890,COLUMN(HeadJournal!B$1),0),"")</f>
        <v>0</v>
      </c>
      <c r="C1904" s="94" t="str">
        <f>IFERROR(VLOOKUP($A1904,HeadJournal!$A$1:$NTR$890,COLUMN(HeadJournal!C$1),0),"")</f>
        <v>WBRS</v>
      </c>
      <c r="D1904" s="125" t="str">
        <f>IFERROR(VLOOKUP($A1904,HeadJournal!$A$1:$NTR$890,COLUMN(HeadJournal!D$1),0),"")</f>
        <v>Доставлен</v>
      </c>
      <c r="E1904" s="95">
        <f>IFERROR(VLOOKUP($A1904,HeadJournal!$A$1:$NTR$890,COLUMN(HeadJournal!G$1),0),"")</f>
        <v>45131</v>
      </c>
      <c r="F1904" s="95" t="str">
        <f t="shared" si="149"/>
        <v>2023 07</v>
      </c>
      <c r="G1904" s="96" t="s">
        <v>5</v>
      </c>
      <c r="H1904" s="160" t="str">
        <f>RIGHT(Journal!$J1904,9)</f>
        <v>487034945</v>
      </c>
      <c r="I1904" s="96" t="str">
        <f t="shared" si="151"/>
        <v>Dabur</v>
      </c>
      <c r="J1904" s="97" t="s">
        <v>839</v>
      </c>
      <c r="K1904" s="29">
        <v>518</v>
      </c>
      <c r="L1904" s="29"/>
      <c r="M1904" s="30">
        <f>IFERROR(VLOOKUP($A1904,HeadJournal!$A$1:$J$890,COLUMN(HeadJournal!I$1),0)*($K1904+$L1904)/(SUMIF($A:$A,$A1904,$K:$K)+SUMIF($A:$A,$A1904,$L:$L)),0)</f>
        <v>0</v>
      </c>
      <c r="N1904" s="30">
        <f>IFERROR((VLOOKUP($A1904,HeadJournal!$A$1:$K$890,COLUMN(HeadJournal!K$1),0)-VLOOKUP($A1904,HeadJournal!$A$1:$K$890,COLUMN(HeadJournal!J$1),0))*($K1904+$L1904)/(SUMIF($A:$A,$A1904,$K:$K)+SUMIF($A:$A,$A1904,$L:$L)),0)</f>
        <v>0</v>
      </c>
      <c r="O1904" s="30">
        <f>IFERROR((VLOOKUP($A1904,HeadJournal!$A$1:$L$890,COLUMN(HeadJournal!L$1),0)*($K1904+$L1904)/(SUMIF($A:$A,$A1904,$K:$K)+SUMIF($A:$A,$A1904,$L:$L)))/VLOOKUP($A1904,HeadJournal!$A$1:$L$890,COLUMN(HeadJournal!H$1),0),0)</f>
        <v>51.800000000000004</v>
      </c>
      <c r="P1904" s="30">
        <f>IFERROR(SUM(K1904:O1904)*VLOOKUP($A1904,HeadJournal!$A$1:$L$890,COLUMN(HeadJournal!H$1),0),0)</f>
        <v>569.79999999999995</v>
      </c>
      <c r="Q1904" s="29">
        <v>1300</v>
      </c>
      <c r="R1904" s="31">
        <v>45156</v>
      </c>
      <c r="S1904" s="31" t="s">
        <v>3121</v>
      </c>
      <c r="T1904" s="95" t="str">
        <f t="shared" si="150"/>
        <v>2023 08</v>
      </c>
      <c r="U1904" s="32">
        <f t="shared" si="147"/>
        <v>730.2</v>
      </c>
      <c r="V1904" s="22">
        <f t="shared" si="148"/>
        <v>1.2815022815022816</v>
      </c>
      <c r="X1904" s="33"/>
      <c r="Y1904" s="33"/>
    </row>
    <row r="1905" spans="1:25" x14ac:dyDescent="0.2">
      <c r="A1905" s="93" t="s">
        <v>864</v>
      </c>
      <c r="B1905" s="94">
        <f>IFERROR(VLOOKUP($A1905,HeadJournal!$A$1:$NTR$890,COLUMN(HeadJournal!B$1),0),"")</f>
        <v>0</v>
      </c>
      <c r="C1905" s="94" t="str">
        <f>IFERROR(VLOOKUP($A1905,HeadJournal!$A$1:$NTR$890,COLUMN(HeadJournal!C$1),0),"")</f>
        <v>Forever</v>
      </c>
      <c r="D1905" s="125" t="str">
        <f>IFERROR(VLOOKUP($A1905,HeadJournal!$A$1:$NTR$890,COLUMN(HeadJournal!D$1),0),"")</f>
        <v>Доставлен</v>
      </c>
      <c r="E1905" s="95">
        <f>IFERROR(VLOOKUP($A1905,HeadJournal!$A$1:$NTR$890,COLUMN(HeadJournal!G$1),0),"")</f>
        <v>45135</v>
      </c>
      <c r="F1905" s="95" t="str">
        <f t="shared" si="149"/>
        <v>2023 07</v>
      </c>
      <c r="G1905" s="96" t="s">
        <v>7</v>
      </c>
      <c r="H1905" s="160" t="str">
        <f>RIGHT(Journal!$J1905,9)</f>
        <v>000000028</v>
      </c>
      <c r="I1905" s="96" t="str">
        <f t="shared" si="151"/>
        <v>Forever</v>
      </c>
      <c r="J1905" s="97" t="s">
        <v>296</v>
      </c>
      <c r="K1905" s="29">
        <v>547</v>
      </c>
      <c r="L1905" s="29"/>
      <c r="M1905" s="30">
        <f>IFERROR(VLOOKUP($A1905,HeadJournal!$A$1:$J$890,COLUMN(HeadJournal!I$1),0)*($K1905+$L1905)/(SUMIF($A:$A,$A1905,$K:$K)+SUMIF($A:$A,$A1905,$L:$L)),0)</f>
        <v>0</v>
      </c>
      <c r="N1905" s="30">
        <f>IFERROR((VLOOKUP($A1905,HeadJournal!$A$1:$K$890,COLUMN(HeadJournal!K$1),0)-VLOOKUP($A1905,HeadJournal!$A$1:$K$890,COLUMN(HeadJournal!J$1),0))*($K1905+$L1905)/(SUMIF($A:$A,$A1905,$K:$K)+SUMIF($A:$A,$A1905,$L:$L)),0)</f>
        <v>0</v>
      </c>
      <c r="O1905" s="30">
        <f>IFERROR((VLOOKUP($A1905,HeadJournal!$A$1:$L$890,COLUMN(HeadJournal!L$1),0)*($K1905+$L1905)/(SUMIF($A:$A,$A1905,$K:$K)+SUMIF($A:$A,$A1905,$L:$L)))/VLOOKUP($A1905,HeadJournal!$A$1:$L$890,COLUMN(HeadJournal!H$1),0),0)</f>
        <v>51.435668762658999</v>
      </c>
      <c r="P1905" s="30">
        <f>IFERROR(SUM(K1905:O1905)*VLOOKUP($A1905,HeadJournal!$A$1:$L$890,COLUMN(HeadJournal!H$1),0),0)</f>
        <v>646.31052226367183</v>
      </c>
      <c r="Q1905" s="29">
        <v>646.30999999999995</v>
      </c>
      <c r="R1905" s="31">
        <v>45136</v>
      </c>
      <c r="S1905" s="31" t="s">
        <v>3121</v>
      </c>
      <c r="T1905" s="95" t="str">
        <f t="shared" si="150"/>
        <v>2023 07</v>
      </c>
      <c r="U1905" s="32">
        <f t="shared" si="147"/>
        <v>-5.2226367188268341E-4</v>
      </c>
      <c r="V1905" s="22">
        <f t="shared" si="148"/>
        <v>-8.080692699439269E-7</v>
      </c>
      <c r="X1905" s="33"/>
      <c r="Y1905" s="33"/>
    </row>
    <row r="1906" spans="1:25" x14ac:dyDescent="0.2">
      <c r="A1906" s="93" t="s">
        <v>864</v>
      </c>
      <c r="B1906" s="94">
        <f>IFERROR(VLOOKUP($A1906,HeadJournal!$A$1:$NTR$890,COLUMN(HeadJournal!B$1),0),"")</f>
        <v>0</v>
      </c>
      <c r="C1906" s="94" t="str">
        <f>IFERROR(VLOOKUP($A1906,HeadJournal!$A$1:$NTR$890,COLUMN(HeadJournal!C$1),0),"")</f>
        <v>Forever</v>
      </c>
      <c r="D1906" s="125" t="str">
        <f>IFERROR(VLOOKUP($A1906,HeadJournal!$A$1:$NTR$890,COLUMN(HeadJournal!D$1),0),"")</f>
        <v>Доставлен</v>
      </c>
      <c r="E1906" s="95">
        <f>IFERROR(VLOOKUP($A1906,HeadJournal!$A$1:$NTR$890,COLUMN(HeadJournal!G$1),0),"")</f>
        <v>45135</v>
      </c>
      <c r="F1906" s="95" t="str">
        <f t="shared" si="149"/>
        <v>2023 07</v>
      </c>
      <c r="G1906" s="96" t="s">
        <v>7</v>
      </c>
      <c r="H1906" s="160" t="str">
        <f>RIGHT(Journal!$J1906,9)</f>
        <v>000000040</v>
      </c>
      <c r="I1906" s="96" t="str">
        <f t="shared" si="151"/>
        <v>Forever</v>
      </c>
      <c r="J1906" s="97" t="s">
        <v>299</v>
      </c>
      <c r="K1906" s="29">
        <v>1411</v>
      </c>
      <c r="L1906" s="29"/>
      <c r="M1906" s="30">
        <f>IFERROR(VLOOKUP($A1906,HeadJournal!$A$1:$J$890,COLUMN(HeadJournal!I$1),0)*($K1906+$L1906)/(SUMIF($A:$A,$A1906,$K:$K)+SUMIF($A:$A,$A1906,$L:$L)),0)</f>
        <v>0</v>
      </c>
      <c r="N1906" s="30">
        <f>IFERROR((VLOOKUP($A1906,HeadJournal!$A$1:$K$890,COLUMN(HeadJournal!K$1),0)-VLOOKUP($A1906,HeadJournal!$A$1:$K$890,COLUMN(HeadJournal!J$1),0))*($K1906+$L1906)/(SUMIF($A:$A,$A1906,$K:$K)+SUMIF($A:$A,$A1906,$L:$L)),0)</f>
        <v>0</v>
      </c>
      <c r="O1906" s="30">
        <f>IFERROR((VLOOKUP($A1906,HeadJournal!$A$1:$L$890,COLUMN(HeadJournal!L$1),0)*($K1906+$L1906)/(SUMIF($A:$A,$A1906,$K:$K)+SUMIF($A:$A,$A1906,$L:$L)))/VLOOKUP($A1906,HeadJournal!$A$1:$L$890,COLUMN(HeadJournal!H$1),0),0)</f>
        <v>132.67957700934522</v>
      </c>
      <c r="P1906" s="30">
        <f>IFERROR(SUM(K1906:O1906)*VLOOKUP($A1906,HeadJournal!$A$1:$L$890,COLUMN(HeadJournal!H$1),0),0)</f>
        <v>1667.1739431700928</v>
      </c>
      <c r="Q1906" s="29">
        <v>2100</v>
      </c>
      <c r="R1906" s="31">
        <v>45179</v>
      </c>
      <c r="S1906" s="31" t="s">
        <v>3121</v>
      </c>
      <c r="T1906" s="95" t="str">
        <f t="shared" si="150"/>
        <v>2023 09</v>
      </c>
      <c r="U1906" s="32">
        <f t="shared" si="147"/>
        <v>432.8260568299072</v>
      </c>
      <c r="V1906" s="22">
        <f t="shared" si="148"/>
        <v>0.25961661565253258</v>
      </c>
      <c r="X1906" s="33"/>
      <c r="Y1906" s="33"/>
    </row>
    <row r="1907" spans="1:25" x14ac:dyDescent="0.2">
      <c r="A1907" s="93" t="s">
        <v>864</v>
      </c>
      <c r="B1907" s="94">
        <f>IFERROR(VLOOKUP($A1907,HeadJournal!$A$1:$NTR$890,COLUMN(HeadJournal!B$1),0),"")</f>
        <v>0</v>
      </c>
      <c r="C1907" s="94" t="str">
        <f>IFERROR(VLOOKUP($A1907,HeadJournal!$A$1:$NTR$890,COLUMN(HeadJournal!C$1),0),"")</f>
        <v>Forever</v>
      </c>
      <c r="D1907" s="125" t="str">
        <f>IFERROR(VLOOKUP($A1907,HeadJournal!$A$1:$NTR$890,COLUMN(HeadJournal!D$1),0),"")</f>
        <v>Доставлен</v>
      </c>
      <c r="E1907" s="95">
        <f>IFERROR(VLOOKUP($A1907,HeadJournal!$A$1:$NTR$890,COLUMN(HeadJournal!G$1),0),"")</f>
        <v>45135</v>
      </c>
      <c r="F1907" s="95" t="str">
        <f t="shared" si="149"/>
        <v>2023 07</v>
      </c>
      <c r="G1907" s="96" t="s">
        <v>7</v>
      </c>
      <c r="H1907" s="160" t="str">
        <f>RIGHT(Journal!$J1907,9)</f>
        <v>000000040</v>
      </c>
      <c r="I1907" s="96" t="str">
        <f t="shared" si="151"/>
        <v>Forever</v>
      </c>
      <c r="J1907" s="97" t="s">
        <v>299</v>
      </c>
      <c r="K1907" s="29">
        <v>1411</v>
      </c>
      <c r="L1907" s="29"/>
      <c r="M1907" s="30">
        <f>IFERROR(VLOOKUP($A1907,HeadJournal!$A$1:$J$890,COLUMN(HeadJournal!I$1),0)*($K1907+$L1907)/(SUMIF($A:$A,$A1907,$K:$K)+SUMIF($A:$A,$A1907,$L:$L)),0)</f>
        <v>0</v>
      </c>
      <c r="N1907" s="30">
        <f>IFERROR((VLOOKUP($A1907,HeadJournal!$A$1:$K$890,COLUMN(HeadJournal!K$1),0)-VLOOKUP($A1907,HeadJournal!$A$1:$K$890,COLUMN(HeadJournal!J$1),0))*($K1907+$L1907)/(SUMIF($A:$A,$A1907,$K:$K)+SUMIF($A:$A,$A1907,$L:$L)),0)</f>
        <v>0</v>
      </c>
      <c r="O1907" s="30">
        <f>IFERROR((VLOOKUP($A1907,HeadJournal!$A$1:$L$890,COLUMN(HeadJournal!L$1),0)*($K1907+$L1907)/(SUMIF($A:$A,$A1907,$K:$K)+SUMIF($A:$A,$A1907,$L:$L)))/VLOOKUP($A1907,HeadJournal!$A$1:$L$890,COLUMN(HeadJournal!H$1),0),0)</f>
        <v>132.67957700934522</v>
      </c>
      <c r="P1907" s="30">
        <f>IFERROR(SUM(K1907:O1907)*VLOOKUP($A1907,HeadJournal!$A$1:$L$890,COLUMN(HeadJournal!H$1),0),0)</f>
        <v>1667.1739431700928</v>
      </c>
      <c r="Q1907" s="29">
        <v>2100</v>
      </c>
      <c r="R1907" s="31">
        <v>45427</v>
      </c>
      <c r="S1907" s="31" t="s">
        <v>3121</v>
      </c>
      <c r="T1907" s="95" t="str">
        <f t="shared" si="150"/>
        <v>2024 05</v>
      </c>
      <c r="U1907" s="32">
        <f t="shared" si="147"/>
        <v>432.8260568299072</v>
      </c>
      <c r="V1907" s="22">
        <f t="shared" si="148"/>
        <v>0.25961661565253258</v>
      </c>
      <c r="X1907" s="33"/>
      <c r="Y1907" s="33"/>
    </row>
    <row r="1908" spans="1:25" x14ac:dyDescent="0.2">
      <c r="A1908" s="93" t="s">
        <v>864</v>
      </c>
      <c r="B1908" s="94">
        <f>IFERROR(VLOOKUP($A1908,HeadJournal!$A$1:$NTR$890,COLUMN(HeadJournal!B$1),0),"")</f>
        <v>0</v>
      </c>
      <c r="C1908" s="94" t="str">
        <f>IFERROR(VLOOKUP($A1908,HeadJournal!$A$1:$NTR$890,COLUMN(HeadJournal!C$1),0),"")</f>
        <v>Forever</v>
      </c>
      <c r="D1908" s="125" t="str">
        <f>IFERROR(VLOOKUP($A1908,HeadJournal!$A$1:$NTR$890,COLUMN(HeadJournal!D$1),0),"")</f>
        <v>Доставлен</v>
      </c>
      <c r="E1908" s="95">
        <f>IFERROR(VLOOKUP($A1908,HeadJournal!$A$1:$NTR$890,COLUMN(HeadJournal!G$1),0),"")</f>
        <v>45135</v>
      </c>
      <c r="F1908" s="95" t="str">
        <f t="shared" si="149"/>
        <v>2023 07</v>
      </c>
      <c r="G1908" s="96" t="s">
        <v>5</v>
      </c>
      <c r="H1908" s="160" t="str">
        <f>RIGHT(Journal!$J1908,9)</f>
        <v>000000015</v>
      </c>
      <c r="I1908" s="96" t="str">
        <f t="shared" si="151"/>
        <v>Forever</v>
      </c>
      <c r="J1908" s="97" t="s">
        <v>295</v>
      </c>
      <c r="K1908" s="29">
        <v>1484.8</v>
      </c>
      <c r="L1908" s="29"/>
      <c r="M1908" s="30">
        <f>IFERROR(VLOOKUP($A1908,HeadJournal!$A$1:$J$890,COLUMN(HeadJournal!I$1),0)*($K1908+$L1908)/(SUMIF($A:$A,$A1908,$K:$K)+SUMIF($A:$A,$A1908,$L:$L)),0)</f>
        <v>0</v>
      </c>
      <c r="N1908" s="30">
        <f>IFERROR((VLOOKUP($A1908,HeadJournal!$A$1:$K$890,COLUMN(HeadJournal!K$1),0)-VLOOKUP($A1908,HeadJournal!$A$1:$K$890,COLUMN(HeadJournal!J$1),0))*($K1908+$L1908)/(SUMIF($A:$A,$A1908,$K:$K)+SUMIF($A:$A,$A1908,$L:$L)),0)</f>
        <v>0</v>
      </c>
      <c r="O1908" s="30">
        <f>IFERROR((VLOOKUP($A1908,HeadJournal!$A$1:$L$890,COLUMN(HeadJournal!L$1),0)*($K1908+$L1908)/(SUMIF($A:$A,$A1908,$K:$K)+SUMIF($A:$A,$A1908,$L:$L)))/VLOOKUP($A1908,HeadJournal!$A$1:$L$890,COLUMN(HeadJournal!H$1),0),0)</f>
        <v>139.61916083874968</v>
      </c>
      <c r="P1908" s="30">
        <f>IFERROR(SUM(K1908:O1908)*VLOOKUP($A1908,HeadJournal!$A$1:$L$890,COLUMN(HeadJournal!H$1),0),0)</f>
        <v>1754.3726937058498</v>
      </c>
      <c r="Q1908" s="29">
        <v>3000</v>
      </c>
      <c r="R1908" s="31">
        <v>45204</v>
      </c>
      <c r="S1908" s="31" t="s">
        <v>3121</v>
      </c>
      <c r="T1908" s="95" t="str">
        <f t="shared" si="150"/>
        <v>2023 10</v>
      </c>
      <c r="U1908" s="32">
        <f t="shared" si="147"/>
        <v>1245.6273062941502</v>
      </c>
      <c r="V1908" s="22">
        <f t="shared" si="148"/>
        <v>0.71001293554276024</v>
      </c>
      <c r="X1908" s="33"/>
      <c r="Y1908" s="33"/>
    </row>
    <row r="1909" spans="1:25" x14ac:dyDescent="0.2">
      <c r="A1909" s="93" t="s">
        <v>864</v>
      </c>
      <c r="B1909" s="94">
        <f>IFERROR(VLOOKUP($A1909,HeadJournal!$A$1:$NTR$890,COLUMN(HeadJournal!B$1),0),"")</f>
        <v>0</v>
      </c>
      <c r="C1909" s="94" t="str">
        <f>IFERROR(VLOOKUP($A1909,HeadJournal!$A$1:$NTR$890,COLUMN(HeadJournal!C$1),0),"")</f>
        <v>Forever</v>
      </c>
      <c r="D1909" s="125" t="str">
        <f>IFERROR(VLOOKUP($A1909,HeadJournal!$A$1:$NTR$890,COLUMN(HeadJournal!D$1),0),"")</f>
        <v>Доставлен</v>
      </c>
      <c r="E1909" s="95">
        <f>IFERROR(VLOOKUP($A1909,HeadJournal!$A$1:$NTR$890,COLUMN(HeadJournal!G$1),0),"")</f>
        <v>45135</v>
      </c>
      <c r="F1909" s="95" t="str">
        <f t="shared" si="149"/>
        <v>2023 07</v>
      </c>
      <c r="G1909" s="96" t="s">
        <v>5</v>
      </c>
      <c r="H1909" s="160" t="str">
        <f>RIGHT(Journal!$J1909,9)</f>
        <v>000000015</v>
      </c>
      <c r="I1909" s="96" t="str">
        <f t="shared" si="151"/>
        <v>Forever</v>
      </c>
      <c r="J1909" s="97" t="s">
        <v>295</v>
      </c>
      <c r="K1909" s="29">
        <v>1484.8</v>
      </c>
      <c r="L1909" s="29"/>
      <c r="M1909" s="30">
        <f>IFERROR(VLOOKUP($A1909,HeadJournal!$A$1:$J$890,COLUMN(HeadJournal!I$1),0)*($K1909+$L1909)/(SUMIF($A:$A,$A1909,$K:$K)+SUMIF($A:$A,$A1909,$L:$L)),0)</f>
        <v>0</v>
      </c>
      <c r="N1909" s="30">
        <f>IFERROR((VLOOKUP($A1909,HeadJournal!$A$1:$K$890,COLUMN(HeadJournal!K$1),0)-VLOOKUP($A1909,HeadJournal!$A$1:$K$890,COLUMN(HeadJournal!J$1),0))*($K1909+$L1909)/(SUMIF($A:$A,$A1909,$K:$K)+SUMIF($A:$A,$A1909,$L:$L)),0)</f>
        <v>0</v>
      </c>
      <c r="O1909" s="30">
        <f>IFERROR((VLOOKUP($A1909,HeadJournal!$A$1:$L$890,COLUMN(HeadJournal!L$1),0)*($K1909+$L1909)/(SUMIF($A:$A,$A1909,$K:$K)+SUMIF($A:$A,$A1909,$L:$L)))/VLOOKUP($A1909,HeadJournal!$A$1:$L$890,COLUMN(HeadJournal!H$1),0),0)</f>
        <v>139.61916083874968</v>
      </c>
      <c r="P1909" s="30">
        <f>IFERROR(SUM(K1909:O1909)*VLOOKUP($A1909,HeadJournal!$A$1:$L$890,COLUMN(HeadJournal!H$1),0),0)</f>
        <v>1754.3726937058498</v>
      </c>
      <c r="Q1909" s="29">
        <v>2900</v>
      </c>
      <c r="R1909" s="31">
        <v>45224</v>
      </c>
      <c r="S1909" s="31" t="s">
        <v>3121</v>
      </c>
      <c r="T1909" s="95" t="str">
        <f t="shared" si="150"/>
        <v>2023 10</v>
      </c>
      <c r="U1909" s="32">
        <f t="shared" si="147"/>
        <v>1145.6273062941502</v>
      </c>
      <c r="V1909" s="22">
        <f t="shared" si="148"/>
        <v>0.65301250435800162</v>
      </c>
      <c r="X1909" s="33"/>
      <c r="Y1909" s="33"/>
    </row>
    <row r="1910" spans="1:25" x14ac:dyDescent="0.2">
      <c r="A1910" s="93" t="s">
        <v>864</v>
      </c>
      <c r="B1910" s="94">
        <f>IFERROR(VLOOKUP($A1910,HeadJournal!$A$1:$NTR$890,COLUMN(HeadJournal!B$1),0),"")</f>
        <v>0</v>
      </c>
      <c r="C1910" s="94" t="str">
        <f>IFERROR(VLOOKUP($A1910,HeadJournal!$A$1:$NTR$890,COLUMN(HeadJournal!C$1),0),"")</f>
        <v>Forever</v>
      </c>
      <c r="D1910" s="125" t="str">
        <f>IFERROR(VLOOKUP($A1910,HeadJournal!$A$1:$NTR$890,COLUMN(HeadJournal!D$1),0),"")</f>
        <v>Доставлен</v>
      </c>
      <c r="E1910" s="95">
        <f>IFERROR(VLOOKUP($A1910,HeadJournal!$A$1:$NTR$890,COLUMN(HeadJournal!G$1),0),"")</f>
        <v>45135</v>
      </c>
      <c r="F1910" s="95" t="str">
        <f t="shared" si="149"/>
        <v>2023 07</v>
      </c>
      <c r="G1910" s="96" t="s">
        <v>5</v>
      </c>
      <c r="H1910" s="160" t="str">
        <f>RIGHT(Journal!$J1910,9)</f>
        <v>000000015</v>
      </c>
      <c r="I1910" s="96" t="str">
        <f t="shared" si="151"/>
        <v>Forever</v>
      </c>
      <c r="J1910" s="97" t="s">
        <v>295</v>
      </c>
      <c r="K1910" s="29">
        <v>1484.8</v>
      </c>
      <c r="L1910" s="29"/>
      <c r="M1910" s="30">
        <f>IFERROR(VLOOKUP($A1910,HeadJournal!$A$1:$J$890,COLUMN(HeadJournal!I$1),0)*($K1910+$L1910)/(SUMIF($A:$A,$A1910,$K:$K)+SUMIF($A:$A,$A1910,$L:$L)),0)</f>
        <v>0</v>
      </c>
      <c r="N1910" s="30">
        <f>IFERROR((VLOOKUP($A1910,HeadJournal!$A$1:$K$890,COLUMN(HeadJournal!K$1),0)-VLOOKUP($A1910,HeadJournal!$A$1:$K$890,COLUMN(HeadJournal!J$1),0))*($K1910+$L1910)/(SUMIF($A:$A,$A1910,$K:$K)+SUMIF($A:$A,$A1910,$L:$L)),0)</f>
        <v>0</v>
      </c>
      <c r="O1910" s="30">
        <f>IFERROR((VLOOKUP($A1910,HeadJournal!$A$1:$L$890,COLUMN(HeadJournal!L$1),0)*($K1910+$L1910)/(SUMIF($A:$A,$A1910,$K:$K)+SUMIF($A:$A,$A1910,$L:$L)))/VLOOKUP($A1910,HeadJournal!$A$1:$L$890,COLUMN(HeadJournal!H$1),0),0)</f>
        <v>139.61916083874968</v>
      </c>
      <c r="P1910" s="30">
        <f>IFERROR(SUM(K1910:O1910)*VLOOKUP($A1910,HeadJournal!$A$1:$L$890,COLUMN(HeadJournal!H$1),0),0)</f>
        <v>1754.3726937058498</v>
      </c>
      <c r="Q1910" s="29">
        <v>2800</v>
      </c>
      <c r="R1910" s="31">
        <v>45219</v>
      </c>
      <c r="S1910" s="31" t="s">
        <v>3121</v>
      </c>
      <c r="T1910" s="95" t="str">
        <f t="shared" si="150"/>
        <v>2023 10</v>
      </c>
      <c r="U1910" s="32">
        <f t="shared" si="147"/>
        <v>1045.6273062941502</v>
      </c>
      <c r="V1910" s="22">
        <f t="shared" si="148"/>
        <v>0.5960120731732429</v>
      </c>
      <c r="X1910" s="33"/>
      <c r="Y1910" s="33"/>
    </row>
    <row r="1911" spans="1:25" x14ac:dyDescent="0.2">
      <c r="A1911" s="93" t="s">
        <v>864</v>
      </c>
      <c r="B1911" s="94">
        <f>IFERROR(VLOOKUP($A1911,HeadJournal!$A$1:$NTR$890,COLUMN(HeadJournal!B$1),0),"")</f>
        <v>0</v>
      </c>
      <c r="C1911" s="94" t="str">
        <f>IFERROR(VLOOKUP($A1911,HeadJournal!$A$1:$NTR$890,COLUMN(HeadJournal!C$1),0),"")</f>
        <v>Forever</v>
      </c>
      <c r="D1911" s="125" t="str">
        <f>IFERROR(VLOOKUP($A1911,HeadJournal!$A$1:$NTR$890,COLUMN(HeadJournal!D$1),0),"")</f>
        <v>Доставлен</v>
      </c>
      <c r="E1911" s="95">
        <f>IFERROR(VLOOKUP($A1911,HeadJournal!$A$1:$NTR$890,COLUMN(HeadJournal!G$1),0),"")</f>
        <v>45135</v>
      </c>
      <c r="F1911" s="95" t="str">
        <f t="shared" si="149"/>
        <v>2023 07</v>
      </c>
      <c r="G1911" s="96" t="s">
        <v>5</v>
      </c>
      <c r="H1911" s="160" t="str">
        <f>RIGHT(Journal!$J1911,9)</f>
        <v>000000015</v>
      </c>
      <c r="I1911" s="96" t="str">
        <f t="shared" si="151"/>
        <v>Forever</v>
      </c>
      <c r="J1911" s="97" t="s">
        <v>295</v>
      </c>
      <c r="K1911" s="29">
        <v>1484.8</v>
      </c>
      <c r="L1911" s="29"/>
      <c r="M1911" s="30">
        <f>IFERROR(VLOOKUP($A1911,HeadJournal!$A$1:$J$890,COLUMN(HeadJournal!I$1),0)*($K1911+$L1911)/(SUMIF($A:$A,$A1911,$K:$K)+SUMIF($A:$A,$A1911,$L:$L)),0)</f>
        <v>0</v>
      </c>
      <c r="N1911" s="30">
        <f>IFERROR((VLOOKUP($A1911,HeadJournal!$A$1:$K$890,COLUMN(HeadJournal!K$1),0)-VLOOKUP($A1911,HeadJournal!$A$1:$K$890,COLUMN(HeadJournal!J$1),0))*($K1911+$L1911)/(SUMIF($A:$A,$A1911,$K:$K)+SUMIF($A:$A,$A1911,$L:$L)),0)</f>
        <v>0</v>
      </c>
      <c r="O1911" s="30">
        <f>IFERROR((VLOOKUP($A1911,HeadJournal!$A$1:$L$890,COLUMN(HeadJournal!L$1),0)*($K1911+$L1911)/(SUMIF($A:$A,$A1911,$K:$K)+SUMIF($A:$A,$A1911,$L:$L)))/VLOOKUP($A1911,HeadJournal!$A$1:$L$890,COLUMN(HeadJournal!H$1),0),0)</f>
        <v>139.61916083874968</v>
      </c>
      <c r="P1911" s="30">
        <f>IFERROR(SUM(K1911:O1911)*VLOOKUP($A1911,HeadJournal!$A$1:$L$890,COLUMN(HeadJournal!H$1),0),0)</f>
        <v>1754.3726937058498</v>
      </c>
      <c r="Q1911" s="29">
        <v>1754.37</v>
      </c>
      <c r="R1911" s="31">
        <v>45250</v>
      </c>
      <c r="S1911" s="31" t="s">
        <v>3121</v>
      </c>
      <c r="T1911" s="95" t="str">
        <f t="shared" si="150"/>
        <v>2023 11</v>
      </c>
      <c r="U1911" s="32">
        <f t="shared" si="147"/>
        <v>-2.6937058498788247E-3</v>
      </c>
      <c r="V1911" s="22">
        <f t="shared" si="148"/>
        <v>-1.5354239492799983E-6</v>
      </c>
      <c r="X1911" s="33"/>
      <c r="Y1911" s="33"/>
    </row>
    <row r="1912" spans="1:25" x14ac:dyDescent="0.2">
      <c r="A1912" s="93" t="s">
        <v>864</v>
      </c>
      <c r="B1912" s="94">
        <f>IFERROR(VLOOKUP($A1912,HeadJournal!$A$1:$NTR$890,COLUMN(HeadJournal!B$1),0),"")</f>
        <v>0</v>
      </c>
      <c r="C1912" s="94" t="str">
        <f>IFERROR(VLOOKUP($A1912,HeadJournal!$A$1:$NTR$890,COLUMN(HeadJournal!C$1),0),"")</f>
        <v>Forever</v>
      </c>
      <c r="D1912" s="125" t="str">
        <f>IFERROR(VLOOKUP($A1912,HeadJournal!$A$1:$NTR$890,COLUMN(HeadJournal!D$1),0),"")</f>
        <v>Доставлен</v>
      </c>
      <c r="E1912" s="95">
        <f>IFERROR(VLOOKUP($A1912,HeadJournal!$A$1:$NTR$890,COLUMN(HeadJournal!G$1),0),"")</f>
        <v>45135</v>
      </c>
      <c r="F1912" s="95" t="str">
        <f t="shared" si="149"/>
        <v>2023 07</v>
      </c>
      <c r="G1912" s="96" t="s">
        <v>5</v>
      </c>
      <c r="H1912" s="160" t="str">
        <f>RIGHT(Journal!$J1912,9)</f>
        <v>000000015</v>
      </c>
      <c r="I1912" s="96" t="str">
        <f t="shared" si="151"/>
        <v>Forever</v>
      </c>
      <c r="J1912" s="97" t="s">
        <v>295</v>
      </c>
      <c r="K1912" s="29">
        <v>1484.8</v>
      </c>
      <c r="L1912" s="29"/>
      <c r="M1912" s="30">
        <f>IFERROR(VLOOKUP($A1912,HeadJournal!$A$1:$J$890,COLUMN(HeadJournal!I$1),0)*($K1912+$L1912)/(SUMIF($A:$A,$A1912,$K:$K)+SUMIF($A:$A,$A1912,$L:$L)),0)</f>
        <v>0</v>
      </c>
      <c r="N1912" s="30">
        <f>IFERROR((VLOOKUP($A1912,HeadJournal!$A$1:$K$890,COLUMN(HeadJournal!K$1),0)-VLOOKUP($A1912,HeadJournal!$A$1:$K$890,COLUMN(HeadJournal!J$1),0))*($K1912+$L1912)/(SUMIF($A:$A,$A1912,$K:$K)+SUMIF($A:$A,$A1912,$L:$L)),0)</f>
        <v>0</v>
      </c>
      <c r="O1912" s="30">
        <f>IFERROR((VLOOKUP($A1912,HeadJournal!$A$1:$L$890,COLUMN(HeadJournal!L$1),0)*($K1912+$L1912)/(SUMIF($A:$A,$A1912,$K:$K)+SUMIF($A:$A,$A1912,$L:$L)))/VLOOKUP($A1912,HeadJournal!$A$1:$L$890,COLUMN(HeadJournal!H$1),0),0)</f>
        <v>139.61916083874968</v>
      </c>
      <c r="P1912" s="30">
        <f>IFERROR(SUM(K1912:O1912)*VLOOKUP($A1912,HeadJournal!$A$1:$L$890,COLUMN(HeadJournal!H$1),0),0)</f>
        <v>1754.3726937058498</v>
      </c>
      <c r="Q1912" s="29">
        <v>2800</v>
      </c>
      <c r="R1912" s="31">
        <v>45277</v>
      </c>
      <c r="S1912" s="31" t="s">
        <v>3121</v>
      </c>
      <c r="T1912" s="95" t="str">
        <f t="shared" si="150"/>
        <v>2023 12</v>
      </c>
      <c r="U1912" s="32">
        <f t="shared" si="147"/>
        <v>1045.6273062941502</v>
      </c>
      <c r="V1912" s="22">
        <f t="shared" si="148"/>
        <v>0.5960120731732429</v>
      </c>
      <c r="X1912" s="33"/>
      <c r="Y1912" s="33"/>
    </row>
    <row r="1913" spans="1:25" x14ac:dyDescent="0.2">
      <c r="A1913" s="93" t="s">
        <v>864</v>
      </c>
      <c r="B1913" s="94">
        <f>IFERROR(VLOOKUP($A1913,HeadJournal!$A$1:$NTR$890,COLUMN(HeadJournal!B$1),0),"")</f>
        <v>0</v>
      </c>
      <c r="C1913" s="94" t="str">
        <f>IFERROR(VLOOKUP($A1913,HeadJournal!$A$1:$NTR$890,COLUMN(HeadJournal!C$1),0),"")</f>
        <v>Forever</v>
      </c>
      <c r="D1913" s="125" t="str">
        <f>IFERROR(VLOOKUP($A1913,HeadJournal!$A$1:$NTR$890,COLUMN(HeadJournal!D$1),0),"")</f>
        <v>Доставлен</v>
      </c>
      <c r="E1913" s="95">
        <f>IFERROR(VLOOKUP($A1913,HeadJournal!$A$1:$NTR$890,COLUMN(HeadJournal!G$1),0),"")</f>
        <v>45135</v>
      </c>
      <c r="F1913" s="95" t="str">
        <f t="shared" si="149"/>
        <v>2023 07</v>
      </c>
      <c r="G1913" s="96" t="s">
        <v>7</v>
      </c>
      <c r="H1913" s="160" t="str">
        <f>RIGHT(Journal!$J1913,9)</f>
        <v>000000612</v>
      </c>
      <c r="I1913" s="96" t="str">
        <f t="shared" si="151"/>
        <v>Forever</v>
      </c>
      <c r="J1913" s="97" t="s">
        <v>751</v>
      </c>
      <c r="K1913" s="29">
        <v>903</v>
      </c>
      <c r="L1913" s="29"/>
      <c r="M1913" s="30">
        <f>IFERROR(VLOOKUP($A1913,HeadJournal!$A$1:$J$890,COLUMN(HeadJournal!I$1),0)*($K1913+$L1913)/(SUMIF($A:$A,$A1913,$K:$K)+SUMIF($A:$A,$A1913,$L:$L)),0)</f>
        <v>0</v>
      </c>
      <c r="N1913" s="30">
        <f>IFERROR((VLOOKUP($A1913,HeadJournal!$A$1:$K$890,COLUMN(HeadJournal!K$1),0)-VLOOKUP($A1913,HeadJournal!$A$1:$K$890,COLUMN(HeadJournal!J$1),0))*($K1913+$L1913)/(SUMIF($A:$A,$A1913,$K:$K)+SUMIF($A:$A,$A1913,$L:$L)),0)</f>
        <v>0</v>
      </c>
      <c r="O1913" s="30">
        <f>IFERROR((VLOOKUP($A1913,HeadJournal!$A$1:$L$890,COLUMN(HeadJournal!L$1),0)*($K1913+$L1913)/(SUMIF($A:$A,$A1913,$K:$K)+SUMIF($A:$A,$A1913,$L:$L)))/VLOOKUP($A1913,HeadJournal!$A$1:$L$890,COLUMN(HeadJournal!H$1),0),0)</f>
        <v>84.911167993932494</v>
      </c>
      <c r="P1913" s="30">
        <f>IFERROR(SUM(K1913:O1913)*VLOOKUP($A1913,HeadJournal!$A$1:$L$890,COLUMN(HeadJournal!H$1),0),0)</f>
        <v>1066.9440614334471</v>
      </c>
      <c r="Q1913" s="29">
        <v>1400</v>
      </c>
      <c r="R1913" s="31">
        <v>45136</v>
      </c>
      <c r="S1913" s="31" t="s">
        <v>3121</v>
      </c>
      <c r="T1913" s="95" t="str">
        <f t="shared" si="150"/>
        <v>2023 07</v>
      </c>
      <c r="U1913" s="32">
        <f t="shared" si="147"/>
        <v>333.05593856655287</v>
      </c>
      <c r="V1913" s="22">
        <f t="shared" si="148"/>
        <v>0.31215876314929741</v>
      </c>
      <c r="X1913" s="33"/>
      <c r="Y1913" s="33"/>
    </row>
    <row r="1914" spans="1:25" x14ac:dyDescent="0.2">
      <c r="A1914" s="93" t="s">
        <v>864</v>
      </c>
      <c r="B1914" s="94">
        <f>IFERROR(VLOOKUP($A1914,HeadJournal!$A$1:$NTR$890,COLUMN(HeadJournal!B$1),0),"")</f>
        <v>0</v>
      </c>
      <c r="C1914" s="94" t="str">
        <f>IFERROR(VLOOKUP($A1914,HeadJournal!$A$1:$NTR$890,COLUMN(HeadJournal!C$1),0),"")</f>
        <v>Forever</v>
      </c>
      <c r="D1914" s="125" t="str">
        <f>IFERROR(VLOOKUP($A1914,HeadJournal!$A$1:$NTR$890,COLUMN(HeadJournal!D$1),0),"")</f>
        <v>Доставлен</v>
      </c>
      <c r="E1914" s="95">
        <f>IFERROR(VLOOKUP($A1914,HeadJournal!$A$1:$NTR$890,COLUMN(HeadJournal!G$1),0),"")</f>
        <v>45135</v>
      </c>
      <c r="F1914" s="95" t="str">
        <f t="shared" si="149"/>
        <v>2023 07</v>
      </c>
      <c r="G1914" s="96" t="s">
        <v>7</v>
      </c>
      <c r="H1914" s="160" t="str">
        <f>RIGHT(Journal!$J1914,9)</f>
        <v>000000612</v>
      </c>
      <c r="I1914" s="96" t="str">
        <f t="shared" si="151"/>
        <v>Forever</v>
      </c>
      <c r="J1914" s="97" t="s">
        <v>751</v>
      </c>
      <c r="K1914" s="29">
        <v>903</v>
      </c>
      <c r="L1914" s="29"/>
      <c r="M1914" s="30">
        <f>IFERROR(VLOOKUP($A1914,HeadJournal!$A$1:$J$890,COLUMN(HeadJournal!I$1),0)*($K1914+$L1914)/(SUMIF($A:$A,$A1914,$K:$K)+SUMIF($A:$A,$A1914,$L:$L)),0)</f>
        <v>0</v>
      </c>
      <c r="N1914" s="30">
        <f>IFERROR((VLOOKUP($A1914,HeadJournal!$A$1:$K$890,COLUMN(HeadJournal!K$1),0)-VLOOKUP($A1914,HeadJournal!$A$1:$K$890,COLUMN(HeadJournal!J$1),0))*($K1914+$L1914)/(SUMIF($A:$A,$A1914,$K:$K)+SUMIF($A:$A,$A1914,$L:$L)),0)</f>
        <v>0</v>
      </c>
      <c r="O1914" s="30">
        <f>IFERROR((VLOOKUP($A1914,HeadJournal!$A$1:$L$890,COLUMN(HeadJournal!L$1),0)*($K1914+$L1914)/(SUMIF($A:$A,$A1914,$K:$K)+SUMIF($A:$A,$A1914,$L:$L)))/VLOOKUP($A1914,HeadJournal!$A$1:$L$890,COLUMN(HeadJournal!H$1),0),0)</f>
        <v>84.911167993932494</v>
      </c>
      <c r="P1914" s="30">
        <f>IFERROR(SUM(K1914:O1914)*VLOOKUP($A1914,HeadJournal!$A$1:$L$890,COLUMN(HeadJournal!H$1),0),0)</f>
        <v>1066.9440614334471</v>
      </c>
      <c r="Q1914" s="29">
        <v>1066.94</v>
      </c>
      <c r="R1914" s="31">
        <v>45136</v>
      </c>
      <c r="S1914" s="31" t="s">
        <v>3121</v>
      </c>
      <c r="T1914" s="95" t="str">
        <f t="shared" si="150"/>
        <v>2023 07</v>
      </c>
      <c r="U1914" s="32">
        <f t="shared" si="147"/>
        <v>-4.0614334470774338E-3</v>
      </c>
      <c r="V1914" s="22">
        <f t="shared" si="148"/>
        <v>-3.8066039203787952E-6</v>
      </c>
      <c r="X1914" s="33"/>
      <c r="Y1914" s="33"/>
    </row>
    <row r="1915" spans="1:25" x14ac:dyDescent="0.2">
      <c r="A1915" s="93" t="s">
        <v>865</v>
      </c>
      <c r="B1915" s="94">
        <f>IFERROR(VLOOKUP($A1915,HeadJournal!$A$1:$NTR$890,COLUMN(HeadJournal!B$1),0),"")</f>
        <v>0</v>
      </c>
      <c r="C1915" s="94" t="str">
        <f>IFERROR(VLOOKUP($A1915,HeadJournal!$A$1:$NTR$890,COLUMN(HeadJournal!C$1),0),"")</f>
        <v>WBRS</v>
      </c>
      <c r="D1915" s="125" t="str">
        <f>IFERROR(VLOOKUP($A1915,HeadJournal!$A$1:$NTR$890,COLUMN(HeadJournal!D$1),0),"")</f>
        <v>Доставлен</v>
      </c>
      <c r="E1915" s="95">
        <f>IFERROR(VLOOKUP($A1915,HeadJournal!$A$1:$NTR$890,COLUMN(HeadJournal!G$1),0),"")</f>
        <v>45141</v>
      </c>
      <c r="F1915" s="95" t="str">
        <f t="shared" si="149"/>
        <v>2023 08</v>
      </c>
      <c r="G1915" s="96" t="s">
        <v>6</v>
      </c>
      <c r="H1915" s="160" t="str">
        <f>RIGHT(Journal!$J1915,9)</f>
        <v>156083705</v>
      </c>
      <c r="I1915" s="96" t="str">
        <f t="shared" si="151"/>
        <v>MAXLER</v>
      </c>
      <c r="J1915" s="97" t="s">
        <v>866</v>
      </c>
      <c r="K1915" s="29">
        <v>1630</v>
      </c>
      <c r="L1915" s="29"/>
      <c r="M1915" s="30">
        <f>IFERROR(VLOOKUP($A1915,HeadJournal!$A$1:$J$890,COLUMN(HeadJournal!I$1),0)*($K1915+$L1915)/(SUMIF($A:$A,$A1915,$K:$K)+SUMIF($A:$A,$A1915,$L:$L)),0)</f>
        <v>0</v>
      </c>
      <c r="N1915" s="30">
        <f>IFERROR((VLOOKUP($A1915,HeadJournal!$A$1:$K$890,COLUMN(HeadJournal!K$1),0)-VLOOKUP($A1915,HeadJournal!$A$1:$K$890,COLUMN(HeadJournal!J$1),0))*($K1915+$L1915)/(SUMIF($A:$A,$A1915,$K:$K)+SUMIF($A:$A,$A1915,$L:$L)),0)</f>
        <v>0</v>
      </c>
      <c r="O1915" s="30">
        <f>IFERROR((VLOOKUP($A1915,HeadJournal!$A$1:$L$890,COLUMN(HeadJournal!L$1),0)*($K1915+$L1915)/(SUMIF($A:$A,$A1915,$K:$K)+SUMIF($A:$A,$A1915,$L:$L)))/VLOOKUP($A1915,HeadJournal!$A$1:$L$890,COLUMN(HeadJournal!H$1),0),0)</f>
        <v>163</v>
      </c>
      <c r="P1915" s="30">
        <f>IFERROR(SUM(K1915:O1915)*VLOOKUP($A1915,HeadJournal!$A$1:$L$890,COLUMN(HeadJournal!H$1),0),0)</f>
        <v>1793</v>
      </c>
      <c r="Q1915" s="29">
        <v>2500</v>
      </c>
      <c r="R1915" s="31">
        <v>45480</v>
      </c>
      <c r="S1915" s="31" t="s">
        <v>3121</v>
      </c>
      <c r="T1915" s="95" t="str">
        <f t="shared" si="150"/>
        <v>2024 07</v>
      </c>
      <c r="U1915" s="32">
        <f t="shared" si="147"/>
        <v>707</v>
      </c>
      <c r="V1915" s="22">
        <f t="shared" si="148"/>
        <v>0.39431121026213051</v>
      </c>
      <c r="X1915" s="33"/>
      <c r="Y1915" s="33"/>
    </row>
    <row r="1916" spans="1:25" x14ac:dyDescent="0.2">
      <c r="A1916" s="93" t="s">
        <v>867</v>
      </c>
      <c r="B1916" s="94">
        <f>IFERROR(VLOOKUP($A1916,HeadJournal!$A$1:$NTR$890,COLUMN(HeadJournal!B$1),0),"")</f>
        <v>0</v>
      </c>
      <c r="C1916" s="94" t="str">
        <f>IFERROR(VLOOKUP($A1916,HeadJournal!$A$1:$NTR$890,COLUMN(HeadJournal!C$1),0),"")</f>
        <v>WBRS</v>
      </c>
      <c r="D1916" s="125" t="str">
        <f>IFERROR(VLOOKUP($A1916,HeadJournal!$A$1:$NTR$890,COLUMN(HeadJournal!D$1),0),"")</f>
        <v>Доставлен</v>
      </c>
      <c r="E1916" s="95">
        <f>IFERROR(VLOOKUP($A1916,HeadJournal!$A$1:$NTR$890,COLUMN(HeadJournal!G$1),0),"")</f>
        <v>45141</v>
      </c>
      <c r="F1916" s="95" t="str">
        <f t="shared" si="149"/>
        <v>2023 08</v>
      </c>
      <c r="G1916" s="96" t="s">
        <v>6</v>
      </c>
      <c r="H1916" s="160" t="str">
        <f>RIGHT(Journal!$J1916,9)</f>
        <v>158521482</v>
      </c>
      <c r="I1916" s="96" t="str">
        <f t="shared" si="151"/>
        <v>Maxler</v>
      </c>
      <c r="J1916" s="97" t="s">
        <v>805</v>
      </c>
      <c r="K1916" s="29">
        <v>1630</v>
      </c>
      <c r="L1916" s="29"/>
      <c r="M1916" s="30">
        <f>IFERROR(VLOOKUP($A1916,HeadJournal!$A$1:$J$890,COLUMN(HeadJournal!I$1),0)*($K1916+$L1916)/(SUMIF($A:$A,$A1916,$K:$K)+SUMIF($A:$A,$A1916,$L:$L)),0)</f>
        <v>0</v>
      </c>
      <c r="N1916" s="30">
        <f>IFERROR((VLOOKUP($A1916,HeadJournal!$A$1:$K$890,COLUMN(HeadJournal!K$1),0)-VLOOKUP($A1916,HeadJournal!$A$1:$K$890,COLUMN(HeadJournal!J$1),0))*($K1916+$L1916)/(SUMIF($A:$A,$A1916,$K:$K)+SUMIF($A:$A,$A1916,$L:$L)),0)</f>
        <v>0</v>
      </c>
      <c r="O1916" s="30">
        <f>IFERROR((VLOOKUP($A1916,HeadJournal!$A$1:$L$890,COLUMN(HeadJournal!L$1),0)*($K1916+$L1916)/(SUMIF($A:$A,$A1916,$K:$K)+SUMIF($A:$A,$A1916,$L:$L)))/VLOOKUP($A1916,HeadJournal!$A$1:$L$890,COLUMN(HeadJournal!H$1),0),0)</f>
        <v>163</v>
      </c>
      <c r="P1916" s="30">
        <f>IFERROR(SUM(K1916:O1916)*VLOOKUP($A1916,HeadJournal!$A$1:$L$890,COLUMN(HeadJournal!H$1),0),0)</f>
        <v>1793</v>
      </c>
      <c r="Q1916" s="29">
        <v>2500</v>
      </c>
      <c r="R1916" s="31">
        <v>45364</v>
      </c>
      <c r="S1916" s="31" t="s">
        <v>3121</v>
      </c>
      <c r="T1916" s="95" t="str">
        <f t="shared" si="150"/>
        <v>2024 03</v>
      </c>
      <c r="U1916" s="32">
        <f t="shared" si="147"/>
        <v>707</v>
      </c>
      <c r="V1916" s="22">
        <f t="shared" si="148"/>
        <v>0.39431121026213051</v>
      </c>
      <c r="X1916" s="33"/>
      <c r="Y1916" s="33"/>
    </row>
    <row r="1917" spans="1:25" x14ac:dyDescent="0.2">
      <c r="A1917" s="93" t="s">
        <v>867</v>
      </c>
      <c r="B1917" s="94">
        <f>IFERROR(VLOOKUP($A1917,HeadJournal!$A$1:$NTR$890,COLUMN(HeadJournal!B$1),0),"")</f>
        <v>0</v>
      </c>
      <c r="C1917" s="94" t="str">
        <f>IFERROR(VLOOKUP($A1917,HeadJournal!$A$1:$NTR$890,COLUMN(HeadJournal!C$1),0),"")</f>
        <v>WBRS</v>
      </c>
      <c r="D1917" s="125" t="str">
        <f>IFERROR(VLOOKUP($A1917,HeadJournal!$A$1:$NTR$890,COLUMN(HeadJournal!D$1),0),"")</f>
        <v>Доставлен</v>
      </c>
      <c r="E1917" s="95">
        <f>IFERROR(VLOOKUP($A1917,HeadJournal!$A$1:$NTR$890,COLUMN(HeadJournal!G$1),0),"")</f>
        <v>45141</v>
      </c>
      <c r="F1917" s="95" t="str">
        <f t="shared" si="149"/>
        <v>2023 08</v>
      </c>
      <c r="G1917" s="96" t="s">
        <v>6</v>
      </c>
      <c r="H1917" s="160" t="str">
        <f>RIGHT(Journal!$J1917,9)</f>
        <v>158521482</v>
      </c>
      <c r="I1917" s="96" t="str">
        <f t="shared" si="151"/>
        <v>Maxler</v>
      </c>
      <c r="J1917" s="97" t="s">
        <v>805</v>
      </c>
      <c r="K1917" s="29">
        <v>1630</v>
      </c>
      <c r="L1917" s="29"/>
      <c r="M1917" s="30">
        <f>IFERROR(VLOOKUP($A1917,HeadJournal!$A$1:$J$890,COLUMN(HeadJournal!I$1),0)*($K1917+$L1917)/(SUMIF($A:$A,$A1917,$K:$K)+SUMIF($A:$A,$A1917,$L:$L)),0)</f>
        <v>0</v>
      </c>
      <c r="N1917" s="30">
        <f>IFERROR((VLOOKUP($A1917,HeadJournal!$A$1:$K$890,COLUMN(HeadJournal!K$1),0)-VLOOKUP($A1917,HeadJournal!$A$1:$K$890,COLUMN(HeadJournal!J$1),0))*($K1917+$L1917)/(SUMIF($A:$A,$A1917,$K:$K)+SUMIF($A:$A,$A1917,$L:$L)),0)</f>
        <v>0</v>
      </c>
      <c r="O1917" s="30">
        <f>IFERROR((VLOOKUP($A1917,HeadJournal!$A$1:$L$890,COLUMN(HeadJournal!L$1),0)*($K1917+$L1917)/(SUMIF($A:$A,$A1917,$K:$K)+SUMIF($A:$A,$A1917,$L:$L)))/VLOOKUP($A1917,HeadJournal!$A$1:$L$890,COLUMN(HeadJournal!H$1),0),0)</f>
        <v>163</v>
      </c>
      <c r="P1917" s="30">
        <f>IFERROR(SUM(K1917:O1917)*VLOOKUP($A1917,HeadJournal!$A$1:$L$890,COLUMN(HeadJournal!H$1),0),0)</f>
        <v>1793</v>
      </c>
      <c r="Q1917" s="29">
        <v>2500</v>
      </c>
      <c r="R1917" s="31">
        <v>45576</v>
      </c>
      <c r="S1917" s="31" t="s">
        <v>3121</v>
      </c>
      <c r="T1917" s="95" t="str">
        <f t="shared" si="150"/>
        <v>2024 10</v>
      </c>
      <c r="U1917" s="32">
        <f t="shared" si="147"/>
        <v>707</v>
      </c>
      <c r="V1917" s="22">
        <f t="shared" si="148"/>
        <v>0.39431121026213051</v>
      </c>
      <c r="X1917" s="33"/>
      <c r="Y1917" s="33"/>
    </row>
    <row r="1918" spans="1:25" x14ac:dyDescent="0.2">
      <c r="A1918" s="93" t="s">
        <v>868</v>
      </c>
      <c r="B1918" s="94">
        <f>IFERROR(VLOOKUP($A1918,HeadJournal!$A$1:$NTR$890,COLUMN(HeadJournal!B$1),0),"")</f>
        <v>0</v>
      </c>
      <c r="C1918" s="94" t="str">
        <f>IFERROR(VLOOKUP($A1918,HeadJournal!$A$1:$NTR$890,COLUMN(HeadJournal!C$1),0),"")</f>
        <v>WBRS</v>
      </c>
      <c r="D1918" s="125" t="str">
        <f>IFERROR(VLOOKUP($A1918,HeadJournal!$A$1:$NTR$890,COLUMN(HeadJournal!D$1),0),"")</f>
        <v>Доставлен</v>
      </c>
      <c r="E1918" s="95">
        <f>IFERROR(VLOOKUP($A1918,HeadJournal!$A$1:$NTR$890,COLUMN(HeadJournal!G$1),0),"")</f>
        <v>45141</v>
      </c>
      <c r="F1918" s="95" t="str">
        <f t="shared" si="149"/>
        <v>2023 08</v>
      </c>
      <c r="G1918" s="96" t="s">
        <v>7</v>
      </c>
      <c r="H1918" s="160" t="str">
        <f>RIGHT(Journal!$J1918,9)</f>
        <v>168263293</v>
      </c>
      <c r="I1918" s="96" t="str">
        <f t="shared" si="151"/>
        <v>Minoxidil</v>
      </c>
      <c r="J1918" s="97" t="s">
        <v>869</v>
      </c>
      <c r="K1918" s="29">
        <v>2718</v>
      </c>
      <c r="L1918" s="29"/>
      <c r="M1918" s="30">
        <f>IFERROR(VLOOKUP($A1918,HeadJournal!$A$1:$J$890,COLUMN(HeadJournal!I$1),0)*($K1918+$L1918)/(SUMIF($A:$A,$A1918,$K:$K)+SUMIF($A:$A,$A1918,$L:$L)),0)</f>
        <v>0</v>
      </c>
      <c r="N1918" s="30">
        <f>IFERROR((VLOOKUP($A1918,HeadJournal!$A$1:$K$890,COLUMN(HeadJournal!K$1),0)-VLOOKUP($A1918,HeadJournal!$A$1:$K$890,COLUMN(HeadJournal!J$1),0))*($K1918+$L1918)/(SUMIF($A:$A,$A1918,$K:$K)+SUMIF($A:$A,$A1918,$L:$L)),0)</f>
        <v>0</v>
      </c>
      <c r="O1918" s="30">
        <f>IFERROR((VLOOKUP($A1918,HeadJournal!$A$1:$L$890,COLUMN(HeadJournal!L$1),0)*($K1918+$L1918)/(SUMIF($A:$A,$A1918,$K:$K)+SUMIF($A:$A,$A1918,$L:$L)))/VLOOKUP($A1918,HeadJournal!$A$1:$L$890,COLUMN(HeadJournal!H$1),0),0)</f>
        <v>271.8</v>
      </c>
      <c r="P1918" s="30">
        <f>IFERROR(SUM(K1918:O1918)*VLOOKUP($A1918,HeadJournal!$A$1:$L$890,COLUMN(HeadJournal!H$1),0),0)</f>
        <v>2989.8</v>
      </c>
      <c r="Q1918" s="29">
        <v>3600</v>
      </c>
      <c r="R1918" s="31">
        <v>45167</v>
      </c>
      <c r="S1918" s="31" t="s">
        <v>3121</v>
      </c>
      <c r="T1918" s="95" t="str">
        <f t="shared" si="150"/>
        <v>2023 08</v>
      </c>
      <c r="U1918" s="32">
        <f t="shared" si="147"/>
        <v>610.19999999999982</v>
      </c>
      <c r="V1918" s="22">
        <f t="shared" si="148"/>
        <v>0.20409391932570733</v>
      </c>
      <c r="X1918" s="33"/>
      <c r="Y1918" s="33"/>
    </row>
    <row r="1919" spans="1:25" x14ac:dyDescent="0.2">
      <c r="A1919" s="93" t="s">
        <v>870</v>
      </c>
      <c r="B1919" s="94" t="str">
        <f>IFERROR(VLOOKUP($A1919,HeadJournal!$A$1:$NTR$890,COLUMN(HeadJournal!B$1),0),"")</f>
        <v>710000895722</v>
      </c>
      <c r="C1919" s="94" t="str">
        <f>IFERROR(VLOOKUP($A1919,HeadJournal!$A$1:$NTR$890,COLUMN(HeadJournal!C$1),0),"")</f>
        <v>iHerb_MH DLE7202</v>
      </c>
      <c r="D1919" s="125" t="str">
        <f>IFERROR(VLOOKUP($A1919,HeadJournal!$A$1:$NTR$890,COLUMN(HeadJournal!D$1),0),"")</f>
        <v>Доставлен</v>
      </c>
      <c r="E1919" s="95">
        <f>IFERROR(VLOOKUP($A1919,HeadJournal!$A$1:$NTR$890,COLUMN(HeadJournal!G$1),0),"")</f>
        <v>45132</v>
      </c>
      <c r="F1919" s="95" t="str">
        <f t="shared" si="149"/>
        <v>2023 07</v>
      </c>
      <c r="G1919" s="96" t="s">
        <v>5</v>
      </c>
      <c r="H1919" s="175" t="s">
        <v>3642</v>
      </c>
      <c r="I1919" s="176" t="s">
        <v>2681</v>
      </c>
      <c r="J1919" s="97" t="s">
        <v>3691</v>
      </c>
      <c r="K1919" s="29">
        <v>16.61</v>
      </c>
      <c r="L1919" s="29">
        <v>-2.5099999999999998</v>
      </c>
      <c r="M1919" s="30">
        <f>IFERROR(VLOOKUP($A1919,HeadJournal!$A$1:$J$890,COLUMN(HeadJournal!I$1),0)*($K1919+$L1919)/(SUMIF($A:$A,$A1919,$K:$K)+SUMIF($A:$A,$A1919,$L:$L)),0)</f>
        <v>-1.0023833983973702</v>
      </c>
      <c r="N1919" s="30">
        <f>IFERROR((VLOOKUP($A1919,HeadJournal!$A$1:$K$890,COLUMN(HeadJournal!K$1),0)-VLOOKUP($A1919,HeadJournal!$A$1:$K$890,COLUMN(HeadJournal!J$1),0))*($K1919+$L1919)/(SUMIF($A:$A,$A1919,$K:$K)+SUMIF($A:$A,$A1919,$L:$L)),0)</f>
        <v>4.9403669977649054E-15</v>
      </c>
      <c r="O1919" s="30">
        <f>IFERROR((VLOOKUP($A1919,HeadJournal!$A$1:$L$890,COLUMN(HeadJournal!L$1),0)*($K1919+$L1919)/(SUMIF($A:$A,$A1919,$K:$K)+SUMIF($A:$A,$A1919,$L:$L)))/VLOOKUP($A1919,HeadJournal!$A$1:$L$890,COLUMN(HeadJournal!H$1),0),0)</f>
        <v>0.76286371671674158</v>
      </c>
      <c r="P1919" s="30">
        <f>IFERROR(SUM(K1919:O1919)*VLOOKUP($A1919,HeadJournal!$A$1:$L$890,COLUMN(HeadJournal!H$1),0),0)</f>
        <v>1397.2320690363679</v>
      </c>
      <c r="Q1919" s="29">
        <v>2200</v>
      </c>
      <c r="R1919" s="31">
        <v>45167</v>
      </c>
      <c r="S1919" s="31" t="s">
        <v>3121</v>
      </c>
      <c r="T1919" s="95" t="str">
        <f t="shared" si="150"/>
        <v>2023 08</v>
      </c>
      <c r="U1919" s="32">
        <f t="shared" si="147"/>
        <v>802.76793096363212</v>
      </c>
      <c r="V1919" s="22">
        <f t="shared" si="148"/>
        <v>0.57454158743814032</v>
      </c>
      <c r="X1919" s="33"/>
      <c r="Y1919" s="33"/>
    </row>
    <row r="1920" spans="1:25" x14ac:dyDescent="0.2">
      <c r="A1920" s="93" t="s">
        <v>870</v>
      </c>
      <c r="B1920" s="94" t="str">
        <f>IFERROR(VLOOKUP($A1920,HeadJournal!$A$1:$NTR$890,COLUMN(HeadJournal!B$1),0),"")</f>
        <v>710000895722</v>
      </c>
      <c r="C1920" s="94" t="str">
        <f>IFERROR(VLOOKUP($A1920,HeadJournal!$A$1:$NTR$890,COLUMN(HeadJournal!C$1),0),"")</f>
        <v>iHerb_MH DLE7202</v>
      </c>
      <c r="D1920" s="125" t="str">
        <f>IFERROR(VLOOKUP($A1920,HeadJournal!$A$1:$NTR$890,COLUMN(HeadJournal!D$1),0),"")</f>
        <v>Доставлен</v>
      </c>
      <c r="E1920" s="95">
        <f>IFERROR(VLOOKUP($A1920,HeadJournal!$A$1:$NTR$890,COLUMN(HeadJournal!G$1),0),"")</f>
        <v>45132</v>
      </c>
      <c r="F1920" s="95" t="str">
        <f t="shared" si="149"/>
        <v>2023 07</v>
      </c>
      <c r="G1920" s="96" t="s">
        <v>5</v>
      </c>
      <c r="H1920" s="175" t="s">
        <v>3642</v>
      </c>
      <c r="I1920" s="176" t="s">
        <v>2681</v>
      </c>
      <c r="J1920" s="97" t="s">
        <v>3691</v>
      </c>
      <c r="K1920" s="29">
        <v>16.61</v>
      </c>
      <c r="L1920" s="29">
        <v>-2.5099999999999998</v>
      </c>
      <c r="M1920" s="30">
        <f>IFERROR(VLOOKUP($A1920,HeadJournal!$A$1:$J$890,COLUMN(HeadJournal!I$1),0)*($K1920+$L1920)/(SUMIF($A:$A,$A1920,$K:$K)+SUMIF($A:$A,$A1920,$L:$L)),0)</f>
        <v>-1.0023833983973702</v>
      </c>
      <c r="N1920" s="30">
        <f>IFERROR((VLOOKUP($A1920,HeadJournal!$A$1:$K$890,COLUMN(HeadJournal!K$1),0)-VLOOKUP($A1920,HeadJournal!$A$1:$K$890,COLUMN(HeadJournal!J$1),0))*($K1920+$L1920)/(SUMIF($A:$A,$A1920,$K:$K)+SUMIF($A:$A,$A1920,$L:$L)),0)</f>
        <v>4.9403669977649054E-15</v>
      </c>
      <c r="O1920" s="30">
        <f>IFERROR((VLOOKUP($A1920,HeadJournal!$A$1:$L$890,COLUMN(HeadJournal!L$1),0)*($K1920+$L1920)/(SUMIF($A:$A,$A1920,$K:$K)+SUMIF($A:$A,$A1920,$L:$L)))/VLOOKUP($A1920,HeadJournal!$A$1:$L$890,COLUMN(HeadJournal!H$1),0),0)</f>
        <v>0.76286371671674158</v>
      </c>
      <c r="P1920" s="30">
        <f>IFERROR(SUM(K1920:O1920)*VLOOKUP($A1920,HeadJournal!$A$1:$L$890,COLUMN(HeadJournal!H$1),0),0)</f>
        <v>1397.2320690363679</v>
      </c>
      <c r="Q1920" s="29">
        <v>2200</v>
      </c>
      <c r="R1920" s="31">
        <v>45289</v>
      </c>
      <c r="S1920" s="31" t="s">
        <v>3121</v>
      </c>
      <c r="T1920" s="95" t="str">
        <f t="shared" si="150"/>
        <v>2023 12</v>
      </c>
      <c r="U1920" s="32">
        <f t="shared" si="147"/>
        <v>802.76793096363212</v>
      </c>
      <c r="V1920" s="22">
        <f t="shared" si="148"/>
        <v>0.57454158743814032</v>
      </c>
      <c r="X1920" s="33"/>
      <c r="Y1920" s="33"/>
    </row>
    <row r="1921" spans="1:25" x14ac:dyDescent="0.2">
      <c r="A1921" s="93" t="s">
        <v>870</v>
      </c>
      <c r="B1921" s="94" t="str">
        <f>IFERROR(VLOOKUP($A1921,HeadJournal!$A$1:$NTR$890,COLUMN(HeadJournal!B$1),0),"")</f>
        <v>710000895722</v>
      </c>
      <c r="C1921" s="94" t="str">
        <f>IFERROR(VLOOKUP($A1921,HeadJournal!$A$1:$NTR$890,COLUMN(HeadJournal!C$1),0),"")</f>
        <v>iHerb_MH DLE7202</v>
      </c>
      <c r="D1921" s="125" t="str">
        <f>IFERROR(VLOOKUP($A1921,HeadJournal!$A$1:$NTR$890,COLUMN(HeadJournal!D$1),0),"")</f>
        <v>Доставлен</v>
      </c>
      <c r="E1921" s="95">
        <f>IFERROR(VLOOKUP($A1921,HeadJournal!$A$1:$NTR$890,COLUMN(HeadJournal!G$1),0),"")</f>
        <v>45132</v>
      </c>
      <c r="F1921" s="95" t="str">
        <f t="shared" si="149"/>
        <v>2023 07</v>
      </c>
      <c r="G1921" s="96" t="s">
        <v>5</v>
      </c>
      <c r="H1921" s="160" t="str">
        <f>RIGHT(Journal!$J1921,9)</f>
        <v>JRW-09002</v>
      </c>
      <c r="I1921" s="96" t="str">
        <f t="shared" si="151"/>
        <v>Jarrow Formulas</v>
      </c>
      <c r="J1921" s="97" t="s">
        <v>871</v>
      </c>
      <c r="K1921" s="29">
        <v>15.68</v>
      </c>
      <c r="L1921" s="29">
        <v>-2.35</v>
      </c>
      <c r="M1921" s="30">
        <f>IFERROR(VLOOKUP($A1921,HeadJournal!$A$1:$J$890,COLUMN(HeadJournal!I$1),0)*($K1921+$L1921)/(SUMIF($A:$A,$A1921,$K:$K)+SUMIF($A:$A,$A1921,$L:$L)),0)</f>
        <v>-0.94764331210191111</v>
      </c>
      <c r="N1921" s="30">
        <f>IFERROR((VLOOKUP($A1921,HeadJournal!$A$1:$K$890,COLUMN(HeadJournal!K$1),0)-VLOOKUP($A1921,HeadJournal!$A$1:$K$890,COLUMN(HeadJournal!J$1),0))*($K1921+$L1921)/(SUMIF($A:$A,$A1921,$K:$K)+SUMIF($A:$A,$A1921,$L:$L)),0)</f>
        <v>4.6705739063976026E-15</v>
      </c>
      <c r="O1921" s="30">
        <f>IFERROR((VLOOKUP($A1921,HeadJournal!$A$1:$L$890,COLUMN(HeadJournal!L$1),0)*($K1921+$L1921)/(SUMIF($A:$A,$A1921,$K:$K)+SUMIF($A:$A,$A1921,$L:$L)))/VLOOKUP($A1921,HeadJournal!$A$1:$L$890,COLUMN(HeadJournal!H$1),0),0)</f>
        <v>0.72120378325065004</v>
      </c>
      <c r="P1921" s="30">
        <f>IFERROR(SUM(K1921:O1921)*VLOOKUP($A1921,HeadJournal!$A$1:$L$890,COLUMN(HeadJournal!H$1),0),0)</f>
        <v>1320.9293248407648</v>
      </c>
      <c r="Q1921" s="29">
        <v>1700</v>
      </c>
      <c r="R1921" s="31">
        <v>45221</v>
      </c>
      <c r="S1921" s="31" t="s">
        <v>3121</v>
      </c>
      <c r="T1921" s="95" t="str">
        <f t="shared" si="150"/>
        <v>2023 10</v>
      </c>
      <c r="U1921" s="32">
        <f t="shared" ref="U1921:U1984" si="152">Q1921-P1921</f>
        <v>379.07067515923518</v>
      </c>
      <c r="V1921" s="22">
        <f t="shared" ref="V1921:V1984" si="153">IF(Q1921&lt;&gt;0,IFERROR(U1921/P1921,""),"")</f>
        <v>0.28697271536834973</v>
      </c>
      <c r="X1921" s="33"/>
      <c r="Y1921" s="33"/>
    </row>
    <row r="1922" spans="1:25" x14ac:dyDescent="0.2">
      <c r="A1922" s="93" t="s">
        <v>870</v>
      </c>
      <c r="B1922" s="94" t="str">
        <f>IFERROR(VLOOKUP($A1922,HeadJournal!$A$1:$NTR$890,COLUMN(HeadJournal!B$1),0),"")</f>
        <v>710000895722</v>
      </c>
      <c r="C1922" s="94" t="str">
        <f>IFERROR(VLOOKUP($A1922,HeadJournal!$A$1:$NTR$890,COLUMN(HeadJournal!C$1),0),"")</f>
        <v>iHerb_MH DLE7202</v>
      </c>
      <c r="D1922" s="125" t="str">
        <f>IFERROR(VLOOKUP($A1922,HeadJournal!$A$1:$NTR$890,COLUMN(HeadJournal!D$1),0),"")</f>
        <v>Доставлен</v>
      </c>
      <c r="E1922" s="95">
        <f>IFERROR(VLOOKUP($A1922,HeadJournal!$A$1:$NTR$890,COLUMN(HeadJournal!G$1),0),"")</f>
        <v>45132</v>
      </c>
      <c r="F1922" s="95" t="str">
        <f t="shared" si="149"/>
        <v>2023 07</v>
      </c>
      <c r="G1922" s="96" t="s">
        <v>5</v>
      </c>
      <c r="H1922" s="160" t="str">
        <f>RIGHT(Journal!$J1922,9)</f>
        <v>CEN-27438</v>
      </c>
      <c r="I1922" s="96" t="str">
        <f t="shared" si="151"/>
        <v>21st Century</v>
      </c>
      <c r="J1922" s="97" t="s">
        <v>872</v>
      </c>
      <c r="K1922" s="29">
        <v>24.86</v>
      </c>
      <c r="L1922" s="29">
        <v>-3.72</v>
      </c>
      <c r="M1922" s="30">
        <f>IFERROR(VLOOKUP($A1922,HeadJournal!$A$1:$J$890,COLUMN(HeadJournal!I$1),0)*($K1922+$L1922)/(SUMIF($A:$A,$A1922,$K:$K)+SUMIF($A:$A,$A1922,$L:$L)),0)</f>
        <v>-1.5028641873844262</v>
      </c>
      <c r="N1922" s="30">
        <f>IFERROR((VLOOKUP($A1922,HeadJournal!$A$1:$K$890,COLUMN(HeadJournal!K$1),0)-VLOOKUP($A1922,HeadJournal!$A$1:$K$890,COLUMN(HeadJournal!J$1),0))*($K1922+$L1922)/(SUMIF($A:$A,$A1922,$K:$K)+SUMIF($A:$A,$A1922,$L:$L)),0)</f>
        <v>7.4070466902659646E-15</v>
      </c>
      <c r="O1922" s="30">
        <f>IFERROR((VLOOKUP($A1922,HeadJournal!$A$1:$L$890,COLUMN(HeadJournal!L$1),0)*($K1922+$L1922)/(SUMIF($A:$A,$A1922,$K:$K)+SUMIF($A:$A,$A1922,$L:$L)))/VLOOKUP($A1922,HeadJournal!$A$1:$L$890,COLUMN(HeadJournal!H$1),0),0)</f>
        <v>1.1437545369781503</v>
      </c>
      <c r="P1922" s="30">
        <f>IFERROR(SUM(K1922:O1922)*VLOOKUP($A1922,HeadJournal!$A$1:$L$890,COLUMN(HeadJournal!H$1),0),0)</f>
        <v>2094.8571588247391</v>
      </c>
      <c r="Q1922" s="29">
        <v>3100</v>
      </c>
      <c r="R1922" s="31">
        <v>45222</v>
      </c>
      <c r="S1922" s="31" t="s">
        <v>3121</v>
      </c>
      <c r="T1922" s="95" t="str">
        <f t="shared" si="150"/>
        <v>2023 10</v>
      </c>
      <c r="U1922" s="32">
        <f t="shared" si="152"/>
        <v>1005.1428411752609</v>
      </c>
      <c r="V1922" s="22">
        <f t="shared" si="153"/>
        <v>0.47981450044983881</v>
      </c>
      <c r="X1922" s="33"/>
      <c r="Y1922" s="33"/>
    </row>
    <row r="1923" spans="1:25" x14ac:dyDescent="0.2">
      <c r="A1923" s="93" t="s">
        <v>870</v>
      </c>
      <c r="B1923" s="94" t="str">
        <f>IFERROR(VLOOKUP($A1923,HeadJournal!$A$1:$NTR$890,COLUMN(HeadJournal!B$1),0),"")</f>
        <v>710000895722</v>
      </c>
      <c r="C1923" s="94" t="str">
        <f>IFERROR(VLOOKUP($A1923,HeadJournal!$A$1:$NTR$890,COLUMN(HeadJournal!C$1),0),"")</f>
        <v>iHerb_MH DLE7202</v>
      </c>
      <c r="D1923" s="125" t="str">
        <f>IFERROR(VLOOKUP($A1923,HeadJournal!$A$1:$NTR$890,COLUMN(HeadJournal!D$1),0),"")</f>
        <v>Доставлен</v>
      </c>
      <c r="E1923" s="95">
        <f>IFERROR(VLOOKUP($A1923,HeadJournal!$A$1:$NTR$890,COLUMN(HeadJournal!G$1),0),"")</f>
        <v>45132</v>
      </c>
      <c r="F1923" s="95" t="str">
        <f t="shared" si="149"/>
        <v>2023 07</v>
      </c>
      <c r="G1923" s="96" t="s">
        <v>6</v>
      </c>
      <c r="H1923" s="160" t="str">
        <f>RIGHT(Journal!$J1923,9)</f>
        <v>NOW-02038</v>
      </c>
      <c r="I1923" s="96" t="str">
        <f t="shared" si="151"/>
        <v>NOW Foods</v>
      </c>
      <c r="J1923" s="97" t="s">
        <v>681</v>
      </c>
      <c r="K1923" s="29">
        <v>34.659999999999997</v>
      </c>
      <c r="L1923" s="29">
        <v>-5.19</v>
      </c>
      <c r="M1923" s="30">
        <f>IFERROR(VLOOKUP($A1923,HeadJournal!$A$1:$J$890,COLUMN(HeadJournal!I$1),0)*($K1923+$L1923)/(SUMIF($A:$A,$A1923,$K:$K)+SUMIF($A:$A,$A1923,$L:$L)),0)</f>
        <v>-2.0950523936716667</v>
      </c>
      <c r="N1923" s="30">
        <f>IFERROR((VLOOKUP($A1923,HeadJournal!$A$1:$K$890,COLUMN(HeadJournal!K$1),0)-VLOOKUP($A1923,HeadJournal!$A$1:$K$890,COLUMN(HeadJournal!J$1),0))*($K1923+$L1923)/(SUMIF($A:$A,$A1923,$K:$K)+SUMIF($A:$A,$A1923,$L:$L)),0)</f>
        <v>1.0325717405966791E-14</v>
      </c>
      <c r="O1923" s="30">
        <f>IFERROR((VLOOKUP($A1923,HeadJournal!$A$1:$L$890,COLUMN(HeadJournal!L$1),0)*($K1923+$L1923)/(SUMIF($A:$A,$A1923,$K:$K)+SUMIF($A:$A,$A1923,$L:$L)))/VLOOKUP($A1923,HeadJournal!$A$1:$L$890,COLUMN(HeadJournal!H$1),0),0)</f>
        <v>1.5944392717476861</v>
      </c>
      <c r="P1923" s="30">
        <f>IFERROR(SUM(K1923:O1923)*VLOOKUP($A1923,HeadJournal!$A$1:$L$890,COLUMN(HeadJournal!H$1),0),0)</f>
        <v>2920.3141187589895</v>
      </c>
      <c r="Q1923" s="29">
        <v>3800</v>
      </c>
      <c r="R1923" s="31">
        <v>45173</v>
      </c>
      <c r="S1923" s="31" t="s">
        <v>3121</v>
      </c>
      <c r="T1923" s="95" t="str">
        <f t="shared" si="150"/>
        <v>2023 09</v>
      </c>
      <c r="U1923" s="32">
        <f t="shared" si="152"/>
        <v>879.68588124101052</v>
      </c>
      <c r="V1923" s="22">
        <f t="shared" si="153"/>
        <v>0.3012298833164016</v>
      </c>
      <c r="X1923" s="33"/>
      <c r="Y1923" s="33"/>
    </row>
    <row r="1924" spans="1:25" x14ac:dyDescent="0.2">
      <c r="A1924" s="93" t="s">
        <v>870</v>
      </c>
      <c r="B1924" s="94" t="str">
        <f>IFERROR(VLOOKUP($A1924,HeadJournal!$A$1:$NTR$890,COLUMN(HeadJournal!B$1),0),"")</f>
        <v>710000895722</v>
      </c>
      <c r="C1924" s="94" t="str">
        <f>IFERROR(VLOOKUP($A1924,HeadJournal!$A$1:$NTR$890,COLUMN(HeadJournal!C$1),0),"")</f>
        <v>iHerb_MH DLE7202</v>
      </c>
      <c r="D1924" s="125" t="str">
        <f>IFERROR(VLOOKUP($A1924,HeadJournal!$A$1:$NTR$890,COLUMN(HeadJournal!D$1),0),"")</f>
        <v>Доставлен</v>
      </c>
      <c r="E1924" s="95">
        <f>IFERROR(VLOOKUP($A1924,HeadJournal!$A$1:$NTR$890,COLUMN(HeadJournal!G$1),0),"")</f>
        <v>45132</v>
      </c>
      <c r="F1924" s="95" t="str">
        <f t="shared" ref="F1924:F1987" si="154">IFERROR(TEXT(E1924, "ГГГГ ММ"),"")</f>
        <v>2023 07</v>
      </c>
      <c r="G1924" s="96" t="s">
        <v>5</v>
      </c>
      <c r="H1924" s="160" t="str">
        <f>RIGHT(Journal!$J1924,9)</f>
        <v>NOW-02008</v>
      </c>
      <c r="I1924" s="96" t="str">
        <f t="shared" si="151"/>
        <v>NOW Foods</v>
      </c>
      <c r="J1924" s="97" t="s">
        <v>773</v>
      </c>
      <c r="K1924" s="29">
        <v>22.72</v>
      </c>
      <c r="L1924" s="29">
        <v>-3.4</v>
      </c>
      <c r="M1924" s="30">
        <f>IFERROR(VLOOKUP($A1924,HeadJournal!$A$1:$J$890,COLUMN(HeadJournal!I$1),0)*($K1924+$L1924)/(SUMIF($A:$A,$A1924,$K:$K)+SUMIF($A:$A,$A1924,$L:$L)),0)</f>
        <v>-1.3734785288678864</v>
      </c>
      <c r="N1924" s="30">
        <f>IFERROR((VLOOKUP($A1924,HeadJournal!$A$1:$K$890,COLUMN(HeadJournal!K$1),0)-VLOOKUP($A1924,HeadJournal!$A$1:$K$890,COLUMN(HeadJournal!J$1),0))*($K1924+$L1924)/(SUMIF($A:$A,$A1924,$K:$K)+SUMIF($A:$A,$A1924,$L:$L)),0)</f>
        <v>6.7693539288523394E-15</v>
      </c>
      <c r="O1924" s="30">
        <f>IFERROR((VLOOKUP($A1924,HeadJournal!$A$1:$L$890,COLUMN(HeadJournal!L$1),0)*($K1924+$L1924)/(SUMIF($A:$A,$A1924,$K:$K)+SUMIF($A:$A,$A1924,$L:$L)))/VLOOKUP($A1924,HeadJournal!$A$1:$L$890,COLUMN(HeadJournal!H$1),0),0)</f>
        <v>1.0452856033310247</v>
      </c>
      <c r="P1924" s="30">
        <f>IFERROR(SUM(K1924:O1924)*VLOOKUP($A1924,HeadJournal!$A$1:$L$890,COLUMN(HeadJournal!H$1),0),0)</f>
        <v>1914.5052179987681</v>
      </c>
      <c r="Q1924" s="29">
        <v>1914.51</v>
      </c>
      <c r="R1924" s="31">
        <v>45231</v>
      </c>
      <c r="S1924" s="31" t="s">
        <v>3121</v>
      </c>
      <c r="T1924" s="95" t="str">
        <f t="shared" ref="T1924:T1987" si="155">IF(R1924="","",TEXT(R1924,"ГГГГ ММ"))</f>
        <v>2023 11</v>
      </c>
      <c r="U1924" s="32">
        <f t="shared" si="152"/>
        <v>4.782001231887989E-3</v>
      </c>
      <c r="V1924" s="22">
        <f t="shared" si="153"/>
        <v>2.4977739349734519E-6</v>
      </c>
      <c r="X1924" s="33"/>
      <c r="Y1924" s="33"/>
    </row>
    <row r="1925" spans="1:25" x14ac:dyDescent="0.2">
      <c r="A1925" s="93" t="s">
        <v>870</v>
      </c>
      <c r="B1925" s="94" t="str">
        <f>IFERROR(VLOOKUP($A1925,HeadJournal!$A$1:$NTR$890,COLUMN(HeadJournal!B$1),0),"")</f>
        <v>710000895722</v>
      </c>
      <c r="C1925" s="94" t="str">
        <f>IFERROR(VLOOKUP($A1925,HeadJournal!$A$1:$NTR$890,COLUMN(HeadJournal!C$1),0),"")</f>
        <v>iHerb_MH DLE7202</v>
      </c>
      <c r="D1925" s="125" t="str">
        <f>IFERROR(VLOOKUP($A1925,HeadJournal!$A$1:$NTR$890,COLUMN(HeadJournal!D$1),0),"")</f>
        <v>Доставлен</v>
      </c>
      <c r="E1925" s="95">
        <f>IFERROR(VLOOKUP($A1925,HeadJournal!$A$1:$NTR$890,COLUMN(HeadJournal!G$1),0),"")</f>
        <v>45132</v>
      </c>
      <c r="F1925" s="95" t="str">
        <f t="shared" si="154"/>
        <v>2023 07</v>
      </c>
      <c r="G1925" s="96" t="s">
        <v>6</v>
      </c>
      <c r="H1925" s="160" t="str">
        <f>RIGHT(Journal!$J1925,9)</f>
        <v>OPN-05223</v>
      </c>
      <c r="I1925" s="96" t="str">
        <f t="shared" si="151"/>
        <v>Optimum Nutrition</v>
      </c>
      <c r="J1925" s="97" t="s">
        <v>836</v>
      </c>
      <c r="K1925" s="29">
        <v>36.56</v>
      </c>
      <c r="L1925" s="29">
        <v>-5.48</v>
      </c>
      <c r="M1925" s="30">
        <f>IFERROR(VLOOKUP($A1925,HeadJournal!$A$1:$J$890,COLUMN(HeadJournal!I$1),0)*($K1925+$L1925)/(SUMIF($A:$A,$A1925,$K:$K)+SUMIF($A:$A,$A1925,$L:$L)),0)</f>
        <v>-2.2095089377439909</v>
      </c>
      <c r="N1925" s="30">
        <f>IFERROR((VLOOKUP($A1925,HeadJournal!$A$1:$K$890,COLUMN(HeadJournal!K$1),0)-VLOOKUP($A1925,HeadJournal!$A$1:$K$890,COLUMN(HeadJournal!J$1),0))*($K1925+$L1925)/(SUMIF($A:$A,$A1925,$K:$K)+SUMIF($A:$A,$A1925,$L:$L)),0)</f>
        <v>1.0889830233371155E-14</v>
      </c>
      <c r="O1925" s="30">
        <f>IFERROR((VLOOKUP($A1925,HeadJournal!$A$1:$L$890,COLUMN(HeadJournal!L$1),0)*($K1925+$L1925)/(SUMIF($A:$A,$A1925,$K:$K)+SUMIF($A:$A,$A1925,$L:$L)))/VLOOKUP($A1925,HeadJournal!$A$1:$L$890,COLUMN(HeadJournal!H$1),0),0)</f>
        <v>1.6815464053586051</v>
      </c>
      <c r="P1925" s="30">
        <f>IFERROR(SUM(K1925:O1925)*VLOOKUP($A1925,HeadJournal!$A$1:$L$890,COLUMN(HeadJournal!H$1),0),0)</f>
        <v>3079.8562202588878</v>
      </c>
      <c r="Q1925" s="29">
        <v>3900</v>
      </c>
      <c r="R1925" s="31">
        <v>45173</v>
      </c>
      <c r="S1925" s="31" t="s">
        <v>3121</v>
      </c>
      <c r="T1925" s="95" t="str">
        <f t="shared" si="155"/>
        <v>2023 09</v>
      </c>
      <c r="U1925" s="32">
        <f t="shared" si="152"/>
        <v>820.14377974111221</v>
      </c>
      <c r="V1925" s="22">
        <f t="shared" si="153"/>
        <v>0.26629287898127019</v>
      </c>
      <c r="X1925" s="33"/>
      <c r="Y1925" s="33"/>
    </row>
    <row r="1926" spans="1:25" x14ac:dyDescent="0.2">
      <c r="A1926" s="93" t="s">
        <v>870</v>
      </c>
      <c r="B1926" s="94" t="str">
        <f>IFERROR(VLOOKUP($A1926,HeadJournal!$A$1:$NTR$890,COLUMN(HeadJournal!B$1),0),"")</f>
        <v>710000895722</v>
      </c>
      <c r="C1926" s="94" t="str">
        <f>IFERROR(VLOOKUP($A1926,HeadJournal!$A$1:$NTR$890,COLUMN(HeadJournal!C$1),0),"")</f>
        <v>iHerb_MH DLE7202</v>
      </c>
      <c r="D1926" s="125" t="str">
        <f>IFERROR(VLOOKUP($A1926,HeadJournal!$A$1:$NTR$890,COLUMN(HeadJournal!D$1),0),"")</f>
        <v>Доставлен</v>
      </c>
      <c r="E1926" s="95">
        <f>IFERROR(VLOOKUP($A1926,HeadJournal!$A$1:$NTR$890,COLUMN(HeadJournal!G$1),0),"")</f>
        <v>45132</v>
      </c>
      <c r="F1926" s="95" t="str">
        <f t="shared" si="154"/>
        <v>2023 07</v>
      </c>
      <c r="G1926" s="96" t="s">
        <v>5</v>
      </c>
      <c r="H1926" s="160" t="str">
        <f>RIGHT(Journal!$J1926,9)</f>
        <v>SNS-01295</v>
      </c>
      <c r="I1926" s="96" t="str">
        <f t="shared" si="151"/>
        <v>Source Naturals</v>
      </c>
      <c r="J1926" s="97" t="s">
        <v>873</v>
      </c>
      <c r="K1926" s="29">
        <v>30.7</v>
      </c>
      <c r="L1926" s="29">
        <v>-12.7</v>
      </c>
      <c r="M1926" s="30">
        <f>IFERROR(VLOOKUP($A1926,HeadJournal!$A$1:$J$890,COLUMN(HeadJournal!I$1),0)*($K1926+$L1926)/(SUMIF($A:$A,$A1926,$K:$K)+SUMIF($A:$A,$A1926,$L:$L)),0)</f>
        <v>-1.2796383809328133</v>
      </c>
      <c r="N1926" s="30">
        <f>IFERROR((VLOOKUP($A1926,HeadJournal!$A$1:$K$890,COLUMN(HeadJournal!K$1),0)-VLOOKUP($A1926,HeadJournal!$A$1:$K$890,COLUMN(HeadJournal!J$1),0))*($K1926+$L1926)/(SUMIF($A:$A,$A1926,$K:$K)+SUMIF($A:$A,$A1926,$L:$L)),0)</f>
        <v>6.3068514865083905E-15</v>
      </c>
      <c r="O1926" s="30">
        <f>IFERROR((VLOOKUP($A1926,HeadJournal!$A$1:$L$890,COLUMN(HeadJournal!L$1),0)*($K1926+$L1926)/(SUMIF($A:$A,$A1926,$K:$K)+SUMIF($A:$A,$A1926,$L:$L)))/VLOOKUP($A1926,HeadJournal!$A$1:$L$890,COLUMN(HeadJournal!H$1),0),0)</f>
        <v>0.97386857453201059</v>
      </c>
      <c r="P1926" s="30">
        <f>IFERROR(SUM(K1926:O1926)*VLOOKUP($A1926,HeadJournal!$A$1:$L$890,COLUMN(HeadJournal!H$1),0),0)</f>
        <v>1783.7005136634484</v>
      </c>
      <c r="Q1926" s="29">
        <v>3500</v>
      </c>
      <c r="R1926" s="31">
        <v>45302</v>
      </c>
      <c r="S1926" s="31" t="s">
        <v>3121</v>
      </c>
      <c r="T1926" s="95" t="str">
        <f t="shared" si="155"/>
        <v>2024 01</v>
      </c>
      <c r="U1926" s="32">
        <f t="shared" si="152"/>
        <v>1716.2994863365516</v>
      </c>
      <c r="V1926" s="22">
        <f t="shared" si="153"/>
        <v>0.96221281161798544</v>
      </c>
      <c r="X1926" s="33"/>
      <c r="Y1926" s="33"/>
    </row>
    <row r="1927" spans="1:25" x14ac:dyDescent="0.2">
      <c r="A1927" s="93" t="s">
        <v>870</v>
      </c>
      <c r="B1927" s="94" t="str">
        <f>IFERROR(VLOOKUP($A1927,HeadJournal!$A$1:$NTR$890,COLUMN(HeadJournal!B$1),0),"")</f>
        <v>710000895722</v>
      </c>
      <c r="C1927" s="94" t="str">
        <f>IFERROR(VLOOKUP($A1927,HeadJournal!$A$1:$NTR$890,COLUMN(HeadJournal!C$1),0),"")</f>
        <v>iHerb_MH DLE7202</v>
      </c>
      <c r="D1927" s="125" t="str">
        <f>IFERROR(VLOOKUP($A1927,HeadJournal!$A$1:$NTR$890,COLUMN(HeadJournal!D$1),0),"")</f>
        <v>Доставлен</v>
      </c>
      <c r="E1927" s="95">
        <f>IFERROR(VLOOKUP($A1927,HeadJournal!$A$1:$NTR$890,COLUMN(HeadJournal!G$1),0),"")</f>
        <v>45132</v>
      </c>
      <c r="F1927" s="95" t="str">
        <f t="shared" si="154"/>
        <v>2023 07</v>
      </c>
      <c r="G1927" s="96" t="s">
        <v>5</v>
      </c>
      <c r="H1927" s="175" t="s">
        <v>3647</v>
      </c>
      <c r="I1927" s="176" t="s">
        <v>2042</v>
      </c>
      <c r="J1927" s="97" t="s">
        <v>3696</v>
      </c>
      <c r="K1927" s="29">
        <v>17.14</v>
      </c>
      <c r="L1927" s="29">
        <v>-2.57</v>
      </c>
      <c r="M1927" s="30">
        <f>IFERROR(VLOOKUP($A1927,HeadJournal!$A$1:$J$890,COLUMN(HeadJournal!I$1),0)*($K1927+$L1927)/(SUMIF($A:$A,$A1927,$K:$K)+SUMIF($A:$A,$A1927,$L:$L)),0)</f>
        <v>-1.0357961783439493</v>
      </c>
      <c r="N1927" s="30">
        <f>IFERROR((VLOOKUP($A1927,HeadJournal!$A$1:$K$890,COLUMN(HeadJournal!K$1),0)-VLOOKUP($A1927,HeadJournal!$A$1:$K$890,COLUMN(HeadJournal!J$1),0))*($K1927+$L1927)/(SUMIF($A:$A,$A1927,$K:$K)+SUMIF($A:$A,$A1927,$L:$L)),0)</f>
        <v>5.1050458976904026E-15</v>
      </c>
      <c r="O1927" s="30">
        <f>IFERROR((VLOOKUP($A1927,HeadJournal!$A$1:$L$890,COLUMN(HeadJournal!L$1),0)*($K1927+$L1927)/(SUMIF($A:$A,$A1927,$K:$K)+SUMIF($A:$A,$A1927,$L:$L)))/VLOOKUP($A1927,HeadJournal!$A$1:$L$890,COLUMN(HeadJournal!H$1),0),0)</f>
        <v>0.78829250727396638</v>
      </c>
      <c r="P1927" s="30">
        <f>IFERROR(SUM(K1927:O1927)*VLOOKUP($A1927,HeadJournal!$A$1:$L$890,COLUMN(HeadJournal!H$1),0),0)</f>
        <v>1443.8064713375804</v>
      </c>
      <c r="Q1927" s="29">
        <v>2300</v>
      </c>
      <c r="R1927" s="31">
        <v>45264</v>
      </c>
      <c r="S1927" s="31" t="s">
        <v>3121</v>
      </c>
      <c r="T1927" s="95" t="str">
        <f t="shared" si="155"/>
        <v>2023 12</v>
      </c>
      <c r="U1927" s="32">
        <f t="shared" si="152"/>
        <v>856.19352866241957</v>
      </c>
      <c r="V1927" s="22">
        <f t="shared" si="153"/>
        <v>0.5930112834784701</v>
      </c>
      <c r="X1927" s="33"/>
      <c r="Y1927" s="33"/>
    </row>
    <row r="1928" spans="1:25" x14ac:dyDescent="0.2">
      <c r="A1928" s="93" t="s">
        <v>870</v>
      </c>
      <c r="B1928" s="94" t="str">
        <f>IFERROR(VLOOKUP($A1928,HeadJournal!$A$1:$NTR$890,COLUMN(HeadJournal!B$1),0),"")</f>
        <v>710000895722</v>
      </c>
      <c r="C1928" s="94" t="str">
        <f>IFERROR(VLOOKUP($A1928,HeadJournal!$A$1:$NTR$890,COLUMN(HeadJournal!C$1),0),"")</f>
        <v>iHerb_MH DLE7202</v>
      </c>
      <c r="D1928" s="125" t="str">
        <f>IFERROR(VLOOKUP($A1928,HeadJournal!$A$1:$NTR$890,COLUMN(HeadJournal!D$1),0),"")</f>
        <v>Доставлен</v>
      </c>
      <c r="E1928" s="95">
        <f>IFERROR(VLOOKUP($A1928,HeadJournal!$A$1:$NTR$890,COLUMN(HeadJournal!G$1),0),"")</f>
        <v>45132</v>
      </c>
      <c r="F1928" s="95" t="str">
        <f t="shared" si="154"/>
        <v>2023 07</v>
      </c>
      <c r="G1928" s="96" t="s">
        <v>5</v>
      </c>
      <c r="H1928" s="175" t="s">
        <v>3647</v>
      </c>
      <c r="I1928" s="176" t="s">
        <v>2042</v>
      </c>
      <c r="J1928" s="97" t="s">
        <v>3696</v>
      </c>
      <c r="K1928" s="29">
        <v>17.14</v>
      </c>
      <c r="L1928" s="29">
        <v>-2.57</v>
      </c>
      <c r="M1928" s="30">
        <f>IFERROR(VLOOKUP($A1928,HeadJournal!$A$1:$J$890,COLUMN(HeadJournal!I$1),0)*($K1928+$L1928)/(SUMIF($A:$A,$A1928,$K:$K)+SUMIF($A:$A,$A1928,$L:$L)),0)</f>
        <v>-1.0357961783439493</v>
      </c>
      <c r="N1928" s="30">
        <f>IFERROR((VLOOKUP($A1928,HeadJournal!$A$1:$K$890,COLUMN(HeadJournal!K$1),0)-VLOOKUP($A1928,HeadJournal!$A$1:$K$890,COLUMN(HeadJournal!J$1),0))*($K1928+$L1928)/(SUMIF($A:$A,$A1928,$K:$K)+SUMIF($A:$A,$A1928,$L:$L)),0)</f>
        <v>5.1050458976904026E-15</v>
      </c>
      <c r="O1928" s="30">
        <f>IFERROR((VLOOKUP($A1928,HeadJournal!$A$1:$L$890,COLUMN(HeadJournal!L$1),0)*($K1928+$L1928)/(SUMIF($A:$A,$A1928,$K:$K)+SUMIF($A:$A,$A1928,$L:$L)))/VLOOKUP($A1928,HeadJournal!$A$1:$L$890,COLUMN(HeadJournal!H$1),0),0)</f>
        <v>0.78829250727396638</v>
      </c>
      <c r="P1928" s="30">
        <f>IFERROR(SUM(K1928:O1928)*VLOOKUP($A1928,HeadJournal!$A$1:$L$890,COLUMN(HeadJournal!H$1),0),0)</f>
        <v>1443.8064713375804</v>
      </c>
      <c r="Q1928" s="29">
        <v>2600</v>
      </c>
      <c r="R1928" s="31">
        <v>45350</v>
      </c>
      <c r="S1928" s="31" t="s">
        <v>3121</v>
      </c>
      <c r="T1928" s="95" t="str">
        <f t="shared" si="155"/>
        <v>2024 02</v>
      </c>
      <c r="U1928" s="32">
        <f t="shared" si="152"/>
        <v>1156.1935286624196</v>
      </c>
      <c r="V1928" s="22">
        <f t="shared" si="153"/>
        <v>0.80079536393218365</v>
      </c>
      <c r="X1928" s="33"/>
      <c r="Y1928" s="33"/>
    </row>
    <row r="1929" spans="1:25" x14ac:dyDescent="0.2">
      <c r="A1929" s="93" t="s">
        <v>870</v>
      </c>
      <c r="B1929" s="94" t="str">
        <f>IFERROR(VLOOKUP($A1929,HeadJournal!$A$1:$NTR$890,COLUMN(HeadJournal!B$1),0),"")</f>
        <v>710000895722</v>
      </c>
      <c r="C1929" s="94" t="str">
        <f>IFERROR(VLOOKUP($A1929,HeadJournal!$A$1:$NTR$890,COLUMN(HeadJournal!C$1),0),"")</f>
        <v>iHerb_MH DLE7202</v>
      </c>
      <c r="D1929" s="125" t="str">
        <f>IFERROR(VLOOKUP($A1929,HeadJournal!$A$1:$NTR$890,COLUMN(HeadJournal!D$1),0),"")</f>
        <v>Доставлен</v>
      </c>
      <c r="E1929" s="95">
        <f>IFERROR(VLOOKUP($A1929,HeadJournal!$A$1:$NTR$890,COLUMN(HeadJournal!G$1),0),"")</f>
        <v>45132</v>
      </c>
      <c r="F1929" s="95" t="str">
        <f t="shared" si="154"/>
        <v>2023 07</v>
      </c>
      <c r="G1929" s="96" t="s">
        <v>5</v>
      </c>
      <c r="H1929" s="175" t="s">
        <v>3647</v>
      </c>
      <c r="I1929" s="176" t="s">
        <v>2042</v>
      </c>
      <c r="J1929" s="97" t="s">
        <v>3696</v>
      </c>
      <c r="K1929" s="29">
        <v>17.14</v>
      </c>
      <c r="L1929" s="29">
        <v>-2.57</v>
      </c>
      <c r="M1929" s="30">
        <f>IFERROR(VLOOKUP($A1929,HeadJournal!$A$1:$J$890,COLUMN(HeadJournal!I$1),0)*($K1929+$L1929)/(SUMIF($A:$A,$A1929,$K:$K)+SUMIF($A:$A,$A1929,$L:$L)),0)</f>
        <v>-1.0357961783439493</v>
      </c>
      <c r="N1929" s="30">
        <f>IFERROR((VLOOKUP($A1929,HeadJournal!$A$1:$K$890,COLUMN(HeadJournal!K$1),0)-VLOOKUP($A1929,HeadJournal!$A$1:$K$890,COLUMN(HeadJournal!J$1),0))*($K1929+$L1929)/(SUMIF($A:$A,$A1929,$K:$K)+SUMIF($A:$A,$A1929,$L:$L)),0)</f>
        <v>5.1050458976904026E-15</v>
      </c>
      <c r="O1929" s="30">
        <f>IFERROR((VLOOKUP($A1929,HeadJournal!$A$1:$L$890,COLUMN(HeadJournal!L$1),0)*($K1929+$L1929)/(SUMIF($A:$A,$A1929,$K:$K)+SUMIF($A:$A,$A1929,$L:$L)))/VLOOKUP($A1929,HeadJournal!$A$1:$L$890,COLUMN(HeadJournal!H$1),0),0)</f>
        <v>0.78829250727396638</v>
      </c>
      <c r="P1929" s="30">
        <f>IFERROR(SUM(K1929:O1929)*VLOOKUP($A1929,HeadJournal!$A$1:$L$890,COLUMN(HeadJournal!H$1),0),0)</f>
        <v>1443.8064713375804</v>
      </c>
      <c r="Q1929" s="29">
        <v>2500</v>
      </c>
      <c r="R1929" s="31">
        <v>45430</v>
      </c>
      <c r="S1929" s="31" t="s">
        <v>3121</v>
      </c>
      <c r="T1929" s="95" t="str">
        <f t="shared" si="155"/>
        <v>2024 05</v>
      </c>
      <c r="U1929" s="32">
        <f t="shared" si="152"/>
        <v>1056.1935286624196</v>
      </c>
      <c r="V1929" s="22">
        <f t="shared" si="153"/>
        <v>0.7315340037809458</v>
      </c>
      <c r="X1929" s="33"/>
      <c r="Y1929" s="33"/>
    </row>
    <row r="1930" spans="1:25" x14ac:dyDescent="0.2">
      <c r="A1930" s="93" t="s">
        <v>870</v>
      </c>
      <c r="B1930" s="94" t="str">
        <f>IFERROR(VLOOKUP($A1930,HeadJournal!$A$1:$NTR$890,COLUMN(HeadJournal!B$1),0),"")</f>
        <v>710000895722</v>
      </c>
      <c r="C1930" s="94" t="str">
        <f>IFERROR(VLOOKUP($A1930,HeadJournal!$A$1:$NTR$890,COLUMN(HeadJournal!C$1),0),"")</f>
        <v>iHerb_MH DLE7202</v>
      </c>
      <c r="D1930" s="125" t="str">
        <f>IFERROR(VLOOKUP($A1930,HeadJournal!$A$1:$NTR$890,COLUMN(HeadJournal!D$1),0),"")</f>
        <v>Доставлен</v>
      </c>
      <c r="E1930" s="95">
        <f>IFERROR(VLOOKUP($A1930,HeadJournal!$A$1:$NTR$890,COLUMN(HeadJournal!G$1),0),"")</f>
        <v>45132</v>
      </c>
      <c r="F1930" s="95" t="str">
        <f t="shared" si="154"/>
        <v>2023 07</v>
      </c>
      <c r="G1930" s="96" t="s">
        <v>5</v>
      </c>
      <c r="H1930" s="161" t="s">
        <v>2089</v>
      </c>
      <c r="I1930" s="97" t="s">
        <v>2005</v>
      </c>
      <c r="J1930" s="97" t="s">
        <v>3781</v>
      </c>
      <c r="K1930" s="29">
        <v>23</v>
      </c>
      <c r="L1930" s="29">
        <v>-3.45</v>
      </c>
      <c r="M1930" s="30">
        <f>IFERROR(VLOOKUP($A1930,HeadJournal!$A$1:$J$890,COLUMN(HeadJournal!I$1),0)*($K1930+$L1930)/(SUMIF($A:$A,$A1930,$K:$K)+SUMIF($A:$A,$A1930,$L:$L)),0)</f>
        <v>-1.389829463735361</v>
      </c>
      <c r="N1930" s="30">
        <f>IFERROR((VLOOKUP($A1930,HeadJournal!$A$1:$K$890,COLUMN(HeadJournal!K$1),0)-VLOOKUP($A1930,HeadJournal!$A$1:$K$890,COLUMN(HeadJournal!J$1),0))*($K1930+$L1930)/(SUMIF($A:$A,$A1930,$K:$K)+SUMIF($A:$A,$A1930,$L:$L)),0)</f>
        <v>6.8499414756243913E-15</v>
      </c>
      <c r="O1930" s="30">
        <f>IFERROR((VLOOKUP($A1930,HeadJournal!$A$1:$L$890,COLUMN(HeadJournal!L$1),0)*($K1930+$L1930)/(SUMIF($A:$A,$A1930,$K:$K)+SUMIF($A:$A,$A1930,$L:$L)))/VLOOKUP($A1930,HeadJournal!$A$1:$L$890,COLUMN(HeadJournal!H$1),0),0)</f>
        <v>1.057729479561156</v>
      </c>
      <c r="P1930" s="30">
        <f>IFERROR(SUM(K1930:O1930)*VLOOKUP($A1930,HeadJournal!$A$1:$L$890,COLUMN(HeadJournal!H$1),0),0)</f>
        <v>1937.2969467844678</v>
      </c>
      <c r="Q1930" s="29">
        <v>2800</v>
      </c>
      <c r="R1930" s="31">
        <v>45173</v>
      </c>
      <c r="S1930" s="31" t="s">
        <v>3121</v>
      </c>
      <c r="T1930" s="95" t="str">
        <f t="shared" si="155"/>
        <v>2023 09</v>
      </c>
      <c r="U1930" s="32">
        <f t="shared" si="152"/>
        <v>862.70305321553224</v>
      </c>
      <c r="V1930" s="22">
        <f t="shared" si="153"/>
        <v>0.44531276149866944</v>
      </c>
      <c r="X1930" s="33"/>
      <c r="Y1930" s="33"/>
    </row>
    <row r="1931" spans="1:25" x14ac:dyDescent="0.2">
      <c r="A1931" s="93" t="s">
        <v>870</v>
      </c>
      <c r="B1931" s="94" t="str">
        <f>IFERROR(VLOOKUP($A1931,HeadJournal!$A$1:$NTR$890,COLUMN(HeadJournal!B$1),0),"")</f>
        <v>710000895722</v>
      </c>
      <c r="C1931" s="94" t="str">
        <f>IFERROR(VLOOKUP($A1931,HeadJournal!$A$1:$NTR$890,COLUMN(HeadJournal!C$1),0),"")</f>
        <v>iHerb_MH DLE7202</v>
      </c>
      <c r="D1931" s="125" t="str">
        <f>IFERROR(VLOOKUP($A1931,HeadJournal!$A$1:$NTR$890,COLUMN(HeadJournal!D$1),0),"")</f>
        <v>Доставлен</v>
      </c>
      <c r="E1931" s="95">
        <f>IFERROR(VLOOKUP($A1931,HeadJournal!$A$1:$NTR$890,COLUMN(HeadJournal!G$1),0),"")</f>
        <v>45132</v>
      </c>
      <c r="F1931" s="95" t="str">
        <f t="shared" si="154"/>
        <v>2023 07</v>
      </c>
      <c r="G1931" s="96" t="s">
        <v>5</v>
      </c>
      <c r="H1931" s="161" t="s">
        <v>2089</v>
      </c>
      <c r="I1931" s="97" t="s">
        <v>2005</v>
      </c>
      <c r="J1931" s="97" t="s">
        <v>3781</v>
      </c>
      <c r="K1931" s="29">
        <v>23</v>
      </c>
      <c r="L1931" s="29">
        <v>-3.45</v>
      </c>
      <c r="M1931" s="30">
        <f>IFERROR(VLOOKUP($A1931,HeadJournal!$A$1:$J$890,COLUMN(HeadJournal!I$1),0)*($K1931+$L1931)/(SUMIF($A:$A,$A1931,$K:$K)+SUMIF($A:$A,$A1931,$L:$L)),0)</f>
        <v>-1.389829463735361</v>
      </c>
      <c r="N1931" s="30">
        <f>IFERROR((VLOOKUP($A1931,HeadJournal!$A$1:$K$890,COLUMN(HeadJournal!K$1),0)-VLOOKUP($A1931,HeadJournal!$A$1:$K$890,COLUMN(HeadJournal!J$1),0))*($K1931+$L1931)/(SUMIF($A:$A,$A1931,$K:$K)+SUMIF($A:$A,$A1931,$L:$L)),0)</f>
        <v>6.8499414756243913E-15</v>
      </c>
      <c r="O1931" s="30">
        <f>IFERROR((VLOOKUP($A1931,HeadJournal!$A$1:$L$890,COLUMN(HeadJournal!L$1),0)*($K1931+$L1931)/(SUMIF($A:$A,$A1931,$K:$K)+SUMIF($A:$A,$A1931,$L:$L)))/VLOOKUP($A1931,HeadJournal!$A$1:$L$890,COLUMN(HeadJournal!H$1),0),0)</f>
        <v>1.057729479561156</v>
      </c>
      <c r="P1931" s="30">
        <f>IFERROR(SUM(K1931:O1931)*VLOOKUP($A1931,HeadJournal!$A$1:$L$890,COLUMN(HeadJournal!H$1),0),0)</f>
        <v>1937.2969467844678</v>
      </c>
      <c r="Q1931" s="29">
        <v>3000</v>
      </c>
      <c r="R1931" s="31">
        <v>45197</v>
      </c>
      <c r="S1931" s="31" t="s">
        <v>3121</v>
      </c>
      <c r="T1931" s="95" t="str">
        <f t="shared" si="155"/>
        <v>2023 09</v>
      </c>
      <c r="U1931" s="32">
        <f t="shared" si="152"/>
        <v>1062.7030532155322</v>
      </c>
      <c r="V1931" s="22">
        <f t="shared" si="153"/>
        <v>0.54854938732000302</v>
      </c>
      <c r="X1931" s="33"/>
      <c r="Y1931" s="33"/>
    </row>
    <row r="1932" spans="1:25" x14ac:dyDescent="0.2">
      <c r="A1932" s="93" t="s">
        <v>874</v>
      </c>
      <c r="B1932" s="94" t="str">
        <f>IFERROR(VLOOKUP($A1932,HeadJournal!$A$1:$NTR$890,COLUMN(HeadJournal!B$1),0),"")</f>
        <v>710000910338</v>
      </c>
      <c r="C1932" s="94" t="str">
        <f>IFERROR(VLOOKUP($A1932,HeadJournal!$A$1:$NTR$890,COLUMN(HeadJournal!C$1),0),"")</f>
        <v>iHerb_AV CYG0792</v>
      </c>
      <c r="D1932" s="125" t="str">
        <f>IFERROR(VLOOKUP($A1932,HeadJournal!$A$1:$NTR$890,COLUMN(HeadJournal!D$1),0),"")</f>
        <v>Доставлен</v>
      </c>
      <c r="E1932" s="95">
        <f>IFERROR(VLOOKUP($A1932,HeadJournal!$A$1:$NTR$890,COLUMN(HeadJournal!G$1),0),"")</f>
        <v>45142</v>
      </c>
      <c r="F1932" s="95" t="str">
        <f t="shared" si="154"/>
        <v>2023 08</v>
      </c>
      <c r="G1932" s="96" t="s">
        <v>5</v>
      </c>
      <c r="H1932" s="160" t="str">
        <f>RIGHT(Journal!$J1932,9)</f>
        <v>TEO-00757</v>
      </c>
      <c r="I1932" s="96" t="str">
        <f t="shared" si="151"/>
        <v>Terra Origin</v>
      </c>
      <c r="J1932" s="97" t="s">
        <v>875</v>
      </c>
      <c r="K1932" s="29">
        <v>27.95</v>
      </c>
      <c r="L1932" s="29">
        <v>-5.59</v>
      </c>
      <c r="M1932" s="30">
        <f>IFERROR(VLOOKUP($A1932,HeadJournal!$A$1:$J$890,COLUMN(HeadJournal!I$1),0)*($K1932+$L1932)/(SUMIF($A:$A,$A1932,$K:$K)+SUMIF($A:$A,$A1932,$L:$L)),0)</f>
        <v>-1.9253395784543326</v>
      </c>
      <c r="N1932" s="30">
        <f>IFERROR((VLOOKUP($A1932,HeadJournal!$A$1:$K$890,COLUMN(HeadJournal!K$1),0)-VLOOKUP($A1932,HeadJournal!$A$1:$K$890,COLUMN(HeadJournal!J$1),0))*($K1932+$L1932)/(SUMIF($A:$A,$A1932,$K:$K)+SUMIF($A:$A,$A1932,$L:$L)),0)</f>
        <v>3.4611917807517764E-15</v>
      </c>
      <c r="O1932" s="30">
        <f>IFERROR((VLOOKUP($A1932,HeadJournal!$A$1:$L$890,COLUMN(HeadJournal!L$1),0)*($K1932+$L1932)/(SUMIF($A:$A,$A1932,$K:$K)+SUMIF($A:$A,$A1932,$L:$L)))/VLOOKUP($A1932,HeadJournal!$A$1:$L$890,COLUMN(HeadJournal!H$1),0),0)</f>
        <v>1.4788340936116586</v>
      </c>
      <c r="P1932" s="30">
        <f>IFERROR(SUM(K1932:O1932)*VLOOKUP($A1932,HeadJournal!$A$1:$L$890,COLUMN(HeadJournal!H$1),0),0)</f>
        <v>2250.826697892272</v>
      </c>
      <c r="Q1932" s="29">
        <v>2900</v>
      </c>
      <c r="R1932" s="31">
        <v>45167</v>
      </c>
      <c r="S1932" s="31" t="s">
        <v>3121</v>
      </c>
      <c r="T1932" s="95" t="str">
        <f t="shared" si="155"/>
        <v>2023 08</v>
      </c>
      <c r="U1932" s="32">
        <f t="shared" si="152"/>
        <v>649.17330210772798</v>
      </c>
      <c r="V1932" s="22">
        <f t="shared" si="153"/>
        <v>0.28841549761055768</v>
      </c>
      <c r="X1932" s="33"/>
      <c r="Y1932" s="33"/>
    </row>
    <row r="1933" spans="1:25" x14ac:dyDescent="0.2">
      <c r="A1933" s="93" t="s">
        <v>874</v>
      </c>
      <c r="B1933" s="94" t="str">
        <f>IFERROR(VLOOKUP($A1933,HeadJournal!$A$1:$NTR$890,COLUMN(HeadJournal!B$1),0),"")</f>
        <v>710000910338</v>
      </c>
      <c r="C1933" s="94" t="str">
        <f>IFERROR(VLOOKUP($A1933,HeadJournal!$A$1:$NTR$890,COLUMN(HeadJournal!C$1),0),"")</f>
        <v>iHerb_AV CYG0792</v>
      </c>
      <c r="D1933" s="125" t="str">
        <f>IFERROR(VLOOKUP($A1933,HeadJournal!$A$1:$NTR$890,COLUMN(HeadJournal!D$1),0),"")</f>
        <v>Доставлен</v>
      </c>
      <c r="E1933" s="95">
        <f>IFERROR(VLOOKUP($A1933,HeadJournal!$A$1:$NTR$890,COLUMN(HeadJournal!G$1),0),"")</f>
        <v>45142</v>
      </c>
      <c r="F1933" s="95" t="str">
        <f t="shared" si="154"/>
        <v>2023 08</v>
      </c>
      <c r="G1933" s="96" t="s">
        <v>5</v>
      </c>
      <c r="H1933" s="161" t="s">
        <v>2174</v>
      </c>
      <c r="I1933" s="97" t="s">
        <v>2005</v>
      </c>
      <c r="J1933" s="97" t="s">
        <v>2175</v>
      </c>
      <c r="K1933" s="29">
        <v>6.14</v>
      </c>
      <c r="L1933" s="29">
        <v>-1.23</v>
      </c>
      <c r="M1933" s="30">
        <f>IFERROR(VLOOKUP($A1933,HeadJournal!$A$1:$J$890,COLUMN(HeadJournal!I$1),0)*($K1933+$L1933)/(SUMIF($A:$A,$A1933,$K:$K)+SUMIF($A:$A,$A1933,$L:$L)),0)</f>
        <v>-0.42278252818473944</v>
      </c>
      <c r="N1933" s="30">
        <f>IFERROR((VLOOKUP($A1933,HeadJournal!$A$1:$K$890,COLUMN(HeadJournal!K$1),0)-VLOOKUP($A1933,HeadJournal!$A$1:$K$890,COLUMN(HeadJournal!J$1),0))*($K1933+$L1933)/(SUMIF($A:$A,$A1933,$K:$K)+SUMIF($A:$A,$A1933,$L:$L)),0)</f>
        <v>7.6003808781266647E-16</v>
      </c>
      <c r="O1933" s="30">
        <f>IFERROR((VLOOKUP($A1933,HeadJournal!$A$1:$L$890,COLUMN(HeadJournal!L$1),0)*($K1933+$L1933)/(SUMIF($A:$A,$A1933,$K:$K)+SUMIF($A:$A,$A1933,$L:$L)))/VLOOKUP($A1933,HeadJournal!$A$1:$L$890,COLUMN(HeadJournal!H$1),0),0)</f>
        <v>0.32473503576177298</v>
      </c>
      <c r="P1933" s="30">
        <f>IFERROR(SUM(K1933:O1933)*VLOOKUP($A1933,HeadJournal!$A$1:$L$890,COLUMN(HeadJournal!H$1),0),0)</f>
        <v>494.25577310604007</v>
      </c>
      <c r="Q1933" s="29">
        <v>1000</v>
      </c>
      <c r="R1933" s="31">
        <v>45253</v>
      </c>
      <c r="S1933" s="31" t="s">
        <v>3121</v>
      </c>
      <c r="T1933" s="95" t="str">
        <f t="shared" si="155"/>
        <v>2023 11</v>
      </c>
      <c r="U1933" s="32">
        <f t="shared" si="152"/>
        <v>505.74422689395993</v>
      </c>
      <c r="V1933" s="22">
        <f t="shared" si="153"/>
        <v>1.023243944558752</v>
      </c>
      <c r="X1933" s="33"/>
      <c r="Y1933" s="33"/>
    </row>
    <row r="1934" spans="1:25" x14ac:dyDescent="0.2">
      <c r="A1934" s="93" t="s">
        <v>874</v>
      </c>
      <c r="B1934" s="94" t="str">
        <f>IFERROR(VLOOKUP($A1934,HeadJournal!$A$1:$NTR$890,COLUMN(HeadJournal!B$1),0),"")</f>
        <v>710000910338</v>
      </c>
      <c r="C1934" s="94" t="str">
        <f>IFERROR(VLOOKUP($A1934,HeadJournal!$A$1:$NTR$890,COLUMN(HeadJournal!C$1),0),"")</f>
        <v>iHerb_AV CYG0792</v>
      </c>
      <c r="D1934" s="125" t="str">
        <f>IFERROR(VLOOKUP($A1934,HeadJournal!$A$1:$NTR$890,COLUMN(HeadJournal!D$1),0),"")</f>
        <v>Доставлен</v>
      </c>
      <c r="E1934" s="95">
        <f>IFERROR(VLOOKUP($A1934,HeadJournal!$A$1:$NTR$890,COLUMN(HeadJournal!G$1),0),"")</f>
        <v>45142</v>
      </c>
      <c r="F1934" s="95" t="str">
        <f t="shared" si="154"/>
        <v>2023 08</v>
      </c>
      <c r="G1934" s="96" t="s">
        <v>5</v>
      </c>
      <c r="H1934" s="161" t="s">
        <v>2174</v>
      </c>
      <c r="I1934" s="97" t="s">
        <v>2005</v>
      </c>
      <c r="J1934" s="97" t="s">
        <v>2175</v>
      </c>
      <c r="K1934" s="29">
        <v>6.14</v>
      </c>
      <c r="L1934" s="29">
        <v>-1.23</v>
      </c>
      <c r="M1934" s="30">
        <f>IFERROR(VLOOKUP($A1934,HeadJournal!$A$1:$J$890,COLUMN(HeadJournal!I$1),0)*($K1934+$L1934)/(SUMIF($A:$A,$A1934,$K:$K)+SUMIF($A:$A,$A1934,$L:$L)),0)</f>
        <v>-0.42278252818473944</v>
      </c>
      <c r="N1934" s="30">
        <f>IFERROR((VLOOKUP($A1934,HeadJournal!$A$1:$K$890,COLUMN(HeadJournal!K$1),0)-VLOOKUP($A1934,HeadJournal!$A$1:$K$890,COLUMN(HeadJournal!J$1),0))*($K1934+$L1934)/(SUMIF($A:$A,$A1934,$K:$K)+SUMIF($A:$A,$A1934,$L:$L)),0)</f>
        <v>7.6003808781266647E-16</v>
      </c>
      <c r="O1934" s="30">
        <f>IFERROR((VLOOKUP($A1934,HeadJournal!$A$1:$L$890,COLUMN(HeadJournal!L$1),0)*($K1934+$L1934)/(SUMIF($A:$A,$A1934,$K:$K)+SUMIF($A:$A,$A1934,$L:$L)))/VLOOKUP($A1934,HeadJournal!$A$1:$L$890,COLUMN(HeadJournal!H$1),0),0)</f>
        <v>0.32473503576177298</v>
      </c>
      <c r="P1934" s="30">
        <f>IFERROR(SUM(K1934:O1934)*VLOOKUP($A1934,HeadJournal!$A$1:$L$890,COLUMN(HeadJournal!H$1),0),0)</f>
        <v>494.25577310604007</v>
      </c>
      <c r="Q1934" s="29">
        <v>1100</v>
      </c>
      <c r="R1934" s="31">
        <v>45307</v>
      </c>
      <c r="S1934" s="31" t="s">
        <v>3121</v>
      </c>
      <c r="T1934" s="95" t="str">
        <f t="shared" si="155"/>
        <v>2024 01</v>
      </c>
      <c r="U1934" s="32">
        <f t="shared" si="152"/>
        <v>605.74422689395988</v>
      </c>
      <c r="V1934" s="22">
        <f t="shared" si="153"/>
        <v>1.225568339014627</v>
      </c>
      <c r="X1934" s="33"/>
      <c r="Y1934" s="33"/>
    </row>
    <row r="1935" spans="1:25" x14ac:dyDescent="0.2">
      <c r="A1935" s="93" t="s">
        <v>874</v>
      </c>
      <c r="B1935" s="94" t="str">
        <f>IFERROR(VLOOKUP($A1935,HeadJournal!$A$1:$NTR$890,COLUMN(HeadJournal!B$1),0),"")</f>
        <v>710000910338</v>
      </c>
      <c r="C1935" s="94" t="str">
        <f>IFERROR(VLOOKUP($A1935,HeadJournal!$A$1:$NTR$890,COLUMN(HeadJournal!C$1),0),"")</f>
        <v>iHerb_AV CYG0792</v>
      </c>
      <c r="D1935" s="125" t="str">
        <f>IFERROR(VLOOKUP($A1935,HeadJournal!$A$1:$NTR$890,COLUMN(HeadJournal!D$1),0),"")</f>
        <v>Доставлен</v>
      </c>
      <c r="E1935" s="95">
        <f>IFERROR(VLOOKUP($A1935,HeadJournal!$A$1:$NTR$890,COLUMN(HeadJournal!G$1),0),"")</f>
        <v>45142</v>
      </c>
      <c r="F1935" s="95" t="str">
        <f t="shared" si="154"/>
        <v>2023 08</v>
      </c>
      <c r="G1935" s="96" t="s">
        <v>5</v>
      </c>
      <c r="H1935" s="161" t="s">
        <v>2831</v>
      </c>
      <c r="I1935" s="97" t="s">
        <v>2005</v>
      </c>
      <c r="J1935" s="97" t="s">
        <v>3911</v>
      </c>
      <c r="K1935" s="29">
        <v>13.51</v>
      </c>
      <c r="L1935" s="29">
        <v>-2.7</v>
      </c>
      <c r="M1935" s="30">
        <f>IFERROR(VLOOKUP($A1935,HeadJournal!$A$1:$J$890,COLUMN(HeadJournal!I$1),0)*($K1935+$L1935)/(SUMIF($A:$A,$A1935,$K:$K)+SUMIF($A:$A,$A1935,$L:$L)),0)</f>
        <v>-0.93081041337617776</v>
      </c>
      <c r="N1935" s="30">
        <f>IFERROR((VLOOKUP($A1935,HeadJournal!$A$1:$K$890,COLUMN(HeadJournal!K$1),0)-VLOOKUP($A1935,HeadJournal!$A$1:$K$890,COLUMN(HeadJournal!J$1),0))*($K1935+$L1935)/(SUMIF($A:$A,$A1935,$K:$K)+SUMIF($A:$A,$A1935,$L:$L)),0)</f>
        <v>1.6733221444511046E-15</v>
      </c>
      <c r="O1935" s="30">
        <f>IFERROR((VLOOKUP($A1935,HeadJournal!$A$1:$L$890,COLUMN(HeadJournal!L$1),0)*($K1935+$L1935)/(SUMIF($A:$A,$A1935,$K:$K)+SUMIF($A:$A,$A1935,$L:$L)))/VLOOKUP($A1935,HeadJournal!$A$1:$L$890,COLUMN(HeadJournal!H$1),0),0)</f>
        <v>0.71494617853050213</v>
      </c>
      <c r="P1935" s="30">
        <f>IFERROR(SUM(K1935:O1935)*VLOOKUP($A1935,HeadJournal!$A$1:$L$890,COLUMN(HeadJournal!H$1),0),0)</f>
        <v>1088.1680055552531</v>
      </c>
      <c r="Q1935" s="29">
        <v>1600</v>
      </c>
      <c r="R1935" s="31">
        <v>45180</v>
      </c>
      <c r="S1935" s="31" t="s">
        <v>3121</v>
      </c>
      <c r="T1935" s="95" t="str">
        <f t="shared" si="155"/>
        <v>2023 09</v>
      </c>
      <c r="U1935" s="32">
        <f t="shared" si="152"/>
        <v>511.8319944447469</v>
      </c>
      <c r="V1935" s="22">
        <f t="shared" si="153"/>
        <v>0.470361186720958</v>
      </c>
      <c r="X1935" s="33"/>
      <c r="Y1935" s="33"/>
    </row>
    <row r="1936" spans="1:25" x14ac:dyDescent="0.2">
      <c r="A1936" s="93" t="s">
        <v>874</v>
      </c>
      <c r="B1936" s="94" t="str">
        <f>IFERROR(VLOOKUP($A1936,HeadJournal!$A$1:$NTR$890,COLUMN(HeadJournal!B$1),0),"")</f>
        <v>710000910338</v>
      </c>
      <c r="C1936" s="94" t="str">
        <f>IFERROR(VLOOKUP($A1936,HeadJournal!$A$1:$NTR$890,COLUMN(HeadJournal!C$1),0),"")</f>
        <v>iHerb_AV CYG0792</v>
      </c>
      <c r="D1936" s="125" t="str">
        <f>IFERROR(VLOOKUP($A1936,HeadJournal!$A$1:$NTR$890,COLUMN(HeadJournal!D$1),0),"")</f>
        <v>Доставлен</v>
      </c>
      <c r="E1936" s="95">
        <f>IFERROR(VLOOKUP($A1936,HeadJournal!$A$1:$NTR$890,COLUMN(HeadJournal!G$1),0),"")</f>
        <v>45142</v>
      </c>
      <c r="F1936" s="95" t="str">
        <f t="shared" si="154"/>
        <v>2023 08</v>
      </c>
      <c r="G1936" s="96" t="s">
        <v>5</v>
      </c>
      <c r="H1936" s="161" t="s">
        <v>2986</v>
      </c>
      <c r="I1936" s="97" t="s">
        <v>2005</v>
      </c>
      <c r="J1936" s="97" t="s">
        <v>2987</v>
      </c>
      <c r="K1936" s="29">
        <v>10.65</v>
      </c>
      <c r="L1936" s="29">
        <v>-2.13</v>
      </c>
      <c r="M1936" s="30">
        <f>IFERROR(VLOOKUP($A1936,HeadJournal!$A$1:$J$890,COLUMN(HeadJournal!I$1),0)*($K1936+$L1936)/(SUMIF($A:$A,$A1936,$K:$K)+SUMIF($A:$A,$A1936,$L:$L)),0)</f>
        <v>-0.73362670878492464</v>
      </c>
      <c r="N1936" s="30">
        <f>IFERROR((VLOOKUP($A1936,HeadJournal!$A$1:$K$890,COLUMN(HeadJournal!K$1),0)-VLOOKUP($A1936,HeadJournal!$A$1:$K$890,COLUMN(HeadJournal!J$1),0))*($K1936+$L1936)/(SUMIF($A:$A,$A1936,$K:$K)+SUMIF($A:$A,$A1936,$L:$L)),0)</f>
        <v>1.3188440953490668E-15</v>
      </c>
      <c r="O1936" s="30">
        <f>IFERROR((VLOOKUP($A1936,HeadJournal!$A$1:$L$890,COLUMN(HeadJournal!L$1),0)*($K1936+$L1936)/(SUMIF($A:$A,$A1936,$K:$K)+SUMIF($A:$A,$A1936,$L:$L)))/VLOOKUP($A1936,HeadJournal!$A$1:$L$890,COLUMN(HeadJournal!H$1),0),0)</f>
        <v>0.56349134515077504</v>
      </c>
      <c r="P1936" s="30">
        <f>IFERROR(SUM(K1936:O1936)*VLOOKUP($A1936,HeadJournal!$A$1:$L$890,COLUMN(HeadJournal!H$1),0),0)</f>
        <v>857.64952889276185</v>
      </c>
      <c r="Q1936" s="29">
        <v>1500</v>
      </c>
      <c r="R1936" s="31">
        <v>45199</v>
      </c>
      <c r="S1936" s="31" t="s">
        <v>3121</v>
      </c>
      <c r="T1936" s="95" t="str">
        <f t="shared" si="155"/>
        <v>2023 09</v>
      </c>
      <c r="U1936" s="32">
        <f t="shared" si="152"/>
        <v>642.35047110723815</v>
      </c>
      <c r="V1936" s="22">
        <f t="shared" si="153"/>
        <v>0.74896615629990737</v>
      </c>
      <c r="X1936" s="33"/>
      <c r="Y1936" s="33"/>
    </row>
    <row r="1937" spans="1:25" x14ac:dyDescent="0.2">
      <c r="A1937" s="93" t="s">
        <v>874</v>
      </c>
      <c r="B1937" s="94" t="str">
        <f>IFERROR(VLOOKUP($A1937,HeadJournal!$A$1:$NTR$890,COLUMN(HeadJournal!B$1),0),"")</f>
        <v>710000910338</v>
      </c>
      <c r="C1937" s="94" t="str">
        <f>IFERROR(VLOOKUP($A1937,HeadJournal!$A$1:$NTR$890,COLUMN(HeadJournal!C$1),0),"")</f>
        <v>iHerb_AV CYG0792</v>
      </c>
      <c r="D1937" s="125" t="str">
        <f>IFERROR(VLOOKUP($A1937,HeadJournal!$A$1:$NTR$890,COLUMN(HeadJournal!D$1),0),"")</f>
        <v>Доставлен</v>
      </c>
      <c r="E1937" s="95">
        <f>IFERROR(VLOOKUP($A1937,HeadJournal!$A$1:$NTR$890,COLUMN(HeadJournal!G$1),0),"")</f>
        <v>45142</v>
      </c>
      <c r="F1937" s="95" t="str">
        <f t="shared" si="154"/>
        <v>2023 08</v>
      </c>
      <c r="G1937" s="96" t="s">
        <v>5</v>
      </c>
      <c r="H1937" s="161" t="s">
        <v>2986</v>
      </c>
      <c r="I1937" s="97" t="s">
        <v>2005</v>
      </c>
      <c r="J1937" s="97" t="s">
        <v>2987</v>
      </c>
      <c r="K1937" s="29">
        <v>10.65</v>
      </c>
      <c r="L1937" s="29">
        <v>-2.13</v>
      </c>
      <c r="M1937" s="30">
        <f>IFERROR(VLOOKUP($A1937,HeadJournal!$A$1:$J$890,COLUMN(HeadJournal!I$1),0)*($K1937+$L1937)/(SUMIF($A:$A,$A1937,$K:$K)+SUMIF($A:$A,$A1937,$L:$L)),0)</f>
        <v>-0.73362670878492464</v>
      </c>
      <c r="N1937" s="30">
        <f>IFERROR((VLOOKUP($A1937,HeadJournal!$A$1:$K$890,COLUMN(HeadJournal!K$1),0)-VLOOKUP($A1937,HeadJournal!$A$1:$K$890,COLUMN(HeadJournal!J$1),0))*($K1937+$L1937)/(SUMIF($A:$A,$A1937,$K:$K)+SUMIF($A:$A,$A1937,$L:$L)),0)</f>
        <v>1.3188440953490668E-15</v>
      </c>
      <c r="O1937" s="30">
        <f>IFERROR((VLOOKUP($A1937,HeadJournal!$A$1:$L$890,COLUMN(HeadJournal!L$1),0)*($K1937+$L1937)/(SUMIF($A:$A,$A1937,$K:$K)+SUMIF($A:$A,$A1937,$L:$L)))/VLOOKUP($A1937,HeadJournal!$A$1:$L$890,COLUMN(HeadJournal!H$1),0),0)</f>
        <v>0.56349134515077504</v>
      </c>
      <c r="P1937" s="30">
        <f>IFERROR(SUM(K1937:O1937)*VLOOKUP($A1937,HeadJournal!$A$1:$L$890,COLUMN(HeadJournal!H$1),0),0)</f>
        <v>857.64952889276185</v>
      </c>
      <c r="Q1937" s="29">
        <v>1600</v>
      </c>
      <c r="R1937" s="31">
        <v>45332</v>
      </c>
      <c r="S1937" s="31" t="s">
        <v>3121</v>
      </c>
      <c r="T1937" s="95" t="str">
        <f t="shared" si="155"/>
        <v>2024 02</v>
      </c>
      <c r="U1937" s="32">
        <f t="shared" si="152"/>
        <v>742.35047110723815</v>
      </c>
      <c r="V1937" s="22">
        <f t="shared" si="153"/>
        <v>0.86556390005323447</v>
      </c>
      <c r="X1937" s="33"/>
      <c r="Y1937" s="33"/>
    </row>
    <row r="1938" spans="1:25" x14ac:dyDescent="0.2">
      <c r="A1938" s="93" t="s">
        <v>874</v>
      </c>
      <c r="B1938" s="94" t="str">
        <f>IFERROR(VLOOKUP($A1938,HeadJournal!$A$1:$NTR$890,COLUMN(HeadJournal!B$1),0),"")</f>
        <v>710000910338</v>
      </c>
      <c r="C1938" s="94" t="str">
        <f>IFERROR(VLOOKUP($A1938,HeadJournal!$A$1:$NTR$890,COLUMN(HeadJournal!C$1),0),"")</f>
        <v>iHerb_AV CYG0792</v>
      </c>
      <c r="D1938" s="125" t="str">
        <f>IFERROR(VLOOKUP($A1938,HeadJournal!$A$1:$NTR$890,COLUMN(HeadJournal!D$1),0),"")</f>
        <v>Доставлен</v>
      </c>
      <c r="E1938" s="95">
        <f>IFERROR(VLOOKUP($A1938,HeadJournal!$A$1:$NTR$890,COLUMN(HeadJournal!G$1),0),"")</f>
        <v>45142</v>
      </c>
      <c r="F1938" s="95" t="str">
        <f t="shared" si="154"/>
        <v>2023 08</v>
      </c>
      <c r="G1938" s="96" t="s">
        <v>5</v>
      </c>
      <c r="H1938" s="161" t="s">
        <v>2176</v>
      </c>
      <c r="I1938" s="97" t="s">
        <v>2005</v>
      </c>
      <c r="J1938" s="97" t="s">
        <v>2177</v>
      </c>
      <c r="K1938" s="29">
        <v>15.14</v>
      </c>
      <c r="L1938" s="29">
        <v>-3.03</v>
      </c>
      <c r="M1938" s="30">
        <f>IFERROR(VLOOKUP($A1938,HeadJournal!$A$1:$J$890,COLUMN(HeadJournal!I$1),0)*($K1938+$L1938)/(SUMIF($A:$A,$A1938,$K:$K)+SUMIF($A:$A,$A1938,$L:$L)),0)</f>
        <v>-1.0427487609607322</v>
      </c>
      <c r="N1938" s="30">
        <f>IFERROR((VLOOKUP($A1938,HeadJournal!$A$1:$K$890,COLUMN(HeadJournal!K$1),0)-VLOOKUP($A1938,HeadJournal!$A$1:$K$890,COLUMN(HeadJournal!J$1),0))*($K1938+$L1938)/(SUMIF($A:$A,$A1938,$K:$K)+SUMIF($A:$A,$A1938,$L:$L)),0)</f>
        <v>1.8745542247273709E-15</v>
      </c>
      <c r="O1938" s="30">
        <f>IFERROR((VLOOKUP($A1938,HeadJournal!$A$1:$L$890,COLUMN(HeadJournal!L$1),0)*($K1938+$L1938)/(SUMIF($A:$A,$A1938,$K:$K)+SUMIF($A:$A,$A1938,$L:$L)))/VLOOKUP($A1938,HeadJournal!$A$1:$L$890,COLUMN(HeadJournal!H$1),0),0)</f>
        <v>0.80092490490327317</v>
      </c>
      <c r="P1938" s="30">
        <f>IFERROR(SUM(K1938:O1938)*VLOOKUP($A1938,HeadJournal!$A$1:$L$890,COLUMN(HeadJournal!H$1),0),0)</f>
        <v>1219.0300228745714</v>
      </c>
      <c r="Q1938" s="29">
        <v>1900</v>
      </c>
      <c r="R1938" s="31">
        <v>45167</v>
      </c>
      <c r="S1938" s="31" t="s">
        <v>3121</v>
      </c>
      <c r="T1938" s="95" t="str">
        <f t="shared" si="155"/>
        <v>2023 08</v>
      </c>
      <c r="U1938" s="32">
        <f t="shared" si="152"/>
        <v>680.96997712542861</v>
      </c>
      <c r="V1938" s="22">
        <f t="shared" si="153"/>
        <v>0.5586162476291161</v>
      </c>
      <c r="X1938" s="33"/>
      <c r="Y1938" s="33"/>
    </row>
    <row r="1939" spans="1:25" x14ac:dyDescent="0.2">
      <c r="A1939" s="93" t="s">
        <v>874</v>
      </c>
      <c r="B1939" s="94" t="str">
        <f>IFERROR(VLOOKUP($A1939,HeadJournal!$A$1:$NTR$890,COLUMN(HeadJournal!B$1),0),"")</f>
        <v>710000910338</v>
      </c>
      <c r="C1939" s="94" t="str">
        <f>IFERROR(VLOOKUP($A1939,HeadJournal!$A$1:$NTR$890,COLUMN(HeadJournal!C$1),0),"")</f>
        <v>iHerb_AV CYG0792</v>
      </c>
      <c r="D1939" s="125" t="str">
        <f>IFERROR(VLOOKUP($A1939,HeadJournal!$A$1:$NTR$890,COLUMN(HeadJournal!D$1),0),"")</f>
        <v>Доставлен</v>
      </c>
      <c r="E1939" s="95">
        <f>IFERROR(VLOOKUP($A1939,HeadJournal!$A$1:$NTR$890,COLUMN(HeadJournal!G$1),0),"")</f>
        <v>45142</v>
      </c>
      <c r="F1939" s="95" t="str">
        <f t="shared" si="154"/>
        <v>2023 08</v>
      </c>
      <c r="G1939" s="96" t="s">
        <v>5</v>
      </c>
      <c r="H1939" s="161" t="s">
        <v>2176</v>
      </c>
      <c r="I1939" s="97" t="s">
        <v>2005</v>
      </c>
      <c r="J1939" s="97" t="s">
        <v>2177</v>
      </c>
      <c r="K1939" s="29">
        <v>15.14</v>
      </c>
      <c r="L1939" s="29">
        <v>-3.03</v>
      </c>
      <c r="M1939" s="30">
        <f>IFERROR(VLOOKUP($A1939,HeadJournal!$A$1:$J$890,COLUMN(HeadJournal!I$1),0)*($K1939+$L1939)/(SUMIF($A:$A,$A1939,$K:$K)+SUMIF($A:$A,$A1939,$L:$L)),0)</f>
        <v>-1.0427487609607322</v>
      </c>
      <c r="N1939" s="30">
        <f>IFERROR((VLOOKUP($A1939,HeadJournal!$A$1:$K$890,COLUMN(HeadJournal!K$1),0)-VLOOKUP($A1939,HeadJournal!$A$1:$K$890,COLUMN(HeadJournal!J$1),0))*($K1939+$L1939)/(SUMIF($A:$A,$A1939,$K:$K)+SUMIF($A:$A,$A1939,$L:$L)),0)</f>
        <v>1.8745542247273709E-15</v>
      </c>
      <c r="O1939" s="30">
        <f>IFERROR((VLOOKUP($A1939,HeadJournal!$A$1:$L$890,COLUMN(HeadJournal!L$1),0)*($K1939+$L1939)/(SUMIF($A:$A,$A1939,$K:$K)+SUMIF($A:$A,$A1939,$L:$L)))/VLOOKUP($A1939,HeadJournal!$A$1:$L$890,COLUMN(HeadJournal!H$1),0),0)</f>
        <v>0.80092490490327317</v>
      </c>
      <c r="P1939" s="30">
        <f>IFERROR(SUM(K1939:O1939)*VLOOKUP($A1939,HeadJournal!$A$1:$L$890,COLUMN(HeadJournal!H$1),0),0)</f>
        <v>1219.0300228745714</v>
      </c>
      <c r="Q1939" s="29">
        <v>1900</v>
      </c>
      <c r="R1939" s="31">
        <v>45167</v>
      </c>
      <c r="S1939" s="31" t="s">
        <v>3121</v>
      </c>
      <c r="T1939" s="95" t="str">
        <f t="shared" si="155"/>
        <v>2023 08</v>
      </c>
      <c r="U1939" s="32">
        <f t="shared" si="152"/>
        <v>680.96997712542861</v>
      </c>
      <c r="V1939" s="22">
        <f t="shared" si="153"/>
        <v>0.5586162476291161</v>
      </c>
      <c r="X1939" s="33"/>
      <c r="Y1939" s="33"/>
    </row>
    <row r="1940" spans="1:25" x14ac:dyDescent="0.2">
      <c r="A1940" s="93" t="s">
        <v>874</v>
      </c>
      <c r="B1940" s="94" t="str">
        <f>IFERROR(VLOOKUP($A1940,HeadJournal!$A$1:$NTR$890,COLUMN(HeadJournal!B$1),0),"")</f>
        <v>710000910338</v>
      </c>
      <c r="C1940" s="94" t="str">
        <f>IFERROR(VLOOKUP($A1940,HeadJournal!$A$1:$NTR$890,COLUMN(HeadJournal!C$1),0),"")</f>
        <v>iHerb_AV CYG0792</v>
      </c>
      <c r="D1940" s="125" t="str">
        <f>IFERROR(VLOOKUP($A1940,HeadJournal!$A$1:$NTR$890,COLUMN(HeadJournal!D$1),0),"")</f>
        <v>Доставлен</v>
      </c>
      <c r="E1940" s="95">
        <f>IFERROR(VLOOKUP($A1940,HeadJournal!$A$1:$NTR$890,COLUMN(HeadJournal!G$1),0),"")</f>
        <v>45142</v>
      </c>
      <c r="F1940" s="95" t="str">
        <f t="shared" si="154"/>
        <v>2023 08</v>
      </c>
      <c r="G1940" s="96" t="s">
        <v>5</v>
      </c>
      <c r="H1940" s="160" t="str">
        <f>RIGHT(Journal!$J1940,9)</f>
        <v>NOW-01293</v>
      </c>
      <c r="I1940" s="96" t="str">
        <f t="shared" ref="I1940:I1990" si="156">IFERROR(LEFT(J1940,FIND(",",J1940)-1),"")</f>
        <v>NOW Foods</v>
      </c>
      <c r="J1940" s="97" t="s">
        <v>876</v>
      </c>
      <c r="K1940" s="29">
        <v>24.77</v>
      </c>
      <c r="L1940" s="29">
        <v>-4.95</v>
      </c>
      <c r="M1940" s="30">
        <f>IFERROR(VLOOKUP($A1940,HeadJournal!$A$1:$J$890,COLUMN(HeadJournal!I$1),0)*($K1940+$L1940)/(SUMIF($A:$A,$A1940,$K:$K)+SUMIF($A:$A,$A1940,$L:$L)),0)</f>
        <v>-1.7066292685583575</v>
      </c>
      <c r="N1940" s="30">
        <f>IFERROR((VLOOKUP($A1940,HeadJournal!$A$1:$K$890,COLUMN(HeadJournal!K$1),0)-VLOOKUP($A1940,HeadJournal!$A$1:$K$890,COLUMN(HeadJournal!J$1),0))*($K1940+$L1940)/(SUMIF($A:$A,$A1940,$K:$K)+SUMIF($A:$A,$A1940,$L:$L)),0)</f>
        <v>3.0680152546735336E-15</v>
      </c>
      <c r="O1940" s="30">
        <f>IFERROR((VLOOKUP($A1940,HeadJournal!$A$1:$L$890,COLUMN(HeadJournal!L$1),0)*($K1940+$L1940)/(SUMIF($A:$A,$A1940,$K:$K)+SUMIF($A:$A,$A1940,$L:$L)))/VLOOKUP($A1940,HeadJournal!$A$1:$L$890,COLUMN(HeadJournal!H$1),0),0)</f>
        <v>1.3108448897756295</v>
      </c>
      <c r="P1940" s="30">
        <f>IFERROR(SUM(K1940:O1940)*VLOOKUP($A1940,HeadJournal!$A$1:$L$890,COLUMN(HeadJournal!H$1),0),0)</f>
        <v>1995.1424486683736</v>
      </c>
      <c r="Q1940" s="29">
        <v>3000</v>
      </c>
      <c r="R1940" s="31">
        <v>45167</v>
      </c>
      <c r="S1940" s="31" t="s">
        <v>3121</v>
      </c>
      <c r="T1940" s="95" t="str">
        <f t="shared" si="155"/>
        <v>2023 08</v>
      </c>
      <c r="U1940" s="32">
        <f t="shared" si="152"/>
        <v>1004.8575513316264</v>
      </c>
      <c r="V1940" s="22">
        <f t="shared" si="153"/>
        <v>0.50365203346873944</v>
      </c>
      <c r="X1940" s="33"/>
      <c r="Y1940" s="33"/>
    </row>
    <row r="1941" spans="1:25" x14ac:dyDescent="0.2">
      <c r="A1941" s="93" t="s">
        <v>874</v>
      </c>
      <c r="B1941" s="94" t="str">
        <f>IFERROR(VLOOKUP($A1941,HeadJournal!$A$1:$NTR$890,COLUMN(HeadJournal!B$1),0),"")</f>
        <v>710000910338</v>
      </c>
      <c r="C1941" s="94" t="str">
        <f>IFERROR(VLOOKUP($A1941,HeadJournal!$A$1:$NTR$890,COLUMN(HeadJournal!C$1),0),"")</f>
        <v>iHerb_AV CYG0792</v>
      </c>
      <c r="D1941" s="125" t="str">
        <f>IFERROR(VLOOKUP($A1941,HeadJournal!$A$1:$NTR$890,COLUMN(HeadJournal!D$1),0),"")</f>
        <v>Доставлен</v>
      </c>
      <c r="E1941" s="95">
        <f>IFERROR(VLOOKUP($A1941,HeadJournal!$A$1:$NTR$890,COLUMN(HeadJournal!G$1),0),"")</f>
        <v>45142</v>
      </c>
      <c r="F1941" s="95" t="str">
        <f t="shared" si="154"/>
        <v>2023 08</v>
      </c>
      <c r="G1941" s="96" t="s">
        <v>5</v>
      </c>
      <c r="H1941" s="160" t="str">
        <f>RIGHT(Journal!$J1941,9)</f>
        <v>NOW-04603</v>
      </c>
      <c r="I1941" s="96" t="str">
        <f t="shared" si="156"/>
        <v>NOW Foods</v>
      </c>
      <c r="J1941" s="97" t="s">
        <v>153</v>
      </c>
      <c r="K1941" s="29">
        <v>10.34</v>
      </c>
      <c r="L1941" s="29">
        <v>-1.03</v>
      </c>
      <c r="M1941" s="30">
        <f>IFERROR(VLOOKUP($A1941,HeadJournal!$A$1:$J$890,COLUMN(HeadJournal!I$1),0)*($K1941+$L1941)/(SUMIF($A:$A,$A1941,$K:$K)+SUMIF($A:$A,$A1941,$L:$L)),0)</f>
        <v>-0.80165078154784608</v>
      </c>
      <c r="N1941" s="30">
        <f>IFERROR((VLOOKUP($A1941,HeadJournal!$A$1:$K$890,COLUMN(HeadJournal!K$1),0)-VLOOKUP($A1941,HeadJournal!$A$1:$K$890,COLUMN(HeadJournal!J$1),0))*($K1941+$L1941)/(SUMIF($A:$A,$A1941,$K:$K)+SUMIF($A:$A,$A1941,$L:$L)),0)</f>
        <v>1.4411312825938748E-15</v>
      </c>
      <c r="O1941" s="30">
        <f>IFERROR((VLOOKUP($A1941,HeadJournal!$A$1:$L$890,COLUMN(HeadJournal!L$1),0)*($K1941+$L1941)/(SUMIF($A:$A,$A1941,$K:$K)+SUMIF($A:$A,$A1941,$L:$L)))/VLOOKUP($A1941,HeadJournal!$A$1:$L$890,COLUMN(HeadJournal!H$1),0),0)</f>
        <v>0.6157399557926897</v>
      </c>
      <c r="P1941" s="30">
        <f>IFERROR(SUM(K1941:O1941)*VLOOKUP($A1941,HeadJournal!$A$1:$L$890,COLUMN(HeadJournal!H$1),0),0)</f>
        <v>937.17337018680928</v>
      </c>
      <c r="Q1941" s="29">
        <v>1700</v>
      </c>
      <c r="R1941" s="31">
        <v>45333</v>
      </c>
      <c r="S1941" s="31" t="s">
        <v>3121</v>
      </c>
      <c r="T1941" s="95" t="str">
        <f t="shared" si="155"/>
        <v>2024 02</v>
      </c>
      <c r="U1941" s="32">
        <f t="shared" si="152"/>
        <v>762.82662981319072</v>
      </c>
      <c r="V1941" s="22">
        <f t="shared" si="153"/>
        <v>0.81396532816669176</v>
      </c>
      <c r="X1941" s="33"/>
      <c r="Y1941" s="33"/>
    </row>
    <row r="1942" spans="1:25" x14ac:dyDescent="0.2">
      <c r="A1942" s="93" t="s">
        <v>874</v>
      </c>
      <c r="B1942" s="94" t="str">
        <f>IFERROR(VLOOKUP($A1942,HeadJournal!$A$1:$NTR$890,COLUMN(HeadJournal!B$1),0),"")</f>
        <v>710000910338</v>
      </c>
      <c r="C1942" s="94" t="str">
        <f>IFERROR(VLOOKUP($A1942,HeadJournal!$A$1:$NTR$890,COLUMN(HeadJournal!C$1),0),"")</f>
        <v>iHerb_AV CYG0792</v>
      </c>
      <c r="D1942" s="125" t="str">
        <f>IFERROR(VLOOKUP($A1942,HeadJournal!$A$1:$NTR$890,COLUMN(HeadJournal!D$1),0),"")</f>
        <v>Доставлен</v>
      </c>
      <c r="E1942" s="95">
        <f>IFERROR(VLOOKUP($A1942,HeadJournal!$A$1:$NTR$890,COLUMN(HeadJournal!G$1),0),"")</f>
        <v>45142</v>
      </c>
      <c r="F1942" s="95" t="str">
        <f t="shared" si="154"/>
        <v>2023 08</v>
      </c>
      <c r="G1942" s="96" t="s">
        <v>5</v>
      </c>
      <c r="H1942" s="160" t="str">
        <f>RIGHT(Journal!$J1942,9)</f>
        <v>NFS-02101</v>
      </c>
      <c r="I1942" s="96" t="str">
        <f t="shared" si="156"/>
        <v>Natural Factors</v>
      </c>
      <c r="J1942" s="97" t="s">
        <v>877</v>
      </c>
      <c r="K1942" s="29">
        <v>14.98</v>
      </c>
      <c r="L1942" s="29">
        <v>-2.9950000000000001</v>
      </c>
      <c r="M1942" s="30">
        <f>IFERROR(VLOOKUP($A1942,HeadJournal!$A$1:$J$890,COLUMN(HeadJournal!I$1),0)*($K1942+$L1942)/(SUMIF($A:$A,$A1942,$K:$K)+SUMIF($A:$A,$A1942,$L:$L)),0)</f>
        <v>-1.031985458308371</v>
      </c>
      <c r="N1942" s="30">
        <f>IFERROR((VLOOKUP($A1942,HeadJournal!$A$1:$K$890,COLUMN(HeadJournal!K$1),0)-VLOOKUP($A1942,HeadJournal!$A$1:$K$890,COLUMN(HeadJournal!J$1),0))*($K1942+$L1942)/(SUMIF($A:$A,$A1942,$K:$K)+SUMIF($A:$A,$A1942,$L:$L)),0)</f>
        <v>1.8552049862392683E-15</v>
      </c>
      <c r="O1942" s="30">
        <f>IFERROR((VLOOKUP($A1942,HeadJournal!$A$1:$L$890,COLUMN(HeadJournal!L$1),0)*($K1942+$L1942)/(SUMIF($A:$A,$A1942,$K:$K)+SUMIF($A:$A,$A1942,$L:$L)))/VLOOKUP($A1942,HeadJournal!$A$1:$L$890,COLUMN(HeadJournal!H$1),0),0)</f>
        <v>0.792657719675122</v>
      </c>
      <c r="P1942" s="30">
        <f>IFERROR(SUM(K1942:O1942)*VLOOKUP($A1942,HeadJournal!$A$1:$L$890,COLUMN(HeadJournal!H$1),0),0)</f>
        <v>1206.4471365938675</v>
      </c>
      <c r="Q1942" s="29">
        <v>2100</v>
      </c>
      <c r="R1942" s="31">
        <v>45278</v>
      </c>
      <c r="S1942" s="31" t="s">
        <v>3121</v>
      </c>
      <c r="T1942" s="95" t="str">
        <f t="shared" si="155"/>
        <v>2023 12</v>
      </c>
      <c r="U1942" s="32">
        <f t="shared" si="152"/>
        <v>893.55286340613247</v>
      </c>
      <c r="V1942" s="22">
        <f t="shared" si="153"/>
        <v>0.74064816957407542</v>
      </c>
      <c r="X1942" s="33"/>
      <c r="Y1942" s="33"/>
    </row>
    <row r="1943" spans="1:25" x14ac:dyDescent="0.2">
      <c r="A1943" s="93" t="s">
        <v>874</v>
      </c>
      <c r="B1943" s="94" t="str">
        <f>IFERROR(VLOOKUP($A1943,HeadJournal!$A$1:$NTR$890,COLUMN(HeadJournal!B$1),0),"")</f>
        <v>710000910338</v>
      </c>
      <c r="C1943" s="94" t="str">
        <f>IFERROR(VLOOKUP($A1943,HeadJournal!$A$1:$NTR$890,COLUMN(HeadJournal!C$1),0),"")</f>
        <v>iHerb_AV CYG0792</v>
      </c>
      <c r="D1943" s="125" t="str">
        <f>IFERROR(VLOOKUP($A1943,HeadJournal!$A$1:$NTR$890,COLUMN(HeadJournal!D$1),0),"")</f>
        <v>Доставлен</v>
      </c>
      <c r="E1943" s="95">
        <f>IFERROR(VLOOKUP($A1943,HeadJournal!$A$1:$NTR$890,COLUMN(HeadJournal!G$1),0),"")</f>
        <v>45142</v>
      </c>
      <c r="F1943" s="95" t="str">
        <f t="shared" si="154"/>
        <v>2023 08</v>
      </c>
      <c r="G1943" s="96" t="s">
        <v>5</v>
      </c>
      <c r="H1943" s="160" t="str">
        <f>RIGHT(Journal!$J1943,9)</f>
        <v>NFS-02101</v>
      </c>
      <c r="I1943" s="96" t="str">
        <f t="shared" si="156"/>
        <v>Natural Factors</v>
      </c>
      <c r="J1943" s="97" t="s">
        <v>877</v>
      </c>
      <c r="K1943" s="29">
        <v>14.98</v>
      </c>
      <c r="L1943" s="29">
        <v>-2.9950000000000001</v>
      </c>
      <c r="M1943" s="30">
        <f>IFERROR(VLOOKUP($A1943,HeadJournal!$A$1:$J$890,COLUMN(HeadJournal!I$1),0)*($K1943+$L1943)/(SUMIF($A:$A,$A1943,$K:$K)+SUMIF($A:$A,$A1943,$L:$L)),0)</f>
        <v>-1.031985458308371</v>
      </c>
      <c r="N1943" s="30">
        <f>IFERROR((VLOOKUP($A1943,HeadJournal!$A$1:$K$890,COLUMN(HeadJournal!K$1),0)-VLOOKUP($A1943,HeadJournal!$A$1:$K$890,COLUMN(HeadJournal!J$1),0))*($K1943+$L1943)/(SUMIF($A:$A,$A1943,$K:$K)+SUMIF($A:$A,$A1943,$L:$L)),0)</f>
        <v>1.8552049862392683E-15</v>
      </c>
      <c r="O1943" s="30">
        <f>IFERROR((VLOOKUP($A1943,HeadJournal!$A$1:$L$890,COLUMN(HeadJournal!L$1),0)*($K1943+$L1943)/(SUMIF($A:$A,$A1943,$K:$K)+SUMIF($A:$A,$A1943,$L:$L)))/VLOOKUP($A1943,HeadJournal!$A$1:$L$890,COLUMN(HeadJournal!H$1),0),0)</f>
        <v>0.792657719675122</v>
      </c>
      <c r="P1943" s="30">
        <f>IFERROR(SUM(K1943:O1943)*VLOOKUP($A1943,HeadJournal!$A$1:$L$890,COLUMN(HeadJournal!H$1),0),0)</f>
        <v>1206.4471365938675</v>
      </c>
      <c r="Q1943" s="29">
        <v>2100</v>
      </c>
      <c r="R1943" s="31">
        <v>45308</v>
      </c>
      <c r="S1943" s="31" t="s">
        <v>3121</v>
      </c>
      <c r="T1943" s="95" t="str">
        <f t="shared" si="155"/>
        <v>2024 01</v>
      </c>
      <c r="U1943" s="32">
        <f t="shared" si="152"/>
        <v>893.55286340613247</v>
      </c>
      <c r="V1943" s="22">
        <f t="shared" si="153"/>
        <v>0.74064816957407542</v>
      </c>
      <c r="X1943" s="33"/>
      <c r="Y1943" s="33"/>
    </row>
    <row r="1944" spans="1:25" x14ac:dyDescent="0.2">
      <c r="A1944" s="93" t="s">
        <v>874</v>
      </c>
      <c r="B1944" s="94" t="str">
        <f>IFERROR(VLOOKUP($A1944,HeadJournal!$A$1:$NTR$890,COLUMN(HeadJournal!B$1),0),"")</f>
        <v>710000910338</v>
      </c>
      <c r="C1944" s="94" t="str">
        <f>IFERROR(VLOOKUP($A1944,HeadJournal!$A$1:$NTR$890,COLUMN(HeadJournal!C$1),0),"")</f>
        <v>iHerb_AV CYG0792</v>
      </c>
      <c r="D1944" s="125" t="str">
        <f>IFERROR(VLOOKUP($A1944,HeadJournal!$A$1:$NTR$890,COLUMN(HeadJournal!D$1),0),"")</f>
        <v>Доставлен</v>
      </c>
      <c r="E1944" s="95">
        <f>IFERROR(VLOOKUP($A1944,HeadJournal!$A$1:$NTR$890,COLUMN(HeadJournal!G$1),0),"")</f>
        <v>45142</v>
      </c>
      <c r="F1944" s="95" t="str">
        <f t="shared" si="154"/>
        <v>2023 08</v>
      </c>
      <c r="G1944" s="96" t="s">
        <v>5</v>
      </c>
      <c r="H1944" s="160" t="str">
        <f>RIGHT(Journal!$J1944,9)</f>
        <v>CAR-01524</v>
      </c>
      <c r="I1944" s="96" t="str">
        <f t="shared" si="156"/>
        <v>Carlson</v>
      </c>
      <c r="J1944" s="97" t="s">
        <v>878</v>
      </c>
      <c r="K1944" s="29">
        <v>30.25</v>
      </c>
      <c r="L1944" s="29">
        <v>-3.03</v>
      </c>
      <c r="M1944" s="30">
        <f>IFERROR(VLOOKUP($A1944,HeadJournal!$A$1:$J$890,COLUMN(HeadJournal!I$1),0)*($K1944+$L1944)/(SUMIF($A:$A,$A1944,$K:$K)+SUMIF($A:$A,$A1944,$L:$L)),0)</f>
        <v>-2.3438167855781278</v>
      </c>
      <c r="N1944" s="30">
        <f>IFERROR((VLOOKUP($A1944,HeadJournal!$A$1:$K$890,COLUMN(HeadJournal!K$1),0)-VLOOKUP($A1944,HeadJournal!$A$1:$K$890,COLUMN(HeadJournal!J$1),0))*($K1944+$L1944)/(SUMIF($A:$A,$A1944,$K:$K)+SUMIF($A:$A,$A1944,$L:$L)),0)</f>
        <v>4.2134901731692019E-15</v>
      </c>
      <c r="O1944" s="30">
        <f>IFERROR((VLOOKUP($A1944,HeadJournal!$A$1:$L$890,COLUMN(HeadJournal!L$1),0)*($K1944+$L1944)/(SUMIF($A:$A,$A1944,$K:$K)+SUMIF($A:$A,$A1944,$L:$L)))/VLOOKUP($A1944,HeadJournal!$A$1:$L$890,COLUMN(HeadJournal!H$1),0),0)</f>
        <v>1.8002622552821712</v>
      </c>
      <c r="P1944" s="30">
        <f>IFERROR(SUM(K1944:O1944)*VLOOKUP($A1944,HeadJournal!$A$1:$L$890,COLUMN(HeadJournal!H$1),0),0)</f>
        <v>2740.0493164860304</v>
      </c>
      <c r="Q1944" s="29">
        <v>3500</v>
      </c>
      <c r="R1944" s="31">
        <v>45167</v>
      </c>
      <c r="S1944" s="31" t="s">
        <v>3121</v>
      </c>
      <c r="T1944" s="95" t="str">
        <f t="shared" si="155"/>
        <v>2023 08</v>
      </c>
      <c r="U1944" s="32">
        <f t="shared" si="152"/>
        <v>759.95068351396958</v>
      </c>
      <c r="V1944" s="22">
        <f t="shared" si="153"/>
        <v>0.27734927212498733</v>
      </c>
      <c r="X1944" s="33"/>
      <c r="Y1944" s="33"/>
    </row>
    <row r="1945" spans="1:25" x14ac:dyDescent="0.2">
      <c r="A1945" s="93" t="s">
        <v>874</v>
      </c>
      <c r="B1945" s="94" t="str">
        <f>IFERROR(VLOOKUP($A1945,HeadJournal!$A$1:$NTR$890,COLUMN(HeadJournal!B$1),0),"")</f>
        <v>710000910338</v>
      </c>
      <c r="C1945" s="94" t="str">
        <f>IFERROR(VLOOKUP($A1945,HeadJournal!$A$1:$NTR$890,COLUMN(HeadJournal!C$1),0),"")</f>
        <v>iHerb_AV CYG0792</v>
      </c>
      <c r="D1945" s="125" t="str">
        <f>IFERROR(VLOOKUP($A1945,HeadJournal!$A$1:$NTR$890,COLUMN(HeadJournal!D$1),0),"")</f>
        <v>Доставлен</v>
      </c>
      <c r="E1945" s="95">
        <f>IFERROR(VLOOKUP($A1945,HeadJournal!$A$1:$NTR$890,COLUMN(HeadJournal!G$1),0),"")</f>
        <v>45142</v>
      </c>
      <c r="F1945" s="95" t="str">
        <f t="shared" si="154"/>
        <v>2023 08</v>
      </c>
      <c r="G1945" s="96" t="s">
        <v>5</v>
      </c>
      <c r="H1945" s="161" t="s">
        <v>2495</v>
      </c>
      <c r="I1945" s="97" t="s">
        <v>2102</v>
      </c>
      <c r="J1945" s="97" t="s">
        <v>2496</v>
      </c>
      <c r="K1945" s="29">
        <v>6.36</v>
      </c>
      <c r="L1945" s="29">
        <v>-3.18</v>
      </c>
      <c r="M1945" s="30">
        <f>IFERROR(VLOOKUP($A1945,HeadJournal!$A$1:$J$890,COLUMN(HeadJournal!I$1),0)*($K1945+$L1945)/(SUMIF($A:$A,$A1945,$K:$K)+SUMIF($A:$A,$A1945,$L:$L)),0)</f>
        <v>-0.27381841947606345</v>
      </c>
      <c r="N1945" s="30">
        <f>IFERROR((VLOOKUP($A1945,HeadJournal!$A$1:$K$890,COLUMN(HeadJournal!K$1),0)-VLOOKUP($A1945,HeadJournal!$A$1:$K$890,COLUMN(HeadJournal!J$1),0))*($K1945+$L1945)/(SUMIF($A:$A,$A1945,$K:$K)+SUMIF($A:$A,$A1945,$L:$L)),0)</f>
        <v>4.9224462713732775E-16</v>
      </c>
      <c r="O1945" s="30">
        <f>IFERROR((VLOOKUP($A1945,HeadJournal!$A$1:$L$890,COLUMN(HeadJournal!L$1),0)*($K1945+$L1945)/(SUMIF($A:$A,$A1945,$K:$K)+SUMIF($A:$A,$A1945,$L:$L)))/VLOOKUP($A1945,HeadJournal!$A$1:$L$890,COLUMN(HeadJournal!H$1),0),0)</f>
        <v>0.21031719220416256</v>
      </c>
      <c r="P1945" s="30">
        <f>IFERROR(SUM(K1945:O1945)*VLOOKUP($A1945,HeadJournal!$A$1:$L$890,COLUMN(HeadJournal!H$1),0),0)</f>
        <v>320.10862698110134</v>
      </c>
      <c r="Q1945" s="29">
        <v>1000</v>
      </c>
      <c r="R1945" s="31">
        <v>45172</v>
      </c>
      <c r="S1945" s="31" t="s">
        <v>3121</v>
      </c>
      <c r="T1945" s="95" t="str">
        <f t="shared" si="155"/>
        <v>2023 09</v>
      </c>
      <c r="U1945" s="32">
        <f t="shared" si="152"/>
        <v>679.89137301889866</v>
      </c>
      <c r="V1945" s="22">
        <f t="shared" si="153"/>
        <v>2.1239395496174436</v>
      </c>
      <c r="X1945" s="33"/>
      <c r="Y1945" s="33"/>
    </row>
    <row r="1946" spans="1:25" x14ac:dyDescent="0.2">
      <c r="A1946" s="93" t="s">
        <v>874</v>
      </c>
      <c r="B1946" s="94" t="str">
        <f>IFERROR(VLOOKUP($A1946,HeadJournal!$A$1:$NTR$890,COLUMN(HeadJournal!B$1),0),"")</f>
        <v>710000910338</v>
      </c>
      <c r="C1946" s="94" t="str">
        <f>IFERROR(VLOOKUP($A1946,HeadJournal!$A$1:$NTR$890,COLUMN(HeadJournal!C$1),0),"")</f>
        <v>iHerb_AV CYG0792</v>
      </c>
      <c r="D1946" s="125" t="str">
        <f>IFERROR(VLOOKUP($A1946,HeadJournal!$A$1:$NTR$890,COLUMN(HeadJournal!D$1),0),"")</f>
        <v>Доставлен</v>
      </c>
      <c r="E1946" s="95">
        <f>IFERROR(VLOOKUP($A1946,HeadJournal!$A$1:$NTR$890,COLUMN(HeadJournal!G$1),0),"")</f>
        <v>45142</v>
      </c>
      <c r="F1946" s="95" t="str">
        <f t="shared" si="154"/>
        <v>2023 08</v>
      </c>
      <c r="G1946" s="96" t="s">
        <v>6</v>
      </c>
      <c r="H1946" s="160" t="str">
        <f>RIGHT(Journal!$J1946,9)</f>
        <v>EVL-02018</v>
      </c>
      <c r="I1946" s="96" t="str">
        <f t="shared" si="156"/>
        <v>EVLution Nutrition</v>
      </c>
      <c r="J1946" s="97" t="s">
        <v>636</v>
      </c>
      <c r="K1946" s="29">
        <v>19.829999999999998</v>
      </c>
      <c r="L1946" s="29">
        <v>-3.97</v>
      </c>
      <c r="M1946" s="30">
        <f>IFERROR(VLOOKUP($A1946,HeadJournal!$A$1:$J$890,COLUMN(HeadJournal!I$1),0)*($K1946+$L1946)/(SUMIF($A:$A,$A1946,$K:$K)+SUMIF($A:$A,$A1946,$L:$L)),0)</f>
        <v>-1.3656478405315615</v>
      </c>
      <c r="N1946" s="30">
        <f>IFERROR((VLOOKUP($A1946,HeadJournal!$A$1:$K$890,COLUMN(HeadJournal!K$1),0)-VLOOKUP($A1946,HeadJournal!$A$1:$K$890,COLUMN(HeadJournal!J$1),0))*($K1946+$L1946)/(SUMIF($A:$A,$A1946,$K:$K)+SUMIF($A:$A,$A1946,$L:$L)),0)</f>
        <v>2.4550313793704457E-15</v>
      </c>
      <c r="O1946" s="30">
        <f>IFERROR((VLOOKUP($A1946,HeadJournal!$A$1:$L$890,COLUMN(HeadJournal!L$1),0)*($K1946+$L1946)/(SUMIF($A:$A,$A1946,$K:$K)+SUMIF($A:$A,$A1946,$L:$L)))/VLOOKUP($A1946,HeadJournal!$A$1:$L$890,COLUMN(HeadJournal!H$1),0),0)</f>
        <v>1.0489404617478042</v>
      </c>
      <c r="P1946" s="30">
        <f>IFERROR(SUM(K1946:O1946)*VLOOKUP($A1946,HeadJournal!$A$1:$L$890,COLUMN(HeadJournal!H$1),0),0)</f>
        <v>1596.5166112956811</v>
      </c>
      <c r="Q1946" s="29">
        <v>2500</v>
      </c>
      <c r="R1946" s="31">
        <v>45358</v>
      </c>
      <c r="S1946" s="31" t="s">
        <v>3121</v>
      </c>
      <c r="T1946" s="95" t="str">
        <f t="shared" si="155"/>
        <v>2024 03</v>
      </c>
      <c r="U1946" s="32">
        <f t="shared" si="152"/>
        <v>903.48338870431894</v>
      </c>
      <c r="V1946" s="22">
        <f t="shared" si="153"/>
        <v>0.56590916894443155</v>
      </c>
      <c r="X1946" s="33"/>
      <c r="Y1946" s="33"/>
    </row>
    <row r="1947" spans="1:25" x14ac:dyDescent="0.2">
      <c r="A1947" s="93" t="s">
        <v>879</v>
      </c>
      <c r="B1947" s="94" t="str">
        <f>IFERROR(VLOOKUP($A1947,HeadJournal!$A$1:$NTR$890,COLUMN(HeadJournal!B$1),0),"")</f>
        <v>710000894435</v>
      </c>
      <c r="C1947" s="94" t="str">
        <f>IFERROR(VLOOKUP($A1947,HeadJournal!$A$1:$NTR$890,COLUMN(HeadJournal!C$1),0),"")</f>
        <v>iHerb_OA CZN6870</v>
      </c>
      <c r="D1947" s="125" t="str">
        <f>IFERROR(VLOOKUP($A1947,HeadJournal!$A$1:$NTR$890,COLUMN(HeadJournal!D$1),0),"")</f>
        <v>Доставлен</v>
      </c>
      <c r="E1947" s="95">
        <f>IFERROR(VLOOKUP($A1947,HeadJournal!$A$1:$NTR$890,COLUMN(HeadJournal!G$1),0),"")</f>
        <v>45131</v>
      </c>
      <c r="F1947" s="95" t="str">
        <f t="shared" si="154"/>
        <v>2023 07</v>
      </c>
      <c r="G1947" s="96" t="s">
        <v>5</v>
      </c>
      <c r="H1947" s="160" t="str">
        <f>RIGHT(Journal!$J1947,9)</f>
        <v>NOW-01448</v>
      </c>
      <c r="I1947" s="96" t="str">
        <f t="shared" si="156"/>
        <v>NOW Foods</v>
      </c>
      <c r="J1947" s="97" t="s">
        <v>880</v>
      </c>
      <c r="K1947" s="29">
        <v>10.89</v>
      </c>
      <c r="L1947" s="29">
        <v>-1.66</v>
      </c>
      <c r="M1947" s="30">
        <f>IFERROR(VLOOKUP($A1947,HeadJournal!$A$1:$J$890,COLUMN(HeadJournal!I$1),0)*($K1947+$L1947)/(SUMIF($A:$A,$A1947,$K:$K)+SUMIF($A:$A,$A1947,$L:$L)),0)</f>
        <v>-0.75649505766062608</v>
      </c>
      <c r="N1947" s="30">
        <f>IFERROR((VLOOKUP($A1947,HeadJournal!$A$1:$K$890,COLUMN(HeadJournal!K$1),0)-VLOOKUP($A1947,HeadJournal!$A$1:$K$890,COLUMN(HeadJournal!J$1),0))*($K1947+$L1947)/(SUMIF($A:$A,$A1947,$K:$K)+SUMIF($A:$A,$A1947,$L:$L)),0)</f>
        <v>1.8007439459268881E-15</v>
      </c>
      <c r="O1947" s="30">
        <f>IFERROR((VLOOKUP($A1947,HeadJournal!$A$1:$L$890,COLUMN(HeadJournal!L$1),0)*($K1947+$L1947)/(SUMIF($A:$A,$A1947,$K:$K)+SUMIF($A:$A,$A1947,$L:$L)))/VLOOKUP($A1947,HeadJournal!$A$1:$L$890,COLUMN(HeadJournal!H$1),0),0)</f>
        <v>0.83702858794800217</v>
      </c>
      <c r="P1947" s="30">
        <f>IFERROR(SUM(K1947:O1947)*VLOOKUP($A1947,HeadJournal!$A$1:$L$890,COLUMN(HeadJournal!H$1),0),0)</f>
        <v>935.37445977484913</v>
      </c>
      <c r="Q1947" s="29">
        <v>1500</v>
      </c>
      <c r="R1947" s="31">
        <v>45190</v>
      </c>
      <c r="S1947" s="31" t="s">
        <v>3121</v>
      </c>
      <c r="T1947" s="95" t="str">
        <f t="shared" si="155"/>
        <v>2023 09</v>
      </c>
      <c r="U1947" s="32">
        <f t="shared" si="152"/>
        <v>564.62554022515087</v>
      </c>
      <c r="V1947" s="22">
        <f t="shared" si="153"/>
        <v>0.60363583196515758</v>
      </c>
      <c r="X1947" s="33"/>
      <c r="Y1947" s="33"/>
    </row>
    <row r="1948" spans="1:25" x14ac:dyDescent="0.2">
      <c r="A1948" s="93" t="s">
        <v>879</v>
      </c>
      <c r="B1948" s="94" t="str">
        <f>IFERROR(VLOOKUP($A1948,HeadJournal!$A$1:$NTR$890,COLUMN(HeadJournal!B$1),0),"")</f>
        <v>710000894435</v>
      </c>
      <c r="C1948" s="94" t="str">
        <f>IFERROR(VLOOKUP($A1948,HeadJournal!$A$1:$NTR$890,COLUMN(HeadJournal!C$1),0),"")</f>
        <v>iHerb_OA CZN6870</v>
      </c>
      <c r="D1948" s="125" t="str">
        <f>IFERROR(VLOOKUP($A1948,HeadJournal!$A$1:$NTR$890,COLUMN(HeadJournal!D$1),0),"")</f>
        <v>Доставлен</v>
      </c>
      <c r="E1948" s="95">
        <f>IFERROR(VLOOKUP($A1948,HeadJournal!$A$1:$NTR$890,COLUMN(HeadJournal!G$1),0),"")</f>
        <v>45131</v>
      </c>
      <c r="F1948" s="95" t="str">
        <f t="shared" si="154"/>
        <v>2023 07</v>
      </c>
      <c r="G1948" s="96" t="s">
        <v>5</v>
      </c>
      <c r="H1948" s="161" t="s">
        <v>3657</v>
      </c>
      <c r="I1948" s="97" t="s">
        <v>2005</v>
      </c>
      <c r="J1948" s="97" t="s">
        <v>3788</v>
      </c>
      <c r="K1948" s="29">
        <v>29.53</v>
      </c>
      <c r="L1948" s="29">
        <v>-4.42</v>
      </c>
      <c r="M1948" s="30">
        <f>IFERROR(VLOOKUP($A1948,HeadJournal!$A$1:$J$890,COLUMN(HeadJournal!I$1),0)*($K1948+$L1948)/(SUMIF($A:$A,$A1948,$K:$K)+SUMIF($A:$A,$A1948,$L:$L)),0)</f>
        <v>-2.0580271828665571</v>
      </c>
      <c r="N1948" s="30">
        <f>IFERROR((VLOOKUP($A1948,HeadJournal!$A$1:$K$890,COLUMN(HeadJournal!K$1),0)-VLOOKUP($A1948,HeadJournal!$A$1:$K$890,COLUMN(HeadJournal!J$1),0))*($K1948+$L1948)/(SUMIF($A:$A,$A1948,$K:$K)+SUMIF($A:$A,$A1948,$L:$L)),0)</f>
        <v>4.8988819590708726E-15</v>
      </c>
      <c r="O1948" s="30">
        <f>IFERROR((VLOOKUP($A1948,HeadJournal!$A$1:$L$890,COLUMN(HeadJournal!L$1),0)*($K1948+$L1948)/(SUMIF($A:$A,$A1948,$K:$K)+SUMIF($A:$A,$A1948,$L:$L)))/VLOOKUP($A1948,HeadJournal!$A$1:$L$890,COLUMN(HeadJournal!H$1),0),0)</f>
        <v>2.2771167760968938</v>
      </c>
      <c r="P1948" s="30">
        <f>IFERROR(SUM(K1948:O1948)*VLOOKUP($A1948,HeadJournal!$A$1:$L$890,COLUMN(HeadJournal!H$1),0),0)</f>
        <v>2544.6644295716642</v>
      </c>
      <c r="Q1948" s="29">
        <v>3000</v>
      </c>
      <c r="R1948" s="31">
        <v>45171</v>
      </c>
      <c r="S1948" s="31" t="s">
        <v>3121</v>
      </c>
      <c r="T1948" s="95" t="str">
        <f t="shared" si="155"/>
        <v>2023 09</v>
      </c>
      <c r="U1948" s="32">
        <f t="shared" si="152"/>
        <v>455.33557042833581</v>
      </c>
      <c r="V1948" s="22">
        <f t="shared" si="153"/>
        <v>0.17893737387800918</v>
      </c>
      <c r="X1948" s="33"/>
      <c r="Y1948" s="33"/>
    </row>
    <row r="1949" spans="1:25" x14ac:dyDescent="0.2">
      <c r="A1949" s="93" t="s">
        <v>879</v>
      </c>
      <c r="B1949" s="94" t="str">
        <f>IFERROR(VLOOKUP($A1949,HeadJournal!$A$1:$NTR$890,COLUMN(HeadJournal!B$1),0),"")</f>
        <v>710000894435</v>
      </c>
      <c r="C1949" s="94" t="str">
        <f>IFERROR(VLOOKUP($A1949,HeadJournal!$A$1:$NTR$890,COLUMN(HeadJournal!C$1),0),"")</f>
        <v>iHerb_OA CZN6870</v>
      </c>
      <c r="D1949" s="125" t="str">
        <f>IFERROR(VLOOKUP($A1949,HeadJournal!$A$1:$NTR$890,COLUMN(HeadJournal!D$1),0),"")</f>
        <v>Доставлен</v>
      </c>
      <c r="E1949" s="95">
        <f>IFERROR(VLOOKUP($A1949,HeadJournal!$A$1:$NTR$890,COLUMN(HeadJournal!G$1),0),"")</f>
        <v>45131</v>
      </c>
      <c r="F1949" s="95" t="str">
        <f t="shared" si="154"/>
        <v>2023 07</v>
      </c>
      <c r="G1949" s="96" t="s">
        <v>6</v>
      </c>
      <c r="H1949" s="160" t="str">
        <f>RIGHT(Journal!$J1949,9)</f>
        <v>EVL-02018</v>
      </c>
      <c r="I1949" s="96" t="str">
        <f t="shared" si="156"/>
        <v>EVLution Nutrition</v>
      </c>
      <c r="J1949" s="97" t="s">
        <v>636</v>
      </c>
      <c r="K1949" s="29">
        <v>19.829999999999998</v>
      </c>
      <c r="L1949" s="29">
        <v>-2.97</v>
      </c>
      <c r="M1949" s="30">
        <f>IFERROR(VLOOKUP($A1949,HeadJournal!$A$1:$J$890,COLUMN(HeadJournal!I$1),0)*($K1949+$L1949)/(SUMIF($A:$A,$A1949,$K:$K)+SUMIF($A:$A,$A1949,$L:$L)),0)</f>
        <v>-1.3818533772652388</v>
      </c>
      <c r="N1949" s="30">
        <f>IFERROR((VLOOKUP($A1949,HeadJournal!$A$1:$K$890,COLUMN(HeadJournal!K$1),0)-VLOOKUP($A1949,HeadJournal!$A$1:$K$890,COLUMN(HeadJournal!J$1),0))*($K1949+$L1949)/(SUMIF($A:$A,$A1949,$K:$K)+SUMIF($A:$A,$A1949,$L:$L)),0)</f>
        <v>3.2893329283128202E-15</v>
      </c>
      <c r="O1949" s="30">
        <f>IFERROR((VLOOKUP($A1949,HeadJournal!$A$1:$L$890,COLUMN(HeadJournal!L$1),0)*($K1949+$L1949)/(SUMIF($A:$A,$A1949,$K:$K)+SUMIF($A:$A,$A1949,$L:$L)))/VLOOKUP($A1949,HeadJournal!$A$1:$L$890,COLUMN(HeadJournal!H$1),0),0)</f>
        <v>1.5289601292311286</v>
      </c>
      <c r="P1949" s="30">
        <f>IFERROR(SUM(K1949:O1949)*VLOOKUP($A1949,HeadJournal!$A$1:$L$890,COLUMN(HeadJournal!H$1),0),0)</f>
        <v>1708.6038344316312</v>
      </c>
      <c r="Q1949" s="29"/>
      <c r="R1949" s="31"/>
      <c r="S1949" s="31"/>
      <c r="T1949" s="95" t="str">
        <f t="shared" si="155"/>
        <v/>
      </c>
      <c r="U1949" s="32">
        <f t="shared" si="152"/>
        <v>-1708.6038344316312</v>
      </c>
      <c r="V1949" s="22" t="str">
        <f t="shared" si="153"/>
        <v/>
      </c>
      <c r="X1949" s="33"/>
      <c r="Y1949" s="33"/>
    </row>
    <row r="1950" spans="1:25" x14ac:dyDescent="0.2">
      <c r="A1950" s="93" t="s">
        <v>879</v>
      </c>
      <c r="B1950" s="94" t="str">
        <f>IFERROR(VLOOKUP($A1950,HeadJournal!$A$1:$NTR$890,COLUMN(HeadJournal!B$1),0),"")</f>
        <v>710000894435</v>
      </c>
      <c r="C1950" s="94" t="str">
        <f>IFERROR(VLOOKUP($A1950,HeadJournal!$A$1:$NTR$890,COLUMN(HeadJournal!C$1),0),"")</f>
        <v>iHerb_OA CZN6870</v>
      </c>
      <c r="D1950" s="125" t="str">
        <f>IFERROR(VLOOKUP($A1950,HeadJournal!$A$1:$NTR$890,COLUMN(HeadJournal!D$1),0),"")</f>
        <v>Доставлен</v>
      </c>
      <c r="E1950" s="95">
        <f>IFERROR(VLOOKUP($A1950,HeadJournal!$A$1:$NTR$890,COLUMN(HeadJournal!G$1),0),"")</f>
        <v>45131</v>
      </c>
      <c r="F1950" s="95" t="str">
        <f t="shared" si="154"/>
        <v>2023 07</v>
      </c>
      <c r="G1950" s="96" t="s">
        <v>5</v>
      </c>
      <c r="H1950" s="160" t="str">
        <f>RIGHT(Journal!$J1950,9)</f>
        <v>HEE-31006</v>
      </c>
      <c r="I1950" s="96" t="str">
        <f t="shared" si="156"/>
        <v>MediNatura</v>
      </c>
      <c r="J1950" s="97" t="s">
        <v>881</v>
      </c>
      <c r="K1950" s="29">
        <v>13.02</v>
      </c>
      <c r="L1950" s="29">
        <v>-1.95</v>
      </c>
      <c r="M1950" s="30">
        <f>IFERROR(VLOOKUP($A1950,HeadJournal!$A$1:$J$890,COLUMN(HeadJournal!I$1),0)*($K1950+$L1950)/(SUMIF($A:$A,$A1950,$K:$K)+SUMIF($A:$A,$A1950,$L:$L)),0)</f>
        <v>-0.90730230642504139</v>
      </c>
      <c r="N1950" s="30">
        <f>IFERROR((VLOOKUP($A1950,HeadJournal!$A$1:$K$890,COLUMN(HeadJournal!K$1),0)-VLOOKUP($A1950,HeadJournal!$A$1:$K$890,COLUMN(HeadJournal!J$1),0))*($K1950+$L1950)/(SUMIF($A:$A,$A1950,$K:$K)+SUMIF($A:$A,$A1950,$L:$L)),0)</f>
        <v>2.1597221539989871E-15</v>
      </c>
      <c r="O1950" s="30">
        <f>IFERROR((VLOOKUP($A1950,HeadJournal!$A$1:$L$890,COLUMN(HeadJournal!L$1),0)*($K1950+$L1950)/(SUMIF($A:$A,$A1950,$K:$K)+SUMIF($A:$A,$A1950,$L:$L)))/VLOOKUP($A1950,HeadJournal!$A$1:$L$890,COLUMN(HeadJournal!H$1),0),0)</f>
        <v>1.0038901916126093</v>
      </c>
      <c r="P1950" s="30">
        <f>IFERROR(SUM(K1950:O1950)*VLOOKUP($A1950,HeadJournal!$A$1:$L$890,COLUMN(HeadJournal!H$1),0),0)</f>
        <v>1121.8413076606262</v>
      </c>
      <c r="Q1950" s="29">
        <v>1600</v>
      </c>
      <c r="R1950" s="31">
        <v>45167</v>
      </c>
      <c r="S1950" s="31" t="s">
        <v>3121</v>
      </c>
      <c r="T1950" s="95" t="str">
        <f t="shared" si="155"/>
        <v>2023 08</v>
      </c>
      <c r="U1950" s="32">
        <f t="shared" si="152"/>
        <v>478.15869233937383</v>
      </c>
      <c r="V1950" s="22">
        <f t="shared" si="153"/>
        <v>0.42622667669144521</v>
      </c>
      <c r="X1950" s="33"/>
      <c r="Y1950" s="33"/>
    </row>
    <row r="1951" spans="1:25" x14ac:dyDescent="0.2">
      <c r="A1951" s="93" t="s">
        <v>879</v>
      </c>
      <c r="B1951" s="94" t="str">
        <f>IFERROR(VLOOKUP($A1951,HeadJournal!$A$1:$NTR$890,COLUMN(HeadJournal!B$1),0),"")</f>
        <v>710000894435</v>
      </c>
      <c r="C1951" s="94" t="str">
        <f>IFERROR(VLOOKUP($A1951,HeadJournal!$A$1:$NTR$890,COLUMN(HeadJournal!C$1),0),"")</f>
        <v>iHerb_OA CZN6870</v>
      </c>
      <c r="D1951" s="125" t="str">
        <f>IFERROR(VLOOKUP($A1951,HeadJournal!$A$1:$NTR$890,COLUMN(HeadJournal!D$1),0),"")</f>
        <v>Доставлен</v>
      </c>
      <c r="E1951" s="95">
        <f>IFERROR(VLOOKUP($A1951,HeadJournal!$A$1:$NTR$890,COLUMN(HeadJournal!G$1),0),"")</f>
        <v>45131</v>
      </c>
      <c r="F1951" s="95" t="str">
        <f t="shared" si="154"/>
        <v>2023 07</v>
      </c>
      <c r="G1951" s="96" t="s">
        <v>5</v>
      </c>
      <c r="H1951" s="161" t="s">
        <v>2089</v>
      </c>
      <c r="I1951" s="97" t="s">
        <v>2005</v>
      </c>
      <c r="J1951" s="97" t="s">
        <v>3781</v>
      </c>
      <c r="K1951" s="29">
        <v>23</v>
      </c>
      <c r="L1951" s="29">
        <v>-3.4499999999999997</v>
      </c>
      <c r="M1951" s="30">
        <f>IFERROR(VLOOKUP($A1951,HeadJournal!$A$1:$J$890,COLUMN(HeadJournal!I$1),0)*($K1951+$L1951)/(SUMIF($A:$A,$A1951,$K:$K)+SUMIF($A:$A,$A1951,$L:$L)),0)</f>
        <v>-1.6023270181219111</v>
      </c>
      <c r="N1951" s="30">
        <f>IFERROR((VLOOKUP($A1951,HeadJournal!$A$1:$K$890,COLUMN(HeadJournal!K$1),0)-VLOOKUP($A1951,HeadJournal!$A$1:$K$890,COLUMN(HeadJournal!J$1),0))*($K1951+$L1951)/(SUMIF($A:$A,$A1951,$K:$K)+SUMIF($A:$A,$A1951,$L:$L)),0)</f>
        <v>3.814143460766052E-15</v>
      </c>
      <c r="O1951" s="30">
        <f>IFERROR((VLOOKUP($A1951,HeadJournal!$A$1:$L$890,COLUMN(HeadJournal!L$1),0)*($K1951+$L1951)/(SUMIF($A:$A,$A1951,$K:$K)+SUMIF($A:$A,$A1951,$L:$L)))/VLOOKUP($A1951,HeadJournal!$A$1:$L$890,COLUMN(HeadJournal!H$1),0),0)</f>
        <v>1.7729045389364511</v>
      </c>
      <c r="P1951" s="30">
        <f>IFERROR(SUM(K1951:O1951)*VLOOKUP($A1951,HeadJournal!$A$1:$L$890,COLUMN(HeadJournal!H$1),0),0)</f>
        <v>1981.2102587863815</v>
      </c>
      <c r="Q1951" s="29">
        <v>2900</v>
      </c>
      <c r="R1951" s="31">
        <v>45205</v>
      </c>
      <c r="S1951" s="31" t="s">
        <v>3121</v>
      </c>
      <c r="T1951" s="95" t="str">
        <f t="shared" si="155"/>
        <v>2023 10</v>
      </c>
      <c r="U1951" s="32">
        <f t="shared" si="152"/>
        <v>918.78974121361853</v>
      </c>
      <c r="V1951" s="22">
        <f t="shared" si="153"/>
        <v>0.46375175837037924</v>
      </c>
      <c r="X1951" s="33"/>
      <c r="Y1951" s="33"/>
    </row>
    <row r="1952" spans="1:25" x14ac:dyDescent="0.2">
      <c r="A1952" s="93" t="s">
        <v>879</v>
      </c>
      <c r="B1952" s="94" t="str">
        <f>IFERROR(VLOOKUP($A1952,HeadJournal!$A$1:$NTR$890,COLUMN(HeadJournal!B$1),0),"")</f>
        <v>710000894435</v>
      </c>
      <c r="C1952" s="94" t="str">
        <f>IFERROR(VLOOKUP($A1952,HeadJournal!$A$1:$NTR$890,COLUMN(HeadJournal!C$1),0),"")</f>
        <v>iHerb_OA CZN6870</v>
      </c>
      <c r="D1952" s="125" t="str">
        <f>IFERROR(VLOOKUP($A1952,HeadJournal!$A$1:$NTR$890,COLUMN(HeadJournal!D$1),0),"")</f>
        <v>Доставлен</v>
      </c>
      <c r="E1952" s="95">
        <f>IFERROR(VLOOKUP($A1952,HeadJournal!$A$1:$NTR$890,COLUMN(HeadJournal!G$1),0),"")</f>
        <v>45131</v>
      </c>
      <c r="F1952" s="95" t="str">
        <f t="shared" si="154"/>
        <v>2023 07</v>
      </c>
      <c r="G1952" s="96" t="s">
        <v>5</v>
      </c>
      <c r="H1952" s="161" t="s">
        <v>2089</v>
      </c>
      <c r="I1952" s="97" t="s">
        <v>2005</v>
      </c>
      <c r="J1952" s="97" t="s">
        <v>3781</v>
      </c>
      <c r="K1952" s="29">
        <v>23</v>
      </c>
      <c r="L1952" s="29">
        <v>-3.4499999999999997</v>
      </c>
      <c r="M1952" s="30">
        <f>IFERROR(VLOOKUP($A1952,HeadJournal!$A$1:$J$890,COLUMN(HeadJournal!I$1),0)*($K1952+$L1952)/(SUMIF($A:$A,$A1952,$K:$K)+SUMIF($A:$A,$A1952,$L:$L)),0)</f>
        <v>-1.6023270181219111</v>
      </c>
      <c r="N1952" s="30">
        <f>IFERROR((VLOOKUP($A1952,HeadJournal!$A$1:$K$890,COLUMN(HeadJournal!K$1),0)-VLOOKUP($A1952,HeadJournal!$A$1:$K$890,COLUMN(HeadJournal!J$1),0))*($K1952+$L1952)/(SUMIF($A:$A,$A1952,$K:$K)+SUMIF($A:$A,$A1952,$L:$L)),0)</f>
        <v>3.814143460766052E-15</v>
      </c>
      <c r="O1952" s="30">
        <f>IFERROR((VLOOKUP($A1952,HeadJournal!$A$1:$L$890,COLUMN(HeadJournal!L$1),0)*($K1952+$L1952)/(SUMIF($A:$A,$A1952,$K:$K)+SUMIF($A:$A,$A1952,$L:$L)))/VLOOKUP($A1952,HeadJournal!$A$1:$L$890,COLUMN(HeadJournal!H$1),0),0)</f>
        <v>1.7729045389364511</v>
      </c>
      <c r="P1952" s="30">
        <f>IFERROR(SUM(K1952:O1952)*VLOOKUP($A1952,HeadJournal!$A$1:$L$890,COLUMN(HeadJournal!H$1),0),0)</f>
        <v>1981.2102587863815</v>
      </c>
      <c r="Q1952" s="29">
        <v>2900</v>
      </c>
      <c r="R1952" s="31">
        <v>45205</v>
      </c>
      <c r="S1952" s="31" t="s">
        <v>3121</v>
      </c>
      <c r="T1952" s="95" t="str">
        <f t="shared" si="155"/>
        <v>2023 10</v>
      </c>
      <c r="U1952" s="32">
        <f t="shared" si="152"/>
        <v>918.78974121361853</v>
      </c>
      <c r="V1952" s="22">
        <f t="shared" si="153"/>
        <v>0.46375175837037924</v>
      </c>
      <c r="X1952" s="33"/>
      <c r="Y1952" s="33"/>
    </row>
    <row r="1953" spans="1:25" x14ac:dyDescent="0.2">
      <c r="A1953" s="93" t="s">
        <v>879</v>
      </c>
      <c r="B1953" s="94" t="str">
        <f>IFERROR(VLOOKUP($A1953,HeadJournal!$A$1:$NTR$890,COLUMN(HeadJournal!B$1),0),"")</f>
        <v>710000894435</v>
      </c>
      <c r="C1953" s="94" t="str">
        <f>IFERROR(VLOOKUP($A1953,HeadJournal!$A$1:$NTR$890,COLUMN(HeadJournal!C$1),0),"")</f>
        <v>iHerb_OA CZN6870</v>
      </c>
      <c r="D1953" s="125" t="str">
        <f>IFERROR(VLOOKUP($A1953,HeadJournal!$A$1:$NTR$890,COLUMN(HeadJournal!D$1),0),"")</f>
        <v>Доставлен</v>
      </c>
      <c r="E1953" s="95">
        <f>IFERROR(VLOOKUP($A1953,HeadJournal!$A$1:$NTR$890,COLUMN(HeadJournal!G$1),0),"")</f>
        <v>45131</v>
      </c>
      <c r="F1953" s="95" t="str">
        <f t="shared" si="154"/>
        <v>2023 07</v>
      </c>
      <c r="G1953" s="96" t="s">
        <v>5</v>
      </c>
      <c r="H1953" s="161" t="s">
        <v>2089</v>
      </c>
      <c r="I1953" s="97" t="s">
        <v>2005</v>
      </c>
      <c r="J1953" s="97" t="s">
        <v>3781</v>
      </c>
      <c r="K1953" s="29">
        <v>23</v>
      </c>
      <c r="L1953" s="29">
        <v>-3.4499999999999997</v>
      </c>
      <c r="M1953" s="30">
        <f>IFERROR(VLOOKUP($A1953,HeadJournal!$A$1:$J$890,COLUMN(HeadJournal!I$1),0)*($K1953+$L1953)/(SUMIF($A:$A,$A1953,$K:$K)+SUMIF($A:$A,$A1953,$L:$L)),0)</f>
        <v>-1.6023270181219111</v>
      </c>
      <c r="N1953" s="30">
        <f>IFERROR((VLOOKUP($A1953,HeadJournal!$A$1:$K$890,COLUMN(HeadJournal!K$1),0)-VLOOKUP($A1953,HeadJournal!$A$1:$K$890,COLUMN(HeadJournal!J$1),0))*($K1953+$L1953)/(SUMIF($A:$A,$A1953,$K:$K)+SUMIF($A:$A,$A1953,$L:$L)),0)</f>
        <v>3.814143460766052E-15</v>
      </c>
      <c r="O1953" s="30">
        <f>IFERROR((VLOOKUP($A1953,HeadJournal!$A$1:$L$890,COLUMN(HeadJournal!L$1),0)*($K1953+$L1953)/(SUMIF($A:$A,$A1953,$K:$K)+SUMIF($A:$A,$A1953,$L:$L)))/VLOOKUP($A1953,HeadJournal!$A$1:$L$890,COLUMN(HeadJournal!H$1),0),0)</f>
        <v>1.7729045389364511</v>
      </c>
      <c r="P1953" s="30">
        <f>IFERROR(SUM(K1953:O1953)*VLOOKUP($A1953,HeadJournal!$A$1:$L$890,COLUMN(HeadJournal!H$1),0),0)</f>
        <v>1981.2102587863815</v>
      </c>
      <c r="Q1953" s="29">
        <v>2800</v>
      </c>
      <c r="R1953" s="31">
        <v>45221</v>
      </c>
      <c r="S1953" s="31" t="s">
        <v>3121</v>
      </c>
      <c r="T1953" s="95" t="str">
        <f t="shared" si="155"/>
        <v>2023 10</v>
      </c>
      <c r="U1953" s="32">
        <f t="shared" si="152"/>
        <v>818.78974121361853</v>
      </c>
      <c r="V1953" s="22">
        <f t="shared" si="153"/>
        <v>0.41327755980588343</v>
      </c>
      <c r="X1953" s="33"/>
      <c r="Y1953" s="33"/>
    </row>
    <row r="1954" spans="1:25" x14ac:dyDescent="0.2">
      <c r="A1954" s="93" t="s">
        <v>879</v>
      </c>
      <c r="B1954" s="94" t="str">
        <f>IFERROR(VLOOKUP($A1954,HeadJournal!$A$1:$NTR$890,COLUMN(HeadJournal!B$1),0),"")</f>
        <v>710000894435</v>
      </c>
      <c r="C1954" s="94" t="str">
        <f>IFERROR(VLOOKUP($A1954,HeadJournal!$A$1:$NTR$890,COLUMN(HeadJournal!C$1),0),"")</f>
        <v>iHerb_OA CZN6870</v>
      </c>
      <c r="D1954" s="125" t="str">
        <f>IFERROR(VLOOKUP($A1954,HeadJournal!$A$1:$NTR$890,COLUMN(HeadJournal!D$1),0),"")</f>
        <v>Доставлен</v>
      </c>
      <c r="E1954" s="95">
        <f>IFERROR(VLOOKUP($A1954,HeadJournal!$A$1:$NTR$890,COLUMN(HeadJournal!G$1),0),"")</f>
        <v>45131</v>
      </c>
      <c r="F1954" s="95" t="str">
        <f t="shared" si="154"/>
        <v>2023 07</v>
      </c>
      <c r="G1954" s="96" t="s">
        <v>5</v>
      </c>
      <c r="H1954" s="160" t="str">
        <f>RIGHT(Journal!$J1954,9)</f>
        <v>LKN-01542</v>
      </c>
      <c r="I1954" s="96" t="str">
        <f t="shared" si="156"/>
        <v>Lake Avenue Nutrition</v>
      </c>
      <c r="J1954" s="97" t="s">
        <v>338</v>
      </c>
      <c r="K1954" s="29">
        <v>14.56</v>
      </c>
      <c r="L1954" s="29">
        <v>-2.1800000000000002</v>
      </c>
      <c r="M1954" s="30">
        <f>IFERROR(VLOOKUP($A1954,HeadJournal!$A$1:$J$890,COLUMN(HeadJournal!I$1),0)*($K1954+$L1954)/(SUMIF($A:$A,$A1954,$K:$K)+SUMIF($A:$A,$A1954,$L:$L)),0)</f>
        <v>-1.0146705107084022</v>
      </c>
      <c r="N1954" s="30">
        <f>IFERROR((VLOOKUP($A1954,HeadJournal!$A$1:$K$890,COLUMN(HeadJournal!K$1),0)-VLOOKUP($A1954,HeadJournal!$A$1:$K$890,COLUMN(HeadJournal!J$1),0))*($K1954+$L1954)/(SUMIF($A:$A,$A1954,$K:$K)+SUMIF($A:$A,$A1954,$L:$L)),0)</f>
        <v>2.4152990303981446E-15</v>
      </c>
      <c r="O1954" s="30">
        <f>IFERROR((VLOOKUP($A1954,HeadJournal!$A$1:$L$890,COLUMN(HeadJournal!L$1),0)*($K1954+$L1954)/(SUMIF($A:$A,$A1954,$K:$K)+SUMIF($A:$A,$A1954,$L:$L)))/VLOOKUP($A1954,HeadJournal!$A$1:$L$890,COLUMN(HeadJournal!H$1),0),0)</f>
        <v>1.1226883985694764</v>
      </c>
      <c r="P1954" s="30">
        <f>IFERROR(SUM(K1954:O1954)*VLOOKUP($A1954,HeadJournal!$A$1:$L$890,COLUMN(HeadJournal!H$1),0),0)</f>
        <v>1254.5975961010436</v>
      </c>
      <c r="Q1954" s="29">
        <v>2200</v>
      </c>
      <c r="R1954" s="31">
        <v>45176</v>
      </c>
      <c r="S1954" s="31" t="s">
        <v>3121</v>
      </c>
      <c r="T1954" s="95" t="str">
        <f t="shared" si="155"/>
        <v>2023 09</v>
      </c>
      <c r="U1954" s="32">
        <f t="shared" si="152"/>
        <v>945.40240389895644</v>
      </c>
      <c r="V1954" s="22">
        <f t="shared" si="153"/>
        <v>0.75355030715586913</v>
      </c>
      <c r="X1954" s="33"/>
      <c r="Y1954" s="33"/>
    </row>
    <row r="1955" spans="1:25" x14ac:dyDescent="0.2">
      <c r="A1955" s="93" t="s">
        <v>879</v>
      </c>
      <c r="B1955" s="94" t="str">
        <f>IFERROR(VLOOKUP($A1955,HeadJournal!$A$1:$NTR$890,COLUMN(HeadJournal!B$1),0),"")</f>
        <v>710000894435</v>
      </c>
      <c r="C1955" s="94" t="str">
        <f>IFERROR(VLOOKUP($A1955,HeadJournal!$A$1:$NTR$890,COLUMN(HeadJournal!C$1),0),"")</f>
        <v>iHerb_OA CZN6870</v>
      </c>
      <c r="D1955" s="125" t="str">
        <f>IFERROR(VLOOKUP($A1955,HeadJournal!$A$1:$NTR$890,COLUMN(HeadJournal!D$1),0),"")</f>
        <v>Доставлен</v>
      </c>
      <c r="E1955" s="95">
        <f>IFERROR(VLOOKUP($A1955,HeadJournal!$A$1:$NTR$890,COLUMN(HeadJournal!G$1),0),"")</f>
        <v>45131</v>
      </c>
      <c r="F1955" s="95" t="str">
        <f t="shared" si="154"/>
        <v>2023 07</v>
      </c>
      <c r="G1955" s="96" t="s">
        <v>5</v>
      </c>
      <c r="H1955" s="160" t="str">
        <f>RIGHT(Journal!$J1955,9)</f>
        <v>LKN-01542</v>
      </c>
      <c r="I1955" s="96" t="str">
        <f t="shared" si="156"/>
        <v>Lake Avenue Nutrition</v>
      </c>
      <c r="J1955" s="97" t="s">
        <v>338</v>
      </c>
      <c r="K1955" s="29">
        <v>14.56</v>
      </c>
      <c r="L1955" s="29">
        <v>-2.1800000000000002</v>
      </c>
      <c r="M1955" s="30">
        <f>IFERROR(VLOOKUP($A1955,HeadJournal!$A$1:$J$890,COLUMN(HeadJournal!I$1),0)*($K1955+$L1955)/(SUMIF($A:$A,$A1955,$K:$K)+SUMIF($A:$A,$A1955,$L:$L)),0)</f>
        <v>-1.0146705107084022</v>
      </c>
      <c r="N1955" s="30">
        <f>IFERROR((VLOOKUP($A1955,HeadJournal!$A$1:$K$890,COLUMN(HeadJournal!K$1),0)-VLOOKUP($A1955,HeadJournal!$A$1:$K$890,COLUMN(HeadJournal!J$1),0))*($K1955+$L1955)/(SUMIF($A:$A,$A1955,$K:$K)+SUMIF($A:$A,$A1955,$L:$L)),0)</f>
        <v>2.4152990303981446E-15</v>
      </c>
      <c r="O1955" s="30">
        <f>IFERROR((VLOOKUP($A1955,HeadJournal!$A$1:$L$890,COLUMN(HeadJournal!L$1),0)*($K1955+$L1955)/(SUMIF($A:$A,$A1955,$K:$K)+SUMIF($A:$A,$A1955,$L:$L)))/VLOOKUP($A1955,HeadJournal!$A$1:$L$890,COLUMN(HeadJournal!H$1),0),0)</f>
        <v>1.1226883985694764</v>
      </c>
      <c r="P1955" s="30">
        <f>IFERROR(SUM(K1955:O1955)*VLOOKUP($A1955,HeadJournal!$A$1:$L$890,COLUMN(HeadJournal!H$1),0),0)</f>
        <v>1254.5975961010436</v>
      </c>
      <c r="Q1955" s="29">
        <v>2500</v>
      </c>
      <c r="R1955" s="31">
        <v>45449</v>
      </c>
      <c r="S1955" s="31" t="s">
        <v>3121</v>
      </c>
      <c r="T1955" s="95" t="str">
        <f t="shared" si="155"/>
        <v>2024 06</v>
      </c>
      <c r="U1955" s="32">
        <f t="shared" si="152"/>
        <v>1245.4024038989564</v>
      </c>
      <c r="V1955" s="22">
        <f t="shared" si="153"/>
        <v>0.99267080358621496</v>
      </c>
      <c r="X1955" s="33"/>
      <c r="Y1955" s="33"/>
    </row>
    <row r="1956" spans="1:25" x14ac:dyDescent="0.2">
      <c r="A1956" s="93" t="s">
        <v>882</v>
      </c>
      <c r="B1956" s="94" t="str">
        <f>IFERROR(VLOOKUP($A1956,HeadJournal!$A$1:$NTR$890,COLUMN(HeadJournal!B$1),0),"")</f>
        <v>710000917468</v>
      </c>
      <c r="C1956" s="94" t="str">
        <f>IFERROR(VLOOKUP($A1956,HeadJournal!$A$1:$NTR$890,COLUMN(HeadJournal!C$1),0),"")</f>
        <v>iHerb_OA CZN6870</v>
      </c>
      <c r="D1956" s="125" t="str">
        <f>IFERROR(VLOOKUP($A1956,HeadJournal!$A$1:$NTR$890,COLUMN(HeadJournal!D$1),0),"")</f>
        <v>Доставлен</v>
      </c>
      <c r="E1956" s="95">
        <f>IFERROR(VLOOKUP($A1956,HeadJournal!$A$1:$NTR$890,COLUMN(HeadJournal!G$1),0),"")</f>
        <v>45146</v>
      </c>
      <c r="F1956" s="95" t="str">
        <f t="shared" si="154"/>
        <v>2023 08</v>
      </c>
      <c r="G1956" s="96" t="s">
        <v>5</v>
      </c>
      <c r="H1956" s="161" t="s">
        <v>2665</v>
      </c>
      <c r="I1956" s="97" t="s">
        <v>2666</v>
      </c>
      <c r="J1956" s="97" t="s">
        <v>3930</v>
      </c>
      <c r="K1956" s="29">
        <v>9.35</v>
      </c>
      <c r="L1956" s="29">
        <v>-0.94</v>
      </c>
      <c r="M1956" s="30">
        <f>IFERROR(VLOOKUP($A1956,HeadJournal!$A$1:$J$890,COLUMN(HeadJournal!I$1),0)*($K1956+$L1956)/(SUMIF($A:$A,$A1956,$K:$K)+SUMIF($A:$A,$A1956,$L:$L)),0)</f>
        <v>-0.7059025153837849</v>
      </c>
      <c r="N1956" s="30">
        <f>IFERROR((VLOOKUP($A1956,HeadJournal!$A$1:$K$890,COLUMN(HeadJournal!K$1),0)-VLOOKUP($A1956,HeadJournal!$A$1:$K$890,COLUMN(HeadJournal!J$1),0))*($K1956+$L1956)/(SUMIF($A:$A,$A1956,$K:$K)+SUMIF($A:$A,$A1956,$L:$L)),0)</f>
        <v>-2.5804445245568138E-15</v>
      </c>
      <c r="O1956" s="30">
        <f>IFERROR((VLOOKUP($A1956,HeadJournal!$A$1:$L$890,COLUMN(HeadJournal!L$1),0)*($K1956+$L1956)/(SUMIF($A:$A,$A1956,$K:$K)+SUMIF($A:$A,$A1956,$L:$L)))/VLOOKUP($A1956,HeadJournal!$A$1:$L$890,COLUMN(HeadJournal!H$1),0),0)</f>
        <v>0.39702336835986501</v>
      </c>
      <c r="P1956" s="30">
        <f>IFERROR(SUM(K1956:O1956)*VLOOKUP($A1956,HeadJournal!$A$1:$L$890,COLUMN(HeadJournal!H$1),0),0)</f>
        <v>861.48887725358929</v>
      </c>
      <c r="Q1956" s="29">
        <v>1400</v>
      </c>
      <c r="R1956" s="31">
        <v>45175</v>
      </c>
      <c r="S1956" s="31" t="s">
        <v>3121</v>
      </c>
      <c r="T1956" s="95" t="str">
        <f t="shared" si="155"/>
        <v>2023 09</v>
      </c>
      <c r="U1956" s="32">
        <f t="shared" si="152"/>
        <v>538.51112274641071</v>
      </c>
      <c r="V1956" s="22">
        <f t="shared" si="153"/>
        <v>0.62509352931308215</v>
      </c>
      <c r="X1956" s="33"/>
      <c r="Y1956" s="33"/>
    </row>
    <row r="1957" spans="1:25" x14ac:dyDescent="0.2">
      <c r="A1957" s="93" t="s">
        <v>882</v>
      </c>
      <c r="B1957" s="94" t="str">
        <f>IFERROR(VLOOKUP($A1957,HeadJournal!$A$1:$NTR$890,COLUMN(HeadJournal!B$1),0),"")</f>
        <v>710000917468</v>
      </c>
      <c r="C1957" s="94" t="str">
        <f>IFERROR(VLOOKUP($A1957,HeadJournal!$A$1:$NTR$890,COLUMN(HeadJournal!C$1),0),"")</f>
        <v>iHerb_OA CZN6870</v>
      </c>
      <c r="D1957" s="125" t="str">
        <f>IFERROR(VLOOKUP($A1957,HeadJournal!$A$1:$NTR$890,COLUMN(HeadJournal!D$1),0),"")</f>
        <v>Доставлен</v>
      </c>
      <c r="E1957" s="95">
        <f>IFERROR(VLOOKUP($A1957,HeadJournal!$A$1:$NTR$890,COLUMN(HeadJournal!G$1),0),"")</f>
        <v>45146</v>
      </c>
      <c r="F1957" s="95" t="str">
        <f t="shared" si="154"/>
        <v>2023 08</v>
      </c>
      <c r="G1957" s="96" t="s">
        <v>5</v>
      </c>
      <c r="H1957" s="160" t="str">
        <f>RIGHT(Journal!$J1957,9)</f>
        <v>NFS-39184</v>
      </c>
      <c r="I1957" s="96" t="str">
        <f t="shared" si="156"/>
        <v>BioSil</v>
      </c>
      <c r="J1957" s="97" t="s">
        <v>883</v>
      </c>
      <c r="K1957" s="29">
        <v>36.979999999999997</v>
      </c>
      <c r="L1957" s="29">
        <v>-7.3949999999999996</v>
      </c>
      <c r="M1957" s="30">
        <f>IFERROR(VLOOKUP($A1957,HeadJournal!$A$1:$J$890,COLUMN(HeadJournal!I$1),0)*($K1957+$L1957)/(SUMIF($A:$A,$A1957,$K:$K)+SUMIF($A:$A,$A1957,$L:$L)),0)</f>
        <v>-2.4832492173162035</v>
      </c>
      <c r="N1957" s="30">
        <f>IFERROR((VLOOKUP($A1957,HeadJournal!$A$1:$K$890,COLUMN(HeadJournal!K$1),0)-VLOOKUP($A1957,HeadJournal!$A$1:$K$890,COLUMN(HeadJournal!J$1),0))*($K1957+$L1957)/(SUMIF($A:$A,$A1957,$K:$K)+SUMIF($A:$A,$A1957,$L:$L)),0)</f>
        <v>-9.0775804112976598E-15</v>
      </c>
      <c r="O1957" s="30">
        <f>IFERROR((VLOOKUP($A1957,HeadJournal!$A$1:$L$890,COLUMN(HeadJournal!L$1),0)*($K1957+$L1957)/(SUMIF($A:$A,$A1957,$K:$K)+SUMIF($A:$A,$A1957,$L:$L)))/VLOOKUP($A1957,HeadJournal!$A$1:$L$890,COLUMN(HeadJournal!H$1),0),0)</f>
        <v>1.3966630621791445</v>
      </c>
      <c r="P1957" s="30">
        <f>IFERROR(SUM(K1957:O1957)*VLOOKUP($A1957,HeadJournal!$A$1:$L$890,COLUMN(HeadJournal!H$1),0),0)</f>
        <v>3030.5765081507056</v>
      </c>
      <c r="Q1957" s="29">
        <v>3030.58</v>
      </c>
      <c r="R1957" s="31">
        <v>45147</v>
      </c>
      <c r="S1957" s="31" t="s">
        <v>3121</v>
      </c>
      <c r="T1957" s="95" t="str">
        <f t="shared" si="155"/>
        <v>2023 08</v>
      </c>
      <c r="U1957" s="32">
        <f t="shared" si="152"/>
        <v>3.4918492942779267E-3</v>
      </c>
      <c r="V1957" s="22">
        <f t="shared" si="153"/>
        <v>1.1522062831565651E-6</v>
      </c>
      <c r="X1957" s="33"/>
      <c r="Y1957" s="33"/>
    </row>
    <row r="1958" spans="1:25" x14ac:dyDescent="0.2">
      <c r="A1958" s="93" t="s">
        <v>882</v>
      </c>
      <c r="B1958" s="94" t="str">
        <f>IFERROR(VLOOKUP($A1958,HeadJournal!$A$1:$NTR$890,COLUMN(HeadJournal!B$1),0),"")</f>
        <v>710000917468</v>
      </c>
      <c r="C1958" s="94" t="str">
        <f>IFERROR(VLOOKUP($A1958,HeadJournal!$A$1:$NTR$890,COLUMN(HeadJournal!C$1),0),"")</f>
        <v>iHerb_OA CZN6870</v>
      </c>
      <c r="D1958" s="125" t="str">
        <f>IFERROR(VLOOKUP($A1958,HeadJournal!$A$1:$NTR$890,COLUMN(HeadJournal!D$1),0),"")</f>
        <v>Доставлен</v>
      </c>
      <c r="E1958" s="95">
        <f>IFERROR(VLOOKUP($A1958,HeadJournal!$A$1:$NTR$890,COLUMN(HeadJournal!G$1),0),"")</f>
        <v>45146</v>
      </c>
      <c r="F1958" s="95" t="str">
        <f t="shared" si="154"/>
        <v>2023 08</v>
      </c>
      <c r="G1958" s="96" t="s">
        <v>5</v>
      </c>
      <c r="H1958" s="160" t="str">
        <f>RIGHT(Journal!$J1958,9)</f>
        <v>NFS-39184</v>
      </c>
      <c r="I1958" s="96" t="str">
        <f t="shared" si="156"/>
        <v>BioSil</v>
      </c>
      <c r="J1958" s="97" t="s">
        <v>883</v>
      </c>
      <c r="K1958" s="29">
        <v>36.979999999999997</v>
      </c>
      <c r="L1958" s="29">
        <v>-7.3949999999999996</v>
      </c>
      <c r="M1958" s="30">
        <f>IFERROR(VLOOKUP($A1958,HeadJournal!$A$1:$J$890,COLUMN(HeadJournal!I$1),0)*($K1958+$L1958)/(SUMIF($A:$A,$A1958,$K:$K)+SUMIF($A:$A,$A1958,$L:$L)),0)</f>
        <v>-2.4832492173162035</v>
      </c>
      <c r="N1958" s="30">
        <f>IFERROR((VLOOKUP($A1958,HeadJournal!$A$1:$K$890,COLUMN(HeadJournal!K$1),0)-VLOOKUP($A1958,HeadJournal!$A$1:$K$890,COLUMN(HeadJournal!J$1),0))*($K1958+$L1958)/(SUMIF($A:$A,$A1958,$K:$K)+SUMIF($A:$A,$A1958,$L:$L)),0)</f>
        <v>-9.0775804112976598E-15</v>
      </c>
      <c r="O1958" s="30">
        <f>IFERROR((VLOOKUP($A1958,HeadJournal!$A$1:$L$890,COLUMN(HeadJournal!L$1),0)*($K1958+$L1958)/(SUMIF($A:$A,$A1958,$K:$K)+SUMIF($A:$A,$A1958,$L:$L)))/VLOOKUP($A1958,HeadJournal!$A$1:$L$890,COLUMN(HeadJournal!H$1),0),0)</f>
        <v>1.3966630621791445</v>
      </c>
      <c r="P1958" s="30">
        <f>IFERROR(SUM(K1958:O1958)*VLOOKUP($A1958,HeadJournal!$A$1:$L$890,COLUMN(HeadJournal!H$1),0),0)</f>
        <v>3030.5765081507056</v>
      </c>
      <c r="Q1958" s="29">
        <v>4000</v>
      </c>
      <c r="R1958" s="31">
        <v>45197</v>
      </c>
      <c r="S1958" s="31" t="s">
        <v>3121</v>
      </c>
      <c r="T1958" s="95" t="str">
        <f t="shared" si="155"/>
        <v>2023 09</v>
      </c>
      <c r="U1958" s="32">
        <f t="shared" si="152"/>
        <v>969.42349184929435</v>
      </c>
      <c r="V1958" s="22">
        <f t="shared" si="153"/>
        <v>0.31988088379951451</v>
      </c>
      <c r="X1958" s="33"/>
      <c r="Y1958" s="33"/>
    </row>
    <row r="1959" spans="1:25" x14ac:dyDescent="0.2">
      <c r="A1959" s="93" t="s">
        <v>882</v>
      </c>
      <c r="B1959" s="94" t="str">
        <f>IFERROR(VLOOKUP($A1959,HeadJournal!$A$1:$NTR$890,COLUMN(HeadJournal!B$1),0),"")</f>
        <v>710000917468</v>
      </c>
      <c r="C1959" s="94" t="str">
        <f>IFERROR(VLOOKUP($A1959,HeadJournal!$A$1:$NTR$890,COLUMN(HeadJournal!C$1),0),"")</f>
        <v>iHerb_OA CZN6870</v>
      </c>
      <c r="D1959" s="125" t="str">
        <f>IFERROR(VLOOKUP($A1959,HeadJournal!$A$1:$NTR$890,COLUMN(HeadJournal!D$1),0),"")</f>
        <v>Доставлен</v>
      </c>
      <c r="E1959" s="95">
        <f>IFERROR(VLOOKUP($A1959,HeadJournal!$A$1:$NTR$890,COLUMN(HeadJournal!G$1),0),"")</f>
        <v>45146</v>
      </c>
      <c r="F1959" s="95" t="str">
        <f t="shared" si="154"/>
        <v>2023 08</v>
      </c>
      <c r="G1959" s="96" t="s">
        <v>5</v>
      </c>
      <c r="H1959" s="161" t="s">
        <v>2831</v>
      </c>
      <c r="I1959" s="97" t="s">
        <v>2005</v>
      </c>
      <c r="J1959" s="97" t="s">
        <v>3911</v>
      </c>
      <c r="K1959" s="29">
        <v>13.51</v>
      </c>
      <c r="L1959" s="29">
        <v>-2.7</v>
      </c>
      <c r="M1959" s="30">
        <f>IFERROR(VLOOKUP($A1959,HeadJournal!$A$1:$J$890,COLUMN(HeadJournal!I$1),0)*($K1959+$L1959)/(SUMIF($A:$A,$A1959,$K:$K)+SUMIF($A:$A,$A1959,$L:$L)),0)</f>
        <v>-0.90734913095109548</v>
      </c>
      <c r="N1959" s="30">
        <f>IFERROR((VLOOKUP($A1959,HeadJournal!$A$1:$K$890,COLUMN(HeadJournal!K$1),0)-VLOOKUP($A1959,HeadJournal!$A$1:$K$890,COLUMN(HeadJournal!J$1),0))*($K1959+$L1959)/(SUMIF($A:$A,$A1959,$K:$K)+SUMIF($A:$A,$A1959,$L:$L)),0)</f>
        <v>-3.3168377301378303E-15</v>
      </c>
      <c r="O1959" s="30">
        <f>IFERROR((VLOOKUP($A1959,HeadJournal!$A$1:$L$890,COLUMN(HeadJournal!L$1),0)*($K1959+$L1959)/(SUMIF($A:$A,$A1959,$K:$K)+SUMIF($A:$A,$A1959,$L:$L)))/VLOOKUP($A1959,HeadJournal!$A$1:$L$890,COLUMN(HeadJournal!H$1),0),0)</f>
        <v>0.51032373507373852</v>
      </c>
      <c r="P1959" s="30">
        <f>IFERROR(SUM(K1959:O1959)*VLOOKUP($A1959,HeadJournal!$A$1:$L$890,COLUMN(HeadJournal!H$1),0),0)</f>
        <v>1107.3358814638882</v>
      </c>
      <c r="Q1959" s="29">
        <v>1800</v>
      </c>
      <c r="R1959" s="31">
        <v>45259</v>
      </c>
      <c r="S1959" s="31" t="s">
        <v>3121</v>
      </c>
      <c r="T1959" s="95" t="str">
        <f t="shared" si="155"/>
        <v>2023 11</v>
      </c>
      <c r="U1959" s="32">
        <f t="shared" si="152"/>
        <v>692.6641185361118</v>
      </c>
      <c r="V1959" s="22">
        <f t="shared" si="153"/>
        <v>0.62552305053134916</v>
      </c>
      <c r="X1959" s="33"/>
      <c r="Y1959" s="33"/>
    </row>
    <row r="1960" spans="1:25" x14ac:dyDescent="0.2">
      <c r="A1960" s="93" t="s">
        <v>882</v>
      </c>
      <c r="B1960" s="94" t="str">
        <f>IFERROR(VLOOKUP($A1960,HeadJournal!$A$1:$NTR$890,COLUMN(HeadJournal!B$1),0),"")</f>
        <v>710000917468</v>
      </c>
      <c r="C1960" s="94" t="str">
        <f>IFERROR(VLOOKUP($A1960,HeadJournal!$A$1:$NTR$890,COLUMN(HeadJournal!C$1),0),"")</f>
        <v>iHerb_OA CZN6870</v>
      </c>
      <c r="D1960" s="125" t="str">
        <f>IFERROR(VLOOKUP($A1960,HeadJournal!$A$1:$NTR$890,COLUMN(HeadJournal!D$1),0),"")</f>
        <v>Доставлен</v>
      </c>
      <c r="E1960" s="95">
        <f>IFERROR(VLOOKUP($A1960,HeadJournal!$A$1:$NTR$890,COLUMN(HeadJournal!G$1),0),"")</f>
        <v>45146</v>
      </c>
      <c r="F1960" s="95" t="str">
        <f t="shared" si="154"/>
        <v>2023 08</v>
      </c>
      <c r="G1960" s="96" t="s">
        <v>5</v>
      </c>
      <c r="H1960" s="161" t="s">
        <v>2831</v>
      </c>
      <c r="I1960" s="97" t="s">
        <v>2005</v>
      </c>
      <c r="J1960" s="97" t="s">
        <v>3911</v>
      </c>
      <c r="K1960" s="29">
        <v>13.51</v>
      </c>
      <c r="L1960" s="29">
        <v>-2.7</v>
      </c>
      <c r="M1960" s="30">
        <f>IFERROR(VLOOKUP($A1960,HeadJournal!$A$1:$J$890,COLUMN(HeadJournal!I$1),0)*($K1960+$L1960)/(SUMIF($A:$A,$A1960,$K:$K)+SUMIF($A:$A,$A1960,$L:$L)),0)</f>
        <v>-0.90734913095109548</v>
      </c>
      <c r="N1960" s="30">
        <f>IFERROR((VLOOKUP($A1960,HeadJournal!$A$1:$K$890,COLUMN(HeadJournal!K$1),0)-VLOOKUP($A1960,HeadJournal!$A$1:$K$890,COLUMN(HeadJournal!J$1),0))*($K1960+$L1960)/(SUMIF($A:$A,$A1960,$K:$K)+SUMIF($A:$A,$A1960,$L:$L)),0)</f>
        <v>-3.3168377301378303E-15</v>
      </c>
      <c r="O1960" s="30">
        <f>IFERROR((VLOOKUP($A1960,HeadJournal!$A$1:$L$890,COLUMN(HeadJournal!L$1),0)*($K1960+$L1960)/(SUMIF($A:$A,$A1960,$K:$K)+SUMIF($A:$A,$A1960,$L:$L)))/VLOOKUP($A1960,HeadJournal!$A$1:$L$890,COLUMN(HeadJournal!H$1),0),0)</f>
        <v>0.51032373507373852</v>
      </c>
      <c r="P1960" s="30">
        <f>IFERROR(SUM(K1960:O1960)*VLOOKUP($A1960,HeadJournal!$A$1:$L$890,COLUMN(HeadJournal!H$1),0),0)</f>
        <v>1107.3358814638882</v>
      </c>
      <c r="Q1960" s="29">
        <v>1900</v>
      </c>
      <c r="R1960" s="31">
        <v>45265</v>
      </c>
      <c r="S1960" s="31" t="s">
        <v>3121</v>
      </c>
      <c r="T1960" s="95" t="str">
        <f t="shared" si="155"/>
        <v>2023 12</v>
      </c>
      <c r="U1960" s="32">
        <f t="shared" si="152"/>
        <v>792.6641185361118</v>
      </c>
      <c r="V1960" s="22">
        <f t="shared" si="153"/>
        <v>0.71582988667197966</v>
      </c>
      <c r="X1960" s="33"/>
      <c r="Y1960" s="33"/>
    </row>
    <row r="1961" spans="1:25" x14ac:dyDescent="0.2">
      <c r="A1961" s="93" t="s">
        <v>882</v>
      </c>
      <c r="B1961" s="94" t="str">
        <f>IFERROR(VLOOKUP($A1961,HeadJournal!$A$1:$NTR$890,COLUMN(HeadJournal!B$1),0),"")</f>
        <v>710000917468</v>
      </c>
      <c r="C1961" s="94" t="str">
        <f>IFERROR(VLOOKUP($A1961,HeadJournal!$A$1:$NTR$890,COLUMN(HeadJournal!C$1),0),"")</f>
        <v>iHerb_OA CZN6870</v>
      </c>
      <c r="D1961" s="125" t="str">
        <f>IFERROR(VLOOKUP($A1961,HeadJournal!$A$1:$NTR$890,COLUMN(HeadJournal!D$1),0),"")</f>
        <v>Доставлен</v>
      </c>
      <c r="E1961" s="95">
        <f>IFERROR(VLOOKUP($A1961,HeadJournal!$A$1:$NTR$890,COLUMN(HeadJournal!G$1),0),"")</f>
        <v>45146</v>
      </c>
      <c r="F1961" s="95" t="str">
        <f t="shared" si="154"/>
        <v>2023 08</v>
      </c>
      <c r="G1961" s="96" t="s">
        <v>5</v>
      </c>
      <c r="H1961" s="160" t="str">
        <f>RIGHT(Journal!$J1961,9)</f>
        <v>SOR-04710</v>
      </c>
      <c r="I1961" s="96" t="str">
        <f t="shared" si="156"/>
        <v>Solaray</v>
      </c>
      <c r="J1961" s="97" t="s">
        <v>884</v>
      </c>
      <c r="K1961" s="29">
        <v>6.32</v>
      </c>
      <c r="L1961" s="29">
        <v>-1.2649999999999999</v>
      </c>
      <c r="M1961" s="30">
        <f>IFERROR(VLOOKUP($A1961,HeadJournal!$A$1:$J$890,COLUMN(HeadJournal!I$1),0)*($K1961+$L1961)/(SUMIF($A:$A,$A1961,$K:$K)+SUMIF($A:$A,$A1961,$L:$L)),0)</f>
        <v>-0.42429693403864832</v>
      </c>
      <c r="N1961" s="30">
        <f>IFERROR((VLOOKUP($A1961,HeadJournal!$A$1:$K$890,COLUMN(HeadJournal!K$1),0)-VLOOKUP($A1961,HeadJournal!$A$1:$K$890,COLUMN(HeadJournal!J$1),0))*($K1961+$L1961)/(SUMIF($A:$A,$A1961,$K:$K)+SUMIF($A:$A,$A1961,$L:$L)),0)</f>
        <v>-1.5510281892550171E-15</v>
      </c>
      <c r="O1961" s="30">
        <f>IFERROR((VLOOKUP($A1961,HeadJournal!$A$1:$L$890,COLUMN(HeadJournal!L$1),0)*($K1961+$L1961)/(SUMIF($A:$A,$A1961,$K:$K)+SUMIF($A:$A,$A1961,$L:$L)))/VLOOKUP($A1961,HeadJournal!$A$1:$L$890,COLUMN(HeadJournal!H$1),0),0)</f>
        <v>0.23863889739109606</v>
      </c>
      <c r="P1961" s="30">
        <f>IFERROR(SUM(K1961:O1961)*VLOOKUP($A1961,HeadJournal!$A$1:$L$890,COLUMN(HeadJournal!H$1),0),0)</f>
        <v>517.81525261794229</v>
      </c>
      <c r="Q1961" s="29">
        <v>1200</v>
      </c>
      <c r="R1961" s="31">
        <v>45198</v>
      </c>
      <c r="S1961" s="31" t="s">
        <v>3121</v>
      </c>
      <c r="T1961" s="95" t="str">
        <f t="shared" si="155"/>
        <v>2023 09</v>
      </c>
      <c r="U1961" s="32">
        <f t="shared" si="152"/>
        <v>682.18474738205771</v>
      </c>
      <c r="V1961" s="22">
        <f t="shared" si="153"/>
        <v>1.3174288395969509</v>
      </c>
      <c r="X1961" s="33"/>
      <c r="Y1961" s="33"/>
    </row>
    <row r="1962" spans="1:25" x14ac:dyDescent="0.2">
      <c r="A1962" s="93" t="s">
        <v>882</v>
      </c>
      <c r="B1962" s="94" t="str">
        <f>IFERROR(VLOOKUP($A1962,HeadJournal!$A$1:$NTR$890,COLUMN(HeadJournal!B$1),0),"")</f>
        <v>710000917468</v>
      </c>
      <c r="C1962" s="94" t="str">
        <f>IFERROR(VLOOKUP($A1962,HeadJournal!$A$1:$NTR$890,COLUMN(HeadJournal!C$1),0),"")</f>
        <v>iHerb_OA CZN6870</v>
      </c>
      <c r="D1962" s="125" t="str">
        <f>IFERROR(VLOOKUP($A1962,HeadJournal!$A$1:$NTR$890,COLUMN(HeadJournal!D$1),0),"")</f>
        <v>Доставлен</v>
      </c>
      <c r="E1962" s="95">
        <f>IFERROR(VLOOKUP($A1962,HeadJournal!$A$1:$NTR$890,COLUMN(HeadJournal!G$1),0),"")</f>
        <v>45146</v>
      </c>
      <c r="F1962" s="95" t="str">
        <f t="shared" si="154"/>
        <v>2023 08</v>
      </c>
      <c r="G1962" s="96" t="s">
        <v>5</v>
      </c>
      <c r="H1962" s="160" t="str">
        <f>RIGHT(Journal!$J1962,9)</f>
        <v>SOR-04710</v>
      </c>
      <c r="I1962" s="96" t="str">
        <f t="shared" si="156"/>
        <v>Solaray</v>
      </c>
      <c r="J1962" s="97" t="s">
        <v>884</v>
      </c>
      <c r="K1962" s="29">
        <v>6.32</v>
      </c>
      <c r="L1962" s="29">
        <v>-1.2649999999999999</v>
      </c>
      <c r="M1962" s="30">
        <f>IFERROR(VLOOKUP($A1962,HeadJournal!$A$1:$J$890,COLUMN(HeadJournal!I$1),0)*($K1962+$L1962)/(SUMIF($A:$A,$A1962,$K:$K)+SUMIF($A:$A,$A1962,$L:$L)),0)</f>
        <v>-0.42429693403864832</v>
      </c>
      <c r="N1962" s="30">
        <f>IFERROR((VLOOKUP($A1962,HeadJournal!$A$1:$K$890,COLUMN(HeadJournal!K$1),0)-VLOOKUP($A1962,HeadJournal!$A$1:$K$890,COLUMN(HeadJournal!J$1),0))*($K1962+$L1962)/(SUMIF($A:$A,$A1962,$K:$K)+SUMIF($A:$A,$A1962,$L:$L)),0)</f>
        <v>-1.5510281892550171E-15</v>
      </c>
      <c r="O1962" s="30">
        <f>IFERROR((VLOOKUP($A1962,HeadJournal!$A$1:$L$890,COLUMN(HeadJournal!L$1),0)*($K1962+$L1962)/(SUMIF($A:$A,$A1962,$K:$K)+SUMIF($A:$A,$A1962,$L:$L)))/VLOOKUP($A1962,HeadJournal!$A$1:$L$890,COLUMN(HeadJournal!H$1),0),0)</f>
        <v>0.23863889739109606</v>
      </c>
      <c r="P1962" s="30">
        <f>IFERROR(SUM(K1962:O1962)*VLOOKUP($A1962,HeadJournal!$A$1:$L$890,COLUMN(HeadJournal!H$1),0),0)</f>
        <v>517.81525261794229</v>
      </c>
      <c r="Q1962" s="29">
        <v>1200</v>
      </c>
      <c r="R1962" s="31">
        <v>45210</v>
      </c>
      <c r="S1962" s="31" t="s">
        <v>3121</v>
      </c>
      <c r="T1962" s="95" t="str">
        <f t="shared" si="155"/>
        <v>2023 10</v>
      </c>
      <c r="U1962" s="32">
        <f t="shared" si="152"/>
        <v>682.18474738205771</v>
      </c>
      <c r="V1962" s="22">
        <f t="shared" si="153"/>
        <v>1.3174288395969509</v>
      </c>
      <c r="X1962" s="33"/>
      <c r="Y1962" s="33"/>
    </row>
    <row r="1963" spans="1:25" x14ac:dyDescent="0.2">
      <c r="A1963" s="93" t="s">
        <v>882</v>
      </c>
      <c r="B1963" s="94" t="str">
        <f>IFERROR(VLOOKUP($A1963,HeadJournal!$A$1:$NTR$890,COLUMN(HeadJournal!B$1),0),"")</f>
        <v>710000917468</v>
      </c>
      <c r="C1963" s="94" t="str">
        <f>IFERROR(VLOOKUP($A1963,HeadJournal!$A$1:$NTR$890,COLUMN(HeadJournal!C$1),0),"")</f>
        <v>iHerb_OA CZN6870</v>
      </c>
      <c r="D1963" s="125" t="str">
        <f>IFERROR(VLOOKUP($A1963,HeadJournal!$A$1:$NTR$890,COLUMN(HeadJournal!D$1),0),"")</f>
        <v>Доставлен</v>
      </c>
      <c r="E1963" s="95">
        <f>IFERROR(VLOOKUP($A1963,HeadJournal!$A$1:$NTR$890,COLUMN(HeadJournal!G$1),0),"")</f>
        <v>45146</v>
      </c>
      <c r="F1963" s="95" t="str">
        <f t="shared" si="154"/>
        <v>2023 08</v>
      </c>
      <c r="G1963" s="96" t="s">
        <v>5</v>
      </c>
      <c r="H1963" s="161" t="s">
        <v>2755</v>
      </c>
      <c r="I1963" s="97" t="s">
        <v>2005</v>
      </c>
      <c r="J1963" s="97" t="s">
        <v>2756</v>
      </c>
      <c r="K1963" s="29">
        <v>17.43</v>
      </c>
      <c r="L1963" s="29">
        <v>-3.49</v>
      </c>
      <c r="M1963" s="30">
        <f>IFERROR(VLOOKUP($A1963,HeadJournal!$A$1:$J$890,COLUMN(HeadJournal!I$1),0)*($K1963+$L1963)/(SUMIF($A:$A,$A1963,$K:$K)+SUMIF($A:$A,$A1963,$L:$L)),0)</f>
        <v>-1.1700690920867967</v>
      </c>
      <c r="N1963" s="30">
        <f>IFERROR((VLOOKUP($A1963,HeadJournal!$A$1:$K$890,COLUMN(HeadJournal!K$1),0)-VLOOKUP($A1963,HeadJournal!$A$1:$K$890,COLUMN(HeadJournal!J$1),0))*($K1963+$L1963)/(SUMIF($A:$A,$A1963,$K:$K)+SUMIF($A:$A,$A1963,$L:$L)),0)</f>
        <v>-4.2772172024164066E-15</v>
      </c>
      <c r="O1963" s="30">
        <f>IFERROR((VLOOKUP($A1963,HeadJournal!$A$1:$L$890,COLUMN(HeadJournal!L$1),0)*($K1963+$L1963)/(SUMIF($A:$A,$A1963,$K:$K)+SUMIF($A:$A,$A1963,$L:$L)))/VLOOKUP($A1963,HeadJournal!$A$1:$L$890,COLUMN(HeadJournal!H$1),0),0)</f>
        <v>0.65808629666308183</v>
      </c>
      <c r="P1963" s="30">
        <f>IFERROR(SUM(K1963:O1963)*VLOOKUP($A1963,HeadJournal!$A$1:$L$890,COLUMN(HeadJournal!H$1),0),0)</f>
        <v>1427.96134945482</v>
      </c>
      <c r="Q1963" s="29">
        <v>2400</v>
      </c>
      <c r="R1963" s="31">
        <v>45187</v>
      </c>
      <c r="S1963" s="31" t="s">
        <v>3121</v>
      </c>
      <c r="T1963" s="95" t="str">
        <f t="shared" si="155"/>
        <v>2023 09</v>
      </c>
      <c r="U1963" s="32">
        <f t="shared" si="152"/>
        <v>972.03865054517996</v>
      </c>
      <c r="V1963" s="22">
        <f t="shared" si="153"/>
        <v>0.68071775956421621</v>
      </c>
      <c r="X1963" s="33"/>
      <c r="Y1963" s="33"/>
    </row>
    <row r="1964" spans="1:25" x14ac:dyDescent="0.2">
      <c r="A1964" s="93" t="s">
        <v>882</v>
      </c>
      <c r="B1964" s="94" t="str">
        <f>IFERROR(VLOOKUP($A1964,HeadJournal!$A$1:$NTR$890,COLUMN(HeadJournal!B$1),0),"")</f>
        <v>710000917468</v>
      </c>
      <c r="C1964" s="94" t="str">
        <f>IFERROR(VLOOKUP($A1964,HeadJournal!$A$1:$NTR$890,COLUMN(HeadJournal!C$1),0),"")</f>
        <v>iHerb_OA CZN6870</v>
      </c>
      <c r="D1964" s="125" t="str">
        <f>IFERROR(VLOOKUP($A1964,HeadJournal!$A$1:$NTR$890,COLUMN(HeadJournal!D$1),0),"")</f>
        <v>Доставлен</v>
      </c>
      <c r="E1964" s="95">
        <f>IFERROR(VLOOKUP($A1964,HeadJournal!$A$1:$NTR$890,COLUMN(HeadJournal!G$1),0),"")</f>
        <v>45146</v>
      </c>
      <c r="F1964" s="95" t="str">
        <f t="shared" si="154"/>
        <v>2023 08</v>
      </c>
      <c r="G1964" s="96" t="s">
        <v>5</v>
      </c>
      <c r="H1964" s="160" t="str">
        <f>RIGHT(Journal!$J1964,9)</f>
        <v>NOW-01298</v>
      </c>
      <c r="I1964" s="96" t="str">
        <f t="shared" si="156"/>
        <v>NOW Foods</v>
      </c>
      <c r="J1964" s="97" t="s">
        <v>453</v>
      </c>
      <c r="K1964" s="29">
        <v>24.24</v>
      </c>
      <c r="L1964" s="29">
        <v>-4.8499999999999996</v>
      </c>
      <c r="M1964" s="30">
        <f>IFERROR(VLOOKUP($A1964,HeadJournal!$A$1:$J$890,COLUMN(HeadJournal!I$1),0)*($K1964+$L1964)/(SUMIF($A:$A,$A1964,$K:$K)+SUMIF($A:$A,$A1964,$L:$L)),0)</f>
        <v>-1.6275207816042314</v>
      </c>
      <c r="N1964" s="30">
        <f>IFERROR((VLOOKUP($A1964,HeadJournal!$A$1:$K$890,COLUMN(HeadJournal!K$1),0)-VLOOKUP($A1964,HeadJournal!$A$1:$K$890,COLUMN(HeadJournal!J$1),0))*($K1964+$L1964)/(SUMIF($A:$A,$A1964,$K:$K)+SUMIF($A:$A,$A1964,$L:$L)),0)</f>
        <v>-5.9494434400899665E-15</v>
      </c>
      <c r="O1964" s="30">
        <f>IFERROR((VLOOKUP($A1964,HeadJournal!$A$1:$L$890,COLUMN(HeadJournal!L$1),0)*($K1964+$L1964)/(SUMIF($A:$A,$A1964,$K:$K)+SUMIF($A:$A,$A1964,$L:$L)))/VLOOKUP($A1964,HeadJournal!$A$1:$L$890,COLUMN(HeadJournal!H$1),0),0)</f>
        <v>0.91537254607583629</v>
      </c>
      <c r="P1964" s="30">
        <f>IFERROR(SUM(K1964:O1964)*VLOOKUP($A1964,HeadJournal!$A$1:$L$890,COLUMN(HeadJournal!H$1),0),0)</f>
        <v>1986.238921515707</v>
      </c>
      <c r="Q1964" s="29">
        <v>3100</v>
      </c>
      <c r="R1964" s="31">
        <v>45205</v>
      </c>
      <c r="S1964" s="31" t="s">
        <v>3121</v>
      </c>
      <c r="T1964" s="95" t="str">
        <f t="shared" si="155"/>
        <v>2023 10</v>
      </c>
      <c r="U1964" s="32">
        <f t="shared" si="152"/>
        <v>1113.761078484293</v>
      </c>
      <c r="V1964" s="22">
        <f t="shared" si="153"/>
        <v>0.56073872403747749</v>
      </c>
      <c r="X1964" s="33"/>
      <c r="Y1964" s="33"/>
    </row>
    <row r="1965" spans="1:25" x14ac:dyDescent="0.2">
      <c r="A1965" s="93" t="s">
        <v>882</v>
      </c>
      <c r="B1965" s="94" t="str">
        <f>IFERROR(VLOOKUP($A1965,HeadJournal!$A$1:$NTR$890,COLUMN(HeadJournal!B$1),0),"")</f>
        <v>710000917468</v>
      </c>
      <c r="C1965" s="94" t="str">
        <f>IFERROR(VLOOKUP($A1965,HeadJournal!$A$1:$NTR$890,COLUMN(HeadJournal!C$1),0),"")</f>
        <v>iHerb_OA CZN6870</v>
      </c>
      <c r="D1965" s="125" t="str">
        <f>IFERROR(VLOOKUP($A1965,HeadJournal!$A$1:$NTR$890,COLUMN(HeadJournal!D$1),0),"")</f>
        <v>Доставлен</v>
      </c>
      <c r="E1965" s="95">
        <f>IFERROR(VLOOKUP($A1965,HeadJournal!$A$1:$NTR$890,COLUMN(HeadJournal!G$1),0),"")</f>
        <v>45146</v>
      </c>
      <c r="F1965" s="95" t="str">
        <f t="shared" si="154"/>
        <v>2023 08</v>
      </c>
      <c r="G1965" s="96" t="s">
        <v>5</v>
      </c>
      <c r="H1965" s="160" t="str">
        <f>RIGHT(Journal!$J1965,9)</f>
        <v>CAL-62827</v>
      </c>
      <c r="I1965" s="96" t="str">
        <f t="shared" si="156"/>
        <v>KAL</v>
      </c>
      <c r="J1965" s="97" t="s">
        <v>885</v>
      </c>
      <c r="K1965" s="29">
        <v>9.9</v>
      </c>
      <c r="L1965" s="29">
        <v>-1.98</v>
      </c>
      <c r="M1965" s="30">
        <f>IFERROR(VLOOKUP($A1965,HeadJournal!$A$1:$J$890,COLUMN(HeadJournal!I$1),0)*($K1965+$L1965)/(SUMIF($A:$A,$A1965,$K:$K)+SUMIF($A:$A,$A1965,$L:$L)),0)</f>
        <v>-0.66477383137212553</v>
      </c>
      <c r="N1965" s="30">
        <f>IFERROR((VLOOKUP($A1965,HeadJournal!$A$1:$K$890,COLUMN(HeadJournal!K$1),0)-VLOOKUP($A1965,HeadJournal!$A$1:$K$890,COLUMN(HeadJournal!J$1),0))*($K1965+$L1965)/(SUMIF($A:$A,$A1965,$K:$K)+SUMIF($A:$A,$A1965,$L:$L)),0)</f>
        <v>-2.4300975784173559E-15</v>
      </c>
      <c r="O1965" s="30">
        <f>IFERROR((VLOOKUP($A1965,HeadJournal!$A$1:$L$890,COLUMN(HeadJournal!L$1),0)*($K1965+$L1965)/(SUMIF($A:$A,$A1965,$K:$K)+SUMIF($A:$A,$A1965,$L:$L)))/VLOOKUP($A1965,HeadJournal!$A$1:$L$890,COLUMN(HeadJournal!H$1),0),0)</f>
        <v>0.37389121015578247</v>
      </c>
      <c r="P1965" s="30">
        <f>IFERROR(SUM(K1965:O1965)*VLOOKUP($A1965,HeadJournal!$A$1:$L$890,COLUMN(HeadJournal!H$1),0),0)</f>
        <v>811.29511389398658</v>
      </c>
      <c r="Q1965" s="29">
        <v>1600</v>
      </c>
      <c r="R1965" s="31">
        <v>45186</v>
      </c>
      <c r="S1965" s="31" t="s">
        <v>3121</v>
      </c>
      <c r="T1965" s="95" t="str">
        <f t="shared" si="155"/>
        <v>2023 09</v>
      </c>
      <c r="U1965" s="32">
        <f t="shared" si="152"/>
        <v>788.70488610601342</v>
      </c>
      <c r="V1965" s="22">
        <f t="shared" si="153"/>
        <v>0.97215535086912275</v>
      </c>
      <c r="X1965" s="33"/>
      <c r="Y1965" s="33"/>
    </row>
    <row r="1966" spans="1:25" x14ac:dyDescent="0.2">
      <c r="A1966" s="93" t="s">
        <v>882</v>
      </c>
      <c r="B1966" s="94" t="str">
        <f>IFERROR(VLOOKUP($A1966,HeadJournal!$A$1:$NTR$890,COLUMN(HeadJournal!B$1),0),"")</f>
        <v>710000917468</v>
      </c>
      <c r="C1966" s="94" t="str">
        <f>IFERROR(VLOOKUP($A1966,HeadJournal!$A$1:$NTR$890,COLUMN(HeadJournal!C$1),0),"")</f>
        <v>iHerb_OA CZN6870</v>
      </c>
      <c r="D1966" s="125" t="str">
        <f>IFERROR(VLOOKUP($A1966,HeadJournal!$A$1:$NTR$890,COLUMN(HeadJournal!D$1),0),"")</f>
        <v>Доставлен</v>
      </c>
      <c r="E1966" s="95">
        <f>IFERROR(VLOOKUP($A1966,HeadJournal!$A$1:$NTR$890,COLUMN(HeadJournal!G$1),0),"")</f>
        <v>45146</v>
      </c>
      <c r="F1966" s="95" t="str">
        <f t="shared" si="154"/>
        <v>2023 08</v>
      </c>
      <c r="G1966" s="96" t="s">
        <v>5</v>
      </c>
      <c r="H1966" s="160" t="str">
        <f>RIGHT(Journal!$J1966,9)</f>
        <v>CAL-62827</v>
      </c>
      <c r="I1966" s="96" t="str">
        <f t="shared" si="156"/>
        <v>KAL</v>
      </c>
      <c r="J1966" s="97" t="s">
        <v>885</v>
      </c>
      <c r="K1966" s="29">
        <v>9.9</v>
      </c>
      <c r="L1966" s="29">
        <v>-1.98</v>
      </c>
      <c r="M1966" s="30">
        <f>IFERROR(VLOOKUP($A1966,HeadJournal!$A$1:$J$890,COLUMN(HeadJournal!I$1),0)*($K1966+$L1966)/(SUMIF($A:$A,$A1966,$K:$K)+SUMIF($A:$A,$A1966,$L:$L)),0)</f>
        <v>-0.66477383137212553</v>
      </c>
      <c r="N1966" s="30">
        <f>IFERROR((VLOOKUP($A1966,HeadJournal!$A$1:$K$890,COLUMN(HeadJournal!K$1),0)-VLOOKUP($A1966,HeadJournal!$A$1:$K$890,COLUMN(HeadJournal!J$1),0))*($K1966+$L1966)/(SUMIF($A:$A,$A1966,$K:$K)+SUMIF($A:$A,$A1966,$L:$L)),0)</f>
        <v>-2.4300975784173559E-15</v>
      </c>
      <c r="O1966" s="30">
        <f>IFERROR((VLOOKUP($A1966,HeadJournal!$A$1:$L$890,COLUMN(HeadJournal!L$1),0)*($K1966+$L1966)/(SUMIF($A:$A,$A1966,$K:$K)+SUMIF($A:$A,$A1966,$L:$L)))/VLOOKUP($A1966,HeadJournal!$A$1:$L$890,COLUMN(HeadJournal!H$1),0),0)</f>
        <v>0.37389121015578247</v>
      </c>
      <c r="P1966" s="30">
        <f>IFERROR(SUM(K1966:O1966)*VLOOKUP($A1966,HeadJournal!$A$1:$L$890,COLUMN(HeadJournal!H$1),0),0)</f>
        <v>811.29511389398658</v>
      </c>
      <c r="Q1966" s="29">
        <v>1600</v>
      </c>
      <c r="R1966" s="31">
        <v>45198</v>
      </c>
      <c r="S1966" s="31" t="s">
        <v>3121</v>
      </c>
      <c r="T1966" s="95" t="str">
        <f t="shared" si="155"/>
        <v>2023 09</v>
      </c>
      <c r="U1966" s="32">
        <f t="shared" si="152"/>
        <v>788.70488610601342</v>
      </c>
      <c r="V1966" s="22">
        <f t="shared" si="153"/>
        <v>0.97215535086912275</v>
      </c>
      <c r="X1966" s="33"/>
      <c r="Y1966" s="33"/>
    </row>
    <row r="1967" spans="1:25" x14ac:dyDescent="0.2">
      <c r="A1967" s="93" t="s">
        <v>882</v>
      </c>
      <c r="B1967" s="94" t="str">
        <f>IFERROR(VLOOKUP($A1967,HeadJournal!$A$1:$NTR$890,COLUMN(HeadJournal!B$1),0),"")</f>
        <v>710000917468</v>
      </c>
      <c r="C1967" s="94" t="str">
        <f>IFERROR(VLOOKUP($A1967,HeadJournal!$A$1:$NTR$890,COLUMN(HeadJournal!C$1),0),"")</f>
        <v>iHerb_OA CZN6870</v>
      </c>
      <c r="D1967" s="125" t="str">
        <f>IFERROR(VLOOKUP($A1967,HeadJournal!$A$1:$NTR$890,COLUMN(HeadJournal!D$1),0),"")</f>
        <v>Доставлен</v>
      </c>
      <c r="E1967" s="95">
        <f>IFERROR(VLOOKUP($A1967,HeadJournal!$A$1:$NTR$890,COLUMN(HeadJournal!G$1),0),"")</f>
        <v>45146</v>
      </c>
      <c r="F1967" s="95" t="str">
        <f t="shared" si="154"/>
        <v>2023 08</v>
      </c>
      <c r="G1967" s="96" t="s">
        <v>5</v>
      </c>
      <c r="H1967" s="160" t="str">
        <f>RIGHT(Journal!$J1967,9)</f>
        <v>JRW-13007</v>
      </c>
      <c r="I1967" s="96" t="str">
        <f t="shared" si="156"/>
        <v>Jarrow Formulas</v>
      </c>
      <c r="J1967" s="97" t="s">
        <v>521</v>
      </c>
      <c r="K1967" s="29">
        <v>14.86</v>
      </c>
      <c r="L1967" s="29">
        <v>-2.97</v>
      </c>
      <c r="M1967" s="30">
        <f>IFERROR(VLOOKUP($A1967,HeadJournal!$A$1:$J$890,COLUMN(HeadJournal!I$1),0)*($K1967+$L1967)/(SUMIF($A:$A,$A1967,$K:$K)+SUMIF($A:$A,$A1967,$L:$L)),0)</f>
        <v>-0.99800010795638538</v>
      </c>
      <c r="N1967" s="30">
        <f>IFERROR((VLOOKUP($A1967,HeadJournal!$A$1:$K$890,COLUMN(HeadJournal!K$1),0)-VLOOKUP($A1967,HeadJournal!$A$1:$K$890,COLUMN(HeadJournal!J$1),0))*($K1967+$L1967)/(SUMIF($A:$A,$A1967,$K:$K)+SUMIF($A:$A,$A1967,$L:$L)),0)</f>
        <v>-3.6482146726492877E-15</v>
      </c>
      <c r="O1967" s="30">
        <f>IFERROR((VLOOKUP($A1967,HeadJournal!$A$1:$L$890,COLUMN(HeadJournal!L$1),0)*($K1967+$L1967)/(SUMIF($A:$A,$A1967,$K:$K)+SUMIF($A:$A,$A1967,$L:$L)))/VLOOKUP($A1967,HeadJournal!$A$1:$L$890,COLUMN(HeadJournal!H$1),0),0)</f>
        <v>0.56130890009498147</v>
      </c>
      <c r="P1967" s="30">
        <f>IFERROR(SUM(K1967:O1967)*VLOOKUP($A1967,HeadJournal!$A$1:$L$890,COLUMN(HeadJournal!H$1),0),0)</f>
        <v>1217.9670333585229</v>
      </c>
      <c r="Q1967" s="29">
        <v>2000</v>
      </c>
      <c r="R1967" s="31">
        <v>45187</v>
      </c>
      <c r="S1967" s="31" t="s">
        <v>3121</v>
      </c>
      <c r="T1967" s="95" t="str">
        <f t="shared" si="155"/>
        <v>2023 09</v>
      </c>
      <c r="U1967" s="32">
        <f t="shared" si="152"/>
        <v>782.03296664147706</v>
      </c>
      <c r="V1967" s="22">
        <f t="shared" si="153"/>
        <v>0.64208056968917682</v>
      </c>
      <c r="X1967" s="33"/>
      <c r="Y1967" s="33"/>
    </row>
    <row r="1968" spans="1:25" x14ac:dyDescent="0.2">
      <c r="A1968" s="93" t="s">
        <v>882</v>
      </c>
      <c r="B1968" s="94" t="str">
        <f>IFERROR(VLOOKUP($A1968,HeadJournal!$A$1:$NTR$890,COLUMN(HeadJournal!B$1),0),"")</f>
        <v>710000917468</v>
      </c>
      <c r="C1968" s="94" t="str">
        <f>IFERROR(VLOOKUP($A1968,HeadJournal!$A$1:$NTR$890,COLUMN(HeadJournal!C$1),0),"")</f>
        <v>iHerb_OA CZN6870</v>
      </c>
      <c r="D1968" s="125" t="str">
        <f>IFERROR(VLOOKUP($A1968,HeadJournal!$A$1:$NTR$890,COLUMN(HeadJournal!D$1),0),"")</f>
        <v>Доставлен</v>
      </c>
      <c r="E1968" s="95">
        <f>IFERROR(VLOOKUP($A1968,HeadJournal!$A$1:$NTR$890,COLUMN(HeadJournal!G$1),0),"")</f>
        <v>45146</v>
      </c>
      <c r="F1968" s="95" t="str">
        <f t="shared" si="154"/>
        <v>2023 08</v>
      </c>
      <c r="G1968" s="96" t="s">
        <v>5</v>
      </c>
      <c r="H1968" s="160" t="str">
        <f>RIGHT(Journal!$J1968,9)</f>
        <v>JRW-13007</v>
      </c>
      <c r="I1968" s="96" t="str">
        <f t="shared" si="156"/>
        <v>Jarrow Formulas</v>
      </c>
      <c r="J1968" s="97" t="s">
        <v>521</v>
      </c>
      <c r="K1968" s="29">
        <v>14.86</v>
      </c>
      <c r="L1968" s="29">
        <v>-2.97</v>
      </c>
      <c r="M1968" s="30">
        <f>IFERROR(VLOOKUP($A1968,HeadJournal!$A$1:$J$890,COLUMN(HeadJournal!I$1),0)*($K1968+$L1968)/(SUMIF($A:$A,$A1968,$K:$K)+SUMIF($A:$A,$A1968,$L:$L)),0)</f>
        <v>-0.99800010795638538</v>
      </c>
      <c r="N1968" s="30">
        <f>IFERROR((VLOOKUP($A1968,HeadJournal!$A$1:$K$890,COLUMN(HeadJournal!K$1),0)-VLOOKUP($A1968,HeadJournal!$A$1:$K$890,COLUMN(HeadJournal!J$1),0))*($K1968+$L1968)/(SUMIF($A:$A,$A1968,$K:$K)+SUMIF($A:$A,$A1968,$L:$L)),0)</f>
        <v>-3.6482146726492877E-15</v>
      </c>
      <c r="O1968" s="30">
        <f>IFERROR((VLOOKUP($A1968,HeadJournal!$A$1:$L$890,COLUMN(HeadJournal!L$1),0)*($K1968+$L1968)/(SUMIF($A:$A,$A1968,$K:$K)+SUMIF($A:$A,$A1968,$L:$L)))/VLOOKUP($A1968,HeadJournal!$A$1:$L$890,COLUMN(HeadJournal!H$1),0),0)</f>
        <v>0.56130890009498147</v>
      </c>
      <c r="P1968" s="30">
        <f>IFERROR(SUM(K1968:O1968)*VLOOKUP($A1968,HeadJournal!$A$1:$L$890,COLUMN(HeadJournal!H$1),0),0)</f>
        <v>1217.9670333585229</v>
      </c>
      <c r="Q1968" s="29">
        <v>2000</v>
      </c>
      <c r="R1968" s="31">
        <v>45227</v>
      </c>
      <c r="S1968" s="31" t="s">
        <v>3121</v>
      </c>
      <c r="T1968" s="95" t="str">
        <f t="shared" si="155"/>
        <v>2023 10</v>
      </c>
      <c r="U1968" s="32">
        <f t="shared" si="152"/>
        <v>782.03296664147706</v>
      </c>
      <c r="V1968" s="22">
        <f t="shared" si="153"/>
        <v>0.64208056968917682</v>
      </c>
      <c r="X1968" s="33"/>
      <c r="Y1968" s="33"/>
    </row>
    <row r="1969" spans="1:25" x14ac:dyDescent="0.2">
      <c r="A1969" s="93" t="s">
        <v>882</v>
      </c>
      <c r="B1969" s="94" t="str">
        <f>IFERROR(VLOOKUP($A1969,HeadJournal!$A$1:$NTR$890,COLUMN(HeadJournal!B$1),0),"")</f>
        <v>710000917468</v>
      </c>
      <c r="C1969" s="94" t="str">
        <f>IFERROR(VLOOKUP($A1969,HeadJournal!$A$1:$NTR$890,COLUMN(HeadJournal!C$1),0),"")</f>
        <v>iHerb_OA CZN6870</v>
      </c>
      <c r="D1969" s="125" t="str">
        <f>IFERROR(VLOOKUP($A1969,HeadJournal!$A$1:$NTR$890,COLUMN(HeadJournal!D$1),0),"")</f>
        <v>Доставлен</v>
      </c>
      <c r="E1969" s="95">
        <f>IFERROR(VLOOKUP($A1969,HeadJournal!$A$1:$NTR$890,COLUMN(HeadJournal!G$1),0),"")</f>
        <v>45146</v>
      </c>
      <c r="F1969" s="95" t="str">
        <f t="shared" si="154"/>
        <v>2023 08</v>
      </c>
      <c r="G1969" s="96" t="s">
        <v>5</v>
      </c>
      <c r="H1969" s="160" t="str">
        <f>RIGHT(Journal!$J1969,9)</f>
        <v>RHS-20001</v>
      </c>
      <c r="I1969" s="96" t="str">
        <f t="shared" si="156"/>
        <v>Real Health</v>
      </c>
      <c r="J1969" s="97" t="s">
        <v>684</v>
      </c>
      <c r="K1969" s="29">
        <v>21.87</v>
      </c>
      <c r="L1969" s="29">
        <v>-8.8699999999999992</v>
      </c>
      <c r="M1969" s="30">
        <f>IFERROR(VLOOKUP($A1969,HeadJournal!$A$1:$J$890,COLUMN(HeadJournal!I$1),0)*($K1969+$L1969)/(SUMIF($A:$A,$A1969,$K:$K)+SUMIF($A:$A,$A1969,$L:$L)),0)</f>
        <v>-1.0911691676562667</v>
      </c>
      <c r="N1969" s="30">
        <f>IFERROR((VLOOKUP($A1969,HeadJournal!$A$1:$K$890,COLUMN(HeadJournal!K$1),0)-VLOOKUP($A1969,HeadJournal!$A$1:$K$890,COLUMN(HeadJournal!J$1),0))*($K1969+$L1969)/(SUMIF($A:$A,$A1969,$K:$K)+SUMIF($A:$A,$A1969,$L:$L)),0)</f>
        <v>-3.9887965302305094E-15</v>
      </c>
      <c r="O1969" s="30">
        <f>IFERROR((VLOOKUP($A1969,HeadJournal!$A$1:$L$890,COLUMN(HeadJournal!L$1),0)*($K1969+$L1969)/(SUMIF($A:$A,$A1969,$K:$K)+SUMIF($A:$A,$A1969,$L:$L)))/VLOOKUP($A1969,HeadJournal!$A$1:$L$890,COLUMN(HeadJournal!H$1),0),0)</f>
        <v>0.61371031970014811</v>
      </c>
      <c r="P1969" s="30">
        <f>IFERROR(SUM(K1969:O1969)*VLOOKUP($A1969,HeadJournal!$A$1:$L$890,COLUMN(HeadJournal!H$1),0),0)</f>
        <v>1331.6712728057864</v>
      </c>
      <c r="Q1969" s="29">
        <v>2200</v>
      </c>
      <c r="R1969" s="31">
        <v>45174</v>
      </c>
      <c r="S1969" s="31" t="s">
        <v>3121</v>
      </c>
      <c r="T1969" s="95" t="str">
        <f t="shared" si="155"/>
        <v>2023 09</v>
      </c>
      <c r="U1969" s="32">
        <f t="shared" si="152"/>
        <v>868.32872719421357</v>
      </c>
      <c r="V1969" s="22">
        <f t="shared" si="153"/>
        <v>0.65205936699728773</v>
      </c>
      <c r="X1969" s="33"/>
      <c r="Y1969" s="33"/>
    </row>
    <row r="1970" spans="1:25" x14ac:dyDescent="0.2">
      <c r="A1970" s="93" t="s">
        <v>886</v>
      </c>
      <c r="B1970" s="94" t="str">
        <f>IFERROR(VLOOKUP($A1970,HeadJournal!$A$1:$NTR$890,COLUMN(HeadJournal!B$1),0),"")</f>
        <v>710000902643</v>
      </c>
      <c r="C1970" s="94" t="str">
        <f>IFERROR(VLOOKUP($A1970,HeadJournal!$A$1:$NTR$890,COLUMN(HeadJournal!C$1),0),"")</f>
        <v>iHerb_VP DFD1605</v>
      </c>
      <c r="D1970" s="125" t="str">
        <f>IFERROR(VLOOKUP($A1970,HeadJournal!$A$1:$NTR$890,COLUMN(HeadJournal!D$1),0),"")</f>
        <v>Доставлен</v>
      </c>
      <c r="E1970" s="95">
        <f>IFERROR(VLOOKUP($A1970,HeadJournal!$A$1:$NTR$890,COLUMN(HeadJournal!G$1),0),"")</f>
        <v>45137</v>
      </c>
      <c r="F1970" s="95" t="str">
        <f t="shared" si="154"/>
        <v>2023 07</v>
      </c>
      <c r="G1970" s="96" t="s">
        <v>5</v>
      </c>
      <c r="H1970" s="160" t="str">
        <f>RIGHT(Journal!$J1970,9)</f>
        <v>SNS-01177</v>
      </c>
      <c r="I1970" s="96" t="str">
        <f t="shared" si="156"/>
        <v>Source Naturals</v>
      </c>
      <c r="J1970" s="97" t="s">
        <v>772</v>
      </c>
      <c r="K1970" s="29">
        <v>27.65</v>
      </c>
      <c r="L1970" s="29">
        <v>-2.77</v>
      </c>
      <c r="M1970" s="30">
        <f>IFERROR(VLOOKUP($A1970,HeadJournal!$A$1:$J$890,COLUMN(HeadJournal!I$1),0)*($K1970+$L1970)/(SUMIF($A:$A,$A1970,$K:$K)+SUMIF($A:$A,$A1970,$L:$L)),0)</f>
        <v>-2.4128833264131928</v>
      </c>
      <c r="N1970" s="30">
        <f>IFERROR((VLOOKUP($A1970,HeadJournal!$A$1:$K$890,COLUMN(HeadJournal!K$1),0)-VLOOKUP($A1970,HeadJournal!$A$1:$K$890,COLUMN(HeadJournal!J$1),0))*($K1970+$L1970)/(SUMIF($A:$A,$A1970,$K:$K)+SUMIF($A:$A,$A1970,$L:$L)),0)</f>
        <v>8.3887790572210907E-15</v>
      </c>
      <c r="O1970" s="30">
        <f>IFERROR((VLOOKUP($A1970,HeadJournal!$A$1:$L$890,COLUMN(HeadJournal!L$1),0)*($K1970+$L1970)/(SUMIF($A:$A,$A1970,$K:$K)+SUMIF($A:$A,$A1970,$L:$L)))/VLOOKUP($A1970,HeadJournal!$A$1:$L$890,COLUMN(HeadJournal!H$1),0),0)</f>
        <v>1.8022606702997848</v>
      </c>
      <c r="P1970" s="30">
        <f>IFERROR(SUM(K1970:O1970)*VLOOKUP($A1970,HeadJournal!$A$1:$L$890,COLUMN(HeadJournal!H$1),0),0)</f>
        <v>2478.7572548786998</v>
      </c>
      <c r="Q1970" s="29">
        <v>3000</v>
      </c>
      <c r="R1970" s="31">
        <v>45167</v>
      </c>
      <c r="S1970" s="31" t="s">
        <v>3121</v>
      </c>
      <c r="T1970" s="95" t="str">
        <f t="shared" si="155"/>
        <v>2023 08</v>
      </c>
      <c r="U1970" s="32">
        <f t="shared" si="152"/>
        <v>521.24274512130023</v>
      </c>
      <c r="V1970" s="22">
        <f t="shared" si="153"/>
        <v>0.21028390097311392</v>
      </c>
      <c r="X1970" s="33"/>
      <c r="Y1970" s="33"/>
    </row>
    <row r="1971" spans="1:25" x14ac:dyDescent="0.2">
      <c r="A1971" s="93" t="s">
        <v>886</v>
      </c>
      <c r="B1971" s="94" t="str">
        <f>IFERROR(VLOOKUP($A1971,HeadJournal!$A$1:$NTR$890,COLUMN(HeadJournal!B$1),0),"")</f>
        <v>710000902643</v>
      </c>
      <c r="C1971" s="94" t="str">
        <f>IFERROR(VLOOKUP($A1971,HeadJournal!$A$1:$NTR$890,COLUMN(HeadJournal!C$1),0),"")</f>
        <v>iHerb_VP DFD1605</v>
      </c>
      <c r="D1971" s="125" t="str">
        <f>IFERROR(VLOOKUP($A1971,HeadJournal!$A$1:$NTR$890,COLUMN(HeadJournal!D$1),0),"")</f>
        <v>Доставлен</v>
      </c>
      <c r="E1971" s="95">
        <f>IFERROR(VLOOKUP($A1971,HeadJournal!$A$1:$NTR$890,COLUMN(HeadJournal!G$1),0),"")</f>
        <v>45137</v>
      </c>
      <c r="F1971" s="95" t="str">
        <f t="shared" si="154"/>
        <v>2023 07</v>
      </c>
      <c r="G1971" s="96" t="s">
        <v>5</v>
      </c>
      <c r="H1971" s="161" t="s">
        <v>2650</v>
      </c>
      <c r="I1971" s="97" t="s">
        <v>2005</v>
      </c>
      <c r="J1971" s="97" t="s">
        <v>2651</v>
      </c>
      <c r="K1971" s="29">
        <v>12.67</v>
      </c>
      <c r="L1971" s="29">
        <v>-3.8000000000000003</v>
      </c>
      <c r="M1971" s="30">
        <f>IFERROR(VLOOKUP($A1971,HeadJournal!$A$1:$J$890,COLUMN(HeadJournal!I$1),0)*($K1971+$L1971)/(SUMIF($A:$A,$A1971,$K:$K)+SUMIF($A:$A,$A1971,$L:$L)),0)</f>
        <v>-0.86022006050180932</v>
      </c>
      <c r="N1971" s="30">
        <f>IFERROR((VLOOKUP($A1971,HeadJournal!$A$1:$K$890,COLUMN(HeadJournal!K$1),0)-VLOOKUP($A1971,HeadJournal!$A$1:$K$890,COLUMN(HeadJournal!J$1),0))*($K1971+$L1971)/(SUMIF($A:$A,$A1971,$K:$K)+SUMIF($A:$A,$A1971,$L:$L)),0)</f>
        <v>2.9906941413806704E-15</v>
      </c>
      <c r="O1971" s="30">
        <f>IFERROR((VLOOKUP($A1971,HeadJournal!$A$1:$L$890,COLUMN(HeadJournal!L$1),0)*($K1971+$L1971)/(SUMIF($A:$A,$A1971,$K:$K)+SUMIF($A:$A,$A1971,$L:$L)))/VLOOKUP($A1971,HeadJournal!$A$1:$L$890,COLUMN(HeadJournal!H$1),0),0)</f>
        <v>0.64252621163822699</v>
      </c>
      <c r="P1971" s="30">
        <f>IFERROR(SUM(K1971:O1971)*VLOOKUP($A1971,HeadJournal!$A$1:$L$890,COLUMN(HeadJournal!H$1),0),0)</f>
        <v>883.70485734622468</v>
      </c>
      <c r="Q1971" s="29">
        <v>1700</v>
      </c>
      <c r="R1971" s="31">
        <v>45274</v>
      </c>
      <c r="S1971" s="31" t="s">
        <v>3121</v>
      </c>
      <c r="T1971" s="95" t="str">
        <f t="shared" si="155"/>
        <v>2023 12</v>
      </c>
      <c r="U1971" s="32">
        <f t="shared" si="152"/>
        <v>816.29514265377532</v>
      </c>
      <c r="V1971" s="22">
        <f t="shared" si="153"/>
        <v>0.92371919863054563</v>
      </c>
      <c r="X1971" s="33"/>
      <c r="Y1971" s="33"/>
    </row>
    <row r="1972" spans="1:25" x14ac:dyDescent="0.2">
      <c r="A1972" s="93" t="s">
        <v>886</v>
      </c>
      <c r="B1972" s="94" t="str">
        <f>IFERROR(VLOOKUP($A1972,HeadJournal!$A$1:$NTR$890,COLUMN(HeadJournal!B$1),0),"")</f>
        <v>710000902643</v>
      </c>
      <c r="C1972" s="94" t="str">
        <f>IFERROR(VLOOKUP($A1972,HeadJournal!$A$1:$NTR$890,COLUMN(HeadJournal!C$1),0),"")</f>
        <v>iHerb_VP DFD1605</v>
      </c>
      <c r="D1972" s="125" t="str">
        <f>IFERROR(VLOOKUP($A1972,HeadJournal!$A$1:$NTR$890,COLUMN(HeadJournal!D$1),0),"")</f>
        <v>Доставлен</v>
      </c>
      <c r="E1972" s="95">
        <f>IFERROR(VLOOKUP($A1972,HeadJournal!$A$1:$NTR$890,COLUMN(HeadJournal!G$1),0),"")</f>
        <v>45137</v>
      </c>
      <c r="F1972" s="95" t="str">
        <f t="shared" si="154"/>
        <v>2023 07</v>
      </c>
      <c r="G1972" s="96" t="s">
        <v>5</v>
      </c>
      <c r="H1972" s="161" t="s">
        <v>2650</v>
      </c>
      <c r="I1972" s="97" t="s">
        <v>2005</v>
      </c>
      <c r="J1972" s="97" t="s">
        <v>2651</v>
      </c>
      <c r="K1972" s="29">
        <v>12.67</v>
      </c>
      <c r="L1972" s="29">
        <v>-3.8000000000000003</v>
      </c>
      <c r="M1972" s="30">
        <f>IFERROR(VLOOKUP($A1972,HeadJournal!$A$1:$J$890,COLUMN(HeadJournal!I$1),0)*($K1972+$L1972)/(SUMIF($A:$A,$A1972,$K:$K)+SUMIF($A:$A,$A1972,$L:$L)),0)</f>
        <v>-0.86022006050180932</v>
      </c>
      <c r="N1972" s="30">
        <f>IFERROR((VLOOKUP($A1972,HeadJournal!$A$1:$K$890,COLUMN(HeadJournal!K$1),0)-VLOOKUP($A1972,HeadJournal!$A$1:$K$890,COLUMN(HeadJournal!J$1),0))*($K1972+$L1972)/(SUMIF($A:$A,$A1972,$K:$K)+SUMIF($A:$A,$A1972,$L:$L)),0)</f>
        <v>2.9906941413806704E-15</v>
      </c>
      <c r="O1972" s="30">
        <f>IFERROR((VLOOKUP($A1972,HeadJournal!$A$1:$L$890,COLUMN(HeadJournal!L$1),0)*($K1972+$L1972)/(SUMIF($A:$A,$A1972,$K:$K)+SUMIF($A:$A,$A1972,$L:$L)))/VLOOKUP($A1972,HeadJournal!$A$1:$L$890,COLUMN(HeadJournal!H$1),0),0)</f>
        <v>0.64252621163822699</v>
      </c>
      <c r="P1972" s="30">
        <f>IFERROR(SUM(K1972:O1972)*VLOOKUP($A1972,HeadJournal!$A$1:$L$890,COLUMN(HeadJournal!H$1),0),0)</f>
        <v>883.70485734622468</v>
      </c>
      <c r="Q1972" s="29">
        <v>1800</v>
      </c>
      <c r="R1972" s="31">
        <v>45338</v>
      </c>
      <c r="S1972" s="31" t="s">
        <v>3121</v>
      </c>
      <c r="T1972" s="95" t="str">
        <f t="shared" si="155"/>
        <v>2024 02</v>
      </c>
      <c r="U1972" s="32">
        <f t="shared" si="152"/>
        <v>916.29514265377532</v>
      </c>
      <c r="V1972" s="22">
        <f t="shared" si="153"/>
        <v>1.0368791514911659</v>
      </c>
      <c r="X1972" s="33"/>
      <c r="Y1972" s="33"/>
    </row>
    <row r="1973" spans="1:25" x14ac:dyDescent="0.2">
      <c r="A1973" s="93" t="s">
        <v>886</v>
      </c>
      <c r="B1973" s="94" t="str">
        <f>IFERROR(VLOOKUP($A1973,HeadJournal!$A$1:$NTR$890,COLUMN(HeadJournal!B$1),0),"")</f>
        <v>710000902643</v>
      </c>
      <c r="C1973" s="94" t="str">
        <f>IFERROR(VLOOKUP($A1973,HeadJournal!$A$1:$NTR$890,COLUMN(HeadJournal!C$1),0),"")</f>
        <v>iHerb_VP DFD1605</v>
      </c>
      <c r="D1973" s="125" t="str">
        <f>IFERROR(VLOOKUP($A1973,HeadJournal!$A$1:$NTR$890,COLUMN(HeadJournal!D$1),0),"")</f>
        <v>Доставлен</v>
      </c>
      <c r="E1973" s="95">
        <f>IFERROR(VLOOKUP($A1973,HeadJournal!$A$1:$NTR$890,COLUMN(HeadJournal!G$1),0),"")</f>
        <v>45137</v>
      </c>
      <c r="F1973" s="95" t="str">
        <f t="shared" si="154"/>
        <v>2023 07</v>
      </c>
      <c r="G1973" s="96" t="s">
        <v>5</v>
      </c>
      <c r="H1973" s="161" t="s">
        <v>2650</v>
      </c>
      <c r="I1973" s="97" t="s">
        <v>2005</v>
      </c>
      <c r="J1973" s="97" t="s">
        <v>2651</v>
      </c>
      <c r="K1973" s="29">
        <v>12.67</v>
      </c>
      <c r="L1973" s="29">
        <v>-3.8000000000000003</v>
      </c>
      <c r="M1973" s="30">
        <f>IFERROR(VLOOKUP($A1973,HeadJournal!$A$1:$J$890,COLUMN(HeadJournal!I$1),0)*($K1973+$L1973)/(SUMIF($A:$A,$A1973,$K:$K)+SUMIF($A:$A,$A1973,$L:$L)),0)</f>
        <v>-0.86022006050180932</v>
      </c>
      <c r="N1973" s="30">
        <f>IFERROR((VLOOKUP($A1973,HeadJournal!$A$1:$K$890,COLUMN(HeadJournal!K$1),0)-VLOOKUP($A1973,HeadJournal!$A$1:$K$890,COLUMN(HeadJournal!J$1),0))*($K1973+$L1973)/(SUMIF($A:$A,$A1973,$K:$K)+SUMIF($A:$A,$A1973,$L:$L)),0)</f>
        <v>2.9906941413806704E-15</v>
      </c>
      <c r="O1973" s="30">
        <f>IFERROR((VLOOKUP($A1973,HeadJournal!$A$1:$L$890,COLUMN(HeadJournal!L$1),0)*($K1973+$L1973)/(SUMIF($A:$A,$A1973,$K:$K)+SUMIF($A:$A,$A1973,$L:$L)))/VLOOKUP($A1973,HeadJournal!$A$1:$L$890,COLUMN(HeadJournal!H$1),0),0)</f>
        <v>0.64252621163822699</v>
      </c>
      <c r="P1973" s="30">
        <f>IFERROR(SUM(K1973:O1973)*VLOOKUP($A1973,HeadJournal!$A$1:$L$890,COLUMN(HeadJournal!H$1),0),0)</f>
        <v>883.70485734622468</v>
      </c>
      <c r="Q1973" s="29">
        <v>1800</v>
      </c>
      <c r="R1973" s="31">
        <v>45454</v>
      </c>
      <c r="S1973" s="31" t="s">
        <v>3121</v>
      </c>
      <c r="T1973" s="95" t="str">
        <f t="shared" si="155"/>
        <v>2024 06</v>
      </c>
      <c r="U1973" s="32">
        <f t="shared" si="152"/>
        <v>916.29514265377532</v>
      </c>
      <c r="V1973" s="22">
        <f t="shared" si="153"/>
        <v>1.0368791514911659</v>
      </c>
      <c r="X1973" s="33"/>
      <c r="Y1973" s="33"/>
    </row>
    <row r="1974" spans="1:25" x14ac:dyDescent="0.2">
      <c r="A1974" s="93" t="s">
        <v>886</v>
      </c>
      <c r="B1974" s="94" t="str">
        <f>IFERROR(VLOOKUP($A1974,HeadJournal!$A$1:$NTR$890,COLUMN(HeadJournal!B$1),0),"")</f>
        <v>710000902643</v>
      </c>
      <c r="C1974" s="94" t="str">
        <f>IFERROR(VLOOKUP($A1974,HeadJournal!$A$1:$NTR$890,COLUMN(HeadJournal!C$1),0),"")</f>
        <v>iHerb_VP DFD1605</v>
      </c>
      <c r="D1974" s="125" t="str">
        <f>IFERROR(VLOOKUP($A1974,HeadJournal!$A$1:$NTR$890,COLUMN(HeadJournal!D$1),0),"")</f>
        <v>Доставлен</v>
      </c>
      <c r="E1974" s="95">
        <f>IFERROR(VLOOKUP($A1974,HeadJournal!$A$1:$NTR$890,COLUMN(HeadJournal!G$1),0),"")</f>
        <v>45137</v>
      </c>
      <c r="F1974" s="95" t="str">
        <f t="shared" si="154"/>
        <v>2023 07</v>
      </c>
      <c r="G1974" s="96" t="s">
        <v>5</v>
      </c>
      <c r="H1974" s="161" t="s">
        <v>2659</v>
      </c>
      <c r="I1974" s="97" t="s">
        <v>2218</v>
      </c>
      <c r="J1974" s="97" t="s">
        <v>2660</v>
      </c>
      <c r="K1974" s="29">
        <v>10.79</v>
      </c>
      <c r="L1974" s="29">
        <v>-1.08</v>
      </c>
      <c r="M1974" s="30">
        <f>IFERROR(VLOOKUP($A1974,HeadJournal!$A$1:$J$890,COLUMN(HeadJournal!I$1),0)*($K1974+$L1974)/(SUMIF($A:$A,$A1974,$K:$K)+SUMIF($A:$A,$A1974,$L:$L)),0)</f>
        <v>-0.94168396702058277</v>
      </c>
      <c r="N1974" s="30">
        <f>IFERROR((VLOOKUP($A1974,HeadJournal!$A$1:$K$890,COLUMN(HeadJournal!K$1),0)-VLOOKUP($A1974,HeadJournal!$A$1:$K$890,COLUMN(HeadJournal!J$1),0))*($K1974+$L1974)/(SUMIF($A:$A,$A1974,$K:$K)+SUMIF($A:$A,$A1974,$L:$L)),0)</f>
        <v>3.2739165854347586E-15</v>
      </c>
      <c r="O1974" s="30">
        <f>IFERROR((VLOOKUP($A1974,HeadJournal!$A$1:$L$890,COLUMN(HeadJournal!L$1),0)*($K1974+$L1974)/(SUMIF($A:$A,$A1974,$K:$K)+SUMIF($A:$A,$A1974,$L:$L)))/VLOOKUP($A1974,HeadJournal!$A$1:$L$890,COLUMN(HeadJournal!H$1),0),0)</f>
        <v>0.70337424069979537</v>
      </c>
      <c r="P1974" s="30">
        <f>IFERROR(SUM(K1974:O1974)*VLOOKUP($A1974,HeadJournal!$A$1:$L$890,COLUMN(HeadJournal!H$1),0),0)</f>
        <v>967.39280325048946</v>
      </c>
      <c r="Q1974" s="29">
        <v>1600</v>
      </c>
      <c r="R1974" s="31">
        <v>45167</v>
      </c>
      <c r="S1974" s="31" t="s">
        <v>3121</v>
      </c>
      <c r="T1974" s="95" t="str">
        <f t="shared" si="155"/>
        <v>2023 08</v>
      </c>
      <c r="U1974" s="32">
        <f t="shared" si="152"/>
        <v>632.60719674951054</v>
      </c>
      <c r="V1974" s="22">
        <f t="shared" si="153"/>
        <v>0.65393002162505021</v>
      </c>
      <c r="X1974" s="33"/>
      <c r="Y1974" s="33"/>
    </row>
    <row r="1975" spans="1:25" x14ac:dyDescent="0.2">
      <c r="A1975" s="93" t="s">
        <v>886</v>
      </c>
      <c r="B1975" s="94" t="str">
        <f>IFERROR(VLOOKUP($A1975,HeadJournal!$A$1:$NTR$890,COLUMN(HeadJournal!B$1),0),"")</f>
        <v>710000902643</v>
      </c>
      <c r="C1975" s="94" t="str">
        <f>IFERROR(VLOOKUP($A1975,HeadJournal!$A$1:$NTR$890,COLUMN(HeadJournal!C$1),0),"")</f>
        <v>iHerb_VP DFD1605</v>
      </c>
      <c r="D1975" s="125" t="str">
        <f>IFERROR(VLOOKUP($A1975,HeadJournal!$A$1:$NTR$890,COLUMN(HeadJournal!D$1),0),"")</f>
        <v>Доставлен</v>
      </c>
      <c r="E1975" s="95">
        <f>IFERROR(VLOOKUP($A1975,HeadJournal!$A$1:$NTR$890,COLUMN(HeadJournal!G$1),0),"")</f>
        <v>45137</v>
      </c>
      <c r="F1975" s="95" t="str">
        <f t="shared" si="154"/>
        <v>2023 07</v>
      </c>
      <c r="G1975" s="96" t="s">
        <v>5</v>
      </c>
      <c r="H1975" s="161" t="s">
        <v>2659</v>
      </c>
      <c r="I1975" s="97" t="s">
        <v>2218</v>
      </c>
      <c r="J1975" s="97" t="s">
        <v>2660</v>
      </c>
      <c r="K1975" s="29">
        <v>10.79</v>
      </c>
      <c r="L1975" s="29">
        <v>-1.08</v>
      </c>
      <c r="M1975" s="30">
        <f>IFERROR(VLOOKUP($A1975,HeadJournal!$A$1:$J$890,COLUMN(HeadJournal!I$1),0)*($K1975+$L1975)/(SUMIF($A:$A,$A1975,$K:$K)+SUMIF($A:$A,$A1975,$L:$L)),0)</f>
        <v>-0.94168396702058277</v>
      </c>
      <c r="N1975" s="30">
        <f>IFERROR((VLOOKUP($A1975,HeadJournal!$A$1:$K$890,COLUMN(HeadJournal!K$1),0)-VLOOKUP($A1975,HeadJournal!$A$1:$K$890,COLUMN(HeadJournal!J$1),0))*($K1975+$L1975)/(SUMIF($A:$A,$A1975,$K:$K)+SUMIF($A:$A,$A1975,$L:$L)),0)</f>
        <v>3.2739165854347586E-15</v>
      </c>
      <c r="O1975" s="30">
        <f>IFERROR((VLOOKUP($A1975,HeadJournal!$A$1:$L$890,COLUMN(HeadJournal!L$1),0)*($K1975+$L1975)/(SUMIF($A:$A,$A1975,$K:$K)+SUMIF($A:$A,$A1975,$L:$L)))/VLOOKUP($A1975,HeadJournal!$A$1:$L$890,COLUMN(HeadJournal!H$1),0),0)</f>
        <v>0.70337424069979537</v>
      </c>
      <c r="P1975" s="30">
        <f>IFERROR(SUM(K1975:O1975)*VLOOKUP($A1975,HeadJournal!$A$1:$L$890,COLUMN(HeadJournal!H$1),0),0)</f>
        <v>967.39280325048946</v>
      </c>
      <c r="Q1975" s="29">
        <v>1600</v>
      </c>
      <c r="R1975" s="31">
        <v>45167</v>
      </c>
      <c r="S1975" s="31" t="s">
        <v>3121</v>
      </c>
      <c r="T1975" s="95" t="str">
        <f t="shared" si="155"/>
        <v>2023 08</v>
      </c>
      <c r="U1975" s="32">
        <f t="shared" si="152"/>
        <v>632.60719674951054</v>
      </c>
      <c r="V1975" s="22">
        <f t="shared" si="153"/>
        <v>0.65393002162505021</v>
      </c>
      <c r="X1975" s="33"/>
      <c r="Y1975" s="33"/>
    </row>
    <row r="1976" spans="1:25" x14ac:dyDescent="0.2">
      <c r="A1976" s="93" t="s">
        <v>886</v>
      </c>
      <c r="B1976" s="94" t="str">
        <f>IFERROR(VLOOKUP($A1976,HeadJournal!$A$1:$NTR$890,COLUMN(HeadJournal!B$1),0),"")</f>
        <v>710000902643</v>
      </c>
      <c r="C1976" s="94" t="str">
        <f>IFERROR(VLOOKUP($A1976,HeadJournal!$A$1:$NTR$890,COLUMN(HeadJournal!C$1),0),"")</f>
        <v>iHerb_VP DFD1605</v>
      </c>
      <c r="D1976" s="125" t="str">
        <f>IFERROR(VLOOKUP($A1976,HeadJournal!$A$1:$NTR$890,COLUMN(HeadJournal!D$1),0),"")</f>
        <v>Доставлен</v>
      </c>
      <c r="E1976" s="95">
        <f>IFERROR(VLOOKUP($A1976,HeadJournal!$A$1:$NTR$890,COLUMN(HeadJournal!G$1),0),"")</f>
        <v>45137</v>
      </c>
      <c r="F1976" s="95" t="str">
        <f t="shared" si="154"/>
        <v>2023 07</v>
      </c>
      <c r="G1976" s="96" t="s">
        <v>5</v>
      </c>
      <c r="H1976" s="161" t="s">
        <v>2659</v>
      </c>
      <c r="I1976" s="97" t="s">
        <v>2218</v>
      </c>
      <c r="J1976" s="97" t="s">
        <v>2660</v>
      </c>
      <c r="K1976" s="29">
        <v>10.79</v>
      </c>
      <c r="L1976" s="29">
        <v>-1.08</v>
      </c>
      <c r="M1976" s="30">
        <f>IFERROR(VLOOKUP($A1976,HeadJournal!$A$1:$J$890,COLUMN(HeadJournal!I$1),0)*($K1976+$L1976)/(SUMIF($A:$A,$A1976,$K:$K)+SUMIF($A:$A,$A1976,$L:$L)),0)</f>
        <v>-0.94168396702058277</v>
      </c>
      <c r="N1976" s="30">
        <f>IFERROR((VLOOKUP($A1976,HeadJournal!$A$1:$K$890,COLUMN(HeadJournal!K$1),0)-VLOOKUP($A1976,HeadJournal!$A$1:$K$890,COLUMN(HeadJournal!J$1),0))*($K1976+$L1976)/(SUMIF($A:$A,$A1976,$K:$K)+SUMIF($A:$A,$A1976,$L:$L)),0)</f>
        <v>3.2739165854347586E-15</v>
      </c>
      <c r="O1976" s="30">
        <f>IFERROR((VLOOKUP($A1976,HeadJournal!$A$1:$L$890,COLUMN(HeadJournal!L$1),0)*($K1976+$L1976)/(SUMIF($A:$A,$A1976,$K:$K)+SUMIF($A:$A,$A1976,$L:$L)))/VLOOKUP($A1976,HeadJournal!$A$1:$L$890,COLUMN(HeadJournal!H$1),0),0)</f>
        <v>0.70337424069979537</v>
      </c>
      <c r="P1976" s="30">
        <f>IFERROR(SUM(K1976:O1976)*VLOOKUP($A1976,HeadJournal!$A$1:$L$890,COLUMN(HeadJournal!H$1),0),0)</f>
        <v>967.39280325048946</v>
      </c>
      <c r="Q1976" s="29">
        <v>1700</v>
      </c>
      <c r="R1976" s="31">
        <v>45175</v>
      </c>
      <c r="S1976" s="31" t="s">
        <v>3121</v>
      </c>
      <c r="T1976" s="95" t="str">
        <f t="shared" si="155"/>
        <v>2023 09</v>
      </c>
      <c r="U1976" s="32">
        <f t="shared" si="152"/>
        <v>732.60719674951054</v>
      </c>
      <c r="V1976" s="22">
        <f t="shared" si="153"/>
        <v>0.75730064797661589</v>
      </c>
      <c r="X1976" s="33"/>
      <c r="Y1976" s="33"/>
    </row>
    <row r="1977" spans="1:25" x14ac:dyDescent="0.2">
      <c r="A1977" s="93" t="s">
        <v>886</v>
      </c>
      <c r="B1977" s="94" t="str">
        <f>IFERROR(VLOOKUP($A1977,HeadJournal!$A$1:$NTR$890,COLUMN(HeadJournal!B$1),0),"")</f>
        <v>710000902643</v>
      </c>
      <c r="C1977" s="94" t="str">
        <f>IFERROR(VLOOKUP($A1977,HeadJournal!$A$1:$NTR$890,COLUMN(HeadJournal!C$1),0),"")</f>
        <v>iHerb_VP DFD1605</v>
      </c>
      <c r="D1977" s="125" t="str">
        <f>IFERROR(VLOOKUP($A1977,HeadJournal!$A$1:$NTR$890,COLUMN(HeadJournal!D$1),0),"")</f>
        <v>Доставлен</v>
      </c>
      <c r="E1977" s="95">
        <f>IFERROR(VLOOKUP($A1977,HeadJournal!$A$1:$NTR$890,COLUMN(HeadJournal!G$1),0),"")</f>
        <v>45137</v>
      </c>
      <c r="F1977" s="95" t="str">
        <f t="shared" si="154"/>
        <v>2023 07</v>
      </c>
      <c r="G1977" s="96" t="s">
        <v>5</v>
      </c>
      <c r="H1977" s="161" t="s">
        <v>2217</v>
      </c>
      <c r="I1977" s="97" t="s">
        <v>2218</v>
      </c>
      <c r="J1977" s="97" t="s">
        <v>2219</v>
      </c>
      <c r="K1977" s="29">
        <v>27.75</v>
      </c>
      <c r="L1977" s="29">
        <v>-5.55</v>
      </c>
      <c r="M1977" s="30">
        <f>IFERROR(VLOOKUP($A1977,HeadJournal!$A$1:$J$890,COLUMN(HeadJournal!I$1),0)*($K1977+$L1977)/(SUMIF($A:$A,$A1977,$K:$K)+SUMIF($A:$A,$A1977,$L:$L)),0)</f>
        <v>-2.1529746722818679</v>
      </c>
      <c r="N1977" s="30">
        <f>IFERROR((VLOOKUP($A1977,HeadJournal!$A$1:$K$890,COLUMN(HeadJournal!K$1),0)-VLOOKUP($A1977,HeadJournal!$A$1:$K$890,COLUMN(HeadJournal!J$1),0))*($K1977+$L1977)/(SUMIF($A:$A,$A1977,$K:$K)+SUMIF($A:$A,$A1977,$L:$L)),0)</f>
        <v>7.4851645928580473E-15</v>
      </c>
      <c r="O1977" s="30">
        <f>IFERROR((VLOOKUP($A1977,HeadJournal!$A$1:$L$890,COLUMN(HeadJournal!L$1),0)*($K1977+$L1977)/(SUMIF($A:$A,$A1977,$K:$K)+SUMIF($A:$A,$A1977,$L:$L)))/VLOOKUP($A1977,HeadJournal!$A$1:$L$890,COLUMN(HeadJournal!H$1),0),0)</f>
        <v>1.6081264823414481</v>
      </c>
      <c r="P1977" s="30">
        <f>IFERROR(SUM(K1977:O1977)*VLOOKUP($A1977,HeadJournal!$A$1:$L$890,COLUMN(HeadJournal!H$1),0),0)</f>
        <v>2211.7528560412838</v>
      </c>
      <c r="Q1977" s="29">
        <v>3200</v>
      </c>
      <c r="R1977" s="31">
        <v>45221</v>
      </c>
      <c r="S1977" s="31" t="s">
        <v>3121</v>
      </c>
      <c r="T1977" s="95" t="str">
        <f t="shared" si="155"/>
        <v>2023 10</v>
      </c>
      <c r="U1977" s="32">
        <f t="shared" si="152"/>
        <v>988.24714395871615</v>
      </c>
      <c r="V1977" s="22">
        <f t="shared" si="153"/>
        <v>0.44681626216029169</v>
      </c>
      <c r="X1977" s="33"/>
      <c r="Y1977" s="33"/>
    </row>
    <row r="1978" spans="1:25" x14ac:dyDescent="0.2">
      <c r="A1978" s="93" t="s">
        <v>886</v>
      </c>
      <c r="B1978" s="94" t="str">
        <f>IFERROR(VLOOKUP($A1978,HeadJournal!$A$1:$NTR$890,COLUMN(HeadJournal!B$1),0),"")</f>
        <v>710000902643</v>
      </c>
      <c r="C1978" s="94" t="str">
        <f>IFERROR(VLOOKUP($A1978,HeadJournal!$A$1:$NTR$890,COLUMN(HeadJournal!C$1),0),"")</f>
        <v>iHerb_VP DFD1605</v>
      </c>
      <c r="D1978" s="125" t="str">
        <f>IFERROR(VLOOKUP($A1978,HeadJournal!$A$1:$NTR$890,COLUMN(HeadJournal!D$1),0),"")</f>
        <v>Доставлен</v>
      </c>
      <c r="E1978" s="95">
        <f>IFERROR(VLOOKUP($A1978,HeadJournal!$A$1:$NTR$890,COLUMN(HeadJournal!G$1),0),"")</f>
        <v>45137</v>
      </c>
      <c r="F1978" s="95" t="str">
        <f t="shared" si="154"/>
        <v>2023 07</v>
      </c>
      <c r="G1978" s="96" t="s">
        <v>5</v>
      </c>
      <c r="H1978" s="161" t="s">
        <v>2217</v>
      </c>
      <c r="I1978" s="97" t="s">
        <v>2218</v>
      </c>
      <c r="J1978" s="97" t="s">
        <v>2219</v>
      </c>
      <c r="K1978" s="29">
        <v>27.75</v>
      </c>
      <c r="L1978" s="29">
        <v>-5.55</v>
      </c>
      <c r="M1978" s="30">
        <f>IFERROR(VLOOKUP($A1978,HeadJournal!$A$1:$J$890,COLUMN(HeadJournal!I$1),0)*($K1978+$L1978)/(SUMIF($A:$A,$A1978,$K:$K)+SUMIF($A:$A,$A1978,$L:$L)),0)</f>
        <v>-2.1529746722818679</v>
      </c>
      <c r="N1978" s="30">
        <f>IFERROR((VLOOKUP($A1978,HeadJournal!$A$1:$K$890,COLUMN(HeadJournal!K$1),0)-VLOOKUP($A1978,HeadJournal!$A$1:$K$890,COLUMN(HeadJournal!J$1),0))*($K1978+$L1978)/(SUMIF($A:$A,$A1978,$K:$K)+SUMIF($A:$A,$A1978,$L:$L)),0)</f>
        <v>7.4851645928580473E-15</v>
      </c>
      <c r="O1978" s="30">
        <f>IFERROR((VLOOKUP($A1978,HeadJournal!$A$1:$L$890,COLUMN(HeadJournal!L$1),0)*($K1978+$L1978)/(SUMIF($A:$A,$A1978,$K:$K)+SUMIF($A:$A,$A1978,$L:$L)))/VLOOKUP($A1978,HeadJournal!$A$1:$L$890,COLUMN(HeadJournal!H$1),0),0)</f>
        <v>1.6081264823414481</v>
      </c>
      <c r="P1978" s="30">
        <f>IFERROR(SUM(K1978:O1978)*VLOOKUP($A1978,HeadJournal!$A$1:$L$890,COLUMN(HeadJournal!H$1),0),0)</f>
        <v>2211.7528560412838</v>
      </c>
      <c r="Q1978" s="29">
        <v>3300</v>
      </c>
      <c r="R1978" s="31">
        <v>45286</v>
      </c>
      <c r="S1978" s="31" t="s">
        <v>3121</v>
      </c>
      <c r="T1978" s="95" t="str">
        <f t="shared" si="155"/>
        <v>2023 12</v>
      </c>
      <c r="U1978" s="32">
        <f t="shared" si="152"/>
        <v>1088.2471439587162</v>
      </c>
      <c r="V1978" s="22">
        <f t="shared" si="153"/>
        <v>0.49202927035280081</v>
      </c>
      <c r="X1978" s="33"/>
      <c r="Y1978" s="33"/>
    </row>
    <row r="1979" spans="1:25" x14ac:dyDescent="0.2">
      <c r="A1979" s="93" t="s">
        <v>886</v>
      </c>
      <c r="B1979" s="94" t="str">
        <f>IFERROR(VLOOKUP($A1979,HeadJournal!$A$1:$NTR$890,COLUMN(HeadJournal!B$1),0),"")</f>
        <v>710000902643</v>
      </c>
      <c r="C1979" s="94" t="str">
        <f>IFERROR(VLOOKUP($A1979,HeadJournal!$A$1:$NTR$890,COLUMN(HeadJournal!C$1),0),"")</f>
        <v>iHerb_VP DFD1605</v>
      </c>
      <c r="D1979" s="125" t="str">
        <f>IFERROR(VLOOKUP($A1979,HeadJournal!$A$1:$NTR$890,COLUMN(HeadJournal!D$1),0),"")</f>
        <v>Доставлен</v>
      </c>
      <c r="E1979" s="95">
        <f>IFERROR(VLOOKUP($A1979,HeadJournal!$A$1:$NTR$890,COLUMN(HeadJournal!G$1),0),"")</f>
        <v>45137</v>
      </c>
      <c r="F1979" s="95" t="str">
        <f t="shared" si="154"/>
        <v>2023 07</v>
      </c>
      <c r="G1979" s="96" t="s">
        <v>5</v>
      </c>
      <c r="H1979" s="160" t="str">
        <f>RIGHT(Journal!$J1979,9)</f>
        <v>CGN-01352</v>
      </c>
      <c r="I1979" s="96" t="str">
        <f t="shared" si="156"/>
        <v>California Gold Nutrition</v>
      </c>
      <c r="J1979" s="97" t="s">
        <v>319</v>
      </c>
      <c r="K1979" s="29">
        <v>13.44</v>
      </c>
      <c r="L1979" s="29">
        <v>-6.72</v>
      </c>
      <c r="M1979" s="30">
        <f>IFERROR(VLOOKUP($A1979,HeadJournal!$A$1:$J$890,COLUMN(HeadJournal!I$1),0)*($K1979+$L1979)/(SUMIF($A:$A,$A1979,$K:$K)+SUMIF($A:$A,$A1979,$L:$L)),0)</f>
        <v>-0.6517112521501871</v>
      </c>
      <c r="N1979" s="30">
        <f>IFERROR((VLOOKUP($A1979,HeadJournal!$A$1:$K$890,COLUMN(HeadJournal!K$1),0)-VLOOKUP($A1979,HeadJournal!$A$1:$K$890,COLUMN(HeadJournal!J$1),0))*($K1979+$L1979)/(SUMIF($A:$A,$A1979,$K:$K)+SUMIF($A:$A,$A1979,$L:$L)),0)</f>
        <v>2.2657795524327062E-15</v>
      </c>
      <c r="O1979" s="30">
        <f>IFERROR((VLOOKUP($A1979,HeadJournal!$A$1:$L$890,COLUMN(HeadJournal!L$1),0)*($K1979+$L1979)/(SUMIF($A:$A,$A1979,$K:$K)+SUMIF($A:$A,$A1979,$L:$L)))/VLOOKUP($A1979,HeadJournal!$A$1:$L$890,COLUMN(HeadJournal!H$1),0),0)</f>
        <v>0.48678423249254632</v>
      </c>
      <c r="P1979" s="30">
        <f>IFERROR(SUM(K1979:O1979)*VLOOKUP($A1979,HeadJournal!$A$1:$L$890,COLUMN(HeadJournal!H$1),0),0)</f>
        <v>669.50356723411846</v>
      </c>
      <c r="Q1979" s="29">
        <v>1800</v>
      </c>
      <c r="R1979" s="31">
        <v>45173</v>
      </c>
      <c r="S1979" s="31" t="s">
        <v>3121</v>
      </c>
      <c r="T1979" s="95" t="str">
        <f t="shared" si="155"/>
        <v>2023 09</v>
      </c>
      <c r="U1979" s="32">
        <f t="shared" si="152"/>
        <v>1130.4964327658815</v>
      </c>
      <c r="V1979" s="22">
        <f t="shared" si="153"/>
        <v>1.6885592371617022</v>
      </c>
      <c r="X1979" s="33"/>
      <c r="Y1979" s="33"/>
    </row>
    <row r="1980" spans="1:25" x14ac:dyDescent="0.2">
      <c r="A1980" s="93" t="s">
        <v>886</v>
      </c>
      <c r="B1980" s="94" t="str">
        <f>IFERROR(VLOOKUP($A1980,HeadJournal!$A$1:$NTR$890,COLUMN(HeadJournal!B$1),0),"")</f>
        <v>710000902643</v>
      </c>
      <c r="C1980" s="94" t="str">
        <f>IFERROR(VLOOKUP($A1980,HeadJournal!$A$1:$NTR$890,COLUMN(HeadJournal!C$1),0),"")</f>
        <v>iHerb_VP DFD1605</v>
      </c>
      <c r="D1980" s="125" t="str">
        <f>IFERROR(VLOOKUP($A1980,HeadJournal!$A$1:$NTR$890,COLUMN(HeadJournal!D$1),0),"")</f>
        <v>Доставлен</v>
      </c>
      <c r="E1980" s="95">
        <f>IFERROR(VLOOKUP($A1980,HeadJournal!$A$1:$NTR$890,COLUMN(HeadJournal!G$1),0),"")</f>
        <v>45137</v>
      </c>
      <c r="F1980" s="95" t="str">
        <f t="shared" si="154"/>
        <v>2023 07</v>
      </c>
      <c r="G1980" s="96" t="s">
        <v>5</v>
      </c>
      <c r="H1980" s="175" t="s">
        <v>3630</v>
      </c>
      <c r="I1980" s="176" t="s">
        <v>2052</v>
      </c>
      <c r="J1980" s="97" t="s">
        <v>3673</v>
      </c>
      <c r="K1980" s="29">
        <v>19.04</v>
      </c>
      <c r="L1980" s="29">
        <v>-5.71</v>
      </c>
      <c r="M1980" s="30">
        <f>IFERROR(VLOOKUP($A1980,HeadJournal!$A$1:$J$890,COLUMN(HeadJournal!I$1),0)*($K1980+$L1980)/(SUMIF($A:$A,$A1980,$K:$K)+SUMIF($A:$A,$A1980,$L:$L)),0)</f>
        <v>-1.2927546117800583</v>
      </c>
      <c r="N1980" s="30">
        <f>IFERROR((VLOOKUP($A1980,HeadJournal!$A$1:$K$890,COLUMN(HeadJournal!K$1),0)-VLOOKUP($A1980,HeadJournal!$A$1:$K$890,COLUMN(HeadJournal!J$1),0))*($K1980+$L1980)/(SUMIF($A:$A,$A1980,$K:$K)+SUMIF($A:$A,$A1980,$L:$L)),0)</f>
        <v>4.4944704514773769E-15</v>
      </c>
      <c r="O1980" s="30">
        <f>IFERROR((VLOOKUP($A1980,HeadJournal!$A$1:$L$890,COLUMN(HeadJournal!L$1),0)*($K1980+$L1980)/(SUMIF($A:$A,$A1980,$K:$K)+SUMIF($A:$A,$A1980,$L:$L)))/VLOOKUP($A1980,HeadJournal!$A$1:$L$890,COLUMN(HeadJournal!H$1),0),0)</f>
        <v>0.96560027070322052</v>
      </c>
      <c r="P1980" s="30">
        <f>IFERROR(SUM(K1980:O1980)*VLOOKUP($A1980,HeadJournal!$A$1:$L$890,COLUMN(HeadJournal!H$1),0),0)</f>
        <v>1328.0479986950593</v>
      </c>
      <c r="Q1980" s="29">
        <v>2600</v>
      </c>
      <c r="R1980" s="31">
        <v>45384</v>
      </c>
      <c r="S1980" s="31" t="s">
        <v>3121</v>
      </c>
      <c r="T1980" s="95" t="str">
        <f t="shared" si="155"/>
        <v>2024 04</v>
      </c>
      <c r="U1980" s="32">
        <f t="shared" si="152"/>
        <v>1271.9520013049407</v>
      </c>
      <c r="V1980" s="22">
        <f t="shared" si="153"/>
        <v>0.95776056479491822</v>
      </c>
      <c r="X1980" s="33"/>
      <c r="Y1980" s="33"/>
    </row>
    <row r="1981" spans="1:25" x14ac:dyDescent="0.2">
      <c r="A1981" s="93" t="s">
        <v>886</v>
      </c>
      <c r="B1981" s="94" t="str">
        <f>IFERROR(VLOOKUP($A1981,HeadJournal!$A$1:$NTR$890,COLUMN(HeadJournal!B$1),0),"")</f>
        <v>710000902643</v>
      </c>
      <c r="C1981" s="94" t="str">
        <f>IFERROR(VLOOKUP($A1981,HeadJournal!$A$1:$NTR$890,COLUMN(HeadJournal!C$1),0),"")</f>
        <v>iHerb_VP DFD1605</v>
      </c>
      <c r="D1981" s="125" t="str">
        <f>IFERROR(VLOOKUP($A1981,HeadJournal!$A$1:$NTR$890,COLUMN(HeadJournal!D$1),0),"")</f>
        <v>Доставлен</v>
      </c>
      <c r="E1981" s="95">
        <f>IFERROR(VLOOKUP($A1981,HeadJournal!$A$1:$NTR$890,COLUMN(HeadJournal!G$1),0),"")</f>
        <v>45137</v>
      </c>
      <c r="F1981" s="95" t="str">
        <f t="shared" si="154"/>
        <v>2023 07</v>
      </c>
      <c r="G1981" s="96" t="s">
        <v>5</v>
      </c>
      <c r="H1981" s="161" t="s">
        <v>3033</v>
      </c>
      <c r="I1981" s="97" t="s">
        <v>2007</v>
      </c>
      <c r="J1981" s="97" t="s">
        <v>3034</v>
      </c>
      <c r="K1981" s="29">
        <v>33.6</v>
      </c>
      <c r="L1981" s="29">
        <v>-10.08</v>
      </c>
      <c r="M1981" s="30">
        <f>IFERROR(VLOOKUP($A1981,HeadJournal!$A$1:$J$890,COLUMN(HeadJournal!I$1),0)*($K1981+$L1981)/(SUMIF($A:$A,$A1981,$K:$K)+SUMIF($A:$A,$A1981,$L:$L)),0)</f>
        <v>-2.2809893825256551</v>
      </c>
      <c r="N1981" s="30">
        <f>IFERROR((VLOOKUP($A1981,HeadJournal!$A$1:$K$890,COLUMN(HeadJournal!K$1),0)-VLOOKUP($A1981,HeadJournal!$A$1:$K$890,COLUMN(HeadJournal!J$1),0))*($K1981+$L1981)/(SUMIF($A:$A,$A1981,$K:$K)+SUMIF($A:$A,$A1981,$L:$L)),0)</f>
        <v>7.9302284335144737E-15</v>
      </c>
      <c r="O1981" s="30">
        <f>IFERROR((VLOOKUP($A1981,HeadJournal!$A$1:$L$890,COLUMN(HeadJournal!L$1),0)*($K1981+$L1981)/(SUMIF($A:$A,$A1981,$K:$K)+SUMIF($A:$A,$A1981,$L:$L)))/VLOOKUP($A1981,HeadJournal!$A$1:$L$890,COLUMN(HeadJournal!H$1),0),0)</f>
        <v>1.7037448137239126</v>
      </c>
      <c r="P1981" s="30">
        <f>IFERROR(SUM(K1981:O1981)*VLOOKUP($A1981,HeadJournal!$A$1:$L$890,COLUMN(HeadJournal!H$1),0),0)</f>
        <v>2343.2624853194147</v>
      </c>
      <c r="Q1981" s="29">
        <v>4200</v>
      </c>
      <c r="R1981" s="31">
        <v>45190</v>
      </c>
      <c r="S1981" s="31" t="s">
        <v>3121</v>
      </c>
      <c r="T1981" s="95" t="str">
        <f t="shared" si="155"/>
        <v>2023 09</v>
      </c>
      <c r="U1981" s="32">
        <f t="shared" si="152"/>
        <v>1856.7375146805853</v>
      </c>
      <c r="V1981" s="22">
        <f t="shared" si="153"/>
        <v>0.79237282477446813</v>
      </c>
      <c r="X1981" s="33"/>
      <c r="Y1981" s="33"/>
    </row>
    <row r="1982" spans="1:25" x14ac:dyDescent="0.2">
      <c r="A1982" s="93" t="s">
        <v>887</v>
      </c>
      <c r="B1982" s="94">
        <f>IFERROR(VLOOKUP($A1982,HeadJournal!$A$1:$NTR$890,COLUMN(HeadJournal!B$1),0),"")</f>
        <v>0</v>
      </c>
      <c r="C1982" s="94" t="str">
        <f>IFERROR(VLOOKUP($A1982,HeadJournal!$A$1:$NTR$890,COLUMN(HeadJournal!C$1),0),"")</f>
        <v>CoralClub_AV</v>
      </c>
      <c r="D1982" s="125" t="str">
        <f>IFERROR(VLOOKUP($A1982,HeadJournal!$A$1:$NTR$890,COLUMN(HeadJournal!D$1),0),"")</f>
        <v>Доставлен</v>
      </c>
      <c r="E1982" s="95">
        <f>IFERROR(VLOOKUP($A1982,HeadJournal!$A$1:$NTR$890,COLUMN(HeadJournal!G$1),0),"")</f>
        <v>45147</v>
      </c>
      <c r="F1982" s="95" t="str">
        <f t="shared" si="154"/>
        <v>2023 08</v>
      </c>
      <c r="G1982" s="96" t="s">
        <v>5</v>
      </c>
      <c r="H1982" s="160" t="str">
        <f>RIGHT(Journal!$J1982,9)</f>
        <v>000001130</v>
      </c>
      <c r="I1982" s="96" t="str">
        <f t="shared" si="156"/>
        <v>CoralClub</v>
      </c>
      <c r="J1982" s="97" t="s">
        <v>387</v>
      </c>
      <c r="K1982" s="29">
        <v>869</v>
      </c>
      <c r="L1982" s="29">
        <v>0</v>
      </c>
      <c r="M1982" s="30">
        <f>IFERROR(VLOOKUP($A1982,HeadJournal!$A$1:$J$890,COLUMN(HeadJournal!I$1),0)*($K1982+$L1982)/(SUMIF($A:$A,$A1982,$K:$K)+SUMIF($A:$A,$A1982,$L:$L)),0)</f>
        <v>0</v>
      </c>
      <c r="N1982" s="30">
        <f>IFERROR((VLOOKUP($A1982,HeadJournal!$A$1:$K$890,COLUMN(HeadJournal!K$1),0)-VLOOKUP($A1982,HeadJournal!$A$1:$K$890,COLUMN(HeadJournal!J$1),0))*($K1982+$L1982)/(SUMIF($A:$A,$A1982,$K:$K)+SUMIF($A:$A,$A1982,$L:$L)),0)</f>
        <v>11</v>
      </c>
      <c r="O1982" s="30">
        <f>IFERROR((VLOOKUP($A1982,HeadJournal!$A$1:$L$890,COLUMN(HeadJournal!L$1),0)*($K1982+$L1982)/(SUMIF($A:$A,$A1982,$K:$K)+SUMIF($A:$A,$A1982,$L:$L)))/VLOOKUP($A1982,HeadJournal!$A$1:$L$890,COLUMN(HeadJournal!H$1),0),0)</f>
        <v>0</v>
      </c>
      <c r="P1982" s="30">
        <f>IFERROR(SUM(K1982:O1982)*VLOOKUP($A1982,HeadJournal!$A$1:$L$890,COLUMN(HeadJournal!H$1),0),0)</f>
        <v>880</v>
      </c>
      <c r="Q1982" s="29">
        <v>1050</v>
      </c>
      <c r="R1982" s="31">
        <v>45167</v>
      </c>
      <c r="S1982" s="31" t="s">
        <v>3121</v>
      </c>
      <c r="T1982" s="95" t="str">
        <f t="shared" si="155"/>
        <v>2023 08</v>
      </c>
      <c r="U1982" s="32">
        <f t="shared" si="152"/>
        <v>170</v>
      </c>
      <c r="V1982" s="22">
        <f t="shared" si="153"/>
        <v>0.19318181818181818</v>
      </c>
      <c r="X1982" s="33"/>
      <c r="Y1982" s="33"/>
    </row>
    <row r="1983" spans="1:25" x14ac:dyDescent="0.2">
      <c r="A1983" s="93" t="s">
        <v>887</v>
      </c>
      <c r="B1983" s="94">
        <f>IFERROR(VLOOKUP($A1983,HeadJournal!$A$1:$NTR$890,COLUMN(HeadJournal!B$1),0),"")</f>
        <v>0</v>
      </c>
      <c r="C1983" s="94" t="str">
        <f>IFERROR(VLOOKUP($A1983,HeadJournal!$A$1:$NTR$890,COLUMN(HeadJournal!C$1),0),"")</f>
        <v>CoralClub_AV</v>
      </c>
      <c r="D1983" s="125" t="str">
        <f>IFERROR(VLOOKUP($A1983,HeadJournal!$A$1:$NTR$890,COLUMN(HeadJournal!D$1),0),"")</f>
        <v>Доставлен</v>
      </c>
      <c r="E1983" s="95">
        <f>IFERROR(VLOOKUP($A1983,HeadJournal!$A$1:$NTR$890,COLUMN(HeadJournal!G$1),0),"")</f>
        <v>45147</v>
      </c>
      <c r="F1983" s="95" t="str">
        <f t="shared" si="154"/>
        <v>2023 08</v>
      </c>
      <c r="G1983" s="96" t="s">
        <v>5</v>
      </c>
      <c r="H1983" s="160" t="str">
        <f>RIGHT(Journal!$J1983,9)</f>
        <v>000001130</v>
      </c>
      <c r="I1983" s="96" t="str">
        <f t="shared" si="156"/>
        <v>CoralClub</v>
      </c>
      <c r="J1983" s="97" t="s">
        <v>387</v>
      </c>
      <c r="K1983" s="29">
        <v>869</v>
      </c>
      <c r="L1983" s="29">
        <v>0</v>
      </c>
      <c r="M1983" s="30">
        <f>IFERROR(VLOOKUP($A1983,HeadJournal!$A$1:$J$890,COLUMN(HeadJournal!I$1),0)*($K1983+$L1983)/(SUMIF($A:$A,$A1983,$K:$K)+SUMIF($A:$A,$A1983,$L:$L)),0)</f>
        <v>0</v>
      </c>
      <c r="N1983" s="30">
        <f>IFERROR((VLOOKUP($A1983,HeadJournal!$A$1:$K$890,COLUMN(HeadJournal!K$1),0)-VLOOKUP($A1983,HeadJournal!$A$1:$K$890,COLUMN(HeadJournal!J$1),0))*($K1983+$L1983)/(SUMIF($A:$A,$A1983,$K:$K)+SUMIF($A:$A,$A1983,$L:$L)),0)</f>
        <v>11</v>
      </c>
      <c r="O1983" s="30">
        <f>IFERROR((VLOOKUP($A1983,HeadJournal!$A$1:$L$890,COLUMN(HeadJournal!L$1),0)*($K1983+$L1983)/(SUMIF($A:$A,$A1983,$K:$K)+SUMIF($A:$A,$A1983,$L:$L)))/VLOOKUP($A1983,HeadJournal!$A$1:$L$890,COLUMN(HeadJournal!H$1),0),0)</f>
        <v>0</v>
      </c>
      <c r="P1983" s="30">
        <f>IFERROR(SUM(K1983:O1983)*VLOOKUP($A1983,HeadJournal!$A$1:$L$890,COLUMN(HeadJournal!H$1),0),0)</f>
        <v>880</v>
      </c>
      <c r="Q1983" s="29">
        <v>1050</v>
      </c>
      <c r="R1983" s="31">
        <v>45167</v>
      </c>
      <c r="S1983" s="31" t="s">
        <v>3121</v>
      </c>
      <c r="T1983" s="95" t="str">
        <f t="shared" si="155"/>
        <v>2023 08</v>
      </c>
      <c r="U1983" s="32">
        <f t="shared" si="152"/>
        <v>170</v>
      </c>
      <c r="V1983" s="22">
        <f t="shared" si="153"/>
        <v>0.19318181818181818</v>
      </c>
      <c r="X1983" s="33"/>
      <c r="Y1983" s="33"/>
    </row>
    <row r="1984" spans="1:25" x14ac:dyDescent="0.2">
      <c r="A1984" s="93" t="s">
        <v>888</v>
      </c>
      <c r="B1984" s="94" t="str">
        <f>IFERROR(VLOOKUP($A1984,HeadJournal!$A$1:$NTR$890,COLUMN(HeadJournal!B$1),0),"")</f>
        <v>710000931146</v>
      </c>
      <c r="C1984" s="94" t="str">
        <f>IFERROR(VLOOKUP($A1984,HeadJournal!$A$1:$NTR$890,COLUMN(HeadJournal!C$1),0),"")</f>
        <v>iHerb_VP DFD1605</v>
      </c>
      <c r="D1984" s="125" t="str">
        <f>IFERROR(VLOOKUP($A1984,HeadJournal!$A$1:$NTR$890,COLUMN(HeadJournal!D$1),0),"")</f>
        <v>Доставлен</v>
      </c>
      <c r="E1984" s="95">
        <f>IFERROR(VLOOKUP($A1984,HeadJournal!$A$1:$NTR$890,COLUMN(HeadJournal!G$1),0),"")</f>
        <v>45154</v>
      </c>
      <c r="F1984" s="95" t="str">
        <f t="shared" si="154"/>
        <v>2023 08</v>
      </c>
      <c r="G1984" s="96" t="s">
        <v>5</v>
      </c>
      <c r="H1984" s="161" t="s">
        <v>2468</v>
      </c>
      <c r="I1984" s="97" t="s">
        <v>2005</v>
      </c>
      <c r="J1984" s="97" t="s">
        <v>4109</v>
      </c>
      <c r="K1984" s="29">
        <v>24.55</v>
      </c>
      <c r="L1984" s="29">
        <v>-2.46</v>
      </c>
      <c r="M1984" s="30">
        <f>IFERROR(VLOOKUP($A1984,HeadJournal!$A$1:$J$890,COLUMN(HeadJournal!I$1),0)*($K1984+$L1984)/(SUMIF($A:$A,$A1984,$K:$K)+SUMIF($A:$A,$A1984,$L:$L)),0)</f>
        <v>-0.41328344246959764</v>
      </c>
      <c r="N1984" s="30">
        <f>IFERROR((VLOOKUP($A1984,HeadJournal!$A$1:$K$890,COLUMN(HeadJournal!K$1),0)-VLOOKUP($A1984,HeadJournal!$A$1:$K$890,COLUMN(HeadJournal!J$1),0))*($K1984+$L1984)/(SUMIF($A:$A,$A1984,$K:$K)+SUMIF($A:$A,$A1984,$L:$L)),0)</f>
        <v>-5.8731109571339976E-15</v>
      </c>
      <c r="O1984" s="30">
        <f>IFERROR((VLOOKUP($A1984,HeadJournal!$A$1:$L$890,COLUMN(HeadJournal!L$1),0)*($K1984+$L1984)/(SUMIF($A:$A,$A1984,$K:$K)+SUMIF($A:$A,$A1984,$L:$L)))/VLOOKUP($A1984,HeadJournal!$A$1:$L$890,COLUMN(HeadJournal!H$1),0),0)</f>
        <v>2.0353764280979285</v>
      </c>
      <c r="P1984" s="30">
        <f>IFERROR(SUM(K1984:O1984)*VLOOKUP($A1984,HeadJournal!$A$1:$L$890,COLUMN(HeadJournal!H$1),0),0)</f>
        <v>2600.08185594013</v>
      </c>
      <c r="Q1984" s="29">
        <v>2900</v>
      </c>
      <c r="R1984" s="31">
        <v>45193</v>
      </c>
      <c r="S1984" s="31" t="s">
        <v>3121</v>
      </c>
      <c r="T1984" s="95" t="str">
        <f t="shared" si="155"/>
        <v>2023 09</v>
      </c>
      <c r="U1984" s="32">
        <f t="shared" si="152"/>
        <v>299.91814405986997</v>
      </c>
      <c r="V1984" s="22">
        <f t="shared" si="153"/>
        <v>0.11534950077616939</v>
      </c>
      <c r="X1984" s="33"/>
      <c r="Y1984" s="33"/>
    </row>
    <row r="1985" spans="1:25" x14ac:dyDescent="0.2">
      <c r="A1985" s="93" t="s">
        <v>888</v>
      </c>
      <c r="B1985" s="94" t="str">
        <f>IFERROR(VLOOKUP($A1985,HeadJournal!$A$1:$NTR$890,COLUMN(HeadJournal!B$1),0),"")</f>
        <v>710000931146</v>
      </c>
      <c r="C1985" s="94" t="str">
        <f>IFERROR(VLOOKUP($A1985,HeadJournal!$A$1:$NTR$890,COLUMN(HeadJournal!C$1),0),"")</f>
        <v>iHerb_VP DFD1605</v>
      </c>
      <c r="D1985" s="125" t="str">
        <f>IFERROR(VLOOKUP($A1985,HeadJournal!$A$1:$NTR$890,COLUMN(HeadJournal!D$1),0),"")</f>
        <v>Доставлен</v>
      </c>
      <c r="E1985" s="95">
        <f>IFERROR(VLOOKUP($A1985,HeadJournal!$A$1:$NTR$890,COLUMN(HeadJournal!G$1),0),"")</f>
        <v>45154</v>
      </c>
      <c r="F1985" s="95" t="str">
        <f t="shared" si="154"/>
        <v>2023 08</v>
      </c>
      <c r="G1985" s="96" t="s">
        <v>5</v>
      </c>
      <c r="H1985" s="175" t="s">
        <v>3631</v>
      </c>
      <c r="I1985" s="176" t="s">
        <v>2207</v>
      </c>
      <c r="J1985" s="97" t="s">
        <v>3674</v>
      </c>
      <c r="K1985" s="29">
        <v>24.53</v>
      </c>
      <c r="L1985" s="29">
        <v>-4.9050000000000002</v>
      </c>
      <c r="M1985" s="30">
        <f>IFERROR(VLOOKUP($A1985,HeadJournal!$A$1:$J$890,COLUMN(HeadJournal!I$1),0)*($K1985+$L1985)/(SUMIF($A:$A,$A1985,$K:$K)+SUMIF($A:$A,$A1985,$L:$L)),0)</f>
        <v>-0.36716557530402233</v>
      </c>
      <c r="N1985" s="30">
        <f>IFERROR((VLOOKUP($A1985,HeadJournal!$A$1:$K$890,COLUMN(HeadJournal!K$1),0)-VLOOKUP($A1985,HeadJournal!$A$1:$K$890,COLUMN(HeadJournal!J$1),0))*($K1985+$L1985)/(SUMIF($A:$A,$A1985,$K:$K)+SUMIF($A:$A,$A1985,$L:$L)),0)</f>
        <v>-5.2177366470690221E-15</v>
      </c>
      <c r="O1985" s="30">
        <f>IFERROR((VLOOKUP($A1985,HeadJournal!$A$1:$L$890,COLUMN(HeadJournal!L$1),0)*($K1985+$L1985)/(SUMIF($A:$A,$A1985,$K:$K)+SUMIF($A:$A,$A1985,$L:$L)))/VLOOKUP($A1985,HeadJournal!$A$1:$L$890,COLUMN(HeadJournal!H$1),0),0)</f>
        <v>1.8082509009244838</v>
      </c>
      <c r="P1985" s="30">
        <f>IFERROR(SUM(K1985:O1985)*VLOOKUP($A1985,HeadJournal!$A$1:$L$890,COLUMN(HeadJournal!H$1),0),0)</f>
        <v>2309.94144059869</v>
      </c>
      <c r="Q1985" s="29">
        <v>2900</v>
      </c>
      <c r="R1985" s="31">
        <v>45193</v>
      </c>
      <c r="S1985" s="31" t="s">
        <v>3121</v>
      </c>
      <c r="T1985" s="95" t="str">
        <f t="shared" si="155"/>
        <v>2023 09</v>
      </c>
      <c r="U1985" s="32">
        <f t="shared" ref="U1985:U2048" si="157">Q1985-P1985</f>
        <v>590.05855940131005</v>
      </c>
      <c r="V1985" s="22">
        <f t="shared" ref="V1985:V2048" si="158">IF(Q1985&lt;&gt;0,IFERROR(U1985/P1985,""),"")</f>
        <v>0.25544308138321414</v>
      </c>
      <c r="X1985" s="33"/>
      <c r="Y1985" s="33"/>
    </row>
    <row r="1986" spans="1:25" x14ac:dyDescent="0.2">
      <c r="A1986" s="93" t="s">
        <v>888</v>
      </c>
      <c r="B1986" s="94" t="str">
        <f>IFERROR(VLOOKUP($A1986,HeadJournal!$A$1:$NTR$890,COLUMN(HeadJournal!B$1),0),"")</f>
        <v>710000931146</v>
      </c>
      <c r="C1986" s="94" t="str">
        <f>IFERROR(VLOOKUP($A1986,HeadJournal!$A$1:$NTR$890,COLUMN(HeadJournal!C$1),0),"")</f>
        <v>iHerb_VP DFD1605</v>
      </c>
      <c r="D1986" s="125" t="str">
        <f>IFERROR(VLOOKUP($A1986,HeadJournal!$A$1:$NTR$890,COLUMN(HeadJournal!D$1),0),"")</f>
        <v>Доставлен</v>
      </c>
      <c r="E1986" s="95">
        <f>IFERROR(VLOOKUP($A1986,HeadJournal!$A$1:$NTR$890,COLUMN(HeadJournal!G$1),0),"")</f>
        <v>45154</v>
      </c>
      <c r="F1986" s="95" t="str">
        <f t="shared" si="154"/>
        <v>2023 08</v>
      </c>
      <c r="G1986" s="96" t="s">
        <v>5</v>
      </c>
      <c r="H1986" s="175" t="s">
        <v>3631</v>
      </c>
      <c r="I1986" s="176" t="s">
        <v>2207</v>
      </c>
      <c r="J1986" s="97" t="s">
        <v>3674</v>
      </c>
      <c r="K1986" s="29">
        <v>24.53</v>
      </c>
      <c r="L1986" s="29">
        <v>-4.9050000000000002</v>
      </c>
      <c r="M1986" s="30">
        <f>IFERROR(VLOOKUP($A1986,HeadJournal!$A$1:$J$890,COLUMN(HeadJournal!I$1),0)*($K1986+$L1986)/(SUMIF($A:$A,$A1986,$K:$K)+SUMIF($A:$A,$A1986,$L:$L)),0)</f>
        <v>-0.36716557530402233</v>
      </c>
      <c r="N1986" s="30">
        <f>IFERROR((VLOOKUP($A1986,HeadJournal!$A$1:$K$890,COLUMN(HeadJournal!K$1),0)-VLOOKUP($A1986,HeadJournal!$A$1:$K$890,COLUMN(HeadJournal!J$1),0))*($K1986+$L1986)/(SUMIF($A:$A,$A1986,$K:$K)+SUMIF($A:$A,$A1986,$L:$L)),0)</f>
        <v>-5.2177366470690221E-15</v>
      </c>
      <c r="O1986" s="30">
        <f>IFERROR((VLOOKUP($A1986,HeadJournal!$A$1:$L$890,COLUMN(HeadJournal!L$1),0)*($K1986+$L1986)/(SUMIF($A:$A,$A1986,$K:$K)+SUMIF($A:$A,$A1986,$L:$L)))/VLOOKUP($A1986,HeadJournal!$A$1:$L$890,COLUMN(HeadJournal!H$1),0),0)</f>
        <v>1.8082509009244838</v>
      </c>
      <c r="P1986" s="30">
        <f>IFERROR(SUM(K1986:O1986)*VLOOKUP($A1986,HeadJournal!$A$1:$L$890,COLUMN(HeadJournal!H$1),0),0)</f>
        <v>2309.94144059869</v>
      </c>
      <c r="Q1986" s="29">
        <v>2900</v>
      </c>
      <c r="R1986" s="31">
        <v>45195</v>
      </c>
      <c r="S1986" s="31" t="s">
        <v>3121</v>
      </c>
      <c r="T1986" s="95" t="str">
        <f t="shared" si="155"/>
        <v>2023 09</v>
      </c>
      <c r="U1986" s="32">
        <f t="shared" si="157"/>
        <v>590.05855940131005</v>
      </c>
      <c r="V1986" s="22">
        <f t="shared" si="158"/>
        <v>0.25544308138321414</v>
      </c>
      <c r="X1986" s="33"/>
      <c r="Y1986" s="33"/>
    </row>
    <row r="1987" spans="1:25" x14ac:dyDescent="0.2">
      <c r="A1987" s="93" t="s">
        <v>888</v>
      </c>
      <c r="B1987" s="94" t="str">
        <f>IFERROR(VLOOKUP($A1987,HeadJournal!$A$1:$NTR$890,COLUMN(HeadJournal!B$1),0),"")</f>
        <v>710000931146</v>
      </c>
      <c r="C1987" s="94" t="str">
        <f>IFERROR(VLOOKUP($A1987,HeadJournal!$A$1:$NTR$890,COLUMN(HeadJournal!C$1),0),"")</f>
        <v>iHerb_VP DFD1605</v>
      </c>
      <c r="D1987" s="125" t="str">
        <f>IFERROR(VLOOKUP($A1987,HeadJournal!$A$1:$NTR$890,COLUMN(HeadJournal!D$1),0),"")</f>
        <v>Доставлен</v>
      </c>
      <c r="E1987" s="95">
        <f>IFERROR(VLOOKUP($A1987,HeadJournal!$A$1:$NTR$890,COLUMN(HeadJournal!G$1),0),"")</f>
        <v>45154</v>
      </c>
      <c r="F1987" s="95" t="str">
        <f t="shared" si="154"/>
        <v>2023 08</v>
      </c>
      <c r="G1987" s="96" t="s">
        <v>5</v>
      </c>
      <c r="H1987" s="160" t="str">
        <f>RIGHT(Journal!$J1987,9)</f>
        <v>RHS-20001</v>
      </c>
      <c r="I1987" s="96" t="str">
        <f t="shared" si="156"/>
        <v>Real Health</v>
      </c>
      <c r="J1987" s="97" t="s">
        <v>684</v>
      </c>
      <c r="K1987" s="29">
        <v>21.87</v>
      </c>
      <c r="L1987" s="29">
        <v>-2.19</v>
      </c>
      <c r="M1987" s="30">
        <f>IFERROR(VLOOKUP($A1987,HeadJournal!$A$1:$J$890,COLUMN(HeadJournal!I$1),0)*($K1987+$L1987)/(SUMIF($A:$A,$A1987,$K:$K)+SUMIF($A:$A,$A1987,$L:$L)),0)</f>
        <v>-0.36819457436856862</v>
      </c>
      <c r="N1987" s="30">
        <f>IFERROR((VLOOKUP($A1987,HeadJournal!$A$1:$K$890,COLUMN(HeadJournal!K$1),0)-VLOOKUP($A1987,HeadJournal!$A$1:$K$890,COLUMN(HeadJournal!J$1),0))*($K1987+$L1987)/(SUMIF($A:$A,$A1987,$K:$K)+SUMIF($A:$A,$A1987,$L:$L)),0)</f>
        <v>-5.2323596032773681E-15</v>
      </c>
      <c r="O1987" s="30">
        <f>IFERROR((VLOOKUP($A1987,HeadJournal!$A$1:$L$890,COLUMN(HeadJournal!L$1),0)*($K1987+$L1987)/(SUMIF($A:$A,$A1987,$K:$K)+SUMIF($A:$A,$A1987,$L:$L)))/VLOOKUP($A1987,HeadJournal!$A$1:$L$890,COLUMN(HeadJournal!H$1),0),0)</f>
        <v>1.8133186104557368</v>
      </c>
      <c r="P1987" s="30">
        <f>IFERROR(SUM(K1987:O1987)*VLOOKUP($A1987,HeadJournal!$A$1:$L$890,COLUMN(HeadJournal!H$1),0),0)</f>
        <v>2316.4151618334886</v>
      </c>
      <c r="Q1987" s="29">
        <v>2400</v>
      </c>
      <c r="R1987" s="31">
        <v>45195</v>
      </c>
      <c r="S1987" s="31" t="s">
        <v>3121</v>
      </c>
      <c r="T1987" s="95" t="str">
        <f t="shared" si="155"/>
        <v>2023 09</v>
      </c>
      <c r="U1987" s="32">
        <f t="shared" si="157"/>
        <v>83.584838166511418</v>
      </c>
      <c r="V1987" s="22">
        <f t="shared" si="158"/>
        <v>3.6083703622606392E-2</v>
      </c>
      <c r="X1987" s="33"/>
      <c r="Y1987" s="33"/>
    </row>
    <row r="1988" spans="1:25" x14ac:dyDescent="0.2">
      <c r="A1988" s="93" t="s">
        <v>888</v>
      </c>
      <c r="B1988" s="94" t="str">
        <f>IFERROR(VLOOKUP($A1988,HeadJournal!$A$1:$NTR$890,COLUMN(HeadJournal!B$1),0),"")</f>
        <v>710000931146</v>
      </c>
      <c r="C1988" s="94" t="str">
        <f>IFERROR(VLOOKUP($A1988,HeadJournal!$A$1:$NTR$890,COLUMN(HeadJournal!C$1),0),"")</f>
        <v>iHerb_VP DFD1605</v>
      </c>
      <c r="D1988" s="125" t="str">
        <f>IFERROR(VLOOKUP($A1988,HeadJournal!$A$1:$NTR$890,COLUMN(HeadJournal!D$1),0),"")</f>
        <v>Доставлен</v>
      </c>
      <c r="E1988" s="95">
        <f>IFERROR(VLOOKUP($A1988,HeadJournal!$A$1:$NTR$890,COLUMN(HeadJournal!G$1),0),"")</f>
        <v>45154</v>
      </c>
      <c r="F1988" s="95" t="str">
        <f t="shared" ref="F1988:F2051" si="159">IFERROR(TEXT(E1988, "ГГГГ ММ"),"")</f>
        <v>2023 08</v>
      </c>
      <c r="G1988" s="96" t="s">
        <v>5</v>
      </c>
      <c r="H1988" s="160" t="str">
        <f>RIGHT(Journal!$J1988,9)</f>
        <v>SWV-02305</v>
      </c>
      <c r="I1988" s="96" t="str">
        <f t="shared" si="156"/>
        <v>Swanson</v>
      </c>
      <c r="J1988" s="97" t="s">
        <v>889</v>
      </c>
      <c r="K1988" s="29">
        <v>4.1500000000000004</v>
      </c>
      <c r="L1988" s="29">
        <v>-0.83</v>
      </c>
      <c r="M1988" s="30">
        <f>IFERROR(VLOOKUP($A1988,HeadJournal!$A$1:$J$890,COLUMN(HeadJournal!I$1),0)*($K1988+$L1988)/(SUMIF($A:$A,$A1988,$K:$K)+SUMIF($A:$A,$A1988,$L:$L)),0)</f>
        <v>-6.2114125350795121E-2</v>
      </c>
      <c r="N1988" s="30">
        <f>IFERROR((VLOOKUP($A1988,HeadJournal!$A$1:$K$890,COLUMN(HeadJournal!K$1),0)-VLOOKUP($A1988,HeadJournal!$A$1:$K$890,COLUMN(HeadJournal!J$1),0))*($K1988+$L1988)/(SUMIF($A:$A,$A1988,$K:$K)+SUMIF($A:$A,$A1988,$L:$L)),0)</f>
        <v>-8.8269481112199516E-16</v>
      </c>
      <c r="O1988" s="30">
        <f>IFERROR((VLOOKUP($A1988,HeadJournal!$A$1:$L$890,COLUMN(HeadJournal!L$1),0)*($K1988+$L1988)/(SUMIF($A:$A,$A1988,$K:$K)+SUMIF($A:$A,$A1988,$L:$L)))/VLOOKUP($A1988,HeadJournal!$A$1:$L$890,COLUMN(HeadJournal!H$1),0),0)</f>
        <v>0.30590537534111018</v>
      </c>
      <c r="P1988" s="30">
        <f>IFERROR(SUM(K1988:O1988)*VLOOKUP($A1988,HeadJournal!$A$1:$L$890,COLUMN(HeadJournal!H$1),0),0)</f>
        <v>390.77735453695033</v>
      </c>
      <c r="Q1988" s="29">
        <v>1000</v>
      </c>
      <c r="R1988" s="31">
        <v>45264</v>
      </c>
      <c r="S1988" s="31" t="s">
        <v>3121</v>
      </c>
      <c r="T1988" s="95" t="str">
        <f t="shared" ref="T1988:T2051" si="160">IF(R1988="","",TEXT(R1988,"ГГГГ ММ"))</f>
        <v>2023 12</v>
      </c>
      <c r="U1988" s="32">
        <f t="shared" si="157"/>
        <v>609.22264546304973</v>
      </c>
      <c r="V1988" s="22">
        <f t="shared" si="158"/>
        <v>1.5590019185859556</v>
      </c>
      <c r="X1988" s="33"/>
      <c r="Y1988" s="33"/>
    </row>
    <row r="1989" spans="1:25" x14ac:dyDescent="0.2">
      <c r="A1989" s="93" t="s">
        <v>888</v>
      </c>
      <c r="B1989" s="94" t="str">
        <f>IFERROR(VLOOKUP($A1989,HeadJournal!$A$1:$NTR$890,COLUMN(HeadJournal!B$1),0),"")</f>
        <v>710000931146</v>
      </c>
      <c r="C1989" s="94" t="str">
        <f>IFERROR(VLOOKUP($A1989,HeadJournal!$A$1:$NTR$890,COLUMN(HeadJournal!C$1),0),"")</f>
        <v>iHerb_VP DFD1605</v>
      </c>
      <c r="D1989" s="125" t="str">
        <f>IFERROR(VLOOKUP($A1989,HeadJournal!$A$1:$NTR$890,COLUMN(HeadJournal!D$1),0),"")</f>
        <v>Доставлен</v>
      </c>
      <c r="E1989" s="95">
        <f>IFERROR(VLOOKUP($A1989,HeadJournal!$A$1:$NTR$890,COLUMN(HeadJournal!G$1),0),"")</f>
        <v>45154</v>
      </c>
      <c r="F1989" s="95" t="str">
        <f t="shared" si="159"/>
        <v>2023 08</v>
      </c>
      <c r="G1989" s="96" t="s">
        <v>5</v>
      </c>
      <c r="H1989" s="160" t="str">
        <f>RIGHT(Journal!$J1989,9)</f>
        <v>SWV-02305</v>
      </c>
      <c r="I1989" s="96" t="str">
        <f t="shared" si="156"/>
        <v>Swanson</v>
      </c>
      <c r="J1989" s="97" t="s">
        <v>889</v>
      </c>
      <c r="K1989" s="29">
        <v>4.1500000000000004</v>
      </c>
      <c r="L1989" s="29">
        <v>-0.83</v>
      </c>
      <c r="M1989" s="30">
        <f>IFERROR(VLOOKUP($A1989,HeadJournal!$A$1:$J$890,COLUMN(HeadJournal!I$1),0)*($K1989+$L1989)/(SUMIF($A:$A,$A1989,$K:$K)+SUMIF($A:$A,$A1989,$L:$L)),0)</f>
        <v>-6.2114125350795121E-2</v>
      </c>
      <c r="N1989" s="30">
        <f>IFERROR((VLOOKUP($A1989,HeadJournal!$A$1:$K$890,COLUMN(HeadJournal!K$1),0)-VLOOKUP($A1989,HeadJournal!$A$1:$K$890,COLUMN(HeadJournal!J$1),0))*($K1989+$L1989)/(SUMIF($A:$A,$A1989,$K:$K)+SUMIF($A:$A,$A1989,$L:$L)),0)</f>
        <v>-8.8269481112199516E-16</v>
      </c>
      <c r="O1989" s="30">
        <f>IFERROR((VLOOKUP($A1989,HeadJournal!$A$1:$L$890,COLUMN(HeadJournal!L$1),0)*($K1989+$L1989)/(SUMIF($A:$A,$A1989,$K:$K)+SUMIF($A:$A,$A1989,$L:$L)))/VLOOKUP($A1989,HeadJournal!$A$1:$L$890,COLUMN(HeadJournal!H$1),0),0)</f>
        <v>0.30590537534111018</v>
      </c>
      <c r="P1989" s="30">
        <f>IFERROR(SUM(K1989:O1989)*VLOOKUP($A1989,HeadJournal!$A$1:$L$890,COLUMN(HeadJournal!H$1),0),0)</f>
        <v>390.77735453695033</v>
      </c>
      <c r="Q1989" s="29">
        <v>1000</v>
      </c>
      <c r="R1989" s="31">
        <v>45353</v>
      </c>
      <c r="S1989" s="31" t="s">
        <v>3121</v>
      </c>
      <c r="T1989" s="95" t="str">
        <f t="shared" si="160"/>
        <v>2024 03</v>
      </c>
      <c r="U1989" s="32">
        <f t="shared" si="157"/>
        <v>609.22264546304973</v>
      </c>
      <c r="V1989" s="22">
        <f t="shared" si="158"/>
        <v>1.5590019185859556</v>
      </c>
      <c r="X1989" s="33"/>
      <c r="Y1989" s="33"/>
    </row>
    <row r="1990" spans="1:25" x14ac:dyDescent="0.2">
      <c r="A1990" s="93" t="s">
        <v>888</v>
      </c>
      <c r="B1990" s="94" t="str">
        <f>IFERROR(VLOOKUP($A1990,HeadJournal!$A$1:$NTR$890,COLUMN(HeadJournal!B$1),0),"")</f>
        <v>710000931146</v>
      </c>
      <c r="C1990" s="94" t="str">
        <f>IFERROR(VLOOKUP($A1990,HeadJournal!$A$1:$NTR$890,COLUMN(HeadJournal!C$1),0),"")</f>
        <v>iHerb_VP DFD1605</v>
      </c>
      <c r="D1990" s="125" t="str">
        <f>IFERROR(VLOOKUP($A1990,HeadJournal!$A$1:$NTR$890,COLUMN(HeadJournal!D$1),0),"")</f>
        <v>Доставлен</v>
      </c>
      <c r="E1990" s="95">
        <f>IFERROR(VLOOKUP($A1990,HeadJournal!$A$1:$NTR$890,COLUMN(HeadJournal!G$1),0),"")</f>
        <v>45154</v>
      </c>
      <c r="F1990" s="95" t="str">
        <f t="shared" si="159"/>
        <v>2023 08</v>
      </c>
      <c r="G1990" s="96" t="s">
        <v>5</v>
      </c>
      <c r="H1990" s="160" t="str">
        <f>RIGHT(Journal!$J1990,9)</f>
        <v>SWV-02990</v>
      </c>
      <c r="I1990" s="96" t="str">
        <f t="shared" si="156"/>
        <v>Swanson</v>
      </c>
      <c r="J1990" s="97" t="s">
        <v>337</v>
      </c>
      <c r="K1990" s="29">
        <v>15.57</v>
      </c>
      <c r="L1990" s="29">
        <v>-3.11</v>
      </c>
      <c r="M1990" s="30">
        <f>IFERROR(VLOOKUP($A1990,HeadJournal!$A$1:$J$890,COLUMN(HeadJournal!I$1),0)*($K1990+$L1990)/(SUMIF($A:$A,$A1990,$K:$K)+SUMIF($A:$A,$A1990,$L:$L)),0)</f>
        <v>-0.23311506080449013</v>
      </c>
      <c r="N1990" s="30">
        <f>IFERROR((VLOOKUP($A1990,HeadJournal!$A$1:$K$890,COLUMN(HeadJournal!K$1),0)-VLOOKUP($A1990,HeadJournal!$A$1:$K$890,COLUMN(HeadJournal!J$1),0))*($K1990+$L1990)/(SUMIF($A:$A,$A1990,$K:$K)+SUMIF($A:$A,$A1990,$L:$L)),0)</f>
        <v>-3.3127642610180903E-15</v>
      </c>
      <c r="O1990" s="30">
        <f>IFERROR((VLOOKUP($A1990,HeadJournal!$A$1:$L$890,COLUMN(HeadJournal!L$1),0)*($K1990+$L1990)/(SUMIF($A:$A,$A1990,$K:$K)+SUMIF($A:$A,$A1990,$L:$L)))/VLOOKUP($A1990,HeadJournal!$A$1:$L$890,COLUMN(HeadJournal!H$1),0),0)</f>
        <v>1.1480665592621182</v>
      </c>
      <c r="P1990" s="30">
        <f>IFERROR(SUM(K1990:O1990)*VLOOKUP($A1990,HeadJournal!$A$1:$L$890,COLUMN(HeadJournal!H$1),0),0)</f>
        <v>1466.5921197380726</v>
      </c>
      <c r="Q1990" s="29"/>
      <c r="R1990" s="31"/>
      <c r="S1990" s="31"/>
      <c r="T1990" s="95" t="str">
        <f t="shared" si="160"/>
        <v/>
      </c>
      <c r="U1990" s="32">
        <f t="shared" si="157"/>
        <v>-1466.5921197380726</v>
      </c>
      <c r="V1990" s="22" t="str">
        <f t="shared" si="158"/>
        <v/>
      </c>
      <c r="X1990" s="33"/>
      <c r="Y1990" s="33"/>
    </row>
    <row r="1991" spans="1:25" x14ac:dyDescent="0.2">
      <c r="A1991" s="93" t="s">
        <v>888</v>
      </c>
      <c r="B1991" s="94" t="str">
        <f>IFERROR(VLOOKUP($A1991,HeadJournal!$A$1:$NTR$890,COLUMN(HeadJournal!B$1),0),"")</f>
        <v>710000931146</v>
      </c>
      <c r="C1991" s="94" t="str">
        <f>IFERROR(VLOOKUP($A1991,HeadJournal!$A$1:$NTR$890,COLUMN(HeadJournal!C$1),0),"")</f>
        <v>iHerb_VP DFD1605</v>
      </c>
      <c r="D1991" s="125" t="str">
        <f>IFERROR(VLOOKUP($A1991,HeadJournal!$A$1:$NTR$890,COLUMN(HeadJournal!D$1),0),"")</f>
        <v>Доставлен</v>
      </c>
      <c r="E1991" s="95">
        <f>IFERROR(VLOOKUP($A1991,HeadJournal!$A$1:$NTR$890,COLUMN(HeadJournal!G$1),0),"")</f>
        <v>45154</v>
      </c>
      <c r="F1991" s="95" t="str">
        <f t="shared" si="159"/>
        <v>2023 08</v>
      </c>
      <c r="G1991" s="96" t="s">
        <v>5</v>
      </c>
      <c r="H1991" s="161" t="s">
        <v>2771</v>
      </c>
      <c r="I1991" s="97" t="s">
        <v>2052</v>
      </c>
      <c r="J1991" s="97" t="s">
        <v>3858</v>
      </c>
      <c r="K1991" s="29">
        <v>7.84</v>
      </c>
      <c r="L1991" s="29">
        <v>-4.45</v>
      </c>
      <c r="M1991" s="30">
        <f>IFERROR(VLOOKUP($A1991,HeadJournal!$A$1:$J$890,COLUMN(HeadJournal!I$1),0)*($K1991+$L1991)/(SUMIF($A:$A,$A1991,$K:$K)+SUMIF($A:$A,$A1991,$L:$L)),0)</f>
        <v>-6.3423760523854039E-2</v>
      </c>
      <c r="N1991" s="30">
        <f>IFERROR((VLOOKUP($A1991,HeadJournal!$A$1:$K$890,COLUMN(HeadJournal!K$1),0)-VLOOKUP($A1991,HeadJournal!$A$1:$K$890,COLUMN(HeadJournal!J$1),0))*($K1991+$L1991)/(SUMIF($A:$A,$A1991,$K:$K)+SUMIF($A:$A,$A1991,$L:$L)),0)</f>
        <v>-9.0130584629625388E-16</v>
      </c>
      <c r="O1991" s="30">
        <f>IFERROR((VLOOKUP($A1991,HeadJournal!$A$1:$L$890,COLUMN(HeadJournal!L$1),0)*($K1991+$L1991)/(SUMIF($A:$A,$A1991,$K:$K)+SUMIF($A:$A,$A1991,$L:$L)))/VLOOKUP($A1991,HeadJournal!$A$1:$L$890,COLUMN(HeadJournal!H$1),0),0)</f>
        <v>0.31235518747179614</v>
      </c>
      <c r="P1991" s="30">
        <f>IFERROR(SUM(K1991:O1991)*VLOOKUP($A1991,HeadJournal!$A$1:$L$890,COLUMN(HeadJournal!H$1),0),0)</f>
        <v>399.0166361085125</v>
      </c>
      <c r="Q1991" s="29">
        <v>1000</v>
      </c>
      <c r="R1991" s="31">
        <v>45588</v>
      </c>
      <c r="S1991" s="31" t="s">
        <v>3121</v>
      </c>
      <c r="T1991" s="95" t="str">
        <f t="shared" si="160"/>
        <v>2024 10</v>
      </c>
      <c r="U1991" s="32">
        <f t="shared" si="157"/>
        <v>600.98336389148744</v>
      </c>
      <c r="V1991" s="22">
        <f t="shared" si="158"/>
        <v>1.5061611710045346</v>
      </c>
      <c r="X1991" s="33"/>
      <c r="Y1991" s="33"/>
    </row>
    <row r="1992" spans="1:25" x14ac:dyDescent="0.2">
      <c r="A1992" s="93" t="s">
        <v>888</v>
      </c>
      <c r="B1992" s="94" t="str">
        <f>IFERROR(VLOOKUP($A1992,HeadJournal!$A$1:$NTR$890,COLUMN(HeadJournal!B$1),0),"")</f>
        <v>710000931146</v>
      </c>
      <c r="C1992" s="94" t="str">
        <f>IFERROR(VLOOKUP($A1992,HeadJournal!$A$1:$NTR$890,COLUMN(HeadJournal!C$1),0),"")</f>
        <v>iHerb_VP DFD1605</v>
      </c>
      <c r="D1992" s="125" t="str">
        <f>IFERROR(VLOOKUP($A1992,HeadJournal!$A$1:$NTR$890,COLUMN(HeadJournal!D$1),0),"")</f>
        <v>Доставлен</v>
      </c>
      <c r="E1992" s="95">
        <f>IFERROR(VLOOKUP($A1992,HeadJournal!$A$1:$NTR$890,COLUMN(HeadJournal!G$1),0),"")</f>
        <v>45154</v>
      </c>
      <c r="F1992" s="95" t="str">
        <f t="shared" si="159"/>
        <v>2023 08</v>
      </c>
      <c r="G1992" s="96" t="s">
        <v>5</v>
      </c>
      <c r="H1992" s="161" t="s">
        <v>2771</v>
      </c>
      <c r="I1992" s="97" t="s">
        <v>2052</v>
      </c>
      <c r="J1992" s="97" t="s">
        <v>3858</v>
      </c>
      <c r="K1992" s="29">
        <v>7.84</v>
      </c>
      <c r="L1992" s="29">
        <v>-4.45</v>
      </c>
      <c r="M1992" s="30">
        <f>IFERROR(VLOOKUP($A1992,HeadJournal!$A$1:$J$890,COLUMN(HeadJournal!I$1),0)*($K1992+$L1992)/(SUMIF($A:$A,$A1992,$K:$K)+SUMIF($A:$A,$A1992,$L:$L)),0)</f>
        <v>-6.3423760523854039E-2</v>
      </c>
      <c r="N1992" s="30">
        <f>IFERROR((VLOOKUP($A1992,HeadJournal!$A$1:$K$890,COLUMN(HeadJournal!K$1),0)-VLOOKUP($A1992,HeadJournal!$A$1:$K$890,COLUMN(HeadJournal!J$1),0))*($K1992+$L1992)/(SUMIF($A:$A,$A1992,$K:$K)+SUMIF($A:$A,$A1992,$L:$L)),0)</f>
        <v>-9.0130584629625388E-16</v>
      </c>
      <c r="O1992" s="30">
        <f>IFERROR((VLOOKUP($A1992,HeadJournal!$A$1:$L$890,COLUMN(HeadJournal!L$1),0)*($K1992+$L1992)/(SUMIF($A:$A,$A1992,$K:$K)+SUMIF($A:$A,$A1992,$L:$L)))/VLOOKUP($A1992,HeadJournal!$A$1:$L$890,COLUMN(HeadJournal!H$1),0),0)</f>
        <v>0.31235518747179614</v>
      </c>
      <c r="P1992" s="30">
        <f>IFERROR(SUM(K1992:O1992)*VLOOKUP($A1992,HeadJournal!$A$1:$L$890,COLUMN(HeadJournal!H$1),0),0)</f>
        <v>399.0166361085125</v>
      </c>
      <c r="Q1992" s="29">
        <v>1200</v>
      </c>
      <c r="R1992" s="31">
        <v>45589</v>
      </c>
      <c r="S1992" s="31" t="s">
        <v>3121</v>
      </c>
      <c r="T1992" s="95" t="str">
        <f t="shared" si="160"/>
        <v>2024 10</v>
      </c>
      <c r="U1992" s="32">
        <f t="shared" si="157"/>
        <v>800.98336389148744</v>
      </c>
      <c r="V1992" s="22">
        <f t="shared" si="158"/>
        <v>2.0073934052054416</v>
      </c>
      <c r="X1992" s="33"/>
      <c r="Y1992" s="33"/>
    </row>
    <row r="1993" spans="1:25" x14ac:dyDescent="0.2">
      <c r="A1993" s="93" t="s">
        <v>890</v>
      </c>
      <c r="B1993" s="94" t="str">
        <f>IFERROR(VLOOKUP($A1993,HeadJournal!$A$1:$NTR$890,COLUMN(HeadJournal!B$1),0),"")</f>
        <v>710000939289</v>
      </c>
      <c r="C1993" s="94" t="str">
        <f>IFERROR(VLOOKUP($A1993,HeadJournal!$A$1:$NTR$890,COLUMN(HeadJournal!C$1),0),"")</f>
        <v>iHerb_MH DLE7202</v>
      </c>
      <c r="D1993" s="125" t="str">
        <f>IFERROR(VLOOKUP($A1993,HeadJournal!$A$1:$NTR$890,COLUMN(HeadJournal!D$1),0),"")</f>
        <v>Доставлен</v>
      </c>
      <c r="E1993" s="95">
        <f>IFERROR(VLOOKUP($A1993,HeadJournal!$A$1:$NTR$890,COLUMN(HeadJournal!G$1),0),"")</f>
        <v>45160</v>
      </c>
      <c r="F1993" s="95" t="str">
        <f t="shared" si="159"/>
        <v>2023 08</v>
      </c>
      <c r="G1993" s="96" t="s">
        <v>5</v>
      </c>
      <c r="H1993" s="161" t="s">
        <v>2919</v>
      </c>
      <c r="I1993" s="97" t="s">
        <v>2052</v>
      </c>
      <c r="J1993" s="97" t="s">
        <v>2920</v>
      </c>
      <c r="K1993" s="29">
        <v>9.0299999999999994</v>
      </c>
      <c r="L1993" s="29">
        <v>-2.71</v>
      </c>
      <c r="M1993" s="30">
        <f>IFERROR(VLOOKUP($A1993,HeadJournal!$A$1:$J$890,COLUMN(HeadJournal!I$1),0)*($K1993+$L1993)/(SUMIF($A:$A,$A1993,$K:$K)+SUMIF($A:$A,$A1993,$L:$L)),0)</f>
        <v>-0.31940162733107591</v>
      </c>
      <c r="N1993" s="30">
        <f>IFERROR((VLOOKUP($A1993,HeadJournal!$A$1:$K$890,COLUMN(HeadJournal!K$1),0)-VLOOKUP($A1993,HeadJournal!$A$1:$K$890,COLUMN(HeadJournal!J$1),0))*($K1993+$L1993)/(SUMIF($A:$A,$A1993,$K:$K)+SUMIF($A:$A,$A1993,$L:$L)),0)</f>
        <v>0</v>
      </c>
      <c r="O1993" s="30">
        <f>IFERROR((VLOOKUP($A1993,HeadJournal!$A$1:$L$890,COLUMN(HeadJournal!L$1),0)*($K1993+$L1993)/(SUMIF($A:$A,$A1993,$K:$K)+SUMIF($A:$A,$A1993,$L:$L)))/VLOOKUP($A1993,HeadJournal!$A$1:$L$890,COLUMN(HeadJournal!H$1),0),0)</f>
        <v>0.31884111645009811</v>
      </c>
      <c r="P1993" s="30">
        <f>IFERROR(SUM(K1993:O1993)*VLOOKUP($A1993,HeadJournal!$A$1:$L$890,COLUMN(HeadJournal!H$1),0),0)</f>
        <v>683.73092636579565</v>
      </c>
      <c r="Q1993" s="29">
        <v>1200</v>
      </c>
      <c r="R1993" s="31">
        <v>45193</v>
      </c>
      <c r="S1993" s="31" t="s">
        <v>3121</v>
      </c>
      <c r="T1993" s="95" t="str">
        <f t="shared" si="160"/>
        <v>2023 09</v>
      </c>
      <c r="U1993" s="32">
        <f t="shared" si="157"/>
        <v>516.26907363420435</v>
      </c>
      <c r="V1993" s="22">
        <f t="shared" si="158"/>
        <v>0.75507638125761867</v>
      </c>
      <c r="X1993" s="33"/>
      <c r="Y1993" s="33"/>
    </row>
    <row r="1994" spans="1:25" x14ac:dyDescent="0.2">
      <c r="A1994" s="93" t="s">
        <v>890</v>
      </c>
      <c r="B1994" s="94" t="str">
        <f>IFERROR(VLOOKUP($A1994,HeadJournal!$A$1:$NTR$890,COLUMN(HeadJournal!B$1),0),"")</f>
        <v>710000939289</v>
      </c>
      <c r="C1994" s="94" t="str">
        <f>IFERROR(VLOOKUP($A1994,HeadJournal!$A$1:$NTR$890,COLUMN(HeadJournal!C$1),0),"")</f>
        <v>iHerb_MH DLE7202</v>
      </c>
      <c r="D1994" s="125" t="str">
        <f>IFERROR(VLOOKUP($A1994,HeadJournal!$A$1:$NTR$890,COLUMN(HeadJournal!D$1),0),"")</f>
        <v>Доставлен</v>
      </c>
      <c r="E1994" s="95">
        <f>IFERROR(VLOOKUP($A1994,HeadJournal!$A$1:$NTR$890,COLUMN(HeadJournal!G$1),0),"")</f>
        <v>45160</v>
      </c>
      <c r="F1994" s="95" t="str">
        <f t="shared" si="159"/>
        <v>2023 08</v>
      </c>
      <c r="G1994" s="96" t="s">
        <v>5</v>
      </c>
      <c r="H1994" s="161" t="s">
        <v>2919</v>
      </c>
      <c r="I1994" s="97" t="s">
        <v>2052</v>
      </c>
      <c r="J1994" s="97" t="s">
        <v>2920</v>
      </c>
      <c r="K1994" s="29">
        <v>9.0299999999999994</v>
      </c>
      <c r="L1994" s="29">
        <v>-2.71</v>
      </c>
      <c r="M1994" s="30">
        <f>IFERROR(VLOOKUP($A1994,HeadJournal!$A$1:$J$890,COLUMN(HeadJournal!I$1),0)*($K1994+$L1994)/(SUMIF($A:$A,$A1994,$K:$K)+SUMIF($A:$A,$A1994,$L:$L)),0)</f>
        <v>-0.31940162733107591</v>
      </c>
      <c r="N1994" s="30">
        <f>IFERROR((VLOOKUP($A1994,HeadJournal!$A$1:$K$890,COLUMN(HeadJournal!K$1),0)-VLOOKUP($A1994,HeadJournal!$A$1:$K$890,COLUMN(HeadJournal!J$1),0))*($K1994+$L1994)/(SUMIF($A:$A,$A1994,$K:$K)+SUMIF($A:$A,$A1994,$L:$L)),0)</f>
        <v>0</v>
      </c>
      <c r="O1994" s="30">
        <f>IFERROR((VLOOKUP($A1994,HeadJournal!$A$1:$L$890,COLUMN(HeadJournal!L$1),0)*($K1994+$L1994)/(SUMIF($A:$A,$A1994,$K:$K)+SUMIF($A:$A,$A1994,$L:$L)))/VLOOKUP($A1994,HeadJournal!$A$1:$L$890,COLUMN(HeadJournal!H$1),0),0)</f>
        <v>0.31884111645009811</v>
      </c>
      <c r="P1994" s="30">
        <f>IFERROR(SUM(K1994:O1994)*VLOOKUP($A1994,HeadJournal!$A$1:$L$890,COLUMN(HeadJournal!H$1),0),0)</f>
        <v>683.73092636579565</v>
      </c>
      <c r="Q1994" s="29">
        <v>1200</v>
      </c>
      <c r="R1994" s="31">
        <v>45193</v>
      </c>
      <c r="S1994" s="31" t="s">
        <v>3121</v>
      </c>
      <c r="T1994" s="95" t="str">
        <f t="shared" si="160"/>
        <v>2023 09</v>
      </c>
      <c r="U1994" s="32">
        <f t="shared" si="157"/>
        <v>516.26907363420435</v>
      </c>
      <c r="V1994" s="22">
        <f t="shared" si="158"/>
        <v>0.75507638125761867</v>
      </c>
      <c r="X1994" s="33"/>
      <c r="Y1994" s="33"/>
    </row>
    <row r="1995" spans="1:25" x14ac:dyDescent="0.2">
      <c r="A1995" s="93" t="s">
        <v>890</v>
      </c>
      <c r="B1995" s="94" t="str">
        <f>IFERROR(VLOOKUP($A1995,HeadJournal!$A$1:$NTR$890,COLUMN(HeadJournal!B$1),0),"")</f>
        <v>710000939289</v>
      </c>
      <c r="C1995" s="94" t="str">
        <f>IFERROR(VLOOKUP($A1995,HeadJournal!$A$1:$NTR$890,COLUMN(HeadJournal!C$1),0),"")</f>
        <v>iHerb_MH DLE7202</v>
      </c>
      <c r="D1995" s="125" t="str">
        <f>IFERROR(VLOOKUP($A1995,HeadJournal!$A$1:$NTR$890,COLUMN(HeadJournal!D$1),0),"")</f>
        <v>Доставлен</v>
      </c>
      <c r="E1995" s="95">
        <f>IFERROR(VLOOKUP($A1995,HeadJournal!$A$1:$NTR$890,COLUMN(HeadJournal!G$1),0),"")</f>
        <v>45160</v>
      </c>
      <c r="F1995" s="95" t="str">
        <f t="shared" si="159"/>
        <v>2023 08</v>
      </c>
      <c r="G1995" s="96" t="s">
        <v>5</v>
      </c>
      <c r="H1995" s="161" t="s">
        <v>2202</v>
      </c>
      <c r="I1995" s="97" t="s">
        <v>2005</v>
      </c>
      <c r="J1995" s="97" t="s">
        <v>3692</v>
      </c>
      <c r="K1995" s="29">
        <v>16.510000000000002</v>
      </c>
      <c r="L1995" s="29">
        <v>-1.65</v>
      </c>
      <c r="M1995" s="30">
        <f>IFERROR(VLOOKUP($A1995,HeadJournal!$A$1:$J$890,COLUMN(HeadJournal!I$1),0)*($K1995+$L1995)/(SUMIF($A:$A,$A1995,$K:$K)+SUMIF($A:$A,$A1995,$L:$L)),0)</f>
        <v>-0.75099813008540972</v>
      </c>
      <c r="N1995" s="30">
        <f>IFERROR((VLOOKUP($A1995,HeadJournal!$A$1:$K$890,COLUMN(HeadJournal!K$1),0)-VLOOKUP($A1995,HeadJournal!$A$1:$K$890,COLUMN(HeadJournal!J$1),0))*($K1995+$L1995)/(SUMIF($A:$A,$A1995,$K:$K)+SUMIF($A:$A,$A1995,$L:$L)),0)</f>
        <v>0</v>
      </c>
      <c r="O1995" s="30">
        <f>IFERROR((VLOOKUP($A1995,HeadJournal!$A$1:$L$890,COLUMN(HeadJournal!L$1),0)*($K1995+$L1995)/(SUMIF($A:$A,$A1995,$K:$K)+SUMIF($A:$A,$A1995,$L:$L)))/VLOOKUP($A1995,HeadJournal!$A$1:$L$890,COLUMN(HeadJournal!H$1),0),0)</f>
        <v>0.74968022000766743</v>
      </c>
      <c r="P1995" s="30">
        <f>IFERROR(SUM(K1995:O1995)*VLOOKUP($A1995,HeadJournal!$A$1:$L$890,COLUMN(HeadJournal!H$1),0),0)</f>
        <v>1607.6331591448932</v>
      </c>
      <c r="Q1995" s="29">
        <v>2000</v>
      </c>
      <c r="R1995" s="31">
        <v>45194</v>
      </c>
      <c r="S1995" s="31" t="s">
        <v>3121</v>
      </c>
      <c r="T1995" s="95" t="str">
        <f t="shared" si="160"/>
        <v>2023 09</v>
      </c>
      <c r="U1995" s="32">
        <f t="shared" si="157"/>
        <v>392.36684085510683</v>
      </c>
      <c r="V1995" s="22">
        <f t="shared" si="158"/>
        <v>0.24406490910140743</v>
      </c>
      <c r="X1995" s="33"/>
      <c r="Y1995" s="33"/>
    </row>
    <row r="1996" spans="1:25" x14ac:dyDescent="0.2">
      <c r="A1996" s="93" t="s">
        <v>890</v>
      </c>
      <c r="B1996" s="94" t="str">
        <f>IFERROR(VLOOKUP($A1996,HeadJournal!$A$1:$NTR$890,COLUMN(HeadJournal!B$1),0),"")</f>
        <v>710000939289</v>
      </c>
      <c r="C1996" s="94" t="str">
        <f>IFERROR(VLOOKUP($A1996,HeadJournal!$A$1:$NTR$890,COLUMN(HeadJournal!C$1),0),"")</f>
        <v>iHerb_MH DLE7202</v>
      </c>
      <c r="D1996" s="125" t="str">
        <f>IFERROR(VLOOKUP($A1996,HeadJournal!$A$1:$NTR$890,COLUMN(HeadJournal!D$1),0),"")</f>
        <v>Доставлен</v>
      </c>
      <c r="E1996" s="95">
        <f>IFERROR(VLOOKUP($A1996,HeadJournal!$A$1:$NTR$890,COLUMN(HeadJournal!G$1),0),"")</f>
        <v>45160</v>
      </c>
      <c r="F1996" s="95" t="str">
        <f t="shared" si="159"/>
        <v>2023 08</v>
      </c>
      <c r="G1996" s="96" t="s">
        <v>5</v>
      </c>
      <c r="H1996" s="175" t="s">
        <v>3637</v>
      </c>
      <c r="I1996" s="176" t="s">
        <v>2048</v>
      </c>
      <c r="J1996" s="97" t="s">
        <v>3682</v>
      </c>
      <c r="K1996" s="29">
        <v>18.05</v>
      </c>
      <c r="L1996" s="29">
        <v>-5.42</v>
      </c>
      <c r="M1996" s="30">
        <f>IFERROR(VLOOKUP($A1996,HeadJournal!$A$1:$J$890,COLUMN(HeadJournal!I$1),0)*($K1996+$L1996)/(SUMIF($A:$A,$A1996,$K:$K)+SUMIF($A:$A,$A1996,$L:$L)),0)</f>
        <v>-0.63829787234042556</v>
      </c>
      <c r="N1996" s="30">
        <f>IFERROR((VLOOKUP($A1996,HeadJournal!$A$1:$K$890,COLUMN(HeadJournal!K$1),0)-VLOOKUP($A1996,HeadJournal!$A$1:$K$890,COLUMN(HeadJournal!J$1),0))*($K1996+$L1996)/(SUMIF($A:$A,$A1996,$K:$K)+SUMIF($A:$A,$A1996,$L:$L)),0)</f>
        <v>0</v>
      </c>
      <c r="O1996" s="30">
        <f>IFERROR((VLOOKUP($A1996,HeadJournal!$A$1:$L$890,COLUMN(HeadJournal!L$1),0)*($K1996+$L1996)/(SUMIF($A:$A,$A1996,$K:$K)+SUMIF($A:$A,$A1996,$L:$L)))/VLOOKUP($A1996,HeadJournal!$A$1:$L$890,COLUMN(HeadJournal!H$1),0),0)</f>
        <v>0.63717773746277528</v>
      </c>
      <c r="P1996" s="30">
        <f>IFERROR(SUM(K1996:O1996)*VLOOKUP($A1996,HeadJournal!$A$1:$L$890,COLUMN(HeadJournal!H$1),0),0)</f>
        <v>1366.38</v>
      </c>
      <c r="Q1996" s="29">
        <v>2500</v>
      </c>
      <c r="R1996" s="31">
        <v>45197</v>
      </c>
      <c r="S1996" s="31" t="s">
        <v>3121</v>
      </c>
      <c r="T1996" s="95" t="str">
        <f t="shared" si="160"/>
        <v>2023 09</v>
      </c>
      <c r="U1996" s="32">
        <f t="shared" si="157"/>
        <v>1133.6199999999999</v>
      </c>
      <c r="V1996" s="22">
        <f t="shared" si="158"/>
        <v>0.82965207336172941</v>
      </c>
      <c r="X1996" s="33"/>
      <c r="Y1996" s="33"/>
    </row>
    <row r="1997" spans="1:25" x14ac:dyDescent="0.2">
      <c r="A1997" s="93" t="s">
        <v>890</v>
      </c>
      <c r="B1997" s="94" t="str">
        <f>IFERROR(VLOOKUP($A1997,HeadJournal!$A$1:$NTR$890,COLUMN(HeadJournal!B$1),0),"")</f>
        <v>710000939289</v>
      </c>
      <c r="C1997" s="94" t="str">
        <f>IFERROR(VLOOKUP($A1997,HeadJournal!$A$1:$NTR$890,COLUMN(HeadJournal!C$1),0),"")</f>
        <v>iHerb_MH DLE7202</v>
      </c>
      <c r="D1997" s="125" t="str">
        <f>IFERROR(VLOOKUP($A1997,HeadJournal!$A$1:$NTR$890,COLUMN(HeadJournal!D$1),0),"")</f>
        <v>Доставлен</v>
      </c>
      <c r="E1997" s="95">
        <f>IFERROR(VLOOKUP($A1997,HeadJournal!$A$1:$NTR$890,COLUMN(HeadJournal!G$1),0),"")</f>
        <v>45160</v>
      </c>
      <c r="F1997" s="95" t="str">
        <f t="shared" si="159"/>
        <v>2023 08</v>
      </c>
      <c r="G1997" s="96" t="s">
        <v>5</v>
      </c>
      <c r="H1997" s="161" t="s">
        <v>2580</v>
      </c>
      <c r="I1997" s="97" t="s">
        <v>2581</v>
      </c>
      <c r="J1997" s="97" t="s">
        <v>2582</v>
      </c>
      <c r="K1997" s="29">
        <v>26.6</v>
      </c>
      <c r="L1997" s="29">
        <v>-16.11</v>
      </c>
      <c r="M1997" s="30">
        <f>IFERROR(VLOOKUP($A1997,HeadJournal!$A$1:$J$890,COLUMN(HeadJournal!I$1),0)*($K1997+$L1997)/(SUMIF($A:$A,$A1997,$K:$K)+SUMIF($A:$A,$A1997,$L:$L)),0)</f>
        <v>-0.53014605549097904</v>
      </c>
      <c r="N1997" s="30">
        <f>IFERROR((VLOOKUP($A1997,HeadJournal!$A$1:$K$890,COLUMN(HeadJournal!K$1),0)-VLOOKUP($A1997,HeadJournal!$A$1:$K$890,COLUMN(HeadJournal!J$1),0))*($K1997+$L1997)/(SUMIF($A:$A,$A1997,$K:$K)+SUMIF($A:$A,$A1997,$L:$L)),0)</f>
        <v>0</v>
      </c>
      <c r="O1997" s="30">
        <f>IFERROR((VLOOKUP($A1997,HeadJournal!$A$1:$L$890,COLUMN(HeadJournal!L$1),0)*($K1997+$L1997)/(SUMIF($A:$A,$A1997,$K:$K)+SUMIF($A:$A,$A1997,$L:$L)))/VLOOKUP($A1997,HeadJournal!$A$1:$L$890,COLUMN(HeadJournal!H$1),0),0)</f>
        <v>0.52921571385467248</v>
      </c>
      <c r="P1997" s="30">
        <f>IFERROR(SUM(K1997:O1997)*VLOOKUP($A1997,HeadJournal!$A$1:$L$890,COLUMN(HeadJournal!H$1),0),0)</f>
        <v>1134.8635154394301</v>
      </c>
      <c r="Q1997" s="29">
        <v>3200</v>
      </c>
      <c r="R1997" s="31">
        <v>45209</v>
      </c>
      <c r="S1997" s="31" t="s">
        <v>3121</v>
      </c>
      <c r="T1997" s="95" t="str">
        <f t="shared" si="160"/>
        <v>2023 10</v>
      </c>
      <c r="U1997" s="32">
        <f t="shared" si="157"/>
        <v>2065.1364845605699</v>
      </c>
      <c r="V1997" s="22">
        <f t="shared" si="158"/>
        <v>1.8197223335362307</v>
      </c>
      <c r="X1997" s="33"/>
      <c r="Y1997" s="33"/>
    </row>
    <row r="1998" spans="1:25" x14ac:dyDescent="0.2">
      <c r="A1998" s="93" t="s">
        <v>890</v>
      </c>
      <c r="B1998" s="94" t="str">
        <f>IFERROR(VLOOKUP($A1998,HeadJournal!$A$1:$NTR$890,COLUMN(HeadJournal!B$1),0),"")</f>
        <v>710000939289</v>
      </c>
      <c r="C1998" s="94" t="str">
        <f>IFERROR(VLOOKUP($A1998,HeadJournal!$A$1:$NTR$890,COLUMN(HeadJournal!C$1),0),"")</f>
        <v>iHerb_MH DLE7202</v>
      </c>
      <c r="D1998" s="125" t="str">
        <f>IFERROR(VLOOKUP($A1998,HeadJournal!$A$1:$NTR$890,COLUMN(HeadJournal!D$1),0),"")</f>
        <v>Доставлен</v>
      </c>
      <c r="E1998" s="95">
        <f>IFERROR(VLOOKUP($A1998,HeadJournal!$A$1:$NTR$890,COLUMN(HeadJournal!G$1),0),"")</f>
        <v>45160</v>
      </c>
      <c r="F1998" s="95" t="str">
        <f t="shared" si="159"/>
        <v>2023 08</v>
      </c>
      <c r="G1998" s="96" t="s">
        <v>5</v>
      </c>
      <c r="H1998" s="160" t="str">
        <f>RIGHT(Journal!$J1998,9)</f>
        <v>SOR-01440</v>
      </c>
      <c r="I1998" s="96" t="str">
        <f t="shared" ref="I1998:I2061" si="161">IFERROR(LEFT(J1998,FIND(",",J1998)-1),"")</f>
        <v>Solaray</v>
      </c>
      <c r="J1998" s="97" t="s">
        <v>891</v>
      </c>
      <c r="K1998" s="29">
        <v>7.28</v>
      </c>
      <c r="L1998" s="29">
        <v>-0.73</v>
      </c>
      <c r="M1998" s="30">
        <f>IFERROR(VLOOKUP($A1998,HeadJournal!$A$1:$J$890,COLUMN(HeadJournal!I$1),0)*($K1998+$L1998)/(SUMIF($A:$A,$A1998,$K:$K)+SUMIF($A:$A,$A1998,$L:$L)),0)</f>
        <v>-0.33102542073078284</v>
      </c>
      <c r="N1998" s="30">
        <f>IFERROR((VLOOKUP($A1998,HeadJournal!$A$1:$K$890,COLUMN(HeadJournal!K$1),0)-VLOOKUP($A1998,HeadJournal!$A$1:$K$890,COLUMN(HeadJournal!J$1),0))*($K1998+$L1998)/(SUMIF($A:$A,$A1998,$K:$K)+SUMIF($A:$A,$A1998,$L:$L)),0)</f>
        <v>0</v>
      </c>
      <c r="O1998" s="30">
        <f>IFERROR((VLOOKUP($A1998,HeadJournal!$A$1:$L$890,COLUMN(HeadJournal!L$1),0)*($K1998+$L1998)/(SUMIF($A:$A,$A1998,$K:$K)+SUMIF($A:$A,$A1998,$L:$L)))/VLOOKUP($A1998,HeadJournal!$A$1:$L$890,COLUMN(HeadJournal!H$1),0),0)</f>
        <v>0.33044451151078208</v>
      </c>
      <c r="P1998" s="30">
        <f>IFERROR(SUM(K1998:O1998)*VLOOKUP($A1998,HeadJournal!$A$1:$L$890,COLUMN(HeadJournal!H$1),0),0)</f>
        <v>708.61353919239912</v>
      </c>
      <c r="Q1998" s="29">
        <v>1400</v>
      </c>
      <c r="R1998" s="31">
        <v>45282</v>
      </c>
      <c r="S1998" s="31" t="s">
        <v>3121</v>
      </c>
      <c r="T1998" s="95" t="str">
        <f t="shared" si="160"/>
        <v>2023 12</v>
      </c>
      <c r="U1998" s="32">
        <f t="shared" si="157"/>
        <v>691.38646080760088</v>
      </c>
      <c r="V1998" s="22">
        <f t="shared" si="158"/>
        <v>0.97568903579738009</v>
      </c>
      <c r="X1998" s="33"/>
      <c r="Y1998" s="33"/>
    </row>
    <row r="1999" spans="1:25" x14ac:dyDescent="0.2">
      <c r="A1999" s="93" t="s">
        <v>890</v>
      </c>
      <c r="B1999" s="94" t="str">
        <f>IFERROR(VLOOKUP($A1999,HeadJournal!$A$1:$NTR$890,COLUMN(HeadJournal!B$1),0),"")</f>
        <v>710000939289</v>
      </c>
      <c r="C1999" s="94" t="str">
        <f>IFERROR(VLOOKUP($A1999,HeadJournal!$A$1:$NTR$890,COLUMN(HeadJournal!C$1),0),"")</f>
        <v>iHerb_MH DLE7202</v>
      </c>
      <c r="D1999" s="125" t="str">
        <f>IFERROR(VLOOKUP($A1999,HeadJournal!$A$1:$NTR$890,COLUMN(HeadJournal!D$1),0),"")</f>
        <v>Доставлен</v>
      </c>
      <c r="E1999" s="95">
        <f>IFERROR(VLOOKUP($A1999,HeadJournal!$A$1:$NTR$890,COLUMN(HeadJournal!G$1),0),"")</f>
        <v>45160</v>
      </c>
      <c r="F1999" s="95" t="str">
        <f t="shared" si="159"/>
        <v>2023 08</v>
      </c>
      <c r="G1999" s="96" t="s">
        <v>5</v>
      </c>
      <c r="H1999" s="160" t="str">
        <f>RIGHT(Journal!$J1999,9)</f>
        <v>SOR-01440</v>
      </c>
      <c r="I1999" s="96" t="str">
        <f t="shared" si="161"/>
        <v>Solaray</v>
      </c>
      <c r="J1999" s="97" t="s">
        <v>891</v>
      </c>
      <c r="K1999" s="29">
        <v>7.28</v>
      </c>
      <c r="L1999" s="29">
        <v>-0.73</v>
      </c>
      <c r="M1999" s="30">
        <f>IFERROR(VLOOKUP($A1999,HeadJournal!$A$1:$J$890,COLUMN(HeadJournal!I$1),0)*($K1999+$L1999)/(SUMIF($A:$A,$A1999,$K:$K)+SUMIF($A:$A,$A1999,$L:$L)),0)</f>
        <v>-0.33102542073078284</v>
      </c>
      <c r="N1999" s="30">
        <f>IFERROR((VLOOKUP($A1999,HeadJournal!$A$1:$K$890,COLUMN(HeadJournal!K$1),0)-VLOOKUP($A1999,HeadJournal!$A$1:$K$890,COLUMN(HeadJournal!J$1),0))*($K1999+$L1999)/(SUMIF($A:$A,$A1999,$K:$K)+SUMIF($A:$A,$A1999,$L:$L)),0)</f>
        <v>0</v>
      </c>
      <c r="O1999" s="30">
        <f>IFERROR((VLOOKUP($A1999,HeadJournal!$A$1:$L$890,COLUMN(HeadJournal!L$1),0)*($K1999+$L1999)/(SUMIF($A:$A,$A1999,$K:$K)+SUMIF($A:$A,$A1999,$L:$L)))/VLOOKUP($A1999,HeadJournal!$A$1:$L$890,COLUMN(HeadJournal!H$1),0),0)</f>
        <v>0.33044451151078208</v>
      </c>
      <c r="P1999" s="30">
        <f>IFERROR(SUM(K1999:O1999)*VLOOKUP($A1999,HeadJournal!$A$1:$L$890,COLUMN(HeadJournal!H$1),0),0)</f>
        <v>708.61353919239912</v>
      </c>
      <c r="Q1999" s="29">
        <v>1500</v>
      </c>
      <c r="R1999" s="31">
        <v>45297</v>
      </c>
      <c r="S1999" s="31" t="s">
        <v>3121</v>
      </c>
      <c r="T1999" s="95" t="str">
        <f t="shared" si="160"/>
        <v>2024 01</v>
      </c>
      <c r="U1999" s="32">
        <f t="shared" si="157"/>
        <v>791.38646080760088</v>
      </c>
      <c r="V1999" s="22">
        <f t="shared" si="158"/>
        <v>1.1168096812114787</v>
      </c>
      <c r="X1999" s="33"/>
      <c r="Y1999" s="33"/>
    </row>
    <row r="2000" spans="1:25" x14ac:dyDescent="0.2">
      <c r="A2000" s="93" t="s">
        <v>890</v>
      </c>
      <c r="B2000" s="94" t="str">
        <f>IFERROR(VLOOKUP($A2000,HeadJournal!$A$1:$NTR$890,COLUMN(HeadJournal!B$1),0),"")</f>
        <v>710000939289</v>
      </c>
      <c r="C2000" s="94" t="str">
        <f>IFERROR(VLOOKUP($A2000,HeadJournal!$A$1:$NTR$890,COLUMN(HeadJournal!C$1),0),"")</f>
        <v>iHerb_MH DLE7202</v>
      </c>
      <c r="D2000" s="125" t="str">
        <f>IFERROR(VLOOKUP($A2000,HeadJournal!$A$1:$NTR$890,COLUMN(HeadJournal!D$1),0),"")</f>
        <v>Доставлен</v>
      </c>
      <c r="E2000" s="95">
        <f>IFERROR(VLOOKUP($A2000,HeadJournal!$A$1:$NTR$890,COLUMN(HeadJournal!G$1),0),"")</f>
        <v>45160</v>
      </c>
      <c r="F2000" s="95" t="str">
        <f t="shared" si="159"/>
        <v>2023 08</v>
      </c>
      <c r="G2000" s="96" t="s">
        <v>5</v>
      </c>
      <c r="H2000" s="161" t="s">
        <v>2094</v>
      </c>
      <c r="I2000" s="97" t="s">
        <v>2042</v>
      </c>
      <c r="J2000" s="97" t="s">
        <v>2095</v>
      </c>
      <c r="K2000" s="29">
        <v>17.28</v>
      </c>
      <c r="L2000" s="29">
        <v>-1.73</v>
      </c>
      <c r="M2000" s="30">
        <f>IFERROR(VLOOKUP($A2000,HeadJournal!$A$1:$J$890,COLUMN(HeadJournal!I$1),0)*($K2000+$L2000)/(SUMIF($A:$A,$A2000,$K:$K)+SUMIF($A:$A,$A2000,$L:$L)),0)</f>
        <v>-0.78586951028453023</v>
      </c>
      <c r="N2000" s="30">
        <f>IFERROR((VLOOKUP($A2000,HeadJournal!$A$1:$K$890,COLUMN(HeadJournal!K$1),0)-VLOOKUP($A2000,HeadJournal!$A$1:$K$890,COLUMN(HeadJournal!J$1),0))*($K2000+$L2000)/(SUMIF($A:$A,$A2000,$K:$K)+SUMIF($A:$A,$A2000,$L:$L)),0)</f>
        <v>0</v>
      </c>
      <c r="O2000" s="30">
        <f>IFERROR((VLOOKUP($A2000,HeadJournal!$A$1:$L$890,COLUMN(HeadJournal!L$1),0)*($K2000+$L2000)/(SUMIF($A:$A,$A2000,$K:$K)+SUMIF($A:$A,$A2000,$L:$L)))/VLOOKUP($A2000,HeadJournal!$A$1:$L$890,COLUMN(HeadJournal!H$1),0),0)</f>
        <v>0.78449040518971924</v>
      </c>
      <c r="P2000" s="30">
        <f>IFERROR(SUM(K2000:O2000)*VLOOKUP($A2000,HeadJournal!$A$1:$L$890,COLUMN(HeadJournal!H$1),0),0)</f>
        <v>1682.2809976247031</v>
      </c>
      <c r="Q2000" s="29">
        <v>2300</v>
      </c>
      <c r="R2000" s="31">
        <v>45194</v>
      </c>
      <c r="S2000" s="31" t="s">
        <v>3121</v>
      </c>
      <c r="T2000" s="95" t="str">
        <f t="shared" si="160"/>
        <v>2023 09</v>
      </c>
      <c r="U2000" s="32">
        <f t="shared" si="157"/>
        <v>617.7190023752969</v>
      </c>
      <c r="V2000" s="22">
        <f t="shared" si="158"/>
        <v>0.3671913332240484</v>
      </c>
      <c r="X2000" s="33"/>
      <c r="Y2000" s="33"/>
    </row>
    <row r="2001" spans="1:25" x14ac:dyDescent="0.2">
      <c r="A2001" s="93" t="s">
        <v>890</v>
      </c>
      <c r="B2001" s="94" t="str">
        <f>IFERROR(VLOOKUP($A2001,HeadJournal!$A$1:$NTR$890,COLUMN(HeadJournal!B$1),0),"")</f>
        <v>710000939289</v>
      </c>
      <c r="C2001" s="94" t="str">
        <f>IFERROR(VLOOKUP($A2001,HeadJournal!$A$1:$NTR$890,COLUMN(HeadJournal!C$1),0),"")</f>
        <v>iHerb_MH DLE7202</v>
      </c>
      <c r="D2001" s="125" t="str">
        <f>IFERROR(VLOOKUP($A2001,HeadJournal!$A$1:$NTR$890,COLUMN(HeadJournal!D$1),0),"")</f>
        <v>Доставлен</v>
      </c>
      <c r="E2001" s="95">
        <f>IFERROR(VLOOKUP($A2001,HeadJournal!$A$1:$NTR$890,COLUMN(HeadJournal!G$1),0),"")</f>
        <v>45160</v>
      </c>
      <c r="F2001" s="95" t="str">
        <f t="shared" si="159"/>
        <v>2023 08</v>
      </c>
      <c r="G2001" s="96" t="s">
        <v>5</v>
      </c>
      <c r="H2001" s="160" t="str">
        <f>RIGHT(Journal!$J2001,9)</f>
        <v>NOW-01613</v>
      </c>
      <c r="I2001" s="96" t="str">
        <f t="shared" si="161"/>
        <v>NOW Foods</v>
      </c>
      <c r="J2001" s="97" t="s">
        <v>892</v>
      </c>
      <c r="K2001" s="29">
        <v>34.29</v>
      </c>
      <c r="L2001" s="29">
        <v>-3.43</v>
      </c>
      <c r="M2001" s="30">
        <f>IFERROR(VLOOKUP($A2001,HeadJournal!$A$1:$J$890,COLUMN(HeadJournal!I$1),0)*($K2001+$L2001)/(SUMIF($A:$A,$A2001,$K:$K)+SUMIF($A:$A,$A2001,$L:$L)),0)</f>
        <v>-1.5596098448476272</v>
      </c>
      <c r="N2001" s="30">
        <f>IFERROR((VLOOKUP($A2001,HeadJournal!$A$1:$K$890,COLUMN(HeadJournal!K$1),0)-VLOOKUP($A2001,HeadJournal!$A$1:$K$890,COLUMN(HeadJournal!J$1),0))*($K2001+$L2001)/(SUMIF($A:$A,$A2001,$K:$K)+SUMIF($A:$A,$A2001,$L:$L)),0)</f>
        <v>0</v>
      </c>
      <c r="O2001" s="30">
        <f>IFERROR((VLOOKUP($A2001,HeadJournal!$A$1:$L$890,COLUMN(HeadJournal!L$1),0)*($K2001+$L2001)/(SUMIF($A:$A,$A2001,$K:$K)+SUMIF($A:$A,$A2001,$L:$L)))/VLOOKUP($A2001,HeadJournal!$A$1:$L$890,COLUMN(HeadJournal!H$1),0),0)</f>
        <v>1.5568729198813336</v>
      </c>
      <c r="P2001" s="30">
        <f>IFERROR(SUM(K2001:O2001)*VLOOKUP($A2001,HeadJournal!$A$1:$L$890,COLUMN(HeadJournal!H$1),0),0)</f>
        <v>3338.5975296912111</v>
      </c>
      <c r="Q2001" s="29">
        <v>4000</v>
      </c>
      <c r="R2001" s="31">
        <v>45194</v>
      </c>
      <c r="S2001" s="31" t="s">
        <v>3121</v>
      </c>
      <c r="T2001" s="95" t="str">
        <f t="shared" si="160"/>
        <v>2023 09</v>
      </c>
      <c r="U2001" s="32">
        <f t="shared" si="157"/>
        <v>661.40247030878891</v>
      </c>
      <c r="V2001" s="22">
        <f t="shared" si="158"/>
        <v>0.19810787746253511</v>
      </c>
      <c r="X2001" s="33"/>
      <c r="Y2001" s="33"/>
    </row>
    <row r="2002" spans="1:25" x14ac:dyDescent="0.2">
      <c r="A2002" s="93" t="s">
        <v>890</v>
      </c>
      <c r="B2002" s="94" t="str">
        <f>IFERROR(VLOOKUP($A2002,HeadJournal!$A$1:$NTR$890,COLUMN(HeadJournal!B$1),0),"")</f>
        <v>710000939289</v>
      </c>
      <c r="C2002" s="94" t="str">
        <f>IFERROR(VLOOKUP($A2002,HeadJournal!$A$1:$NTR$890,COLUMN(HeadJournal!C$1),0),"")</f>
        <v>iHerb_MH DLE7202</v>
      </c>
      <c r="D2002" s="125" t="str">
        <f>IFERROR(VLOOKUP($A2002,HeadJournal!$A$1:$NTR$890,COLUMN(HeadJournal!D$1),0),"")</f>
        <v>Доставлен</v>
      </c>
      <c r="E2002" s="95">
        <f>IFERROR(VLOOKUP($A2002,HeadJournal!$A$1:$NTR$890,COLUMN(HeadJournal!G$1),0),"")</f>
        <v>45160</v>
      </c>
      <c r="F2002" s="95" t="str">
        <f t="shared" si="159"/>
        <v>2023 08</v>
      </c>
      <c r="G2002" s="96" t="s">
        <v>5</v>
      </c>
      <c r="H2002" s="161" t="s">
        <v>2129</v>
      </c>
      <c r="I2002" s="97" t="s">
        <v>2125</v>
      </c>
      <c r="J2002" s="97" t="s">
        <v>2130</v>
      </c>
      <c r="K2002" s="29">
        <v>10.69</v>
      </c>
      <c r="L2002" s="29">
        <v>-1.07</v>
      </c>
      <c r="M2002" s="30">
        <f>IFERROR(VLOOKUP($A2002,HeadJournal!$A$1:$J$890,COLUMN(HeadJournal!I$1),0)*($K2002+$L2002)/(SUMIF($A:$A,$A2002,$K:$K)+SUMIF($A:$A,$A2002,$L:$L)),0)</f>
        <v>-0.48617779350078327</v>
      </c>
      <c r="N2002" s="30">
        <f>IFERROR((VLOOKUP($A2002,HeadJournal!$A$1:$K$890,COLUMN(HeadJournal!K$1),0)-VLOOKUP($A2002,HeadJournal!$A$1:$K$890,COLUMN(HeadJournal!J$1),0))*($K2002+$L2002)/(SUMIF($A:$A,$A2002,$K:$K)+SUMIF($A:$A,$A2002,$L:$L)),0)</f>
        <v>0</v>
      </c>
      <c r="O2002" s="30">
        <f>IFERROR((VLOOKUP($A2002,HeadJournal!$A$1:$L$890,COLUMN(HeadJournal!L$1),0)*($K2002+$L2002)/(SUMIF($A:$A,$A2002,$K:$K)+SUMIF($A:$A,$A2002,$L:$L)))/VLOOKUP($A2002,HeadJournal!$A$1:$L$890,COLUMN(HeadJournal!H$1),0),0)</f>
        <v>0.48532461079904171</v>
      </c>
      <c r="P2002" s="30">
        <f>IFERROR(SUM(K2002:O2002)*VLOOKUP($A2002,HeadJournal!$A$1:$L$890,COLUMN(HeadJournal!H$1),0),0)</f>
        <v>1040.7423277909738</v>
      </c>
      <c r="Q2002" s="29">
        <v>1700</v>
      </c>
      <c r="R2002" s="31">
        <v>45197</v>
      </c>
      <c r="S2002" s="31" t="s">
        <v>3121</v>
      </c>
      <c r="T2002" s="95" t="str">
        <f t="shared" si="160"/>
        <v>2023 09</v>
      </c>
      <c r="U2002" s="32">
        <f t="shared" si="157"/>
        <v>659.25767220902617</v>
      </c>
      <c r="V2002" s="22">
        <f t="shared" si="158"/>
        <v>0.6334494664095508</v>
      </c>
      <c r="X2002" s="33"/>
      <c r="Y2002" s="33"/>
    </row>
    <row r="2003" spans="1:25" x14ac:dyDescent="0.2">
      <c r="A2003" s="93" t="s">
        <v>890</v>
      </c>
      <c r="B2003" s="94" t="str">
        <f>IFERROR(VLOOKUP($A2003,HeadJournal!$A$1:$NTR$890,COLUMN(HeadJournal!B$1),0),"")</f>
        <v>710000939289</v>
      </c>
      <c r="C2003" s="94" t="str">
        <f>IFERROR(VLOOKUP($A2003,HeadJournal!$A$1:$NTR$890,COLUMN(HeadJournal!C$1),0),"")</f>
        <v>iHerb_MH DLE7202</v>
      </c>
      <c r="D2003" s="125" t="str">
        <f>IFERROR(VLOOKUP($A2003,HeadJournal!$A$1:$NTR$890,COLUMN(HeadJournal!D$1),0),"")</f>
        <v>Доставлен</v>
      </c>
      <c r="E2003" s="95">
        <f>IFERROR(VLOOKUP($A2003,HeadJournal!$A$1:$NTR$890,COLUMN(HeadJournal!G$1),0),"")</f>
        <v>45160</v>
      </c>
      <c r="F2003" s="95" t="str">
        <f t="shared" si="159"/>
        <v>2023 08</v>
      </c>
      <c r="G2003" s="96" t="s">
        <v>5</v>
      </c>
      <c r="H2003" s="160" t="str">
        <f>RIGHT(Journal!$J2003,9)</f>
        <v>NWY-15450</v>
      </c>
      <c r="I2003" s="96" t="str">
        <f t="shared" si="161"/>
        <v>Nature's Way</v>
      </c>
      <c r="J2003" s="97" t="s">
        <v>197</v>
      </c>
      <c r="K2003" s="29">
        <v>9.89</v>
      </c>
      <c r="L2003" s="29">
        <v>-0.99</v>
      </c>
      <c r="M2003" s="30">
        <f>IFERROR(VLOOKUP($A2003,HeadJournal!$A$1:$J$890,COLUMN(HeadJournal!I$1),0)*($K2003+$L2003)/(SUMIF($A:$A,$A2003,$K:$K)+SUMIF($A:$A,$A2003,$L:$L)),0)</f>
        <v>-0.44979026633648356</v>
      </c>
      <c r="N2003" s="30">
        <f>IFERROR((VLOOKUP($A2003,HeadJournal!$A$1:$K$890,COLUMN(HeadJournal!K$1),0)-VLOOKUP($A2003,HeadJournal!$A$1:$K$890,COLUMN(HeadJournal!J$1),0))*($K2003+$L2003)/(SUMIF($A:$A,$A2003,$K:$K)+SUMIF($A:$A,$A2003,$L:$L)),0)</f>
        <v>0</v>
      </c>
      <c r="O2003" s="30">
        <f>IFERROR((VLOOKUP($A2003,HeadJournal!$A$1:$L$890,COLUMN(HeadJournal!L$1),0)*($K2003+$L2003)/(SUMIF($A:$A,$A2003,$K:$K)+SUMIF($A:$A,$A2003,$L:$L)))/VLOOKUP($A2003,HeadJournal!$A$1:$L$890,COLUMN(HeadJournal!H$1),0),0)</f>
        <v>0.44900093930472679</v>
      </c>
      <c r="P2003" s="30">
        <f>IFERROR(SUM(K2003:O2003)*VLOOKUP($A2003,HeadJournal!$A$1:$L$890,COLUMN(HeadJournal!H$1),0),0)</f>
        <v>962.84893111638951</v>
      </c>
      <c r="Q2003" s="29">
        <v>1500</v>
      </c>
      <c r="R2003" s="31">
        <v>45251</v>
      </c>
      <c r="S2003" s="31" t="s">
        <v>3121</v>
      </c>
      <c r="T2003" s="95" t="str">
        <f t="shared" si="160"/>
        <v>2023 11</v>
      </c>
      <c r="U2003" s="32">
        <f t="shared" si="157"/>
        <v>537.15106888361049</v>
      </c>
      <c r="V2003" s="22">
        <f t="shared" si="158"/>
        <v>0.55787678785788619</v>
      </c>
      <c r="X2003" s="33"/>
      <c r="Y2003" s="33"/>
    </row>
    <row r="2004" spans="1:25" x14ac:dyDescent="0.2">
      <c r="A2004" s="93" t="s">
        <v>890</v>
      </c>
      <c r="B2004" s="94" t="str">
        <f>IFERROR(VLOOKUP($A2004,HeadJournal!$A$1:$NTR$890,COLUMN(HeadJournal!B$1),0),"")</f>
        <v>710000939289</v>
      </c>
      <c r="C2004" s="94" t="str">
        <f>IFERROR(VLOOKUP($A2004,HeadJournal!$A$1:$NTR$890,COLUMN(HeadJournal!C$1),0),"")</f>
        <v>iHerb_MH DLE7202</v>
      </c>
      <c r="D2004" s="125" t="str">
        <f>IFERROR(VLOOKUP($A2004,HeadJournal!$A$1:$NTR$890,COLUMN(HeadJournal!D$1),0),"")</f>
        <v>Доставлен</v>
      </c>
      <c r="E2004" s="95">
        <f>IFERROR(VLOOKUP($A2004,HeadJournal!$A$1:$NTR$890,COLUMN(HeadJournal!G$1),0),"")</f>
        <v>45160</v>
      </c>
      <c r="F2004" s="95" t="str">
        <f t="shared" si="159"/>
        <v>2023 08</v>
      </c>
      <c r="G2004" s="96" t="s">
        <v>5</v>
      </c>
      <c r="H2004" s="160" t="str">
        <f>RIGHT(Journal!$J2004,9)</f>
        <v>SWV-02305</v>
      </c>
      <c r="I2004" s="96" t="str">
        <f t="shared" si="161"/>
        <v>Swanson</v>
      </c>
      <c r="J2004" s="97" t="s">
        <v>889</v>
      </c>
      <c r="K2004" s="29">
        <v>4.1500000000000004</v>
      </c>
      <c r="L2004" s="29">
        <v>-0.83</v>
      </c>
      <c r="M2004" s="30">
        <f>IFERROR(VLOOKUP($A2004,HeadJournal!$A$1:$J$890,COLUMN(HeadJournal!I$1),0)*($K2004+$L2004)/(SUMIF($A:$A,$A2004,$K:$K)+SUMIF($A:$A,$A2004,$L:$L)),0)</f>
        <v>-0.16778693081316018</v>
      </c>
      <c r="N2004" s="30">
        <f>IFERROR((VLOOKUP($A2004,HeadJournal!$A$1:$K$890,COLUMN(HeadJournal!K$1),0)-VLOOKUP($A2004,HeadJournal!$A$1:$K$890,COLUMN(HeadJournal!J$1),0))*($K2004+$L2004)/(SUMIF($A:$A,$A2004,$K:$K)+SUMIF($A:$A,$A2004,$L:$L)),0)</f>
        <v>0</v>
      </c>
      <c r="O2004" s="30">
        <f>IFERROR((VLOOKUP($A2004,HeadJournal!$A$1:$L$890,COLUMN(HeadJournal!L$1),0)*($K2004+$L2004)/(SUMIF($A:$A,$A2004,$K:$K)+SUMIF($A:$A,$A2004,$L:$L)))/VLOOKUP($A2004,HeadJournal!$A$1:$L$890,COLUMN(HeadJournal!H$1),0),0)</f>
        <v>0.16749248522378574</v>
      </c>
      <c r="P2004" s="30">
        <f>IFERROR(SUM(K2004:O2004)*VLOOKUP($A2004,HeadJournal!$A$1:$L$890,COLUMN(HeadJournal!H$1),0),0)</f>
        <v>359.17510688836109</v>
      </c>
      <c r="Q2004" s="29"/>
      <c r="R2004" s="31"/>
      <c r="S2004" s="31"/>
      <c r="T2004" s="95" t="str">
        <f t="shared" si="160"/>
        <v/>
      </c>
      <c r="U2004" s="32">
        <f t="shared" si="157"/>
        <v>-359.17510688836109</v>
      </c>
      <c r="V2004" s="22" t="str">
        <f t="shared" si="158"/>
        <v/>
      </c>
      <c r="X2004" s="33"/>
      <c r="Y2004" s="33"/>
    </row>
    <row r="2005" spans="1:25" x14ac:dyDescent="0.2">
      <c r="A2005" s="93" t="s">
        <v>890</v>
      </c>
      <c r="B2005" s="94" t="str">
        <f>IFERROR(VLOOKUP($A2005,HeadJournal!$A$1:$NTR$890,COLUMN(HeadJournal!B$1),0),"")</f>
        <v>710000939289</v>
      </c>
      <c r="C2005" s="94" t="str">
        <f>IFERROR(VLOOKUP($A2005,HeadJournal!$A$1:$NTR$890,COLUMN(HeadJournal!C$1),0),"")</f>
        <v>iHerb_MH DLE7202</v>
      </c>
      <c r="D2005" s="125" t="str">
        <f>IFERROR(VLOOKUP($A2005,HeadJournal!$A$1:$NTR$890,COLUMN(HeadJournal!D$1),0),"")</f>
        <v>Доставлен</v>
      </c>
      <c r="E2005" s="95">
        <f>IFERROR(VLOOKUP($A2005,HeadJournal!$A$1:$NTR$890,COLUMN(HeadJournal!G$1),0),"")</f>
        <v>45160</v>
      </c>
      <c r="F2005" s="95" t="str">
        <f t="shared" si="159"/>
        <v>2023 08</v>
      </c>
      <c r="G2005" s="96" t="s">
        <v>5</v>
      </c>
      <c r="H2005" s="161" t="s">
        <v>2671</v>
      </c>
      <c r="I2005" s="97" t="s">
        <v>2569</v>
      </c>
      <c r="J2005" s="97" t="s">
        <v>2672</v>
      </c>
      <c r="K2005" s="29">
        <v>10.5</v>
      </c>
      <c r="L2005" s="29">
        <v>-2.1</v>
      </c>
      <c r="M2005" s="30">
        <f>IFERROR(VLOOKUP($A2005,HeadJournal!$A$1:$J$890,COLUMN(HeadJournal!I$1),0)*($K2005+$L2005)/(SUMIF($A:$A,$A2005,$K:$K)+SUMIF($A:$A,$A2005,$L:$L)),0)</f>
        <v>-0.42452115025016424</v>
      </c>
      <c r="N2005" s="30">
        <f>IFERROR((VLOOKUP($A2005,HeadJournal!$A$1:$K$890,COLUMN(HeadJournal!K$1),0)-VLOOKUP($A2005,HeadJournal!$A$1:$K$890,COLUMN(HeadJournal!J$1),0))*($K2005+$L2005)/(SUMIF($A:$A,$A2005,$K:$K)+SUMIF($A:$A,$A2005,$L:$L)),0)</f>
        <v>0</v>
      </c>
      <c r="O2005" s="30">
        <f>IFERROR((VLOOKUP($A2005,HeadJournal!$A$1:$L$890,COLUMN(HeadJournal!L$1),0)*($K2005+$L2005)/(SUMIF($A:$A,$A2005,$K:$K)+SUMIF($A:$A,$A2005,$L:$L)))/VLOOKUP($A2005,HeadJournal!$A$1:$L$890,COLUMN(HeadJournal!H$1),0),0)</f>
        <v>0.42377616743367474</v>
      </c>
      <c r="P2005" s="30">
        <f>IFERROR(SUM(K2005:O2005)*VLOOKUP($A2005,HeadJournal!$A$1:$L$890,COLUMN(HeadJournal!H$1),0),0)</f>
        <v>908.75629453681711</v>
      </c>
      <c r="Q2005" s="29">
        <v>1600</v>
      </c>
      <c r="R2005" s="31">
        <v>45251</v>
      </c>
      <c r="S2005" s="31" t="s">
        <v>3121</v>
      </c>
      <c r="T2005" s="95" t="str">
        <f t="shared" si="160"/>
        <v>2023 11</v>
      </c>
      <c r="U2005" s="32">
        <f t="shared" si="157"/>
        <v>691.24370546318289</v>
      </c>
      <c r="V2005" s="22">
        <f t="shared" si="158"/>
        <v>0.76064805230923005</v>
      </c>
      <c r="X2005" s="33"/>
      <c r="Y2005" s="33"/>
    </row>
    <row r="2006" spans="1:25" x14ac:dyDescent="0.2">
      <c r="A2006" s="93" t="s">
        <v>890</v>
      </c>
      <c r="B2006" s="94" t="str">
        <f>IFERROR(VLOOKUP($A2006,HeadJournal!$A$1:$NTR$890,COLUMN(HeadJournal!B$1),0),"")</f>
        <v>710000939289</v>
      </c>
      <c r="C2006" s="94" t="str">
        <f>IFERROR(VLOOKUP($A2006,HeadJournal!$A$1:$NTR$890,COLUMN(HeadJournal!C$1),0),"")</f>
        <v>iHerb_MH DLE7202</v>
      </c>
      <c r="D2006" s="125" t="str">
        <f>IFERROR(VLOOKUP($A2006,HeadJournal!$A$1:$NTR$890,COLUMN(HeadJournal!D$1),0),"")</f>
        <v>Доставлен</v>
      </c>
      <c r="E2006" s="95">
        <f>IFERROR(VLOOKUP($A2006,HeadJournal!$A$1:$NTR$890,COLUMN(HeadJournal!G$1),0),"")</f>
        <v>45160</v>
      </c>
      <c r="F2006" s="95" t="str">
        <f t="shared" si="159"/>
        <v>2023 08</v>
      </c>
      <c r="G2006" s="96" t="s">
        <v>5</v>
      </c>
      <c r="H2006" s="160" t="str">
        <f>RIGHT(Journal!$J2006,9)</f>
        <v>SWV-01872</v>
      </c>
      <c r="I2006" s="96" t="str">
        <f t="shared" si="161"/>
        <v>Swanson</v>
      </c>
      <c r="J2006" s="97" t="s">
        <v>893</v>
      </c>
      <c r="K2006" s="29">
        <v>10.3</v>
      </c>
      <c r="L2006" s="29">
        <v>-2.06</v>
      </c>
      <c r="M2006" s="30">
        <f>IFERROR(VLOOKUP($A2006,HeadJournal!$A$1:$J$890,COLUMN(HeadJournal!I$1),0)*($K2006+$L2006)/(SUMIF($A:$A,$A2006,$K:$K)+SUMIF($A:$A,$A2006,$L:$L)),0)</f>
        <v>-0.4164350331025421</v>
      </c>
      <c r="N2006" s="30">
        <f>IFERROR((VLOOKUP($A2006,HeadJournal!$A$1:$K$890,COLUMN(HeadJournal!K$1),0)-VLOOKUP($A2006,HeadJournal!$A$1:$K$890,COLUMN(HeadJournal!J$1),0))*($K2006+$L2006)/(SUMIF($A:$A,$A2006,$K:$K)+SUMIF($A:$A,$A2006,$L:$L)),0)</f>
        <v>0</v>
      </c>
      <c r="O2006" s="30">
        <f>IFERROR((VLOOKUP($A2006,HeadJournal!$A$1:$L$890,COLUMN(HeadJournal!L$1),0)*($K2006+$L2006)/(SUMIF($A:$A,$A2006,$K:$K)+SUMIF($A:$A,$A2006,$L:$L)))/VLOOKUP($A2006,HeadJournal!$A$1:$L$890,COLUMN(HeadJournal!H$1),0),0)</f>
        <v>0.41570424043493803</v>
      </c>
      <c r="P2006" s="30">
        <f>IFERROR(SUM(K2006:O2006)*VLOOKUP($A2006,HeadJournal!$A$1:$L$890,COLUMN(HeadJournal!H$1),0),0)</f>
        <v>891.44665083135408</v>
      </c>
      <c r="Q2006" s="29">
        <v>1600</v>
      </c>
      <c r="R2006" s="31">
        <v>45243</v>
      </c>
      <c r="S2006" s="31" t="s">
        <v>3121</v>
      </c>
      <c r="T2006" s="95" t="str">
        <f t="shared" si="160"/>
        <v>2023 11</v>
      </c>
      <c r="U2006" s="32">
        <f t="shared" si="157"/>
        <v>708.55334916864592</v>
      </c>
      <c r="V2006" s="22">
        <f t="shared" si="158"/>
        <v>0.79483539313076812</v>
      </c>
      <c r="X2006" s="33"/>
      <c r="Y2006" s="33"/>
    </row>
    <row r="2007" spans="1:25" x14ac:dyDescent="0.2">
      <c r="A2007" s="93" t="s">
        <v>890</v>
      </c>
      <c r="B2007" s="94" t="str">
        <f>IFERROR(VLOOKUP($A2007,HeadJournal!$A$1:$NTR$890,COLUMN(HeadJournal!B$1),0),"")</f>
        <v>710000939289</v>
      </c>
      <c r="C2007" s="94" t="str">
        <f>IFERROR(VLOOKUP($A2007,HeadJournal!$A$1:$NTR$890,COLUMN(HeadJournal!C$1),0),"")</f>
        <v>iHerb_MH DLE7202</v>
      </c>
      <c r="D2007" s="125" t="str">
        <f>IFERROR(VLOOKUP($A2007,HeadJournal!$A$1:$NTR$890,COLUMN(HeadJournal!D$1),0),"")</f>
        <v>Доставлен</v>
      </c>
      <c r="E2007" s="95">
        <f>IFERROR(VLOOKUP($A2007,HeadJournal!$A$1:$NTR$890,COLUMN(HeadJournal!G$1),0),"")</f>
        <v>45160</v>
      </c>
      <c r="F2007" s="95" t="str">
        <f t="shared" si="159"/>
        <v>2023 08</v>
      </c>
      <c r="G2007" s="96" t="s">
        <v>5</v>
      </c>
      <c r="H2007" s="160" t="str">
        <f>RIGHT(Journal!$J2007,9)</f>
        <v>SWV-01978</v>
      </c>
      <c r="I2007" s="96" t="str">
        <f t="shared" si="161"/>
        <v>Swanson</v>
      </c>
      <c r="J2007" s="97" t="s">
        <v>894</v>
      </c>
      <c r="K2007" s="29">
        <v>6.5</v>
      </c>
      <c r="L2007" s="29">
        <v>-1.3</v>
      </c>
      <c r="M2007" s="30">
        <f>IFERROR(VLOOKUP($A2007,HeadJournal!$A$1:$J$890,COLUMN(HeadJournal!I$1),0)*($K2007+$L2007)/(SUMIF($A:$A,$A2007,$K:$K)+SUMIF($A:$A,$A2007,$L:$L)),0)</f>
        <v>-0.2627988072977207</v>
      </c>
      <c r="N2007" s="30">
        <f>IFERROR((VLOOKUP($A2007,HeadJournal!$A$1:$K$890,COLUMN(HeadJournal!K$1),0)-VLOOKUP($A2007,HeadJournal!$A$1:$K$890,COLUMN(HeadJournal!J$1),0))*($K2007+$L2007)/(SUMIF($A:$A,$A2007,$K:$K)+SUMIF($A:$A,$A2007,$L:$L)),0)</f>
        <v>0</v>
      </c>
      <c r="O2007" s="30">
        <f>IFERROR((VLOOKUP($A2007,HeadJournal!$A$1:$L$890,COLUMN(HeadJournal!L$1),0)*($K2007+$L2007)/(SUMIF($A:$A,$A2007,$K:$K)+SUMIF($A:$A,$A2007,$L:$L)))/VLOOKUP($A2007,HeadJournal!$A$1:$L$890,COLUMN(HeadJournal!H$1),0),0)</f>
        <v>0.26233762745894151</v>
      </c>
      <c r="P2007" s="30">
        <f>IFERROR(SUM(K2007:O2007)*VLOOKUP($A2007,HeadJournal!$A$1:$L$890,COLUMN(HeadJournal!H$1),0),0)</f>
        <v>562.56342042755352</v>
      </c>
      <c r="Q2007" s="29">
        <v>1400</v>
      </c>
      <c r="R2007" s="31">
        <v>45238</v>
      </c>
      <c r="S2007" s="31" t="s">
        <v>3121</v>
      </c>
      <c r="T2007" s="95" t="str">
        <f t="shared" si="160"/>
        <v>2023 11</v>
      </c>
      <c r="U2007" s="32">
        <f t="shared" si="157"/>
        <v>837.43657957244648</v>
      </c>
      <c r="V2007" s="22">
        <f t="shared" si="158"/>
        <v>1.4886083047063152</v>
      </c>
      <c r="X2007" s="33"/>
      <c r="Y2007" s="33"/>
    </row>
    <row r="2008" spans="1:25" x14ac:dyDescent="0.2">
      <c r="A2008" s="93" t="s">
        <v>890</v>
      </c>
      <c r="B2008" s="94" t="str">
        <f>IFERROR(VLOOKUP($A2008,HeadJournal!$A$1:$NTR$890,COLUMN(HeadJournal!B$1),0),"")</f>
        <v>710000939289</v>
      </c>
      <c r="C2008" s="94" t="str">
        <f>IFERROR(VLOOKUP($A2008,HeadJournal!$A$1:$NTR$890,COLUMN(HeadJournal!C$1),0),"")</f>
        <v>iHerb_MH DLE7202</v>
      </c>
      <c r="D2008" s="125" t="str">
        <f>IFERROR(VLOOKUP($A2008,HeadJournal!$A$1:$NTR$890,COLUMN(HeadJournal!D$1),0),"")</f>
        <v>Доставлен</v>
      </c>
      <c r="E2008" s="95">
        <f>IFERROR(VLOOKUP($A2008,HeadJournal!$A$1:$NTR$890,COLUMN(HeadJournal!G$1),0),"")</f>
        <v>45160</v>
      </c>
      <c r="F2008" s="95" t="str">
        <f t="shared" si="159"/>
        <v>2023 08</v>
      </c>
      <c r="G2008" s="96" t="s">
        <v>5</v>
      </c>
      <c r="H2008" s="160" t="str">
        <f>RIGHT(Journal!$J2008,9)</f>
        <v>EVL-02898</v>
      </c>
      <c r="I2008" s="96" t="str">
        <f t="shared" si="161"/>
        <v>EVLution Nutrition</v>
      </c>
      <c r="J2008" s="97" t="s">
        <v>895</v>
      </c>
      <c r="K2008" s="29">
        <v>13.78</v>
      </c>
      <c r="L2008" s="29">
        <v>-2.76</v>
      </c>
      <c r="M2008" s="30">
        <f>IFERROR(VLOOKUP($A2008,HeadJournal!$A$1:$J$890,COLUMN(HeadJournal!I$1),0)*($K2008+$L2008)/(SUMIF($A:$A,$A2008,$K:$K)+SUMIF($A:$A,$A2008,$L:$L)),0)</f>
        <v>-0.55693131854247735</v>
      </c>
      <c r="N2008" s="30">
        <f>IFERROR((VLOOKUP($A2008,HeadJournal!$A$1:$K$890,COLUMN(HeadJournal!K$1),0)-VLOOKUP($A2008,HeadJournal!$A$1:$K$890,COLUMN(HeadJournal!J$1),0))*($K2008+$L2008)/(SUMIF($A:$A,$A2008,$K:$K)+SUMIF($A:$A,$A2008,$L:$L)),0)</f>
        <v>0</v>
      </c>
      <c r="O2008" s="30">
        <f>IFERROR((VLOOKUP($A2008,HeadJournal!$A$1:$L$890,COLUMN(HeadJournal!L$1),0)*($K2008+$L2008)/(SUMIF($A:$A,$A2008,$K:$K)+SUMIF($A:$A,$A2008,$L:$L)))/VLOOKUP($A2008,HeadJournal!$A$1:$L$890,COLUMN(HeadJournal!H$1),0),0)</f>
        <v>0.55595397203798758</v>
      </c>
      <c r="P2008" s="30">
        <f>IFERROR(SUM(K2008:O2008)*VLOOKUP($A2008,HeadJournal!$A$1:$L$890,COLUMN(HeadJournal!H$1),0),0)</f>
        <v>1192.2017102137766</v>
      </c>
      <c r="Q2008" s="29"/>
      <c r="R2008" s="31"/>
      <c r="S2008" s="31"/>
      <c r="T2008" s="95" t="str">
        <f t="shared" si="160"/>
        <v/>
      </c>
      <c r="U2008" s="32">
        <f t="shared" si="157"/>
        <v>-1192.2017102137766</v>
      </c>
      <c r="V2008" s="22" t="str">
        <f t="shared" si="158"/>
        <v/>
      </c>
      <c r="X2008" s="33"/>
      <c r="Y2008" s="33"/>
    </row>
    <row r="2009" spans="1:25" x14ac:dyDescent="0.2">
      <c r="A2009" s="93" t="s">
        <v>890</v>
      </c>
      <c r="B2009" s="94" t="str">
        <f>IFERROR(VLOOKUP($A2009,HeadJournal!$A$1:$NTR$890,COLUMN(HeadJournal!B$1),0),"")</f>
        <v>710000939289</v>
      </c>
      <c r="C2009" s="94" t="str">
        <f>IFERROR(VLOOKUP($A2009,HeadJournal!$A$1:$NTR$890,COLUMN(HeadJournal!C$1),0),"")</f>
        <v>iHerb_MH DLE7202</v>
      </c>
      <c r="D2009" s="125" t="str">
        <f>IFERROR(VLOOKUP($A2009,HeadJournal!$A$1:$NTR$890,COLUMN(HeadJournal!D$1),0),"")</f>
        <v>Доставлен</v>
      </c>
      <c r="E2009" s="95">
        <f>IFERROR(VLOOKUP($A2009,HeadJournal!$A$1:$NTR$890,COLUMN(HeadJournal!G$1),0),"")</f>
        <v>45160</v>
      </c>
      <c r="F2009" s="95" t="str">
        <f t="shared" si="159"/>
        <v>2023 08</v>
      </c>
      <c r="G2009" s="96" t="s">
        <v>5</v>
      </c>
      <c r="H2009" s="161" t="s">
        <v>3573</v>
      </c>
      <c r="I2009" s="97" t="s">
        <v>2052</v>
      </c>
      <c r="J2009" s="97" t="s">
        <v>3574</v>
      </c>
      <c r="K2009" s="29">
        <v>16.45</v>
      </c>
      <c r="L2009" s="29">
        <v>-4.9400000000000004</v>
      </c>
      <c r="M2009" s="30">
        <f>IFERROR(VLOOKUP($A2009,HeadJournal!$A$1:$J$890,COLUMN(HeadJournal!I$1),0)*($K2009+$L2009)/(SUMIF($A:$A,$A2009,$K:$K)+SUMIF($A:$A,$A2009,$L:$L)),0)</f>
        <v>-0.58169505230707019</v>
      </c>
      <c r="N2009" s="30">
        <f>IFERROR((VLOOKUP($A2009,HeadJournal!$A$1:$K$890,COLUMN(HeadJournal!K$1),0)-VLOOKUP($A2009,HeadJournal!$A$1:$K$890,COLUMN(HeadJournal!J$1),0))*($K2009+$L2009)/(SUMIF($A:$A,$A2009,$K:$K)+SUMIF($A:$A,$A2009,$L:$L)),0)</f>
        <v>0</v>
      </c>
      <c r="O2009" s="30">
        <f>IFERROR((VLOOKUP($A2009,HeadJournal!$A$1:$L$890,COLUMN(HeadJournal!L$1),0)*($K2009+$L2009)/(SUMIF($A:$A,$A2009,$K:$K)+SUMIF($A:$A,$A2009,$L:$L)))/VLOOKUP($A2009,HeadJournal!$A$1:$L$890,COLUMN(HeadJournal!H$1),0),0)</f>
        <v>0.58067424847161841</v>
      </c>
      <c r="P2009" s="30">
        <f>IFERROR(SUM(K2009:O2009)*VLOOKUP($A2009,HeadJournal!$A$1:$L$890,COLUMN(HeadJournal!H$1),0),0)</f>
        <v>1245.2124940617575</v>
      </c>
      <c r="Q2009" s="29">
        <v>2200</v>
      </c>
      <c r="R2009" s="31">
        <v>45252</v>
      </c>
      <c r="S2009" s="31" t="s">
        <v>3121</v>
      </c>
      <c r="T2009" s="95" t="str">
        <f t="shared" si="160"/>
        <v>2023 11</v>
      </c>
      <c r="U2009" s="32">
        <f t="shared" si="157"/>
        <v>954.78750593824248</v>
      </c>
      <c r="V2009" s="22">
        <f t="shared" si="158"/>
        <v>0.76676672494974896</v>
      </c>
      <c r="X2009" s="33"/>
      <c r="Y2009" s="33"/>
    </row>
    <row r="2010" spans="1:25" x14ac:dyDescent="0.2">
      <c r="A2010" s="93" t="s">
        <v>890</v>
      </c>
      <c r="B2010" s="94" t="str">
        <f>IFERROR(VLOOKUP($A2010,HeadJournal!$A$1:$NTR$890,COLUMN(HeadJournal!B$1),0),"")</f>
        <v>710000939289</v>
      </c>
      <c r="C2010" s="94" t="str">
        <f>IFERROR(VLOOKUP($A2010,HeadJournal!$A$1:$NTR$890,COLUMN(HeadJournal!C$1),0),"")</f>
        <v>iHerb_MH DLE7202</v>
      </c>
      <c r="D2010" s="125" t="str">
        <f>IFERROR(VLOOKUP($A2010,HeadJournal!$A$1:$NTR$890,COLUMN(HeadJournal!D$1),0),"")</f>
        <v>Доставлен</v>
      </c>
      <c r="E2010" s="95">
        <f>IFERROR(VLOOKUP($A2010,HeadJournal!$A$1:$NTR$890,COLUMN(HeadJournal!G$1),0),"")</f>
        <v>45160</v>
      </c>
      <c r="F2010" s="95" t="str">
        <f t="shared" si="159"/>
        <v>2023 08</v>
      </c>
      <c r="G2010" s="96" t="s">
        <v>5</v>
      </c>
      <c r="H2010" s="160" t="str">
        <f>RIGHT(Journal!$J2010,9)</f>
        <v>CGN-00856</v>
      </c>
      <c r="I2010" s="96" t="str">
        <f t="shared" si="161"/>
        <v>California Gold Nutrition</v>
      </c>
      <c r="J2010" s="97" t="s">
        <v>896</v>
      </c>
      <c r="K2010" s="29">
        <v>18.190000000000001</v>
      </c>
      <c r="L2010" s="29">
        <v>-5.46</v>
      </c>
      <c r="M2010" s="30">
        <f>IFERROR(VLOOKUP($A2010,HeadJournal!$A$1:$J$890,COLUMN(HeadJournal!I$1),0)*($K2010+$L2010)/(SUMIF($A:$A,$A2010,$K:$K)+SUMIF($A:$A,$A2010,$L:$L)),0)</f>
        <v>-0.64335169555768945</v>
      </c>
      <c r="N2010" s="30">
        <f>IFERROR((VLOOKUP($A2010,HeadJournal!$A$1:$K$890,COLUMN(HeadJournal!K$1),0)-VLOOKUP($A2010,HeadJournal!$A$1:$K$890,COLUMN(HeadJournal!J$1),0))*($K2010+$L2010)/(SUMIF($A:$A,$A2010,$K:$K)+SUMIF($A:$A,$A2010,$L:$L)),0)</f>
        <v>0</v>
      </c>
      <c r="O2010" s="30">
        <f>IFERROR((VLOOKUP($A2010,HeadJournal!$A$1:$L$890,COLUMN(HeadJournal!L$1),0)*($K2010+$L2010)/(SUMIF($A:$A,$A2010,$K:$K)+SUMIF($A:$A,$A2010,$L:$L)))/VLOOKUP($A2010,HeadJournal!$A$1:$L$890,COLUMN(HeadJournal!H$1),0),0)</f>
        <v>0.64222269183698566</v>
      </c>
      <c r="P2010" s="30">
        <f>IFERROR(SUM(K2010:O2010)*VLOOKUP($A2010,HeadJournal!$A$1:$L$890,COLUMN(HeadJournal!H$1),0),0)</f>
        <v>1377.1985273159146</v>
      </c>
      <c r="Q2010" s="29">
        <v>2500</v>
      </c>
      <c r="R2010" s="31">
        <v>45212</v>
      </c>
      <c r="S2010" s="31" t="s">
        <v>3121</v>
      </c>
      <c r="T2010" s="95" t="str">
        <f t="shared" si="160"/>
        <v>2023 10</v>
      </c>
      <c r="U2010" s="32">
        <f t="shared" si="157"/>
        <v>1122.8014726840854</v>
      </c>
      <c r="V2010" s="22">
        <f t="shared" si="158"/>
        <v>0.81527931551913924</v>
      </c>
      <c r="X2010" s="33"/>
      <c r="Y2010" s="33"/>
    </row>
    <row r="2011" spans="1:25" x14ac:dyDescent="0.2">
      <c r="A2011" s="93" t="s">
        <v>890</v>
      </c>
      <c r="B2011" s="94" t="str">
        <f>IFERROR(VLOOKUP($A2011,HeadJournal!$A$1:$NTR$890,COLUMN(HeadJournal!B$1),0),"")</f>
        <v>710000939289</v>
      </c>
      <c r="C2011" s="94" t="str">
        <f>IFERROR(VLOOKUP($A2011,HeadJournal!$A$1:$NTR$890,COLUMN(HeadJournal!C$1),0),"")</f>
        <v>iHerb_MH DLE7202</v>
      </c>
      <c r="D2011" s="125" t="str">
        <f>IFERROR(VLOOKUP($A2011,HeadJournal!$A$1:$NTR$890,COLUMN(HeadJournal!D$1),0),"")</f>
        <v>Доставлен</v>
      </c>
      <c r="E2011" s="95">
        <f>IFERROR(VLOOKUP($A2011,HeadJournal!$A$1:$NTR$890,COLUMN(HeadJournal!G$1),0),"")</f>
        <v>45160</v>
      </c>
      <c r="F2011" s="95" t="str">
        <f t="shared" si="159"/>
        <v>2023 08</v>
      </c>
      <c r="G2011" s="96" t="s">
        <v>5</v>
      </c>
      <c r="H2011" s="160" t="str">
        <f>RIGHT(Journal!$J2011,9)</f>
        <v>NAP-47627</v>
      </c>
      <c r="I2011" s="96" t="str">
        <f t="shared" si="161"/>
        <v>NaturesPlus</v>
      </c>
      <c r="J2011" s="97" t="s">
        <v>897</v>
      </c>
      <c r="K2011" s="29">
        <v>9.7799999999999994</v>
      </c>
      <c r="L2011" s="29">
        <v>-0.98</v>
      </c>
      <c r="M2011" s="30">
        <f>IFERROR(VLOOKUP($A2011,HeadJournal!$A$1:$J$890,COLUMN(HeadJournal!I$1),0)*($K2011+$L2011)/(SUMIF($A:$A,$A2011,$K:$K)+SUMIF($A:$A,$A2011,$L:$L)),0)</f>
        <v>-0.44473644311921962</v>
      </c>
      <c r="N2011" s="30">
        <f>IFERROR((VLOOKUP($A2011,HeadJournal!$A$1:$K$890,COLUMN(HeadJournal!K$1),0)-VLOOKUP($A2011,HeadJournal!$A$1:$K$890,COLUMN(HeadJournal!J$1),0))*($K2011+$L2011)/(SUMIF($A:$A,$A2011,$K:$K)+SUMIF($A:$A,$A2011,$L:$L)),0)</f>
        <v>0</v>
      </c>
      <c r="O2011" s="30">
        <f>IFERROR((VLOOKUP($A2011,HeadJournal!$A$1:$L$890,COLUMN(HeadJournal!L$1),0)*($K2011+$L2011)/(SUMIF($A:$A,$A2011,$K:$K)+SUMIF($A:$A,$A2011,$L:$L)))/VLOOKUP($A2011,HeadJournal!$A$1:$L$890,COLUMN(HeadJournal!H$1),0),0)</f>
        <v>0.4439559849305163</v>
      </c>
      <c r="P2011" s="30">
        <f>IFERROR(SUM(K2011:O2011)*VLOOKUP($A2011,HeadJournal!$A$1:$L$890,COLUMN(HeadJournal!H$1),0),0)</f>
        <v>952.03040380047491</v>
      </c>
      <c r="Q2011" s="29">
        <v>1700</v>
      </c>
      <c r="R2011" s="31">
        <v>45290</v>
      </c>
      <c r="S2011" s="31" t="s">
        <v>3121</v>
      </c>
      <c r="T2011" s="95" t="str">
        <f t="shared" si="160"/>
        <v>2023 12</v>
      </c>
      <c r="U2011" s="32">
        <f t="shared" si="157"/>
        <v>747.96959619952509</v>
      </c>
      <c r="V2011" s="22">
        <f t="shared" si="158"/>
        <v>0.78565725759771365</v>
      </c>
      <c r="X2011" s="33"/>
      <c r="Y2011" s="33"/>
    </row>
    <row r="2012" spans="1:25" x14ac:dyDescent="0.2">
      <c r="A2012" s="93" t="s">
        <v>898</v>
      </c>
      <c r="B2012" s="94" t="str">
        <f>IFERROR(VLOOKUP($A2012,HeadJournal!$A$1:$NTR$890,COLUMN(HeadJournal!B$1),0),"")</f>
        <v>710000927997</v>
      </c>
      <c r="C2012" s="94" t="str">
        <f>IFERROR(VLOOKUP($A2012,HeadJournal!$A$1:$NTR$890,COLUMN(HeadJournal!C$1),0),"")</f>
        <v>iHerb_AV CYG0792</v>
      </c>
      <c r="D2012" s="125" t="str">
        <f>IFERROR(VLOOKUP($A2012,HeadJournal!$A$1:$NTR$890,COLUMN(HeadJournal!D$1),0),"")</f>
        <v>Доставлен</v>
      </c>
      <c r="E2012" s="95">
        <f>IFERROR(VLOOKUP($A2012,HeadJournal!$A$1:$NTR$890,COLUMN(HeadJournal!G$1),0),"")</f>
        <v>45152</v>
      </c>
      <c r="F2012" s="95" t="str">
        <f t="shared" si="159"/>
        <v>2023 08</v>
      </c>
      <c r="G2012" s="96" t="s">
        <v>5</v>
      </c>
      <c r="H2012" s="161" t="s">
        <v>2665</v>
      </c>
      <c r="I2012" s="97" t="s">
        <v>2666</v>
      </c>
      <c r="J2012" s="97" t="s">
        <v>3930</v>
      </c>
      <c r="K2012" s="29">
        <v>9.35</v>
      </c>
      <c r="L2012" s="29">
        <v>-0.94</v>
      </c>
      <c r="M2012" s="30">
        <f>IFERROR(VLOOKUP($A2012,HeadJournal!$A$1:$J$890,COLUMN(HeadJournal!I$1),0)*($K2012+$L2012)/(SUMIF($A:$A,$A2012,$K:$K)+SUMIF($A:$A,$A2012,$L:$L)),0)</f>
        <v>-0.95768407566508373</v>
      </c>
      <c r="N2012" s="30">
        <f>IFERROR((VLOOKUP($A2012,HeadJournal!$A$1:$K$890,COLUMN(HeadJournal!K$1),0)-VLOOKUP($A2012,HeadJournal!$A$1:$K$890,COLUMN(HeadJournal!J$1),0))*($K2012+$L2012)/(SUMIF($A:$A,$A2012,$K:$K)+SUMIF($A:$A,$A2012,$L:$L)),0)</f>
        <v>-1.8013910340620819E-15</v>
      </c>
      <c r="O2012" s="30">
        <f>IFERROR((VLOOKUP($A2012,HeadJournal!$A$1:$L$890,COLUMN(HeadJournal!L$1),0)*($K2012+$L2012)/(SUMIF($A:$A,$A2012,$K:$K)+SUMIF($A:$A,$A2012,$L:$L)))/VLOOKUP($A2012,HeadJournal!$A$1:$L$890,COLUMN(HeadJournal!H$1),0),0)</f>
        <v>0.53225309574358004</v>
      </c>
      <c r="P2012" s="30">
        <f>IFERROR(SUM(K2012:O2012)*VLOOKUP($A2012,HeadJournal!$A$1:$L$890,COLUMN(HeadJournal!H$1),0),0)</f>
        <v>884.29543296405143</v>
      </c>
      <c r="Q2012" s="29"/>
      <c r="R2012" s="31"/>
      <c r="S2012" s="31"/>
      <c r="T2012" s="95" t="str">
        <f t="shared" si="160"/>
        <v/>
      </c>
      <c r="U2012" s="32">
        <f t="shared" si="157"/>
        <v>-884.29543296405143</v>
      </c>
      <c r="V2012" s="22" t="str">
        <f t="shared" si="158"/>
        <v/>
      </c>
      <c r="X2012" s="33"/>
      <c r="Y2012" s="33"/>
    </row>
    <row r="2013" spans="1:25" x14ac:dyDescent="0.2">
      <c r="A2013" s="93" t="s">
        <v>898</v>
      </c>
      <c r="B2013" s="94" t="str">
        <f>IFERROR(VLOOKUP($A2013,HeadJournal!$A$1:$NTR$890,COLUMN(HeadJournal!B$1),0),"")</f>
        <v>710000927997</v>
      </c>
      <c r="C2013" s="94" t="str">
        <f>IFERROR(VLOOKUP($A2013,HeadJournal!$A$1:$NTR$890,COLUMN(HeadJournal!C$1),0),"")</f>
        <v>iHerb_AV CYG0792</v>
      </c>
      <c r="D2013" s="125" t="str">
        <f>IFERROR(VLOOKUP($A2013,HeadJournal!$A$1:$NTR$890,COLUMN(HeadJournal!D$1),0),"")</f>
        <v>Доставлен</v>
      </c>
      <c r="E2013" s="95">
        <f>IFERROR(VLOOKUP($A2013,HeadJournal!$A$1:$NTR$890,COLUMN(HeadJournal!G$1),0),"")</f>
        <v>45152</v>
      </c>
      <c r="F2013" s="95" t="str">
        <f t="shared" si="159"/>
        <v>2023 08</v>
      </c>
      <c r="G2013" s="96" t="s">
        <v>5</v>
      </c>
      <c r="H2013" s="161" t="s">
        <v>2851</v>
      </c>
      <c r="I2013" s="97" t="s">
        <v>2102</v>
      </c>
      <c r="J2013" s="97" t="s">
        <v>4165</v>
      </c>
      <c r="K2013" s="29">
        <v>5.2</v>
      </c>
      <c r="L2013" s="29">
        <v>-0.52</v>
      </c>
      <c r="M2013" s="30">
        <f>IFERROR(VLOOKUP($A2013,HeadJournal!$A$1:$J$890,COLUMN(HeadJournal!I$1),0)*($K2013+$L2013)/(SUMIF($A:$A,$A2013,$K:$K)+SUMIF($A:$A,$A2013,$L:$L)),0)</f>
        <v>-0.5329323988243273</v>
      </c>
      <c r="N2013" s="30">
        <f>IFERROR((VLOOKUP($A2013,HeadJournal!$A$1:$K$890,COLUMN(HeadJournal!K$1),0)-VLOOKUP($A2013,HeadJournal!$A$1:$K$890,COLUMN(HeadJournal!J$1),0))*($K2013+$L2013)/(SUMIF($A:$A,$A2013,$K:$K)+SUMIF($A:$A,$A2013,$L:$L)),0)</f>
        <v>-1.0024387680630848E-15</v>
      </c>
      <c r="O2013" s="30">
        <f>IFERROR((VLOOKUP($A2013,HeadJournal!$A$1:$L$890,COLUMN(HeadJournal!L$1),0)*($K2013+$L2013)/(SUMIF($A:$A,$A2013,$K:$K)+SUMIF($A:$A,$A2013,$L:$L)))/VLOOKUP($A2013,HeadJournal!$A$1:$L$890,COLUMN(HeadJournal!H$1),0),0)</f>
        <v>0.29618840524137385</v>
      </c>
      <c r="P2013" s="30">
        <f>IFERROR(SUM(K2013:O2013)*VLOOKUP($A2013,HeadJournal!$A$1:$L$890,COLUMN(HeadJournal!H$1),0),0)</f>
        <v>492.0930590097218</v>
      </c>
      <c r="Q2013" s="29">
        <v>900</v>
      </c>
      <c r="R2013" s="31">
        <v>45216</v>
      </c>
      <c r="S2013" s="31" t="s">
        <v>3121</v>
      </c>
      <c r="T2013" s="95" t="str">
        <f t="shared" si="160"/>
        <v>2023 10</v>
      </c>
      <c r="U2013" s="32">
        <f t="shared" si="157"/>
        <v>407.9069409902782</v>
      </c>
      <c r="V2013" s="22">
        <f t="shared" si="158"/>
        <v>0.82892236239044292</v>
      </c>
      <c r="X2013" s="33"/>
      <c r="Y2013" s="33"/>
    </row>
    <row r="2014" spans="1:25" x14ac:dyDescent="0.2">
      <c r="A2014" s="93" t="s">
        <v>898</v>
      </c>
      <c r="B2014" s="94" t="str">
        <f>IFERROR(VLOOKUP($A2014,HeadJournal!$A$1:$NTR$890,COLUMN(HeadJournal!B$1),0),"")</f>
        <v>710000927997</v>
      </c>
      <c r="C2014" s="94" t="str">
        <f>IFERROR(VLOOKUP($A2014,HeadJournal!$A$1:$NTR$890,COLUMN(HeadJournal!C$1),0),"")</f>
        <v>iHerb_AV CYG0792</v>
      </c>
      <c r="D2014" s="125" t="str">
        <f>IFERROR(VLOOKUP($A2014,HeadJournal!$A$1:$NTR$890,COLUMN(HeadJournal!D$1),0),"")</f>
        <v>Доставлен</v>
      </c>
      <c r="E2014" s="95">
        <f>IFERROR(VLOOKUP($A2014,HeadJournal!$A$1:$NTR$890,COLUMN(HeadJournal!G$1),0),"")</f>
        <v>45152</v>
      </c>
      <c r="F2014" s="95" t="str">
        <f t="shared" si="159"/>
        <v>2023 08</v>
      </c>
      <c r="G2014" s="96" t="s">
        <v>5</v>
      </c>
      <c r="H2014" s="161" t="s">
        <v>2851</v>
      </c>
      <c r="I2014" s="97" t="s">
        <v>2102</v>
      </c>
      <c r="J2014" s="97" t="s">
        <v>4165</v>
      </c>
      <c r="K2014" s="29">
        <v>5.2</v>
      </c>
      <c r="L2014" s="29">
        <v>-0.52</v>
      </c>
      <c r="M2014" s="30">
        <f>IFERROR(VLOOKUP($A2014,HeadJournal!$A$1:$J$890,COLUMN(HeadJournal!I$1),0)*($K2014+$L2014)/(SUMIF($A:$A,$A2014,$K:$K)+SUMIF($A:$A,$A2014,$L:$L)),0)</f>
        <v>-0.5329323988243273</v>
      </c>
      <c r="N2014" s="30">
        <f>IFERROR((VLOOKUP($A2014,HeadJournal!$A$1:$K$890,COLUMN(HeadJournal!K$1),0)-VLOOKUP($A2014,HeadJournal!$A$1:$K$890,COLUMN(HeadJournal!J$1),0))*($K2014+$L2014)/(SUMIF($A:$A,$A2014,$K:$K)+SUMIF($A:$A,$A2014,$L:$L)),0)</f>
        <v>-1.0024387680630848E-15</v>
      </c>
      <c r="O2014" s="30">
        <f>IFERROR((VLOOKUP($A2014,HeadJournal!$A$1:$L$890,COLUMN(HeadJournal!L$1),0)*($K2014+$L2014)/(SUMIF($A:$A,$A2014,$K:$K)+SUMIF($A:$A,$A2014,$L:$L)))/VLOOKUP($A2014,HeadJournal!$A$1:$L$890,COLUMN(HeadJournal!H$1),0),0)</f>
        <v>0.29618840524137385</v>
      </c>
      <c r="P2014" s="30">
        <f>IFERROR(SUM(K2014:O2014)*VLOOKUP($A2014,HeadJournal!$A$1:$L$890,COLUMN(HeadJournal!H$1),0),0)</f>
        <v>492.0930590097218</v>
      </c>
      <c r="Q2014" s="29">
        <v>750</v>
      </c>
      <c r="R2014" s="31">
        <v>45333</v>
      </c>
      <c r="S2014" s="31" t="s">
        <v>3121</v>
      </c>
      <c r="T2014" s="95" t="str">
        <f t="shared" si="160"/>
        <v>2024 02</v>
      </c>
      <c r="U2014" s="32">
        <f t="shared" si="157"/>
        <v>257.9069409902782</v>
      </c>
      <c r="V2014" s="22">
        <f t="shared" si="158"/>
        <v>0.5241019686587024</v>
      </c>
      <c r="X2014" s="33"/>
      <c r="Y2014" s="33"/>
    </row>
    <row r="2015" spans="1:25" x14ac:dyDescent="0.2">
      <c r="A2015" s="93" t="s">
        <v>898</v>
      </c>
      <c r="B2015" s="94" t="str">
        <f>IFERROR(VLOOKUP($A2015,HeadJournal!$A$1:$NTR$890,COLUMN(HeadJournal!B$1),0),"")</f>
        <v>710000927997</v>
      </c>
      <c r="C2015" s="94" t="str">
        <f>IFERROR(VLOOKUP($A2015,HeadJournal!$A$1:$NTR$890,COLUMN(HeadJournal!C$1),0),"")</f>
        <v>iHerb_AV CYG0792</v>
      </c>
      <c r="D2015" s="125" t="str">
        <f>IFERROR(VLOOKUP($A2015,HeadJournal!$A$1:$NTR$890,COLUMN(HeadJournal!D$1),0),"")</f>
        <v>Доставлен</v>
      </c>
      <c r="E2015" s="95">
        <f>IFERROR(VLOOKUP($A2015,HeadJournal!$A$1:$NTR$890,COLUMN(HeadJournal!G$1),0),"")</f>
        <v>45152</v>
      </c>
      <c r="F2015" s="95" t="str">
        <f t="shared" si="159"/>
        <v>2023 08</v>
      </c>
      <c r="G2015" s="96" t="s">
        <v>5</v>
      </c>
      <c r="H2015" s="160" t="str">
        <f>RIGHT(Journal!$J2015,9)</f>
        <v>DRB-00149</v>
      </c>
      <c r="I2015" s="96" t="str">
        <f t="shared" si="161"/>
        <v>Doctor's Best</v>
      </c>
      <c r="J2015" s="97" t="s">
        <v>823</v>
      </c>
      <c r="K2015" s="29">
        <v>17.329999999999998</v>
      </c>
      <c r="L2015" s="29">
        <v>-1.73</v>
      </c>
      <c r="M2015" s="30">
        <f>IFERROR(VLOOKUP($A2015,HeadJournal!$A$1:$J$890,COLUMN(HeadJournal!I$1),0)*($K2015+$L2015)/(SUMIF($A:$A,$A2015,$K:$K)+SUMIF($A:$A,$A2015,$L:$L)),0)</f>
        <v>-1.7764413294144239</v>
      </c>
      <c r="N2015" s="30">
        <f>IFERROR((VLOOKUP($A2015,HeadJournal!$A$1:$K$890,COLUMN(HeadJournal!K$1),0)-VLOOKUP($A2015,HeadJournal!$A$1:$K$890,COLUMN(HeadJournal!J$1),0))*($K2015+$L2015)/(SUMIF($A:$A,$A2015,$K:$K)+SUMIF($A:$A,$A2015,$L:$L)),0)</f>
        <v>-3.3414625602102823E-15</v>
      </c>
      <c r="O2015" s="30">
        <f>IFERROR((VLOOKUP($A2015,HeadJournal!$A$1:$L$890,COLUMN(HeadJournal!L$1),0)*($K2015+$L2015)/(SUMIF($A:$A,$A2015,$K:$K)+SUMIF($A:$A,$A2015,$L:$L)))/VLOOKUP($A2015,HeadJournal!$A$1:$L$890,COLUMN(HeadJournal!H$1),0),0)</f>
        <v>0.98729468413791299</v>
      </c>
      <c r="P2015" s="30">
        <f>IFERROR(SUM(K2015:O2015)*VLOOKUP($A2015,HeadJournal!$A$1:$L$890,COLUMN(HeadJournal!H$1),0),0)</f>
        <v>1640.3101966990723</v>
      </c>
      <c r="Q2015" s="29">
        <v>2400</v>
      </c>
      <c r="R2015" s="31">
        <v>45211</v>
      </c>
      <c r="S2015" s="31" t="s">
        <v>3121</v>
      </c>
      <c r="T2015" s="95" t="str">
        <f t="shared" si="160"/>
        <v>2023 10</v>
      </c>
      <c r="U2015" s="32">
        <f t="shared" si="157"/>
        <v>759.68980330092768</v>
      </c>
      <c r="V2015" s="22">
        <f t="shared" si="158"/>
        <v>0.46313788991235461</v>
      </c>
      <c r="X2015" s="33"/>
      <c r="Y2015" s="33"/>
    </row>
    <row r="2016" spans="1:25" x14ac:dyDescent="0.2">
      <c r="A2016" s="93" t="s">
        <v>898</v>
      </c>
      <c r="B2016" s="94" t="str">
        <f>IFERROR(VLOOKUP($A2016,HeadJournal!$A$1:$NTR$890,COLUMN(HeadJournal!B$1),0),"")</f>
        <v>710000927997</v>
      </c>
      <c r="C2016" s="94" t="str">
        <f>IFERROR(VLOOKUP($A2016,HeadJournal!$A$1:$NTR$890,COLUMN(HeadJournal!C$1),0),"")</f>
        <v>iHerb_AV CYG0792</v>
      </c>
      <c r="D2016" s="125" t="str">
        <f>IFERROR(VLOOKUP($A2016,HeadJournal!$A$1:$NTR$890,COLUMN(HeadJournal!D$1),0),"")</f>
        <v>Доставлен</v>
      </c>
      <c r="E2016" s="95">
        <f>IFERROR(VLOOKUP($A2016,HeadJournal!$A$1:$NTR$890,COLUMN(HeadJournal!G$1),0),"")</f>
        <v>45152</v>
      </c>
      <c r="F2016" s="95" t="str">
        <f t="shared" si="159"/>
        <v>2023 08</v>
      </c>
      <c r="G2016" s="96" t="s">
        <v>5</v>
      </c>
      <c r="H2016" s="160" t="str">
        <f>RIGHT(Journal!$J2016,9)</f>
        <v>NOW-01448</v>
      </c>
      <c r="I2016" s="96" t="str">
        <f t="shared" si="161"/>
        <v>NOW Foods</v>
      </c>
      <c r="J2016" s="97" t="s">
        <v>880</v>
      </c>
      <c r="K2016" s="29">
        <v>10.89</v>
      </c>
      <c r="L2016" s="29">
        <v>-5.45</v>
      </c>
      <c r="M2016" s="30">
        <f>IFERROR(VLOOKUP($A2016,HeadJournal!$A$1:$J$890,COLUMN(HeadJournal!I$1),0)*($K2016+$L2016)/(SUMIF($A:$A,$A2016,$K:$K)+SUMIF($A:$A,$A2016,$L:$L)),0)</f>
        <v>-0.61947697641118393</v>
      </c>
      <c r="N2016" s="30">
        <f>IFERROR((VLOOKUP($A2016,HeadJournal!$A$1:$K$890,COLUMN(HeadJournal!K$1),0)-VLOOKUP($A2016,HeadJournal!$A$1:$K$890,COLUMN(HeadJournal!J$1),0))*($K2016+$L2016)/(SUMIF($A:$A,$A2016,$K:$K)+SUMIF($A:$A,$A2016,$L:$L)),0)</f>
        <v>-1.1652279697143552E-15</v>
      </c>
      <c r="O2016" s="30">
        <f>IFERROR((VLOOKUP($A2016,HeadJournal!$A$1:$L$890,COLUMN(HeadJournal!L$1),0)*($K2016+$L2016)/(SUMIF($A:$A,$A2016,$K:$K)+SUMIF($A:$A,$A2016,$L:$L)))/VLOOKUP($A2016,HeadJournal!$A$1:$L$890,COLUMN(HeadJournal!H$1),0),0)</f>
        <v>0.34428737703270812</v>
      </c>
      <c r="P2016" s="30">
        <f>IFERROR(SUM(K2016:O2016)*VLOOKUP($A2016,HeadJournal!$A$1:$L$890,COLUMN(HeadJournal!H$1),0),0)</f>
        <v>572.00560705403564</v>
      </c>
      <c r="Q2016" s="29">
        <v>1700</v>
      </c>
      <c r="R2016" s="31">
        <v>45533</v>
      </c>
      <c r="S2016" s="31" t="s">
        <v>3121</v>
      </c>
      <c r="T2016" s="95" t="str">
        <f t="shared" si="160"/>
        <v>2024 08</v>
      </c>
      <c r="U2016" s="32">
        <f t="shared" si="157"/>
        <v>1127.9943929459644</v>
      </c>
      <c r="V2016" s="22">
        <f t="shared" si="158"/>
        <v>1.9719988388844694</v>
      </c>
      <c r="X2016" s="33"/>
      <c r="Y2016" s="33"/>
    </row>
    <row r="2017" spans="1:25" x14ac:dyDescent="0.2">
      <c r="A2017" s="93" t="s">
        <v>898</v>
      </c>
      <c r="B2017" s="94" t="str">
        <f>IFERROR(VLOOKUP($A2017,HeadJournal!$A$1:$NTR$890,COLUMN(HeadJournal!B$1),0),"")</f>
        <v>710000927997</v>
      </c>
      <c r="C2017" s="94" t="str">
        <f>IFERROR(VLOOKUP($A2017,HeadJournal!$A$1:$NTR$890,COLUMN(HeadJournal!C$1),0),"")</f>
        <v>iHerb_AV CYG0792</v>
      </c>
      <c r="D2017" s="125" t="str">
        <f>IFERROR(VLOOKUP($A2017,HeadJournal!$A$1:$NTR$890,COLUMN(HeadJournal!D$1),0),"")</f>
        <v>Доставлен</v>
      </c>
      <c r="E2017" s="95">
        <f>IFERROR(VLOOKUP($A2017,HeadJournal!$A$1:$NTR$890,COLUMN(HeadJournal!G$1),0),"")</f>
        <v>45152</v>
      </c>
      <c r="F2017" s="95" t="str">
        <f t="shared" si="159"/>
        <v>2023 08</v>
      </c>
      <c r="G2017" s="96" t="s">
        <v>5</v>
      </c>
      <c r="H2017" s="175" t="s">
        <v>3641</v>
      </c>
      <c r="I2017" s="176" t="s">
        <v>2681</v>
      </c>
      <c r="J2017" s="97" t="s">
        <v>3687</v>
      </c>
      <c r="K2017" s="29">
        <v>11.5</v>
      </c>
      <c r="L2017" s="29">
        <v>-1.1500000000000001</v>
      </c>
      <c r="M2017" s="30">
        <f>IFERROR(VLOOKUP($A2017,HeadJournal!$A$1:$J$890,COLUMN(HeadJournal!I$1),0)*($K2017+$L2017)/(SUMIF($A:$A,$A2017,$K:$K)+SUMIF($A:$A,$A2017,$L:$L)),0)</f>
        <v>-1.1786004973999544</v>
      </c>
      <c r="N2017" s="30">
        <f>IFERROR((VLOOKUP($A2017,HeadJournal!$A$1:$K$890,COLUMN(HeadJournal!K$1),0)-VLOOKUP($A2017,HeadJournal!$A$1:$K$890,COLUMN(HeadJournal!J$1),0))*($K2017+$L2017)/(SUMIF($A:$A,$A2017,$K:$K)+SUMIF($A:$A,$A2017,$L:$L)),0)</f>
        <v>-2.2169318909087452E-15</v>
      </c>
      <c r="O2017" s="30">
        <f>IFERROR((VLOOKUP($A2017,HeadJournal!$A$1:$L$890,COLUMN(HeadJournal!L$1),0)*($K2017+$L2017)/(SUMIF($A:$A,$A2017,$K:$K)+SUMIF($A:$A,$A2017,$L:$L)))/VLOOKUP($A2017,HeadJournal!$A$1:$L$890,COLUMN(HeadJournal!H$1),0),0)</f>
        <v>0.65503205005303855</v>
      </c>
      <c r="P2017" s="30">
        <f>IFERROR(SUM(K2017:O2017)*VLOOKUP($A2017,HeadJournal!$A$1:$L$890,COLUMN(HeadJournal!H$1),0),0)</f>
        <v>1088.2827266561158</v>
      </c>
      <c r="Q2017" s="29">
        <v>1700</v>
      </c>
      <c r="R2017" s="31">
        <v>45208</v>
      </c>
      <c r="S2017" s="31" t="s">
        <v>3121</v>
      </c>
      <c r="T2017" s="95" t="str">
        <f t="shared" si="160"/>
        <v>2023 10</v>
      </c>
      <c r="U2017" s="32">
        <f t="shared" si="157"/>
        <v>611.71727334388424</v>
      </c>
      <c r="V2017" s="22">
        <f t="shared" si="158"/>
        <v>0.56209407570352765</v>
      </c>
      <c r="X2017" s="33"/>
      <c r="Y2017" s="33"/>
    </row>
    <row r="2018" spans="1:25" x14ac:dyDescent="0.2">
      <c r="A2018" s="93" t="s">
        <v>898</v>
      </c>
      <c r="B2018" s="94" t="str">
        <f>IFERROR(VLOOKUP($A2018,HeadJournal!$A$1:$NTR$890,COLUMN(HeadJournal!B$1),0),"")</f>
        <v>710000927997</v>
      </c>
      <c r="C2018" s="94" t="str">
        <f>IFERROR(VLOOKUP($A2018,HeadJournal!$A$1:$NTR$890,COLUMN(HeadJournal!C$1),0),"")</f>
        <v>iHerb_AV CYG0792</v>
      </c>
      <c r="D2018" s="125" t="str">
        <f>IFERROR(VLOOKUP($A2018,HeadJournal!$A$1:$NTR$890,COLUMN(HeadJournal!D$1),0),"")</f>
        <v>Доставлен</v>
      </c>
      <c r="E2018" s="95">
        <f>IFERROR(VLOOKUP($A2018,HeadJournal!$A$1:$NTR$890,COLUMN(HeadJournal!G$1),0),"")</f>
        <v>45152</v>
      </c>
      <c r="F2018" s="95" t="str">
        <f t="shared" si="159"/>
        <v>2023 08</v>
      </c>
      <c r="G2018" s="96" t="s">
        <v>5</v>
      </c>
      <c r="H2018" s="175" t="s">
        <v>3641</v>
      </c>
      <c r="I2018" s="176" t="s">
        <v>2681</v>
      </c>
      <c r="J2018" s="97" t="s">
        <v>3687</v>
      </c>
      <c r="K2018" s="29">
        <v>11.5</v>
      </c>
      <c r="L2018" s="29">
        <v>-1.1500000000000001</v>
      </c>
      <c r="M2018" s="30">
        <f>IFERROR(VLOOKUP($A2018,HeadJournal!$A$1:$J$890,COLUMN(HeadJournal!I$1),0)*($K2018+$L2018)/(SUMIF($A:$A,$A2018,$K:$K)+SUMIF($A:$A,$A2018,$L:$L)),0)</f>
        <v>-1.1786004973999544</v>
      </c>
      <c r="N2018" s="30">
        <f>IFERROR((VLOOKUP($A2018,HeadJournal!$A$1:$K$890,COLUMN(HeadJournal!K$1),0)-VLOOKUP($A2018,HeadJournal!$A$1:$K$890,COLUMN(HeadJournal!J$1),0))*($K2018+$L2018)/(SUMIF($A:$A,$A2018,$K:$K)+SUMIF($A:$A,$A2018,$L:$L)),0)</f>
        <v>-2.2169318909087452E-15</v>
      </c>
      <c r="O2018" s="30">
        <f>IFERROR((VLOOKUP($A2018,HeadJournal!$A$1:$L$890,COLUMN(HeadJournal!L$1),0)*($K2018+$L2018)/(SUMIF($A:$A,$A2018,$K:$K)+SUMIF($A:$A,$A2018,$L:$L)))/VLOOKUP($A2018,HeadJournal!$A$1:$L$890,COLUMN(HeadJournal!H$1),0),0)</f>
        <v>0.65503205005303855</v>
      </c>
      <c r="P2018" s="30">
        <f>IFERROR(SUM(K2018:O2018)*VLOOKUP($A2018,HeadJournal!$A$1:$L$890,COLUMN(HeadJournal!H$1),0),0)</f>
        <v>1088.2827266561158</v>
      </c>
      <c r="Q2018" s="29">
        <v>1600</v>
      </c>
      <c r="R2018" s="31">
        <v>45209</v>
      </c>
      <c r="S2018" s="31" t="s">
        <v>3121</v>
      </c>
      <c r="T2018" s="95" t="str">
        <f t="shared" si="160"/>
        <v>2023 10</v>
      </c>
      <c r="U2018" s="32">
        <f t="shared" si="157"/>
        <v>511.71727334388424</v>
      </c>
      <c r="V2018" s="22">
        <f t="shared" si="158"/>
        <v>0.47020618889743782</v>
      </c>
      <c r="X2018" s="33"/>
      <c r="Y2018" s="33"/>
    </row>
    <row r="2019" spans="1:25" x14ac:dyDescent="0.2">
      <c r="A2019" s="93" t="s">
        <v>898</v>
      </c>
      <c r="B2019" s="94" t="str">
        <f>IFERROR(VLOOKUP($A2019,HeadJournal!$A$1:$NTR$890,COLUMN(HeadJournal!B$1),0),"")</f>
        <v>710000927997</v>
      </c>
      <c r="C2019" s="94" t="str">
        <f>IFERROR(VLOOKUP($A2019,HeadJournal!$A$1:$NTR$890,COLUMN(HeadJournal!C$1),0),"")</f>
        <v>iHerb_AV CYG0792</v>
      </c>
      <c r="D2019" s="125" t="str">
        <f>IFERROR(VLOOKUP($A2019,HeadJournal!$A$1:$NTR$890,COLUMN(HeadJournal!D$1),0),"")</f>
        <v>Доставлен</v>
      </c>
      <c r="E2019" s="95">
        <f>IFERROR(VLOOKUP($A2019,HeadJournal!$A$1:$NTR$890,COLUMN(HeadJournal!G$1),0),"")</f>
        <v>45152</v>
      </c>
      <c r="F2019" s="95" t="str">
        <f t="shared" si="159"/>
        <v>2023 08</v>
      </c>
      <c r="G2019" s="96" t="s">
        <v>5</v>
      </c>
      <c r="H2019" s="175" t="s">
        <v>3641</v>
      </c>
      <c r="I2019" s="176" t="s">
        <v>2681</v>
      </c>
      <c r="J2019" s="97" t="s">
        <v>3687</v>
      </c>
      <c r="K2019" s="29">
        <v>11.5</v>
      </c>
      <c r="L2019" s="29">
        <v>-1.1500000000000001</v>
      </c>
      <c r="M2019" s="30">
        <f>IFERROR(VLOOKUP($A2019,HeadJournal!$A$1:$J$890,COLUMN(HeadJournal!I$1),0)*($K2019+$L2019)/(SUMIF($A:$A,$A2019,$K:$K)+SUMIF($A:$A,$A2019,$L:$L)),0)</f>
        <v>-1.1786004973999544</v>
      </c>
      <c r="N2019" s="30">
        <f>IFERROR((VLOOKUP($A2019,HeadJournal!$A$1:$K$890,COLUMN(HeadJournal!K$1),0)-VLOOKUP($A2019,HeadJournal!$A$1:$K$890,COLUMN(HeadJournal!J$1),0))*($K2019+$L2019)/(SUMIF($A:$A,$A2019,$K:$K)+SUMIF($A:$A,$A2019,$L:$L)),0)</f>
        <v>-2.2169318909087452E-15</v>
      </c>
      <c r="O2019" s="30">
        <f>IFERROR((VLOOKUP($A2019,HeadJournal!$A$1:$L$890,COLUMN(HeadJournal!L$1),0)*($K2019+$L2019)/(SUMIF($A:$A,$A2019,$K:$K)+SUMIF($A:$A,$A2019,$L:$L)))/VLOOKUP($A2019,HeadJournal!$A$1:$L$890,COLUMN(HeadJournal!H$1),0),0)</f>
        <v>0.65503205005303855</v>
      </c>
      <c r="P2019" s="30">
        <f>IFERROR(SUM(K2019:O2019)*VLOOKUP($A2019,HeadJournal!$A$1:$L$890,COLUMN(HeadJournal!H$1),0),0)</f>
        <v>1088.2827266561158</v>
      </c>
      <c r="Q2019" s="29">
        <v>1600</v>
      </c>
      <c r="R2019" s="31">
        <v>45209</v>
      </c>
      <c r="S2019" s="31" t="s">
        <v>3121</v>
      </c>
      <c r="T2019" s="95" t="str">
        <f t="shared" si="160"/>
        <v>2023 10</v>
      </c>
      <c r="U2019" s="32">
        <f t="shared" si="157"/>
        <v>511.71727334388424</v>
      </c>
      <c r="V2019" s="22">
        <f t="shared" si="158"/>
        <v>0.47020618889743782</v>
      </c>
      <c r="X2019" s="33"/>
      <c r="Y2019" s="33"/>
    </row>
    <row r="2020" spans="1:25" x14ac:dyDescent="0.2">
      <c r="A2020" s="93" t="s">
        <v>898</v>
      </c>
      <c r="B2020" s="94" t="str">
        <f>IFERROR(VLOOKUP($A2020,HeadJournal!$A$1:$NTR$890,COLUMN(HeadJournal!B$1),0),"")</f>
        <v>710000927997</v>
      </c>
      <c r="C2020" s="94" t="str">
        <f>IFERROR(VLOOKUP($A2020,HeadJournal!$A$1:$NTR$890,COLUMN(HeadJournal!C$1),0),"")</f>
        <v>iHerb_AV CYG0792</v>
      </c>
      <c r="D2020" s="125" t="str">
        <f>IFERROR(VLOOKUP($A2020,HeadJournal!$A$1:$NTR$890,COLUMN(HeadJournal!D$1),0),"")</f>
        <v>Доставлен</v>
      </c>
      <c r="E2020" s="95">
        <f>IFERROR(VLOOKUP($A2020,HeadJournal!$A$1:$NTR$890,COLUMN(HeadJournal!G$1),0),"")</f>
        <v>45152</v>
      </c>
      <c r="F2020" s="95" t="str">
        <f t="shared" si="159"/>
        <v>2023 08</v>
      </c>
      <c r="G2020" s="96" t="s">
        <v>5</v>
      </c>
      <c r="H2020" s="161" t="s">
        <v>2127</v>
      </c>
      <c r="I2020" s="97" t="s">
        <v>2125</v>
      </c>
      <c r="J2020" s="97" t="s">
        <v>2128</v>
      </c>
      <c r="K2020" s="29">
        <v>9.25</v>
      </c>
      <c r="L2020" s="29">
        <v>-1.85</v>
      </c>
      <c r="M2020" s="30">
        <f>IFERROR(VLOOKUP($A2020,HeadJournal!$A$1:$J$890,COLUMN(HeadJournal!I$1),0)*($K2020+$L2020)/(SUMIF($A:$A,$A2020,$K:$K)+SUMIF($A:$A,$A2020,$L:$L)),0)</f>
        <v>-0.84267088702991921</v>
      </c>
      <c r="N2020" s="30">
        <f>IFERROR((VLOOKUP($A2020,HeadJournal!$A$1:$K$890,COLUMN(HeadJournal!K$1),0)-VLOOKUP($A2020,HeadJournal!$A$1:$K$890,COLUMN(HeadJournal!J$1),0))*($K2020+$L2020)/(SUMIF($A:$A,$A2020,$K:$K)+SUMIF($A:$A,$A2020,$L:$L)),0)</f>
        <v>-1.5850527529202624E-15</v>
      </c>
      <c r="O2020" s="30">
        <f>IFERROR((VLOOKUP($A2020,HeadJournal!$A$1:$L$890,COLUMN(HeadJournal!L$1),0)*($K2020+$L2020)/(SUMIF($A:$A,$A2020,$K:$K)+SUMIF($A:$A,$A2020,$L:$L)))/VLOOKUP($A2020,HeadJournal!$A$1:$L$890,COLUMN(HeadJournal!H$1),0),0)</f>
        <v>0.468332093757728</v>
      </c>
      <c r="P2020" s="30">
        <f>IFERROR(SUM(K2020:O2020)*VLOOKUP($A2020,HeadJournal!$A$1:$L$890,COLUMN(HeadJournal!H$1),0),0)</f>
        <v>778.09586253673967</v>
      </c>
      <c r="Q2020" s="29">
        <v>1400</v>
      </c>
      <c r="R2020" s="31">
        <v>45194</v>
      </c>
      <c r="S2020" s="31" t="s">
        <v>3121</v>
      </c>
      <c r="T2020" s="95" t="str">
        <f t="shared" si="160"/>
        <v>2023 09</v>
      </c>
      <c r="U2020" s="32">
        <f t="shared" si="157"/>
        <v>621.90413746326033</v>
      </c>
      <c r="V2020" s="22">
        <f t="shared" si="158"/>
        <v>0.79926416191924632</v>
      </c>
      <c r="X2020" s="33"/>
      <c r="Y2020" s="33"/>
    </row>
    <row r="2021" spans="1:25" x14ac:dyDescent="0.2">
      <c r="A2021" s="93" t="s">
        <v>898</v>
      </c>
      <c r="B2021" s="94" t="str">
        <f>IFERROR(VLOOKUP($A2021,HeadJournal!$A$1:$NTR$890,COLUMN(HeadJournal!B$1),0),"")</f>
        <v>710000927997</v>
      </c>
      <c r="C2021" s="94" t="str">
        <f>IFERROR(VLOOKUP($A2021,HeadJournal!$A$1:$NTR$890,COLUMN(HeadJournal!C$1),0),"")</f>
        <v>iHerb_AV CYG0792</v>
      </c>
      <c r="D2021" s="125" t="str">
        <f>IFERROR(VLOOKUP($A2021,HeadJournal!$A$1:$NTR$890,COLUMN(HeadJournal!D$1),0),"")</f>
        <v>Доставлен</v>
      </c>
      <c r="E2021" s="95">
        <f>IFERROR(VLOOKUP($A2021,HeadJournal!$A$1:$NTR$890,COLUMN(HeadJournal!G$1),0),"")</f>
        <v>45152</v>
      </c>
      <c r="F2021" s="95" t="str">
        <f t="shared" si="159"/>
        <v>2023 08</v>
      </c>
      <c r="G2021" s="96" t="s">
        <v>5</v>
      </c>
      <c r="H2021" s="161" t="s">
        <v>2127</v>
      </c>
      <c r="I2021" s="97" t="s">
        <v>2125</v>
      </c>
      <c r="J2021" s="97" t="s">
        <v>2128</v>
      </c>
      <c r="K2021" s="29">
        <v>9.25</v>
      </c>
      <c r="L2021" s="29">
        <v>-1.85</v>
      </c>
      <c r="M2021" s="30">
        <f>IFERROR(VLOOKUP($A2021,HeadJournal!$A$1:$J$890,COLUMN(HeadJournal!I$1),0)*($K2021+$L2021)/(SUMIF($A:$A,$A2021,$K:$K)+SUMIF($A:$A,$A2021,$L:$L)),0)</f>
        <v>-0.84267088702991921</v>
      </c>
      <c r="N2021" s="30">
        <f>IFERROR((VLOOKUP($A2021,HeadJournal!$A$1:$K$890,COLUMN(HeadJournal!K$1),0)-VLOOKUP($A2021,HeadJournal!$A$1:$K$890,COLUMN(HeadJournal!J$1),0))*($K2021+$L2021)/(SUMIF($A:$A,$A2021,$K:$K)+SUMIF($A:$A,$A2021,$L:$L)),0)</f>
        <v>-1.5850527529202624E-15</v>
      </c>
      <c r="O2021" s="30">
        <f>IFERROR((VLOOKUP($A2021,HeadJournal!$A$1:$L$890,COLUMN(HeadJournal!L$1),0)*($K2021+$L2021)/(SUMIF($A:$A,$A2021,$K:$K)+SUMIF($A:$A,$A2021,$L:$L)))/VLOOKUP($A2021,HeadJournal!$A$1:$L$890,COLUMN(HeadJournal!H$1),0),0)</f>
        <v>0.468332093757728</v>
      </c>
      <c r="P2021" s="30">
        <f>IFERROR(SUM(K2021:O2021)*VLOOKUP($A2021,HeadJournal!$A$1:$L$890,COLUMN(HeadJournal!H$1),0),0)</f>
        <v>778.09586253673967</v>
      </c>
      <c r="Q2021" s="29">
        <v>1400</v>
      </c>
      <c r="R2021" s="31">
        <v>45224</v>
      </c>
      <c r="S2021" s="31" t="s">
        <v>3121</v>
      </c>
      <c r="T2021" s="95" t="str">
        <f t="shared" si="160"/>
        <v>2023 10</v>
      </c>
      <c r="U2021" s="32">
        <f t="shared" si="157"/>
        <v>621.90413746326033</v>
      </c>
      <c r="V2021" s="22">
        <f t="shared" si="158"/>
        <v>0.79926416191924632</v>
      </c>
      <c r="X2021" s="33"/>
      <c r="Y2021" s="33"/>
    </row>
    <row r="2022" spans="1:25" x14ac:dyDescent="0.2">
      <c r="A2022" s="93" t="s">
        <v>898</v>
      </c>
      <c r="B2022" s="94" t="str">
        <f>IFERROR(VLOOKUP($A2022,HeadJournal!$A$1:$NTR$890,COLUMN(HeadJournal!B$1),0),"")</f>
        <v>710000927997</v>
      </c>
      <c r="C2022" s="94" t="str">
        <f>IFERROR(VLOOKUP($A2022,HeadJournal!$A$1:$NTR$890,COLUMN(HeadJournal!C$1),0),"")</f>
        <v>iHerb_AV CYG0792</v>
      </c>
      <c r="D2022" s="125" t="str">
        <f>IFERROR(VLOOKUP($A2022,HeadJournal!$A$1:$NTR$890,COLUMN(HeadJournal!D$1),0),"")</f>
        <v>Доставлен</v>
      </c>
      <c r="E2022" s="95">
        <f>IFERROR(VLOOKUP($A2022,HeadJournal!$A$1:$NTR$890,COLUMN(HeadJournal!G$1),0),"")</f>
        <v>45152</v>
      </c>
      <c r="F2022" s="95" t="str">
        <f t="shared" si="159"/>
        <v>2023 08</v>
      </c>
      <c r="G2022" s="96" t="s">
        <v>5</v>
      </c>
      <c r="H2022" s="160" t="str">
        <f>RIGHT(Journal!$J2022,9)</f>
        <v>EVL-02739</v>
      </c>
      <c r="I2022" s="96" t="str">
        <f t="shared" si="161"/>
        <v>EVLution Nutrition</v>
      </c>
      <c r="J2022" s="97" t="s">
        <v>782</v>
      </c>
      <c r="K2022" s="29">
        <v>13.04</v>
      </c>
      <c r="L2022" s="29">
        <v>-2.61</v>
      </c>
      <c r="M2022" s="30">
        <f>IFERROR(VLOOKUP($A2022,HeadJournal!$A$1:$J$890,COLUMN(HeadJournal!I$1),0)*($K2022+$L2022)/(SUMIF($A:$A,$A2022,$K:$K)+SUMIF($A:$A,$A2022,$L:$L)),0)</f>
        <v>-1.187710452935413</v>
      </c>
      <c r="N2022" s="30">
        <f>IFERROR((VLOOKUP($A2022,HeadJournal!$A$1:$K$890,COLUMN(HeadJournal!K$1),0)-VLOOKUP($A2022,HeadJournal!$A$1:$K$890,COLUMN(HeadJournal!J$1),0))*($K2022+$L2022)/(SUMIF($A:$A,$A2022,$K:$K)+SUMIF($A:$A,$A2022,$L:$L)),0)</f>
        <v>-2.234067596345721E-15</v>
      </c>
      <c r="O2022" s="30">
        <f>IFERROR((VLOOKUP($A2022,HeadJournal!$A$1:$L$890,COLUMN(HeadJournal!L$1),0)*($K2022+$L2022)/(SUMIF($A:$A,$A2022,$K:$K)+SUMIF($A:$A,$A2022,$L:$L)))/VLOOKUP($A2022,HeadJournal!$A$1:$L$890,COLUMN(HeadJournal!H$1),0),0)</f>
        <v>0.66009509971528413</v>
      </c>
      <c r="P2022" s="30">
        <f>IFERROR(SUM(K2022:O2022)*VLOOKUP($A2022,HeadJournal!$A$1:$L$890,COLUMN(HeadJournal!H$1),0),0)</f>
        <v>1096.6945738186748</v>
      </c>
      <c r="Q2022" s="29">
        <v>1800</v>
      </c>
      <c r="R2022" s="31">
        <v>45182</v>
      </c>
      <c r="S2022" s="31" t="s">
        <v>3121</v>
      </c>
      <c r="T2022" s="95" t="str">
        <f t="shared" si="160"/>
        <v>2023 09</v>
      </c>
      <c r="U2022" s="32">
        <f t="shared" si="157"/>
        <v>703.30542618132517</v>
      </c>
      <c r="V2022" s="22">
        <f t="shared" si="158"/>
        <v>0.64129561955652403</v>
      </c>
      <c r="X2022" s="33"/>
      <c r="Y2022" s="33"/>
    </row>
    <row r="2023" spans="1:25" x14ac:dyDescent="0.2">
      <c r="A2023" s="93" t="s">
        <v>898</v>
      </c>
      <c r="B2023" s="94" t="str">
        <f>IFERROR(VLOOKUP($A2023,HeadJournal!$A$1:$NTR$890,COLUMN(HeadJournal!B$1),0),"")</f>
        <v>710000927997</v>
      </c>
      <c r="C2023" s="94" t="str">
        <f>IFERROR(VLOOKUP($A2023,HeadJournal!$A$1:$NTR$890,COLUMN(HeadJournal!C$1),0),"")</f>
        <v>iHerb_AV CYG0792</v>
      </c>
      <c r="D2023" s="125" t="str">
        <f>IFERROR(VLOOKUP($A2023,HeadJournal!$A$1:$NTR$890,COLUMN(HeadJournal!D$1),0),"")</f>
        <v>Доставлен</v>
      </c>
      <c r="E2023" s="95">
        <f>IFERROR(VLOOKUP($A2023,HeadJournal!$A$1:$NTR$890,COLUMN(HeadJournal!G$1),0),"")</f>
        <v>45152</v>
      </c>
      <c r="F2023" s="95" t="str">
        <f t="shared" si="159"/>
        <v>2023 08</v>
      </c>
      <c r="G2023" s="96" t="s">
        <v>5</v>
      </c>
      <c r="H2023" s="161" t="s">
        <v>2771</v>
      </c>
      <c r="I2023" s="97" t="s">
        <v>2052</v>
      </c>
      <c r="J2023" s="97" t="s">
        <v>3858</v>
      </c>
      <c r="K2023" s="29">
        <v>7.84</v>
      </c>
      <c r="L2023" s="29">
        <v>-4.4533333333333331</v>
      </c>
      <c r="M2023" s="30">
        <f>IFERROR(VLOOKUP($A2023,HeadJournal!$A$1:$J$890,COLUMN(HeadJournal!I$1),0)*($K2023+$L2023)/(SUMIF($A:$A,$A2023,$K:$K)+SUMIF($A:$A,$A2023,$L:$L)),0)</f>
        <v>-0.38565478433441347</v>
      </c>
      <c r="N2023" s="30">
        <f>IFERROR((VLOOKUP($A2023,HeadJournal!$A$1:$K$890,COLUMN(HeadJournal!K$1),0)-VLOOKUP($A2023,HeadJournal!$A$1:$K$890,COLUMN(HeadJournal!J$1),0))*($K2023+$L2023)/(SUMIF($A:$A,$A2023,$K:$K)+SUMIF($A:$A,$A2023,$L:$L)),0)</f>
        <v>-7.2541153016530926E-16</v>
      </c>
      <c r="O2023" s="30">
        <f>IFERROR((VLOOKUP($A2023,HeadJournal!$A$1:$L$890,COLUMN(HeadJournal!L$1),0)*($K2023+$L2023)/(SUMIF($A:$A,$A2023,$K:$K)+SUMIF($A:$A,$A2023,$L:$L)))/VLOOKUP($A2023,HeadJournal!$A$1:$L$890,COLUMN(HeadJournal!H$1),0),0)</f>
        <v>0.21433576903506829</v>
      </c>
      <c r="P2023" s="30">
        <f>IFERROR(SUM(K2023:O2023)*VLOOKUP($A2023,HeadJournal!$A$1:$L$890,COLUMN(HeadJournal!H$1),0),0)</f>
        <v>356.10152988167897</v>
      </c>
      <c r="Q2023" s="29">
        <v>900</v>
      </c>
      <c r="R2023" s="31">
        <v>45612</v>
      </c>
      <c r="S2023" s="31" t="s">
        <v>3121</v>
      </c>
      <c r="T2023" s="95" t="str">
        <f t="shared" si="160"/>
        <v>2024 11</v>
      </c>
      <c r="U2023" s="32">
        <f t="shared" si="157"/>
        <v>543.89847011832103</v>
      </c>
      <c r="V2023" s="22">
        <f t="shared" si="158"/>
        <v>1.527369091334825</v>
      </c>
      <c r="X2023" s="33"/>
      <c r="Y2023" s="33"/>
    </row>
    <row r="2024" spans="1:25" x14ac:dyDescent="0.2">
      <c r="A2024" s="93" t="s">
        <v>898</v>
      </c>
      <c r="B2024" s="94" t="str">
        <f>IFERROR(VLOOKUP($A2024,HeadJournal!$A$1:$NTR$890,COLUMN(HeadJournal!B$1),0),"")</f>
        <v>710000927997</v>
      </c>
      <c r="C2024" s="94" t="str">
        <f>IFERROR(VLOOKUP($A2024,HeadJournal!$A$1:$NTR$890,COLUMN(HeadJournal!C$1),0),"")</f>
        <v>iHerb_AV CYG0792</v>
      </c>
      <c r="D2024" s="125" t="str">
        <f>IFERROR(VLOOKUP($A2024,HeadJournal!$A$1:$NTR$890,COLUMN(HeadJournal!D$1),0),"")</f>
        <v>Доставлен</v>
      </c>
      <c r="E2024" s="95">
        <f>IFERROR(VLOOKUP($A2024,HeadJournal!$A$1:$NTR$890,COLUMN(HeadJournal!G$1),0),"")</f>
        <v>45152</v>
      </c>
      <c r="F2024" s="95" t="str">
        <f t="shared" si="159"/>
        <v>2023 08</v>
      </c>
      <c r="G2024" s="96" t="s">
        <v>5</v>
      </c>
      <c r="H2024" s="161" t="s">
        <v>2771</v>
      </c>
      <c r="I2024" s="97" t="s">
        <v>2052</v>
      </c>
      <c r="J2024" s="97" t="s">
        <v>3858</v>
      </c>
      <c r="K2024" s="29">
        <v>7.84</v>
      </c>
      <c r="L2024" s="29">
        <v>-4.4533333333333331</v>
      </c>
      <c r="M2024" s="30">
        <f>IFERROR(VLOOKUP($A2024,HeadJournal!$A$1:$J$890,COLUMN(HeadJournal!I$1),0)*($K2024+$L2024)/(SUMIF($A:$A,$A2024,$K:$K)+SUMIF($A:$A,$A2024,$L:$L)),0)</f>
        <v>-0.38565478433441347</v>
      </c>
      <c r="N2024" s="30">
        <f>IFERROR((VLOOKUP($A2024,HeadJournal!$A$1:$K$890,COLUMN(HeadJournal!K$1),0)-VLOOKUP($A2024,HeadJournal!$A$1:$K$890,COLUMN(HeadJournal!J$1),0))*($K2024+$L2024)/(SUMIF($A:$A,$A2024,$K:$K)+SUMIF($A:$A,$A2024,$L:$L)),0)</f>
        <v>-7.2541153016530926E-16</v>
      </c>
      <c r="O2024" s="30">
        <f>IFERROR((VLOOKUP($A2024,HeadJournal!$A$1:$L$890,COLUMN(HeadJournal!L$1),0)*($K2024+$L2024)/(SUMIF($A:$A,$A2024,$K:$K)+SUMIF($A:$A,$A2024,$L:$L)))/VLOOKUP($A2024,HeadJournal!$A$1:$L$890,COLUMN(HeadJournal!H$1),0),0)</f>
        <v>0.21433576903506829</v>
      </c>
      <c r="P2024" s="30">
        <f>IFERROR(SUM(K2024:O2024)*VLOOKUP($A2024,HeadJournal!$A$1:$L$890,COLUMN(HeadJournal!H$1),0),0)</f>
        <v>356.10152988167897</v>
      </c>
      <c r="Q2024" s="29">
        <v>900</v>
      </c>
      <c r="R2024" s="31">
        <v>45612</v>
      </c>
      <c r="S2024" s="31" t="s">
        <v>3121</v>
      </c>
      <c r="T2024" s="95" t="str">
        <f t="shared" si="160"/>
        <v>2024 11</v>
      </c>
      <c r="U2024" s="32">
        <f t="shared" si="157"/>
        <v>543.89847011832103</v>
      </c>
      <c r="V2024" s="22">
        <f t="shared" si="158"/>
        <v>1.527369091334825</v>
      </c>
      <c r="X2024" s="33"/>
      <c r="Y2024" s="33"/>
    </row>
    <row r="2025" spans="1:25" x14ac:dyDescent="0.2">
      <c r="A2025" s="93" t="s">
        <v>898</v>
      </c>
      <c r="B2025" s="94" t="str">
        <f>IFERROR(VLOOKUP($A2025,HeadJournal!$A$1:$NTR$890,COLUMN(HeadJournal!B$1),0),"")</f>
        <v>710000927997</v>
      </c>
      <c r="C2025" s="94" t="str">
        <f>IFERROR(VLOOKUP($A2025,HeadJournal!$A$1:$NTR$890,COLUMN(HeadJournal!C$1),0),"")</f>
        <v>iHerb_AV CYG0792</v>
      </c>
      <c r="D2025" s="125" t="str">
        <f>IFERROR(VLOOKUP($A2025,HeadJournal!$A$1:$NTR$890,COLUMN(HeadJournal!D$1),0),"")</f>
        <v>Доставлен</v>
      </c>
      <c r="E2025" s="95">
        <f>IFERROR(VLOOKUP($A2025,HeadJournal!$A$1:$NTR$890,COLUMN(HeadJournal!G$1),0),"")</f>
        <v>45152</v>
      </c>
      <c r="F2025" s="95" t="str">
        <f t="shared" si="159"/>
        <v>2023 08</v>
      </c>
      <c r="G2025" s="96" t="s">
        <v>5</v>
      </c>
      <c r="H2025" s="161" t="s">
        <v>2771</v>
      </c>
      <c r="I2025" s="97" t="s">
        <v>2052</v>
      </c>
      <c r="J2025" s="97" t="s">
        <v>3858</v>
      </c>
      <c r="K2025" s="29">
        <v>7.84</v>
      </c>
      <c r="L2025" s="29">
        <v>-4.4533333333333331</v>
      </c>
      <c r="M2025" s="30">
        <f>IFERROR(VLOOKUP($A2025,HeadJournal!$A$1:$J$890,COLUMN(HeadJournal!I$1),0)*($K2025+$L2025)/(SUMIF($A:$A,$A2025,$K:$K)+SUMIF($A:$A,$A2025,$L:$L)),0)</f>
        <v>-0.38565478433441347</v>
      </c>
      <c r="N2025" s="30">
        <f>IFERROR((VLOOKUP($A2025,HeadJournal!$A$1:$K$890,COLUMN(HeadJournal!K$1),0)-VLOOKUP($A2025,HeadJournal!$A$1:$K$890,COLUMN(HeadJournal!J$1),0))*($K2025+$L2025)/(SUMIF($A:$A,$A2025,$K:$K)+SUMIF($A:$A,$A2025,$L:$L)),0)</f>
        <v>-7.2541153016530926E-16</v>
      </c>
      <c r="O2025" s="30">
        <f>IFERROR((VLOOKUP($A2025,HeadJournal!$A$1:$L$890,COLUMN(HeadJournal!L$1),0)*($K2025+$L2025)/(SUMIF($A:$A,$A2025,$K:$K)+SUMIF($A:$A,$A2025,$L:$L)))/VLOOKUP($A2025,HeadJournal!$A$1:$L$890,COLUMN(HeadJournal!H$1),0),0)</f>
        <v>0.21433576903506829</v>
      </c>
      <c r="P2025" s="30">
        <f>IFERROR(SUM(K2025:O2025)*VLOOKUP($A2025,HeadJournal!$A$1:$L$890,COLUMN(HeadJournal!H$1),0),0)</f>
        <v>356.10152988167897</v>
      </c>
      <c r="Q2025" s="29">
        <v>900</v>
      </c>
      <c r="R2025" s="31">
        <v>45619</v>
      </c>
      <c r="S2025" s="31" t="s">
        <v>3121</v>
      </c>
      <c r="T2025" s="95" t="str">
        <f t="shared" si="160"/>
        <v>2024 11</v>
      </c>
      <c r="U2025" s="32">
        <f t="shared" si="157"/>
        <v>543.89847011832103</v>
      </c>
      <c r="V2025" s="22">
        <f t="shared" si="158"/>
        <v>1.527369091334825</v>
      </c>
      <c r="X2025" s="33"/>
      <c r="Y2025" s="33"/>
    </row>
    <row r="2026" spans="1:25" x14ac:dyDescent="0.2">
      <c r="A2026" s="93" t="s">
        <v>898</v>
      </c>
      <c r="B2026" s="94" t="str">
        <f>IFERROR(VLOOKUP($A2026,HeadJournal!$A$1:$NTR$890,COLUMN(HeadJournal!B$1),0),"")</f>
        <v>710000927997</v>
      </c>
      <c r="C2026" s="94" t="str">
        <f>IFERROR(VLOOKUP($A2026,HeadJournal!$A$1:$NTR$890,COLUMN(HeadJournal!C$1),0),"")</f>
        <v>iHerb_AV CYG0792</v>
      </c>
      <c r="D2026" s="125" t="str">
        <f>IFERROR(VLOOKUP($A2026,HeadJournal!$A$1:$NTR$890,COLUMN(HeadJournal!D$1),0),"")</f>
        <v>Доставлен</v>
      </c>
      <c r="E2026" s="95">
        <f>IFERROR(VLOOKUP($A2026,HeadJournal!$A$1:$NTR$890,COLUMN(HeadJournal!G$1),0),"")</f>
        <v>45152</v>
      </c>
      <c r="F2026" s="95" t="str">
        <f t="shared" si="159"/>
        <v>2023 08</v>
      </c>
      <c r="G2026" s="96" t="s">
        <v>5</v>
      </c>
      <c r="H2026" s="161" t="s">
        <v>3585</v>
      </c>
      <c r="I2026" s="97" t="s">
        <v>2052</v>
      </c>
      <c r="J2026" s="97" t="s">
        <v>3586</v>
      </c>
      <c r="K2026" s="29">
        <v>39.200000000000003</v>
      </c>
      <c r="L2026" s="29">
        <v>-11.76</v>
      </c>
      <c r="M2026" s="30">
        <f>IFERROR(VLOOKUP($A2026,HeadJournal!$A$1:$J$890,COLUMN(HeadJournal!I$1),0)*($K2026+$L2026)/(SUMIF($A:$A,$A2026,$K:$K)+SUMIF($A:$A,$A2026,$L:$L)),0)</f>
        <v>-3.1247147486622953</v>
      </c>
      <c r="N2026" s="30">
        <f>IFERROR((VLOOKUP($A2026,HeadJournal!$A$1:$K$890,COLUMN(HeadJournal!K$1),0)-VLOOKUP($A2026,HeadJournal!$A$1:$K$890,COLUMN(HeadJournal!J$1),0))*($K2026+$L2026)/(SUMIF($A:$A,$A2026,$K:$K)+SUMIF($A:$A,$A2026,$L:$L)),0)</f>
        <v>-5.8775469648827035E-15</v>
      </c>
      <c r="O2026" s="30">
        <f>IFERROR((VLOOKUP($A2026,HeadJournal!$A$1:$L$890,COLUMN(HeadJournal!L$1),0)*($K2026+$L2026)/(SUMIF($A:$A,$A2026,$K:$K)+SUMIF($A:$A,$A2026,$L:$L)))/VLOOKUP($A2026,HeadJournal!$A$1:$L$890,COLUMN(HeadJournal!H$1),0),0)</f>
        <v>1.7366260341502784</v>
      </c>
      <c r="P2026" s="30">
        <f>IFERROR(SUM(K2026:O2026)*VLOOKUP($A2026,HeadJournal!$A$1:$L$890,COLUMN(HeadJournal!H$1),0),0)</f>
        <v>2885.2635767578568</v>
      </c>
      <c r="Q2026" s="29">
        <v>4300</v>
      </c>
      <c r="R2026" s="31">
        <v>45182</v>
      </c>
      <c r="S2026" s="31" t="s">
        <v>3121</v>
      </c>
      <c r="T2026" s="95" t="str">
        <f t="shared" si="160"/>
        <v>2023 09</v>
      </c>
      <c r="U2026" s="32">
        <f t="shared" si="157"/>
        <v>1414.7364232421432</v>
      </c>
      <c r="V2026" s="22">
        <f t="shared" si="158"/>
        <v>0.49033177926568122</v>
      </c>
      <c r="X2026" s="33"/>
      <c r="Y2026" s="33"/>
    </row>
    <row r="2027" spans="1:25" x14ac:dyDescent="0.2">
      <c r="A2027" s="93" t="s">
        <v>899</v>
      </c>
      <c r="B2027" s="94">
        <f>IFERROR(VLOOKUP($A2027,HeadJournal!$A$1:$NTR$890,COLUMN(HeadJournal!B$1),0),"")</f>
        <v>0</v>
      </c>
      <c r="C2027" s="94" t="str">
        <f>IFERROR(VLOOKUP($A2027,HeadJournal!$A$1:$NTR$890,COLUMN(HeadJournal!C$1),0),"")</f>
        <v>OZON_OA</v>
      </c>
      <c r="D2027" s="125" t="str">
        <f>IFERROR(VLOOKUP($A2027,HeadJournal!$A$1:$NTR$890,COLUMN(HeadJournal!D$1),0),"")</f>
        <v>Доставлен</v>
      </c>
      <c r="E2027" s="95">
        <f>IFERROR(VLOOKUP($A2027,HeadJournal!$A$1:$NTR$890,COLUMN(HeadJournal!G$1),0),"")</f>
        <v>45153</v>
      </c>
      <c r="F2027" s="95" t="str">
        <f t="shared" si="159"/>
        <v>2023 08</v>
      </c>
      <c r="G2027" s="96" t="s">
        <v>6</v>
      </c>
      <c r="H2027" s="160" t="str">
        <f>RIGHT(Journal!$J2027,9)</f>
        <v>769390102</v>
      </c>
      <c r="I2027" s="96" t="str">
        <f t="shared" si="161"/>
        <v>Cloma Pharma</v>
      </c>
      <c r="J2027" s="97" t="s">
        <v>741</v>
      </c>
      <c r="K2027" s="29">
        <v>2180</v>
      </c>
      <c r="L2027" s="29">
        <v>0</v>
      </c>
      <c r="M2027" s="30">
        <f>IFERROR(VLOOKUP($A2027,HeadJournal!$A$1:$J$890,COLUMN(HeadJournal!I$1),0)*($K2027+$L2027)/(SUMIF($A:$A,$A2027,$K:$K)+SUMIF($A:$A,$A2027,$L:$L)),0)</f>
        <v>0</v>
      </c>
      <c r="N2027" s="30">
        <f>IFERROR((VLOOKUP($A2027,HeadJournal!$A$1:$K$890,COLUMN(HeadJournal!K$1),0)-VLOOKUP($A2027,HeadJournal!$A$1:$K$890,COLUMN(HeadJournal!J$1),0))*($K2027+$L2027)/(SUMIF($A:$A,$A2027,$K:$K)+SUMIF($A:$A,$A2027,$L:$L)),0)</f>
        <v>0</v>
      </c>
      <c r="O2027" s="30">
        <f>IFERROR((VLOOKUP($A2027,HeadJournal!$A$1:$L$890,COLUMN(HeadJournal!L$1),0)*($K2027+$L2027)/(SUMIF($A:$A,$A2027,$K:$K)+SUMIF($A:$A,$A2027,$L:$L)))/VLOOKUP($A2027,HeadJournal!$A$1:$L$890,COLUMN(HeadJournal!H$1),0),0)</f>
        <v>218</v>
      </c>
      <c r="P2027" s="30">
        <f>IFERROR(SUM(K2027:O2027)*VLOOKUP($A2027,HeadJournal!$A$1:$L$890,COLUMN(HeadJournal!H$1),0),0)</f>
        <v>2398</v>
      </c>
      <c r="Q2027" s="29">
        <v>3800</v>
      </c>
      <c r="R2027" s="31">
        <v>45204</v>
      </c>
      <c r="S2027" s="31" t="s">
        <v>3121</v>
      </c>
      <c r="T2027" s="95" t="str">
        <f t="shared" si="160"/>
        <v>2023 10</v>
      </c>
      <c r="U2027" s="32">
        <f t="shared" si="157"/>
        <v>1402</v>
      </c>
      <c r="V2027" s="22">
        <f t="shared" si="158"/>
        <v>0.58465387823185988</v>
      </c>
      <c r="X2027" s="33"/>
      <c r="Y2027" s="33"/>
    </row>
    <row r="2028" spans="1:25" x14ac:dyDescent="0.2">
      <c r="A2028" s="93" t="s">
        <v>899</v>
      </c>
      <c r="B2028" s="94">
        <f>IFERROR(VLOOKUP($A2028,HeadJournal!$A$1:$NTR$890,COLUMN(HeadJournal!B$1),0),"")</f>
        <v>0</v>
      </c>
      <c r="C2028" s="94" t="str">
        <f>IFERROR(VLOOKUP($A2028,HeadJournal!$A$1:$NTR$890,COLUMN(HeadJournal!C$1),0),"")</f>
        <v>OZON_OA</v>
      </c>
      <c r="D2028" s="125" t="str">
        <f>IFERROR(VLOOKUP($A2028,HeadJournal!$A$1:$NTR$890,COLUMN(HeadJournal!D$1),0),"")</f>
        <v>Доставлен</v>
      </c>
      <c r="E2028" s="95">
        <f>IFERROR(VLOOKUP($A2028,HeadJournal!$A$1:$NTR$890,COLUMN(HeadJournal!G$1),0),"")</f>
        <v>45153</v>
      </c>
      <c r="F2028" s="95" t="str">
        <f t="shared" si="159"/>
        <v>2023 08</v>
      </c>
      <c r="G2028" s="96" t="s">
        <v>6</v>
      </c>
      <c r="H2028" s="160" t="str">
        <f>RIGHT(Journal!$J2028,9)</f>
        <v>769390102</v>
      </c>
      <c r="I2028" s="96" t="str">
        <f t="shared" si="161"/>
        <v>Cloma Pharma</v>
      </c>
      <c r="J2028" s="97" t="s">
        <v>741</v>
      </c>
      <c r="K2028" s="29">
        <v>2180</v>
      </c>
      <c r="L2028" s="29">
        <v>0</v>
      </c>
      <c r="M2028" s="30">
        <f>IFERROR(VLOOKUP($A2028,HeadJournal!$A$1:$J$890,COLUMN(HeadJournal!I$1),0)*($K2028+$L2028)/(SUMIF($A:$A,$A2028,$K:$K)+SUMIF($A:$A,$A2028,$L:$L)),0)</f>
        <v>0</v>
      </c>
      <c r="N2028" s="30">
        <f>IFERROR((VLOOKUP($A2028,HeadJournal!$A$1:$K$890,COLUMN(HeadJournal!K$1),0)-VLOOKUP($A2028,HeadJournal!$A$1:$K$890,COLUMN(HeadJournal!J$1),0))*($K2028+$L2028)/(SUMIF($A:$A,$A2028,$K:$K)+SUMIF($A:$A,$A2028,$L:$L)),0)</f>
        <v>0</v>
      </c>
      <c r="O2028" s="30">
        <f>IFERROR((VLOOKUP($A2028,HeadJournal!$A$1:$L$890,COLUMN(HeadJournal!L$1),0)*($K2028+$L2028)/(SUMIF($A:$A,$A2028,$K:$K)+SUMIF($A:$A,$A2028,$L:$L)))/VLOOKUP($A2028,HeadJournal!$A$1:$L$890,COLUMN(HeadJournal!H$1),0),0)</f>
        <v>218</v>
      </c>
      <c r="P2028" s="30">
        <f>IFERROR(SUM(K2028:O2028)*VLOOKUP($A2028,HeadJournal!$A$1:$L$890,COLUMN(HeadJournal!H$1),0),0)</f>
        <v>2398</v>
      </c>
      <c r="Q2028" s="29">
        <v>4000</v>
      </c>
      <c r="R2028" s="31">
        <v>45312</v>
      </c>
      <c r="S2028" s="31" t="s">
        <v>3121</v>
      </c>
      <c r="T2028" s="95" t="str">
        <f t="shared" si="160"/>
        <v>2024 01</v>
      </c>
      <c r="U2028" s="32">
        <f t="shared" si="157"/>
        <v>1602</v>
      </c>
      <c r="V2028" s="22">
        <f t="shared" si="158"/>
        <v>0.66805671392827359</v>
      </c>
      <c r="X2028" s="33"/>
      <c r="Y2028" s="33"/>
    </row>
    <row r="2029" spans="1:25" x14ac:dyDescent="0.2">
      <c r="A2029" s="93" t="s">
        <v>899</v>
      </c>
      <c r="B2029" s="94">
        <f>IFERROR(VLOOKUP($A2029,HeadJournal!$A$1:$NTR$890,COLUMN(HeadJournal!B$1),0),"")</f>
        <v>0</v>
      </c>
      <c r="C2029" s="94" t="str">
        <f>IFERROR(VLOOKUP($A2029,HeadJournal!$A$1:$NTR$890,COLUMN(HeadJournal!C$1),0),"")</f>
        <v>OZON_OA</v>
      </c>
      <c r="D2029" s="125" t="str">
        <f>IFERROR(VLOOKUP($A2029,HeadJournal!$A$1:$NTR$890,COLUMN(HeadJournal!D$1),0),"")</f>
        <v>Доставлен</v>
      </c>
      <c r="E2029" s="95">
        <f>IFERROR(VLOOKUP($A2029,HeadJournal!$A$1:$NTR$890,COLUMN(HeadJournal!G$1),0),"")</f>
        <v>45153</v>
      </c>
      <c r="F2029" s="95" t="str">
        <f t="shared" si="159"/>
        <v>2023 08</v>
      </c>
      <c r="G2029" s="96" t="s">
        <v>6</v>
      </c>
      <c r="H2029" s="160" t="str">
        <f>RIGHT(Journal!$J2029,9)</f>
        <v>769390102</v>
      </c>
      <c r="I2029" s="96" t="str">
        <f t="shared" si="161"/>
        <v>Cloma Pharma</v>
      </c>
      <c r="J2029" s="97" t="s">
        <v>741</v>
      </c>
      <c r="K2029" s="29">
        <v>2180</v>
      </c>
      <c r="L2029" s="29">
        <v>0</v>
      </c>
      <c r="M2029" s="30">
        <f>IFERROR(VLOOKUP($A2029,HeadJournal!$A$1:$J$890,COLUMN(HeadJournal!I$1),0)*($K2029+$L2029)/(SUMIF($A:$A,$A2029,$K:$K)+SUMIF($A:$A,$A2029,$L:$L)),0)</f>
        <v>0</v>
      </c>
      <c r="N2029" s="30">
        <f>IFERROR((VLOOKUP($A2029,HeadJournal!$A$1:$K$890,COLUMN(HeadJournal!K$1),0)-VLOOKUP($A2029,HeadJournal!$A$1:$K$890,COLUMN(HeadJournal!J$1),0))*($K2029+$L2029)/(SUMIF($A:$A,$A2029,$K:$K)+SUMIF($A:$A,$A2029,$L:$L)),0)</f>
        <v>0</v>
      </c>
      <c r="O2029" s="30">
        <f>IFERROR((VLOOKUP($A2029,HeadJournal!$A$1:$L$890,COLUMN(HeadJournal!L$1),0)*($K2029+$L2029)/(SUMIF($A:$A,$A2029,$K:$K)+SUMIF($A:$A,$A2029,$L:$L)))/VLOOKUP($A2029,HeadJournal!$A$1:$L$890,COLUMN(HeadJournal!H$1),0),0)</f>
        <v>218</v>
      </c>
      <c r="P2029" s="30">
        <f>IFERROR(SUM(K2029:O2029)*VLOOKUP($A2029,HeadJournal!$A$1:$L$890,COLUMN(HeadJournal!H$1),0),0)</f>
        <v>2398</v>
      </c>
      <c r="Q2029" s="29">
        <v>3800</v>
      </c>
      <c r="R2029" s="31">
        <v>45407</v>
      </c>
      <c r="S2029" s="31" t="s">
        <v>3121</v>
      </c>
      <c r="T2029" s="95" t="str">
        <f t="shared" si="160"/>
        <v>2024 04</v>
      </c>
      <c r="U2029" s="32">
        <f t="shared" si="157"/>
        <v>1402</v>
      </c>
      <c r="V2029" s="22">
        <f t="shared" si="158"/>
        <v>0.58465387823185988</v>
      </c>
      <c r="X2029" s="33"/>
      <c r="Y2029" s="33"/>
    </row>
    <row r="2030" spans="1:25" x14ac:dyDescent="0.2">
      <c r="A2030" s="93" t="s">
        <v>900</v>
      </c>
      <c r="B2030" s="94">
        <f>IFERROR(VLOOKUP($A2030,HeadJournal!$A$1:$NTR$890,COLUMN(HeadJournal!B$1),0),"")</f>
        <v>0</v>
      </c>
      <c r="C2030" s="94" t="str">
        <f>IFERROR(VLOOKUP($A2030,HeadJournal!$A$1:$NTR$890,COLUMN(HeadJournal!C$1),0),"")</f>
        <v>OZON_OA</v>
      </c>
      <c r="D2030" s="125" t="str">
        <f>IFERROR(VLOOKUP($A2030,HeadJournal!$A$1:$NTR$890,COLUMN(HeadJournal!D$1),0),"")</f>
        <v>Доставлен</v>
      </c>
      <c r="E2030" s="95">
        <f>IFERROR(VLOOKUP($A2030,HeadJournal!$A$1:$NTR$890,COLUMN(HeadJournal!G$1),0),"")</f>
        <v>45163</v>
      </c>
      <c r="F2030" s="95" t="str">
        <f t="shared" si="159"/>
        <v>2023 08</v>
      </c>
      <c r="G2030" s="96" t="s">
        <v>5</v>
      </c>
      <c r="H2030" s="160" t="str">
        <f>RIGHT(Journal!$J2030,9)</f>
        <v>835689754</v>
      </c>
      <c r="I2030" s="96" t="str">
        <f t="shared" si="161"/>
        <v>Smart Bee</v>
      </c>
      <c r="J2030" s="97" t="s">
        <v>901</v>
      </c>
      <c r="K2030" s="29">
        <v>253</v>
      </c>
      <c r="L2030" s="29">
        <v>0</v>
      </c>
      <c r="M2030" s="30">
        <f>IFERROR(VLOOKUP($A2030,HeadJournal!$A$1:$J$890,COLUMN(HeadJournal!I$1),0)*($K2030+$L2030)/(SUMIF($A:$A,$A2030,$K:$K)+SUMIF($A:$A,$A2030,$L:$L)),0)</f>
        <v>0</v>
      </c>
      <c r="N2030" s="30">
        <f>IFERROR((VLOOKUP($A2030,HeadJournal!$A$1:$K$890,COLUMN(HeadJournal!K$1),0)-VLOOKUP($A2030,HeadJournal!$A$1:$K$890,COLUMN(HeadJournal!J$1),0))*($K2030+$L2030)/(SUMIF($A:$A,$A2030,$K:$K)+SUMIF($A:$A,$A2030,$L:$L)),0)</f>
        <v>0</v>
      </c>
      <c r="O2030" s="30">
        <f>IFERROR((VLOOKUP($A2030,HeadJournal!$A$1:$L$890,COLUMN(HeadJournal!L$1),0)*($K2030+$L2030)/(SUMIF($A:$A,$A2030,$K:$K)+SUMIF($A:$A,$A2030,$L:$L)))/VLOOKUP($A2030,HeadJournal!$A$1:$L$890,COLUMN(HeadJournal!H$1),0),0)</f>
        <v>25.3</v>
      </c>
      <c r="P2030" s="30">
        <f>IFERROR(SUM(K2030:O2030)*VLOOKUP($A2030,HeadJournal!$A$1:$L$890,COLUMN(HeadJournal!H$1),0),0)</f>
        <v>278.3</v>
      </c>
      <c r="Q2030" s="29">
        <v>700</v>
      </c>
      <c r="R2030" s="31">
        <v>45167</v>
      </c>
      <c r="S2030" s="31" t="s">
        <v>3121</v>
      </c>
      <c r="T2030" s="95" t="str">
        <f t="shared" si="160"/>
        <v>2023 08</v>
      </c>
      <c r="U2030" s="32">
        <f t="shared" si="157"/>
        <v>421.7</v>
      </c>
      <c r="V2030" s="22">
        <f t="shared" si="158"/>
        <v>1.5152712899748473</v>
      </c>
      <c r="X2030" s="33"/>
      <c r="Y2030" s="33"/>
    </row>
    <row r="2031" spans="1:25" x14ac:dyDescent="0.2">
      <c r="A2031" s="93" t="s">
        <v>900</v>
      </c>
      <c r="B2031" s="94">
        <f>IFERROR(VLOOKUP($A2031,HeadJournal!$A$1:$NTR$890,COLUMN(HeadJournal!B$1),0),"")</f>
        <v>0</v>
      </c>
      <c r="C2031" s="94" t="str">
        <f>IFERROR(VLOOKUP($A2031,HeadJournal!$A$1:$NTR$890,COLUMN(HeadJournal!C$1),0),"")</f>
        <v>OZON_OA</v>
      </c>
      <c r="D2031" s="125" t="str">
        <f>IFERROR(VLOOKUP($A2031,HeadJournal!$A$1:$NTR$890,COLUMN(HeadJournal!D$1),0),"")</f>
        <v>Доставлен</v>
      </c>
      <c r="E2031" s="95">
        <f>IFERROR(VLOOKUP($A2031,HeadJournal!$A$1:$NTR$890,COLUMN(HeadJournal!G$1),0),"")</f>
        <v>45163</v>
      </c>
      <c r="F2031" s="95" t="str">
        <f t="shared" si="159"/>
        <v>2023 08</v>
      </c>
      <c r="G2031" s="96" t="s">
        <v>5</v>
      </c>
      <c r="H2031" s="160" t="str">
        <f>RIGHT(Journal!$J2031,9)</f>
        <v>835689754</v>
      </c>
      <c r="I2031" s="96" t="str">
        <f t="shared" si="161"/>
        <v>Smart Bee</v>
      </c>
      <c r="J2031" s="97" t="s">
        <v>901</v>
      </c>
      <c r="K2031" s="29">
        <v>253</v>
      </c>
      <c r="L2031" s="29">
        <v>0</v>
      </c>
      <c r="M2031" s="30">
        <f>IFERROR(VLOOKUP($A2031,HeadJournal!$A$1:$J$890,COLUMN(HeadJournal!I$1),0)*($K2031+$L2031)/(SUMIF($A:$A,$A2031,$K:$K)+SUMIF($A:$A,$A2031,$L:$L)),0)</f>
        <v>0</v>
      </c>
      <c r="N2031" s="30">
        <f>IFERROR((VLOOKUP($A2031,HeadJournal!$A$1:$K$890,COLUMN(HeadJournal!K$1),0)-VLOOKUP($A2031,HeadJournal!$A$1:$K$890,COLUMN(HeadJournal!J$1),0))*($K2031+$L2031)/(SUMIF($A:$A,$A2031,$K:$K)+SUMIF($A:$A,$A2031,$L:$L)),0)</f>
        <v>0</v>
      </c>
      <c r="O2031" s="30">
        <f>IFERROR((VLOOKUP($A2031,HeadJournal!$A$1:$L$890,COLUMN(HeadJournal!L$1),0)*($K2031+$L2031)/(SUMIF($A:$A,$A2031,$K:$K)+SUMIF($A:$A,$A2031,$L:$L)))/VLOOKUP($A2031,HeadJournal!$A$1:$L$890,COLUMN(HeadJournal!H$1),0),0)</f>
        <v>25.3</v>
      </c>
      <c r="P2031" s="30">
        <f>IFERROR(SUM(K2031:O2031)*VLOOKUP($A2031,HeadJournal!$A$1:$L$890,COLUMN(HeadJournal!H$1),0),0)</f>
        <v>278.3</v>
      </c>
      <c r="Q2031" s="29">
        <v>700</v>
      </c>
      <c r="R2031" s="31">
        <v>45167</v>
      </c>
      <c r="S2031" s="31" t="s">
        <v>3121</v>
      </c>
      <c r="T2031" s="95" t="str">
        <f t="shared" si="160"/>
        <v>2023 08</v>
      </c>
      <c r="U2031" s="32">
        <f t="shared" si="157"/>
        <v>421.7</v>
      </c>
      <c r="V2031" s="22">
        <f t="shared" si="158"/>
        <v>1.5152712899748473</v>
      </c>
      <c r="X2031" s="33"/>
      <c r="Y2031" s="33"/>
    </row>
    <row r="2032" spans="1:25" x14ac:dyDescent="0.2">
      <c r="A2032" s="93" t="s">
        <v>900</v>
      </c>
      <c r="B2032" s="94">
        <f>IFERROR(VLOOKUP($A2032,HeadJournal!$A$1:$NTR$890,COLUMN(HeadJournal!B$1),0),"")</f>
        <v>0</v>
      </c>
      <c r="C2032" s="94" t="str">
        <f>IFERROR(VLOOKUP($A2032,HeadJournal!$A$1:$NTR$890,COLUMN(HeadJournal!C$1),0),"")</f>
        <v>OZON_OA</v>
      </c>
      <c r="D2032" s="125" t="str">
        <f>IFERROR(VLOOKUP($A2032,HeadJournal!$A$1:$NTR$890,COLUMN(HeadJournal!D$1),0),"")</f>
        <v>Доставлен</v>
      </c>
      <c r="E2032" s="95">
        <f>IFERROR(VLOOKUP($A2032,HeadJournal!$A$1:$NTR$890,COLUMN(HeadJournal!G$1),0),"")</f>
        <v>45163</v>
      </c>
      <c r="F2032" s="95" t="str">
        <f t="shared" si="159"/>
        <v>2023 08</v>
      </c>
      <c r="G2032" s="96" t="s">
        <v>5</v>
      </c>
      <c r="H2032" s="160" t="str">
        <f>RIGHT(Journal!$J2032,9)</f>
        <v>835689754</v>
      </c>
      <c r="I2032" s="96" t="str">
        <f t="shared" si="161"/>
        <v>Smart Bee</v>
      </c>
      <c r="J2032" s="97" t="s">
        <v>901</v>
      </c>
      <c r="K2032" s="29">
        <v>253</v>
      </c>
      <c r="L2032" s="29">
        <v>0</v>
      </c>
      <c r="M2032" s="30">
        <f>IFERROR(VLOOKUP($A2032,HeadJournal!$A$1:$J$890,COLUMN(HeadJournal!I$1),0)*($K2032+$L2032)/(SUMIF($A:$A,$A2032,$K:$K)+SUMIF($A:$A,$A2032,$L:$L)),0)</f>
        <v>0</v>
      </c>
      <c r="N2032" s="30">
        <f>IFERROR((VLOOKUP($A2032,HeadJournal!$A$1:$K$890,COLUMN(HeadJournal!K$1),0)-VLOOKUP($A2032,HeadJournal!$A$1:$K$890,COLUMN(HeadJournal!J$1),0))*($K2032+$L2032)/(SUMIF($A:$A,$A2032,$K:$K)+SUMIF($A:$A,$A2032,$L:$L)),0)</f>
        <v>0</v>
      </c>
      <c r="O2032" s="30">
        <f>IFERROR((VLOOKUP($A2032,HeadJournal!$A$1:$L$890,COLUMN(HeadJournal!L$1),0)*($K2032+$L2032)/(SUMIF($A:$A,$A2032,$K:$K)+SUMIF($A:$A,$A2032,$L:$L)))/VLOOKUP($A2032,HeadJournal!$A$1:$L$890,COLUMN(HeadJournal!H$1),0),0)</f>
        <v>25.3</v>
      </c>
      <c r="P2032" s="30">
        <f>IFERROR(SUM(K2032:O2032)*VLOOKUP($A2032,HeadJournal!$A$1:$L$890,COLUMN(HeadJournal!H$1),0),0)</f>
        <v>278.3</v>
      </c>
      <c r="Q2032" s="29">
        <v>700</v>
      </c>
      <c r="R2032" s="31">
        <v>45167</v>
      </c>
      <c r="S2032" s="31" t="s">
        <v>3121</v>
      </c>
      <c r="T2032" s="95" t="str">
        <f t="shared" si="160"/>
        <v>2023 08</v>
      </c>
      <c r="U2032" s="32">
        <f t="shared" si="157"/>
        <v>421.7</v>
      </c>
      <c r="V2032" s="22">
        <f t="shared" si="158"/>
        <v>1.5152712899748473</v>
      </c>
      <c r="X2032" s="33"/>
      <c r="Y2032" s="33"/>
    </row>
    <row r="2033" spans="1:25" x14ac:dyDescent="0.2">
      <c r="A2033" s="93" t="s">
        <v>902</v>
      </c>
      <c r="B2033" s="94">
        <f>IFERROR(VLOOKUP($A2033,HeadJournal!$A$1:$NTR$890,COLUMN(HeadJournal!B$1),0),"")</f>
        <v>0</v>
      </c>
      <c r="C2033" s="94" t="str">
        <f>IFERROR(VLOOKUP($A2033,HeadJournal!$A$1:$NTR$890,COLUMN(HeadJournal!C$1),0),"")</f>
        <v>WBRS</v>
      </c>
      <c r="D2033" s="125" t="str">
        <f>IFERROR(VLOOKUP($A2033,HeadJournal!$A$1:$NTR$890,COLUMN(HeadJournal!D$1),0),"")</f>
        <v>Доставлен</v>
      </c>
      <c r="E2033" s="95">
        <f>IFERROR(VLOOKUP($A2033,HeadJournal!$A$1:$NTR$890,COLUMN(HeadJournal!G$1),0),"")</f>
        <v>45161</v>
      </c>
      <c r="F2033" s="95" t="str">
        <f t="shared" si="159"/>
        <v>2023 08</v>
      </c>
      <c r="G2033" s="96" t="s">
        <v>5</v>
      </c>
      <c r="H2033" s="160" t="str">
        <f>RIGHT(Journal!$J2033,9)</f>
        <v>113319452</v>
      </c>
      <c r="I2033" s="96" t="str">
        <f t="shared" si="161"/>
        <v>AumRa</v>
      </c>
      <c r="J2033" s="97" t="s">
        <v>903</v>
      </c>
      <c r="K2033" s="29">
        <v>218</v>
      </c>
      <c r="L2033" s="29">
        <v>0</v>
      </c>
      <c r="M2033" s="30">
        <f>IFERROR(VLOOKUP($A2033,HeadJournal!$A$1:$J$890,COLUMN(HeadJournal!I$1),0)*($K2033+$L2033)/(SUMIF($A:$A,$A2033,$K:$K)+SUMIF($A:$A,$A2033,$L:$L)),0)</f>
        <v>0</v>
      </c>
      <c r="N2033" s="30">
        <f>IFERROR((VLOOKUP($A2033,HeadJournal!$A$1:$K$890,COLUMN(HeadJournal!K$1),0)-VLOOKUP($A2033,HeadJournal!$A$1:$K$890,COLUMN(HeadJournal!J$1),0))*($K2033+$L2033)/(SUMIF($A:$A,$A2033,$K:$K)+SUMIF($A:$A,$A2033,$L:$L)),0)</f>
        <v>0</v>
      </c>
      <c r="O2033" s="30">
        <f>IFERROR((VLOOKUP($A2033,HeadJournal!$A$1:$L$890,COLUMN(HeadJournal!L$1),0)*($K2033+$L2033)/(SUMIF($A:$A,$A2033,$K:$K)+SUMIF($A:$A,$A2033,$L:$L)))/VLOOKUP($A2033,HeadJournal!$A$1:$L$890,COLUMN(HeadJournal!H$1),0),0)</f>
        <v>21.8</v>
      </c>
      <c r="P2033" s="30">
        <f>IFERROR(SUM(K2033:O2033)*VLOOKUP($A2033,HeadJournal!$A$1:$L$890,COLUMN(HeadJournal!H$1),0),0)</f>
        <v>239.8</v>
      </c>
      <c r="Q2033" s="29">
        <v>450</v>
      </c>
      <c r="R2033" s="31">
        <v>45167</v>
      </c>
      <c r="S2033" s="31" t="s">
        <v>3121</v>
      </c>
      <c r="T2033" s="95" t="str">
        <f t="shared" si="160"/>
        <v>2023 08</v>
      </c>
      <c r="U2033" s="32">
        <f t="shared" si="157"/>
        <v>210.2</v>
      </c>
      <c r="V2033" s="22">
        <f t="shared" si="158"/>
        <v>0.87656380316930771</v>
      </c>
      <c r="X2033" s="33"/>
      <c r="Y2033" s="33"/>
    </row>
    <row r="2034" spans="1:25" x14ac:dyDescent="0.2">
      <c r="A2034" s="93" t="s">
        <v>902</v>
      </c>
      <c r="B2034" s="94">
        <f>IFERROR(VLOOKUP($A2034,HeadJournal!$A$1:$NTR$890,COLUMN(HeadJournal!B$1),0),"")</f>
        <v>0</v>
      </c>
      <c r="C2034" s="94" t="str">
        <f>IFERROR(VLOOKUP($A2034,HeadJournal!$A$1:$NTR$890,COLUMN(HeadJournal!C$1),0),"")</f>
        <v>WBRS</v>
      </c>
      <c r="D2034" s="125" t="str">
        <f>IFERROR(VLOOKUP($A2034,HeadJournal!$A$1:$NTR$890,COLUMN(HeadJournal!D$1),0),"")</f>
        <v>Доставлен</v>
      </c>
      <c r="E2034" s="95">
        <f>IFERROR(VLOOKUP($A2034,HeadJournal!$A$1:$NTR$890,COLUMN(HeadJournal!G$1),0),"")</f>
        <v>45161</v>
      </c>
      <c r="F2034" s="95" t="str">
        <f t="shared" si="159"/>
        <v>2023 08</v>
      </c>
      <c r="G2034" s="96" t="s">
        <v>5</v>
      </c>
      <c r="H2034" s="160" t="str">
        <f>RIGHT(Journal!$J2034,9)</f>
        <v>113319452</v>
      </c>
      <c r="I2034" s="96" t="str">
        <f t="shared" si="161"/>
        <v>AumRa</v>
      </c>
      <c r="J2034" s="97" t="s">
        <v>903</v>
      </c>
      <c r="K2034" s="29">
        <v>218</v>
      </c>
      <c r="L2034" s="29">
        <v>0</v>
      </c>
      <c r="M2034" s="30">
        <f>IFERROR(VLOOKUP($A2034,HeadJournal!$A$1:$J$890,COLUMN(HeadJournal!I$1),0)*($K2034+$L2034)/(SUMIF($A:$A,$A2034,$K:$K)+SUMIF($A:$A,$A2034,$L:$L)),0)</f>
        <v>0</v>
      </c>
      <c r="N2034" s="30">
        <f>IFERROR((VLOOKUP($A2034,HeadJournal!$A$1:$K$890,COLUMN(HeadJournal!K$1),0)-VLOOKUP($A2034,HeadJournal!$A$1:$K$890,COLUMN(HeadJournal!J$1),0))*($K2034+$L2034)/(SUMIF($A:$A,$A2034,$K:$K)+SUMIF($A:$A,$A2034,$L:$L)),0)</f>
        <v>0</v>
      </c>
      <c r="O2034" s="30">
        <f>IFERROR((VLOOKUP($A2034,HeadJournal!$A$1:$L$890,COLUMN(HeadJournal!L$1),0)*($K2034+$L2034)/(SUMIF($A:$A,$A2034,$K:$K)+SUMIF($A:$A,$A2034,$L:$L)))/VLOOKUP($A2034,HeadJournal!$A$1:$L$890,COLUMN(HeadJournal!H$1),0),0)</f>
        <v>21.8</v>
      </c>
      <c r="P2034" s="30">
        <f>IFERROR(SUM(K2034:O2034)*VLOOKUP($A2034,HeadJournal!$A$1:$L$890,COLUMN(HeadJournal!H$1),0),0)</f>
        <v>239.8</v>
      </c>
      <c r="Q2034" s="29">
        <v>450</v>
      </c>
      <c r="R2034" s="31">
        <v>45167</v>
      </c>
      <c r="S2034" s="31" t="s">
        <v>3121</v>
      </c>
      <c r="T2034" s="95" t="str">
        <f t="shared" si="160"/>
        <v>2023 08</v>
      </c>
      <c r="U2034" s="32">
        <f t="shared" si="157"/>
        <v>210.2</v>
      </c>
      <c r="V2034" s="22">
        <f t="shared" si="158"/>
        <v>0.87656380316930771</v>
      </c>
      <c r="X2034" s="33"/>
      <c r="Y2034" s="33"/>
    </row>
    <row r="2035" spans="1:25" x14ac:dyDescent="0.2">
      <c r="A2035" s="93" t="s">
        <v>902</v>
      </c>
      <c r="B2035" s="94">
        <f>IFERROR(VLOOKUP($A2035,HeadJournal!$A$1:$NTR$890,COLUMN(HeadJournal!B$1),0),"")</f>
        <v>0</v>
      </c>
      <c r="C2035" s="94" t="str">
        <f>IFERROR(VLOOKUP($A2035,HeadJournal!$A$1:$NTR$890,COLUMN(HeadJournal!C$1),0),"")</f>
        <v>WBRS</v>
      </c>
      <c r="D2035" s="125" t="str">
        <f>IFERROR(VLOOKUP($A2035,HeadJournal!$A$1:$NTR$890,COLUMN(HeadJournal!D$1),0),"")</f>
        <v>Доставлен</v>
      </c>
      <c r="E2035" s="95">
        <f>IFERROR(VLOOKUP($A2035,HeadJournal!$A$1:$NTR$890,COLUMN(HeadJournal!G$1),0),"")</f>
        <v>45161</v>
      </c>
      <c r="F2035" s="95" t="str">
        <f t="shared" si="159"/>
        <v>2023 08</v>
      </c>
      <c r="G2035" s="96" t="s">
        <v>5</v>
      </c>
      <c r="H2035" s="160" t="str">
        <f>RIGHT(Journal!$J2035,9)</f>
        <v>113319452</v>
      </c>
      <c r="I2035" s="96" t="str">
        <f t="shared" si="161"/>
        <v>AumRa</v>
      </c>
      <c r="J2035" s="97" t="s">
        <v>903</v>
      </c>
      <c r="K2035" s="29">
        <v>218</v>
      </c>
      <c r="L2035" s="29">
        <v>0</v>
      </c>
      <c r="M2035" s="30">
        <f>IFERROR(VLOOKUP($A2035,HeadJournal!$A$1:$J$890,COLUMN(HeadJournal!I$1),0)*($K2035+$L2035)/(SUMIF($A:$A,$A2035,$K:$K)+SUMIF($A:$A,$A2035,$L:$L)),0)</f>
        <v>0</v>
      </c>
      <c r="N2035" s="30">
        <f>IFERROR((VLOOKUP($A2035,HeadJournal!$A$1:$K$890,COLUMN(HeadJournal!K$1),0)-VLOOKUP($A2035,HeadJournal!$A$1:$K$890,COLUMN(HeadJournal!J$1),0))*($K2035+$L2035)/(SUMIF($A:$A,$A2035,$K:$K)+SUMIF($A:$A,$A2035,$L:$L)),0)</f>
        <v>0</v>
      </c>
      <c r="O2035" s="30">
        <f>IFERROR((VLOOKUP($A2035,HeadJournal!$A$1:$L$890,COLUMN(HeadJournal!L$1),0)*($K2035+$L2035)/(SUMIF($A:$A,$A2035,$K:$K)+SUMIF($A:$A,$A2035,$L:$L)))/VLOOKUP($A2035,HeadJournal!$A$1:$L$890,COLUMN(HeadJournal!H$1),0),0)</f>
        <v>21.8</v>
      </c>
      <c r="P2035" s="30">
        <f>IFERROR(SUM(K2035:O2035)*VLOOKUP($A2035,HeadJournal!$A$1:$L$890,COLUMN(HeadJournal!H$1),0),0)</f>
        <v>239.8</v>
      </c>
      <c r="Q2035" s="29">
        <v>500</v>
      </c>
      <c r="R2035" s="31">
        <v>45257</v>
      </c>
      <c r="S2035" s="31" t="s">
        <v>3121</v>
      </c>
      <c r="T2035" s="95" t="str">
        <f t="shared" si="160"/>
        <v>2023 11</v>
      </c>
      <c r="U2035" s="32">
        <f t="shared" si="157"/>
        <v>260.2</v>
      </c>
      <c r="V2035" s="22">
        <f t="shared" si="158"/>
        <v>1.0850708924103418</v>
      </c>
      <c r="X2035" s="33"/>
      <c r="Y2035" s="33"/>
    </row>
    <row r="2036" spans="1:25" x14ac:dyDescent="0.2">
      <c r="A2036" s="93" t="s">
        <v>904</v>
      </c>
      <c r="B2036" s="94">
        <f>IFERROR(VLOOKUP($A2036,HeadJournal!$A$1:$NTR$890,COLUMN(HeadJournal!B$1),0),"")</f>
        <v>0</v>
      </c>
      <c r="C2036" s="94" t="str">
        <f>IFERROR(VLOOKUP($A2036,HeadJournal!$A$1:$NTR$890,COLUMN(HeadJournal!C$1),0),"")</f>
        <v>CoralClub_AV</v>
      </c>
      <c r="D2036" s="125" t="str">
        <f>IFERROR(VLOOKUP($A2036,HeadJournal!$A$1:$NTR$890,COLUMN(HeadJournal!D$1),0),"")</f>
        <v>Доставлен</v>
      </c>
      <c r="E2036" s="95">
        <f>IFERROR(VLOOKUP($A2036,HeadJournal!$A$1:$NTR$890,COLUMN(HeadJournal!G$1),0),"")</f>
        <v>45165</v>
      </c>
      <c r="F2036" s="95" t="str">
        <f t="shared" si="159"/>
        <v>2023 08</v>
      </c>
      <c r="G2036" s="96" t="s">
        <v>5</v>
      </c>
      <c r="H2036" s="160" t="str">
        <f>RIGHT(Journal!$J2036,9)</f>
        <v>000002153</v>
      </c>
      <c r="I2036" s="96" t="str">
        <f t="shared" si="161"/>
        <v>CoralClub</v>
      </c>
      <c r="J2036" s="97" t="s">
        <v>262</v>
      </c>
      <c r="K2036" s="29">
        <v>1260</v>
      </c>
      <c r="L2036" s="29">
        <v>0</v>
      </c>
      <c r="M2036" s="30">
        <f>IFERROR(VLOOKUP($A2036,HeadJournal!$A$1:$J$890,COLUMN(HeadJournal!I$1),0)*($K2036+$L2036)/(SUMIF($A:$A,$A2036,$K:$K)+SUMIF($A:$A,$A2036,$L:$L)),0)</f>
        <v>0</v>
      </c>
      <c r="N2036" s="30">
        <f>IFERROR((VLOOKUP($A2036,HeadJournal!$A$1:$K$890,COLUMN(HeadJournal!K$1),0)-VLOOKUP($A2036,HeadJournal!$A$1:$K$890,COLUMN(HeadJournal!J$1),0))*($K2036+$L2036)/(SUMIF($A:$A,$A2036,$K:$K)+SUMIF($A:$A,$A2036,$L:$L)),0)</f>
        <v>15</v>
      </c>
      <c r="O2036" s="30">
        <f>IFERROR((VLOOKUP($A2036,HeadJournal!$A$1:$L$890,COLUMN(HeadJournal!L$1),0)*($K2036+$L2036)/(SUMIF($A:$A,$A2036,$K:$K)+SUMIF($A:$A,$A2036,$L:$L)))/VLOOKUP($A2036,HeadJournal!$A$1:$L$890,COLUMN(HeadJournal!H$1),0),0)</f>
        <v>0</v>
      </c>
      <c r="P2036" s="30">
        <f>IFERROR(SUM(K2036:O2036)*VLOOKUP($A2036,HeadJournal!$A$1:$L$890,COLUMN(HeadJournal!H$1),0),0)</f>
        <v>1275</v>
      </c>
      <c r="Q2036" s="29">
        <v>1600</v>
      </c>
      <c r="R2036" s="31">
        <v>45163</v>
      </c>
      <c r="S2036" s="31" t="s">
        <v>3121</v>
      </c>
      <c r="T2036" s="95" t="str">
        <f t="shared" si="160"/>
        <v>2023 08</v>
      </c>
      <c r="U2036" s="32">
        <f t="shared" si="157"/>
        <v>325</v>
      </c>
      <c r="V2036" s="22">
        <f t="shared" si="158"/>
        <v>0.25490196078431371</v>
      </c>
      <c r="X2036" s="33"/>
      <c r="Y2036" s="33"/>
    </row>
    <row r="2037" spans="1:25" x14ac:dyDescent="0.2">
      <c r="A2037" s="93" t="s">
        <v>904</v>
      </c>
      <c r="B2037" s="94">
        <f>IFERROR(VLOOKUP($A2037,HeadJournal!$A$1:$NTR$890,COLUMN(HeadJournal!B$1),0),"")</f>
        <v>0</v>
      </c>
      <c r="C2037" s="94" t="str">
        <f>IFERROR(VLOOKUP($A2037,HeadJournal!$A$1:$NTR$890,COLUMN(HeadJournal!C$1),0),"")</f>
        <v>CoralClub_AV</v>
      </c>
      <c r="D2037" s="125" t="str">
        <f>IFERROR(VLOOKUP($A2037,HeadJournal!$A$1:$NTR$890,COLUMN(HeadJournal!D$1),0),"")</f>
        <v>Доставлен</v>
      </c>
      <c r="E2037" s="95">
        <f>IFERROR(VLOOKUP($A2037,HeadJournal!$A$1:$NTR$890,COLUMN(HeadJournal!G$1),0),"")</f>
        <v>45165</v>
      </c>
      <c r="F2037" s="95" t="str">
        <f t="shared" si="159"/>
        <v>2023 08</v>
      </c>
      <c r="G2037" s="96" t="s">
        <v>5</v>
      </c>
      <c r="H2037" s="160" t="str">
        <f>RIGHT(Journal!$J2037,9)</f>
        <v>000002153</v>
      </c>
      <c r="I2037" s="96" t="str">
        <f t="shared" si="161"/>
        <v>CoralClub</v>
      </c>
      <c r="J2037" s="97" t="s">
        <v>262</v>
      </c>
      <c r="K2037" s="29">
        <v>1260</v>
      </c>
      <c r="L2037" s="29">
        <v>0</v>
      </c>
      <c r="M2037" s="30">
        <f>IFERROR(VLOOKUP($A2037,HeadJournal!$A$1:$J$890,COLUMN(HeadJournal!I$1),0)*($K2037+$L2037)/(SUMIF($A:$A,$A2037,$K:$K)+SUMIF($A:$A,$A2037,$L:$L)),0)</f>
        <v>0</v>
      </c>
      <c r="N2037" s="30">
        <f>IFERROR((VLOOKUP($A2037,HeadJournal!$A$1:$K$890,COLUMN(HeadJournal!K$1),0)-VLOOKUP($A2037,HeadJournal!$A$1:$K$890,COLUMN(HeadJournal!J$1),0))*($K2037+$L2037)/(SUMIF($A:$A,$A2037,$K:$K)+SUMIF($A:$A,$A2037,$L:$L)),0)</f>
        <v>15</v>
      </c>
      <c r="O2037" s="30">
        <f>IFERROR((VLOOKUP($A2037,HeadJournal!$A$1:$L$890,COLUMN(HeadJournal!L$1),0)*($K2037+$L2037)/(SUMIF($A:$A,$A2037,$K:$K)+SUMIF($A:$A,$A2037,$L:$L)))/VLOOKUP($A2037,HeadJournal!$A$1:$L$890,COLUMN(HeadJournal!H$1),0),0)</f>
        <v>0</v>
      </c>
      <c r="P2037" s="30">
        <f>IFERROR(SUM(K2037:O2037)*VLOOKUP($A2037,HeadJournal!$A$1:$L$890,COLUMN(HeadJournal!H$1),0),0)</f>
        <v>1275</v>
      </c>
      <c r="Q2037" s="29">
        <v>1600</v>
      </c>
      <c r="R2037" s="31">
        <v>45317</v>
      </c>
      <c r="S2037" s="31" t="s">
        <v>3121</v>
      </c>
      <c r="T2037" s="95" t="str">
        <f t="shared" si="160"/>
        <v>2024 01</v>
      </c>
      <c r="U2037" s="32">
        <f t="shared" si="157"/>
        <v>325</v>
      </c>
      <c r="V2037" s="22">
        <f t="shared" si="158"/>
        <v>0.25490196078431371</v>
      </c>
      <c r="X2037" s="33"/>
      <c r="Y2037" s="33"/>
    </row>
    <row r="2038" spans="1:25" x14ac:dyDescent="0.2">
      <c r="A2038" s="93" t="s">
        <v>905</v>
      </c>
      <c r="B2038" s="94">
        <f>IFERROR(VLOOKUP($A2038,HeadJournal!$A$1:$NTR$890,COLUMN(HeadJournal!B$1),0),"")</f>
        <v>0</v>
      </c>
      <c r="C2038" s="94" t="str">
        <f>IFERROR(VLOOKUP($A2038,HeadJournal!$A$1:$NTR$890,COLUMN(HeadJournal!C$1),0),"")</f>
        <v>NSP_AV</v>
      </c>
      <c r="D2038" s="125" t="str">
        <f>IFERROR(VLOOKUP($A2038,HeadJournal!$A$1:$NTR$890,COLUMN(HeadJournal!D$1),0),"")</f>
        <v>Доставлен</v>
      </c>
      <c r="E2038" s="95">
        <f>IFERROR(VLOOKUP($A2038,HeadJournal!$A$1:$NTR$890,COLUMN(HeadJournal!G$1),0),"")</f>
        <v>45156</v>
      </c>
      <c r="F2038" s="95" t="str">
        <f t="shared" si="159"/>
        <v>2023 08</v>
      </c>
      <c r="G2038" s="96" t="s">
        <v>5</v>
      </c>
      <c r="H2038" s="160" t="str">
        <f>RIGHT(Journal!$J2038,9)</f>
        <v>000001750</v>
      </c>
      <c r="I2038" s="96" t="str">
        <f t="shared" si="161"/>
        <v>NSP</v>
      </c>
      <c r="J2038" s="97" t="s">
        <v>906</v>
      </c>
      <c r="K2038" s="29">
        <v>3830.29</v>
      </c>
      <c r="L2038" s="29">
        <v>-538.6</v>
      </c>
      <c r="M2038" s="30">
        <f>IFERROR(VLOOKUP($A2038,HeadJournal!$A$1:$J$890,COLUMN(HeadJournal!I$1),0)*($K2038+$L2038)/(SUMIF($A:$A,$A2038,$K:$K)+SUMIF($A:$A,$A2038,$L:$L)),0)</f>
        <v>0</v>
      </c>
      <c r="N2038" s="30">
        <f>IFERROR((VLOOKUP($A2038,HeadJournal!$A$1:$K$890,COLUMN(HeadJournal!K$1),0)-VLOOKUP($A2038,HeadJournal!$A$1:$K$890,COLUMN(HeadJournal!J$1),0))*($K2038+$L2038)/(SUMIF($A:$A,$A2038,$K:$K)+SUMIF($A:$A,$A2038,$L:$L)),0)</f>
        <v>0</v>
      </c>
      <c r="O2038" s="30">
        <f>IFERROR((VLOOKUP($A2038,HeadJournal!$A$1:$L$890,COLUMN(HeadJournal!L$1),0)*($K2038+$L2038)/(SUMIF($A:$A,$A2038,$K:$K)+SUMIF($A:$A,$A2038,$L:$L)))/VLOOKUP($A2038,HeadJournal!$A$1:$L$890,COLUMN(HeadJournal!H$1),0),0)</f>
        <v>67.954103951494531</v>
      </c>
      <c r="P2038" s="30">
        <f>IFERROR(SUM(K2038:O2038)*VLOOKUP($A2038,HeadJournal!$A$1:$L$890,COLUMN(HeadJournal!H$1),0),0)</f>
        <v>3359.6441039514948</v>
      </c>
      <c r="Q2038" s="29">
        <v>5300</v>
      </c>
      <c r="R2038" s="31">
        <v>45173</v>
      </c>
      <c r="S2038" s="31" t="s">
        <v>3121</v>
      </c>
      <c r="T2038" s="95" t="str">
        <f t="shared" si="160"/>
        <v>2023 09</v>
      </c>
      <c r="U2038" s="32">
        <f t="shared" si="157"/>
        <v>1940.3558960485052</v>
      </c>
      <c r="V2038" s="22">
        <f t="shared" si="158"/>
        <v>0.57754804854666808</v>
      </c>
      <c r="X2038" s="33"/>
      <c r="Y2038" s="33"/>
    </row>
    <row r="2039" spans="1:25" x14ac:dyDescent="0.2">
      <c r="A2039" s="93" t="s">
        <v>905</v>
      </c>
      <c r="B2039" s="94">
        <f>IFERROR(VLOOKUP($A2039,HeadJournal!$A$1:$NTR$890,COLUMN(HeadJournal!B$1),0),"")</f>
        <v>0</v>
      </c>
      <c r="C2039" s="94" t="str">
        <f>IFERROR(VLOOKUP($A2039,HeadJournal!$A$1:$NTR$890,COLUMN(HeadJournal!C$1),0),"")</f>
        <v>NSP_AV</v>
      </c>
      <c r="D2039" s="125" t="str">
        <f>IFERROR(VLOOKUP($A2039,HeadJournal!$A$1:$NTR$890,COLUMN(HeadJournal!D$1),0),"")</f>
        <v>Доставлен</v>
      </c>
      <c r="E2039" s="95">
        <f>IFERROR(VLOOKUP($A2039,HeadJournal!$A$1:$NTR$890,COLUMN(HeadJournal!G$1),0),"")</f>
        <v>45156</v>
      </c>
      <c r="F2039" s="95" t="str">
        <f t="shared" si="159"/>
        <v>2023 08</v>
      </c>
      <c r="G2039" s="96" t="s">
        <v>5</v>
      </c>
      <c r="H2039" s="160" t="str">
        <f>RIGHT(Journal!$J2039,9)</f>
        <v>000000832</v>
      </c>
      <c r="I2039" s="96" t="str">
        <f t="shared" si="161"/>
        <v>NSP</v>
      </c>
      <c r="J2039" s="97" t="s">
        <v>907</v>
      </c>
      <c r="K2039" s="29">
        <v>1806.3</v>
      </c>
      <c r="L2039" s="29">
        <v>-254</v>
      </c>
      <c r="M2039" s="30">
        <f>IFERROR(VLOOKUP($A2039,HeadJournal!$A$1:$J$890,COLUMN(HeadJournal!I$1),0)*($K2039+$L2039)/(SUMIF($A:$A,$A2039,$K:$K)+SUMIF($A:$A,$A2039,$L:$L)),0)</f>
        <v>0</v>
      </c>
      <c r="N2039" s="30">
        <f>IFERROR((VLOOKUP($A2039,HeadJournal!$A$1:$K$890,COLUMN(HeadJournal!K$1),0)-VLOOKUP($A2039,HeadJournal!$A$1:$K$890,COLUMN(HeadJournal!J$1),0))*($K2039+$L2039)/(SUMIF($A:$A,$A2039,$K:$K)+SUMIF($A:$A,$A2039,$L:$L)),0)</f>
        <v>0</v>
      </c>
      <c r="O2039" s="30">
        <f>IFERROR((VLOOKUP($A2039,HeadJournal!$A$1:$L$890,COLUMN(HeadJournal!L$1),0)*($K2039+$L2039)/(SUMIF($A:$A,$A2039,$K:$K)+SUMIF($A:$A,$A2039,$L:$L)))/VLOOKUP($A2039,HeadJournal!$A$1:$L$890,COLUMN(HeadJournal!H$1),0),0)</f>
        <v>32.045896048505469</v>
      </c>
      <c r="P2039" s="30">
        <f>IFERROR(SUM(K2039:O2039)*VLOOKUP($A2039,HeadJournal!$A$1:$L$890,COLUMN(HeadJournal!H$1),0),0)</f>
        <v>1584.3458960485054</v>
      </c>
      <c r="Q2039" s="29">
        <v>2400</v>
      </c>
      <c r="R2039" s="31">
        <v>45173</v>
      </c>
      <c r="S2039" s="31" t="s">
        <v>3121</v>
      </c>
      <c r="T2039" s="95" t="str">
        <f t="shared" si="160"/>
        <v>2023 09</v>
      </c>
      <c r="U2039" s="32">
        <f t="shared" si="157"/>
        <v>815.65410395149456</v>
      </c>
      <c r="V2039" s="22">
        <f t="shared" si="158"/>
        <v>0.51482072569241721</v>
      </c>
      <c r="X2039" s="33"/>
      <c r="Y2039" s="33"/>
    </row>
    <row r="2040" spans="1:25" x14ac:dyDescent="0.2">
      <c r="A2040" s="93" t="s">
        <v>908</v>
      </c>
      <c r="B2040" s="94">
        <f>IFERROR(VLOOKUP($A2040,HeadJournal!$A$1:$NTR$890,COLUMN(HeadJournal!B$1),0),"")</f>
        <v>0</v>
      </c>
      <c r="C2040" s="94" t="str">
        <f>IFERROR(VLOOKUP($A2040,HeadJournal!$A$1:$NTR$890,COLUMN(HeadJournal!C$1),0),"")</f>
        <v>NSP_AV</v>
      </c>
      <c r="D2040" s="125" t="str">
        <f>IFERROR(VLOOKUP($A2040,HeadJournal!$A$1:$NTR$890,COLUMN(HeadJournal!D$1),0),"")</f>
        <v>Доставлен</v>
      </c>
      <c r="E2040" s="95">
        <f>IFERROR(VLOOKUP($A2040,HeadJournal!$A$1:$NTR$890,COLUMN(HeadJournal!G$1),0),"")</f>
        <v>45165</v>
      </c>
      <c r="F2040" s="95" t="str">
        <f t="shared" si="159"/>
        <v>2023 08</v>
      </c>
      <c r="G2040" s="96" t="s">
        <v>5</v>
      </c>
      <c r="H2040" s="160" t="str">
        <f>RIGHT(Journal!$J2040,9)</f>
        <v>000002851</v>
      </c>
      <c r="I2040" s="96" t="str">
        <f t="shared" si="161"/>
        <v>NSP</v>
      </c>
      <c r="J2040" s="97" t="s">
        <v>909</v>
      </c>
      <c r="K2040" s="29">
        <v>869.47</v>
      </c>
      <c r="L2040" s="29"/>
      <c r="M2040" s="30">
        <f>IFERROR(VLOOKUP($A2040,HeadJournal!$A$1:$J$890,COLUMN(HeadJournal!I$1),0)*($K2040+$L2040)/(SUMIF($A:$A,$A2040,$K:$K)+SUMIF($A:$A,$A2040,$L:$L)),0)</f>
        <v>0</v>
      </c>
      <c r="N2040" s="30">
        <f>IFERROR((VLOOKUP($A2040,HeadJournal!$A$1:$K$890,COLUMN(HeadJournal!K$1),0)-VLOOKUP($A2040,HeadJournal!$A$1:$K$890,COLUMN(HeadJournal!J$1),0))*($K2040+$L2040)/(SUMIF($A:$A,$A2040,$K:$K)+SUMIF($A:$A,$A2040,$L:$L)),0)</f>
        <v>25.688912254497396</v>
      </c>
      <c r="O2040" s="30">
        <f>IFERROR((VLOOKUP($A2040,HeadJournal!$A$1:$L$890,COLUMN(HeadJournal!L$1),0)*($K2040+$L2040)/(SUMIF($A:$A,$A2040,$K:$K)+SUMIF($A:$A,$A2040,$L:$L)))/VLOOKUP($A2040,HeadJournal!$A$1:$L$890,COLUMN(HeadJournal!H$1),0),0)</f>
        <v>32.548510933794532</v>
      </c>
      <c r="P2040" s="30">
        <f>IFERROR(SUM(K2040:O2040)*VLOOKUP($A2040,HeadJournal!$A$1:$L$890,COLUMN(HeadJournal!H$1),0),0)</f>
        <v>927.70742318829195</v>
      </c>
      <c r="Q2040" s="29"/>
      <c r="R2040" s="31"/>
      <c r="S2040" s="31"/>
      <c r="T2040" s="95" t="str">
        <f t="shared" si="160"/>
        <v/>
      </c>
      <c r="U2040" s="32">
        <f t="shared" si="157"/>
        <v>-927.70742318829195</v>
      </c>
      <c r="V2040" s="22" t="str">
        <f t="shared" si="158"/>
        <v/>
      </c>
      <c r="X2040" s="33"/>
      <c r="Y2040" s="33"/>
    </row>
    <row r="2041" spans="1:25" x14ac:dyDescent="0.2">
      <c r="A2041" s="93" t="s">
        <v>908</v>
      </c>
      <c r="B2041" s="94">
        <f>IFERROR(VLOOKUP($A2041,HeadJournal!$A$1:$NTR$890,COLUMN(HeadJournal!B$1),0),"")</f>
        <v>0</v>
      </c>
      <c r="C2041" s="94" t="str">
        <f>IFERROR(VLOOKUP($A2041,HeadJournal!$A$1:$NTR$890,COLUMN(HeadJournal!C$1),0),"")</f>
        <v>NSP_AV</v>
      </c>
      <c r="D2041" s="125" t="str">
        <f>IFERROR(VLOOKUP($A2041,HeadJournal!$A$1:$NTR$890,COLUMN(HeadJournal!D$1),0),"")</f>
        <v>Доставлен</v>
      </c>
      <c r="E2041" s="95">
        <f>IFERROR(VLOOKUP($A2041,HeadJournal!$A$1:$NTR$890,COLUMN(HeadJournal!G$1),0),"")</f>
        <v>45165</v>
      </c>
      <c r="F2041" s="95" t="str">
        <f t="shared" si="159"/>
        <v>2023 08</v>
      </c>
      <c r="G2041" s="96" t="s">
        <v>5</v>
      </c>
      <c r="H2041" s="160" t="str">
        <f>RIGHT(Journal!$J2041,9)</f>
        <v>000000550</v>
      </c>
      <c r="I2041" s="96" t="str">
        <f t="shared" si="161"/>
        <v>NSP</v>
      </c>
      <c r="J2041" s="97" t="s">
        <v>910</v>
      </c>
      <c r="K2041" s="29">
        <v>1233.6199999999999</v>
      </c>
      <c r="L2041" s="29"/>
      <c r="M2041" s="30">
        <f>IFERROR(VLOOKUP($A2041,HeadJournal!$A$1:$J$890,COLUMN(HeadJournal!I$1),0)*($K2041+$L2041)/(SUMIF($A:$A,$A2041,$K:$K)+SUMIF($A:$A,$A2041,$L:$L)),0)</f>
        <v>0</v>
      </c>
      <c r="N2041" s="30">
        <f>IFERROR((VLOOKUP($A2041,HeadJournal!$A$1:$K$890,COLUMN(HeadJournal!K$1),0)-VLOOKUP($A2041,HeadJournal!$A$1:$K$890,COLUMN(HeadJournal!J$1),0))*($K2041+$L2041)/(SUMIF($A:$A,$A2041,$K:$K)+SUMIF($A:$A,$A2041,$L:$L)),0)</f>
        <v>36.447900370792631</v>
      </c>
      <c r="O2041" s="30">
        <f>IFERROR((VLOOKUP($A2041,HeadJournal!$A$1:$L$890,COLUMN(HeadJournal!L$1),0)*($K2041+$L2041)/(SUMIF($A:$A,$A2041,$K:$K)+SUMIF($A:$A,$A2041,$L:$L)))/VLOOKUP($A2041,HeadJournal!$A$1:$L$890,COLUMN(HeadJournal!H$1),0),0)</f>
        <v>46.18042492339886</v>
      </c>
      <c r="P2041" s="30">
        <f>IFERROR(SUM(K2041:O2041)*VLOOKUP($A2041,HeadJournal!$A$1:$L$890,COLUMN(HeadJournal!H$1),0),0)</f>
        <v>1316.2483252941915</v>
      </c>
      <c r="Q2041" s="29">
        <v>1700</v>
      </c>
      <c r="R2041" s="31">
        <v>45179</v>
      </c>
      <c r="S2041" s="31" t="s">
        <v>3121</v>
      </c>
      <c r="T2041" s="95" t="str">
        <f t="shared" si="160"/>
        <v>2023 09</v>
      </c>
      <c r="U2041" s="32">
        <f t="shared" si="157"/>
        <v>383.75167470580845</v>
      </c>
      <c r="V2041" s="22">
        <f t="shared" si="158"/>
        <v>0.29154960149334819</v>
      </c>
      <c r="X2041" s="33"/>
      <c r="Y2041" s="33"/>
    </row>
    <row r="2042" spans="1:25" x14ac:dyDescent="0.2">
      <c r="A2042" s="93" t="s">
        <v>908</v>
      </c>
      <c r="B2042" s="94">
        <f>IFERROR(VLOOKUP($A2042,HeadJournal!$A$1:$NTR$890,COLUMN(HeadJournal!B$1),0),"")</f>
        <v>0</v>
      </c>
      <c r="C2042" s="94" t="str">
        <f>IFERROR(VLOOKUP($A2042,HeadJournal!$A$1:$NTR$890,COLUMN(HeadJournal!C$1),0),"")</f>
        <v>NSP_AV</v>
      </c>
      <c r="D2042" s="125" t="str">
        <f>IFERROR(VLOOKUP($A2042,HeadJournal!$A$1:$NTR$890,COLUMN(HeadJournal!D$1),0),"")</f>
        <v>Доставлен</v>
      </c>
      <c r="E2042" s="95">
        <f>IFERROR(VLOOKUP($A2042,HeadJournal!$A$1:$NTR$890,COLUMN(HeadJournal!G$1),0),"")</f>
        <v>45165</v>
      </c>
      <c r="F2042" s="95" t="str">
        <f t="shared" si="159"/>
        <v>2023 08</v>
      </c>
      <c r="G2042" s="96" t="s">
        <v>5</v>
      </c>
      <c r="H2042" s="160" t="str">
        <f>RIGHT(Journal!$J2042,9)</f>
        <v>000000775</v>
      </c>
      <c r="I2042" s="96" t="str">
        <f t="shared" si="161"/>
        <v>NSP</v>
      </c>
      <c r="J2042" s="97" t="s">
        <v>911</v>
      </c>
      <c r="K2042" s="29">
        <v>1905.66</v>
      </c>
      <c r="L2042" s="29"/>
      <c r="M2042" s="30">
        <f>IFERROR(VLOOKUP($A2042,HeadJournal!$A$1:$J$890,COLUMN(HeadJournal!I$1),0)*($K2042+$L2042)/(SUMIF($A:$A,$A2042,$K:$K)+SUMIF($A:$A,$A2042,$L:$L)),0)</f>
        <v>0</v>
      </c>
      <c r="N2042" s="30">
        <f>IFERROR((VLOOKUP($A2042,HeadJournal!$A$1:$K$890,COLUMN(HeadJournal!K$1),0)-VLOOKUP($A2042,HeadJournal!$A$1:$K$890,COLUMN(HeadJournal!J$1),0))*($K2042+$L2042)/(SUMIF($A:$A,$A2042,$K:$K)+SUMIF($A:$A,$A2042,$L:$L)),0)</f>
        <v>56.30364765535959</v>
      </c>
      <c r="O2042" s="30">
        <f>IFERROR((VLOOKUP($A2042,HeadJournal!$A$1:$L$890,COLUMN(HeadJournal!L$1),0)*($K2042+$L2042)/(SUMIF($A:$A,$A2042,$K:$K)+SUMIF($A:$A,$A2042,$L:$L)))/VLOOKUP($A2042,HeadJournal!$A$1:$L$890,COLUMN(HeadJournal!H$1),0),0)</f>
        <v>71.338166177205522</v>
      </c>
      <c r="P2042" s="30">
        <f>IFERROR(SUM(K2042:O2042)*VLOOKUP($A2042,HeadJournal!$A$1:$L$890,COLUMN(HeadJournal!H$1),0),0)</f>
        <v>2033.3018138325651</v>
      </c>
      <c r="Q2042" s="29">
        <v>2700</v>
      </c>
      <c r="R2042" s="31">
        <v>45290</v>
      </c>
      <c r="S2042" s="31" t="s">
        <v>3121</v>
      </c>
      <c r="T2042" s="95" t="str">
        <f t="shared" si="160"/>
        <v>2023 12</v>
      </c>
      <c r="U2042" s="32">
        <f t="shared" si="157"/>
        <v>666.69818616743487</v>
      </c>
      <c r="V2042" s="22">
        <f t="shared" si="158"/>
        <v>0.32788943659612307</v>
      </c>
      <c r="X2042" s="33"/>
      <c r="Y2042" s="33"/>
    </row>
    <row r="2043" spans="1:25" x14ac:dyDescent="0.2">
      <c r="A2043" s="93" t="s">
        <v>908</v>
      </c>
      <c r="B2043" s="94">
        <f>IFERROR(VLOOKUP($A2043,HeadJournal!$A$1:$NTR$890,COLUMN(HeadJournal!B$1),0),"")</f>
        <v>0</v>
      </c>
      <c r="C2043" s="94" t="str">
        <f>IFERROR(VLOOKUP($A2043,HeadJournal!$A$1:$NTR$890,COLUMN(HeadJournal!C$1),0),"")</f>
        <v>NSP_AV</v>
      </c>
      <c r="D2043" s="125" t="str">
        <f>IFERROR(VLOOKUP($A2043,HeadJournal!$A$1:$NTR$890,COLUMN(HeadJournal!D$1),0),"")</f>
        <v>Доставлен</v>
      </c>
      <c r="E2043" s="95">
        <f>IFERROR(VLOOKUP($A2043,HeadJournal!$A$1:$NTR$890,COLUMN(HeadJournal!G$1),0),"")</f>
        <v>45165</v>
      </c>
      <c r="F2043" s="95" t="str">
        <f t="shared" si="159"/>
        <v>2023 08</v>
      </c>
      <c r="G2043" s="96" t="s">
        <v>5</v>
      </c>
      <c r="H2043" s="160" t="str">
        <f>RIGHT(Journal!$J2043,9)</f>
        <v>000650510</v>
      </c>
      <c r="I2043" s="96" t="str">
        <f t="shared" si="161"/>
        <v>NSP</v>
      </c>
      <c r="J2043" s="97" t="s">
        <v>912</v>
      </c>
      <c r="K2043" s="29">
        <v>1333.86</v>
      </c>
      <c r="L2043" s="29"/>
      <c r="M2043" s="30">
        <f>IFERROR(VLOOKUP($A2043,HeadJournal!$A$1:$J$890,COLUMN(HeadJournal!I$1),0)*($K2043+$L2043)/(SUMIF($A:$A,$A2043,$K:$K)+SUMIF($A:$A,$A2043,$L:$L)),0)</f>
        <v>0</v>
      </c>
      <c r="N2043" s="30">
        <f>IFERROR((VLOOKUP($A2043,HeadJournal!$A$1:$K$890,COLUMN(HeadJournal!K$1),0)-VLOOKUP($A2043,HeadJournal!$A$1:$K$890,COLUMN(HeadJournal!J$1),0))*($K2043+$L2043)/(SUMIF($A:$A,$A2043,$K:$K)+SUMIF($A:$A,$A2043,$L:$L)),0)</f>
        <v>39.409539719350747</v>
      </c>
      <c r="O2043" s="30">
        <f>IFERROR((VLOOKUP($A2043,HeadJournal!$A$1:$L$890,COLUMN(HeadJournal!L$1),0)*($K2043+$L2043)/(SUMIF($A:$A,$A2043,$K:$K)+SUMIF($A:$A,$A2043,$L:$L)))/VLOOKUP($A2043,HeadJournal!$A$1:$L$890,COLUMN(HeadJournal!H$1),0),0)</f>
        <v>49.932897965601086</v>
      </c>
      <c r="P2043" s="30">
        <f>IFERROR(SUM(K2043:O2043)*VLOOKUP($A2043,HeadJournal!$A$1:$L$890,COLUMN(HeadJournal!H$1),0),0)</f>
        <v>1423.2024376849517</v>
      </c>
      <c r="Q2043" s="29"/>
      <c r="R2043" s="31"/>
      <c r="S2043" s="31"/>
      <c r="T2043" s="95" t="str">
        <f t="shared" si="160"/>
        <v/>
      </c>
      <c r="U2043" s="32">
        <f t="shared" si="157"/>
        <v>-1423.2024376849517</v>
      </c>
      <c r="V2043" s="22" t="str">
        <f t="shared" si="158"/>
        <v/>
      </c>
      <c r="X2043" s="33"/>
      <c r="Y2043" s="33"/>
    </row>
    <row r="2044" spans="1:25" x14ac:dyDescent="0.2">
      <c r="A2044" s="93" t="s">
        <v>913</v>
      </c>
      <c r="B2044" s="94">
        <f>IFERROR(VLOOKUP($A2044,HeadJournal!$A$1:$NTR$890,COLUMN(HeadJournal!B$1),0),"")</f>
        <v>0</v>
      </c>
      <c r="C2044" s="94" t="str">
        <f>IFERROR(VLOOKUP($A2044,HeadJournal!$A$1:$NTR$890,COLUMN(HeadJournal!C$1),0),"")</f>
        <v>NSP_OA</v>
      </c>
      <c r="D2044" s="125" t="s">
        <v>714</v>
      </c>
      <c r="E2044" s="95">
        <f>IFERROR(VLOOKUP($A2044,HeadJournal!$A$1:$NTR$890,COLUMN(HeadJournal!G$1),0),"")</f>
        <v>45156</v>
      </c>
      <c r="F2044" s="95" t="str">
        <f t="shared" si="159"/>
        <v>2023 08</v>
      </c>
      <c r="G2044" s="96" t="s">
        <v>5</v>
      </c>
      <c r="H2044" s="160" t="str">
        <f>RIGHT(Journal!$J2044,9)</f>
        <v>000000999</v>
      </c>
      <c r="I2044" s="96" t="str">
        <f t="shared" si="161"/>
        <v>NSP</v>
      </c>
      <c r="J2044" s="97" t="s">
        <v>710</v>
      </c>
      <c r="K2044" s="29">
        <v>2731.73</v>
      </c>
      <c r="L2044" s="29">
        <v>-320.33999999999997</v>
      </c>
      <c r="M2044" s="30">
        <f>IFERROR(VLOOKUP($A2044,HeadJournal!$A$1:$J$890,COLUMN(HeadJournal!I$1),0)*($K2044+$L2044)/(SUMIF($A:$A,$A2044,$K:$K)+SUMIF($A:$A,$A2044,$L:$L)),0)</f>
        <v>0</v>
      </c>
      <c r="N2044" s="30">
        <f>IFERROR((VLOOKUP($A2044,HeadJournal!$A$1:$K$890,COLUMN(HeadJournal!K$1),0)-VLOOKUP($A2044,HeadJournal!$A$1:$K$890,COLUMN(HeadJournal!J$1),0))*($K2044+$L2044)/(SUMIF($A:$A,$A2044,$K:$K)+SUMIF($A:$A,$A2044,$L:$L)),0)</f>
        <v>0</v>
      </c>
      <c r="O2044" s="30">
        <f>IFERROR((VLOOKUP($A2044,HeadJournal!$A$1:$L$890,COLUMN(HeadJournal!L$1),0)*($K2044+$L2044)/(SUMIF($A:$A,$A2044,$K:$K)+SUMIF($A:$A,$A2044,$L:$L)))/VLOOKUP($A2044,HeadJournal!$A$1:$L$890,COLUMN(HeadJournal!H$1),0),0)</f>
        <v>46.333501139416114</v>
      </c>
      <c r="P2044" s="30">
        <f>IFERROR(SUM(K2044:O2044)*VLOOKUP($A2044,HeadJournal!$A$1:$L$890,COLUMN(HeadJournal!H$1),0),0)</f>
        <v>2457.7235011394159</v>
      </c>
      <c r="Q2044" s="29">
        <v>3200</v>
      </c>
      <c r="R2044" s="31">
        <v>45204</v>
      </c>
      <c r="S2044" s="31" t="s">
        <v>3121</v>
      </c>
      <c r="T2044" s="95" t="str">
        <f t="shared" si="160"/>
        <v>2023 10</v>
      </c>
      <c r="U2044" s="32">
        <f t="shared" si="157"/>
        <v>742.27649886058407</v>
      </c>
      <c r="V2044" s="22">
        <f t="shared" si="158"/>
        <v>0.30201790336319773</v>
      </c>
      <c r="X2044" s="33"/>
      <c r="Y2044" s="33"/>
    </row>
    <row r="2045" spans="1:25" x14ac:dyDescent="0.2">
      <c r="A2045" s="93" t="s">
        <v>913</v>
      </c>
      <c r="B2045" s="94">
        <f>IFERROR(VLOOKUP($A2045,HeadJournal!$A$1:$NTR$890,COLUMN(HeadJournal!B$1),0),"")</f>
        <v>0</v>
      </c>
      <c r="C2045" s="94" t="str">
        <f>IFERROR(VLOOKUP($A2045,HeadJournal!$A$1:$NTR$890,COLUMN(HeadJournal!C$1),0),"")</f>
        <v>NSP_OA</v>
      </c>
      <c r="D2045" s="125" t="s">
        <v>714</v>
      </c>
      <c r="E2045" s="95">
        <f>IFERROR(VLOOKUP($A2045,HeadJournal!$A$1:$NTR$890,COLUMN(HeadJournal!G$1),0),"")</f>
        <v>45156</v>
      </c>
      <c r="F2045" s="95" t="str">
        <f t="shared" si="159"/>
        <v>2023 08</v>
      </c>
      <c r="G2045" s="96" t="s">
        <v>5</v>
      </c>
      <c r="H2045" s="160" t="str">
        <f>RIGHT(Journal!$J2045,9)</f>
        <v>000001894</v>
      </c>
      <c r="I2045" s="96" t="str">
        <f t="shared" si="161"/>
        <v>NSP</v>
      </c>
      <c r="J2045" s="97" t="s">
        <v>530</v>
      </c>
      <c r="K2045" s="29">
        <v>1442.81</v>
      </c>
      <c r="L2045" s="29">
        <v>-169.19</v>
      </c>
      <c r="M2045" s="30">
        <f>IFERROR(VLOOKUP($A2045,HeadJournal!$A$1:$J$890,COLUMN(HeadJournal!I$1),0)*($K2045+$L2045)/(SUMIF($A:$A,$A2045,$K:$K)+SUMIF($A:$A,$A2045,$L:$L)),0)</f>
        <v>0</v>
      </c>
      <c r="N2045" s="30">
        <f>IFERROR((VLOOKUP($A2045,HeadJournal!$A$1:$K$890,COLUMN(HeadJournal!K$1),0)-VLOOKUP($A2045,HeadJournal!$A$1:$K$890,COLUMN(HeadJournal!J$1),0))*($K2045+$L2045)/(SUMIF($A:$A,$A2045,$K:$K)+SUMIF($A:$A,$A2045,$L:$L)),0)</f>
        <v>0</v>
      </c>
      <c r="O2045" s="30">
        <f>IFERROR((VLOOKUP($A2045,HeadJournal!$A$1:$L$890,COLUMN(HeadJournal!L$1),0)*($K2045+$L2045)/(SUMIF($A:$A,$A2045,$K:$K)+SUMIF($A:$A,$A2045,$L:$L)))/VLOOKUP($A2045,HeadJournal!$A$1:$L$890,COLUMN(HeadJournal!H$1),0),0)</f>
        <v>24.471891200172159</v>
      </c>
      <c r="P2045" s="30">
        <f>IFERROR(SUM(K2045:O2045)*VLOOKUP($A2045,HeadJournal!$A$1:$L$890,COLUMN(HeadJournal!H$1),0),0)</f>
        <v>1298.0918912001721</v>
      </c>
      <c r="Q2045" s="29">
        <v>2000</v>
      </c>
      <c r="R2045" s="31">
        <v>45173</v>
      </c>
      <c r="S2045" s="31" t="s">
        <v>3121</v>
      </c>
      <c r="T2045" s="95" t="str">
        <f t="shared" si="160"/>
        <v>2023 09</v>
      </c>
      <c r="U2045" s="32">
        <f t="shared" si="157"/>
        <v>701.90810879982791</v>
      </c>
      <c r="V2045" s="22">
        <f t="shared" si="158"/>
        <v>0.54072297466619812</v>
      </c>
      <c r="X2045" s="33"/>
      <c r="Y2045" s="33"/>
    </row>
    <row r="2046" spans="1:25" x14ac:dyDescent="0.2">
      <c r="A2046" s="93" t="s">
        <v>913</v>
      </c>
      <c r="B2046" s="94">
        <f>IFERROR(VLOOKUP($A2046,HeadJournal!$A$1:$NTR$890,COLUMN(HeadJournal!B$1),0),"")</f>
        <v>0</v>
      </c>
      <c r="C2046" s="94" t="str">
        <f>IFERROR(VLOOKUP($A2046,HeadJournal!$A$1:$NTR$890,COLUMN(HeadJournal!C$1),0),"")</f>
        <v>NSP_OA</v>
      </c>
      <c r="D2046" s="125" t="s">
        <v>714</v>
      </c>
      <c r="E2046" s="95">
        <f>IFERROR(VLOOKUP($A2046,HeadJournal!$A$1:$NTR$890,COLUMN(HeadJournal!G$1),0),"")</f>
        <v>45156</v>
      </c>
      <c r="F2046" s="95" t="str">
        <f t="shared" si="159"/>
        <v>2023 08</v>
      </c>
      <c r="G2046" s="96" t="s">
        <v>5</v>
      </c>
      <c r="H2046" s="160" t="str">
        <f>RIGHT(Journal!$J2046,9)</f>
        <v>000002851</v>
      </c>
      <c r="I2046" s="96" t="str">
        <f t="shared" si="161"/>
        <v>NSP</v>
      </c>
      <c r="J2046" s="97" t="s">
        <v>909</v>
      </c>
      <c r="K2046" s="29">
        <v>860.625</v>
      </c>
      <c r="L2046" s="29">
        <v>-100.92</v>
      </c>
      <c r="M2046" s="30">
        <f>IFERROR(VLOOKUP($A2046,HeadJournal!$A$1:$J$890,COLUMN(HeadJournal!I$1),0)*($K2046+$L2046)/(SUMIF($A:$A,$A2046,$K:$K)+SUMIF($A:$A,$A2046,$L:$L)),0)</f>
        <v>0</v>
      </c>
      <c r="N2046" s="30">
        <f>IFERROR((VLOOKUP($A2046,HeadJournal!$A$1:$K$890,COLUMN(HeadJournal!K$1),0)-VLOOKUP($A2046,HeadJournal!$A$1:$K$890,COLUMN(HeadJournal!J$1),0))*($K2046+$L2046)/(SUMIF($A:$A,$A2046,$K:$K)+SUMIF($A:$A,$A2046,$L:$L)),0)</f>
        <v>0</v>
      </c>
      <c r="O2046" s="30">
        <f>IFERROR((VLOOKUP($A2046,HeadJournal!$A$1:$L$890,COLUMN(HeadJournal!L$1),0)*($K2046+$L2046)/(SUMIF($A:$A,$A2046,$K:$K)+SUMIF($A:$A,$A2046,$L:$L)))/VLOOKUP($A2046,HeadJournal!$A$1:$L$890,COLUMN(HeadJournal!H$1),0),0)</f>
        <v>14.597303830205863</v>
      </c>
      <c r="P2046" s="30">
        <f>IFERROR(SUM(K2046:O2046)*VLOOKUP($A2046,HeadJournal!$A$1:$L$890,COLUMN(HeadJournal!H$1),0),0)</f>
        <v>774.30230383020591</v>
      </c>
      <c r="Q2046" s="29">
        <v>1200</v>
      </c>
      <c r="R2046" s="31">
        <v>45173</v>
      </c>
      <c r="S2046" s="31" t="s">
        <v>3121</v>
      </c>
      <c r="T2046" s="95" t="str">
        <f t="shared" si="160"/>
        <v>2023 09</v>
      </c>
      <c r="U2046" s="32">
        <f t="shared" si="157"/>
        <v>425.69769616979409</v>
      </c>
      <c r="V2046" s="22">
        <f t="shared" si="158"/>
        <v>0.5497822931224855</v>
      </c>
      <c r="X2046" s="33"/>
      <c r="Y2046" s="33"/>
    </row>
    <row r="2047" spans="1:25" x14ac:dyDescent="0.2">
      <c r="A2047" s="93" t="s">
        <v>913</v>
      </c>
      <c r="B2047" s="94">
        <f>IFERROR(VLOOKUP($A2047,HeadJournal!$A$1:$NTR$890,COLUMN(HeadJournal!B$1),0),"")</f>
        <v>0</v>
      </c>
      <c r="C2047" s="94" t="str">
        <f>IFERROR(VLOOKUP($A2047,HeadJournal!$A$1:$NTR$890,COLUMN(HeadJournal!C$1),0),"")</f>
        <v>NSP_OA</v>
      </c>
      <c r="D2047" s="125" t="s">
        <v>714</v>
      </c>
      <c r="E2047" s="95">
        <f>IFERROR(VLOOKUP($A2047,HeadJournal!$A$1:$NTR$890,COLUMN(HeadJournal!G$1),0),"")</f>
        <v>45156</v>
      </c>
      <c r="F2047" s="95" t="str">
        <f t="shared" si="159"/>
        <v>2023 08</v>
      </c>
      <c r="G2047" s="96" t="s">
        <v>5</v>
      </c>
      <c r="H2047" s="160" t="str">
        <f>RIGHT(Journal!$J2047,9)</f>
        <v>000002851</v>
      </c>
      <c r="I2047" s="96" t="str">
        <f t="shared" si="161"/>
        <v>NSP</v>
      </c>
      <c r="J2047" s="97" t="s">
        <v>909</v>
      </c>
      <c r="K2047" s="29">
        <v>860.625</v>
      </c>
      <c r="L2047" s="29">
        <v>-100.92</v>
      </c>
      <c r="M2047" s="30">
        <f>IFERROR(VLOOKUP($A2047,HeadJournal!$A$1:$J$890,COLUMN(HeadJournal!I$1),0)*($K2047+$L2047)/(SUMIF($A:$A,$A2047,$K:$K)+SUMIF($A:$A,$A2047,$L:$L)),0)</f>
        <v>0</v>
      </c>
      <c r="N2047" s="30">
        <f>IFERROR((VLOOKUP($A2047,HeadJournal!$A$1:$K$890,COLUMN(HeadJournal!K$1),0)-VLOOKUP($A2047,HeadJournal!$A$1:$K$890,COLUMN(HeadJournal!J$1),0))*($K2047+$L2047)/(SUMIF($A:$A,$A2047,$K:$K)+SUMIF($A:$A,$A2047,$L:$L)),0)</f>
        <v>0</v>
      </c>
      <c r="O2047" s="30">
        <f>IFERROR((VLOOKUP($A2047,HeadJournal!$A$1:$L$890,COLUMN(HeadJournal!L$1),0)*($K2047+$L2047)/(SUMIF($A:$A,$A2047,$K:$K)+SUMIF($A:$A,$A2047,$L:$L)))/VLOOKUP($A2047,HeadJournal!$A$1:$L$890,COLUMN(HeadJournal!H$1),0),0)</f>
        <v>14.597303830205863</v>
      </c>
      <c r="P2047" s="30">
        <f>IFERROR(SUM(K2047:O2047)*VLOOKUP($A2047,HeadJournal!$A$1:$L$890,COLUMN(HeadJournal!H$1),0),0)</f>
        <v>774.30230383020591</v>
      </c>
      <c r="Q2047" s="29">
        <v>1200</v>
      </c>
      <c r="R2047" s="31">
        <v>45173</v>
      </c>
      <c r="S2047" s="31" t="s">
        <v>3121</v>
      </c>
      <c r="T2047" s="95" t="str">
        <f t="shared" si="160"/>
        <v>2023 09</v>
      </c>
      <c r="U2047" s="32">
        <f t="shared" si="157"/>
        <v>425.69769616979409</v>
      </c>
      <c r="V2047" s="22">
        <f t="shared" si="158"/>
        <v>0.5497822931224855</v>
      </c>
      <c r="X2047" s="33"/>
      <c r="Y2047" s="33"/>
    </row>
    <row r="2048" spans="1:25" x14ac:dyDescent="0.2">
      <c r="A2048" s="93" t="s">
        <v>914</v>
      </c>
      <c r="B2048" s="94" t="str">
        <f>IFERROR(VLOOKUP($A2048,HeadJournal!$A$1:$NTR$890,COLUMN(HeadJournal!B$1),0),"")</f>
        <v>710000950997</v>
      </c>
      <c r="C2048" s="94" t="str">
        <f>IFERROR(VLOOKUP($A2048,HeadJournal!$A$1:$NTR$890,COLUMN(HeadJournal!C$1),0),"")</f>
        <v>iHerb_OA CZN6870</v>
      </c>
      <c r="D2048" s="125" t="str">
        <f>IFERROR(VLOOKUP($A2048,HeadJournal!$A$1:$NTR$890,COLUMN(HeadJournal!D$1),0),"")</f>
        <v>Доставлен</v>
      </c>
      <c r="E2048" s="95">
        <f>IFERROR(VLOOKUP($A2048,HeadJournal!$A$1:$NTR$890,COLUMN(HeadJournal!G$1),0),"")</f>
        <v>45168</v>
      </c>
      <c r="F2048" s="95" t="str">
        <f t="shared" si="159"/>
        <v>2023 08</v>
      </c>
      <c r="G2048" s="96" t="s">
        <v>5</v>
      </c>
      <c r="H2048" s="161" t="s">
        <v>2203</v>
      </c>
      <c r="I2048" s="97" t="s">
        <v>2166</v>
      </c>
      <c r="J2048" s="97" t="s">
        <v>4099</v>
      </c>
      <c r="K2048" s="29">
        <v>8.6999999999999993</v>
      </c>
      <c r="L2048" s="29">
        <v>0</v>
      </c>
      <c r="M2048" s="30">
        <f>IFERROR(VLOOKUP($A2048,HeadJournal!$A$1:$J$890,COLUMN(HeadJournal!I$1),0)*($K2048+$L2048)/(SUMIF($A:$A,$A2048,$K:$K)+SUMIF($A:$A,$A2048,$L:$L)),0)</f>
        <v>-0.87604666556346178</v>
      </c>
      <c r="N2048" s="30">
        <f>IFERROR((VLOOKUP($A2048,HeadJournal!$A$1:$K$890,COLUMN(HeadJournal!K$1),0)-VLOOKUP($A2048,HeadJournal!$A$1:$K$890,COLUMN(HeadJournal!J$1),0))*($K2048+$L2048)/(SUMIF($A:$A,$A2048,$K:$K)+SUMIF($A:$A,$A2048,$L:$L)),0)</f>
        <v>0</v>
      </c>
      <c r="O2048" s="30">
        <f>IFERROR((VLOOKUP($A2048,HeadJournal!$A$1:$L$890,COLUMN(HeadJournal!L$1),0)*($K2048+$L2048)/(SUMIF($A:$A,$A2048,$K:$K)+SUMIF($A:$A,$A2048,$L:$L)))/VLOOKUP($A2048,HeadJournal!$A$1:$L$890,COLUMN(HeadJournal!H$1),0),0)</f>
        <v>0.57553881994775868</v>
      </c>
      <c r="P2048" s="30">
        <f>IFERROR(SUM(K2048:O2048)*VLOOKUP($A2048,HeadJournal!$A$1:$L$890,COLUMN(HeadJournal!H$1),0),0)</f>
        <v>909.41301555518771</v>
      </c>
      <c r="Q2048" s="29">
        <v>1500</v>
      </c>
      <c r="R2048" s="31">
        <v>45202</v>
      </c>
      <c r="S2048" s="31" t="s">
        <v>3121</v>
      </c>
      <c r="T2048" s="95" t="str">
        <f t="shared" si="160"/>
        <v>2023 10</v>
      </c>
      <c r="U2048" s="32">
        <f t="shared" si="157"/>
        <v>590.58698444481229</v>
      </c>
      <c r="V2048" s="22">
        <f t="shared" si="158"/>
        <v>0.64941558383598097</v>
      </c>
      <c r="X2048" s="33"/>
      <c r="Y2048" s="33"/>
    </row>
    <row r="2049" spans="1:25" x14ac:dyDescent="0.2">
      <c r="A2049" s="93" t="s">
        <v>914</v>
      </c>
      <c r="B2049" s="94" t="str">
        <f>IFERROR(VLOOKUP($A2049,HeadJournal!$A$1:$NTR$890,COLUMN(HeadJournal!B$1),0),"")</f>
        <v>710000950997</v>
      </c>
      <c r="C2049" s="94" t="str">
        <f>IFERROR(VLOOKUP($A2049,HeadJournal!$A$1:$NTR$890,COLUMN(HeadJournal!C$1),0),"")</f>
        <v>iHerb_OA CZN6870</v>
      </c>
      <c r="D2049" s="125" t="str">
        <f>IFERROR(VLOOKUP($A2049,HeadJournal!$A$1:$NTR$890,COLUMN(HeadJournal!D$1),0),"")</f>
        <v>Доставлен</v>
      </c>
      <c r="E2049" s="95">
        <f>IFERROR(VLOOKUP($A2049,HeadJournal!$A$1:$NTR$890,COLUMN(HeadJournal!G$1),0),"")</f>
        <v>45168</v>
      </c>
      <c r="F2049" s="95" t="str">
        <f t="shared" si="159"/>
        <v>2023 08</v>
      </c>
      <c r="G2049" s="96" t="s">
        <v>5</v>
      </c>
      <c r="H2049" s="161" t="s">
        <v>2203</v>
      </c>
      <c r="I2049" s="97" t="s">
        <v>2166</v>
      </c>
      <c r="J2049" s="97" t="s">
        <v>4099</v>
      </c>
      <c r="K2049" s="29">
        <v>8.6999999999999993</v>
      </c>
      <c r="L2049" s="29">
        <v>0</v>
      </c>
      <c r="M2049" s="30">
        <f>IFERROR(VLOOKUP($A2049,HeadJournal!$A$1:$J$890,COLUMN(HeadJournal!I$1),0)*($K2049+$L2049)/(SUMIF($A:$A,$A2049,$K:$K)+SUMIF($A:$A,$A2049,$L:$L)),0)</f>
        <v>-0.87604666556346178</v>
      </c>
      <c r="N2049" s="30">
        <f>IFERROR((VLOOKUP($A2049,HeadJournal!$A$1:$K$890,COLUMN(HeadJournal!K$1),0)-VLOOKUP($A2049,HeadJournal!$A$1:$K$890,COLUMN(HeadJournal!J$1),0))*($K2049+$L2049)/(SUMIF($A:$A,$A2049,$K:$K)+SUMIF($A:$A,$A2049,$L:$L)),0)</f>
        <v>0</v>
      </c>
      <c r="O2049" s="30">
        <f>IFERROR((VLOOKUP($A2049,HeadJournal!$A$1:$L$890,COLUMN(HeadJournal!L$1),0)*($K2049+$L2049)/(SUMIF($A:$A,$A2049,$K:$K)+SUMIF($A:$A,$A2049,$L:$L)))/VLOOKUP($A2049,HeadJournal!$A$1:$L$890,COLUMN(HeadJournal!H$1),0),0)</f>
        <v>0.57553881994775868</v>
      </c>
      <c r="P2049" s="30">
        <f>IFERROR(SUM(K2049:O2049)*VLOOKUP($A2049,HeadJournal!$A$1:$L$890,COLUMN(HeadJournal!H$1),0),0)</f>
        <v>909.41301555518771</v>
      </c>
      <c r="Q2049" s="29">
        <v>1400</v>
      </c>
      <c r="R2049" s="31">
        <v>45225</v>
      </c>
      <c r="S2049" s="31" t="s">
        <v>3121</v>
      </c>
      <c r="T2049" s="95" t="str">
        <f t="shared" si="160"/>
        <v>2023 10</v>
      </c>
      <c r="U2049" s="32">
        <f t="shared" ref="U2049:U2112" si="162">Q2049-P2049</f>
        <v>490.58698444481229</v>
      </c>
      <c r="V2049" s="22">
        <f t="shared" ref="V2049:V2112" si="163">IF(Q2049&lt;&gt;0,IFERROR(U2049/P2049,""),"")</f>
        <v>0.53945454491358225</v>
      </c>
      <c r="X2049" s="33"/>
      <c r="Y2049" s="33"/>
    </row>
    <row r="2050" spans="1:25" x14ac:dyDescent="0.2">
      <c r="A2050" s="93" t="s">
        <v>914</v>
      </c>
      <c r="B2050" s="94" t="str">
        <f>IFERROR(VLOOKUP($A2050,HeadJournal!$A$1:$NTR$890,COLUMN(HeadJournal!B$1),0),"")</f>
        <v>710000950997</v>
      </c>
      <c r="C2050" s="94" t="str">
        <f>IFERROR(VLOOKUP($A2050,HeadJournal!$A$1:$NTR$890,COLUMN(HeadJournal!C$1),0),"")</f>
        <v>iHerb_OA CZN6870</v>
      </c>
      <c r="D2050" s="125" t="str">
        <f>IFERROR(VLOOKUP($A2050,HeadJournal!$A$1:$NTR$890,COLUMN(HeadJournal!D$1),0),"")</f>
        <v>Доставлен</v>
      </c>
      <c r="E2050" s="95">
        <f>IFERROR(VLOOKUP($A2050,HeadJournal!$A$1:$NTR$890,COLUMN(HeadJournal!G$1),0),"")</f>
        <v>45168</v>
      </c>
      <c r="F2050" s="95" t="str">
        <f t="shared" si="159"/>
        <v>2023 08</v>
      </c>
      <c r="G2050" s="96" t="s">
        <v>5</v>
      </c>
      <c r="H2050" s="161" t="s">
        <v>2624</v>
      </c>
      <c r="I2050" s="97" t="s">
        <v>2005</v>
      </c>
      <c r="J2050" s="97" t="s">
        <v>2625</v>
      </c>
      <c r="K2050" s="29">
        <v>21.33</v>
      </c>
      <c r="L2050" s="29">
        <v>-2.1349999999999998</v>
      </c>
      <c r="M2050" s="30">
        <f>IFERROR(VLOOKUP($A2050,HeadJournal!$A$1:$J$890,COLUMN(HeadJournal!I$1),0)*($K2050+$L2050)/(SUMIF($A:$A,$A2050,$K:$K)+SUMIF($A:$A,$A2050,$L:$L)),0)</f>
        <v>-1.9328408902862817</v>
      </c>
      <c r="N2050" s="30">
        <f>IFERROR((VLOOKUP($A2050,HeadJournal!$A$1:$K$890,COLUMN(HeadJournal!K$1),0)-VLOOKUP($A2050,HeadJournal!$A$1:$K$890,COLUMN(HeadJournal!J$1),0))*($K2050+$L2050)/(SUMIF($A:$A,$A2050,$K:$K)+SUMIF($A:$A,$A2050,$L:$L)),0)</f>
        <v>0</v>
      </c>
      <c r="O2050" s="30">
        <f>IFERROR((VLOOKUP($A2050,HeadJournal!$A$1:$L$890,COLUMN(HeadJournal!L$1),0)*($K2050+$L2050)/(SUMIF($A:$A,$A2050,$K:$K)+SUMIF($A:$A,$A2050,$L:$L)))/VLOOKUP($A2050,HeadJournal!$A$1:$L$890,COLUMN(HeadJournal!H$1),0),0)</f>
        <v>1.2698238676893365</v>
      </c>
      <c r="P2050" s="30">
        <f>IFERROR(SUM(K2050:O2050)*VLOOKUP($A2050,HeadJournal!$A$1:$L$890,COLUMN(HeadJournal!H$1),0),0)</f>
        <v>2006.4577969634286</v>
      </c>
      <c r="Q2050" s="29">
        <v>2900</v>
      </c>
      <c r="R2050" s="31">
        <v>45200</v>
      </c>
      <c r="S2050" s="31" t="s">
        <v>3121</v>
      </c>
      <c r="T2050" s="95" t="str">
        <f t="shared" si="160"/>
        <v>2023 10</v>
      </c>
      <c r="U2050" s="32">
        <f t="shared" si="162"/>
        <v>893.54220303657144</v>
      </c>
      <c r="V2050" s="22">
        <f t="shared" si="163"/>
        <v>0.44533316593494138</v>
      </c>
      <c r="X2050" s="33"/>
      <c r="Y2050" s="33"/>
    </row>
    <row r="2051" spans="1:25" x14ac:dyDescent="0.2">
      <c r="A2051" s="93" t="s">
        <v>914</v>
      </c>
      <c r="B2051" s="94" t="str">
        <f>IFERROR(VLOOKUP($A2051,HeadJournal!$A$1:$NTR$890,COLUMN(HeadJournal!B$1),0),"")</f>
        <v>710000950997</v>
      </c>
      <c r="C2051" s="94" t="str">
        <f>IFERROR(VLOOKUP($A2051,HeadJournal!$A$1:$NTR$890,COLUMN(HeadJournal!C$1),0),"")</f>
        <v>iHerb_OA CZN6870</v>
      </c>
      <c r="D2051" s="125" t="str">
        <f>IFERROR(VLOOKUP($A2051,HeadJournal!$A$1:$NTR$890,COLUMN(HeadJournal!D$1),0),"")</f>
        <v>Доставлен</v>
      </c>
      <c r="E2051" s="95">
        <f>IFERROR(VLOOKUP($A2051,HeadJournal!$A$1:$NTR$890,COLUMN(HeadJournal!G$1),0),"")</f>
        <v>45168</v>
      </c>
      <c r="F2051" s="95" t="str">
        <f t="shared" si="159"/>
        <v>2023 08</v>
      </c>
      <c r="G2051" s="96" t="s">
        <v>5</v>
      </c>
      <c r="H2051" s="161" t="s">
        <v>2624</v>
      </c>
      <c r="I2051" s="97" t="s">
        <v>2005</v>
      </c>
      <c r="J2051" s="97" t="s">
        <v>2625</v>
      </c>
      <c r="K2051" s="29">
        <v>21.33</v>
      </c>
      <c r="L2051" s="29">
        <v>-2.1349999999999998</v>
      </c>
      <c r="M2051" s="30">
        <f>IFERROR(VLOOKUP($A2051,HeadJournal!$A$1:$J$890,COLUMN(HeadJournal!I$1),0)*($K2051+$L2051)/(SUMIF($A:$A,$A2051,$K:$K)+SUMIF($A:$A,$A2051,$L:$L)),0)</f>
        <v>-1.9328408902862817</v>
      </c>
      <c r="N2051" s="30">
        <f>IFERROR((VLOOKUP($A2051,HeadJournal!$A$1:$K$890,COLUMN(HeadJournal!K$1),0)-VLOOKUP($A2051,HeadJournal!$A$1:$K$890,COLUMN(HeadJournal!J$1),0))*($K2051+$L2051)/(SUMIF($A:$A,$A2051,$K:$K)+SUMIF($A:$A,$A2051,$L:$L)),0)</f>
        <v>0</v>
      </c>
      <c r="O2051" s="30">
        <f>IFERROR((VLOOKUP($A2051,HeadJournal!$A$1:$L$890,COLUMN(HeadJournal!L$1),0)*($K2051+$L2051)/(SUMIF($A:$A,$A2051,$K:$K)+SUMIF($A:$A,$A2051,$L:$L)))/VLOOKUP($A2051,HeadJournal!$A$1:$L$890,COLUMN(HeadJournal!H$1),0),0)</f>
        <v>1.2698238676893365</v>
      </c>
      <c r="P2051" s="30">
        <f>IFERROR(SUM(K2051:O2051)*VLOOKUP($A2051,HeadJournal!$A$1:$L$890,COLUMN(HeadJournal!H$1),0),0)</f>
        <v>2006.4577969634286</v>
      </c>
      <c r="Q2051" s="29">
        <v>2900</v>
      </c>
      <c r="R2051" s="31">
        <v>45201</v>
      </c>
      <c r="S2051" s="31" t="s">
        <v>3121</v>
      </c>
      <c r="T2051" s="95" t="str">
        <f t="shared" si="160"/>
        <v>2023 10</v>
      </c>
      <c r="U2051" s="32">
        <f t="shared" si="162"/>
        <v>893.54220303657144</v>
      </c>
      <c r="V2051" s="22">
        <f t="shared" si="163"/>
        <v>0.44533316593494138</v>
      </c>
      <c r="X2051" s="33"/>
      <c r="Y2051" s="33"/>
    </row>
    <row r="2052" spans="1:25" x14ac:dyDescent="0.2">
      <c r="A2052" s="93" t="s">
        <v>914</v>
      </c>
      <c r="B2052" s="94" t="str">
        <f>IFERROR(VLOOKUP($A2052,HeadJournal!$A$1:$NTR$890,COLUMN(HeadJournal!B$1),0),"")</f>
        <v>710000950997</v>
      </c>
      <c r="C2052" s="94" t="str">
        <f>IFERROR(VLOOKUP($A2052,HeadJournal!$A$1:$NTR$890,COLUMN(HeadJournal!C$1),0),"")</f>
        <v>iHerb_OA CZN6870</v>
      </c>
      <c r="D2052" s="125" t="str">
        <f>IFERROR(VLOOKUP($A2052,HeadJournal!$A$1:$NTR$890,COLUMN(HeadJournal!D$1),0),"")</f>
        <v>Доставлен</v>
      </c>
      <c r="E2052" s="95">
        <f>IFERROR(VLOOKUP($A2052,HeadJournal!$A$1:$NTR$890,COLUMN(HeadJournal!G$1),0),"")</f>
        <v>45168</v>
      </c>
      <c r="F2052" s="95" t="str">
        <f t="shared" ref="F2052:F2115" si="164">IFERROR(TEXT(E2052, "ГГГГ ММ"),"")</f>
        <v>2023 08</v>
      </c>
      <c r="G2052" s="96" t="s">
        <v>5</v>
      </c>
      <c r="H2052" s="161" t="s">
        <v>2103</v>
      </c>
      <c r="I2052" s="97" t="s">
        <v>2039</v>
      </c>
      <c r="J2052" s="97" t="s">
        <v>2104</v>
      </c>
      <c r="K2052" s="29">
        <v>16.739999999999998</v>
      </c>
      <c r="L2052" s="29">
        <v>-1.67</v>
      </c>
      <c r="M2052" s="30">
        <f>IFERROR(VLOOKUP($A2052,HeadJournal!$A$1:$J$890,COLUMN(HeadJournal!I$1),0)*($K2052+$L2052)/(SUMIF($A:$A,$A2052,$K:$K)+SUMIF($A:$A,$A2052,$L:$L)),0)</f>
        <v>-1.5174739367863643</v>
      </c>
      <c r="N2052" s="30">
        <f>IFERROR((VLOOKUP($A2052,HeadJournal!$A$1:$K$890,COLUMN(HeadJournal!K$1),0)-VLOOKUP($A2052,HeadJournal!$A$1:$K$890,COLUMN(HeadJournal!J$1),0))*($K2052+$L2052)/(SUMIF($A:$A,$A2052,$K:$K)+SUMIF($A:$A,$A2052,$L:$L)),0)</f>
        <v>0</v>
      </c>
      <c r="O2052" s="30">
        <f>IFERROR((VLOOKUP($A2052,HeadJournal!$A$1:$L$890,COLUMN(HeadJournal!L$1),0)*($K2052+$L2052)/(SUMIF($A:$A,$A2052,$K:$K)+SUMIF($A:$A,$A2052,$L:$L)))/VLOOKUP($A2052,HeadJournal!$A$1:$L$890,COLUMN(HeadJournal!H$1),0),0)</f>
        <v>0.99693908236927864</v>
      </c>
      <c r="P2052" s="30">
        <f>IFERROR(SUM(K2052:O2052)*VLOOKUP($A2052,HeadJournal!$A$1:$L$890,COLUMN(HeadJournal!H$1),0),0)</f>
        <v>1575.2705913122618</v>
      </c>
      <c r="Q2052" s="29">
        <v>2200</v>
      </c>
      <c r="R2052" s="31">
        <v>45202</v>
      </c>
      <c r="S2052" s="31" t="s">
        <v>3121</v>
      </c>
      <c r="T2052" s="95" t="str">
        <f t="shared" ref="T2052:T2115" si="165">IF(R2052="","",TEXT(R2052,"ГГГГ ММ"))</f>
        <v>2023 10</v>
      </c>
      <c r="U2052" s="32">
        <f t="shared" si="162"/>
        <v>624.72940868773821</v>
      </c>
      <c r="V2052" s="22">
        <f t="shared" si="163"/>
        <v>0.39658545784652416</v>
      </c>
      <c r="X2052" s="33"/>
      <c r="Y2052" s="33"/>
    </row>
    <row r="2053" spans="1:25" x14ac:dyDescent="0.2">
      <c r="A2053" s="93" t="s">
        <v>914</v>
      </c>
      <c r="B2053" s="94" t="str">
        <f>IFERROR(VLOOKUP($A2053,HeadJournal!$A$1:$NTR$890,COLUMN(HeadJournal!B$1),0),"")</f>
        <v>710000950997</v>
      </c>
      <c r="C2053" s="94" t="str">
        <f>IFERROR(VLOOKUP($A2053,HeadJournal!$A$1:$NTR$890,COLUMN(HeadJournal!C$1),0),"")</f>
        <v>iHerb_OA CZN6870</v>
      </c>
      <c r="D2053" s="125" t="str">
        <f>IFERROR(VLOOKUP($A2053,HeadJournal!$A$1:$NTR$890,COLUMN(HeadJournal!D$1),0),"")</f>
        <v>Доставлен</v>
      </c>
      <c r="E2053" s="95">
        <f>IFERROR(VLOOKUP($A2053,HeadJournal!$A$1:$NTR$890,COLUMN(HeadJournal!G$1),0),"")</f>
        <v>45168</v>
      </c>
      <c r="F2053" s="95" t="str">
        <f t="shared" si="164"/>
        <v>2023 08</v>
      </c>
      <c r="G2053" s="96" t="s">
        <v>5</v>
      </c>
      <c r="H2053" s="161" t="s">
        <v>2105</v>
      </c>
      <c r="I2053" s="97" t="s">
        <v>2039</v>
      </c>
      <c r="J2053" s="97" t="s">
        <v>2106</v>
      </c>
      <c r="K2053" s="29">
        <v>10.83</v>
      </c>
      <c r="L2053" s="29">
        <v>-1.085</v>
      </c>
      <c r="M2053" s="30">
        <f>IFERROR(VLOOKUP($A2053,HeadJournal!$A$1:$J$890,COLUMN(HeadJournal!I$1),0)*($K2053+$L2053)/(SUMIF($A:$A,$A2053,$K:$K)+SUMIF($A:$A,$A2053,$L:$L)),0)</f>
        <v>-0.9812729604501077</v>
      </c>
      <c r="N2053" s="30">
        <f>IFERROR((VLOOKUP($A2053,HeadJournal!$A$1:$K$890,COLUMN(HeadJournal!K$1),0)-VLOOKUP($A2053,HeadJournal!$A$1:$K$890,COLUMN(HeadJournal!J$1),0))*($K2053+$L2053)/(SUMIF($A:$A,$A2053,$K:$K)+SUMIF($A:$A,$A2053,$L:$L)),0)</f>
        <v>0</v>
      </c>
      <c r="O2053" s="30">
        <f>IFERROR((VLOOKUP($A2053,HeadJournal!$A$1:$L$890,COLUMN(HeadJournal!L$1),0)*($K2053+$L2053)/(SUMIF($A:$A,$A2053,$K:$K)+SUMIF($A:$A,$A2053,$L:$L)))/VLOOKUP($A2053,HeadJournal!$A$1:$L$890,COLUMN(HeadJournal!H$1),0),0)</f>
        <v>0.64466963222884033</v>
      </c>
      <c r="P2053" s="30">
        <f>IFERROR(SUM(K2053:O2053)*VLOOKUP($A2053,HeadJournal!$A$1:$L$890,COLUMN(HeadJournal!H$1),0),0)</f>
        <v>1018.6471076534834</v>
      </c>
      <c r="Q2053" s="29">
        <v>1600</v>
      </c>
      <c r="R2053" s="31">
        <v>45202</v>
      </c>
      <c r="S2053" s="31" t="s">
        <v>3121</v>
      </c>
      <c r="T2053" s="95" t="str">
        <f t="shared" si="165"/>
        <v>2023 10</v>
      </c>
      <c r="U2053" s="32">
        <f t="shared" si="162"/>
        <v>581.35289234651657</v>
      </c>
      <c r="V2053" s="22">
        <f t="shared" si="163"/>
        <v>0.57071078686484356</v>
      </c>
      <c r="X2053" s="33"/>
      <c r="Y2053" s="33"/>
    </row>
    <row r="2054" spans="1:25" x14ac:dyDescent="0.2">
      <c r="A2054" s="93" t="s">
        <v>914</v>
      </c>
      <c r="B2054" s="94" t="str">
        <f>IFERROR(VLOOKUP($A2054,HeadJournal!$A$1:$NTR$890,COLUMN(HeadJournal!B$1),0),"")</f>
        <v>710000950997</v>
      </c>
      <c r="C2054" s="94" t="str">
        <f>IFERROR(VLOOKUP($A2054,HeadJournal!$A$1:$NTR$890,COLUMN(HeadJournal!C$1),0),"")</f>
        <v>iHerb_OA CZN6870</v>
      </c>
      <c r="D2054" s="125" t="str">
        <f>IFERROR(VLOOKUP($A2054,HeadJournal!$A$1:$NTR$890,COLUMN(HeadJournal!D$1),0),"")</f>
        <v>Доставлен</v>
      </c>
      <c r="E2054" s="95">
        <f>IFERROR(VLOOKUP($A2054,HeadJournal!$A$1:$NTR$890,COLUMN(HeadJournal!G$1),0),"")</f>
        <v>45168</v>
      </c>
      <c r="F2054" s="95" t="str">
        <f t="shared" si="164"/>
        <v>2023 08</v>
      </c>
      <c r="G2054" s="96" t="s">
        <v>5</v>
      </c>
      <c r="H2054" s="161" t="s">
        <v>2105</v>
      </c>
      <c r="I2054" s="97" t="s">
        <v>2039</v>
      </c>
      <c r="J2054" s="97" t="s">
        <v>2106</v>
      </c>
      <c r="K2054" s="29">
        <v>10.83</v>
      </c>
      <c r="L2054" s="29">
        <v>-1.085</v>
      </c>
      <c r="M2054" s="30">
        <f>IFERROR(VLOOKUP($A2054,HeadJournal!$A$1:$J$890,COLUMN(HeadJournal!I$1),0)*($K2054+$L2054)/(SUMIF($A:$A,$A2054,$K:$K)+SUMIF($A:$A,$A2054,$L:$L)),0)</f>
        <v>-0.9812729604501077</v>
      </c>
      <c r="N2054" s="30">
        <f>IFERROR((VLOOKUP($A2054,HeadJournal!$A$1:$K$890,COLUMN(HeadJournal!K$1),0)-VLOOKUP($A2054,HeadJournal!$A$1:$K$890,COLUMN(HeadJournal!J$1),0))*($K2054+$L2054)/(SUMIF($A:$A,$A2054,$K:$K)+SUMIF($A:$A,$A2054,$L:$L)),0)</f>
        <v>0</v>
      </c>
      <c r="O2054" s="30">
        <f>IFERROR((VLOOKUP($A2054,HeadJournal!$A$1:$L$890,COLUMN(HeadJournal!L$1),0)*($K2054+$L2054)/(SUMIF($A:$A,$A2054,$K:$K)+SUMIF($A:$A,$A2054,$L:$L)))/VLOOKUP($A2054,HeadJournal!$A$1:$L$890,COLUMN(HeadJournal!H$1),0),0)</f>
        <v>0.64466963222884033</v>
      </c>
      <c r="P2054" s="30">
        <f>IFERROR(SUM(K2054:O2054)*VLOOKUP($A2054,HeadJournal!$A$1:$L$890,COLUMN(HeadJournal!H$1),0),0)</f>
        <v>1018.6471076534834</v>
      </c>
      <c r="Q2054" s="29">
        <v>1700</v>
      </c>
      <c r="R2054" s="31">
        <v>45207</v>
      </c>
      <c r="S2054" s="31" t="s">
        <v>3121</v>
      </c>
      <c r="T2054" s="95" t="str">
        <f t="shared" si="165"/>
        <v>2023 10</v>
      </c>
      <c r="U2054" s="32">
        <f t="shared" si="162"/>
        <v>681.35289234651657</v>
      </c>
      <c r="V2054" s="22">
        <f t="shared" si="163"/>
        <v>0.66888021104389628</v>
      </c>
      <c r="X2054" s="33"/>
      <c r="Y2054" s="33"/>
    </row>
    <row r="2055" spans="1:25" x14ac:dyDescent="0.2">
      <c r="A2055" s="93" t="s">
        <v>914</v>
      </c>
      <c r="B2055" s="94" t="str">
        <f>IFERROR(VLOOKUP($A2055,HeadJournal!$A$1:$NTR$890,COLUMN(HeadJournal!B$1),0),"")</f>
        <v>710000950997</v>
      </c>
      <c r="C2055" s="94" t="str">
        <f>IFERROR(VLOOKUP($A2055,HeadJournal!$A$1:$NTR$890,COLUMN(HeadJournal!C$1),0),"")</f>
        <v>iHerb_OA CZN6870</v>
      </c>
      <c r="D2055" s="125" t="str">
        <f>IFERROR(VLOOKUP($A2055,HeadJournal!$A$1:$NTR$890,COLUMN(HeadJournal!D$1),0),"")</f>
        <v>Доставлен</v>
      </c>
      <c r="E2055" s="95">
        <f>IFERROR(VLOOKUP($A2055,HeadJournal!$A$1:$NTR$890,COLUMN(HeadJournal!G$1),0),"")</f>
        <v>45168</v>
      </c>
      <c r="F2055" s="95" t="str">
        <f t="shared" si="164"/>
        <v>2023 08</v>
      </c>
      <c r="G2055" s="96" t="s">
        <v>5</v>
      </c>
      <c r="H2055" s="160" t="str">
        <f>RIGHT(Journal!$J2055,9)</f>
        <v>CGN-01352</v>
      </c>
      <c r="I2055" s="96" t="str">
        <f t="shared" si="161"/>
        <v>California Gold Nutrition</v>
      </c>
      <c r="J2055" s="97" t="s">
        <v>319</v>
      </c>
      <c r="K2055" s="29">
        <v>13.59</v>
      </c>
      <c r="L2055" s="29">
        <v>-4.0750000000000002</v>
      </c>
      <c r="M2055" s="30">
        <f>IFERROR(VLOOKUP($A2055,HeadJournal!$A$1:$J$890,COLUMN(HeadJournal!I$1),0)*($K2055+$L2055)/(SUMIF($A:$A,$A2055,$K:$K)+SUMIF($A:$A,$A2055,$L:$L)),0)</f>
        <v>-0.95811310607314248</v>
      </c>
      <c r="N2055" s="30">
        <f>IFERROR((VLOOKUP($A2055,HeadJournal!$A$1:$K$890,COLUMN(HeadJournal!K$1),0)-VLOOKUP($A2055,HeadJournal!$A$1:$K$890,COLUMN(HeadJournal!J$1),0))*($K2055+$L2055)/(SUMIF($A:$A,$A2055,$K:$K)+SUMIF($A:$A,$A2055,$L:$L)),0)</f>
        <v>0</v>
      </c>
      <c r="O2055" s="30">
        <f>IFERROR((VLOOKUP($A2055,HeadJournal!$A$1:$L$890,COLUMN(HeadJournal!L$1),0)*($K2055+$L2055)/(SUMIF($A:$A,$A2055,$K:$K)+SUMIF($A:$A,$A2055,$L:$L)))/VLOOKUP($A2055,HeadJournal!$A$1:$L$890,COLUMN(HeadJournal!H$1),0),0)</f>
        <v>0.62945423813826729</v>
      </c>
      <c r="P2055" s="30">
        <f>IFERROR(SUM(K2055:O2055)*VLOOKUP($A2055,HeadJournal!$A$1:$L$890,COLUMN(HeadJournal!H$1),0),0)</f>
        <v>994.60515436869116</v>
      </c>
      <c r="Q2055" s="29">
        <v>1900</v>
      </c>
      <c r="R2055" s="31">
        <v>45201</v>
      </c>
      <c r="S2055" s="31" t="s">
        <v>3121</v>
      </c>
      <c r="T2055" s="95" t="str">
        <f t="shared" si="165"/>
        <v>2023 10</v>
      </c>
      <c r="U2055" s="32">
        <f t="shared" si="162"/>
        <v>905.39484563130884</v>
      </c>
      <c r="V2055" s="22">
        <f t="shared" si="163"/>
        <v>0.91030580492616986</v>
      </c>
      <c r="X2055" s="33"/>
      <c r="Y2055" s="33"/>
    </row>
    <row r="2056" spans="1:25" x14ac:dyDescent="0.2">
      <c r="A2056" s="93" t="s">
        <v>914</v>
      </c>
      <c r="B2056" s="94" t="str">
        <f>IFERROR(VLOOKUP($A2056,HeadJournal!$A$1:$NTR$890,COLUMN(HeadJournal!B$1),0),"")</f>
        <v>710000950997</v>
      </c>
      <c r="C2056" s="94" t="str">
        <f>IFERROR(VLOOKUP($A2056,HeadJournal!$A$1:$NTR$890,COLUMN(HeadJournal!C$1),0),"")</f>
        <v>iHerb_OA CZN6870</v>
      </c>
      <c r="D2056" s="125" t="str">
        <f>IFERROR(VLOOKUP($A2056,HeadJournal!$A$1:$NTR$890,COLUMN(HeadJournal!D$1),0),"")</f>
        <v>Доставлен</v>
      </c>
      <c r="E2056" s="95">
        <f>IFERROR(VLOOKUP($A2056,HeadJournal!$A$1:$NTR$890,COLUMN(HeadJournal!G$1),0),"")</f>
        <v>45168</v>
      </c>
      <c r="F2056" s="95" t="str">
        <f t="shared" si="164"/>
        <v>2023 08</v>
      </c>
      <c r="G2056" s="96" t="s">
        <v>5</v>
      </c>
      <c r="H2056" s="160" t="str">
        <f>RIGHT(Journal!$J2056,9)</f>
        <v>CGN-01352</v>
      </c>
      <c r="I2056" s="96" t="str">
        <f t="shared" si="161"/>
        <v>California Gold Nutrition</v>
      </c>
      <c r="J2056" s="97" t="s">
        <v>319</v>
      </c>
      <c r="K2056" s="29">
        <v>13.59</v>
      </c>
      <c r="L2056" s="29">
        <v>-4.0750000000000002</v>
      </c>
      <c r="M2056" s="30">
        <f>IFERROR(VLOOKUP($A2056,HeadJournal!$A$1:$J$890,COLUMN(HeadJournal!I$1),0)*($K2056+$L2056)/(SUMIF($A:$A,$A2056,$K:$K)+SUMIF($A:$A,$A2056,$L:$L)),0)</f>
        <v>-0.95811310607314248</v>
      </c>
      <c r="N2056" s="30">
        <f>IFERROR((VLOOKUP($A2056,HeadJournal!$A$1:$K$890,COLUMN(HeadJournal!K$1),0)-VLOOKUP($A2056,HeadJournal!$A$1:$K$890,COLUMN(HeadJournal!J$1),0))*($K2056+$L2056)/(SUMIF($A:$A,$A2056,$K:$K)+SUMIF($A:$A,$A2056,$L:$L)),0)</f>
        <v>0</v>
      </c>
      <c r="O2056" s="30">
        <f>IFERROR((VLOOKUP($A2056,HeadJournal!$A$1:$L$890,COLUMN(HeadJournal!L$1),0)*($K2056+$L2056)/(SUMIF($A:$A,$A2056,$K:$K)+SUMIF($A:$A,$A2056,$L:$L)))/VLOOKUP($A2056,HeadJournal!$A$1:$L$890,COLUMN(HeadJournal!H$1),0),0)</f>
        <v>0.62945423813826729</v>
      </c>
      <c r="P2056" s="30">
        <f>IFERROR(SUM(K2056:O2056)*VLOOKUP($A2056,HeadJournal!$A$1:$L$890,COLUMN(HeadJournal!H$1),0),0)</f>
        <v>994.60515436869116</v>
      </c>
      <c r="Q2056" s="29">
        <v>1900</v>
      </c>
      <c r="R2056" s="31">
        <v>45201</v>
      </c>
      <c r="S2056" s="31" t="s">
        <v>3121</v>
      </c>
      <c r="T2056" s="95" t="str">
        <f t="shared" si="165"/>
        <v>2023 10</v>
      </c>
      <c r="U2056" s="32">
        <f t="shared" si="162"/>
        <v>905.39484563130884</v>
      </c>
      <c r="V2056" s="22">
        <f t="shared" si="163"/>
        <v>0.91030580492616986</v>
      </c>
      <c r="X2056" s="33"/>
      <c r="Y2056" s="33"/>
    </row>
    <row r="2057" spans="1:25" x14ac:dyDescent="0.2">
      <c r="A2057" s="93" t="s">
        <v>914</v>
      </c>
      <c r="B2057" s="94" t="str">
        <f>IFERROR(VLOOKUP($A2057,HeadJournal!$A$1:$NTR$890,COLUMN(HeadJournal!B$1),0),"")</f>
        <v>710000950997</v>
      </c>
      <c r="C2057" s="94" t="str">
        <f>IFERROR(VLOOKUP($A2057,HeadJournal!$A$1:$NTR$890,COLUMN(HeadJournal!C$1),0),"")</f>
        <v>iHerb_OA CZN6870</v>
      </c>
      <c r="D2057" s="125" t="str">
        <f>IFERROR(VLOOKUP($A2057,HeadJournal!$A$1:$NTR$890,COLUMN(HeadJournal!D$1),0),"")</f>
        <v>Доставлен</v>
      </c>
      <c r="E2057" s="95">
        <f>IFERROR(VLOOKUP($A2057,HeadJournal!$A$1:$NTR$890,COLUMN(HeadJournal!G$1),0),"")</f>
        <v>45168</v>
      </c>
      <c r="F2057" s="95" t="str">
        <f t="shared" si="164"/>
        <v>2023 08</v>
      </c>
      <c r="G2057" s="96" t="s">
        <v>5</v>
      </c>
      <c r="H2057" s="160" t="str">
        <f>RIGHT(Journal!$J2057,9)</f>
        <v>LKN-01789</v>
      </c>
      <c r="I2057" s="96" t="str">
        <f t="shared" si="161"/>
        <v>Lake Avenue Nutrition</v>
      </c>
      <c r="J2057" s="97" t="s">
        <v>915</v>
      </c>
      <c r="K2057" s="29">
        <v>10.01</v>
      </c>
      <c r="L2057" s="29">
        <v>-5.01</v>
      </c>
      <c r="M2057" s="30">
        <f>IFERROR(VLOOKUP($A2057,HeadJournal!$A$1:$J$890,COLUMN(HeadJournal!I$1),0)*($K2057+$L2057)/(SUMIF($A:$A,$A2057,$K:$K)+SUMIF($A:$A,$A2057,$L:$L)),0)</f>
        <v>-0.50347509515141486</v>
      </c>
      <c r="N2057" s="30">
        <f>IFERROR((VLOOKUP($A2057,HeadJournal!$A$1:$K$890,COLUMN(HeadJournal!K$1),0)-VLOOKUP($A2057,HeadJournal!$A$1:$K$890,COLUMN(HeadJournal!J$1),0))*($K2057+$L2057)/(SUMIF($A:$A,$A2057,$K:$K)+SUMIF($A:$A,$A2057,$L:$L)),0)</f>
        <v>0</v>
      </c>
      <c r="O2057" s="30">
        <f>IFERROR((VLOOKUP($A2057,HeadJournal!$A$1:$L$890,COLUMN(HeadJournal!L$1),0)*($K2057+$L2057)/(SUMIF($A:$A,$A2057,$K:$K)+SUMIF($A:$A,$A2057,$L:$L)))/VLOOKUP($A2057,HeadJournal!$A$1:$L$890,COLUMN(HeadJournal!H$1),0),0)</f>
        <v>0.33076943675158554</v>
      </c>
      <c r="P2057" s="30">
        <f>IFERROR(SUM(K2057:O2057)*VLOOKUP($A2057,HeadJournal!$A$1:$L$890,COLUMN(HeadJournal!H$1),0),0)</f>
        <v>522.65115836505049</v>
      </c>
      <c r="Q2057" s="29"/>
      <c r="R2057" s="31"/>
      <c r="S2057" s="31"/>
      <c r="T2057" s="95" t="str">
        <f t="shared" si="165"/>
        <v/>
      </c>
      <c r="U2057" s="32">
        <f t="shared" si="162"/>
        <v>-522.65115836505049</v>
      </c>
      <c r="V2057" s="22" t="str">
        <f t="shared" si="163"/>
        <v/>
      </c>
      <c r="X2057" s="33"/>
      <c r="Y2057" s="33"/>
    </row>
    <row r="2058" spans="1:25" x14ac:dyDescent="0.2">
      <c r="A2058" s="93" t="s">
        <v>914</v>
      </c>
      <c r="B2058" s="94" t="str">
        <f>IFERROR(VLOOKUP($A2058,HeadJournal!$A$1:$NTR$890,COLUMN(HeadJournal!B$1),0),"")</f>
        <v>710000950997</v>
      </c>
      <c r="C2058" s="94" t="str">
        <f>IFERROR(VLOOKUP($A2058,HeadJournal!$A$1:$NTR$890,COLUMN(HeadJournal!C$1),0),"")</f>
        <v>iHerb_OA CZN6870</v>
      </c>
      <c r="D2058" s="125" t="str">
        <f>IFERROR(VLOOKUP($A2058,HeadJournal!$A$1:$NTR$890,COLUMN(HeadJournal!D$1),0),"")</f>
        <v>Доставлен</v>
      </c>
      <c r="E2058" s="95">
        <f>IFERROR(VLOOKUP($A2058,HeadJournal!$A$1:$NTR$890,COLUMN(HeadJournal!G$1),0),"")</f>
        <v>45168</v>
      </c>
      <c r="F2058" s="95" t="str">
        <f t="shared" si="164"/>
        <v>2023 08</v>
      </c>
      <c r="G2058" s="96" t="s">
        <v>5</v>
      </c>
      <c r="H2058" s="160" t="str">
        <f>RIGHT(Journal!$J2058,9)</f>
        <v>CGN-01242</v>
      </c>
      <c r="I2058" s="96" t="str">
        <f t="shared" si="161"/>
        <v>California Gold Nutrition</v>
      </c>
      <c r="J2058" s="97" t="s">
        <v>916</v>
      </c>
      <c r="K2058" s="29">
        <v>9.26</v>
      </c>
      <c r="L2058" s="29">
        <v>-2.78</v>
      </c>
      <c r="M2058" s="30">
        <f>IFERROR(VLOOKUP($A2058,HeadJournal!$A$1:$J$890,COLUMN(HeadJournal!I$1),0)*($K2058+$L2058)/(SUMIF($A:$A,$A2058,$K:$K)+SUMIF($A:$A,$A2058,$L:$L)),0)</f>
        <v>-0.65250372331623374</v>
      </c>
      <c r="N2058" s="30">
        <f>IFERROR((VLOOKUP($A2058,HeadJournal!$A$1:$K$890,COLUMN(HeadJournal!K$1),0)-VLOOKUP($A2058,HeadJournal!$A$1:$K$890,COLUMN(HeadJournal!J$1),0))*($K2058+$L2058)/(SUMIF($A:$A,$A2058,$K:$K)+SUMIF($A:$A,$A2058,$L:$L)),0)</f>
        <v>0</v>
      </c>
      <c r="O2058" s="30">
        <f>IFERROR((VLOOKUP($A2058,HeadJournal!$A$1:$L$890,COLUMN(HeadJournal!L$1),0)*($K2058+$L2058)/(SUMIF($A:$A,$A2058,$K:$K)+SUMIF($A:$A,$A2058,$L:$L)))/VLOOKUP($A2058,HeadJournal!$A$1:$L$890,COLUMN(HeadJournal!H$1),0),0)</f>
        <v>0.42867719003005478</v>
      </c>
      <c r="P2058" s="30">
        <f>IFERROR(SUM(K2058:O2058)*VLOOKUP($A2058,HeadJournal!$A$1:$L$890,COLUMN(HeadJournal!H$1),0),0)</f>
        <v>677.35590124110547</v>
      </c>
      <c r="Q2058" s="29">
        <v>1700</v>
      </c>
      <c r="R2058" s="31">
        <v>45867</v>
      </c>
      <c r="S2058" s="31"/>
      <c r="T2058" s="95" t="str">
        <f t="shared" si="165"/>
        <v>2025 07</v>
      </c>
      <c r="U2058" s="32">
        <f t="shared" si="162"/>
        <v>1022.6440987588945</v>
      </c>
      <c r="V2058" s="22">
        <f t="shared" si="163"/>
        <v>1.5097588976269705</v>
      </c>
      <c r="X2058" s="33"/>
      <c r="Y2058" s="33"/>
    </row>
    <row r="2059" spans="1:25" x14ac:dyDescent="0.2">
      <c r="A2059" s="93" t="s">
        <v>917</v>
      </c>
      <c r="B2059" s="94" t="str">
        <f>IFERROR(VLOOKUP($A2059,HeadJournal!$A$1:$NTR$890,COLUMN(HeadJournal!B$1),0),"")</f>
        <v>710000960871</v>
      </c>
      <c r="C2059" s="94" t="str">
        <f>IFERROR(VLOOKUP($A2059,HeadJournal!$A$1:$NTR$890,COLUMN(HeadJournal!C$1),0),"")</f>
        <v>iHerb_AV CYG0792</v>
      </c>
      <c r="D2059" s="125" t="str">
        <f>IFERROR(VLOOKUP($A2059,HeadJournal!$A$1:$NTR$890,COLUMN(HeadJournal!D$1),0),"")</f>
        <v>Доставлен</v>
      </c>
      <c r="E2059" s="95">
        <f>IFERROR(VLOOKUP($A2059,HeadJournal!$A$1:$NTR$890,COLUMN(HeadJournal!G$1),0),"")</f>
        <v>45172</v>
      </c>
      <c r="F2059" s="95" t="str">
        <f t="shared" si="164"/>
        <v>2023 09</v>
      </c>
      <c r="G2059" s="96" t="s">
        <v>5</v>
      </c>
      <c r="H2059" s="161" t="s">
        <v>3099</v>
      </c>
      <c r="I2059" s="97" t="s">
        <v>2005</v>
      </c>
      <c r="J2059" s="97" t="s">
        <v>3100</v>
      </c>
      <c r="K2059" s="29">
        <v>23.25</v>
      </c>
      <c r="L2059" s="29">
        <v>-6.28</v>
      </c>
      <c r="M2059" s="30">
        <f>IFERROR(VLOOKUP($A2059,HeadJournal!$A$1:$J$890,COLUMN(HeadJournal!I$1),0)*($K2059+$L2059)/(SUMIF($A:$A,$A2059,$K:$K)+SUMIF($A:$A,$A2059,$L:$L)),0)</f>
        <v>-0.69788336431226761</v>
      </c>
      <c r="N2059" s="30">
        <f>IFERROR((VLOOKUP($A2059,HeadJournal!$A$1:$K$890,COLUMN(HeadJournal!K$1),0)-VLOOKUP($A2059,HeadJournal!$A$1:$K$890,COLUMN(HeadJournal!J$1),0))*($K2059+$L2059)/(SUMIF($A:$A,$A2059,$K:$K)+SUMIF($A:$A,$A2059,$L:$L)),0)</f>
        <v>0</v>
      </c>
      <c r="O2059" s="30">
        <f>IFERROR((VLOOKUP($A2059,HeadJournal!$A$1:$L$890,COLUMN(HeadJournal!L$1),0)*($K2059+$L2059)/(SUMIF($A:$A,$A2059,$K:$K)+SUMIF($A:$A,$A2059,$L:$L)))/VLOOKUP($A2059,HeadJournal!$A$1:$L$890,COLUMN(HeadJournal!H$1),0),0)</f>
        <v>0.52978788695557422</v>
      </c>
      <c r="P2059" s="30">
        <f>IFERROR(SUM(K2059:O2059)*VLOOKUP($A2059,HeadJournal!$A$1:$L$890,COLUMN(HeadJournal!H$1),0),0)</f>
        <v>1804.1012750735747</v>
      </c>
      <c r="Q2059" s="29">
        <v>2900</v>
      </c>
      <c r="R2059" s="31">
        <v>45222</v>
      </c>
      <c r="S2059" s="31" t="s">
        <v>3121</v>
      </c>
      <c r="T2059" s="95" t="str">
        <f t="shared" si="165"/>
        <v>2023 10</v>
      </c>
      <c r="U2059" s="32">
        <f t="shared" si="162"/>
        <v>1095.8987249264253</v>
      </c>
      <c r="V2059" s="22">
        <f t="shared" si="163"/>
        <v>0.6074485618229678</v>
      </c>
      <c r="X2059" s="33"/>
      <c r="Y2059" s="33"/>
    </row>
    <row r="2060" spans="1:25" x14ac:dyDescent="0.2">
      <c r="A2060" s="93" t="s">
        <v>917</v>
      </c>
      <c r="B2060" s="94" t="str">
        <f>IFERROR(VLOOKUP($A2060,HeadJournal!$A$1:$NTR$890,COLUMN(HeadJournal!B$1),0),"")</f>
        <v>710000960871</v>
      </c>
      <c r="C2060" s="94" t="str">
        <f>IFERROR(VLOOKUP($A2060,HeadJournal!$A$1:$NTR$890,COLUMN(HeadJournal!C$1),0),"")</f>
        <v>iHerb_AV CYG0792</v>
      </c>
      <c r="D2060" s="125" t="str">
        <f>IFERROR(VLOOKUP($A2060,HeadJournal!$A$1:$NTR$890,COLUMN(HeadJournal!D$1),0),"")</f>
        <v>Доставлен</v>
      </c>
      <c r="E2060" s="95">
        <f>IFERROR(VLOOKUP($A2060,HeadJournal!$A$1:$NTR$890,COLUMN(HeadJournal!G$1),0),"")</f>
        <v>45172</v>
      </c>
      <c r="F2060" s="95" t="str">
        <f t="shared" si="164"/>
        <v>2023 09</v>
      </c>
      <c r="G2060" s="96" t="s">
        <v>6</v>
      </c>
      <c r="H2060" s="160" t="str">
        <f>RIGHT(Journal!$J2060,9)</f>
        <v>UNN-00042</v>
      </c>
      <c r="I2060" s="96" t="str">
        <f t="shared" si="161"/>
        <v>Animal</v>
      </c>
      <c r="J2060" s="97" t="s">
        <v>918</v>
      </c>
      <c r="K2060" s="29">
        <v>57.69</v>
      </c>
      <c r="L2060" s="29">
        <v>-15.574999999999999</v>
      </c>
      <c r="M2060" s="30">
        <f>IFERROR(VLOOKUP($A2060,HeadJournal!$A$1:$J$890,COLUMN(HeadJournal!I$1),0)*($K2060+$L2060)/(SUMIF($A:$A,$A2060,$K:$K)+SUMIF($A:$A,$A2060,$L:$L)),0)</f>
        <v>-1.7319598048327132</v>
      </c>
      <c r="N2060" s="30">
        <f>IFERROR((VLOOKUP($A2060,HeadJournal!$A$1:$K$890,COLUMN(HeadJournal!K$1),0)-VLOOKUP($A2060,HeadJournal!$A$1:$K$890,COLUMN(HeadJournal!J$1),0))*($K2060+$L2060)/(SUMIF($A:$A,$A2060,$K:$K)+SUMIF($A:$A,$A2060,$L:$L)),0)</f>
        <v>0</v>
      </c>
      <c r="O2060" s="30">
        <f>IFERROR((VLOOKUP($A2060,HeadJournal!$A$1:$L$890,COLUMN(HeadJournal!L$1),0)*($K2060+$L2060)/(SUMIF($A:$A,$A2060,$K:$K)+SUMIF($A:$A,$A2060,$L:$L)))/VLOOKUP($A2060,HeadJournal!$A$1:$L$890,COLUMN(HeadJournal!H$1),0),0)</f>
        <v>1.3147918007739545</v>
      </c>
      <c r="P2060" s="30">
        <f>IFERROR(SUM(K2060:O2060)*VLOOKUP($A2060,HeadJournal!$A$1:$L$890,COLUMN(HeadJournal!H$1),0),0)</f>
        <v>4477.296711828144</v>
      </c>
      <c r="Q2060" s="29">
        <v>6000</v>
      </c>
      <c r="R2060" s="31">
        <v>45404</v>
      </c>
      <c r="S2060" s="31" t="s">
        <v>3121</v>
      </c>
      <c r="T2060" s="95" t="str">
        <f t="shared" si="165"/>
        <v>2024 04</v>
      </c>
      <c r="U2060" s="32">
        <f t="shared" si="162"/>
        <v>1522.703288171856</v>
      </c>
      <c r="V2060" s="22">
        <f t="shared" si="163"/>
        <v>0.3400943440154795</v>
      </c>
      <c r="X2060" s="33"/>
      <c r="Y2060" s="33"/>
    </row>
    <row r="2061" spans="1:25" x14ac:dyDescent="0.2">
      <c r="A2061" s="93" t="s">
        <v>917</v>
      </c>
      <c r="B2061" s="94" t="str">
        <f>IFERROR(VLOOKUP($A2061,HeadJournal!$A$1:$NTR$890,COLUMN(HeadJournal!B$1),0),"")</f>
        <v>710000960871</v>
      </c>
      <c r="C2061" s="94" t="str">
        <f>IFERROR(VLOOKUP($A2061,HeadJournal!$A$1:$NTR$890,COLUMN(HeadJournal!C$1),0),"")</f>
        <v>iHerb_AV CYG0792</v>
      </c>
      <c r="D2061" s="125" t="str">
        <f>IFERROR(VLOOKUP($A2061,HeadJournal!$A$1:$NTR$890,COLUMN(HeadJournal!D$1),0),"")</f>
        <v>Доставлен</v>
      </c>
      <c r="E2061" s="95">
        <f>IFERROR(VLOOKUP($A2061,HeadJournal!$A$1:$NTR$890,COLUMN(HeadJournal!G$1),0),"")</f>
        <v>45172</v>
      </c>
      <c r="F2061" s="95" t="str">
        <f t="shared" si="164"/>
        <v>2023 09</v>
      </c>
      <c r="G2061" s="96" t="s">
        <v>6</v>
      </c>
      <c r="H2061" s="160" t="str">
        <f>RIGHT(Journal!$J2061,9)</f>
        <v>UNN-00042</v>
      </c>
      <c r="I2061" s="96" t="str">
        <f t="shared" si="161"/>
        <v>Animal</v>
      </c>
      <c r="J2061" s="97" t="s">
        <v>918</v>
      </c>
      <c r="K2061" s="29">
        <v>57.69</v>
      </c>
      <c r="L2061" s="29">
        <v>-15.574999999999999</v>
      </c>
      <c r="M2061" s="30">
        <f>IFERROR(VLOOKUP($A2061,HeadJournal!$A$1:$J$890,COLUMN(HeadJournal!I$1),0)*($K2061+$L2061)/(SUMIF($A:$A,$A2061,$K:$K)+SUMIF($A:$A,$A2061,$L:$L)),0)</f>
        <v>-1.7319598048327132</v>
      </c>
      <c r="N2061" s="30">
        <f>IFERROR((VLOOKUP($A2061,HeadJournal!$A$1:$K$890,COLUMN(HeadJournal!K$1),0)-VLOOKUP($A2061,HeadJournal!$A$1:$K$890,COLUMN(HeadJournal!J$1),0))*($K2061+$L2061)/(SUMIF($A:$A,$A2061,$K:$K)+SUMIF($A:$A,$A2061,$L:$L)),0)</f>
        <v>0</v>
      </c>
      <c r="O2061" s="30">
        <f>IFERROR((VLOOKUP($A2061,HeadJournal!$A$1:$L$890,COLUMN(HeadJournal!L$1),0)*($K2061+$L2061)/(SUMIF($A:$A,$A2061,$K:$K)+SUMIF($A:$A,$A2061,$L:$L)))/VLOOKUP($A2061,HeadJournal!$A$1:$L$890,COLUMN(HeadJournal!H$1),0),0)</f>
        <v>1.3147918007739545</v>
      </c>
      <c r="P2061" s="30">
        <f>IFERROR(SUM(K2061:O2061)*VLOOKUP($A2061,HeadJournal!$A$1:$L$890,COLUMN(HeadJournal!H$1),0),0)</f>
        <v>4477.296711828144</v>
      </c>
      <c r="Q2061" s="29">
        <v>5000</v>
      </c>
      <c r="R2061" s="31">
        <v>45679</v>
      </c>
      <c r="S2061" s="31" t="s">
        <v>3121</v>
      </c>
      <c r="T2061" s="95" t="str">
        <f t="shared" si="165"/>
        <v>2025 01</v>
      </c>
      <c r="U2061" s="32">
        <f t="shared" si="162"/>
        <v>522.703288171856</v>
      </c>
      <c r="V2061" s="22">
        <f t="shared" si="163"/>
        <v>0.11674528667956625</v>
      </c>
      <c r="X2061" s="33"/>
      <c r="Y2061" s="33"/>
    </row>
    <row r="2062" spans="1:25" x14ac:dyDescent="0.2">
      <c r="A2062" s="93" t="s">
        <v>917</v>
      </c>
      <c r="B2062" s="94" t="str">
        <f>IFERROR(VLOOKUP($A2062,HeadJournal!$A$1:$NTR$890,COLUMN(HeadJournal!B$1),0),"")</f>
        <v>710000960871</v>
      </c>
      <c r="C2062" s="94" t="str">
        <f>IFERROR(VLOOKUP($A2062,HeadJournal!$A$1:$NTR$890,COLUMN(HeadJournal!C$1),0),"")</f>
        <v>iHerb_AV CYG0792</v>
      </c>
      <c r="D2062" s="125" t="str">
        <f>IFERROR(VLOOKUP($A2062,HeadJournal!$A$1:$NTR$890,COLUMN(HeadJournal!D$1),0),"")</f>
        <v>Доставлен</v>
      </c>
      <c r="E2062" s="95">
        <f>IFERROR(VLOOKUP($A2062,HeadJournal!$A$1:$NTR$890,COLUMN(HeadJournal!G$1),0),"")</f>
        <v>45172</v>
      </c>
      <c r="F2062" s="95" t="str">
        <f t="shared" si="164"/>
        <v>2023 09</v>
      </c>
      <c r="G2062" s="96" t="s">
        <v>5</v>
      </c>
      <c r="H2062" s="161" t="s">
        <v>2124</v>
      </c>
      <c r="I2062" s="97" t="s">
        <v>2125</v>
      </c>
      <c r="J2062" s="97" t="s">
        <v>2126</v>
      </c>
      <c r="K2062" s="29">
        <v>13.38</v>
      </c>
      <c r="L2062" s="29">
        <v>-3.6133333333333333</v>
      </c>
      <c r="M2062" s="30">
        <f>IFERROR(VLOOKUP($A2062,HeadJournal!$A$1:$J$890,COLUMN(HeadJournal!I$1),0)*($K2062+$L2062)/(SUMIF($A:$A,$A2062,$K:$K)+SUMIF($A:$A,$A2062,$L:$L)),0)</f>
        <v>-0.40164962825278805</v>
      </c>
      <c r="N2062" s="30">
        <f>IFERROR((VLOOKUP($A2062,HeadJournal!$A$1:$K$890,COLUMN(HeadJournal!K$1),0)-VLOOKUP($A2062,HeadJournal!$A$1:$K$890,COLUMN(HeadJournal!J$1),0))*($K2062+$L2062)/(SUMIF($A:$A,$A2062,$K:$K)+SUMIF($A:$A,$A2062,$L:$L)),0)</f>
        <v>0</v>
      </c>
      <c r="O2062" s="30">
        <f>IFERROR((VLOOKUP($A2062,HeadJournal!$A$1:$L$890,COLUMN(HeadJournal!L$1),0)*($K2062+$L2062)/(SUMIF($A:$A,$A2062,$K:$K)+SUMIF($A:$A,$A2062,$L:$L)))/VLOOKUP($A2062,HeadJournal!$A$1:$L$890,COLUMN(HeadJournal!H$1),0),0)</f>
        <v>0.30490640518166034</v>
      </c>
      <c r="P2062" s="30">
        <f>IFERROR(SUM(K2062:O2062)*VLOOKUP($A2062,HeadJournal!$A$1:$L$890,COLUMN(HeadJournal!H$1),0),0)</f>
        <v>1038.3061748115449</v>
      </c>
      <c r="Q2062" s="29">
        <v>2000</v>
      </c>
      <c r="R2062" s="31">
        <v>45239</v>
      </c>
      <c r="S2062" s="31" t="s">
        <v>3121</v>
      </c>
      <c r="T2062" s="95" t="str">
        <f t="shared" si="165"/>
        <v>2023 11</v>
      </c>
      <c r="U2062" s="32">
        <f t="shared" si="162"/>
        <v>961.69382518845509</v>
      </c>
      <c r="V2062" s="22">
        <f t="shared" si="163"/>
        <v>0.92621410574102081</v>
      </c>
      <c r="X2062" s="33"/>
      <c r="Y2062" s="33"/>
    </row>
    <row r="2063" spans="1:25" x14ac:dyDescent="0.2">
      <c r="A2063" s="93" t="s">
        <v>917</v>
      </c>
      <c r="B2063" s="94" t="str">
        <f>IFERROR(VLOOKUP($A2063,HeadJournal!$A$1:$NTR$890,COLUMN(HeadJournal!B$1),0),"")</f>
        <v>710000960871</v>
      </c>
      <c r="C2063" s="94" t="str">
        <f>IFERROR(VLOOKUP($A2063,HeadJournal!$A$1:$NTR$890,COLUMN(HeadJournal!C$1),0),"")</f>
        <v>iHerb_AV CYG0792</v>
      </c>
      <c r="D2063" s="125" t="str">
        <f>IFERROR(VLOOKUP($A2063,HeadJournal!$A$1:$NTR$890,COLUMN(HeadJournal!D$1),0),"")</f>
        <v>Доставлен</v>
      </c>
      <c r="E2063" s="95">
        <f>IFERROR(VLOOKUP($A2063,HeadJournal!$A$1:$NTR$890,COLUMN(HeadJournal!G$1),0),"")</f>
        <v>45172</v>
      </c>
      <c r="F2063" s="95" t="str">
        <f t="shared" si="164"/>
        <v>2023 09</v>
      </c>
      <c r="G2063" s="96" t="s">
        <v>5</v>
      </c>
      <c r="H2063" s="161" t="s">
        <v>2124</v>
      </c>
      <c r="I2063" s="97" t="s">
        <v>2125</v>
      </c>
      <c r="J2063" s="97" t="s">
        <v>2126</v>
      </c>
      <c r="K2063" s="29">
        <v>13.38</v>
      </c>
      <c r="L2063" s="29">
        <v>-3.6133333333333333</v>
      </c>
      <c r="M2063" s="30">
        <f>IFERROR(VLOOKUP($A2063,HeadJournal!$A$1:$J$890,COLUMN(HeadJournal!I$1),0)*($K2063+$L2063)/(SUMIF($A:$A,$A2063,$K:$K)+SUMIF($A:$A,$A2063,$L:$L)),0)</f>
        <v>-0.40164962825278805</v>
      </c>
      <c r="N2063" s="30">
        <f>IFERROR((VLOOKUP($A2063,HeadJournal!$A$1:$K$890,COLUMN(HeadJournal!K$1),0)-VLOOKUP($A2063,HeadJournal!$A$1:$K$890,COLUMN(HeadJournal!J$1),0))*($K2063+$L2063)/(SUMIF($A:$A,$A2063,$K:$K)+SUMIF($A:$A,$A2063,$L:$L)),0)</f>
        <v>0</v>
      </c>
      <c r="O2063" s="30">
        <f>IFERROR((VLOOKUP($A2063,HeadJournal!$A$1:$L$890,COLUMN(HeadJournal!L$1),0)*($K2063+$L2063)/(SUMIF($A:$A,$A2063,$K:$K)+SUMIF($A:$A,$A2063,$L:$L)))/VLOOKUP($A2063,HeadJournal!$A$1:$L$890,COLUMN(HeadJournal!H$1),0),0)</f>
        <v>0.30490640518166034</v>
      </c>
      <c r="P2063" s="30">
        <f>IFERROR(SUM(K2063:O2063)*VLOOKUP($A2063,HeadJournal!$A$1:$L$890,COLUMN(HeadJournal!H$1),0),0)</f>
        <v>1038.3061748115449</v>
      </c>
      <c r="Q2063" s="29">
        <v>2000</v>
      </c>
      <c r="R2063" s="31">
        <v>45317</v>
      </c>
      <c r="S2063" s="31" t="s">
        <v>3121</v>
      </c>
      <c r="T2063" s="95" t="str">
        <f t="shared" si="165"/>
        <v>2024 01</v>
      </c>
      <c r="U2063" s="32">
        <f t="shared" si="162"/>
        <v>961.69382518845509</v>
      </c>
      <c r="V2063" s="22">
        <f t="shared" si="163"/>
        <v>0.92621410574102081</v>
      </c>
      <c r="X2063" s="33"/>
      <c r="Y2063" s="33"/>
    </row>
    <row r="2064" spans="1:25" x14ac:dyDescent="0.2">
      <c r="A2064" s="93" t="s">
        <v>917</v>
      </c>
      <c r="B2064" s="94" t="str">
        <f>IFERROR(VLOOKUP($A2064,HeadJournal!$A$1:$NTR$890,COLUMN(HeadJournal!B$1),0),"")</f>
        <v>710000960871</v>
      </c>
      <c r="C2064" s="94" t="str">
        <f>IFERROR(VLOOKUP($A2064,HeadJournal!$A$1:$NTR$890,COLUMN(HeadJournal!C$1),0),"")</f>
        <v>iHerb_AV CYG0792</v>
      </c>
      <c r="D2064" s="125" t="str">
        <f>IFERROR(VLOOKUP($A2064,HeadJournal!$A$1:$NTR$890,COLUMN(HeadJournal!D$1),0),"")</f>
        <v>Доставлен</v>
      </c>
      <c r="E2064" s="95">
        <f>IFERROR(VLOOKUP($A2064,HeadJournal!$A$1:$NTR$890,COLUMN(HeadJournal!G$1),0),"")</f>
        <v>45172</v>
      </c>
      <c r="F2064" s="95" t="str">
        <f t="shared" si="164"/>
        <v>2023 09</v>
      </c>
      <c r="G2064" s="96" t="s">
        <v>5</v>
      </c>
      <c r="H2064" s="161" t="s">
        <v>2124</v>
      </c>
      <c r="I2064" s="97" t="s">
        <v>2125</v>
      </c>
      <c r="J2064" s="97" t="s">
        <v>2126</v>
      </c>
      <c r="K2064" s="29">
        <v>13.38</v>
      </c>
      <c r="L2064" s="29">
        <v>-3.6133333333333333</v>
      </c>
      <c r="M2064" s="30">
        <f>IFERROR(VLOOKUP($A2064,HeadJournal!$A$1:$J$890,COLUMN(HeadJournal!I$1),0)*($K2064+$L2064)/(SUMIF($A:$A,$A2064,$K:$K)+SUMIF($A:$A,$A2064,$L:$L)),0)</f>
        <v>-0.40164962825278805</v>
      </c>
      <c r="N2064" s="30">
        <f>IFERROR((VLOOKUP($A2064,HeadJournal!$A$1:$K$890,COLUMN(HeadJournal!K$1),0)-VLOOKUP($A2064,HeadJournal!$A$1:$K$890,COLUMN(HeadJournal!J$1),0))*($K2064+$L2064)/(SUMIF($A:$A,$A2064,$K:$K)+SUMIF($A:$A,$A2064,$L:$L)),0)</f>
        <v>0</v>
      </c>
      <c r="O2064" s="30">
        <f>IFERROR((VLOOKUP($A2064,HeadJournal!$A$1:$L$890,COLUMN(HeadJournal!L$1),0)*($K2064+$L2064)/(SUMIF($A:$A,$A2064,$K:$K)+SUMIF($A:$A,$A2064,$L:$L)))/VLOOKUP($A2064,HeadJournal!$A$1:$L$890,COLUMN(HeadJournal!H$1),0),0)</f>
        <v>0.30490640518166034</v>
      </c>
      <c r="P2064" s="30">
        <f>IFERROR(SUM(K2064:O2064)*VLOOKUP($A2064,HeadJournal!$A$1:$L$890,COLUMN(HeadJournal!H$1),0),0)</f>
        <v>1038.3061748115449</v>
      </c>
      <c r="Q2064" s="29">
        <v>2000</v>
      </c>
      <c r="R2064" s="31">
        <v>45337</v>
      </c>
      <c r="S2064" s="31" t="s">
        <v>3121</v>
      </c>
      <c r="T2064" s="95" t="str">
        <f t="shared" si="165"/>
        <v>2024 02</v>
      </c>
      <c r="U2064" s="32">
        <f t="shared" si="162"/>
        <v>961.69382518845509</v>
      </c>
      <c r="V2064" s="22">
        <f t="shared" si="163"/>
        <v>0.92621410574102081</v>
      </c>
      <c r="X2064" s="33"/>
      <c r="Y2064" s="33"/>
    </row>
    <row r="2065" spans="1:25" x14ac:dyDescent="0.2">
      <c r="A2065" s="93" t="s">
        <v>917</v>
      </c>
      <c r="B2065" s="94" t="str">
        <f>IFERROR(VLOOKUP($A2065,HeadJournal!$A$1:$NTR$890,COLUMN(HeadJournal!B$1),0),"")</f>
        <v>710000960871</v>
      </c>
      <c r="C2065" s="94" t="str">
        <f>IFERROR(VLOOKUP($A2065,HeadJournal!$A$1:$NTR$890,COLUMN(HeadJournal!C$1),0),"")</f>
        <v>iHerb_AV CYG0792</v>
      </c>
      <c r="D2065" s="125" t="str">
        <f>IFERROR(VLOOKUP($A2065,HeadJournal!$A$1:$NTR$890,COLUMN(HeadJournal!D$1),0),"")</f>
        <v>Доставлен</v>
      </c>
      <c r="E2065" s="95">
        <f>IFERROR(VLOOKUP($A2065,HeadJournal!$A$1:$NTR$890,COLUMN(HeadJournal!G$1),0),"")</f>
        <v>45172</v>
      </c>
      <c r="F2065" s="95" t="str">
        <f t="shared" si="164"/>
        <v>2023 09</v>
      </c>
      <c r="G2065" s="96" t="s">
        <v>5</v>
      </c>
      <c r="H2065" s="160" t="str">
        <f>RIGHT(Journal!$J2065,9)</f>
        <v>SOR-08378</v>
      </c>
      <c r="I2065" s="96" t="str">
        <f t="shared" ref="I2065:I2121" si="166">IFERROR(LEFT(J2065,FIND(",",J2065)-1),"")</f>
        <v>Solaray</v>
      </c>
      <c r="J2065" s="97" t="s">
        <v>919</v>
      </c>
      <c r="K2065" s="29">
        <v>14.45</v>
      </c>
      <c r="L2065" s="29">
        <v>-3.9</v>
      </c>
      <c r="M2065" s="30">
        <f>IFERROR(VLOOKUP($A2065,HeadJournal!$A$1:$J$890,COLUMN(HeadJournal!I$1),0)*($K2065+$L2065)/(SUMIF($A:$A,$A2065,$K:$K)+SUMIF($A:$A,$A2065,$L:$L)),0)</f>
        <v>-0.43386384758364305</v>
      </c>
      <c r="N2065" s="30">
        <f>IFERROR((VLOOKUP($A2065,HeadJournal!$A$1:$K$890,COLUMN(HeadJournal!K$1),0)-VLOOKUP($A2065,HeadJournal!$A$1:$K$890,COLUMN(HeadJournal!J$1),0))*($K2065+$L2065)/(SUMIF($A:$A,$A2065,$K:$K)+SUMIF($A:$A,$A2065,$L:$L)),0)</f>
        <v>0</v>
      </c>
      <c r="O2065" s="30">
        <f>IFERROR((VLOOKUP($A2065,HeadJournal!$A$1:$L$890,COLUMN(HeadJournal!L$1),0)*($K2065+$L2065)/(SUMIF($A:$A,$A2065,$K:$K)+SUMIF($A:$A,$A2065,$L:$L)))/VLOOKUP($A2065,HeadJournal!$A$1:$L$890,COLUMN(HeadJournal!H$1),0),0)</f>
        <v>0.32936135576790265</v>
      </c>
      <c r="P2065" s="30">
        <f>IFERROR(SUM(K2065:O2065)*VLOOKUP($A2065,HeadJournal!$A$1:$L$890,COLUMN(HeadJournal!H$1),0),0)</f>
        <v>1121.5832912213443</v>
      </c>
      <c r="Q2065" s="29">
        <v>1600</v>
      </c>
      <c r="R2065" s="31">
        <v>45208</v>
      </c>
      <c r="S2065" s="31" t="s">
        <v>3121</v>
      </c>
      <c r="T2065" s="95" t="str">
        <f t="shared" si="165"/>
        <v>2023 10</v>
      </c>
      <c r="U2065" s="32">
        <f t="shared" si="162"/>
        <v>478.41670877865567</v>
      </c>
      <c r="V2065" s="22">
        <f t="shared" si="163"/>
        <v>0.42655477531025399</v>
      </c>
      <c r="X2065" s="33"/>
      <c r="Y2065" s="33"/>
    </row>
    <row r="2066" spans="1:25" x14ac:dyDescent="0.2">
      <c r="A2066" s="93" t="s">
        <v>917</v>
      </c>
      <c r="B2066" s="94" t="str">
        <f>IFERROR(VLOOKUP($A2066,HeadJournal!$A$1:$NTR$890,COLUMN(HeadJournal!B$1),0),"")</f>
        <v>710000960871</v>
      </c>
      <c r="C2066" s="94" t="str">
        <f>IFERROR(VLOOKUP($A2066,HeadJournal!$A$1:$NTR$890,COLUMN(HeadJournal!C$1),0),"")</f>
        <v>iHerb_AV CYG0792</v>
      </c>
      <c r="D2066" s="125" t="str">
        <f>IFERROR(VLOOKUP($A2066,HeadJournal!$A$1:$NTR$890,COLUMN(HeadJournal!D$1),0),"")</f>
        <v>Доставлен</v>
      </c>
      <c r="E2066" s="95">
        <f>IFERROR(VLOOKUP($A2066,HeadJournal!$A$1:$NTR$890,COLUMN(HeadJournal!G$1),0),"")</f>
        <v>45172</v>
      </c>
      <c r="F2066" s="95" t="str">
        <f t="shared" si="164"/>
        <v>2023 09</v>
      </c>
      <c r="G2066" s="96" t="s">
        <v>5</v>
      </c>
      <c r="H2066" s="160" t="str">
        <f>RIGHT(Journal!$J2066,9)</f>
        <v>SOR-08378</v>
      </c>
      <c r="I2066" s="96" t="str">
        <f t="shared" si="166"/>
        <v>Solaray</v>
      </c>
      <c r="J2066" s="97" t="s">
        <v>919</v>
      </c>
      <c r="K2066" s="29">
        <v>14.45</v>
      </c>
      <c r="L2066" s="29">
        <v>-3.9</v>
      </c>
      <c r="M2066" s="30">
        <f>IFERROR(VLOOKUP($A2066,HeadJournal!$A$1:$J$890,COLUMN(HeadJournal!I$1),0)*($K2066+$L2066)/(SUMIF($A:$A,$A2066,$K:$K)+SUMIF($A:$A,$A2066,$L:$L)),0)</f>
        <v>-0.43386384758364305</v>
      </c>
      <c r="N2066" s="30">
        <f>IFERROR((VLOOKUP($A2066,HeadJournal!$A$1:$K$890,COLUMN(HeadJournal!K$1),0)-VLOOKUP($A2066,HeadJournal!$A$1:$K$890,COLUMN(HeadJournal!J$1),0))*($K2066+$L2066)/(SUMIF($A:$A,$A2066,$K:$K)+SUMIF($A:$A,$A2066,$L:$L)),0)</f>
        <v>0</v>
      </c>
      <c r="O2066" s="30">
        <f>IFERROR((VLOOKUP($A2066,HeadJournal!$A$1:$L$890,COLUMN(HeadJournal!L$1),0)*($K2066+$L2066)/(SUMIF($A:$A,$A2066,$K:$K)+SUMIF($A:$A,$A2066,$L:$L)))/VLOOKUP($A2066,HeadJournal!$A$1:$L$890,COLUMN(HeadJournal!H$1),0),0)</f>
        <v>0.32936135576790265</v>
      </c>
      <c r="P2066" s="30">
        <f>IFERROR(SUM(K2066:O2066)*VLOOKUP($A2066,HeadJournal!$A$1:$L$890,COLUMN(HeadJournal!H$1),0),0)</f>
        <v>1121.5832912213443</v>
      </c>
      <c r="Q2066" s="29">
        <v>1600</v>
      </c>
      <c r="R2066" s="31">
        <v>45208</v>
      </c>
      <c r="S2066" s="31" t="s">
        <v>3121</v>
      </c>
      <c r="T2066" s="95" t="str">
        <f t="shared" si="165"/>
        <v>2023 10</v>
      </c>
      <c r="U2066" s="32">
        <f t="shared" si="162"/>
        <v>478.41670877865567</v>
      </c>
      <c r="V2066" s="22">
        <f t="shared" si="163"/>
        <v>0.42655477531025399</v>
      </c>
      <c r="X2066" s="33"/>
      <c r="Y2066" s="33"/>
    </row>
    <row r="2067" spans="1:25" x14ac:dyDescent="0.2">
      <c r="A2067" s="93" t="s">
        <v>917</v>
      </c>
      <c r="B2067" s="94" t="str">
        <f>IFERROR(VLOOKUP($A2067,HeadJournal!$A$1:$NTR$890,COLUMN(HeadJournal!B$1),0),"")</f>
        <v>710000960871</v>
      </c>
      <c r="C2067" s="94" t="str">
        <f>IFERROR(VLOOKUP($A2067,HeadJournal!$A$1:$NTR$890,COLUMN(HeadJournal!C$1),0),"")</f>
        <v>iHerb_AV CYG0792</v>
      </c>
      <c r="D2067" s="125" t="str">
        <f>IFERROR(VLOOKUP($A2067,HeadJournal!$A$1:$NTR$890,COLUMN(HeadJournal!D$1),0),"")</f>
        <v>Доставлен</v>
      </c>
      <c r="E2067" s="95">
        <f>IFERROR(VLOOKUP($A2067,HeadJournal!$A$1:$NTR$890,COLUMN(HeadJournal!G$1),0),"")</f>
        <v>45172</v>
      </c>
      <c r="F2067" s="95" t="str">
        <f t="shared" si="164"/>
        <v>2023 09</v>
      </c>
      <c r="G2067" s="96" t="s">
        <v>5</v>
      </c>
      <c r="H2067" s="175" t="s">
        <v>3660</v>
      </c>
      <c r="I2067" s="176" t="s">
        <v>3689</v>
      </c>
      <c r="J2067" s="97" t="s">
        <v>3712</v>
      </c>
      <c r="K2067" s="29">
        <v>28.92</v>
      </c>
      <c r="L2067" s="29">
        <v>-7.81</v>
      </c>
      <c r="M2067" s="30">
        <f>IFERROR(VLOOKUP($A2067,HeadJournal!$A$1:$J$890,COLUMN(HeadJournal!I$1),0)*($K2067+$L2067)/(SUMIF($A:$A,$A2067,$K:$K)+SUMIF($A:$A,$A2067,$L:$L)),0)</f>
        <v>-0.86813894052044616</v>
      </c>
      <c r="N2067" s="30">
        <f>IFERROR((VLOOKUP($A2067,HeadJournal!$A$1:$K$890,COLUMN(HeadJournal!K$1),0)-VLOOKUP($A2067,HeadJournal!$A$1:$K$890,COLUMN(HeadJournal!J$1),0))*($K2067+$L2067)/(SUMIF($A:$A,$A2067,$K:$K)+SUMIF($A:$A,$A2067,$L:$L)),0)</f>
        <v>0</v>
      </c>
      <c r="O2067" s="30">
        <f>IFERROR((VLOOKUP($A2067,HeadJournal!$A$1:$L$890,COLUMN(HeadJournal!L$1),0)*($K2067+$L2067)/(SUMIF($A:$A,$A2067,$K:$K)+SUMIF($A:$A,$A2067,$L:$L)))/VLOOKUP($A2067,HeadJournal!$A$1:$L$890,COLUMN(HeadJournal!H$1),0),0)</f>
        <v>0.65903490239435325</v>
      </c>
      <c r="P2067" s="30">
        <f>IFERROR(SUM(K2067:O2067)*VLOOKUP($A2067,HeadJournal!$A$1:$L$890,COLUMN(HeadJournal!H$1),0),0)</f>
        <v>2244.2296945670696</v>
      </c>
      <c r="Q2067" s="29">
        <v>2900</v>
      </c>
      <c r="R2067" s="31">
        <v>45202</v>
      </c>
      <c r="S2067" s="31" t="s">
        <v>3121</v>
      </c>
      <c r="T2067" s="95" t="str">
        <f t="shared" si="165"/>
        <v>2023 10</v>
      </c>
      <c r="U2067" s="32">
        <f t="shared" si="162"/>
        <v>655.7703054329304</v>
      </c>
      <c r="V2067" s="22">
        <f t="shared" si="163"/>
        <v>0.29220284671415236</v>
      </c>
      <c r="X2067" s="33"/>
      <c r="Y2067" s="33"/>
    </row>
    <row r="2068" spans="1:25" x14ac:dyDescent="0.2">
      <c r="A2068" s="93" t="s">
        <v>917</v>
      </c>
      <c r="B2068" s="94" t="str">
        <f>IFERROR(VLOOKUP($A2068,HeadJournal!$A$1:$NTR$890,COLUMN(HeadJournal!B$1),0),"")</f>
        <v>710000960871</v>
      </c>
      <c r="C2068" s="94" t="str">
        <f>IFERROR(VLOOKUP($A2068,HeadJournal!$A$1:$NTR$890,COLUMN(HeadJournal!C$1),0),"")</f>
        <v>iHerb_AV CYG0792</v>
      </c>
      <c r="D2068" s="125" t="str">
        <f>IFERROR(VLOOKUP($A2068,HeadJournal!$A$1:$NTR$890,COLUMN(HeadJournal!D$1),0),"")</f>
        <v>Доставлен</v>
      </c>
      <c r="E2068" s="95">
        <f>IFERROR(VLOOKUP($A2068,HeadJournal!$A$1:$NTR$890,COLUMN(HeadJournal!G$1),0),"")</f>
        <v>45172</v>
      </c>
      <c r="F2068" s="95" t="str">
        <f t="shared" si="164"/>
        <v>2023 09</v>
      </c>
      <c r="G2068" s="96" t="s">
        <v>5</v>
      </c>
      <c r="H2068" s="175" t="s">
        <v>3660</v>
      </c>
      <c r="I2068" s="176" t="s">
        <v>3689</v>
      </c>
      <c r="J2068" s="97" t="s">
        <v>3712</v>
      </c>
      <c r="K2068" s="29">
        <v>28.92</v>
      </c>
      <c r="L2068" s="29">
        <v>-7.81</v>
      </c>
      <c r="M2068" s="30">
        <f>IFERROR(VLOOKUP($A2068,HeadJournal!$A$1:$J$890,COLUMN(HeadJournal!I$1),0)*($K2068+$L2068)/(SUMIF($A:$A,$A2068,$K:$K)+SUMIF($A:$A,$A2068,$L:$L)),0)</f>
        <v>-0.86813894052044616</v>
      </c>
      <c r="N2068" s="30">
        <f>IFERROR((VLOOKUP($A2068,HeadJournal!$A$1:$K$890,COLUMN(HeadJournal!K$1),0)-VLOOKUP($A2068,HeadJournal!$A$1:$K$890,COLUMN(HeadJournal!J$1),0))*($K2068+$L2068)/(SUMIF($A:$A,$A2068,$K:$K)+SUMIF($A:$A,$A2068,$L:$L)),0)</f>
        <v>0</v>
      </c>
      <c r="O2068" s="30">
        <f>IFERROR((VLOOKUP($A2068,HeadJournal!$A$1:$L$890,COLUMN(HeadJournal!L$1),0)*($K2068+$L2068)/(SUMIF($A:$A,$A2068,$K:$K)+SUMIF($A:$A,$A2068,$L:$L)))/VLOOKUP($A2068,HeadJournal!$A$1:$L$890,COLUMN(HeadJournal!H$1),0),0)</f>
        <v>0.65903490239435325</v>
      </c>
      <c r="P2068" s="30">
        <f>IFERROR(SUM(K2068:O2068)*VLOOKUP($A2068,HeadJournal!$A$1:$L$890,COLUMN(HeadJournal!H$1),0),0)</f>
        <v>2244.2296945670696</v>
      </c>
      <c r="Q2068" s="29">
        <v>3500</v>
      </c>
      <c r="R2068" s="31">
        <v>45212</v>
      </c>
      <c r="S2068" s="31" t="s">
        <v>3121</v>
      </c>
      <c r="T2068" s="95" t="str">
        <f t="shared" si="165"/>
        <v>2023 10</v>
      </c>
      <c r="U2068" s="32">
        <f t="shared" si="162"/>
        <v>1255.7703054329304</v>
      </c>
      <c r="V2068" s="22">
        <f t="shared" si="163"/>
        <v>0.55955515982742521</v>
      </c>
      <c r="X2068" s="33"/>
      <c r="Y2068" s="33"/>
    </row>
    <row r="2069" spans="1:25" x14ac:dyDescent="0.2">
      <c r="A2069" s="93" t="s">
        <v>917</v>
      </c>
      <c r="B2069" s="94" t="str">
        <f>IFERROR(VLOOKUP($A2069,HeadJournal!$A$1:$NTR$890,COLUMN(HeadJournal!B$1),0),"")</f>
        <v>710000960871</v>
      </c>
      <c r="C2069" s="94" t="str">
        <f>IFERROR(VLOOKUP($A2069,HeadJournal!$A$1:$NTR$890,COLUMN(HeadJournal!C$1),0),"")</f>
        <v>iHerb_AV CYG0792</v>
      </c>
      <c r="D2069" s="125" t="str">
        <f>IFERROR(VLOOKUP($A2069,HeadJournal!$A$1:$NTR$890,COLUMN(HeadJournal!D$1),0),"")</f>
        <v>Доставлен</v>
      </c>
      <c r="E2069" s="95">
        <f>IFERROR(VLOOKUP($A2069,HeadJournal!$A$1:$NTR$890,COLUMN(HeadJournal!G$1),0),"")</f>
        <v>45172</v>
      </c>
      <c r="F2069" s="95" t="str">
        <f t="shared" si="164"/>
        <v>2023 09</v>
      </c>
      <c r="G2069" s="96" t="s">
        <v>5</v>
      </c>
      <c r="H2069" s="161" t="s">
        <v>3633</v>
      </c>
      <c r="I2069" s="97" t="s">
        <v>2008</v>
      </c>
      <c r="J2069" s="97" t="s">
        <v>3784</v>
      </c>
      <c r="K2069" s="29">
        <v>16.64</v>
      </c>
      <c r="L2069" s="29">
        <v>-4.4950000000000001</v>
      </c>
      <c r="M2069" s="30">
        <f>IFERROR(VLOOKUP($A2069,HeadJournal!$A$1:$J$890,COLUMN(HeadJournal!I$1),0)*($K2069+$L2069)/(SUMIF($A:$A,$A2069,$K:$K)+SUMIF($A:$A,$A2069,$L:$L)),0)</f>
        <v>-0.49945748141263935</v>
      </c>
      <c r="N2069" s="30">
        <f>IFERROR((VLOOKUP($A2069,HeadJournal!$A$1:$K$890,COLUMN(HeadJournal!K$1),0)-VLOOKUP($A2069,HeadJournal!$A$1:$K$890,COLUMN(HeadJournal!J$1),0))*($K2069+$L2069)/(SUMIF($A:$A,$A2069,$K:$K)+SUMIF($A:$A,$A2069,$L:$L)),0)</f>
        <v>0</v>
      </c>
      <c r="O2069" s="30">
        <f>IFERROR((VLOOKUP($A2069,HeadJournal!$A$1:$L$890,COLUMN(HeadJournal!L$1),0)*($K2069+$L2069)/(SUMIF($A:$A,$A2069,$K:$K)+SUMIF($A:$A,$A2069,$L:$L)))/VLOOKUP($A2069,HeadJournal!$A$1:$L$890,COLUMN(HeadJournal!H$1),0),0)</f>
        <v>0.37915579770627283</v>
      </c>
      <c r="P2069" s="30">
        <f>IFERROR(SUM(K2069:O2069)*VLOOKUP($A2069,HeadJournal!$A$1:$L$890,COLUMN(HeadJournal!H$1),0),0)</f>
        <v>1291.1496750600218</v>
      </c>
      <c r="Q2069" s="29">
        <v>2200</v>
      </c>
      <c r="R2069" s="31">
        <v>45206</v>
      </c>
      <c r="S2069" s="31" t="s">
        <v>3121</v>
      </c>
      <c r="T2069" s="95" t="str">
        <f t="shared" si="165"/>
        <v>2023 10</v>
      </c>
      <c r="U2069" s="32">
        <f t="shared" si="162"/>
        <v>908.85032493997824</v>
      </c>
      <c r="V2069" s="22">
        <f t="shared" si="163"/>
        <v>0.70390779821690963</v>
      </c>
      <c r="X2069" s="33"/>
      <c r="Y2069" s="33"/>
    </row>
    <row r="2070" spans="1:25" x14ac:dyDescent="0.2">
      <c r="A2070" s="93" t="s">
        <v>917</v>
      </c>
      <c r="B2070" s="94" t="str">
        <f>IFERROR(VLOOKUP($A2070,HeadJournal!$A$1:$NTR$890,COLUMN(HeadJournal!B$1),0),"")</f>
        <v>710000960871</v>
      </c>
      <c r="C2070" s="94" t="str">
        <f>IFERROR(VLOOKUP($A2070,HeadJournal!$A$1:$NTR$890,COLUMN(HeadJournal!C$1),0),"")</f>
        <v>iHerb_AV CYG0792</v>
      </c>
      <c r="D2070" s="125" t="str">
        <f>IFERROR(VLOOKUP($A2070,HeadJournal!$A$1:$NTR$890,COLUMN(HeadJournal!D$1),0),"")</f>
        <v>Доставлен</v>
      </c>
      <c r="E2070" s="95">
        <f>IFERROR(VLOOKUP($A2070,HeadJournal!$A$1:$NTR$890,COLUMN(HeadJournal!G$1),0),"")</f>
        <v>45172</v>
      </c>
      <c r="F2070" s="95" t="str">
        <f t="shared" si="164"/>
        <v>2023 09</v>
      </c>
      <c r="G2070" s="96" t="s">
        <v>5</v>
      </c>
      <c r="H2070" s="161" t="s">
        <v>3633</v>
      </c>
      <c r="I2070" s="97" t="s">
        <v>2008</v>
      </c>
      <c r="J2070" s="97" t="s">
        <v>3784</v>
      </c>
      <c r="K2070" s="29">
        <v>16.64</v>
      </c>
      <c r="L2070" s="29">
        <v>-4.4950000000000001</v>
      </c>
      <c r="M2070" s="30">
        <f>IFERROR(VLOOKUP($A2070,HeadJournal!$A$1:$J$890,COLUMN(HeadJournal!I$1),0)*($K2070+$L2070)/(SUMIF($A:$A,$A2070,$K:$K)+SUMIF($A:$A,$A2070,$L:$L)),0)</f>
        <v>-0.49945748141263935</v>
      </c>
      <c r="N2070" s="30">
        <f>IFERROR((VLOOKUP($A2070,HeadJournal!$A$1:$K$890,COLUMN(HeadJournal!K$1),0)-VLOOKUP($A2070,HeadJournal!$A$1:$K$890,COLUMN(HeadJournal!J$1),0))*($K2070+$L2070)/(SUMIF($A:$A,$A2070,$K:$K)+SUMIF($A:$A,$A2070,$L:$L)),0)</f>
        <v>0</v>
      </c>
      <c r="O2070" s="30">
        <f>IFERROR((VLOOKUP($A2070,HeadJournal!$A$1:$L$890,COLUMN(HeadJournal!L$1),0)*($K2070+$L2070)/(SUMIF($A:$A,$A2070,$K:$K)+SUMIF($A:$A,$A2070,$L:$L)))/VLOOKUP($A2070,HeadJournal!$A$1:$L$890,COLUMN(HeadJournal!H$1),0),0)</f>
        <v>0.37915579770627283</v>
      </c>
      <c r="P2070" s="30">
        <f>IFERROR(SUM(K2070:O2070)*VLOOKUP($A2070,HeadJournal!$A$1:$L$890,COLUMN(HeadJournal!H$1),0),0)</f>
        <v>1291.1496750600218</v>
      </c>
      <c r="Q2070" s="29">
        <v>2200</v>
      </c>
      <c r="R2070" s="31">
        <v>45486</v>
      </c>
      <c r="S2070" s="31" t="s">
        <v>3121</v>
      </c>
      <c r="T2070" s="95" t="str">
        <f t="shared" si="165"/>
        <v>2024 07</v>
      </c>
      <c r="U2070" s="32">
        <f t="shared" si="162"/>
        <v>908.85032493997824</v>
      </c>
      <c r="V2070" s="22">
        <f t="shared" si="163"/>
        <v>0.70390779821690963</v>
      </c>
      <c r="X2070" s="33"/>
      <c r="Y2070" s="33"/>
    </row>
    <row r="2071" spans="1:25" x14ac:dyDescent="0.2">
      <c r="A2071" s="93" t="s">
        <v>917</v>
      </c>
      <c r="B2071" s="94" t="str">
        <f>IFERROR(VLOOKUP($A2071,HeadJournal!$A$1:$NTR$890,COLUMN(HeadJournal!B$1),0),"")</f>
        <v>710000960871</v>
      </c>
      <c r="C2071" s="94" t="str">
        <f>IFERROR(VLOOKUP($A2071,HeadJournal!$A$1:$NTR$890,COLUMN(HeadJournal!C$1),0),"")</f>
        <v>iHerb_AV CYG0792</v>
      </c>
      <c r="D2071" s="125" t="str">
        <f>IFERROR(VLOOKUP($A2071,HeadJournal!$A$1:$NTR$890,COLUMN(HeadJournal!D$1),0),"")</f>
        <v>Доставлен</v>
      </c>
      <c r="E2071" s="95">
        <f>IFERROR(VLOOKUP($A2071,HeadJournal!$A$1:$NTR$890,COLUMN(HeadJournal!G$1),0),"")</f>
        <v>45172</v>
      </c>
      <c r="F2071" s="95" t="str">
        <f t="shared" si="164"/>
        <v>2023 09</v>
      </c>
      <c r="G2071" s="96" t="s">
        <v>5</v>
      </c>
      <c r="H2071" s="161" t="s">
        <v>2495</v>
      </c>
      <c r="I2071" s="97" t="s">
        <v>2102</v>
      </c>
      <c r="J2071" s="97" t="s">
        <v>2496</v>
      </c>
      <c r="K2071" s="29">
        <v>6.36</v>
      </c>
      <c r="L2071" s="29">
        <v>-1.72</v>
      </c>
      <c r="M2071" s="30">
        <f>IFERROR(VLOOKUP($A2071,HeadJournal!$A$1:$J$890,COLUMN(HeadJournal!I$1),0)*($K2071+$L2071)/(SUMIF($A:$A,$A2071,$K:$K)+SUMIF($A:$A,$A2071,$L:$L)),0)</f>
        <v>-0.19081784386617101</v>
      </c>
      <c r="N2071" s="30">
        <f>IFERROR((VLOOKUP($A2071,HeadJournal!$A$1:$K$890,COLUMN(HeadJournal!K$1),0)-VLOOKUP($A2071,HeadJournal!$A$1:$K$890,COLUMN(HeadJournal!J$1),0))*($K2071+$L2071)/(SUMIF($A:$A,$A2071,$K:$K)+SUMIF($A:$A,$A2071,$L:$L)),0)</f>
        <v>0</v>
      </c>
      <c r="O2071" s="30">
        <f>IFERROR((VLOOKUP($A2071,HeadJournal!$A$1:$L$890,COLUMN(HeadJournal!L$1),0)*($K2071+$L2071)/(SUMIF($A:$A,$A2071,$K:$K)+SUMIF($A:$A,$A2071,$L:$L)))/VLOOKUP($A2071,HeadJournal!$A$1:$L$890,COLUMN(HeadJournal!H$1),0),0)</f>
        <v>0.14485655836616768</v>
      </c>
      <c r="P2071" s="30">
        <f>IFERROR(SUM(K2071:O2071)*VLOOKUP($A2071,HeadJournal!$A$1:$L$890,COLUMN(HeadJournal!H$1),0),0)</f>
        <v>493.28402571251553</v>
      </c>
      <c r="Q2071" s="29">
        <v>1100</v>
      </c>
      <c r="R2071" s="31">
        <v>45246</v>
      </c>
      <c r="S2071" s="31" t="s">
        <v>3121</v>
      </c>
      <c r="T2071" s="95" t="str">
        <f t="shared" si="165"/>
        <v>2023 11</v>
      </c>
      <c r="U2071" s="32">
        <f t="shared" si="162"/>
        <v>606.71597428748441</v>
      </c>
      <c r="V2071" s="22">
        <f t="shared" si="163"/>
        <v>1.2299526087655568</v>
      </c>
      <c r="X2071" s="33"/>
      <c r="Y2071" s="33"/>
    </row>
    <row r="2072" spans="1:25" x14ac:dyDescent="0.2">
      <c r="A2072" s="93" t="s">
        <v>917</v>
      </c>
      <c r="B2072" s="94" t="str">
        <f>IFERROR(VLOOKUP($A2072,HeadJournal!$A$1:$NTR$890,COLUMN(HeadJournal!B$1),0),"")</f>
        <v>710000960871</v>
      </c>
      <c r="C2072" s="94" t="str">
        <f>IFERROR(VLOOKUP($A2072,HeadJournal!$A$1:$NTR$890,COLUMN(HeadJournal!C$1),0),"")</f>
        <v>iHerb_AV CYG0792</v>
      </c>
      <c r="D2072" s="125" t="str">
        <f>IFERROR(VLOOKUP($A2072,HeadJournal!$A$1:$NTR$890,COLUMN(HeadJournal!D$1),0),"")</f>
        <v>Доставлен</v>
      </c>
      <c r="E2072" s="95">
        <f>IFERROR(VLOOKUP($A2072,HeadJournal!$A$1:$NTR$890,COLUMN(HeadJournal!G$1),0),"")</f>
        <v>45172</v>
      </c>
      <c r="F2072" s="95" t="str">
        <f t="shared" si="164"/>
        <v>2023 09</v>
      </c>
      <c r="G2072" s="96" t="s">
        <v>5</v>
      </c>
      <c r="H2072" s="160" t="str">
        <f>RIGHT(Journal!$J2072,9)</f>
        <v>SWV-02846</v>
      </c>
      <c r="I2072" s="96" t="str">
        <f t="shared" si="166"/>
        <v>Swanson</v>
      </c>
      <c r="J2072" s="97" t="s">
        <v>920</v>
      </c>
      <c r="K2072" s="29">
        <v>15.61</v>
      </c>
      <c r="L2072" s="29">
        <v>-4.21</v>
      </c>
      <c r="M2072" s="30">
        <f>IFERROR(VLOOKUP($A2072,HeadJournal!$A$1:$J$890,COLUMN(HeadJournal!I$1),0)*($K2072+$L2072)/(SUMIF($A:$A,$A2072,$K:$K)+SUMIF($A:$A,$A2072,$L:$L)),0)</f>
        <v>-0.46881970260223033</v>
      </c>
      <c r="N2072" s="30">
        <f>IFERROR((VLOOKUP($A2072,HeadJournal!$A$1:$K$890,COLUMN(HeadJournal!K$1),0)-VLOOKUP($A2072,HeadJournal!$A$1:$K$890,COLUMN(HeadJournal!J$1),0))*($K2072+$L2072)/(SUMIF($A:$A,$A2072,$K:$K)+SUMIF($A:$A,$A2072,$L:$L)),0)</f>
        <v>0</v>
      </c>
      <c r="O2072" s="30">
        <f>IFERROR((VLOOKUP($A2072,HeadJournal!$A$1:$L$890,COLUMN(HeadJournal!L$1),0)*($K2072+$L2072)/(SUMIF($A:$A,$A2072,$K:$K)+SUMIF($A:$A,$A2072,$L:$L)))/VLOOKUP($A2072,HeadJournal!$A$1:$L$890,COLUMN(HeadJournal!H$1),0),0)</f>
        <v>0.35589757874446354</v>
      </c>
      <c r="P2072" s="30">
        <f>IFERROR(SUM(K2072:O2072)*VLOOKUP($A2072,HeadJournal!$A$1:$L$890,COLUMN(HeadJournal!H$1),0),0)</f>
        <v>1211.9478217936801</v>
      </c>
      <c r="Q2072" s="29">
        <v>1800</v>
      </c>
      <c r="R2072" s="31">
        <v>45215</v>
      </c>
      <c r="S2072" s="31" t="s">
        <v>3121</v>
      </c>
      <c r="T2072" s="95" t="str">
        <f t="shared" si="165"/>
        <v>2023 10</v>
      </c>
      <c r="U2072" s="32">
        <f t="shared" si="162"/>
        <v>588.05217820631992</v>
      </c>
      <c r="V2072" s="22">
        <f t="shared" si="163"/>
        <v>0.48521245521610329</v>
      </c>
      <c r="X2072" s="33"/>
      <c r="Y2072" s="33"/>
    </row>
    <row r="2073" spans="1:25" x14ac:dyDescent="0.2">
      <c r="A2073" s="93" t="s">
        <v>917</v>
      </c>
      <c r="B2073" s="94" t="str">
        <f>IFERROR(VLOOKUP($A2073,HeadJournal!$A$1:$NTR$890,COLUMN(HeadJournal!B$1),0),"")</f>
        <v>710000960871</v>
      </c>
      <c r="C2073" s="94" t="str">
        <f>IFERROR(VLOOKUP($A2073,HeadJournal!$A$1:$NTR$890,COLUMN(HeadJournal!C$1),0),"")</f>
        <v>iHerb_AV CYG0792</v>
      </c>
      <c r="D2073" s="125" t="str">
        <f>IFERROR(VLOOKUP($A2073,HeadJournal!$A$1:$NTR$890,COLUMN(HeadJournal!D$1),0),"")</f>
        <v>Доставлен</v>
      </c>
      <c r="E2073" s="95">
        <f>IFERROR(VLOOKUP($A2073,HeadJournal!$A$1:$NTR$890,COLUMN(HeadJournal!G$1),0),"")</f>
        <v>45172</v>
      </c>
      <c r="F2073" s="95" t="str">
        <f t="shared" si="164"/>
        <v>2023 09</v>
      </c>
      <c r="G2073" s="96" t="s">
        <v>5</v>
      </c>
      <c r="H2073" s="160" t="str">
        <f>RIGHT(Journal!$J2073,9)</f>
        <v>HIM-41601</v>
      </c>
      <c r="I2073" s="96" t="str">
        <f t="shared" si="166"/>
        <v>Himalaya</v>
      </c>
      <c r="J2073" s="97" t="s">
        <v>921</v>
      </c>
      <c r="K2073" s="29">
        <v>16.5</v>
      </c>
      <c r="L2073" s="29">
        <v>-4.4550000000000001</v>
      </c>
      <c r="M2073" s="30">
        <f>IFERROR(VLOOKUP($A2073,HeadJournal!$A$1:$J$890,COLUMN(HeadJournal!I$1),0)*($K2073+$L2073)/(SUMIF($A:$A,$A2073,$K:$K)+SUMIF($A:$A,$A2073,$L:$L)),0)</f>
        <v>-0.49534502788104084</v>
      </c>
      <c r="N2073" s="30">
        <f>IFERROR((VLOOKUP($A2073,HeadJournal!$A$1:$K$890,COLUMN(HeadJournal!K$1),0)-VLOOKUP($A2073,HeadJournal!$A$1:$K$890,COLUMN(HeadJournal!J$1),0))*($K2073+$L2073)/(SUMIF($A:$A,$A2073,$K:$K)+SUMIF($A:$A,$A2073,$L:$L)),0)</f>
        <v>0</v>
      </c>
      <c r="O2073" s="30">
        <f>IFERROR((VLOOKUP($A2073,HeadJournal!$A$1:$L$890,COLUMN(HeadJournal!L$1),0)*($K2073+$L2073)/(SUMIF($A:$A,$A2073,$K:$K)+SUMIF($A:$A,$A2073,$L:$L)))/VLOOKUP($A2073,HeadJournal!$A$1:$L$890,COLUMN(HeadJournal!H$1),0),0)</f>
        <v>0.37603388912079511</v>
      </c>
      <c r="P2073" s="30">
        <f>IFERROR(SUM(K2073:O2073)*VLOOKUP($A2073,HeadJournal!$A$1:$L$890,COLUMN(HeadJournal!H$1),0),0)</f>
        <v>1280.5185538162175</v>
      </c>
      <c r="Q2073" s="29">
        <v>2200</v>
      </c>
      <c r="R2073" s="31">
        <v>45200</v>
      </c>
      <c r="S2073" s="31" t="s">
        <v>3121</v>
      </c>
      <c r="T2073" s="95" t="str">
        <f t="shared" si="165"/>
        <v>2023 10</v>
      </c>
      <c r="U2073" s="32">
        <f t="shared" si="162"/>
        <v>919.48144618378251</v>
      </c>
      <c r="V2073" s="22">
        <f t="shared" si="163"/>
        <v>0.71805398168072798</v>
      </c>
      <c r="X2073" s="33"/>
      <c r="Y2073" s="33"/>
    </row>
    <row r="2074" spans="1:25" x14ac:dyDescent="0.2">
      <c r="A2074" s="93" t="s">
        <v>917</v>
      </c>
      <c r="B2074" s="94" t="str">
        <f>IFERROR(VLOOKUP($A2074,HeadJournal!$A$1:$NTR$890,COLUMN(HeadJournal!B$1),0),"")</f>
        <v>710000960871</v>
      </c>
      <c r="C2074" s="94" t="str">
        <f>IFERROR(VLOOKUP($A2074,HeadJournal!$A$1:$NTR$890,COLUMN(HeadJournal!C$1),0),"")</f>
        <v>iHerb_AV CYG0792</v>
      </c>
      <c r="D2074" s="125" t="str">
        <f>IFERROR(VLOOKUP($A2074,HeadJournal!$A$1:$NTR$890,COLUMN(HeadJournal!D$1),0),"")</f>
        <v>Доставлен</v>
      </c>
      <c r="E2074" s="95">
        <f>IFERROR(VLOOKUP($A2074,HeadJournal!$A$1:$NTR$890,COLUMN(HeadJournal!G$1),0),"")</f>
        <v>45172</v>
      </c>
      <c r="F2074" s="95" t="str">
        <f t="shared" si="164"/>
        <v>2023 09</v>
      </c>
      <c r="G2074" s="96" t="s">
        <v>5</v>
      </c>
      <c r="H2074" s="160" t="str">
        <f>RIGHT(Journal!$J2074,9)</f>
        <v>HIM-41601</v>
      </c>
      <c r="I2074" s="96" t="str">
        <f t="shared" si="166"/>
        <v>Himalaya</v>
      </c>
      <c r="J2074" s="97" t="s">
        <v>921</v>
      </c>
      <c r="K2074" s="29">
        <v>16.5</v>
      </c>
      <c r="L2074" s="29">
        <v>-4.4550000000000001</v>
      </c>
      <c r="M2074" s="30">
        <f>IFERROR(VLOOKUP($A2074,HeadJournal!$A$1:$J$890,COLUMN(HeadJournal!I$1),0)*($K2074+$L2074)/(SUMIF($A:$A,$A2074,$K:$K)+SUMIF($A:$A,$A2074,$L:$L)),0)</f>
        <v>-0.49534502788104084</v>
      </c>
      <c r="N2074" s="30">
        <f>IFERROR((VLOOKUP($A2074,HeadJournal!$A$1:$K$890,COLUMN(HeadJournal!K$1),0)-VLOOKUP($A2074,HeadJournal!$A$1:$K$890,COLUMN(HeadJournal!J$1),0))*($K2074+$L2074)/(SUMIF($A:$A,$A2074,$K:$K)+SUMIF($A:$A,$A2074,$L:$L)),0)</f>
        <v>0</v>
      </c>
      <c r="O2074" s="30">
        <f>IFERROR((VLOOKUP($A2074,HeadJournal!$A$1:$L$890,COLUMN(HeadJournal!L$1),0)*($K2074+$L2074)/(SUMIF($A:$A,$A2074,$K:$K)+SUMIF($A:$A,$A2074,$L:$L)))/VLOOKUP($A2074,HeadJournal!$A$1:$L$890,COLUMN(HeadJournal!H$1),0),0)</f>
        <v>0.37603388912079511</v>
      </c>
      <c r="P2074" s="30">
        <f>IFERROR(SUM(K2074:O2074)*VLOOKUP($A2074,HeadJournal!$A$1:$L$890,COLUMN(HeadJournal!H$1),0),0)</f>
        <v>1280.5185538162175</v>
      </c>
      <c r="Q2074" s="29">
        <v>2200</v>
      </c>
      <c r="R2074" s="31">
        <v>45200</v>
      </c>
      <c r="S2074" s="31" t="s">
        <v>3121</v>
      </c>
      <c r="T2074" s="95" t="str">
        <f t="shared" si="165"/>
        <v>2023 10</v>
      </c>
      <c r="U2074" s="32">
        <f t="shared" si="162"/>
        <v>919.48144618378251</v>
      </c>
      <c r="V2074" s="22">
        <f t="shared" si="163"/>
        <v>0.71805398168072798</v>
      </c>
      <c r="X2074" s="33"/>
      <c r="Y2074" s="33"/>
    </row>
    <row r="2075" spans="1:25" x14ac:dyDescent="0.2">
      <c r="A2075" s="93" t="s">
        <v>922</v>
      </c>
      <c r="B2075" s="94">
        <f>IFERROR(VLOOKUP($A2075,HeadJournal!$A$1:$NTR$890,COLUMN(HeadJournal!B$1),0),"")</f>
        <v>0</v>
      </c>
      <c r="C2075" s="94" t="str">
        <f>IFERROR(VLOOKUP($A2075,HeadJournal!$A$1:$NTR$890,COLUMN(HeadJournal!C$1),0),"")</f>
        <v>OZON_OA</v>
      </c>
      <c r="D2075" s="125" t="str">
        <f>IFERROR(VLOOKUP($A2075,HeadJournal!$A$1:$NTR$890,COLUMN(HeadJournal!D$1),0),"")</f>
        <v>Доставлен</v>
      </c>
      <c r="E2075" s="95">
        <f>IFERROR(VLOOKUP($A2075,HeadJournal!$A$1:$NTR$890,COLUMN(HeadJournal!G$1),0),"")</f>
        <v>45175</v>
      </c>
      <c r="F2075" s="95" t="str">
        <f t="shared" si="164"/>
        <v>2023 09</v>
      </c>
      <c r="G2075" s="96" t="s">
        <v>6</v>
      </c>
      <c r="H2075" s="160" t="str">
        <f>RIGHT(Journal!$J2075,9)</f>
        <v>425941426</v>
      </c>
      <c r="I2075" s="96" t="str">
        <f t="shared" si="166"/>
        <v>VitaMeal</v>
      </c>
      <c r="J2075" s="97" t="s">
        <v>923</v>
      </c>
      <c r="K2075" s="29">
        <v>645</v>
      </c>
      <c r="L2075" s="29">
        <v>0</v>
      </c>
      <c r="M2075" s="30">
        <f>IFERROR(VLOOKUP($A2075,HeadJournal!$A$1:$J$890,COLUMN(HeadJournal!I$1),0)*($K2075+$L2075)/(SUMIF($A:$A,$A2075,$K:$K)+SUMIF($A:$A,$A2075,$L:$L)),0)</f>
        <v>0</v>
      </c>
      <c r="N2075" s="30">
        <f>IFERROR((VLOOKUP($A2075,HeadJournal!$A$1:$K$890,COLUMN(HeadJournal!K$1),0)-VLOOKUP($A2075,HeadJournal!$A$1:$K$890,COLUMN(HeadJournal!J$1),0))*($K2075+$L2075)/(SUMIF($A:$A,$A2075,$K:$K)+SUMIF($A:$A,$A2075,$L:$L)),0)</f>
        <v>0</v>
      </c>
      <c r="O2075" s="30">
        <f>IFERROR((VLOOKUP($A2075,HeadJournal!$A$1:$L$890,COLUMN(HeadJournal!L$1),0)*($K2075+$L2075)/(SUMIF($A:$A,$A2075,$K:$K)+SUMIF($A:$A,$A2075,$L:$L)))/VLOOKUP($A2075,HeadJournal!$A$1:$L$890,COLUMN(HeadJournal!H$1),0),0)</f>
        <v>64.5</v>
      </c>
      <c r="P2075" s="30">
        <f>IFERROR(SUM(K2075:O2075)*VLOOKUP($A2075,HeadJournal!$A$1:$L$890,COLUMN(HeadJournal!H$1),0),0)</f>
        <v>709.5</v>
      </c>
      <c r="Q2075" s="29">
        <v>1100</v>
      </c>
      <c r="R2075" s="31">
        <v>45179</v>
      </c>
      <c r="S2075" s="31" t="s">
        <v>3121</v>
      </c>
      <c r="T2075" s="95" t="str">
        <f t="shared" si="165"/>
        <v>2023 09</v>
      </c>
      <c r="U2075" s="32">
        <f t="shared" si="162"/>
        <v>390.5</v>
      </c>
      <c r="V2075" s="22">
        <f t="shared" si="163"/>
        <v>0.55038759689922478</v>
      </c>
      <c r="X2075" s="33"/>
      <c r="Y2075" s="33"/>
    </row>
    <row r="2076" spans="1:25" x14ac:dyDescent="0.2">
      <c r="A2076" s="93" t="s">
        <v>922</v>
      </c>
      <c r="B2076" s="94">
        <f>IFERROR(VLOOKUP($A2076,HeadJournal!$A$1:$NTR$890,COLUMN(HeadJournal!B$1),0),"")</f>
        <v>0</v>
      </c>
      <c r="C2076" s="94" t="str">
        <f>IFERROR(VLOOKUP($A2076,HeadJournal!$A$1:$NTR$890,COLUMN(HeadJournal!C$1),0),"")</f>
        <v>OZON_OA</v>
      </c>
      <c r="D2076" s="125" t="str">
        <f>IFERROR(VLOOKUP($A2076,HeadJournal!$A$1:$NTR$890,COLUMN(HeadJournal!D$1),0),"")</f>
        <v>Доставлен</v>
      </c>
      <c r="E2076" s="95">
        <f>IFERROR(VLOOKUP($A2076,HeadJournal!$A$1:$NTR$890,COLUMN(HeadJournal!G$1),0),"")</f>
        <v>45175</v>
      </c>
      <c r="F2076" s="95" t="str">
        <f t="shared" si="164"/>
        <v>2023 09</v>
      </c>
      <c r="G2076" s="96" t="s">
        <v>6</v>
      </c>
      <c r="H2076" s="160" t="str">
        <f>RIGHT(Journal!$J2076,9)</f>
        <v>425941426</v>
      </c>
      <c r="I2076" s="96" t="str">
        <f t="shared" si="166"/>
        <v>VitaMeal</v>
      </c>
      <c r="J2076" s="97" t="s">
        <v>923</v>
      </c>
      <c r="K2076" s="29">
        <v>645</v>
      </c>
      <c r="L2076" s="29">
        <v>0</v>
      </c>
      <c r="M2076" s="30">
        <f>IFERROR(VLOOKUP($A2076,HeadJournal!$A$1:$J$890,COLUMN(HeadJournal!I$1),0)*($K2076+$L2076)/(SUMIF($A:$A,$A2076,$K:$K)+SUMIF($A:$A,$A2076,$L:$L)),0)</f>
        <v>0</v>
      </c>
      <c r="N2076" s="30">
        <f>IFERROR((VLOOKUP($A2076,HeadJournal!$A$1:$K$890,COLUMN(HeadJournal!K$1),0)-VLOOKUP($A2076,HeadJournal!$A$1:$K$890,COLUMN(HeadJournal!J$1),0))*($K2076+$L2076)/(SUMIF($A:$A,$A2076,$K:$K)+SUMIF($A:$A,$A2076,$L:$L)),0)</f>
        <v>0</v>
      </c>
      <c r="O2076" s="30">
        <f>IFERROR((VLOOKUP($A2076,HeadJournal!$A$1:$L$890,COLUMN(HeadJournal!L$1),0)*($K2076+$L2076)/(SUMIF($A:$A,$A2076,$K:$K)+SUMIF($A:$A,$A2076,$L:$L)))/VLOOKUP($A2076,HeadJournal!$A$1:$L$890,COLUMN(HeadJournal!H$1),0),0)</f>
        <v>64.5</v>
      </c>
      <c r="P2076" s="30">
        <f>IFERROR(SUM(K2076:O2076)*VLOOKUP($A2076,HeadJournal!$A$1:$L$890,COLUMN(HeadJournal!H$1),0),0)</f>
        <v>709.5</v>
      </c>
      <c r="Q2076" s="29">
        <v>1100</v>
      </c>
      <c r="R2076" s="31">
        <v>45179</v>
      </c>
      <c r="S2076" s="31" t="s">
        <v>3121</v>
      </c>
      <c r="T2076" s="95" t="str">
        <f t="shared" si="165"/>
        <v>2023 09</v>
      </c>
      <c r="U2076" s="32">
        <f t="shared" si="162"/>
        <v>390.5</v>
      </c>
      <c r="V2076" s="22">
        <f t="shared" si="163"/>
        <v>0.55038759689922478</v>
      </c>
      <c r="X2076" s="33"/>
      <c r="Y2076" s="33"/>
    </row>
    <row r="2077" spans="1:25" x14ac:dyDescent="0.2">
      <c r="A2077" s="93" t="s">
        <v>922</v>
      </c>
      <c r="B2077" s="94">
        <f>IFERROR(VLOOKUP($A2077,HeadJournal!$A$1:$NTR$890,COLUMN(HeadJournal!B$1),0),"")</f>
        <v>0</v>
      </c>
      <c r="C2077" s="94" t="str">
        <f>IFERROR(VLOOKUP($A2077,HeadJournal!$A$1:$NTR$890,COLUMN(HeadJournal!C$1),0),"")</f>
        <v>OZON_OA</v>
      </c>
      <c r="D2077" s="125" t="str">
        <f>IFERROR(VLOOKUP($A2077,HeadJournal!$A$1:$NTR$890,COLUMN(HeadJournal!D$1),0),"")</f>
        <v>Доставлен</v>
      </c>
      <c r="E2077" s="95">
        <f>IFERROR(VLOOKUP($A2077,HeadJournal!$A$1:$NTR$890,COLUMN(HeadJournal!G$1),0),"")</f>
        <v>45175</v>
      </c>
      <c r="F2077" s="95" t="str">
        <f t="shared" si="164"/>
        <v>2023 09</v>
      </c>
      <c r="G2077" s="96" t="s">
        <v>6</v>
      </c>
      <c r="H2077" s="160" t="str">
        <f>RIGHT(Journal!$J2077,9)</f>
        <v>425941426</v>
      </c>
      <c r="I2077" s="96" t="str">
        <f t="shared" si="166"/>
        <v>VitaMeal</v>
      </c>
      <c r="J2077" s="97" t="s">
        <v>923</v>
      </c>
      <c r="K2077" s="29">
        <v>645</v>
      </c>
      <c r="L2077" s="29">
        <v>0</v>
      </c>
      <c r="M2077" s="30">
        <f>IFERROR(VLOOKUP($A2077,HeadJournal!$A$1:$J$890,COLUMN(HeadJournal!I$1),0)*($K2077+$L2077)/(SUMIF($A:$A,$A2077,$K:$K)+SUMIF($A:$A,$A2077,$L:$L)),0)</f>
        <v>0</v>
      </c>
      <c r="N2077" s="30">
        <f>IFERROR((VLOOKUP($A2077,HeadJournal!$A$1:$K$890,COLUMN(HeadJournal!K$1),0)-VLOOKUP($A2077,HeadJournal!$A$1:$K$890,COLUMN(HeadJournal!J$1),0))*($K2077+$L2077)/(SUMIF($A:$A,$A2077,$K:$K)+SUMIF($A:$A,$A2077,$L:$L)),0)</f>
        <v>0</v>
      </c>
      <c r="O2077" s="30">
        <f>IFERROR((VLOOKUP($A2077,HeadJournal!$A$1:$L$890,COLUMN(HeadJournal!L$1),0)*($K2077+$L2077)/(SUMIF($A:$A,$A2077,$K:$K)+SUMIF($A:$A,$A2077,$L:$L)))/VLOOKUP($A2077,HeadJournal!$A$1:$L$890,COLUMN(HeadJournal!H$1),0),0)</f>
        <v>64.5</v>
      </c>
      <c r="P2077" s="30">
        <f>IFERROR(SUM(K2077:O2077)*VLOOKUP($A2077,HeadJournal!$A$1:$L$890,COLUMN(HeadJournal!H$1),0),0)</f>
        <v>709.5</v>
      </c>
      <c r="Q2077" s="29">
        <v>1100</v>
      </c>
      <c r="R2077" s="31">
        <v>45205</v>
      </c>
      <c r="S2077" s="31" t="s">
        <v>3121</v>
      </c>
      <c r="T2077" s="95" t="str">
        <f t="shared" si="165"/>
        <v>2023 10</v>
      </c>
      <c r="U2077" s="32">
        <f t="shared" si="162"/>
        <v>390.5</v>
      </c>
      <c r="V2077" s="22">
        <f t="shared" si="163"/>
        <v>0.55038759689922478</v>
      </c>
      <c r="X2077" s="33"/>
      <c r="Y2077" s="33"/>
    </row>
    <row r="2078" spans="1:25" x14ac:dyDescent="0.2">
      <c r="A2078" s="93" t="s">
        <v>924</v>
      </c>
      <c r="B2078" s="94">
        <f>IFERROR(VLOOKUP($A2078,HeadJournal!$A$1:$NTR$890,COLUMN(HeadJournal!B$1),0),"")</f>
        <v>0</v>
      </c>
      <c r="C2078" s="94" t="str">
        <f>IFERROR(VLOOKUP($A2078,HeadJournal!$A$1:$NTR$890,COLUMN(HeadJournal!C$1),0),"")</f>
        <v>WBRS</v>
      </c>
      <c r="D2078" s="125" t="str">
        <f>IFERROR(VLOOKUP($A2078,HeadJournal!$A$1:$NTR$890,COLUMN(HeadJournal!D$1),0),"")</f>
        <v>Доставлен</v>
      </c>
      <c r="E2078" s="95">
        <f>IFERROR(VLOOKUP($A2078,HeadJournal!$A$1:$NTR$890,COLUMN(HeadJournal!G$1),0),"")</f>
        <v>45168</v>
      </c>
      <c r="F2078" s="95" t="str">
        <f t="shared" si="164"/>
        <v>2023 08</v>
      </c>
      <c r="G2078" s="96" t="s">
        <v>6</v>
      </c>
      <c r="H2078" s="160" t="str">
        <f>RIGHT(Journal!$J2078,9)</f>
        <v>108438397</v>
      </c>
      <c r="I2078" s="96" t="str">
        <f t="shared" si="166"/>
        <v>Red ginseng</v>
      </c>
      <c r="J2078" s="97" t="s">
        <v>860</v>
      </c>
      <c r="K2078" s="29">
        <v>1041</v>
      </c>
      <c r="L2078" s="29">
        <v>0</v>
      </c>
      <c r="M2078" s="30">
        <f>IFERROR(VLOOKUP($A2078,HeadJournal!$A$1:$J$890,COLUMN(HeadJournal!I$1),0)*($K2078+$L2078)/(SUMIF($A:$A,$A2078,$K:$K)+SUMIF($A:$A,$A2078,$L:$L)),0)</f>
        <v>0</v>
      </c>
      <c r="N2078" s="30">
        <f>IFERROR((VLOOKUP($A2078,HeadJournal!$A$1:$K$890,COLUMN(HeadJournal!K$1),0)-VLOOKUP($A2078,HeadJournal!$A$1:$K$890,COLUMN(HeadJournal!J$1),0))*($K2078+$L2078)/(SUMIF($A:$A,$A2078,$K:$K)+SUMIF($A:$A,$A2078,$L:$L)),0)</f>
        <v>0</v>
      </c>
      <c r="O2078" s="30">
        <f>IFERROR((VLOOKUP($A2078,HeadJournal!$A$1:$L$890,COLUMN(HeadJournal!L$1),0)*($K2078+$L2078)/(SUMIF($A:$A,$A2078,$K:$K)+SUMIF($A:$A,$A2078,$L:$L)))/VLOOKUP($A2078,HeadJournal!$A$1:$L$890,COLUMN(HeadJournal!H$1),0),0)</f>
        <v>104.10000000000001</v>
      </c>
      <c r="P2078" s="30">
        <f>IFERROR(SUM(K2078:O2078)*VLOOKUP($A2078,HeadJournal!$A$1:$L$890,COLUMN(HeadJournal!H$1),0),0)</f>
        <v>1145.0999999999999</v>
      </c>
      <c r="Q2078" s="29">
        <v>1750</v>
      </c>
      <c r="R2078" s="31">
        <v>45181</v>
      </c>
      <c r="S2078" s="31" t="s">
        <v>3121</v>
      </c>
      <c r="T2078" s="95" t="str">
        <f t="shared" si="165"/>
        <v>2023 09</v>
      </c>
      <c r="U2078" s="32">
        <f t="shared" si="162"/>
        <v>604.90000000000009</v>
      </c>
      <c r="V2078" s="22">
        <f t="shared" si="163"/>
        <v>0.52825080778971278</v>
      </c>
      <c r="X2078" s="33"/>
      <c r="Y2078" s="33"/>
    </row>
    <row r="2079" spans="1:25" x14ac:dyDescent="0.2">
      <c r="A2079" s="93" t="s">
        <v>924</v>
      </c>
      <c r="B2079" s="94">
        <f>IFERROR(VLOOKUP($A2079,HeadJournal!$A$1:$NTR$890,COLUMN(HeadJournal!B$1),0),"")</f>
        <v>0</v>
      </c>
      <c r="C2079" s="94" t="str">
        <f>IFERROR(VLOOKUP($A2079,HeadJournal!$A$1:$NTR$890,COLUMN(HeadJournal!C$1),0),"")</f>
        <v>WBRS</v>
      </c>
      <c r="D2079" s="125" t="str">
        <f>IFERROR(VLOOKUP($A2079,HeadJournal!$A$1:$NTR$890,COLUMN(HeadJournal!D$1),0),"")</f>
        <v>Доставлен</v>
      </c>
      <c r="E2079" s="95">
        <f>IFERROR(VLOOKUP($A2079,HeadJournal!$A$1:$NTR$890,COLUMN(HeadJournal!G$1),0),"")</f>
        <v>45168</v>
      </c>
      <c r="F2079" s="95" t="str">
        <f t="shared" si="164"/>
        <v>2023 08</v>
      </c>
      <c r="G2079" s="96" t="s">
        <v>6</v>
      </c>
      <c r="H2079" s="160" t="str">
        <f>RIGHT(Journal!$J2079,9)</f>
        <v>108438397</v>
      </c>
      <c r="I2079" s="96" t="str">
        <f t="shared" si="166"/>
        <v>Red ginseng</v>
      </c>
      <c r="J2079" s="97" t="s">
        <v>860</v>
      </c>
      <c r="K2079" s="29">
        <v>1041</v>
      </c>
      <c r="L2079" s="29">
        <v>0</v>
      </c>
      <c r="M2079" s="30">
        <f>IFERROR(VLOOKUP($A2079,HeadJournal!$A$1:$J$890,COLUMN(HeadJournal!I$1),0)*($K2079+$L2079)/(SUMIF($A:$A,$A2079,$K:$K)+SUMIF($A:$A,$A2079,$L:$L)),0)</f>
        <v>0</v>
      </c>
      <c r="N2079" s="30">
        <f>IFERROR((VLOOKUP($A2079,HeadJournal!$A$1:$K$890,COLUMN(HeadJournal!K$1),0)-VLOOKUP($A2079,HeadJournal!$A$1:$K$890,COLUMN(HeadJournal!J$1),0))*($K2079+$L2079)/(SUMIF($A:$A,$A2079,$K:$K)+SUMIF($A:$A,$A2079,$L:$L)),0)</f>
        <v>0</v>
      </c>
      <c r="O2079" s="30">
        <f>IFERROR((VLOOKUP($A2079,HeadJournal!$A$1:$L$890,COLUMN(HeadJournal!L$1),0)*($K2079+$L2079)/(SUMIF($A:$A,$A2079,$K:$K)+SUMIF($A:$A,$A2079,$L:$L)))/VLOOKUP($A2079,HeadJournal!$A$1:$L$890,COLUMN(HeadJournal!H$1),0),0)</f>
        <v>104.10000000000001</v>
      </c>
      <c r="P2079" s="30">
        <f>IFERROR(SUM(K2079:O2079)*VLOOKUP($A2079,HeadJournal!$A$1:$L$890,COLUMN(HeadJournal!H$1),0),0)</f>
        <v>1145.0999999999999</v>
      </c>
      <c r="Q2079" s="29">
        <v>1750</v>
      </c>
      <c r="R2079" s="31">
        <v>45181</v>
      </c>
      <c r="S2079" s="31" t="s">
        <v>3121</v>
      </c>
      <c r="T2079" s="95" t="str">
        <f t="shared" si="165"/>
        <v>2023 09</v>
      </c>
      <c r="U2079" s="32">
        <f t="shared" si="162"/>
        <v>604.90000000000009</v>
      </c>
      <c r="V2079" s="22">
        <f t="shared" si="163"/>
        <v>0.52825080778971278</v>
      </c>
      <c r="X2079" s="33"/>
      <c r="Y2079" s="33"/>
    </row>
    <row r="2080" spans="1:25" x14ac:dyDescent="0.2">
      <c r="A2080" s="93" t="s">
        <v>925</v>
      </c>
      <c r="B2080" s="94">
        <f>IFERROR(VLOOKUP($A2080,HeadJournal!$A$1:$NTR$890,COLUMN(HeadJournal!B$1),0),"")</f>
        <v>0</v>
      </c>
      <c r="C2080" s="94" t="str">
        <f>IFERROR(VLOOKUP($A2080,HeadJournal!$A$1:$NTR$890,COLUMN(HeadJournal!C$1),0),"")</f>
        <v>WBRS</v>
      </c>
      <c r="D2080" s="125" t="str">
        <f>IFERROR(VLOOKUP($A2080,HeadJournal!$A$1:$NTR$890,COLUMN(HeadJournal!D$1),0),"")</f>
        <v>Доставлен</v>
      </c>
      <c r="E2080" s="95">
        <f>IFERROR(VLOOKUP($A2080,HeadJournal!$A$1:$NTR$890,COLUMN(HeadJournal!G$1),0),"")</f>
        <v>45177</v>
      </c>
      <c r="F2080" s="95" t="str">
        <f t="shared" si="164"/>
        <v>2023 09</v>
      </c>
      <c r="G2080" s="96" t="s">
        <v>6</v>
      </c>
      <c r="H2080" s="160" t="str">
        <f>RIGHT(Journal!$J2080,9)</f>
        <v>109762041</v>
      </c>
      <c r="I2080" s="96" t="str">
        <f t="shared" si="166"/>
        <v>Mutant mass</v>
      </c>
      <c r="J2080" s="97" t="s">
        <v>926</v>
      </c>
      <c r="K2080" s="29">
        <v>5006</v>
      </c>
      <c r="L2080" s="29">
        <v>0</v>
      </c>
      <c r="M2080" s="30">
        <f>IFERROR(VLOOKUP($A2080,HeadJournal!$A$1:$J$890,COLUMN(HeadJournal!I$1),0)*($K2080+$L2080)/(SUMIF($A:$A,$A2080,$K:$K)+SUMIF($A:$A,$A2080,$L:$L)),0)</f>
        <v>0</v>
      </c>
      <c r="N2080" s="30">
        <f>IFERROR((VLOOKUP($A2080,HeadJournal!$A$1:$K$890,COLUMN(HeadJournal!K$1),0)-VLOOKUP($A2080,HeadJournal!$A$1:$K$890,COLUMN(HeadJournal!J$1),0))*($K2080+$L2080)/(SUMIF($A:$A,$A2080,$K:$K)+SUMIF($A:$A,$A2080,$L:$L)),0)</f>
        <v>0</v>
      </c>
      <c r="O2080" s="30">
        <f>IFERROR((VLOOKUP($A2080,HeadJournal!$A$1:$L$890,COLUMN(HeadJournal!L$1),0)*($K2080+$L2080)/(SUMIF($A:$A,$A2080,$K:$K)+SUMIF($A:$A,$A2080,$L:$L)))/VLOOKUP($A2080,HeadJournal!$A$1:$L$890,COLUMN(HeadJournal!H$1),0),0)</f>
        <v>500.6</v>
      </c>
      <c r="P2080" s="30">
        <f>IFERROR(SUM(K2080:O2080)*VLOOKUP($A2080,HeadJournal!$A$1:$L$890,COLUMN(HeadJournal!H$1),0),0)</f>
        <v>5506.6</v>
      </c>
      <c r="Q2080" s="29">
        <v>6800</v>
      </c>
      <c r="R2080" s="31">
        <v>45186</v>
      </c>
      <c r="S2080" s="31" t="s">
        <v>3121</v>
      </c>
      <c r="T2080" s="95" t="str">
        <f t="shared" si="165"/>
        <v>2023 09</v>
      </c>
      <c r="U2080" s="32">
        <f t="shared" si="162"/>
        <v>1293.3999999999996</v>
      </c>
      <c r="V2080" s="22">
        <f t="shared" si="163"/>
        <v>0.23488177822976056</v>
      </c>
      <c r="X2080" s="33"/>
      <c r="Y2080" s="33"/>
    </row>
    <row r="2081" spans="1:25" x14ac:dyDescent="0.2">
      <c r="A2081" s="93" t="s">
        <v>925</v>
      </c>
      <c r="B2081" s="94">
        <f>IFERROR(VLOOKUP($A2081,HeadJournal!$A$1:$NTR$890,COLUMN(HeadJournal!B$1),0),"")</f>
        <v>0</v>
      </c>
      <c r="C2081" s="94" t="str">
        <f>IFERROR(VLOOKUP($A2081,HeadJournal!$A$1:$NTR$890,COLUMN(HeadJournal!C$1),0),"")</f>
        <v>WBRS</v>
      </c>
      <c r="D2081" s="125" t="str">
        <f>IFERROR(VLOOKUP($A2081,HeadJournal!$A$1:$NTR$890,COLUMN(HeadJournal!D$1),0),"")</f>
        <v>Доставлен</v>
      </c>
      <c r="E2081" s="95">
        <f>IFERROR(VLOOKUP($A2081,HeadJournal!$A$1:$NTR$890,COLUMN(HeadJournal!G$1),0),"")</f>
        <v>45177</v>
      </c>
      <c r="F2081" s="95" t="str">
        <f t="shared" si="164"/>
        <v>2023 09</v>
      </c>
      <c r="G2081" s="96" t="s">
        <v>6</v>
      </c>
      <c r="H2081" s="160" t="str">
        <f>RIGHT(Journal!$J2081,9)</f>
        <v>109762042</v>
      </c>
      <c r="I2081" s="96" t="str">
        <f t="shared" si="166"/>
        <v>Mutant mass</v>
      </c>
      <c r="J2081" s="97" t="s">
        <v>927</v>
      </c>
      <c r="K2081" s="29">
        <v>5006</v>
      </c>
      <c r="L2081" s="29">
        <v>0</v>
      </c>
      <c r="M2081" s="30">
        <f>IFERROR(VLOOKUP($A2081,HeadJournal!$A$1:$J$890,COLUMN(HeadJournal!I$1),0)*($K2081+$L2081)/(SUMIF($A:$A,$A2081,$K:$K)+SUMIF($A:$A,$A2081,$L:$L)),0)</f>
        <v>0</v>
      </c>
      <c r="N2081" s="30">
        <f>IFERROR((VLOOKUP($A2081,HeadJournal!$A$1:$K$890,COLUMN(HeadJournal!K$1),0)-VLOOKUP($A2081,HeadJournal!$A$1:$K$890,COLUMN(HeadJournal!J$1),0))*($K2081+$L2081)/(SUMIF($A:$A,$A2081,$K:$K)+SUMIF($A:$A,$A2081,$L:$L)),0)</f>
        <v>0</v>
      </c>
      <c r="O2081" s="30">
        <f>IFERROR((VLOOKUP($A2081,HeadJournal!$A$1:$L$890,COLUMN(HeadJournal!L$1),0)*($K2081+$L2081)/(SUMIF($A:$A,$A2081,$K:$K)+SUMIF($A:$A,$A2081,$L:$L)))/VLOOKUP($A2081,HeadJournal!$A$1:$L$890,COLUMN(HeadJournal!H$1),0),0)</f>
        <v>500.6</v>
      </c>
      <c r="P2081" s="30">
        <f>IFERROR(SUM(K2081:O2081)*VLOOKUP($A2081,HeadJournal!$A$1:$L$890,COLUMN(HeadJournal!H$1),0),0)</f>
        <v>5506.6</v>
      </c>
      <c r="Q2081" s="29">
        <v>6800</v>
      </c>
      <c r="R2081" s="31">
        <v>45186</v>
      </c>
      <c r="S2081" s="31" t="s">
        <v>3121</v>
      </c>
      <c r="T2081" s="95" t="str">
        <f t="shared" si="165"/>
        <v>2023 09</v>
      </c>
      <c r="U2081" s="32">
        <f t="shared" si="162"/>
        <v>1293.3999999999996</v>
      </c>
      <c r="V2081" s="22">
        <f t="shared" si="163"/>
        <v>0.23488177822976056</v>
      </c>
      <c r="X2081" s="33"/>
      <c r="Y2081" s="33"/>
    </row>
    <row r="2082" spans="1:25" x14ac:dyDescent="0.2">
      <c r="A2082" s="93" t="s">
        <v>925</v>
      </c>
      <c r="B2082" s="94">
        <f>IFERROR(VLOOKUP($A2082,HeadJournal!$A$1:$NTR$890,COLUMN(HeadJournal!B$1),0),"")</f>
        <v>0</v>
      </c>
      <c r="C2082" s="94" t="str">
        <f>IFERROR(VLOOKUP($A2082,HeadJournal!$A$1:$NTR$890,COLUMN(HeadJournal!C$1),0),"")</f>
        <v>WBRS</v>
      </c>
      <c r="D2082" s="125" t="str">
        <f>IFERROR(VLOOKUP($A2082,HeadJournal!$A$1:$NTR$890,COLUMN(HeadJournal!D$1),0),"")</f>
        <v>Доставлен</v>
      </c>
      <c r="E2082" s="95">
        <f>IFERROR(VLOOKUP($A2082,HeadJournal!$A$1:$NTR$890,COLUMN(HeadJournal!G$1),0),"")</f>
        <v>45177</v>
      </c>
      <c r="F2082" s="95" t="str">
        <f t="shared" si="164"/>
        <v>2023 09</v>
      </c>
      <c r="G2082" s="96" t="s">
        <v>6</v>
      </c>
      <c r="H2082" s="160" t="str">
        <f>RIGHT(Journal!$J2082,9)</f>
        <v>109762034</v>
      </c>
      <c r="I2082" s="96" t="str">
        <f t="shared" si="166"/>
        <v>Mutant mass</v>
      </c>
      <c r="J2082" s="97" t="s">
        <v>928</v>
      </c>
      <c r="K2082" s="29">
        <v>5006</v>
      </c>
      <c r="L2082" s="29">
        <v>0</v>
      </c>
      <c r="M2082" s="30">
        <f>IFERROR(VLOOKUP($A2082,HeadJournal!$A$1:$J$890,COLUMN(HeadJournal!I$1),0)*($K2082+$L2082)/(SUMIF($A:$A,$A2082,$K:$K)+SUMIF($A:$A,$A2082,$L:$L)),0)</f>
        <v>0</v>
      </c>
      <c r="N2082" s="30">
        <f>IFERROR((VLOOKUP($A2082,HeadJournal!$A$1:$K$890,COLUMN(HeadJournal!K$1),0)-VLOOKUP($A2082,HeadJournal!$A$1:$K$890,COLUMN(HeadJournal!J$1),0))*($K2082+$L2082)/(SUMIF($A:$A,$A2082,$K:$K)+SUMIF($A:$A,$A2082,$L:$L)),0)</f>
        <v>0</v>
      </c>
      <c r="O2082" s="30">
        <f>IFERROR((VLOOKUP($A2082,HeadJournal!$A$1:$L$890,COLUMN(HeadJournal!L$1),0)*($K2082+$L2082)/(SUMIF($A:$A,$A2082,$K:$K)+SUMIF($A:$A,$A2082,$L:$L)))/VLOOKUP($A2082,HeadJournal!$A$1:$L$890,COLUMN(HeadJournal!H$1),0),0)</f>
        <v>500.6</v>
      </c>
      <c r="P2082" s="30">
        <f>IFERROR(SUM(K2082:O2082)*VLOOKUP($A2082,HeadJournal!$A$1:$L$890,COLUMN(HeadJournal!H$1),0),0)</f>
        <v>5506.6</v>
      </c>
      <c r="Q2082" s="29">
        <v>6800</v>
      </c>
      <c r="R2082" s="31">
        <v>45186</v>
      </c>
      <c r="S2082" s="31" t="s">
        <v>3121</v>
      </c>
      <c r="T2082" s="95" t="str">
        <f t="shared" si="165"/>
        <v>2023 09</v>
      </c>
      <c r="U2082" s="32">
        <f t="shared" si="162"/>
        <v>1293.3999999999996</v>
      </c>
      <c r="V2082" s="22">
        <f t="shared" si="163"/>
        <v>0.23488177822976056</v>
      </c>
      <c r="X2082" s="33"/>
      <c r="Y2082" s="33"/>
    </row>
    <row r="2083" spans="1:25" x14ac:dyDescent="0.2">
      <c r="A2083" s="93" t="s">
        <v>929</v>
      </c>
      <c r="B2083" s="94">
        <f>IFERROR(VLOOKUP($A2083,HeadJournal!$A$1:$NTR$890,COLUMN(HeadJournal!B$1),0),"")</f>
        <v>0</v>
      </c>
      <c r="C2083" s="94" t="str">
        <f>IFERROR(VLOOKUP($A2083,HeadJournal!$A$1:$NTR$890,COLUMN(HeadJournal!C$1),0),"")</f>
        <v>WBRS</v>
      </c>
      <c r="D2083" s="125" t="str">
        <f>IFERROR(VLOOKUP($A2083,HeadJournal!$A$1:$NTR$890,COLUMN(HeadJournal!D$1),0),"")</f>
        <v>Доставлен</v>
      </c>
      <c r="E2083" s="95">
        <f>IFERROR(VLOOKUP($A2083,HeadJournal!$A$1:$NTR$890,COLUMN(HeadJournal!G$1),0),"")</f>
        <v>45177</v>
      </c>
      <c r="F2083" s="95" t="str">
        <f t="shared" si="164"/>
        <v>2023 09</v>
      </c>
      <c r="G2083" s="96" t="s">
        <v>6</v>
      </c>
      <c r="H2083" s="160" t="str">
        <f>RIGHT(Journal!$J2083,9)</f>
        <v>156265513</v>
      </c>
      <c r="I2083" s="96" t="str">
        <f t="shared" si="166"/>
        <v>Scitec Nutrition</v>
      </c>
      <c r="J2083" s="97" t="s">
        <v>930</v>
      </c>
      <c r="K2083" s="29">
        <v>2191</v>
      </c>
      <c r="L2083" s="29">
        <v>0</v>
      </c>
      <c r="M2083" s="30">
        <f>IFERROR(VLOOKUP($A2083,HeadJournal!$A$1:$J$890,COLUMN(HeadJournal!I$1),0)*($K2083+$L2083)/(SUMIF($A:$A,$A2083,$K:$K)+SUMIF($A:$A,$A2083,$L:$L)),0)</f>
        <v>0</v>
      </c>
      <c r="N2083" s="30">
        <f>IFERROR((VLOOKUP($A2083,HeadJournal!$A$1:$K$890,COLUMN(HeadJournal!K$1),0)-VLOOKUP($A2083,HeadJournal!$A$1:$K$890,COLUMN(HeadJournal!J$1),0))*($K2083+$L2083)/(SUMIF($A:$A,$A2083,$K:$K)+SUMIF($A:$A,$A2083,$L:$L)),0)</f>
        <v>0</v>
      </c>
      <c r="O2083" s="30">
        <f>IFERROR((VLOOKUP($A2083,HeadJournal!$A$1:$L$890,COLUMN(HeadJournal!L$1),0)*($K2083+$L2083)/(SUMIF($A:$A,$A2083,$K:$K)+SUMIF($A:$A,$A2083,$L:$L)))/VLOOKUP($A2083,HeadJournal!$A$1:$L$890,COLUMN(HeadJournal!H$1),0),0)</f>
        <v>219.10000000000002</v>
      </c>
      <c r="P2083" s="30">
        <f>IFERROR(SUM(K2083:O2083)*VLOOKUP($A2083,HeadJournal!$A$1:$L$890,COLUMN(HeadJournal!H$1),0),0)</f>
        <v>2410.1</v>
      </c>
      <c r="Q2083" s="29">
        <v>3400</v>
      </c>
      <c r="R2083" s="31">
        <v>45214</v>
      </c>
      <c r="S2083" s="31" t="s">
        <v>3121</v>
      </c>
      <c r="T2083" s="95" t="str">
        <f t="shared" si="165"/>
        <v>2023 10</v>
      </c>
      <c r="U2083" s="32">
        <f t="shared" si="162"/>
        <v>989.90000000000009</v>
      </c>
      <c r="V2083" s="22">
        <f t="shared" si="163"/>
        <v>0.41072984523463762</v>
      </c>
      <c r="X2083" s="33"/>
      <c r="Y2083" s="33"/>
    </row>
    <row r="2084" spans="1:25" x14ac:dyDescent="0.2">
      <c r="A2084" s="93" t="s">
        <v>931</v>
      </c>
      <c r="B2084" s="94">
        <f>IFERROR(VLOOKUP($A2084,HeadJournal!$A$1:$NTR$890,COLUMN(HeadJournal!B$1),0),"")</f>
        <v>0</v>
      </c>
      <c r="C2084" s="94" t="str">
        <f>IFERROR(VLOOKUP($A2084,HeadJournal!$A$1:$NTR$890,COLUMN(HeadJournal!C$1),0),"")</f>
        <v>WBRS</v>
      </c>
      <c r="D2084" s="125" t="str">
        <f>IFERROR(VLOOKUP($A2084,HeadJournal!$A$1:$NTR$890,COLUMN(HeadJournal!D$1),0),"")</f>
        <v>Доставлен</v>
      </c>
      <c r="E2084" s="95">
        <f>IFERROR(VLOOKUP($A2084,HeadJournal!$A$1:$NTR$890,COLUMN(HeadJournal!G$1),0),"")</f>
        <v>45177</v>
      </c>
      <c r="F2084" s="95" t="str">
        <f t="shared" si="164"/>
        <v>2023 09</v>
      </c>
      <c r="G2084" s="96" t="s">
        <v>6</v>
      </c>
      <c r="H2084" s="160" t="str">
        <f>RIGHT(Journal!$J2084,9)</f>
        <v>166611795</v>
      </c>
      <c r="I2084" s="96" t="str">
        <f t="shared" si="166"/>
        <v>Maxler</v>
      </c>
      <c r="J2084" s="97" t="s">
        <v>932</v>
      </c>
      <c r="K2084" s="29">
        <v>2375</v>
      </c>
      <c r="L2084" s="29">
        <v>0</v>
      </c>
      <c r="M2084" s="30">
        <f>IFERROR(VLOOKUP($A2084,HeadJournal!$A$1:$J$890,COLUMN(HeadJournal!I$1),0)*($K2084+$L2084)/(SUMIF($A:$A,$A2084,$K:$K)+SUMIF($A:$A,$A2084,$L:$L)),0)</f>
        <v>0</v>
      </c>
      <c r="N2084" s="30">
        <f>IFERROR((VLOOKUP($A2084,HeadJournal!$A$1:$K$890,COLUMN(HeadJournal!K$1),0)-VLOOKUP($A2084,HeadJournal!$A$1:$K$890,COLUMN(HeadJournal!J$1),0))*($K2084+$L2084)/(SUMIF($A:$A,$A2084,$K:$K)+SUMIF($A:$A,$A2084,$L:$L)),0)</f>
        <v>0</v>
      </c>
      <c r="O2084" s="30">
        <f>IFERROR((VLOOKUP($A2084,HeadJournal!$A$1:$L$890,COLUMN(HeadJournal!L$1),0)*($K2084+$L2084)/(SUMIF($A:$A,$A2084,$K:$K)+SUMIF($A:$A,$A2084,$L:$L)))/VLOOKUP($A2084,HeadJournal!$A$1:$L$890,COLUMN(HeadJournal!H$1),0),0)</f>
        <v>237.5</v>
      </c>
      <c r="P2084" s="30">
        <f>IFERROR(SUM(K2084:O2084)*VLOOKUP($A2084,HeadJournal!$A$1:$L$890,COLUMN(HeadJournal!H$1),0),0)</f>
        <v>2612.5</v>
      </c>
      <c r="Q2084" s="29">
        <v>3500</v>
      </c>
      <c r="R2084" s="31">
        <v>45186</v>
      </c>
      <c r="S2084" s="31" t="s">
        <v>3121</v>
      </c>
      <c r="T2084" s="95" t="str">
        <f t="shared" si="165"/>
        <v>2023 09</v>
      </c>
      <c r="U2084" s="32">
        <f t="shared" si="162"/>
        <v>887.5</v>
      </c>
      <c r="V2084" s="22">
        <f t="shared" si="163"/>
        <v>0.33971291866028708</v>
      </c>
      <c r="X2084" s="33"/>
      <c r="Y2084" s="33"/>
    </row>
    <row r="2085" spans="1:25" x14ac:dyDescent="0.2">
      <c r="A2085" s="93" t="s">
        <v>931</v>
      </c>
      <c r="B2085" s="94">
        <f>IFERROR(VLOOKUP($A2085,HeadJournal!$A$1:$NTR$890,COLUMN(HeadJournal!B$1),0),"")</f>
        <v>0</v>
      </c>
      <c r="C2085" s="94" t="str">
        <f>IFERROR(VLOOKUP($A2085,HeadJournal!$A$1:$NTR$890,COLUMN(HeadJournal!C$1),0),"")</f>
        <v>WBRS</v>
      </c>
      <c r="D2085" s="125" t="str">
        <f>IFERROR(VLOOKUP($A2085,HeadJournal!$A$1:$NTR$890,COLUMN(HeadJournal!D$1),0),"")</f>
        <v>Доставлен</v>
      </c>
      <c r="E2085" s="95">
        <f>IFERROR(VLOOKUP($A2085,HeadJournal!$A$1:$NTR$890,COLUMN(HeadJournal!G$1),0),"")</f>
        <v>45177</v>
      </c>
      <c r="F2085" s="95" t="str">
        <f t="shared" si="164"/>
        <v>2023 09</v>
      </c>
      <c r="G2085" s="96" t="s">
        <v>6</v>
      </c>
      <c r="H2085" s="160" t="str">
        <f>RIGHT(Journal!$J2085,9)</f>
        <v>166611795</v>
      </c>
      <c r="I2085" s="96" t="str">
        <f t="shared" si="166"/>
        <v>Maxler</v>
      </c>
      <c r="J2085" s="97" t="s">
        <v>932</v>
      </c>
      <c r="K2085" s="29">
        <v>2375</v>
      </c>
      <c r="L2085" s="29">
        <v>0</v>
      </c>
      <c r="M2085" s="30">
        <f>IFERROR(VLOOKUP($A2085,HeadJournal!$A$1:$J$890,COLUMN(HeadJournal!I$1),0)*($K2085+$L2085)/(SUMIF($A:$A,$A2085,$K:$K)+SUMIF($A:$A,$A2085,$L:$L)),0)</f>
        <v>0</v>
      </c>
      <c r="N2085" s="30">
        <f>IFERROR((VLOOKUP($A2085,HeadJournal!$A$1:$K$890,COLUMN(HeadJournal!K$1),0)-VLOOKUP($A2085,HeadJournal!$A$1:$K$890,COLUMN(HeadJournal!J$1),0))*($K2085+$L2085)/(SUMIF($A:$A,$A2085,$K:$K)+SUMIF($A:$A,$A2085,$L:$L)),0)</f>
        <v>0</v>
      </c>
      <c r="O2085" s="30">
        <f>IFERROR((VLOOKUP($A2085,HeadJournal!$A$1:$L$890,COLUMN(HeadJournal!L$1),0)*($K2085+$L2085)/(SUMIF($A:$A,$A2085,$K:$K)+SUMIF($A:$A,$A2085,$L:$L)))/VLOOKUP($A2085,HeadJournal!$A$1:$L$890,COLUMN(HeadJournal!H$1),0),0)</f>
        <v>237.5</v>
      </c>
      <c r="P2085" s="30">
        <f>IFERROR(SUM(K2085:O2085)*VLOOKUP($A2085,HeadJournal!$A$1:$L$890,COLUMN(HeadJournal!H$1),0),0)</f>
        <v>2612.5</v>
      </c>
      <c r="Q2085" s="29">
        <v>3500</v>
      </c>
      <c r="R2085" s="31">
        <v>45205</v>
      </c>
      <c r="S2085" s="31" t="s">
        <v>3121</v>
      </c>
      <c r="T2085" s="95" t="str">
        <f t="shared" si="165"/>
        <v>2023 10</v>
      </c>
      <c r="U2085" s="32">
        <f t="shared" si="162"/>
        <v>887.5</v>
      </c>
      <c r="V2085" s="22">
        <f t="shared" si="163"/>
        <v>0.33971291866028708</v>
      </c>
      <c r="X2085" s="33"/>
      <c r="Y2085" s="33"/>
    </row>
    <row r="2086" spans="1:25" x14ac:dyDescent="0.2">
      <c r="A2086" s="93" t="s">
        <v>931</v>
      </c>
      <c r="B2086" s="94">
        <f>IFERROR(VLOOKUP($A2086,HeadJournal!$A$1:$NTR$890,COLUMN(HeadJournal!B$1),0),"")</f>
        <v>0</v>
      </c>
      <c r="C2086" s="94" t="str">
        <f>IFERROR(VLOOKUP($A2086,HeadJournal!$A$1:$NTR$890,COLUMN(HeadJournal!C$1),0),"")</f>
        <v>WBRS</v>
      </c>
      <c r="D2086" s="125" t="str">
        <f>IFERROR(VLOOKUP($A2086,HeadJournal!$A$1:$NTR$890,COLUMN(HeadJournal!D$1),0),"")</f>
        <v>Доставлен</v>
      </c>
      <c r="E2086" s="95">
        <f>IFERROR(VLOOKUP($A2086,HeadJournal!$A$1:$NTR$890,COLUMN(HeadJournal!G$1),0),"")</f>
        <v>45177</v>
      </c>
      <c r="F2086" s="95" t="str">
        <f t="shared" si="164"/>
        <v>2023 09</v>
      </c>
      <c r="G2086" s="96" t="s">
        <v>6</v>
      </c>
      <c r="H2086" s="160" t="str">
        <f>RIGHT(Journal!$J2086,9)</f>
        <v>166611795</v>
      </c>
      <c r="I2086" s="96" t="str">
        <f t="shared" si="166"/>
        <v>Maxler</v>
      </c>
      <c r="J2086" s="97" t="s">
        <v>932</v>
      </c>
      <c r="K2086" s="29">
        <v>2375</v>
      </c>
      <c r="L2086" s="29">
        <v>0</v>
      </c>
      <c r="M2086" s="30">
        <f>IFERROR(VLOOKUP($A2086,HeadJournal!$A$1:$J$890,COLUMN(HeadJournal!I$1),0)*($K2086+$L2086)/(SUMIF($A:$A,$A2086,$K:$K)+SUMIF($A:$A,$A2086,$L:$L)),0)</f>
        <v>0</v>
      </c>
      <c r="N2086" s="30">
        <f>IFERROR((VLOOKUP($A2086,HeadJournal!$A$1:$K$890,COLUMN(HeadJournal!K$1),0)-VLOOKUP($A2086,HeadJournal!$A$1:$K$890,COLUMN(HeadJournal!J$1),0))*($K2086+$L2086)/(SUMIF($A:$A,$A2086,$K:$K)+SUMIF($A:$A,$A2086,$L:$L)),0)</f>
        <v>0</v>
      </c>
      <c r="O2086" s="30">
        <f>IFERROR((VLOOKUP($A2086,HeadJournal!$A$1:$L$890,COLUMN(HeadJournal!L$1),0)*($K2086+$L2086)/(SUMIF($A:$A,$A2086,$K:$K)+SUMIF($A:$A,$A2086,$L:$L)))/VLOOKUP($A2086,HeadJournal!$A$1:$L$890,COLUMN(HeadJournal!H$1),0),0)</f>
        <v>237.5</v>
      </c>
      <c r="P2086" s="30">
        <f>IFERROR(SUM(K2086:O2086)*VLOOKUP($A2086,HeadJournal!$A$1:$L$890,COLUMN(HeadJournal!H$1),0),0)</f>
        <v>2612.5</v>
      </c>
      <c r="Q2086" s="29">
        <v>3500</v>
      </c>
      <c r="R2086" s="31">
        <v>45213</v>
      </c>
      <c r="S2086" s="31" t="s">
        <v>3121</v>
      </c>
      <c r="T2086" s="95" t="str">
        <f t="shared" si="165"/>
        <v>2023 10</v>
      </c>
      <c r="U2086" s="32">
        <f t="shared" si="162"/>
        <v>887.5</v>
      </c>
      <c r="V2086" s="22">
        <f t="shared" si="163"/>
        <v>0.33971291866028708</v>
      </c>
      <c r="X2086" s="33"/>
      <c r="Y2086" s="33"/>
    </row>
    <row r="2087" spans="1:25" x14ac:dyDescent="0.2">
      <c r="A2087" s="93" t="s">
        <v>933</v>
      </c>
      <c r="B2087" s="94">
        <f>IFERROR(VLOOKUP($A2087,HeadJournal!$A$1:$NTR$890,COLUMN(HeadJournal!B$1),0),"")</f>
        <v>0</v>
      </c>
      <c r="C2087" s="94" t="str">
        <f>IFERROR(VLOOKUP($A2087,HeadJournal!$A$1:$NTR$890,COLUMN(HeadJournal!C$1),0),"")</f>
        <v>WBRS</v>
      </c>
      <c r="D2087" s="125" t="str">
        <f>IFERROR(VLOOKUP($A2087,HeadJournal!$A$1:$NTR$890,COLUMN(HeadJournal!D$1),0),"")</f>
        <v>Доставлен</v>
      </c>
      <c r="E2087" s="95">
        <f>IFERROR(VLOOKUP($A2087,HeadJournal!$A$1:$NTR$890,COLUMN(HeadJournal!G$1),0),"")</f>
        <v>45177</v>
      </c>
      <c r="F2087" s="95" t="str">
        <f t="shared" si="164"/>
        <v>2023 09</v>
      </c>
      <c r="G2087" s="96" t="s">
        <v>6</v>
      </c>
      <c r="H2087" s="160" t="str">
        <f>RIGHT(Journal!$J2087,9)</f>
        <v>171016083</v>
      </c>
      <c r="I2087" s="96" t="str">
        <f t="shared" si="166"/>
        <v>Scitec Nutrition</v>
      </c>
      <c r="J2087" s="97" t="s">
        <v>934</v>
      </c>
      <c r="K2087" s="29">
        <v>2700</v>
      </c>
      <c r="L2087" s="29">
        <v>0</v>
      </c>
      <c r="M2087" s="30">
        <f>IFERROR(VLOOKUP($A2087,HeadJournal!$A$1:$J$890,COLUMN(HeadJournal!I$1),0)*($K2087+$L2087)/(SUMIF($A:$A,$A2087,$K:$K)+SUMIF($A:$A,$A2087,$L:$L)),0)</f>
        <v>0</v>
      </c>
      <c r="N2087" s="30">
        <f>IFERROR((VLOOKUP($A2087,HeadJournal!$A$1:$K$890,COLUMN(HeadJournal!K$1),0)-VLOOKUP($A2087,HeadJournal!$A$1:$K$890,COLUMN(HeadJournal!J$1),0))*($K2087+$L2087)/(SUMIF($A:$A,$A2087,$K:$K)+SUMIF($A:$A,$A2087,$L:$L)),0)</f>
        <v>0</v>
      </c>
      <c r="O2087" s="30">
        <f>IFERROR((VLOOKUP($A2087,HeadJournal!$A$1:$L$890,COLUMN(HeadJournal!L$1),0)*($K2087+$L2087)/(SUMIF($A:$A,$A2087,$K:$K)+SUMIF($A:$A,$A2087,$L:$L)))/VLOOKUP($A2087,HeadJournal!$A$1:$L$890,COLUMN(HeadJournal!H$1),0),0)</f>
        <v>270</v>
      </c>
      <c r="P2087" s="30">
        <f>IFERROR(SUM(K2087:O2087)*VLOOKUP($A2087,HeadJournal!$A$1:$L$890,COLUMN(HeadJournal!H$1),0),0)</f>
        <v>2970</v>
      </c>
      <c r="Q2087" s="29">
        <v>3600</v>
      </c>
      <c r="R2087" s="31">
        <v>45200</v>
      </c>
      <c r="S2087" s="31" t="s">
        <v>3121</v>
      </c>
      <c r="T2087" s="95" t="str">
        <f t="shared" si="165"/>
        <v>2023 10</v>
      </c>
      <c r="U2087" s="32">
        <f t="shared" si="162"/>
        <v>630</v>
      </c>
      <c r="V2087" s="22">
        <f t="shared" si="163"/>
        <v>0.21212121212121213</v>
      </c>
      <c r="X2087" s="33"/>
      <c r="Y2087" s="33"/>
    </row>
    <row r="2088" spans="1:25" x14ac:dyDescent="0.2">
      <c r="A2088" s="93" t="s">
        <v>933</v>
      </c>
      <c r="B2088" s="94">
        <f>IFERROR(VLOOKUP($A2088,HeadJournal!$A$1:$NTR$890,COLUMN(HeadJournal!B$1),0),"")</f>
        <v>0</v>
      </c>
      <c r="C2088" s="94" t="str">
        <f>IFERROR(VLOOKUP($A2088,HeadJournal!$A$1:$NTR$890,COLUMN(HeadJournal!C$1),0),"")</f>
        <v>WBRS</v>
      </c>
      <c r="D2088" s="125" t="str">
        <f>IFERROR(VLOOKUP($A2088,HeadJournal!$A$1:$NTR$890,COLUMN(HeadJournal!D$1),0),"")</f>
        <v>Доставлен</v>
      </c>
      <c r="E2088" s="95">
        <f>IFERROR(VLOOKUP($A2088,HeadJournal!$A$1:$NTR$890,COLUMN(HeadJournal!G$1),0),"")</f>
        <v>45177</v>
      </c>
      <c r="F2088" s="95" t="str">
        <f t="shared" si="164"/>
        <v>2023 09</v>
      </c>
      <c r="G2088" s="96" t="s">
        <v>6</v>
      </c>
      <c r="H2088" s="160" t="str">
        <f>RIGHT(Journal!$J2088,9)</f>
        <v>171016083</v>
      </c>
      <c r="I2088" s="96" t="str">
        <f t="shared" si="166"/>
        <v>Scitec Nutrition</v>
      </c>
      <c r="J2088" s="97" t="s">
        <v>934</v>
      </c>
      <c r="K2088" s="29">
        <v>2700</v>
      </c>
      <c r="L2088" s="29">
        <v>0</v>
      </c>
      <c r="M2088" s="30">
        <f>IFERROR(VLOOKUP($A2088,HeadJournal!$A$1:$J$890,COLUMN(HeadJournal!I$1),0)*($K2088+$L2088)/(SUMIF($A:$A,$A2088,$K:$K)+SUMIF($A:$A,$A2088,$L:$L)),0)</f>
        <v>0</v>
      </c>
      <c r="N2088" s="30">
        <f>IFERROR((VLOOKUP($A2088,HeadJournal!$A$1:$K$890,COLUMN(HeadJournal!K$1),0)-VLOOKUP($A2088,HeadJournal!$A$1:$K$890,COLUMN(HeadJournal!J$1),0))*($K2088+$L2088)/(SUMIF($A:$A,$A2088,$K:$K)+SUMIF($A:$A,$A2088,$L:$L)),0)</f>
        <v>0</v>
      </c>
      <c r="O2088" s="30">
        <f>IFERROR((VLOOKUP($A2088,HeadJournal!$A$1:$L$890,COLUMN(HeadJournal!L$1),0)*($K2088+$L2088)/(SUMIF($A:$A,$A2088,$K:$K)+SUMIF($A:$A,$A2088,$L:$L)))/VLOOKUP($A2088,HeadJournal!$A$1:$L$890,COLUMN(HeadJournal!H$1),0),0)</f>
        <v>270</v>
      </c>
      <c r="P2088" s="30">
        <f>IFERROR(SUM(K2088:O2088)*VLOOKUP($A2088,HeadJournal!$A$1:$L$890,COLUMN(HeadJournal!H$1),0),0)</f>
        <v>2970</v>
      </c>
      <c r="Q2088" s="29">
        <v>3600</v>
      </c>
      <c r="R2088" s="31">
        <v>45276</v>
      </c>
      <c r="S2088" s="31" t="s">
        <v>3121</v>
      </c>
      <c r="T2088" s="95" t="str">
        <f t="shared" si="165"/>
        <v>2023 12</v>
      </c>
      <c r="U2088" s="32">
        <f t="shared" si="162"/>
        <v>630</v>
      </c>
      <c r="V2088" s="22">
        <f t="shared" si="163"/>
        <v>0.21212121212121213</v>
      </c>
      <c r="X2088" s="33"/>
      <c r="Y2088" s="33"/>
    </row>
    <row r="2089" spans="1:25" x14ac:dyDescent="0.2">
      <c r="A2089" s="93" t="s">
        <v>935</v>
      </c>
      <c r="B2089" s="94">
        <f>IFERROR(VLOOKUP($A2089,HeadJournal!$A$1:$NTR$890,COLUMN(HeadJournal!B$1),0),"")</f>
        <v>0</v>
      </c>
      <c r="C2089" s="94" t="str">
        <f>IFERROR(VLOOKUP($A2089,HeadJournal!$A$1:$NTR$890,COLUMN(HeadJournal!C$1),0),"")</f>
        <v>OZON_OA</v>
      </c>
      <c r="D2089" s="125" t="str">
        <f>IFERROR(VLOOKUP($A2089,HeadJournal!$A$1:$NTR$890,COLUMN(HeadJournal!D$1),0),"")</f>
        <v>Доставлен</v>
      </c>
      <c r="E2089" s="95">
        <f>IFERROR(VLOOKUP($A2089,HeadJournal!$A$1:$NTR$890,COLUMN(HeadJournal!G$1),0),"")</f>
        <v>45175</v>
      </c>
      <c r="F2089" s="95" t="str">
        <f t="shared" si="164"/>
        <v>2023 09</v>
      </c>
      <c r="G2089" s="96" t="s">
        <v>6</v>
      </c>
      <c r="H2089" s="160" t="str">
        <f>RIGHT(Journal!$J2089,9)</f>
        <v>879350457</v>
      </c>
      <c r="I2089" s="96" t="str">
        <f t="shared" si="166"/>
        <v>Insane</v>
      </c>
      <c r="J2089" s="97" t="s">
        <v>554</v>
      </c>
      <c r="K2089" s="29">
        <v>1115</v>
      </c>
      <c r="L2089" s="29">
        <v>0</v>
      </c>
      <c r="M2089" s="30">
        <f>IFERROR(VLOOKUP($A2089,HeadJournal!$A$1:$J$890,COLUMN(HeadJournal!I$1),0)*($K2089+$L2089)/(SUMIF($A:$A,$A2089,$K:$K)+SUMIF($A:$A,$A2089,$L:$L)),0)</f>
        <v>0</v>
      </c>
      <c r="N2089" s="30">
        <f>IFERROR((VLOOKUP($A2089,HeadJournal!$A$1:$K$890,COLUMN(HeadJournal!K$1),0)-VLOOKUP($A2089,HeadJournal!$A$1:$K$890,COLUMN(HeadJournal!J$1),0))*($K2089+$L2089)/(SUMIF($A:$A,$A2089,$K:$K)+SUMIF($A:$A,$A2089,$L:$L)),0)</f>
        <v>0</v>
      </c>
      <c r="O2089" s="30">
        <f>IFERROR((VLOOKUP($A2089,HeadJournal!$A$1:$L$890,COLUMN(HeadJournal!L$1),0)*($K2089+$L2089)/(SUMIF($A:$A,$A2089,$K:$K)+SUMIF($A:$A,$A2089,$L:$L)))/VLOOKUP($A2089,HeadJournal!$A$1:$L$890,COLUMN(HeadJournal!H$1),0),0)</f>
        <v>111.5</v>
      </c>
      <c r="P2089" s="30">
        <f>IFERROR(SUM(K2089:O2089)*VLOOKUP($A2089,HeadJournal!$A$1:$L$890,COLUMN(HeadJournal!H$1),0),0)</f>
        <v>1226.5</v>
      </c>
      <c r="Q2089" s="29">
        <v>1700</v>
      </c>
      <c r="R2089" s="31">
        <v>45186</v>
      </c>
      <c r="S2089" s="31" t="s">
        <v>3121</v>
      </c>
      <c r="T2089" s="95" t="str">
        <f t="shared" si="165"/>
        <v>2023 09</v>
      </c>
      <c r="U2089" s="32">
        <f t="shared" si="162"/>
        <v>473.5</v>
      </c>
      <c r="V2089" s="22">
        <f t="shared" si="163"/>
        <v>0.38605788830004079</v>
      </c>
      <c r="X2089" s="33"/>
      <c r="Y2089" s="33"/>
    </row>
    <row r="2090" spans="1:25" x14ac:dyDescent="0.2">
      <c r="A2090" s="93" t="s">
        <v>936</v>
      </c>
      <c r="B2090" s="94" t="str">
        <f>IFERROR(VLOOKUP($A2090,HeadJournal!$A$1:$NTR$890,COLUMN(HeadJournal!B$1),0),"")</f>
        <v>710000971994</v>
      </c>
      <c r="C2090" s="94" t="str">
        <f>IFERROR(VLOOKUP($A2090,HeadJournal!$A$1:$NTR$890,COLUMN(HeadJournal!C$1),0),"")</f>
        <v>iHerb_VP DFD1605</v>
      </c>
      <c r="D2090" s="125" t="str">
        <f>IFERROR(VLOOKUP($A2090,HeadJournal!$A$1:$NTR$890,COLUMN(HeadJournal!D$1),0),"")</f>
        <v>Доставлен</v>
      </c>
      <c r="E2090" s="95">
        <f>IFERROR(VLOOKUP($A2090,HeadJournal!$A$1:$NTR$890,COLUMN(HeadJournal!G$1),0),"")</f>
        <v>45176</v>
      </c>
      <c r="F2090" s="95" t="str">
        <f t="shared" si="164"/>
        <v>2023 09</v>
      </c>
      <c r="G2090" s="96" t="s">
        <v>5</v>
      </c>
      <c r="H2090" s="175" t="s">
        <v>3653</v>
      </c>
      <c r="I2090" s="176" t="s">
        <v>2005</v>
      </c>
      <c r="J2090" s="97" t="s">
        <v>3702</v>
      </c>
      <c r="K2090" s="29">
        <v>12.79</v>
      </c>
      <c r="L2090" s="29">
        <v>-3.45</v>
      </c>
      <c r="M2090" s="30">
        <f>IFERROR(VLOOKUP($A2090,HeadJournal!$A$1:$J$890,COLUMN(HeadJournal!I$1),0)*($K2090+$L2090)/(SUMIF($A:$A,$A2090,$K:$K)+SUMIF($A:$A,$A2090,$L:$L)),0)</f>
        <v>-0.34281135570585447</v>
      </c>
      <c r="N2090" s="30">
        <f>IFERROR((VLOOKUP($A2090,HeadJournal!$A$1:$K$890,COLUMN(HeadJournal!K$1),0)-VLOOKUP($A2090,HeadJournal!$A$1:$K$890,COLUMN(HeadJournal!J$1),0))*($K2090+$L2090)/(SUMIF($A:$A,$A2090,$K:$K)+SUMIF($A:$A,$A2090,$L:$L)),0)</f>
        <v>2.2871560425621285E-15</v>
      </c>
      <c r="O2090" s="30">
        <f>IFERROR((VLOOKUP($A2090,HeadJournal!$A$1:$L$890,COLUMN(HeadJournal!L$1),0)*($K2090+$L2090)/(SUMIF($A:$A,$A2090,$K:$K)+SUMIF($A:$A,$A2090,$L:$L)))/VLOOKUP($A2090,HeadJournal!$A$1:$L$890,COLUMN(HeadJournal!H$1),0),0)</f>
        <v>0.32452070040316988</v>
      </c>
      <c r="P2090" s="30">
        <f>IFERROR(SUM(K2090:O2090)*VLOOKUP($A2090,HeadJournal!$A$1:$L$890,COLUMN(HeadJournal!H$1),0),0)</f>
        <v>1000.4948410373498</v>
      </c>
      <c r="Q2090" s="29">
        <v>1600</v>
      </c>
      <c r="R2090" s="31">
        <v>45205</v>
      </c>
      <c r="S2090" s="31" t="s">
        <v>3121</v>
      </c>
      <c r="T2090" s="95" t="str">
        <f t="shared" si="165"/>
        <v>2023 10</v>
      </c>
      <c r="U2090" s="32">
        <f t="shared" si="162"/>
        <v>599.50515896265017</v>
      </c>
      <c r="V2090" s="22">
        <f t="shared" si="163"/>
        <v>0.59920864593470691</v>
      </c>
      <c r="X2090" s="33"/>
      <c r="Y2090" s="33"/>
    </row>
    <row r="2091" spans="1:25" x14ac:dyDescent="0.2">
      <c r="A2091" s="93" t="s">
        <v>936</v>
      </c>
      <c r="B2091" s="94" t="str">
        <f>IFERROR(VLOOKUP($A2091,HeadJournal!$A$1:$NTR$890,COLUMN(HeadJournal!B$1),0),"")</f>
        <v>710000971994</v>
      </c>
      <c r="C2091" s="94" t="str">
        <f>IFERROR(VLOOKUP($A2091,HeadJournal!$A$1:$NTR$890,COLUMN(HeadJournal!C$1),0),"")</f>
        <v>iHerb_VP DFD1605</v>
      </c>
      <c r="D2091" s="125" t="str">
        <f>IFERROR(VLOOKUP($A2091,HeadJournal!$A$1:$NTR$890,COLUMN(HeadJournal!D$1),0),"")</f>
        <v>Доставлен</v>
      </c>
      <c r="E2091" s="95">
        <f>IFERROR(VLOOKUP($A2091,HeadJournal!$A$1:$NTR$890,COLUMN(HeadJournal!G$1),0),"")</f>
        <v>45176</v>
      </c>
      <c r="F2091" s="95" t="str">
        <f t="shared" si="164"/>
        <v>2023 09</v>
      </c>
      <c r="G2091" s="96" t="s">
        <v>5</v>
      </c>
      <c r="H2091" s="175" t="s">
        <v>3621</v>
      </c>
      <c r="I2091" s="176" t="s">
        <v>2218</v>
      </c>
      <c r="J2091" s="97" t="s">
        <v>3663</v>
      </c>
      <c r="K2091" s="29">
        <v>7.9</v>
      </c>
      <c r="L2091" s="29">
        <v>-0.79</v>
      </c>
      <c r="M2091" s="30">
        <f>IFERROR(VLOOKUP($A2091,HeadJournal!$A$1:$J$890,COLUMN(HeadJournal!I$1),0)*($K2091+$L2091)/(SUMIF($A:$A,$A2091,$K:$K)+SUMIF($A:$A,$A2091,$L:$L)),0)</f>
        <v>-0.26096239176323616</v>
      </c>
      <c r="N2091" s="30">
        <f>IFERROR((VLOOKUP($A2091,HeadJournal!$A$1:$K$890,COLUMN(HeadJournal!K$1),0)-VLOOKUP($A2091,HeadJournal!$A$1:$K$890,COLUMN(HeadJournal!J$1),0))*($K2091+$L2091)/(SUMIF($A:$A,$A2091,$K:$K)+SUMIF($A:$A,$A2091,$L:$L)),0)</f>
        <v>1.7410791715863743E-15</v>
      </c>
      <c r="O2091" s="30">
        <f>IFERROR((VLOOKUP($A2091,HeadJournal!$A$1:$L$890,COLUMN(HeadJournal!L$1),0)*($K2091+$L2091)/(SUMIF($A:$A,$A2091,$K:$K)+SUMIF($A:$A,$A2091,$L:$L)))/VLOOKUP($A2091,HeadJournal!$A$1:$L$890,COLUMN(HeadJournal!H$1),0),0)</f>
        <v>0.2470387772876379</v>
      </c>
      <c r="P2091" s="30">
        <f>IFERROR(SUM(K2091:O2091)*VLOOKUP($A2091,HeadJournal!$A$1:$L$890,COLUMN(HeadJournal!H$1),0),0)</f>
        <v>761.61866378753302</v>
      </c>
      <c r="Q2091" s="29">
        <v>1100</v>
      </c>
      <c r="R2091" s="31">
        <v>45245</v>
      </c>
      <c r="S2091" s="31" t="s">
        <v>3121</v>
      </c>
      <c r="T2091" s="95" t="str">
        <f t="shared" si="165"/>
        <v>2023 11</v>
      </c>
      <c r="U2091" s="32">
        <f t="shared" si="162"/>
        <v>338.38133621246698</v>
      </c>
      <c r="V2091" s="22">
        <f t="shared" si="163"/>
        <v>0.44429233723041278</v>
      </c>
      <c r="X2091" s="33"/>
      <c r="Y2091" s="33"/>
    </row>
    <row r="2092" spans="1:25" x14ac:dyDescent="0.2">
      <c r="A2092" s="93" t="s">
        <v>936</v>
      </c>
      <c r="B2092" s="94" t="str">
        <f>IFERROR(VLOOKUP($A2092,HeadJournal!$A$1:$NTR$890,COLUMN(HeadJournal!B$1),0),"")</f>
        <v>710000971994</v>
      </c>
      <c r="C2092" s="94" t="str">
        <f>IFERROR(VLOOKUP($A2092,HeadJournal!$A$1:$NTR$890,COLUMN(HeadJournal!C$1),0),"")</f>
        <v>iHerb_VP DFD1605</v>
      </c>
      <c r="D2092" s="125" t="str">
        <f>IFERROR(VLOOKUP($A2092,HeadJournal!$A$1:$NTR$890,COLUMN(HeadJournal!D$1),0),"")</f>
        <v>Доставлен</v>
      </c>
      <c r="E2092" s="95">
        <f>IFERROR(VLOOKUP($A2092,HeadJournal!$A$1:$NTR$890,COLUMN(HeadJournal!G$1),0),"")</f>
        <v>45176</v>
      </c>
      <c r="F2092" s="95" t="str">
        <f t="shared" si="164"/>
        <v>2023 09</v>
      </c>
      <c r="G2092" s="96" t="s">
        <v>5</v>
      </c>
      <c r="H2092" s="161" t="s">
        <v>2016</v>
      </c>
      <c r="I2092" s="97" t="s">
        <v>2005</v>
      </c>
      <c r="J2092" s="97" t="s">
        <v>2017</v>
      </c>
      <c r="K2092" s="29">
        <v>29.72</v>
      </c>
      <c r="L2092" s="29">
        <v>-8.0233333333333334</v>
      </c>
      <c r="M2092" s="30">
        <f>IFERROR(VLOOKUP($A2092,HeadJournal!$A$1:$J$890,COLUMN(HeadJournal!I$1),0)*($K2092+$L2092)/(SUMIF($A:$A,$A2092,$K:$K)+SUMIF($A:$A,$A2092,$L:$L)),0)</f>
        <v>-0.79634515142377116</v>
      </c>
      <c r="N2092" s="30">
        <f>IFERROR((VLOOKUP($A2092,HeadJournal!$A$1:$K$890,COLUMN(HeadJournal!K$1),0)-VLOOKUP($A2092,HeadJournal!$A$1:$K$890,COLUMN(HeadJournal!J$1),0))*($K2092+$L2092)/(SUMIF($A:$A,$A2092,$K:$K)+SUMIF($A:$A,$A2092,$L:$L)),0)</f>
        <v>5.3130259389853302E-15</v>
      </c>
      <c r="O2092" s="30">
        <f>IFERROR((VLOOKUP($A2092,HeadJournal!$A$1:$L$890,COLUMN(HeadJournal!L$1),0)*($K2092+$L2092)/(SUMIF($A:$A,$A2092,$K:$K)+SUMIF($A:$A,$A2092,$L:$L)))/VLOOKUP($A2092,HeadJournal!$A$1:$L$890,COLUMN(HeadJournal!H$1),0),0)</f>
        <v>0.75385625943048995</v>
      </c>
      <c r="P2092" s="30">
        <f>IFERROR(SUM(K2092:O2092)*VLOOKUP($A2092,HeadJournal!$A$1:$L$890,COLUMN(HeadJournal!H$1),0),0)</f>
        <v>2324.133090760924</v>
      </c>
      <c r="Q2092" s="29">
        <v>3600</v>
      </c>
      <c r="R2092" s="31">
        <v>45345</v>
      </c>
      <c r="S2092" s="31" t="s">
        <v>3121</v>
      </c>
      <c r="T2092" s="95" t="str">
        <f t="shared" si="165"/>
        <v>2024 02</v>
      </c>
      <c r="U2092" s="32">
        <f t="shared" si="162"/>
        <v>1275.866909239076</v>
      </c>
      <c r="V2092" s="22">
        <f t="shared" si="163"/>
        <v>0.54896465022205576</v>
      </c>
      <c r="X2092" s="33"/>
      <c r="Y2092" s="33"/>
    </row>
    <row r="2093" spans="1:25" x14ac:dyDescent="0.2">
      <c r="A2093" s="93" t="s">
        <v>936</v>
      </c>
      <c r="B2093" s="94" t="str">
        <f>IFERROR(VLOOKUP($A2093,HeadJournal!$A$1:$NTR$890,COLUMN(HeadJournal!B$1),0),"")</f>
        <v>710000971994</v>
      </c>
      <c r="C2093" s="94" t="str">
        <f>IFERROR(VLOOKUP($A2093,HeadJournal!$A$1:$NTR$890,COLUMN(HeadJournal!C$1),0),"")</f>
        <v>iHerb_VP DFD1605</v>
      </c>
      <c r="D2093" s="125" t="str">
        <f>IFERROR(VLOOKUP($A2093,HeadJournal!$A$1:$NTR$890,COLUMN(HeadJournal!D$1),0),"")</f>
        <v>Доставлен</v>
      </c>
      <c r="E2093" s="95">
        <f>IFERROR(VLOOKUP($A2093,HeadJournal!$A$1:$NTR$890,COLUMN(HeadJournal!G$1),0),"")</f>
        <v>45176</v>
      </c>
      <c r="F2093" s="95" t="str">
        <f t="shared" si="164"/>
        <v>2023 09</v>
      </c>
      <c r="G2093" s="96" t="s">
        <v>5</v>
      </c>
      <c r="H2093" s="161" t="s">
        <v>2016</v>
      </c>
      <c r="I2093" s="97" t="s">
        <v>2005</v>
      </c>
      <c r="J2093" s="97" t="s">
        <v>2017</v>
      </c>
      <c r="K2093" s="29">
        <v>29.72</v>
      </c>
      <c r="L2093" s="29">
        <v>-8.0233333333333334</v>
      </c>
      <c r="M2093" s="30">
        <f>IFERROR(VLOOKUP($A2093,HeadJournal!$A$1:$J$890,COLUMN(HeadJournal!I$1),0)*($K2093+$L2093)/(SUMIF($A:$A,$A2093,$K:$K)+SUMIF($A:$A,$A2093,$L:$L)),0)</f>
        <v>-0.79634515142377116</v>
      </c>
      <c r="N2093" s="30">
        <f>IFERROR((VLOOKUP($A2093,HeadJournal!$A$1:$K$890,COLUMN(HeadJournal!K$1),0)-VLOOKUP($A2093,HeadJournal!$A$1:$K$890,COLUMN(HeadJournal!J$1),0))*($K2093+$L2093)/(SUMIF($A:$A,$A2093,$K:$K)+SUMIF($A:$A,$A2093,$L:$L)),0)</f>
        <v>5.3130259389853302E-15</v>
      </c>
      <c r="O2093" s="30">
        <f>IFERROR((VLOOKUP($A2093,HeadJournal!$A$1:$L$890,COLUMN(HeadJournal!L$1),0)*($K2093+$L2093)/(SUMIF($A:$A,$A2093,$K:$K)+SUMIF($A:$A,$A2093,$L:$L)))/VLOOKUP($A2093,HeadJournal!$A$1:$L$890,COLUMN(HeadJournal!H$1),0),0)</f>
        <v>0.75385625943048995</v>
      </c>
      <c r="P2093" s="30">
        <f>IFERROR(SUM(K2093:O2093)*VLOOKUP($A2093,HeadJournal!$A$1:$L$890,COLUMN(HeadJournal!H$1),0),0)</f>
        <v>2324.133090760924</v>
      </c>
      <c r="Q2093" s="29">
        <v>4100</v>
      </c>
      <c r="R2093" s="31">
        <v>45386</v>
      </c>
      <c r="S2093" s="31" t="s">
        <v>3121</v>
      </c>
      <c r="T2093" s="95" t="str">
        <f t="shared" si="165"/>
        <v>2024 04</v>
      </c>
      <c r="U2093" s="32">
        <f t="shared" si="162"/>
        <v>1775.866909239076</v>
      </c>
      <c r="V2093" s="22">
        <f t="shared" si="163"/>
        <v>0.76409862941956352</v>
      </c>
      <c r="X2093" s="33"/>
      <c r="Y2093" s="33"/>
    </row>
    <row r="2094" spans="1:25" x14ac:dyDescent="0.2">
      <c r="A2094" s="93" t="s">
        <v>936</v>
      </c>
      <c r="B2094" s="94" t="str">
        <f>IFERROR(VLOOKUP($A2094,HeadJournal!$A$1:$NTR$890,COLUMN(HeadJournal!B$1),0),"")</f>
        <v>710000971994</v>
      </c>
      <c r="C2094" s="94" t="str">
        <f>IFERROR(VLOOKUP($A2094,HeadJournal!$A$1:$NTR$890,COLUMN(HeadJournal!C$1),0),"")</f>
        <v>iHerb_VP DFD1605</v>
      </c>
      <c r="D2094" s="125" t="str">
        <f>IFERROR(VLOOKUP($A2094,HeadJournal!$A$1:$NTR$890,COLUMN(HeadJournal!D$1),0),"")</f>
        <v>Доставлен</v>
      </c>
      <c r="E2094" s="95">
        <f>IFERROR(VLOOKUP($A2094,HeadJournal!$A$1:$NTR$890,COLUMN(HeadJournal!G$1),0),"")</f>
        <v>45176</v>
      </c>
      <c r="F2094" s="95" t="str">
        <f t="shared" si="164"/>
        <v>2023 09</v>
      </c>
      <c r="G2094" s="96" t="s">
        <v>5</v>
      </c>
      <c r="H2094" s="161" t="s">
        <v>2016</v>
      </c>
      <c r="I2094" s="97" t="s">
        <v>2005</v>
      </c>
      <c r="J2094" s="97" t="s">
        <v>2017</v>
      </c>
      <c r="K2094" s="29">
        <v>29.72</v>
      </c>
      <c r="L2094" s="29">
        <v>-8.0233333333333334</v>
      </c>
      <c r="M2094" s="30">
        <f>IFERROR(VLOOKUP($A2094,HeadJournal!$A$1:$J$890,COLUMN(HeadJournal!I$1),0)*($K2094+$L2094)/(SUMIF($A:$A,$A2094,$K:$K)+SUMIF($A:$A,$A2094,$L:$L)),0)</f>
        <v>-0.79634515142377116</v>
      </c>
      <c r="N2094" s="30">
        <f>IFERROR((VLOOKUP($A2094,HeadJournal!$A$1:$K$890,COLUMN(HeadJournal!K$1),0)-VLOOKUP($A2094,HeadJournal!$A$1:$K$890,COLUMN(HeadJournal!J$1),0))*($K2094+$L2094)/(SUMIF($A:$A,$A2094,$K:$K)+SUMIF($A:$A,$A2094,$L:$L)),0)</f>
        <v>5.3130259389853302E-15</v>
      </c>
      <c r="O2094" s="30">
        <f>IFERROR((VLOOKUP($A2094,HeadJournal!$A$1:$L$890,COLUMN(HeadJournal!L$1),0)*($K2094+$L2094)/(SUMIF($A:$A,$A2094,$K:$K)+SUMIF($A:$A,$A2094,$L:$L)))/VLOOKUP($A2094,HeadJournal!$A$1:$L$890,COLUMN(HeadJournal!H$1),0),0)</f>
        <v>0.75385625943048995</v>
      </c>
      <c r="P2094" s="30">
        <f>IFERROR(SUM(K2094:O2094)*VLOOKUP($A2094,HeadJournal!$A$1:$L$890,COLUMN(HeadJournal!H$1),0),0)</f>
        <v>2324.133090760924</v>
      </c>
      <c r="Q2094" s="29">
        <v>4100</v>
      </c>
      <c r="R2094" s="31">
        <v>45402</v>
      </c>
      <c r="S2094" s="31" t="s">
        <v>3121</v>
      </c>
      <c r="T2094" s="95" t="str">
        <f t="shared" si="165"/>
        <v>2024 04</v>
      </c>
      <c r="U2094" s="32">
        <f t="shared" si="162"/>
        <v>1775.866909239076</v>
      </c>
      <c r="V2094" s="22">
        <f t="shared" si="163"/>
        <v>0.76409862941956352</v>
      </c>
      <c r="X2094" s="33"/>
      <c r="Y2094" s="33"/>
    </row>
    <row r="2095" spans="1:25" x14ac:dyDescent="0.2">
      <c r="A2095" s="93" t="s">
        <v>936</v>
      </c>
      <c r="B2095" s="94" t="str">
        <f>IFERROR(VLOOKUP($A2095,HeadJournal!$A$1:$NTR$890,COLUMN(HeadJournal!B$1),0),"")</f>
        <v>710000971994</v>
      </c>
      <c r="C2095" s="94" t="str">
        <f>IFERROR(VLOOKUP($A2095,HeadJournal!$A$1:$NTR$890,COLUMN(HeadJournal!C$1),0),"")</f>
        <v>iHerb_VP DFD1605</v>
      </c>
      <c r="D2095" s="125" t="str">
        <f>IFERROR(VLOOKUP($A2095,HeadJournal!$A$1:$NTR$890,COLUMN(HeadJournal!D$1),0),"")</f>
        <v>Доставлен</v>
      </c>
      <c r="E2095" s="95">
        <f>IFERROR(VLOOKUP($A2095,HeadJournal!$A$1:$NTR$890,COLUMN(HeadJournal!G$1),0),"")</f>
        <v>45176</v>
      </c>
      <c r="F2095" s="95" t="str">
        <f t="shared" si="164"/>
        <v>2023 09</v>
      </c>
      <c r="G2095" s="96" t="s">
        <v>5</v>
      </c>
      <c r="H2095" s="160" t="str">
        <f>RIGHT(Journal!$J2095,9)</f>
        <v>NOW-00079</v>
      </c>
      <c r="I2095" s="96" t="str">
        <f t="shared" si="166"/>
        <v>NOW Foods</v>
      </c>
      <c r="J2095" s="97" t="s">
        <v>639</v>
      </c>
      <c r="K2095" s="29">
        <v>43.84</v>
      </c>
      <c r="L2095" s="29">
        <v>-11.84</v>
      </c>
      <c r="M2095" s="30">
        <f>IFERROR(VLOOKUP($A2095,HeadJournal!$A$1:$J$890,COLUMN(HeadJournal!I$1),0)*($K2095+$L2095)/(SUMIF($A:$A,$A2095,$K:$K)+SUMIF($A:$A,$A2095,$L:$L)),0)</f>
        <v>-1.1745142807909361</v>
      </c>
      <c r="N2095" s="30">
        <f>IFERROR((VLOOKUP($A2095,HeadJournal!$A$1:$K$890,COLUMN(HeadJournal!K$1),0)-VLOOKUP($A2095,HeadJournal!$A$1:$K$890,COLUMN(HeadJournal!J$1),0))*($K2095+$L2095)/(SUMIF($A:$A,$A2095,$K:$K)+SUMIF($A:$A,$A2095,$L:$L)),0)</f>
        <v>7.836080659741768E-15</v>
      </c>
      <c r="O2095" s="30">
        <f>IFERROR((VLOOKUP($A2095,HeadJournal!$A$1:$L$890,COLUMN(HeadJournal!L$1),0)*($K2095+$L2095)/(SUMIF($A:$A,$A2095,$K:$K)+SUMIF($A:$A,$A2095,$L:$L)))/VLOOKUP($A2095,HeadJournal!$A$1:$L$890,COLUMN(HeadJournal!H$1),0),0)</f>
        <v>1.111848224079383</v>
      </c>
      <c r="P2095" s="30">
        <f>IFERROR(SUM(K2095:O2095)*VLOOKUP($A2095,HeadJournal!$A$1:$L$890,COLUMN(HeadJournal!H$1),0),0)</f>
        <v>3427.8195838538759</v>
      </c>
      <c r="Q2095" s="29">
        <v>4700</v>
      </c>
      <c r="R2095" s="31">
        <v>45221</v>
      </c>
      <c r="S2095" s="31" t="s">
        <v>3121</v>
      </c>
      <c r="T2095" s="95" t="str">
        <f t="shared" si="165"/>
        <v>2023 10</v>
      </c>
      <c r="U2095" s="32">
        <f t="shared" si="162"/>
        <v>1272.1804161461241</v>
      </c>
      <c r="V2095" s="22">
        <f t="shared" si="163"/>
        <v>0.37113400662581536</v>
      </c>
      <c r="X2095" s="33"/>
      <c r="Y2095" s="33"/>
    </row>
    <row r="2096" spans="1:25" x14ac:dyDescent="0.2">
      <c r="A2096" s="93" t="s">
        <v>936</v>
      </c>
      <c r="B2096" s="94" t="str">
        <f>IFERROR(VLOOKUP($A2096,HeadJournal!$A$1:$NTR$890,COLUMN(HeadJournal!B$1),0),"")</f>
        <v>710000971994</v>
      </c>
      <c r="C2096" s="94" t="str">
        <f>IFERROR(VLOOKUP($A2096,HeadJournal!$A$1:$NTR$890,COLUMN(HeadJournal!C$1),0),"")</f>
        <v>iHerb_VP DFD1605</v>
      </c>
      <c r="D2096" s="125" t="str">
        <f>IFERROR(VLOOKUP($A2096,HeadJournal!$A$1:$NTR$890,COLUMN(HeadJournal!D$1),0),"")</f>
        <v>Доставлен</v>
      </c>
      <c r="E2096" s="95">
        <f>IFERROR(VLOOKUP($A2096,HeadJournal!$A$1:$NTR$890,COLUMN(HeadJournal!G$1),0),"")</f>
        <v>45176</v>
      </c>
      <c r="F2096" s="95" t="str">
        <f t="shared" si="164"/>
        <v>2023 09</v>
      </c>
      <c r="G2096" s="96" t="s">
        <v>5</v>
      </c>
      <c r="H2096" s="161" t="s">
        <v>4074</v>
      </c>
      <c r="I2096" s="97" t="s">
        <v>2005</v>
      </c>
      <c r="J2096" s="97" t="s">
        <v>4075</v>
      </c>
      <c r="K2096" s="29">
        <v>23.49</v>
      </c>
      <c r="L2096" s="29">
        <v>-6.34</v>
      </c>
      <c r="M2096" s="30">
        <f>IFERROR(VLOOKUP($A2096,HeadJournal!$A$1:$J$890,COLUMN(HeadJournal!I$1),0)*($K2096+$L2096)/(SUMIF($A:$A,$A2096,$K:$K)+SUMIF($A:$A,$A2096,$L:$L)),0)</f>
        <v>-0.62946624736139223</v>
      </c>
      <c r="N2096" s="30">
        <f>IFERROR((VLOOKUP($A2096,HeadJournal!$A$1:$K$890,COLUMN(HeadJournal!K$1),0)-VLOOKUP($A2096,HeadJournal!$A$1:$K$890,COLUMN(HeadJournal!J$1),0))*($K2096+$L2096)/(SUMIF($A:$A,$A2096,$K:$K)+SUMIF($A:$A,$A2096,$L:$L)),0)</f>
        <v>4.1996494785803537E-15</v>
      </c>
      <c r="O2096" s="30">
        <f>IFERROR((VLOOKUP($A2096,HeadJournal!$A$1:$L$890,COLUMN(HeadJournal!L$1),0)*($K2096+$L2096)/(SUMIF($A:$A,$A2096,$K:$K)+SUMIF($A:$A,$A2096,$L:$L)))/VLOOKUP($A2096,HeadJournal!$A$1:$L$890,COLUMN(HeadJournal!H$1),0),0)</f>
        <v>0.59588115759254423</v>
      </c>
      <c r="P2096" s="30">
        <f>IFERROR(SUM(K2096:O2096)*VLOOKUP($A2096,HeadJournal!$A$1:$L$890,COLUMN(HeadJournal!H$1),0),0)</f>
        <v>1837.0970582216862</v>
      </c>
      <c r="Q2096" s="29">
        <v>2800</v>
      </c>
      <c r="R2096" s="31">
        <v>45764</v>
      </c>
      <c r="S2096" s="31" t="s">
        <v>3121</v>
      </c>
      <c r="T2096" s="95" t="str">
        <f t="shared" si="165"/>
        <v>2025 04</v>
      </c>
      <c r="U2096" s="32">
        <f t="shared" si="162"/>
        <v>962.90294177831379</v>
      </c>
      <c r="V2096" s="22">
        <f t="shared" si="163"/>
        <v>0.52414375030920024</v>
      </c>
      <c r="X2096" s="33"/>
      <c r="Y2096" s="33"/>
    </row>
    <row r="2097" spans="1:25" x14ac:dyDescent="0.2">
      <c r="A2097" s="93" t="s">
        <v>936</v>
      </c>
      <c r="B2097" s="94" t="str">
        <f>IFERROR(VLOOKUP($A2097,HeadJournal!$A$1:$NTR$890,COLUMN(HeadJournal!B$1),0),"")</f>
        <v>710000971994</v>
      </c>
      <c r="C2097" s="94" t="str">
        <f>IFERROR(VLOOKUP($A2097,HeadJournal!$A$1:$NTR$890,COLUMN(HeadJournal!C$1),0),"")</f>
        <v>iHerb_VP DFD1605</v>
      </c>
      <c r="D2097" s="125" t="str">
        <f>IFERROR(VLOOKUP($A2097,HeadJournal!$A$1:$NTR$890,COLUMN(HeadJournal!D$1),0),"")</f>
        <v>Доставлен</v>
      </c>
      <c r="E2097" s="95">
        <f>IFERROR(VLOOKUP($A2097,HeadJournal!$A$1:$NTR$890,COLUMN(HeadJournal!G$1),0),"")</f>
        <v>45176</v>
      </c>
      <c r="F2097" s="95" t="str">
        <f t="shared" si="164"/>
        <v>2023 09</v>
      </c>
      <c r="G2097" s="96" t="s">
        <v>5</v>
      </c>
      <c r="H2097" s="161" t="s">
        <v>2024</v>
      </c>
      <c r="I2097" s="97" t="s">
        <v>2005</v>
      </c>
      <c r="J2097" s="97" t="s">
        <v>4140</v>
      </c>
      <c r="K2097" s="29">
        <v>18.52</v>
      </c>
      <c r="L2097" s="29">
        <v>-5</v>
      </c>
      <c r="M2097" s="30">
        <f>IFERROR(VLOOKUP($A2097,HeadJournal!$A$1:$J$890,COLUMN(HeadJournal!I$1),0)*($K2097+$L2097)/(SUMIF($A:$A,$A2097,$K:$K)+SUMIF($A:$A,$A2097,$L:$L)),0)</f>
        <v>-0.49623228363417055</v>
      </c>
      <c r="N2097" s="30">
        <f>IFERROR((VLOOKUP($A2097,HeadJournal!$A$1:$K$890,COLUMN(HeadJournal!K$1),0)-VLOOKUP($A2097,HeadJournal!$A$1:$K$890,COLUMN(HeadJournal!J$1),0))*($K2097+$L2097)/(SUMIF($A:$A,$A2097,$K:$K)+SUMIF($A:$A,$A2097,$L:$L)),0)</f>
        <v>3.310744078740897E-15</v>
      </c>
      <c r="O2097" s="30">
        <f>IFERROR((VLOOKUP($A2097,HeadJournal!$A$1:$L$890,COLUMN(HeadJournal!L$1),0)*($K2097+$L2097)/(SUMIF($A:$A,$A2097,$K:$K)+SUMIF($A:$A,$A2097,$L:$L)))/VLOOKUP($A2097,HeadJournal!$A$1:$L$890,COLUMN(HeadJournal!H$1),0),0)</f>
        <v>0.46975587467353924</v>
      </c>
      <c r="P2097" s="30">
        <f>IFERROR(SUM(K2097:O2097)*VLOOKUP($A2097,HeadJournal!$A$1:$L$890,COLUMN(HeadJournal!H$1),0),0)</f>
        <v>1448.2537741782626</v>
      </c>
      <c r="Q2097" s="29">
        <v>2400</v>
      </c>
      <c r="R2097" s="31">
        <v>45221</v>
      </c>
      <c r="S2097" s="31" t="s">
        <v>3121</v>
      </c>
      <c r="T2097" s="95" t="str">
        <f t="shared" si="165"/>
        <v>2023 10</v>
      </c>
      <c r="U2097" s="32">
        <f t="shared" si="162"/>
        <v>951.74622582173743</v>
      </c>
      <c r="V2097" s="22">
        <f t="shared" si="163"/>
        <v>0.65716813088352355</v>
      </c>
      <c r="X2097" s="33"/>
      <c r="Y2097" s="33"/>
    </row>
    <row r="2098" spans="1:25" x14ac:dyDescent="0.2">
      <c r="A2098" s="93" t="s">
        <v>936</v>
      </c>
      <c r="B2098" s="94" t="str">
        <f>IFERROR(VLOOKUP($A2098,HeadJournal!$A$1:$NTR$890,COLUMN(HeadJournal!B$1),0),"")</f>
        <v>710000971994</v>
      </c>
      <c r="C2098" s="94" t="str">
        <f>IFERROR(VLOOKUP($A2098,HeadJournal!$A$1:$NTR$890,COLUMN(HeadJournal!C$1),0),"")</f>
        <v>iHerb_VP DFD1605</v>
      </c>
      <c r="D2098" s="125" t="str">
        <f>IFERROR(VLOOKUP($A2098,HeadJournal!$A$1:$NTR$890,COLUMN(HeadJournal!D$1),0),"")</f>
        <v>Доставлен</v>
      </c>
      <c r="E2098" s="95">
        <f>IFERROR(VLOOKUP($A2098,HeadJournal!$A$1:$NTR$890,COLUMN(HeadJournal!G$1),0),"")</f>
        <v>45176</v>
      </c>
      <c r="F2098" s="95" t="str">
        <f t="shared" si="164"/>
        <v>2023 09</v>
      </c>
      <c r="G2098" s="96" t="s">
        <v>5</v>
      </c>
      <c r="H2098" s="161" t="s">
        <v>2024</v>
      </c>
      <c r="I2098" s="97" t="s">
        <v>2005</v>
      </c>
      <c r="J2098" s="97" t="s">
        <v>4140</v>
      </c>
      <c r="K2098" s="29">
        <v>18.52</v>
      </c>
      <c r="L2098" s="29">
        <v>-5</v>
      </c>
      <c r="M2098" s="30">
        <f>IFERROR(VLOOKUP($A2098,HeadJournal!$A$1:$J$890,COLUMN(HeadJournal!I$1),0)*($K2098+$L2098)/(SUMIF($A:$A,$A2098,$K:$K)+SUMIF($A:$A,$A2098,$L:$L)),0)</f>
        <v>-0.49623228363417055</v>
      </c>
      <c r="N2098" s="30">
        <f>IFERROR((VLOOKUP($A2098,HeadJournal!$A$1:$K$890,COLUMN(HeadJournal!K$1),0)-VLOOKUP($A2098,HeadJournal!$A$1:$K$890,COLUMN(HeadJournal!J$1),0))*($K2098+$L2098)/(SUMIF($A:$A,$A2098,$K:$K)+SUMIF($A:$A,$A2098,$L:$L)),0)</f>
        <v>3.310744078740897E-15</v>
      </c>
      <c r="O2098" s="30">
        <f>IFERROR((VLOOKUP($A2098,HeadJournal!$A$1:$L$890,COLUMN(HeadJournal!L$1),0)*($K2098+$L2098)/(SUMIF($A:$A,$A2098,$K:$K)+SUMIF($A:$A,$A2098,$L:$L)))/VLOOKUP($A2098,HeadJournal!$A$1:$L$890,COLUMN(HeadJournal!H$1),0),0)</f>
        <v>0.46975587467353924</v>
      </c>
      <c r="P2098" s="30">
        <f>IFERROR(SUM(K2098:O2098)*VLOOKUP($A2098,HeadJournal!$A$1:$L$890,COLUMN(HeadJournal!H$1),0),0)</f>
        <v>1448.2537741782626</v>
      </c>
      <c r="Q2098" s="29">
        <v>2600</v>
      </c>
      <c r="R2098" s="31">
        <v>45251</v>
      </c>
      <c r="S2098" s="31" t="s">
        <v>3121</v>
      </c>
      <c r="T2098" s="95" t="str">
        <f t="shared" si="165"/>
        <v>2023 11</v>
      </c>
      <c r="U2098" s="32">
        <f t="shared" si="162"/>
        <v>1151.7462258217374</v>
      </c>
      <c r="V2098" s="22">
        <f t="shared" si="163"/>
        <v>0.79526547512381718</v>
      </c>
      <c r="X2098" s="33"/>
      <c r="Y2098" s="33"/>
    </row>
    <row r="2099" spans="1:25" x14ac:dyDescent="0.2">
      <c r="A2099" s="93" t="s">
        <v>936</v>
      </c>
      <c r="B2099" s="94" t="str">
        <f>IFERROR(VLOOKUP($A2099,HeadJournal!$A$1:$NTR$890,COLUMN(HeadJournal!B$1),0),"")</f>
        <v>710000971994</v>
      </c>
      <c r="C2099" s="94" t="str">
        <f>IFERROR(VLOOKUP($A2099,HeadJournal!$A$1:$NTR$890,COLUMN(HeadJournal!C$1),0),"")</f>
        <v>iHerb_VP DFD1605</v>
      </c>
      <c r="D2099" s="125" t="str">
        <f>IFERROR(VLOOKUP($A2099,HeadJournal!$A$1:$NTR$890,COLUMN(HeadJournal!D$1),0),"")</f>
        <v>Доставлен</v>
      </c>
      <c r="E2099" s="95">
        <f>IFERROR(VLOOKUP($A2099,HeadJournal!$A$1:$NTR$890,COLUMN(HeadJournal!G$1),0),"")</f>
        <v>45176</v>
      </c>
      <c r="F2099" s="95" t="str">
        <f t="shared" si="164"/>
        <v>2023 09</v>
      </c>
      <c r="G2099" s="96" t="s">
        <v>5</v>
      </c>
      <c r="H2099" s="161" t="s">
        <v>2089</v>
      </c>
      <c r="I2099" s="97" t="s">
        <v>2005</v>
      </c>
      <c r="J2099" s="97" t="s">
        <v>3781</v>
      </c>
      <c r="K2099" s="29">
        <v>23</v>
      </c>
      <c r="L2099" s="29">
        <v>-6.21</v>
      </c>
      <c r="M2099" s="30">
        <f>IFERROR(VLOOKUP($A2099,HeadJournal!$A$1:$J$890,COLUMN(HeadJournal!I$1),0)*($K2099+$L2099)/(SUMIF($A:$A,$A2099,$K:$K)+SUMIF($A:$A,$A2099,$L:$L)),0)</f>
        <v>-0.61625296170249433</v>
      </c>
      <c r="N2099" s="30">
        <f>IFERROR((VLOOKUP($A2099,HeadJournal!$A$1:$K$890,COLUMN(HeadJournal!K$1),0)-VLOOKUP($A2099,HeadJournal!$A$1:$K$890,COLUMN(HeadJournal!J$1),0))*($K2099+$L2099)/(SUMIF($A:$A,$A2099,$K:$K)+SUMIF($A:$A,$A2099,$L:$L)),0)</f>
        <v>4.1114935711582587E-15</v>
      </c>
      <c r="O2099" s="30">
        <f>IFERROR((VLOOKUP($A2099,HeadJournal!$A$1:$L$890,COLUMN(HeadJournal!L$1),0)*($K2099+$L2099)/(SUMIF($A:$A,$A2099,$K:$K)+SUMIF($A:$A,$A2099,$L:$L)))/VLOOKUP($A2099,HeadJournal!$A$1:$L$890,COLUMN(HeadJournal!H$1),0),0)</f>
        <v>0.5833728650716512</v>
      </c>
      <c r="P2099" s="30">
        <f>IFERROR(SUM(K2099:O2099)*VLOOKUP($A2099,HeadJournal!$A$1:$L$890,COLUMN(HeadJournal!H$1),0),0)</f>
        <v>1798.5340879033306</v>
      </c>
      <c r="Q2099" s="29">
        <v>3000</v>
      </c>
      <c r="R2099" s="31">
        <v>45235</v>
      </c>
      <c r="S2099" s="31" t="s">
        <v>3121</v>
      </c>
      <c r="T2099" s="95" t="str">
        <f t="shared" si="165"/>
        <v>2023 11</v>
      </c>
      <c r="U2099" s="32">
        <f t="shared" si="162"/>
        <v>1201.4659120966694</v>
      </c>
      <c r="V2099" s="22">
        <f t="shared" si="163"/>
        <v>0.66802509898341556</v>
      </c>
      <c r="X2099" s="33"/>
      <c r="Y2099" s="33"/>
    </row>
    <row r="2100" spans="1:25" x14ac:dyDescent="0.2">
      <c r="A2100" s="93" t="s">
        <v>936</v>
      </c>
      <c r="B2100" s="94" t="str">
        <f>IFERROR(VLOOKUP($A2100,HeadJournal!$A$1:$NTR$890,COLUMN(HeadJournal!B$1),0),"")</f>
        <v>710000971994</v>
      </c>
      <c r="C2100" s="94" t="str">
        <f>IFERROR(VLOOKUP($A2100,HeadJournal!$A$1:$NTR$890,COLUMN(HeadJournal!C$1),0),"")</f>
        <v>iHerb_VP DFD1605</v>
      </c>
      <c r="D2100" s="125" t="str">
        <f>IFERROR(VLOOKUP($A2100,HeadJournal!$A$1:$NTR$890,COLUMN(HeadJournal!D$1),0),"")</f>
        <v>Доставлен</v>
      </c>
      <c r="E2100" s="95">
        <f>IFERROR(VLOOKUP($A2100,HeadJournal!$A$1:$NTR$890,COLUMN(HeadJournal!G$1),0),"")</f>
        <v>45176</v>
      </c>
      <c r="F2100" s="95" t="str">
        <f t="shared" si="164"/>
        <v>2023 09</v>
      </c>
      <c r="G2100" s="96" t="s">
        <v>5</v>
      </c>
      <c r="H2100" s="161" t="s">
        <v>2089</v>
      </c>
      <c r="I2100" s="97" t="s">
        <v>2005</v>
      </c>
      <c r="J2100" s="97" t="s">
        <v>3781</v>
      </c>
      <c r="K2100" s="29">
        <v>23</v>
      </c>
      <c r="L2100" s="29">
        <v>-6.21</v>
      </c>
      <c r="M2100" s="30">
        <f>IFERROR(VLOOKUP($A2100,HeadJournal!$A$1:$J$890,COLUMN(HeadJournal!I$1),0)*($K2100+$L2100)/(SUMIF($A:$A,$A2100,$K:$K)+SUMIF($A:$A,$A2100,$L:$L)),0)</f>
        <v>-0.61625296170249433</v>
      </c>
      <c r="N2100" s="30">
        <f>IFERROR((VLOOKUP($A2100,HeadJournal!$A$1:$K$890,COLUMN(HeadJournal!K$1),0)-VLOOKUP($A2100,HeadJournal!$A$1:$K$890,COLUMN(HeadJournal!J$1),0))*($K2100+$L2100)/(SUMIF($A:$A,$A2100,$K:$K)+SUMIF($A:$A,$A2100,$L:$L)),0)</f>
        <v>4.1114935711582587E-15</v>
      </c>
      <c r="O2100" s="30">
        <f>IFERROR((VLOOKUP($A2100,HeadJournal!$A$1:$L$890,COLUMN(HeadJournal!L$1),0)*($K2100+$L2100)/(SUMIF($A:$A,$A2100,$K:$K)+SUMIF($A:$A,$A2100,$L:$L)))/VLOOKUP($A2100,HeadJournal!$A$1:$L$890,COLUMN(HeadJournal!H$1),0),0)</f>
        <v>0.5833728650716512</v>
      </c>
      <c r="P2100" s="30">
        <f>IFERROR(SUM(K2100:O2100)*VLOOKUP($A2100,HeadJournal!$A$1:$L$890,COLUMN(HeadJournal!H$1),0),0)</f>
        <v>1798.5340879033306</v>
      </c>
      <c r="Q2100" s="29">
        <v>3000</v>
      </c>
      <c r="R2100" s="31">
        <v>45253</v>
      </c>
      <c r="S2100" s="31" t="s">
        <v>3121</v>
      </c>
      <c r="T2100" s="95" t="str">
        <f t="shared" si="165"/>
        <v>2023 11</v>
      </c>
      <c r="U2100" s="32">
        <f t="shared" si="162"/>
        <v>1201.4659120966694</v>
      </c>
      <c r="V2100" s="22">
        <f t="shared" si="163"/>
        <v>0.66802509898341556</v>
      </c>
      <c r="X2100" s="33"/>
      <c r="Y2100" s="33"/>
    </row>
    <row r="2101" spans="1:25" x14ac:dyDescent="0.2">
      <c r="A2101" s="93" t="s">
        <v>936</v>
      </c>
      <c r="B2101" s="94" t="str">
        <f>IFERROR(VLOOKUP($A2101,HeadJournal!$A$1:$NTR$890,COLUMN(HeadJournal!B$1),0),"")</f>
        <v>710000971994</v>
      </c>
      <c r="C2101" s="94" t="str">
        <f>IFERROR(VLOOKUP($A2101,HeadJournal!$A$1:$NTR$890,COLUMN(HeadJournal!C$1),0),"")</f>
        <v>iHerb_VP DFD1605</v>
      </c>
      <c r="D2101" s="125" t="str">
        <f>IFERROR(VLOOKUP($A2101,HeadJournal!$A$1:$NTR$890,COLUMN(HeadJournal!D$1),0),"")</f>
        <v>Доставлен</v>
      </c>
      <c r="E2101" s="95">
        <f>IFERROR(VLOOKUP($A2101,HeadJournal!$A$1:$NTR$890,COLUMN(HeadJournal!G$1),0),"")</f>
        <v>45176</v>
      </c>
      <c r="F2101" s="95" t="str">
        <f t="shared" si="164"/>
        <v>2023 09</v>
      </c>
      <c r="G2101" s="96" t="s">
        <v>5</v>
      </c>
      <c r="H2101" s="161" t="s">
        <v>2176</v>
      </c>
      <c r="I2101" s="97" t="s">
        <v>2005</v>
      </c>
      <c r="J2101" s="97" t="s">
        <v>2177</v>
      </c>
      <c r="K2101" s="29">
        <v>15.14</v>
      </c>
      <c r="L2101" s="29">
        <v>-4.09</v>
      </c>
      <c r="M2101" s="30">
        <f>IFERROR(VLOOKUP($A2101,HeadJournal!$A$1:$J$890,COLUMN(HeadJournal!I$1),0)*($K2101+$L2101)/(SUMIF($A:$A,$A2101,$K:$K)+SUMIF($A:$A,$A2101,$L:$L)),0)</f>
        <v>-0.40557446258562019</v>
      </c>
      <c r="N2101" s="30">
        <f>IFERROR((VLOOKUP($A2101,HeadJournal!$A$1:$K$890,COLUMN(HeadJournal!K$1),0)-VLOOKUP($A2101,HeadJournal!$A$1:$K$890,COLUMN(HeadJournal!J$1),0))*($K2101+$L2101)/(SUMIF($A:$A,$A2101,$K:$K)+SUMIF($A:$A,$A2101,$L:$L)),0)</f>
        <v>2.7058966028170798E-15</v>
      </c>
      <c r="O2101" s="30">
        <f>IFERROR((VLOOKUP($A2101,HeadJournal!$A$1:$L$890,COLUMN(HeadJournal!L$1),0)*($K2101+$L2101)/(SUMIF($A:$A,$A2101,$K:$K)+SUMIF($A:$A,$A2101,$L:$L)))/VLOOKUP($A2101,HeadJournal!$A$1:$L$890,COLUMN(HeadJournal!H$1),0),0)</f>
        <v>0.38393508987741193</v>
      </c>
      <c r="P2101" s="30">
        <f>IFERROR(SUM(K2101:O2101)*VLOOKUP($A2101,HeadJournal!$A$1:$L$890,COLUMN(HeadJournal!H$1),0),0)</f>
        <v>1183.6689500495415</v>
      </c>
      <c r="Q2101" s="29">
        <v>2100</v>
      </c>
      <c r="R2101" s="31">
        <v>45208</v>
      </c>
      <c r="S2101" s="31" t="s">
        <v>3121</v>
      </c>
      <c r="T2101" s="95" t="str">
        <f t="shared" si="165"/>
        <v>2023 10</v>
      </c>
      <c r="U2101" s="32">
        <f t="shared" si="162"/>
        <v>916.33104995045846</v>
      </c>
      <c r="V2101" s="22">
        <f t="shared" si="163"/>
        <v>0.77414470482824282</v>
      </c>
      <c r="X2101" s="33"/>
      <c r="Y2101" s="33"/>
    </row>
    <row r="2102" spans="1:25" x14ac:dyDescent="0.2">
      <c r="A2102" s="93" t="s">
        <v>936</v>
      </c>
      <c r="B2102" s="94" t="str">
        <f>IFERROR(VLOOKUP($A2102,HeadJournal!$A$1:$NTR$890,COLUMN(HeadJournal!B$1),0),"")</f>
        <v>710000971994</v>
      </c>
      <c r="C2102" s="94" t="str">
        <f>IFERROR(VLOOKUP($A2102,HeadJournal!$A$1:$NTR$890,COLUMN(HeadJournal!C$1),0),"")</f>
        <v>iHerb_VP DFD1605</v>
      </c>
      <c r="D2102" s="125" t="str">
        <f>IFERROR(VLOOKUP($A2102,HeadJournal!$A$1:$NTR$890,COLUMN(HeadJournal!D$1),0),"")</f>
        <v>Доставлен</v>
      </c>
      <c r="E2102" s="95">
        <f>IFERROR(VLOOKUP($A2102,HeadJournal!$A$1:$NTR$890,COLUMN(HeadJournal!G$1),0),"")</f>
        <v>45176</v>
      </c>
      <c r="F2102" s="95" t="str">
        <f t="shared" si="164"/>
        <v>2023 09</v>
      </c>
      <c r="G2102" s="96" t="s">
        <v>5</v>
      </c>
      <c r="H2102" s="161" t="s">
        <v>2176</v>
      </c>
      <c r="I2102" s="97" t="s">
        <v>2005</v>
      </c>
      <c r="J2102" s="97" t="s">
        <v>2177</v>
      </c>
      <c r="K2102" s="29">
        <v>15.14</v>
      </c>
      <c r="L2102" s="29">
        <v>-4.09</v>
      </c>
      <c r="M2102" s="30">
        <f>IFERROR(VLOOKUP($A2102,HeadJournal!$A$1:$J$890,COLUMN(HeadJournal!I$1),0)*($K2102+$L2102)/(SUMIF($A:$A,$A2102,$K:$K)+SUMIF($A:$A,$A2102,$L:$L)),0)</f>
        <v>-0.40557446258562019</v>
      </c>
      <c r="N2102" s="30">
        <f>IFERROR((VLOOKUP($A2102,HeadJournal!$A$1:$K$890,COLUMN(HeadJournal!K$1),0)-VLOOKUP($A2102,HeadJournal!$A$1:$K$890,COLUMN(HeadJournal!J$1),0))*($K2102+$L2102)/(SUMIF($A:$A,$A2102,$K:$K)+SUMIF($A:$A,$A2102,$L:$L)),0)</f>
        <v>2.7058966028170798E-15</v>
      </c>
      <c r="O2102" s="30">
        <f>IFERROR((VLOOKUP($A2102,HeadJournal!$A$1:$L$890,COLUMN(HeadJournal!L$1),0)*($K2102+$L2102)/(SUMIF($A:$A,$A2102,$K:$K)+SUMIF($A:$A,$A2102,$L:$L)))/VLOOKUP($A2102,HeadJournal!$A$1:$L$890,COLUMN(HeadJournal!H$1),0),0)</f>
        <v>0.38393508987741193</v>
      </c>
      <c r="P2102" s="30">
        <f>IFERROR(SUM(K2102:O2102)*VLOOKUP($A2102,HeadJournal!$A$1:$L$890,COLUMN(HeadJournal!H$1),0),0)</f>
        <v>1183.6689500495415</v>
      </c>
      <c r="Q2102" s="29">
        <v>2000</v>
      </c>
      <c r="R2102" s="31">
        <v>45428</v>
      </c>
      <c r="S2102" s="31" t="s">
        <v>3121</v>
      </c>
      <c r="T2102" s="95" t="str">
        <f t="shared" si="165"/>
        <v>2024 05</v>
      </c>
      <c r="U2102" s="32">
        <f t="shared" si="162"/>
        <v>816.33104995045846</v>
      </c>
      <c r="V2102" s="22">
        <f t="shared" si="163"/>
        <v>0.68966162364594552</v>
      </c>
      <c r="X2102" s="33"/>
      <c r="Y2102" s="33"/>
    </row>
    <row r="2103" spans="1:25" x14ac:dyDescent="0.2">
      <c r="A2103" s="93" t="s">
        <v>936</v>
      </c>
      <c r="B2103" s="94" t="str">
        <f>IFERROR(VLOOKUP($A2103,HeadJournal!$A$1:$NTR$890,COLUMN(HeadJournal!B$1),0),"")</f>
        <v>710000971994</v>
      </c>
      <c r="C2103" s="94" t="str">
        <f>IFERROR(VLOOKUP($A2103,HeadJournal!$A$1:$NTR$890,COLUMN(HeadJournal!C$1),0),"")</f>
        <v>iHerb_VP DFD1605</v>
      </c>
      <c r="D2103" s="125" t="str">
        <f>IFERROR(VLOOKUP($A2103,HeadJournal!$A$1:$NTR$890,COLUMN(HeadJournal!D$1),0),"")</f>
        <v>Доставлен</v>
      </c>
      <c r="E2103" s="95">
        <f>IFERROR(VLOOKUP($A2103,HeadJournal!$A$1:$NTR$890,COLUMN(HeadJournal!G$1),0),"")</f>
        <v>45176</v>
      </c>
      <c r="F2103" s="95" t="str">
        <f t="shared" si="164"/>
        <v>2023 09</v>
      </c>
      <c r="G2103" s="96" t="s">
        <v>5</v>
      </c>
      <c r="H2103" s="161" t="s">
        <v>2027</v>
      </c>
      <c r="I2103" s="97" t="s">
        <v>2005</v>
      </c>
      <c r="J2103" s="97" t="s">
        <v>4110</v>
      </c>
      <c r="K2103" s="29">
        <v>7.76</v>
      </c>
      <c r="L2103" s="29">
        <v>-2.0950000000000002</v>
      </c>
      <c r="M2103" s="30">
        <f>IFERROR(VLOOKUP($A2103,HeadJournal!$A$1:$J$890,COLUMN(HeadJournal!I$1),0)*($K2103+$L2103)/(SUMIF($A:$A,$A2103,$K:$K)+SUMIF($A:$A,$A2103,$L:$L)),0)</f>
        <v>-0.2079257312712704</v>
      </c>
      <c r="N2103" s="30">
        <f>IFERROR((VLOOKUP($A2103,HeadJournal!$A$1:$K$890,COLUMN(HeadJournal!K$1),0)-VLOOKUP($A2103,HeadJournal!$A$1:$K$890,COLUMN(HeadJournal!J$1),0))*($K2103+$L2103)/(SUMIF($A:$A,$A2103,$K:$K)+SUMIF($A:$A,$A2103,$L:$L)),0)</f>
        <v>1.3872311542949097E-15</v>
      </c>
      <c r="O2103" s="30">
        <f>IFERROR((VLOOKUP($A2103,HeadJournal!$A$1:$L$890,COLUMN(HeadJournal!L$1),0)*($K2103+$L2103)/(SUMIF($A:$A,$A2103,$K:$K)+SUMIF($A:$A,$A2103,$L:$L)))/VLOOKUP($A2103,HeadJournal!$A$1:$L$890,COLUMN(HeadJournal!H$1),0),0)</f>
        <v>0.19683188091905318</v>
      </c>
      <c r="P2103" s="30">
        <f>IFERROR(SUM(K2103:O2103)*VLOOKUP($A2103,HeadJournal!$A$1:$L$890,COLUMN(HeadJournal!H$1),0),0)</f>
        <v>606.83118570413137</v>
      </c>
      <c r="Q2103" s="29">
        <v>1100</v>
      </c>
      <c r="R2103" s="31">
        <v>45333</v>
      </c>
      <c r="S2103" s="31" t="s">
        <v>3121</v>
      </c>
      <c r="T2103" s="95" t="str">
        <f t="shared" si="165"/>
        <v>2024 02</v>
      </c>
      <c r="U2103" s="32">
        <f t="shared" si="162"/>
        <v>493.16881429586863</v>
      </c>
      <c r="V2103" s="22">
        <f t="shared" si="163"/>
        <v>0.81269523701822344</v>
      </c>
      <c r="X2103" s="33"/>
      <c r="Y2103" s="33"/>
    </row>
    <row r="2104" spans="1:25" x14ac:dyDescent="0.2">
      <c r="A2104" s="93" t="s">
        <v>936</v>
      </c>
      <c r="B2104" s="94" t="str">
        <f>IFERROR(VLOOKUP($A2104,HeadJournal!$A$1:$NTR$890,COLUMN(HeadJournal!B$1),0),"")</f>
        <v>710000971994</v>
      </c>
      <c r="C2104" s="94" t="str">
        <f>IFERROR(VLOOKUP($A2104,HeadJournal!$A$1:$NTR$890,COLUMN(HeadJournal!C$1),0),"")</f>
        <v>iHerb_VP DFD1605</v>
      </c>
      <c r="D2104" s="125" t="str">
        <f>IFERROR(VLOOKUP($A2104,HeadJournal!$A$1:$NTR$890,COLUMN(HeadJournal!D$1),0),"")</f>
        <v>Доставлен</v>
      </c>
      <c r="E2104" s="95">
        <f>IFERROR(VLOOKUP($A2104,HeadJournal!$A$1:$NTR$890,COLUMN(HeadJournal!G$1),0),"")</f>
        <v>45176</v>
      </c>
      <c r="F2104" s="95" t="str">
        <f t="shared" si="164"/>
        <v>2023 09</v>
      </c>
      <c r="G2104" s="96" t="s">
        <v>5</v>
      </c>
      <c r="H2104" s="161" t="s">
        <v>2027</v>
      </c>
      <c r="I2104" s="97" t="s">
        <v>2005</v>
      </c>
      <c r="J2104" s="97" t="s">
        <v>4110</v>
      </c>
      <c r="K2104" s="29">
        <v>7.76</v>
      </c>
      <c r="L2104" s="29">
        <v>-2.0950000000000002</v>
      </c>
      <c r="M2104" s="30">
        <f>IFERROR(VLOOKUP($A2104,HeadJournal!$A$1:$J$890,COLUMN(HeadJournal!I$1),0)*($K2104+$L2104)/(SUMIF($A:$A,$A2104,$K:$K)+SUMIF($A:$A,$A2104,$L:$L)),0)</f>
        <v>-0.2079257312712704</v>
      </c>
      <c r="N2104" s="30">
        <f>IFERROR((VLOOKUP($A2104,HeadJournal!$A$1:$K$890,COLUMN(HeadJournal!K$1),0)-VLOOKUP($A2104,HeadJournal!$A$1:$K$890,COLUMN(HeadJournal!J$1),0))*($K2104+$L2104)/(SUMIF($A:$A,$A2104,$K:$K)+SUMIF($A:$A,$A2104,$L:$L)),0)</f>
        <v>1.3872311542949097E-15</v>
      </c>
      <c r="O2104" s="30">
        <f>IFERROR((VLOOKUP($A2104,HeadJournal!$A$1:$L$890,COLUMN(HeadJournal!L$1),0)*($K2104+$L2104)/(SUMIF($A:$A,$A2104,$K:$K)+SUMIF($A:$A,$A2104,$L:$L)))/VLOOKUP($A2104,HeadJournal!$A$1:$L$890,COLUMN(HeadJournal!H$1),0),0)</f>
        <v>0.19683188091905318</v>
      </c>
      <c r="P2104" s="30">
        <f>IFERROR(SUM(K2104:O2104)*VLOOKUP($A2104,HeadJournal!$A$1:$L$890,COLUMN(HeadJournal!H$1),0),0)</f>
        <v>606.83118570413137</v>
      </c>
      <c r="Q2104" s="29">
        <v>1200</v>
      </c>
      <c r="R2104" s="31">
        <v>45371</v>
      </c>
      <c r="S2104" s="31" t="s">
        <v>3121</v>
      </c>
      <c r="T2104" s="95" t="str">
        <f t="shared" si="165"/>
        <v>2024 03</v>
      </c>
      <c r="U2104" s="32">
        <f t="shared" si="162"/>
        <v>593.16881429586863</v>
      </c>
      <c r="V2104" s="22">
        <f t="shared" si="163"/>
        <v>0.97748571311078924</v>
      </c>
      <c r="X2104" s="33"/>
      <c r="Y2104" s="33"/>
    </row>
    <row r="2105" spans="1:25" x14ac:dyDescent="0.2">
      <c r="A2105" s="93" t="s">
        <v>936</v>
      </c>
      <c r="B2105" s="94" t="str">
        <f>IFERROR(VLOOKUP($A2105,HeadJournal!$A$1:$NTR$890,COLUMN(HeadJournal!B$1),0),"")</f>
        <v>710000971994</v>
      </c>
      <c r="C2105" s="94" t="str">
        <f>IFERROR(VLOOKUP($A2105,HeadJournal!$A$1:$NTR$890,COLUMN(HeadJournal!C$1),0),"")</f>
        <v>iHerb_VP DFD1605</v>
      </c>
      <c r="D2105" s="125" t="str">
        <f>IFERROR(VLOOKUP($A2105,HeadJournal!$A$1:$NTR$890,COLUMN(HeadJournal!D$1),0),"")</f>
        <v>Доставлен</v>
      </c>
      <c r="E2105" s="95">
        <f>IFERROR(VLOOKUP($A2105,HeadJournal!$A$1:$NTR$890,COLUMN(HeadJournal!G$1),0),"")</f>
        <v>45176</v>
      </c>
      <c r="F2105" s="95" t="str">
        <f t="shared" si="164"/>
        <v>2023 09</v>
      </c>
      <c r="G2105" s="96" t="s">
        <v>5</v>
      </c>
      <c r="H2105" s="161" t="s">
        <v>2804</v>
      </c>
      <c r="I2105" s="97" t="s">
        <v>2005</v>
      </c>
      <c r="J2105" s="97" t="s">
        <v>2805</v>
      </c>
      <c r="K2105" s="29">
        <v>10.130000000000001</v>
      </c>
      <c r="L2105" s="29">
        <v>-2.74</v>
      </c>
      <c r="M2105" s="30">
        <f>IFERROR(VLOOKUP($A2105,HeadJournal!$A$1:$J$890,COLUMN(HeadJournal!I$1),0)*($K2105+$L2105)/(SUMIF($A:$A,$A2105,$K:$K)+SUMIF($A:$A,$A2105,$L:$L)),0)</f>
        <v>-0.27123939172015687</v>
      </c>
      <c r="N2105" s="30">
        <f>IFERROR((VLOOKUP($A2105,HeadJournal!$A$1:$K$890,COLUMN(HeadJournal!K$1),0)-VLOOKUP($A2105,HeadJournal!$A$1:$K$890,COLUMN(HeadJournal!J$1),0))*($K2105+$L2105)/(SUMIF($A:$A,$A2105,$K:$K)+SUMIF($A:$A,$A2105,$L:$L)),0)</f>
        <v>1.8096448773591148E-15</v>
      </c>
      <c r="O2105" s="30">
        <f>IFERROR((VLOOKUP($A2105,HeadJournal!$A$1:$L$890,COLUMN(HeadJournal!L$1),0)*($K2105+$L2105)/(SUMIF($A:$A,$A2105,$K:$K)+SUMIF($A:$A,$A2105,$L:$L)))/VLOOKUP($A2105,HeadJournal!$A$1:$L$890,COLUMN(HeadJournal!H$1),0),0)</f>
        <v>0.2567674492483325</v>
      </c>
      <c r="P2105" s="30">
        <f>IFERROR(SUM(K2105:O2105)*VLOOKUP($A2105,HeadJournal!$A$1:$L$890,COLUMN(HeadJournal!H$1),0),0)</f>
        <v>791.61208514625446</v>
      </c>
      <c r="Q2105" s="29">
        <v>1500</v>
      </c>
      <c r="R2105" s="31">
        <v>45231</v>
      </c>
      <c r="S2105" s="31" t="s">
        <v>3121</v>
      </c>
      <c r="T2105" s="95" t="str">
        <f t="shared" si="165"/>
        <v>2023 11</v>
      </c>
      <c r="U2105" s="32">
        <f t="shared" si="162"/>
        <v>708.38791485374554</v>
      </c>
      <c r="V2105" s="22">
        <f t="shared" si="163"/>
        <v>0.89486748389252702</v>
      </c>
      <c r="X2105" s="33"/>
      <c r="Y2105" s="33"/>
    </row>
    <row r="2106" spans="1:25" x14ac:dyDescent="0.2">
      <c r="A2106" s="93" t="s">
        <v>937</v>
      </c>
      <c r="B2106" s="94" t="str">
        <f>IFERROR(VLOOKUP($A2106,HeadJournal!$A$1:$NTR$890,COLUMN(HeadJournal!B$1),0),"")</f>
        <v>710000983587</v>
      </c>
      <c r="C2106" s="94" t="str">
        <f>IFERROR(VLOOKUP($A2106,HeadJournal!$A$1:$NTR$890,COLUMN(HeadJournal!C$1),0),"")</f>
        <v>iHerb_MH DLE7202</v>
      </c>
      <c r="D2106" s="125" t="str">
        <f>IFERROR(VLOOKUP($A2106,HeadJournal!$A$1:$NTR$890,COLUMN(HeadJournal!D$1),0),"")</f>
        <v>Доставлен</v>
      </c>
      <c r="E2106" s="95">
        <f>IFERROR(VLOOKUP($A2106,HeadJournal!$A$1:$NTR$890,COLUMN(HeadJournal!G$1),0),"")</f>
        <v>45182</v>
      </c>
      <c r="F2106" s="95" t="str">
        <f t="shared" si="164"/>
        <v>2023 09</v>
      </c>
      <c r="G2106" s="96" t="s">
        <v>6</v>
      </c>
      <c r="H2106" s="160" t="str">
        <f>RIGHT(Journal!$J2106,9)</f>
        <v>OPN-05223</v>
      </c>
      <c r="I2106" s="96" t="str">
        <f t="shared" si="166"/>
        <v>Optimum Nutrition</v>
      </c>
      <c r="J2106" s="97" t="s">
        <v>836</v>
      </c>
      <c r="K2106" s="29">
        <v>36.56</v>
      </c>
      <c r="L2106" s="29">
        <v>-5.4850000000000003</v>
      </c>
      <c r="M2106" s="30">
        <f>IFERROR(VLOOKUP($A2106,HeadJournal!$A$1:$J$890,COLUMN(HeadJournal!I$1),0)*($K2106+$L2106)/(SUMIF($A:$A,$A2106,$K:$K)+SUMIF($A:$A,$A2106,$L:$L)),0)</f>
        <v>0</v>
      </c>
      <c r="N2106" s="30">
        <f>IFERROR((VLOOKUP($A2106,HeadJournal!$A$1:$K$890,COLUMN(HeadJournal!K$1),0)-VLOOKUP($A2106,HeadJournal!$A$1:$K$890,COLUMN(HeadJournal!J$1),0))*($K2106+$L2106)/(SUMIF($A:$A,$A2106,$K:$K)+SUMIF($A:$A,$A2106,$L:$L)),0)</f>
        <v>-5.5103857034552313E-15</v>
      </c>
      <c r="O2106" s="30">
        <f>IFERROR((VLOOKUP($A2106,HeadJournal!$A$1:$L$890,COLUMN(HeadJournal!L$1),0)*($K2106+$L2106)/(SUMIF($A:$A,$A2106,$K:$K)+SUMIF($A:$A,$A2106,$L:$L)))/VLOOKUP($A2106,HeadJournal!$A$1:$L$890,COLUMN(HeadJournal!H$1),0),0)</f>
        <v>2.6890380558482883</v>
      </c>
      <c r="P2106" s="30">
        <f>IFERROR(SUM(K2106:O2106)*VLOOKUP($A2106,HeadJournal!$A$1:$L$890,COLUMN(HeadJournal!H$1),0),0)</f>
        <v>3666.0375172613203</v>
      </c>
      <c r="Q2106" s="29">
        <v>4100</v>
      </c>
      <c r="R2106" s="31">
        <v>45236</v>
      </c>
      <c r="S2106" s="31" t="s">
        <v>3121</v>
      </c>
      <c r="T2106" s="95" t="str">
        <f t="shared" si="165"/>
        <v>2023 11</v>
      </c>
      <c r="U2106" s="32">
        <f t="shared" si="162"/>
        <v>433.96248273867968</v>
      </c>
      <c r="V2106" s="22">
        <f t="shared" si="163"/>
        <v>0.11837371567950221</v>
      </c>
      <c r="X2106" s="33"/>
      <c r="Y2106" s="33"/>
    </row>
    <row r="2107" spans="1:25" x14ac:dyDescent="0.2">
      <c r="A2107" s="93" t="s">
        <v>937</v>
      </c>
      <c r="B2107" s="94" t="str">
        <f>IFERROR(VLOOKUP($A2107,HeadJournal!$A$1:$NTR$890,COLUMN(HeadJournal!B$1),0),"")</f>
        <v>710000983587</v>
      </c>
      <c r="C2107" s="94" t="str">
        <f>IFERROR(VLOOKUP($A2107,HeadJournal!$A$1:$NTR$890,COLUMN(HeadJournal!C$1),0),"")</f>
        <v>iHerb_MH DLE7202</v>
      </c>
      <c r="D2107" s="125" t="str">
        <f>IFERROR(VLOOKUP($A2107,HeadJournal!$A$1:$NTR$890,COLUMN(HeadJournal!D$1),0),"")</f>
        <v>Доставлен</v>
      </c>
      <c r="E2107" s="95">
        <f>IFERROR(VLOOKUP($A2107,HeadJournal!$A$1:$NTR$890,COLUMN(HeadJournal!G$1),0),"")</f>
        <v>45182</v>
      </c>
      <c r="F2107" s="95" t="str">
        <f t="shared" si="164"/>
        <v>2023 09</v>
      </c>
      <c r="G2107" s="96" t="s">
        <v>6</v>
      </c>
      <c r="H2107" s="160" t="str">
        <f>RIGHT(Journal!$J2107,9)</f>
        <v>OPN-05223</v>
      </c>
      <c r="I2107" s="96" t="str">
        <f t="shared" si="166"/>
        <v>Optimum Nutrition</v>
      </c>
      <c r="J2107" s="97" t="s">
        <v>836</v>
      </c>
      <c r="K2107" s="29">
        <v>36.56</v>
      </c>
      <c r="L2107" s="29">
        <v>-5.4850000000000003</v>
      </c>
      <c r="M2107" s="30">
        <f>IFERROR(VLOOKUP($A2107,HeadJournal!$A$1:$J$890,COLUMN(HeadJournal!I$1),0)*($K2107+$L2107)/(SUMIF($A:$A,$A2107,$K:$K)+SUMIF($A:$A,$A2107,$L:$L)),0)</f>
        <v>0</v>
      </c>
      <c r="N2107" s="30">
        <f>IFERROR((VLOOKUP($A2107,HeadJournal!$A$1:$K$890,COLUMN(HeadJournal!K$1),0)-VLOOKUP($A2107,HeadJournal!$A$1:$K$890,COLUMN(HeadJournal!J$1),0))*($K2107+$L2107)/(SUMIF($A:$A,$A2107,$K:$K)+SUMIF($A:$A,$A2107,$L:$L)),0)</f>
        <v>-5.5103857034552313E-15</v>
      </c>
      <c r="O2107" s="30">
        <f>IFERROR((VLOOKUP($A2107,HeadJournal!$A$1:$L$890,COLUMN(HeadJournal!L$1),0)*($K2107+$L2107)/(SUMIF($A:$A,$A2107,$K:$K)+SUMIF($A:$A,$A2107,$L:$L)))/VLOOKUP($A2107,HeadJournal!$A$1:$L$890,COLUMN(HeadJournal!H$1),0),0)</f>
        <v>2.6890380558482883</v>
      </c>
      <c r="P2107" s="30">
        <f>IFERROR(SUM(K2107:O2107)*VLOOKUP($A2107,HeadJournal!$A$1:$L$890,COLUMN(HeadJournal!H$1),0),0)</f>
        <v>3666.0375172613203</v>
      </c>
      <c r="Q2107" s="29">
        <v>4200</v>
      </c>
      <c r="R2107" s="31">
        <v>45288</v>
      </c>
      <c r="S2107" s="31" t="s">
        <v>3121</v>
      </c>
      <c r="T2107" s="95" t="str">
        <f t="shared" si="165"/>
        <v>2023 12</v>
      </c>
      <c r="U2107" s="32">
        <f t="shared" si="162"/>
        <v>533.96248273867968</v>
      </c>
      <c r="V2107" s="22">
        <f t="shared" si="163"/>
        <v>0.14565112337900227</v>
      </c>
      <c r="X2107" s="33"/>
      <c r="Y2107" s="33"/>
    </row>
    <row r="2108" spans="1:25" x14ac:dyDescent="0.2">
      <c r="A2108" s="93" t="s">
        <v>937</v>
      </c>
      <c r="B2108" s="94" t="str">
        <f>IFERROR(VLOOKUP($A2108,HeadJournal!$A$1:$NTR$890,COLUMN(HeadJournal!B$1),0),"")</f>
        <v>710000983587</v>
      </c>
      <c r="C2108" s="94" t="str">
        <f>IFERROR(VLOOKUP($A2108,HeadJournal!$A$1:$NTR$890,COLUMN(HeadJournal!C$1),0),"")</f>
        <v>iHerb_MH DLE7202</v>
      </c>
      <c r="D2108" s="125" t="str">
        <f>IFERROR(VLOOKUP($A2108,HeadJournal!$A$1:$NTR$890,COLUMN(HeadJournal!D$1),0),"")</f>
        <v>Доставлен</v>
      </c>
      <c r="E2108" s="95">
        <f>IFERROR(VLOOKUP($A2108,HeadJournal!$A$1:$NTR$890,COLUMN(HeadJournal!G$1),0),"")</f>
        <v>45182</v>
      </c>
      <c r="F2108" s="95" t="str">
        <f t="shared" si="164"/>
        <v>2023 09</v>
      </c>
      <c r="G2108" s="96" t="s">
        <v>5</v>
      </c>
      <c r="H2108" s="160" t="str">
        <f>RIGHT(Journal!$J2108,9)</f>
        <v>JAS-01569</v>
      </c>
      <c r="I2108" s="96" t="str">
        <f t="shared" si="166"/>
        <v>Jason Natural</v>
      </c>
      <c r="J2108" s="97" t="s">
        <v>938</v>
      </c>
      <c r="K2108" s="29">
        <v>4.45</v>
      </c>
      <c r="L2108" s="29">
        <v>0</v>
      </c>
      <c r="M2108" s="30">
        <f>IFERROR(VLOOKUP($A2108,HeadJournal!$A$1:$J$890,COLUMN(HeadJournal!I$1),0)*($K2108+$L2108)/(SUMIF($A:$A,$A2108,$K:$K)+SUMIF($A:$A,$A2108,$L:$L)),0)</f>
        <v>0</v>
      </c>
      <c r="N2108" s="30">
        <f>IFERROR((VLOOKUP($A2108,HeadJournal!$A$1:$K$890,COLUMN(HeadJournal!K$1),0)-VLOOKUP($A2108,HeadJournal!$A$1:$K$890,COLUMN(HeadJournal!J$1),0))*($K2108+$L2108)/(SUMIF($A:$A,$A2108,$K:$K)+SUMIF($A:$A,$A2108,$L:$L)),0)</f>
        <v>-7.8909787225666218E-16</v>
      </c>
      <c r="O2108" s="30">
        <f>IFERROR((VLOOKUP($A2108,HeadJournal!$A$1:$L$890,COLUMN(HeadJournal!L$1),0)*($K2108+$L2108)/(SUMIF($A:$A,$A2108,$K:$K)+SUMIF($A:$A,$A2108,$L:$L)))/VLOOKUP($A2108,HeadJournal!$A$1:$L$890,COLUMN(HeadJournal!H$1),0),0)</f>
        <v>0.38507544162590124</v>
      </c>
      <c r="P2108" s="30">
        <f>IFERROR(SUM(K2108:O2108)*VLOOKUP($A2108,HeadJournal!$A$1:$L$890,COLUMN(HeadJournal!H$1),0),0)</f>
        <v>524.98365090306913</v>
      </c>
      <c r="Q2108" s="29">
        <v>800</v>
      </c>
      <c r="R2108" s="31">
        <v>45215</v>
      </c>
      <c r="S2108" s="31" t="s">
        <v>3121</v>
      </c>
      <c r="T2108" s="95" t="str">
        <f t="shared" si="165"/>
        <v>2023 10</v>
      </c>
      <c r="U2108" s="32">
        <f t="shared" si="162"/>
        <v>275.01634909693087</v>
      </c>
      <c r="V2108" s="22">
        <f t="shared" si="163"/>
        <v>0.52385697844847512</v>
      </c>
      <c r="X2108" s="33"/>
      <c r="Y2108" s="33"/>
    </row>
    <row r="2109" spans="1:25" x14ac:dyDescent="0.2">
      <c r="A2109" s="93" t="s">
        <v>937</v>
      </c>
      <c r="B2109" s="94" t="str">
        <f>IFERROR(VLOOKUP($A2109,HeadJournal!$A$1:$NTR$890,COLUMN(HeadJournal!B$1),0),"")</f>
        <v>710000983587</v>
      </c>
      <c r="C2109" s="94" t="str">
        <f>IFERROR(VLOOKUP($A2109,HeadJournal!$A$1:$NTR$890,COLUMN(HeadJournal!C$1),0),"")</f>
        <v>iHerb_MH DLE7202</v>
      </c>
      <c r="D2109" s="125" t="str">
        <f>IFERROR(VLOOKUP($A2109,HeadJournal!$A$1:$NTR$890,COLUMN(HeadJournal!D$1),0),"")</f>
        <v>Доставлен</v>
      </c>
      <c r="E2109" s="95">
        <f>IFERROR(VLOOKUP($A2109,HeadJournal!$A$1:$NTR$890,COLUMN(HeadJournal!G$1),0),"")</f>
        <v>45182</v>
      </c>
      <c r="F2109" s="95" t="str">
        <f t="shared" si="164"/>
        <v>2023 09</v>
      </c>
      <c r="G2109" s="96" t="s">
        <v>5</v>
      </c>
      <c r="H2109" s="160" t="str">
        <f>RIGHT(Journal!$J2109,9)</f>
        <v>JAS-01569</v>
      </c>
      <c r="I2109" s="96" t="str">
        <f t="shared" si="166"/>
        <v>Jason Natural</v>
      </c>
      <c r="J2109" s="97" t="s">
        <v>938</v>
      </c>
      <c r="K2109" s="29">
        <v>4.45</v>
      </c>
      <c r="L2109" s="29">
        <v>0</v>
      </c>
      <c r="M2109" s="30">
        <f>IFERROR(VLOOKUP($A2109,HeadJournal!$A$1:$J$890,COLUMN(HeadJournal!I$1),0)*($K2109+$L2109)/(SUMIF($A:$A,$A2109,$K:$K)+SUMIF($A:$A,$A2109,$L:$L)),0)</f>
        <v>0</v>
      </c>
      <c r="N2109" s="30">
        <f>IFERROR((VLOOKUP($A2109,HeadJournal!$A$1:$K$890,COLUMN(HeadJournal!K$1),0)-VLOOKUP($A2109,HeadJournal!$A$1:$K$890,COLUMN(HeadJournal!J$1),0))*($K2109+$L2109)/(SUMIF($A:$A,$A2109,$K:$K)+SUMIF($A:$A,$A2109,$L:$L)),0)</f>
        <v>-7.8909787225666218E-16</v>
      </c>
      <c r="O2109" s="30">
        <f>IFERROR((VLOOKUP($A2109,HeadJournal!$A$1:$L$890,COLUMN(HeadJournal!L$1),0)*($K2109+$L2109)/(SUMIF($A:$A,$A2109,$K:$K)+SUMIF($A:$A,$A2109,$L:$L)))/VLOOKUP($A2109,HeadJournal!$A$1:$L$890,COLUMN(HeadJournal!H$1),0),0)</f>
        <v>0.38507544162590124</v>
      </c>
      <c r="P2109" s="30">
        <f>IFERROR(SUM(K2109:O2109)*VLOOKUP($A2109,HeadJournal!$A$1:$L$890,COLUMN(HeadJournal!H$1),0),0)</f>
        <v>524.98365090306913</v>
      </c>
      <c r="Q2109" s="29">
        <v>800</v>
      </c>
      <c r="R2109" s="31">
        <v>45215</v>
      </c>
      <c r="S2109" s="31" t="s">
        <v>3121</v>
      </c>
      <c r="T2109" s="95" t="str">
        <f t="shared" si="165"/>
        <v>2023 10</v>
      </c>
      <c r="U2109" s="32">
        <f t="shared" si="162"/>
        <v>275.01634909693087</v>
      </c>
      <c r="V2109" s="22">
        <f t="shared" si="163"/>
        <v>0.52385697844847512</v>
      </c>
      <c r="X2109" s="33"/>
      <c r="Y2109" s="33"/>
    </row>
    <row r="2110" spans="1:25" x14ac:dyDescent="0.2">
      <c r="A2110" s="93" t="s">
        <v>937</v>
      </c>
      <c r="B2110" s="94" t="str">
        <f>IFERROR(VLOOKUP($A2110,HeadJournal!$A$1:$NTR$890,COLUMN(HeadJournal!B$1),0),"")</f>
        <v>710000983587</v>
      </c>
      <c r="C2110" s="94" t="str">
        <f>IFERROR(VLOOKUP($A2110,HeadJournal!$A$1:$NTR$890,COLUMN(HeadJournal!C$1),0),"")</f>
        <v>iHerb_MH DLE7202</v>
      </c>
      <c r="D2110" s="125" t="str">
        <f>IFERROR(VLOOKUP($A2110,HeadJournal!$A$1:$NTR$890,COLUMN(HeadJournal!D$1),0),"")</f>
        <v>Доставлен</v>
      </c>
      <c r="E2110" s="95">
        <f>IFERROR(VLOOKUP($A2110,HeadJournal!$A$1:$NTR$890,COLUMN(HeadJournal!G$1),0),"")</f>
        <v>45182</v>
      </c>
      <c r="F2110" s="95" t="str">
        <f t="shared" si="164"/>
        <v>2023 09</v>
      </c>
      <c r="G2110" s="96" t="s">
        <v>5</v>
      </c>
      <c r="H2110" s="160" t="str">
        <f>RIGHT(Journal!$J2110,9)</f>
        <v>EVL-02739</v>
      </c>
      <c r="I2110" s="96" t="str">
        <f t="shared" si="166"/>
        <v>EVLution Nutrition</v>
      </c>
      <c r="J2110" s="97" t="s">
        <v>782</v>
      </c>
      <c r="K2110" s="29">
        <v>13.04</v>
      </c>
      <c r="L2110" s="29">
        <v>-3.52</v>
      </c>
      <c r="M2110" s="30">
        <f>IFERROR(VLOOKUP($A2110,HeadJournal!$A$1:$J$890,COLUMN(HeadJournal!I$1),0)*($K2110+$L2110)/(SUMIF($A:$A,$A2110,$K:$K)+SUMIF($A:$A,$A2110,$L:$L)),0)</f>
        <v>0</v>
      </c>
      <c r="N2110" s="30">
        <f>IFERROR((VLOOKUP($A2110,HeadJournal!$A$1:$K$890,COLUMN(HeadJournal!K$1),0)-VLOOKUP($A2110,HeadJournal!$A$1:$K$890,COLUMN(HeadJournal!J$1),0))*($K2110+$L2110)/(SUMIF($A:$A,$A2110,$K:$K)+SUMIF($A:$A,$A2110,$L:$L)),0)</f>
        <v>-1.6881374705356008E-15</v>
      </c>
      <c r="O2110" s="30">
        <f>IFERROR((VLOOKUP($A2110,HeadJournal!$A$1:$L$890,COLUMN(HeadJournal!L$1),0)*($K2110+$L2110)/(SUMIF($A:$A,$A2110,$K:$K)+SUMIF($A:$A,$A2110,$L:$L)))/VLOOKUP($A2110,HeadJournal!$A$1:$L$890,COLUMN(HeadJournal!H$1),0),0)</f>
        <v>0.82380184365810771</v>
      </c>
      <c r="P2110" s="30">
        <f>IFERROR(SUM(K2110:O2110)*VLOOKUP($A2110,HeadJournal!$A$1:$L$890,COLUMN(HeadJournal!H$1),0),0)</f>
        <v>1123.1110913701616</v>
      </c>
      <c r="Q2110" s="29">
        <v>1700</v>
      </c>
      <c r="R2110" s="31">
        <v>45221</v>
      </c>
      <c r="S2110" s="31" t="s">
        <v>3121</v>
      </c>
      <c r="T2110" s="95" t="str">
        <f t="shared" si="165"/>
        <v>2023 10</v>
      </c>
      <c r="U2110" s="32">
        <f t="shared" si="162"/>
        <v>576.8889086298384</v>
      </c>
      <c r="V2110" s="22">
        <f t="shared" si="163"/>
        <v>0.51365257903922168</v>
      </c>
      <c r="X2110" s="33"/>
      <c r="Y2110" s="33"/>
    </row>
    <row r="2111" spans="1:25" x14ac:dyDescent="0.2">
      <c r="A2111" s="93" t="s">
        <v>937</v>
      </c>
      <c r="B2111" s="94" t="str">
        <f>IFERROR(VLOOKUP($A2111,HeadJournal!$A$1:$NTR$890,COLUMN(HeadJournal!B$1),0),"")</f>
        <v>710000983587</v>
      </c>
      <c r="C2111" s="94" t="str">
        <f>IFERROR(VLOOKUP($A2111,HeadJournal!$A$1:$NTR$890,COLUMN(HeadJournal!C$1),0),"")</f>
        <v>iHerb_MH DLE7202</v>
      </c>
      <c r="D2111" s="125" t="str">
        <f>IFERROR(VLOOKUP($A2111,HeadJournal!$A$1:$NTR$890,COLUMN(HeadJournal!D$1),0),"")</f>
        <v>Доставлен</v>
      </c>
      <c r="E2111" s="95">
        <f>IFERROR(VLOOKUP($A2111,HeadJournal!$A$1:$NTR$890,COLUMN(HeadJournal!G$1),0),"")</f>
        <v>45182</v>
      </c>
      <c r="F2111" s="95" t="str">
        <f t="shared" si="164"/>
        <v>2023 09</v>
      </c>
      <c r="G2111" s="96" t="s">
        <v>5</v>
      </c>
      <c r="H2111" s="161" t="s">
        <v>2804</v>
      </c>
      <c r="I2111" s="97" t="s">
        <v>2005</v>
      </c>
      <c r="J2111" s="97" t="s">
        <v>2805</v>
      </c>
      <c r="K2111" s="29">
        <v>10.130000000000001</v>
      </c>
      <c r="L2111" s="29">
        <v>-2.74</v>
      </c>
      <c r="M2111" s="30">
        <f>IFERROR(VLOOKUP($A2111,HeadJournal!$A$1:$J$890,COLUMN(HeadJournal!I$1),0)*($K2111+$L2111)/(SUMIF($A:$A,$A2111,$K:$K)+SUMIF($A:$A,$A2111,$L:$L)),0)</f>
        <v>0</v>
      </c>
      <c r="N2111" s="30">
        <f>IFERROR((VLOOKUP($A2111,HeadJournal!$A$1:$K$890,COLUMN(HeadJournal!K$1),0)-VLOOKUP($A2111,HeadJournal!$A$1:$K$890,COLUMN(HeadJournal!J$1),0))*($K2111+$L2111)/(SUMIF($A:$A,$A2111,$K:$K)+SUMIF($A:$A,$A2111,$L:$L)),0)</f>
        <v>-1.3104344440397155E-15</v>
      </c>
      <c r="O2111" s="30">
        <f>IFERROR((VLOOKUP($A2111,HeadJournal!$A$1:$L$890,COLUMN(HeadJournal!L$1),0)*($K2111+$L2111)/(SUMIF($A:$A,$A2111,$K:$K)+SUMIF($A:$A,$A2111,$L:$L)))/VLOOKUP($A2111,HeadJournal!$A$1:$L$890,COLUMN(HeadJournal!H$1),0),0)</f>
        <v>0.6394848345203169</v>
      </c>
      <c r="P2111" s="30">
        <f>IFERROR(SUM(K2111:O2111)*VLOOKUP($A2111,HeadJournal!$A$1:$L$890,COLUMN(HeadJournal!H$1),0),0)</f>
        <v>871.82678206150149</v>
      </c>
      <c r="Q2111" s="29">
        <v>1600</v>
      </c>
      <c r="R2111" s="31">
        <v>45256</v>
      </c>
      <c r="S2111" s="31" t="s">
        <v>3121</v>
      </c>
      <c r="T2111" s="95" t="str">
        <f t="shared" si="165"/>
        <v>2023 11</v>
      </c>
      <c r="U2111" s="32">
        <f t="shared" si="162"/>
        <v>728.17321793849851</v>
      </c>
      <c r="V2111" s="22">
        <f t="shared" si="163"/>
        <v>0.83522694292170852</v>
      </c>
      <c r="X2111" s="33"/>
      <c r="Y2111" s="33"/>
    </row>
    <row r="2112" spans="1:25" x14ac:dyDescent="0.2">
      <c r="A2112" s="93" t="s">
        <v>937</v>
      </c>
      <c r="B2112" s="94" t="str">
        <f>IFERROR(VLOOKUP($A2112,HeadJournal!$A$1:$NTR$890,COLUMN(HeadJournal!B$1),0),"")</f>
        <v>710000983587</v>
      </c>
      <c r="C2112" s="94" t="str">
        <f>IFERROR(VLOOKUP($A2112,HeadJournal!$A$1:$NTR$890,COLUMN(HeadJournal!C$1),0),"")</f>
        <v>iHerb_MH DLE7202</v>
      </c>
      <c r="D2112" s="125" t="str">
        <f>IFERROR(VLOOKUP($A2112,HeadJournal!$A$1:$NTR$890,COLUMN(HeadJournal!D$1),0),"")</f>
        <v>Доставлен</v>
      </c>
      <c r="E2112" s="95">
        <f>IFERROR(VLOOKUP($A2112,HeadJournal!$A$1:$NTR$890,COLUMN(HeadJournal!G$1),0),"")</f>
        <v>45182</v>
      </c>
      <c r="F2112" s="95" t="str">
        <f t="shared" si="164"/>
        <v>2023 09</v>
      </c>
      <c r="G2112" s="96" t="s">
        <v>5</v>
      </c>
      <c r="H2112" s="161" t="s">
        <v>2118</v>
      </c>
      <c r="I2112" s="97" t="s">
        <v>2005</v>
      </c>
      <c r="J2112" s="97" t="s">
        <v>2119</v>
      </c>
      <c r="K2112" s="29">
        <v>14.33</v>
      </c>
      <c r="L2112" s="29">
        <v>-3.87</v>
      </c>
      <c r="M2112" s="30">
        <f>IFERROR(VLOOKUP($A2112,HeadJournal!$A$1:$J$890,COLUMN(HeadJournal!I$1),0)*($K2112+$L2112)/(SUMIF($A:$A,$A2112,$K:$K)+SUMIF($A:$A,$A2112,$L:$L)),0)</f>
        <v>0</v>
      </c>
      <c r="N2112" s="30">
        <f>IFERROR((VLOOKUP($A2112,HeadJournal!$A$1:$K$890,COLUMN(HeadJournal!K$1),0)-VLOOKUP($A2112,HeadJournal!$A$1:$K$890,COLUMN(HeadJournal!J$1),0))*($K2112+$L2112)/(SUMIF($A:$A,$A2112,$K:$K)+SUMIF($A:$A,$A2112,$L:$L)),0)</f>
        <v>-1.8548233132145362E-15</v>
      </c>
      <c r="O2112" s="30">
        <f>IFERROR((VLOOKUP($A2112,HeadJournal!$A$1:$L$890,COLUMN(HeadJournal!L$1),0)*($K2112+$L2112)/(SUMIF($A:$A,$A2112,$K:$K)+SUMIF($A:$A,$A2112,$L:$L)))/VLOOKUP($A2112,HeadJournal!$A$1:$L$890,COLUMN(HeadJournal!H$1),0),0)</f>
        <v>0.90514362233863532</v>
      </c>
      <c r="P2112" s="30">
        <f>IFERROR(SUM(K2112:O2112)*VLOOKUP($A2112,HeadJournal!$A$1:$L$890,COLUMN(HeadJournal!H$1),0),0)</f>
        <v>1234.0065142575515</v>
      </c>
      <c r="Q2112" s="29">
        <v>2000</v>
      </c>
      <c r="R2112" s="31">
        <v>45214</v>
      </c>
      <c r="S2112" s="31" t="s">
        <v>3121</v>
      </c>
      <c r="T2112" s="95" t="str">
        <f t="shared" si="165"/>
        <v>2023 10</v>
      </c>
      <c r="U2112" s="32">
        <f t="shared" si="162"/>
        <v>765.99348574244846</v>
      </c>
      <c r="V2112" s="22">
        <f t="shared" si="163"/>
        <v>0.62073698711656611</v>
      </c>
      <c r="X2112" s="33"/>
      <c r="Y2112" s="33"/>
    </row>
    <row r="2113" spans="1:25" x14ac:dyDescent="0.2">
      <c r="A2113" s="93" t="s">
        <v>937</v>
      </c>
      <c r="B2113" s="94" t="str">
        <f>IFERROR(VLOOKUP($A2113,HeadJournal!$A$1:$NTR$890,COLUMN(HeadJournal!B$1),0),"")</f>
        <v>710000983587</v>
      </c>
      <c r="C2113" s="94" t="str">
        <f>IFERROR(VLOOKUP($A2113,HeadJournal!$A$1:$NTR$890,COLUMN(HeadJournal!C$1),0),"")</f>
        <v>iHerb_MH DLE7202</v>
      </c>
      <c r="D2113" s="125" t="str">
        <f>IFERROR(VLOOKUP($A2113,HeadJournal!$A$1:$NTR$890,COLUMN(HeadJournal!D$1),0),"")</f>
        <v>Доставлен</v>
      </c>
      <c r="E2113" s="95">
        <f>IFERROR(VLOOKUP($A2113,HeadJournal!$A$1:$NTR$890,COLUMN(HeadJournal!G$1),0),"")</f>
        <v>45182</v>
      </c>
      <c r="F2113" s="95" t="str">
        <f t="shared" si="164"/>
        <v>2023 09</v>
      </c>
      <c r="G2113" s="96" t="s">
        <v>5</v>
      </c>
      <c r="H2113" s="161" t="s">
        <v>2118</v>
      </c>
      <c r="I2113" s="97" t="s">
        <v>2005</v>
      </c>
      <c r="J2113" s="97" t="s">
        <v>2119</v>
      </c>
      <c r="K2113" s="29">
        <v>14.33</v>
      </c>
      <c r="L2113" s="29">
        <v>-3.87</v>
      </c>
      <c r="M2113" s="30">
        <f>IFERROR(VLOOKUP($A2113,HeadJournal!$A$1:$J$890,COLUMN(HeadJournal!I$1),0)*($K2113+$L2113)/(SUMIF($A:$A,$A2113,$K:$K)+SUMIF($A:$A,$A2113,$L:$L)),0)</f>
        <v>0</v>
      </c>
      <c r="N2113" s="30">
        <f>IFERROR((VLOOKUP($A2113,HeadJournal!$A$1:$K$890,COLUMN(HeadJournal!K$1),0)-VLOOKUP($A2113,HeadJournal!$A$1:$K$890,COLUMN(HeadJournal!J$1),0))*($K2113+$L2113)/(SUMIF($A:$A,$A2113,$K:$K)+SUMIF($A:$A,$A2113,$L:$L)),0)</f>
        <v>-1.8548233132145362E-15</v>
      </c>
      <c r="O2113" s="30">
        <f>IFERROR((VLOOKUP($A2113,HeadJournal!$A$1:$L$890,COLUMN(HeadJournal!L$1),0)*($K2113+$L2113)/(SUMIF($A:$A,$A2113,$K:$K)+SUMIF($A:$A,$A2113,$L:$L)))/VLOOKUP($A2113,HeadJournal!$A$1:$L$890,COLUMN(HeadJournal!H$1),0),0)</f>
        <v>0.90514362233863532</v>
      </c>
      <c r="P2113" s="30">
        <f>IFERROR(SUM(K2113:O2113)*VLOOKUP($A2113,HeadJournal!$A$1:$L$890,COLUMN(HeadJournal!H$1),0),0)</f>
        <v>1234.0065142575515</v>
      </c>
      <c r="Q2113" s="29">
        <v>2000</v>
      </c>
      <c r="R2113" s="31">
        <v>45218</v>
      </c>
      <c r="S2113" s="31" t="s">
        <v>3121</v>
      </c>
      <c r="T2113" s="95" t="str">
        <f t="shared" si="165"/>
        <v>2023 10</v>
      </c>
      <c r="U2113" s="32">
        <f t="shared" ref="U2113:U2176" si="167">Q2113-P2113</f>
        <v>765.99348574244846</v>
      </c>
      <c r="V2113" s="22">
        <f t="shared" ref="V2113:V2176" si="168">IF(Q2113&lt;&gt;0,IFERROR(U2113/P2113,""),"")</f>
        <v>0.62073698711656611</v>
      </c>
      <c r="X2113" s="33"/>
      <c r="Y2113" s="33"/>
    </row>
    <row r="2114" spans="1:25" x14ac:dyDescent="0.2">
      <c r="A2114" s="93" t="s">
        <v>937</v>
      </c>
      <c r="B2114" s="94" t="str">
        <f>IFERROR(VLOOKUP($A2114,HeadJournal!$A$1:$NTR$890,COLUMN(HeadJournal!B$1),0),"")</f>
        <v>710000983587</v>
      </c>
      <c r="C2114" s="94" t="str">
        <f>IFERROR(VLOOKUP($A2114,HeadJournal!$A$1:$NTR$890,COLUMN(HeadJournal!C$1),0),"")</f>
        <v>iHerb_MH DLE7202</v>
      </c>
      <c r="D2114" s="125" t="str">
        <f>IFERROR(VLOOKUP($A2114,HeadJournal!$A$1:$NTR$890,COLUMN(HeadJournal!D$1),0),"")</f>
        <v>Доставлен</v>
      </c>
      <c r="E2114" s="95">
        <f>IFERROR(VLOOKUP($A2114,HeadJournal!$A$1:$NTR$890,COLUMN(HeadJournal!G$1),0),"")</f>
        <v>45182</v>
      </c>
      <c r="F2114" s="95" t="str">
        <f t="shared" si="164"/>
        <v>2023 09</v>
      </c>
      <c r="G2114" s="96" t="s">
        <v>5</v>
      </c>
      <c r="H2114" s="160" t="str">
        <f>RIGHT(Journal!$J2114,9)</f>
        <v>NOW-03776</v>
      </c>
      <c r="I2114" s="96" t="str">
        <f t="shared" si="166"/>
        <v>NOW Foods</v>
      </c>
      <c r="J2114" s="97" t="s">
        <v>650</v>
      </c>
      <c r="K2114" s="29">
        <v>19.41</v>
      </c>
      <c r="L2114" s="29">
        <v>-5.24</v>
      </c>
      <c r="M2114" s="30">
        <f>IFERROR(VLOOKUP($A2114,HeadJournal!$A$1:$J$890,COLUMN(HeadJournal!I$1),0)*($K2114+$L2114)/(SUMIF($A:$A,$A2114,$K:$K)+SUMIF($A:$A,$A2114,$L:$L)),0)</f>
        <v>0</v>
      </c>
      <c r="N2114" s="30">
        <f>IFERROR((VLOOKUP($A2114,HeadJournal!$A$1:$K$890,COLUMN(HeadJournal!K$1),0)-VLOOKUP($A2114,HeadJournal!$A$1:$K$890,COLUMN(HeadJournal!J$1),0))*($K2114+$L2114)/(SUMIF($A:$A,$A2114,$K:$K)+SUMIF($A:$A,$A2114,$L:$L)),0)</f>
        <v>-2.5127004157026746E-15</v>
      </c>
      <c r="O2114" s="30">
        <f>IFERROR((VLOOKUP($A2114,HeadJournal!$A$1:$L$890,COLUMN(HeadJournal!L$1),0)*($K2114+$L2114)/(SUMIF($A:$A,$A2114,$K:$K)+SUMIF($A:$A,$A2114,$L:$L)))/VLOOKUP($A2114,HeadJournal!$A$1:$L$890,COLUMN(HeadJournal!H$1),0),0)</f>
        <v>1.2261840467053977</v>
      </c>
      <c r="P2114" s="30">
        <f>IFERROR(SUM(K2114:O2114)*VLOOKUP($A2114,HeadJournal!$A$1:$L$890,COLUMN(HeadJournal!H$1),0),0)</f>
        <v>1671.6895131003353</v>
      </c>
      <c r="Q2114" s="29">
        <v>2500</v>
      </c>
      <c r="R2114" s="31">
        <v>45221</v>
      </c>
      <c r="S2114" s="31" t="s">
        <v>3121</v>
      </c>
      <c r="T2114" s="95" t="str">
        <f t="shared" si="165"/>
        <v>2023 10</v>
      </c>
      <c r="U2114" s="32">
        <f t="shared" si="167"/>
        <v>828.31048689966474</v>
      </c>
      <c r="V2114" s="22">
        <f t="shared" si="168"/>
        <v>0.49549302092795344</v>
      </c>
      <c r="X2114" s="33"/>
      <c r="Y2114" s="33"/>
    </row>
    <row r="2115" spans="1:25" x14ac:dyDescent="0.2">
      <c r="A2115" s="93" t="s">
        <v>937</v>
      </c>
      <c r="B2115" s="94" t="str">
        <f>IFERROR(VLOOKUP($A2115,HeadJournal!$A$1:$NTR$890,COLUMN(HeadJournal!B$1),0),"")</f>
        <v>710000983587</v>
      </c>
      <c r="C2115" s="94" t="str">
        <f>IFERROR(VLOOKUP($A2115,HeadJournal!$A$1:$NTR$890,COLUMN(HeadJournal!C$1),0),"")</f>
        <v>iHerb_MH DLE7202</v>
      </c>
      <c r="D2115" s="125" t="str">
        <f>IFERROR(VLOOKUP($A2115,HeadJournal!$A$1:$NTR$890,COLUMN(HeadJournal!D$1),0),"")</f>
        <v>Доставлен</v>
      </c>
      <c r="E2115" s="95">
        <f>IFERROR(VLOOKUP($A2115,HeadJournal!$A$1:$NTR$890,COLUMN(HeadJournal!G$1),0),"")</f>
        <v>45182</v>
      </c>
      <c r="F2115" s="95" t="str">
        <f t="shared" si="164"/>
        <v>2023 09</v>
      </c>
      <c r="G2115" s="96" t="s">
        <v>5</v>
      </c>
      <c r="H2115" s="160" t="str">
        <f>RIGHT(Journal!$J2115,9)</f>
        <v>NOW-03776</v>
      </c>
      <c r="I2115" s="96" t="str">
        <f t="shared" si="166"/>
        <v>NOW Foods</v>
      </c>
      <c r="J2115" s="97" t="s">
        <v>650</v>
      </c>
      <c r="K2115" s="29">
        <v>19.41</v>
      </c>
      <c r="L2115" s="29">
        <v>-5.24</v>
      </c>
      <c r="M2115" s="30">
        <f>IFERROR(VLOOKUP($A2115,HeadJournal!$A$1:$J$890,COLUMN(HeadJournal!I$1),0)*($K2115+$L2115)/(SUMIF($A:$A,$A2115,$K:$K)+SUMIF($A:$A,$A2115,$L:$L)),0)</f>
        <v>0</v>
      </c>
      <c r="N2115" s="30">
        <f>IFERROR((VLOOKUP($A2115,HeadJournal!$A$1:$K$890,COLUMN(HeadJournal!K$1),0)-VLOOKUP($A2115,HeadJournal!$A$1:$K$890,COLUMN(HeadJournal!J$1),0))*($K2115+$L2115)/(SUMIF($A:$A,$A2115,$K:$K)+SUMIF($A:$A,$A2115,$L:$L)),0)</f>
        <v>-2.5127004157026746E-15</v>
      </c>
      <c r="O2115" s="30">
        <f>IFERROR((VLOOKUP($A2115,HeadJournal!$A$1:$L$890,COLUMN(HeadJournal!L$1),0)*($K2115+$L2115)/(SUMIF($A:$A,$A2115,$K:$K)+SUMIF($A:$A,$A2115,$L:$L)))/VLOOKUP($A2115,HeadJournal!$A$1:$L$890,COLUMN(HeadJournal!H$1),0),0)</f>
        <v>1.2261840467053977</v>
      </c>
      <c r="P2115" s="30">
        <f>IFERROR(SUM(K2115:O2115)*VLOOKUP($A2115,HeadJournal!$A$1:$L$890,COLUMN(HeadJournal!H$1),0),0)</f>
        <v>1671.6895131003353</v>
      </c>
      <c r="Q2115" s="29">
        <v>2600</v>
      </c>
      <c r="R2115" s="31">
        <v>45290</v>
      </c>
      <c r="S2115" s="31" t="s">
        <v>3121</v>
      </c>
      <c r="T2115" s="95" t="str">
        <f t="shared" si="165"/>
        <v>2023 12</v>
      </c>
      <c r="U2115" s="32">
        <f t="shared" si="167"/>
        <v>928.31048689966474</v>
      </c>
      <c r="V2115" s="22">
        <f t="shared" si="168"/>
        <v>0.55531274176507162</v>
      </c>
      <c r="X2115" s="33"/>
      <c r="Y2115" s="33"/>
    </row>
    <row r="2116" spans="1:25" x14ac:dyDescent="0.2">
      <c r="A2116" s="93" t="s">
        <v>937</v>
      </c>
      <c r="B2116" s="94" t="str">
        <f>IFERROR(VLOOKUP($A2116,HeadJournal!$A$1:$NTR$890,COLUMN(HeadJournal!B$1),0),"")</f>
        <v>710000983587</v>
      </c>
      <c r="C2116" s="94" t="str">
        <f>IFERROR(VLOOKUP($A2116,HeadJournal!$A$1:$NTR$890,COLUMN(HeadJournal!C$1),0),"")</f>
        <v>iHerb_MH DLE7202</v>
      </c>
      <c r="D2116" s="125" t="str">
        <f>IFERROR(VLOOKUP($A2116,HeadJournal!$A$1:$NTR$890,COLUMN(HeadJournal!D$1),0),"")</f>
        <v>Доставлен</v>
      </c>
      <c r="E2116" s="95">
        <f>IFERROR(VLOOKUP($A2116,HeadJournal!$A$1:$NTR$890,COLUMN(HeadJournal!G$1),0),"")</f>
        <v>45182</v>
      </c>
      <c r="F2116" s="95" t="str">
        <f t="shared" ref="F2116:F2179" si="169">IFERROR(TEXT(E2116, "ГГГГ ММ"),"")</f>
        <v>2023 09</v>
      </c>
      <c r="G2116" s="96" t="s">
        <v>6</v>
      </c>
      <c r="H2116" s="160" t="str">
        <f>RIGHT(Journal!$J2116,9)</f>
        <v>NOW-02035</v>
      </c>
      <c r="I2116" s="96" t="str">
        <f t="shared" si="166"/>
        <v>NOW Foods</v>
      </c>
      <c r="J2116" s="97" t="s">
        <v>939</v>
      </c>
      <c r="K2116" s="29">
        <v>16.8</v>
      </c>
      <c r="L2116" s="29">
        <v>-5.04</v>
      </c>
      <c r="M2116" s="30">
        <f>IFERROR(VLOOKUP($A2116,HeadJournal!$A$1:$J$890,COLUMN(HeadJournal!I$1),0)*($K2116+$L2116)/(SUMIF($A:$A,$A2116,$K:$K)+SUMIF($A:$A,$A2116,$L:$L)),0)</f>
        <v>0</v>
      </c>
      <c r="N2116" s="30">
        <f>IFERROR((VLOOKUP($A2116,HeadJournal!$A$1:$K$890,COLUMN(HeadJournal!K$1),0)-VLOOKUP($A2116,HeadJournal!$A$1:$K$890,COLUMN(HeadJournal!J$1),0))*($K2116+$L2116)/(SUMIF($A:$A,$A2116,$K:$K)+SUMIF($A:$A,$A2116,$L:$L)),0)</f>
        <v>-2.0853462871322131E-15</v>
      </c>
      <c r="O2116" s="30">
        <f>IFERROR((VLOOKUP($A2116,HeadJournal!$A$1:$L$890,COLUMN(HeadJournal!L$1),0)*($K2116+$L2116)/(SUMIF($A:$A,$A2116,$K:$K)+SUMIF($A:$A,$A2116,$L:$L)))/VLOOKUP($A2116,HeadJournal!$A$1:$L$890,COLUMN(HeadJournal!H$1),0),0)</f>
        <v>1.0176375715776627</v>
      </c>
      <c r="P2116" s="30">
        <f>IFERROR(SUM(K2116:O2116)*VLOOKUP($A2116,HeadJournal!$A$1:$L$890,COLUMN(HeadJournal!H$1),0),0)</f>
        <v>1387.3725246337292</v>
      </c>
      <c r="Q2116" s="29">
        <v>2200</v>
      </c>
      <c r="R2116" s="31">
        <v>45239</v>
      </c>
      <c r="S2116" s="31" t="s">
        <v>3121</v>
      </c>
      <c r="T2116" s="95" t="str">
        <f t="shared" ref="T2116:T2179" si="170">IF(R2116="","",TEXT(R2116,"ГГГГ ММ"))</f>
        <v>2023 11</v>
      </c>
      <c r="U2116" s="32">
        <f t="shared" si="167"/>
        <v>812.6274753662708</v>
      </c>
      <c r="V2116" s="22">
        <f t="shared" si="168"/>
        <v>0.58573127327918439</v>
      </c>
      <c r="X2116" s="33"/>
      <c r="Y2116" s="33"/>
    </row>
    <row r="2117" spans="1:25" x14ac:dyDescent="0.2">
      <c r="A2117" s="93" t="s">
        <v>937</v>
      </c>
      <c r="B2117" s="94" t="str">
        <f>IFERROR(VLOOKUP($A2117,HeadJournal!$A$1:$NTR$890,COLUMN(HeadJournal!B$1),0),"")</f>
        <v>710000983587</v>
      </c>
      <c r="C2117" s="94" t="str">
        <f>IFERROR(VLOOKUP($A2117,HeadJournal!$A$1:$NTR$890,COLUMN(HeadJournal!C$1),0),"")</f>
        <v>iHerb_MH DLE7202</v>
      </c>
      <c r="D2117" s="125" t="str">
        <f>IFERROR(VLOOKUP($A2117,HeadJournal!$A$1:$NTR$890,COLUMN(HeadJournal!D$1),0),"")</f>
        <v>Доставлен</v>
      </c>
      <c r="E2117" s="95">
        <f>IFERROR(VLOOKUP($A2117,HeadJournal!$A$1:$NTR$890,COLUMN(HeadJournal!G$1),0),"")</f>
        <v>45182</v>
      </c>
      <c r="F2117" s="95" t="str">
        <f t="shared" si="169"/>
        <v>2023 09</v>
      </c>
      <c r="G2117" s="96" t="s">
        <v>5</v>
      </c>
      <c r="H2117" s="160" t="str">
        <f>RIGHT(Journal!$J2117,9)</f>
        <v>NOW-04620</v>
      </c>
      <c r="I2117" s="96" t="str">
        <f t="shared" si="166"/>
        <v>NOW Foods</v>
      </c>
      <c r="J2117" s="97" t="s">
        <v>277</v>
      </c>
      <c r="K2117" s="29">
        <v>7.74</v>
      </c>
      <c r="L2117" s="29">
        <v>-2.09</v>
      </c>
      <c r="M2117" s="30">
        <f>IFERROR(VLOOKUP($A2117,HeadJournal!$A$1:$J$890,COLUMN(HeadJournal!I$1),0)*($K2117+$L2117)/(SUMIF($A:$A,$A2117,$K:$K)+SUMIF($A:$A,$A2117,$L:$L)),0)</f>
        <v>0</v>
      </c>
      <c r="N2117" s="30">
        <f>IFERROR((VLOOKUP($A2117,HeadJournal!$A$1:$K$890,COLUMN(HeadJournal!K$1),0)-VLOOKUP($A2117,HeadJournal!$A$1:$K$890,COLUMN(HeadJournal!J$1),0))*($K2117+$L2117)/(SUMIF($A:$A,$A2117,$K:$K)+SUMIF($A:$A,$A2117,$L:$L)),0)</f>
        <v>-1.0018883097191329E-15</v>
      </c>
      <c r="O2117" s="30">
        <f>IFERROR((VLOOKUP($A2117,HeadJournal!$A$1:$L$890,COLUMN(HeadJournal!L$1),0)*($K2117+$L2117)/(SUMIF($A:$A,$A2117,$K:$K)+SUMIF($A:$A,$A2117,$L:$L)))/VLOOKUP($A2117,HeadJournal!$A$1:$L$890,COLUMN(HeadJournal!H$1),0),0)</f>
        <v>0.48891601015423419</v>
      </c>
      <c r="P2117" s="30">
        <f>IFERROR(SUM(K2117:O2117)*VLOOKUP($A2117,HeadJournal!$A$1:$L$890,COLUMN(HeadJournal!H$1),0),0)</f>
        <v>666.5522758656947</v>
      </c>
      <c r="Q2117" s="29">
        <v>1300</v>
      </c>
      <c r="R2117" s="31">
        <v>45236</v>
      </c>
      <c r="S2117" s="31" t="s">
        <v>3121</v>
      </c>
      <c r="T2117" s="95" t="str">
        <f t="shared" si="170"/>
        <v>2023 11</v>
      </c>
      <c r="U2117" s="32">
        <f t="shared" si="167"/>
        <v>633.4477241343053</v>
      </c>
      <c r="V2117" s="22">
        <f t="shared" si="168"/>
        <v>0.95033465051425359</v>
      </c>
      <c r="X2117" s="33"/>
      <c r="Y2117" s="33"/>
    </row>
    <row r="2118" spans="1:25" x14ac:dyDescent="0.2">
      <c r="A2118" s="93" t="s">
        <v>937</v>
      </c>
      <c r="B2118" s="94" t="str">
        <f>IFERROR(VLOOKUP($A2118,HeadJournal!$A$1:$NTR$890,COLUMN(HeadJournal!B$1),0),"")</f>
        <v>710000983587</v>
      </c>
      <c r="C2118" s="94" t="str">
        <f>IFERROR(VLOOKUP($A2118,HeadJournal!$A$1:$NTR$890,COLUMN(HeadJournal!C$1),0),"")</f>
        <v>iHerb_MH DLE7202</v>
      </c>
      <c r="D2118" s="125" t="str">
        <f>IFERROR(VLOOKUP($A2118,HeadJournal!$A$1:$NTR$890,COLUMN(HeadJournal!D$1),0),"")</f>
        <v>Доставлен</v>
      </c>
      <c r="E2118" s="95">
        <f>IFERROR(VLOOKUP($A2118,HeadJournal!$A$1:$NTR$890,COLUMN(HeadJournal!G$1),0),"")</f>
        <v>45182</v>
      </c>
      <c r="F2118" s="95" t="str">
        <f t="shared" si="169"/>
        <v>2023 09</v>
      </c>
      <c r="G2118" s="96" t="s">
        <v>5</v>
      </c>
      <c r="H2118" s="160" t="str">
        <f>RIGHT(Journal!$J2118,9)</f>
        <v>NOW-04620</v>
      </c>
      <c r="I2118" s="96" t="str">
        <f t="shared" si="166"/>
        <v>NOW Foods</v>
      </c>
      <c r="J2118" s="97" t="s">
        <v>277</v>
      </c>
      <c r="K2118" s="29">
        <v>7.74</v>
      </c>
      <c r="L2118" s="29">
        <v>-2.09</v>
      </c>
      <c r="M2118" s="30">
        <f>IFERROR(VLOOKUP($A2118,HeadJournal!$A$1:$J$890,COLUMN(HeadJournal!I$1),0)*($K2118+$L2118)/(SUMIF($A:$A,$A2118,$K:$K)+SUMIF($A:$A,$A2118,$L:$L)),0)</f>
        <v>0</v>
      </c>
      <c r="N2118" s="30">
        <f>IFERROR((VLOOKUP($A2118,HeadJournal!$A$1:$K$890,COLUMN(HeadJournal!K$1),0)-VLOOKUP($A2118,HeadJournal!$A$1:$K$890,COLUMN(HeadJournal!J$1),0))*($K2118+$L2118)/(SUMIF($A:$A,$A2118,$K:$K)+SUMIF($A:$A,$A2118,$L:$L)),0)</f>
        <v>-1.0018883097191329E-15</v>
      </c>
      <c r="O2118" s="30">
        <f>IFERROR((VLOOKUP($A2118,HeadJournal!$A$1:$L$890,COLUMN(HeadJournal!L$1),0)*($K2118+$L2118)/(SUMIF($A:$A,$A2118,$K:$K)+SUMIF($A:$A,$A2118,$L:$L)))/VLOOKUP($A2118,HeadJournal!$A$1:$L$890,COLUMN(HeadJournal!H$1),0),0)</f>
        <v>0.48891601015423419</v>
      </c>
      <c r="P2118" s="30">
        <f>IFERROR(SUM(K2118:O2118)*VLOOKUP($A2118,HeadJournal!$A$1:$L$890,COLUMN(HeadJournal!H$1),0),0)</f>
        <v>666.5522758656947</v>
      </c>
      <c r="Q2118" s="29">
        <v>1300</v>
      </c>
      <c r="R2118" s="31">
        <v>45266</v>
      </c>
      <c r="S2118" s="31" t="s">
        <v>3121</v>
      </c>
      <c r="T2118" s="95" t="str">
        <f t="shared" si="170"/>
        <v>2023 12</v>
      </c>
      <c r="U2118" s="32">
        <f t="shared" si="167"/>
        <v>633.4477241343053</v>
      </c>
      <c r="V2118" s="22">
        <f t="shared" si="168"/>
        <v>0.95033465051425359</v>
      </c>
      <c r="X2118" s="33"/>
      <c r="Y2118" s="33"/>
    </row>
    <row r="2119" spans="1:25" x14ac:dyDescent="0.2">
      <c r="A2119" s="93" t="s">
        <v>940</v>
      </c>
      <c r="B2119" s="94" t="str">
        <f>IFERROR(VLOOKUP($A2119,HeadJournal!$A$1:$NTR$890,COLUMN(HeadJournal!B$1),0),"")</f>
        <v>710002013499</v>
      </c>
      <c r="C2119" s="94" t="str">
        <f>IFERROR(VLOOKUP($A2119,HeadJournal!$A$1:$NTR$890,COLUMN(HeadJournal!C$1),0),"")</f>
        <v>iHerb_AV CYG0792</v>
      </c>
      <c r="D2119" s="125" t="str">
        <f>IFERROR(VLOOKUP($A2119,HeadJournal!$A$1:$NTR$890,COLUMN(HeadJournal!D$1),0),"")</f>
        <v>Доставлен</v>
      </c>
      <c r="E2119" s="95">
        <f>IFERROR(VLOOKUP($A2119,HeadJournal!$A$1:$NTR$890,COLUMN(HeadJournal!G$1),0),"")</f>
        <v>45177</v>
      </c>
      <c r="F2119" s="95" t="str">
        <f t="shared" si="169"/>
        <v>2023 09</v>
      </c>
      <c r="G2119" s="96" t="s">
        <v>6</v>
      </c>
      <c r="H2119" s="160" t="str">
        <f>RIGHT(Journal!$J2119,9)</f>
        <v>BSN-00521</v>
      </c>
      <c r="I2119" s="96" t="str">
        <f t="shared" si="166"/>
        <v>BSN</v>
      </c>
      <c r="J2119" s="97" t="s">
        <v>941</v>
      </c>
      <c r="K2119" s="29">
        <v>78.959999999999994</v>
      </c>
      <c r="L2119" s="29">
        <v>-3.95</v>
      </c>
      <c r="M2119" s="30">
        <f>IFERROR(VLOOKUP($A2119,HeadJournal!$A$1:$J$890,COLUMN(HeadJournal!I$1),0)*($K2119+$L2119)/(SUMIF($A:$A,$A2119,$K:$K)+SUMIF($A:$A,$A2119,$L:$L)),0)</f>
        <v>-4.63</v>
      </c>
      <c r="N2119" s="30">
        <f>IFERROR((VLOOKUP($A2119,HeadJournal!$A$1:$K$890,COLUMN(HeadJournal!K$1),0)-VLOOKUP($A2119,HeadJournal!$A$1:$K$890,COLUMN(HeadJournal!J$1),0))*($K2119+$L2119)/(SUMIF($A:$A,$A2119,$K:$K)+SUMIF($A:$A,$A2119,$L:$L)),0)</f>
        <v>0</v>
      </c>
      <c r="O2119" s="30">
        <f>IFERROR((VLOOKUP($A2119,HeadJournal!$A$1:$L$890,COLUMN(HeadJournal!L$1),0)*($K2119+$L2119)/(SUMIF($A:$A,$A2119,$K:$K)+SUMIF($A:$A,$A2119,$L:$L)))/VLOOKUP($A2119,HeadJournal!$A$1:$L$890,COLUMN(HeadJournal!H$1),0),0)</f>
        <v>4.0226825146447496</v>
      </c>
      <c r="P2119" s="30">
        <f>IFERROR(SUM(K2119:O2119)*VLOOKUP($A2119,HeadJournal!$A$1:$L$890,COLUMN(HeadJournal!H$1),0),0)</f>
        <v>8005.5087499999991</v>
      </c>
      <c r="Q2119" s="29">
        <v>9500</v>
      </c>
      <c r="R2119" s="31">
        <v>45200</v>
      </c>
      <c r="S2119" s="31" t="s">
        <v>3121</v>
      </c>
      <c r="T2119" s="95" t="str">
        <f t="shared" si="170"/>
        <v>2023 10</v>
      </c>
      <c r="U2119" s="32">
        <f t="shared" si="167"/>
        <v>1494.4912500000009</v>
      </c>
      <c r="V2119" s="22">
        <f t="shared" si="168"/>
        <v>0.18668285760102393</v>
      </c>
      <c r="X2119" s="33"/>
      <c r="Y2119" s="33"/>
    </row>
    <row r="2120" spans="1:25" x14ac:dyDescent="0.2">
      <c r="A2120" s="93" t="s">
        <v>940</v>
      </c>
      <c r="B2120" s="94" t="str">
        <f>IFERROR(VLOOKUP($A2120,HeadJournal!$A$1:$NTR$890,COLUMN(HeadJournal!B$1),0),"")</f>
        <v>710002013499</v>
      </c>
      <c r="C2120" s="94" t="str">
        <f>IFERROR(VLOOKUP($A2120,HeadJournal!$A$1:$NTR$890,COLUMN(HeadJournal!C$1),0),"")</f>
        <v>iHerb_AV CYG0792</v>
      </c>
      <c r="D2120" s="125" t="str">
        <f>IFERROR(VLOOKUP($A2120,HeadJournal!$A$1:$NTR$890,COLUMN(HeadJournal!D$1),0),"")</f>
        <v>Доставлен</v>
      </c>
      <c r="E2120" s="95">
        <f>IFERROR(VLOOKUP($A2120,HeadJournal!$A$1:$NTR$890,COLUMN(HeadJournal!G$1),0),"")</f>
        <v>45177</v>
      </c>
      <c r="F2120" s="95" t="str">
        <f t="shared" si="169"/>
        <v>2023 09</v>
      </c>
      <c r="G2120" s="96" t="s">
        <v>6</v>
      </c>
      <c r="H2120" s="160" t="str">
        <f>RIGHT(Journal!$J2120,9)</f>
        <v>BSN-00521</v>
      </c>
      <c r="I2120" s="96" t="str">
        <f t="shared" si="166"/>
        <v>BSN</v>
      </c>
      <c r="J2120" s="97" t="s">
        <v>941</v>
      </c>
      <c r="K2120" s="29">
        <v>78.959999999999994</v>
      </c>
      <c r="L2120" s="29">
        <v>-3.95</v>
      </c>
      <c r="M2120" s="30">
        <f>IFERROR(VLOOKUP($A2120,HeadJournal!$A$1:$J$890,COLUMN(HeadJournal!I$1),0)*($K2120+$L2120)/(SUMIF($A:$A,$A2120,$K:$K)+SUMIF($A:$A,$A2120,$L:$L)),0)</f>
        <v>-4.63</v>
      </c>
      <c r="N2120" s="30">
        <f>IFERROR((VLOOKUP($A2120,HeadJournal!$A$1:$K$890,COLUMN(HeadJournal!K$1),0)-VLOOKUP($A2120,HeadJournal!$A$1:$K$890,COLUMN(HeadJournal!J$1),0))*($K2120+$L2120)/(SUMIF($A:$A,$A2120,$K:$K)+SUMIF($A:$A,$A2120,$L:$L)),0)</f>
        <v>0</v>
      </c>
      <c r="O2120" s="30">
        <f>IFERROR((VLOOKUP($A2120,HeadJournal!$A$1:$L$890,COLUMN(HeadJournal!L$1),0)*($K2120+$L2120)/(SUMIF($A:$A,$A2120,$K:$K)+SUMIF($A:$A,$A2120,$L:$L)))/VLOOKUP($A2120,HeadJournal!$A$1:$L$890,COLUMN(HeadJournal!H$1),0),0)</f>
        <v>4.0226825146447496</v>
      </c>
      <c r="P2120" s="30">
        <f>IFERROR(SUM(K2120:O2120)*VLOOKUP($A2120,HeadJournal!$A$1:$L$890,COLUMN(HeadJournal!H$1),0),0)</f>
        <v>8005.5087499999991</v>
      </c>
      <c r="Q2120" s="29">
        <v>9500</v>
      </c>
      <c r="R2120" s="31">
        <v>45200</v>
      </c>
      <c r="S2120" s="31" t="s">
        <v>3121</v>
      </c>
      <c r="T2120" s="95" t="str">
        <f t="shared" si="170"/>
        <v>2023 10</v>
      </c>
      <c r="U2120" s="32">
        <f t="shared" si="167"/>
        <v>1494.4912500000009</v>
      </c>
      <c r="V2120" s="22">
        <f t="shared" si="168"/>
        <v>0.18668285760102393</v>
      </c>
      <c r="X2120" s="33"/>
      <c r="Y2120" s="33"/>
    </row>
    <row r="2121" spans="1:25" x14ac:dyDescent="0.2">
      <c r="A2121" s="93" t="s">
        <v>942</v>
      </c>
      <c r="B2121" s="94" t="str">
        <f>IFERROR(VLOOKUP($A2121,HeadJournal!$A$1:$NTR$890,COLUMN(HeadJournal!B$1),0),"")</f>
        <v>710000982348</v>
      </c>
      <c r="C2121" s="94" t="str">
        <f>IFERROR(VLOOKUP($A2121,HeadJournal!$A$1:$NTR$890,COLUMN(HeadJournal!C$1),0),"")</f>
        <v>iHerb_AV CYG0792</v>
      </c>
      <c r="D2121" s="125" t="str">
        <f>IFERROR(VLOOKUP($A2121,HeadJournal!$A$1:$NTR$890,COLUMN(HeadJournal!D$1),0),"")</f>
        <v>Доставлен</v>
      </c>
      <c r="E2121" s="95">
        <f>IFERROR(VLOOKUP($A2121,HeadJournal!$A$1:$NTR$890,COLUMN(HeadJournal!G$1),0),"")</f>
        <v>45181</v>
      </c>
      <c r="F2121" s="95" t="str">
        <f t="shared" si="169"/>
        <v>2023 09</v>
      </c>
      <c r="G2121" s="96" t="s">
        <v>5</v>
      </c>
      <c r="H2121" s="160" t="str">
        <f>RIGHT(Journal!$J2121,9)</f>
        <v>AGE-00852</v>
      </c>
      <c r="I2121" s="96" t="str">
        <f t="shared" si="166"/>
        <v>Codeage</v>
      </c>
      <c r="J2121" s="97" t="s">
        <v>943</v>
      </c>
      <c r="K2121" s="29">
        <v>29.5</v>
      </c>
      <c r="L2121" s="29">
        <v>0</v>
      </c>
      <c r="M2121" s="30">
        <f>IFERROR(VLOOKUP($A2121,HeadJournal!$A$1:$J$890,COLUMN(HeadJournal!I$1),0)*($K2121+$L2121)/(SUMIF($A:$A,$A2121,$K:$K)+SUMIF($A:$A,$A2121,$L:$L)),0)</f>
        <v>-0.57745008482317639</v>
      </c>
      <c r="N2121" s="30">
        <f>IFERROR((VLOOKUP($A2121,HeadJournal!$A$1:$K$890,COLUMN(HeadJournal!K$1),0)-VLOOKUP($A2121,HeadJournal!$A$1:$K$890,COLUMN(HeadJournal!J$1),0))*($K2121+$L2121)/(SUMIF($A:$A,$A2121,$K:$K)+SUMIF($A:$A,$A2121,$L:$L)),0)</f>
        <v>0</v>
      </c>
      <c r="O2121" s="30">
        <f>IFERROR((VLOOKUP($A2121,HeadJournal!$A$1:$L$890,COLUMN(HeadJournal!L$1),0)*($K2121+$L2121)/(SUMIF($A:$A,$A2121,$K:$K)+SUMIF($A:$A,$A2121,$L:$L)))/VLOOKUP($A2121,HeadJournal!$A$1:$L$890,COLUMN(HeadJournal!H$1),0),0)</f>
        <v>2.670780639142357</v>
      </c>
      <c r="P2121" s="30">
        <f>IFERROR(SUM(K2121:O2121)*VLOOKUP($A2121,HeadJournal!$A$1:$L$890,COLUMN(HeadJournal!H$1),0),0)</f>
        <v>3428.9255513506464</v>
      </c>
      <c r="Q2121" s="29">
        <v>3700</v>
      </c>
      <c r="R2121" s="31">
        <v>45214</v>
      </c>
      <c r="S2121" s="31" t="s">
        <v>3121</v>
      </c>
      <c r="T2121" s="95" t="str">
        <f t="shared" si="170"/>
        <v>2023 10</v>
      </c>
      <c r="U2121" s="32">
        <f t="shared" si="167"/>
        <v>271.0744486493536</v>
      </c>
      <c r="V2121" s="22">
        <f t="shared" si="168"/>
        <v>7.9055215574038329E-2</v>
      </c>
      <c r="X2121" s="33"/>
      <c r="Y2121" s="33"/>
    </row>
    <row r="2122" spans="1:25" x14ac:dyDescent="0.2">
      <c r="A2122" s="93" t="s">
        <v>942</v>
      </c>
      <c r="B2122" s="94" t="str">
        <f>IFERROR(VLOOKUP($A2122,HeadJournal!$A$1:$NTR$890,COLUMN(HeadJournal!B$1),0),"")</f>
        <v>710000982348</v>
      </c>
      <c r="C2122" s="94" t="str">
        <f>IFERROR(VLOOKUP($A2122,HeadJournal!$A$1:$NTR$890,COLUMN(HeadJournal!C$1),0),"")</f>
        <v>iHerb_AV CYG0792</v>
      </c>
      <c r="D2122" s="125" t="str">
        <f>IFERROR(VLOOKUP($A2122,HeadJournal!$A$1:$NTR$890,COLUMN(HeadJournal!D$1),0),"")</f>
        <v>Доставлен</v>
      </c>
      <c r="E2122" s="95">
        <f>IFERROR(VLOOKUP($A2122,HeadJournal!$A$1:$NTR$890,COLUMN(HeadJournal!G$1),0),"")</f>
        <v>45181</v>
      </c>
      <c r="F2122" s="95" t="str">
        <f t="shared" si="169"/>
        <v>2023 09</v>
      </c>
      <c r="G2122" s="96" t="s">
        <v>5</v>
      </c>
      <c r="H2122" s="161" t="s">
        <v>2810</v>
      </c>
      <c r="I2122" s="97" t="s">
        <v>2569</v>
      </c>
      <c r="J2122" s="97" t="s">
        <v>2811</v>
      </c>
      <c r="K2122" s="29">
        <v>15.66</v>
      </c>
      <c r="L2122" s="29">
        <v>-4.2300000000000004</v>
      </c>
      <c r="M2122" s="30">
        <f>IFERROR(VLOOKUP($A2122,HeadJournal!$A$1:$J$890,COLUMN(HeadJournal!I$1),0)*($K2122+$L2122)/(SUMIF($A:$A,$A2122,$K:$K)+SUMIF($A:$A,$A2122,$L:$L)),0)</f>
        <v>-0.22373743964504764</v>
      </c>
      <c r="N2122" s="30">
        <f>IFERROR((VLOOKUP($A2122,HeadJournal!$A$1:$K$890,COLUMN(HeadJournal!K$1),0)-VLOOKUP($A2122,HeadJournal!$A$1:$K$890,COLUMN(HeadJournal!J$1),0))*($K2122+$L2122)/(SUMIF($A:$A,$A2122,$K:$K)+SUMIF($A:$A,$A2122,$L:$L)),0)</f>
        <v>0</v>
      </c>
      <c r="O2122" s="30">
        <f>IFERROR((VLOOKUP($A2122,HeadJournal!$A$1:$L$890,COLUMN(HeadJournal!L$1),0)*($K2122+$L2122)/(SUMIF($A:$A,$A2122,$K:$K)+SUMIF($A:$A,$A2122,$L:$L)))/VLOOKUP($A2122,HeadJournal!$A$1:$L$890,COLUMN(HeadJournal!H$1),0),0)</f>
        <v>1.034814328996513</v>
      </c>
      <c r="P2122" s="30">
        <f>IFERROR(SUM(K2122:O2122)*VLOOKUP($A2122,HeadJournal!$A$1:$L$890,COLUMN(HeadJournal!H$1),0),0)</f>
        <v>1328.5633576928096</v>
      </c>
      <c r="Q2122" s="29">
        <v>2200</v>
      </c>
      <c r="R2122" s="31">
        <v>45216</v>
      </c>
      <c r="S2122" s="31" t="s">
        <v>3121</v>
      </c>
      <c r="T2122" s="95" t="str">
        <f t="shared" si="170"/>
        <v>2023 10</v>
      </c>
      <c r="U2122" s="32">
        <f t="shared" si="167"/>
        <v>871.43664230719037</v>
      </c>
      <c r="V2122" s="22">
        <f t="shared" si="168"/>
        <v>0.65592403799283761</v>
      </c>
      <c r="X2122" s="33"/>
      <c r="Y2122" s="33"/>
    </row>
    <row r="2123" spans="1:25" x14ac:dyDescent="0.2">
      <c r="A2123" s="93" t="s">
        <v>942</v>
      </c>
      <c r="B2123" s="94" t="str">
        <f>IFERROR(VLOOKUP($A2123,HeadJournal!$A$1:$NTR$890,COLUMN(HeadJournal!B$1),0),"")</f>
        <v>710000982348</v>
      </c>
      <c r="C2123" s="94" t="str">
        <f>IFERROR(VLOOKUP($A2123,HeadJournal!$A$1:$NTR$890,COLUMN(HeadJournal!C$1),0),"")</f>
        <v>iHerb_AV CYG0792</v>
      </c>
      <c r="D2123" s="125" t="str">
        <f>IFERROR(VLOOKUP($A2123,HeadJournal!$A$1:$NTR$890,COLUMN(HeadJournal!D$1),0),"")</f>
        <v>Доставлен</v>
      </c>
      <c r="E2123" s="95">
        <f>IFERROR(VLOOKUP($A2123,HeadJournal!$A$1:$NTR$890,COLUMN(HeadJournal!G$1),0),"")</f>
        <v>45181</v>
      </c>
      <c r="F2123" s="95" t="str">
        <f t="shared" si="169"/>
        <v>2023 09</v>
      </c>
      <c r="G2123" s="96" t="s">
        <v>5</v>
      </c>
      <c r="H2123" s="161" t="s">
        <v>2810</v>
      </c>
      <c r="I2123" s="97" t="s">
        <v>2569</v>
      </c>
      <c r="J2123" s="97" t="s">
        <v>2811</v>
      </c>
      <c r="K2123" s="29">
        <v>15.66</v>
      </c>
      <c r="L2123" s="29">
        <v>-4.2300000000000004</v>
      </c>
      <c r="M2123" s="30">
        <f>IFERROR(VLOOKUP($A2123,HeadJournal!$A$1:$J$890,COLUMN(HeadJournal!I$1),0)*($K2123+$L2123)/(SUMIF($A:$A,$A2123,$K:$K)+SUMIF($A:$A,$A2123,$L:$L)),0)</f>
        <v>-0.22373743964504764</v>
      </c>
      <c r="N2123" s="30">
        <f>IFERROR((VLOOKUP($A2123,HeadJournal!$A$1:$K$890,COLUMN(HeadJournal!K$1),0)-VLOOKUP($A2123,HeadJournal!$A$1:$K$890,COLUMN(HeadJournal!J$1),0))*($K2123+$L2123)/(SUMIF($A:$A,$A2123,$K:$K)+SUMIF($A:$A,$A2123,$L:$L)),0)</f>
        <v>0</v>
      </c>
      <c r="O2123" s="30">
        <f>IFERROR((VLOOKUP($A2123,HeadJournal!$A$1:$L$890,COLUMN(HeadJournal!L$1),0)*($K2123+$L2123)/(SUMIF($A:$A,$A2123,$K:$K)+SUMIF($A:$A,$A2123,$L:$L)))/VLOOKUP($A2123,HeadJournal!$A$1:$L$890,COLUMN(HeadJournal!H$1),0),0)</f>
        <v>1.034814328996513</v>
      </c>
      <c r="P2123" s="30">
        <f>IFERROR(SUM(K2123:O2123)*VLOOKUP($A2123,HeadJournal!$A$1:$L$890,COLUMN(HeadJournal!H$1),0),0)</f>
        <v>1328.5633576928096</v>
      </c>
      <c r="Q2123" s="29">
        <v>2200</v>
      </c>
      <c r="R2123" s="31">
        <v>45216</v>
      </c>
      <c r="S2123" s="31" t="s">
        <v>3121</v>
      </c>
      <c r="T2123" s="95" t="str">
        <f t="shared" si="170"/>
        <v>2023 10</v>
      </c>
      <c r="U2123" s="32">
        <f t="shared" si="167"/>
        <v>871.43664230719037</v>
      </c>
      <c r="V2123" s="22">
        <f t="shared" si="168"/>
        <v>0.65592403799283761</v>
      </c>
      <c r="X2123" s="33"/>
      <c r="Y2123" s="33"/>
    </row>
    <row r="2124" spans="1:25" x14ac:dyDescent="0.2">
      <c r="A2124" s="93" t="s">
        <v>942</v>
      </c>
      <c r="B2124" s="94" t="str">
        <f>IFERROR(VLOOKUP($A2124,HeadJournal!$A$1:$NTR$890,COLUMN(HeadJournal!B$1),0),"")</f>
        <v>710000982348</v>
      </c>
      <c r="C2124" s="94" t="str">
        <f>IFERROR(VLOOKUP($A2124,HeadJournal!$A$1:$NTR$890,COLUMN(HeadJournal!C$1),0),"")</f>
        <v>iHerb_AV CYG0792</v>
      </c>
      <c r="D2124" s="125" t="str">
        <f>IFERROR(VLOOKUP($A2124,HeadJournal!$A$1:$NTR$890,COLUMN(HeadJournal!D$1),0),"")</f>
        <v>Доставлен</v>
      </c>
      <c r="E2124" s="95">
        <f>IFERROR(VLOOKUP($A2124,HeadJournal!$A$1:$NTR$890,COLUMN(HeadJournal!G$1),0),"")</f>
        <v>45181</v>
      </c>
      <c r="F2124" s="95" t="str">
        <f t="shared" si="169"/>
        <v>2023 09</v>
      </c>
      <c r="G2124" s="96" t="s">
        <v>5</v>
      </c>
      <c r="H2124" s="161" t="s">
        <v>2462</v>
      </c>
      <c r="I2124" s="97" t="s">
        <v>2005</v>
      </c>
      <c r="J2124" s="97" t="s">
        <v>2463</v>
      </c>
      <c r="K2124" s="29">
        <v>7.87</v>
      </c>
      <c r="L2124" s="29">
        <v>-2.12</v>
      </c>
      <c r="M2124" s="30">
        <f>IFERROR(VLOOKUP($A2124,HeadJournal!$A$1:$J$890,COLUMN(HeadJournal!I$1),0)*($K2124+$L2124)/(SUMIF($A:$A,$A2124,$K:$K)+SUMIF($A:$A,$A2124,$L:$L)),0)</f>
        <v>-0.11255383009265302</v>
      </c>
      <c r="N2124" s="30">
        <f>IFERROR((VLOOKUP($A2124,HeadJournal!$A$1:$K$890,COLUMN(HeadJournal!K$1),0)-VLOOKUP($A2124,HeadJournal!$A$1:$K$890,COLUMN(HeadJournal!J$1),0))*($K2124+$L2124)/(SUMIF($A:$A,$A2124,$K:$K)+SUMIF($A:$A,$A2124,$L:$L)),0)</f>
        <v>0</v>
      </c>
      <c r="O2124" s="30">
        <f>IFERROR((VLOOKUP($A2124,HeadJournal!$A$1:$L$890,COLUMN(HeadJournal!L$1),0)*($K2124+$L2124)/(SUMIF($A:$A,$A2124,$K:$K)+SUMIF($A:$A,$A2124,$L:$L)))/VLOOKUP($A2124,HeadJournal!$A$1:$L$890,COLUMN(HeadJournal!H$1),0),0)</f>
        <v>0.52057588729045945</v>
      </c>
      <c r="P2124" s="30">
        <f>IFERROR(SUM(K2124:O2124)*VLOOKUP($A2124,HeadJournal!$A$1:$L$890,COLUMN(HeadJournal!H$1),0),0)</f>
        <v>668.3498956022446</v>
      </c>
      <c r="Q2124" s="29">
        <v>1300</v>
      </c>
      <c r="R2124" s="31">
        <v>45239</v>
      </c>
      <c r="S2124" s="31" t="s">
        <v>3121</v>
      </c>
      <c r="T2124" s="95" t="str">
        <f t="shared" si="170"/>
        <v>2023 11</v>
      </c>
      <c r="U2124" s="32">
        <f t="shared" si="167"/>
        <v>631.6501043977554</v>
      </c>
      <c r="V2124" s="22">
        <f t="shared" si="168"/>
        <v>0.94508895498304923</v>
      </c>
      <c r="X2124" s="33"/>
      <c r="Y2124" s="33"/>
    </row>
    <row r="2125" spans="1:25" x14ac:dyDescent="0.2">
      <c r="A2125" s="93" t="s">
        <v>942</v>
      </c>
      <c r="B2125" s="94" t="str">
        <f>IFERROR(VLOOKUP($A2125,HeadJournal!$A$1:$NTR$890,COLUMN(HeadJournal!B$1),0),"")</f>
        <v>710000982348</v>
      </c>
      <c r="C2125" s="94" t="str">
        <f>IFERROR(VLOOKUP($A2125,HeadJournal!$A$1:$NTR$890,COLUMN(HeadJournal!C$1),0),"")</f>
        <v>iHerb_AV CYG0792</v>
      </c>
      <c r="D2125" s="125" t="str">
        <f>IFERROR(VLOOKUP($A2125,HeadJournal!$A$1:$NTR$890,COLUMN(HeadJournal!D$1),0),"")</f>
        <v>Доставлен</v>
      </c>
      <c r="E2125" s="95">
        <f>IFERROR(VLOOKUP($A2125,HeadJournal!$A$1:$NTR$890,COLUMN(HeadJournal!G$1),0),"")</f>
        <v>45181</v>
      </c>
      <c r="F2125" s="95" t="str">
        <f t="shared" si="169"/>
        <v>2023 09</v>
      </c>
      <c r="G2125" s="96" t="s">
        <v>5</v>
      </c>
      <c r="H2125" s="175" t="s">
        <v>3658</v>
      </c>
      <c r="I2125" s="176" t="s">
        <v>2005</v>
      </c>
      <c r="J2125" s="97" t="s">
        <v>3706</v>
      </c>
      <c r="K2125" s="29">
        <v>21.49</v>
      </c>
      <c r="L2125" s="29">
        <v>-5.8</v>
      </c>
      <c r="M2125" s="30">
        <f>IFERROR(VLOOKUP($A2125,HeadJournal!$A$1:$J$890,COLUMN(HeadJournal!I$1),0)*($K2125+$L2125)/(SUMIF($A:$A,$A2125,$K:$K)+SUMIF($A:$A,$A2125,$L:$L)),0)</f>
        <v>-0.30712514680934355</v>
      </c>
      <c r="N2125" s="30">
        <f>IFERROR((VLOOKUP($A2125,HeadJournal!$A$1:$K$890,COLUMN(HeadJournal!K$1),0)-VLOOKUP($A2125,HeadJournal!$A$1:$K$890,COLUMN(HeadJournal!J$1),0))*($K2125+$L2125)/(SUMIF($A:$A,$A2125,$K:$K)+SUMIF($A:$A,$A2125,$L:$L)),0)</f>
        <v>0</v>
      </c>
      <c r="O2125" s="30">
        <f>IFERROR((VLOOKUP($A2125,HeadJournal!$A$1:$L$890,COLUMN(HeadJournal!L$1),0)*($K2125+$L2125)/(SUMIF($A:$A,$A2125,$K:$K)+SUMIF($A:$A,$A2125,$L:$L)))/VLOOKUP($A2125,HeadJournal!$A$1:$L$890,COLUMN(HeadJournal!H$1),0),0)</f>
        <v>1.4204931602760533</v>
      </c>
      <c r="P2125" s="30">
        <f>IFERROR(SUM(K2125:O2125)*VLOOKUP($A2125,HeadJournal!$A$1:$L$890,COLUMN(HeadJournal!H$1),0),0)</f>
        <v>1823.7234542607332</v>
      </c>
      <c r="Q2125" s="29">
        <v>2800</v>
      </c>
      <c r="R2125" s="31">
        <v>45216</v>
      </c>
      <c r="S2125" s="31" t="s">
        <v>3121</v>
      </c>
      <c r="T2125" s="95" t="str">
        <f t="shared" si="170"/>
        <v>2023 10</v>
      </c>
      <c r="U2125" s="32">
        <f t="shared" si="167"/>
        <v>976.27654573926679</v>
      </c>
      <c r="V2125" s="22">
        <f t="shared" si="168"/>
        <v>0.53532049689793093</v>
      </c>
      <c r="X2125" s="33"/>
      <c r="Y2125" s="33"/>
    </row>
    <row r="2126" spans="1:25" x14ac:dyDescent="0.2">
      <c r="A2126" s="93" t="s">
        <v>942</v>
      </c>
      <c r="B2126" s="94" t="str">
        <f>IFERROR(VLOOKUP($A2126,HeadJournal!$A$1:$NTR$890,COLUMN(HeadJournal!B$1),0),"")</f>
        <v>710000982348</v>
      </c>
      <c r="C2126" s="94" t="str">
        <f>IFERROR(VLOOKUP($A2126,HeadJournal!$A$1:$NTR$890,COLUMN(HeadJournal!C$1),0),"")</f>
        <v>iHerb_AV CYG0792</v>
      </c>
      <c r="D2126" s="125" t="str">
        <f>IFERROR(VLOOKUP($A2126,HeadJournal!$A$1:$NTR$890,COLUMN(HeadJournal!D$1),0),"")</f>
        <v>Доставлен</v>
      </c>
      <c r="E2126" s="95">
        <f>IFERROR(VLOOKUP($A2126,HeadJournal!$A$1:$NTR$890,COLUMN(HeadJournal!G$1),0),"")</f>
        <v>45181</v>
      </c>
      <c r="F2126" s="95" t="str">
        <f t="shared" si="169"/>
        <v>2023 09</v>
      </c>
      <c r="G2126" s="96" t="s">
        <v>5</v>
      </c>
      <c r="H2126" s="175" t="s">
        <v>3658</v>
      </c>
      <c r="I2126" s="176" t="s">
        <v>2005</v>
      </c>
      <c r="J2126" s="97" t="s">
        <v>3706</v>
      </c>
      <c r="K2126" s="29">
        <v>21.49</v>
      </c>
      <c r="L2126" s="29">
        <v>-5.8</v>
      </c>
      <c r="M2126" s="30">
        <f>IFERROR(VLOOKUP($A2126,HeadJournal!$A$1:$J$890,COLUMN(HeadJournal!I$1),0)*($K2126+$L2126)/(SUMIF($A:$A,$A2126,$K:$K)+SUMIF($A:$A,$A2126,$L:$L)),0)</f>
        <v>-0.30712514680934355</v>
      </c>
      <c r="N2126" s="30">
        <f>IFERROR((VLOOKUP($A2126,HeadJournal!$A$1:$K$890,COLUMN(HeadJournal!K$1),0)-VLOOKUP($A2126,HeadJournal!$A$1:$K$890,COLUMN(HeadJournal!J$1),0))*($K2126+$L2126)/(SUMIF($A:$A,$A2126,$K:$K)+SUMIF($A:$A,$A2126,$L:$L)),0)</f>
        <v>0</v>
      </c>
      <c r="O2126" s="30">
        <f>IFERROR((VLOOKUP($A2126,HeadJournal!$A$1:$L$890,COLUMN(HeadJournal!L$1),0)*($K2126+$L2126)/(SUMIF($A:$A,$A2126,$K:$K)+SUMIF($A:$A,$A2126,$L:$L)))/VLOOKUP($A2126,HeadJournal!$A$1:$L$890,COLUMN(HeadJournal!H$1),0),0)</f>
        <v>1.4204931602760533</v>
      </c>
      <c r="P2126" s="30">
        <f>IFERROR(SUM(K2126:O2126)*VLOOKUP($A2126,HeadJournal!$A$1:$L$890,COLUMN(HeadJournal!H$1),0),0)</f>
        <v>1823.7234542607332</v>
      </c>
      <c r="Q2126" s="29">
        <v>2800</v>
      </c>
      <c r="R2126" s="31">
        <v>45216</v>
      </c>
      <c r="S2126" s="31" t="s">
        <v>3121</v>
      </c>
      <c r="T2126" s="95" t="str">
        <f t="shared" si="170"/>
        <v>2023 10</v>
      </c>
      <c r="U2126" s="32">
        <f t="shared" si="167"/>
        <v>976.27654573926679</v>
      </c>
      <c r="V2126" s="22">
        <f t="shared" si="168"/>
        <v>0.53532049689793093</v>
      </c>
      <c r="X2126" s="33"/>
      <c r="Y2126" s="33"/>
    </row>
    <row r="2127" spans="1:25" x14ac:dyDescent="0.2">
      <c r="A2127" s="93" t="s">
        <v>942</v>
      </c>
      <c r="B2127" s="94" t="str">
        <f>IFERROR(VLOOKUP($A2127,HeadJournal!$A$1:$NTR$890,COLUMN(HeadJournal!B$1),0),"")</f>
        <v>710000982348</v>
      </c>
      <c r="C2127" s="94" t="str">
        <f>IFERROR(VLOOKUP($A2127,HeadJournal!$A$1:$NTR$890,COLUMN(HeadJournal!C$1),0),"")</f>
        <v>iHerb_AV CYG0792</v>
      </c>
      <c r="D2127" s="125" t="str">
        <f>IFERROR(VLOOKUP($A2127,HeadJournal!$A$1:$NTR$890,COLUMN(HeadJournal!D$1),0),"")</f>
        <v>Доставлен</v>
      </c>
      <c r="E2127" s="95">
        <f>IFERROR(VLOOKUP($A2127,HeadJournal!$A$1:$NTR$890,COLUMN(HeadJournal!G$1),0),"")</f>
        <v>45181</v>
      </c>
      <c r="F2127" s="95" t="str">
        <f t="shared" si="169"/>
        <v>2023 09</v>
      </c>
      <c r="G2127" s="96" t="s">
        <v>7</v>
      </c>
      <c r="H2127" s="160" t="str">
        <f>RIGHT(Journal!$J2127,9)</f>
        <v>PTF-10431</v>
      </c>
      <c r="I2127" s="96" t="str">
        <f t="shared" ref="I2127:I2189" si="171">IFERROR(LEFT(J2127,FIND(",",J2127)-1),"")</f>
        <v>Planetary Herbals</v>
      </c>
      <c r="J2127" s="97" t="s">
        <v>944</v>
      </c>
      <c r="K2127" s="29">
        <v>16.46</v>
      </c>
      <c r="L2127" s="29">
        <v>-4.4400000000000004</v>
      </c>
      <c r="M2127" s="30">
        <f>IFERROR(VLOOKUP($A2127,HeadJournal!$A$1:$J$890,COLUMN(HeadJournal!I$1),0)*($K2127+$L2127)/(SUMIF($A:$A,$A2127,$K:$K)+SUMIF($A:$A,$A2127,$L:$L)),0)</f>
        <v>-0.23528644134151119</v>
      </c>
      <c r="N2127" s="30">
        <f>IFERROR((VLOOKUP($A2127,HeadJournal!$A$1:$K$890,COLUMN(HeadJournal!K$1),0)-VLOOKUP($A2127,HeadJournal!$A$1:$K$890,COLUMN(HeadJournal!J$1),0))*($K2127+$L2127)/(SUMIF($A:$A,$A2127,$K:$K)+SUMIF($A:$A,$A2127,$L:$L)),0)</f>
        <v>0</v>
      </c>
      <c r="O2127" s="30">
        <f>IFERROR((VLOOKUP($A2127,HeadJournal!$A$1:$L$890,COLUMN(HeadJournal!L$1),0)*($K2127+$L2127)/(SUMIF($A:$A,$A2127,$K:$K)+SUMIF($A:$A,$A2127,$L:$L)))/VLOOKUP($A2127,HeadJournal!$A$1:$L$890,COLUMN(HeadJournal!H$1),0),0)</f>
        <v>1.0882299417793604</v>
      </c>
      <c r="P2127" s="30">
        <f>IFERROR(SUM(K2127:O2127)*VLOOKUP($A2127,HeadJournal!$A$1:$L$890,COLUMN(HeadJournal!H$1),0),0)</f>
        <v>1397.1418687198227</v>
      </c>
      <c r="Q2127" s="29">
        <v>2400</v>
      </c>
      <c r="R2127" s="31">
        <v>45215</v>
      </c>
      <c r="S2127" s="31" t="s">
        <v>3121</v>
      </c>
      <c r="T2127" s="95" t="str">
        <f t="shared" si="170"/>
        <v>2023 10</v>
      </c>
      <c r="U2127" s="32">
        <f t="shared" si="167"/>
        <v>1002.8581312801773</v>
      </c>
      <c r="V2127" s="22">
        <f t="shared" si="168"/>
        <v>0.71779262631294494</v>
      </c>
      <c r="X2127" s="33"/>
      <c r="Y2127" s="33"/>
    </row>
    <row r="2128" spans="1:25" x14ac:dyDescent="0.2">
      <c r="A2128" s="93" t="s">
        <v>942</v>
      </c>
      <c r="B2128" s="94" t="str">
        <f>IFERROR(VLOOKUP($A2128,HeadJournal!$A$1:$NTR$890,COLUMN(HeadJournal!B$1),0),"")</f>
        <v>710000982348</v>
      </c>
      <c r="C2128" s="94" t="str">
        <f>IFERROR(VLOOKUP($A2128,HeadJournal!$A$1:$NTR$890,COLUMN(HeadJournal!C$1),0),"")</f>
        <v>iHerb_AV CYG0792</v>
      </c>
      <c r="D2128" s="125" t="str">
        <f>IFERROR(VLOOKUP($A2128,HeadJournal!$A$1:$NTR$890,COLUMN(HeadJournal!D$1),0),"")</f>
        <v>Доставлен</v>
      </c>
      <c r="E2128" s="95">
        <f>IFERROR(VLOOKUP($A2128,HeadJournal!$A$1:$NTR$890,COLUMN(HeadJournal!G$1),0),"")</f>
        <v>45181</v>
      </c>
      <c r="F2128" s="95" t="str">
        <f t="shared" si="169"/>
        <v>2023 09</v>
      </c>
      <c r="G2128" s="96" t="s">
        <v>5</v>
      </c>
      <c r="H2128" s="160" t="str">
        <f>RIGHT(Journal!$J2128,9)</f>
        <v>SNS-01819</v>
      </c>
      <c r="I2128" s="96" t="str">
        <f t="shared" si="171"/>
        <v>Source Naturals</v>
      </c>
      <c r="J2128" s="97" t="s">
        <v>945</v>
      </c>
      <c r="K2128" s="29">
        <v>10.92</v>
      </c>
      <c r="L2128" s="29">
        <v>-2.95</v>
      </c>
      <c r="M2128" s="30">
        <f>IFERROR(VLOOKUP($A2128,HeadJournal!$A$1:$J$890,COLUMN(HeadJournal!I$1),0)*($K2128+$L2128)/(SUMIF($A:$A,$A2128,$K:$K)+SUMIF($A:$A,$A2128,$L:$L)),0)</f>
        <v>-0.15600939579799036</v>
      </c>
      <c r="N2128" s="30">
        <f>IFERROR((VLOOKUP($A2128,HeadJournal!$A$1:$K$890,COLUMN(HeadJournal!K$1),0)-VLOOKUP($A2128,HeadJournal!$A$1:$K$890,COLUMN(HeadJournal!J$1),0))*($K2128+$L2128)/(SUMIF($A:$A,$A2128,$K:$K)+SUMIF($A:$A,$A2128,$L:$L)),0)</f>
        <v>0</v>
      </c>
      <c r="O2128" s="30">
        <f>IFERROR((VLOOKUP($A2128,HeadJournal!$A$1:$L$890,COLUMN(HeadJournal!L$1),0)*($K2128+$L2128)/(SUMIF($A:$A,$A2128,$K:$K)+SUMIF($A:$A,$A2128,$L:$L)))/VLOOKUP($A2128,HeadJournal!$A$1:$L$890,COLUMN(HeadJournal!H$1),0),0)</f>
        <v>0.72156344725303667</v>
      </c>
      <c r="P2128" s="30">
        <f>IFERROR(SUM(K2128:O2128)*VLOOKUP($A2128,HeadJournal!$A$1:$L$890,COLUMN(HeadJournal!H$1),0),0)</f>
        <v>926.39107268693726</v>
      </c>
      <c r="Q2128" s="29">
        <v>1600</v>
      </c>
      <c r="R2128" s="31">
        <v>45313</v>
      </c>
      <c r="S2128" s="31" t="s">
        <v>3121</v>
      </c>
      <c r="T2128" s="95" t="str">
        <f t="shared" si="170"/>
        <v>2024 01</v>
      </c>
      <c r="U2128" s="32">
        <f t="shared" si="167"/>
        <v>673.60892731306274</v>
      </c>
      <c r="V2128" s="22">
        <f t="shared" si="168"/>
        <v>0.7271323603748725</v>
      </c>
      <c r="X2128" s="33"/>
      <c r="Y2128" s="33"/>
    </row>
    <row r="2129" spans="1:25" x14ac:dyDescent="0.2">
      <c r="A2129" s="93" t="s">
        <v>942</v>
      </c>
      <c r="B2129" s="94" t="str">
        <f>IFERROR(VLOOKUP($A2129,HeadJournal!$A$1:$NTR$890,COLUMN(HeadJournal!B$1),0),"")</f>
        <v>710000982348</v>
      </c>
      <c r="C2129" s="94" t="str">
        <f>IFERROR(VLOOKUP($A2129,HeadJournal!$A$1:$NTR$890,COLUMN(HeadJournal!C$1),0),"")</f>
        <v>iHerb_AV CYG0792</v>
      </c>
      <c r="D2129" s="125" t="str">
        <f>IFERROR(VLOOKUP($A2129,HeadJournal!$A$1:$NTR$890,COLUMN(HeadJournal!D$1),0),"")</f>
        <v>Доставлен</v>
      </c>
      <c r="E2129" s="95">
        <f>IFERROR(VLOOKUP($A2129,HeadJournal!$A$1:$NTR$890,COLUMN(HeadJournal!G$1),0),"")</f>
        <v>45181</v>
      </c>
      <c r="F2129" s="95" t="str">
        <f t="shared" si="169"/>
        <v>2023 09</v>
      </c>
      <c r="G2129" s="96" t="s">
        <v>6</v>
      </c>
      <c r="H2129" s="160" t="str">
        <f>RIGHT(Journal!$J2129,9)</f>
        <v>NOW-02035</v>
      </c>
      <c r="I2129" s="96" t="str">
        <f t="shared" si="171"/>
        <v>NOW Foods</v>
      </c>
      <c r="J2129" s="97" t="s">
        <v>939</v>
      </c>
      <c r="K2129" s="29">
        <v>16.8</v>
      </c>
      <c r="L2129" s="29">
        <v>-4.5350000000000001</v>
      </c>
      <c r="M2129" s="30">
        <f>IFERROR(VLOOKUP($A2129,HeadJournal!$A$1:$J$890,COLUMN(HeadJournal!I$1),0)*($K2129+$L2129)/(SUMIF($A:$A,$A2129,$K:$K)+SUMIF($A:$A,$A2129,$L:$L)),0)</f>
        <v>-0.24008221323241552</v>
      </c>
      <c r="N2129" s="30">
        <f>IFERROR((VLOOKUP($A2129,HeadJournal!$A$1:$K$890,COLUMN(HeadJournal!K$1),0)-VLOOKUP($A2129,HeadJournal!$A$1:$K$890,COLUMN(HeadJournal!J$1),0))*($K2129+$L2129)/(SUMIF($A:$A,$A2129,$K:$K)+SUMIF($A:$A,$A2129,$L:$L)),0)</f>
        <v>0</v>
      </c>
      <c r="O2129" s="30">
        <f>IFERROR((VLOOKUP($A2129,HeadJournal!$A$1:$L$890,COLUMN(HeadJournal!L$1),0)*($K2129+$L2129)/(SUMIF($A:$A,$A2129,$K:$K)+SUMIF($A:$A,$A2129,$L:$L)))/VLOOKUP($A2129,HeadJournal!$A$1:$L$890,COLUMN(HeadJournal!H$1),0),0)</f>
        <v>1.1104110013247799</v>
      </c>
      <c r="P2129" s="30">
        <f>IFERROR(SUM(K2129:O2129)*VLOOKUP($A2129,HeadJournal!$A$1:$L$890,COLUMN(HeadJournal!H$1),0),0)</f>
        <v>1425.619386010701</v>
      </c>
      <c r="Q2129" s="29">
        <v>2500</v>
      </c>
      <c r="R2129" s="31">
        <v>45263</v>
      </c>
      <c r="S2129" s="31" t="s">
        <v>3121</v>
      </c>
      <c r="T2129" s="95" t="str">
        <f t="shared" si="170"/>
        <v>2023 12</v>
      </c>
      <c r="U2129" s="32">
        <f t="shared" si="167"/>
        <v>1074.380613989299</v>
      </c>
      <c r="V2129" s="22">
        <f t="shared" si="168"/>
        <v>0.75362374034189417</v>
      </c>
      <c r="X2129" s="33"/>
      <c r="Y2129" s="33"/>
    </row>
    <row r="2130" spans="1:25" x14ac:dyDescent="0.2">
      <c r="A2130" s="93" t="s">
        <v>942</v>
      </c>
      <c r="B2130" s="94" t="str">
        <f>IFERROR(VLOOKUP($A2130,HeadJournal!$A$1:$NTR$890,COLUMN(HeadJournal!B$1),0),"")</f>
        <v>710000982348</v>
      </c>
      <c r="C2130" s="94" t="str">
        <f>IFERROR(VLOOKUP($A2130,HeadJournal!$A$1:$NTR$890,COLUMN(HeadJournal!C$1),0),"")</f>
        <v>iHerb_AV CYG0792</v>
      </c>
      <c r="D2130" s="125" t="str">
        <f>IFERROR(VLOOKUP($A2130,HeadJournal!$A$1:$NTR$890,COLUMN(HeadJournal!D$1),0),"")</f>
        <v>Доставлен</v>
      </c>
      <c r="E2130" s="95">
        <f>IFERROR(VLOOKUP($A2130,HeadJournal!$A$1:$NTR$890,COLUMN(HeadJournal!G$1),0),"")</f>
        <v>45181</v>
      </c>
      <c r="F2130" s="95" t="str">
        <f t="shared" si="169"/>
        <v>2023 09</v>
      </c>
      <c r="G2130" s="96" t="s">
        <v>6</v>
      </c>
      <c r="H2130" s="160" t="str">
        <f>RIGHT(Journal!$J2130,9)</f>
        <v>NOW-02035</v>
      </c>
      <c r="I2130" s="96" t="str">
        <f t="shared" si="171"/>
        <v>NOW Foods</v>
      </c>
      <c r="J2130" s="97" t="s">
        <v>939</v>
      </c>
      <c r="K2130" s="29">
        <v>16.8</v>
      </c>
      <c r="L2130" s="29">
        <v>-4.5350000000000001</v>
      </c>
      <c r="M2130" s="30">
        <f>IFERROR(VLOOKUP($A2130,HeadJournal!$A$1:$J$890,COLUMN(HeadJournal!I$1),0)*($K2130+$L2130)/(SUMIF($A:$A,$A2130,$K:$K)+SUMIF($A:$A,$A2130,$L:$L)),0)</f>
        <v>-0.24008221323241552</v>
      </c>
      <c r="N2130" s="30">
        <f>IFERROR((VLOOKUP($A2130,HeadJournal!$A$1:$K$890,COLUMN(HeadJournal!K$1),0)-VLOOKUP($A2130,HeadJournal!$A$1:$K$890,COLUMN(HeadJournal!J$1),0))*($K2130+$L2130)/(SUMIF($A:$A,$A2130,$K:$K)+SUMIF($A:$A,$A2130,$L:$L)),0)</f>
        <v>0</v>
      </c>
      <c r="O2130" s="30">
        <f>IFERROR((VLOOKUP($A2130,HeadJournal!$A$1:$L$890,COLUMN(HeadJournal!L$1),0)*($K2130+$L2130)/(SUMIF($A:$A,$A2130,$K:$K)+SUMIF($A:$A,$A2130,$L:$L)))/VLOOKUP($A2130,HeadJournal!$A$1:$L$890,COLUMN(HeadJournal!H$1),0),0)</f>
        <v>1.1104110013247799</v>
      </c>
      <c r="P2130" s="30">
        <f>IFERROR(SUM(K2130:O2130)*VLOOKUP($A2130,HeadJournal!$A$1:$L$890,COLUMN(HeadJournal!H$1),0),0)</f>
        <v>1425.619386010701</v>
      </c>
      <c r="Q2130" s="29">
        <v>2500</v>
      </c>
      <c r="R2130" s="31">
        <v>45645</v>
      </c>
      <c r="S2130" s="31" t="s">
        <v>3121</v>
      </c>
      <c r="T2130" s="95" t="str">
        <f t="shared" si="170"/>
        <v>2024 12</v>
      </c>
      <c r="U2130" s="32">
        <f t="shared" si="167"/>
        <v>1074.380613989299</v>
      </c>
      <c r="V2130" s="22">
        <f t="shared" si="168"/>
        <v>0.75362374034189417</v>
      </c>
      <c r="X2130" s="33"/>
      <c r="Y2130" s="33"/>
    </row>
    <row r="2131" spans="1:25" x14ac:dyDescent="0.2">
      <c r="A2131" s="93" t="s">
        <v>942</v>
      </c>
      <c r="B2131" s="94" t="str">
        <f>IFERROR(VLOOKUP($A2131,HeadJournal!$A$1:$NTR$890,COLUMN(HeadJournal!B$1),0),"")</f>
        <v>710000982348</v>
      </c>
      <c r="C2131" s="94" t="str">
        <f>IFERROR(VLOOKUP($A2131,HeadJournal!$A$1:$NTR$890,COLUMN(HeadJournal!C$1),0),"")</f>
        <v>iHerb_AV CYG0792</v>
      </c>
      <c r="D2131" s="125" t="str">
        <f>IFERROR(VLOOKUP($A2131,HeadJournal!$A$1:$NTR$890,COLUMN(HeadJournal!D$1),0),"")</f>
        <v>Доставлен</v>
      </c>
      <c r="E2131" s="95">
        <f>IFERROR(VLOOKUP($A2131,HeadJournal!$A$1:$NTR$890,COLUMN(HeadJournal!G$1),0),"")</f>
        <v>45181</v>
      </c>
      <c r="F2131" s="95" t="str">
        <f t="shared" si="169"/>
        <v>2023 09</v>
      </c>
      <c r="G2131" s="96" t="s">
        <v>5</v>
      </c>
      <c r="H2131" s="160" t="str">
        <f>RIGHT(Journal!$J2131,9)</f>
        <v>CEN-27452</v>
      </c>
      <c r="I2131" s="96" t="str">
        <f t="shared" si="171"/>
        <v>21st Century</v>
      </c>
      <c r="J2131" s="97" t="s">
        <v>71</v>
      </c>
      <c r="K2131" s="29">
        <v>5.84</v>
      </c>
      <c r="L2131" s="29">
        <v>-0.57999999999999996</v>
      </c>
      <c r="M2131" s="30">
        <f>IFERROR(VLOOKUP($A2131,HeadJournal!$A$1:$J$890,COLUMN(HeadJournal!I$1),0)*($K2131+$L2131)/(SUMIF($A:$A,$A2131,$K:$K)+SUMIF($A:$A,$A2131,$L:$L)),0)</f>
        <v>-0.10296228631084432</v>
      </c>
      <c r="N2131" s="30">
        <f>IFERROR((VLOOKUP($A2131,HeadJournal!$A$1:$K$890,COLUMN(HeadJournal!K$1),0)-VLOOKUP($A2131,HeadJournal!$A$1:$K$890,COLUMN(HeadJournal!J$1),0))*($K2131+$L2131)/(SUMIF($A:$A,$A2131,$K:$K)+SUMIF($A:$A,$A2131,$L:$L)),0)</f>
        <v>0</v>
      </c>
      <c r="O2131" s="30">
        <f>IFERROR((VLOOKUP($A2131,HeadJournal!$A$1:$L$890,COLUMN(HeadJournal!L$1),0)*($K2131+$L2131)/(SUMIF($A:$A,$A2131,$K:$K)+SUMIF($A:$A,$A2131,$L:$L)))/VLOOKUP($A2131,HeadJournal!$A$1:$L$890,COLUMN(HeadJournal!H$1),0),0)</f>
        <v>0.47621376819962019</v>
      </c>
      <c r="P2131" s="30">
        <f>IFERROR(SUM(K2131:O2131)*VLOOKUP($A2131,HeadJournal!$A$1:$L$890,COLUMN(HeadJournal!H$1),0),0)</f>
        <v>611.39486102048807</v>
      </c>
      <c r="Q2131" s="29">
        <v>1200</v>
      </c>
      <c r="R2131" s="31">
        <v>45518</v>
      </c>
      <c r="S2131" s="31" t="s">
        <v>3121</v>
      </c>
      <c r="T2131" s="95" t="str">
        <f t="shared" si="170"/>
        <v>2024 08</v>
      </c>
      <c r="U2131" s="32">
        <f t="shared" si="167"/>
        <v>588.60513897951193</v>
      </c>
      <c r="V2131" s="22">
        <f t="shared" si="168"/>
        <v>0.96272503500775675</v>
      </c>
      <c r="X2131" s="33"/>
      <c r="Y2131" s="33"/>
    </row>
    <row r="2132" spans="1:25" x14ac:dyDescent="0.2">
      <c r="A2132" s="93" t="s">
        <v>942</v>
      </c>
      <c r="B2132" s="94" t="str">
        <f>IFERROR(VLOOKUP($A2132,HeadJournal!$A$1:$NTR$890,COLUMN(HeadJournal!B$1),0),"")</f>
        <v>710000982348</v>
      </c>
      <c r="C2132" s="94" t="str">
        <f>IFERROR(VLOOKUP($A2132,HeadJournal!$A$1:$NTR$890,COLUMN(HeadJournal!C$1),0),"")</f>
        <v>iHerb_AV CYG0792</v>
      </c>
      <c r="D2132" s="125" t="str">
        <f>IFERROR(VLOOKUP($A2132,HeadJournal!$A$1:$NTR$890,COLUMN(HeadJournal!D$1),0),"")</f>
        <v>Доставлен</v>
      </c>
      <c r="E2132" s="95">
        <f>IFERROR(VLOOKUP($A2132,HeadJournal!$A$1:$NTR$890,COLUMN(HeadJournal!G$1),0),"")</f>
        <v>45181</v>
      </c>
      <c r="F2132" s="95" t="str">
        <f t="shared" si="169"/>
        <v>2023 09</v>
      </c>
      <c r="G2132" s="96" t="s">
        <v>5</v>
      </c>
      <c r="H2132" s="160" t="str">
        <f>RIGHT(Journal!$J2132,9)</f>
        <v>PTF-10391</v>
      </c>
      <c r="I2132" s="96" t="str">
        <f t="shared" si="171"/>
        <v>Planetary Herbals</v>
      </c>
      <c r="J2132" s="97" t="s">
        <v>946</v>
      </c>
      <c r="K2132" s="29">
        <v>19.16</v>
      </c>
      <c r="L2132" s="29">
        <v>-5.17</v>
      </c>
      <c r="M2132" s="30">
        <f>IFERROR(VLOOKUP($A2132,HeadJournal!$A$1:$J$890,COLUMN(HeadJournal!I$1),0)*($K2132+$L2132)/(SUMIF($A:$A,$A2132,$K:$K)+SUMIF($A:$A,$A2132,$L:$L)),0)</f>
        <v>-0.27384836226021142</v>
      </c>
      <c r="N2132" s="30">
        <f>IFERROR((VLOOKUP($A2132,HeadJournal!$A$1:$K$890,COLUMN(HeadJournal!K$1),0)-VLOOKUP($A2132,HeadJournal!$A$1:$K$890,COLUMN(HeadJournal!J$1),0))*($K2132+$L2132)/(SUMIF($A:$A,$A2132,$K:$K)+SUMIF($A:$A,$A2132,$L:$L)),0)</f>
        <v>0</v>
      </c>
      <c r="O2132" s="30">
        <f>IFERROR((VLOOKUP($A2132,HeadJournal!$A$1:$L$890,COLUMN(HeadJournal!L$1),0)*($K2132+$L2132)/(SUMIF($A:$A,$A2132,$K:$K)+SUMIF($A:$A,$A2132,$L:$L)))/VLOOKUP($A2132,HeadJournal!$A$1:$L$890,COLUMN(HeadJournal!H$1),0),0)</f>
        <v>1.2665837675119176</v>
      </c>
      <c r="P2132" s="30">
        <f>IFERROR(SUM(K2132:O2132)*VLOOKUP($A2132,HeadJournal!$A$1:$L$890,COLUMN(HeadJournal!H$1),0),0)</f>
        <v>1626.1243546913743</v>
      </c>
      <c r="Q2132" s="29">
        <v>2500</v>
      </c>
      <c r="R2132" s="31">
        <v>45215</v>
      </c>
      <c r="S2132" s="31" t="s">
        <v>3121</v>
      </c>
      <c r="T2132" s="95" t="str">
        <f t="shared" si="170"/>
        <v>2023 10</v>
      </c>
      <c r="U2132" s="32">
        <f t="shared" si="167"/>
        <v>873.87564530862574</v>
      </c>
      <c r="V2132" s="22">
        <f t="shared" si="168"/>
        <v>0.53739779666142473</v>
      </c>
      <c r="X2132" s="33"/>
      <c r="Y2132" s="33"/>
    </row>
    <row r="2133" spans="1:25" x14ac:dyDescent="0.2">
      <c r="A2133" s="93" t="s">
        <v>947</v>
      </c>
      <c r="B2133" s="94" t="str">
        <f>IFERROR(VLOOKUP($A2133,HeadJournal!$A$1:$NTR$890,COLUMN(HeadJournal!B$1),0),"")</f>
        <v>710000978572</v>
      </c>
      <c r="C2133" s="94" t="str">
        <f>IFERROR(VLOOKUP($A2133,HeadJournal!$A$1:$NTR$890,COLUMN(HeadJournal!C$1),0),"")</f>
        <v>iHerb_OA CZN6870</v>
      </c>
      <c r="D2133" s="125" t="str">
        <f>IFERROR(VLOOKUP($A2133,HeadJournal!$A$1:$NTR$890,COLUMN(HeadJournal!D$1),0),"")</f>
        <v>Доставлен</v>
      </c>
      <c r="E2133" s="95">
        <f>IFERROR(VLOOKUP($A2133,HeadJournal!$A$1:$NTR$890,COLUMN(HeadJournal!G$1),0),"")</f>
        <v>45180</v>
      </c>
      <c r="F2133" s="95" t="str">
        <f t="shared" si="169"/>
        <v>2023 09</v>
      </c>
      <c r="G2133" s="96" t="s">
        <v>7</v>
      </c>
      <c r="H2133" s="161" t="s">
        <v>2152</v>
      </c>
      <c r="I2133" s="97" t="s">
        <v>2153</v>
      </c>
      <c r="J2133" s="97" t="s">
        <v>2644</v>
      </c>
      <c r="K2133" s="29">
        <v>12.8</v>
      </c>
      <c r="L2133" s="29">
        <v>-3.4550000000000001</v>
      </c>
      <c r="M2133" s="30">
        <f>IFERROR(VLOOKUP($A2133,HeadJournal!$A$1:$J$890,COLUMN(HeadJournal!I$1),0)*($K2133+$L2133)/(SUMIF($A:$A,$A2133,$K:$K)+SUMIF($A:$A,$A2133,$L:$L)),0)</f>
        <v>-0.97729665071770344</v>
      </c>
      <c r="N2133" s="30">
        <f>IFERROR((VLOOKUP($A2133,HeadJournal!$A$1:$K$890,COLUMN(HeadJournal!K$1),0)-VLOOKUP($A2133,HeadJournal!$A$1:$K$890,COLUMN(HeadJournal!J$1),0))*($K2133+$L2133)/(SUMIF($A:$A,$A2133,$K:$K)+SUMIF($A:$A,$A2133,$L:$L)),0)</f>
        <v>0</v>
      </c>
      <c r="O2133" s="30">
        <f>IFERROR((VLOOKUP($A2133,HeadJournal!$A$1:$L$890,COLUMN(HeadJournal!L$1),0)*($K2133+$L2133)/(SUMIF($A:$A,$A2133,$K:$K)+SUMIF($A:$A,$A2133,$L:$L)))/VLOOKUP($A2133,HeadJournal!$A$1:$L$890,COLUMN(HeadJournal!H$1),0),0)</f>
        <v>1.4638142003457255</v>
      </c>
      <c r="P2133" s="30">
        <f>IFERROR(SUM(K2133:O2133)*VLOOKUP($A2133,HeadJournal!$A$1:$L$890,COLUMN(HeadJournal!H$1),0),0)</f>
        <v>1076.7775717703353</v>
      </c>
      <c r="Q2133" s="29"/>
      <c r="R2133" s="31"/>
      <c r="S2133" s="31"/>
      <c r="T2133" s="95" t="str">
        <f t="shared" si="170"/>
        <v/>
      </c>
      <c r="U2133" s="32">
        <f t="shared" si="167"/>
        <v>-1076.7775717703353</v>
      </c>
      <c r="V2133" s="22" t="str">
        <f t="shared" si="168"/>
        <v/>
      </c>
      <c r="X2133" s="33"/>
      <c r="Y2133" s="33"/>
    </row>
    <row r="2134" spans="1:25" x14ac:dyDescent="0.2">
      <c r="A2134" s="93" t="s">
        <v>947</v>
      </c>
      <c r="B2134" s="94" t="str">
        <f>IFERROR(VLOOKUP($A2134,HeadJournal!$A$1:$NTR$890,COLUMN(HeadJournal!B$1),0),"")</f>
        <v>710000978572</v>
      </c>
      <c r="C2134" s="94" t="str">
        <f>IFERROR(VLOOKUP($A2134,HeadJournal!$A$1:$NTR$890,COLUMN(HeadJournal!C$1),0),"")</f>
        <v>iHerb_OA CZN6870</v>
      </c>
      <c r="D2134" s="125" t="str">
        <f>IFERROR(VLOOKUP($A2134,HeadJournal!$A$1:$NTR$890,COLUMN(HeadJournal!D$1),0),"")</f>
        <v>Доставлен</v>
      </c>
      <c r="E2134" s="95">
        <f>IFERROR(VLOOKUP($A2134,HeadJournal!$A$1:$NTR$890,COLUMN(HeadJournal!G$1),0),"")</f>
        <v>45180</v>
      </c>
      <c r="F2134" s="95" t="str">
        <f t="shared" si="169"/>
        <v>2023 09</v>
      </c>
      <c r="G2134" s="96" t="s">
        <v>7</v>
      </c>
      <c r="H2134" s="161" t="s">
        <v>2152</v>
      </c>
      <c r="I2134" s="97" t="s">
        <v>2153</v>
      </c>
      <c r="J2134" s="97" t="s">
        <v>2644</v>
      </c>
      <c r="K2134" s="29">
        <v>12.8</v>
      </c>
      <c r="L2134" s="29">
        <v>-3.4550000000000001</v>
      </c>
      <c r="M2134" s="30">
        <f>IFERROR(VLOOKUP($A2134,HeadJournal!$A$1:$J$890,COLUMN(HeadJournal!I$1),0)*($K2134+$L2134)/(SUMIF($A:$A,$A2134,$K:$K)+SUMIF($A:$A,$A2134,$L:$L)),0)</f>
        <v>-0.97729665071770344</v>
      </c>
      <c r="N2134" s="30">
        <f>IFERROR((VLOOKUP($A2134,HeadJournal!$A$1:$K$890,COLUMN(HeadJournal!K$1),0)-VLOOKUP($A2134,HeadJournal!$A$1:$K$890,COLUMN(HeadJournal!J$1),0))*($K2134+$L2134)/(SUMIF($A:$A,$A2134,$K:$K)+SUMIF($A:$A,$A2134,$L:$L)),0)</f>
        <v>0</v>
      </c>
      <c r="O2134" s="30">
        <f>IFERROR((VLOOKUP($A2134,HeadJournal!$A$1:$L$890,COLUMN(HeadJournal!L$1),0)*($K2134+$L2134)/(SUMIF($A:$A,$A2134,$K:$K)+SUMIF($A:$A,$A2134,$L:$L)))/VLOOKUP($A2134,HeadJournal!$A$1:$L$890,COLUMN(HeadJournal!H$1),0),0)</f>
        <v>1.4638142003457255</v>
      </c>
      <c r="P2134" s="30">
        <f>IFERROR(SUM(K2134:O2134)*VLOOKUP($A2134,HeadJournal!$A$1:$L$890,COLUMN(HeadJournal!H$1),0),0)</f>
        <v>1076.7775717703353</v>
      </c>
      <c r="Q2134" s="29"/>
      <c r="R2134" s="31"/>
      <c r="S2134" s="31"/>
      <c r="T2134" s="95" t="str">
        <f t="shared" si="170"/>
        <v/>
      </c>
      <c r="U2134" s="32">
        <f t="shared" si="167"/>
        <v>-1076.7775717703353</v>
      </c>
      <c r="V2134" s="22" t="str">
        <f t="shared" si="168"/>
        <v/>
      </c>
      <c r="X2134" s="33"/>
      <c r="Y2134" s="33"/>
    </row>
    <row r="2135" spans="1:25" x14ac:dyDescent="0.2">
      <c r="A2135" s="93" t="s">
        <v>947</v>
      </c>
      <c r="B2135" s="94" t="str">
        <f>IFERROR(VLOOKUP($A2135,HeadJournal!$A$1:$NTR$890,COLUMN(HeadJournal!B$1),0),"")</f>
        <v>710000978572</v>
      </c>
      <c r="C2135" s="94" t="str">
        <f>IFERROR(VLOOKUP($A2135,HeadJournal!$A$1:$NTR$890,COLUMN(HeadJournal!C$1),0),"")</f>
        <v>iHerb_OA CZN6870</v>
      </c>
      <c r="D2135" s="125" t="str">
        <f>IFERROR(VLOOKUP($A2135,HeadJournal!$A$1:$NTR$890,COLUMN(HeadJournal!D$1),0),"")</f>
        <v>Доставлен</v>
      </c>
      <c r="E2135" s="95">
        <f>IFERROR(VLOOKUP($A2135,HeadJournal!$A$1:$NTR$890,COLUMN(HeadJournal!G$1),0),"")</f>
        <v>45180</v>
      </c>
      <c r="F2135" s="95" t="str">
        <f t="shared" si="169"/>
        <v>2023 09</v>
      </c>
      <c r="G2135" s="96" t="s">
        <v>7</v>
      </c>
      <c r="H2135" s="160" t="str">
        <f>RIGHT(Journal!$J2135,9)</f>
        <v>MBY-24771</v>
      </c>
      <c r="I2135" s="96" t="str">
        <f t="shared" si="171"/>
        <v>Maybelline</v>
      </c>
      <c r="J2135" s="97" t="s">
        <v>948</v>
      </c>
      <c r="K2135" s="29">
        <v>9.52</v>
      </c>
      <c r="L2135" s="29">
        <v>-2.57</v>
      </c>
      <c r="M2135" s="30">
        <f>IFERROR(VLOOKUP($A2135,HeadJournal!$A$1:$J$890,COLUMN(HeadJournal!I$1),0)*($K2135+$L2135)/(SUMIF($A:$A,$A2135,$K:$K)+SUMIF($A:$A,$A2135,$L:$L)),0)</f>
        <v>-0.72682843472317149</v>
      </c>
      <c r="N2135" s="30">
        <f>IFERROR((VLOOKUP($A2135,HeadJournal!$A$1:$K$890,COLUMN(HeadJournal!K$1),0)-VLOOKUP($A2135,HeadJournal!$A$1:$K$890,COLUMN(HeadJournal!J$1),0))*($K2135+$L2135)/(SUMIF($A:$A,$A2135,$K:$K)+SUMIF($A:$A,$A2135,$L:$L)),0)</f>
        <v>0</v>
      </c>
      <c r="O2135" s="30">
        <f>IFERROR((VLOOKUP($A2135,HeadJournal!$A$1:$L$890,COLUMN(HeadJournal!L$1),0)*($K2135+$L2135)/(SUMIF($A:$A,$A2135,$K:$K)+SUMIF($A:$A,$A2135,$L:$L)))/VLOOKUP($A2135,HeadJournal!$A$1:$L$890,COLUMN(HeadJournal!H$1),0),0)</f>
        <v>1.0886579660142097</v>
      </c>
      <c r="P2135" s="30">
        <f>IFERROR(SUM(K2135:O2135)*VLOOKUP($A2135,HeadJournal!$A$1:$L$890,COLUMN(HeadJournal!H$1),0),0)</f>
        <v>800.81371041239458</v>
      </c>
      <c r="Q2135" s="29"/>
      <c r="R2135" s="31"/>
      <c r="S2135" s="31"/>
      <c r="T2135" s="95" t="str">
        <f t="shared" si="170"/>
        <v/>
      </c>
      <c r="U2135" s="32">
        <f t="shared" si="167"/>
        <v>-800.81371041239458</v>
      </c>
      <c r="V2135" s="22" t="str">
        <f t="shared" si="168"/>
        <v/>
      </c>
      <c r="X2135" s="33"/>
      <c r="Y2135" s="33"/>
    </row>
    <row r="2136" spans="1:25" x14ac:dyDescent="0.2">
      <c r="A2136" s="93" t="s">
        <v>947</v>
      </c>
      <c r="B2136" s="94" t="str">
        <f>IFERROR(VLOOKUP($A2136,HeadJournal!$A$1:$NTR$890,COLUMN(HeadJournal!B$1),0),"")</f>
        <v>710000978572</v>
      </c>
      <c r="C2136" s="94" t="str">
        <f>IFERROR(VLOOKUP($A2136,HeadJournal!$A$1:$NTR$890,COLUMN(HeadJournal!C$1),0),"")</f>
        <v>iHerb_OA CZN6870</v>
      </c>
      <c r="D2136" s="125" t="str">
        <f>IFERROR(VLOOKUP($A2136,HeadJournal!$A$1:$NTR$890,COLUMN(HeadJournal!D$1),0),"")</f>
        <v>Доставлен</v>
      </c>
      <c r="E2136" s="95">
        <f>IFERROR(VLOOKUP($A2136,HeadJournal!$A$1:$NTR$890,COLUMN(HeadJournal!G$1),0),"")</f>
        <v>45180</v>
      </c>
      <c r="F2136" s="95" t="str">
        <f t="shared" si="169"/>
        <v>2023 09</v>
      </c>
      <c r="G2136" s="96" t="s">
        <v>7</v>
      </c>
      <c r="H2136" s="160" t="str">
        <f>RIGHT(Journal!$J2136,9)</f>
        <v>LOE-28371</v>
      </c>
      <c r="I2136" s="96" t="str">
        <f t="shared" si="171"/>
        <v>L'Oréal</v>
      </c>
      <c r="J2136" s="97" t="s">
        <v>949</v>
      </c>
      <c r="K2136" s="29">
        <v>18.28</v>
      </c>
      <c r="L2136" s="29">
        <v>-4.9400000000000004</v>
      </c>
      <c r="M2136" s="30">
        <f>IFERROR(VLOOKUP($A2136,HeadJournal!$A$1:$J$890,COLUMN(HeadJournal!I$1),0)*($K2136+$L2136)/(SUMIF($A:$A,$A2136,$K:$K)+SUMIF($A:$A,$A2136,$L:$L)),0)</f>
        <v>-1.3950922761449076</v>
      </c>
      <c r="N2136" s="30">
        <f>IFERROR((VLOOKUP($A2136,HeadJournal!$A$1:$K$890,COLUMN(HeadJournal!K$1),0)-VLOOKUP($A2136,HeadJournal!$A$1:$K$890,COLUMN(HeadJournal!J$1),0))*($K2136+$L2136)/(SUMIF($A:$A,$A2136,$K:$K)+SUMIF($A:$A,$A2136,$L:$L)),0)</f>
        <v>0</v>
      </c>
      <c r="O2136" s="30">
        <f>IFERROR((VLOOKUP($A2136,HeadJournal!$A$1:$L$890,COLUMN(HeadJournal!L$1),0)*($K2136+$L2136)/(SUMIF($A:$A,$A2136,$K:$K)+SUMIF($A:$A,$A2136,$L:$L)))/VLOOKUP($A2136,HeadJournal!$A$1:$L$890,COLUMN(HeadJournal!H$1),0),0)</f>
        <v>2.0895967290114474</v>
      </c>
      <c r="P2136" s="30">
        <f>IFERROR(SUM(K2136:O2136)*VLOOKUP($A2136,HeadJournal!$A$1:$L$890,COLUMN(HeadJournal!H$1),0),0)</f>
        <v>1537.1014240145821</v>
      </c>
      <c r="Q2136" s="29"/>
      <c r="R2136" s="31"/>
      <c r="S2136" s="31"/>
      <c r="T2136" s="95" t="str">
        <f t="shared" si="170"/>
        <v/>
      </c>
      <c r="U2136" s="32">
        <f t="shared" si="167"/>
        <v>-1537.1014240145821</v>
      </c>
      <c r="V2136" s="22" t="str">
        <f t="shared" si="168"/>
        <v/>
      </c>
      <c r="X2136" s="33"/>
      <c r="Y2136" s="33"/>
    </row>
    <row r="2137" spans="1:25" x14ac:dyDescent="0.2">
      <c r="A2137" s="93" t="s">
        <v>947</v>
      </c>
      <c r="B2137" s="94" t="str">
        <f>IFERROR(VLOOKUP($A2137,HeadJournal!$A$1:$NTR$890,COLUMN(HeadJournal!B$1),0),"")</f>
        <v>710000978572</v>
      </c>
      <c r="C2137" s="94" t="str">
        <f>IFERROR(VLOOKUP($A2137,HeadJournal!$A$1:$NTR$890,COLUMN(HeadJournal!C$1),0),"")</f>
        <v>iHerb_OA CZN6870</v>
      </c>
      <c r="D2137" s="125" t="str">
        <f>IFERROR(VLOOKUP($A2137,HeadJournal!$A$1:$NTR$890,COLUMN(HeadJournal!D$1),0),"")</f>
        <v>Доставлен</v>
      </c>
      <c r="E2137" s="95">
        <f>IFERROR(VLOOKUP($A2137,HeadJournal!$A$1:$NTR$890,COLUMN(HeadJournal!G$1),0),"")</f>
        <v>45180</v>
      </c>
      <c r="F2137" s="95" t="str">
        <f t="shared" si="169"/>
        <v>2023 09</v>
      </c>
      <c r="G2137" s="96" t="s">
        <v>7</v>
      </c>
      <c r="H2137" s="160" t="str">
        <f>RIGHT(Journal!$J2137,9)</f>
        <v>LOE-36371</v>
      </c>
      <c r="I2137" s="96" t="str">
        <f t="shared" si="171"/>
        <v>L'Oréal</v>
      </c>
      <c r="J2137" s="97" t="s">
        <v>950</v>
      </c>
      <c r="K2137" s="29">
        <v>17.84</v>
      </c>
      <c r="L2137" s="29">
        <v>-4.82</v>
      </c>
      <c r="M2137" s="30">
        <f>IFERROR(VLOOKUP($A2137,HeadJournal!$A$1:$J$890,COLUMN(HeadJournal!I$1),0)*($K2137+$L2137)/(SUMIF($A:$A,$A2137,$K:$K)+SUMIF($A:$A,$A2137,$L:$L)),0)</f>
        <v>-1.3616267942583731</v>
      </c>
      <c r="N2137" s="30">
        <f>IFERROR((VLOOKUP($A2137,HeadJournal!$A$1:$K$890,COLUMN(HeadJournal!K$1),0)-VLOOKUP($A2137,HeadJournal!$A$1:$K$890,COLUMN(HeadJournal!J$1),0))*($K2137+$L2137)/(SUMIF($A:$A,$A2137,$K:$K)+SUMIF($A:$A,$A2137,$L:$L)),0)</f>
        <v>0</v>
      </c>
      <c r="O2137" s="30">
        <f>IFERROR((VLOOKUP($A2137,HeadJournal!$A$1:$L$890,COLUMN(HeadJournal!L$1),0)*($K2137+$L2137)/(SUMIF($A:$A,$A2137,$K:$K)+SUMIF($A:$A,$A2137,$L:$L)))/VLOOKUP($A2137,HeadJournal!$A$1:$L$890,COLUMN(HeadJournal!H$1),0),0)</f>
        <v>2.0394714701446062</v>
      </c>
      <c r="P2137" s="30">
        <f>IFERROR(SUM(K2137:O2137)*VLOOKUP($A2137,HeadJournal!$A$1:$L$890,COLUMN(HeadJournal!H$1),0),0)</f>
        <v>1500.2294258373206</v>
      </c>
      <c r="Q2137" s="29"/>
      <c r="R2137" s="31"/>
      <c r="S2137" s="31"/>
      <c r="T2137" s="95" t="str">
        <f t="shared" si="170"/>
        <v/>
      </c>
      <c r="U2137" s="32">
        <f t="shared" si="167"/>
        <v>-1500.2294258373206</v>
      </c>
      <c r="V2137" s="22" t="str">
        <f t="shared" si="168"/>
        <v/>
      </c>
      <c r="X2137" s="33"/>
      <c r="Y2137" s="33"/>
    </row>
    <row r="2138" spans="1:25" x14ac:dyDescent="0.2">
      <c r="A2138" s="93" t="s">
        <v>947</v>
      </c>
      <c r="B2138" s="94" t="str">
        <f>IFERROR(VLOOKUP($A2138,HeadJournal!$A$1:$NTR$890,COLUMN(HeadJournal!B$1),0),"")</f>
        <v>710000978572</v>
      </c>
      <c r="C2138" s="94" t="str">
        <f>IFERROR(VLOOKUP($A2138,HeadJournal!$A$1:$NTR$890,COLUMN(HeadJournal!C$1),0),"")</f>
        <v>iHerb_OA CZN6870</v>
      </c>
      <c r="D2138" s="125" t="str">
        <f>IFERROR(VLOOKUP($A2138,HeadJournal!$A$1:$NTR$890,COLUMN(HeadJournal!D$1),0),"")</f>
        <v>Доставлен</v>
      </c>
      <c r="E2138" s="95">
        <f>IFERROR(VLOOKUP($A2138,HeadJournal!$A$1:$NTR$890,COLUMN(HeadJournal!G$1),0),"")</f>
        <v>45180</v>
      </c>
      <c r="F2138" s="95" t="str">
        <f t="shared" si="169"/>
        <v>2023 09</v>
      </c>
      <c r="G2138" s="96" t="s">
        <v>7</v>
      </c>
      <c r="H2138" s="160" t="str">
        <f>RIGHT(Journal!$J2138,9)</f>
        <v>MBY-54678</v>
      </c>
      <c r="I2138" s="96" t="str">
        <f t="shared" si="171"/>
        <v>Maybelline</v>
      </c>
      <c r="J2138" s="97" t="s">
        <v>951</v>
      </c>
      <c r="K2138" s="29">
        <v>12.71</v>
      </c>
      <c r="L2138" s="29">
        <v>-3.43</v>
      </c>
      <c r="M2138" s="30">
        <f>IFERROR(VLOOKUP($A2138,HeadJournal!$A$1:$J$890,COLUMN(HeadJournal!I$1),0)*($K2138+$L2138)/(SUMIF($A:$A,$A2138,$K:$K)+SUMIF($A:$A,$A2138,$L:$L)),0)</f>
        <v>-0.97049897470950108</v>
      </c>
      <c r="N2138" s="30">
        <f>IFERROR((VLOOKUP($A2138,HeadJournal!$A$1:$K$890,COLUMN(HeadJournal!K$1),0)-VLOOKUP($A2138,HeadJournal!$A$1:$K$890,COLUMN(HeadJournal!J$1),0))*($K2138+$L2138)/(SUMIF($A:$A,$A2138,$K:$K)+SUMIF($A:$A,$A2138,$L:$L)),0)</f>
        <v>0</v>
      </c>
      <c r="O2138" s="30">
        <f>IFERROR((VLOOKUP($A2138,HeadJournal!$A$1:$L$890,COLUMN(HeadJournal!L$1),0)*($K2138+$L2138)/(SUMIF($A:$A,$A2138,$K:$K)+SUMIF($A:$A,$A2138,$L:$L)))/VLOOKUP($A2138,HeadJournal!$A$1:$L$890,COLUMN(HeadJournal!H$1),0),0)</f>
        <v>1.4536325071383984</v>
      </c>
      <c r="P2138" s="30">
        <f>IFERROR(SUM(K2138:O2138)*VLOOKUP($A2138,HeadJournal!$A$1:$L$890,COLUMN(HeadJournal!H$1),0),0)</f>
        <v>1069.2879471405788</v>
      </c>
      <c r="Q2138" s="29"/>
      <c r="R2138" s="31"/>
      <c r="S2138" s="31"/>
      <c r="T2138" s="95" t="str">
        <f t="shared" si="170"/>
        <v/>
      </c>
      <c r="U2138" s="32">
        <f t="shared" si="167"/>
        <v>-1069.2879471405788</v>
      </c>
      <c r="V2138" s="22" t="str">
        <f t="shared" si="168"/>
        <v/>
      </c>
      <c r="X2138" s="33"/>
      <c r="Y2138" s="33"/>
    </row>
    <row r="2139" spans="1:25" x14ac:dyDescent="0.2">
      <c r="A2139" s="93" t="s">
        <v>947</v>
      </c>
      <c r="B2139" s="94" t="str">
        <f>IFERROR(VLOOKUP($A2139,HeadJournal!$A$1:$NTR$890,COLUMN(HeadJournal!B$1),0),"")</f>
        <v>710000978572</v>
      </c>
      <c r="C2139" s="94" t="str">
        <f>IFERROR(VLOOKUP($A2139,HeadJournal!$A$1:$NTR$890,COLUMN(HeadJournal!C$1),0),"")</f>
        <v>iHerb_OA CZN6870</v>
      </c>
      <c r="D2139" s="125" t="str">
        <f>IFERROR(VLOOKUP($A2139,HeadJournal!$A$1:$NTR$890,COLUMN(HeadJournal!D$1),0),"")</f>
        <v>Доставлен</v>
      </c>
      <c r="E2139" s="95">
        <f>IFERROR(VLOOKUP($A2139,HeadJournal!$A$1:$NTR$890,COLUMN(HeadJournal!G$1),0),"")</f>
        <v>45180</v>
      </c>
      <c r="F2139" s="95" t="str">
        <f t="shared" si="169"/>
        <v>2023 09</v>
      </c>
      <c r="G2139" s="96" t="s">
        <v>7</v>
      </c>
      <c r="H2139" s="160" t="str">
        <f>RIGHT(Journal!$J2139,9)</f>
        <v>ARH-19793</v>
      </c>
      <c r="I2139" s="96" t="str">
        <f t="shared" si="171"/>
        <v>Arm &amp; Hammer</v>
      </c>
      <c r="J2139" s="97" t="s">
        <v>743</v>
      </c>
      <c r="K2139" s="29">
        <v>5.75</v>
      </c>
      <c r="L2139" s="29">
        <v>-1.5549999999999999</v>
      </c>
      <c r="M2139" s="30">
        <f>IFERROR(VLOOKUP($A2139,HeadJournal!$A$1:$J$890,COLUMN(HeadJournal!I$1),0)*($K2139+$L2139)/(SUMIF($A:$A,$A2139,$K:$K)+SUMIF($A:$A,$A2139,$L:$L)),0)</f>
        <v>-0.43871155160628844</v>
      </c>
      <c r="N2139" s="30">
        <f>IFERROR((VLOOKUP($A2139,HeadJournal!$A$1:$K$890,COLUMN(HeadJournal!K$1),0)-VLOOKUP($A2139,HeadJournal!$A$1:$K$890,COLUMN(HeadJournal!J$1),0))*($K2139+$L2139)/(SUMIF($A:$A,$A2139,$K:$K)+SUMIF($A:$A,$A2139,$L:$L)),0)</f>
        <v>0</v>
      </c>
      <c r="O2139" s="30">
        <f>IFERROR((VLOOKUP($A2139,HeadJournal!$A$1:$L$890,COLUMN(HeadJournal!L$1),0)*($K2139+$L2139)/(SUMIF($A:$A,$A2139,$K:$K)+SUMIF($A:$A,$A2139,$L:$L)))/VLOOKUP($A2139,HeadJournal!$A$1:$L$890,COLUMN(HeadJournal!H$1),0),0)</f>
        <v>0.65711081545749783</v>
      </c>
      <c r="P2139" s="30">
        <f>IFERROR(SUM(K2139:O2139)*VLOOKUP($A2139,HeadJournal!$A$1:$L$890,COLUMN(HeadJournal!H$1),0),0)</f>
        <v>483.36885110503539</v>
      </c>
      <c r="Q2139" s="29">
        <v>900</v>
      </c>
      <c r="R2139" s="31">
        <v>45371</v>
      </c>
      <c r="S2139" s="31" t="s">
        <v>3121</v>
      </c>
      <c r="T2139" s="95" t="str">
        <f t="shared" si="170"/>
        <v>2024 03</v>
      </c>
      <c r="U2139" s="32">
        <f t="shared" si="167"/>
        <v>416.63114889496461</v>
      </c>
      <c r="V2139" s="22">
        <f t="shared" si="168"/>
        <v>0.861932141350232</v>
      </c>
      <c r="X2139" s="33"/>
      <c r="Y2139" s="33"/>
    </row>
    <row r="2140" spans="1:25" x14ac:dyDescent="0.2">
      <c r="A2140" s="93" t="s">
        <v>947</v>
      </c>
      <c r="B2140" s="94" t="str">
        <f>IFERROR(VLOOKUP($A2140,HeadJournal!$A$1:$NTR$890,COLUMN(HeadJournal!B$1),0),"")</f>
        <v>710000978572</v>
      </c>
      <c r="C2140" s="94" t="str">
        <f>IFERROR(VLOOKUP($A2140,HeadJournal!$A$1:$NTR$890,COLUMN(HeadJournal!C$1),0),"")</f>
        <v>iHerb_OA CZN6870</v>
      </c>
      <c r="D2140" s="125" t="str">
        <f>IFERROR(VLOOKUP($A2140,HeadJournal!$A$1:$NTR$890,COLUMN(HeadJournal!D$1),0),"")</f>
        <v>Доставлен</v>
      </c>
      <c r="E2140" s="95">
        <f>IFERROR(VLOOKUP($A2140,HeadJournal!$A$1:$NTR$890,COLUMN(HeadJournal!G$1),0),"")</f>
        <v>45180</v>
      </c>
      <c r="F2140" s="95" t="str">
        <f t="shared" si="169"/>
        <v>2023 09</v>
      </c>
      <c r="G2140" s="96" t="s">
        <v>7</v>
      </c>
      <c r="H2140" s="160" t="str">
        <f>RIGHT(Journal!$J2140,9)</f>
        <v>ARH-19793</v>
      </c>
      <c r="I2140" s="96" t="str">
        <f t="shared" si="171"/>
        <v>Arm &amp; Hammer</v>
      </c>
      <c r="J2140" s="97" t="s">
        <v>743</v>
      </c>
      <c r="K2140" s="29">
        <v>5.75</v>
      </c>
      <c r="L2140" s="29">
        <v>-1.5549999999999999</v>
      </c>
      <c r="M2140" s="30">
        <f>IFERROR(VLOOKUP($A2140,HeadJournal!$A$1:$J$890,COLUMN(HeadJournal!I$1),0)*($K2140+$L2140)/(SUMIF($A:$A,$A2140,$K:$K)+SUMIF($A:$A,$A2140,$L:$L)),0)</f>
        <v>-0.43871155160628844</v>
      </c>
      <c r="N2140" s="30">
        <f>IFERROR((VLOOKUP($A2140,HeadJournal!$A$1:$K$890,COLUMN(HeadJournal!K$1),0)-VLOOKUP($A2140,HeadJournal!$A$1:$K$890,COLUMN(HeadJournal!J$1),0))*($K2140+$L2140)/(SUMIF($A:$A,$A2140,$K:$K)+SUMIF($A:$A,$A2140,$L:$L)),0)</f>
        <v>0</v>
      </c>
      <c r="O2140" s="30">
        <f>IFERROR((VLOOKUP($A2140,HeadJournal!$A$1:$L$890,COLUMN(HeadJournal!L$1),0)*($K2140+$L2140)/(SUMIF($A:$A,$A2140,$K:$K)+SUMIF($A:$A,$A2140,$L:$L)))/VLOOKUP($A2140,HeadJournal!$A$1:$L$890,COLUMN(HeadJournal!H$1),0),0)</f>
        <v>0.65711081545749783</v>
      </c>
      <c r="P2140" s="30">
        <f>IFERROR(SUM(K2140:O2140)*VLOOKUP($A2140,HeadJournal!$A$1:$L$890,COLUMN(HeadJournal!H$1),0),0)</f>
        <v>483.36885110503539</v>
      </c>
      <c r="Q2140" s="29">
        <v>900</v>
      </c>
      <c r="R2140" s="31">
        <v>45371</v>
      </c>
      <c r="S2140" s="31" t="s">
        <v>3121</v>
      </c>
      <c r="T2140" s="95" t="str">
        <f t="shared" si="170"/>
        <v>2024 03</v>
      </c>
      <c r="U2140" s="32">
        <f t="shared" si="167"/>
        <v>416.63114889496461</v>
      </c>
      <c r="V2140" s="22">
        <f t="shared" si="168"/>
        <v>0.861932141350232</v>
      </c>
      <c r="X2140" s="33"/>
      <c r="Y2140" s="33"/>
    </row>
    <row r="2141" spans="1:25" x14ac:dyDescent="0.2">
      <c r="A2141" s="93" t="s">
        <v>947</v>
      </c>
      <c r="B2141" s="94" t="str">
        <f>IFERROR(VLOOKUP($A2141,HeadJournal!$A$1:$NTR$890,COLUMN(HeadJournal!B$1),0),"")</f>
        <v>710000978572</v>
      </c>
      <c r="C2141" s="94" t="str">
        <f>IFERROR(VLOOKUP($A2141,HeadJournal!$A$1:$NTR$890,COLUMN(HeadJournal!C$1),0),"")</f>
        <v>iHerb_OA CZN6870</v>
      </c>
      <c r="D2141" s="125" t="str">
        <f>IFERROR(VLOOKUP($A2141,HeadJournal!$A$1:$NTR$890,COLUMN(HeadJournal!D$1),0),"")</f>
        <v>Доставлен</v>
      </c>
      <c r="E2141" s="95">
        <f>IFERROR(VLOOKUP($A2141,HeadJournal!$A$1:$NTR$890,COLUMN(HeadJournal!G$1),0),"")</f>
        <v>45180</v>
      </c>
      <c r="F2141" s="95" t="str">
        <f t="shared" si="169"/>
        <v>2023 09</v>
      </c>
      <c r="G2141" s="96" t="s">
        <v>7</v>
      </c>
      <c r="H2141" s="160" t="str">
        <f>RIGHT(Journal!$J2141,9)</f>
        <v>ARH-00546</v>
      </c>
      <c r="I2141" s="96" t="str">
        <f t="shared" si="171"/>
        <v>Arm &amp; Hammer</v>
      </c>
      <c r="J2141" s="97" t="s">
        <v>666</v>
      </c>
      <c r="K2141" s="29">
        <v>5.82</v>
      </c>
      <c r="L2141" s="29">
        <v>-1.57</v>
      </c>
      <c r="M2141" s="30">
        <f>IFERROR(VLOOKUP($A2141,HeadJournal!$A$1:$J$890,COLUMN(HeadJournal!I$1),0)*($K2141+$L2141)/(SUMIF($A:$A,$A2141,$K:$K)+SUMIF($A:$A,$A2141,$L:$L)),0)</f>
        <v>-0.44446343130553656</v>
      </c>
      <c r="N2141" s="30">
        <f>IFERROR((VLOOKUP($A2141,HeadJournal!$A$1:$K$890,COLUMN(HeadJournal!K$1),0)-VLOOKUP($A2141,HeadJournal!$A$1:$K$890,COLUMN(HeadJournal!J$1),0))*($K2141+$L2141)/(SUMIF($A:$A,$A2141,$K:$K)+SUMIF($A:$A,$A2141,$L:$L)),0)</f>
        <v>0</v>
      </c>
      <c r="O2141" s="30">
        <f>IFERROR((VLOOKUP($A2141,HeadJournal!$A$1:$L$890,COLUMN(HeadJournal!L$1),0)*($K2141+$L2141)/(SUMIF($A:$A,$A2141,$K:$K)+SUMIF($A:$A,$A2141,$L:$L)))/VLOOKUP($A2141,HeadJournal!$A$1:$L$890,COLUMN(HeadJournal!H$1),0),0)</f>
        <v>0.66572609432523622</v>
      </c>
      <c r="P2141" s="30">
        <f>IFERROR(SUM(K2141:O2141)*VLOOKUP($A2141,HeadJournal!$A$1:$L$890,COLUMN(HeadJournal!H$1),0),0)</f>
        <v>489.70622579175216</v>
      </c>
      <c r="Q2141" s="29">
        <v>850</v>
      </c>
      <c r="R2141" s="31">
        <v>45239</v>
      </c>
      <c r="S2141" s="31" t="s">
        <v>3121</v>
      </c>
      <c r="T2141" s="95" t="str">
        <f t="shared" si="170"/>
        <v>2023 11</v>
      </c>
      <c r="U2141" s="32">
        <f t="shared" si="167"/>
        <v>360.29377420824784</v>
      </c>
      <c r="V2141" s="22">
        <f t="shared" si="168"/>
        <v>0.73573451843649418</v>
      </c>
      <c r="X2141" s="33"/>
      <c r="Y2141" s="33"/>
    </row>
    <row r="2142" spans="1:25" x14ac:dyDescent="0.2">
      <c r="A2142" s="93" t="s">
        <v>947</v>
      </c>
      <c r="B2142" s="94" t="str">
        <f>IFERROR(VLOOKUP($A2142,HeadJournal!$A$1:$NTR$890,COLUMN(HeadJournal!B$1),0),"")</f>
        <v>710000978572</v>
      </c>
      <c r="C2142" s="94" t="str">
        <f>IFERROR(VLOOKUP($A2142,HeadJournal!$A$1:$NTR$890,COLUMN(HeadJournal!C$1),0),"")</f>
        <v>iHerb_OA CZN6870</v>
      </c>
      <c r="D2142" s="125" t="str">
        <f>IFERROR(VLOOKUP($A2142,HeadJournal!$A$1:$NTR$890,COLUMN(HeadJournal!D$1),0),"")</f>
        <v>Доставлен</v>
      </c>
      <c r="E2142" s="95">
        <f>IFERROR(VLOOKUP($A2142,HeadJournal!$A$1:$NTR$890,COLUMN(HeadJournal!G$1),0),"")</f>
        <v>45180</v>
      </c>
      <c r="F2142" s="95" t="str">
        <f t="shared" si="169"/>
        <v>2023 09</v>
      </c>
      <c r="G2142" s="96" t="s">
        <v>7</v>
      </c>
      <c r="H2142" s="160" t="str">
        <f>RIGHT(Journal!$J2142,9)</f>
        <v>ARH-00546</v>
      </c>
      <c r="I2142" s="96" t="str">
        <f t="shared" si="171"/>
        <v>Arm &amp; Hammer</v>
      </c>
      <c r="J2142" s="97" t="s">
        <v>666</v>
      </c>
      <c r="K2142" s="29">
        <v>5.82</v>
      </c>
      <c r="L2142" s="29">
        <v>-1.57</v>
      </c>
      <c r="M2142" s="30">
        <f>IFERROR(VLOOKUP($A2142,HeadJournal!$A$1:$J$890,COLUMN(HeadJournal!I$1),0)*($K2142+$L2142)/(SUMIF($A:$A,$A2142,$K:$K)+SUMIF($A:$A,$A2142,$L:$L)),0)</f>
        <v>-0.44446343130553656</v>
      </c>
      <c r="N2142" s="30">
        <f>IFERROR((VLOOKUP($A2142,HeadJournal!$A$1:$K$890,COLUMN(HeadJournal!K$1),0)-VLOOKUP($A2142,HeadJournal!$A$1:$K$890,COLUMN(HeadJournal!J$1),0))*($K2142+$L2142)/(SUMIF($A:$A,$A2142,$K:$K)+SUMIF($A:$A,$A2142,$L:$L)),0)</f>
        <v>0</v>
      </c>
      <c r="O2142" s="30">
        <f>IFERROR((VLOOKUP($A2142,HeadJournal!$A$1:$L$890,COLUMN(HeadJournal!L$1),0)*($K2142+$L2142)/(SUMIF($A:$A,$A2142,$K:$K)+SUMIF($A:$A,$A2142,$L:$L)))/VLOOKUP($A2142,HeadJournal!$A$1:$L$890,COLUMN(HeadJournal!H$1),0),0)</f>
        <v>0.66572609432523622</v>
      </c>
      <c r="P2142" s="30">
        <f>IFERROR(SUM(K2142:O2142)*VLOOKUP($A2142,HeadJournal!$A$1:$L$890,COLUMN(HeadJournal!H$1),0),0)</f>
        <v>489.70622579175216</v>
      </c>
      <c r="Q2142" s="29">
        <v>900</v>
      </c>
      <c r="R2142" s="31">
        <v>45377</v>
      </c>
      <c r="S2142" s="31" t="s">
        <v>3121</v>
      </c>
      <c r="T2142" s="95" t="str">
        <f t="shared" si="170"/>
        <v>2024 03</v>
      </c>
      <c r="U2142" s="32">
        <f t="shared" si="167"/>
        <v>410.29377420824784</v>
      </c>
      <c r="V2142" s="22">
        <f t="shared" si="168"/>
        <v>0.8378365489327585</v>
      </c>
      <c r="X2142" s="33"/>
      <c r="Y2142" s="33"/>
    </row>
    <row r="2143" spans="1:25" x14ac:dyDescent="0.2">
      <c r="A2143" s="93" t="s">
        <v>947</v>
      </c>
      <c r="B2143" s="94" t="str">
        <f>IFERROR(VLOOKUP($A2143,HeadJournal!$A$1:$NTR$890,COLUMN(HeadJournal!B$1),0),"")</f>
        <v>710000978572</v>
      </c>
      <c r="C2143" s="94" t="str">
        <f>IFERROR(VLOOKUP($A2143,HeadJournal!$A$1:$NTR$890,COLUMN(HeadJournal!C$1),0),"")</f>
        <v>iHerb_OA CZN6870</v>
      </c>
      <c r="D2143" s="125" t="str">
        <f>IFERROR(VLOOKUP($A2143,HeadJournal!$A$1:$NTR$890,COLUMN(HeadJournal!D$1),0),"")</f>
        <v>Доставлен</v>
      </c>
      <c r="E2143" s="95">
        <f>IFERROR(VLOOKUP($A2143,HeadJournal!$A$1:$NTR$890,COLUMN(HeadJournal!G$1),0),"")</f>
        <v>45180</v>
      </c>
      <c r="F2143" s="95" t="str">
        <f t="shared" si="169"/>
        <v>2023 09</v>
      </c>
      <c r="G2143" s="96" t="s">
        <v>7</v>
      </c>
      <c r="H2143" s="160" t="str">
        <f>RIGHT(Journal!$J2143,9)</f>
        <v>ADC-00639</v>
      </c>
      <c r="I2143" s="96" t="str">
        <f t="shared" si="171"/>
        <v>Advanced Clinicals</v>
      </c>
      <c r="J2143" s="97" t="s">
        <v>952</v>
      </c>
      <c r="K2143" s="29">
        <v>13.17</v>
      </c>
      <c r="L2143" s="29">
        <v>-3.56</v>
      </c>
      <c r="M2143" s="30">
        <f>IFERROR(VLOOKUP($A2143,HeadJournal!$A$1:$J$890,COLUMN(HeadJournal!I$1),0)*($K2143+$L2143)/(SUMIF($A:$A,$A2143,$K:$K)+SUMIF($A:$A,$A2143,$L:$L)),0)</f>
        <v>-1.0050102529049896</v>
      </c>
      <c r="N2143" s="30">
        <f>IFERROR((VLOOKUP($A2143,HeadJournal!$A$1:$K$890,COLUMN(HeadJournal!K$1),0)-VLOOKUP($A2143,HeadJournal!$A$1:$K$890,COLUMN(HeadJournal!J$1),0))*($K2143+$L2143)/(SUMIF($A:$A,$A2143,$K:$K)+SUMIF($A:$A,$A2143,$L:$L)),0)</f>
        <v>0</v>
      </c>
      <c r="O2143" s="30">
        <f>IFERROR((VLOOKUP($A2143,HeadJournal!$A$1:$L$890,COLUMN(HeadJournal!L$1),0)*($K2143+$L2143)/(SUMIF($A:$A,$A2143,$K:$K)+SUMIF($A:$A,$A2143,$L:$L)))/VLOOKUP($A2143,HeadJournal!$A$1:$L$890,COLUMN(HeadJournal!H$1),0),0)</f>
        <v>1.5053241803448283</v>
      </c>
      <c r="P2143" s="30">
        <f>IFERROR(SUM(K2143:O2143)*VLOOKUP($A2143,HeadJournal!$A$1:$L$890,COLUMN(HeadJournal!H$1),0),0)</f>
        <v>1107.3121952608797</v>
      </c>
      <c r="Q2143" s="29">
        <v>1700</v>
      </c>
      <c r="R2143" s="31">
        <v>45220</v>
      </c>
      <c r="S2143" s="31" t="s">
        <v>3121</v>
      </c>
      <c r="T2143" s="95" t="str">
        <f t="shared" si="170"/>
        <v>2023 10</v>
      </c>
      <c r="U2143" s="32">
        <f t="shared" si="167"/>
        <v>592.68780473912034</v>
      </c>
      <c r="V2143" s="22">
        <f t="shared" si="168"/>
        <v>0.53524905376797083</v>
      </c>
      <c r="X2143" s="33"/>
      <c r="Y2143" s="33"/>
    </row>
    <row r="2144" spans="1:25" x14ac:dyDescent="0.2">
      <c r="A2144" s="93" t="s">
        <v>953</v>
      </c>
      <c r="B2144" s="94">
        <f>IFERROR(VLOOKUP($A2144,HeadJournal!$A$1:$NTR$890,COLUMN(HeadJournal!B$1),0),"")</f>
        <v>0</v>
      </c>
      <c r="C2144" s="94" t="str">
        <f>IFERROR(VLOOKUP($A2144,HeadJournal!$A$1:$NTR$890,COLUMN(HeadJournal!C$1),0),"")</f>
        <v>OZON_OA</v>
      </c>
      <c r="D2144" s="125" t="str">
        <f>IFERROR(VLOOKUP($A2144,HeadJournal!$A$1:$NTR$890,COLUMN(HeadJournal!D$1),0),"")</f>
        <v>Доставлен</v>
      </c>
      <c r="E2144" s="95">
        <f>IFERROR(VLOOKUP($A2144,HeadJournal!$A$1:$NTR$890,COLUMN(HeadJournal!G$1),0),"")</f>
        <v>45182</v>
      </c>
      <c r="F2144" s="95" t="str">
        <f t="shared" si="169"/>
        <v>2023 09</v>
      </c>
      <c r="G2144" s="96" t="s">
        <v>6</v>
      </c>
      <c r="H2144" s="160" t="str">
        <f>RIGHT(Journal!$J2144,9)</f>
        <v>286912637</v>
      </c>
      <c r="I2144" s="96" t="str">
        <f t="shared" si="171"/>
        <v>Rusco Sport</v>
      </c>
      <c r="J2144" s="97" t="s">
        <v>954</v>
      </c>
      <c r="K2144" s="29">
        <v>1142</v>
      </c>
      <c r="L2144" s="29">
        <v>0</v>
      </c>
      <c r="M2144" s="30">
        <f>IFERROR(VLOOKUP($A2144,HeadJournal!$A$1:$J$890,COLUMN(HeadJournal!I$1),0)*($K2144+$L2144)/(SUMIF($A:$A,$A2144,$K:$K)+SUMIF($A:$A,$A2144,$L:$L)),0)</f>
        <v>0</v>
      </c>
      <c r="N2144" s="30">
        <f>IFERROR((VLOOKUP($A2144,HeadJournal!$A$1:$K$890,COLUMN(HeadJournal!K$1),0)-VLOOKUP($A2144,HeadJournal!$A$1:$K$890,COLUMN(HeadJournal!J$1),0))*($K2144+$L2144)/(SUMIF($A:$A,$A2144,$K:$K)+SUMIF($A:$A,$A2144,$L:$L)),0)</f>
        <v>0</v>
      </c>
      <c r="O2144" s="30">
        <f>IFERROR((VLOOKUP($A2144,HeadJournal!$A$1:$L$890,COLUMN(HeadJournal!L$1),0)*($K2144+$L2144)/(SUMIF($A:$A,$A2144,$K:$K)+SUMIF($A:$A,$A2144,$L:$L)))/VLOOKUP($A2144,HeadJournal!$A$1:$L$890,COLUMN(HeadJournal!H$1),0),0)</f>
        <v>114.2</v>
      </c>
      <c r="P2144" s="30">
        <f>IFERROR(SUM(K2144:O2144)*VLOOKUP($A2144,HeadJournal!$A$1:$L$890,COLUMN(HeadJournal!H$1),0),0)</f>
        <v>1256.2</v>
      </c>
      <c r="Q2144" s="29">
        <v>1700</v>
      </c>
      <c r="R2144" s="31">
        <v>45186</v>
      </c>
      <c r="S2144" s="31" t="s">
        <v>3121</v>
      </c>
      <c r="T2144" s="95" t="str">
        <f t="shared" si="170"/>
        <v>2023 09</v>
      </c>
      <c r="U2144" s="32">
        <f t="shared" si="167"/>
        <v>443.79999999999995</v>
      </c>
      <c r="V2144" s="22">
        <f t="shared" si="168"/>
        <v>0.35328769304250912</v>
      </c>
      <c r="X2144" s="33"/>
      <c r="Y2144" s="33"/>
    </row>
    <row r="2145" spans="1:25" x14ac:dyDescent="0.2">
      <c r="A2145" s="93" t="s">
        <v>955</v>
      </c>
      <c r="B2145" s="94">
        <f>IFERROR(VLOOKUP($A2145,HeadJournal!$A$1:$NTR$890,COLUMN(HeadJournal!B$1),0),"")</f>
        <v>0</v>
      </c>
      <c r="C2145" s="94" t="str">
        <f>IFERROR(VLOOKUP($A2145,HeadJournal!$A$1:$NTR$890,COLUMN(HeadJournal!C$1),0),"")</f>
        <v>OZON_OA</v>
      </c>
      <c r="D2145" s="125" t="str">
        <f>IFERROR(VLOOKUP($A2145,HeadJournal!$A$1:$NTR$890,COLUMN(HeadJournal!D$1),0),"")</f>
        <v>Доставлен</v>
      </c>
      <c r="E2145" s="95">
        <f>IFERROR(VLOOKUP($A2145,HeadJournal!$A$1:$NTR$890,COLUMN(HeadJournal!G$1),0),"")</f>
        <v>45184</v>
      </c>
      <c r="F2145" s="95" t="str">
        <f t="shared" si="169"/>
        <v>2023 09</v>
      </c>
      <c r="G2145" s="96" t="s">
        <v>6</v>
      </c>
      <c r="H2145" s="160" t="str">
        <f>RIGHT(Journal!$J2145,9)</f>
        <v>425941426</v>
      </c>
      <c r="I2145" s="96" t="str">
        <f t="shared" si="171"/>
        <v>VitaMeal</v>
      </c>
      <c r="J2145" s="97" t="s">
        <v>923</v>
      </c>
      <c r="K2145" s="29">
        <v>580</v>
      </c>
      <c r="L2145" s="29">
        <v>0</v>
      </c>
      <c r="M2145" s="30">
        <f>IFERROR(VLOOKUP($A2145,HeadJournal!$A$1:$J$890,COLUMN(HeadJournal!I$1),0)*($K2145+$L2145)/(SUMIF($A:$A,$A2145,$K:$K)+SUMIF($A:$A,$A2145,$L:$L)),0)</f>
        <v>0</v>
      </c>
      <c r="N2145" s="30">
        <f>IFERROR((VLOOKUP($A2145,HeadJournal!$A$1:$K$890,COLUMN(HeadJournal!K$1),0)-VLOOKUP($A2145,HeadJournal!$A$1:$K$890,COLUMN(HeadJournal!J$1),0))*($K2145+$L2145)/(SUMIF($A:$A,$A2145,$K:$K)+SUMIF($A:$A,$A2145,$L:$L)),0)</f>
        <v>0</v>
      </c>
      <c r="O2145" s="30">
        <f>IFERROR((VLOOKUP($A2145,HeadJournal!$A$1:$L$890,COLUMN(HeadJournal!L$1),0)*($K2145+$L2145)/(SUMIF($A:$A,$A2145,$K:$K)+SUMIF($A:$A,$A2145,$L:$L)))/VLOOKUP($A2145,HeadJournal!$A$1:$L$890,COLUMN(HeadJournal!H$1),0),0)</f>
        <v>58</v>
      </c>
      <c r="P2145" s="30">
        <f>IFERROR(SUM(K2145:O2145)*VLOOKUP($A2145,HeadJournal!$A$1:$L$890,COLUMN(HeadJournal!H$1),0),0)</f>
        <v>638</v>
      </c>
      <c r="Q2145" s="29">
        <v>1100</v>
      </c>
      <c r="R2145" s="31">
        <v>45288</v>
      </c>
      <c r="S2145" s="31" t="s">
        <v>3121</v>
      </c>
      <c r="T2145" s="95" t="str">
        <f t="shared" si="170"/>
        <v>2023 12</v>
      </c>
      <c r="U2145" s="32">
        <f t="shared" si="167"/>
        <v>462</v>
      </c>
      <c r="V2145" s="22">
        <f t="shared" si="168"/>
        <v>0.72413793103448276</v>
      </c>
      <c r="X2145" s="33"/>
      <c r="Y2145" s="33"/>
    </row>
    <row r="2146" spans="1:25" x14ac:dyDescent="0.2">
      <c r="A2146" s="93" t="s">
        <v>955</v>
      </c>
      <c r="B2146" s="94">
        <f>IFERROR(VLOOKUP($A2146,HeadJournal!$A$1:$NTR$890,COLUMN(HeadJournal!B$1),0),"")</f>
        <v>0</v>
      </c>
      <c r="C2146" s="94" t="str">
        <f>IFERROR(VLOOKUP($A2146,HeadJournal!$A$1:$NTR$890,COLUMN(HeadJournal!C$1),0),"")</f>
        <v>OZON_OA</v>
      </c>
      <c r="D2146" s="125" t="str">
        <f>IFERROR(VLOOKUP($A2146,HeadJournal!$A$1:$NTR$890,COLUMN(HeadJournal!D$1),0),"")</f>
        <v>Доставлен</v>
      </c>
      <c r="E2146" s="95">
        <f>IFERROR(VLOOKUP($A2146,HeadJournal!$A$1:$NTR$890,COLUMN(HeadJournal!G$1),0),"")</f>
        <v>45184</v>
      </c>
      <c r="F2146" s="95" t="str">
        <f t="shared" si="169"/>
        <v>2023 09</v>
      </c>
      <c r="G2146" s="96" t="s">
        <v>6</v>
      </c>
      <c r="H2146" s="160" t="str">
        <f>RIGHT(Journal!$J2146,9)</f>
        <v>425941426</v>
      </c>
      <c r="I2146" s="96" t="str">
        <f t="shared" si="171"/>
        <v>VitaMeal</v>
      </c>
      <c r="J2146" s="97" t="s">
        <v>923</v>
      </c>
      <c r="K2146" s="29">
        <v>580</v>
      </c>
      <c r="L2146" s="29">
        <v>0</v>
      </c>
      <c r="M2146" s="30">
        <f>IFERROR(VLOOKUP($A2146,HeadJournal!$A$1:$J$890,COLUMN(HeadJournal!I$1),0)*($K2146+$L2146)/(SUMIF($A:$A,$A2146,$K:$K)+SUMIF($A:$A,$A2146,$L:$L)),0)</f>
        <v>0</v>
      </c>
      <c r="N2146" s="30">
        <f>IFERROR((VLOOKUP($A2146,HeadJournal!$A$1:$K$890,COLUMN(HeadJournal!K$1),0)-VLOOKUP($A2146,HeadJournal!$A$1:$K$890,COLUMN(HeadJournal!J$1),0))*($K2146+$L2146)/(SUMIF($A:$A,$A2146,$K:$K)+SUMIF($A:$A,$A2146,$L:$L)),0)</f>
        <v>0</v>
      </c>
      <c r="O2146" s="30">
        <f>IFERROR((VLOOKUP($A2146,HeadJournal!$A$1:$L$890,COLUMN(HeadJournal!L$1),0)*($K2146+$L2146)/(SUMIF($A:$A,$A2146,$K:$K)+SUMIF($A:$A,$A2146,$L:$L)))/VLOOKUP($A2146,HeadJournal!$A$1:$L$890,COLUMN(HeadJournal!H$1),0),0)</f>
        <v>58</v>
      </c>
      <c r="P2146" s="30">
        <f>IFERROR(SUM(K2146:O2146)*VLOOKUP($A2146,HeadJournal!$A$1:$L$890,COLUMN(HeadJournal!H$1),0),0)</f>
        <v>638</v>
      </c>
      <c r="Q2146" s="29">
        <v>1100</v>
      </c>
      <c r="R2146" s="31">
        <v>45357</v>
      </c>
      <c r="S2146" s="31" t="s">
        <v>3121</v>
      </c>
      <c r="T2146" s="95" t="str">
        <f t="shared" si="170"/>
        <v>2024 03</v>
      </c>
      <c r="U2146" s="32">
        <f t="shared" si="167"/>
        <v>462</v>
      </c>
      <c r="V2146" s="22">
        <f t="shared" si="168"/>
        <v>0.72413793103448276</v>
      </c>
      <c r="X2146" s="33"/>
      <c r="Y2146" s="33"/>
    </row>
    <row r="2147" spans="1:25" x14ac:dyDescent="0.2">
      <c r="A2147" s="93" t="s">
        <v>955</v>
      </c>
      <c r="B2147" s="94">
        <f>IFERROR(VLOOKUP($A2147,HeadJournal!$A$1:$NTR$890,COLUMN(HeadJournal!B$1),0),"")</f>
        <v>0</v>
      </c>
      <c r="C2147" s="94" t="str">
        <f>IFERROR(VLOOKUP($A2147,HeadJournal!$A$1:$NTR$890,COLUMN(HeadJournal!C$1),0),"")</f>
        <v>OZON_OA</v>
      </c>
      <c r="D2147" s="125" t="str">
        <f>IFERROR(VLOOKUP($A2147,HeadJournal!$A$1:$NTR$890,COLUMN(HeadJournal!D$1),0),"")</f>
        <v>Доставлен</v>
      </c>
      <c r="E2147" s="95">
        <f>IFERROR(VLOOKUP($A2147,HeadJournal!$A$1:$NTR$890,COLUMN(HeadJournal!G$1),0),"")</f>
        <v>45184</v>
      </c>
      <c r="F2147" s="95" t="str">
        <f t="shared" si="169"/>
        <v>2023 09</v>
      </c>
      <c r="G2147" s="96" t="s">
        <v>6</v>
      </c>
      <c r="H2147" s="160" t="str">
        <f>RIGHT(Journal!$J2147,9)</f>
        <v>425941426</v>
      </c>
      <c r="I2147" s="96" t="str">
        <f t="shared" si="171"/>
        <v>VitaMeal</v>
      </c>
      <c r="J2147" s="97" t="s">
        <v>923</v>
      </c>
      <c r="K2147" s="29">
        <v>580</v>
      </c>
      <c r="L2147" s="29">
        <v>0</v>
      </c>
      <c r="M2147" s="30">
        <f>IFERROR(VLOOKUP($A2147,HeadJournal!$A$1:$J$890,COLUMN(HeadJournal!I$1),0)*($K2147+$L2147)/(SUMIF($A:$A,$A2147,$K:$K)+SUMIF($A:$A,$A2147,$L:$L)),0)</f>
        <v>0</v>
      </c>
      <c r="N2147" s="30">
        <f>IFERROR((VLOOKUP($A2147,HeadJournal!$A$1:$K$890,COLUMN(HeadJournal!K$1),0)-VLOOKUP($A2147,HeadJournal!$A$1:$K$890,COLUMN(HeadJournal!J$1),0))*($K2147+$L2147)/(SUMIF($A:$A,$A2147,$K:$K)+SUMIF($A:$A,$A2147,$L:$L)),0)</f>
        <v>0</v>
      </c>
      <c r="O2147" s="30">
        <f>IFERROR((VLOOKUP($A2147,HeadJournal!$A$1:$L$890,COLUMN(HeadJournal!L$1),0)*($K2147+$L2147)/(SUMIF($A:$A,$A2147,$K:$K)+SUMIF($A:$A,$A2147,$L:$L)))/VLOOKUP($A2147,HeadJournal!$A$1:$L$890,COLUMN(HeadJournal!H$1),0),0)</f>
        <v>58</v>
      </c>
      <c r="P2147" s="30">
        <f>IFERROR(SUM(K2147:O2147)*VLOOKUP($A2147,HeadJournal!$A$1:$L$890,COLUMN(HeadJournal!H$1),0),0)</f>
        <v>638</v>
      </c>
      <c r="Q2147" s="29"/>
      <c r="R2147" s="31"/>
      <c r="S2147" s="31"/>
      <c r="T2147" s="95" t="str">
        <f t="shared" si="170"/>
        <v/>
      </c>
      <c r="U2147" s="32">
        <f t="shared" si="167"/>
        <v>-638</v>
      </c>
      <c r="V2147" s="22" t="str">
        <f t="shared" si="168"/>
        <v/>
      </c>
      <c r="X2147" s="33"/>
      <c r="Y2147" s="33"/>
    </row>
    <row r="2148" spans="1:25" x14ac:dyDescent="0.2">
      <c r="A2148" s="93" t="s">
        <v>955</v>
      </c>
      <c r="B2148" s="94">
        <f>IFERROR(VLOOKUP($A2148,HeadJournal!$A$1:$NTR$890,COLUMN(HeadJournal!B$1),0),"")</f>
        <v>0</v>
      </c>
      <c r="C2148" s="94" t="str">
        <f>IFERROR(VLOOKUP($A2148,HeadJournal!$A$1:$NTR$890,COLUMN(HeadJournal!C$1),0),"")</f>
        <v>OZON_OA</v>
      </c>
      <c r="D2148" s="125" t="str">
        <f>IFERROR(VLOOKUP($A2148,HeadJournal!$A$1:$NTR$890,COLUMN(HeadJournal!D$1),0),"")</f>
        <v>Доставлен</v>
      </c>
      <c r="E2148" s="95">
        <f>IFERROR(VLOOKUP($A2148,HeadJournal!$A$1:$NTR$890,COLUMN(HeadJournal!G$1),0),"")</f>
        <v>45184</v>
      </c>
      <c r="F2148" s="95" t="str">
        <f t="shared" si="169"/>
        <v>2023 09</v>
      </c>
      <c r="G2148" s="96" t="s">
        <v>6</v>
      </c>
      <c r="H2148" s="160" t="str">
        <f>RIGHT(Journal!$J2148,9)</f>
        <v>425908558</v>
      </c>
      <c r="I2148" s="96" t="str">
        <f t="shared" si="171"/>
        <v>VitaMeal</v>
      </c>
      <c r="J2148" s="97" t="s">
        <v>956</v>
      </c>
      <c r="K2148" s="29">
        <v>615</v>
      </c>
      <c r="L2148" s="29">
        <v>0</v>
      </c>
      <c r="M2148" s="30">
        <f>IFERROR(VLOOKUP($A2148,HeadJournal!$A$1:$J$890,COLUMN(HeadJournal!I$1),0)*($K2148+$L2148)/(SUMIF($A:$A,$A2148,$K:$K)+SUMIF($A:$A,$A2148,$L:$L)),0)</f>
        <v>0</v>
      </c>
      <c r="N2148" s="30">
        <f>IFERROR((VLOOKUP($A2148,HeadJournal!$A$1:$K$890,COLUMN(HeadJournal!K$1),0)-VLOOKUP($A2148,HeadJournal!$A$1:$K$890,COLUMN(HeadJournal!J$1),0))*($K2148+$L2148)/(SUMIF($A:$A,$A2148,$K:$K)+SUMIF($A:$A,$A2148,$L:$L)),0)</f>
        <v>0</v>
      </c>
      <c r="O2148" s="30">
        <f>IFERROR((VLOOKUP($A2148,HeadJournal!$A$1:$L$890,COLUMN(HeadJournal!L$1),0)*($K2148+$L2148)/(SUMIF($A:$A,$A2148,$K:$K)+SUMIF($A:$A,$A2148,$L:$L)))/VLOOKUP($A2148,HeadJournal!$A$1:$L$890,COLUMN(HeadJournal!H$1),0),0)</f>
        <v>61.5</v>
      </c>
      <c r="P2148" s="30">
        <f>IFERROR(SUM(K2148:O2148)*VLOOKUP($A2148,HeadJournal!$A$1:$L$890,COLUMN(HeadJournal!H$1),0),0)</f>
        <v>676.5</v>
      </c>
      <c r="Q2148" s="29">
        <v>1100</v>
      </c>
      <c r="R2148" s="31">
        <v>45357</v>
      </c>
      <c r="S2148" s="31" t="s">
        <v>3121</v>
      </c>
      <c r="T2148" s="95" t="str">
        <f t="shared" si="170"/>
        <v>2024 03</v>
      </c>
      <c r="U2148" s="32">
        <f t="shared" si="167"/>
        <v>423.5</v>
      </c>
      <c r="V2148" s="22">
        <f t="shared" si="168"/>
        <v>0.62601626016260159</v>
      </c>
      <c r="X2148" s="33"/>
      <c r="Y2148" s="33"/>
    </row>
    <row r="2149" spans="1:25" x14ac:dyDescent="0.2">
      <c r="A2149" s="93" t="s">
        <v>955</v>
      </c>
      <c r="B2149" s="94">
        <f>IFERROR(VLOOKUP($A2149,HeadJournal!$A$1:$NTR$890,COLUMN(HeadJournal!B$1),0),"")</f>
        <v>0</v>
      </c>
      <c r="C2149" s="94" t="str">
        <f>IFERROR(VLOOKUP($A2149,HeadJournal!$A$1:$NTR$890,COLUMN(HeadJournal!C$1),0),"")</f>
        <v>OZON_OA</v>
      </c>
      <c r="D2149" s="125" t="str">
        <f>IFERROR(VLOOKUP($A2149,HeadJournal!$A$1:$NTR$890,COLUMN(HeadJournal!D$1),0),"")</f>
        <v>Доставлен</v>
      </c>
      <c r="E2149" s="95">
        <f>IFERROR(VLOOKUP($A2149,HeadJournal!$A$1:$NTR$890,COLUMN(HeadJournal!G$1),0),"")</f>
        <v>45184</v>
      </c>
      <c r="F2149" s="95" t="str">
        <f t="shared" si="169"/>
        <v>2023 09</v>
      </c>
      <c r="G2149" s="96" t="s">
        <v>6</v>
      </c>
      <c r="H2149" s="160" t="str">
        <f>RIGHT(Journal!$J2149,9)</f>
        <v>425908558</v>
      </c>
      <c r="I2149" s="96" t="str">
        <f t="shared" si="171"/>
        <v>VitaMeal</v>
      </c>
      <c r="J2149" s="97" t="s">
        <v>956</v>
      </c>
      <c r="K2149" s="29">
        <v>615</v>
      </c>
      <c r="L2149" s="29">
        <v>0</v>
      </c>
      <c r="M2149" s="30">
        <f>IFERROR(VLOOKUP($A2149,HeadJournal!$A$1:$J$890,COLUMN(HeadJournal!I$1),0)*($K2149+$L2149)/(SUMIF($A:$A,$A2149,$K:$K)+SUMIF($A:$A,$A2149,$L:$L)),0)</f>
        <v>0</v>
      </c>
      <c r="N2149" s="30">
        <f>IFERROR((VLOOKUP($A2149,HeadJournal!$A$1:$K$890,COLUMN(HeadJournal!K$1),0)-VLOOKUP($A2149,HeadJournal!$A$1:$K$890,COLUMN(HeadJournal!J$1),0))*($K2149+$L2149)/(SUMIF($A:$A,$A2149,$K:$K)+SUMIF($A:$A,$A2149,$L:$L)),0)</f>
        <v>0</v>
      </c>
      <c r="O2149" s="30">
        <f>IFERROR((VLOOKUP($A2149,HeadJournal!$A$1:$L$890,COLUMN(HeadJournal!L$1),0)*($K2149+$L2149)/(SUMIF($A:$A,$A2149,$K:$K)+SUMIF($A:$A,$A2149,$L:$L)))/VLOOKUP($A2149,HeadJournal!$A$1:$L$890,COLUMN(HeadJournal!H$1),0),0)</f>
        <v>61.5</v>
      </c>
      <c r="P2149" s="30">
        <f>IFERROR(SUM(K2149:O2149)*VLOOKUP($A2149,HeadJournal!$A$1:$L$890,COLUMN(HeadJournal!H$1),0),0)</f>
        <v>676.5</v>
      </c>
      <c r="Q2149" s="29"/>
      <c r="R2149" s="31"/>
      <c r="S2149" s="31"/>
      <c r="T2149" s="95" t="str">
        <f t="shared" si="170"/>
        <v/>
      </c>
      <c r="U2149" s="32">
        <f t="shared" si="167"/>
        <v>-676.5</v>
      </c>
      <c r="V2149" s="22" t="str">
        <f t="shared" si="168"/>
        <v/>
      </c>
      <c r="X2149" s="33"/>
      <c r="Y2149" s="33"/>
    </row>
    <row r="2150" spans="1:25" x14ac:dyDescent="0.2">
      <c r="A2150" s="93" t="s">
        <v>957</v>
      </c>
      <c r="B2150" s="94">
        <f>IFERROR(VLOOKUP($A2150,HeadJournal!$A$1:$NTR$890,COLUMN(HeadJournal!B$1),0),"")</f>
        <v>0</v>
      </c>
      <c r="C2150" s="94" t="str">
        <f>IFERROR(VLOOKUP($A2150,HeadJournal!$A$1:$NTR$890,COLUMN(HeadJournal!C$1),0),"")</f>
        <v>WBRS</v>
      </c>
      <c r="D2150" s="125" t="str">
        <f>IFERROR(VLOOKUP($A2150,HeadJournal!$A$1:$NTR$890,COLUMN(HeadJournal!D$1),0),"")</f>
        <v>Доставлен</v>
      </c>
      <c r="E2150" s="95">
        <f>IFERROR(VLOOKUP($A2150,HeadJournal!$A$1:$NTR$890,COLUMN(HeadJournal!G$1),0),"")</f>
        <v>45182</v>
      </c>
      <c r="F2150" s="95" t="str">
        <f t="shared" si="169"/>
        <v>2023 09</v>
      </c>
      <c r="G2150" s="96" t="s">
        <v>5</v>
      </c>
      <c r="H2150" s="160" t="str">
        <f>RIGHT(Journal!$J2150,9)</f>
        <v>048748589</v>
      </c>
      <c r="I2150" s="96" t="str">
        <f t="shared" si="171"/>
        <v>Dabur</v>
      </c>
      <c r="J2150" s="97" t="s">
        <v>958</v>
      </c>
      <c r="K2150" s="29">
        <v>549</v>
      </c>
      <c r="L2150" s="29">
        <v>0</v>
      </c>
      <c r="M2150" s="30">
        <f>IFERROR(VLOOKUP($A2150,HeadJournal!$A$1:$J$890,COLUMN(HeadJournal!I$1),0)*($K2150+$L2150)/(SUMIF($A:$A,$A2150,$K:$K)+SUMIF($A:$A,$A2150,$L:$L)),0)</f>
        <v>0</v>
      </c>
      <c r="N2150" s="30">
        <f>IFERROR((VLOOKUP($A2150,HeadJournal!$A$1:$K$890,COLUMN(HeadJournal!K$1),0)-VLOOKUP($A2150,HeadJournal!$A$1:$K$890,COLUMN(HeadJournal!J$1),0))*($K2150+$L2150)/(SUMIF($A:$A,$A2150,$K:$K)+SUMIF($A:$A,$A2150,$L:$L)),0)</f>
        <v>0</v>
      </c>
      <c r="O2150" s="30">
        <f>IFERROR((VLOOKUP($A2150,HeadJournal!$A$1:$L$890,COLUMN(HeadJournal!L$1),0)*($K2150+$L2150)/(SUMIF($A:$A,$A2150,$K:$K)+SUMIF($A:$A,$A2150,$L:$L)))/VLOOKUP($A2150,HeadJournal!$A$1:$L$890,COLUMN(HeadJournal!H$1),0),0)</f>
        <v>54.900000000000006</v>
      </c>
      <c r="P2150" s="30">
        <f>IFERROR(SUM(K2150:O2150)*VLOOKUP($A2150,HeadJournal!$A$1:$L$890,COLUMN(HeadJournal!H$1),0),0)</f>
        <v>603.9</v>
      </c>
      <c r="Q2150" s="29">
        <v>1300</v>
      </c>
      <c r="R2150" s="31">
        <v>45197</v>
      </c>
      <c r="S2150" s="31" t="s">
        <v>3121</v>
      </c>
      <c r="T2150" s="95" t="str">
        <f t="shared" si="170"/>
        <v>2023 09</v>
      </c>
      <c r="U2150" s="32">
        <f t="shared" si="167"/>
        <v>696.1</v>
      </c>
      <c r="V2150" s="22">
        <f t="shared" si="168"/>
        <v>1.1526742838218249</v>
      </c>
      <c r="X2150" s="33"/>
      <c r="Y2150" s="33"/>
    </row>
    <row r="2151" spans="1:25" x14ac:dyDescent="0.2">
      <c r="A2151" s="93" t="s">
        <v>957</v>
      </c>
      <c r="B2151" s="94">
        <f>IFERROR(VLOOKUP($A2151,HeadJournal!$A$1:$NTR$890,COLUMN(HeadJournal!B$1),0),"")</f>
        <v>0</v>
      </c>
      <c r="C2151" s="94" t="str">
        <f>IFERROR(VLOOKUP($A2151,HeadJournal!$A$1:$NTR$890,COLUMN(HeadJournal!C$1),0),"")</f>
        <v>WBRS</v>
      </c>
      <c r="D2151" s="125" t="str">
        <f>IFERROR(VLOOKUP($A2151,HeadJournal!$A$1:$NTR$890,COLUMN(HeadJournal!D$1),0),"")</f>
        <v>Доставлен</v>
      </c>
      <c r="E2151" s="95">
        <f>IFERROR(VLOOKUP($A2151,HeadJournal!$A$1:$NTR$890,COLUMN(HeadJournal!G$1),0),"")</f>
        <v>45182</v>
      </c>
      <c r="F2151" s="95" t="str">
        <f t="shared" si="169"/>
        <v>2023 09</v>
      </c>
      <c r="G2151" s="96" t="s">
        <v>5</v>
      </c>
      <c r="H2151" s="160" t="str">
        <f>RIGHT(Journal!$J2151,9)</f>
        <v>048748589</v>
      </c>
      <c r="I2151" s="96" t="str">
        <f t="shared" si="171"/>
        <v>Dabur</v>
      </c>
      <c r="J2151" s="97" t="s">
        <v>958</v>
      </c>
      <c r="K2151" s="29">
        <v>549</v>
      </c>
      <c r="L2151" s="29">
        <v>0</v>
      </c>
      <c r="M2151" s="30">
        <f>IFERROR(VLOOKUP($A2151,HeadJournal!$A$1:$J$890,COLUMN(HeadJournal!I$1),0)*($K2151+$L2151)/(SUMIF($A:$A,$A2151,$K:$K)+SUMIF($A:$A,$A2151,$L:$L)),0)</f>
        <v>0</v>
      </c>
      <c r="N2151" s="30">
        <f>IFERROR((VLOOKUP($A2151,HeadJournal!$A$1:$K$890,COLUMN(HeadJournal!K$1),0)-VLOOKUP($A2151,HeadJournal!$A$1:$K$890,COLUMN(HeadJournal!J$1),0))*($K2151+$L2151)/(SUMIF($A:$A,$A2151,$K:$K)+SUMIF($A:$A,$A2151,$L:$L)),0)</f>
        <v>0</v>
      </c>
      <c r="O2151" s="30">
        <f>IFERROR((VLOOKUP($A2151,HeadJournal!$A$1:$L$890,COLUMN(HeadJournal!L$1),0)*($K2151+$L2151)/(SUMIF($A:$A,$A2151,$K:$K)+SUMIF($A:$A,$A2151,$L:$L)))/VLOOKUP($A2151,HeadJournal!$A$1:$L$890,COLUMN(HeadJournal!H$1),0),0)</f>
        <v>54.900000000000006</v>
      </c>
      <c r="P2151" s="30">
        <f>IFERROR(SUM(K2151:O2151)*VLOOKUP($A2151,HeadJournal!$A$1:$L$890,COLUMN(HeadJournal!H$1),0),0)</f>
        <v>603.9</v>
      </c>
      <c r="Q2151" s="29">
        <v>1200</v>
      </c>
      <c r="R2151" s="31">
        <v>45337</v>
      </c>
      <c r="S2151" s="31" t="s">
        <v>3121</v>
      </c>
      <c r="T2151" s="95" t="str">
        <f t="shared" si="170"/>
        <v>2024 02</v>
      </c>
      <c r="U2151" s="32">
        <f t="shared" si="167"/>
        <v>596.1</v>
      </c>
      <c r="V2151" s="22">
        <f t="shared" si="168"/>
        <v>0.98708395429706908</v>
      </c>
      <c r="X2151" s="33"/>
      <c r="Y2151" s="33"/>
    </row>
    <row r="2152" spans="1:25" x14ac:dyDescent="0.2">
      <c r="A2152" s="93" t="s">
        <v>959</v>
      </c>
      <c r="B2152" s="94">
        <f>IFERROR(VLOOKUP($A2152,HeadJournal!$A$1:$NTR$890,COLUMN(HeadJournal!B$1),0),"")</f>
        <v>0</v>
      </c>
      <c r="C2152" s="94" t="str">
        <f>IFERROR(VLOOKUP($A2152,HeadJournal!$A$1:$NTR$890,COLUMN(HeadJournal!C$1),0),"")</f>
        <v>WBRS</v>
      </c>
      <c r="D2152" s="125" t="str">
        <f>IFERROR(VLOOKUP($A2152,HeadJournal!$A$1:$NTR$890,COLUMN(HeadJournal!D$1),0),"")</f>
        <v>Доставлен</v>
      </c>
      <c r="E2152" s="95">
        <f>IFERROR(VLOOKUP($A2152,HeadJournal!$A$1:$NTR$890,COLUMN(HeadJournal!G$1),0),"")</f>
        <v>45184</v>
      </c>
      <c r="F2152" s="95" t="str">
        <f t="shared" si="169"/>
        <v>2023 09</v>
      </c>
      <c r="G2152" s="96" t="s">
        <v>6</v>
      </c>
      <c r="H2152" s="160" t="str">
        <f>RIGHT(Journal!$J2152,9)</f>
        <v>143233562</v>
      </c>
      <c r="I2152" s="96" t="str">
        <f t="shared" si="171"/>
        <v>Workout time</v>
      </c>
      <c r="J2152" s="97" t="s">
        <v>791</v>
      </c>
      <c r="K2152" s="29">
        <v>362</v>
      </c>
      <c r="L2152" s="29">
        <v>0</v>
      </c>
      <c r="M2152" s="30">
        <f>IFERROR(VLOOKUP($A2152,HeadJournal!$A$1:$J$890,COLUMN(HeadJournal!I$1),0)*($K2152+$L2152)/(SUMIF($A:$A,$A2152,$K:$K)+SUMIF($A:$A,$A2152,$L:$L)),0)</f>
        <v>0</v>
      </c>
      <c r="N2152" s="30">
        <f>IFERROR((VLOOKUP($A2152,HeadJournal!$A$1:$K$890,COLUMN(HeadJournal!K$1),0)-VLOOKUP($A2152,HeadJournal!$A$1:$K$890,COLUMN(HeadJournal!J$1),0))*($K2152+$L2152)/(SUMIF($A:$A,$A2152,$K:$K)+SUMIF($A:$A,$A2152,$L:$L)),0)</f>
        <v>0</v>
      </c>
      <c r="O2152" s="30">
        <f>IFERROR((VLOOKUP($A2152,HeadJournal!$A$1:$L$890,COLUMN(HeadJournal!L$1),0)*($K2152+$L2152)/(SUMIF($A:$A,$A2152,$K:$K)+SUMIF($A:$A,$A2152,$L:$L)))/VLOOKUP($A2152,HeadJournal!$A$1:$L$890,COLUMN(HeadJournal!H$1),0),0)</f>
        <v>36.200000000000003</v>
      </c>
      <c r="P2152" s="30">
        <f>IFERROR(SUM(K2152:O2152)*VLOOKUP($A2152,HeadJournal!$A$1:$L$890,COLUMN(HeadJournal!H$1),0),0)</f>
        <v>398.2</v>
      </c>
      <c r="Q2152" s="29">
        <v>650</v>
      </c>
      <c r="R2152" s="31">
        <v>45195</v>
      </c>
      <c r="S2152" s="31" t="s">
        <v>3121</v>
      </c>
      <c r="T2152" s="95" t="str">
        <f t="shared" si="170"/>
        <v>2023 09</v>
      </c>
      <c r="U2152" s="32">
        <f t="shared" si="167"/>
        <v>251.8</v>
      </c>
      <c r="V2152" s="22">
        <f t="shared" si="168"/>
        <v>0.63234555499748879</v>
      </c>
      <c r="X2152" s="33"/>
      <c r="Y2152" s="33"/>
    </row>
    <row r="2153" spans="1:25" x14ac:dyDescent="0.2">
      <c r="A2153" s="93" t="s">
        <v>959</v>
      </c>
      <c r="B2153" s="94">
        <f>IFERROR(VLOOKUP($A2153,HeadJournal!$A$1:$NTR$890,COLUMN(HeadJournal!B$1),0),"")</f>
        <v>0</v>
      </c>
      <c r="C2153" s="94" t="str">
        <f>IFERROR(VLOOKUP($A2153,HeadJournal!$A$1:$NTR$890,COLUMN(HeadJournal!C$1),0),"")</f>
        <v>WBRS</v>
      </c>
      <c r="D2153" s="125" t="str">
        <f>IFERROR(VLOOKUP($A2153,HeadJournal!$A$1:$NTR$890,COLUMN(HeadJournal!D$1),0),"")</f>
        <v>Доставлен</v>
      </c>
      <c r="E2153" s="95">
        <f>IFERROR(VLOOKUP($A2153,HeadJournal!$A$1:$NTR$890,COLUMN(HeadJournal!G$1),0),"")</f>
        <v>45184</v>
      </c>
      <c r="F2153" s="95" t="str">
        <f t="shared" si="169"/>
        <v>2023 09</v>
      </c>
      <c r="G2153" s="96" t="s">
        <v>6</v>
      </c>
      <c r="H2153" s="160" t="str">
        <f>RIGHT(Journal!$J2153,9)</f>
        <v>143233562</v>
      </c>
      <c r="I2153" s="96" t="str">
        <f t="shared" si="171"/>
        <v>Workout time</v>
      </c>
      <c r="J2153" s="97" t="s">
        <v>791</v>
      </c>
      <c r="K2153" s="29">
        <v>362</v>
      </c>
      <c r="L2153" s="29">
        <v>0</v>
      </c>
      <c r="M2153" s="30">
        <f>IFERROR(VLOOKUP($A2153,HeadJournal!$A$1:$J$890,COLUMN(HeadJournal!I$1),0)*($K2153+$L2153)/(SUMIF($A:$A,$A2153,$K:$K)+SUMIF($A:$A,$A2153,$L:$L)),0)</f>
        <v>0</v>
      </c>
      <c r="N2153" s="30">
        <f>IFERROR((VLOOKUP($A2153,HeadJournal!$A$1:$K$890,COLUMN(HeadJournal!K$1),0)-VLOOKUP($A2153,HeadJournal!$A$1:$K$890,COLUMN(HeadJournal!J$1),0))*($K2153+$L2153)/(SUMIF($A:$A,$A2153,$K:$K)+SUMIF($A:$A,$A2153,$L:$L)),0)</f>
        <v>0</v>
      </c>
      <c r="O2153" s="30">
        <f>IFERROR((VLOOKUP($A2153,HeadJournal!$A$1:$L$890,COLUMN(HeadJournal!L$1),0)*($K2153+$L2153)/(SUMIF($A:$A,$A2153,$K:$K)+SUMIF($A:$A,$A2153,$L:$L)))/VLOOKUP($A2153,HeadJournal!$A$1:$L$890,COLUMN(HeadJournal!H$1),0),0)</f>
        <v>36.200000000000003</v>
      </c>
      <c r="P2153" s="30">
        <f>IFERROR(SUM(K2153:O2153)*VLOOKUP($A2153,HeadJournal!$A$1:$L$890,COLUMN(HeadJournal!H$1),0),0)</f>
        <v>398.2</v>
      </c>
      <c r="Q2153" s="29">
        <v>650</v>
      </c>
      <c r="R2153" s="31">
        <v>45195</v>
      </c>
      <c r="S2153" s="31" t="s">
        <v>3121</v>
      </c>
      <c r="T2153" s="95" t="str">
        <f t="shared" si="170"/>
        <v>2023 09</v>
      </c>
      <c r="U2153" s="32">
        <f t="shared" si="167"/>
        <v>251.8</v>
      </c>
      <c r="V2153" s="22">
        <f t="shared" si="168"/>
        <v>0.63234555499748879</v>
      </c>
      <c r="X2153" s="33"/>
      <c r="Y2153" s="33"/>
    </row>
    <row r="2154" spans="1:25" x14ac:dyDescent="0.2">
      <c r="A2154" s="93" t="s">
        <v>959</v>
      </c>
      <c r="B2154" s="94">
        <f>IFERROR(VLOOKUP($A2154,HeadJournal!$A$1:$NTR$890,COLUMN(HeadJournal!B$1),0),"")</f>
        <v>0</v>
      </c>
      <c r="C2154" s="94" t="str">
        <f>IFERROR(VLOOKUP($A2154,HeadJournal!$A$1:$NTR$890,COLUMN(HeadJournal!C$1),0),"")</f>
        <v>WBRS</v>
      </c>
      <c r="D2154" s="125" t="str">
        <f>IFERROR(VLOOKUP($A2154,HeadJournal!$A$1:$NTR$890,COLUMN(HeadJournal!D$1),0),"")</f>
        <v>Доставлен</v>
      </c>
      <c r="E2154" s="95">
        <f>IFERROR(VLOOKUP($A2154,HeadJournal!$A$1:$NTR$890,COLUMN(HeadJournal!G$1),0),"")</f>
        <v>45184</v>
      </c>
      <c r="F2154" s="95" t="str">
        <f t="shared" si="169"/>
        <v>2023 09</v>
      </c>
      <c r="G2154" s="96" t="s">
        <v>6</v>
      </c>
      <c r="H2154" s="160" t="str">
        <f>RIGHT(Journal!$J2154,9)</f>
        <v>143233562</v>
      </c>
      <c r="I2154" s="96" t="str">
        <f t="shared" si="171"/>
        <v>Workout time</v>
      </c>
      <c r="J2154" s="97" t="s">
        <v>791</v>
      </c>
      <c r="K2154" s="29">
        <v>362</v>
      </c>
      <c r="L2154" s="29">
        <v>0</v>
      </c>
      <c r="M2154" s="30">
        <f>IFERROR(VLOOKUP($A2154,HeadJournal!$A$1:$J$890,COLUMN(HeadJournal!I$1),0)*($K2154+$L2154)/(SUMIF($A:$A,$A2154,$K:$K)+SUMIF($A:$A,$A2154,$L:$L)),0)</f>
        <v>0</v>
      </c>
      <c r="N2154" s="30">
        <f>IFERROR((VLOOKUP($A2154,HeadJournal!$A$1:$K$890,COLUMN(HeadJournal!K$1),0)-VLOOKUP($A2154,HeadJournal!$A$1:$K$890,COLUMN(HeadJournal!J$1),0))*($K2154+$L2154)/(SUMIF($A:$A,$A2154,$K:$K)+SUMIF($A:$A,$A2154,$L:$L)),0)</f>
        <v>0</v>
      </c>
      <c r="O2154" s="30">
        <f>IFERROR((VLOOKUP($A2154,HeadJournal!$A$1:$L$890,COLUMN(HeadJournal!L$1),0)*($K2154+$L2154)/(SUMIF($A:$A,$A2154,$K:$K)+SUMIF($A:$A,$A2154,$L:$L)))/VLOOKUP($A2154,HeadJournal!$A$1:$L$890,COLUMN(HeadJournal!H$1),0),0)</f>
        <v>36.200000000000003</v>
      </c>
      <c r="P2154" s="30">
        <f>IFERROR(SUM(K2154:O2154)*VLOOKUP($A2154,HeadJournal!$A$1:$L$890,COLUMN(HeadJournal!H$1),0),0)</f>
        <v>398.2</v>
      </c>
      <c r="Q2154" s="29">
        <v>550</v>
      </c>
      <c r="R2154" s="31">
        <v>45195</v>
      </c>
      <c r="S2154" s="31" t="s">
        <v>3121</v>
      </c>
      <c r="T2154" s="95" t="str">
        <f t="shared" si="170"/>
        <v>2023 09</v>
      </c>
      <c r="U2154" s="32">
        <f t="shared" si="167"/>
        <v>151.80000000000001</v>
      </c>
      <c r="V2154" s="22">
        <f t="shared" si="168"/>
        <v>0.38121546961325969</v>
      </c>
      <c r="X2154" s="33"/>
      <c r="Y2154" s="33"/>
    </row>
    <row r="2155" spans="1:25" x14ac:dyDescent="0.2">
      <c r="A2155" s="93" t="s">
        <v>959</v>
      </c>
      <c r="B2155" s="94">
        <f>IFERROR(VLOOKUP($A2155,HeadJournal!$A$1:$NTR$890,COLUMN(HeadJournal!B$1),0),"")</f>
        <v>0</v>
      </c>
      <c r="C2155" s="94" t="str">
        <f>IFERROR(VLOOKUP($A2155,HeadJournal!$A$1:$NTR$890,COLUMN(HeadJournal!C$1),0),"")</f>
        <v>WBRS</v>
      </c>
      <c r="D2155" s="125" t="str">
        <f>IFERROR(VLOOKUP($A2155,HeadJournal!$A$1:$NTR$890,COLUMN(HeadJournal!D$1),0),"")</f>
        <v>Доставлен</v>
      </c>
      <c r="E2155" s="95">
        <f>IFERROR(VLOOKUP($A2155,HeadJournal!$A$1:$NTR$890,COLUMN(HeadJournal!G$1),0),"")</f>
        <v>45184</v>
      </c>
      <c r="F2155" s="95" t="str">
        <f t="shared" si="169"/>
        <v>2023 09</v>
      </c>
      <c r="G2155" s="96" t="s">
        <v>6</v>
      </c>
      <c r="H2155" s="160" t="str">
        <f>RIGHT(Journal!$J2155,9)</f>
        <v>143233562</v>
      </c>
      <c r="I2155" s="96" t="str">
        <f t="shared" si="171"/>
        <v>Workout time</v>
      </c>
      <c r="J2155" s="97" t="s">
        <v>791</v>
      </c>
      <c r="K2155" s="29">
        <v>362</v>
      </c>
      <c r="L2155" s="29">
        <v>0</v>
      </c>
      <c r="M2155" s="30">
        <f>IFERROR(VLOOKUP($A2155,HeadJournal!$A$1:$J$890,COLUMN(HeadJournal!I$1),0)*($K2155+$L2155)/(SUMIF($A:$A,$A2155,$K:$K)+SUMIF($A:$A,$A2155,$L:$L)),0)</f>
        <v>0</v>
      </c>
      <c r="N2155" s="30">
        <f>IFERROR((VLOOKUP($A2155,HeadJournal!$A$1:$K$890,COLUMN(HeadJournal!K$1),0)-VLOOKUP($A2155,HeadJournal!$A$1:$K$890,COLUMN(HeadJournal!J$1),0))*($K2155+$L2155)/(SUMIF($A:$A,$A2155,$K:$K)+SUMIF($A:$A,$A2155,$L:$L)),0)</f>
        <v>0</v>
      </c>
      <c r="O2155" s="30">
        <f>IFERROR((VLOOKUP($A2155,HeadJournal!$A$1:$L$890,COLUMN(HeadJournal!L$1),0)*($K2155+$L2155)/(SUMIF($A:$A,$A2155,$K:$K)+SUMIF($A:$A,$A2155,$L:$L)))/VLOOKUP($A2155,HeadJournal!$A$1:$L$890,COLUMN(HeadJournal!H$1),0),0)</f>
        <v>36.200000000000003</v>
      </c>
      <c r="P2155" s="30">
        <f>IFERROR(SUM(K2155:O2155)*VLOOKUP($A2155,HeadJournal!$A$1:$L$890,COLUMN(HeadJournal!H$1),0),0)</f>
        <v>398.2</v>
      </c>
      <c r="Q2155" s="29">
        <v>550</v>
      </c>
      <c r="R2155" s="31">
        <v>45195</v>
      </c>
      <c r="S2155" s="31" t="s">
        <v>3121</v>
      </c>
      <c r="T2155" s="95" t="str">
        <f t="shared" si="170"/>
        <v>2023 09</v>
      </c>
      <c r="U2155" s="32">
        <f t="shared" si="167"/>
        <v>151.80000000000001</v>
      </c>
      <c r="V2155" s="22">
        <f t="shared" si="168"/>
        <v>0.38121546961325969</v>
      </c>
      <c r="X2155" s="33"/>
      <c r="Y2155" s="33"/>
    </row>
    <row r="2156" spans="1:25" x14ac:dyDescent="0.2">
      <c r="A2156" s="93" t="s">
        <v>960</v>
      </c>
      <c r="B2156" s="94">
        <f>IFERROR(VLOOKUP($A2156,HeadJournal!$A$1:$NTR$890,COLUMN(HeadJournal!B$1),0),"")</f>
        <v>0</v>
      </c>
      <c r="C2156" s="94" t="str">
        <f>IFERROR(VLOOKUP($A2156,HeadJournal!$A$1:$NTR$890,COLUMN(HeadJournal!C$1),0),"")</f>
        <v>WBRS</v>
      </c>
      <c r="D2156" s="125" t="str">
        <f>IFERROR(VLOOKUP($A2156,HeadJournal!$A$1:$NTR$890,COLUMN(HeadJournal!D$1),0),"")</f>
        <v>Доставлен</v>
      </c>
      <c r="E2156" s="95">
        <f>IFERROR(VLOOKUP($A2156,HeadJournal!$A$1:$NTR$890,COLUMN(HeadJournal!G$1),0),"")</f>
        <v>45183</v>
      </c>
      <c r="F2156" s="95" t="str">
        <f t="shared" si="169"/>
        <v>2023 09</v>
      </c>
      <c r="G2156" s="96" t="s">
        <v>6</v>
      </c>
      <c r="H2156" s="160" t="str">
        <f>RIGHT(Journal!$J2156,9)</f>
        <v>169921021</v>
      </c>
      <c r="I2156" s="96" t="str">
        <f t="shared" si="171"/>
        <v>OstroVit</v>
      </c>
      <c r="J2156" s="97" t="s">
        <v>961</v>
      </c>
      <c r="K2156" s="29">
        <v>2738</v>
      </c>
      <c r="L2156" s="29">
        <v>0</v>
      </c>
      <c r="M2156" s="30">
        <f>IFERROR(VLOOKUP($A2156,HeadJournal!$A$1:$J$890,COLUMN(HeadJournal!I$1),0)*($K2156+$L2156)/(SUMIF($A:$A,$A2156,$K:$K)+SUMIF($A:$A,$A2156,$L:$L)),0)</f>
        <v>0</v>
      </c>
      <c r="N2156" s="30">
        <f>IFERROR((VLOOKUP($A2156,HeadJournal!$A$1:$K$890,COLUMN(HeadJournal!K$1),0)-VLOOKUP($A2156,HeadJournal!$A$1:$K$890,COLUMN(HeadJournal!J$1),0))*($K2156+$L2156)/(SUMIF($A:$A,$A2156,$K:$K)+SUMIF($A:$A,$A2156,$L:$L)),0)</f>
        <v>0</v>
      </c>
      <c r="O2156" s="30">
        <f>IFERROR((VLOOKUP($A2156,HeadJournal!$A$1:$L$890,COLUMN(HeadJournal!L$1),0)*($K2156+$L2156)/(SUMIF($A:$A,$A2156,$K:$K)+SUMIF($A:$A,$A2156,$L:$L)))/VLOOKUP($A2156,HeadJournal!$A$1:$L$890,COLUMN(HeadJournal!H$1),0),0)</f>
        <v>273.8</v>
      </c>
      <c r="P2156" s="30">
        <f>IFERROR(SUM(K2156:O2156)*VLOOKUP($A2156,HeadJournal!$A$1:$L$890,COLUMN(HeadJournal!H$1),0),0)</f>
        <v>3011.8</v>
      </c>
      <c r="Q2156" s="29">
        <v>3500</v>
      </c>
      <c r="R2156" s="31">
        <v>45202</v>
      </c>
      <c r="S2156" s="31" t="s">
        <v>3121</v>
      </c>
      <c r="T2156" s="95" t="str">
        <f t="shared" si="170"/>
        <v>2023 10</v>
      </c>
      <c r="U2156" s="32">
        <f t="shared" si="167"/>
        <v>488.19999999999982</v>
      </c>
      <c r="V2156" s="22">
        <f t="shared" si="168"/>
        <v>0.16209575669035123</v>
      </c>
      <c r="X2156" s="33"/>
      <c r="Y2156" s="33"/>
    </row>
    <row r="2157" spans="1:25" x14ac:dyDescent="0.2">
      <c r="A2157" s="93" t="s">
        <v>962</v>
      </c>
      <c r="B2157" s="94">
        <f>IFERROR(VLOOKUP($A2157,HeadJournal!$A$1:$NTR$890,COLUMN(HeadJournal!B$1),0),"")</f>
        <v>0</v>
      </c>
      <c r="C2157" s="94" t="str">
        <f>IFERROR(VLOOKUP($A2157,HeadJournal!$A$1:$NTR$890,COLUMN(HeadJournal!C$1),0),"")</f>
        <v>OZON_ДС</v>
      </c>
      <c r="D2157" s="125" t="str">
        <f>IFERROR(VLOOKUP($A2157,HeadJournal!$A$1:$NTR$890,COLUMN(HeadJournal!D$1),0),"")</f>
        <v>Доставлен</v>
      </c>
      <c r="E2157" s="95">
        <f>IFERROR(VLOOKUP($A2157,HeadJournal!$A$1:$NTR$890,COLUMN(HeadJournal!G$1),0),"")</f>
        <v>45174</v>
      </c>
      <c r="F2157" s="95" t="str">
        <f t="shared" si="169"/>
        <v>2023 09</v>
      </c>
      <c r="G2157" s="96" t="s">
        <v>6</v>
      </c>
      <c r="H2157" s="160" t="str">
        <f>RIGHT(Journal!$J2157,9)</f>
        <v>295527532</v>
      </c>
      <c r="I2157" s="96" t="str">
        <f t="shared" si="171"/>
        <v>Dobro</v>
      </c>
      <c r="J2157" s="97" t="s">
        <v>963</v>
      </c>
      <c r="K2157" s="29">
        <v>5759</v>
      </c>
      <c r="L2157" s="29">
        <v>0</v>
      </c>
      <c r="M2157" s="30">
        <f>IFERROR(VLOOKUP($A2157,HeadJournal!$A$1:$J$890,COLUMN(HeadJournal!I$1),0)*($K2157+$L2157)/(SUMIF($A:$A,$A2157,$K:$K)+SUMIF($A:$A,$A2157,$L:$L)),0)</f>
        <v>0</v>
      </c>
      <c r="N2157" s="30">
        <f>IFERROR((VLOOKUP($A2157,HeadJournal!$A$1:$K$890,COLUMN(HeadJournal!K$1),0)-VLOOKUP($A2157,HeadJournal!$A$1:$K$890,COLUMN(HeadJournal!J$1),0))*($K2157+$L2157)/(SUMIF($A:$A,$A2157,$K:$K)+SUMIF($A:$A,$A2157,$L:$L)),0)</f>
        <v>0</v>
      </c>
      <c r="O2157" s="30">
        <f>IFERROR((VLOOKUP($A2157,HeadJournal!$A$1:$L$890,COLUMN(HeadJournal!L$1),0)*($K2157+$L2157)/(SUMIF($A:$A,$A2157,$K:$K)+SUMIF($A:$A,$A2157,$L:$L)))/VLOOKUP($A2157,HeadJournal!$A$1:$L$890,COLUMN(HeadJournal!H$1),0),0)</f>
        <v>1000</v>
      </c>
      <c r="P2157" s="30">
        <f>IFERROR(SUM(K2157:O2157)*VLOOKUP($A2157,HeadJournal!$A$1:$L$890,COLUMN(HeadJournal!H$1),0),0)</f>
        <v>6759</v>
      </c>
      <c r="Q2157" s="29">
        <v>8300</v>
      </c>
      <c r="R2157" s="31">
        <v>45186</v>
      </c>
      <c r="S2157" s="31" t="s">
        <v>3121</v>
      </c>
      <c r="T2157" s="95" t="str">
        <f t="shared" si="170"/>
        <v>2023 09</v>
      </c>
      <c r="U2157" s="32">
        <f t="shared" si="167"/>
        <v>1541</v>
      </c>
      <c r="V2157" s="22">
        <f t="shared" si="168"/>
        <v>0.22799230655422401</v>
      </c>
      <c r="X2157" s="33"/>
      <c r="Y2157" s="33"/>
    </row>
    <row r="2158" spans="1:25" x14ac:dyDescent="0.2">
      <c r="A2158" s="93" t="s">
        <v>964</v>
      </c>
      <c r="B2158" s="94">
        <f>IFERROR(VLOOKUP($A2158,HeadJournal!$A$1:$NTR$890,COLUMN(HeadJournal!B$1),0),"")</f>
        <v>0</v>
      </c>
      <c r="C2158" s="94" t="str">
        <f>IFERROR(VLOOKUP($A2158,HeadJournal!$A$1:$NTR$890,COLUMN(HeadJournal!C$1),0),"")</f>
        <v>YAMARKET</v>
      </c>
      <c r="D2158" s="125" t="str">
        <f>IFERROR(VLOOKUP($A2158,HeadJournal!$A$1:$NTR$890,COLUMN(HeadJournal!D$1),0),"")</f>
        <v>Доставлен</v>
      </c>
      <c r="E2158" s="95">
        <f>IFERROR(VLOOKUP($A2158,HeadJournal!$A$1:$NTR$890,COLUMN(HeadJournal!G$1),0),"")</f>
        <v>45182</v>
      </c>
      <c r="F2158" s="95" t="str">
        <f t="shared" si="169"/>
        <v>2023 09</v>
      </c>
      <c r="G2158" s="96" t="s">
        <v>6</v>
      </c>
      <c r="H2158" s="160" t="s">
        <v>3734</v>
      </c>
      <c r="I2158" s="96" t="str">
        <f t="shared" si="171"/>
        <v>Maxler</v>
      </c>
      <c r="J2158" s="97" t="s">
        <v>965</v>
      </c>
      <c r="K2158" s="29">
        <v>2549</v>
      </c>
      <c r="L2158" s="29">
        <v>0</v>
      </c>
      <c r="M2158" s="30">
        <f>IFERROR(VLOOKUP($A2158,HeadJournal!$A$1:$J$890,COLUMN(HeadJournal!I$1),0)*($K2158+$L2158)/(SUMIF($A:$A,$A2158,$K:$K)+SUMIF($A:$A,$A2158,$L:$L)),0)</f>
        <v>0</v>
      </c>
      <c r="N2158" s="30">
        <f>IFERROR((VLOOKUP($A2158,HeadJournal!$A$1:$K$890,COLUMN(HeadJournal!K$1),0)-VLOOKUP($A2158,HeadJournal!$A$1:$K$890,COLUMN(HeadJournal!J$1),0))*($K2158+$L2158)/(SUMIF($A:$A,$A2158,$K:$K)+SUMIF($A:$A,$A2158,$L:$L)),0)</f>
        <v>0</v>
      </c>
      <c r="O2158" s="30">
        <f>IFERROR((VLOOKUP($A2158,HeadJournal!$A$1:$L$890,COLUMN(HeadJournal!L$1),0)*($K2158+$L2158)/(SUMIF($A:$A,$A2158,$K:$K)+SUMIF($A:$A,$A2158,$L:$L)))/VLOOKUP($A2158,HeadJournal!$A$1:$L$890,COLUMN(HeadJournal!H$1),0),0)</f>
        <v>254.89999999999998</v>
      </c>
      <c r="P2158" s="30">
        <f>IFERROR(SUM(K2158:O2158)*VLOOKUP($A2158,HeadJournal!$A$1:$L$890,COLUMN(HeadJournal!H$1),0),0)</f>
        <v>2803.9</v>
      </c>
      <c r="Q2158" s="29">
        <v>3900</v>
      </c>
      <c r="R2158" s="31">
        <v>45186</v>
      </c>
      <c r="S2158" s="31" t="s">
        <v>3121</v>
      </c>
      <c r="T2158" s="95" t="str">
        <f t="shared" si="170"/>
        <v>2023 09</v>
      </c>
      <c r="U2158" s="32">
        <f t="shared" si="167"/>
        <v>1096.0999999999999</v>
      </c>
      <c r="V2158" s="22">
        <f t="shared" si="168"/>
        <v>0.39091979029209312</v>
      </c>
      <c r="X2158" s="33"/>
      <c r="Y2158" s="33"/>
    </row>
    <row r="2159" spans="1:25" x14ac:dyDescent="0.2">
      <c r="A2159" s="93" t="s">
        <v>964</v>
      </c>
      <c r="B2159" s="94">
        <f>IFERROR(VLOOKUP($A2159,HeadJournal!$A$1:$NTR$890,COLUMN(HeadJournal!B$1),0),"")</f>
        <v>0</v>
      </c>
      <c r="C2159" s="94" t="str">
        <f>IFERROR(VLOOKUP($A2159,HeadJournal!$A$1:$NTR$890,COLUMN(HeadJournal!C$1),0),"")</f>
        <v>YAMARKET</v>
      </c>
      <c r="D2159" s="125" t="str">
        <f>IFERROR(VLOOKUP($A2159,HeadJournal!$A$1:$NTR$890,COLUMN(HeadJournal!D$1),0),"")</f>
        <v>Доставлен</v>
      </c>
      <c r="E2159" s="95">
        <f>IFERROR(VLOOKUP($A2159,HeadJournal!$A$1:$NTR$890,COLUMN(HeadJournal!G$1),0),"")</f>
        <v>45182</v>
      </c>
      <c r="F2159" s="95" t="str">
        <f t="shared" si="169"/>
        <v>2023 09</v>
      </c>
      <c r="G2159" s="96" t="s">
        <v>6</v>
      </c>
      <c r="H2159" s="160" t="s">
        <v>3734</v>
      </c>
      <c r="I2159" s="96" t="str">
        <f t="shared" si="171"/>
        <v>Maxler</v>
      </c>
      <c r="J2159" s="97" t="s">
        <v>965</v>
      </c>
      <c r="K2159" s="29">
        <v>2549</v>
      </c>
      <c r="L2159" s="29">
        <v>0</v>
      </c>
      <c r="M2159" s="30">
        <f>IFERROR(VLOOKUP($A2159,HeadJournal!$A$1:$J$890,COLUMN(HeadJournal!I$1),0)*($K2159+$L2159)/(SUMIF($A:$A,$A2159,$K:$K)+SUMIF($A:$A,$A2159,$L:$L)),0)</f>
        <v>0</v>
      </c>
      <c r="N2159" s="30">
        <f>IFERROR((VLOOKUP($A2159,HeadJournal!$A$1:$K$890,COLUMN(HeadJournal!K$1),0)-VLOOKUP($A2159,HeadJournal!$A$1:$K$890,COLUMN(HeadJournal!J$1),0))*($K2159+$L2159)/(SUMIF($A:$A,$A2159,$K:$K)+SUMIF($A:$A,$A2159,$L:$L)),0)</f>
        <v>0</v>
      </c>
      <c r="O2159" s="30">
        <f>IFERROR((VLOOKUP($A2159,HeadJournal!$A$1:$L$890,COLUMN(HeadJournal!L$1),0)*($K2159+$L2159)/(SUMIF($A:$A,$A2159,$K:$K)+SUMIF($A:$A,$A2159,$L:$L)))/VLOOKUP($A2159,HeadJournal!$A$1:$L$890,COLUMN(HeadJournal!H$1),0),0)</f>
        <v>254.89999999999998</v>
      </c>
      <c r="P2159" s="30">
        <f>IFERROR(SUM(K2159:O2159)*VLOOKUP($A2159,HeadJournal!$A$1:$L$890,COLUMN(HeadJournal!H$1),0),0)</f>
        <v>2803.9</v>
      </c>
      <c r="Q2159" s="29">
        <v>3900</v>
      </c>
      <c r="R2159" s="31">
        <v>45186</v>
      </c>
      <c r="S2159" s="31" t="s">
        <v>3121</v>
      </c>
      <c r="T2159" s="95" t="str">
        <f t="shared" si="170"/>
        <v>2023 09</v>
      </c>
      <c r="U2159" s="32">
        <f t="shared" si="167"/>
        <v>1096.0999999999999</v>
      </c>
      <c r="V2159" s="22">
        <f t="shared" si="168"/>
        <v>0.39091979029209312</v>
      </c>
      <c r="X2159" s="33"/>
      <c r="Y2159" s="33"/>
    </row>
    <row r="2160" spans="1:25" x14ac:dyDescent="0.2">
      <c r="A2160" s="93" t="s">
        <v>966</v>
      </c>
      <c r="B2160" s="94">
        <f>IFERROR(VLOOKUP($A2160,HeadJournal!$A$1:$NTR$890,COLUMN(HeadJournal!B$1),0),"")</f>
        <v>0</v>
      </c>
      <c r="C2160" s="94" t="str">
        <f>IFERROR(VLOOKUP($A2160,HeadJournal!$A$1:$NTR$890,COLUMN(HeadJournal!C$1),0),"")</f>
        <v>OZON_OA</v>
      </c>
      <c r="D2160" s="125" t="str">
        <f>IFERROR(VLOOKUP($A2160,HeadJournal!$A$1:$NTR$890,COLUMN(HeadJournal!D$1),0),"")</f>
        <v>Доставлен</v>
      </c>
      <c r="E2160" s="95">
        <f>IFERROR(VLOOKUP($A2160,HeadJournal!$A$1:$NTR$890,COLUMN(HeadJournal!G$1),0),"")</f>
        <v>45189</v>
      </c>
      <c r="F2160" s="95" t="str">
        <f t="shared" si="169"/>
        <v>2023 09</v>
      </c>
      <c r="G2160" s="96" t="s">
        <v>6</v>
      </c>
      <c r="H2160" s="160" t="str">
        <f>RIGHT(Journal!$J2160,9)</f>
        <v>980488669</v>
      </c>
      <c r="I2160" s="96" t="str">
        <f t="shared" si="171"/>
        <v>FIGHT BALL</v>
      </c>
      <c r="J2160" s="97" t="s">
        <v>967</v>
      </c>
      <c r="K2160" s="29">
        <v>287</v>
      </c>
      <c r="L2160" s="29">
        <v>0</v>
      </c>
      <c r="M2160" s="30">
        <f>IFERROR(VLOOKUP($A2160,HeadJournal!$A$1:$J$890,COLUMN(HeadJournal!I$1),0)*($K2160+$L2160)/(SUMIF($A:$A,$A2160,$K:$K)+SUMIF($A:$A,$A2160,$L:$L)),0)</f>
        <v>0</v>
      </c>
      <c r="N2160" s="30">
        <f>IFERROR((VLOOKUP($A2160,HeadJournal!$A$1:$K$890,COLUMN(HeadJournal!K$1),0)-VLOOKUP($A2160,HeadJournal!$A$1:$K$890,COLUMN(HeadJournal!J$1),0))*($K2160+$L2160)/(SUMIF($A:$A,$A2160,$K:$K)+SUMIF($A:$A,$A2160,$L:$L)),0)</f>
        <v>0</v>
      </c>
      <c r="O2160" s="30">
        <f>IFERROR((VLOOKUP($A2160,HeadJournal!$A$1:$L$890,COLUMN(HeadJournal!L$1),0)*($K2160+$L2160)/(SUMIF($A:$A,$A2160,$K:$K)+SUMIF($A:$A,$A2160,$L:$L)))/VLOOKUP($A2160,HeadJournal!$A$1:$L$890,COLUMN(HeadJournal!H$1),0),0)</f>
        <v>28.700000000000006</v>
      </c>
      <c r="P2160" s="30">
        <f>IFERROR(SUM(K2160:O2160)*VLOOKUP($A2160,HeadJournal!$A$1:$L$890,COLUMN(HeadJournal!H$1),0),0)</f>
        <v>315.7</v>
      </c>
      <c r="Q2160" s="29">
        <v>550</v>
      </c>
      <c r="R2160" s="31">
        <v>45200</v>
      </c>
      <c r="S2160" s="31" t="s">
        <v>3121</v>
      </c>
      <c r="T2160" s="95" t="str">
        <f t="shared" si="170"/>
        <v>2023 10</v>
      </c>
      <c r="U2160" s="32">
        <f t="shared" si="167"/>
        <v>234.3</v>
      </c>
      <c r="V2160" s="22">
        <f t="shared" si="168"/>
        <v>0.74216027874564461</v>
      </c>
      <c r="X2160" s="33"/>
      <c r="Y2160" s="33"/>
    </row>
    <row r="2161" spans="1:25" x14ac:dyDescent="0.2">
      <c r="A2161" s="93" t="s">
        <v>966</v>
      </c>
      <c r="B2161" s="94">
        <f>IFERROR(VLOOKUP($A2161,HeadJournal!$A$1:$NTR$890,COLUMN(HeadJournal!B$1),0),"")</f>
        <v>0</v>
      </c>
      <c r="C2161" s="94" t="str">
        <f>IFERROR(VLOOKUP($A2161,HeadJournal!$A$1:$NTR$890,COLUMN(HeadJournal!C$1),0),"")</f>
        <v>OZON_OA</v>
      </c>
      <c r="D2161" s="125" t="str">
        <f>IFERROR(VLOOKUP($A2161,HeadJournal!$A$1:$NTR$890,COLUMN(HeadJournal!D$1),0),"")</f>
        <v>Доставлен</v>
      </c>
      <c r="E2161" s="95">
        <f>IFERROR(VLOOKUP($A2161,HeadJournal!$A$1:$NTR$890,COLUMN(HeadJournal!G$1),0),"")</f>
        <v>45189</v>
      </c>
      <c r="F2161" s="95" t="str">
        <f t="shared" si="169"/>
        <v>2023 09</v>
      </c>
      <c r="G2161" s="96" t="s">
        <v>6</v>
      </c>
      <c r="H2161" s="160" t="str">
        <f>RIGHT(Journal!$J2161,9)</f>
        <v>980488669</v>
      </c>
      <c r="I2161" s="96" t="str">
        <f t="shared" si="171"/>
        <v>FIGHT BALL</v>
      </c>
      <c r="J2161" s="97" t="s">
        <v>967</v>
      </c>
      <c r="K2161" s="29">
        <v>287</v>
      </c>
      <c r="L2161" s="29">
        <v>0</v>
      </c>
      <c r="M2161" s="30">
        <f>IFERROR(VLOOKUP($A2161,HeadJournal!$A$1:$J$890,COLUMN(HeadJournal!I$1),0)*($K2161+$L2161)/(SUMIF($A:$A,$A2161,$K:$K)+SUMIF($A:$A,$A2161,$L:$L)),0)</f>
        <v>0</v>
      </c>
      <c r="N2161" s="30">
        <f>IFERROR((VLOOKUP($A2161,HeadJournal!$A$1:$K$890,COLUMN(HeadJournal!K$1),0)-VLOOKUP($A2161,HeadJournal!$A$1:$K$890,COLUMN(HeadJournal!J$1),0))*($K2161+$L2161)/(SUMIF($A:$A,$A2161,$K:$K)+SUMIF($A:$A,$A2161,$L:$L)),0)</f>
        <v>0</v>
      </c>
      <c r="O2161" s="30">
        <f>IFERROR((VLOOKUP($A2161,HeadJournal!$A$1:$L$890,COLUMN(HeadJournal!L$1),0)*($K2161+$L2161)/(SUMIF($A:$A,$A2161,$K:$K)+SUMIF($A:$A,$A2161,$L:$L)))/VLOOKUP($A2161,HeadJournal!$A$1:$L$890,COLUMN(HeadJournal!H$1),0),0)</f>
        <v>28.700000000000006</v>
      </c>
      <c r="P2161" s="30">
        <f>IFERROR(SUM(K2161:O2161)*VLOOKUP($A2161,HeadJournal!$A$1:$L$890,COLUMN(HeadJournal!H$1),0),0)</f>
        <v>315.7</v>
      </c>
      <c r="Q2161" s="29">
        <v>550</v>
      </c>
      <c r="R2161" s="31">
        <v>45200</v>
      </c>
      <c r="S2161" s="31" t="s">
        <v>3121</v>
      </c>
      <c r="T2161" s="95" t="str">
        <f t="shared" si="170"/>
        <v>2023 10</v>
      </c>
      <c r="U2161" s="32">
        <f t="shared" si="167"/>
        <v>234.3</v>
      </c>
      <c r="V2161" s="22">
        <f t="shared" si="168"/>
        <v>0.74216027874564461</v>
      </c>
      <c r="X2161" s="33"/>
      <c r="Y2161" s="33"/>
    </row>
    <row r="2162" spans="1:25" x14ac:dyDescent="0.2">
      <c r="A2162" s="93" t="s">
        <v>968</v>
      </c>
      <c r="B2162" s="94">
        <f>IFERROR(VLOOKUP($A2162,HeadJournal!$A$1:$NTR$890,COLUMN(HeadJournal!B$1),0),"")</f>
        <v>0</v>
      </c>
      <c r="C2162" s="94" t="str">
        <f>IFERROR(VLOOKUP($A2162,HeadJournal!$A$1:$NTR$890,COLUMN(HeadJournal!C$1),0),"")</f>
        <v>YAMARKET</v>
      </c>
      <c r="D2162" s="125" t="str">
        <f>IFERROR(VLOOKUP($A2162,HeadJournal!$A$1:$NTR$890,COLUMN(HeadJournal!D$1),0),"")</f>
        <v>Доставлен</v>
      </c>
      <c r="E2162" s="95">
        <f>IFERROR(VLOOKUP($A2162,HeadJournal!$A$1:$NTR$890,COLUMN(HeadJournal!G$1),0),"")</f>
        <v>45186</v>
      </c>
      <c r="F2162" s="95" t="str">
        <f t="shared" si="169"/>
        <v>2023 09</v>
      </c>
      <c r="G2162" s="96" t="s">
        <v>5</v>
      </c>
      <c r="H2162" s="160" t="s">
        <v>3735</v>
      </c>
      <c r="I2162" s="96" t="str">
        <f t="shared" si="171"/>
        <v>PharmaMed</v>
      </c>
      <c r="J2162" s="97" t="s">
        <v>969</v>
      </c>
      <c r="K2162" s="29">
        <v>872</v>
      </c>
      <c r="L2162" s="29">
        <v>0</v>
      </c>
      <c r="M2162" s="30">
        <f>IFERROR(VLOOKUP($A2162,HeadJournal!$A$1:$J$890,COLUMN(HeadJournal!I$1),0)*($K2162+$L2162)/(SUMIF($A:$A,$A2162,$K:$K)+SUMIF($A:$A,$A2162,$L:$L)),0)</f>
        <v>0</v>
      </c>
      <c r="N2162" s="30">
        <f>IFERROR((VLOOKUP($A2162,HeadJournal!$A$1:$K$890,COLUMN(HeadJournal!K$1),0)-VLOOKUP($A2162,HeadJournal!$A$1:$K$890,COLUMN(HeadJournal!J$1),0))*($K2162+$L2162)/(SUMIF($A:$A,$A2162,$K:$K)+SUMIF($A:$A,$A2162,$L:$L)),0)</f>
        <v>0</v>
      </c>
      <c r="O2162" s="30">
        <f>IFERROR((VLOOKUP($A2162,HeadJournal!$A$1:$L$890,COLUMN(HeadJournal!L$1),0)*($K2162+$L2162)/(SUMIF($A:$A,$A2162,$K:$K)+SUMIF($A:$A,$A2162,$L:$L)))/VLOOKUP($A2162,HeadJournal!$A$1:$L$890,COLUMN(HeadJournal!H$1),0),0)</f>
        <v>87.2</v>
      </c>
      <c r="P2162" s="30">
        <f>IFERROR(SUM(K2162:O2162)*VLOOKUP($A2162,HeadJournal!$A$1:$L$890,COLUMN(HeadJournal!H$1),0),0)</f>
        <v>959.2</v>
      </c>
      <c r="Q2162" s="29">
        <v>1900</v>
      </c>
      <c r="R2162" s="31">
        <v>45194</v>
      </c>
      <c r="S2162" s="31" t="s">
        <v>3121</v>
      </c>
      <c r="T2162" s="95" t="str">
        <f t="shared" si="170"/>
        <v>2023 09</v>
      </c>
      <c r="U2162" s="32">
        <f t="shared" si="167"/>
        <v>940.8</v>
      </c>
      <c r="V2162" s="22">
        <f t="shared" si="168"/>
        <v>0.98081734778982477</v>
      </c>
      <c r="X2162" s="33"/>
      <c r="Y2162" s="33"/>
    </row>
    <row r="2163" spans="1:25" x14ac:dyDescent="0.2">
      <c r="A2163" s="93" t="s">
        <v>968</v>
      </c>
      <c r="B2163" s="94">
        <f>IFERROR(VLOOKUP($A2163,HeadJournal!$A$1:$NTR$890,COLUMN(HeadJournal!B$1),0),"")</f>
        <v>0</v>
      </c>
      <c r="C2163" s="94" t="str">
        <f>IFERROR(VLOOKUP($A2163,HeadJournal!$A$1:$NTR$890,COLUMN(HeadJournal!C$1),0),"")</f>
        <v>YAMARKET</v>
      </c>
      <c r="D2163" s="125" t="str">
        <f>IFERROR(VLOOKUP($A2163,HeadJournal!$A$1:$NTR$890,COLUMN(HeadJournal!D$1),0),"")</f>
        <v>Доставлен</v>
      </c>
      <c r="E2163" s="95">
        <f>IFERROR(VLOOKUP($A2163,HeadJournal!$A$1:$NTR$890,COLUMN(HeadJournal!G$1),0),"")</f>
        <v>45186</v>
      </c>
      <c r="F2163" s="95" t="str">
        <f t="shared" si="169"/>
        <v>2023 09</v>
      </c>
      <c r="G2163" s="96" t="s">
        <v>5</v>
      </c>
      <c r="H2163" s="160" t="s">
        <v>3735</v>
      </c>
      <c r="I2163" s="96" t="str">
        <f t="shared" si="171"/>
        <v>PharmaMed</v>
      </c>
      <c r="J2163" s="97" t="s">
        <v>969</v>
      </c>
      <c r="K2163" s="29">
        <v>872</v>
      </c>
      <c r="L2163" s="29">
        <v>0</v>
      </c>
      <c r="M2163" s="30">
        <f>IFERROR(VLOOKUP($A2163,HeadJournal!$A$1:$J$890,COLUMN(HeadJournal!I$1),0)*($K2163+$L2163)/(SUMIF($A:$A,$A2163,$K:$K)+SUMIF($A:$A,$A2163,$L:$L)),0)</f>
        <v>0</v>
      </c>
      <c r="N2163" s="30">
        <f>IFERROR((VLOOKUP($A2163,HeadJournal!$A$1:$K$890,COLUMN(HeadJournal!K$1),0)-VLOOKUP($A2163,HeadJournal!$A$1:$K$890,COLUMN(HeadJournal!J$1),0))*($K2163+$L2163)/(SUMIF($A:$A,$A2163,$K:$K)+SUMIF($A:$A,$A2163,$L:$L)),0)</f>
        <v>0</v>
      </c>
      <c r="O2163" s="30">
        <f>IFERROR((VLOOKUP($A2163,HeadJournal!$A$1:$L$890,COLUMN(HeadJournal!L$1),0)*($K2163+$L2163)/(SUMIF($A:$A,$A2163,$K:$K)+SUMIF($A:$A,$A2163,$L:$L)))/VLOOKUP($A2163,HeadJournal!$A$1:$L$890,COLUMN(HeadJournal!H$1),0),0)</f>
        <v>87.2</v>
      </c>
      <c r="P2163" s="30">
        <f>IFERROR(SUM(K2163:O2163)*VLOOKUP($A2163,HeadJournal!$A$1:$L$890,COLUMN(HeadJournal!H$1),0),0)</f>
        <v>959.2</v>
      </c>
      <c r="Q2163" s="29">
        <v>1900</v>
      </c>
      <c r="R2163" s="31">
        <v>45194</v>
      </c>
      <c r="S2163" s="31" t="s">
        <v>3121</v>
      </c>
      <c r="T2163" s="95" t="str">
        <f t="shared" si="170"/>
        <v>2023 09</v>
      </c>
      <c r="U2163" s="32">
        <f t="shared" si="167"/>
        <v>940.8</v>
      </c>
      <c r="V2163" s="22">
        <f t="shared" si="168"/>
        <v>0.98081734778982477</v>
      </c>
      <c r="X2163" s="33"/>
      <c r="Y2163" s="33"/>
    </row>
    <row r="2164" spans="1:25" x14ac:dyDescent="0.2">
      <c r="A2164" s="93" t="s">
        <v>968</v>
      </c>
      <c r="B2164" s="94">
        <f>IFERROR(VLOOKUP($A2164,HeadJournal!$A$1:$NTR$890,COLUMN(HeadJournal!B$1),0),"")</f>
        <v>0</v>
      </c>
      <c r="C2164" s="94" t="str">
        <f>IFERROR(VLOOKUP($A2164,HeadJournal!$A$1:$NTR$890,COLUMN(HeadJournal!C$1),0),"")</f>
        <v>YAMARKET</v>
      </c>
      <c r="D2164" s="125" t="str">
        <f>IFERROR(VLOOKUP($A2164,HeadJournal!$A$1:$NTR$890,COLUMN(HeadJournal!D$1),0),"")</f>
        <v>Доставлен</v>
      </c>
      <c r="E2164" s="95">
        <f>IFERROR(VLOOKUP($A2164,HeadJournal!$A$1:$NTR$890,COLUMN(HeadJournal!G$1),0),"")</f>
        <v>45186</v>
      </c>
      <c r="F2164" s="95" t="str">
        <f t="shared" si="169"/>
        <v>2023 09</v>
      </c>
      <c r="G2164" s="96" t="s">
        <v>5</v>
      </c>
      <c r="H2164" s="160" t="s">
        <v>3735</v>
      </c>
      <c r="I2164" s="96" t="str">
        <f t="shared" si="171"/>
        <v>PharmaMed</v>
      </c>
      <c r="J2164" s="97" t="s">
        <v>969</v>
      </c>
      <c r="K2164" s="29">
        <v>872</v>
      </c>
      <c r="L2164" s="29">
        <v>0</v>
      </c>
      <c r="M2164" s="30">
        <f>IFERROR(VLOOKUP($A2164,HeadJournal!$A$1:$J$890,COLUMN(HeadJournal!I$1),0)*($K2164+$L2164)/(SUMIF($A:$A,$A2164,$K:$K)+SUMIF($A:$A,$A2164,$L:$L)),0)</f>
        <v>0</v>
      </c>
      <c r="N2164" s="30">
        <f>IFERROR((VLOOKUP($A2164,HeadJournal!$A$1:$K$890,COLUMN(HeadJournal!K$1),0)-VLOOKUP($A2164,HeadJournal!$A$1:$K$890,COLUMN(HeadJournal!J$1),0))*($K2164+$L2164)/(SUMIF($A:$A,$A2164,$K:$K)+SUMIF($A:$A,$A2164,$L:$L)),0)</f>
        <v>0</v>
      </c>
      <c r="O2164" s="30">
        <f>IFERROR((VLOOKUP($A2164,HeadJournal!$A$1:$L$890,COLUMN(HeadJournal!L$1),0)*($K2164+$L2164)/(SUMIF($A:$A,$A2164,$K:$K)+SUMIF($A:$A,$A2164,$L:$L)))/VLOOKUP($A2164,HeadJournal!$A$1:$L$890,COLUMN(HeadJournal!H$1),0),0)</f>
        <v>87.2</v>
      </c>
      <c r="P2164" s="30">
        <f>IFERROR(SUM(K2164:O2164)*VLOOKUP($A2164,HeadJournal!$A$1:$L$890,COLUMN(HeadJournal!H$1),0),0)</f>
        <v>959.2</v>
      </c>
      <c r="Q2164" s="29"/>
      <c r="R2164" s="31"/>
      <c r="S2164" s="31"/>
      <c r="T2164" s="95" t="str">
        <f t="shared" si="170"/>
        <v/>
      </c>
      <c r="U2164" s="32">
        <f t="shared" si="167"/>
        <v>-959.2</v>
      </c>
      <c r="V2164" s="22" t="str">
        <f t="shared" si="168"/>
        <v/>
      </c>
      <c r="X2164" s="33"/>
      <c r="Y2164" s="33"/>
    </row>
    <row r="2165" spans="1:25" x14ac:dyDescent="0.2">
      <c r="A2165" s="93" t="s">
        <v>970</v>
      </c>
      <c r="B2165" s="94" t="str">
        <f>IFERROR(VLOOKUP($A2165,HeadJournal!$A$1:$NTR$890,COLUMN(HeadJournal!B$1),0),"")</f>
        <v>710000988797</v>
      </c>
      <c r="C2165" s="94" t="str">
        <f>IFERROR(VLOOKUP($A2165,HeadJournal!$A$1:$NTR$890,COLUMN(HeadJournal!C$1),0),"")</f>
        <v>iHerb_MH DLE7202</v>
      </c>
      <c r="D2165" s="125" t="str">
        <f>IFERROR(VLOOKUP($A2165,HeadJournal!$A$1:$NTR$890,COLUMN(HeadJournal!D$1),0),"")</f>
        <v>Доставлен</v>
      </c>
      <c r="E2165" s="95">
        <f>IFERROR(VLOOKUP($A2165,HeadJournal!$A$1:$NTR$890,COLUMN(HeadJournal!G$1),0),"")</f>
        <v>45185</v>
      </c>
      <c r="F2165" s="95" t="str">
        <f t="shared" si="169"/>
        <v>2023 09</v>
      </c>
      <c r="G2165" s="96" t="s">
        <v>5</v>
      </c>
      <c r="H2165" s="160" t="str">
        <f>RIGHT(Journal!$J2165,9)</f>
        <v>NOW-00035</v>
      </c>
      <c r="I2165" s="96" t="str">
        <f t="shared" si="171"/>
        <v>NOW Foods</v>
      </c>
      <c r="J2165" s="97" t="s">
        <v>659</v>
      </c>
      <c r="K2165" s="29">
        <v>23.17</v>
      </c>
      <c r="L2165" s="29">
        <v>-6.26</v>
      </c>
      <c r="M2165" s="30">
        <f>IFERROR(VLOOKUP($A2165,HeadJournal!$A$1:$J$890,COLUMN(HeadJournal!I$1),0)*($K2165+$L2165)/(SUMIF($A:$A,$A2165,$K:$K)+SUMIF($A:$A,$A2165,$L:$L)),0)</f>
        <v>-0.34916678784353655</v>
      </c>
      <c r="N2165" s="30">
        <f>IFERROR((VLOOKUP($A2165,HeadJournal!$A$1:$K$890,COLUMN(HeadJournal!K$1),0)-VLOOKUP($A2165,HeadJournal!$A$1:$K$890,COLUMN(HeadJournal!J$1),0))*($K2165+$L2165)/(SUMIF($A:$A,$A2165,$K:$K)+SUMIF($A:$A,$A2165,$L:$L)),0)</f>
        <v>3.4943369671959577E-15</v>
      </c>
      <c r="O2165" s="30">
        <f>IFERROR((VLOOKUP($A2165,HeadJournal!$A$1:$L$890,COLUMN(HeadJournal!L$1),0)*($K2165+$L2165)/(SUMIF($A:$A,$A2165,$K:$K)+SUMIF($A:$A,$A2165,$L:$L)))/VLOOKUP($A2165,HeadJournal!$A$1:$L$890,COLUMN(HeadJournal!H$1),0),0)</f>
        <v>0.85283226229042353</v>
      </c>
      <c r="P2165" s="30">
        <f>IFERROR(SUM(K2165:O2165)*VLOOKUP($A2165,HeadJournal!$A$1:$L$890,COLUMN(HeadJournal!H$1),0),0)</f>
        <v>1890.2482161553012</v>
      </c>
      <c r="Q2165" s="29">
        <v>2900</v>
      </c>
      <c r="R2165" s="31">
        <v>45477</v>
      </c>
      <c r="S2165" s="31" t="s">
        <v>3121</v>
      </c>
      <c r="T2165" s="95" t="str">
        <f t="shared" si="170"/>
        <v>2024 07</v>
      </c>
      <c r="U2165" s="32">
        <f t="shared" si="167"/>
        <v>1009.7517838446988</v>
      </c>
      <c r="V2165" s="22">
        <f t="shared" si="168"/>
        <v>0.53419004721956498</v>
      </c>
      <c r="X2165" s="33"/>
      <c r="Y2165" s="33"/>
    </row>
    <row r="2166" spans="1:25" x14ac:dyDescent="0.2">
      <c r="A2166" s="93" t="s">
        <v>970</v>
      </c>
      <c r="B2166" s="94" t="str">
        <f>IFERROR(VLOOKUP($A2166,HeadJournal!$A$1:$NTR$890,COLUMN(HeadJournal!B$1),0),"")</f>
        <v>710000988797</v>
      </c>
      <c r="C2166" s="94" t="str">
        <f>IFERROR(VLOOKUP($A2166,HeadJournal!$A$1:$NTR$890,COLUMN(HeadJournal!C$1),0),"")</f>
        <v>iHerb_MH DLE7202</v>
      </c>
      <c r="D2166" s="125" t="str">
        <f>IFERROR(VLOOKUP($A2166,HeadJournal!$A$1:$NTR$890,COLUMN(HeadJournal!D$1),0),"")</f>
        <v>Доставлен</v>
      </c>
      <c r="E2166" s="95">
        <f>IFERROR(VLOOKUP($A2166,HeadJournal!$A$1:$NTR$890,COLUMN(HeadJournal!G$1),0),"")</f>
        <v>45185</v>
      </c>
      <c r="F2166" s="95" t="str">
        <f t="shared" si="169"/>
        <v>2023 09</v>
      </c>
      <c r="G2166" s="96" t="s">
        <v>5</v>
      </c>
      <c r="H2166" s="161" t="s">
        <v>2863</v>
      </c>
      <c r="I2166" s="97" t="s">
        <v>2864</v>
      </c>
      <c r="J2166" s="97" t="s">
        <v>2865</v>
      </c>
      <c r="K2166" s="29">
        <v>17.05</v>
      </c>
      <c r="L2166" s="29">
        <v>-4.5999999999999996</v>
      </c>
      <c r="M2166" s="30">
        <f>IFERROR(VLOOKUP($A2166,HeadJournal!$A$1:$J$890,COLUMN(HeadJournal!I$1),0)*($K2166+$L2166)/(SUMIF($A:$A,$A2166,$K:$K)+SUMIF($A:$A,$A2166,$L:$L)),0)</f>
        <v>-0.25707430565653638</v>
      </c>
      <c r="N2166" s="30">
        <f>IFERROR((VLOOKUP($A2166,HeadJournal!$A$1:$K$890,COLUMN(HeadJournal!K$1),0)-VLOOKUP($A2166,HeadJournal!$A$1:$K$890,COLUMN(HeadJournal!J$1),0))*($K2166+$L2166)/(SUMIF($A:$A,$A2166,$K:$K)+SUMIF($A:$A,$A2166,$L:$L)),0)</f>
        <v>2.5727081751383598E-15</v>
      </c>
      <c r="O2166" s="30">
        <f>IFERROR((VLOOKUP($A2166,HeadJournal!$A$1:$L$890,COLUMN(HeadJournal!L$1),0)*($K2166+$L2166)/(SUMIF($A:$A,$A2166,$K:$K)+SUMIF($A:$A,$A2166,$L:$L)))/VLOOKUP($A2166,HeadJournal!$A$1:$L$890,COLUMN(HeadJournal!H$1),0),0)</f>
        <v>0.62789838353138794</v>
      </c>
      <c r="P2166" s="30">
        <f>IFERROR(SUM(K2166:O2166)*VLOOKUP($A2166,HeadJournal!$A$1:$L$890,COLUMN(HeadJournal!H$1),0),0)</f>
        <v>1391.6966464301299</v>
      </c>
      <c r="Q2166" s="29">
        <v>2400</v>
      </c>
      <c r="R2166" s="31">
        <v>45268</v>
      </c>
      <c r="S2166" s="31" t="s">
        <v>3121</v>
      </c>
      <c r="T2166" s="95" t="str">
        <f t="shared" si="170"/>
        <v>2023 12</v>
      </c>
      <c r="U2166" s="32">
        <f t="shared" si="167"/>
        <v>1008.3033535698701</v>
      </c>
      <c r="V2166" s="22">
        <f t="shared" si="168"/>
        <v>0.72451374813346714</v>
      </c>
      <c r="X2166" s="33"/>
      <c r="Y2166" s="33"/>
    </row>
    <row r="2167" spans="1:25" x14ac:dyDescent="0.2">
      <c r="A2167" s="93" t="s">
        <v>970</v>
      </c>
      <c r="B2167" s="94" t="str">
        <f>IFERROR(VLOOKUP($A2167,HeadJournal!$A$1:$NTR$890,COLUMN(HeadJournal!B$1),0),"")</f>
        <v>710000988797</v>
      </c>
      <c r="C2167" s="94" t="str">
        <f>IFERROR(VLOOKUP($A2167,HeadJournal!$A$1:$NTR$890,COLUMN(HeadJournal!C$1),0),"")</f>
        <v>iHerb_MH DLE7202</v>
      </c>
      <c r="D2167" s="125" t="str">
        <f>IFERROR(VLOOKUP($A2167,HeadJournal!$A$1:$NTR$890,COLUMN(HeadJournal!D$1),0),"")</f>
        <v>Доставлен</v>
      </c>
      <c r="E2167" s="95">
        <f>IFERROR(VLOOKUP($A2167,HeadJournal!$A$1:$NTR$890,COLUMN(HeadJournal!G$1),0),"")</f>
        <v>45185</v>
      </c>
      <c r="F2167" s="95" t="str">
        <f t="shared" si="169"/>
        <v>2023 09</v>
      </c>
      <c r="G2167" s="96" t="s">
        <v>6</v>
      </c>
      <c r="H2167" s="160" t="str">
        <f>RIGHT(Journal!$J2167,9)</f>
        <v>VPB-54130</v>
      </c>
      <c r="I2167" s="96" t="str">
        <f t="shared" si="171"/>
        <v>Vplab</v>
      </c>
      <c r="J2167" s="97" t="s">
        <v>275</v>
      </c>
      <c r="K2167" s="29">
        <v>16.829999999999998</v>
      </c>
      <c r="L2167" s="29">
        <v>-4.54</v>
      </c>
      <c r="M2167" s="30">
        <f>IFERROR(VLOOKUP($A2167,HeadJournal!$A$1:$J$890,COLUMN(HeadJournal!I$1),0)*($K2167+$L2167)/(SUMIF($A:$A,$A2167,$K:$K)+SUMIF($A:$A,$A2167,$L:$L)),0)</f>
        <v>-0.25377053947942424</v>
      </c>
      <c r="N2167" s="30">
        <f>IFERROR((VLOOKUP($A2167,HeadJournal!$A$1:$K$890,COLUMN(HeadJournal!K$1),0)-VLOOKUP($A2167,HeadJournal!$A$1:$K$890,COLUMN(HeadJournal!J$1),0))*($K2167+$L2167)/(SUMIF($A:$A,$A2167,$K:$K)+SUMIF($A:$A,$A2167,$L:$L)),0)</f>
        <v>2.5396452588313604E-15</v>
      </c>
      <c r="O2167" s="30">
        <f>IFERROR((VLOOKUP($A2167,HeadJournal!$A$1:$L$890,COLUMN(HeadJournal!L$1),0)*($K2167+$L2167)/(SUMIF($A:$A,$A2167,$K:$K)+SUMIF($A:$A,$A2167,$L:$L)))/VLOOKUP($A2167,HeadJournal!$A$1:$L$890,COLUMN(HeadJournal!H$1),0),0)</f>
        <v>0.61982900671492025</v>
      </c>
      <c r="P2167" s="30">
        <f>IFERROR(SUM(K2167:O2167)*VLOOKUP($A2167,HeadJournal!$A$1:$L$890,COLUMN(HeadJournal!H$1),0),0)</f>
        <v>1373.8113883233968</v>
      </c>
      <c r="Q2167" s="29">
        <v>2400</v>
      </c>
      <c r="R2167" s="31">
        <v>45216</v>
      </c>
      <c r="S2167" s="31" t="s">
        <v>3121</v>
      </c>
      <c r="T2167" s="95" t="str">
        <f t="shared" si="170"/>
        <v>2023 10</v>
      </c>
      <c r="U2167" s="32">
        <f t="shared" si="167"/>
        <v>1026.1886116766032</v>
      </c>
      <c r="V2167" s="22">
        <f t="shared" si="168"/>
        <v>0.74696470010265859</v>
      </c>
      <c r="X2167" s="33"/>
      <c r="Y2167" s="33"/>
    </row>
    <row r="2168" spans="1:25" x14ac:dyDescent="0.2">
      <c r="A2168" s="93" t="s">
        <v>970</v>
      </c>
      <c r="B2168" s="94" t="str">
        <f>IFERROR(VLOOKUP($A2168,HeadJournal!$A$1:$NTR$890,COLUMN(HeadJournal!B$1),0),"")</f>
        <v>710000988797</v>
      </c>
      <c r="C2168" s="94" t="str">
        <f>IFERROR(VLOOKUP($A2168,HeadJournal!$A$1:$NTR$890,COLUMN(HeadJournal!C$1),0),"")</f>
        <v>iHerb_MH DLE7202</v>
      </c>
      <c r="D2168" s="125" t="str">
        <f>IFERROR(VLOOKUP($A2168,HeadJournal!$A$1:$NTR$890,COLUMN(HeadJournal!D$1),0),"")</f>
        <v>Доставлен</v>
      </c>
      <c r="E2168" s="95">
        <f>IFERROR(VLOOKUP($A2168,HeadJournal!$A$1:$NTR$890,COLUMN(HeadJournal!G$1),0),"")</f>
        <v>45185</v>
      </c>
      <c r="F2168" s="95" t="str">
        <f t="shared" si="169"/>
        <v>2023 09</v>
      </c>
      <c r="G2168" s="96" t="s">
        <v>6</v>
      </c>
      <c r="H2168" s="160" t="str">
        <f>RIGHT(Journal!$J2168,9)</f>
        <v>OPN-02866</v>
      </c>
      <c r="I2168" s="96" t="str">
        <f t="shared" si="171"/>
        <v>Optimum Nutrition</v>
      </c>
      <c r="J2168" s="97" t="s">
        <v>971</v>
      </c>
      <c r="K2168" s="29">
        <v>97.72</v>
      </c>
      <c r="L2168" s="29">
        <v>-26.38</v>
      </c>
      <c r="M2168" s="30">
        <f>IFERROR(VLOOKUP($A2168,HeadJournal!$A$1:$J$890,COLUMN(HeadJournal!I$1),0)*($K2168+$L2168)/(SUMIF($A:$A,$A2168,$K:$K)+SUMIF($A:$A,$A2168,$L:$L)),0)</f>
        <v>-1.4730667442198637</v>
      </c>
      <c r="N2168" s="30">
        <f>IFERROR((VLOOKUP($A2168,HeadJournal!$A$1:$K$890,COLUMN(HeadJournal!K$1),0)-VLOOKUP($A2168,HeadJournal!$A$1:$K$890,COLUMN(HeadJournal!J$1),0))*($K2168+$L2168)/(SUMIF($A:$A,$A2168,$K:$K)+SUMIF($A:$A,$A2168,$L:$L)),0)</f>
        <v>1.474192780838318E-14</v>
      </c>
      <c r="O2168" s="30">
        <f>IFERROR((VLOOKUP($A2168,HeadJournal!$A$1:$L$890,COLUMN(HeadJournal!L$1),0)*($K2168+$L2168)/(SUMIF($A:$A,$A2168,$K:$K)+SUMIF($A:$A,$A2168,$L:$L)))/VLOOKUP($A2168,HeadJournal!$A$1:$L$890,COLUMN(HeadJournal!H$1),0),0)</f>
        <v>3.5979333880425073</v>
      </c>
      <c r="P2168" s="30">
        <f>IFERROR(SUM(K2168:O2168)*VLOOKUP($A2168,HeadJournal!$A$1:$L$890,COLUMN(HeadJournal!H$1),0),0)</f>
        <v>7974.5894583393947</v>
      </c>
      <c r="Q2168" s="29">
        <v>9000</v>
      </c>
      <c r="R2168" s="31">
        <v>45551</v>
      </c>
      <c r="S2168" s="31" t="s">
        <v>3121</v>
      </c>
      <c r="T2168" s="95" t="str">
        <f t="shared" si="170"/>
        <v>2024 09</v>
      </c>
      <c r="U2168" s="32">
        <f t="shared" si="167"/>
        <v>1025.4105416606053</v>
      </c>
      <c r="V2168" s="22">
        <f t="shared" si="168"/>
        <v>0.1285847437059329</v>
      </c>
      <c r="X2168" s="33"/>
      <c r="Y2168" s="33"/>
    </row>
    <row r="2169" spans="1:25" x14ac:dyDescent="0.2">
      <c r="A2169" s="93" t="s">
        <v>970</v>
      </c>
      <c r="B2169" s="94" t="str">
        <f>IFERROR(VLOOKUP($A2169,HeadJournal!$A$1:$NTR$890,COLUMN(HeadJournal!B$1),0),"")</f>
        <v>710000988797</v>
      </c>
      <c r="C2169" s="94" t="str">
        <f>IFERROR(VLOOKUP($A2169,HeadJournal!$A$1:$NTR$890,COLUMN(HeadJournal!C$1),0),"")</f>
        <v>iHerb_MH DLE7202</v>
      </c>
      <c r="D2169" s="125" t="str">
        <f>IFERROR(VLOOKUP($A2169,HeadJournal!$A$1:$NTR$890,COLUMN(HeadJournal!D$1),0),"")</f>
        <v>Доставлен</v>
      </c>
      <c r="E2169" s="95">
        <f>IFERROR(VLOOKUP($A2169,HeadJournal!$A$1:$NTR$890,COLUMN(HeadJournal!G$1),0),"")</f>
        <v>45185</v>
      </c>
      <c r="F2169" s="95" t="str">
        <f t="shared" si="169"/>
        <v>2023 09</v>
      </c>
      <c r="G2169" s="96" t="s">
        <v>6</v>
      </c>
      <c r="H2169" s="160" t="str">
        <f>RIGHT(Journal!$J2169,9)</f>
        <v>OPN-02414</v>
      </c>
      <c r="I2169" s="96" t="str">
        <f t="shared" si="171"/>
        <v>Optimum Nutrition</v>
      </c>
      <c r="J2169" s="97" t="s">
        <v>972</v>
      </c>
      <c r="K2169" s="29">
        <v>97.72</v>
      </c>
      <c r="L2169" s="29">
        <v>-26.38</v>
      </c>
      <c r="M2169" s="30">
        <f>IFERROR(VLOOKUP($A2169,HeadJournal!$A$1:$J$890,COLUMN(HeadJournal!I$1),0)*($K2169+$L2169)/(SUMIF($A:$A,$A2169,$K:$K)+SUMIF($A:$A,$A2169,$L:$L)),0)</f>
        <v>-1.4730667442198637</v>
      </c>
      <c r="N2169" s="30">
        <f>IFERROR((VLOOKUP($A2169,HeadJournal!$A$1:$K$890,COLUMN(HeadJournal!K$1),0)-VLOOKUP($A2169,HeadJournal!$A$1:$K$890,COLUMN(HeadJournal!J$1),0))*($K2169+$L2169)/(SUMIF($A:$A,$A2169,$K:$K)+SUMIF($A:$A,$A2169,$L:$L)),0)</f>
        <v>1.474192780838318E-14</v>
      </c>
      <c r="O2169" s="30">
        <f>IFERROR((VLOOKUP($A2169,HeadJournal!$A$1:$L$890,COLUMN(HeadJournal!L$1),0)*($K2169+$L2169)/(SUMIF($A:$A,$A2169,$K:$K)+SUMIF($A:$A,$A2169,$L:$L)))/VLOOKUP($A2169,HeadJournal!$A$1:$L$890,COLUMN(HeadJournal!H$1),0),0)</f>
        <v>3.5979333880425073</v>
      </c>
      <c r="P2169" s="30">
        <f>IFERROR(SUM(K2169:O2169)*VLOOKUP($A2169,HeadJournal!$A$1:$L$890,COLUMN(HeadJournal!H$1),0),0)</f>
        <v>7974.5894583393947</v>
      </c>
      <c r="Q2169" s="29">
        <v>9000</v>
      </c>
      <c r="R2169" s="31">
        <v>45551</v>
      </c>
      <c r="S2169" s="31" t="s">
        <v>3121</v>
      </c>
      <c r="T2169" s="95" t="str">
        <f t="shared" si="170"/>
        <v>2024 09</v>
      </c>
      <c r="U2169" s="32">
        <f t="shared" si="167"/>
        <v>1025.4105416606053</v>
      </c>
      <c r="V2169" s="22">
        <f t="shared" si="168"/>
        <v>0.1285847437059329</v>
      </c>
      <c r="X2169" s="33"/>
      <c r="Y2169" s="33"/>
    </row>
    <row r="2170" spans="1:25" x14ac:dyDescent="0.2">
      <c r="A2170" s="93" t="s">
        <v>970</v>
      </c>
      <c r="B2170" s="94" t="str">
        <f>IFERROR(VLOOKUP($A2170,HeadJournal!$A$1:$NTR$890,COLUMN(HeadJournal!B$1),0),"")</f>
        <v>710000988797</v>
      </c>
      <c r="C2170" s="94" t="str">
        <f>IFERROR(VLOOKUP($A2170,HeadJournal!$A$1:$NTR$890,COLUMN(HeadJournal!C$1),0),"")</f>
        <v>iHerb_MH DLE7202</v>
      </c>
      <c r="D2170" s="125" t="str">
        <f>IFERROR(VLOOKUP($A2170,HeadJournal!$A$1:$NTR$890,COLUMN(HeadJournal!D$1),0),"")</f>
        <v>Доставлен</v>
      </c>
      <c r="E2170" s="95">
        <f>IFERROR(VLOOKUP($A2170,HeadJournal!$A$1:$NTR$890,COLUMN(HeadJournal!G$1),0),"")</f>
        <v>45185</v>
      </c>
      <c r="F2170" s="95" t="str">
        <f t="shared" si="169"/>
        <v>2023 09</v>
      </c>
      <c r="G2170" s="96" t="s">
        <v>6</v>
      </c>
      <c r="H2170" s="160" t="str">
        <f>RIGHT(Journal!$J2170,9)</f>
        <v>MRM-72050</v>
      </c>
      <c r="I2170" s="96" t="str">
        <f t="shared" si="171"/>
        <v>MRM Nutrition</v>
      </c>
      <c r="J2170" s="97" t="s">
        <v>973</v>
      </c>
      <c r="K2170" s="29">
        <v>80.44</v>
      </c>
      <c r="L2170" s="29">
        <v>-21.72</v>
      </c>
      <c r="M2170" s="30">
        <f>IFERROR(VLOOKUP($A2170,HeadJournal!$A$1:$J$890,COLUMN(HeadJournal!I$1),0)*($K2170+$L2170)/(SUMIF($A:$A,$A2170,$K:$K)+SUMIF($A:$A,$A2170,$L:$L)),0)</f>
        <v>-1.2124821870001457</v>
      </c>
      <c r="N2170" s="30">
        <f>IFERROR((VLOOKUP($A2170,HeadJournal!$A$1:$K$890,COLUMN(HeadJournal!K$1),0)-VLOOKUP($A2170,HeadJournal!$A$1:$K$890,COLUMN(HeadJournal!J$1),0))*($K2170+$L2170)/(SUMIF($A:$A,$A2170,$K:$K)+SUMIF($A:$A,$A2170,$L:$L)),0)</f>
        <v>1.2134090284668633E-14</v>
      </c>
      <c r="O2170" s="30">
        <f>IFERROR((VLOOKUP($A2170,HeadJournal!$A$1:$L$890,COLUMN(HeadJournal!L$1),0)*($K2170+$L2170)/(SUMIF($A:$A,$A2170,$K:$K)+SUMIF($A:$A,$A2170,$L:$L)))/VLOOKUP($A2170,HeadJournal!$A$1:$L$890,COLUMN(HeadJournal!H$1),0),0)</f>
        <v>2.961461291643622</v>
      </c>
      <c r="P2170" s="30">
        <f>IFERROR(SUM(K2170:O2170)*VLOOKUP($A2170,HeadJournal!$A$1:$L$890,COLUMN(HeadJournal!H$1),0),0)</f>
        <v>6563.8897251708613</v>
      </c>
      <c r="Q2170" s="29">
        <v>8000</v>
      </c>
      <c r="R2170" s="31">
        <v>45808</v>
      </c>
      <c r="S2170" s="31" t="s">
        <v>4457</v>
      </c>
      <c r="T2170" s="95" t="str">
        <f t="shared" si="170"/>
        <v>2025 05</v>
      </c>
      <c r="U2170" s="32">
        <f t="shared" si="167"/>
        <v>1436.1102748291387</v>
      </c>
      <c r="V2170" s="22">
        <f t="shared" si="168"/>
        <v>0.21878951886135717</v>
      </c>
      <c r="X2170" s="33"/>
      <c r="Y2170" s="33"/>
    </row>
    <row r="2171" spans="1:25" x14ac:dyDescent="0.2">
      <c r="A2171" s="93" t="s">
        <v>970</v>
      </c>
      <c r="B2171" s="94" t="str">
        <f>IFERROR(VLOOKUP($A2171,HeadJournal!$A$1:$NTR$890,COLUMN(HeadJournal!B$1),0),"")</f>
        <v>710000988797</v>
      </c>
      <c r="C2171" s="94" t="str">
        <f>IFERROR(VLOOKUP($A2171,HeadJournal!$A$1:$NTR$890,COLUMN(HeadJournal!C$1),0),"")</f>
        <v>iHerb_MH DLE7202</v>
      </c>
      <c r="D2171" s="125" t="str">
        <f>IFERROR(VLOOKUP($A2171,HeadJournal!$A$1:$NTR$890,COLUMN(HeadJournal!D$1),0),"")</f>
        <v>Доставлен</v>
      </c>
      <c r="E2171" s="95">
        <f>IFERROR(VLOOKUP($A2171,HeadJournal!$A$1:$NTR$890,COLUMN(HeadJournal!G$1),0),"")</f>
        <v>45185</v>
      </c>
      <c r="F2171" s="95" t="str">
        <f t="shared" si="169"/>
        <v>2023 09</v>
      </c>
      <c r="G2171" s="96" t="s">
        <v>6</v>
      </c>
      <c r="H2171" s="160" t="str">
        <f>RIGHT(Journal!$J2171,9)</f>
        <v>MSC-71045</v>
      </c>
      <c r="I2171" s="96" t="str">
        <f t="shared" si="171"/>
        <v>MuscleTech</v>
      </c>
      <c r="J2171" s="97" t="s">
        <v>974</v>
      </c>
      <c r="K2171" s="29">
        <v>43.88</v>
      </c>
      <c r="L2171" s="29">
        <v>-11.85</v>
      </c>
      <c r="M2171" s="30">
        <f>IFERROR(VLOOKUP($A2171,HeadJournal!$A$1:$J$890,COLUMN(HeadJournal!I$1),0)*($K2171+$L2171)/(SUMIF($A:$A,$A2171,$K:$K)+SUMIF($A:$A,$A2171,$L:$L)),0)</f>
        <v>-0.66137269158063128</v>
      </c>
      <c r="N2171" s="30">
        <f>IFERROR((VLOOKUP($A2171,HeadJournal!$A$1:$K$890,COLUMN(HeadJournal!K$1),0)-VLOOKUP($A2171,HeadJournal!$A$1:$K$890,COLUMN(HeadJournal!J$1),0))*($K2171+$L2171)/(SUMIF($A:$A,$A2171,$K:$K)+SUMIF($A:$A,$A2171,$L:$L)),0)</f>
        <v>6.6187825582073627E-15</v>
      </c>
      <c r="O2171" s="30">
        <f>IFERROR((VLOOKUP($A2171,HeadJournal!$A$1:$L$890,COLUMN(HeadJournal!L$1),0)*($K2171+$L2171)/(SUMIF($A:$A,$A2171,$K:$K)+SUMIF($A:$A,$A2171,$L:$L)))/VLOOKUP($A2171,HeadJournal!$A$1:$L$890,COLUMN(HeadJournal!H$1),0),0)</f>
        <v>1.6153883714466148</v>
      </c>
      <c r="P2171" s="30">
        <f>IFERROR(SUM(K2171:O2171)*VLOOKUP($A2171,HeadJournal!$A$1:$L$890,COLUMN(HeadJournal!H$1),0),0)</f>
        <v>3580.4051072415309</v>
      </c>
      <c r="Q2171" s="29">
        <v>5500</v>
      </c>
      <c r="R2171" s="31">
        <v>45230</v>
      </c>
      <c r="S2171" s="31" t="s">
        <v>3121</v>
      </c>
      <c r="T2171" s="95" t="str">
        <f t="shared" si="170"/>
        <v>2023 10</v>
      </c>
      <c r="U2171" s="32">
        <f t="shared" si="167"/>
        <v>1919.5948927584691</v>
      </c>
      <c r="V2171" s="22">
        <f t="shared" si="168"/>
        <v>0.53613902205535391</v>
      </c>
      <c r="X2171" s="33"/>
      <c r="Y2171" s="33"/>
    </row>
    <row r="2172" spans="1:25" x14ac:dyDescent="0.2">
      <c r="A2172" s="93" t="s">
        <v>975</v>
      </c>
      <c r="B2172" s="94" t="str">
        <f>IFERROR(VLOOKUP($A2172,HeadJournal!$A$1:$NTR$890,COLUMN(HeadJournal!B$1),0),"")</f>
        <v>700000902322</v>
      </c>
      <c r="C2172" s="94" t="str">
        <f>IFERROR(VLOOKUP($A2172,HeadJournal!$A$1:$NTR$890,COLUMN(HeadJournal!C$1),0),"")</f>
        <v>iHerb_MH DLE7202</v>
      </c>
      <c r="D2172" s="125" t="str">
        <f>IFERROR(VLOOKUP($A2172,HeadJournal!$A$1:$NTR$890,COLUMN(HeadJournal!D$1),0),"")</f>
        <v>Доставлен</v>
      </c>
      <c r="E2172" s="95">
        <f>IFERROR(VLOOKUP($A2172,HeadJournal!$A$1:$NTR$890,COLUMN(HeadJournal!G$1),0),"")</f>
        <v>45190</v>
      </c>
      <c r="F2172" s="95" t="str">
        <f t="shared" si="169"/>
        <v>2023 09</v>
      </c>
      <c r="G2172" s="96" t="s">
        <v>5</v>
      </c>
      <c r="H2172" s="160" t="str">
        <f>RIGHT(Journal!$J2172,9)</f>
        <v>NOW-01607</v>
      </c>
      <c r="I2172" s="96" t="str">
        <f t="shared" si="171"/>
        <v>NOW Foods</v>
      </c>
      <c r="J2172" s="97" t="s">
        <v>522</v>
      </c>
      <c r="K2172" s="29">
        <v>13.46</v>
      </c>
      <c r="L2172" s="29">
        <v>-3.63</v>
      </c>
      <c r="M2172" s="30">
        <f>IFERROR(VLOOKUP($A2172,HeadJournal!$A$1:$J$890,COLUMN(HeadJournal!I$1),0)*($K2172+$L2172)/(SUMIF($A:$A,$A2172,$K:$K)+SUMIF($A:$A,$A2172,$L:$L)),0)</f>
        <v>0</v>
      </c>
      <c r="N2172" s="30">
        <f>IFERROR((VLOOKUP($A2172,HeadJournal!$A$1:$K$890,COLUMN(HeadJournal!K$1),0)-VLOOKUP($A2172,HeadJournal!$A$1:$K$890,COLUMN(HeadJournal!J$1),0))*($K2172+$L2172)/(SUMIF($A:$A,$A2172,$K:$K)+SUMIF($A:$A,$A2172,$L:$L)),0)</f>
        <v>2.0082332065905082E-15</v>
      </c>
      <c r="O2172" s="30">
        <f>IFERROR((VLOOKUP($A2172,HeadJournal!$A$1:$L$890,COLUMN(HeadJournal!L$1),0)*($K2172+$L2172)/(SUMIF($A:$A,$A2172,$K:$K)+SUMIF($A:$A,$A2172,$L:$L)))/VLOOKUP($A2172,HeadJournal!$A$1:$L$890,COLUMN(HeadJournal!H$1),0),0)</f>
        <v>0.84031227819266596</v>
      </c>
      <c r="P2172" s="30">
        <f>IFERROR(SUM(K2172:O2172)*VLOOKUP($A2172,HeadJournal!$A$1:$L$890,COLUMN(HeadJournal!H$1),0),0)</f>
        <v>1156.2332590569297</v>
      </c>
      <c r="Q2172" s="29">
        <v>1900</v>
      </c>
      <c r="R2172" s="31">
        <v>45325</v>
      </c>
      <c r="S2172" s="31" t="s">
        <v>3121</v>
      </c>
      <c r="T2172" s="95" t="str">
        <f t="shared" si="170"/>
        <v>2024 02</v>
      </c>
      <c r="U2172" s="32">
        <f t="shared" si="167"/>
        <v>743.76674094307032</v>
      </c>
      <c r="V2172" s="22">
        <f t="shared" si="168"/>
        <v>0.64326703553720321</v>
      </c>
      <c r="X2172" s="33"/>
      <c r="Y2172" s="33"/>
    </row>
    <row r="2173" spans="1:25" x14ac:dyDescent="0.2">
      <c r="A2173" s="93" t="s">
        <v>975</v>
      </c>
      <c r="B2173" s="94" t="str">
        <f>IFERROR(VLOOKUP($A2173,HeadJournal!$A$1:$NTR$890,COLUMN(HeadJournal!B$1),0),"")</f>
        <v>700000902322</v>
      </c>
      <c r="C2173" s="94" t="str">
        <f>IFERROR(VLOOKUP($A2173,HeadJournal!$A$1:$NTR$890,COLUMN(HeadJournal!C$1),0),"")</f>
        <v>iHerb_MH DLE7202</v>
      </c>
      <c r="D2173" s="125" t="str">
        <f>IFERROR(VLOOKUP($A2173,HeadJournal!$A$1:$NTR$890,COLUMN(HeadJournal!D$1),0),"")</f>
        <v>Доставлен</v>
      </c>
      <c r="E2173" s="95">
        <f>IFERROR(VLOOKUP($A2173,HeadJournal!$A$1:$NTR$890,COLUMN(HeadJournal!G$1),0),"")</f>
        <v>45190</v>
      </c>
      <c r="F2173" s="95" t="str">
        <f t="shared" si="169"/>
        <v>2023 09</v>
      </c>
      <c r="G2173" s="96" t="s">
        <v>5</v>
      </c>
      <c r="H2173" s="161" t="s">
        <v>2800</v>
      </c>
      <c r="I2173" s="97" t="s">
        <v>2207</v>
      </c>
      <c r="J2173" s="97" t="s">
        <v>2801</v>
      </c>
      <c r="K2173" s="29">
        <v>24.53</v>
      </c>
      <c r="L2173" s="29">
        <v>-6.62</v>
      </c>
      <c r="M2173" s="30">
        <f>IFERROR(VLOOKUP($A2173,HeadJournal!$A$1:$J$890,COLUMN(HeadJournal!I$1),0)*($K2173+$L2173)/(SUMIF($A:$A,$A2173,$K:$K)+SUMIF($A:$A,$A2173,$L:$L)),0)</f>
        <v>0</v>
      </c>
      <c r="N2173" s="30">
        <f>IFERROR((VLOOKUP($A2173,HeadJournal!$A$1:$K$890,COLUMN(HeadJournal!K$1),0)-VLOOKUP($A2173,HeadJournal!$A$1:$K$890,COLUMN(HeadJournal!J$1),0))*($K2173+$L2173)/(SUMIF($A:$A,$A2173,$K:$K)+SUMIF($A:$A,$A2173,$L:$L)),0)</f>
        <v>3.6589477853546281E-15</v>
      </c>
      <c r="O2173" s="30">
        <f>IFERROR((VLOOKUP($A2173,HeadJournal!$A$1:$L$890,COLUMN(HeadJournal!L$1),0)*($K2173+$L2173)/(SUMIF($A:$A,$A2173,$K:$K)+SUMIF($A:$A,$A2173,$L:$L)))/VLOOKUP($A2173,HeadJournal!$A$1:$L$890,COLUMN(HeadJournal!H$1),0),0)</f>
        <v>1.5310267449064743</v>
      </c>
      <c r="P2173" s="30">
        <f>IFERROR(SUM(K2173:O2173)*VLOOKUP($A2173,HeadJournal!$A$1:$L$890,COLUMN(HeadJournal!H$1),0),0)</f>
        <v>2106.6264160437036</v>
      </c>
      <c r="Q2173" s="29">
        <v>3200</v>
      </c>
      <c r="R2173" s="31">
        <v>45225</v>
      </c>
      <c r="S2173" s="31" t="s">
        <v>3121</v>
      </c>
      <c r="T2173" s="95" t="str">
        <f t="shared" si="170"/>
        <v>2023 10</v>
      </c>
      <c r="U2173" s="32">
        <f t="shared" si="167"/>
        <v>1093.3735839562964</v>
      </c>
      <c r="V2173" s="22">
        <f t="shared" si="168"/>
        <v>0.51901636456723022</v>
      </c>
      <c r="X2173" s="33"/>
      <c r="Y2173" s="33"/>
    </row>
    <row r="2174" spans="1:25" x14ac:dyDescent="0.2">
      <c r="A2174" s="93" t="s">
        <v>975</v>
      </c>
      <c r="B2174" s="94" t="str">
        <f>IFERROR(VLOOKUP($A2174,HeadJournal!$A$1:$NTR$890,COLUMN(HeadJournal!B$1),0),"")</f>
        <v>700000902322</v>
      </c>
      <c r="C2174" s="94" t="str">
        <f>IFERROR(VLOOKUP($A2174,HeadJournal!$A$1:$NTR$890,COLUMN(HeadJournal!C$1),0),"")</f>
        <v>iHerb_MH DLE7202</v>
      </c>
      <c r="D2174" s="125" t="str">
        <f>IFERROR(VLOOKUP($A2174,HeadJournal!$A$1:$NTR$890,COLUMN(HeadJournal!D$1),0),"")</f>
        <v>Доставлен</v>
      </c>
      <c r="E2174" s="95">
        <f>IFERROR(VLOOKUP($A2174,HeadJournal!$A$1:$NTR$890,COLUMN(HeadJournal!G$1),0),"")</f>
        <v>45190</v>
      </c>
      <c r="F2174" s="95" t="str">
        <f t="shared" si="169"/>
        <v>2023 09</v>
      </c>
      <c r="G2174" s="96" t="s">
        <v>5</v>
      </c>
      <c r="H2174" s="161" t="s">
        <v>2430</v>
      </c>
      <c r="I2174" s="97" t="s">
        <v>2221</v>
      </c>
      <c r="J2174" s="97" t="s">
        <v>4197</v>
      </c>
      <c r="K2174" s="29">
        <v>7.64</v>
      </c>
      <c r="L2174" s="29">
        <v>-2.0649999999999999</v>
      </c>
      <c r="M2174" s="30">
        <f>IFERROR(VLOOKUP($A2174,HeadJournal!$A$1:$J$890,COLUMN(HeadJournal!I$1),0)*($K2174+$L2174)/(SUMIF($A:$A,$A2174,$K:$K)+SUMIF($A:$A,$A2174,$L:$L)),0)</f>
        <v>0</v>
      </c>
      <c r="N2174" s="30">
        <f>IFERROR((VLOOKUP($A2174,HeadJournal!$A$1:$K$890,COLUMN(HeadJournal!K$1),0)-VLOOKUP($A2174,HeadJournal!$A$1:$K$890,COLUMN(HeadJournal!J$1),0))*($K2174+$L2174)/(SUMIF($A:$A,$A2174,$K:$K)+SUMIF($A:$A,$A2174,$L:$L)),0)</f>
        <v>1.1389522000754913E-15</v>
      </c>
      <c r="O2174" s="30">
        <f>IFERROR((VLOOKUP($A2174,HeadJournal!$A$1:$L$890,COLUMN(HeadJournal!L$1),0)*($K2174+$L2174)/(SUMIF($A:$A,$A2174,$K:$K)+SUMIF($A:$A,$A2174,$L:$L)))/VLOOKUP($A2174,HeadJournal!$A$1:$L$890,COLUMN(HeadJournal!H$1),0),0)</f>
        <v>0.47657588513978749</v>
      </c>
      <c r="P2174" s="30">
        <f>IFERROR(SUM(K2174:O2174)*VLOOKUP($A2174,HeadJournal!$A$1:$L$890,COLUMN(HeadJournal!H$1),0),0)</f>
        <v>655.74775373778039</v>
      </c>
      <c r="Q2174" s="29">
        <v>1600</v>
      </c>
      <c r="R2174" s="31">
        <v>45222</v>
      </c>
      <c r="S2174" s="31" t="s">
        <v>3121</v>
      </c>
      <c r="T2174" s="95" t="str">
        <f t="shared" si="170"/>
        <v>2023 10</v>
      </c>
      <c r="U2174" s="32">
        <f t="shared" si="167"/>
        <v>944.25224626221961</v>
      </c>
      <c r="V2174" s="22">
        <f t="shared" si="168"/>
        <v>1.4399626089147171</v>
      </c>
      <c r="X2174" s="33"/>
      <c r="Y2174" s="33"/>
    </row>
    <row r="2175" spans="1:25" x14ac:dyDescent="0.2">
      <c r="A2175" s="93" t="s">
        <v>975</v>
      </c>
      <c r="B2175" s="94" t="str">
        <f>IFERROR(VLOOKUP($A2175,HeadJournal!$A$1:$NTR$890,COLUMN(HeadJournal!B$1),0),"")</f>
        <v>700000902322</v>
      </c>
      <c r="C2175" s="94" t="str">
        <f>IFERROR(VLOOKUP($A2175,HeadJournal!$A$1:$NTR$890,COLUMN(HeadJournal!C$1),0),"")</f>
        <v>iHerb_MH DLE7202</v>
      </c>
      <c r="D2175" s="125" t="str">
        <f>IFERROR(VLOOKUP($A2175,HeadJournal!$A$1:$NTR$890,COLUMN(HeadJournal!D$1),0),"")</f>
        <v>Доставлен</v>
      </c>
      <c r="E2175" s="95">
        <f>IFERROR(VLOOKUP($A2175,HeadJournal!$A$1:$NTR$890,COLUMN(HeadJournal!G$1),0),"")</f>
        <v>45190</v>
      </c>
      <c r="F2175" s="95" t="str">
        <f t="shared" si="169"/>
        <v>2023 09</v>
      </c>
      <c r="G2175" s="96" t="s">
        <v>5</v>
      </c>
      <c r="H2175" s="161" t="s">
        <v>2430</v>
      </c>
      <c r="I2175" s="97" t="s">
        <v>2221</v>
      </c>
      <c r="J2175" s="97" t="s">
        <v>4197</v>
      </c>
      <c r="K2175" s="29">
        <v>7.64</v>
      </c>
      <c r="L2175" s="29">
        <v>-2.0649999999999999</v>
      </c>
      <c r="M2175" s="30">
        <f>IFERROR(VLOOKUP($A2175,HeadJournal!$A$1:$J$890,COLUMN(HeadJournal!I$1),0)*($K2175+$L2175)/(SUMIF($A:$A,$A2175,$K:$K)+SUMIF($A:$A,$A2175,$L:$L)),0)</f>
        <v>0</v>
      </c>
      <c r="N2175" s="30">
        <f>IFERROR((VLOOKUP($A2175,HeadJournal!$A$1:$K$890,COLUMN(HeadJournal!K$1),0)-VLOOKUP($A2175,HeadJournal!$A$1:$K$890,COLUMN(HeadJournal!J$1),0))*($K2175+$L2175)/(SUMIF($A:$A,$A2175,$K:$K)+SUMIF($A:$A,$A2175,$L:$L)),0)</f>
        <v>1.1389522000754913E-15</v>
      </c>
      <c r="O2175" s="30">
        <f>IFERROR((VLOOKUP($A2175,HeadJournal!$A$1:$L$890,COLUMN(HeadJournal!L$1),0)*($K2175+$L2175)/(SUMIF($A:$A,$A2175,$K:$K)+SUMIF($A:$A,$A2175,$L:$L)))/VLOOKUP($A2175,HeadJournal!$A$1:$L$890,COLUMN(HeadJournal!H$1),0),0)</f>
        <v>0.47657588513978749</v>
      </c>
      <c r="P2175" s="30">
        <f>IFERROR(SUM(K2175:O2175)*VLOOKUP($A2175,HeadJournal!$A$1:$L$890,COLUMN(HeadJournal!H$1),0),0)</f>
        <v>655.74775373778039</v>
      </c>
      <c r="Q2175" s="29">
        <v>1600</v>
      </c>
      <c r="R2175" s="31">
        <v>45257</v>
      </c>
      <c r="S2175" s="31" t="s">
        <v>3121</v>
      </c>
      <c r="T2175" s="95" t="str">
        <f t="shared" si="170"/>
        <v>2023 11</v>
      </c>
      <c r="U2175" s="32">
        <f t="shared" si="167"/>
        <v>944.25224626221961</v>
      </c>
      <c r="V2175" s="22">
        <f t="shared" si="168"/>
        <v>1.4399626089147171</v>
      </c>
      <c r="X2175" s="33"/>
      <c r="Y2175" s="33"/>
    </row>
    <row r="2176" spans="1:25" x14ac:dyDescent="0.2">
      <c r="A2176" s="93" t="s">
        <v>975</v>
      </c>
      <c r="B2176" s="94" t="str">
        <f>IFERROR(VLOOKUP($A2176,HeadJournal!$A$1:$NTR$890,COLUMN(HeadJournal!B$1),0),"")</f>
        <v>700000902322</v>
      </c>
      <c r="C2176" s="94" t="str">
        <f>IFERROR(VLOOKUP($A2176,HeadJournal!$A$1:$NTR$890,COLUMN(HeadJournal!C$1),0),"")</f>
        <v>iHerb_MH DLE7202</v>
      </c>
      <c r="D2176" s="125" t="str">
        <f>IFERROR(VLOOKUP($A2176,HeadJournal!$A$1:$NTR$890,COLUMN(HeadJournal!D$1),0),"")</f>
        <v>Доставлен</v>
      </c>
      <c r="E2176" s="95">
        <f>IFERROR(VLOOKUP($A2176,HeadJournal!$A$1:$NTR$890,COLUMN(HeadJournal!G$1),0),"")</f>
        <v>45190</v>
      </c>
      <c r="F2176" s="95" t="str">
        <f t="shared" si="169"/>
        <v>2023 09</v>
      </c>
      <c r="G2176" s="96" t="s">
        <v>5</v>
      </c>
      <c r="H2176" s="161" t="s">
        <v>2431</v>
      </c>
      <c r="I2176" s="97" t="s">
        <v>2221</v>
      </c>
      <c r="J2176" s="97" t="s">
        <v>4196</v>
      </c>
      <c r="K2176" s="29">
        <v>13.35</v>
      </c>
      <c r="L2176" s="29">
        <v>-3.605</v>
      </c>
      <c r="M2176" s="30">
        <f>IFERROR(VLOOKUP($A2176,HeadJournal!$A$1:$J$890,COLUMN(HeadJournal!I$1),0)*($K2176+$L2176)/(SUMIF($A:$A,$A2176,$K:$K)+SUMIF($A:$A,$A2176,$L:$L)),0)</f>
        <v>0</v>
      </c>
      <c r="N2176" s="30">
        <f>IFERROR((VLOOKUP($A2176,HeadJournal!$A$1:$K$890,COLUMN(HeadJournal!K$1),0)-VLOOKUP($A2176,HeadJournal!$A$1:$K$890,COLUMN(HeadJournal!J$1),0))*($K2176+$L2176)/(SUMIF($A:$A,$A2176,$K:$K)+SUMIF($A:$A,$A2176,$L:$L)),0)</f>
        <v>1.9908680160960831E-15</v>
      </c>
      <c r="O2176" s="30">
        <f>IFERROR((VLOOKUP($A2176,HeadJournal!$A$1:$L$890,COLUMN(HeadJournal!L$1),0)*($K2176+$L2176)/(SUMIF($A:$A,$A2176,$K:$K)+SUMIF($A:$A,$A2176,$L:$L)))/VLOOKUP($A2176,HeadJournal!$A$1:$L$890,COLUMN(HeadJournal!H$1),0),0)</f>
        <v>0.83304609877797842</v>
      </c>
      <c r="P2176" s="30">
        <f>IFERROR(SUM(K2176:O2176)*VLOOKUP($A2176,HeadJournal!$A$1:$L$890,COLUMN(HeadJournal!H$1),0),0)</f>
        <v>1146.2353112420933</v>
      </c>
      <c r="Q2176" s="29">
        <v>2000</v>
      </c>
      <c r="R2176" s="31">
        <v>45237</v>
      </c>
      <c r="S2176" s="31" t="s">
        <v>3121</v>
      </c>
      <c r="T2176" s="95" t="str">
        <f t="shared" si="170"/>
        <v>2023 11</v>
      </c>
      <c r="U2176" s="32">
        <f t="shared" si="167"/>
        <v>853.7646887579067</v>
      </c>
      <c r="V2176" s="22">
        <f t="shared" si="168"/>
        <v>0.74484242492297925</v>
      </c>
      <c r="X2176" s="33"/>
      <c r="Y2176" s="33"/>
    </row>
    <row r="2177" spans="1:25" x14ac:dyDescent="0.2">
      <c r="A2177" s="93" t="s">
        <v>975</v>
      </c>
      <c r="B2177" s="94" t="str">
        <f>IFERROR(VLOOKUP($A2177,HeadJournal!$A$1:$NTR$890,COLUMN(HeadJournal!B$1),0),"")</f>
        <v>700000902322</v>
      </c>
      <c r="C2177" s="94" t="str">
        <f>IFERROR(VLOOKUP($A2177,HeadJournal!$A$1:$NTR$890,COLUMN(HeadJournal!C$1),0),"")</f>
        <v>iHerb_MH DLE7202</v>
      </c>
      <c r="D2177" s="125" t="str">
        <f>IFERROR(VLOOKUP($A2177,HeadJournal!$A$1:$NTR$890,COLUMN(HeadJournal!D$1),0),"")</f>
        <v>Доставлен</v>
      </c>
      <c r="E2177" s="95">
        <f>IFERROR(VLOOKUP($A2177,HeadJournal!$A$1:$NTR$890,COLUMN(HeadJournal!G$1),0),"")</f>
        <v>45190</v>
      </c>
      <c r="F2177" s="95" t="str">
        <f t="shared" si="169"/>
        <v>2023 09</v>
      </c>
      <c r="G2177" s="96" t="s">
        <v>5</v>
      </c>
      <c r="H2177" s="161" t="s">
        <v>2431</v>
      </c>
      <c r="I2177" s="97" t="s">
        <v>2221</v>
      </c>
      <c r="J2177" s="97" t="s">
        <v>4196</v>
      </c>
      <c r="K2177" s="29">
        <v>13.35</v>
      </c>
      <c r="L2177" s="29">
        <v>-3.605</v>
      </c>
      <c r="M2177" s="30">
        <f>IFERROR(VLOOKUP($A2177,HeadJournal!$A$1:$J$890,COLUMN(HeadJournal!I$1),0)*($K2177+$L2177)/(SUMIF($A:$A,$A2177,$K:$K)+SUMIF($A:$A,$A2177,$L:$L)),0)</f>
        <v>0</v>
      </c>
      <c r="N2177" s="30">
        <f>IFERROR((VLOOKUP($A2177,HeadJournal!$A$1:$K$890,COLUMN(HeadJournal!K$1),0)-VLOOKUP($A2177,HeadJournal!$A$1:$K$890,COLUMN(HeadJournal!J$1),0))*($K2177+$L2177)/(SUMIF($A:$A,$A2177,$K:$K)+SUMIF($A:$A,$A2177,$L:$L)),0)</f>
        <v>1.9908680160960831E-15</v>
      </c>
      <c r="O2177" s="30">
        <f>IFERROR((VLOOKUP($A2177,HeadJournal!$A$1:$L$890,COLUMN(HeadJournal!L$1),0)*($K2177+$L2177)/(SUMIF($A:$A,$A2177,$K:$K)+SUMIF($A:$A,$A2177,$L:$L)))/VLOOKUP($A2177,HeadJournal!$A$1:$L$890,COLUMN(HeadJournal!H$1),0),0)</f>
        <v>0.83304609877797842</v>
      </c>
      <c r="P2177" s="30">
        <f>IFERROR(SUM(K2177:O2177)*VLOOKUP($A2177,HeadJournal!$A$1:$L$890,COLUMN(HeadJournal!H$1),0),0)</f>
        <v>1146.2353112420933</v>
      </c>
      <c r="Q2177" s="29">
        <v>2000</v>
      </c>
      <c r="R2177" s="31">
        <v>45221</v>
      </c>
      <c r="S2177" s="31" t="s">
        <v>3121</v>
      </c>
      <c r="T2177" s="95" t="str">
        <f t="shared" si="170"/>
        <v>2023 10</v>
      </c>
      <c r="U2177" s="32">
        <f t="shared" ref="U2177:U2240" si="172">Q2177-P2177</f>
        <v>853.7646887579067</v>
      </c>
      <c r="V2177" s="22">
        <f t="shared" ref="V2177:V2240" si="173">IF(Q2177&lt;&gt;0,IFERROR(U2177/P2177,""),"")</f>
        <v>0.74484242492297925</v>
      </c>
      <c r="X2177" s="33"/>
      <c r="Y2177" s="33"/>
    </row>
    <row r="2178" spans="1:25" x14ac:dyDescent="0.2">
      <c r="A2178" s="93" t="s">
        <v>975</v>
      </c>
      <c r="B2178" s="94" t="str">
        <f>IFERROR(VLOOKUP($A2178,HeadJournal!$A$1:$NTR$890,COLUMN(HeadJournal!B$1),0),"")</f>
        <v>700000902322</v>
      </c>
      <c r="C2178" s="94" t="str">
        <f>IFERROR(VLOOKUP($A2178,HeadJournal!$A$1:$NTR$890,COLUMN(HeadJournal!C$1),0),"")</f>
        <v>iHerb_MH DLE7202</v>
      </c>
      <c r="D2178" s="125" t="str">
        <f>IFERROR(VLOOKUP($A2178,HeadJournal!$A$1:$NTR$890,COLUMN(HeadJournal!D$1),0),"")</f>
        <v>Доставлен</v>
      </c>
      <c r="E2178" s="95">
        <f>IFERROR(VLOOKUP($A2178,HeadJournal!$A$1:$NTR$890,COLUMN(HeadJournal!G$1),0),"")</f>
        <v>45190</v>
      </c>
      <c r="F2178" s="95" t="str">
        <f t="shared" si="169"/>
        <v>2023 09</v>
      </c>
      <c r="G2178" s="96" t="s">
        <v>5</v>
      </c>
      <c r="H2178" s="161" t="s">
        <v>4091</v>
      </c>
      <c r="I2178" s="97" t="s">
        <v>2005</v>
      </c>
      <c r="J2178" s="97" t="s">
        <v>4092</v>
      </c>
      <c r="K2178" s="29">
        <v>15.32</v>
      </c>
      <c r="L2178" s="29">
        <v>-4.1399999999999997</v>
      </c>
      <c r="M2178" s="30">
        <f>IFERROR(VLOOKUP($A2178,HeadJournal!$A$1:$J$890,COLUMN(HeadJournal!I$1),0)*($K2178+$L2178)/(SUMIF($A:$A,$A2178,$K:$K)+SUMIF($A:$A,$A2178,$L:$L)),0)</f>
        <v>0</v>
      </c>
      <c r="N2178" s="30">
        <f>IFERROR((VLOOKUP($A2178,HeadJournal!$A$1:$K$890,COLUMN(HeadJournal!K$1),0)-VLOOKUP($A2178,HeadJournal!$A$1:$K$890,COLUMN(HeadJournal!J$1),0))*($K2178+$L2178)/(SUMIF($A:$A,$A2178,$K:$K)+SUMIF($A:$A,$A2178,$L:$L)),0)</f>
        <v>2.284033290913721E-15</v>
      </c>
      <c r="O2178" s="30">
        <f>IFERROR((VLOOKUP($A2178,HeadJournal!$A$1:$L$890,COLUMN(HeadJournal!L$1),0)*($K2178+$L2178)/(SUMIF($A:$A,$A2178,$K:$K)+SUMIF($A:$A,$A2178,$L:$L)))/VLOOKUP($A2178,HeadJournal!$A$1:$L$890,COLUMN(HeadJournal!H$1),0),0)</f>
        <v>0.95571630419064124</v>
      </c>
      <c r="P2178" s="30">
        <f>IFERROR(SUM(K2178:O2178)*VLOOKUP($A2178,HeadJournal!$A$1:$L$890,COLUMN(HeadJournal!H$1),0),0)</f>
        <v>1315.0241949396207</v>
      </c>
      <c r="Q2178" s="29">
        <v>2000</v>
      </c>
      <c r="R2178" s="31">
        <v>45820</v>
      </c>
      <c r="S2178" s="31" t="s">
        <v>3121</v>
      </c>
      <c r="T2178" s="95" t="str">
        <f t="shared" si="170"/>
        <v>2025 06</v>
      </c>
      <c r="U2178" s="32">
        <f t="shared" si="172"/>
        <v>684.97580506037934</v>
      </c>
      <c r="V2178" s="22">
        <f t="shared" si="173"/>
        <v>0.52088456447892961</v>
      </c>
      <c r="X2178" s="33"/>
      <c r="Y2178" s="33"/>
    </row>
    <row r="2179" spans="1:25" x14ac:dyDescent="0.2">
      <c r="A2179" s="93" t="s">
        <v>976</v>
      </c>
      <c r="B2179" s="94" t="str">
        <f>IFERROR(VLOOKUP($A2179,HeadJournal!$A$1:$NTR$890,COLUMN(HeadJournal!B$1),0),"")</f>
        <v>700000923063</v>
      </c>
      <c r="C2179" s="94" t="str">
        <f>IFERROR(VLOOKUP($A2179,HeadJournal!$A$1:$NTR$890,COLUMN(HeadJournal!C$1),0),"")</f>
        <v>iHerb_AV CYG0792</v>
      </c>
      <c r="D2179" s="125" t="str">
        <f>IFERROR(VLOOKUP($A2179,HeadJournal!$A$1:$NTR$890,COLUMN(HeadJournal!D$1),0),"")</f>
        <v>Доставлен</v>
      </c>
      <c r="E2179" s="95">
        <f>IFERROR(VLOOKUP($A2179,HeadJournal!$A$1:$NTR$890,COLUMN(HeadJournal!G$1),0),"")</f>
        <v>45194</v>
      </c>
      <c r="F2179" s="95" t="str">
        <f t="shared" si="169"/>
        <v>2023 09</v>
      </c>
      <c r="G2179" s="96" t="s">
        <v>5</v>
      </c>
      <c r="H2179" s="161" t="s">
        <v>4046</v>
      </c>
      <c r="I2179" s="97" t="s">
        <v>2009</v>
      </c>
      <c r="J2179" s="97" t="s">
        <v>4047</v>
      </c>
      <c r="K2179" s="29">
        <v>11.9</v>
      </c>
      <c r="L2179" s="29">
        <v>-3.25</v>
      </c>
      <c r="M2179" s="30">
        <f>IFERROR(VLOOKUP($A2179,HeadJournal!$A$1:$J$890,COLUMN(HeadJournal!I$1),0)*($K2179+$L2179)/(SUMIF($A:$A,$A2179,$K:$K)+SUMIF($A:$A,$A2179,$L:$L)),0)</f>
        <v>0</v>
      </c>
      <c r="N2179" s="30">
        <f>IFERROR((VLOOKUP($A2179,HeadJournal!$A$1:$K$890,COLUMN(HeadJournal!K$1),0)-VLOOKUP($A2179,HeadJournal!$A$1:$K$890,COLUMN(HeadJournal!J$1),0))*($K2179+$L2179)/(SUMIF($A:$A,$A2179,$K:$K)+SUMIF($A:$A,$A2179,$L:$L)),0)</f>
        <v>1.5946538663358289E-15</v>
      </c>
      <c r="O2179" s="30">
        <f>IFERROR((VLOOKUP($A2179,HeadJournal!$A$1:$L$890,COLUMN(HeadJournal!L$1),0)*($K2179+$L2179)/(SUMIF($A:$A,$A2179,$K:$K)+SUMIF($A:$A,$A2179,$L:$L)))/VLOOKUP($A2179,HeadJournal!$A$1:$L$890,COLUMN(HeadJournal!H$1),0),0)</f>
        <v>0.66947993917248649</v>
      </c>
      <c r="P2179" s="30">
        <f>IFERROR(SUM(K2179:O2179)*VLOOKUP($A2179,HeadJournal!$A$1:$L$890,COLUMN(HeadJournal!H$1),0),0)</f>
        <v>1006.5038334306288</v>
      </c>
      <c r="Q2179" s="29">
        <v>1700</v>
      </c>
      <c r="R2179" s="31">
        <v>45225</v>
      </c>
      <c r="S2179" s="31" t="s">
        <v>3121</v>
      </c>
      <c r="T2179" s="95" t="str">
        <f t="shared" si="170"/>
        <v>2023 10</v>
      </c>
      <c r="U2179" s="32">
        <f t="shared" si="172"/>
        <v>693.49616656937121</v>
      </c>
      <c r="V2179" s="22">
        <f t="shared" si="173"/>
        <v>0.68901492824485011</v>
      </c>
      <c r="X2179" s="33"/>
      <c r="Y2179" s="33"/>
    </row>
    <row r="2180" spans="1:25" x14ac:dyDescent="0.2">
      <c r="A2180" s="93" t="s">
        <v>976</v>
      </c>
      <c r="B2180" s="94" t="str">
        <f>IFERROR(VLOOKUP($A2180,HeadJournal!$A$1:$NTR$890,COLUMN(HeadJournal!B$1),0),"")</f>
        <v>700000923063</v>
      </c>
      <c r="C2180" s="94" t="str">
        <f>IFERROR(VLOOKUP($A2180,HeadJournal!$A$1:$NTR$890,COLUMN(HeadJournal!C$1),0),"")</f>
        <v>iHerb_AV CYG0792</v>
      </c>
      <c r="D2180" s="125" t="str">
        <f>IFERROR(VLOOKUP($A2180,HeadJournal!$A$1:$NTR$890,COLUMN(HeadJournal!D$1),0),"")</f>
        <v>Доставлен</v>
      </c>
      <c r="E2180" s="95">
        <f>IFERROR(VLOOKUP($A2180,HeadJournal!$A$1:$NTR$890,COLUMN(HeadJournal!G$1),0),"")</f>
        <v>45194</v>
      </c>
      <c r="F2180" s="95" t="str">
        <f t="shared" ref="F2180:F2243" si="174">IFERROR(TEXT(E2180, "ГГГГ ММ"),"")</f>
        <v>2023 09</v>
      </c>
      <c r="G2180" s="96" t="s">
        <v>7</v>
      </c>
      <c r="H2180" s="161" t="s">
        <v>2724</v>
      </c>
      <c r="I2180" s="97" t="s">
        <v>2725</v>
      </c>
      <c r="J2180" s="97" t="s">
        <v>2726</v>
      </c>
      <c r="K2180" s="29">
        <v>18.98</v>
      </c>
      <c r="L2180" s="29">
        <v>-5.12</v>
      </c>
      <c r="M2180" s="30">
        <f>IFERROR(VLOOKUP($A2180,HeadJournal!$A$1:$J$890,COLUMN(HeadJournal!I$1),0)*($K2180+$L2180)/(SUMIF($A:$A,$A2180,$K:$K)+SUMIF($A:$A,$A2180,$L:$L)),0)</f>
        <v>0</v>
      </c>
      <c r="N2180" s="30">
        <f>IFERROR((VLOOKUP($A2180,HeadJournal!$A$1:$K$890,COLUMN(HeadJournal!K$1),0)-VLOOKUP($A2180,HeadJournal!$A$1:$K$890,COLUMN(HeadJournal!J$1),0))*($K2180+$L2180)/(SUMIF($A:$A,$A2180,$K:$K)+SUMIF($A:$A,$A2180,$L:$L)),0)</f>
        <v>2.555133247099952E-15</v>
      </c>
      <c r="O2180" s="30">
        <f>IFERROR((VLOOKUP($A2180,HeadJournal!$A$1:$L$890,COLUMN(HeadJournal!L$1),0)*($K2180+$L2180)/(SUMIF($A:$A,$A2180,$K:$K)+SUMIF($A:$A,$A2180,$L:$L)))/VLOOKUP($A2180,HeadJournal!$A$1:$L$890,COLUMN(HeadJournal!H$1),0),0)</f>
        <v>1.0727158331711748</v>
      </c>
      <c r="P2180" s="30">
        <f>IFERROR(SUM(K2180:O2180)*VLOOKUP($A2180,HeadJournal!$A$1:$L$890,COLUMN(HeadJournal!H$1),0),0)</f>
        <v>1612.7333099824871</v>
      </c>
      <c r="Q2180" s="29">
        <v>2400</v>
      </c>
      <c r="R2180" s="31">
        <v>45226</v>
      </c>
      <c r="S2180" s="31" t="s">
        <v>3121</v>
      </c>
      <c r="T2180" s="95" t="str">
        <f t="shared" ref="T2180:T2243" si="175">IF(R2180="","",TEXT(R2180,"ГГГГ ММ"))</f>
        <v>2023 10</v>
      </c>
      <c r="U2180" s="32">
        <f t="shared" si="172"/>
        <v>787.26669001751293</v>
      </c>
      <c r="V2180" s="22">
        <f t="shared" si="173"/>
        <v>0.48815677405836055</v>
      </c>
      <c r="X2180" s="33"/>
      <c r="Y2180" s="33"/>
    </row>
    <row r="2181" spans="1:25" x14ac:dyDescent="0.2">
      <c r="A2181" s="93" t="s">
        <v>976</v>
      </c>
      <c r="B2181" s="94" t="str">
        <f>IFERROR(VLOOKUP($A2181,HeadJournal!$A$1:$NTR$890,COLUMN(HeadJournal!B$1),0),"")</f>
        <v>700000923063</v>
      </c>
      <c r="C2181" s="94" t="str">
        <f>IFERROR(VLOOKUP($A2181,HeadJournal!$A$1:$NTR$890,COLUMN(HeadJournal!C$1),0),"")</f>
        <v>iHerb_AV CYG0792</v>
      </c>
      <c r="D2181" s="125" t="str">
        <f>IFERROR(VLOOKUP($A2181,HeadJournal!$A$1:$NTR$890,COLUMN(HeadJournal!D$1),0),"")</f>
        <v>Доставлен</v>
      </c>
      <c r="E2181" s="95">
        <f>IFERROR(VLOOKUP($A2181,HeadJournal!$A$1:$NTR$890,COLUMN(HeadJournal!G$1),0),"")</f>
        <v>45194</v>
      </c>
      <c r="F2181" s="95" t="str">
        <f t="shared" si="174"/>
        <v>2023 09</v>
      </c>
      <c r="G2181" s="96" t="s">
        <v>7</v>
      </c>
      <c r="H2181" s="161" t="s">
        <v>2724</v>
      </c>
      <c r="I2181" s="97" t="s">
        <v>2725</v>
      </c>
      <c r="J2181" s="97" t="s">
        <v>2726</v>
      </c>
      <c r="K2181" s="29">
        <v>18.98</v>
      </c>
      <c r="L2181" s="29">
        <v>-5.12</v>
      </c>
      <c r="M2181" s="30">
        <f>IFERROR(VLOOKUP($A2181,HeadJournal!$A$1:$J$890,COLUMN(HeadJournal!I$1),0)*($K2181+$L2181)/(SUMIF($A:$A,$A2181,$K:$K)+SUMIF($A:$A,$A2181,$L:$L)),0)</f>
        <v>0</v>
      </c>
      <c r="N2181" s="30">
        <f>IFERROR((VLOOKUP($A2181,HeadJournal!$A$1:$K$890,COLUMN(HeadJournal!K$1),0)-VLOOKUP($A2181,HeadJournal!$A$1:$K$890,COLUMN(HeadJournal!J$1),0))*($K2181+$L2181)/(SUMIF($A:$A,$A2181,$K:$K)+SUMIF($A:$A,$A2181,$L:$L)),0)</f>
        <v>2.555133247099952E-15</v>
      </c>
      <c r="O2181" s="30">
        <f>IFERROR((VLOOKUP($A2181,HeadJournal!$A$1:$L$890,COLUMN(HeadJournal!L$1),0)*($K2181+$L2181)/(SUMIF($A:$A,$A2181,$K:$K)+SUMIF($A:$A,$A2181,$L:$L)))/VLOOKUP($A2181,HeadJournal!$A$1:$L$890,COLUMN(HeadJournal!H$1),0),0)</f>
        <v>1.0727158331711748</v>
      </c>
      <c r="P2181" s="30">
        <f>IFERROR(SUM(K2181:O2181)*VLOOKUP($A2181,HeadJournal!$A$1:$L$890,COLUMN(HeadJournal!H$1),0),0)</f>
        <v>1612.7333099824871</v>
      </c>
      <c r="Q2181" s="29">
        <v>600</v>
      </c>
      <c r="R2181" s="31">
        <v>45362</v>
      </c>
      <c r="S2181" s="31" t="s">
        <v>3121</v>
      </c>
      <c r="T2181" s="95" t="str">
        <f t="shared" si="175"/>
        <v>2024 03</v>
      </c>
      <c r="U2181" s="32">
        <f t="shared" si="172"/>
        <v>-1012.7333099824871</v>
      </c>
      <c r="V2181" s="22">
        <f t="shared" si="173"/>
        <v>-0.62796080648540986</v>
      </c>
      <c r="X2181" s="33"/>
      <c r="Y2181" s="33"/>
    </row>
    <row r="2182" spans="1:25" x14ac:dyDescent="0.2">
      <c r="A2182" s="93" t="s">
        <v>976</v>
      </c>
      <c r="B2182" s="94" t="str">
        <f>IFERROR(VLOOKUP($A2182,HeadJournal!$A$1:$NTR$890,COLUMN(HeadJournal!B$1),0),"")</f>
        <v>700000923063</v>
      </c>
      <c r="C2182" s="94" t="str">
        <f>IFERROR(VLOOKUP($A2182,HeadJournal!$A$1:$NTR$890,COLUMN(HeadJournal!C$1),0),"")</f>
        <v>iHerb_AV CYG0792</v>
      </c>
      <c r="D2182" s="125" t="str">
        <f>IFERROR(VLOOKUP($A2182,HeadJournal!$A$1:$NTR$890,COLUMN(HeadJournal!D$1),0),"")</f>
        <v>Доставлен</v>
      </c>
      <c r="E2182" s="95">
        <f>IFERROR(VLOOKUP($A2182,HeadJournal!$A$1:$NTR$890,COLUMN(HeadJournal!G$1),0),"")</f>
        <v>45194</v>
      </c>
      <c r="F2182" s="95" t="str">
        <f t="shared" si="174"/>
        <v>2023 09</v>
      </c>
      <c r="G2182" s="96" t="s">
        <v>5</v>
      </c>
      <c r="H2182" s="160" t="str">
        <f>RIGHT(Journal!$J2182,9)</f>
        <v>SNS-01177</v>
      </c>
      <c r="I2182" s="96" t="str">
        <f t="shared" si="171"/>
        <v>Source Naturals</v>
      </c>
      <c r="J2182" s="97" t="s">
        <v>772</v>
      </c>
      <c r="K2182" s="29">
        <v>27.65</v>
      </c>
      <c r="L2182" s="29">
        <v>-7.46</v>
      </c>
      <c r="M2182" s="30">
        <f>IFERROR(VLOOKUP($A2182,HeadJournal!$A$1:$J$890,COLUMN(HeadJournal!I$1),0)*($K2182+$L2182)/(SUMIF($A:$A,$A2182,$K:$K)+SUMIF($A:$A,$A2182,$L:$L)),0)</f>
        <v>0</v>
      </c>
      <c r="N2182" s="30">
        <f>IFERROR((VLOOKUP($A2182,HeadJournal!$A$1:$K$890,COLUMN(HeadJournal!K$1),0)-VLOOKUP($A2182,HeadJournal!$A$1:$K$890,COLUMN(HeadJournal!J$1),0))*($K2182+$L2182)/(SUMIF($A:$A,$A2182,$K:$K)+SUMIF($A:$A,$A2182,$L:$L)),0)</f>
        <v>3.7220880417711419E-15</v>
      </c>
      <c r="O2182" s="30">
        <f>IFERROR((VLOOKUP($A2182,HeadJournal!$A$1:$L$890,COLUMN(HeadJournal!L$1),0)*($K2182+$L2182)/(SUMIF($A:$A,$A2182,$K:$K)+SUMIF($A:$A,$A2182,$L:$L)))/VLOOKUP($A2182,HeadJournal!$A$1:$L$890,COLUMN(HeadJournal!H$1),0),0)</f>
        <v>1.5626358349008671</v>
      </c>
      <c r="P2182" s="30">
        <f>IFERROR(SUM(K2182:O2182)*VLOOKUP($A2182,HeadJournal!$A$1:$L$890,COLUMN(HeadJournal!H$1),0),0)</f>
        <v>2349.2846701692938</v>
      </c>
      <c r="Q2182" s="29">
        <v>3400</v>
      </c>
      <c r="R2182" s="31">
        <v>45220</v>
      </c>
      <c r="S2182" s="31" t="s">
        <v>3121</v>
      </c>
      <c r="T2182" s="95" t="str">
        <f t="shared" si="175"/>
        <v>2023 10</v>
      </c>
      <c r="U2182" s="32">
        <f t="shared" si="172"/>
        <v>1050.7153298307062</v>
      </c>
      <c r="V2182" s="22">
        <f t="shared" si="173"/>
        <v>0.44724904698543394</v>
      </c>
      <c r="X2182" s="33"/>
      <c r="Y2182" s="33"/>
    </row>
    <row r="2183" spans="1:25" x14ac:dyDescent="0.2">
      <c r="A2183" s="93" t="s">
        <v>976</v>
      </c>
      <c r="B2183" s="94" t="str">
        <f>IFERROR(VLOOKUP($A2183,HeadJournal!$A$1:$NTR$890,COLUMN(HeadJournal!B$1),0),"")</f>
        <v>700000923063</v>
      </c>
      <c r="C2183" s="94" t="str">
        <f>IFERROR(VLOOKUP($A2183,HeadJournal!$A$1:$NTR$890,COLUMN(HeadJournal!C$1),0),"")</f>
        <v>iHerb_AV CYG0792</v>
      </c>
      <c r="D2183" s="125" t="str">
        <f>IFERROR(VLOOKUP($A2183,HeadJournal!$A$1:$NTR$890,COLUMN(HeadJournal!D$1),0),"")</f>
        <v>Доставлен</v>
      </c>
      <c r="E2183" s="95">
        <f>IFERROR(VLOOKUP($A2183,HeadJournal!$A$1:$NTR$890,COLUMN(HeadJournal!G$1),0),"")</f>
        <v>45194</v>
      </c>
      <c r="F2183" s="95" t="str">
        <f t="shared" si="174"/>
        <v>2023 09</v>
      </c>
      <c r="G2183" s="96" t="s">
        <v>6</v>
      </c>
      <c r="H2183" s="160" t="str">
        <f>RIGHT(Journal!$J2183,9)</f>
        <v>UNN-00042</v>
      </c>
      <c r="I2183" s="96" t="str">
        <f t="shared" si="171"/>
        <v>Animal</v>
      </c>
      <c r="J2183" s="97" t="s">
        <v>918</v>
      </c>
      <c r="K2183" s="29">
        <v>57.69</v>
      </c>
      <c r="L2183" s="29">
        <v>-15.57</v>
      </c>
      <c r="M2183" s="30">
        <f>IFERROR(VLOOKUP($A2183,HeadJournal!$A$1:$J$890,COLUMN(HeadJournal!I$1),0)*($K2183+$L2183)/(SUMIF($A:$A,$A2183,$K:$K)+SUMIF($A:$A,$A2183,$L:$L)),0)</f>
        <v>0</v>
      </c>
      <c r="N2183" s="30">
        <f>IFERROR((VLOOKUP($A2183,HeadJournal!$A$1:$K$890,COLUMN(HeadJournal!K$1),0)-VLOOKUP($A2183,HeadJournal!$A$1:$K$890,COLUMN(HeadJournal!J$1),0))*($K2183+$L2183)/(SUMIF($A:$A,$A2183,$K:$K)+SUMIF($A:$A,$A2183,$L:$L)),0)</f>
        <v>7.7649503872907629E-15</v>
      </c>
      <c r="O2183" s="30">
        <f>IFERROR((VLOOKUP($A2183,HeadJournal!$A$1:$L$890,COLUMN(HeadJournal!L$1),0)*($K2183+$L2183)/(SUMIF($A:$A,$A2183,$K:$K)+SUMIF($A:$A,$A2183,$L:$L)))/VLOOKUP($A2183,HeadJournal!$A$1:$L$890,COLUMN(HeadJournal!H$1),0),0)</f>
        <v>3.2599416228838298</v>
      </c>
      <c r="P2183" s="30">
        <f>IFERROR(SUM(K2183:O2183)*VLOOKUP($A2183,HeadJournal!$A$1:$L$890,COLUMN(HeadJournal!H$1),0),0)</f>
        <v>4901.0336952714542</v>
      </c>
      <c r="Q2183" s="29">
        <v>3800</v>
      </c>
      <c r="R2183" s="31">
        <v>45744</v>
      </c>
      <c r="S2183" s="31" t="s">
        <v>3121</v>
      </c>
      <c r="T2183" s="95" t="str">
        <f t="shared" si="175"/>
        <v>2025 03</v>
      </c>
      <c r="U2183" s="32">
        <f t="shared" si="172"/>
        <v>-1101.0336952714542</v>
      </c>
      <c r="V2183" s="22">
        <f t="shared" si="173"/>
        <v>-0.22465336166403793</v>
      </c>
      <c r="X2183" s="33"/>
      <c r="Y2183" s="33"/>
    </row>
    <row r="2184" spans="1:25" x14ac:dyDescent="0.2">
      <c r="A2184" s="93" t="s">
        <v>976</v>
      </c>
      <c r="B2184" s="94" t="str">
        <f>IFERROR(VLOOKUP($A2184,HeadJournal!$A$1:$NTR$890,COLUMN(HeadJournal!B$1),0),"")</f>
        <v>700000923063</v>
      </c>
      <c r="C2184" s="94" t="str">
        <f>IFERROR(VLOOKUP($A2184,HeadJournal!$A$1:$NTR$890,COLUMN(HeadJournal!C$1),0),"")</f>
        <v>iHerb_AV CYG0792</v>
      </c>
      <c r="D2184" s="125" t="str">
        <f>IFERROR(VLOOKUP($A2184,HeadJournal!$A$1:$NTR$890,COLUMN(HeadJournal!D$1),0),"")</f>
        <v>Доставлен</v>
      </c>
      <c r="E2184" s="95">
        <f>IFERROR(VLOOKUP($A2184,HeadJournal!$A$1:$NTR$890,COLUMN(HeadJournal!G$1),0),"")</f>
        <v>45194</v>
      </c>
      <c r="F2184" s="95" t="str">
        <f t="shared" si="174"/>
        <v>2023 09</v>
      </c>
      <c r="G2184" s="96" t="s">
        <v>5</v>
      </c>
      <c r="H2184" s="160" t="str">
        <f>RIGHT(Journal!$J2184,9)</f>
        <v>SNS-00233</v>
      </c>
      <c r="I2184" s="96" t="str">
        <f t="shared" si="171"/>
        <v>Source Naturals</v>
      </c>
      <c r="J2184" s="97" t="s">
        <v>977</v>
      </c>
      <c r="K2184" s="29">
        <v>32.06</v>
      </c>
      <c r="L2184" s="29">
        <v>-8.65</v>
      </c>
      <c r="M2184" s="30">
        <f>IFERROR(VLOOKUP($A2184,HeadJournal!$A$1:$J$890,COLUMN(HeadJournal!I$1),0)*($K2184+$L2184)/(SUMIF($A:$A,$A2184,$K:$K)+SUMIF($A:$A,$A2184,$L:$L)),0)</f>
        <v>0</v>
      </c>
      <c r="N2184" s="30">
        <f>IFERROR((VLOOKUP($A2184,HeadJournal!$A$1:$K$890,COLUMN(HeadJournal!K$1),0)-VLOOKUP($A2184,HeadJournal!$A$1:$K$890,COLUMN(HeadJournal!J$1),0))*($K2184+$L2184)/(SUMIF($A:$A,$A2184,$K:$K)+SUMIF($A:$A,$A2184,$L:$L)),0)</f>
        <v>4.3157048567539606E-15</v>
      </c>
      <c r="O2184" s="30">
        <f>IFERROR((VLOOKUP($A2184,HeadJournal!$A$1:$L$890,COLUMN(HeadJournal!L$1),0)*($K2184+$L2184)/(SUMIF($A:$A,$A2184,$K:$K)+SUMIF($A:$A,$A2184,$L:$L)))/VLOOKUP($A2184,HeadJournal!$A$1:$L$890,COLUMN(HeadJournal!H$1),0),0)</f>
        <v>1.8118526446275041</v>
      </c>
      <c r="P2184" s="30">
        <f>IFERROR(SUM(K2184:O2184)*VLOOKUP($A2184,HeadJournal!$A$1:$L$890,COLUMN(HeadJournal!H$1),0),0)</f>
        <v>2723.9600856197712</v>
      </c>
      <c r="Q2184" s="29">
        <v>3700</v>
      </c>
      <c r="R2184" s="31">
        <v>45239</v>
      </c>
      <c r="S2184" s="31" t="s">
        <v>3121</v>
      </c>
      <c r="T2184" s="95" t="str">
        <f t="shared" si="175"/>
        <v>2023 11</v>
      </c>
      <c r="U2184" s="32">
        <f t="shared" si="172"/>
        <v>976.03991438022877</v>
      </c>
      <c r="V2184" s="22">
        <f t="shared" si="173"/>
        <v>0.35831652583050039</v>
      </c>
      <c r="X2184" s="33"/>
      <c r="Y2184" s="33"/>
    </row>
    <row r="2185" spans="1:25" x14ac:dyDescent="0.2">
      <c r="A2185" s="93" t="s">
        <v>976</v>
      </c>
      <c r="B2185" s="94" t="str">
        <f>IFERROR(VLOOKUP($A2185,HeadJournal!$A$1:$NTR$890,COLUMN(HeadJournal!B$1),0),"")</f>
        <v>700000923063</v>
      </c>
      <c r="C2185" s="94" t="str">
        <f>IFERROR(VLOOKUP($A2185,HeadJournal!$A$1:$NTR$890,COLUMN(HeadJournal!C$1),0),"")</f>
        <v>iHerb_AV CYG0792</v>
      </c>
      <c r="D2185" s="125" t="str">
        <f>IFERROR(VLOOKUP($A2185,HeadJournal!$A$1:$NTR$890,COLUMN(HeadJournal!D$1),0),"")</f>
        <v>Доставлен</v>
      </c>
      <c r="E2185" s="95">
        <f>IFERROR(VLOOKUP($A2185,HeadJournal!$A$1:$NTR$890,COLUMN(HeadJournal!G$1),0),"")</f>
        <v>45194</v>
      </c>
      <c r="F2185" s="95" t="str">
        <f t="shared" si="174"/>
        <v>2023 09</v>
      </c>
      <c r="G2185" s="96" t="s">
        <v>5</v>
      </c>
      <c r="H2185" s="161" t="s">
        <v>2614</v>
      </c>
      <c r="I2185" s="97" t="s">
        <v>2005</v>
      </c>
      <c r="J2185" s="97" t="s">
        <v>2641</v>
      </c>
      <c r="K2185" s="29">
        <v>5.48</v>
      </c>
      <c r="L2185" s="29">
        <v>-1.47</v>
      </c>
      <c r="M2185" s="30">
        <f>IFERROR(VLOOKUP($A2185,HeadJournal!$A$1:$J$890,COLUMN(HeadJournal!I$1),0)*($K2185+$L2185)/(SUMIF($A:$A,$A2185,$K:$K)+SUMIF($A:$A,$A2185,$L:$L)),0)</f>
        <v>0</v>
      </c>
      <c r="N2185" s="30">
        <f>IFERROR((VLOOKUP($A2185,HeadJournal!$A$1:$K$890,COLUMN(HeadJournal!K$1),0)-VLOOKUP($A2185,HeadJournal!$A$1:$K$890,COLUMN(HeadJournal!J$1),0))*($K2185+$L2185)/(SUMIF($A:$A,$A2185,$K:$K)+SUMIF($A:$A,$A2185,$L:$L)),0)</f>
        <v>7.3925572300655203E-16</v>
      </c>
      <c r="O2185" s="30">
        <f>IFERROR((VLOOKUP($A2185,HeadJournal!$A$1:$L$890,COLUMN(HeadJournal!L$1),0)*($K2185+$L2185)/(SUMIF($A:$A,$A2185,$K:$K)+SUMIF($A:$A,$A2185,$L:$L)))/VLOOKUP($A2185,HeadJournal!$A$1:$L$890,COLUMN(HeadJournal!H$1),0),0)</f>
        <v>0.31036006428689838</v>
      </c>
      <c r="P2185" s="30">
        <f>IFERROR(SUM(K2185:O2185)*VLOOKUP($A2185,HeadJournal!$A$1:$L$890,COLUMN(HeadJournal!H$1),0),0)</f>
        <v>466.59888694298525</v>
      </c>
      <c r="Q2185" s="29">
        <v>900</v>
      </c>
      <c r="R2185" s="31">
        <v>45241</v>
      </c>
      <c r="S2185" s="31" t="s">
        <v>3121</v>
      </c>
      <c r="T2185" s="95" t="str">
        <f t="shared" si="175"/>
        <v>2023 11</v>
      </c>
      <c r="U2185" s="32">
        <f t="shared" si="172"/>
        <v>433.40111305701475</v>
      </c>
      <c r="V2185" s="22">
        <f t="shared" si="173"/>
        <v>0.92885157934372231</v>
      </c>
      <c r="X2185" s="33"/>
      <c r="Y2185" s="33"/>
    </row>
    <row r="2186" spans="1:25" x14ac:dyDescent="0.2">
      <c r="A2186" s="93" t="s">
        <v>976</v>
      </c>
      <c r="B2186" s="94" t="str">
        <f>IFERROR(VLOOKUP($A2186,HeadJournal!$A$1:$NTR$890,COLUMN(HeadJournal!B$1),0),"")</f>
        <v>700000923063</v>
      </c>
      <c r="C2186" s="94" t="str">
        <f>IFERROR(VLOOKUP($A2186,HeadJournal!$A$1:$NTR$890,COLUMN(HeadJournal!C$1),0),"")</f>
        <v>iHerb_AV CYG0792</v>
      </c>
      <c r="D2186" s="125" t="str">
        <f>IFERROR(VLOOKUP($A2186,HeadJournal!$A$1:$NTR$890,COLUMN(HeadJournal!D$1),0),"")</f>
        <v>Доставлен</v>
      </c>
      <c r="E2186" s="95">
        <f>IFERROR(VLOOKUP($A2186,HeadJournal!$A$1:$NTR$890,COLUMN(HeadJournal!G$1),0),"")</f>
        <v>45194</v>
      </c>
      <c r="F2186" s="95" t="str">
        <f t="shared" si="174"/>
        <v>2023 09</v>
      </c>
      <c r="G2186" s="96" t="s">
        <v>5</v>
      </c>
      <c r="H2186" s="161" t="s">
        <v>2580</v>
      </c>
      <c r="I2186" s="97" t="s">
        <v>2581</v>
      </c>
      <c r="J2186" s="97" t="s">
        <v>2582</v>
      </c>
      <c r="K2186" s="29">
        <v>26.6</v>
      </c>
      <c r="L2186" s="29">
        <v>-15.98</v>
      </c>
      <c r="M2186" s="30">
        <f>IFERROR(VLOOKUP($A2186,HeadJournal!$A$1:$J$890,COLUMN(HeadJournal!I$1),0)*($K2186+$L2186)/(SUMIF($A:$A,$A2186,$K:$K)+SUMIF($A:$A,$A2186,$L:$L)),0)</f>
        <v>0</v>
      </c>
      <c r="N2186" s="30">
        <f>IFERROR((VLOOKUP($A2186,HeadJournal!$A$1:$K$890,COLUMN(HeadJournal!K$1),0)-VLOOKUP($A2186,HeadJournal!$A$1:$K$890,COLUMN(HeadJournal!J$1),0))*($K2186+$L2186)/(SUMIF($A:$A,$A2186,$K:$K)+SUMIF($A:$A,$A2186,$L:$L)),0)</f>
        <v>1.9578293711545092E-15</v>
      </c>
      <c r="O2186" s="30">
        <f>IFERROR((VLOOKUP($A2186,HeadJournal!$A$1:$L$890,COLUMN(HeadJournal!L$1),0)*($K2186+$L2186)/(SUMIF($A:$A,$A2186,$K:$K)+SUMIF($A:$A,$A2186,$L:$L)))/VLOOKUP($A2186,HeadJournal!$A$1:$L$890,COLUMN(HeadJournal!H$1),0),0)</f>
        <v>0.82195109294934188</v>
      </c>
      <c r="P2186" s="30">
        <f>IFERROR(SUM(K2186:O2186)*VLOOKUP($A2186,HeadJournal!$A$1:$L$890,COLUMN(HeadJournal!H$1),0),0)</f>
        <v>1235.7307180385294</v>
      </c>
      <c r="Q2186" s="29">
        <v>2900</v>
      </c>
      <c r="R2186" s="31">
        <v>45282</v>
      </c>
      <c r="S2186" s="31" t="s">
        <v>3121</v>
      </c>
      <c r="T2186" s="95" t="str">
        <f t="shared" si="175"/>
        <v>2023 12</v>
      </c>
      <c r="U2186" s="32">
        <f t="shared" si="172"/>
        <v>1664.2692819614706</v>
      </c>
      <c r="V2186" s="22">
        <f t="shared" si="173"/>
        <v>1.3467896020284733</v>
      </c>
      <c r="X2186" s="33"/>
      <c r="Y2186" s="33"/>
    </row>
    <row r="2187" spans="1:25" x14ac:dyDescent="0.2">
      <c r="A2187" s="93" t="s">
        <v>976</v>
      </c>
      <c r="B2187" s="94" t="str">
        <f>IFERROR(VLOOKUP($A2187,HeadJournal!$A$1:$NTR$890,COLUMN(HeadJournal!B$1),0),"")</f>
        <v>700000923063</v>
      </c>
      <c r="C2187" s="94" t="str">
        <f>IFERROR(VLOOKUP($A2187,HeadJournal!$A$1:$NTR$890,COLUMN(HeadJournal!C$1),0),"")</f>
        <v>iHerb_AV CYG0792</v>
      </c>
      <c r="D2187" s="125" t="str">
        <f>IFERROR(VLOOKUP($A2187,HeadJournal!$A$1:$NTR$890,COLUMN(HeadJournal!D$1),0),"")</f>
        <v>Доставлен</v>
      </c>
      <c r="E2187" s="95">
        <f>IFERROR(VLOOKUP($A2187,HeadJournal!$A$1:$NTR$890,COLUMN(HeadJournal!G$1),0),"")</f>
        <v>45194</v>
      </c>
      <c r="F2187" s="95" t="str">
        <f t="shared" si="174"/>
        <v>2023 09</v>
      </c>
      <c r="G2187" s="96" t="s">
        <v>5</v>
      </c>
      <c r="H2187" s="161" t="s">
        <v>2223</v>
      </c>
      <c r="I2187" s="97" t="s">
        <v>2008</v>
      </c>
      <c r="J2187" s="97" t="s">
        <v>2224</v>
      </c>
      <c r="K2187" s="29">
        <v>11.95</v>
      </c>
      <c r="L2187" s="29">
        <v>-3.2250000000000001</v>
      </c>
      <c r="M2187" s="30">
        <f>IFERROR(VLOOKUP($A2187,HeadJournal!$A$1:$J$890,COLUMN(HeadJournal!I$1),0)*($K2187+$L2187)/(SUMIF($A:$A,$A2187,$K:$K)+SUMIF($A:$A,$A2187,$L:$L)),0)</f>
        <v>0</v>
      </c>
      <c r="N2187" s="30">
        <f>IFERROR((VLOOKUP($A2187,HeadJournal!$A$1:$K$890,COLUMN(HeadJournal!K$1),0)-VLOOKUP($A2187,HeadJournal!$A$1:$K$890,COLUMN(HeadJournal!J$1),0))*($K2187+$L2187)/(SUMIF($A:$A,$A2187,$K:$K)+SUMIF($A:$A,$A2187,$L:$L)),0)</f>
        <v>1.6084803449456771E-15</v>
      </c>
      <c r="O2187" s="30">
        <f>IFERROR((VLOOKUP($A2187,HeadJournal!$A$1:$L$890,COLUMN(HeadJournal!L$1),0)*($K2187+$L2187)/(SUMIF($A:$A,$A2187,$K:$K)+SUMIF($A:$A,$A2187,$L:$L)))/VLOOKUP($A2187,HeadJournal!$A$1:$L$890,COLUMN(HeadJournal!H$1),0),0)</f>
        <v>0.67528467852947338</v>
      </c>
      <c r="P2187" s="30">
        <f>IFERROR(SUM(K2187:O2187)*VLOOKUP($A2187,HeadJournal!$A$1:$L$890,COLUMN(HeadJournal!H$1),0),0)</f>
        <v>1015.2307452811833</v>
      </c>
      <c r="Q2187" s="29">
        <v>1800</v>
      </c>
      <c r="R2187" s="31">
        <v>45222</v>
      </c>
      <c r="S2187" s="31" t="s">
        <v>3121</v>
      </c>
      <c r="T2187" s="95" t="str">
        <f t="shared" si="175"/>
        <v>2023 10</v>
      </c>
      <c r="U2187" s="32">
        <f t="shared" si="172"/>
        <v>784.76925471881668</v>
      </c>
      <c r="V2187" s="22">
        <f t="shared" si="173"/>
        <v>0.77299595029646495</v>
      </c>
      <c r="X2187" s="33"/>
      <c r="Y2187" s="33"/>
    </row>
    <row r="2188" spans="1:25" x14ac:dyDescent="0.2">
      <c r="A2188" s="93" t="s">
        <v>976</v>
      </c>
      <c r="B2188" s="94" t="str">
        <f>IFERROR(VLOOKUP($A2188,HeadJournal!$A$1:$NTR$890,COLUMN(HeadJournal!B$1),0),"")</f>
        <v>700000923063</v>
      </c>
      <c r="C2188" s="94" t="str">
        <f>IFERROR(VLOOKUP($A2188,HeadJournal!$A$1:$NTR$890,COLUMN(HeadJournal!C$1),0),"")</f>
        <v>iHerb_AV CYG0792</v>
      </c>
      <c r="D2188" s="125" t="str">
        <f>IFERROR(VLOOKUP($A2188,HeadJournal!$A$1:$NTR$890,COLUMN(HeadJournal!D$1),0),"")</f>
        <v>Доставлен</v>
      </c>
      <c r="E2188" s="95">
        <f>IFERROR(VLOOKUP($A2188,HeadJournal!$A$1:$NTR$890,COLUMN(HeadJournal!G$1),0),"")</f>
        <v>45194</v>
      </c>
      <c r="F2188" s="95" t="str">
        <f t="shared" si="174"/>
        <v>2023 09</v>
      </c>
      <c r="G2188" s="96" t="s">
        <v>5</v>
      </c>
      <c r="H2188" s="161" t="s">
        <v>2223</v>
      </c>
      <c r="I2188" s="97" t="s">
        <v>2008</v>
      </c>
      <c r="J2188" s="97" t="s">
        <v>2224</v>
      </c>
      <c r="K2188" s="29">
        <v>11.95</v>
      </c>
      <c r="L2188" s="29">
        <v>-3.2250000000000001</v>
      </c>
      <c r="M2188" s="30">
        <f>IFERROR(VLOOKUP($A2188,HeadJournal!$A$1:$J$890,COLUMN(HeadJournal!I$1),0)*($K2188+$L2188)/(SUMIF($A:$A,$A2188,$K:$K)+SUMIF($A:$A,$A2188,$L:$L)),0)</f>
        <v>0</v>
      </c>
      <c r="N2188" s="30">
        <f>IFERROR((VLOOKUP($A2188,HeadJournal!$A$1:$K$890,COLUMN(HeadJournal!K$1),0)-VLOOKUP($A2188,HeadJournal!$A$1:$K$890,COLUMN(HeadJournal!J$1),0))*($K2188+$L2188)/(SUMIF($A:$A,$A2188,$K:$K)+SUMIF($A:$A,$A2188,$L:$L)),0)</f>
        <v>1.6084803449456771E-15</v>
      </c>
      <c r="O2188" s="30">
        <f>IFERROR((VLOOKUP($A2188,HeadJournal!$A$1:$L$890,COLUMN(HeadJournal!L$1),0)*($K2188+$L2188)/(SUMIF($A:$A,$A2188,$K:$K)+SUMIF($A:$A,$A2188,$L:$L)))/VLOOKUP($A2188,HeadJournal!$A$1:$L$890,COLUMN(HeadJournal!H$1),0),0)</f>
        <v>0.67528467852947338</v>
      </c>
      <c r="P2188" s="30">
        <f>IFERROR(SUM(K2188:O2188)*VLOOKUP($A2188,HeadJournal!$A$1:$L$890,COLUMN(HeadJournal!H$1),0),0)</f>
        <v>1015.2307452811833</v>
      </c>
      <c r="Q2188" s="29">
        <v>1800</v>
      </c>
      <c r="R2188" s="31">
        <v>45227</v>
      </c>
      <c r="S2188" s="31" t="s">
        <v>3121</v>
      </c>
      <c r="T2188" s="95" t="str">
        <f t="shared" si="175"/>
        <v>2023 10</v>
      </c>
      <c r="U2188" s="32">
        <f t="shared" si="172"/>
        <v>784.76925471881668</v>
      </c>
      <c r="V2188" s="22">
        <f t="shared" si="173"/>
        <v>0.77299595029646495</v>
      </c>
      <c r="X2188" s="33"/>
      <c r="Y2188" s="33"/>
    </row>
    <row r="2189" spans="1:25" x14ac:dyDescent="0.2">
      <c r="A2189" s="93" t="s">
        <v>978</v>
      </c>
      <c r="B2189" s="94" t="str">
        <f>IFERROR(VLOOKUP($A2189,HeadJournal!$A$1:$NTR$890,COLUMN(HeadJournal!B$1),0),"")</f>
        <v>700000902116</v>
      </c>
      <c r="C2189" s="94" t="str">
        <f>IFERROR(VLOOKUP($A2189,HeadJournal!$A$1:$NTR$890,COLUMN(HeadJournal!C$1),0),"")</f>
        <v>iHerb_OA CZN6870</v>
      </c>
      <c r="D2189" s="125" t="str">
        <f>IFERROR(VLOOKUP($A2189,HeadJournal!$A$1:$NTR$890,COLUMN(HeadJournal!D$1),0),"")</f>
        <v>Доставлен</v>
      </c>
      <c r="E2189" s="95">
        <f>IFERROR(VLOOKUP($A2189,HeadJournal!$A$1:$NTR$890,COLUMN(HeadJournal!G$1),0),"")</f>
        <v>45190</v>
      </c>
      <c r="F2189" s="95" t="str">
        <f t="shared" si="174"/>
        <v>2023 09</v>
      </c>
      <c r="G2189" s="96" t="s">
        <v>5</v>
      </c>
      <c r="H2189" s="160" t="str">
        <f>RIGHT(Journal!$J2189,9)</f>
        <v>SNS-01177</v>
      </c>
      <c r="I2189" s="96" t="str">
        <f t="shared" si="171"/>
        <v>Source Naturals</v>
      </c>
      <c r="J2189" s="97" t="s">
        <v>772</v>
      </c>
      <c r="K2189" s="29">
        <v>27.65</v>
      </c>
      <c r="L2189" s="29">
        <v>-2.77</v>
      </c>
      <c r="M2189" s="30">
        <f>IFERROR(VLOOKUP($A2189,HeadJournal!$A$1:$J$890,COLUMN(HeadJournal!I$1),0)*($K2189+$L2189)/(SUMIF($A:$A,$A2189,$K:$K)+SUMIF($A:$A,$A2189,$L:$L)),0)</f>
        <v>0</v>
      </c>
      <c r="N2189" s="30">
        <f>IFERROR((VLOOKUP($A2189,HeadJournal!$A$1:$K$890,COLUMN(HeadJournal!K$1),0)-VLOOKUP($A2189,HeadJournal!$A$1:$K$890,COLUMN(HeadJournal!J$1),0))*($K2189+$L2189)/(SUMIF($A:$A,$A2189,$K:$K)+SUMIF($A:$A,$A2189,$L:$L)),0)</f>
        <v>-3.3879461988714623E-15</v>
      </c>
      <c r="O2189" s="30">
        <f>IFERROR((VLOOKUP($A2189,HeadJournal!$A$1:$L$890,COLUMN(HeadJournal!L$1),0)*($K2189+$L2189)/(SUMIF($A:$A,$A2189,$K:$K)+SUMIF($A:$A,$A2189,$L:$L)))/VLOOKUP($A2189,HeadJournal!$A$1:$L$890,COLUMN(HeadJournal!H$1),0),0)</f>
        <v>1.4175857187196854</v>
      </c>
      <c r="P2189" s="30">
        <f>IFERROR(SUM(K2189:O2189)*VLOOKUP($A2189,HeadJournal!$A$1:$L$890,COLUMN(HeadJournal!H$1),0),0)</f>
        <v>2849.6921655806818</v>
      </c>
      <c r="Q2189" s="29">
        <v>3400</v>
      </c>
      <c r="R2189" s="31">
        <v>45222</v>
      </c>
      <c r="S2189" s="31" t="s">
        <v>3121</v>
      </c>
      <c r="T2189" s="95" t="str">
        <f t="shared" si="175"/>
        <v>2023 10</v>
      </c>
      <c r="U2189" s="32">
        <f t="shared" si="172"/>
        <v>550.30783441931817</v>
      </c>
      <c r="V2189" s="22">
        <f t="shared" si="173"/>
        <v>0.19311132657277102</v>
      </c>
      <c r="X2189" s="33"/>
      <c r="Y2189" s="33"/>
    </row>
    <row r="2190" spans="1:25" x14ac:dyDescent="0.2">
      <c r="A2190" s="93" t="s">
        <v>978</v>
      </c>
      <c r="B2190" s="94" t="str">
        <f>IFERROR(VLOOKUP($A2190,HeadJournal!$A$1:$NTR$890,COLUMN(HeadJournal!B$1),0),"")</f>
        <v>700000902116</v>
      </c>
      <c r="C2190" s="94" t="str">
        <f>IFERROR(VLOOKUP($A2190,HeadJournal!$A$1:$NTR$890,COLUMN(HeadJournal!C$1),0),"")</f>
        <v>iHerb_OA CZN6870</v>
      </c>
      <c r="D2190" s="125" t="str">
        <f>IFERROR(VLOOKUP($A2190,HeadJournal!$A$1:$NTR$890,COLUMN(HeadJournal!D$1),0),"")</f>
        <v>Доставлен</v>
      </c>
      <c r="E2190" s="95">
        <f>IFERROR(VLOOKUP($A2190,HeadJournal!$A$1:$NTR$890,COLUMN(HeadJournal!G$1),0),"")</f>
        <v>45190</v>
      </c>
      <c r="F2190" s="95" t="str">
        <f t="shared" si="174"/>
        <v>2023 09</v>
      </c>
      <c r="G2190" s="96" t="s">
        <v>5</v>
      </c>
      <c r="H2190" s="160" t="str">
        <f>RIGHT(Journal!$J2190,9)</f>
        <v>HEC-50301</v>
      </c>
      <c r="I2190" s="96" t="str">
        <f t="shared" ref="I2190:I2253" si="176">IFERROR(LEFT(J2190,FIND(",",J2190)-1),"")</f>
        <v>Herbs Etc</v>
      </c>
      <c r="J2190" s="97" t="s">
        <v>719</v>
      </c>
      <c r="K2190" s="29">
        <v>57.79</v>
      </c>
      <c r="L2190" s="29">
        <v>-5.78</v>
      </c>
      <c r="M2190" s="30">
        <f>IFERROR(VLOOKUP($A2190,HeadJournal!$A$1:$J$890,COLUMN(HeadJournal!I$1),0)*($K2190+$L2190)/(SUMIF($A:$A,$A2190,$K:$K)+SUMIF($A:$A,$A2190,$L:$L)),0)</f>
        <v>0</v>
      </c>
      <c r="N2190" s="30">
        <f>IFERROR((VLOOKUP($A2190,HeadJournal!$A$1:$K$890,COLUMN(HeadJournal!K$1),0)-VLOOKUP($A2190,HeadJournal!$A$1:$K$890,COLUMN(HeadJournal!J$1),0))*($K2190+$L2190)/(SUMIF($A:$A,$A2190,$K:$K)+SUMIF($A:$A,$A2190,$L:$L)),0)</f>
        <v>-7.0822782075283259E-15</v>
      </c>
      <c r="O2190" s="30">
        <f>IFERROR((VLOOKUP($A2190,HeadJournal!$A$1:$L$890,COLUMN(HeadJournal!L$1),0)*($K2190+$L2190)/(SUMIF($A:$A,$A2190,$K:$K)+SUMIF($A:$A,$A2190,$L:$L)))/VLOOKUP($A2190,HeadJournal!$A$1:$L$890,COLUMN(HeadJournal!H$1),0),0)</f>
        <v>2.9633695028380567</v>
      </c>
      <c r="P2190" s="30">
        <f>IFERROR(SUM(K2190:O2190)*VLOOKUP($A2190,HeadJournal!$A$1:$L$890,COLUMN(HeadJournal!H$1),0),0)</f>
        <v>5957.0936307014181</v>
      </c>
      <c r="Q2190" s="29">
        <v>6600</v>
      </c>
      <c r="R2190" s="31">
        <v>45220</v>
      </c>
      <c r="S2190" s="31" t="s">
        <v>3121</v>
      </c>
      <c r="T2190" s="95" t="str">
        <f t="shared" si="175"/>
        <v>2023 10</v>
      </c>
      <c r="U2190" s="32">
        <f t="shared" si="172"/>
        <v>642.90636929858192</v>
      </c>
      <c r="V2190" s="22">
        <f t="shared" si="173"/>
        <v>0.10792282430902179</v>
      </c>
      <c r="X2190" s="33"/>
      <c r="Y2190" s="33"/>
    </row>
    <row r="2191" spans="1:25" x14ac:dyDescent="0.2">
      <c r="A2191" s="93" t="s">
        <v>978</v>
      </c>
      <c r="B2191" s="94" t="str">
        <f>IFERROR(VLOOKUP($A2191,HeadJournal!$A$1:$NTR$890,COLUMN(HeadJournal!B$1),0),"")</f>
        <v>700000902116</v>
      </c>
      <c r="C2191" s="94" t="str">
        <f>IFERROR(VLOOKUP($A2191,HeadJournal!$A$1:$NTR$890,COLUMN(HeadJournal!C$1),0),"")</f>
        <v>iHerb_OA CZN6870</v>
      </c>
      <c r="D2191" s="125" t="str">
        <f>IFERROR(VLOOKUP($A2191,HeadJournal!$A$1:$NTR$890,COLUMN(HeadJournal!D$1),0),"")</f>
        <v>Доставлен</v>
      </c>
      <c r="E2191" s="95">
        <f>IFERROR(VLOOKUP($A2191,HeadJournal!$A$1:$NTR$890,COLUMN(HeadJournal!G$1),0),"")</f>
        <v>45190</v>
      </c>
      <c r="F2191" s="95" t="str">
        <f t="shared" si="174"/>
        <v>2023 09</v>
      </c>
      <c r="G2191" s="96" t="s">
        <v>5</v>
      </c>
      <c r="H2191" s="161" t="s">
        <v>3573</v>
      </c>
      <c r="I2191" s="97" t="s">
        <v>2052</v>
      </c>
      <c r="J2191" s="97" t="s">
        <v>3574</v>
      </c>
      <c r="K2191" s="29">
        <v>16.45</v>
      </c>
      <c r="L2191" s="29">
        <v>-4.9349999999999996</v>
      </c>
      <c r="M2191" s="30">
        <f>IFERROR(VLOOKUP($A2191,HeadJournal!$A$1:$J$890,COLUMN(HeadJournal!I$1),0)*($K2191+$L2191)/(SUMIF($A:$A,$A2191,$K:$K)+SUMIF($A:$A,$A2191,$L:$L)),0)</f>
        <v>0</v>
      </c>
      <c r="N2191" s="30">
        <f>IFERROR((VLOOKUP($A2191,HeadJournal!$A$1:$K$890,COLUMN(HeadJournal!K$1),0)-VLOOKUP($A2191,HeadJournal!$A$1:$K$890,COLUMN(HeadJournal!J$1),0))*($K2191+$L2191)/(SUMIF($A:$A,$A2191,$K:$K)+SUMIF($A:$A,$A2191,$L:$L)),0)</f>
        <v>-1.5680144887461772E-15</v>
      </c>
      <c r="O2191" s="30">
        <f>IFERROR((VLOOKUP($A2191,HeadJournal!$A$1:$L$890,COLUMN(HeadJournal!L$1),0)*($K2191+$L2191)/(SUMIF($A:$A,$A2191,$K:$K)+SUMIF($A:$A,$A2191,$L:$L)))/VLOOKUP($A2191,HeadJournal!$A$1:$L$890,COLUMN(HeadJournal!H$1),0),0)</f>
        <v>0.65608921025149447</v>
      </c>
      <c r="P2191" s="30">
        <f>IFERROR(SUM(K2191:O2191)*VLOOKUP($A2191,HeadJournal!$A$1:$L$890,COLUMN(HeadJournal!H$1),0),0)</f>
        <v>1318.8989263127635</v>
      </c>
      <c r="Q2191" s="29">
        <v>2300</v>
      </c>
      <c r="R2191" s="31">
        <v>45267</v>
      </c>
      <c r="S2191" s="31" t="s">
        <v>3121</v>
      </c>
      <c r="T2191" s="95" t="str">
        <f t="shared" si="175"/>
        <v>2023 12</v>
      </c>
      <c r="U2191" s="32">
        <f t="shared" si="172"/>
        <v>981.10107368723652</v>
      </c>
      <c r="V2191" s="22">
        <f t="shared" si="173"/>
        <v>0.74387889330541346</v>
      </c>
      <c r="X2191" s="33"/>
      <c r="Y2191" s="33"/>
    </row>
    <row r="2192" spans="1:25" x14ac:dyDescent="0.2">
      <c r="A2192" s="93" t="s">
        <v>978</v>
      </c>
      <c r="B2192" s="94" t="str">
        <f>IFERROR(VLOOKUP($A2192,HeadJournal!$A$1:$NTR$890,COLUMN(HeadJournal!B$1),0),"")</f>
        <v>700000902116</v>
      </c>
      <c r="C2192" s="94" t="str">
        <f>IFERROR(VLOOKUP($A2192,HeadJournal!$A$1:$NTR$890,COLUMN(HeadJournal!C$1),0),"")</f>
        <v>iHerb_OA CZN6870</v>
      </c>
      <c r="D2192" s="125" t="str">
        <f>IFERROR(VLOOKUP($A2192,HeadJournal!$A$1:$NTR$890,COLUMN(HeadJournal!D$1),0),"")</f>
        <v>Доставлен</v>
      </c>
      <c r="E2192" s="95">
        <f>IFERROR(VLOOKUP($A2192,HeadJournal!$A$1:$NTR$890,COLUMN(HeadJournal!G$1),0),"")</f>
        <v>45190</v>
      </c>
      <c r="F2192" s="95" t="str">
        <f t="shared" si="174"/>
        <v>2023 09</v>
      </c>
      <c r="G2192" s="96" t="s">
        <v>5</v>
      </c>
      <c r="H2192" s="161" t="s">
        <v>3573</v>
      </c>
      <c r="I2192" s="97" t="s">
        <v>2052</v>
      </c>
      <c r="J2192" s="97" t="s">
        <v>3574</v>
      </c>
      <c r="K2192" s="29">
        <v>16.45</v>
      </c>
      <c r="L2192" s="29">
        <v>-4.9349999999999996</v>
      </c>
      <c r="M2192" s="30">
        <f>IFERROR(VLOOKUP($A2192,HeadJournal!$A$1:$J$890,COLUMN(HeadJournal!I$1),0)*($K2192+$L2192)/(SUMIF($A:$A,$A2192,$K:$K)+SUMIF($A:$A,$A2192,$L:$L)),0)</f>
        <v>0</v>
      </c>
      <c r="N2192" s="30">
        <f>IFERROR((VLOOKUP($A2192,HeadJournal!$A$1:$K$890,COLUMN(HeadJournal!K$1),0)-VLOOKUP($A2192,HeadJournal!$A$1:$K$890,COLUMN(HeadJournal!J$1),0))*($K2192+$L2192)/(SUMIF($A:$A,$A2192,$K:$K)+SUMIF($A:$A,$A2192,$L:$L)),0)</f>
        <v>-1.5680144887461772E-15</v>
      </c>
      <c r="O2192" s="30">
        <f>IFERROR((VLOOKUP($A2192,HeadJournal!$A$1:$L$890,COLUMN(HeadJournal!L$1),0)*($K2192+$L2192)/(SUMIF($A:$A,$A2192,$K:$K)+SUMIF($A:$A,$A2192,$L:$L)))/VLOOKUP($A2192,HeadJournal!$A$1:$L$890,COLUMN(HeadJournal!H$1),0),0)</f>
        <v>0.65608921025149447</v>
      </c>
      <c r="P2192" s="30">
        <f>IFERROR(SUM(K2192:O2192)*VLOOKUP($A2192,HeadJournal!$A$1:$L$890,COLUMN(HeadJournal!H$1),0),0)</f>
        <v>1318.8989263127635</v>
      </c>
      <c r="Q2192" s="29">
        <v>2400</v>
      </c>
      <c r="R2192" s="31">
        <v>45269</v>
      </c>
      <c r="S2192" s="31" t="s">
        <v>3121</v>
      </c>
      <c r="T2192" s="95" t="str">
        <f t="shared" si="175"/>
        <v>2023 12</v>
      </c>
      <c r="U2192" s="32">
        <f t="shared" si="172"/>
        <v>1081.1010736872365</v>
      </c>
      <c r="V2192" s="22">
        <f t="shared" si="173"/>
        <v>0.81969971475347492</v>
      </c>
      <c r="X2192" s="33"/>
      <c r="Y2192" s="33"/>
    </row>
    <row r="2193" spans="1:25" x14ac:dyDescent="0.2">
      <c r="A2193" s="93" t="s">
        <v>978</v>
      </c>
      <c r="B2193" s="94" t="str">
        <f>IFERROR(VLOOKUP($A2193,HeadJournal!$A$1:$NTR$890,COLUMN(HeadJournal!B$1),0),"")</f>
        <v>700000902116</v>
      </c>
      <c r="C2193" s="94" t="str">
        <f>IFERROR(VLOOKUP($A2193,HeadJournal!$A$1:$NTR$890,COLUMN(HeadJournal!C$1),0),"")</f>
        <v>iHerb_OA CZN6870</v>
      </c>
      <c r="D2193" s="125" t="str">
        <f>IFERROR(VLOOKUP($A2193,HeadJournal!$A$1:$NTR$890,COLUMN(HeadJournal!D$1),0),"")</f>
        <v>Доставлен</v>
      </c>
      <c r="E2193" s="95">
        <f>IFERROR(VLOOKUP($A2193,HeadJournal!$A$1:$NTR$890,COLUMN(HeadJournal!G$1),0),"")</f>
        <v>45190</v>
      </c>
      <c r="F2193" s="95" t="str">
        <f t="shared" si="174"/>
        <v>2023 09</v>
      </c>
      <c r="G2193" s="96" t="s">
        <v>5</v>
      </c>
      <c r="H2193" s="160" t="str">
        <f>RIGHT(Journal!$J2193,9)</f>
        <v>HRM-50004</v>
      </c>
      <c r="I2193" s="96" t="str">
        <f t="shared" si="176"/>
        <v>Healths Harmony</v>
      </c>
      <c r="J2193" s="97" t="s">
        <v>979</v>
      </c>
      <c r="K2193" s="29">
        <v>8.89</v>
      </c>
      <c r="L2193" s="29">
        <v>-4.45</v>
      </c>
      <c r="M2193" s="30">
        <f>IFERROR(VLOOKUP($A2193,HeadJournal!$A$1:$J$890,COLUMN(HeadJournal!I$1),0)*($K2193+$L2193)/(SUMIF($A:$A,$A2193,$K:$K)+SUMIF($A:$A,$A2193,$L:$L)),0)</f>
        <v>0</v>
      </c>
      <c r="N2193" s="30">
        <f>IFERROR((VLOOKUP($A2193,HeadJournal!$A$1:$K$890,COLUMN(HeadJournal!K$1),0)-VLOOKUP($A2193,HeadJournal!$A$1:$K$890,COLUMN(HeadJournal!J$1),0))*($K2193+$L2193)/(SUMIF($A:$A,$A2193,$K:$K)+SUMIF($A:$A,$A2193,$L:$L)),0)</f>
        <v>-6.0460133130985912E-16</v>
      </c>
      <c r="O2193" s="30">
        <f>IFERROR((VLOOKUP($A2193,HeadJournal!$A$1:$L$890,COLUMN(HeadJournal!L$1),0)*($K2193+$L2193)/(SUMIF($A:$A,$A2193,$K:$K)+SUMIF($A:$A,$A2193,$L:$L)))/VLOOKUP($A2193,HeadJournal!$A$1:$L$890,COLUMN(HeadJournal!H$1),0),0)</f>
        <v>0.25297751572007254</v>
      </c>
      <c r="P2193" s="30">
        <f>IFERROR(SUM(K2193:O2193)*VLOOKUP($A2193,HeadJournal!$A$1:$L$890,COLUMN(HeadJournal!H$1),0),0)</f>
        <v>508.54635109237256</v>
      </c>
      <c r="Q2193" s="29">
        <v>1900</v>
      </c>
      <c r="R2193" s="31">
        <v>45251</v>
      </c>
      <c r="S2193" s="31" t="s">
        <v>3121</v>
      </c>
      <c r="T2193" s="95" t="str">
        <f t="shared" si="175"/>
        <v>2023 11</v>
      </c>
      <c r="U2193" s="32">
        <f t="shared" si="172"/>
        <v>1391.4536489076274</v>
      </c>
      <c r="V2193" s="22">
        <f t="shared" si="173"/>
        <v>2.7361392838995777</v>
      </c>
      <c r="X2193" s="33"/>
      <c r="Y2193" s="33"/>
    </row>
    <row r="2194" spans="1:25" x14ac:dyDescent="0.2">
      <c r="A2194" s="93" t="s">
        <v>980</v>
      </c>
      <c r="B2194" s="94" t="str">
        <f>IFERROR(VLOOKUP($A2194,HeadJournal!$A$1:$NTR$890,COLUMN(HeadJournal!B$1),0),"")</f>
        <v>710000994812</v>
      </c>
      <c r="C2194" s="94" t="str">
        <f>IFERROR(VLOOKUP($A2194,HeadJournal!$A$1:$NTR$890,COLUMN(HeadJournal!C$1),0),"")</f>
        <v>iHerb_VP DFD1605</v>
      </c>
      <c r="D2194" s="125" t="str">
        <f>IFERROR(VLOOKUP($A2194,HeadJournal!$A$1:$NTR$890,COLUMN(HeadJournal!D$1),0),"")</f>
        <v>Доставлен</v>
      </c>
      <c r="E2194" s="95">
        <f>IFERROR(VLOOKUP($A2194,HeadJournal!$A$1:$NTR$890,COLUMN(HeadJournal!G$1),0),"")</f>
        <v>45188</v>
      </c>
      <c r="F2194" s="95" t="str">
        <f t="shared" si="174"/>
        <v>2023 09</v>
      </c>
      <c r="G2194" s="96" t="s">
        <v>5</v>
      </c>
      <c r="H2194" s="175" t="s">
        <v>3632</v>
      </c>
      <c r="I2194" s="176" t="s">
        <v>2008</v>
      </c>
      <c r="J2194" s="97" t="s">
        <v>3675</v>
      </c>
      <c r="K2194" s="29">
        <v>12.84</v>
      </c>
      <c r="L2194" s="29">
        <v>-3.47</v>
      </c>
      <c r="M2194" s="30">
        <f>IFERROR(VLOOKUP($A2194,HeadJournal!$A$1:$J$890,COLUMN(HeadJournal!I$1),0)*($K2194+$L2194)/(SUMIF($A:$A,$A2194,$K:$K)+SUMIF($A:$A,$A2194,$L:$L)),0)</f>
        <v>-0.82179849090102108</v>
      </c>
      <c r="N2194" s="30">
        <f>IFERROR((VLOOKUP($A2194,HeadJournal!$A$1:$K$890,COLUMN(HeadJournal!K$1),0)-VLOOKUP($A2194,HeadJournal!$A$1:$K$890,COLUMN(HeadJournal!J$1),0))*($K2194+$L2194)/(SUMIF($A:$A,$A2194,$K:$K)+SUMIF($A:$A,$A2194,$L:$L)),0)</f>
        <v>3.5460907771356278E-15</v>
      </c>
      <c r="O2194" s="30">
        <f>IFERROR((VLOOKUP($A2194,HeadJournal!$A$1:$L$890,COLUMN(HeadJournal!L$1),0)*($K2194+$L2194)/(SUMIF($A:$A,$A2194,$K:$K)+SUMIF($A:$A,$A2194,$L:$L)))/VLOOKUP($A2194,HeadJournal!$A$1:$L$890,COLUMN(HeadJournal!H$1),0),0)</f>
        <v>0.49025560291172887</v>
      </c>
      <c r="P2194" s="30">
        <f>IFERROR(SUM(K2194:O2194)*VLOOKUP($A2194,HeadJournal!$A$1:$L$890,COLUMN(HeadJournal!H$1),0),0)</f>
        <v>988.08708655126532</v>
      </c>
      <c r="Q2194" s="29">
        <v>1800</v>
      </c>
      <c r="R2194" s="31">
        <v>45221</v>
      </c>
      <c r="S2194" s="31" t="s">
        <v>3121</v>
      </c>
      <c r="T2194" s="95" t="str">
        <f t="shared" si="175"/>
        <v>2023 10</v>
      </c>
      <c r="U2194" s="32">
        <f t="shared" si="172"/>
        <v>811.91291344873468</v>
      </c>
      <c r="V2194" s="22">
        <f t="shared" si="173"/>
        <v>0.8217017755819136</v>
      </c>
      <c r="X2194" s="33"/>
      <c r="Y2194" s="33"/>
    </row>
    <row r="2195" spans="1:25" x14ac:dyDescent="0.2">
      <c r="A2195" s="93" t="s">
        <v>980</v>
      </c>
      <c r="B2195" s="94" t="str">
        <f>IFERROR(VLOOKUP($A2195,HeadJournal!$A$1:$NTR$890,COLUMN(HeadJournal!B$1),0),"")</f>
        <v>710000994812</v>
      </c>
      <c r="C2195" s="94" t="str">
        <f>IFERROR(VLOOKUP($A2195,HeadJournal!$A$1:$NTR$890,COLUMN(HeadJournal!C$1),0),"")</f>
        <v>iHerb_VP DFD1605</v>
      </c>
      <c r="D2195" s="125" t="str">
        <f>IFERROR(VLOOKUP($A2195,HeadJournal!$A$1:$NTR$890,COLUMN(HeadJournal!D$1),0),"")</f>
        <v>Доставлен</v>
      </c>
      <c r="E2195" s="95">
        <f>IFERROR(VLOOKUP($A2195,HeadJournal!$A$1:$NTR$890,COLUMN(HeadJournal!G$1),0),"")</f>
        <v>45188</v>
      </c>
      <c r="F2195" s="95" t="str">
        <f t="shared" si="174"/>
        <v>2023 09</v>
      </c>
      <c r="G2195" s="96" t="s">
        <v>5</v>
      </c>
      <c r="H2195" s="160" t="str">
        <f>RIGHT(Journal!$J2195,9)</f>
        <v>LEX-14591</v>
      </c>
      <c r="I2195" s="96" t="str">
        <f t="shared" si="176"/>
        <v>Life Extension</v>
      </c>
      <c r="J2195" s="97" t="s">
        <v>690</v>
      </c>
      <c r="K2195" s="29">
        <v>9.4</v>
      </c>
      <c r="L2195" s="29">
        <v>-2.54</v>
      </c>
      <c r="M2195" s="30">
        <f>IFERROR(VLOOKUP($A2195,HeadJournal!$A$1:$J$890,COLUMN(HeadJournal!I$1),0)*($K2195+$L2195)/(SUMIF($A:$A,$A2195,$K:$K)+SUMIF($A:$A,$A2195,$L:$L)),0)</f>
        <v>-0.60165823346648939</v>
      </c>
      <c r="N2195" s="30">
        <f>IFERROR((VLOOKUP($A2195,HeadJournal!$A$1:$K$890,COLUMN(HeadJournal!K$1),0)-VLOOKUP($A2195,HeadJournal!$A$1:$K$890,COLUMN(HeadJournal!J$1),0))*($K2195+$L2195)/(SUMIF($A:$A,$A2195,$K:$K)+SUMIF($A:$A,$A2195,$L:$L)),0)</f>
        <v>2.5961774526307801E-15</v>
      </c>
      <c r="O2195" s="30">
        <f>IFERROR((VLOOKUP($A2195,HeadJournal!$A$1:$L$890,COLUMN(HeadJournal!L$1),0)*($K2195+$L2195)/(SUMIF($A:$A,$A2195,$K:$K)+SUMIF($A:$A,$A2195,$L:$L)))/VLOOKUP($A2195,HeadJournal!$A$1:$L$890,COLUMN(HeadJournal!H$1),0),0)</f>
        <v>0.35892779466109498</v>
      </c>
      <c r="P2195" s="30">
        <f>IFERROR(SUM(K2195:O2195)*VLOOKUP($A2195,HeadJournal!$A$1:$L$890,COLUMN(HeadJournal!H$1),0),0)</f>
        <v>723.40207190412809</v>
      </c>
      <c r="Q2195" s="29">
        <v>1600</v>
      </c>
      <c r="R2195" s="31">
        <v>45221</v>
      </c>
      <c r="S2195" s="31" t="s">
        <v>3121</v>
      </c>
      <c r="T2195" s="95" t="str">
        <f t="shared" si="175"/>
        <v>2023 10</v>
      </c>
      <c r="U2195" s="32">
        <f t="shared" si="172"/>
        <v>876.59792809587191</v>
      </c>
      <c r="V2195" s="22">
        <f t="shared" si="173"/>
        <v>1.2117713815617144</v>
      </c>
      <c r="X2195" s="33"/>
      <c r="Y2195" s="33"/>
    </row>
    <row r="2196" spans="1:25" x14ac:dyDescent="0.2">
      <c r="A2196" s="93" t="s">
        <v>980</v>
      </c>
      <c r="B2196" s="94" t="str">
        <f>IFERROR(VLOOKUP($A2196,HeadJournal!$A$1:$NTR$890,COLUMN(HeadJournal!B$1),0),"")</f>
        <v>710000994812</v>
      </c>
      <c r="C2196" s="94" t="str">
        <f>IFERROR(VLOOKUP($A2196,HeadJournal!$A$1:$NTR$890,COLUMN(HeadJournal!C$1),0),"")</f>
        <v>iHerb_VP DFD1605</v>
      </c>
      <c r="D2196" s="125" t="str">
        <f>IFERROR(VLOOKUP($A2196,HeadJournal!$A$1:$NTR$890,COLUMN(HeadJournal!D$1),0),"")</f>
        <v>Доставлен</v>
      </c>
      <c r="E2196" s="95">
        <f>IFERROR(VLOOKUP($A2196,HeadJournal!$A$1:$NTR$890,COLUMN(HeadJournal!G$1),0),"")</f>
        <v>45188</v>
      </c>
      <c r="F2196" s="95" t="str">
        <f t="shared" si="174"/>
        <v>2023 09</v>
      </c>
      <c r="G2196" s="96" t="s">
        <v>5</v>
      </c>
      <c r="H2196" s="160" t="str">
        <f>RIGHT(Journal!$J2196,9)</f>
        <v>LEX-14591</v>
      </c>
      <c r="I2196" s="96" t="str">
        <f t="shared" si="176"/>
        <v>Life Extension</v>
      </c>
      <c r="J2196" s="97" t="s">
        <v>690</v>
      </c>
      <c r="K2196" s="29">
        <v>9.4</v>
      </c>
      <c r="L2196" s="29">
        <v>-2.54</v>
      </c>
      <c r="M2196" s="30">
        <f>IFERROR(VLOOKUP($A2196,HeadJournal!$A$1:$J$890,COLUMN(HeadJournal!I$1),0)*($K2196+$L2196)/(SUMIF($A:$A,$A2196,$K:$K)+SUMIF($A:$A,$A2196,$L:$L)),0)</f>
        <v>-0.60165823346648939</v>
      </c>
      <c r="N2196" s="30">
        <f>IFERROR((VLOOKUP($A2196,HeadJournal!$A$1:$K$890,COLUMN(HeadJournal!K$1),0)-VLOOKUP($A2196,HeadJournal!$A$1:$K$890,COLUMN(HeadJournal!J$1),0))*($K2196+$L2196)/(SUMIF($A:$A,$A2196,$K:$K)+SUMIF($A:$A,$A2196,$L:$L)),0)</f>
        <v>2.5961774526307801E-15</v>
      </c>
      <c r="O2196" s="30">
        <f>IFERROR((VLOOKUP($A2196,HeadJournal!$A$1:$L$890,COLUMN(HeadJournal!L$1),0)*($K2196+$L2196)/(SUMIF($A:$A,$A2196,$K:$K)+SUMIF($A:$A,$A2196,$L:$L)))/VLOOKUP($A2196,HeadJournal!$A$1:$L$890,COLUMN(HeadJournal!H$1),0),0)</f>
        <v>0.35892779466109498</v>
      </c>
      <c r="P2196" s="30">
        <f>IFERROR(SUM(K2196:O2196)*VLOOKUP($A2196,HeadJournal!$A$1:$L$890,COLUMN(HeadJournal!H$1),0),0)</f>
        <v>723.40207190412809</v>
      </c>
      <c r="Q2196" s="29">
        <v>1600</v>
      </c>
      <c r="R2196" s="31">
        <v>45225</v>
      </c>
      <c r="S2196" s="31" t="s">
        <v>3121</v>
      </c>
      <c r="T2196" s="95" t="str">
        <f t="shared" si="175"/>
        <v>2023 10</v>
      </c>
      <c r="U2196" s="32">
        <f t="shared" si="172"/>
        <v>876.59792809587191</v>
      </c>
      <c r="V2196" s="22">
        <f t="shared" si="173"/>
        <v>1.2117713815617144</v>
      </c>
      <c r="X2196" s="33"/>
      <c r="Y2196" s="33"/>
    </row>
    <row r="2197" spans="1:25" x14ac:dyDescent="0.2">
      <c r="A2197" s="93" t="s">
        <v>980</v>
      </c>
      <c r="B2197" s="94" t="str">
        <f>IFERROR(VLOOKUP($A2197,HeadJournal!$A$1:$NTR$890,COLUMN(HeadJournal!B$1),0),"")</f>
        <v>710000994812</v>
      </c>
      <c r="C2197" s="94" t="str">
        <f>IFERROR(VLOOKUP($A2197,HeadJournal!$A$1:$NTR$890,COLUMN(HeadJournal!C$1),0),"")</f>
        <v>iHerb_VP DFD1605</v>
      </c>
      <c r="D2197" s="125" t="str">
        <f>IFERROR(VLOOKUP($A2197,HeadJournal!$A$1:$NTR$890,COLUMN(HeadJournal!D$1),0),"")</f>
        <v>Доставлен</v>
      </c>
      <c r="E2197" s="95">
        <f>IFERROR(VLOOKUP($A2197,HeadJournal!$A$1:$NTR$890,COLUMN(HeadJournal!G$1),0),"")</f>
        <v>45188</v>
      </c>
      <c r="F2197" s="95" t="str">
        <f t="shared" si="174"/>
        <v>2023 09</v>
      </c>
      <c r="G2197" s="96" t="s">
        <v>5</v>
      </c>
      <c r="H2197" s="160" t="str">
        <f>RIGHT(Journal!$J2197,9)</f>
        <v>CEN-28026</v>
      </c>
      <c r="I2197" s="96" t="str">
        <f t="shared" si="176"/>
        <v>21st Century</v>
      </c>
      <c r="J2197" s="97" t="s">
        <v>32</v>
      </c>
      <c r="K2197" s="29">
        <v>2.42</v>
      </c>
      <c r="L2197" s="29">
        <v>-0.65</v>
      </c>
      <c r="M2197" s="30">
        <f>IFERROR(VLOOKUP($A2197,HeadJournal!$A$1:$J$890,COLUMN(HeadJournal!I$1),0)*($K2197+$L2197)/(SUMIF($A:$A,$A2197,$K:$K)+SUMIF($A:$A,$A2197,$L:$L)),0)</f>
        <v>-0.15523834886817581</v>
      </c>
      <c r="N2197" s="30">
        <f>IFERROR((VLOOKUP($A2197,HeadJournal!$A$1:$K$890,COLUMN(HeadJournal!K$1),0)-VLOOKUP($A2197,HeadJournal!$A$1:$K$890,COLUMN(HeadJournal!J$1),0))*($K2197+$L2197)/(SUMIF($A:$A,$A2197,$K:$K)+SUMIF($A:$A,$A2197,$L:$L)),0)</f>
        <v>6.6985919696158611E-16</v>
      </c>
      <c r="O2197" s="30">
        <f>IFERROR((VLOOKUP($A2197,HeadJournal!$A$1:$L$890,COLUMN(HeadJournal!L$1),0)*($K2197+$L2197)/(SUMIF($A:$A,$A2197,$K:$K)+SUMIF($A:$A,$A2197,$L:$L)))/VLOOKUP($A2197,HeadJournal!$A$1:$L$890,COLUMN(HeadJournal!H$1),0),0)</f>
        <v>9.2609649642877268E-2</v>
      </c>
      <c r="P2197" s="30">
        <f>IFERROR(SUM(K2197:O2197)*VLOOKUP($A2197,HeadJournal!$A$1:$L$890,COLUMN(HeadJournal!H$1),0),0)</f>
        <v>186.6503888149135</v>
      </c>
      <c r="Q2197" s="29">
        <v>800</v>
      </c>
      <c r="R2197" s="31">
        <v>45682</v>
      </c>
      <c r="S2197" s="31" t="s">
        <v>3121</v>
      </c>
      <c r="T2197" s="95" t="str">
        <f t="shared" si="175"/>
        <v>2025 01</v>
      </c>
      <c r="U2197" s="32">
        <f t="shared" si="172"/>
        <v>613.34961118508647</v>
      </c>
      <c r="V2197" s="22">
        <f t="shared" si="173"/>
        <v>3.2860880444952998</v>
      </c>
      <c r="X2197" s="33"/>
      <c r="Y2197" s="33"/>
    </row>
    <row r="2198" spans="1:25" x14ac:dyDescent="0.2">
      <c r="A2198" s="93" t="s">
        <v>980</v>
      </c>
      <c r="B2198" s="94" t="str">
        <f>IFERROR(VLOOKUP($A2198,HeadJournal!$A$1:$NTR$890,COLUMN(HeadJournal!B$1),0),"")</f>
        <v>710000994812</v>
      </c>
      <c r="C2198" s="94" t="str">
        <f>IFERROR(VLOOKUP($A2198,HeadJournal!$A$1:$NTR$890,COLUMN(HeadJournal!C$1),0),"")</f>
        <v>iHerb_VP DFD1605</v>
      </c>
      <c r="D2198" s="125" t="str">
        <f>IFERROR(VLOOKUP($A2198,HeadJournal!$A$1:$NTR$890,COLUMN(HeadJournal!D$1),0),"")</f>
        <v>Доставлен</v>
      </c>
      <c r="E2198" s="95">
        <f>IFERROR(VLOOKUP($A2198,HeadJournal!$A$1:$NTR$890,COLUMN(HeadJournal!G$1),0),"")</f>
        <v>45188</v>
      </c>
      <c r="F2198" s="95" t="str">
        <f t="shared" si="174"/>
        <v>2023 09</v>
      </c>
      <c r="G2198" s="96" t="s">
        <v>5</v>
      </c>
      <c r="H2198" s="161" t="s">
        <v>2831</v>
      </c>
      <c r="I2198" s="97" t="s">
        <v>2005</v>
      </c>
      <c r="J2198" s="97" t="s">
        <v>3911</v>
      </c>
      <c r="K2198" s="29">
        <v>13.51</v>
      </c>
      <c r="L2198" s="29">
        <v>-3.65</v>
      </c>
      <c r="M2198" s="30">
        <f>IFERROR(VLOOKUP($A2198,HeadJournal!$A$1:$J$890,COLUMN(HeadJournal!I$1),0)*($K2198+$L2198)/(SUMIF($A:$A,$A2198,$K:$K)+SUMIF($A:$A,$A2198,$L:$L)),0)</f>
        <v>-0.86477407900577041</v>
      </c>
      <c r="N2198" s="30">
        <f>IFERROR((VLOOKUP($A2198,HeadJournal!$A$1:$K$890,COLUMN(HeadJournal!K$1),0)-VLOOKUP($A2198,HeadJournal!$A$1:$K$890,COLUMN(HeadJournal!J$1),0))*($K2198+$L2198)/(SUMIF($A:$A,$A2198,$K:$K)+SUMIF($A:$A,$A2198,$L:$L)),0)</f>
        <v>3.7315320237521117E-15</v>
      </c>
      <c r="O2198" s="30">
        <f>IFERROR((VLOOKUP($A2198,HeadJournal!$A$1:$L$890,COLUMN(HeadJournal!L$1),0)*($K2198+$L2198)/(SUMIF($A:$A,$A2198,$K:$K)+SUMIF($A:$A,$A2198,$L:$L)))/VLOOKUP($A2198,HeadJournal!$A$1:$L$890,COLUMN(HeadJournal!H$1),0),0)</f>
        <v>0.51589330253037857</v>
      </c>
      <c r="P2198" s="30">
        <f>IFERROR(SUM(K2198:O2198)*VLOOKUP($A2198,HeadJournal!$A$1:$L$890,COLUMN(HeadJournal!H$1),0),0)</f>
        <v>1039.7586631158458</v>
      </c>
      <c r="Q2198" s="29">
        <v>1800</v>
      </c>
      <c r="R2198" s="31">
        <v>45428</v>
      </c>
      <c r="S2198" s="31" t="s">
        <v>3121</v>
      </c>
      <c r="T2198" s="95" t="str">
        <f t="shared" si="175"/>
        <v>2024 05</v>
      </c>
      <c r="U2198" s="32">
        <f t="shared" si="172"/>
        <v>760.24133688415418</v>
      </c>
      <c r="V2198" s="22">
        <f t="shared" si="173"/>
        <v>0.7311709571199323</v>
      </c>
      <c r="X2198" s="33"/>
      <c r="Y2198" s="33"/>
    </row>
    <row r="2199" spans="1:25" x14ac:dyDescent="0.2">
      <c r="A2199" s="93" t="s">
        <v>980</v>
      </c>
      <c r="B2199" s="94" t="str">
        <f>IFERROR(VLOOKUP($A2199,HeadJournal!$A$1:$NTR$890,COLUMN(HeadJournal!B$1),0),"")</f>
        <v>710000994812</v>
      </c>
      <c r="C2199" s="94" t="str">
        <f>IFERROR(VLOOKUP($A2199,HeadJournal!$A$1:$NTR$890,COLUMN(HeadJournal!C$1),0),"")</f>
        <v>iHerb_VP DFD1605</v>
      </c>
      <c r="D2199" s="125" t="str">
        <f>IFERROR(VLOOKUP($A2199,HeadJournal!$A$1:$NTR$890,COLUMN(HeadJournal!D$1),0),"")</f>
        <v>Доставлен</v>
      </c>
      <c r="E2199" s="95">
        <f>IFERROR(VLOOKUP($A2199,HeadJournal!$A$1:$NTR$890,COLUMN(HeadJournal!G$1),0),"")</f>
        <v>45188</v>
      </c>
      <c r="F2199" s="95" t="str">
        <f t="shared" si="174"/>
        <v>2023 09</v>
      </c>
      <c r="G2199" s="96" t="s">
        <v>5</v>
      </c>
      <c r="H2199" s="161" t="s">
        <v>2755</v>
      </c>
      <c r="I2199" s="97" t="s">
        <v>2005</v>
      </c>
      <c r="J2199" s="97" t="s">
        <v>2756</v>
      </c>
      <c r="K2199" s="29">
        <v>17.43</v>
      </c>
      <c r="L2199" s="29">
        <v>-4.71</v>
      </c>
      <c r="M2199" s="30">
        <f>IFERROR(VLOOKUP($A2199,HeadJournal!$A$1:$J$890,COLUMN(HeadJournal!I$1),0)*($K2199+$L2199)/(SUMIF($A:$A,$A2199,$K:$K)+SUMIF($A:$A,$A2199,$L:$L)),0)</f>
        <v>-1.1156111850865515</v>
      </c>
      <c r="N2199" s="30">
        <f>IFERROR((VLOOKUP($A2199,HeadJournal!$A$1:$K$890,COLUMN(HeadJournal!K$1),0)-VLOOKUP($A2199,HeadJournal!$A$1:$K$890,COLUMN(HeadJournal!J$1),0))*($K2199+$L2199)/(SUMIF($A:$A,$A2199,$K:$K)+SUMIF($A:$A,$A2199,$L:$L)),0)</f>
        <v>4.8139033815544478E-15</v>
      </c>
      <c r="O2199" s="30">
        <f>IFERROR((VLOOKUP($A2199,HeadJournal!$A$1:$L$890,COLUMN(HeadJournal!L$1),0)*($K2199+$L2199)/(SUMIF($A:$A,$A2199,$K:$K)+SUMIF($A:$A,$A2199,$L:$L)))/VLOOKUP($A2199,HeadJournal!$A$1:$L$890,COLUMN(HeadJournal!H$1),0),0)</f>
        <v>0.66553375336576215</v>
      </c>
      <c r="P2199" s="30">
        <f>IFERROR(SUM(K2199:O2199)*VLOOKUP($A2199,HeadJournal!$A$1:$L$890,COLUMN(HeadJournal!H$1),0),0)</f>
        <v>1341.3519467376836</v>
      </c>
      <c r="Q2199" s="29">
        <v>2500</v>
      </c>
      <c r="R2199" s="31">
        <v>45224</v>
      </c>
      <c r="S2199" s="31" t="s">
        <v>3121</v>
      </c>
      <c r="T2199" s="95" t="str">
        <f t="shared" si="175"/>
        <v>2023 10</v>
      </c>
      <c r="U2199" s="32">
        <f t="shared" si="172"/>
        <v>1158.6480532623164</v>
      </c>
      <c r="V2199" s="22">
        <f t="shared" si="173"/>
        <v>0.86379123397127544</v>
      </c>
      <c r="X2199" s="33"/>
      <c r="Y2199" s="33"/>
    </row>
    <row r="2200" spans="1:25" x14ac:dyDescent="0.2">
      <c r="A2200" s="93" t="s">
        <v>980</v>
      </c>
      <c r="B2200" s="94" t="str">
        <f>IFERROR(VLOOKUP($A2200,HeadJournal!$A$1:$NTR$890,COLUMN(HeadJournal!B$1),0),"")</f>
        <v>710000994812</v>
      </c>
      <c r="C2200" s="94" t="str">
        <f>IFERROR(VLOOKUP($A2200,HeadJournal!$A$1:$NTR$890,COLUMN(HeadJournal!C$1),0),"")</f>
        <v>iHerb_VP DFD1605</v>
      </c>
      <c r="D2200" s="125" t="str">
        <f>IFERROR(VLOOKUP($A2200,HeadJournal!$A$1:$NTR$890,COLUMN(HeadJournal!D$1),0),"")</f>
        <v>Доставлен</v>
      </c>
      <c r="E2200" s="95">
        <f>IFERROR(VLOOKUP($A2200,HeadJournal!$A$1:$NTR$890,COLUMN(HeadJournal!G$1),0),"")</f>
        <v>45188</v>
      </c>
      <c r="F2200" s="95" t="str">
        <f t="shared" si="174"/>
        <v>2023 09</v>
      </c>
      <c r="G2200" s="96" t="s">
        <v>5</v>
      </c>
      <c r="H2200" s="161" t="s">
        <v>2174</v>
      </c>
      <c r="I2200" s="97" t="s">
        <v>2005</v>
      </c>
      <c r="J2200" s="97" t="s">
        <v>2175</v>
      </c>
      <c r="K2200" s="29">
        <v>6.14</v>
      </c>
      <c r="L2200" s="29">
        <v>-1.66</v>
      </c>
      <c r="M2200" s="30">
        <f>IFERROR(VLOOKUP($A2200,HeadJournal!$A$1:$J$890,COLUMN(HeadJournal!I$1),0)*($K2200+$L2200)/(SUMIF($A:$A,$A2200,$K:$K)+SUMIF($A:$A,$A2200,$L:$L)),0)</f>
        <v>-0.39291966267199302</v>
      </c>
      <c r="N2200" s="30">
        <f>IFERROR((VLOOKUP($A2200,HeadJournal!$A$1:$K$890,COLUMN(HeadJournal!K$1),0)-VLOOKUP($A2200,HeadJournal!$A$1:$K$890,COLUMN(HeadJournal!J$1),0))*($K2200+$L2200)/(SUMIF($A:$A,$A2200,$K:$K)+SUMIF($A:$A,$A2200,$L:$L)),0)</f>
        <v>1.6954628262078559E-15</v>
      </c>
      <c r="O2200" s="30">
        <f>IFERROR((VLOOKUP($A2200,HeadJournal!$A$1:$L$890,COLUMN(HeadJournal!L$1),0)*($K2200+$L2200)/(SUMIF($A:$A,$A2200,$K:$K)+SUMIF($A:$A,$A2200,$L:$L)))/VLOOKUP($A2200,HeadJournal!$A$1:$L$890,COLUMN(HeadJournal!H$1),0),0)</f>
        <v>0.23440182508479673</v>
      </c>
      <c r="P2200" s="30">
        <f>IFERROR(SUM(K2200:O2200)*VLOOKUP($A2200,HeadJournal!$A$1:$L$890,COLUMN(HeadJournal!H$1),0),0)</f>
        <v>472.42584287616529</v>
      </c>
      <c r="Q2200" s="29">
        <v>1100</v>
      </c>
      <c r="R2200" s="31">
        <v>45307</v>
      </c>
      <c r="S2200" s="31" t="s">
        <v>3121</v>
      </c>
      <c r="T2200" s="95" t="str">
        <f t="shared" si="175"/>
        <v>2024 01</v>
      </c>
      <c r="U2200" s="32">
        <f t="shared" si="172"/>
        <v>627.57415712383477</v>
      </c>
      <c r="V2200" s="22">
        <f t="shared" si="173"/>
        <v>1.3284077630112578</v>
      </c>
      <c r="X2200" s="33"/>
      <c r="Y2200" s="33"/>
    </row>
    <row r="2201" spans="1:25" x14ac:dyDescent="0.2">
      <c r="A2201" s="93" t="s">
        <v>980</v>
      </c>
      <c r="B2201" s="94" t="str">
        <f>IFERROR(VLOOKUP($A2201,HeadJournal!$A$1:$NTR$890,COLUMN(HeadJournal!B$1),0),"")</f>
        <v>710000994812</v>
      </c>
      <c r="C2201" s="94" t="str">
        <f>IFERROR(VLOOKUP($A2201,HeadJournal!$A$1:$NTR$890,COLUMN(HeadJournal!C$1),0),"")</f>
        <v>iHerb_VP DFD1605</v>
      </c>
      <c r="D2201" s="125" t="str">
        <f>IFERROR(VLOOKUP($A2201,HeadJournal!$A$1:$NTR$890,COLUMN(HeadJournal!D$1),0),"")</f>
        <v>Доставлен</v>
      </c>
      <c r="E2201" s="95">
        <f>IFERROR(VLOOKUP($A2201,HeadJournal!$A$1:$NTR$890,COLUMN(HeadJournal!G$1),0),"")</f>
        <v>45188</v>
      </c>
      <c r="F2201" s="95" t="str">
        <f t="shared" si="174"/>
        <v>2023 09</v>
      </c>
      <c r="G2201" s="96" t="s">
        <v>5</v>
      </c>
      <c r="H2201" s="161" t="s">
        <v>2174</v>
      </c>
      <c r="I2201" s="97" t="s">
        <v>2005</v>
      </c>
      <c r="J2201" s="97" t="s">
        <v>2175</v>
      </c>
      <c r="K2201" s="29">
        <v>6.14</v>
      </c>
      <c r="L2201" s="29">
        <v>-1.66</v>
      </c>
      <c r="M2201" s="30">
        <f>IFERROR(VLOOKUP($A2201,HeadJournal!$A$1:$J$890,COLUMN(HeadJournal!I$1),0)*($K2201+$L2201)/(SUMIF($A:$A,$A2201,$K:$K)+SUMIF($A:$A,$A2201,$L:$L)),0)</f>
        <v>-0.39291966267199302</v>
      </c>
      <c r="N2201" s="30">
        <f>IFERROR((VLOOKUP($A2201,HeadJournal!$A$1:$K$890,COLUMN(HeadJournal!K$1),0)-VLOOKUP($A2201,HeadJournal!$A$1:$K$890,COLUMN(HeadJournal!J$1),0))*($K2201+$L2201)/(SUMIF($A:$A,$A2201,$K:$K)+SUMIF($A:$A,$A2201,$L:$L)),0)</f>
        <v>1.6954628262078559E-15</v>
      </c>
      <c r="O2201" s="30">
        <f>IFERROR((VLOOKUP($A2201,HeadJournal!$A$1:$L$890,COLUMN(HeadJournal!L$1),0)*($K2201+$L2201)/(SUMIF($A:$A,$A2201,$K:$K)+SUMIF($A:$A,$A2201,$L:$L)))/VLOOKUP($A2201,HeadJournal!$A$1:$L$890,COLUMN(HeadJournal!H$1),0),0)</f>
        <v>0.23440182508479673</v>
      </c>
      <c r="P2201" s="30">
        <f>IFERROR(SUM(K2201:O2201)*VLOOKUP($A2201,HeadJournal!$A$1:$L$890,COLUMN(HeadJournal!H$1),0),0)</f>
        <v>472.42584287616529</v>
      </c>
      <c r="Q2201" s="29">
        <v>1100</v>
      </c>
      <c r="R2201" s="31">
        <v>45338</v>
      </c>
      <c r="S2201" s="31" t="s">
        <v>3121</v>
      </c>
      <c r="T2201" s="95" t="str">
        <f t="shared" si="175"/>
        <v>2024 02</v>
      </c>
      <c r="U2201" s="32">
        <f t="shared" si="172"/>
        <v>627.57415712383477</v>
      </c>
      <c r="V2201" s="22">
        <f t="shared" si="173"/>
        <v>1.3284077630112578</v>
      </c>
      <c r="X2201" s="33"/>
      <c r="Y2201" s="33"/>
    </row>
    <row r="2202" spans="1:25" x14ac:dyDescent="0.2">
      <c r="A2202" s="93" t="s">
        <v>980</v>
      </c>
      <c r="B2202" s="94" t="str">
        <f>IFERROR(VLOOKUP($A2202,HeadJournal!$A$1:$NTR$890,COLUMN(HeadJournal!B$1),0),"")</f>
        <v>710000994812</v>
      </c>
      <c r="C2202" s="94" t="str">
        <f>IFERROR(VLOOKUP($A2202,HeadJournal!$A$1:$NTR$890,COLUMN(HeadJournal!C$1),0),"")</f>
        <v>iHerb_VP DFD1605</v>
      </c>
      <c r="D2202" s="125" t="str">
        <f>IFERROR(VLOOKUP($A2202,HeadJournal!$A$1:$NTR$890,COLUMN(HeadJournal!D$1),0),"")</f>
        <v>Доставлен</v>
      </c>
      <c r="E2202" s="95">
        <f>IFERROR(VLOOKUP($A2202,HeadJournal!$A$1:$NTR$890,COLUMN(HeadJournal!G$1),0),"")</f>
        <v>45188</v>
      </c>
      <c r="F2202" s="95" t="str">
        <f t="shared" si="174"/>
        <v>2023 09</v>
      </c>
      <c r="G2202" s="96" t="s">
        <v>5</v>
      </c>
      <c r="H2202" s="161" t="s">
        <v>2680</v>
      </c>
      <c r="I2202" s="97" t="s">
        <v>2681</v>
      </c>
      <c r="J2202" s="97" t="s">
        <v>3853</v>
      </c>
      <c r="K2202" s="29">
        <v>6.36</v>
      </c>
      <c r="L2202" s="29">
        <v>-1.7150000000000001</v>
      </c>
      <c r="M2202" s="30">
        <f>IFERROR(VLOOKUP($A2202,HeadJournal!$A$1:$J$890,COLUMN(HeadJournal!I$1),0)*($K2202+$L2202)/(SUMIF($A:$A,$A2202,$K:$K)+SUMIF($A:$A,$A2202,$L:$L)),0)</f>
        <v>-0.40739103417665357</v>
      </c>
      <c r="N2202" s="30">
        <f>IFERROR((VLOOKUP($A2202,HeadJournal!$A$1:$K$890,COLUMN(HeadJournal!K$1),0)-VLOOKUP($A2202,HeadJournal!$A$1:$K$890,COLUMN(HeadJournal!J$1),0))*($K2202+$L2202)/(SUMIF($A:$A,$A2202,$K:$K)+SUMIF($A:$A,$A2202,$L:$L)),0)</f>
        <v>1.7579073276195297E-15</v>
      </c>
      <c r="O2202" s="30">
        <f>IFERROR((VLOOKUP($A2202,HeadJournal!$A$1:$L$890,COLUMN(HeadJournal!L$1),0)*($K2202+$L2202)/(SUMIF($A:$A,$A2202,$K:$K)+SUMIF($A:$A,$A2202,$L:$L)))/VLOOKUP($A2202,HeadJournal!$A$1:$L$890,COLUMN(HeadJournal!H$1),0),0)</f>
        <v>0.24303492801760734</v>
      </c>
      <c r="P2202" s="30">
        <f>IFERROR(SUM(K2202:O2202)*VLOOKUP($A2202,HeadJournal!$A$1:$L$890,COLUMN(HeadJournal!H$1),0),0)</f>
        <v>489.82545539280977</v>
      </c>
      <c r="Q2202" s="29">
        <v>1100</v>
      </c>
      <c r="R2202" s="31">
        <v>45297</v>
      </c>
      <c r="S2202" s="31" t="s">
        <v>3121</v>
      </c>
      <c r="T2202" s="95" t="str">
        <f t="shared" si="175"/>
        <v>2024 01</v>
      </c>
      <c r="U2202" s="32">
        <f t="shared" si="172"/>
        <v>610.17454460719023</v>
      </c>
      <c r="V2202" s="22">
        <f t="shared" si="173"/>
        <v>1.2456979070592971</v>
      </c>
      <c r="X2202" s="33"/>
      <c r="Y2202" s="33"/>
    </row>
    <row r="2203" spans="1:25" x14ac:dyDescent="0.2">
      <c r="A2203" s="93" t="s">
        <v>980</v>
      </c>
      <c r="B2203" s="94" t="str">
        <f>IFERROR(VLOOKUP($A2203,HeadJournal!$A$1:$NTR$890,COLUMN(HeadJournal!B$1),0),"")</f>
        <v>710000994812</v>
      </c>
      <c r="C2203" s="94" t="str">
        <f>IFERROR(VLOOKUP($A2203,HeadJournal!$A$1:$NTR$890,COLUMN(HeadJournal!C$1),0),"")</f>
        <v>iHerb_VP DFD1605</v>
      </c>
      <c r="D2203" s="125" t="str">
        <f>IFERROR(VLOOKUP($A2203,HeadJournal!$A$1:$NTR$890,COLUMN(HeadJournal!D$1),0),"")</f>
        <v>Доставлен</v>
      </c>
      <c r="E2203" s="95">
        <f>IFERROR(VLOOKUP($A2203,HeadJournal!$A$1:$NTR$890,COLUMN(HeadJournal!G$1),0),"")</f>
        <v>45188</v>
      </c>
      <c r="F2203" s="95" t="str">
        <f t="shared" si="174"/>
        <v>2023 09</v>
      </c>
      <c r="G2203" s="96" t="s">
        <v>5</v>
      </c>
      <c r="H2203" s="161" t="s">
        <v>2680</v>
      </c>
      <c r="I2203" s="97" t="s">
        <v>2681</v>
      </c>
      <c r="J2203" s="97" t="s">
        <v>3853</v>
      </c>
      <c r="K2203" s="29">
        <v>6.36</v>
      </c>
      <c r="L2203" s="29">
        <v>-1.7150000000000001</v>
      </c>
      <c r="M2203" s="30">
        <f>IFERROR(VLOOKUP($A2203,HeadJournal!$A$1:$J$890,COLUMN(HeadJournal!I$1),0)*($K2203+$L2203)/(SUMIF($A:$A,$A2203,$K:$K)+SUMIF($A:$A,$A2203,$L:$L)),0)</f>
        <v>-0.40739103417665357</v>
      </c>
      <c r="N2203" s="30">
        <f>IFERROR((VLOOKUP($A2203,HeadJournal!$A$1:$K$890,COLUMN(HeadJournal!K$1),0)-VLOOKUP($A2203,HeadJournal!$A$1:$K$890,COLUMN(HeadJournal!J$1),0))*($K2203+$L2203)/(SUMIF($A:$A,$A2203,$K:$K)+SUMIF($A:$A,$A2203,$L:$L)),0)</f>
        <v>1.7579073276195297E-15</v>
      </c>
      <c r="O2203" s="30">
        <f>IFERROR((VLOOKUP($A2203,HeadJournal!$A$1:$L$890,COLUMN(HeadJournal!L$1),0)*($K2203+$L2203)/(SUMIF($A:$A,$A2203,$K:$K)+SUMIF($A:$A,$A2203,$L:$L)))/VLOOKUP($A2203,HeadJournal!$A$1:$L$890,COLUMN(HeadJournal!H$1),0),0)</f>
        <v>0.24303492801760734</v>
      </c>
      <c r="P2203" s="30">
        <f>IFERROR(SUM(K2203:O2203)*VLOOKUP($A2203,HeadJournal!$A$1:$L$890,COLUMN(HeadJournal!H$1),0),0)</f>
        <v>489.82545539280977</v>
      </c>
      <c r="Q2203" s="29">
        <v>1000</v>
      </c>
      <c r="R2203" s="31">
        <v>45535</v>
      </c>
      <c r="S2203" s="31" t="s">
        <v>3121</v>
      </c>
      <c r="T2203" s="95" t="str">
        <f t="shared" si="175"/>
        <v>2024 08</v>
      </c>
      <c r="U2203" s="32">
        <f t="shared" si="172"/>
        <v>510.17454460719023</v>
      </c>
      <c r="V2203" s="22">
        <f t="shared" si="173"/>
        <v>1.0415435518720884</v>
      </c>
      <c r="X2203" s="33"/>
      <c r="Y2203" s="33"/>
    </row>
    <row r="2204" spans="1:25" x14ac:dyDescent="0.2">
      <c r="A2204" s="93" t="s">
        <v>980</v>
      </c>
      <c r="B2204" s="94" t="str">
        <f>IFERROR(VLOOKUP($A2204,HeadJournal!$A$1:$NTR$890,COLUMN(HeadJournal!B$1),0),"")</f>
        <v>710000994812</v>
      </c>
      <c r="C2204" s="94" t="str">
        <f>IFERROR(VLOOKUP($A2204,HeadJournal!$A$1:$NTR$890,COLUMN(HeadJournal!C$1),0),"")</f>
        <v>iHerb_VP DFD1605</v>
      </c>
      <c r="D2204" s="125" t="str">
        <f>IFERROR(VLOOKUP($A2204,HeadJournal!$A$1:$NTR$890,COLUMN(HeadJournal!D$1),0),"")</f>
        <v>Доставлен</v>
      </c>
      <c r="E2204" s="95">
        <f>IFERROR(VLOOKUP($A2204,HeadJournal!$A$1:$NTR$890,COLUMN(HeadJournal!G$1),0),"")</f>
        <v>45188</v>
      </c>
      <c r="F2204" s="95" t="str">
        <f t="shared" si="174"/>
        <v>2023 09</v>
      </c>
      <c r="G2204" s="96" t="s">
        <v>5</v>
      </c>
      <c r="H2204" s="160" t="str">
        <f>RIGHT(Journal!$J2204,9)</f>
        <v>LEX-16596</v>
      </c>
      <c r="I2204" s="96" t="str">
        <f t="shared" si="176"/>
        <v>Life Extension</v>
      </c>
      <c r="J2204" s="97" t="s">
        <v>981</v>
      </c>
      <c r="K2204" s="29">
        <v>22.3</v>
      </c>
      <c r="L2204" s="29">
        <v>-6.02</v>
      </c>
      <c r="M2204" s="30">
        <f>IFERROR(VLOOKUP($A2204,HeadJournal!$A$1:$J$890,COLUMN(HeadJournal!I$1),0)*($K2204+$L2204)/(SUMIF($A:$A,$A2204,$K:$K)+SUMIF($A:$A,$A2204,$L:$L)),0)</f>
        <v>-1.4278419884598319</v>
      </c>
      <c r="N2204" s="30">
        <f>IFERROR((VLOOKUP($A2204,HeadJournal!$A$1:$K$890,COLUMN(HeadJournal!K$1),0)-VLOOKUP($A2204,HeadJournal!$A$1:$K$890,COLUMN(HeadJournal!J$1),0))*($K2204+$L2204)/(SUMIF($A:$A,$A2204,$K:$K)+SUMIF($A:$A,$A2204,$L:$L)),0)</f>
        <v>6.1611908059517631E-15</v>
      </c>
      <c r="O2204" s="30">
        <f>IFERROR((VLOOKUP($A2204,HeadJournal!$A$1:$L$890,COLUMN(HeadJournal!L$1),0)*($K2204+$L2204)/(SUMIF($A:$A,$A2204,$K:$K)+SUMIF($A:$A,$A2204,$L:$L)))/VLOOKUP($A2204,HeadJournal!$A$1:$L$890,COLUMN(HeadJournal!H$1),0),0)</f>
        <v>0.85179948937064531</v>
      </c>
      <c r="P2204" s="30">
        <f>IFERROR(SUM(K2204:O2204)*VLOOKUP($A2204,HeadJournal!$A$1:$L$890,COLUMN(HeadJournal!H$1),0),0)</f>
        <v>1716.761768308922</v>
      </c>
      <c r="Q2204" s="29">
        <v>2800</v>
      </c>
      <c r="R2204" s="31">
        <v>45302</v>
      </c>
      <c r="S2204" s="31" t="s">
        <v>3121</v>
      </c>
      <c r="T2204" s="95" t="str">
        <f t="shared" si="175"/>
        <v>2024 01</v>
      </c>
      <c r="U2204" s="32">
        <f t="shared" si="172"/>
        <v>1083.238231691078</v>
      </c>
      <c r="V2204" s="22">
        <f t="shared" si="173"/>
        <v>0.63097760661230839</v>
      </c>
      <c r="X2204" s="33"/>
      <c r="Y2204" s="33"/>
    </row>
    <row r="2205" spans="1:25" x14ac:dyDescent="0.2">
      <c r="A2205" s="93" t="s">
        <v>980</v>
      </c>
      <c r="B2205" s="94" t="str">
        <f>IFERROR(VLOOKUP($A2205,HeadJournal!$A$1:$NTR$890,COLUMN(HeadJournal!B$1),0),"")</f>
        <v>710000994812</v>
      </c>
      <c r="C2205" s="94" t="str">
        <f>IFERROR(VLOOKUP($A2205,HeadJournal!$A$1:$NTR$890,COLUMN(HeadJournal!C$1),0),"")</f>
        <v>iHerb_VP DFD1605</v>
      </c>
      <c r="D2205" s="125" t="str">
        <f>IFERROR(VLOOKUP($A2205,HeadJournal!$A$1:$NTR$890,COLUMN(HeadJournal!D$1),0),"")</f>
        <v>Доставлен</v>
      </c>
      <c r="E2205" s="95">
        <f>IFERROR(VLOOKUP($A2205,HeadJournal!$A$1:$NTR$890,COLUMN(HeadJournal!G$1),0),"")</f>
        <v>45188</v>
      </c>
      <c r="F2205" s="95" t="str">
        <f t="shared" si="174"/>
        <v>2023 09</v>
      </c>
      <c r="G2205" s="96" t="s">
        <v>5</v>
      </c>
      <c r="H2205" s="160" t="str">
        <f>RIGHT(Journal!$J2205,9)</f>
        <v>NOW-00470</v>
      </c>
      <c r="I2205" s="96" t="str">
        <f t="shared" si="176"/>
        <v>NOW Foods</v>
      </c>
      <c r="J2205" s="97" t="s">
        <v>982</v>
      </c>
      <c r="K2205" s="29">
        <v>11.76</v>
      </c>
      <c r="L2205" s="29">
        <v>-3.18</v>
      </c>
      <c r="M2205" s="30">
        <f>IFERROR(VLOOKUP($A2205,HeadJournal!$A$1:$J$890,COLUMN(HeadJournal!I$1),0)*($K2205+$L2205)/(SUMIF($A:$A,$A2205,$K:$K)+SUMIF($A:$A,$A2205,$L:$L)),0)</f>
        <v>-0.75251131824234385</v>
      </c>
      <c r="N2205" s="30">
        <f>IFERROR((VLOOKUP($A2205,HeadJournal!$A$1:$K$890,COLUMN(HeadJournal!K$1),0)-VLOOKUP($A2205,HeadJournal!$A$1:$K$890,COLUMN(HeadJournal!J$1),0))*($K2205+$L2205)/(SUMIF($A:$A,$A2205,$K:$K)+SUMIF($A:$A,$A2205,$L:$L)),0)</f>
        <v>3.2471140734070103E-15</v>
      </c>
      <c r="O2205" s="30">
        <f>IFERROR((VLOOKUP($A2205,HeadJournal!$A$1:$L$890,COLUMN(HeadJournal!L$1),0)*($K2205+$L2205)/(SUMIF($A:$A,$A2205,$K:$K)+SUMIF($A:$A,$A2205,$L:$L)))/VLOOKUP($A2205,HeadJournal!$A$1:$L$890,COLUMN(HeadJournal!H$1),0),0)</f>
        <v>0.44892135250615089</v>
      </c>
      <c r="P2205" s="30">
        <f>IFERROR(SUM(K2205:O2205)*VLOOKUP($A2205,HeadJournal!$A$1:$L$890,COLUMN(HeadJournal!H$1),0),0)</f>
        <v>904.77985086551314</v>
      </c>
      <c r="Q2205" s="29">
        <v>1800</v>
      </c>
      <c r="R2205" s="31">
        <v>45236</v>
      </c>
      <c r="S2205" s="31" t="s">
        <v>3121</v>
      </c>
      <c r="T2205" s="95" t="str">
        <f t="shared" si="175"/>
        <v>2023 11</v>
      </c>
      <c r="U2205" s="32">
        <f t="shared" si="172"/>
        <v>895.22014913448686</v>
      </c>
      <c r="V2205" s="22">
        <f t="shared" si="173"/>
        <v>0.98943422345017795</v>
      </c>
      <c r="X2205" s="33"/>
      <c r="Y2205" s="33"/>
    </row>
    <row r="2206" spans="1:25" x14ac:dyDescent="0.2">
      <c r="A2206" s="93" t="s">
        <v>980</v>
      </c>
      <c r="B2206" s="94" t="str">
        <f>IFERROR(VLOOKUP($A2206,HeadJournal!$A$1:$NTR$890,COLUMN(HeadJournal!B$1),0),"")</f>
        <v>710000994812</v>
      </c>
      <c r="C2206" s="94" t="str">
        <f>IFERROR(VLOOKUP($A2206,HeadJournal!$A$1:$NTR$890,COLUMN(HeadJournal!C$1),0),"")</f>
        <v>iHerb_VP DFD1605</v>
      </c>
      <c r="D2206" s="125" t="str">
        <f>IFERROR(VLOOKUP($A2206,HeadJournal!$A$1:$NTR$890,COLUMN(HeadJournal!D$1),0),"")</f>
        <v>Доставлен</v>
      </c>
      <c r="E2206" s="95">
        <f>IFERROR(VLOOKUP($A2206,HeadJournal!$A$1:$NTR$890,COLUMN(HeadJournal!G$1),0),"")</f>
        <v>45188</v>
      </c>
      <c r="F2206" s="95" t="str">
        <f t="shared" si="174"/>
        <v>2023 09</v>
      </c>
      <c r="G2206" s="96" t="s">
        <v>5</v>
      </c>
      <c r="H2206" s="161" t="s">
        <v>2176</v>
      </c>
      <c r="I2206" s="97" t="s">
        <v>2005</v>
      </c>
      <c r="J2206" s="97" t="s">
        <v>2177</v>
      </c>
      <c r="K2206" s="29">
        <v>15.14</v>
      </c>
      <c r="L2206" s="29">
        <v>-4.09</v>
      </c>
      <c r="M2206" s="30">
        <f>IFERROR(VLOOKUP($A2206,HeadJournal!$A$1:$J$890,COLUMN(HeadJournal!I$1),0)*($K2206+$L2206)/(SUMIF($A:$A,$A2206,$K:$K)+SUMIF($A:$A,$A2206,$L:$L)),0)</f>
        <v>-0.96914336440301874</v>
      </c>
      <c r="N2206" s="30">
        <f>IFERROR((VLOOKUP($A2206,HeadJournal!$A$1:$K$890,COLUMN(HeadJournal!K$1),0)-VLOOKUP($A2206,HeadJournal!$A$1:$K$890,COLUMN(HeadJournal!J$1),0))*($K2206+$L2206)/(SUMIF($A:$A,$A2206,$K:$K)+SUMIF($A:$A,$A2206,$L:$L)),0)</f>
        <v>4.1818893369635741E-15</v>
      </c>
      <c r="O2206" s="30">
        <f>IFERROR((VLOOKUP($A2206,HeadJournal!$A$1:$L$890,COLUMN(HeadJournal!L$1),0)*($K2206+$L2206)/(SUMIF($A:$A,$A2206,$K:$K)+SUMIF($A:$A,$A2206,$L:$L)))/VLOOKUP($A2206,HeadJournal!$A$1:$L$890,COLUMN(HeadJournal!H$1),0),0)</f>
        <v>0.57815628731852775</v>
      </c>
      <c r="P2206" s="30">
        <f>IFERROR(SUM(K2206:O2206)*VLOOKUP($A2206,HeadJournal!$A$1:$L$890,COLUMN(HeadJournal!H$1),0),0)</f>
        <v>1165.2467776298274</v>
      </c>
      <c r="Q2206" s="29">
        <v>2000</v>
      </c>
      <c r="R2206" s="31">
        <v>45530</v>
      </c>
      <c r="S2206" s="31" t="s">
        <v>3121</v>
      </c>
      <c r="T2206" s="95" t="str">
        <f t="shared" si="175"/>
        <v>2024 08</v>
      </c>
      <c r="U2206" s="32">
        <f t="shared" si="172"/>
        <v>834.75322237017258</v>
      </c>
      <c r="V2206" s="22">
        <f t="shared" si="173"/>
        <v>0.71637462415309494</v>
      </c>
      <c r="X2206" s="33"/>
      <c r="Y2206" s="33"/>
    </row>
    <row r="2207" spans="1:25" x14ac:dyDescent="0.2">
      <c r="A2207" s="93" t="s">
        <v>980</v>
      </c>
      <c r="B2207" s="94" t="str">
        <f>IFERROR(VLOOKUP($A2207,HeadJournal!$A$1:$NTR$890,COLUMN(HeadJournal!B$1),0),"")</f>
        <v>710000994812</v>
      </c>
      <c r="C2207" s="94" t="str">
        <f>IFERROR(VLOOKUP($A2207,HeadJournal!$A$1:$NTR$890,COLUMN(HeadJournal!C$1),0),"")</f>
        <v>iHerb_VP DFD1605</v>
      </c>
      <c r="D2207" s="125" t="str">
        <f>IFERROR(VLOOKUP($A2207,HeadJournal!$A$1:$NTR$890,COLUMN(HeadJournal!D$1),0),"")</f>
        <v>Доставлен</v>
      </c>
      <c r="E2207" s="95">
        <f>IFERROR(VLOOKUP($A2207,HeadJournal!$A$1:$NTR$890,COLUMN(HeadJournal!G$1),0),"")</f>
        <v>45188</v>
      </c>
      <c r="F2207" s="95" t="str">
        <f t="shared" si="174"/>
        <v>2023 09</v>
      </c>
      <c r="G2207" s="96" t="s">
        <v>5</v>
      </c>
      <c r="H2207" s="161" t="s">
        <v>2176</v>
      </c>
      <c r="I2207" s="97" t="s">
        <v>2005</v>
      </c>
      <c r="J2207" s="97" t="s">
        <v>2177</v>
      </c>
      <c r="K2207" s="29">
        <v>15.14</v>
      </c>
      <c r="L2207" s="29">
        <v>-4.09</v>
      </c>
      <c r="M2207" s="30">
        <f>IFERROR(VLOOKUP($A2207,HeadJournal!$A$1:$J$890,COLUMN(HeadJournal!I$1),0)*($K2207+$L2207)/(SUMIF($A:$A,$A2207,$K:$K)+SUMIF($A:$A,$A2207,$L:$L)),0)</f>
        <v>-0.96914336440301874</v>
      </c>
      <c r="N2207" s="30">
        <f>IFERROR((VLOOKUP($A2207,HeadJournal!$A$1:$K$890,COLUMN(HeadJournal!K$1),0)-VLOOKUP($A2207,HeadJournal!$A$1:$K$890,COLUMN(HeadJournal!J$1),0))*($K2207+$L2207)/(SUMIF($A:$A,$A2207,$K:$K)+SUMIF($A:$A,$A2207,$L:$L)),0)</f>
        <v>4.1818893369635741E-15</v>
      </c>
      <c r="O2207" s="30">
        <f>IFERROR((VLOOKUP($A2207,HeadJournal!$A$1:$L$890,COLUMN(HeadJournal!L$1),0)*($K2207+$L2207)/(SUMIF($A:$A,$A2207,$K:$K)+SUMIF($A:$A,$A2207,$L:$L)))/VLOOKUP($A2207,HeadJournal!$A$1:$L$890,COLUMN(HeadJournal!H$1),0),0)</f>
        <v>0.57815628731852775</v>
      </c>
      <c r="P2207" s="30">
        <f>IFERROR(SUM(K2207:O2207)*VLOOKUP($A2207,HeadJournal!$A$1:$L$890,COLUMN(HeadJournal!H$1),0),0)</f>
        <v>1165.2467776298274</v>
      </c>
      <c r="Q2207" s="29">
        <v>1900</v>
      </c>
      <c r="R2207" s="31">
        <v>45561</v>
      </c>
      <c r="S2207" s="31" t="s">
        <v>3121</v>
      </c>
      <c r="T2207" s="95" t="str">
        <f t="shared" si="175"/>
        <v>2024 09</v>
      </c>
      <c r="U2207" s="32">
        <f t="shared" si="172"/>
        <v>734.75322237017258</v>
      </c>
      <c r="V2207" s="22">
        <f t="shared" si="173"/>
        <v>0.63055589294544012</v>
      </c>
      <c r="X2207" s="33"/>
      <c r="Y2207" s="33"/>
    </row>
    <row r="2208" spans="1:25" x14ac:dyDescent="0.2">
      <c r="A2208" s="93" t="s">
        <v>983</v>
      </c>
      <c r="B2208" s="94" t="str">
        <f>IFERROR(VLOOKUP($A2208,HeadJournal!$A$1:$NTR$890,COLUMN(HeadJournal!B$1),0),"")</f>
        <v>700000911965</v>
      </c>
      <c r="C2208" s="94" t="str">
        <f>IFERROR(VLOOKUP($A2208,HeadJournal!$A$1:$NTR$890,COLUMN(HeadJournal!C$1),0),"")</f>
        <v>iHerb_VP DFD1605</v>
      </c>
      <c r="D2208" s="125" t="str">
        <f>IFERROR(VLOOKUP($A2208,HeadJournal!$A$1:$NTR$890,COLUMN(HeadJournal!D$1),0),"")</f>
        <v>Доставлен</v>
      </c>
      <c r="E2208" s="95">
        <f>IFERROR(VLOOKUP($A2208,HeadJournal!$A$1:$NTR$890,COLUMN(HeadJournal!G$1),0),"")</f>
        <v>45192</v>
      </c>
      <c r="F2208" s="95" t="str">
        <f t="shared" si="174"/>
        <v>2023 09</v>
      </c>
      <c r="G2208" s="96" t="s">
        <v>5</v>
      </c>
      <c r="H2208" s="161" t="s">
        <v>2223</v>
      </c>
      <c r="I2208" s="97" t="s">
        <v>2008</v>
      </c>
      <c r="J2208" s="97" t="s">
        <v>2224</v>
      </c>
      <c r="K2208" s="29">
        <v>11.95</v>
      </c>
      <c r="L2208" s="29">
        <v>-3.2466666666666666</v>
      </c>
      <c r="M2208" s="30">
        <f>IFERROR(VLOOKUP($A2208,HeadJournal!$A$1:$J$890,COLUMN(HeadJournal!I$1),0)*($K2208+$L2208)/(SUMIF($A:$A,$A2208,$K:$K)+SUMIF($A:$A,$A2208,$L:$L)),0)</f>
        <v>-0.66599165356688372</v>
      </c>
      <c r="N2208" s="30">
        <f>IFERROR((VLOOKUP($A2208,HeadJournal!$A$1:$K$890,COLUMN(HeadJournal!K$1),0)-VLOOKUP($A2208,HeadJournal!$A$1:$K$890,COLUMN(HeadJournal!J$1),0))*($K2208+$L2208)/(SUMIF($A:$A,$A2208,$K:$K)+SUMIF($A:$A,$A2208,$L:$L)),0)</f>
        <v>0</v>
      </c>
      <c r="O2208" s="30">
        <f>IFERROR((VLOOKUP($A2208,HeadJournal!$A$1:$L$890,COLUMN(HeadJournal!L$1),0)*($K2208+$L2208)/(SUMIF($A:$A,$A2208,$K:$K)+SUMIF($A:$A,$A2208,$L:$L)))/VLOOKUP($A2208,HeadJournal!$A$1:$L$890,COLUMN(HeadJournal!H$1),0),0)</f>
        <v>0.291517256364831</v>
      </c>
      <c r="P2208" s="30">
        <f>IFERROR(SUM(K2208:O2208)*VLOOKUP($A2208,HeadJournal!$A$1:$L$890,COLUMN(HeadJournal!H$1),0),0)</f>
        <v>899.51676510217817</v>
      </c>
      <c r="Q2208" s="29">
        <v>1800</v>
      </c>
      <c r="R2208" s="31">
        <v>45237</v>
      </c>
      <c r="S2208" s="31" t="s">
        <v>3121</v>
      </c>
      <c r="T2208" s="95" t="str">
        <f t="shared" si="175"/>
        <v>2023 11</v>
      </c>
      <c r="U2208" s="32">
        <f t="shared" si="172"/>
        <v>900.48323489782183</v>
      </c>
      <c r="V2208" s="22">
        <f t="shared" si="173"/>
        <v>1.0010744322208758</v>
      </c>
      <c r="X2208" s="33"/>
      <c r="Y2208" s="33"/>
    </row>
    <row r="2209" spans="1:25" x14ac:dyDescent="0.2">
      <c r="A2209" s="93" t="s">
        <v>983</v>
      </c>
      <c r="B2209" s="94" t="str">
        <f>IFERROR(VLOOKUP($A2209,HeadJournal!$A$1:$NTR$890,COLUMN(HeadJournal!B$1),0),"")</f>
        <v>700000911965</v>
      </c>
      <c r="C2209" s="94" t="str">
        <f>IFERROR(VLOOKUP($A2209,HeadJournal!$A$1:$NTR$890,COLUMN(HeadJournal!C$1),0),"")</f>
        <v>iHerb_VP DFD1605</v>
      </c>
      <c r="D2209" s="125" t="str">
        <f>IFERROR(VLOOKUP($A2209,HeadJournal!$A$1:$NTR$890,COLUMN(HeadJournal!D$1),0),"")</f>
        <v>Доставлен</v>
      </c>
      <c r="E2209" s="95">
        <f>IFERROR(VLOOKUP($A2209,HeadJournal!$A$1:$NTR$890,COLUMN(HeadJournal!G$1),0),"")</f>
        <v>45192</v>
      </c>
      <c r="F2209" s="95" t="str">
        <f t="shared" si="174"/>
        <v>2023 09</v>
      </c>
      <c r="G2209" s="96" t="s">
        <v>5</v>
      </c>
      <c r="H2209" s="161" t="s">
        <v>2223</v>
      </c>
      <c r="I2209" s="97" t="s">
        <v>2008</v>
      </c>
      <c r="J2209" s="97" t="s">
        <v>2224</v>
      </c>
      <c r="K2209" s="29">
        <v>11.95</v>
      </c>
      <c r="L2209" s="29">
        <v>-3.2466666666666666</v>
      </c>
      <c r="M2209" s="30">
        <f>IFERROR(VLOOKUP($A2209,HeadJournal!$A$1:$J$890,COLUMN(HeadJournal!I$1),0)*($K2209+$L2209)/(SUMIF($A:$A,$A2209,$K:$K)+SUMIF($A:$A,$A2209,$L:$L)),0)</f>
        <v>-0.66599165356688372</v>
      </c>
      <c r="N2209" s="30">
        <f>IFERROR((VLOOKUP($A2209,HeadJournal!$A$1:$K$890,COLUMN(HeadJournal!K$1),0)-VLOOKUP($A2209,HeadJournal!$A$1:$K$890,COLUMN(HeadJournal!J$1),0))*($K2209+$L2209)/(SUMIF($A:$A,$A2209,$K:$K)+SUMIF($A:$A,$A2209,$L:$L)),0)</f>
        <v>0</v>
      </c>
      <c r="O2209" s="30">
        <f>IFERROR((VLOOKUP($A2209,HeadJournal!$A$1:$L$890,COLUMN(HeadJournal!L$1),0)*($K2209+$L2209)/(SUMIF($A:$A,$A2209,$K:$K)+SUMIF($A:$A,$A2209,$L:$L)))/VLOOKUP($A2209,HeadJournal!$A$1:$L$890,COLUMN(HeadJournal!H$1),0),0)</f>
        <v>0.291517256364831</v>
      </c>
      <c r="P2209" s="30">
        <f>IFERROR(SUM(K2209:O2209)*VLOOKUP($A2209,HeadJournal!$A$1:$L$890,COLUMN(HeadJournal!H$1),0),0)</f>
        <v>899.51676510217817</v>
      </c>
      <c r="Q2209" s="29">
        <v>1800</v>
      </c>
      <c r="R2209" s="31">
        <v>45267</v>
      </c>
      <c r="S2209" s="31" t="s">
        <v>3121</v>
      </c>
      <c r="T2209" s="95" t="str">
        <f t="shared" si="175"/>
        <v>2023 12</v>
      </c>
      <c r="U2209" s="32">
        <f t="shared" si="172"/>
        <v>900.48323489782183</v>
      </c>
      <c r="V2209" s="22">
        <f t="shared" si="173"/>
        <v>1.0010744322208758</v>
      </c>
      <c r="X2209" s="33"/>
      <c r="Y2209" s="33"/>
    </row>
    <row r="2210" spans="1:25" x14ac:dyDescent="0.2">
      <c r="A2210" s="93" t="s">
        <v>983</v>
      </c>
      <c r="B2210" s="94" t="str">
        <f>IFERROR(VLOOKUP($A2210,HeadJournal!$A$1:$NTR$890,COLUMN(HeadJournal!B$1),0),"")</f>
        <v>700000911965</v>
      </c>
      <c r="C2210" s="94" t="str">
        <f>IFERROR(VLOOKUP($A2210,HeadJournal!$A$1:$NTR$890,COLUMN(HeadJournal!C$1),0),"")</f>
        <v>iHerb_VP DFD1605</v>
      </c>
      <c r="D2210" s="125" t="str">
        <f>IFERROR(VLOOKUP($A2210,HeadJournal!$A$1:$NTR$890,COLUMN(HeadJournal!D$1),0),"")</f>
        <v>Доставлен</v>
      </c>
      <c r="E2210" s="95">
        <f>IFERROR(VLOOKUP($A2210,HeadJournal!$A$1:$NTR$890,COLUMN(HeadJournal!G$1),0),"")</f>
        <v>45192</v>
      </c>
      <c r="F2210" s="95" t="str">
        <f t="shared" si="174"/>
        <v>2023 09</v>
      </c>
      <c r="G2210" s="96" t="s">
        <v>5</v>
      </c>
      <c r="H2210" s="161" t="s">
        <v>2223</v>
      </c>
      <c r="I2210" s="97" t="s">
        <v>2008</v>
      </c>
      <c r="J2210" s="97" t="s">
        <v>2224</v>
      </c>
      <c r="K2210" s="29">
        <v>11.95</v>
      </c>
      <c r="L2210" s="29">
        <v>-3.2466666666666666</v>
      </c>
      <c r="M2210" s="30">
        <f>IFERROR(VLOOKUP($A2210,HeadJournal!$A$1:$J$890,COLUMN(HeadJournal!I$1),0)*($K2210+$L2210)/(SUMIF($A:$A,$A2210,$K:$K)+SUMIF($A:$A,$A2210,$L:$L)),0)</f>
        <v>-0.66599165356688372</v>
      </c>
      <c r="N2210" s="30">
        <f>IFERROR((VLOOKUP($A2210,HeadJournal!$A$1:$K$890,COLUMN(HeadJournal!K$1),0)-VLOOKUP($A2210,HeadJournal!$A$1:$K$890,COLUMN(HeadJournal!J$1),0))*($K2210+$L2210)/(SUMIF($A:$A,$A2210,$K:$K)+SUMIF($A:$A,$A2210,$L:$L)),0)</f>
        <v>0</v>
      </c>
      <c r="O2210" s="30">
        <f>IFERROR((VLOOKUP($A2210,HeadJournal!$A$1:$L$890,COLUMN(HeadJournal!L$1),0)*($K2210+$L2210)/(SUMIF($A:$A,$A2210,$K:$K)+SUMIF($A:$A,$A2210,$L:$L)))/VLOOKUP($A2210,HeadJournal!$A$1:$L$890,COLUMN(HeadJournal!H$1),0),0)</f>
        <v>0.291517256364831</v>
      </c>
      <c r="P2210" s="30">
        <f>IFERROR(SUM(K2210:O2210)*VLOOKUP($A2210,HeadJournal!$A$1:$L$890,COLUMN(HeadJournal!H$1),0),0)</f>
        <v>899.51676510217817</v>
      </c>
      <c r="Q2210" s="29">
        <v>1800</v>
      </c>
      <c r="R2210" s="31">
        <v>45277</v>
      </c>
      <c r="S2210" s="31" t="s">
        <v>3121</v>
      </c>
      <c r="T2210" s="95" t="str">
        <f t="shared" si="175"/>
        <v>2023 12</v>
      </c>
      <c r="U2210" s="32">
        <f t="shared" si="172"/>
        <v>900.48323489782183</v>
      </c>
      <c r="V2210" s="22">
        <f t="shared" si="173"/>
        <v>1.0010744322208758</v>
      </c>
      <c r="X2210" s="33"/>
      <c r="Y2210" s="33"/>
    </row>
    <row r="2211" spans="1:25" x14ac:dyDescent="0.2">
      <c r="A2211" s="93" t="s">
        <v>983</v>
      </c>
      <c r="B2211" s="94" t="str">
        <f>IFERROR(VLOOKUP($A2211,HeadJournal!$A$1:$NTR$890,COLUMN(HeadJournal!B$1),0),"")</f>
        <v>700000911965</v>
      </c>
      <c r="C2211" s="94" t="str">
        <f>IFERROR(VLOOKUP($A2211,HeadJournal!$A$1:$NTR$890,COLUMN(HeadJournal!C$1),0),"")</f>
        <v>iHerb_VP DFD1605</v>
      </c>
      <c r="D2211" s="125" t="str">
        <f>IFERROR(VLOOKUP($A2211,HeadJournal!$A$1:$NTR$890,COLUMN(HeadJournal!D$1),0),"")</f>
        <v>Доставлен</v>
      </c>
      <c r="E2211" s="95">
        <f>IFERROR(VLOOKUP($A2211,HeadJournal!$A$1:$NTR$890,COLUMN(HeadJournal!G$1),0),"")</f>
        <v>45192</v>
      </c>
      <c r="F2211" s="95" t="str">
        <f t="shared" si="174"/>
        <v>2023 09</v>
      </c>
      <c r="G2211" s="96" t="s">
        <v>5</v>
      </c>
      <c r="H2211" s="161" t="s">
        <v>2546</v>
      </c>
      <c r="I2211" s="97" t="s">
        <v>2039</v>
      </c>
      <c r="J2211" s="97" t="s">
        <v>2547</v>
      </c>
      <c r="K2211" s="29">
        <v>10.54</v>
      </c>
      <c r="L2211" s="29">
        <v>-2.8450000000000002</v>
      </c>
      <c r="M2211" s="30">
        <f>IFERROR(VLOOKUP($A2211,HeadJournal!$A$1:$J$890,COLUMN(HeadJournal!I$1),0)*($K2211+$L2211)/(SUMIF($A:$A,$A2211,$K:$K)+SUMIF($A:$A,$A2211,$L:$L)),0)</f>
        <v>-0.58883252863238256</v>
      </c>
      <c r="N2211" s="30">
        <f>IFERROR((VLOOKUP($A2211,HeadJournal!$A$1:$K$890,COLUMN(HeadJournal!K$1),0)-VLOOKUP($A2211,HeadJournal!$A$1:$K$890,COLUMN(HeadJournal!J$1),0))*($K2211+$L2211)/(SUMIF($A:$A,$A2211,$K:$K)+SUMIF($A:$A,$A2211,$L:$L)),0)</f>
        <v>0</v>
      </c>
      <c r="O2211" s="30">
        <f>IFERROR((VLOOKUP($A2211,HeadJournal!$A$1:$L$890,COLUMN(HeadJournal!L$1),0)*($K2211+$L2211)/(SUMIF($A:$A,$A2211,$K:$K)+SUMIF($A:$A,$A2211,$L:$L)))/VLOOKUP($A2211,HeadJournal!$A$1:$L$890,COLUMN(HeadJournal!H$1),0),0)</f>
        <v>0.25774323489782164</v>
      </c>
      <c r="P2211" s="30">
        <f>IFERROR(SUM(K2211:O2211)*VLOOKUP($A2211,HeadJournal!$A$1:$L$890,COLUMN(HeadJournal!H$1),0),0)</f>
        <v>795.3023562766673</v>
      </c>
      <c r="Q2211" s="29">
        <v>1600</v>
      </c>
      <c r="R2211" s="31">
        <v>45222</v>
      </c>
      <c r="S2211" s="31" t="s">
        <v>3121</v>
      </c>
      <c r="T2211" s="95" t="str">
        <f t="shared" si="175"/>
        <v>2023 10</v>
      </c>
      <c r="U2211" s="32">
        <f t="shared" si="172"/>
        <v>804.6976437233327</v>
      </c>
      <c r="V2211" s="22">
        <f t="shared" si="173"/>
        <v>1.0118134787009194</v>
      </c>
      <c r="X2211" s="33"/>
      <c r="Y2211" s="33"/>
    </row>
    <row r="2212" spans="1:25" x14ac:dyDescent="0.2">
      <c r="A2212" s="93" t="s">
        <v>983</v>
      </c>
      <c r="B2212" s="94" t="str">
        <f>IFERROR(VLOOKUP($A2212,HeadJournal!$A$1:$NTR$890,COLUMN(HeadJournal!B$1),0),"")</f>
        <v>700000911965</v>
      </c>
      <c r="C2212" s="94" t="str">
        <f>IFERROR(VLOOKUP($A2212,HeadJournal!$A$1:$NTR$890,COLUMN(HeadJournal!C$1),0),"")</f>
        <v>iHerb_VP DFD1605</v>
      </c>
      <c r="D2212" s="125" t="str">
        <f>IFERROR(VLOOKUP($A2212,HeadJournal!$A$1:$NTR$890,COLUMN(HeadJournal!D$1),0),"")</f>
        <v>Доставлен</v>
      </c>
      <c r="E2212" s="95">
        <f>IFERROR(VLOOKUP($A2212,HeadJournal!$A$1:$NTR$890,COLUMN(HeadJournal!G$1),0),"")</f>
        <v>45192</v>
      </c>
      <c r="F2212" s="95" t="str">
        <f t="shared" si="174"/>
        <v>2023 09</v>
      </c>
      <c r="G2212" s="96" t="s">
        <v>5</v>
      </c>
      <c r="H2212" s="161" t="s">
        <v>2546</v>
      </c>
      <c r="I2212" s="97" t="s">
        <v>2039</v>
      </c>
      <c r="J2212" s="97" t="s">
        <v>2547</v>
      </c>
      <c r="K2212" s="29">
        <v>10.54</v>
      </c>
      <c r="L2212" s="29">
        <v>-2.8450000000000002</v>
      </c>
      <c r="M2212" s="30">
        <f>IFERROR(VLOOKUP($A2212,HeadJournal!$A$1:$J$890,COLUMN(HeadJournal!I$1),0)*($K2212+$L2212)/(SUMIF($A:$A,$A2212,$K:$K)+SUMIF($A:$A,$A2212,$L:$L)),0)</f>
        <v>-0.58883252863238256</v>
      </c>
      <c r="N2212" s="30">
        <f>IFERROR((VLOOKUP($A2212,HeadJournal!$A$1:$K$890,COLUMN(HeadJournal!K$1),0)-VLOOKUP($A2212,HeadJournal!$A$1:$K$890,COLUMN(HeadJournal!J$1),0))*($K2212+$L2212)/(SUMIF($A:$A,$A2212,$K:$K)+SUMIF($A:$A,$A2212,$L:$L)),0)</f>
        <v>0</v>
      </c>
      <c r="O2212" s="30">
        <f>IFERROR((VLOOKUP($A2212,HeadJournal!$A$1:$L$890,COLUMN(HeadJournal!L$1),0)*($K2212+$L2212)/(SUMIF($A:$A,$A2212,$K:$K)+SUMIF($A:$A,$A2212,$L:$L)))/VLOOKUP($A2212,HeadJournal!$A$1:$L$890,COLUMN(HeadJournal!H$1),0),0)</f>
        <v>0.25774323489782164</v>
      </c>
      <c r="P2212" s="30">
        <f>IFERROR(SUM(K2212:O2212)*VLOOKUP($A2212,HeadJournal!$A$1:$L$890,COLUMN(HeadJournal!H$1),0),0)</f>
        <v>795.3023562766673</v>
      </c>
      <c r="Q2212" s="29">
        <v>1700</v>
      </c>
      <c r="R2212" s="31">
        <v>45224</v>
      </c>
      <c r="S2212" s="31" t="s">
        <v>3121</v>
      </c>
      <c r="T2212" s="95" t="str">
        <f t="shared" si="175"/>
        <v>2023 10</v>
      </c>
      <c r="U2212" s="32">
        <f t="shared" si="172"/>
        <v>904.6976437233327</v>
      </c>
      <c r="V2212" s="22">
        <f t="shared" si="173"/>
        <v>1.1375518211197269</v>
      </c>
      <c r="X2212" s="33"/>
      <c r="Y2212" s="33"/>
    </row>
    <row r="2213" spans="1:25" x14ac:dyDescent="0.2">
      <c r="A2213" s="93" t="s">
        <v>983</v>
      </c>
      <c r="B2213" s="94" t="str">
        <f>IFERROR(VLOOKUP($A2213,HeadJournal!$A$1:$NTR$890,COLUMN(HeadJournal!B$1),0),"")</f>
        <v>700000911965</v>
      </c>
      <c r="C2213" s="94" t="str">
        <f>IFERROR(VLOOKUP($A2213,HeadJournal!$A$1:$NTR$890,COLUMN(HeadJournal!C$1),0),"")</f>
        <v>iHerb_VP DFD1605</v>
      </c>
      <c r="D2213" s="125" t="str">
        <f>IFERROR(VLOOKUP($A2213,HeadJournal!$A$1:$NTR$890,COLUMN(HeadJournal!D$1),0),"")</f>
        <v>Доставлен</v>
      </c>
      <c r="E2213" s="95">
        <f>IFERROR(VLOOKUP($A2213,HeadJournal!$A$1:$NTR$890,COLUMN(HeadJournal!G$1),0),"")</f>
        <v>45192</v>
      </c>
      <c r="F2213" s="95" t="str">
        <f t="shared" si="174"/>
        <v>2023 09</v>
      </c>
      <c r="G2213" s="96" t="s">
        <v>5</v>
      </c>
      <c r="H2213" s="161" t="s">
        <v>2127</v>
      </c>
      <c r="I2213" s="97" t="s">
        <v>2125</v>
      </c>
      <c r="J2213" s="97" t="s">
        <v>2128</v>
      </c>
      <c r="K2213" s="29">
        <v>9.25</v>
      </c>
      <c r="L2213" s="29">
        <v>-2.4950000000000001</v>
      </c>
      <c r="M2213" s="30">
        <f>IFERROR(VLOOKUP($A2213,HeadJournal!$A$1:$J$890,COLUMN(HeadJournal!I$1),0)*($K2213+$L2213)/(SUMIF($A:$A,$A2213,$K:$K)+SUMIF($A:$A,$A2213,$L:$L)),0)</f>
        <v>-0.51690236918931054</v>
      </c>
      <c r="N2213" s="30">
        <f>IFERROR((VLOOKUP($A2213,HeadJournal!$A$1:$K$890,COLUMN(HeadJournal!K$1),0)-VLOOKUP($A2213,HeadJournal!$A$1:$K$890,COLUMN(HeadJournal!J$1),0))*($K2213+$L2213)/(SUMIF($A:$A,$A2213,$K:$K)+SUMIF($A:$A,$A2213,$L:$L)),0)</f>
        <v>0</v>
      </c>
      <c r="O2213" s="30">
        <f>IFERROR((VLOOKUP($A2213,HeadJournal!$A$1:$L$890,COLUMN(HeadJournal!L$1),0)*($K2213+$L2213)/(SUMIF($A:$A,$A2213,$K:$K)+SUMIF($A:$A,$A2213,$L:$L)))/VLOOKUP($A2213,HeadJournal!$A$1:$L$890,COLUMN(HeadJournal!H$1),0),0)</f>
        <v>0.22625803141452699</v>
      </c>
      <c r="P2213" s="30">
        <f>IFERROR(SUM(K2213:O2213)*VLOOKUP($A2213,HeadJournal!$A$1:$L$890,COLUMN(HeadJournal!H$1),0),0)</f>
        <v>698.15041152032336</v>
      </c>
      <c r="Q2213" s="29">
        <v>1400</v>
      </c>
      <c r="R2213" s="31">
        <v>45239</v>
      </c>
      <c r="S2213" s="31" t="s">
        <v>3121</v>
      </c>
      <c r="T2213" s="95" t="str">
        <f t="shared" si="175"/>
        <v>2023 11</v>
      </c>
      <c r="U2213" s="32">
        <f t="shared" si="172"/>
        <v>701.84958847967664</v>
      </c>
      <c r="V2213" s="22">
        <f t="shared" si="173"/>
        <v>1.0052985386792193</v>
      </c>
      <c r="X2213" s="33"/>
      <c r="Y2213" s="33"/>
    </row>
    <row r="2214" spans="1:25" x14ac:dyDescent="0.2">
      <c r="A2214" s="93" t="s">
        <v>983</v>
      </c>
      <c r="B2214" s="94" t="str">
        <f>IFERROR(VLOOKUP($A2214,HeadJournal!$A$1:$NTR$890,COLUMN(HeadJournal!B$1),0),"")</f>
        <v>700000911965</v>
      </c>
      <c r="C2214" s="94" t="str">
        <f>IFERROR(VLOOKUP($A2214,HeadJournal!$A$1:$NTR$890,COLUMN(HeadJournal!C$1),0),"")</f>
        <v>iHerb_VP DFD1605</v>
      </c>
      <c r="D2214" s="125" t="str">
        <f>IFERROR(VLOOKUP($A2214,HeadJournal!$A$1:$NTR$890,COLUMN(HeadJournal!D$1),0),"")</f>
        <v>Доставлен</v>
      </c>
      <c r="E2214" s="95">
        <f>IFERROR(VLOOKUP($A2214,HeadJournal!$A$1:$NTR$890,COLUMN(HeadJournal!G$1),0),"")</f>
        <v>45192</v>
      </c>
      <c r="F2214" s="95" t="str">
        <f t="shared" si="174"/>
        <v>2023 09</v>
      </c>
      <c r="G2214" s="96" t="s">
        <v>5</v>
      </c>
      <c r="H2214" s="161" t="s">
        <v>2127</v>
      </c>
      <c r="I2214" s="97" t="s">
        <v>2125</v>
      </c>
      <c r="J2214" s="97" t="s">
        <v>2128</v>
      </c>
      <c r="K2214" s="29">
        <v>9.25</v>
      </c>
      <c r="L2214" s="29">
        <v>-2.4950000000000001</v>
      </c>
      <c r="M2214" s="30">
        <f>IFERROR(VLOOKUP($A2214,HeadJournal!$A$1:$J$890,COLUMN(HeadJournal!I$1),0)*($K2214+$L2214)/(SUMIF($A:$A,$A2214,$K:$K)+SUMIF($A:$A,$A2214,$L:$L)),0)</f>
        <v>-0.51690236918931054</v>
      </c>
      <c r="N2214" s="30">
        <f>IFERROR((VLOOKUP($A2214,HeadJournal!$A$1:$K$890,COLUMN(HeadJournal!K$1),0)-VLOOKUP($A2214,HeadJournal!$A$1:$K$890,COLUMN(HeadJournal!J$1),0))*($K2214+$L2214)/(SUMIF($A:$A,$A2214,$K:$K)+SUMIF($A:$A,$A2214,$L:$L)),0)</f>
        <v>0</v>
      </c>
      <c r="O2214" s="30">
        <f>IFERROR((VLOOKUP($A2214,HeadJournal!$A$1:$L$890,COLUMN(HeadJournal!L$1),0)*($K2214+$L2214)/(SUMIF($A:$A,$A2214,$K:$K)+SUMIF($A:$A,$A2214,$L:$L)))/VLOOKUP($A2214,HeadJournal!$A$1:$L$890,COLUMN(HeadJournal!H$1),0),0)</f>
        <v>0.22625803141452699</v>
      </c>
      <c r="P2214" s="30">
        <f>IFERROR(SUM(K2214:O2214)*VLOOKUP($A2214,HeadJournal!$A$1:$L$890,COLUMN(HeadJournal!H$1),0),0)</f>
        <v>698.15041152032336</v>
      </c>
      <c r="Q2214" s="29">
        <v>1400</v>
      </c>
      <c r="R2214" s="31">
        <v>45282</v>
      </c>
      <c r="S2214" s="31" t="s">
        <v>3121</v>
      </c>
      <c r="T2214" s="95" t="str">
        <f t="shared" si="175"/>
        <v>2023 12</v>
      </c>
      <c r="U2214" s="32">
        <f t="shared" si="172"/>
        <v>701.84958847967664</v>
      </c>
      <c r="V2214" s="22">
        <f t="shared" si="173"/>
        <v>1.0052985386792193</v>
      </c>
      <c r="X2214" s="33"/>
      <c r="Y2214" s="33"/>
    </row>
    <row r="2215" spans="1:25" x14ac:dyDescent="0.2">
      <c r="A2215" s="93" t="s">
        <v>983</v>
      </c>
      <c r="B2215" s="94" t="str">
        <f>IFERROR(VLOOKUP($A2215,HeadJournal!$A$1:$NTR$890,COLUMN(HeadJournal!B$1),0),"")</f>
        <v>700000911965</v>
      </c>
      <c r="C2215" s="94" t="str">
        <f>IFERROR(VLOOKUP($A2215,HeadJournal!$A$1:$NTR$890,COLUMN(HeadJournal!C$1),0),"")</f>
        <v>iHerb_VP DFD1605</v>
      </c>
      <c r="D2215" s="125" t="str">
        <f>IFERROR(VLOOKUP($A2215,HeadJournal!$A$1:$NTR$890,COLUMN(HeadJournal!D$1),0),"")</f>
        <v>Доставлен</v>
      </c>
      <c r="E2215" s="95">
        <f>IFERROR(VLOOKUP($A2215,HeadJournal!$A$1:$NTR$890,COLUMN(HeadJournal!G$1),0),"")</f>
        <v>45192</v>
      </c>
      <c r="F2215" s="95" t="str">
        <f t="shared" si="174"/>
        <v>2023 09</v>
      </c>
      <c r="G2215" s="96" t="s">
        <v>5</v>
      </c>
      <c r="H2215" s="160" t="str">
        <f>RIGHT(Journal!$J2215,9)</f>
        <v>NBC-01055</v>
      </c>
      <c r="I2215" s="96" t="str">
        <f t="shared" si="176"/>
        <v>NutriBiotic</v>
      </c>
      <c r="J2215" s="97" t="s">
        <v>984</v>
      </c>
      <c r="K2215" s="29">
        <v>6.3</v>
      </c>
      <c r="L2215" s="29">
        <v>-1.7</v>
      </c>
      <c r="M2215" s="30">
        <f>IFERROR(VLOOKUP($A2215,HeadJournal!$A$1:$J$890,COLUMN(HeadJournal!I$1),0)*($K2215+$L2215)/(SUMIF($A:$A,$A2215,$K:$K)+SUMIF($A:$A,$A2215,$L:$L)),0)</f>
        <v>-0.35199865259375701</v>
      </c>
      <c r="N2215" s="30">
        <f>IFERROR((VLOOKUP($A2215,HeadJournal!$A$1:$K$890,COLUMN(HeadJournal!K$1),0)-VLOOKUP($A2215,HeadJournal!$A$1:$K$890,COLUMN(HeadJournal!J$1),0))*($K2215+$L2215)/(SUMIF($A:$A,$A2215,$K:$K)+SUMIF($A:$A,$A2215,$L:$L)),0)</f>
        <v>0</v>
      </c>
      <c r="O2215" s="30">
        <f>IFERROR((VLOOKUP($A2215,HeadJournal!$A$1:$L$890,COLUMN(HeadJournal!L$1),0)*($K2215+$L2215)/(SUMIF($A:$A,$A2215,$K:$K)+SUMIF($A:$A,$A2215,$L:$L)))/VLOOKUP($A2215,HeadJournal!$A$1:$L$890,COLUMN(HeadJournal!H$1),0),0)</f>
        <v>0.15407652768420788</v>
      </c>
      <c r="P2215" s="30">
        <f>IFERROR(SUM(K2215:O2215)*VLOOKUP($A2215,HeadJournal!$A$1:$L$890,COLUMN(HeadJournal!H$1),0),0)</f>
        <v>475.42441050976873</v>
      </c>
      <c r="Q2215" s="29">
        <v>1200</v>
      </c>
      <c r="R2215" s="31">
        <v>45626</v>
      </c>
      <c r="S2215" s="31" t="s">
        <v>3121</v>
      </c>
      <c r="T2215" s="95" t="str">
        <f t="shared" si="175"/>
        <v>2024 11</v>
      </c>
      <c r="U2215" s="32">
        <f t="shared" si="172"/>
        <v>724.57558949023132</v>
      </c>
      <c r="V2215" s="22">
        <f t="shared" si="173"/>
        <v>1.5240605519462345</v>
      </c>
      <c r="X2215" s="33"/>
      <c r="Y2215" s="33"/>
    </row>
    <row r="2216" spans="1:25" x14ac:dyDescent="0.2">
      <c r="A2216" s="93" t="s">
        <v>983</v>
      </c>
      <c r="B2216" s="94" t="str">
        <f>IFERROR(VLOOKUP($A2216,HeadJournal!$A$1:$NTR$890,COLUMN(HeadJournal!B$1),0),"")</f>
        <v>700000911965</v>
      </c>
      <c r="C2216" s="94" t="str">
        <f>IFERROR(VLOOKUP($A2216,HeadJournal!$A$1:$NTR$890,COLUMN(HeadJournal!C$1),0),"")</f>
        <v>iHerb_VP DFD1605</v>
      </c>
      <c r="D2216" s="125" t="str">
        <f>IFERROR(VLOOKUP($A2216,HeadJournal!$A$1:$NTR$890,COLUMN(HeadJournal!D$1),0),"")</f>
        <v>Доставлен</v>
      </c>
      <c r="E2216" s="95">
        <f>IFERROR(VLOOKUP($A2216,HeadJournal!$A$1:$NTR$890,COLUMN(HeadJournal!G$1),0),"")</f>
        <v>45192</v>
      </c>
      <c r="F2216" s="95" t="str">
        <f t="shared" si="174"/>
        <v>2023 09</v>
      </c>
      <c r="G2216" s="96" t="s">
        <v>5</v>
      </c>
      <c r="H2216" s="160" t="str">
        <f>RIGHT(Journal!$J2216,9)</f>
        <v>NBC-00995</v>
      </c>
      <c r="I2216" s="96" t="str">
        <f t="shared" si="176"/>
        <v>NutriBiotic</v>
      </c>
      <c r="J2216" s="97" t="s">
        <v>985</v>
      </c>
      <c r="K2216" s="29">
        <v>14.62</v>
      </c>
      <c r="L2216" s="29">
        <v>-3.94</v>
      </c>
      <c r="M2216" s="30">
        <f>IFERROR(VLOOKUP($A2216,HeadJournal!$A$1:$J$890,COLUMN(HeadJournal!I$1),0)*($K2216+$L2216)/(SUMIF($A:$A,$A2216,$K:$K)+SUMIF($A:$A,$A2216,$L:$L)),0)</f>
        <v>-0.81724904558724454</v>
      </c>
      <c r="N2216" s="30">
        <f>IFERROR((VLOOKUP($A2216,HeadJournal!$A$1:$K$890,COLUMN(HeadJournal!K$1),0)-VLOOKUP($A2216,HeadJournal!$A$1:$K$890,COLUMN(HeadJournal!J$1),0))*($K2216+$L2216)/(SUMIF($A:$A,$A2216,$K:$K)+SUMIF($A:$A,$A2216,$L:$L)),0)</f>
        <v>0</v>
      </c>
      <c r="O2216" s="30">
        <f>IFERROR((VLOOKUP($A2216,HeadJournal!$A$1:$L$890,COLUMN(HeadJournal!L$1),0)*($K2216+$L2216)/(SUMIF($A:$A,$A2216,$K:$K)+SUMIF($A:$A,$A2216,$L:$L)))/VLOOKUP($A2216,HeadJournal!$A$1:$L$890,COLUMN(HeadJournal!H$1),0),0)</f>
        <v>0.3577255034059435</v>
      </c>
      <c r="P2216" s="30">
        <f>IFERROR(SUM(K2216:O2216)*VLOOKUP($A2216,HeadJournal!$A$1:$L$890,COLUMN(HeadJournal!H$1),0),0)</f>
        <v>1103.8114574444194</v>
      </c>
      <c r="Q2216" s="29">
        <v>1900</v>
      </c>
      <c r="R2216" s="31">
        <v>45547</v>
      </c>
      <c r="S2216" s="31" t="s">
        <v>3121</v>
      </c>
      <c r="T2216" s="95" t="str">
        <f t="shared" si="175"/>
        <v>2024 09</v>
      </c>
      <c r="U2216" s="32">
        <f t="shared" si="172"/>
        <v>796.18854255558063</v>
      </c>
      <c r="V2216" s="22">
        <f t="shared" si="173"/>
        <v>0.72130846005072513</v>
      </c>
      <c r="X2216" s="33"/>
      <c r="Y2216" s="33"/>
    </row>
    <row r="2217" spans="1:25" x14ac:dyDescent="0.2">
      <c r="A2217" s="93" t="s">
        <v>983</v>
      </c>
      <c r="B2217" s="94" t="str">
        <f>IFERROR(VLOOKUP($A2217,HeadJournal!$A$1:$NTR$890,COLUMN(HeadJournal!B$1),0),"")</f>
        <v>700000911965</v>
      </c>
      <c r="C2217" s="94" t="str">
        <f>IFERROR(VLOOKUP($A2217,HeadJournal!$A$1:$NTR$890,COLUMN(HeadJournal!C$1),0),"")</f>
        <v>iHerb_VP DFD1605</v>
      </c>
      <c r="D2217" s="125" t="str">
        <f>IFERROR(VLOOKUP($A2217,HeadJournal!$A$1:$NTR$890,COLUMN(HeadJournal!D$1),0),"")</f>
        <v>Доставлен</v>
      </c>
      <c r="E2217" s="95">
        <f>IFERROR(VLOOKUP($A2217,HeadJournal!$A$1:$NTR$890,COLUMN(HeadJournal!G$1),0),"")</f>
        <v>45192</v>
      </c>
      <c r="F2217" s="95" t="str">
        <f t="shared" si="174"/>
        <v>2023 09</v>
      </c>
      <c r="G2217" s="96" t="s">
        <v>6</v>
      </c>
      <c r="H2217" s="160" t="str">
        <f>RIGHT(Journal!$J2217,9)</f>
        <v>VPB-54130</v>
      </c>
      <c r="I2217" s="96" t="str">
        <f t="shared" si="176"/>
        <v>Vplab</v>
      </c>
      <c r="J2217" s="97" t="s">
        <v>275</v>
      </c>
      <c r="K2217" s="29">
        <v>16.829999999999998</v>
      </c>
      <c r="L2217" s="29">
        <v>-4.54</v>
      </c>
      <c r="M2217" s="30">
        <f>IFERROR(VLOOKUP($A2217,HeadJournal!$A$1:$J$890,COLUMN(HeadJournal!I$1),0)*($K2217+$L2217)/(SUMIF($A:$A,$A2217,$K:$K)+SUMIF($A:$A,$A2217,$L:$L)),0)</f>
        <v>-0.94044857399505943</v>
      </c>
      <c r="N2217" s="30">
        <f>IFERROR((VLOOKUP($A2217,HeadJournal!$A$1:$K$890,COLUMN(HeadJournal!K$1),0)-VLOOKUP($A2217,HeadJournal!$A$1:$K$890,COLUMN(HeadJournal!J$1),0))*($K2217+$L2217)/(SUMIF($A:$A,$A2217,$K:$K)+SUMIF($A:$A,$A2217,$L:$L)),0)</f>
        <v>0</v>
      </c>
      <c r="O2217" s="30">
        <f>IFERROR((VLOOKUP($A2217,HeadJournal!$A$1:$L$890,COLUMN(HeadJournal!L$1),0)*($K2217+$L2217)/(SUMIF($A:$A,$A2217,$K:$K)+SUMIF($A:$A,$A2217,$L:$L)))/VLOOKUP($A2217,HeadJournal!$A$1:$L$890,COLUMN(HeadJournal!H$1),0),0)</f>
        <v>0.41165228809541621</v>
      </c>
      <c r="P2217" s="30">
        <f>IFERROR(SUM(K2217:O2217)*VLOOKUP($A2217,HeadJournal!$A$1:$L$890,COLUMN(HeadJournal!H$1),0),0)</f>
        <v>1270.2100011228383</v>
      </c>
      <c r="Q2217" s="29">
        <v>2300</v>
      </c>
      <c r="R2217" s="31">
        <v>45518</v>
      </c>
      <c r="S2217" s="31" t="s">
        <v>3121</v>
      </c>
      <c r="T2217" s="95" t="str">
        <f t="shared" si="175"/>
        <v>2024 08</v>
      </c>
      <c r="U2217" s="32">
        <f t="shared" si="172"/>
        <v>1029.7899988771617</v>
      </c>
      <c r="V2217" s="22">
        <f t="shared" si="173"/>
        <v>0.81072420935660205</v>
      </c>
      <c r="X2217" s="33"/>
      <c r="Y2217" s="33"/>
    </row>
    <row r="2218" spans="1:25" x14ac:dyDescent="0.2">
      <c r="A2218" s="93" t="s">
        <v>983</v>
      </c>
      <c r="B2218" s="94" t="str">
        <f>IFERROR(VLOOKUP($A2218,HeadJournal!$A$1:$NTR$890,COLUMN(HeadJournal!B$1),0),"")</f>
        <v>700000911965</v>
      </c>
      <c r="C2218" s="94" t="str">
        <f>IFERROR(VLOOKUP($A2218,HeadJournal!$A$1:$NTR$890,COLUMN(HeadJournal!C$1),0),"")</f>
        <v>iHerb_VP DFD1605</v>
      </c>
      <c r="D2218" s="125" t="str">
        <f>IFERROR(VLOOKUP($A2218,HeadJournal!$A$1:$NTR$890,COLUMN(HeadJournal!D$1),0),"")</f>
        <v>Доставлен</v>
      </c>
      <c r="E2218" s="95">
        <f>IFERROR(VLOOKUP($A2218,HeadJournal!$A$1:$NTR$890,COLUMN(HeadJournal!G$1),0),"")</f>
        <v>45192</v>
      </c>
      <c r="F2218" s="95" t="str">
        <f t="shared" si="174"/>
        <v>2023 09</v>
      </c>
      <c r="G2218" s="96" t="s">
        <v>5</v>
      </c>
      <c r="H2218" s="161" t="s">
        <v>2836</v>
      </c>
      <c r="I2218" s="97" t="s">
        <v>2005</v>
      </c>
      <c r="J2218" s="97" t="s">
        <v>2837</v>
      </c>
      <c r="K2218" s="29">
        <v>10.6</v>
      </c>
      <c r="L2218" s="29">
        <v>-2.86</v>
      </c>
      <c r="M2218" s="30">
        <f>IFERROR(VLOOKUP($A2218,HeadJournal!$A$1:$J$890,COLUMN(HeadJournal!I$1),0)*($K2218+$L2218)/(SUMIF($A:$A,$A2218,$K:$K)+SUMIF($A:$A,$A2218,$L:$L)),0)</f>
        <v>-0.59227599371210427</v>
      </c>
      <c r="N2218" s="30">
        <f>IFERROR((VLOOKUP($A2218,HeadJournal!$A$1:$K$890,COLUMN(HeadJournal!K$1),0)-VLOOKUP($A2218,HeadJournal!$A$1:$K$890,COLUMN(HeadJournal!J$1),0))*($K2218+$L2218)/(SUMIF($A:$A,$A2218,$K:$K)+SUMIF($A:$A,$A2218,$L:$L)),0)</f>
        <v>0</v>
      </c>
      <c r="O2218" s="30">
        <f>IFERROR((VLOOKUP($A2218,HeadJournal!$A$1:$L$890,COLUMN(HeadJournal!L$1),0)*($K2218+$L2218)/(SUMIF($A:$A,$A2218,$K:$K)+SUMIF($A:$A,$A2218,$L:$L)))/VLOOKUP($A2218,HeadJournal!$A$1:$L$890,COLUMN(HeadJournal!H$1),0),0)</f>
        <v>0.25925050527734106</v>
      </c>
      <c r="P2218" s="30">
        <f>IFERROR(SUM(K2218:O2218)*VLOOKUP($A2218,HeadJournal!$A$1:$L$890,COLUMN(HeadJournal!H$1),0),0)</f>
        <v>799.95324724904549</v>
      </c>
      <c r="Q2218" s="29">
        <v>1450</v>
      </c>
      <c r="R2218" s="31">
        <v>45220</v>
      </c>
      <c r="S2218" s="31" t="s">
        <v>3121</v>
      </c>
      <c r="T2218" s="95" t="str">
        <f t="shared" si="175"/>
        <v>2023 10</v>
      </c>
      <c r="U2218" s="32">
        <f t="shared" si="172"/>
        <v>650.04675275095451</v>
      </c>
      <c r="V2218" s="22">
        <f t="shared" si="173"/>
        <v>0.81260593039205287</v>
      </c>
      <c r="X2218" s="33"/>
      <c r="Y2218" s="33"/>
    </row>
    <row r="2219" spans="1:25" x14ac:dyDescent="0.2">
      <c r="A2219" s="93" t="s">
        <v>983</v>
      </c>
      <c r="B2219" s="94" t="str">
        <f>IFERROR(VLOOKUP($A2219,HeadJournal!$A$1:$NTR$890,COLUMN(HeadJournal!B$1),0),"")</f>
        <v>700000911965</v>
      </c>
      <c r="C2219" s="94" t="str">
        <f>IFERROR(VLOOKUP($A2219,HeadJournal!$A$1:$NTR$890,COLUMN(HeadJournal!C$1),0),"")</f>
        <v>iHerb_VP DFD1605</v>
      </c>
      <c r="D2219" s="125" t="str">
        <f>IFERROR(VLOOKUP($A2219,HeadJournal!$A$1:$NTR$890,COLUMN(HeadJournal!D$1),0),"")</f>
        <v>Доставлен</v>
      </c>
      <c r="E2219" s="95">
        <f>IFERROR(VLOOKUP($A2219,HeadJournal!$A$1:$NTR$890,COLUMN(HeadJournal!G$1),0),"")</f>
        <v>45192</v>
      </c>
      <c r="F2219" s="95" t="str">
        <f t="shared" si="174"/>
        <v>2023 09</v>
      </c>
      <c r="G2219" s="96" t="s">
        <v>5</v>
      </c>
      <c r="H2219" s="160" t="str">
        <f>RIGHT(Journal!$J2219,9)</f>
        <v>NOR-01798</v>
      </c>
      <c r="I2219" s="96" t="str">
        <f t="shared" si="176"/>
        <v>Nordic Naturals</v>
      </c>
      <c r="J2219" s="97" t="s">
        <v>986</v>
      </c>
      <c r="K2219" s="29">
        <v>29.66</v>
      </c>
      <c r="L2219" s="29">
        <v>-8</v>
      </c>
      <c r="M2219" s="30">
        <f>IFERROR(VLOOKUP($A2219,HeadJournal!$A$1:$J$890,COLUMN(HeadJournal!I$1),0)*($K2219+$L2219)/(SUMIF($A:$A,$A2219,$K:$K)+SUMIF($A:$A,$A2219,$L:$L)),0)</f>
        <v>-1.6574545250392994</v>
      </c>
      <c r="N2219" s="30">
        <f>IFERROR((VLOOKUP($A2219,HeadJournal!$A$1:$K$890,COLUMN(HeadJournal!K$1),0)-VLOOKUP($A2219,HeadJournal!$A$1:$K$890,COLUMN(HeadJournal!J$1),0))*($K2219+$L2219)/(SUMIF($A:$A,$A2219,$K:$K)+SUMIF($A:$A,$A2219,$L:$L)),0)</f>
        <v>0</v>
      </c>
      <c r="O2219" s="30">
        <f>IFERROR((VLOOKUP($A2219,HeadJournal!$A$1:$L$890,COLUMN(HeadJournal!L$1),0)*($K2219+$L2219)/(SUMIF($A:$A,$A2219,$K:$K)+SUMIF($A:$A,$A2219,$L:$L)))/VLOOKUP($A2219,HeadJournal!$A$1:$L$890,COLUMN(HeadJournal!H$1),0),0)</f>
        <v>0.72549947600868314</v>
      </c>
      <c r="P2219" s="30">
        <f>IFERROR(SUM(K2219:O2219)*VLOOKUP($A2219,HeadJournal!$A$1:$L$890,COLUMN(HeadJournal!H$1),0),0)</f>
        <v>2238.6288547046934</v>
      </c>
      <c r="Q2219" s="29">
        <v>3500</v>
      </c>
      <c r="R2219" s="31">
        <v>45220</v>
      </c>
      <c r="S2219" s="31" t="s">
        <v>3121</v>
      </c>
      <c r="T2219" s="95" t="str">
        <f t="shared" si="175"/>
        <v>2023 10</v>
      </c>
      <c r="U2219" s="32">
        <f t="shared" si="172"/>
        <v>1261.3711452953066</v>
      </c>
      <c r="V2219" s="22">
        <f t="shared" si="173"/>
        <v>0.5634570208654347</v>
      </c>
      <c r="X2219" s="33"/>
      <c r="Y2219" s="33"/>
    </row>
    <row r="2220" spans="1:25" x14ac:dyDescent="0.2">
      <c r="A2220" s="93" t="s">
        <v>983</v>
      </c>
      <c r="B2220" s="94" t="str">
        <f>IFERROR(VLOOKUP($A2220,HeadJournal!$A$1:$NTR$890,COLUMN(HeadJournal!B$1),0),"")</f>
        <v>700000911965</v>
      </c>
      <c r="C2220" s="94" t="str">
        <f>IFERROR(VLOOKUP($A2220,HeadJournal!$A$1:$NTR$890,COLUMN(HeadJournal!C$1),0),"")</f>
        <v>iHerb_VP DFD1605</v>
      </c>
      <c r="D2220" s="125" t="str">
        <f>IFERROR(VLOOKUP($A2220,HeadJournal!$A$1:$NTR$890,COLUMN(HeadJournal!D$1),0),"")</f>
        <v>Доставлен</v>
      </c>
      <c r="E2220" s="95">
        <f>IFERROR(VLOOKUP($A2220,HeadJournal!$A$1:$NTR$890,COLUMN(HeadJournal!G$1),0),"")</f>
        <v>45192</v>
      </c>
      <c r="F2220" s="95" t="str">
        <f t="shared" si="174"/>
        <v>2023 09</v>
      </c>
      <c r="G2220" s="96" t="s">
        <v>5</v>
      </c>
      <c r="H2220" s="161" t="s">
        <v>3047</v>
      </c>
      <c r="I2220" s="97" t="s">
        <v>3048</v>
      </c>
      <c r="J2220" s="97" t="s">
        <v>3049</v>
      </c>
      <c r="K2220" s="29">
        <v>7.97</v>
      </c>
      <c r="L2220" s="29">
        <v>-2.15</v>
      </c>
      <c r="M2220" s="30">
        <f>IFERROR(VLOOKUP($A2220,HeadJournal!$A$1:$J$890,COLUMN(HeadJournal!I$1),0)*($K2220+$L2220)/(SUMIF($A:$A,$A2220,$K:$K)+SUMIF($A:$A,$A2220,$L:$L)),0)</f>
        <v>-0.44535481697731871</v>
      </c>
      <c r="N2220" s="30">
        <f>IFERROR((VLOOKUP($A2220,HeadJournal!$A$1:$K$890,COLUMN(HeadJournal!K$1),0)-VLOOKUP($A2220,HeadJournal!$A$1:$K$890,COLUMN(HeadJournal!J$1),0))*($K2220+$L2220)/(SUMIF($A:$A,$A2220,$K:$K)+SUMIF($A:$A,$A2220,$L:$L)),0)</f>
        <v>0</v>
      </c>
      <c r="O2220" s="30">
        <f>IFERROR((VLOOKUP($A2220,HeadJournal!$A$1:$L$890,COLUMN(HeadJournal!L$1),0)*($K2220+$L2220)/(SUMIF($A:$A,$A2220,$K:$K)+SUMIF($A:$A,$A2220,$L:$L)))/VLOOKUP($A2220,HeadJournal!$A$1:$L$890,COLUMN(HeadJournal!H$1),0),0)</f>
        <v>0.19494030241784563</v>
      </c>
      <c r="P2220" s="30">
        <f>IFERROR(SUM(K2220:O2220)*VLOOKUP($A2220,HeadJournal!$A$1:$L$890,COLUMN(HeadJournal!H$1),0),0)</f>
        <v>601.51523242757685</v>
      </c>
      <c r="Q2220" s="29">
        <v>1150</v>
      </c>
      <c r="R2220" s="31">
        <v>45220</v>
      </c>
      <c r="S2220" s="31" t="s">
        <v>3121</v>
      </c>
      <c r="T2220" s="95" t="str">
        <f t="shared" si="175"/>
        <v>2023 10</v>
      </c>
      <c r="U2220" s="32">
        <f t="shared" si="172"/>
        <v>548.48476757242315</v>
      </c>
      <c r="V2220" s="22">
        <f t="shared" si="173"/>
        <v>0.9118385337622541</v>
      </c>
      <c r="X2220" s="33"/>
      <c r="Y2220" s="33"/>
    </row>
    <row r="2221" spans="1:25" x14ac:dyDescent="0.2">
      <c r="A2221" s="93" t="s">
        <v>983</v>
      </c>
      <c r="B2221" s="94" t="str">
        <f>IFERROR(VLOOKUP($A2221,HeadJournal!$A$1:$NTR$890,COLUMN(HeadJournal!B$1),0),"")</f>
        <v>700000911965</v>
      </c>
      <c r="C2221" s="94" t="str">
        <f>IFERROR(VLOOKUP($A2221,HeadJournal!$A$1:$NTR$890,COLUMN(HeadJournal!C$1),0),"")</f>
        <v>iHerb_VP DFD1605</v>
      </c>
      <c r="D2221" s="125" t="str">
        <f>IFERROR(VLOOKUP($A2221,HeadJournal!$A$1:$NTR$890,COLUMN(HeadJournal!D$1),0),"")</f>
        <v>Доставлен</v>
      </c>
      <c r="E2221" s="95">
        <f>IFERROR(VLOOKUP($A2221,HeadJournal!$A$1:$NTR$890,COLUMN(HeadJournal!G$1),0),"")</f>
        <v>45192</v>
      </c>
      <c r="F2221" s="95" t="str">
        <f t="shared" si="174"/>
        <v>2023 09</v>
      </c>
      <c r="G2221" s="96" t="s">
        <v>5</v>
      </c>
      <c r="H2221" s="160" t="str">
        <f>RIGHT(Journal!$J2221,9)</f>
        <v>DRB-00273</v>
      </c>
      <c r="I2221" s="96" t="str">
        <f t="shared" si="176"/>
        <v>Doctor's Best</v>
      </c>
      <c r="J2221" s="97" t="s">
        <v>750</v>
      </c>
      <c r="K2221" s="29">
        <v>30.22</v>
      </c>
      <c r="L2221" s="29">
        <v>-8.15</v>
      </c>
      <c r="M2221" s="30">
        <f>IFERROR(VLOOKUP($A2221,HeadJournal!$A$1:$J$890,COLUMN(HeadJournal!I$1),0)*($K2221+$L2221)/(SUMIF($A:$A,$A2221,$K:$K)+SUMIF($A:$A,$A2221,$L:$L)),0)</f>
        <v>-1.6888283179878734</v>
      </c>
      <c r="N2221" s="30">
        <f>IFERROR((VLOOKUP($A2221,HeadJournal!$A$1:$K$890,COLUMN(HeadJournal!K$1),0)-VLOOKUP($A2221,HeadJournal!$A$1:$K$890,COLUMN(HeadJournal!J$1),0))*($K2221+$L2221)/(SUMIF($A:$A,$A2221,$K:$K)+SUMIF($A:$A,$A2221,$L:$L)),0)</f>
        <v>0</v>
      </c>
      <c r="O2221" s="30">
        <f>IFERROR((VLOOKUP($A2221,HeadJournal!$A$1:$L$890,COLUMN(HeadJournal!L$1),0)*($K2221+$L2221)/(SUMIF($A:$A,$A2221,$K:$K)+SUMIF($A:$A,$A2221,$L:$L)))/VLOOKUP($A2221,HeadJournal!$A$1:$L$890,COLUMN(HeadJournal!H$1),0),0)</f>
        <v>0.73923238391097135</v>
      </c>
      <c r="P2221" s="30">
        <f>IFERROR(SUM(K2221:O2221)*VLOOKUP($A2221,HeadJournal!$A$1:$L$890,COLUMN(HeadJournal!H$1),0),0)</f>
        <v>2281.0036391196945</v>
      </c>
      <c r="Q2221" s="29">
        <v>4000</v>
      </c>
      <c r="R2221" s="31">
        <v>45549</v>
      </c>
      <c r="S2221" s="31" t="s">
        <v>3121</v>
      </c>
      <c r="T2221" s="95" t="str">
        <f t="shared" si="175"/>
        <v>2024 09</v>
      </c>
      <c r="U2221" s="32">
        <f t="shared" si="172"/>
        <v>1718.9963608803055</v>
      </c>
      <c r="V2221" s="22">
        <f t="shared" si="173"/>
        <v>0.75361403699632679</v>
      </c>
      <c r="X2221" s="33"/>
      <c r="Y2221" s="33"/>
    </row>
    <row r="2222" spans="1:25" x14ac:dyDescent="0.2">
      <c r="A2222" s="93" t="s">
        <v>983</v>
      </c>
      <c r="B2222" s="94" t="str">
        <f>IFERROR(VLOOKUP($A2222,HeadJournal!$A$1:$NTR$890,COLUMN(HeadJournal!B$1),0),"")</f>
        <v>700000911965</v>
      </c>
      <c r="C2222" s="94" t="str">
        <f>IFERROR(VLOOKUP($A2222,HeadJournal!$A$1:$NTR$890,COLUMN(HeadJournal!C$1),0),"")</f>
        <v>iHerb_VP DFD1605</v>
      </c>
      <c r="D2222" s="125" t="str">
        <f>IFERROR(VLOOKUP($A2222,HeadJournal!$A$1:$NTR$890,COLUMN(HeadJournal!D$1),0),"")</f>
        <v>Доставлен</v>
      </c>
      <c r="E2222" s="95">
        <f>IFERROR(VLOOKUP($A2222,HeadJournal!$A$1:$NTR$890,COLUMN(HeadJournal!G$1),0),"")</f>
        <v>45192</v>
      </c>
      <c r="F2222" s="95" t="str">
        <f t="shared" si="174"/>
        <v>2023 09</v>
      </c>
      <c r="G2222" s="96" t="s">
        <v>5</v>
      </c>
      <c r="H2222" s="160" t="str">
        <f>RIGHT(Journal!$J2222,9)</f>
        <v>CAR-05083</v>
      </c>
      <c r="I2222" s="96" t="str">
        <f t="shared" si="176"/>
        <v>Carlson</v>
      </c>
      <c r="J2222" s="97" t="s">
        <v>987</v>
      </c>
      <c r="K2222" s="29">
        <v>11.35</v>
      </c>
      <c r="L2222" s="29">
        <v>-3.06</v>
      </c>
      <c r="M2222" s="30">
        <f>IFERROR(VLOOKUP($A2222,HeadJournal!$A$1:$J$890,COLUMN(HeadJournal!I$1),0)*($K2222+$L2222)/(SUMIF($A:$A,$A2222,$K:$K)+SUMIF($A:$A,$A2222,$L:$L)),0)</f>
        <v>-0.63436278913092292</v>
      </c>
      <c r="N2222" s="30">
        <f>IFERROR((VLOOKUP($A2222,HeadJournal!$A$1:$K$890,COLUMN(HeadJournal!K$1),0)-VLOOKUP($A2222,HeadJournal!$A$1:$K$890,COLUMN(HeadJournal!J$1),0))*($K2222+$L2222)/(SUMIF($A:$A,$A2222,$K:$K)+SUMIF($A:$A,$A2222,$L:$L)),0)</f>
        <v>0</v>
      </c>
      <c r="O2222" s="30">
        <f>IFERROR((VLOOKUP($A2222,HeadJournal!$A$1:$L$890,COLUMN(HeadJournal!L$1),0)*($K2222+$L2222)/(SUMIF($A:$A,$A2222,$K:$K)+SUMIF($A:$A,$A2222,$L:$L)))/VLOOKUP($A2222,HeadJournal!$A$1:$L$890,COLUMN(HeadJournal!H$1),0),0)</f>
        <v>0.27767269880480072</v>
      </c>
      <c r="P2222" s="30">
        <f>IFERROR(SUM(K2222:O2222)*VLOOKUP($A2222,HeadJournal!$A$1:$L$890,COLUMN(HeadJournal!H$1),0),0)</f>
        <v>856.79747024477876</v>
      </c>
      <c r="Q2222" s="29">
        <v>1400</v>
      </c>
      <c r="R2222" s="31">
        <v>45220</v>
      </c>
      <c r="S2222" s="31" t="s">
        <v>3121</v>
      </c>
      <c r="T2222" s="95" t="str">
        <f t="shared" si="175"/>
        <v>2023 10</v>
      </c>
      <c r="U2222" s="32">
        <f t="shared" si="172"/>
        <v>543.20252975522124</v>
      </c>
      <c r="V2222" s="22">
        <f t="shared" si="173"/>
        <v>0.63399175256672213</v>
      </c>
      <c r="X2222" s="33"/>
      <c r="Y2222" s="33"/>
    </row>
    <row r="2223" spans="1:25" x14ac:dyDescent="0.2">
      <c r="A2223" s="93" t="s">
        <v>983</v>
      </c>
      <c r="B2223" s="94" t="str">
        <f>IFERROR(VLOOKUP($A2223,HeadJournal!$A$1:$NTR$890,COLUMN(HeadJournal!B$1),0),"")</f>
        <v>700000911965</v>
      </c>
      <c r="C2223" s="94" t="str">
        <f>IFERROR(VLOOKUP($A2223,HeadJournal!$A$1:$NTR$890,COLUMN(HeadJournal!C$1),0),"")</f>
        <v>iHerb_VP DFD1605</v>
      </c>
      <c r="D2223" s="125" t="str">
        <f>IFERROR(VLOOKUP($A2223,HeadJournal!$A$1:$NTR$890,COLUMN(HeadJournal!D$1),0),"")</f>
        <v>Доставлен</v>
      </c>
      <c r="E2223" s="95">
        <f>IFERROR(VLOOKUP($A2223,HeadJournal!$A$1:$NTR$890,COLUMN(HeadJournal!G$1),0),"")</f>
        <v>45192</v>
      </c>
      <c r="F2223" s="95" t="str">
        <f t="shared" si="174"/>
        <v>2023 09</v>
      </c>
      <c r="G2223" s="96" t="s">
        <v>5</v>
      </c>
      <c r="H2223" s="160" t="str">
        <f>RIGHT(Journal!$J2223,9)</f>
        <v>CAR-10330</v>
      </c>
      <c r="I2223" s="96" t="str">
        <f t="shared" si="176"/>
        <v>Carlson</v>
      </c>
      <c r="J2223" s="97" t="s">
        <v>988</v>
      </c>
      <c r="K2223" s="29">
        <v>23.8</v>
      </c>
      <c r="L2223" s="29">
        <v>-6.42</v>
      </c>
      <c r="M2223" s="30">
        <f>IFERROR(VLOOKUP($A2223,HeadJournal!$A$1:$J$890,COLUMN(HeadJournal!I$1),0)*($K2223+$L2223)/(SUMIF($A:$A,$A2223,$K:$K)+SUMIF($A:$A,$A2223,$L:$L)),0)</f>
        <v>-1.3299427352346735</v>
      </c>
      <c r="N2223" s="30">
        <f>IFERROR((VLOOKUP($A2223,HeadJournal!$A$1:$K$890,COLUMN(HeadJournal!K$1),0)-VLOOKUP($A2223,HeadJournal!$A$1:$K$890,COLUMN(HeadJournal!J$1),0))*($K2223+$L2223)/(SUMIF($A:$A,$A2223,$K:$K)+SUMIF($A:$A,$A2223,$L:$L)),0)</f>
        <v>0</v>
      </c>
      <c r="O2223" s="30">
        <f>IFERROR((VLOOKUP($A2223,HeadJournal!$A$1:$L$890,COLUMN(HeadJournal!L$1),0)*($K2223+$L2223)/(SUMIF($A:$A,$A2223,$K:$K)+SUMIF($A:$A,$A2223,$L:$L)))/VLOOKUP($A2223,HeadJournal!$A$1:$L$890,COLUMN(HeadJournal!H$1),0),0)</f>
        <v>0.58214131546772463</v>
      </c>
      <c r="P2223" s="30">
        <f>IFERROR(SUM(K2223:O2223)*VLOOKUP($A2223,HeadJournal!$A$1:$L$890,COLUMN(HeadJournal!H$1),0),0)</f>
        <v>1796.2774466651695</v>
      </c>
      <c r="Q2223" s="29">
        <v>2900</v>
      </c>
      <c r="R2223" s="31">
        <v>45220</v>
      </c>
      <c r="S2223" s="31" t="s">
        <v>3121</v>
      </c>
      <c r="T2223" s="95" t="str">
        <f t="shared" si="175"/>
        <v>2023 10</v>
      </c>
      <c r="U2223" s="32">
        <f t="shared" si="172"/>
        <v>1103.7225533348305</v>
      </c>
      <c r="V2223" s="22">
        <f t="shared" si="173"/>
        <v>0.61444993109717927</v>
      </c>
      <c r="X2223" s="33"/>
      <c r="Y2223" s="33"/>
    </row>
    <row r="2224" spans="1:25" x14ac:dyDescent="0.2">
      <c r="A2224" s="93" t="s">
        <v>983</v>
      </c>
      <c r="B2224" s="94" t="str">
        <f>IFERROR(VLOOKUP($A2224,HeadJournal!$A$1:$NTR$890,COLUMN(HeadJournal!B$1),0),"")</f>
        <v>700000911965</v>
      </c>
      <c r="C2224" s="94" t="str">
        <f>IFERROR(VLOOKUP($A2224,HeadJournal!$A$1:$NTR$890,COLUMN(HeadJournal!C$1),0),"")</f>
        <v>iHerb_VP DFD1605</v>
      </c>
      <c r="D2224" s="125" t="str">
        <f>IFERROR(VLOOKUP($A2224,HeadJournal!$A$1:$NTR$890,COLUMN(HeadJournal!D$1),0),"")</f>
        <v>Доставлен</v>
      </c>
      <c r="E2224" s="95">
        <f>IFERROR(VLOOKUP($A2224,HeadJournal!$A$1:$NTR$890,COLUMN(HeadJournal!G$1),0),"")</f>
        <v>45192</v>
      </c>
      <c r="F2224" s="95" t="str">
        <f t="shared" si="174"/>
        <v>2023 09</v>
      </c>
      <c r="G2224" s="96" t="s">
        <v>5</v>
      </c>
      <c r="H2224" s="160" t="str">
        <f>RIGHT(Journal!$J2224,9)</f>
        <v>PTG-04309</v>
      </c>
      <c r="I2224" s="96" t="str">
        <f t="shared" si="176"/>
        <v>Natural Vitality</v>
      </c>
      <c r="J2224" s="97" t="s">
        <v>989</v>
      </c>
      <c r="K2224" s="29">
        <v>17.22</v>
      </c>
      <c r="L2224" s="29">
        <v>-4.6399999999999997</v>
      </c>
      <c r="M2224" s="30">
        <f>IFERROR(VLOOKUP($A2224,HeadJournal!$A$1:$J$890,COLUMN(HeadJournal!I$1),0)*($K2224+$L2224)/(SUMIF($A:$A,$A2224,$K:$K)+SUMIF($A:$A,$A2224,$L:$L)),0)</f>
        <v>-0.96263979339770933</v>
      </c>
      <c r="N2224" s="30">
        <f>IFERROR((VLOOKUP($A2224,HeadJournal!$A$1:$K$890,COLUMN(HeadJournal!K$1),0)-VLOOKUP($A2224,HeadJournal!$A$1:$K$890,COLUMN(HeadJournal!J$1),0))*($K2224+$L2224)/(SUMIF($A:$A,$A2224,$K:$K)+SUMIF($A:$A,$A2224,$L:$L)),0)</f>
        <v>0</v>
      </c>
      <c r="O2224" s="30">
        <f>IFERROR((VLOOKUP($A2224,HeadJournal!$A$1:$L$890,COLUMN(HeadJournal!L$1),0)*($K2224+$L2224)/(SUMIF($A:$A,$A2224,$K:$K)+SUMIF($A:$A,$A2224,$L:$L)))/VLOOKUP($A2224,HeadJournal!$A$1:$L$890,COLUMN(HeadJournal!H$1),0),0)</f>
        <v>0.42136580831898585</v>
      </c>
      <c r="P2224" s="30">
        <f>IFERROR(SUM(K2224:O2224)*VLOOKUP($A2224,HeadJournal!$A$1:$L$890,COLUMN(HeadJournal!H$1),0),0)</f>
        <v>1300.1824096114976</v>
      </c>
      <c r="Q2224" s="29">
        <v>2300</v>
      </c>
      <c r="R2224" s="31">
        <v>45220</v>
      </c>
      <c r="S2224" s="31" t="s">
        <v>3121</v>
      </c>
      <c r="T2224" s="95" t="str">
        <f t="shared" si="175"/>
        <v>2023 10</v>
      </c>
      <c r="U2224" s="32">
        <f t="shared" si="172"/>
        <v>999.81759038850237</v>
      </c>
      <c r="V2224" s="22">
        <f t="shared" si="173"/>
        <v>0.76898255429194273</v>
      </c>
      <c r="X2224" s="33"/>
      <c r="Y2224" s="33"/>
    </row>
    <row r="2225" spans="1:25" x14ac:dyDescent="0.2">
      <c r="A2225" s="93" t="s">
        <v>990</v>
      </c>
      <c r="B2225" s="94">
        <f>IFERROR(VLOOKUP($A2225,HeadJournal!$A$1:$NTR$890,COLUMN(HeadJournal!B$1),0),"")</f>
        <v>0</v>
      </c>
      <c r="C2225" s="94" t="str">
        <f>IFERROR(VLOOKUP($A2225,HeadJournal!$A$1:$NTR$890,COLUMN(HeadJournal!C$1),0),"")</f>
        <v>OZON_ДС</v>
      </c>
      <c r="D2225" s="125" t="str">
        <f>IFERROR(VLOOKUP($A2225,HeadJournal!$A$1:$NTR$890,COLUMN(HeadJournal!D$1),0),"")</f>
        <v>Доставлен</v>
      </c>
      <c r="E2225" s="95">
        <f>IFERROR(VLOOKUP($A2225,HeadJournal!$A$1:$NTR$890,COLUMN(HeadJournal!G$1),0),"")</f>
        <v>45192</v>
      </c>
      <c r="F2225" s="95" t="str">
        <f t="shared" si="174"/>
        <v>2023 09</v>
      </c>
      <c r="G2225" s="96" t="s">
        <v>6</v>
      </c>
      <c r="H2225" s="160" t="str">
        <f>RIGHT(Journal!$J2225,9)</f>
        <v>960689838</v>
      </c>
      <c r="I2225" s="96" t="str">
        <f t="shared" si="176"/>
        <v>Гантели-В-Деле</v>
      </c>
      <c r="J2225" s="97" t="s">
        <v>991</v>
      </c>
      <c r="K2225" s="29">
        <v>4055</v>
      </c>
      <c r="L2225" s="29">
        <v>0</v>
      </c>
      <c r="M2225" s="30">
        <f>IFERROR(VLOOKUP($A2225,HeadJournal!$A$1:$J$890,COLUMN(HeadJournal!I$1),0)*($K2225+$L2225)/(SUMIF($A:$A,$A2225,$K:$K)+SUMIF($A:$A,$A2225,$L:$L)),0)</f>
        <v>0</v>
      </c>
      <c r="N2225" s="30">
        <f>IFERROR((VLOOKUP($A2225,HeadJournal!$A$1:$K$890,COLUMN(HeadJournal!K$1),0)-VLOOKUP($A2225,HeadJournal!$A$1:$K$890,COLUMN(HeadJournal!J$1),0))*($K2225+$L2225)/(SUMIF($A:$A,$A2225,$K:$K)+SUMIF($A:$A,$A2225,$L:$L)),0)</f>
        <v>0</v>
      </c>
      <c r="O2225" s="30">
        <f>IFERROR((VLOOKUP($A2225,HeadJournal!$A$1:$L$890,COLUMN(HeadJournal!L$1),0)*($K2225+$L2225)/(SUMIF($A:$A,$A2225,$K:$K)+SUMIF($A:$A,$A2225,$L:$L)))/VLOOKUP($A2225,HeadJournal!$A$1:$L$890,COLUMN(HeadJournal!H$1),0),0)</f>
        <v>1000</v>
      </c>
      <c r="P2225" s="30">
        <f>IFERROR(SUM(K2225:O2225)*VLOOKUP($A2225,HeadJournal!$A$1:$L$890,COLUMN(HeadJournal!H$1),0),0)</f>
        <v>5055</v>
      </c>
      <c r="Q2225" s="29">
        <v>6500</v>
      </c>
      <c r="R2225" s="31">
        <v>45200</v>
      </c>
      <c r="S2225" s="31" t="s">
        <v>3121</v>
      </c>
      <c r="T2225" s="95" t="str">
        <f t="shared" si="175"/>
        <v>2023 10</v>
      </c>
      <c r="U2225" s="32">
        <f t="shared" si="172"/>
        <v>1445</v>
      </c>
      <c r="V2225" s="22">
        <f t="shared" si="173"/>
        <v>0.28585558852621168</v>
      </c>
      <c r="X2225" s="33"/>
      <c r="Y2225" s="33"/>
    </row>
    <row r="2226" spans="1:25" x14ac:dyDescent="0.2">
      <c r="A2226" s="93" t="s">
        <v>992</v>
      </c>
      <c r="B2226" s="94">
        <f>IFERROR(VLOOKUP($A2226,HeadJournal!$A$1:$NTR$890,COLUMN(HeadJournal!B$1),0),"")</f>
        <v>0</v>
      </c>
      <c r="C2226" s="94" t="str">
        <f>IFERROR(VLOOKUP($A2226,HeadJournal!$A$1:$NTR$890,COLUMN(HeadJournal!C$1),0),"")</f>
        <v>WBRS</v>
      </c>
      <c r="D2226" s="125" t="str">
        <f>IFERROR(VLOOKUP($A2226,HeadJournal!$A$1:$NTR$890,COLUMN(HeadJournal!D$1),0),"")</f>
        <v>Доставлен</v>
      </c>
      <c r="E2226" s="95">
        <f>IFERROR(VLOOKUP($A2226,HeadJournal!$A$1:$NTR$890,COLUMN(HeadJournal!G$1),0),"")</f>
        <v>45194</v>
      </c>
      <c r="F2226" s="95" t="str">
        <f t="shared" si="174"/>
        <v>2023 09</v>
      </c>
      <c r="G2226" s="96" t="s">
        <v>6</v>
      </c>
      <c r="H2226" s="160" t="str">
        <f>RIGHT(Journal!$J2226,9)</f>
        <v xml:space="preserve"> 43392039</v>
      </c>
      <c r="I2226" s="96" t="str">
        <f t="shared" si="176"/>
        <v>RUSHAKER</v>
      </c>
      <c r="J2226" s="97" t="s">
        <v>993</v>
      </c>
      <c r="K2226" s="29">
        <v>319</v>
      </c>
      <c r="L2226" s="29">
        <v>0</v>
      </c>
      <c r="M2226" s="30">
        <f>IFERROR(VLOOKUP($A2226,HeadJournal!$A$1:$J$890,COLUMN(HeadJournal!I$1),0)*($K2226+$L2226)/(SUMIF($A:$A,$A2226,$K:$K)+SUMIF($A:$A,$A2226,$L:$L)),0)</f>
        <v>0</v>
      </c>
      <c r="N2226" s="30">
        <f>IFERROR((VLOOKUP($A2226,HeadJournal!$A$1:$K$890,COLUMN(HeadJournal!K$1),0)-VLOOKUP($A2226,HeadJournal!$A$1:$K$890,COLUMN(HeadJournal!J$1),0))*($K2226+$L2226)/(SUMIF($A:$A,$A2226,$K:$K)+SUMIF($A:$A,$A2226,$L:$L)),0)</f>
        <v>0</v>
      </c>
      <c r="O2226" s="30">
        <f>IFERROR((VLOOKUP($A2226,HeadJournal!$A$1:$L$890,COLUMN(HeadJournal!L$1),0)*($K2226+$L2226)/(SUMIF($A:$A,$A2226,$K:$K)+SUMIF($A:$A,$A2226,$L:$L)))/VLOOKUP($A2226,HeadJournal!$A$1:$L$890,COLUMN(HeadJournal!H$1),0),0)</f>
        <v>31.900000000000002</v>
      </c>
      <c r="P2226" s="30">
        <f>IFERROR(SUM(K2226:O2226)*VLOOKUP($A2226,HeadJournal!$A$1:$L$890,COLUMN(HeadJournal!H$1),0),0)</f>
        <v>350.9</v>
      </c>
      <c r="Q2226" s="29">
        <v>550</v>
      </c>
      <c r="R2226" s="31">
        <v>45200</v>
      </c>
      <c r="S2226" s="31" t="s">
        <v>3121</v>
      </c>
      <c r="T2226" s="95" t="str">
        <f t="shared" si="175"/>
        <v>2023 10</v>
      </c>
      <c r="U2226" s="32">
        <f t="shared" si="172"/>
        <v>199.10000000000002</v>
      </c>
      <c r="V2226" s="22">
        <f t="shared" si="173"/>
        <v>0.56739811912225713</v>
      </c>
      <c r="X2226" s="33"/>
      <c r="Y2226" s="33"/>
    </row>
    <row r="2227" spans="1:25" x14ac:dyDescent="0.2">
      <c r="A2227" s="93" t="s">
        <v>994</v>
      </c>
      <c r="B2227" s="94">
        <f>IFERROR(VLOOKUP($A2227,HeadJournal!$A$1:$NTR$890,COLUMN(HeadJournal!B$1),0),"")</f>
        <v>0</v>
      </c>
      <c r="C2227" s="94" t="str">
        <f>IFERROR(VLOOKUP($A2227,HeadJournal!$A$1:$NTR$890,COLUMN(HeadJournal!C$1),0),"")</f>
        <v>WBRS</v>
      </c>
      <c r="D2227" s="125" t="str">
        <f>IFERROR(VLOOKUP($A2227,HeadJournal!$A$1:$NTR$890,COLUMN(HeadJournal!D$1),0),"")</f>
        <v>Доставлен</v>
      </c>
      <c r="E2227" s="95">
        <f>IFERROR(VLOOKUP($A2227,HeadJournal!$A$1:$NTR$890,COLUMN(HeadJournal!G$1),0),"")</f>
        <v>45194</v>
      </c>
      <c r="F2227" s="95" t="str">
        <f t="shared" si="174"/>
        <v>2023 09</v>
      </c>
      <c r="G2227" s="96" t="s">
        <v>6</v>
      </c>
      <c r="H2227" s="160" t="str">
        <f>RIGHT(Journal!$J2227,9)</f>
        <v>141847876</v>
      </c>
      <c r="I2227" s="96" t="str">
        <f t="shared" si="176"/>
        <v>IVEKA SHOP</v>
      </c>
      <c r="J2227" s="97" t="s">
        <v>995</v>
      </c>
      <c r="K2227" s="29">
        <v>374</v>
      </c>
      <c r="L2227" s="29">
        <v>0</v>
      </c>
      <c r="M2227" s="30">
        <f>IFERROR(VLOOKUP($A2227,HeadJournal!$A$1:$J$890,COLUMN(HeadJournal!I$1),0)*($K2227+$L2227)/(SUMIF($A:$A,$A2227,$K:$K)+SUMIF($A:$A,$A2227,$L:$L)),0)</f>
        <v>0</v>
      </c>
      <c r="N2227" s="30">
        <f>IFERROR((VLOOKUP($A2227,HeadJournal!$A$1:$K$890,COLUMN(HeadJournal!K$1),0)-VLOOKUP($A2227,HeadJournal!$A$1:$K$890,COLUMN(HeadJournal!J$1),0))*($K2227+$L2227)/(SUMIF($A:$A,$A2227,$K:$K)+SUMIF($A:$A,$A2227,$L:$L)),0)</f>
        <v>0</v>
      </c>
      <c r="O2227" s="30">
        <f>IFERROR((VLOOKUP($A2227,HeadJournal!$A$1:$L$890,COLUMN(HeadJournal!L$1),0)*($K2227+$L2227)/(SUMIF($A:$A,$A2227,$K:$K)+SUMIF($A:$A,$A2227,$L:$L)))/VLOOKUP($A2227,HeadJournal!$A$1:$L$890,COLUMN(HeadJournal!H$1),0),0)</f>
        <v>37.4</v>
      </c>
      <c r="P2227" s="30">
        <f>IFERROR(SUM(K2227:O2227)*VLOOKUP($A2227,HeadJournal!$A$1:$L$890,COLUMN(HeadJournal!H$1),0),0)</f>
        <v>411.4</v>
      </c>
      <c r="Q2227" s="29">
        <v>600</v>
      </c>
      <c r="R2227" s="31">
        <v>45230</v>
      </c>
      <c r="S2227" s="31" t="s">
        <v>3121</v>
      </c>
      <c r="T2227" s="95" t="str">
        <f t="shared" si="175"/>
        <v>2023 10</v>
      </c>
      <c r="U2227" s="32">
        <f t="shared" si="172"/>
        <v>188.60000000000002</v>
      </c>
      <c r="V2227" s="22">
        <f t="shared" si="173"/>
        <v>0.4584346135148275</v>
      </c>
      <c r="X2227" s="33"/>
      <c r="Y2227" s="33"/>
    </row>
    <row r="2228" spans="1:25" x14ac:dyDescent="0.2">
      <c r="A2228" s="93" t="s">
        <v>996</v>
      </c>
      <c r="B2228" s="94">
        <f>IFERROR(VLOOKUP($A2228,HeadJournal!$A$1:$NTR$890,COLUMN(HeadJournal!B$1),0),"")</f>
        <v>0</v>
      </c>
      <c r="C2228" s="94" t="str">
        <f>IFERROR(VLOOKUP($A2228,HeadJournal!$A$1:$NTR$890,COLUMN(HeadJournal!C$1),0),"")</f>
        <v>WBRS</v>
      </c>
      <c r="D2228" s="125" t="str">
        <f>IFERROR(VLOOKUP($A2228,HeadJournal!$A$1:$NTR$890,COLUMN(HeadJournal!D$1),0),"")</f>
        <v>Доставлен</v>
      </c>
      <c r="E2228" s="95">
        <f>IFERROR(VLOOKUP($A2228,HeadJournal!$A$1:$NTR$890,COLUMN(HeadJournal!G$1),0),"")</f>
        <v>45194</v>
      </c>
      <c r="F2228" s="95" t="str">
        <f t="shared" si="174"/>
        <v>2023 09</v>
      </c>
      <c r="G2228" s="96" t="s">
        <v>6</v>
      </c>
      <c r="H2228" s="160" t="str">
        <f>RIGHT(Journal!$J2228,9)</f>
        <v>018915125</v>
      </c>
      <c r="I2228" s="96" t="str">
        <f t="shared" si="176"/>
        <v>RUSHAKER</v>
      </c>
      <c r="J2228" s="97" t="s">
        <v>997</v>
      </c>
      <c r="K2228" s="29">
        <v>321</v>
      </c>
      <c r="L2228" s="29">
        <v>0</v>
      </c>
      <c r="M2228" s="30">
        <f>IFERROR(VLOOKUP($A2228,HeadJournal!$A$1:$J$890,COLUMN(HeadJournal!I$1),0)*($K2228+$L2228)/(SUMIF($A:$A,$A2228,$K:$K)+SUMIF($A:$A,$A2228,$L:$L)),0)</f>
        <v>0</v>
      </c>
      <c r="N2228" s="30">
        <f>IFERROR((VLOOKUP($A2228,HeadJournal!$A$1:$K$890,COLUMN(HeadJournal!K$1),0)-VLOOKUP($A2228,HeadJournal!$A$1:$K$890,COLUMN(HeadJournal!J$1),0))*($K2228+$L2228)/(SUMIF($A:$A,$A2228,$K:$K)+SUMIF($A:$A,$A2228,$L:$L)),0)</f>
        <v>0</v>
      </c>
      <c r="O2228" s="30">
        <f>IFERROR((VLOOKUP($A2228,HeadJournal!$A$1:$L$890,COLUMN(HeadJournal!L$1),0)*($K2228+$L2228)/(SUMIF($A:$A,$A2228,$K:$K)+SUMIF($A:$A,$A2228,$L:$L)))/VLOOKUP($A2228,HeadJournal!$A$1:$L$890,COLUMN(HeadJournal!H$1),0),0)</f>
        <v>32.1</v>
      </c>
      <c r="P2228" s="30">
        <f>IFERROR(SUM(K2228:O2228)*VLOOKUP($A2228,HeadJournal!$A$1:$L$890,COLUMN(HeadJournal!H$1),0),0)</f>
        <v>353.1</v>
      </c>
      <c r="Q2228" s="29">
        <v>600</v>
      </c>
      <c r="R2228" s="31">
        <v>45205</v>
      </c>
      <c r="S2228" s="31" t="s">
        <v>3121</v>
      </c>
      <c r="T2228" s="95" t="str">
        <f t="shared" si="175"/>
        <v>2023 10</v>
      </c>
      <c r="U2228" s="32">
        <f t="shared" si="172"/>
        <v>246.89999999999998</v>
      </c>
      <c r="V2228" s="22">
        <f t="shared" si="173"/>
        <v>0.69923534409515709</v>
      </c>
      <c r="X2228" s="33"/>
      <c r="Y2228" s="33"/>
    </row>
    <row r="2229" spans="1:25" x14ac:dyDescent="0.2">
      <c r="A2229" s="93" t="s">
        <v>998</v>
      </c>
      <c r="B2229" s="94">
        <f>IFERROR(VLOOKUP($A2229,HeadJournal!$A$1:$NTR$890,COLUMN(HeadJournal!B$1),0),"")</f>
        <v>0</v>
      </c>
      <c r="C2229" s="94" t="str">
        <f>IFERROR(VLOOKUP($A2229,HeadJournal!$A$1:$NTR$890,COLUMN(HeadJournal!C$1),0),"")</f>
        <v>WBRS</v>
      </c>
      <c r="D2229" s="125" t="str">
        <f>IFERROR(VLOOKUP($A2229,HeadJournal!$A$1:$NTR$890,COLUMN(HeadJournal!D$1),0),"")</f>
        <v>Доставлен</v>
      </c>
      <c r="E2229" s="95">
        <f>IFERROR(VLOOKUP($A2229,HeadJournal!$A$1:$NTR$890,COLUMN(HeadJournal!G$1),0),"")</f>
        <v>45194</v>
      </c>
      <c r="F2229" s="95" t="str">
        <f t="shared" si="174"/>
        <v>2023 09</v>
      </c>
      <c r="G2229" s="96" t="s">
        <v>6</v>
      </c>
      <c r="H2229" s="160" t="str">
        <f>RIGHT(Journal!$J2229,9)</f>
        <v>077563285</v>
      </c>
      <c r="I2229" s="96" t="str">
        <f t="shared" si="176"/>
        <v>Cult</v>
      </c>
      <c r="J2229" s="97" t="s">
        <v>3517</v>
      </c>
      <c r="K2229" s="29">
        <v>1432</v>
      </c>
      <c r="L2229" s="29">
        <v>0</v>
      </c>
      <c r="M2229" s="30">
        <f>IFERROR(VLOOKUP($A2229,HeadJournal!$A$1:$J$890,COLUMN(HeadJournal!I$1),0)*($K2229+$L2229)/(SUMIF($A:$A,$A2229,$K:$K)+SUMIF($A:$A,$A2229,$L:$L)),0)</f>
        <v>0</v>
      </c>
      <c r="N2229" s="30">
        <f>IFERROR((VLOOKUP($A2229,HeadJournal!$A$1:$K$890,COLUMN(HeadJournal!K$1),0)-VLOOKUP($A2229,HeadJournal!$A$1:$K$890,COLUMN(HeadJournal!J$1),0))*($K2229+$L2229)/(SUMIF($A:$A,$A2229,$K:$K)+SUMIF($A:$A,$A2229,$L:$L)),0)</f>
        <v>0</v>
      </c>
      <c r="O2229" s="30">
        <f>IFERROR((VLOOKUP($A2229,HeadJournal!$A$1:$L$890,COLUMN(HeadJournal!L$1),0)*($K2229+$L2229)/(SUMIF($A:$A,$A2229,$K:$K)+SUMIF($A:$A,$A2229,$L:$L)))/VLOOKUP($A2229,HeadJournal!$A$1:$L$890,COLUMN(HeadJournal!H$1),0),0)</f>
        <v>143.20000000000002</v>
      </c>
      <c r="P2229" s="30">
        <f>IFERROR(SUM(K2229:O2229)*VLOOKUP($A2229,HeadJournal!$A$1:$L$890,COLUMN(HeadJournal!H$1),0),0)</f>
        <v>1575.2</v>
      </c>
      <c r="Q2229" s="29">
        <v>3000</v>
      </c>
      <c r="R2229" s="31">
        <v>45208</v>
      </c>
      <c r="S2229" s="31" t="s">
        <v>3121</v>
      </c>
      <c r="T2229" s="95" t="str">
        <f t="shared" si="175"/>
        <v>2023 10</v>
      </c>
      <c r="U2229" s="32">
        <f t="shared" si="172"/>
        <v>1424.8</v>
      </c>
      <c r="V2229" s="22">
        <f t="shared" si="173"/>
        <v>0.90452006094464188</v>
      </c>
      <c r="X2229" s="33"/>
      <c r="Y2229" s="33"/>
    </row>
    <row r="2230" spans="1:25" x14ac:dyDescent="0.2">
      <c r="A2230" s="93" t="s">
        <v>999</v>
      </c>
      <c r="B2230" s="94">
        <f>IFERROR(VLOOKUP($A2230,HeadJournal!$A$1:$NTR$890,COLUMN(HeadJournal!B$1),0),"")</f>
        <v>0</v>
      </c>
      <c r="C2230" s="94" t="str">
        <f>IFERROR(VLOOKUP($A2230,HeadJournal!$A$1:$NTR$890,COLUMN(HeadJournal!C$1),0),"")</f>
        <v>WBRS</v>
      </c>
      <c r="D2230" s="125" t="str">
        <f>IFERROR(VLOOKUP($A2230,HeadJournal!$A$1:$NTR$890,COLUMN(HeadJournal!D$1),0),"")</f>
        <v>Доставлен</v>
      </c>
      <c r="E2230" s="95">
        <f>IFERROR(VLOOKUP($A2230,HeadJournal!$A$1:$NTR$890,COLUMN(HeadJournal!G$1),0),"")</f>
        <v>45194</v>
      </c>
      <c r="F2230" s="95" t="str">
        <f t="shared" si="174"/>
        <v>2023 09</v>
      </c>
      <c r="G2230" s="96" t="s">
        <v>6</v>
      </c>
      <c r="H2230" s="160" t="str">
        <f>RIGHT(Journal!$J2230,9)</f>
        <v>090854722</v>
      </c>
      <c r="I2230" s="96" t="str">
        <f t="shared" si="176"/>
        <v>Space Nutrition</v>
      </c>
      <c r="J2230" s="97" t="s">
        <v>1000</v>
      </c>
      <c r="K2230" s="29">
        <v>299</v>
      </c>
      <c r="L2230" s="29">
        <v>0</v>
      </c>
      <c r="M2230" s="30">
        <f>IFERROR(VLOOKUP($A2230,HeadJournal!$A$1:$J$890,COLUMN(HeadJournal!I$1),0)*($K2230+$L2230)/(SUMIF($A:$A,$A2230,$K:$K)+SUMIF($A:$A,$A2230,$L:$L)),0)</f>
        <v>0</v>
      </c>
      <c r="N2230" s="30">
        <f>IFERROR((VLOOKUP($A2230,HeadJournal!$A$1:$K$890,COLUMN(HeadJournal!K$1),0)-VLOOKUP($A2230,HeadJournal!$A$1:$K$890,COLUMN(HeadJournal!J$1),0))*($K2230+$L2230)/(SUMIF($A:$A,$A2230,$K:$K)+SUMIF($A:$A,$A2230,$L:$L)),0)</f>
        <v>0</v>
      </c>
      <c r="O2230" s="30">
        <f>IFERROR((VLOOKUP($A2230,HeadJournal!$A$1:$L$890,COLUMN(HeadJournal!L$1),0)*($K2230+$L2230)/(SUMIF($A:$A,$A2230,$K:$K)+SUMIF($A:$A,$A2230,$L:$L)))/VLOOKUP($A2230,HeadJournal!$A$1:$L$890,COLUMN(HeadJournal!H$1),0),0)</f>
        <v>29.900000000000002</v>
      </c>
      <c r="P2230" s="30">
        <f>IFERROR(SUM(K2230:O2230)*VLOOKUP($A2230,HeadJournal!$A$1:$L$890,COLUMN(HeadJournal!H$1),0),0)</f>
        <v>328.9</v>
      </c>
      <c r="Q2230" s="29">
        <v>600</v>
      </c>
      <c r="R2230" s="31">
        <v>45232</v>
      </c>
      <c r="S2230" s="31" t="s">
        <v>3121</v>
      </c>
      <c r="T2230" s="95" t="str">
        <f t="shared" si="175"/>
        <v>2023 11</v>
      </c>
      <c r="U2230" s="32">
        <f t="shared" si="172"/>
        <v>271.10000000000002</v>
      </c>
      <c r="V2230" s="22">
        <f t="shared" si="173"/>
        <v>0.8242626938279114</v>
      </c>
      <c r="X2230" s="33"/>
      <c r="Y2230" s="33"/>
    </row>
    <row r="2231" spans="1:25" x14ac:dyDescent="0.2">
      <c r="A2231" s="93" t="s">
        <v>1001</v>
      </c>
      <c r="B2231" s="94">
        <f>IFERROR(VLOOKUP($A2231,HeadJournal!$A$1:$NTR$890,COLUMN(HeadJournal!B$1),0),"")</f>
        <v>0</v>
      </c>
      <c r="C2231" s="94" t="str">
        <f>IFERROR(VLOOKUP($A2231,HeadJournal!$A$1:$NTR$890,COLUMN(HeadJournal!C$1),0),"")</f>
        <v>WBRS</v>
      </c>
      <c r="D2231" s="125" t="str">
        <f>IFERROR(VLOOKUP($A2231,HeadJournal!$A$1:$NTR$890,COLUMN(HeadJournal!D$1),0),"")</f>
        <v>Доставлен</v>
      </c>
      <c r="E2231" s="95">
        <f>IFERROR(VLOOKUP($A2231,HeadJournal!$A$1:$NTR$890,COLUMN(HeadJournal!G$1),0),"")</f>
        <v>45194</v>
      </c>
      <c r="F2231" s="95" t="str">
        <f t="shared" si="174"/>
        <v>2023 09</v>
      </c>
      <c r="G2231" s="96" t="s">
        <v>6</v>
      </c>
      <c r="H2231" s="160" t="str">
        <f>RIGHT(Journal!$J2231,9)</f>
        <v>154871633</v>
      </c>
      <c r="I2231" s="96" t="str">
        <f t="shared" si="176"/>
        <v>Elianware</v>
      </c>
      <c r="J2231" s="97" t="s">
        <v>1002</v>
      </c>
      <c r="K2231" s="29">
        <v>267</v>
      </c>
      <c r="L2231" s="29">
        <v>0</v>
      </c>
      <c r="M2231" s="30">
        <f>IFERROR(VLOOKUP($A2231,HeadJournal!$A$1:$J$890,COLUMN(HeadJournal!I$1),0)*($K2231+$L2231)/(SUMIF($A:$A,$A2231,$K:$K)+SUMIF($A:$A,$A2231,$L:$L)),0)</f>
        <v>0</v>
      </c>
      <c r="N2231" s="30">
        <f>IFERROR((VLOOKUP($A2231,HeadJournal!$A$1:$K$890,COLUMN(HeadJournal!K$1),0)-VLOOKUP($A2231,HeadJournal!$A$1:$K$890,COLUMN(HeadJournal!J$1),0))*($K2231+$L2231)/(SUMIF($A:$A,$A2231,$K:$K)+SUMIF($A:$A,$A2231,$L:$L)),0)</f>
        <v>0</v>
      </c>
      <c r="O2231" s="30">
        <f>IFERROR((VLOOKUP($A2231,HeadJournal!$A$1:$L$890,COLUMN(HeadJournal!L$1),0)*($K2231+$L2231)/(SUMIF($A:$A,$A2231,$K:$K)+SUMIF($A:$A,$A2231,$L:$L)))/VLOOKUP($A2231,HeadJournal!$A$1:$L$890,COLUMN(HeadJournal!H$1),0),0)</f>
        <v>26.700000000000003</v>
      </c>
      <c r="P2231" s="30">
        <f>IFERROR(SUM(K2231:O2231)*VLOOKUP($A2231,HeadJournal!$A$1:$L$890,COLUMN(HeadJournal!H$1),0),0)</f>
        <v>293.7</v>
      </c>
      <c r="Q2231" s="29">
        <v>500</v>
      </c>
      <c r="R2231" s="31">
        <v>45340</v>
      </c>
      <c r="S2231" s="31" t="s">
        <v>3121</v>
      </c>
      <c r="T2231" s="95" t="str">
        <f t="shared" si="175"/>
        <v>2024 02</v>
      </c>
      <c r="U2231" s="32">
        <f t="shared" si="172"/>
        <v>206.3</v>
      </c>
      <c r="V2231" s="22">
        <f t="shared" si="173"/>
        <v>0.70241743275451152</v>
      </c>
      <c r="X2231" s="33"/>
      <c r="Y2231" s="33"/>
    </row>
    <row r="2232" spans="1:25" x14ac:dyDescent="0.2">
      <c r="A2232" s="93" t="s">
        <v>1003</v>
      </c>
      <c r="B2232" s="94">
        <f>IFERROR(VLOOKUP($A2232,HeadJournal!$A$1:$NTR$890,COLUMN(HeadJournal!B$1),0),"")</f>
        <v>0</v>
      </c>
      <c r="C2232" s="94" t="str">
        <f>IFERROR(VLOOKUP($A2232,HeadJournal!$A$1:$NTR$890,COLUMN(HeadJournal!C$1),0),"")</f>
        <v>WBRS</v>
      </c>
      <c r="D2232" s="125" t="str">
        <f>IFERROR(VLOOKUP($A2232,HeadJournal!$A$1:$NTR$890,COLUMN(HeadJournal!D$1),0),"")</f>
        <v>Доставлен</v>
      </c>
      <c r="E2232" s="95">
        <f>IFERROR(VLOOKUP($A2232,HeadJournal!$A$1:$NTR$890,COLUMN(HeadJournal!G$1),0),"")</f>
        <v>45194</v>
      </c>
      <c r="F2232" s="95" t="str">
        <f t="shared" si="174"/>
        <v>2023 09</v>
      </c>
      <c r="G2232" s="96" t="s">
        <v>6</v>
      </c>
      <c r="H2232" s="175" t="s">
        <v>3636</v>
      </c>
      <c r="I2232" s="176" t="s">
        <v>3680</v>
      </c>
      <c r="J2232" s="97" t="s">
        <v>3681</v>
      </c>
      <c r="K2232" s="29">
        <v>374</v>
      </c>
      <c r="L2232" s="29">
        <v>0</v>
      </c>
      <c r="M2232" s="30">
        <f>IFERROR(VLOOKUP($A2232,HeadJournal!$A$1:$J$890,COLUMN(HeadJournal!I$1),0)*($K2232+$L2232)/(SUMIF($A:$A,$A2232,$K:$K)+SUMIF($A:$A,$A2232,$L:$L)),0)</f>
        <v>0</v>
      </c>
      <c r="N2232" s="30">
        <f>IFERROR((VLOOKUP($A2232,HeadJournal!$A$1:$K$890,COLUMN(HeadJournal!K$1),0)-VLOOKUP($A2232,HeadJournal!$A$1:$K$890,COLUMN(HeadJournal!J$1),0))*($K2232+$L2232)/(SUMIF($A:$A,$A2232,$K:$K)+SUMIF($A:$A,$A2232,$L:$L)),0)</f>
        <v>0</v>
      </c>
      <c r="O2232" s="30">
        <f>IFERROR((VLOOKUP($A2232,HeadJournal!$A$1:$L$890,COLUMN(HeadJournal!L$1),0)*($K2232+$L2232)/(SUMIF($A:$A,$A2232,$K:$K)+SUMIF($A:$A,$A2232,$L:$L)))/VLOOKUP($A2232,HeadJournal!$A$1:$L$890,COLUMN(HeadJournal!H$1),0),0)</f>
        <v>37.4</v>
      </c>
      <c r="P2232" s="30">
        <f>IFERROR(SUM(K2232:O2232)*VLOOKUP($A2232,HeadJournal!$A$1:$L$890,COLUMN(HeadJournal!H$1),0),0)</f>
        <v>411.4</v>
      </c>
      <c r="Q2232" s="29">
        <v>500</v>
      </c>
      <c r="R2232" s="31">
        <v>45340</v>
      </c>
      <c r="S2232" s="31" t="s">
        <v>3121</v>
      </c>
      <c r="T2232" s="95" t="str">
        <f t="shared" si="175"/>
        <v>2024 02</v>
      </c>
      <c r="U2232" s="32">
        <f t="shared" si="172"/>
        <v>88.600000000000023</v>
      </c>
      <c r="V2232" s="22">
        <f t="shared" si="173"/>
        <v>0.2153621779290229</v>
      </c>
      <c r="X2232" s="33"/>
      <c r="Y2232" s="33"/>
    </row>
    <row r="2233" spans="1:25" x14ac:dyDescent="0.2">
      <c r="A2233" s="93" t="s">
        <v>1004</v>
      </c>
      <c r="B2233" s="94">
        <f>IFERROR(VLOOKUP($A2233,HeadJournal!$A$1:$NTR$890,COLUMN(HeadJournal!B$1),0),"")</f>
        <v>0</v>
      </c>
      <c r="C2233" s="94" t="str">
        <f>IFERROR(VLOOKUP($A2233,HeadJournal!$A$1:$NTR$890,COLUMN(HeadJournal!C$1),0),"")</f>
        <v>WBRS</v>
      </c>
      <c r="D2233" s="125" t="str">
        <f>IFERROR(VLOOKUP($A2233,HeadJournal!$A$1:$NTR$890,COLUMN(HeadJournal!D$1),0),"")</f>
        <v>Доставлен</v>
      </c>
      <c r="E2233" s="95">
        <f>IFERROR(VLOOKUP($A2233,HeadJournal!$A$1:$NTR$890,COLUMN(HeadJournal!G$1),0),"")</f>
        <v>45194</v>
      </c>
      <c r="F2233" s="95" t="str">
        <f t="shared" si="174"/>
        <v>2023 09</v>
      </c>
      <c r="G2233" s="96" t="s">
        <v>6</v>
      </c>
      <c r="H2233" s="160" t="str">
        <f>RIGHT(Journal!$J2233,9)</f>
        <v xml:space="preserve"> 43392039</v>
      </c>
      <c r="I2233" s="96" t="str">
        <f t="shared" si="176"/>
        <v>RUSHAKER</v>
      </c>
      <c r="J2233" s="97" t="s">
        <v>993</v>
      </c>
      <c r="K2233" s="29">
        <v>319</v>
      </c>
      <c r="L2233" s="29">
        <v>0</v>
      </c>
      <c r="M2233" s="30">
        <f>IFERROR(VLOOKUP($A2233,HeadJournal!$A$1:$J$890,COLUMN(HeadJournal!I$1),0)*($K2233+$L2233)/(SUMIF($A:$A,$A2233,$K:$K)+SUMIF($A:$A,$A2233,$L:$L)),0)</f>
        <v>0</v>
      </c>
      <c r="N2233" s="30">
        <f>IFERROR((VLOOKUP($A2233,HeadJournal!$A$1:$K$890,COLUMN(HeadJournal!K$1),0)-VLOOKUP($A2233,HeadJournal!$A$1:$K$890,COLUMN(HeadJournal!J$1),0))*($K2233+$L2233)/(SUMIF($A:$A,$A2233,$K:$K)+SUMIF($A:$A,$A2233,$L:$L)),0)</f>
        <v>0</v>
      </c>
      <c r="O2233" s="30">
        <f>IFERROR((VLOOKUP($A2233,HeadJournal!$A$1:$L$890,COLUMN(HeadJournal!L$1),0)*($K2233+$L2233)/(SUMIF($A:$A,$A2233,$K:$K)+SUMIF($A:$A,$A2233,$L:$L)))/VLOOKUP($A2233,HeadJournal!$A$1:$L$890,COLUMN(HeadJournal!H$1),0),0)</f>
        <v>31.900000000000002</v>
      </c>
      <c r="P2233" s="30">
        <f>IFERROR(SUM(K2233:O2233)*VLOOKUP($A2233,HeadJournal!$A$1:$L$890,COLUMN(HeadJournal!H$1),0),0)</f>
        <v>350.9</v>
      </c>
      <c r="Q2233" s="29">
        <v>550</v>
      </c>
      <c r="R2233" s="31">
        <v>45200</v>
      </c>
      <c r="S2233" s="31" t="s">
        <v>3121</v>
      </c>
      <c r="T2233" s="95" t="str">
        <f t="shared" si="175"/>
        <v>2023 10</v>
      </c>
      <c r="U2233" s="32">
        <f t="shared" si="172"/>
        <v>199.10000000000002</v>
      </c>
      <c r="V2233" s="22">
        <f t="shared" si="173"/>
        <v>0.56739811912225713</v>
      </c>
      <c r="X2233" s="33"/>
      <c r="Y2233" s="33"/>
    </row>
    <row r="2234" spans="1:25" x14ac:dyDescent="0.2">
      <c r="A2234" s="93" t="s">
        <v>1005</v>
      </c>
      <c r="B2234" s="94">
        <f>IFERROR(VLOOKUP($A2234,HeadJournal!$A$1:$NTR$890,COLUMN(HeadJournal!B$1),0),"")</f>
        <v>0</v>
      </c>
      <c r="C2234" s="94" t="str">
        <f>IFERROR(VLOOKUP($A2234,HeadJournal!$A$1:$NTR$890,COLUMN(HeadJournal!C$1),0),"")</f>
        <v>CoralClub_OA</v>
      </c>
      <c r="D2234" s="125" t="str">
        <f>IFERROR(VLOOKUP($A2234,HeadJournal!$A$1:$NTR$890,COLUMN(HeadJournal!D$1),0),"")</f>
        <v>Доставлен</v>
      </c>
      <c r="E2234" s="95">
        <f>IFERROR(VLOOKUP($A2234,HeadJournal!$A$1:$NTR$890,COLUMN(HeadJournal!G$1),0),"")</f>
        <v>45196</v>
      </c>
      <c r="F2234" s="95" t="str">
        <f t="shared" si="174"/>
        <v>2023 09</v>
      </c>
      <c r="G2234" s="96" t="s">
        <v>5</v>
      </c>
      <c r="H2234" s="160" t="str">
        <f>RIGHT(Journal!$J2234,9)</f>
        <v>000001405</v>
      </c>
      <c r="I2234" s="96" t="str">
        <f t="shared" si="176"/>
        <v>CoralClub</v>
      </c>
      <c r="J2234" s="97" t="s">
        <v>249</v>
      </c>
      <c r="K2234" s="29">
        <v>1092</v>
      </c>
      <c r="L2234" s="29">
        <v>0</v>
      </c>
      <c r="M2234" s="30">
        <f>IFERROR(VLOOKUP($A2234,HeadJournal!$A$1:$J$890,COLUMN(HeadJournal!I$1),0)*($K2234+$L2234)/(SUMIF($A:$A,$A2234,$K:$K)+SUMIF($A:$A,$A2234,$L:$L)),0)</f>
        <v>0</v>
      </c>
      <c r="N2234" s="30">
        <f>IFERROR((VLOOKUP($A2234,HeadJournal!$A$1:$K$890,COLUMN(HeadJournal!K$1),0)-VLOOKUP($A2234,HeadJournal!$A$1:$K$890,COLUMN(HeadJournal!J$1),0))*($K2234+$L2234)/(SUMIF($A:$A,$A2234,$K:$K)+SUMIF($A:$A,$A2234,$L:$L)),0)</f>
        <v>0</v>
      </c>
      <c r="O2234" s="30">
        <f>IFERROR((VLOOKUP($A2234,HeadJournal!$A$1:$L$890,COLUMN(HeadJournal!L$1),0)*($K2234+$L2234)/(SUMIF($A:$A,$A2234,$K:$K)+SUMIF($A:$A,$A2234,$L:$L)))/VLOOKUP($A2234,HeadJournal!$A$1:$L$890,COLUMN(HeadJournal!H$1),0),0)</f>
        <v>0</v>
      </c>
      <c r="P2234" s="30">
        <f>IFERROR(SUM(K2234:O2234)*VLOOKUP($A2234,HeadJournal!$A$1:$L$890,COLUMN(HeadJournal!H$1),0),0)</f>
        <v>1092</v>
      </c>
      <c r="Q2234" s="29">
        <v>1400</v>
      </c>
      <c r="R2234" s="31">
        <v>45194</v>
      </c>
      <c r="S2234" s="31" t="s">
        <v>3121</v>
      </c>
      <c r="T2234" s="95" t="str">
        <f t="shared" si="175"/>
        <v>2023 09</v>
      </c>
      <c r="U2234" s="32">
        <f t="shared" si="172"/>
        <v>308</v>
      </c>
      <c r="V2234" s="22">
        <f t="shared" si="173"/>
        <v>0.28205128205128205</v>
      </c>
      <c r="X2234" s="33"/>
      <c r="Y2234" s="33"/>
    </row>
    <row r="2235" spans="1:25" x14ac:dyDescent="0.2">
      <c r="A2235" s="93" t="s">
        <v>1005</v>
      </c>
      <c r="B2235" s="94">
        <f>IFERROR(VLOOKUP($A2235,HeadJournal!$A$1:$NTR$890,COLUMN(HeadJournal!B$1),0),"")</f>
        <v>0</v>
      </c>
      <c r="C2235" s="94" t="str">
        <f>IFERROR(VLOOKUP($A2235,HeadJournal!$A$1:$NTR$890,COLUMN(HeadJournal!C$1),0),"")</f>
        <v>CoralClub_OA</v>
      </c>
      <c r="D2235" s="125" t="str">
        <f>IFERROR(VLOOKUP($A2235,HeadJournal!$A$1:$NTR$890,COLUMN(HeadJournal!D$1),0),"")</f>
        <v>Доставлен</v>
      </c>
      <c r="E2235" s="95">
        <f>IFERROR(VLOOKUP($A2235,HeadJournal!$A$1:$NTR$890,COLUMN(HeadJournal!G$1),0),"")</f>
        <v>45196</v>
      </c>
      <c r="F2235" s="95" t="str">
        <f t="shared" si="174"/>
        <v>2023 09</v>
      </c>
      <c r="G2235" s="96" t="s">
        <v>5</v>
      </c>
      <c r="H2235" s="160" t="str">
        <f>RIGHT(Journal!$J2235,9)</f>
        <v>000001405</v>
      </c>
      <c r="I2235" s="96" t="str">
        <f t="shared" si="176"/>
        <v>CoralClub</v>
      </c>
      <c r="J2235" s="97" t="s">
        <v>249</v>
      </c>
      <c r="K2235" s="29">
        <v>1092</v>
      </c>
      <c r="L2235" s="29">
        <v>0</v>
      </c>
      <c r="M2235" s="30">
        <f>IFERROR(VLOOKUP($A2235,HeadJournal!$A$1:$J$890,COLUMN(HeadJournal!I$1),0)*($K2235+$L2235)/(SUMIF($A:$A,$A2235,$K:$K)+SUMIF($A:$A,$A2235,$L:$L)),0)</f>
        <v>0</v>
      </c>
      <c r="N2235" s="30">
        <f>IFERROR((VLOOKUP($A2235,HeadJournal!$A$1:$K$890,COLUMN(HeadJournal!K$1),0)-VLOOKUP($A2235,HeadJournal!$A$1:$K$890,COLUMN(HeadJournal!J$1),0))*($K2235+$L2235)/(SUMIF($A:$A,$A2235,$K:$K)+SUMIF($A:$A,$A2235,$L:$L)),0)</f>
        <v>0</v>
      </c>
      <c r="O2235" s="30">
        <f>IFERROR((VLOOKUP($A2235,HeadJournal!$A$1:$L$890,COLUMN(HeadJournal!L$1),0)*($K2235+$L2235)/(SUMIF($A:$A,$A2235,$K:$K)+SUMIF($A:$A,$A2235,$L:$L)))/VLOOKUP($A2235,HeadJournal!$A$1:$L$890,COLUMN(HeadJournal!H$1),0),0)</f>
        <v>0</v>
      </c>
      <c r="P2235" s="30">
        <f>IFERROR(SUM(K2235:O2235)*VLOOKUP($A2235,HeadJournal!$A$1:$L$890,COLUMN(HeadJournal!H$1),0),0)</f>
        <v>1092</v>
      </c>
      <c r="Q2235" s="29">
        <v>1092</v>
      </c>
      <c r="R2235" s="31">
        <v>45199</v>
      </c>
      <c r="S2235" s="31" t="s">
        <v>3121</v>
      </c>
      <c r="T2235" s="95" t="str">
        <f t="shared" si="175"/>
        <v>2023 09</v>
      </c>
      <c r="U2235" s="32">
        <f t="shared" si="172"/>
        <v>0</v>
      </c>
      <c r="V2235" s="22">
        <f t="shared" si="173"/>
        <v>0</v>
      </c>
      <c r="X2235" s="33"/>
      <c r="Y2235" s="33"/>
    </row>
    <row r="2236" spans="1:25" x14ac:dyDescent="0.2">
      <c r="A2236" s="93" t="s">
        <v>1005</v>
      </c>
      <c r="B2236" s="94">
        <f>IFERROR(VLOOKUP($A2236,HeadJournal!$A$1:$NTR$890,COLUMN(HeadJournal!B$1),0),"")</f>
        <v>0</v>
      </c>
      <c r="C2236" s="94" t="str">
        <f>IFERROR(VLOOKUP($A2236,HeadJournal!$A$1:$NTR$890,COLUMN(HeadJournal!C$1),0),"")</f>
        <v>CoralClub_OA</v>
      </c>
      <c r="D2236" s="125" t="str">
        <f>IFERROR(VLOOKUP($A2236,HeadJournal!$A$1:$NTR$890,COLUMN(HeadJournal!D$1),0),"")</f>
        <v>Доставлен</v>
      </c>
      <c r="E2236" s="95">
        <f>IFERROR(VLOOKUP($A2236,HeadJournal!$A$1:$NTR$890,COLUMN(HeadJournal!G$1),0),"")</f>
        <v>45196</v>
      </c>
      <c r="F2236" s="95" t="str">
        <f t="shared" si="174"/>
        <v>2023 09</v>
      </c>
      <c r="G2236" s="96" t="s">
        <v>5</v>
      </c>
      <c r="H2236" s="160" t="str">
        <f>RIGHT(Journal!$J2236,9)</f>
        <v>000001405</v>
      </c>
      <c r="I2236" s="96" t="str">
        <f t="shared" si="176"/>
        <v>CoralClub</v>
      </c>
      <c r="J2236" s="97" t="s">
        <v>249</v>
      </c>
      <c r="K2236" s="29">
        <v>1092</v>
      </c>
      <c r="L2236" s="29">
        <v>0</v>
      </c>
      <c r="M2236" s="30">
        <f>IFERROR(VLOOKUP($A2236,HeadJournal!$A$1:$J$890,COLUMN(HeadJournal!I$1),0)*($K2236+$L2236)/(SUMIF($A:$A,$A2236,$K:$K)+SUMIF($A:$A,$A2236,$L:$L)),0)</f>
        <v>0</v>
      </c>
      <c r="N2236" s="30">
        <f>IFERROR((VLOOKUP($A2236,HeadJournal!$A$1:$K$890,COLUMN(HeadJournal!K$1),0)-VLOOKUP($A2236,HeadJournal!$A$1:$K$890,COLUMN(HeadJournal!J$1),0))*($K2236+$L2236)/(SUMIF($A:$A,$A2236,$K:$K)+SUMIF($A:$A,$A2236,$L:$L)),0)</f>
        <v>0</v>
      </c>
      <c r="O2236" s="30">
        <f>IFERROR((VLOOKUP($A2236,HeadJournal!$A$1:$L$890,COLUMN(HeadJournal!L$1),0)*($K2236+$L2236)/(SUMIF($A:$A,$A2236,$K:$K)+SUMIF($A:$A,$A2236,$L:$L)))/VLOOKUP($A2236,HeadJournal!$A$1:$L$890,COLUMN(HeadJournal!H$1),0),0)</f>
        <v>0</v>
      </c>
      <c r="P2236" s="30">
        <f>IFERROR(SUM(K2236:O2236)*VLOOKUP($A2236,HeadJournal!$A$1:$L$890,COLUMN(HeadJournal!H$1),0),0)</f>
        <v>1092</v>
      </c>
      <c r="Q2236" s="29">
        <v>1300</v>
      </c>
      <c r="R2236" s="31">
        <v>45266</v>
      </c>
      <c r="S2236" s="31" t="s">
        <v>3121</v>
      </c>
      <c r="T2236" s="95" t="str">
        <f t="shared" si="175"/>
        <v>2023 12</v>
      </c>
      <c r="U2236" s="32">
        <f t="shared" si="172"/>
        <v>208</v>
      </c>
      <c r="V2236" s="22">
        <f t="shared" si="173"/>
        <v>0.19047619047619047</v>
      </c>
      <c r="X2236" s="33"/>
      <c r="Y2236" s="33"/>
    </row>
    <row r="2237" spans="1:25" x14ac:dyDescent="0.2">
      <c r="A2237" s="93" t="s">
        <v>1006</v>
      </c>
      <c r="B2237" s="94">
        <f>IFERROR(VLOOKUP($A2237,HeadJournal!$A$1:$NTR$890,COLUMN(HeadJournal!B$1),0),"")</f>
        <v>0</v>
      </c>
      <c r="C2237" s="94" t="str">
        <f>IFERROR(VLOOKUP($A2237,HeadJournal!$A$1:$NTR$890,COLUMN(HeadJournal!C$1),0),"")</f>
        <v>NSP_OA</v>
      </c>
      <c r="D2237" s="125" t="str">
        <f>IFERROR(VLOOKUP($A2237,HeadJournal!$A$1:$NTR$890,COLUMN(HeadJournal!D$1),0),"")</f>
        <v>Доставлен</v>
      </c>
      <c r="E2237" s="95">
        <f>IFERROR(VLOOKUP($A2237,HeadJournal!$A$1:$NTR$890,COLUMN(HeadJournal!G$1),0),"")</f>
        <v>45203</v>
      </c>
      <c r="F2237" s="95" t="str">
        <f t="shared" si="174"/>
        <v>2023 10</v>
      </c>
      <c r="G2237" s="96" t="s">
        <v>5</v>
      </c>
      <c r="H2237" s="160" t="str">
        <f>RIGHT(Journal!$J2237,9)</f>
        <v>000000907</v>
      </c>
      <c r="I2237" s="96" t="str">
        <f t="shared" si="176"/>
        <v>NSP</v>
      </c>
      <c r="J2237" s="97" t="s">
        <v>709</v>
      </c>
      <c r="K2237" s="29">
        <v>2916.11</v>
      </c>
      <c r="L2237" s="29">
        <v>0</v>
      </c>
      <c r="M2237" s="30">
        <f>IFERROR(VLOOKUP($A2237,HeadJournal!$A$1:$J$890,COLUMN(HeadJournal!I$1),0)*($K2237+$L2237)/(SUMIF($A:$A,$A2237,$K:$K)+SUMIF($A:$A,$A2237,$L:$L)),0)</f>
        <v>0</v>
      </c>
      <c r="N2237" s="30">
        <f>IFERROR((VLOOKUP($A2237,HeadJournal!$A$1:$K$890,COLUMN(HeadJournal!K$1),0)-VLOOKUP($A2237,HeadJournal!$A$1:$K$890,COLUMN(HeadJournal!J$1),0))*($K2237+$L2237)/(SUMIF($A:$A,$A2237,$K:$K)+SUMIF($A:$A,$A2237,$L:$L)),0)</f>
        <v>-155.57065348649931</v>
      </c>
      <c r="O2237" s="30">
        <f>IFERROR((VLOOKUP($A2237,HeadJournal!$A$1:$L$890,COLUMN(HeadJournal!L$1),0)*($K2237+$L2237)/(SUMIF($A:$A,$A2237,$K:$K)+SUMIF($A:$A,$A2237,$L:$L)))/VLOOKUP($A2237,HeadJournal!$A$1:$L$890,COLUMN(HeadJournal!H$1),0),0)</f>
        <v>76.254517308285699</v>
      </c>
      <c r="P2237" s="30">
        <f>IFERROR(SUM(K2237:O2237)*VLOOKUP($A2237,HeadJournal!$A$1:$L$890,COLUMN(HeadJournal!H$1),0),0)</f>
        <v>2836.7938638217865</v>
      </c>
      <c r="Q2237" s="29">
        <v>3500</v>
      </c>
      <c r="R2237" s="31">
        <v>45359</v>
      </c>
      <c r="S2237" s="31" t="s">
        <v>3121</v>
      </c>
      <c r="T2237" s="95" t="str">
        <f t="shared" si="175"/>
        <v>2024 03</v>
      </c>
      <c r="U2237" s="32">
        <f t="shared" si="172"/>
        <v>663.20613617821346</v>
      </c>
      <c r="V2237" s="22">
        <f t="shared" si="173"/>
        <v>0.2337872147272374</v>
      </c>
      <c r="X2237" s="33"/>
      <c r="Y2237" s="33"/>
    </row>
    <row r="2238" spans="1:25" x14ac:dyDescent="0.2">
      <c r="A2238" s="93" t="s">
        <v>1006</v>
      </c>
      <c r="B2238" s="94">
        <f>IFERROR(VLOOKUP($A2238,HeadJournal!$A$1:$NTR$890,COLUMN(HeadJournal!B$1),0),"")</f>
        <v>0</v>
      </c>
      <c r="C2238" s="94" t="str">
        <f>IFERROR(VLOOKUP($A2238,HeadJournal!$A$1:$NTR$890,COLUMN(HeadJournal!C$1),0),"")</f>
        <v>NSP_OA</v>
      </c>
      <c r="D2238" s="125" t="str">
        <f>IFERROR(VLOOKUP($A2238,HeadJournal!$A$1:$NTR$890,COLUMN(HeadJournal!D$1),0),"")</f>
        <v>Доставлен</v>
      </c>
      <c r="E2238" s="95">
        <f>IFERROR(VLOOKUP($A2238,HeadJournal!$A$1:$NTR$890,COLUMN(HeadJournal!G$1),0),"")</f>
        <v>45203</v>
      </c>
      <c r="F2238" s="95" t="str">
        <f t="shared" si="174"/>
        <v>2023 10</v>
      </c>
      <c r="G2238" s="96" t="s">
        <v>5</v>
      </c>
      <c r="H2238" s="160" t="str">
        <f>RIGHT(Journal!$J2238,9)</f>
        <v>000000907</v>
      </c>
      <c r="I2238" s="96" t="str">
        <f t="shared" si="176"/>
        <v>NSP</v>
      </c>
      <c r="J2238" s="97" t="s">
        <v>709</v>
      </c>
      <c r="K2238" s="29">
        <v>2916.11</v>
      </c>
      <c r="L2238" s="29">
        <v>0</v>
      </c>
      <c r="M2238" s="30">
        <f>IFERROR(VLOOKUP($A2238,HeadJournal!$A$1:$J$890,COLUMN(HeadJournal!I$1),0)*($K2238+$L2238)/(SUMIF($A:$A,$A2238,$K:$K)+SUMIF($A:$A,$A2238,$L:$L)),0)</f>
        <v>0</v>
      </c>
      <c r="N2238" s="30">
        <f>IFERROR((VLOOKUP($A2238,HeadJournal!$A$1:$K$890,COLUMN(HeadJournal!K$1),0)-VLOOKUP($A2238,HeadJournal!$A$1:$K$890,COLUMN(HeadJournal!J$1),0))*($K2238+$L2238)/(SUMIF($A:$A,$A2238,$K:$K)+SUMIF($A:$A,$A2238,$L:$L)),0)</f>
        <v>-155.57065348649931</v>
      </c>
      <c r="O2238" s="30">
        <f>IFERROR((VLOOKUP($A2238,HeadJournal!$A$1:$L$890,COLUMN(HeadJournal!L$1),0)*($K2238+$L2238)/(SUMIF($A:$A,$A2238,$K:$K)+SUMIF($A:$A,$A2238,$L:$L)))/VLOOKUP($A2238,HeadJournal!$A$1:$L$890,COLUMN(HeadJournal!H$1),0),0)</f>
        <v>76.254517308285699</v>
      </c>
      <c r="P2238" s="30">
        <f>IFERROR(SUM(K2238:O2238)*VLOOKUP($A2238,HeadJournal!$A$1:$L$890,COLUMN(HeadJournal!H$1),0),0)</f>
        <v>2836.7938638217865</v>
      </c>
      <c r="Q2238" s="29">
        <v>3500</v>
      </c>
      <c r="R2238" s="31">
        <v>45377</v>
      </c>
      <c r="S2238" s="31" t="s">
        <v>3121</v>
      </c>
      <c r="T2238" s="95" t="str">
        <f t="shared" si="175"/>
        <v>2024 03</v>
      </c>
      <c r="U2238" s="32">
        <f t="shared" si="172"/>
        <v>663.20613617821346</v>
      </c>
      <c r="V2238" s="22">
        <f t="shared" si="173"/>
        <v>0.2337872147272374</v>
      </c>
      <c r="X2238" s="33"/>
      <c r="Y2238" s="33"/>
    </row>
    <row r="2239" spans="1:25" x14ac:dyDescent="0.2">
      <c r="A2239" s="93" t="s">
        <v>1006</v>
      </c>
      <c r="B2239" s="94">
        <f>IFERROR(VLOOKUP($A2239,HeadJournal!$A$1:$NTR$890,COLUMN(HeadJournal!B$1),0),"")</f>
        <v>0</v>
      </c>
      <c r="C2239" s="94" t="str">
        <f>IFERROR(VLOOKUP($A2239,HeadJournal!$A$1:$NTR$890,COLUMN(HeadJournal!C$1),0),"")</f>
        <v>NSP_OA</v>
      </c>
      <c r="D2239" s="125" t="str">
        <f>IFERROR(VLOOKUP($A2239,HeadJournal!$A$1:$NTR$890,COLUMN(HeadJournal!D$1),0),"")</f>
        <v>Доставлен</v>
      </c>
      <c r="E2239" s="95">
        <f>IFERROR(VLOOKUP($A2239,HeadJournal!$A$1:$NTR$890,COLUMN(HeadJournal!G$1),0),"")</f>
        <v>45203</v>
      </c>
      <c r="F2239" s="95" t="str">
        <f t="shared" si="174"/>
        <v>2023 10</v>
      </c>
      <c r="G2239" s="96" t="s">
        <v>5</v>
      </c>
      <c r="H2239" s="160" t="str">
        <f>RIGHT(Journal!$J2239,9)</f>
        <v>000000514</v>
      </c>
      <c r="I2239" s="96" t="str">
        <f t="shared" si="176"/>
        <v>NSP</v>
      </c>
      <c r="J2239" s="97" t="s">
        <v>711</v>
      </c>
      <c r="K2239" s="29">
        <v>1816.14</v>
      </c>
      <c r="L2239" s="29">
        <v>0</v>
      </c>
      <c r="M2239" s="30">
        <f>IFERROR(VLOOKUP($A2239,HeadJournal!$A$1:$J$890,COLUMN(HeadJournal!I$1),0)*($K2239+$L2239)/(SUMIF($A:$A,$A2239,$K:$K)+SUMIF($A:$A,$A2239,$L:$L)),0)</f>
        <v>0</v>
      </c>
      <c r="N2239" s="30">
        <f>IFERROR((VLOOKUP($A2239,HeadJournal!$A$1:$K$890,COLUMN(HeadJournal!K$1),0)-VLOOKUP($A2239,HeadJournal!$A$1:$K$890,COLUMN(HeadJournal!J$1),0))*($K2239+$L2239)/(SUMIF($A:$A,$A2239,$K:$K)+SUMIF($A:$A,$A2239,$L:$L)),0)</f>
        <v>-96.88869302700202</v>
      </c>
      <c r="O2239" s="30">
        <f>IFERROR((VLOOKUP($A2239,HeadJournal!$A$1:$L$890,COLUMN(HeadJournal!L$1),0)*($K2239+$L2239)/(SUMIF($A:$A,$A2239,$K:$K)+SUMIF($A:$A,$A2239,$L:$L)))/VLOOKUP($A2239,HeadJournal!$A$1:$L$890,COLUMN(HeadJournal!H$1),0),0)</f>
        <v>47.490965383428602</v>
      </c>
      <c r="P2239" s="30">
        <f>IFERROR(SUM(K2239:O2239)*VLOOKUP($A2239,HeadJournal!$A$1:$L$890,COLUMN(HeadJournal!H$1),0),0)</f>
        <v>1766.7422723564266</v>
      </c>
      <c r="Q2239" s="29">
        <v>2500</v>
      </c>
      <c r="R2239" s="31">
        <v>45215</v>
      </c>
      <c r="S2239" s="31" t="s">
        <v>3121</v>
      </c>
      <c r="T2239" s="95" t="str">
        <f t="shared" si="175"/>
        <v>2023 10</v>
      </c>
      <c r="U2239" s="32">
        <f t="shared" si="172"/>
        <v>733.25772764357339</v>
      </c>
      <c r="V2239" s="22">
        <f t="shared" si="173"/>
        <v>0.41503378229897492</v>
      </c>
      <c r="X2239" s="33"/>
      <c r="Y2239" s="33"/>
    </row>
    <row r="2240" spans="1:25" x14ac:dyDescent="0.2">
      <c r="A2240" s="93" t="s">
        <v>1007</v>
      </c>
      <c r="B2240" s="94">
        <f>IFERROR(VLOOKUP($A2240,HeadJournal!$A$1:$NTR$890,COLUMN(HeadJournal!B$1),0),"")</f>
        <v>0</v>
      </c>
      <c r="C2240" s="94" t="str">
        <f>IFERROR(VLOOKUP($A2240,HeadJournal!$A$1:$NTR$890,COLUMN(HeadJournal!C$1),0),"")</f>
        <v>OZON_OA</v>
      </c>
      <c r="D2240" s="125" t="str">
        <f>IFERROR(VLOOKUP($A2240,HeadJournal!$A$1:$NTR$890,COLUMN(HeadJournal!D$1),0),"")</f>
        <v>Доставлен</v>
      </c>
      <c r="E2240" s="95">
        <f>IFERROR(VLOOKUP($A2240,HeadJournal!$A$1:$NTR$890,COLUMN(HeadJournal!G$1),0),"")</f>
        <v>45199</v>
      </c>
      <c r="F2240" s="95" t="str">
        <f t="shared" si="174"/>
        <v>2023 09</v>
      </c>
      <c r="G2240" s="96" t="s">
        <v>6</v>
      </c>
      <c r="H2240" s="175" t="s">
        <v>1950</v>
      </c>
      <c r="I2240" s="176" t="s">
        <v>560</v>
      </c>
      <c r="J2240" s="97" t="s">
        <v>1951</v>
      </c>
      <c r="K2240" s="29">
        <v>833</v>
      </c>
      <c r="L2240" s="29">
        <v>0</v>
      </c>
      <c r="M2240" s="30">
        <f>IFERROR(VLOOKUP($A2240,HeadJournal!$A$1:$J$890,COLUMN(HeadJournal!I$1),0)*($K2240+$L2240)/(SUMIF($A:$A,$A2240,$K:$K)+SUMIF($A:$A,$A2240,$L:$L)),0)</f>
        <v>0</v>
      </c>
      <c r="N2240" s="30">
        <f>IFERROR((VLOOKUP($A2240,HeadJournal!$A$1:$K$890,COLUMN(HeadJournal!K$1),0)-VLOOKUP($A2240,HeadJournal!$A$1:$K$890,COLUMN(HeadJournal!J$1),0))*($K2240+$L2240)/(SUMIF($A:$A,$A2240,$K:$K)+SUMIF($A:$A,$A2240,$L:$L)),0)</f>
        <v>0</v>
      </c>
      <c r="O2240" s="30">
        <f>IFERROR((VLOOKUP($A2240,HeadJournal!$A$1:$L$890,COLUMN(HeadJournal!L$1),0)*($K2240+$L2240)/(SUMIF($A:$A,$A2240,$K:$K)+SUMIF($A:$A,$A2240,$L:$L)))/VLOOKUP($A2240,HeadJournal!$A$1:$L$890,COLUMN(HeadJournal!H$1),0),0)</f>
        <v>83.300000000000011</v>
      </c>
      <c r="P2240" s="30">
        <f>IFERROR(SUM(K2240:O2240)*VLOOKUP($A2240,HeadJournal!$A$1:$L$890,COLUMN(HeadJournal!H$1),0),0)</f>
        <v>916.3</v>
      </c>
      <c r="Q2240" s="29">
        <v>1700</v>
      </c>
      <c r="R2240" s="31">
        <v>45232</v>
      </c>
      <c r="S2240" s="31" t="s">
        <v>3121</v>
      </c>
      <c r="T2240" s="95" t="str">
        <f t="shared" si="175"/>
        <v>2023 11</v>
      </c>
      <c r="U2240" s="32">
        <f t="shared" si="172"/>
        <v>783.7</v>
      </c>
      <c r="V2240" s="22">
        <f t="shared" si="173"/>
        <v>0.855287569573284</v>
      </c>
      <c r="X2240" s="33"/>
      <c r="Y2240" s="33"/>
    </row>
    <row r="2241" spans="1:25" x14ac:dyDescent="0.2">
      <c r="A2241" s="93" t="s">
        <v>1008</v>
      </c>
      <c r="B2241" s="94">
        <f>IFERROR(VLOOKUP($A2241,HeadJournal!$A$1:$NTR$890,COLUMN(HeadJournal!B$1),0),"")</f>
        <v>0</v>
      </c>
      <c r="C2241" s="94" t="str">
        <f>IFERROR(VLOOKUP($A2241,HeadJournal!$A$1:$NTR$890,COLUMN(HeadJournal!C$1),0),"")</f>
        <v>OZON_OA</v>
      </c>
      <c r="D2241" s="125" t="str">
        <f>IFERROR(VLOOKUP($A2241,HeadJournal!$A$1:$NTR$890,COLUMN(HeadJournal!D$1),0),"")</f>
        <v>Доставлен</v>
      </c>
      <c r="E2241" s="95">
        <f>IFERROR(VLOOKUP($A2241,HeadJournal!$A$1:$NTR$890,COLUMN(HeadJournal!G$1),0),"")</f>
        <v>45200</v>
      </c>
      <c r="F2241" s="95" t="str">
        <f t="shared" si="174"/>
        <v>2023 10</v>
      </c>
      <c r="G2241" s="96" t="s">
        <v>6</v>
      </c>
      <c r="H2241" s="160" t="str">
        <f>RIGHT(Journal!$J2241,9)</f>
        <v>537270297</v>
      </c>
      <c r="I2241" s="96" t="str">
        <f t="shared" si="176"/>
        <v>LOVE SPORT</v>
      </c>
      <c r="J2241" s="97" t="s">
        <v>1009</v>
      </c>
      <c r="K2241" s="29">
        <v>189</v>
      </c>
      <c r="L2241" s="29">
        <v>0</v>
      </c>
      <c r="M2241" s="30">
        <f>IFERROR(VLOOKUP($A2241,HeadJournal!$A$1:$J$890,COLUMN(HeadJournal!I$1),0)*($K2241+$L2241)/(SUMIF($A:$A,$A2241,$K:$K)+SUMIF($A:$A,$A2241,$L:$L)),0)</f>
        <v>0</v>
      </c>
      <c r="N2241" s="30">
        <f>IFERROR((VLOOKUP($A2241,HeadJournal!$A$1:$K$890,COLUMN(HeadJournal!K$1),0)-VLOOKUP($A2241,HeadJournal!$A$1:$K$890,COLUMN(HeadJournal!J$1),0))*($K2241+$L2241)/(SUMIF($A:$A,$A2241,$K:$K)+SUMIF($A:$A,$A2241,$L:$L)),0)</f>
        <v>0</v>
      </c>
      <c r="O2241" s="30">
        <f>IFERROR((VLOOKUP($A2241,HeadJournal!$A$1:$L$890,COLUMN(HeadJournal!L$1),0)*($K2241+$L2241)/(SUMIF($A:$A,$A2241,$K:$K)+SUMIF($A:$A,$A2241,$L:$L)))/VLOOKUP($A2241,HeadJournal!$A$1:$L$890,COLUMN(HeadJournal!H$1),0),0)</f>
        <v>18.899999999999999</v>
      </c>
      <c r="P2241" s="30">
        <f>IFERROR(SUM(K2241:O2241)*VLOOKUP($A2241,HeadJournal!$A$1:$L$890,COLUMN(HeadJournal!H$1),0),0)</f>
        <v>207.9</v>
      </c>
      <c r="Q2241" s="29">
        <v>350</v>
      </c>
      <c r="R2241" s="31">
        <v>45208</v>
      </c>
      <c r="S2241" s="31" t="s">
        <v>3121</v>
      </c>
      <c r="T2241" s="95" t="str">
        <f t="shared" si="175"/>
        <v>2023 10</v>
      </c>
      <c r="U2241" s="32">
        <f t="shared" ref="U2241:U2304" si="177">Q2241-P2241</f>
        <v>142.1</v>
      </c>
      <c r="V2241" s="22">
        <f t="shared" ref="V2241:V2304" si="178">IF(Q2241&lt;&gt;0,IFERROR(U2241/P2241,""),"")</f>
        <v>0.6835016835016835</v>
      </c>
      <c r="X2241" s="33"/>
      <c r="Y2241" s="33"/>
    </row>
    <row r="2242" spans="1:25" x14ac:dyDescent="0.2">
      <c r="A2242" s="93" t="s">
        <v>1008</v>
      </c>
      <c r="B2242" s="94">
        <f>IFERROR(VLOOKUP($A2242,HeadJournal!$A$1:$NTR$890,COLUMN(HeadJournal!B$1),0),"")</f>
        <v>0</v>
      </c>
      <c r="C2242" s="94" t="str">
        <f>IFERROR(VLOOKUP($A2242,HeadJournal!$A$1:$NTR$890,COLUMN(HeadJournal!C$1),0),"")</f>
        <v>OZON_OA</v>
      </c>
      <c r="D2242" s="125" t="str">
        <f>IFERROR(VLOOKUP($A2242,HeadJournal!$A$1:$NTR$890,COLUMN(HeadJournal!D$1),0),"")</f>
        <v>Доставлен</v>
      </c>
      <c r="E2242" s="95">
        <f>IFERROR(VLOOKUP($A2242,HeadJournal!$A$1:$NTR$890,COLUMN(HeadJournal!G$1),0),"")</f>
        <v>45200</v>
      </c>
      <c r="F2242" s="95" t="str">
        <f t="shared" si="174"/>
        <v>2023 10</v>
      </c>
      <c r="G2242" s="96" t="s">
        <v>6</v>
      </c>
      <c r="H2242" s="160" t="str">
        <f>RIGHT(Journal!$J2242,9)</f>
        <v>972146200</v>
      </c>
      <c r="I2242" s="96" t="str">
        <f t="shared" si="176"/>
        <v>GOLDEN FIT</v>
      </c>
      <c r="J2242" s="97" t="s">
        <v>1010</v>
      </c>
      <c r="K2242" s="29">
        <v>272</v>
      </c>
      <c r="L2242" s="29">
        <v>0</v>
      </c>
      <c r="M2242" s="30">
        <f>IFERROR(VLOOKUP($A2242,HeadJournal!$A$1:$J$890,COLUMN(HeadJournal!I$1),0)*($K2242+$L2242)/(SUMIF($A:$A,$A2242,$K:$K)+SUMIF($A:$A,$A2242,$L:$L)),0)</f>
        <v>0</v>
      </c>
      <c r="N2242" s="30">
        <f>IFERROR((VLOOKUP($A2242,HeadJournal!$A$1:$K$890,COLUMN(HeadJournal!K$1),0)-VLOOKUP($A2242,HeadJournal!$A$1:$K$890,COLUMN(HeadJournal!J$1),0))*($K2242+$L2242)/(SUMIF($A:$A,$A2242,$K:$K)+SUMIF($A:$A,$A2242,$L:$L)),0)</f>
        <v>0</v>
      </c>
      <c r="O2242" s="30">
        <f>IFERROR((VLOOKUP($A2242,HeadJournal!$A$1:$L$890,COLUMN(HeadJournal!L$1),0)*($K2242+$L2242)/(SUMIF($A:$A,$A2242,$K:$K)+SUMIF($A:$A,$A2242,$L:$L)))/VLOOKUP($A2242,HeadJournal!$A$1:$L$890,COLUMN(HeadJournal!H$1),0),0)</f>
        <v>27.200000000000003</v>
      </c>
      <c r="P2242" s="30">
        <f>IFERROR(SUM(K2242:O2242)*VLOOKUP($A2242,HeadJournal!$A$1:$L$890,COLUMN(HeadJournal!H$1),0),0)</f>
        <v>299.2</v>
      </c>
      <c r="Q2242" s="29">
        <v>550</v>
      </c>
      <c r="R2242" s="31">
        <v>45208</v>
      </c>
      <c r="S2242" s="31" t="s">
        <v>3121</v>
      </c>
      <c r="T2242" s="95" t="str">
        <f t="shared" si="175"/>
        <v>2023 10</v>
      </c>
      <c r="U2242" s="32">
        <f t="shared" si="177"/>
        <v>250.8</v>
      </c>
      <c r="V2242" s="22">
        <f t="shared" si="178"/>
        <v>0.83823529411764708</v>
      </c>
      <c r="X2242" s="33"/>
      <c r="Y2242" s="33"/>
    </row>
    <row r="2243" spans="1:25" x14ac:dyDescent="0.2">
      <c r="A2243" s="93" t="s">
        <v>1011</v>
      </c>
      <c r="B2243" s="94">
        <f>IFERROR(VLOOKUP($A2243,HeadJournal!$A$1:$NTR$890,COLUMN(HeadJournal!B$1),0),"")</f>
        <v>0</v>
      </c>
      <c r="C2243" s="94" t="str">
        <f>IFERROR(VLOOKUP($A2243,HeadJournal!$A$1:$NTR$890,COLUMN(HeadJournal!C$1),0),"")</f>
        <v>WBRS</v>
      </c>
      <c r="D2243" s="125" t="str">
        <f>IFERROR(VLOOKUP($A2243,HeadJournal!$A$1:$NTR$890,COLUMN(HeadJournal!D$1),0),"")</f>
        <v>Доставлен</v>
      </c>
      <c r="E2243" s="95">
        <f>IFERROR(VLOOKUP($A2243,HeadJournal!$A$1:$NTR$890,COLUMN(HeadJournal!G$1),0),"")</f>
        <v>45200</v>
      </c>
      <c r="F2243" s="95" t="str">
        <f t="shared" si="174"/>
        <v>2023 10</v>
      </c>
      <c r="G2243" s="96" t="s">
        <v>6</v>
      </c>
      <c r="H2243" s="160" t="str">
        <f>RIGHT(Journal!$J2243,9)</f>
        <v>174153170</v>
      </c>
      <c r="I2243" s="96" t="str">
        <f t="shared" si="176"/>
        <v>Mutant mass</v>
      </c>
      <c r="J2243" s="97" t="s">
        <v>1012</v>
      </c>
      <c r="K2243" s="29">
        <v>5134</v>
      </c>
      <c r="L2243" s="29">
        <v>0</v>
      </c>
      <c r="M2243" s="30">
        <f>IFERROR(VLOOKUP($A2243,HeadJournal!$A$1:$J$890,COLUMN(HeadJournal!I$1),0)*($K2243+$L2243)/(SUMIF($A:$A,$A2243,$K:$K)+SUMIF($A:$A,$A2243,$L:$L)),0)</f>
        <v>0</v>
      </c>
      <c r="N2243" s="30">
        <f>IFERROR((VLOOKUP($A2243,HeadJournal!$A$1:$K$890,COLUMN(HeadJournal!K$1),0)-VLOOKUP($A2243,HeadJournal!$A$1:$K$890,COLUMN(HeadJournal!J$1),0))*($K2243+$L2243)/(SUMIF($A:$A,$A2243,$K:$K)+SUMIF($A:$A,$A2243,$L:$L)),0)</f>
        <v>0</v>
      </c>
      <c r="O2243" s="30">
        <f>IFERROR((VLOOKUP($A2243,HeadJournal!$A$1:$L$890,COLUMN(HeadJournal!L$1),0)*($K2243+$L2243)/(SUMIF($A:$A,$A2243,$K:$K)+SUMIF($A:$A,$A2243,$L:$L)))/VLOOKUP($A2243,HeadJournal!$A$1:$L$890,COLUMN(HeadJournal!H$1),0),0)</f>
        <v>513.4</v>
      </c>
      <c r="P2243" s="30">
        <f>IFERROR(SUM(K2243:O2243)*VLOOKUP($A2243,HeadJournal!$A$1:$L$890,COLUMN(HeadJournal!H$1),0),0)</f>
        <v>5647.4</v>
      </c>
      <c r="Q2243" s="29">
        <v>6800</v>
      </c>
      <c r="R2243" s="31">
        <v>45340</v>
      </c>
      <c r="S2243" s="31" t="s">
        <v>3121</v>
      </c>
      <c r="T2243" s="95" t="str">
        <f t="shared" si="175"/>
        <v>2024 02</v>
      </c>
      <c r="U2243" s="32">
        <f t="shared" si="177"/>
        <v>1152.6000000000004</v>
      </c>
      <c r="V2243" s="22">
        <f t="shared" si="178"/>
        <v>0.20409391932570747</v>
      </c>
      <c r="X2243" s="33"/>
      <c r="Y2243" s="33"/>
    </row>
    <row r="2244" spans="1:25" x14ac:dyDescent="0.2">
      <c r="A2244" s="93" t="s">
        <v>1011</v>
      </c>
      <c r="B2244" s="94">
        <f>IFERROR(VLOOKUP($A2244,HeadJournal!$A$1:$NTR$890,COLUMN(HeadJournal!B$1),0),"")</f>
        <v>0</v>
      </c>
      <c r="C2244" s="94" t="str">
        <f>IFERROR(VLOOKUP($A2244,HeadJournal!$A$1:$NTR$890,COLUMN(HeadJournal!C$1),0),"")</f>
        <v>WBRS</v>
      </c>
      <c r="D2244" s="125" t="str">
        <f>IFERROR(VLOOKUP($A2244,HeadJournal!$A$1:$NTR$890,COLUMN(HeadJournal!D$1),0),"")</f>
        <v>Доставлен</v>
      </c>
      <c r="E2244" s="95">
        <f>IFERROR(VLOOKUP($A2244,HeadJournal!$A$1:$NTR$890,COLUMN(HeadJournal!G$1),0),"")</f>
        <v>45200</v>
      </c>
      <c r="F2244" s="95" t="str">
        <f t="shared" ref="F2244:F2307" si="179">IFERROR(TEXT(E2244, "ГГГГ ММ"),"")</f>
        <v>2023 10</v>
      </c>
      <c r="G2244" s="96" t="s">
        <v>6</v>
      </c>
      <c r="H2244" s="160" t="str">
        <f>RIGHT(Journal!$J2244,9)</f>
        <v>174153168</v>
      </c>
      <c r="I2244" s="96" t="str">
        <f t="shared" si="176"/>
        <v>Mutant mass</v>
      </c>
      <c r="J2244" s="97" t="s">
        <v>1013</v>
      </c>
      <c r="K2244" s="29">
        <v>5134</v>
      </c>
      <c r="L2244" s="29">
        <v>0</v>
      </c>
      <c r="M2244" s="30">
        <f>IFERROR(VLOOKUP($A2244,HeadJournal!$A$1:$J$890,COLUMN(HeadJournal!I$1),0)*($K2244+$L2244)/(SUMIF($A:$A,$A2244,$K:$K)+SUMIF($A:$A,$A2244,$L:$L)),0)</f>
        <v>0</v>
      </c>
      <c r="N2244" s="30">
        <f>IFERROR((VLOOKUP($A2244,HeadJournal!$A$1:$K$890,COLUMN(HeadJournal!K$1),0)-VLOOKUP($A2244,HeadJournal!$A$1:$K$890,COLUMN(HeadJournal!J$1),0))*($K2244+$L2244)/(SUMIF($A:$A,$A2244,$K:$K)+SUMIF($A:$A,$A2244,$L:$L)),0)</f>
        <v>0</v>
      </c>
      <c r="O2244" s="30">
        <f>IFERROR((VLOOKUP($A2244,HeadJournal!$A$1:$L$890,COLUMN(HeadJournal!L$1),0)*($K2244+$L2244)/(SUMIF($A:$A,$A2244,$K:$K)+SUMIF($A:$A,$A2244,$L:$L)))/VLOOKUP($A2244,HeadJournal!$A$1:$L$890,COLUMN(HeadJournal!H$1),0),0)</f>
        <v>513.4</v>
      </c>
      <c r="P2244" s="30">
        <f>IFERROR(SUM(K2244:O2244)*VLOOKUP($A2244,HeadJournal!$A$1:$L$890,COLUMN(HeadJournal!H$1),0),0)</f>
        <v>5647.4</v>
      </c>
      <c r="Q2244" s="29">
        <v>6800</v>
      </c>
      <c r="R2244" s="31">
        <v>45345</v>
      </c>
      <c r="S2244" s="31" t="s">
        <v>3121</v>
      </c>
      <c r="T2244" s="95" t="str">
        <f t="shared" ref="T2244:T2307" si="180">IF(R2244="","",TEXT(R2244,"ГГГГ ММ"))</f>
        <v>2024 02</v>
      </c>
      <c r="U2244" s="32">
        <f t="shared" si="177"/>
        <v>1152.6000000000004</v>
      </c>
      <c r="V2244" s="22">
        <f t="shared" si="178"/>
        <v>0.20409391932570747</v>
      </c>
      <c r="X2244" s="33"/>
      <c r="Y2244" s="33"/>
    </row>
    <row r="2245" spans="1:25" x14ac:dyDescent="0.2">
      <c r="A2245" s="93" t="s">
        <v>1014</v>
      </c>
      <c r="B2245" s="94">
        <f>IFERROR(VLOOKUP($A2245,HeadJournal!$A$1:$NTR$890,COLUMN(HeadJournal!B$1),0),"")</f>
        <v>0</v>
      </c>
      <c r="C2245" s="94" t="str">
        <f>IFERROR(VLOOKUP($A2245,HeadJournal!$A$1:$NTR$890,COLUMN(HeadJournal!C$1),0),"")</f>
        <v>WBRS</v>
      </c>
      <c r="D2245" s="125" t="str">
        <f>IFERROR(VLOOKUP($A2245,HeadJournal!$A$1:$NTR$890,COLUMN(HeadJournal!D$1),0),"")</f>
        <v>Доставлен</v>
      </c>
      <c r="E2245" s="95">
        <f>IFERROR(VLOOKUP($A2245,HeadJournal!$A$1:$NTR$890,COLUMN(HeadJournal!G$1),0),"")</f>
        <v>45197</v>
      </c>
      <c r="F2245" s="95" t="str">
        <f t="shared" si="179"/>
        <v>2023 09</v>
      </c>
      <c r="G2245" s="96" t="s">
        <v>6</v>
      </c>
      <c r="H2245" s="160" t="str">
        <f>RIGHT(Journal!$J2245,9)</f>
        <v>141171853</v>
      </c>
      <c r="I2245" s="96" t="str">
        <f t="shared" si="176"/>
        <v>SOUL WAY</v>
      </c>
      <c r="J2245" s="97" t="s">
        <v>1015</v>
      </c>
      <c r="K2245" s="29">
        <v>829</v>
      </c>
      <c r="L2245" s="29">
        <v>0</v>
      </c>
      <c r="M2245" s="30">
        <f>IFERROR(VLOOKUP($A2245,HeadJournal!$A$1:$J$890,COLUMN(HeadJournal!I$1),0)*($K2245+$L2245)/(SUMIF($A:$A,$A2245,$K:$K)+SUMIF($A:$A,$A2245,$L:$L)),0)</f>
        <v>0</v>
      </c>
      <c r="N2245" s="30">
        <f>IFERROR((VLOOKUP($A2245,HeadJournal!$A$1:$K$890,COLUMN(HeadJournal!K$1),0)-VLOOKUP($A2245,HeadJournal!$A$1:$K$890,COLUMN(HeadJournal!J$1),0))*($K2245+$L2245)/(SUMIF($A:$A,$A2245,$K:$K)+SUMIF($A:$A,$A2245,$L:$L)),0)</f>
        <v>0</v>
      </c>
      <c r="O2245" s="30">
        <f>IFERROR((VLOOKUP($A2245,HeadJournal!$A$1:$L$890,COLUMN(HeadJournal!L$1),0)*($K2245+$L2245)/(SUMIF($A:$A,$A2245,$K:$K)+SUMIF($A:$A,$A2245,$L:$L)))/VLOOKUP($A2245,HeadJournal!$A$1:$L$890,COLUMN(HeadJournal!H$1),0),0)</f>
        <v>82.9</v>
      </c>
      <c r="P2245" s="30">
        <f>IFERROR(SUM(K2245:O2245)*VLOOKUP($A2245,HeadJournal!$A$1:$L$890,COLUMN(HeadJournal!H$1),0),0)</f>
        <v>911.9</v>
      </c>
      <c r="Q2245" s="29">
        <v>1700</v>
      </c>
      <c r="R2245" s="31">
        <v>45208</v>
      </c>
      <c r="S2245" s="31" t="s">
        <v>3121</v>
      </c>
      <c r="T2245" s="95" t="str">
        <f t="shared" si="180"/>
        <v>2023 10</v>
      </c>
      <c r="U2245" s="32">
        <f t="shared" si="177"/>
        <v>788.1</v>
      </c>
      <c r="V2245" s="22">
        <f t="shared" si="178"/>
        <v>0.86423949994516946</v>
      </c>
      <c r="X2245" s="33"/>
      <c r="Y2245" s="33"/>
    </row>
    <row r="2246" spans="1:25" x14ac:dyDescent="0.2">
      <c r="A2246" s="93" t="s">
        <v>1016</v>
      </c>
      <c r="B2246" s="94">
        <f>IFERROR(VLOOKUP($A2246,HeadJournal!$A$1:$NTR$890,COLUMN(HeadJournal!B$1),0),"")</f>
        <v>0</v>
      </c>
      <c r="C2246" s="94" t="str">
        <f>IFERROR(VLOOKUP($A2246,HeadJournal!$A$1:$NTR$890,COLUMN(HeadJournal!C$1),0),"")</f>
        <v>WBRS</v>
      </c>
      <c r="D2246" s="125" t="str">
        <f>IFERROR(VLOOKUP($A2246,HeadJournal!$A$1:$NTR$890,COLUMN(HeadJournal!D$1),0),"")</f>
        <v>Доставлен</v>
      </c>
      <c r="E2246" s="95">
        <f>IFERROR(VLOOKUP($A2246,HeadJournal!$A$1:$NTR$890,COLUMN(HeadJournal!G$1),0),"")</f>
        <v>45197</v>
      </c>
      <c r="F2246" s="95" t="str">
        <f t="shared" si="179"/>
        <v>2023 09</v>
      </c>
      <c r="G2246" s="96" t="s">
        <v>6</v>
      </c>
      <c r="H2246" s="160" t="str">
        <f>RIGHT(Journal!$J2246,9)</f>
        <v>504006588</v>
      </c>
      <c r="I2246" s="96" t="str">
        <f t="shared" si="176"/>
        <v>R-Line</v>
      </c>
      <c r="J2246" s="97" t="s">
        <v>3711</v>
      </c>
      <c r="K2246" s="29">
        <v>1517</v>
      </c>
      <c r="L2246" s="29">
        <v>0</v>
      </c>
      <c r="M2246" s="30">
        <f>IFERROR(VLOOKUP($A2246,HeadJournal!$A$1:$J$890,COLUMN(HeadJournal!I$1),0)*($K2246+$L2246)/(SUMIF($A:$A,$A2246,$K:$K)+SUMIF($A:$A,$A2246,$L:$L)),0)</f>
        <v>0</v>
      </c>
      <c r="N2246" s="30">
        <f>IFERROR((VLOOKUP($A2246,HeadJournal!$A$1:$K$890,COLUMN(HeadJournal!K$1),0)-VLOOKUP($A2246,HeadJournal!$A$1:$K$890,COLUMN(HeadJournal!J$1),0))*($K2246+$L2246)/(SUMIF($A:$A,$A2246,$K:$K)+SUMIF($A:$A,$A2246,$L:$L)),0)</f>
        <v>0</v>
      </c>
      <c r="O2246" s="30">
        <f>IFERROR((VLOOKUP($A2246,HeadJournal!$A$1:$L$890,COLUMN(HeadJournal!L$1),0)*($K2246+$L2246)/(SUMIF($A:$A,$A2246,$K:$K)+SUMIF($A:$A,$A2246,$L:$L)))/VLOOKUP($A2246,HeadJournal!$A$1:$L$890,COLUMN(HeadJournal!H$1),0),0)</f>
        <v>151.70000000000002</v>
      </c>
      <c r="P2246" s="30">
        <f>IFERROR(SUM(K2246:O2246)*VLOOKUP($A2246,HeadJournal!$A$1:$L$890,COLUMN(HeadJournal!H$1),0),0)</f>
        <v>1668.7</v>
      </c>
      <c r="Q2246" s="29">
        <v>1200</v>
      </c>
      <c r="R2246" s="31">
        <v>45228</v>
      </c>
      <c r="S2246" s="31" t="s">
        <v>3121</v>
      </c>
      <c r="T2246" s="95" t="str">
        <f t="shared" si="180"/>
        <v>2023 10</v>
      </c>
      <c r="U2246" s="32">
        <f t="shared" si="177"/>
        <v>-468.70000000000005</v>
      </c>
      <c r="V2246" s="22">
        <f t="shared" si="178"/>
        <v>-0.28087732965781748</v>
      </c>
      <c r="X2246" s="33"/>
      <c r="Y2246" s="33"/>
    </row>
    <row r="2247" spans="1:25" x14ac:dyDescent="0.2">
      <c r="A2247" s="93" t="s">
        <v>1017</v>
      </c>
      <c r="B2247" s="94">
        <f>IFERROR(VLOOKUP($A2247,HeadJournal!$A$1:$NTR$890,COLUMN(HeadJournal!B$1),0),"")</f>
        <v>0</v>
      </c>
      <c r="C2247" s="94" t="str">
        <f>IFERROR(VLOOKUP($A2247,HeadJournal!$A$1:$NTR$890,COLUMN(HeadJournal!C$1),0),"")</f>
        <v>WBRS</v>
      </c>
      <c r="D2247" s="125" t="str">
        <f>IFERROR(VLOOKUP($A2247,HeadJournal!$A$1:$NTR$890,COLUMN(HeadJournal!D$1),0),"")</f>
        <v>Доставлен</v>
      </c>
      <c r="E2247" s="95">
        <f>IFERROR(VLOOKUP($A2247,HeadJournal!$A$1:$NTR$890,COLUMN(HeadJournal!G$1),0),"")</f>
        <v>45200</v>
      </c>
      <c r="F2247" s="95" t="str">
        <f t="shared" si="179"/>
        <v>2023 10</v>
      </c>
      <c r="G2247" s="96" t="s">
        <v>6</v>
      </c>
      <c r="H2247" s="160" t="str">
        <f>RIGHT(Journal!$J2247,9)</f>
        <v>168790484</v>
      </c>
      <c r="I2247" s="96" t="str">
        <f t="shared" si="176"/>
        <v>Samyun Wan</v>
      </c>
      <c r="J2247" s="97" t="s">
        <v>1018</v>
      </c>
      <c r="K2247" s="29">
        <v>585</v>
      </c>
      <c r="L2247" s="29">
        <v>0</v>
      </c>
      <c r="M2247" s="30">
        <f>IFERROR(VLOOKUP($A2247,HeadJournal!$A$1:$J$890,COLUMN(HeadJournal!I$1),0)*($K2247+$L2247)/(SUMIF($A:$A,$A2247,$K:$K)+SUMIF($A:$A,$A2247,$L:$L)),0)</f>
        <v>0</v>
      </c>
      <c r="N2247" s="30">
        <f>IFERROR((VLOOKUP($A2247,HeadJournal!$A$1:$K$890,COLUMN(HeadJournal!K$1),0)-VLOOKUP($A2247,HeadJournal!$A$1:$K$890,COLUMN(HeadJournal!J$1),0))*($K2247+$L2247)/(SUMIF($A:$A,$A2247,$K:$K)+SUMIF($A:$A,$A2247,$L:$L)),0)</f>
        <v>0</v>
      </c>
      <c r="O2247" s="30">
        <f>IFERROR((VLOOKUP($A2247,HeadJournal!$A$1:$L$890,COLUMN(HeadJournal!L$1),0)*($K2247+$L2247)/(SUMIF($A:$A,$A2247,$K:$K)+SUMIF($A:$A,$A2247,$L:$L)))/VLOOKUP($A2247,HeadJournal!$A$1:$L$890,COLUMN(HeadJournal!H$1),0),0)</f>
        <v>58.5</v>
      </c>
      <c r="P2247" s="30">
        <f>IFERROR(SUM(K2247:O2247)*VLOOKUP($A2247,HeadJournal!$A$1:$L$890,COLUMN(HeadJournal!H$1),0),0)</f>
        <v>643.5</v>
      </c>
      <c r="Q2247" s="29">
        <v>1300</v>
      </c>
      <c r="R2247" s="31">
        <v>45215</v>
      </c>
      <c r="S2247" s="31" t="s">
        <v>3121</v>
      </c>
      <c r="T2247" s="95" t="str">
        <f t="shared" si="180"/>
        <v>2023 10</v>
      </c>
      <c r="U2247" s="32">
        <f t="shared" si="177"/>
        <v>656.5</v>
      </c>
      <c r="V2247" s="22">
        <f t="shared" si="178"/>
        <v>1.0202020202020201</v>
      </c>
      <c r="X2247" s="33"/>
      <c r="Y2247" s="33"/>
    </row>
    <row r="2248" spans="1:25" x14ac:dyDescent="0.2">
      <c r="A2248" s="93" t="s">
        <v>1017</v>
      </c>
      <c r="B2248" s="94">
        <f>IFERROR(VLOOKUP($A2248,HeadJournal!$A$1:$NTR$890,COLUMN(HeadJournal!B$1),0),"")</f>
        <v>0</v>
      </c>
      <c r="C2248" s="94" t="str">
        <f>IFERROR(VLOOKUP($A2248,HeadJournal!$A$1:$NTR$890,COLUMN(HeadJournal!C$1),0),"")</f>
        <v>WBRS</v>
      </c>
      <c r="D2248" s="125" t="str">
        <f>IFERROR(VLOOKUP($A2248,HeadJournal!$A$1:$NTR$890,COLUMN(HeadJournal!D$1),0),"")</f>
        <v>Доставлен</v>
      </c>
      <c r="E2248" s="95">
        <f>IFERROR(VLOOKUP($A2248,HeadJournal!$A$1:$NTR$890,COLUMN(HeadJournal!G$1),0),"")</f>
        <v>45200</v>
      </c>
      <c r="F2248" s="95" t="str">
        <f t="shared" si="179"/>
        <v>2023 10</v>
      </c>
      <c r="G2248" s="96" t="s">
        <v>6</v>
      </c>
      <c r="H2248" s="160" t="str">
        <f>RIGHT(Journal!$J2248,9)</f>
        <v>168790484</v>
      </c>
      <c r="I2248" s="96" t="str">
        <f t="shared" si="176"/>
        <v>Samyun Wan</v>
      </c>
      <c r="J2248" s="97" t="s">
        <v>1018</v>
      </c>
      <c r="K2248" s="29">
        <v>585</v>
      </c>
      <c r="L2248" s="29">
        <v>0</v>
      </c>
      <c r="M2248" s="30">
        <f>IFERROR(VLOOKUP($A2248,HeadJournal!$A$1:$J$890,COLUMN(HeadJournal!I$1),0)*($K2248+$L2248)/(SUMIF($A:$A,$A2248,$K:$K)+SUMIF($A:$A,$A2248,$L:$L)),0)</f>
        <v>0</v>
      </c>
      <c r="N2248" s="30">
        <f>IFERROR((VLOOKUP($A2248,HeadJournal!$A$1:$K$890,COLUMN(HeadJournal!K$1),0)-VLOOKUP($A2248,HeadJournal!$A$1:$K$890,COLUMN(HeadJournal!J$1),0))*($K2248+$L2248)/(SUMIF($A:$A,$A2248,$K:$K)+SUMIF($A:$A,$A2248,$L:$L)),0)</f>
        <v>0</v>
      </c>
      <c r="O2248" s="30">
        <f>IFERROR((VLOOKUP($A2248,HeadJournal!$A$1:$L$890,COLUMN(HeadJournal!L$1),0)*($K2248+$L2248)/(SUMIF($A:$A,$A2248,$K:$K)+SUMIF($A:$A,$A2248,$L:$L)))/VLOOKUP($A2248,HeadJournal!$A$1:$L$890,COLUMN(HeadJournal!H$1),0),0)</f>
        <v>58.5</v>
      </c>
      <c r="P2248" s="30">
        <f>IFERROR(SUM(K2248:O2248)*VLOOKUP($A2248,HeadJournal!$A$1:$L$890,COLUMN(HeadJournal!H$1),0),0)</f>
        <v>643.5</v>
      </c>
      <c r="Q2248" s="29">
        <v>1300</v>
      </c>
      <c r="R2248" s="31">
        <v>45215</v>
      </c>
      <c r="S2248" s="31" t="s">
        <v>3121</v>
      </c>
      <c r="T2248" s="95" t="str">
        <f t="shared" si="180"/>
        <v>2023 10</v>
      </c>
      <c r="U2248" s="32">
        <f t="shared" si="177"/>
        <v>656.5</v>
      </c>
      <c r="V2248" s="22">
        <f t="shared" si="178"/>
        <v>1.0202020202020201</v>
      </c>
      <c r="X2248" s="33"/>
      <c r="Y2248" s="33"/>
    </row>
    <row r="2249" spans="1:25" x14ac:dyDescent="0.2">
      <c r="A2249" s="93" t="s">
        <v>1019</v>
      </c>
      <c r="B2249" s="94">
        <f>IFERROR(VLOOKUP($A2249,HeadJournal!$A$1:$NTR$890,COLUMN(HeadJournal!B$1),0),"")</f>
        <v>0</v>
      </c>
      <c r="C2249" s="94" t="str">
        <f>IFERROR(VLOOKUP($A2249,HeadJournal!$A$1:$NTR$890,COLUMN(HeadJournal!C$1),0),"")</f>
        <v>WBRS</v>
      </c>
      <c r="D2249" s="125" t="str">
        <f>IFERROR(VLOOKUP($A2249,HeadJournal!$A$1:$NTR$890,COLUMN(HeadJournal!D$1),0),"")</f>
        <v>Доставлен</v>
      </c>
      <c r="E2249" s="95">
        <f>IFERROR(VLOOKUP($A2249,HeadJournal!$A$1:$NTR$890,COLUMN(HeadJournal!G$1),0),"")</f>
        <v>45200</v>
      </c>
      <c r="F2249" s="95" t="str">
        <f t="shared" si="179"/>
        <v>2023 10</v>
      </c>
      <c r="G2249" s="96" t="s">
        <v>6</v>
      </c>
      <c r="H2249" s="160" t="str">
        <f>RIGHT(Journal!$J2249,9)</f>
        <v>077562793</v>
      </c>
      <c r="I2249" s="96" t="str">
        <f t="shared" si="176"/>
        <v>Cult</v>
      </c>
      <c r="J2249" s="97" t="s">
        <v>3518</v>
      </c>
      <c r="K2249" s="29">
        <v>1432</v>
      </c>
      <c r="L2249" s="29">
        <v>0</v>
      </c>
      <c r="M2249" s="30">
        <f>IFERROR(VLOOKUP($A2249,HeadJournal!$A$1:$J$890,COLUMN(HeadJournal!I$1),0)*($K2249+$L2249)/(SUMIF($A:$A,$A2249,$K:$K)+SUMIF($A:$A,$A2249,$L:$L)),0)</f>
        <v>0</v>
      </c>
      <c r="N2249" s="30">
        <f>IFERROR((VLOOKUP($A2249,HeadJournal!$A$1:$K$890,COLUMN(HeadJournal!K$1),0)-VLOOKUP($A2249,HeadJournal!$A$1:$K$890,COLUMN(HeadJournal!J$1),0))*($K2249+$L2249)/(SUMIF($A:$A,$A2249,$K:$K)+SUMIF($A:$A,$A2249,$L:$L)),0)</f>
        <v>0</v>
      </c>
      <c r="O2249" s="30">
        <f>IFERROR((VLOOKUP($A2249,HeadJournal!$A$1:$L$890,COLUMN(HeadJournal!L$1),0)*($K2249+$L2249)/(SUMIF($A:$A,$A2249,$K:$K)+SUMIF($A:$A,$A2249,$L:$L)))/VLOOKUP($A2249,HeadJournal!$A$1:$L$890,COLUMN(HeadJournal!H$1),0),0)</f>
        <v>143.20000000000002</v>
      </c>
      <c r="P2249" s="30">
        <f>IFERROR(SUM(K2249:O2249)*VLOOKUP($A2249,HeadJournal!$A$1:$L$890,COLUMN(HeadJournal!H$1),0),0)</f>
        <v>1575.2</v>
      </c>
      <c r="Q2249" s="29">
        <v>3000</v>
      </c>
      <c r="R2249" s="31">
        <v>45208</v>
      </c>
      <c r="S2249" s="31" t="s">
        <v>3121</v>
      </c>
      <c r="T2249" s="95" t="str">
        <f t="shared" si="180"/>
        <v>2023 10</v>
      </c>
      <c r="U2249" s="32">
        <f t="shared" si="177"/>
        <v>1424.8</v>
      </c>
      <c r="V2249" s="22">
        <f t="shared" si="178"/>
        <v>0.90452006094464188</v>
      </c>
      <c r="X2249" s="33"/>
      <c r="Y2249" s="33"/>
    </row>
    <row r="2250" spans="1:25" x14ac:dyDescent="0.2">
      <c r="A2250" s="93" t="s">
        <v>1019</v>
      </c>
      <c r="B2250" s="94">
        <f>IFERROR(VLOOKUP($A2250,HeadJournal!$A$1:$NTR$890,COLUMN(HeadJournal!B$1),0),"")</f>
        <v>0</v>
      </c>
      <c r="C2250" s="94" t="str">
        <f>IFERROR(VLOOKUP($A2250,HeadJournal!$A$1:$NTR$890,COLUMN(HeadJournal!C$1),0),"")</f>
        <v>WBRS</v>
      </c>
      <c r="D2250" s="125" t="str">
        <f>IFERROR(VLOOKUP($A2250,HeadJournal!$A$1:$NTR$890,COLUMN(HeadJournal!D$1),0),"")</f>
        <v>Доставлен</v>
      </c>
      <c r="E2250" s="95">
        <f>IFERROR(VLOOKUP($A2250,HeadJournal!$A$1:$NTR$890,COLUMN(HeadJournal!G$1),0),"")</f>
        <v>45200</v>
      </c>
      <c r="F2250" s="95" t="str">
        <f t="shared" si="179"/>
        <v>2023 10</v>
      </c>
      <c r="G2250" s="96" t="s">
        <v>6</v>
      </c>
      <c r="H2250" s="160" t="str">
        <f>RIGHT(Journal!$J2250,9)</f>
        <v>077562793</v>
      </c>
      <c r="I2250" s="96" t="str">
        <f t="shared" si="176"/>
        <v>Cult</v>
      </c>
      <c r="J2250" s="97" t="s">
        <v>3518</v>
      </c>
      <c r="K2250" s="29">
        <v>1432</v>
      </c>
      <c r="L2250" s="29">
        <v>0</v>
      </c>
      <c r="M2250" s="30">
        <f>IFERROR(VLOOKUP($A2250,HeadJournal!$A$1:$J$890,COLUMN(HeadJournal!I$1),0)*($K2250+$L2250)/(SUMIF($A:$A,$A2250,$K:$K)+SUMIF($A:$A,$A2250,$L:$L)),0)</f>
        <v>0</v>
      </c>
      <c r="N2250" s="30">
        <f>IFERROR((VLOOKUP($A2250,HeadJournal!$A$1:$K$890,COLUMN(HeadJournal!K$1),0)-VLOOKUP($A2250,HeadJournal!$A$1:$K$890,COLUMN(HeadJournal!J$1),0))*($K2250+$L2250)/(SUMIF($A:$A,$A2250,$K:$K)+SUMIF($A:$A,$A2250,$L:$L)),0)</f>
        <v>0</v>
      </c>
      <c r="O2250" s="30">
        <f>IFERROR((VLOOKUP($A2250,HeadJournal!$A$1:$L$890,COLUMN(HeadJournal!L$1),0)*($K2250+$L2250)/(SUMIF($A:$A,$A2250,$K:$K)+SUMIF($A:$A,$A2250,$L:$L)))/VLOOKUP($A2250,HeadJournal!$A$1:$L$890,COLUMN(HeadJournal!H$1),0),0)</f>
        <v>143.20000000000002</v>
      </c>
      <c r="P2250" s="30">
        <f>IFERROR(SUM(K2250:O2250)*VLOOKUP($A2250,HeadJournal!$A$1:$L$890,COLUMN(HeadJournal!H$1),0),0)</f>
        <v>1575.2</v>
      </c>
      <c r="Q2250" s="29">
        <v>3000</v>
      </c>
      <c r="R2250" s="31">
        <v>45208</v>
      </c>
      <c r="S2250" s="31" t="s">
        <v>3121</v>
      </c>
      <c r="T2250" s="95" t="str">
        <f t="shared" si="180"/>
        <v>2023 10</v>
      </c>
      <c r="U2250" s="32">
        <f t="shared" si="177"/>
        <v>1424.8</v>
      </c>
      <c r="V2250" s="22">
        <f t="shared" si="178"/>
        <v>0.90452006094464188</v>
      </c>
      <c r="X2250" s="33"/>
      <c r="Y2250" s="33"/>
    </row>
    <row r="2251" spans="1:25" x14ac:dyDescent="0.2">
      <c r="A2251" s="93" t="s">
        <v>1020</v>
      </c>
      <c r="B2251" s="94">
        <f>IFERROR(VLOOKUP($A2251,HeadJournal!$A$1:$NTR$890,COLUMN(HeadJournal!B$1),0),"")</f>
        <v>0</v>
      </c>
      <c r="C2251" s="94" t="str">
        <f>IFERROR(VLOOKUP($A2251,HeadJournal!$A$1:$NTR$890,COLUMN(HeadJournal!C$1),0),"")</f>
        <v>WBRS</v>
      </c>
      <c r="D2251" s="125" t="str">
        <f>IFERROR(VLOOKUP($A2251,HeadJournal!$A$1:$NTR$890,COLUMN(HeadJournal!D$1),0),"")</f>
        <v>Доставлен</v>
      </c>
      <c r="E2251" s="95">
        <f>IFERROR(VLOOKUP($A2251,HeadJournal!$A$1:$NTR$890,COLUMN(HeadJournal!G$1),0),"")</f>
        <v>45199</v>
      </c>
      <c r="F2251" s="95" t="str">
        <f t="shared" si="179"/>
        <v>2023 09</v>
      </c>
      <c r="G2251" s="96" t="s">
        <v>6</v>
      </c>
      <c r="H2251" s="160" t="str">
        <f>RIGHT(Journal!$J2251,9)</f>
        <v>008160575</v>
      </c>
      <c r="I2251" s="96" t="str">
        <f t="shared" si="176"/>
        <v>R-Line</v>
      </c>
      <c r="J2251" s="97" t="s">
        <v>1021</v>
      </c>
      <c r="K2251" s="29">
        <v>1501</v>
      </c>
      <c r="L2251" s="29">
        <v>0</v>
      </c>
      <c r="M2251" s="30">
        <f>IFERROR(VLOOKUP($A2251,HeadJournal!$A$1:$J$890,COLUMN(HeadJournal!I$1),0)*($K2251+$L2251)/(SUMIF($A:$A,$A2251,$K:$K)+SUMIF($A:$A,$A2251,$L:$L)),0)</f>
        <v>0</v>
      </c>
      <c r="N2251" s="30">
        <f>IFERROR((VLOOKUP($A2251,HeadJournal!$A$1:$K$890,COLUMN(HeadJournal!K$1),0)-VLOOKUP($A2251,HeadJournal!$A$1:$K$890,COLUMN(HeadJournal!J$1),0))*($K2251+$L2251)/(SUMIF($A:$A,$A2251,$K:$K)+SUMIF($A:$A,$A2251,$L:$L)),0)</f>
        <v>0</v>
      </c>
      <c r="O2251" s="30">
        <f>IFERROR((VLOOKUP($A2251,HeadJournal!$A$1:$L$890,COLUMN(HeadJournal!L$1),0)*($K2251+$L2251)/(SUMIF($A:$A,$A2251,$K:$K)+SUMIF($A:$A,$A2251,$L:$L)))/VLOOKUP($A2251,HeadJournal!$A$1:$L$890,COLUMN(HeadJournal!H$1),0),0)</f>
        <v>150.1</v>
      </c>
      <c r="P2251" s="30">
        <f>IFERROR(SUM(K2251:O2251)*VLOOKUP($A2251,HeadJournal!$A$1:$L$890,COLUMN(HeadJournal!H$1),0),0)</f>
        <v>1651.1</v>
      </c>
      <c r="Q2251" s="29">
        <v>3000</v>
      </c>
      <c r="R2251" s="31">
        <v>45215</v>
      </c>
      <c r="S2251" s="31" t="s">
        <v>3121</v>
      </c>
      <c r="T2251" s="95" t="str">
        <f t="shared" si="180"/>
        <v>2023 10</v>
      </c>
      <c r="U2251" s="32">
        <f t="shared" si="177"/>
        <v>1348.9</v>
      </c>
      <c r="V2251" s="22">
        <f t="shared" si="178"/>
        <v>0.81697050451214348</v>
      </c>
      <c r="X2251" s="33"/>
      <c r="Y2251" s="33"/>
    </row>
    <row r="2252" spans="1:25" x14ac:dyDescent="0.2">
      <c r="A2252" s="93" t="s">
        <v>1022</v>
      </c>
      <c r="B2252" s="94">
        <f>IFERROR(VLOOKUP($A2252,HeadJournal!$A$1:$NTR$890,COLUMN(HeadJournal!B$1),0),"")</f>
        <v>0</v>
      </c>
      <c r="C2252" s="94" t="str">
        <f>IFERROR(VLOOKUP($A2252,HeadJournal!$A$1:$NTR$890,COLUMN(HeadJournal!C$1),0),"")</f>
        <v>WBRS</v>
      </c>
      <c r="D2252" s="125" t="str">
        <f>IFERROR(VLOOKUP($A2252,HeadJournal!$A$1:$NTR$890,COLUMN(HeadJournal!D$1),0),"")</f>
        <v>Доставлен</v>
      </c>
      <c r="E2252" s="95">
        <f>IFERROR(VLOOKUP($A2252,HeadJournal!$A$1:$NTR$890,COLUMN(HeadJournal!G$1),0),"")</f>
        <v>45199</v>
      </c>
      <c r="F2252" s="95" t="str">
        <f t="shared" si="179"/>
        <v>2023 09</v>
      </c>
      <c r="G2252" s="96" t="s">
        <v>6</v>
      </c>
      <c r="H2252" s="160" t="str">
        <f>RIGHT(Journal!$J2252,9)</f>
        <v>005586833</v>
      </c>
      <c r="I2252" s="96" t="str">
        <f t="shared" si="176"/>
        <v>R-Line</v>
      </c>
      <c r="J2252" s="97" t="s">
        <v>1023</v>
      </c>
      <c r="K2252" s="29">
        <v>1486</v>
      </c>
      <c r="L2252" s="29">
        <v>0</v>
      </c>
      <c r="M2252" s="30">
        <f>IFERROR(VLOOKUP($A2252,HeadJournal!$A$1:$J$890,COLUMN(HeadJournal!I$1),0)*($K2252+$L2252)/(SUMIF($A:$A,$A2252,$K:$K)+SUMIF($A:$A,$A2252,$L:$L)),0)</f>
        <v>0</v>
      </c>
      <c r="N2252" s="30">
        <f>IFERROR((VLOOKUP($A2252,HeadJournal!$A$1:$K$890,COLUMN(HeadJournal!K$1),0)-VLOOKUP($A2252,HeadJournal!$A$1:$K$890,COLUMN(HeadJournal!J$1),0))*($K2252+$L2252)/(SUMIF($A:$A,$A2252,$K:$K)+SUMIF($A:$A,$A2252,$L:$L)),0)</f>
        <v>0</v>
      </c>
      <c r="O2252" s="30">
        <f>IFERROR((VLOOKUP($A2252,HeadJournal!$A$1:$L$890,COLUMN(HeadJournal!L$1),0)*($K2252+$L2252)/(SUMIF($A:$A,$A2252,$K:$K)+SUMIF($A:$A,$A2252,$L:$L)))/VLOOKUP($A2252,HeadJournal!$A$1:$L$890,COLUMN(HeadJournal!H$1),0),0)</f>
        <v>148.6</v>
      </c>
      <c r="P2252" s="30">
        <f>IFERROR(SUM(K2252:O2252)*VLOOKUP($A2252,HeadJournal!$A$1:$L$890,COLUMN(HeadJournal!H$1),0),0)</f>
        <v>1634.6</v>
      </c>
      <c r="Q2252" s="29">
        <v>3000</v>
      </c>
      <c r="R2252" s="31">
        <v>45208</v>
      </c>
      <c r="S2252" s="31" t="s">
        <v>3121</v>
      </c>
      <c r="T2252" s="95" t="str">
        <f t="shared" si="180"/>
        <v>2023 10</v>
      </c>
      <c r="U2252" s="32">
        <f t="shared" si="177"/>
        <v>1365.4</v>
      </c>
      <c r="V2252" s="22">
        <f t="shared" si="178"/>
        <v>0.83531139116603459</v>
      </c>
      <c r="X2252" s="33"/>
      <c r="Y2252" s="33"/>
    </row>
    <row r="2253" spans="1:25" x14ac:dyDescent="0.2">
      <c r="A2253" s="93" t="s">
        <v>1024</v>
      </c>
      <c r="B2253" s="94" t="str">
        <f>IFERROR(VLOOKUP($A2253,HeadJournal!$A$1:$NTR$890,COLUMN(HeadJournal!B$1),0),"")</f>
        <v>700000938962</v>
      </c>
      <c r="C2253" s="94" t="str">
        <f>IFERROR(VLOOKUP($A2253,HeadJournal!$A$1:$NTR$890,COLUMN(HeadJournal!C$1),0),"")</f>
        <v>iHerb_MH DLE7202</v>
      </c>
      <c r="D2253" s="125" t="str">
        <f>IFERROR(VLOOKUP($A2253,HeadJournal!$A$1:$NTR$890,COLUMN(HeadJournal!D$1),0),"")</f>
        <v>Доставлен</v>
      </c>
      <c r="E2253" s="95">
        <f>IFERROR(VLOOKUP($A2253,HeadJournal!$A$1:$NTR$890,COLUMN(HeadJournal!G$1),0),"")</f>
        <v>45200</v>
      </c>
      <c r="F2253" s="95" t="str">
        <f t="shared" si="179"/>
        <v>2023 10</v>
      </c>
      <c r="G2253" s="96" t="s">
        <v>7</v>
      </c>
      <c r="H2253" s="160" t="str">
        <f>RIGHT(Journal!$J2253,9)</f>
        <v>PTF-10431</v>
      </c>
      <c r="I2253" s="96" t="str">
        <f t="shared" si="176"/>
        <v>Planetary Herbals</v>
      </c>
      <c r="J2253" s="97" t="s">
        <v>944</v>
      </c>
      <c r="K2253" s="29">
        <v>16.46</v>
      </c>
      <c r="L2253" s="29">
        <v>-4.4450000000000003</v>
      </c>
      <c r="M2253" s="30">
        <f>IFERROR(VLOOKUP($A2253,HeadJournal!$A$1:$J$890,COLUMN(HeadJournal!I$1),0)*($K2253+$L2253)/(SUMIF($A:$A,$A2253,$K:$K)+SUMIF($A:$A,$A2253,$L:$L)),0)</f>
        <v>-0.48736525282459714</v>
      </c>
      <c r="N2253" s="30">
        <f>IFERROR((VLOOKUP($A2253,HeadJournal!$A$1:$K$890,COLUMN(HeadJournal!K$1),0)-VLOOKUP($A2253,HeadJournal!$A$1:$K$890,COLUMN(HeadJournal!J$1),0))*($K2253+$L2253)/(SUMIF($A:$A,$A2253,$K:$K)+SUMIF($A:$A,$A2253,$L:$L)),0)</f>
        <v>-1.5812504112164481E-15</v>
      </c>
      <c r="O2253" s="30">
        <f>IFERROR((VLOOKUP($A2253,HeadJournal!$A$1:$L$890,COLUMN(HeadJournal!L$1),0)*($K2253+$L2253)/(SUMIF($A:$A,$A2253,$K:$K)+SUMIF($A:$A,$A2253,$L:$L)))/VLOOKUP($A2253,HeadJournal!$A$1:$L$890,COLUMN(HeadJournal!H$1),0),0)</f>
        <v>0.65913467723928432</v>
      </c>
      <c r="P2253" s="30">
        <f>IFERROR(SUM(K2253:O2253)*VLOOKUP($A2253,HeadJournal!$A$1:$L$890,COLUMN(HeadJournal!H$1),0),0)</f>
        <v>1325.5923175588073</v>
      </c>
      <c r="Q2253" s="29">
        <v>2200</v>
      </c>
      <c r="R2253" s="31">
        <v>45367</v>
      </c>
      <c r="S2253" s="31" t="s">
        <v>3121</v>
      </c>
      <c r="T2253" s="95" t="str">
        <f t="shared" si="180"/>
        <v>2024 03</v>
      </c>
      <c r="U2253" s="32">
        <f t="shared" si="177"/>
        <v>874.40768244119272</v>
      </c>
      <c r="V2253" s="22">
        <f t="shared" si="178"/>
        <v>0.65963544813799913</v>
      </c>
      <c r="X2253" s="33"/>
      <c r="Y2253" s="33"/>
    </row>
    <row r="2254" spans="1:25" x14ac:dyDescent="0.2">
      <c r="A2254" s="93" t="s">
        <v>1024</v>
      </c>
      <c r="B2254" s="94" t="str">
        <f>IFERROR(VLOOKUP($A2254,HeadJournal!$A$1:$NTR$890,COLUMN(HeadJournal!B$1),0),"")</f>
        <v>700000938962</v>
      </c>
      <c r="C2254" s="94" t="str">
        <f>IFERROR(VLOOKUP($A2254,HeadJournal!$A$1:$NTR$890,COLUMN(HeadJournal!C$1),0),"")</f>
        <v>iHerb_MH DLE7202</v>
      </c>
      <c r="D2254" s="125" t="str">
        <f>IFERROR(VLOOKUP($A2254,HeadJournal!$A$1:$NTR$890,COLUMN(HeadJournal!D$1),0),"")</f>
        <v>Доставлен</v>
      </c>
      <c r="E2254" s="95">
        <f>IFERROR(VLOOKUP($A2254,HeadJournal!$A$1:$NTR$890,COLUMN(HeadJournal!G$1),0),"")</f>
        <v>45200</v>
      </c>
      <c r="F2254" s="95" t="str">
        <f t="shared" si="179"/>
        <v>2023 10</v>
      </c>
      <c r="G2254" s="96" t="s">
        <v>7</v>
      </c>
      <c r="H2254" s="160" t="str">
        <f>RIGHT(Journal!$J2254,9)</f>
        <v>PTF-10431</v>
      </c>
      <c r="I2254" s="96" t="str">
        <f t="shared" ref="I2254:I2313" si="181">IFERROR(LEFT(J2254,FIND(",",J2254)-1),"")</f>
        <v>Planetary Herbals</v>
      </c>
      <c r="J2254" s="97" t="s">
        <v>944</v>
      </c>
      <c r="K2254" s="29">
        <v>16.46</v>
      </c>
      <c r="L2254" s="29">
        <v>-4.4450000000000003</v>
      </c>
      <c r="M2254" s="30">
        <f>IFERROR(VLOOKUP($A2254,HeadJournal!$A$1:$J$890,COLUMN(HeadJournal!I$1),0)*($K2254+$L2254)/(SUMIF($A:$A,$A2254,$K:$K)+SUMIF($A:$A,$A2254,$L:$L)),0)</f>
        <v>-0.48736525282459714</v>
      </c>
      <c r="N2254" s="30">
        <f>IFERROR((VLOOKUP($A2254,HeadJournal!$A$1:$K$890,COLUMN(HeadJournal!K$1),0)-VLOOKUP($A2254,HeadJournal!$A$1:$K$890,COLUMN(HeadJournal!J$1),0))*($K2254+$L2254)/(SUMIF($A:$A,$A2254,$K:$K)+SUMIF($A:$A,$A2254,$L:$L)),0)</f>
        <v>-1.5812504112164481E-15</v>
      </c>
      <c r="O2254" s="30">
        <f>IFERROR((VLOOKUP($A2254,HeadJournal!$A$1:$L$890,COLUMN(HeadJournal!L$1),0)*($K2254+$L2254)/(SUMIF($A:$A,$A2254,$K:$K)+SUMIF($A:$A,$A2254,$L:$L)))/VLOOKUP($A2254,HeadJournal!$A$1:$L$890,COLUMN(HeadJournal!H$1),0),0)</f>
        <v>0.65913467723928432</v>
      </c>
      <c r="P2254" s="30">
        <f>IFERROR(SUM(K2254:O2254)*VLOOKUP($A2254,HeadJournal!$A$1:$L$890,COLUMN(HeadJournal!H$1),0),0)</f>
        <v>1325.5923175588073</v>
      </c>
      <c r="Q2254" s="29"/>
      <c r="R2254" s="31"/>
      <c r="S2254" s="31"/>
      <c r="T2254" s="95" t="str">
        <f t="shared" si="180"/>
        <v/>
      </c>
      <c r="U2254" s="32">
        <f t="shared" si="177"/>
        <v>-1325.5923175588073</v>
      </c>
      <c r="V2254" s="22" t="str">
        <f t="shared" si="178"/>
        <v/>
      </c>
      <c r="X2254" s="33"/>
      <c r="Y2254" s="33"/>
    </row>
    <row r="2255" spans="1:25" x14ac:dyDescent="0.2">
      <c r="A2255" s="93" t="s">
        <v>1024</v>
      </c>
      <c r="B2255" s="94" t="str">
        <f>IFERROR(VLOOKUP($A2255,HeadJournal!$A$1:$NTR$890,COLUMN(HeadJournal!B$1),0),"")</f>
        <v>700000938962</v>
      </c>
      <c r="C2255" s="94" t="str">
        <f>IFERROR(VLOOKUP($A2255,HeadJournal!$A$1:$NTR$890,COLUMN(HeadJournal!C$1),0),"")</f>
        <v>iHerb_MH DLE7202</v>
      </c>
      <c r="D2255" s="125" t="str">
        <f>IFERROR(VLOOKUP($A2255,HeadJournal!$A$1:$NTR$890,COLUMN(HeadJournal!D$1),0),"")</f>
        <v>Доставлен</v>
      </c>
      <c r="E2255" s="95">
        <f>IFERROR(VLOOKUP($A2255,HeadJournal!$A$1:$NTR$890,COLUMN(HeadJournal!G$1),0),"")</f>
        <v>45200</v>
      </c>
      <c r="F2255" s="95" t="str">
        <f t="shared" si="179"/>
        <v>2023 10</v>
      </c>
      <c r="G2255" s="96" t="s">
        <v>5</v>
      </c>
      <c r="H2255" s="160" t="str">
        <f>RIGHT(Journal!$J2255,9)</f>
        <v>SDN-00601</v>
      </c>
      <c r="I2255" s="96" t="str">
        <f t="shared" si="181"/>
        <v>Sundown Naturals</v>
      </c>
      <c r="J2255" s="97" t="s">
        <v>1025</v>
      </c>
      <c r="K2255" s="29">
        <v>7.45</v>
      </c>
      <c r="L2255" s="29">
        <v>-0.75</v>
      </c>
      <c r="M2255" s="30">
        <f>IFERROR(VLOOKUP($A2255,HeadJournal!$A$1:$J$890,COLUMN(HeadJournal!I$1),0)*($K2255+$L2255)/(SUMIF($A:$A,$A2255,$K:$K)+SUMIF($A:$A,$A2255,$L:$L)),0)</f>
        <v>-0.27177255047230969</v>
      </c>
      <c r="N2255" s="30">
        <f>IFERROR((VLOOKUP($A2255,HeadJournal!$A$1:$K$890,COLUMN(HeadJournal!K$1),0)-VLOOKUP($A2255,HeadJournal!$A$1:$K$890,COLUMN(HeadJournal!J$1),0))*($K2255+$L2255)/(SUMIF($A:$A,$A2255,$K:$K)+SUMIF($A:$A,$A2255,$L:$L)),0)</f>
        <v>-8.8176260966709969E-16</v>
      </c>
      <c r="O2255" s="30">
        <f>IFERROR((VLOOKUP($A2255,HeadJournal!$A$1:$L$890,COLUMN(HeadJournal!L$1),0)*($K2255+$L2255)/(SUMIF($A:$A,$A2255,$K:$K)+SUMIF($A:$A,$A2255,$L:$L)))/VLOOKUP($A2255,HeadJournal!$A$1:$L$890,COLUMN(HeadJournal!H$1),0),0)</f>
        <v>0.36755741469023762</v>
      </c>
      <c r="P2255" s="30">
        <f>IFERROR(SUM(K2255:O2255)*VLOOKUP($A2255,HeadJournal!$A$1:$L$890,COLUMN(HeadJournal!H$1),0),0)</f>
        <v>739.19837932950543</v>
      </c>
      <c r="Q2255" s="29">
        <v>1300</v>
      </c>
      <c r="R2255" s="31">
        <v>45220</v>
      </c>
      <c r="S2255" s="31" t="s">
        <v>3121</v>
      </c>
      <c r="T2255" s="95" t="str">
        <f t="shared" si="180"/>
        <v>2023 10</v>
      </c>
      <c r="U2255" s="32">
        <f t="shared" si="177"/>
        <v>560.80162067049457</v>
      </c>
      <c r="V2255" s="22">
        <f t="shared" si="178"/>
        <v>0.75866186446346551</v>
      </c>
      <c r="X2255" s="33"/>
      <c r="Y2255" s="33"/>
    </row>
    <row r="2256" spans="1:25" x14ac:dyDescent="0.2">
      <c r="A2256" s="93" t="s">
        <v>1024</v>
      </c>
      <c r="B2256" s="94" t="str">
        <f>IFERROR(VLOOKUP($A2256,HeadJournal!$A$1:$NTR$890,COLUMN(HeadJournal!B$1),0),"")</f>
        <v>700000938962</v>
      </c>
      <c r="C2256" s="94" t="str">
        <f>IFERROR(VLOOKUP($A2256,HeadJournal!$A$1:$NTR$890,COLUMN(HeadJournal!C$1),0),"")</f>
        <v>iHerb_MH DLE7202</v>
      </c>
      <c r="D2256" s="125" t="str">
        <f>IFERROR(VLOOKUP($A2256,HeadJournal!$A$1:$NTR$890,COLUMN(HeadJournal!D$1),0),"")</f>
        <v>Доставлен</v>
      </c>
      <c r="E2256" s="95">
        <f>IFERROR(VLOOKUP($A2256,HeadJournal!$A$1:$NTR$890,COLUMN(HeadJournal!G$1),0),"")</f>
        <v>45200</v>
      </c>
      <c r="F2256" s="95" t="str">
        <f t="shared" si="179"/>
        <v>2023 10</v>
      </c>
      <c r="G2256" s="96" t="s">
        <v>5</v>
      </c>
      <c r="H2256" s="160" t="str">
        <f>RIGHT(Journal!$J2256,9)</f>
        <v>CAL-39022</v>
      </c>
      <c r="I2256" s="96" t="str">
        <f t="shared" si="181"/>
        <v>KAL</v>
      </c>
      <c r="J2256" s="97" t="s">
        <v>1026</v>
      </c>
      <c r="K2256" s="29">
        <v>18.68</v>
      </c>
      <c r="L2256" s="29">
        <v>-1.87</v>
      </c>
      <c r="M2256" s="30">
        <f>IFERROR(VLOOKUP($A2256,HeadJournal!$A$1:$J$890,COLUMN(HeadJournal!I$1),0)*($K2256+$L2256)/(SUMIF($A:$A,$A2256,$K:$K)+SUMIF($A:$A,$A2256,$L:$L)),0)</f>
        <v>-0.68186516021485455</v>
      </c>
      <c r="N2256" s="30">
        <f>IFERROR((VLOOKUP($A2256,HeadJournal!$A$1:$K$890,COLUMN(HeadJournal!K$1),0)-VLOOKUP($A2256,HeadJournal!$A$1:$K$890,COLUMN(HeadJournal!J$1),0))*($K2256+$L2256)/(SUMIF($A:$A,$A2256,$K:$K)+SUMIF($A:$A,$A2256,$L:$L)),0)</f>
        <v>-2.2123029057468572E-15</v>
      </c>
      <c r="O2256" s="30">
        <f>IFERROR((VLOOKUP($A2256,HeadJournal!$A$1:$L$890,COLUMN(HeadJournal!L$1),0)*($K2256+$L2256)/(SUMIF($A:$A,$A2256,$K:$K)+SUMIF($A:$A,$A2256,$L:$L)))/VLOOKUP($A2256,HeadJournal!$A$1:$L$890,COLUMN(HeadJournal!H$1),0),0)</f>
        <v>0.92218509566311846</v>
      </c>
      <c r="P2256" s="30">
        <f>IFERROR(SUM(K2256:O2256)*VLOOKUP($A2256,HeadJournal!$A$1:$L$890,COLUMN(HeadJournal!H$1),0),0)</f>
        <v>1854.6156353028332</v>
      </c>
      <c r="Q2256" s="29">
        <v>2500</v>
      </c>
      <c r="R2256" s="31">
        <v>45220</v>
      </c>
      <c r="S2256" s="31" t="s">
        <v>3121</v>
      </c>
      <c r="T2256" s="95" t="str">
        <f t="shared" si="180"/>
        <v>2023 10</v>
      </c>
      <c r="U2256" s="32">
        <f t="shared" si="177"/>
        <v>645.3843646971668</v>
      </c>
      <c r="V2256" s="22">
        <f t="shared" si="178"/>
        <v>0.34798820435469069</v>
      </c>
      <c r="X2256" s="33"/>
      <c r="Y2256" s="33"/>
    </row>
    <row r="2257" spans="1:25" x14ac:dyDescent="0.2">
      <c r="A2257" s="93" t="s">
        <v>1024</v>
      </c>
      <c r="B2257" s="94" t="str">
        <f>IFERROR(VLOOKUP($A2257,HeadJournal!$A$1:$NTR$890,COLUMN(HeadJournal!B$1),0),"")</f>
        <v>700000938962</v>
      </c>
      <c r="C2257" s="94" t="str">
        <f>IFERROR(VLOOKUP($A2257,HeadJournal!$A$1:$NTR$890,COLUMN(HeadJournal!C$1),0),"")</f>
        <v>iHerb_MH DLE7202</v>
      </c>
      <c r="D2257" s="125" t="str">
        <f>IFERROR(VLOOKUP($A2257,HeadJournal!$A$1:$NTR$890,COLUMN(HeadJournal!D$1),0),"")</f>
        <v>Доставлен</v>
      </c>
      <c r="E2257" s="95">
        <f>IFERROR(VLOOKUP($A2257,HeadJournal!$A$1:$NTR$890,COLUMN(HeadJournal!G$1),0),"")</f>
        <v>45200</v>
      </c>
      <c r="F2257" s="95" t="str">
        <f t="shared" si="179"/>
        <v>2023 10</v>
      </c>
      <c r="G2257" s="96" t="s">
        <v>5</v>
      </c>
      <c r="H2257" s="161" t="s">
        <v>2984</v>
      </c>
      <c r="I2257" s="97" t="s">
        <v>2218</v>
      </c>
      <c r="J2257" s="97" t="s">
        <v>2985</v>
      </c>
      <c r="K2257" s="29">
        <v>9.77</v>
      </c>
      <c r="L2257" s="29">
        <v>-0.98</v>
      </c>
      <c r="M2257" s="30">
        <f>IFERROR(VLOOKUP($A2257,HeadJournal!$A$1:$J$890,COLUMN(HeadJournal!I$1),0)*($K2257+$L2257)/(SUMIF($A:$A,$A2257,$K:$K)+SUMIF($A:$A,$A2257,$L:$L)),0)</f>
        <v>-0.35654936099277634</v>
      </c>
      <c r="N2257" s="30">
        <f>IFERROR((VLOOKUP($A2257,HeadJournal!$A$1:$K$890,COLUMN(HeadJournal!K$1),0)-VLOOKUP($A2257,HeadJournal!$A$1:$K$890,COLUMN(HeadJournal!J$1),0))*($K2257+$L2257)/(SUMIF($A:$A,$A2257,$K:$K)+SUMIF($A:$A,$A2257,$L:$L)),0)</f>
        <v>-1.1568199013393739E-15</v>
      </c>
      <c r="O2257" s="30">
        <f>IFERROR((VLOOKUP($A2257,HeadJournal!$A$1:$L$890,COLUMN(HeadJournal!L$1),0)*($K2257+$L2257)/(SUMIF($A:$A,$A2257,$K:$K)+SUMIF($A:$A,$A2257,$L:$L)))/VLOOKUP($A2257,HeadJournal!$A$1:$L$890,COLUMN(HeadJournal!H$1),0),0)</f>
        <v>0.48221338434734151</v>
      </c>
      <c r="P2257" s="30">
        <f>IFERROR(SUM(K2257:O2257)*VLOOKUP($A2257,HeadJournal!$A$1:$L$890,COLUMN(HeadJournal!H$1),0),0)</f>
        <v>969.78414243378381</v>
      </c>
      <c r="Q2257" s="29">
        <v>1500</v>
      </c>
      <c r="R2257" s="31">
        <v>45220</v>
      </c>
      <c r="S2257" s="31" t="s">
        <v>3121</v>
      </c>
      <c r="T2257" s="95" t="str">
        <f t="shared" si="180"/>
        <v>2023 10</v>
      </c>
      <c r="U2257" s="32">
        <f t="shared" si="177"/>
        <v>530.21585756621619</v>
      </c>
      <c r="V2257" s="22">
        <f t="shared" si="178"/>
        <v>0.54673595325613289</v>
      </c>
      <c r="X2257" s="33"/>
      <c r="Y2257" s="33"/>
    </row>
    <row r="2258" spans="1:25" x14ac:dyDescent="0.2">
      <c r="A2258" s="93" t="s">
        <v>1024</v>
      </c>
      <c r="B2258" s="94" t="str">
        <f>IFERROR(VLOOKUP($A2258,HeadJournal!$A$1:$NTR$890,COLUMN(HeadJournal!B$1),0),"")</f>
        <v>700000938962</v>
      </c>
      <c r="C2258" s="94" t="str">
        <f>IFERROR(VLOOKUP($A2258,HeadJournal!$A$1:$NTR$890,COLUMN(HeadJournal!C$1),0),"")</f>
        <v>iHerb_MH DLE7202</v>
      </c>
      <c r="D2258" s="125" t="str">
        <f>IFERROR(VLOOKUP($A2258,HeadJournal!$A$1:$NTR$890,COLUMN(HeadJournal!D$1),0),"")</f>
        <v>Доставлен</v>
      </c>
      <c r="E2258" s="95">
        <f>IFERROR(VLOOKUP($A2258,HeadJournal!$A$1:$NTR$890,COLUMN(HeadJournal!G$1),0),"")</f>
        <v>45200</v>
      </c>
      <c r="F2258" s="95" t="str">
        <f t="shared" si="179"/>
        <v>2023 10</v>
      </c>
      <c r="G2258" s="96" t="s">
        <v>5</v>
      </c>
      <c r="H2258" s="160" t="str">
        <f>RIGHT(Journal!$J2258,9)</f>
        <v>CGN-01863</v>
      </c>
      <c r="I2258" s="96" t="str">
        <f t="shared" si="181"/>
        <v>California Gold Nutrition</v>
      </c>
      <c r="J2258" s="97" t="s">
        <v>1027</v>
      </c>
      <c r="K2258" s="29">
        <v>23.06</v>
      </c>
      <c r="L2258" s="29">
        <v>-6.92</v>
      </c>
      <c r="M2258" s="30">
        <f>IFERROR(VLOOKUP($A2258,HeadJournal!$A$1:$J$890,COLUMN(HeadJournal!I$1),0)*($K2258+$L2258)/(SUMIF($A:$A,$A2258,$K:$K)+SUMIF($A:$A,$A2258,$L:$L)),0)</f>
        <v>-0.65468790516762365</v>
      </c>
      <c r="N2258" s="30">
        <f>IFERROR((VLOOKUP($A2258,HeadJournal!$A$1:$K$890,COLUMN(HeadJournal!K$1),0)-VLOOKUP($A2258,HeadJournal!$A$1:$K$890,COLUMN(HeadJournal!J$1),0))*($K2258+$L2258)/(SUMIF($A:$A,$A2258,$K:$K)+SUMIF($A:$A,$A2258,$L:$L)),0)</f>
        <v>-2.1241266447801475E-15</v>
      </c>
      <c r="O2258" s="30">
        <f>IFERROR((VLOOKUP($A2258,HeadJournal!$A$1:$L$890,COLUMN(HeadJournal!L$1),0)*($K2258+$L2258)/(SUMIF($A:$A,$A2258,$K:$K)+SUMIF($A:$A,$A2258,$L:$L)))/VLOOKUP($A2258,HeadJournal!$A$1:$L$890,COLUMN(HeadJournal!H$1),0),0)</f>
        <v>0.88542935419409463</v>
      </c>
      <c r="P2258" s="30">
        <f>IFERROR(SUM(K2258:O2258)*VLOOKUP($A2258,HeadJournal!$A$1:$L$890,COLUMN(HeadJournal!H$1),0),0)</f>
        <v>1780.6957973698832</v>
      </c>
      <c r="Q2258" s="29">
        <v>2800</v>
      </c>
      <c r="R2258" s="31">
        <v>45220</v>
      </c>
      <c r="S2258" s="31" t="s">
        <v>3121</v>
      </c>
      <c r="T2258" s="95" t="str">
        <f t="shared" si="180"/>
        <v>2023 10</v>
      </c>
      <c r="U2258" s="32">
        <f t="shared" si="177"/>
        <v>1019.3042026301168</v>
      </c>
      <c r="V2258" s="22">
        <f t="shared" si="178"/>
        <v>0.57241905334737453</v>
      </c>
      <c r="X2258" s="33"/>
      <c r="Y2258" s="33"/>
    </row>
    <row r="2259" spans="1:25" x14ac:dyDescent="0.2">
      <c r="A2259" s="93" t="s">
        <v>1024</v>
      </c>
      <c r="B2259" s="94" t="str">
        <f>IFERROR(VLOOKUP($A2259,HeadJournal!$A$1:$NTR$890,COLUMN(HeadJournal!B$1),0),"")</f>
        <v>700000938962</v>
      </c>
      <c r="C2259" s="94" t="str">
        <f>IFERROR(VLOOKUP($A2259,HeadJournal!$A$1:$NTR$890,COLUMN(HeadJournal!C$1),0),"")</f>
        <v>iHerb_MH DLE7202</v>
      </c>
      <c r="D2259" s="125" t="str">
        <f>IFERROR(VLOOKUP($A2259,HeadJournal!$A$1:$NTR$890,COLUMN(HeadJournal!D$1),0),"")</f>
        <v>Доставлен</v>
      </c>
      <c r="E2259" s="95">
        <f>IFERROR(VLOOKUP($A2259,HeadJournal!$A$1:$NTR$890,COLUMN(HeadJournal!G$1),0),"")</f>
        <v>45200</v>
      </c>
      <c r="F2259" s="95" t="str">
        <f t="shared" si="179"/>
        <v>2023 10</v>
      </c>
      <c r="G2259" s="96" t="s">
        <v>5</v>
      </c>
      <c r="H2259" s="161" t="s">
        <v>2614</v>
      </c>
      <c r="I2259" s="97" t="s">
        <v>2005</v>
      </c>
      <c r="J2259" s="97" t="s">
        <v>2641</v>
      </c>
      <c r="K2259" s="29">
        <v>5.48</v>
      </c>
      <c r="L2259" s="29">
        <v>-1.48</v>
      </c>
      <c r="M2259" s="30">
        <f>IFERROR(VLOOKUP($A2259,HeadJournal!$A$1:$J$890,COLUMN(HeadJournal!I$1),0)*($K2259+$L2259)/(SUMIF($A:$A,$A2259,$K:$K)+SUMIF($A:$A,$A2259,$L:$L)),0)</f>
        <v>-0.16225226893869235</v>
      </c>
      <c r="N2259" s="30">
        <f>IFERROR((VLOOKUP($A2259,HeadJournal!$A$1:$K$890,COLUMN(HeadJournal!K$1),0)-VLOOKUP($A2259,HeadJournal!$A$1:$K$890,COLUMN(HeadJournal!J$1),0))*($K2259+$L2259)/(SUMIF($A:$A,$A2259,$K:$K)+SUMIF($A:$A,$A2259,$L:$L)),0)</f>
        <v>-5.2642543860722366E-16</v>
      </c>
      <c r="O2259" s="30">
        <f>IFERROR((VLOOKUP($A2259,HeadJournal!$A$1:$L$890,COLUMN(HeadJournal!L$1),0)*($K2259+$L2259)/(SUMIF($A:$A,$A2259,$K:$K)+SUMIF($A:$A,$A2259,$L:$L)))/VLOOKUP($A2259,HeadJournal!$A$1:$L$890,COLUMN(HeadJournal!H$1),0),0)</f>
        <v>0.21943726250163437</v>
      </c>
      <c r="P2259" s="30">
        <f>IFERROR(SUM(K2259:O2259)*VLOOKUP($A2259,HeadJournal!$A$1:$L$890,COLUMN(HeadJournal!H$1),0),0)</f>
        <v>441.31246527134653</v>
      </c>
      <c r="Q2259" s="29">
        <v>900</v>
      </c>
      <c r="R2259" s="31">
        <v>45254</v>
      </c>
      <c r="S2259" s="31" t="s">
        <v>3121</v>
      </c>
      <c r="T2259" s="95" t="str">
        <f t="shared" si="180"/>
        <v>2023 11</v>
      </c>
      <c r="U2259" s="32">
        <f t="shared" si="177"/>
        <v>458.68753472865347</v>
      </c>
      <c r="V2259" s="22">
        <f t="shared" si="178"/>
        <v>1.0393713543682108</v>
      </c>
      <c r="X2259" s="33"/>
      <c r="Y2259" s="33"/>
    </row>
    <row r="2260" spans="1:25" x14ac:dyDescent="0.2">
      <c r="A2260" s="93" t="s">
        <v>1024</v>
      </c>
      <c r="B2260" s="94" t="str">
        <f>IFERROR(VLOOKUP($A2260,HeadJournal!$A$1:$NTR$890,COLUMN(HeadJournal!B$1),0),"")</f>
        <v>700000938962</v>
      </c>
      <c r="C2260" s="94" t="str">
        <f>IFERROR(VLOOKUP($A2260,HeadJournal!$A$1:$NTR$890,COLUMN(HeadJournal!C$1),0),"")</f>
        <v>iHerb_MH DLE7202</v>
      </c>
      <c r="D2260" s="125" t="str">
        <f>IFERROR(VLOOKUP($A2260,HeadJournal!$A$1:$NTR$890,COLUMN(HeadJournal!D$1),0),"")</f>
        <v>Доставлен</v>
      </c>
      <c r="E2260" s="95">
        <f>IFERROR(VLOOKUP($A2260,HeadJournal!$A$1:$NTR$890,COLUMN(HeadJournal!G$1),0),"")</f>
        <v>45200</v>
      </c>
      <c r="F2260" s="95" t="str">
        <f t="shared" si="179"/>
        <v>2023 10</v>
      </c>
      <c r="G2260" s="96" t="s">
        <v>5</v>
      </c>
      <c r="H2260" s="160" t="str">
        <f>RIGHT(Journal!$J2260,9)</f>
        <v>LEX-20963</v>
      </c>
      <c r="I2260" s="96" t="str">
        <f t="shared" si="181"/>
        <v>Life Extension</v>
      </c>
      <c r="J2260" s="97" t="s">
        <v>1028</v>
      </c>
      <c r="K2260" s="29">
        <v>15.96</v>
      </c>
      <c r="L2260" s="29">
        <v>-4.3099999999999996</v>
      </c>
      <c r="M2260" s="30">
        <f>IFERROR(VLOOKUP($A2260,HeadJournal!$A$1:$J$890,COLUMN(HeadJournal!I$1),0)*($K2260+$L2260)/(SUMIF($A:$A,$A2260,$K:$K)+SUMIF($A:$A,$A2260,$L:$L)),0)</f>
        <v>-0.47255973328394152</v>
      </c>
      <c r="N2260" s="30">
        <f>IFERROR((VLOOKUP($A2260,HeadJournal!$A$1:$K$890,COLUMN(HeadJournal!K$1),0)-VLOOKUP($A2260,HeadJournal!$A$1:$K$890,COLUMN(HeadJournal!J$1),0))*($K2260+$L2260)/(SUMIF($A:$A,$A2260,$K:$K)+SUMIF($A:$A,$A2260,$L:$L)),0)</f>
        <v>-1.5332140899435392E-15</v>
      </c>
      <c r="O2260" s="30">
        <f>IFERROR((VLOOKUP($A2260,HeadJournal!$A$1:$L$890,COLUMN(HeadJournal!L$1),0)*($K2260+$L2260)/(SUMIF($A:$A,$A2260,$K:$K)+SUMIF($A:$A,$A2260,$L:$L)))/VLOOKUP($A2260,HeadJournal!$A$1:$L$890,COLUMN(HeadJournal!H$1),0),0)</f>
        <v>0.63911102703601019</v>
      </c>
      <c r="P2260" s="30">
        <f>IFERROR(SUM(K2260:O2260)*VLOOKUP($A2260,HeadJournal!$A$1:$L$890,COLUMN(HeadJournal!H$1),0),0)</f>
        <v>1285.322555102797</v>
      </c>
      <c r="Q2260" s="29"/>
      <c r="R2260" s="31"/>
      <c r="S2260" s="31"/>
      <c r="T2260" s="95" t="str">
        <f t="shared" si="180"/>
        <v/>
      </c>
      <c r="U2260" s="32">
        <f t="shared" si="177"/>
        <v>-1285.322555102797</v>
      </c>
      <c r="V2260" s="22" t="str">
        <f t="shared" si="178"/>
        <v/>
      </c>
      <c r="X2260" s="33"/>
      <c r="Y2260" s="33"/>
    </row>
    <row r="2261" spans="1:25" x14ac:dyDescent="0.2">
      <c r="A2261" s="93" t="s">
        <v>1024</v>
      </c>
      <c r="B2261" s="94" t="str">
        <f>IFERROR(VLOOKUP($A2261,HeadJournal!$A$1:$NTR$890,COLUMN(HeadJournal!B$1),0),"")</f>
        <v>700000938962</v>
      </c>
      <c r="C2261" s="94" t="str">
        <f>IFERROR(VLOOKUP($A2261,HeadJournal!$A$1:$NTR$890,COLUMN(HeadJournal!C$1),0),"")</f>
        <v>iHerb_MH DLE7202</v>
      </c>
      <c r="D2261" s="125" t="str">
        <f>IFERROR(VLOOKUP($A2261,HeadJournal!$A$1:$NTR$890,COLUMN(HeadJournal!D$1),0),"")</f>
        <v>Доставлен</v>
      </c>
      <c r="E2261" s="95">
        <f>IFERROR(VLOOKUP($A2261,HeadJournal!$A$1:$NTR$890,COLUMN(HeadJournal!G$1),0),"")</f>
        <v>45200</v>
      </c>
      <c r="F2261" s="95" t="str">
        <f t="shared" si="179"/>
        <v>2023 10</v>
      </c>
      <c r="G2261" s="96" t="s">
        <v>5</v>
      </c>
      <c r="H2261" s="161" t="s">
        <v>2642</v>
      </c>
      <c r="I2261" s="97" t="s">
        <v>2212</v>
      </c>
      <c r="J2261" s="97" t="s">
        <v>2643</v>
      </c>
      <c r="K2261" s="29">
        <v>24.98</v>
      </c>
      <c r="L2261" s="29">
        <v>-6.74</v>
      </c>
      <c r="M2261" s="30">
        <f>IFERROR(VLOOKUP($A2261,HeadJournal!$A$1:$J$890,COLUMN(HeadJournal!I$1),0)*($K2261+$L2261)/(SUMIF($A:$A,$A2261,$K:$K)+SUMIF($A:$A,$A2261,$L:$L)),0)</f>
        <v>-0.73987034636043725</v>
      </c>
      <c r="N2261" s="30">
        <f>IFERROR((VLOOKUP($A2261,HeadJournal!$A$1:$K$890,COLUMN(HeadJournal!K$1),0)-VLOOKUP($A2261,HeadJournal!$A$1:$K$890,COLUMN(HeadJournal!J$1),0))*($K2261+$L2261)/(SUMIF($A:$A,$A2261,$K:$K)+SUMIF($A:$A,$A2261,$L:$L)),0)</f>
        <v>-2.4005000000489404E-15</v>
      </c>
      <c r="O2261" s="30">
        <f>IFERROR((VLOOKUP($A2261,HeadJournal!$A$1:$L$890,COLUMN(HeadJournal!L$1),0)*($K2261+$L2261)/(SUMIF($A:$A,$A2261,$K:$K)+SUMIF($A:$A,$A2261,$L:$L)))/VLOOKUP($A2261,HeadJournal!$A$1:$L$890,COLUMN(HeadJournal!H$1),0),0)</f>
        <v>1.0006339170074527</v>
      </c>
      <c r="P2261" s="30">
        <f>IFERROR(SUM(K2261:O2261)*VLOOKUP($A2261,HeadJournal!$A$1:$L$890,COLUMN(HeadJournal!H$1),0),0)</f>
        <v>2012.3848416373401</v>
      </c>
      <c r="Q2261" s="29">
        <v>3000</v>
      </c>
      <c r="R2261" s="31">
        <v>45230</v>
      </c>
      <c r="S2261" s="31" t="s">
        <v>3121</v>
      </c>
      <c r="T2261" s="95" t="str">
        <f t="shared" si="180"/>
        <v>2023 10</v>
      </c>
      <c r="U2261" s="32">
        <f t="shared" si="177"/>
        <v>987.61515836265994</v>
      </c>
      <c r="V2261" s="22">
        <f t="shared" si="178"/>
        <v>0.49076853389489106</v>
      </c>
      <c r="X2261" s="33"/>
      <c r="Y2261" s="33"/>
    </row>
    <row r="2262" spans="1:25" x14ac:dyDescent="0.2">
      <c r="A2262" s="93" t="s">
        <v>1024</v>
      </c>
      <c r="B2262" s="94" t="str">
        <f>IFERROR(VLOOKUP($A2262,HeadJournal!$A$1:$NTR$890,COLUMN(HeadJournal!B$1),0),"")</f>
        <v>700000938962</v>
      </c>
      <c r="C2262" s="94" t="str">
        <f>IFERROR(VLOOKUP($A2262,HeadJournal!$A$1:$NTR$890,COLUMN(HeadJournal!C$1),0),"")</f>
        <v>iHerb_MH DLE7202</v>
      </c>
      <c r="D2262" s="125" t="str">
        <f>IFERROR(VLOOKUP($A2262,HeadJournal!$A$1:$NTR$890,COLUMN(HeadJournal!D$1),0),"")</f>
        <v>Доставлен</v>
      </c>
      <c r="E2262" s="95">
        <f>IFERROR(VLOOKUP($A2262,HeadJournal!$A$1:$NTR$890,COLUMN(HeadJournal!G$1),0),"")</f>
        <v>45200</v>
      </c>
      <c r="F2262" s="95" t="str">
        <f t="shared" si="179"/>
        <v>2023 10</v>
      </c>
      <c r="G2262" s="96" t="s">
        <v>5</v>
      </c>
      <c r="H2262" s="161" t="s">
        <v>2202</v>
      </c>
      <c r="I2262" s="97" t="s">
        <v>2005</v>
      </c>
      <c r="J2262" s="97" t="s">
        <v>3692</v>
      </c>
      <c r="K2262" s="29">
        <v>16.510000000000002</v>
      </c>
      <c r="L2262" s="29">
        <v>-4.46</v>
      </c>
      <c r="M2262" s="30">
        <f>IFERROR(VLOOKUP($A2262,HeadJournal!$A$1:$J$890,COLUMN(HeadJournal!I$1),0)*($K2262+$L2262)/(SUMIF($A:$A,$A2262,$K:$K)+SUMIF($A:$A,$A2262,$L:$L)),0)</f>
        <v>-0.4887849601778107</v>
      </c>
      <c r="N2262" s="30">
        <f>IFERROR((VLOOKUP($A2262,HeadJournal!$A$1:$K$890,COLUMN(HeadJournal!K$1),0)-VLOOKUP($A2262,HeadJournal!$A$1:$K$890,COLUMN(HeadJournal!J$1),0))*($K2262+$L2262)/(SUMIF($A:$A,$A2262,$K:$K)+SUMIF($A:$A,$A2262,$L:$L)),0)</f>
        <v>-1.5858566338042615E-15</v>
      </c>
      <c r="O2262" s="30">
        <f>IFERROR((VLOOKUP($A2262,HeadJournal!$A$1:$L$890,COLUMN(HeadJournal!L$1),0)*($K2262+$L2262)/(SUMIF($A:$A,$A2262,$K:$K)+SUMIF($A:$A,$A2262,$L:$L)))/VLOOKUP($A2262,HeadJournal!$A$1:$L$890,COLUMN(HeadJournal!H$1),0),0)</f>
        <v>0.66105475328617358</v>
      </c>
      <c r="P2262" s="30">
        <f>IFERROR(SUM(K2262:O2262)*VLOOKUP($A2262,HeadJournal!$A$1:$L$890,COLUMN(HeadJournal!H$1),0),0)</f>
        <v>1329.4538016299314</v>
      </c>
      <c r="Q2262" s="29">
        <v>2200</v>
      </c>
      <c r="R2262" s="31">
        <v>45714</v>
      </c>
      <c r="S2262" s="31" t="s">
        <v>3121</v>
      </c>
      <c r="T2262" s="95" t="str">
        <f t="shared" si="180"/>
        <v>2025 02</v>
      </c>
      <c r="U2262" s="32">
        <f t="shared" si="177"/>
        <v>870.54619837006862</v>
      </c>
      <c r="V2262" s="22">
        <f t="shared" si="178"/>
        <v>0.65481493023884341</v>
      </c>
      <c r="X2262" s="33"/>
      <c r="Y2262" s="33"/>
    </row>
    <row r="2263" spans="1:25" x14ac:dyDescent="0.2">
      <c r="A2263" s="93" t="s">
        <v>1024</v>
      </c>
      <c r="B2263" s="94" t="str">
        <f>IFERROR(VLOOKUP($A2263,HeadJournal!$A$1:$NTR$890,COLUMN(HeadJournal!B$1),0),"")</f>
        <v>700000938962</v>
      </c>
      <c r="C2263" s="94" t="str">
        <f>IFERROR(VLOOKUP($A2263,HeadJournal!$A$1:$NTR$890,COLUMN(HeadJournal!C$1),0),"")</f>
        <v>iHerb_MH DLE7202</v>
      </c>
      <c r="D2263" s="125" t="str">
        <f>IFERROR(VLOOKUP($A2263,HeadJournal!$A$1:$NTR$890,COLUMN(HeadJournal!D$1),0),"")</f>
        <v>Доставлен</v>
      </c>
      <c r="E2263" s="95">
        <f>IFERROR(VLOOKUP($A2263,HeadJournal!$A$1:$NTR$890,COLUMN(HeadJournal!G$1),0),"")</f>
        <v>45200</v>
      </c>
      <c r="F2263" s="95" t="str">
        <f t="shared" si="179"/>
        <v>2023 10</v>
      </c>
      <c r="G2263" s="96" t="s">
        <v>5</v>
      </c>
      <c r="H2263" s="161" t="s">
        <v>2202</v>
      </c>
      <c r="I2263" s="97" t="s">
        <v>2005</v>
      </c>
      <c r="J2263" s="97" t="s">
        <v>3692</v>
      </c>
      <c r="K2263" s="29">
        <v>16.510000000000002</v>
      </c>
      <c r="L2263" s="29">
        <v>-4.46</v>
      </c>
      <c r="M2263" s="30">
        <f>IFERROR(VLOOKUP($A2263,HeadJournal!$A$1:$J$890,COLUMN(HeadJournal!I$1),0)*($K2263+$L2263)/(SUMIF($A:$A,$A2263,$K:$K)+SUMIF($A:$A,$A2263,$L:$L)),0)</f>
        <v>-0.4887849601778107</v>
      </c>
      <c r="N2263" s="30">
        <f>IFERROR((VLOOKUP($A2263,HeadJournal!$A$1:$K$890,COLUMN(HeadJournal!K$1),0)-VLOOKUP($A2263,HeadJournal!$A$1:$K$890,COLUMN(HeadJournal!J$1),0))*($K2263+$L2263)/(SUMIF($A:$A,$A2263,$K:$K)+SUMIF($A:$A,$A2263,$L:$L)),0)</f>
        <v>-1.5858566338042615E-15</v>
      </c>
      <c r="O2263" s="30">
        <f>IFERROR((VLOOKUP($A2263,HeadJournal!$A$1:$L$890,COLUMN(HeadJournal!L$1),0)*($K2263+$L2263)/(SUMIF($A:$A,$A2263,$K:$K)+SUMIF($A:$A,$A2263,$L:$L)))/VLOOKUP($A2263,HeadJournal!$A$1:$L$890,COLUMN(HeadJournal!H$1),0),0)</f>
        <v>0.66105475328617358</v>
      </c>
      <c r="P2263" s="30">
        <f>IFERROR(SUM(K2263:O2263)*VLOOKUP($A2263,HeadJournal!$A$1:$L$890,COLUMN(HeadJournal!H$1),0),0)</f>
        <v>1329.4538016299314</v>
      </c>
      <c r="Q2263" s="29">
        <v>2300</v>
      </c>
      <c r="R2263" s="31">
        <v>45859</v>
      </c>
      <c r="S2263" s="31" t="s">
        <v>3384</v>
      </c>
      <c r="T2263" s="95" t="str">
        <f t="shared" si="180"/>
        <v>2025 07</v>
      </c>
      <c r="U2263" s="32">
        <f t="shared" si="177"/>
        <v>970.54619837006862</v>
      </c>
      <c r="V2263" s="22">
        <f t="shared" si="178"/>
        <v>0.73003379070424534</v>
      </c>
      <c r="X2263" s="33"/>
      <c r="Y2263" s="33"/>
    </row>
    <row r="2264" spans="1:25" x14ac:dyDescent="0.2">
      <c r="A2264" s="93" t="s">
        <v>1024</v>
      </c>
      <c r="B2264" s="94" t="str">
        <f>IFERROR(VLOOKUP($A2264,HeadJournal!$A$1:$NTR$890,COLUMN(HeadJournal!B$1),0),"")</f>
        <v>700000938962</v>
      </c>
      <c r="C2264" s="94" t="str">
        <f>IFERROR(VLOOKUP($A2264,HeadJournal!$A$1:$NTR$890,COLUMN(HeadJournal!C$1),0),"")</f>
        <v>iHerb_MH DLE7202</v>
      </c>
      <c r="D2264" s="125" t="str">
        <f>IFERROR(VLOOKUP($A2264,HeadJournal!$A$1:$NTR$890,COLUMN(HeadJournal!D$1),0),"")</f>
        <v>Доставлен</v>
      </c>
      <c r="E2264" s="95">
        <f>IFERROR(VLOOKUP($A2264,HeadJournal!$A$1:$NTR$890,COLUMN(HeadJournal!G$1),0),"")</f>
        <v>45200</v>
      </c>
      <c r="F2264" s="95" t="str">
        <f t="shared" si="179"/>
        <v>2023 10</v>
      </c>
      <c r="G2264" s="96" t="s">
        <v>5</v>
      </c>
      <c r="H2264" s="161" t="s">
        <v>3638</v>
      </c>
      <c r="I2264" s="97" t="s">
        <v>2039</v>
      </c>
      <c r="J2264" s="97" t="s">
        <v>3743</v>
      </c>
      <c r="K2264" s="29">
        <v>17.88</v>
      </c>
      <c r="L2264" s="29">
        <v>-4.83</v>
      </c>
      <c r="M2264" s="30">
        <f>IFERROR(VLOOKUP($A2264,HeadJournal!$A$1:$J$890,COLUMN(HeadJournal!I$1),0)*($K2264+$L2264)/(SUMIF($A:$A,$A2264,$K:$K)+SUMIF($A:$A,$A2264,$L:$L)),0)</f>
        <v>-0.52934802741248366</v>
      </c>
      <c r="N2264" s="30">
        <f>IFERROR((VLOOKUP($A2264,HeadJournal!$A$1:$K$890,COLUMN(HeadJournal!K$1),0)-VLOOKUP($A2264,HeadJournal!$A$1:$K$890,COLUMN(HeadJournal!J$1),0))*($K2264+$L2264)/(SUMIF($A:$A,$A2264,$K:$K)+SUMIF($A:$A,$A2264,$L:$L)),0)</f>
        <v>-1.717462993456067E-15</v>
      </c>
      <c r="O2264" s="30">
        <f>IFERROR((VLOOKUP($A2264,HeadJournal!$A$1:$L$890,COLUMN(HeadJournal!L$1),0)*($K2264+$L2264)/(SUMIF($A:$A,$A2264,$K:$K)+SUMIF($A:$A,$A2264,$L:$L)))/VLOOKUP($A2264,HeadJournal!$A$1:$L$890,COLUMN(HeadJournal!H$1),0),0)</f>
        <v>0.71591406891158205</v>
      </c>
      <c r="P2264" s="30">
        <f>IFERROR(SUM(K2264:O2264)*VLOOKUP($A2264,HeadJournal!$A$1:$L$890,COLUMN(HeadJournal!H$1),0),0)</f>
        <v>1439.7819179477679</v>
      </c>
      <c r="Q2264" s="29">
        <v>2400</v>
      </c>
      <c r="R2264" s="31">
        <v>45239</v>
      </c>
      <c r="S2264" s="31" t="s">
        <v>3121</v>
      </c>
      <c r="T2264" s="95" t="str">
        <f t="shared" si="180"/>
        <v>2023 11</v>
      </c>
      <c r="U2264" s="32">
        <f t="shared" si="177"/>
        <v>960.21808205223215</v>
      </c>
      <c r="V2264" s="22">
        <f t="shared" si="178"/>
        <v>0.66691911468155196</v>
      </c>
      <c r="X2264" s="33"/>
      <c r="Y2264" s="33"/>
    </row>
    <row r="2265" spans="1:25" x14ac:dyDescent="0.2">
      <c r="A2265" s="93" t="s">
        <v>1024</v>
      </c>
      <c r="B2265" s="94" t="str">
        <f>IFERROR(VLOOKUP($A2265,HeadJournal!$A$1:$NTR$890,COLUMN(HeadJournal!B$1),0),"")</f>
        <v>700000938962</v>
      </c>
      <c r="C2265" s="94" t="str">
        <f>IFERROR(VLOOKUP($A2265,HeadJournal!$A$1:$NTR$890,COLUMN(HeadJournal!C$1),0),"")</f>
        <v>iHerb_MH DLE7202</v>
      </c>
      <c r="D2265" s="125" t="str">
        <f>IFERROR(VLOOKUP($A2265,HeadJournal!$A$1:$NTR$890,COLUMN(HeadJournal!D$1),0),"")</f>
        <v>Доставлен</v>
      </c>
      <c r="E2265" s="95">
        <f>IFERROR(VLOOKUP($A2265,HeadJournal!$A$1:$NTR$890,COLUMN(HeadJournal!G$1),0),"")</f>
        <v>45200</v>
      </c>
      <c r="F2265" s="95" t="str">
        <f t="shared" si="179"/>
        <v>2023 10</v>
      </c>
      <c r="G2265" s="96" t="s">
        <v>5</v>
      </c>
      <c r="H2265" s="160" t="str">
        <f>RIGHT(Journal!$J2265,9)</f>
        <v>OAD-08014</v>
      </c>
      <c r="I2265" s="96" t="str">
        <f t="shared" si="181"/>
        <v>One-A-Day</v>
      </c>
      <c r="J2265" s="97" t="s">
        <v>461</v>
      </c>
      <c r="K2265" s="29">
        <v>32.24</v>
      </c>
      <c r="L2265" s="29">
        <v>-8.06</v>
      </c>
      <c r="M2265" s="30">
        <f>IFERROR(VLOOKUP($A2265,HeadJournal!$A$1:$J$890,COLUMN(HeadJournal!I$1),0)*($K2265+$L2265)/(SUMIF($A:$A,$A2265,$K:$K)+SUMIF($A:$A,$A2265,$L:$L)),0)</f>
        <v>-0.98081496573439519</v>
      </c>
      <c r="N2265" s="30">
        <f>IFERROR((VLOOKUP($A2265,HeadJournal!$A$1:$K$890,COLUMN(HeadJournal!K$1),0)-VLOOKUP($A2265,HeadJournal!$A$1:$K$890,COLUMN(HeadJournal!J$1),0))*($K2265+$L2265)/(SUMIF($A:$A,$A2265,$K:$K)+SUMIF($A:$A,$A2265,$L:$L)),0)</f>
        <v>-3.182241776380667E-15</v>
      </c>
      <c r="O2265" s="30">
        <f>IFERROR((VLOOKUP($A2265,HeadJournal!$A$1:$L$890,COLUMN(HeadJournal!L$1),0)*($K2265+$L2265)/(SUMIF($A:$A,$A2265,$K:$K)+SUMIF($A:$A,$A2265,$L:$L)))/VLOOKUP($A2265,HeadJournal!$A$1:$L$890,COLUMN(HeadJournal!H$1),0),0)</f>
        <v>1.3264982518223796</v>
      </c>
      <c r="P2265" s="30">
        <f>IFERROR(SUM(K2265:O2265)*VLOOKUP($A2265,HeadJournal!$A$1:$L$890,COLUMN(HeadJournal!H$1),0),0)</f>
        <v>2667.7338525652895</v>
      </c>
      <c r="Q2265" s="29">
        <v>3900</v>
      </c>
      <c r="R2265" s="31">
        <v>45267</v>
      </c>
      <c r="S2265" s="31" t="s">
        <v>3121</v>
      </c>
      <c r="T2265" s="95" t="str">
        <f t="shared" si="180"/>
        <v>2023 12</v>
      </c>
      <c r="U2265" s="32">
        <f t="shared" si="177"/>
        <v>1232.2661474347105</v>
      </c>
      <c r="V2265" s="22">
        <f t="shared" si="178"/>
        <v>0.46191494936789329</v>
      </c>
      <c r="X2265" s="33"/>
      <c r="Y2265" s="33"/>
    </row>
    <row r="2266" spans="1:25" x14ac:dyDescent="0.2">
      <c r="A2266" s="93" t="s">
        <v>1024</v>
      </c>
      <c r="B2266" s="94" t="str">
        <f>IFERROR(VLOOKUP($A2266,HeadJournal!$A$1:$NTR$890,COLUMN(HeadJournal!B$1),0),"")</f>
        <v>700000938962</v>
      </c>
      <c r="C2266" s="94" t="str">
        <f>IFERROR(VLOOKUP($A2266,HeadJournal!$A$1:$NTR$890,COLUMN(HeadJournal!C$1),0),"")</f>
        <v>iHerb_MH DLE7202</v>
      </c>
      <c r="D2266" s="125" t="str">
        <f>IFERROR(VLOOKUP($A2266,HeadJournal!$A$1:$NTR$890,COLUMN(HeadJournal!D$1),0),"")</f>
        <v>Доставлен</v>
      </c>
      <c r="E2266" s="95">
        <f>IFERROR(VLOOKUP($A2266,HeadJournal!$A$1:$NTR$890,COLUMN(HeadJournal!G$1),0),"")</f>
        <v>45200</v>
      </c>
      <c r="F2266" s="95" t="str">
        <f t="shared" si="179"/>
        <v>2023 10</v>
      </c>
      <c r="G2266" s="96" t="s">
        <v>5</v>
      </c>
      <c r="H2266" s="175" t="s">
        <v>3637</v>
      </c>
      <c r="I2266" s="176" t="s">
        <v>2048</v>
      </c>
      <c r="J2266" s="97" t="s">
        <v>3682</v>
      </c>
      <c r="K2266" s="29">
        <v>18.05</v>
      </c>
      <c r="L2266" s="29">
        <v>-5.42</v>
      </c>
      <c r="M2266" s="30">
        <f>IFERROR(VLOOKUP($A2266,HeadJournal!$A$1:$J$890,COLUMN(HeadJournal!I$1),0)*($K2266+$L2266)/(SUMIF($A:$A,$A2266,$K:$K)+SUMIF($A:$A,$A2266,$L:$L)),0)</f>
        <v>-0.51231153917392114</v>
      </c>
      <c r="N2266" s="30">
        <f>IFERROR((VLOOKUP($A2266,HeadJournal!$A$1:$K$890,COLUMN(HeadJournal!K$1),0)-VLOOKUP($A2266,HeadJournal!$A$1:$K$890,COLUMN(HeadJournal!J$1),0))*($K2266+$L2266)/(SUMIF($A:$A,$A2266,$K:$K)+SUMIF($A:$A,$A2266,$L:$L)),0)</f>
        <v>-1.6621883224023088E-15</v>
      </c>
      <c r="O2266" s="30">
        <f>IFERROR((VLOOKUP($A2266,HeadJournal!$A$1:$L$890,COLUMN(HeadJournal!L$1),0)*($K2266+$L2266)/(SUMIF($A:$A,$A2266,$K:$K)+SUMIF($A:$A,$A2266,$L:$L)))/VLOOKUP($A2266,HeadJournal!$A$1:$L$890,COLUMN(HeadJournal!H$1),0),0)</f>
        <v>0.69287315634891056</v>
      </c>
      <c r="P2266" s="30">
        <f>IFERROR(SUM(K2266:O2266)*VLOOKUP($A2266,HeadJournal!$A$1:$L$890,COLUMN(HeadJournal!H$1),0),0)</f>
        <v>1393.4441090942767</v>
      </c>
      <c r="Q2266" s="29">
        <v>2400</v>
      </c>
      <c r="R2266" s="31">
        <v>45396</v>
      </c>
      <c r="S2266" s="31" t="s">
        <v>3121</v>
      </c>
      <c r="T2266" s="95" t="str">
        <f t="shared" si="180"/>
        <v>2024 04</v>
      </c>
      <c r="U2266" s="32">
        <f t="shared" si="177"/>
        <v>1006.5558909057233</v>
      </c>
      <c r="V2266" s="22">
        <f t="shared" si="178"/>
        <v>0.72235110424340854</v>
      </c>
      <c r="X2266" s="33"/>
      <c r="Y2266" s="33"/>
    </row>
    <row r="2267" spans="1:25" x14ac:dyDescent="0.2">
      <c r="A2267" s="93" t="s">
        <v>1024</v>
      </c>
      <c r="B2267" s="94" t="str">
        <f>IFERROR(VLOOKUP($A2267,HeadJournal!$A$1:$NTR$890,COLUMN(HeadJournal!B$1),0),"")</f>
        <v>700000938962</v>
      </c>
      <c r="C2267" s="94" t="str">
        <f>IFERROR(VLOOKUP($A2267,HeadJournal!$A$1:$NTR$890,COLUMN(HeadJournal!C$1),0),"")</f>
        <v>iHerb_MH DLE7202</v>
      </c>
      <c r="D2267" s="125" t="str">
        <f>IFERROR(VLOOKUP($A2267,HeadJournal!$A$1:$NTR$890,COLUMN(HeadJournal!D$1),0),"")</f>
        <v>Доставлен</v>
      </c>
      <c r="E2267" s="95">
        <f>IFERROR(VLOOKUP($A2267,HeadJournal!$A$1:$NTR$890,COLUMN(HeadJournal!G$1),0),"")</f>
        <v>45200</v>
      </c>
      <c r="F2267" s="95" t="str">
        <f t="shared" si="179"/>
        <v>2023 10</v>
      </c>
      <c r="G2267" s="96" t="s">
        <v>5</v>
      </c>
      <c r="H2267" s="161" t="s">
        <v>2659</v>
      </c>
      <c r="I2267" s="97" t="s">
        <v>2218</v>
      </c>
      <c r="J2267" s="97" t="s">
        <v>2660</v>
      </c>
      <c r="K2267" s="29">
        <v>10.79</v>
      </c>
      <c r="L2267" s="29">
        <v>-2.59</v>
      </c>
      <c r="M2267" s="30">
        <f>IFERROR(VLOOKUP($A2267,HeadJournal!$A$1:$J$890,COLUMN(HeadJournal!I$1),0)*($K2267+$L2267)/(SUMIF($A:$A,$A2267,$K:$K)+SUMIF($A:$A,$A2267,$L:$L)),0)</f>
        <v>-0.33261715132431929</v>
      </c>
      <c r="N2267" s="30">
        <f>IFERROR((VLOOKUP($A2267,HeadJournal!$A$1:$K$890,COLUMN(HeadJournal!K$1),0)-VLOOKUP($A2267,HeadJournal!$A$1:$K$890,COLUMN(HeadJournal!J$1),0))*($K2267+$L2267)/(SUMIF($A:$A,$A2267,$K:$K)+SUMIF($A:$A,$A2267,$L:$L)),0)</f>
        <v>-1.0791721491448085E-15</v>
      </c>
      <c r="O2267" s="30">
        <f>IFERROR((VLOOKUP($A2267,HeadJournal!$A$1:$L$890,COLUMN(HeadJournal!L$1),0)*($K2267+$L2267)/(SUMIF($A:$A,$A2267,$K:$K)+SUMIF($A:$A,$A2267,$L:$L)))/VLOOKUP($A2267,HeadJournal!$A$1:$L$890,COLUMN(HeadJournal!H$1),0),0)</f>
        <v>0.44984638812835043</v>
      </c>
      <c r="P2267" s="30">
        <f>IFERROR(SUM(K2267:O2267)*VLOOKUP($A2267,HeadJournal!$A$1:$L$890,COLUMN(HeadJournal!H$1),0),0)</f>
        <v>904.69055380626037</v>
      </c>
      <c r="Q2267" s="29">
        <v>1600</v>
      </c>
      <c r="R2267" s="31">
        <v>45253</v>
      </c>
      <c r="S2267" s="31" t="s">
        <v>3121</v>
      </c>
      <c r="T2267" s="95" t="str">
        <f t="shared" si="180"/>
        <v>2023 11</v>
      </c>
      <c r="U2267" s="32">
        <f t="shared" si="177"/>
        <v>695.30944619373963</v>
      </c>
      <c r="V2267" s="22">
        <f t="shared" si="178"/>
        <v>0.76856052411335363</v>
      </c>
      <c r="X2267" s="33"/>
      <c r="Y2267" s="33"/>
    </row>
    <row r="2268" spans="1:25" x14ac:dyDescent="0.2">
      <c r="A2268" s="93" t="s">
        <v>1024</v>
      </c>
      <c r="B2268" s="94" t="str">
        <f>IFERROR(VLOOKUP($A2268,HeadJournal!$A$1:$NTR$890,COLUMN(HeadJournal!B$1),0),"")</f>
        <v>700000938962</v>
      </c>
      <c r="C2268" s="94" t="str">
        <f>IFERROR(VLOOKUP($A2268,HeadJournal!$A$1:$NTR$890,COLUMN(HeadJournal!C$1),0),"")</f>
        <v>iHerb_MH DLE7202</v>
      </c>
      <c r="D2268" s="125" t="str">
        <f>IFERROR(VLOOKUP($A2268,HeadJournal!$A$1:$NTR$890,COLUMN(HeadJournal!D$1),0),"")</f>
        <v>Доставлен</v>
      </c>
      <c r="E2268" s="95">
        <f>IFERROR(VLOOKUP($A2268,HeadJournal!$A$1:$NTR$890,COLUMN(HeadJournal!G$1),0),"")</f>
        <v>45200</v>
      </c>
      <c r="F2268" s="95" t="str">
        <f t="shared" si="179"/>
        <v>2023 10</v>
      </c>
      <c r="G2268" s="96" t="s">
        <v>5</v>
      </c>
      <c r="H2268" s="161" t="s">
        <v>3585</v>
      </c>
      <c r="I2268" s="97" t="s">
        <v>2052</v>
      </c>
      <c r="J2268" s="97" t="s">
        <v>3586</v>
      </c>
      <c r="K2268" s="29">
        <v>39.200000000000003</v>
      </c>
      <c r="L2268" s="29">
        <v>-11.76</v>
      </c>
      <c r="M2268" s="30">
        <f>IFERROR(VLOOKUP($A2268,HeadJournal!$A$1:$J$890,COLUMN(HeadJournal!I$1),0)*($K2268+$L2268)/(SUMIF($A:$A,$A2268,$K:$K)+SUMIF($A:$A,$A2268,$L:$L)),0)</f>
        <v>-1.1130505649194296</v>
      </c>
      <c r="N2268" s="30">
        <f>IFERROR((VLOOKUP($A2268,HeadJournal!$A$1:$K$890,COLUMN(HeadJournal!K$1),0)-VLOOKUP($A2268,HeadJournal!$A$1:$K$890,COLUMN(HeadJournal!J$1),0))*($K2268+$L2268)/(SUMIF($A:$A,$A2268,$K:$K)+SUMIF($A:$A,$A2268,$L:$L)),0)</f>
        <v>-3.611278508845555E-15</v>
      </c>
      <c r="O2268" s="30">
        <f>IFERROR((VLOOKUP($A2268,HeadJournal!$A$1:$L$890,COLUMN(HeadJournal!L$1),0)*($K2268+$L2268)/(SUMIF($A:$A,$A2268,$K:$K)+SUMIF($A:$A,$A2268,$L:$L)))/VLOOKUP($A2268,HeadJournal!$A$1:$L$890,COLUMN(HeadJournal!H$1),0),0)</f>
        <v>1.505339620761212</v>
      </c>
      <c r="P2268" s="30">
        <f>IFERROR(SUM(K2268:O2268)*VLOOKUP($A2268,HeadJournal!$A$1:$L$890,COLUMN(HeadJournal!H$1),0),0)</f>
        <v>3027.4035117614376</v>
      </c>
      <c r="Q2268" s="29">
        <v>4300</v>
      </c>
      <c r="R2268" s="31">
        <v>45274</v>
      </c>
      <c r="S2268" s="31" t="s">
        <v>3121</v>
      </c>
      <c r="T2268" s="95" t="str">
        <f t="shared" si="180"/>
        <v>2023 12</v>
      </c>
      <c r="U2268" s="32">
        <f t="shared" si="177"/>
        <v>1272.5964882385624</v>
      </c>
      <c r="V2268" s="22">
        <f t="shared" si="178"/>
        <v>0.42035905795000089</v>
      </c>
      <c r="X2268" s="33"/>
      <c r="Y2268" s="33"/>
    </row>
    <row r="2269" spans="1:25" x14ac:dyDescent="0.2">
      <c r="A2269" s="93" t="s">
        <v>1029</v>
      </c>
      <c r="B2269" s="94" t="str">
        <f>IFERROR(VLOOKUP($A2269,HeadJournal!$A$1:$NTR$890,COLUMN(HeadJournal!B$1),0),"")</f>
        <v>700000951790</v>
      </c>
      <c r="C2269" s="94" t="str">
        <f>IFERROR(VLOOKUP($A2269,HeadJournal!$A$1:$NTR$890,COLUMN(HeadJournal!C$1),0),"")</f>
        <v>iHerb_OA CZN6870</v>
      </c>
      <c r="D2269" s="125" t="str">
        <f>IFERROR(VLOOKUP($A2269,HeadJournal!$A$1:$NTR$890,COLUMN(HeadJournal!D$1),0),"")</f>
        <v>Доставлен</v>
      </c>
      <c r="E2269" s="95">
        <f>IFERROR(VLOOKUP($A2269,HeadJournal!$A$1:$NTR$890,COLUMN(HeadJournal!G$1),0),"")</f>
        <v>45206</v>
      </c>
      <c r="F2269" s="95" t="str">
        <f t="shared" si="179"/>
        <v>2023 10</v>
      </c>
      <c r="G2269" s="96" t="s">
        <v>5</v>
      </c>
      <c r="H2269" s="161" t="s">
        <v>2223</v>
      </c>
      <c r="I2269" s="97" t="s">
        <v>2008</v>
      </c>
      <c r="J2269" s="97" t="s">
        <v>2224</v>
      </c>
      <c r="K2269" s="29">
        <v>11.95</v>
      </c>
      <c r="L2269" s="29">
        <v>-2.39</v>
      </c>
      <c r="M2269" s="30">
        <f>IFERROR(VLOOKUP($A2269,HeadJournal!$A$1:$J$890,COLUMN(HeadJournal!I$1),0)*($K2269+$L2269)/(SUMIF($A:$A,$A2269,$K:$K)+SUMIF($A:$A,$A2269,$L:$L)),0)</f>
        <v>-0.98546470776109873</v>
      </c>
      <c r="N2269" s="30">
        <f>IFERROR((VLOOKUP($A2269,HeadJournal!$A$1:$K$890,COLUMN(HeadJournal!K$1),0)-VLOOKUP($A2269,HeadJournal!$A$1:$K$890,COLUMN(HeadJournal!J$1),0))*($K2269+$L2269)/(SUMIF($A:$A,$A2269,$K:$K)+SUMIF($A:$A,$A2269,$L:$L)),0)</f>
        <v>1.0847634228467835E-15</v>
      </c>
      <c r="O2269" s="30">
        <f>IFERROR((VLOOKUP($A2269,HeadJournal!$A$1:$L$890,COLUMN(HeadJournal!L$1),0)*($K2269+$L2269)/(SUMIF($A:$A,$A2269,$K:$K)+SUMIF($A:$A,$A2269,$L:$L)))/VLOOKUP($A2269,HeadJournal!$A$1:$L$890,COLUMN(HeadJournal!H$1),0),0)</f>
        <v>0.73588075493988991</v>
      </c>
      <c r="P2269" s="30">
        <f>IFERROR(SUM(K2269:O2269)*VLOOKUP($A2269,HeadJournal!$A$1:$L$890,COLUMN(HeadJournal!H$1),0),0)</f>
        <v>1043.0865314595976</v>
      </c>
      <c r="Q2269" s="29">
        <v>1800</v>
      </c>
      <c r="R2269" s="31">
        <v>45323</v>
      </c>
      <c r="S2269" s="31" t="s">
        <v>3121</v>
      </c>
      <c r="T2269" s="95" t="str">
        <f t="shared" si="180"/>
        <v>2024 02</v>
      </c>
      <c r="U2269" s="32">
        <f t="shared" si="177"/>
        <v>756.91346854040239</v>
      </c>
      <c r="V2269" s="22">
        <f t="shared" si="178"/>
        <v>0.7256478208775724</v>
      </c>
      <c r="X2269" s="33"/>
      <c r="Y2269" s="33"/>
    </row>
    <row r="2270" spans="1:25" x14ac:dyDescent="0.2">
      <c r="A2270" s="93" t="s">
        <v>1029</v>
      </c>
      <c r="B2270" s="94" t="str">
        <f>IFERROR(VLOOKUP($A2270,HeadJournal!$A$1:$NTR$890,COLUMN(HeadJournal!B$1),0),"")</f>
        <v>700000951790</v>
      </c>
      <c r="C2270" s="94" t="str">
        <f>IFERROR(VLOOKUP($A2270,HeadJournal!$A$1:$NTR$890,COLUMN(HeadJournal!C$1),0),"")</f>
        <v>iHerb_OA CZN6870</v>
      </c>
      <c r="D2270" s="125" t="str">
        <f>IFERROR(VLOOKUP($A2270,HeadJournal!$A$1:$NTR$890,COLUMN(HeadJournal!D$1),0),"")</f>
        <v>Доставлен</v>
      </c>
      <c r="E2270" s="95">
        <f>IFERROR(VLOOKUP($A2270,HeadJournal!$A$1:$NTR$890,COLUMN(HeadJournal!G$1),0),"")</f>
        <v>45206</v>
      </c>
      <c r="F2270" s="95" t="str">
        <f t="shared" si="179"/>
        <v>2023 10</v>
      </c>
      <c r="G2270" s="96" t="s">
        <v>5</v>
      </c>
      <c r="H2270" s="161" t="s">
        <v>2223</v>
      </c>
      <c r="I2270" s="97" t="s">
        <v>2008</v>
      </c>
      <c r="J2270" s="97" t="s">
        <v>2224</v>
      </c>
      <c r="K2270" s="29">
        <v>11.95</v>
      </c>
      <c r="L2270" s="29">
        <v>-2.39</v>
      </c>
      <c r="M2270" s="30">
        <f>IFERROR(VLOOKUP($A2270,HeadJournal!$A$1:$J$890,COLUMN(HeadJournal!I$1),0)*($K2270+$L2270)/(SUMIF($A:$A,$A2270,$K:$K)+SUMIF($A:$A,$A2270,$L:$L)),0)</f>
        <v>-0.98546470776109873</v>
      </c>
      <c r="N2270" s="30">
        <f>IFERROR((VLOOKUP($A2270,HeadJournal!$A$1:$K$890,COLUMN(HeadJournal!K$1),0)-VLOOKUP($A2270,HeadJournal!$A$1:$K$890,COLUMN(HeadJournal!J$1),0))*($K2270+$L2270)/(SUMIF($A:$A,$A2270,$K:$K)+SUMIF($A:$A,$A2270,$L:$L)),0)</f>
        <v>1.0847634228467835E-15</v>
      </c>
      <c r="O2270" s="30">
        <f>IFERROR((VLOOKUP($A2270,HeadJournal!$A$1:$L$890,COLUMN(HeadJournal!L$1),0)*($K2270+$L2270)/(SUMIF($A:$A,$A2270,$K:$K)+SUMIF($A:$A,$A2270,$L:$L)))/VLOOKUP($A2270,HeadJournal!$A$1:$L$890,COLUMN(HeadJournal!H$1),0),0)</f>
        <v>0.73588075493988991</v>
      </c>
      <c r="P2270" s="30">
        <f>IFERROR(SUM(K2270:O2270)*VLOOKUP($A2270,HeadJournal!$A$1:$L$890,COLUMN(HeadJournal!H$1),0),0)</f>
        <v>1043.0865314595976</v>
      </c>
      <c r="Q2270" s="29">
        <v>1800</v>
      </c>
      <c r="R2270" s="31">
        <v>45381</v>
      </c>
      <c r="S2270" s="31" t="s">
        <v>3121</v>
      </c>
      <c r="T2270" s="95" t="str">
        <f t="shared" si="180"/>
        <v>2024 03</v>
      </c>
      <c r="U2270" s="32">
        <f t="shared" si="177"/>
        <v>756.91346854040239</v>
      </c>
      <c r="V2270" s="22">
        <f t="shared" si="178"/>
        <v>0.7256478208775724</v>
      </c>
      <c r="X2270" s="33"/>
      <c r="Y2270" s="33"/>
    </row>
    <row r="2271" spans="1:25" x14ac:dyDescent="0.2">
      <c r="A2271" s="93" t="s">
        <v>1029</v>
      </c>
      <c r="B2271" s="94" t="str">
        <f>IFERROR(VLOOKUP($A2271,HeadJournal!$A$1:$NTR$890,COLUMN(HeadJournal!B$1),0),"")</f>
        <v>700000951790</v>
      </c>
      <c r="C2271" s="94" t="str">
        <f>IFERROR(VLOOKUP($A2271,HeadJournal!$A$1:$NTR$890,COLUMN(HeadJournal!C$1),0),"")</f>
        <v>iHerb_OA CZN6870</v>
      </c>
      <c r="D2271" s="125" t="str">
        <f>IFERROR(VLOOKUP($A2271,HeadJournal!$A$1:$NTR$890,COLUMN(HeadJournal!D$1),0),"")</f>
        <v>Доставлен</v>
      </c>
      <c r="E2271" s="95">
        <f>IFERROR(VLOOKUP($A2271,HeadJournal!$A$1:$NTR$890,COLUMN(HeadJournal!G$1),0),"")</f>
        <v>45206</v>
      </c>
      <c r="F2271" s="95" t="str">
        <f t="shared" si="179"/>
        <v>2023 10</v>
      </c>
      <c r="G2271" s="96" t="s">
        <v>5</v>
      </c>
      <c r="H2271" s="161" t="s">
        <v>2223</v>
      </c>
      <c r="I2271" s="97" t="s">
        <v>2008</v>
      </c>
      <c r="J2271" s="97" t="s">
        <v>2224</v>
      </c>
      <c r="K2271" s="29">
        <v>11.95</v>
      </c>
      <c r="L2271" s="29">
        <v>-2.39</v>
      </c>
      <c r="M2271" s="30">
        <f>IFERROR(VLOOKUP($A2271,HeadJournal!$A$1:$J$890,COLUMN(HeadJournal!I$1),0)*($K2271+$L2271)/(SUMIF($A:$A,$A2271,$K:$K)+SUMIF($A:$A,$A2271,$L:$L)),0)</f>
        <v>-0.98546470776109873</v>
      </c>
      <c r="N2271" s="30">
        <f>IFERROR((VLOOKUP($A2271,HeadJournal!$A$1:$K$890,COLUMN(HeadJournal!K$1),0)-VLOOKUP($A2271,HeadJournal!$A$1:$K$890,COLUMN(HeadJournal!J$1),0))*($K2271+$L2271)/(SUMIF($A:$A,$A2271,$K:$K)+SUMIF($A:$A,$A2271,$L:$L)),0)</f>
        <v>1.0847634228467835E-15</v>
      </c>
      <c r="O2271" s="30">
        <f>IFERROR((VLOOKUP($A2271,HeadJournal!$A$1:$L$890,COLUMN(HeadJournal!L$1),0)*($K2271+$L2271)/(SUMIF($A:$A,$A2271,$K:$K)+SUMIF($A:$A,$A2271,$L:$L)))/VLOOKUP($A2271,HeadJournal!$A$1:$L$890,COLUMN(HeadJournal!H$1),0),0)</f>
        <v>0.73588075493988991</v>
      </c>
      <c r="P2271" s="30">
        <f>IFERROR(SUM(K2271:O2271)*VLOOKUP($A2271,HeadJournal!$A$1:$L$890,COLUMN(HeadJournal!H$1),0),0)</f>
        <v>1043.0865314595976</v>
      </c>
      <c r="Q2271" s="29">
        <v>1800</v>
      </c>
      <c r="R2271" s="31">
        <v>45395</v>
      </c>
      <c r="S2271" s="31" t="s">
        <v>3121</v>
      </c>
      <c r="T2271" s="95" t="str">
        <f t="shared" si="180"/>
        <v>2024 04</v>
      </c>
      <c r="U2271" s="32">
        <f t="shared" si="177"/>
        <v>756.91346854040239</v>
      </c>
      <c r="V2271" s="22">
        <f t="shared" si="178"/>
        <v>0.7256478208775724</v>
      </c>
      <c r="X2271" s="33"/>
      <c r="Y2271" s="33"/>
    </row>
    <row r="2272" spans="1:25" x14ac:dyDescent="0.2">
      <c r="A2272" s="93" t="s">
        <v>1029</v>
      </c>
      <c r="B2272" s="94" t="str">
        <f>IFERROR(VLOOKUP($A2272,HeadJournal!$A$1:$NTR$890,COLUMN(HeadJournal!B$1),0),"")</f>
        <v>700000951790</v>
      </c>
      <c r="C2272" s="94" t="str">
        <f>IFERROR(VLOOKUP($A2272,HeadJournal!$A$1:$NTR$890,COLUMN(HeadJournal!C$1),0),"")</f>
        <v>iHerb_OA CZN6870</v>
      </c>
      <c r="D2272" s="125" t="str">
        <f>IFERROR(VLOOKUP($A2272,HeadJournal!$A$1:$NTR$890,COLUMN(HeadJournal!D$1),0),"")</f>
        <v>Доставлен</v>
      </c>
      <c r="E2272" s="95">
        <f>IFERROR(VLOOKUP($A2272,HeadJournal!$A$1:$NTR$890,COLUMN(HeadJournal!G$1),0),"")</f>
        <v>45206</v>
      </c>
      <c r="F2272" s="95" t="str">
        <f t="shared" si="179"/>
        <v>2023 10</v>
      </c>
      <c r="G2272" s="96" t="s">
        <v>5</v>
      </c>
      <c r="H2272" s="160" t="str">
        <f>RIGHT(Journal!$J2272,9)</f>
        <v>EVL-02739</v>
      </c>
      <c r="I2272" s="96" t="str">
        <f t="shared" si="181"/>
        <v>EVLution Nutrition</v>
      </c>
      <c r="J2272" s="97" t="s">
        <v>782</v>
      </c>
      <c r="K2272" s="29">
        <v>13.04</v>
      </c>
      <c r="L2272" s="29">
        <v>-2.61</v>
      </c>
      <c r="M2272" s="30">
        <f>IFERROR(VLOOKUP($A2272,HeadJournal!$A$1:$J$890,COLUMN(HeadJournal!I$1),0)*($K2272+$L2272)/(SUMIF($A:$A,$A2272,$K:$K)+SUMIF($A:$A,$A2272,$L:$L)),0)</f>
        <v>-1.0751461194506549</v>
      </c>
      <c r="N2272" s="30">
        <f>IFERROR((VLOOKUP($A2272,HeadJournal!$A$1:$K$890,COLUMN(HeadJournal!K$1),0)-VLOOKUP($A2272,HeadJournal!$A$1:$K$890,COLUMN(HeadJournal!J$1),0))*($K2272+$L2272)/(SUMIF($A:$A,$A2272,$K:$K)+SUMIF($A:$A,$A2272,$L:$L)),0)</f>
        <v>1.1834814330849323E-15</v>
      </c>
      <c r="O2272" s="30">
        <f>IFERROR((VLOOKUP($A2272,HeadJournal!$A$1:$L$890,COLUMN(HeadJournal!L$1),0)*($K2272+$L2272)/(SUMIF($A:$A,$A2272,$K:$K)+SUMIF($A:$A,$A2272,$L:$L)))/VLOOKUP($A2272,HeadJournal!$A$1:$L$890,COLUMN(HeadJournal!H$1),0),0)</f>
        <v>0.80284898263839455</v>
      </c>
      <c r="P2272" s="30">
        <f>IFERROR(SUM(K2272:O2272)*VLOOKUP($A2272,HeadJournal!$A$1:$L$890,COLUMN(HeadJournal!H$1),0),0)</f>
        <v>1138.0117702012139</v>
      </c>
      <c r="Q2272" s="29">
        <v>1900</v>
      </c>
      <c r="R2272" s="31">
        <v>45239</v>
      </c>
      <c r="S2272" s="31" t="s">
        <v>3121</v>
      </c>
      <c r="T2272" s="95" t="str">
        <f t="shared" si="180"/>
        <v>2023 11</v>
      </c>
      <c r="U2272" s="32">
        <f t="shared" si="177"/>
        <v>761.98822979878605</v>
      </c>
      <c r="V2272" s="22">
        <f t="shared" si="178"/>
        <v>0.66957851381805789</v>
      </c>
      <c r="X2272" s="33"/>
      <c r="Y2272" s="33"/>
    </row>
    <row r="2273" spans="1:25" x14ac:dyDescent="0.2">
      <c r="A2273" s="93" t="s">
        <v>1029</v>
      </c>
      <c r="B2273" s="94" t="str">
        <f>IFERROR(VLOOKUP($A2273,HeadJournal!$A$1:$NTR$890,COLUMN(HeadJournal!B$1),0),"")</f>
        <v>700000951790</v>
      </c>
      <c r="C2273" s="94" t="str">
        <f>IFERROR(VLOOKUP($A2273,HeadJournal!$A$1:$NTR$890,COLUMN(HeadJournal!C$1),0),"")</f>
        <v>iHerb_OA CZN6870</v>
      </c>
      <c r="D2273" s="125" t="str">
        <f>IFERROR(VLOOKUP($A2273,HeadJournal!$A$1:$NTR$890,COLUMN(HeadJournal!D$1),0),"")</f>
        <v>Доставлен</v>
      </c>
      <c r="E2273" s="95">
        <f>IFERROR(VLOOKUP($A2273,HeadJournal!$A$1:$NTR$890,COLUMN(HeadJournal!G$1),0),"")</f>
        <v>45206</v>
      </c>
      <c r="F2273" s="95" t="str">
        <f t="shared" si="179"/>
        <v>2023 10</v>
      </c>
      <c r="G2273" s="96" t="s">
        <v>5</v>
      </c>
      <c r="H2273" s="160" t="str">
        <f>RIGHT(Journal!$J2273,9)</f>
        <v>SNS-01399</v>
      </c>
      <c r="I2273" s="96" t="str">
        <f t="shared" si="181"/>
        <v>Source Naturals</v>
      </c>
      <c r="J2273" s="97" t="s">
        <v>1030</v>
      </c>
      <c r="K2273" s="29">
        <v>16.97</v>
      </c>
      <c r="L2273" s="29">
        <v>-3.39</v>
      </c>
      <c r="M2273" s="30">
        <f>IFERROR(VLOOKUP($A2273,HeadJournal!$A$1:$J$890,COLUMN(HeadJournal!I$1),0)*($K2273+$L2273)/(SUMIF($A:$A,$A2273,$K:$K)+SUMIF($A:$A,$A2273,$L:$L)),0)</f>
        <v>-1.3998546790162887</v>
      </c>
      <c r="N2273" s="30">
        <f>IFERROR((VLOOKUP($A2273,HeadJournal!$A$1:$K$890,COLUMN(HeadJournal!K$1),0)-VLOOKUP($A2273,HeadJournal!$A$1:$K$890,COLUMN(HeadJournal!J$1),0))*($K2273+$L2273)/(SUMIF($A:$A,$A2273,$K:$K)+SUMIF($A:$A,$A2273,$L:$L)),0)</f>
        <v>1.5409087115334017E-15</v>
      </c>
      <c r="O2273" s="30">
        <f>IFERROR((VLOOKUP($A2273,HeadJournal!$A$1:$L$890,COLUMN(HeadJournal!L$1),0)*($K2273+$L2273)/(SUMIF($A:$A,$A2273,$K:$K)+SUMIF($A:$A,$A2273,$L:$L)))/VLOOKUP($A2273,HeadJournal!$A$1:$L$890,COLUMN(HeadJournal!H$1),0),0)</f>
        <v>1.0453201518916011</v>
      </c>
      <c r="P2273" s="30">
        <f>IFERROR(SUM(K2273:O2273)*VLOOKUP($A2273,HeadJournal!$A$1:$L$890,COLUMN(HeadJournal!H$1),0),0)</f>
        <v>1481.7066001277549</v>
      </c>
      <c r="Q2273" s="29">
        <v>2500</v>
      </c>
      <c r="R2273" s="31">
        <v>45252</v>
      </c>
      <c r="S2273" s="31" t="s">
        <v>3121</v>
      </c>
      <c r="T2273" s="95" t="str">
        <f t="shared" si="180"/>
        <v>2023 11</v>
      </c>
      <c r="U2273" s="32">
        <f t="shared" si="177"/>
        <v>1018.2933998722451</v>
      </c>
      <c r="V2273" s="22">
        <f t="shared" si="178"/>
        <v>0.6872436147510218</v>
      </c>
      <c r="X2273" s="33"/>
      <c r="Y2273" s="33"/>
    </row>
    <row r="2274" spans="1:25" x14ac:dyDescent="0.2">
      <c r="A2274" s="93" t="s">
        <v>1029</v>
      </c>
      <c r="B2274" s="94" t="str">
        <f>IFERROR(VLOOKUP($A2274,HeadJournal!$A$1:$NTR$890,COLUMN(HeadJournal!B$1),0),"")</f>
        <v>700000951790</v>
      </c>
      <c r="C2274" s="94" t="str">
        <f>IFERROR(VLOOKUP($A2274,HeadJournal!$A$1:$NTR$890,COLUMN(HeadJournal!C$1),0),"")</f>
        <v>iHerb_OA CZN6870</v>
      </c>
      <c r="D2274" s="125" t="str">
        <f>IFERROR(VLOOKUP($A2274,HeadJournal!$A$1:$NTR$890,COLUMN(HeadJournal!D$1),0),"")</f>
        <v>Доставлен</v>
      </c>
      <c r="E2274" s="95">
        <f>IFERROR(VLOOKUP($A2274,HeadJournal!$A$1:$NTR$890,COLUMN(HeadJournal!G$1),0),"")</f>
        <v>45206</v>
      </c>
      <c r="F2274" s="95" t="str">
        <f t="shared" si="179"/>
        <v>2023 10</v>
      </c>
      <c r="G2274" s="96" t="s">
        <v>5</v>
      </c>
      <c r="H2274" s="160" t="str">
        <f>RIGHT(Journal!$J2274,9)</f>
        <v>FCD-02860</v>
      </c>
      <c r="I2274" s="96" t="str">
        <f t="shared" si="181"/>
        <v>FITCODE</v>
      </c>
      <c r="J2274" s="97" t="s">
        <v>1031</v>
      </c>
      <c r="K2274" s="29">
        <v>12.66</v>
      </c>
      <c r="L2274" s="29">
        <v>-2.5299999999999998</v>
      </c>
      <c r="M2274" s="30">
        <f>IFERROR(VLOOKUP($A2274,HeadJournal!$A$1:$J$890,COLUMN(HeadJournal!I$1),0)*($K2274+$L2274)/(SUMIF($A:$A,$A2274,$K:$K)+SUMIF($A:$A,$A2274,$L:$L)),0)</f>
        <v>-1.0442214947301183</v>
      </c>
      <c r="N2274" s="30">
        <f>IFERROR((VLOOKUP($A2274,HeadJournal!$A$1:$K$890,COLUMN(HeadJournal!K$1),0)-VLOOKUP($A2274,HeadJournal!$A$1:$K$890,COLUMN(HeadJournal!J$1),0))*($K2274+$L2274)/(SUMIF($A:$A,$A2274,$K:$K)+SUMIF($A:$A,$A2274,$L:$L)),0)</f>
        <v>1.1494407398993639E-15</v>
      </c>
      <c r="O2274" s="30">
        <f>IFERROR((VLOOKUP($A2274,HeadJournal!$A$1:$L$890,COLUMN(HeadJournal!L$1),0)*($K2274+$L2274)/(SUMIF($A:$A,$A2274,$K:$K)+SUMIF($A:$A,$A2274,$L:$L)))/VLOOKUP($A2274,HeadJournal!$A$1:$L$890,COLUMN(HeadJournal!H$1),0),0)</f>
        <v>0.77975649032856553</v>
      </c>
      <c r="P2274" s="30">
        <f>IFERROR(SUM(K2274:O2274)*VLOOKUP($A2274,HeadJournal!$A$1:$L$890,COLUMN(HeadJournal!H$1),0),0)</f>
        <v>1105.2789292558291</v>
      </c>
      <c r="Q2274" s="29">
        <v>1900</v>
      </c>
      <c r="R2274" s="31">
        <v>45239</v>
      </c>
      <c r="S2274" s="31" t="s">
        <v>3121</v>
      </c>
      <c r="T2274" s="95" t="str">
        <f t="shared" si="180"/>
        <v>2023 11</v>
      </c>
      <c r="U2274" s="32">
        <f t="shared" si="177"/>
        <v>794.7210707441709</v>
      </c>
      <c r="V2274" s="22">
        <f t="shared" si="178"/>
        <v>0.7190230897455423</v>
      </c>
      <c r="X2274" s="33"/>
      <c r="Y2274" s="33"/>
    </row>
    <row r="2275" spans="1:25" x14ac:dyDescent="0.2">
      <c r="A2275" s="93" t="s">
        <v>1029</v>
      </c>
      <c r="B2275" s="94" t="str">
        <f>IFERROR(VLOOKUP($A2275,HeadJournal!$A$1:$NTR$890,COLUMN(HeadJournal!B$1),0),"")</f>
        <v>700000951790</v>
      </c>
      <c r="C2275" s="94" t="str">
        <f>IFERROR(VLOOKUP($A2275,HeadJournal!$A$1:$NTR$890,COLUMN(HeadJournal!C$1),0),"")</f>
        <v>iHerb_OA CZN6870</v>
      </c>
      <c r="D2275" s="125" t="str">
        <f>IFERROR(VLOOKUP($A2275,HeadJournal!$A$1:$NTR$890,COLUMN(HeadJournal!D$1),0),"")</f>
        <v>Доставлен</v>
      </c>
      <c r="E2275" s="95">
        <f>IFERROR(VLOOKUP($A2275,HeadJournal!$A$1:$NTR$890,COLUMN(HeadJournal!G$1),0),"")</f>
        <v>45206</v>
      </c>
      <c r="F2275" s="95" t="str">
        <f t="shared" si="179"/>
        <v>2023 10</v>
      </c>
      <c r="G2275" s="96" t="s">
        <v>5</v>
      </c>
      <c r="H2275" s="161" t="s">
        <v>2129</v>
      </c>
      <c r="I2275" s="97" t="s">
        <v>2125</v>
      </c>
      <c r="J2275" s="97" t="s">
        <v>2130</v>
      </c>
      <c r="K2275" s="29">
        <v>10.69</v>
      </c>
      <c r="L2275" s="29">
        <v>-1.07</v>
      </c>
      <c r="M2275" s="30">
        <f>IFERROR(VLOOKUP($A2275,HeadJournal!$A$1:$J$890,COLUMN(HeadJournal!I$1),0)*($K2275+$L2275)/(SUMIF($A:$A,$A2275,$K:$K)+SUMIF($A:$A,$A2275,$L:$L)),0)</f>
        <v>-0.99164963270520612</v>
      </c>
      <c r="N2275" s="30">
        <f>IFERROR((VLOOKUP($A2275,HeadJournal!$A$1:$K$890,COLUMN(HeadJournal!K$1),0)-VLOOKUP($A2275,HeadJournal!$A$1:$K$890,COLUMN(HeadJournal!J$1),0))*($K2275+$L2275)/(SUMIF($A:$A,$A2275,$K:$K)+SUMIF($A:$A,$A2275,$L:$L)),0)</f>
        <v>1.0915715614838973E-15</v>
      </c>
      <c r="O2275" s="30">
        <f>IFERROR((VLOOKUP($A2275,HeadJournal!$A$1:$L$890,COLUMN(HeadJournal!L$1),0)*($K2275+$L2275)/(SUMIF($A:$A,$A2275,$K:$K)+SUMIF($A:$A,$A2275,$L:$L)))/VLOOKUP($A2275,HeadJournal!$A$1:$L$890,COLUMN(HeadJournal!H$1),0),0)</f>
        <v>0.74049925340185585</v>
      </c>
      <c r="P2275" s="30">
        <f>IFERROR(SUM(K2275:O2275)*VLOOKUP($A2275,HeadJournal!$A$1:$L$890,COLUMN(HeadJournal!H$1),0),0)</f>
        <v>1049.6330996486747</v>
      </c>
      <c r="Q2275" s="29">
        <v>1700</v>
      </c>
      <c r="R2275" s="31">
        <v>45251</v>
      </c>
      <c r="S2275" s="31" t="s">
        <v>3121</v>
      </c>
      <c r="T2275" s="95" t="str">
        <f t="shared" si="180"/>
        <v>2023 11</v>
      </c>
      <c r="U2275" s="32">
        <f t="shared" si="177"/>
        <v>650.36690035132528</v>
      </c>
      <c r="V2275" s="22">
        <f t="shared" si="178"/>
        <v>0.61961355884166691</v>
      </c>
      <c r="X2275" s="33"/>
      <c r="Y2275" s="33"/>
    </row>
    <row r="2276" spans="1:25" x14ac:dyDescent="0.2">
      <c r="A2276" s="93" t="s">
        <v>1029</v>
      </c>
      <c r="B2276" s="94" t="str">
        <f>IFERROR(VLOOKUP($A2276,HeadJournal!$A$1:$NTR$890,COLUMN(HeadJournal!B$1),0),"")</f>
        <v>700000951790</v>
      </c>
      <c r="C2276" s="94" t="str">
        <f>IFERROR(VLOOKUP($A2276,HeadJournal!$A$1:$NTR$890,COLUMN(HeadJournal!C$1),0),"")</f>
        <v>iHerb_OA CZN6870</v>
      </c>
      <c r="D2276" s="125" t="str">
        <f>IFERROR(VLOOKUP($A2276,HeadJournal!$A$1:$NTR$890,COLUMN(HeadJournal!D$1),0),"")</f>
        <v>Доставлен</v>
      </c>
      <c r="E2276" s="95">
        <f>IFERROR(VLOOKUP($A2276,HeadJournal!$A$1:$NTR$890,COLUMN(HeadJournal!G$1),0),"")</f>
        <v>45206</v>
      </c>
      <c r="F2276" s="95" t="str">
        <f t="shared" si="179"/>
        <v>2023 10</v>
      </c>
      <c r="G2276" s="96" t="s">
        <v>5</v>
      </c>
      <c r="H2276" s="161" t="s">
        <v>2129</v>
      </c>
      <c r="I2276" s="97" t="s">
        <v>2125</v>
      </c>
      <c r="J2276" s="97" t="s">
        <v>2130</v>
      </c>
      <c r="K2276" s="29">
        <v>10.69</v>
      </c>
      <c r="L2276" s="29">
        <v>-1.07</v>
      </c>
      <c r="M2276" s="30">
        <f>IFERROR(VLOOKUP($A2276,HeadJournal!$A$1:$J$890,COLUMN(HeadJournal!I$1),0)*($K2276+$L2276)/(SUMIF($A:$A,$A2276,$K:$K)+SUMIF($A:$A,$A2276,$L:$L)),0)</f>
        <v>-0.99164963270520612</v>
      </c>
      <c r="N2276" s="30">
        <f>IFERROR((VLOOKUP($A2276,HeadJournal!$A$1:$K$890,COLUMN(HeadJournal!K$1),0)-VLOOKUP($A2276,HeadJournal!$A$1:$K$890,COLUMN(HeadJournal!J$1),0))*($K2276+$L2276)/(SUMIF($A:$A,$A2276,$K:$K)+SUMIF($A:$A,$A2276,$L:$L)),0)</f>
        <v>1.0915715614838973E-15</v>
      </c>
      <c r="O2276" s="30">
        <f>IFERROR((VLOOKUP($A2276,HeadJournal!$A$1:$L$890,COLUMN(HeadJournal!L$1),0)*($K2276+$L2276)/(SUMIF($A:$A,$A2276,$K:$K)+SUMIF($A:$A,$A2276,$L:$L)))/VLOOKUP($A2276,HeadJournal!$A$1:$L$890,COLUMN(HeadJournal!H$1),0),0)</f>
        <v>0.74049925340185585</v>
      </c>
      <c r="P2276" s="30">
        <f>IFERROR(SUM(K2276:O2276)*VLOOKUP($A2276,HeadJournal!$A$1:$L$890,COLUMN(HeadJournal!H$1),0),0)</f>
        <v>1049.6330996486747</v>
      </c>
      <c r="Q2276" s="29">
        <v>1800</v>
      </c>
      <c r="R2276" s="31">
        <v>45375</v>
      </c>
      <c r="S2276" s="31" t="s">
        <v>3121</v>
      </c>
      <c r="T2276" s="95" t="str">
        <f t="shared" si="180"/>
        <v>2024 03</v>
      </c>
      <c r="U2276" s="32">
        <f t="shared" si="177"/>
        <v>750.36690035132528</v>
      </c>
      <c r="V2276" s="22">
        <f t="shared" si="178"/>
        <v>0.71488494465588259</v>
      </c>
      <c r="X2276" s="33"/>
      <c r="Y2276" s="33"/>
    </row>
    <row r="2277" spans="1:25" x14ac:dyDescent="0.2">
      <c r="A2277" s="93" t="s">
        <v>1029</v>
      </c>
      <c r="B2277" s="94" t="str">
        <f>IFERROR(VLOOKUP($A2277,HeadJournal!$A$1:$NTR$890,COLUMN(HeadJournal!B$1),0),"")</f>
        <v>700000951790</v>
      </c>
      <c r="C2277" s="94" t="str">
        <f>IFERROR(VLOOKUP($A2277,HeadJournal!$A$1:$NTR$890,COLUMN(HeadJournal!C$1),0),"")</f>
        <v>iHerb_OA CZN6870</v>
      </c>
      <c r="D2277" s="125" t="str">
        <f>IFERROR(VLOOKUP($A2277,HeadJournal!$A$1:$NTR$890,COLUMN(HeadJournal!D$1),0),"")</f>
        <v>Доставлен</v>
      </c>
      <c r="E2277" s="95">
        <f>IFERROR(VLOOKUP($A2277,HeadJournal!$A$1:$NTR$890,COLUMN(HeadJournal!G$1),0),"")</f>
        <v>45206</v>
      </c>
      <c r="F2277" s="95" t="str">
        <f t="shared" si="179"/>
        <v>2023 10</v>
      </c>
      <c r="G2277" s="96" t="s">
        <v>5</v>
      </c>
      <c r="H2277" s="161" t="s">
        <v>2129</v>
      </c>
      <c r="I2277" s="97" t="s">
        <v>2125</v>
      </c>
      <c r="J2277" s="97" t="s">
        <v>2130</v>
      </c>
      <c r="K2277" s="29">
        <v>10.69</v>
      </c>
      <c r="L2277" s="29">
        <v>-1.07</v>
      </c>
      <c r="M2277" s="30">
        <f>IFERROR(VLOOKUP($A2277,HeadJournal!$A$1:$J$890,COLUMN(HeadJournal!I$1),0)*($K2277+$L2277)/(SUMIF($A:$A,$A2277,$K:$K)+SUMIF($A:$A,$A2277,$L:$L)),0)</f>
        <v>-0.99164963270520612</v>
      </c>
      <c r="N2277" s="30">
        <f>IFERROR((VLOOKUP($A2277,HeadJournal!$A$1:$K$890,COLUMN(HeadJournal!K$1),0)-VLOOKUP($A2277,HeadJournal!$A$1:$K$890,COLUMN(HeadJournal!J$1),0))*($K2277+$L2277)/(SUMIF($A:$A,$A2277,$K:$K)+SUMIF($A:$A,$A2277,$L:$L)),0)</f>
        <v>1.0915715614838973E-15</v>
      </c>
      <c r="O2277" s="30">
        <f>IFERROR((VLOOKUP($A2277,HeadJournal!$A$1:$L$890,COLUMN(HeadJournal!L$1),0)*($K2277+$L2277)/(SUMIF($A:$A,$A2277,$K:$K)+SUMIF($A:$A,$A2277,$L:$L)))/VLOOKUP($A2277,HeadJournal!$A$1:$L$890,COLUMN(HeadJournal!H$1),0),0)</f>
        <v>0.74049925340185585</v>
      </c>
      <c r="P2277" s="30">
        <f>IFERROR(SUM(K2277:O2277)*VLOOKUP($A2277,HeadJournal!$A$1:$L$890,COLUMN(HeadJournal!H$1),0),0)</f>
        <v>1049.6330996486747</v>
      </c>
      <c r="Q2277" s="29">
        <v>1600</v>
      </c>
      <c r="R2277" s="31">
        <v>45535</v>
      </c>
      <c r="S2277" s="31" t="s">
        <v>3121</v>
      </c>
      <c r="T2277" s="95" t="str">
        <f t="shared" si="180"/>
        <v>2024 08</v>
      </c>
      <c r="U2277" s="32">
        <f t="shared" si="177"/>
        <v>550.36690035132528</v>
      </c>
      <c r="V2277" s="22">
        <f t="shared" si="178"/>
        <v>0.52434217302745112</v>
      </c>
      <c r="X2277" s="33"/>
      <c r="Y2277" s="33"/>
    </row>
    <row r="2278" spans="1:25" x14ac:dyDescent="0.2">
      <c r="A2278" s="93" t="s">
        <v>1029</v>
      </c>
      <c r="B2278" s="94" t="str">
        <f>IFERROR(VLOOKUP($A2278,HeadJournal!$A$1:$NTR$890,COLUMN(HeadJournal!B$1),0),"")</f>
        <v>700000951790</v>
      </c>
      <c r="C2278" s="94" t="str">
        <f>IFERROR(VLOOKUP($A2278,HeadJournal!$A$1:$NTR$890,COLUMN(HeadJournal!C$1),0),"")</f>
        <v>iHerb_OA CZN6870</v>
      </c>
      <c r="D2278" s="125" t="str">
        <f>IFERROR(VLOOKUP($A2278,HeadJournal!$A$1:$NTR$890,COLUMN(HeadJournal!D$1),0),"")</f>
        <v>Доставлен</v>
      </c>
      <c r="E2278" s="95">
        <f>IFERROR(VLOOKUP($A2278,HeadJournal!$A$1:$NTR$890,COLUMN(HeadJournal!G$1),0),"")</f>
        <v>45206</v>
      </c>
      <c r="F2278" s="95" t="str">
        <f t="shared" si="179"/>
        <v>2023 10</v>
      </c>
      <c r="G2278" s="96" t="s">
        <v>5</v>
      </c>
      <c r="H2278" s="161" t="s">
        <v>2979</v>
      </c>
      <c r="I2278" s="97" t="s">
        <v>2039</v>
      </c>
      <c r="J2278" s="97" t="s">
        <v>2980</v>
      </c>
      <c r="K2278" s="29">
        <v>11.62</v>
      </c>
      <c r="L2278" s="29">
        <v>-2.3199999999999998</v>
      </c>
      <c r="M2278" s="30">
        <f>IFERROR(VLOOKUP($A2278,HeadJournal!$A$1:$J$890,COLUMN(HeadJournal!I$1),0)*($K2278+$L2278)/(SUMIF($A:$A,$A2278,$K:$K)+SUMIF($A:$A,$A2278,$L:$L)),0)</f>
        <v>-0.95866336633663374</v>
      </c>
      <c r="N2278" s="30">
        <f>IFERROR((VLOOKUP($A2278,HeadJournal!$A$1:$K$890,COLUMN(HeadJournal!K$1),0)-VLOOKUP($A2278,HeadJournal!$A$1:$K$890,COLUMN(HeadJournal!J$1),0))*($K2278+$L2278)/(SUMIF($A:$A,$A2278,$K:$K)+SUMIF($A:$A,$A2278,$L:$L)),0)</f>
        <v>1.055261488752624E-15</v>
      </c>
      <c r="O2278" s="30">
        <f>IFERROR((VLOOKUP($A2278,HeadJournal!$A$1:$L$890,COLUMN(HeadJournal!L$1),0)*($K2278+$L2278)/(SUMIF($A:$A,$A2278,$K:$K)+SUMIF($A:$A,$A2278,$L:$L)))/VLOOKUP($A2278,HeadJournal!$A$1:$L$890,COLUMN(HeadJournal!H$1),0),0)</f>
        <v>0.71586726160470471</v>
      </c>
      <c r="P2278" s="30">
        <f>IFERROR(SUM(K2278:O2278)*VLOOKUP($A2278,HeadJournal!$A$1:$L$890,COLUMN(HeadJournal!H$1),0),0)</f>
        <v>1014.7180693069308</v>
      </c>
      <c r="Q2278" s="29">
        <v>1700</v>
      </c>
      <c r="R2278" s="31">
        <v>45238</v>
      </c>
      <c r="S2278" s="31" t="s">
        <v>3121</v>
      </c>
      <c r="T2278" s="95" t="str">
        <f t="shared" si="180"/>
        <v>2023 11</v>
      </c>
      <c r="U2278" s="32">
        <f t="shared" si="177"/>
        <v>685.28193069306917</v>
      </c>
      <c r="V2278" s="22">
        <f t="shared" si="178"/>
        <v>0.6753421974254662</v>
      </c>
      <c r="X2278" s="33"/>
      <c r="Y2278" s="33"/>
    </row>
    <row r="2279" spans="1:25" x14ac:dyDescent="0.2">
      <c r="A2279" s="93" t="s">
        <v>1029</v>
      </c>
      <c r="B2279" s="94" t="str">
        <f>IFERROR(VLOOKUP($A2279,HeadJournal!$A$1:$NTR$890,COLUMN(HeadJournal!B$1),0),"")</f>
        <v>700000951790</v>
      </c>
      <c r="C2279" s="94" t="str">
        <f>IFERROR(VLOOKUP($A2279,HeadJournal!$A$1:$NTR$890,COLUMN(HeadJournal!C$1),0),"")</f>
        <v>iHerb_OA CZN6870</v>
      </c>
      <c r="D2279" s="125" t="str">
        <f>IFERROR(VLOOKUP($A2279,HeadJournal!$A$1:$NTR$890,COLUMN(HeadJournal!D$1),0),"")</f>
        <v>Доставлен</v>
      </c>
      <c r="E2279" s="95">
        <f>IFERROR(VLOOKUP($A2279,HeadJournal!$A$1:$NTR$890,COLUMN(HeadJournal!G$1),0),"")</f>
        <v>45206</v>
      </c>
      <c r="F2279" s="95" t="str">
        <f t="shared" si="179"/>
        <v>2023 10</v>
      </c>
      <c r="G2279" s="96" t="s">
        <v>5</v>
      </c>
      <c r="H2279" s="160" t="str">
        <f>RIGHT(Journal!$J2279,9)</f>
        <v>CAR-13730</v>
      </c>
      <c r="I2279" s="96" t="str">
        <f t="shared" si="181"/>
        <v>Carlson</v>
      </c>
      <c r="J2279" s="97" t="s">
        <v>1032</v>
      </c>
      <c r="K2279" s="29">
        <v>30.32</v>
      </c>
      <c r="L2279" s="29">
        <v>-6.06</v>
      </c>
      <c r="M2279" s="30">
        <f>IFERROR(VLOOKUP($A2279,HeadJournal!$A$1:$J$890,COLUMN(HeadJournal!I$1),0)*($K2279+$L2279)/(SUMIF($A:$A,$A2279,$K:$K)+SUMIF($A:$A,$A2279,$L:$L)),0)</f>
        <v>-2.5007713190673915</v>
      </c>
      <c r="N2279" s="30">
        <f>IFERROR((VLOOKUP($A2279,HeadJournal!$A$1:$K$890,COLUMN(HeadJournal!K$1),0)-VLOOKUP($A2279,HeadJournal!$A$1:$K$890,COLUMN(HeadJournal!J$1),0))*($K2279+$L2279)/(SUMIF($A:$A,$A2279,$K:$K)+SUMIF($A:$A,$A2279,$L:$L)),0)</f>
        <v>2.7527573889396414E-15</v>
      </c>
      <c r="O2279" s="30">
        <f>IFERROR((VLOOKUP($A2279,HeadJournal!$A$1:$L$890,COLUMN(HeadJournal!L$1),0)*($K2279+$L2279)/(SUMIF($A:$A,$A2279,$K:$K)+SUMIF($A:$A,$A2279,$L:$L)))/VLOOKUP($A2279,HeadJournal!$A$1:$L$890,COLUMN(HeadJournal!H$1),0),0)</f>
        <v>1.8674128781215202</v>
      </c>
      <c r="P2279" s="30">
        <f>IFERROR(SUM(K2279:O2279)*VLOOKUP($A2279,HeadJournal!$A$1:$L$890,COLUMN(HeadJournal!H$1),0),0)</f>
        <v>2646.9957377834562</v>
      </c>
      <c r="Q2279" s="29">
        <v>3600</v>
      </c>
      <c r="R2279" s="31">
        <v>45245</v>
      </c>
      <c r="S2279" s="31" t="s">
        <v>3121</v>
      </c>
      <c r="T2279" s="95" t="str">
        <f t="shared" si="180"/>
        <v>2023 11</v>
      </c>
      <c r="U2279" s="32">
        <f t="shared" si="177"/>
        <v>953.00426221654379</v>
      </c>
      <c r="V2279" s="22">
        <f t="shared" si="178"/>
        <v>0.36003241282684173</v>
      </c>
      <c r="X2279" s="33"/>
      <c r="Y2279" s="33"/>
    </row>
    <row r="2280" spans="1:25" x14ac:dyDescent="0.2">
      <c r="A2280" s="93" t="s">
        <v>1033</v>
      </c>
      <c r="B2280" s="94">
        <f>IFERROR(VLOOKUP($A2280,HeadJournal!$A$1:$NTR$890,COLUMN(HeadJournal!B$1),0),"")</f>
        <v>0</v>
      </c>
      <c r="C2280" s="94" t="str">
        <f>IFERROR(VLOOKUP($A2280,HeadJournal!$A$1:$NTR$890,COLUMN(HeadJournal!C$1),0),"")</f>
        <v>OZON_OA</v>
      </c>
      <c r="D2280" s="125" t="str">
        <f>IFERROR(VLOOKUP($A2280,HeadJournal!$A$1:$NTR$890,COLUMN(HeadJournal!D$1),0),"")</f>
        <v>Доставлен</v>
      </c>
      <c r="E2280" s="95">
        <f>IFERROR(VLOOKUP($A2280,HeadJournal!$A$1:$NTR$890,COLUMN(HeadJournal!G$1),0),"")</f>
        <v>45208</v>
      </c>
      <c r="F2280" s="95" t="str">
        <f t="shared" si="179"/>
        <v>2023 10</v>
      </c>
      <c r="G2280" s="96" t="s">
        <v>6</v>
      </c>
      <c r="H2280" s="160" t="str">
        <f>RIGHT(Journal!$J2280,9)</f>
        <v>176208973</v>
      </c>
      <c r="I2280" s="96" t="str">
        <f t="shared" si="181"/>
        <v>Maxler</v>
      </c>
      <c r="J2280" s="97" t="s">
        <v>481</v>
      </c>
      <c r="K2280" s="29">
        <v>1620</v>
      </c>
      <c r="L2280" s="29">
        <v>0</v>
      </c>
      <c r="M2280" s="30">
        <f>IFERROR(VLOOKUP($A2280,HeadJournal!$A$1:$J$890,COLUMN(HeadJournal!I$1),0)*($K2280+$L2280)/(SUMIF($A:$A,$A2280,$K:$K)+SUMIF($A:$A,$A2280,$L:$L)),0)</f>
        <v>0</v>
      </c>
      <c r="N2280" s="30">
        <f>IFERROR((VLOOKUP($A2280,HeadJournal!$A$1:$K$890,COLUMN(HeadJournal!K$1),0)-VLOOKUP($A2280,HeadJournal!$A$1:$K$890,COLUMN(HeadJournal!J$1),0))*($K2280+$L2280)/(SUMIF($A:$A,$A2280,$K:$K)+SUMIF($A:$A,$A2280,$L:$L)),0)</f>
        <v>0</v>
      </c>
      <c r="O2280" s="30">
        <f>IFERROR((VLOOKUP($A2280,HeadJournal!$A$1:$L$890,COLUMN(HeadJournal!L$1),0)*($K2280+$L2280)/(SUMIF($A:$A,$A2280,$K:$K)+SUMIF($A:$A,$A2280,$L:$L)))/VLOOKUP($A2280,HeadJournal!$A$1:$L$890,COLUMN(HeadJournal!H$1),0),0)</f>
        <v>162</v>
      </c>
      <c r="P2280" s="30">
        <f>IFERROR(SUM(K2280:O2280)*VLOOKUP($A2280,HeadJournal!$A$1:$L$890,COLUMN(HeadJournal!H$1),0),0)</f>
        <v>1782</v>
      </c>
      <c r="Q2280" s="29">
        <v>2700</v>
      </c>
      <c r="R2280" s="31">
        <v>45215</v>
      </c>
      <c r="S2280" s="31" t="s">
        <v>3121</v>
      </c>
      <c r="T2280" s="95" t="str">
        <f t="shared" si="180"/>
        <v>2023 10</v>
      </c>
      <c r="U2280" s="32">
        <f t="shared" si="177"/>
        <v>918</v>
      </c>
      <c r="V2280" s="22">
        <f t="shared" si="178"/>
        <v>0.51515151515151514</v>
      </c>
      <c r="X2280" s="33"/>
      <c r="Y2280" s="33"/>
    </row>
    <row r="2281" spans="1:25" x14ac:dyDescent="0.2">
      <c r="A2281" s="93" t="s">
        <v>1033</v>
      </c>
      <c r="B2281" s="94">
        <f>IFERROR(VLOOKUP($A2281,HeadJournal!$A$1:$NTR$890,COLUMN(HeadJournal!B$1),0),"")</f>
        <v>0</v>
      </c>
      <c r="C2281" s="94" t="str">
        <f>IFERROR(VLOOKUP($A2281,HeadJournal!$A$1:$NTR$890,COLUMN(HeadJournal!C$1),0),"")</f>
        <v>OZON_OA</v>
      </c>
      <c r="D2281" s="125" t="str">
        <f>IFERROR(VLOOKUP($A2281,HeadJournal!$A$1:$NTR$890,COLUMN(HeadJournal!D$1),0),"")</f>
        <v>Доставлен</v>
      </c>
      <c r="E2281" s="95">
        <f>IFERROR(VLOOKUP($A2281,HeadJournal!$A$1:$NTR$890,COLUMN(HeadJournal!G$1),0),"")</f>
        <v>45208</v>
      </c>
      <c r="F2281" s="95" t="str">
        <f t="shared" si="179"/>
        <v>2023 10</v>
      </c>
      <c r="G2281" s="96" t="s">
        <v>6</v>
      </c>
      <c r="H2281" s="175" t="s">
        <v>1950</v>
      </c>
      <c r="I2281" s="176" t="s">
        <v>560</v>
      </c>
      <c r="J2281" s="97" t="s">
        <v>1951</v>
      </c>
      <c r="K2281" s="29">
        <v>899.5</v>
      </c>
      <c r="L2281" s="29">
        <v>0</v>
      </c>
      <c r="M2281" s="30">
        <f>IFERROR(VLOOKUP($A2281,HeadJournal!$A$1:$J$890,COLUMN(HeadJournal!I$1),0)*($K2281+$L2281)/(SUMIF($A:$A,$A2281,$K:$K)+SUMIF($A:$A,$A2281,$L:$L)),0)</f>
        <v>0</v>
      </c>
      <c r="N2281" s="30">
        <f>IFERROR((VLOOKUP($A2281,HeadJournal!$A$1:$K$890,COLUMN(HeadJournal!K$1),0)-VLOOKUP($A2281,HeadJournal!$A$1:$K$890,COLUMN(HeadJournal!J$1),0))*($K2281+$L2281)/(SUMIF($A:$A,$A2281,$K:$K)+SUMIF($A:$A,$A2281,$L:$L)),0)</f>
        <v>0</v>
      </c>
      <c r="O2281" s="30">
        <f>IFERROR((VLOOKUP($A2281,HeadJournal!$A$1:$L$890,COLUMN(HeadJournal!L$1),0)*($K2281+$L2281)/(SUMIF($A:$A,$A2281,$K:$K)+SUMIF($A:$A,$A2281,$L:$L)))/VLOOKUP($A2281,HeadJournal!$A$1:$L$890,COLUMN(HeadJournal!H$1),0),0)</f>
        <v>89.950000000000017</v>
      </c>
      <c r="P2281" s="30">
        <f>IFERROR(SUM(K2281:O2281)*VLOOKUP($A2281,HeadJournal!$A$1:$L$890,COLUMN(HeadJournal!H$1),0),0)</f>
        <v>989.45</v>
      </c>
      <c r="Q2281" s="29">
        <v>1700</v>
      </c>
      <c r="R2281" s="31">
        <v>45232</v>
      </c>
      <c r="S2281" s="31" t="s">
        <v>3121</v>
      </c>
      <c r="T2281" s="95" t="str">
        <f t="shared" si="180"/>
        <v>2023 11</v>
      </c>
      <c r="U2281" s="32">
        <f t="shared" si="177"/>
        <v>710.55</v>
      </c>
      <c r="V2281" s="22">
        <f t="shared" si="178"/>
        <v>0.71812623174490875</v>
      </c>
      <c r="X2281" s="33"/>
      <c r="Y2281" s="33"/>
    </row>
    <row r="2282" spans="1:25" x14ac:dyDescent="0.2">
      <c r="A2282" s="93" t="s">
        <v>1033</v>
      </c>
      <c r="B2282" s="94">
        <f>IFERROR(VLOOKUP($A2282,HeadJournal!$A$1:$NTR$890,COLUMN(HeadJournal!B$1),0),"")</f>
        <v>0</v>
      </c>
      <c r="C2282" s="94" t="str">
        <f>IFERROR(VLOOKUP($A2282,HeadJournal!$A$1:$NTR$890,COLUMN(HeadJournal!C$1),0),"")</f>
        <v>OZON_OA</v>
      </c>
      <c r="D2282" s="125" t="str">
        <f>IFERROR(VLOOKUP($A2282,HeadJournal!$A$1:$NTR$890,COLUMN(HeadJournal!D$1),0),"")</f>
        <v>Доставлен</v>
      </c>
      <c r="E2282" s="95">
        <f>IFERROR(VLOOKUP($A2282,HeadJournal!$A$1:$NTR$890,COLUMN(HeadJournal!G$1),0),"")</f>
        <v>45208</v>
      </c>
      <c r="F2282" s="95" t="str">
        <f t="shared" si="179"/>
        <v>2023 10</v>
      </c>
      <c r="G2282" s="96" t="s">
        <v>6</v>
      </c>
      <c r="H2282" s="160" t="str">
        <f>RIGHT(Journal!$J2282,9)</f>
        <v>070106285</v>
      </c>
      <c r="I2282" s="96" t="str">
        <f t="shared" si="181"/>
        <v>SOUL WAY</v>
      </c>
      <c r="J2282" s="97" t="s">
        <v>1034</v>
      </c>
      <c r="K2282" s="29">
        <v>898.5</v>
      </c>
      <c r="L2282" s="29">
        <v>0</v>
      </c>
      <c r="M2282" s="30">
        <f>IFERROR(VLOOKUP($A2282,HeadJournal!$A$1:$J$890,COLUMN(HeadJournal!I$1),0)*($K2282+$L2282)/(SUMIF($A:$A,$A2282,$K:$K)+SUMIF($A:$A,$A2282,$L:$L)),0)</f>
        <v>0</v>
      </c>
      <c r="N2282" s="30">
        <f>IFERROR((VLOOKUP($A2282,HeadJournal!$A$1:$K$890,COLUMN(HeadJournal!K$1),0)-VLOOKUP($A2282,HeadJournal!$A$1:$K$890,COLUMN(HeadJournal!J$1),0))*($K2282+$L2282)/(SUMIF($A:$A,$A2282,$K:$K)+SUMIF($A:$A,$A2282,$L:$L)),0)</f>
        <v>0</v>
      </c>
      <c r="O2282" s="30">
        <f>IFERROR((VLOOKUP($A2282,HeadJournal!$A$1:$L$890,COLUMN(HeadJournal!L$1),0)*($K2282+$L2282)/(SUMIF($A:$A,$A2282,$K:$K)+SUMIF($A:$A,$A2282,$L:$L)))/VLOOKUP($A2282,HeadJournal!$A$1:$L$890,COLUMN(HeadJournal!H$1),0),0)</f>
        <v>89.85</v>
      </c>
      <c r="P2282" s="30">
        <f>IFERROR(SUM(K2282:O2282)*VLOOKUP($A2282,HeadJournal!$A$1:$L$890,COLUMN(HeadJournal!H$1),0),0)</f>
        <v>988.35</v>
      </c>
      <c r="Q2282" s="29">
        <v>1700</v>
      </c>
      <c r="R2282" s="31">
        <v>45232</v>
      </c>
      <c r="S2282" s="31" t="s">
        <v>3121</v>
      </c>
      <c r="T2282" s="95" t="str">
        <f t="shared" si="180"/>
        <v>2023 11</v>
      </c>
      <c r="U2282" s="32">
        <f t="shared" si="177"/>
        <v>711.65</v>
      </c>
      <c r="V2282" s="22">
        <f t="shared" si="178"/>
        <v>0.72003844791824756</v>
      </c>
      <c r="X2282" s="33"/>
      <c r="Y2282" s="33"/>
    </row>
    <row r="2283" spans="1:25" x14ac:dyDescent="0.2">
      <c r="A2283" s="93" t="s">
        <v>1033</v>
      </c>
      <c r="B2283" s="94">
        <f>IFERROR(VLOOKUP($A2283,HeadJournal!$A$1:$NTR$890,COLUMN(HeadJournal!B$1),0),"")</f>
        <v>0</v>
      </c>
      <c r="C2283" s="94" t="str">
        <f>IFERROR(VLOOKUP($A2283,HeadJournal!$A$1:$NTR$890,COLUMN(HeadJournal!C$1),0),"")</f>
        <v>OZON_OA</v>
      </c>
      <c r="D2283" s="125" t="str">
        <f>IFERROR(VLOOKUP($A2283,HeadJournal!$A$1:$NTR$890,COLUMN(HeadJournal!D$1),0),"")</f>
        <v>Доставлен</v>
      </c>
      <c r="E2283" s="95">
        <f>IFERROR(VLOOKUP($A2283,HeadJournal!$A$1:$NTR$890,COLUMN(HeadJournal!G$1),0),"")</f>
        <v>45208</v>
      </c>
      <c r="F2283" s="95" t="str">
        <f t="shared" si="179"/>
        <v>2023 10</v>
      </c>
      <c r="G2283" s="96" t="s">
        <v>6</v>
      </c>
      <c r="H2283" s="160" t="str">
        <f>RIGHT(Journal!$J2283,9)</f>
        <v>999025023</v>
      </c>
      <c r="I2283" s="96" t="str">
        <f t="shared" si="181"/>
        <v>Maxler</v>
      </c>
      <c r="J2283" s="97" t="s">
        <v>1035</v>
      </c>
      <c r="K2283" s="29">
        <v>944</v>
      </c>
      <c r="L2283" s="29">
        <v>0</v>
      </c>
      <c r="M2283" s="30">
        <f>IFERROR(VLOOKUP($A2283,HeadJournal!$A$1:$J$890,COLUMN(HeadJournal!I$1),0)*($K2283+$L2283)/(SUMIF($A:$A,$A2283,$K:$K)+SUMIF($A:$A,$A2283,$L:$L)),0)</f>
        <v>0</v>
      </c>
      <c r="N2283" s="30">
        <f>IFERROR((VLOOKUP($A2283,HeadJournal!$A$1:$K$890,COLUMN(HeadJournal!K$1),0)-VLOOKUP($A2283,HeadJournal!$A$1:$K$890,COLUMN(HeadJournal!J$1),0))*($K2283+$L2283)/(SUMIF($A:$A,$A2283,$K:$K)+SUMIF($A:$A,$A2283,$L:$L)),0)</f>
        <v>0</v>
      </c>
      <c r="O2283" s="30">
        <f>IFERROR((VLOOKUP($A2283,HeadJournal!$A$1:$L$890,COLUMN(HeadJournal!L$1),0)*($K2283+$L2283)/(SUMIF($A:$A,$A2283,$K:$K)+SUMIF($A:$A,$A2283,$L:$L)))/VLOOKUP($A2283,HeadJournal!$A$1:$L$890,COLUMN(HeadJournal!H$1),0),0)</f>
        <v>94.4</v>
      </c>
      <c r="P2283" s="30">
        <f>IFERROR(SUM(K2283:O2283)*VLOOKUP($A2283,HeadJournal!$A$1:$L$890,COLUMN(HeadJournal!H$1),0),0)</f>
        <v>1038.4000000000001</v>
      </c>
      <c r="Q2283" s="29">
        <v>1700</v>
      </c>
      <c r="R2283" s="31">
        <v>45224</v>
      </c>
      <c r="S2283" s="31" t="s">
        <v>3121</v>
      </c>
      <c r="T2283" s="95" t="str">
        <f t="shared" si="180"/>
        <v>2023 10</v>
      </c>
      <c r="U2283" s="32">
        <f t="shared" si="177"/>
        <v>661.59999999999991</v>
      </c>
      <c r="V2283" s="22">
        <f t="shared" si="178"/>
        <v>0.63713405238828957</v>
      </c>
      <c r="X2283" s="33"/>
      <c r="Y2283" s="33"/>
    </row>
    <row r="2284" spans="1:25" x14ac:dyDescent="0.2">
      <c r="A2284" s="93" t="s">
        <v>1033</v>
      </c>
      <c r="B2284" s="94">
        <f>IFERROR(VLOOKUP($A2284,HeadJournal!$A$1:$NTR$890,COLUMN(HeadJournal!B$1),0),"")</f>
        <v>0</v>
      </c>
      <c r="C2284" s="94" t="str">
        <f>IFERROR(VLOOKUP($A2284,HeadJournal!$A$1:$NTR$890,COLUMN(HeadJournal!C$1),0),"")</f>
        <v>OZON_OA</v>
      </c>
      <c r="D2284" s="125" t="str">
        <f>IFERROR(VLOOKUP($A2284,HeadJournal!$A$1:$NTR$890,COLUMN(HeadJournal!D$1),0),"")</f>
        <v>Доставлен</v>
      </c>
      <c r="E2284" s="95">
        <f>IFERROR(VLOOKUP($A2284,HeadJournal!$A$1:$NTR$890,COLUMN(HeadJournal!G$1),0),"")</f>
        <v>45208</v>
      </c>
      <c r="F2284" s="95" t="str">
        <f t="shared" si="179"/>
        <v>2023 10</v>
      </c>
      <c r="G2284" s="96" t="s">
        <v>6</v>
      </c>
      <c r="H2284" s="160" t="str">
        <f>RIGHT(Journal!$J2284,9)</f>
        <v>999025023</v>
      </c>
      <c r="I2284" s="96" t="str">
        <f t="shared" si="181"/>
        <v>Maxler</v>
      </c>
      <c r="J2284" s="97" t="s">
        <v>1035</v>
      </c>
      <c r="K2284" s="29">
        <v>944</v>
      </c>
      <c r="L2284" s="29">
        <v>0</v>
      </c>
      <c r="M2284" s="30">
        <f>IFERROR(VLOOKUP($A2284,HeadJournal!$A$1:$J$890,COLUMN(HeadJournal!I$1),0)*($K2284+$L2284)/(SUMIF($A:$A,$A2284,$K:$K)+SUMIF($A:$A,$A2284,$L:$L)),0)</f>
        <v>0</v>
      </c>
      <c r="N2284" s="30">
        <f>IFERROR((VLOOKUP($A2284,HeadJournal!$A$1:$K$890,COLUMN(HeadJournal!K$1),0)-VLOOKUP($A2284,HeadJournal!$A$1:$K$890,COLUMN(HeadJournal!J$1),0))*($K2284+$L2284)/(SUMIF($A:$A,$A2284,$K:$K)+SUMIF($A:$A,$A2284,$L:$L)),0)</f>
        <v>0</v>
      </c>
      <c r="O2284" s="30">
        <f>IFERROR((VLOOKUP($A2284,HeadJournal!$A$1:$L$890,COLUMN(HeadJournal!L$1),0)*($K2284+$L2284)/(SUMIF($A:$A,$A2284,$K:$K)+SUMIF($A:$A,$A2284,$L:$L)))/VLOOKUP($A2284,HeadJournal!$A$1:$L$890,COLUMN(HeadJournal!H$1),0),0)</f>
        <v>94.4</v>
      </c>
      <c r="P2284" s="30">
        <f>IFERROR(SUM(K2284:O2284)*VLOOKUP($A2284,HeadJournal!$A$1:$L$890,COLUMN(HeadJournal!H$1),0),0)</f>
        <v>1038.4000000000001</v>
      </c>
      <c r="Q2284" s="29">
        <v>1700</v>
      </c>
      <c r="R2284" s="31">
        <v>45241</v>
      </c>
      <c r="S2284" s="31" t="s">
        <v>3121</v>
      </c>
      <c r="T2284" s="95" t="str">
        <f t="shared" si="180"/>
        <v>2023 11</v>
      </c>
      <c r="U2284" s="32">
        <f t="shared" si="177"/>
        <v>661.59999999999991</v>
      </c>
      <c r="V2284" s="22">
        <f t="shared" si="178"/>
        <v>0.63713405238828957</v>
      </c>
      <c r="X2284" s="33"/>
      <c r="Y2284" s="33"/>
    </row>
    <row r="2285" spans="1:25" x14ac:dyDescent="0.2">
      <c r="A2285" s="93" t="s">
        <v>1033</v>
      </c>
      <c r="B2285" s="94">
        <f>IFERROR(VLOOKUP($A2285,HeadJournal!$A$1:$NTR$890,COLUMN(HeadJournal!B$1),0),"")</f>
        <v>0</v>
      </c>
      <c r="C2285" s="94" t="str">
        <f>IFERROR(VLOOKUP($A2285,HeadJournal!$A$1:$NTR$890,COLUMN(HeadJournal!C$1),0),"")</f>
        <v>OZON_OA</v>
      </c>
      <c r="D2285" s="125" t="str">
        <f>IFERROR(VLOOKUP($A2285,HeadJournal!$A$1:$NTR$890,COLUMN(HeadJournal!D$1),0),"")</f>
        <v>Доставлен</v>
      </c>
      <c r="E2285" s="95">
        <f>IFERROR(VLOOKUP($A2285,HeadJournal!$A$1:$NTR$890,COLUMN(HeadJournal!G$1),0),"")</f>
        <v>45208</v>
      </c>
      <c r="F2285" s="95" t="str">
        <f t="shared" si="179"/>
        <v>2023 10</v>
      </c>
      <c r="G2285" s="96" t="s">
        <v>6</v>
      </c>
      <c r="H2285" s="160" t="str">
        <f>RIGHT(Journal!$J2285,9)</f>
        <v>176208973</v>
      </c>
      <c r="I2285" s="96" t="str">
        <f t="shared" si="181"/>
        <v>Maxler</v>
      </c>
      <c r="J2285" s="97" t="s">
        <v>481</v>
      </c>
      <c r="K2285" s="29">
        <v>1620</v>
      </c>
      <c r="L2285" s="29">
        <v>0</v>
      </c>
      <c r="M2285" s="30">
        <f>IFERROR(VLOOKUP($A2285,HeadJournal!$A$1:$J$890,COLUMN(HeadJournal!I$1),0)*($K2285+$L2285)/(SUMIF($A:$A,$A2285,$K:$K)+SUMIF($A:$A,$A2285,$L:$L)),0)</f>
        <v>0</v>
      </c>
      <c r="N2285" s="30">
        <f>IFERROR((VLOOKUP($A2285,HeadJournal!$A$1:$K$890,COLUMN(HeadJournal!K$1),0)-VLOOKUP($A2285,HeadJournal!$A$1:$K$890,COLUMN(HeadJournal!J$1),0))*($K2285+$L2285)/(SUMIF($A:$A,$A2285,$K:$K)+SUMIF($A:$A,$A2285,$L:$L)),0)</f>
        <v>0</v>
      </c>
      <c r="O2285" s="30">
        <f>IFERROR((VLOOKUP($A2285,HeadJournal!$A$1:$L$890,COLUMN(HeadJournal!L$1),0)*($K2285+$L2285)/(SUMIF($A:$A,$A2285,$K:$K)+SUMIF($A:$A,$A2285,$L:$L)))/VLOOKUP($A2285,HeadJournal!$A$1:$L$890,COLUMN(HeadJournal!H$1),0),0)</f>
        <v>162</v>
      </c>
      <c r="P2285" s="30">
        <f>IFERROR(SUM(K2285:O2285)*VLOOKUP($A2285,HeadJournal!$A$1:$L$890,COLUMN(HeadJournal!H$1),0),0)</f>
        <v>1782</v>
      </c>
      <c r="Q2285" s="29">
        <v>2700</v>
      </c>
      <c r="R2285" s="31">
        <v>45302</v>
      </c>
      <c r="S2285" s="31" t="s">
        <v>3121</v>
      </c>
      <c r="T2285" s="95" t="str">
        <f t="shared" si="180"/>
        <v>2024 01</v>
      </c>
      <c r="U2285" s="32">
        <f t="shared" si="177"/>
        <v>918</v>
      </c>
      <c r="V2285" s="22">
        <f t="shared" si="178"/>
        <v>0.51515151515151514</v>
      </c>
      <c r="X2285" s="33"/>
      <c r="Y2285" s="33"/>
    </row>
    <row r="2286" spans="1:25" x14ac:dyDescent="0.2">
      <c r="A2286" s="93" t="s">
        <v>1036</v>
      </c>
      <c r="B2286" s="94">
        <f>IFERROR(VLOOKUP($A2286,HeadJournal!$A$1:$NTR$890,COLUMN(HeadJournal!B$1),0),"")</f>
        <v>0</v>
      </c>
      <c r="C2286" s="94" t="str">
        <f>IFERROR(VLOOKUP($A2286,HeadJournal!$A$1:$NTR$890,COLUMN(HeadJournal!C$1),0),"")</f>
        <v>WBRS</v>
      </c>
      <c r="D2286" s="125" t="str">
        <f>IFERROR(VLOOKUP($A2286,HeadJournal!$A$1:$NTR$890,COLUMN(HeadJournal!D$1),0),"")</f>
        <v>Доставлен</v>
      </c>
      <c r="E2286" s="95">
        <f>IFERROR(VLOOKUP($A2286,HeadJournal!$A$1:$NTR$890,COLUMN(HeadJournal!G$1),0),"")</f>
        <v>45205</v>
      </c>
      <c r="F2286" s="95" t="str">
        <f t="shared" si="179"/>
        <v>2023 10</v>
      </c>
      <c r="G2286" s="96" t="s">
        <v>6</v>
      </c>
      <c r="H2286" s="160" t="str">
        <f>RIGHT(Journal!$J2286,9)</f>
        <v>176044510</v>
      </c>
      <c r="I2286" s="96" t="str">
        <f t="shared" si="181"/>
        <v>Spotlife</v>
      </c>
      <c r="J2286" s="97" t="s">
        <v>1037</v>
      </c>
      <c r="K2286" s="29">
        <v>428</v>
      </c>
      <c r="L2286" s="29">
        <v>0</v>
      </c>
      <c r="M2286" s="30">
        <f>IFERROR(VLOOKUP($A2286,HeadJournal!$A$1:$J$890,COLUMN(HeadJournal!I$1),0)*($K2286+$L2286)/(SUMIF($A:$A,$A2286,$K:$K)+SUMIF($A:$A,$A2286,$L:$L)),0)</f>
        <v>0</v>
      </c>
      <c r="N2286" s="30">
        <f>IFERROR((VLOOKUP($A2286,HeadJournal!$A$1:$K$890,COLUMN(HeadJournal!K$1),0)-VLOOKUP($A2286,HeadJournal!$A$1:$K$890,COLUMN(HeadJournal!J$1),0))*($K2286+$L2286)/(SUMIF($A:$A,$A2286,$K:$K)+SUMIF($A:$A,$A2286,$L:$L)),0)</f>
        <v>0</v>
      </c>
      <c r="O2286" s="30">
        <f>IFERROR((VLOOKUP($A2286,HeadJournal!$A$1:$L$890,COLUMN(HeadJournal!L$1),0)*($K2286+$L2286)/(SUMIF($A:$A,$A2286,$K:$K)+SUMIF($A:$A,$A2286,$L:$L)))/VLOOKUP($A2286,HeadJournal!$A$1:$L$890,COLUMN(HeadJournal!H$1),0),0)</f>
        <v>42.800000000000004</v>
      </c>
      <c r="P2286" s="30">
        <f>IFERROR(SUM(K2286:O2286)*VLOOKUP($A2286,HeadJournal!$A$1:$L$890,COLUMN(HeadJournal!H$1),0),0)</f>
        <v>470.8</v>
      </c>
      <c r="Q2286" s="29">
        <v>800</v>
      </c>
      <c r="R2286" s="31">
        <v>45325</v>
      </c>
      <c r="S2286" s="31" t="s">
        <v>3121</v>
      </c>
      <c r="T2286" s="95" t="str">
        <f t="shared" si="180"/>
        <v>2024 02</v>
      </c>
      <c r="U2286" s="32">
        <f t="shared" si="177"/>
        <v>329.2</v>
      </c>
      <c r="V2286" s="22">
        <f t="shared" si="178"/>
        <v>0.69923534409515709</v>
      </c>
      <c r="X2286" s="33"/>
      <c r="Y2286" s="33"/>
    </row>
    <row r="2287" spans="1:25" x14ac:dyDescent="0.2">
      <c r="A2287" s="93" t="s">
        <v>1036</v>
      </c>
      <c r="B2287" s="94">
        <f>IFERROR(VLOOKUP($A2287,HeadJournal!$A$1:$NTR$890,COLUMN(HeadJournal!B$1),0),"")</f>
        <v>0</v>
      </c>
      <c r="C2287" s="94" t="str">
        <f>IFERROR(VLOOKUP($A2287,HeadJournal!$A$1:$NTR$890,COLUMN(HeadJournal!C$1),0),"")</f>
        <v>WBRS</v>
      </c>
      <c r="D2287" s="125" t="str">
        <f>IFERROR(VLOOKUP($A2287,HeadJournal!$A$1:$NTR$890,COLUMN(HeadJournal!D$1),0),"")</f>
        <v>Доставлен</v>
      </c>
      <c r="E2287" s="95">
        <f>IFERROR(VLOOKUP($A2287,HeadJournal!$A$1:$NTR$890,COLUMN(HeadJournal!G$1),0),"")</f>
        <v>45205</v>
      </c>
      <c r="F2287" s="95" t="str">
        <f t="shared" si="179"/>
        <v>2023 10</v>
      </c>
      <c r="G2287" s="96" t="s">
        <v>6</v>
      </c>
      <c r="H2287" s="160" t="str">
        <f>RIGHT(Journal!$J2287,9)</f>
        <v>176044510</v>
      </c>
      <c r="I2287" s="96" t="str">
        <f t="shared" si="181"/>
        <v>Spotlife</v>
      </c>
      <c r="J2287" s="97" t="s">
        <v>1037</v>
      </c>
      <c r="K2287" s="29">
        <v>428</v>
      </c>
      <c r="L2287" s="29">
        <v>0</v>
      </c>
      <c r="M2287" s="30">
        <f>IFERROR(VLOOKUP($A2287,HeadJournal!$A$1:$J$890,COLUMN(HeadJournal!I$1),0)*($K2287+$L2287)/(SUMIF($A:$A,$A2287,$K:$K)+SUMIF($A:$A,$A2287,$L:$L)),0)</f>
        <v>0</v>
      </c>
      <c r="N2287" s="30">
        <f>IFERROR((VLOOKUP($A2287,HeadJournal!$A$1:$K$890,COLUMN(HeadJournal!K$1),0)-VLOOKUP($A2287,HeadJournal!$A$1:$K$890,COLUMN(HeadJournal!J$1),0))*($K2287+$L2287)/(SUMIF($A:$A,$A2287,$K:$K)+SUMIF($A:$A,$A2287,$L:$L)),0)</f>
        <v>0</v>
      </c>
      <c r="O2287" s="30">
        <f>IFERROR((VLOOKUP($A2287,HeadJournal!$A$1:$L$890,COLUMN(HeadJournal!L$1),0)*($K2287+$L2287)/(SUMIF($A:$A,$A2287,$K:$K)+SUMIF($A:$A,$A2287,$L:$L)))/VLOOKUP($A2287,HeadJournal!$A$1:$L$890,COLUMN(HeadJournal!H$1),0),0)</f>
        <v>42.800000000000004</v>
      </c>
      <c r="P2287" s="30">
        <f>IFERROR(SUM(K2287:O2287)*VLOOKUP($A2287,HeadJournal!$A$1:$L$890,COLUMN(HeadJournal!H$1),0),0)</f>
        <v>470.8</v>
      </c>
      <c r="Q2287" s="29">
        <v>800</v>
      </c>
      <c r="R2287" s="31">
        <v>45345</v>
      </c>
      <c r="S2287" s="31" t="s">
        <v>3121</v>
      </c>
      <c r="T2287" s="95" t="str">
        <f t="shared" si="180"/>
        <v>2024 02</v>
      </c>
      <c r="U2287" s="32">
        <f t="shared" si="177"/>
        <v>329.2</v>
      </c>
      <c r="V2287" s="22">
        <f t="shared" si="178"/>
        <v>0.69923534409515709</v>
      </c>
      <c r="X2287" s="33"/>
      <c r="Y2287" s="33"/>
    </row>
    <row r="2288" spans="1:25" x14ac:dyDescent="0.2">
      <c r="A2288" s="93" t="s">
        <v>1036</v>
      </c>
      <c r="B2288" s="94">
        <f>IFERROR(VLOOKUP($A2288,HeadJournal!$A$1:$NTR$890,COLUMN(HeadJournal!B$1),0),"")</f>
        <v>0</v>
      </c>
      <c r="C2288" s="94" t="str">
        <f>IFERROR(VLOOKUP($A2288,HeadJournal!$A$1:$NTR$890,COLUMN(HeadJournal!C$1),0),"")</f>
        <v>WBRS</v>
      </c>
      <c r="D2288" s="125" t="str">
        <f>IFERROR(VLOOKUP($A2288,HeadJournal!$A$1:$NTR$890,COLUMN(HeadJournal!D$1),0),"")</f>
        <v>Доставлен</v>
      </c>
      <c r="E2288" s="95">
        <f>IFERROR(VLOOKUP($A2288,HeadJournal!$A$1:$NTR$890,COLUMN(HeadJournal!G$1),0),"")</f>
        <v>45205</v>
      </c>
      <c r="F2288" s="95" t="str">
        <f t="shared" si="179"/>
        <v>2023 10</v>
      </c>
      <c r="G2288" s="96" t="s">
        <v>6</v>
      </c>
      <c r="H2288" s="160" t="str">
        <f>RIGHT(Journal!$J2288,9)</f>
        <v>176044512</v>
      </c>
      <c r="I2288" s="96" t="str">
        <f t="shared" si="181"/>
        <v>Spotlife</v>
      </c>
      <c r="J2288" s="97" t="s">
        <v>1038</v>
      </c>
      <c r="K2288" s="29">
        <v>428</v>
      </c>
      <c r="L2288" s="29">
        <v>0</v>
      </c>
      <c r="M2288" s="30">
        <f>IFERROR(VLOOKUP($A2288,HeadJournal!$A$1:$J$890,COLUMN(HeadJournal!I$1),0)*($K2288+$L2288)/(SUMIF($A:$A,$A2288,$K:$K)+SUMIF($A:$A,$A2288,$L:$L)),0)</f>
        <v>0</v>
      </c>
      <c r="N2288" s="30">
        <f>IFERROR((VLOOKUP($A2288,HeadJournal!$A$1:$K$890,COLUMN(HeadJournal!K$1),0)-VLOOKUP($A2288,HeadJournal!$A$1:$K$890,COLUMN(HeadJournal!J$1),0))*($K2288+$L2288)/(SUMIF($A:$A,$A2288,$K:$K)+SUMIF($A:$A,$A2288,$L:$L)),0)</f>
        <v>0</v>
      </c>
      <c r="O2288" s="30">
        <f>IFERROR((VLOOKUP($A2288,HeadJournal!$A$1:$L$890,COLUMN(HeadJournal!L$1),0)*($K2288+$L2288)/(SUMIF($A:$A,$A2288,$K:$K)+SUMIF($A:$A,$A2288,$L:$L)))/VLOOKUP($A2288,HeadJournal!$A$1:$L$890,COLUMN(HeadJournal!H$1),0),0)</f>
        <v>42.800000000000004</v>
      </c>
      <c r="P2288" s="30">
        <f>IFERROR(SUM(K2288:O2288)*VLOOKUP($A2288,HeadJournal!$A$1:$L$890,COLUMN(HeadJournal!H$1),0),0)</f>
        <v>470.8</v>
      </c>
      <c r="Q2288" s="29">
        <v>800</v>
      </c>
      <c r="R2288" s="31">
        <v>45345</v>
      </c>
      <c r="S2288" s="31" t="s">
        <v>3121</v>
      </c>
      <c r="T2288" s="95" t="str">
        <f t="shared" si="180"/>
        <v>2024 02</v>
      </c>
      <c r="U2288" s="32">
        <f t="shared" si="177"/>
        <v>329.2</v>
      </c>
      <c r="V2288" s="22">
        <f t="shared" si="178"/>
        <v>0.69923534409515709</v>
      </c>
      <c r="X2288" s="33"/>
      <c r="Y2288" s="33"/>
    </row>
    <row r="2289" spans="1:25" x14ac:dyDescent="0.2">
      <c r="A2289" s="93" t="s">
        <v>1036</v>
      </c>
      <c r="B2289" s="94">
        <f>IFERROR(VLOOKUP($A2289,HeadJournal!$A$1:$NTR$890,COLUMN(HeadJournal!B$1),0),"")</f>
        <v>0</v>
      </c>
      <c r="C2289" s="94" t="str">
        <f>IFERROR(VLOOKUP($A2289,HeadJournal!$A$1:$NTR$890,COLUMN(HeadJournal!C$1),0),"")</f>
        <v>WBRS</v>
      </c>
      <c r="D2289" s="125" t="str">
        <f>IFERROR(VLOOKUP($A2289,HeadJournal!$A$1:$NTR$890,COLUMN(HeadJournal!D$1),0),"")</f>
        <v>Доставлен</v>
      </c>
      <c r="E2289" s="95">
        <f>IFERROR(VLOOKUP($A2289,HeadJournal!$A$1:$NTR$890,COLUMN(HeadJournal!G$1),0),"")</f>
        <v>45205</v>
      </c>
      <c r="F2289" s="95" t="str">
        <f t="shared" si="179"/>
        <v>2023 10</v>
      </c>
      <c r="G2289" s="96" t="s">
        <v>6</v>
      </c>
      <c r="H2289" s="160" t="str">
        <f>RIGHT(Journal!$J2289,9)</f>
        <v>176044512</v>
      </c>
      <c r="I2289" s="96" t="str">
        <f t="shared" si="181"/>
        <v>Spotlife</v>
      </c>
      <c r="J2289" s="97" t="s">
        <v>1038</v>
      </c>
      <c r="K2289" s="29">
        <v>428</v>
      </c>
      <c r="L2289" s="29">
        <v>0</v>
      </c>
      <c r="M2289" s="30">
        <f>IFERROR(VLOOKUP($A2289,HeadJournal!$A$1:$J$890,COLUMN(HeadJournal!I$1),0)*($K2289+$L2289)/(SUMIF($A:$A,$A2289,$K:$K)+SUMIF($A:$A,$A2289,$L:$L)),0)</f>
        <v>0</v>
      </c>
      <c r="N2289" s="30">
        <f>IFERROR((VLOOKUP($A2289,HeadJournal!$A$1:$K$890,COLUMN(HeadJournal!K$1),0)-VLOOKUP($A2289,HeadJournal!$A$1:$K$890,COLUMN(HeadJournal!J$1),0))*($K2289+$L2289)/(SUMIF($A:$A,$A2289,$K:$K)+SUMIF($A:$A,$A2289,$L:$L)),0)</f>
        <v>0</v>
      </c>
      <c r="O2289" s="30">
        <f>IFERROR((VLOOKUP($A2289,HeadJournal!$A$1:$L$890,COLUMN(HeadJournal!L$1),0)*($K2289+$L2289)/(SUMIF($A:$A,$A2289,$K:$K)+SUMIF($A:$A,$A2289,$L:$L)))/VLOOKUP($A2289,HeadJournal!$A$1:$L$890,COLUMN(HeadJournal!H$1),0),0)</f>
        <v>42.800000000000004</v>
      </c>
      <c r="P2289" s="30">
        <f>IFERROR(SUM(K2289:O2289)*VLOOKUP($A2289,HeadJournal!$A$1:$L$890,COLUMN(HeadJournal!H$1),0),0)</f>
        <v>470.8</v>
      </c>
      <c r="Q2289" s="29">
        <v>800</v>
      </c>
      <c r="R2289" s="31">
        <v>45369</v>
      </c>
      <c r="S2289" s="31" t="s">
        <v>3121</v>
      </c>
      <c r="T2289" s="95" t="str">
        <f t="shared" si="180"/>
        <v>2024 03</v>
      </c>
      <c r="U2289" s="32">
        <f t="shared" si="177"/>
        <v>329.2</v>
      </c>
      <c r="V2289" s="22">
        <f t="shared" si="178"/>
        <v>0.69923534409515709</v>
      </c>
      <c r="X2289" s="33"/>
      <c r="Y2289" s="33"/>
    </row>
    <row r="2290" spans="1:25" x14ac:dyDescent="0.2">
      <c r="A2290" s="93" t="s">
        <v>1039</v>
      </c>
      <c r="B2290" s="94">
        <f>IFERROR(VLOOKUP($A2290,HeadJournal!$A$1:$NTR$890,COLUMN(HeadJournal!B$1),0),"")</f>
        <v>0</v>
      </c>
      <c r="C2290" s="94" t="str">
        <f>IFERROR(VLOOKUP($A2290,HeadJournal!$A$1:$NTR$890,COLUMN(HeadJournal!C$1),0),"")</f>
        <v>YAMARKET</v>
      </c>
      <c r="D2290" s="125" t="str">
        <f>IFERROR(VLOOKUP($A2290,HeadJournal!$A$1:$NTR$890,COLUMN(HeadJournal!D$1),0),"")</f>
        <v>Доставлен</v>
      </c>
      <c r="E2290" s="95">
        <f>IFERROR(VLOOKUP($A2290,HeadJournal!$A$1:$NTR$890,COLUMN(HeadJournal!G$1),0),"")</f>
        <v>45205</v>
      </c>
      <c r="F2290" s="95" t="str">
        <f t="shared" si="179"/>
        <v>2023 10</v>
      </c>
      <c r="G2290" s="96" t="s">
        <v>6</v>
      </c>
      <c r="H2290" s="160" t="str">
        <f>RIGHT(Journal!$J2290,9)</f>
        <v>061 55 см</v>
      </c>
      <c r="I2290" s="96" t="str">
        <f t="shared" si="181"/>
        <v>Indigo</v>
      </c>
      <c r="J2290" s="97" t="s">
        <v>1040</v>
      </c>
      <c r="K2290" s="29">
        <v>367</v>
      </c>
      <c r="L2290" s="29">
        <v>0</v>
      </c>
      <c r="M2290" s="30">
        <f>IFERROR(VLOOKUP($A2290,HeadJournal!$A$1:$J$890,COLUMN(HeadJournal!I$1),0)*($K2290+$L2290)/(SUMIF($A:$A,$A2290,$K:$K)+SUMIF($A:$A,$A2290,$L:$L)),0)</f>
        <v>0</v>
      </c>
      <c r="N2290" s="30">
        <f>IFERROR((VLOOKUP($A2290,HeadJournal!$A$1:$K$890,COLUMN(HeadJournal!K$1),0)-VLOOKUP($A2290,HeadJournal!$A$1:$K$890,COLUMN(HeadJournal!J$1),0))*($K2290+$L2290)/(SUMIF($A:$A,$A2290,$K:$K)+SUMIF($A:$A,$A2290,$L:$L)),0)</f>
        <v>0</v>
      </c>
      <c r="O2290" s="30">
        <f>IFERROR((VLOOKUP($A2290,HeadJournal!$A$1:$L$890,COLUMN(HeadJournal!L$1),0)*($K2290+$L2290)/(SUMIF($A:$A,$A2290,$K:$K)+SUMIF($A:$A,$A2290,$L:$L)))/VLOOKUP($A2290,HeadJournal!$A$1:$L$890,COLUMN(HeadJournal!H$1),0),0)</f>
        <v>36.700000000000003</v>
      </c>
      <c r="P2290" s="30">
        <f>IFERROR(SUM(K2290:O2290)*VLOOKUP($A2290,HeadJournal!$A$1:$L$890,COLUMN(HeadJournal!H$1),0),0)</f>
        <v>403.7</v>
      </c>
      <c r="Q2290" s="29">
        <v>600</v>
      </c>
      <c r="R2290" s="31">
        <v>45214</v>
      </c>
      <c r="S2290" s="31" t="s">
        <v>3121</v>
      </c>
      <c r="T2290" s="95" t="str">
        <f t="shared" si="180"/>
        <v>2023 10</v>
      </c>
      <c r="U2290" s="32">
        <f t="shared" si="177"/>
        <v>196.3</v>
      </c>
      <c r="V2290" s="22">
        <f t="shared" si="178"/>
        <v>0.48625216745107758</v>
      </c>
      <c r="X2290" s="33"/>
      <c r="Y2290" s="33"/>
    </row>
    <row r="2291" spans="1:25" x14ac:dyDescent="0.2">
      <c r="A2291" s="93" t="s">
        <v>1041</v>
      </c>
      <c r="B2291" s="94" t="str">
        <f>IFERROR(VLOOKUP($A2291,HeadJournal!$A$1:$NTR$890,COLUMN(HeadJournal!B$1),0),"")</f>
        <v>700000955729</v>
      </c>
      <c r="C2291" s="94" t="str">
        <f>IFERROR(VLOOKUP($A2291,HeadJournal!$A$1:$NTR$890,COLUMN(HeadJournal!C$1),0),"")</f>
        <v>iHerb_AV CYG0792</v>
      </c>
      <c r="D2291" s="125" t="str">
        <f>IFERROR(VLOOKUP($A2291,HeadJournal!$A$1:$NTR$890,COLUMN(HeadJournal!D$1),0),"")</f>
        <v>Доставлен</v>
      </c>
      <c r="E2291" s="95">
        <f>IFERROR(VLOOKUP($A2291,HeadJournal!$A$1:$NTR$890,COLUMN(HeadJournal!G$1),0),"")</f>
        <v>45211</v>
      </c>
      <c r="F2291" s="95" t="str">
        <f t="shared" si="179"/>
        <v>2023 10</v>
      </c>
      <c r="G2291" s="96" t="s">
        <v>5</v>
      </c>
      <c r="H2291" s="160" t="str">
        <f>RIGHT(Journal!$J2291,9)</f>
        <v>ECL-10239</v>
      </c>
      <c r="I2291" s="96" t="str">
        <f t="shared" si="181"/>
        <v>Eclectic Institute</v>
      </c>
      <c r="J2291" s="97" t="s">
        <v>1042</v>
      </c>
      <c r="K2291" s="29">
        <v>23.49</v>
      </c>
      <c r="L2291" s="29">
        <v>-2.35</v>
      </c>
      <c r="M2291" s="30">
        <f>IFERROR(VLOOKUP($A2291,HeadJournal!$A$1:$J$890,COLUMN(HeadJournal!I$1),0)*($K2291+$L2291)/(SUMIF($A:$A,$A2291,$K:$K)+SUMIF($A:$A,$A2291,$L:$L)),0)</f>
        <v>-1.1685174252523327</v>
      </c>
      <c r="N2291" s="30">
        <f>IFERROR((VLOOKUP($A2291,HeadJournal!$A$1:$K$890,COLUMN(HeadJournal!K$1),0)-VLOOKUP($A2291,HeadJournal!$A$1:$K$890,COLUMN(HeadJournal!J$1),0))*($K2291+$L2291)/(SUMIF($A:$A,$A2291,$K:$K)+SUMIF($A:$A,$A2291,$L:$L)),0)</f>
        <v>2.8605738781124578E-15</v>
      </c>
      <c r="O2291" s="30">
        <f>IFERROR((VLOOKUP($A2291,HeadJournal!$A$1:$L$890,COLUMN(HeadJournal!L$1),0)*($K2291+$L2291)/(SUMIF($A:$A,$A2291,$K:$K)+SUMIF($A:$A,$A2291,$L:$L)))/VLOOKUP($A2291,HeadJournal!$A$1:$L$890,COLUMN(HeadJournal!H$1),0),0)</f>
        <v>0.97326236847797143</v>
      </c>
      <c r="P2291" s="30">
        <f>IFERROR(SUM(K2291:O2291)*VLOOKUP($A2291,HeadJournal!$A$1:$L$890,COLUMN(HeadJournal!H$1),0),0)</f>
        <v>2339.3326328318412</v>
      </c>
      <c r="Q2291" s="29">
        <v>3000</v>
      </c>
      <c r="R2291" s="31">
        <v>45252</v>
      </c>
      <c r="S2291" s="31" t="s">
        <v>3121</v>
      </c>
      <c r="T2291" s="95" t="str">
        <f t="shared" si="180"/>
        <v>2023 11</v>
      </c>
      <c r="U2291" s="32">
        <f t="shared" si="177"/>
        <v>660.66736716815876</v>
      </c>
      <c r="V2291" s="22">
        <f t="shared" si="178"/>
        <v>0.28241702693147941</v>
      </c>
      <c r="X2291" s="33"/>
      <c r="Y2291" s="33"/>
    </row>
    <row r="2292" spans="1:25" x14ac:dyDescent="0.2">
      <c r="A2292" s="93" t="s">
        <v>1041</v>
      </c>
      <c r="B2292" s="94" t="str">
        <f>IFERROR(VLOOKUP($A2292,HeadJournal!$A$1:$NTR$890,COLUMN(HeadJournal!B$1),0),"")</f>
        <v>700000955729</v>
      </c>
      <c r="C2292" s="94" t="str">
        <f>IFERROR(VLOOKUP($A2292,HeadJournal!$A$1:$NTR$890,COLUMN(HeadJournal!C$1),0),"")</f>
        <v>iHerb_AV CYG0792</v>
      </c>
      <c r="D2292" s="125" t="str">
        <f>IFERROR(VLOOKUP($A2292,HeadJournal!$A$1:$NTR$890,COLUMN(HeadJournal!D$1),0),"")</f>
        <v>Доставлен</v>
      </c>
      <c r="E2292" s="95">
        <f>IFERROR(VLOOKUP($A2292,HeadJournal!$A$1:$NTR$890,COLUMN(HeadJournal!G$1),0),"")</f>
        <v>45211</v>
      </c>
      <c r="F2292" s="95" t="str">
        <f t="shared" si="179"/>
        <v>2023 10</v>
      </c>
      <c r="G2292" s="96" t="s">
        <v>5</v>
      </c>
      <c r="H2292" s="160" t="str">
        <f>RIGHT(Journal!$J2292,9)</f>
        <v>PTF-10393</v>
      </c>
      <c r="I2292" s="96" t="str">
        <f t="shared" si="181"/>
        <v>Planetary Herbals</v>
      </c>
      <c r="J2292" s="97" t="s">
        <v>1043</v>
      </c>
      <c r="K2292" s="29">
        <v>20.73</v>
      </c>
      <c r="L2292" s="29">
        <v>-2.0699999999999998</v>
      </c>
      <c r="M2292" s="30">
        <f>IFERROR(VLOOKUP($A2292,HeadJournal!$A$1:$J$890,COLUMN(HeadJournal!I$1),0)*($K2292+$L2292)/(SUMIF($A:$A,$A2292,$K:$K)+SUMIF($A:$A,$A2292,$L:$L)),0)</f>
        <v>-1.0314349647686154</v>
      </c>
      <c r="N2292" s="30">
        <f>IFERROR((VLOOKUP($A2292,HeadJournal!$A$1:$K$890,COLUMN(HeadJournal!K$1),0)-VLOOKUP($A2292,HeadJournal!$A$1:$K$890,COLUMN(HeadJournal!J$1),0))*($K2292+$L2292)/(SUMIF($A:$A,$A2292,$K:$K)+SUMIF($A:$A,$A2292,$L:$L)),0)</f>
        <v>2.5249909444455285E-15</v>
      </c>
      <c r="O2292" s="30">
        <f>IFERROR((VLOOKUP($A2292,HeadJournal!$A$1:$L$890,COLUMN(HeadJournal!L$1),0)*($K2292+$L2292)/(SUMIF($A:$A,$A2292,$K:$K)+SUMIF($A:$A,$A2292,$L:$L)))/VLOOKUP($A2292,HeadJournal!$A$1:$L$890,COLUMN(HeadJournal!H$1),0),0)</f>
        <v>0.85908589384100997</v>
      </c>
      <c r="P2292" s="30">
        <f>IFERROR(SUM(K2292:O2292)*VLOOKUP($A2292,HeadJournal!$A$1:$L$890,COLUMN(HeadJournal!H$1),0),0)</f>
        <v>2064.8981517806133</v>
      </c>
      <c r="Q2292" s="29">
        <v>2800</v>
      </c>
      <c r="R2292" s="31">
        <v>45252</v>
      </c>
      <c r="S2292" s="31" t="s">
        <v>3121</v>
      </c>
      <c r="T2292" s="95" t="str">
        <f t="shared" si="180"/>
        <v>2023 11</v>
      </c>
      <c r="U2292" s="32">
        <f t="shared" si="177"/>
        <v>735.10184821938674</v>
      </c>
      <c r="V2292" s="22">
        <f t="shared" si="178"/>
        <v>0.35599908285330684</v>
      </c>
      <c r="X2292" s="33"/>
      <c r="Y2292" s="33"/>
    </row>
    <row r="2293" spans="1:25" x14ac:dyDescent="0.2">
      <c r="A2293" s="93" t="s">
        <v>1041</v>
      </c>
      <c r="B2293" s="94" t="str">
        <f>IFERROR(VLOOKUP($A2293,HeadJournal!$A$1:$NTR$890,COLUMN(HeadJournal!B$1),0),"")</f>
        <v>700000955729</v>
      </c>
      <c r="C2293" s="94" t="str">
        <f>IFERROR(VLOOKUP($A2293,HeadJournal!$A$1:$NTR$890,COLUMN(HeadJournal!C$1),0),"")</f>
        <v>iHerb_AV CYG0792</v>
      </c>
      <c r="D2293" s="125" t="str">
        <f>IFERROR(VLOOKUP($A2293,HeadJournal!$A$1:$NTR$890,COLUMN(HeadJournal!D$1),0),"")</f>
        <v>Доставлен</v>
      </c>
      <c r="E2293" s="95">
        <f>IFERROR(VLOOKUP($A2293,HeadJournal!$A$1:$NTR$890,COLUMN(HeadJournal!G$1),0),"")</f>
        <v>45211</v>
      </c>
      <c r="F2293" s="95" t="str">
        <f t="shared" si="179"/>
        <v>2023 10</v>
      </c>
      <c r="G2293" s="96" t="s">
        <v>5</v>
      </c>
      <c r="H2293" s="160" t="str">
        <f>RIGHT(Journal!$J2293,9)</f>
        <v>NOR-53787</v>
      </c>
      <c r="I2293" s="96" t="str">
        <f t="shared" si="181"/>
        <v>Nordic Naturals</v>
      </c>
      <c r="J2293" s="97" t="s">
        <v>1044</v>
      </c>
      <c r="K2293" s="29">
        <v>17.8</v>
      </c>
      <c r="L2293" s="29">
        <v>-1.78</v>
      </c>
      <c r="M2293" s="30">
        <f>IFERROR(VLOOKUP($A2293,HeadJournal!$A$1:$J$890,COLUMN(HeadJournal!I$1),0)*($K2293+$L2293)/(SUMIF($A:$A,$A2293,$K:$K)+SUMIF($A:$A,$A2293,$L:$L)),0)</f>
        <v>-0.88550847457627124</v>
      </c>
      <c r="N2293" s="30">
        <f>IFERROR((VLOOKUP($A2293,HeadJournal!$A$1:$K$890,COLUMN(HeadJournal!K$1),0)-VLOOKUP($A2293,HeadJournal!$A$1:$K$890,COLUMN(HeadJournal!J$1),0))*($K2293+$L2293)/(SUMIF($A:$A,$A2293,$K:$K)+SUMIF($A:$A,$A2293,$L:$L)),0)</f>
        <v>2.1677574989291194E-15</v>
      </c>
      <c r="O2293" s="30">
        <f>IFERROR((VLOOKUP($A2293,HeadJournal!$A$1:$L$890,COLUMN(HeadJournal!L$1),0)*($K2293+$L2293)/(SUMIF($A:$A,$A2293,$K:$K)+SUMIF($A:$A,$A2293,$L:$L)))/VLOOKUP($A2293,HeadJournal!$A$1:$L$890,COLUMN(HeadJournal!H$1),0),0)</f>
        <v>0.73754319503392174</v>
      </c>
      <c r="P2293" s="30">
        <f>IFERROR(SUM(K2293:O2293)*VLOOKUP($A2293,HeadJournal!$A$1:$L$890,COLUMN(HeadJournal!H$1),0),0)</f>
        <v>1772.7582203389829</v>
      </c>
      <c r="Q2293" s="29">
        <v>2500</v>
      </c>
      <c r="R2293" s="31">
        <v>45236</v>
      </c>
      <c r="S2293" s="31" t="s">
        <v>3121</v>
      </c>
      <c r="T2293" s="95" t="str">
        <f t="shared" si="180"/>
        <v>2023 11</v>
      </c>
      <c r="U2293" s="32">
        <f t="shared" si="177"/>
        <v>727.24177966101706</v>
      </c>
      <c r="V2293" s="22">
        <f t="shared" si="178"/>
        <v>0.41023179095565299</v>
      </c>
      <c r="X2293" s="33"/>
      <c r="Y2293" s="33"/>
    </row>
    <row r="2294" spans="1:25" x14ac:dyDescent="0.2">
      <c r="A2294" s="93" t="s">
        <v>1041</v>
      </c>
      <c r="B2294" s="94" t="str">
        <f>IFERROR(VLOOKUP($A2294,HeadJournal!$A$1:$NTR$890,COLUMN(HeadJournal!B$1),0),"")</f>
        <v>700000955729</v>
      </c>
      <c r="C2294" s="94" t="str">
        <f>IFERROR(VLOOKUP($A2294,HeadJournal!$A$1:$NTR$890,COLUMN(HeadJournal!C$1),0),"")</f>
        <v>iHerb_AV CYG0792</v>
      </c>
      <c r="D2294" s="125" t="str">
        <f>IFERROR(VLOOKUP($A2294,HeadJournal!$A$1:$NTR$890,COLUMN(HeadJournal!D$1),0),"")</f>
        <v>Доставлен</v>
      </c>
      <c r="E2294" s="95">
        <f>IFERROR(VLOOKUP($A2294,HeadJournal!$A$1:$NTR$890,COLUMN(HeadJournal!G$1),0),"")</f>
        <v>45211</v>
      </c>
      <c r="F2294" s="95" t="str">
        <f t="shared" si="179"/>
        <v>2023 10</v>
      </c>
      <c r="G2294" s="96" t="s">
        <v>5</v>
      </c>
      <c r="H2294" s="160" t="str">
        <f>RIGHT(Journal!$J2294,9)</f>
        <v>NOR-53787</v>
      </c>
      <c r="I2294" s="96" t="str">
        <f t="shared" si="181"/>
        <v>Nordic Naturals</v>
      </c>
      <c r="J2294" s="97" t="s">
        <v>1044</v>
      </c>
      <c r="K2294" s="29">
        <v>17.8</v>
      </c>
      <c r="L2294" s="29">
        <v>-1.78</v>
      </c>
      <c r="M2294" s="30">
        <f>IFERROR(VLOOKUP($A2294,HeadJournal!$A$1:$J$890,COLUMN(HeadJournal!I$1),0)*($K2294+$L2294)/(SUMIF($A:$A,$A2294,$K:$K)+SUMIF($A:$A,$A2294,$L:$L)),0)</f>
        <v>-0.88550847457627124</v>
      </c>
      <c r="N2294" s="30">
        <f>IFERROR((VLOOKUP($A2294,HeadJournal!$A$1:$K$890,COLUMN(HeadJournal!K$1),0)-VLOOKUP($A2294,HeadJournal!$A$1:$K$890,COLUMN(HeadJournal!J$1),0))*($K2294+$L2294)/(SUMIF($A:$A,$A2294,$K:$K)+SUMIF($A:$A,$A2294,$L:$L)),0)</f>
        <v>2.1677574989291194E-15</v>
      </c>
      <c r="O2294" s="30">
        <f>IFERROR((VLOOKUP($A2294,HeadJournal!$A$1:$L$890,COLUMN(HeadJournal!L$1),0)*($K2294+$L2294)/(SUMIF($A:$A,$A2294,$K:$K)+SUMIF($A:$A,$A2294,$L:$L)))/VLOOKUP($A2294,HeadJournal!$A$1:$L$890,COLUMN(HeadJournal!H$1),0),0)</f>
        <v>0.73754319503392174</v>
      </c>
      <c r="P2294" s="30">
        <f>IFERROR(SUM(K2294:O2294)*VLOOKUP($A2294,HeadJournal!$A$1:$L$890,COLUMN(HeadJournal!H$1),0),0)</f>
        <v>1772.7582203389829</v>
      </c>
      <c r="Q2294" s="29">
        <v>2500</v>
      </c>
      <c r="R2294" s="31">
        <v>45236</v>
      </c>
      <c r="S2294" s="31" t="s">
        <v>3121</v>
      </c>
      <c r="T2294" s="95" t="str">
        <f t="shared" si="180"/>
        <v>2023 11</v>
      </c>
      <c r="U2294" s="32">
        <f t="shared" si="177"/>
        <v>727.24177966101706</v>
      </c>
      <c r="V2294" s="22">
        <f t="shared" si="178"/>
        <v>0.41023179095565299</v>
      </c>
      <c r="X2294" s="33"/>
      <c r="Y2294" s="33"/>
    </row>
    <row r="2295" spans="1:25" x14ac:dyDescent="0.2">
      <c r="A2295" s="93" t="s">
        <v>1041</v>
      </c>
      <c r="B2295" s="94" t="str">
        <f>IFERROR(VLOOKUP($A2295,HeadJournal!$A$1:$NTR$890,COLUMN(HeadJournal!B$1),0),"")</f>
        <v>700000955729</v>
      </c>
      <c r="C2295" s="94" t="str">
        <f>IFERROR(VLOOKUP($A2295,HeadJournal!$A$1:$NTR$890,COLUMN(HeadJournal!C$1),0),"")</f>
        <v>iHerb_AV CYG0792</v>
      </c>
      <c r="D2295" s="125" t="str">
        <f>IFERROR(VLOOKUP($A2295,HeadJournal!$A$1:$NTR$890,COLUMN(HeadJournal!D$1),0),"")</f>
        <v>Доставлен</v>
      </c>
      <c r="E2295" s="95">
        <f>IFERROR(VLOOKUP($A2295,HeadJournal!$A$1:$NTR$890,COLUMN(HeadJournal!G$1),0),"")</f>
        <v>45211</v>
      </c>
      <c r="F2295" s="95" t="str">
        <f t="shared" si="179"/>
        <v>2023 10</v>
      </c>
      <c r="G2295" s="96" t="s">
        <v>5</v>
      </c>
      <c r="H2295" s="160" t="str">
        <f>RIGHT(Journal!$J2295,9)</f>
        <v>CEN-27070</v>
      </c>
      <c r="I2295" s="96" t="str">
        <f t="shared" si="181"/>
        <v>21st Century</v>
      </c>
      <c r="J2295" s="97" t="s">
        <v>135</v>
      </c>
      <c r="K2295" s="29">
        <v>8.23</v>
      </c>
      <c r="L2295" s="29">
        <v>-0.82</v>
      </c>
      <c r="M2295" s="30">
        <f>IFERROR(VLOOKUP($A2295,HeadJournal!$A$1:$J$890,COLUMN(HeadJournal!I$1),0)*($K2295+$L2295)/(SUMIF($A:$A,$A2295,$K:$K)+SUMIF($A:$A,$A2295,$L:$L)),0)</f>
        <v>-0.40958912588078467</v>
      </c>
      <c r="N2295" s="30">
        <f>IFERROR((VLOOKUP($A2295,HeadJournal!$A$1:$K$890,COLUMN(HeadJournal!K$1),0)-VLOOKUP($A2295,HeadJournal!$A$1:$K$890,COLUMN(HeadJournal!J$1),0))*($K2295+$L2295)/(SUMIF($A:$A,$A2295,$K:$K)+SUMIF($A:$A,$A2295,$L:$L)),0)</f>
        <v>1.0026893300290122E-15</v>
      </c>
      <c r="O2295" s="30">
        <f>IFERROR((VLOOKUP($A2295,HeadJournal!$A$1:$L$890,COLUMN(HeadJournal!L$1),0)*($K2295+$L2295)/(SUMIF($A:$A,$A2295,$K:$K)+SUMIF($A:$A,$A2295,$L:$L)))/VLOOKUP($A2295,HeadJournal!$A$1:$L$890,COLUMN(HeadJournal!H$1),0),0)</f>
        <v>0.34114825687898631</v>
      </c>
      <c r="P2295" s="30">
        <f>IFERROR(SUM(K2295:O2295)*VLOOKUP($A2295,HeadJournal!$A$1:$L$890,COLUMN(HeadJournal!H$1),0),0)</f>
        <v>819.98367120548471</v>
      </c>
      <c r="Q2295" s="29">
        <v>1300</v>
      </c>
      <c r="R2295" s="31">
        <v>45236</v>
      </c>
      <c r="S2295" s="31" t="s">
        <v>3121</v>
      </c>
      <c r="T2295" s="95" t="str">
        <f t="shared" si="180"/>
        <v>2023 11</v>
      </c>
      <c r="U2295" s="32">
        <f t="shared" si="177"/>
        <v>480.01632879451529</v>
      </c>
      <c r="V2295" s="22">
        <f t="shared" si="178"/>
        <v>0.58539742393751282</v>
      </c>
      <c r="X2295" s="33"/>
      <c r="Y2295" s="33"/>
    </row>
    <row r="2296" spans="1:25" x14ac:dyDescent="0.2">
      <c r="A2296" s="93" t="s">
        <v>1041</v>
      </c>
      <c r="B2296" s="94" t="str">
        <f>IFERROR(VLOOKUP($A2296,HeadJournal!$A$1:$NTR$890,COLUMN(HeadJournal!B$1),0),"")</f>
        <v>700000955729</v>
      </c>
      <c r="C2296" s="94" t="str">
        <f>IFERROR(VLOOKUP($A2296,HeadJournal!$A$1:$NTR$890,COLUMN(HeadJournal!C$1),0),"")</f>
        <v>iHerb_AV CYG0792</v>
      </c>
      <c r="D2296" s="125" t="str">
        <f>IFERROR(VLOOKUP($A2296,HeadJournal!$A$1:$NTR$890,COLUMN(HeadJournal!D$1),0),"")</f>
        <v>Доставлен</v>
      </c>
      <c r="E2296" s="95">
        <f>IFERROR(VLOOKUP($A2296,HeadJournal!$A$1:$NTR$890,COLUMN(HeadJournal!G$1),0),"")</f>
        <v>45211</v>
      </c>
      <c r="F2296" s="95" t="str">
        <f t="shared" si="179"/>
        <v>2023 10</v>
      </c>
      <c r="G2296" s="96" t="s">
        <v>5</v>
      </c>
      <c r="H2296" s="160" t="str">
        <f>RIGHT(Journal!$J2296,9)</f>
        <v>SNS-02757</v>
      </c>
      <c r="I2296" s="96" t="str">
        <f t="shared" si="181"/>
        <v>Source Naturals</v>
      </c>
      <c r="J2296" s="97" t="s">
        <v>687</v>
      </c>
      <c r="K2296" s="29">
        <v>13.95</v>
      </c>
      <c r="L2296" s="29">
        <v>-1.4</v>
      </c>
      <c r="M2296" s="30">
        <f>IFERROR(VLOOKUP($A2296,HeadJournal!$A$1:$J$890,COLUMN(HeadJournal!I$1),0)*($K2296+$L2296)/(SUMIF($A:$A,$A2296,$K:$K)+SUMIF($A:$A,$A2296,$L:$L)),0)</f>
        <v>-0.69370358027042456</v>
      </c>
      <c r="N2296" s="30">
        <f>IFERROR((VLOOKUP($A2296,HeadJournal!$A$1:$K$890,COLUMN(HeadJournal!K$1),0)-VLOOKUP($A2296,HeadJournal!$A$1:$K$890,COLUMN(HeadJournal!J$1),0))*($K2296+$L2296)/(SUMIF($A:$A,$A2296,$K:$K)+SUMIF($A:$A,$A2296,$L:$L)),0)</f>
        <v>1.6982120231935358E-15</v>
      </c>
      <c r="O2296" s="30">
        <f>IFERROR((VLOOKUP($A2296,HeadJournal!$A$1:$L$890,COLUMN(HeadJournal!L$1),0)*($K2296+$L2296)/(SUMIF($A:$A,$A2296,$K:$K)+SUMIF($A:$A,$A2296,$L:$L)))/VLOOKUP($A2296,HeadJournal!$A$1:$L$890,COLUMN(HeadJournal!H$1),0),0)</f>
        <v>0.57778820834430189</v>
      </c>
      <c r="P2296" s="30">
        <f>IFERROR(SUM(K2296:O2296)*VLOOKUP($A2296,HeadJournal!$A$1:$L$890,COLUMN(HeadJournal!H$1),0),0)</f>
        <v>1388.7712649971434</v>
      </c>
      <c r="Q2296" s="29">
        <v>2000</v>
      </c>
      <c r="R2296" s="31">
        <v>45367</v>
      </c>
      <c r="S2296" s="31" t="s">
        <v>3121</v>
      </c>
      <c r="T2296" s="95" t="str">
        <f t="shared" si="180"/>
        <v>2024 03</v>
      </c>
      <c r="U2296" s="32">
        <f t="shared" si="177"/>
        <v>611.22873500285664</v>
      </c>
      <c r="V2296" s="22">
        <f t="shared" si="178"/>
        <v>0.4401219627798923</v>
      </c>
      <c r="X2296" s="33"/>
      <c r="Y2296" s="33"/>
    </row>
    <row r="2297" spans="1:25" x14ac:dyDescent="0.2">
      <c r="A2297" s="93" t="s">
        <v>1041</v>
      </c>
      <c r="B2297" s="94" t="str">
        <f>IFERROR(VLOOKUP($A2297,HeadJournal!$A$1:$NTR$890,COLUMN(HeadJournal!B$1),0),"")</f>
        <v>700000955729</v>
      </c>
      <c r="C2297" s="94" t="str">
        <f>IFERROR(VLOOKUP($A2297,HeadJournal!$A$1:$NTR$890,COLUMN(HeadJournal!C$1),0),"")</f>
        <v>iHerb_AV CYG0792</v>
      </c>
      <c r="D2297" s="125" t="str">
        <f>IFERROR(VLOOKUP($A2297,HeadJournal!$A$1:$NTR$890,COLUMN(HeadJournal!D$1),0),"")</f>
        <v>Доставлен</v>
      </c>
      <c r="E2297" s="95">
        <f>IFERROR(VLOOKUP($A2297,HeadJournal!$A$1:$NTR$890,COLUMN(HeadJournal!G$1),0),"")</f>
        <v>45211</v>
      </c>
      <c r="F2297" s="95" t="str">
        <f t="shared" si="179"/>
        <v>2023 10</v>
      </c>
      <c r="G2297" s="96" t="s">
        <v>5</v>
      </c>
      <c r="H2297" s="160" t="str">
        <f>RIGHT(Journal!$J2297,9)</f>
        <v>CEN-27285</v>
      </c>
      <c r="I2297" s="96" t="str">
        <f t="shared" si="181"/>
        <v>21st Century</v>
      </c>
      <c r="J2297" s="97" t="s">
        <v>644</v>
      </c>
      <c r="K2297" s="29">
        <v>8.9600000000000009</v>
      </c>
      <c r="L2297" s="29">
        <v>-0.9</v>
      </c>
      <c r="M2297" s="30">
        <f>IFERROR(VLOOKUP($A2297,HeadJournal!$A$1:$J$890,COLUMN(HeadJournal!I$1),0)*($K2297+$L2297)/(SUMIF($A:$A,$A2297,$K:$K)+SUMIF($A:$A,$A2297,$L:$L)),0)</f>
        <v>-0.44551799657208152</v>
      </c>
      <c r="N2297" s="30">
        <f>IFERROR((VLOOKUP($A2297,HeadJournal!$A$1:$K$890,COLUMN(HeadJournal!K$1),0)-VLOOKUP($A2297,HeadJournal!$A$1:$K$890,COLUMN(HeadJournal!J$1),0))*($K2297+$L2297)/(SUMIF($A:$A,$A2297,$K:$K)+SUMIF($A:$A,$A2297,$L:$L)),0)</f>
        <v>1.090644534417522E-15</v>
      </c>
      <c r="O2297" s="30">
        <f>IFERROR((VLOOKUP($A2297,HeadJournal!$A$1:$L$890,COLUMN(HeadJournal!L$1),0)*($K2297+$L2297)/(SUMIF($A:$A,$A2297,$K:$K)+SUMIF($A:$A,$A2297,$L:$L)))/VLOOKUP($A2297,HeadJournal!$A$1:$L$890,COLUMN(HeadJournal!H$1),0),0)</f>
        <v>0.37107354257012543</v>
      </c>
      <c r="P2297" s="30">
        <f>IFERROR(SUM(K2297:O2297)*VLOOKUP($A2297,HeadJournal!$A$1:$L$890,COLUMN(HeadJournal!H$1),0),0)</f>
        <v>891.91206341649217</v>
      </c>
      <c r="Q2297" s="29">
        <v>1300</v>
      </c>
      <c r="R2297" s="31">
        <v>45236</v>
      </c>
      <c r="S2297" s="31" t="s">
        <v>3121</v>
      </c>
      <c r="T2297" s="95" t="str">
        <f t="shared" si="180"/>
        <v>2023 11</v>
      </c>
      <c r="U2297" s="32">
        <f t="shared" si="177"/>
        <v>408.08793658350783</v>
      </c>
      <c r="V2297" s="22">
        <f t="shared" si="178"/>
        <v>0.45754279297481015</v>
      </c>
      <c r="X2297" s="33"/>
      <c r="Y2297" s="33"/>
    </row>
    <row r="2298" spans="1:25" x14ac:dyDescent="0.2">
      <c r="A2298" s="93" t="s">
        <v>1041</v>
      </c>
      <c r="B2298" s="94" t="str">
        <f>IFERROR(VLOOKUP($A2298,HeadJournal!$A$1:$NTR$890,COLUMN(HeadJournal!B$1),0),"")</f>
        <v>700000955729</v>
      </c>
      <c r="C2298" s="94" t="str">
        <f>IFERROR(VLOOKUP($A2298,HeadJournal!$A$1:$NTR$890,COLUMN(HeadJournal!C$1),0),"")</f>
        <v>iHerb_AV CYG0792</v>
      </c>
      <c r="D2298" s="125" t="str">
        <f>IFERROR(VLOOKUP($A2298,HeadJournal!$A$1:$NTR$890,COLUMN(HeadJournal!D$1),0),"")</f>
        <v>Доставлен</v>
      </c>
      <c r="E2298" s="95">
        <f>IFERROR(VLOOKUP($A2298,HeadJournal!$A$1:$NTR$890,COLUMN(HeadJournal!G$1),0),"")</f>
        <v>45211</v>
      </c>
      <c r="F2298" s="95" t="str">
        <f t="shared" si="179"/>
        <v>2023 10</v>
      </c>
      <c r="G2298" s="96" t="s">
        <v>5</v>
      </c>
      <c r="H2298" s="161" t="s">
        <v>2073</v>
      </c>
      <c r="I2298" s="97" t="s">
        <v>2005</v>
      </c>
      <c r="J2298" s="97" t="s">
        <v>2074</v>
      </c>
      <c r="K2298" s="29">
        <v>19.690000000000001</v>
      </c>
      <c r="L2298" s="29">
        <v>-1.97</v>
      </c>
      <c r="M2298" s="30">
        <f>IFERROR(VLOOKUP($A2298,HeadJournal!$A$1:$J$890,COLUMN(HeadJournal!I$1),0)*($K2298+$L2298)/(SUMIF($A:$A,$A2298,$K:$K)+SUMIF($A:$A,$A2298,$L:$L)),0)</f>
        <v>-0.97947629023043248</v>
      </c>
      <c r="N2298" s="30">
        <f>IFERROR((VLOOKUP($A2298,HeadJournal!$A$1:$K$890,COLUMN(HeadJournal!K$1),0)-VLOOKUP($A2298,HeadJournal!$A$1:$K$890,COLUMN(HeadJournal!J$1),0))*($K2298+$L2298)/(SUMIF($A:$A,$A2298,$K:$K)+SUMIF($A:$A,$A2298,$L:$L)),0)</f>
        <v>2.3977941873298375E-15</v>
      </c>
      <c r="O2298" s="30">
        <f>IFERROR((VLOOKUP($A2298,HeadJournal!$A$1:$L$890,COLUMN(HeadJournal!L$1),0)*($K2298+$L2298)/(SUMIF($A:$A,$A2298,$K:$K)+SUMIF($A:$A,$A2298,$L:$L)))/VLOOKUP($A2298,HeadJournal!$A$1:$L$890,COLUMN(HeadJournal!H$1),0),0)</f>
        <v>0.81580932684151652</v>
      </c>
      <c r="P2298" s="30">
        <f>IFERROR(SUM(K2298:O2298)*VLOOKUP($A2298,HeadJournal!$A$1:$L$890,COLUMN(HeadJournal!H$1),0),0)</f>
        <v>1960.8786307370028</v>
      </c>
      <c r="Q2298" s="29">
        <v>2500</v>
      </c>
      <c r="R2298" s="31">
        <v>45245</v>
      </c>
      <c r="S2298" s="31" t="s">
        <v>3121</v>
      </c>
      <c r="T2298" s="95" t="str">
        <f t="shared" si="180"/>
        <v>2023 11</v>
      </c>
      <c r="U2298" s="32">
        <f t="shared" si="177"/>
        <v>539.12136926299718</v>
      </c>
      <c r="V2298" s="22">
        <f t="shared" si="178"/>
        <v>0.27493867331318034</v>
      </c>
      <c r="X2298" s="33"/>
      <c r="Y2298" s="33"/>
    </row>
    <row r="2299" spans="1:25" x14ac:dyDescent="0.2">
      <c r="A2299" s="93" t="s">
        <v>1041</v>
      </c>
      <c r="B2299" s="94" t="str">
        <f>IFERROR(VLOOKUP($A2299,HeadJournal!$A$1:$NTR$890,COLUMN(HeadJournal!B$1),0),"")</f>
        <v>700000955729</v>
      </c>
      <c r="C2299" s="94" t="str">
        <f>IFERROR(VLOOKUP($A2299,HeadJournal!$A$1:$NTR$890,COLUMN(HeadJournal!C$1),0),"")</f>
        <v>iHerb_AV CYG0792</v>
      </c>
      <c r="D2299" s="125" t="str">
        <f>IFERROR(VLOOKUP($A2299,HeadJournal!$A$1:$NTR$890,COLUMN(HeadJournal!D$1),0),"")</f>
        <v>Доставлен</v>
      </c>
      <c r="E2299" s="95">
        <f>IFERROR(VLOOKUP($A2299,HeadJournal!$A$1:$NTR$890,COLUMN(HeadJournal!G$1),0),"")</f>
        <v>45211</v>
      </c>
      <c r="F2299" s="95" t="str">
        <f t="shared" si="179"/>
        <v>2023 10</v>
      </c>
      <c r="G2299" s="96" t="s">
        <v>5</v>
      </c>
      <c r="H2299" s="160" t="str">
        <f>RIGHT(Journal!$J2299,9)</f>
        <v>NBC-01050</v>
      </c>
      <c r="I2299" s="96" t="str">
        <f t="shared" si="181"/>
        <v>NutriBiotic</v>
      </c>
      <c r="J2299" s="97" t="s">
        <v>1045</v>
      </c>
      <c r="K2299" s="29">
        <v>9.0299999999999994</v>
      </c>
      <c r="L2299" s="29">
        <v>-0.9</v>
      </c>
      <c r="M2299" s="30">
        <f>IFERROR(VLOOKUP($A2299,HeadJournal!$A$1:$J$890,COLUMN(HeadJournal!I$1),0)*($K2299+$L2299)/(SUMIF($A:$A,$A2299,$K:$K)+SUMIF($A:$A,$A2299,$L:$L)),0)</f>
        <v>-0.44938725956960568</v>
      </c>
      <c r="N2299" s="30">
        <f>IFERROR((VLOOKUP($A2299,HeadJournal!$A$1:$K$890,COLUMN(HeadJournal!K$1),0)-VLOOKUP($A2299,HeadJournal!$A$1:$K$890,COLUMN(HeadJournal!J$1),0))*($K2299+$L2299)/(SUMIF($A:$A,$A2299,$K:$K)+SUMIF($A:$A,$A2299,$L:$L)),0)</f>
        <v>1.1001166333516691E-15</v>
      </c>
      <c r="O2299" s="30">
        <f>IFERROR((VLOOKUP($A2299,HeadJournal!$A$1:$L$890,COLUMN(HeadJournal!L$1),0)*($K2299+$L2299)/(SUMIF($A:$A,$A2299,$K:$K)+SUMIF($A:$A,$A2299,$L:$L)))/VLOOKUP($A2299,HeadJournal!$A$1:$L$890,COLUMN(HeadJournal!H$1),0),0)</f>
        <v>0.37429626564455581</v>
      </c>
      <c r="P2299" s="30">
        <f>IFERROR(SUM(K2299:O2299)*VLOOKUP($A2299,HeadJournal!$A$1:$L$890,COLUMN(HeadJournal!H$1),0),0)</f>
        <v>899.65819796229289</v>
      </c>
      <c r="Q2299" s="29">
        <v>1500</v>
      </c>
      <c r="R2299" s="31">
        <v>45239</v>
      </c>
      <c r="S2299" s="31" t="s">
        <v>3121</v>
      </c>
      <c r="T2299" s="95" t="str">
        <f t="shared" si="180"/>
        <v>2023 11</v>
      </c>
      <c r="U2299" s="32">
        <f t="shared" si="177"/>
        <v>600.34180203770711</v>
      </c>
      <c r="V2299" s="22">
        <f t="shared" si="178"/>
        <v>0.66729987388262435</v>
      </c>
      <c r="X2299" s="33"/>
      <c r="Y2299" s="33"/>
    </row>
    <row r="2300" spans="1:25" x14ac:dyDescent="0.2">
      <c r="A2300" s="93" t="s">
        <v>1041</v>
      </c>
      <c r="B2300" s="94" t="str">
        <f>IFERROR(VLOOKUP($A2300,HeadJournal!$A$1:$NTR$890,COLUMN(HeadJournal!B$1),0),"")</f>
        <v>700000955729</v>
      </c>
      <c r="C2300" s="94" t="str">
        <f>IFERROR(VLOOKUP($A2300,HeadJournal!$A$1:$NTR$890,COLUMN(HeadJournal!C$1),0),"")</f>
        <v>iHerb_AV CYG0792</v>
      </c>
      <c r="D2300" s="125" t="str">
        <f>IFERROR(VLOOKUP($A2300,HeadJournal!$A$1:$NTR$890,COLUMN(HeadJournal!D$1),0),"")</f>
        <v>Доставлен</v>
      </c>
      <c r="E2300" s="95">
        <f>IFERROR(VLOOKUP($A2300,HeadJournal!$A$1:$NTR$890,COLUMN(HeadJournal!G$1),0),"")</f>
        <v>45211</v>
      </c>
      <c r="F2300" s="95" t="str">
        <f t="shared" si="179"/>
        <v>2023 10</v>
      </c>
      <c r="G2300" s="96" t="s">
        <v>5</v>
      </c>
      <c r="H2300" s="161" t="s">
        <v>2127</v>
      </c>
      <c r="I2300" s="97" t="s">
        <v>2125</v>
      </c>
      <c r="J2300" s="97" t="s">
        <v>2128</v>
      </c>
      <c r="K2300" s="29">
        <v>9.25</v>
      </c>
      <c r="L2300" s="29">
        <v>-0.92500000000000004</v>
      </c>
      <c r="M2300" s="30">
        <f>IFERROR(VLOOKUP($A2300,HeadJournal!$A$1:$J$890,COLUMN(HeadJournal!I$1),0)*($K2300+$L2300)/(SUMIF($A:$A,$A2300,$K:$K)+SUMIF($A:$A,$A2300,$L:$L)),0)</f>
        <v>-0.46016592077699481</v>
      </c>
      <c r="N2300" s="30">
        <f>IFERROR((VLOOKUP($A2300,HeadJournal!$A$1:$K$890,COLUMN(HeadJournal!K$1),0)-VLOOKUP($A2300,HeadJournal!$A$1:$K$890,COLUMN(HeadJournal!J$1),0))*($K2300+$L2300)/(SUMIF($A:$A,$A2300,$K:$K)+SUMIF($A:$A,$A2300,$L:$L)),0)</f>
        <v>1.1265031946682219E-15</v>
      </c>
      <c r="O2300" s="30">
        <f>IFERROR((VLOOKUP($A2300,HeadJournal!$A$1:$L$890,COLUMN(HeadJournal!L$1),0)*($K2300+$L2300)/(SUMIF($A:$A,$A2300,$K:$K)+SUMIF($A:$A,$A2300,$L:$L)))/VLOOKUP($A2300,HeadJournal!$A$1:$L$890,COLUMN(HeadJournal!H$1),0),0)</f>
        <v>0.38327385135189751</v>
      </c>
      <c r="P2300" s="30">
        <f>IFERROR(SUM(K2300:O2300)*VLOOKUP($A2300,HeadJournal!$A$1:$L$890,COLUMN(HeadJournal!H$1),0),0)</f>
        <v>921.23671562559514</v>
      </c>
      <c r="Q2300" s="29">
        <v>1400</v>
      </c>
      <c r="R2300" s="31">
        <v>45264</v>
      </c>
      <c r="S2300" s="31" t="s">
        <v>3121</v>
      </c>
      <c r="T2300" s="95" t="str">
        <f t="shared" si="180"/>
        <v>2023 12</v>
      </c>
      <c r="U2300" s="32">
        <f t="shared" si="177"/>
        <v>478.76328437440486</v>
      </c>
      <c r="V2300" s="22">
        <f t="shared" si="178"/>
        <v>0.51969626943199432</v>
      </c>
      <c r="X2300" s="33"/>
      <c r="Y2300" s="33"/>
    </row>
    <row r="2301" spans="1:25" x14ac:dyDescent="0.2">
      <c r="A2301" s="93" t="s">
        <v>1041</v>
      </c>
      <c r="B2301" s="94" t="str">
        <f>IFERROR(VLOOKUP($A2301,HeadJournal!$A$1:$NTR$890,COLUMN(HeadJournal!B$1),0),"")</f>
        <v>700000955729</v>
      </c>
      <c r="C2301" s="94" t="str">
        <f>IFERROR(VLOOKUP($A2301,HeadJournal!$A$1:$NTR$890,COLUMN(HeadJournal!C$1),0),"")</f>
        <v>iHerb_AV CYG0792</v>
      </c>
      <c r="D2301" s="125" t="str">
        <f>IFERROR(VLOOKUP($A2301,HeadJournal!$A$1:$NTR$890,COLUMN(HeadJournal!D$1),0),"")</f>
        <v>Доставлен</v>
      </c>
      <c r="E2301" s="95">
        <f>IFERROR(VLOOKUP($A2301,HeadJournal!$A$1:$NTR$890,COLUMN(HeadJournal!G$1),0),"")</f>
        <v>45211</v>
      </c>
      <c r="F2301" s="95" t="str">
        <f t="shared" si="179"/>
        <v>2023 10</v>
      </c>
      <c r="G2301" s="96" t="s">
        <v>5</v>
      </c>
      <c r="H2301" s="161" t="s">
        <v>2127</v>
      </c>
      <c r="I2301" s="97" t="s">
        <v>2125</v>
      </c>
      <c r="J2301" s="97" t="s">
        <v>2128</v>
      </c>
      <c r="K2301" s="29">
        <v>9.25</v>
      </c>
      <c r="L2301" s="29">
        <v>-0.92500000000000004</v>
      </c>
      <c r="M2301" s="30">
        <f>IFERROR(VLOOKUP($A2301,HeadJournal!$A$1:$J$890,COLUMN(HeadJournal!I$1),0)*($K2301+$L2301)/(SUMIF($A:$A,$A2301,$K:$K)+SUMIF($A:$A,$A2301,$L:$L)),0)</f>
        <v>-0.46016592077699481</v>
      </c>
      <c r="N2301" s="30">
        <f>IFERROR((VLOOKUP($A2301,HeadJournal!$A$1:$K$890,COLUMN(HeadJournal!K$1),0)-VLOOKUP($A2301,HeadJournal!$A$1:$K$890,COLUMN(HeadJournal!J$1),0))*($K2301+$L2301)/(SUMIF($A:$A,$A2301,$K:$K)+SUMIF($A:$A,$A2301,$L:$L)),0)</f>
        <v>1.1265031946682219E-15</v>
      </c>
      <c r="O2301" s="30">
        <f>IFERROR((VLOOKUP($A2301,HeadJournal!$A$1:$L$890,COLUMN(HeadJournal!L$1),0)*($K2301+$L2301)/(SUMIF($A:$A,$A2301,$K:$K)+SUMIF($A:$A,$A2301,$L:$L)))/VLOOKUP($A2301,HeadJournal!$A$1:$L$890,COLUMN(HeadJournal!H$1),0),0)</f>
        <v>0.38327385135189751</v>
      </c>
      <c r="P2301" s="30">
        <f>IFERROR(SUM(K2301:O2301)*VLOOKUP($A2301,HeadJournal!$A$1:$L$890,COLUMN(HeadJournal!H$1),0),0)</f>
        <v>921.23671562559514</v>
      </c>
      <c r="Q2301" s="29">
        <v>1500</v>
      </c>
      <c r="R2301" s="31">
        <v>45283</v>
      </c>
      <c r="S2301" s="31" t="s">
        <v>3121</v>
      </c>
      <c r="T2301" s="95" t="str">
        <f t="shared" si="180"/>
        <v>2023 12</v>
      </c>
      <c r="U2301" s="32">
        <f t="shared" si="177"/>
        <v>578.76328437440486</v>
      </c>
      <c r="V2301" s="22">
        <f t="shared" si="178"/>
        <v>0.62824600296285105</v>
      </c>
      <c r="X2301" s="33"/>
      <c r="Y2301" s="33"/>
    </row>
    <row r="2302" spans="1:25" x14ac:dyDescent="0.2">
      <c r="A2302" s="93" t="s">
        <v>1041</v>
      </c>
      <c r="B2302" s="94" t="str">
        <f>IFERROR(VLOOKUP($A2302,HeadJournal!$A$1:$NTR$890,COLUMN(HeadJournal!B$1),0),"")</f>
        <v>700000955729</v>
      </c>
      <c r="C2302" s="94" t="str">
        <f>IFERROR(VLOOKUP($A2302,HeadJournal!$A$1:$NTR$890,COLUMN(HeadJournal!C$1),0),"")</f>
        <v>iHerb_AV CYG0792</v>
      </c>
      <c r="D2302" s="125" t="str">
        <f>IFERROR(VLOOKUP($A2302,HeadJournal!$A$1:$NTR$890,COLUMN(HeadJournal!D$1),0),"")</f>
        <v>Доставлен</v>
      </c>
      <c r="E2302" s="95">
        <f>IFERROR(VLOOKUP($A2302,HeadJournal!$A$1:$NTR$890,COLUMN(HeadJournal!G$1),0),"")</f>
        <v>45211</v>
      </c>
      <c r="F2302" s="95" t="str">
        <f t="shared" si="179"/>
        <v>2023 10</v>
      </c>
      <c r="G2302" s="96" t="s">
        <v>6</v>
      </c>
      <c r="H2302" s="160" t="str">
        <f>RIGHT(Journal!$J2302,9)</f>
        <v>FCD-02889</v>
      </c>
      <c r="I2302" s="96" t="str">
        <f t="shared" si="181"/>
        <v>FITCODE</v>
      </c>
      <c r="J2302" s="97" t="s">
        <v>1046</v>
      </c>
      <c r="K2302" s="29">
        <v>20.29</v>
      </c>
      <c r="L2302" s="29">
        <v>-12.19</v>
      </c>
      <c r="M2302" s="30">
        <f>IFERROR(VLOOKUP($A2302,HeadJournal!$A$1:$J$890,COLUMN(HeadJournal!I$1),0)*($K2302+$L2302)/(SUMIF($A:$A,$A2302,$K:$K)+SUMIF($A:$A,$A2302,$L:$L)),0)</f>
        <v>-0.44772900399923826</v>
      </c>
      <c r="N2302" s="30">
        <f>IFERROR((VLOOKUP($A2302,HeadJournal!$A$1:$K$890,COLUMN(HeadJournal!K$1),0)-VLOOKUP($A2302,HeadJournal!$A$1:$K$890,COLUMN(HeadJournal!J$1),0))*($K2302+$L2302)/(SUMIF($A:$A,$A2302,$K:$K)+SUMIF($A:$A,$A2302,$L:$L)),0)</f>
        <v>1.0960571623798918E-15</v>
      </c>
      <c r="O2302" s="30">
        <f>IFERROR((VLOOKUP($A2302,HeadJournal!$A$1:$L$890,COLUMN(HeadJournal!L$1),0)*($K2302+$L2302)/(SUMIF($A:$A,$A2302,$K:$K)+SUMIF($A:$A,$A2302,$L:$L)))/VLOOKUP($A2302,HeadJournal!$A$1:$L$890,COLUMN(HeadJournal!H$1),0),0)</f>
        <v>0.37291509861265704</v>
      </c>
      <c r="P2302" s="30">
        <f>IFERROR(SUM(K2302:O2302)*VLOOKUP($A2302,HeadJournal!$A$1:$L$890,COLUMN(HeadJournal!H$1),0),0)</f>
        <v>896.33842601409242</v>
      </c>
      <c r="Q2302" s="29"/>
      <c r="R2302" s="31"/>
      <c r="S2302" s="31"/>
      <c r="T2302" s="95" t="str">
        <f t="shared" si="180"/>
        <v/>
      </c>
      <c r="U2302" s="32">
        <f t="shared" si="177"/>
        <v>-896.33842601409242</v>
      </c>
      <c r="V2302" s="22" t="str">
        <f t="shared" si="178"/>
        <v/>
      </c>
      <c r="X2302" s="33"/>
      <c r="Y2302" s="33"/>
    </row>
    <row r="2303" spans="1:25" x14ac:dyDescent="0.2">
      <c r="A2303" s="93" t="s">
        <v>1041</v>
      </c>
      <c r="B2303" s="94" t="str">
        <f>IFERROR(VLOOKUP($A2303,HeadJournal!$A$1:$NTR$890,COLUMN(HeadJournal!B$1),0),"")</f>
        <v>700000955729</v>
      </c>
      <c r="C2303" s="94" t="str">
        <f>IFERROR(VLOOKUP($A2303,HeadJournal!$A$1:$NTR$890,COLUMN(HeadJournal!C$1),0),"")</f>
        <v>iHerb_AV CYG0792</v>
      </c>
      <c r="D2303" s="125" t="str">
        <f>IFERROR(VLOOKUP($A2303,HeadJournal!$A$1:$NTR$890,COLUMN(HeadJournal!D$1),0),"")</f>
        <v>Доставлен</v>
      </c>
      <c r="E2303" s="95">
        <f>IFERROR(VLOOKUP($A2303,HeadJournal!$A$1:$NTR$890,COLUMN(HeadJournal!G$1),0),"")</f>
        <v>45211</v>
      </c>
      <c r="F2303" s="95" t="str">
        <f t="shared" si="179"/>
        <v>2023 10</v>
      </c>
      <c r="G2303" s="96" t="s">
        <v>5</v>
      </c>
      <c r="H2303" s="161" t="s">
        <v>2546</v>
      </c>
      <c r="I2303" s="97" t="s">
        <v>2039</v>
      </c>
      <c r="J2303" s="97" t="s">
        <v>2547</v>
      </c>
      <c r="K2303" s="29">
        <v>10.54</v>
      </c>
      <c r="L2303" s="29">
        <v>-2.11</v>
      </c>
      <c r="M2303" s="30">
        <f>IFERROR(VLOOKUP($A2303,HeadJournal!$A$1:$J$890,COLUMN(HeadJournal!I$1),0)*($K2303+$L2303)/(SUMIF($A:$A,$A2303,$K:$K)+SUMIF($A:$A,$A2303,$L:$L)),0)</f>
        <v>-0.4659698152732813</v>
      </c>
      <c r="N2303" s="30">
        <f>IFERROR((VLOOKUP($A2303,HeadJournal!$A$1:$K$890,COLUMN(HeadJournal!K$1),0)-VLOOKUP($A2303,HeadJournal!$A$1:$K$890,COLUMN(HeadJournal!J$1),0))*($K2303+$L2303)/(SUMIF($A:$A,$A2303,$K:$K)+SUMIF($A:$A,$A2303,$L:$L)),0)</f>
        <v>1.1407113430694429E-15</v>
      </c>
      <c r="O2303" s="30">
        <f>IFERROR((VLOOKUP($A2303,HeadJournal!$A$1:$L$890,COLUMN(HeadJournal!L$1),0)*($K2303+$L2303)/(SUMIF($A:$A,$A2303,$K:$K)+SUMIF($A:$A,$A2303,$L:$L)))/VLOOKUP($A2303,HeadJournal!$A$1:$L$890,COLUMN(HeadJournal!H$1),0),0)</f>
        <v>0.38810793596354315</v>
      </c>
      <c r="P2303" s="30">
        <f>IFERROR(SUM(K2303:O2303)*VLOOKUP($A2303,HeadJournal!$A$1:$L$890,COLUMN(HeadJournal!H$1),0),0)</f>
        <v>932.85591744429632</v>
      </c>
      <c r="Q2303" s="29">
        <v>1700</v>
      </c>
      <c r="R2303" s="31">
        <v>45246</v>
      </c>
      <c r="S2303" s="31" t="s">
        <v>3121</v>
      </c>
      <c r="T2303" s="95" t="str">
        <f t="shared" si="180"/>
        <v>2023 11</v>
      </c>
      <c r="U2303" s="32">
        <f t="shared" si="177"/>
        <v>767.14408255570368</v>
      </c>
      <c r="V2303" s="22">
        <f t="shared" si="178"/>
        <v>0.82236073997087789</v>
      </c>
      <c r="X2303" s="33"/>
      <c r="Y2303" s="33"/>
    </row>
    <row r="2304" spans="1:25" x14ac:dyDescent="0.2">
      <c r="A2304" s="93" t="s">
        <v>1041</v>
      </c>
      <c r="B2304" s="94" t="str">
        <f>IFERROR(VLOOKUP($A2304,HeadJournal!$A$1:$NTR$890,COLUMN(HeadJournal!B$1),0),"")</f>
        <v>700000955729</v>
      </c>
      <c r="C2304" s="94" t="str">
        <f>IFERROR(VLOOKUP($A2304,HeadJournal!$A$1:$NTR$890,COLUMN(HeadJournal!C$1),0),"")</f>
        <v>iHerb_AV CYG0792</v>
      </c>
      <c r="D2304" s="125" t="str">
        <f>IFERROR(VLOOKUP($A2304,HeadJournal!$A$1:$NTR$890,COLUMN(HeadJournal!D$1),0),"")</f>
        <v>Доставлен</v>
      </c>
      <c r="E2304" s="95">
        <f>IFERROR(VLOOKUP($A2304,HeadJournal!$A$1:$NTR$890,COLUMN(HeadJournal!G$1),0),"")</f>
        <v>45211</v>
      </c>
      <c r="F2304" s="95" t="str">
        <f t="shared" si="179"/>
        <v>2023 10</v>
      </c>
      <c r="G2304" s="96" t="s">
        <v>5</v>
      </c>
      <c r="H2304" s="161" t="s">
        <v>2546</v>
      </c>
      <c r="I2304" s="97" t="s">
        <v>2039</v>
      </c>
      <c r="J2304" s="97" t="s">
        <v>2547</v>
      </c>
      <c r="K2304" s="29">
        <v>10.54</v>
      </c>
      <c r="L2304" s="29">
        <v>-2.11</v>
      </c>
      <c r="M2304" s="30">
        <f>IFERROR(VLOOKUP($A2304,HeadJournal!$A$1:$J$890,COLUMN(HeadJournal!I$1),0)*($K2304+$L2304)/(SUMIF($A:$A,$A2304,$K:$K)+SUMIF($A:$A,$A2304,$L:$L)),0)</f>
        <v>-0.4659698152732813</v>
      </c>
      <c r="N2304" s="30">
        <f>IFERROR((VLOOKUP($A2304,HeadJournal!$A$1:$K$890,COLUMN(HeadJournal!K$1),0)-VLOOKUP($A2304,HeadJournal!$A$1:$K$890,COLUMN(HeadJournal!J$1),0))*($K2304+$L2304)/(SUMIF($A:$A,$A2304,$K:$K)+SUMIF($A:$A,$A2304,$L:$L)),0)</f>
        <v>1.1407113430694429E-15</v>
      </c>
      <c r="O2304" s="30">
        <f>IFERROR((VLOOKUP($A2304,HeadJournal!$A$1:$L$890,COLUMN(HeadJournal!L$1),0)*($K2304+$L2304)/(SUMIF($A:$A,$A2304,$K:$K)+SUMIF($A:$A,$A2304,$L:$L)))/VLOOKUP($A2304,HeadJournal!$A$1:$L$890,COLUMN(HeadJournal!H$1),0),0)</f>
        <v>0.38810793596354315</v>
      </c>
      <c r="P2304" s="30">
        <f>IFERROR(SUM(K2304:O2304)*VLOOKUP($A2304,HeadJournal!$A$1:$L$890,COLUMN(HeadJournal!H$1),0),0)</f>
        <v>932.85591744429632</v>
      </c>
      <c r="Q2304" s="29">
        <v>1500</v>
      </c>
      <c r="R2304" s="31">
        <v>45259</v>
      </c>
      <c r="S2304" s="31" t="s">
        <v>3121</v>
      </c>
      <c r="T2304" s="95" t="str">
        <f t="shared" si="180"/>
        <v>2023 11</v>
      </c>
      <c r="U2304" s="32">
        <f t="shared" si="177"/>
        <v>567.14408255570368</v>
      </c>
      <c r="V2304" s="22">
        <f t="shared" si="178"/>
        <v>0.60796535879783342</v>
      </c>
      <c r="X2304" s="33"/>
      <c r="Y2304" s="33"/>
    </row>
    <row r="2305" spans="1:25" x14ac:dyDescent="0.2">
      <c r="A2305" s="93" t="s">
        <v>1041</v>
      </c>
      <c r="B2305" s="94" t="str">
        <f>IFERROR(VLOOKUP($A2305,HeadJournal!$A$1:$NTR$890,COLUMN(HeadJournal!B$1),0),"")</f>
        <v>700000955729</v>
      </c>
      <c r="C2305" s="94" t="str">
        <f>IFERROR(VLOOKUP($A2305,HeadJournal!$A$1:$NTR$890,COLUMN(HeadJournal!C$1),0),"")</f>
        <v>iHerb_AV CYG0792</v>
      </c>
      <c r="D2305" s="125" t="str">
        <f>IFERROR(VLOOKUP($A2305,HeadJournal!$A$1:$NTR$890,COLUMN(HeadJournal!D$1),0),"")</f>
        <v>Доставлен</v>
      </c>
      <c r="E2305" s="95">
        <f>IFERROR(VLOOKUP($A2305,HeadJournal!$A$1:$NTR$890,COLUMN(HeadJournal!G$1),0),"")</f>
        <v>45211</v>
      </c>
      <c r="F2305" s="95" t="str">
        <f t="shared" si="179"/>
        <v>2023 10</v>
      </c>
      <c r="G2305" s="96" t="s">
        <v>5</v>
      </c>
      <c r="H2305" s="161" t="s">
        <v>3992</v>
      </c>
      <c r="I2305" s="97" t="s">
        <v>2666</v>
      </c>
      <c r="J2305" s="97" t="s">
        <v>3993</v>
      </c>
      <c r="K2305" s="29">
        <v>26.99</v>
      </c>
      <c r="L2305" s="29">
        <v>-5.4</v>
      </c>
      <c r="M2305" s="30">
        <f>IFERROR(VLOOKUP($A2305,HeadJournal!$A$1:$J$890,COLUMN(HeadJournal!I$1),0)*($K2305+$L2305)/(SUMIF($A:$A,$A2305,$K:$K)+SUMIF($A:$A,$A2305,$L:$L)),0)</f>
        <v>-1.1933912588078459</v>
      </c>
      <c r="N2305" s="30">
        <f>IFERROR((VLOOKUP($A2305,HeadJournal!$A$1:$K$890,COLUMN(HeadJournal!K$1),0)-VLOOKUP($A2305,HeadJournal!$A$1:$K$890,COLUMN(HeadJournal!J$1),0))*($K2305+$L2305)/(SUMIF($A:$A,$A2305,$K:$K)+SUMIF($A:$A,$A2305,$L:$L)),0)</f>
        <v>2.9214659426891184E-15</v>
      </c>
      <c r="O2305" s="30">
        <f>IFERROR((VLOOKUP($A2305,HeadJournal!$A$1:$L$890,COLUMN(HeadJournal!L$1),0)*($K2305+$L2305)/(SUMIF($A:$A,$A2305,$K:$K)+SUMIF($A:$A,$A2305,$L:$L)))/VLOOKUP($A2305,HeadJournal!$A$1:$L$890,COLUMN(HeadJournal!H$1),0),0)</f>
        <v>0.99397987395645238</v>
      </c>
      <c r="P2305" s="30">
        <f>IFERROR(SUM(K2305:O2305)*VLOOKUP($A2305,HeadJournal!$A$1:$L$890,COLUMN(HeadJournal!H$1),0),0)</f>
        <v>2389.1292120548464</v>
      </c>
      <c r="Q2305" s="29">
        <v>3500</v>
      </c>
      <c r="R2305" s="31">
        <v>45283</v>
      </c>
      <c r="S2305" s="31" t="s">
        <v>3121</v>
      </c>
      <c r="T2305" s="95" t="str">
        <f t="shared" si="180"/>
        <v>2023 12</v>
      </c>
      <c r="U2305" s="32">
        <f t="shared" ref="U2305:U2368" si="182">Q2305-P2305</f>
        <v>1110.8707879451536</v>
      </c>
      <c r="V2305" s="22">
        <f t="shared" ref="V2305:V2368" si="183">IF(Q2305&lt;&gt;0,IFERROR(U2305/P2305,""),"")</f>
        <v>0.46496890261942503</v>
      </c>
      <c r="X2305" s="33"/>
      <c r="Y2305" s="33"/>
    </row>
    <row r="2306" spans="1:25" x14ac:dyDescent="0.2">
      <c r="A2306" s="93" t="s">
        <v>1041</v>
      </c>
      <c r="B2306" s="94" t="str">
        <f>IFERROR(VLOOKUP($A2306,HeadJournal!$A$1:$NTR$890,COLUMN(HeadJournal!B$1),0),"")</f>
        <v>700000955729</v>
      </c>
      <c r="C2306" s="94" t="str">
        <f>IFERROR(VLOOKUP($A2306,HeadJournal!$A$1:$NTR$890,COLUMN(HeadJournal!C$1),0),"")</f>
        <v>iHerb_AV CYG0792</v>
      </c>
      <c r="D2306" s="125" t="str">
        <f>IFERROR(VLOOKUP($A2306,HeadJournal!$A$1:$NTR$890,COLUMN(HeadJournal!D$1),0),"")</f>
        <v>Доставлен</v>
      </c>
      <c r="E2306" s="95">
        <f>IFERROR(VLOOKUP($A2306,HeadJournal!$A$1:$NTR$890,COLUMN(HeadJournal!G$1),0),"")</f>
        <v>45211</v>
      </c>
      <c r="F2306" s="95" t="str">
        <f t="shared" si="179"/>
        <v>2023 10</v>
      </c>
      <c r="G2306" s="96" t="s">
        <v>5</v>
      </c>
      <c r="H2306" s="160" t="str">
        <f>RIGHT(Journal!$J2306,9)</f>
        <v>NAP-29928</v>
      </c>
      <c r="I2306" s="96" t="str">
        <f t="shared" si="181"/>
        <v>NaturesPlus</v>
      </c>
      <c r="J2306" s="97" t="s">
        <v>1047</v>
      </c>
      <c r="K2306" s="29">
        <v>26.41</v>
      </c>
      <c r="L2306" s="29">
        <v>-5.28</v>
      </c>
      <c r="M2306" s="30">
        <f>IFERROR(VLOOKUP($A2306,HeadJournal!$A$1:$J$890,COLUMN(HeadJournal!I$1),0)*($K2306+$L2306)/(SUMIF($A:$A,$A2306,$K:$K)+SUMIF($A:$A,$A2306,$L:$L)),0)</f>
        <v>-1.1679646733955436</v>
      </c>
      <c r="N2306" s="30">
        <f>IFERROR((VLOOKUP($A2306,HeadJournal!$A$1:$K$890,COLUMN(HeadJournal!K$1),0)-VLOOKUP($A2306,HeadJournal!$A$1:$K$890,COLUMN(HeadJournal!J$1),0))*($K2306+$L2306)/(SUMIF($A:$A,$A2306,$K:$K)+SUMIF($A:$A,$A2306,$L:$L)),0)</f>
        <v>2.8592207211218657E-15</v>
      </c>
      <c r="O2306" s="30">
        <f>IFERROR((VLOOKUP($A2306,HeadJournal!$A$1:$L$890,COLUMN(HeadJournal!L$1),0)*($K2306+$L2306)/(SUMIF($A:$A,$A2306,$K:$K)+SUMIF($A:$A,$A2306,$L:$L)))/VLOOKUP($A2306,HeadJournal!$A$1:$L$890,COLUMN(HeadJournal!H$1),0),0)</f>
        <v>0.9728019794673386</v>
      </c>
      <c r="P2306" s="30">
        <f>IFERROR(SUM(K2306:O2306)*VLOOKUP($A2306,HeadJournal!$A$1:$L$890,COLUMN(HeadJournal!H$1),0),0)</f>
        <v>2338.2260421824412</v>
      </c>
      <c r="Q2306" s="29">
        <v>3300</v>
      </c>
      <c r="R2306" s="31">
        <v>45325</v>
      </c>
      <c r="S2306" s="31" t="s">
        <v>3121</v>
      </c>
      <c r="T2306" s="95" t="str">
        <f t="shared" si="180"/>
        <v>2024 02</v>
      </c>
      <c r="U2306" s="32">
        <f t="shared" si="182"/>
        <v>961.77395781755877</v>
      </c>
      <c r="V2306" s="22">
        <f t="shared" si="183"/>
        <v>0.41132633905653671</v>
      </c>
      <c r="X2306" s="33"/>
      <c r="Y2306" s="33"/>
    </row>
    <row r="2307" spans="1:25" x14ac:dyDescent="0.2">
      <c r="A2307" s="93" t="s">
        <v>1048</v>
      </c>
      <c r="B2307" s="94" t="str">
        <f>IFERROR(VLOOKUP($A2307,HeadJournal!$A$1:$NTR$890,COLUMN(HeadJournal!B$1),0),"")</f>
        <v>700000960684</v>
      </c>
      <c r="C2307" s="94" t="str">
        <f>IFERROR(VLOOKUP($A2307,HeadJournal!$A$1:$NTR$890,COLUMN(HeadJournal!C$1),0),"")</f>
        <v>iHerb_OA CZN6870</v>
      </c>
      <c r="D2307" s="125" t="str">
        <f>IFERROR(VLOOKUP($A2307,HeadJournal!$A$1:$NTR$890,COLUMN(HeadJournal!D$1),0),"")</f>
        <v>Доставлен</v>
      </c>
      <c r="E2307" s="95">
        <f>IFERROR(VLOOKUP($A2307,HeadJournal!$A$1:$NTR$890,COLUMN(HeadJournal!G$1),0),"")</f>
        <v>45215</v>
      </c>
      <c r="F2307" s="95" t="str">
        <f t="shared" si="179"/>
        <v>2023 10</v>
      </c>
      <c r="G2307" s="96" t="s">
        <v>5</v>
      </c>
      <c r="H2307" s="160" t="str">
        <f>RIGHT(Journal!$J2307,9)</f>
        <v>CEN-27493</v>
      </c>
      <c r="I2307" s="96" t="str">
        <f t="shared" si="181"/>
        <v>21st Century</v>
      </c>
      <c r="J2307" s="97" t="s">
        <v>152</v>
      </c>
      <c r="K2307" s="29">
        <v>10</v>
      </c>
      <c r="L2307" s="29">
        <v>-1</v>
      </c>
      <c r="M2307" s="30">
        <f>IFERROR(VLOOKUP($A2307,HeadJournal!$A$1:$J$890,COLUMN(HeadJournal!I$1),0)*($K2307+$L2307)/(SUMIF($A:$A,$A2307,$K:$K)+SUMIF($A:$A,$A2307,$L:$L)),0)</f>
        <v>-0.59453570961697677</v>
      </c>
      <c r="N2307" s="30">
        <f>IFERROR((VLOOKUP($A2307,HeadJournal!$A$1:$K$890,COLUMN(HeadJournal!K$1),0)-VLOOKUP($A2307,HeadJournal!$A$1:$K$890,COLUMN(HeadJournal!J$1),0))*($K2307+$L2307)/(SUMIF($A:$A,$A2307,$K:$K)+SUMIF($A:$A,$A2307,$L:$L)),0)</f>
        <v>0</v>
      </c>
      <c r="O2307" s="30">
        <f>IFERROR((VLOOKUP($A2307,HeadJournal!$A$1:$L$890,COLUMN(HeadJournal!L$1),0)*($K2307+$L2307)/(SUMIF($A:$A,$A2307,$K:$K)+SUMIF($A:$A,$A2307,$L:$L)))/VLOOKUP($A2307,HeadJournal!$A$1:$L$890,COLUMN(HeadJournal!H$1),0),0)</f>
        <v>0.4323150746992423</v>
      </c>
      <c r="P2307" s="30">
        <f>IFERROR(SUM(K2307:O2307)*VLOOKUP($A2307,HeadJournal!$A$1:$L$890,COLUMN(HeadJournal!H$1),0),0)</f>
        <v>988.11717286156238</v>
      </c>
      <c r="Q2307" s="29">
        <v>1500</v>
      </c>
      <c r="R2307" s="31">
        <v>45253</v>
      </c>
      <c r="S2307" s="31" t="s">
        <v>3121</v>
      </c>
      <c r="T2307" s="95" t="str">
        <f t="shared" si="180"/>
        <v>2023 11</v>
      </c>
      <c r="U2307" s="32">
        <f t="shared" si="182"/>
        <v>511.88282713843762</v>
      </c>
      <c r="V2307" s="22">
        <f t="shared" si="183"/>
        <v>0.51803859015630493</v>
      </c>
      <c r="X2307" s="33"/>
      <c r="Y2307" s="33"/>
    </row>
    <row r="2308" spans="1:25" x14ac:dyDescent="0.2">
      <c r="A2308" s="93" t="s">
        <v>1048</v>
      </c>
      <c r="B2308" s="94" t="str">
        <f>IFERROR(VLOOKUP($A2308,HeadJournal!$A$1:$NTR$890,COLUMN(HeadJournal!B$1),0),"")</f>
        <v>700000960684</v>
      </c>
      <c r="C2308" s="94" t="str">
        <f>IFERROR(VLOOKUP($A2308,HeadJournal!$A$1:$NTR$890,COLUMN(HeadJournal!C$1),0),"")</f>
        <v>iHerb_OA CZN6870</v>
      </c>
      <c r="D2308" s="125" t="str">
        <f>IFERROR(VLOOKUP($A2308,HeadJournal!$A$1:$NTR$890,COLUMN(HeadJournal!D$1),0),"")</f>
        <v>Доставлен</v>
      </c>
      <c r="E2308" s="95">
        <f>IFERROR(VLOOKUP($A2308,HeadJournal!$A$1:$NTR$890,COLUMN(HeadJournal!G$1),0),"")</f>
        <v>45215</v>
      </c>
      <c r="F2308" s="95" t="str">
        <f t="shared" ref="F2308:F2371" si="184">IFERROR(TEXT(E2308, "ГГГГ ММ"),"")</f>
        <v>2023 10</v>
      </c>
      <c r="G2308" s="96" t="s">
        <v>5</v>
      </c>
      <c r="H2308" s="161" t="s">
        <v>2788</v>
      </c>
      <c r="I2308" s="97" t="s">
        <v>2218</v>
      </c>
      <c r="J2308" s="97" t="s">
        <v>2789</v>
      </c>
      <c r="K2308" s="29">
        <v>10.83</v>
      </c>
      <c r="L2308" s="29">
        <v>-2.17</v>
      </c>
      <c r="M2308" s="30">
        <f>IFERROR(VLOOKUP($A2308,HeadJournal!$A$1:$J$890,COLUMN(HeadJournal!I$1),0)*($K2308+$L2308)/(SUMIF($A:$A,$A2308,$K:$K)+SUMIF($A:$A,$A2308,$L:$L)),0)</f>
        <v>-0.57207547169811324</v>
      </c>
      <c r="N2308" s="30">
        <f>IFERROR((VLOOKUP($A2308,HeadJournal!$A$1:$K$890,COLUMN(HeadJournal!K$1),0)-VLOOKUP($A2308,HeadJournal!$A$1:$K$890,COLUMN(HeadJournal!J$1),0))*($K2308+$L2308)/(SUMIF($A:$A,$A2308,$K:$K)+SUMIF($A:$A,$A2308,$L:$L)),0)</f>
        <v>0</v>
      </c>
      <c r="O2308" s="30">
        <f>IFERROR((VLOOKUP($A2308,HeadJournal!$A$1:$L$890,COLUMN(HeadJournal!L$1),0)*($K2308+$L2308)/(SUMIF($A:$A,$A2308,$K:$K)+SUMIF($A:$A,$A2308,$L:$L)))/VLOOKUP($A2308,HeadJournal!$A$1:$L$890,COLUMN(HeadJournal!H$1),0),0)</f>
        <v>0.41598317187727102</v>
      </c>
      <c r="P2308" s="30">
        <f>IFERROR(SUM(K2308:O2308)*VLOOKUP($A2308,HeadJournal!$A$1:$L$890,COLUMN(HeadJournal!H$1),0),0)</f>
        <v>950.78830188679228</v>
      </c>
      <c r="Q2308" s="29">
        <v>1600</v>
      </c>
      <c r="R2308" s="31">
        <v>45253</v>
      </c>
      <c r="S2308" s="31" t="s">
        <v>3121</v>
      </c>
      <c r="T2308" s="95" t="str">
        <f t="shared" ref="T2308:T2371" si="185">IF(R2308="","",TEXT(R2308,"ГГГГ ММ"))</f>
        <v>2023 11</v>
      </c>
      <c r="U2308" s="32">
        <f t="shared" si="182"/>
        <v>649.21169811320772</v>
      </c>
      <c r="V2308" s="22">
        <f t="shared" si="183"/>
        <v>0.68281414151276287</v>
      </c>
      <c r="X2308" s="33"/>
      <c r="Y2308" s="33"/>
    </row>
    <row r="2309" spans="1:25" x14ac:dyDescent="0.2">
      <c r="A2309" s="93" t="s">
        <v>1048</v>
      </c>
      <c r="B2309" s="94" t="str">
        <f>IFERROR(VLOOKUP($A2309,HeadJournal!$A$1:$NTR$890,COLUMN(HeadJournal!B$1),0),"")</f>
        <v>700000960684</v>
      </c>
      <c r="C2309" s="94" t="str">
        <f>IFERROR(VLOOKUP($A2309,HeadJournal!$A$1:$NTR$890,COLUMN(HeadJournal!C$1),0),"")</f>
        <v>iHerb_OA CZN6870</v>
      </c>
      <c r="D2309" s="125" t="str">
        <f>IFERROR(VLOOKUP($A2309,HeadJournal!$A$1:$NTR$890,COLUMN(HeadJournal!D$1),0),"")</f>
        <v>Доставлен</v>
      </c>
      <c r="E2309" s="95">
        <f>IFERROR(VLOOKUP($A2309,HeadJournal!$A$1:$NTR$890,COLUMN(HeadJournal!G$1),0),"")</f>
        <v>45215</v>
      </c>
      <c r="F2309" s="95" t="str">
        <f t="shared" si="184"/>
        <v>2023 10</v>
      </c>
      <c r="G2309" s="96" t="s">
        <v>5</v>
      </c>
      <c r="H2309" s="161" t="s">
        <v>2659</v>
      </c>
      <c r="I2309" s="97" t="s">
        <v>2218</v>
      </c>
      <c r="J2309" s="97" t="s">
        <v>2660</v>
      </c>
      <c r="K2309" s="29">
        <v>10.79</v>
      </c>
      <c r="L2309" s="29">
        <v>-2.16</v>
      </c>
      <c r="M2309" s="30">
        <f>IFERROR(VLOOKUP($A2309,HeadJournal!$A$1:$J$890,COLUMN(HeadJournal!I$1),0)*($K2309+$L2309)/(SUMIF($A:$A,$A2309,$K:$K)+SUMIF($A:$A,$A2309,$L:$L)),0)</f>
        <v>-0.57009368599938981</v>
      </c>
      <c r="N2309" s="30">
        <f>IFERROR((VLOOKUP($A2309,HeadJournal!$A$1:$K$890,COLUMN(HeadJournal!K$1),0)-VLOOKUP($A2309,HeadJournal!$A$1:$K$890,COLUMN(HeadJournal!J$1),0))*($K2309+$L2309)/(SUMIF($A:$A,$A2309,$K:$K)+SUMIF($A:$A,$A2309,$L:$L)),0)</f>
        <v>0</v>
      </c>
      <c r="O2309" s="30">
        <f>IFERROR((VLOOKUP($A2309,HeadJournal!$A$1:$L$890,COLUMN(HeadJournal!L$1),0)*($K2309+$L2309)/(SUMIF($A:$A,$A2309,$K:$K)+SUMIF($A:$A,$A2309,$L:$L)))/VLOOKUP($A2309,HeadJournal!$A$1:$L$890,COLUMN(HeadJournal!H$1),0),0)</f>
        <v>0.41454212162827347</v>
      </c>
      <c r="P2309" s="30">
        <f>IFERROR(SUM(K2309:O2309)*VLOOKUP($A2309,HeadJournal!$A$1:$L$890,COLUMN(HeadJournal!H$1),0),0)</f>
        <v>947.49457797725358</v>
      </c>
      <c r="Q2309" s="29">
        <v>1600</v>
      </c>
      <c r="R2309" s="31">
        <v>45297</v>
      </c>
      <c r="S2309" s="31" t="s">
        <v>3121</v>
      </c>
      <c r="T2309" s="95" t="str">
        <f t="shared" si="185"/>
        <v>2024 01</v>
      </c>
      <c r="U2309" s="32">
        <f t="shared" si="182"/>
        <v>652.50542202274642</v>
      </c>
      <c r="V2309" s="22">
        <f t="shared" si="183"/>
        <v>0.68866401685985279</v>
      </c>
      <c r="X2309" s="33"/>
      <c r="Y2309" s="33"/>
    </row>
    <row r="2310" spans="1:25" x14ac:dyDescent="0.2">
      <c r="A2310" s="93" t="s">
        <v>1048</v>
      </c>
      <c r="B2310" s="94" t="str">
        <f>IFERROR(VLOOKUP($A2310,HeadJournal!$A$1:$NTR$890,COLUMN(HeadJournal!B$1),0),"")</f>
        <v>700000960684</v>
      </c>
      <c r="C2310" s="94" t="str">
        <f>IFERROR(VLOOKUP($A2310,HeadJournal!$A$1:$NTR$890,COLUMN(HeadJournal!C$1),0),"")</f>
        <v>iHerb_OA CZN6870</v>
      </c>
      <c r="D2310" s="125" t="str">
        <f>IFERROR(VLOOKUP($A2310,HeadJournal!$A$1:$NTR$890,COLUMN(HeadJournal!D$1),0),"")</f>
        <v>Доставлен</v>
      </c>
      <c r="E2310" s="95">
        <f>IFERROR(VLOOKUP($A2310,HeadJournal!$A$1:$NTR$890,COLUMN(HeadJournal!G$1),0),"")</f>
        <v>45215</v>
      </c>
      <c r="F2310" s="95" t="str">
        <f t="shared" si="184"/>
        <v>2023 10</v>
      </c>
      <c r="G2310" s="96" t="s">
        <v>5</v>
      </c>
      <c r="H2310" s="160" t="str">
        <f>RIGHT(Journal!$J2310,9)</f>
        <v>CEN-22390</v>
      </c>
      <c r="I2310" s="96" t="str">
        <f t="shared" si="181"/>
        <v>21st Century</v>
      </c>
      <c r="J2310" s="97" t="s">
        <v>1049</v>
      </c>
      <c r="K2310" s="29">
        <v>8.6999999999999993</v>
      </c>
      <c r="L2310" s="29">
        <v>-1.74</v>
      </c>
      <c r="M2310" s="30">
        <f>IFERROR(VLOOKUP($A2310,HeadJournal!$A$1:$J$890,COLUMN(HeadJournal!I$1),0)*($K2310+$L2310)/(SUMIF($A:$A,$A2310,$K:$K)+SUMIF($A:$A,$A2310,$L:$L)),0)</f>
        <v>-0.45977428210379528</v>
      </c>
      <c r="N2310" s="30">
        <f>IFERROR((VLOOKUP($A2310,HeadJournal!$A$1:$K$890,COLUMN(HeadJournal!K$1),0)-VLOOKUP($A2310,HeadJournal!$A$1:$K$890,COLUMN(HeadJournal!J$1),0))*($K2310+$L2310)/(SUMIF($A:$A,$A2310,$K:$K)+SUMIF($A:$A,$A2310,$L:$L)),0)</f>
        <v>0</v>
      </c>
      <c r="O2310" s="30">
        <f>IFERROR((VLOOKUP($A2310,HeadJournal!$A$1:$L$890,COLUMN(HeadJournal!L$1),0)*($K2310+$L2310)/(SUMIF($A:$A,$A2310,$K:$K)+SUMIF($A:$A,$A2310,$L:$L)))/VLOOKUP($A2310,HeadJournal!$A$1:$L$890,COLUMN(HeadJournal!H$1),0),0)</f>
        <v>0.33432365776741402</v>
      </c>
      <c r="P2310" s="30">
        <f>IFERROR(SUM(K2310:O2310)*VLOOKUP($A2310,HeadJournal!$A$1:$L$890,COLUMN(HeadJournal!H$1),0),0)</f>
        <v>764.14394701294168</v>
      </c>
      <c r="Q2310" s="29">
        <v>1700</v>
      </c>
      <c r="R2310" s="31">
        <v>45253</v>
      </c>
      <c r="S2310" s="31" t="s">
        <v>3121</v>
      </c>
      <c r="T2310" s="95" t="str">
        <f t="shared" si="185"/>
        <v>2023 11</v>
      </c>
      <c r="U2310" s="32">
        <f t="shared" si="182"/>
        <v>935.85605298705832</v>
      </c>
      <c r="V2310" s="22">
        <f t="shared" si="183"/>
        <v>1.2247117269532051</v>
      </c>
      <c r="X2310" s="33"/>
      <c r="Y2310" s="33"/>
    </row>
    <row r="2311" spans="1:25" x14ac:dyDescent="0.2">
      <c r="A2311" s="93" t="s">
        <v>1048</v>
      </c>
      <c r="B2311" s="94" t="str">
        <f>IFERROR(VLOOKUP($A2311,HeadJournal!$A$1:$NTR$890,COLUMN(HeadJournal!B$1),0),"")</f>
        <v>700000960684</v>
      </c>
      <c r="C2311" s="94" t="str">
        <f>IFERROR(VLOOKUP($A2311,HeadJournal!$A$1:$NTR$890,COLUMN(HeadJournal!C$1),0),"")</f>
        <v>iHerb_OA CZN6870</v>
      </c>
      <c r="D2311" s="125" t="str">
        <f>IFERROR(VLOOKUP($A2311,HeadJournal!$A$1:$NTR$890,COLUMN(HeadJournal!D$1),0),"")</f>
        <v>Доставлен</v>
      </c>
      <c r="E2311" s="95">
        <f>IFERROR(VLOOKUP($A2311,HeadJournal!$A$1:$NTR$890,COLUMN(HeadJournal!G$1),0),"")</f>
        <v>45215</v>
      </c>
      <c r="F2311" s="95" t="str">
        <f t="shared" si="184"/>
        <v>2023 10</v>
      </c>
      <c r="G2311" s="96" t="s">
        <v>7</v>
      </c>
      <c r="H2311" s="160" t="str">
        <f>RIGHT(Journal!$J2311,9)</f>
        <v>BOI-02156</v>
      </c>
      <c r="I2311" s="96" t="str">
        <f t="shared" si="181"/>
        <v>Boiron</v>
      </c>
      <c r="J2311" s="97" t="s">
        <v>1050</v>
      </c>
      <c r="K2311" s="29">
        <v>13.75</v>
      </c>
      <c r="L2311" s="29">
        <v>-2.06</v>
      </c>
      <c r="M2311" s="30">
        <f>IFERROR(VLOOKUP($A2311,HeadJournal!$A$1:$J$890,COLUMN(HeadJournal!I$1),0)*($K2311+$L2311)/(SUMIF($A:$A,$A2311,$K:$K)+SUMIF($A:$A,$A2311,$L:$L)),0)</f>
        <v>-0.77223582726916196</v>
      </c>
      <c r="N2311" s="30">
        <f>IFERROR((VLOOKUP($A2311,HeadJournal!$A$1:$K$890,COLUMN(HeadJournal!K$1),0)-VLOOKUP($A2311,HeadJournal!$A$1:$K$890,COLUMN(HeadJournal!J$1),0))*($K2311+$L2311)/(SUMIF($A:$A,$A2311,$K:$K)+SUMIF($A:$A,$A2311,$L:$L)),0)</f>
        <v>0</v>
      </c>
      <c r="O2311" s="30">
        <f>IFERROR((VLOOKUP($A2311,HeadJournal!$A$1:$L$890,COLUMN(HeadJournal!L$1),0)*($K2311+$L2311)/(SUMIF($A:$A,$A2311,$K:$K)+SUMIF($A:$A,$A2311,$L:$L)))/VLOOKUP($A2311,HeadJournal!$A$1:$L$890,COLUMN(HeadJournal!H$1),0),0)</f>
        <v>0.56152924702601581</v>
      </c>
      <c r="P2311" s="30">
        <f>IFERROR(SUM(K2311:O2311)*VLOOKUP($A2311,HeadJournal!$A$1:$L$890,COLUMN(HeadJournal!H$1),0),0)</f>
        <v>1283.4544167501851</v>
      </c>
      <c r="Q2311" s="29">
        <v>1800</v>
      </c>
      <c r="R2311" s="31">
        <v>45253</v>
      </c>
      <c r="S2311" s="31" t="s">
        <v>3121</v>
      </c>
      <c r="T2311" s="95" t="str">
        <f t="shared" si="185"/>
        <v>2023 11</v>
      </c>
      <c r="U2311" s="32">
        <f t="shared" si="182"/>
        <v>516.54558324981485</v>
      </c>
      <c r="V2311" s="22">
        <f t="shared" si="183"/>
        <v>0.40246507901523443</v>
      </c>
      <c r="X2311" s="33"/>
      <c r="Y2311" s="33"/>
    </row>
    <row r="2312" spans="1:25" x14ac:dyDescent="0.2">
      <c r="A2312" s="93" t="s">
        <v>1048</v>
      </c>
      <c r="B2312" s="94" t="str">
        <f>IFERROR(VLOOKUP($A2312,HeadJournal!$A$1:$NTR$890,COLUMN(HeadJournal!B$1),0),"")</f>
        <v>700000960684</v>
      </c>
      <c r="C2312" s="94" t="str">
        <f>IFERROR(VLOOKUP($A2312,HeadJournal!$A$1:$NTR$890,COLUMN(HeadJournal!C$1),0),"")</f>
        <v>iHerb_OA CZN6870</v>
      </c>
      <c r="D2312" s="125" t="str">
        <f>IFERROR(VLOOKUP($A2312,HeadJournal!$A$1:$NTR$890,COLUMN(HeadJournal!D$1),0),"")</f>
        <v>Доставлен</v>
      </c>
      <c r="E2312" s="95">
        <f>IFERROR(VLOOKUP($A2312,HeadJournal!$A$1:$NTR$890,COLUMN(HeadJournal!G$1),0),"")</f>
        <v>45215</v>
      </c>
      <c r="F2312" s="95" t="str">
        <f t="shared" si="184"/>
        <v>2023 10</v>
      </c>
      <c r="G2312" s="96" t="s">
        <v>5</v>
      </c>
      <c r="H2312" s="160" t="str">
        <f>RIGHT(Journal!$J2312,9)</f>
        <v>OAD-54589</v>
      </c>
      <c r="I2312" s="96" t="str">
        <f t="shared" si="181"/>
        <v>One-A-Day</v>
      </c>
      <c r="J2312" s="97" t="s">
        <v>454</v>
      </c>
      <c r="K2312" s="29">
        <v>18.489999999999998</v>
      </c>
      <c r="L2312" s="29">
        <v>-3.7</v>
      </c>
      <c r="M2312" s="30">
        <f>IFERROR(VLOOKUP($A2312,HeadJournal!$A$1:$J$890,COLUMN(HeadJournal!I$1),0)*($K2312+$L2312)/(SUMIF($A:$A,$A2312,$K:$K)+SUMIF($A:$A,$A2312,$L:$L)),0)</f>
        <v>-0.97702034947056515</v>
      </c>
      <c r="N2312" s="30">
        <f>IFERROR((VLOOKUP($A2312,HeadJournal!$A$1:$K$890,COLUMN(HeadJournal!K$1),0)-VLOOKUP($A2312,HeadJournal!$A$1:$K$890,COLUMN(HeadJournal!J$1),0))*($K2312+$L2312)/(SUMIF($A:$A,$A2312,$K:$K)+SUMIF($A:$A,$A2312,$L:$L)),0)</f>
        <v>0</v>
      </c>
      <c r="O2312" s="30">
        <f>IFERROR((VLOOKUP($A2312,HeadJournal!$A$1:$L$890,COLUMN(HeadJournal!L$1),0)*($K2312+$L2312)/(SUMIF($A:$A,$A2312,$K:$K)+SUMIF($A:$A,$A2312,$L:$L)))/VLOOKUP($A2312,HeadJournal!$A$1:$L$890,COLUMN(HeadJournal!H$1),0),0)</f>
        <v>0.71043777275575482</v>
      </c>
      <c r="P2312" s="30">
        <f>IFERROR(SUM(K2312:O2312)*VLOOKUP($A2312,HeadJournal!$A$1:$L$890,COLUMN(HeadJournal!H$1),0),0)</f>
        <v>1623.805887402501</v>
      </c>
      <c r="Q2312" s="29">
        <v>2300</v>
      </c>
      <c r="R2312" s="31">
        <v>45267</v>
      </c>
      <c r="S2312" s="31" t="s">
        <v>3121</v>
      </c>
      <c r="T2312" s="95" t="str">
        <f t="shared" si="185"/>
        <v>2023 12</v>
      </c>
      <c r="U2312" s="32">
        <f t="shared" si="182"/>
        <v>676.19411259749904</v>
      </c>
      <c r="V2312" s="22">
        <f t="shared" si="183"/>
        <v>0.41642545937505115</v>
      </c>
      <c r="X2312" s="33"/>
      <c r="Y2312" s="33"/>
    </row>
    <row r="2313" spans="1:25" x14ac:dyDescent="0.2">
      <c r="A2313" s="93" t="s">
        <v>1048</v>
      </c>
      <c r="B2313" s="94" t="str">
        <f>IFERROR(VLOOKUP($A2313,HeadJournal!$A$1:$NTR$890,COLUMN(HeadJournal!B$1),0),"")</f>
        <v>700000960684</v>
      </c>
      <c r="C2313" s="94" t="str">
        <f>IFERROR(VLOOKUP($A2313,HeadJournal!$A$1:$NTR$890,COLUMN(HeadJournal!C$1),0),"")</f>
        <v>iHerb_OA CZN6870</v>
      </c>
      <c r="D2313" s="125" t="str">
        <f>IFERROR(VLOOKUP($A2313,HeadJournal!$A$1:$NTR$890,COLUMN(HeadJournal!D$1),0),"")</f>
        <v>Доставлен</v>
      </c>
      <c r="E2313" s="95">
        <f>IFERROR(VLOOKUP($A2313,HeadJournal!$A$1:$NTR$890,COLUMN(HeadJournal!G$1),0),"")</f>
        <v>45215</v>
      </c>
      <c r="F2313" s="95" t="str">
        <f t="shared" si="184"/>
        <v>2023 10</v>
      </c>
      <c r="G2313" s="96" t="s">
        <v>5</v>
      </c>
      <c r="H2313" s="160" t="str">
        <f>RIGHT(Journal!$J2313,9)</f>
        <v>FBS-00047</v>
      </c>
      <c r="I2313" s="96" t="str">
        <f t="shared" si="181"/>
        <v>Futurebiotics</v>
      </c>
      <c r="J2313" s="97" t="s">
        <v>1051</v>
      </c>
      <c r="K2313" s="29">
        <v>16.600000000000001</v>
      </c>
      <c r="L2313" s="29">
        <v>-3.32</v>
      </c>
      <c r="M2313" s="30">
        <f>IFERROR(VLOOKUP($A2313,HeadJournal!$A$1:$J$890,COLUMN(HeadJournal!I$1),0)*($K2313+$L2313)/(SUMIF($A:$A,$A2313,$K:$K)+SUMIF($A:$A,$A2313,$L:$L)),0)</f>
        <v>-0.87727046930149466</v>
      </c>
      <c r="N2313" s="30">
        <f>IFERROR((VLOOKUP($A2313,HeadJournal!$A$1:$K$890,COLUMN(HeadJournal!K$1),0)-VLOOKUP($A2313,HeadJournal!$A$1:$K$890,COLUMN(HeadJournal!J$1),0))*($K2313+$L2313)/(SUMIF($A:$A,$A2313,$K:$K)+SUMIF($A:$A,$A2313,$L:$L)),0)</f>
        <v>0</v>
      </c>
      <c r="O2313" s="30">
        <f>IFERROR((VLOOKUP($A2313,HeadJournal!$A$1:$L$890,COLUMN(HeadJournal!L$1),0)*($K2313+$L2313)/(SUMIF($A:$A,$A2313,$K:$K)+SUMIF($A:$A,$A2313,$L:$L)))/VLOOKUP($A2313,HeadJournal!$A$1:$L$890,COLUMN(HeadJournal!H$1),0),0)</f>
        <v>0.63790491022288209</v>
      </c>
      <c r="P2313" s="30">
        <f>IFERROR(SUM(K2313:O2313)*VLOOKUP($A2313,HeadJournal!$A$1:$L$890,COLUMN(HeadJournal!H$1),0),0)</f>
        <v>1458.0217839557279</v>
      </c>
      <c r="Q2313" s="29">
        <v>2400</v>
      </c>
      <c r="R2313" s="31">
        <v>45377</v>
      </c>
      <c r="S2313" s="31" t="s">
        <v>3121</v>
      </c>
      <c r="T2313" s="95" t="str">
        <f t="shared" si="185"/>
        <v>2024 03</v>
      </c>
      <c r="U2313" s="32">
        <f t="shared" si="182"/>
        <v>941.97821604427213</v>
      </c>
      <c r="V2313" s="22">
        <f t="shared" si="183"/>
        <v>0.64606594113334237</v>
      </c>
      <c r="X2313" s="33"/>
      <c r="Y2313" s="33"/>
    </row>
    <row r="2314" spans="1:25" x14ac:dyDescent="0.2">
      <c r="A2314" s="93" t="s">
        <v>1048</v>
      </c>
      <c r="B2314" s="94" t="str">
        <f>IFERROR(VLOOKUP($A2314,HeadJournal!$A$1:$NTR$890,COLUMN(HeadJournal!B$1),0),"")</f>
        <v>700000960684</v>
      </c>
      <c r="C2314" s="94" t="str">
        <f>IFERROR(VLOOKUP($A2314,HeadJournal!$A$1:$NTR$890,COLUMN(HeadJournal!C$1),0),"")</f>
        <v>iHerb_OA CZN6870</v>
      </c>
      <c r="D2314" s="125" t="str">
        <f>IFERROR(VLOOKUP($A2314,HeadJournal!$A$1:$NTR$890,COLUMN(HeadJournal!D$1),0),"")</f>
        <v>Доставлен</v>
      </c>
      <c r="E2314" s="95">
        <f>IFERROR(VLOOKUP($A2314,HeadJournal!$A$1:$NTR$890,COLUMN(HeadJournal!G$1),0),"")</f>
        <v>45215</v>
      </c>
      <c r="F2314" s="95" t="str">
        <f t="shared" si="184"/>
        <v>2023 10</v>
      </c>
      <c r="G2314" s="96" t="s">
        <v>5</v>
      </c>
      <c r="H2314" s="161" t="s">
        <v>2049</v>
      </c>
      <c r="I2314" s="97" t="s">
        <v>2048</v>
      </c>
      <c r="J2314" s="97" t="s">
        <v>2050</v>
      </c>
      <c r="K2314" s="29">
        <v>10.38</v>
      </c>
      <c r="L2314" s="29">
        <v>-3.1150000000000002</v>
      </c>
      <c r="M2314" s="30">
        <f>IFERROR(VLOOKUP($A2314,HeadJournal!$A$1:$J$890,COLUMN(HeadJournal!I$1),0)*($K2314+$L2314)/(SUMIF($A:$A,$A2314,$K:$K)+SUMIF($A:$A,$A2314,$L:$L)),0)</f>
        <v>-0.47992243670748186</v>
      </c>
      <c r="N2314" s="30">
        <f>IFERROR((VLOOKUP($A2314,HeadJournal!$A$1:$K$890,COLUMN(HeadJournal!K$1),0)-VLOOKUP($A2314,HeadJournal!$A$1:$K$890,COLUMN(HeadJournal!J$1),0))*($K2314+$L2314)/(SUMIF($A:$A,$A2314,$K:$K)+SUMIF($A:$A,$A2314,$L:$L)),0)</f>
        <v>0</v>
      </c>
      <c r="O2314" s="30">
        <f>IFERROR((VLOOKUP($A2314,HeadJournal!$A$1:$L$890,COLUMN(HeadJournal!L$1),0)*($K2314+$L2314)/(SUMIF($A:$A,$A2314,$K:$K)+SUMIF($A:$A,$A2314,$L:$L)))/VLOOKUP($A2314,HeadJournal!$A$1:$L$890,COLUMN(HeadJournal!H$1),0),0)</f>
        <v>0.34897433529888838</v>
      </c>
      <c r="P2314" s="30">
        <f>IFERROR(SUM(K2314:O2314)*VLOOKUP($A2314,HeadJournal!$A$1:$L$890,COLUMN(HeadJournal!H$1),0),0)</f>
        <v>797.63014009325025</v>
      </c>
      <c r="Q2314" s="29">
        <v>1600</v>
      </c>
      <c r="R2314" s="31">
        <v>45259</v>
      </c>
      <c r="S2314" s="31" t="s">
        <v>3121</v>
      </c>
      <c r="T2314" s="95" t="str">
        <f t="shared" si="185"/>
        <v>2023 11</v>
      </c>
      <c r="U2314" s="32">
        <f t="shared" si="182"/>
        <v>802.36985990674975</v>
      </c>
      <c r="V2314" s="22">
        <f t="shared" si="183"/>
        <v>1.0059422526497623</v>
      </c>
      <c r="X2314" s="33"/>
      <c r="Y2314" s="33"/>
    </row>
    <row r="2315" spans="1:25" x14ac:dyDescent="0.2">
      <c r="A2315" s="93" t="s">
        <v>1048</v>
      </c>
      <c r="B2315" s="94" t="str">
        <f>IFERROR(VLOOKUP($A2315,HeadJournal!$A$1:$NTR$890,COLUMN(HeadJournal!B$1),0),"")</f>
        <v>700000960684</v>
      </c>
      <c r="C2315" s="94" t="str">
        <f>IFERROR(VLOOKUP($A2315,HeadJournal!$A$1:$NTR$890,COLUMN(HeadJournal!C$1),0),"")</f>
        <v>iHerb_OA CZN6870</v>
      </c>
      <c r="D2315" s="125" t="str">
        <f>IFERROR(VLOOKUP($A2315,HeadJournal!$A$1:$NTR$890,COLUMN(HeadJournal!D$1),0),"")</f>
        <v>Доставлен</v>
      </c>
      <c r="E2315" s="95">
        <f>IFERROR(VLOOKUP($A2315,HeadJournal!$A$1:$NTR$890,COLUMN(HeadJournal!G$1),0),"")</f>
        <v>45215</v>
      </c>
      <c r="F2315" s="95" t="str">
        <f t="shared" si="184"/>
        <v>2023 10</v>
      </c>
      <c r="G2315" s="96" t="s">
        <v>5</v>
      </c>
      <c r="H2315" s="161" t="s">
        <v>2049</v>
      </c>
      <c r="I2315" s="97" t="s">
        <v>2048</v>
      </c>
      <c r="J2315" s="97" t="s">
        <v>2050</v>
      </c>
      <c r="K2315" s="29">
        <v>10.38</v>
      </c>
      <c r="L2315" s="29">
        <v>-3.1150000000000002</v>
      </c>
      <c r="M2315" s="30">
        <f>IFERROR(VLOOKUP($A2315,HeadJournal!$A$1:$J$890,COLUMN(HeadJournal!I$1),0)*($K2315+$L2315)/(SUMIF($A:$A,$A2315,$K:$K)+SUMIF($A:$A,$A2315,$L:$L)),0)</f>
        <v>-0.47992243670748186</v>
      </c>
      <c r="N2315" s="30">
        <f>IFERROR((VLOOKUP($A2315,HeadJournal!$A$1:$K$890,COLUMN(HeadJournal!K$1),0)-VLOOKUP($A2315,HeadJournal!$A$1:$K$890,COLUMN(HeadJournal!J$1),0))*($K2315+$L2315)/(SUMIF($A:$A,$A2315,$K:$K)+SUMIF($A:$A,$A2315,$L:$L)),0)</f>
        <v>0</v>
      </c>
      <c r="O2315" s="30">
        <f>IFERROR((VLOOKUP($A2315,HeadJournal!$A$1:$L$890,COLUMN(HeadJournal!L$1),0)*($K2315+$L2315)/(SUMIF($A:$A,$A2315,$K:$K)+SUMIF($A:$A,$A2315,$L:$L)))/VLOOKUP($A2315,HeadJournal!$A$1:$L$890,COLUMN(HeadJournal!H$1),0),0)</f>
        <v>0.34897433529888838</v>
      </c>
      <c r="P2315" s="30">
        <f>IFERROR(SUM(K2315:O2315)*VLOOKUP($A2315,HeadJournal!$A$1:$L$890,COLUMN(HeadJournal!H$1),0),0)</f>
        <v>797.63014009325025</v>
      </c>
      <c r="Q2315" s="29">
        <v>1600</v>
      </c>
      <c r="R2315" s="31">
        <v>45269</v>
      </c>
      <c r="S2315" s="31" t="s">
        <v>3121</v>
      </c>
      <c r="T2315" s="95" t="str">
        <f t="shared" si="185"/>
        <v>2023 12</v>
      </c>
      <c r="U2315" s="32">
        <f t="shared" si="182"/>
        <v>802.36985990674975</v>
      </c>
      <c r="V2315" s="22">
        <f t="shared" si="183"/>
        <v>1.0059422526497623</v>
      </c>
      <c r="X2315" s="33"/>
      <c r="Y2315" s="33"/>
    </row>
    <row r="2316" spans="1:25" x14ac:dyDescent="0.2">
      <c r="A2316" s="93" t="s">
        <v>1048</v>
      </c>
      <c r="B2316" s="94" t="str">
        <f>IFERROR(VLOOKUP($A2316,HeadJournal!$A$1:$NTR$890,COLUMN(HeadJournal!B$1),0),"")</f>
        <v>700000960684</v>
      </c>
      <c r="C2316" s="94" t="str">
        <f>IFERROR(VLOOKUP($A2316,HeadJournal!$A$1:$NTR$890,COLUMN(HeadJournal!C$1),0),"")</f>
        <v>iHerb_OA CZN6870</v>
      </c>
      <c r="D2316" s="125" t="str">
        <f>IFERROR(VLOOKUP($A2316,HeadJournal!$A$1:$NTR$890,COLUMN(HeadJournal!D$1),0),"")</f>
        <v>Доставлен</v>
      </c>
      <c r="E2316" s="95">
        <f>IFERROR(VLOOKUP($A2316,HeadJournal!$A$1:$NTR$890,COLUMN(HeadJournal!G$1),0),"")</f>
        <v>45215</v>
      </c>
      <c r="F2316" s="95" t="str">
        <f t="shared" si="184"/>
        <v>2023 10</v>
      </c>
      <c r="G2316" s="96" t="s">
        <v>5</v>
      </c>
      <c r="H2316" s="161" t="s">
        <v>2430</v>
      </c>
      <c r="I2316" s="97" t="s">
        <v>2221</v>
      </c>
      <c r="J2316" s="97" t="s">
        <v>4197</v>
      </c>
      <c r="K2316" s="29">
        <v>7.64</v>
      </c>
      <c r="L2316" s="29">
        <v>-1.53</v>
      </c>
      <c r="M2316" s="30">
        <f>IFERROR(VLOOKUP($A2316,HeadJournal!$A$1:$J$890,COLUMN(HeadJournal!I$1),0)*($K2316+$L2316)/(SUMIF($A:$A,$A2316,$K:$K)+SUMIF($A:$A,$A2316,$L:$L)),0)</f>
        <v>-0.40362368730663639</v>
      </c>
      <c r="N2316" s="30">
        <f>IFERROR((VLOOKUP($A2316,HeadJournal!$A$1:$K$890,COLUMN(HeadJournal!K$1),0)-VLOOKUP($A2316,HeadJournal!$A$1:$K$890,COLUMN(HeadJournal!J$1),0))*($K2316+$L2316)/(SUMIF($A:$A,$A2316,$K:$K)+SUMIF($A:$A,$A2316,$L:$L)),0)</f>
        <v>0</v>
      </c>
      <c r="O2316" s="30">
        <f>IFERROR((VLOOKUP($A2316,HeadJournal!$A$1:$L$890,COLUMN(HeadJournal!L$1),0)*($K2316+$L2316)/(SUMIF($A:$A,$A2316,$K:$K)+SUMIF($A:$A,$A2316,$L:$L)))/VLOOKUP($A2316,HeadJournal!$A$1:$L$890,COLUMN(HeadJournal!H$1),0),0)</f>
        <v>0.29349390071248554</v>
      </c>
      <c r="P2316" s="30">
        <f>IFERROR(SUM(K2316:O2316)*VLOOKUP($A2316,HeadJournal!$A$1:$L$890,COLUMN(HeadJournal!H$1),0),0)</f>
        <v>670.82176957601632</v>
      </c>
      <c r="Q2316" s="29">
        <v>1500</v>
      </c>
      <c r="R2316" s="31">
        <v>45264</v>
      </c>
      <c r="S2316" s="31" t="s">
        <v>3121</v>
      </c>
      <c r="T2316" s="95" t="str">
        <f t="shared" si="185"/>
        <v>2023 12</v>
      </c>
      <c r="U2316" s="32">
        <f t="shared" si="182"/>
        <v>829.17823042398368</v>
      </c>
      <c r="V2316" s="22">
        <f t="shared" si="183"/>
        <v>1.2360633897556044</v>
      </c>
      <c r="X2316" s="33"/>
      <c r="Y2316" s="33"/>
    </row>
    <row r="2317" spans="1:25" x14ac:dyDescent="0.2">
      <c r="A2317" s="93" t="s">
        <v>1048</v>
      </c>
      <c r="B2317" s="94" t="str">
        <f>IFERROR(VLOOKUP($A2317,HeadJournal!$A$1:$NTR$890,COLUMN(HeadJournal!B$1),0),"")</f>
        <v>700000960684</v>
      </c>
      <c r="C2317" s="94" t="str">
        <f>IFERROR(VLOOKUP($A2317,HeadJournal!$A$1:$NTR$890,COLUMN(HeadJournal!C$1),0),"")</f>
        <v>iHerb_OA CZN6870</v>
      </c>
      <c r="D2317" s="125" t="str">
        <f>IFERROR(VLOOKUP($A2317,HeadJournal!$A$1:$NTR$890,COLUMN(HeadJournal!D$1),0),"")</f>
        <v>Доставлен</v>
      </c>
      <c r="E2317" s="95">
        <f>IFERROR(VLOOKUP($A2317,HeadJournal!$A$1:$NTR$890,COLUMN(HeadJournal!G$1),0),"")</f>
        <v>45215</v>
      </c>
      <c r="F2317" s="95" t="str">
        <f t="shared" si="184"/>
        <v>2023 10</v>
      </c>
      <c r="G2317" s="96" t="s">
        <v>5</v>
      </c>
      <c r="H2317" s="161" t="s">
        <v>2431</v>
      </c>
      <c r="I2317" s="97" t="s">
        <v>2221</v>
      </c>
      <c r="J2317" s="97" t="s">
        <v>4196</v>
      </c>
      <c r="K2317" s="29">
        <v>13.35</v>
      </c>
      <c r="L2317" s="29">
        <v>-2.67</v>
      </c>
      <c r="M2317" s="30">
        <f>IFERROR(VLOOKUP($A2317,HeadJournal!$A$1:$J$890,COLUMN(HeadJournal!I$1),0)*($K2317+$L2317)/(SUMIF($A:$A,$A2317,$K:$K)+SUMIF($A:$A,$A2317,$L:$L)),0)</f>
        <v>-0.70551570874547898</v>
      </c>
      <c r="N2317" s="30">
        <f>IFERROR((VLOOKUP($A2317,HeadJournal!$A$1:$K$890,COLUMN(HeadJournal!K$1),0)-VLOOKUP($A2317,HeadJournal!$A$1:$K$890,COLUMN(HeadJournal!J$1),0))*($K2317+$L2317)/(SUMIF($A:$A,$A2317,$K:$K)+SUMIF($A:$A,$A2317,$L:$L)),0)</f>
        <v>0</v>
      </c>
      <c r="O2317" s="30">
        <f>IFERROR((VLOOKUP($A2317,HeadJournal!$A$1:$L$890,COLUMN(HeadJournal!L$1),0)*($K2317+$L2317)/(SUMIF($A:$A,$A2317,$K:$K)+SUMIF($A:$A,$A2317,$L:$L)))/VLOOKUP($A2317,HeadJournal!$A$1:$L$890,COLUMN(HeadJournal!H$1),0),0)</f>
        <v>0.51301388864310093</v>
      </c>
      <c r="P2317" s="30">
        <f>IFERROR(SUM(K2317:O2317)*VLOOKUP($A2317,HeadJournal!$A$1:$L$890,COLUMN(HeadJournal!H$1),0),0)</f>
        <v>1172.565711795721</v>
      </c>
      <c r="Q2317" s="29">
        <v>2100</v>
      </c>
      <c r="R2317" s="31">
        <v>45282</v>
      </c>
      <c r="S2317" s="31" t="s">
        <v>3121</v>
      </c>
      <c r="T2317" s="95" t="str">
        <f t="shared" si="185"/>
        <v>2023 12</v>
      </c>
      <c r="U2317" s="32">
        <f t="shared" si="182"/>
        <v>927.43428820427903</v>
      </c>
      <c r="V2317" s="22">
        <f t="shared" si="183"/>
        <v>0.79094440411698852</v>
      </c>
      <c r="X2317" s="33"/>
      <c r="Y2317" s="33"/>
    </row>
    <row r="2318" spans="1:25" x14ac:dyDescent="0.2">
      <c r="A2318" s="93" t="s">
        <v>1048</v>
      </c>
      <c r="B2318" s="94" t="str">
        <f>IFERROR(VLOOKUP($A2318,HeadJournal!$A$1:$NTR$890,COLUMN(HeadJournal!B$1),0),"")</f>
        <v>700000960684</v>
      </c>
      <c r="C2318" s="94" t="str">
        <f>IFERROR(VLOOKUP($A2318,HeadJournal!$A$1:$NTR$890,COLUMN(HeadJournal!C$1),0),"")</f>
        <v>iHerb_OA CZN6870</v>
      </c>
      <c r="D2318" s="125" t="str">
        <f>IFERROR(VLOOKUP($A2318,HeadJournal!$A$1:$NTR$890,COLUMN(HeadJournal!D$1),0),"")</f>
        <v>Доставлен</v>
      </c>
      <c r="E2318" s="95">
        <f>IFERROR(VLOOKUP($A2318,HeadJournal!$A$1:$NTR$890,COLUMN(HeadJournal!G$1),0),"")</f>
        <v>45215</v>
      </c>
      <c r="F2318" s="95" t="str">
        <f t="shared" si="184"/>
        <v>2023 10</v>
      </c>
      <c r="G2318" s="96" t="s">
        <v>5</v>
      </c>
      <c r="H2318" s="175" t="s">
        <v>3642</v>
      </c>
      <c r="I2318" s="176" t="s">
        <v>2681</v>
      </c>
      <c r="J2318" s="97" t="s">
        <v>3691</v>
      </c>
      <c r="K2318" s="29">
        <v>16.61</v>
      </c>
      <c r="L2318" s="29">
        <v>-2.4900000000000002</v>
      </c>
      <c r="M2318" s="30">
        <f>IFERROR(VLOOKUP($A2318,HeadJournal!$A$1:$J$890,COLUMN(HeadJournal!I$1),0)*($K2318+$L2318)/(SUMIF($A:$A,$A2318,$K:$K)+SUMIF($A:$A,$A2318,$L:$L)),0)</f>
        <v>-0.93276046886574582</v>
      </c>
      <c r="N2318" s="30">
        <f>IFERROR((VLOOKUP($A2318,HeadJournal!$A$1:$K$890,COLUMN(HeadJournal!K$1),0)-VLOOKUP($A2318,HeadJournal!$A$1:$K$890,COLUMN(HeadJournal!J$1),0))*($K2318+$L2318)/(SUMIF($A:$A,$A2318,$K:$K)+SUMIF($A:$A,$A2318,$L:$L)),0)</f>
        <v>0</v>
      </c>
      <c r="O2318" s="30">
        <f>IFERROR((VLOOKUP($A2318,HeadJournal!$A$1:$L$890,COLUMN(HeadJournal!L$1),0)*($K2318+$L2318)/(SUMIF($A:$A,$A2318,$K:$K)+SUMIF($A:$A,$A2318,$L:$L)))/VLOOKUP($A2318,HeadJournal!$A$1:$L$890,COLUMN(HeadJournal!H$1),0),0)</f>
        <v>0.67825431719481111</v>
      </c>
      <c r="P2318" s="30">
        <f>IFERROR(SUM(K2318:O2318)*VLOOKUP($A2318,HeadJournal!$A$1:$L$890,COLUMN(HeadJournal!H$1),0),0)</f>
        <v>1550.2460534228069</v>
      </c>
      <c r="Q2318" s="29">
        <v>2300</v>
      </c>
      <c r="R2318" s="31">
        <v>45414</v>
      </c>
      <c r="S2318" s="31" t="s">
        <v>3121</v>
      </c>
      <c r="T2318" s="95" t="str">
        <f t="shared" si="185"/>
        <v>2024 05</v>
      </c>
      <c r="U2318" s="32">
        <f t="shared" si="182"/>
        <v>749.75394657719312</v>
      </c>
      <c r="V2318" s="22">
        <f t="shared" si="183"/>
        <v>0.48363544930290414</v>
      </c>
      <c r="X2318" s="33"/>
      <c r="Y2318" s="33"/>
    </row>
    <row r="2319" spans="1:25" x14ac:dyDescent="0.2">
      <c r="A2319" s="93" t="s">
        <v>1048</v>
      </c>
      <c r="B2319" s="94" t="str">
        <f>IFERROR(VLOOKUP($A2319,HeadJournal!$A$1:$NTR$890,COLUMN(HeadJournal!B$1),0),"")</f>
        <v>700000960684</v>
      </c>
      <c r="C2319" s="94" t="str">
        <f>IFERROR(VLOOKUP($A2319,HeadJournal!$A$1:$NTR$890,COLUMN(HeadJournal!C$1),0),"")</f>
        <v>iHerb_OA CZN6870</v>
      </c>
      <c r="D2319" s="125" t="str">
        <f>IFERROR(VLOOKUP($A2319,HeadJournal!$A$1:$NTR$890,COLUMN(HeadJournal!D$1),0),"")</f>
        <v>Доставлен</v>
      </c>
      <c r="E2319" s="95">
        <f>IFERROR(VLOOKUP($A2319,HeadJournal!$A$1:$NTR$890,COLUMN(HeadJournal!G$1),0),"")</f>
        <v>45215</v>
      </c>
      <c r="F2319" s="95" t="str">
        <f t="shared" si="184"/>
        <v>2023 10</v>
      </c>
      <c r="G2319" s="96" t="s">
        <v>5</v>
      </c>
      <c r="H2319" s="161" t="s">
        <v>2755</v>
      </c>
      <c r="I2319" s="97" t="s">
        <v>2005</v>
      </c>
      <c r="J2319" s="97" t="s">
        <v>2756</v>
      </c>
      <c r="K2319" s="29">
        <v>17.43</v>
      </c>
      <c r="L2319" s="29">
        <v>-2.6150000000000002</v>
      </c>
      <c r="M2319" s="30">
        <f>IFERROR(VLOOKUP($A2319,HeadJournal!$A$1:$J$890,COLUMN(HeadJournal!I$1),0)*($K2319+$L2319)/(SUMIF($A:$A,$A2319,$K:$K)+SUMIF($A:$A,$A2319,$L:$L)),0)</f>
        <v>-0.97867183755283449</v>
      </c>
      <c r="N2319" s="30">
        <f>IFERROR((VLOOKUP($A2319,HeadJournal!$A$1:$K$890,COLUMN(HeadJournal!K$1),0)-VLOOKUP($A2319,HeadJournal!$A$1:$K$890,COLUMN(HeadJournal!J$1),0))*($K2319+$L2319)/(SUMIF($A:$A,$A2319,$K:$K)+SUMIF($A:$A,$A2319,$L:$L)),0)</f>
        <v>0</v>
      </c>
      <c r="O2319" s="30">
        <f>IFERROR((VLOOKUP($A2319,HeadJournal!$A$1:$L$890,COLUMN(HeadJournal!L$1),0)*($K2319+$L2319)/(SUMIF($A:$A,$A2319,$K:$K)+SUMIF($A:$A,$A2319,$L:$L)))/VLOOKUP($A2319,HeadJournal!$A$1:$L$890,COLUMN(HeadJournal!H$1),0),0)</f>
        <v>0.71163864796325282</v>
      </c>
      <c r="P2319" s="30">
        <f>IFERROR(SUM(K2319:O2319)*VLOOKUP($A2319,HeadJournal!$A$1:$L$890,COLUMN(HeadJournal!H$1),0),0)</f>
        <v>1626.5506573271166</v>
      </c>
      <c r="Q2319" s="29">
        <v>2600</v>
      </c>
      <c r="R2319" s="31">
        <v>45253</v>
      </c>
      <c r="S2319" s="31" t="s">
        <v>3121</v>
      </c>
      <c r="T2319" s="95" t="str">
        <f t="shared" si="185"/>
        <v>2023 11</v>
      </c>
      <c r="U2319" s="32">
        <f t="shared" si="182"/>
        <v>973.4493426728834</v>
      </c>
      <c r="V2319" s="22">
        <f t="shared" si="183"/>
        <v>0.59847465450140758</v>
      </c>
      <c r="X2319" s="33"/>
      <c r="Y2319" s="33"/>
    </row>
    <row r="2320" spans="1:25" x14ac:dyDescent="0.2">
      <c r="A2320" s="93" t="s">
        <v>1048</v>
      </c>
      <c r="B2320" s="94" t="str">
        <f>IFERROR(VLOOKUP($A2320,HeadJournal!$A$1:$NTR$890,COLUMN(HeadJournal!B$1),0),"")</f>
        <v>700000960684</v>
      </c>
      <c r="C2320" s="94" t="str">
        <f>IFERROR(VLOOKUP($A2320,HeadJournal!$A$1:$NTR$890,COLUMN(HeadJournal!C$1),0),"")</f>
        <v>iHerb_OA CZN6870</v>
      </c>
      <c r="D2320" s="125" t="str">
        <f>IFERROR(VLOOKUP($A2320,HeadJournal!$A$1:$NTR$890,COLUMN(HeadJournal!D$1),0),"")</f>
        <v>Доставлен</v>
      </c>
      <c r="E2320" s="95">
        <f>IFERROR(VLOOKUP($A2320,HeadJournal!$A$1:$NTR$890,COLUMN(HeadJournal!G$1),0),"")</f>
        <v>45215</v>
      </c>
      <c r="F2320" s="95" t="str">
        <f t="shared" si="184"/>
        <v>2023 10</v>
      </c>
      <c r="G2320" s="96" t="s">
        <v>5</v>
      </c>
      <c r="H2320" s="161" t="s">
        <v>2755</v>
      </c>
      <c r="I2320" s="97" t="s">
        <v>2005</v>
      </c>
      <c r="J2320" s="97" t="s">
        <v>2756</v>
      </c>
      <c r="K2320" s="29">
        <v>17.43</v>
      </c>
      <c r="L2320" s="29">
        <v>-2.6150000000000002</v>
      </c>
      <c r="M2320" s="30">
        <f>IFERROR(VLOOKUP($A2320,HeadJournal!$A$1:$J$890,COLUMN(HeadJournal!I$1),0)*($K2320+$L2320)/(SUMIF($A:$A,$A2320,$K:$K)+SUMIF($A:$A,$A2320,$L:$L)),0)</f>
        <v>-0.97867183755283449</v>
      </c>
      <c r="N2320" s="30">
        <f>IFERROR((VLOOKUP($A2320,HeadJournal!$A$1:$K$890,COLUMN(HeadJournal!K$1),0)-VLOOKUP($A2320,HeadJournal!$A$1:$K$890,COLUMN(HeadJournal!J$1),0))*($K2320+$L2320)/(SUMIF($A:$A,$A2320,$K:$K)+SUMIF($A:$A,$A2320,$L:$L)),0)</f>
        <v>0</v>
      </c>
      <c r="O2320" s="30">
        <f>IFERROR((VLOOKUP($A2320,HeadJournal!$A$1:$L$890,COLUMN(HeadJournal!L$1),0)*($K2320+$L2320)/(SUMIF($A:$A,$A2320,$K:$K)+SUMIF($A:$A,$A2320,$L:$L)))/VLOOKUP($A2320,HeadJournal!$A$1:$L$890,COLUMN(HeadJournal!H$1),0),0)</f>
        <v>0.71163864796325282</v>
      </c>
      <c r="P2320" s="30">
        <f>IFERROR(SUM(K2320:O2320)*VLOOKUP($A2320,HeadJournal!$A$1:$L$890,COLUMN(HeadJournal!H$1),0),0)</f>
        <v>1626.5506573271166</v>
      </c>
      <c r="Q2320" s="29">
        <v>2600</v>
      </c>
      <c r="R2320" s="31">
        <v>45273</v>
      </c>
      <c r="S2320" s="31" t="s">
        <v>3121</v>
      </c>
      <c r="T2320" s="95" t="str">
        <f t="shared" si="185"/>
        <v>2023 12</v>
      </c>
      <c r="U2320" s="32">
        <f t="shared" si="182"/>
        <v>973.4493426728834</v>
      </c>
      <c r="V2320" s="22">
        <f t="shared" si="183"/>
        <v>0.59847465450140758</v>
      </c>
      <c r="X2320" s="33"/>
      <c r="Y2320" s="33"/>
    </row>
    <row r="2321" spans="1:25" x14ac:dyDescent="0.2">
      <c r="A2321" s="93" t="s">
        <v>1048</v>
      </c>
      <c r="B2321" s="94" t="str">
        <f>IFERROR(VLOOKUP($A2321,HeadJournal!$A$1:$NTR$890,COLUMN(HeadJournal!B$1),0),"")</f>
        <v>700000960684</v>
      </c>
      <c r="C2321" s="94" t="str">
        <f>IFERROR(VLOOKUP($A2321,HeadJournal!$A$1:$NTR$890,COLUMN(HeadJournal!C$1),0),"")</f>
        <v>iHerb_OA CZN6870</v>
      </c>
      <c r="D2321" s="125" t="str">
        <f>IFERROR(VLOOKUP($A2321,HeadJournal!$A$1:$NTR$890,COLUMN(HeadJournal!D$1),0),"")</f>
        <v>Доставлен</v>
      </c>
      <c r="E2321" s="95">
        <f>IFERROR(VLOOKUP($A2321,HeadJournal!$A$1:$NTR$890,COLUMN(HeadJournal!G$1),0),"")</f>
        <v>45215</v>
      </c>
      <c r="F2321" s="95" t="str">
        <f t="shared" si="184"/>
        <v>2023 10</v>
      </c>
      <c r="G2321" s="96" t="s">
        <v>5</v>
      </c>
      <c r="H2321" s="175" t="s">
        <v>3632</v>
      </c>
      <c r="I2321" s="176" t="s">
        <v>2008</v>
      </c>
      <c r="J2321" s="97" t="s">
        <v>3675</v>
      </c>
      <c r="K2321" s="29">
        <v>12.84</v>
      </c>
      <c r="L2321" s="29">
        <v>-1.925</v>
      </c>
      <c r="M2321" s="30">
        <f>IFERROR(VLOOKUP($A2321,HeadJournal!$A$1:$J$890,COLUMN(HeadJournal!I$1),0)*($K2321+$L2321)/(SUMIF($A:$A,$A2321,$K:$K)+SUMIF($A:$A,$A2321,$L:$L)),0)</f>
        <v>-0.72103969671881118</v>
      </c>
      <c r="N2321" s="30">
        <f>IFERROR((VLOOKUP($A2321,HeadJournal!$A$1:$K$890,COLUMN(HeadJournal!K$1),0)-VLOOKUP($A2321,HeadJournal!$A$1:$K$890,COLUMN(HeadJournal!J$1),0))*($K2321+$L2321)/(SUMIF($A:$A,$A2321,$K:$K)+SUMIF($A:$A,$A2321,$L:$L)),0)</f>
        <v>0</v>
      </c>
      <c r="O2321" s="30">
        <f>IFERROR((VLOOKUP($A2321,HeadJournal!$A$1:$L$890,COLUMN(HeadJournal!L$1),0)*($K2321+$L2321)/(SUMIF($A:$A,$A2321,$K:$K)+SUMIF($A:$A,$A2321,$L:$L)))/VLOOKUP($A2321,HeadJournal!$A$1:$L$890,COLUMN(HeadJournal!H$1),0),0)</f>
        <v>0.52430211559358109</v>
      </c>
      <c r="P2321" s="30">
        <f>IFERROR(SUM(K2321:O2321)*VLOOKUP($A2321,HeadJournal!$A$1:$L$890,COLUMN(HeadJournal!H$1),0),0)</f>
        <v>1198.366549087106</v>
      </c>
      <c r="Q2321" s="29">
        <v>1700</v>
      </c>
      <c r="R2321" s="31">
        <v>45253</v>
      </c>
      <c r="S2321" s="31" t="s">
        <v>3121</v>
      </c>
      <c r="T2321" s="95" t="str">
        <f t="shared" si="185"/>
        <v>2023 11</v>
      </c>
      <c r="U2321" s="32">
        <f t="shared" si="182"/>
        <v>501.63345091289398</v>
      </c>
      <c r="V2321" s="22">
        <f t="shared" si="183"/>
        <v>0.41859767472233705</v>
      </c>
      <c r="X2321" s="33"/>
      <c r="Y2321" s="33"/>
    </row>
    <row r="2322" spans="1:25" x14ac:dyDescent="0.2">
      <c r="A2322" s="93" t="s">
        <v>1048</v>
      </c>
      <c r="B2322" s="94" t="str">
        <f>IFERROR(VLOOKUP($A2322,HeadJournal!$A$1:$NTR$890,COLUMN(HeadJournal!B$1),0),"")</f>
        <v>700000960684</v>
      </c>
      <c r="C2322" s="94" t="str">
        <f>IFERROR(VLOOKUP($A2322,HeadJournal!$A$1:$NTR$890,COLUMN(HeadJournal!C$1),0),"")</f>
        <v>iHerb_OA CZN6870</v>
      </c>
      <c r="D2322" s="125" t="str">
        <f>IFERROR(VLOOKUP($A2322,HeadJournal!$A$1:$NTR$890,COLUMN(HeadJournal!D$1),0),"")</f>
        <v>Доставлен</v>
      </c>
      <c r="E2322" s="95">
        <f>IFERROR(VLOOKUP($A2322,HeadJournal!$A$1:$NTR$890,COLUMN(HeadJournal!G$1),0),"")</f>
        <v>45215</v>
      </c>
      <c r="F2322" s="95" t="str">
        <f t="shared" si="184"/>
        <v>2023 10</v>
      </c>
      <c r="G2322" s="96" t="s">
        <v>5</v>
      </c>
      <c r="H2322" s="175" t="s">
        <v>3632</v>
      </c>
      <c r="I2322" s="176" t="s">
        <v>2008</v>
      </c>
      <c r="J2322" s="97" t="s">
        <v>3675</v>
      </c>
      <c r="K2322" s="29">
        <v>12.84</v>
      </c>
      <c r="L2322" s="29">
        <v>-1.925</v>
      </c>
      <c r="M2322" s="30">
        <f>IFERROR(VLOOKUP($A2322,HeadJournal!$A$1:$J$890,COLUMN(HeadJournal!I$1),0)*($K2322+$L2322)/(SUMIF($A:$A,$A2322,$K:$K)+SUMIF($A:$A,$A2322,$L:$L)),0)</f>
        <v>-0.72103969671881118</v>
      </c>
      <c r="N2322" s="30">
        <f>IFERROR((VLOOKUP($A2322,HeadJournal!$A$1:$K$890,COLUMN(HeadJournal!K$1),0)-VLOOKUP($A2322,HeadJournal!$A$1:$K$890,COLUMN(HeadJournal!J$1),0))*($K2322+$L2322)/(SUMIF($A:$A,$A2322,$K:$K)+SUMIF($A:$A,$A2322,$L:$L)),0)</f>
        <v>0</v>
      </c>
      <c r="O2322" s="30">
        <f>IFERROR((VLOOKUP($A2322,HeadJournal!$A$1:$L$890,COLUMN(HeadJournal!L$1),0)*($K2322+$L2322)/(SUMIF($A:$A,$A2322,$K:$K)+SUMIF($A:$A,$A2322,$L:$L)))/VLOOKUP($A2322,HeadJournal!$A$1:$L$890,COLUMN(HeadJournal!H$1),0),0)</f>
        <v>0.52430211559358109</v>
      </c>
      <c r="P2322" s="30">
        <f>IFERROR(SUM(K2322:O2322)*VLOOKUP($A2322,HeadJournal!$A$1:$L$890,COLUMN(HeadJournal!H$1),0),0)</f>
        <v>1198.366549087106</v>
      </c>
      <c r="Q2322" s="29">
        <v>1800</v>
      </c>
      <c r="R2322" s="31">
        <v>45253</v>
      </c>
      <c r="S2322" s="31" t="s">
        <v>3121</v>
      </c>
      <c r="T2322" s="95" t="str">
        <f t="shared" si="185"/>
        <v>2023 11</v>
      </c>
      <c r="U2322" s="32">
        <f t="shared" si="182"/>
        <v>601.63345091289398</v>
      </c>
      <c r="V2322" s="22">
        <f t="shared" si="183"/>
        <v>0.50204459676482749</v>
      </c>
      <c r="X2322" s="33"/>
      <c r="Y2322" s="33"/>
    </row>
    <row r="2323" spans="1:25" x14ac:dyDescent="0.2">
      <c r="A2323" s="93" t="s">
        <v>1048</v>
      </c>
      <c r="B2323" s="94" t="str">
        <f>IFERROR(VLOOKUP($A2323,HeadJournal!$A$1:$NTR$890,COLUMN(HeadJournal!B$1),0),"")</f>
        <v>700000960684</v>
      </c>
      <c r="C2323" s="94" t="str">
        <f>IFERROR(VLOOKUP($A2323,HeadJournal!$A$1:$NTR$890,COLUMN(HeadJournal!C$1),0),"")</f>
        <v>iHerb_OA CZN6870</v>
      </c>
      <c r="D2323" s="125" t="str">
        <f>IFERROR(VLOOKUP($A2323,HeadJournal!$A$1:$NTR$890,COLUMN(HeadJournal!D$1),0),"")</f>
        <v>Доставлен</v>
      </c>
      <c r="E2323" s="95">
        <f>IFERROR(VLOOKUP($A2323,HeadJournal!$A$1:$NTR$890,COLUMN(HeadJournal!G$1),0),"")</f>
        <v>45215</v>
      </c>
      <c r="F2323" s="95" t="str">
        <f t="shared" si="184"/>
        <v>2023 10</v>
      </c>
      <c r="G2323" s="96" t="s">
        <v>5</v>
      </c>
      <c r="H2323" s="160" t="str">
        <f>RIGHT(Journal!$J2323,9)</f>
        <v>NOW-01298</v>
      </c>
      <c r="I2323" s="96" t="str">
        <f t="shared" ref="I2323:I2381" si="186">IFERROR(LEFT(J2323,FIND(",",J2323)-1),"")</f>
        <v>NOW Foods</v>
      </c>
      <c r="J2323" s="97" t="s">
        <v>453</v>
      </c>
      <c r="K2323" s="29">
        <v>24.24</v>
      </c>
      <c r="L2323" s="29">
        <v>-3.6349999999999998</v>
      </c>
      <c r="M2323" s="30">
        <f>IFERROR(VLOOKUP($A2323,HeadJournal!$A$1:$J$890,COLUMN(HeadJournal!I$1),0)*($K2323+$L2323)/(SUMIF($A:$A,$A2323,$K:$K)+SUMIF($A:$A,$A2323,$L:$L)),0)</f>
        <v>-1.3611564774064226</v>
      </c>
      <c r="N2323" s="30">
        <f>IFERROR((VLOOKUP($A2323,HeadJournal!$A$1:$K$890,COLUMN(HeadJournal!K$1),0)-VLOOKUP($A2323,HeadJournal!$A$1:$K$890,COLUMN(HeadJournal!J$1),0))*($K2323+$L2323)/(SUMIF($A:$A,$A2323,$K:$K)+SUMIF($A:$A,$A2323,$L:$L)),0)</f>
        <v>0</v>
      </c>
      <c r="O2323" s="30">
        <f>IFERROR((VLOOKUP($A2323,HeadJournal!$A$1:$L$890,COLUMN(HeadJournal!L$1),0)*($K2323+$L2323)/(SUMIF($A:$A,$A2323,$K:$K)+SUMIF($A:$A,$A2323,$L:$L)))/VLOOKUP($A2323,HeadJournal!$A$1:$L$890,COLUMN(HeadJournal!H$1),0),0)</f>
        <v>0.98976134601976518</v>
      </c>
      <c r="P2323" s="30">
        <f>IFERROR(SUM(K2323:O2323)*VLOOKUP($A2323,HeadJournal!$A$1:$L$890,COLUMN(HeadJournal!H$1),0),0)</f>
        <v>2262.2393718680551</v>
      </c>
      <c r="Q2323" s="29">
        <v>3000</v>
      </c>
      <c r="R2323" s="31">
        <v>45253</v>
      </c>
      <c r="S2323" s="31" t="s">
        <v>3121</v>
      </c>
      <c r="T2323" s="95" t="str">
        <f t="shared" si="185"/>
        <v>2023 11</v>
      </c>
      <c r="U2323" s="32">
        <f t="shared" si="182"/>
        <v>737.76062813194494</v>
      </c>
      <c r="V2323" s="22">
        <f t="shared" si="183"/>
        <v>0.32611961285190416</v>
      </c>
      <c r="X2323" s="33"/>
      <c r="Y2323" s="33"/>
    </row>
    <row r="2324" spans="1:25" x14ac:dyDescent="0.2">
      <c r="A2324" s="93" t="s">
        <v>1048</v>
      </c>
      <c r="B2324" s="94" t="str">
        <f>IFERROR(VLOOKUP($A2324,HeadJournal!$A$1:$NTR$890,COLUMN(HeadJournal!B$1),0),"")</f>
        <v>700000960684</v>
      </c>
      <c r="C2324" s="94" t="str">
        <f>IFERROR(VLOOKUP($A2324,HeadJournal!$A$1:$NTR$890,COLUMN(HeadJournal!C$1),0),"")</f>
        <v>iHerb_OA CZN6870</v>
      </c>
      <c r="D2324" s="125" t="str">
        <f>IFERROR(VLOOKUP($A2324,HeadJournal!$A$1:$NTR$890,COLUMN(HeadJournal!D$1),0),"")</f>
        <v>Доставлен</v>
      </c>
      <c r="E2324" s="95">
        <f>IFERROR(VLOOKUP($A2324,HeadJournal!$A$1:$NTR$890,COLUMN(HeadJournal!G$1),0),"")</f>
        <v>45215</v>
      </c>
      <c r="F2324" s="95" t="str">
        <f t="shared" si="184"/>
        <v>2023 10</v>
      </c>
      <c r="G2324" s="96" t="s">
        <v>5</v>
      </c>
      <c r="H2324" s="160" t="str">
        <f>RIGHT(Journal!$J2324,9)</f>
        <v>NOW-01298</v>
      </c>
      <c r="I2324" s="96" t="str">
        <f t="shared" si="186"/>
        <v>NOW Foods</v>
      </c>
      <c r="J2324" s="97" t="s">
        <v>453</v>
      </c>
      <c r="K2324" s="29">
        <v>24.24</v>
      </c>
      <c r="L2324" s="29">
        <v>-3.6349999999999998</v>
      </c>
      <c r="M2324" s="30">
        <f>IFERROR(VLOOKUP($A2324,HeadJournal!$A$1:$J$890,COLUMN(HeadJournal!I$1),0)*($K2324+$L2324)/(SUMIF($A:$A,$A2324,$K:$K)+SUMIF($A:$A,$A2324,$L:$L)),0)</f>
        <v>-1.3611564774064226</v>
      </c>
      <c r="N2324" s="30">
        <f>IFERROR((VLOOKUP($A2324,HeadJournal!$A$1:$K$890,COLUMN(HeadJournal!K$1),0)-VLOOKUP($A2324,HeadJournal!$A$1:$K$890,COLUMN(HeadJournal!J$1),0))*($K2324+$L2324)/(SUMIF($A:$A,$A2324,$K:$K)+SUMIF($A:$A,$A2324,$L:$L)),0)</f>
        <v>0</v>
      </c>
      <c r="O2324" s="30">
        <f>IFERROR((VLOOKUP($A2324,HeadJournal!$A$1:$L$890,COLUMN(HeadJournal!L$1),0)*($K2324+$L2324)/(SUMIF($A:$A,$A2324,$K:$K)+SUMIF($A:$A,$A2324,$L:$L)))/VLOOKUP($A2324,HeadJournal!$A$1:$L$890,COLUMN(HeadJournal!H$1),0),0)</f>
        <v>0.98976134601976518</v>
      </c>
      <c r="P2324" s="30">
        <f>IFERROR(SUM(K2324:O2324)*VLOOKUP($A2324,HeadJournal!$A$1:$L$890,COLUMN(HeadJournal!H$1),0),0)</f>
        <v>2262.2393718680551</v>
      </c>
      <c r="Q2324" s="29">
        <v>3100</v>
      </c>
      <c r="R2324" s="31">
        <v>45253</v>
      </c>
      <c r="S2324" s="31" t="s">
        <v>3121</v>
      </c>
      <c r="T2324" s="95" t="str">
        <f t="shared" si="185"/>
        <v>2023 11</v>
      </c>
      <c r="U2324" s="32">
        <f t="shared" si="182"/>
        <v>837.76062813194494</v>
      </c>
      <c r="V2324" s="22">
        <f t="shared" si="183"/>
        <v>0.37032359994696762</v>
      </c>
      <c r="X2324" s="33"/>
      <c r="Y2324" s="33"/>
    </row>
    <row r="2325" spans="1:25" x14ac:dyDescent="0.2">
      <c r="A2325" s="93" t="s">
        <v>1048</v>
      </c>
      <c r="B2325" s="94" t="str">
        <f>IFERROR(VLOOKUP($A2325,HeadJournal!$A$1:$NTR$890,COLUMN(HeadJournal!B$1),0),"")</f>
        <v>700000960684</v>
      </c>
      <c r="C2325" s="94" t="str">
        <f>IFERROR(VLOOKUP($A2325,HeadJournal!$A$1:$NTR$890,COLUMN(HeadJournal!C$1),0),"")</f>
        <v>iHerb_OA CZN6870</v>
      </c>
      <c r="D2325" s="125" t="str">
        <f>IFERROR(VLOOKUP($A2325,HeadJournal!$A$1:$NTR$890,COLUMN(HeadJournal!D$1),0),"")</f>
        <v>Доставлен</v>
      </c>
      <c r="E2325" s="95">
        <f>IFERROR(VLOOKUP($A2325,HeadJournal!$A$1:$NTR$890,COLUMN(HeadJournal!G$1),0),"")</f>
        <v>45215</v>
      </c>
      <c r="F2325" s="95" t="str">
        <f t="shared" si="184"/>
        <v>2023 10</v>
      </c>
      <c r="G2325" s="96" t="s">
        <v>5</v>
      </c>
      <c r="H2325" s="161" t="s">
        <v>2806</v>
      </c>
      <c r="I2325" s="97" t="s">
        <v>2009</v>
      </c>
      <c r="J2325" s="97" t="s">
        <v>2807</v>
      </c>
      <c r="K2325" s="29">
        <v>22.96</v>
      </c>
      <c r="L2325" s="29">
        <v>-4.59</v>
      </c>
      <c r="M2325" s="30">
        <f>IFERROR(VLOOKUP($A2325,HeadJournal!$A$1:$J$890,COLUMN(HeadJournal!I$1),0)*($K2325+$L2325)/(SUMIF($A:$A,$A2325,$K:$K)+SUMIF($A:$A,$A2325,$L:$L)),0)</f>
        <v>-1.2135134428515404</v>
      </c>
      <c r="N2325" s="30">
        <f>IFERROR((VLOOKUP($A2325,HeadJournal!$A$1:$K$890,COLUMN(HeadJournal!K$1),0)-VLOOKUP($A2325,HeadJournal!$A$1:$K$890,COLUMN(HeadJournal!J$1),0))*($K2325+$L2325)/(SUMIF($A:$A,$A2325,$K:$K)+SUMIF($A:$A,$A2325,$L:$L)),0)</f>
        <v>0</v>
      </c>
      <c r="O2325" s="30">
        <f>IFERROR((VLOOKUP($A2325,HeadJournal!$A$1:$L$890,COLUMN(HeadJournal!L$1),0)*($K2325+$L2325)/(SUMIF($A:$A,$A2325,$K:$K)+SUMIF($A:$A,$A2325,$L:$L)))/VLOOKUP($A2325,HeadJournal!$A$1:$L$890,COLUMN(HeadJournal!H$1),0),0)</f>
        <v>0.88240310246945353</v>
      </c>
      <c r="P2325" s="30">
        <f>IFERROR(SUM(K2325:O2325)*VLOOKUP($A2325,HeadJournal!$A$1:$L$890,COLUMN(HeadJournal!H$1),0),0)</f>
        <v>2016.8569406074339</v>
      </c>
      <c r="Q2325" s="29">
        <v>2800</v>
      </c>
      <c r="R2325" s="31">
        <v>45254</v>
      </c>
      <c r="S2325" s="31" t="s">
        <v>3121</v>
      </c>
      <c r="T2325" s="95" t="str">
        <f t="shared" si="185"/>
        <v>2023 11</v>
      </c>
      <c r="U2325" s="32">
        <f t="shared" si="182"/>
        <v>783.1430593925661</v>
      </c>
      <c r="V2325" s="22">
        <f t="shared" si="183"/>
        <v>0.38829876508578753</v>
      </c>
      <c r="X2325" s="33"/>
      <c r="Y2325" s="33"/>
    </row>
    <row r="2326" spans="1:25" x14ac:dyDescent="0.2">
      <c r="A2326" s="93" t="s">
        <v>1052</v>
      </c>
      <c r="B2326" s="94">
        <f>IFERROR(VLOOKUP($A2326,HeadJournal!$A$1:$NTR$890,COLUMN(HeadJournal!B$1),0),"")</f>
        <v>0</v>
      </c>
      <c r="C2326" s="94" t="str">
        <f>IFERROR(VLOOKUP($A2326,HeadJournal!$A$1:$NTR$890,COLUMN(HeadJournal!C$1),0),"")</f>
        <v>OZON_OA</v>
      </c>
      <c r="D2326" s="125" t="str">
        <f>IFERROR(VLOOKUP($A2326,HeadJournal!$A$1:$NTR$890,COLUMN(HeadJournal!D$1),0),"")</f>
        <v>Доставлен</v>
      </c>
      <c r="E2326" s="95">
        <f>IFERROR(VLOOKUP($A2326,HeadJournal!$A$1:$NTR$890,COLUMN(HeadJournal!G$1),0),"")</f>
        <v>45215</v>
      </c>
      <c r="F2326" s="95" t="str">
        <f t="shared" si="184"/>
        <v>2023 10</v>
      </c>
      <c r="G2326" s="96" t="s">
        <v>6</v>
      </c>
      <c r="H2326" s="160" t="str">
        <f>RIGHT(Journal!$J2326,9)</f>
        <v>095246917</v>
      </c>
      <c r="I2326" s="96" t="str">
        <f t="shared" si="186"/>
        <v>R-Line</v>
      </c>
      <c r="J2326" s="97" t="s">
        <v>1053</v>
      </c>
      <c r="K2326" s="29">
        <v>1640</v>
      </c>
      <c r="L2326" s="29">
        <v>0</v>
      </c>
      <c r="M2326" s="30">
        <f>IFERROR(VLOOKUP($A2326,HeadJournal!$A$1:$J$890,COLUMN(HeadJournal!I$1),0)*($K2326+$L2326)/(SUMIF($A:$A,$A2326,$K:$K)+SUMIF($A:$A,$A2326,$L:$L)),0)</f>
        <v>0</v>
      </c>
      <c r="N2326" s="30">
        <f>IFERROR((VLOOKUP($A2326,HeadJournal!$A$1:$K$890,COLUMN(HeadJournal!K$1),0)-VLOOKUP($A2326,HeadJournal!$A$1:$K$890,COLUMN(HeadJournal!J$1),0))*($K2326+$L2326)/(SUMIF($A:$A,$A2326,$K:$K)+SUMIF($A:$A,$A2326,$L:$L)),0)</f>
        <v>0</v>
      </c>
      <c r="O2326" s="30">
        <f>IFERROR((VLOOKUP($A2326,HeadJournal!$A$1:$L$890,COLUMN(HeadJournal!L$1),0)*($K2326+$L2326)/(SUMIF($A:$A,$A2326,$K:$K)+SUMIF($A:$A,$A2326,$L:$L)))/VLOOKUP($A2326,HeadJournal!$A$1:$L$890,COLUMN(HeadJournal!H$1),0),0)</f>
        <v>164</v>
      </c>
      <c r="P2326" s="30">
        <f>IFERROR(SUM(K2326:O2326)*VLOOKUP($A2326,HeadJournal!$A$1:$L$890,COLUMN(HeadJournal!H$1),0),0)</f>
        <v>1804</v>
      </c>
      <c r="Q2326" s="29">
        <v>3000</v>
      </c>
      <c r="R2326" s="31">
        <v>45301</v>
      </c>
      <c r="S2326" s="31" t="s">
        <v>3121</v>
      </c>
      <c r="T2326" s="95" t="str">
        <f t="shared" si="185"/>
        <v>2024 01</v>
      </c>
      <c r="U2326" s="32">
        <f t="shared" si="182"/>
        <v>1196</v>
      </c>
      <c r="V2326" s="22">
        <f t="shared" si="183"/>
        <v>0.66297117516629711</v>
      </c>
      <c r="X2326" s="33"/>
      <c r="Y2326" s="33"/>
    </row>
    <row r="2327" spans="1:25" x14ac:dyDescent="0.2">
      <c r="A2327" s="93" t="s">
        <v>1052</v>
      </c>
      <c r="B2327" s="94">
        <f>IFERROR(VLOOKUP($A2327,HeadJournal!$A$1:$NTR$890,COLUMN(HeadJournal!B$1),0),"")</f>
        <v>0</v>
      </c>
      <c r="C2327" s="94" t="str">
        <f>IFERROR(VLOOKUP($A2327,HeadJournal!$A$1:$NTR$890,COLUMN(HeadJournal!C$1),0),"")</f>
        <v>OZON_OA</v>
      </c>
      <c r="D2327" s="125" t="str">
        <f>IFERROR(VLOOKUP($A2327,HeadJournal!$A$1:$NTR$890,COLUMN(HeadJournal!D$1),0),"")</f>
        <v>Доставлен</v>
      </c>
      <c r="E2327" s="95">
        <f>IFERROR(VLOOKUP($A2327,HeadJournal!$A$1:$NTR$890,COLUMN(HeadJournal!G$1),0),"")</f>
        <v>45215</v>
      </c>
      <c r="F2327" s="95" t="str">
        <f t="shared" si="184"/>
        <v>2023 10</v>
      </c>
      <c r="G2327" s="96" t="s">
        <v>6</v>
      </c>
      <c r="H2327" s="160" t="str">
        <f>RIGHT(Journal!$J2327,9)</f>
        <v>095246917</v>
      </c>
      <c r="I2327" s="96" t="str">
        <f t="shared" si="186"/>
        <v>R-Line</v>
      </c>
      <c r="J2327" s="97" t="s">
        <v>1053</v>
      </c>
      <c r="K2327" s="29">
        <v>1640</v>
      </c>
      <c r="L2327" s="29">
        <v>0</v>
      </c>
      <c r="M2327" s="30">
        <f>IFERROR(VLOOKUP($A2327,HeadJournal!$A$1:$J$890,COLUMN(HeadJournal!I$1),0)*($K2327+$L2327)/(SUMIF($A:$A,$A2327,$K:$K)+SUMIF($A:$A,$A2327,$L:$L)),0)</f>
        <v>0</v>
      </c>
      <c r="N2327" s="30">
        <f>IFERROR((VLOOKUP($A2327,HeadJournal!$A$1:$K$890,COLUMN(HeadJournal!K$1),0)-VLOOKUP($A2327,HeadJournal!$A$1:$K$890,COLUMN(HeadJournal!J$1),0))*($K2327+$L2327)/(SUMIF($A:$A,$A2327,$K:$K)+SUMIF($A:$A,$A2327,$L:$L)),0)</f>
        <v>0</v>
      </c>
      <c r="O2327" s="30">
        <f>IFERROR((VLOOKUP($A2327,HeadJournal!$A$1:$L$890,COLUMN(HeadJournal!L$1),0)*($K2327+$L2327)/(SUMIF($A:$A,$A2327,$K:$K)+SUMIF($A:$A,$A2327,$L:$L)))/VLOOKUP($A2327,HeadJournal!$A$1:$L$890,COLUMN(HeadJournal!H$1),0),0)</f>
        <v>164</v>
      </c>
      <c r="P2327" s="30">
        <f>IFERROR(SUM(K2327:O2327)*VLOOKUP($A2327,HeadJournal!$A$1:$L$890,COLUMN(HeadJournal!H$1),0),0)</f>
        <v>1804</v>
      </c>
      <c r="Q2327" s="29">
        <v>3000</v>
      </c>
      <c r="R2327" s="31">
        <v>45310</v>
      </c>
      <c r="S2327" s="31" t="s">
        <v>3121</v>
      </c>
      <c r="T2327" s="95" t="str">
        <f t="shared" si="185"/>
        <v>2024 01</v>
      </c>
      <c r="U2327" s="32">
        <f t="shared" si="182"/>
        <v>1196</v>
      </c>
      <c r="V2327" s="22">
        <f t="shared" si="183"/>
        <v>0.66297117516629711</v>
      </c>
      <c r="X2327" s="33"/>
      <c r="Y2327" s="33"/>
    </row>
    <row r="2328" spans="1:25" x14ac:dyDescent="0.2">
      <c r="A2328" s="93" t="s">
        <v>1052</v>
      </c>
      <c r="B2328" s="94">
        <f>IFERROR(VLOOKUP($A2328,HeadJournal!$A$1:$NTR$890,COLUMN(HeadJournal!B$1),0),"")</f>
        <v>0</v>
      </c>
      <c r="C2328" s="94" t="str">
        <f>IFERROR(VLOOKUP($A2328,HeadJournal!$A$1:$NTR$890,COLUMN(HeadJournal!C$1),0),"")</f>
        <v>OZON_OA</v>
      </c>
      <c r="D2328" s="125" t="str">
        <f>IFERROR(VLOOKUP($A2328,HeadJournal!$A$1:$NTR$890,COLUMN(HeadJournal!D$1),0),"")</f>
        <v>Доставлен</v>
      </c>
      <c r="E2328" s="95">
        <f>IFERROR(VLOOKUP($A2328,HeadJournal!$A$1:$NTR$890,COLUMN(HeadJournal!G$1),0),"")</f>
        <v>45215</v>
      </c>
      <c r="F2328" s="95" t="str">
        <f t="shared" si="184"/>
        <v>2023 10</v>
      </c>
      <c r="G2328" s="96" t="s">
        <v>6</v>
      </c>
      <c r="H2328" s="160" t="str">
        <f>RIGHT(Journal!$J2328,9)</f>
        <v>170919152</v>
      </c>
      <c r="I2328" s="96" t="str">
        <f t="shared" si="186"/>
        <v>PRIMEKRAFT</v>
      </c>
      <c r="J2328" s="97" t="s">
        <v>1054</v>
      </c>
      <c r="K2328" s="29">
        <v>821</v>
      </c>
      <c r="L2328" s="29">
        <v>0</v>
      </c>
      <c r="M2328" s="30">
        <f>IFERROR(VLOOKUP($A2328,HeadJournal!$A$1:$J$890,COLUMN(HeadJournal!I$1),0)*($K2328+$L2328)/(SUMIF($A:$A,$A2328,$K:$K)+SUMIF($A:$A,$A2328,$L:$L)),0)</f>
        <v>0</v>
      </c>
      <c r="N2328" s="30">
        <f>IFERROR((VLOOKUP($A2328,HeadJournal!$A$1:$K$890,COLUMN(HeadJournal!K$1),0)-VLOOKUP($A2328,HeadJournal!$A$1:$K$890,COLUMN(HeadJournal!J$1),0))*($K2328+$L2328)/(SUMIF($A:$A,$A2328,$K:$K)+SUMIF($A:$A,$A2328,$L:$L)),0)</f>
        <v>0</v>
      </c>
      <c r="O2328" s="30">
        <f>IFERROR((VLOOKUP($A2328,HeadJournal!$A$1:$L$890,COLUMN(HeadJournal!L$1),0)*($K2328+$L2328)/(SUMIF($A:$A,$A2328,$K:$K)+SUMIF($A:$A,$A2328,$L:$L)))/VLOOKUP($A2328,HeadJournal!$A$1:$L$890,COLUMN(HeadJournal!H$1),0),0)</f>
        <v>82.1</v>
      </c>
      <c r="P2328" s="30">
        <f>IFERROR(SUM(K2328:O2328)*VLOOKUP($A2328,HeadJournal!$A$1:$L$890,COLUMN(HeadJournal!H$1),0),0)</f>
        <v>903.1</v>
      </c>
      <c r="Q2328" s="29">
        <v>2200</v>
      </c>
      <c r="R2328" s="31">
        <v>45345</v>
      </c>
      <c r="S2328" s="31" t="s">
        <v>3121</v>
      </c>
      <c r="T2328" s="95" t="str">
        <f t="shared" si="185"/>
        <v>2024 02</v>
      </c>
      <c r="U2328" s="32">
        <f t="shared" si="182"/>
        <v>1296.9000000000001</v>
      </c>
      <c r="V2328" s="22">
        <f t="shared" si="183"/>
        <v>1.4360535931790499</v>
      </c>
      <c r="X2328" s="33"/>
      <c r="Y2328" s="33"/>
    </row>
    <row r="2329" spans="1:25" x14ac:dyDescent="0.2">
      <c r="A2329" s="93" t="s">
        <v>1052</v>
      </c>
      <c r="B2329" s="94">
        <f>IFERROR(VLOOKUP($A2329,HeadJournal!$A$1:$NTR$890,COLUMN(HeadJournal!B$1),0),"")</f>
        <v>0</v>
      </c>
      <c r="C2329" s="94" t="str">
        <f>IFERROR(VLOOKUP($A2329,HeadJournal!$A$1:$NTR$890,COLUMN(HeadJournal!C$1),0),"")</f>
        <v>OZON_OA</v>
      </c>
      <c r="D2329" s="125" t="str">
        <f>IFERROR(VLOOKUP($A2329,HeadJournal!$A$1:$NTR$890,COLUMN(HeadJournal!D$1),0),"")</f>
        <v>Доставлен</v>
      </c>
      <c r="E2329" s="95">
        <f>IFERROR(VLOOKUP($A2329,HeadJournal!$A$1:$NTR$890,COLUMN(HeadJournal!G$1),0),"")</f>
        <v>45215</v>
      </c>
      <c r="F2329" s="95" t="str">
        <f t="shared" si="184"/>
        <v>2023 10</v>
      </c>
      <c r="G2329" s="96" t="s">
        <v>6</v>
      </c>
      <c r="H2329" s="160" t="str">
        <f>RIGHT(Journal!$J2329,9)</f>
        <v>555377467</v>
      </c>
      <c r="I2329" s="96" t="str">
        <f t="shared" si="186"/>
        <v>R-Line</v>
      </c>
      <c r="J2329" s="97" t="s">
        <v>1055</v>
      </c>
      <c r="K2329" s="29">
        <v>1621</v>
      </c>
      <c r="L2329" s="29">
        <v>0</v>
      </c>
      <c r="M2329" s="30">
        <f>IFERROR(VLOOKUP($A2329,HeadJournal!$A$1:$J$890,COLUMN(HeadJournal!I$1),0)*($K2329+$L2329)/(SUMIF($A:$A,$A2329,$K:$K)+SUMIF($A:$A,$A2329,$L:$L)),0)</f>
        <v>0</v>
      </c>
      <c r="N2329" s="30">
        <f>IFERROR((VLOOKUP($A2329,HeadJournal!$A$1:$K$890,COLUMN(HeadJournal!K$1),0)-VLOOKUP($A2329,HeadJournal!$A$1:$K$890,COLUMN(HeadJournal!J$1),0))*($K2329+$L2329)/(SUMIF($A:$A,$A2329,$K:$K)+SUMIF($A:$A,$A2329,$L:$L)),0)</f>
        <v>0</v>
      </c>
      <c r="O2329" s="30">
        <f>IFERROR((VLOOKUP($A2329,HeadJournal!$A$1:$L$890,COLUMN(HeadJournal!L$1),0)*($K2329+$L2329)/(SUMIF($A:$A,$A2329,$K:$K)+SUMIF($A:$A,$A2329,$L:$L)))/VLOOKUP($A2329,HeadJournal!$A$1:$L$890,COLUMN(HeadJournal!H$1),0),0)</f>
        <v>162.10000000000002</v>
      </c>
      <c r="P2329" s="30">
        <f>IFERROR(SUM(K2329:O2329)*VLOOKUP($A2329,HeadJournal!$A$1:$L$890,COLUMN(HeadJournal!H$1),0),0)</f>
        <v>1783.1</v>
      </c>
      <c r="Q2329" s="29">
        <v>3000</v>
      </c>
      <c r="R2329" s="31">
        <v>45329</v>
      </c>
      <c r="S2329" s="31" t="s">
        <v>3121</v>
      </c>
      <c r="T2329" s="95" t="str">
        <f t="shared" si="185"/>
        <v>2024 02</v>
      </c>
      <c r="U2329" s="32">
        <f t="shared" si="182"/>
        <v>1216.9000000000001</v>
      </c>
      <c r="V2329" s="22">
        <f t="shared" si="183"/>
        <v>0.68246312601648818</v>
      </c>
      <c r="X2329" s="33"/>
      <c r="Y2329" s="33"/>
    </row>
    <row r="2330" spans="1:25" x14ac:dyDescent="0.2">
      <c r="A2330" s="93" t="s">
        <v>1052</v>
      </c>
      <c r="B2330" s="94">
        <f>IFERROR(VLOOKUP($A2330,HeadJournal!$A$1:$NTR$890,COLUMN(HeadJournal!B$1),0),"")</f>
        <v>0</v>
      </c>
      <c r="C2330" s="94" t="str">
        <f>IFERROR(VLOOKUP($A2330,HeadJournal!$A$1:$NTR$890,COLUMN(HeadJournal!C$1),0),"")</f>
        <v>OZON_OA</v>
      </c>
      <c r="D2330" s="125" t="str">
        <f>IFERROR(VLOOKUP($A2330,HeadJournal!$A$1:$NTR$890,COLUMN(HeadJournal!D$1),0),"")</f>
        <v>Доставлен</v>
      </c>
      <c r="E2330" s="95">
        <f>IFERROR(VLOOKUP($A2330,HeadJournal!$A$1:$NTR$890,COLUMN(HeadJournal!G$1),0),"")</f>
        <v>45215</v>
      </c>
      <c r="F2330" s="95" t="str">
        <f t="shared" si="184"/>
        <v>2023 10</v>
      </c>
      <c r="G2330" s="96" t="s">
        <v>6</v>
      </c>
      <c r="H2330" s="160" t="str">
        <f>RIGHT(Journal!$J2330,9)</f>
        <v>626914560</v>
      </c>
      <c r="I2330" s="96" t="str">
        <f t="shared" si="186"/>
        <v>SOUL WAY</v>
      </c>
      <c r="J2330" s="97" t="s">
        <v>561</v>
      </c>
      <c r="K2330" s="29">
        <v>791.22208883553412</v>
      </c>
      <c r="L2330" s="29">
        <v>0</v>
      </c>
      <c r="M2330" s="30">
        <f>IFERROR(VLOOKUP($A2330,HeadJournal!$A$1:$J$890,COLUMN(HeadJournal!I$1),0)*($K2330+$L2330)/(SUMIF($A:$A,$A2330,$K:$K)+SUMIF($A:$A,$A2330,$L:$L)),0)</f>
        <v>0</v>
      </c>
      <c r="N2330" s="30">
        <f>IFERROR((VLOOKUP($A2330,HeadJournal!$A$1:$K$890,COLUMN(HeadJournal!K$1),0)-VLOOKUP($A2330,HeadJournal!$A$1:$K$890,COLUMN(HeadJournal!J$1),0))*($K2330+$L2330)/(SUMIF($A:$A,$A2330,$K:$K)+SUMIF($A:$A,$A2330,$L:$L)),0)</f>
        <v>0</v>
      </c>
      <c r="O2330" s="30">
        <f>IFERROR((VLOOKUP($A2330,HeadJournal!$A$1:$L$890,COLUMN(HeadJournal!L$1),0)*($K2330+$L2330)/(SUMIF($A:$A,$A2330,$K:$K)+SUMIF($A:$A,$A2330,$L:$L)))/VLOOKUP($A2330,HeadJournal!$A$1:$L$890,COLUMN(HeadJournal!H$1),0),0)</f>
        <v>79.122208883553427</v>
      </c>
      <c r="P2330" s="30">
        <f>IFERROR(SUM(K2330:O2330)*VLOOKUP($A2330,HeadJournal!$A$1:$L$890,COLUMN(HeadJournal!H$1),0),0)</f>
        <v>870.34429771908754</v>
      </c>
      <c r="Q2330" s="29">
        <v>1700</v>
      </c>
      <c r="R2330" s="31">
        <v>45225</v>
      </c>
      <c r="S2330" s="31" t="s">
        <v>3121</v>
      </c>
      <c r="T2330" s="95" t="str">
        <f t="shared" si="185"/>
        <v>2023 10</v>
      </c>
      <c r="U2330" s="32">
        <f t="shared" si="182"/>
        <v>829.65570228091246</v>
      </c>
      <c r="V2330" s="22">
        <f t="shared" si="183"/>
        <v>0.95325000055172682</v>
      </c>
      <c r="X2330" s="33"/>
      <c r="Y2330" s="33"/>
    </row>
    <row r="2331" spans="1:25" x14ac:dyDescent="0.2">
      <c r="A2331" s="93" t="s">
        <v>1052</v>
      </c>
      <c r="B2331" s="94">
        <f>IFERROR(VLOOKUP($A2331,HeadJournal!$A$1:$NTR$890,COLUMN(HeadJournal!B$1),0),"")</f>
        <v>0</v>
      </c>
      <c r="C2331" s="94" t="str">
        <f>IFERROR(VLOOKUP($A2331,HeadJournal!$A$1:$NTR$890,COLUMN(HeadJournal!C$1),0),"")</f>
        <v>OZON_OA</v>
      </c>
      <c r="D2331" s="125" t="str">
        <f>IFERROR(VLOOKUP($A2331,HeadJournal!$A$1:$NTR$890,COLUMN(HeadJournal!D$1),0),"")</f>
        <v>Доставлен</v>
      </c>
      <c r="E2331" s="95">
        <f>IFERROR(VLOOKUP($A2331,HeadJournal!$A$1:$NTR$890,COLUMN(HeadJournal!G$1),0),"")</f>
        <v>45215</v>
      </c>
      <c r="F2331" s="95" t="str">
        <f t="shared" si="184"/>
        <v>2023 10</v>
      </c>
      <c r="G2331" s="96" t="s">
        <v>6</v>
      </c>
      <c r="H2331" s="160" t="str">
        <f>RIGHT(Journal!$J2331,9)</f>
        <v>825481466</v>
      </c>
      <c r="I2331" s="96" t="str">
        <f t="shared" si="186"/>
        <v>SOUL WAY</v>
      </c>
      <c r="J2331" s="97" t="s">
        <v>562</v>
      </c>
      <c r="K2331" s="29">
        <v>312.77791116446576</v>
      </c>
      <c r="L2331" s="29">
        <v>0</v>
      </c>
      <c r="M2331" s="30">
        <f>IFERROR(VLOOKUP($A2331,HeadJournal!$A$1:$J$890,COLUMN(HeadJournal!I$1),0)*($K2331+$L2331)/(SUMIF($A:$A,$A2331,$K:$K)+SUMIF($A:$A,$A2331,$L:$L)),0)</f>
        <v>0</v>
      </c>
      <c r="N2331" s="30">
        <f>IFERROR((VLOOKUP($A2331,HeadJournal!$A$1:$K$890,COLUMN(HeadJournal!K$1),0)-VLOOKUP($A2331,HeadJournal!$A$1:$K$890,COLUMN(HeadJournal!J$1),0))*($K2331+$L2331)/(SUMIF($A:$A,$A2331,$K:$K)+SUMIF($A:$A,$A2331,$L:$L)),0)</f>
        <v>0</v>
      </c>
      <c r="O2331" s="30">
        <f>IFERROR((VLOOKUP($A2331,HeadJournal!$A$1:$L$890,COLUMN(HeadJournal!L$1),0)*($K2331+$L2331)/(SUMIF($A:$A,$A2331,$K:$K)+SUMIF($A:$A,$A2331,$L:$L)))/VLOOKUP($A2331,HeadJournal!$A$1:$L$890,COLUMN(HeadJournal!H$1),0),0)</f>
        <v>31.277791116446579</v>
      </c>
      <c r="P2331" s="30">
        <f>IFERROR(SUM(K2331:O2331)*VLOOKUP($A2331,HeadJournal!$A$1:$L$890,COLUMN(HeadJournal!H$1),0),0)</f>
        <v>344.05570228091233</v>
      </c>
      <c r="Q2331" s="29">
        <v>800</v>
      </c>
      <c r="R2331" s="31">
        <v>45487</v>
      </c>
      <c r="S2331" s="31" t="s">
        <v>3121</v>
      </c>
      <c r="T2331" s="95" t="str">
        <f t="shared" si="185"/>
        <v>2024 07</v>
      </c>
      <c r="U2331" s="32">
        <f t="shared" si="182"/>
        <v>455.94429771908767</v>
      </c>
      <c r="V2331" s="22">
        <f t="shared" si="183"/>
        <v>1.3252048860007595</v>
      </c>
      <c r="X2331" s="33"/>
      <c r="Y2331" s="33"/>
    </row>
    <row r="2332" spans="1:25" x14ac:dyDescent="0.2">
      <c r="A2332" s="93" t="s">
        <v>1056</v>
      </c>
      <c r="B2332" s="94">
        <f>IFERROR(VLOOKUP($A2332,HeadJournal!$A$1:$NTR$890,COLUMN(HeadJournal!B$1),0),"")</f>
        <v>0</v>
      </c>
      <c r="C2332" s="94" t="str">
        <f>IFERROR(VLOOKUP($A2332,HeadJournal!$A$1:$NTR$890,COLUMN(HeadJournal!C$1),0),"")</f>
        <v>OZON_OA</v>
      </c>
      <c r="D2332" s="125" t="str">
        <f>IFERROR(VLOOKUP($A2332,HeadJournal!$A$1:$NTR$890,COLUMN(HeadJournal!D$1),0),"")</f>
        <v>Доставлен</v>
      </c>
      <c r="E2332" s="95">
        <f>IFERROR(VLOOKUP($A2332,HeadJournal!$A$1:$NTR$890,COLUMN(HeadJournal!G$1),0),"")</f>
        <v>45222</v>
      </c>
      <c r="F2332" s="95" t="str">
        <f t="shared" si="184"/>
        <v>2023 10</v>
      </c>
      <c r="G2332" s="96" t="s">
        <v>7</v>
      </c>
      <c r="H2332" s="160" t="str">
        <f>RIGHT(Journal!$J2332,9)</f>
        <v>856532999</v>
      </c>
      <c r="I2332" s="96" t="str">
        <f t="shared" si="186"/>
        <v>Dabur</v>
      </c>
      <c r="J2332" s="97" t="s">
        <v>1057</v>
      </c>
      <c r="K2332" s="29">
        <v>183</v>
      </c>
      <c r="L2332" s="29">
        <v>0</v>
      </c>
      <c r="M2332" s="30">
        <f>IFERROR(VLOOKUP($A2332,HeadJournal!$A$1:$J$890,COLUMN(HeadJournal!I$1),0)*($K2332+$L2332)/(SUMIF($A:$A,$A2332,$K:$K)+SUMIF($A:$A,$A2332,$L:$L)),0)</f>
        <v>0</v>
      </c>
      <c r="N2332" s="30">
        <f>IFERROR((VLOOKUP($A2332,HeadJournal!$A$1:$K$890,COLUMN(HeadJournal!K$1),0)-VLOOKUP($A2332,HeadJournal!$A$1:$K$890,COLUMN(HeadJournal!J$1),0))*($K2332+$L2332)/(SUMIF($A:$A,$A2332,$K:$K)+SUMIF($A:$A,$A2332,$L:$L)),0)</f>
        <v>0</v>
      </c>
      <c r="O2332" s="30">
        <f>IFERROR((VLOOKUP($A2332,HeadJournal!$A$1:$L$890,COLUMN(HeadJournal!L$1),0)*($K2332+$L2332)/(SUMIF($A:$A,$A2332,$K:$K)+SUMIF($A:$A,$A2332,$L:$L)))/VLOOKUP($A2332,HeadJournal!$A$1:$L$890,COLUMN(HeadJournal!H$1),0),0)</f>
        <v>18.3</v>
      </c>
      <c r="P2332" s="30">
        <f>IFERROR(SUM(K2332:O2332)*VLOOKUP($A2332,HeadJournal!$A$1:$L$890,COLUMN(HeadJournal!H$1),0),0)</f>
        <v>201.3</v>
      </c>
      <c r="Q2332" s="29">
        <v>350</v>
      </c>
      <c r="R2332" s="31">
        <v>45236</v>
      </c>
      <c r="S2332" s="31" t="s">
        <v>3121</v>
      </c>
      <c r="T2332" s="95" t="str">
        <f t="shared" si="185"/>
        <v>2023 11</v>
      </c>
      <c r="U2332" s="32">
        <f t="shared" si="182"/>
        <v>148.69999999999999</v>
      </c>
      <c r="V2332" s="22">
        <f t="shared" si="183"/>
        <v>0.73869846000993533</v>
      </c>
      <c r="X2332" s="33"/>
      <c r="Y2332" s="33"/>
    </row>
    <row r="2333" spans="1:25" x14ac:dyDescent="0.2">
      <c r="A2333" s="93" t="s">
        <v>1056</v>
      </c>
      <c r="B2333" s="94">
        <f>IFERROR(VLOOKUP($A2333,HeadJournal!$A$1:$NTR$890,COLUMN(HeadJournal!B$1),0),"")</f>
        <v>0</v>
      </c>
      <c r="C2333" s="94" t="str">
        <f>IFERROR(VLOOKUP($A2333,HeadJournal!$A$1:$NTR$890,COLUMN(HeadJournal!C$1),0),"")</f>
        <v>OZON_OA</v>
      </c>
      <c r="D2333" s="125" t="str">
        <f>IFERROR(VLOOKUP($A2333,HeadJournal!$A$1:$NTR$890,COLUMN(HeadJournal!D$1),0),"")</f>
        <v>Доставлен</v>
      </c>
      <c r="E2333" s="95">
        <f>IFERROR(VLOOKUP($A2333,HeadJournal!$A$1:$NTR$890,COLUMN(HeadJournal!G$1),0),"")</f>
        <v>45222</v>
      </c>
      <c r="F2333" s="95" t="str">
        <f t="shared" si="184"/>
        <v>2023 10</v>
      </c>
      <c r="G2333" s="96" t="s">
        <v>7</v>
      </c>
      <c r="H2333" s="160" t="str">
        <f>RIGHT(Journal!$J2333,9)</f>
        <v>856532999</v>
      </c>
      <c r="I2333" s="96" t="str">
        <f t="shared" si="186"/>
        <v>Dabur</v>
      </c>
      <c r="J2333" s="97" t="s">
        <v>1057</v>
      </c>
      <c r="K2333" s="29">
        <v>183</v>
      </c>
      <c r="L2333" s="29">
        <v>0</v>
      </c>
      <c r="M2333" s="30">
        <f>IFERROR(VLOOKUP($A2333,HeadJournal!$A$1:$J$890,COLUMN(HeadJournal!I$1),0)*($K2333+$L2333)/(SUMIF($A:$A,$A2333,$K:$K)+SUMIF($A:$A,$A2333,$L:$L)),0)</f>
        <v>0</v>
      </c>
      <c r="N2333" s="30">
        <f>IFERROR((VLOOKUP($A2333,HeadJournal!$A$1:$K$890,COLUMN(HeadJournal!K$1),0)-VLOOKUP($A2333,HeadJournal!$A$1:$K$890,COLUMN(HeadJournal!J$1),0))*($K2333+$L2333)/(SUMIF($A:$A,$A2333,$K:$K)+SUMIF($A:$A,$A2333,$L:$L)),0)</f>
        <v>0</v>
      </c>
      <c r="O2333" s="30">
        <f>IFERROR((VLOOKUP($A2333,HeadJournal!$A$1:$L$890,COLUMN(HeadJournal!L$1),0)*($K2333+$L2333)/(SUMIF($A:$A,$A2333,$K:$K)+SUMIF($A:$A,$A2333,$L:$L)))/VLOOKUP($A2333,HeadJournal!$A$1:$L$890,COLUMN(HeadJournal!H$1),0),0)</f>
        <v>18.3</v>
      </c>
      <c r="P2333" s="30">
        <f>IFERROR(SUM(K2333:O2333)*VLOOKUP($A2333,HeadJournal!$A$1:$L$890,COLUMN(HeadJournal!H$1),0),0)</f>
        <v>201.3</v>
      </c>
      <c r="Q2333" s="29">
        <v>350</v>
      </c>
      <c r="R2333" s="31">
        <v>45236</v>
      </c>
      <c r="S2333" s="31" t="s">
        <v>3121</v>
      </c>
      <c r="T2333" s="95" t="str">
        <f t="shared" si="185"/>
        <v>2023 11</v>
      </c>
      <c r="U2333" s="32">
        <f t="shared" si="182"/>
        <v>148.69999999999999</v>
      </c>
      <c r="V2333" s="22">
        <f t="shared" si="183"/>
        <v>0.73869846000993533</v>
      </c>
      <c r="X2333" s="33"/>
      <c r="Y2333" s="33"/>
    </row>
    <row r="2334" spans="1:25" x14ac:dyDescent="0.2">
      <c r="A2334" s="93" t="s">
        <v>1058</v>
      </c>
      <c r="B2334" s="94">
        <f>IFERROR(VLOOKUP($A2334,HeadJournal!$A$1:$NTR$890,COLUMN(HeadJournal!B$1),0),"")</f>
        <v>0</v>
      </c>
      <c r="C2334" s="94" t="str">
        <f>IFERROR(VLOOKUP($A2334,HeadJournal!$A$1:$NTR$890,COLUMN(HeadJournal!C$1),0),"")</f>
        <v>WBRS</v>
      </c>
      <c r="D2334" s="125" t="str">
        <f>IFERROR(VLOOKUP($A2334,HeadJournal!$A$1:$NTR$890,COLUMN(HeadJournal!D$1),0),"")</f>
        <v>Доставлен</v>
      </c>
      <c r="E2334" s="95">
        <f>IFERROR(VLOOKUP($A2334,HeadJournal!$A$1:$NTR$890,COLUMN(HeadJournal!G$1),0),"")</f>
        <v>45215</v>
      </c>
      <c r="F2334" s="95" t="str">
        <f t="shared" si="184"/>
        <v>2023 10</v>
      </c>
      <c r="G2334" s="96" t="s">
        <v>6</v>
      </c>
      <c r="H2334" s="160" t="str">
        <f>RIGHT(Journal!$J2334,9)</f>
        <v>175277649</v>
      </c>
      <c r="I2334" s="96" t="str">
        <f t="shared" si="186"/>
        <v>Insane Labz</v>
      </c>
      <c r="J2334" s="97" t="s">
        <v>1059</v>
      </c>
      <c r="K2334" s="29">
        <v>2305</v>
      </c>
      <c r="L2334" s="29">
        <v>0</v>
      </c>
      <c r="M2334" s="30">
        <f>IFERROR(VLOOKUP($A2334,HeadJournal!$A$1:$J$890,COLUMN(HeadJournal!I$1),0)*($K2334+$L2334)/(SUMIF($A:$A,$A2334,$K:$K)+SUMIF($A:$A,$A2334,$L:$L)),0)</f>
        <v>0</v>
      </c>
      <c r="N2334" s="30">
        <f>IFERROR((VLOOKUP($A2334,HeadJournal!$A$1:$K$890,COLUMN(HeadJournal!K$1),0)-VLOOKUP($A2334,HeadJournal!$A$1:$K$890,COLUMN(HeadJournal!J$1),0))*($K2334+$L2334)/(SUMIF($A:$A,$A2334,$K:$K)+SUMIF($A:$A,$A2334,$L:$L)),0)</f>
        <v>0</v>
      </c>
      <c r="O2334" s="30">
        <f>IFERROR((VLOOKUP($A2334,HeadJournal!$A$1:$L$890,COLUMN(HeadJournal!L$1),0)*($K2334+$L2334)/(SUMIF($A:$A,$A2334,$K:$K)+SUMIF($A:$A,$A2334,$L:$L)))/VLOOKUP($A2334,HeadJournal!$A$1:$L$890,COLUMN(HeadJournal!H$1),0),0)</f>
        <v>230.5</v>
      </c>
      <c r="P2334" s="30">
        <f>IFERROR(SUM(K2334:O2334)*VLOOKUP($A2334,HeadJournal!$A$1:$L$890,COLUMN(HeadJournal!H$1),0),0)</f>
        <v>2535.5</v>
      </c>
      <c r="Q2334" s="29">
        <v>3800</v>
      </c>
      <c r="R2334" s="31">
        <v>45245</v>
      </c>
      <c r="S2334" s="31" t="s">
        <v>3121</v>
      </c>
      <c r="T2334" s="95" t="str">
        <f t="shared" si="185"/>
        <v>2023 11</v>
      </c>
      <c r="U2334" s="32">
        <f t="shared" si="182"/>
        <v>1264.5</v>
      </c>
      <c r="V2334" s="22">
        <f t="shared" si="183"/>
        <v>0.49871820153815816</v>
      </c>
      <c r="X2334" s="33"/>
      <c r="Y2334" s="33"/>
    </row>
    <row r="2335" spans="1:25" x14ac:dyDescent="0.2">
      <c r="A2335" s="93" t="s">
        <v>1058</v>
      </c>
      <c r="B2335" s="94">
        <f>IFERROR(VLOOKUP($A2335,HeadJournal!$A$1:$NTR$890,COLUMN(HeadJournal!B$1),0),"")</f>
        <v>0</v>
      </c>
      <c r="C2335" s="94" t="str">
        <f>IFERROR(VLOOKUP($A2335,HeadJournal!$A$1:$NTR$890,COLUMN(HeadJournal!C$1),0),"")</f>
        <v>WBRS</v>
      </c>
      <c r="D2335" s="125" t="str">
        <f>IFERROR(VLOOKUP($A2335,HeadJournal!$A$1:$NTR$890,COLUMN(HeadJournal!D$1),0),"")</f>
        <v>Доставлен</v>
      </c>
      <c r="E2335" s="95">
        <f>IFERROR(VLOOKUP($A2335,HeadJournal!$A$1:$NTR$890,COLUMN(HeadJournal!G$1),0),"")</f>
        <v>45215</v>
      </c>
      <c r="F2335" s="95" t="str">
        <f t="shared" si="184"/>
        <v>2023 10</v>
      </c>
      <c r="G2335" s="96" t="s">
        <v>6</v>
      </c>
      <c r="H2335" s="160" t="str">
        <f>RIGHT(Journal!$J2335,9)</f>
        <v>175277649</v>
      </c>
      <c r="I2335" s="96" t="str">
        <f t="shared" si="186"/>
        <v>Insane Labz</v>
      </c>
      <c r="J2335" s="97" t="s">
        <v>1059</v>
      </c>
      <c r="K2335" s="29">
        <v>2305</v>
      </c>
      <c r="L2335" s="29">
        <v>0</v>
      </c>
      <c r="M2335" s="30">
        <f>IFERROR(VLOOKUP($A2335,HeadJournal!$A$1:$J$890,COLUMN(HeadJournal!I$1),0)*($K2335+$L2335)/(SUMIF($A:$A,$A2335,$K:$K)+SUMIF($A:$A,$A2335,$L:$L)),0)</f>
        <v>0</v>
      </c>
      <c r="N2335" s="30">
        <f>IFERROR((VLOOKUP($A2335,HeadJournal!$A$1:$K$890,COLUMN(HeadJournal!K$1),0)-VLOOKUP($A2335,HeadJournal!$A$1:$K$890,COLUMN(HeadJournal!J$1),0))*($K2335+$L2335)/(SUMIF($A:$A,$A2335,$K:$K)+SUMIF($A:$A,$A2335,$L:$L)),0)</f>
        <v>0</v>
      </c>
      <c r="O2335" s="30">
        <f>IFERROR((VLOOKUP($A2335,HeadJournal!$A$1:$L$890,COLUMN(HeadJournal!L$1),0)*($K2335+$L2335)/(SUMIF($A:$A,$A2335,$K:$K)+SUMIF($A:$A,$A2335,$L:$L)))/VLOOKUP($A2335,HeadJournal!$A$1:$L$890,COLUMN(HeadJournal!H$1),0),0)</f>
        <v>230.5</v>
      </c>
      <c r="P2335" s="30">
        <f>IFERROR(SUM(K2335:O2335)*VLOOKUP($A2335,HeadJournal!$A$1:$L$890,COLUMN(HeadJournal!H$1),0),0)</f>
        <v>2535.5</v>
      </c>
      <c r="Q2335" s="29">
        <v>3500</v>
      </c>
      <c r="R2335" s="31">
        <v>45480</v>
      </c>
      <c r="S2335" s="31" t="s">
        <v>3121</v>
      </c>
      <c r="T2335" s="95" t="str">
        <f t="shared" si="185"/>
        <v>2024 07</v>
      </c>
      <c r="U2335" s="32">
        <f t="shared" si="182"/>
        <v>964.5</v>
      </c>
      <c r="V2335" s="22">
        <f t="shared" si="183"/>
        <v>0.38039834352198776</v>
      </c>
      <c r="X2335" s="33"/>
      <c r="Y2335" s="33"/>
    </row>
    <row r="2336" spans="1:25" x14ac:dyDescent="0.2">
      <c r="A2336" s="93" t="s">
        <v>1060</v>
      </c>
      <c r="B2336" s="94">
        <f>IFERROR(VLOOKUP($A2336,HeadJournal!$A$1:$NTR$890,COLUMN(HeadJournal!B$1),0),"")</f>
        <v>0</v>
      </c>
      <c r="C2336" s="94" t="str">
        <f>IFERROR(VLOOKUP($A2336,HeadJournal!$A$1:$NTR$890,COLUMN(HeadJournal!C$1),0),"")</f>
        <v>WBRS</v>
      </c>
      <c r="D2336" s="125" t="str">
        <f>IFERROR(VLOOKUP($A2336,HeadJournal!$A$1:$NTR$890,COLUMN(HeadJournal!D$1),0),"")</f>
        <v>Доставлен</v>
      </c>
      <c r="E2336" s="95">
        <f>IFERROR(VLOOKUP($A2336,HeadJournal!$A$1:$NTR$890,COLUMN(HeadJournal!G$1),0),"")</f>
        <v>45215</v>
      </c>
      <c r="F2336" s="95" t="str">
        <f t="shared" si="184"/>
        <v>2023 10</v>
      </c>
      <c r="G2336" s="96" t="s">
        <v>6</v>
      </c>
      <c r="H2336" s="160" t="str">
        <f>RIGHT(Journal!$J2336,9)</f>
        <v>160688046</v>
      </c>
      <c r="I2336" s="96" t="str">
        <f t="shared" si="186"/>
        <v>Maxler</v>
      </c>
      <c r="J2336" s="97" t="s">
        <v>1061</v>
      </c>
      <c r="K2336" s="29">
        <v>2930</v>
      </c>
      <c r="L2336" s="29">
        <v>0</v>
      </c>
      <c r="M2336" s="30">
        <f>IFERROR(VLOOKUP($A2336,HeadJournal!$A$1:$J$890,COLUMN(HeadJournal!I$1),0)*($K2336+$L2336)/(SUMIF($A:$A,$A2336,$K:$K)+SUMIF($A:$A,$A2336,$L:$L)),0)</f>
        <v>0</v>
      </c>
      <c r="N2336" s="30">
        <f>IFERROR((VLOOKUP($A2336,HeadJournal!$A$1:$K$890,COLUMN(HeadJournal!K$1),0)-VLOOKUP($A2336,HeadJournal!$A$1:$K$890,COLUMN(HeadJournal!J$1),0))*($K2336+$L2336)/(SUMIF($A:$A,$A2336,$K:$K)+SUMIF($A:$A,$A2336,$L:$L)),0)</f>
        <v>0</v>
      </c>
      <c r="O2336" s="30">
        <f>IFERROR((VLOOKUP($A2336,HeadJournal!$A$1:$L$890,COLUMN(HeadJournal!L$1),0)*($K2336+$L2336)/(SUMIF($A:$A,$A2336,$K:$K)+SUMIF($A:$A,$A2336,$L:$L)))/VLOOKUP($A2336,HeadJournal!$A$1:$L$890,COLUMN(HeadJournal!H$1),0),0)</f>
        <v>293</v>
      </c>
      <c r="P2336" s="30">
        <f>IFERROR(SUM(K2336:O2336)*VLOOKUP($A2336,HeadJournal!$A$1:$L$890,COLUMN(HeadJournal!H$1),0),0)</f>
        <v>3223</v>
      </c>
      <c r="Q2336" s="29">
        <v>3800</v>
      </c>
      <c r="R2336" s="31">
        <v>45224</v>
      </c>
      <c r="S2336" s="31" t="s">
        <v>3121</v>
      </c>
      <c r="T2336" s="95" t="str">
        <f t="shared" si="185"/>
        <v>2023 10</v>
      </c>
      <c r="U2336" s="32">
        <f t="shared" si="182"/>
        <v>577</v>
      </c>
      <c r="V2336" s="22">
        <f t="shared" si="183"/>
        <v>0.17902575240459198</v>
      </c>
      <c r="X2336" s="33"/>
      <c r="Y2336" s="33"/>
    </row>
    <row r="2337" spans="1:25" x14ac:dyDescent="0.2">
      <c r="A2337" s="93" t="s">
        <v>1060</v>
      </c>
      <c r="B2337" s="94">
        <f>IFERROR(VLOOKUP($A2337,HeadJournal!$A$1:$NTR$890,COLUMN(HeadJournal!B$1),0),"")</f>
        <v>0</v>
      </c>
      <c r="C2337" s="94" t="str">
        <f>IFERROR(VLOOKUP($A2337,HeadJournal!$A$1:$NTR$890,COLUMN(HeadJournal!C$1),0),"")</f>
        <v>WBRS</v>
      </c>
      <c r="D2337" s="125" t="str">
        <f>IFERROR(VLOOKUP($A2337,HeadJournal!$A$1:$NTR$890,COLUMN(HeadJournal!D$1),0),"")</f>
        <v>Доставлен</v>
      </c>
      <c r="E2337" s="95">
        <f>IFERROR(VLOOKUP($A2337,HeadJournal!$A$1:$NTR$890,COLUMN(HeadJournal!G$1),0),"")</f>
        <v>45215</v>
      </c>
      <c r="F2337" s="95" t="str">
        <f t="shared" si="184"/>
        <v>2023 10</v>
      </c>
      <c r="G2337" s="96" t="s">
        <v>6</v>
      </c>
      <c r="H2337" s="160" t="str">
        <f>RIGHT(Journal!$J2337,9)</f>
        <v>160688046</v>
      </c>
      <c r="I2337" s="96" t="str">
        <f t="shared" si="186"/>
        <v>Maxler</v>
      </c>
      <c r="J2337" s="97" t="s">
        <v>1061</v>
      </c>
      <c r="K2337" s="29">
        <v>2930</v>
      </c>
      <c r="L2337" s="29">
        <v>0</v>
      </c>
      <c r="M2337" s="30">
        <f>IFERROR(VLOOKUP($A2337,HeadJournal!$A$1:$J$890,COLUMN(HeadJournal!I$1),0)*($K2337+$L2337)/(SUMIF($A:$A,$A2337,$K:$K)+SUMIF($A:$A,$A2337,$L:$L)),0)</f>
        <v>0</v>
      </c>
      <c r="N2337" s="30">
        <f>IFERROR((VLOOKUP($A2337,HeadJournal!$A$1:$K$890,COLUMN(HeadJournal!K$1),0)-VLOOKUP($A2337,HeadJournal!$A$1:$K$890,COLUMN(HeadJournal!J$1),0))*($K2337+$L2337)/(SUMIF($A:$A,$A2337,$K:$K)+SUMIF($A:$A,$A2337,$L:$L)),0)</f>
        <v>0</v>
      </c>
      <c r="O2337" s="30">
        <f>IFERROR((VLOOKUP($A2337,HeadJournal!$A$1:$L$890,COLUMN(HeadJournal!L$1),0)*($K2337+$L2337)/(SUMIF($A:$A,$A2337,$K:$K)+SUMIF($A:$A,$A2337,$L:$L)))/VLOOKUP($A2337,HeadJournal!$A$1:$L$890,COLUMN(HeadJournal!H$1),0),0)</f>
        <v>293</v>
      </c>
      <c r="P2337" s="30">
        <f>IFERROR(SUM(K2337:O2337)*VLOOKUP($A2337,HeadJournal!$A$1:$L$890,COLUMN(HeadJournal!H$1),0),0)</f>
        <v>3223</v>
      </c>
      <c r="Q2337" s="29">
        <v>3800</v>
      </c>
      <c r="R2337" s="31">
        <v>45224</v>
      </c>
      <c r="S2337" s="31" t="s">
        <v>3121</v>
      </c>
      <c r="T2337" s="95" t="str">
        <f t="shared" si="185"/>
        <v>2023 10</v>
      </c>
      <c r="U2337" s="32">
        <f t="shared" si="182"/>
        <v>577</v>
      </c>
      <c r="V2337" s="22">
        <f t="shared" si="183"/>
        <v>0.17902575240459198</v>
      </c>
      <c r="X2337" s="33"/>
      <c r="Y2337" s="33"/>
    </row>
    <row r="2338" spans="1:25" x14ac:dyDescent="0.2">
      <c r="A2338" s="93" t="s">
        <v>1062</v>
      </c>
      <c r="B2338" s="94">
        <f>IFERROR(VLOOKUP($A2338,HeadJournal!$A$1:$NTR$890,COLUMN(HeadJournal!B$1),0),"")</f>
        <v>0</v>
      </c>
      <c r="C2338" s="94" t="str">
        <f>IFERROR(VLOOKUP($A2338,HeadJournal!$A$1:$NTR$890,COLUMN(HeadJournal!C$1),0),"")</f>
        <v>WBRS</v>
      </c>
      <c r="D2338" s="125" t="str">
        <f>IFERROR(VLOOKUP($A2338,HeadJournal!$A$1:$NTR$890,COLUMN(HeadJournal!D$1),0),"")</f>
        <v>Доставлен</v>
      </c>
      <c r="E2338" s="95">
        <f>IFERROR(VLOOKUP($A2338,HeadJournal!$A$1:$NTR$890,COLUMN(HeadJournal!G$1),0),"")</f>
        <v>45215</v>
      </c>
      <c r="F2338" s="95" t="str">
        <f t="shared" si="184"/>
        <v>2023 10</v>
      </c>
      <c r="G2338" s="96" t="s">
        <v>6</v>
      </c>
      <c r="H2338" s="160" t="str">
        <f>RIGHT(Journal!$J2338,9)</f>
        <v>125798812</v>
      </c>
      <c r="I2338" s="96" t="str">
        <f t="shared" si="186"/>
        <v>Maxler</v>
      </c>
      <c r="J2338" s="97" t="s">
        <v>1063</v>
      </c>
      <c r="K2338" s="29">
        <v>2639</v>
      </c>
      <c r="L2338" s="29">
        <v>0</v>
      </c>
      <c r="M2338" s="30">
        <f>IFERROR(VLOOKUP($A2338,HeadJournal!$A$1:$J$890,COLUMN(HeadJournal!I$1),0)*($K2338+$L2338)/(SUMIF($A:$A,$A2338,$K:$K)+SUMIF($A:$A,$A2338,$L:$L)),0)</f>
        <v>0</v>
      </c>
      <c r="N2338" s="30">
        <f>IFERROR((VLOOKUP($A2338,HeadJournal!$A$1:$K$890,COLUMN(HeadJournal!K$1),0)-VLOOKUP($A2338,HeadJournal!$A$1:$K$890,COLUMN(HeadJournal!J$1),0))*($K2338+$L2338)/(SUMIF($A:$A,$A2338,$K:$K)+SUMIF($A:$A,$A2338,$L:$L)),0)</f>
        <v>0</v>
      </c>
      <c r="O2338" s="30">
        <f>IFERROR((VLOOKUP($A2338,HeadJournal!$A$1:$L$890,COLUMN(HeadJournal!L$1),0)*($K2338+$L2338)/(SUMIF($A:$A,$A2338,$K:$K)+SUMIF($A:$A,$A2338,$L:$L)))/VLOOKUP($A2338,HeadJournal!$A$1:$L$890,COLUMN(HeadJournal!H$1),0),0)</f>
        <v>263.90000000000003</v>
      </c>
      <c r="P2338" s="30">
        <f>IFERROR(SUM(K2338:O2338)*VLOOKUP($A2338,HeadJournal!$A$1:$L$890,COLUMN(HeadJournal!H$1),0),0)</f>
        <v>2902.9</v>
      </c>
      <c r="Q2338" s="29">
        <v>3500</v>
      </c>
      <c r="R2338" s="31">
        <v>45307</v>
      </c>
      <c r="S2338" s="31" t="s">
        <v>3121</v>
      </c>
      <c r="T2338" s="95" t="str">
        <f t="shared" si="185"/>
        <v>2024 01</v>
      </c>
      <c r="U2338" s="32">
        <f t="shared" si="182"/>
        <v>597.09999999999991</v>
      </c>
      <c r="V2338" s="22">
        <f t="shared" si="183"/>
        <v>0.20569086086327462</v>
      </c>
      <c r="X2338" s="33"/>
      <c r="Y2338" s="33"/>
    </row>
    <row r="2339" spans="1:25" x14ac:dyDescent="0.2">
      <c r="A2339" s="93" t="s">
        <v>1062</v>
      </c>
      <c r="B2339" s="94">
        <f>IFERROR(VLOOKUP($A2339,HeadJournal!$A$1:$NTR$890,COLUMN(HeadJournal!B$1),0),"")</f>
        <v>0</v>
      </c>
      <c r="C2339" s="94" t="str">
        <f>IFERROR(VLOOKUP($A2339,HeadJournal!$A$1:$NTR$890,COLUMN(HeadJournal!C$1),0),"")</f>
        <v>WBRS</v>
      </c>
      <c r="D2339" s="125" t="str">
        <f>IFERROR(VLOOKUP($A2339,HeadJournal!$A$1:$NTR$890,COLUMN(HeadJournal!D$1),0),"")</f>
        <v>Доставлен</v>
      </c>
      <c r="E2339" s="95">
        <f>IFERROR(VLOOKUP($A2339,HeadJournal!$A$1:$NTR$890,COLUMN(HeadJournal!G$1),0),"")</f>
        <v>45215</v>
      </c>
      <c r="F2339" s="95" t="str">
        <f t="shared" si="184"/>
        <v>2023 10</v>
      </c>
      <c r="G2339" s="96" t="s">
        <v>6</v>
      </c>
      <c r="H2339" s="160" t="str">
        <f>RIGHT(Journal!$J2339,9)</f>
        <v>125798812</v>
      </c>
      <c r="I2339" s="96" t="str">
        <f t="shared" si="186"/>
        <v>Maxler</v>
      </c>
      <c r="J2339" s="97" t="s">
        <v>1063</v>
      </c>
      <c r="K2339" s="29">
        <v>2639</v>
      </c>
      <c r="L2339" s="29">
        <v>0</v>
      </c>
      <c r="M2339" s="30">
        <f>IFERROR(VLOOKUP($A2339,HeadJournal!$A$1:$J$890,COLUMN(HeadJournal!I$1),0)*($K2339+$L2339)/(SUMIF($A:$A,$A2339,$K:$K)+SUMIF($A:$A,$A2339,$L:$L)),0)</f>
        <v>0</v>
      </c>
      <c r="N2339" s="30">
        <f>IFERROR((VLOOKUP($A2339,HeadJournal!$A$1:$K$890,COLUMN(HeadJournal!K$1),0)-VLOOKUP($A2339,HeadJournal!$A$1:$K$890,COLUMN(HeadJournal!J$1),0))*($K2339+$L2339)/(SUMIF($A:$A,$A2339,$K:$K)+SUMIF($A:$A,$A2339,$L:$L)),0)</f>
        <v>0</v>
      </c>
      <c r="O2339" s="30">
        <f>IFERROR((VLOOKUP($A2339,HeadJournal!$A$1:$L$890,COLUMN(HeadJournal!L$1),0)*($K2339+$L2339)/(SUMIF($A:$A,$A2339,$K:$K)+SUMIF($A:$A,$A2339,$L:$L)))/VLOOKUP($A2339,HeadJournal!$A$1:$L$890,COLUMN(HeadJournal!H$1),0),0)</f>
        <v>263.90000000000003</v>
      </c>
      <c r="P2339" s="30">
        <f>IFERROR(SUM(K2339:O2339)*VLOOKUP($A2339,HeadJournal!$A$1:$L$890,COLUMN(HeadJournal!H$1),0),0)</f>
        <v>2902.9</v>
      </c>
      <c r="Q2339" s="29">
        <v>3500</v>
      </c>
      <c r="R2339" s="31">
        <v>45480</v>
      </c>
      <c r="S2339" s="31" t="s">
        <v>3121</v>
      </c>
      <c r="T2339" s="95" t="str">
        <f t="shared" si="185"/>
        <v>2024 07</v>
      </c>
      <c r="U2339" s="32">
        <f t="shared" si="182"/>
        <v>597.09999999999991</v>
      </c>
      <c r="V2339" s="22">
        <f t="shared" si="183"/>
        <v>0.20569086086327462</v>
      </c>
      <c r="X2339" s="33"/>
      <c r="Y2339" s="33"/>
    </row>
    <row r="2340" spans="1:25" x14ac:dyDescent="0.2">
      <c r="A2340" s="93" t="s">
        <v>1062</v>
      </c>
      <c r="B2340" s="94">
        <f>IFERROR(VLOOKUP($A2340,HeadJournal!$A$1:$NTR$890,COLUMN(HeadJournal!B$1),0),"")</f>
        <v>0</v>
      </c>
      <c r="C2340" s="94" t="str">
        <f>IFERROR(VLOOKUP($A2340,HeadJournal!$A$1:$NTR$890,COLUMN(HeadJournal!C$1),0),"")</f>
        <v>WBRS</v>
      </c>
      <c r="D2340" s="125" t="str">
        <f>IFERROR(VLOOKUP($A2340,HeadJournal!$A$1:$NTR$890,COLUMN(HeadJournal!D$1),0),"")</f>
        <v>Доставлен</v>
      </c>
      <c r="E2340" s="95">
        <f>IFERROR(VLOOKUP($A2340,HeadJournal!$A$1:$NTR$890,COLUMN(HeadJournal!G$1),0),"")</f>
        <v>45215</v>
      </c>
      <c r="F2340" s="95" t="str">
        <f t="shared" si="184"/>
        <v>2023 10</v>
      </c>
      <c r="G2340" s="96" t="s">
        <v>6</v>
      </c>
      <c r="H2340" s="160" t="str">
        <f>RIGHT(Journal!$J2340,9)</f>
        <v>125798812</v>
      </c>
      <c r="I2340" s="96" t="str">
        <f t="shared" si="186"/>
        <v>Maxler</v>
      </c>
      <c r="J2340" s="97" t="s">
        <v>1063</v>
      </c>
      <c r="K2340" s="29">
        <v>2639</v>
      </c>
      <c r="L2340" s="29">
        <v>0</v>
      </c>
      <c r="M2340" s="30">
        <f>IFERROR(VLOOKUP($A2340,HeadJournal!$A$1:$J$890,COLUMN(HeadJournal!I$1),0)*($K2340+$L2340)/(SUMIF($A:$A,$A2340,$K:$K)+SUMIF($A:$A,$A2340,$L:$L)),0)</f>
        <v>0</v>
      </c>
      <c r="N2340" s="30">
        <f>IFERROR((VLOOKUP($A2340,HeadJournal!$A$1:$K$890,COLUMN(HeadJournal!K$1),0)-VLOOKUP($A2340,HeadJournal!$A$1:$K$890,COLUMN(HeadJournal!J$1),0))*($K2340+$L2340)/(SUMIF($A:$A,$A2340,$K:$K)+SUMIF($A:$A,$A2340,$L:$L)),0)</f>
        <v>0</v>
      </c>
      <c r="O2340" s="30">
        <f>IFERROR((VLOOKUP($A2340,HeadJournal!$A$1:$L$890,COLUMN(HeadJournal!L$1),0)*($K2340+$L2340)/(SUMIF($A:$A,$A2340,$K:$K)+SUMIF($A:$A,$A2340,$L:$L)))/VLOOKUP($A2340,HeadJournal!$A$1:$L$890,COLUMN(HeadJournal!H$1),0),0)</f>
        <v>263.90000000000003</v>
      </c>
      <c r="P2340" s="30">
        <f>IFERROR(SUM(K2340:O2340)*VLOOKUP($A2340,HeadJournal!$A$1:$L$890,COLUMN(HeadJournal!H$1),0),0)</f>
        <v>2902.9</v>
      </c>
      <c r="Q2340" s="29">
        <v>3500</v>
      </c>
      <c r="R2340" s="31">
        <v>45514</v>
      </c>
      <c r="S2340" s="31" t="s">
        <v>3121</v>
      </c>
      <c r="T2340" s="95" t="str">
        <f t="shared" si="185"/>
        <v>2024 08</v>
      </c>
      <c r="U2340" s="32">
        <f t="shared" si="182"/>
        <v>597.09999999999991</v>
      </c>
      <c r="V2340" s="22">
        <f t="shared" si="183"/>
        <v>0.20569086086327462</v>
      </c>
      <c r="X2340" s="33"/>
      <c r="Y2340" s="33"/>
    </row>
    <row r="2341" spans="1:25" x14ac:dyDescent="0.2">
      <c r="A2341" s="93" t="s">
        <v>1064</v>
      </c>
      <c r="B2341" s="94" t="str">
        <f>IFERROR(VLOOKUP($A2341,HeadJournal!$A$1:$NTR$890,COLUMN(HeadJournal!B$1),0),"")</f>
        <v>700000967207</v>
      </c>
      <c r="C2341" s="94" t="str">
        <f>IFERROR(VLOOKUP($A2341,HeadJournal!$A$1:$NTR$890,COLUMN(HeadJournal!C$1),0),"")</f>
        <v>iHerb_VP DFD1605</v>
      </c>
      <c r="D2341" s="125" t="str">
        <f>IFERROR(VLOOKUP($A2341,HeadJournal!$A$1:$NTR$890,COLUMN(HeadJournal!D$1),0),"")</f>
        <v>Доставлен</v>
      </c>
      <c r="E2341" s="95">
        <f>IFERROR(VLOOKUP($A2341,HeadJournal!$A$1:$NTR$890,COLUMN(HeadJournal!G$1),0),"")</f>
        <v>45221</v>
      </c>
      <c r="F2341" s="95" t="str">
        <f t="shared" si="184"/>
        <v>2023 10</v>
      </c>
      <c r="G2341" s="96" t="s">
        <v>5</v>
      </c>
      <c r="H2341" s="160" t="str">
        <f>RIGHT(Journal!$J2341,9)</f>
        <v>CEN-27452</v>
      </c>
      <c r="I2341" s="96" t="str">
        <f t="shared" si="186"/>
        <v>21st Century</v>
      </c>
      <c r="J2341" s="97" t="s">
        <v>71</v>
      </c>
      <c r="K2341" s="29">
        <v>5.84</v>
      </c>
      <c r="L2341" s="29">
        <v>-0.88</v>
      </c>
      <c r="M2341" s="30">
        <f>IFERROR(VLOOKUP($A2341,HeadJournal!$A$1:$J$890,COLUMN(HeadJournal!I$1),0)*($K2341+$L2341)/(SUMIF($A:$A,$A2341,$K:$K)+SUMIF($A:$A,$A2341,$L:$L)),0)</f>
        <v>-0.35362521891418558</v>
      </c>
      <c r="N2341" s="30">
        <f>IFERROR((VLOOKUP($A2341,HeadJournal!$A$1:$K$890,COLUMN(HeadJournal!K$1),0)-VLOOKUP($A2341,HeadJournal!$A$1:$K$890,COLUMN(HeadJournal!J$1),0))*($K2341+$L2341)/(SUMIF($A:$A,$A2341,$K:$K)+SUMIF($A:$A,$A2341,$L:$L)),0)</f>
        <v>-7.9640516792725756E-16</v>
      </c>
      <c r="O2341" s="30">
        <f>IFERROR((VLOOKUP($A2341,HeadJournal!$A$1:$L$890,COLUMN(HeadJournal!L$1),0)*($K2341+$L2341)/(SUMIF($A:$A,$A2341,$K:$K)+SUMIF($A:$A,$A2341,$L:$L)))/VLOOKUP($A2341,HeadJournal!$A$1:$L$890,COLUMN(HeadJournal!H$1),0),0)</f>
        <v>0.15580877199252716</v>
      </c>
      <c r="P2341" s="30">
        <f>IFERROR(SUM(K2341:O2341)*VLOOKUP($A2341,HeadJournal!$A$1:$L$890,COLUMN(HeadJournal!H$1),0),0)</f>
        <v>527.78255691768823</v>
      </c>
      <c r="Q2341" s="29">
        <v>1100</v>
      </c>
      <c r="R2341" s="31">
        <v>45589</v>
      </c>
      <c r="S2341" s="31" t="s">
        <v>3121</v>
      </c>
      <c r="T2341" s="95" t="str">
        <f t="shared" si="185"/>
        <v>2024 10</v>
      </c>
      <c r="U2341" s="32">
        <f t="shared" si="182"/>
        <v>572.21744308231177</v>
      </c>
      <c r="V2341" s="22">
        <f t="shared" si="183"/>
        <v>1.0841916535175555</v>
      </c>
      <c r="X2341" s="33"/>
      <c r="Y2341" s="33"/>
    </row>
    <row r="2342" spans="1:25" x14ac:dyDescent="0.2">
      <c r="A2342" s="93" t="s">
        <v>1064</v>
      </c>
      <c r="B2342" s="94" t="str">
        <f>IFERROR(VLOOKUP($A2342,HeadJournal!$A$1:$NTR$890,COLUMN(HeadJournal!B$1),0),"")</f>
        <v>700000967207</v>
      </c>
      <c r="C2342" s="94" t="str">
        <f>IFERROR(VLOOKUP($A2342,HeadJournal!$A$1:$NTR$890,COLUMN(HeadJournal!C$1),0),"")</f>
        <v>iHerb_VP DFD1605</v>
      </c>
      <c r="D2342" s="125" t="str">
        <f>IFERROR(VLOOKUP($A2342,HeadJournal!$A$1:$NTR$890,COLUMN(HeadJournal!D$1),0),"")</f>
        <v>Доставлен</v>
      </c>
      <c r="E2342" s="95">
        <f>IFERROR(VLOOKUP($A2342,HeadJournal!$A$1:$NTR$890,COLUMN(HeadJournal!G$1),0),"")</f>
        <v>45221</v>
      </c>
      <c r="F2342" s="95" t="str">
        <f t="shared" si="184"/>
        <v>2023 10</v>
      </c>
      <c r="G2342" s="96" t="s">
        <v>5</v>
      </c>
      <c r="H2342" s="160" t="str">
        <f>RIGHT(Journal!$J2342,9)</f>
        <v>CEN-27493</v>
      </c>
      <c r="I2342" s="96" t="str">
        <f t="shared" si="186"/>
        <v>21st Century</v>
      </c>
      <c r="J2342" s="97" t="s">
        <v>152</v>
      </c>
      <c r="K2342" s="29">
        <v>10</v>
      </c>
      <c r="L2342" s="29">
        <v>-2</v>
      </c>
      <c r="M2342" s="30">
        <f>IFERROR(VLOOKUP($A2342,HeadJournal!$A$1:$J$890,COLUMN(HeadJournal!I$1),0)*($K2342+$L2342)/(SUMIF($A:$A,$A2342,$K:$K)+SUMIF($A:$A,$A2342,$L:$L)),0)</f>
        <v>-0.5703632563132025</v>
      </c>
      <c r="N2342" s="30">
        <f>IFERROR((VLOOKUP($A2342,HeadJournal!$A$1:$K$890,COLUMN(HeadJournal!K$1),0)-VLOOKUP($A2342,HeadJournal!$A$1:$K$890,COLUMN(HeadJournal!J$1),0))*($K2342+$L2342)/(SUMIF($A:$A,$A2342,$K:$K)+SUMIF($A:$A,$A2342,$L:$L)),0)</f>
        <v>-1.2845244643988026E-15</v>
      </c>
      <c r="O2342" s="30">
        <f>IFERROR((VLOOKUP($A2342,HeadJournal!$A$1:$L$890,COLUMN(HeadJournal!L$1),0)*($K2342+$L2342)/(SUMIF($A:$A,$A2342,$K:$K)+SUMIF($A:$A,$A2342,$L:$L)))/VLOOKUP($A2342,HeadJournal!$A$1:$L$890,COLUMN(HeadJournal!H$1),0),0)</f>
        <v>0.25130447095568892</v>
      </c>
      <c r="P2342" s="30">
        <f>IFERROR(SUM(K2342:O2342)*VLOOKUP($A2342,HeadJournal!$A$1:$L$890,COLUMN(HeadJournal!H$1),0),0)</f>
        <v>851.26218857691663</v>
      </c>
      <c r="Q2342" s="29">
        <v>1500</v>
      </c>
      <c r="R2342" s="31">
        <v>45261</v>
      </c>
      <c r="S2342" s="31" t="s">
        <v>3121</v>
      </c>
      <c r="T2342" s="95" t="str">
        <f t="shared" si="185"/>
        <v>2023 12</v>
      </c>
      <c r="U2342" s="32">
        <f t="shared" si="182"/>
        <v>648.73781142308337</v>
      </c>
      <c r="V2342" s="22">
        <f t="shared" si="183"/>
        <v>0.76208930706484213</v>
      </c>
      <c r="X2342" s="33"/>
      <c r="Y2342" s="33"/>
    </row>
    <row r="2343" spans="1:25" x14ac:dyDescent="0.2">
      <c r="A2343" s="93" t="s">
        <v>1064</v>
      </c>
      <c r="B2343" s="94" t="str">
        <f>IFERROR(VLOOKUP($A2343,HeadJournal!$A$1:$NTR$890,COLUMN(HeadJournal!B$1),0),"")</f>
        <v>700000967207</v>
      </c>
      <c r="C2343" s="94" t="str">
        <f>IFERROR(VLOOKUP($A2343,HeadJournal!$A$1:$NTR$890,COLUMN(HeadJournal!C$1),0),"")</f>
        <v>iHerb_VP DFD1605</v>
      </c>
      <c r="D2343" s="125" t="str">
        <f>IFERROR(VLOOKUP($A2343,HeadJournal!$A$1:$NTR$890,COLUMN(HeadJournal!D$1),0),"")</f>
        <v>Доставлен</v>
      </c>
      <c r="E2343" s="95">
        <f>IFERROR(VLOOKUP($A2343,HeadJournal!$A$1:$NTR$890,COLUMN(HeadJournal!G$1),0),"")</f>
        <v>45221</v>
      </c>
      <c r="F2343" s="95" t="str">
        <f t="shared" si="184"/>
        <v>2023 10</v>
      </c>
      <c r="G2343" s="96" t="s">
        <v>5</v>
      </c>
      <c r="H2343" s="160" t="str">
        <f>RIGHT(Journal!$J2343,9)</f>
        <v>EVL-02739</v>
      </c>
      <c r="I2343" s="96" t="str">
        <f t="shared" si="186"/>
        <v>EVLution Nutrition</v>
      </c>
      <c r="J2343" s="97" t="s">
        <v>782</v>
      </c>
      <c r="K2343" s="29">
        <v>13.04</v>
      </c>
      <c r="L2343" s="29">
        <v>-1.96</v>
      </c>
      <c r="M2343" s="30">
        <f>IFERROR(VLOOKUP($A2343,HeadJournal!$A$1:$J$890,COLUMN(HeadJournal!I$1),0)*($K2343+$L2343)/(SUMIF($A:$A,$A2343,$K:$K)+SUMIF($A:$A,$A2343,$L:$L)),0)</f>
        <v>-0.78995310999378543</v>
      </c>
      <c r="N2343" s="30">
        <f>IFERROR((VLOOKUP($A2343,HeadJournal!$A$1:$K$890,COLUMN(HeadJournal!K$1),0)-VLOOKUP($A2343,HeadJournal!$A$1:$K$890,COLUMN(HeadJournal!J$1),0))*($K2343+$L2343)/(SUMIF($A:$A,$A2343,$K:$K)+SUMIF($A:$A,$A2343,$L:$L)),0)</f>
        <v>-1.7790663831923412E-15</v>
      </c>
      <c r="O2343" s="30">
        <f>IFERROR((VLOOKUP($A2343,HeadJournal!$A$1:$L$890,COLUMN(HeadJournal!L$1),0)*($K2343+$L2343)/(SUMIF($A:$A,$A2343,$K:$K)+SUMIF($A:$A,$A2343,$L:$L)))/VLOOKUP($A2343,HeadJournal!$A$1:$L$890,COLUMN(HeadJournal!H$1),0),0)</f>
        <v>0.34805669227362918</v>
      </c>
      <c r="P2343" s="30">
        <f>IFERROR(SUM(K2343:O2343)*VLOOKUP($A2343,HeadJournal!$A$1:$L$890,COLUMN(HeadJournal!H$1),0),0)</f>
        <v>1178.9981311790291</v>
      </c>
      <c r="Q2343" s="29">
        <v>1900</v>
      </c>
      <c r="R2343" s="31">
        <v>45288</v>
      </c>
      <c r="S2343" s="31" t="s">
        <v>3121</v>
      </c>
      <c r="T2343" s="95" t="str">
        <f t="shared" si="185"/>
        <v>2023 12</v>
      </c>
      <c r="U2343" s="32">
        <f t="shared" si="182"/>
        <v>721.00186882097091</v>
      </c>
      <c r="V2343" s="22">
        <f t="shared" si="183"/>
        <v>0.61153775375364683</v>
      </c>
      <c r="X2343" s="33"/>
      <c r="Y2343" s="33"/>
    </row>
    <row r="2344" spans="1:25" x14ac:dyDescent="0.2">
      <c r="A2344" s="93" t="s">
        <v>1064</v>
      </c>
      <c r="B2344" s="94" t="str">
        <f>IFERROR(VLOOKUP($A2344,HeadJournal!$A$1:$NTR$890,COLUMN(HeadJournal!B$1),0),"")</f>
        <v>700000967207</v>
      </c>
      <c r="C2344" s="94" t="str">
        <f>IFERROR(VLOOKUP($A2344,HeadJournal!$A$1:$NTR$890,COLUMN(HeadJournal!C$1),0),"")</f>
        <v>iHerb_VP DFD1605</v>
      </c>
      <c r="D2344" s="125" t="str">
        <f>IFERROR(VLOOKUP($A2344,HeadJournal!$A$1:$NTR$890,COLUMN(HeadJournal!D$1),0),"")</f>
        <v>Доставлен</v>
      </c>
      <c r="E2344" s="95">
        <f>IFERROR(VLOOKUP($A2344,HeadJournal!$A$1:$NTR$890,COLUMN(HeadJournal!G$1),0),"")</f>
        <v>45221</v>
      </c>
      <c r="F2344" s="95" t="str">
        <f t="shared" si="184"/>
        <v>2023 10</v>
      </c>
      <c r="G2344" s="96" t="s">
        <v>5</v>
      </c>
      <c r="H2344" s="161" t="s">
        <v>2073</v>
      </c>
      <c r="I2344" s="97" t="s">
        <v>2005</v>
      </c>
      <c r="J2344" s="97" t="s">
        <v>2074</v>
      </c>
      <c r="K2344" s="29">
        <v>19.690000000000001</v>
      </c>
      <c r="L2344" s="29">
        <v>-3.936666666666667</v>
      </c>
      <c r="M2344" s="30">
        <f>IFERROR(VLOOKUP($A2344,HeadJournal!$A$1:$J$890,COLUMN(HeadJournal!I$1),0)*($K2344+$L2344)/(SUMIF($A:$A,$A2344,$K:$K)+SUMIF($A:$A,$A2344,$L:$L)),0)</f>
        <v>-1.1231403122234147</v>
      </c>
      <c r="N2344" s="30">
        <f>IFERROR((VLOOKUP($A2344,HeadJournal!$A$1:$K$890,COLUMN(HeadJournal!K$1),0)-VLOOKUP($A2344,HeadJournal!$A$1:$K$890,COLUMN(HeadJournal!J$1),0))*($K2344+$L2344)/(SUMIF($A:$A,$A2344,$K:$K)+SUMIF($A:$A,$A2344,$L:$L)),0)</f>
        <v>-2.5294427578119754E-15</v>
      </c>
      <c r="O2344" s="30">
        <f>IFERROR((VLOOKUP($A2344,HeadJournal!$A$1:$L$890,COLUMN(HeadJournal!L$1),0)*($K2344+$L2344)/(SUMIF($A:$A,$A2344,$K:$K)+SUMIF($A:$A,$A2344,$L:$L)))/VLOOKUP($A2344,HeadJournal!$A$1:$L$890,COLUMN(HeadJournal!H$1),0),0)</f>
        <v>0.49486038739024418</v>
      </c>
      <c r="P2344" s="30">
        <f>IFERROR(SUM(K2344:O2344)*VLOOKUP($A2344,HeadJournal!$A$1:$L$890,COLUMN(HeadJournal!H$1),0),0)</f>
        <v>1676.2771263393784</v>
      </c>
      <c r="Q2344" s="29">
        <v>2500</v>
      </c>
      <c r="R2344" s="31">
        <v>45255</v>
      </c>
      <c r="S2344" s="31" t="s">
        <v>3121</v>
      </c>
      <c r="T2344" s="95" t="str">
        <f t="shared" si="185"/>
        <v>2023 11</v>
      </c>
      <c r="U2344" s="32">
        <f t="shared" si="182"/>
        <v>823.72287366062164</v>
      </c>
      <c r="V2344" s="22">
        <f t="shared" si="183"/>
        <v>0.49140017525589685</v>
      </c>
      <c r="X2344" s="33"/>
      <c r="Y2344" s="33"/>
    </row>
    <row r="2345" spans="1:25" x14ac:dyDescent="0.2">
      <c r="A2345" s="93" t="s">
        <v>1064</v>
      </c>
      <c r="B2345" s="94" t="str">
        <f>IFERROR(VLOOKUP($A2345,HeadJournal!$A$1:$NTR$890,COLUMN(HeadJournal!B$1),0),"")</f>
        <v>700000967207</v>
      </c>
      <c r="C2345" s="94" t="str">
        <f>IFERROR(VLOOKUP($A2345,HeadJournal!$A$1:$NTR$890,COLUMN(HeadJournal!C$1),0),"")</f>
        <v>iHerb_VP DFD1605</v>
      </c>
      <c r="D2345" s="125" t="str">
        <f>IFERROR(VLOOKUP($A2345,HeadJournal!$A$1:$NTR$890,COLUMN(HeadJournal!D$1),0),"")</f>
        <v>Доставлен</v>
      </c>
      <c r="E2345" s="95">
        <f>IFERROR(VLOOKUP($A2345,HeadJournal!$A$1:$NTR$890,COLUMN(HeadJournal!G$1),0),"")</f>
        <v>45221</v>
      </c>
      <c r="F2345" s="95" t="str">
        <f t="shared" si="184"/>
        <v>2023 10</v>
      </c>
      <c r="G2345" s="96" t="s">
        <v>5</v>
      </c>
      <c r="H2345" s="161" t="s">
        <v>2073</v>
      </c>
      <c r="I2345" s="97" t="s">
        <v>2005</v>
      </c>
      <c r="J2345" s="97" t="s">
        <v>2074</v>
      </c>
      <c r="K2345" s="29">
        <v>19.690000000000001</v>
      </c>
      <c r="L2345" s="29">
        <v>-3.936666666666667</v>
      </c>
      <c r="M2345" s="30">
        <f>IFERROR(VLOOKUP($A2345,HeadJournal!$A$1:$J$890,COLUMN(HeadJournal!I$1),0)*($K2345+$L2345)/(SUMIF($A:$A,$A2345,$K:$K)+SUMIF($A:$A,$A2345,$L:$L)),0)</f>
        <v>-1.1231403122234147</v>
      </c>
      <c r="N2345" s="30">
        <f>IFERROR((VLOOKUP($A2345,HeadJournal!$A$1:$K$890,COLUMN(HeadJournal!K$1),0)-VLOOKUP($A2345,HeadJournal!$A$1:$K$890,COLUMN(HeadJournal!J$1),0))*($K2345+$L2345)/(SUMIF($A:$A,$A2345,$K:$K)+SUMIF($A:$A,$A2345,$L:$L)),0)</f>
        <v>-2.5294427578119754E-15</v>
      </c>
      <c r="O2345" s="30">
        <f>IFERROR((VLOOKUP($A2345,HeadJournal!$A$1:$L$890,COLUMN(HeadJournal!L$1),0)*($K2345+$L2345)/(SUMIF($A:$A,$A2345,$K:$K)+SUMIF($A:$A,$A2345,$L:$L)))/VLOOKUP($A2345,HeadJournal!$A$1:$L$890,COLUMN(HeadJournal!H$1),0),0)</f>
        <v>0.49486038739024418</v>
      </c>
      <c r="P2345" s="30">
        <f>IFERROR(SUM(K2345:O2345)*VLOOKUP($A2345,HeadJournal!$A$1:$L$890,COLUMN(HeadJournal!H$1),0),0)</f>
        <v>1676.2771263393784</v>
      </c>
      <c r="Q2345" s="29">
        <v>2400</v>
      </c>
      <c r="R2345" s="31">
        <v>45266</v>
      </c>
      <c r="S2345" s="31" t="s">
        <v>3121</v>
      </c>
      <c r="T2345" s="95" t="str">
        <f t="shared" si="185"/>
        <v>2023 12</v>
      </c>
      <c r="U2345" s="32">
        <f t="shared" si="182"/>
        <v>723.72287366062164</v>
      </c>
      <c r="V2345" s="22">
        <f t="shared" si="183"/>
        <v>0.43174416824566098</v>
      </c>
      <c r="X2345" s="33"/>
      <c r="Y2345" s="33"/>
    </row>
    <row r="2346" spans="1:25" x14ac:dyDescent="0.2">
      <c r="A2346" s="93" t="s">
        <v>1064</v>
      </c>
      <c r="B2346" s="94" t="str">
        <f>IFERROR(VLOOKUP($A2346,HeadJournal!$A$1:$NTR$890,COLUMN(HeadJournal!B$1),0),"")</f>
        <v>700000967207</v>
      </c>
      <c r="C2346" s="94" t="str">
        <f>IFERROR(VLOOKUP($A2346,HeadJournal!$A$1:$NTR$890,COLUMN(HeadJournal!C$1),0),"")</f>
        <v>iHerb_VP DFD1605</v>
      </c>
      <c r="D2346" s="125" t="str">
        <f>IFERROR(VLOOKUP($A2346,HeadJournal!$A$1:$NTR$890,COLUMN(HeadJournal!D$1),0),"")</f>
        <v>Доставлен</v>
      </c>
      <c r="E2346" s="95">
        <f>IFERROR(VLOOKUP($A2346,HeadJournal!$A$1:$NTR$890,COLUMN(HeadJournal!G$1),0),"")</f>
        <v>45221</v>
      </c>
      <c r="F2346" s="95" t="str">
        <f t="shared" si="184"/>
        <v>2023 10</v>
      </c>
      <c r="G2346" s="96" t="s">
        <v>5</v>
      </c>
      <c r="H2346" s="161" t="s">
        <v>2073</v>
      </c>
      <c r="I2346" s="97" t="s">
        <v>2005</v>
      </c>
      <c r="J2346" s="97" t="s">
        <v>2074</v>
      </c>
      <c r="K2346" s="29">
        <v>19.690000000000001</v>
      </c>
      <c r="L2346" s="29">
        <v>-3.936666666666667</v>
      </c>
      <c r="M2346" s="30">
        <f>IFERROR(VLOOKUP($A2346,HeadJournal!$A$1:$J$890,COLUMN(HeadJournal!I$1),0)*($K2346+$L2346)/(SUMIF($A:$A,$A2346,$K:$K)+SUMIF($A:$A,$A2346,$L:$L)),0)</f>
        <v>-1.1231403122234147</v>
      </c>
      <c r="N2346" s="30">
        <f>IFERROR((VLOOKUP($A2346,HeadJournal!$A$1:$K$890,COLUMN(HeadJournal!K$1),0)-VLOOKUP($A2346,HeadJournal!$A$1:$K$890,COLUMN(HeadJournal!J$1),0))*($K2346+$L2346)/(SUMIF($A:$A,$A2346,$K:$K)+SUMIF($A:$A,$A2346,$L:$L)),0)</f>
        <v>-2.5294427578119754E-15</v>
      </c>
      <c r="O2346" s="30">
        <f>IFERROR((VLOOKUP($A2346,HeadJournal!$A$1:$L$890,COLUMN(HeadJournal!L$1),0)*($K2346+$L2346)/(SUMIF($A:$A,$A2346,$K:$K)+SUMIF($A:$A,$A2346,$L:$L)))/VLOOKUP($A2346,HeadJournal!$A$1:$L$890,COLUMN(HeadJournal!H$1),0),0)</f>
        <v>0.49486038739024418</v>
      </c>
      <c r="P2346" s="30">
        <f>IFERROR(SUM(K2346:O2346)*VLOOKUP($A2346,HeadJournal!$A$1:$L$890,COLUMN(HeadJournal!H$1),0),0)</f>
        <v>1676.2771263393784</v>
      </c>
      <c r="Q2346" s="29">
        <v>2500</v>
      </c>
      <c r="R2346" s="31">
        <v>45297</v>
      </c>
      <c r="S2346" s="31" t="s">
        <v>3121</v>
      </c>
      <c r="T2346" s="95" t="str">
        <f t="shared" si="185"/>
        <v>2024 01</v>
      </c>
      <c r="U2346" s="32">
        <f t="shared" si="182"/>
        <v>823.72287366062164</v>
      </c>
      <c r="V2346" s="22">
        <f t="shared" si="183"/>
        <v>0.49140017525589685</v>
      </c>
      <c r="X2346" s="33"/>
      <c r="Y2346" s="33"/>
    </row>
    <row r="2347" spans="1:25" x14ac:dyDescent="0.2">
      <c r="A2347" s="93" t="s">
        <v>1064</v>
      </c>
      <c r="B2347" s="94" t="str">
        <f>IFERROR(VLOOKUP($A2347,HeadJournal!$A$1:$NTR$890,COLUMN(HeadJournal!B$1),0),"")</f>
        <v>700000967207</v>
      </c>
      <c r="C2347" s="94" t="str">
        <f>IFERROR(VLOOKUP($A2347,HeadJournal!$A$1:$NTR$890,COLUMN(HeadJournal!C$1),0),"")</f>
        <v>iHerb_VP DFD1605</v>
      </c>
      <c r="D2347" s="125" t="str">
        <f>IFERROR(VLOOKUP($A2347,HeadJournal!$A$1:$NTR$890,COLUMN(HeadJournal!D$1),0),"")</f>
        <v>Доставлен</v>
      </c>
      <c r="E2347" s="95">
        <f>IFERROR(VLOOKUP($A2347,HeadJournal!$A$1:$NTR$890,COLUMN(HeadJournal!G$1),0),"")</f>
        <v>45221</v>
      </c>
      <c r="F2347" s="95" t="str">
        <f t="shared" si="184"/>
        <v>2023 10</v>
      </c>
      <c r="G2347" s="96" t="s">
        <v>5</v>
      </c>
      <c r="H2347" s="160" t="str">
        <f>RIGHT(Journal!$J2347,9)</f>
        <v>CGN-01351</v>
      </c>
      <c r="I2347" s="96" t="str">
        <f t="shared" si="186"/>
        <v>California Gold Nutrition</v>
      </c>
      <c r="J2347" s="97" t="s">
        <v>1065</v>
      </c>
      <c r="K2347" s="29">
        <v>19.73</v>
      </c>
      <c r="L2347" s="29">
        <v>-5.92</v>
      </c>
      <c r="M2347" s="30">
        <f>IFERROR(VLOOKUP($A2347,HeadJournal!$A$1:$J$890,COLUMN(HeadJournal!I$1),0)*($K2347+$L2347)/(SUMIF($A:$A,$A2347,$K:$K)+SUMIF($A:$A,$A2347,$L:$L)),0)</f>
        <v>-0.98458957121066593</v>
      </c>
      <c r="N2347" s="30">
        <f>IFERROR((VLOOKUP($A2347,HeadJournal!$A$1:$K$890,COLUMN(HeadJournal!K$1),0)-VLOOKUP($A2347,HeadJournal!$A$1:$K$890,COLUMN(HeadJournal!J$1),0))*($K2347+$L2347)/(SUMIF($A:$A,$A2347,$K:$K)+SUMIF($A:$A,$A2347,$L:$L)),0)</f>
        <v>-2.2174103566684331E-15</v>
      </c>
      <c r="O2347" s="30">
        <f>IFERROR((VLOOKUP($A2347,HeadJournal!$A$1:$L$890,COLUMN(HeadJournal!L$1),0)*($K2347+$L2347)/(SUMIF($A:$A,$A2347,$K:$K)+SUMIF($A:$A,$A2347,$L:$L)))/VLOOKUP($A2347,HeadJournal!$A$1:$L$890,COLUMN(HeadJournal!H$1),0),0)</f>
        <v>0.43381434298725807</v>
      </c>
      <c r="P2347" s="30">
        <f>IFERROR(SUM(K2347:O2347)*VLOOKUP($A2347,HeadJournal!$A$1:$L$890,COLUMN(HeadJournal!H$1),0),0)</f>
        <v>1469.4913530309022</v>
      </c>
      <c r="Q2347" s="29">
        <v>1469.49</v>
      </c>
      <c r="R2347" s="31">
        <v>45306</v>
      </c>
      <c r="S2347" s="31" t="s">
        <v>3121</v>
      </c>
      <c r="T2347" s="95" t="str">
        <f t="shared" si="185"/>
        <v>2024 01</v>
      </c>
      <c r="U2347" s="32">
        <f t="shared" si="182"/>
        <v>-1.3530309022371512E-3</v>
      </c>
      <c r="V2347" s="22">
        <f t="shared" si="183"/>
        <v>-9.2074778081984258E-7</v>
      </c>
      <c r="X2347" s="33"/>
      <c r="Y2347" s="33"/>
    </row>
    <row r="2348" spans="1:25" x14ac:dyDescent="0.2">
      <c r="A2348" s="93" t="s">
        <v>1064</v>
      </c>
      <c r="B2348" s="94" t="str">
        <f>IFERROR(VLOOKUP($A2348,HeadJournal!$A$1:$NTR$890,COLUMN(HeadJournal!B$1),0),"")</f>
        <v>700000967207</v>
      </c>
      <c r="C2348" s="94" t="str">
        <f>IFERROR(VLOOKUP($A2348,HeadJournal!$A$1:$NTR$890,COLUMN(HeadJournal!C$1),0),"")</f>
        <v>iHerb_VP DFD1605</v>
      </c>
      <c r="D2348" s="125" t="str">
        <f>IFERROR(VLOOKUP($A2348,HeadJournal!$A$1:$NTR$890,COLUMN(HeadJournal!D$1),0),"")</f>
        <v>Доставлен</v>
      </c>
      <c r="E2348" s="95">
        <f>IFERROR(VLOOKUP($A2348,HeadJournal!$A$1:$NTR$890,COLUMN(HeadJournal!G$1),0),"")</f>
        <v>45221</v>
      </c>
      <c r="F2348" s="95" t="str">
        <f t="shared" si="184"/>
        <v>2023 10</v>
      </c>
      <c r="G2348" s="96" t="s">
        <v>5</v>
      </c>
      <c r="H2348" s="160" t="str">
        <f>RIGHT(Journal!$J2348,9)</f>
        <v>CGN-01351</v>
      </c>
      <c r="I2348" s="96" t="str">
        <f t="shared" si="186"/>
        <v>California Gold Nutrition</v>
      </c>
      <c r="J2348" s="97" t="s">
        <v>1065</v>
      </c>
      <c r="K2348" s="29">
        <v>19.73</v>
      </c>
      <c r="L2348" s="29">
        <v>-5.92</v>
      </c>
      <c r="M2348" s="30">
        <f>IFERROR(VLOOKUP($A2348,HeadJournal!$A$1:$J$890,COLUMN(HeadJournal!I$1),0)*($K2348+$L2348)/(SUMIF($A:$A,$A2348,$K:$K)+SUMIF($A:$A,$A2348,$L:$L)),0)</f>
        <v>-0.98458957121066593</v>
      </c>
      <c r="N2348" s="30">
        <f>IFERROR((VLOOKUP($A2348,HeadJournal!$A$1:$K$890,COLUMN(HeadJournal!K$1),0)-VLOOKUP($A2348,HeadJournal!$A$1:$K$890,COLUMN(HeadJournal!J$1),0))*($K2348+$L2348)/(SUMIF($A:$A,$A2348,$K:$K)+SUMIF($A:$A,$A2348,$L:$L)),0)</f>
        <v>-2.2174103566684331E-15</v>
      </c>
      <c r="O2348" s="30">
        <f>IFERROR((VLOOKUP($A2348,HeadJournal!$A$1:$L$890,COLUMN(HeadJournal!L$1),0)*($K2348+$L2348)/(SUMIF($A:$A,$A2348,$K:$K)+SUMIF($A:$A,$A2348,$L:$L)))/VLOOKUP($A2348,HeadJournal!$A$1:$L$890,COLUMN(HeadJournal!H$1),0),0)</f>
        <v>0.43381434298725807</v>
      </c>
      <c r="P2348" s="30">
        <f>IFERROR(SUM(K2348:O2348)*VLOOKUP($A2348,HeadJournal!$A$1:$L$890,COLUMN(HeadJournal!H$1),0),0)</f>
        <v>1469.4913530309022</v>
      </c>
      <c r="Q2348" s="29">
        <v>2400</v>
      </c>
      <c r="R2348" s="31">
        <v>45317</v>
      </c>
      <c r="S2348" s="31" t="s">
        <v>3121</v>
      </c>
      <c r="T2348" s="95" t="str">
        <f t="shared" si="185"/>
        <v>2024 01</v>
      </c>
      <c r="U2348" s="32">
        <f t="shared" si="182"/>
        <v>930.50864696909775</v>
      </c>
      <c r="V2348" s="22">
        <f t="shared" si="183"/>
        <v>0.63321818467994062</v>
      </c>
      <c r="X2348" s="33"/>
      <c r="Y2348" s="33"/>
    </row>
    <row r="2349" spans="1:25" x14ac:dyDescent="0.2">
      <c r="A2349" s="93" t="s">
        <v>1064</v>
      </c>
      <c r="B2349" s="94" t="str">
        <f>IFERROR(VLOOKUP($A2349,HeadJournal!$A$1:$NTR$890,COLUMN(HeadJournal!B$1),0),"")</f>
        <v>700000967207</v>
      </c>
      <c r="C2349" s="94" t="str">
        <f>IFERROR(VLOOKUP($A2349,HeadJournal!$A$1:$NTR$890,COLUMN(HeadJournal!C$1),0),"")</f>
        <v>iHerb_VP DFD1605</v>
      </c>
      <c r="D2349" s="125" t="str">
        <f>IFERROR(VLOOKUP($A2349,HeadJournal!$A$1:$NTR$890,COLUMN(HeadJournal!D$1),0),"")</f>
        <v>Доставлен</v>
      </c>
      <c r="E2349" s="95">
        <f>IFERROR(VLOOKUP($A2349,HeadJournal!$A$1:$NTR$890,COLUMN(HeadJournal!G$1),0),"")</f>
        <v>45221</v>
      </c>
      <c r="F2349" s="95" t="str">
        <f t="shared" si="184"/>
        <v>2023 10</v>
      </c>
      <c r="G2349" s="96" t="s">
        <v>5</v>
      </c>
      <c r="H2349" s="160" t="str">
        <f>RIGHT(Journal!$J2349,9)</f>
        <v>NCA-38611</v>
      </c>
      <c r="I2349" s="96" t="str">
        <f t="shared" si="186"/>
        <v>Nature's Craft</v>
      </c>
      <c r="J2349" s="97" t="s">
        <v>1066</v>
      </c>
      <c r="K2349" s="29">
        <v>19.760000000000002</v>
      </c>
      <c r="L2349" s="29">
        <v>-9.76</v>
      </c>
      <c r="M2349" s="30">
        <f>IFERROR(VLOOKUP($A2349,HeadJournal!$A$1:$J$890,COLUMN(HeadJournal!I$1),0)*($K2349+$L2349)/(SUMIF($A:$A,$A2349,$K:$K)+SUMIF($A:$A,$A2349,$L:$L)),0)</f>
        <v>-0.71295407039150327</v>
      </c>
      <c r="N2349" s="30">
        <f>IFERROR((VLOOKUP($A2349,HeadJournal!$A$1:$K$890,COLUMN(HeadJournal!K$1),0)-VLOOKUP($A2349,HeadJournal!$A$1:$K$890,COLUMN(HeadJournal!J$1),0))*($K2349+$L2349)/(SUMIF($A:$A,$A2349,$K:$K)+SUMIF($A:$A,$A2349,$L:$L)),0)</f>
        <v>-1.6056555804985034E-15</v>
      </c>
      <c r="O2349" s="30">
        <f>IFERROR((VLOOKUP($A2349,HeadJournal!$A$1:$L$890,COLUMN(HeadJournal!L$1),0)*($K2349+$L2349)/(SUMIF($A:$A,$A2349,$K:$K)+SUMIF($A:$A,$A2349,$L:$L)))/VLOOKUP($A2349,HeadJournal!$A$1:$L$890,COLUMN(HeadJournal!H$1),0),0)</f>
        <v>0.31413058869461125</v>
      </c>
      <c r="P2349" s="30">
        <f>IFERROR(SUM(K2349:O2349)*VLOOKUP($A2349,HeadJournal!$A$1:$L$890,COLUMN(HeadJournal!H$1),0),0)</f>
        <v>1064.0777357211459</v>
      </c>
      <c r="Q2349" s="29">
        <v>2400</v>
      </c>
      <c r="R2349" s="31">
        <v>45386</v>
      </c>
      <c r="S2349" s="31" t="s">
        <v>3121</v>
      </c>
      <c r="T2349" s="95" t="str">
        <f t="shared" si="185"/>
        <v>2024 04</v>
      </c>
      <c r="U2349" s="32">
        <f t="shared" si="182"/>
        <v>1335.9222642788541</v>
      </c>
      <c r="V2349" s="22">
        <f t="shared" si="183"/>
        <v>1.2554743130429977</v>
      </c>
      <c r="X2349" s="33"/>
      <c r="Y2349" s="33"/>
    </row>
    <row r="2350" spans="1:25" x14ac:dyDescent="0.2">
      <c r="A2350" s="93" t="s">
        <v>1064</v>
      </c>
      <c r="B2350" s="94" t="str">
        <f>IFERROR(VLOOKUP($A2350,HeadJournal!$A$1:$NTR$890,COLUMN(HeadJournal!B$1),0),"")</f>
        <v>700000967207</v>
      </c>
      <c r="C2350" s="94" t="str">
        <f>IFERROR(VLOOKUP($A2350,HeadJournal!$A$1:$NTR$890,COLUMN(HeadJournal!C$1),0),"")</f>
        <v>iHerb_VP DFD1605</v>
      </c>
      <c r="D2350" s="125" t="str">
        <f>IFERROR(VLOOKUP($A2350,HeadJournal!$A$1:$NTR$890,COLUMN(HeadJournal!D$1),0),"")</f>
        <v>Доставлен</v>
      </c>
      <c r="E2350" s="95">
        <f>IFERROR(VLOOKUP($A2350,HeadJournal!$A$1:$NTR$890,COLUMN(HeadJournal!G$1),0),"")</f>
        <v>45221</v>
      </c>
      <c r="F2350" s="95" t="str">
        <f t="shared" si="184"/>
        <v>2023 10</v>
      </c>
      <c r="G2350" s="96" t="s">
        <v>5</v>
      </c>
      <c r="H2350" s="160" t="str">
        <f>RIGHT(Journal!$J2350,9)</f>
        <v>LEX-14591</v>
      </c>
      <c r="I2350" s="96" t="str">
        <f t="shared" si="186"/>
        <v>Life Extension</v>
      </c>
      <c r="J2350" s="97" t="s">
        <v>690</v>
      </c>
      <c r="K2350" s="29">
        <v>9.4</v>
      </c>
      <c r="L2350" s="29">
        <v>-1.41</v>
      </c>
      <c r="M2350" s="30">
        <f>IFERROR(VLOOKUP($A2350,HeadJournal!$A$1:$J$890,COLUMN(HeadJournal!I$1),0)*($K2350+$L2350)/(SUMIF($A:$A,$A2350,$K:$K)+SUMIF($A:$A,$A2350,$L:$L)),0)</f>
        <v>-0.5696503022428111</v>
      </c>
      <c r="N2350" s="30">
        <f>IFERROR((VLOOKUP($A2350,HeadJournal!$A$1:$K$890,COLUMN(HeadJournal!K$1),0)-VLOOKUP($A2350,HeadJournal!$A$1:$K$890,COLUMN(HeadJournal!J$1),0))*($K2350+$L2350)/(SUMIF($A:$A,$A2350,$K:$K)+SUMIF($A:$A,$A2350,$L:$L)),0)</f>
        <v>-1.2829188088183041E-15</v>
      </c>
      <c r="O2350" s="30">
        <f>IFERROR((VLOOKUP($A2350,HeadJournal!$A$1:$L$890,COLUMN(HeadJournal!L$1),0)*($K2350+$L2350)/(SUMIF($A:$A,$A2350,$K:$K)+SUMIF($A:$A,$A2350,$L:$L)))/VLOOKUP($A2350,HeadJournal!$A$1:$L$890,COLUMN(HeadJournal!H$1),0),0)</f>
        <v>0.25099034036699436</v>
      </c>
      <c r="P2350" s="30">
        <f>IFERROR(SUM(K2350:O2350)*VLOOKUP($A2350,HeadJournal!$A$1:$L$890,COLUMN(HeadJournal!H$1),0),0)</f>
        <v>850.19811084119544</v>
      </c>
      <c r="Q2350" s="29">
        <v>1600</v>
      </c>
      <c r="R2350" s="31">
        <v>45253</v>
      </c>
      <c r="S2350" s="31" t="s">
        <v>3121</v>
      </c>
      <c r="T2350" s="95" t="str">
        <f t="shared" si="185"/>
        <v>2023 11</v>
      </c>
      <c r="U2350" s="32">
        <f t="shared" si="182"/>
        <v>749.80188915880456</v>
      </c>
      <c r="V2350" s="22">
        <f t="shared" si="183"/>
        <v>0.88191432043637719</v>
      </c>
      <c r="X2350" s="33"/>
      <c r="Y2350" s="33"/>
    </row>
    <row r="2351" spans="1:25" x14ac:dyDescent="0.2">
      <c r="A2351" s="93" t="s">
        <v>1064</v>
      </c>
      <c r="B2351" s="94" t="str">
        <f>IFERROR(VLOOKUP($A2351,HeadJournal!$A$1:$NTR$890,COLUMN(HeadJournal!B$1),0),"")</f>
        <v>700000967207</v>
      </c>
      <c r="C2351" s="94" t="str">
        <f>IFERROR(VLOOKUP($A2351,HeadJournal!$A$1:$NTR$890,COLUMN(HeadJournal!C$1),0),"")</f>
        <v>iHerb_VP DFD1605</v>
      </c>
      <c r="D2351" s="125" t="str">
        <f>IFERROR(VLOOKUP($A2351,HeadJournal!$A$1:$NTR$890,COLUMN(HeadJournal!D$1),0),"")</f>
        <v>Доставлен</v>
      </c>
      <c r="E2351" s="95">
        <f>IFERROR(VLOOKUP($A2351,HeadJournal!$A$1:$NTR$890,COLUMN(HeadJournal!G$1),0),"")</f>
        <v>45221</v>
      </c>
      <c r="F2351" s="95" t="str">
        <f t="shared" si="184"/>
        <v>2023 10</v>
      </c>
      <c r="G2351" s="96" t="s">
        <v>5</v>
      </c>
      <c r="H2351" s="160" t="str">
        <f>RIGHT(Journal!$J2351,9)</f>
        <v>LEX-14591</v>
      </c>
      <c r="I2351" s="96" t="str">
        <f t="shared" si="186"/>
        <v>Life Extension</v>
      </c>
      <c r="J2351" s="97" t="s">
        <v>690</v>
      </c>
      <c r="K2351" s="29">
        <v>9.4</v>
      </c>
      <c r="L2351" s="29">
        <v>-1.41</v>
      </c>
      <c r="M2351" s="30">
        <f>IFERROR(VLOOKUP($A2351,HeadJournal!$A$1:$J$890,COLUMN(HeadJournal!I$1),0)*($K2351+$L2351)/(SUMIF($A:$A,$A2351,$K:$K)+SUMIF($A:$A,$A2351,$L:$L)),0)</f>
        <v>-0.5696503022428111</v>
      </c>
      <c r="N2351" s="30">
        <f>IFERROR((VLOOKUP($A2351,HeadJournal!$A$1:$K$890,COLUMN(HeadJournal!K$1),0)-VLOOKUP($A2351,HeadJournal!$A$1:$K$890,COLUMN(HeadJournal!J$1),0))*($K2351+$L2351)/(SUMIF($A:$A,$A2351,$K:$K)+SUMIF($A:$A,$A2351,$L:$L)),0)</f>
        <v>-1.2829188088183041E-15</v>
      </c>
      <c r="O2351" s="30">
        <f>IFERROR((VLOOKUP($A2351,HeadJournal!$A$1:$L$890,COLUMN(HeadJournal!L$1),0)*($K2351+$L2351)/(SUMIF($A:$A,$A2351,$K:$K)+SUMIF($A:$A,$A2351,$L:$L)))/VLOOKUP($A2351,HeadJournal!$A$1:$L$890,COLUMN(HeadJournal!H$1),0),0)</f>
        <v>0.25099034036699436</v>
      </c>
      <c r="P2351" s="30">
        <f>IFERROR(SUM(K2351:O2351)*VLOOKUP($A2351,HeadJournal!$A$1:$L$890,COLUMN(HeadJournal!H$1),0),0)</f>
        <v>850.19811084119544</v>
      </c>
      <c r="Q2351" s="29">
        <v>1600</v>
      </c>
      <c r="R2351" s="31">
        <v>45282</v>
      </c>
      <c r="S2351" s="31" t="s">
        <v>3121</v>
      </c>
      <c r="T2351" s="95" t="str">
        <f t="shared" si="185"/>
        <v>2023 12</v>
      </c>
      <c r="U2351" s="32">
        <f t="shared" si="182"/>
        <v>749.80188915880456</v>
      </c>
      <c r="V2351" s="22">
        <f t="shared" si="183"/>
        <v>0.88191432043637719</v>
      </c>
      <c r="X2351" s="33"/>
      <c r="Y2351" s="33"/>
    </row>
    <row r="2352" spans="1:25" x14ac:dyDescent="0.2">
      <c r="A2352" s="93" t="s">
        <v>1064</v>
      </c>
      <c r="B2352" s="94" t="str">
        <f>IFERROR(VLOOKUP($A2352,HeadJournal!$A$1:$NTR$890,COLUMN(HeadJournal!B$1),0),"")</f>
        <v>700000967207</v>
      </c>
      <c r="C2352" s="94" t="str">
        <f>IFERROR(VLOOKUP($A2352,HeadJournal!$A$1:$NTR$890,COLUMN(HeadJournal!C$1),0),"")</f>
        <v>iHerb_VP DFD1605</v>
      </c>
      <c r="D2352" s="125" t="str">
        <f>IFERROR(VLOOKUP($A2352,HeadJournal!$A$1:$NTR$890,COLUMN(HeadJournal!D$1),0),"")</f>
        <v>Доставлен</v>
      </c>
      <c r="E2352" s="95">
        <f>IFERROR(VLOOKUP($A2352,HeadJournal!$A$1:$NTR$890,COLUMN(HeadJournal!G$1),0),"")</f>
        <v>45221</v>
      </c>
      <c r="F2352" s="95" t="str">
        <f t="shared" si="184"/>
        <v>2023 10</v>
      </c>
      <c r="G2352" s="96" t="s">
        <v>5</v>
      </c>
      <c r="H2352" s="161" t="s">
        <v>2573</v>
      </c>
      <c r="I2352" s="97" t="s">
        <v>2006</v>
      </c>
      <c r="J2352" s="97" t="s">
        <v>2574</v>
      </c>
      <c r="K2352" s="29">
        <v>21.05</v>
      </c>
      <c r="L2352" s="29">
        <v>-3.16</v>
      </c>
      <c r="M2352" s="30">
        <f>IFERROR(VLOOKUP($A2352,HeadJournal!$A$1:$J$890,COLUMN(HeadJournal!I$1),0)*($K2352+$L2352)/(SUMIF($A:$A,$A2352,$K:$K)+SUMIF($A:$A,$A2352,$L:$L)),0)</f>
        <v>-1.2754748319303992</v>
      </c>
      <c r="N2352" s="30">
        <f>IFERROR((VLOOKUP($A2352,HeadJournal!$A$1:$K$890,COLUMN(HeadJournal!K$1),0)-VLOOKUP($A2352,HeadJournal!$A$1:$K$890,COLUMN(HeadJournal!J$1),0))*($K2352+$L2352)/(SUMIF($A:$A,$A2352,$K:$K)+SUMIF($A:$A,$A2352,$L:$L)),0)</f>
        <v>-2.8725178335118222E-15</v>
      </c>
      <c r="O2352" s="30">
        <f>IFERROR((VLOOKUP($A2352,HeadJournal!$A$1:$L$890,COLUMN(HeadJournal!L$1),0)*($K2352+$L2352)/(SUMIF($A:$A,$A2352,$K:$K)+SUMIF($A:$A,$A2352,$L:$L)))/VLOOKUP($A2352,HeadJournal!$A$1:$L$890,COLUMN(HeadJournal!H$1),0),0)</f>
        <v>0.56197962317465944</v>
      </c>
      <c r="P2352" s="30">
        <f>IFERROR(SUM(K2352:O2352)*VLOOKUP($A2352,HeadJournal!$A$1:$L$890,COLUMN(HeadJournal!H$1),0),0)</f>
        <v>1903.6350692051294</v>
      </c>
      <c r="Q2352" s="29">
        <v>2600</v>
      </c>
      <c r="R2352" s="31">
        <v>45308</v>
      </c>
      <c r="S2352" s="31" t="s">
        <v>3121</v>
      </c>
      <c r="T2352" s="95" t="str">
        <f t="shared" si="185"/>
        <v>2024 01</v>
      </c>
      <c r="U2352" s="32">
        <f t="shared" si="182"/>
        <v>696.36493079487059</v>
      </c>
      <c r="V2352" s="22">
        <f t="shared" si="183"/>
        <v>0.36580799653246598</v>
      </c>
      <c r="X2352" s="33"/>
      <c r="Y2352" s="33"/>
    </row>
    <row r="2353" spans="1:25" x14ac:dyDescent="0.2">
      <c r="A2353" s="93" t="s">
        <v>1064</v>
      </c>
      <c r="B2353" s="94" t="str">
        <f>IFERROR(VLOOKUP($A2353,HeadJournal!$A$1:$NTR$890,COLUMN(HeadJournal!B$1),0),"")</f>
        <v>700000967207</v>
      </c>
      <c r="C2353" s="94" t="str">
        <f>IFERROR(VLOOKUP($A2353,HeadJournal!$A$1:$NTR$890,COLUMN(HeadJournal!C$1),0),"")</f>
        <v>iHerb_VP DFD1605</v>
      </c>
      <c r="D2353" s="125" t="str">
        <f>IFERROR(VLOOKUP($A2353,HeadJournal!$A$1:$NTR$890,COLUMN(HeadJournal!D$1),0),"")</f>
        <v>Доставлен</v>
      </c>
      <c r="E2353" s="95">
        <f>IFERROR(VLOOKUP($A2353,HeadJournal!$A$1:$NTR$890,COLUMN(HeadJournal!G$1),0),"")</f>
        <v>45221</v>
      </c>
      <c r="F2353" s="95" t="str">
        <f t="shared" si="184"/>
        <v>2023 10</v>
      </c>
      <c r="G2353" s="96" t="s">
        <v>5</v>
      </c>
      <c r="H2353" s="161" t="s">
        <v>2895</v>
      </c>
      <c r="I2353" s="97" t="s">
        <v>2666</v>
      </c>
      <c r="J2353" s="97" t="s">
        <v>3854</v>
      </c>
      <c r="K2353" s="29">
        <v>11.98</v>
      </c>
      <c r="L2353" s="29">
        <v>-1.8</v>
      </c>
      <c r="M2353" s="30">
        <f>IFERROR(VLOOKUP($A2353,HeadJournal!$A$1:$J$890,COLUMN(HeadJournal!I$1),0)*($K2353+$L2353)/(SUMIF($A:$A,$A2353,$K:$K)+SUMIF($A:$A,$A2353,$L:$L)),0)</f>
        <v>-0.7257872436585503</v>
      </c>
      <c r="N2353" s="30">
        <f>IFERROR((VLOOKUP($A2353,HeadJournal!$A$1:$K$890,COLUMN(HeadJournal!K$1),0)-VLOOKUP($A2353,HeadJournal!$A$1:$K$890,COLUMN(HeadJournal!J$1),0))*($K2353+$L2353)/(SUMIF($A:$A,$A2353,$K:$K)+SUMIF($A:$A,$A2353,$L:$L)),0)</f>
        <v>-1.6345573809474761E-15</v>
      </c>
      <c r="O2353" s="30">
        <f>IFERROR((VLOOKUP($A2353,HeadJournal!$A$1:$L$890,COLUMN(HeadJournal!L$1),0)*($K2353+$L2353)/(SUMIF($A:$A,$A2353,$K:$K)+SUMIF($A:$A,$A2353,$L:$L)))/VLOOKUP($A2353,HeadJournal!$A$1:$L$890,COLUMN(HeadJournal!H$1),0),0)</f>
        <v>0.31978493929111418</v>
      </c>
      <c r="P2353" s="30">
        <f>IFERROR(SUM(K2353:O2353)*VLOOKUP($A2353,HeadJournal!$A$1:$L$890,COLUMN(HeadJournal!H$1),0),0)</f>
        <v>1083.2311349641263</v>
      </c>
      <c r="Q2353" s="29">
        <v>1700</v>
      </c>
      <c r="R2353" s="31">
        <v>45254</v>
      </c>
      <c r="S2353" s="31" t="s">
        <v>3121</v>
      </c>
      <c r="T2353" s="95" t="str">
        <f t="shared" si="185"/>
        <v>2023 11</v>
      </c>
      <c r="U2353" s="32">
        <f t="shared" si="182"/>
        <v>616.76886503587366</v>
      </c>
      <c r="V2353" s="22">
        <f t="shared" si="183"/>
        <v>0.56937881965172588</v>
      </c>
      <c r="X2353" s="33"/>
      <c r="Y2353" s="33"/>
    </row>
    <row r="2354" spans="1:25" x14ac:dyDescent="0.2">
      <c r="A2354" s="93" t="s">
        <v>1064</v>
      </c>
      <c r="B2354" s="94" t="str">
        <f>IFERROR(VLOOKUP($A2354,HeadJournal!$A$1:$NTR$890,COLUMN(HeadJournal!B$1),0),"")</f>
        <v>700000967207</v>
      </c>
      <c r="C2354" s="94" t="str">
        <f>IFERROR(VLOOKUP($A2354,HeadJournal!$A$1:$NTR$890,COLUMN(HeadJournal!C$1),0),"")</f>
        <v>iHerb_VP DFD1605</v>
      </c>
      <c r="D2354" s="125" t="str">
        <f>IFERROR(VLOOKUP($A2354,HeadJournal!$A$1:$NTR$890,COLUMN(HeadJournal!D$1),0),"")</f>
        <v>Доставлен</v>
      </c>
      <c r="E2354" s="95">
        <f>IFERROR(VLOOKUP($A2354,HeadJournal!$A$1:$NTR$890,COLUMN(HeadJournal!G$1),0),"")</f>
        <v>45221</v>
      </c>
      <c r="F2354" s="95" t="str">
        <f t="shared" si="184"/>
        <v>2023 10</v>
      </c>
      <c r="G2354" s="96" t="s">
        <v>5</v>
      </c>
      <c r="H2354" s="160" t="str">
        <f>RIGHT(Journal!$J2354,9)</f>
        <v>HEC-50301</v>
      </c>
      <c r="I2354" s="96" t="str">
        <f t="shared" si="186"/>
        <v>Herbs Etc</v>
      </c>
      <c r="J2354" s="97" t="s">
        <v>719</v>
      </c>
      <c r="K2354" s="29">
        <v>57.79</v>
      </c>
      <c r="L2354" s="29">
        <v>-8.67</v>
      </c>
      <c r="M2354" s="30">
        <f>IFERROR(VLOOKUP($A2354,HeadJournal!$A$1:$J$890,COLUMN(HeadJournal!I$1),0)*($K2354+$L2354)/(SUMIF($A:$A,$A2354,$K:$K)+SUMIF($A:$A,$A2354,$L:$L)),0)</f>
        <v>-3.5020303937630635</v>
      </c>
      <c r="N2354" s="30">
        <f>IFERROR((VLOOKUP($A2354,HeadJournal!$A$1:$K$890,COLUMN(HeadJournal!K$1),0)-VLOOKUP($A2354,HeadJournal!$A$1:$K$890,COLUMN(HeadJournal!J$1),0))*($K2354+$L2354)/(SUMIF($A:$A,$A2354,$K:$K)+SUMIF($A:$A,$A2354,$L:$L)),0)</f>
        <v>-7.8869802114086478E-15</v>
      </c>
      <c r="O2354" s="30">
        <f>IFERROR((VLOOKUP($A2354,HeadJournal!$A$1:$L$890,COLUMN(HeadJournal!L$1),0)*($K2354+$L2354)/(SUMIF($A:$A,$A2354,$K:$K)+SUMIF($A:$A,$A2354,$L:$L)))/VLOOKUP($A2354,HeadJournal!$A$1:$L$890,COLUMN(HeadJournal!H$1),0),0)</f>
        <v>1.5430094516679302</v>
      </c>
      <c r="P2354" s="30">
        <f>IFERROR(SUM(K2354:O2354)*VLOOKUP($A2354,HeadJournal!$A$1:$L$890,COLUMN(HeadJournal!H$1),0),0)</f>
        <v>5226.7498378622677</v>
      </c>
      <c r="Q2354" s="29">
        <v>6400</v>
      </c>
      <c r="R2354" s="31">
        <v>45274</v>
      </c>
      <c r="S2354" s="31" t="s">
        <v>3121</v>
      </c>
      <c r="T2354" s="95" t="str">
        <f t="shared" si="185"/>
        <v>2023 12</v>
      </c>
      <c r="U2354" s="32">
        <f t="shared" si="182"/>
        <v>1173.2501621377323</v>
      </c>
      <c r="V2354" s="22">
        <f t="shared" si="183"/>
        <v>0.22447031109826174</v>
      </c>
      <c r="X2354" s="33"/>
      <c r="Y2354" s="33"/>
    </row>
    <row r="2355" spans="1:25" x14ac:dyDescent="0.2">
      <c r="A2355" s="93" t="s">
        <v>1064</v>
      </c>
      <c r="B2355" s="94" t="str">
        <f>IFERROR(VLOOKUP($A2355,HeadJournal!$A$1:$NTR$890,COLUMN(HeadJournal!B$1),0),"")</f>
        <v>700000967207</v>
      </c>
      <c r="C2355" s="94" t="str">
        <f>IFERROR(VLOOKUP($A2355,HeadJournal!$A$1:$NTR$890,COLUMN(HeadJournal!C$1),0),"")</f>
        <v>iHerb_VP DFD1605</v>
      </c>
      <c r="D2355" s="125" t="str">
        <f>IFERROR(VLOOKUP($A2355,HeadJournal!$A$1:$NTR$890,COLUMN(HeadJournal!D$1),0),"")</f>
        <v>Доставлен</v>
      </c>
      <c r="E2355" s="95">
        <f>IFERROR(VLOOKUP($A2355,HeadJournal!$A$1:$NTR$890,COLUMN(HeadJournal!G$1),0),"")</f>
        <v>45221</v>
      </c>
      <c r="F2355" s="95" t="str">
        <f t="shared" si="184"/>
        <v>2023 10</v>
      </c>
      <c r="G2355" s="96" t="s">
        <v>5</v>
      </c>
      <c r="H2355" s="175" t="s">
        <v>3659</v>
      </c>
      <c r="I2355" s="176" t="s">
        <v>2125</v>
      </c>
      <c r="J2355" s="97" t="s">
        <v>3707</v>
      </c>
      <c r="K2355" s="29">
        <v>23.14</v>
      </c>
      <c r="L2355" s="29">
        <v>-3.47</v>
      </c>
      <c r="M2355" s="30">
        <f>IFERROR(VLOOKUP($A2355,HeadJournal!$A$1:$J$890,COLUMN(HeadJournal!I$1),0)*($K2355+$L2355)/(SUMIF($A:$A,$A2355,$K:$K)+SUMIF($A:$A,$A2355,$L:$L)),0)</f>
        <v>-1.4023806564600869</v>
      </c>
      <c r="N2355" s="30">
        <f>IFERROR((VLOOKUP($A2355,HeadJournal!$A$1:$K$890,COLUMN(HeadJournal!K$1),0)-VLOOKUP($A2355,HeadJournal!$A$1:$K$890,COLUMN(HeadJournal!J$1),0))*($K2355+$L2355)/(SUMIF($A:$A,$A2355,$K:$K)+SUMIF($A:$A,$A2355,$L:$L)),0)</f>
        <v>-3.1583245268405561E-15</v>
      </c>
      <c r="O2355" s="30">
        <f>IFERROR((VLOOKUP($A2355,HeadJournal!$A$1:$L$890,COLUMN(HeadJournal!L$1),0)*($K2355+$L2355)/(SUMIF($A:$A,$A2355,$K:$K)+SUMIF($A:$A,$A2355,$L:$L)))/VLOOKUP($A2355,HeadJournal!$A$1:$L$890,COLUMN(HeadJournal!H$1),0),0)</f>
        <v>0.6178948679623002</v>
      </c>
      <c r="P2355" s="30">
        <f>IFERROR(SUM(K2355:O2355)*VLOOKUP($A2355,HeadJournal!$A$1:$L$890,COLUMN(HeadJournal!H$1),0),0)</f>
        <v>2093.0409061634937</v>
      </c>
      <c r="Q2355" s="29">
        <v>2000</v>
      </c>
      <c r="R2355" s="31">
        <v>45261</v>
      </c>
      <c r="S2355" s="31" t="s">
        <v>3121</v>
      </c>
      <c r="T2355" s="95" t="str">
        <f t="shared" si="185"/>
        <v>2023 12</v>
      </c>
      <c r="U2355" s="32">
        <f t="shared" si="182"/>
        <v>-93.040906163493673</v>
      </c>
      <c r="V2355" s="22">
        <f t="shared" si="183"/>
        <v>-4.4452502523725623E-2</v>
      </c>
      <c r="X2355" s="33"/>
      <c r="Y2355" s="33"/>
    </row>
    <row r="2356" spans="1:25" x14ac:dyDescent="0.2">
      <c r="A2356" s="93" t="s">
        <v>1064</v>
      </c>
      <c r="B2356" s="94" t="str">
        <f>IFERROR(VLOOKUP($A2356,HeadJournal!$A$1:$NTR$890,COLUMN(HeadJournal!B$1),0),"")</f>
        <v>700000967207</v>
      </c>
      <c r="C2356" s="94" t="str">
        <f>IFERROR(VLOOKUP($A2356,HeadJournal!$A$1:$NTR$890,COLUMN(HeadJournal!C$1),0),"")</f>
        <v>iHerb_VP DFD1605</v>
      </c>
      <c r="D2356" s="125" t="str">
        <f>IFERROR(VLOOKUP($A2356,HeadJournal!$A$1:$NTR$890,COLUMN(HeadJournal!D$1),0),"")</f>
        <v>Доставлен</v>
      </c>
      <c r="E2356" s="95">
        <f>IFERROR(VLOOKUP($A2356,HeadJournal!$A$1:$NTR$890,COLUMN(HeadJournal!G$1),0),"")</f>
        <v>45221</v>
      </c>
      <c r="F2356" s="95" t="str">
        <f t="shared" si="184"/>
        <v>2023 10</v>
      </c>
      <c r="G2356" s="96" t="s">
        <v>5</v>
      </c>
      <c r="H2356" s="161" t="s">
        <v>3099</v>
      </c>
      <c r="I2356" s="97" t="s">
        <v>2005</v>
      </c>
      <c r="J2356" s="97" t="s">
        <v>3100</v>
      </c>
      <c r="K2356" s="29">
        <v>23.25</v>
      </c>
      <c r="L2356" s="29">
        <v>-3.49</v>
      </c>
      <c r="M2356" s="30">
        <f>IFERROR(VLOOKUP($A2356,HeadJournal!$A$1:$J$890,COLUMN(HeadJournal!I$1),0)*($K2356+$L2356)/(SUMIF($A:$A,$A2356,$K:$K)+SUMIF($A:$A,$A2356,$L:$L)),0)</f>
        <v>-1.4087972430936102</v>
      </c>
      <c r="N2356" s="30">
        <f>IFERROR((VLOOKUP($A2356,HeadJournal!$A$1:$K$890,COLUMN(HeadJournal!K$1),0)-VLOOKUP($A2356,HeadJournal!$A$1:$K$890,COLUMN(HeadJournal!J$1),0))*($K2356+$L2356)/(SUMIF($A:$A,$A2356,$K:$K)+SUMIF($A:$A,$A2356,$L:$L)),0)</f>
        <v>-3.1727754270650421E-15</v>
      </c>
      <c r="O2356" s="30">
        <f>IFERROR((VLOOKUP($A2356,HeadJournal!$A$1:$L$890,COLUMN(HeadJournal!L$1),0)*($K2356+$L2356)/(SUMIF($A:$A,$A2356,$K:$K)+SUMIF($A:$A,$A2356,$L:$L)))/VLOOKUP($A2356,HeadJournal!$A$1:$L$890,COLUMN(HeadJournal!H$1),0),0)</f>
        <v>0.62072204326055169</v>
      </c>
      <c r="P2356" s="30">
        <f>IFERROR(SUM(K2356:O2356)*VLOOKUP($A2356,HeadJournal!$A$1:$L$890,COLUMN(HeadJournal!H$1),0),0)</f>
        <v>2102.6176057849839</v>
      </c>
      <c r="Q2356" s="29">
        <v>3000</v>
      </c>
      <c r="R2356" s="31">
        <v>45635</v>
      </c>
      <c r="S2356" s="31" t="s">
        <v>3121</v>
      </c>
      <c r="T2356" s="95" t="str">
        <f t="shared" si="185"/>
        <v>2024 12</v>
      </c>
      <c r="U2356" s="32">
        <f t="shared" si="182"/>
        <v>897.38239421501612</v>
      </c>
      <c r="V2356" s="22">
        <f t="shared" si="183"/>
        <v>0.4267929611861071</v>
      </c>
      <c r="X2356" s="33"/>
      <c r="Y2356" s="33"/>
    </row>
    <row r="2357" spans="1:25" x14ac:dyDescent="0.2">
      <c r="A2357" s="93" t="s">
        <v>1064</v>
      </c>
      <c r="B2357" s="94" t="str">
        <f>IFERROR(VLOOKUP($A2357,HeadJournal!$A$1:$NTR$890,COLUMN(HeadJournal!B$1),0),"")</f>
        <v>700000967207</v>
      </c>
      <c r="C2357" s="94" t="str">
        <f>IFERROR(VLOOKUP($A2357,HeadJournal!$A$1:$NTR$890,COLUMN(HeadJournal!C$1),0),"")</f>
        <v>iHerb_VP DFD1605</v>
      </c>
      <c r="D2357" s="125" t="str">
        <f>IFERROR(VLOOKUP($A2357,HeadJournal!$A$1:$NTR$890,COLUMN(HeadJournal!D$1),0),"")</f>
        <v>Доставлен</v>
      </c>
      <c r="E2357" s="95">
        <f>IFERROR(VLOOKUP($A2357,HeadJournal!$A$1:$NTR$890,COLUMN(HeadJournal!G$1),0),"")</f>
        <v>45221</v>
      </c>
      <c r="F2357" s="95" t="str">
        <f t="shared" si="184"/>
        <v>2023 10</v>
      </c>
      <c r="G2357" s="96" t="s">
        <v>5</v>
      </c>
      <c r="H2357" s="161" t="s">
        <v>2615</v>
      </c>
      <c r="I2357" s="97" t="s">
        <v>2052</v>
      </c>
      <c r="J2357" s="97" t="s">
        <v>2616</v>
      </c>
      <c r="K2357" s="29">
        <v>48.6</v>
      </c>
      <c r="L2357" s="29">
        <v>-14.58</v>
      </c>
      <c r="M2357" s="30">
        <f>IFERROR(VLOOKUP($A2357,HeadJournal!$A$1:$J$890,COLUMN(HeadJournal!I$1),0)*($K2357+$L2357)/(SUMIF($A:$A,$A2357,$K:$K)+SUMIF($A:$A,$A2357,$L:$L)),0)</f>
        <v>-2.4254697474718938</v>
      </c>
      <c r="N2357" s="30">
        <f>IFERROR((VLOOKUP($A2357,HeadJournal!$A$1:$K$890,COLUMN(HeadJournal!K$1),0)-VLOOKUP($A2357,HeadJournal!$A$1:$K$890,COLUMN(HeadJournal!J$1),0))*($K2357+$L2357)/(SUMIF($A:$A,$A2357,$K:$K)+SUMIF($A:$A,$A2357,$L:$L)),0)</f>
        <v>-5.4624402848559079E-15</v>
      </c>
      <c r="O2357" s="30">
        <f>IFERROR((VLOOKUP($A2357,HeadJournal!$A$1:$L$890,COLUMN(HeadJournal!L$1),0)*($K2357+$L2357)/(SUMIF($A:$A,$A2357,$K:$K)+SUMIF($A:$A,$A2357,$L:$L)))/VLOOKUP($A2357,HeadJournal!$A$1:$L$890,COLUMN(HeadJournal!H$1),0),0)</f>
        <v>1.0686722627390672</v>
      </c>
      <c r="P2357" s="30">
        <f>IFERROR(SUM(K2357:O2357)*VLOOKUP($A2357,HeadJournal!$A$1:$L$890,COLUMN(HeadJournal!H$1),0),0)</f>
        <v>3619.9924569233385</v>
      </c>
      <c r="Q2357" s="29">
        <v>3619.99</v>
      </c>
      <c r="R2357" s="31">
        <v>45222</v>
      </c>
      <c r="S2357" s="31" t="s">
        <v>3121</v>
      </c>
      <c r="T2357" s="95" t="str">
        <f t="shared" si="185"/>
        <v>2023 10</v>
      </c>
      <c r="U2357" s="32">
        <f t="shared" si="182"/>
        <v>-2.456923338741035E-3</v>
      </c>
      <c r="V2357" s="22">
        <f t="shared" si="183"/>
        <v>-6.7870951886711786E-7</v>
      </c>
      <c r="X2357" s="33"/>
      <c r="Y2357" s="33"/>
    </row>
    <row r="2358" spans="1:25" x14ac:dyDescent="0.2">
      <c r="A2358" s="93" t="s">
        <v>1064</v>
      </c>
      <c r="B2358" s="94" t="str">
        <f>IFERROR(VLOOKUP($A2358,HeadJournal!$A$1:$NTR$890,COLUMN(HeadJournal!B$1),0),"")</f>
        <v>700000967207</v>
      </c>
      <c r="C2358" s="94" t="str">
        <f>IFERROR(VLOOKUP($A2358,HeadJournal!$A$1:$NTR$890,COLUMN(HeadJournal!C$1),0),"")</f>
        <v>iHerb_VP DFD1605</v>
      </c>
      <c r="D2358" s="125" t="str">
        <f>IFERROR(VLOOKUP($A2358,HeadJournal!$A$1:$NTR$890,COLUMN(HeadJournal!D$1),0),"")</f>
        <v>Доставлен</v>
      </c>
      <c r="E2358" s="95">
        <f>IFERROR(VLOOKUP($A2358,HeadJournal!$A$1:$NTR$890,COLUMN(HeadJournal!G$1),0),"")</f>
        <v>45221</v>
      </c>
      <c r="F2358" s="95" t="str">
        <f t="shared" si="184"/>
        <v>2023 10</v>
      </c>
      <c r="G2358" s="96" t="s">
        <v>5</v>
      </c>
      <c r="H2358" s="161" t="s">
        <v>3009</v>
      </c>
      <c r="I2358" s="97" t="s">
        <v>2005</v>
      </c>
      <c r="J2358" s="97" t="s">
        <v>3010</v>
      </c>
      <c r="K2358" s="29">
        <v>16.329999999999998</v>
      </c>
      <c r="L2358" s="29">
        <v>-1.63</v>
      </c>
      <c r="M2358" s="30">
        <f>IFERROR(VLOOKUP($A2358,HeadJournal!$A$1:$J$890,COLUMN(HeadJournal!I$1),0)*($K2358+$L2358)/(SUMIF($A:$A,$A2358,$K:$K)+SUMIF($A:$A,$A2358,$L:$L)),0)</f>
        <v>-1.0480424834755095</v>
      </c>
      <c r="N2358" s="30">
        <f>IFERROR((VLOOKUP($A2358,HeadJournal!$A$1:$K$890,COLUMN(HeadJournal!K$1),0)-VLOOKUP($A2358,HeadJournal!$A$1:$K$890,COLUMN(HeadJournal!J$1),0))*($K2358+$L2358)/(SUMIF($A:$A,$A2358,$K:$K)+SUMIF($A:$A,$A2358,$L:$L)),0)</f>
        <v>-2.3603137033327997E-15</v>
      </c>
      <c r="O2358" s="30">
        <f>IFERROR((VLOOKUP($A2358,HeadJournal!$A$1:$L$890,COLUMN(HeadJournal!L$1),0)*($K2358+$L2358)/(SUMIF($A:$A,$A2358,$K:$K)+SUMIF($A:$A,$A2358,$L:$L)))/VLOOKUP($A2358,HeadJournal!$A$1:$L$890,COLUMN(HeadJournal!H$1),0),0)</f>
        <v>0.46177196538107851</v>
      </c>
      <c r="P2358" s="30">
        <f>IFERROR(SUM(K2358:O2358)*VLOOKUP($A2358,HeadJournal!$A$1:$L$890,COLUMN(HeadJournal!H$1),0),0)</f>
        <v>1564.1942715100843</v>
      </c>
      <c r="Q2358" s="29">
        <v>2300</v>
      </c>
      <c r="R2358" s="31">
        <v>45269</v>
      </c>
      <c r="S2358" s="31" t="s">
        <v>3121</v>
      </c>
      <c r="T2358" s="95" t="str">
        <f t="shared" si="185"/>
        <v>2023 12</v>
      </c>
      <c r="U2358" s="32">
        <f t="shared" si="182"/>
        <v>735.80572848991574</v>
      </c>
      <c r="V2358" s="22">
        <f t="shared" si="183"/>
        <v>0.47040558956884793</v>
      </c>
      <c r="X2358" s="33"/>
      <c r="Y2358" s="33"/>
    </row>
    <row r="2359" spans="1:25" x14ac:dyDescent="0.2">
      <c r="A2359" s="93" t="s">
        <v>1064</v>
      </c>
      <c r="B2359" s="94" t="str">
        <f>IFERROR(VLOOKUP($A2359,HeadJournal!$A$1:$NTR$890,COLUMN(HeadJournal!B$1),0),"")</f>
        <v>700000967207</v>
      </c>
      <c r="C2359" s="94" t="str">
        <f>IFERROR(VLOOKUP($A2359,HeadJournal!$A$1:$NTR$890,COLUMN(HeadJournal!C$1),0),"")</f>
        <v>iHerb_VP DFD1605</v>
      </c>
      <c r="D2359" s="125" t="str">
        <f>IFERROR(VLOOKUP($A2359,HeadJournal!$A$1:$NTR$890,COLUMN(HeadJournal!D$1),0),"")</f>
        <v>Доставлен</v>
      </c>
      <c r="E2359" s="95">
        <f>IFERROR(VLOOKUP($A2359,HeadJournal!$A$1:$NTR$890,COLUMN(HeadJournal!G$1),0),"")</f>
        <v>45221</v>
      </c>
      <c r="F2359" s="95" t="str">
        <f t="shared" si="184"/>
        <v>2023 10</v>
      </c>
      <c r="G2359" s="96" t="s">
        <v>5</v>
      </c>
      <c r="H2359" s="160" t="str">
        <f>RIGHT(Journal!$J2359,9)</f>
        <v>SNS-01177</v>
      </c>
      <c r="I2359" s="96" t="str">
        <f t="shared" si="186"/>
        <v>Source Naturals</v>
      </c>
      <c r="J2359" s="97" t="s">
        <v>772</v>
      </c>
      <c r="K2359" s="29">
        <v>27.65</v>
      </c>
      <c r="L2359" s="29">
        <v>-4.1500000000000004</v>
      </c>
      <c r="M2359" s="30">
        <f>IFERROR(VLOOKUP($A2359,HeadJournal!$A$1:$J$890,COLUMN(HeadJournal!I$1),0)*($K2359+$L2359)/(SUMIF($A:$A,$A2359,$K:$K)+SUMIF($A:$A,$A2359,$L:$L)),0)</f>
        <v>-1.6754420654200326</v>
      </c>
      <c r="N2359" s="30">
        <f>IFERROR((VLOOKUP($A2359,HeadJournal!$A$1:$K$890,COLUMN(HeadJournal!K$1),0)-VLOOKUP($A2359,HeadJournal!$A$1:$K$890,COLUMN(HeadJournal!J$1),0))*($K2359+$L2359)/(SUMIF($A:$A,$A2359,$K:$K)+SUMIF($A:$A,$A2359,$L:$L)),0)</f>
        <v>-3.7732906141714824E-15</v>
      </c>
      <c r="O2359" s="30">
        <f>IFERROR((VLOOKUP($A2359,HeadJournal!$A$1:$L$890,COLUMN(HeadJournal!L$1),0)*($K2359+$L2359)/(SUMIF($A:$A,$A2359,$K:$K)+SUMIF($A:$A,$A2359,$L:$L)))/VLOOKUP($A2359,HeadJournal!$A$1:$L$890,COLUMN(HeadJournal!H$1),0),0)</f>
        <v>0.7382068834323362</v>
      </c>
      <c r="P2359" s="30">
        <f>IFERROR(SUM(K2359:O2359)*VLOOKUP($A2359,HeadJournal!$A$1:$L$890,COLUMN(HeadJournal!H$1),0),0)</f>
        <v>2500.5826789446924</v>
      </c>
      <c r="Q2359" s="29">
        <v>3300</v>
      </c>
      <c r="R2359" s="31">
        <v>45353</v>
      </c>
      <c r="S2359" s="31" t="s">
        <v>3121</v>
      </c>
      <c r="T2359" s="95" t="str">
        <f t="shared" si="185"/>
        <v>2024 03</v>
      </c>
      <c r="U2359" s="32">
        <f t="shared" si="182"/>
        <v>799.41732105530764</v>
      </c>
      <c r="V2359" s="22">
        <f t="shared" si="183"/>
        <v>0.31969241720600955</v>
      </c>
      <c r="X2359" s="33"/>
      <c r="Y2359" s="33"/>
    </row>
    <row r="2360" spans="1:25" x14ac:dyDescent="0.2">
      <c r="A2360" s="93" t="s">
        <v>1064</v>
      </c>
      <c r="B2360" s="94" t="str">
        <f>IFERROR(VLOOKUP($A2360,HeadJournal!$A$1:$NTR$890,COLUMN(HeadJournal!B$1),0),"")</f>
        <v>700000967207</v>
      </c>
      <c r="C2360" s="94" t="str">
        <f>IFERROR(VLOOKUP($A2360,HeadJournal!$A$1:$NTR$890,COLUMN(HeadJournal!C$1),0),"")</f>
        <v>iHerb_VP DFD1605</v>
      </c>
      <c r="D2360" s="125" t="str">
        <f>IFERROR(VLOOKUP($A2360,HeadJournal!$A$1:$NTR$890,COLUMN(HeadJournal!D$1),0),"")</f>
        <v>Доставлен</v>
      </c>
      <c r="E2360" s="95">
        <f>IFERROR(VLOOKUP($A2360,HeadJournal!$A$1:$NTR$890,COLUMN(HeadJournal!G$1),0),"")</f>
        <v>45221</v>
      </c>
      <c r="F2360" s="95" t="str">
        <f t="shared" si="184"/>
        <v>2023 10</v>
      </c>
      <c r="G2360" s="96" t="s">
        <v>5</v>
      </c>
      <c r="H2360" s="160" t="str">
        <f>RIGHT(Journal!$J2360,9)</f>
        <v>NOW-03157</v>
      </c>
      <c r="I2360" s="96" t="str">
        <f t="shared" si="186"/>
        <v>NOW Foods</v>
      </c>
      <c r="J2360" s="97" t="s">
        <v>1067</v>
      </c>
      <c r="K2360" s="29">
        <v>22.6</v>
      </c>
      <c r="L2360" s="29">
        <v>-4.5199999999999996</v>
      </c>
      <c r="M2360" s="30">
        <f>IFERROR(VLOOKUP($A2360,HeadJournal!$A$1:$J$890,COLUMN(HeadJournal!I$1),0)*($K2360+$L2360)/(SUMIF($A:$A,$A2360,$K:$K)+SUMIF($A:$A,$A2360,$L:$L)),0)</f>
        <v>-1.2890209592678379</v>
      </c>
      <c r="N2360" s="30">
        <f>IFERROR((VLOOKUP($A2360,HeadJournal!$A$1:$K$890,COLUMN(HeadJournal!K$1),0)-VLOOKUP($A2360,HeadJournal!$A$1:$K$890,COLUMN(HeadJournal!J$1),0))*($K2360+$L2360)/(SUMIF($A:$A,$A2360,$K:$K)+SUMIF($A:$A,$A2360,$L:$L)),0)</f>
        <v>-2.9030252895412942E-15</v>
      </c>
      <c r="O2360" s="30">
        <f>IFERROR((VLOOKUP($A2360,HeadJournal!$A$1:$L$890,COLUMN(HeadJournal!L$1),0)*($K2360+$L2360)/(SUMIF($A:$A,$A2360,$K:$K)+SUMIF($A:$A,$A2360,$L:$L)))/VLOOKUP($A2360,HeadJournal!$A$1:$L$890,COLUMN(HeadJournal!H$1),0),0)</f>
        <v>0.5679481043598571</v>
      </c>
      <c r="P2360" s="30">
        <f>IFERROR(SUM(K2360:O2360)*VLOOKUP($A2360,HeadJournal!$A$1:$L$890,COLUMN(HeadJournal!H$1),0),0)</f>
        <v>1923.8525461838317</v>
      </c>
      <c r="Q2360" s="29">
        <v>3300</v>
      </c>
      <c r="R2360" s="31">
        <v>45507</v>
      </c>
      <c r="S2360" s="31" t="s">
        <v>3121</v>
      </c>
      <c r="T2360" s="95" t="str">
        <f t="shared" si="185"/>
        <v>2024 08</v>
      </c>
      <c r="U2360" s="32">
        <f t="shared" si="182"/>
        <v>1376.1474538161683</v>
      </c>
      <c r="V2360" s="22">
        <f t="shared" si="183"/>
        <v>0.71530817501887278</v>
      </c>
      <c r="X2360" s="33"/>
      <c r="Y2360" s="33"/>
    </row>
    <row r="2361" spans="1:25" x14ac:dyDescent="0.2">
      <c r="A2361" s="93" t="s">
        <v>1064</v>
      </c>
      <c r="B2361" s="94" t="str">
        <f>IFERROR(VLOOKUP($A2361,HeadJournal!$A$1:$NTR$890,COLUMN(HeadJournal!B$1),0),"")</f>
        <v>700000967207</v>
      </c>
      <c r="C2361" s="94" t="str">
        <f>IFERROR(VLOOKUP($A2361,HeadJournal!$A$1:$NTR$890,COLUMN(HeadJournal!C$1),0),"")</f>
        <v>iHerb_VP DFD1605</v>
      </c>
      <c r="D2361" s="125" t="str">
        <f>IFERROR(VLOOKUP($A2361,HeadJournal!$A$1:$NTR$890,COLUMN(HeadJournal!D$1),0),"")</f>
        <v>Доставлен</v>
      </c>
      <c r="E2361" s="95">
        <f>IFERROR(VLOOKUP($A2361,HeadJournal!$A$1:$NTR$890,COLUMN(HeadJournal!G$1),0),"")</f>
        <v>45221</v>
      </c>
      <c r="F2361" s="95" t="str">
        <f t="shared" si="184"/>
        <v>2023 10</v>
      </c>
      <c r="G2361" s="96" t="s">
        <v>5</v>
      </c>
      <c r="H2361" s="161" t="s">
        <v>2217</v>
      </c>
      <c r="I2361" s="97" t="s">
        <v>2218</v>
      </c>
      <c r="J2361" s="97" t="s">
        <v>2219</v>
      </c>
      <c r="K2361" s="29">
        <v>27.75</v>
      </c>
      <c r="L2361" s="29">
        <v>-5.55</v>
      </c>
      <c r="M2361" s="30">
        <f>IFERROR(VLOOKUP($A2361,HeadJournal!$A$1:$J$890,COLUMN(HeadJournal!I$1),0)*($K2361+$L2361)/(SUMIF($A:$A,$A2361,$K:$K)+SUMIF($A:$A,$A2361,$L:$L)),0)</f>
        <v>-1.5827580362691371</v>
      </c>
      <c r="N2361" s="30">
        <f>IFERROR((VLOOKUP($A2361,HeadJournal!$A$1:$K$890,COLUMN(HeadJournal!K$1),0)-VLOOKUP($A2361,HeadJournal!$A$1:$K$890,COLUMN(HeadJournal!J$1),0))*($K2361+$L2361)/(SUMIF($A:$A,$A2361,$K:$K)+SUMIF($A:$A,$A2361,$L:$L)),0)</f>
        <v>-3.5645553887066773E-15</v>
      </c>
      <c r="O2361" s="30">
        <f>IFERROR((VLOOKUP($A2361,HeadJournal!$A$1:$L$890,COLUMN(HeadJournal!L$1),0)*($K2361+$L2361)/(SUMIF($A:$A,$A2361,$K:$K)+SUMIF($A:$A,$A2361,$L:$L)))/VLOOKUP($A2361,HeadJournal!$A$1:$L$890,COLUMN(HeadJournal!H$1),0),0)</f>
        <v>0.69736990690203682</v>
      </c>
      <c r="P2361" s="30">
        <f>IFERROR(SUM(K2361:O2361)*VLOOKUP($A2361,HeadJournal!$A$1:$L$890,COLUMN(HeadJournal!H$1),0),0)</f>
        <v>2362.2525733009434</v>
      </c>
      <c r="Q2361" s="29">
        <v>3300</v>
      </c>
      <c r="R2361" s="31">
        <v>45297</v>
      </c>
      <c r="S2361" s="31" t="s">
        <v>3121</v>
      </c>
      <c r="T2361" s="95" t="str">
        <f t="shared" si="185"/>
        <v>2024 01</v>
      </c>
      <c r="U2361" s="32">
        <f t="shared" si="182"/>
        <v>937.74742669905663</v>
      </c>
      <c r="V2361" s="22">
        <f t="shared" si="183"/>
        <v>0.3969717028982534</v>
      </c>
      <c r="X2361" s="33"/>
      <c r="Y2361" s="33"/>
    </row>
    <row r="2362" spans="1:25" x14ac:dyDescent="0.2">
      <c r="A2362" s="93" t="s">
        <v>1068</v>
      </c>
      <c r="B2362" s="94">
        <f>IFERROR(VLOOKUP($A2362,HeadJournal!$A$1:$NTR$890,COLUMN(HeadJournal!B$1),0),"")</f>
        <v>0</v>
      </c>
      <c r="C2362" s="94" t="str">
        <f>IFERROR(VLOOKUP($A2362,HeadJournal!$A$1:$NTR$890,COLUMN(HeadJournal!C$1),0),"")</f>
        <v>CoralClub_OA</v>
      </c>
      <c r="D2362" s="125" t="str">
        <f>IFERROR(VLOOKUP($A2362,HeadJournal!$A$1:$NTR$890,COLUMN(HeadJournal!D$1),0),"")</f>
        <v>Доставлен</v>
      </c>
      <c r="E2362" s="95">
        <f>IFERROR(VLOOKUP($A2362,HeadJournal!$A$1:$NTR$890,COLUMN(HeadJournal!G$1),0),"")</f>
        <v>45158</v>
      </c>
      <c r="F2362" s="95" t="str">
        <f t="shared" si="184"/>
        <v>2023 08</v>
      </c>
      <c r="G2362" s="96" t="s">
        <v>5</v>
      </c>
      <c r="H2362" s="160" t="str">
        <f>RIGHT(Journal!$J2362,9)</f>
        <v>000005701</v>
      </c>
      <c r="I2362" s="96" t="str">
        <f t="shared" si="186"/>
        <v>CoralClub</v>
      </c>
      <c r="J2362" s="97" t="s">
        <v>732</v>
      </c>
      <c r="K2362" s="29">
        <v>1344</v>
      </c>
      <c r="L2362" s="29">
        <v>0</v>
      </c>
      <c r="M2362" s="30">
        <f>IFERROR(VLOOKUP($A2362,HeadJournal!$A$1:$J$890,COLUMN(HeadJournal!I$1),0)*($K2362+$L2362)/(SUMIF($A:$A,$A2362,$K:$K)+SUMIF($A:$A,$A2362,$L:$L)),0)</f>
        <v>0</v>
      </c>
      <c r="N2362" s="30">
        <f>IFERROR((VLOOKUP($A2362,HeadJournal!$A$1:$K$890,COLUMN(HeadJournal!K$1),0)-VLOOKUP($A2362,HeadJournal!$A$1:$K$890,COLUMN(HeadJournal!J$1),0))*($K2362+$L2362)/(SUMIF($A:$A,$A2362,$K:$K)+SUMIF($A:$A,$A2362,$L:$L)),0)</f>
        <v>0</v>
      </c>
      <c r="O2362" s="30">
        <f>IFERROR((VLOOKUP($A2362,HeadJournal!$A$1:$L$890,COLUMN(HeadJournal!L$1),0)*($K2362+$L2362)/(SUMIF($A:$A,$A2362,$K:$K)+SUMIF($A:$A,$A2362,$L:$L)))/VLOOKUP($A2362,HeadJournal!$A$1:$L$890,COLUMN(HeadJournal!H$1),0),0)</f>
        <v>0</v>
      </c>
      <c r="P2362" s="30">
        <f>IFERROR(SUM(K2362:O2362)*VLOOKUP($A2362,HeadJournal!$A$1:$L$890,COLUMN(HeadJournal!H$1),0),0)</f>
        <v>1344</v>
      </c>
      <c r="Q2362" s="29"/>
      <c r="R2362" s="31"/>
      <c r="S2362" s="31"/>
      <c r="T2362" s="95" t="str">
        <f t="shared" si="185"/>
        <v/>
      </c>
      <c r="U2362" s="32">
        <f t="shared" si="182"/>
        <v>-1344</v>
      </c>
      <c r="V2362" s="22" t="str">
        <f t="shared" si="183"/>
        <v/>
      </c>
      <c r="X2362" s="33"/>
      <c r="Y2362" s="33"/>
    </row>
    <row r="2363" spans="1:25" x14ac:dyDescent="0.2">
      <c r="A2363" s="93" t="s">
        <v>1069</v>
      </c>
      <c r="B2363" s="94">
        <f>IFERROR(VLOOKUP($A2363,HeadJournal!$A$1:$NTR$890,COLUMN(HeadJournal!B$1),0),"")</f>
        <v>0</v>
      </c>
      <c r="C2363" s="94" t="str">
        <f>IFERROR(VLOOKUP($A2363,HeadJournal!$A$1:$NTR$890,COLUMN(HeadJournal!C$1),0),"")</f>
        <v>CoralClub_AV</v>
      </c>
      <c r="D2363" s="125" t="str">
        <f>IFERROR(VLOOKUP($A2363,HeadJournal!$A$1:$NTR$890,COLUMN(HeadJournal!D$1),0),"")</f>
        <v>Доставлен</v>
      </c>
      <c r="E2363" s="95">
        <f>IFERROR(VLOOKUP($A2363,HeadJournal!$A$1:$NTR$890,COLUMN(HeadJournal!G$1),0),"")</f>
        <v>45208</v>
      </c>
      <c r="F2363" s="95" t="str">
        <f t="shared" si="184"/>
        <v>2023 10</v>
      </c>
      <c r="G2363" s="96" t="s">
        <v>5</v>
      </c>
      <c r="H2363" s="160" t="str">
        <f>RIGHT(Journal!$J2363,9)</f>
        <v>000002307</v>
      </c>
      <c r="I2363" s="96" t="str">
        <f t="shared" si="186"/>
        <v>CoralClub</v>
      </c>
      <c r="J2363" s="97" t="s">
        <v>1070</v>
      </c>
      <c r="K2363" s="29">
        <v>1260</v>
      </c>
      <c r="L2363" s="29">
        <v>0</v>
      </c>
      <c r="M2363" s="30">
        <f>IFERROR(VLOOKUP($A2363,HeadJournal!$A$1:$J$890,COLUMN(HeadJournal!I$1),0)*($K2363+$L2363)/(SUMIF($A:$A,$A2363,$K:$K)+SUMIF($A:$A,$A2363,$L:$L)),0)</f>
        <v>0</v>
      </c>
      <c r="N2363" s="30">
        <f>IFERROR((VLOOKUP($A2363,HeadJournal!$A$1:$K$890,COLUMN(HeadJournal!K$1),0)-VLOOKUP($A2363,HeadJournal!$A$1:$K$890,COLUMN(HeadJournal!J$1),0))*($K2363+$L2363)/(SUMIF($A:$A,$A2363,$K:$K)+SUMIF($A:$A,$A2363,$L:$L)),0)</f>
        <v>0</v>
      </c>
      <c r="O2363" s="30">
        <f>IFERROR((VLOOKUP($A2363,HeadJournal!$A$1:$L$890,COLUMN(HeadJournal!L$1),0)*($K2363+$L2363)/(SUMIF($A:$A,$A2363,$K:$K)+SUMIF($A:$A,$A2363,$L:$L)))/VLOOKUP($A2363,HeadJournal!$A$1:$L$890,COLUMN(HeadJournal!H$1),0),0)</f>
        <v>0</v>
      </c>
      <c r="P2363" s="30">
        <f>IFERROR(SUM(K2363:O2363)*VLOOKUP($A2363,HeadJournal!$A$1:$L$890,COLUMN(HeadJournal!H$1),0),0)</f>
        <v>1260</v>
      </c>
      <c r="Q2363" s="29">
        <v>1700</v>
      </c>
      <c r="R2363" s="31">
        <v>45227</v>
      </c>
      <c r="S2363" s="31" t="s">
        <v>3121</v>
      </c>
      <c r="T2363" s="95" t="str">
        <f t="shared" si="185"/>
        <v>2023 10</v>
      </c>
      <c r="U2363" s="32">
        <f t="shared" si="182"/>
        <v>440</v>
      </c>
      <c r="V2363" s="22">
        <f t="shared" si="183"/>
        <v>0.34920634920634919</v>
      </c>
      <c r="X2363" s="33"/>
      <c r="Y2363" s="33"/>
    </row>
    <row r="2364" spans="1:25" x14ac:dyDescent="0.2">
      <c r="A2364" s="93" t="s">
        <v>1069</v>
      </c>
      <c r="B2364" s="94">
        <f>IFERROR(VLOOKUP($A2364,HeadJournal!$A$1:$NTR$890,COLUMN(HeadJournal!B$1),0),"")</f>
        <v>0</v>
      </c>
      <c r="C2364" s="94" t="str">
        <f>IFERROR(VLOOKUP($A2364,HeadJournal!$A$1:$NTR$890,COLUMN(HeadJournal!C$1),0),"")</f>
        <v>CoralClub_AV</v>
      </c>
      <c r="D2364" s="125" t="str">
        <f>IFERROR(VLOOKUP($A2364,HeadJournal!$A$1:$NTR$890,COLUMN(HeadJournal!D$1),0),"")</f>
        <v>Доставлен</v>
      </c>
      <c r="E2364" s="95">
        <f>IFERROR(VLOOKUP($A2364,HeadJournal!$A$1:$NTR$890,COLUMN(HeadJournal!G$1),0),"")</f>
        <v>45208</v>
      </c>
      <c r="F2364" s="95" t="str">
        <f t="shared" si="184"/>
        <v>2023 10</v>
      </c>
      <c r="G2364" s="96" t="s">
        <v>5</v>
      </c>
      <c r="H2364" s="160" t="str">
        <f>RIGHT(Journal!$J2364,9)</f>
        <v>000002307</v>
      </c>
      <c r="I2364" s="96" t="str">
        <f t="shared" si="186"/>
        <v>CoralClub</v>
      </c>
      <c r="J2364" s="97" t="s">
        <v>1070</v>
      </c>
      <c r="K2364" s="29">
        <v>1260</v>
      </c>
      <c r="L2364" s="29">
        <v>0</v>
      </c>
      <c r="M2364" s="30">
        <f>IFERROR(VLOOKUP($A2364,HeadJournal!$A$1:$J$890,COLUMN(HeadJournal!I$1),0)*($K2364+$L2364)/(SUMIF($A:$A,$A2364,$K:$K)+SUMIF($A:$A,$A2364,$L:$L)),0)</f>
        <v>0</v>
      </c>
      <c r="N2364" s="30">
        <f>IFERROR((VLOOKUP($A2364,HeadJournal!$A$1:$K$890,COLUMN(HeadJournal!K$1),0)-VLOOKUP($A2364,HeadJournal!$A$1:$K$890,COLUMN(HeadJournal!J$1),0))*($K2364+$L2364)/(SUMIF($A:$A,$A2364,$K:$K)+SUMIF($A:$A,$A2364,$L:$L)),0)</f>
        <v>0</v>
      </c>
      <c r="O2364" s="30">
        <f>IFERROR((VLOOKUP($A2364,HeadJournal!$A$1:$L$890,COLUMN(HeadJournal!L$1),0)*($K2364+$L2364)/(SUMIF($A:$A,$A2364,$K:$K)+SUMIF($A:$A,$A2364,$L:$L)))/VLOOKUP($A2364,HeadJournal!$A$1:$L$890,COLUMN(HeadJournal!H$1),0),0)</f>
        <v>0</v>
      </c>
      <c r="P2364" s="30">
        <f>IFERROR(SUM(K2364:O2364)*VLOOKUP($A2364,HeadJournal!$A$1:$L$890,COLUMN(HeadJournal!H$1),0),0)</f>
        <v>1260</v>
      </c>
      <c r="Q2364" s="29">
        <v>1700</v>
      </c>
      <c r="R2364" s="31">
        <v>45256</v>
      </c>
      <c r="S2364" s="31" t="s">
        <v>3121</v>
      </c>
      <c r="T2364" s="95" t="str">
        <f t="shared" si="185"/>
        <v>2023 11</v>
      </c>
      <c r="U2364" s="32">
        <f t="shared" si="182"/>
        <v>440</v>
      </c>
      <c r="V2364" s="22">
        <f t="shared" si="183"/>
        <v>0.34920634920634919</v>
      </c>
      <c r="X2364" s="33"/>
      <c r="Y2364" s="33"/>
    </row>
    <row r="2365" spans="1:25" x14ac:dyDescent="0.2">
      <c r="A2365" s="93" t="s">
        <v>1071</v>
      </c>
      <c r="B2365" s="94">
        <f>IFERROR(VLOOKUP($A2365,HeadJournal!$A$1:$NTR$890,COLUMN(HeadJournal!B$1),0),"")</f>
        <v>0</v>
      </c>
      <c r="C2365" s="94" t="str">
        <f>IFERROR(VLOOKUP($A2365,HeadJournal!$A$1:$NTR$890,COLUMN(HeadJournal!C$1),0),"")</f>
        <v>WBRS</v>
      </c>
      <c r="D2365" s="125" t="str">
        <f>IFERROR(VLOOKUP($A2365,HeadJournal!$A$1:$NTR$890,COLUMN(HeadJournal!D$1),0),"")</f>
        <v>Доставлен</v>
      </c>
      <c r="E2365" s="95">
        <f>IFERROR(VLOOKUP($A2365,HeadJournal!$A$1:$NTR$890,COLUMN(HeadJournal!G$1),0),"")</f>
        <v>45221</v>
      </c>
      <c r="F2365" s="95" t="str">
        <f t="shared" si="184"/>
        <v>2023 10</v>
      </c>
      <c r="G2365" s="96" t="s">
        <v>6</v>
      </c>
      <c r="H2365" s="160" t="str">
        <f>RIGHT(Journal!$J2365,9)</f>
        <v>799989625</v>
      </c>
      <c r="I2365" s="96" t="str">
        <f t="shared" si="186"/>
        <v>Cult</v>
      </c>
      <c r="J2365" s="97" t="s">
        <v>3516</v>
      </c>
      <c r="K2365" s="29">
        <v>1475.5</v>
      </c>
      <c r="L2365" s="29">
        <v>0</v>
      </c>
      <c r="M2365" s="30">
        <f>IFERROR(VLOOKUP($A2365,HeadJournal!$A$1:$J$890,COLUMN(HeadJournal!I$1),0)*($K2365+$L2365)/(SUMIF($A:$A,$A2365,$K:$K)+SUMIF($A:$A,$A2365,$L:$L)),0)</f>
        <v>0</v>
      </c>
      <c r="N2365" s="30">
        <f>IFERROR((VLOOKUP($A2365,HeadJournal!$A$1:$K$890,COLUMN(HeadJournal!K$1),0)-VLOOKUP($A2365,HeadJournal!$A$1:$K$890,COLUMN(HeadJournal!J$1),0))*($K2365+$L2365)/(SUMIF($A:$A,$A2365,$K:$K)+SUMIF($A:$A,$A2365,$L:$L)),0)</f>
        <v>0</v>
      </c>
      <c r="O2365" s="30">
        <f>IFERROR((VLOOKUP($A2365,HeadJournal!$A$1:$L$890,COLUMN(HeadJournal!L$1),0)*($K2365+$L2365)/(SUMIF($A:$A,$A2365,$K:$K)+SUMIF($A:$A,$A2365,$L:$L)))/VLOOKUP($A2365,HeadJournal!$A$1:$L$890,COLUMN(HeadJournal!H$1),0),0)</f>
        <v>147.55000000000001</v>
      </c>
      <c r="P2365" s="30">
        <f>IFERROR(SUM(K2365:O2365)*VLOOKUP($A2365,HeadJournal!$A$1:$L$890,COLUMN(HeadJournal!H$1),0),0)</f>
        <v>1623.05</v>
      </c>
      <c r="Q2365" s="29">
        <v>3000</v>
      </c>
      <c r="R2365" s="31">
        <v>45232</v>
      </c>
      <c r="S2365" s="31" t="s">
        <v>3121</v>
      </c>
      <c r="T2365" s="95" t="str">
        <f t="shared" si="185"/>
        <v>2023 11</v>
      </c>
      <c r="U2365" s="32">
        <f t="shared" si="182"/>
        <v>1376.95</v>
      </c>
      <c r="V2365" s="22">
        <f t="shared" si="183"/>
        <v>0.84837189242475586</v>
      </c>
      <c r="X2365" s="33"/>
      <c r="Y2365" s="33"/>
    </row>
    <row r="2366" spans="1:25" x14ac:dyDescent="0.2">
      <c r="A2366" s="93" t="s">
        <v>1071</v>
      </c>
      <c r="B2366" s="94">
        <f>IFERROR(VLOOKUP($A2366,HeadJournal!$A$1:$NTR$890,COLUMN(HeadJournal!B$1),0),"")</f>
        <v>0</v>
      </c>
      <c r="C2366" s="94" t="str">
        <f>IFERROR(VLOOKUP($A2366,HeadJournal!$A$1:$NTR$890,COLUMN(HeadJournal!C$1),0),"")</f>
        <v>WBRS</v>
      </c>
      <c r="D2366" s="125" t="str">
        <f>IFERROR(VLOOKUP($A2366,HeadJournal!$A$1:$NTR$890,COLUMN(HeadJournal!D$1),0),"")</f>
        <v>Доставлен</v>
      </c>
      <c r="E2366" s="95">
        <f>IFERROR(VLOOKUP($A2366,HeadJournal!$A$1:$NTR$890,COLUMN(HeadJournal!G$1),0),"")</f>
        <v>45221</v>
      </c>
      <c r="F2366" s="95" t="str">
        <f t="shared" si="184"/>
        <v>2023 10</v>
      </c>
      <c r="G2366" s="96" t="s">
        <v>6</v>
      </c>
      <c r="H2366" s="160" t="str">
        <f>RIGHT(Journal!$J2366,9)</f>
        <v>799989625</v>
      </c>
      <c r="I2366" s="96" t="str">
        <f t="shared" si="186"/>
        <v>Cult</v>
      </c>
      <c r="J2366" s="97" t="s">
        <v>3516</v>
      </c>
      <c r="K2366" s="29">
        <v>1475.5</v>
      </c>
      <c r="L2366" s="29">
        <v>0</v>
      </c>
      <c r="M2366" s="30">
        <f>IFERROR(VLOOKUP($A2366,HeadJournal!$A$1:$J$890,COLUMN(HeadJournal!I$1),0)*($K2366+$L2366)/(SUMIF($A:$A,$A2366,$K:$K)+SUMIF($A:$A,$A2366,$L:$L)),0)</f>
        <v>0</v>
      </c>
      <c r="N2366" s="30">
        <f>IFERROR((VLOOKUP($A2366,HeadJournal!$A$1:$K$890,COLUMN(HeadJournal!K$1),0)-VLOOKUP($A2366,HeadJournal!$A$1:$K$890,COLUMN(HeadJournal!J$1),0))*($K2366+$L2366)/(SUMIF($A:$A,$A2366,$K:$K)+SUMIF($A:$A,$A2366,$L:$L)),0)</f>
        <v>0</v>
      </c>
      <c r="O2366" s="30">
        <f>IFERROR((VLOOKUP($A2366,HeadJournal!$A$1:$L$890,COLUMN(HeadJournal!L$1),0)*($K2366+$L2366)/(SUMIF($A:$A,$A2366,$K:$K)+SUMIF($A:$A,$A2366,$L:$L)))/VLOOKUP($A2366,HeadJournal!$A$1:$L$890,COLUMN(HeadJournal!H$1),0),0)</f>
        <v>147.55000000000001</v>
      </c>
      <c r="P2366" s="30">
        <f>IFERROR(SUM(K2366:O2366)*VLOOKUP($A2366,HeadJournal!$A$1:$L$890,COLUMN(HeadJournal!H$1),0),0)</f>
        <v>1623.05</v>
      </c>
      <c r="Q2366" s="29">
        <v>3000</v>
      </c>
      <c r="R2366" s="31">
        <v>45232</v>
      </c>
      <c r="S2366" s="31" t="s">
        <v>3121</v>
      </c>
      <c r="T2366" s="95" t="str">
        <f t="shared" si="185"/>
        <v>2023 11</v>
      </c>
      <c r="U2366" s="32">
        <f t="shared" si="182"/>
        <v>1376.95</v>
      </c>
      <c r="V2366" s="22">
        <f t="shared" si="183"/>
        <v>0.84837189242475586</v>
      </c>
      <c r="X2366" s="33"/>
      <c r="Y2366" s="33"/>
    </row>
    <row r="2367" spans="1:25" x14ac:dyDescent="0.2">
      <c r="A2367" s="93" t="s">
        <v>1072</v>
      </c>
      <c r="B2367" s="94" t="str">
        <f>IFERROR(VLOOKUP($A2367,HeadJournal!$A$1:$NTR$890,COLUMN(HeadJournal!B$1),0),"")</f>
        <v>700000977560</v>
      </c>
      <c r="C2367" s="94" t="str">
        <f>IFERROR(VLOOKUP($A2367,HeadJournal!$A$1:$NTR$890,COLUMN(HeadJournal!C$1),0),"")</f>
        <v>iHerb_MH DLE7202</v>
      </c>
      <c r="D2367" s="125" t="str">
        <f>IFERROR(VLOOKUP($A2367,HeadJournal!$A$1:$NTR$890,COLUMN(HeadJournal!D$1),0),"")</f>
        <v>Доставлен</v>
      </c>
      <c r="E2367" s="95">
        <f>IFERROR(VLOOKUP($A2367,HeadJournal!$A$1:$NTR$890,COLUMN(HeadJournal!G$1),0),"")</f>
        <v>45229</v>
      </c>
      <c r="F2367" s="95" t="str">
        <f t="shared" si="184"/>
        <v>2023 10</v>
      </c>
      <c r="G2367" s="96" t="s">
        <v>7</v>
      </c>
      <c r="H2367" s="160" t="str">
        <f>RIGHT(Journal!$J2367,9)</f>
        <v>HBL-00219</v>
      </c>
      <c r="I2367" s="96" t="str">
        <f t="shared" si="186"/>
        <v>Hobe Labs</v>
      </c>
      <c r="J2367" s="97" t="s">
        <v>1073</v>
      </c>
      <c r="K2367" s="29">
        <v>4.4800000000000004</v>
      </c>
      <c r="L2367" s="29">
        <v>-1.02</v>
      </c>
      <c r="M2367" s="30">
        <f>IFERROR(VLOOKUP($A2367,HeadJournal!$A$1:$J$890,COLUMN(HeadJournal!I$1),0)*($K2367+$L2367)/(SUMIF($A:$A,$A2367,$K:$K)+SUMIF($A:$A,$A2367,$L:$L)),0)</f>
        <v>-0.21841527599486532</v>
      </c>
      <c r="N2367" s="30">
        <f>IFERROR((VLOOKUP($A2367,HeadJournal!$A$1:$K$890,COLUMN(HeadJournal!K$1),0)-VLOOKUP($A2367,HeadJournal!$A$1:$K$890,COLUMN(HeadJournal!J$1),0))*($K2367+$L2367)/(SUMIF($A:$A,$A2367,$K:$K)+SUMIF($A:$A,$A2367,$L:$L)),0)</f>
        <v>1.2623763110294981E-15</v>
      </c>
      <c r="O2367" s="30">
        <f>IFERROR((VLOOKUP($A2367,HeadJournal!$A$1:$L$890,COLUMN(HeadJournal!L$1),0)*($K2367+$L2367)/(SUMIF($A:$A,$A2367,$K:$K)+SUMIF($A:$A,$A2367,$L:$L)))/VLOOKUP($A2367,HeadJournal!$A$1:$L$890,COLUMN(HeadJournal!H$1),0),0)</f>
        <v>7.9125251445959888E-2</v>
      </c>
      <c r="P2367" s="30">
        <f>IFERROR(SUM(K2367:O2367)*VLOOKUP($A2367,HeadJournal!$A$1:$L$890,COLUMN(HeadJournal!H$1),0),0)</f>
        <v>357.27372229353887</v>
      </c>
      <c r="Q2367" s="29">
        <v>1100</v>
      </c>
      <c r="R2367" s="31">
        <v>45363</v>
      </c>
      <c r="S2367" s="31" t="s">
        <v>3121</v>
      </c>
      <c r="T2367" s="95" t="str">
        <f t="shared" si="185"/>
        <v>2024 03</v>
      </c>
      <c r="U2367" s="32">
        <f t="shared" si="182"/>
        <v>742.72627770646113</v>
      </c>
      <c r="V2367" s="22">
        <f t="shared" si="183"/>
        <v>2.0788718323264521</v>
      </c>
      <c r="X2367" s="33"/>
      <c r="Y2367" s="33"/>
    </row>
    <row r="2368" spans="1:25" x14ac:dyDescent="0.2">
      <c r="A2368" s="93" t="s">
        <v>1072</v>
      </c>
      <c r="B2368" s="94" t="str">
        <f>IFERROR(VLOOKUP($A2368,HeadJournal!$A$1:$NTR$890,COLUMN(HeadJournal!B$1),0),"")</f>
        <v>700000977560</v>
      </c>
      <c r="C2368" s="94" t="str">
        <f>IFERROR(VLOOKUP($A2368,HeadJournal!$A$1:$NTR$890,COLUMN(HeadJournal!C$1),0),"")</f>
        <v>iHerb_MH DLE7202</v>
      </c>
      <c r="D2368" s="125" t="str">
        <f>IFERROR(VLOOKUP($A2368,HeadJournal!$A$1:$NTR$890,COLUMN(HeadJournal!D$1),0),"")</f>
        <v>Доставлен</v>
      </c>
      <c r="E2368" s="95">
        <f>IFERROR(VLOOKUP($A2368,HeadJournal!$A$1:$NTR$890,COLUMN(HeadJournal!G$1),0),"")</f>
        <v>45229</v>
      </c>
      <c r="F2368" s="95" t="str">
        <f t="shared" si="184"/>
        <v>2023 10</v>
      </c>
      <c r="G2368" s="96" t="s">
        <v>5</v>
      </c>
      <c r="H2368" s="160" t="str">
        <f>RIGHT(Journal!$J2368,9)</f>
        <v>PTF-10393</v>
      </c>
      <c r="I2368" s="96" t="str">
        <f t="shared" si="186"/>
        <v>Planetary Herbals</v>
      </c>
      <c r="J2368" s="97" t="s">
        <v>1043</v>
      </c>
      <c r="K2368" s="29">
        <v>20.73</v>
      </c>
      <c r="L2368" s="29">
        <v>-4.1399999999999997</v>
      </c>
      <c r="M2368" s="30">
        <f>IFERROR(VLOOKUP($A2368,HeadJournal!$A$1:$J$890,COLUMN(HeadJournal!I$1),0)*($K2368+$L2368)/(SUMIF($A:$A,$A2368,$K:$K)+SUMIF($A:$A,$A2368,$L:$L)),0)</f>
        <v>-1.0472570603337616</v>
      </c>
      <c r="N2368" s="30">
        <f>IFERROR((VLOOKUP($A2368,HeadJournal!$A$1:$K$890,COLUMN(HeadJournal!K$1),0)-VLOOKUP($A2368,HeadJournal!$A$1:$K$890,COLUMN(HeadJournal!J$1),0))*($K2368+$L2368)/(SUMIF($A:$A,$A2368,$K:$K)+SUMIF($A:$A,$A2368,$L:$L)),0)</f>
        <v>6.0528390173350789E-15</v>
      </c>
      <c r="O2368" s="30">
        <f>IFERROR((VLOOKUP($A2368,HeadJournal!$A$1:$L$890,COLUMN(HeadJournal!L$1),0)*($K2368+$L2368)/(SUMIF($A:$A,$A2368,$K:$K)+SUMIF($A:$A,$A2368,$L:$L)))/VLOOKUP($A2368,HeadJournal!$A$1:$L$890,COLUMN(HeadJournal!H$1),0),0)</f>
        <v>0.37938957268453016</v>
      </c>
      <c r="P2368" s="30">
        <f>IFERROR(SUM(K2368:O2368)*VLOOKUP($A2368,HeadJournal!$A$1:$L$890,COLUMN(HeadJournal!H$1),0),0)</f>
        <v>1713.0552175866501</v>
      </c>
      <c r="Q2368" s="29">
        <v>2600</v>
      </c>
      <c r="R2368" s="31">
        <v>45267</v>
      </c>
      <c r="S2368" s="31" t="s">
        <v>3121</v>
      </c>
      <c r="T2368" s="95" t="str">
        <f t="shared" si="185"/>
        <v>2023 12</v>
      </c>
      <c r="U2368" s="32">
        <f t="shared" si="182"/>
        <v>886.94478241334991</v>
      </c>
      <c r="V2368" s="22">
        <f t="shared" si="183"/>
        <v>0.51775609642220199</v>
      </c>
      <c r="X2368" s="33"/>
      <c r="Y2368" s="33"/>
    </row>
    <row r="2369" spans="1:25" x14ac:dyDescent="0.2">
      <c r="A2369" s="93" t="s">
        <v>1072</v>
      </c>
      <c r="B2369" s="94" t="str">
        <f>IFERROR(VLOOKUP($A2369,HeadJournal!$A$1:$NTR$890,COLUMN(HeadJournal!B$1),0),"")</f>
        <v>700000977560</v>
      </c>
      <c r="C2369" s="94" t="str">
        <f>IFERROR(VLOOKUP($A2369,HeadJournal!$A$1:$NTR$890,COLUMN(HeadJournal!C$1),0),"")</f>
        <v>iHerb_MH DLE7202</v>
      </c>
      <c r="D2369" s="125" t="str">
        <f>IFERROR(VLOOKUP($A2369,HeadJournal!$A$1:$NTR$890,COLUMN(HeadJournal!D$1),0),"")</f>
        <v>Доставлен</v>
      </c>
      <c r="E2369" s="95">
        <f>IFERROR(VLOOKUP($A2369,HeadJournal!$A$1:$NTR$890,COLUMN(HeadJournal!G$1),0),"")</f>
        <v>45229</v>
      </c>
      <c r="F2369" s="95" t="str">
        <f t="shared" si="184"/>
        <v>2023 10</v>
      </c>
      <c r="G2369" s="96" t="s">
        <v>7</v>
      </c>
      <c r="H2369" s="160" t="str">
        <f>RIGHT(Journal!$J2369,9)</f>
        <v>HBL-00212</v>
      </c>
      <c r="I2369" s="96" t="str">
        <f t="shared" si="186"/>
        <v>Hobe Labs</v>
      </c>
      <c r="J2369" s="97" t="s">
        <v>1074</v>
      </c>
      <c r="K2369" s="29">
        <v>12.48</v>
      </c>
      <c r="L2369" s="29">
        <v>-2.4900000000000002</v>
      </c>
      <c r="M2369" s="30">
        <f>IFERROR(VLOOKUP($A2369,HeadJournal!$A$1:$J$890,COLUMN(HeadJournal!I$1),0)*($K2369+$L2369)/(SUMIF($A:$A,$A2369,$K:$K)+SUMIF($A:$A,$A2369,$L:$L)),0)</f>
        <v>-0.63062676508344062</v>
      </c>
      <c r="N2369" s="30">
        <f>IFERROR((VLOOKUP($A2369,HeadJournal!$A$1:$K$890,COLUMN(HeadJournal!K$1),0)-VLOOKUP($A2369,HeadJournal!$A$1:$K$890,COLUMN(HeadJournal!J$1),0))*($K2369+$L2369)/(SUMIF($A:$A,$A2369,$K:$K)+SUMIF($A:$A,$A2369,$L:$L)),0)</f>
        <v>3.6448379616140708E-15</v>
      </c>
      <c r="O2369" s="30">
        <f>IFERROR((VLOOKUP($A2369,HeadJournal!$A$1:$L$890,COLUMN(HeadJournal!L$1),0)*($K2369+$L2369)/(SUMIF($A:$A,$A2369,$K:$K)+SUMIF($A:$A,$A2369,$L:$L)))/VLOOKUP($A2369,HeadJournal!$A$1:$L$890,COLUMN(HeadJournal!H$1),0),0)</f>
        <v>0.22845701212287259</v>
      </c>
      <c r="P2369" s="30">
        <f>IFERROR(SUM(K2369:O2369)*VLOOKUP($A2369,HeadJournal!$A$1:$L$890,COLUMN(HeadJournal!H$1),0),0)</f>
        <v>1031.5504293966626</v>
      </c>
      <c r="Q2369" s="29">
        <v>1700</v>
      </c>
      <c r="R2369" s="31">
        <v>45344</v>
      </c>
      <c r="S2369" s="31" t="s">
        <v>3121</v>
      </c>
      <c r="T2369" s="95" t="str">
        <f t="shared" si="185"/>
        <v>2024 02</v>
      </c>
      <c r="U2369" s="32">
        <f t="shared" ref="U2369:U2432" si="187">Q2369-P2369</f>
        <v>668.44957060333741</v>
      </c>
      <c r="V2369" s="22">
        <f t="shared" ref="V2369:V2432" si="188">IF(Q2369&lt;&gt;0,IFERROR(U2369/P2369,""),"")</f>
        <v>0.6480047427194644</v>
      </c>
      <c r="X2369" s="33"/>
      <c r="Y2369" s="33"/>
    </row>
    <row r="2370" spans="1:25" x14ac:dyDescent="0.2">
      <c r="A2370" s="93" t="s">
        <v>1072</v>
      </c>
      <c r="B2370" s="94" t="str">
        <f>IFERROR(VLOOKUP($A2370,HeadJournal!$A$1:$NTR$890,COLUMN(HeadJournal!B$1),0),"")</f>
        <v>700000977560</v>
      </c>
      <c r="C2370" s="94" t="str">
        <f>IFERROR(VLOOKUP($A2370,HeadJournal!$A$1:$NTR$890,COLUMN(HeadJournal!C$1),0),"")</f>
        <v>iHerb_MH DLE7202</v>
      </c>
      <c r="D2370" s="125" t="str">
        <f>IFERROR(VLOOKUP($A2370,HeadJournal!$A$1:$NTR$890,COLUMN(HeadJournal!D$1),0),"")</f>
        <v>Доставлен</v>
      </c>
      <c r="E2370" s="95">
        <f>IFERROR(VLOOKUP($A2370,HeadJournal!$A$1:$NTR$890,COLUMN(HeadJournal!G$1),0),"")</f>
        <v>45229</v>
      </c>
      <c r="F2370" s="95" t="str">
        <f t="shared" si="184"/>
        <v>2023 10</v>
      </c>
      <c r="G2370" s="96" t="s">
        <v>5</v>
      </c>
      <c r="H2370" s="161" t="s">
        <v>2791</v>
      </c>
      <c r="I2370" s="97" t="s">
        <v>2008</v>
      </c>
      <c r="J2370" s="97" t="s">
        <v>2792</v>
      </c>
      <c r="K2370" s="29">
        <v>26.3</v>
      </c>
      <c r="L2370" s="29">
        <v>-5.25</v>
      </c>
      <c r="M2370" s="30">
        <f>IFERROR(VLOOKUP($A2370,HeadJournal!$A$1:$J$890,COLUMN(HeadJournal!I$1),0)*($K2370+$L2370)/(SUMIF($A:$A,$A2370,$K:$K)+SUMIF($A:$A,$A2370,$L:$L)),0)</f>
        <v>-1.3287981386392818</v>
      </c>
      <c r="N2370" s="30">
        <f>IFERROR((VLOOKUP($A2370,HeadJournal!$A$1:$K$890,COLUMN(HeadJournal!K$1),0)-VLOOKUP($A2370,HeadJournal!$A$1:$K$890,COLUMN(HeadJournal!J$1),0))*($K2370+$L2370)/(SUMIF($A:$A,$A2370,$K:$K)+SUMIF($A:$A,$A2370,$L:$L)),0)</f>
        <v>7.6800639731707898E-15</v>
      </c>
      <c r="O2370" s="30">
        <f>IFERROR((VLOOKUP($A2370,HeadJournal!$A$1:$L$890,COLUMN(HeadJournal!L$1),0)*($K2370+$L2370)/(SUMIF($A:$A,$A2370,$K:$K)+SUMIF($A:$A,$A2370,$L:$L)))/VLOOKUP($A2370,HeadJournal!$A$1:$L$890,COLUMN(HeadJournal!H$1),0),0)</f>
        <v>0.48138339391255935</v>
      </c>
      <c r="P2370" s="30">
        <f>IFERROR(SUM(K2370:O2370)*VLOOKUP($A2370,HeadJournal!$A$1:$L$890,COLUMN(HeadJournal!H$1),0),0)</f>
        <v>2173.5872411210958</v>
      </c>
      <c r="Q2370" s="29">
        <v>3600</v>
      </c>
      <c r="R2370" s="31">
        <v>45682</v>
      </c>
      <c r="S2370" s="31" t="s">
        <v>3121</v>
      </c>
      <c r="T2370" s="95" t="str">
        <f t="shared" si="185"/>
        <v>2025 01</v>
      </c>
      <c r="U2370" s="32">
        <f t="shared" si="187"/>
        <v>1426.4127588789042</v>
      </c>
      <c r="V2370" s="22">
        <f t="shared" si="188"/>
        <v>0.65624822040415876</v>
      </c>
      <c r="X2370" s="33"/>
      <c r="Y2370" s="33"/>
    </row>
    <row r="2371" spans="1:25" x14ac:dyDescent="0.2">
      <c r="A2371" s="93" t="s">
        <v>1072</v>
      </c>
      <c r="B2371" s="94" t="str">
        <f>IFERROR(VLOOKUP($A2371,HeadJournal!$A$1:$NTR$890,COLUMN(HeadJournal!B$1),0),"")</f>
        <v>700000977560</v>
      </c>
      <c r="C2371" s="94" t="str">
        <f>IFERROR(VLOOKUP($A2371,HeadJournal!$A$1:$NTR$890,COLUMN(HeadJournal!C$1),0),"")</f>
        <v>iHerb_MH DLE7202</v>
      </c>
      <c r="D2371" s="125" t="str">
        <f>IFERROR(VLOOKUP($A2371,HeadJournal!$A$1:$NTR$890,COLUMN(HeadJournal!D$1),0),"")</f>
        <v>Доставлен</v>
      </c>
      <c r="E2371" s="95">
        <f>IFERROR(VLOOKUP($A2371,HeadJournal!$A$1:$NTR$890,COLUMN(HeadJournal!G$1),0),"")</f>
        <v>45229</v>
      </c>
      <c r="F2371" s="95" t="str">
        <f t="shared" si="184"/>
        <v>2023 10</v>
      </c>
      <c r="G2371" s="96" t="s">
        <v>5</v>
      </c>
      <c r="H2371" s="161" t="s">
        <v>2196</v>
      </c>
      <c r="I2371" s="97" t="s">
        <v>2006</v>
      </c>
      <c r="J2371" s="97" t="s">
        <v>2197</v>
      </c>
      <c r="K2371" s="29">
        <v>16.350000000000001</v>
      </c>
      <c r="L2371" s="29">
        <v>-3.2650000000000001</v>
      </c>
      <c r="M2371" s="30">
        <f>IFERROR(VLOOKUP($A2371,HeadJournal!$A$1:$J$890,COLUMN(HeadJournal!I$1),0)*($K2371+$L2371)/(SUMIF($A:$A,$A2371,$K:$K)+SUMIF($A:$A,$A2371,$L:$L)),0)</f>
        <v>-0.82600112323491681</v>
      </c>
      <c r="N2371" s="30">
        <f>IFERROR((VLOOKUP($A2371,HeadJournal!$A$1:$K$890,COLUMN(HeadJournal!K$1),0)-VLOOKUP($A2371,HeadJournal!$A$1:$K$890,COLUMN(HeadJournal!J$1),0))*($K2371+$L2371)/(SUMIF($A:$A,$A2371,$K:$K)+SUMIF($A:$A,$A2371,$L:$L)),0)</f>
        <v>4.7740445172893009E-15</v>
      </c>
      <c r="O2371" s="30">
        <f>IFERROR((VLOOKUP($A2371,HeadJournal!$A$1:$L$890,COLUMN(HeadJournal!L$1),0)*($K2371+$L2371)/(SUMIF($A:$A,$A2371,$K:$K)+SUMIF($A:$A,$A2371,$L:$L)))/VLOOKUP($A2371,HeadJournal!$A$1:$L$890,COLUMN(HeadJournal!H$1),0),0)</f>
        <v>0.29923523559837717</v>
      </c>
      <c r="P2371" s="30">
        <f>IFERROR(SUM(K2371:O2371)*VLOOKUP($A2371,HeadJournal!$A$1:$L$890,COLUMN(HeadJournal!H$1),0),0)</f>
        <v>1351.1348717372705</v>
      </c>
      <c r="Q2371" s="29">
        <v>2400</v>
      </c>
      <c r="R2371" s="31">
        <v>45269</v>
      </c>
      <c r="S2371" s="31" t="s">
        <v>3121</v>
      </c>
      <c r="T2371" s="95" t="str">
        <f t="shared" si="185"/>
        <v>2023 12</v>
      </c>
      <c r="U2371" s="32">
        <f t="shared" si="187"/>
        <v>1048.8651282627295</v>
      </c>
      <c r="V2371" s="22">
        <f t="shared" si="188"/>
        <v>0.77628455175175315</v>
      </c>
      <c r="X2371" s="33"/>
      <c r="Y2371" s="33"/>
    </row>
    <row r="2372" spans="1:25" x14ac:dyDescent="0.2">
      <c r="A2372" s="93" t="s">
        <v>1072</v>
      </c>
      <c r="B2372" s="94" t="str">
        <f>IFERROR(VLOOKUP($A2372,HeadJournal!$A$1:$NTR$890,COLUMN(HeadJournal!B$1),0),"")</f>
        <v>700000977560</v>
      </c>
      <c r="C2372" s="94" t="str">
        <f>IFERROR(VLOOKUP($A2372,HeadJournal!$A$1:$NTR$890,COLUMN(HeadJournal!C$1),0),"")</f>
        <v>iHerb_MH DLE7202</v>
      </c>
      <c r="D2372" s="125" t="str">
        <f>IFERROR(VLOOKUP($A2372,HeadJournal!$A$1:$NTR$890,COLUMN(HeadJournal!D$1),0),"")</f>
        <v>Доставлен</v>
      </c>
      <c r="E2372" s="95">
        <f>IFERROR(VLOOKUP($A2372,HeadJournal!$A$1:$NTR$890,COLUMN(HeadJournal!G$1),0),"")</f>
        <v>45229</v>
      </c>
      <c r="F2372" s="95" t="str">
        <f t="shared" ref="F2372:F2435" si="189">IFERROR(TEXT(E2372, "ГГГГ ММ"),"")</f>
        <v>2023 10</v>
      </c>
      <c r="G2372" s="96" t="s">
        <v>5</v>
      </c>
      <c r="H2372" s="161" t="s">
        <v>2196</v>
      </c>
      <c r="I2372" s="97" t="s">
        <v>2006</v>
      </c>
      <c r="J2372" s="97" t="s">
        <v>2197</v>
      </c>
      <c r="K2372" s="29">
        <v>16.350000000000001</v>
      </c>
      <c r="L2372" s="29">
        <v>-3.2650000000000001</v>
      </c>
      <c r="M2372" s="30">
        <f>IFERROR(VLOOKUP($A2372,HeadJournal!$A$1:$J$890,COLUMN(HeadJournal!I$1),0)*($K2372+$L2372)/(SUMIF($A:$A,$A2372,$K:$K)+SUMIF($A:$A,$A2372,$L:$L)),0)</f>
        <v>-0.82600112323491681</v>
      </c>
      <c r="N2372" s="30">
        <f>IFERROR((VLOOKUP($A2372,HeadJournal!$A$1:$K$890,COLUMN(HeadJournal!K$1),0)-VLOOKUP($A2372,HeadJournal!$A$1:$K$890,COLUMN(HeadJournal!J$1),0))*($K2372+$L2372)/(SUMIF($A:$A,$A2372,$K:$K)+SUMIF($A:$A,$A2372,$L:$L)),0)</f>
        <v>4.7740445172893009E-15</v>
      </c>
      <c r="O2372" s="30">
        <f>IFERROR((VLOOKUP($A2372,HeadJournal!$A$1:$L$890,COLUMN(HeadJournal!L$1),0)*($K2372+$L2372)/(SUMIF($A:$A,$A2372,$K:$K)+SUMIF($A:$A,$A2372,$L:$L)))/VLOOKUP($A2372,HeadJournal!$A$1:$L$890,COLUMN(HeadJournal!H$1),0),0)</f>
        <v>0.29923523559837717</v>
      </c>
      <c r="P2372" s="30">
        <f>IFERROR(SUM(K2372:O2372)*VLOOKUP($A2372,HeadJournal!$A$1:$L$890,COLUMN(HeadJournal!H$1),0),0)</f>
        <v>1351.1348717372705</v>
      </c>
      <c r="Q2372" s="29">
        <v>2400</v>
      </c>
      <c r="R2372" s="31">
        <v>45310</v>
      </c>
      <c r="S2372" s="31" t="s">
        <v>3121</v>
      </c>
      <c r="T2372" s="95" t="str">
        <f t="shared" ref="T2372:T2435" si="190">IF(R2372="","",TEXT(R2372,"ГГГГ ММ"))</f>
        <v>2024 01</v>
      </c>
      <c r="U2372" s="32">
        <f t="shared" si="187"/>
        <v>1048.8651282627295</v>
      </c>
      <c r="V2372" s="22">
        <f t="shared" si="188"/>
        <v>0.77628455175175315</v>
      </c>
      <c r="X2372" s="33"/>
      <c r="Y2372" s="33"/>
    </row>
    <row r="2373" spans="1:25" x14ac:dyDescent="0.2">
      <c r="A2373" s="93" t="s">
        <v>1072</v>
      </c>
      <c r="B2373" s="94" t="str">
        <f>IFERROR(VLOOKUP($A2373,HeadJournal!$A$1:$NTR$890,COLUMN(HeadJournal!B$1),0),"")</f>
        <v>700000977560</v>
      </c>
      <c r="C2373" s="94" t="str">
        <f>IFERROR(VLOOKUP($A2373,HeadJournal!$A$1:$NTR$890,COLUMN(HeadJournal!C$1),0),"")</f>
        <v>iHerb_MH DLE7202</v>
      </c>
      <c r="D2373" s="125" t="str">
        <f>IFERROR(VLOOKUP($A2373,HeadJournal!$A$1:$NTR$890,COLUMN(HeadJournal!D$1),0),"")</f>
        <v>Доставлен</v>
      </c>
      <c r="E2373" s="95">
        <f>IFERROR(VLOOKUP($A2373,HeadJournal!$A$1:$NTR$890,COLUMN(HeadJournal!G$1),0),"")</f>
        <v>45229</v>
      </c>
      <c r="F2373" s="95" t="str">
        <f t="shared" si="189"/>
        <v>2023 10</v>
      </c>
      <c r="G2373" s="96" t="s">
        <v>5</v>
      </c>
      <c r="H2373" s="175" t="s">
        <v>3658</v>
      </c>
      <c r="I2373" s="176" t="s">
        <v>2005</v>
      </c>
      <c r="J2373" s="97" t="s">
        <v>3706</v>
      </c>
      <c r="K2373" s="29">
        <v>21.49</v>
      </c>
      <c r="L2373" s="29">
        <v>-4.29</v>
      </c>
      <c r="M2373" s="30">
        <f>IFERROR(VLOOKUP($A2373,HeadJournal!$A$1:$J$890,COLUMN(HeadJournal!I$1),0)*($K2373+$L2373)/(SUMIF($A:$A,$A2373,$K:$K)+SUMIF($A:$A,$A2373,$L:$L)),0)</f>
        <v>-1.085763799743261</v>
      </c>
      <c r="N2373" s="30">
        <f>IFERROR((VLOOKUP($A2373,HeadJournal!$A$1:$K$890,COLUMN(HeadJournal!K$1),0)-VLOOKUP($A2373,HeadJournal!$A$1:$K$890,COLUMN(HeadJournal!J$1),0))*($K2373+$L2373)/(SUMIF($A:$A,$A2373,$K:$K)+SUMIF($A:$A,$A2373,$L:$L)),0)</f>
        <v>6.2753966906668683E-15</v>
      </c>
      <c r="O2373" s="30">
        <f>IFERROR((VLOOKUP($A2373,HeadJournal!$A$1:$L$890,COLUMN(HeadJournal!L$1),0)*($K2373+$L2373)/(SUMIF($A:$A,$A2373,$K:$K)+SUMIF($A:$A,$A2373,$L:$L)))/VLOOKUP($A2373,HeadJournal!$A$1:$L$890,COLUMN(HeadJournal!H$1),0),0)</f>
        <v>0.39333940025159242</v>
      </c>
      <c r="P2373" s="30">
        <f>IFERROR(SUM(K2373:O2373)*VLOOKUP($A2373,HeadJournal!$A$1:$L$890,COLUMN(HeadJournal!H$1),0),0)</f>
        <v>1776.0427813436031</v>
      </c>
      <c r="Q2373" s="29">
        <v>2800</v>
      </c>
      <c r="R2373" s="31">
        <v>45261</v>
      </c>
      <c r="S2373" s="31" t="s">
        <v>3121</v>
      </c>
      <c r="T2373" s="95" t="str">
        <f t="shared" si="190"/>
        <v>2023 12</v>
      </c>
      <c r="U2373" s="32">
        <f t="shared" si="187"/>
        <v>1023.9572186563969</v>
      </c>
      <c r="V2373" s="22">
        <f t="shared" si="188"/>
        <v>0.57653859997773127</v>
      </c>
      <c r="X2373" s="33"/>
      <c r="Y2373" s="33"/>
    </row>
    <row r="2374" spans="1:25" x14ac:dyDescent="0.2">
      <c r="A2374" s="93" t="s">
        <v>1072</v>
      </c>
      <c r="B2374" s="94" t="str">
        <f>IFERROR(VLOOKUP($A2374,HeadJournal!$A$1:$NTR$890,COLUMN(HeadJournal!B$1),0),"")</f>
        <v>700000977560</v>
      </c>
      <c r="C2374" s="94" t="str">
        <f>IFERROR(VLOOKUP($A2374,HeadJournal!$A$1:$NTR$890,COLUMN(HeadJournal!C$1),0),"")</f>
        <v>iHerb_MH DLE7202</v>
      </c>
      <c r="D2374" s="125" t="str">
        <f>IFERROR(VLOOKUP($A2374,HeadJournal!$A$1:$NTR$890,COLUMN(HeadJournal!D$1),0),"")</f>
        <v>Доставлен</v>
      </c>
      <c r="E2374" s="95">
        <f>IFERROR(VLOOKUP($A2374,HeadJournal!$A$1:$NTR$890,COLUMN(HeadJournal!G$1),0),"")</f>
        <v>45229</v>
      </c>
      <c r="F2374" s="95" t="str">
        <f t="shared" si="189"/>
        <v>2023 10</v>
      </c>
      <c r="G2374" s="96" t="s">
        <v>5</v>
      </c>
      <c r="H2374" s="160" t="str">
        <f>RIGHT(Journal!$J2374,9)</f>
        <v>CAL-62827</v>
      </c>
      <c r="I2374" s="96" t="str">
        <f t="shared" si="186"/>
        <v>KAL</v>
      </c>
      <c r="J2374" s="97" t="s">
        <v>885</v>
      </c>
      <c r="K2374" s="29">
        <v>9.9</v>
      </c>
      <c r="L2374" s="29">
        <v>-1.9750000000000001</v>
      </c>
      <c r="M2374" s="30">
        <f>IFERROR(VLOOKUP($A2374,HeadJournal!$A$1:$J$890,COLUMN(HeadJournal!I$1),0)*($K2374+$L2374)/(SUMIF($A:$A,$A2374,$K:$K)+SUMIF($A:$A,$A2374,$L:$L)),0)</f>
        <v>-0.50027198331193856</v>
      </c>
      <c r="N2374" s="30">
        <f>IFERROR((VLOOKUP($A2374,HeadJournal!$A$1:$K$890,COLUMN(HeadJournal!K$1),0)-VLOOKUP($A2374,HeadJournal!$A$1:$K$890,COLUMN(HeadJournal!J$1),0))*($K2374+$L2374)/(SUMIF($A:$A,$A2374,$K:$K)+SUMIF($A:$A,$A2374,$L:$L)),0)</f>
        <v>2.8914255100892404E-15</v>
      </c>
      <c r="O2374" s="30">
        <f>IFERROR((VLOOKUP($A2374,HeadJournal!$A$1:$L$890,COLUMN(HeadJournal!L$1),0)*($K2374+$L2374)/(SUMIF($A:$A,$A2374,$K:$K)+SUMIF($A:$A,$A2374,$L:$L)))/VLOOKUP($A2374,HeadJournal!$A$1:$L$890,COLUMN(HeadJournal!H$1),0),0)</f>
        <v>0.18123341552289943</v>
      </c>
      <c r="P2374" s="30">
        <f>IFERROR(SUM(K2374:O2374)*VLOOKUP($A2374,HeadJournal!$A$1:$L$890,COLUMN(HeadJournal!H$1),0),0)</f>
        <v>818.32203733418942</v>
      </c>
      <c r="Q2374" s="29">
        <v>1600</v>
      </c>
      <c r="R2374" s="31">
        <v>45261</v>
      </c>
      <c r="S2374" s="31" t="s">
        <v>3121</v>
      </c>
      <c r="T2374" s="95" t="str">
        <f t="shared" si="190"/>
        <v>2023 12</v>
      </c>
      <c r="U2374" s="32">
        <f t="shared" si="187"/>
        <v>781.67796266581058</v>
      </c>
      <c r="V2374" s="22">
        <f t="shared" si="188"/>
        <v>0.95522047189667214</v>
      </c>
      <c r="X2374" s="33"/>
      <c r="Y2374" s="33"/>
    </row>
    <row r="2375" spans="1:25" x14ac:dyDescent="0.2">
      <c r="A2375" s="93" t="s">
        <v>1072</v>
      </c>
      <c r="B2375" s="94" t="str">
        <f>IFERROR(VLOOKUP($A2375,HeadJournal!$A$1:$NTR$890,COLUMN(HeadJournal!B$1),0),"")</f>
        <v>700000977560</v>
      </c>
      <c r="C2375" s="94" t="str">
        <f>IFERROR(VLOOKUP($A2375,HeadJournal!$A$1:$NTR$890,COLUMN(HeadJournal!C$1),0),"")</f>
        <v>iHerb_MH DLE7202</v>
      </c>
      <c r="D2375" s="125" t="str">
        <f>IFERROR(VLOOKUP($A2375,HeadJournal!$A$1:$NTR$890,COLUMN(HeadJournal!D$1),0),"")</f>
        <v>Доставлен</v>
      </c>
      <c r="E2375" s="95">
        <f>IFERROR(VLOOKUP($A2375,HeadJournal!$A$1:$NTR$890,COLUMN(HeadJournal!G$1),0),"")</f>
        <v>45229</v>
      </c>
      <c r="F2375" s="95" t="str">
        <f t="shared" si="189"/>
        <v>2023 10</v>
      </c>
      <c r="G2375" s="96" t="s">
        <v>5</v>
      </c>
      <c r="H2375" s="160" t="str">
        <f>RIGHT(Journal!$J2375,9)</f>
        <v>CAL-62827</v>
      </c>
      <c r="I2375" s="96" t="str">
        <f t="shared" si="186"/>
        <v>KAL</v>
      </c>
      <c r="J2375" s="97" t="s">
        <v>885</v>
      </c>
      <c r="K2375" s="29">
        <v>9.9</v>
      </c>
      <c r="L2375" s="29">
        <v>-1.9750000000000001</v>
      </c>
      <c r="M2375" s="30">
        <f>IFERROR(VLOOKUP($A2375,HeadJournal!$A$1:$J$890,COLUMN(HeadJournal!I$1),0)*($K2375+$L2375)/(SUMIF($A:$A,$A2375,$K:$K)+SUMIF($A:$A,$A2375,$L:$L)),0)</f>
        <v>-0.50027198331193856</v>
      </c>
      <c r="N2375" s="30">
        <f>IFERROR((VLOOKUP($A2375,HeadJournal!$A$1:$K$890,COLUMN(HeadJournal!K$1),0)-VLOOKUP($A2375,HeadJournal!$A$1:$K$890,COLUMN(HeadJournal!J$1),0))*($K2375+$L2375)/(SUMIF($A:$A,$A2375,$K:$K)+SUMIF($A:$A,$A2375,$L:$L)),0)</f>
        <v>2.8914255100892404E-15</v>
      </c>
      <c r="O2375" s="30">
        <f>IFERROR((VLOOKUP($A2375,HeadJournal!$A$1:$L$890,COLUMN(HeadJournal!L$1),0)*($K2375+$L2375)/(SUMIF($A:$A,$A2375,$K:$K)+SUMIF($A:$A,$A2375,$L:$L)))/VLOOKUP($A2375,HeadJournal!$A$1:$L$890,COLUMN(HeadJournal!H$1),0),0)</f>
        <v>0.18123341552289943</v>
      </c>
      <c r="P2375" s="30">
        <f>IFERROR(SUM(K2375:O2375)*VLOOKUP($A2375,HeadJournal!$A$1:$L$890,COLUMN(HeadJournal!H$1),0),0)</f>
        <v>818.32203733418942</v>
      </c>
      <c r="Q2375" s="29">
        <v>1700</v>
      </c>
      <c r="R2375" s="31">
        <v>45268</v>
      </c>
      <c r="S2375" s="31" t="s">
        <v>3121</v>
      </c>
      <c r="T2375" s="95" t="str">
        <f t="shared" si="190"/>
        <v>2023 12</v>
      </c>
      <c r="U2375" s="32">
        <f t="shared" si="187"/>
        <v>881.67796266581058</v>
      </c>
      <c r="V2375" s="22">
        <f t="shared" si="188"/>
        <v>1.0774217513902142</v>
      </c>
      <c r="X2375" s="33"/>
      <c r="Y2375" s="33"/>
    </row>
    <row r="2376" spans="1:25" x14ac:dyDescent="0.2">
      <c r="A2376" s="93" t="s">
        <v>1072</v>
      </c>
      <c r="B2376" s="94" t="str">
        <f>IFERROR(VLOOKUP($A2376,HeadJournal!$A$1:$NTR$890,COLUMN(HeadJournal!B$1),0),"")</f>
        <v>700000977560</v>
      </c>
      <c r="C2376" s="94" t="str">
        <f>IFERROR(VLOOKUP($A2376,HeadJournal!$A$1:$NTR$890,COLUMN(HeadJournal!C$1),0),"")</f>
        <v>iHerb_MH DLE7202</v>
      </c>
      <c r="D2376" s="125" t="str">
        <f>IFERROR(VLOOKUP($A2376,HeadJournal!$A$1:$NTR$890,COLUMN(HeadJournal!D$1),0),"")</f>
        <v>Доставлен</v>
      </c>
      <c r="E2376" s="95">
        <f>IFERROR(VLOOKUP($A2376,HeadJournal!$A$1:$NTR$890,COLUMN(HeadJournal!G$1),0),"")</f>
        <v>45229</v>
      </c>
      <c r="F2376" s="95" t="str">
        <f t="shared" si="189"/>
        <v>2023 10</v>
      </c>
      <c r="G2376" s="96" t="s">
        <v>6</v>
      </c>
      <c r="H2376" s="160" t="str">
        <f>RIGHT(Journal!$J2376,9)</f>
        <v>FOA-01906</v>
      </c>
      <c r="I2376" s="96" t="str">
        <f t="shared" si="186"/>
        <v>Force Factor</v>
      </c>
      <c r="J2376" s="97" t="s">
        <v>1075</v>
      </c>
      <c r="K2376" s="29">
        <v>22.79</v>
      </c>
      <c r="L2376" s="29">
        <v>-11.4</v>
      </c>
      <c r="M2376" s="30">
        <f>IFERROR(VLOOKUP($A2376,HeadJournal!$A$1:$J$890,COLUMN(HeadJournal!I$1),0)*($K2376+$L2376)/(SUMIF($A:$A,$A2376,$K:$K)+SUMIF($A:$A,$A2376,$L:$L)),0)</f>
        <v>-0.71900288831835713</v>
      </c>
      <c r="N2376" s="30">
        <f>IFERROR((VLOOKUP($A2376,HeadJournal!$A$1:$K$890,COLUMN(HeadJournal!K$1),0)-VLOOKUP($A2376,HeadJournal!$A$1:$K$890,COLUMN(HeadJournal!J$1),0))*($K2376+$L2376)/(SUMIF($A:$A,$A2376,$K:$K)+SUMIF($A:$A,$A2376,$L:$L)),0)</f>
        <v>4.1556260643427692E-15</v>
      </c>
      <c r="O2376" s="30">
        <f>IFERROR((VLOOKUP($A2376,HeadJournal!$A$1:$L$890,COLUMN(HeadJournal!L$1),0)*($K2376+$L2376)/(SUMIF($A:$A,$A2376,$K:$K)+SUMIF($A:$A,$A2376,$L:$L)))/VLOOKUP($A2376,HeadJournal!$A$1:$L$890,COLUMN(HeadJournal!H$1),0),0)</f>
        <v>0.26047300981776961</v>
      </c>
      <c r="P2376" s="30">
        <f>IFERROR(SUM(K2376:O2376)*VLOOKUP($A2376,HeadJournal!$A$1:$L$890,COLUMN(HeadJournal!H$1),0),0)</f>
        <v>1176.1120511339325</v>
      </c>
      <c r="Q2376" s="29">
        <v>2600</v>
      </c>
      <c r="R2376" s="31">
        <v>45268</v>
      </c>
      <c r="S2376" s="31" t="s">
        <v>3121</v>
      </c>
      <c r="T2376" s="95" t="str">
        <f t="shared" si="190"/>
        <v>2023 12</v>
      </c>
      <c r="U2376" s="32">
        <f t="shared" si="187"/>
        <v>1423.8879488660675</v>
      </c>
      <c r="V2376" s="22">
        <f t="shared" si="188"/>
        <v>1.2106737172646478</v>
      </c>
      <c r="X2376" s="33"/>
      <c r="Y2376" s="33"/>
    </row>
    <row r="2377" spans="1:25" x14ac:dyDescent="0.2">
      <c r="A2377" s="93" t="s">
        <v>1072</v>
      </c>
      <c r="B2377" s="94" t="str">
        <f>IFERROR(VLOOKUP($A2377,HeadJournal!$A$1:$NTR$890,COLUMN(HeadJournal!B$1),0),"")</f>
        <v>700000977560</v>
      </c>
      <c r="C2377" s="94" t="str">
        <f>IFERROR(VLOOKUP($A2377,HeadJournal!$A$1:$NTR$890,COLUMN(HeadJournal!C$1),0),"")</f>
        <v>iHerb_MH DLE7202</v>
      </c>
      <c r="D2377" s="125" t="str">
        <f>IFERROR(VLOOKUP($A2377,HeadJournal!$A$1:$NTR$890,COLUMN(HeadJournal!D$1),0),"")</f>
        <v>Доставлен</v>
      </c>
      <c r="E2377" s="95">
        <f>IFERROR(VLOOKUP($A2377,HeadJournal!$A$1:$NTR$890,COLUMN(HeadJournal!G$1),0),"")</f>
        <v>45229</v>
      </c>
      <c r="F2377" s="95" t="str">
        <f t="shared" si="189"/>
        <v>2023 10</v>
      </c>
      <c r="G2377" s="96" t="s">
        <v>5</v>
      </c>
      <c r="H2377" s="160" t="str">
        <f>RIGHT(Journal!$J2377,9)</f>
        <v>DRB-00316</v>
      </c>
      <c r="I2377" s="96" t="str">
        <f t="shared" si="186"/>
        <v>Doctor's Best</v>
      </c>
      <c r="J2377" s="97" t="s">
        <v>1076</v>
      </c>
      <c r="K2377" s="29">
        <v>12.94</v>
      </c>
      <c r="L2377" s="29">
        <v>-2.58</v>
      </c>
      <c r="M2377" s="30">
        <f>IFERROR(VLOOKUP($A2377,HeadJournal!$A$1:$J$890,COLUMN(HeadJournal!I$1),0)*($K2377+$L2377)/(SUMIF($A:$A,$A2377,$K:$K)+SUMIF($A:$A,$A2377,$L:$L)),0)</f>
        <v>-0.65398331193838277</v>
      </c>
      <c r="N2377" s="30">
        <f>IFERROR((VLOOKUP($A2377,HeadJournal!$A$1:$K$890,COLUMN(HeadJournal!K$1),0)-VLOOKUP($A2377,HeadJournal!$A$1:$K$890,COLUMN(HeadJournal!J$1),0))*($K2377+$L2377)/(SUMIF($A:$A,$A2377,$K:$K)+SUMIF($A:$A,$A2377,$L:$L)),0)</f>
        <v>3.7798319601923694E-15</v>
      </c>
      <c r="O2377" s="30">
        <f>IFERROR((VLOOKUP($A2377,HeadJournal!$A$1:$L$890,COLUMN(HeadJournal!L$1),0)*($K2377+$L2377)/(SUMIF($A:$A,$A2377,$K:$K)+SUMIF($A:$A,$A2377,$L:$L)))/VLOOKUP($A2377,HeadJournal!$A$1:$L$890,COLUMN(HeadJournal!H$1),0),0)</f>
        <v>0.23691838294223821</v>
      </c>
      <c r="P2377" s="30">
        <f>IFERROR(SUM(K2377:O2377)*VLOOKUP($A2377,HeadJournal!$A$1:$L$890,COLUMN(HeadJournal!H$1),0),0)</f>
        <v>1069.7560008557984</v>
      </c>
      <c r="Q2377" s="29">
        <v>1800</v>
      </c>
      <c r="R2377" s="31">
        <v>45258</v>
      </c>
      <c r="S2377" s="31" t="s">
        <v>3121</v>
      </c>
      <c r="T2377" s="95" t="str">
        <f t="shared" si="190"/>
        <v>2023 11</v>
      </c>
      <c r="U2377" s="32">
        <f t="shared" si="187"/>
        <v>730.24399914420155</v>
      </c>
      <c r="V2377" s="22">
        <f t="shared" si="188"/>
        <v>0.68262669109592344</v>
      </c>
      <c r="X2377" s="33"/>
      <c r="Y2377" s="33"/>
    </row>
    <row r="2378" spans="1:25" x14ac:dyDescent="0.2">
      <c r="A2378" s="93" t="s">
        <v>1072</v>
      </c>
      <c r="B2378" s="94" t="str">
        <f>IFERROR(VLOOKUP($A2378,HeadJournal!$A$1:$NTR$890,COLUMN(HeadJournal!B$1),0),"")</f>
        <v>700000977560</v>
      </c>
      <c r="C2378" s="94" t="str">
        <f>IFERROR(VLOOKUP($A2378,HeadJournal!$A$1:$NTR$890,COLUMN(HeadJournal!C$1),0),"")</f>
        <v>iHerb_MH DLE7202</v>
      </c>
      <c r="D2378" s="125" t="str">
        <f>IFERROR(VLOOKUP($A2378,HeadJournal!$A$1:$NTR$890,COLUMN(HeadJournal!D$1),0),"")</f>
        <v>Доставлен</v>
      </c>
      <c r="E2378" s="95">
        <f>IFERROR(VLOOKUP($A2378,HeadJournal!$A$1:$NTR$890,COLUMN(HeadJournal!G$1),0),"")</f>
        <v>45229</v>
      </c>
      <c r="F2378" s="95" t="str">
        <f t="shared" si="189"/>
        <v>2023 10</v>
      </c>
      <c r="G2378" s="96" t="s">
        <v>5</v>
      </c>
      <c r="H2378" s="161" t="s">
        <v>2426</v>
      </c>
      <c r="I2378" s="97" t="s">
        <v>2125</v>
      </c>
      <c r="J2378" s="97" t="s">
        <v>2427</v>
      </c>
      <c r="K2378" s="29">
        <v>13.46</v>
      </c>
      <c r="L2378" s="29">
        <v>-2.69</v>
      </c>
      <c r="M2378" s="30">
        <f>IFERROR(VLOOKUP($A2378,HeadJournal!$A$1:$J$890,COLUMN(HeadJournal!I$1),0)*($K2378+$L2378)/(SUMIF($A:$A,$A2378,$K:$K)+SUMIF($A:$A,$A2378,$L:$L)),0)</f>
        <v>-0.67986489088575131</v>
      </c>
      <c r="N2378" s="30">
        <f>IFERROR((VLOOKUP($A2378,HeadJournal!$A$1:$K$890,COLUMN(HeadJournal!K$1),0)-VLOOKUP($A2378,HeadJournal!$A$1:$K$890,COLUMN(HeadJournal!J$1),0))*($K2378+$L2378)/(SUMIF($A:$A,$A2378,$K:$K)+SUMIF($A:$A,$A2378,$L:$L)),0)</f>
        <v>3.9294199045629173E-15</v>
      </c>
      <c r="O2378" s="30">
        <f>IFERROR((VLOOKUP($A2378,HeadJournal!$A$1:$L$890,COLUMN(HeadJournal!L$1),0)*($K2378+$L2378)/(SUMIF($A:$A,$A2378,$K:$K)+SUMIF($A:$A,$A2378,$L:$L)))/VLOOKUP($A2378,HeadJournal!$A$1:$L$890,COLUMN(HeadJournal!H$1),0),0)</f>
        <v>0.24629449655288665</v>
      </c>
      <c r="P2378" s="30">
        <f>IFERROR(SUM(K2378:O2378)*VLOOKUP($A2378,HeadJournal!$A$1:$L$890,COLUMN(HeadJournal!H$1),0),0)</f>
        <v>1112.0919043645704</v>
      </c>
      <c r="Q2378" s="29">
        <v>2000</v>
      </c>
      <c r="R2378" s="31">
        <v>45329</v>
      </c>
      <c r="S2378" s="31" t="s">
        <v>3121</v>
      </c>
      <c r="T2378" s="95" t="str">
        <f t="shared" si="190"/>
        <v>2024 02</v>
      </c>
      <c r="U2378" s="32">
        <f t="shared" si="187"/>
        <v>887.90809563542962</v>
      </c>
      <c r="V2378" s="22">
        <f t="shared" si="188"/>
        <v>0.79841251622343623</v>
      </c>
      <c r="X2378" s="33"/>
      <c r="Y2378" s="33"/>
    </row>
    <row r="2379" spans="1:25" x14ac:dyDescent="0.2">
      <c r="A2379" s="93" t="s">
        <v>1072</v>
      </c>
      <c r="B2379" s="94" t="str">
        <f>IFERROR(VLOOKUP($A2379,HeadJournal!$A$1:$NTR$890,COLUMN(HeadJournal!B$1),0),"")</f>
        <v>700000977560</v>
      </c>
      <c r="C2379" s="94" t="str">
        <f>IFERROR(VLOOKUP($A2379,HeadJournal!$A$1:$NTR$890,COLUMN(HeadJournal!C$1),0),"")</f>
        <v>iHerb_MH DLE7202</v>
      </c>
      <c r="D2379" s="125" t="str">
        <f>IFERROR(VLOOKUP($A2379,HeadJournal!$A$1:$NTR$890,COLUMN(HeadJournal!D$1),0),"")</f>
        <v>Доставлен</v>
      </c>
      <c r="E2379" s="95">
        <f>IFERROR(VLOOKUP($A2379,HeadJournal!$A$1:$NTR$890,COLUMN(HeadJournal!G$1),0),"")</f>
        <v>45229</v>
      </c>
      <c r="F2379" s="95" t="str">
        <f t="shared" si="189"/>
        <v>2023 10</v>
      </c>
      <c r="G2379" s="96" t="s">
        <v>5</v>
      </c>
      <c r="H2379" s="161" t="s">
        <v>2127</v>
      </c>
      <c r="I2379" s="97" t="s">
        <v>2125</v>
      </c>
      <c r="J2379" s="97" t="s">
        <v>2128</v>
      </c>
      <c r="K2379" s="29">
        <v>9.25</v>
      </c>
      <c r="L2379" s="29">
        <v>-1.845</v>
      </c>
      <c r="M2379" s="30">
        <f>IFERROR(VLOOKUP($A2379,HeadJournal!$A$1:$J$890,COLUMN(HeadJournal!I$1),0)*($K2379+$L2379)/(SUMIF($A:$A,$A2379,$K:$K)+SUMIF($A:$A,$A2379,$L:$L)),0)</f>
        <v>-0.46744656611039809</v>
      </c>
      <c r="N2379" s="30">
        <f>IFERROR((VLOOKUP($A2379,HeadJournal!$A$1:$K$890,COLUMN(HeadJournal!K$1),0)-VLOOKUP($A2379,HeadJournal!$A$1:$K$890,COLUMN(HeadJournal!J$1),0))*($K2379+$L2379)/(SUMIF($A:$A,$A2379,$K:$K)+SUMIF($A:$A,$A2379,$L:$L)),0)</f>
        <v>2.7017042147900097E-15</v>
      </c>
      <c r="O2379" s="30">
        <f>IFERROR((VLOOKUP($A2379,HeadJournal!$A$1:$L$890,COLUMN(HeadJournal!L$1),0)*($K2379+$L2379)/(SUMIF($A:$A,$A2379,$K:$K)+SUMIF($A:$A,$A2379,$L:$L)))/VLOOKUP($A2379,HeadJournal!$A$1:$L$890,COLUMN(HeadJournal!H$1),0),0)</f>
        <v>0.16934175923622338</v>
      </c>
      <c r="P2379" s="30">
        <f>IFERROR(SUM(K2379:O2379)*VLOOKUP($A2379,HeadJournal!$A$1:$L$890,COLUMN(HeadJournal!H$1),0),0)</f>
        <v>764.62772068891763</v>
      </c>
      <c r="Q2379" s="29">
        <v>1600</v>
      </c>
      <c r="R2379" s="31">
        <v>45323</v>
      </c>
      <c r="S2379" s="31" t="s">
        <v>3121</v>
      </c>
      <c r="T2379" s="95" t="str">
        <f t="shared" si="190"/>
        <v>2024 02</v>
      </c>
      <c r="U2379" s="32">
        <f t="shared" si="187"/>
        <v>835.37227931108237</v>
      </c>
      <c r="V2379" s="22">
        <f t="shared" si="188"/>
        <v>1.0925215718813137</v>
      </c>
      <c r="X2379" s="33"/>
      <c r="Y2379" s="33"/>
    </row>
    <row r="2380" spans="1:25" x14ac:dyDescent="0.2">
      <c r="A2380" s="93" t="s">
        <v>1072</v>
      </c>
      <c r="B2380" s="94" t="str">
        <f>IFERROR(VLOOKUP($A2380,HeadJournal!$A$1:$NTR$890,COLUMN(HeadJournal!B$1),0),"")</f>
        <v>700000977560</v>
      </c>
      <c r="C2380" s="94" t="str">
        <f>IFERROR(VLOOKUP($A2380,HeadJournal!$A$1:$NTR$890,COLUMN(HeadJournal!C$1),0),"")</f>
        <v>iHerb_MH DLE7202</v>
      </c>
      <c r="D2380" s="125" t="str">
        <f>IFERROR(VLOOKUP($A2380,HeadJournal!$A$1:$NTR$890,COLUMN(HeadJournal!D$1),0),"")</f>
        <v>Доставлен</v>
      </c>
      <c r="E2380" s="95">
        <f>IFERROR(VLOOKUP($A2380,HeadJournal!$A$1:$NTR$890,COLUMN(HeadJournal!G$1),0),"")</f>
        <v>45229</v>
      </c>
      <c r="F2380" s="95" t="str">
        <f t="shared" si="189"/>
        <v>2023 10</v>
      </c>
      <c r="G2380" s="96" t="s">
        <v>5</v>
      </c>
      <c r="H2380" s="161" t="s">
        <v>2127</v>
      </c>
      <c r="I2380" s="97" t="s">
        <v>2125</v>
      </c>
      <c r="J2380" s="97" t="s">
        <v>2128</v>
      </c>
      <c r="K2380" s="29">
        <v>9.25</v>
      </c>
      <c r="L2380" s="29">
        <v>-1.845</v>
      </c>
      <c r="M2380" s="30">
        <f>IFERROR(VLOOKUP($A2380,HeadJournal!$A$1:$J$890,COLUMN(HeadJournal!I$1),0)*($K2380+$L2380)/(SUMIF($A:$A,$A2380,$K:$K)+SUMIF($A:$A,$A2380,$L:$L)),0)</f>
        <v>-0.46744656611039809</v>
      </c>
      <c r="N2380" s="30">
        <f>IFERROR((VLOOKUP($A2380,HeadJournal!$A$1:$K$890,COLUMN(HeadJournal!K$1),0)-VLOOKUP($A2380,HeadJournal!$A$1:$K$890,COLUMN(HeadJournal!J$1),0))*($K2380+$L2380)/(SUMIF($A:$A,$A2380,$K:$K)+SUMIF($A:$A,$A2380,$L:$L)),0)</f>
        <v>2.7017042147900097E-15</v>
      </c>
      <c r="O2380" s="30">
        <f>IFERROR((VLOOKUP($A2380,HeadJournal!$A$1:$L$890,COLUMN(HeadJournal!L$1),0)*($K2380+$L2380)/(SUMIF($A:$A,$A2380,$K:$K)+SUMIF($A:$A,$A2380,$L:$L)))/VLOOKUP($A2380,HeadJournal!$A$1:$L$890,COLUMN(HeadJournal!H$1),0),0)</f>
        <v>0.16934175923622338</v>
      </c>
      <c r="P2380" s="30">
        <f>IFERROR(SUM(K2380:O2380)*VLOOKUP($A2380,HeadJournal!$A$1:$L$890,COLUMN(HeadJournal!H$1),0),0)</f>
        <v>764.62772068891763</v>
      </c>
      <c r="Q2380" s="29">
        <v>1600</v>
      </c>
      <c r="R2380" s="31">
        <v>45396</v>
      </c>
      <c r="S2380" s="31" t="s">
        <v>3121</v>
      </c>
      <c r="T2380" s="95" t="str">
        <f t="shared" si="190"/>
        <v>2024 04</v>
      </c>
      <c r="U2380" s="32">
        <f t="shared" si="187"/>
        <v>835.37227931108237</v>
      </c>
      <c r="V2380" s="22">
        <f t="shared" si="188"/>
        <v>1.0925215718813137</v>
      </c>
      <c r="X2380" s="33"/>
      <c r="Y2380" s="33"/>
    </row>
    <row r="2381" spans="1:25" x14ac:dyDescent="0.2">
      <c r="A2381" s="93" t="s">
        <v>1072</v>
      </c>
      <c r="B2381" s="94" t="str">
        <f>IFERROR(VLOOKUP($A2381,HeadJournal!$A$1:$NTR$890,COLUMN(HeadJournal!B$1),0),"")</f>
        <v>700000977560</v>
      </c>
      <c r="C2381" s="94" t="str">
        <f>IFERROR(VLOOKUP($A2381,HeadJournal!$A$1:$NTR$890,COLUMN(HeadJournal!C$1),0),"")</f>
        <v>iHerb_MH DLE7202</v>
      </c>
      <c r="D2381" s="125" t="str">
        <f>IFERROR(VLOOKUP($A2381,HeadJournal!$A$1:$NTR$890,COLUMN(HeadJournal!D$1),0),"")</f>
        <v>Доставлен</v>
      </c>
      <c r="E2381" s="95">
        <f>IFERROR(VLOOKUP($A2381,HeadJournal!$A$1:$NTR$890,COLUMN(HeadJournal!G$1),0),"")</f>
        <v>45229</v>
      </c>
      <c r="F2381" s="95" t="str">
        <f t="shared" si="189"/>
        <v>2023 10</v>
      </c>
      <c r="G2381" s="96" t="s">
        <v>5</v>
      </c>
      <c r="H2381" s="160" t="str">
        <f>RIGHT(Journal!$J2381,9)</f>
        <v>BLB-00735</v>
      </c>
      <c r="I2381" s="96" t="str">
        <f t="shared" si="186"/>
        <v>Bluebonnet Nutrition</v>
      </c>
      <c r="J2381" s="97" t="s">
        <v>1077</v>
      </c>
      <c r="K2381" s="29">
        <v>17.75</v>
      </c>
      <c r="L2381" s="29">
        <v>-3.5449999999999999</v>
      </c>
      <c r="M2381" s="30">
        <f>IFERROR(VLOOKUP($A2381,HeadJournal!$A$1:$J$890,COLUMN(HeadJournal!I$1),0)*($K2381+$L2381)/(SUMIF($A:$A,$A2381,$K:$K)+SUMIF($A:$A,$A2381,$L:$L)),0)</f>
        <v>-0.89670202182285008</v>
      </c>
      <c r="N2381" s="30">
        <f>IFERROR((VLOOKUP($A2381,HeadJournal!$A$1:$K$890,COLUMN(HeadJournal!K$1),0)-VLOOKUP($A2381,HeadJournal!$A$1:$K$890,COLUMN(HeadJournal!J$1),0))*($K2381+$L2381)/(SUMIF($A:$A,$A2381,$K:$K)+SUMIF($A:$A,$A2381,$L:$L)),0)</f>
        <v>5.1826749994722601E-15</v>
      </c>
      <c r="O2381" s="30">
        <f>IFERROR((VLOOKUP($A2381,HeadJournal!$A$1:$L$890,COLUMN(HeadJournal!L$1),0)*($K2381+$L2381)/(SUMIF($A:$A,$A2381,$K:$K)+SUMIF($A:$A,$A2381,$L:$L)))/VLOOKUP($A2381,HeadJournal!$A$1:$L$890,COLUMN(HeadJournal!H$1),0),0)</f>
        <v>0.32484803375429483</v>
      </c>
      <c r="P2381" s="30">
        <f>IFERROR(SUM(K2381:O2381)*VLOOKUP($A2381,HeadJournal!$A$1:$L$890,COLUMN(HeadJournal!H$1),0),0)</f>
        <v>1466.7841691270864</v>
      </c>
      <c r="Q2381" s="29">
        <v>1466.78</v>
      </c>
      <c r="R2381" s="31">
        <v>45259</v>
      </c>
      <c r="S2381" s="31" t="s">
        <v>3121</v>
      </c>
      <c r="T2381" s="95" t="str">
        <f t="shared" si="190"/>
        <v>2023 11</v>
      </c>
      <c r="U2381" s="32">
        <f t="shared" si="187"/>
        <v>-4.1691270864703256E-3</v>
      </c>
      <c r="V2381" s="22">
        <f t="shared" si="188"/>
        <v>-2.8423589333879022E-6</v>
      </c>
      <c r="X2381" s="33"/>
      <c r="Y2381" s="33"/>
    </row>
    <row r="2382" spans="1:25" x14ac:dyDescent="0.2">
      <c r="A2382" s="93" t="s">
        <v>1072</v>
      </c>
      <c r="B2382" s="94" t="str">
        <f>IFERROR(VLOOKUP($A2382,HeadJournal!$A$1:$NTR$890,COLUMN(HeadJournal!B$1),0),"")</f>
        <v>700000977560</v>
      </c>
      <c r="C2382" s="94" t="str">
        <f>IFERROR(VLOOKUP($A2382,HeadJournal!$A$1:$NTR$890,COLUMN(HeadJournal!C$1),0),"")</f>
        <v>iHerb_MH DLE7202</v>
      </c>
      <c r="D2382" s="125" t="str">
        <f>IFERROR(VLOOKUP($A2382,HeadJournal!$A$1:$NTR$890,COLUMN(HeadJournal!D$1),0),"")</f>
        <v>Доставлен</v>
      </c>
      <c r="E2382" s="95">
        <f>IFERROR(VLOOKUP($A2382,HeadJournal!$A$1:$NTR$890,COLUMN(HeadJournal!G$1),0),"")</f>
        <v>45229</v>
      </c>
      <c r="F2382" s="95" t="str">
        <f t="shared" si="189"/>
        <v>2023 10</v>
      </c>
      <c r="G2382" s="96" t="s">
        <v>5</v>
      </c>
      <c r="H2382" s="160" t="str">
        <f>RIGHT(Journal!$J2382,9)</f>
        <v>BLB-00735</v>
      </c>
      <c r="I2382" s="96" t="str">
        <f t="shared" ref="I2382:I2445" si="191">IFERROR(LEFT(J2382,FIND(",",J2382)-1),"")</f>
        <v>Bluebonnet Nutrition</v>
      </c>
      <c r="J2382" s="97" t="s">
        <v>1077</v>
      </c>
      <c r="K2382" s="29">
        <v>17.75</v>
      </c>
      <c r="L2382" s="29">
        <v>-3.5449999999999999</v>
      </c>
      <c r="M2382" s="30">
        <f>IFERROR(VLOOKUP($A2382,HeadJournal!$A$1:$J$890,COLUMN(HeadJournal!I$1),0)*($K2382+$L2382)/(SUMIF($A:$A,$A2382,$K:$K)+SUMIF($A:$A,$A2382,$L:$L)),0)</f>
        <v>-0.89670202182285008</v>
      </c>
      <c r="N2382" s="30">
        <f>IFERROR((VLOOKUP($A2382,HeadJournal!$A$1:$K$890,COLUMN(HeadJournal!K$1),0)-VLOOKUP($A2382,HeadJournal!$A$1:$K$890,COLUMN(HeadJournal!J$1),0))*($K2382+$L2382)/(SUMIF($A:$A,$A2382,$K:$K)+SUMIF($A:$A,$A2382,$L:$L)),0)</f>
        <v>5.1826749994722601E-15</v>
      </c>
      <c r="O2382" s="30">
        <f>IFERROR((VLOOKUP($A2382,HeadJournal!$A$1:$L$890,COLUMN(HeadJournal!L$1),0)*($K2382+$L2382)/(SUMIF($A:$A,$A2382,$K:$K)+SUMIF($A:$A,$A2382,$L:$L)))/VLOOKUP($A2382,HeadJournal!$A$1:$L$890,COLUMN(HeadJournal!H$1),0),0)</f>
        <v>0.32484803375429483</v>
      </c>
      <c r="P2382" s="30">
        <f>IFERROR(SUM(K2382:O2382)*VLOOKUP($A2382,HeadJournal!$A$1:$L$890,COLUMN(HeadJournal!H$1),0),0)</f>
        <v>1466.7841691270864</v>
      </c>
      <c r="Q2382" s="29">
        <v>2400</v>
      </c>
      <c r="R2382" s="31">
        <v>45273</v>
      </c>
      <c r="S2382" s="31" t="s">
        <v>3121</v>
      </c>
      <c r="T2382" s="95" t="str">
        <f t="shared" si="190"/>
        <v>2023 12</v>
      </c>
      <c r="U2382" s="32">
        <f t="shared" si="187"/>
        <v>933.21583087291356</v>
      </c>
      <c r="V2382" s="22">
        <f t="shared" si="188"/>
        <v>0.63623254907931659</v>
      </c>
      <c r="X2382" s="33"/>
      <c r="Y2382" s="33"/>
    </row>
    <row r="2383" spans="1:25" x14ac:dyDescent="0.2">
      <c r="A2383" s="93" t="s">
        <v>1072</v>
      </c>
      <c r="B2383" s="94" t="str">
        <f>IFERROR(VLOOKUP($A2383,HeadJournal!$A$1:$NTR$890,COLUMN(HeadJournal!B$1),0),"")</f>
        <v>700000977560</v>
      </c>
      <c r="C2383" s="94" t="str">
        <f>IFERROR(VLOOKUP($A2383,HeadJournal!$A$1:$NTR$890,COLUMN(HeadJournal!C$1),0),"")</f>
        <v>iHerb_MH DLE7202</v>
      </c>
      <c r="D2383" s="125" t="str">
        <f>IFERROR(VLOOKUP($A2383,HeadJournal!$A$1:$NTR$890,COLUMN(HeadJournal!D$1),0),"")</f>
        <v>Доставлен</v>
      </c>
      <c r="E2383" s="95">
        <f>IFERROR(VLOOKUP($A2383,HeadJournal!$A$1:$NTR$890,COLUMN(HeadJournal!G$1),0),"")</f>
        <v>45229</v>
      </c>
      <c r="F2383" s="95" t="str">
        <f t="shared" si="189"/>
        <v>2023 10</v>
      </c>
      <c r="G2383" s="96" t="s">
        <v>5</v>
      </c>
      <c r="H2383" s="160" t="str">
        <f>RIGHT(Journal!$J2383,9)</f>
        <v>CEN-22439</v>
      </c>
      <c r="I2383" s="96" t="str">
        <f t="shared" si="191"/>
        <v>21st Century</v>
      </c>
      <c r="J2383" s="97" t="s">
        <v>1078</v>
      </c>
      <c r="K2383" s="29">
        <v>11.33</v>
      </c>
      <c r="L2383" s="29">
        <v>-2.2599999999999998</v>
      </c>
      <c r="M2383" s="30">
        <f>IFERROR(VLOOKUP($A2383,HeadJournal!$A$1:$J$890,COLUMN(HeadJournal!I$1),0)*($K2383+$L2383)/(SUMIF($A:$A,$A2383,$K:$K)+SUMIF($A:$A,$A2383,$L:$L)),0)</f>
        <v>-0.57255102695763815</v>
      </c>
      <c r="N2383" s="30">
        <f>IFERROR((VLOOKUP($A2383,HeadJournal!$A$1:$K$890,COLUMN(HeadJournal!K$1),0)-VLOOKUP($A2383,HeadJournal!$A$1:$K$890,COLUMN(HeadJournal!J$1),0))*($K2383+$L2383)/(SUMIF($A:$A,$A2383,$K:$K)+SUMIF($A:$A,$A2383,$L:$L)),0)</f>
        <v>3.3091772083923547E-15</v>
      </c>
      <c r="O2383" s="30">
        <f>IFERROR((VLOOKUP($A2383,HeadJournal!$A$1:$L$890,COLUMN(HeadJournal!L$1),0)*($K2383+$L2383)/(SUMIF($A:$A,$A2383,$K:$K)+SUMIF($A:$A,$A2383,$L:$L)))/VLOOKUP($A2383,HeadJournal!$A$1:$L$890,COLUMN(HeadJournal!H$1),0),0)</f>
        <v>0.20741792792336883</v>
      </c>
      <c r="P2383" s="30">
        <f>IFERROR(SUM(K2383:O2383)*VLOOKUP($A2383,HeadJournal!$A$1:$L$890,COLUMN(HeadJournal!H$1),0),0)</f>
        <v>936.55279225502818</v>
      </c>
      <c r="Q2383" s="29">
        <v>1600</v>
      </c>
      <c r="R2383" s="31">
        <v>45267</v>
      </c>
      <c r="S2383" s="31" t="s">
        <v>3121</v>
      </c>
      <c r="T2383" s="95" t="str">
        <f t="shared" si="190"/>
        <v>2023 12</v>
      </c>
      <c r="U2383" s="32">
        <f t="shared" si="187"/>
        <v>663.44720774497182</v>
      </c>
      <c r="V2383" s="22">
        <f t="shared" si="188"/>
        <v>0.70839274970023447</v>
      </c>
      <c r="X2383" s="33"/>
      <c r="Y2383" s="33"/>
    </row>
    <row r="2384" spans="1:25" x14ac:dyDescent="0.2">
      <c r="A2384" s="93" t="s">
        <v>1072</v>
      </c>
      <c r="B2384" s="94" t="str">
        <f>IFERROR(VLOOKUP($A2384,HeadJournal!$A$1:$NTR$890,COLUMN(HeadJournal!B$1),0),"")</f>
        <v>700000977560</v>
      </c>
      <c r="C2384" s="94" t="str">
        <f>IFERROR(VLOOKUP($A2384,HeadJournal!$A$1:$NTR$890,COLUMN(HeadJournal!C$1),0),"")</f>
        <v>iHerb_MH DLE7202</v>
      </c>
      <c r="D2384" s="125" t="str">
        <f>IFERROR(VLOOKUP($A2384,HeadJournal!$A$1:$NTR$890,COLUMN(HeadJournal!D$1),0),"")</f>
        <v>Доставлен</v>
      </c>
      <c r="E2384" s="95">
        <f>IFERROR(VLOOKUP($A2384,HeadJournal!$A$1:$NTR$890,COLUMN(HeadJournal!G$1),0),"")</f>
        <v>45229</v>
      </c>
      <c r="F2384" s="95" t="str">
        <f t="shared" si="189"/>
        <v>2023 10</v>
      </c>
      <c r="G2384" s="96" t="s">
        <v>5</v>
      </c>
      <c r="H2384" s="160" t="str">
        <f>RIGHT(Journal!$J2384,9)</f>
        <v>CEN-22658</v>
      </c>
      <c r="I2384" s="96" t="str">
        <f t="shared" si="191"/>
        <v>21st Century</v>
      </c>
      <c r="J2384" s="97" t="s">
        <v>1079</v>
      </c>
      <c r="K2384" s="29">
        <v>13.76</v>
      </c>
      <c r="L2384" s="29">
        <v>-2.75</v>
      </c>
      <c r="M2384" s="30">
        <f>IFERROR(VLOOKUP($A2384,HeadJournal!$A$1:$J$890,COLUMN(HeadJournal!I$1),0)*($K2384+$L2384)/(SUMIF($A:$A,$A2384,$K:$K)+SUMIF($A:$A,$A2384,$L:$L)),0)</f>
        <v>-0.69501508344030838</v>
      </c>
      <c r="N2384" s="30">
        <f>IFERROR((VLOOKUP($A2384,HeadJournal!$A$1:$K$890,COLUMN(HeadJournal!K$1),0)-VLOOKUP($A2384,HeadJournal!$A$1:$K$890,COLUMN(HeadJournal!J$1),0))*($K2384+$L2384)/(SUMIF($A:$A,$A2384,$K:$K)+SUMIF($A:$A,$A2384,$L:$L)),0)</f>
        <v>4.016983579316408E-15</v>
      </c>
      <c r="O2384" s="30">
        <f>IFERROR((VLOOKUP($A2384,HeadJournal!$A$1:$L$890,COLUMN(HeadJournal!L$1),0)*($K2384+$L2384)/(SUMIF($A:$A,$A2384,$K:$K)+SUMIF($A:$A,$A2384,$L:$L)))/VLOOKUP($A2384,HeadJournal!$A$1:$L$890,COLUMN(HeadJournal!H$1),0),0)</f>
        <v>0.25178295330058331</v>
      </c>
      <c r="P2384" s="30">
        <f>IFERROR(SUM(K2384:O2384)*VLOOKUP($A2384,HeadJournal!$A$1:$L$890,COLUMN(HeadJournal!H$1),0),0)</f>
        <v>1136.873896662388</v>
      </c>
      <c r="Q2384" s="29">
        <v>2200</v>
      </c>
      <c r="R2384" s="31">
        <v>45462</v>
      </c>
      <c r="S2384" s="31" t="s">
        <v>3121</v>
      </c>
      <c r="T2384" s="95" t="str">
        <f t="shared" si="190"/>
        <v>2024 06</v>
      </c>
      <c r="U2384" s="32">
        <f t="shared" si="187"/>
        <v>1063.126103337612</v>
      </c>
      <c r="V2384" s="22">
        <f t="shared" si="188"/>
        <v>0.93513106990908723</v>
      </c>
      <c r="X2384" s="33"/>
      <c r="Y2384" s="33"/>
    </row>
    <row r="2385" spans="1:25" x14ac:dyDescent="0.2">
      <c r="A2385" s="93" t="s">
        <v>1072</v>
      </c>
      <c r="B2385" s="94" t="str">
        <f>IFERROR(VLOOKUP($A2385,HeadJournal!$A$1:$NTR$890,COLUMN(HeadJournal!B$1),0),"")</f>
        <v>700000977560</v>
      </c>
      <c r="C2385" s="94" t="str">
        <f>IFERROR(VLOOKUP($A2385,HeadJournal!$A$1:$NTR$890,COLUMN(HeadJournal!C$1),0),"")</f>
        <v>iHerb_MH DLE7202</v>
      </c>
      <c r="D2385" s="125" t="str">
        <f>IFERROR(VLOOKUP($A2385,HeadJournal!$A$1:$NTR$890,COLUMN(HeadJournal!D$1),0),"")</f>
        <v>Доставлен</v>
      </c>
      <c r="E2385" s="95">
        <f>IFERROR(VLOOKUP($A2385,HeadJournal!$A$1:$NTR$890,COLUMN(HeadJournal!G$1),0),"")</f>
        <v>45229</v>
      </c>
      <c r="F2385" s="95" t="str">
        <f t="shared" si="189"/>
        <v>2023 10</v>
      </c>
      <c r="G2385" s="96" t="s">
        <v>5</v>
      </c>
      <c r="H2385" s="160" t="str">
        <f>RIGHT(Journal!$J2385,9)</f>
        <v>CEN-22443</v>
      </c>
      <c r="I2385" s="96" t="str">
        <f t="shared" si="191"/>
        <v>21st Century</v>
      </c>
      <c r="J2385" s="97" t="s">
        <v>1080</v>
      </c>
      <c r="K2385" s="29">
        <v>11.53</v>
      </c>
      <c r="L2385" s="29">
        <v>-2.2999999999999998</v>
      </c>
      <c r="M2385" s="30">
        <f>IFERROR(VLOOKUP($A2385,HeadJournal!$A$1:$J$890,COLUMN(HeadJournal!I$1),0)*($K2385+$L2385)/(SUMIF($A:$A,$A2385,$K:$K)+SUMIF($A:$A,$A2385,$L:$L)),0)</f>
        <v>-0.58265115532734302</v>
      </c>
      <c r="N2385" s="30">
        <f>IFERROR((VLOOKUP($A2385,HeadJournal!$A$1:$K$890,COLUMN(HeadJournal!K$1),0)-VLOOKUP($A2385,HeadJournal!$A$1:$K$890,COLUMN(HeadJournal!J$1),0))*($K2385+$L2385)/(SUMIF($A:$A,$A2385,$K:$K)+SUMIF($A:$A,$A2385,$L:$L)),0)</f>
        <v>3.3675529915613489E-15</v>
      </c>
      <c r="O2385" s="30">
        <f>IFERROR((VLOOKUP($A2385,HeadJournal!$A$1:$L$890,COLUMN(HeadJournal!L$1),0)*($K2385+$L2385)/(SUMIF($A:$A,$A2385,$K:$K)+SUMIF($A:$A,$A2385,$L:$L)))/VLOOKUP($A2385,HeadJournal!$A$1:$L$890,COLUMN(HeadJournal!H$1),0),0)</f>
        <v>0.21107689908849989</v>
      </c>
      <c r="P2385" s="30">
        <f>IFERROR(SUM(K2385:O2385)*VLOOKUP($A2385,HeadJournal!$A$1:$L$890,COLUMN(HeadJournal!H$1),0),0)</f>
        <v>953.07412045357341</v>
      </c>
      <c r="Q2385" s="29">
        <v>1700</v>
      </c>
      <c r="R2385" s="31">
        <v>45373</v>
      </c>
      <c r="S2385" s="31" t="s">
        <v>3121</v>
      </c>
      <c r="T2385" s="95" t="str">
        <f t="shared" si="190"/>
        <v>2024 03</v>
      </c>
      <c r="U2385" s="32">
        <f t="shared" si="187"/>
        <v>746.92587954642659</v>
      </c>
      <c r="V2385" s="22">
        <f t="shared" si="188"/>
        <v>0.78370177462269175</v>
      </c>
      <c r="X2385" s="33"/>
      <c r="Y2385" s="33"/>
    </row>
    <row r="2386" spans="1:25" x14ac:dyDescent="0.2">
      <c r="A2386" s="93" t="s">
        <v>1072</v>
      </c>
      <c r="B2386" s="94" t="str">
        <f>IFERROR(VLOOKUP($A2386,HeadJournal!$A$1:$NTR$890,COLUMN(HeadJournal!B$1),0),"")</f>
        <v>700000977560</v>
      </c>
      <c r="C2386" s="94" t="str">
        <f>IFERROR(VLOOKUP($A2386,HeadJournal!$A$1:$NTR$890,COLUMN(HeadJournal!C$1),0),"")</f>
        <v>iHerb_MH DLE7202</v>
      </c>
      <c r="D2386" s="125" t="str">
        <f>IFERROR(VLOOKUP($A2386,HeadJournal!$A$1:$NTR$890,COLUMN(HeadJournal!D$1),0),"")</f>
        <v>Доставлен</v>
      </c>
      <c r="E2386" s="95">
        <f>IFERROR(VLOOKUP($A2386,HeadJournal!$A$1:$NTR$890,COLUMN(HeadJournal!G$1),0),"")</f>
        <v>45229</v>
      </c>
      <c r="F2386" s="95" t="str">
        <f t="shared" si="189"/>
        <v>2023 10</v>
      </c>
      <c r="G2386" s="96" t="s">
        <v>5</v>
      </c>
      <c r="H2386" s="160" t="str">
        <f>RIGHT(Journal!$J2386,9)</f>
        <v>CEN-22460</v>
      </c>
      <c r="I2386" s="96" t="str">
        <f t="shared" si="191"/>
        <v>21st Century</v>
      </c>
      <c r="J2386" s="97" t="s">
        <v>1081</v>
      </c>
      <c r="K2386" s="29">
        <v>11.52</v>
      </c>
      <c r="L2386" s="29">
        <v>-2.2999999999999998</v>
      </c>
      <c r="M2386" s="30">
        <f>IFERROR(VLOOKUP($A2386,HeadJournal!$A$1:$J$890,COLUMN(HeadJournal!I$1),0)*($K2386+$L2386)/(SUMIF($A:$A,$A2386,$K:$K)+SUMIF($A:$A,$A2386,$L:$L)),0)</f>
        <v>-0.58201989730423631</v>
      </c>
      <c r="N2386" s="30">
        <f>IFERROR((VLOOKUP($A2386,HeadJournal!$A$1:$K$890,COLUMN(HeadJournal!K$1),0)-VLOOKUP($A2386,HeadJournal!$A$1:$K$890,COLUMN(HeadJournal!J$1),0))*($K2386+$L2386)/(SUMIF($A:$A,$A2386,$K:$K)+SUMIF($A:$A,$A2386,$L:$L)),0)</f>
        <v>3.363904505113286E-15</v>
      </c>
      <c r="O2386" s="30">
        <f>IFERROR((VLOOKUP($A2386,HeadJournal!$A$1:$L$890,COLUMN(HeadJournal!L$1),0)*($K2386+$L2386)/(SUMIF($A:$A,$A2386,$K:$K)+SUMIF($A:$A,$A2386,$L:$L)))/VLOOKUP($A2386,HeadJournal!$A$1:$L$890,COLUMN(HeadJournal!H$1),0),0)</f>
        <v>0.21084821339067916</v>
      </c>
      <c r="P2386" s="30">
        <f>IFERROR(SUM(K2386:O2386)*VLOOKUP($A2386,HeadJournal!$A$1:$L$890,COLUMN(HeadJournal!H$1),0),0)</f>
        <v>952.04153744116411</v>
      </c>
      <c r="Q2386" s="29">
        <v>1600</v>
      </c>
      <c r="R2386" s="31">
        <v>45319</v>
      </c>
      <c r="S2386" s="31" t="s">
        <v>3121</v>
      </c>
      <c r="T2386" s="95" t="str">
        <f t="shared" si="190"/>
        <v>2024 01</v>
      </c>
      <c r="U2386" s="32">
        <f t="shared" si="187"/>
        <v>647.95846255883589</v>
      </c>
      <c r="V2386" s="22">
        <f t="shared" si="188"/>
        <v>0.68059894140793153</v>
      </c>
      <c r="X2386" s="33"/>
      <c r="Y2386" s="33"/>
    </row>
    <row r="2387" spans="1:25" x14ac:dyDescent="0.2">
      <c r="A2387" s="93" t="s">
        <v>1072</v>
      </c>
      <c r="B2387" s="94" t="str">
        <f>IFERROR(VLOOKUP($A2387,HeadJournal!$A$1:$NTR$890,COLUMN(HeadJournal!B$1),0),"")</f>
        <v>700000977560</v>
      </c>
      <c r="C2387" s="94" t="str">
        <f>IFERROR(VLOOKUP($A2387,HeadJournal!$A$1:$NTR$890,COLUMN(HeadJournal!C$1),0),"")</f>
        <v>iHerb_MH DLE7202</v>
      </c>
      <c r="D2387" s="125" t="str">
        <f>IFERROR(VLOOKUP($A2387,HeadJournal!$A$1:$NTR$890,COLUMN(HeadJournal!D$1),0),"")</f>
        <v>Доставлен</v>
      </c>
      <c r="E2387" s="95">
        <f>IFERROR(VLOOKUP($A2387,HeadJournal!$A$1:$NTR$890,COLUMN(HeadJournal!G$1),0),"")</f>
        <v>45229</v>
      </c>
      <c r="F2387" s="95" t="str">
        <f t="shared" si="189"/>
        <v>2023 10</v>
      </c>
      <c r="G2387" s="96" t="s">
        <v>6</v>
      </c>
      <c r="H2387" s="160" t="str">
        <f>RIGHT(Journal!$J2387,9)</f>
        <v>MSC-71044</v>
      </c>
      <c r="I2387" s="96" t="str">
        <f t="shared" si="191"/>
        <v>MuscleTech</v>
      </c>
      <c r="J2387" s="97" t="s">
        <v>1082</v>
      </c>
      <c r="K2387" s="29">
        <v>43.64</v>
      </c>
      <c r="L2387" s="29">
        <v>-8.7200000000000006</v>
      </c>
      <c r="M2387" s="30">
        <f>IFERROR(VLOOKUP($A2387,HeadJournal!$A$1:$J$890,COLUMN(HeadJournal!I$1),0)*($K2387+$L2387)/(SUMIF($A:$A,$A2387,$K:$K)+SUMIF($A:$A,$A2387,$L:$L)),0)</f>
        <v>-2.2043530166880627</v>
      </c>
      <c r="N2387" s="30">
        <f>IFERROR((VLOOKUP($A2387,HeadJournal!$A$1:$K$890,COLUMN(HeadJournal!K$1),0)-VLOOKUP($A2387,HeadJournal!$A$1:$K$890,COLUMN(HeadJournal!J$1),0))*($K2387+$L2387)/(SUMIF($A:$A,$A2387,$K:$K)+SUMIF($A:$A,$A2387,$L:$L)),0)</f>
        <v>1.274051467663297E-14</v>
      </c>
      <c r="O2387" s="30">
        <f>IFERROR((VLOOKUP($A2387,HeadJournal!$A$1:$L$890,COLUMN(HeadJournal!L$1),0)*($K2387+$L2387)/(SUMIF($A:$A,$A2387,$K:$K)+SUMIF($A:$A,$A2387,$L:$L)))/VLOOKUP($A2387,HeadJournal!$A$1:$L$890,COLUMN(HeadJournal!H$1),0),0)</f>
        <v>0.79857045678986094</v>
      </c>
      <c r="P2387" s="30">
        <f>IFERROR(SUM(K2387:O2387)*VLOOKUP($A2387,HeadJournal!$A$1:$L$890,COLUMN(HeadJournal!H$1),0),0)</f>
        <v>3605.7798793324791</v>
      </c>
      <c r="Q2387" s="29">
        <v>5500</v>
      </c>
      <c r="R2387" s="31">
        <v>45259</v>
      </c>
      <c r="S2387" s="31" t="s">
        <v>3121</v>
      </c>
      <c r="T2387" s="95" t="str">
        <f t="shared" si="190"/>
        <v>2023 11</v>
      </c>
      <c r="U2387" s="32">
        <f t="shared" si="187"/>
        <v>1894.2201206675209</v>
      </c>
      <c r="V2387" s="22">
        <f t="shared" si="188"/>
        <v>0.52532882872988595</v>
      </c>
      <c r="X2387" s="33"/>
      <c r="Y2387" s="33"/>
    </row>
    <row r="2388" spans="1:25" x14ac:dyDescent="0.2">
      <c r="A2388" s="93" t="s">
        <v>1072</v>
      </c>
      <c r="B2388" s="94" t="str">
        <f>IFERROR(VLOOKUP($A2388,HeadJournal!$A$1:$NTR$890,COLUMN(HeadJournal!B$1),0),"")</f>
        <v>700000977560</v>
      </c>
      <c r="C2388" s="94" t="str">
        <f>IFERROR(VLOOKUP($A2388,HeadJournal!$A$1:$NTR$890,COLUMN(HeadJournal!C$1),0),"")</f>
        <v>iHerb_MH DLE7202</v>
      </c>
      <c r="D2388" s="125" t="str">
        <f>IFERROR(VLOOKUP($A2388,HeadJournal!$A$1:$NTR$890,COLUMN(HeadJournal!D$1),0),"")</f>
        <v>Доставлен</v>
      </c>
      <c r="E2388" s="95">
        <f>IFERROR(VLOOKUP($A2388,HeadJournal!$A$1:$NTR$890,COLUMN(HeadJournal!G$1),0),"")</f>
        <v>45229</v>
      </c>
      <c r="F2388" s="95" t="str">
        <f t="shared" si="189"/>
        <v>2023 10</v>
      </c>
      <c r="G2388" s="96" t="s">
        <v>5</v>
      </c>
      <c r="H2388" s="161" t="s">
        <v>2800</v>
      </c>
      <c r="I2388" s="97" t="s">
        <v>2207</v>
      </c>
      <c r="J2388" s="97" t="s">
        <v>2801</v>
      </c>
      <c r="K2388" s="29">
        <v>24.53</v>
      </c>
      <c r="L2388" s="29">
        <v>-4.9000000000000004</v>
      </c>
      <c r="M2388" s="30">
        <f>IFERROR(VLOOKUP($A2388,HeadJournal!$A$1:$J$890,COLUMN(HeadJournal!I$1),0)*($K2388+$L2388)/(SUMIF($A:$A,$A2388,$K:$K)+SUMIF($A:$A,$A2388,$L:$L)),0)</f>
        <v>-1.2391594993581521</v>
      </c>
      <c r="N2388" s="30">
        <f>IFERROR((VLOOKUP($A2388,HeadJournal!$A$1:$K$890,COLUMN(HeadJournal!K$1),0)-VLOOKUP($A2388,HeadJournal!$A$1:$K$890,COLUMN(HeadJournal!J$1),0))*($K2388+$L2388)/(SUMIF($A:$A,$A2388,$K:$K)+SUMIF($A:$A,$A2388,$L:$L)),0)</f>
        <v>7.1619788975459672E-15</v>
      </c>
      <c r="O2388" s="30">
        <f>IFERROR((VLOOKUP($A2388,HeadJournal!$A$1:$L$890,COLUMN(HeadJournal!L$1),0)*($K2388+$L2388)/(SUMIF($A:$A,$A2388,$K:$K)+SUMIF($A:$A,$A2388,$L:$L)))/VLOOKUP($A2388,HeadJournal!$A$1:$L$890,COLUMN(HeadJournal!H$1),0),0)</f>
        <v>0.44891002482202091</v>
      </c>
      <c r="P2388" s="30">
        <f>IFERROR(SUM(K2388:O2388)*VLOOKUP($A2388,HeadJournal!$A$1:$L$890,COLUMN(HeadJournal!H$1),0),0)</f>
        <v>2026.9604533590079</v>
      </c>
      <c r="Q2388" s="29">
        <v>3100</v>
      </c>
      <c r="R2388" s="31">
        <v>45259</v>
      </c>
      <c r="S2388" s="31" t="s">
        <v>3121</v>
      </c>
      <c r="T2388" s="95" t="str">
        <f t="shared" si="190"/>
        <v>2023 11</v>
      </c>
      <c r="U2388" s="32">
        <f t="shared" si="187"/>
        <v>1073.0395466409921</v>
      </c>
      <c r="V2388" s="22">
        <f t="shared" si="188"/>
        <v>0.52938356289230437</v>
      </c>
      <c r="X2388" s="33"/>
      <c r="Y2388" s="33"/>
    </row>
    <row r="2389" spans="1:25" x14ac:dyDescent="0.2">
      <c r="A2389" s="93" t="s">
        <v>1072</v>
      </c>
      <c r="B2389" s="94" t="str">
        <f>IFERROR(VLOOKUP($A2389,HeadJournal!$A$1:$NTR$890,COLUMN(HeadJournal!B$1),0),"")</f>
        <v>700000977560</v>
      </c>
      <c r="C2389" s="94" t="str">
        <f>IFERROR(VLOOKUP($A2389,HeadJournal!$A$1:$NTR$890,COLUMN(HeadJournal!C$1),0),"")</f>
        <v>iHerb_MH DLE7202</v>
      </c>
      <c r="D2389" s="125" t="str">
        <f>IFERROR(VLOOKUP($A2389,HeadJournal!$A$1:$NTR$890,COLUMN(HeadJournal!D$1),0),"")</f>
        <v>Доставлен</v>
      </c>
      <c r="E2389" s="95">
        <f>IFERROR(VLOOKUP($A2389,HeadJournal!$A$1:$NTR$890,COLUMN(HeadJournal!G$1),0),"")</f>
        <v>45229</v>
      </c>
      <c r="F2389" s="95" t="str">
        <f t="shared" si="189"/>
        <v>2023 10</v>
      </c>
      <c r="G2389" s="96" t="s">
        <v>5</v>
      </c>
      <c r="H2389" s="160" t="str">
        <f>RIGHT(Journal!$J2389,9)</f>
        <v>NOR-02723</v>
      </c>
      <c r="I2389" s="96" t="str">
        <f t="shared" si="191"/>
        <v>Nordic Naturals</v>
      </c>
      <c r="J2389" s="97" t="s">
        <v>1083</v>
      </c>
      <c r="K2389" s="29">
        <v>31.54</v>
      </c>
      <c r="L2389" s="29">
        <v>-6.3</v>
      </c>
      <c r="M2389" s="30">
        <f>IFERROR(VLOOKUP($A2389,HeadJournal!$A$1:$J$890,COLUMN(HeadJournal!I$1),0)*($K2389+$L2389)/(SUMIF($A:$A,$A2389,$K:$K)+SUMIF($A:$A,$A2389,$L:$L)),0)</f>
        <v>-1.5932952503209248</v>
      </c>
      <c r="N2389" s="30">
        <f>IFERROR((VLOOKUP($A2389,HeadJournal!$A$1:$K$890,COLUMN(HeadJournal!K$1),0)-VLOOKUP($A2389,HeadJournal!$A$1:$K$890,COLUMN(HeadJournal!J$1),0))*($K2389+$L2389)/(SUMIF($A:$A,$A2389,$K:$K)+SUMIF($A:$A,$A2389,$L:$L)),0)</f>
        <v>9.2087797949088224E-15</v>
      </c>
      <c r="O2389" s="30">
        <f>IFERROR((VLOOKUP($A2389,HeadJournal!$A$1:$L$890,COLUMN(HeadJournal!L$1),0)*($K2389+$L2389)/(SUMIF($A:$A,$A2389,$K:$K)+SUMIF($A:$A,$A2389,$L:$L)))/VLOOKUP($A2389,HeadJournal!$A$1:$L$890,COLUMN(HeadJournal!H$1),0),0)</f>
        <v>0.57720270129942974</v>
      </c>
      <c r="P2389" s="30">
        <f>IFERROR(SUM(K2389:O2389)*VLOOKUP($A2389,HeadJournal!$A$1:$L$890,COLUMN(HeadJournal!H$1),0),0)</f>
        <v>2606.2395233204975</v>
      </c>
      <c r="Q2389" s="29">
        <v>3400</v>
      </c>
      <c r="R2389" s="31">
        <v>45259</v>
      </c>
      <c r="S2389" s="31" t="s">
        <v>3121</v>
      </c>
      <c r="T2389" s="95" t="str">
        <f t="shared" si="190"/>
        <v>2023 11</v>
      </c>
      <c r="U2389" s="32">
        <f t="shared" si="187"/>
        <v>793.76047667950252</v>
      </c>
      <c r="V2389" s="22">
        <f t="shared" si="188"/>
        <v>0.30456159903070096</v>
      </c>
      <c r="X2389" s="33"/>
      <c r="Y2389" s="33"/>
    </row>
    <row r="2390" spans="1:25" x14ac:dyDescent="0.2">
      <c r="A2390" s="93" t="s">
        <v>1072</v>
      </c>
      <c r="B2390" s="94" t="str">
        <f>IFERROR(VLOOKUP($A2390,HeadJournal!$A$1:$NTR$890,COLUMN(HeadJournal!B$1),0),"")</f>
        <v>700000977560</v>
      </c>
      <c r="C2390" s="94" t="str">
        <f>IFERROR(VLOOKUP($A2390,HeadJournal!$A$1:$NTR$890,COLUMN(HeadJournal!C$1),0),"")</f>
        <v>iHerb_MH DLE7202</v>
      </c>
      <c r="D2390" s="125" t="str">
        <f>IFERROR(VLOOKUP($A2390,HeadJournal!$A$1:$NTR$890,COLUMN(HeadJournal!D$1),0),"")</f>
        <v>Доставлен</v>
      </c>
      <c r="E2390" s="95">
        <f>IFERROR(VLOOKUP($A2390,HeadJournal!$A$1:$NTR$890,COLUMN(HeadJournal!G$1),0),"")</f>
        <v>45229</v>
      </c>
      <c r="F2390" s="95" t="str">
        <f t="shared" si="189"/>
        <v>2023 10</v>
      </c>
      <c r="G2390" s="96" t="s">
        <v>5</v>
      </c>
      <c r="H2390" s="160" t="str">
        <f>RIGHT(Journal!$J2390,9)</f>
        <v>NBC-01050</v>
      </c>
      <c r="I2390" s="96" t="str">
        <f t="shared" si="191"/>
        <v>NutriBiotic</v>
      </c>
      <c r="J2390" s="97" t="s">
        <v>1045</v>
      </c>
      <c r="K2390" s="29">
        <v>9.0299999999999994</v>
      </c>
      <c r="L2390" s="29">
        <v>-1.8</v>
      </c>
      <c r="M2390" s="30">
        <f>IFERROR(VLOOKUP($A2390,HeadJournal!$A$1:$J$890,COLUMN(HeadJournal!I$1),0)*($K2390+$L2390)/(SUMIF($A:$A,$A2390,$K:$K)+SUMIF($A:$A,$A2390,$L:$L)),0)</f>
        <v>-0.4563995507060335</v>
      </c>
      <c r="N2390" s="30">
        <f>IFERROR((VLOOKUP($A2390,HeadJournal!$A$1:$K$890,COLUMN(HeadJournal!K$1),0)-VLOOKUP($A2390,HeadJournal!$A$1:$K$890,COLUMN(HeadJournal!J$1),0))*($K2390+$L2390)/(SUMIF($A:$A,$A2390,$K:$K)+SUMIF($A:$A,$A2390,$L:$L)),0)</f>
        <v>2.6378557019489221E-15</v>
      </c>
      <c r="O2390" s="30">
        <f>IFERROR((VLOOKUP($A2390,HeadJournal!$A$1:$L$890,COLUMN(HeadJournal!L$1),0)*($K2390+$L2390)/(SUMIF($A:$A,$A2390,$K:$K)+SUMIF($A:$A,$A2390,$L:$L)))/VLOOKUP($A2390,HeadJournal!$A$1:$L$890,COLUMN(HeadJournal!H$1),0),0)</f>
        <v>0.1653397595243612</v>
      </c>
      <c r="P2390" s="30">
        <f>IFERROR(SUM(K2390:O2390)*VLOOKUP($A2390,HeadJournal!$A$1:$L$890,COLUMN(HeadJournal!H$1),0),0)</f>
        <v>746.55751797175878</v>
      </c>
      <c r="Q2390" s="29">
        <v>1700</v>
      </c>
      <c r="R2390" s="31">
        <v>45283</v>
      </c>
      <c r="S2390" s="31" t="s">
        <v>3121</v>
      </c>
      <c r="T2390" s="95" t="str">
        <f t="shared" si="190"/>
        <v>2023 12</v>
      </c>
      <c r="U2390" s="32">
        <f t="shared" si="187"/>
        <v>953.44248202824122</v>
      </c>
      <c r="V2390" s="22">
        <f t="shared" si="188"/>
        <v>1.277118586413202</v>
      </c>
      <c r="X2390" s="33"/>
      <c r="Y2390" s="33"/>
    </row>
    <row r="2391" spans="1:25" x14ac:dyDescent="0.2">
      <c r="A2391" s="93" t="s">
        <v>1084</v>
      </c>
      <c r="B2391" s="94" t="str">
        <f>IFERROR(VLOOKUP($A2391,HeadJournal!$A$1:$NTR$890,COLUMN(HeadJournal!B$1),0),"")</f>
        <v>700000979661</v>
      </c>
      <c r="C2391" s="94" t="str">
        <f>IFERROR(VLOOKUP($A2391,HeadJournal!$A$1:$NTR$890,COLUMN(HeadJournal!C$1),0),"")</f>
        <v>iHerb_AV CYG0792</v>
      </c>
      <c r="D2391" s="125" t="str">
        <f>IFERROR(VLOOKUP($A2391,HeadJournal!$A$1:$NTR$890,COLUMN(HeadJournal!D$1),0),"")</f>
        <v>Доставлен</v>
      </c>
      <c r="E2391" s="95">
        <f>IFERROR(VLOOKUP($A2391,HeadJournal!$A$1:$NTR$890,COLUMN(HeadJournal!G$1),0),"")</f>
        <v>45230</v>
      </c>
      <c r="F2391" s="95" t="str">
        <f t="shared" si="189"/>
        <v>2023 10</v>
      </c>
      <c r="G2391" s="96" t="s">
        <v>5</v>
      </c>
      <c r="H2391" s="160" t="str">
        <f>RIGHT(Journal!$J2391,9)</f>
        <v>CAR-01524</v>
      </c>
      <c r="I2391" s="96" t="str">
        <f t="shared" si="191"/>
        <v>Carlson</v>
      </c>
      <c r="J2391" s="97" t="s">
        <v>878</v>
      </c>
      <c r="K2391" s="29">
        <v>30.25</v>
      </c>
      <c r="L2391" s="29">
        <v>-6.09</v>
      </c>
      <c r="M2391" s="30">
        <f>IFERROR(VLOOKUP($A2391,HeadJournal!$A$1:$J$890,COLUMN(HeadJournal!I$1),0)*($K2391+$L2391)/(SUMIF($A:$A,$A2391,$K:$K)+SUMIF($A:$A,$A2391,$L:$L)),0)</f>
        <v>-0.78222324457990666</v>
      </c>
      <c r="N2391" s="30">
        <f>IFERROR((VLOOKUP($A2391,HeadJournal!$A$1:$K$890,COLUMN(HeadJournal!K$1),0)-VLOOKUP($A2391,HeadJournal!$A$1:$K$890,COLUMN(HeadJournal!J$1),0))*($K2391+$L2391)/(SUMIF($A:$A,$A2391,$K:$K)+SUMIF($A:$A,$A2391,$L:$L)),0)</f>
        <v>-7.8977341979246733E-15</v>
      </c>
      <c r="O2391" s="30">
        <f>IFERROR((VLOOKUP($A2391,HeadJournal!$A$1:$L$890,COLUMN(HeadJournal!L$1),0)*($K2391+$L2391)/(SUMIF($A:$A,$A2391,$K:$K)+SUMIF($A:$A,$A2391,$L:$L)))/VLOOKUP($A2391,HeadJournal!$A$1:$L$890,COLUMN(HeadJournal!H$1),0),0)</f>
        <v>0.99310934693657549</v>
      </c>
      <c r="P2391" s="30">
        <f>IFERROR(SUM(K2391:O2391)*VLOOKUP($A2391,HeadJournal!$A$1:$L$890,COLUMN(HeadJournal!H$1),0),0)</f>
        <v>2613.9853807962882</v>
      </c>
      <c r="Q2391" s="29">
        <v>3500</v>
      </c>
      <c r="R2391" s="31">
        <v>45259</v>
      </c>
      <c r="S2391" s="31" t="s">
        <v>3121</v>
      </c>
      <c r="T2391" s="95" t="str">
        <f t="shared" si="190"/>
        <v>2023 11</v>
      </c>
      <c r="U2391" s="32">
        <f t="shared" si="187"/>
        <v>886.01461920371185</v>
      </c>
      <c r="V2391" s="22">
        <f t="shared" si="188"/>
        <v>0.33895163519767224</v>
      </c>
      <c r="X2391" s="33"/>
      <c r="Y2391" s="33"/>
    </row>
    <row r="2392" spans="1:25" x14ac:dyDescent="0.2">
      <c r="A2392" s="93" t="s">
        <v>1084</v>
      </c>
      <c r="B2392" s="94" t="str">
        <f>IFERROR(VLOOKUP($A2392,HeadJournal!$A$1:$NTR$890,COLUMN(HeadJournal!B$1),0),"")</f>
        <v>700000979661</v>
      </c>
      <c r="C2392" s="94" t="str">
        <f>IFERROR(VLOOKUP($A2392,HeadJournal!$A$1:$NTR$890,COLUMN(HeadJournal!C$1),0),"")</f>
        <v>iHerb_AV CYG0792</v>
      </c>
      <c r="D2392" s="125" t="str">
        <f>IFERROR(VLOOKUP($A2392,HeadJournal!$A$1:$NTR$890,COLUMN(HeadJournal!D$1),0),"")</f>
        <v>Доставлен</v>
      </c>
      <c r="E2392" s="95">
        <f>IFERROR(VLOOKUP($A2392,HeadJournal!$A$1:$NTR$890,COLUMN(HeadJournal!G$1),0),"")</f>
        <v>45230</v>
      </c>
      <c r="F2392" s="95" t="str">
        <f t="shared" si="189"/>
        <v>2023 10</v>
      </c>
      <c r="G2392" s="96" t="s">
        <v>5</v>
      </c>
      <c r="H2392" s="160" t="str">
        <f>RIGHT(Journal!$J2392,9)</f>
        <v>ENZ-13010</v>
      </c>
      <c r="I2392" s="96" t="str">
        <f t="shared" si="191"/>
        <v>Enzymedica</v>
      </c>
      <c r="J2392" s="97" t="s">
        <v>1085</v>
      </c>
      <c r="K2392" s="29">
        <v>36.54</v>
      </c>
      <c r="L2392" s="29">
        <v>-7.3</v>
      </c>
      <c r="M2392" s="30">
        <f>IFERROR(VLOOKUP($A2392,HeadJournal!$A$1:$J$890,COLUMN(HeadJournal!I$1),0)*($K2392+$L2392)/(SUMIF($A:$A,$A2392,$K:$K)+SUMIF($A:$A,$A2392,$L:$L)),0)</f>
        <v>-0.94669733739720485</v>
      </c>
      <c r="N2392" s="30">
        <f>IFERROR((VLOOKUP($A2392,HeadJournal!$A$1:$K$890,COLUMN(HeadJournal!K$1),0)-VLOOKUP($A2392,HeadJournal!$A$1:$K$890,COLUMN(HeadJournal!J$1),0))*($K2392+$L2392)/(SUMIF($A:$A,$A2392,$K:$K)+SUMIF($A:$A,$A2392,$L:$L)),0)</f>
        <v>-9.5583504945081708E-15</v>
      </c>
      <c r="O2392" s="30">
        <f>IFERROR((VLOOKUP($A2392,HeadJournal!$A$1:$L$890,COLUMN(HeadJournal!L$1),0)*($K2392+$L2392)/(SUMIF($A:$A,$A2392,$K:$K)+SUMIF($A:$A,$A2392,$L:$L)))/VLOOKUP($A2392,HeadJournal!$A$1:$L$890,COLUMN(HeadJournal!H$1),0),0)</f>
        <v>1.2019253851169482</v>
      </c>
      <c r="P2392" s="30">
        <f>IFERROR(SUM(K2392:O2392)*VLOOKUP($A2392,HeadJournal!$A$1:$L$890,COLUMN(HeadJournal!H$1),0),0)</f>
        <v>3163.6147572219975</v>
      </c>
      <c r="Q2392" s="29">
        <v>4400</v>
      </c>
      <c r="R2392" s="31">
        <v>45259</v>
      </c>
      <c r="S2392" s="31" t="s">
        <v>3121</v>
      </c>
      <c r="T2392" s="95" t="str">
        <f t="shared" si="190"/>
        <v>2023 11</v>
      </c>
      <c r="U2392" s="32">
        <f t="shared" si="187"/>
        <v>1236.3852427780025</v>
      </c>
      <c r="V2392" s="22">
        <f t="shared" si="188"/>
        <v>0.39081409642420717</v>
      </c>
      <c r="X2392" s="33"/>
      <c r="Y2392" s="33"/>
    </row>
    <row r="2393" spans="1:25" x14ac:dyDescent="0.2">
      <c r="A2393" s="93" t="s">
        <v>1084</v>
      </c>
      <c r="B2393" s="94" t="str">
        <f>IFERROR(VLOOKUP($A2393,HeadJournal!$A$1:$NTR$890,COLUMN(HeadJournal!B$1),0),"")</f>
        <v>700000979661</v>
      </c>
      <c r="C2393" s="94" t="str">
        <f>IFERROR(VLOOKUP($A2393,HeadJournal!$A$1:$NTR$890,COLUMN(HeadJournal!C$1),0),"")</f>
        <v>iHerb_AV CYG0792</v>
      </c>
      <c r="D2393" s="125" t="str">
        <f>IFERROR(VLOOKUP($A2393,HeadJournal!$A$1:$NTR$890,COLUMN(HeadJournal!D$1),0),"")</f>
        <v>Доставлен</v>
      </c>
      <c r="E2393" s="95">
        <f>IFERROR(VLOOKUP($A2393,HeadJournal!$A$1:$NTR$890,COLUMN(HeadJournal!G$1),0),"")</f>
        <v>45230</v>
      </c>
      <c r="F2393" s="95" t="str">
        <f t="shared" si="189"/>
        <v>2023 10</v>
      </c>
      <c r="G2393" s="96" t="s">
        <v>5</v>
      </c>
      <c r="H2393" s="161" t="s">
        <v>2773</v>
      </c>
      <c r="I2393" s="97" t="s">
        <v>2005</v>
      </c>
      <c r="J2393" s="97" t="s">
        <v>2774</v>
      </c>
      <c r="K2393" s="29">
        <v>13.74</v>
      </c>
      <c r="L2393" s="29">
        <v>-2.74</v>
      </c>
      <c r="M2393" s="30">
        <f>IFERROR(VLOOKUP($A2393,HeadJournal!$A$1:$J$890,COLUMN(HeadJournal!I$1),0)*($K2393+$L2393)/(SUMIF($A:$A,$A2393,$K:$K)+SUMIF($A:$A,$A2393,$L:$L)),0)</f>
        <v>-0.35614468917131509</v>
      </c>
      <c r="N2393" s="30">
        <f>IFERROR((VLOOKUP($A2393,HeadJournal!$A$1:$K$890,COLUMN(HeadJournal!K$1),0)-VLOOKUP($A2393,HeadJournal!$A$1:$K$890,COLUMN(HeadJournal!J$1),0))*($K2393+$L2393)/(SUMIF($A:$A,$A2393,$K:$K)+SUMIF($A:$A,$A2393,$L:$L)),0)</f>
        <v>-3.5958226894524584E-15</v>
      </c>
      <c r="O2393" s="30">
        <f>IFERROR((VLOOKUP($A2393,HeadJournal!$A$1:$L$890,COLUMN(HeadJournal!L$1),0)*($K2393+$L2393)/(SUMIF($A:$A,$A2393,$K:$K)+SUMIF($A:$A,$A2393,$L:$L)))/VLOOKUP($A2393,HeadJournal!$A$1:$L$890,COLUMN(HeadJournal!H$1),0),0)</f>
        <v>0.45216071259529511</v>
      </c>
      <c r="P2393" s="30">
        <f>IFERROR(SUM(K2393:O2393)*VLOOKUP($A2393,HeadJournal!$A$1:$L$890,COLUMN(HeadJournal!H$1),0),0)</f>
        <v>1190.1423505281114</v>
      </c>
      <c r="Q2393" s="29">
        <v>1900</v>
      </c>
      <c r="R2393" s="31">
        <v>45708</v>
      </c>
      <c r="S2393" s="31" t="s">
        <v>3121</v>
      </c>
      <c r="T2393" s="95" t="str">
        <f t="shared" si="190"/>
        <v>2025 02</v>
      </c>
      <c r="U2393" s="32">
        <f t="shared" si="187"/>
        <v>709.85764947188864</v>
      </c>
      <c r="V2393" s="22">
        <f t="shared" si="188"/>
        <v>0.59644768473023235</v>
      </c>
      <c r="X2393" s="33"/>
      <c r="Y2393" s="33"/>
    </row>
    <row r="2394" spans="1:25" x14ac:dyDescent="0.2">
      <c r="A2394" s="93" t="s">
        <v>1084</v>
      </c>
      <c r="B2394" s="94" t="str">
        <f>IFERROR(VLOOKUP($A2394,HeadJournal!$A$1:$NTR$890,COLUMN(HeadJournal!B$1),0),"")</f>
        <v>700000979661</v>
      </c>
      <c r="C2394" s="94" t="str">
        <f>IFERROR(VLOOKUP($A2394,HeadJournal!$A$1:$NTR$890,COLUMN(HeadJournal!C$1),0),"")</f>
        <v>iHerb_AV CYG0792</v>
      </c>
      <c r="D2394" s="125" t="str">
        <f>IFERROR(VLOOKUP($A2394,HeadJournal!$A$1:$NTR$890,COLUMN(HeadJournal!D$1),0),"")</f>
        <v>Доставлен</v>
      </c>
      <c r="E2394" s="95">
        <f>IFERROR(VLOOKUP($A2394,HeadJournal!$A$1:$NTR$890,COLUMN(HeadJournal!G$1),0),"")</f>
        <v>45230</v>
      </c>
      <c r="F2394" s="95" t="str">
        <f t="shared" si="189"/>
        <v>2023 10</v>
      </c>
      <c r="G2394" s="96" t="s">
        <v>5</v>
      </c>
      <c r="H2394" s="161" t="s">
        <v>2642</v>
      </c>
      <c r="I2394" s="97" t="s">
        <v>2212</v>
      </c>
      <c r="J2394" s="97" t="s">
        <v>2643</v>
      </c>
      <c r="K2394" s="29">
        <v>24.98</v>
      </c>
      <c r="L2394" s="29">
        <v>-4.9950000000000001</v>
      </c>
      <c r="M2394" s="30">
        <f>IFERROR(VLOOKUP($A2394,HeadJournal!$A$1:$J$890,COLUMN(HeadJournal!I$1),0)*($K2394+$L2394)/(SUMIF($A:$A,$A2394,$K:$K)+SUMIF($A:$A,$A2394,$L:$L)),0)</f>
        <v>-0.64705014664443017</v>
      </c>
      <c r="N2394" s="30">
        <f>IFERROR((VLOOKUP($A2394,HeadJournal!$A$1:$K$890,COLUMN(HeadJournal!K$1),0)-VLOOKUP($A2394,HeadJournal!$A$1:$K$890,COLUMN(HeadJournal!J$1),0))*($K2394+$L2394)/(SUMIF($A:$A,$A2394,$K:$K)+SUMIF($A:$A,$A2394,$L:$L)),0)</f>
        <v>-6.5329560407915804E-15</v>
      </c>
      <c r="O2394" s="30">
        <f>IFERROR((VLOOKUP($A2394,HeadJournal!$A$1:$L$890,COLUMN(HeadJournal!L$1),0)*($K2394+$L2394)/(SUMIF($A:$A,$A2394,$K:$K)+SUMIF($A:$A,$A2394,$L:$L)))/VLOOKUP($A2394,HeadJournal!$A$1:$L$890,COLUMN(HeadJournal!H$1),0),0)</f>
        <v>0.82149380374699765</v>
      </c>
      <c r="P2394" s="30">
        <f>IFERROR(SUM(K2394:O2394)*VLOOKUP($A2394,HeadJournal!$A$1:$L$890,COLUMN(HeadJournal!H$1),0),0)</f>
        <v>2162.2722613913002</v>
      </c>
      <c r="Q2394" s="29">
        <v>3200</v>
      </c>
      <c r="R2394" s="31">
        <v>45258</v>
      </c>
      <c r="S2394" s="31" t="s">
        <v>3121</v>
      </c>
      <c r="T2394" s="95" t="str">
        <f t="shared" si="190"/>
        <v>2023 11</v>
      </c>
      <c r="U2394" s="32">
        <f t="shared" si="187"/>
        <v>1037.7277386086998</v>
      </c>
      <c r="V2394" s="22">
        <f t="shared" si="188"/>
        <v>0.47992464091500697</v>
      </c>
      <c r="X2394" s="33"/>
      <c r="Y2394" s="33"/>
    </row>
    <row r="2395" spans="1:25" x14ac:dyDescent="0.2">
      <c r="A2395" s="93" t="s">
        <v>1084</v>
      </c>
      <c r="B2395" s="94" t="str">
        <f>IFERROR(VLOOKUP($A2395,HeadJournal!$A$1:$NTR$890,COLUMN(HeadJournal!B$1),0),"")</f>
        <v>700000979661</v>
      </c>
      <c r="C2395" s="94" t="str">
        <f>IFERROR(VLOOKUP($A2395,HeadJournal!$A$1:$NTR$890,COLUMN(HeadJournal!C$1),0),"")</f>
        <v>iHerb_AV CYG0792</v>
      </c>
      <c r="D2395" s="125" t="str">
        <f>IFERROR(VLOOKUP($A2395,HeadJournal!$A$1:$NTR$890,COLUMN(HeadJournal!D$1),0),"")</f>
        <v>Доставлен</v>
      </c>
      <c r="E2395" s="95">
        <f>IFERROR(VLOOKUP($A2395,HeadJournal!$A$1:$NTR$890,COLUMN(HeadJournal!G$1),0),"")</f>
        <v>45230</v>
      </c>
      <c r="F2395" s="95" t="str">
        <f t="shared" si="189"/>
        <v>2023 10</v>
      </c>
      <c r="G2395" s="96" t="s">
        <v>5</v>
      </c>
      <c r="H2395" s="161" t="s">
        <v>2642</v>
      </c>
      <c r="I2395" s="97" t="s">
        <v>2212</v>
      </c>
      <c r="J2395" s="97" t="s">
        <v>2643</v>
      </c>
      <c r="K2395" s="29">
        <v>24.98</v>
      </c>
      <c r="L2395" s="29">
        <v>-4.9950000000000001</v>
      </c>
      <c r="M2395" s="30">
        <f>IFERROR(VLOOKUP($A2395,HeadJournal!$A$1:$J$890,COLUMN(HeadJournal!I$1),0)*($K2395+$L2395)/(SUMIF($A:$A,$A2395,$K:$K)+SUMIF($A:$A,$A2395,$L:$L)),0)</f>
        <v>-0.64705014664443017</v>
      </c>
      <c r="N2395" s="30">
        <f>IFERROR((VLOOKUP($A2395,HeadJournal!$A$1:$K$890,COLUMN(HeadJournal!K$1),0)-VLOOKUP($A2395,HeadJournal!$A$1:$K$890,COLUMN(HeadJournal!J$1),0))*($K2395+$L2395)/(SUMIF($A:$A,$A2395,$K:$K)+SUMIF($A:$A,$A2395,$L:$L)),0)</f>
        <v>-6.5329560407915804E-15</v>
      </c>
      <c r="O2395" s="30">
        <f>IFERROR((VLOOKUP($A2395,HeadJournal!$A$1:$L$890,COLUMN(HeadJournal!L$1),0)*($K2395+$L2395)/(SUMIF($A:$A,$A2395,$K:$K)+SUMIF($A:$A,$A2395,$L:$L)))/VLOOKUP($A2395,HeadJournal!$A$1:$L$890,COLUMN(HeadJournal!H$1),0),0)</f>
        <v>0.82149380374699765</v>
      </c>
      <c r="P2395" s="30">
        <f>IFERROR(SUM(K2395:O2395)*VLOOKUP($A2395,HeadJournal!$A$1:$L$890,COLUMN(HeadJournal!H$1),0),0)</f>
        <v>2162.2722613913002</v>
      </c>
      <c r="Q2395" s="29">
        <v>3300</v>
      </c>
      <c r="R2395" s="31">
        <v>45354</v>
      </c>
      <c r="S2395" s="31" t="s">
        <v>3121</v>
      </c>
      <c r="T2395" s="95" t="str">
        <f t="shared" si="190"/>
        <v>2024 03</v>
      </c>
      <c r="U2395" s="32">
        <f t="shared" si="187"/>
        <v>1137.7277386086998</v>
      </c>
      <c r="V2395" s="22">
        <f t="shared" si="188"/>
        <v>0.52617228594360099</v>
      </c>
      <c r="X2395" s="33"/>
      <c r="Y2395" s="33"/>
    </row>
    <row r="2396" spans="1:25" x14ac:dyDescent="0.2">
      <c r="A2396" s="93" t="s">
        <v>1084</v>
      </c>
      <c r="B2396" s="94" t="str">
        <f>IFERROR(VLOOKUP($A2396,HeadJournal!$A$1:$NTR$890,COLUMN(HeadJournal!B$1),0),"")</f>
        <v>700000979661</v>
      </c>
      <c r="C2396" s="94" t="str">
        <f>IFERROR(VLOOKUP($A2396,HeadJournal!$A$1:$NTR$890,COLUMN(HeadJournal!C$1),0),"")</f>
        <v>iHerb_AV CYG0792</v>
      </c>
      <c r="D2396" s="125" t="str">
        <f>IFERROR(VLOOKUP($A2396,HeadJournal!$A$1:$NTR$890,COLUMN(HeadJournal!D$1),0),"")</f>
        <v>Доставлен</v>
      </c>
      <c r="E2396" s="95">
        <f>IFERROR(VLOOKUP($A2396,HeadJournal!$A$1:$NTR$890,COLUMN(HeadJournal!G$1),0),"")</f>
        <v>45230</v>
      </c>
      <c r="F2396" s="95" t="str">
        <f t="shared" si="189"/>
        <v>2023 10</v>
      </c>
      <c r="G2396" s="96" t="s">
        <v>5</v>
      </c>
      <c r="H2396" s="161" t="s">
        <v>2118</v>
      </c>
      <c r="I2396" s="97" t="s">
        <v>2005</v>
      </c>
      <c r="J2396" s="97" t="s">
        <v>2119</v>
      </c>
      <c r="K2396" s="29">
        <v>14.33</v>
      </c>
      <c r="L2396" s="29">
        <v>-2.8650000000000002</v>
      </c>
      <c r="M2396" s="30">
        <f>IFERROR(VLOOKUP($A2396,HeadJournal!$A$1:$J$890,COLUMN(HeadJournal!I$1),0)*($K2396+$L2396)/(SUMIF($A:$A,$A2396,$K:$K)+SUMIF($A:$A,$A2396,$L:$L)),0)</f>
        <v>-0.37119989648628432</v>
      </c>
      <c r="N2396" s="30">
        <f>IFERROR((VLOOKUP($A2396,HeadJournal!$A$1:$K$890,COLUMN(HeadJournal!K$1),0)-VLOOKUP($A2396,HeadJournal!$A$1:$K$890,COLUMN(HeadJournal!J$1),0))*($K2396+$L2396)/(SUMIF($A:$A,$A2396,$K:$K)+SUMIF($A:$A,$A2396,$L:$L)),0)</f>
        <v>-3.7478279213247668E-15</v>
      </c>
      <c r="O2396" s="30">
        <f>IFERROR((VLOOKUP($A2396,HeadJournal!$A$1:$L$890,COLUMN(HeadJournal!L$1),0)*($K2396+$L2396)/(SUMIF($A:$A,$A2396,$K:$K)+SUMIF($A:$A,$A2396,$L:$L)))/VLOOKUP($A2396,HeadJournal!$A$1:$L$890,COLUMN(HeadJournal!H$1),0),0)</f>
        <v>0.47127477908227805</v>
      </c>
      <c r="P2396" s="30">
        <f>IFERROR(SUM(K2396:O2396)*VLOOKUP($A2396,HeadJournal!$A$1:$L$890,COLUMN(HeadJournal!H$1),0),0)</f>
        <v>1240.4529135277087</v>
      </c>
      <c r="Q2396" s="29">
        <v>2000</v>
      </c>
      <c r="R2396" s="31">
        <v>45258</v>
      </c>
      <c r="S2396" s="31" t="s">
        <v>3121</v>
      </c>
      <c r="T2396" s="95" t="str">
        <f t="shared" si="190"/>
        <v>2023 11</v>
      </c>
      <c r="U2396" s="32">
        <f t="shared" si="187"/>
        <v>759.54708647229131</v>
      </c>
      <c r="V2396" s="22">
        <f t="shared" si="188"/>
        <v>0.61231432341290948</v>
      </c>
      <c r="X2396" s="33"/>
      <c r="Y2396" s="33"/>
    </row>
    <row r="2397" spans="1:25" x14ac:dyDescent="0.2">
      <c r="A2397" s="93" t="s">
        <v>1084</v>
      </c>
      <c r="B2397" s="94" t="str">
        <f>IFERROR(VLOOKUP($A2397,HeadJournal!$A$1:$NTR$890,COLUMN(HeadJournal!B$1),0),"")</f>
        <v>700000979661</v>
      </c>
      <c r="C2397" s="94" t="str">
        <f>IFERROR(VLOOKUP($A2397,HeadJournal!$A$1:$NTR$890,COLUMN(HeadJournal!C$1),0),"")</f>
        <v>iHerb_AV CYG0792</v>
      </c>
      <c r="D2397" s="125" t="str">
        <f>IFERROR(VLOOKUP($A2397,HeadJournal!$A$1:$NTR$890,COLUMN(HeadJournal!D$1),0),"")</f>
        <v>Доставлен</v>
      </c>
      <c r="E2397" s="95">
        <f>IFERROR(VLOOKUP($A2397,HeadJournal!$A$1:$NTR$890,COLUMN(HeadJournal!G$1),0),"")</f>
        <v>45230</v>
      </c>
      <c r="F2397" s="95" t="str">
        <f t="shared" si="189"/>
        <v>2023 10</v>
      </c>
      <c r="G2397" s="96" t="s">
        <v>5</v>
      </c>
      <c r="H2397" s="161" t="s">
        <v>2118</v>
      </c>
      <c r="I2397" s="97" t="s">
        <v>2005</v>
      </c>
      <c r="J2397" s="97" t="s">
        <v>2119</v>
      </c>
      <c r="K2397" s="29">
        <v>14.33</v>
      </c>
      <c r="L2397" s="29">
        <v>-2.8650000000000002</v>
      </c>
      <c r="M2397" s="30">
        <f>IFERROR(VLOOKUP($A2397,HeadJournal!$A$1:$J$890,COLUMN(HeadJournal!I$1),0)*($K2397+$L2397)/(SUMIF($A:$A,$A2397,$K:$K)+SUMIF($A:$A,$A2397,$L:$L)),0)</f>
        <v>-0.37119989648628432</v>
      </c>
      <c r="N2397" s="30">
        <f>IFERROR((VLOOKUP($A2397,HeadJournal!$A$1:$K$890,COLUMN(HeadJournal!K$1),0)-VLOOKUP($A2397,HeadJournal!$A$1:$K$890,COLUMN(HeadJournal!J$1),0))*($K2397+$L2397)/(SUMIF($A:$A,$A2397,$K:$K)+SUMIF($A:$A,$A2397,$L:$L)),0)</f>
        <v>-3.7478279213247668E-15</v>
      </c>
      <c r="O2397" s="30">
        <f>IFERROR((VLOOKUP($A2397,HeadJournal!$A$1:$L$890,COLUMN(HeadJournal!L$1),0)*($K2397+$L2397)/(SUMIF($A:$A,$A2397,$K:$K)+SUMIF($A:$A,$A2397,$L:$L)))/VLOOKUP($A2397,HeadJournal!$A$1:$L$890,COLUMN(HeadJournal!H$1),0),0)</f>
        <v>0.47127477908227805</v>
      </c>
      <c r="P2397" s="30">
        <f>IFERROR(SUM(K2397:O2397)*VLOOKUP($A2397,HeadJournal!$A$1:$L$890,COLUMN(HeadJournal!H$1),0),0)</f>
        <v>1240.4529135277087</v>
      </c>
      <c r="Q2397" s="29">
        <v>1900</v>
      </c>
      <c r="R2397" s="31">
        <v>45261</v>
      </c>
      <c r="S2397" s="31" t="s">
        <v>3121</v>
      </c>
      <c r="T2397" s="95" t="str">
        <f t="shared" si="190"/>
        <v>2023 12</v>
      </c>
      <c r="U2397" s="32">
        <f t="shared" si="187"/>
        <v>659.54708647229131</v>
      </c>
      <c r="V2397" s="22">
        <f t="shared" si="188"/>
        <v>0.53169860724226403</v>
      </c>
      <c r="X2397" s="33"/>
      <c r="Y2397" s="33"/>
    </row>
    <row r="2398" spans="1:25" x14ac:dyDescent="0.2">
      <c r="A2398" s="93" t="s">
        <v>1084</v>
      </c>
      <c r="B2398" s="94" t="str">
        <f>IFERROR(VLOOKUP($A2398,HeadJournal!$A$1:$NTR$890,COLUMN(HeadJournal!B$1),0),"")</f>
        <v>700000979661</v>
      </c>
      <c r="C2398" s="94" t="str">
        <f>IFERROR(VLOOKUP($A2398,HeadJournal!$A$1:$NTR$890,COLUMN(HeadJournal!C$1),0),"")</f>
        <v>iHerb_AV CYG0792</v>
      </c>
      <c r="D2398" s="125" t="str">
        <f>IFERROR(VLOOKUP($A2398,HeadJournal!$A$1:$NTR$890,COLUMN(HeadJournal!D$1),0),"")</f>
        <v>Доставлен</v>
      </c>
      <c r="E2398" s="95">
        <f>IFERROR(VLOOKUP($A2398,HeadJournal!$A$1:$NTR$890,COLUMN(HeadJournal!G$1),0),"")</f>
        <v>45230</v>
      </c>
      <c r="F2398" s="95" t="str">
        <f t="shared" si="189"/>
        <v>2023 10</v>
      </c>
      <c r="G2398" s="96" t="s">
        <v>5</v>
      </c>
      <c r="H2398" s="161" t="s">
        <v>2546</v>
      </c>
      <c r="I2398" s="97" t="s">
        <v>2039</v>
      </c>
      <c r="J2398" s="97" t="s">
        <v>2547</v>
      </c>
      <c r="K2398" s="29">
        <v>10.54</v>
      </c>
      <c r="L2398" s="29">
        <v>-2.1</v>
      </c>
      <c r="M2398" s="30">
        <f>IFERROR(VLOOKUP($A2398,HeadJournal!$A$1:$J$890,COLUMN(HeadJournal!I$1),0)*($K2398+$L2398)/(SUMIF($A:$A,$A2398,$K:$K)+SUMIF($A:$A,$A2398,$L:$L)),0)</f>
        <v>-0.27326010696417263</v>
      </c>
      <c r="N2398" s="30">
        <f>IFERROR((VLOOKUP($A2398,HeadJournal!$A$1:$K$890,COLUMN(HeadJournal!K$1),0)-VLOOKUP($A2398,HeadJournal!$A$1:$K$890,COLUMN(HeadJournal!J$1),0))*($K2398+$L2398)/(SUMIF($A:$A,$A2398,$K:$K)+SUMIF($A:$A,$A2398,$L:$L)),0)</f>
        <v>-2.7589766817253409E-15</v>
      </c>
      <c r="O2398" s="30">
        <f>IFERROR((VLOOKUP($A2398,HeadJournal!$A$1:$L$890,COLUMN(HeadJournal!L$1),0)*($K2398+$L2398)/(SUMIF($A:$A,$A2398,$K:$K)+SUMIF($A:$A,$A2398,$L:$L)))/VLOOKUP($A2398,HeadJournal!$A$1:$L$890,COLUMN(HeadJournal!H$1),0),0)</f>
        <v>0.34693058311857194</v>
      </c>
      <c r="P2398" s="30">
        <f>IFERROR(SUM(K2398:O2398)*VLOOKUP($A2398,HeadJournal!$A$1:$L$890,COLUMN(HeadJournal!H$1),0),0)</f>
        <v>913.16376713247803</v>
      </c>
      <c r="Q2398" s="29">
        <v>1700</v>
      </c>
      <c r="R2398" s="31">
        <v>45266</v>
      </c>
      <c r="S2398" s="31" t="s">
        <v>3121</v>
      </c>
      <c r="T2398" s="95" t="str">
        <f t="shared" si="190"/>
        <v>2023 12</v>
      </c>
      <c r="U2398" s="32">
        <f t="shared" si="187"/>
        <v>786.83623286752197</v>
      </c>
      <c r="V2398" s="22">
        <f t="shared" si="188"/>
        <v>0.86165949765872718</v>
      </c>
      <c r="X2398" s="33"/>
      <c r="Y2398" s="33"/>
    </row>
    <row r="2399" spans="1:25" x14ac:dyDescent="0.2">
      <c r="A2399" s="93" t="s">
        <v>1084</v>
      </c>
      <c r="B2399" s="94" t="str">
        <f>IFERROR(VLOOKUP($A2399,HeadJournal!$A$1:$NTR$890,COLUMN(HeadJournal!B$1),0),"")</f>
        <v>700000979661</v>
      </c>
      <c r="C2399" s="94" t="str">
        <f>IFERROR(VLOOKUP($A2399,HeadJournal!$A$1:$NTR$890,COLUMN(HeadJournal!C$1),0),"")</f>
        <v>iHerb_AV CYG0792</v>
      </c>
      <c r="D2399" s="125" t="str">
        <f>IFERROR(VLOOKUP($A2399,HeadJournal!$A$1:$NTR$890,COLUMN(HeadJournal!D$1),0),"")</f>
        <v>Доставлен</v>
      </c>
      <c r="E2399" s="95">
        <f>IFERROR(VLOOKUP($A2399,HeadJournal!$A$1:$NTR$890,COLUMN(HeadJournal!G$1),0),"")</f>
        <v>45230</v>
      </c>
      <c r="F2399" s="95" t="str">
        <f t="shared" si="189"/>
        <v>2023 10</v>
      </c>
      <c r="G2399" s="96" t="s">
        <v>5</v>
      </c>
      <c r="H2399" s="160" t="str">
        <f>RIGHT(Journal!$J2399,9)</f>
        <v>CGN-02171</v>
      </c>
      <c r="I2399" s="96" t="str">
        <f t="shared" si="191"/>
        <v>California Gold Nutrition</v>
      </c>
      <c r="J2399" s="97" t="s">
        <v>1086</v>
      </c>
      <c r="K2399" s="29">
        <v>12.87</v>
      </c>
      <c r="L2399" s="29">
        <v>-6.44</v>
      </c>
      <c r="M2399" s="30">
        <f>IFERROR(VLOOKUP($A2399,HeadJournal!$A$1:$J$890,COLUMN(HeadJournal!I$1),0)*($K2399+$L2399)/(SUMIF($A:$A,$A2399,$K:$K)+SUMIF($A:$A,$A2399,$L:$L)),0)</f>
        <v>-0.20818275921559595</v>
      </c>
      <c r="N2399" s="30">
        <f>IFERROR((VLOOKUP($A2399,HeadJournal!$A$1:$K$890,COLUMN(HeadJournal!K$1),0)-VLOOKUP($A2399,HeadJournal!$A$1:$K$890,COLUMN(HeadJournal!J$1),0))*($K2399+$L2399)/(SUMIF($A:$A,$A2399,$K:$K)+SUMIF($A:$A,$A2399,$L:$L)),0)</f>
        <v>-2.1019218084708457E-15</v>
      </c>
      <c r="O2399" s="30">
        <f>IFERROR((VLOOKUP($A2399,HeadJournal!$A$1:$L$890,COLUMN(HeadJournal!L$1),0)*($K2399+$L2399)/(SUMIF($A:$A,$A2399,$K:$K)+SUMIF($A:$A,$A2399,$L:$L)))/VLOOKUP($A2399,HeadJournal!$A$1:$L$890,COLUMN(HeadJournal!H$1),0),0)</f>
        <v>0.26430848927161338</v>
      </c>
      <c r="P2399" s="30">
        <f>IFERROR(SUM(K2399:O2399)*VLOOKUP($A2399,HeadJournal!$A$1:$L$890,COLUMN(HeadJournal!H$1),0),0)</f>
        <v>695.69230126325044</v>
      </c>
      <c r="Q2399" s="29">
        <v>1700</v>
      </c>
      <c r="R2399" s="31">
        <v>45804</v>
      </c>
      <c r="S2399" s="31" t="s">
        <v>3121</v>
      </c>
      <c r="T2399" s="95" t="str">
        <f t="shared" si="190"/>
        <v>2025 05</v>
      </c>
      <c r="U2399" s="32">
        <f t="shared" si="187"/>
        <v>1004.3076987367496</v>
      </c>
      <c r="V2399" s="22">
        <f t="shared" si="188"/>
        <v>1.4436090451383605</v>
      </c>
      <c r="X2399" s="33"/>
      <c r="Y2399" s="33"/>
    </row>
    <row r="2400" spans="1:25" x14ac:dyDescent="0.2">
      <c r="A2400" s="93" t="s">
        <v>1084</v>
      </c>
      <c r="B2400" s="94" t="str">
        <f>IFERROR(VLOOKUP($A2400,HeadJournal!$A$1:$NTR$890,COLUMN(HeadJournal!B$1),0),"")</f>
        <v>700000979661</v>
      </c>
      <c r="C2400" s="94" t="str">
        <f>IFERROR(VLOOKUP($A2400,HeadJournal!$A$1:$NTR$890,COLUMN(HeadJournal!C$1),0),"")</f>
        <v>iHerb_AV CYG0792</v>
      </c>
      <c r="D2400" s="125" t="str">
        <f>IFERROR(VLOOKUP($A2400,HeadJournal!$A$1:$NTR$890,COLUMN(HeadJournal!D$1),0),"")</f>
        <v>Доставлен</v>
      </c>
      <c r="E2400" s="95">
        <f>IFERROR(VLOOKUP($A2400,HeadJournal!$A$1:$NTR$890,COLUMN(HeadJournal!G$1),0),"")</f>
        <v>45230</v>
      </c>
      <c r="F2400" s="95" t="str">
        <f t="shared" si="189"/>
        <v>2023 10</v>
      </c>
      <c r="G2400" s="96" t="s">
        <v>5</v>
      </c>
      <c r="H2400" s="161" t="s">
        <v>2806</v>
      </c>
      <c r="I2400" s="97" t="s">
        <v>2009</v>
      </c>
      <c r="J2400" s="97" t="s">
        <v>2807</v>
      </c>
      <c r="K2400" s="29">
        <v>22.96</v>
      </c>
      <c r="L2400" s="29">
        <v>-4.59</v>
      </c>
      <c r="M2400" s="30">
        <f>IFERROR(VLOOKUP($A2400,HeadJournal!$A$1:$J$890,COLUMN(HeadJournal!I$1),0)*($K2400+$L2400)/(SUMIF($A:$A,$A2400,$K:$K)+SUMIF($A:$A,$A2400,$L:$L)),0)</f>
        <v>-0.59476163091609624</v>
      </c>
      <c r="N2400" s="30">
        <f>IFERROR((VLOOKUP($A2400,HeadJournal!$A$1:$K$890,COLUMN(HeadJournal!K$1),0)-VLOOKUP($A2400,HeadJournal!$A$1:$K$890,COLUMN(HeadJournal!J$1),0))*($K2400+$L2400)/(SUMIF($A:$A,$A2400,$K:$K)+SUMIF($A:$A,$A2400,$L:$L)),0)</f>
        <v>-6.0050238913856058E-15</v>
      </c>
      <c r="O2400" s="30">
        <f>IFERROR((VLOOKUP($A2400,HeadJournal!$A$1:$L$890,COLUMN(HeadJournal!L$1),0)*($K2400+$L2400)/(SUMIF($A:$A,$A2400,$K:$K)+SUMIF($A:$A,$A2400,$L:$L)))/VLOOKUP($A2400,HeadJournal!$A$1:$L$890,COLUMN(HeadJournal!H$1),0),0)</f>
        <v>0.75510839003414287</v>
      </c>
      <c r="P2400" s="30">
        <f>IFERROR(SUM(K2400:O2400)*VLOOKUP($A2400,HeadJournal!$A$1:$L$890,COLUMN(HeadJournal!H$1),0),0)</f>
        <v>1987.5377253819456</v>
      </c>
      <c r="Q2400" s="29">
        <v>2800</v>
      </c>
      <c r="R2400" s="31">
        <v>45258</v>
      </c>
      <c r="S2400" s="31" t="s">
        <v>3121</v>
      </c>
      <c r="T2400" s="95" t="str">
        <f t="shared" si="190"/>
        <v>2023 11</v>
      </c>
      <c r="U2400" s="32">
        <f t="shared" si="187"/>
        <v>812.46227461805438</v>
      </c>
      <c r="V2400" s="22">
        <f t="shared" si="188"/>
        <v>0.40877829096900453</v>
      </c>
      <c r="X2400" s="33"/>
      <c r="Y2400" s="33"/>
    </row>
    <row r="2401" spans="1:25" x14ac:dyDescent="0.2">
      <c r="A2401" s="93" t="s">
        <v>1084</v>
      </c>
      <c r="B2401" s="94" t="str">
        <f>IFERROR(VLOOKUP($A2401,HeadJournal!$A$1:$NTR$890,COLUMN(HeadJournal!B$1),0),"")</f>
        <v>700000979661</v>
      </c>
      <c r="C2401" s="94" t="str">
        <f>IFERROR(VLOOKUP($A2401,HeadJournal!$A$1:$NTR$890,COLUMN(HeadJournal!C$1),0),"")</f>
        <v>iHerb_AV CYG0792</v>
      </c>
      <c r="D2401" s="125" t="str">
        <f>IFERROR(VLOOKUP($A2401,HeadJournal!$A$1:$NTR$890,COLUMN(HeadJournal!D$1),0),"")</f>
        <v>Доставлен</v>
      </c>
      <c r="E2401" s="95">
        <f>IFERROR(VLOOKUP($A2401,HeadJournal!$A$1:$NTR$890,COLUMN(HeadJournal!G$1),0),"")</f>
        <v>45230</v>
      </c>
      <c r="F2401" s="95" t="str">
        <f t="shared" si="189"/>
        <v>2023 10</v>
      </c>
      <c r="G2401" s="96" t="s">
        <v>5</v>
      </c>
      <c r="H2401" s="161" t="s">
        <v>2105</v>
      </c>
      <c r="I2401" s="97" t="s">
        <v>2039</v>
      </c>
      <c r="J2401" s="97" t="s">
        <v>2106</v>
      </c>
      <c r="K2401" s="29">
        <v>10.83</v>
      </c>
      <c r="L2401" s="29">
        <v>-2.16</v>
      </c>
      <c r="M2401" s="30">
        <f>IFERROR(VLOOKUP($A2401,HeadJournal!$A$1:$J$890,COLUMN(HeadJournal!I$1),0)*($K2401+$L2401)/(SUMIF($A:$A,$A2401,$K:$K)+SUMIF($A:$A,$A2401,$L:$L)),0)</f>
        <v>-0.28070676864684563</v>
      </c>
      <c r="N2401" s="30">
        <f>IFERROR((VLOOKUP($A2401,HeadJournal!$A$1:$K$890,COLUMN(HeadJournal!K$1),0)-VLOOKUP($A2401,HeadJournal!$A$1:$K$890,COLUMN(HeadJournal!J$1),0))*($K2401+$L2401)/(SUMIF($A:$A,$A2401,$K:$K)+SUMIF($A:$A,$A2401,$L:$L)),0)</f>
        <v>-2.8341620652320741E-15</v>
      </c>
      <c r="O2401" s="30">
        <f>IFERROR((VLOOKUP($A2401,HeadJournal!$A$1:$L$890,COLUMN(HeadJournal!L$1),0)*($K2401+$L2401)/(SUMIF($A:$A,$A2401,$K:$K)+SUMIF($A:$A,$A2401,$L:$L)))/VLOOKUP($A2401,HeadJournal!$A$1:$L$890,COLUMN(HeadJournal!H$1),0),0)</f>
        <v>0.3563848525637463</v>
      </c>
      <c r="P2401" s="30">
        <f>IFERROR(SUM(K2401:O2401)*VLOOKUP($A2401,HeadJournal!$A$1:$L$890,COLUMN(HeadJournal!H$1),0),0)</f>
        <v>938.04856173442943</v>
      </c>
      <c r="Q2401" s="29">
        <v>1700</v>
      </c>
      <c r="R2401" s="31">
        <v>45271</v>
      </c>
      <c r="S2401" s="31" t="s">
        <v>3121</v>
      </c>
      <c r="T2401" s="95" t="str">
        <f t="shared" si="190"/>
        <v>2023 12</v>
      </c>
      <c r="U2401" s="32">
        <f t="shared" si="187"/>
        <v>761.95143826557057</v>
      </c>
      <c r="V2401" s="22">
        <f t="shared" si="188"/>
        <v>0.8122729135224519</v>
      </c>
      <c r="X2401" s="33"/>
      <c r="Y2401" s="33"/>
    </row>
    <row r="2402" spans="1:25" x14ac:dyDescent="0.2">
      <c r="A2402" s="93" t="s">
        <v>1084</v>
      </c>
      <c r="B2402" s="94" t="str">
        <f>IFERROR(VLOOKUP($A2402,HeadJournal!$A$1:$NTR$890,COLUMN(HeadJournal!B$1),0),"")</f>
        <v>700000979661</v>
      </c>
      <c r="C2402" s="94" t="str">
        <f>IFERROR(VLOOKUP($A2402,HeadJournal!$A$1:$NTR$890,COLUMN(HeadJournal!C$1),0),"")</f>
        <v>iHerb_AV CYG0792</v>
      </c>
      <c r="D2402" s="125" t="str">
        <f>IFERROR(VLOOKUP($A2402,HeadJournal!$A$1:$NTR$890,COLUMN(HeadJournal!D$1),0),"")</f>
        <v>Доставлен</v>
      </c>
      <c r="E2402" s="95">
        <f>IFERROR(VLOOKUP($A2402,HeadJournal!$A$1:$NTR$890,COLUMN(HeadJournal!G$1),0),"")</f>
        <v>45230</v>
      </c>
      <c r="F2402" s="95" t="str">
        <f t="shared" si="189"/>
        <v>2023 10</v>
      </c>
      <c r="G2402" s="96" t="s">
        <v>5</v>
      </c>
      <c r="H2402" s="160" t="str">
        <f>RIGHT(Journal!$J2402,9)</f>
        <v>CEN-27452</v>
      </c>
      <c r="I2402" s="96" t="str">
        <f t="shared" si="191"/>
        <v>21st Century</v>
      </c>
      <c r="J2402" s="97" t="s">
        <v>71</v>
      </c>
      <c r="K2402" s="29">
        <v>5.84</v>
      </c>
      <c r="L2402" s="29">
        <v>-1.1599999999999999</v>
      </c>
      <c r="M2402" s="30">
        <f>IFERROR(VLOOKUP($A2402,HeadJournal!$A$1:$J$890,COLUMN(HeadJournal!I$1),0)*($K2402+$L2402)/(SUMIF($A:$A,$A2402,$K:$K)+SUMIF($A:$A,$A2402,$L:$L)),0)</f>
        <v>-0.15152337684743222</v>
      </c>
      <c r="N2402" s="30">
        <f>IFERROR((VLOOKUP($A2402,HeadJournal!$A$1:$K$890,COLUMN(HeadJournal!K$1),0)-VLOOKUP($A2402,HeadJournal!$A$1:$K$890,COLUMN(HeadJournal!J$1),0))*($K2402+$L2402)/(SUMIF($A:$A,$A2402,$K:$K)+SUMIF($A:$A,$A2402,$L:$L)),0)</f>
        <v>-1.5298591078761367E-15</v>
      </c>
      <c r="O2402" s="30">
        <f>IFERROR((VLOOKUP($A2402,HeadJournal!$A$1:$L$890,COLUMN(HeadJournal!L$1),0)*($K2402+$L2402)/(SUMIF($A:$A,$A2402,$K:$K)+SUMIF($A:$A,$A2402,$L:$L)))/VLOOKUP($A2402,HeadJournal!$A$1:$L$890,COLUMN(HeadJournal!H$1),0),0)</f>
        <v>0.19237383044963466</v>
      </c>
      <c r="P2402" s="30">
        <f>IFERROR(SUM(K2402:O2402)*VLOOKUP($A2402,HeadJournal!$A$1:$L$890,COLUMN(HeadJournal!H$1),0),0)</f>
        <v>506.35147277014175</v>
      </c>
      <c r="Q2402" s="29"/>
      <c r="R2402" s="31"/>
      <c r="S2402" s="31"/>
      <c r="T2402" s="95" t="str">
        <f t="shared" si="190"/>
        <v/>
      </c>
      <c r="U2402" s="32">
        <f t="shared" si="187"/>
        <v>-506.35147277014175</v>
      </c>
      <c r="V2402" s="22" t="str">
        <f t="shared" si="188"/>
        <v/>
      </c>
      <c r="X2402" s="33"/>
      <c r="Y2402" s="33"/>
    </row>
    <row r="2403" spans="1:25" x14ac:dyDescent="0.2">
      <c r="A2403" s="93" t="s">
        <v>1087</v>
      </c>
      <c r="B2403" s="94" t="str">
        <f>IFERROR(VLOOKUP($A2403,HeadJournal!$A$1:$NTR$890,COLUMN(HeadJournal!B$1),0),"")</f>
        <v>700000972885</v>
      </c>
      <c r="C2403" s="94" t="str">
        <f>IFERROR(VLOOKUP($A2403,HeadJournal!$A$1:$NTR$890,COLUMN(HeadJournal!C$1),0),"")</f>
        <v>iHerb_OA CZN6870</v>
      </c>
      <c r="D2403" s="125" t="str">
        <f>IFERROR(VLOOKUP($A2403,HeadJournal!$A$1:$NTR$890,COLUMN(HeadJournal!D$1),0),"")</f>
        <v>Доставлен</v>
      </c>
      <c r="E2403" s="95">
        <f>IFERROR(VLOOKUP($A2403,HeadJournal!$A$1:$NTR$890,COLUMN(HeadJournal!G$1),0),"")</f>
        <v>45225</v>
      </c>
      <c r="F2403" s="95" t="str">
        <f t="shared" si="189"/>
        <v>2023 10</v>
      </c>
      <c r="G2403" s="96" t="s">
        <v>5</v>
      </c>
      <c r="H2403" s="175" t="s">
        <v>3643</v>
      </c>
      <c r="I2403" s="176" t="s">
        <v>2102</v>
      </c>
      <c r="J2403" s="97" t="s">
        <v>3693</v>
      </c>
      <c r="K2403" s="29">
        <v>17.84</v>
      </c>
      <c r="L2403" s="29">
        <v>-3.63</v>
      </c>
      <c r="M2403" s="30">
        <f>IFERROR(VLOOKUP($A2403,HeadJournal!$A$1:$J$890,COLUMN(HeadJournal!I$1),0)*($K2403+$L2403)/(SUMIF($A:$A,$A2403,$K:$K)+SUMIF($A:$A,$A2403,$L:$L)),0)</f>
        <v>-0.46920385438972173</v>
      </c>
      <c r="N2403" s="30">
        <f>IFERROR((VLOOKUP($A2403,HeadJournal!$A$1:$K$890,COLUMN(HeadJournal!K$1),0)-VLOOKUP($A2403,HeadJournal!$A$1:$K$890,COLUMN(HeadJournal!J$1),0))*($K2403+$L2403)/(SUMIF($A:$A,$A2403,$K:$K)+SUMIF($A:$A,$A2403,$L:$L)),0)</f>
        <v>3.4592932848483175E-15</v>
      </c>
      <c r="O2403" s="30">
        <f>IFERROR((VLOOKUP($A2403,HeadJournal!$A$1:$L$890,COLUMN(HeadJournal!L$1),0)*($K2403+$L2403)/(SUMIF($A:$A,$A2403,$K:$K)+SUMIF($A:$A,$A2403,$L:$L)))/VLOOKUP($A2403,HeadJournal!$A$1:$L$890,COLUMN(HeadJournal!H$1),0),0)</f>
        <v>0.43493723329645961</v>
      </c>
      <c r="P2403" s="30">
        <f>IFERROR(SUM(K2403:O2403)*VLOOKUP($A2403,HeadJournal!$A$1:$L$890,COLUMN(HeadJournal!H$1),0),0)</f>
        <v>1520.6621037830128</v>
      </c>
      <c r="Q2403" s="29">
        <v>2900</v>
      </c>
      <c r="R2403" s="31">
        <v>45420</v>
      </c>
      <c r="S2403" s="31" t="s">
        <v>3121</v>
      </c>
      <c r="T2403" s="95" t="str">
        <f t="shared" si="190"/>
        <v>2024 05</v>
      </c>
      <c r="U2403" s="32">
        <f t="shared" si="187"/>
        <v>1379.3378962169872</v>
      </c>
      <c r="V2403" s="22">
        <f t="shared" si="188"/>
        <v>0.90706403006003267</v>
      </c>
      <c r="X2403" s="33"/>
      <c r="Y2403" s="33"/>
    </row>
    <row r="2404" spans="1:25" x14ac:dyDescent="0.2">
      <c r="A2404" s="93" t="s">
        <v>1087</v>
      </c>
      <c r="B2404" s="94" t="str">
        <f>IFERROR(VLOOKUP($A2404,HeadJournal!$A$1:$NTR$890,COLUMN(HeadJournal!B$1),0),"")</f>
        <v>700000972885</v>
      </c>
      <c r="C2404" s="94" t="str">
        <f>IFERROR(VLOOKUP($A2404,HeadJournal!$A$1:$NTR$890,COLUMN(HeadJournal!C$1),0),"")</f>
        <v>iHerb_OA CZN6870</v>
      </c>
      <c r="D2404" s="125" t="str">
        <f>IFERROR(VLOOKUP($A2404,HeadJournal!$A$1:$NTR$890,COLUMN(HeadJournal!D$1),0),"")</f>
        <v>Доставлен</v>
      </c>
      <c r="E2404" s="95">
        <f>IFERROR(VLOOKUP($A2404,HeadJournal!$A$1:$NTR$890,COLUMN(HeadJournal!G$1),0),"")</f>
        <v>45225</v>
      </c>
      <c r="F2404" s="95" t="str">
        <f t="shared" si="189"/>
        <v>2023 10</v>
      </c>
      <c r="G2404" s="96" t="s">
        <v>5</v>
      </c>
      <c r="H2404" s="161" t="s">
        <v>2806</v>
      </c>
      <c r="I2404" s="97" t="s">
        <v>2009</v>
      </c>
      <c r="J2404" s="97" t="s">
        <v>2807</v>
      </c>
      <c r="K2404" s="29">
        <v>22.96</v>
      </c>
      <c r="L2404" s="29">
        <v>-4.59</v>
      </c>
      <c r="M2404" s="30">
        <f>IFERROR(VLOOKUP($A2404,HeadJournal!$A$1:$J$890,COLUMN(HeadJournal!I$1),0)*($K2404+$L2404)/(SUMIF($A:$A,$A2404,$K:$K)+SUMIF($A:$A,$A2404,$L:$L)),0)</f>
        <v>-0.6065640256959316</v>
      </c>
      <c r="N2404" s="30">
        <f>IFERROR((VLOOKUP($A2404,HeadJournal!$A$1:$K$890,COLUMN(HeadJournal!K$1),0)-VLOOKUP($A2404,HeadJournal!$A$1:$K$890,COLUMN(HeadJournal!J$1),0))*($K2404+$L2404)/(SUMIF($A:$A,$A2404,$K:$K)+SUMIF($A:$A,$A2404,$L:$L)),0)</f>
        <v>4.472006871404897E-15</v>
      </c>
      <c r="O2404" s="30">
        <f>IFERROR((VLOOKUP($A2404,HeadJournal!$A$1:$L$890,COLUMN(HeadJournal!L$1),0)*($K2404+$L2404)/(SUMIF($A:$A,$A2404,$K:$K)+SUMIF($A:$A,$A2404,$L:$L)))/VLOOKUP($A2404,HeadJournal!$A$1:$L$890,COLUMN(HeadJournal!H$1),0),0)</f>
        <v>0.56226579702012403</v>
      </c>
      <c r="P2404" s="30">
        <f>IFERROR(SUM(K2404:O2404)*VLOOKUP($A2404,HeadJournal!$A$1:$L$890,COLUMN(HeadJournal!H$1),0),0)</f>
        <v>1965.8383424696653</v>
      </c>
      <c r="Q2404" s="29">
        <v>2800</v>
      </c>
      <c r="R2404" s="31">
        <v>45259</v>
      </c>
      <c r="S2404" s="31" t="s">
        <v>3121</v>
      </c>
      <c r="T2404" s="95" t="str">
        <f t="shared" si="190"/>
        <v>2023 11</v>
      </c>
      <c r="U2404" s="32">
        <f t="shared" si="187"/>
        <v>834.16165753033465</v>
      </c>
      <c r="V2404" s="22">
        <f t="shared" si="188"/>
        <v>0.42432871488424867</v>
      </c>
      <c r="X2404" s="33"/>
      <c r="Y2404" s="33"/>
    </row>
    <row r="2405" spans="1:25" x14ac:dyDescent="0.2">
      <c r="A2405" s="93" t="s">
        <v>1087</v>
      </c>
      <c r="B2405" s="94" t="str">
        <f>IFERROR(VLOOKUP($A2405,HeadJournal!$A$1:$NTR$890,COLUMN(HeadJournal!B$1),0),"")</f>
        <v>700000972885</v>
      </c>
      <c r="C2405" s="94" t="str">
        <f>IFERROR(VLOOKUP($A2405,HeadJournal!$A$1:$NTR$890,COLUMN(HeadJournal!C$1),0),"")</f>
        <v>iHerb_OA CZN6870</v>
      </c>
      <c r="D2405" s="125" t="str">
        <f>IFERROR(VLOOKUP($A2405,HeadJournal!$A$1:$NTR$890,COLUMN(HeadJournal!D$1),0),"")</f>
        <v>Доставлен</v>
      </c>
      <c r="E2405" s="95">
        <f>IFERROR(VLOOKUP($A2405,HeadJournal!$A$1:$NTR$890,COLUMN(HeadJournal!G$1),0),"")</f>
        <v>45225</v>
      </c>
      <c r="F2405" s="95" t="str">
        <f t="shared" si="189"/>
        <v>2023 10</v>
      </c>
      <c r="G2405" s="96" t="s">
        <v>5</v>
      </c>
      <c r="H2405" s="161" t="s">
        <v>2806</v>
      </c>
      <c r="I2405" s="97" t="s">
        <v>2009</v>
      </c>
      <c r="J2405" s="97" t="s">
        <v>2807</v>
      </c>
      <c r="K2405" s="29">
        <v>22.96</v>
      </c>
      <c r="L2405" s="29">
        <v>-4.59</v>
      </c>
      <c r="M2405" s="30">
        <f>IFERROR(VLOOKUP($A2405,HeadJournal!$A$1:$J$890,COLUMN(HeadJournal!I$1),0)*($K2405+$L2405)/(SUMIF($A:$A,$A2405,$K:$K)+SUMIF($A:$A,$A2405,$L:$L)),0)</f>
        <v>-0.6065640256959316</v>
      </c>
      <c r="N2405" s="30">
        <f>IFERROR((VLOOKUP($A2405,HeadJournal!$A$1:$K$890,COLUMN(HeadJournal!K$1),0)-VLOOKUP($A2405,HeadJournal!$A$1:$K$890,COLUMN(HeadJournal!J$1),0))*($K2405+$L2405)/(SUMIF($A:$A,$A2405,$K:$K)+SUMIF($A:$A,$A2405,$L:$L)),0)</f>
        <v>4.472006871404897E-15</v>
      </c>
      <c r="O2405" s="30">
        <f>IFERROR((VLOOKUP($A2405,HeadJournal!$A$1:$L$890,COLUMN(HeadJournal!L$1),0)*($K2405+$L2405)/(SUMIF($A:$A,$A2405,$K:$K)+SUMIF($A:$A,$A2405,$L:$L)))/VLOOKUP($A2405,HeadJournal!$A$1:$L$890,COLUMN(HeadJournal!H$1),0),0)</f>
        <v>0.56226579702012403</v>
      </c>
      <c r="P2405" s="30">
        <f>IFERROR(SUM(K2405:O2405)*VLOOKUP($A2405,HeadJournal!$A$1:$L$890,COLUMN(HeadJournal!H$1),0),0)</f>
        <v>1965.8383424696653</v>
      </c>
      <c r="Q2405" s="29">
        <v>2800</v>
      </c>
      <c r="R2405" s="31">
        <v>45266</v>
      </c>
      <c r="S2405" s="31" t="s">
        <v>3121</v>
      </c>
      <c r="T2405" s="95" t="str">
        <f t="shared" si="190"/>
        <v>2023 12</v>
      </c>
      <c r="U2405" s="32">
        <f t="shared" si="187"/>
        <v>834.16165753033465</v>
      </c>
      <c r="V2405" s="22">
        <f t="shared" si="188"/>
        <v>0.42432871488424867</v>
      </c>
      <c r="X2405" s="33"/>
      <c r="Y2405" s="33"/>
    </row>
    <row r="2406" spans="1:25" x14ac:dyDescent="0.2">
      <c r="A2406" s="93" t="s">
        <v>1087</v>
      </c>
      <c r="B2406" s="94" t="str">
        <f>IFERROR(VLOOKUP($A2406,HeadJournal!$A$1:$NTR$890,COLUMN(HeadJournal!B$1),0),"")</f>
        <v>700000972885</v>
      </c>
      <c r="C2406" s="94" t="str">
        <f>IFERROR(VLOOKUP($A2406,HeadJournal!$A$1:$NTR$890,COLUMN(HeadJournal!C$1),0),"")</f>
        <v>iHerb_OA CZN6870</v>
      </c>
      <c r="D2406" s="125" t="str">
        <f>IFERROR(VLOOKUP($A2406,HeadJournal!$A$1:$NTR$890,COLUMN(HeadJournal!D$1),0),"")</f>
        <v>Доставлен</v>
      </c>
      <c r="E2406" s="95">
        <f>IFERROR(VLOOKUP($A2406,HeadJournal!$A$1:$NTR$890,COLUMN(HeadJournal!G$1),0),"")</f>
        <v>45225</v>
      </c>
      <c r="F2406" s="95" t="str">
        <f t="shared" si="189"/>
        <v>2023 10</v>
      </c>
      <c r="G2406" s="96" t="s">
        <v>5</v>
      </c>
      <c r="H2406" s="175" t="s">
        <v>3662</v>
      </c>
      <c r="I2406" s="176" t="s">
        <v>2993</v>
      </c>
      <c r="J2406" s="97" t="s">
        <v>3736</v>
      </c>
      <c r="K2406" s="29">
        <v>28</v>
      </c>
      <c r="L2406" s="29">
        <v>-5.59</v>
      </c>
      <c r="M2406" s="30">
        <f>IFERROR(VLOOKUP($A2406,HeadJournal!$A$1:$J$890,COLUMN(HeadJournal!I$1),0)*($K2406+$L2406)/(SUMIF($A:$A,$A2406,$K:$K)+SUMIF($A:$A,$A2406,$L:$L)),0)</f>
        <v>-0.73996188436830856</v>
      </c>
      <c r="N2406" s="30">
        <f>IFERROR((VLOOKUP($A2406,HeadJournal!$A$1:$K$890,COLUMN(HeadJournal!K$1),0)-VLOOKUP($A2406,HeadJournal!$A$1:$K$890,COLUMN(HeadJournal!J$1),0))*($K2406+$L2406)/(SUMIF($A:$A,$A2406,$K:$K)+SUMIF($A:$A,$A2406,$L:$L)),0)</f>
        <v>5.4555075660415755E-15</v>
      </c>
      <c r="O2406" s="30">
        <f>IFERROR((VLOOKUP($A2406,HeadJournal!$A$1:$L$890,COLUMN(HeadJournal!L$1),0)*($K2406+$L2406)/(SUMIF($A:$A,$A2406,$K:$K)+SUMIF($A:$A,$A2406,$L:$L)))/VLOOKUP($A2406,HeadJournal!$A$1:$L$890,COLUMN(HeadJournal!H$1),0),0)</f>
        <v>0.68592142140560586</v>
      </c>
      <c r="P2406" s="30">
        <f>IFERROR(SUM(K2406:O2406)*VLOOKUP($A2406,HeadJournal!$A$1:$L$890,COLUMN(HeadJournal!H$1),0),0)</f>
        <v>2398.1729588865105</v>
      </c>
      <c r="Q2406" s="29">
        <v>2000</v>
      </c>
      <c r="R2406" s="31">
        <v>45698</v>
      </c>
      <c r="S2406" s="31" t="s">
        <v>3121</v>
      </c>
      <c r="T2406" s="95" t="str">
        <f t="shared" si="190"/>
        <v>2025 02</v>
      </c>
      <c r="U2406" s="32">
        <f t="shared" si="187"/>
        <v>-398.17295888651051</v>
      </c>
      <c r="V2406" s="22">
        <f t="shared" si="188"/>
        <v>-0.16603179408351981</v>
      </c>
      <c r="X2406" s="33"/>
      <c r="Y2406" s="33"/>
    </row>
    <row r="2407" spans="1:25" x14ac:dyDescent="0.2">
      <c r="A2407" s="93" t="s">
        <v>1087</v>
      </c>
      <c r="B2407" s="94" t="str">
        <f>IFERROR(VLOOKUP($A2407,HeadJournal!$A$1:$NTR$890,COLUMN(HeadJournal!B$1),0),"")</f>
        <v>700000972885</v>
      </c>
      <c r="C2407" s="94" t="str">
        <f>IFERROR(VLOOKUP($A2407,HeadJournal!$A$1:$NTR$890,COLUMN(HeadJournal!C$1),0),"")</f>
        <v>iHerb_OA CZN6870</v>
      </c>
      <c r="D2407" s="125" t="str">
        <f>IFERROR(VLOOKUP($A2407,HeadJournal!$A$1:$NTR$890,COLUMN(HeadJournal!D$1),0),"")</f>
        <v>Доставлен</v>
      </c>
      <c r="E2407" s="95">
        <f>IFERROR(VLOOKUP($A2407,HeadJournal!$A$1:$NTR$890,COLUMN(HeadJournal!G$1),0),"")</f>
        <v>45225</v>
      </c>
      <c r="F2407" s="95" t="str">
        <f t="shared" si="189"/>
        <v>2023 10</v>
      </c>
      <c r="G2407" s="96" t="s">
        <v>5</v>
      </c>
      <c r="H2407" s="160" t="str">
        <f>RIGHT(Journal!$J2407,9)</f>
        <v>FBS-50070</v>
      </c>
      <c r="I2407" s="96" t="str">
        <f t="shared" si="191"/>
        <v>Futurebiotics</v>
      </c>
      <c r="J2407" s="97" t="s">
        <v>1088</v>
      </c>
      <c r="K2407" s="29">
        <v>15.52</v>
      </c>
      <c r="L2407" s="29">
        <v>-3.1</v>
      </c>
      <c r="M2407" s="30">
        <f>IFERROR(VLOOKUP($A2407,HeadJournal!$A$1:$J$890,COLUMN(HeadJournal!I$1),0)*($K2407+$L2407)/(SUMIF($A:$A,$A2407,$K:$K)+SUMIF($A:$A,$A2407,$L:$L)),0)</f>
        <v>-0.41009935760171318</v>
      </c>
      <c r="N2407" s="30">
        <f>IFERROR((VLOOKUP($A2407,HeadJournal!$A$1:$K$890,COLUMN(HeadJournal!K$1),0)-VLOOKUP($A2407,HeadJournal!$A$1:$K$890,COLUMN(HeadJournal!J$1),0))*($K2407+$L2407)/(SUMIF($A:$A,$A2407,$K:$K)+SUMIF($A:$A,$A2407,$L:$L)),0)</f>
        <v>3.0235343137097889E-15</v>
      </c>
      <c r="O2407" s="30">
        <f>IFERROR((VLOOKUP($A2407,HeadJournal!$A$1:$L$890,COLUMN(HeadJournal!L$1),0)*($K2407+$L2407)/(SUMIF($A:$A,$A2407,$K:$K)+SUMIF($A:$A,$A2407,$L:$L)))/VLOOKUP($A2407,HeadJournal!$A$1:$L$890,COLUMN(HeadJournal!H$1),0),0)</f>
        <v>0.38014922150190206</v>
      </c>
      <c r="P2407" s="30">
        <f>IFERROR(SUM(K2407:O2407)*VLOOKUP($A2407,HeadJournal!$A$1:$L$890,COLUMN(HeadJournal!H$1),0),0)</f>
        <v>1329.1079049250543</v>
      </c>
      <c r="Q2407" s="29">
        <v>2300</v>
      </c>
      <c r="R2407" s="31">
        <v>45268</v>
      </c>
      <c r="S2407" s="31" t="s">
        <v>3121</v>
      </c>
      <c r="T2407" s="95" t="str">
        <f t="shared" si="190"/>
        <v>2023 12</v>
      </c>
      <c r="U2407" s="32">
        <f t="shared" si="187"/>
        <v>970.8920950749457</v>
      </c>
      <c r="V2407" s="22">
        <f t="shared" si="188"/>
        <v>0.73048402727669604</v>
      </c>
      <c r="X2407" s="33"/>
      <c r="Y2407" s="33"/>
    </row>
    <row r="2408" spans="1:25" x14ac:dyDescent="0.2">
      <c r="A2408" s="93" t="s">
        <v>1087</v>
      </c>
      <c r="B2408" s="94" t="str">
        <f>IFERROR(VLOOKUP($A2408,HeadJournal!$A$1:$NTR$890,COLUMN(HeadJournal!B$1),0),"")</f>
        <v>700000972885</v>
      </c>
      <c r="C2408" s="94" t="str">
        <f>IFERROR(VLOOKUP($A2408,HeadJournal!$A$1:$NTR$890,COLUMN(HeadJournal!C$1),0),"")</f>
        <v>iHerb_OA CZN6870</v>
      </c>
      <c r="D2408" s="125" t="str">
        <f>IFERROR(VLOOKUP($A2408,HeadJournal!$A$1:$NTR$890,COLUMN(HeadJournal!D$1),0),"")</f>
        <v>Доставлен</v>
      </c>
      <c r="E2408" s="95">
        <f>IFERROR(VLOOKUP($A2408,HeadJournal!$A$1:$NTR$890,COLUMN(HeadJournal!G$1),0),"")</f>
        <v>45225</v>
      </c>
      <c r="F2408" s="95" t="str">
        <f t="shared" si="189"/>
        <v>2023 10</v>
      </c>
      <c r="G2408" s="96" t="s">
        <v>5</v>
      </c>
      <c r="H2408" s="160" t="str">
        <f>RIGHT(Journal!$J2408,9)</f>
        <v>CGN-02171</v>
      </c>
      <c r="I2408" s="96" t="str">
        <f t="shared" si="191"/>
        <v>California Gold Nutrition</v>
      </c>
      <c r="J2408" s="97" t="s">
        <v>1086</v>
      </c>
      <c r="K2408" s="29">
        <v>12.88</v>
      </c>
      <c r="L2408" s="29">
        <v>-6.44</v>
      </c>
      <c r="M2408" s="30">
        <f>IFERROR(VLOOKUP($A2408,HeadJournal!$A$1:$J$890,COLUMN(HeadJournal!I$1),0)*($K2408+$L2408)/(SUMIF($A:$A,$A2408,$K:$K)+SUMIF($A:$A,$A2408,$L:$L)),0)</f>
        <v>-0.21264411134903646</v>
      </c>
      <c r="N2408" s="30">
        <f>IFERROR((VLOOKUP($A2408,HeadJournal!$A$1:$K$890,COLUMN(HeadJournal!K$1),0)-VLOOKUP($A2408,HeadJournal!$A$1:$K$890,COLUMN(HeadJournal!J$1),0))*($K2408+$L2408)/(SUMIF($A:$A,$A2408,$K:$K)+SUMIF($A:$A,$A2408,$L:$L)),0)</f>
        <v>1.5677585330347054E-15</v>
      </c>
      <c r="O2408" s="30">
        <f>IFERROR((VLOOKUP($A2408,HeadJournal!$A$1:$L$890,COLUMN(HeadJournal!L$1),0)*($K2408+$L2408)/(SUMIF($A:$A,$A2408,$K:$K)+SUMIF($A:$A,$A2408,$L:$L)))/VLOOKUP($A2408,HeadJournal!$A$1:$L$890,COLUMN(HeadJournal!H$1),0),0)</f>
        <v>0.19711441114913439</v>
      </c>
      <c r="P2408" s="30">
        <f>IFERROR(SUM(K2408:O2408)*VLOOKUP($A2408,HeadJournal!$A$1:$L$890,COLUMN(HeadJournal!H$1),0),0)</f>
        <v>689.16706181299105</v>
      </c>
      <c r="Q2408" s="29"/>
      <c r="R2408" s="31"/>
      <c r="S2408" s="31"/>
      <c r="T2408" s="95" t="str">
        <f t="shared" si="190"/>
        <v/>
      </c>
      <c r="U2408" s="32">
        <f t="shared" si="187"/>
        <v>-689.16706181299105</v>
      </c>
      <c r="V2408" s="22" t="str">
        <f t="shared" si="188"/>
        <v/>
      </c>
      <c r="X2408" s="33"/>
      <c r="Y2408" s="33"/>
    </row>
    <row r="2409" spans="1:25" x14ac:dyDescent="0.2">
      <c r="A2409" s="93" t="s">
        <v>1087</v>
      </c>
      <c r="B2409" s="94" t="str">
        <f>IFERROR(VLOOKUP($A2409,HeadJournal!$A$1:$NTR$890,COLUMN(HeadJournal!B$1),0),"")</f>
        <v>700000972885</v>
      </c>
      <c r="C2409" s="94" t="str">
        <f>IFERROR(VLOOKUP($A2409,HeadJournal!$A$1:$NTR$890,COLUMN(HeadJournal!C$1),0),"")</f>
        <v>iHerb_OA CZN6870</v>
      </c>
      <c r="D2409" s="125" t="str">
        <f>IFERROR(VLOOKUP($A2409,HeadJournal!$A$1:$NTR$890,COLUMN(HeadJournal!D$1),0),"")</f>
        <v>Доставлен</v>
      </c>
      <c r="E2409" s="95">
        <f>IFERROR(VLOOKUP($A2409,HeadJournal!$A$1:$NTR$890,COLUMN(HeadJournal!G$1),0),"")</f>
        <v>45225</v>
      </c>
      <c r="F2409" s="95" t="str">
        <f t="shared" si="189"/>
        <v>2023 10</v>
      </c>
      <c r="G2409" s="96" t="s">
        <v>5</v>
      </c>
      <c r="H2409" s="160" t="str">
        <f>RIGHT(Journal!$J2409,9)</f>
        <v>SOR-04710</v>
      </c>
      <c r="I2409" s="96" t="str">
        <f t="shared" si="191"/>
        <v>Solaray</v>
      </c>
      <c r="J2409" s="97" t="s">
        <v>884</v>
      </c>
      <c r="K2409" s="29">
        <v>6.69</v>
      </c>
      <c r="L2409" s="29">
        <v>-1.335</v>
      </c>
      <c r="M2409" s="30">
        <f>IFERROR(VLOOKUP($A2409,HeadJournal!$A$1:$J$890,COLUMN(HeadJournal!I$1),0)*($K2409+$L2409)/(SUMIF($A:$A,$A2409,$K:$K)+SUMIF($A:$A,$A2409,$L:$L)),0)</f>
        <v>-0.17681820128479661</v>
      </c>
      <c r="N2409" s="30">
        <f>IFERROR((VLOOKUP($A2409,HeadJournal!$A$1:$K$890,COLUMN(HeadJournal!K$1),0)-VLOOKUP($A2409,HeadJournal!$A$1:$K$890,COLUMN(HeadJournal!J$1),0))*($K2409+$L2409)/(SUMIF($A:$A,$A2409,$K:$K)+SUMIF($A:$A,$A2409,$L:$L)),0)</f>
        <v>1.3036253019255975E-15</v>
      </c>
      <c r="O2409" s="30">
        <f>IFERROR((VLOOKUP($A2409,HeadJournal!$A$1:$L$890,COLUMN(HeadJournal!L$1),0)*($K2409+$L2409)/(SUMIF($A:$A,$A2409,$K:$K)+SUMIF($A:$A,$A2409,$L:$L)))/VLOOKUP($A2409,HeadJournal!$A$1:$L$890,COLUMN(HeadJournal!H$1),0),0)</f>
        <v>0.1639049179663998</v>
      </c>
      <c r="P2409" s="30">
        <f>IFERROR(SUM(K2409:O2409)*VLOOKUP($A2409,HeadJournal!$A$1:$L$890,COLUMN(HeadJournal!H$1),0),0)</f>
        <v>573.05739379015006</v>
      </c>
      <c r="Q2409" s="29">
        <v>1200</v>
      </c>
      <c r="R2409" s="31">
        <v>45258</v>
      </c>
      <c r="S2409" s="31" t="s">
        <v>3121</v>
      </c>
      <c r="T2409" s="95" t="str">
        <f t="shared" si="190"/>
        <v>2023 11</v>
      </c>
      <c r="U2409" s="32">
        <f t="shared" si="187"/>
        <v>626.94260620984994</v>
      </c>
      <c r="V2409" s="22">
        <f t="shared" si="188"/>
        <v>1.0940310918306244</v>
      </c>
      <c r="X2409" s="33"/>
      <c r="Y2409" s="33"/>
    </row>
    <row r="2410" spans="1:25" x14ac:dyDescent="0.2">
      <c r="A2410" s="93" t="s">
        <v>1087</v>
      </c>
      <c r="B2410" s="94" t="str">
        <f>IFERROR(VLOOKUP($A2410,HeadJournal!$A$1:$NTR$890,COLUMN(HeadJournal!B$1),0),"")</f>
        <v>700000972885</v>
      </c>
      <c r="C2410" s="94" t="str">
        <f>IFERROR(VLOOKUP($A2410,HeadJournal!$A$1:$NTR$890,COLUMN(HeadJournal!C$1),0),"")</f>
        <v>iHerb_OA CZN6870</v>
      </c>
      <c r="D2410" s="125" t="str">
        <f>IFERROR(VLOOKUP($A2410,HeadJournal!$A$1:$NTR$890,COLUMN(HeadJournal!D$1),0),"")</f>
        <v>Доставлен</v>
      </c>
      <c r="E2410" s="95">
        <f>IFERROR(VLOOKUP($A2410,HeadJournal!$A$1:$NTR$890,COLUMN(HeadJournal!G$1),0),"")</f>
        <v>45225</v>
      </c>
      <c r="F2410" s="95" t="str">
        <f t="shared" si="189"/>
        <v>2023 10</v>
      </c>
      <c r="G2410" s="96" t="s">
        <v>5</v>
      </c>
      <c r="H2410" s="160" t="str">
        <f>RIGHT(Journal!$J2410,9)</f>
        <v>SOR-04710</v>
      </c>
      <c r="I2410" s="96" t="str">
        <f t="shared" si="191"/>
        <v>Solaray</v>
      </c>
      <c r="J2410" s="97" t="s">
        <v>884</v>
      </c>
      <c r="K2410" s="29">
        <v>6.69</v>
      </c>
      <c r="L2410" s="29">
        <v>-1.335</v>
      </c>
      <c r="M2410" s="30">
        <f>IFERROR(VLOOKUP($A2410,HeadJournal!$A$1:$J$890,COLUMN(HeadJournal!I$1),0)*($K2410+$L2410)/(SUMIF($A:$A,$A2410,$K:$K)+SUMIF($A:$A,$A2410,$L:$L)),0)</f>
        <v>-0.17681820128479661</v>
      </c>
      <c r="N2410" s="30">
        <f>IFERROR((VLOOKUP($A2410,HeadJournal!$A$1:$K$890,COLUMN(HeadJournal!K$1),0)-VLOOKUP($A2410,HeadJournal!$A$1:$K$890,COLUMN(HeadJournal!J$1),0))*($K2410+$L2410)/(SUMIF($A:$A,$A2410,$K:$K)+SUMIF($A:$A,$A2410,$L:$L)),0)</f>
        <v>1.3036253019255975E-15</v>
      </c>
      <c r="O2410" s="30">
        <f>IFERROR((VLOOKUP($A2410,HeadJournal!$A$1:$L$890,COLUMN(HeadJournal!L$1),0)*($K2410+$L2410)/(SUMIF($A:$A,$A2410,$K:$K)+SUMIF($A:$A,$A2410,$L:$L)))/VLOOKUP($A2410,HeadJournal!$A$1:$L$890,COLUMN(HeadJournal!H$1),0),0)</f>
        <v>0.1639049179663998</v>
      </c>
      <c r="P2410" s="30">
        <f>IFERROR(SUM(K2410:O2410)*VLOOKUP($A2410,HeadJournal!$A$1:$L$890,COLUMN(HeadJournal!H$1),0),0)</f>
        <v>573.05739379015006</v>
      </c>
      <c r="Q2410" s="29">
        <v>1200</v>
      </c>
      <c r="R2410" s="31">
        <v>45265</v>
      </c>
      <c r="S2410" s="31" t="s">
        <v>3121</v>
      </c>
      <c r="T2410" s="95" t="str">
        <f t="shared" si="190"/>
        <v>2023 12</v>
      </c>
      <c r="U2410" s="32">
        <f t="shared" si="187"/>
        <v>626.94260620984994</v>
      </c>
      <c r="V2410" s="22">
        <f t="shared" si="188"/>
        <v>1.0940310918306244</v>
      </c>
      <c r="X2410" s="33"/>
      <c r="Y2410" s="33"/>
    </row>
    <row r="2411" spans="1:25" x14ac:dyDescent="0.2">
      <c r="A2411" s="93" t="s">
        <v>1087</v>
      </c>
      <c r="B2411" s="94" t="str">
        <f>IFERROR(VLOOKUP($A2411,HeadJournal!$A$1:$NTR$890,COLUMN(HeadJournal!B$1),0),"")</f>
        <v>700000972885</v>
      </c>
      <c r="C2411" s="94" t="str">
        <f>IFERROR(VLOOKUP($A2411,HeadJournal!$A$1:$NTR$890,COLUMN(HeadJournal!C$1),0),"")</f>
        <v>iHerb_OA CZN6870</v>
      </c>
      <c r="D2411" s="125" t="str">
        <f>IFERROR(VLOOKUP($A2411,HeadJournal!$A$1:$NTR$890,COLUMN(HeadJournal!D$1),0),"")</f>
        <v>Доставлен</v>
      </c>
      <c r="E2411" s="95">
        <f>IFERROR(VLOOKUP($A2411,HeadJournal!$A$1:$NTR$890,COLUMN(HeadJournal!G$1),0),"")</f>
        <v>45225</v>
      </c>
      <c r="F2411" s="95" t="str">
        <f t="shared" si="189"/>
        <v>2023 10</v>
      </c>
      <c r="G2411" s="96" t="s">
        <v>5</v>
      </c>
      <c r="H2411" s="160" t="str">
        <f>RIGHT(Journal!$J2411,9)</f>
        <v>NFS-04950</v>
      </c>
      <c r="I2411" s="96" t="str">
        <f t="shared" si="191"/>
        <v>Natural Factors</v>
      </c>
      <c r="J2411" s="97" t="s">
        <v>796</v>
      </c>
      <c r="K2411" s="29">
        <v>18.72</v>
      </c>
      <c r="L2411" s="29">
        <v>-3.74</v>
      </c>
      <c r="M2411" s="30">
        <f>IFERROR(VLOOKUP($A2411,HeadJournal!$A$1:$J$890,COLUMN(HeadJournal!I$1),0)*($K2411+$L2411)/(SUMIF($A:$A,$A2411,$K:$K)+SUMIF($A:$A,$A2411,$L:$L)),0)</f>
        <v>-0.49462869379014995</v>
      </c>
      <c r="N2411" s="30">
        <f>IFERROR((VLOOKUP($A2411,HeadJournal!$A$1:$K$890,COLUMN(HeadJournal!K$1),0)-VLOOKUP($A2411,HeadJournal!$A$1:$K$890,COLUMN(HeadJournal!J$1),0))*($K2411+$L2411)/(SUMIF($A:$A,$A2411,$K:$K)+SUMIF($A:$A,$A2411,$L:$L)),0)</f>
        <v>3.6467426746676837E-15</v>
      </c>
      <c r="O2411" s="30">
        <f>IFERROR((VLOOKUP($A2411,HeadJournal!$A$1:$L$890,COLUMN(HeadJournal!L$1),0)*($K2411+$L2411)/(SUMIF($A:$A,$A2411,$K:$K)+SUMIF($A:$A,$A2411,$L:$L)))/VLOOKUP($A2411,HeadJournal!$A$1:$L$890,COLUMN(HeadJournal!H$1),0),0)</f>
        <v>0.45850526071646464</v>
      </c>
      <c r="P2411" s="30">
        <f>IFERROR(SUM(K2411:O2411)*VLOOKUP($A2411,HeadJournal!$A$1:$L$890,COLUMN(HeadJournal!H$1),0),0)</f>
        <v>1603.0625133476094</v>
      </c>
      <c r="Q2411" s="29">
        <v>2400</v>
      </c>
      <c r="R2411" s="31">
        <v>45273</v>
      </c>
      <c r="S2411" s="31" t="s">
        <v>3121</v>
      </c>
      <c r="T2411" s="95" t="str">
        <f t="shared" si="190"/>
        <v>2023 12</v>
      </c>
      <c r="U2411" s="32">
        <f t="shared" si="187"/>
        <v>796.93748665239059</v>
      </c>
      <c r="V2411" s="22">
        <f t="shared" si="188"/>
        <v>0.49713437873871735</v>
      </c>
      <c r="X2411" s="33"/>
      <c r="Y2411" s="33"/>
    </row>
    <row r="2412" spans="1:25" x14ac:dyDescent="0.2">
      <c r="A2412" s="93" t="s">
        <v>1087</v>
      </c>
      <c r="B2412" s="94" t="str">
        <f>IFERROR(VLOOKUP($A2412,HeadJournal!$A$1:$NTR$890,COLUMN(HeadJournal!B$1),0),"")</f>
        <v>700000972885</v>
      </c>
      <c r="C2412" s="94" t="str">
        <f>IFERROR(VLOOKUP($A2412,HeadJournal!$A$1:$NTR$890,COLUMN(HeadJournal!C$1),0),"")</f>
        <v>iHerb_OA CZN6870</v>
      </c>
      <c r="D2412" s="125" t="str">
        <f>IFERROR(VLOOKUP($A2412,HeadJournal!$A$1:$NTR$890,COLUMN(HeadJournal!D$1),0),"")</f>
        <v>Доставлен</v>
      </c>
      <c r="E2412" s="95">
        <f>IFERROR(VLOOKUP($A2412,HeadJournal!$A$1:$NTR$890,COLUMN(HeadJournal!G$1),0),"")</f>
        <v>45225</v>
      </c>
      <c r="F2412" s="95" t="str">
        <f t="shared" si="189"/>
        <v>2023 10</v>
      </c>
      <c r="G2412" s="96" t="s">
        <v>5</v>
      </c>
      <c r="H2412" s="161" t="s">
        <v>3009</v>
      </c>
      <c r="I2412" s="97" t="s">
        <v>2005</v>
      </c>
      <c r="J2412" s="97" t="s">
        <v>3010</v>
      </c>
      <c r="K2412" s="29">
        <v>16.329999999999998</v>
      </c>
      <c r="L2412" s="29">
        <v>-3.26</v>
      </c>
      <c r="M2412" s="30">
        <f>IFERROR(VLOOKUP($A2412,HeadJournal!$A$1:$J$890,COLUMN(HeadJournal!I$1),0)*($K2412+$L2412)/(SUMIF($A:$A,$A2412,$K:$K)+SUMIF($A:$A,$A2412,$L:$L)),0)</f>
        <v>-0.43156188436830839</v>
      </c>
      <c r="N2412" s="30">
        <f>IFERROR((VLOOKUP($A2412,HeadJournal!$A$1:$K$890,COLUMN(HeadJournal!K$1),0)-VLOOKUP($A2412,HeadJournal!$A$1:$K$890,COLUMN(HeadJournal!J$1),0))*($K2412+$L2412)/(SUMIF($A:$A,$A2412,$K:$K)+SUMIF($A:$A,$A2412,$L:$L)),0)</f>
        <v>3.181770811609254E-15</v>
      </c>
      <c r="O2412" s="30">
        <f>IFERROR((VLOOKUP($A2412,HeadJournal!$A$1:$L$890,COLUMN(HeadJournal!L$1),0)*($K2412+$L2412)/(SUMIF($A:$A,$A2412,$K:$K)+SUMIF($A:$A,$A2412,$L:$L)))/VLOOKUP($A2412,HeadJournal!$A$1:$L$890,COLUMN(HeadJournal!H$1),0),0)</f>
        <v>0.40004430958372456</v>
      </c>
      <c r="P2412" s="30">
        <f>IFERROR(SUM(K2412:O2412)*VLOOKUP($A2412,HeadJournal!$A$1:$L$890,COLUMN(HeadJournal!H$1),0),0)</f>
        <v>1398.6666922198435</v>
      </c>
      <c r="Q2412" s="29">
        <v>2300</v>
      </c>
      <c r="R2412" s="31">
        <v>45274</v>
      </c>
      <c r="S2412" s="31" t="s">
        <v>3121</v>
      </c>
      <c r="T2412" s="95" t="str">
        <f t="shared" si="190"/>
        <v>2023 12</v>
      </c>
      <c r="U2412" s="32">
        <f t="shared" si="187"/>
        <v>901.33330778015647</v>
      </c>
      <c r="V2412" s="22">
        <f t="shared" si="188"/>
        <v>0.6444232302047872</v>
      </c>
      <c r="X2412" s="33"/>
      <c r="Y2412" s="33"/>
    </row>
    <row r="2413" spans="1:25" x14ac:dyDescent="0.2">
      <c r="A2413" s="93" t="s">
        <v>1087</v>
      </c>
      <c r="B2413" s="94" t="str">
        <f>IFERROR(VLOOKUP($A2413,HeadJournal!$A$1:$NTR$890,COLUMN(HeadJournal!B$1),0),"")</f>
        <v>700000972885</v>
      </c>
      <c r="C2413" s="94" t="str">
        <f>IFERROR(VLOOKUP($A2413,HeadJournal!$A$1:$NTR$890,COLUMN(HeadJournal!C$1),0),"")</f>
        <v>iHerb_OA CZN6870</v>
      </c>
      <c r="D2413" s="125" t="str">
        <f>IFERROR(VLOOKUP($A2413,HeadJournal!$A$1:$NTR$890,COLUMN(HeadJournal!D$1),0),"")</f>
        <v>Доставлен</v>
      </c>
      <c r="E2413" s="95">
        <f>IFERROR(VLOOKUP($A2413,HeadJournal!$A$1:$NTR$890,COLUMN(HeadJournal!G$1),0),"")</f>
        <v>45225</v>
      </c>
      <c r="F2413" s="95" t="str">
        <f t="shared" si="189"/>
        <v>2023 10</v>
      </c>
      <c r="G2413" s="96" t="s">
        <v>5</v>
      </c>
      <c r="H2413" s="161" t="s">
        <v>2800</v>
      </c>
      <c r="I2413" s="97" t="s">
        <v>2207</v>
      </c>
      <c r="J2413" s="97" t="s">
        <v>2801</v>
      </c>
      <c r="K2413" s="29">
        <v>24.53</v>
      </c>
      <c r="L2413" s="29">
        <v>-4.9000000000000004</v>
      </c>
      <c r="M2413" s="30">
        <f>IFERROR(VLOOKUP($A2413,HeadJournal!$A$1:$J$890,COLUMN(HeadJournal!I$1),0)*($K2413+$L2413)/(SUMIF($A:$A,$A2413,$K:$K)+SUMIF($A:$A,$A2413,$L:$L)),0)</f>
        <v>-0.648168308351178</v>
      </c>
      <c r="N2413" s="30">
        <f>IFERROR((VLOOKUP($A2413,HeadJournal!$A$1:$K$890,COLUMN(HeadJournal!K$1),0)-VLOOKUP($A2413,HeadJournal!$A$1:$K$890,COLUMN(HeadJournal!J$1),0))*($K2413+$L2413)/(SUMIF($A:$A,$A2413,$K:$K)+SUMIF($A:$A,$A2413,$L:$L)),0)</f>
        <v>4.7787422365638619E-15</v>
      </c>
      <c r="O2413" s="30">
        <f>IFERROR((VLOOKUP($A2413,HeadJournal!$A$1:$L$890,COLUMN(HeadJournal!L$1),0)*($K2413+$L2413)/(SUMIF($A:$A,$A2413,$K:$K)+SUMIF($A:$A,$A2413,$L:$L)))/VLOOKUP($A2413,HeadJournal!$A$1:$L$890,COLUMN(HeadJournal!H$1),0),0)</f>
        <v>0.60083166007104172</v>
      </c>
      <c r="P2413" s="30">
        <f>IFERROR(SUM(K2413:O2413)*VLOOKUP($A2413,HeadJournal!$A$1:$L$890,COLUMN(HeadJournal!H$1),0),0)</f>
        <v>2100.6753763026418</v>
      </c>
      <c r="Q2413" s="29">
        <v>3100</v>
      </c>
      <c r="R2413" s="31">
        <v>45595</v>
      </c>
      <c r="S2413" s="31" t="s">
        <v>3121</v>
      </c>
      <c r="T2413" s="95" t="str">
        <f t="shared" si="190"/>
        <v>2024 10</v>
      </c>
      <c r="U2413" s="32">
        <f t="shared" si="187"/>
        <v>999.32462369735822</v>
      </c>
      <c r="V2413" s="22">
        <f t="shared" si="188"/>
        <v>0.47571587450901159</v>
      </c>
      <c r="X2413" s="33"/>
      <c r="Y2413" s="33"/>
    </row>
    <row r="2414" spans="1:25" x14ac:dyDescent="0.2">
      <c r="A2414" s="93" t="s">
        <v>1087</v>
      </c>
      <c r="B2414" s="94" t="str">
        <f>IFERROR(VLOOKUP($A2414,HeadJournal!$A$1:$NTR$890,COLUMN(HeadJournal!B$1),0),"")</f>
        <v>700000972885</v>
      </c>
      <c r="C2414" s="94" t="str">
        <f>IFERROR(VLOOKUP($A2414,HeadJournal!$A$1:$NTR$890,COLUMN(HeadJournal!C$1),0),"")</f>
        <v>iHerb_OA CZN6870</v>
      </c>
      <c r="D2414" s="125" t="str">
        <f>IFERROR(VLOOKUP($A2414,HeadJournal!$A$1:$NTR$890,COLUMN(HeadJournal!D$1),0),"")</f>
        <v>Доставлен</v>
      </c>
      <c r="E2414" s="95">
        <f>IFERROR(VLOOKUP($A2414,HeadJournal!$A$1:$NTR$890,COLUMN(HeadJournal!G$1),0),"")</f>
        <v>45225</v>
      </c>
      <c r="F2414" s="95" t="str">
        <f t="shared" si="189"/>
        <v>2023 10</v>
      </c>
      <c r="G2414" s="96" t="s">
        <v>5</v>
      </c>
      <c r="H2414" s="161" t="s">
        <v>2127</v>
      </c>
      <c r="I2414" s="97" t="s">
        <v>2125</v>
      </c>
      <c r="J2414" s="97" t="s">
        <v>2128</v>
      </c>
      <c r="K2414" s="29">
        <v>9.25</v>
      </c>
      <c r="L2414" s="29">
        <v>-1.8466666666666667</v>
      </c>
      <c r="M2414" s="30">
        <f>IFERROR(VLOOKUP($A2414,HeadJournal!$A$1:$J$890,COLUMN(HeadJournal!I$1),0)*($K2414+$L2414)/(SUMIF($A:$A,$A2414,$K:$K)+SUMIF($A:$A,$A2414,$L:$L)),0)</f>
        <v>-0.24445267665952897</v>
      </c>
      <c r="N2414" s="30">
        <f>IFERROR((VLOOKUP($A2414,HeadJournal!$A$1:$K$890,COLUMN(HeadJournal!K$1),0)-VLOOKUP($A2414,HeadJournal!$A$1:$K$890,COLUMN(HeadJournal!J$1),0))*($K2414+$L2414)/(SUMIF($A:$A,$A2414,$K:$K)+SUMIF($A:$A,$A2414,$L:$L)),0)</f>
        <v>1.8022731376139133E-15</v>
      </c>
      <c r="O2414" s="30">
        <f>IFERROR((VLOOKUP($A2414,HeadJournal!$A$1:$L$890,COLUMN(HeadJournal!L$1),0)*($K2414+$L2414)/(SUMIF($A:$A,$A2414,$K:$K)+SUMIF($A:$A,$A2414,$L:$L)))/VLOOKUP($A2414,HeadJournal!$A$1:$L$890,COLUMN(HeadJournal!H$1),0),0)</f>
        <v>0.22659995194732269</v>
      </c>
      <c r="P2414" s="30">
        <f>IFERROR(SUM(K2414:O2414)*VLOOKUP($A2414,HeadJournal!$A$1:$L$890,COLUMN(HeadJournal!H$1),0),0)</f>
        <v>792.25675170116608</v>
      </c>
      <c r="Q2414" s="29">
        <v>1500</v>
      </c>
      <c r="R2414" s="31">
        <v>45419</v>
      </c>
      <c r="S2414" s="31" t="s">
        <v>3121</v>
      </c>
      <c r="T2414" s="95" t="str">
        <f t="shared" si="190"/>
        <v>2024 05</v>
      </c>
      <c r="U2414" s="32">
        <f t="shared" si="187"/>
        <v>707.74324829883392</v>
      </c>
      <c r="V2414" s="22">
        <f t="shared" si="188"/>
        <v>0.89332561291417045</v>
      </c>
      <c r="X2414" s="33"/>
      <c r="Y2414" s="33"/>
    </row>
    <row r="2415" spans="1:25" x14ac:dyDescent="0.2">
      <c r="A2415" s="93" t="s">
        <v>1087</v>
      </c>
      <c r="B2415" s="94" t="str">
        <f>IFERROR(VLOOKUP($A2415,HeadJournal!$A$1:$NTR$890,COLUMN(HeadJournal!B$1),0),"")</f>
        <v>700000972885</v>
      </c>
      <c r="C2415" s="94" t="str">
        <f>IFERROR(VLOOKUP($A2415,HeadJournal!$A$1:$NTR$890,COLUMN(HeadJournal!C$1),0),"")</f>
        <v>iHerb_OA CZN6870</v>
      </c>
      <c r="D2415" s="125" t="str">
        <f>IFERROR(VLOOKUP($A2415,HeadJournal!$A$1:$NTR$890,COLUMN(HeadJournal!D$1),0),"")</f>
        <v>Доставлен</v>
      </c>
      <c r="E2415" s="95">
        <f>IFERROR(VLOOKUP($A2415,HeadJournal!$A$1:$NTR$890,COLUMN(HeadJournal!G$1),0),"")</f>
        <v>45225</v>
      </c>
      <c r="F2415" s="95" t="str">
        <f t="shared" si="189"/>
        <v>2023 10</v>
      </c>
      <c r="G2415" s="96" t="s">
        <v>5</v>
      </c>
      <c r="H2415" s="161" t="s">
        <v>2127</v>
      </c>
      <c r="I2415" s="97" t="s">
        <v>2125</v>
      </c>
      <c r="J2415" s="97" t="s">
        <v>2128</v>
      </c>
      <c r="K2415" s="29">
        <v>9.25</v>
      </c>
      <c r="L2415" s="29">
        <v>-1.8466666666666667</v>
      </c>
      <c r="M2415" s="30">
        <f>IFERROR(VLOOKUP($A2415,HeadJournal!$A$1:$J$890,COLUMN(HeadJournal!I$1),0)*($K2415+$L2415)/(SUMIF($A:$A,$A2415,$K:$K)+SUMIF($A:$A,$A2415,$L:$L)),0)</f>
        <v>-0.24445267665952897</v>
      </c>
      <c r="N2415" s="30">
        <f>IFERROR((VLOOKUP($A2415,HeadJournal!$A$1:$K$890,COLUMN(HeadJournal!K$1),0)-VLOOKUP($A2415,HeadJournal!$A$1:$K$890,COLUMN(HeadJournal!J$1),0))*($K2415+$L2415)/(SUMIF($A:$A,$A2415,$K:$K)+SUMIF($A:$A,$A2415,$L:$L)),0)</f>
        <v>1.8022731376139133E-15</v>
      </c>
      <c r="O2415" s="30">
        <f>IFERROR((VLOOKUP($A2415,HeadJournal!$A$1:$L$890,COLUMN(HeadJournal!L$1),0)*($K2415+$L2415)/(SUMIF($A:$A,$A2415,$K:$K)+SUMIF($A:$A,$A2415,$L:$L)))/VLOOKUP($A2415,HeadJournal!$A$1:$L$890,COLUMN(HeadJournal!H$1),0),0)</f>
        <v>0.22659995194732269</v>
      </c>
      <c r="P2415" s="30">
        <f>IFERROR(SUM(K2415:O2415)*VLOOKUP($A2415,HeadJournal!$A$1:$L$890,COLUMN(HeadJournal!H$1),0),0)</f>
        <v>792.25675170116608</v>
      </c>
      <c r="Q2415" s="29">
        <v>1600</v>
      </c>
      <c r="R2415" s="31">
        <v>45535</v>
      </c>
      <c r="S2415" s="31" t="s">
        <v>3121</v>
      </c>
      <c r="T2415" s="95" t="str">
        <f t="shared" si="190"/>
        <v>2024 08</v>
      </c>
      <c r="U2415" s="32">
        <f t="shared" si="187"/>
        <v>807.74324829883392</v>
      </c>
      <c r="V2415" s="22">
        <f t="shared" si="188"/>
        <v>1.0195473204417818</v>
      </c>
      <c r="X2415" s="33"/>
      <c r="Y2415" s="33"/>
    </row>
    <row r="2416" spans="1:25" x14ac:dyDescent="0.2">
      <c r="A2416" s="93" t="s">
        <v>1087</v>
      </c>
      <c r="B2416" s="94" t="str">
        <f>IFERROR(VLOOKUP($A2416,HeadJournal!$A$1:$NTR$890,COLUMN(HeadJournal!B$1),0),"")</f>
        <v>700000972885</v>
      </c>
      <c r="C2416" s="94" t="str">
        <f>IFERROR(VLOOKUP($A2416,HeadJournal!$A$1:$NTR$890,COLUMN(HeadJournal!C$1),0),"")</f>
        <v>iHerb_OA CZN6870</v>
      </c>
      <c r="D2416" s="125" t="str">
        <f>IFERROR(VLOOKUP($A2416,HeadJournal!$A$1:$NTR$890,COLUMN(HeadJournal!D$1),0),"")</f>
        <v>Доставлен</v>
      </c>
      <c r="E2416" s="95">
        <f>IFERROR(VLOOKUP($A2416,HeadJournal!$A$1:$NTR$890,COLUMN(HeadJournal!G$1),0),"")</f>
        <v>45225</v>
      </c>
      <c r="F2416" s="95" t="str">
        <f t="shared" si="189"/>
        <v>2023 10</v>
      </c>
      <c r="G2416" s="96" t="s">
        <v>5</v>
      </c>
      <c r="H2416" s="161" t="s">
        <v>2127</v>
      </c>
      <c r="I2416" s="97" t="s">
        <v>2125</v>
      </c>
      <c r="J2416" s="97" t="s">
        <v>2128</v>
      </c>
      <c r="K2416" s="29">
        <v>9.25</v>
      </c>
      <c r="L2416" s="29">
        <v>-1.8466666666666667</v>
      </c>
      <c r="M2416" s="30">
        <f>IFERROR(VLOOKUP($A2416,HeadJournal!$A$1:$J$890,COLUMN(HeadJournal!I$1),0)*($K2416+$L2416)/(SUMIF($A:$A,$A2416,$K:$K)+SUMIF($A:$A,$A2416,$L:$L)),0)</f>
        <v>-0.24445267665952897</v>
      </c>
      <c r="N2416" s="30">
        <f>IFERROR((VLOOKUP($A2416,HeadJournal!$A$1:$K$890,COLUMN(HeadJournal!K$1),0)-VLOOKUP($A2416,HeadJournal!$A$1:$K$890,COLUMN(HeadJournal!J$1),0))*($K2416+$L2416)/(SUMIF($A:$A,$A2416,$K:$K)+SUMIF($A:$A,$A2416,$L:$L)),0)</f>
        <v>1.8022731376139133E-15</v>
      </c>
      <c r="O2416" s="30">
        <f>IFERROR((VLOOKUP($A2416,HeadJournal!$A$1:$L$890,COLUMN(HeadJournal!L$1),0)*($K2416+$L2416)/(SUMIF($A:$A,$A2416,$K:$K)+SUMIF($A:$A,$A2416,$L:$L)))/VLOOKUP($A2416,HeadJournal!$A$1:$L$890,COLUMN(HeadJournal!H$1),0),0)</f>
        <v>0.22659995194732269</v>
      </c>
      <c r="P2416" s="30">
        <f>IFERROR(SUM(K2416:O2416)*VLOOKUP($A2416,HeadJournal!$A$1:$L$890,COLUMN(HeadJournal!H$1),0),0)</f>
        <v>792.25675170116608</v>
      </c>
      <c r="Q2416" s="29">
        <v>1600</v>
      </c>
      <c r="R2416" s="31">
        <v>45573</v>
      </c>
      <c r="S2416" s="31" t="s">
        <v>3121</v>
      </c>
      <c r="T2416" s="95" t="str">
        <f t="shared" si="190"/>
        <v>2024 10</v>
      </c>
      <c r="U2416" s="32">
        <f t="shared" si="187"/>
        <v>807.74324829883392</v>
      </c>
      <c r="V2416" s="22">
        <f t="shared" si="188"/>
        <v>1.0195473204417818</v>
      </c>
      <c r="X2416" s="33"/>
      <c r="Y2416" s="33"/>
    </row>
    <row r="2417" spans="1:25" x14ac:dyDescent="0.2">
      <c r="A2417" s="93" t="s">
        <v>1087</v>
      </c>
      <c r="B2417" s="94" t="str">
        <f>IFERROR(VLOOKUP($A2417,HeadJournal!$A$1:$NTR$890,COLUMN(HeadJournal!B$1),0),"")</f>
        <v>700000972885</v>
      </c>
      <c r="C2417" s="94" t="str">
        <f>IFERROR(VLOOKUP($A2417,HeadJournal!$A$1:$NTR$890,COLUMN(HeadJournal!C$1),0),"")</f>
        <v>iHerb_OA CZN6870</v>
      </c>
      <c r="D2417" s="125" t="str">
        <f>IFERROR(VLOOKUP($A2417,HeadJournal!$A$1:$NTR$890,COLUMN(HeadJournal!D$1),0),"")</f>
        <v>Доставлен</v>
      </c>
      <c r="E2417" s="95">
        <f>IFERROR(VLOOKUP($A2417,HeadJournal!$A$1:$NTR$890,COLUMN(HeadJournal!G$1),0),"")</f>
        <v>45225</v>
      </c>
      <c r="F2417" s="95" t="str">
        <f t="shared" si="189"/>
        <v>2023 10</v>
      </c>
      <c r="G2417" s="96" t="s">
        <v>5</v>
      </c>
      <c r="H2417" s="160" t="str">
        <f>RIGHT(Journal!$J2417,9)</f>
        <v>NBC-01050</v>
      </c>
      <c r="I2417" s="96" t="str">
        <f t="shared" si="191"/>
        <v>NutriBiotic</v>
      </c>
      <c r="J2417" s="97" t="s">
        <v>1045</v>
      </c>
      <c r="K2417" s="29">
        <v>9.0299999999999994</v>
      </c>
      <c r="L2417" s="29">
        <v>-1.8049999999999999</v>
      </c>
      <c r="M2417" s="30">
        <f>IFERROR(VLOOKUP($A2417,HeadJournal!$A$1:$J$890,COLUMN(HeadJournal!I$1),0)*($K2417+$L2417)/(SUMIF($A:$A,$A2417,$K:$K)+SUMIF($A:$A,$A2417,$L:$L)),0)</f>
        <v>-0.23856423982869385</v>
      </c>
      <c r="N2417" s="30">
        <f>IFERROR((VLOOKUP($A2417,HeadJournal!$A$1:$K$890,COLUMN(HeadJournal!K$1),0)-VLOOKUP($A2417,HeadJournal!$A$1:$K$890,COLUMN(HeadJournal!J$1),0))*($K2417+$L2417)/(SUMIF($A:$A,$A2417,$K:$K)+SUMIF($A:$A,$A2417,$L:$L)),0)</f>
        <v>1.7588595343440598E-15</v>
      </c>
      <c r="O2417" s="30">
        <f>IFERROR((VLOOKUP($A2417,HeadJournal!$A$1:$L$890,COLUMN(HeadJournal!L$1),0)*($K2417+$L2417)/(SUMIF($A:$A,$A2417,$K:$K)+SUMIF($A:$A,$A2417,$L:$L)))/VLOOKUP($A2417,HeadJournal!$A$1:$L$890,COLUMN(HeadJournal!H$1),0),0)</f>
        <v>0.22114155598641239</v>
      </c>
      <c r="P2417" s="30">
        <f>IFERROR(SUM(K2417:O2417)*VLOOKUP($A2417,HeadJournal!$A$1:$L$890,COLUMN(HeadJournal!H$1),0),0)</f>
        <v>773.17267416131358</v>
      </c>
      <c r="Q2417" s="29">
        <v>1600</v>
      </c>
      <c r="R2417" s="31">
        <v>45264</v>
      </c>
      <c r="S2417" s="31" t="s">
        <v>3121</v>
      </c>
      <c r="T2417" s="95" t="str">
        <f t="shared" si="190"/>
        <v>2023 12</v>
      </c>
      <c r="U2417" s="32">
        <f t="shared" si="187"/>
        <v>826.82732583868642</v>
      </c>
      <c r="V2417" s="22">
        <f t="shared" si="188"/>
        <v>1.0693954319267347</v>
      </c>
      <c r="X2417" s="33"/>
      <c r="Y2417" s="33"/>
    </row>
    <row r="2418" spans="1:25" x14ac:dyDescent="0.2">
      <c r="A2418" s="93" t="s">
        <v>1087</v>
      </c>
      <c r="B2418" s="94" t="str">
        <f>IFERROR(VLOOKUP($A2418,HeadJournal!$A$1:$NTR$890,COLUMN(HeadJournal!B$1),0),"")</f>
        <v>700000972885</v>
      </c>
      <c r="C2418" s="94" t="str">
        <f>IFERROR(VLOOKUP($A2418,HeadJournal!$A$1:$NTR$890,COLUMN(HeadJournal!C$1),0),"")</f>
        <v>iHerb_OA CZN6870</v>
      </c>
      <c r="D2418" s="125" t="str">
        <f>IFERROR(VLOOKUP($A2418,HeadJournal!$A$1:$NTR$890,COLUMN(HeadJournal!D$1),0),"")</f>
        <v>Доставлен</v>
      </c>
      <c r="E2418" s="95">
        <f>IFERROR(VLOOKUP($A2418,HeadJournal!$A$1:$NTR$890,COLUMN(HeadJournal!G$1),0),"")</f>
        <v>45225</v>
      </c>
      <c r="F2418" s="95" t="str">
        <f t="shared" si="189"/>
        <v>2023 10</v>
      </c>
      <c r="G2418" s="96" t="s">
        <v>5</v>
      </c>
      <c r="H2418" s="160" t="str">
        <f>RIGHT(Journal!$J2418,9)</f>
        <v>NBC-01050</v>
      </c>
      <c r="I2418" s="96" t="str">
        <f t="shared" si="191"/>
        <v>NutriBiotic</v>
      </c>
      <c r="J2418" s="97" t="s">
        <v>1045</v>
      </c>
      <c r="K2418" s="29">
        <v>9.0299999999999994</v>
      </c>
      <c r="L2418" s="29">
        <v>-1.8049999999999999</v>
      </c>
      <c r="M2418" s="30">
        <f>IFERROR(VLOOKUP($A2418,HeadJournal!$A$1:$J$890,COLUMN(HeadJournal!I$1),0)*($K2418+$L2418)/(SUMIF($A:$A,$A2418,$K:$K)+SUMIF($A:$A,$A2418,$L:$L)),0)</f>
        <v>-0.23856423982869385</v>
      </c>
      <c r="N2418" s="30">
        <f>IFERROR((VLOOKUP($A2418,HeadJournal!$A$1:$K$890,COLUMN(HeadJournal!K$1),0)-VLOOKUP($A2418,HeadJournal!$A$1:$K$890,COLUMN(HeadJournal!J$1),0))*($K2418+$L2418)/(SUMIF($A:$A,$A2418,$K:$K)+SUMIF($A:$A,$A2418,$L:$L)),0)</f>
        <v>1.7588595343440598E-15</v>
      </c>
      <c r="O2418" s="30">
        <f>IFERROR((VLOOKUP($A2418,HeadJournal!$A$1:$L$890,COLUMN(HeadJournal!L$1),0)*($K2418+$L2418)/(SUMIF($A:$A,$A2418,$K:$K)+SUMIF($A:$A,$A2418,$L:$L)))/VLOOKUP($A2418,HeadJournal!$A$1:$L$890,COLUMN(HeadJournal!H$1),0),0)</f>
        <v>0.22114155598641239</v>
      </c>
      <c r="P2418" s="30">
        <f>IFERROR(SUM(K2418:O2418)*VLOOKUP($A2418,HeadJournal!$A$1:$L$890,COLUMN(HeadJournal!H$1),0),0)</f>
        <v>773.17267416131358</v>
      </c>
      <c r="Q2418" s="29">
        <v>1600</v>
      </c>
      <c r="R2418" s="31">
        <v>45290</v>
      </c>
      <c r="S2418" s="31" t="s">
        <v>3121</v>
      </c>
      <c r="T2418" s="95" t="str">
        <f t="shared" si="190"/>
        <v>2023 12</v>
      </c>
      <c r="U2418" s="32">
        <f t="shared" si="187"/>
        <v>826.82732583868642</v>
      </c>
      <c r="V2418" s="22">
        <f t="shared" si="188"/>
        <v>1.0693954319267347</v>
      </c>
      <c r="X2418" s="33"/>
      <c r="Y2418" s="33"/>
    </row>
    <row r="2419" spans="1:25" x14ac:dyDescent="0.2">
      <c r="A2419" s="93" t="s">
        <v>1087</v>
      </c>
      <c r="B2419" s="94" t="str">
        <f>IFERROR(VLOOKUP($A2419,HeadJournal!$A$1:$NTR$890,COLUMN(HeadJournal!B$1),0),"")</f>
        <v>700000972885</v>
      </c>
      <c r="C2419" s="94" t="str">
        <f>IFERROR(VLOOKUP($A2419,HeadJournal!$A$1:$NTR$890,COLUMN(HeadJournal!C$1),0),"")</f>
        <v>iHerb_OA CZN6870</v>
      </c>
      <c r="D2419" s="125" t="str">
        <f>IFERROR(VLOOKUP($A2419,HeadJournal!$A$1:$NTR$890,COLUMN(HeadJournal!D$1),0),"")</f>
        <v>Доставлен</v>
      </c>
      <c r="E2419" s="95">
        <f>IFERROR(VLOOKUP($A2419,HeadJournal!$A$1:$NTR$890,COLUMN(HeadJournal!G$1),0),"")</f>
        <v>45225</v>
      </c>
      <c r="F2419" s="95" t="str">
        <f t="shared" si="189"/>
        <v>2023 10</v>
      </c>
      <c r="G2419" s="96" t="s">
        <v>5</v>
      </c>
      <c r="H2419" s="161" t="s">
        <v>2089</v>
      </c>
      <c r="I2419" s="97" t="s">
        <v>2005</v>
      </c>
      <c r="J2419" s="97" t="s">
        <v>3781</v>
      </c>
      <c r="K2419" s="29">
        <v>23</v>
      </c>
      <c r="L2419" s="29">
        <v>-4.5949999999999998</v>
      </c>
      <c r="M2419" s="30">
        <f>IFERROR(VLOOKUP($A2419,HeadJournal!$A$1:$J$890,COLUMN(HeadJournal!I$1),0)*($K2419+$L2419)/(SUMIF($A:$A,$A2419,$K:$K)+SUMIF($A:$A,$A2419,$L:$L)),0)</f>
        <v>-0.60771970021413302</v>
      </c>
      <c r="N2419" s="30">
        <f>IFERROR((VLOOKUP($A2419,HeadJournal!$A$1:$K$890,COLUMN(HeadJournal!K$1),0)-VLOOKUP($A2419,HeadJournal!$A$1:$K$890,COLUMN(HeadJournal!J$1),0))*($K2419+$L2419)/(SUMIF($A:$A,$A2419,$K:$K)+SUMIF($A:$A,$A2419,$L:$L)),0)</f>
        <v>4.4805272982148685E-15</v>
      </c>
      <c r="O2419" s="30">
        <f>IFERROR((VLOOKUP($A2419,HeadJournal!$A$1:$L$890,COLUMN(HeadJournal!L$1),0)*($K2419+$L2419)/(SUMIF($A:$A,$A2419,$K:$K)+SUMIF($A:$A,$A2419,$L:$L)))/VLOOKUP($A2419,HeadJournal!$A$1:$L$890,COLUMN(HeadJournal!H$1),0),0)</f>
        <v>0.56333707099376062</v>
      </c>
      <c r="P2419" s="30">
        <f>IFERROR(SUM(K2419:O2419)*VLOOKUP($A2419,HeadJournal!$A$1:$L$890,COLUMN(HeadJournal!H$1),0),0)</f>
        <v>1969.5838156316925</v>
      </c>
      <c r="Q2419" s="29">
        <v>2900</v>
      </c>
      <c r="R2419" s="31">
        <v>45286</v>
      </c>
      <c r="S2419" s="31" t="s">
        <v>3121</v>
      </c>
      <c r="T2419" s="95" t="str">
        <f t="shared" si="190"/>
        <v>2023 12</v>
      </c>
      <c r="U2419" s="32">
        <f t="shared" si="187"/>
        <v>930.41618436830754</v>
      </c>
      <c r="V2419" s="22">
        <f t="shared" si="188"/>
        <v>0.47239227748726242</v>
      </c>
      <c r="X2419" s="33"/>
      <c r="Y2419" s="33"/>
    </row>
    <row r="2420" spans="1:25" x14ac:dyDescent="0.2">
      <c r="A2420" s="93" t="s">
        <v>1087</v>
      </c>
      <c r="B2420" s="94" t="str">
        <f>IFERROR(VLOOKUP($A2420,HeadJournal!$A$1:$NTR$890,COLUMN(HeadJournal!B$1),0),"")</f>
        <v>700000972885</v>
      </c>
      <c r="C2420" s="94" t="str">
        <f>IFERROR(VLOOKUP($A2420,HeadJournal!$A$1:$NTR$890,COLUMN(HeadJournal!C$1),0),"")</f>
        <v>iHerb_OA CZN6870</v>
      </c>
      <c r="D2420" s="125" t="str">
        <f>IFERROR(VLOOKUP($A2420,HeadJournal!$A$1:$NTR$890,COLUMN(HeadJournal!D$1),0),"")</f>
        <v>Доставлен</v>
      </c>
      <c r="E2420" s="95">
        <f>IFERROR(VLOOKUP($A2420,HeadJournal!$A$1:$NTR$890,COLUMN(HeadJournal!G$1),0),"")</f>
        <v>45225</v>
      </c>
      <c r="F2420" s="95" t="str">
        <f t="shared" si="189"/>
        <v>2023 10</v>
      </c>
      <c r="G2420" s="96" t="s">
        <v>5</v>
      </c>
      <c r="H2420" s="161" t="s">
        <v>2089</v>
      </c>
      <c r="I2420" s="97" t="s">
        <v>2005</v>
      </c>
      <c r="J2420" s="97" t="s">
        <v>3781</v>
      </c>
      <c r="K2420" s="29">
        <v>23</v>
      </c>
      <c r="L2420" s="29">
        <v>-4.5949999999999998</v>
      </c>
      <c r="M2420" s="30">
        <f>IFERROR(VLOOKUP($A2420,HeadJournal!$A$1:$J$890,COLUMN(HeadJournal!I$1),0)*($K2420+$L2420)/(SUMIF($A:$A,$A2420,$K:$K)+SUMIF($A:$A,$A2420,$L:$L)),0)</f>
        <v>-0.60771970021413302</v>
      </c>
      <c r="N2420" s="30">
        <f>IFERROR((VLOOKUP($A2420,HeadJournal!$A$1:$K$890,COLUMN(HeadJournal!K$1),0)-VLOOKUP($A2420,HeadJournal!$A$1:$K$890,COLUMN(HeadJournal!J$1),0))*($K2420+$L2420)/(SUMIF($A:$A,$A2420,$K:$K)+SUMIF($A:$A,$A2420,$L:$L)),0)</f>
        <v>4.4805272982148685E-15</v>
      </c>
      <c r="O2420" s="30">
        <f>IFERROR((VLOOKUP($A2420,HeadJournal!$A$1:$L$890,COLUMN(HeadJournal!L$1),0)*($K2420+$L2420)/(SUMIF($A:$A,$A2420,$K:$K)+SUMIF($A:$A,$A2420,$L:$L)))/VLOOKUP($A2420,HeadJournal!$A$1:$L$890,COLUMN(HeadJournal!H$1),0),0)</f>
        <v>0.56333707099376062</v>
      </c>
      <c r="P2420" s="30">
        <f>IFERROR(SUM(K2420:O2420)*VLOOKUP($A2420,HeadJournal!$A$1:$L$890,COLUMN(HeadJournal!H$1),0),0)</f>
        <v>1969.5838156316925</v>
      </c>
      <c r="Q2420" s="29">
        <v>2900</v>
      </c>
      <c r="R2420" s="31">
        <v>45296</v>
      </c>
      <c r="S2420" s="31" t="s">
        <v>3121</v>
      </c>
      <c r="T2420" s="95" t="str">
        <f t="shared" si="190"/>
        <v>2024 01</v>
      </c>
      <c r="U2420" s="32">
        <f t="shared" si="187"/>
        <v>930.41618436830754</v>
      </c>
      <c r="V2420" s="22">
        <f t="shared" si="188"/>
        <v>0.47239227748726242</v>
      </c>
      <c r="X2420" s="33"/>
      <c r="Y2420" s="33"/>
    </row>
    <row r="2421" spans="1:25" x14ac:dyDescent="0.2">
      <c r="A2421" s="93" t="s">
        <v>1087</v>
      </c>
      <c r="B2421" s="94" t="str">
        <f>IFERROR(VLOOKUP($A2421,HeadJournal!$A$1:$NTR$890,COLUMN(HeadJournal!B$1),0),"")</f>
        <v>700000972885</v>
      </c>
      <c r="C2421" s="94" t="str">
        <f>IFERROR(VLOOKUP($A2421,HeadJournal!$A$1:$NTR$890,COLUMN(HeadJournal!C$1),0),"")</f>
        <v>iHerb_OA CZN6870</v>
      </c>
      <c r="D2421" s="125" t="str">
        <f>IFERROR(VLOOKUP($A2421,HeadJournal!$A$1:$NTR$890,COLUMN(HeadJournal!D$1),0),"")</f>
        <v>Доставлен</v>
      </c>
      <c r="E2421" s="95">
        <f>IFERROR(VLOOKUP($A2421,HeadJournal!$A$1:$NTR$890,COLUMN(HeadJournal!G$1),0),"")</f>
        <v>45225</v>
      </c>
      <c r="F2421" s="95" t="str">
        <f t="shared" si="189"/>
        <v>2023 10</v>
      </c>
      <c r="G2421" s="96" t="s">
        <v>5</v>
      </c>
      <c r="H2421" s="160" t="str">
        <f>RIGHT(Journal!$J2421,9)</f>
        <v>LEX-23166</v>
      </c>
      <c r="I2421" s="96" t="str">
        <f t="shared" si="191"/>
        <v>Life Extension</v>
      </c>
      <c r="J2421" s="97" t="s">
        <v>42</v>
      </c>
      <c r="K2421" s="29">
        <v>11.77</v>
      </c>
      <c r="L2421" s="29">
        <v>-2.35</v>
      </c>
      <c r="M2421" s="30">
        <f>IFERROR(VLOOKUP($A2421,HeadJournal!$A$1:$J$890,COLUMN(HeadJournal!I$1),0)*($K2421+$L2421)/(SUMIF($A:$A,$A2421,$K:$K)+SUMIF($A:$A,$A2421,$L:$L)),0)</f>
        <v>-0.31104154175588872</v>
      </c>
      <c r="N2421" s="30">
        <f>IFERROR((VLOOKUP($A2421,HeadJournal!$A$1:$K$890,COLUMN(HeadJournal!K$1),0)-VLOOKUP($A2421,HeadJournal!$A$1:$K$890,COLUMN(HeadJournal!J$1),0))*($K2421+$L2421)/(SUMIF($A:$A,$A2421,$K:$K)+SUMIF($A:$A,$A2421,$L:$L)),0)</f>
        <v>2.2932120157122555E-15</v>
      </c>
      <c r="O2421" s="30">
        <f>IFERROR((VLOOKUP($A2421,HeadJournal!$A$1:$L$890,COLUMN(HeadJournal!L$1),0)*($K2421+$L2421)/(SUMIF($A:$A,$A2421,$K:$K)+SUMIF($A:$A,$A2421,$L:$L)))/VLOOKUP($A2421,HeadJournal!$A$1:$L$890,COLUMN(HeadJournal!H$1),0),0)</f>
        <v>0.28832573804733636</v>
      </c>
      <c r="P2421" s="30">
        <f>IFERROR(SUM(K2421:O2421)*VLOOKUP($A2421,HeadJournal!$A$1:$L$890,COLUMN(HeadJournal!H$1),0),0)</f>
        <v>1008.0673481798717</v>
      </c>
      <c r="Q2421" s="29">
        <v>1700</v>
      </c>
      <c r="R2421" s="31">
        <v>45271</v>
      </c>
      <c r="S2421" s="31" t="s">
        <v>3121</v>
      </c>
      <c r="T2421" s="95" t="str">
        <f t="shared" si="190"/>
        <v>2023 12</v>
      </c>
      <c r="U2421" s="32">
        <f t="shared" si="187"/>
        <v>691.93265182012829</v>
      </c>
      <c r="V2421" s="22">
        <f t="shared" si="188"/>
        <v>0.68639526225053882</v>
      </c>
      <c r="X2421" s="33"/>
      <c r="Y2421" s="33"/>
    </row>
    <row r="2422" spans="1:25" x14ac:dyDescent="0.2">
      <c r="A2422" s="93" t="s">
        <v>1089</v>
      </c>
      <c r="B2422" s="94">
        <f>IFERROR(VLOOKUP($A2422,HeadJournal!$A$1:$NTR$890,COLUMN(HeadJournal!B$1),0),"")</f>
        <v>0</v>
      </c>
      <c r="C2422" s="94" t="str">
        <f>IFERROR(VLOOKUP($A2422,HeadJournal!$A$1:$NTR$890,COLUMN(HeadJournal!C$1),0),"")</f>
        <v>OZON_OA</v>
      </c>
      <c r="D2422" s="125" t="str">
        <f>IFERROR(VLOOKUP($A2422,HeadJournal!$A$1:$NTR$890,COLUMN(HeadJournal!D$1),0),"")</f>
        <v>Доставлен</v>
      </c>
      <c r="E2422" s="95">
        <f>IFERROR(VLOOKUP($A2422,HeadJournal!$A$1:$NTR$890,COLUMN(HeadJournal!G$1),0),"")</f>
        <v>45228</v>
      </c>
      <c r="F2422" s="95" t="str">
        <f t="shared" si="189"/>
        <v>2023 10</v>
      </c>
      <c r="G2422" s="96" t="s">
        <v>5</v>
      </c>
      <c r="H2422" s="160" t="str">
        <f>RIGHT(Journal!$J2422,9)</f>
        <v>070098908</v>
      </c>
      <c r="I2422" s="96" t="str">
        <f t="shared" si="191"/>
        <v>SOUL WAY</v>
      </c>
      <c r="J2422" s="97" t="s">
        <v>1090</v>
      </c>
      <c r="K2422" s="29">
        <v>1086</v>
      </c>
      <c r="L2422" s="29"/>
      <c r="M2422" s="30">
        <f>IFERROR(VLOOKUP($A2422,HeadJournal!$A$1:$J$890,COLUMN(HeadJournal!I$1),0)*($K2422+$L2422)/(SUMIF($A:$A,$A2422,$K:$K)+SUMIF($A:$A,$A2422,$L:$L)),0)</f>
        <v>0</v>
      </c>
      <c r="N2422" s="30">
        <f>IFERROR((VLOOKUP($A2422,HeadJournal!$A$1:$K$890,COLUMN(HeadJournal!K$1),0)-VLOOKUP($A2422,HeadJournal!$A$1:$K$890,COLUMN(HeadJournal!J$1),0))*($K2422+$L2422)/(SUMIF($A:$A,$A2422,$K:$K)+SUMIF($A:$A,$A2422,$L:$L)),0)</f>
        <v>0</v>
      </c>
      <c r="O2422" s="30">
        <f>IFERROR((VLOOKUP($A2422,HeadJournal!$A$1:$L$890,COLUMN(HeadJournal!L$1),0)*($K2422+$L2422)/(SUMIF($A:$A,$A2422,$K:$K)+SUMIF($A:$A,$A2422,$L:$L)))/VLOOKUP($A2422,HeadJournal!$A$1:$L$890,COLUMN(HeadJournal!H$1),0),0)</f>
        <v>98.815832193014046</v>
      </c>
      <c r="P2422" s="30">
        <f>IFERROR(SUM(K2422:O2422)*VLOOKUP($A2422,HeadJournal!$A$1:$L$890,COLUMN(HeadJournal!H$1),0),0)</f>
        <v>1184.8158321930141</v>
      </c>
      <c r="Q2422" s="29">
        <v>1700</v>
      </c>
      <c r="R2422" s="31">
        <v>45342</v>
      </c>
      <c r="S2422" s="31" t="s">
        <v>3121</v>
      </c>
      <c r="T2422" s="95" t="str">
        <f t="shared" si="190"/>
        <v>2024 02</v>
      </c>
      <c r="U2422" s="32">
        <f t="shared" si="187"/>
        <v>515.1841678069859</v>
      </c>
      <c r="V2422" s="22">
        <f t="shared" si="188"/>
        <v>0.43482215025217447</v>
      </c>
      <c r="X2422" s="33"/>
      <c r="Y2422" s="33"/>
    </row>
    <row r="2423" spans="1:25" x14ac:dyDescent="0.2">
      <c r="A2423" s="93" t="s">
        <v>1089</v>
      </c>
      <c r="B2423" s="94">
        <f>IFERROR(VLOOKUP($A2423,HeadJournal!$A$1:$NTR$890,COLUMN(HeadJournal!B$1),0),"")</f>
        <v>0</v>
      </c>
      <c r="C2423" s="94" t="str">
        <f>IFERROR(VLOOKUP($A2423,HeadJournal!$A$1:$NTR$890,COLUMN(HeadJournal!C$1),0),"")</f>
        <v>OZON_OA</v>
      </c>
      <c r="D2423" s="125" t="str">
        <f>IFERROR(VLOOKUP($A2423,HeadJournal!$A$1:$NTR$890,COLUMN(HeadJournal!D$1),0),"")</f>
        <v>Доставлен</v>
      </c>
      <c r="E2423" s="95">
        <f>IFERROR(VLOOKUP($A2423,HeadJournal!$A$1:$NTR$890,COLUMN(HeadJournal!G$1),0),"")</f>
        <v>45228</v>
      </c>
      <c r="F2423" s="95" t="str">
        <f t="shared" si="189"/>
        <v>2023 10</v>
      </c>
      <c r="G2423" s="96" t="s">
        <v>6</v>
      </c>
      <c r="H2423" s="175" t="s">
        <v>1948</v>
      </c>
      <c r="I2423" s="176" t="s">
        <v>560</v>
      </c>
      <c r="J2423" s="97" t="s">
        <v>1947</v>
      </c>
      <c r="K2423" s="29">
        <v>1060</v>
      </c>
      <c r="L2423" s="29"/>
      <c r="M2423" s="30">
        <f>IFERROR(VLOOKUP($A2423,HeadJournal!$A$1:$J$890,COLUMN(HeadJournal!I$1),0)*($K2423+$L2423)/(SUMIF($A:$A,$A2423,$K:$K)+SUMIF($A:$A,$A2423,$L:$L)),0)</f>
        <v>0</v>
      </c>
      <c r="N2423" s="30">
        <f>IFERROR((VLOOKUP($A2423,HeadJournal!$A$1:$K$890,COLUMN(HeadJournal!K$1),0)-VLOOKUP($A2423,HeadJournal!$A$1:$K$890,COLUMN(HeadJournal!J$1),0))*($K2423+$L2423)/(SUMIF($A:$A,$A2423,$K:$K)+SUMIF($A:$A,$A2423,$L:$L)),0)</f>
        <v>0</v>
      </c>
      <c r="O2423" s="30">
        <f>IFERROR((VLOOKUP($A2423,HeadJournal!$A$1:$L$890,COLUMN(HeadJournal!L$1),0)*($K2423+$L2423)/(SUMIF($A:$A,$A2423,$K:$K)+SUMIF($A:$A,$A2423,$L:$L)))/VLOOKUP($A2423,HeadJournal!$A$1:$L$890,COLUMN(HeadJournal!H$1),0),0)</f>
        <v>96.450075621173937</v>
      </c>
      <c r="P2423" s="30">
        <f>IFERROR(SUM(K2423:O2423)*VLOOKUP($A2423,HeadJournal!$A$1:$L$890,COLUMN(HeadJournal!H$1),0),0)</f>
        <v>1156.4500756211739</v>
      </c>
      <c r="Q2423" s="29">
        <v>1700</v>
      </c>
      <c r="R2423" s="31">
        <v>45465</v>
      </c>
      <c r="S2423" s="31" t="s">
        <v>3121</v>
      </c>
      <c r="T2423" s="95" t="str">
        <f t="shared" si="190"/>
        <v>2024 06</v>
      </c>
      <c r="U2423" s="32">
        <f t="shared" si="187"/>
        <v>543.54992437882606</v>
      </c>
      <c r="V2423" s="22">
        <f t="shared" si="188"/>
        <v>0.47001590110741653</v>
      </c>
      <c r="X2423" s="33"/>
      <c r="Y2423" s="33"/>
    </row>
    <row r="2424" spans="1:25" x14ac:dyDescent="0.2">
      <c r="A2424" s="93" t="s">
        <v>1089</v>
      </c>
      <c r="B2424" s="94">
        <f>IFERROR(VLOOKUP($A2424,HeadJournal!$A$1:$NTR$890,COLUMN(HeadJournal!B$1),0),"")</f>
        <v>0</v>
      </c>
      <c r="C2424" s="94" t="str">
        <f>IFERROR(VLOOKUP($A2424,HeadJournal!$A$1:$NTR$890,COLUMN(HeadJournal!C$1),0),"")</f>
        <v>OZON_OA</v>
      </c>
      <c r="D2424" s="125" t="str">
        <f>IFERROR(VLOOKUP($A2424,HeadJournal!$A$1:$NTR$890,COLUMN(HeadJournal!D$1),0),"")</f>
        <v>Доставлен</v>
      </c>
      <c r="E2424" s="95">
        <f>IFERROR(VLOOKUP($A2424,HeadJournal!$A$1:$NTR$890,COLUMN(HeadJournal!G$1),0),"")</f>
        <v>45228</v>
      </c>
      <c r="F2424" s="95" t="str">
        <f t="shared" si="189"/>
        <v>2023 10</v>
      </c>
      <c r="G2424" s="96" t="s">
        <v>7</v>
      </c>
      <c r="H2424" s="160" t="str">
        <f>RIGHT(Journal!$J2424,9)</f>
        <v>724807304</v>
      </c>
      <c r="I2424" s="96" t="str">
        <f t="shared" si="191"/>
        <v>XINOXIN</v>
      </c>
      <c r="J2424" s="97" t="s">
        <v>3619</v>
      </c>
      <c r="K2424" s="29">
        <v>10647</v>
      </c>
      <c r="L2424" s="29"/>
      <c r="M2424" s="30">
        <f>IFERROR(VLOOKUP($A2424,HeadJournal!$A$1:$J$890,COLUMN(HeadJournal!I$1),0)*($K2424+$L2424)/(SUMIF($A:$A,$A2424,$K:$K)+SUMIF($A:$A,$A2424,$L:$L)),0)</f>
        <v>0</v>
      </c>
      <c r="N2424" s="30">
        <f>IFERROR((VLOOKUP($A2424,HeadJournal!$A$1:$K$890,COLUMN(HeadJournal!K$1),0)-VLOOKUP($A2424,HeadJournal!$A$1:$K$890,COLUMN(HeadJournal!J$1),0))*($K2424+$L2424)/(SUMIF($A:$A,$A2424,$K:$K)+SUMIF($A:$A,$A2424,$L:$L)),0)</f>
        <v>0</v>
      </c>
      <c r="O2424" s="30">
        <f>IFERROR((VLOOKUP($A2424,HeadJournal!$A$1:$L$890,COLUMN(HeadJournal!L$1),0)*($K2424+$L2424)/(SUMIF($A:$A,$A2424,$K:$K)+SUMIF($A:$A,$A2424,$L:$L)))/VLOOKUP($A2424,HeadJournal!$A$1:$L$890,COLUMN(HeadJournal!H$1),0),0)</f>
        <v>968.77731616852725</v>
      </c>
      <c r="P2424" s="30">
        <f>IFERROR(SUM(K2424:O2424)*VLOOKUP($A2424,HeadJournal!$A$1:$L$890,COLUMN(HeadJournal!H$1),0),0)</f>
        <v>11615.777316168527</v>
      </c>
      <c r="Q2424" s="29">
        <v>12500</v>
      </c>
      <c r="R2424" s="31">
        <v>45234</v>
      </c>
      <c r="S2424" s="31" t="s">
        <v>3121</v>
      </c>
      <c r="T2424" s="95" t="str">
        <f t="shared" si="190"/>
        <v>2023 11</v>
      </c>
      <c r="U2424" s="32">
        <f t="shared" si="187"/>
        <v>884.22268383147275</v>
      </c>
      <c r="V2424" s="22">
        <f t="shared" si="188"/>
        <v>7.6122558117628775E-2</v>
      </c>
      <c r="X2424" s="33"/>
      <c r="Y2424" s="33"/>
    </row>
    <row r="2425" spans="1:25" x14ac:dyDescent="0.2">
      <c r="A2425" s="93" t="s">
        <v>1089</v>
      </c>
      <c r="B2425" s="94">
        <f>IFERROR(VLOOKUP($A2425,HeadJournal!$A$1:$NTR$890,COLUMN(HeadJournal!B$1),0),"")</f>
        <v>0</v>
      </c>
      <c r="C2425" s="94" t="str">
        <f>IFERROR(VLOOKUP($A2425,HeadJournal!$A$1:$NTR$890,COLUMN(HeadJournal!C$1),0),"")</f>
        <v>OZON_OA</v>
      </c>
      <c r="D2425" s="125" t="str">
        <f>IFERROR(VLOOKUP($A2425,HeadJournal!$A$1:$NTR$890,COLUMN(HeadJournal!D$1),0),"")</f>
        <v>Доставлен</v>
      </c>
      <c r="E2425" s="95">
        <f>IFERROR(VLOOKUP($A2425,HeadJournal!$A$1:$NTR$890,COLUMN(HeadJournal!G$1),0),"")</f>
        <v>45228</v>
      </c>
      <c r="F2425" s="95" t="str">
        <f t="shared" si="189"/>
        <v>2023 10</v>
      </c>
      <c r="G2425" s="96" t="s">
        <v>7</v>
      </c>
      <c r="H2425" s="160" t="str">
        <f>RIGHT(Journal!$J2425,9)</f>
        <v>724807304</v>
      </c>
      <c r="I2425" s="96" t="str">
        <f t="shared" si="191"/>
        <v>XINOXIN</v>
      </c>
      <c r="J2425" s="97" t="s">
        <v>3619</v>
      </c>
      <c r="K2425" s="29">
        <v>10647</v>
      </c>
      <c r="L2425" s="29"/>
      <c r="M2425" s="30">
        <f>IFERROR(VLOOKUP($A2425,HeadJournal!$A$1:$J$890,COLUMN(HeadJournal!I$1),0)*($K2425+$L2425)/(SUMIF($A:$A,$A2425,$K:$K)+SUMIF($A:$A,$A2425,$L:$L)),0)</f>
        <v>0</v>
      </c>
      <c r="N2425" s="30">
        <f>IFERROR((VLOOKUP($A2425,HeadJournal!$A$1:$K$890,COLUMN(HeadJournal!K$1),0)-VLOOKUP($A2425,HeadJournal!$A$1:$K$890,COLUMN(HeadJournal!J$1),0))*($K2425+$L2425)/(SUMIF($A:$A,$A2425,$K:$K)+SUMIF($A:$A,$A2425,$L:$L)),0)</f>
        <v>0</v>
      </c>
      <c r="O2425" s="30">
        <f>IFERROR((VLOOKUP($A2425,HeadJournal!$A$1:$L$890,COLUMN(HeadJournal!L$1),0)*($K2425+$L2425)/(SUMIF($A:$A,$A2425,$K:$K)+SUMIF($A:$A,$A2425,$L:$L)))/VLOOKUP($A2425,HeadJournal!$A$1:$L$890,COLUMN(HeadJournal!H$1),0),0)</f>
        <v>968.77731616852725</v>
      </c>
      <c r="P2425" s="30">
        <f>IFERROR(SUM(K2425:O2425)*VLOOKUP($A2425,HeadJournal!$A$1:$L$890,COLUMN(HeadJournal!H$1),0),0)</f>
        <v>11615.777316168527</v>
      </c>
      <c r="Q2425" s="29">
        <v>12500</v>
      </c>
      <c r="R2425" s="31">
        <v>45234</v>
      </c>
      <c r="S2425" s="31" t="s">
        <v>3121</v>
      </c>
      <c r="T2425" s="95" t="str">
        <f t="shared" si="190"/>
        <v>2023 11</v>
      </c>
      <c r="U2425" s="32">
        <f t="shared" si="187"/>
        <v>884.22268383147275</v>
      </c>
      <c r="V2425" s="22">
        <f t="shared" si="188"/>
        <v>7.6122558117628775E-2</v>
      </c>
      <c r="X2425" s="33"/>
      <c r="Y2425" s="33"/>
    </row>
    <row r="2426" spans="1:25" x14ac:dyDescent="0.2">
      <c r="A2426" s="93" t="s">
        <v>1089</v>
      </c>
      <c r="B2426" s="94">
        <f>IFERROR(VLOOKUP($A2426,HeadJournal!$A$1:$NTR$890,COLUMN(HeadJournal!B$1),0),"")</f>
        <v>0</v>
      </c>
      <c r="C2426" s="94" t="str">
        <f>IFERROR(VLOOKUP($A2426,HeadJournal!$A$1:$NTR$890,COLUMN(HeadJournal!C$1),0),"")</f>
        <v>OZON_OA</v>
      </c>
      <c r="D2426" s="125" t="str">
        <f>IFERROR(VLOOKUP($A2426,HeadJournal!$A$1:$NTR$890,COLUMN(HeadJournal!D$1),0),"")</f>
        <v>Доставлен</v>
      </c>
      <c r="E2426" s="95">
        <f>IFERROR(VLOOKUP($A2426,HeadJournal!$A$1:$NTR$890,COLUMN(HeadJournal!G$1),0),"")</f>
        <v>45228</v>
      </c>
      <c r="F2426" s="95" t="str">
        <f t="shared" si="189"/>
        <v>2023 10</v>
      </c>
      <c r="G2426" s="96" t="s">
        <v>5</v>
      </c>
      <c r="H2426" s="161" t="s">
        <v>2565</v>
      </c>
      <c r="I2426" s="97" t="s">
        <v>2052</v>
      </c>
      <c r="J2426" s="97" t="s">
        <v>3829</v>
      </c>
      <c r="K2426" s="29">
        <v>2165</v>
      </c>
      <c r="L2426" s="29"/>
      <c r="M2426" s="30">
        <f>IFERROR(VLOOKUP($A2426,HeadJournal!$A$1:$J$890,COLUMN(HeadJournal!I$1),0)*($K2426+$L2426)/(SUMIF($A:$A,$A2426,$K:$K)+SUMIF($A:$A,$A2426,$L:$L)),0)</f>
        <v>0</v>
      </c>
      <c r="N2426" s="30">
        <f>IFERROR((VLOOKUP($A2426,HeadJournal!$A$1:$K$890,COLUMN(HeadJournal!K$1),0)-VLOOKUP($A2426,HeadJournal!$A$1:$K$890,COLUMN(HeadJournal!J$1),0))*($K2426+$L2426)/(SUMIF($A:$A,$A2426,$K:$K)+SUMIF($A:$A,$A2426,$L:$L)),0)</f>
        <v>0</v>
      </c>
      <c r="O2426" s="30">
        <f>IFERROR((VLOOKUP($A2426,HeadJournal!$A$1:$L$890,COLUMN(HeadJournal!L$1),0)*($K2426+$L2426)/(SUMIF($A:$A,$A2426,$K:$K)+SUMIF($A:$A,$A2426,$L:$L)))/VLOOKUP($A2426,HeadJournal!$A$1:$L$890,COLUMN(HeadJournal!H$1),0),0)</f>
        <v>196.99472992437882</v>
      </c>
      <c r="P2426" s="30">
        <f>IFERROR(SUM(K2426:O2426)*VLOOKUP($A2426,HeadJournal!$A$1:$L$890,COLUMN(HeadJournal!H$1),0),0)</f>
        <v>2361.9947299243786</v>
      </c>
      <c r="Q2426" s="29">
        <v>3300</v>
      </c>
      <c r="R2426" s="31">
        <v>45237</v>
      </c>
      <c r="S2426" s="31" t="s">
        <v>3121</v>
      </c>
      <c r="T2426" s="95" t="str">
        <f t="shared" si="190"/>
        <v>2023 11</v>
      </c>
      <c r="U2426" s="32">
        <f t="shared" si="187"/>
        <v>938.00527007562141</v>
      </c>
      <c r="V2426" s="22">
        <f t="shared" si="188"/>
        <v>0.39712420107967494</v>
      </c>
      <c r="X2426" s="33"/>
      <c r="Y2426" s="33"/>
    </row>
    <row r="2427" spans="1:25" x14ac:dyDescent="0.2">
      <c r="A2427" s="93" t="s">
        <v>1089</v>
      </c>
      <c r="B2427" s="94">
        <f>IFERROR(VLOOKUP($A2427,HeadJournal!$A$1:$NTR$890,COLUMN(HeadJournal!B$1),0),"")</f>
        <v>0</v>
      </c>
      <c r="C2427" s="94" t="str">
        <f>IFERROR(VLOOKUP($A2427,HeadJournal!$A$1:$NTR$890,COLUMN(HeadJournal!C$1),0),"")</f>
        <v>OZON_OA</v>
      </c>
      <c r="D2427" s="125" t="str">
        <f>IFERROR(VLOOKUP($A2427,HeadJournal!$A$1:$NTR$890,COLUMN(HeadJournal!D$1),0),"")</f>
        <v>Доставлен</v>
      </c>
      <c r="E2427" s="95">
        <f>IFERROR(VLOOKUP($A2427,HeadJournal!$A$1:$NTR$890,COLUMN(HeadJournal!G$1),0),"")</f>
        <v>45228</v>
      </c>
      <c r="F2427" s="95" t="str">
        <f t="shared" si="189"/>
        <v>2023 10</v>
      </c>
      <c r="G2427" s="96" t="s">
        <v>5</v>
      </c>
      <c r="H2427" s="161" t="s">
        <v>2565</v>
      </c>
      <c r="I2427" s="97" t="s">
        <v>2052</v>
      </c>
      <c r="J2427" s="97" t="s">
        <v>3829</v>
      </c>
      <c r="K2427" s="29">
        <v>2165</v>
      </c>
      <c r="L2427" s="29"/>
      <c r="M2427" s="30">
        <f>IFERROR(VLOOKUP($A2427,HeadJournal!$A$1:$J$890,COLUMN(HeadJournal!I$1),0)*($K2427+$L2427)/(SUMIF($A:$A,$A2427,$K:$K)+SUMIF($A:$A,$A2427,$L:$L)),0)</f>
        <v>0</v>
      </c>
      <c r="N2427" s="30">
        <f>IFERROR((VLOOKUP($A2427,HeadJournal!$A$1:$K$890,COLUMN(HeadJournal!K$1),0)-VLOOKUP($A2427,HeadJournal!$A$1:$K$890,COLUMN(HeadJournal!J$1),0))*($K2427+$L2427)/(SUMIF($A:$A,$A2427,$K:$K)+SUMIF($A:$A,$A2427,$L:$L)),0)</f>
        <v>0</v>
      </c>
      <c r="O2427" s="30">
        <f>IFERROR((VLOOKUP($A2427,HeadJournal!$A$1:$L$890,COLUMN(HeadJournal!L$1),0)*($K2427+$L2427)/(SUMIF($A:$A,$A2427,$K:$K)+SUMIF($A:$A,$A2427,$L:$L)))/VLOOKUP($A2427,HeadJournal!$A$1:$L$890,COLUMN(HeadJournal!H$1),0),0)</f>
        <v>196.99472992437882</v>
      </c>
      <c r="P2427" s="30">
        <f>IFERROR(SUM(K2427:O2427)*VLOOKUP($A2427,HeadJournal!$A$1:$L$890,COLUMN(HeadJournal!H$1),0),0)</f>
        <v>2361.9947299243786</v>
      </c>
      <c r="Q2427" s="29">
        <v>3300</v>
      </c>
      <c r="R2427" s="31">
        <v>45315</v>
      </c>
      <c r="S2427" s="31" t="s">
        <v>3121</v>
      </c>
      <c r="T2427" s="95" t="str">
        <f t="shared" si="190"/>
        <v>2024 01</v>
      </c>
      <c r="U2427" s="32">
        <f t="shared" si="187"/>
        <v>938.00527007562141</v>
      </c>
      <c r="V2427" s="22">
        <f t="shared" si="188"/>
        <v>0.39712420107967494</v>
      </c>
      <c r="X2427" s="33"/>
      <c r="Y2427" s="33"/>
    </row>
    <row r="2428" spans="1:25" x14ac:dyDescent="0.2">
      <c r="A2428" s="93" t="s">
        <v>1091</v>
      </c>
      <c r="B2428" s="94">
        <f>IFERROR(VLOOKUP($A2428,HeadJournal!$A$1:$NTR$890,COLUMN(HeadJournal!B$1),0),"")</f>
        <v>0</v>
      </c>
      <c r="C2428" s="94" t="str">
        <f>IFERROR(VLOOKUP($A2428,HeadJournal!$A$1:$NTR$890,COLUMN(HeadJournal!C$1),0),"")</f>
        <v>CoralClub_OA</v>
      </c>
      <c r="D2428" s="125" t="str">
        <f>IFERROR(VLOOKUP($A2428,HeadJournal!$A$1:$NTR$890,COLUMN(HeadJournal!D$1),0),"")</f>
        <v>Доставлен</v>
      </c>
      <c r="E2428" s="95">
        <f>IFERROR(VLOOKUP($A2428,HeadJournal!$A$1:$NTR$890,COLUMN(HeadJournal!G$1),0),"")</f>
        <v>45238</v>
      </c>
      <c r="F2428" s="95" t="str">
        <f t="shared" si="189"/>
        <v>2023 11</v>
      </c>
      <c r="G2428" s="96" t="s">
        <v>5</v>
      </c>
      <c r="H2428" s="160" t="str">
        <f>RIGHT(Journal!$J2428,9)</f>
        <v>000091865</v>
      </c>
      <c r="I2428" s="96" t="str">
        <f t="shared" si="191"/>
        <v>CoralClub</v>
      </c>
      <c r="J2428" s="97" t="s">
        <v>250</v>
      </c>
      <c r="K2428" s="29">
        <v>1344</v>
      </c>
      <c r="L2428" s="29">
        <v>0</v>
      </c>
      <c r="M2428" s="30">
        <f>IFERROR(VLOOKUP($A2428,HeadJournal!$A$1:$J$890,COLUMN(HeadJournal!I$1),0)*($K2428+$L2428)/(SUMIF($A:$A,$A2428,$K:$K)+SUMIF($A:$A,$A2428,$L:$L)),0)</f>
        <v>-787.42943396226417</v>
      </c>
      <c r="N2428" s="30">
        <f>IFERROR((VLOOKUP($A2428,HeadJournal!$A$1:$K$890,COLUMN(HeadJournal!K$1),0)-VLOOKUP($A2428,HeadJournal!$A$1:$K$890,COLUMN(HeadJournal!J$1),0))*($K2428+$L2428)/(SUMIF($A:$A,$A2428,$K:$K)+SUMIF($A:$A,$A2428,$L:$L)),0)</f>
        <v>17.014339622641547</v>
      </c>
      <c r="O2428" s="30">
        <f>IFERROR((VLOOKUP($A2428,HeadJournal!$A$1:$L$890,COLUMN(HeadJournal!L$1),0)*($K2428+$L2428)/(SUMIF($A:$A,$A2428,$K:$K)+SUMIF($A:$A,$A2428,$L:$L)))/VLOOKUP($A2428,HeadJournal!$A$1:$L$890,COLUMN(HeadJournal!H$1),0),0)</f>
        <v>0</v>
      </c>
      <c r="P2428" s="30">
        <f>IFERROR(SUM(K2428:O2428)*VLOOKUP($A2428,HeadJournal!$A$1:$L$890,COLUMN(HeadJournal!H$1),0),0)</f>
        <v>573.58490566037733</v>
      </c>
      <c r="Q2428" s="29">
        <v>1700</v>
      </c>
      <c r="R2428" s="31">
        <v>45245</v>
      </c>
      <c r="S2428" s="31" t="s">
        <v>3121</v>
      </c>
      <c r="T2428" s="95" t="str">
        <f t="shared" si="190"/>
        <v>2023 11</v>
      </c>
      <c r="U2428" s="32">
        <f t="shared" si="187"/>
        <v>1126.4150943396226</v>
      </c>
      <c r="V2428" s="22">
        <f t="shared" si="188"/>
        <v>1.9638157894736841</v>
      </c>
      <c r="X2428" s="33"/>
      <c r="Y2428" s="33"/>
    </row>
    <row r="2429" spans="1:25" x14ac:dyDescent="0.2">
      <c r="A2429" s="93" t="s">
        <v>1091</v>
      </c>
      <c r="B2429" s="94">
        <f>IFERROR(VLOOKUP($A2429,HeadJournal!$A$1:$NTR$890,COLUMN(HeadJournal!B$1),0),"")</f>
        <v>0</v>
      </c>
      <c r="C2429" s="94" t="str">
        <f>IFERROR(VLOOKUP($A2429,HeadJournal!$A$1:$NTR$890,COLUMN(HeadJournal!C$1),0),"")</f>
        <v>CoralClub_OA</v>
      </c>
      <c r="D2429" s="125" t="str">
        <f>IFERROR(VLOOKUP($A2429,HeadJournal!$A$1:$NTR$890,COLUMN(HeadJournal!D$1),0),"")</f>
        <v>Доставлен</v>
      </c>
      <c r="E2429" s="95">
        <f>IFERROR(VLOOKUP($A2429,HeadJournal!$A$1:$NTR$890,COLUMN(HeadJournal!G$1),0),"")</f>
        <v>45238</v>
      </c>
      <c r="F2429" s="95" t="str">
        <f t="shared" si="189"/>
        <v>2023 11</v>
      </c>
      <c r="G2429" s="96" t="s">
        <v>5</v>
      </c>
      <c r="H2429" s="160" t="str">
        <f>RIGHT(Journal!$J2429,9)</f>
        <v>000091865</v>
      </c>
      <c r="I2429" s="96" t="str">
        <f t="shared" si="191"/>
        <v>CoralClub</v>
      </c>
      <c r="J2429" s="97" t="s">
        <v>250</v>
      </c>
      <c r="K2429" s="29">
        <v>1344</v>
      </c>
      <c r="L2429" s="29">
        <v>0</v>
      </c>
      <c r="M2429" s="30">
        <f>IFERROR(VLOOKUP($A2429,HeadJournal!$A$1:$J$890,COLUMN(HeadJournal!I$1),0)*($K2429+$L2429)/(SUMIF($A:$A,$A2429,$K:$K)+SUMIF($A:$A,$A2429,$L:$L)),0)</f>
        <v>-787.42943396226417</v>
      </c>
      <c r="N2429" s="30">
        <f>IFERROR((VLOOKUP($A2429,HeadJournal!$A$1:$K$890,COLUMN(HeadJournal!K$1),0)-VLOOKUP($A2429,HeadJournal!$A$1:$K$890,COLUMN(HeadJournal!J$1),0))*($K2429+$L2429)/(SUMIF($A:$A,$A2429,$K:$K)+SUMIF($A:$A,$A2429,$L:$L)),0)</f>
        <v>17.014339622641547</v>
      </c>
      <c r="O2429" s="30">
        <f>IFERROR((VLOOKUP($A2429,HeadJournal!$A$1:$L$890,COLUMN(HeadJournal!L$1),0)*($K2429+$L2429)/(SUMIF($A:$A,$A2429,$K:$K)+SUMIF($A:$A,$A2429,$L:$L)))/VLOOKUP($A2429,HeadJournal!$A$1:$L$890,COLUMN(HeadJournal!H$1),0),0)</f>
        <v>0</v>
      </c>
      <c r="P2429" s="30">
        <f>IFERROR(SUM(K2429:O2429)*VLOOKUP($A2429,HeadJournal!$A$1:$L$890,COLUMN(HeadJournal!H$1),0),0)</f>
        <v>573.58490566037733</v>
      </c>
      <c r="Q2429" s="29">
        <v>1700</v>
      </c>
      <c r="R2429" s="31">
        <v>45334</v>
      </c>
      <c r="S2429" s="31" t="s">
        <v>3121</v>
      </c>
      <c r="T2429" s="95" t="str">
        <f t="shared" si="190"/>
        <v>2024 02</v>
      </c>
      <c r="U2429" s="32">
        <f t="shared" si="187"/>
        <v>1126.4150943396226</v>
      </c>
      <c r="V2429" s="22">
        <f t="shared" si="188"/>
        <v>1.9638157894736841</v>
      </c>
      <c r="X2429" s="33"/>
      <c r="Y2429" s="33"/>
    </row>
    <row r="2430" spans="1:25" x14ac:dyDescent="0.2">
      <c r="A2430" s="93" t="s">
        <v>1091</v>
      </c>
      <c r="B2430" s="94">
        <f>IFERROR(VLOOKUP($A2430,HeadJournal!$A$1:$NTR$890,COLUMN(HeadJournal!B$1),0),"")</f>
        <v>0</v>
      </c>
      <c r="C2430" s="94" t="str">
        <f>IFERROR(VLOOKUP($A2430,HeadJournal!$A$1:$NTR$890,COLUMN(HeadJournal!C$1),0),"")</f>
        <v>CoralClub_OA</v>
      </c>
      <c r="D2430" s="125" t="str">
        <f>IFERROR(VLOOKUP($A2430,HeadJournal!$A$1:$NTR$890,COLUMN(HeadJournal!D$1),0),"")</f>
        <v>Доставлен</v>
      </c>
      <c r="E2430" s="95">
        <f>IFERROR(VLOOKUP($A2430,HeadJournal!$A$1:$NTR$890,COLUMN(HeadJournal!G$1),0),"")</f>
        <v>45238</v>
      </c>
      <c r="F2430" s="95" t="str">
        <f t="shared" si="189"/>
        <v>2023 11</v>
      </c>
      <c r="G2430" s="96" t="s">
        <v>5</v>
      </c>
      <c r="H2430" s="160" t="str">
        <f>RIGHT(Journal!$J2430,9)</f>
        <v>000002200</v>
      </c>
      <c r="I2430" s="96" t="str">
        <f t="shared" si="191"/>
        <v>CoralClub</v>
      </c>
      <c r="J2430" s="97" t="s">
        <v>1092</v>
      </c>
      <c r="K2430" s="29">
        <v>1764</v>
      </c>
      <c r="L2430" s="29">
        <v>0</v>
      </c>
      <c r="M2430" s="30">
        <f>IFERROR(VLOOKUP($A2430,HeadJournal!$A$1:$J$890,COLUMN(HeadJournal!I$1),0)*($K2430+$L2430)/(SUMIF($A:$A,$A2430,$K:$K)+SUMIF($A:$A,$A2430,$L:$L)),0)</f>
        <v>-1033.5011320754718</v>
      </c>
      <c r="N2430" s="30">
        <f>IFERROR((VLOOKUP($A2430,HeadJournal!$A$1:$K$890,COLUMN(HeadJournal!K$1),0)-VLOOKUP($A2430,HeadJournal!$A$1:$K$890,COLUMN(HeadJournal!J$1),0))*($K2430+$L2430)/(SUMIF($A:$A,$A2430,$K:$K)+SUMIF($A:$A,$A2430,$L:$L)),0)</f>
        <v>22.331320754717034</v>
      </c>
      <c r="O2430" s="30">
        <f>IFERROR((VLOOKUP($A2430,HeadJournal!$A$1:$L$890,COLUMN(HeadJournal!L$1),0)*($K2430+$L2430)/(SUMIF($A:$A,$A2430,$K:$K)+SUMIF($A:$A,$A2430,$L:$L)))/VLOOKUP($A2430,HeadJournal!$A$1:$L$890,COLUMN(HeadJournal!H$1),0),0)</f>
        <v>0</v>
      </c>
      <c r="P2430" s="30">
        <f>IFERROR(SUM(K2430:O2430)*VLOOKUP($A2430,HeadJournal!$A$1:$L$890,COLUMN(HeadJournal!H$1),0),0)</f>
        <v>752.83018867924523</v>
      </c>
      <c r="Q2430" s="29">
        <v>2250</v>
      </c>
      <c r="R2430" s="31">
        <v>45241</v>
      </c>
      <c r="S2430" s="31" t="s">
        <v>3121</v>
      </c>
      <c r="T2430" s="95" t="str">
        <f t="shared" si="190"/>
        <v>2023 11</v>
      </c>
      <c r="U2430" s="32">
        <f t="shared" si="187"/>
        <v>1497.1698113207549</v>
      </c>
      <c r="V2430" s="22">
        <f t="shared" si="188"/>
        <v>1.9887218045112787</v>
      </c>
      <c r="X2430" s="33"/>
      <c r="Y2430" s="33"/>
    </row>
    <row r="2431" spans="1:25" x14ac:dyDescent="0.2">
      <c r="A2431" s="93" t="s">
        <v>1093</v>
      </c>
      <c r="B2431" s="94">
        <f>IFERROR(VLOOKUP($A2431,HeadJournal!$A$1:$NTR$890,COLUMN(HeadJournal!B$1),0),"")</f>
        <v>0</v>
      </c>
      <c r="C2431" s="94" t="str">
        <f>IFERROR(VLOOKUP($A2431,HeadJournal!$A$1:$NTR$890,COLUMN(HeadJournal!C$1),0),"")</f>
        <v>OZON_OA</v>
      </c>
      <c r="D2431" s="125" t="str">
        <f>IFERROR(VLOOKUP($A2431,HeadJournal!$A$1:$NTR$890,COLUMN(HeadJournal!D$1),0),"")</f>
        <v>Доставлен</v>
      </c>
      <c r="E2431" s="95">
        <f>IFERROR(VLOOKUP($A2431,HeadJournal!$A$1:$NTR$890,COLUMN(HeadJournal!G$1),0),"")</f>
        <v>45234</v>
      </c>
      <c r="F2431" s="95" t="str">
        <f t="shared" si="189"/>
        <v>2023 11</v>
      </c>
      <c r="G2431" s="96" t="s">
        <v>7</v>
      </c>
      <c r="H2431" s="160" t="str">
        <f>RIGHT(Journal!$J2431,9)</f>
        <v>724807304</v>
      </c>
      <c r="I2431" s="96" t="str">
        <f t="shared" si="191"/>
        <v>XINOXIN</v>
      </c>
      <c r="J2431" s="97" t="s">
        <v>3619</v>
      </c>
      <c r="K2431" s="29">
        <v>9058</v>
      </c>
      <c r="L2431" s="29"/>
      <c r="M2431" s="30">
        <f>IFERROR(VLOOKUP($A2431,HeadJournal!$A$1:$J$890,COLUMN(HeadJournal!I$1),0)*($K2431+$L2431)/(SUMIF($A:$A,$A2431,$K:$K)+SUMIF($A:$A,$A2431,$L:$L)),0)</f>
        <v>0</v>
      </c>
      <c r="N2431" s="30">
        <f>IFERROR((VLOOKUP($A2431,HeadJournal!$A$1:$K$890,COLUMN(HeadJournal!K$1),0)-VLOOKUP($A2431,HeadJournal!$A$1:$K$890,COLUMN(HeadJournal!J$1),0))*($K2431+$L2431)/(SUMIF($A:$A,$A2431,$K:$K)+SUMIF($A:$A,$A2431,$L:$L)),0)</f>
        <v>0</v>
      </c>
      <c r="O2431" s="30">
        <f>IFERROR((VLOOKUP($A2431,HeadJournal!$A$1:$L$890,COLUMN(HeadJournal!L$1),0)*($K2431+$L2431)/(SUMIF($A:$A,$A2431,$K:$K)+SUMIF($A:$A,$A2431,$L:$L)))/VLOOKUP($A2431,HeadJournal!$A$1:$L$890,COLUMN(HeadJournal!H$1),0),0)</f>
        <v>534.65052379242229</v>
      </c>
      <c r="P2431" s="30">
        <f>IFERROR(SUM(K2431:O2431)*VLOOKUP($A2431,HeadJournal!$A$1:$L$890,COLUMN(HeadJournal!H$1),0),0)</f>
        <v>9592.650523792423</v>
      </c>
      <c r="Q2431" s="29">
        <v>12500</v>
      </c>
      <c r="R2431" s="31">
        <v>45241</v>
      </c>
      <c r="S2431" s="31" t="s">
        <v>3121</v>
      </c>
      <c r="T2431" s="95" t="str">
        <f t="shared" si="190"/>
        <v>2023 11</v>
      </c>
      <c r="U2431" s="32">
        <f t="shared" si="187"/>
        <v>2907.349476207577</v>
      </c>
      <c r="V2431" s="22">
        <f t="shared" si="188"/>
        <v>0.30308093357477656</v>
      </c>
      <c r="X2431" s="33"/>
      <c r="Y2431" s="33"/>
    </row>
    <row r="2432" spans="1:25" x14ac:dyDescent="0.2">
      <c r="A2432" s="93" t="s">
        <v>1093</v>
      </c>
      <c r="B2432" s="94">
        <f>IFERROR(VLOOKUP($A2432,HeadJournal!$A$1:$NTR$890,COLUMN(HeadJournal!B$1),0),"")</f>
        <v>0</v>
      </c>
      <c r="C2432" s="94" t="str">
        <f>IFERROR(VLOOKUP($A2432,HeadJournal!$A$1:$NTR$890,COLUMN(HeadJournal!C$1),0),"")</f>
        <v>OZON_OA</v>
      </c>
      <c r="D2432" s="125" t="str">
        <f>IFERROR(VLOOKUP($A2432,HeadJournal!$A$1:$NTR$890,COLUMN(HeadJournal!D$1),0),"")</f>
        <v>Доставлен</v>
      </c>
      <c r="E2432" s="95">
        <f>IFERROR(VLOOKUP($A2432,HeadJournal!$A$1:$NTR$890,COLUMN(HeadJournal!G$1),0),"")</f>
        <v>45234</v>
      </c>
      <c r="F2432" s="95" t="str">
        <f t="shared" si="189"/>
        <v>2023 11</v>
      </c>
      <c r="G2432" s="96" t="s">
        <v>6</v>
      </c>
      <c r="H2432" s="175" t="s">
        <v>1948</v>
      </c>
      <c r="I2432" s="176" t="s">
        <v>560</v>
      </c>
      <c r="J2432" s="97" t="s">
        <v>1947</v>
      </c>
      <c r="K2432" s="29">
        <v>693.52</v>
      </c>
      <c r="L2432" s="29"/>
      <c r="M2432" s="30">
        <f>IFERROR(VLOOKUP($A2432,HeadJournal!$A$1:$J$890,COLUMN(HeadJournal!I$1),0)*($K2432+$L2432)/(SUMIF($A:$A,$A2432,$K:$K)+SUMIF($A:$A,$A2432,$L:$L)),0)</f>
        <v>0</v>
      </c>
      <c r="N2432" s="30">
        <f>IFERROR((VLOOKUP($A2432,HeadJournal!$A$1:$K$890,COLUMN(HeadJournal!K$1),0)-VLOOKUP($A2432,HeadJournal!$A$1:$K$890,COLUMN(HeadJournal!J$1),0))*($K2432+$L2432)/(SUMIF($A:$A,$A2432,$K:$K)+SUMIF($A:$A,$A2432,$L:$L)),0)</f>
        <v>0</v>
      </c>
      <c r="O2432" s="30">
        <f>IFERROR((VLOOKUP($A2432,HeadJournal!$A$1:$L$890,COLUMN(HeadJournal!L$1),0)*($K2432+$L2432)/(SUMIF($A:$A,$A2432,$K:$K)+SUMIF($A:$A,$A2432,$L:$L)))/VLOOKUP($A2432,HeadJournal!$A$1:$L$890,COLUMN(HeadJournal!H$1),0),0)</f>
        <v>40.935176778595796</v>
      </c>
      <c r="P2432" s="30">
        <f>IFERROR(SUM(K2432:O2432)*VLOOKUP($A2432,HeadJournal!$A$1:$L$890,COLUMN(HeadJournal!H$1),0),0)</f>
        <v>734.45517677859573</v>
      </c>
      <c r="Q2432" s="29">
        <v>1700</v>
      </c>
      <c r="R2432" s="31">
        <v>45493</v>
      </c>
      <c r="S2432" s="31" t="s">
        <v>3121</v>
      </c>
      <c r="T2432" s="95" t="str">
        <f t="shared" si="190"/>
        <v>2024 07</v>
      </c>
      <c r="U2432" s="32">
        <f t="shared" si="187"/>
        <v>965.54482322140427</v>
      </c>
      <c r="V2432" s="22">
        <f t="shared" si="188"/>
        <v>1.3146409117250615</v>
      </c>
      <c r="X2432" s="33"/>
      <c r="Y2432" s="33"/>
    </row>
    <row r="2433" spans="1:25" x14ac:dyDescent="0.2">
      <c r="A2433" s="93" t="s">
        <v>1093</v>
      </c>
      <c r="B2433" s="94">
        <f>IFERROR(VLOOKUP($A2433,HeadJournal!$A$1:$NTR$890,COLUMN(HeadJournal!B$1),0),"")</f>
        <v>0</v>
      </c>
      <c r="C2433" s="94" t="str">
        <f>IFERROR(VLOOKUP($A2433,HeadJournal!$A$1:$NTR$890,COLUMN(HeadJournal!C$1),0),"")</f>
        <v>OZON_OA</v>
      </c>
      <c r="D2433" s="125" t="str">
        <f>IFERROR(VLOOKUP($A2433,HeadJournal!$A$1:$NTR$890,COLUMN(HeadJournal!D$1),0),"")</f>
        <v>Доставлен</v>
      </c>
      <c r="E2433" s="95">
        <f>IFERROR(VLOOKUP($A2433,HeadJournal!$A$1:$NTR$890,COLUMN(HeadJournal!G$1),0),"")</f>
        <v>45234</v>
      </c>
      <c r="F2433" s="95" t="str">
        <f t="shared" si="189"/>
        <v>2023 11</v>
      </c>
      <c r="G2433" s="96" t="s">
        <v>6</v>
      </c>
      <c r="H2433" s="160" t="str">
        <f>RIGHT(Journal!$J2433,9)</f>
        <v>987465725</v>
      </c>
      <c r="I2433" s="96" t="str">
        <f t="shared" si="191"/>
        <v>SOUL WAY</v>
      </c>
      <c r="J2433" s="97" t="s">
        <v>1094</v>
      </c>
      <c r="K2433" s="29">
        <v>734.48</v>
      </c>
      <c r="L2433" s="29"/>
      <c r="M2433" s="30">
        <f>IFERROR(VLOOKUP($A2433,HeadJournal!$A$1:$J$890,COLUMN(HeadJournal!I$1),0)*($K2433+$L2433)/(SUMIF($A:$A,$A2433,$K:$K)+SUMIF($A:$A,$A2433,$L:$L)),0)</f>
        <v>0</v>
      </c>
      <c r="N2433" s="30">
        <f>IFERROR((VLOOKUP($A2433,HeadJournal!$A$1:$K$890,COLUMN(HeadJournal!K$1),0)-VLOOKUP($A2433,HeadJournal!$A$1:$K$890,COLUMN(HeadJournal!J$1),0))*($K2433+$L2433)/(SUMIF($A:$A,$A2433,$K:$K)+SUMIF($A:$A,$A2433,$L:$L)),0)</f>
        <v>0</v>
      </c>
      <c r="O2433" s="30">
        <f>IFERROR((VLOOKUP($A2433,HeadJournal!$A$1:$L$890,COLUMN(HeadJournal!L$1),0)*($K2433+$L2433)/(SUMIF($A:$A,$A2433,$K:$K)+SUMIF($A:$A,$A2433,$L:$L)))/VLOOKUP($A2433,HeadJournal!$A$1:$L$890,COLUMN(HeadJournal!H$1),0),0)</f>
        <v>43.35285015622194</v>
      </c>
      <c r="P2433" s="30">
        <f>IFERROR(SUM(K2433:O2433)*VLOOKUP($A2433,HeadJournal!$A$1:$L$890,COLUMN(HeadJournal!H$1),0),0)</f>
        <v>777.83285015622198</v>
      </c>
      <c r="Q2433" s="29">
        <v>1700</v>
      </c>
      <c r="R2433" s="31">
        <v>45302</v>
      </c>
      <c r="S2433" s="31" t="s">
        <v>3121</v>
      </c>
      <c r="T2433" s="95" t="str">
        <f t="shared" si="190"/>
        <v>2024 01</v>
      </c>
      <c r="U2433" s="32">
        <f t="shared" ref="U2433:U2496" si="192">Q2433-P2433</f>
        <v>922.16714984377802</v>
      </c>
      <c r="V2433" s="22">
        <f t="shared" ref="V2433:V2496" si="193">IF(Q2433&lt;&gt;0,IFERROR(U2433/P2433,""),"")</f>
        <v>1.1855595320492927</v>
      </c>
      <c r="X2433" s="33"/>
      <c r="Y2433" s="33"/>
    </row>
    <row r="2434" spans="1:25" x14ac:dyDescent="0.2">
      <c r="A2434" s="93" t="s">
        <v>1093</v>
      </c>
      <c r="B2434" s="94">
        <f>IFERROR(VLOOKUP($A2434,HeadJournal!$A$1:$NTR$890,COLUMN(HeadJournal!B$1),0),"")</f>
        <v>0</v>
      </c>
      <c r="C2434" s="94" t="str">
        <f>IFERROR(VLOOKUP($A2434,HeadJournal!$A$1:$NTR$890,COLUMN(HeadJournal!C$1),0),"")</f>
        <v>OZON_OA</v>
      </c>
      <c r="D2434" s="125" t="str">
        <f>IFERROR(VLOOKUP($A2434,HeadJournal!$A$1:$NTR$890,COLUMN(HeadJournal!D$1),0),"")</f>
        <v>Доставлен</v>
      </c>
      <c r="E2434" s="95">
        <f>IFERROR(VLOOKUP($A2434,HeadJournal!$A$1:$NTR$890,COLUMN(HeadJournal!G$1),0),"")</f>
        <v>45234</v>
      </c>
      <c r="F2434" s="95" t="str">
        <f t="shared" si="189"/>
        <v>2023 11</v>
      </c>
      <c r="G2434" s="96" t="s">
        <v>6</v>
      </c>
      <c r="H2434" s="175" t="s">
        <v>1949</v>
      </c>
      <c r="I2434" s="176" t="s">
        <v>560</v>
      </c>
      <c r="J2434" s="97" t="s">
        <v>3715</v>
      </c>
      <c r="K2434" s="29">
        <v>652</v>
      </c>
      <c r="L2434" s="29"/>
      <c r="M2434" s="30">
        <f>IFERROR(VLOOKUP($A2434,HeadJournal!$A$1:$J$890,COLUMN(HeadJournal!I$1),0)*($K2434+$L2434)/(SUMIF($A:$A,$A2434,$K:$K)+SUMIF($A:$A,$A2434,$L:$L)),0)</f>
        <v>0</v>
      </c>
      <c r="N2434" s="30">
        <f>IFERROR((VLOOKUP($A2434,HeadJournal!$A$1:$K$890,COLUMN(HeadJournal!K$1),0)-VLOOKUP($A2434,HeadJournal!$A$1:$K$890,COLUMN(HeadJournal!J$1),0))*($K2434+$L2434)/(SUMIF($A:$A,$A2434,$K:$K)+SUMIF($A:$A,$A2434,$L:$L)),0)</f>
        <v>0</v>
      </c>
      <c r="O2434" s="30">
        <f>IFERROR((VLOOKUP($A2434,HeadJournal!$A$1:$L$890,COLUMN(HeadJournal!L$1),0)*($K2434+$L2434)/(SUMIF($A:$A,$A2434,$K:$K)+SUMIF($A:$A,$A2434,$L:$L)))/VLOOKUP($A2434,HeadJournal!$A$1:$L$890,COLUMN(HeadJournal!H$1),0),0)</f>
        <v>38.484449272759917</v>
      </c>
      <c r="P2434" s="30">
        <f>IFERROR(SUM(K2434:O2434)*VLOOKUP($A2434,HeadJournal!$A$1:$L$890,COLUMN(HeadJournal!H$1),0),0)</f>
        <v>690.48444927275989</v>
      </c>
      <c r="Q2434" s="29">
        <v>1700</v>
      </c>
      <c r="R2434" s="31">
        <v>45318</v>
      </c>
      <c r="S2434" s="31" t="s">
        <v>3121</v>
      </c>
      <c r="T2434" s="95" t="str">
        <f t="shared" si="190"/>
        <v>2024 01</v>
      </c>
      <c r="U2434" s="32">
        <f t="shared" si="192"/>
        <v>1009.5155507272401</v>
      </c>
      <c r="V2434" s="22">
        <f t="shared" si="193"/>
        <v>1.462039517023872</v>
      </c>
      <c r="X2434" s="33"/>
      <c r="Y2434" s="33"/>
    </row>
    <row r="2435" spans="1:25" x14ac:dyDescent="0.2">
      <c r="A2435" s="93" t="s">
        <v>1095</v>
      </c>
      <c r="B2435" s="94">
        <f>IFERROR(VLOOKUP($A2435,HeadJournal!$A$1:$NTR$890,COLUMN(HeadJournal!B$1),0),"")</f>
        <v>0</v>
      </c>
      <c r="C2435" s="94" t="str">
        <f>IFERROR(VLOOKUP($A2435,HeadJournal!$A$1:$NTR$890,COLUMN(HeadJournal!C$1),0),"")</f>
        <v>OZON_OA</v>
      </c>
      <c r="D2435" s="125" t="str">
        <f>IFERROR(VLOOKUP($A2435,HeadJournal!$A$1:$NTR$890,COLUMN(HeadJournal!D$1),0),"")</f>
        <v>Доставлен</v>
      </c>
      <c r="E2435" s="95">
        <f>IFERROR(VLOOKUP($A2435,HeadJournal!$A$1:$NTR$890,COLUMN(HeadJournal!G$1),0),"")</f>
        <v>45237</v>
      </c>
      <c r="F2435" s="95" t="str">
        <f t="shared" si="189"/>
        <v>2023 11</v>
      </c>
      <c r="G2435" s="96" t="s">
        <v>5</v>
      </c>
      <c r="H2435" s="161" t="s">
        <v>2771</v>
      </c>
      <c r="I2435" s="97" t="s">
        <v>2052</v>
      </c>
      <c r="J2435" s="97" t="s">
        <v>3858</v>
      </c>
      <c r="K2435" s="29">
        <v>714</v>
      </c>
      <c r="L2435" s="29"/>
      <c r="M2435" s="30">
        <f>IFERROR(VLOOKUP($A2435,HeadJournal!$A$1:$J$890,COLUMN(HeadJournal!I$1),0)*($K2435+$L2435)/(SUMIF($A:$A,$A2435,$K:$K)+SUMIF($A:$A,$A2435,$L:$L)),0)</f>
        <v>0</v>
      </c>
      <c r="N2435" s="30">
        <f>IFERROR((VLOOKUP($A2435,HeadJournal!$A$1:$K$890,COLUMN(HeadJournal!K$1),0)-VLOOKUP($A2435,HeadJournal!$A$1:$K$890,COLUMN(HeadJournal!J$1),0))*($K2435+$L2435)/(SUMIF($A:$A,$A2435,$K:$K)+SUMIF($A:$A,$A2435,$L:$L)),0)</f>
        <v>0</v>
      </c>
      <c r="O2435" s="30">
        <f>IFERROR((VLOOKUP($A2435,HeadJournal!$A$1:$L$890,COLUMN(HeadJournal!L$1),0)*($K2435+$L2435)/(SUMIF($A:$A,$A2435,$K:$K)+SUMIF($A:$A,$A2435,$L:$L)))/VLOOKUP($A2435,HeadJournal!$A$1:$L$890,COLUMN(HeadJournal!H$1),0),0)</f>
        <v>328.7115</v>
      </c>
      <c r="P2435" s="30">
        <f>IFERROR(SUM(K2435:O2435)*VLOOKUP($A2435,HeadJournal!$A$1:$L$890,COLUMN(HeadJournal!H$1),0),0)</f>
        <v>1042.7114999999999</v>
      </c>
      <c r="Q2435" s="29">
        <v>1042.71</v>
      </c>
      <c r="R2435" s="31">
        <v>45238</v>
      </c>
      <c r="S2435" s="31" t="s">
        <v>3121</v>
      </c>
      <c r="T2435" s="95" t="str">
        <f t="shared" si="190"/>
        <v>2023 11</v>
      </c>
      <c r="U2435" s="32">
        <f t="shared" si="192"/>
        <v>-1.4999999998508429E-3</v>
      </c>
      <c r="V2435" s="22">
        <f t="shared" si="193"/>
        <v>-1.438557069573744E-6</v>
      </c>
      <c r="X2435" s="33"/>
      <c r="Y2435" s="33"/>
    </row>
    <row r="2436" spans="1:25" x14ac:dyDescent="0.2">
      <c r="A2436" s="93" t="s">
        <v>1095</v>
      </c>
      <c r="B2436" s="94">
        <f>IFERROR(VLOOKUP($A2436,HeadJournal!$A$1:$NTR$890,COLUMN(HeadJournal!B$1),0),"")</f>
        <v>0</v>
      </c>
      <c r="C2436" s="94" t="str">
        <f>IFERROR(VLOOKUP($A2436,HeadJournal!$A$1:$NTR$890,COLUMN(HeadJournal!C$1),0),"")</f>
        <v>OZON_OA</v>
      </c>
      <c r="D2436" s="125" t="str">
        <f>IFERROR(VLOOKUP($A2436,HeadJournal!$A$1:$NTR$890,COLUMN(HeadJournal!D$1),0),"")</f>
        <v>Доставлен</v>
      </c>
      <c r="E2436" s="95">
        <f>IFERROR(VLOOKUP($A2436,HeadJournal!$A$1:$NTR$890,COLUMN(HeadJournal!G$1),0),"")</f>
        <v>45237</v>
      </c>
      <c r="F2436" s="95" t="str">
        <f t="shared" ref="F2436:F2499" si="194">IFERROR(TEXT(E2436, "ГГГГ ММ"),"")</f>
        <v>2023 11</v>
      </c>
      <c r="G2436" s="96" t="s">
        <v>5</v>
      </c>
      <c r="H2436" s="161" t="s">
        <v>2771</v>
      </c>
      <c r="I2436" s="97" t="s">
        <v>2052</v>
      </c>
      <c r="J2436" s="97" t="s">
        <v>3858</v>
      </c>
      <c r="K2436" s="29">
        <v>714</v>
      </c>
      <c r="L2436" s="29"/>
      <c r="M2436" s="30">
        <f>IFERROR(VLOOKUP($A2436,HeadJournal!$A$1:$J$890,COLUMN(HeadJournal!I$1),0)*($K2436+$L2436)/(SUMIF($A:$A,$A2436,$K:$K)+SUMIF($A:$A,$A2436,$L:$L)),0)</f>
        <v>0</v>
      </c>
      <c r="N2436" s="30">
        <f>IFERROR((VLOOKUP($A2436,HeadJournal!$A$1:$K$890,COLUMN(HeadJournal!K$1),0)-VLOOKUP($A2436,HeadJournal!$A$1:$K$890,COLUMN(HeadJournal!J$1),0))*($K2436+$L2436)/(SUMIF($A:$A,$A2436,$K:$K)+SUMIF($A:$A,$A2436,$L:$L)),0)</f>
        <v>0</v>
      </c>
      <c r="O2436" s="30">
        <f>IFERROR((VLOOKUP($A2436,HeadJournal!$A$1:$L$890,COLUMN(HeadJournal!L$1),0)*($K2436+$L2436)/(SUMIF($A:$A,$A2436,$K:$K)+SUMIF($A:$A,$A2436,$L:$L)))/VLOOKUP($A2436,HeadJournal!$A$1:$L$890,COLUMN(HeadJournal!H$1),0),0)</f>
        <v>328.7115</v>
      </c>
      <c r="P2436" s="30">
        <f>IFERROR(SUM(K2436:O2436)*VLOOKUP($A2436,HeadJournal!$A$1:$L$890,COLUMN(HeadJournal!H$1),0),0)</f>
        <v>1042.7114999999999</v>
      </c>
      <c r="Q2436" s="29">
        <v>1042.71</v>
      </c>
      <c r="R2436" s="31">
        <v>45238</v>
      </c>
      <c r="S2436" s="31" t="s">
        <v>3121</v>
      </c>
      <c r="T2436" s="95" t="str">
        <f t="shared" ref="T2436:T2499" si="195">IF(R2436="","",TEXT(R2436,"ГГГГ ММ"))</f>
        <v>2023 11</v>
      </c>
      <c r="U2436" s="32">
        <f t="shared" si="192"/>
        <v>-1.4999999998508429E-3</v>
      </c>
      <c r="V2436" s="22">
        <f t="shared" si="193"/>
        <v>-1.438557069573744E-6</v>
      </c>
      <c r="X2436" s="33"/>
      <c r="Y2436" s="33"/>
    </row>
    <row r="2437" spans="1:25" x14ac:dyDescent="0.2">
      <c r="A2437" s="93" t="s">
        <v>1096</v>
      </c>
      <c r="B2437" s="94">
        <f>IFERROR(VLOOKUP($A2437,HeadJournal!$A$1:$NTR$890,COLUMN(HeadJournal!B$1),0),"")</f>
        <v>0</v>
      </c>
      <c r="C2437" s="94" t="str">
        <f>IFERROR(VLOOKUP($A2437,HeadJournal!$A$1:$NTR$890,COLUMN(HeadJournal!C$1),0),"")</f>
        <v>OZON_OA</v>
      </c>
      <c r="D2437" s="125" t="str">
        <f>IFERROR(VLOOKUP($A2437,HeadJournal!$A$1:$NTR$890,COLUMN(HeadJournal!D$1),0),"")</f>
        <v>Доставлен</v>
      </c>
      <c r="E2437" s="95">
        <f>IFERROR(VLOOKUP($A2437,HeadJournal!$A$1:$NTR$890,COLUMN(HeadJournal!G$1),0),"")</f>
        <v>45238</v>
      </c>
      <c r="F2437" s="95" t="str">
        <f t="shared" si="194"/>
        <v>2023 11</v>
      </c>
      <c r="G2437" s="96" t="s">
        <v>5</v>
      </c>
      <c r="H2437" s="161" t="s">
        <v>2565</v>
      </c>
      <c r="I2437" s="97" t="s">
        <v>2052</v>
      </c>
      <c r="J2437" s="97" t="s">
        <v>3829</v>
      </c>
      <c r="K2437" s="29">
        <v>1913</v>
      </c>
      <c r="L2437" s="29"/>
      <c r="M2437" s="30">
        <f>IFERROR(VLOOKUP($A2437,HeadJournal!$A$1:$J$890,COLUMN(HeadJournal!I$1),0)*($K2437+$L2437)/(SUMIF($A:$A,$A2437,$K:$K)+SUMIF($A:$A,$A2437,$L:$L)),0)</f>
        <v>0</v>
      </c>
      <c r="N2437" s="30">
        <f>IFERROR((VLOOKUP($A2437,HeadJournal!$A$1:$K$890,COLUMN(HeadJournal!K$1),0)-VLOOKUP($A2437,HeadJournal!$A$1:$K$890,COLUMN(HeadJournal!J$1),0))*($K2437+$L2437)/(SUMIF($A:$A,$A2437,$K:$K)+SUMIF($A:$A,$A2437,$L:$L)),0)</f>
        <v>0</v>
      </c>
      <c r="O2437" s="30">
        <f>IFERROR((VLOOKUP($A2437,HeadJournal!$A$1:$L$890,COLUMN(HeadJournal!L$1),0)*($K2437+$L2437)/(SUMIF($A:$A,$A2437,$K:$K)+SUMIF($A:$A,$A2437,$L:$L)))/VLOOKUP($A2437,HeadJournal!$A$1:$L$890,COLUMN(HeadJournal!H$1),0),0)</f>
        <v>191.3</v>
      </c>
      <c r="P2437" s="30">
        <f>IFERROR(SUM(K2437:O2437)*VLOOKUP($A2437,HeadJournal!$A$1:$L$890,COLUMN(HeadJournal!H$1),0),0)</f>
        <v>2104.3000000000002</v>
      </c>
      <c r="Q2437" s="29">
        <v>3200</v>
      </c>
      <c r="R2437" s="31">
        <v>45322</v>
      </c>
      <c r="S2437" s="31" t="s">
        <v>3121</v>
      </c>
      <c r="T2437" s="95" t="str">
        <f t="shared" si="195"/>
        <v>2024 01</v>
      </c>
      <c r="U2437" s="32">
        <f t="shared" si="192"/>
        <v>1095.6999999999998</v>
      </c>
      <c r="V2437" s="22">
        <f t="shared" si="193"/>
        <v>0.52069571829111805</v>
      </c>
      <c r="X2437" s="33"/>
      <c r="Y2437" s="33"/>
    </row>
    <row r="2438" spans="1:25" x14ac:dyDescent="0.2">
      <c r="A2438" s="93" t="s">
        <v>1096</v>
      </c>
      <c r="B2438" s="94">
        <f>IFERROR(VLOOKUP($A2438,HeadJournal!$A$1:$NTR$890,COLUMN(HeadJournal!B$1),0),"")</f>
        <v>0</v>
      </c>
      <c r="C2438" s="94" t="str">
        <f>IFERROR(VLOOKUP($A2438,HeadJournal!$A$1:$NTR$890,COLUMN(HeadJournal!C$1),0),"")</f>
        <v>OZON_OA</v>
      </c>
      <c r="D2438" s="125" t="str">
        <f>IFERROR(VLOOKUP($A2438,HeadJournal!$A$1:$NTR$890,COLUMN(HeadJournal!D$1),0),"")</f>
        <v>Доставлен</v>
      </c>
      <c r="E2438" s="95">
        <f>IFERROR(VLOOKUP($A2438,HeadJournal!$A$1:$NTR$890,COLUMN(HeadJournal!G$1),0),"")</f>
        <v>45238</v>
      </c>
      <c r="F2438" s="95" t="str">
        <f t="shared" si="194"/>
        <v>2023 11</v>
      </c>
      <c r="G2438" s="96" t="s">
        <v>5</v>
      </c>
      <c r="H2438" s="161" t="s">
        <v>2565</v>
      </c>
      <c r="I2438" s="97" t="s">
        <v>2052</v>
      </c>
      <c r="J2438" s="97" t="s">
        <v>3829</v>
      </c>
      <c r="K2438" s="29">
        <v>1913</v>
      </c>
      <c r="L2438" s="29"/>
      <c r="M2438" s="30">
        <f>IFERROR(VLOOKUP($A2438,HeadJournal!$A$1:$J$890,COLUMN(HeadJournal!I$1),0)*($K2438+$L2438)/(SUMIF($A:$A,$A2438,$K:$K)+SUMIF($A:$A,$A2438,$L:$L)),0)</f>
        <v>0</v>
      </c>
      <c r="N2438" s="30">
        <f>IFERROR((VLOOKUP($A2438,HeadJournal!$A$1:$K$890,COLUMN(HeadJournal!K$1),0)-VLOOKUP($A2438,HeadJournal!$A$1:$K$890,COLUMN(HeadJournal!J$1),0))*($K2438+$L2438)/(SUMIF($A:$A,$A2438,$K:$K)+SUMIF($A:$A,$A2438,$L:$L)),0)</f>
        <v>0</v>
      </c>
      <c r="O2438" s="30">
        <f>IFERROR((VLOOKUP($A2438,HeadJournal!$A$1:$L$890,COLUMN(HeadJournal!L$1),0)*($K2438+$L2438)/(SUMIF($A:$A,$A2438,$K:$K)+SUMIF($A:$A,$A2438,$L:$L)))/VLOOKUP($A2438,HeadJournal!$A$1:$L$890,COLUMN(HeadJournal!H$1),0),0)</f>
        <v>191.3</v>
      </c>
      <c r="P2438" s="30">
        <f>IFERROR(SUM(K2438:O2438)*VLOOKUP($A2438,HeadJournal!$A$1:$L$890,COLUMN(HeadJournal!H$1),0),0)</f>
        <v>2104.3000000000002</v>
      </c>
      <c r="Q2438" s="29">
        <v>3400</v>
      </c>
      <c r="R2438" s="31">
        <v>45395</v>
      </c>
      <c r="S2438" s="31" t="s">
        <v>3121</v>
      </c>
      <c r="T2438" s="95" t="str">
        <f t="shared" si="195"/>
        <v>2024 04</v>
      </c>
      <c r="U2438" s="32">
        <f t="shared" si="192"/>
        <v>1295.6999999999998</v>
      </c>
      <c r="V2438" s="22">
        <f t="shared" si="193"/>
        <v>0.61573920068431298</v>
      </c>
      <c r="X2438" s="33"/>
      <c r="Y2438" s="33"/>
    </row>
    <row r="2439" spans="1:25" x14ac:dyDescent="0.2">
      <c r="A2439" s="93" t="s">
        <v>1097</v>
      </c>
      <c r="B2439" s="94">
        <f>IFERROR(VLOOKUP($A2439,HeadJournal!$A$1:$NTR$890,COLUMN(HeadJournal!B$1),0),"")</f>
        <v>0</v>
      </c>
      <c r="C2439" s="94" t="str">
        <f>IFERROR(VLOOKUP($A2439,HeadJournal!$A$1:$NTR$890,COLUMN(HeadJournal!C$1),0),"")</f>
        <v>OZON_OA</v>
      </c>
      <c r="D2439" s="125" t="str">
        <f>IFERROR(VLOOKUP($A2439,HeadJournal!$A$1:$NTR$890,COLUMN(HeadJournal!D$1),0),"")</f>
        <v>Доставлен</v>
      </c>
      <c r="E2439" s="95">
        <f>IFERROR(VLOOKUP($A2439,HeadJournal!$A$1:$NTR$890,COLUMN(HeadJournal!G$1),0),"")</f>
        <v>45240</v>
      </c>
      <c r="F2439" s="95" t="str">
        <f t="shared" si="194"/>
        <v>2023 11</v>
      </c>
      <c r="G2439" s="96" t="s">
        <v>6</v>
      </c>
      <c r="H2439" s="160" t="str">
        <f>RIGHT(Journal!$J2439,9)</f>
        <v>182147728</v>
      </c>
      <c r="I2439" s="96" t="str">
        <f t="shared" si="191"/>
        <v>Iron mass</v>
      </c>
      <c r="J2439" s="97" t="s">
        <v>1098</v>
      </c>
      <c r="K2439" s="29">
        <v>5275</v>
      </c>
      <c r="L2439" s="29"/>
      <c r="M2439" s="30">
        <f>IFERROR(VLOOKUP($A2439,HeadJournal!$A$1:$J$890,COLUMN(HeadJournal!I$1),0)*($K2439+$L2439)/(SUMIF($A:$A,$A2439,$K:$K)+SUMIF($A:$A,$A2439,$L:$L)),0)</f>
        <v>0</v>
      </c>
      <c r="N2439" s="30">
        <f>IFERROR((VLOOKUP($A2439,HeadJournal!$A$1:$K$890,COLUMN(HeadJournal!K$1),0)-VLOOKUP($A2439,HeadJournal!$A$1:$K$890,COLUMN(HeadJournal!J$1),0))*($K2439+$L2439)/(SUMIF($A:$A,$A2439,$K:$K)+SUMIF($A:$A,$A2439,$L:$L)),0)</f>
        <v>0</v>
      </c>
      <c r="O2439" s="30">
        <f>IFERROR((VLOOKUP($A2439,HeadJournal!$A$1:$L$890,COLUMN(HeadJournal!L$1),0)*($K2439+$L2439)/(SUMIF($A:$A,$A2439,$K:$K)+SUMIF($A:$A,$A2439,$L:$L)))/VLOOKUP($A2439,HeadJournal!$A$1:$L$890,COLUMN(HeadJournal!H$1),0),0)</f>
        <v>259.01794145420212</v>
      </c>
      <c r="P2439" s="30">
        <f>IFERROR(SUM(K2439:O2439)*VLOOKUP($A2439,HeadJournal!$A$1:$L$890,COLUMN(HeadJournal!H$1),0),0)</f>
        <v>5534.0179414542017</v>
      </c>
      <c r="Q2439" s="29">
        <v>7000</v>
      </c>
      <c r="R2439" s="31">
        <v>45260</v>
      </c>
      <c r="S2439" s="31" t="s">
        <v>3121</v>
      </c>
      <c r="T2439" s="95" t="str">
        <f t="shared" si="195"/>
        <v>2023 11</v>
      </c>
      <c r="U2439" s="32">
        <f t="shared" si="192"/>
        <v>1465.9820585457983</v>
      </c>
      <c r="V2439" s="22">
        <f t="shared" si="193"/>
        <v>0.2649037415589901</v>
      </c>
      <c r="X2439" s="33"/>
      <c r="Y2439" s="33"/>
    </row>
    <row r="2440" spans="1:25" x14ac:dyDescent="0.2">
      <c r="A2440" s="93" t="s">
        <v>1099</v>
      </c>
      <c r="B2440" s="94">
        <f>IFERROR(VLOOKUP($A2440,HeadJournal!$A$1:$NTR$890,COLUMN(HeadJournal!B$1),0),"")</f>
        <v>0</v>
      </c>
      <c r="C2440" s="94" t="str">
        <f>IFERROR(VLOOKUP($A2440,HeadJournal!$A$1:$NTR$890,COLUMN(HeadJournal!C$1),0),"")</f>
        <v>OZON_OA</v>
      </c>
      <c r="D2440" s="125" t="str">
        <f>IFERROR(VLOOKUP($A2440,HeadJournal!$A$1:$NTR$890,COLUMN(HeadJournal!D$1),0),"")</f>
        <v>Доставлен</v>
      </c>
      <c r="E2440" s="95">
        <f>IFERROR(VLOOKUP($A2440,HeadJournal!$A$1:$NTR$890,COLUMN(HeadJournal!G$1),0),"")</f>
        <v>45244</v>
      </c>
      <c r="F2440" s="95" t="str">
        <f t="shared" si="194"/>
        <v>2023 11</v>
      </c>
      <c r="G2440" s="96" t="s">
        <v>6</v>
      </c>
      <c r="H2440" s="160" t="str">
        <f>RIGHT(Journal!$J2440,9)</f>
        <v>235693361</v>
      </c>
      <c r="I2440" s="96" t="str">
        <f t="shared" si="191"/>
        <v>R-Line</v>
      </c>
      <c r="J2440" s="97" t="s">
        <v>1100</v>
      </c>
      <c r="K2440" s="29">
        <v>3152</v>
      </c>
      <c r="L2440" s="29"/>
      <c r="M2440" s="30">
        <f>IFERROR(VLOOKUP($A2440,HeadJournal!$A$1:$J$890,COLUMN(HeadJournal!I$1),0)*($K2440+$L2440)/(SUMIF($A:$A,$A2440,$K:$K)+SUMIF($A:$A,$A2440,$L:$L)),0)</f>
        <v>0</v>
      </c>
      <c r="N2440" s="30">
        <f>IFERROR((VLOOKUP($A2440,HeadJournal!$A$1:$K$890,COLUMN(HeadJournal!K$1),0)-VLOOKUP($A2440,HeadJournal!$A$1:$K$890,COLUMN(HeadJournal!J$1),0))*($K2440+$L2440)/(SUMIF($A:$A,$A2440,$K:$K)+SUMIF($A:$A,$A2440,$L:$L)),0)</f>
        <v>0</v>
      </c>
      <c r="O2440" s="30">
        <f>IFERROR((VLOOKUP($A2440,HeadJournal!$A$1:$L$890,COLUMN(HeadJournal!L$1),0)*($K2440+$L2440)/(SUMIF($A:$A,$A2440,$K:$K)+SUMIF($A:$A,$A2440,$L:$L)))/VLOOKUP($A2440,HeadJournal!$A$1:$L$890,COLUMN(HeadJournal!H$1),0),0)</f>
        <v>154.7724268177526</v>
      </c>
      <c r="P2440" s="30">
        <f>IFERROR(SUM(K2440:O2440)*VLOOKUP($A2440,HeadJournal!$A$1:$L$890,COLUMN(HeadJournal!H$1),0),0)</f>
        <v>3306.7724268177526</v>
      </c>
      <c r="Q2440" s="29">
        <v>4600</v>
      </c>
      <c r="R2440" s="31">
        <v>45256</v>
      </c>
      <c r="S2440" s="31" t="s">
        <v>3121</v>
      </c>
      <c r="T2440" s="95" t="str">
        <f t="shared" si="195"/>
        <v>2023 11</v>
      </c>
      <c r="U2440" s="32">
        <f t="shared" si="192"/>
        <v>1293.2275731822474</v>
      </c>
      <c r="V2440" s="22">
        <f t="shared" si="193"/>
        <v>0.39108453992607384</v>
      </c>
      <c r="X2440" s="33"/>
      <c r="Y2440" s="33"/>
    </row>
    <row r="2441" spans="1:25" x14ac:dyDescent="0.2">
      <c r="A2441" s="93" t="s">
        <v>1099</v>
      </c>
      <c r="B2441" s="94">
        <f>IFERROR(VLOOKUP($A2441,HeadJournal!$A$1:$NTR$890,COLUMN(HeadJournal!B$1),0),"")</f>
        <v>0</v>
      </c>
      <c r="C2441" s="94" t="str">
        <f>IFERROR(VLOOKUP($A2441,HeadJournal!$A$1:$NTR$890,COLUMN(HeadJournal!C$1),0),"")</f>
        <v>OZON_OA</v>
      </c>
      <c r="D2441" s="125" t="str">
        <f>IFERROR(VLOOKUP($A2441,HeadJournal!$A$1:$NTR$890,COLUMN(HeadJournal!D$1),0),"")</f>
        <v>Доставлен</v>
      </c>
      <c r="E2441" s="95">
        <f>IFERROR(VLOOKUP($A2441,HeadJournal!$A$1:$NTR$890,COLUMN(HeadJournal!G$1),0),"")</f>
        <v>45244</v>
      </c>
      <c r="F2441" s="95" t="str">
        <f t="shared" si="194"/>
        <v>2023 11</v>
      </c>
      <c r="G2441" s="96" t="s">
        <v>6</v>
      </c>
      <c r="H2441" s="160" t="str">
        <f>RIGHT(Journal!$J2441,9)</f>
        <v>235696968</v>
      </c>
      <c r="I2441" s="96" t="str">
        <f t="shared" si="191"/>
        <v>R-Line</v>
      </c>
      <c r="J2441" s="97" t="s">
        <v>1101</v>
      </c>
      <c r="K2441" s="29">
        <v>3152</v>
      </c>
      <c r="L2441" s="29"/>
      <c r="M2441" s="30">
        <f>IFERROR(VLOOKUP($A2441,HeadJournal!$A$1:$J$890,COLUMN(HeadJournal!I$1),0)*($K2441+$L2441)/(SUMIF($A:$A,$A2441,$K:$K)+SUMIF($A:$A,$A2441,$L:$L)),0)</f>
        <v>0</v>
      </c>
      <c r="N2441" s="30">
        <f>IFERROR((VLOOKUP($A2441,HeadJournal!$A$1:$K$890,COLUMN(HeadJournal!K$1),0)-VLOOKUP($A2441,HeadJournal!$A$1:$K$890,COLUMN(HeadJournal!J$1),0))*($K2441+$L2441)/(SUMIF($A:$A,$A2441,$K:$K)+SUMIF($A:$A,$A2441,$L:$L)),0)</f>
        <v>0</v>
      </c>
      <c r="O2441" s="30">
        <f>IFERROR((VLOOKUP($A2441,HeadJournal!$A$1:$L$890,COLUMN(HeadJournal!L$1),0)*($K2441+$L2441)/(SUMIF($A:$A,$A2441,$K:$K)+SUMIF($A:$A,$A2441,$L:$L)))/VLOOKUP($A2441,HeadJournal!$A$1:$L$890,COLUMN(HeadJournal!H$1),0),0)</f>
        <v>154.7724268177526</v>
      </c>
      <c r="P2441" s="30">
        <f>IFERROR(SUM(K2441:O2441)*VLOOKUP($A2441,HeadJournal!$A$1:$L$890,COLUMN(HeadJournal!H$1),0),0)</f>
        <v>3306.7724268177526</v>
      </c>
      <c r="Q2441" s="29">
        <v>4600</v>
      </c>
      <c r="R2441" s="31">
        <v>45256</v>
      </c>
      <c r="S2441" s="31" t="s">
        <v>3121</v>
      </c>
      <c r="T2441" s="95" t="str">
        <f t="shared" si="195"/>
        <v>2023 11</v>
      </c>
      <c r="U2441" s="32">
        <f t="shared" si="192"/>
        <v>1293.2275731822474</v>
      </c>
      <c r="V2441" s="22">
        <f t="shared" si="193"/>
        <v>0.39108453992607384</v>
      </c>
      <c r="X2441" s="33"/>
      <c r="Y2441" s="33"/>
    </row>
    <row r="2442" spans="1:25" x14ac:dyDescent="0.2">
      <c r="A2442" s="93" t="s">
        <v>1099</v>
      </c>
      <c r="B2442" s="94">
        <f>IFERROR(VLOOKUP($A2442,HeadJournal!$A$1:$NTR$890,COLUMN(HeadJournal!B$1),0),"")</f>
        <v>0</v>
      </c>
      <c r="C2442" s="94" t="str">
        <f>IFERROR(VLOOKUP($A2442,HeadJournal!$A$1:$NTR$890,COLUMN(HeadJournal!C$1),0),"")</f>
        <v>OZON_OA</v>
      </c>
      <c r="D2442" s="125" t="str">
        <f>IFERROR(VLOOKUP($A2442,HeadJournal!$A$1:$NTR$890,COLUMN(HeadJournal!D$1),0),"")</f>
        <v>Доставлен</v>
      </c>
      <c r="E2442" s="95">
        <f>IFERROR(VLOOKUP($A2442,HeadJournal!$A$1:$NTR$890,COLUMN(HeadJournal!G$1),0),"")</f>
        <v>45244</v>
      </c>
      <c r="F2442" s="95" t="str">
        <f t="shared" si="194"/>
        <v>2023 11</v>
      </c>
      <c r="G2442" s="96" t="s">
        <v>6</v>
      </c>
      <c r="H2442" s="160" t="str">
        <f>RIGHT(Journal!$J2442,9)</f>
        <v>158717286</v>
      </c>
      <c r="I2442" s="96" t="str">
        <f t="shared" si="191"/>
        <v>50BMG pharm</v>
      </c>
      <c r="J2442" s="97" t="s">
        <v>1102</v>
      </c>
      <c r="K2442" s="29">
        <v>3546</v>
      </c>
      <c r="L2442" s="29"/>
      <c r="M2442" s="30">
        <f>IFERROR(VLOOKUP($A2442,HeadJournal!$A$1:$J$890,COLUMN(HeadJournal!I$1),0)*($K2442+$L2442)/(SUMIF($A:$A,$A2442,$K:$K)+SUMIF($A:$A,$A2442,$L:$L)),0)</f>
        <v>0</v>
      </c>
      <c r="N2442" s="30">
        <f>IFERROR((VLOOKUP($A2442,HeadJournal!$A$1:$K$890,COLUMN(HeadJournal!K$1),0)-VLOOKUP($A2442,HeadJournal!$A$1:$K$890,COLUMN(HeadJournal!J$1),0))*($K2442+$L2442)/(SUMIF($A:$A,$A2442,$K:$K)+SUMIF($A:$A,$A2442,$L:$L)),0)</f>
        <v>0</v>
      </c>
      <c r="O2442" s="30">
        <f>IFERROR((VLOOKUP($A2442,HeadJournal!$A$1:$L$890,COLUMN(HeadJournal!L$1),0)*($K2442+$L2442)/(SUMIF($A:$A,$A2442,$K:$K)+SUMIF($A:$A,$A2442,$L:$L)))/VLOOKUP($A2442,HeadJournal!$A$1:$L$890,COLUMN(HeadJournal!H$1),0),0)</f>
        <v>174.11898016997168</v>
      </c>
      <c r="P2442" s="30">
        <f>IFERROR(SUM(K2442:O2442)*VLOOKUP($A2442,HeadJournal!$A$1:$L$890,COLUMN(HeadJournal!H$1),0),0)</f>
        <v>3720.1189801699716</v>
      </c>
      <c r="Q2442" s="29">
        <v>4900</v>
      </c>
      <c r="R2442" s="31">
        <v>45256</v>
      </c>
      <c r="S2442" s="31" t="s">
        <v>3121</v>
      </c>
      <c r="T2442" s="95" t="str">
        <f t="shared" si="195"/>
        <v>2023 11</v>
      </c>
      <c r="U2442" s="32">
        <f t="shared" si="192"/>
        <v>1179.8810198300284</v>
      </c>
      <c r="V2442" s="22">
        <f t="shared" si="193"/>
        <v>0.31716217307009892</v>
      </c>
      <c r="X2442" s="33"/>
      <c r="Y2442" s="33"/>
    </row>
    <row r="2443" spans="1:25" x14ac:dyDescent="0.2">
      <c r="A2443" s="93" t="s">
        <v>1099</v>
      </c>
      <c r="B2443" s="94">
        <f>IFERROR(VLOOKUP($A2443,HeadJournal!$A$1:$NTR$890,COLUMN(HeadJournal!B$1),0),"")</f>
        <v>0</v>
      </c>
      <c r="C2443" s="94" t="str">
        <f>IFERROR(VLOOKUP($A2443,HeadJournal!$A$1:$NTR$890,COLUMN(HeadJournal!C$1),0),"")</f>
        <v>OZON_OA</v>
      </c>
      <c r="D2443" s="125" t="str">
        <f>IFERROR(VLOOKUP($A2443,HeadJournal!$A$1:$NTR$890,COLUMN(HeadJournal!D$1),0),"")</f>
        <v>Доставлен</v>
      </c>
      <c r="E2443" s="95">
        <f>IFERROR(VLOOKUP($A2443,HeadJournal!$A$1:$NTR$890,COLUMN(HeadJournal!G$1),0),"")</f>
        <v>45244</v>
      </c>
      <c r="F2443" s="95" t="str">
        <f t="shared" si="194"/>
        <v>2023 11</v>
      </c>
      <c r="G2443" s="96" t="s">
        <v>6</v>
      </c>
      <c r="H2443" s="160" t="str">
        <f>RIGHT(Journal!$J2443,9)</f>
        <v>158717286</v>
      </c>
      <c r="I2443" s="96" t="str">
        <f t="shared" si="191"/>
        <v>50BMG pharm</v>
      </c>
      <c r="J2443" s="97" t="s">
        <v>1102</v>
      </c>
      <c r="K2443" s="29">
        <v>3546</v>
      </c>
      <c r="L2443" s="29"/>
      <c r="M2443" s="30">
        <f>IFERROR(VLOOKUP($A2443,HeadJournal!$A$1:$J$890,COLUMN(HeadJournal!I$1),0)*($K2443+$L2443)/(SUMIF($A:$A,$A2443,$K:$K)+SUMIF($A:$A,$A2443,$L:$L)),0)</f>
        <v>0</v>
      </c>
      <c r="N2443" s="30">
        <f>IFERROR((VLOOKUP($A2443,HeadJournal!$A$1:$K$890,COLUMN(HeadJournal!K$1),0)-VLOOKUP($A2443,HeadJournal!$A$1:$K$890,COLUMN(HeadJournal!J$1),0))*($K2443+$L2443)/(SUMIF($A:$A,$A2443,$K:$K)+SUMIF($A:$A,$A2443,$L:$L)),0)</f>
        <v>0</v>
      </c>
      <c r="O2443" s="30">
        <f>IFERROR((VLOOKUP($A2443,HeadJournal!$A$1:$L$890,COLUMN(HeadJournal!L$1),0)*($K2443+$L2443)/(SUMIF($A:$A,$A2443,$K:$K)+SUMIF($A:$A,$A2443,$L:$L)))/VLOOKUP($A2443,HeadJournal!$A$1:$L$890,COLUMN(HeadJournal!H$1),0),0)</f>
        <v>174.11898016997168</v>
      </c>
      <c r="P2443" s="30">
        <f>IFERROR(SUM(K2443:O2443)*VLOOKUP($A2443,HeadJournal!$A$1:$L$890,COLUMN(HeadJournal!H$1),0),0)</f>
        <v>3720.1189801699716</v>
      </c>
      <c r="Q2443" s="29">
        <v>4900</v>
      </c>
      <c r="R2443" s="31">
        <v>45256</v>
      </c>
      <c r="S2443" s="31" t="s">
        <v>3121</v>
      </c>
      <c r="T2443" s="95" t="str">
        <f t="shared" si="195"/>
        <v>2023 11</v>
      </c>
      <c r="U2443" s="32">
        <f t="shared" si="192"/>
        <v>1179.8810198300284</v>
      </c>
      <c r="V2443" s="22">
        <f t="shared" si="193"/>
        <v>0.31716217307009892</v>
      </c>
      <c r="X2443" s="33"/>
      <c r="Y2443" s="33"/>
    </row>
    <row r="2444" spans="1:25" x14ac:dyDescent="0.2">
      <c r="A2444" s="93" t="s">
        <v>1103</v>
      </c>
      <c r="B2444" s="94">
        <f>IFERROR(VLOOKUP($A2444,HeadJournal!$A$1:$NTR$890,COLUMN(HeadJournal!B$1),0),"")</f>
        <v>0</v>
      </c>
      <c r="C2444" s="94" t="str">
        <f>IFERROR(VLOOKUP($A2444,HeadJournal!$A$1:$NTR$890,COLUMN(HeadJournal!C$1),0),"")</f>
        <v>OZON_OA</v>
      </c>
      <c r="D2444" s="125" t="str">
        <f>IFERROR(VLOOKUP($A2444,HeadJournal!$A$1:$NTR$890,COLUMN(HeadJournal!D$1),0),"")</f>
        <v>Доставлен</v>
      </c>
      <c r="E2444" s="95">
        <f>IFERROR(VLOOKUP($A2444,HeadJournal!$A$1:$NTR$890,COLUMN(HeadJournal!G$1),0),"")</f>
        <v>45245</v>
      </c>
      <c r="F2444" s="95" t="str">
        <f t="shared" si="194"/>
        <v>2023 11</v>
      </c>
      <c r="G2444" s="96" t="s">
        <v>6</v>
      </c>
      <c r="H2444" s="160" t="str">
        <f>RIGHT(Journal!$J2444,9)</f>
        <v>999025023</v>
      </c>
      <c r="I2444" s="96" t="str">
        <f t="shared" si="191"/>
        <v>Maxler</v>
      </c>
      <c r="J2444" s="97" t="s">
        <v>1035</v>
      </c>
      <c r="K2444" s="29">
        <v>944</v>
      </c>
      <c r="L2444" s="29"/>
      <c r="M2444" s="30">
        <f>IFERROR(VLOOKUP($A2444,HeadJournal!$A$1:$J$890,COLUMN(HeadJournal!I$1),0)*($K2444+$L2444)/(SUMIF($A:$A,$A2444,$K:$K)+SUMIF($A:$A,$A2444,$L:$L)),0)</f>
        <v>0</v>
      </c>
      <c r="N2444" s="30">
        <f>IFERROR((VLOOKUP($A2444,HeadJournal!$A$1:$K$890,COLUMN(HeadJournal!K$1),0)-VLOOKUP($A2444,HeadJournal!$A$1:$K$890,COLUMN(HeadJournal!J$1),0))*($K2444+$L2444)/(SUMIF($A:$A,$A2444,$K:$K)+SUMIF($A:$A,$A2444,$L:$L)),0)</f>
        <v>0</v>
      </c>
      <c r="O2444" s="30">
        <f>IFERROR((VLOOKUP($A2444,HeadJournal!$A$1:$L$890,COLUMN(HeadJournal!L$1),0)*($K2444+$L2444)/(SUMIF($A:$A,$A2444,$K:$K)+SUMIF($A:$A,$A2444,$L:$L)))/VLOOKUP($A2444,HeadJournal!$A$1:$L$890,COLUMN(HeadJournal!H$1),0),0)</f>
        <v>46.353163361661942</v>
      </c>
      <c r="P2444" s="30">
        <f>IFERROR(SUM(K2444:O2444)*VLOOKUP($A2444,HeadJournal!$A$1:$L$890,COLUMN(HeadJournal!H$1),0),0)</f>
        <v>990.35316336166193</v>
      </c>
      <c r="Q2444" s="29">
        <v>1700</v>
      </c>
      <c r="R2444" s="31">
        <v>45364</v>
      </c>
      <c r="S2444" s="31" t="s">
        <v>3121</v>
      </c>
      <c r="T2444" s="95" t="str">
        <f t="shared" si="195"/>
        <v>2024 03</v>
      </c>
      <c r="U2444" s="32">
        <f t="shared" si="192"/>
        <v>709.64683663833807</v>
      </c>
      <c r="V2444" s="22">
        <f t="shared" si="193"/>
        <v>0.7165593678011869</v>
      </c>
      <c r="X2444" s="33"/>
      <c r="Y2444" s="33"/>
    </row>
    <row r="2445" spans="1:25" x14ac:dyDescent="0.2">
      <c r="A2445" s="93" t="s">
        <v>1103</v>
      </c>
      <c r="B2445" s="94">
        <f>IFERROR(VLOOKUP($A2445,HeadJournal!$A$1:$NTR$890,COLUMN(HeadJournal!B$1),0),"")</f>
        <v>0</v>
      </c>
      <c r="C2445" s="94" t="str">
        <f>IFERROR(VLOOKUP($A2445,HeadJournal!$A$1:$NTR$890,COLUMN(HeadJournal!C$1),0),"")</f>
        <v>OZON_OA</v>
      </c>
      <c r="D2445" s="125" t="str">
        <f>IFERROR(VLOOKUP($A2445,HeadJournal!$A$1:$NTR$890,COLUMN(HeadJournal!D$1),0),"")</f>
        <v>Доставлен</v>
      </c>
      <c r="E2445" s="95">
        <f>IFERROR(VLOOKUP($A2445,HeadJournal!$A$1:$NTR$890,COLUMN(HeadJournal!G$1),0),"")</f>
        <v>45245</v>
      </c>
      <c r="F2445" s="95" t="str">
        <f t="shared" si="194"/>
        <v>2023 11</v>
      </c>
      <c r="G2445" s="96" t="s">
        <v>6</v>
      </c>
      <c r="H2445" s="160" t="str">
        <f>RIGHT(Journal!$J2445,9)</f>
        <v>999025023</v>
      </c>
      <c r="I2445" s="96" t="str">
        <f t="shared" si="191"/>
        <v>Maxler</v>
      </c>
      <c r="J2445" s="97" t="s">
        <v>1035</v>
      </c>
      <c r="K2445" s="29">
        <v>944</v>
      </c>
      <c r="L2445" s="29"/>
      <c r="M2445" s="30">
        <f>IFERROR(VLOOKUP($A2445,HeadJournal!$A$1:$J$890,COLUMN(HeadJournal!I$1),0)*($K2445+$L2445)/(SUMIF($A:$A,$A2445,$K:$K)+SUMIF($A:$A,$A2445,$L:$L)),0)</f>
        <v>0</v>
      </c>
      <c r="N2445" s="30">
        <f>IFERROR((VLOOKUP($A2445,HeadJournal!$A$1:$K$890,COLUMN(HeadJournal!K$1),0)-VLOOKUP($A2445,HeadJournal!$A$1:$K$890,COLUMN(HeadJournal!J$1),0))*($K2445+$L2445)/(SUMIF($A:$A,$A2445,$K:$K)+SUMIF($A:$A,$A2445,$L:$L)),0)</f>
        <v>0</v>
      </c>
      <c r="O2445" s="30">
        <f>IFERROR((VLOOKUP($A2445,HeadJournal!$A$1:$L$890,COLUMN(HeadJournal!L$1),0)*($K2445+$L2445)/(SUMIF($A:$A,$A2445,$K:$K)+SUMIF($A:$A,$A2445,$L:$L)))/VLOOKUP($A2445,HeadJournal!$A$1:$L$890,COLUMN(HeadJournal!H$1),0),0)</f>
        <v>46.353163361661942</v>
      </c>
      <c r="P2445" s="30">
        <f>IFERROR(SUM(K2445:O2445)*VLOOKUP($A2445,HeadJournal!$A$1:$L$890,COLUMN(HeadJournal!H$1),0),0)</f>
        <v>990.35316336166193</v>
      </c>
      <c r="Q2445" s="29">
        <v>1600</v>
      </c>
      <c r="R2445" s="31">
        <v>45465</v>
      </c>
      <c r="S2445" s="31" t="s">
        <v>3121</v>
      </c>
      <c r="T2445" s="95" t="str">
        <f t="shared" si="195"/>
        <v>2024 06</v>
      </c>
      <c r="U2445" s="32">
        <f t="shared" si="192"/>
        <v>609.64683663833807</v>
      </c>
      <c r="V2445" s="22">
        <f t="shared" si="193"/>
        <v>0.61558528734229356</v>
      </c>
      <c r="X2445" s="33"/>
      <c r="Y2445" s="33"/>
    </row>
    <row r="2446" spans="1:25" x14ac:dyDescent="0.2">
      <c r="A2446" s="93" t="s">
        <v>1104</v>
      </c>
      <c r="B2446" s="94">
        <f>IFERROR(VLOOKUP($A2446,HeadJournal!$A$1:$NTR$890,COLUMN(HeadJournal!B$1),0),"")</f>
        <v>0</v>
      </c>
      <c r="C2446" s="94" t="str">
        <f>IFERROR(VLOOKUP($A2446,HeadJournal!$A$1:$NTR$890,COLUMN(HeadJournal!C$1),0),"")</f>
        <v>WBRS</v>
      </c>
      <c r="D2446" s="125" t="str">
        <f>IFERROR(VLOOKUP($A2446,HeadJournal!$A$1:$NTR$890,COLUMN(HeadJournal!D$1),0),"")</f>
        <v>Доставлен</v>
      </c>
      <c r="E2446" s="95">
        <f>IFERROR(VLOOKUP($A2446,HeadJournal!$A$1:$NTR$890,COLUMN(HeadJournal!G$1),0),"")</f>
        <v>45244</v>
      </c>
      <c r="F2446" s="95" t="str">
        <f t="shared" si="194"/>
        <v>2023 11</v>
      </c>
      <c r="G2446" s="96" t="s">
        <v>6</v>
      </c>
      <c r="H2446" s="160" t="str">
        <f>RIGHT(Journal!$J2446,9)</f>
        <v>015958935</v>
      </c>
      <c r="I2446" s="96" t="str">
        <f t="shared" ref="I2446:I2507" si="196">IFERROR(LEFT(J2446,FIND(",",J2446)-1),"")</f>
        <v>SKILLS NUTRITION</v>
      </c>
      <c r="J2446" s="97" t="s">
        <v>1105</v>
      </c>
      <c r="K2446" s="29">
        <v>1245</v>
      </c>
      <c r="L2446" s="29"/>
      <c r="M2446" s="30">
        <f>IFERROR(VLOOKUP($A2446,HeadJournal!$A$1:$J$890,COLUMN(HeadJournal!I$1),0)*($K2446+$L2446)/(SUMIF($A:$A,$A2446,$K:$K)+SUMIF($A:$A,$A2446,$L:$L)),0)</f>
        <v>0</v>
      </c>
      <c r="N2446" s="30">
        <f>IFERROR((VLOOKUP($A2446,HeadJournal!$A$1:$K$890,COLUMN(HeadJournal!K$1),0)-VLOOKUP($A2446,HeadJournal!$A$1:$K$890,COLUMN(HeadJournal!J$1),0))*($K2446+$L2446)/(SUMIF($A:$A,$A2446,$K:$K)+SUMIF($A:$A,$A2446,$L:$L)),0)</f>
        <v>0</v>
      </c>
      <c r="O2446" s="30">
        <f>IFERROR((VLOOKUP($A2446,HeadJournal!$A$1:$L$890,COLUMN(HeadJournal!L$1),0)*($K2446+$L2446)/(SUMIF($A:$A,$A2446,$K:$K)+SUMIF($A:$A,$A2446,$L:$L)))/VLOOKUP($A2446,HeadJournal!$A$1:$L$890,COLUMN(HeadJournal!H$1),0),0)</f>
        <v>61.13314447592068</v>
      </c>
      <c r="P2446" s="30">
        <f>IFERROR(SUM(K2446:O2446)*VLOOKUP($A2446,HeadJournal!$A$1:$L$890,COLUMN(HeadJournal!H$1),0),0)</f>
        <v>1306.1331444759207</v>
      </c>
      <c r="Q2446" s="29">
        <v>1700</v>
      </c>
      <c r="R2446" s="31">
        <v>45256</v>
      </c>
      <c r="S2446" s="31" t="s">
        <v>3121</v>
      </c>
      <c r="T2446" s="95" t="str">
        <f t="shared" si="195"/>
        <v>2023 11</v>
      </c>
      <c r="U2446" s="32">
        <f t="shared" si="192"/>
        <v>393.86685552407926</v>
      </c>
      <c r="V2446" s="22">
        <f t="shared" si="193"/>
        <v>0.30155184193118101</v>
      </c>
      <c r="X2446" s="33"/>
      <c r="Y2446" s="33"/>
    </row>
    <row r="2447" spans="1:25" x14ac:dyDescent="0.2">
      <c r="A2447" s="93" t="s">
        <v>1104</v>
      </c>
      <c r="B2447" s="94">
        <f>IFERROR(VLOOKUP($A2447,HeadJournal!$A$1:$NTR$890,COLUMN(HeadJournal!B$1),0),"")</f>
        <v>0</v>
      </c>
      <c r="C2447" s="94" t="str">
        <f>IFERROR(VLOOKUP($A2447,HeadJournal!$A$1:$NTR$890,COLUMN(HeadJournal!C$1),0),"")</f>
        <v>WBRS</v>
      </c>
      <c r="D2447" s="125" t="str">
        <f>IFERROR(VLOOKUP($A2447,HeadJournal!$A$1:$NTR$890,COLUMN(HeadJournal!D$1),0),"")</f>
        <v>Доставлен</v>
      </c>
      <c r="E2447" s="95">
        <f>IFERROR(VLOOKUP($A2447,HeadJournal!$A$1:$NTR$890,COLUMN(HeadJournal!G$1),0),"")</f>
        <v>45244</v>
      </c>
      <c r="F2447" s="95" t="str">
        <f t="shared" si="194"/>
        <v>2023 11</v>
      </c>
      <c r="G2447" s="96" t="s">
        <v>6</v>
      </c>
      <c r="H2447" s="160" t="str">
        <f>RIGHT(Journal!$J2447,9)</f>
        <v>015958935</v>
      </c>
      <c r="I2447" s="96" t="str">
        <f t="shared" si="196"/>
        <v>SKILLS NUTRITION</v>
      </c>
      <c r="J2447" s="97" t="s">
        <v>1105</v>
      </c>
      <c r="K2447" s="29">
        <v>1245</v>
      </c>
      <c r="L2447" s="29"/>
      <c r="M2447" s="30">
        <f>IFERROR(VLOOKUP($A2447,HeadJournal!$A$1:$J$890,COLUMN(HeadJournal!I$1),0)*($K2447+$L2447)/(SUMIF($A:$A,$A2447,$K:$K)+SUMIF($A:$A,$A2447,$L:$L)),0)</f>
        <v>0</v>
      </c>
      <c r="N2447" s="30">
        <f>IFERROR((VLOOKUP($A2447,HeadJournal!$A$1:$K$890,COLUMN(HeadJournal!K$1),0)-VLOOKUP($A2447,HeadJournal!$A$1:$K$890,COLUMN(HeadJournal!J$1),0))*($K2447+$L2447)/(SUMIF($A:$A,$A2447,$K:$K)+SUMIF($A:$A,$A2447,$L:$L)),0)</f>
        <v>0</v>
      </c>
      <c r="O2447" s="30">
        <f>IFERROR((VLOOKUP($A2447,HeadJournal!$A$1:$L$890,COLUMN(HeadJournal!L$1),0)*($K2447+$L2447)/(SUMIF($A:$A,$A2447,$K:$K)+SUMIF($A:$A,$A2447,$L:$L)))/VLOOKUP($A2447,HeadJournal!$A$1:$L$890,COLUMN(HeadJournal!H$1),0),0)</f>
        <v>61.13314447592068</v>
      </c>
      <c r="P2447" s="30">
        <f>IFERROR(SUM(K2447:O2447)*VLOOKUP($A2447,HeadJournal!$A$1:$L$890,COLUMN(HeadJournal!H$1),0),0)</f>
        <v>1306.1331444759207</v>
      </c>
      <c r="Q2447" s="29">
        <v>1700</v>
      </c>
      <c r="R2447" s="31">
        <v>45256</v>
      </c>
      <c r="S2447" s="31" t="s">
        <v>3121</v>
      </c>
      <c r="T2447" s="95" t="str">
        <f t="shared" si="195"/>
        <v>2023 11</v>
      </c>
      <c r="U2447" s="32">
        <f t="shared" si="192"/>
        <v>393.86685552407926</v>
      </c>
      <c r="V2447" s="22">
        <f t="shared" si="193"/>
        <v>0.30155184193118101</v>
      </c>
      <c r="X2447" s="33"/>
      <c r="Y2447" s="33"/>
    </row>
    <row r="2448" spans="1:25" x14ac:dyDescent="0.2">
      <c r="A2448" s="93" t="s">
        <v>1106</v>
      </c>
      <c r="B2448" s="94">
        <f>IFERROR(VLOOKUP($A2448,HeadJournal!$A$1:$NTR$890,COLUMN(HeadJournal!B$1),0),"")</f>
        <v>0</v>
      </c>
      <c r="C2448" s="94" t="str">
        <f>IFERROR(VLOOKUP($A2448,HeadJournal!$A$1:$NTR$890,COLUMN(HeadJournal!C$1),0),"")</f>
        <v>WBRS</v>
      </c>
      <c r="D2448" s="125" t="str">
        <f>IFERROR(VLOOKUP($A2448,HeadJournal!$A$1:$NTR$890,COLUMN(HeadJournal!D$1),0),"")</f>
        <v>Доставлен</v>
      </c>
      <c r="E2448" s="95">
        <f>IFERROR(VLOOKUP($A2448,HeadJournal!$A$1:$NTR$890,COLUMN(HeadJournal!G$1),0),"")</f>
        <v>45241</v>
      </c>
      <c r="F2448" s="95" t="str">
        <f t="shared" si="194"/>
        <v>2023 11</v>
      </c>
      <c r="G2448" s="96" t="s">
        <v>6</v>
      </c>
      <c r="H2448" s="160" t="str">
        <f>RIGHT(Journal!$J2448,9)</f>
        <v>176208973</v>
      </c>
      <c r="I2448" s="96" t="str">
        <f t="shared" si="196"/>
        <v>Maxler</v>
      </c>
      <c r="J2448" s="97" t="s">
        <v>481</v>
      </c>
      <c r="K2448" s="29">
        <v>1713</v>
      </c>
      <c r="L2448" s="29"/>
      <c r="M2448" s="30">
        <f>IFERROR(VLOOKUP($A2448,HeadJournal!$A$1:$J$890,COLUMN(HeadJournal!I$1),0)*($K2448+$L2448)/(SUMIF($A:$A,$A2448,$K:$K)+SUMIF($A:$A,$A2448,$L:$L)),0)</f>
        <v>0</v>
      </c>
      <c r="N2448" s="30">
        <f>IFERROR((VLOOKUP($A2448,HeadJournal!$A$1:$K$890,COLUMN(HeadJournal!K$1),0)-VLOOKUP($A2448,HeadJournal!$A$1:$K$890,COLUMN(HeadJournal!J$1),0))*($K2448+$L2448)/(SUMIF($A:$A,$A2448,$K:$K)+SUMIF($A:$A,$A2448,$L:$L)),0)</f>
        <v>0</v>
      </c>
      <c r="O2448" s="30">
        <f>IFERROR((VLOOKUP($A2448,HeadJournal!$A$1:$L$890,COLUMN(HeadJournal!L$1),0)*($K2448+$L2448)/(SUMIF($A:$A,$A2448,$K:$K)+SUMIF($A:$A,$A2448,$L:$L)))/VLOOKUP($A2448,HeadJournal!$A$1:$L$890,COLUMN(HeadJournal!H$1),0),0)</f>
        <v>84.113314447592074</v>
      </c>
      <c r="P2448" s="30">
        <f>IFERROR(SUM(K2448:O2448)*VLOOKUP($A2448,HeadJournal!$A$1:$L$890,COLUMN(HeadJournal!H$1),0),0)</f>
        <v>1797.1133144475921</v>
      </c>
      <c r="Q2448" s="29">
        <v>2700</v>
      </c>
      <c r="R2448" s="31">
        <v>45340</v>
      </c>
      <c r="S2448" s="31" t="s">
        <v>3121</v>
      </c>
      <c r="T2448" s="95" t="str">
        <f t="shared" si="195"/>
        <v>2024 02</v>
      </c>
      <c r="U2448" s="32">
        <f t="shared" si="192"/>
        <v>902.88668555240793</v>
      </c>
      <c r="V2448" s="22">
        <f t="shared" si="193"/>
        <v>0.5024094353393308</v>
      </c>
      <c r="X2448" s="33"/>
      <c r="Y2448" s="33"/>
    </row>
    <row r="2449" spans="1:25" x14ac:dyDescent="0.2">
      <c r="A2449" s="93" t="s">
        <v>1106</v>
      </c>
      <c r="B2449" s="94">
        <f>IFERROR(VLOOKUP($A2449,HeadJournal!$A$1:$NTR$890,COLUMN(HeadJournal!B$1),0),"")</f>
        <v>0</v>
      </c>
      <c r="C2449" s="94" t="str">
        <f>IFERROR(VLOOKUP($A2449,HeadJournal!$A$1:$NTR$890,COLUMN(HeadJournal!C$1),0),"")</f>
        <v>WBRS</v>
      </c>
      <c r="D2449" s="125" t="str">
        <f>IFERROR(VLOOKUP($A2449,HeadJournal!$A$1:$NTR$890,COLUMN(HeadJournal!D$1),0),"")</f>
        <v>Доставлен</v>
      </c>
      <c r="E2449" s="95">
        <f>IFERROR(VLOOKUP($A2449,HeadJournal!$A$1:$NTR$890,COLUMN(HeadJournal!G$1),0),"")</f>
        <v>45241</v>
      </c>
      <c r="F2449" s="95" t="str">
        <f t="shared" si="194"/>
        <v>2023 11</v>
      </c>
      <c r="G2449" s="96" t="s">
        <v>6</v>
      </c>
      <c r="H2449" s="160" t="str">
        <f>RIGHT(Journal!$J2449,9)</f>
        <v>176208973</v>
      </c>
      <c r="I2449" s="96" t="str">
        <f t="shared" si="196"/>
        <v>Maxler</v>
      </c>
      <c r="J2449" s="97" t="s">
        <v>481</v>
      </c>
      <c r="K2449" s="29">
        <v>1713</v>
      </c>
      <c r="L2449" s="29"/>
      <c r="M2449" s="30">
        <f>IFERROR(VLOOKUP($A2449,HeadJournal!$A$1:$J$890,COLUMN(HeadJournal!I$1),0)*($K2449+$L2449)/(SUMIF($A:$A,$A2449,$K:$K)+SUMIF($A:$A,$A2449,$L:$L)),0)</f>
        <v>0</v>
      </c>
      <c r="N2449" s="30">
        <f>IFERROR((VLOOKUP($A2449,HeadJournal!$A$1:$K$890,COLUMN(HeadJournal!K$1),0)-VLOOKUP($A2449,HeadJournal!$A$1:$K$890,COLUMN(HeadJournal!J$1),0))*($K2449+$L2449)/(SUMIF($A:$A,$A2449,$K:$K)+SUMIF($A:$A,$A2449,$L:$L)),0)</f>
        <v>0</v>
      </c>
      <c r="O2449" s="30">
        <f>IFERROR((VLOOKUP($A2449,HeadJournal!$A$1:$L$890,COLUMN(HeadJournal!L$1),0)*($K2449+$L2449)/(SUMIF($A:$A,$A2449,$K:$K)+SUMIF($A:$A,$A2449,$L:$L)))/VLOOKUP($A2449,HeadJournal!$A$1:$L$890,COLUMN(HeadJournal!H$1),0),0)</f>
        <v>84.113314447592074</v>
      </c>
      <c r="P2449" s="30">
        <f>IFERROR(SUM(K2449:O2449)*VLOOKUP($A2449,HeadJournal!$A$1:$L$890,COLUMN(HeadJournal!H$1),0),0)</f>
        <v>1797.1133144475921</v>
      </c>
      <c r="Q2449" s="29">
        <v>2600</v>
      </c>
      <c r="R2449" s="31">
        <v>45465</v>
      </c>
      <c r="S2449" s="31" t="s">
        <v>3121</v>
      </c>
      <c r="T2449" s="95" t="str">
        <f t="shared" si="195"/>
        <v>2024 06</v>
      </c>
      <c r="U2449" s="32">
        <f t="shared" si="192"/>
        <v>802.88668555240793</v>
      </c>
      <c r="V2449" s="22">
        <f t="shared" si="193"/>
        <v>0.44676464143787409</v>
      </c>
      <c r="X2449" s="33"/>
      <c r="Y2449" s="33"/>
    </row>
    <row r="2450" spans="1:25" x14ac:dyDescent="0.2">
      <c r="A2450" s="93" t="s">
        <v>1107</v>
      </c>
      <c r="B2450" s="94" t="str">
        <f>IFERROR(VLOOKUP($A2450,HeadJournal!$A$1:$NTR$890,COLUMN(HeadJournal!B$1),0),"")</f>
        <v>700000994608</v>
      </c>
      <c r="C2450" s="94" t="str">
        <f>IFERROR(VLOOKUP($A2450,HeadJournal!$A$1:$NTR$890,COLUMN(HeadJournal!C$1),0),"")</f>
        <v>iHerb_AV CYG0792</v>
      </c>
      <c r="D2450" s="125" t="str">
        <f>IFERROR(VLOOKUP($A2450,HeadJournal!$A$1:$NTR$890,COLUMN(HeadJournal!D$1),0),"")</f>
        <v>Доставлен</v>
      </c>
      <c r="E2450" s="95">
        <f>IFERROR(VLOOKUP($A2450,HeadJournal!$A$1:$NTR$890,COLUMN(HeadJournal!G$1),0),"")</f>
        <v>45240</v>
      </c>
      <c r="F2450" s="95" t="str">
        <f t="shared" si="194"/>
        <v>2023 11</v>
      </c>
      <c r="G2450" s="96" t="s">
        <v>5</v>
      </c>
      <c r="H2450" s="161" t="s">
        <v>2543</v>
      </c>
      <c r="I2450" s="97" t="s">
        <v>2544</v>
      </c>
      <c r="J2450" s="97" t="s">
        <v>2545</v>
      </c>
      <c r="K2450" s="29">
        <v>22.9</v>
      </c>
      <c r="L2450" s="29">
        <v>-5.0999999999999996</v>
      </c>
      <c r="M2450" s="30">
        <f>IFERROR(VLOOKUP($A2450,HeadJournal!$A$1:$J$890,COLUMN(HeadJournal!I$1),0)*($K2450+$L2450)/(SUMIF($A:$A,$A2450,$K:$K)+SUMIF($A:$A,$A2450,$L:$L)),0)</f>
        <v>-0.53002901583979445</v>
      </c>
      <c r="N2450" s="30">
        <f>IFERROR((VLOOKUP($A2450,HeadJournal!$A$1:$K$890,COLUMN(HeadJournal!K$1),0)-VLOOKUP($A2450,HeadJournal!$A$1:$K$890,COLUMN(HeadJournal!J$1),0))*($K2450+$L2450)/(SUMIF($A:$A,$A2450,$K:$K)+SUMIF($A:$A,$A2450,$L:$L)),0)</f>
        <v>0</v>
      </c>
      <c r="O2450" s="30">
        <f>IFERROR((VLOOKUP($A2450,HeadJournal!$A$1:$L$890,COLUMN(HeadJournal!L$1),0)*($K2450+$L2450)/(SUMIF($A:$A,$A2450,$K:$K)+SUMIF($A:$A,$A2450,$L:$L)))/VLOOKUP($A2450,HeadJournal!$A$1:$L$890,COLUMN(HeadJournal!H$1),0),0)</f>
        <v>0.56325137103936074</v>
      </c>
      <c r="P2450" s="30">
        <f>IFERROR(SUM(K2450:O2450)*VLOOKUP($A2450,HeadJournal!$A$1:$L$890,COLUMN(HeadJournal!H$1),0),0)</f>
        <v>1876.5101555439278</v>
      </c>
      <c r="Q2450" s="29">
        <v>2800</v>
      </c>
      <c r="R2450" s="31">
        <v>45271</v>
      </c>
      <c r="S2450" s="31" t="s">
        <v>3121</v>
      </c>
      <c r="T2450" s="95" t="str">
        <f t="shared" si="195"/>
        <v>2023 12</v>
      </c>
      <c r="U2450" s="32">
        <f t="shared" si="192"/>
        <v>923.48984445607221</v>
      </c>
      <c r="V2450" s="22">
        <f t="shared" si="193"/>
        <v>0.49213154627899586</v>
      </c>
      <c r="X2450" s="33"/>
      <c r="Y2450" s="33"/>
    </row>
    <row r="2451" spans="1:25" x14ac:dyDescent="0.2">
      <c r="A2451" s="93" t="s">
        <v>1107</v>
      </c>
      <c r="B2451" s="94" t="str">
        <f>IFERROR(VLOOKUP($A2451,HeadJournal!$A$1:$NTR$890,COLUMN(HeadJournal!B$1),0),"")</f>
        <v>700000994608</v>
      </c>
      <c r="C2451" s="94" t="str">
        <f>IFERROR(VLOOKUP($A2451,HeadJournal!$A$1:$NTR$890,COLUMN(HeadJournal!C$1),0),"")</f>
        <v>iHerb_AV CYG0792</v>
      </c>
      <c r="D2451" s="125" t="str">
        <f>IFERROR(VLOOKUP($A2451,HeadJournal!$A$1:$NTR$890,COLUMN(HeadJournal!D$1),0),"")</f>
        <v>Доставлен</v>
      </c>
      <c r="E2451" s="95">
        <f>IFERROR(VLOOKUP($A2451,HeadJournal!$A$1:$NTR$890,COLUMN(HeadJournal!G$1),0),"")</f>
        <v>45240</v>
      </c>
      <c r="F2451" s="95" t="str">
        <f t="shared" si="194"/>
        <v>2023 11</v>
      </c>
      <c r="G2451" s="96" t="s">
        <v>5</v>
      </c>
      <c r="H2451" s="160" t="str">
        <f>RIGHT(Journal!$J2451,9)</f>
        <v>NOW-00993</v>
      </c>
      <c r="I2451" s="96" t="str">
        <f t="shared" si="196"/>
        <v>NOW Foods</v>
      </c>
      <c r="J2451" s="97" t="s">
        <v>1108</v>
      </c>
      <c r="K2451" s="29">
        <v>29.33</v>
      </c>
      <c r="L2451" s="29">
        <v>-6.45</v>
      </c>
      <c r="M2451" s="30">
        <f>IFERROR(VLOOKUP($A2451,HeadJournal!$A$1:$J$890,COLUMN(HeadJournal!I$1),0)*($K2451+$L2451)/(SUMIF($A:$A,$A2451,$K:$K)+SUMIF($A:$A,$A2451,$L:$L)),0)</f>
        <v>-0.68129572373115155</v>
      </c>
      <c r="N2451" s="30">
        <f>IFERROR((VLOOKUP($A2451,HeadJournal!$A$1:$K$890,COLUMN(HeadJournal!K$1),0)-VLOOKUP($A2451,HeadJournal!$A$1:$K$890,COLUMN(HeadJournal!J$1),0))*($K2451+$L2451)/(SUMIF($A:$A,$A2451,$K:$K)+SUMIF($A:$A,$A2451,$L:$L)),0)</f>
        <v>0</v>
      </c>
      <c r="O2451" s="30">
        <f>IFERROR((VLOOKUP($A2451,HeadJournal!$A$1:$L$890,COLUMN(HeadJournal!L$1),0)*($K2451+$L2451)/(SUMIF($A:$A,$A2451,$K:$K)+SUMIF($A:$A,$A2451,$L:$L)))/VLOOKUP($A2451,HeadJournal!$A$1:$L$890,COLUMN(HeadJournal!H$1),0),0)</f>
        <v>0.72399951513374017</v>
      </c>
      <c r="P2451" s="30">
        <f>IFERROR(SUM(K2451:O2451)*VLOOKUP($A2451,HeadJournal!$A$1:$L$890,COLUMN(HeadJournal!H$1),0),0)</f>
        <v>2412.0535033059032</v>
      </c>
      <c r="Q2451" s="29">
        <v>3400</v>
      </c>
      <c r="R2451" s="31">
        <v>45271</v>
      </c>
      <c r="S2451" s="31" t="s">
        <v>3121</v>
      </c>
      <c r="T2451" s="95" t="str">
        <f t="shared" si="195"/>
        <v>2023 12</v>
      </c>
      <c r="U2451" s="32">
        <f t="shared" si="192"/>
        <v>987.94649669409682</v>
      </c>
      <c r="V2451" s="22">
        <f t="shared" si="193"/>
        <v>0.40958730614393124</v>
      </c>
      <c r="X2451" s="33"/>
      <c r="Y2451" s="33"/>
    </row>
    <row r="2452" spans="1:25" x14ac:dyDescent="0.2">
      <c r="A2452" s="93" t="s">
        <v>1107</v>
      </c>
      <c r="B2452" s="94" t="str">
        <f>IFERROR(VLOOKUP($A2452,HeadJournal!$A$1:$NTR$890,COLUMN(HeadJournal!B$1),0),"")</f>
        <v>700000994608</v>
      </c>
      <c r="C2452" s="94" t="str">
        <f>IFERROR(VLOOKUP($A2452,HeadJournal!$A$1:$NTR$890,COLUMN(HeadJournal!C$1),0),"")</f>
        <v>iHerb_AV CYG0792</v>
      </c>
      <c r="D2452" s="125" t="str">
        <f>IFERROR(VLOOKUP($A2452,HeadJournal!$A$1:$NTR$890,COLUMN(HeadJournal!D$1),0),"")</f>
        <v>Доставлен</v>
      </c>
      <c r="E2452" s="95">
        <f>IFERROR(VLOOKUP($A2452,HeadJournal!$A$1:$NTR$890,COLUMN(HeadJournal!G$1),0),"")</f>
        <v>45240</v>
      </c>
      <c r="F2452" s="95" t="str">
        <f t="shared" si="194"/>
        <v>2023 11</v>
      </c>
      <c r="G2452" s="96" t="s">
        <v>5</v>
      </c>
      <c r="H2452" s="160" t="str">
        <f>RIGHT(Journal!$J2452,9)</f>
        <v>EVL-02739</v>
      </c>
      <c r="I2452" s="96" t="str">
        <f t="shared" si="196"/>
        <v>EVLution Nutrition</v>
      </c>
      <c r="J2452" s="97" t="s">
        <v>782</v>
      </c>
      <c r="K2452" s="29">
        <v>13.04</v>
      </c>
      <c r="L2452" s="29">
        <v>-2.8650000000000002</v>
      </c>
      <c r="M2452" s="30">
        <f>IFERROR(VLOOKUP($A2452,HeadJournal!$A$1:$J$890,COLUMN(HeadJournal!I$1),0)*($K2452+$L2452)/(SUMIF($A:$A,$A2452,$K:$K)+SUMIF($A:$A,$A2452,$L:$L)),0)</f>
        <v>-0.30298006944774769</v>
      </c>
      <c r="N2452" s="30">
        <f>IFERROR((VLOOKUP($A2452,HeadJournal!$A$1:$K$890,COLUMN(HeadJournal!K$1),0)-VLOOKUP($A2452,HeadJournal!$A$1:$K$890,COLUMN(HeadJournal!J$1),0))*($K2452+$L2452)/(SUMIF($A:$A,$A2452,$K:$K)+SUMIF($A:$A,$A2452,$L:$L)),0)</f>
        <v>0</v>
      </c>
      <c r="O2452" s="30">
        <f>IFERROR((VLOOKUP($A2452,HeadJournal!$A$1:$L$890,COLUMN(HeadJournal!L$1),0)*($K2452+$L2452)/(SUMIF($A:$A,$A2452,$K:$K)+SUMIF($A:$A,$A2452,$L:$L)))/VLOOKUP($A2452,HeadJournal!$A$1:$L$890,COLUMN(HeadJournal!H$1),0),0)</f>
        <v>0.32197093822053346</v>
      </c>
      <c r="P2452" s="30">
        <f>IFERROR(SUM(K2452:O2452)*VLOOKUP($A2452,HeadJournal!$A$1:$L$890,COLUMN(HeadJournal!H$1),0),0)</f>
        <v>1072.6680243067117</v>
      </c>
      <c r="Q2452" s="29">
        <v>1800</v>
      </c>
      <c r="R2452" s="31">
        <v>45713</v>
      </c>
      <c r="S2452" s="31" t="s">
        <v>3121</v>
      </c>
      <c r="T2452" s="95" t="str">
        <f t="shared" si="195"/>
        <v>2025 02</v>
      </c>
      <c r="U2452" s="32">
        <f t="shared" si="192"/>
        <v>727.33197569328831</v>
      </c>
      <c r="V2452" s="22">
        <f t="shared" si="193"/>
        <v>0.67805878353032711</v>
      </c>
      <c r="X2452" s="33"/>
      <c r="Y2452" s="33"/>
    </row>
    <row r="2453" spans="1:25" x14ac:dyDescent="0.2">
      <c r="A2453" s="93" t="s">
        <v>1107</v>
      </c>
      <c r="B2453" s="94" t="str">
        <f>IFERROR(VLOOKUP($A2453,HeadJournal!$A$1:$NTR$890,COLUMN(HeadJournal!B$1),0),"")</f>
        <v>700000994608</v>
      </c>
      <c r="C2453" s="94" t="str">
        <f>IFERROR(VLOOKUP($A2453,HeadJournal!$A$1:$NTR$890,COLUMN(HeadJournal!C$1),0),"")</f>
        <v>iHerb_AV CYG0792</v>
      </c>
      <c r="D2453" s="125" t="str">
        <f>IFERROR(VLOOKUP($A2453,HeadJournal!$A$1:$NTR$890,COLUMN(HeadJournal!D$1),0),"")</f>
        <v>Доставлен</v>
      </c>
      <c r="E2453" s="95">
        <f>IFERROR(VLOOKUP($A2453,HeadJournal!$A$1:$NTR$890,COLUMN(HeadJournal!G$1),0),"")</f>
        <v>45240</v>
      </c>
      <c r="F2453" s="95" t="str">
        <f t="shared" si="194"/>
        <v>2023 11</v>
      </c>
      <c r="G2453" s="96" t="s">
        <v>5</v>
      </c>
      <c r="H2453" s="160" t="str">
        <f>RIGHT(Journal!$J2453,9)</f>
        <v>EVL-02739</v>
      </c>
      <c r="I2453" s="96" t="str">
        <f t="shared" si="196"/>
        <v>EVLution Nutrition</v>
      </c>
      <c r="J2453" s="97" t="s">
        <v>782</v>
      </c>
      <c r="K2453" s="29">
        <v>13.04</v>
      </c>
      <c r="L2453" s="29">
        <v>-2.8650000000000002</v>
      </c>
      <c r="M2453" s="30">
        <f>IFERROR(VLOOKUP($A2453,HeadJournal!$A$1:$J$890,COLUMN(HeadJournal!I$1),0)*($K2453+$L2453)/(SUMIF($A:$A,$A2453,$K:$K)+SUMIF($A:$A,$A2453,$L:$L)),0)</f>
        <v>-0.30298006944774769</v>
      </c>
      <c r="N2453" s="30">
        <f>IFERROR((VLOOKUP($A2453,HeadJournal!$A$1:$K$890,COLUMN(HeadJournal!K$1),0)-VLOOKUP($A2453,HeadJournal!$A$1:$K$890,COLUMN(HeadJournal!J$1),0))*($K2453+$L2453)/(SUMIF($A:$A,$A2453,$K:$K)+SUMIF($A:$A,$A2453,$L:$L)),0)</f>
        <v>0</v>
      </c>
      <c r="O2453" s="30">
        <f>IFERROR((VLOOKUP($A2453,HeadJournal!$A$1:$L$890,COLUMN(HeadJournal!L$1),0)*($K2453+$L2453)/(SUMIF($A:$A,$A2453,$K:$K)+SUMIF($A:$A,$A2453,$L:$L)))/VLOOKUP($A2453,HeadJournal!$A$1:$L$890,COLUMN(HeadJournal!H$1),0),0)</f>
        <v>0.32197093822053346</v>
      </c>
      <c r="P2453" s="30">
        <f>IFERROR(SUM(K2453:O2453)*VLOOKUP($A2453,HeadJournal!$A$1:$L$890,COLUMN(HeadJournal!H$1),0),0)</f>
        <v>1072.6680243067117</v>
      </c>
      <c r="Q2453" s="29"/>
      <c r="R2453" s="31"/>
      <c r="S2453" s="31"/>
      <c r="T2453" s="95" t="str">
        <f t="shared" si="195"/>
        <v/>
      </c>
      <c r="U2453" s="32">
        <f t="shared" si="192"/>
        <v>-1072.6680243067117</v>
      </c>
      <c r="V2453" s="22" t="str">
        <f t="shared" si="193"/>
        <v/>
      </c>
      <c r="X2453" s="33"/>
      <c r="Y2453" s="33"/>
    </row>
    <row r="2454" spans="1:25" x14ac:dyDescent="0.2">
      <c r="A2454" s="93" t="s">
        <v>1107</v>
      </c>
      <c r="B2454" s="94" t="str">
        <f>IFERROR(VLOOKUP($A2454,HeadJournal!$A$1:$NTR$890,COLUMN(HeadJournal!B$1),0),"")</f>
        <v>700000994608</v>
      </c>
      <c r="C2454" s="94" t="str">
        <f>IFERROR(VLOOKUP($A2454,HeadJournal!$A$1:$NTR$890,COLUMN(HeadJournal!C$1),0),"")</f>
        <v>iHerb_AV CYG0792</v>
      </c>
      <c r="D2454" s="125" t="str">
        <f>IFERROR(VLOOKUP($A2454,HeadJournal!$A$1:$NTR$890,COLUMN(HeadJournal!D$1),0),"")</f>
        <v>Доставлен</v>
      </c>
      <c r="E2454" s="95">
        <f>IFERROR(VLOOKUP($A2454,HeadJournal!$A$1:$NTR$890,COLUMN(HeadJournal!G$1),0),"")</f>
        <v>45240</v>
      </c>
      <c r="F2454" s="95" t="str">
        <f t="shared" si="194"/>
        <v>2023 11</v>
      </c>
      <c r="G2454" s="96" t="s">
        <v>5</v>
      </c>
      <c r="H2454" s="160" t="str">
        <f>RIGHT(Journal!$J2454,9)</f>
        <v>FCD-02860</v>
      </c>
      <c r="I2454" s="96" t="str">
        <f t="shared" si="196"/>
        <v>FITCODE</v>
      </c>
      <c r="J2454" s="97" t="s">
        <v>1031</v>
      </c>
      <c r="K2454" s="29">
        <v>12.66</v>
      </c>
      <c r="L2454" s="29">
        <v>-2.78</v>
      </c>
      <c r="M2454" s="30">
        <f>IFERROR(VLOOKUP($A2454,HeadJournal!$A$1:$J$890,COLUMN(HeadJournal!I$1),0)*($K2454+$L2454)/(SUMIF($A:$A,$A2454,$K:$K)+SUMIF($A:$A,$A2454,$L:$L)),0)</f>
        <v>-0.29419588070208824</v>
      </c>
      <c r="N2454" s="30">
        <f>IFERROR((VLOOKUP($A2454,HeadJournal!$A$1:$K$890,COLUMN(HeadJournal!K$1),0)-VLOOKUP($A2454,HeadJournal!$A$1:$K$890,COLUMN(HeadJournal!J$1),0))*($K2454+$L2454)/(SUMIF($A:$A,$A2454,$K:$K)+SUMIF($A:$A,$A2454,$L:$L)),0)</f>
        <v>0</v>
      </c>
      <c r="O2454" s="30">
        <f>IFERROR((VLOOKUP($A2454,HeadJournal!$A$1:$L$890,COLUMN(HeadJournal!L$1),0)*($K2454+$L2454)/(SUMIF($A:$A,$A2454,$K:$K)+SUMIF($A:$A,$A2454,$L:$L)))/VLOOKUP($A2454,HeadJournal!$A$1:$L$890,COLUMN(HeadJournal!H$1),0),0)</f>
        <v>0.31263615426229696</v>
      </c>
      <c r="P2454" s="30">
        <f>IFERROR(SUM(K2454:O2454)*VLOOKUP($A2454,HeadJournal!$A$1:$L$890,COLUMN(HeadJournal!H$1),0),0)</f>
        <v>1041.5685582457311</v>
      </c>
      <c r="Q2454" s="29">
        <v>1041.57</v>
      </c>
      <c r="R2454" s="31">
        <v>45285</v>
      </c>
      <c r="S2454" s="31" t="s">
        <v>3121</v>
      </c>
      <c r="T2454" s="95" t="str">
        <f t="shared" si="195"/>
        <v>2023 12</v>
      </c>
      <c r="U2454" s="32">
        <f t="shared" si="192"/>
        <v>1.4417542688534013E-3</v>
      </c>
      <c r="V2454" s="22">
        <f t="shared" si="193"/>
        <v>1.3842144690712301E-6</v>
      </c>
      <c r="X2454" s="33"/>
      <c r="Y2454" s="33"/>
    </row>
    <row r="2455" spans="1:25" x14ac:dyDescent="0.2">
      <c r="A2455" s="93" t="s">
        <v>1107</v>
      </c>
      <c r="B2455" s="94" t="str">
        <f>IFERROR(VLOOKUP($A2455,HeadJournal!$A$1:$NTR$890,COLUMN(HeadJournal!B$1),0),"")</f>
        <v>700000994608</v>
      </c>
      <c r="C2455" s="94" t="str">
        <f>IFERROR(VLOOKUP($A2455,HeadJournal!$A$1:$NTR$890,COLUMN(HeadJournal!C$1),0),"")</f>
        <v>iHerb_AV CYG0792</v>
      </c>
      <c r="D2455" s="125" t="str">
        <f>IFERROR(VLOOKUP($A2455,HeadJournal!$A$1:$NTR$890,COLUMN(HeadJournal!D$1),0),"")</f>
        <v>Доставлен</v>
      </c>
      <c r="E2455" s="95">
        <f>IFERROR(VLOOKUP($A2455,HeadJournal!$A$1:$NTR$890,COLUMN(HeadJournal!G$1),0),"")</f>
        <v>45240</v>
      </c>
      <c r="F2455" s="95" t="str">
        <f t="shared" si="194"/>
        <v>2023 11</v>
      </c>
      <c r="G2455" s="96" t="s">
        <v>5</v>
      </c>
      <c r="H2455" s="160" t="str">
        <f>RIGHT(Journal!$J2455,9)</f>
        <v>FCD-02860</v>
      </c>
      <c r="I2455" s="96" t="str">
        <f t="shared" si="196"/>
        <v>FITCODE</v>
      </c>
      <c r="J2455" s="97" t="s">
        <v>1031</v>
      </c>
      <c r="K2455" s="29">
        <v>12.66</v>
      </c>
      <c r="L2455" s="29">
        <v>-2.78</v>
      </c>
      <c r="M2455" s="30">
        <f>IFERROR(VLOOKUP($A2455,HeadJournal!$A$1:$J$890,COLUMN(HeadJournal!I$1),0)*($K2455+$L2455)/(SUMIF($A:$A,$A2455,$K:$K)+SUMIF($A:$A,$A2455,$L:$L)),0)</f>
        <v>-0.29419588070208824</v>
      </c>
      <c r="N2455" s="30">
        <f>IFERROR((VLOOKUP($A2455,HeadJournal!$A$1:$K$890,COLUMN(HeadJournal!K$1),0)-VLOOKUP($A2455,HeadJournal!$A$1:$K$890,COLUMN(HeadJournal!J$1),0))*($K2455+$L2455)/(SUMIF($A:$A,$A2455,$K:$K)+SUMIF($A:$A,$A2455,$L:$L)),0)</f>
        <v>0</v>
      </c>
      <c r="O2455" s="30">
        <f>IFERROR((VLOOKUP($A2455,HeadJournal!$A$1:$L$890,COLUMN(HeadJournal!L$1),0)*($K2455+$L2455)/(SUMIF($A:$A,$A2455,$K:$K)+SUMIF($A:$A,$A2455,$L:$L)))/VLOOKUP($A2455,HeadJournal!$A$1:$L$890,COLUMN(HeadJournal!H$1),0),0)</f>
        <v>0.31263615426229696</v>
      </c>
      <c r="P2455" s="30">
        <f>IFERROR(SUM(K2455:O2455)*VLOOKUP($A2455,HeadJournal!$A$1:$L$890,COLUMN(HeadJournal!H$1),0),0)</f>
        <v>1041.5685582457311</v>
      </c>
      <c r="Q2455" s="29">
        <v>1900</v>
      </c>
      <c r="R2455" s="31">
        <v>45288</v>
      </c>
      <c r="S2455" s="31" t="s">
        <v>3121</v>
      </c>
      <c r="T2455" s="95" t="str">
        <f t="shared" si="195"/>
        <v>2023 12</v>
      </c>
      <c r="U2455" s="32">
        <f t="shared" si="192"/>
        <v>858.43144175426892</v>
      </c>
      <c r="V2455" s="22">
        <f t="shared" si="193"/>
        <v>0.82417180795096956</v>
      </c>
      <c r="X2455" s="33"/>
      <c r="Y2455" s="33"/>
    </row>
    <row r="2456" spans="1:25" x14ac:dyDescent="0.2">
      <c r="A2456" s="93" t="s">
        <v>1107</v>
      </c>
      <c r="B2456" s="94" t="str">
        <f>IFERROR(VLOOKUP($A2456,HeadJournal!$A$1:$NTR$890,COLUMN(HeadJournal!B$1),0),"")</f>
        <v>700000994608</v>
      </c>
      <c r="C2456" s="94" t="str">
        <f>IFERROR(VLOOKUP($A2456,HeadJournal!$A$1:$NTR$890,COLUMN(HeadJournal!C$1),0),"")</f>
        <v>iHerb_AV CYG0792</v>
      </c>
      <c r="D2456" s="125" t="str">
        <f>IFERROR(VLOOKUP($A2456,HeadJournal!$A$1:$NTR$890,COLUMN(HeadJournal!D$1),0),"")</f>
        <v>Доставлен</v>
      </c>
      <c r="E2456" s="95">
        <f>IFERROR(VLOOKUP($A2456,HeadJournal!$A$1:$NTR$890,COLUMN(HeadJournal!G$1),0),"")</f>
        <v>45240</v>
      </c>
      <c r="F2456" s="95" t="str">
        <f t="shared" si="194"/>
        <v>2023 11</v>
      </c>
      <c r="G2456" s="96" t="s">
        <v>5</v>
      </c>
      <c r="H2456" s="160" t="str">
        <f>RIGHT(Journal!$J2456,9)</f>
        <v>NCS-67028</v>
      </c>
      <c r="I2456" s="96" t="str">
        <f t="shared" si="196"/>
        <v>Nutricost</v>
      </c>
      <c r="J2456" s="97" t="s">
        <v>1109</v>
      </c>
      <c r="K2456" s="29">
        <v>15.62</v>
      </c>
      <c r="L2456" s="29">
        <v>-3.4350000000000001</v>
      </c>
      <c r="M2456" s="30">
        <f>IFERROR(VLOOKUP($A2456,HeadJournal!$A$1:$J$890,COLUMN(HeadJournal!I$1),0)*($K2456+$L2456)/(SUMIF($A:$A,$A2456,$K:$K)+SUMIF($A:$A,$A2456,$L:$L)),0)</f>
        <v>-0.36283166056224136</v>
      </c>
      <c r="N2456" s="30">
        <f>IFERROR((VLOOKUP($A2456,HeadJournal!$A$1:$K$890,COLUMN(HeadJournal!K$1),0)-VLOOKUP($A2456,HeadJournal!$A$1:$K$890,COLUMN(HeadJournal!J$1),0))*($K2456+$L2456)/(SUMIF($A:$A,$A2456,$K:$K)+SUMIF($A:$A,$A2456,$L:$L)),0)</f>
        <v>0</v>
      </c>
      <c r="O2456" s="30">
        <f>IFERROR((VLOOKUP($A2456,HeadJournal!$A$1:$L$890,COLUMN(HeadJournal!L$1),0)*($K2456+$L2456)/(SUMIF($A:$A,$A2456,$K:$K)+SUMIF($A:$A,$A2456,$L:$L)))/VLOOKUP($A2456,HeadJournal!$A$1:$L$890,COLUMN(HeadJournal!H$1),0),0)</f>
        <v>0.38557404247834892</v>
      </c>
      <c r="P2456" s="30">
        <f>IFERROR(SUM(K2456:O2456)*VLOOKUP($A2456,HeadJournal!$A$1:$L$890,COLUMN(HeadJournal!H$1),0),0)</f>
        <v>1284.5660811967844</v>
      </c>
      <c r="Q2456" s="29">
        <v>2300</v>
      </c>
      <c r="R2456" s="31">
        <v>45271</v>
      </c>
      <c r="S2456" s="31" t="s">
        <v>3121</v>
      </c>
      <c r="T2456" s="95" t="str">
        <f t="shared" si="195"/>
        <v>2023 12</v>
      </c>
      <c r="U2456" s="32">
        <f t="shared" si="192"/>
        <v>1015.4339188032156</v>
      </c>
      <c r="V2456" s="22">
        <f t="shared" si="193"/>
        <v>0.79048788043443596</v>
      </c>
      <c r="X2456" s="33"/>
      <c r="Y2456" s="33"/>
    </row>
    <row r="2457" spans="1:25" x14ac:dyDescent="0.2">
      <c r="A2457" s="93" t="s">
        <v>1107</v>
      </c>
      <c r="B2457" s="94" t="str">
        <f>IFERROR(VLOOKUP($A2457,HeadJournal!$A$1:$NTR$890,COLUMN(HeadJournal!B$1),0),"")</f>
        <v>700000994608</v>
      </c>
      <c r="C2457" s="94" t="str">
        <f>IFERROR(VLOOKUP($A2457,HeadJournal!$A$1:$NTR$890,COLUMN(HeadJournal!C$1),0),"")</f>
        <v>iHerb_AV CYG0792</v>
      </c>
      <c r="D2457" s="125" t="str">
        <f>IFERROR(VLOOKUP($A2457,HeadJournal!$A$1:$NTR$890,COLUMN(HeadJournal!D$1),0),"")</f>
        <v>Доставлен</v>
      </c>
      <c r="E2457" s="95">
        <f>IFERROR(VLOOKUP($A2457,HeadJournal!$A$1:$NTR$890,COLUMN(HeadJournal!G$1),0),"")</f>
        <v>45240</v>
      </c>
      <c r="F2457" s="95" t="str">
        <f t="shared" si="194"/>
        <v>2023 11</v>
      </c>
      <c r="G2457" s="96" t="s">
        <v>5</v>
      </c>
      <c r="H2457" s="160" t="str">
        <f>RIGHT(Journal!$J2457,9)</f>
        <v>NCS-67028</v>
      </c>
      <c r="I2457" s="96" t="str">
        <f t="shared" si="196"/>
        <v>Nutricost</v>
      </c>
      <c r="J2457" s="97" t="s">
        <v>1109</v>
      </c>
      <c r="K2457" s="29">
        <v>15.62</v>
      </c>
      <c r="L2457" s="29">
        <v>-3.4350000000000001</v>
      </c>
      <c r="M2457" s="30">
        <f>IFERROR(VLOOKUP($A2457,HeadJournal!$A$1:$J$890,COLUMN(HeadJournal!I$1),0)*($K2457+$L2457)/(SUMIF($A:$A,$A2457,$K:$K)+SUMIF($A:$A,$A2457,$L:$L)),0)</f>
        <v>-0.36283166056224136</v>
      </c>
      <c r="N2457" s="30">
        <f>IFERROR((VLOOKUP($A2457,HeadJournal!$A$1:$K$890,COLUMN(HeadJournal!K$1),0)-VLOOKUP($A2457,HeadJournal!$A$1:$K$890,COLUMN(HeadJournal!J$1),0))*($K2457+$L2457)/(SUMIF($A:$A,$A2457,$K:$K)+SUMIF($A:$A,$A2457,$L:$L)),0)</f>
        <v>0</v>
      </c>
      <c r="O2457" s="30">
        <f>IFERROR((VLOOKUP($A2457,HeadJournal!$A$1:$L$890,COLUMN(HeadJournal!L$1),0)*($K2457+$L2457)/(SUMIF($A:$A,$A2457,$K:$K)+SUMIF($A:$A,$A2457,$L:$L)))/VLOOKUP($A2457,HeadJournal!$A$1:$L$890,COLUMN(HeadJournal!H$1),0),0)</f>
        <v>0.38557404247834892</v>
      </c>
      <c r="P2457" s="30">
        <f>IFERROR(SUM(K2457:O2457)*VLOOKUP($A2457,HeadJournal!$A$1:$L$890,COLUMN(HeadJournal!H$1),0),0)</f>
        <v>1284.5660811967844</v>
      </c>
      <c r="Q2457" s="29">
        <v>2300</v>
      </c>
      <c r="R2457" s="31">
        <v>45271</v>
      </c>
      <c r="S2457" s="31" t="s">
        <v>3121</v>
      </c>
      <c r="T2457" s="95" t="str">
        <f t="shared" si="195"/>
        <v>2023 12</v>
      </c>
      <c r="U2457" s="32">
        <f t="shared" si="192"/>
        <v>1015.4339188032156</v>
      </c>
      <c r="V2457" s="22">
        <f t="shared" si="193"/>
        <v>0.79048788043443596</v>
      </c>
      <c r="X2457" s="33"/>
      <c r="Y2457" s="33"/>
    </row>
    <row r="2458" spans="1:25" x14ac:dyDescent="0.2">
      <c r="A2458" s="93" t="s">
        <v>1107</v>
      </c>
      <c r="B2458" s="94" t="str">
        <f>IFERROR(VLOOKUP($A2458,HeadJournal!$A$1:$NTR$890,COLUMN(HeadJournal!B$1),0),"")</f>
        <v>700000994608</v>
      </c>
      <c r="C2458" s="94" t="str">
        <f>IFERROR(VLOOKUP($A2458,HeadJournal!$A$1:$NTR$890,COLUMN(HeadJournal!C$1),0),"")</f>
        <v>iHerb_AV CYG0792</v>
      </c>
      <c r="D2458" s="125" t="str">
        <f>IFERROR(VLOOKUP($A2458,HeadJournal!$A$1:$NTR$890,COLUMN(HeadJournal!D$1),0),"")</f>
        <v>Доставлен</v>
      </c>
      <c r="E2458" s="95">
        <f>IFERROR(VLOOKUP($A2458,HeadJournal!$A$1:$NTR$890,COLUMN(HeadJournal!G$1),0),"")</f>
        <v>45240</v>
      </c>
      <c r="F2458" s="95" t="str">
        <f t="shared" si="194"/>
        <v>2023 11</v>
      </c>
      <c r="G2458" s="96" t="s">
        <v>5</v>
      </c>
      <c r="H2458" s="161" t="s">
        <v>4137</v>
      </c>
      <c r="I2458" s="97" t="s">
        <v>2666</v>
      </c>
      <c r="J2458" s="97" t="s">
        <v>4138</v>
      </c>
      <c r="K2458" s="29">
        <v>12.75</v>
      </c>
      <c r="L2458" s="29">
        <v>-2.8</v>
      </c>
      <c r="M2458" s="30">
        <f>IFERROR(VLOOKUP($A2458,HeadJournal!$A$1:$J$890,COLUMN(HeadJournal!I$1),0)*($K2458+$L2458)/(SUMIF($A:$A,$A2458,$K:$K)+SUMIF($A:$A,$A2458,$L:$L)),0)</f>
        <v>-0.29628026447224465</v>
      </c>
      <c r="N2458" s="30">
        <f>IFERROR((VLOOKUP($A2458,HeadJournal!$A$1:$K$890,COLUMN(HeadJournal!K$1),0)-VLOOKUP($A2458,HeadJournal!$A$1:$K$890,COLUMN(HeadJournal!J$1),0))*($K2458+$L2458)/(SUMIF($A:$A,$A2458,$K:$K)+SUMIF($A:$A,$A2458,$L:$L)),0)</f>
        <v>0</v>
      </c>
      <c r="O2458" s="30">
        <f>IFERROR((VLOOKUP($A2458,HeadJournal!$A$1:$L$890,COLUMN(HeadJournal!L$1),0)*($K2458+$L2458)/(SUMIF($A:$A,$A2458,$K:$K)+SUMIF($A:$A,$A2458,$L:$L)))/VLOOKUP($A2458,HeadJournal!$A$1:$L$890,COLUMN(HeadJournal!H$1),0),0)</f>
        <v>0.3148511877439123</v>
      </c>
      <c r="P2458" s="30">
        <f>IFERROR(SUM(K2458:O2458)*VLOOKUP($A2458,HeadJournal!$A$1:$L$890,COLUMN(HeadJournal!H$1),0),0)</f>
        <v>1048.9480925652856</v>
      </c>
      <c r="Q2458" s="29">
        <v>2000</v>
      </c>
      <c r="R2458" s="31">
        <v>45353</v>
      </c>
      <c r="S2458" s="31" t="s">
        <v>3121</v>
      </c>
      <c r="T2458" s="95" t="str">
        <f t="shared" si="195"/>
        <v>2024 03</v>
      </c>
      <c r="U2458" s="32">
        <f t="shared" si="192"/>
        <v>951.05190743471439</v>
      </c>
      <c r="V2458" s="22">
        <f t="shared" si="193"/>
        <v>0.90667204047136563</v>
      </c>
      <c r="X2458" s="33"/>
      <c r="Y2458" s="33"/>
    </row>
    <row r="2459" spans="1:25" x14ac:dyDescent="0.2">
      <c r="A2459" s="93" t="s">
        <v>1107</v>
      </c>
      <c r="B2459" s="94" t="str">
        <f>IFERROR(VLOOKUP($A2459,HeadJournal!$A$1:$NTR$890,COLUMN(HeadJournal!B$1),0),"")</f>
        <v>700000994608</v>
      </c>
      <c r="C2459" s="94" t="str">
        <f>IFERROR(VLOOKUP($A2459,HeadJournal!$A$1:$NTR$890,COLUMN(HeadJournal!C$1),0),"")</f>
        <v>iHerb_AV CYG0792</v>
      </c>
      <c r="D2459" s="125" t="str">
        <f>IFERROR(VLOOKUP($A2459,HeadJournal!$A$1:$NTR$890,COLUMN(HeadJournal!D$1),0),"")</f>
        <v>Доставлен</v>
      </c>
      <c r="E2459" s="95">
        <f>IFERROR(VLOOKUP($A2459,HeadJournal!$A$1:$NTR$890,COLUMN(HeadJournal!G$1),0),"")</f>
        <v>45240</v>
      </c>
      <c r="F2459" s="95" t="str">
        <f t="shared" si="194"/>
        <v>2023 11</v>
      </c>
      <c r="G2459" s="96" t="s">
        <v>5</v>
      </c>
      <c r="H2459" s="161" t="s">
        <v>4137</v>
      </c>
      <c r="I2459" s="97" t="s">
        <v>2666</v>
      </c>
      <c r="J2459" s="97" t="s">
        <v>4138</v>
      </c>
      <c r="K2459" s="29">
        <v>12.75</v>
      </c>
      <c r="L2459" s="29">
        <v>-2.8</v>
      </c>
      <c r="M2459" s="30">
        <f>IFERROR(VLOOKUP($A2459,HeadJournal!$A$1:$J$890,COLUMN(HeadJournal!I$1),0)*($K2459+$L2459)/(SUMIF($A:$A,$A2459,$K:$K)+SUMIF($A:$A,$A2459,$L:$L)),0)</f>
        <v>-0.29628026447224465</v>
      </c>
      <c r="N2459" s="30">
        <f>IFERROR((VLOOKUP($A2459,HeadJournal!$A$1:$K$890,COLUMN(HeadJournal!K$1),0)-VLOOKUP($A2459,HeadJournal!$A$1:$K$890,COLUMN(HeadJournal!J$1),0))*($K2459+$L2459)/(SUMIF($A:$A,$A2459,$K:$K)+SUMIF($A:$A,$A2459,$L:$L)),0)</f>
        <v>0</v>
      </c>
      <c r="O2459" s="30">
        <f>IFERROR((VLOOKUP($A2459,HeadJournal!$A$1:$L$890,COLUMN(HeadJournal!L$1),0)*($K2459+$L2459)/(SUMIF($A:$A,$A2459,$K:$K)+SUMIF($A:$A,$A2459,$L:$L)))/VLOOKUP($A2459,HeadJournal!$A$1:$L$890,COLUMN(HeadJournal!H$1),0),0)</f>
        <v>0.3148511877439123</v>
      </c>
      <c r="P2459" s="30">
        <f>IFERROR(SUM(K2459:O2459)*VLOOKUP($A2459,HeadJournal!$A$1:$L$890,COLUMN(HeadJournal!H$1),0),0)</f>
        <v>1048.9480925652856</v>
      </c>
      <c r="Q2459" s="29">
        <v>2100</v>
      </c>
      <c r="R2459" s="31">
        <v>45434</v>
      </c>
      <c r="S2459" s="31" t="s">
        <v>3121</v>
      </c>
      <c r="T2459" s="95" t="str">
        <f t="shared" si="195"/>
        <v>2024 05</v>
      </c>
      <c r="U2459" s="32">
        <f t="shared" si="192"/>
        <v>1051.0519074347144</v>
      </c>
      <c r="V2459" s="22">
        <f t="shared" si="193"/>
        <v>1.002005642494934</v>
      </c>
      <c r="X2459" s="33"/>
      <c r="Y2459" s="33"/>
    </row>
    <row r="2460" spans="1:25" x14ac:dyDescent="0.2">
      <c r="A2460" s="93" t="s">
        <v>1107</v>
      </c>
      <c r="B2460" s="94" t="str">
        <f>IFERROR(VLOOKUP($A2460,HeadJournal!$A$1:$NTR$890,COLUMN(HeadJournal!B$1),0),"")</f>
        <v>700000994608</v>
      </c>
      <c r="C2460" s="94" t="str">
        <f>IFERROR(VLOOKUP($A2460,HeadJournal!$A$1:$NTR$890,COLUMN(HeadJournal!C$1),0),"")</f>
        <v>iHerb_AV CYG0792</v>
      </c>
      <c r="D2460" s="125" t="str">
        <f>IFERROR(VLOOKUP($A2460,HeadJournal!$A$1:$NTR$890,COLUMN(HeadJournal!D$1),0),"")</f>
        <v>Доставлен</v>
      </c>
      <c r="E2460" s="95">
        <f>IFERROR(VLOOKUP($A2460,HeadJournal!$A$1:$NTR$890,COLUMN(HeadJournal!G$1),0),"")</f>
        <v>45240</v>
      </c>
      <c r="F2460" s="95" t="str">
        <f t="shared" si="194"/>
        <v>2023 11</v>
      </c>
      <c r="G2460" s="96" t="s">
        <v>5</v>
      </c>
      <c r="H2460" s="160" t="str">
        <f>RIGHT(Journal!$J2460,9)</f>
        <v>NOW-08091</v>
      </c>
      <c r="I2460" s="96" t="str">
        <f t="shared" si="196"/>
        <v>NOW Foods</v>
      </c>
      <c r="J2460" s="97" t="s">
        <v>1110</v>
      </c>
      <c r="K2460" s="29">
        <v>6.39</v>
      </c>
      <c r="L2460" s="29">
        <v>-1.4</v>
      </c>
      <c r="M2460" s="30">
        <f>IFERROR(VLOOKUP($A2460,HeadJournal!$A$1:$J$890,COLUMN(HeadJournal!I$1),0)*($K2460+$L2460)/(SUMIF($A:$A,$A2460,$K:$K)+SUMIF($A:$A,$A2460,$L:$L)),0)</f>
        <v>-0.1485867859011559</v>
      </c>
      <c r="N2460" s="30">
        <f>IFERROR((VLOOKUP($A2460,HeadJournal!$A$1:$K$890,COLUMN(HeadJournal!K$1),0)-VLOOKUP($A2460,HeadJournal!$A$1:$K$890,COLUMN(HeadJournal!J$1),0))*($K2460+$L2460)/(SUMIF($A:$A,$A2460,$K:$K)+SUMIF($A:$A,$A2460,$L:$L)),0)</f>
        <v>0</v>
      </c>
      <c r="O2460" s="30">
        <f>IFERROR((VLOOKUP($A2460,HeadJournal!$A$1:$L$890,COLUMN(HeadJournal!L$1),0)*($K2460+$L2460)/(SUMIF($A:$A,$A2460,$K:$K)+SUMIF($A:$A,$A2460,$L:$L)))/VLOOKUP($A2460,HeadJournal!$A$1:$L$890,COLUMN(HeadJournal!H$1),0),0)</f>
        <v>0.15790024390373092</v>
      </c>
      <c r="P2460" s="30">
        <f>IFERROR(SUM(K2460:O2460)*VLOOKUP($A2460,HeadJournal!$A$1:$L$890,COLUMN(HeadJournal!H$1),0),0)</f>
        <v>526.05537506540463</v>
      </c>
      <c r="Q2460" s="29">
        <v>1100</v>
      </c>
      <c r="R2460" s="31">
        <v>45271</v>
      </c>
      <c r="S2460" s="31" t="s">
        <v>3121</v>
      </c>
      <c r="T2460" s="95" t="str">
        <f t="shared" si="195"/>
        <v>2023 12</v>
      </c>
      <c r="U2460" s="32">
        <f t="shared" si="192"/>
        <v>573.94462493459537</v>
      </c>
      <c r="V2460" s="22">
        <f t="shared" si="193"/>
        <v>1.0910346175309713</v>
      </c>
      <c r="X2460" s="33"/>
      <c r="Y2460" s="33"/>
    </row>
    <row r="2461" spans="1:25" x14ac:dyDescent="0.2">
      <c r="A2461" s="93" t="s">
        <v>1107</v>
      </c>
      <c r="B2461" s="94" t="str">
        <f>IFERROR(VLOOKUP($A2461,HeadJournal!$A$1:$NTR$890,COLUMN(HeadJournal!B$1),0),"")</f>
        <v>700000994608</v>
      </c>
      <c r="C2461" s="94" t="str">
        <f>IFERROR(VLOOKUP($A2461,HeadJournal!$A$1:$NTR$890,COLUMN(HeadJournal!C$1),0),"")</f>
        <v>iHerb_AV CYG0792</v>
      </c>
      <c r="D2461" s="125" t="str">
        <f>IFERROR(VLOOKUP($A2461,HeadJournal!$A$1:$NTR$890,COLUMN(HeadJournal!D$1),0),"")</f>
        <v>Доставлен</v>
      </c>
      <c r="E2461" s="95">
        <f>IFERROR(VLOOKUP($A2461,HeadJournal!$A$1:$NTR$890,COLUMN(HeadJournal!G$1),0),"")</f>
        <v>45240</v>
      </c>
      <c r="F2461" s="95" t="str">
        <f t="shared" si="194"/>
        <v>2023 11</v>
      </c>
      <c r="G2461" s="96" t="s">
        <v>5</v>
      </c>
      <c r="H2461" s="160" t="str">
        <f>RIGHT(Journal!$J2461,9)</f>
        <v>SNS-00233</v>
      </c>
      <c r="I2461" s="96" t="str">
        <f t="shared" si="196"/>
        <v>Source Naturals</v>
      </c>
      <c r="J2461" s="97" t="s">
        <v>977</v>
      </c>
      <c r="K2461" s="29">
        <v>32.06</v>
      </c>
      <c r="L2461" s="29">
        <v>-7.05</v>
      </c>
      <c r="M2461" s="30">
        <f>IFERROR(VLOOKUP($A2461,HeadJournal!$A$1:$J$890,COLUMN(HeadJournal!I$1),0)*($K2461+$L2461)/(SUMIF($A:$A,$A2461,$K:$K)+SUMIF($A:$A,$A2461,$L:$L)),0)</f>
        <v>-0.7447205441659136</v>
      </c>
      <c r="N2461" s="30">
        <f>IFERROR((VLOOKUP($A2461,HeadJournal!$A$1:$K$890,COLUMN(HeadJournal!K$1),0)-VLOOKUP($A2461,HeadJournal!$A$1:$K$890,COLUMN(HeadJournal!J$1),0))*($K2461+$L2461)/(SUMIF($A:$A,$A2461,$K:$K)+SUMIF($A:$A,$A2461,$L:$L)),0)</f>
        <v>0</v>
      </c>
      <c r="O2461" s="30">
        <f>IFERROR((VLOOKUP($A2461,HeadJournal!$A$1:$L$890,COLUMN(HeadJournal!L$1),0)*($K2461+$L2461)/(SUMIF($A:$A,$A2461,$K:$K)+SUMIF($A:$A,$A2461,$L:$L)))/VLOOKUP($A2461,HeadJournal!$A$1:$L$890,COLUMN(HeadJournal!H$1),0),0)</f>
        <v>0.79139981964575357</v>
      </c>
      <c r="P2461" s="30">
        <f>IFERROR(SUM(K2461:O2461)*VLOOKUP($A2461,HeadJournal!$A$1:$L$890,COLUMN(HeadJournal!H$1),0),0)</f>
        <v>2636.6021904580698</v>
      </c>
      <c r="Q2461" s="29">
        <v>3700</v>
      </c>
      <c r="R2461" s="31">
        <v>45325</v>
      </c>
      <c r="S2461" s="31" t="s">
        <v>3121</v>
      </c>
      <c r="T2461" s="95" t="str">
        <f t="shared" si="195"/>
        <v>2024 02</v>
      </c>
      <c r="U2461" s="32">
        <f t="shared" si="192"/>
        <v>1063.3978095419302</v>
      </c>
      <c r="V2461" s="22">
        <f t="shared" si="193"/>
        <v>0.40332129488111396</v>
      </c>
      <c r="X2461" s="33"/>
      <c r="Y2461" s="33"/>
    </row>
    <row r="2462" spans="1:25" x14ac:dyDescent="0.2">
      <c r="A2462" s="93" t="s">
        <v>1107</v>
      </c>
      <c r="B2462" s="94" t="str">
        <f>IFERROR(VLOOKUP($A2462,HeadJournal!$A$1:$NTR$890,COLUMN(HeadJournal!B$1),0),"")</f>
        <v>700000994608</v>
      </c>
      <c r="C2462" s="94" t="str">
        <f>IFERROR(VLOOKUP($A2462,HeadJournal!$A$1:$NTR$890,COLUMN(HeadJournal!C$1),0),"")</f>
        <v>iHerb_AV CYG0792</v>
      </c>
      <c r="D2462" s="125" t="str">
        <f>IFERROR(VLOOKUP($A2462,HeadJournal!$A$1:$NTR$890,COLUMN(HeadJournal!D$1),0),"")</f>
        <v>Доставлен</v>
      </c>
      <c r="E2462" s="95">
        <f>IFERROR(VLOOKUP($A2462,HeadJournal!$A$1:$NTR$890,COLUMN(HeadJournal!G$1),0),"")</f>
        <v>45240</v>
      </c>
      <c r="F2462" s="95" t="str">
        <f t="shared" si="194"/>
        <v>2023 11</v>
      </c>
      <c r="G2462" s="96" t="s">
        <v>5</v>
      </c>
      <c r="H2462" s="160" t="str">
        <f>RIGHT(Journal!$J2462,9)</f>
        <v>JRW-13007</v>
      </c>
      <c r="I2462" s="96" t="str">
        <f t="shared" si="196"/>
        <v>Jarrow Formulas</v>
      </c>
      <c r="J2462" s="97" t="s">
        <v>521</v>
      </c>
      <c r="K2462" s="29">
        <v>14.86</v>
      </c>
      <c r="L2462" s="29">
        <v>-3.26</v>
      </c>
      <c r="M2462" s="30">
        <f>IFERROR(VLOOKUP($A2462,HeadJournal!$A$1:$J$890,COLUMN(HeadJournal!I$1),0)*($K2462+$L2462)/(SUMIF($A:$A,$A2462,$K:$K)+SUMIF($A:$A,$A2462,$L:$L)),0)</f>
        <v>-0.34541216762593352</v>
      </c>
      <c r="N2462" s="30">
        <f>IFERROR((VLOOKUP($A2462,HeadJournal!$A$1:$K$890,COLUMN(HeadJournal!K$1),0)-VLOOKUP($A2462,HeadJournal!$A$1:$K$890,COLUMN(HeadJournal!J$1),0))*($K2462+$L2462)/(SUMIF($A:$A,$A2462,$K:$K)+SUMIF($A:$A,$A2462,$L:$L)),0)</f>
        <v>0</v>
      </c>
      <c r="O2462" s="30">
        <f>IFERROR((VLOOKUP($A2462,HeadJournal!$A$1:$L$890,COLUMN(HeadJournal!L$1),0)*($K2462+$L2462)/(SUMIF($A:$A,$A2462,$K:$K)+SUMIF($A:$A,$A2462,$L:$L)))/VLOOKUP($A2462,HeadJournal!$A$1:$L$890,COLUMN(HeadJournal!H$1),0),0)</f>
        <v>0.36706269123913399</v>
      </c>
      <c r="P2462" s="30">
        <f>IFERROR(SUM(K2462:O2462)*VLOOKUP($A2462,HeadJournal!$A$1:$L$890,COLUMN(HeadJournal!H$1),0),0)</f>
        <v>1222.8942586690766</v>
      </c>
      <c r="Q2462" s="29">
        <v>2000</v>
      </c>
      <c r="R2462" s="31">
        <v>45276</v>
      </c>
      <c r="S2462" s="31" t="s">
        <v>3121</v>
      </c>
      <c r="T2462" s="95" t="str">
        <f t="shared" si="195"/>
        <v>2023 12</v>
      </c>
      <c r="U2462" s="32">
        <f t="shared" si="192"/>
        <v>777.10574133092337</v>
      </c>
      <c r="V2462" s="22">
        <f t="shared" si="193"/>
        <v>0.63546437954224899</v>
      </c>
      <c r="X2462" s="33"/>
      <c r="Y2462" s="33"/>
    </row>
    <row r="2463" spans="1:25" x14ac:dyDescent="0.2">
      <c r="A2463" s="93" t="s">
        <v>1107</v>
      </c>
      <c r="B2463" s="94" t="str">
        <f>IFERROR(VLOOKUP($A2463,HeadJournal!$A$1:$NTR$890,COLUMN(HeadJournal!B$1),0),"")</f>
        <v>700000994608</v>
      </c>
      <c r="C2463" s="94" t="str">
        <f>IFERROR(VLOOKUP($A2463,HeadJournal!$A$1:$NTR$890,COLUMN(HeadJournal!C$1),0),"")</f>
        <v>iHerb_AV CYG0792</v>
      </c>
      <c r="D2463" s="125" t="str">
        <f>IFERROR(VLOOKUP($A2463,HeadJournal!$A$1:$NTR$890,COLUMN(HeadJournal!D$1),0),"")</f>
        <v>Доставлен</v>
      </c>
      <c r="E2463" s="95">
        <f>IFERROR(VLOOKUP($A2463,HeadJournal!$A$1:$NTR$890,COLUMN(HeadJournal!G$1),0),"")</f>
        <v>45240</v>
      </c>
      <c r="F2463" s="95" t="str">
        <f t="shared" si="194"/>
        <v>2023 11</v>
      </c>
      <c r="G2463" s="96" t="s">
        <v>5</v>
      </c>
      <c r="H2463" s="161" t="s">
        <v>2696</v>
      </c>
      <c r="I2463" s="97" t="s">
        <v>2052</v>
      </c>
      <c r="J2463" s="97" t="s">
        <v>2697</v>
      </c>
      <c r="K2463" s="29">
        <v>5.91</v>
      </c>
      <c r="L2463" s="29">
        <v>-1.3</v>
      </c>
      <c r="M2463" s="30">
        <f>IFERROR(VLOOKUP($A2463,HeadJournal!$A$1:$J$890,COLUMN(HeadJournal!I$1),0)*($K2463+$L2463)/(SUMIF($A:$A,$A2463,$K:$K)+SUMIF($A:$A,$A2463,$L:$L)),0)</f>
        <v>-0.13727155972030636</v>
      </c>
      <c r="N2463" s="30">
        <f>IFERROR((VLOOKUP($A2463,HeadJournal!$A$1:$K$890,COLUMN(HeadJournal!K$1),0)-VLOOKUP($A2463,HeadJournal!$A$1:$K$890,COLUMN(HeadJournal!J$1),0))*($K2463+$L2463)/(SUMIF($A:$A,$A2463,$K:$K)+SUMIF($A:$A,$A2463,$L:$L)),0)</f>
        <v>0</v>
      </c>
      <c r="O2463" s="30">
        <f>IFERROR((VLOOKUP($A2463,HeadJournal!$A$1:$L$890,COLUMN(HeadJournal!L$1),0)*($K2463+$L2463)/(SUMIF($A:$A,$A2463,$K:$K)+SUMIF($A:$A,$A2463,$L:$L)))/VLOOKUP($A2463,HeadJournal!$A$1:$L$890,COLUMN(HeadJournal!H$1),0),0)</f>
        <v>0.14587577643210412</v>
      </c>
      <c r="P2463" s="30">
        <f>IFERROR(SUM(K2463:O2463)*VLOOKUP($A2463,HeadJournal!$A$1:$L$890,COLUMN(HeadJournal!H$1),0),0)</f>
        <v>485.99504590210717</v>
      </c>
      <c r="Q2463" s="29">
        <v>1000</v>
      </c>
      <c r="R2463" s="31">
        <v>45527</v>
      </c>
      <c r="S2463" s="31" t="s">
        <v>3121</v>
      </c>
      <c r="T2463" s="95" t="str">
        <f t="shared" si="195"/>
        <v>2024 08</v>
      </c>
      <c r="U2463" s="32">
        <f t="shared" si="192"/>
        <v>514.00495409789278</v>
      </c>
      <c r="V2463" s="22">
        <f t="shared" si="193"/>
        <v>1.0576341434587948</v>
      </c>
      <c r="X2463" s="33"/>
      <c r="Y2463" s="33"/>
    </row>
    <row r="2464" spans="1:25" x14ac:dyDescent="0.2">
      <c r="A2464" s="93" t="s">
        <v>1107</v>
      </c>
      <c r="B2464" s="94" t="str">
        <f>IFERROR(VLOOKUP($A2464,HeadJournal!$A$1:$NTR$890,COLUMN(HeadJournal!B$1),0),"")</f>
        <v>700000994608</v>
      </c>
      <c r="C2464" s="94" t="str">
        <f>IFERROR(VLOOKUP($A2464,HeadJournal!$A$1:$NTR$890,COLUMN(HeadJournal!C$1),0),"")</f>
        <v>iHerb_AV CYG0792</v>
      </c>
      <c r="D2464" s="125" t="str">
        <f>IFERROR(VLOOKUP($A2464,HeadJournal!$A$1:$NTR$890,COLUMN(HeadJournal!D$1),0),"")</f>
        <v>Доставлен</v>
      </c>
      <c r="E2464" s="95">
        <f>IFERROR(VLOOKUP($A2464,HeadJournal!$A$1:$NTR$890,COLUMN(HeadJournal!G$1),0),"")</f>
        <v>45240</v>
      </c>
      <c r="F2464" s="95" t="str">
        <f t="shared" si="194"/>
        <v>2023 11</v>
      </c>
      <c r="G2464" s="96" t="s">
        <v>5</v>
      </c>
      <c r="H2464" s="161" t="s">
        <v>3638</v>
      </c>
      <c r="I2464" s="97" t="s">
        <v>2039</v>
      </c>
      <c r="J2464" s="97" t="s">
        <v>3743</v>
      </c>
      <c r="K2464" s="29">
        <v>17.88</v>
      </c>
      <c r="L2464" s="29">
        <v>-3.93</v>
      </c>
      <c r="M2464" s="30">
        <f>IFERROR(VLOOKUP($A2464,HeadJournal!$A$1:$J$890,COLUMN(HeadJournal!I$1),0)*($K2464+$L2464)/(SUMIF($A:$A,$A2464,$K:$K)+SUMIF($A:$A,$A2464,$L:$L)),0)</f>
        <v>-0.41538790848118728</v>
      </c>
      <c r="N2464" s="30">
        <f>IFERROR((VLOOKUP($A2464,HeadJournal!$A$1:$K$890,COLUMN(HeadJournal!K$1),0)-VLOOKUP($A2464,HeadJournal!$A$1:$K$890,COLUMN(HeadJournal!J$1),0))*($K2464+$L2464)/(SUMIF($A:$A,$A2464,$K:$K)+SUMIF($A:$A,$A2464,$L:$L)),0)</f>
        <v>0</v>
      </c>
      <c r="O2464" s="30">
        <f>IFERROR((VLOOKUP($A2464,HeadJournal!$A$1:$L$890,COLUMN(HeadJournal!L$1),0)*($K2464+$L2464)/(SUMIF($A:$A,$A2464,$K:$K)+SUMIF($A:$A,$A2464,$L:$L)))/VLOOKUP($A2464,HeadJournal!$A$1:$L$890,COLUMN(HeadJournal!H$1),0),0)</f>
        <v>0.44142452955051026</v>
      </c>
      <c r="P2464" s="30">
        <f>IFERROR(SUM(K2464:O2464)*VLOOKUP($A2464,HeadJournal!$A$1:$L$890,COLUMN(HeadJournal!H$1),0),0)</f>
        <v>1470.6357679684154</v>
      </c>
      <c r="Q2464" s="29">
        <v>2400</v>
      </c>
      <c r="R2464" s="31">
        <v>45815</v>
      </c>
      <c r="S2464" s="31" t="s">
        <v>3172</v>
      </c>
      <c r="T2464" s="95" t="str">
        <f t="shared" si="195"/>
        <v>2025 06</v>
      </c>
      <c r="U2464" s="32">
        <f t="shared" si="192"/>
        <v>929.36423203158461</v>
      </c>
      <c r="V2464" s="22">
        <f t="shared" si="193"/>
        <v>0.63194725184430878</v>
      </c>
      <c r="X2464" s="33"/>
      <c r="Y2464" s="33"/>
    </row>
    <row r="2465" spans="1:25" x14ac:dyDescent="0.2">
      <c r="A2465" s="93" t="s">
        <v>1107</v>
      </c>
      <c r="B2465" s="94" t="str">
        <f>IFERROR(VLOOKUP($A2465,HeadJournal!$A$1:$NTR$890,COLUMN(HeadJournal!B$1),0),"")</f>
        <v>700000994608</v>
      </c>
      <c r="C2465" s="94" t="str">
        <f>IFERROR(VLOOKUP($A2465,HeadJournal!$A$1:$NTR$890,COLUMN(HeadJournal!C$1),0),"")</f>
        <v>iHerb_AV CYG0792</v>
      </c>
      <c r="D2465" s="125" t="str">
        <f>IFERROR(VLOOKUP($A2465,HeadJournal!$A$1:$NTR$890,COLUMN(HeadJournal!D$1),0),"")</f>
        <v>Доставлен</v>
      </c>
      <c r="E2465" s="95">
        <f>IFERROR(VLOOKUP($A2465,HeadJournal!$A$1:$NTR$890,COLUMN(HeadJournal!G$1),0),"")</f>
        <v>45240</v>
      </c>
      <c r="F2465" s="95" t="str">
        <f t="shared" si="194"/>
        <v>2023 11</v>
      </c>
      <c r="G2465" s="96" t="s">
        <v>5</v>
      </c>
      <c r="H2465" s="161" t="s">
        <v>2024</v>
      </c>
      <c r="I2465" s="97" t="s">
        <v>2005</v>
      </c>
      <c r="J2465" s="97" t="s">
        <v>4140</v>
      </c>
      <c r="K2465" s="29">
        <v>18.52</v>
      </c>
      <c r="L2465" s="29">
        <v>-4.07</v>
      </c>
      <c r="M2465" s="30">
        <f>IFERROR(VLOOKUP($A2465,HeadJournal!$A$1:$J$890,COLUMN(HeadJournal!I$1),0)*($K2465+$L2465)/(SUMIF($A:$A,$A2465,$K:$K)+SUMIF($A:$A,$A2465,$L:$L)),0)</f>
        <v>-0.43027636398230507</v>
      </c>
      <c r="N2465" s="30">
        <f>IFERROR((VLOOKUP($A2465,HeadJournal!$A$1:$K$890,COLUMN(HeadJournal!K$1),0)-VLOOKUP($A2465,HeadJournal!$A$1:$K$890,COLUMN(HeadJournal!J$1),0))*($K2465+$L2465)/(SUMIF($A:$A,$A2465,$K:$K)+SUMIF($A:$A,$A2465,$L:$L)),0)</f>
        <v>0</v>
      </c>
      <c r="O2465" s="30">
        <f>IFERROR((VLOOKUP($A2465,HeadJournal!$A$1:$L$890,COLUMN(HeadJournal!L$1),0)*($K2465+$L2465)/(SUMIF($A:$A,$A2465,$K:$K)+SUMIF($A:$A,$A2465,$L:$L)))/VLOOKUP($A2465,HeadJournal!$A$1:$L$890,COLUMN(HeadJournal!H$1),0),0)</f>
        <v>0.45724619727633503</v>
      </c>
      <c r="P2465" s="30">
        <f>IFERROR(SUM(K2465:O2465)*VLOOKUP($A2465,HeadJournal!$A$1:$L$890,COLUMN(HeadJournal!H$1),0),0)</f>
        <v>1523.3467273938068</v>
      </c>
      <c r="Q2465" s="29">
        <v>2600</v>
      </c>
      <c r="R2465" s="31">
        <v>45290</v>
      </c>
      <c r="S2465" s="31" t="s">
        <v>3121</v>
      </c>
      <c r="T2465" s="95" t="str">
        <f t="shared" si="195"/>
        <v>2023 12</v>
      </c>
      <c r="U2465" s="32">
        <f t="shared" si="192"/>
        <v>1076.6532726061932</v>
      </c>
      <c r="V2465" s="22">
        <f t="shared" si="193"/>
        <v>0.70676836287177258</v>
      </c>
      <c r="X2465" s="33"/>
      <c r="Y2465" s="33"/>
    </row>
    <row r="2466" spans="1:25" x14ac:dyDescent="0.2">
      <c r="A2466" s="93" t="s">
        <v>1107</v>
      </c>
      <c r="B2466" s="94" t="str">
        <f>IFERROR(VLOOKUP($A2466,HeadJournal!$A$1:$NTR$890,COLUMN(HeadJournal!B$1),0),"")</f>
        <v>700000994608</v>
      </c>
      <c r="C2466" s="94" t="str">
        <f>IFERROR(VLOOKUP($A2466,HeadJournal!$A$1:$NTR$890,COLUMN(HeadJournal!C$1),0),"")</f>
        <v>iHerb_AV CYG0792</v>
      </c>
      <c r="D2466" s="125" t="str">
        <f>IFERROR(VLOOKUP($A2466,HeadJournal!$A$1:$NTR$890,COLUMN(HeadJournal!D$1),0),"")</f>
        <v>Доставлен</v>
      </c>
      <c r="E2466" s="95">
        <f>IFERROR(VLOOKUP($A2466,HeadJournal!$A$1:$NTR$890,COLUMN(HeadJournal!G$1),0),"")</f>
        <v>45240</v>
      </c>
      <c r="F2466" s="95" t="str">
        <f t="shared" si="194"/>
        <v>2023 11</v>
      </c>
      <c r="G2466" s="96" t="s">
        <v>5</v>
      </c>
      <c r="H2466" s="160" t="str">
        <f>RIGHT(Journal!$J2466,9)</f>
        <v>EVL-02907</v>
      </c>
      <c r="I2466" s="96" t="str">
        <f t="shared" si="196"/>
        <v>EVLution Nutrition</v>
      </c>
      <c r="J2466" s="97" t="s">
        <v>1111</v>
      </c>
      <c r="K2466" s="29">
        <v>13.53</v>
      </c>
      <c r="L2466" s="29">
        <v>-2.97</v>
      </c>
      <c r="M2466" s="30">
        <f>IFERROR(VLOOKUP($A2466,HeadJournal!$A$1:$J$890,COLUMN(HeadJournal!I$1),0)*($K2466+$L2466)/(SUMIF($A:$A,$A2466,$K:$K)+SUMIF($A:$A,$A2466,$L:$L)),0)</f>
        <v>-0.31444418018360842</v>
      </c>
      <c r="N2466" s="30">
        <f>IFERROR((VLOOKUP($A2466,HeadJournal!$A$1:$K$890,COLUMN(HeadJournal!K$1),0)-VLOOKUP($A2466,HeadJournal!$A$1:$K$890,COLUMN(HeadJournal!J$1),0))*($K2466+$L2466)/(SUMIF($A:$A,$A2466,$K:$K)+SUMIF($A:$A,$A2466,$L:$L)),0)</f>
        <v>0</v>
      </c>
      <c r="O2466" s="30">
        <f>IFERROR((VLOOKUP($A2466,HeadJournal!$A$1:$L$890,COLUMN(HeadJournal!L$1),0)*($K2466+$L2466)/(SUMIF($A:$A,$A2466,$K:$K)+SUMIF($A:$A,$A2466,$L:$L)))/VLOOKUP($A2466,HeadJournal!$A$1:$L$890,COLUMN(HeadJournal!H$1),0),0)</f>
        <v>0.33415362236941853</v>
      </c>
      <c r="P2466" s="30">
        <f>IFERROR(SUM(K2466:O2466)*VLOOKUP($A2466,HeadJournal!$A$1:$L$890,COLUMN(HeadJournal!H$1),0),0)</f>
        <v>1113.2554630642628</v>
      </c>
      <c r="Q2466" s="29"/>
      <c r="R2466" s="31"/>
      <c r="S2466" s="31"/>
      <c r="T2466" s="95" t="str">
        <f t="shared" si="195"/>
        <v/>
      </c>
      <c r="U2466" s="32">
        <f t="shared" si="192"/>
        <v>-1113.2554630642628</v>
      </c>
      <c r="V2466" s="22" t="str">
        <f t="shared" si="193"/>
        <v/>
      </c>
      <c r="X2466" s="33"/>
      <c r="Y2466" s="33"/>
    </row>
    <row r="2467" spans="1:25" x14ac:dyDescent="0.2">
      <c r="A2467" s="93" t="s">
        <v>1112</v>
      </c>
      <c r="B2467" s="94" t="str">
        <f>IFERROR(VLOOKUP($A2467,HeadJournal!$A$1:$NTR$890,COLUMN(HeadJournal!B$1),0),"")</f>
        <v>720000011013</v>
      </c>
      <c r="C2467" s="94" t="str">
        <f>IFERROR(VLOOKUP($A2467,HeadJournal!$A$1:$NTR$890,COLUMN(HeadJournal!C$1),0),"")</f>
        <v>iHerb_AV CYG0792</v>
      </c>
      <c r="D2467" s="125" t="str">
        <f>IFERROR(VLOOKUP($A2467,HeadJournal!$A$1:$NTR$890,COLUMN(HeadJournal!D$1),0),"")</f>
        <v>Доставлен</v>
      </c>
      <c r="E2467" s="95">
        <f>IFERROR(VLOOKUP($A2467,HeadJournal!$A$1:$NTR$890,COLUMN(HeadJournal!G$1),0),"")</f>
        <v>45247</v>
      </c>
      <c r="F2467" s="95" t="str">
        <f t="shared" si="194"/>
        <v>2023 11</v>
      </c>
      <c r="G2467" s="96" t="s">
        <v>5</v>
      </c>
      <c r="H2467" s="161" t="s">
        <v>2546</v>
      </c>
      <c r="I2467" s="97" t="s">
        <v>2039</v>
      </c>
      <c r="J2467" s="97" t="s">
        <v>2547</v>
      </c>
      <c r="K2467" s="29">
        <v>10.54</v>
      </c>
      <c r="L2467" s="29">
        <v>-1.05</v>
      </c>
      <c r="M2467" s="30">
        <f>IFERROR(VLOOKUP($A2467,HeadJournal!$A$1:$J$890,COLUMN(HeadJournal!I$1),0)*($K2467+$L2467)/(SUMIF($A:$A,$A2467,$K:$K)+SUMIF($A:$A,$A2467,$L:$L)),0)</f>
        <v>-0.49208602516150973</v>
      </c>
      <c r="N2467" s="30">
        <f>IFERROR((VLOOKUP($A2467,HeadJournal!$A$1:$K$890,COLUMN(HeadJournal!K$1),0)-VLOOKUP($A2467,HeadJournal!$A$1:$K$890,COLUMN(HeadJournal!J$1),0))*($K2467+$L2467)/(SUMIF($A:$A,$A2467,$K:$K)+SUMIF($A:$A,$A2467,$L:$L)),0)</f>
        <v>3.4391621365335011E-15</v>
      </c>
      <c r="O2467" s="30">
        <f>IFERROR((VLOOKUP($A2467,HeadJournal!$A$1:$L$890,COLUMN(HeadJournal!L$1),0)*($K2467+$L2467)/(SUMIF($A:$A,$A2467,$K:$K)+SUMIF($A:$A,$A2467,$L:$L)))/VLOOKUP($A2467,HeadJournal!$A$1:$L$890,COLUMN(HeadJournal!H$1),0),0)</f>
        <v>0.65098663177261284</v>
      </c>
      <c r="P2467" s="30">
        <f>IFERROR(SUM(K2467:O2467)*VLOOKUP($A2467,HeadJournal!$A$1:$L$890,COLUMN(HeadJournal!H$1),0),0)</f>
        <v>1004.3758117987082</v>
      </c>
      <c r="Q2467" s="29">
        <v>1700</v>
      </c>
      <c r="R2467" s="31">
        <v>45313</v>
      </c>
      <c r="S2467" s="31" t="s">
        <v>3121</v>
      </c>
      <c r="T2467" s="95" t="str">
        <f t="shared" si="195"/>
        <v>2024 01</v>
      </c>
      <c r="U2467" s="32">
        <f t="shared" si="192"/>
        <v>695.62418820129176</v>
      </c>
      <c r="V2467" s="22">
        <f t="shared" si="193"/>
        <v>0.69259352926422835</v>
      </c>
      <c r="X2467" s="33"/>
      <c r="Y2467" s="33"/>
    </row>
    <row r="2468" spans="1:25" x14ac:dyDescent="0.2">
      <c r="A2468" s="93" t="s">
        <v>1112</v>
      </c>
      <c r="B2468" s="94" t="str">
        <f>IFERROR(VLOOKUP($A2468,HeadJournal!$A$1:$NTR$890,COLUMN(HeadJournal!B$1),0),"")</f>
        <v>720000011013</v>
      </c>
      <c r="C2468" s="94" t="str">
        <f>IFERROR(VLOOKUP($A2468,HeadJournal!$A$1:$NTR$890,COLUMN(HeadJournal!C$1),0),"")</f>
        <v>iHerb_AV CYG0792</v>
      </c>
      <c r="D2468" s="125" t="str">
        <f>IFERROR(VLOOKUP($A2468,HeadJournal!$A$1:$NTR$890,COLUMN(HeadJournal!D$1),0),"")</f>
        <v>Доставлен</v>
      </c>
      <c r="E2468" s="95">
        <f>IFERROR(VLOOKUP($A2468,HeadJournal!$A$1:$NTR$890,COLUMN(HeadJournal!G$1),0),"")</f>
        <v>45247</v>
      </c>
      <c r="F2468" s="95" t="str">
        <f t="shared" si="194"/>
        <v>2023 11</v>
      </c>
      <c r="G2468" s="96" t="s">
        <v>5</v>
      </c>
      <c r="H2468" s="161" t="s">
        <v>2073</v>
      </c>
      <c r="I2468" s="97" t="s">
        <v>2005</v>
      </c>
      <c r="J2468" s="97" t="s">
        <v>2074</v>
      </c>
      <c r="K2468" s="29">
        <v>19.690000000000001</v>
      </c>
      <c r="L2468" s="29">
        <v>-1.97</v>
      </c>
      <c r="M2468" s="30">
        <f>IFERROR(VLOOKUP($A2468,HeadJournal!$A$1:$J$890,COLUMN(HeadJournal!I$1),0)*($K2468+$L2468)/(SUMIF($A:$A,$A2468,$K:$K)+SUMIF($A:$A,$A2468,$L:$L)),0)</f>
        <v>-0.91883713022781399</v>
      </c>
      <c r="N2468" s="30">
        <f>IFERROR((VLOOKUP($A2468,HeadJournal!$A$1:$K$890,COLUMN(HeadJournal!K$1),0)-VLOOKUP($A2468,HeadJournal!$A$1:$K$890,COLUMN(HeadJournal!J$1),0))*($K2468+$L2468)/(SUMIF($A:$A,$A2468,$K:$K)+SUMIF($A:$A,$A2468,$L:$L)),0)</f>
        <v>6.4217021137380046E-15</v>
      </c>
      <c r="O2468" s="30">
        <f>IFERROR((VLOOKUP($A2468,HeadJournal!$A$1:$L$890,COLUMN(HeadJournal!L$1),0)*($K2468+$L2468)/(SUMIF($A:$A,$A2468,$K:$K)+SUMIF($A:$A,$A2468,$L:$L)))/VLOOKUP($A2468,HeadJournal!$A$1:$L$890,COLUMN(HeadJournal!H$1),0),0)</f>
        <v>1.2155408972614017</v>
      </c>
      <c r="P2468" s="30">
        <f>IFERROR(SUM(K2468:O2468)*VLOOKUP($A2468,HeadJournal!$A$1:$L$890,COLUMN(HeadJournal!H$1),0),0)</f>
        <v>1875.3993029581786</v>
      </c>
      <c r="Q2468" s="29">
        <v>2500</v>
      </c>
      <c r="R2468" s="31">
        <v>45297</v>
      </c>
      <c r="S2468" s="31" t="s">
        <v>3121</v>
      </c>
      <c r="T2468" s="95" t="str">
        <f t="shared" si="195"/>
        <v>2024 01</v>
      </c>
      <c r="U2468" s="32">
        <f t="shared" si="192"/>
        <v>624.60069704182138</v>
      </c>
      <c r="V2468" s="22">
        <f t="shared" si="193"/>
        <v>0.33304944502037598</v>
      </c>
      <c r="X2468" s="33"/>
      <c r="Y2468" s="33"/>
    </row>
    <row r="2469" spans="1:25" x14ac:dyDescent="0.2">
      <c r="A2469" s="93" t="s">
        <v>1112</v>
      </c>
      <c r="B2469" s="94" t="str">
        <f>IFERROR(VLOOKUP($A2469,HeadJournal!$A$1:$NTR$890,COLUMN(HeadJournal!B$1),0),"")</f>
        <v>720000011013</v>
      </c>
      <c r="C2469" s="94" t="str">
        <f>IFERROR(VLOOKUP($A2469,HeadJournal!$A$1:$NTR$890,COLUMN(HeadJournal!C$1),0),"")</f>
        <v>iHerb_AV CYG0792</v>
      </c>
      <c r="D2469" s="125" t="str">
        <f>IFERROR(VLOOKUP($A2469,HeadJournal!$A$1:$NTR$890,COLUMN(HeadJournal!D$1),0),"")</f>
        <v>Доставлен</v>
      </c>
      <c r="E2469" s="95">
        <f>IFERROR(VLOOKUP($A2469,HeadJournal!$A$1:$NTR$890,COLUMN(HeadJournal!G$1),0),"")</f>
        <v>45247</v>
      </c>
      <c r="F2469" s="95" t="str">
        <f t="shared" si="194"/>
        <v>2023 11</v>
      </c>
      <c r="G2469" s="96" t="s">
        <v>5</v>
      </c>
      <c r="H2469" s="161" t="s">
        <v>2073</v>
      </c>
      <c r="I2469" s="97" t="s">
        <v>2005</v>
      </c>
      <c r="J2469" s="97" t="s">
        <v>2074</v>
      </c>
      <c r="K2469" s="29">
        <v>19.690000000000001</v>
      </c>
      <c r="L2469" s="29">
        <v>-1.97</v>
      </c>
      <c r="M2469" s="30">
        <f>IFERROR(VLOOKUP($A2469,HeadJournal!$A$1:$J$890,COLUMN(HeadJournal!I$1),0)*($K2469+$L2469)/(SUMIF($A:$A,$A2469,$K:$K)+SUMIF($A:$A,$A2469,$L:$L)),0)</f>
        <v>-0.91883713022781399</v>
      </c>
      <c r="N2469" s="30">
        <f>IFERROR((VLOOKUP($A2469,HeadJournal!$A$1:$K$890,COLUMN(HeadJournal!K$1),0)-VLOOKUP($A2469,HeadJournal!$A$1:$K$890,COLUMN(HeadJournal!J$1),0))*($K2469+$L2469)/(SUMIF($A:$A,$A2469,$K:$K)+SUMIF($A:$A,$A2469,$L:$L)),0)</f>
        <v>6.4217021137380046E-15</v>
      </c>
      <c r="O2469" s="30">
        <f>IFERROR((VLOOKUP($A2469,HeadJournal!$A$1:$L$890,COLUMN(HeadJournal!L$1),0)*($K2469+$L2469)/(SUMIF($A:$A,$A2469,$K:$K)+SUMIF($A:$A,$A2469,$L:$L)))/VLOOKUP($A2469,HeadJournal!$A$1:$L$890,COLUMN(HeadJournal!H$1),0),0)</f>
        <v>1.2155408972614017</v>
      </c>
      <c r="P2469" s="30">
        <f>IFERROR(SUM(K2469:O2469)*VLOOKUP($A2469,HeadJournal!$A$1:$L$890,COLUMN(HeadJournal!H$1),0),0)</f>
        <v>1875.3993029581786</v>
      </c>
      <c r="Q2469" s="29">
        <v>2500</v>
      </c>
      <c r="R2469" s="31">
        <v>45307</v>
      </c>
      <c r="S2469" s="31" t="s">
        <v>3121</v>
      </c>
      <c r="T2469" s="95" t="str">
        <f t="shared" si="195"/>
        <v>2024 01</v>
      </c>
      <c r="U2469" s="32">
        <f t="shared" si="192"/>
        <v>624.60069704182138</v>
      </c>
      <c r="V2469" s="22">
        <f t="shared" si="193"/>
        <v>0.33304944502037598</v>
      </c>
      <c r="X2469" s="33"/>
      <c r="Y2469" s="33"/>
    </row>
    <row r="2470" spans="1:25" x14ac:dyDescent="0.2">
      <c r="A2470" s="93" t="s">
        <v>1112</v>
      </c>
      <c r="B2470" s="94" t="str">
        <f>IFERROR(VLOOKUP($A2470,HeadJournal!$A$1:$NTR$890,COLUMN(HeadJournal!B$1),0),"")</f>
        <v>720000011013</v>
      </c>
      <c r="C2470" s="94" t="str">
        <f>IFERROR(VLOOKUP($A2470,HeadJournal!$A$1:$NTR$890,COLUMN(HeadJournal!C$1),0),"")</f>
        <v>iHerb_AV CYG0792</v>
      </c>
      <c r="D2470" s="125" t="str">
        <f>IFERROR(VLOOKUP($A2470,HeadJournal!$A$1:$NTR$890,COLUMN(HeadJournal!D$1),0),"")</f>
        <v>Доставлен</v>
      </c>
      <c r="E2470" s="95">
        <f>IFERROR(VLOOKUP($A2470,HeadJournal!$A$1:$NTR$890,COLUMN(HeadJournal!G$1),0),"")</f>
        <v>45247</v>
      </c>
      <c r="F2470" s="95" t="str">
        <f t="shared" si="194"/>
        <v>2023 11</v>
      </c>
      <c r="G2470" s="96" t="s">
        <v>5</v>
      </c>
      <c r="H2470" s="161" t="s">
        <v>2073</v>
      </c>
      <c r="I2470" s="97" t="s">
        <v>2005</v>
      </c>
      <c r="J2470" s="97" t="s">
        <v>2074</v>
      </c>
      <c r="K2470" s="29">
        <v>19.690000000000001</v>
      </c>
      <c r="L2470" s="29">
        <v>-1.97</v>
      </c>
      <c r="M2470" s="30">
        <f>IFERROR(VLOOKUP($A2470,HeadJournal!$A$1:$J$890,COLUMN(HeadJournal!I$1),0)*($K2470+$L2470)/(SUMIF($A:$A,$A2470,$K:$K)+SUMIF($A:$A,$A2470,$L:$L)),0)</f>
        <v>-0.91883713022781399</v>
      </c>
      <c r="N2470" s="30">
        <f>IFERROR((VLOOKUP($A2470,HeadJournal!$A$1:$K$890,COLUMN(HeadJournal!K$1),0)-VLOOKUP($A2470,HeadJournal!$A$1:$K$890,COLUMN(HeadJournal!J$1),0))*($K2470+$L2470)/(SUMIF($A:$A,$A2470,$K:$K)+SUMIF($A:$A,$A2470,$L:$L)),0)</f>
        <v>6.4217021137380046E-15</v>
      </c>
      <c r="O2470" s="30">
        <f>IFERROR((VLOOKUP($A2470,HeadJournal!$A$1:$L$890,COLUMN(HeadJournal!L$1),0)*($K2470+$L2470)/(SUMIF($A:$A,$A2470,$K:$K)+SUMIF($A:$A,$A2470,$L:$L)))/VLOOKUP($A2470,HeadJournal!$A$1:$L$890,COLUMN(HeadJournal!H$1),0),0)</f>
        <v>1.2155408972614017</v>
      </c>
      <c r="P2470" s="30">
        <f>IFERROR(SUM(K2470:O2470)*VLOOKUP($A2470,HeadJournal!$A$1:$L$890,COLUMN(HeadJournal!H$1),0),0)</f>
        <v>1875.3993029581786</v>
      </c>
      <c r="Q2470" s="29">
        <v>2400</v>
      </c>
      <c r="R2470" s="31">
        <v>45489</v>
      </c>
      <c r="S2470" s="31" t="s">
        <v>3121</v>
      </c>
      <c r="T2470" s="95" t="str">
        <f t="shared" si="195"/>
        <v>2024 07</v>
      </c>
      <c r="U2470" s="32">
        <f t="shared" si="192"/>
        <v>524.60069704182138</v>
      </c>
      <c r="V2470" s="22">
        <f t="shared" si="193"/>
        <v>0.27972746721956093</v>
      </c>
      <c r="X2470" s="33"/>
      <c r="Y2470" s="33"/>
    </row>
    <row r="2471" spans="1:25" x14ac:dyDescent="0.2">
      <c r="A2471" s="93" t="s">
        <v>1112</v>
      </c>
      <c r="B2471" s="94" t="str">
        <f>IFERROR(VLOOKUP($A2471,HeadJournal!$A$1:$NTR$890,COLUMN(HeadJournal!B$1),0),"")</f>
        <v>720000011013</v>
      </c>
      <c r="C2471" s="94" t="str">
        <f>IFERROR(VLOOKUP($A2471,HeadJournal!$A$1:$NTR$890,COLUMN(HeadJournal!C$1),0),"")</f>
        <v>iHerb_AV CYG0792</v>
      </c>
      <c r="D2471" s="125" t="str">
        <f>IFERROR(VLOOKUP($A2471,HeadJournal!$A$1:$NTR$890,COLUMN(HeadJournal!D$1),0),"")</f>
        <v>Доставлен</v>
      </c>
      <c r="E2471" s="95">
        <f>IFERROR(VLOOKUP($A2471,HeadJournal!$A$1:$NTR$890,COLUMN(HeadJournal!G$1),0),"")</f>
        <v>45247</v>
      </c>
      <c r="F2471" s="95" t="str">
        <f t="shared" si="194"/>
        <v>2023 11</v>
      </c>
      <c r="G2471" s="96" t="s">
        <v>5</v>
      </c>
      <c r="H2471" s="161" t="s">
        <v>2073</v>
      </c>
      <c r="I2471" s="97" t="s">
        <v>2005</v>
      </c>
      <c r="J2471" s="97" t="s">
        <v>2074</v>
      </c>
      <c r="K2471" s="29">
        <v>19.690000000000001</v>
      </c>
      <c r="L2471" s="29">
        <v>-1.97</v>
      </c>
      <c r="M2471" s="30">
        <f>IFERROR(VLOOKUP($A2471,HeadJournal!$A$1:$J$890,COLUMN(HeadJournal!I$1),0)*($K2471+$L2471)/(SUMIF($A:$A,$A2471,$K:$K)+SUMIF($A:$A,$A2471,$L:$L)),0)</f>
        <v>-0.91883713022781399</v>
      </c>
      <c r="N2471" s="30">
        <f>IFERROR((VLOOKUP($A2471,HeadJournal!$A$1:$K$890,COLUMN(HeadJournal!K$1),0)-VLOOKUP($A2471,HeadJournal!$A$1:$K$890,COLUMN(HeadJournal!J$1),0))*($K2471+$L2471)/(SUMIF($A:$A,$A2471,$K:$K)+SUMIF($A:$A,$A2471,$L:$L)),0)</f>
        <v>6.4217021137380046E-15</v>
      </c>
      <c r="O2471" s="30">
        <f>IFERROR((VLOOKUP($A2471,HeadJournal!$A$1:$L$890,COLUMN(HeadJournal!L$1),0)*($K2471+$L2471)/(SUMIF($A:$A,$A2471,$K:$K)+SUMIF($A:$A,$A2471,$L:$L)))/VLOOKUP($A2471,HeadJournal!$A$1:$L$890,COLUMN(HeadJournal!H$1),0),0)</f>
        <v>1.2155408972614017</v>
      </c>
      <c r="P2471" s="30">
        <f>IFERROR(SUM(K2471:O2471)*VLOOKUP($A2471,HeadJournal!$A$1:$L$890,COLUMN(HeadJournal!H$1),0),0)</f>
        <v>1875.3993029581786</v>
      </c>
      <c r="Q2471" s="29">
        <v>2500</v>
      </c>
      <c r="R2471" s="31">
        <v>45507</v>
      </c>
      <c r="S2471" s="31" t="s">
        <v>3121</v>
      </c>
      <c r="T2471" s="95" t="str">
        <f t="shared" si="195"/>
        <v>2024 08</v>
      </c>
      <c r="U2471" s="32">
        <f t="shared" si="192"/>
        <v>624.60069704182138</v>
      </c>
      <c r="V2471" s="22">
        <f t="shared" si="193"/>
        <v>0.33304944502037598</v>
      </c>
      <c r="X2471" s="33"/>
      <c r="Y2471" s="33"/>
    </row>
    <row r="2472" spans="1:25" x14ac:dyDescent="0.2">
      <c r="A2472" s="93" t="s">
        <v>1112</v>
      </c>
      <c r="B2472" s="94" t="str">
        <f>IFERROR(VLOOKUP($A2472,HeadJournal!$A$1:$NTR$890,COLUMN(HeadJournal!B$1),0),"")</f>
        <v>720000011013</v>
      </c>
      <c r="C2472" s="94" t="str">
        <f>IFERROR(VLOOKUP($A2472,HeadJournal!$A$1:$NTR$890,COLUMN(HeadJournal!C$1),0),"")</f>
        <v>iHerb_AV CYG0792</v>
      </c>
      <c r="D2472" s="125" t="str">
        <f>IFERROR(VLOOKUP($A2472,HeadJournal!$A$1:$NTR$890,COLUMN(HeadJournal!D$1),0),"")</f>
        <v>Доставлен</v>
      </c>
      <c r="E2472" s="95">
        <f>IFERROR(VLOOKUP($A2472,HeadJournal!$A$1:$NTR$890,COLUMN(HeadJournal!G$1),0),"")</f>
        <v>45247</v>
      </c>
      <c r="F2472" s="95" t="str">
        <f t="shared" si="194"/>
        <v>2023 11</v>
      </c>
      <c r="G2472" s="96" t="s">
        <v>5</v>
      </c>
      <c r="H2472" s="160" t="str">
        <f>RIGHT(Journal!$J2472,9)</f>
        <v>NOW-01298</v>
      </c>
      <c r="I2472" s="96" t="str">
        <f t="shared" si="196"/>
        <v>NOW Foods</v>
      </c>
      <c r="J2472" s="97" t="s">
        <v>453</v>
      </c>
      <c r="K2472" s="29">
        <v>24.24</v>
      </c>
      <c r="L2472" s="29">
        <v>-2.4249999999999998</v>
      </c>
      <c r="M2472" s="30">
        <f>IFERROR(VLOOKUP($A2472,HeadJournal!$A$1:$J$890,COLUMN(HeadJournal!I$1),0)*($K2472+$L2472)/(SUMIF($A:$A,$A2472,$K:$K)+SUMIF($A:$A,$A2472,$L:$L)),0)</f>
        <v>-1.1311756205372323</v>
      </c>
      <c r="N2472" s="30">
        <f>IFERROR((VLOOKUP($A2472,HeadJournal!$A$1:$K$890,COLUMN(HeadJournal!K$1),0)-VLOOKUP($A2472,HeadJournal!$A$1:$K$890,COLUMN(HeadJournal!J$1),0))*($K2472+$L2472)/(SUMIF($A:$A,$A2472,$K:$K)+SUMIF($A:$A,$A2472,$L:$L)),0)</f>
        <v>7.9057241315572535E-15</v>
      </c>
      <c r="O2472" s="30">
        <f>IFERROR((VLOOKUP($A2472,HeadJournal!$A$1:$L$890,COLUMN(HeadJournal!L$1),0)*($K2472+$L2472)/(SUMIF($A:$A,$A2472,$K:$K)+SUMIF($A:$A,$A2472,$L:$L)))/VLOOKUP($A2472,HeadJournal!$A$1:$L$890,COLUMN(HeadJournal!H$1),0),0)</f>
        <v>1.4964460876838301</v>
      </c>
      <c r="P2472" s="30">
        <f>IFERROR(SUM(K2472:O2472)*VLOOKUP($A2472,HeadJournal!$A$1:$L$890,COLUMN(HeadJournal!H$1),0),0)</f>
        <v>2308.7943450357029</v>
      </c>
      <c r="Q2472" s="29">
        <v>2900</v>
      </c>
      <c r="R2472" s="31">
        <v>45317</v>
      </c>
      <c r="S2472" s="31" t="s">
        <v>3121</v>
      </c>
      <c r="T2472" s="95" t="str">
        <f t="shared" si="195"/>
        <v>2024 01</v>
      </c>
      <c r="U2472" s="32">
        <f t="shared" si="192"/>
        <v>591.20565496429708</v>
      </c>
      <c r="V2472" s="22">
        <f t="shared" si="193"/>
        <v>0.2560668325593784</v>
      </c>
      <c r="X2472" s="33"/>
      <c r="Y2472" s="33"/>
    </row>
    <row r="2473" spans="1:25" x14ac:dyDescent="0.2">
      <c r="A2473" s="93" t="s">
        <v>1112</v>
      </c>
      <c r="B2473" s="94" t="str">
        <f>IFERROR(VLOOKUP($A2473,HeadJournal!$A$1:$NTR$890,COLUMN(HeadJournal!B$1),0),"")</f>
        <v>720000011013</v>
      </c>
      <c r="C2473" s="94" t="str">
        <f>IFERROR(VLOOKUP($A2473,HeadJournal!$A$1:$NTR$890,COLUMN(HeadJournal!C$1),0),"")</f>
        <v>iHerb_AV CYG0792</v>
      </c>
      <c r="D2473" s="125" t="str">
        <f>IFERROR(VLOOKUP($A2473,HeadJournal!$A$1:$NTR$890,COLUMN(HeadJournal!D$1),0),"")</f>
        <v>Доставлен</v>
      </c>
      <c r="E2473" s="95">
        <f>IFERROR(VLOOKUP($A2473,HeadJournal!$A$1:$NTR$890,COLUMN(HeadJournal!G$1),0),"")</f>
        <v>45247</v>
      </c>
      <c r="F2473" s="95" t="str">
        <f t="shared" si="194"/>
        <v>2023 11</v>
      </c>
      <c r="G2473" s="96" t="s">
        <v>5</v>
      </c>
      <c r="H2473" s="160" t="str">
        <f>RIGHT(Journal!$J2473,9)</f>
        <v>NOW-01298</v>
      </c>
      <c r="I2473" s="96" t="str">
        <f t="shared" si="196"/>
        <v>NOW Foods</v>
      </c>
      <c r="J2473" s="97" t="s">
        <v>453</v>
      </c>
      <c r="K2473" s="29">
        <v>24.24</v>
      </c>
      <c r="L2473" s="29">
        <v>-2.4249999999999998</v>
      </c>
      <c r="M2473" s="30">
        <f>IFERROR(VLOOKUP($A2473,HeadJournal!$A$1:$J$890,COLUMN(HeadJournal!I$1),0)*($K2473+$L2473)/(SUMIF($A:$A,$A2473,$K:$K)+SUMIF($A:$A,$A2473,$L:$L)),0)</f>
        <v>-1.1311756205372323</v>
      </c>
      <c r="N2473" s="30">
        <f>IFERROR((VLOOKUP($A2473,HeadJournal!$A$1:$K$890,COLUMN(HeadJournal!K$1),0)-VLOOKUP($A2473,HeadJournal!$A$1:$K$890,COLUMN(HeadJournal!J$1),0))*($K2473+$L2473)/(SUMIF($A:$A,$A2473,$K:$K)+SUMIF($A:$A,$A2473,$L:$L)),0)</f>
        <v>7.9057241315572535E-15</v>
      </c>
      <c r="O2473" s="30">
        <f>IFERROR((VLOOKUP($A2473,HeadJournal!$A$1:$L$890,COLUMN(HeadJournal!L$1),0)*($K2473+$L2473)/(SUMIF($A:$A,$A2473,$K:$K)+SUMIF($A:$A,$A2473,$L:$L)))/VLOOKUP($A2473,HeadJournal!$A$1:$L$890,COLUMN(HeadJournal!H$1),0),0)</f>
        <v>1.4964460876838301</v>
      </c>
      <c r="P2473" s="30">
        <f>IFERROR(SUM(K2473:O2473)*VLOOKUP($A2473,HeadJournal!$A$1:$L$890,COLUMN(HeadJournal!H$1),0),0)</f>
        <v>2308.7943450357029</v>
      </c>
      <c r="Q2473" s="29">
        <v>3000</v>
      </c>
      <c r="R2473" s="31">
        <v>45325</v>
      </c>
      <c r="S2473" s="31" t="s">
        <v>3121</v>
      </c>
      <c r="T2473" s="95" t="str">
        <f t="shared" si="195"/>
        <v>2024 02</v>
      </c>
      <c r="U2473" s="32">
        <f t="shared" si="192"/>
        <v>691.20565496429708</v>
      </c>
      <c r="V2473" s="22">
        <f t="shared" si="193"/>
        <v>0.29937948195797764</v>
      </c>
      <c r="X2473" s="33"/>
      <c r="Y2473" s="33"/>
    </row>
    <row r="2474" spans="1:25" x14ac:dyDescent="0.2">
      <c r="A2474" s="93" t="s">
        <v>1112</v>
      </c>
      <c r="B2474" s="94" t="str">
        <f>IFERROR(VLOOKUP($A2474,HeadJournal!$A$1:$NTR$890,COLUMN(HeadJournal!B$1),0),"")</f>
        <v>720000011013</v>
      </c>
      <c r="C2474" s="94" t="str">
        <f>IFERROR(VLOOKUP($A2474,HeadJournal!$A$1:$NTR$890,COLUMN(HeadJournal!C$1),0),"")</f>
        <v>iHerb_AV CYG0792</v>
      </c>
      <c r="D2474" s="125" t="str">
        <f>IFERROR(VLOOKUP($A2474,HeadJournal!$A$1:$NTR$890,COLUMN(HeadJournal!D$1),0),"")</f>
        <v>Доставлен</v>
      </c>
      <c r="E2474" s="95">
        <f>IFERROR(VLOOKUP($A2474,HeadJournal!$A$1:$NTR$890,COLUMN(HeadJournal!G$1),0),"")</f>
        <v>45247</v>
      </c>
      <c r="F2474" s="95" t="str">
        <f t="shared" si="194"/>
        <v>2023 11</v>
      </c>
      <c r="G2474" s="96" t="s">
        <v>5</v>
      </c>
      <c r="H2474" s="161" t="s">
        <v>2919</v>
      </c>
      <c r="I2474" s="97" t="s">
        <v>2052</v>
      </c>
      <c r="J2474" s="97" t="s">
        <v>2920</v>
      </c>
      <c r="K2474" s="29">
        <v>9.68</v>
      </c>
      <c r="L2474" s="29">
        <v>-8.68</v>
      </c>
      <c r="M2474" s="30">
        <f>IFERROR(VLOOKUP($A2474,HeadJournal!$A$1:$J$890,COLUMN(HeadJournal!I$1),0)*($K2474+$L2474)/(SUMIF($A:$A,$A2474,$K:$K)+SUMIF($A:$A,$A2474,$L:$L)),0)</f>
        <v>-5.1853111186671207E-2</v>
      </c>
      <c r="N2474" s="30">
        <f>IFERROR((VLOOKUP($A2474,HeadJournal!$A$1:$K$890,COLUMN(HeadJournal!K$1),0)-VLOOKUP($A2474,HeadJournal!$A$1:$K$890,COLUMN(HeadJournal!J$1),0))*($K2474+$L2474)/(SUMIF($A:$A,$A2474,$K:$K)+SUMIF($A:$A,$A2474,$L:$L)),0)</f>
        <v>3.623985391500002E-16</v>
      </c>
      <c r="O2474" s="30">
        <f>IFERROR((VLOOKUP($A2474,HeadJournal!$A$1:$L$890,COLUMN(HeadJournal!L$1),0)*($K2474+$L2474)/(SUMIF($A:$A,$A2474,$K:$K)+SUMIF($A:$A,$A2474,$L:$L)))/VLOOKUP($A2474,HeadJournal!$A$1:$L$890,COLUMN(HeadJournal!H$1),0),0)</f>
        <v>6.8597116098273223E-2</v>
      </c>
      <c r="P2474" s="30">
        <f>IFERROR(SUM(K2474:O2474)*VLOOKUP($A2474,HeadJournal!$A$1:$L$890,COLUMN(HeadJournal!H$1),0),0)</f>
        <v>105.83517511050667</v>
      </c>
      <c r="Q2474" s="29">
        <v>700</v>
      </c>
      <c r="R2474" s="31">
        <v>45395</v>
      </c>
      <c r="S2474" s="31" t="s">
        <v>3121</v>
      </c>
      <c r="T2474" s="95" t="str">
        <f t="shared" si="195"/>
        <v>2024 04</v>
      </c>
      <c r="U2474" s="32">
        <f t="shared" si="192"/>
        <v>594.16482488949327</v>
      </c>
      <c r="V2474" s="22">
        <f t="shared" si="193"/>
        <v>5.6140581264130986</v>
      </c>
      <c r="X2474" s="33"/>
      <c r="Y2474" s="33"/>
    </row>
    <row r="2475" spans="1:25" x14ac:dyDescent="0.2">
      <c r="A2475" s="93" t="s">
        <v>1112</v>
      </c>
      <c r="B2475" s="94" t="str">
        <f>IFERROR(VLOOKUP($A2475,HeadJournal!$A$1:$NTR$890,COLUMN(HeadJournal!B$1),0),"")</f>
        <v>720000011013</v>
      </c>
      <c r="C2475" s="94" t="str">
        <f>IFERROR(VLOOKUP($A2475,HeadJournal!$A$1:$NTR$890,COLUMN(HeadJournal!C$1),0),"")</f>
        <v>iHerb_AV CYG0792</v>
      </c>
      <c r="D2475" s="125" t="str">
        <f>IFERROR(VLOOKUP($A2475,HeadJournal!$A$1:$NTR$890,COLUMN(HeadJournal!D$1),0),"")</f>
        <v>Доставлен</v>
      </c>
      <c r="E2475" s="95">
        <f>IFERROR(VLOOKUP($A2475,HeadJournal!$A$1:$NTR$890,COLUMN(HeadJournal!G$1),0),"")</f>
        <v>45247</v>
      </c>
      <c r="F2475" s="95" t="str">
        <f t="shared" si="194"/>
        <v>2023 11</v>
      </c>
      <c r="G2475" s="96" t="s">
        <v>5</v>
      </c>
      <c r="H2475" s="161" t="s">
        <v>2624</v>
      </c>
      <c r="I2475" s="97" t="s">
        <v>2005</v>
      </c>
      <c r="J2475" s="97" t="s">
        <v>2625</v>
      </c>
      <c r="K2475" s="29">
        <v>21.33</v>
      </c>
      <c r="L2475" s="29">
        <v>-2.1324999999999998</v>
      </c>
      <c r="M2475" s="30">
        <f>IFERROR(VLOOKUP($A2475,HeadJournal!$A$1:$J$890,COLUMN(HeadJournal!I$1),0)*($K2475+$L2475)/(SUMIF($A:$A,$A2475,$K:$K)+SUMIF($A:$A,$A2475,$L:$L)),0)</f>
        <v>-0.9954501020061205</v>
      </c>
      <c r="N2475" s="30">
        <f>IFERROR((VLOOKUP($A2475,HeadJournal!$A$1:$K$890,COLUMN(HeadJournal!K$1),0)-VLOOKUP($A2475,HeadJournal!$A$1:$K$890,COLUMN(HeadJournal!J$1),0))*($K2475+$L2475)/(SUMIF($A:$A,$A2475,$K:$K)+SUMIF($A:$A,$A2475,$L:$L)),0)</f>
        <v>6.9571459553321276E-15</v>
      </c>
      <c r="O2475" s="30">
        <f>IFERROR((VLOOKUP($A2475,HeadJournal!$A$1:$L$890,COLUMN(HeadJournal!L$1),0)*($K2475+$L2475)/(SUMIF($A:$A,$A2475,$K:$K)+SUMIF($A:$A,$A2475,$L:$L)))/VLOOKUP($A2475,HeadJournal!$A$1:$L$890,COLUMN(HeadJournal!H$1),0),0)</f>
        <v>1.3168931362966001</v>
      </c>
      <c r="P2475" s="30">
        <f>IFERROR(SUM(K2475:O2475)*VLOOKUP($A2475,HeadJournal!$A$1:$L$890,COLUMN(HeadJournal!H$1),0),0)</f>
        <v>2031.7707741839515</v>
      </c>
      <c r="Q2475" s="29">
        <v>2900</v>
      </c>
      <c r="R2475" s="31">
        <v>45296</v>
      </c>
      <c r="S2475" s="31" t="s">
        <v>3121</v>
      </c>
      <c r="T2475" s="95" t="str">
        <f t="shared" si="195"/>
        <v>2024 01</v>
      </c>
      <c r="U2475" s="32">
        <f t="shared" si="192"/>
        <v>868.22922581604848</v>
      </c>
      <c r="V2475" s="22">
        <f t="shared" si="193"/>
        <v>0.42732636813558239</v>
      </c>
      <c r="X2475" s="33"/>
      <c r="Y2475" s="33"/>
    </row>
    <row r="2476" spans="1:25" x14ac:dyDescent="0.2">
      <c r="A2476" s="93" t="s">
        <v>1112</v>
      </c>
      <c r="B2476" s="94" t="str">
        <f>IFERROR(VLOOKUP($A2476,HeadJournal!$A$1:$NTR$890,COLUMN(HeadJournal!B$1),0),"")</f>
        <v>720000011013</v>
      </c>
      <c r="C2476" s="94" t="str">
        <f>IFERROR(VLOOKUP($A2476,HeadJournal!$A$1:$NTR$890,COLUMN(HeadJournal!C$1),0),"")</f>
        <v>iHerb_AV CYG0792</v>
      </c>
      <c r="D2476" s="125" t="str">
        <f>IFERROR(VLOOKUP($A2476,HeadJournal!$A$1:$NTR$890,COLUMN(HeadJournal!D$1),0),"")</f>
        <v>Доставлен</v>
      </c>
      <c r="E2476" s="95">
        <f>IFERROR(VLOOKUP($A2476,HeadJournal!$A$1:$NTR$890,COLUMN(HeadJournal!G$1),0),"")</f>
        <v>45247</v>
      </c>
      <c r="F2476" s="95" t="str">
        <f t="shared" si="194"/>
        <v>2023 11</v>
      </c>
      <c r="G2476" s="96" t="s">
        <v>5</v>
      </c>
      <c r="H2476" s="161" t="s">
        <v>2624</v>
      </c>
      <c r="I2476" s="97" t="s">
        <v>2005</v>
      </c>
      <c r="J2476" s="97" t="s">
        <v>2625</v>
      </c>
      <c r="K2476" s="29">
        <v>21.33</v>
      </c>
      <c r="L2476" s="29">
        <v>-2.1324999999999998</v>
      </c>
      <c r="M2476" s="30">
        <f>IFERROR(VLOOKUP($A2476,HeadJournal!$A$1:$J$890,COLUMN(HeadJournal!I$1),0)*($K2476+$L2476)/(SUMIF($A:$A,$A2476,$K:$K)+SUMIF($A:$A,$A2476,$L:$L)),0)</f>
        <v>-0.9954501020061205</v>
      </c>
      <c r="N2476" s="30">
        <f>IFERROR((VLOOKUP($A2476,HeadJournal!$A$1:$K$890,COLUMN(HeadJournal!K$1),0)-VLOOKUP($A2476,HeadJournal!$A$1:$K$890,COLUMN(HeadJournal!J$1),0))*($K2476+$L2476)/(SUMIF($A:$A,$A2476,$K:$K)+SUMIF($A:$A,$A2476,$L:$L)),0)</f>
        <v>6.9571459553321276E-15</v>
      </c>
      <c r="O2476" s="30">
        <f>IFERROR((VLOOKUP($A2476,HeadJournal!$A$1:$L$890,COLUMN(HeadJournal!L$1),0)*($K2476+$L2476)/(SUMIF($A:$A,$A2476,$K:$K)+SUMIF($A:$A,$A2476,$L:$L)))/VLOOKUP($A2476,HeadJournal!$A$1:$L$890,COLUMN(HeadJournal!H$1),0),0)</f>
        <v>1.3168931362966001</v>
      </c>
      <c r="P2476" s="30">
        <f>IFERROR(SUM(K2476:O2476)*VLOOKUP($A2476,HeadJournal!$A$1:$L$890,COLUMN(HeadJournal!H$1),0),0)</f>
        <v>2031.7707741839515</v>
      </c>
      <c r="Q2476" s="29">
        <v>3000</v>
      </c>
      <c r="R2476" s="31">
        <v>45296</v>
      </c>
      <c r="S2476" s="31" t="s">
        <v>3121</v>
      </c>
      <c r="T2476" s="95" t="str">
        <f t="shared" si="195"/>
        <v>2024 01</v>
      </c>
      <c r="U2476" s="32">
        <f t="shared" si="192"/>
        <v>968.22922581604848</v>
      </c>
      <c r="V2476" s="22">
        <f t="shared" si="193"/>
        <v>0.47654451876094728</v>
      </c>
      <c r="X2476" s="33"/>
      <c r="Y2476" s="33"/>
    </row>
    <row r="2477" spans="1:25" x14ac:dyDescent="0.2">
      <c r="A2477" s="93" t="s">
        <v>1112</v>
      </c>
      <c r="B2477" s="94" t="str">
        <f>IFERROR(VLOOKUP($A2477,HeadJournal!$A$1:$NTR$890,COLUMN(HeadJournal!B$1),0),"")</f>
        <v>720000011013</v>
      </c>
      <c r="C2477" s="94" t="str">
        <f>IFERROR(VLOOKUP($A2477,HeadJournal!$A$1:$NTR$890,COLUMN(HeadJournal!C$1),0),"")</f>
        <v>iHerb_AV CYG0792</v>
      </c>
      <c r="D2477" s="125" t="str">
        <f>IFERROR(VLOOKUP($A2477,HeadJournal!$A$1:$NTR$890,COLUMN(HeadJournal!D$1),0),"")</f>
        <v>Доставлен</v>
      </c>
      <c r="E2477" s="95">
        <f>IFERROR(VLOOKUP($A2477,HeadJournal!$A$1:$NTR$890,COLUMN(HeadJournal!G$1),0),"")</f>
        <v>45247</v>
      </c>
      <c r="F2477" s="95" t="str">
        <f t="shared" si="194"/>
        <v>2023 11</v>
      </c>
      <c r="G2477" s="96" t="s">
        <v>5</v>
      </c>
      <c r="H2477" s="161" t="s">
        <v>2624</v>
      </c>
      <c r="I2477" s="97" t="s">
        <v>2005</v>
      </c>
      <c r="J2477" s="97" t="s">
        <v>2625</v>
      </c>
      <c r="K2477" s="29">
        <v>21.33</v>
      </c>
      <c r="L2477" s="29">
        <v>-2.1324999999999998</v>
      </c>
      <c r="M2477" s="30">
        <f>IFERROR(VLOOKUP($A2477,HeadJournal!$A$1:$J$890,COLUMN(HeadJournal!I$1),0)*($K2477+$L2477)/(SUMIF($A:$A,$A2477,$K:$K)+SUMIF($A:$A,$A2477,$L:$L)),0)</f>
        <v>-0.9954501020061205</v>
      </c>
      <c r="N2477" s="30">
        <f>IFERROR((VLOOKUP($A2477,HeadJournal!$A$1:$K$890,COLUMN(HeadJournal!K$1),0)-VLOOKUP($A2477,HeadJournal!$A$1:$K$890,COLUMN(HeadJournal!J$1),0))*($K2477+$L2477)/(SUMIF($A:$A,$A2477,$K:$K)+SUMIF($A:$A,$A2477,$L:$L)),0)</f>
        <v>6.9571459553321276E-15</v>
      </c>
      <c r="O2477" s="30">
        <f>IFERROR((VLOOKUP($A2477,HeadJournal!$A$1:$L$890,COLUMN(HeadJournal!L$1),0)*($K2477+$L2477)/(SUMIF($A:$A,$A2477,$K:$K)+SUMIF($A:$A,$A2477,$L:$L)))/VLOOKUP($A2477,HeadJournal!$A$1:$L$890,COLUMN(HeadJournal!H$1),0),0)</f>
        <v>1.3168931362966001</v>
      </c>
      <c r="P2477" s="30">
        <f>IFERROR(SUM(K2477:O2477)*VLOOKUP($A2477,HeadJournal!$A$1:$L$890,COLUMN(HeadJournal!H$1),0),0)</f>
        <v>2031.7707741839515</v>
      </c>
      <c r="Q2477" s="29">
        <v>3000</v>
      </c>
      <c r="R2477" s="31">
        <v>45299</v>
      </c>
      <c r="S2477" s="31" t="s">
        <v>3121</v>
      </c>
      <c r="T2477" s="95" t="str">
        <f t="shared" si="195"/>
        <v>2024 01</v>
      </c>
      <c r="U2477" s="32">
        <f t="shared" si="192"/>
        <v>968.22922581604848</v>
      </c>
      <c r="V2477" s="22">
        <f t="shared" si="193"/>
        <v>0.47654451876094728</v>
      </c>
      <c r="X2477" s="33"/>
      <c r="Y2477" s="33"/>
    </row>
    <row r="2478" spans="1:25" x14ac:dyDescent="0.2">
      <c r="A2478" s="93" t="s">
        <v>1112</v>
      </c>
      <c r="B2478" s="94" t="str">
        <f>IFERROR(VLOOKUP($A2478,HeadJournal!$A$1:$NTR$890,COLUMN(HeadJournal!B$1),0),"")</f>
        <v>720000011013</v>
      </c>
      <c r="C2478" s="94" t="str">
        <f>IFERROR(VLOOKUP($A2478,HeadJournal!$A$1:$NTR$890,COLUMN(HeadJournal!C$1),0),"")</f>
        <v>iHerb_AV CYG0792</v>
      </c>
      <c r="D2478" s="125" t="str">
        <f>IFERROR(VLOOKUP($A2478,HeadJournal!$A$1:$NTR$890,COLUMN(HeadJournal!D$1),0),"")</f>
        <v>Доставлен</v>
      </c>
      <c r="E2478" s="95">
        <f>IFERROR(VLOOKUP($A2478,HeadJournal!$A$1:$NTR$890,COLUMN(HeadJournal!G$1),0),"")</f>
        <v>45247</v>
      </c>
      <c r="F2478" s="95" t="str">
        <f t="shared" si="194"/>
        <v>2023 11</v>
      </c>
      <c r="G2478" s="96" t="s">
        <v>5</v>
      </c>
      <c r="H2478" s="161" t="s">
        <v>2624</v>
      </c>
      <c r="I2478" s="97" t="s">
        <v>2005</v>
      </c>
      <c r="J2478" s="97" t="s">
        <v>2625</v>
      </c>
      <c r="K2478" s="29">
        <v>21.33</v>
      </c>
      <c r="L2478" s="29">
        <v>-2.1324999999999998</v>
      </c>
      <c r="M2478" s="30">
        <f>IFERROR(VLOOKUP($A2478,HeadJournal!$A$1:$J$890,COLUMN(HeadJournal!I$1),0)*($K2478+$L2478)/(SUMIF($A:$A,$A2478,$K:$K)+SUMIF($A:$A,$A2478,$L:$L)),0)</f>
        <v>-0.9954501020061205</v>
      </c>
      <c r="N2478" s="30">
        <f>IFERROR((VLOOKUP($A2478,HeadJournal!$A$1:$K$890,COLUMN(HeadJournal!K$1),0)-VLOOKUP($A2478,HeadJournal!$A$1:$K$890,COLUMN(HeadJournal!J$1),0))*($K2478+$L2478)/(SUMIF($A:$A,$A2478,$K:$K)+SUMIF($A:$A,$A2478,$L:$L)),0)</f>
        <v>6.9571459553321276E-15</v>
      </c>
      <c r="O2478" s="30">
        <f>IFERROR((VLOOKUP($A2478,HeadJournal!$A$1:$L$890,COLUMN(HeadJournal!L$1),0)*($K2478+$L2478)/(SUMIF($A:$A,$A2478,$K:$K)+SUMIF($A:$A,$A2478,$L:$L)))/VLOOKUP($A2478,HeadJournal!$A$1:$L$890,COLUMN(HeadJournal!H$1),0),0)</f>
        <v>1.3168931362966001</v>
      </c>
      <c r="P2478" s="30">
        <f>IFERROR(SUM(K2478:O2478)*VLOOKUP($A2478,HeadJournal!$A$1:$L$890,COLUMN(HeadJournal!H$1),0),0)</f>
        <v>2031.7707741839515</v>
      </c>
      <c r="Q2478" s="29">
        <v>3000</v>
      </c>
      <c r="R2478" s="31">
        <v>45335</v>
      </c>
      <c r="S2478" s="31" t="s">
        <v>3121</v>
      </c>
      <c r="T2478" s="95" t="str">
        <f t="shared" si="195"/>
        <v>2024 02</v>
      </c>
      <c r="U2478" s="32">
        <f t="shared" si="192"/>
        <v>968.22922581604848</v>
      </c>
      <c r="V2478" s="22">
        <f t="shared" si="193"/>
        <v>0.47654451876094728</v>
      </c>
      <c r="X2478" s="33"/>
      <c r="Y2478" s="33"/>
    </row>
    <row r="2479" spans="1:25" x14ac:dyDescent="0.2">
      <c r="A2479" s="93" t="s">
        <v>1112</v>
      </c>
      <c r="B2479" s="94" t="str">
        <f>IFERROR(VLOOKUP($A2479,HeadJournal!$A$1:$NTR$890,COLUMN(HeadJournal!B$1),0),"")</f>
        <v>720000011013</v>
      </c>
      <c r="C2479" s="94" t="str">
        <f>IFERROR(VLOOKUP($A2479,HeadJournal!$A$1:$NTR$890,COLUMN(HeadJournal!C$1),0),"")</f>
        <v>iHerb_AV CYG0792</v>
      </c>
      <c r="D2479" s="125" t="str">
        <f>IFERROR(VLOOKUP($A2479,HeadJournal!$A$1:$NTR$890,COLUMN(HeadJournal!D$1),0),"")</f>
        <v>Доставлен</v>
      </c>
      <c r="E2479" s="95">
        <f>IFERROR(VLOOKUP($A2479,HeadJournal!$A$1:$NTR$890,COLUMN(HeadJournal!G$1),0),"")</f>
        <v>45247</v>
      </c>
      <c r="F2479" s="95" t="str">
        <f t="shared" si="194"/>
        <v>2023 11</v>
      </c>
      <c r="G2479" s="96" t="s">
        <v>5</v>
      </c>
      <c r="H2479" s="160" t="str">
        <f>RIGHT(Journal!$J2479,9)</f>
        <v>BLB-00175</v>
      </c>
      <c r="I2479" s="96" t="str">
        <f t="shared" si="196"/>
        <v>Bluebonnet Nutrition</v>
      </c>
      <c r="J2479" s="97" t="s">
        <v>1113</v>
      </c>
      <c r="K2479" s="29">
        <v>37.21</v>
      </c>
      <c r="L2479" s="29">
        <v>-3.72</v>
      </c>
      <c r="M2479" s="30">
        <f>IFERROR(VLOOKUP($A2479,HeadJournal!$A$1:$J$890,COLUMN(HeadJournal!I$1),0)*($K2479+$L2479)/(SUMIF($A:$A,$A2479,$K:$K)+SUMIF($A:$A,$A2479,$L:$L)),0)</f>
        <v>-1.7365606936416187</v>
      </c>
      <c r="N2479" s="30">
        <f>IFERROR((VLOOKUP($A2479,HeadJournal!$A$1:$K$890,COLUMN(HeadJournal!K$1),0)-VLOOKUP($A2479,HeadJournal!$A$1:$K$890,COLUMN(HeadJournal!J$1),0))*($K2479+$L2479)/(SUMIF($A:$A,$A2479,$K:$K)+SUMIF($A:$A,$A2479,$L:$L)),0)</f>
        <v>1.2136727076133506E-14</v>
      </c>
      <c r="O2479" s="30">
        <f>IFERROR((VLOOKUP($A2479,HeadJournal!$A$1:$L$890,COLUMN(HeadJournal!L$1),0)*($K2479+$L2479)/(SUMIF($A:$A,$A2479,$K:$K)+SUMIF($A:$A,$A2479,$L:$L)))/VLOOKUP($A2479,HeadJournal!$A$1:$L$890,COLUMN(HeadJournal!H$1),0),0)</f>
        <v>2.2973174181311702</v>
      </c>
      <c r="P2479" s="30">
        <f>IFERROR(SUM(K2479:O2479)*VLOOKUP($A2479,HeadJournal!$A$1:$L$890,COLUMN(HeadJournal!H$1),0),0)</f>
        <v>3544.4200144508691</v>
      </c>
      <c r="Q2479" s="29">
        <v>4400</v>
      </c>
      <c r="R2479" s="31">
        <v>45297</v>
      </c>
      <c r="S2479" s="31" t="s">
        <v>3121</v>
      </c>
      <c r="T2479" s="95" t="str">
        <f t="shared" si="195"/>
        <v>2024 01</v>
      </c>
      <c r="U2479" s="32">
        <f t="shared" si="192"/>
        <v>855.57998554913092</v>
      </c>
      <c r="V2479" s="22">
        <f t="shared" si="193"/>
        <v>0.24138786657926162</v>
      </c>
      <c r="X2479" s="33"/>
      <c r="Y2479" s="33"/>
    </row>
    <row r="2480" spans="1:25" x14ac:dyDescent="0.2">
      <c r="A2480" s="93" t="s">
        <v>1114</v>
      </c>
      <c r="B2480" s="94" t="str">
        <f>IFERROR(VLOOKUP($A2480,HeadJournal!$A$1:$NTR$890,COLUMN(HeadJournal!B$1),0),"")</f>
        <v>700000999293</v>
      </c>
      <c r="C2480" s="94" t="str">
        <f>IFERROR(VLOOKUP($A2480,HeadJournal!$A$1:$NTR$890,COLUMN(HeadJournal!C$1),0),"")</f>
        <v>iHerb_MH DLE7202</v>
      </c>
      <c r="D2480" s="125" t="str">
        <f>IFERROR(VLOOKUP($A2480,HeadJournal!$A$1:$NTR$890,COLUMN(HeadJournal!D$1),0),"")</f>
        <v>Доставлен</v>
      </c>
      <c r="E2480" s="95">
        <f>IFERROR(VLOOKUP($A2480,HeadJournal!$A$1:$NTR$890,COLUMN(HeadJournal!G$1),0),"")</f>
        <v>45242</v>
      </c>
      <c r="F2480" s="95" t="str">
        <f t="shared" si="194"/>
        <v>2023 11</v>
      </c>
      <c r="G2480" s="96" t="s">
        <v>5</v>
      </c>
      <c r="H2480" s="161" t="s">
        <v>2806</v>
      </c>
      <c r="I2480" s="97" t="s">
        <v>2009</v>
      </c>
      <c r="J2480" s="97" t="s">
        <v>2807</v>
      </c>
      <c r="K2480" s="29">
        <v>22.96</v>
      </c>
      <c r="L2480" s="29">
        <v>-5.0599999999999996</v>
      </c>
      <c r="M2480" s="30">
        <f>IFERROR(VLOOKUP($A2480,HeadJournal!$A$1:$J$890,COLUMN(HeadJournal!I$1),0)*($K2480+$L2480)/(SUMIF($A:$A,$A2480,$K:$K)+SUMIF($A:$A,$A2480,$L:$L)),0)</f>
        <v>-0.33936866053654374</v>
      </c>
      <c r="N2480" s="30">
        <f>IFERROR((VLOOKUP($A2480,HeadJournal!$A$1:$K$890,COLUMN(HeadJournal!K$1),0)-VLOOKUP($A2480,HeadJournal!$A$1:$K$890,COLUMN(HeadJournal!J$1),0))*($K2480+$L2480)/(SUMIF($A:$A,$A2480,$K:$K)+SUMIF($A:$A,$A2480,$L:$L)),0)</f>
        <v>-2.4113593648887654E-15</v>
      </c>
      <c r="O2480" s="30">
        <f>IFERROR((VLOOKUP($A2480,HeadJournal!$A$1:$L$890,COLUMN(HeadJournal!L$1),0)*($K2480+$L2480)/(SUMIF($A:$A,$A2480,$K:$K)+SUMIF($A:$A,$A2480,$L:$L)))/VLOOKUP($A2480,HeadJournal!$A$1:$L$890,COLUMN(HeadJournal!H$1),0),0)</f>
        <v>0.56487445126958558</v>
      </c>
      <c r="P2480" s="30">
        <f>IFERROR(SUM(K2480:O2480)*VLOOKUP($A2480,HeadJournal!$A$1:$L$890,COLUMN(HeadJournal!H$1),0),0)</f>
        <v>1905.6712626789267</v>
      </c>
      <c r="Q2480" s="29">
        <v>2800</v>
      </c>
      <c r="R2480" s="31">
        <v>45273</v>
      </c>
      <c r="S2480" s="31" t="s">
        <v>3121</v>
      </c>
      <c r="T2480" s="95" t="str">
        <f t="shared" si="195"/>
        <v>2023 12</v>
      </c>
      <c r="U2480" s="32">
        <f t="shared" si="192"/>
        <v>894.32873732107328</v>
      </c>
      <c r="V2480" s="22">
        <f t="shared" si="193"/>
        <v>0.46929853791459125</v>
      </c>
      <c r="X2480" s="33"/>
      <c r="Y2480" s="33"/>
    </row>
    <row r="2481" spans="1:25" x14ac:dyDescent="0.2">
      <c r="A2481" s="93" t="s">
        <v>1114</v>
      </c>
      <c r="B2481" s="94" t="str">
        <f>IFERROR(VLOOKUP($A2481,HeadJournal!$A$1:$NTR$890,COLUMN(HeadJournal!B$1),0),"")</f>
        <v>700000999293</v>
      </c>
      <c r="C2481" s="94" t="str">
        <f>IFERROR(VLOOKUP($A2481,HeadJournal!$A$1:$NTR$890,COLUMN(HeadJournal!C$1),0),"")</f>
        <v>iHerb_MH DLE7202</v>
      </c>
      <c r="D2481" s="125" t="str">
        <f>IFERROR(VLOOKUP($A2481,HeadJournal!$A$1:$NTR$890,COLUMN(HeadJournal!D$1),0),"")</f>
        <v>Доставлен</v>
      </c>
      <c r="E2481" s="95">
        <f>IFERROR(VLOOKUP($A2481,HeadJournal!$A$1:$NTR$890,COLUMN(HeadJournal!G$1),0),"")</f>
        <v>45242</v>
      </c>
      <c r="F2481" s="95" t="str">
        <f t="shared" si="194"/>
        <v>2023 11</v>
      </c>
      <c r="G2481" s="96" t="s">
        <v>5</v>
      </c>
      <c r="H2481" s="161" t="s">
        <v>2806</v>
      </c>
      <c r="I2481" s="97" t="s">
        <v>2009</v>
      </c>
      <c r="J2481" s="97" t="s">
        <v>2807</v>
      </c>
      <c r="K2481" s="29">
        <v>22.96</v>
      </c>
      <c r="L2481" s="29">
        <v>-5.0599999999999996</v>
      </c>
      <c r="M2481" s="30">
        <f>IFERROR(VLOOKUP($A2481,HeadJournal!$A$1:$J$890,COLUMN(HeadJournal!I$1),0)*($K2481+$L2481)/(SUMIF($A:$A,$A2481,$K:$K)+SUMIF($A:$A,$A2481,$L:$L)),0)</f>
        <v>-0.33936866053654374</v>
      </c>
      <c r="N2481" s="30">
        <f>IFERROR((VLOOKUP($A2481,HeadJournal!$A$1:$K$890,COLUMN(HeadJournal!K$1),0)-VLOOKUP($A2481,HeadJournal!$A$1:$K$890,COLUMN(HeadJournal!J$1),0))*($K2481+$L2481)/(SUMIF($A:$A,$A2481,$K:$K)+SUMIF($A:$A,$A2481,$L:$L)),0)</f>
        <v>-2.4113593648887654E-15</v>
      </c>
      <c r="O2481" s="30">
        <f>IFERROR((VLOOKUP($A2481,HeadJournal!$A$1:$L$890,COLUMN(HeadJournal!L$1),0)*($K2481+$L2481)/(SUMIF($A:$A,$A2481,$K:$K)+SUMIF($A:$A,$A2481,$L:$L)))/VLOOKUP($A2481,HeadJournal!$A$1:$L$890,COLUMN(HeadJournal!H$1),0),0)</f>
        <v>0.56487445126958558</v>
      </c>
      <c r="P2481" s="30">
        <f>IFERROR(SUM(K2481:O2481)*VLOOKUP($A2481,HeadJournal!$A$1:$L$890,COLUMN(HeadJournal!H$1),0),0)</f>
        <v>1905.6712626789267</v>
      </c>
      <c r="Q2481" s="29">
        <v>2800</v>
      </c>
      <c r="R2481" s="31">
        <v>45273</v>
      </c>
      <c r="S2481" s="31" t="s">
        <v>3121</v>
      </c>
      <c r="T2481" s="95" t="str">
        <f t="shared" si="195"/>
        <v>2023 12</v>
      </c>
      <c r="U2481" s="32">
        <f t="shared" si="192"/>
        <v>894.32873732107328</v>
      </c>
      <c r="V2481" s="22">
        <f t="shared" si="193"/>
        <v>0.46929853791459125</v>
      </c>
      <c r="X2481" s="33"/>
      <c r="Y2481" s="33"/>
    </row>
    <row r="2482" spans="1:25" x14ac:dyDescent="0.2">
      <c r="A2482" s="93" t="s">
        <v>1114</v>
      </c>
      <c r="B2482" s="94" t="str">
        <f>IFERROR(VLOOKUP($A2482,HeadJournal!$A$1:$NTR$890,COLUMN(HeadJournal!B$1),0),"")</f>
        <v>700000999293</v>
      </c>
      <c r="C2482" s="94" t="str">
        <f>IFERROR(VLOOKUP($A2482,HeadJournal!$A$1:$NTR$890,COLUMN(HeadJournal!C$1),0),"")</f>
        <v>iHerb_MH DLE7202</v>
      </c>
      <c r="D2482" s="125" t="str">
        <f>IFERROR(VLOOKUP($A2482,HeadJournal!$A$1:$NTR$890,COLUMN(HeadJournal!D$1),0),"")</f>
        <v>Доставлен</v>
      </c>
      <c r="E2482" s="95">
        <f>IFERROR(VLOOKUP($A2482,HeadJournal!$A$1:$NTR$890,COLUMN(HeadJournal!G$1),0),"")</f>
        <v>45242</v>
      </c>
      <c r="F2482" s="95" t="str">
        <f t="shared" si="194"/>
        <v>2023 11</v>
      </c>
      <c r="G2482" s="96" t="s">
        <v>5</v>
      </c>
      <c r="H2482" s="161" t="s">
        <v>2806</v>
      </c>
      <c r="I2482" s="97" t="s">
        <v>2009</v>
      </c>
      <c r="J2482" s="97" t="s">
        <v>2807</v>
      </c>
      <c r="K2482" s="29">
        <v>22.96</v>
      </c>
      <c r="L2482" s="29">
        <v>-5.0599999999999996</v>
      </c>
      <c r="M2482" s="30">
        <f>IFERROR(VLOOKUP($A2482,HeadJournal!$A$1:$J$890,COLUMN(HeadJournal!I$1),0)*($K2482+$L2482)/(SUMIF($A:$A,$A2482,$K:$K)+SUMIF($A:$A,$A2482,$L:$L)),0)</f>
        <v>-0.33936866053654374</v>
      </c>
      <c r="N2482" s="30">
        <f>IFERROR((VLOOKUP($A2482,HeadJournal!$A$1:$K$890,COLUMN(HeadJournal!K$1),0)-VLOOKUP($A2482,HeadJournal!$A$1:$K$890,COLUMN(HeadJournal!J$1),0))*($K2482+$L2482)/(SUMIF($A:$A,$A2482,$K:$K)+SUMIF($A:$A,$A2482,$L:$L)),0)</f>
        <v>-2.4113593648887654E-15</v>
      </c>
      <c r="O2482" s="30">
        <f>IFERROR((VLOOKUP($A2482,HeadJournal!$A$1:$L$890,COLUMN(HeadJournal!L$1),0)*($K2482+$L2482)/(SUMIF($A:$A,$A2482,$K:$K)+SUMIF($A:$A,$A2482,$L:$L)))/VLOOKUP($A2482,HeadJournal!$A$1:$L$890,COLUMN(HeadJournal!H$1),0),0)</f>
        <v>0.56487445126958558</v>
      </c>
      <c r="P2482" s="30">
        <f>IFERROR(SUM(K2482:O2482)*VLOOKUP($A2482,HeadJournal!$A$1:$L$890,COLUMN(HeadJournal!H$1),0),0)</f>
        <v>1905.6712626789267</v>
      </c>
      <c r="Q2482" s="29">
        <v>2800</v>
      </c>
      <c r="R2482" s="31">
        <v>45276</v>
      </c>
      <c r="S2482" s="31" t="s">
        <v>3121</v>
      </c>
      <c r="T2482" s="95" t="str">
        <f t="shared" si="195"/>
        <v>2023 12</v>
      </c>
      <c r="U2482" s="32">
        <f t="shared" si="192"/>
        <v>894.32873732107328</v>
      </c>
      <c r="V2482" s="22">
        <f t="shared" si="193"/>
        <v>0.46929853791459125</v>
      </c>
      <c r="X2482" s="33"/>
      <c r="Y2482" s="33"/>
    </row>
    <row r="2483" spans="1:25" x14ac:dyDescent="0.2">
      <c r="A2483" s="93" t="s">
        <v>1114</v>
      </c>
      <c r="B2483" s="94" t="str">
        <f>IFERROR(VLOOKUP($A2483,HeadJournal!$A$1:$NTR$890,COLUMN(HeadJournal!B$1),0),"")</f>
        <v>700000999293</v>
      </c>
      <c r="C2483" s="94" t="str">
        <f>IFERROR(VLOOKUP($A2483,HeadJournal!$A$1:$NTR$890,COLUMN(HeadJournal!C$1),0),"")</f>
        <v>iHerb_MH DLE7202</v>
      </c>
      <c r="D2483" s="125" t="str">
        <f>IFERROR(VLOOKUP($A2483,HeadJournal!$A$1:$NTR$890,COLUMN(HeadJournal!D$1),0),"")</f>
        <v>Доставлен</v>
      </c>
      <c r="E2483" s="95">
        <f>IFERROR(VLOOKUP($A2483,HeadJournal!$A$1:$NTR$890,COLUMN(HeadJournal!G$1),0),"")</f>
        <v>45242</v>
      </c>
      <c r="F2483" s="95" t="str">
        <f t="shared" si="194"/>
        <v>2023 11</v>
      </c>
      <c r="G2483" s="96" t="s">
        <v>5</v>
      </c>
      <c r="H2483" s="161" t="s">
        <v>2806</v>
      </c>
      <c r="I2483" s="97" t="s">
        <v>2009</v>
      </c>
      <c r="J2483" s="97" t="s">
        <v>2807</v>
      </c>
      <c r="K2483" s="29">
        <v>22.96</v>
      </c>
      <c r="L2483" s="29">
        <v>-5.0599999999999996</v>
      </c>
      <c r="M2483" s="30">
        <f>IFERROR(VLOOKUP($A2483,HeadJournal!$A$1:$J$890,COLUMN(HeadJournal!I$1),0)*($K2483+$L2483)/(SUMIF($A:$A,$A2483,$K:$K)+SUMIF($A:$A,$A2483,$L:$L)),0)</f>
        <v>-0.33936866053654374</v>
      </c>
      <c r="N2483" s="30">
        <f>IFERROR((VLOOKUP($A2483,HeadJournal!$A$1:$K$890,COLUMN(HeadJournal!K$1),0)-VLOOKUP($A2483,HeadJournal!$A$1:$K$890,COLUMN(HeadJournal!J$1),0))*($K2483+$L2483)/(SUMIF($A:$A,$A2483,$K:$K)+SUMIF($A:$A,$A2483,$L:$L)),0)</f>
        <v>-2.4113593648887654E-15</v>
      </c>
      <c r="O2483" s="30">
        <f>IFERROR((VLOOKUP($A2483,HeadJournal!$A$1:$L$890,COLUMN(HeadJournal!L$1),0)*($K2483+$L2483)/(SUMIF($A:$A,$A2483,$K:$K)+SUMIF($A:$A,$A2483,$L:$L)))/VLOOKUP($A2483,HeadJournal!$A$1:$L$890,COLUMN(HeadJournal!H$1),0),0)</f>
        <v>0.56487445126958558</v>
      </c>
      <c r="P2483" s="30">
        <f>IFERROR(SUM(K2483:O2483)*VLOOKUP($A2483,HeadJournal!$A$1:$L$890,COLUMN(HeadJournal!H$1),0),0)</f>
        <v>1905.6712626789267</v>
      </c>
      <c r="Q2483" s="29">
        <v>2800</v>
      </c>
      <c r="R2483" s="31">
        <v>45530</v>
      </c>
      <c r="S2483" s="31" t="s">
        <v>3121</v>
      </c>
      <c r="T2483" s="95" t="str">
        <f t="shared" si="195"/>
        <v>2024 08</v>
      </c>
      <c r="U2483" s="32">
        <f t="shared" si="192"/>
        <v>894.32873732107328</v>
      </c>
      <c r="V2483" s="22">
        <f t="shared" si="193"/>
        <v>0.46929853791459125</v>
      </c>
      <c r="X2483" s="33"/>
      <c r="Y2483" s="33"/>
    </row>
    <row r="2484" spans="1:25" x14ac:dyDescent="0.2">
      <c r="A2484" s="93" t="s">
        <v>1114</v>
      </c>
      <c r="B2484" s="94" t="str">
        <f>IFERROR(VLOOKUP($A2484,HeadJournal!$A$1:$NTR$890,COLUMN(HeadJournal!B$1),0),"")</f>
        <v>700000999293</v>
      </c>
      <c r="C2484" s="94" t="str">
        <f>IFERROR(VLOOKUP($A2484,HeadJournal!$A$1:$NTR$890,COLUMN(HeadJournal!C$1),0),"")</f>
        <v>iHerb_MH DLE7202</v>
      </c>
      <c r="D2484" s="125" t="str">
        <f>IFERROR(VLOOKUP($A2484,HeadJournal!$A$1:$NTR$890,COLUMN(HeadJournal!D$1),0),"")</f>
        <v>Доставлен</v>
      </c>
      <c r="E2484" s="95">
        <f>IFERROR(VLOOKUP($A2484,HeadJournal!$A$1:$NTR$890,COLUMN(HeadJournal!G$1),0),"")</f>
        <v>45242</v>
      </c>
      <c r="F2484" s="95" t="str">
        <f t="shared" si="194"/>
        <v>2023 11</v>
      </c>
      <c r="G2484" s="96" t="s">
        <v>5</v>
      </c>
      <c r="H2484" s="161" t="s">
        <v>2471</v>
      </c>
      <c r="I2484" s="97" t="s">
        <v>2039</v>
      </c>
      <c r="J2484" s="97" t="s">
        <v>2472</v>
      </c>
      <c r="K2484" s="29">
        <v>20.69</v>
      </c>
      <c r="L2484" s="29">
        <v>-4.55</v>
      </c>
      <c r="M2484" s="30">
        <f>IFERROR(VLOOKUP($A2484,HeadJournal!$A$1:$J$890,COLUMN(HeadJournal!I$1),0)*($K2484+$L2484)/(SUMIF($A:$A,$A2484,$K:$K)+SUMIF($A:$A,$A2484,$L:$L)),0)</f>
        <v>-0.30600056877429138</v>
      </c>
      <c r="N2484" s="30">
        <f>IFERROR((VLOOKUP($A2484,HeadJournal!$A$1:$K$890,COLUMN(HeadJournal!K$1),0)-VLOOKUP($A2484,HeadJournal!$A$1:$K$890,COLUMN(HeadJournal!J$1),0))*($K2484+$L2484)/(SUMIF($A:$A,$A2484,$K:$K)+SUMIF($A:$A,$A2484,$L:$L)),0)</f>
        <v>-2.1742648128103169E-15</v>
      </c>
      <c r="O2484" s="30">
        <f>IFERROR((VLOOKUP($A2484,HeadJournal!$A$1:$L$890,COLUMN(HeadJournal!L$1),0)*($K2484+$L2484)/(SUMIF($A:$A,$A2484,$K:$K)+SUMIF($A:$A,$A2484,$L:$L)))/VLOOKUP($A2484,HeadJournal!$A$1:$L$890,COLUMN(HeadJournal!H$1),0),0)</f>
        <v>0.50933372310006197</v>
      </c>
      <c r="P2484" s="30">
        <f>IFERROR(SUM(K2484:O2484)*VLOOKUP($A2484,HeadJournal!$A$1:$L$890,COLUMN(HeadJournal!H$1),0),0)</f>
        <v>1718.2979988624513</v>
      </c>
      <c r="Q2484" s="29">
        <v>2700</v>
      </c>
      <c r="R2484" s="31">
        <v>45299</v>
      </c>
      <c r="S2484" s="31" t="s">
        <v>3121</v>
      </c>
      <c r="T2484" s="95" t="str">
        <f t="shared" si="195"/>
        <v>2024 01</v>
      </c>
      <c r="U2484" s="32">
        <f t="shared" si="192"/>
        <v>981.70200113754868</v>
      </c>
      <c r="V2484" s="22">
        <f t="shared" si="193"/>
        <v>0.57132232115003079</v>
      </c>
      <c r="X2484" s="33"/>
      <c r="Y2484" s="33"/>
    </row>
    <row r="2485" spans="1:25" x14ac:dyDescent="0.2">
      <c r="A2485" s="93" t="s">
        <v>1114</v>
      </c>
      <c r="B2485" s="94" t="str">
        <f>IFERROR(VLOOKUP($A2485,HeadJournal!$A$1:$NTR$890,COLUMN(HeadJournal!B$1),0),"")</f>
        <v>700000999293</v>
      </c>
      <c r="C2485" s="94" t="str">
        <f>IFERROR(VLOOKUP($A2485,HeadJournal!$A$1:$NTR$890,COLUMN(HeadJournal!C$1),0),"")</f>
        <v>iHerb_MH DLE7202</v>
      </c>
      <c r="D2485" s="125" t="str">
        <f>IFERROR(VLOOKUP($A2485,HeadJournal!$A$1:$NTR$890,COLUMN(HeadJournal!D$1),0),"")</f>
        <v>Доставлен</v>
      </c>
      <c r="E2485" s="95">
        <f>IFERROR(VLOOKUP($A2485,HeadJournal!$A$1:$NTR$890,COLUMN(HeadJournal!G$1),0),"")</f>
        <v>45242</v>
      </c>
      <c r="F2485" s="95" t="str">
        <f t="shared" si="194"/>
        <v>2023 11</v>
      </c>
      <c r="G2485" s="96" t="s">
        <v>5</v>
      </c>
      <c r="H2485" s="161" t="s">
        <v>2471</v>
      </c>
      <c r="I2485" s="97" t="s">
        <v>2039</v>
      </c>
      <c r="J2485" s="97" t="s">
        <v>2472</v>
      </c>
      <c r="K2485" s="29">
        <v>20.69</v>
      </c>
      <c r="L2485" s="29">
        <v>-4.55</v>
      </c>
      <c r="M2485" s="30">
        <f>IFERROR(VLOOKUP($A2485,HeadJournal!$A$1:$J$890,COLUMN(HeadJournal!I$1),0)*($K2485+$L2485)/(SUMIF($A:$A,$A2485,$K:$K)+SUMIF($A:$A,$A2485,$L:$L)),0)</f>
        <v>-0.30600056877429138</v>
      </c>
      <c r="N2485" s="30">
        <f>IFERROR((VLOOKUP($A2485,HeadJournal!$A$1:$K$890,COLUMN(HeadJournal!K$1),0)-VLOOKUP($A2485,HeadJournal!$A$1:$K$890,COLUMN(HeadJournal!J$1),0))*($K2485+$L2485)/(SUMIF($A:$A,$A2485,$K:$K)+SUMIF($A:$A,$A2485,$L:$L)),0)</f>
        <v>-2.1742648128103169E-15</v>
      </c>
      <c r="O2485" s="30">
        <f>IFERROR((VLOOKUP($A2485,HeadJournal!$A$1:$L$890,COLUMN(HeadJournal!L$1),0)*($K2485+$L2485)/(SUMIF($A:$A,$A2485,$K:$K)+SUMIF($A:$A,$A2485,$L:$L)))/VLOOKUP($A2485,HeadJournal!$A$1:$L$890,COLUMN(HeadJournal!H$1),0),0)</f>
        <v>0.50933372310006197</v>
      </c>
      <c r="P2485" s="30">
        <f>IFERROR(SUM(K2485:O2485)*VLOOKUP($A2485,HeadJournal!$A$1:$L$890,COLUMN(HeadJournal!H$1),0),0)</f>
        <v>1718.2979988624513</v>
      </c>
      <c r="Q2485" s="29">
        <v>2700</v>
      </c>
      <c r="R2485" s="31">
        <v>45310</v>
      </c>
      <c r="S2485" s="31" t="s">
        <v>3121</v>
      </c>
      <c r="T2485" s="95" t="str">
        <f t="shared" si="195"/>
        <v>2024 01</v>
      </c>
      <c r="U2485" s="32">
        <f t="shared" si="192"/>
        <v>981.70200113754868</v>
      </c>
      <c r="V2485" s="22">
        <f t="shared" si="193"/>
        <v>0.57132232115003079</v>
      </c>
      <c r="X2485" s="33"/>
      <c r="Y2485" s="33"/>
    </row>
    <row r="2486" spans="1:25" x14ac:dyDescent="0.2">
      <c r="A2486" s="93" t="s">
        <v>1114</v>
      </c>
      <c r="B2486" s="94" t="str">
        <f>IFERROR(VLOOKUP($A2486,HeadJournal!$A$1:$NTR$890,COLUMN(HeadJournal!B$1),0),"")</f>
        <v>700000999293</v>
      </c>
      <c r="C2486" s="94" t="str">
        <f>IFERROR(VLOOKUP($A2486,HeadJournal!$A$1:$NTR$890,COLUMN(HeadJournal!C$1),0),"")</f>
        <v>iHerb_MH DLE7202</v>
      </c>
      <c r="D2486" s="125" t="str">
        <f>IFERROR(VLOOKUP($A2486,HeadJournal!$A$1:$NTR$890,COLUMN(HeadJournal!D$1),0),"")</f>
        <v>Доставлен</v>
      </c>
      <c r="E2486" s="95">
        <f>IFERROR(VLOOKUP($A2486,HeadJournal!$A$1:$NTR$890,COLUMN(HeadJournal!G$1),0),"")</f>
        <v>45242</v>
      </c>
      <c r="F2486" s="95" t="str">
        <f t="shared" si="194"/>
        <v>2023 11</v>
      </c>
      <c r="G2486" s="96" t="s">
        <v>5</v>
      </c>
      <c r="H2486" s="161" t="s">
        <v>2462</v>
      </c>
      <c r="I2486" s="97" t="s">
        <v>2005</v>
      </c>
      <c r="J2486" s="97" t="s">
        <v>2463</v>
      </c>
      <c r="K2486" s="29">
        <v>7.87</v>
      </c>
      <c r="L2486" s="29">
        <v>-1.73</v>
      </c>
      <c r="M2486" s="30">
        <f>IFERROR(VLOOKUP($A2486,HeadJournal!$A$1:$J$890,COLUMN(HeadJournal!I$1),0)*($K2486+$L2486)/(SUMIF($A:$A,$A2486,$K:$K)+SUMIF($A:$A,$A2486,$L:$L)),0)</f>
        <v>-0.11640913830694853</v>
      </c>
      <c r="N2486" s="30">
        <f>IFERROR((VLOOKUP($A2486,HeadJournal!$A$1:$K$890,COLUMN(HeadJournal!K$1),0)-VLOOKUP($A2486,HeadJournal!$A$1:$K$890,COLUMN(HeadJournal!J$1),0))*($K2486+$L2486)/(SUMIF($A:$A,$A2486,$K:$K)+SUMIF($A:$A,$A2486,$L:$L)),0)</f>
        <v>-8.2713667600095087E-16</v>
      </c>
      <c r="O2486" s="30">
        <f>IFERROR((VLOOKUP($A2486,HeadJournal!$A$1:$L$890,COLUMN(HeadJournal!L$1),0)*($K2486+$L2486)/(SUMIF($A:$A,$A2486,$K:$K)+SUMIF($A:$A,$A2486,$L:$L)))/VLOOKUP($A2486,HeadJournal!$A$1:$L$890,COLUMN(HeadJournal!H$1),0),0)</f>
        <v>0.19376140395504216</v>
      </c>
      <c r="P2486" s="30">
        <f>IFERROR(SUM(K2486:O2486)*VLOOKUP($A2486,HeadJournal!$A$1:$L$890,COLUMN(HeadJournal!H$1),0),0)</f>
        <v>653.67718172338607</v>
      </c>
      <c r="Q2486" s="29">
        <v>1500</v>
      </c>
      <c r="R2486" s="31">
        <v>45300</v>
      </c>
      <c r="S2486" s="31" t="s">
        <v>3121</v>
      </c>
      <c r="T2486" s="95" t="str">
        <f t="shared" si="195"/>
        <v>2024 01</v>
      </c>
      <c r="U2486" s="32">
        <f t="shared" si="192"/>
        <v>846.32281827661393</v>
      </c>
      <c r="V2486" s="22">
        <f t="shared" si="193"/>
        <v>1.2947106644373414</v>
      </c>
      <c r="X2486" s="33"/>
      <c r="Y2486" s="33"/>
    </row>
    <row r="2487" spans="1:25" x14ac:dyDescent="0.2">
      <c r="A2487" s="93" t="s">
        <v>1114</v>
      </c>
      <c r="B2487" s="94" t="str">
        <f>IFERROR(VLOOKUP($A2487,HeadJournal!$A$1:$NTR$890,COLUMN(HeadJournal!B$1),0),"")</f>
        <v>700000999293</v>
      </c>
      <c r="C2487" s="94" t="str">
        <f>IFERROR(VLOOKUP($A2487,HeadJournal!$A$1:$NTR$890,COLUMN(HeadJournal!C$1),0),"")</f>
        <v>iHerb_MH DLE7202</v>
      </c>
      <c r="D2487" s="125" t="str">
        <f>IFERROR(VLOOKUP($A2487,HeadJournal!$A$1:$NTR$890,COLUMN(HeadJournal!D$1),0),"")</f>
        <v>Доставлен</v>
      </c>
      <c r="E2487" s="95">
        <f>IFERROR(VLOOKUP($A2487,HeadJournal!$A$1:$NTR$890,COLUMN(HeadJournal!G$1),0),"")</f>
        <v>45242</v>
      </c>
      <c r="F2487" s="95" t="str">
        <f t="shared" si="194"/>
        <v>2023 11</v>
      </c>
      <c r="G2487" s="96" t="s">
        <v>5</v>
      </c>
      <c r="H2487" s="161" t="s">
        <v>2462</v>
      </c>
      <c r="I2487" s="97" t="s">
        <v>2005</v>
      </c>
      <c r="J2487" s="97" t="s">
        <v>2463</v>
      </c>
      <c r="K2487" s="29">
        <v>7.87</v>
      </c>
      <c r="L2487" s="29">
        <v>-1.73</v>
      </c>
      <c r="M2487" s="30">
        <f>IFERROR(VLOOKUP($A2487,HeadJournal!$A$1:$J$890,COLUMN(HeadJournal!I$1),0)*($K2487+$L2487)/(SUMIF($A:$A,$A2487,$K:$K)+SUMIF($A:$A,$A2487,$L:$L)),0)</f>
        <v>-0.11640913830694853</v>
      </c>
      <c r="N2487" s="30">
        <f>IFERROR((VLOOKUP($A2487,HeadJournal!$A$1:$K$890,COLUMN(HeadJournal!K$1),0)-VLOOKUP($A2487,HeadJournal!$A$1:$K$890,COLUMN(HeadJournal!J$1),0))*($K2487+$L2487)/(SUMIF($A:$A,$A2487,$K:$K)+SUMIF($A:$A,$A2487,$L:$L)),0)</f>
        <v>-8.2713667600095087E-16</v>
      </c>
      <c r="O2487" s="30">
        <f>IFERROR((VLOOKUP($A2487,HeadJournal!$A$1:$L$890,COLUMN(HeadJournal!L$1),0)*($K2487+$L2487)/(SUMIF($A:$A,$A2487,$K:$K)+SUMIF($A:$A,$A2487,$L:$L)))/VLOOKUP($A2487,HeadJournal!$A$1:$L$890,COLUMN(HeadJournal!H$1),0),0)</f>
        <v>0.19376140395504216</v>
      </c>
      <c r="P2487" s="30">
        <f>IFERROR(SUM(K2487:O2487)*VLOOKUP($A2487,HeadJournal!$A$1:$L$890,COLUMN(HeadJournal!H$1),0),0)</f>
        <v>653.67718172338607</v>
      </c>
      <c r="Q2487" s="29">
        <v>1500</v>
      </c>
      <c r="R2487" s="31">
        <v>45375</v>
      </c>
      <c r="S2487" s="31" t="s">
        <v>3121</v>
      </c>
      <c r="T2487" s="95" t="str">
        <f t="shared" si="195"/>
        <v>2024 03</v>
      </c>
      <c r="U2487" s="32">
        <f t="shared" si="192"/>
        <v>846.32281827661393</v>
      </c>
      <c r="V2487" s="22">
        <f t="shared" si="193"/>
        <v>1.2947106644373414</v>
      </c>
      <c r="X2487" s="33"/>
      <c r="Y2487" s="33"/>
    </row>
    <row r="2488" spans="1:25" x14ac:dyDescent="0.2">
      <c r="A2488" s="93" t="s">
        <v>1114</v>
      </c>
      <c r="B2488" s="94" t="str">
        <f>IFERROR(VLOOKUP($A2488,HeadJournal!$A$1:$NTR$890,COLUMN(HeadJournal!B$1),0),"")</f>
        <v>700000999293</v>
      </c>
      <c r="C2488" s="94" t="str">
        <f>IFERROR(VLOOKUP($A2488,HeadJournal!$A$1:$NTR$890,COLUMN(HeadJournal!C$1),0),"")</f>
        <v>iHerb_MH DLE7202</v>
      </c>
      <c r="D2488" s="125" t="str">
        <f>IFERROR(VLOOKUP($A2488,HeadJournal!$A$1:$NTR$890,COLUMN(HeadJournal!D$1),0),"")</f>
        <v>Доставлен</v>
      </c>
      <c r="E2488" s="95">
        <f>IFERROR(VLOOKUP($A2488,HeadJournal!$A$1:$NTR$890,COLUMN(HeadJournal!G$1),0),"")</f>
        <v>45242</v>
      </c>
      <c r="F2488" s="95" t="str">
        <f t="shared" si="194"/>
        <v>2023 11</v>
      </c>
      <c r="G2488" s="96" t="s">
        <v>5</v>
      </c>
      <c r="H2488" s="160" t="str">
        <f>RIGHT(Journal!$J2488,9)</f>
        <v>NFS-02605</v>
      </c>
      <c r="I2488" s="96" t="str">
        <f t="shared" si="196"/>
        <v>Natural Factors</v>
      </c>
      <c r="J2488" s="97" t="s">
        <v>1115</v>
      </c>
      <c r="K2488" s="29">
        <v>13.87</v>
      </c>
      <c r="L2488" s="29">
        <v>-3.05</v>
      </c>
      <c r="M2488" s="30">
        <f>IFERROR(VLOOKUP($A2488,HeadJournal!$A$1:$J$890,COLUMN(HeadJournal!I$1),0)*($K2488+$L2488)/(SUMIF($A:$A,$A2488,$K:$K)+SUMIF($A:$A,$A2488,$L:$L)),0)</f>
        <v>-0.20513792776566497</v>
      </c>
      <c r="N2488" s="30">
        <f>IFERROR((VLOOKUP($A2488,HeadJournal!$A$1:$K$890,COLUMN(HeadJournal!K$1),0)-VLOOKUP($A2488,HeadJournal!$A$1:$K$890,COLUMN(HeadJournal!J$1),0))*($K2488+$L2488)/(SUMIF($A:$A,$A2488,$K:$K)+SUMIF($A:$A,$A2488,$L:$L)),0)</f>
        <v>-1.4575926440277341E-15</v>
      </c>
      <c r="O2488" s="30">
        <f>IFERROR((VLOOKUP($A2488,HeadJournal!$A$1:$L$890,COLUMN(HeadJournal!L$1),0)*($K2488+$L2488)/(SUMIF($A:$A,$A2488,$K:$K)+SUMIF($A:$A,$A2488,$L:$L)))/VLOOKUP($A2488,HeadJournal!$A$1:$L$890,COLUMN(HeadJournal!H$1),0),0)</f>
        <v>0.34144924931491138</v>
      </c>
      <c r="P2488" s="30">
        <f>IFERROR(SUM(K2488:O2488)*VLOOKUP($A2488,HeadJournal!$A$1:$L$890,COLUMN(HeadJournal!H$1),0),0)</f>
        <v>1151.9197241444683</v>
      </c>
      <c r="Q2488" s="29">
        <v>1900</v>
      </c>
      <c r="R2488" s="31">
        <v>45612</v>
      </c>
      <c r="S2488" s="31" t="s">
        <v>3121</v>
      </c>
      <c r="T2488" s="95" t="str">
        <f t="shared" si="195"/>
        <v>2024 11</v>
      </c>
      <c r="U2488" s="32">
        <f t="shared" si="192"/>
        <v>748.08027585553168</v>
      </c>
      <c r="V2488" s="22">
        <f t="shared" si="193"/>
        <v>0.64942049361220155</v>
      </c>
      <c r="X2488" s="33"/>
      <c r="Y2488" s="33"/>
    </row>
    <row r="2489" spans="1:25" x14ac:dyDescent="0.2">
      <c r="A2489" s="93" t="s">
        <v>1114</v>
      </c>
      <c r="B2489" s="94" t="str">
        <f>IFERROR(VLOOKUP($A2489,HeadJournal!$A$1:$NTR$890,COLUMN(HeadJournal!B$1),0),"")</f>
        <v>700000999293</v>
      </c>
      <c r="C2489" s="94" t="str">
        <f>IFERROR(VLOOKUP($A2489,HeadJournal!$A$1:$NTR$890,COLUMN(HeadJournal!C$1),0),"")</f>
        <v>iHerb_MH DLE7202</v>
      </c>
      <c r="D2489" s="125" t="str">
        <f>IFERROR(VLOOKUP($A2489,HeadJournal!$A$1:$NTR$890,COLUMN(HeadJournal!D$1),0),"")</f>
        <v>Доставлен</v>
      </c>
      <c r="E2489" s="95">
        <f>IFERROR(VLOOKUP($A2489,HeadJournal!$A$1:$NTR$890,COLUMN(HeadJournal!G$1),0),"")</f>
        <v>45242</v>
      </c>
      <c r="F2489" s="95" t="str">
        <f t="shared" si="194"/>
        <v>2023 11</v>
      </c>
      <c r="G2489" s="96" t="s">
        <v>5</v>
      </c>
      <c r="H2489" s="160" t="str">
        <f>RIGHT(Journal!$J2489,9)</f>
        <v>CGN-02108</v>
      </c>
      <c r="I2489" s="96" t="str">
        <f t="shared" si="196"/>
        <v>California Gold Nutrition</v>
      </c>
      <c r="J2489" s="97" t="s">
        <v>1116</v>
      </c>
      <c r="K2489" s="29">
        <v>17.190000000000001</v>
      </c>
      <c r="L2489" s="29">
        <v>-8.6</v>
      </c>
      <c r="M2489" s="30">
        <f>IFERROR(VLOOKUP($A2489,HeadJournal!$A$1:$J$890,COLUMN(HeadJournal!I$1),0)*($K2489+$L2489)/(SUMIF($A:$A,$A2489,$K:$K)+SUMIF($A:$A,$A2489,$L:$L)),0)</f>
        <v>-0.16285903877144756</v>
      </c>
      <c r="N2489" s="30">
        <f>IFERROR((VLOOKUP($A2489,HeadJournal!$A$1:$K$890,COLUMN(HeadJournal!K$1),0)-VLOOKUP($A2489,HeadJournal!$A$1:$K$890,COLUMN(HeadJournal!J$1),0))*($K2489+$L2489)/(SUMIF($A:$A,$A2489,$K:$K)+SUMIF($A:$A,$A2489,$L:$L)),0)</f>
        <v>-1.1571830695192457E-15</v>
      </c>
      <c r="O2489" s="30">
        <f>IFERROR((VLOOKUP($A2489,HeadJournal!$A$1:$L$890,COLUMN(HeadJournal!L$1),0)*($K2489+$L2489)/(SUMIF($A:$A,$A2489,$K:$K)+SUMIF($A:$A,$A2489,$L:$L)))/VLOOKUP($A2489,HeadJournal!$A$1:$L$890,COLUMN(HeadJournal!H$1),0),0)</f>
        <v>0.27107662214557204</v>
      </c>
      <c r="P2489" s="30">
        <f>IFERROR(SUM(K2489:O2489)*VLOOKUP($A2489,HeadJournal!$A$1:$L$890,COLUMN(HeadJournal!H$1),0),0)</f>
        <v>914.50928192245703</v>
      </c>
      <c r="Q2489" s="29">
        <v>2100</v>
      </c>
      <c r="R2489" s="31">
        <v>45338</v>
      </c>
      <c r="S2489" s="31" t="s">
        <v>3121</v>
      </c>
      <c r="T2489" s="95" t="str">
        <f t="shared" si="195"/>
        <v>2024 02</v>
      </c>
      <c r="U2489" s="32">
        <f t="shared" si="192"/>
        <v>1185.4907180775431</v>
      </c>
      <c r="V2489" s="22">
        <f t="shared" si="193"/>
        <v>1.2963134891156447</v>
      </c>
      <c r="X2489" s="33"/>
      <c r="Y2489" s="33"/>
    </row>
    <row r="2490" spans="1:25" x14ac:dyDescent="0.2">
      <c r="A2490" s="93" t="s">
        <v>1114</v>
      </c>
      <c r="B2490" s="94" t="str">
        <f>IFERROR(VLOOKUP($A2490,HeadJournal!$A$1:$NTR$890,COLUMN(HeadJournal!B$1),0),"")</f>
        <v>700000999293</v>
      </c>
      <c r="C2490" s="94" t="str">
        <f>IFERROR(VLOOKUP($A2490,HeadJournal!$A$1:$NTR$890,COLUMN(HeadJournal!C$1),0),"")</f>
        <v>iHerb_MH DLE7202</v>
      </c>
      <c r="D2490" s="125" t="str">
        <f>IFERROR(VLOOKUP($A2490,HeadJournal!$A$1:$NTR$890,COLUMN(HeadJournal!D$1),0),"")</f>
        <v>Доставлен</v>
      </c>
      <c r="E2490" s="95">
        <f>IFERROR(VLOOKUP($A2490,HeadJournal!$A$1:$NTR$890,COLUMN(HeadJournal!G$1),0),"")</f>
        <v>45242</v>
      </c>
      <c r="F2490" s="95" t="str">
        <f t="shared" si="194"/>
        <v>2023 11</v>
      </c>
      <c r="G2490" s="96" t="s">
        <v>5</v>
      </c>
      <c r="H2490" s="160" t="str">
        <f>RIGHT(Journal!$J2490,9)</f>
        <v>NBC-00120</v>
      </c>
      <c r="I2490" s="96" t="str">
        <f t="shared" si="196"/>
        <v>NutriBiotic</v>
      </c>
      <c r="J2490" s="97" t="s">
        <v>1117</v>
      </c>
      <c r="K2490" s="29">
        <v>14.39</v>
      </c>
      <c r="L2490" s="29">
        <v>-3.16</v>
      </c>
      <c r="M2490" s="30">
        <f>IFERROR(VLOOKUP($A2490,HeadJournal!$A$1:$J$890,COLUMN(HeadJournal!I$1),0)*($K2490+$L2490)/(SUMIF($A:$A,$A2490,$K:$K)+SUMIF($A:$A,$A2490,$L:$L)),0)</f>
        <v>-0.21291117641482604</v>
      </c>
      <c r="N2490" s="30">
        <f>IFERROR((VLOOKUP($A2490,HeadJournal!$A$1:$K$890,COLUMN(HeadJournal!K$1),0)-VLOOKUP($A2490,HeadJournal!$A$1:$K$890,COLUMN(HeadJournal!J$1),0))*($K2490+$L2490)/(SUMIF($A:$A,$A2490,$K:$K)+SUMIF($A:$A,$A2490,$L:$L)),0)</f>
        <v>-1.5128248976369182E-15</v>
      </c>
      <c r="O2490" s="30">
        <f>IFERROR((VLOOKUP($A2490,HeadJournal!$A$1:$L$890,COLUMN(HeadJournal!L$1),0)*($K2490+$L2490)/(SUMIF($A:$A,$A2490,$K:$K)+SUMIF($A:$A,$A2490,$L:$L)))/VLOOKUP($A2490,HeadJournal!$A$1:$L$890,COLUMN(HeadJournal!H$1),0),0)</f>
        <v>0.35438771439985722</v>
      </c>
      <c r="P2490" s="30">
        <f>IFERROR(SUM(K2490:O2490)*VLOOKUP($A2490,HeadJournal!$A$1:$L$890,COLUMN(HeadJournal!H$1),0),0)</f>
        <v>1195.5691776471704</v>
      </c>
      <c r="Q2490" s="29">
        <v>2200</v>
      </c>
      <c r="R2490" s="31">
        <v>45282</v>
      </c>
      <c r="S2490" s="31" t="s">
        <v>3121</v>
      </c>
      <c r="T2490" s="95" t="str">
        <f t="shared" si="195"/>
        <v>2023 12</v>
      </c>
      <c r="U2490" s="32">
        <f t="shared" si="192"/>
        <v>1004.4308223528296</v>
      </c>
      <c r="V2490" s="22">
        <f t="shared" si="193"/>
        <v>0.84012773257462781</v>
      </c>
      <c r="X2490" s="33"/>
      <c r="Y2490" s="33"/>
    </row>
    <row r="2491" spans="1:25" x14ac:dyDescent="0.2">
      <c r="A2491" s="93" t="s">
        <v>1114</v>
      </c>
      <c r="B2491" s="94" t="str">
        <f>IFERROR(VLOOKUP($A2491,HeadJournal!$A$1:$NTR$890,COLUMN(HeadJournal!B$1),0),"")</f>
        <v>700000999293</v>
      </c>
      <c r="C2491" s="94" t="str">
        <f>IFERROR(VLOOKUP($A2491,HeadJournal!$A$1:$NTR$890,COLUMN(HeadJournal!C$1),0),"")</f>
        <v>iHerb_MH DLE7202</v>
      </c>
      <c r="D2491" s="125" t="str">
        <f>IFERROR(VLOOKUP($A2491,HeadJournal!$A$1:$NTR$890,COLUMN(HeadJournal!D$1),0),"")</f>
        <v>Доставлен</v>
      </c>
      <c r="E2491" s="95">
        <f>IFERROR(VLOOKUP($A2491,HeadJournal!$A$1:$NTR$890,COLUMN(HeadJournal!G$1),0),"")</f>
        <v>45242</v>
      </c>
      <c r="F2491" s="95" t="str">
        <f t="shared" si="194"/>
        <v>2023 11</v>
      </c>
      <c r="G2491" s="96" t="s">
        <v>5</v>
      </c>
      <c r="H2491" s="161" t="s">
        <v>2089</v>
      </c>
      <c r="I2491" s="97" t="s">
        <v>2005</v>
      </c>
      <c r="J2491" s="97" t="s">
        <v>3781</v>
      </c>
      <c r="K2491" s="29">
        <v>23</v>
      </c>
      <c r="L2491" s="29">
        <v>-5.0549999999999997</v>
      </c>
      <c r="M2491" s="30">
        <f>IFERROR(VLOOKUP($A2491,HeadJournal!$A$1:$J$890,COLUMN(HeadJournal!I$1),0)*($K2491+$L2491)/(SUMIF($A:$A,$A2491,$K:$K)+SUMIF($A:$A,$A2491,$L:$L)),0)</f>
        <v>-0.34022182197364675</v>
      </c>
      <c r="N2491" s="30">
        <f>IFERROR((VLOOKUP($A2491,HeadJournal!$A$1:$K$890,COLUMN(HeadJournal!K$1),0)-VLOOKUP($A2491,HeadJournal!$A$1:$K$890,COLUMN(HeadJournal!J$1),0))*($K2491+$L2491)/(SUMIF($A:$A,$A2491,$K:$K)+SUMIF($A:$A,$A2491,$L:$L)),0)</f>
        <v>-2.4174214415044073E-15</v>
      </c>
      <c r="O2491" s="30">
        <f>IFERROR((VLOOKUP($A2491,HeadJournal!$A$1:$L$890,COLUMN(HeadJournal!L$1),0)*($K2491+$L2491)/(SUMIF($A:$A,$A2491,$K:$K)+SUMIF($A:$A,$A2491,$L:$L)))/VLOOKUP($A2491,HeadJournal!$A$1:$L$890,COLUMN(HeadJournal!H$1),0),0)</f>
        <v>0.56629452670573799</v>
      </c>
      <c r="P2491" s="30">
        <f>IFERROR(SUM(K2491:O2491)*VLOOKUP($A2491,HeadJournal!$A$1:$L$890,COLUMN(HeadJournal!H$1),0),0)</f>
        <v>1910.4620563560527</v>
      </c>
      <c r="Q2491" s="29">
        <v>3000</v>
      </c>
      <c r="R2491" s="31">
        <v>45307</v>
      </c>
      <c r="S2491" s="31" t="s">
        <v>3121</v>
      </c>
      <c r="T2491" s="95" t="str">
        <f t="shared" si="195"/>
        <v>2024 01</v>
      </c>
      <c r="U2491" s="32">
        <f t="shared" si="192"/>
        <v>1089.5379436439473</v>
      </c>
      <c r="V2491" s="22">
        <f t="shared" si="193"/>
        <v>0.57030075003012271</v>
      </c>
      <c r="X2491" s="33"/>
      <c r="Y2491" s="33"/>
    </row>
    <row r="2492" spans="1:25" x14ac:dyDescent="0.2">
      <c r="A2492" s="93" t="s">
        <v>1114</v>
      </c>
      <c r="B2492" s="94" t="str">
        <f>IFERROR(VLOOKUP($A2492,HeadJournal!$A$1:$NTR$890,COLUMN(HeadJournal!B$1),0),"")</f>
        <v>700000999293</v>
      </c>
      <c r="C2492" s="94" t="str">
        <f>IFERROR(VLOOKUP($A2492,HeadJournal!$A$1:$NTR$890,COLUMN(HeadJournal!C$1),0),"")</f>
        <v>iHerb_MH DLE7202</v>
      </c>
      <c r="D2492" s="125" t="str">
        <f>IFERROR(VLOOKUP($A2492,HeadJournal!$A$1:$NTR$890,COLUMN(HeadJournal!D$1),0),"")</f>
        <v>Доставлен</v>
      </c>
      <c r="E2492" s="95">
        <f>IFERROR(VLOOKUP($A2492,HeadJournal!$A$1:$NTR$890,COLUMN(HeadJournal!G$1),0),"")</f>
        <v>45242</v>
      </c>
      <c r="F2492" s="95" t="str">
        <f t="shared" si="194"/>
        <v>2023 11</v>
      </c>
      <c r="G2492" s="96" t="s">
        <v>5</v>
      </c>
      <c r="H2492" s="161" t="s">
        <v>2089</v>
      </c>
      <c r="I2492" s="97" t="s">
        <v>2005</v>
      </c>
      <c r="J2492" s="97" t="s">
        <v>3781</v>
      </c>
      <c r="K2492" s="29">
        <v>23</v>
      </c>
      <c r="L2492" s="29">
        <v>-5.0549999999999997</v>
      </c>
      <c r="M2492" s="30">
        <f>IFERROR(VLOOKUP($A2492,HeadJournal!$A$1:$J$890,COLUMN(HeadJournal!I$1),0)*($K2492+$L2492)/(SUMIF($A:$A,$A2492,$K:$K)+SUMIF($A:$A,$A2492,$L:$L)),0)</f>
        <v>-0.34022182197364675</v>
      </c>
      <c r="N2492" s="30">
        <f>IFERROR((VLOOKUP($A2492,HeadJournal!$A$1:$K$890,COLUMN(HeadJournal!K$1),0)-VLOOKUP($A2492,HeadJournal!$A$1:$K$890,COLUMN(HeadJournal!J$1),0))*($K2492+$L2492)/(SUMIF($A:$A,$A2492,$K:$K)+SUMIF($A:$A,$A2492,$L:$L)),0)</f>
        <v>-2.4174214415044073E-15</v>
      </c>
      <c r="O2492" s="30">
        <f>IFERROR((VLOOKUP($A2492,HeadJournal!$A$1:$L$890,COLUMN(HeadJournal!L$1),0)*($K2492+$L2492)/(SUMIF($A:$A,$A2492,$K:$K)+SUMIF($A:$A,$A2492,$L:$L)))/VLOOKUP($A2492,HeadJournal!$A$1:$L$890,COLUMN(HeadJournal!H$1),0),0)</f>
        <v>0.56629452670573799</v>
      </c>
      <c r="P2492" s="30">
        <f>IFERROR(SUM(K2492:O2492)*VLOOKUP($A2492,HeadJournal!$A$1:$L$890,COLUMN(HeadJournal!H$1),0),0)</f>
        <v>1910.4620563560527</v>
      </c>
      <c r="Q2492" s="29">
        <v>2900</v>
      </c>
      <c r="R2492" s="31">
        <v>45308</v>
      </c>
      <c r="S2492" s="31" t="s">
        <v>3121</v>
      </c>
      <c r="T2492" s="95" t="str">
        <f t="shared" si="195"/>
        <v>2024 01</v>
      </c>
      <c r="U2492" s="32">
        <f t="shared" si="192"/>
        <v>989.5379436439473</v>
      </c>
      <c r="V2492" s="22">
        <f t="shared" si="193"/>
        <v>0.51795739169578525</v>
      </c>
      <c r="X2492" s="33"/>
      <c r="Y2492" s="33"/>
    </row>
    <row r="2493" spans="1:25" x14ac:dyDescent="0.2">
      <c r="A2493" s="93" t="s">
        <v>1114</v>
      </c>
      <c r="B2493" s="94" t="str">
        <f>IFERROR(VLOOKUP($A2493,HeadJournal!$A$1:$NTR$890,COLUMN(HeadJournal!B$1),0),"")</f>
        <v>700000999293</v>
      </c>
      <c r="C2493" s="94" t="str">
        <f>IFERROR(VLOOKUP($A2493,HeadJournal!$A$1:$NTR$890,COLUMN(HeadJournal!C$1),0),"")</f>
        <v>iHerb_MH DLE7202</v>
      </c>
      <c r="D2493" s="125" t="str">
        <f>IFERROR(VLOOKUP($A2493,HeadJournal!$A$1:$NTR$890,COLUMN(HeadJournal!D$1),0),"")</f>
        <v>Доставлен</v>
      </c>
      <c r="E2493" s="95">
        <f>IFERROR(VLOOKUP($A2493,HeadJournal!$A$1:$NTR$890,COLUMN(HeadJournal!G$1),0),"")</f>
        <v>45242</v>
      </c>
      <c r="F2493" s="95" t="str">
        <f t="shared" si="194"/>
        <v>2023 11</v>
      </c>
      <c r="G2493" s="96" t="s">
        <v>5</v>
      </c>
      <c r="H2493" s="160" t="str">
        <f>RIGHT(Journal!$J2493,9)</f>
        <v>EVL-02907</v>
      </c>
      <c r="I2493" s="96" t="str">
        <f t="shared" si="196"/>
        <v>EVLution Nutrition</v>
      </c>
      <c r="J2493" s="97" t="s">
        <v>1111</v>
      </c>
      <c r="K2493" s="29">
        <v>13.53</v>
      </c>
      <c r="L2493" s="29">
        <v>-2.97</v>
      </c>
      <c r="M2493" s="30">
        <f>IFERROR(VLOOKUP($A2493,HeadJournal!$A$1:$J$890,COLUMN(HeadJournal!I$1),0)*($K2493+$L2493)/(SUMIF($A:$A,$A2493,$K:$K)+SUMIF($A:$A,$A2493,$L:$L)),0)</f>
        <v>-0.20020855057351403</v>
      </c>
      <c r="N2493" s="30">
        <f>IFERROR((VLOOKUP($A2493,HeadJournal!$A$1:$K$890,COLUMN(HeadJournal!K$1),0)-VLOOKUP($A2493,HeadJournal!$A$1:$K$890,COLUMN(HeadJournal!J$1),0))*($K2493+$L2493)/(SUMIF($A:$A,$A2493,$K:$K)+SUMIF($A:$A,$A2493,$L:$L)),0)</f>
        <v>-1.4225673124706903E-15</v>
      </c>
      <c r="O2493" s="30">
        <f>IFERROR((VLOOKUP($A2493,HeadJournal!$A$1:$L$890,COLUMN(HeadJournal!L$1),0)*($K2493+$L2493)/(SUMIF($A:$A,$A2493,$K:$K)+SUMIF($A:$A,$A2493,$L:$L)))/VLOOKUP($A2493,HeadJournal!$A$1:$L$890,COLUMN(HeadJournal!H$1),0),0)</f>
        <v>0.33324436901714088</v>
      </c>
      <c r="P2493" s="30">
        <f>IFERROR(SUM(K2493:O2493)*VLOOKUP($A2493,HeadJournal!$A$1:$L$890,COLUMN(HeadJournal!H$1),0),0)</f>
        <v>1124.2395828988526</v>
      </c>
      <c r="Q2493" s="29"/>
      <c r="R2493" s="31"/>
      <c r="S2493" s="31"/>
      <c r="T2493" s="95" t="str">
        <f t="shared" si="195"/>
        <v/>
      </c>
      <c r="U2493" s="32">
        <f t="shared" si="192"/>
        <v>-1124.2395828988526</v>
      </c>
      <c r="V2493" s="22" t="str">
        <f t="shared" si="193"/>
        <v/>
      </c>
      <c r="X2493" s="33"/>
      <c r="Y2493" s="33"/>
    </row>
    <row r="2494" spans="1:25" x14ac:dyDescent="0.2">
      <c r="A2494" s="93" t="s">
        <v>1114</v>
      </c>
      <c r="B2494" s="94" t="str">
        <f>IFERROR(VLOOKUP($A2494,HeadJournal!$A$1:$NTR$890,COLUMN(HeadJournal!B$1),0),"")</f>
        <v>700000999293</v>
      </c>
      <c r="C2494" s="94" t="str">
        <f>IFERROR(VLOOKUP($A2494,HeadJournal!$A$1:$NTR$890,COLUMN(HeadJournal!C$1),0),"")</f>
        <v>iHerb_MH DLE7202</v>
      </c>
      <c r="D2494" s="125" t="str">
        <f>IFERROR(VLOOKUP($A2494,HeadJournal!$A$1:$NTR$890,COLUMN(HeadJournal!D$1),0),"")</f>
        <v>Доставлен</v>
      </c>
      <c r="E2494" s="95">
        <f>IFERROR(VLOOKUP($A2494,HeadJournal!$A$1:$NTR$890,COLUMN(HeadJournal!G$1),0),"")</f>
        <v>45242</v>
      </c>
      <c r="F2494" s="95" t="str">
        <f t="shared" si="194"/>
        <v>2023 11</v>
      </c>
      <c r="G2494" s="96" t="s">
        <v>5</v>
      </c>
      <c r="H2494" s="160" t="str">
        <f>RIGHT(Journal!$J2494,9)</f>
        <v>NOW-02008</v>
      </c>
      <c r="I2494" s="96" t="str">
        <f t="shared" si="196"/>
        <v>NOW Foods</v>
      </c>
      <c r="J2494" s="97" t="s">
        <v>773</v>
      </c>
      <c r="K2494" s="29">
        <v>22.72</v>
      </c>
      <c r="L2494" s="29">
        <v>-4.99</v>
      </c>
      <c r="M2494" s="30">
        <f>IFERROR(VLOOKUP($A2494,HeadJournal!$A$1:$J$890,COLUMN(HeadJournal!I$1),0)*($K2494+$L2494)/(SUMIF($A:$A,$A2494,$K:$K)+SUMIF($A:$A,$A2494,$L:$L)),0)</f>
        <v>-0.33614560621859885</v>
      </c>
      <c r="N2494" s="30">
        <f>IFERROR((VLOOKUP($A2494,HeadJournal!$A$1:$K$890,COLUMN(HeadJournal!K$1),0)-VLOOKUP($A2494,HeadJournal!$A$1:$K$890,COLUMN(HeadJournal!J$1),0))*($K2494+$L2494)/(SUMIF($A:$A,$A2494,$K:$K)+SUMIF($A:$A,$A2494,$L:$L)),0)</f>
        <v>-2.3884581865630057E-15</v>
      </c>
      <c r="O2494" s="30">
        <f>IFERROR((VLOOKUP($A2494,HeadJournal!$A$1:$L$890,COLUMN(HeadJournal!L$1),0)*($K2494+$L2494)/(SUMIF($A:$A,$A2494,$K:$K)+SUMIF($A:$A,$A2494,$L:$L)))/VLOOKUP($A2494,HeadJournal!$A$1:$L$890,COLUMN(HeadJournal!H$1),0),0)</f>
        <v>0.55950972184411996</v>
      </c>
      <c r="P2494" s="30">
        <f>IFERROR(SUM(K2494:O2494)*VLOOKUP($A2494,HeadJournal!$A$1:$L$890,COLUMN(HeadJournal!H$1),0),0)</f>
        <v>1887.5727087875621</v>
      </c>
      <c r="Q2494" s="29">
        <v>2800</v>
      </c>
      <c r="R2494" s="31">
        <v>45273</v>
      </c>
      <c r="S2494" s="31" t="s">
        <v>3121</v>
      </c>
      <c r="T2494" s="95" t="str">
        <f t="shared" si="195"/>
        <v>2023 12</v>
      </c>
      <c r="U2494" s="32">
        <f t="shared" si="192"/>
        <v>912.42729121243792</v>
      </c>
      <c r="V2494" s="22">
        <f t="shared" si="193"/>
        <v>0.48338656676092445</v>
      </c>
      <c r="X2494" s="33"/>
      <c r="Y2494" s="33"/>
    </row>
    <row r="2495" spans="1:25" x14ac:dyDescent="0.2">
      <c r="A2495" s="93" t="s">
        <v>1118</v>
      </c>
      <c r="B2495" s="94" t="str">
        <f>IFERROR(VLOOKUP($A2495,HeadJournal!$A$1:$NTR$890,COLUMN(HeadJournal!B$1),0),"")</f>
        <v>700000985668</v>
      </c>
      <c r="C2495" s="94" t="str">
        <f>IFERROR(VLOOKUP($A2495,HeadJournal!$A$1:$NTR$890,COLUMN(HeadJournal!C$1),0),"")</f>
        <v>iHerb_OA CZN6870</v>
      </c>
      <c r="D2495" s="125" t="str">
        <f>IFERROR(VLOOKUP($A2495,HeadJournal!$A$1:$NTR$890,COLUMN(HeadJournal!D$1),0),"")</f>
        <v>Доставлен</v>
      </c>
      <c r="E2495" s="95">
        <f>IFERROR(VLOOKUP($A2495,HeadJournal!$A$1:$NTR$890,COLUMN(HeadJournal!G$1),0),"")</f>
        <v>45235</v>
      </c>
      <c r="F2495" s="95" t="str">
        <f t="shared" si="194"/>
        <v>2023 11</v>
      </c>
      <c r="G2495" s="96" t="s">
        <v>5</v>
      </c>
      <c r="H2495" s="160" t="str">
        <f>RIGHT(Journal!$J2495,9)</f>
        <v>SWV-01852</v>
      </c>
      <c r="I2495" s="96" t="str">
        <f t="shared" si="196"/>
        <v>Swanson</v>
      </c>
      <c r="J2495" s="97" t="s">
        <v>1119</v>
      </c>
      <c r="K2495" s="29">
        <v>5.96</v>
      </c>
      <c r="L2495" s="29">
        <v>-0.6</v>
      </c>
      <c r="M2495" s="30">
        <f>IFERROR(VLOOKUP($A2495,HeadJournal!$A$1:$J$890,COLUMN(HeadJournal!I$1),0)*($K2495+$L2495)/(SUMIF($A:$A,$A2495,$K:$K)+SUMIF($A:$A,$A2495,$L:$L)),0)</f>
        <v>-0.42429826092014183</v>
      </c>
      <c r="N2495" s="30">
        <f>IFERROR((VLOOKUP($A2495,HeadJournal!$A$1:$K$890,COLUMN(HeadJournal!K$1),0)-VLOOKUP($A2495,HeadJournal!$A$1:$K$890,COLUMN(HeadJournal!J$1),0))*($K2495+$L2495)/(SUMIF($A:$A,$A2495,$K:$K)+SUMIF($A:$A,$A2495,$L:$L)),0)</f>
        <v>-1.7721207764434998E-15</v>
      </c>
      <c r="O2495" s="30">
        <f>IFERROR((VLOOKUP($A2495,HeadJournal!$A$1:$L$890,COLUMN(HeadJournal!L$1),0)*($K2495+$L2495)/(SUMIF($A:$A,$A2495,$K:$K)+SUMIF($A:$A,$A2495,$L:$L)))/VLOOKUP($A2495,HeadJournal!$A$1:$L$890,COLUMN(HeadJournal!H$1),0),0)</f>
        <v>0.20450584144488038</v>
      </c>
      <c r="P2495" s="30">
        <f>IFERROR(SUM(K2495:O2495)*VLOOKUP($A2495,HeadJournal!$A$1:$L$890,COLUMN(HeadJournal!H$1),0),0)</f>
        <v>548.51196649799317</v>
      </c>
      <c r="Q2495" s="29">
        <v>950</v>
      </c>
      <c r="R2495" s="31">
        <v>45275</v>
      </c>
      <c r="S2495" s="31" t="s">
        <v>3121</v>
      </c>
      <c r="T2495" s="95" t="str">
        <f t="shared" si="195"/>
        <v>2023 12</v>
      </c>
      <c r="U2495" s="32">
        <f t="shared" si="192"/>
        <v>401.48803350200683</v>
      </c>
      <c r="V2495" s="22">
        <f t="shared" si="193"/>
        <v>0.73195856795127134</v>
      </c>
      <c r="X2495" s="33"/>
      <c r="Y2495" s="33"/>
    </row>
    <row r="2496" spans="1:25" x14ac:dyDescent="0.2">
      <c r="A2496" s="93" t="s">
        <v>1118</v>
      </c>
      <c r="B2496" s="94" t="str">
        <f>IFERROR(VLOOKUP($A2496,HeadJournal!$A$1:$NTR$890,COLUMN(HeadJournal!B$1),0),"")</f>
        <v>700000985668</v>
      </c>
      <c r="C2496" s="94" t="str">
        <f>IFERROR(VLOOKUP($A2496,HeadJournal!$A$1:$NTR$890,COLUMN(HeadJournal!C$1),0),"")</f>
        <v>iHerb_OA CZN6870</v>
      </c>
      <c r="D2496" s="125" t="str">
        <f>IFERROR(VLOOKUP($A2496,HeadJournal!$A$1:$NTR$890,COLUMN(HeadJournal!D$1),0),"")</f>
        <v>Доставлен</v>
      </c>
      <c r="E2496" s="95">
        <f>IFERROR(VLOOKUP($A2496,HeadJournal!$A$1:$NTR$890,COLUMN(HeadJournal!G$1),0),"")</f>
        <v>45235</v>
      </c>
      <c r="F2496" s="95" t="str">
        <f t="shared" si="194"/>
        <v>2023 11</v>
      </c>
      <c r="G2496" s="96" t="s">
        <v>5</v>
      </c>
      <c r="H2496" s="160" t="str">
        <f>RIGHT(Journal!$J2496,9)</f>
        <v>NLI-00117</v>
      </c>
      <c r="I2496" s="96" t="str">
        <f t="shared" si="196"/>
        <v>Nature's Life</v>
      </c>
      <c r="J2496" s="97" t="s">
        <v>720</v>
      </c>
      <c r="K2496" s="29">
        <v>7.19</v>
      </c>
      <c r="L2496" s="29">
        <v>-0.72</v>
      </c>
      <c r="M2496" s="30">
        <f>IFERROR(VLOOKUP($A2496,HeadJournal!$A$1:$J$890,COLUMN(HeadJournal!I$1),0)*($K2496+$L2496)/(SUMIF($A:$A,$A2496,$K:$K)+SUMIF($A:$A,$A2496,$L:$L)),0)</f>
        <v>-0.5121659977897981</v>
      </c>
      <c r="N2496" s="30">
        <f>IFERROR((VLOOKUP($A2496,HeadJournal!$A$1:$K$890,COLUMN(HeadJournal!K$1),0)-VLOOKUP($A2496,HeadJournal!$A$1:$K$890,COLUMN(HeadJournal!J$1),0))*($K2496+$L2496)/(SUMIF($A:$A,$A2496,$K:$K)+SUMIF($A:$A,$A2496,$L:$L)),0)</f>
        <v>-2.1391084745502693E-15</v>
      </c>
      <c r="O2496" s="30">
        <f>IFERROR((VLOOKUP($A2496,HeadJournal!$A$1:$L$890,COLUMN(HeadJournal!L$1),0)*($K2496+$L2496)/(SUMIF($A:$A,$A2496,$K:$K)+SUMIF($A:$A,$A2496,$L:$L)))/VLOOKUP($A2496,HeadJournal!$A$1:$L$890,COLUMN(HeadJournal!H$1),0),0)</f>
        <v>0.24685686457992087</v>
      </c>
      <c r="P2496" s="30">
        <f>IFERROR(SUM(K2496:O2496)*VLOOKUP($A2496,HeadJournal!$A$1:$L$890,COLUMN(HeadJournal!H$1),0),0)</f>
        <v>662.10306403768959</v>
      </c>
      <c r="Q2496" s="29">
        <v>1050</v>
      </c>
      <c r="R2496" s="31">
        <v>45275</v>
      </c>
      <c r="S2496" s="31" t="s">
        <v>3121</v>
      </c>
      <c r="T2496" s="95" t="str">
        <f t="shared" si="195"/>
        <v>2023 12</v>
      </c>
      <c r="U2496" s="32">
        <f t="shared" si="192"/>
        <v>387.89693596231041</v>
      </c>
      <c r="V2496" s="22">
        <f t="shared" si="193"/>
        <v>0.58585582370938816</v>
      </c>
      <c r="X2496" s="33"/>
      <c r="Y2496" s="33"/>
    </row>
    <row r="2497" spans="1:25" x14ac:dyDescent="0.2">
      <c r="A2497" s="93" t="s">
        <v>1118</v>
      </c>
      <c r="B2497" s="94" t="str">
        <f>IFERROR(VLOOKUP($A2497,HeadJournal!$A$1:$NTR$890,COLUMN(HeadJournal!B$1),0),"")</f>
        <v>700000985668</v>
      </c>
      <c r="C2497" s="94" t="str">
        <f>IFERROR(VLOOKUP($A2497,HeadJournal!$A$1:$NTR$890,COLUMN(HeadJournal!C$1),0),"")</f>
        <v>iHerb_OA CZN6870</v>
      </c>
      <c r="D2497" s="125" t="str">
        <f>IFERROR(VLOOKUP($A2497,HeadJournal!$A$1:$NTR$890,COLUMN(HeadJournal!D$1),0),"")</f>
        <v>Доставлен</v>
      </c>
      <c r="E2497" s="95">
        <f>IFERROR(VLOOKUP($A2497,HeadJournal!$A$1:$NTR$890,COLUMN(HeadJournal!G$1),0),"")</f>
        <v>45235</v>
      </c>
      <c r="F2497" s="95" t="str">
        <f t="shared" si="194"/>
        <v>2023 11</v>
      </c>
      <c r="G2497" s="96" t="s">
        <v>5</v>
      </c>
      <c r="H2497" s="160" t="str">
        <f>RIGHT(Journal!$J2497,9)</f>
        <v>CEN-21377</v>
      </c>
      <c r="I2497" s="96" t="str">
        <f t="shared" si="196"/>
        <v>21st Century</v>
      </c>
      <c r="J2497" s="97" t="s">
        <v>1120</v>
      </c>
      <c r="K2497" s="29">
        <v>4.91</v>
      </c>
      <c r="L2497" s="29">
        <v>-0.49</v>
      </c>
      <c r="M2497" s="30">
        <f>IFERROR(VLOOKUP($A2497,HeadJournal!$A$1:$J$890,COLUMN(HeadJournal!I$1),0)*($K2497+$L2497)/(SUMIF($A:$A,$A2497,$K:$K)+SUMIF($A:$A,$A2497,$L:$L)),0)</f>
        <v>-0.34988774501250502</v>
      </c>
      <c r="N2497" s="30">
        <f>IFERROR((VLOOKUP($A2497,HeadJournal!$A$1:$K$890,COLUMN(HeadJournal!K$1),0)-VLOOKUP($A2497,HeadJournal!$A$1:$K$890,COLUMN(HeadJournal!J$1),0))*($K2497+$L2497)/(SUMIF($A:$A,$A2497,$K:$K)+SUMIF($A:$A,$A2497,$L:$L)),0)</f>
        <v>-1.4613384014701994E-15</v>
      </c>
      <c r="O2497" s="30">
        <f>IFERROR((VLOOKUP($A2497,HeadJournal!$A$1:$L$890,COLUMN(HeadJournal!L$1),0)*($K2497+$L2497)/(SUMIF($A:$A,$A2497,$K:$K)+SUMIF($A:$A,$A2497,$L:$L)))/VLOOKUP($A2497,HeadJournal!$A$1:$L$890,COLUMN(HeadJournal!H$1),0),0)</f>
        <v>0.16864101104223345</v>
      </c>
      <c r="P2497" s="30">
        <f>IFERROR(SUM(K2497:O2497)*VLOOKUP($A2497,HeadJournal!$A$1:$L$890,COLUMN(HeadJournal!H$1),0),0)</f>
        <v>452.31770371662873</v>
      </c>
      <c r="Q2497" s="29">
        <v>850</v>
      </c>
      <c r="R2497" s="31">
        <v>45275</v>
      </c>
      <c r="S2497" s="31" t="s">
        <v>3121</v>
      </c>
      <c r="T2497" s="95" t="str">
        <f t="shared" si="195"/>
        <v>2023 12</v>
      </c>
      <c r="U2497" s="32">
        <f t="shared" ref="U2497:U2560" si="197">Q2497-P2497</f>
        <v>397.68229628337127</v>
      </c>
      <c r="V2497" s="22">
        <f t="shared" ref="V2497:V2560" si="198">IF(Q2497&lt;&gt;0,IFERROR(U2497/P2497,""),"")</f>
        <v>0.87921010611716888</v>
      </c>
      <c r="X2497" s="33"/>
      <c r="Y2497" s="33"/>
    </row>
    <row r="2498" spans="1:25" x14ac:dyDescent="0.2">
      <c r="A2498" s="93" t="s">
        <v>1118</v>
      </c>
      <c r="B2498" s="94" t="str">
        <f>IFERROR(VLOOKUP($A2498,HeadJournal!$A$1:$NTR$890,COLUMN(HeadJournal!B$1),0),"")</f>
        <v>700000985668</v>
      </c>
      <c r="C2498" s="94" t="str">
        <f>IFERROR(VLOOKUP($A2498,HeadJournal!$A$1:$NTR$890,COLUMN(HeadJournal!C$1),0),"")</f>
        <v>iHerb_OA CZN6870</v>
      </c>
      <c r="D2498" s="125" t="str">
        <f>IFERROR(VLOOKUP($A2498,HeadJournal!$A$1:$NTR$890,COLUMN(HeadJournal!D$1),0),"")</f>
        <v>Доставлен</v>
      </c>
      <c r="E2498" s="95">
        <f>IFERROR(VLOOKUP($A2498,HeadJournal!$A$1:$NTR$890,COLUMN(HeadJournal!G$1),0),"")</f>
        <v>45235</v>
      </c>
      <c r="F2498" s="95" t="str">
        <f t="shared" si="194"/>
        <v>2023 11</v>
      </c>
      <c r="G2498" s="96" t="s">
        <v>5</v>
      </c>
      <c r="H2498" s="160" t="str">
        <f>RIGHT(Journal!$J2498,9)</f>
        <v>LEX-17539</v>
      </c>
      <c r="I2498" s="96" t="str">
        <f t="shared" si="196"/>
        <v>Life Extension</v>
      </c>
      <c r="J2498" s="97" t="s">
        <v>1121</v>
      </c>
      <c r="K2498" s="29">
        <v>4.6399999999999997</v>
      </c>
      <c r="L2498" s="29">
        <v>-0.46</v>
      </c>
      <c r="M2498" s="30">
        <f>IFERROR(VLOOKUP($A2498,HeadJournal!$A$1:$J$890,COLUMN(HeadJournal!I$1),0)*($K2498+$L2498)/(SUMIF($A:$A,$A2498,$K:$K)+SUMIF($A:$A,$A2498,$L:$L)),0)</f>
        <v>-0.3308893154190658</v>
      </c>
      <c r="N2498" s="30">
        <f>IFERROR((VLOOKUP($A2498,HeadJournal!$A$1:$K$890,COLUMN(HeadJournal!K$1),0)-VLOOKUP($A2498,HeadJournal!$A$1:$K$890,COLUMN(HeadJournal!J$1),0))*($K2498+$L2498)/(SUMIF($A:$A,$A2498,$K:$K)+SUMIF($A:$A,$A2498,$L:$L)),0)</f>
        <v>-1.3819897099876546E-15</v>
      </c>
      <c r="O2498" s="30">
        <f>IFERROR((VLOOKUP($A2498,HeadJournal!$A$1:$L$890,COLUMN(HeadJournal!L$1),0)*($K2498+$L2498)/(SUMIF($A:$A,$A2498,$K:$K)+SUMIF($A:$A,$A2498,$L:$L)))/VLOOKUP($A2498,HeadJournal!$A$1:$L$890,COLUMN(HeadJournal!H$1),0),0)</f>
        <v>0.15948403306708955</v>
      </c>
      <c r="P2498" s="30">
        <f>IFERROR(SUM(K2498:O2498)*VLOOKUP($A2498,HeadJournal!$A$1:$L$890,COLUMN(HeadJournal!H$1),0),0)</f>
        <v>427.75746641074841</v>
      </c>
      <c r="Q2498" s="29">
        <v>800</v>
      </c>
      <c r="R2498" s="31">
        <v>45275</v>
      </c>
      <c r="S2498" s="31" t="s">
        <v>3121</v>
      </c>
      <c r="T2498" s="95" t="str">
        <f t="shared" si="195"/>
        <v>2023 12</v>
      </c>
      <c r="U2498" s="32">
        <f t="shared" si="197"/>
        <v>372.24253358925159</v>
      </c>
      <c r="V2498" s="22">
        <f t="shared" si="198"/>
        <v>0.87021867020273269</v>
      </c>
      <c r="X2498" s="33"/>
      <c r="Y2498" s="33"/>
    </row>
    <row r="2499" spans="1:25" x14ac:dyDescent="0.2">
      <c r="A2499" s="93" t="s">
        <v>1118</v>
      </c>
      <c r="B2499" s="94" t="str">
        <f>IFERROR(VLOOKUP($A2499,HeadJournal!$A$1:$NTR$890,COLUMN(HeadJournal!B$1),0),"")</f>
        <v>700000985668</v>
      </c>
      <c r="C2499" s="94" t="str">
        <f>IFERROR(VLOOKUP($A2499,HeadJournal!$A$1:$NTR$890,COLUMN(HeadJournal!C$1),0),"")</f>
        <v>iHerb_OA CZN6870</v>
      </c>
      <c r="D2499" s="125" t="str">
        <f>IFERROR(VLOOKUP($A2499,HeadJournal!$A$1:$NTR$890,COLUMN(HeadJournal!D$1),0),"")</f>
        <v>Доставлен</v>
      </c>
      <c r="E2499" s="95">
        <f>IFERROR(VLOOKUP($A2499,HeadJournal!$A$1:$NTR$890,COLUMN(HeadJournal!G$1),0),"")</f>
        <v>45235</v>
      </c>
      <c r="F2499" s="95" t="str">
        <f t="shared" si="194"/>
        <v>2023 11</v>
      </c>
      <c r="G2499" s="96" t="s">
        <v>5</v>
      </c>
      <c r="H2499" s="160" t="str">
        <f>RIGHT(Journal!$J2499,9)</f>
        <v>CAR-01540</v>
      </c>
      <c r="I2499" s="96" t="str">
        <f t="shared" si="196"/>
        <v>Carlson</v>
      </c>
      <c r="J2499" s="97" t="s">
        <v>1122</v>
      </c>
      <c r="K2499" s="29">
        <v>24.53</v>
      </c>
      <c r="L2499" s="29">
        <v>-2.4500000000000002</v>
      </c>
      <c r="M2499" s="30">
        <f>IFERROR(VLOOKUP($A2499,HeadJournal!$A$1:$J$890,COLUMN(HeadJournal!I$1),0)*($K2499+$L2499)/(SUMIF($A:$A,$A2499,$K:$K)+SUMIF($A:$A,$A2499,$L:$L)),0)</f>
        <v>-1.7478555225964052</v>
      </c>
      <c r="N2499" s="30">
        <f>IFERROR((VLOOKUP($A2499,HeadJournal!$A$1:$K$890,COLUMN(HeadJournal!K$1),0)-VLOOKUP($A2499,HeadJournal!$A$1:$K$890,COLUMN(HeadJournal!J$1),0))*($K2499+$L2499)/(SUMIF($A:$A,$A2499,$K:$K)+SUMIF($A:$A,$A2499,$L:$L)),0)</f>
        <v>-7.3000796163941193E-15</v>
      </c>
      <c r="O2499" s="30">
        <f>IFERROR((VLOOKUP($A2499,HeadJournal!$A$1:$L$890,COLUMN(HeadJournal!L$1),0)*($K2499+$L2499)/(SUMIF($A:$A,$A2499,$K:$K)+SUMIF($A:$A,$A2499,$L:$L)))/VLOOKUP($A2499,HeadJournal!$A$1:$L$890,COLUMN(HeadJournal!H$1),0),0)</f>
        <v>0.8424419737132387</v>
      </c>
      <c r="P2499" s="30">
        <f>IFERROR(SUM(K2499:O2499)*VLOOKUP($A2499,HeadJournal!$A$1:$L$890,COLUMN(HeadJournal!H$1),0),0)</f>
        <v>2259.541832140987</v>
      </c>
      <c r="Q2499" s="29">
        <v>3100</v>
      </c>
      <c r="R2499" s="31">
        <v>45271</v>
      </c>
      <c r="S2499" s="31" t="s">
        <v>3121</v>
      </c>
      <c r="T2499" s="95" t="str">
        <f t="shared" si="195"/>
        <v>2023 12</v>
      </c>
      <c r="U2499" s="32">
        <f t="shared" si="197"/>
        <v>840.45816785901297</v>
      </c>
      <c r="V2499" s="22">
        <f t="shared" si="198"/>
        <v>0.37195955211090398</v>
      </c>
      <c r="X2499" s="33"/>
      <c r="Y2499" s="33"/>
    </row>
    <row r="2500" spans="1:25" x14ac:dyDescent="0.2">
      <c r="A2500" s="93" t="s">
        <v>1118</v>
      </c>
      <c r="B2500" s="94" t="str">
        <f>IFERROR(VLOOKUP($A2500,HeadJournal!$A$1:$NTR$890,COLUMN(HeadJournal!B$1),0),"")</f>
        <v>700000985668</v>
      </c>
      <c r="C2500" s="94" t="str">
        <f>IFERROR(VLOOKUP($A2500,HeadJournal!$A$1:$NTR$890,COLUMN(HeadJournal!C$1),0),"")</f>
        <v>iHerb_OA CZN6870</v>
      </c>
      <c r="D2500" s="125" t="str">
        <f>IFERROR(VLOOKUP($A2500,HeadJournal!$A$1:$NTR$890,COLUMN(HeadJournal!D$1),0),"")</f>
        <v>Доставлен</v>
      </c>
      <c r="E2500" s="95">
        <f>IFERROR(VLOOKUP($A2500,HeadJournal!$A$1:$NTR$890,COLUMN(HeadJournal!G$1),0),"")</f>
        <v>45235</v>
      </c>
      <c r="F2500" s="95" t="str">
        <f t="shared" ref="F2500:F2563" si="199">IFERROR(TEXT(E2500, "ГГГГ ММ"),"")</f>
        <v>2023 11</v>
      </c>
      <c r="G2500" s="96" t="s">
        <v>5</v>
      </c>
      <c r="H2500" s="160" t="str">
        <f>RIGHT(Journal!$J2500,9)</f>
        <v>NOW-00169</v>
      </c>
      <c r="I2500" s="96" t="str">
        <f t="shared" si="196"/>
        <v>NOW Foods</v>
      </c>
      <c r="J2500" s="97" t="s">
        <v>1123</v>
      </c>
      <c r="K2500" s="29">
        <v>22.6</v>
      </c>
      <c r="L2500" s="29">
        <v>-2.2599999999999998</v>
      </c>
      <c r="M2500" s="30">
        <f>IFERROR(VLOOKUP($A2500,HeadJournal!$A$1:$J$890,COLUMN(HeadJournal!I$1),0)*($K2500+$L2500)/(SUMIF($A:$A,$A2500,$K:$K)+SUMIF($A:$A,$A2500,$L:$L)),0)</f>
        <v>-1.6101169080439712</v>
      </c>
      <c r="N2500" s="30">
        <f>IFERROR((VLOOKUP($A2500,HeadJournal!$A$1:$K$890,COLUMN(HeadJournal!K$1),0)-VLOOKUP($A2500,HeadJournal!$A$1:$K$890,COLUMN(HeadJournal!J$1),0))*($K2500+$L2500)/(SUMIF($A:$A,$A2500,$K:$K)+SUMIF($A:$A,$A2500,$L:$L)),0)</f>
        <v>-6.7248016031456693E-15</v>
      </c>
      <c r="O2500" s="30">
        <f>IFERROR((VLOOKUP($A2500,HeadJournal!$A$1:$L$890,COLUMN(HeadJournal!L$1),0)*($K2500+$L2500)/(SUMIF($A:$A,$A2500,$K:$K)+SUMIF($A:$A,$A2500,$L:$L)))/VLOOKUP($A2500,HeadJournal!$A$1:$L$890,COLUMN(HeadJournal!H$1),0),0)</f>
        <v>0.77605388339344539</v>
      </c>
      <c r="P2500" s="30">
        <f>IFERROR(SUM(K2500:O2500)*VLOOKUP($A2500,HeadJournal!$A$1:$L$890,COLUMN(HeadJournal!H$1),0),0)</f>
        <v>2081.4801116733552</v>
      </c>
      <c r="Q2500" s="29">
        <v>2900</v>
      </c>
      <c r="R2500" s="31">
        <v>45271</v>
      </c>
      <c r="S2500" s="31" t="s">
        <v>3121</v>
      </c>
      <c r="T2500" s="95" t="str">
        <f t="shared" ref="T2500:T2563" si="200">IF(R2500="","",TEXT(R2500,"ГГГГ ММ"))</f>
        <v>2023 12</v>
      </c>
      <c r="U2500" s="32">
        <f t="shared" si="197"/>
        <v>818.51988832664483</v>
      </c>
      <c r="V2500" s="22">
        <f t="shared" si="198"/>
        <v>0.39323935104458707</v>
      </c>
      <c r="X2500" s="33"/>
      <c r="Y2500" s="33"/>
    </row>
    <row r="2501" spans="1:25" x14ac:dyDescent="0.2">
      <c r="A2501" s="93" t="s">
        <v>1118</v>
      </c>
      <c r="B2501" s="94" t="str">
        <f>IFERROR(VLOOKUP($A2501,HeadJournal!$A$1:$NTR$890,COLUMN(HeadJournal!B$1),0),"")</f>
        <v>700000985668</v>
      </c>
      <c r="C2501" s="94" t="str">
        <f>IFERROR(VLOOKUP($A2501,HeadJournal!$A$1:$NTR$890,COLUMN(HeadJournal!C$1),0),"")</f>
        <v>iHerb_OA CZN6870</v>
      </c>
      <c r="D2501" s="125" t="str">
        <f>IFERROR(VLOOKUP($A2501,HeadJournal!$A$1:$NTR$890,COLUMN(HeadJournal!D$1),0),"")</f>
        <v>Доставлен</v>
      </c>
      <c r="E2501" s="95">
        <f>IFERROR(VLOOKUP($A2501,HeadJournal!$A$1:$NTR$890,COLUMN(HeadJournal!G$1),0),"")</f>
        <v>45235</v>
      </c>
      <c r="F2501" s="95" t="str">
        <f t="shared" si="199"/>
        <v>2023 11</v>
      </c>
      <c r="G2501" s="96" t="s">
        <v>5</v>
      </c>
      <c r="H2501" s="175" t="s">
        <v>3639</v>
      </c>
      <c r="I2501" s="176" t="s">
        <v>2039</v>
      </c>
      <c r="J2501" s="97" t="s">
        <v>3683</v>
      </c>
      <c r="K2501" s="29">
        <v>12.76</v>
      </c>
      <c r="L2501" s="29">
        <v>-2.81</v>
      </c>
      <c r="M2501" s="30">
        <f>IFERROR(VLOOKUP($A2501,HeadJournal!$A$1:$J$890,COLUMN(HeadJournal!I$1),0)*($K2501+$L2501)/(SUMIF($A:$A,$A2501,$K:$K)+SUMIF($A:$A,$A2501,$L:$L)),0)</f>
        <v>-0.78764322689466615</v>
      </c>
      <c r="N2501" s="30">
        <f>IFERROR((VLOOKUP($A2501,HeadJournal!$A$1:$K$890,COLUMN(HeadJournal!K$1),0)-VLOOKUP($A2501,HeadJournal!$A$1:$K$890,COLUMN(HeadJournal!J$1),0))*($K2501+$L2501)/(SUMIF($A:$A,$A2501,$K:$K)+SUMIF($A:$A,$A2501,$L:$L)),0)</f>
        <v>-3.2896645010471682E-15</v>
      </c>
      <c r="O2501" s="30">
        <f>IFERROR((VLOOKUP($A2501,HeadJournal!$A$1:$L$890,COLUMN(HeadJournal!L$1),0)*($K2501+$L2501)/(SUMIF($A:$A,$A2501,$K:$K)+SUMIF($A:$A,$A2501,$L:$L)))/VLOOKUP($A2501,HeadJournal!$A$1:$L$890,COLUMN(HeadJournal!H$1),0),0)</f>
        <v>0.37963304521950736</v>
      </c>
      <c r="P2501" s="30">
        <f>IFERROR(SUM(K2501:O2501)*VLOOKUP($A2501,HeadJournal!$A$1:$L$890,COLUMN(HeadJournal!H$1),0),0)</f>
        <v>1018.2265049729536</v>
      </c>
      <c r="Q2501" s="29">
        <v>1700</v>
      </c>
      <c r="R2501" s="31">
        <v>45579</v>
      </c>
      <c r="S2501" s="31" t="s">
        <v>3121</v>
      </c>
      <c r="T2501" s="95" t="str">
        <f t="shared" si="200"/>
        <v>2024 10</v>
      </c>
      <c r="U2501" s="32">
        <f t="shared" si="197"/>
        <v>681.77349502704635</v>
      </c>
      <c r="V2501" s="22">
        <f t="shared" si="198"/>
        <v>0.66956958171615832</v>
      </c>
      <c r="X2501" s="33"/>
      <c r="Y2501" s="33"/>
    </row>
    <row r="2502" spans="1:25" x14ac:dyDescent="0.2">
      <c r="A2502" s="93" t="s">
        <v>1118</v>
      </c>
      <c r="B2502" s="94" t="str">
        <f>IFERROR(VLOOKUP($A2502,HeadJournal!$A$1:$NTR$890,COLUMN(HeadJournal!B$1),0),"")</f>
        <v>700000985668</v>
      </c>
      <c r="C2502" s="94" t="str">
        <f>IFERROR(VLOOKUP($A2502,HeadJournal!$A$1:$NTR$890,COLUMN(HeadJournal!C$1),0),"")</f>
        <v>iHerb_OA CZN6870</v>
      </c>
      <c r="D2502" s="125" t="str">
        <f>IFERROR(VLOOKUP($A2502,HeadJournal!$A$1:$NTR$890,COLUMN(HeadJournal!D$1),0),"")</f>
        <v>Доставлен</v>
      </c>
      <c r="E2502" s="95">
        <f>IFERROR(VLOOKUP($A2502,HeadJournal!$A$1:$NTR$890,COLUMN(HeadJournal!G$1),0),"")</f>
        <v>45235</v>
      </c>
      <c r="F2502" s="95" t="str">
        <f t="shared" si="199"/>
        <v>2023 11</v>
      </c>
      <c r="G2502" s="96" t="s">
        <v>5</v>
      </c>
      <c r="H2502" s="161" t="s">
        <v>3992</v>
      </c>
      <c r="I2502" s="97" t="s">
        <v>2666</v>
      </c>
      <c r="J2502" s="97" t="s">
        <v>3993</v>
      </c>
      <c r="K2502" s="29">
        <v>26.99</v>
      </c>
      <c r="L2502" s="29">
        <v>-5.94</v>
      </c>
      <c r="M2502" s="30">
        <f>IFERROR(VLOOKUP($A2502,HeadJournal!$A$1:$J$890,COLUMN(HeadJournal!I$1),0)*($K2502+$L2502)/(SUMIF($A:$A,$A2502,$K:$K)+SUMIF($A:$A,$A2502,$L:$L)),0)</f>
        <v>-1.6663205955912284</v>
      </c>
      <c r="N2502" s="30">
        <f>IFERROR((VLOOKUP($A2502,HeadJournal!$A$1:$K$890,COLUMN(HeadJournal!K$1),0)-VLOOKUP($A2502,HeadJournal!$A$1:$K$890,COLUMN(HeadJournal!J$1),0))*($K2502+$L2502)/(SUMIF($A:$A,$A2502,$K:$K)+SUMIF($A:$A,$A2502,$L:$L)),0)</f>
        <v>-6.9595414821148627E-15</v>
      </c>
      <c r="O2502" s="30">
        <f>IFERROR((VLOOKUP($A2502,HeadJournal!$A$1:$L$890,COLUMN(HeadJournal!L$1),0)*($K2502+$L2502)/(SUMIF($A:$A,$A2502,$K:$K)+SUMIF($A:$A,$A2502,$L:$L)))/VLOOKUP($A2502,HeadJournal!$A$1:$L$890,COLUMN(HeadJournal!H$1),0),0)</f>
        <v>0.80314327656991258</v>
      </c>
      <c r="P2502" s="30">
        <f>IFERROR(SUM(K2502:O2502)*VLOOKUP($A2502,HeadJournal!$A$1:$L$890,COLUMN(HeadJournal!H$1),0),0)</f>
        <v>2154.1374803699173</v>
      </c>
      <c r="Q2502" s="29">
        <v>3500</v>
      </c>
      <c r="R2502" s="31">
        <v>45297</v>
      </c>
      <c r="S2502" s="31" t="s">
        <v>3121</v>
      </c>
      <c r="T2502" s="95" t="str">
        <f t="shared" si="200"/>
        <v>2024 01</v>
      </c>
      <c r="U2502" s="32">
        <f t="shared" si="197"/>
        <v>1345.8625196300827</v>
      </c>
      <c r="V2502" s="22">
        <f t="shared" si="198"/>
        <v>0.62478023426757601</v>
      </c>
      <c r="X2502" s="33"/>
      <c r="Y2502" s="33"/>
    </row>
    <row r="2503" spans="1:25" x14ac:dyDescent="0.2">
      <c r="A2503" s="93" t="s">
        <v>1118</v>
      </c>
      <c r="B2503" s="94" t="str">
        <f>IFERROR(VLOOKUP($A2503,HeadJournal!$A$1:$NTR$890,COLUMN(HeadJournal!B$1),0),"")</f>
        <v>700000985668</v>
      </c>
      <c r="C2503" s="94" t="str">
        <f>IFERROR(VLOOKUP($A2503,HeadJournal!$A$1:$NTR$890,COLUMN(HeadJournal!C$1),0),"")</f>
        <v>iHerb_OA CZN6870</v>
      </c>
      <c r="D2503" s="125" t="str">
        <f>IFERROR(VLOOKUP($A2503,HeadJournal!$A$1:$NTR$890,COLUMN(HeadJournal!D$1),0),"")</f>
        <v>Доставлен</v>
      </c>
      <c r="E2503" s="95">
        <f>IFERROR(VLOOKUP($A2503,HeadJournal!$A$1:$NTR$890,COLUMN(HeadJournal!G$1),0),"")</f>
        <v>45235</v>
      </c>
      <c r="F2503" s="95" t="str">
        <f t="shared" si="199"/>
        <v>2023 11</v>
      </c>
      <c r="G2503" s="96" t="s">
        <v>5</v>
      </c>
      <c r="H2503" s="161" t="s">
        <v>2089</v>
      </c>
      <c r="I2503" s="97" t="s">
        <v>2005</v>
      </c>
      <c r="J2503" s="97" t="s">
        <v>3781</v>
      </c>
      <c r="K2503" s="29">
        <v>23</v>
      </c>
      <c r="L2503" s="29">
        <v>-4.5999999999999996</v>
      </c>
      <c r="M2503" s="30">
        <f>IFERROR(VLOOKUP($A2503,HeadJournal!$A$1:$J$890,COLUMN(HeadJournal!I$1),0)*($K2503+$L2503)/(SUMIF($A:$A,$A2503,$K:$K)+SUMIF($A:$A,$A2503,$L:$L)),0)</f>
        <v>-1.4565462688303374</v>
      </c>
      <c r="N2503" s="30">
        <f>IFERROR((VLOOKUP($A2503,HeadJournal!$A$1:$K$890,COLUMN(HeadJournal!K$1),0)-VLOOKUP($A2503,HeadJournal!$A$1:$K$890,COLUMN(HeadJournal!J$1),0))*($K2503+$L2503)/(SUMIF($A:$A,$A2503,$K:$K)+SUMIF($A:$A,$A2503,$L:$L)),0)</f>
        <v>-6.0833996803284315E-15</v>
      </c>
      <c r="O2503" s="30">
        <f>IFERROR((VLOOKUP($A2503,HeadJournal!$A$1:$L$890,COLUMN(HeadJournal!L$1),0)*($K2503+$L2503)/(SUMIF($A:$A,$A2503,$K:$K)+SUMIF($A:$A,$A2503,$L:$L)))/VLOOKUP($A2503,HeadJournal!$A$1:$L$890,COLUMN(HeadJournal!H$1),0),0)</f>
        <v>0.70203497809436533</v>
      </c>
      <c r="P2503" s="30">
        <f>IFERROR(SUM(K2503:O2503)*VLOOKUP($A2503,HeadJournal!$A$1:$L$890,COLUMN(HeadJournal!H$1),0),0)</f>
        <v>1882.9515267841552</v>
      </c>
      <c r="Q2503" s="29">
        <v>3000</v>
      </c>
      <c r="R2503" s="31">
        <v>45310</v>
      </c>
      <c r="S2503" s="31" t="s">
        <v>3121</v>
      </c>
      <c r="T2503" s="95" t="str">
        <f t="shared" si="200"/>
        <v>2024 01</v>
      </c>
      <c r="U2503" s="32">
        <f t="shared" si="197"/>
        <v>1117.0484732158448</v>
      </c>
      <c r="V2503" s="22">
        <f t="shared" si="198"/>
        <v>0.59324335083846969</v>
      </c>
      <c r="X2503" s="33"/>
      <c r="Y2503" s="33"/>
    </row>
    <row r="2504" spans="1:25" x14ac:dyDescent="0.2">
      <c r="A2504" s="93" t="s">
        <v>1118</v>
      </c>
      <c r="B2504" s="94" t="str">
        <f>IFERROR(VLOOKUP($A2504,HeadJournal!$A$1:$NTR$890,COLUMN(HeadJournal!B$1),0),"")</f>
        <v>700000985668</v>
      </c>
      <c r="C2504" s="94" t="str">
        <f>IFERROR(VLOOKUP($A2504,HeadJournal!$A$1:$NTR$890,COLUMN(HeadJournal!C$1),0),"")</f>
        <v>iHerb_OA CZN6870</v>
      </c>
      <c r="D2504" s="125" t="str">
        <f>IFERROR(VLOOKUP($A2504,HeadJournal!$A$1:$NTR$890,COLUMN(HeadJournal!D$1),0),"")</f>
        <v>Доставлен</v>
      </c>
      <c r="E2504" s="95">
        <f>IFERROR(VLOOKUP($A2504,HeadJournal!$A$1:$NTR$890,COLUMN(HeadJournal!G$1),0),"")</f>
        <v>45235</v>
      </c>
      <c r="F2504" s="95" t="str">
        <f t="shared" si="199"/>
        <v>2023 11</v>
      </c>
      <c r="G2504" s="96" t="s">
        <v>5</v>
      </c>
      <c r="H2504" s="161" t="s">
        <v>2089</v>
      </c>
      <c r="I2504" s="97" t="s">
        <v>2005</v>
      </c>
      <c r="J2504" s="97" t="s">
        <v>3781</v>
      </c>
      <c r="K2504" s="29">
        <v>23</v>
      </c>
      <c r="L2504" s="29">
        <v>-4.5999999999999996</v>
      </c>
      <c r="M2504" s="30">
        <f>IFERROR(VLOOKUP($A2504,HeadJournal!$A$1:$J$890,COLUMN(HeadJournal!I$1),0)*($K2504+$L2504)/(SUMIF($A:$A,$A2504,$K:$K)+SUMIF($A:$A,$A2504,$L:$L)),0)</f>
        <v>-1.4565462688303374</v>
      </c>
      <c r="N2504" s="30">
        <f>IFERROR((VLOOKUP($A2504,HeadJournal!$A$1:$K$890,COLUMN(HeadJournal!K$1),0)-VLOOKUP($A2504,HeadJournal!$A$1:$K$890,COLUMN(HeadJournal!J$1),0))*($K2504+$L2504)/(SUMIF($A:$A,$A2504,$K:$K)+SUMIF($A:$A,$A2504,$L:$L)),0)</f>
        <v>-6.0833996803284315E-15</v>
      </c>
      <c r="O2504" s="30">
        <f>IFERROR((VLOOKUP($A2504,HeadJournal!$A$1:$L$890,COLUMN(HeadJournal!L$1),0)*($K2504+$L2504)/(SUMIF($A:$A,$A2504,$K:$K)+SUMIF($A:$A,$A2504,$L:$L)))/VLOOKUP($A2504,HeadJournal!$A$1:$L$890,COLUMN(HeadJournal!H$1),0),0)</f>
        <v>0.70203497809436533</v>
      </c>
      <c r="P2504" s="30">
        <f>IFERROR(SUM(K2504:O2504)*VLOOKUP($A2504,HeadJournal!$A$1:$L$890,COLUMN(HeadJournal!H$1),0),0)</f>
        <v>1882.9515267841552</v>
      </c>
      <c r="Q2504" s="29">
        <v>3000</v>
      </c>
      <c r="R2504" s="31">
        <v>45311</v>
      </c>
      <c r="S2504" s="31" t="s">
        <v>3121</v>
      </c>
      <c r="T2504" s="95" t="str">
        <f t="shared" si="200"/>
        <v>2024 01</v>
      </c>
      <c r="U2504" s="32">
        <f t="shared" si="197"/>
        <v>1117.0484732158448</v>
      </c>
      <c r="V2504" s="22">
        <f t="shared" si="198"/>
        <v>0.59324335083846969</v>
      </c>
      <c r="X2504" s="33"/>
      <c r="Y2504" s="33"/>
    </row>
    <row r="2505" spans="1:25" x14ac:dyDescent="0.2">
      <c r="A2505" s="93" t="s">
        <v>1118</v>
      </c>
      <c r="B2505" s="94" t="str">
        <f>IFERROR(VLOOKUP($A2505,HeadJournal!$A$1:$NTR$890,COLUMN(HeadJournal!B$1),0),"")</f>
        <v>700000985668</v>
      </c>
      <c r="C2505" s="94" t="str">
        <f>IFERROR(VLOOKUP($A2505,HeadJournal!$A$1:$NTR$890,COLUMN(HeadJournal!C$1),0),"")</f>
        <v>iHerb_OA CZN6870</v>
      </c>
      <c r="D2505" s="125" t="str">
        <f>IFERROR(VLOOKUP($A2505,HeadJournal!$A$1:$NTR$890,COLUMN(HeadJournal!D$1),0),"")</f>
        <v>Доставлен</v>
      </c>
      <c r="E2505" s="95">
        <f>IFERROR(VLOOKUP($A2505,HeadJournal!$A$1:$NTR$890,COLUMN(HeadJournal!G$1),0),"")</f>
        <v>45235</v>
      </c>
      <c r="F2505" s="95" t="str">
        <f t="shared" si="199"/>
        <v>2023 11</v>
      </c>
      <c r="G2505" s="96" t="s">
        <v>6</v>
      </c>
      <c r="H2505" s="160" t="str">
        <f>RIGHT(Journal!$J2505,9)</f>
        <v>FOA-66010</v>
      </c>
      <c r="I2505" s="96" t="str">
        <f t="shared" si="196"/>
        <v>Force Factor</v>
      </c>
      <c r="J2505" s="97" t="s">
        <v>1124</v>
      </c>
      <c r="K2505" s="29">
        <v>25.84</v>
      </c>
      <c r="L2505" s="29">
        <v>-12.92</v>
      </c>
      <c r="M2505" s="30">
        <f>IFERROR(VLOOKUP($A2505,HeadJournal!$A$1:$J$890,COLUMN(HeadJournal!I$1),0)*($K2505+$L2505)/(SUMIF($A:$A,$A2505,$K:$K)+SUMIF($A:$A,$A2505,$L:$L)),0)</f>
        <v>-1.0227487931134762</v>
      </c>
      <c r="N2505" s="30">
        <f>IFERROR((VLOOKUP($A2505,HeadJournal!$A$1:$K$890,COLUMN(HeadJournal!K$1),0)-VLOOKUP($A2505,HeadJournal!$A$1:$K$890,COLUMN(HeadJournal!J$1),0))*($K2505+$L2505)/(SUMIF($A:$A,$A2505,$K:$K)+SUMIF($A:$A,$A2505,$L:$L)),0)</f>
        <v>-4.2716045581436598E-15</v>
      </c>
      <c r="O2505" s="30">
        <f>IFERROR((VLOOKUP($A2505,HeadJournal!$A$1:$L$890,COLUMN(HeadJournal!L$1),0)*($K2505+$L2505)/(SUMIF($A:$A,$A2505,$K:$K)+SUMIF($A:$A,$A2505,$L:$L)))/VLOOKUP($A2505,HeadJournal!$A$1:$L$890,COLUMN(HeadJournal!H$1),0),0)</f>
        <v>0.4929506476619131</v>
      </c>
      <c r="P2505" s="30">
        <f>IFERROR(SUM(K2505:O2505)*VLOOKUP($A2505,HeadJournal!$A$1:$L$890,COLUMN(HeadJournal!H$1),0),0)</f>
        <v>1322.1594416332225</v>
      </c>
      <c r="Q2505" s="29">
        <v>3000</v>
      </c>
      <c r="R2505" s="31">
        <v>45426</v>
      </c>
      <c r="S2505" s="31" t="s">
        <v>3121</v>
      </c>
      <c r="T2505" s="95" t="str">
        <f t="shared" si="200"/>
        <v>2024 05</v>
      </c>
      <c r="U2505" s="32">
        <f t="shared" si="197"/>
        <v>1677.8405583667775</v>
      </c>
      <c r="V2505" s="22">
        <f t="shared" si="198"/>
        <v>1.269015298407727</v>
      </c>
      <c r="X2505" s="33"/>
      <c r="Y2505" s="33"/>
    </row>
    <row r="2506" spans="1:25" x14ac:dyDescent="0.2">
      <c r="A2506" s="93" t="s">
        <v>1118</v>
      </c>
      <c r="B2506" s="94" t="str">
        <f>IFERROR(VLOOKUP($A2506,HeadJournal!$A$1:$NTR$890,COLUMN(HeadJournal!B$1),0),"")</f>
        <v>700000985668</v>
      </c>
      <c r="C2506" s="94" t="str">
        <f>IFERROR(VLOOKUP($A2506,HeadJournal!$A$1:$NTR$890,COLUMN(HeadJournal!C$1),0),"")</f>
        <v>iHerb_OA CZN6870</v>
      </c>
      <c r="D2506" s="125" t="str">
        <f>IFERROR(VLOOKUP($A2506,HeadJournal!$A$1:$NTR$890,COLUMN(HeadJournal!D$1),0),"")</f>
        <v>Доставлен</v>
      </c>
      <c r="E2506" s="95">
        <f>IFERROR(VLOOKUP($A2506,HeadJournal!$A$1:$NTR$890,COLUMN(HeadJournal!G$1),0),"")</f>
        <v>45235</v>
      </c>
      <c r="F2506" s="95" t="str">
        <f t="shared" si="199"/>
        <v>2023 11</v>
      </c>
      <c r="G2506" s="96" t="s">
        <v>5</v>
      </c>
      <c r="H2506" s="160" t="str">
        <f>RIGHT(Journal!$J2506,9)</f>
        <v>JRW-29065</v>
      </c>
      <c r="I2506" s="96" t="str">
        <f t="shared" si="196"/>
        <v>Jarrow Formulas</v>
      </c>
      <c r="J2506" s="97" t="s">
        <v>1125</v>
      </c>
      <c r="K2506" s="29">
        <v>26.4</v>
      </c>
      <c r="L2506" s="29">
        <v>-2.64</v>
      </c>
      <c r="M2506" s="30">
        <f>IFERROR(VLOOKUP($A2506,HeadJournal!$A$1:$J$890,COLUMN(HeadJournal!I$1),0)*($K2506+$L2506)/(SUMIF($A:$A,$A2506,$K:$K)+SUMIF($A:$A,$A2506,$L:$L)),0)</f>
        <v>-1.8808445297504792</v>
      </c>
      <c r="N2506" s="30">
        <f>IFERROR((VLOOKUP($A2506,HeadJournal!$A$1:$K$890,COLUMN(HeadJournal!K$1),0)-VLOOKUP($A2506,HeadJournal!$A$1:$K$890,COLUMN(HeadJournal!J$1),0))*($K2506+$L2506)/(SUMIF($A:$A,$A2506,$K:$K)+SUMIF($A:$A,$A2506,$L:$L)),0)</f>
        <v>-7.8555204567719301E-15</v>
      </c>
      <c r="O2506" s="30">
        <f>IFERROR((VLOOKUP($A2506,HeadJournal!$A$1:$L$890,COLUMN(HeadJournal!L$1),0)*($K2506+$L2506)/(SUMIF($A:$A,$A2506,$K:$K)+SUMIF($A:$A,$A2506,$L:$L)))/VLOOKUP($A2506,HeadJournal!$A$1:$L$890,COLUMN(HeadJournal!H$1),0),0)</f>
        <v>0.9065408195392457</v>
      </c>
      <c r="P2506" s="30">
        <f>IFERROR(SUM(K2506:O2506)*VLOOKUP($A2506,HeadJournal!$A$1:$L$890,COLUMN(HeadJournal!H$1),0),0)</f>
        <v>2431.4634932821486</v>
      </c>
      <c r="Q2506" s="29">
        <v>3300</v>
      </c>
      <c r="R2506" s="31">
        <v>45271</v>
      </c>
      <c r="S2506" s="31" t="s">
        <v>3121</v>
      </c>
      <c r="T2506" s="95" t="str">
        <f t="shared" si="200"/>
        <v>2023 12</v>
      </c>
      <c r="U2506" s="32">
        <f t="shared" si="197"/>
        <v>868.53650671785135</v>
      </c>
      <c r="V2506" s="22">
        <f t="shared" si="198"/>
        <v>0.35720729886239988</v>
      </c>
      <c r="X2506" s="33"/>
      <c r="Y2506" s="33"/>
    </row>
    <row r="2507" spans="1:25" x14ac:dyDescent="0.2">
      <c r="A2507" s="93" t="s">
        <v>1118</v>
      </c>
      <c r="B2507" s="94" t="str">
        <f>IFERROR(VLOOKUP($A2507,HeadJournal!$A$1:$NTR$890,COLUMN(HeadJournal!B$1),0),"")</f>
        <v>700000985668</v>
      </c>
      <c r="C2507" s="94" t="str">
        <f>IFERROR(VLOOKUP($A2507,HeadJournal!$A$1:$NTR$890,COLUMN(HeadJournal!C$1),0),"")</f>
        <v>iHerb_OA CZN6870</v>
      </c>
      <c r="D2507" s="125" t="str">
        <f>IFERROR(VLOOKUP($A2507,HeadJournal!$A$1:$NTR$890,COLUMN(HeadJournal!D$1),0),"")</f>
        <v>Доставлен</v>
      </c>
      <c r="E2507" s="95">
        <f>IFERROR(VLOOKUP($A2507,HeadJournal!$A$1:$NTR$890,COLUMN(HeadJournal!G$1),0),"")</f>
        <v>45235</v>
      </c>
      <c r="F2507" s="95" t="str">
        <f t="shared" si="199"/>
        <v>2023 11</v>
      </c>
      <c r="G2507" s="96" t="s">
        <v>7</v>
      </c>
      <c r="H2507" s="160" t="str">
        <f>RIGHT(Journal!$J2507,9)</f>
        <v>LAG-96969</v>
      </c>
      <c r="I2507" s="96" t="str">
        <f t="shared" si="196"/>
        <v>LA</v>
      </c>
      <c r="J2507" s="97" t="s">
        <v>3604</v>
      </c>
      <c r="K2507" s="29">
        <v>5.1100000000000003</v>
      </c>
      <c r="L2507" s="29">
        <v>-0.51</v>
      </c>
      <c r="M2507" s="30">
        <f>IFERROR(VLOOKUP($A2507,HeadJournal!$A$1:$J$890,COLUMN(HeadJournal!I$1),0)*($K2507+$L2507)/(SUMIF($A:$A,$A2507,$K:$K)+SUMIF($A:$A,$A2507,$L:$L)),0)</f>
        <v>-0.36413656720758442</v>
      </c>
      <c r="N2507" s="30">
        <f>IFERROR((VLOOKUP($A2507,HeadJournal!$A$1:$K$890,COLUMN(HeadJournal!K$1),0)-VLOOKUP($A2507,HeadJournal!$A$1:$K$890,COLUMN(HeadJournal!J$1),0))*($K2507+$L2507)/(SUMIF($A:$A,$A2507,$K:$K)+SUMIF($A:$A,$A2507,$L:$L)),0)</f>
        <v>-1.5208499200821081E-15</v>
      </c>
      <c r="O2507" s="30">
        <f>IFERROR((VLOOKUP($A2507,HeadJournal!$A$1:$L$890,COLUMN(HeadJournal!L$1),0)*($K2507+$L2507)/(SUMIF($A:$A,$A2507,$K:$K)+SUMIF($A:$A,$A2507,$L:$L)))/VLOOKUP($A2507,HeadJournal!$A$1:$L$890,COLUMN(HeadJournal!H$1),0),0)</f>
        <v>0.17550874452359139</v>
      </c>
      <c r="P2507" s="30">
        <f>IFERROR(SUM(K2507:O2507)*VLOOKUP($A2507,HeadJournal!$A$1:$L$890,COLUMN(HeadJournal!H$1),0),0)</f>
        <v>470.73788169603893</v>
      </c>
      <c r="Q2507" s="29"/>
      <c r="R2507" s="31"/>
      <c r="S2507" s="31"/>
      <c r="T2507" s="95" t="str">
        <f t="shared" si="200"/>
        <v/>
      </c>
      <c r="U2507" s="32">
        <f t="shared" si="197"/>
        <v>-470.73788169603893</v>
      </c>
      <c r="V2507" s="22" t="str">
        <f t="shared" si="198"/>
        <v/>
      </c>
      <c r="X2507" s="33"/>
      <c r="Y2507" s="33"/>
    </row>
    <row r="2508" spans="1:25" x14ac:dyDescent="0.2">
      <c r="A2508" s="93" t="s">
        <v>1126</v>
      </c>
      <c r="B2508" s="94" t="str">
        <f>IFERROR(VLOOKUP($A2508,HeadJournal!$A$1:$NTR$890,COLUMN(HeadJournal!B$1),0),"")</f>
        <v>710002051778</v>
      </c>
      <c r="C2508" s="94" t="str">
        <f>IFERROR(VLOOKUP($A2508,HeadJournal!$A$1:$NTR$890,COLUMN(HeadJournal!C$1),0),"")</f>
        <v>iHerb_OA CZN6870</v>
      </c>
      <c r="D2508" s="125" t="str">
        <f>IFERROR(VLOOKUP($A2508,HeadJournal!$A$1:$NTR$890,COLUMN(HeadJournal!D$1),0),"")</f>
        <v>Доставлен</v>
      </c>
      <c r="E2508" s="95">
        <f>IFERROR(VLOOKUP($A2508,HeadJournal!$A$1:$NTR$890,COLUMN(HeadJournal!G$1),0),"")</f>
        <v>45244</v>
      </c>
      <c r="F2508" s="95" t="str">
        <f t="shared" si="199"/>
        <v>2023 11</v>
      </c>
      <c r="G2508" s="96" t="s">
        <v>5</v>
      </c>
      <c r="H2508" s="161" t="s">
        <v>2745</v>
      </c>
      <c r="I2508" s="97" t="s">
        <v>2052</v>
      </c>
      <c r="J2508" s="97" t="s">
        <v>2746</v>
      </c>
      <c r="K2508" s="29">
        <v>27.95</v>
      </c>
      <c r="L2508" s="29">
        <v>-8.3866666666666667</v>
      </c>
      <c r="M2508" s="30">
        <f>IFERROR(VLOOKUP($A2508,HeadJournal!$A$1:$J$890,COLUMN(HeadJournal!I$1),0)*($K2508+$L2508)/(SUMIF($A:$A,$A2508,$K:$K)+SUMIF($A:$A,$A2508,$L:$L)),0)</f>
        <v>-1.5250946618160219</v>
      </c>
      <c r="N2508" s="30">
        <f>IFERROR((VLOOKUP($A2508,HeadJournal!$A$1:$K$890,COLUMN(HeadJournal!K$1),0)-VLOOKUP($A2508,HeadJournal!$A$1:$K$890,COLUMN(HeadJournal!J$1),0))*($K2508+$L2508)/(SUMIF($A:$A,$A2508,$K:$K)+SUMIF($A:$A,$A2508,$L:$L)),0)</f>
        <v>0</v>
      </c>
      <c r="O2508" s="30">
        <f>IFERROR((VLOOKUP($A2508,HeadJournal!$A$1:$L$890,COLUMN(HeadJournal!L$1),0)*($K2508+$L2508)/(SUMIF($A:$A,$A2508,$K:$K)+SUMIF($A:$A,$A2508,$L:$L)))/VLOOKUP($A2508,HeadJournal!$A$1:$L$890,COLUMN(HeadJournal!H$1),0),0)</f>
        <v>2.3074740249925441</v>
      </c>
      <c r="P2508" s="30">
        <f>IFERROR(SUM(K2508:O2508)*VLOOKUP($A2508,HeadJournal!$A$1:$L$890,COLUMN(HeadJournal!H$1),0),0)</f>
        <v>2151.5570698146357</v>
      </c>
      <c r="Q2508" s="29">
        <v>3200</v>
      </c>
      <c r="R2508" s="31">
        <v>45310</v>
      </c>
      <c r="S2508" s="31" t="s">
        <v>3121</v>
      </c>
      <c r="T2508" s="95" t="str">
        <f t="shared" si="200"/>
        <v>2024 01</v>
      </c>
      <c r="U2508" s="32">
        <f t="shared" si="197"/>
        <v>1048.4429301853643</v>
      </c>
      <c r="V2508" s="22">
        <f t="shared" si="198"/>
        <v>0.48729496646616555</v>
      </c>
      <c r="X2508" s="33"/>
      <c r="Y2508" s="33"/>
    </row>
    <row r="2509" spans="1:25" x14ac:dyDescent="0.2">
      <c r="A2509" s="93" t="s">
        <v>1126</v>
      </c>
      <c r="B2509" s="94" t="str">
        <f>IFERROR(VLOOKUP($A2509,HeadJournal!$A$1:$NTR$890,COLUMN(HeadJournal!B$1),0),"")</f>
        <v>710002051778</v>
      </c>
      <c r="C2509" s="94" t="str">
        <f>IFERROR(VLOOKUP($A2509,HeadJournal!$A$1:$NTR$890,COLUMN(HeadJournal!C$1),0),"")</f>
        <v>iHerb_OA CZN6870</v>
      </c>
      <c r="D2509" s="125" t="str">
        <f>IFERROR(VLOOKUP($A2509,HeadJournal!$A$1:$NTR$890,COLUMN(HeadJournal!D$1),0),"")</f>
        <v>Доставлен</v>
      </c>
      <c r="E2509" s="95">
        <f>IFERROR(VLOOKUP($A2509,HeadJournal!$A$1:$NTR$890,COLUMN(HeadJournal!G$1),0),"")</f>
        <v>45244</v>
      </c>
      <c r="F2509" s="95" t="str">
        <f t="shared" si="199"/>
        <v>2023 11</v>
      </c>
      <c r="G2509" s="96" t="s">
        <v>5</v>
      </c>
      <c r="H2509" s="161" t="s">
        <v>2745</v>
      </c>
      <c r="I2509" s="97" t="s">
        <v>2052</v>
      </c>
      <c r="J2509" s="97" t="s">
        <v>2746</v>
      </c>
      <c r="K2509" s="29">
        <v>27.95</v>
      </c>
      <c r="L2509" s="29">
        <v>-8.3866666666666667</v>
      </c>
      <c r="M2509" s="30">
        <f>IFERROR(VLOOKUP($A2509,HeadJournal!$A$1:$J$890,COLUMN(HeadJournal!I$1),0)*($K2509+$L2509)/(SUMIF($A:$A,$A2509,$K:$K)+SUMIF($A:$A,$A2509,$L:$L)),0)</f>
        <v>-1.5250946618160219</v>
      </c>
      <c r="N2509" s="30">
        <f>IFERROR((VLOOKUP($A2509,HeadJournal!$A$1:$K$890,COLUMN(HeadJournal!K$1),0)-VLOOKUP($A2509,HeadJournal!$A$1:$K$890,COLUMN(HeadJournal!J$1),0))*($K2509+$L2509)/(SUMIF($A:$A,$A2509,$K:$K)+SUMIF($A:$A,$A2509,$L:$L)),0)</f>
        <v>0</v>
      </c>
      <c r="O2509" s="30">
        <f>IFERROR((VLOOKUP($A2509,HeadJournal!$A$1:$L$890,COLUMN(HeadJournal!L$1),0)*($K2509+$L2509)/(SUMIF($A:$A,$A2509,$K:$K)+SUMIF($A:$A,$A2509,$L:$L)))/VLOOKUP($A2509,HeadJournal!$A$1:$L$890,COLUMN(HeadJournal!H$1),0),0)</f>
        <v>2.3074740249925441</v>
      </c>
      <c r="P2509" s="30">
        <f>IFERROR(SUM(K2509:O2509)*VLOOKUP($A2509,HeadJournal!$A$1:$L$890,COLUMN(HeadJournal!H$1),0),0)</f>
        <v>2151.5570698146357</v>
      </c>
      <c r="Q2509" s="29">
        <v>3400</v>
      </c>
      <c r="R2509" s="31">
        <v>45310</v>
      </c>
      <c r="S2509" s="31" t="s">
        <v>3121</v>
      </c>
      <c r="T2509" s="95" t="str">
        <f t="shared" si="200"/>
        <v>2024 01</v>
      </c>
      <c r="U2509" s="32">
        <f t="shared" si="197"/>
        <v>1248.4429301853643</v>
      </c>
      <c r="V2509" s="22">
        <f t="shared" si="198"/>
        <v>0.58025090187030082</v>
      </c>
      <c r="X2509" s="33"/>
      <c r="Y2509" s="33"/>
    </row>
    <row r="2510" spans="1:25" x14ac:dyDescent="0.2">
      <c r="A2510" s="93" t="s">
        <v>1126</v>
      </c>
      <c r="B2510" s="94" t="str">
        <f>IFERROR(VLOOKUP($A2510,HeadJournal!$A$1:$NTR$890,COLUMN(HeadJournal!B$1),0),"")</f>
        <v>710002051778</v>
      </c>
      <c r="C2510" s="94" t="str">
        <f>IFERROR(VLOOKUP($A2510,HeadJournal!$A$1:$NTR$890,COLUMN(HeadJournal!C$1),0),"")</f>
        <v>iHerb_OA CZN6870</v>
      </c>
      <c r="D2510" s="125" t="str">
        <f>IFERROR(VLOOKUP($A2510,HeadJournal!$A$1:$NTR$890,COLUMN(HeadJournal!D$1),0),"")</f>
        <v>Доставлен</v>
      </c>
      <c r="E2510" s="95">
        <f>IFERROR(VLOOKUP($A2510,HeadJournal!$A$1:$NTR$890,COLUMN(HeadJournal!G$1),0),"")</f>
        <v>45244</v>
      </c>
      <c r="F2510" s="95" t="str">
        <f t="shared" si="199"/>
        <v>2023 11</v>
      </c>
      <c r="G2510" s="96" t="s">
        <v>5</v>
      </c>
      <c r="H2510" s="161" t="s">
        <v>2745</v>
      </c>
      <c r="I2510" s="97" t="s">
        <v>2052</v>
      </c>
      <c r="J2510" s="97" t="s">
        <v>2746</v>
      </c>
      <c r="K2510" s="29">
        <v>27.95</v>
      </c>
      <c r="L2510" s="29">
        <v>-8.3866666666666667</v>
      </c>
      <c r="M2510" s="30">
        <f>IFERROR(VLOOKUP($A2510,HeadJournal!$A$1:$J$890,COLUMN(HeadJournal!I$1),0)*($K2510+$L2510)/(SUMIF($A:$A,$A2510,$K:$K)+SUMIF($A:$A,$A2510,$L:$L)),0)</f>
        <v>-1.5250946618160219</v>
      </c>
      <c r="N2510" s="30">
        <f>IFERROR((VLOOKUP($A2510,HeadJournal!$A$1:$K$890,COLUMN(HeadJournal!K$1),0)-VLOOKUP($A2510,HeadJournal!$A$1:$K$890,COLUMN(HeadJournal!J$1),0))*($K2510+$L2510)/(SUMIF($A:$A,$A2510,$K:$K)+SUMIF($A:$A,$A2510,$L:$L)),0)</f>
        <v>0</v>
      </c>
      <c r="O2510" s="30">
        <f>IFERROR((VLOOKUP($A2510,HeadJournal!$A$1:$L$890,COLUMN(HeadJournal!L$1),0)*($K2510+$L2510)/(SUMIF($A:$A,$A2510,$K:$K)+SUMIF($A:$A,$A2510,$L:$L)))/VLOOKUP($A2510,HeadJournal!$A$1:$L$890,COLUMN(HeadJournal!H$1),0),0)</f>
        <v>2.3074740249925441</v>
      </c>
      <c r="P2510" s="30">
        <f>IFERROR(SUM(K2510:O2510)*VLOOKUP($A2510,HeadJournal!$A$1:$L$890,COLUMN(HeadJournal!H$1),0),0)</f>
        <v>2151.5570698146357</v>
      </c>
      <c r="Q2510" s="29">
        <v>2151.56</v>
      </c>
      <c r="R2510" s="31">
        <v>45310</v>
      </c>
      <c r="S2510" s="31" t="s">
        <v>3121</v>
      </c>
      <c r="T2510" s="95" t="str">
        <f t="shared" si="200"/>
        <v>2024 01</v>
      </c>
      <c r="U2510" s="32">
        <f t="shared" si="197"/>
        <v>2.9301853642209608E-3</v>
      </c>
      <c r="V2510" s="22">
        <f t="shared" si="198"/>
        <v>1.361890607193332E-6</v>
      </c>
      <c r="X2510" s="33"/>
      <c r="Y2510" s="33"/>
    </row>
    <row r="2511" spans="1:25" x14ac:dyDescent="0.2">
      <c r="A2511" s="93" t="s">
        <v>1126</v>
      </c>
      <c r="B2511" s="94" t="str">
        <f>IFERROR(VLOOKUP($A2511,HeadJournal!$A$1:$NTR$890,COLUMN(HeadJournal!B$1),0),"")</f>
        <v>710002051778</v>
      </c>
      <c r="C2511" s="94" t="str">
        <f>IFERROR(VLOOKUP($A2511,HeadJournal!$A$1:$NTR$890,COLUMN(HeadJournal!C$1),0),"")</f>
        <v>iHerb_OA CZN6870</v>
      </c>
      <c r="D2511" s="125" t="str">
        <f>IFERROR(VLOOKUP($A2511,HeadJournal!$A$1:$NTR$890,COLUMN(HeadJournal!D$1),0),"")</f>
        <v>Доставлен</v>
      </c>
      <c r="E2511" s="95">
        <f>IFERROR(VLOOKUP($A2511,HeadJournal!$A$1:$NTR$890,COLUMN(HeadJournal!G$1),0),"")</f>
        <v>45244</v>
      </c>
      <c r="F2511" s="95" t="str">
        <f t="shared" si="199"/>
        <v>2023 11</v>
      </c>
      <c r="G2511" s="96" t="s">
        <v>5</v>
      </c>
      <c r="H2511" s="161" t="s">
        <v>2743</v>
      </c>
      <c r="I2511" s="97" t="s">
        <v>2052</v>
      </c>
      <c r="J2511" s="97" t="s">
        <v>2744</v>
      </c>
      <c r="K2511" s="29">
        <v>20.8</v>
      </c>
      <c r="L2511" s="29">
        <v>-6.24</v>
      </c>
      <c r="M2511" s="30">
        <f>IFERROR(VLOOKUP($A2511,HeadJournal!$A$1:$J$890,COLUMN(HeadJournal!I$1),0)*($K2511+$L2511)/(SUMIF($A:$A,$A2511,$K:$K)+SUMIF($A:$A,$A2511,$L:$L)),0)</f>
        <v>-1.1350508575246863</v>
      </c>
      <c r="N2511" s="30">
        <f>IFERROR((VLOOKUP($A2511,HeadJournal!$A$1:$K$890,COLUMN(HeadJournal!K$1),0)-VLOOKUP($A2511,HeadJournal!$A$1:$K$890,COLUMN(HeadJournal!J$1),0))*($K2511+$L2511)/(SUMIF($A:$A,$A2511,$K:$K)+SUMIF($A:$A,$A2511,$L:$L)),0)</f>
        <v>0</v>
      </c>
      <c r="O2511" s="30">
        <f>IFERROR((VLOOKUP($A2511,HeadJournal!$A$1:$L$890,COLUMN(HeadJournal!L$1),0)*($K2511+$L2511)/(SUMIF($A:$A,$A2511,$K:$K)+SUMIF($A:$A,$A2511,$L:$L)))/VLOOKUP($A2511,HeadJournal!$A$1:$L$890,COLUMN(HeadJournal!H$1),0),0)</f>
        <v>1.7173362653207416</v>
      </c>
      <c r="P2511" s="30">
        <f>IFERROR(SUM(K2511:O2511)*VLOOKUP($A2511,HeadJournal!$A$1:$L$890,COLUMN(HeadJournal!H$1),0),0)</f>
        <v>1601.2951577696936</v>
      </c>
      <c r="Q2511" s="29">
        <v>2500</v>
      </c>
      <c r="R2511" s="31">
        <v>45337</v>
      </c>
      <c r="S2511" s="31" t="s">
        <v>3121</v>
      </c>
      <c r="T2511" s="95" t="str">
        <f t="shared" si="200"/>
        <v>2024 02</v>
      </c>
      <c r="U2511" s="32">
        <f t="shared" si="197"/>
        <v>898.70484223030644</v>
      </c>
      <c r="V2511" s="22">
        <f t="shared" si="198"/>
        <v>0.56123622048669353</v>
      </c>
      <c r="X2511" s="33"/>
      <c r="Y2511" s="33"/>
    </row>
    <row r="2512" spans="1:25" x14ac:dyDescent="0.2">
      <c r="A2512" s="93" t="s">
        <v>1126</v>
      </c>
      <c r="B2512" s="94" t="str">
        <f>IFERROR(VLOOKUP($A2512,HeadJournal!$A$1:$NTR$890,COLUMN(HeadJournal!B$1),0),"")</f>
        <v>710002051778</v>
      </c>
      <c r="C2512" s="94" t="str">
        <f>IFERROR(VLOOKUP($A2512,HeadJournal!$A$1:$NTR$890,COLUMN(HeadJournal!C$1),0),"")</f>
        <v>iHerb_OA CZN6870</v>
      </c>
      <c r="D2512" s="125" t="str">
        <f>IFERROR(VLOOKUP($A2512,HeadJournal!$A$1:$NTR$890,COLUMN(HeadJournal!D$1),0),"")</f>
        <v>Доставлен</v>
      </c>
      <c r="E2512" s="95">
        <f>IFERROR(VLOOKUP($A2512,HeadJournal!$A$1:$NTR$890,COLUMN(HeadJournal!G$1),0),"")</f>
        <v>45244</v>
      </c>
      <c r="F2512" s="95" t="str">
        <f t="shared" si="199"/>
        <v>2023 11</v>
      </c>
      <c r="G2512" s="96" t="s">
        <v>5</v>
      </c>
      <c r="H2512" s="160" t="str">
        <f>RIGHT(Journal!$J2512,9)</f>
        <v>CGN-00963</v>
      </c>
      <c r="I2512" s="96" t="str">
        <f t="shared" ref="I2512:I2573" si="201">IFERROR(LEFT(J2512,FIND(",",J2512)-1),"")</f>
        <v>California Gold Nutrition</v>
      </c>
      <c r="J2512" s="97" t="s">
        <v>1127</v>
      </c>
      <c r="K2512" s="29">
        <v>11.68</v>
      </c>
      <c r="L2512" s="29">
        <v>-3.5049999999999999</v>
      </c>
      <c r="M2512" s="30">
        <f>IFERROR(VLOOKUP($A2512,HeadJournal!$A$1:$J$890,COLUMN(HeadJournal!I$1),0)*($K2512+$L2512)/(SUMIF($A:$A,$A2512,$K:$K)+SUMIF($A:$A,$A2512,$L:$L)),0)</f>
        <v>-0.63729675551265874</v>
      </c>
      <c r="N2512" s="30">
        <f>IFERROR((VLOOKUP($A2512,HeadJournal!$A$1:$K$890,COLUMN(HeadJournal!K$1),0)-VLOOKUP($A2512,HeadJournal!$A$1:$K$890,COLUMN(HeadJournal!J$1),0))*($K2512+$L2512)/(SUMIF($A:$A,$A2512,$K:$K)+SUMIF($A:$A,$A2512,$L:$L)),0)</f>
        <v>0</v>
      </c>
      <c r="O2512" s="30">
        <f>IFERROR((VLOOKUP($A2512,HeadJournal!$A$1:$L$890,COLUMN(HeadJournal!L$1),0)*($K2512+$L2512)/(SUMIF($A:$A,$A2512,$K:$K)+SUMIF($A:$A,$A2512,$L:$L)))/VLOOKUP($A2512,HeadJournal!$A$1:$L$890,COLUMN(HeadJournal!H$1),0),0)</f>
        <v>0.96423241545309524</v>
      </c>
      <c r="P2512" s="30">
        <f>IFERROR(SUM(K2512:O2512)*VLOOKUP($A2512,HeadJournal!$A$1:$L$890,COLUMN(HeadJournal!H$1),0),0)</f>
        <v>899.07884029994818</v>
      </c>
      <c r="Q2512" s="29">
        <v>1700</v>
      </c>
      <c r="R2512" s="31">
        <v>45296</v>
      </c>
      <c r="S2512" s="31" t="s">
        <v>3121</v>
      </c>
      <c r="T2512" s="95" t="str">
        <f t="shared" si="200"/>
        <v>2024 01</v>
      </c>
      <c r="U2512" s="32">
        <f t="shared" si="197"/>
        <v>800.92115970005182</v>
      </c>
      <c r="V2512" s="22">
        <f t="shared" si="198"/>
        <v>0.8908241678036275</v>
      </c>
      <c r="X2512" s="33"/>
      <c r="Y2512" s="33"/>
    </row>
    <row r="2513" spans="1:25" x14ac:dyDescent="0.2">
      <c r="A2513" s="93" t="s">
        <v>1126</v>
      </c>
      <c r="B2513" s="94" t="str">
        <f>IFERROR(VLOOKUP($A2513,HeadJournal!$A$1:$NTR$890,COLUMN(HeadJournal!B$1),0),"")</f>
        <v>710002051778</v>
      </c>
      <c r="C2513" s="94" t="str">
        <f>IFERROR(VLOOKUP($A2513,HeadJournal!$A$1:$NTR$890,COLUMN(HeadJournal!C$1),0),"")</f>
        <v>iHerb_OA CZN6870</v>
      </c>
      <c r="D2513" s="125" t="str">
        <f>IFERROR(VLOOKUP($A2513,HeadJournal!$A$1:$NTR$890,COLUMN(HeadJournal!D$1),0),"")</f>
        <v>Доставлен</v>
      </c>
      <c r="E2513" s="95">
        <f>IFERROR(VLOOKUP($A2513,HeadJournal!$A$1:$NTR$890,COLUMN(HeadJournal!G$1),0),"")</f>
        <v>45244</v>
      </c>
      <c r="F2513" s="95" t="str">
        <f t="shared" si="199"/>
        <v>2023 11</v>
      </c>
      <c r="G2513" s="96" t="s">
        <v>5</v>
      </c>
      <c r="H2513" s="160" t="str">
        <f>RIGHT(Journal!$J2513,9)</f>
        <v>CGN-00963</v>
      </c>
      <c r="I2513" s="96" t="str">
        <f t="shared" si="201"/>
        <v>California Gold Nutrition</v>
      </c>
      <c r="J2513" s="97" t="s">
        <v>1127</v>
      </c>
      <c r="K2513" s="29">
        <v>11.68</v>
      </c>
      <c r="L2513" s="29">
        <v>-3.5049999999999999</v>
      </c>
      <c r="M2513" s="30">
        <f>IFERROR(VLOOKUP($A2513,HeadJournal!$A$1:$J$890,COLUMN(HeadJournal!I$1),0)*($K2513+$L2513)/(SUMIF($A:$A,$A2513,$K:$K)+SUMIF($A:$A,$A2513,$L:$L)),0)</f>
        <v>-0.63729675551265874</v>
      </c>
      <c r="N2513" s="30">
        <f>IFERROR((VLOOKUP($A2513,HeadJournal!$A$1:$K$890,COLUMN(HeadJournal!K$1),0)-VLOOKUP($A2513,HeadJournal!$A$1:$K$890,COLUMN(HeadJournal!J$1),0))*($K2513+$L2513)/(SUMIF($A:$A,$A2513,$K:$K)+SUMIF($A:$A,$A2513,$L:$L)),0)</f>
        <v>0</v>
      </c>
      <c r="O2513" s="30">
        <f>IFERROR((VLOOKUP($A2513,HeadJournal!$A$1:$L$890,COLUMN(HeadJournal!L$1),0)*($K2513+$L2513)/(SUMIF($A:$A,$A2513,$K:$K)+SUMIF($A:$A,$A2513,$L:$L)))/VLOOKUP($A2513,HeadJournal!$A$1:$L$890,COLUMN(HeadJournal!H$1),0),0)</f>
        <v>0.96423241545309524</v>
      </c>
      <c r="P2513" s="30">
        <f>IFERROR(SUM(K2513:O2513)*VLOOKUP($A2513,HeadJournal!$A$1:$L$890,COLUMN(HeadJournal!H$1),0),0)</f>
        <v>899.07884029994818</v>
      </c>
      <c r="Q2513" s="29">
        <v>1700</v>
      </c>
      <c r="R2513" s="31">
        <v>45296</v>
      </c>
      <c r="S2513" s="31" t="s">
        <v>3121</v>
      </c>
      <c r="T2513" s="95" t="str">
        <f t="shared" si="200"/>
        <v>2024 01</v>
      </c>
      <c r="U2513" s="32">
        <f t="shared" si="197"/>
        <v>800.92115970005182</v>
      </c>
      <c r="V2513" s="22">
        <f t="shared" si="198"/>
        <v>0.8908241678036275</v>
      </c>
      <c r="X2513" s="33"/>
      <c r="Y2513" s="33"/>
    </row>
    <row r="2514" spans="1:25" x14ac:dyDescent="0.2">
      <c r="A2514" s="93" t="s">
        <v>1126</v>
      </c>
      <c r="B2514" s="94" t="str">
        <f>IFERROR(VLOOKUP($A2514,HeadJournal!$A$1:$NTR$890,COLUMN(HeadJournal!B$1),0),"")</f>
        <v>710002051778</v>
      </c>
      <c r="C2514" s="94" t="str">
        <f>IFERROR(VLOOKUP($A2514,HeadJournal!$A$1:$NTR$890,COLUMN(HeadJournal!C$1),0),"")</f>
        <v>iHerb_OA CZN6870</v>
      </c>
      <c r="D2514" s="125" t="str">
        <f>IFERROR(VLOOKUP($A2514,HeadJournal!$A$1:$NTR$890,COLUMN(HeadJournal!D$1),0),"")</f>
        <v>Доставлен</v>
      </c>
      <c r="E2514" s="95">
        <f>IFERROR(VLOOKUP($A2514,HeadJournal!$A$1:$NTR$890,COLUMN(HeadJournal!G$1),0),"")</f>
        <v>45244</v>
      </c>
      <c r="F2514" s="95" t="str">
        <f t="shared" si="199"/>
        <v>2023 11</v>
      </c>
      <c r="G2514" s="96" t="s">
        <v>5</v>
      </c>
      <c r="H2514" s="175" t="s">
        <v>3630</v>
      </c>
      <c r="I2514" s="176" t="s">
        <v>2052</v>
      </c>
      <c r="J2514" s="97" t="s">
        <v>3673</v>
      </c>
      <c r="K2514" s="29">
        <v>23.36</v>
      </c>
      <c r="L2514" s="29">
        <v>-7.01</v>
      </c>
      <c r="M2514" s="30">
        <f>IFERROR(VLOOKUP($A2514,HeadJournal!$A$1:$J$890,COLUMN(HeadJournal!I$1),0)*($K2514+$L2514)/(SUMIF($A:$A,$A2514,$K:$K)+SUMIF($A:$A,$A2514,$L:$L)),0)</f>
        <v>-1.2745935110253175</v>
      </c>
      <c r="N2514" s="30">
        <f>IFERROR((VLOOKUP($A2514,HeadJournal!$A$1:$K$890,COLUMN(HeadJournal!K$1),0)-VLOOKUP($A2514,HeadJournal!$A$1:$K$890,COLUMN(HeadJournal!J$1),0))*($K2514+$L2514)/(SUMIF($A:$A,$A2514,$K:$K)+SUMIF($A:$A,$A2514,$L:$L)),0)</f>
        <v>0</v>
      </c>
      <c r="O2514" s="30">
        <f>IFERROR((VLOOKUP($A2514,HeadJournal!$A$1:$L$890,COLUMN(HeadJournal!L$1),0)*($K2514+$L2514)/(SUMIF($A:$A,$A2514,$K:$K)+SUMIF($A:$A,$A2514,$L:$L)))/VLOOKUP($A2514,HeadJournal!$A$1:$L$890,COLUMN(HeadJournal!H$1),0),0)</f>
        <v>1.9284648309061905</v>
      </c>
      <c r="P2514" s="30">
        <f>IFERROR(SUM(K2514:O2514)*VLOOKUP($A2514,HeadJournal!$A$1:$L$890,COLUMN(HeadJournal!H$1),0),0)</f>
        <v>1798.1576805998964</v>
      </c>
      <c r="Q2514" s="29">
        <v>2300</v>
      </c>
      <c r="R2514" s="31">
        <v>45619</v>
      </c>
      <c r="S2514" s="31" t="s">
        <v>3121</v>
      </c>
      <c r="T2514" s="95" t="str">
        <f t="shared" si="200"/>
        <v>2024 11</v>
      </c>
      <c r="U2514" s="32">
        <f t="shared" si="197"/>
        <v>501.84231940010363</v>
      </c>
      <c r="V2514" s="22">
        <f t="shared" si="198"/>
        <v>0.27908693704363036</v>
      </c>
      <c r="X2514" s="33"/>
      <c r="Y2514" s="33"/>
    </row>
    <row r="2515" spans="1:25" x14ac:dyDescent="0.2">
      <c r="A2515" s="93" t="s">
        <v>1126</v>
      </c>
      <c r="B2515" s="94" t="str">
        <f>IFERROR(VLOOKUP($A2515,HeadJournal!$A$1:$NTR$890,COLUMN(HeadJournal!B$1),0),"")</f>
        <v>710002051778</v>
      </c>
      <c r="C2515" s="94" t="str">
        <f>IFERROR(VLOOKUP($A2515,HeadJournal!$A$1:$NTR$890,COLUMN(HeadJournal!C$1),0),"")</f>
        <v>iHerb_OA CZN6870</v>
      </c>
      <c r="D2515" s="125" t="str">
        <f>IFERROR(VLOOKUP($A2515,HeadJournal!$A$1:$NTR$890,COLUMN(HeadJournal!D$1),0),"")</f>
        <v>Доставлен</v>
      </c>
      <c r="E2515" s="95">
        <f>IFERROR(VLOOKUP($A2515,HeadJournal!$A$1:$NTR$890,COLUMN(HeadJournal!G$1),0),"")</f>
        <v>45244</v>
      </c>
      <c r="F2515" s="95" t="str">
        <f t="shared" si="199"/>
        <v>2023 11</v>
      </c>
      <c r="G2515" s="96" t="s">
        <v>5</v>
      </c>
      <c r="H2515" s="161" t="s">
        <v>3575</v>
      </c>
      <c r="I2515" s="97" t="s">
        <v>2052</v>
      </c>
      <c r="J2515" s="97" t="s">
        <v>3576</v>
      </c>
      <c r="K2515" s="29">
        <v>15.62</v>
      </c>
      <c r="L2515" s="29">
        <v>-4.6849999999999996</v>
      </c>
      <c r="M2515" s="30">
        <f>IFERROR(VLOOKUP($A2515,HeadJournal!$A$1:$J$890,COLUMN(HeadJournal!I$1),0)*($K2515+$L2515)/(SUMIF($A:$A,$A2515,$K:$K)+SUMIF($A:$A,$A2515,$L:$L)),0)</f>
        <v>-0.85245749498849199</v>
      </c>
      <c r="N2515" s="30">
        <f>IFERROR((VLOOKUP($A2515,HeadJournal!$A$1:$K$890,COLUMN(HeadJournal!K$1),0)-VLOOKUP($A2515,HeadJournal!$A$1:$K$890,COLUMN(HeadJournal!J$1),0))*($K2515+$L2515)/(SUMIF($A:$A,$A2515,$K:$K)+SUMIF($A:$A,$A2515,$L:$L)),0)</f>
        <v>0</v>
      </c>
      <c r="O2515" s="30">
        <f>IFERROR((VLOOKUP($A2515,HeadJournal!$A$1:$L$890,COLUMN(HeadJournal!L$1),0)*($K2515+$L2515)/(SUMIF($A:$A,$A2515,$K:$K)+SUMIF($A:$A,$A2515,$L:$L)))/VLOOKUP($A2515,HeadJournal!$A$1:$L$890,COLUMN(HeadJournal!H$1),0),0)</f>
        <v>1.2897714327803784</v>
      </c>
      <c r="P2515" s="30">
        <f>IFERROR(SUM(K2515:O2515)*VLOOKUP($A2515,HeadJournal!$A$1:$L$890,COLUMN(HeadJournal!H$1),0),0)</f>
        <v>1202.6210542727745</v>
      </c>
      <c r="Q2515" s="29">
        <v>2200</v>
      </c>
      <c r="R2515" s="31">
        <v>45358</v>
      </c>
      <c r="S2515" s="31" t="s">
        <v>3121</v>
      </c>
      <c r="T2515" s="95" t="str">
        <f t="shared" si="200"/>
        <v>2024 03</v>
      </c>
      <c r="U2515" s="32">
        <f t="shared" si="197"/>
        <v>997.37894572722553</v>
      </c>
      <c r="V2515" s="22">
        <f t="shared" si="198"/>
        <v>0.82933767223154187</v>
      </c>
      <c r="X2515" s="33"/>
      <c r="Y2515" s="33"/>
    </row>
    <row r="2516" spans="1:25" x14ac:dyDescent="0.2">
      <c r="A2516" s="93" t="s">
        <v>1126</v>
      </c>
      <c r="B2516" s="94" t="str">
        <f>IFERROR(VLOOKUP($A2516,HeadJournal!$A$1:$NTR$890,COLUMN(HeadJournal!B$1),0),"")</f>
        <v>710002051778</v>
      </c>
      <c r="C2516" s="94" t="str">
        <f>IFERROR(VLOOKUP($A2516,HeadJournal!$A$1:$NTR$890,COLUMN(HeadJournal!C$1),0),"")</f>
        <v>iHerb_OA CZN6870</v>
      </c>
      <c r="D2516" s="125" t="str">
        <f>IFERROR(VLOOKUP($A2516,HeadJournal!$A$1:$NTR$890,COLUMN(HeadJournal!D$1),0),"")</f>
        <v>Доставлен</v>
      </c>
      <c r="E2516" s="95">
        <f>IFERROR(VLOOKUP($A2516,HeadJournal!$A$1:$NTR$890,COLUMN(HeadJournal!G$1),0),"")</f>
        <v>45244</v>
      </c>
      <c r="F2516" s="95" t="str">
        <f t="shared" si="199"/>
        <v>2023 11</v>
      </c>
      <c r="G2516" s="96" t="s">
        <v>5</v>
      </c>
      <c r="H2516" s="161" t="s">
        <v>3575</v>
      </c>
      <c r="I2516" s="97" t="s">
        <v>2052</v>
      </c>
      <c r="J2516" s="97" t="s">
        <v>3576</v>
      </c>
      <c r="K2516" s="29">
        <v>15.62</v>
      </c>
      <c r="L2516" s="29">
        <v>-4.6849999999999996</v>
      </c>
      <c r="M2516" s="30">
        <f>IFERROR(VLOOKUP($A2516,HeadJournal!$A$1:$J$890,COLUMN(HeadJournal!I$1),0)*($K2516+$L2516)/(SUMIF($A:$A,$A2516,$K:$K)+SUMIF($A:$A,$A2516,$L:$L)),0)</f>
        <v>-0.85245749498849199</v>
      </c>
      <c r="N2516" s="30">
        <f>IFERROR((VLOOKUP($A2516,HeadJournal!$A$1:$K$890,COLUMN(HeadJournal!K$1),0)-VLOOKUP($A2516,HeadJournal!$A$1:$K$890,COLUMN(HeadJournal!J$1),0))*($K2516+$L2516)/(SUMIF($A:$A,$A2516,$K:$K)+SUMIF($A:$A,$A2516,$L:$L)),0)</f>
        <v>0</v>
      </c>
      <c r="O2516" s="30">
        <f>IFERROR((VLOOKUP($A2516,HeadJournal!$A$1:$L$890,COLUMN(HeadJournal!L$1),0)*($K2516+$L2516)/(SUMIF($A:$A,$A2516,$K:$K)+SUMIF($A:$A,$A2516,$L:$L)))/VLOOKUP($A2516,HeadJournal!$A$1:$L$890,COLUMN(HeadJournal!H$1),0),0)</f>
        <v>1.2897714327803784</v>
      </c>
      <c r="P2516" s="30">
        <f>IFERROR(SUM(K2516:O2516)*VLOOKUP($A2516,HeadJournal!$A$1:$L$890,COLUMN(HeadJournal!H$1),0),0)</f>
        <v>1202.6210542727745</v>
      </c>
      <c r="Q2516" s="29">
        <v>2300</v>
      </c>
      <c r="R2516" s="31">
        <v>45635</v>
      </c>
      <c r="S2516" s="31" t="s">
        <v>3121</v>
      </c>
      <c r="T2516" s="95" t="str">
        <f t="shared" si="200"/>
        <v>2024 12</v>
      </c>
      <c r="U2516" s="32">
        <f t="shared" si="197"/>
        <v>1097.3789457272255</v>
      </c>
      <c r="V2516" s="22">
        <f t="shared" si="198"/>
        <v>0.91248938460570284</v>
      </c>
      <c r="X2516" s="33"/>
      <c r="Y2516" s="33"/>
    </row>
    <row r="2517" spans="1:25" x14ac:dyDescent="0.2">
      <c r="A2517" s="93" t="s">
        <v>1126</v>
      </c>
      <c r="B2517" s="94" t="str">
        <f>IFERROR(VLOOKUP($A2517,HeadJournal!$A$1:$NTR$890,COLUMN(HeadJournal!B$1),0),"")</f>
        <v>710002051778</v>
      </c>
      <c r="C2517" s="94" t="str">
        <f>IFERROR(VLOOKUP($A2517,HeadJournal!$A$1:$NTR$890,COLUMN(HeadJournal!C$1),0),"")</f>
        <v>iHerb_OA CZN6870</v>
      </c>
      <c r="D2517" s="125" t="str">
        <f>IFERROR(VLOOKUP($A2517,HeadJournal!$A$1:$NTR$890,COLUMN(HeadJournal!D$1),0),"")</f>
        <v>Доставлен</v>
      </c>
      <c r="E2517" s="95">
        <f>IFERROR(VLOOKUP($A2517,HeadJournal!$A$1:$NTR$890,COLUMN(HeadJournal!G$1),0),"")</f>
        <v>45244</v>
      </c>
      <c r="F2517" s="95" t="str">
        <f t="shared" si="199"/>
        <v>2023 11</v>
      </c>
      <c r="G2517" s="96" t="s">
        <v>5</v>
      </c>
      <c r="H2517" s="160" t="str">
        <f>RIGHT(Journal!$J2517,9)</f>
        <v>CGN-01132</v>
      </c>
      <c r="I2517" s="96" t="str">
        <f t="shared" si="201"/>
        <v>California Gold Nutrition</v>
      </c>
      <c r="J2517" s="97" t="s">
        <v>1128</v>
      </c>
      <c r="K2517" s="29">
        <v>9.81</v>
      </c>
      <c r="L2517" s="29">
        <v>-2.94</v>
      </c>
      <c r="M2517" s="30">
        <f>IFERROR(VLOOKUP($A2517,HeadJournal!$A$1:$J$890,COLUMN(HeadJournal!I$1),0)*($K2517+$L2517)/(SUMIF($A:$A,$A2517,$K:$K)+SUMIF($A:$A,$A2517,$L:$L)),0)</f>
        <v>-0.53556314499962887</v>
      </c>
      <c r="N2517" s="30">
        <f>IFERROR((VLOOKUP($A2517,HeadJournal!$A$1:$K$890,COLUMN(HeadJournal!K$1),0)-VLOOKUP($A2517,HeadJournal!$A$1:$K$890,COLUMN(HeadJournal!J$1),0))*($K2517+$L2517)/(SUMIF($A:$A,$A2517,$K:$K)+SUMIF($A:$A,$A2517,$L:$L)),0)</f>
        <v>0</v>
      </c>
      <c r="O2517" s="30">
        <f>IFERROR((VLOOKUP($A2517,HeadJournal!$A$1:$L$890,COLUMN(HeadJournal!L$1),0)*($K2517+$L2517)/(SUMIF($A:$A,$A2517,$K:$K)+SUMIF($A:$A,$A2517,$L:$L)))/VLOOKUP($A2517,HeadJournal!$A$1:$L$890,COLUMN(HeadJournal!H$1),0),0)</f>
        <v>0.81030907573856437</v>
      </c>
      <c r="P2517" s="30">
        <f>IFERROR(SUM(K2517:O2517)*VLOOKUP($A2517,HeadJournal!$A$1:$L$890,COLUMN(HeadJournal!H$1),0),0)</f>
        <v>755.55616304105729</v>
      </c>
      <c r="Q2517" s="29">
        <v>1500</v>
      </c>
      <c r="R2517" s="31">
        <v>45436</v>
      </c>
      <c r="S2517" s="31" t="s">
        <v>3121</v>
      </c>
      <c r="T2517" s="95" t="str">
        <f t="shared" si="200"/>
        <v>2024 05</v>
      </c>
      <c r="U2517" s="32">
        <f t="shared" si="197"/>
        <v>744.44383695894271</v>
      </c>
      <c r="V2517" s="22">
        <f t="shared" si="198"/>
        <v>0.98529252142238066</v>
      </c>
      <c r="X2517" s="33"/>
      <c r="Y2517" s="33"/>
    </row>
    <row r="2518" spans="1:25" x14ac:dyDescent="0.2">
      <c r="A2518" s="93" t="s">
        <v>1129</v>
      </c>
      <c r="B2518" s="94" t="str">
        <f>IFERROR(VLOOKUP($A2518,HeadJournal!$A$1:$NTR$890,COLUMN(HeadJournal!B$1),0),"")</f>
        <v>720000014985</v>
      </c>
      <c r="C2518" s="94" t="str">
        <f>IFERROR(VLOOKUP($A2518,HeadJournal!$A$1:$NTR$890,COLUMN(HeadJournal!C$1),0),"")</f>
        <v>iHerb_OA CZN6870</v>
      </c>
      <c r="D2518" s="125" t="str">
        <f>IFERROR(VLOOKUP($A2518,HeadJournal!$A$1:$NTR$890,COLUMN(HeadJournal!D$1),0),"")</f>
        <v>Доставлен</v>
      </c>
      <c r="E2518" s="95">
        <f>IFERROR(VLOOKUP($A2518,HeadJournal!$A$1:$NTR$890,COLUMN(HeadJournal!G$1),0),"")</f>
        <v>45250</v>
      </c>
      <c r="F2518" s="95" t="str">
        <f t="shared" si="199"/>
        <v>2023 11</v>
      </c>
      <c r="G2518" s="96" t="s">
        <v>5</v>
      </c>
      <c r="H2518" s="175" t="s">
        <v>3654</v>
      </c>
      <c r="I2518" s="176" t="s">
        <v>2005</v>
      </c>
      <c r="J2518" s="97" t="s">
        <v>3703</v>
      </c>
      <c r="K2518" s="29">
        <v>10.98</v>
      </c>
      <c r="L2518" s="29">
        <v>-2.415</v>
      </c>
      <c r="M2518" s="30">
        <f>IFERROR(VLOOKUP($A2518,HeadJournal!$A$1:$J$890,COLUMN(HeadJournal!I$1),0)*($K2518+$L2518)/(SUMIF($A:$A,$A2518,$K:$K)+SUMIF($A:$A,$A2518,$L:$L)),0)</f>
        <v>-0.21022532030828137</v>
      </c>
      <c r="N2518" s="30">
        <f>IFERROR((VLOOKUP($A2518,HeadJournal!$A$1:$K$890,COLUMN(HeadJournal!K$1),0)-VLOOKUP($A2518,HeadJournal!$A$1:$K$890,COLUMN(HeadJournal!J$1),0))*($K2518+$L2518)/(SUMIF($A:$A,$A2518,$K:$K)+SUMIF($A:$A,$A2518,$L:$L)),0)</f>
        <v>-1.1949925937431168E-15</v>
      </c>
      <c r="O2518" s="30">
        <f>IFERROR((VLOOKUP($A2518,HeadJournal!$A$1:$L$890,COLUMN(HeadJournal!L$1),0)*($K2518+$L2518)/(SUMIF($A:$A,$A2518,$K:$K)+SUMIF($A:$A,$A2518,$L:$L)))/VLOOKUP($A2518,HeadJournal!$A$1:$L$890,COLUMN(HeadJournal!H$1),0),0)</f>
        <v>0.6885489163750913</v>
      </c>
      <c r="P2518" s="30">
        <f>IFERROR(SUM(K2518:O2518)*VLOOKUP($A2518,HeadJournal!$A$1:$L$890,COLUMN(HeadJournal!H$1),0),0)</f>
        <v>927.72139536596126</v>
      </c>
      <c r="Q2518" s="29">
        <v>1600</v>
      </c>
      <c r="R2518" s="31">
        <v>45481</v>
      </c>
      <c r="S2518" s="31" t="s">
        <v>3121</v>
      </c>
      <c r="T2518" s="95" t="str">
        <f t="shared" si="200"/>
        <v>2024 07</v>
      </c>
      <c r="U2518" s="32">
        <f t="shared" si="197"/>
        <v>672.27860463403874</v>
      </c>
      <c r="V2518" s="22">
        <f t="shared" si="198"/>
        <v>0.72465570805213864</v>
      </c>
      <c r="X2518" s="33"/>
      <c r="Y2518" s="33"/>
    </row>
    <row r="2519" spans="1:25" x14ac:dyDescent="0.2">
      <c r="A2519" s="93" t="s">
        <v>1129</v>
      </c>
      <c r="B2519" s="94" t="str">
        <f>IFERROR(VLOOKUP($A2519,HeadJournal!$A$1:$NTR$890,COLUMN(HeadJournal!B$1),0),"")</f>
        <v>720000014985</v>
      </c>
      <c r="C2519" s="94" t="str">
        <f>IFERROR(VLOOKUP($A2519,HeadJournal!$A$1:$NTR$890,COLUMN(HeadJournal!C$1),0),"")</f>
        <v>iHerb_OA CZN6870</v>
      </c>
      <c r="D2519" s="125" t="str">
        <f>IFERROR(VLOOKUP($A2519,HeadJournal!$A$1:$NTR$890,COLUMN(HeadJournal!D$1),0),"")</f>
        <v>Доставлен</v>
      </c>
      <c r="E2519" s="95">
        <f>IFERROR(VLOOKUP($A2519,HeadJournal!$A$1:$NTR$890,COLUMN(HeadJournal!G$1),0),"")</f>
        <v>45250</v>
      </c>
      <c r="F2519" s="95" t="str">
        <f t="shared" si="199"/>
        <v>2023 11</v>
      </c>
      <c r="G2519" s="96" t="s">
        <v>5</v>
      </c>
      <c r="H2519" s="175" t="s">
        <v>3654</v>
      </c>
      <c r="I2519" s="176" t="s">
        <v>2005</v>
      </c>
      <c r="J2519" s="97" t="s">
        <v>3703</v>
      </c>
      <c r="K2519" s="29">
        <v>10.98</v>
      </c>
      <c r="L2519" s="29">
        <v>-2.415</v>
      </c>
      <c r="M2519" s="30">
        <f>IFERROR(VLOOKUP($A2519,HeadJournal!$A$1:$J$890,COLUMN(HeadJournal!I$1),0)*($K2519+$L2519)/(SUMIF($A:$A,$A2519,$K:$K)+SUMIF($A:$A,$A2519,$L:$L)),0)</f>
        <v>-0.21022532030828137</v>
      </c>
      <c r="N2519" s="30">
        <f>IFERROR((VLOOKUP($A2519,HeadJournal!$A$1:$K$890,COLUMN(HeadJournal!K$1),0)-VLOOKUP($A2519,HeadJournal!$A$1:$K$890,COLUMN(HeadJournal!J$1),0))*($K2519+$L2519)/(SUMIF($A:$A,$A2519,$K:$K)+SUMIF($A:$A,$A2519,$L:$L)),0)</f>
        <v>-1.1949925937431168E-15</v>
      </c>
      <c r="O2519" s="30">
        <f>IFERROR((VLOOKUP($A2519,HeadJournal!$A$1:$L$890,COLUMN(HeadJournal!L$1),0)*($K2519+$L2519)/(SUMIF($A:$A,$A2519,$K:$K)+SUMIF($A:$A,$A2519,$L:$L)))/VLOOKUP($A2519,HeadJournal!$A$1:$L$890,COLUMN(HeadJournal!H$1),0),0)</f>
        <v>0.6885489163750913</v>
      </c>
      <c r="P2519" s="30">
        <f>IFERROR(SUM(K2519:O2519)*VLOOKUP($A2519,HeadJournal!$A$1:$L$890,COLUMN(HeadJournal!H$1),0),0)</f>
        <v>927.72139536596126</v>
      </c>
      <c r="Q2519" s="29">
        <v>1500</v>
      </c>
      <c r="R2519" s="31">
        <v>45535</v>
      </c>
      <c r="S2519" s="31" t="s">
        <v>3121</v>
      </c>
      <c r="T2519" s="95" t="str">
        <f t="shared" si="200"/>
        <v>2024 08</v>
      </c>
      <c r="U2519" s="32">
        <f t="shared" si="197"/>
        <v>572.27860463403874</v>
      </c>
      <c r="V2519" s="22">
        <f t="shared" si="198"/>
        <v>0.61686472629888001</v>
      </c>
      <c r="X2519" s="33"/>
      <c r="Y2519" s="33"/>
    </row>
    <row r="2520" spans="1:25" x14ac:dyDescent="0.2">
      <c r="A2520" s="93" t="s">
        <v>1129</v>
      </c>
      <c r="B2520" s="94" t="str">
        <f>IFERROR(VLOOKUP($A2520,HeadJournal!$A$1:$NTR$890,COLUMN(HeadJournal!B$1),0),"")</f>
        <v>720000014985</v>
      </c>
      <c r="C2520" s="94" t="str">
        <f>IFERROR(VLOOKUP($A2520,HeadJournal!$A$1:$NTR$890,COLUMN(HeadJournal!C$1),0),"")</f>
        <v>iHerb_OA CZN6870</v>
      </c>
      <c r="D2520" s="125" t="str">
        <f>IFERROR(VLOOKUP($A2520,HeadJournal!$A$1:$NTR$890,COLUMN(HeadJournal!D$1),0),"")</f>
        <v>Доставлен</v>
      </c>
      <c r="E2520" s="95">
        <f>IFERROR(VLOOKUP($A2520,HeadJournal!$A$1:$NTR$890,COLUMN(HeadJournal!G$1),0),"")</f>
        <v>45250</v>
      </c>
      <c r="F2520" s="95" t="str">
        <f t="shared" si="199"/>
        <v>2023 11</v>
      </c>
      <c r="G2520" s="96" t="s">
        <v>5</v>
      </c>
      <c r="H2520" s="175" t="s">
        <v>3625</v>
      </c>
      <c r="I2520" s="176" t="s">
        <v>2004</v>
      </c>
      <c r="J2520" s="97" t="s">
        <v>3667</v>
      </c>
      <c r="K2520" s="29">
        <v>24</v>
      </c>
      <c r="L2520" s="29">
        <v>-5.28</v>
      </c>
      <c r="M2520" s="30">
        <f>IFERROR(VLOOKUP($A2520,HeadJournal!$A$1:$J$890,COLUMN(HeadJournal!I$1),0)*($K2520+$L2520)/(SUMIF($A:$A,$A2520,$K:$K)+SUMIF($A:$A,$A2520,$L:$L)),0)</f>
        <v>-0.45947670708359911</v>
      </c>
      <c r="N2520" s="30">
        <f>IFERROR((VLOOKUP($A2520,HeadJournal!$A$1:$K$890,COLUMN(HeadJournal!K$1),0)-VLOOKUP($A2520,HeadJournal!$A$1:$K$890,COLUMN(HeadJournal!J$1),0))*($K2520+$L2520)/(SUMIF($A:$A,$A2520,$K:$K)+SUMIF($A:$A,$A2520,$L:$L)),0)</f>
        <v>-2.611822691753782E-15</v>
      </c>
      <c r="O2520" s="30">
        <f>IFERROR((VLOOKUP($A2520,HeadJournal!$A$1:$L$890,COLUMN(HeadJournal!L$1),0)*($K2520+$L2520)/(SUMIF($A:$A,$A2520,$K:$K)+SUMIF($A:$A,$A2520,$L:$L)))/VLOOKUP($A2520,HeadJournal!$A$1:$L$890,COLUMN(HeadJournal!H$1),0),0)</f>
        <v>1.5049195230054531</v>
      </c>
      <c r="P2520" s="30">
        <f>IFERROR(SUM(K2520:O2520)*VLOOKUP($A2520,HeadJournal!$A$1:$L$890,COLUMN(HeadJournal!H$1),0),0)</f>
        <v>2027.6642756860233</v>
      </c>
      <c r="Q2520" s="29">
        <v>3300</v>
      </c>
      <c r="R2520" s="31">
        <v>45300</v>
      </c>
      <c r="S2520" s="31" t="s">
        <v>3121</v>
      </c>
      <c r="T2520" s="95" t="str">
        <f t="shared" si="200"/>
        <v>2024 01</v>
      </c>
      <c r="U2520" s="32">
        <f t="shared" si="197"/>
        <v>1272.3357243139767</v>
      </c>
      <c r="V2520" s="22">
        <f t="shared" si="198"/>
        <v>0.62748835671206227</v>
      </c>
      <c r="X2520" s="33"/>
      <c r="Y2520" s="33"/>
    </row>
    <row r="2521" spans="1:25" x14ac:dyDescent="0.2">
      <c r="A2521" s="93" t="s">
        <v>1129</v>
      </c>
      <c r="B2521" s="94" t="str">
        <f>IFERROR(VLOOKUP($A2521,HeadJournal!$A$1:$NTR$890,COLUMN(HeadJournal!B$1),0),"")</f>
        <v>720000014985</v>
      </c>
      <c r="C2521" s="94" t="str">
        <f>IFERROR(VLOOKUP($A2521,HeadJournal!$A$1:$NTR$890,COLUMN(HeadJournal!C$1),0),"")</f>
        <v>iHerb_OA CZN6870</v>
      </c>
      <c r="D2521" s="125" t="str">
        <f>IFERROR(VLOOKUP($A2521,HeadJournal!$A$1:$NTR$890,COLUMN(HeadJournal!D$1),0),"")</f>
        <v>Доставлен</v>
      </c>
      <c r="E2521" s="95">
        <f>IFERROR(VLOOKUP($A2521,HeadJournal!$A$1:$NTR$890,COLUMN(HeadJournal!G$1),0),"")</f>
        <v>45250</v>
      </c>
      <c r="F2521" s="95" t="str">
        <f t="shared" si="199"/>
        <v>2023 11</v>
      </c>
      <c r="G2521" s="96" t="s">
        <v>5</v>
      </c>
      <c r="H2521" s="175" t="s">
        <v>3625</v>
      </c>
      <c r="I2521" s="176" t="s">
        <v>2004</v>
      </c>
      <c r="J2521" s="97" t="s">
        <v>3667</v>
      </c>
      <c r="K2521" s="29">
        <v>24</v>
      </c>
      <c r="L2521" s="29">
        <v>-5.28</v>
      </c>
      <c r="M2521" s="30">
        <f>IFERROR(VLOOKUP($A2521,HeadJournal!$A$1:$J$890,COLUMN(HeadJournal!I$1),0)*($K2521+$L2521)/(SUMIF($A:$A,$A2521,$K:$K)+SUMIF($A:$A,$A2521,$L:$L)),0)</f>
        <v>-0.45947670708359911</v>
      </c>
      <c r="N2521" s="30">
        <f>IFERROR((VLOOKUP($A2521,HeadJournal!$A$1:$K$890,COLUMN(HeadJournal!K$1),0)-VLOOKUP($A2521,HeadJournal!$A$1:$K$890,COLUMN(HeadJournal!J$1),0))*($K2521+$L2521)/(SUMIF($A:$A,$A2521,$K:$K)+SUMIF($A:$A,$A2521,$L:$L)),0)</f>
        <v>-2.611822691753782E-15</v>
      </c>
      <c r="O2521" s="30">
        <f>IFERROR((VLOOKUP($A2521,HeadJournal!$A$1:$L$890,COLUMN(HeadJournal!L$1),0)*($K2521+$L2521)/(SUMIF($A:$A,$A2521,$K:$K)+SUMIF($A:$A,$A2521,$L:$L)))/VLOOKUP($A2521,HeadJournal!$A$1:$L$890,COLUMN(HeadJournal!H$1),0),0)</f>
        <v>1.5049195230054531</v>
      </c>
      <c r="P2521" s="30">
        <f>IFERROR(SUM(K2521:O2521)*VLOOKUP($A2521,HeadJournal!$A$1:$L$890,COLUMN(HeadJournal!H$1),0),0)</f>
        <v>2027.6642756860233</v>
      </c>
      <c r="Q2521" s="29">
        <v>3300</v>
      </c>
      <c r="R2521" s="31">
        <v>45302</v>
      </c>
      <c r="S2521" s="31" t="s">
        <v>3121</v>
      </c>
      <c r="T2521" s="95" t="str">
        <f t="shared" si="200"/>
        <v>2024 01</v>
      </c>
      <c r="U2521" s="32">
        <f t="shared" si="197"/>
        <v>1272.3357243139767</v>
      </c>
      <c r="V2521" s="22">
        <f t="shared" si="198"/>
        <v>0.62748835671206227</v>
      </c>
      <c r="X2521" s="33"/>
      <c r="Y2521" s="33"/>
    </row>
    <row r="2522" spans="1:25" x14ac:dyDescent="0.2">
      <c r="A2522" s="93" t="s">
        <v>1129</v>
      </c>
      <c r="B2522" s="94" t="str">
        <f>IFERROR(VLOOKUP($A2522,HeadJournal!$A$1:$NTR$890,COLUMN(HeadJournal!B$1),0),"")</f>
        <v>720000014985</v>
      </c>
      <c r="C2522" s="94" t="str">
        <f>IFERROR(VLOOKUP($A2522,HeadJournal!$A$1:$NTR$890,COLUMN(HeadJournal!C$1),0),"")</f>
        <v>iHerb_OA CZN6870</v>
      </c>
      <c r="D2522" s="125" t="str">
        <f>IFERROR(VLOOKUP($A2522,HeadJournal!$A$1:$NTR$890,COLUMN(HeadJournal!D$1),0),"")</f>
        <v>Доставлен</v>
      </c>
      <c r="E2522" s="95">
        <f>IFERROR(VLOOKUP($A2522,HeadJournal!$A$1:$NTR$890,COLUMN(HeadJournal!G$1),0),"")</f>
        <v>45250</v>
      </c>
      <c r="F2522" s="95" t="str">
        <f t="shared" si="199"/>
        <v>2023 11</v>
      </c>
      <c r="G2522" s="96" t="s">
        <v>5</v>
      </c>
      <c r="H2522" s="175" t="s">
        <v>3643</v>
      </c>
      <c r="I2522" s="176" t="s">
        <v>2102</v>
      </c>
      <c r="J2522" s="97" t="s">
        <v>3693</v>
      </c>
      <c r="K2522" s="29">
        <v>17.84</v>
      </c>
      <c r="L2522" s="29">
        <v>-3.92</v>
      </c>
      <c r="M2522" s="30">
        <f>IFERROR(VLOOKUP($A2522,HeadJournal!$A$1:$J$890,COLUMN(HeadJournal!I$1),0)*($K2522+$L2522)/(SUMIF($A:$A,$A2522,$K:$K)+SUMIF($A:$A,$A2522,$L:$L)),0)</f>
        <v>-0.34166216680575318</v>
      </c>
      <c r="N2522" s="30">
        <f>IFERROR((VLOOKUP($A2522,HeadJournal!$A$1:$K$890,COLUMN(HeadJournal!K$1),0)-VLOOKUP($A2522,HeadJournal!$A$1:$K$890,COLUMN(HeadJournal!J$1),0))*($K2522+$L2522)/(SUMIF($A:$A,$A2522,$K:$K)+SUMIF($A:$A,$A2522,$L:$L)),0)</f>
        <v>-1.9421245656630688E-15</v>
      </c>
      <c r="O2522" s="30">
        <f>IFERROR((VLOOKUP($A2522,HeadJournal!$A$1:$L$890,COLUMN(HeadJournal!L$1),0)*($K2522+$L2522)/(SUMIF($A:$A,$A2522,$K:$K)+SUMIF($A:$A,$A2522,$L:$L)))/VLOOKUP($A2522,HeadJournal!$A$1:$L$890,COLUMN(HeadJournal!H$1),0),0)</f>
        <v>1.119042722234824</v>
      </c>
      <c r="P2522" s="30">
        <f>IFERROR(SUM(K2522:O2522)*VLOOKUP($A2522,HeadJournal!$A$1:$L$890,COLUMN(HeadJournal!H$1),0),0)</f>
        <v>1507.7503588434536</v>
      </c>
      <c r="Q2522" s="29">
        <v>2800</v>
      </c>
      <c r="R2522" s="31">
        <v>45530</v>
      </c>
      <c r="S2522" s="31" t="s">
        <v>3121</v>
      </c>
      <c r="T2522" s="95" t="str">
        <f t="shared" si="200"/>
        <v>2024 08</v>
      </c>
      <c r="U2522" s="32">
        <f t="shared" si="197"/>
        <v>1292.2496411565464</v>
      </c>
      <c r="V2522" s="22">
        <f t="shared" si="198"/>
        <v>0.8570713537404091</v>
      </c>
      <c r="X2522" s="33"/>
      <c r="Y2522" s="33"/>
    </row>
    <row r="2523" spans="1:25" x14ac:dyDescent="0.2">
      <c r="A2523" s="93" t="s">
        <v>1129</v>
      </c>
      <c r="B2523" s="94" t="str">
        <f>IFERROR(VLOOKUP($A2523,HeadJournal!$A$1:$NTR$890,COLUMN(HeadJournal!B$1),0),"")</f>
        <v>720000014985</v>
      </c>
      <c r="C2523" s="94" t="str">
        <f>IFERROR(VLOOKUP($A2523,HeadJournal!$A$1:$NTR$890,COLUMN(HeadJournal!C$1),0),"")</f>
        <v>iHerb_OA CZN6870</v>
      </c>
      <c r="D2523" s="125" t="str">
        <f>IFERROR(VLOOKUP($A2523,HeadJournal!$A$1:$NTR$890,COLUMN(HeadJournal!D$1),0),"")</f>
        <v>Доставлен</v>
      </c>
      <c r="E2523" s="95">
        <f>IFERROR(VLOOKUP($A2523,HeadJournal!$A$1:$NTR$890,COLUMN(HeadJournal!G$1),0),"")</f>
        <v>45250</v>
      </c>
      <c r="F2523" s="95" t="str">
        <f t="shared" si="199"/>
        <v>2023 11</v>
      </c>
      <c r="G2523" s="96" t="s">
        <v>5</v>
      </c>
      <c r="H2523" s="160" t="str">
        <f>RIGHT(Journal!$J2523,9)</f>
        <v>LEX-70010</v>
      </c>
      <c r="I2523" s="96" t="str">
        <f t="shared" si="201"/>
        <v>Life Extension</v>
      </c>
      <c r="J2523" s="97" t="s">
        <v>1130</v>
      </c>
      <c r="K2523" s="29">
        <v>19.8</v>
      </c>
      <c r="L2523" s="29">
        <v>-4.3600000000000003</v>
      </c>
      <c r="M2523" s="30">
        <f>IFERROR(VLOOKUP($A2523,HeadJournal!$A$1:$J$890,COLUMN(HeadJournal!I$1),0)*($K2523+$L2523)/(SUMIF($A:$A,$A2523,$K:$K)+SUMIF($A:$A,$A2523,$L:$L)),0)</f>
        <v>-0.37897010456040442</v>
      </c>
      <c r="N2523" s="30">
        <f>IFERROR((VLOOKUP($A2523,HeadJournal!$A$1:$K$890,COLUMN(HeadJournal!K$1),0)-VLOOKUP($A2523,HeadJournal!$A$1:$K$890,COLUMN(HeadJournal!J$1),0))*($K2523+$L2523)/(SUMIF($A:$A,$A2523,$K:$K)+SUMIF($A:$A,$A2523,$L:$L)),0)</f>
        <v>-2.1541956389251279E-15</v>
      </c>
      <c r="O2523" s="30">
        <f>IFERROR((VLOOKUP($A2523,HeadJournal!$A$1:$L$890,COLUMN(HeadJournal!L$1),0)*($K2523+$L2523)/(SUMIF($A:$A,$A2523,$K:$K)+SUMIF($A:$A,$A2523,$L:$L)))/VLOOKUP($A2523,HeadJournal!$A$1:$L$890,COLUMN(HeadJournal!H$1),0),0)</f>
        <v>1.2412370424788568</v>
      </c>
      <c r="P2523" s="30">
        <f>IFERROR(SUM(K2523:O2523)*VLOOKUP($A2523,HeadJournal!$A$1:$L$890,COLUMN(HeadJournal!H$1),0),0)</f>
        <v>1672.389765843601</v>
      </c>
      <c r="Q2523" s="29"/>
      <c r="R2523" s="31"/>
      <c r="S2523" s="31"/>
      <c r="T2523" s="95" t="str">
        <f t="shared" si="200"/>
        <v/>
      </c>
      <c r="U2523" s="32">
        <f t="shared" si="197"/>
        <v>-1672.389765843601</v>
      </c>
      <c r="V2523" s="22" t="str">
        <f t="shared" si="198"/>
        <v/>
      </c>
      <c r="X2523" s="33"/>
      <c r="Y2523" s="33"/>
    </row>
    <row r="2524" spans="1:25" x14ac:dyDescent="0.2">
      <c r="A2524" s="93" t="s">
        <v>1129</v>
      </c>
      <c r="B2524" s="94" t="str">
        <f>IFERROR(VLOOKUP($A2524,HeadJournal!$A$1:$NTR$890,COLUMN(HeadJournal!B$1),0),"")</f>
        <v>720000014985</v>
      </c>
      <c r="C2524" s="94" t="str">
        <f>IFERROR(VLOOKUP($A2524,HeadJournal!$A$1:$NTR$890,COLUMN(HeadJournal!C$1),0),"")</f>
        <v>iHerb_OA CZN6870</v>
      </c>
      <c r="D2524" s="125" t="str">
        <f>IFERROR(VLOOKUP($A2524,HeadJournal!$A$1:$NTR$890,COLUMN(HeadJournal!D$1),0),"")</f>
        <v>Доставлен</v>
      </c>
      <c r="E2524" s="95">
        <f>IFERROR(VLOOKUP($A2524,HeadJournal!$A$1:$NTR$890,COLUMN(HeadJournal!G$1),0),"")</f>
        <v>45250</v>
      </c>
      <c r="F2524" s="95" t="str">
        <f t="shared" si="199"/>
        <v>2023 11</v>
      </c>
      <c r="G2524" s="96" t="s">
        <v>5</v>
      </c>
      <c r="H2524" s="160" t="str">
        <f>RIGHT(Journal!$J2524,9)</f>
        <v>NOW-04605</v>
      </c>
      <c r="I2524" s="96" t="str">
        <f t="shared" si="201"/>
        <v>NOW Foods</v>
      </c>
      <c r="J2524" s="97" t="s">
        <v>1131</v>
      </c>
      <c r="K2524" s="29">
        <v>9.18</v>
      </c>
      <c r="L2524" s="29">
        <v>-0.92</v>
      </c>
      <c r="M2524" s="30">
        <f>IFERROR(VLOOKUP($A2524,HeadJournal!$A$1:$J$890,COLUMN(HeadJournal!I$1),0)*($K2524+$L2524)/(SUMIF($A:$A,$A2524,$K:$K)+SUMIF($A:$A,$A2524,$L:$L)),0)</f>
        <v>-0.20273918806145988</v>
      </c>
      <c r="N2524" s="30">
        <f>IFERROR((VLOOKUP($A2524,HeadJournal!$A$1:$K$890,COLUMN(HeadJournal!K$1),0)-VLOOKUP($A2524,HeadJournal!$A$1:$K$890,COLUMN(HeadJournal!J$1),0))*($K2524+$L2524)/(SUMIF($A:$A,$A2524,$K:$K)+SUMIF($A:$A,$A2524,$L:$L)),0)</f>
        <v>-1.1524388586477692E-15</v>
      </c>
      <c r="O2524" s="30">
        <f>IFERROR((VLOOKUP($A2524,HeadJournal!$A$1:$L$890,COLUMN(HeadJournal!L$1),0)*($K2524+$L2524)/(SUMIF($A:$A,$A2524,$K:$K)+SUMIF($A:$A,$A2524,$L:$L)))/VLOOKUP($A2524,HeadJournal!$A$1:$L$890,COLUMN(HeadJournal!H$1),0),0)</f>
        <v>0.66402966132612407</v>
      </c>
      <c r="P2524" s="30">
        <f>IFERROR(SUM(K2524:O2524)*VLOOKUP($A2524,HeadJournal!$A$1:$L$890,COLUMN(HeadJournal!H$1),0),0)</f>
        <v>894.68519856658952</v>
      </c>
      <c r="Q2524" s="29">
        <v>1500</v>
      </c>
      <c r="R2524" s="31">
        <v>45297</v>
      </c>
      <c r="S2524" s="31" t="s">
        <v>3121</v>
      </c>
      <c r="T2524" s="95" t="str">
        <f t="shared" si="200"/>
        <v>2024 01</v>
      </c>
      <c r="U2524" s="32">
        <f t="shared" si="197"/>
        <v>605.31480143341048</v>
      </c>
      <c r="V2524" s="22">
        <f t="shared" si="198"/>
        <v>0.67656735844429883</v>
      </c>
      <c r="X2524" s="33"/>
      <c r="Y2524" s="33"/>
    </row>
    <row r="2525" spans="1:25" x14ac:dyDescent="0.2">
      <c r="A2525" s="93" t="s">
        <v>1129</v>
      </c>
      <c r="B2525" s="94" t="str">
        <f>IFERROR(VLOOKUP($A2525,HeadJournal!$A$1:$NTR$890,COLUMN(HeadJournal!B$1),0),"")</f>
        <v>720000014985</v>
      </c>
      <c r="C2525" s="94" t="str">
        <f>IFERROR(VLOOKUP($A2525,HeadJournal!$A$1:$NTR$890,COLUMN(HeadJournal!C$1),0),"")</f>
        <v>iHerb_OA CZN6870</v>
      </c>
      <c r="D2525" s="125" t="str">
        <f>IFERROR(VLOOKUP($A2525,HeadJournal!$A$1:$NTR$890,COLUMN(HeadJournal!D$1),0),"")</f>
        <v>Доставлен</v>
      </c>
      <c r="E2525" s="95">
        <f>IFERROR(VLOOKUP($A2525,HeadJournal!$A$1:$NTR$890,COLUMN(HeadJournal!G$1),0),"")</f>
        <v>45250</v>
      </c>
      <c r="F2525" s="95" t="str">
        <f t="shared" si="199"/>
        <v>2023 11</v>
      </c>
      <c r="G2525" s="96" t="s">
        <v>5</v>
      </c>
      <c r="H2525" s="160" t="str">
        <f>RIGHT(Journal!$J2525,9)</f>
        <v>RSP-00661</v>
      </c>
      <c r="I2525" s="96" t="str">
        <f t="shared" si="201"/>
        <v>RSP Nutrition</v>
      </c>
      <c r="J2525" s="97" t="s">
        <v>1132</v>
      </c>
      <c r="K2525" s="29">
        <v>15.56</v>
      </c>
      <c r="L2525" s="29">
        <v>-3.42</v>
      </c>
      <c r="M2525" s="30">
        <f>IFERROR(VLOOKUP($A2525,HeadJournal!$A$1:$J$890,COLUMN(HeadJournal!I$1),0)*($K2525+$L2525)/(SUMIF($A:$A,$A2525,$K:$K)+SUMIF($A:$A,$A2525,$L:$L)),0)</f>
        <v>-0.29797260811938536</v>
      </c>
      <c r="N2525" s="30">
        <f>IFERROR((VLOOKUP($A2525,HeadJournal!$A$1:$K$890,COLUMN(HeadJournal!K$1),0)-VLOOKUP($A2525,HeadJournal!$A$1:$K$890,COLUMN(HeadJournal!J$1),0))*($K2525+$L2525)/(SUMIF($A:$A,$A2525,$K:$K)+SUMIF($A:$A,$A2525,$L:$L)),0)</f>
        <v>-1.6937781772377625E-15</v>
      </c>
      <c r="O2525" s="30">
        <f>IFERROR((VLOOKUP($A2525,HeadJournal!$A$1:$L$890,COLUMN(HeadJournal!L$1),0)*($K2525+$L2525)/(SUMIF($A:$A,$A2525,$K:$K)+SUMIF($A:$A,$A2525,$L:$L)))/VLOOKUP($A2525,HeadJournal!$A$1:$L$890,COLUMN(HeadJournal!H$1),0),0)</f>
        <v>0.97594674194904918</v>
      </c>
      <c r="P2525" s="30">
        <f>IFERROR(SUM(K2525:O2525)*VLOOKUP($A2525,HeadJournal!$A$1:$L$890,COLUMN(HeadJournal!H$1),0),0)</f>
        <v>1314.9489480143336</v>
      </c>
      <c r="Q2525" s="29">
        <v>2300</v>
      </c>
      <c r="R2525" s="31">
        <v>45300</v>
      </c>
      <c r="S2525" s="31" t="s">
        <v>3121</v>
      </c>
      <c r="T2525" s="95" t="str">
        <f t="shared" si="200"/>
        <v>2024 01</v>
      </c>
      <c r="U2525" s="32">
        <f t="shared" si="197"/>
        <v>985.05105198566639</v>
      </c>
      <c r="V2525" s="22">
        <f t="shared" si="198"/>
        <v>0.74911733529515612</v>
      </c>
      <c r="X2525" s="33"/>
      <c r="Y2525" s="33"/>
    </row>
    <row r="2526" spans="1:25" x14ac:dyDescent="0.2">
      <c r="A2526" s="93" t="s">
        <v>1129</v>
      </c>
      <c r="B2526" s="94" t="str">
        <f>IFERROR(VLOOKUP($A2526,HeadJournal!$A$1:$NTR$890,COLUMN(HeadJournal!B$1),0),"")</f>
        <v>720000014985</v>
      </c>
      <c r="C2526" s="94" t="str">
        <f>IFERROR(VLOOKUP($A2526,HeadJournal!$A$1:$NTR$890,COLUMN(HeadJournal!C$1),0),"")</f>
        <v>iHerb_OA CZN6870</v>
      </c>
      <c r="D2526" s="125" t="str">
        <f>IFERROR(VLOOKUP($A2526,HeadJournal!$A$1:$NTR$890,COLUMN(HeadJournal!D$1),0),"")</f>
        <v>Доставлен</v>
      </c>
      <c r="E2526" s="95">
        <f>IFERROR(VLOOKUP($A2526,HeadJournal!$A$1:$NTR$890,COLUMN(HeadJournal!G$1),0),"")</f>
        <v>45250</v>
      </c>
      <c r="F2526" s="95" t="str">
        <f t="shared" si="199"/>
        <v>2023 11</v>
      </c>
      <c r="G2526" s="96" t="s">
        <v>5</v>
      </c>
      <c r="H2526" s="160" t="str">
        <f>RIGHT(Journal!$J2526,9)</f>
        <v>PMF-02105</v>
      </c>
      <c r="I2526" s="96" t="str">
        <f t="shared" si="201"/>
        <v>Primaforce</v>
      </c>
      <c r="J2526" s="97" t="s">
        <v>1133</v>
      </c>
      <c r="K2526" s="29">
        <v>16.73</v>
      </c>
      <c r="L2526" s="29">
        <v>-3.68</v>
      </c>
      <c r="M2526" s="30">
        <f>IFERROR(VLOOKUP($A2526,HeadJournal!$A$1:$J$890,COLUMN(HeadJournal!I$1),0)*($K2526+$L2526)/(SUMIF($A:$A,$A2526,$K:$K)+SUMIF($A:$A,$A2526,$L:$L)),0)</f>
        <v>-0.32030828138039363</v>
      </c>
      <c r="N2526" s="30">
        <f>IFERROR((VLOOKUP($A2526,HeadJournal!$A$1:$K$890,COLUMN(HeadJournal!K$1),0)-VLOOKUP($A2526,HeadJournal!$A$1:$K$890,COLUMN(HeadJournal!J$1),0))*($K2526+$L2526)/(SUMIF($A:$A,$A2526,$K:$K)+SUMIF($A:$A,$A2526,$L:$L)),0)</f>
        <v>-1.8207417803091271E-15</v>
      </c>
      <c r="O2526" s="30">
        <f>IFERROR((VLOOKUP($A2526,HeadJournal!$A$1:$L$890,COLUMN(HeadJournal!L$1),0)*($K2526+$L2526)/(SUMIF($A:$A,$A2526,$K:$K)+SUMIF($A:$A,$A2526,$L:$L)))/VLOOKUP($A2526,HeadJournal!$A$1:$L$890,COLUMN(HeadJournal!H$1),0),0)</f>
        <v>1.0491025520951476</v>
      </c>
      <c r="P2526" s="30">
        <f>IFERROR(SUM(K2526:O2526)*VLOOKUP($A2526,HeadJournal!$A$1:$L$890,COLUMN(HeadJournal!H$1),0),0)</f>
        <v>1413.5159614157378</v>
      </c>
      <c r="Q2526" s="29">
        <v>2400</v>
      </c>
      <c r="R2526" s="31">
        <v>45619</v>
      </c>
      <c r="S2526" s="31" t="s">
        <v>3121</v>
      </c>
      <c r="T2526" s="95" t="str">
        <f t="shared" si="200"/>
        <v>2024 11</v>
      </c>
      <c r="U2526" s="32">
        <f t="shared" si="197"/>
        <v>986.48403858426218</v>
      </c>
      <c r="V2526" s="22">
        <f t="shared" si="198"/>
        <v>0.69789380913408827</v>
      </c>
      <c r="X2526" s="33"/>
      <c r="Y2526" s="33"/>
    </row>
    <row r="2527" spans="1:25" x14ac:dyDescent="0.2">
      <c r="A2527" s="93" t="s">
        <v>1129</v>
      </c>
      <c r="B2527" s="94" t="str">
        <f>IFERROR(VLOOKUP($A2527,HeadJournal!$A$1:$NTR$890,COLUMN(HeadJournal!B$1),0),"")</f>
        <v>720000014985</v>
      </c>
      <c r="C2527" s="94" t="str">
        <f>IFERROR(VLOOKUP($A2527,HeadJournal!$A$1:$NTR$890,COLUMN(HeadJournal!C$1),0),"")</f>
        <v>iHerb_OA CZN6870</v>
      </c>
      <c r="D2527" s="125" t="str">
        <f>IFERROR(VLOOKUP($A2527,HeadJournal!$A$1:$NTR$890,COLUMN(HeadJournal!D$1),0),"")</f>
        <v>Доставлен</v>
      </c>
      <c r="E2527" s="95">
        <f>IFERROR(VLOOKUP($A2527,HeadJournal!$A$1:$NTR$890,COLUMN(HeadJournal!G$1),0),"")</f>
        <v>45250</v>
      </c>
      <c r="F2527" s="95" t="str">
        <f t="shared" si="199"/>
        <v>2023 11</v>
      </c>
      <c r="G2527" s="96" t="s">
        <v>5</v>
      </c>
      <c r="H2527" s="160" t="str">
        <f>RIGHT(Journal!$J2527,9)</f>
        <v>NWY-60192</v>
      </c>
      <c r="I2527" s="96" t="str">
        <f t="shared" si="201"/>
        <v>Nature's Way</v>
      </c>
      <c r="J2527" s="97" t="s">
        <v>1134</v>
      </c>
      <c r="K2527" s="29">
        <v>15.68</v>
      </c>
      <c r="L2527" s="29">
        <v>-3.45</v>
      </c>
      <c r="M2527" s="30">
        <f>IFERROR(VLOOKUP($A2527,HeadJournal!$A$1:$J$890,COLUMN(HeadJournal!I$1),0)*($K2527+$L2527)/(SUMIF($A:$A,$A2527,$K:$K)+SUMIF($A:$A,$A2527,$L:$L)),0)</f>
        <v>-0.30018163074959497</v>
      </c>
      <c r="N2527" s="30">
        <f>IFERROR((VLOOKUP($A2527,HeadJournal!$A$1:$K$890,COLUMN(HeadJournal!K$1),0)-VLOOKUP($A2527,HeadJournal!$A$1:$K$890,COLUMN(HeadJournal!J$1),0))*($K2527+$L2527)/(SUMIF($A:$A,$A2527,$K:$K)+SUMIF($A:$A,$A2527,$L:$L)),0)</f>
        <v>-1.7063350171019634E-15</v>
      </c>
      <c r="O2527" s="30">
        <f>IFERROR((VLOOKUP($A2527,HeadJournal!$A$1:$L$890,COLUMN(HeadJournal!L$1),0)*($K2527+$L2527)/(SUMIF($A:$A,$A2527,$K:$K)+SUMIF($A:$A,$A2527,$L:$L)))/VLOOKUP($A2527,HeadJournal!$A$1:$L$890,COLUMN(HeadJournal!H$1),0),0)</f>
        <v>0.98318193196349857</v>
      </c>
      <c r="P2527" s="30">
        <f>IFERROR(SUM(K2527:O2527)*VLOOKUP($A2527,HeadJournal!$A$1:$L$890,COLUMN(HeadJournal!H$1),0),0)</f>
        <v>1324.6973339551321</v>
      </c>
      <c r="Q2527" s="29">
        <v>2200</v>
      </c>
      <c r="R2527" s="31">
        <v>45476</v>
      </c>
      <c r="S2527" s="31" t="s">
        <v>3121</v>
      </c>
      <c r="T2527" s="95" t="str">
        <f t="shared" si="200"/>
        <v>2024 07</v>
      </c>
      <c r="U2527" s="32">
        <f t="shared" si="197"/>
        <v>875.30266604486792</v>
      </c>
      <c r="V2527" s="22">
        <f t="shared" si="198"/>
        <v>0.66075672050421341</v>
      </c>
      <c r="X2527" s="33"/>
      <c r="Y2527" s="33"/>
    </row>
    <row r="2528" spans="1:25" x14ac:dyDescent="0.2">
      <c r="A2528" s="93" t="s">
        <v>1129</v>
      </c>
      <c r="B2528" s="94" t="str">
        <f>IFERROR(VLOOKUP($A2528,HeadJournal!$A$1:$NTR$890,COLUMN(HeadJournal!B$1),0),"")</f>
        <v>720000014985</v>
      </c>
      <c r="C2528" s="94" t="str">
        <f>IFERROR(VLOOKUP($A2528,HeadJournal!$A$1:$NTR$890,COLUMN(HeadJournal!C$1),0),"")</f>
        <v>iHerb_OA CZN6870</v>
      </c>
      <c r="D2528" s="125" t="str">
        <f>IFERROR(VLOOKUP($A2528,HeadJournal!$A$1:$NTR$890,COLUMN(HeadJournal!D$1),0),"")</f>
        <v>Доставлен</v>
      </c>
      <c r="E2528" s="95">
        <f>IFERROR(VLOOKUP($A2528,HeadJournal!$A$1:$NTR$890,COLUMN(HeadJournal!G$1),0),"")</f>
        <v>45250</v>
      </c>
      <c r="F2528" s="95" t="str">
        <f t="shared" si="199"/>
        <v>2023 11</v>
      </c>
      <c r="G2528" s="96" t="s">
        <v>5</v>
      </c>
      <c r="H2528" s="160" t="str">
        <f>RIGHT(Journal!$J2528,9)</f>
        <v>NWY-60192</v>
      </c>
      <c r="I2528" s="96" t="str">
        <f t="shared" si="201"/>
        <v>Nature's Way</v>
      </c>
      <c r="J2528" s="97" t="s">
        <v>1134</v>
      </c>
      <c r="K2528" s="29">
        <v>15.68</v>
      </c>
      <c r="L2528" s="29">
        <v>-3.45</v>
      </c>
      <c r="M2528" s="30">
        <f>IFERROR(VLOOKUP($A2528,HeadJournal!$A$1:$J$890,COLUMN(HeadJournal!I$1),0)*($K2528+$L2528)/(SUMIF($A:$A,$A2528,$K:$K)+SUMIF($A:$A,$A2528,$L:$L)),0)</f>
        <v>-0.30018163074959497</v>
      </c>
      <c r="N2528" s="30">
        <f>IFERROR((VLOOKUP($A2528,HeadJournal!$A$1:$K$890,COLUMN(HeadJournal!K$1),0)-VLOOKUP($A2528,HeadJournal!$A$1:$K$890,COLUMN(HeadJournal!J$1),0))*($K2528+$L2528)/(SUMIF($A:$A,$A2528,$K:$K)+SUMIF($A:$A,$A2528,$L:$L)),0)</f>
        <v>-1.7063350171019634E-15</v>
      </c>
      <c r="O2528" s="30">
        <f>IFERROR((VLOOKUP($A2528,HeadJournal!$A$1:$L$890,COLUMN(HeadJournal!L$1),0)*($K2528+$L2528)/(SUMIF($A:$A,$A2528,$K:$K)+SUMIF($A:$A,$A2528,$L:$L)))/VLOOKUP($A2528,HeadJournal!$A$1:$L$890,COLUMN(HeadJournal!H$1),0),0)</f>
        <v>0.98318193196349857</v>
      </c>
      <c r="P2528" s="30">
        <f>IFERROR(SUM(K2528:O2528)*VLOOKUP($A2528,HeadJournal!$A$1:$L$890,COLUMN(HeadJournal!H$1),0),0)</f>
        <v>1324.6973339551321</v>
      </c>
      <c r="Q2528" s="29">
        <v>2300</v>
      </c>
      <c r="R2528" s="31">
        <v>45701</v>
      </c>
      <c r="S2528" s="31" t="s">
        <v>3121</v>
      </c>
      <c r="T2528" s="95" t="str">
        <f t="shared" si="200"/>
        <v>2025 02</v>
      </c>
      <c r="U2528" s="32">
        <f t="shared" si="197"/>
        <v>975.30266604486792</v>
      </c>
      <c r="V2528" s="22">
        <f t="shared" si="198"/>
        <v>0.73624566234531408</v>
      </c>
      <c r="X2528" s="33"/>
      <c r="Y2528" s="33"/>
    </row>
    <row r="2529" spans="1:25" x14ac:dyDescent="0.2">
      <c r="A2529" s="93" t="s">
        <v>1129</v>
      </c>
      <c r="B2529" s="94" t="str">
        <f>IFERROR(VLOOKUP($A2529,HeadJournal!$A$1:$NTR$890,COLUMN(HeadJournal!B$1),0),"")</f>
        <v>720000014985</v>
      </c>
      <c r="C2529" s="94" t="str">
        <f>IFERROR(VLOOKUP($A2529,HeadJournal!$A$1:$NTR$890,COLUMN(HeadJournal!C$1),0),"")</f>
        <v>iHerb_OA CZN6870</v>
      </c>
      <c r="D2529" s="125" t="str">
        <f>IFERROR(VLOOKUP($A2529,HeadJournal!$A$1:$NTR$890,COLUMN(HeadJournal!D$1),0),"")</f>
        <v>Доставлен</v>
      </c>
      <c r="E2529" s="95">
        <f>IFERROR(VLOOKUP($A2529,HeadJournal!$A$1:$NTR$890,COLUMN(HeadJournal!G$1),0),"")</f>
        <v>45250</v>
      </c>
      <c r="F2529" s="95" t="str">
        <f t="shared" si="199"/>
        <v>2023 11</v>
      </c>
      <c r="G2529" s="96" t="s">
        <v>5</v>
      </c>
      <c r="H2529" s="160" t="str">
        <f>RIGHT(Journal!$J2529,9)</f>
        <v>NWY-14926</v>
      </c>
      <c r="I2529" s="96" t="str">
        <f t="shared" si="201"/>
        <v>Nature's Way</v>
      </c>
      <c r="J2529" s="97" t="s">
        <v>1135</v>
      </c>
      <c r="K2529" s="29">
        <v>20.46</v>
      </c>
      <c r="L2529" s="29">
        <v>-4.5</v>
      </c>
      <c r="M2529" s="30">
        <f>IFERROR(VLOOKUP($A2529,HeadJournal!$A$1:$J$890,COLUMN(HeadJournal!I$1),0)*($K2529+$L2529)/(SUMIF($A:$A,$A2529,$K:$K)+SUMIF($A:$A,$A2529,$L:$L)),0)</f>
        <v>-0.39173334642383778</v>
      </c>
      <c r="N2529" s="30">
        <f>IFERROR((VLOOKUP($A2529,HeadJournal!$A$1:$K$890,COLUMN(HeadJournal!K$1),0)-VLOOKUP($A2529,HeadJournal!$A$1:$K$890,COLUMN(HeadJournal!J$1),0))*($K2529+$L2529)/(SUMIF($A:$A,$A2529,$K:$K)+SUMIF($A:$A,$A2529,$L:$L)),0)</f>
        <v>-2.2267462692516219E-15</v>
      </c>
      <c r="O2529" s="30">
        <f>IFERROR((VLOOKUP($A2529,HeadJournal!$A$1:$L$890,COLUMN(HeadJournal!L$1),0)*($K2529+$L2529)/(SUMIF($A:$A,$A2529,$K:$K)+SUMIF($A:$A,$A2529,$L:$L)))/VLOOKUP($A2529,HeadJournal!$A$1:$L$890,COLUMN(HeadJournal!H$1),0),0)</f>
        <v>1.2830403625623414</v>
      </c>
      <c r="P2529" s="30">
        <f>IFERROR(SUM(K2529:O2529)*VLOOKUP($A2529,HeadJournal!$A$1:$L$890,COLUMN(HeadJournal!H$1),0),0)</f>
        <v>1728.713773501546</v>
      </c>
      <c r="Q2529" s="29">
        <v>2500</v>
      </c>
      <c r="R2529" s="31">
        <v>45302</v>
      </c>
      <c r="S2529" s="31" t="s">
        <v>3121</v>
      </c>
      <c r="T2529" s="95" t="str">
        <f t="shared" si="200"/>
        <v>2024 01</v>
      </c>
      <c r="U2529" s="32">
        <f t="shared" si="197"/>
        <v>771.28622649845397</v>
      </c>
      <c r="V2529" s="22">
        <f t="shared" si="198"/>
        <v>0.44616190275166118</v>
      </c>
      <c r="X2529" s="33"/>
      <c r="Y2529" s="33"/>
    </row>
    <row r="2530" spans="1:25" x14ac:dyDescent="0.2">
      <c r="A2530" s="93" t="s">
        <v>1129</v>
      </c>
      <c r="B2530" s="94" t="str">
        <f>IFERROR(VLOOKUP($A2530,HeadJournal!$A$1:$NTR$890,COLUMN(HeadJournal!B$1),0),"")</f>
        <v>720000014985</v>
      </c>
      <c r="C2530" s="94" t="str">
        <f>IFERROR(VLOOKUP($A2530,HeadJournal!$A$1:$NTR$890,COLUMN(HeadJournal!C$1),0),"")</f>
        <v>iHerb_OA CZN6870</v>
      </c>
      <c r="D2530" s="125" t="str">
        <f>IFERROR(VLOOKUP($A2530,HeadJournal!$A$1:$NTR$890,COLUMN(HeadJournal!D$1),0),"")</f>
        <v>Доставлен</v>
      </c>
      <c r="E2530" s="95">
        <f>IFERROR(VLOOKUP($A2530,HeadJournal!$A$1:$NTR$890,COLUMN(HeadJournal!G$1),0),"")</f>
        <v>45250</v>
      </c>
      <c r="F2530" s="95" t="str">
        <f t="shared" si="199"/>
        <v>2023 11</v>
      </c>
      <c r="G2530" s="96" t="s">
        <v>5</v>
      </c>
      <c r="H2530" s="160" t="str">
        <f>RIGHT(Journal!$J2530,9)</f>
        <v>NOW-01298</v>
      </c>
      <c r="I2530" s="96" t="str">
        <f t="shared" si="201"/>
        <v>NOW Foods</v>
      </c>
      <c r="J2530" s="97" t="s">
        <v>453</v>
      </c>
      <c r="K2530" s="29">
        <v>24.24</v>
      </c>
      <c r="L2530" s="29">
        <v>-5.335</v>
      </c>
      <c r="M2530" s="30">
        <f>IFERROR(VLOOKUP($A2530,HeadJournal!$A$1:$J$890,COLUMN(HeadJournal!I$1),0)*($K2530+$L2530)/(SUMIF($A:$A,$A2530,$K:$K)+SUMIF($A:$A,$A2530,$L:$L)),0)</f>
        <v>-0.46401747582347441</v>
      </c>
      <c r="N2530" s="30">
        <f>IFERROR((VLOOKUP($A2530,HeadJournal!$A$1:$K$890,COLUMN(HeadJournal!K$1),0)-VLOOKUP($A2530,HeadJournal!$A$1:$K$890,COLUMN(HeadJournal!J$1),0))*($K2530+$L2530)/(SUMIF($A:$A,$A2530,$K:$K)+SUMIF($A:$A,$A2530,$L:$L)),0)</f>
        <v>-2.6376339736968612E-15</v>
      </c>
      <c r="O2530" s="30">
        <f>IFERROR((VLOOKUP($A2530,HeadJournal!$A$1:$L$890,COLUMN(HeadJournal!L$1),0)*($K2530+$L2530)/(SUMIF($A:$A,$A2530,$K:$K)+SUMIF($A:$A,$A2530,$L:$L)))/VLOOKUP($A2530,HeadJournal!$A$1:$L$890,COLUMN(HeadJournal!H$1),0),0)</f>
        <v>1.5197918580351542</v>
      </c>
      <c r="P2530" s="30">
        <f>IFERROR(SUM(K2530:O2530)*VLOOKUP($A2530,HeadJournal!$A$1:$L$890,COLUMN(HeadJournal!H$1),0),0)</f>
        <v>2047.7026245643308</v>
      </c>
      <c r="Q2530" s="29">
        <v>3000</v>
      </c>
      <c r="R2530" s="31">
        <v>45325</v>
      </c>
      <c r="S2530" s="31" t="s">
        <v>3121</v>
      </c>
      <c r="T2530" s="95" t="str">
        <f t="shared" si="200"/>
        <v>2024 02</v>
      </c>
      <c r="U2530" s="32">
        <f t="shared" si="197"/>
        <v>952.29737543566921</v>
      </c>
      <c r="V2530" s="22">
        <f t="shared" si="198"/>
        <v>0.46505648037555258</v>
      </c>
      <c r="X2530" s="33"/>
      <c r="Y2530" s="33"/>
    </row>
    <row r="2531" spans="1:25" x14ac:dyDescent="0.2">
      <c r="A2531" s="93" t="s">
        <v>1129</v>
      </c>
      <c r="B2531" s="94" t="str">
        <f>IFERROR(VLOOKUP($A2531,HeadJournal!$A$1:$NTR$890,COLUMN(HeadJournal!B$1),0),"")</f>
        <v>720000014985</v>
      </c>
      <c r="C2531" s="94" t="str">
        <f>IFERROR(VLOOKUP($A2531,HeadJournal!$A$1:$NTR$890,COLUMN(HeadJournal!C$1),0),"")</f>
        <v>iHerb_OA CZN6870</v>
      </c>
      <c r="D2531" s="125" t="str">
        <f>IFERROR(VLOOKUP($A2531,HeadJournal!$A$1:$NTR$890,COLUMN(HeadJournal!D$1),0),"")</f>
        <v>Доставлен</v>
      </c>
      <c r="E2531" s="95">
        <f>IFERROR(VLOOKUP($A2531,HeadJournal!$A$1:$NTR$890,COLUMN(HeadJournal!G$1),0),"")</f>
        <v>45250</v>
      </c>
      <c r="F2531" s="95" t="str">
        <f t="shared" si="199"/>
        <v>2023 11</v>
      </c>
      <c r="G2531" s="96" t="s">
        <v>5</v>
      </c>
      <c r="H2531" s="160" t="str">
        <f>RIGHT(Journal!$J2531,9)</f>
        <v>NOW-01298</v>
      </c>
      <c r="I2531" s="96" t="str">
        <f t="shared" si="201"/>
        <v>NOW Foods</v>
      </c>
      <c r="J2531" s="97" t="s">
        <v>453</v>
      </c>
      <c r="K2531" s="29">
        <v>24.24</v>
      </c>
      <c r="L2531" s="29">
        <v>-5.335</v>
      </c>
      <c r="M2531" s="30">
        <f>IFERROR(VLOOKUP($A2531,HeadJournal!$A$1:$J$890,COLUMN(HeadJournal!I$1),0)*($K2531+$L2531)/(SUMIF($A:$A,$A2531,$K:$K)+SUMIF($A:$A,$A2531,$L:$L)),0)</f>
        <v>-0.46401747582347441</v>
      </c>
      <c r="N2531" s="30">
        <f>IFERROR((VLOOKUP($A2531,HeadJournal!$A$1:$K$890,COLUMN(HeadJournal!K$1),0)-VLOOKUP($A2531,HeadJournal!$A$1:$K$890,COLUMN(HeadJournal!J$1),0))*($K2531+$L2531)/(SUMIF($A:$A,$A2531,$K:$K)+SUMIF($A:$A,$A2531,$L:$L)),0)</f>
        <v>-2.6376339736968612E-15</v>
      </c>
      <c r="O2531" s="30">
        <f>IFERROR((VLOOKUP($A2531,HeadJournal!$A$1:$L$890,COLUMN(HeadJournal!L$1),0)*($K2531+$L2531)/(SUMIF($A:$A,$A2531,$K:$K)+SUMIF($A:$A,$A2531,$L:$L)))/VLOOKUP($A2531,HeadJournal!$A$1:$L$890,COLUMN(HeadJournal!H$1),0),0)</f>
        <v>1.5197918580351542</v>
      </c>
      <c r="P2531" s="30">
        <f>IFERROR(SUM(K2531:O2531)*VLOOKUP($A2531,HeadJournal!$A$1:$L$890,COLUMN(HeadJournal!H$1),0),0)</f>
        <v>2047.7026245643308</v>
      </c>
      <c r="Q2531" s="29">
        <v>3000</v>
      </c>
      <c r="R2531" s="31">
        <v>45331</v>
      </c>
      <c r="S2531" s="31" t="s">
        <v>3121</v>
      </c>
      <c r="T2531" s="95" t="str">
        <f t="shared" si="200"/>
        <v>2024 02</v>
      </c>
      <c r="U2531" s="32">
        <f t="shared" si="197"/>
        <v>952.29737543566921</v>
      </c>
      <c r="V2531" s="22">
        <f t="shared" si="198"/>
        <v>0.46505648037555258</v>
      </c>
      <c r="X2531" s="33"/>
      <c r="Y2531" s="33"/>
    </row>
    <row r="2532" spans="1:25" x14ac:dyDescent="0.2">
      <c r="A2532" s="93" t="s">
        <v>1129</v>
      </c>
      <c r="B2532" s="94" t="str">
        <f>IFERROR(VLOOKUP($A2532,HeadJournal!$A$1:$NTR$890,COLUMN(HeadJournal!B$1),0),"")</f>
        <v>720000014985</v>
      </c>
      <c r="C2532" s="94" t="str">
        <f>IFERROR(VLOOKUP($A2532,HeadJournal!$A$1:$NTR$890,COLUMN(HeadJournal!C$1),0),"")</f>
        <v>iHerb_OA CZN6870</v>
      </c>
      <c r="D2532" s="125" t="str">
        <f>IFERROR(VLOOKUP($A2532,HeadJournal!$A$1:$NTR$890,COLUMN(HeadJournal!D$1),0),"")</f>
        <v>Доставлен</v>
      </c>
      <c r="E2532" s="95">
        <f>IFERROR(VLOOKUP($A2532,HeadJournal!$A$1:$NTR$890,COLUMN(HeadJournal!G$1),0),"")</f>
        <v>45250</v>
      </c>
      <c r="F2532" s="95" t="str">
        <f t="shared" si="199"/>
        <v>2023 11</v>
      </c>
      <c r="G2532" s="96" t="s">
        <v>6</v>
      </c>
      <c r="H2532" s="160" t="str">
        <f>RIGHT(Journal!$J2532,9)</f>
        <v>FCD-02890</v>
      </c>
      <c r="I2532" s="96" t="str">
        <f t="shared" si="201"/>
        <v>FITCODE</v>
      </c>
      <c r="J2532" s="97" t="s">
        <v>1136</v>
      </c>
      <c r="K2532" s="29">
        <v>20.03</v>
      </c>
      <c r="L2532" s="29">
        <v>-11.93</v>
      </c>
      <c r="M2532" s="30">
        <f>IFERROR(VLOOKUP($A2532,HeadJournal!$A$1:$J$890,COLUMN(HeadJournal!I$1),0)*($K2532+$L2532)/(SUMIF($A:$A,$A2532,$K:$K)+SUMIF($A:$A,$A2532,$L:$L)),0)</f>
        <v>-0.19881203671886505</v>
      </c>
      <c r="N2532" s="30">
        <f>IFERROR((VLOOKUP($A2532,HeadJournal!$A$1:$K$890,COLUMN(HeadJournal!K$1),0)-VLOOKUP($A2532,HeadJournal!$A$1:$K$890,COLUMN(HeadJournal!J$1),0))*($K2532+$L2532)/(SUMIF($A:$A,$A2532,$K:$K)+SUMIF($A:$A,$A2532,$L:$L)),0)</f>
        <v>-1.1301155877780789E-15</v>
      </c>
      <c r="O2532" s="30">
        <f>IFERROR((VLOOKUP($A2532,HeadJournal!$A$1:$L$890,COLUMN(HeadJournal!L$1),0)*($K2532+$L2532)/(SUMIF($A:$A,$A2532,$K:$K)+SUMIF($A:$A,$A2532,$L:$L)))/VLOOKUP($A2532,HeadJournal!$A$1:$L$890,COLUMN(HeadJournal!H$1),0),0)</f>
        <v>0.65116710130043642</v>
      </c>
      <c r="P2532" s="30">
        <f>IFERROR(SUM(K2532:O2532)*VLOOKUP($A2532,HeadJournal!$A$1:$L$890,COLUMN(HeadJournal!H$1),0),0)</f>
        <v>877.35473467183738</v>
      </c>
      <c r="Q2532" s="29">
        <v>2700</v>
      </c>
      <c r="R2532" s="31">
        <v>45325</v>
      </c>
      <c r="S2532" s="31" t="s">
        <v>3121</v>
      </c>
      <c r="T2532" s="95" t="str">
        <f t="shared" si="200"/>
        <v>2024 02</v>
      </c>
      <c r="U2532" s="32">
        <f t="shared" si="197"/>
        <v>1822.6452653281626</v>
      </c>
      <c r="V2532" s="22">
        <f t="shared" si="198"/>
        <v>2.0774325290555344</v>
      </c>
      <c r="X2532" s="33"/>
      <c r="Y2532" s="33"/>
    </row>
    <row r="2533" spans="1:25" x14ac:dyDescent="0.2">
      <c r="A2533" s="93" t="s">
        <v>1137</v>
      </c>
      <c r="B2533" s="94">
        <f>IFERROR(VLOOKUP($A2533,HeadJournal!$A$1:$NTR$890,COLUMN(HeadJournal!B$1),0),"")</f>
        <v>0</v>
      </c>
      <c r="C2533" s="94" t="str">
        <f>IFERROR(VLOOKUP($A2533,HeadJournal!$A$1:$NTR$890,COLUMN(HeadJournal!C$1),0),"")</f>
        <v>OZON_OA</v>
      </c>
      <c r="D2533" s="125" t="str">
        <f>IFERROR(VLOOKUP($A2533,HeadJournal!$A$1:$NTR$890,COLUMN(HeadJournal!D$1),0),"")</f>
        <v>Доставлен</v>
      </c>
      <c r="E2533" s="95">
        <f>IFERROR(VLOOKUP($A2533,HeadJournal!$A$1:$NTR$890,COLUMN(HeadJournal!G$1),0),"")</f>
        <v>45254</v>
      </c>
      <c r="F2533" s="95" t="str">
        <f t="shared" si="199"/>
        <v>2023 11</v>
      </c>
      <c r="G2533" s="96" t="s">
        <v>7</v>
      </c>
      <c r="H2533" s="160" t="str">
        <f>RIGHT(Journal!$J2533,9)</f>
        <v>615982878</v>
      </c>
      <c r="I2533" s="96" t="str">
        <f t="shared" si="201"/>
        <v>XINOXIN</v>
      </c>
      <c r="J2533" s="97" t="s">
        <v>1138</v>
      </c>
      <c r="K2533" s="29">
        <v>1765</v>
      </c>
      <c r="L2533" s="29">
        <v>0</v>
      </c>
      <c r="M2533" s="30">
        <f>IFERROR(VLOOKUP($A2533,HeadJournal!$A$1:$J$890,COLUMN(HeadJournal!I$1),0)*($K2533+$L2533)/(SUMIF($A:$A,$A2533,$K:$K)+SUMIF($A:$A,$A2533,$L:$L)),0)</f>
        <v>0</v>
      </c>
      <c r="N2533" s="30">
        <f>IFERROR((VLOOKUP($A2533,HeadJournal!$A$1:$K$890,COLUMN(HeadJournal!K$1),0)-VLOOKUP($A2533,HeadJournal!$A$1:$K$890,COLUMN(HeadJournal!J$1),0))*($K2533+$L2533)/(SUMIF($A:$A,$A2533,$K:$K)+SUMIF($A:$A,$A2533,$L:$L)),0)</f>
        <v>0</v>
      </c>
      <c r="O2533" s="30">
        <f>IFERROR((VLOOKUP($A2533,HeadJournal!$A$1:$L$890,COLUMN(HeadJournal!L$1),0)*($K2533+$L2533)/(SUMIF($A:$A,$A2533,$K:$K)+SUMIF($A:$A,$A2533,$L:$L)))/VLOOKUP($A2533,HeadJournal!$A$1:$L$890,COLUMN(HeadJournal!H$1),0),0)</f>
        <v>176.5</v>
      </c>
      <c r="P2533" s="30">
        <f>IFERROR(SUM(K2533:O2533)*VLOOKUP($A2533,HeadJournal!$A$1:$L$890,COLUMN(HeadJournal!H$1),0),0)</f>
        <v>1941.5</v>
      </c>
      <c r="Q2533" s="29">
        <v>2600</v>
      </c>
      <c r="R2533" s="31">
        <v>45264</v>
      </c>
      <c r="S2533" s="31" t="s">
        <v>3121</v>
      </c>
      <c r="T2533" s="95" t="str">
        <f t="shared" si="200"/>
        <v>2023 12</v>
      </c>
      <c r="U2533" s="32">
        <f t="shared" si="197"/>
        <v>658.5</v>
      </c>
      <c r="V2533" s="22">
        <f t="shared" si="198"/>
        <v>0.33917074426989441</v>
      </c>
      <c r="X2533" s="33"/>
      <c r="Y2533" s="33"/>
    </row>
    <row r="2534" spans="1:25" x14ac:dyDescent="0.2">
      <c r="A2534" s="93" t="s">
        <v>1137</v>
      </c>
      <c r="B2534" s="94">
        <f>IFERROR(VLOOKUP($A2534,HeadJournal!$A$1:$NTR$890,COLUMN(HeadJournal!B$1),0),"")</f>
        <v>0</v>
      </c>
      <c r="C2534" s="94" t="str">
        <f>IFERROR(VLOOKUP($A2534,HeadJournal!$A$1:$NTR$890,COLUMN(HeadJournal!C$1),0),"")</f>
        <v>OZON_OA</v>
      </c>
      <c r="D2534" s="125" t="str">
        <f>IFERROR(VLOOKUP($A2534,HeadJournal!$A$1:$NTR$890,COLUMN(HeadJournal!D$1),0),"")</f>
        <v>Доставлен</v>
      </c>
      <c r="E2534" s="95">
        <f>IFERROR(VLOOKUP($A2534,HeadJournal!$A$1:$NTR$890,COLUMN(HeadJournal!G$1),0),"")</f>
        <v>45254</v>
      </c>
      <c r="F2534" s="95" t="str">
        <f t="shared" si="199"/>
        <v>2023 11</v>
      </c>
      <c r="G2534" s="96" t="s">
        <v>7</v>
      </c>
      <c r="H2534" s="160" t="str">
        <f>RIGHT(Journal!$J2534,9)</f>
        <v>615982878</v>
      </c>
      <c r="I2534" s="96" t="str">
        <f t="shared" si="201"/>
        <v>XINOXIN</v>
      </c>
      <c r="J2534" s="97" t="s">
        <v>1138</v>
      </c>
      <c r="K2534" s="29">
        <v>1765</v>
      </c>
      <c r="L2534" s="29">
        <v>0</v>
      </c>
      <c r="M2534" s="30">
        <f>IFERROR(VLOOKUP($A2534,HeadJournal!$A$1:$J$890,COLUMN(HeadJournal!I$1),0)*($K2534+$L2534)/(SUMIF($A:$A,$A2534,$K:$K)+SUMIF($A:$A,$A2534,$L:$L)),0)</f>
        <v>0</v>
      </c>
      <c r="N2534" s="30">
        <f>IFERROR((VLOOKUP($A2534,HeadJournal!$A$1:$K$890,COLUMN(HeadJournal!K$1),0)-VLOOKUP($A2534,HeadJournal!$A$1:$K$890,COLUMN(HeadJournal!J$1),0))*($K2534+$L2534)/(SUMIF($A:$A,$A2534,$K:$K)+SUMIF($A:$A,$A2534,$L:$L)),0)</f>
        <v>0</v>
      </c>
      <c r="O2534" s="30">
        <f>IFERROR((VLOOKUP($A2534,HeadJournal!$A$1:$L$890,COLUMN(HeadJournal!L$1),0)*($K2534+$L2534)/(SUMIF($A:$A,$A2534,$K:$K)+SUMIF($A:$A,$A2534,$L:$L)))/VLOOKUP($A2534,HeadJournal!$A$1:$L$890,COLUMN(HeadJournal!H$1),0),0)</f>
        <v>176.5</v>
      </c>
      <c r="P2534" s="30">
        <f>IFERROR(SUM(K2534:O2534)*VLOOKUP($A2534,HeadJournal!$A$1:$L$890,COLUMN(HeadJournal!H$1),0),0)</f>
        <v>1941.5</v>
      </c>
      <c r="Q2534" s="29">
        <v>2600</v>
      </c>
      <c r="R2534" s="31">
        <v>45264</v>
      </c>
      <c r="S2534" s="31" t="s">
        <v>3121</v>
      </c>
      <c r="T2534" s="95" t="str">
        <f t="shared" si="200"/>
        <v>2023 12</v>
      </c>
      <c r="U2534" s="32">
        <f t="shared" si="197"/>
        <v>658.5</v>
      </c>
      <c r="V2534" s="22">
        <f t="shared" si="198"/>
        <v>0.33917074426989441</v>
      </c>
      <c r="X2534" s="33"/>
      <c r="Y2534" s="33"/>
    </row>
    <row r="2535" spans="1:25" x14ac:dyDescent="0.2">
      <c r="A2535" s="93" t="s">
        <v>1139</v>
      </c>
      <c r="B2535" s="94">
        <f>IFERROR(VLOOKUP($A2535,HeadJournal!$A$1:$NTR$890,COLUMN(HeadJournal!B$1),0),"")</f>
        <v>0</v>
      </c>
      <c r="C2535" s="94" t="str">
        <f>IFERROR(VLOOKUP($A2535,HeadJournal!$A$1:$NTR$890,COLUMN(HeadJournal!C$1),0),"")</f>
        <v>WBRS</v>
      </c>
      <c r="D2535" s="125" t="str">
        <f>IFERROR(VLOOKUP($A2535,HeadJournal!$A$1:$NTR$890,COLUMN(HeadJournal!D$1),0),"")</f>
        <v>Доставлен</v>
      </c>
      <c r="E2535" s="95">
        <f>IFERROR(VLOOKUP($A2535,HeadJournal!$A$1:$NTR$890,COLUMN(HeadJournal!G$1),0),"")</f>
        <v>45244</v>
      </c>
      <c r="F2535" s="95" t="str">
        <f t="shared" si="199"/>
        <v>2023 11</v>
      </c>
      <c r="G2535" s="96" t="s">
        <v>6</v>
      </c>
      <c r="H2535" s="160" t="str">
        <f>RIGHT(Journal!$J2535,9)</f>
        <v>187613272</v>
      </c>
      <c r="I2535" s="96" t="str">
        <f t="shared" si="201"/>
        <v>Samyun Wan</v>
      </c>
      <c r="J2535" s="97" t="s">
        <v>1140</v>
      </c>
      <c r="K2535" s="29">
        <v>877</v>
      </c>
      <c r="L2535" s="29">
        <v>0</v>
      </c>
      <c r="M2535" s="30">
        <f>IFERROR(VLOOKUP($A2535,HeadJournal!$A$1:$J$890,COLUMN(HeadJournal!I$1),0)*($K2535+$L2535)/(SUMIF($A:$A,$A2535,$K:$K)+SUMIF($A:$A,$A2535,$L:$L)),0)</f>
        <v>0</v>
      </c>
      <c r="N2535" s="30">
        <f>IFERROR((VLOOKUP($A2535,HeadJournal!$A$1:$K$890,COLUMN(HeadJournal!K$1),0)-VLOOKUP($A2535,HeadJournal!$A$1:$K$890,COLUMN(HeadJournal!J$1),0))*($K2535+$L2535)/(SUMIF($A:$A,$A2535,$K:$K)+SUMIF($A:$A,$A2535,$L:$L)),0)</f>
        <v>0</v>
      </c>
      <c r="O2535" s="30">
        <f>IFERROR((VLOOKUP($A2535,HeadJournal!$A$1:$L$890,COLUMN(HeadJournal!L$1),0)*($K2535+$L2535)/(SUMIF($A:$A,$A2535,$K:$K)+SUMIF($A:$A,$A2535,$L:$L)))/VLOOKUP($A2535,HeadJournal!$A$1:$L$890,COLUMN(HeadJournal!H$1),0),0)</f>
        <v>87.700000000000017</v>
      </c>
      <c r="P2535" s="30">
        <f>IFERROR(SUM(K2535:O2535)*VLOOKUP($A2535,HeadJournal!$A$1:$L$890,COLUMN(HeadJournal!H$1),0),0)</f>
        <v>964.7</v>
      </c>
      <c r="Q2535" s="29">
        <v>1500</v>
      </c>
      <c r="R2535" s="31">
        <v>45257</v>
      </c>
      <c r="S2535" s="31" t="s">
        <v>3121</v>
      </c>
      <c r="T2535" s="95" t="str">
        <f t="shared" si="200"/>
        <v>2023 11</v>
      </c>
      <c r="U2535" s="32">
        <f t="shared" si="197"/>
        <v>535.29999999999995</v>
      </c>
      <c r="V2535" s="22">
        <f t="shared" si="198"/>
        <v>0.55488752980201095</v>
      </c>
      <c r="X2535" s="33"/>
      <c r="Y2535" s="33"/>
    </row>
    <row r="2536" spans="1:25" x14ac:dyDescent="0.2">
      <c r="A2536" s="93" t="s">
        <v>1141</v>
      </c>
      <c r="B2536" s="94" t="str">
        <f>IFERROR(VLOOKUP($A2536,HeadJournal!$A$1:$NTR$890,COLUMN(HeadJournal!B$1),0),"")</f>
        <v>720000024990</v>
      </c>
      <c r="C2536" s="94" t="str">
        <f>IFERROR(VLOOKUP($A2536,HeadJournal!$A$1:$NTR$890,COLUMN(HeadJournal!C$1),0),"")</f>
        <v>iHerb_AV CYG0792</v>
      </c>
      <c r="D2536" s="125" t="str">
        <f>IFERROR(VLOOKUP($A2536,HeadJournal!$A$1:$NTR$890,COLUMN(HeadJournal!D$1),0),"")</f>
        <v>Доставлен</v>
      </c>
      <c r="E2536" s="95">
        <f>IFERROR(VLOOKUP($A2536,HeadJournal!$A$1:$NTR$890,COLUMN(HeadJournal!G$1),0),"")</f>
        <v>45255</v>
      </c>
      <c r="F2536" s="95" t="str">
        <f t="shared" si="199"/>
        <v>2023 11</v>
      </c>
      <c r="G2536" s="96" t="s">
        <v>5</v>
      </c>
      <c r="H2536" s="160" t="str">
        <f>RIGHT(Journal!$J2536,9)</f>
        <v> NOW00735</v>
      </c>
      <c r="I2536" s="96" t="str">
        <f t="shared" si="201"/>
        <v>NOW Foods</v>
      </c>
      <c r="J2536" s="97" t="s">
        <v>1142</v>
      </c>
      <c r="K2536" s="29">
        <v>14.97</v>
      </c>
      <c r="L2536" s="29">
        <v>-3.74</v>
      </c>
      <c r="M2536" s="30">
        <f>IFERROR(VLOOKUP($A2536,HeadJournal!$A$1:$J$890,COLUMN(HeadJournal!I$1),0)*($K2536+$L2536)/(SUMIF($A:$A,$A2536,$K:$K)+SUMIF($A:$A,$A2536,$L:$L)),0)</f>
        <v>-0.70929908814589671</v>
      </c>
      <c r="N2536" s="30">
        <f>IFERROR((VLOOKUP($A2536,HeadJournal!$A$1:$K$890,COLUMN(HeadJournal!K$1),0)-VLOOKUP($A2536,HeadJournal!$A$1:$K$890,COLUMN(HeadJournal!J$1),0))*($K2536+$L2536)/(SUMIF($A:$A,$A2536,$K:$K)+SUMIF($A:$A,$A2536,$L:$L)),0)</f>
        <v>0</v>
      </c>
      <c r="O2536" s="30">
        <f>IFERROR((VLOOKUP($A2536,HeadJournal!$A$1:$L$890,COLUMN(HeadJournal!L$1),0)*($K2536+$L2536)/(SUMIF($A:$A,$A2536,$K:$K)+SUMIF($A:$A,$A2536,$L:$L)))/VLOOKUP($A2536,HeadJournal!$A$1:$L$890,COLUMN(HeadJournal!H$1),0),0)</f>
        <v>0.49757461794397534</v>
      </c>
      <c r="P2536" s="30">
        <f>IFERROR(SUM(K2536:O2536)*VLOOKUP($A2536,HeadJournal!$A$1:$L$890,COLUMN(HeadJournal!H$1),0),0)</f>
        <v>1118.6674045592704</v>
      </c>
      <c r="Q2536" s="29">
        <v>1900</v>
      </c>
      <c r="R2536" s="31">
        <v>45296</v>
      </c>
      <c r="S2536" s="31" t="s">
        <v>3121</v>
      </c>
      <c r="T2536" s="95" t="str">
        <f t="shared" si="200"/>
        <v>2024 01</v>
      </c>
      <c r="U2536" s="32">
        <f t="shared" si="197"/>
        <v>781.33259544072962</v>
      </c>
      <c r="V2536" s="22">
        <f t="shared" si="198"/>
        <v>0.69844941602509369</v>
      </c>
      <c r="X2536" s="33"/>
      <c r="Y2536" s="33"/>
    </row>
    <row r="2537" spans="1:25" x14ac:dyDescent="0.2">
      <c r="A2537" s="93" t="s">
        <v>1141</v>
      </c>
      <c r="B2537" s="94" t="str">
        <f>IFERROR(VLOOKUP($A2537,HeadJournal!$A$1:$NTR$890,COLUMN(HeadJournal!B$1),0),"")</f>
        <v>720000024990</v>
      </c>
      <c r="C2537" s="94" t="str">
        <f>IFERROR(VLOOKUP($A2537,HeadJournal!$A$1:$NTR$890,COLUMN(HeadJournal!C$1),0),"")</f>
        <v>iHerb_AV CYG0792</v>
      </c>
      <c r="D2537" s="125" t="str">
        <f>IFERROR(VLOOKUP($A2537,HeadJournal!$A$1:$NTR$890,COLUMN(HeadJournal!D$1),0),"")</f>
        <v>Доставлен</v>
      </c>
      <c r="E2537" s="95">
        <f>IFERROR(VLOOKUP($A2537,HeadJournal!$A$1:$NTR$890,COLUMN(HeadJournal!G$1),0),"")</f>
        <v>45255</v>
      </c>
      <c r="F2537" s="95" t="str">
        <f t="shared" si="199"/>
        <v>2023 11</v>
      </c>
      <c r="G2537" s="96" t="s">
        <v>5</v>
      </c>
      <c r="H2537" s="160" t="str">
        <f>RIGHT(Journal!$J2537,9)</f>
        <v> NFS01391</v>
      </c>
      <c r="I2537" s="96" t="str">
        <f t="shared" si="201"/>
        <v>Natural Factors</v>
      </c>
      <c r="J2537" s="97" t="s">
        <v>1143</v>
      </c>
      <c r="K2537" s="29">
        <v>10.75</v>
      </c>
      <c r="L2537" s="29">
        <v>-2.69</v>
      </c>
      <c r="M2537" s="30">
        <f>IFERROR(VLOOKUP($A2537,HeadJournal!$A$1:$J$890,COLUMN(HeadJournal!I$1),0)*($K2537+$L2537)/(SUMIF($A:$A,$A2537,$K:$K)+SUMIF($A:$A,$A2537,$L:$L)),0)</f>
        <v>-0.50907841945288757</v>
      </c>
      <c r="N2537" s="30">
        <f>IFERROR((VLOOKUP($A2537,HeadJournal!$A$1:$K$890,COLUMN(HeadJournal!K$1),0)-VLOOKUP($A2537,HeadJournal!$A$1:$K$890,COLUMN(HeadJournal!J$1),0))*($K2537+$L2537)/(SUMIF($A:$A,$A2537,$K:$K)+SUMIF($A:$A,$A2537,$L:$L)),0)</f>
        <v>0</v>
      </c>
      <c r="O2537" s="30">
        <f>IFERROR((VLOOKUP($A2537,HeadJournal!$A$1:$L$890,COLUMN(HeadJournal!L$1),0)*($K2537+$L2537)/(SUMIF($A:$A,$A2537,$K:$K)+SUMIF($A:$A,$A2537,$L:$L)))/VLOOKUP($A2537,HeadJournal!$A$1:$L$890,COLUMN(HeadJournal!H$1),0),0)</f>
        <v>0.35711944974429571</v>
      </c>
      <c r="P2537" s="30">
        <f>IFERROR(SUM(K2537:O2537)*VLOOKUP($A2537,HeadJournal!$A$1:$L$890,COLUMN(HeadJournal!H$1),0),0)</f>
        <v>802.89040790273555</v>
      </c>
      <c r="Q2537" s="29">
        <v>1700</v>
      </c>
      <c r="R2537" s="31">
        <v>45559</v>
      </c>
      <c r="S2537" s="31" t="s">
        <v>3121</v>
      </c>
      <c r="T2537" s="95" t="str">
        <f t="shared" si="200"/>
        <v>2024 09</v>
      </c>
      <c r="U2537" s="32">
        <f t="shared" si="197"/>
        <v>897.10959209726445</v>
      </c>
      <c r="V2537" s="22">
        <f t="shared" si="198"/>
        <v>1.1173499935572064</v>
      </c>
      <c r="X2537" s="33"/>
      <c r="Y2537" s="33"/>
    </row>
    <row r="2538" spans="1:25" x14ac:dyDescent="0.2">
      <c r="A2538" s="93" t="s">
        <v>1141</v>
      </c>
      <c r="B2538" s="94" t="str">
        <f>IFERROR(VLOOKUP($A2538,HeadJournal!$A$1:$NTR$890,COLUMN(HeadJournal!B$1),0),"")</f>
        <v>720000024990</v>
      </c>
      <c r="C2538" s="94" t="str">
        <f>IFERROR(VLOOKUP($A2538,HeadJournal!$A$1:$NTR$890,COLUMN(HeadJournal!C$1),0),"")</f>
        <v>iHerb_AV CYG0792</v>
      </c>
      <c r="D2538" s="125" t="str">
        <f>IFERROR(VLOOKUP($A2538,HeadJournal!$A$1:$NTR$890,COLUMN(HeadJournal!D$1),0),"")</f>
        <v>Доставлен</v>
      </c>
      <c r="E2538" s="95">
        <f>IFERROR(VLOOKUP($A2538,HeadJournal!$A$1:$NTR$890,COLUMN(HeadJournal!G$1),0),"")</f>
        <v>45255</v>
      </c>
      <c r="F2538" s="95" t="str">
        <f t="shared" si="199"/>
        <v>2023 11</v>
      </c>
      <c r="G2538" s="96" t="s">
        <v>5</v>
      </c>
      <c r="H2538" s="160" t="str">
        <f>RIGHT(Journal!$J2538,9)</f>
        <v> NOW01663</v>
      </c>
      <c r="I2538" s="96" t="str">
        <f t="shared" si="201"/>
        <v>NOW Foods</v>
      </c>
      <c r="J2538" s="97" t="s">
        <v>1144</v>
      </c>
      <c r="K2538" s="29">
        <v>22.98</v>
      </c>
      <c r="L2538" s="29">
        <v>-5.7450000000000001</v>
      </c>
      <c r="M2538" s="30">
        <f>IFERROR(VLOOKUP($A2538,HeadJournal!$A$1:$J$890,COLUMN(HeadJournal!I$1),0)*($K2538+$L2538)/(SUMIF($A:$A,$A2538,$K:$K)+SUMIF($A:$A,$A2538,$L:$L)),0)</f>
        <v>-1.0885814589665654</v>
      </c>
      <c r="N2538" s="30">
        <f>IFERROR((VLOOKUP($A2538,HeadJournal!$A$1:$K$890,COLUMN(HeadJournal!K$1),0)-VLOOKUP($A2538,HeadJournal!$A$1:$K$890,COLUMN(HeadJournal!J$1),0))*($K2538+$L2538)/(SUMIF($A:$A,$A2538,$K:$K)+SUMIF($A:$A,$A2538,$L:$L)),0)</f>
        <v>0</v>
      </c>
      <c r="O2538" s="30">
        <f>IFERROR((VLOOKUP($A2538,HeadJournal!$A$1:$L$890,COLUMN(HeadJournal!L$1),0)*($K2538+$L2538)/(SUMIF($A:$A,$A2538,$K:$K)+SUMIF($A:$A,$A2538,$L:$L)))/VLOOKUP($A2538,HeadJournal!$A$1:$L$890,COLUMN(HeadJournal!H$1),0),0)</f>
        <v>0.76364190029068701</v>
      </c>
      <c r="P2538" s="30">
        <f>IFERROR(SUM(K2538:O2538)*VLOOKUP($A2538,HeadJournal!$A$1:$L$890,COLUMN(HeadJournal!H$1),0),0)</f>
        <v>1716.8506427051668</v>
      </c>
      <c r="Q2538" s="29">
        <v>2900</v>
      </c>
      <c r="R2538" s="31">
        <v>45333</v>
      </c>
      <c r="S2538" s="31" t="s">
        <v>3121</v>
      </c>
      <c r="T2538" s="95" t="str">
        <f t="shared" si="200"/>
        <v>2024 02</v>
      </c>
      <c r="U2538" s="32">
        <f t="shared" si="197"/>
        <v>1183.1493572948332</v>
      </c>
      <c r="V2538" s="22">
        <f t="shared" si="198"/>
        <v>0.68913936242619001</v>
      </c>
      <c r="X2538" s="33"/>
      <c r="Y2538" s="33"/>
    </row>
    <row r="2539" spans="1:25" x14ac:dyDescent="0.2">
      <c r="A2539" s="93" t="s">
        <v>1141</v>
      </c>
      <c r="B2539" s="94" t="str">
        <f>IFERROR(VLOOKUP($A2539,HeadJournal!$A$1:$NTR$890,COLUMN(HeadJournal!B$1),0),"")</f>
        <v>720000024990</v>
      </c>
      <c r="C2539" s="94" t="str">
        <f>IFERROR(VLOOKUP($A2539,HeadJournal!$A$1:$NTR$890,COLUMN(HeadJournal!C$1),0),"")</f>
        <v>iHerb_AV CYG0792</v>
      </c>
      <c r="D2539" s="125" t="str">
        <f>IFERROR(VLOOKUP($A2539,HeadJournal!$A$1:$NTR$890,COLUMN(HeadJournal!D$1),0),"")</f>
        <v>Доставлен</v>
      </c>
      <c r="E2539" s="95">
        <f>IFERROR(VLOOKUP($A2539,HeadJournal!$A$1:$NTR$890,COLUMN(HeadJournal!G$1),0),"")</f>
        <v>45255</v>
      </c>
      <c r="F2539" s="95" t="str">
        <f t="shared" si="199"/>
        <v>2023 11</v>
      </c>
      <c r="G2539" s="96" t="s">
        <v>5</v>
      </c>
      <c r="H2539" s="160" t="str">
        <f>RIGHT(Journal!$J2539,9)</f>
        <v> NOW01663</v>
      </c>
      <c r="I2539" s="96" t="str">
        <f t="shared" si="201"/>
        <v>NOW Foods</v>
      </c>
      <c r="J2539" s="97" t="s">
        <v>1144</v>
      </c>
      <c r="K2539" s="29">
        <v>22.98</v>
      </c>
      <c r="L2539" s="29">
        <v>-5.7450000000000001</v>
      </c>
      <c r="M2539" s="30">
        <f>IFERROR(VLOOKUP($A2539,HeadJournal!$A$1:$J$890,COLUMN(HeadJournal!I$1),0)*($K2539+$L2539)/(SUMIF($A:$A,$A2539,$K:$K)+SUMIF($A:$A,$A2539,$L:$L)),0)</f>
        <v>-1.0885814589665654</v>
      </c>
      <c r="N2539" s="30">
        <f>IFERROR((VLOOKUP($A2539,HeadJournal!$A$1:$K$890,COLUMN(HeadJournal!K$1),0)-VLOOKUP($A2539,HeadJournal!$A$1:$K$890,COLUMN(HeadJournal!J$1),0))*($K2539+$L2539)/(SUMIF($A:$A,$A2539,$K:$K)+SUMIF($A:$A,$A2539,$L:$L)),0)</f>
        <v>0</v>
      </c>
      <c r="O2539" s="30">
        <f>IFERROR((VLOOKUP($A2539,HeadJournal!$A$1:$L$890,COLUMN(HeadJournal!L$1),0)*($K2539+$L2539)/(SUMIF($A:$A,$A2539,$K:$K)+SUMIF($A:$A,$A2539,$L:$L)))/VLOOKUP($A2539,HeadJournal!$A$1:$L$890,COLUMN(HeadJournal!H$1),0),0)</f>
        <v>0.76364190029068701</v>
      </c>
      <c r="P2539" s="30">
        <f>IFERROR(SUM(K2539:O2539)*VLOOKUP($A2539,HeadJournal!$A$1:$L$890,COLUMN(HeadJournal!H$1),0),0)</f>
        <v>1716.8506427051668</v>
      </c>
      <c r="Q2539" s="29">
        <v>2900</v>
      </c>
      <c r="R2539" s="31">
        <v>45337</v>
      </c>
      <c r="S2539" s="31" t="s">
        <v>3121</v>
      </c>
      <c r="T2539" s="95" t="str">
        <f t="shared" si="200"/>
        <v>2024 02</v>
      </c>
      <c r="U2539" s="32">
        <f t="shared" si="197"/>
        <v>1183.1493572948332</v>
      </c>
      <c r="V2539" s="22">
        <f t="shared" si="198"/>
        <v>0.68913936242619001</v>
      </c>
      <c r="X2539" s="33"/>
      <c r="Y2539" s="33"/>
    </row>
    <row r="2540" spans="1:25" x14ac:dyDescent="0.2">
      <c r="A2540" s="93" t="s">
        <v>1141</v>
      </c>
      <c r="B2540" s="94" t="str">
        <f>IFERROR(VLOOKUP($A2540,HeadJournal!$A$1:$NTR$890,COLUMN(HeadJournal!B$1),0),"")</f>
        <v>720000024990</v>
      </c>
      <c r="C2540" s="94" t="str">
        <f>IFERROR(VLOOKUP($A2540,HeadJournal!$A$1:$NTR$890,COLUMN(HeadJournal!C$1),0),"")</f>
        <v>iHerb_AV CYG0792</v>
      </c>
      <c r="D2540" s="125" t="str">
        <f>IFERROR(VLOOKUP($A2540,HeadJournal!$A$1:$NTR$890,COLUMN(HeadJournal!D$1),0),"")</f>
        <v>Доставлен</v>
      </c>
      <c r="E2540" s="95">
        <f>IFERROR(VLOOKUP($A2540,HeadJournal!$A$1:$NTR$890,COLUMN(HeadJournal!G$1),0),"")</f>
        <v>45255</v>
      </c>
      <c r="F2540" s="95" t="str">
        <f t="shared" si="199"/>
        <v>2023 11</v>
      </c>
      <c r="G2540" s="96" t="s">
        <v>5</v>
      </c>
      <c r="H2540" s="160" t="str">
        <f>RIGHT(Journal!$J2540,9)</f>
        <v> NOW00367</v>
      </c>
      <c r="I2540" s="96" t="str">
        <f t="shared" si="201"/>
        <v>NOW Foods</v>
      </c>
      <c r="J2540" s="97" t="s">
        <v>1145</v>
      </c>
      <c r="K2540" s="29">
        <v>5.48</v>
      </c>
      <c r="L2540" s="29">
        <v>-1.37</v>
      </c>
      <c r="M2540" s="30">
        <f>IFERROR(VLOOKUP($A2540,HeadJournal!$A$1:$J$890,COLUMN(HeadJournal!I$1),0)*($K2540+$L2540)/(SUMIF($A:$A,$A2540,$K:$K)+SUMIF($A:$A,$A2540,$L:$L)),0)</f>
        <v>-0.25959209726443772</v>
      </c>
      <c r="N2540" s="30">
        <f>IFERROR((VLOOKUP($A2540,HeadJournal!$A$1:$K$890,COLUMN(HeadJournal!K$1),0)-VLOOKUP($A2540,HeadJournal!$A$1:$K$890,COLUMN(HeadJournal!J$1),0))*($K2540+$L2540)/(SUMIF($A:$A,$A2540,$K:$K)+SUMIF($A:$A,$A2540,$L:$L)),0)</f>
        <v>0</v>
      </c>
      <c r="O2540" s="30">
        <f>IFERROR((VLOOKUP($A2540,HeadJournal!$A$1:$L$890,COLUMN(HeadJournal!L$1),0)*($K2540+$L2540)/(SUMIF($A:$A,$A2540,$K:$K)+SUMIF($A:$A,$A2540,$L:$L)))/VLOOKUP($A2540,HeadJournal!$A$1:$L$890,COLUMN(HeadJournal!H$1),0),0)</f>
        <v>0.18210433479516816</v>
      </c>
      <c r="P2540" s="30">
        <f>IFERROR(SUM(K2540:O2540)*VLOOKUP($A2540,HeadJournal!$A$1:$L$890,COLUMN(HeadJournal!H$1),0),0)</f>
        <v>409.41433951367776</v>
      </c>
      <c r="Q2540" s="29">
        <v>900</v>
      </c>
      <c r="R2540" s="31">
        <v>45329</v>
      </c>
      <c r="S2540" s="31" t="s">
        <v>3121</v>
      </c>
      <c r="T2540" s="95" t="str">
        <f t="shared" si="200"/>
        <v>2024 02</v>
      </c>
      <c r="U2540" s="32">
        <f t="shared" si="197"/>
        <v>490.58566048632224</v>
      </c>
      <c r="V2540" s="22">
        <f t="shared" si="198"/>
        <v>1.1982620371066233</v>
      </c>
      <c r="X2540" s="33"/>
      <c r="Y2540" s="33"/>
    </row>
    <row r="2541" spans="1:25" x14ac:dyDescent="0.2">
      <c r="A2541" s="93" t="s">
        <v>1141</v>
      </c>
      <c r="B2541" s="94" t="str">
        <f>IFERROR(VLOOKUP($A2541,HeadJournal!$A$1:$NTR$890,COLUMN(HeadJournal!B$1),0),"")</f>
        <v>720000024990</v>
      </c>
      <c r="C2541" s="94" t="str">
        <f>IFERROR(VLOOKUP($A2541,HeadJournal!$A$1:$NTR$890,COLUMN(HeadJournal!C$1),0),"")</f>
        <v>iHerb_AV CYG0792</v>
      </c>
      <c r="D2541" s="125" t="str">
        <f>IFERROR(VLOOKUP($A2541,HeadJournal!$A$1:$NTR$890,COLUMN(HeadJournal!D$1),0),"")</f>
        <v>Доставлен</v>
      </c>
      <c r="E2541" s="95">
        <f>IFERROR(VLOOKUP($A2541,HeadJournal!$A$1:$NTR$890,COLUMN(HeadJournal!G$1),0),"")</f>
        <v>45255</v>
      </c>
      <c r="F2541" s="95" t="str">
        <f t="shared" si="199"/>
        <v>2023 11</v>
      </c>
      <c r="G2541" s="96" t="s">
        <v>5</v>
      </c>
      <c r="H2541" s="160" t="str">
        <f>RIGHT(Journal!$J2541,9)</f>
        <v> NOW00367</v>
      </c>
      <c r="I2541" s="96" t="str">
        <f t="shared" si="201"/>
        <v>NOW Foods</v>
      </c>
      <c r="J2541" s="97" t="s">
        <v>1145</v>
      </c>
      <c r="K2541" s="29">
        <v>5.48</v>
      </c>
      <c r="L2541" s="29">
        <v>-1.37</v>
      </c>
      <c r="M2541" s="30">
        <f>IFERROR(VLOOKUP($A2541,HeadJournal!$A$1:$J$890,COLUMN(HeadJournal!I$1),0)*($K2541+$L2541)/(SUMIF($A:$A,$A2541,$K:$K)+SUMIF($A:$A,$A2541,$L:$L)),0)</f>
        <v>-0.25959209726443772</v>
      </c>
      <c r="N2541" s="30">
        <f>IFERROR((VLOOKUP($A2541,HeadJournal!$A$1:$K$890,COLUMN(HeadJournal!K$1),0)-VLOOKUP($A2541,HeadJournal!$A$1:$K$890,COLUMN(HeadJournal!J$1),0))*($K2541+$L2541)/(SUMIF($A:$A,$A2541,$K:$K)+SUMIF($A:$A,$A2541,$L:$L)),0)</f>
        <v>0</v>
      </c>
      <c r="O2541" s="30">
        <f>IFERROR((VLOOKUP($A2541,HeadJournal!$A$1:$L$890,COLUMN(HeadJournal!L$1),0)*($K2541+$L2541)/(SUMIF($A:$A,$A2541,$K:$K)+SUMIF($A:$A,$A2541,$L:$L)))/VLOOKUP($A2541,HeadJournal!$A$1:$L$890,COLUMN(HeadJournal!H$1),0),0)</f>
        <v>0.18210433479516816</v>
      </c>
      <c r="P2541" s="30">
        <f>IFERROR(SUM(K2541:O2541)*VLOOKUP($A2541,HeadJournal!$A$1:$L$890,COLUMN(HeadJournal!H$1),0),0)</f>
        <v>409.41433951367776</v>
      </c>
      <c r="Q2541" s="29">
        <v>900</v>
      </c>
      <c r="R2541" s="31">
        <v>45329</v>
      </c>
      <c r="S2541" s="31" t="s">
        <v>3121</v>
      </c>
      <c r="T2541" s="95" t="str">
        <f t="shared" si="200"/>
        <v>2024 02</v>
      </c>
      <c r="U2541" s="32">
        <f t="shared" si="197"/>
        <v>490.58566048632224</v>
      </c>
      <c r="V2541" s="22">
        <f t="shared" si="198"/>
        <v>1.1982620371066233</v>
      </c>
      <c r="X2541" s="33"/>
      <c r="Y2541" s="33"/>
    </row>
    <row r="2542" spans="1:25" x14ac:dyDescent="0.2">
      <c r="A2542" s="93" t="s">
        <v>1141</v>
      </c>
      <c r="B2542" s="94" t="str">
        <f>IFERROR(VLOOKUP($A2542,HeadJournal!$A$1:$NTR$890,COLUMN(HeadJournal!B$1),0),"")</f>
        <v>720000024990</v>
      </c>
      <c r="C2542" s="94" t="str">
        <f>IFERROR(VLOOKUP($A2542,HeadJournal!$A$1:$NTR$890,COLUMN(HeadJournal!C$1),0),"")</f>
        <v>iHerb_AV CYG0792</v>
      </c>
      <c r="D2542" s="125" t="str">
        <f>IFERROR(VLOOKUP($A2542,HeadJournal!$A$1:$NTR$890,COLUMN(HeadJournal!D$1),0),"")</f>
        <v>Доставлен</v>
      </c>
      <c r="E2542" s="95">
        <f>IFERROR(VLOOKUP($A2542,HeadJournal!$A$1:$NTR$890,COLUMN(HeadJournal!G$1),0),"")</f>
        <v>45255</v>
      </c>
      <c r="F2542" s="95" t="str">
        <f t="shared" si="199"/>
        <v>2023 11</v>
      </c>
      <c r="G2542" s="96" t="s">
        <v>5</v>
      </c>
      <c r="H2542" s="161" t="s">
        <v>2024</v>
      </c>
      <c r="I2542" s="97" t="s">
        <v>2005</v>
      </c>
      <c r="J2542" s="97" t="s">
        <v>4140</v>
      </c>
      <c r="K2542" s="29">
        <v>18.52</v>
      </c>
      <c r="L2542" s="29">
        <v>-4.63</v>
      </c>
      <c r="M2542" s="30">
        <f>IFERROR(VLOOKUP($A2542,HeadJournal!$A$1:$J$890,COLUMN(HeadJournal!I$1),0)*($K2542+$L2542)/(SUMIF($A:$A,$A2542,$K:$K)+SUMIF($A:$A,$A2542,$L:$L)),0)</f>
        <v>-0.87730759878419462</v>
      </c>
      <c r="N2542" s="30">
        <f>IFERROR((VLOOKUP($A2542,HeadJournal!$A$1:$K$890,COLUMN(HeadJournal!K$1),0)-VLOOKUP($A2542,HeadJournal!$A$1:$K$890,COLUMN(HeadJournal!J$1),0))*($K2542+$L2542)/(SUMIF($A:$A,$A2542,$K:$K)+SUMIF($A:$A,$A2542,$L:$L)),0)</f>
        <v>0</v>
      </c>
      <c r="O2542" s="30">
        <f>IFERROR((VLOOKUP($A2542,HeadJournal!$A$1:$L$890,COLUMN(HeadJournal!L$1),0)*($K2542+$L2542)/(SUMIF($A:$A,$A2542,$K:$K)+SUMIF($A:$A,$A2542,$L:$L)))/VLOOKUP($A2542,HeadJournal!$A$1:$L$890,COLUMN(HeadJournal!H$1),0),0)</f>
        <v>0.61543289788440048</v>
      </c>
      <c r="P2542" s="30">
        <f>IFERROR(SUM(K2542:O2542)*VLOOKUP($A2542,HeadJournal!$A$1:$L$890,COLUMN(HeadJournal!H$1),0),0)</f>
        <v>1383.641162006079</v>
      </c>
      <c r="Q2542" s="29">
        <v>2600</v>
      </c>
      <c r="R2542" s="31">
        <v>45308</v>
      </c>
      <c r="S2542" s="31" t="s">
        <v>3121</v>
      </c>
      <c r="T2542" s="95" t="str">
        <f t="shared" si="200"/>
        <v>2024 01</v>
      </c>
      <c r="U2542" s="32">
        <f t="shared" si="197"/>
        <v>1216.358837993921</v>
      </c>
      <c r="V2542" s="22">
        <f t="shared" si="198"/>
        <v>0.87909992228792699</v>
      </c>
      <c r="X2542" s="33"/>
      <c r="Y2542" s="33"/>
    </row>
    <row r="2543" spans="1:25" x14ac:dyDescent="0.2">
      <c r="A2543" s="93" t="s">
        <v>1141</v>
      </c>
      <c r="B2543" s="94" t="str">
        <f>IFERROR(VLOOKUP($A2543,HeadJournal!$A$1:$NTR$890,COLUMN(HeadJournal!B$1),0),"")</f>
        <v>720000024990</v>
      </c>
      <c r="C2543" s="94" t="str">
        <f>IFERROR(VLOOKUP($A2543,HeadJournal!$A$1:$NTR$890,COLUMN(HeadJournal!C$1),0),"")</f>
        <v>iHerb_AV CYG0792</v>
      </c>
      <c r="D2543" s="125" t="str">
        <f>IFERROR(VLOOKUP($A2543,HeadJournal!$A$1:$NTR$890,COLUMN(HeadJournal!D$1),0),"")</f>
        <v>Доставлен</v>
      </c>
      <c r="E2543" s="95">
        <f>IFERROR(VLOOKUP($A2543,HeadJournal!$A$1:$NTR$890,COLUMN(HeadJournal!G$1),0),"")</f>
        <v>45255</v>
      </c>
      <c r="F2543" s="95" t="str">
        <f t="shared" si="199"/>
        <v>2023 11</v>
      </c>
      <c r="G2543" s="96" t="s">
        <v>5</v>
      </c>
      <c r="H2543" s="161" t="s">
        <v>2024</v>
      </c>
      <c r="I2543" s="97" t="s">
        <v>2005</v>
      </c>
      <c r="J2543" s="97" t="s">
        <v>4140</v>
      </c>
      <c r="K2543" s="29">
        <v>18.52</v>
      </c>
      <c r="L2543" s="29">
        <v>-4.63</v>
      </c>
      <c r="M2543" s="30">
        <f>IFERROR(VLOOKUP($A2543,HeadJournal!$A$1:$J$890,COLUMN(HeadJournal!I$1),0)*($K2543+$L2543)/(SUMIF($A:$A,$A2543,$K:$K)+SUMIF($A:$A,$A2543,$L:$L)),0)</f>
        <v>-0.87730759878419462</v>
      </c>
      <c r="N2543" s="30">
        <f>IFERROR((VLOOKUP($A2543,HeadJournal!$A$1:$K$890,COLUMN(HeadJournal!K$1),0)-VLOOKUP($A2543,HeadJournal!$A$1:$K$890,COLUMN(HeadJournal!J$1),0))*($K2543+$L2543)/(SUMIF($A:$A,$A2543,$K:$K)+SUMIF($A:$A,$A2543,$L:$L)),0)</f>
        <v>0</v>
      </c>
      <c r="O2543" s="30">
        <f>IFERROR((VLOOKUP($A2543,HeadJournal!$A$1:$L$890,COLUMN(HeadJournal!L$1),0)*($K2543+$L2543)/(SUMIF($A:$A,$A2543,$K:$K)+SUMIF($A:$A,$A2543,$L:$L)))/VLOOKUP($A2543,HeadJournal!$A$1:$L$890,COLUMN(HeadJournal!H$1),0),0)</f>
        <v>0.61543289788440048</v>
      </c>
      <c r="P2543" s="30">
        <f>IFERROR(SUM(K2543:O2543)*VLOOKUP($A2543,HeadJournal!$A$1:$L$890,COLUMN(HeadJournal!H$1),0),0)</f>
        <v>1383.641162006079</v>
      </c>
      <c r="Q2543" s="29">
        <v>2600</v>
      </c>
      <c r="R2543" s="31">
        <v>45311</v>
      </c>
      <c r="S2543" s="31" t="s">
        <v>3121</v>
      </c>
      <c r="T2543" s="95" t="str">
        <f t="shared" si="200"/>
        <v>2024 01</v>
      </c>
      <c r="U2543" s="32">
        <f t="shared" si="197"/>
        <v>1216.358837993921</v>
      </c>
      <c r="V2543" s="22">
        <f t="shared" si="198"/>
        <v>0.87909992228792699</v>
      </c>
      <c r="X2543" s="33"/>
      <c r="Y2543" s="33"/>
    </row>
    <row r="2544" spans="1:25" x14ac:dyDescent="0.2">
      <c r="A2544" s="93" t="s">
        <v>1141</v>
      </c>
      <c r="B2544" s="94" t="str">
        <f>IFERROR(VLOOKUP($A2544,HeadJournal!$A$1:$NTR$890,COLUMN(HeadJournal!B$1),0),"")</f>
        <v>720000024990</v>
      </c>
      <c r="C2544" s="94" t="str">
        <f>IFERROR(VLOOKUP($A2544,HeadJournal!$A$1:$NTR$890,COLUMN(HeadJournal!C$1),0),"")</f>
        <v>iHerb_AV CYG0792</v>
      </c>
      <c r="D2544" s="125" t="str">
        <f>IFERROR(VLOOKUP($A2544,HeadJournal!$A$1:$NTR$890,COLUMN(HeadJournal!D$1),0),"")</f>
        <v>Доставлен</v>
      </c>
      <c r="E2544" s="95">
        <f>IFERROR(VLOOKUP($A2544,HeadJournal!$A$1:$NTR$890,COLUMN(HeadJournal!G$1),0),"")</f>
        <v>45255</v>
      </c>
      <c r="F2544" s="95" t="str">
        <f t="shared" si="199"/>
        <v>2023 11</v>
      </c>
      <c r="G2544" s="96" t="s">
        <v>5</v>
      </c>
      <c r="H2544" s="160" t="str">
        <f>RIGHT(Journal!$J2544,9)</f>
        <v> NOW01298</v>
      </c>
      <c r="I2544" s="96" t="str">
        <f t="shared" si="201"/>
        <v>NOW Foods</v>
      </c>
      <c r="J2544" s="97" t="s">
        <v>1146</v>
      </c>
      <c r="K2544" s="29">
        <v>24.24</v>
      </c>
      <c r="L2544" s="29">
        <v>-6.06</v>
      </c>
      <c r="M2544" s="30">
        <f>IFERROR(VLOOKUP($A2544,HeadJournal!$A$1:$J$890,COLUMN(HeadJournal!I$1),0)*($K2544+$L2544)/(SUMIF($A:$A,$A2544,$K:$K)+SUMIF($A:$A,$A2544,$L:$L)),0)</f>
        <v>-1.1482686930091186</v>
      </c>
      <c r="N2544" s="30">
        <f>IFERROR((VLOOKUP($A2544,HeadJournal!$A$1:$K$890,COLUMN(HeadJournal!K$1),0)-VLOOKUP($A2544,HeadJournal!$A$1:$K$890,COLUMN(HeadJournal!J$1),0))*($K2544+$L2544)/(SUMIF($A:$A,$A2544,$K:$K)+SUMIF($A:$A,$A2544,$L:$L)),0)</f>
        <v>0</v>
      </c>
      <c r="O2544" s="30">
        <f>IFERROR((VLOOKUP($A2544,HeadJournal!$A$1:$L$890,COLUMN(HeadJournal!L$1),0)*($K2544+$L2544)/(SUMIF($A:$A,$A2544,$K:$K)+SUMIF($A:$A,$A2544,$L:$L)))/VLOOKUP($A2544,HeadJournal!$A$1:$L$890,COLUMN(HeadJournal!H$1),0),0)</f>
        <v>0.80551260500636424</v>
      </c>
      <c r="P2544" s="30">
        <f>IFERROR(SUM(K2544:O2544)*VLOOKUP($A2544,HeadJournal!$A$1:$L$890,COLUMN(HeadJournal!H$1),0),0)</f>
        <v>1810.9860565349541</v>
      </c>
      <c r="Q2544" s="29">
        <v>2800</v>
      </c>
      <c r="R2544" s="31">
        <v>45388</v>
      </c>
      <c r="S2544" s="31" t="s">
        <v>3121</v>
      </c>
      <c r="T2544" s="95" t="str">
        <f t="shared" si="200"/>
        <v>2024 04</v>
      </c>
      <c r="U2544" s="32">
        <f t="shared" si="197"/>
        <v>989.01394346504594</v>
      </c>
      <c r="V2544" s="22">
        <f t="shared" si="198"/>
        <v>0.54611902719857131</v>
      </c>
      <c r="X2544" s="33"/>
      <c r="Y2544" s="33"/>
    </row>
    <row r="2545" spans="1:25" x14ac:dyDescent="0.2">
      <c r="A2545" s="93" t="s">
        <v>1141</v>
      </c>
      <c r="B2545" s="94" t="str">
        <f>IFERROR(VLOOKUP($A2545,HeadJournal!$A$1:$NTR$890,COLUMN(HeadJournal!B$1),0),"")</f>
        <v>720000024990</v>
      </c>
      <c r="C2545" s="94" t="str">
        <f>IFERROR(VLOOKUP($A2545,HeadJournal!$A$1:$NTR$890,COLUMN(HeadJournal!C$1),0),"")</f>
        <v>iHerb_AV CYG0792</v>
      </c>
      <c r="D2545" s="125" t="str">
        <f>IFERROR(VLOOKUP($A2545,HeadJournal!$A$1:$NTR$890,COLUMN(HeadJournal!D$1),0),"")</f>
        <v>Доставлен</v>
      </c>
      <c r="E2545" s="95">
        <f>IFERROR(VLOOKUP($A2545,HeadJournal!$A$1:$NTR$890,COLUMN(HeadJournal!G$1),0),"")</f>
        <v>45255</v>
      </c>
      <c r="F2545" s="95" t="str">
        <f t="shared" si="199"/>
        <v>2023 11</v>
      </c>
      <c r="G2545" s="96" t="s">
        <v>5</v>
      </c>
      <c r="H2545" s="160" t="str">
        <f>RIGHT(Journal!$J2545,9)</f>
        <v> NOW01296</v>
      </c>
      <c r="I2545" s="96" t="str">
        <f t="shared" si="201"/>
        <v>NOW Foods</v>
      </c>
      <c r="J2545" s="97" t="s">
        <v>1147</v>
      </c>
      <c r="K2545" s="29">
        <v>29.43</v>
      </c>
      <c r="L2545" s="29">
        <v>-7.36</v>
      </c>
      <c r="M2545" s="30">
        <f>IFERROR(VLOOKUP($A2545,HeadJournal!$A$1:$J$890,COLUMN(HeadJournal!I$1),0)*($K2545+$L2545)/(SUMIF($A:$A,$A2545,$K:$K)+SUMIF($A:$A,$A2545,$L:$L)),0)</f>
        <v>-1.3939653495440731</v>
      </c>
      <c r="N2545" s="30">
        <f>IFERROR((VLOOKUP($A2545,HeadJournal!$A$1:$K$890,COLUMN(HeadJournal!K$1),0)-VLOOKUP($A2545,HeadJournal!$A$1:$K$890,COLUMN(HeadJournal!J$1),0))*($K2545+$L2545)/(SUMIF($A:$A,$A2545,$K:$K)+SUMIF($A:$A,$A2545,$L:$L)),0)</f>
        <v>0</v>
      </c>
      <c r="O2545" s="30">
        <f>IFERROR((VLOOKUP($A2545,HeadJournal!$A$1:$L$890,COLUMN(HeadJournal!L$1),0)*($K2545+$L2545)/(SUMIF($A:$A,$A2545,$K:$K)+SUMIF($A:$A,$A2545,$L:$L)))/VLOOKUP($A2545,HeadJournal!$A$1:$L$890,COLUMN(HeadJournal!H$1),0),0)</f>
        <v>0.9778692625132267</v>
      </c>
      <c r="P2545" s="30">
        <f>IFERROR(SUM(K2545:O2545)*VLOOKUP($A2545,HeadJournal!$A$1:$L$890,COLUMN(HeadJournal!H$1),0),0)</f>
        <v>2198.4852732522795</v>
      </c>
      <c r="Q2545" s="29">
        <v>3000</v>
      </c>
      <c r="R2545" s="31">
        <v>45332</v>
      </c>
      <c r="S2545" s="31" t="s">
        <v>3121</v>
      </c>
      <c r="T2545" s="95" t="str">
        <f t="shared" si="200"/>
        <v>2024 02</v>
      </c>
      <c r="U2545" s="32">
        <f t="shared" si="197"/>
        <v>801.51472674772049</v>
      </c>
      <c r="V2545" s="22">
        <f t="shared" si="198"/>
        <v>0.36457589072771807</v>
      </c>
      <c r="X2545" s="33"/>
      <c r="Y2545" s="33"/>
    </row>
    <row r="2546" spans="1:25" x14ac:dyDescent="0.2">
      <c r="A2546" s="93" t="s">
        <v>1141</v>
      </c>
      <c r="B2546" s="94" t="str">
        <f>IFERROR(VLOOKUP($A2546,HeadJournal!$A$1:$NTR$890,COLUMN(HeadJournal!B$1),0),"")</f>
        <v>720000024990</v>
      </c>
      <c r="C2546" s="94" t="str">
        <f>IFERROR(VLOOKUP($A2546,HeadJournal!$A$1:$NTR$890,COLUMN(HeadJournal!C$1),0),"")</f>
        <v>iHerb_AV CYG0792</v>
      </c>
      <c r="D2546" s="125" t="str">
        <f>IFERROR(VLOOKUP($A2546,HeadJournal!$A$1:$NTR$890,COLUMN(HeadJournal!D$1),0),"")</f>
        <v>Доставлен</v>
      </c>
      <c r="E2546" s="95">
        <f>IFERROR(VLOOKUP($A2546,HeadJournal!$A$1:$NTR$890,COLUMN(HeadJournal!G$1),0),"")</f>
        <v>45255</v>
      </c>
      <c r="F2546" s="95" t="str">
        <f t="shared" si="199"/>
        <v>2023 11</v>
      </c>
      <c r="G2546" s="96" t="s">
        <v>5</v>
      </c>
      <c r="H2546" s="160" t="str">
        <f>RIGHT(Journal!$J2546,9)</f>
        <v> NWY15686</v>
      </c>
      <c r="I2546" s="96" t="str">
        <f t="shared" si="201"/>
        <v>Nature's Way</v>
      </c>
      <c r="J2546" s="97" t="s">
        <v>1148</v>
      </c>
      <c r="K2546" s="29">
        <v>25.16</v>
      </c>
      <c r="L2546" s="29">
        <v>-6.29</v>
      </c>
      <c r="M2546" s="30">
        <f>IFERROR(VLOOKUP($A2546,HeadJournal!$A$1:$J$890,COLUMN(HeadJournal!I$1),0)*($K2546+$L2546)/(SUMIF($A:$A,$A2546,$K:$K)+SUMIF($A:$A,$A2546,$L:$L)),0)</f>
        <v>-1.1918498480243163</v>
      </c>
      <c r="N2546" s="30">
        <f>IFERROR((VLOOKUP($A2546,HeadJournal!$A$1:$K$890,COLUMN(HeadJournal!K$1),0)-VLOOKUP($A2546,HeadJournal!$A$1:$K$890,COLUMN(HeadJournal!J$1),0))*($K2546+$L2546)/(SUMIF($A:$A,$A2546,$K:$K)+SUMIF($A:$A,$A2546,$L:$L)),0)</f>
        <v>0</v>
      </c>
      <c r="O2546" s="30">
        <f>IFERROR((VLOOKUP($A2546,HeadJournal!$A$1:$L$890,COLUMN(HeadJournal!L$1),0)*($K2546+$L2546)/(SUMIF($A:$A,$A2546,$K:$K)+SUMIF($A:$A,$A2546,$L:$L)))/VLOOKUP($A2546,HeadJournal!$A$1:$L$890,COLUMN(HeadJournal!H$1),0),0)</f>
        <v>0.83608486559241446</v>
      </c>
      <c r="P2546" s="30">
        <f>IFERROR(SUM(K2546:O2546)*VLOOKUP($A2546,HeadJournal!$A$1:$L$890,COLUMN(HeadJournal!H$1),0),0)</f>
        <v>1879.7198507598785</v>
      </c>
      <c r="Q2546" s="29">
        <v>2800</v>
      </c>
      <c r="R2546" s="31">
        <v>45544</v>
      </c>
      <c r="S2546" s="31" t="s">
        <v>3121</v>
      </c>
      <c r="T2546" s="95" t="str">
        <f t="shared" si="200"/>
        <v>2024 09</v>
      </c>
      <c r="U2546" s="32">
        <f t="shared" si="197"/>
        <v>920.28014924012155</v>
      </c>
      <c r="V2546" s="22">
        <f t="shared" si="198"/>
        <v>0.48958367326285213</v>
      </c>
      <c r="X2546" s="33"/>
      <c r="Y2546" s="33"/>
    </row>
    <row r="2547" spans="1:25" x14ac:dyDescent="0.2">
      <c r="A2547" s="93" t="s">
        <v>1141</v>
      </c>
      <c r="B2547" s="94" t="str">
        <f>IFERROR(VLOOKUP($A2547,HeadJournal!$A$1:$NTR$890,COLUMN(HeadJournal!B$1),0),"")</f>
        <v>720000024990</v>
      </c>
      <c r="C2547" s="94" t="str">
        <f>IFERROR(VLOOKUP($A2547,HeadJournal!$A$1:$NTR$890,COLUMN(HeadJournal!C$1),0),"")</f>
        <v>iHerb_AV CYG0792</v>
      </c>
      <c r="D2547" s="125" t="str">
        <f>IFERROR(VLOOKUP($A2547,HeadJournal!$A$1:$NTR$890,COLUMN(HeadJournal!D$1),0),"")</f>
        <v>Доставлен</v>
      </c>
      <c r="E2547" s="95">
        <f>IFERROR(VLOOKUP($A2547,HeadJournal!$A$1:$NTR$890,COLUMN(HeadJournal!G$1),0),"")</f>
        <v>45255</v>
      </c>
      <c r="F2547" s="95" t="str">
        <f t="shared" si="199"/>
        <v>2023 11</v>
      </c>
      <c r="G2547" s="96" t="s">
        <v>5</v>
      </c>
      <c r="H2547" s="160" t="str">
        <f>RIGHT(Journal!$J2547,9)</f>
        <v> NOW03796</v>
      </c>
      <c r="I2547" s="96" t="str">
        <f t="shared" si="201"/>
        <v>NOW Foods</v>
      </c>
      <c r="J2547" s="97" t="s">
        <v>1149</v>
      </c>
      <c r="K2547" s="29">
        <v>24.16</v>
      </c>
      <c r="L2547" s="29">
        <v>-6.04</v>
      </c>
      <c r="M2547" s="30">
        <f>IFERROR(VLOOKUP($A2547,HeadJournal!$A$1:$J$890,COLUMN(HeadJournal!I$1),0)*($K2547+$L2547)/(SUMIF($A:$A,$A2547,$K:$K)+SUMIF($A:$A,$A2547,$L:$L)),0)</f>
        <v>-1.1444790273556231</v>
      </c>
      <c r="N2547" s="30">
        <f>IFERROR((VLOOKUP($A2547,HeadJournal!$A$1:$K$890,COLUMN(HeadJournal!K$1),0)-VLOOKUP($A2547,HeadJournal!$A$1:$K$890,COLUMN(HeadJournal!J$1),0))*($K2547+$L2547)/(SUMIF($A:$A,$A2547,$K:$K)+SUMIF($A:$A,$A2547,$L:$L)),0)</f>
        <v>0</v>
      </c>
      <c r="O2547" s="30">
        <f>IFERROR((VLOOKUP($A2547,HeadJournal!$A$1:$L$890,COLUMN(HeadJournal!L$1),0)*($K2547+$L2547)/(SUMIF($A:$A,$A2547,$K:$K)+SUMIF($A:$A,$A2547,$L:$L)))/VLOOKUP($A2547,HeadJournal!$A$1:$L$890,COLUMN(HeadJournal!H$1),0),0)</f>
        <v>0.80285414756409912</v>
      </c>
      <c r="P2547" s="30">
        <f>IFERROR(SUM(K2547:O2547)*VLOOKUP($A2547,HeadJournal!$A$1:$L$890,COLUMN(HeadJournal!H$1),0),0)</f>
        <v>1805.0092048632216</v>
      </c>
      <c r="Q2547" s="29">
        <v>3000</v>
      </c>
      <c r="R2547" s="31">
        <v>45297</v>
      </c>
      <c r="S2547" s="31" t="s">
        <v>3121</v>
      </c>
      <c r="T2547" s="95" t="str">
        <f t="shared" si="200"/>
        <v>2024 01</v>
      </c>
      <c r="U2547" s="32">
        <f t="shared" si="197"/>
        <v>1194.9907951367784</v>
      </c>
      <c r="V2547" s="22">
        <f t="shared" si="198"/>
        <v>0.66204138567112258</v>
      </c>
      <c r="X2547" s="33"/>
      <c r="Y2547" s="33"/>
    </row>
    <row r="2548" spans="1:25" x14ac:dyDescent="0.2">
      <c r="A2548" s="93" t="s">
        <v>1141</v>
      </c>
      <c r="B2548" s="94" t="str">
        <f>IFERROR(VLOOKUP($A2548,HeadJournal!$A$1:$NTR$890,COLUMN(HeadJournal!B$1),0),"")</f>
        <v>720000024990</v>
      </c>
      <c r="C2548" s="94" t="str">
        <f>IFERROR(VLOOKUP($A2548,HeadJournal!$A$1:$NTR$890,COLUMN(HeadJournal!C$1),0),"")</f>
        <v>iHerb_AV CYG0792</v>
      </c>
      <c r="D2548" s="125" t="str">
        <f>IFERROR(VLOOKUP($A2548,HeadJournal!$A$1:$NTR$890,COLUMN(HeadJournal!D$1),0),"")</f>
        <v>Доставлен</v>
      </c>
      <c r="E2548" s="95">
        <f>IFERROR(VLOOKUP($A2548,HeadJournal!$A$1:$NTR$890,COLUMN(HeadJournal!G$1),0),"")</f>
        <v>45255</v>
      </c>
      <c r="F2548" s="95" t="str">
        <f t="shared" si="199"/>
        <v>2023 11</v>
      </c>
      <c r="G2548" s="96" t="s">
        <v>5</v>
      </c>
      <c r="H2548" s="160" t="str">
        <f>RIGHT(Journal!$J2548,9)</f>
        <v> NOW04605</v>
      </c>
      <c r="I2548" s="96" t="str">
        <f t="shared" si="201"/>
        <v>NOW Foods</v>
      </c>
      <c r="J2548" s="97" t="s">
        <v>1150</v>
      </c>
      <c r="K2548" s="29">
        <v>9.18</v>
      </c>
      <c r="L2548" s="29">
        <v>-2.2999999999999998</v>
      </c>
      <c r="M2548" s="30">
        <f>IFERROR(VLOOKUP($A2548,HeadJournal!$A$1:$J$890,COLUMN(HeadJournal!I$1),0)*($K2548+$L2548)/(SUMIF($A:$A,$A2548,$K:$K)+SUMIF($A:$A,$A2548,$L:$L)),0)</f>
        <v>-0.43454832826747719</v>
      </c>
      <c r="N2548" s="30">
        <f>IFERROR((VLOOKUP($A2548,HeadJournal!$A$1:$K$890,COLUMN(HeadJournal!K$1),0)-VLOOKUP($A2548,HeadJournal!$A$1:$K$890,COLUMN(HeadJournal!J$1),0))*($K2548+$L2548)/(SUMIF($A:$A,$A2548,$K:$K)+SUMIF($A:$A,$A2548,$L:$L)),0)</f>
        <v>0</v>
      </c>
      <c r="O2548" s="30">
        <f>IFERROR((VLOOKUP($A2548,HeadJournal!$A$1:$L$890,COLUMN(HeadJournal!L$1),0)*($K2548+$L2548)/(SUMIF($A:$A,$A2548,$K:$K)+SUMIF($A:$A,$A2548,$L:$L)))/VLOOKUP($A2548,HeadJournal!$A$1:$L$890,COLUMN(HeadJournal!H$1),0),0)</f>
        <v>0.30483645337974624</v>
      </c>
      <c r="P2548" s="30">
        <f>IFERROR(SUM(K2548:O2548)*VLOOKUP($A2548,HeadJournal!$A$1:$L$890,COLUMN(HeadJournal!H$1),0),0)</f>
        <v>685.34565835866249</v>
      </c>
      <c r="Q2548" s="29">
        <v>1500</v>
      </c>
      <c r="R2548" s="31">
        <v>45297</v>
      </c>
      <c r="S2548" s="31" t="s">
        <v>3121</v>
      </c>
      <c r="T2548" s="95" t="str">
        <f t="shared" si="200"/>
        <v>2024 01</v>
      </c>
      <c r="U2548" s="32">
        <f t="shared" si="197"/>
        <v>814.65434164133751</v>
      </c>
      <c r="V2548" s="22">
        <f t="shared" si="198"/>
        <v>1.1886765921773794</v>
      </c>
      <c r="X2548" s="33"/>
      <c r="Y2548" s="33"/>
    </row>
    <row r="2549" spans="1:25" x14ac:dyDescent="0.2">
      <c r="A2549" s="93" t="s">
        <v>1141</v>
      </c>
      <c r="B2549" s="94" t="str">
        <f>IFERROR(VLOOKUP($A2549,HeadJournal!$A$1:$NTR$890,COLUMN(HeadJournal!B$1),0),"")</f>
        <v>720000024990</v>
      </c>
      <c r="C2549" s="94" t="str">
        <f>IFERROR(VLOOKUP($A2549,HeadJournal!$A$1:$NTR$890,COLUMN(HeadJournal!C$1),0),"")</f>
        <v>iHerb_AV CYG0792</v>
      </c>
      <c r="D2549" s="125" t="str">
        <f>IFERROR(VLOOKUP($A2549,HeadJournal!$A$1:$NTR$890,COLUMN(HeadJournal!D$1),0),"")</f>
        <v>Доставлен</v>
      </c>
      <c r="E2549" s="95">
        <f>IFERROR(VLOOKUP($A2549,HeadJournal!$A$1:$NTR$890,COLUMN(HeadJournal!G$1),0),"")</f>
        <v>45255</v>
      </c>
      <c r="F2549" s="95" t="str">
        <f t="shared" si="199"/>
        <v>2023 11</v>
      </c>
      <c r="G2549" s="96" t="s">
        <v>5</v>
      </c>
      <c r="H2549" s="160" t="str">
        <f>RIGHT(Journal!$J2549,9)</f>
        <v> HRM50004</v>
      </c>
      <c r="I2549" s="96" t="str">
        <f t="shared" si="201"/>
        <v>Healths Harmony</v>
      </c>
      <c r="J2549" s="97" t="s">
        <v>1151</v>
      </c>
      <c r="K2549" s="29">
        <v>14.86</v>
      </c>
      <c r="L2549" s="29">
        <v>-3.72</v>
      </c>
      <c r="M2549" s="30">
        <f>IFERROR(VLOOKUP($A2549,HeadJournal!$A$1:$J$890,COLUMN(HeadJournal!I$1),0)*($K2549+$L2549)/(SUMIF($A:$A,$A2549,$K:$K)+SUMIF($A:$A,$A2549,$L:$L)),0)</f>
        <v>-0.70361458966565349</v>
      </c>
      <c r="N2549" s="30">
        <f>IFERROR((VLOOKUP($A2549,HeadJournal!$A$1:$K$890,COLUMN(HeadJournal!K$1),0)-VLOOKUP($A2549,HeadJournal!$A$1:$K$890,COLUMN(HeadJournal!J$1),0))*($K2549+$L2549)/(SUMIF($A:$A,$A2549,$K:$K)+SUMIF($A:$A,$A2549,$L:$L)),0)</f>
        <v>0</v>
      </c>
      <c r="O2549" s="30">
        <f>IFERROR((VLOOKUP($A2549,HeadJournal!$A$1:$L$890,COLUMN(HeadJournal!L$1),0)*($K2549+$L2549)/(SUMIF($A:$A,$A2549,$K:$K)+SUMIF($A:$A,$A2549,$L:$L)))/VLOOKUP($A2549,HeadJournal!$A$1:$L$890,COLUMN(HeadJournal!H$1),0),0)</f>
        <v>0.49358693178057739</v>
      </c>
      <c r="P2549" s="30">
        <f>IFERROR(SUM(K2549:O2549)*VLOOKUP($A2549,HeadJournal!$A$1:$L$890,COLUMN(HeadJournal!H$1),0),0)</f>
        <v>1109.7021270516714</v>
      </c>
      <c r="Q2549" s="29">
        <v>2000</v>
      </c>
      <c r="R2549" s="31">
        <v>45297</v>
      </c>
      <c r="S2549" s="31" t="s">
        <v>3121</v>
      </c>
      <c r="T2549" s="95" t="str">
        <f t="shared" si="200"/>
        <v>2024 01</v>
      </c>
      <c r="U2549" s="32">
        <f t="shared" si="197"/>
        <v>890.29787294832863</v>
      </c>
      <c r="V2549" s="22">
        <f t="shared" si="198"/>
        <v>0.80228545232559823</v>
      </c>
      <c r="X2549" s="33"/>
      <c r="Y2549" s="33"/>
    </row>
    <row r="2550" spans="1:25" x14ac:dyDescent="0.2">
      <c r="A2550" s="93" t="s">
        <v>1141</v>
      </c>
      <c r="B2550" s="94" t="str">
        <f>IFERROR(VLOOKUP($A2550,HeadJournal!$A$1:$NTR$890,COLUMN(HeadJournal!B$1),0),"")</f>
        <v>720000024990</v>
      </c>
      <c r="C2550" s="94" t="str">
        <f>IFERROR(VLOOKUP($A2550,HeadJournal!$A$1:$NTR$890,COLUMN(HeadJournal!C$1),0),"")</f>
        <v>iHerb_AV CYG0792</v>
      </c>
      <c r="D2550" s="125" t="str">
        <f>IFERROR(VLOOKUP($A2550,HeadJournal!$A$1:$NTR$890,COLUMN(HeadJournal!D$1),0),"")</f>
        <v>Доставлен</v>
      </c>
      <c r="E2550" s="95">
        <f>IFERROR(VLOOKUP($A2550,HeadJournal!$A$1:$NTR$890,COLUMN(HeadJournal!G$1),0),"")</f>
        <v>45255</v>
      </c>
      <c r="F2550" s="95" t="str">
        <f t="shared" si="199"/>
        <v>2023 11</v>
      </c>
      <c r="G2550" s="96" t="s">
        <v>5</v>
      </c>
      <c r="H2550" s="160" t="str">
        <f>RIGHT(Journal!$J2550,9)</f>
        <v> NWY15692</v>
      </c>
      <c r="I2550" s="96" t="str">
        <f t="shared" si="201"/>
        <v>Nature's Way</v>
      </c>
      <c r="J2550" s="97" t="s">
        <v>1152</v>
      </c>
      <c r="K2550" s="29">
        <v>25.13</v>
      </c>
      <c r="L2550" s="29">
        <v>-6.28</v>
      </c>
      <c r="M2550" s="30">
        <f>IFERROR(VLOOKUP($A2550,HeadJournal!$A$1:$J$890,COLUMN(HeadJournal!I$1),0)*($K2550+$L2550)/(SUMIF($A:$A,$A2550,$K:$K)+SUMIF($A:$A,$A2550,$L:$L)),0)</f>
        <v>-1.1905866261398175</v>
      </c>
      <c r="N2550" s="30">
        <f>IFERROR((VLOOKUP($A2550,HeadJournal!$A$1:$K$890,COLUMN(HeadJournal!K$1),0)-VLOOKUP($A2550,HeadJournal!$A$1:$K$890,COLUMN(HeadJournal!J$1),0))*($K2550+$L2550)/(SUMIF($A:$A,$A2550,$K:$K)+SUMIF($A:$A,$A2550,$L:$L)),0)</f>
        <v>0</v>
      </c>
      <c r="O2550" s="30">
        <f>IFERROR((VLOOKUP($A2550,HeadJournal!$A$1:$L$890,COLUMN(HeadJournal!L$1),0)*($K2550+$L2550)/(SUMIF($A:$A,$A2550,$K:$K)+SUMIF($A:$A,$A2550,$L:$L)))/VLOOKUP($A2550,HeadJournal!$A$1:$L$890,COLUMN(HeadJournal!H$1),0),0)</f>
        <v>0.83519871311165916</v>
      </c>
      <c r="P2550" s="30">
        <f>IFERROR(SUM(K2550:O2550)*VLOOKUP($A2550,HeadJournal!$A$1:$L$890,COLUMN(HeadJournal!H$1),0),0)</f>
        <v>1877.7275668693003</v>
      </c>
      <c r="Q2550" s="29">
        <v>2800</v>
      </c>
      <c r="R2550" s="31">
        <v>45414</v>
      </c>
      <c r="S2550" s="31" t="s">
        <v>3121</v>
      </c>
      <c r="T2550" s="95" t="str">
        <f t="shared" si="200"/>
        <v>2024 05</v>
      </c>
      <c r="U2550" s="32">
        <f t="shared" si="197"/>
        <v>922.27243313069971</v>
      </c>
      <c r="V2550" s="22">
        <f t="shared" si="198"/>
        <v>0.49116413339363552</v>
      </c>
      <c r="X2550" s="33"/>
      <c r="Y2550" s="33"/>
    </row>
    <row r="2551" spans="1:25" x14ac:dyDescent="0.2">
      <c r="A2551" s="93" t="s">
        <v>1141</v>
      </c>
      <c r="B2551" s="94" t="str">
        <f>IFERROR(VLOOKUP($A2551,HeadJournal!$A$1:$NTR$890,COLUMN(HeadJournal!B$1),0),"")</f>
        <v>720000024990</v>
      </c>
      <c r="C2551" s="94" t="str">
        <f>IFERROR(VLOOKUP($A2551,HeadJournal!$A$1:$NTR$890,COLUMN(HeadJournal!C$1),0),"")</f>
        <v>iHerb_AV CYG0792</v>
      </c>
      <c r="D2551" s="125" t="str">
        <f>IFERROR(VLOOKUP($A2551,HeadJournal!$A$1:$NTR$890,COLUMN(HeadJournal!D$1),0),"")</f>
        <v>Доставлен</v>
      </c>
      <c r="E2551" s="95">
        <f>IFERROR(VLOOKUP($A2551,HeadJournal!$A$1:$NTR$890,COLUMN(HeadJournal!G$1),0),"")</f>
        <v>45255</v>
      </c>
      <c r="F2551" s="95" t="str">
        <f t="shared" si="199"/>
        <v>2023 11</v>
      </c>
      <c r="G2551" s="96" t="s">
        <v>5</v>
      </c>
      <c r="H2551" s="160" t="str">
        <f>RIGHT(Journal!$J2551,9)</f>
        <v> NWY15691</v>
      </c>
      <c r="I2551" s="96" t="str">
        <f t="shared" si="201"/>
        <v>Nature's Way</v>
      </c>
      <c r="J2551" s="97" t="s">
        <v>1153</v>
      </c>
      <c r="K2551" s="29">
        <v>25.13</v>
      </c>
      <c r="L2551" s="29">
        <v>-6.28</v>
      </c>
      <c r="M2551" s="30">
        <f>IFERROR(VLOOKUP($A2551,HeadJournal!$A$1:$J$890,COLUMN(HeadJournal!I$1),0)*($K2551+$L2551)/(SUMIF($A:$A,$A2551,$K:$K)+SUMIF($A:$A,$A2551,$L:$L)),0)</f>
        <v>-1.1905866261398175</v>
      </c>
      <c r="N2551" s="30">
        <f>IFERROR((VLOOKUP($A2551,HeadJournal!$A$1:$K$890,COLUMN(HeadJournal!K$1),0)-VLOOKUP($A2551,HeadJournal!$A$1:$K$890,COLUMN(HeadJournal!J$1),0))*($K2551+$L2551)/(SUMIF($A:$A,$A2551,$K:$K)+SUMIF($A:$A,$A2551,$L:$L)),0)</f>
        <v>0</v>
      </c>
      <c r="O2551" s="30">
        <f>IFERROR((VLOOKUP($A2551,HeadJournal!$A$1:$L$890,COLUMN(HeadJournal!L$1),0)*($K2551+$L2551)/(SUMIF($A:$A,$A2551,$K:$K)+SUMIF($A:$A,$A2551,$L:$L)))/VLOOKUP($A2551,HeadJournal!$A$1:$L$890,COLUMN(HeadJournal!H$1),0),0)</f>
        <v>0.83519871311165916</v>
      </c>
      <c r="P2551" s="30">
        <f>IFERROR(SUM(K2551:O2551)*VLOOKUP($A2551,HeadJournal!$A$1:$L$890,COLUMN(HeadJournal!H$1),0),0)</f>
        <v>1877.7275668693003</v>
      </c>
      <c r="Q2551" s="29">
        <v>3000</v>
      </c>
      <c r="R2551" s="31">
        <v>45319</v>
      </c>
      <c r="S2551" s="31" t="s">
        <v>3121</v>
      </c>
      <c r="T2551" s="95" t="str">
        <f t="shared" si="200"/>
        <v>2024 01</v>
      </c>
      <c r="U2551" s="32">
        <f t="shared" si="197"/>
        <v>1122.2724331306997</v>
      </c>
      <c r="V2551" s="22">
        <f t="shared" si="198"/>
        <v>0.59767585720746663</v>
      </c>
      <c r="X2551" s="33"/>
      <c r="Y2551" s="33"/>
    </row>
    <row r="2552" spans="1:25" x14ac:dyDescent="0.2">
      <c r="A2552" s="93" t="s">
        <v>1141</v>
      </c>
      <c r="B2552" s="94" t="str">
        <f>IFERROR(VLOOKUP($A2552,HeadJournal!$A$1:$NTR$890,COLUMN(HeadJournal!B$1),0),"")</f>
        <v>720000024990</v>
      </c>
      <c r="C2552" s="94" t="str">
        <f>IFERROR(VLOOKUP($A2552,HeadJournal!$A$1:$NTR$890,COLUMN(HeadJournal!C$1),0),"")</f>
        <v>iHerb_AV CYG0792</v>
      </c>
      <c r="D2552" s="125" t="str">
        <f>IFERROR(VLOOKUP($A2552,HeadJournal!$A$1:$NTR$890,COLUMN(HeadJournal!D$1),0),"")</f>
        <v>Доставлен</v>
      </c>
      <c r="E2552" s="95">
        <f>IFERROR(VLOOKUP($A2552,HeadJournal!$A$1:$NTR$890,COLUMN(HeadJournal!G$1),0),"")</f>
        <v>45255</v>
      </c>
      <c r="F2552" s="95" t="str">
        <f t="shared" si="199"/>
        <v>2023 11</v>
      </c>
      <c r="G2552" s="96" t="s">
        <v>5</v>
      </c>
      <c r="H2552" s="160" t="str">
        <f>RIGHT(Journal!$J2552,9)</f>
        <v> NWY14850</v>
      </c>
      <c r="I2552" s="96" t="str">
        <f t="shared" si="201"/>
        <v>Nature's Way</v>
      </c>
      <c r="J2552" s="97" t="s">
        <v>1154</v>
      </c>
      <c r="K2552" s="29">
        <v>38.81</v>
      </c>
      <c r="L2552" s="29">
        <v>-9.7050000000000001</v>
      </c>
      <c r="M2552" s="30">
        <f>IFERROR(VLOOKUP($A2552,HeadJournal!$A$1:$J$890,COLUMN(HeadJournal!I$1),0)*($K2552+$L2552)/(SUMIF($A:$A,$A2552,$K:$K)+SUMIF($A:$A,$A2552,$L:$L)),0)</f>
        <v>-1.8383036474164138</v>
      </c>
      <c r="N2552" s="30">
        <f>IFERROR((VLOOKUP($A2552,HeadJournal!$A$1:$K$890,COLUMN(HeadJournal!K$1),0)-VLOOKUP($A2552,HeadJournal!$A$1:$K$890,COLUMN(HeadJournal!J$1),0))*($K2552+$L2552)/(SUMIF($A:$A,$A2552,$K:$K)+SUMIF($A:$A,$A2552,$L:$L)),0)</f>
        <v>0</v>
      </c>
      <c r="O2552" s="30">
        <f>IFERROR((VLOOKUP($A2552,HeadJournal!$A$1:$L$890,COLUMN(HeadJournal!L$1),0)*($K2552+$L2552)/(SUMIF($A:$A,$A2552,$K:$K)+SUMIF($A:$A,$A2552,$L:$L)))/VLOOKUP($A2552,HeadJournal!$A$1:$L$890,COLUMN(HeadJournal!H$1),0),0)</f>
        <v>1.2895733976188248</v>
      </c>
      <c r="P2552" s="30">
        <f>IFERROR(SUM(K2552:O2552)*VLOOKUP($A2552,HeadJournal!$A$1:$L$890,COLUMN(HeadJournal!H$1),0),0)</f>
        <v>2899.2711317629178</v>
      </c>
      <c r="Q2552" s="29">
        <v>4400</v>
      </c>
      <c r="R2552" s="31">
        <v>45352</v>
      </c>
      <c r="S2552" s="31" t="s">
        <v>3121</v>
      </c>
      <c r="T2552" s="95" t="str">
        <f t="shared" si="200"/>
        <v>2024 03</v>
      </c>
      <c r="U2552" s="32">
        <f t="shared" si="197"/>
        <v>1500.7288682370822</v>
      </c>
      <c r="V2552" s="22">
        <f t="shared" si="198"/>
        <v>0.51762280933158389</v>
      </c>
      <c r="X2552" s="33"/>
      <c r="Y2552" s="33"/>
    </row>
    <row r="2553" spans="1:25" x14ac:dyDescent="0.2">
      <c r="A2553" s="93" t="s">
        <v>1141</v>
      </c>
      <c r="B2553" s="94" t="str">
        <f>IFERROR(VLOOKUP($A2553,HeadJournal!$A$1:$NTR$890,COLUMN(HeadJournal!B$1),0),"")</f>
        <v>720000024990</v>
      </c>
      <c r="C2553" s="94" t="str">
        <f>IFERROR(VLOOKUP($A2553,HeadJournal!$A$1:$NTR$890,COLUMN(HeadJournal!C$1),0),"")</f>
        <v>iHerb_AV CYG0792</v>
      </c>
      <c r="D2553" s="125" t="str">
        <f>IFERROR(VLOOKUP($A2553,HeadJournal!$A$1:$NTR$890,COLUMN(HeadJournal!D$1),0),"")</f>
        <v>Доставлен</v>
      </c>
      <c r="E2553" s="95">
        <f>IFERROR(VLOOKUP($A2553,HeadJournal!$A$1:$NTR$890,COLUMN(HeadJournal!G$1),0),"")</f>
        <v>45255</v>
      </c>
      <c r="F2553" s="95" t="str">
        <f t="shared" si="199"/>
        <v>2023 11</v>
      </c>
      <c r="G2553" s="96" t="s">
        <v>5</v>
      </c>
      <c r="H2553" s="160" t="str">
        <f>RIGHT(Journal!$J2553,9)</f>
        <v> NWY14850</v>
      </c>
      <c r="I2553" s="96" t="str">
        <f t="shared" si="201"/>
        <v>Nature's Way</v>
      </c>
      <c r="J2553" s="97" t="s">
        <v>1154</v>
      </c>
      <c r="K2553" s="29">
        <v>38.81</v>
      </c>
      <c r="L2553" s="29">
        <v>-9.7050000000000001</v>
      </c>
      <c r="M2553" s="30">
        <f>IFERROR(VLOOKUP($A2553,HeadJournal!$A$1:$J$890,COLUMN(HeadJournal!I$1),0)*($K2553+$L2553)/(SUMIF($A:$A,$A2553,$K:$K)+SUMIF($A:$A,$A2553,$L:$L)),0)</f>
        <v>-1.8383036474164138</v>
      </c>
      <c r="N2553" s="30">
        <f>IFERROR((VLOOKUP($A2553,HeadJournal!$A$1:$K$890,COLUMN(HeadJournal!K$1),0)-VLOOKUP($A2553,HeadJournal!$A$1:$K$890,COLUMN(HeadJournal!J$1),0))*($K2553+$L2553)/(SUMIF($A:$A,$A2553,$K:$K)+SUMIF($A:$A,$A2553,$L:$L)),0)</f>
        <v>0</v>
      </c>
      <c r="O2553" s="30">
        <f>IFERROR((VLOOKUP($A2553,HeadJournal!$A$1:$L$890,COLUMN(HeadJournal!L$1),0)*($K2553+$L2553)/(SUMIF($A:$A,$A2553,$K:$K)+SUMIF($A:$A,$A2553,$L:$L)))/VLOOKUP($A2553,HeadJournal!$A$1:$L$890,COLUMN(HeadJournal!H$1),0),0)</f>
        <v>1.2895733976188248</v>
      </c>
      <c r="P2553" s="30">
        <f>IFERROR(SUM(K2553:O2553)*VLOOKUP($A2553,HeadJournal!$A$1:$L$890,COLUMN(HeadJournal!H$1),0),0)</f>
        <v>2899.2711317629178</v>
      </c>
      <c r="Q2553" s="29">
        <v>4400</v>
      </c>
      <c r="R2553" s="31">
        <v>45352</v>
      </c>
      <c r="S2553" s="31" t="s">
        <v>3121</v>
      </c>
      <c r="T2553" s="95" t="str">
        <f t="shared" si="200"/>
        <v>2024 03</v>
      </c>
      <c r="U2553" s="32">
        <f t="shared" si="197"/>
        <v>1500.7288682370822</v>
      </c>
      <c r="V2553" s="22">
        <f t="shared" si="198"/>
        <v>0.51762280933158389</v>
      </c>
      <c r="X2553" s="33"/>
      <c r="Y2553" s="33"/>
    </row>
    <row r="2554" spans="1:25" x14ac:dyDescent="0.2">
      <c r="A2554" s="93" t="s">
        <v>1141</v>
      </c>
      <c r="B2554" s="94" t="str">
        <f>IFERROR(VLOOKUP($A2554,HeadJournal!$A$1:$NTR$890,COLUMN(HeadJournal!B$1),0),"")</f>
        <v>720000024990</v>
      </c>
      <c r="C2554" s="94" t="str">
        <f>IFERROR(VLOOKUP($A2554,HeadJournal!$A$1:$NTR$890,COLUMN(HeadJournal!C$1),0),"")</f>
        <v>iHerb_AV CYG0792</v>
      </c>
      <c r="D2554" s="125" t="str">
        <f>IFERROR(VLOOKUP($A2554,HeadJournal!$A$1:$NTR$890,COLUMN(HeadJournal!D$1),0),"")</f>
        <v>Доставлен</v>
      </c>
      <c r="E2554" s="95">
        <f>IFERROR(VLOOKUP($A2554,HeadJournal!$A$1:$NTR$890,COLUMN(HeadJournal!G$1),0),"")</f>
        <v>45255</v>
      </c>
      <c r="F2554" s="95" t="str">
        <f t="shared" si="199"/>
        <v>2023 11</v>
      </c>
      <c r="G2554" s="96" t="s">
        <v>5</v>
      </c>
      <c r="H2554" s="160" t="str">
        <f>RIGHT(Journal!$J2554,9)</f>
        <v> NOW02644</v>
      </c>
      <c r="I2554" s="96" t="str">
        <f t="shared" si="201"/>
        <v>NOW Foods</v>
      </c>
      <c r="J2554" s="97" t="s">
        <v>1155</v>
      </c>
      <c r="K2554" s="29">
        <v>23</v>
      </c>
      <c r="L2554" s="29">
        <v>-5.75</v>
      </c>
      <c r="M2554" s="30">
        <f>IFERROR(VLOOKUP($A2554,HeadJournal!$A$1:$J$890,COLUMN(HeadJournal!I$1),0)*($K2554+$L2554)/(SUMIF($A:$A,$A2554,$K:$K)+SUMIF($A:$A,$A2554,$L:$L)),0)</f>
        <v>-1.0895288753799393</v>
      </c>
      <c r="N2554" s="30">
        <f>IFERROR((VLOOKUP($A2554,HeadJournal!$A$1:$K$890,COLUMN(HeadJournal!K$1),0)-VLOOKUP($A2554,HeadJournal!$A$1:$K$890,COLUMN(HeadJournal!J$1),0))*($K2554+$L2554)/(SUMIF($A:$A,$A2554,$K:$K)+SUMIF($A:$A,$A2554,$L:$L)),0)</f>
        <v>0</v>
      </c>
      <c r="O2554" s="30">
        <f>IFERROR((VLOOKUP($A2554,HeadJournal!$A$1:$L$890,COLUMN(HeadJournal!L$1),0)*($K2554+$L2554)/(SUMIF($A:$A,$A2554,$K:$K)+SUMIF($A:$A,$A2554,$L:$L)))/VLOOKUP($A2554,HeadJournal!$A$1:$L$890,COLUMN(HeadJournal!H$1),0),0)</f>
        <v>0.76430651465125321</v>
      </c>
      <c r="P2554" s="30">
        <f>IFERROR(SUM(K2554:O2554)*VLOOKUP($A2554,HeadJournal!$A$1:$L$890,COLUMN(HeadJournal!H$1),0),0)</f>
        <v>1718.3448556230999</v>
      </c>
      <c r="Q2554" s="29">
        <v>2900</v>
      </c>
      <c r="R2554" s="31">
        <v>45322</v>
      </c>
      <c r="S2554" s="31" t="s">
        <v>3121</v>
      </c>
      <c r="T2554" s="95" t="str">
        <f t="shared" si="200"/>
        <v>2024 01</v>
      </c>
      <c r="U2554" s="32">
        <f t="shared" si="197"/>
        <v>1181.6551443769001</v>
      </c>
      <c r="V2554" s="22">
        <f t="shared" si="198"/>
        <v>0.68767054558929774</v>
      </c>
      <c r="X2554" s="33"/>
      <c r="Y2554" s="33"/>
    </row>
    <row r="2555" spans="1:25" x14ac:dyDescent="0.2">
      <c r="A2555" s="93" t="s">
        <v>1141</v>
      </c>
      <c r="B2555" s="94" t="str">
        <f>IFERROR(VLOOKUP($A2555,HeadJournal!$A$1:$NTR$890,COLUMN(HeadJournal!B$1),0),"")</f>
        <v>720000024990</v>
      </c>
      <c r="C2555" s="94" t="str">
        <f>IFERROR(VLOOKUP($A2555,HeadJournal!$A$1:$NTR$890,COLUMN(HeadJournal!C$1),0),"")</f>
        <v>iHerb_AV CYG0792</v>
      </c>
      <c r="D2555" s="125" t="str">
        <f>IFERROR(VLOOKUP($A2555,HeadJournal!$A$1:$NTR$890,COLUMN(HeadJournal!D$1),0),"")</f>
        <v>Доставлен</v>
      </c>
      <c r="E2555" s="95">
        <f>IFERROR(VLOOKUP($A2555,HeadJournal!$A$1:$NTR$890,COLUMN(HeadJournal!G$1),0),"")</f>
        <v>45255</v>
      </c>
      <c r="F2555" s="95" t="str">
        <f t="shared" si="199"/>
        <v>2023 11</v>
      </c>
      <c r="G2555" s="96" t="s">
        <v>6</v>
      </c>
      <c r="H2555" s="160" t="str">
        <f>RIGHT(Journal!$J2555,9)</f>
        <v> MSC60676</v>
      </c>
      <c r="I2555" s="96" t="str">
        <f t="shared" si="201"/>
        <v>MuscleTech</v>
      </c>
      <c r="J2555" s="97" t="s">
        <v>1156</v>
      </c>
      <c r="K2555" s="29">
        <v>31.09</v>
      </c>
      <c r="L2555" s="29">
        <v>-7.77</v>
      </c>
      <c r="M2555" s="30">
        <f>IFERROR(VLOOKUP($A2555,HeadJournal!$A$1:$J$890,COLUMN(HeadJournal!I$1),0)*($K2555+$L2555)/(SUMIF($A:$A,$A2555,$K:$K)+SUMIF($A:$A,$A2555,$L:$L)),0)</f>
        <v>-1.472916717325228</v>
      </c>
      <c r="N2555" s="30">
        <f>IFERROR((VLOOKUP($A2555,HeadJournal!$A$1:$K$890,COLUMN(HeadJournal!K$1),0)-VLOOKUP($A2555,HeadJournal!$A$1:$K$890,COLUMN(HeadJournal!J$1),0))*($K2555+$L2555)/(SUMIF($A:$A,$A2555,$K:$K)+SUMIF($A:$A,$A2555,$L:$L)),0)</f>
        <v>0</v>
      </c>
      <c r="O2555" s="30">
        <f>IFERROR((VLOOKUP($A2555,HeadJournal!$A$1:$L$890,COLUMN(HeadJournal!L$1),0)*($K2555+$L2555)/(SUMIF($A:$A,$A2555,$K:$K)+SUMIF($A:$A,$A2555,$L:$L)))/VLOOKUP($A2555,HeadJournal!$A$1:$L$890,COLUMN(HeadJournal!H$1),0),0)</f>
        <v>1.0332537925604188</v>
      </c>
      <c r="P2555" s="30">
        <f>IFERROR(SUM(K2555:O2555)*VLOOKUP($A2555,HeadJournal!$A$1:$L$890,COLUMN(HeadJournal!H$1),0),0)</f>
        <v>2323.0030164133736</v>
      </c>
      <c r="Q2555" s="29">
        <v>3700</v>
      </c>
      <c r="R2555" s="31">
        <v>45300</v>
      </c>
      <c r="S2555" s="31" t="s">
        <v>3121</v>
      </c>
      <c r="T2555" s="95" t="str">
        <f t="shared" si="200"/>
        <v>2024 01</v>
      </c>
      <c r="U2555" s="32">
        <f t="shared" si="197"/>
        <v>1376.9969835866264</v>
      </c>
      <c r="V2555" s="22">
        <f t="shared" si="198"/>
        <v>0.59276590424435016</v>
      </c>
      <c r="X2555" s="33"/>
      <c r="Y2555" s="33"/>
    </row>
    <row r="2556" spans="1:25" x14ac:dyDescent="0.2">
      <c r="A2556" s="93" t="s">
        <v>1141</v>
      </c>
      <c r="B2556" s="94" t="str">
        <f>IFERROR(VLOOKUP($A2556,HeadJournal!$A$1:$NTR$890,COLUMN(HeadJournal!B$1),0),"")</f>
        <v>720000024990</v>
      </c>
      <c r="C2556" s="94" t="str">
        <f>IFERROR(VLOOKUP($A2556,HeadJournal!$A$1:$NTR$890,COLUMN(HeadJournal!C$1),0),"")</f>
        <v>iHerb_AV CYG0792</v>
      </c>
      <c r="D2556" s="125" t="str">
        <f>IFERROR(VLOOKUP($A2556,HeadJournal!$A$1:$NTR$890,COLUMN(HeadJournal!D$1),0),"")</f>
        <v>Доставлен</v>
      </c>
      <c r="E2556" s="95">
        <f>IFERROR(VLOOKUP($A2556,HeadJournal!$A$1:$NTR$890,COLUMN(HeadJournal!G$1),0),"")</f>
        <v>45255</v>
      </c>
      <c r="F2556" s="95" t="str">
        <f t="shared" si="199"/>
        <v>2023 11</v>
      </c>
      <c r="G2556" s="96" t="s">
        <v>7</v>
      </c>
      <c r="H2556" s="160" t="str">
        <f>RIGHT(Journal!$J2556,9)</f>
        <v> TGY38090</v>
      </c>
      <c r="I2556" s="96" t="str">
        <f t="shared" si="201"/>
        <v>Trilogy</v>
      </c>
      <c r="J2556" s="97" t="s">
        <v>1157</v>
      </c>
      <c r="K2556" s="29">
        <v>6.5</v>
      </c>
      <c r="L2556" s="29">
        <v>-3.6</v>
      </c>
      <c r="M2556" s="30">
        <f>IFERROR(VLOOKUP($A2556,HeadJournal!$A$1:$J$890,COLUMN(HeadJournal!I$1),0)*($K2556+$L2556)/(SUMIF($A:$A,$A2556,$K:$K)+SUMIF($A:$A,$A2556,$L:$L)),0)</f>
        <v>-0.18316717325227963</v>
      </c>
      <c r="N2556" s="30">
        <f>IFERROR((VLOOKUP($A2556,HeadJournal!$A$1:$K$890,COLUMN(HeadJournal!K$1),0)-VLOOKUP($A2556,HeadJournal!$A$1:$K$890,COLUMN(HeadJournal!J$1),0))*($K2556+$L2556)/(SUMIF($A:$A,$A2556,$K:$K)+SUMIF($A:$A,$A2556,$L:$L)),0)</f>
        <v>0</v>
      </c>
      <c r="O2556" s="30">
        <f>IFERROR((VLOOKUP($A2556,HeadJournal!$A$1:$L$890,COLUMN(HeadJournal!L$1),0)*($K2556+$L2556)/(SUMIF($A:$A,$A2556,$K:$K)+SUMIF($A:$A,$A2556,$L:$L)))/VLOOKUP($A2556,HeadJournal!$A$1:$L$890,COLUMN(HeadJournal!H$1),0),0)</f>
        <v>0.12849210970948605</v>
      </c>
      <c r="P2556" s="30">
        <f>IFERROR(SUM(K2556:O2556)*VLOOKUP($A2556,HeadJournal!$A$1:$L$890,COLUMN(HeadJournal!H$1),0),0)</f>
        <v>288.88116413373854</v>
      </c>
      <c r="Q2556" s="29"/>
      <c r="R2556" s="31"/>
      <c r="S2556" s="31"/>
      <c r="T2556" s="95" t="str">
        <f t="shared" si="200"/>
        <v/>
      </c>
      <c r="U2556" s="32">
        <f t="shared" si="197"/>
        <v>-288.88116413373854</v>
      </c>
      <c r="V2556" s="22" t="str">
        <f t="shared" si="198"/>
        <v/>
      </c>
      <c r="X2556" s="33"/>
      <c r="Y2556" s="33"/>
    </row>
    <row r="2557" spans="1:25" x14ac:dyDescent="0.2">
      <c r="A2557" s="93" t="s">
        <v>1141</v>
      </c>
      <c r="B2557" s="94" t="str">
        <f>IFERROR(VLOOKUP($A2557,HeadJournal!$A$1:$NTR$890,COLUMN(HeadJournal!B$1),0),"")</f>
        <v>720000024990</v>
      </c>
      <c r="C2557" s="94" t="str">
        <f>IFERROR(VLOOKUP($A2557,HeadJournal!$A$1:$NTR$890,COLUMN(HeadJournal!C$1),0),"")</f>
        <v>iHerb_AV CYG0792</v>
      </c>
      <c r="D2557" s="125" t="str">
        <f>IFERROR(VLOOKUP($A2557,HeadJournal!$A$1:$NTR$890,COLUMN(HeadJournal!D$1),0),"")</f>
        <v>Доставлен</v>
      </c>
      <c r="E2557" s="95">
        <f>IFERROR(VLOOKUP($A2557,HeadJournal!$A$1:$NTR$890,COLUMN(HeadJournal!G$1),0),"")</f>
        <v>45255</v>
      </c>
      <c r="F2557" s="95" t="str">
        <f t="shared" si="199"/>
        <v>2023 11</v>
      </c>
      <c r="G2557" s="96" t="s">
        <v>5</v>
      </c>
      <c r="H2557" s="161" t="s">
        <v>2174</v>
      </c>
      <c r="I2557" s="97" t="s">
        <v>2005</v>
      </c>
      <c r="J2557" s="97" t="s">
        <v>2175</v>
      </c>
      <c r="K2557" s="29">
        <v>6.14</v>
      </c>
      <c r="L2557" s="29">
        <v>-1.54</v>
      </c>
      <c r="M2557" s="30">
        <f>IFERROR(VLOOKUP($A2557,HeadJournal!$A$1:$J$890,COLUMN(HeadJournal!I$1),0)*($K2557+$L2557)/(SUMIF($A:$A,$A2557,$K:$K)+SUMIF($A:$A,$A2557,$L:$L)),0)</f>
        <v>-0.29054103343465043</v>
      </c>
      <c r="N2557" s="30">
        <f>IFERROR((VLOOKUP($A2557,HeadJournal!$A$1:$K$890,COLUMN(HeadJournal!K$1),0)-VLOOKUP($A2557,HeadJournal!$A$1:$K$890,COLUMN(HeadJournal!J$1),0))*($K2557+$L2557)/(SUMIF($A:$A,$A2557,$K:$K)+SUMIF($A:$A,$A2557,$L:$L)),0)</f>
        <v>0</v>
      </c>
      <c r="O2557" s="30">
        <f>IFERROR((VLOOKUP($A2557,HeadJournal!$A$1:$L$890,COLUMN(HeadJournal!L$1),0)*($K2557+$L2557)/(SUMIF($A:$A,$A2557,$K:$K)+SUMIF($A:$A,$A2557,$L:$L)))/VLOOKUP($A2557,HeadJournal!$A$1:$L$890,COLUMN(HeadJournal!H$1),0),0)</f>
        <v>0.20381507057366752</v>
      </c>
      <c r="P2557" s="30">
        <f>IFERROR(SUM(K2557:O2557)*VLOOKUP($A2557,HeadJournal!$A$1:$L$890,COLUMN(HeadJournal!H$1),0),0)</f>
        <v>458.22529483282659</v>
      </c>
      <c r="Q2557" s="29">
        <v>458.23</v>
      </c>
      <c r="R2557" s="31">
        <v>45189</v>
      </c>
      <c r="S2557" s="31" t="s">
        <v>3121</v>
      </c>
      <c r="T2557" s="95" t="str">
        <f t="shared" si="200"/>
        <v>2023 09</v>
      </c>
      <c r="U2557" s="32">
        <f t="shared" si="197"/>
        <v>4.7051671734266165E-3</v>
      </c>
      <c r="V2557" s="22">
        <f t="shared" si="198"/>
        <v>1.0268239720688474E-5</v>
      </c>
      <c r="X2557" s="33"/>
      <c r="Y2557" s="33"/>
    </row>
    <row r="2558" spans="1:25" x14ac:dyDescent="0.2">
      <c r="A2558" s="93" t="s">
        <v>1158</v>
      </c>
      <c r="B2558" s="94" t="str">
        <f>IFERROR(VLOOKUP($A2558,HeadJournal!$A$1:$NTR$890,COLUMN(HeadJournal!B$1),0),"")</f>
        <v>720000032862</v>
      </c>
      <c r="C2558" s="94" t="str">
        <f>IFERROR(VLOOKUP($A2558,HeadJournal!$A$1:$NTR$890,COLUMN(HeadJournal!C$1),0),"")</f>
        <v>iHerb_MH DLE7202</v>
      </c>
      <c r="D2558" s="125" t="str">
        <f>IFERROR(VLOOKUP($A2558,HeadJournal!$A$1:$NTR$890,COLUMN(HeadJournal!D$1),0),"")</f>
        <v>Доставлен</v>
      </c>
      <c r="E2558" s="95">
        <f>IFERROR(VLOOKUP($A2558,HeadJournal!$A$1:$NTR$890,COLUMN(HeadJournal!G$1),0),"")</f>
        <v>45259</v>
      </c>
      <c r="F2558" s="95" t="str">
        <f t="shared" si="199"/>
        <v>2023 11</v>
      </c>
      <c r="G2558" s="96" t="s">
        <v>6</v>
      </c>
      <c r="H2558" s="160" t="str">
        <f>RIGHT(Journal!$J2558,9)</f>
        <v> MSC60676</v>
      </c>
      <c r="I2558" s="96" t="str">
        <f t="shared" si="201"/>
        <v>MuscleTech</v>
      </c>
      <c r="J2558" s="97" t="s">
        <v>1156</v>
      </c>
      <c r="K2558" s="29">
        <v>31.09</v>
      </c>
      <c r="L2558" s="29">
        <v>-9.33</v>
      </c>
      <c r="M2558" s="30">
        <f>IFERROR(VLOOKUP($A2558,HeadJournal!$A$1:$J$890,COLUMN(HeadJournal!I$1),0)*($K2558+$L2558)/(SUMIF($A:$A,$A2558,$K:$K)+SUMIF($A:$A,$A2558,$L:$L)),0)</f>
        <v>-1.2940185341196293</v>
      </c>
      <c r="N2558" s="30">
        <f>IFERROR((VLOOKUP($A2558,HeadJournal!$A$1:$K$890,COLUMN(HeadJournal!K$1),0)-VLOOKUP($A2558,HeadJournal!$A$1:$K$890,COLUMN(HeadJournal!J$1),0))*($K2558+$L2558)/(SUMIF($A:$A,$A2558,$K:$K)+SUMIF($A:$A,$A2558,$L:$L)),0)</f>
        <v>-3.0648515645254526E-15</v>
      </c>
      <c r="O2558" s="30">
        <f>IFERROR((VLOOKUP($A2558,HeadJournal!$A$1:$L$890,COLUMN(HeadJournal!L$1),0)*($K2558+$L2558)/(SUMIF($A:$A,$A2558,$K:$K)+SUMIF($A:$A,$A2558,$L:$L)))/VLOOKUP($A2558,HeadJournal!$A$1:$L$890,COLUMN(HeadJournal!H$1),0),0)</f>
        <v>1.5727041355741007</v>
      </c>
      <c r="P2558" s="30">
        <f>IFERROR(SUM(K2558:O2558)*VLOOKUP($A2558,HeadJournal!$A$1:$L$890,COLUMN(HeadJournal!H$1),0),0)</f>
        <v>2236.4522325189541</v>
      </c>
      <c r="Q2558" s="29">
        <v>3700</v>
      </c>
      <c r="R2558" s="31">
        <v>45528</v>
      </c>
      <c r="S2558" s="31" t="s">
        <v>3121</v>
      </c>
      <c r="T2558" s="95" t="str">
        <f t="shared" si="200"/>
        <v>2024 08</v>
      </c>
      <c r="U2558" s="32">
        <f t="shared" si="197"/>
        <v>1463.5477674810459</v>
      </c>
      <c r="V2558" s="22">
        <f t="shared" si="198"/>
        <v>0.65440600349090716</v>
      </c>
      <c r="X2558" s="33"/>
      <c r="Y2558" s="33"/>
    </row>
    <row r="2559" spans="1:25" x14ac:dyDescent="0.2">
      <c r="A2559" s="93" t="s">
        <v>1158</v>
      </c>
      <c r="B2559" s="94" t="str">
        <f>IFERROR(VLOOKUP($A2559,HeadJournal!$A$1:$NTR$890,COLUMN(HeadJournal!B$1),0),"")</f>
        <v>720000032862</v>
      </c>
      <c r="C2559" s="94" t="str">
        <f>IFERROR(VLOOKUP($A2559,HeadJournal!$A$1:$NTR$890,COLUMN(HeadJournal!C$1),0),"")</f>
        <v>iHerb_MH DLE7202</v>
      </c>
      <c r="D2559" s="125" t="str">
        <f>IFERROR(VLOOKUP($A2559,HeadJournal!$A$1:$NTR$890,COLUMN(HeadJournal!D$1),0),"")</f>
        <v>Доставлен</v>
      </c>
      <c r="E2559" s="95">
        <f>IFERROR(VLOOKUP($A2559,HeadJournal!$A$1:$NTR$890,COLUMN(HeadJournal!G$1),0),"")</f>
        <v>45259</v>
      </c>
      <c r="F2559" s="95" t="str">
        <f t="shared" si="199"/>
        <v>2023 11</v>
      </c>
      <c r="G2559" s="96" t="s">
        <v>5</v>
      </c>
      <c r="H2559" s="160" t="str">
        <f>RIGHT(Journal!$J2559,9)</f>
        <v> NOW02210</v>
      </c>
      <c r="I2559" s="96" t="str">
        <f t="shared" si="201"/>
        <v>NOW Foods</v>
      </c>
      <c r="J2559" s="97" t="s">
        <v>1159</v>
      </c>
      <c r="K2559" s="29">
        <v>10.1</v>
      </c>
      <c r="L2559" s="29">
        <v>-2.2200000000000002</v>
      </c>
      <c r="M2559" s="30">
        <f>IFERROR(VLOOKUP($A2559,HeadJournal!$A$1:$J$890,COLUMN(HeadJournal!I$1),0)*($K2559+$L2559)/(SUMIF($A:$A,$A2559,$K:$K)+SUMIF($A:$A,$A2559,$L:$L)),0)</f>
        <v>-0.46860597651023328</v>
      </c>
      <c r="N2559" s="30">
        <f>IFERROR((VLOOKUP($A2559,HeadJournal!$A$1:$K$890,COLUMN(HeadJournal!K$1),0)-VLOOKUP($A2559,HeadJournal!$A$1:$K$890,COLUMN(HeadJournal!J$1),0))*($K2559+$L2559)/(SUMIF($A:$A,$A2559,$K:$K)+SUMIF($A:$A,$A2559,$L:$L)),0)</f>
        <v>-1.1098819084770481E-15</v>
      </c>
      <c r="O2559" s="30">
        <f>IFERROR((VLOOKUP($A2559,HeadJournal!$A$1:$L$890,COLUMN(HeadJournal!L$1),0)*($K2559+$L2559)/(SUMIF($A:$A,$A2559,$K:$K)+SUMIF($A:$A,$A2559,$L:$L)))/VLOOKUP($A2559,HeadJournal!$A$1:$L$890,COLUMN(HeadJournal!H$1),0),0)</f>
        <v>0.56952704909576801</v>
      </c>
      <c r="P2559" s="30">
        <f>IFERROR(SUM(K2559:O2559)*VLOOKUP($A2559,HeadJournal!$A$1:$L$890,COLUMN(HeadJournal!H$1),0),0)</f>
        <v>809.89170920263609</v>
      </c>
      <c r="Q2559" s="29">
        <v>1600</v>
      </c>
      <c r="R2559" s="31">
        <v>45502</v>
      </c>
      <c r="S2559" s="31" t="s">
        <v>3121</v>
      </c>
      <c r="T2559" s="95" t="str">
        <f t="shared" si="200"/>
        <v>2024 07</v>
      </c>
      <c r="U2559" s="32">
        <f t="shared" si="197"/>
        <v>790.10829079736391</v>
      </c>
      <c r="V2559" s="22">
        <f t="shared" si="198"/>
        <v>0.97557276092534695</v>
      </c>
      <c r="X2559" s="33"/>
      <c r="Y2559" s="33"/>
    </row>
    <row r="2560" spans="1:25" x14ac:dyDescent="0.2">
      <c r="A2560" s="93" t="s">
        <v>1158</v>
      </c>
      <c r="B2560" s="94" t="str">
        <f>IFERROR(VLOOKUP($A2560,HeadJournal!$A$1:$NTR$890,COLUMN(HeadJournal!B$1),0),"")</f>
        <v>720000032862</v>
      </c>
      <c r="C2560" s="94" t="str">
        <f>IFERROR(VLOOKUP($A2560,HeadJournal!$A$1:$NTR$890,COLUMN(HeadJournal!C$1),0),"")</f>
        <v>iHerb_MH DLE7202</v>
      </c>
      <c r="D2560" s="125" t="str">
        <f>IFERROR(VLOOKUP($A2560,HeadJournal!$A$1:$NTR$890,COLUMN(HeadJournal!D$1),0),"")</f>
        <v>Доставлен</v>
      </c>
      <c r="E2560" s="95">
        <f>IFERROR(VLOOKUP($A2560,HeadJournal!$A$1:$NTR$890,COLUMN(HeadJournal!G$1),0),"")</f>
        <v>45259</v>
      </c>
      <c r="F2560" s="95" t="str">
        <f t="shared" si="199"/>
        <v>2023 11</v>
      </c>
      <c r="G2560" s="96" t="s">
        <v>5</v>
      </c>
      <c r="H2560" s="160" t="str">
        <f>RIGHT(Journal!$J2560,9)</f>
        <v> NOW02210</v>
      </c>
      <c r="I2560" s="96" t="str">
        <f t="shared" si="201"/>
        <v>NOW Foods</v>
      </c>
      <c r="J2560" s="97" t="s">
        <v>1159</v>
      </c>
      <c r="K2560" s="29">
        <v>10.1</v>
      </c>
      <c r="L2560" s="29">
        <v>-2.2200000000000002</v>
      </c>
      <c r="M2560" s="30">
        <f>IFERROR(VLOOKUP($A2560,HeadJournal!$A$1:$J$890,COLUMN(HeadJournal!I$1),0)*($K2560+$L2560)/(SUMIF($A:$A,$A2560,$K:$K)+SUMIF($A:$A,$A2560,$L:$L)),0)</f>
        <v>-0.46860597651023328</v>
      </c>
      <c r="N2560" s="30">
        <f>IFERROR((VLOOKUP($A2560,HeadJournal!$A$1:$K$890,COLUMN(HeadJournal!K$1),0)-VLOOKUP($A2560,HeadJournal!$A$1:$K$890,COLUMN(HeadJournal!J$1),0))*($K2560+$L2560)/(SUMIF($A:$A,$A2560,$K:$K)+SUMIF($A:$A,$A2560,$L:$L)),0)</f>
        <v>-1.1098819084770481E-15</v>
      </c>
      <c r="O2560" s="30">
        <f>IFERROR((VLOOKUP($A2560,HeadJournal!$A$1:$L$890,COLUMN(HeadJournal!L$1),0)*($K2560+$L2560)/(SUMIF($A:$A,$A2560,$K:$K)+SUMIF($A:$A,$A2560,$L:$L)))/VLOOKUP($A2560,HeadJournal!$A$1:$L$890,COLUMN(HeadJournal!H$1),0),0)</f>
        <v>0.56952704909576801</v>
      </c>
      <c r="P2560" s="30">
        <f>IFERROR(SUM(K2560:O2560)*VLOOKUP($A2560,HeadJournal!$A$1:$L$890,COLUMN(HeadJournal!H$1),0),0)</f>
        <v>809.89170920263609</v>
      </c>
      <c r="Q2560" s="29">
        <v>1600</v>
      </c>
      <c r="R2560" s="31">
        <v>45633</v>
      </c>
      <c r="S2560" s="31" t="s">
        <v>3121</v>
      </c>
      <c r="T2560" s="95" t="str">
        <f t="shared" si="200"/>
        <v>2024 12</v>
      </c>
      <c r="U2560" s="32">
        <f t="shared" si="197"/>
        <v>790.10829079736391</v>
      </c>
      <c r="V2560" s="22">
        <f t="shared" si="198"/>
        <v>0.97557276092534695</v>
      </c>
      <c r="X2560" s="33"/>
      <c r="Y2560" s="33"/>
    </row>
    <row r="2561" spans="1:25" x14ac:dyDescent="0.2">
      <c r="A2561" s="93" t="s">
        <v>1158</v>
      </c>
      <c r="B2561" s="94" t="str">
        <f>IFERROR(VLOOKUP($A2561,HeadJournal!$A$1:$NTR$890,COLUMN(HeadJournal!B$1),0),"")</f>
        <v>720000032862</v>
      </c>
      <c r="C2561" s="94" t="str">
        <f>IFERROR(VLOOKUP($A2561,HeadJournal!$A$1:$NTR$890,COLUMN(HeadJournal!C$1),0),"")</f>
        <v>iHerb_MH DLE7202</v>
      </c>
      <c r="D2561" s="125" t="str">
        <f>IFERROR(VLOOKUP($A2561,HeadJournal!$A$1:$NTR$890,COLUMN(HeadJournal!D$1),0),"")</f>
        <v>Доставлен</v>
      </c>
      <c r="E2561" s="95">
        <f>IFERROR(VLOOKUP($A2561,HeadJournal!$A$1:$NTR$890,COLUMN(HeadJournal!G$1),0),"")</f>
        <v>45259</v>
      </c>
      <c r="F2561" s="95" t="str">
        <f t="shared" si="199"/>
        <v>2023 11</v>
      </c>
      <c r="G2561" s="96" t="s">
        <v>5</v>
      </c>
      <c r="H2561" s="160" t="str">
        <f>RIGHT(Journal!$J2561,9)</f>
        <v> GOL11440</v>
      </c>
      <c r="I2561" s="96" t="str">
        <f t="shared" si="201"/>
        <v>Garden of Life</v>
      </c>
      <c r="J2561" s="97" t="s">
        <v>1160</v>
      </c>
      <c r="K2561" s="29">
        <v>29.06</v>
      </c>
      <c r="L2561" s="29">
        <v>-6.39</v>
      </c>
      <c r="M2561" s="30">
        <f>IFERROR(VLOOKUP($A2561,HeadJournal!$A$1:$J$890,COLUMN(HeadJournal!I$1),0)*($K2561+$L2561)/(SUMIF($A:$A,$A2561,$K:$K)+SUMIF($A:$A,$A2561,$L:$L)),0)</f>
        <v>-1.3481341989196687</v>
      </c>
      <c r="N2561" s="30">
        <f>IFERROR((VLOOKUP($A2561,HeadJournal!$A$1:$K$890,COLUMN(HeadJournal!K$1),0)-VLOOKUP($A2561,HeadJournal!$A$1:$K$890,COLUMN(HeadJournal!J$1),0))*($K2561+$L2561)/(SUMIF($A:$A,$A2561,$K:$K)+SUMIF($A:$A,$A2561,$L:$L)),0)</f>
        <v>-3.1930232062404417E-15</v>
      </c>
      <c r="O2561" s="30">
        <f>IFERROR((VLOOKUP($A2561,HeadJournal!$A$1:$L$890,COLUMN(HeadJournal!L$1),0)*($K2561+$L2561)/(SUMIF($A:$A,$A2561,$K:$K)+SUMIF($A:$A,$A2561,$L:$L)))/VLOOKUP($A2561,HeadJournal!$A$1:$L$890,COLUMN(HeadJournal!H$1),0),0)</f>
        <v>1.6384743912437898</v>
      </c>
      <c r="P2561" s="30">
        <f>IFERROR(SUM(K2561:O2561)*VLOOKUP($A2561,HeadJournal!$A$1:$L$890,COLUMN(HeadJournal!H$1),0),0)</f>
        <v>2329.9803359928628</v>
      </c>
      <c r="Q2561" s="29">
        <v>3500</v>
      </c>
      <c r="R2561" s="31">
        <v>45311</v>
      </c>
      <c r="S2561" s="31" t="s">
        <v>3121</v>
      </c>
      <c r="T2561" s="95" t="str">
        <f t="shared" si="200"/>
        <v>2024 01</v>
      </c>
      <c r="U2561" s="32">
        <f t="shared" ref="U2561:U2624" si="202">Q2561-P2561</f>
        <v>1170.0196640071372</v>
      </c>
      <c r="V2561" s="22">
        <f t="shared" ref="V2561:V2624" si="203">IF(Q2561&lt;&gt;0,IFERROR(U2561/P2561,""),"")</f>
        <v>0.50215860019632419</v>
      </c>
      <c r="X2561" s="33"/>
      <c r="Y2561" s="33"/>
    </row>
    <row r="2562" spans="1:25" x14ac:dyDescent="0.2">
      <c r="A2562" s="93" t="s">
        <v>1158</v>
      </c>
      <c r="B2562" s="94" t="str">
        <f>IFERROR(VLOOKUP($A2562,HeadJournal!$A$1:$NTR$890,COLUMN(HeadJournal!B$1),0),"")</f>
        <v>720000032862</v>
      </c>
      <c r="C2562" s="94" t="str">
        <f>IFERROR(VLOOKUP($A2562,HeadJournal!$A$1:$NTR$890,COLUMN(HeadJournal!C$1),0),"")</f>
        <v>iHerb_MH DLE7202</v>
      </c>
      <c r="D2562" s="125" t="str">
        <f>IFERROR(VLOOKUP($A2562,HeadJournal!$A$1:$NTR$890,COLUMN(HeadJournal!D$1),0),"")</f>
        <v>Доставлен</v>
      </c>
      <c r="E2562" s="95">
        <f>IFERROR(VLOOKUP($A2562,HeadJournal!$A$1:$NTR$890,COLUMN(HeadJournal!G$1),0),"")</f>
        <v>45259</v>
      </c>
      <c r="F2562" s="95" t="str">
        <f t="shared" si="199"/>
        <v>2023 11</v>
      </c>
      <c r="G2562" s="96" t="s">
        <v>5</v>
      </c>
      <c r="H2562" s="160" t="str">
        <f>RIGHT(Journal!$J2562,9)</f>
        <v> LEX33510</v>
      </c>
      <c r="I2562" s="96" t="str">
        <f t="shared" si="201"/>
        <v>Life Extension</v>
      </c>
      <c r="J2562" s="97" t="s">
        <v>1161</v>
      </c>
      <c r="K2562" s="29">
        <v>10.83</v>
      </c>
      <c r="L2562" s="29">
        <v>-2.38</v>
      </c>
      <c r="M2562" s="30">
        <f>IFERROR(VLOOKUP($A2562,HeadJournal!$A$1:$J$890,COLUMN(HeadJournal!I$1),0)*($K2562+$L2562)/(SUMIF($A:$A,$A2562,$K:$K)+SUMIF($A:$A,$A2562,$L:$L)),0)</f>
        <v>-0.50250260171465377</v>
      </c>
      <c r="N2562" s="30">
        <f>IFERROR((VLOOKUP($A2562,HeadJournal!$A$1:$K$890,COLUMN(HeadJournal!K$1),0)-VLOOKUP($A2562,HeadJournal!$A$1:$K$890,COLUMN(HeadJournal!J$1),0))*($K2562+$L2562)/(SUMIF($A:$A,$A2562,$K:$K)+SUMIF($A:$A,$A2562,$L:$L)),0)</f>
        <v>-1.1901652444963269E-15</v>
      </c>
      <c r="O2562" s="30">
        <f>IFERROR((VLOOKUP($A2562,HeadJournal!$A$1:$L$890,COLUMN(HeadJournal!L$1),0)*($K2562+$L2562)/(SUMIF($A:$A,$A2562,$K:$K)+SUMIF($A:$A,$A2562,$L:$L)))/VLOOKUP($A2562,HeadJournal!$A$1:$L$890,COLUMN(HeadJournal!H$1),0),0)</f>
        <v>0.61072380264711168</v>
      </c>
      <c r="P2562" s="30">
        <f>IFERROR(SUM(K2562:O2562)*VLOOKUP($A2562,HeadJournal!$A$1:$L$890,COLUMN(HeadJournal!H$1),0),0)</f>
        <v>868.4752465434359</v>
      </c>
      <c r="Q2562" s="29">
        <v>1600</v>
      </c>
      <c r="R2562" s="31">
        <v>45296</v>
      </c>
      <c r="S2562" s="31" t="s">
        <v>3121</v>
      </c>
      <c r="T2562" s="95" t="str">
        <f t="shared" si="200"/>
        <v>2024 01</v>
      </c>
      <c r="U2562" s="32">
        <f t="shared" si="202"/>
        <v>731.5247534565641</v>
      </c>
      <c r="V2562" s="22">
        <f t="shared" si="203"/>
        <v>0.84230927291026436</v>
      </c>
      <c r="X2562" s="33"/>
      <c r="Y2562" s="33"/>
    </row>
    <row r="2563" spans="1:25" x14ac:dyDescent="0.2">
      <c r="A2563" s="93" t="s">
        <v>1158</v>
      </c>
      <c r="B2563" s="94" t="str">
        <f>IFERROR(VLOOKUP($A2563,HeadJournal!$A$1:$NTR$890,COLUMN(HeadJournal!B$1),0),"")</f>
        <v>720000032862</v>
      </c>
      <c r="C2563" s="94" t="str">
        <f>IFERROR(VLOOKUP($A2563,HeadJournal!$A$1:$NTR$890,COLUMN(HeadJournal!C$1),0),"")</f>
        <v>iHerb_MH DLE7202</v>
      </c>
      <c r="D2563" s="125" t="str">
        <f>IFERROR(VLOOKUP($A2563,HeadJournal!$A$1:$NTR$890,COLUMN(HeadJournal!D$1),0),"")</f>
        <v>Доставлен</v>
      </c>
      <c r="E2563" s="95">
        <f>IFERROR(VLOOKUP($A2563,HeadJournal!$A$1:$NTR$890,COLUMN(HeadJournal!G$1),0),"")</f>
        <v>45259</v>
      </c>
      <c r="F2563" s="95" t="str">
        <f t="shared" si="199"/>
        <v>2023 11</v>
      </c>
      <c r="G2563" s="96" t="s">
        <v>5</v>
      </c>
      <c r="H2563" s="160" t="str">
        <f>RIGHT(Journal!$J2563,9)</f>
        <v> LEX30210</v>
      </c>
      <c r="I2563" s="96" t="str">
        <f t="shared" si="201"/>
        <v>Life Extension</v>
      </c>
      <c r="J2563" s="97" t="s">
        <v>1162</v>
      </c>
      <c r="K2563" s="29">
        <v>16.739999999999998</v>
      </c>
      <c r="L2563" s="29">
        <v>-3.68</v>
      </c>
      <c r="M2563" s="30">
        <f>IFERROR(VLOOKUP($A2563,HeadJournal!$A$1:$J$890,COLUMN(HeadJournal!I$1),0)*($K2563+$L2563)/(SUMIF($A:$A,$A2563,$K:$K)+SUMIF($A:$A,$A2563,$L:$L)),0)</f>
        <v>-0.77664899152584344</v>
      </c>
      <c r="N2563" s="30">
        <f>IFERROR((VLOOKUP($A2563,HeadJournal!$A$1:$K$890,COLUMN(HeadJournal!K$1),0)-VLOOKUP($A2563,HeadJournal!$A$1:$K$890,COLUMN(HeadJournal!J$1),0))*($K2563+$L2563)/(SUMIF($A:$A,$A2563,$K:$K)+SUMIF($A:$A,$A2563,$L:$L)),0)</f>
        <v>-1.8394743305469858E-15</v>
      </c>
      <c r="O2563" s="30">
        <f>IFERROR((VLOOKUP($A2563,HeadJournal!$A$1:$L$890,COLUMN(HeadJournal!L$1),0)*($K2563+$L2563)/(SUMIF($A:$A,$A2563,$K:$K)+SUMIF($A:$A,$A2563,$L:$L)))/VLOOKUP($A2563,HeadJournal!$A$1:$L$890,COLUMN(HeadJournal!H$1),0),0)</f>
        <v>0.94391158136938225</v>
      </c>
      <c r="P2563" s="30">
        <f>IFERROR(SUM(K2563:O2563)*VLOOKUP($A2563,HeadJournal!$A$1:$L$890,COLUMN(HeadJournal!H$1),0),0)</f>
        <v>1342.2824520541153</v>
      </c>
      <c r="Q2563" s="29">
        <v>2200</v>
      </c>
      <c r="R2563" s="31">
        <v>45296</v>
      </c>
      <c r="S2563" s="31" t="s">
        <v>3121</v>
      </c>
      <c r="T2563" s="95" t="str">
        <f t="shared" si="200"/>
        <v>2024 01</v>
      </c>
      <c r="U2563" s="32">
        <f t="shared" si="202"/>
        <v>857.71754794588469</v>
      </c>
      <c r="V2563" s="22">
        <f t="shared" si="203"/>
        <v>0.63899930050736076</v>
      </c>
      <c r="X2563" s="33"/>
      <c r="Y2563" s="33"/>
    </row>
    <row r="2564" spans="1:25" x14ac:dyDescent="0.2">
      <c r="A2564" s="93" t="s">
        <v>1158</v>
      </c>
      <c r="B2564" s="94" t="str">
        <f>IFERROR(VLOOKUP($A2564,HeadJournal!$A$1:$NTR$890,COLUMN(HeadJournal!B$1),0),"")</f>
        <v>720000032862</v>
      </c>
      <c r="C2564" s="94" t="str">
        <f>IFERROR(VLOOKUP($A2564,HeadJournal!$A$1:$NTR$890,COLUMN(HeadJournal!C$1),0),"")</f>
        <v>iHerb_MH DLE7202</v>
      </c>
      <c r="D2564" s="125" t="str">
        <f>IFERROR(VLOOKUP($A2564,HeadJournal!$A$1:$NTR$890,COLUMN(HeadJournal!D$1),0),"")</f>
        <v>Доставлен</v>
      </c>
      <c r="E2564" s="95">
        <f>IFERROR(VLOOKUP($A2564,HeadJournal!$A$1:$NTR$890,COLUMN(HeadJournal!G$1),0),"")</f>
        <v>45259</v>
      </c>
      <c r="F2564" s="95" t="str">
        <f t="shared" ref="F2564:F2627" si="204">IFERROR(TEXT(E2564, "ГГГГ ММ"),"")</f>
        <v>2023 11</v>
      </c>
      <c r="G2564" s="96" t="s">
        <v>6</v>
      </c>
      <c r="H2564" s="160" t="str">
        <f>RIGHT(Journal!$J2564,9)</f>
        <v> FOA66010</v>
      </c>
      <c r="I2564" s="96" t="str">
        <f t="shared" si="201"/>
        <v>Force Factor</v>
      </c>
      <c r="J2564" s="97" t="s">
        <v>1163</v>
      </c>
      <c r="K2564" s="29">
        <v>25.84</v>
      </c>
      <c r="L2564" s="29">
        <v>-12.92</v>
      </c>
      <c r="M2564" s="30">
        <f>IFERROR(VLOOKUP($A2564,HeadJournal!$A$1:$J$890,COLUMN(HeadJournal!I$1),0)*($K2564+$L2564)/(SUMIF($A:$A,$A2564,$K:$K)+SUMIF($A:$A,$A2564,$L:$L)),0)</f>
        <v>-0.76832350463352983</v>
      </c>
      <c r="N2564" s="30">
        <f>IFERROR((VLOOKUP($A2564,HeadJournal!$A$1:$K$890,COLUMN(HeadJournal!K$1),0)-VLOOKUP($A2564,HeadJournal!$A$1:$K$890,COLUMN(HeadJournal!J$1),0))*($K2564+$L2564)/(SUMIF($A:$A,$A2564,$K:$K)+SUMIF($A:$A,$A2564,$L:$L)),0)</f>
        <v>-1.8197556164369877E-15</v>
      </c>
      <c r="O2564" s="30">
        <f>IFERROR((VLOOKUP($A2564,HeadJournal!$A$1:$L$890,COLUMN(HeadJournal!L$1),0)*($K2564+$L2564)/(SUMIF($A:$A,$A2564,$K:$K)+SUMIF($A:$A,$A2564,$L:$L)))/VLOOKUP($A2564,HeadJournal!$A$1:$L$890,COLUMN(HeadJournal!H$1),0),0)</f>
        <v>0.93379308049712229</v>
      </c>
      <c r="P2564" s="30">
        <f>IFERROR(SUM(K2564:O2564)*VLOOKUP($A2564,HeadJournal!$A$1:$L$890,COLUMN(HeadJournal!H$1),0),0)</f>
        <v>1327.8935130581292</v>
      </c>
      <c r="Q2564" s="29">
        <v>2500</v>
      </c>
      <c r="R2564" s="31">
        <v>45551</v>
      </c>
      <c r="S2564" s="31" t="s">
        <v>3121</v>
      </c>
      <c r="T2564" s="95" t="str">
        <f t="shared" ref="T2564:T2627" si="205">IF(R2564="","",TEXT(R2564,"ГГГГ ММ"))</f>
        <v>2024 09</v>
      </c>
      <c r="U2564" s="32">
        <f t="shared" si="202"/>
        <v>1172.1064869418708</v>
      </c>
      <c r="V2564" s="22">
        <f t="shared" si="203"/>
        <v>0.88268108505366372</v>
      </c>
      <c r="X2564" s="33"/>
      <c r="Y2564" s="33"/>
    </row>
    <row r="2565" spans="1:25" x14ac:dyDescent="0.2">
      <c r="A2565" s="93" t="s">
        <v>1158</v>
      </c>
      <c r="B2565" s="94" t="str">
        <f>IFERROR(VLOOKUP($A2565,HeadJournal!$A$1:$NTR$890,COLUMN(HeadJournal!B$1),0),"")</f>
        <v>720000032862</v>
      </c>
      <c r="C2565" s="94" t="str">
        <f>IFERROR(VLOOKUP($A2565,HeadJournal!$A$1:$NTR$890,COLUMN(HeadJournal!C$1),0),"")</f>
        <v>iHerb_MH DLE7202</v>
      </c>
      <c r="D2565" s="125" t="str">
        <f>IFERROR(VLOOKUP($A2565,HeadJournal!$A$1:$NTR$890,COLUMN(HeadJournal!D$1),0),"")</f>
        <v>Доставлен</v>
      </c>
      <c r="E2565" s="95">
        <f>IFERROR(VLOOKUP($A2565,HeadJournal!$A$1:$NTR$890,COLUMN(HeadJournal!G$1),0),"")</f>
        <v>45259</v>
      </c>
      <c r="F2565" s="95" t="str">
        <f t="shared" si="204"/>
        <v>2023 11</v>
      </c>
      <c r="G2565" s="96" t="s">
        <v>5</v>
      </c>
      <c r="H2565" s="160" t="str">
        <f>RIGHT(Journal!$J2565,9)</f>
        <v> CAR01543</v>
      </c>
      <c r="I2565" s="96" t="str">
        <f t="shared" si="201"/>
        <v>Carlson</v>
      </c>
      <c r="J2565" s="97" t="s">
        <v>1164</v>
      </c>
      <c r="K2565" s="29">
        <v>24.53</v>
      </c>
      <c r="L2565" s="29">
        <v>-5.4</v>
      </c>
      <c r="M2565" s="30">
        <f>IFERROR(VLOOKUP($A2565,HeadJournal!$A$1:$J$890,COLUMN(HeadJournal!I$1),0)*($K2565+$L2565)/(SUMIF($A:$A,$A2565,$K:$K)+SUMIF($A:$A,$A2565,$L:$L)),0)</f>
        <v>-1.137618316071163</v>
      </c>
      <c r="N2565" s="30">
        <f>IFERROR((VLOOKUP($A2565,HeadJournal!$A$1:$K$890,COLUMN(HeadJournal!K$1),0)-VLOOKUP($A2565,HeadJournal!$A$1:$K$890,COLUMN(HeadJournal!J$1),0))*($K2565+$L2565)/(SUMIF($A:$A,$A2565,$K:$K)+SUMIF($A:$A,$A2565,$L:$L)),0)</f>
        <v>-2.6944214351733422E-15</v>
      </c>
      <c r="O2565" s="30">
        <f>IFERROR((VLOOKUP($A2565,HeadJournal!$A$1:$L$890,COLUMN(HeadJournal!L$1),0)*($K2565+$L2565)/(SUMIF($A:$A,$A2565,$K:$K)+SUMIF($A:$A,$A2565,$L:$L)))/VLOOKUP($A2565,HeadJournal!$A$1:$L$890,COLUMN(HeadJournal!H$1),0),0)</f>
        <v>1.382620869188077</v>
      </c>
      <c r="P2565" s="30">
        <f>IFERROR(SUM(K2565:O2565)*VLOOKUP($A2565,HeadJournal!$A$1:$L$890,COLUMN(HeadJournal!H$1),0),0)</f>
        <v>1966.1457356657909</v>
      </c>
      <c r="Q2565" s="29">
        <v>3100</v>
      </c>
      <c r="R2565" s="31">
        <v>45297</v>
      </c>
      <c r="S2565" s="31" t="s">
        <v>3121</v>
      </c>
      <c r="T2565" s="95" t="str">
        <f t="shared" si="205"/>
        <v>2024 01</v>
      </c>
      <c r="U2565" s="32">
        <f t="shared" si="202"/>
        <v>1133.8542643342091</v>
      </c>
      <c r="V2565" s="22">
        <f t="shared" si="203"/>
        <v>0.57668882004326849</v>
      </c>
      <c r="X2565" s="33"/>
      <c r="Y2565" s="33"/>
    </row>
    <row r="2566" spans="1:25" x14ac:dyDescent="0.2">
      <c r="A2566" s="93" t="s">
        <v>1158</v>
      </c>
      <c r="B2566" s="94" t="str">
        <f>IFERROR(VLOOKUP($A2566,HeadJournal!$A$1:$NTR$890,COLUMN(HeadJournal!B$1),0),"")</f>
        <v>720000032862</v>
      </c>
      <c r="C2566" s="94" t="str">
        <f>IFERROR(VLOOKUP($A2566,HeadJournal!$A$1:$NTR$890,COLUMN(HeadJournal!C$1),0),"")</f>
        <v>iHerb_MH DLE7202</v>
      </c>
      <c r="D2566" s="125" t="str">
        <f>IFERROR(VLOOKUP($A2566,HeadJournal!$A$1:$NTR$890,COLUMN(HeadJournal!D$1),0),"")</f>
        <v>Доставлен</v>
      </c>
      <c r="E2566" s="95">
        <f>IFERROR(VLOOKUP($A2566,HeadJournal!$A$1:$NTR$890,COLUMN(HeadJournal!G$1),0),"")</f>
        <v>45259</v>
      </c>
      <c r="F2566" s="95" t="str">
        <f t="shared" si="204"/>
        <v>2023 11</v>
      </c>
      <c r="G2566" s="96" t="s">
        <v>5</v>
      </c>
      <c r="H2566" s="160" t="str">
        <f>RIGHT(Journal!$J2566,9)</f>
        <v> CAR01250</v>
      </c>
      <c r="I2566" s="96" t="str">
        <f t="shared" si="201"/>
        <v>Carlson</v>
      </c>
      <c r="J2566" s="97" t="s">
        <v>1165</v>
      </c>
      <c r="K2566" s="29">
        <v>12.01</v>
      </c>
      <c r="L2566" s="29">
        <v>-2.64</v>
      </c>
      <c r="M2566" s="30">
        <f>IFERROR(VLOOKUP($A2566,HeadJournal!$A$1:$J$890,COLUMN(HeadJournal!I$1),0)*($K2566+$L2566)/(SUMIF($A:$A,$A2566,$K:$K)+SUMIF($A:$A,$A2566,$L:$L)),0)</f>
        <v>-0.55721294414985867</v>
      </c>
      <c r="N2566" s="30">
        <f>IFERROR((VLOOKUP($A2566,HeadJournal!$A$1:$K$890,COLUMN(HeadJournal!K$1),0)-VLOOKUP($A2566,HeadJournal!$A$1:$K$890,COLUMN(HeadJournal!J$1),0))*($K2566+$L2566)/(SUMIF($A:$A,$A2566,$K:$K)+SUMIF($A:$A,$A2566,$L:$L)),0)</f>
        <v>-1.3197453657906016E-15</v>
      </c>
      <c r="O2566" s="30">
        <f>IFERROR((VLOOKUP($A2566,HeadJournal!$A$1:$L$890,COLUMN(HeadJournal!L$1),0)*($K2566+$L2566)/(SUMIF($A:$A,$A2566,$K:$K)+SUMIF($A:$A,$A2566,$L:$L)))/VLOOKUP($A2566,HeadJournal!$A$1:$L$890,COLUMN(HeadJournal!H$1),0),0)</f>
        <v>0.67721680837910492</v>
      </c>
      <c r="P2566" s="30">
        <f>IFERROR(SUM(K2566:O2566)*VLOOKUP($A2566,HeadJournal!$A$1:$L$890,COLUMN(HeadJournal!H$1),0),0)</f>
        <v>963.03113137420053</v>
      </c>
      <c r="Q2566" s="29">
        <v>1700</v>
      </c>
      <c r="R2566" s="31">
        <v>45545</v>
      </c>
      <c r="S2566" s="31" t="s">
        <v>3121</v>
      </c>
      <c r="T2566" s="95" t="str">
        <f t="shared" si="205"/>
        <v>2024 09</v>
      </c>
      <c r="U2566" s="32">
        <f t="shared" si="202"/>
        <v>736.96886862579947</v>
      </c>
      <c r="V2566" s="22">
        <f t="shared" si="203"/>
        <v>0.76525965217155467</v>
      </c>
      <c r="X2566" s="33"/>
      <c r="Y2566" s="33"/>
    </row>
    <row r="2567" spans="1:25" x14ac:dyDescent="0.2">
      <c r="A2567" s="93" t="s">
        <v>1158</v>
      </c>
      <c r="B2567" s="94" t="str">
        <f>IFERROR(VLOOKUP($A2567,HeadJournal!$A$1:$NTR$890,COLUMN(HeadJournal!B$1),0),"")</f>
        <v>720000032862</v>
      </c>
      <c r="C2567" s="94" t="str">
        <f>IFERROR(VLOOKUP($A2567,HeadJournal!$A$1:$NTR$890,COLUMN(HeadJournal!C$1),0),"")</f>
        <v>iHerb_MH DLE7202</v>
      </c>
      <c r="D2567" s="125" t="str">
        <f>IFERROR(VLOOKUP($A2567,HeadJournal!$A$1:$NTR$890,COLUMN(HeadJournal!D$1),0),"")</f>
        <v>Доставлен</v>
      </c>
      <c r="E2567" s="95">
        <f>IFERROR(VLOOKUP($A2567,HeadJournal!$A$1:$NTR$890,COLUMN(HeadJournal!G$1),0),"")</f>
        <v>45259</v>
      </c>
      <c r="F2567" s="95" t="str">
        <f t="shared" si="204"/>
        <v>2023 11</v>
      </c>
      <c r="G2567" s="96" t="s">
        <v>5</v>
      </c>
      <c r="H2567" s="160" t="str">
        <f>RIGHT(Journal!$J2567,9)</f>
        <v> CAR01545</v>
      </c>
      <c r="I2567" s="96" t="str">
        <f t="shared" si="201"/>
        <v>Carlson</v>
      </c>
      <c r="J2567" s="97" t="s">
        <v>1166</v>
      </c>
      <c r="K2567" s="29">
        <v>48.95</v>
      </c>
      <c r="L2567" s="29">
        <v>-10.77</v>
      </c>
      <c r="M2567" s="30">
        <f>IFERROR(VLOOKUP($A2567,HeadJournal!$A$1:$J$890,COLUMN(HeadJournal!I$1),0)*($K2567+$L2567)/(SUMIF($A:$A,$A2567,$K:$K)+SUMIF($A:$A,$A2567,$L:$L)),0)</f>
        <v>-2.2704792110610041</v>
      </c>
      <c r="N2567" s="30">
        <f>IFERROR((VLOOKUP($A2567,HeadJournal!$A$1:$K$890,COLUMN(HeadJournal!K$1),0)-VLOOKUP($A2567,HeadJournal!$A$1:$K$890,COLUMN(HeadJournal!J$1),0))*($K2567+$L2567)/(SUMIF($A:$A,$A2567,$K:$K)+SUMIF($A:$A,$A2567,$L:$L)),0)</f>
        <v>-5.3775750337123994E-15</v>
      </c>
      <c r="O2567" s="30">
        <f>IFERROR((VLOOKUP($A2567,HeadJournal!$A$1:$L$890,COLUMN(HeadJournal!L$1),0)*($K2567+$L2567)/(SUMIF($A:$A,$A2567,$K:$K)+SUMIF($A:$A,$A2567,$L:$L)))/VLOOKUP($A2567,HeadJournal!$A$1:$L$890,COLUMN(HeadJournal!H$1),0),0)</f>
        <v>2.7594597378777199</v>
      </c>
      <c r="P2567" s="30">
        <f>IFERROR(SUM(K2567:O2567)*VLOOKUP($A2567,HeadJournal!$A$1:$L$890,COLUMN(HeadJournal!H$1),0),0)</f>
        <v>3924.0692204767329</v>
      </c>
      <c r="Q2567" s="29">
        <v>5400</v>
      </c>
      <c r="R2567" s="31">
        <v>45518</v>
      </c>
      <c r="S2567" s="31" t="s">
        <v>3121</v>
      </c>
      <c r="T2567" s="95" t="str">
        <f t="shared" si="205"/>
        <v>2024 08</v>
      </c>
      <c r="U2567" s="32">
        <f t="shared" si="202"/>
        <v>1475.9307795232671</v>
      </c>
      <c r="V2567" s="22">
        <f t="shared" si="203"/>
        <v>0.37612251379805101</v>
      </c>
      <c r="X2567" s="33"/>
      <c r="Y2567" s="33"/>
    </row>
    <row r="2568" spans="1:25" x14ac:dyDescent="0.2">
      <c r="A2568" s="93" t="s">
        <v>1158</v>
      </c>
      <c r="B2568" s="94" t="str">
        <f>IFERROR(VLOOKUP($A2568,HeadJournal!$A$1:$NTR$890,COLUMN(HeadJournal!B$1),0),"")</f>
        <v>720000032862</v>
      </c>
      <c r="C2568" s="94" t="str">
        <f>IFERROR(VLOOKUP($A2568,HeadJournal!$A$1:$NTR$890,COLUMN(HeadJournal!C$1),0),"")</f>
        <v>iHerb_MH DLE7202</v>
      </c>
      <c r="D2568" s="125" t="str">
        <f>IFERROR(VLOOKUP($A2568,HeadJournal!$A$1:$NTR$890,COLUMN(HeadJournal!D$1),0),"")</f>
        <v>Доставлен</v>
      </c>
      <c r="E2568" s="95">
        <f>IFERROR(VLOOKUP($A2568,HeadJournal!$A$1:$NTR$890,COLUMN(HeadJournal!G$1),0),"")</f>
        <v>45259</v>
      </c>
      <c r="F2568" s="95" t="str">
        <f t="shared" si="204"/>
        <v>2023 11</v>
      </c>
      <c r="G2568" s="96" t="s">
        <v>5</v>
      </c>
      <c r="H2568" s="160" t="str">
        <f>RIGHT(Journal!$J2568,9)</f>
        <v> NOW00089</v>
      </c>
      <c r="I2568" s="96" t="str">
        <f t="shared" si="201"/>
        <v>NOW Foods</v>
      </c>
      <c r="J2568" s="97" t="s">
        <v>1167</v>
      </c>
      <c r="K2568" s="29">
        <v>15.35</v>
      </c>
      <c r="L2568" s="29">
        <v>-3.38</v>
      </c>
      <c r="M2568" s="30">
        <f>IFERROR(VLOOKUP($A2568,HeadJournal!$A$1:$J$890,COLUMN(HeadJournal!I$1),0)*($K2568+$L2568)/(SUMIF($A:$A,$A2568,$K:$K)+SUMIF($A:$A,$A2568,$L:$L)),0)</f>
        <v>-0.71182912929282904</v>
      </c>
      <c r="N2568" s="30">
        <f>IFERROR((VLOOKUP($A2568,HeadJournal!$A$1:$K$890,COLUMN(HeadJournal!K$1),0)-VLOOKUP($A2568,HeadJournal!$A$1:$K$890,COLUMN(HeadJournal!J$1),0))*($K2568+$L2568)/(SUMIF($A:$A,$A2568,$K:$K)+SUMIF($A:$A,$A2568,$L:$L)),0)</f>
        <v>-1.6859500564048561E-15</v>
      </c>
      <c r="O2568" s="30">
        <f>IFERROR((VLOOKUP($A2568,HeadJournal!$A$1:$L$890,COLUMN(HeadJournal!L$1),0)*($K2568+$L2568)/(SUMIF($A:$A,$A2568,$K:$K)+SUMIF($A:$A,$A2568,$L:$L)))/VLOOKUP($A2568,HeadJournal!$A$1:$L$890,COLUMN(HeadJournal!H$1),0),0)</f>
        <v>0.86513182457821625</v>
      </c>
      <c r="P2568" s="30">
        <f>IFERROR(SUM(K2568:O2568)*VLOOKUP($A2568,HeadJournal!$A$1:$L$890,COLUMN(HeadJournal!H$1),0),0)</f>
        <v>1230.2542841567963</v>
      </c>
      <c r="Q2568" s="29">
        <v>2000</v>
      </c>
      <c r="R2568" s="31">
        <v>45405</v>
      </c>
      <c r="S2568" s="31" t="s">
        <v>3121</v>
      </c>
      <c r="T2568" s="95" t="str">
        <f t="shared" si="205"/>
        <v>2024 04</v>
      </c>
      <c r="U2568" s="32">
        <f t="shared" si="202"/>
        <v>769.7457158432037</v>
      </c>
      <c r="V2568" s="22">
        <f t="shared" si="203"/>
        <v>0.62568017503046502</v>
      </c>
      <c r="X2568" s="33"/>
      <c r="Y2568" s="33"/>
    </row>
    <row r="2569" spans="1:25" x14ac:dyDescent="0.2">
      <c r="A2569" s="93" t="s">
        <v>1158</v>
      </c>
      <c r="B2569" s="94" t="str">
        <f>IFERROR(VLOOKUP($A2569,HeadJournal!$A$1:$NTR$890,COLUMN(HeadJournal!B$1),0),"")</f>
        <v>720000032862</v>
      </c>
      <c r="C2569" s="94" t="str">
        <f>IFERROR(VLOOKUP($A2569,HeadJournal!$A$1:$NTR$890,COLUMN(HeadJournal!C$1),0),"")</f>
        <v>iHerb_MH DLE7202</v>
      </c>
      <c r="D2569" s="125" t="str">
        <f>IFERROR(VLOOKUP($A2569,HeadJournal!$A$1:$NTR$890,COLUMN(HeadJournal!D$1),0),"")</f>
        <v>Доставлен</v>
      </c>
      <c r="E2569" s="95">
        <f>IFERROR(VLOOKUP($A2569,HeadJournal!$A$1:$NTR$890,COLUMN(HeadJournal!G$1),0),"")</f>
        <v>45259</v>
      </c>
      <c r="F2569" s="95" t="str">
        <f t="shared" si="204"/>
        <v>2023 11</v>
      </c>
      <c r="G2569" s="96" t="s">
        <v>5</v>
      </c>
      <c r="H2569" s="160" t="str">
        <f>RIGHT(Journal!$J2569,9)</f>
        <v> LEX23151</v>
      </c>
      <c r="I2569" s="96" t="str">
        <f t="shared" si="201"/>
        <v>Life Extension</v>
      </c>
      <c r="J2569" s="97" t="s">
        <v>1168</v>
      </c>
      <c r="K2569" s="29">
        <v>20.69</v>
      </c>
      <c r="L2569" s="29">
        <v>-4.55</v>
      </c>
      <c r="M2569" s="30">
        <f>IFERROR(VLOOKUP($A2569,HeadJournal!$A$1:$J$890,COLUMN(HeadJournal!I$1),0)*($K2569+$L2569)/(SUMIF($A:$A,$A2569,$K:$K)+SUMIF($A:$A,$A2569,$L:$L)),0)</f>
        <v>-0.95980970315674707</v>
      </c>
      <c r="N2569" s="30">
        <f>IFERROR((VLOOKUP($A2569,HeadJournal!$A$1:$K$890,COLUMN(HeadJournal!K$1),0)-VLOOKUP($A2569,HeadJournal!$A$1:$K$890,COLUMN(HeadJournal!J$1),0))*($K2569+$L2569)/(SUMIF($A:$A,$A2569,$K:$K)+SUMIF($A:$A,$A2569,$L:$L)),0)</f>
        <v>-2.2732860409669492E-15</v>
      </c>
      <c r="O2569" s="30">
        <f>IFERROR((VLOOKUP($A2569,HeadJournal!$A$1:$L$890,COLUMN(HeadJournal!L$1),0)*($K2569+$L2569)/(SUMIF($A:$A,$A2569,$K:$K)+SUMIF($A:$A,$A2569,$L:$L)))/VLOOKUP($A2569,HeadJournal!$A$1:$L$890,COLUMN(HeadJournal!H$1),0),0)</f>
        <v>1.1665186005590986</v>
      </c>
      <c r="P2569" s="30">
        <f>IFERROR(SUM(K2569:O2569)*VLOOKUP($A2569,HeadJournal!$A$1:$L$890,COLUMN(HeadJournal!H$1),0),0)</f>
        <v>1658.8391099658056</v>
      </c>
      <c r="Q2569" s="29">
        <v>2700</v>
      </c>
      <c r="R2569" s="31">
        <v>45311</v>
      </c>
      <c r="S2569" s="31" t="s">
        <v>3121</v>
      </c>
      <c r="T2569" s="95" t="str">
        <f t="shared" si="205"/>
        <v>2024 01</v>
      </c>
      <c r="U2569" s="32">
        <f t="shared" si="202"/>
        <v>1041.1608900341944</v>
      </c>
      <c r="V2569" s="22">
        <f t="shared" si="203"/>
        <v>0.62764428676609652</v>
      </c>
      <c r="X2569" s="33"/>
      <c r="Y2569" s="33"/>
    </row>
    <row r="2570" spans="1:25" x14ac:dyDescent="0.2">
      <c r="A2570" s="93" t="s">
        <v>1158</v>
      </c>
      <c r="B2570" s="94" t="str">
        <f>IFERROR(VLOOKUP($A2570,HeadJournal!$A$1:$NTR$890,COLUMN(HeadJournal!B$1),0),"")</f>
        <v>720000032862</v>
      </c>
      <c r="C2570" s="94" t="str">
        <f>IFERROR(VLOOKUP($A2570,HeadJournal!$A$1:$NTR$890,COLUMN(HeadJournal!C$1),0),"")</f>
        <v>iHerb_MH DLE7202</v>
      </c>
      <c r="D2570" s="125" t="str">
        <f>IFERROR(VLOOKUP($A2570,HeadJournal!$A$1:$NTR$890,COLUMN(HeadJournal!D$1),0),"")</f>
        <v>Доставлен</v>
      </c>
      <c r="E2570" s="95">
        <f>IFERROR(VLOOKUP($A2570,HeadJournal!$A$1:$NTR$890,COLUMN(HeadJournal!G$1),0),"")</f>
        <v>45259</v>
      </c>
      <c r="F2570" s="95" t="str">
        <f t="shared" si="204"/>
        <v>2023 11</v>
      </c>
      <c r="G2570" s="96" t="s">
        <v>5</v>
      </c>
      <c r="H2570" s="160" t="str">
        <f>RIGHT(Journal!$J2570,9)</f>
        <v> SOR04710</v>
      </c>
      <c r="I2570" s="96" t="str">
        <f t="shared" si="201"/>
        <v>Solaray</v>
      </c>
      <c r="J2570" s="97" t="s">
        <v>1169</v>
      </c>
      <c r="K2570" s="29">
        <v>6.69</v>
      </c>
      <c r="L2570" s="29">
        <v>-1.47</v>
      </c>
      <c r="M2570" s="30">
        <f>IFERROR(VLOOKUP($A2570,HeadJournal!$A$1:$J$890,COLUMN(HeadJournal!I$1),0)*($K2570+$L2570)/(SUMIF($A:$A,$A2570,$K:$K)+SUMIF($A:$A,$A2570,$L:$L)),0)</f>
        <v>-0.3104217255562714</v>
      </c>
      <c r="N2570" s="30">
        <f>IFERROR((VLOOKUP($A2570,HeadJournal!$A$1:$K$890,COLUMN(HeadJournal!K$1),0)-VLOOKUP($A2570,HeadJournal!$A$1:$K$890,COLUMN(HeadJournal!J$1),0))*($K2570+$L2570)/(SUMIF($A:$A,$A2570,$K:$K)+SUMIF($A:$A,$A2570,$L:$L)),0)</f>
        <v>-7.3522634038708023E-16</v>
      </c>
      <c r="O2570" s="30">
        <f>IFERROR((VLOOKUP($A2570,HeadJournal!$A$1:$L$890,COLUMN(HeadJournal!L$1),0)*($K2570+$L2570)/(SUMIF($A:$A,$A2570,$K:$K)+SUMIF($A:$A,$A2570,$L:$L)))/VLOOKUP($A2570,HeadJournal!$A$1:$L$890,COLUMN(HeadJournal!H$1),0),0)</f>
        <v>0.37727553252283125</v>
      </c>
      <c r="P2570" s="30">
        <f>IFERROR(SUM(K2570:O2570)*VLOOKUP($A2570,HeadJournal!$A$1:$L$890,COLUMN(HeadJournal!H$1),0),0)</f>
        <v>536.50186827890366</v>
      </c>
      <c r="Q2570" s="29">
        <v>1200</v>
      </c>
      <c r="R2570" s="31">
        <v>45353</v>
      </c>
      <c r="S2570" s="31" t="s">
        <v>3121</v>
      </c>
      <c r="T2570" s="95" t="str">
        <f t="shared" si="205"/>
        <v>2024 03</v>
      </c>
      <c r="U2570" s="32">
        <f t="shared" si="202"/>
        <v>663.49813172109634</v>
      </c>
      <c r="V2570" s="22">
        <f t="shared" si="203"/>
        <v>1.2367116890936396</v>
      </c>
      <c r="X2570" s="33"/>
      <c r="Y2570" s="33"/>
    </row>
    <row r="2571" spans="1:25" x14ac:dyDescent="0.2">
      <c r="A2571" s="93" t="s">
        <v>1158</v>
      </c>
      <c r="B2571" s="94" t="str">
        <f>IFERROR(VLOOKUP($A2571,HeadJournal!$A$1:$NTR$890,COLUMN(HeadJournal!B$1),0),"")</f>
        <v>720000032862</v>
      </c>
      <c r="C2571" s="94" t="str">
        <f>IFERROR(VLOOKUP($A2571,HeadJournal!$A$1:$NTR$890,COLUMN(HeadJournal!C$1),0),"")</f>
        <v>iHerb_MH DLE7202</v>
      </c>
      <c r="D2571" s="125" t="str">
        <f>IFERROR(VLOOKUP($A2571,HeadJournal!$A$1:$NTR$890,COLUMN(HeadJournal!D$1),0),"")</f>
        <v>Доставлен</v>
      </c>
      <c r="E2571" s="95">
        <f>IFERROR(VLOOKUP($A2571,HeadJournal!$A$1:$NTR$890,COLUMN(HeadJournal!G$1),0),"")</f>
        <v>45259</v>
      </c>
      <c r="F2571" s="95" t="str">
        <f t="shared" si="204"/>
        <v>2023 11</v>
      </c>
      <c r="G2571" s="96" t="s">
        <v>5</v>
      </c>
      <c r="H2571" s="160" t="str">
        <f>RIGHT(Journal!$J2571,9)</f>
        <v> NOW04700</v>
      </c>
      <c r="I2571" s="96" t="str">
        <f t="shared" si="201"/>
        <v>NOW Foods</v>
      </c>
      <c r="J2571" s="97" t="s">
        <v>1170</v>
      </c>
      <c r="K2571" s="29">
        <v>9.18</v>
      </c>
      <c r="L2571" s="29">
        <v>-2.02</v>
      </c>
      <c r="M2571" s="30">
        <f>IFERROR(VLOOKUP($A2571,HeadJournal!$A$1:$J$890,COLUMN(HeadJournal!I$1),0)*($K2571+$L2571)/(SUMIF($A:$A,$A2571,$K:$K)+SUMIF($A:$A,$A2571,$L:$L)),0)</f>
        <v>-0.42578918677833388</v>
      </c>
      <c r="N2571" s="30">
        <f>IFERROR((VLOOKUP($A2571,HeadJournal!$A$1:$K$890,COLUMN(HeadJournal!K$1),0)-VLOOKUP($A2571,HeadJournal!$A$1:$K$890,COLUMN(HeadJournal!J$1),0))*($K2571+$L2571)/(SUMIF($A:$A,$A2571,$K:$K)+SUMIF($A:$A,$A2571,$L:$L)),0)</f>
        <v>-1.0084713787684855E-15</v>
      </c>
      <c r="O2571" s="30">
        <f>IFERROR((VLOOKUP($A2571,HeadJournal!$A$1:$L$890,COLUMN(HeadJournal!L$1),0)*($K2571+$L2571)/(SUMIF($A:$A,$A2571,$K:$K)+SUMIF($A:$A,$A2571,$L:$L)))/VLOOKUP($A2571,HeadJournal!$A$1:$L$890,COLUMN(HeadJournal!H$1),0),0)</f>
        <v>0.51748904460986045</v>
      </c>
      <c r="P2571" s="30">
        <f>IFERROR(SUM(K2571:O2571)*VLOOKUP($A2571,HeadJournal!$A$1:$L$890,COLUMN(HeadJournal!H$1),0),0)</f>
        <v>735.89145150899424</v>
      </c>
      <c r="Q2571" s="29">
        <v>1600</v>
      </c>
      <c r="R2571" s="31">
        <v>45317</v>
      </c>
      <c r="S2571" s="31" t="s">
        <v>3121</v>
      </c>
      <c r="T2571" s="95" t="str">
        <f t="shared" si="205"/>
        <v>2024 01</v>
      </c>
      <c r="U2571" s="32">
        <f t="shared" si="202"/>
        <v>864.10854849100576</v>
      </c>
      <c r="V2571" s="22">
        <f t="shared" si="203"/>
        <v>1.1742337089513595</v>
      </c>
      <c r="X2571" s="33"/>
      <c r="Y2571" s="33"/>
    </row>
    <row r="2572" spans="1:25" x14ac:dyDescent="0.2">
      <c r="A2572" s="93" t="s">
        <v>1171</v>
      </c>
      <c r="B2572" s="94" t="str">
        <f>IFERROR(VLOOKUP($A2572,HeadJournal!$A$1:$NTR$890,COLUMN(HeadJournal!B$1),0),"")</f>
        <v>720000026090</v>
      </c>
      <c r="C2572" s="94" t="str">
        <f>IFERROR(VLOOKUP($A2572,HeadJournal!$A$1:$NTR$890,COLUMN(HeadJournal!C$1),0),"")</f>
        <v>iHerb_VP DFD1605</v>
      </c>
      <c r="D2572" s="125" t="str">
        <f>IFERROR(VLOOKUP($A2572,HeadJournal!$A$1:$NTR$890,COLUMN(HeadJournal!D$1),0),"")</f>
        <v>Доставлен</v>
      </c>
      <c r="E2572" s="95">
        <f>IFERROR(VLOOKUP($A2572,HeadJournal!$A$1:$NTR$890,COLUMN(HeadJournal!G$1),0),"")</f>
        <v>45255</v>
      </c>
      <c r="F2572" s="95" t="str">
        <f t="shared" si="204"/>
        <v>2023 11</v>
      </c>
      <c r="G2572" s="96" t="s">
        <v>6</v>
      </c>
      <c r="H2572" s="160" t="str">
        <f>RIGHT(Journal!$J2572,9)</f>
        <v> NOW02035</v>
      </c>
      <c r="I2572" s="96" t="str">
        <f t="shared" si="201"/>
        <v>NOW Foods</v>
      </c>
      <c r="J2572" s="97" t="s">
        <v>1172</v>
      </c>
      <c r="K2572" s="29">
        <v>16.8</v>
      </c>
      <c r="L2572" s="29">
        <v>-5.04</v>
      </c>
      <c r="M2572" s="30">
        <f>IFERROR(VLOOKUP($A2572,HeadJournal!$A$1:$J$890,COLUMN(HeadJournal!I$1),0)*($K2572+$L2572)/(SUMIF($A:$A,$A2572,$K:$K)+SUMIF($A:$A,$A2572,$L:$L)),0)</f>
        <v>0</v>
      </c>
      <c r="N2572" s="30">
        <f>IFERROR((VLOOKUP($A2572,HeadJournal!$A$1:$K$890,COLUMN(HeadJournal!K$1),0)-VLOOKUP($A2572,HeadJournal!$A$1:$K$890,COLUMN(HeadJournal!J$1),0))*($K2572+$L2572)/(SUMIF($A:$A,$A2572,$K:$K)+SUMIF($A:$A,$A2572,$L:$L)),0)</f>
        <v>-1.9331365118655357E-15</v>
      </c>
      <c r="O2572" s="30">
        <f>IFERROR((VLOOKUP($A2572,HeadJournal!$A$1:$L$890,COLUMN(HeadJournal!L$1),0)*($K2572+$L2572)/(SUMIF($A:$A,$A2572,$K:$K)+SUMIF($A:$A,$A2572,$L:$L)))/VLOOKUP($A2572,HeadJournal!$A$1:$L$890,COLUMN(HeadJournal!H$1),0),0)</f>
        <v>0.99749434335978082</v>
      </c>
      <c r="P2572" s="30">
        <f>IFERROR(SUM(K2572:O2572)*VLOOKUP($A2572,HeadJournal!$A$1:$L$890,COLUMN(HeadJournal!H$1),0),0)</f>
        <v>1287.4458947368421</v>
      </c>
      <c r="Q2572" s="29">
        <v>2500</v>
      </c>
      <c r="R2572" s="31">
        <v>45742</v>
      </c>
      <c r="S2572" s="31" t="s">
        <v>3121</v>
      </c>
      <c r="T2572" s="95" t="str">
        <f t="shared" si="205"/>
        <v>2025 03</v>
      </c>
      <c r="U2572" s="32">
        <f t="shared" si="202"/>
        <v>1212.5541052631579</v>
      </c>
      <c r="V2572" s="22">
        <f t="shared" si="203"/>
        <v>0.94182917528430021</v>
      </c>
      <c r="X2572" s="33"/>
      <c r="Y2572" s="33"/>
    </row>
    <row r="2573" spans="1:25" x14ac:dyDescent="0.2">
      <c r="A2573" s="93" t="s">
        <v>1171</v>
      </c>
      <c r="B2573" s="94" t="str">
        <f>IFERROR(VLOOKUP($A2573,HeadJournal!$A$1:$NTR$890,COLUMN(HeadJournal!B$1),0),"")</f>
        <v>720000026090</v>
      </c>
      <c r="C2573" s="94" t="str">
        <f>IFERROR(VLOOKUP($A2573,HeadJournal!$A$1:$NTR$890,COLUMN(HeadJournal!C$1),0),"")</f>
        <v>iHerb_VP DFD1605</v>
      </c>
      <c r="D2573" s="125" t="str">
        <f>IFERROR(VLOOKUP($A2573,HeadJournal!$A$1:$NTR$890,COLUMN(HeadJournal!D$1),0),"")</f>
        <v>Доставлен</v>
      </c>
      <c r="E2573" s="95">
        <f>IFERROR(VLOOKUP($A2573,HeadJournal!$A$1:$NTR$890,COLUMN(HeadJournal!G$1),0),"")</f>
        <v>45255</v>
      </c>
      <c r="F2573" s="95" t="str">
        <f t="shared" si="204"/>
        <v>2023 11</v>
      </c>
      <c r="G2573" s="96" t="s">
        <v>5</v>
      </c>
      <c r="H2573" s="160" t="str">
        <f>RIGHT(Journal!$J2573,9)</f>
        <v> PAL04153</v>
      </c>
      <c r="I2573" s="96" t="str">
        <f t="shared" si="201"/>
        <v>Palmer's</v>
      </c>
      <c r="J2573" s="97" t="s">
        <v>1173</v>
      </c>
      <c r="K2573" s="29">
        <v>16.309999999999999</v>
      </c>
      <c r="L2573" s="29">
        <v>-4.08</v>
      </c>
      <c r="M2573" s="30">
        <f>IFERROR(VLOOKUP($A2573,HeadJournal!$A$1:$J$890,COLUMN(HeadJournal!I$1),0)*($K2573+$L2573)/(SUMIF($A:$A,$A2573,$K:$K)+SUMIF($A:$A,$A2573,$L:$L)),0)</f>
        <v>0</v>
      </c>
      <c r="N2573" s="30">
        <f>IFERROR((VLOOKUP($A2573,HeadJournal!$A$1:$K$890,COLUMN(HeadJournal!K$1),0)-VLOOKUP($A2573,HeadJournal!$A$1:$K$890,COLUMN(HeadJournal!J$1),0))*($K2573+$L2573)/(SUMIF($A:$A,$A2573,$K:$K)+SUMIF($A:$A,$A2573,$L:$L)),0)</f>
        <v>-2.0103962193975761E-15</v>
      </c>
      <c r="O2573" s="30">
        <f>IFERROR((VLOOKUP($A2573,HeadJournal!$A$1:$L$890,COLUMN(HeadJournal!L$1),0)*($K2573+$L2573)/(SUMIF($A:$A,$A2573,$K:$K)+SUMIF($A:$A,$A2573,$L:$L)))/VLOOKUP($A2573,HeadJournal!$A$1:$L$890,COLUMN(HeadJournal!H$1),0),0)</f>
        <v>1.0373601887151458</v>
      </c>
      <c r="P2573" s="30">
        <f>IFERROR(SUM(K2573:O2573)*VLOOKUP($A2573,HeadJournal!$A$1:$L$890,COLUMN(HeadJournal!H$1),0),0)</f>
        <v>1338.8999398496237</v>
      </c>
      <c r="Q2573" s="29">
        <v>2100</v>
      </c>
      <c r="R2573" s="31">
        <v>45685</v>
      </c>
      <c r="S2573" s="31" t="s">
        <v>3121</v>
      </c>
      <c r="T2573" s="95" t="str">
        <f t="shared" si="205"/>
        <v>2025 01</v>
      </c>
      <c r="U2573" s="32">
        <f t="shared" si="202"/>
        <v>761.10006015037629</v>
      </c>
      <c r="V2573" s="22">
        <f t="shared" si="203"/>
        <v>0.56845178455669954</v>
      </c>
      <c r="X2573" s="33"/>
      <c r="Y2573" s="33"/>
    </row>
    <row r="2574" spans="1:25" x14ac:dyDescent="0.2">
      <c r="A2574" s="93" t="s">
        <v>1171</v>
      </c>
      <c r="B2574" s="94" t="str">
        <f>IFERROR(VLOOKUP($A2574,HeadJournal!$A$1:$NTR$890,COLUMN(HeadJournal!B$1),0),"")</f>
        <v>720000026090</v>
      </c>
      <c r="C2574" s="94" t="str">
        <f>IFERROR(VLOOKUP($A2574,HeadJournal!$A$1:$NTR$890,COLUMN(HeadJournal!C$1),0),"")</f>
        <v>iHerb_VP DFD1605</v>
      </c>
      <c r="D2574" s="125" t="str">
        <f>IFERROR(VLOOKUP($A2574,HeadJournal!$A$1:$NTR$890,COLUMN(HeadJournal!D$1),0),"")</f>
        <v>Доставлен</v>
      </c>
      <c r="E2574" s="95">
        <f>IFERROR(VLOOKUP($A2574,HeadJournal!$A$1:$NTR$890,COLUMN(HeadJournal!G$1),0),"")</f>
        <v>45255</v>
      </c>
      <c r="F2574" s="95" t="str">
        <f t="shared" si="204"/>
        <v>2023 11</v>
      </c>
      <c r="G2574" s="96" t="s">
        <v>5</v>
      </c>
      <c r="H2574" s="160" t="str">
        <f>RIGHT(Journal!$J2574,9)</f>
        <v> SRE01345</v>
      </c>
      <c r="I2574" s="96" t="str">
        <f t="shared" ref="I2574:I2637" si="206">IFERROR(LEFT(J2574,FIND(",",J2574)-1),"")</f>
        <v>Sports Research</v>
      </c>
      <c r="J2574" s="97" t="s">
        <v>1174</v>
      </c>
      <c r="K2574" s="29">
        <v>34.21</v>
      </c>
      <c r="L2574" s="29">
        <v>-10.26</v>
      </c>
      <c r="M2574" s="30">
        <f>IFERROR(VLOOKUP($A2574,HeadJournal!$A$1:$J$890,COLUMN(HeadJournal!I$1),0)*($K2574+$L2574)/(SUMIF($A:$A,$A2574,$K:$K)+SUMIF($A:$A,$A2574,$L:$L)),0)</f>
        <v>0</v>
      </c>
      <c r="N2574" s="30">
        <f>IFERROR((VLOOKUP($A2574,HeadJournal!$A$1:$K$890,COLUMN(HeadJournal!K$1),0)-VLOOKUP($A2574,HeadJournal!$A$1:$K$890,COLUMN(HeadJournal!J$1),0))*($K2574+$L2574)/(SUMIF($A:$A,$A2574,$K:$K)+SUMIF($A:$A,$A2574,$L:$L)),0)</f>
        <v>-3.9369574370050663E-15</v>
      </c>
      <c r="O2574" s="30">
        <f>IFERROR((VLOOKUP($A2574,HeadJournal!$A$1:$L$890,COLUMN(HeadJournal!L$1),0)*($K2574+$L2574)/(SUMIF($A:$A,$A2574,$K:$K)+SUMIF($A:$A,$A2574,$L:$L)))/VLOOKUP($A2574,HeadJournal!$A$1:$L$890,COLUMN(HeadJournal!H$1),0),0)</f>
        <v>2.0314616941723425</v>
      </c>
      <c r="P2574" s="30">
        <f>IFERROR(SUM(K2574:O2574)*VLOOKUP($A2574,HeadJournal!$A$1:$L$890,COLUMN(HeadJournal!H$1),0),0)</f>
        <v>2621.9667669172927</v>
      </c>
      <c r="Q2574" s="29">
        <v>3700</v>
      </c>
      <c r="R2574" s="31">
        <v>45353</v>
      </c>
      <c r="S2574" s="31" t="s">
        <v>3121</v>
      </c>
      <c r="T2574" s="95" t="str">
        <f t="shared" si="205"/>
        <v>2024 03</v>
      </c>
      <c r="U2574" s="32">
        <f t="shared" si="202"/>
        <v>1078.0332330827073</v>
      </c>
      <c r="V2574" s="22">
        <f t="shared" si="203"/>
        <v>0.41115442296401644</v>
      </c>
      <c r="X2574" s="33"/>
      <c r="Y2574" s="33"/>
    </row>
    <row r="2575" spans="1:25" x14ac:dyDescent="0.2">
      <c r="A2575" s="93" t="s">
        <v>1171</v>
      </c>
      <c r="B2575" s="94" t="str">
        <f>IFERROR(VLOOKUP($A2575,HeadJournal!$A$1:$NTR$890,COLUMN(HeadJournal!B$1),0),"")</f>
        <v>720000026090</v>
      </c>
      <c r="C2575" s="94" t="str">
        <f>IFERROR(VLOOKUP($A2575,HeadJournal!$A$1:$NTR$890,COLUMN(HeadJournal!C$1),0),"")</f>
        <v>iHerb_VP DFD1605</v>
      </c>
      <c r="D2575" s="125" t="str">
        <f>IFERROR(VLOOKUP($A2575,HeadJournal!$A$1:$NTR$890,COLUMN(HeadJournal!D$1),0),"")</f>
        <v>Доставлен</v>
      </c>
      <c r="E2575" s="95">
        <f>IFERROR(VLOOKUP($A2575,HeadJournal!$A$1:$NTR$890,COLUMN(HeadJournal!G$1),0),"")</f>
        <v>45255</v>
      </c>
      <c r="F2575" s="95" t="str">
        <f t="shared" si="204"/>
        <v>2023 11</v>
      </c>
      <c r="G2575" s="96" t="s">
        <v>7</v>
      </c>
      <c r="H2575" s="160" t="str">
        <f>RIGHT(Journal!$J2575,9)</f>
        <v> LGJ10204</v>
      </c>
      <c r="I2575" s="96" t="str">
        <f t="shared" si="206"/>
        <v>JR</v>
      </c>
      <c r="J2575" s="97" t="s">
        <v>3605</v>
      </c>
      <c r="K2575" s="29">
        <v>7.55</v>
      </c>
      <c r="L2575" s="29">
        <v>-2.27</v>
      </c>
      <c r="M2575" s="30">
        <f>IFERROR(VLOOKUP($A2575,HeadJournal!$A$1:$J$890,COLUMN(HeadJournal!I$1),0)*($K2575+$L2575)/(SUMIF($A:$A,$A2575,$K:$K)+SUMIF($A:$A,$A2575,$L:$L)),0)</f>
        <v>0</v>
      </c>
      <c r="N2575" s="30">
        <f>IFERROR((VLOOKUP($A2575,HeadJournal!$A$1:$K$890,COLUMN(HeadJournal!K$1),0)-VLOOKUP($A2575,HeadJournal!$A$1:$K$890,COLUMN(HeadJournal!J$1),0))*($K2575+$L2575)/(SUMIF($A:$A,$A2575,$K:$K)+SUMIF($A:$A,$A2575,$L:$L)),0)</f>
        <v>-8.6793884206207695E-16</v>
      </c>
      <c r="O2575" s="30">
        <f>IFERROR((VLOOKUP($A2575,HeadJournal!$A$1:$L$890,COLUMN(HeadJournal!L$1),0)*($K2575+$L2575)/(SUMIF($A:$A,$A2575,$K:$K)+SUMIF($A:$A,$A2575,$L:$L)))/VLOOKUP($A2575,HeadJournal!$A$1:$L$890,COLUMN(HeadJournal!H$1),0),0)</f>
        <v>0.44785460314112591</v>
      </c>
      <c r="P2575" s="30">
        <f>IFERROR(SUM(K2575:O2575)*VLOOKUP($A2575,HeadJournal!$A$1:$L$890,COLUMN(HeadJournal!H$1),0),0)</f>
        <v>578.03693233082686</v>
      </c>
      <c r="Q2575" s="29"/>
      <c r="R2575" s="31"/>
      <c r="S2575" s="31"/>
      <c r="T2575" s="95" t="str">
        <f t="shared" si="205"/>
        <v/>
      </c>
      <c r="U2575" s="32">
        <f t="shared" si="202"/>
        <v>-578.03693233082686</v>
      </c>
      <c r="V2575" s="22" t="str">
        <f t="shared" si="203"/>
        <v/>
      </c>
      <c r="X2575" s="33"/>
      <c r="Y2575" s="33"/>
    </row>
    <row r="2576" spans="1:25" x14ac:dyDescent="0.2">
      <c r="A2576" s="93" t="s">
        <v>1171</v>
      </c>
      <c r="B2576" s="94" t="str">
        <f>IFERROR(VLOOKUP($A2576,HeadJournal!$A$1:$NTR$890,COLUMN(HeadJournal!B$1),0),"")</f>
        <v>720000026090</v>
      </c>
      <c r="C2576" s="94" t="str">
        <f>IFERROR(VLOOKUP($A2576,HeadJournal!$A$1:$NTR$890,COLUMN(HeadJournal!C$1),0),"")</f>
        <v>iHerb_VP DFD1605</v>
      </c>
      <c r="D2576" s="125" t="str">
        <f>IFERROR(VLOOKUP($A2576,HeadJournal!$A$1:$NTR$890,COLUMN(HeadJournal!D$1),0),"")</f>
        <v>Доставлен</v>
      </c>
      <c r="E2576" s="95">
        <f>IFERROR(VLOOKUP($A2576,HeadJournal!$A$1:$NTR$890,COLUMN(HeadJournal!G$1),0),"")</f>
        <v>45255</v>
      </c>
      <c r="F2576" s="95" t="str">
        <f t="shared" si="204"/>
        <v>2023 11</v>
      </c>
      <c r="G2576" s="96" t="s">
        <v>6</v>
      </c>
      <c r="H2576" s="160" t="str">
        <f>RIGHT(Journal!$J2576,9)</f>
        <v> FCD02881</v>
      </c>
      <c r="I2576" s="96" t="str">
        <f t="shared" si="206"/>
        <v>FITCODE</v>
      </c>
      <c r="J2576" s="97" t="s">
        <v>1175</v>
      </c>
      <c r="K2576" s="29">
        <v>16.79</v>
      </c>
      <c r="L2576" s="29">
        <v>-4.2</v>
      </c>
      <c r="M2576" s="30">
        <f>IFERROR(VLOOKUP($A2576,HeadJournal!$A$1:$J$890,COLUMN(HeadJournal!I$1),0)*($K2576+$L2576)/(SUMIF($A:$A,$A2576,$K:$K)+SUMIF($A:$A,$A2576,$L:$L)),0)</f>
        <v>0</v>
      </c>
      <c r="N2576" s="30">
        <f>IFERROR((VLOOKUP($A2576,HeadJournal!$A$1:$K$890,COLUMN(HeadJournal!K$1),0)-VLOOKUP($A2576,HeadJournal!$A$1:$K$890,COLUMN(HeadJournal!J$1),0))*($K2576+$L2576)/(SUMIF($A:$A,$A2576,$K:$K)+SUMIF($A:$A,$A2576,$L:$L)),0)</f>
        <v>-2.0695738677199907E-15</v>
      </c>
      <c r="O2576" s="30">
        <f>IFERROR((VLOOKUP($A2576,HeadJournal!$A$1:$L$890,COLUMN(HeadJournal!L$1),0)*($K2576+$L2576)/(SUMIF($A:$A,$A2576,$K:$K)+SUMIF($A:$A,$A2576,$L:$L)))/VLOOKUP($A2576,HeadJournal!$A$1:$L$890,COLUMN(HeadJournal!H$1),0),0)</f>
        <v>1.0678957298384046</v>
      </c>
      <c r="P2576" s="30">
        <f>IFERROR(SUM(K2576:O2576)*VLOOKUP($A2576,HeadJournal!$A$1:$L$890,COLUMN(HeadJournal!H$1),0),0)</f>
        <v>1378.3115488721801</v>
      </c>
      <c r="Q2576" s="29">
        <v>2900</v>
      </c>
      <c r="R2576" s="31">
        <v>45698</v>
      </c>
      <c r="S2576" s="31" t="s">
        <v>3121</v>
      </c>
      <c r="T2576" s="95" t="str">
        <f t="shared" si="205"/>
        <v>2025 02</v>
      </c>
      <c r="U2576" s="32">
        <f t="shared" si="202"/>
        <v>1521.6884511278199</v>
      </c>
      <c r="V2576" s="22">
        <f t="shared" si="203"/>
        <v>1.1040235804256009</v>
      </c>
      <c r="X2576" s="33"/>
      <c r="Y2576" s="33"/>
    </row>
    <row r="2577" spans="1:25" x14ac:dyDescent="0.2">
      <c r="A2577" s="93" t="s">
        <v>1171</v>
      </c>
      <c r="B2577" s="94" t="str">
        <f>IFERROR(VLOOKUP($A2577,HeadJournal!$A$1:$NTR$890,COLUMN(HeadJournal!B$1),0),"")</f>
        <v>720000026090</v>
      </c>
      <c r="C2577" s="94" t="str">
        <f>IFERROR(VLOOKUP($A2577,HeadJournal!$A$1:$NTR$890,COLUMN(HeadJournal!C$1),0),"")</f>
        <v>iHerb_VP DFD1605</v>
      </c>
      <c r="D2577" s="125" t="str">
        <f>IFERROR(VLOOKUP($A2577,HeadJournal!$A$1:$NTR$890,COLUMN(HeadJournal!D$1),0),"")</f>
        <v>Доставлен</v>
      </c>
      <c r="E2577" s="95">
        <f>IFERROR(VLOOKUP($A2577,HeadJournal!$A$1:$NTR$890,COLUMN(HeadJournal!G$1),0),"")</f>
        <v>45255</v>
      </c>
      <c r="F2577" s="95" t="str">
        <f t="shared" si="204"/>
        <v>2023 11</v>
      </c>
      <c r="G2577" s="96" t="s">
        <v>7</v>
      </c>
      <c r="H2577" s="160" t="str">
        <f>RIGHT(Journal!$J2577,9)</f>
        <v> MBY48312</v>
      </c>
      <c r="I2577" s="96" t="str">
        <f t="shared" si="206"/>
        <v>Maybelline</v>
      </c>
      <c r="J2577" s="97" t="s">
        <v>1176</v>
      </c>
      <c r="K2577" s="29">
        <v>7.43</v>
      </c>
      <c r="L2577" s="29">
        <v>-2.23</v>
      </c>
      <c r="M2577" s="30">
        <f>IFERROR(VLOOKUP($A2577,HeadJournal!$A$1:$J$890,COLUMN(HeadJournal!I$1),0)*($K2577+$L2577)/(SUMIF($A:$A,$A2577,$K:$K)+SUMIF($A:$A,$A2577,$L:$L)),0)</f>
        <v>0</v>
      </c>
      <c r="N2577" s="30">
        <f>IFERROR((VLOOKUP($A2577,HeadJournal!$A$1:$K$890,COLUMN(HeadJournal!K$1),0)-VLOOKUP($A2577,HeadJournal!$A$1:$K$890,COLUMN(HeadJournal!J$1),0))*($K2577+$L2577)/(SUMIF($A:$A,$A2577,$K:$K)+SUMIF($A:$A,$A2577,$L:$L)),0)</f>
        <v>-8.5478825354598494E-16</v>
      </c>
      <c r="O2577" s="30">
        <f>IFERROR((VLOOKUP($A2577,HeadJournal!$A$1:$L$890,COLUMN(HeadJournal!L$1),0)*($K2577+$L2577)/(SUMIF($A:$A,$A2577,$K:$K)+SUMIF($A:$A,$A2577,$L:$L)))/VLOOKUP($A2577,HeadJournal!$A$1:$L$890,COLUMN(HeadJournal!H$1),0),0)</f>
        <v>0.44106892733595732</v>
      </c>
      <c r="P2577" s="30">
        <f>IFERROR(SUM(K2577:O2577)*VLOOKUP($A2577,HeadJournal!$A$1:$L$890,COLUMN(HeadJournal!H$1),0),0)</f>
        <v>569.27879699248092</v>
      </c>
      <c r="Q2577" s="29"/>
      <c r="R2577" s="31"/>
      <c r="S2577" s="31"/>
      <c r="T2577" s="95" t="str">
        <f t="shared" si="205"/>
        <v/>
      </c>
      <c r="U2577" s="32">
        <f t="shared" si="202"/>
        <v>-569.27879699248092</v>
      </c>
      <c r="V2577" s="22" t="str">
        <f t="shared" si="203"/>
        <v/>
      </c>
      <c r="X2577" s="33"/>
      <c r="Y2577" s="33"/>
    </row>
    <row r="2578" spans="1:25" x14ac:dyDescent="0.2">
      <c r="A2578" s="93" t="s">
        <v>1171</v>
      </c>
      <c r="B2578" s="94" t="str">
        <f>IFERROR(VLOOKUP($A2578,HeadJournal!$A$1:$NTR$890,COLUMN(HeadJournal!B$1),0),"")</f>
        <v>720000026090</v>
      </c>
      <c r="C2578" s="94" t="str">
        <f>IFERROR(VLOOKUP($A2578,HeadJournal!$A$1:$NTR$890,COLUMN(HeadJournal!C$1),0),"")</f>
        <v>iHerb_VP DFD1605</v>
      </c>
      <c r="D2578" s="125" t="str">
        <f>IFERROR(VLOOKUP($A2578,HeadJournal!$A$1:$NTR$890,COLUMN(HeadJournal!D$1),0),"")</f>
        <v>Доставлен</v>
      </c>
      <c r="E2578" s="95">
        <f>IFERROR(VLOOKUP($A2578,HeadJournal!$A$1:$NTR$890,COLUMN(HeadJournal!G$1),0),"")</f>
        <v>45255</v>
      </c>
      <c r="F2578" s="95" t="str">
        <f t="shared" si="204"/>
        <v>2023 11</v>
      </c>
      <c r="G2578" s="96" t="s">
        <v>7</v>
      </c>
      <c r="H2578" s="160" t="str">
        <f>RIGHT(Journal!$J2578,9)</f>
        <v> MBY42459</v>
      </c>
      <c r="I2578" s="96" t="str">
        <f t="shared" si="206"/>
        <v>Maybelline</v>
      </c>
      <c r="J2578" s="97" t="s">
        <v>1177</v>
      </c>
      <c r="K2578" s="29">
        <v>7.39</v>
      </c>
      <c r="L2578" s="29">
        <v>-2.2200000000000002</v>
      </c>
      <c r="M2578" s="30">
        <f>IFERROR(VLOOKUP($A2578,HeadJournal!$A$1:$J$890,COLUMN(HeadJournal!I$1),0)*($K2578+$L2578)/(SUMIF($A:$A,$A2578,$K:$K)+SUMIF($A:$A,$A2578,$L:$L)),0)</f>
        <v>0</v>
      </c>
      <c r="N2578" s="30">
        <f>IFERROR((VLOOKUP($A2578,HeadJournal!$A$1:$K$890,COLUMN(HeadJournal!K$1),0)-VLOOKUP($A2578,HeadJournal!$A$1:$K$890,COLUMN(HeadJournal!J$1),0))*($K2578+$L2578)/(SUMIF($A:$A,$A2578,$K:$K)+SUMIF($A:$A,$A2578,$L:$L)),0)</f>
        <v>-8.4985678285245049E-16</v>
      </c>
      <c r="O2578" s="30">
        <f>IFERROR((VLOOKUP($A2578,HeadJournal!$A$1:$L$890,COLUMN(HeadJournal!L$1),0)*($K2578+$L2578)/(SUMIF($A:$A,$A2578,$K:$K)+SUMIF($A:$A,$A2578,$L:$L)))/VLOOKUP($A2578,HeadJournal!$A$1:$L$890,COLUMN(HeadJournal!H$1),0),0)</f>
        <v>0.43852429890901917</v>
      </c>
      <c r="P2578" s="30">
        <f>IFERROR(SUM(K2578:O2578)*VLOOKUP($A2578,HeadJournal!$A$1:$L$890,COLUMN(HeadJournal!H$1),0),0)</f>
        <v>565.99449624060139</v>
      </c>
      <c r="Q2578" s="29"/>
      <c r="R2578" s="31"/>
      <c r="S2578" s="31"/>
      <c r="T2578" s="95" t="str">
        <f t="shared" si="205"/>
        <v/>
      </c>
      <c r="U2578" s="32">
        <f t="shared" si="202"/>
        <v>-565.99449624060139</v>
      </c>
      <c r="V2578" s="22" t="str">
        <f t="shared" si="203"/>
        <v/>
      </c>
      <c r="X2578" s="33"/>
      <c r="Y2578" s="33"/>
    </row>
    <row r="2579" spans="1:25" x14ac:dyDescent="0.2">
      <c r="A2579" s="93" t="s">
        <v>1171</v>
      </c>
      <c r="B2579" s="94" t="str">
        <f>IFERROR(VLOOKUP($A2579,HeadJournal!$A$1:$NTR$890,COLUMN(HeadJournal!B$1),0),"")</f>
        <v>720000026090</v>
      </c>
      <c r="C2579" s="94" t="str">
        <f>IFERROR(VLOOKUP($A2579,HeadJournal!$A$1:$NTR$890,COLUMN(HeadJournal!C$1),0),"")</f>
        <v>iHerb_VP DFD1605</v>
      </c>
      <c r="D2579" s="125" t="str">
        <f>IFERROR(VLOOKUP($A2579,HeadJournal!$A$1:$NTR$890,COLUMN(HeadJournal!D$1),0),"")</f>
        <v>Доставлен</v>
      </c>
      <c r="E2579" s="95">
        <f>IFERROR(VLOOKUP($A2579,HeadJournal!$A$1:$NTR$890,COLUMN(HeadJournal!G$1),0),"")</f>
        <v>45255</v>
      </c>
      <c r="F2579" s="95" t="str">
        <f t="shared" si="204"/>
        <v>2023 11</v>
      </c>
      <c r="G2579" s="96" t="s">
        <v>5</v>
      </c>
      <c r="H2579" s="160" t="str">
        <f>RIGHT(Journal!$J2579,9)</f>
        <v> NAP04997</v>
      </c>
      <c r="I2579" s="96" t="str">
        <f t="shared" si="206"/>
        <v>NaturesPlus</v>
      </c>
      <c r="J2579" s="97" t="s">
        <v>1178</v>
      </c>
      <c r="K2579" s="29">
        <v>27.85</v>
      </c>
      <c r="L2579" s="29">
        <v>-6.96</v>
      </c>
      <c r="M2579" s="30">
        <f>IFERROR(VLOOKUP($A2579,HeadJournal!$A$1:$J$890,COLUMN(HeadJournal!I$1),0)*($K2579+$L2579)/(SUMIF($A:$A,$A2579,$K:$K)+SUMIF($A:$A,$A2579,$L:$L)),0)</f>
        <v>0</v>
      </c>
      <c r="N2579" s="30">
        <f>IFERROR((VLOOKUP($A2579,HeadJournal!$A$1:$K$890,COLUMN(HeadJournal!K$1),0)-VLOOKUP($A2579,HeadJournal!$A$1:$K$890,COLUMN(HeadJournal!J$1),0))*($K2579+$L2579)/(SUMIF($A:$A,$A2579,$K:$K)+SUMIF($A:$A,$A2579,$L:$L)),0)</f>
        <v>-3.4339474262645438E-15</v>
      </c>
      <c r="O2579" s="30">
        <f>IFERROR((VLOOKUP($A2579,HeadJournal!$A$1:$L$890,COLUMN(HeadJournal!L$1),0)*($K2579+$L2579)/(SUMIF($A:$A,$A2579,$K:$K)+SUMIF($A:$A,$A2579,$L:$L)))/VLOOKUP($A2579,HeadJournal!$A$1:$L$890,COLUMN(HeadJournal!H$1),0),0)</f>
        <v>1.7719095946246441</v>
      </c>
      <c r="P2579" s="30">
        <f>IFERROR(SUM(K2579:O2579)*VLOOKUP($A2579,HeadJournal!$A$1:$L$890,COLUMN(HeadJournal!H$1),0),0)</f>
        <v>2286.9680902255636</v>
      </c>
      <c r="Q2579" s="29">
        <v>3300</v>
      </c>
      <c r="R2579" s="31">
        <v>45684</v>
      </c>
      <c r="S2579" s="31" t="s">
        <v>3121</v>
      </c>
      <c r="T2579" s="95" t="str">
        <f t="shared" si="205"/>
        <v>2025 01</v>
      </c>
      <c r="U2579" s="32">
        <f t="shared" si="202"/>
        <v>1013.0319097744364</v>
      </c>
      <c r="V2579" s="22">
        <f t="shared" si="203"/>
        <v>0.44295848031466023</v>
      </c>
      <c r="X2579" s="33"/>
      <c r="Y2579" s="33"/>
    </row>
    <row r="2580" spans="1:25" x14ac:dyDescent="0.2">
      <c r="A2580" s="93" t="s">
        <v>1171</v>
      </c>
      <c r="B2580" s="94" t="str">
        <f>IFERROR(VLOOKUP($A2580,HeadJournal!$A$1:$NTR$890,COLUMN(HeadJournal!B$1),0),"")</f>
        <v>720000026090</v>
      </c>
      <c r="C2580" s="94" t="str">
        <f>IFERROR(VLOOKUP($A2580,HeadJournal!$A$1:$NTR$890,COLUMN(HeadJournal!C$1),0),"")</f>
        <v>iHerb_VP DFD1605</v>
      </c>
      <c r="D2580" s="125" t="str">
        <f>IFERROR(VLOOKUP($A2580,HeadJournal!$A$1:$NTR$890,COLUMN(HeadJournal!D$1),0),"")</f>
        <v>Доставлен</v>
      </c>
      <c r="E2580" s="95">
        <f>IFERROR(VLOOKUP($A2580,HeadJournal!$A$1:$NTR$890,COLUMN(HeadJournal!G$1),0),"")</f>
        <v>45255</v>
      </c>
      <c r="F2580" s="95" t="str">
        <f t="shared" si="204"/>
        <v>2023 11</v>
      </c>
      <c r="G2580" s="96" t="s">
        <v>6</v>
      </c>
      <c r="H2580" s="160" t="str">
        <f>RIGHT(Journal!$J2580,9)</f>
        <v> NOW02038</v>
      </c>
      <c r="I2580" s="96" t="str">
        <f t="shared" si="206"/>
        <v>NOW Foods</v>
      </c>
      <c r="J2580" s="97" t="s">
        <v>1179</v>
      </c>
      <c r="K2580" s="29">
        <v>34.659999999999997</v>
      </c>
      <c r="L2580" s="29">
        <v>-8.67</v>
      </c>
      <c r="M2580" s="30">
        <f>IFERROR(VLOOKUP($A2580,HeadJournal!$A$1:$J$890,COLUMN(HeadJournal!I$1),0)*($K2580+$L2580)/(SUMIF($A:$A,$A2580,$K:$K)+SUMIF($A:$A,$A2580,$L:$L)),0)</f>
        <v>0</v>
      </c>
      <c r="N2580" s="30">
        <f>IFERROR((VLOOKUP($A2580,HeadJournal!$A$1:$K$890,COLUMN(HeadJournal!K$1),0)-VLOOKUP($A2580,HeadJournal!$A$1:$K$890,COLUMN(HeadJournal!J$1),0))*($K2580+$L2580)/(SUMIF($A:$A,$A2580,$K:$K)+SUMIF($A:$A,$A2580,$L:$L)),0)</f>
        <v>-4.2722974441654129E-15</v>
      </c>
      <c r="O2580" s="30">
        <f>IFERROR((VLOOKUP($A2580,HeadJournal!$A$1:$L$890,COLUMN(HeadJournal!L$1),0)*($K2580+$L2580)/(SUMIF($A:$A,$A2580,$K:$K)+SUMIF($A:$A,$A2580,$L:$L)))/VLOOKUP($A2580,HeadJournal!$A$1:$L$890,COLUMN(HeadJournal!H$1),0),0)</f>
        <v>2.2044964272041403</v>
      </c>
      <c r="P2580" s="30">
        <f>IFERROR(SUM(K2580:O2580)*VLOOKUP($A2580,HeadJournal!$A$1:$L$890,COLUMN(HeadJournal!H$1),0),0)</f>
        <v>2845.2992180451115</v>
      </c>
      <c r="Q2580" s="29">
        <v>3700</v>
      </c>
      <c r="R2580" s="31">
        <v>45528</v>
      </c>
      <c r="S2580" s="31" t="s">
        <v>3121</v>
      </c>
      <c r="T2580" s="95" t="str">
        <f t="shared" si="205"/>
        <v>2024 08</v>
      </c>
      <c r="U2580" s="32">
        <f t="shared" si="202"/>
        <v>854.7007819548885</v>
      </c>
      <c r="V2580" s="22">
        <f t="shared" si="203"/>
        <v>0.30039047441278194</v>
      </c>
      <c r="X2580" s="33"/>
      <c r="Y2580" s="33"/>
    </row>
    <row r="2581" spans="1:25" x14ac:dyDescent="0.2">
      <c r="A2581" s="93" t="s">
        <v>1171</v>
      </c>
      <c r="B2581" s="94" t="str">
        <f>IFERROR(VLOOKUP($A2581,HeadJournal!$A$1:$NTR$890,COLUMN(HeadJournal!B$1),0),"")</f>
        <v>720000026090</v>
      </c>
      <c r="C2581" s="94" t="str">
        <f>IFERROR(VLOOKUP($A2581,HeadJournal!$A$1:$NTR$890,COLUMN(HeadJournal!C$1),0),"")</f>
        <v>iHerb_VP DFD1605</v>
      </c>
      <c r="D2581" s="125" t="str">
        <f>IFERROR(VLOOKUP($A2581,HeadJournal!$A$1:$NTR$890,COLUMN(HeadJournal!D$1),0),"")</f>
        <v>Доставлен</v>
      </c>
      <c r="E2581" s="95">
        <f>IFERROR(VLOOKUP($A2581,HeadJournal!$A$1:$NTR$890,COLUMN(HeadJournal!G$1),0),"")</f>
        <v>45255</v>
      </c>
      <c r="F2581" s="95" t="str">
        <f t="shared" si="204"/>
        <v>2023 11</v>
      </c>
      <c r="G2581" s="96" t="s">
        <v>6</v>
      </c>
      <c r="H2581" s="160" t="str">
        <f>RIGHT(Journal!$J2581,9)</f>
        <v> FOA66010</v>
      </c>
      <c r="I2581" s="96" t="str">
        <f t="shared" si="206"/>
        <v>Force Factor</v>
      </c>
      <c r="J2581" s="97" t="s">
        <v>1163</v>
      </c>
      <c r="K2581" s="29">
        <v>25.84</v>
      </c>
      <c r="L2581" s="29">
        <v>-12.92</v>
      </c>
      <c r="M2581" s="30">
        <f>IFERROR(VLOOKUP($A2581,HeadJournal!$A$1:$J$890,COLUMN(HeadJournal!I$1),0)*($K2581+$L2581)/(SUMIF($A:$A,$A2581,$K:$K)+SUMIF($A:$A,$A2581,$L:$L)),0)</f>
        <v>0</v>
      </c>
      <c r="N2581" s="30">
        <f>IFERROR((VLOOKUP($A2581,HeadJournal!$A$1:$K$890,COLUMN(HeadJournal!K$1),0)-VLOOKUP($A2581,HeadJournal!$A$1:$K$890,COLUMN(HeadJournal!J$1),0))*($K2581+$L2581)/(SUMIF($A:$A,$A2581,$K:$K)+SUMIF($A:$A,$A2581,$L:$L)),0)</f>
        <v>-2.1238200453488704E-15</v>
      </c>
      <c r="O2581" s="30">
        <f>IFERROR((VLOOKUP($A2581,HeadJournal!$A$1:$L$890,COLUMN(HeadJournal!L$1),0)*($K2581+$L2581)/(SUMIF($A:$A,$A2581,$K:$K)+SUMIF($A:$A,$A2581,$L:$L)))/VLOOKUP($A2581,HeadJournal!$A$1:$L$890,COLUMN(HeadJournal!H$1),0),0)</f>
        <v>1.0958866425347249</v>
      </c>
      <c r="P2581" s="30">
        <f>IFERROR(SUM(K2581:O2581)*VLOOKUP($A2581,HeadJournal!$A$1:$L$890,COLUMN(HeadJournal!H$1),0),0)</f>
        <v>1414.4388571428567</v>
      </c>
      <c r="Q2581" s="29">
        <v>2500</v>
      </c>
      <c r="R2581" s="31">
        <v>45576</v>
      </c>
      <c r="S2581" s="31" t="s">
        <v>3121</v>
      </c>
      <c r="T2581" s="95" t="str">
        <f t="shared" si="205"/>
        <v>2024 10</v>
      </c>
      <c r="U2581" s="32">
        <f t="shared" si="202"/>
        <v>1085.5611428571433</v>
      </c>
      <c r="V2581" s="22">
        <f t="shared" si="203"/>
        <v>0.76748537936094252</v>
      </c>
      <c r="X2581" s="33"/>
      <c r="Y2581" s="33"/>
    </row>
    <row r="2582" spans="1:25" x14ac:dyDescent="0.2">
      <c r="A2582" s="93" t="s">
        <v>1171</v>
      </c>
      <c r="B2582" s="94" t="str">
        <f>IFERROR(VLOOKUP($A2582,HeadJournal!$A$1:$NTR$890,COLUMN(HeadJournal!B$1),0),"")</f>
        <v>720000026090</v>
      </c>
      <c r="C2582" s="94" t="str">
        <f>IFERROR(VLOOKUP($A2582,HeadJournal!$A$1:$NTR$890,COLUMN(HeadJournal!C$1),0),"")</f>
        <v>iHerb_VP DFD1605</v>
      </c>
      <c r="D2582" s="125" t="str">
        <f>IFERROR(VLOOKUP($A2582,HeadJournal!$A$1:$NTR$890,COLUMN(HeadJournal!D$1),0),"")</f>
        <v>Доставлен</v>
      </c>
      <c r="E2582" s="95">
        <f>IFERROR(VLOOKUP($A2582,HeadJournal!$A$1:$NTR$890,COLUMN(HeadJournal!G$1),0),"")</f>
        <v>45255</v>
      </c>
      <c r="F2582" s="95" t="str">
        <f t="shared" si="204"/>
        <v>2023 11</v>
      </c>
      <c r="G2582" s="96" t="s">
        <v>5</v>
      </c>
      <c r="H2582" s="160" t="str">
        <f>RIGHT(Journal!$J2582,9)</f>
        <v> LEX88206</v>
      </c>
      <c r="I2582" s="96" t="str">
        <f t="shared" si="206"/>
        <v>Life Extension</v>
      </c>
      <c r="J2582" s="97" t="s">
        <v>1180</v>
      </c>
      <c r="K2582" s="29">
        <v>12.24</v>
      </c>
      <c r="L2582" s="29">
        <v>-3.06</v>
      </c>
      <c r="M2582" s="30">
        <f>IFERROR(VLOOKUP($A2582,HeadJournal!$A$1:$J$890,COLUMN(HeadJournal!I$1),0)*($K2582+$L2582)/(SUMIF($A:$A,$A2582,$K:$K)+SUMIF($A:$A,$A2582,$L:$L)),0)</f>
        <v>0</v>
      </c>
      <c r="N2582" s="30">
        <f>IFERROR((VLOOKUP($A2582,HeadJournal!$A$1:$K$890,COLUMN(HeadJournal!K$1),0)-VLOOKUP($A2582,HeadJournal!$A$1:$K$890,COLUMN(HeadJournal!J$1),0))*($K2582+$L2582)/(SUMIF($A:$A,$A2582,$K:$K)+SUMIF($A:$A,$A2582,$L:$L)),0)</f>
        <v>-1.5090300322215658E-15</v>
      </c>
      <c r="O2582" s="30">
        <f>IFERROR((VLOOKUP($A2582,HeadJournal!$A$1:$L$890,COLUMN(HeadJournal!L$1),0)*($K2582+$L2582)/(SUMIF($A:$A,$A2582,$K:$K)+SUMIF($A:$A,$A2582,$L:$L)))/VLOOKUP($A2582,HeadJournal!$A$1:$L$890,COLUMN(HeadJournal!H$1),0),0)</f>
        <v>0.77865629864309394</v>
      </c>
      <c r="P2582" s="30">
        <f>IFERROR(SUM(K2582:O2582)*VLOOKUP($A2582,HeadJournal!$A$1:$L$890,COLUMN(HeadJournal!H$1),0),0)</f>
        <v>1004.9960300751876</v>
      </c>
      <c r="Q2582" s="29"/>
      <c r="R2582" s="31"/>
      <c r="S2582" s="31"/>
      <c r="T2582" s="95" t="str">
        <f t="shared" si="205"/>
        <v/>
      </c>
      <c r="U2582" s="32">
        <f t="shared" si="202"/>
        <v>-1004.9960300751876</v>
      </c>
      <c r="V2582" s="22" t="str">
        <f t="shared" si="203"/>
        <v/>
      </c>
      <c r="X2582" s="33"/>
      <c r="Y2582" s="33"/>
    </row>
    <row r="2583" spans="1:25" x14ac:dyDescent="0.2">
      <c r="A2583" s="93" t="s">
        <v>1171</v>
      </c>
      <c r="B2583" s="94" t="str">
        <f>IFERROR(VLOOKUP($A2583,HeadJournal!$A$1:$NTR$890,COLUMN(HeadJournal!B$1),0),"")</f>
        <v>720000026090</v>
      </c>
      <c r="C2583" s="94" t="str">
        <f>IFERROR(VLOOKUP($A2583,HeadJournal!$A$1:$NTR$890,COLUMN(HeadJournal!C$1),0),"")</f>
        <v>iHerb_VP DFD1605</v>
      </c>
      <c r="D2583" s="125" t="str">
        <f>IFERROR(VLOOKUP($A2583,HeadJournal!$A$1:$NTR$890,COLUMN(HeadJournal!D$1),0),"")</f>
        <v>Доставлен</v>
      </c>
      <c r="E2583" s="95">
        <f>IFERROR(VLOOKUP($A2583,HeadJournal!$A$1:$NTR$890,COLUMN(HeadJournal!G$1),0),"")</f>
        <v>45255</v>
      </c>
      <c r="F2583" s="95" t="str">
        <f t="shared" si="204"/>
        <v>2023 11</v>
      </c>
      <c r="G2583" s="96" t="s">
        <v>5</v>
      </c>
      <c r="H2583" s="160" t="str">
        <f>RIGHT(Journal!$J2583,9)</f>
        <v> LEX30210</v>
      </c>
      <c r="I2583" s="96" t="str">
        <f t="shared" si="206"/>
        <v>Life Extension</v>
      </c>
      <c r="J2583" s="97" t="s">
        <v>1162</v>
      </c>
      <c r="K2583" s="29">
        <v>16.739999999999998</v>
      </c>
      <c r="L2583" s="29">
        <v>-4.1900000000000004</v>
      </c>
      <c r="M2583" s="30">
        <f>IFERROR(VLOOKUP($A2583,HeadJournal!$A$1:$J$890,COLUMN(HeadJournal!I$1),0)*($K2583+$L2583)/(SUMIF($A:$A,$A2583,$K:$K)+SUMIF($A:$A,$A2583,$L:$L)),0)</f>
        <v>0</v>
      </c>
      <c r="N2583" s="30">
        <f>IFERROR((VLOOKUP($A2583,HeadJournal!$A$1:$K$890,COLUMN(HeadJournal!K$1),0)-VLOOKUP($A2583,HeadJournal!$A$1:$K$890,COLUMN(HeadJournal!J$1),0))*($K2583+$L2583)/(SUMIF($A:$A,$A2583,$K:$K)+SUMIF($A:$A,$A2583,$L:$L)),0)</f>
        <v>-2.0629985734619441E-15</v>
      </c>
      <c r="O2583" s="30">
        <f>IFERROR((VLOOKUP($A2583,HeadJournal!$A$1:$L$890,COLUMN(HeadJournal!L$1),0)*($K2583+$L2583)/(SUMIF($A:$A,$A2583,$K:$K)+SUMIF($A:$A,$A2583,$L:$L)))/VLOOKUP($A2583,HeadJournal!$A$1:$L$890,COLUMN(HeadJournal!H$1),0),0)</f>
        <v>1.0645028919358202</v>
      </c>
      <c r="P2583" s="30">
        <f>IFERROR(SUM(K2583:O2583)*VLOOKUP($A2583,HeadJournal!$A$1:$L$890,COLUMN(HeadJournal!H$1),0),0)</f>
        <v>1373.932481203007</v>
      </c>
      <c r="Q2583" s="29">
        <v>2200</v>
      </c>
      <c r="R2583" s="31">
        <v>45332</v>
      </c>
      <c r="S2583" s="31" t="s">
        <v>3121</v>
      </c>
      <c r="T2583" s="95" t="str">
        <f t="shared" si="205"/>
        <v>2024 02</v>
      </c>
      <c r="U2583" s="32">
        <f t="shared" si="202"/>
        <v>826.067518796993</v>
      </c>
      <c r="V2583" s="22">
        <f t="shared" si="203"/>
        <v>0.60124316885913731</v>
      </c>
      <c r="X2583" s="33"/>
      <c r="Y2583" s="33"/>
    </row>
    <row r="2584" spans="1:25" x14ac:dyDescent="0.2">
      <c r="A2584" s="93" t="s">
        <v>1171</v>
      </c>
      <c r="B2584" s="94" t="str">
        <f>IFERROR(VLOOKUP($A2584,HeadJournal!$A$1:$NTR$890,COLUMN(HeadJournal!B$1),0),"")</f>
        <v>720000026090</v>
      </c>
      <c r="C2584" s="94" t="str">
        <f>IFERROR(VLOOKUP($A2584,HeadJournal!$A$1:$NTR$890,COLUMN(HeadJournal!C$1),0),"")</f>
        <v>iHerb_VP DFD1605</v>
      </c>
      <c r="D2584" s="125" t="str">
        <f>IFERROR(VLOOKUP($A2584,HeadJournal!$A$1:$NTR$890,COLUMN(HeadJournal!D$1),0),"")</f>
        <v>Доставлен</v>
      </c>
      <c r="E2584" s="95">
        <f>IFERROR(VLOOKUP($A2584,HeadJournal!$A$1:$NTR$890,COLUMN(HeadJournal!G$1),0),"")</f>
        <v>45255</v>
      </c>
      <c r="F2584" s="95" t="str">
        <f t="shared" si="204"/>
        <v>2023 11</v>
      </c>
      <c r="G2584" s="96" t="s">
        <v>5</v>
      </c>
      <c r="H2584" s="160" t="str">
        <f>RIGHT(Journal!$J2584,9)</f>
        <v> NOW00376</v>
      </c>
      <c r="I2584" s="96" t="str">
        <f t="shared" si="206"/>
        <v>NOW Foods</v>
      </c>
      <c r="J2584" s="97" t="s">
        <v>1181</v>
      </c>
      <c r="K2584" s="29">
        <v>10.130000000000001</v>
      </c>
      <c r="L2584" s="29">
        <v>-2.5350000000000001</v>
      </c>
      <c r="M2584" s="30">
        <f>IFERROR(VLOOKUP($A2584,HeadJournal!$A$1:$J$890,COLUMN(HeadJournal!I$1),0)*($K2584+$L2584)/(SUMIF($A:$A,$A2584,$K:$K)+SUMIF($A:$A,$A2584,$L:$L)),0)</f>
        <v>0</v>
      </c>
      <c r="N2584" s="30">
        <f>IFERROR((VLOOKUP($A2584,HeadJournal!$A$1:$K$890,COLUMN(HeadJournal!K$1),0)-VLOOKUP($A2584,HeadJournal!$A$1:$K$890,COLUMN(HeadJournal!J$1),0))*($K2584+$L2584)/(SUMIF($A:$A,$A2584,$K:$K)+SUMIF($A:$A,$A2584,$L:$L)),0)</f>
        <v>-1.2484839972464917E-15</v>
      </c>
      <c r="O2584" s="30">
        <f>IFERROR((VLOOKUP($A2584,HeadJournal!$A$1:$L$890,COLUMN(HeadJournal!L$1),0)*($K2584+$L2584)/(SUMIF($A:$A,$A2584,$K:$K)+SUMIF($A:$A,$A2584,$L:$L)))/VLOOKUP($A2584,HeadJournal!$A$1:$L$890,COLUMN(HeadJournal!H$1),0),0)</f>
        <v>0.64421509675319166</v>
      </c>
      <c r="P2584" s="30">
        <f>IFERROR(SUM(K2584:O2584)*VLOOKUP($A2584,HeadJournal!$A$1:$L$890,COLUMN(HeadJournal!H$1),0),0)</f>
        <v>831.47547368421044</v>
      </c>
      <c r="Q2584" s="29">
        <v>1700</v>
      </c>
      <c r="R2584" s="31">
        <v>45405</v>
      </c>
      <c r="S2584" s="31" t="s">
        <v>3121</v>
      </c>
      <c r="T2584" s="95" t="str">
        <f t="shared" si="205"/>
        <v>2024 04</v>
      </c>
      <c r="U2584" s="32">
        <f t="shared" si="202"/>
        <v>868.52452631578956</v>
      </c>
      <c r="V2584" s="22">
        <f t="shared" si="203"/>
        <v>1.0445582026219213</v>
      </c>
      <c r="X2584" s="33"/>
      <c r="Y2584" s="33"/>
    </row>
    <row r="2585" spans="1:25" x14ac:dyDescent="0.2">
      <c r="A2585" s="93" t="s">
        <v>1171</v>
      </c>
      <c r="B2585" s="94" t="str">
        <f>IFERROR(VLOOKUP($A2585,HeadJournal!$A$1:$NTR$890,COLUMN(HeadJournal!B$1),0),"")</f>
        <v>720000026090</v>
      </c>
      <c r="C2585" s="94" t="str">
        <f>IFERROR(VLOOKUP($A2585,HeadJournal!$A$1:$NTR$890,COLUMN(HeadJournal!C$1),0),"")</f>
        <v>iHerb_VP DFD1605</v>
      </c>
      <c r="D2585" s="125" t="str">
        <f>IFERROR(VLOOKUP($A2585,HeadJournal!$A$1:$NTR$890,COLUMN(HeadJournal!D$1),0),"")</f>
        <v>Доставлен</v>
      </c>
      <c r="E2585" s="95">
        <f>IFERROR(VLOOKUP($A2585,HeadJournal!$A$1:$NTR$890,COLUMN(HeadJournal!G$1),0),"")</f>
        <v>45255</v>
      </c>
      <c r="F2585" s="95" t="str">
        <f t="shared" si="204"/>
        <v>2023 11</v>
      </c>
      <c r="G2585" s="96" t="s">
        <v>5</v>
      </c>
      <c r="H2585" s="160" t="str">
        <f>RIGHT(Journal!$J2585,9)</f>
        <v> NOW00376</v>
      </c>
      <c r="I2585" s="96" t="str">
        <f t="shared" si="206"/>
        <v>NOW Foods</v>
      </c>
      <c r="J2585" s="97" t="s">
        <v>1181</v>
      </c>
      <c r="K2585" s="29">
        <v>10.130000000000001</v>
      </c>
      <c r="L2585" s="29">
        <v>-2.5350000000000001</v>
      </c>
      <c r="M2585" s="30">
        <f>IFERROR(VLOOKUP($A2585,HeadJournal!$A$1:$J$890,COLUMN(HeadJournal!I$1),0)*($K2585+$L2585)/(SUMIF($A:$A,$A2585,$K:$K)+SUMIF($A:$A,$A2585,$L:$L)),0)</f>
        <v>0</v>
      </c>
      <c r="N2585" s="30">
        <f>IFERROR((VLOOKUP($A2585,HeadJournal!$A$1:$K$890,COLUMN(HeadJournal!K$1),0)-VLOOKUP($A2585,HeadJournal!$A$1:$K$890,COLUMN(HeadJournal!J$1),0))*($K2585+$L2585)/(SUMIF($A:$A,$A2585,$K:$K)+SUMIF($A:$A,$A2585,$L:$L)),0)</f>
        <v>-1.2484839972464917E-15</v>
      </c>
      <c r="O2585" s="30">
        <f>IFERROR((VLOOKUP($A2585,HeadJournal!$A$1:$L$890,COLUMN(HeadJournal!L$1),0)*($K2585+$L2585)/(SUMIF($A:$A,$A2585,$K:$K)+SUMIF($A:$A,$A2585,$L:$L)))/VLOOKUP($A2585,HeadJournal!$A$1:$L$890,COLUMN(HeadJournal!H$1),0),0)</f>
        <v>0.64421509675319166</v>
      </c>
      <c r="P2585" s="30">
        <f>IFERROR(SUM(K2585:O2585)*VLOOKUP($A2585,HeadJournal!$A$1:$L$890,COLUMN(HeadJournal!H$1),0),0)</f>
        <v>831.47547368421044</v>
      </c>
      <c r="Q2585" s="29">
        <v>1700</v>
      </c>
      <c r="R2585" s="31">
        <v>45500</v>
      </c>
      <c r="S2585" s="31" t="s">
        <v>3121</v>
      </c>
      <c r="T2585" s="95" t="str">
        <f t="shared" si="205"/>
        <v>2024 07</v>
      </c>
      <c r="U2585" s="32">
        <f t="shared" si="202"/>
        <v>868.52452631578956</v>
      </c>
      <c r="V2585" s="22">
        <f t="shared" si="203"/>
        <v>1.0445582026219213</v>
      </c>
      <c r="X2585" s="33"/>
      <c r="Y2585" s="33"/>
    </row>
    <row r="2586" spans="1:25" x14ac:dyDescent="0.2">
      <c r="A2586" s="93" t="s">
        <v>1182</v>
      </c>
      <c r="B2586" s="94">
        <f>IFERROR(VLOOKUP($A2586,HeadJournal!$A$1:$NTR$890,COLUMN(HeadJournal!B$1),0),"")</f>
        <v>0</v>
      </c>
      <c r="C2586" s="94" t="str">
        <f>IFERROR(VLOOKUP($A2586,HeadJournal!$A$1:$NTR$890,COLUMN(HeadJournal!C$1),0),"")</f>
        <v>OZON_OA</v>
      </c>
      <c r="D2586" s="125" t="str">
        <f>IFERROR(VLOOKUP($A2586,HeadJournal!$A$1:$NTR$890,COLUMN(HeadJournal!D$1),0),"")</f>
        <v>Доставлен</v>
      </c>
      <c r="E2586" s="95">
        <f>IFERROR(VLOOKUP($A2586,HeadJournal!$A$1:$NTR$890,COLUMN(HeadJournal!G$1),0),"")</f>
        <v>45257</v>
      </c>
      <c r="F2586" s="95" t="str">
        <f t="shared" si="204"/>
        <v>2023 11</v>
      </c>
      <c r="G2586" s="96" t="s">
        <v>5</v>
      </c>
      <c r="H2586" s="160" t="str">
        <f>RIGHT(Journal!$J2586,9)</f>
        <v>814920275</v>
      </c>
      <c r="I2586" s="96" t="str">
        <f t="shared" si="206"/>
        <v>Dr.M.S.Basu's</v>
      </c>
      <c r="J2586" s="97" t="s">
        <v>1183</v>
      </c>
      <c r="K2586" s="29">
        <v>218</v>
      </c>
      <c r="L2586" s="29">
        <v>0</v>
      </c>
      <c r="M2586" s="30">
        <f>IFERROR(VLOOKUP($A2586,HeadJournal!$A$1:$J$890,COLUMN(HeadJournal!I$1),0)*($K2586+$L2586)/(SUMIF($A:$A,$A2586,$K:$K)+SUMIF($A:$A,$A2586,$L:$L)),0)</f>
        <v>0</v>
      </c>
      <c r="N2586" s="30">
        <f>IFERROR((VLOOKUP($A2586,HeadJournal!$A$1:$K$890,COLUMN(HeadJournal!K$1),0)-VLOOKUP($A2586,HeadJournal!$A$1:$K$890,COLUMN(HeadJournal!J$1),0))*($K2586+$L2586)/(SUMIF($A:$A,$A2586,$K:$K)+SUMIF($A:$A,$A2586,$L:$L)),0)</f>
        <v>0</v>
      </c>
      <c r="O2586" s="30">
        <f>IFERROR((VLOOKUP($A2586,HeadJournal!$A$1:$L$890,COLUMN(HeadJournal!L$1),0)*($K2586+$L2586)/(SUMIF($A:$A,$A2586,$K:$K)+SUMIF($A:$A,$A2586,$L:$L)))/VLOOKUP($A2586,HeadJournal!$A$1:$L$890,COLUMN(HeadJournal!H$1),0),0)</f>
        <v>0</v>
      </c>
      <c r="P2586" s="30">
        <f>IFERROR(SUM(K2586:O2586)*VLOOKUP($A2586,HeadJournal!$A$1:$L$890,COLUMN(HeadJournal!H$1),0),0)</f>
        <v>218</v>
      </c>
      <c r="Q2586" s="29">
        <v>400</v>
      </c>
      <c r="R2586" s="31">
        <v>45311</v>
      </c>
      <c r="S2586" s="31" t="s">
        <v>3121</v>
      </c>
      <c r="T2586" s="95" t="str">
        <f t="shared" si="205"/>
        <v>2024 01</v>
      </c>
      <c r="U2586" s="32">
        <f t="shared" si="202"/>
        <v>182</v>
      </c>
      <c r="V2586" s="22">
        <f t="shared" si="203"/>
        <v>0.83486238532110091</v>
      </c>
      <c r="X2586" s="33"/>
      <c r="Y2586" s="33"/>
    </row>
    <row r="2587" spans="1:25" x14ac:dyDescent="0.2">
      <c r="A2587" s="93" t="s">
        <v>1182</v>
      </c>
      <c r="B2587" s="94">
        <f>IFERROR(VLOOKUP($A2587,HeadJournal!$A$1:$NTR$890,COLUMN(HeadJournal!B$1),0),"")</f>
        <v>0</v>
      </c>
      <c r="C2587" s="94" t="str">
        <f>IFERROR(VLOOKUP($A2587,HeadJournal!$A$1:$NTR$890,COLUMN(HeadJournal!C$1),0),"")</f>
        <v>OZON_OA</v>
      </c>
      <c r="D2587" s="125" t="str">
        <f>IFERROR(VLOOKUP($A2587,HeadJournal!$A$1:$NTR$890,COLUMN(HeadJournal!D$1),0),"")</f>
        <v>Доставлен</v>
      </c>
      <c r="E2587" s="95">
        <f>IFERROR(VLOOKUP($A2587,HeadJournal!$A$1:$NTR$890,COLUMN(HeadJournal!G$1),0),"")</f>
        <v>45257</v>
      </c>
      <c r="F2587" s="95" t="str">
        <f t="shared" si="204"/>
        <v>2023 11</v>
      </c>
      <c r="G2587" s="96" t="s">
        <v>5</v>
      </c>
      <c r="H2587" s="160" t="str">
        <f>RIGHT(Journal!$J2587,9)</f>
        <v>928190726</v>
      </c>
      <c r="I2587" s="96" t="str">
        <f t="shared" si="206"/>
        <v>Now Foods</v>
      </c>
      <c r="J2587" s="97" t="s">
        <v>1184</v>
      </c>
      <c r="K2587" s="29">
        <v>1385</v>
      </c>
      <c r="L2587" s="29">
        <v>0</v>
      </c>
      <c r="M2587" s="30">
        <f>IFERROR(VLOOKUP($A2587,HeadJournal!$A$1:$J$890,COLUMN(HeadJournal!I$1),0)*($K2587+$L2587)/(SUMIF($A:$A,$A2587,$K:$K)+SUMIF($A:$A,$A2587,$L:$L)),0)</f>
        <v>0</v>
      </c>
      <c r="N2587" s="30">
        <f>IFERROR((VLOOKUP($A2587,HeadJournal!$A$1:$K$890,COLUMN(HeadJournal!K$1),0)-VLOOKUP($A2587,HeadJournal!$A$1:$K$890,COLUMN(HeadJournal!J$1),0))*($K2587+$L2587)/(SUMIF($A:$A,$A2587,$K:$K)+SUMIF($A:$A,$A2587,$L:$L)),0)</f>
        <v>0</v>
      </c>
      <c r="O2587" s="30">
        <f>IFERROR((VLOOKUP($A2587,HeadJournal!$A$1:$L$890,COLUMN(HeadJournal!L$1),0)*($K2587+$L2587)/(SUMIF($A:$A,$A2587,$K:$K)+SUMIF($A:$A,$A2587,$L:$L)))/VLOOKUP($A2587,HeadJournal!$A$1:$L$890,COLUMN(HeadJournal!H$1),0),0)</f>
        <v>0</v>
      </c>
      <c r="P2587" s="30">
        <f>IFERROR(SUM(K2587:O2587)*VLOOKUP($A2587,HeadJournal!$A$1:$L$890,COLUMN(HeadJournal!H$1),0),0)</f>
        <v>1385</v>
      </c>
      <c r="Q2587" s="29">
        <v>2100</v>
      </c>
      <c r="R2587" s="31">
        <v>45274</v>
      </c>
      <c r="S2587" s="31" t="s">
        <v>3121</v>
      </c>
      <c r="T2587" s="95" t="str">
        <f t="shared" si="205"/>
        <v>2023 12</v>
      </c>
      <c r="U2587" s="32">
        <f t="shared" si="202"/>
        <v>715</v>
      </c>
      <c r="V2587" s="22">
        <f t="shared" si="203"/>
        <v>0.51624548736462095</v>
      </c>
      <c r="X2587" s="33"/>
      <c r="Y2587" s="33"/>
    </row>
    <row r="2588" spans="1:25" x14ac:dyDescent="0.2">
      <c r="A2588" s="93" t="s">
        <v>1185</v>
      </c>
      <c r="B2588" s="94">
        <f>IFERROR(VLOOKUP($A2588,HeadJournal!$A$1:$NTR$890,COLUMN(HeadJournal!B$1),0),"")</f>
        <v>0</v>
      </c>
      <c r="C2588" s="94" t="str">
        <f>IFERROR(VLOOKUP($A2588,HeadJournal!$A$1:$NTR$890,COLUMN(HeadJournal!C$1),0),"")</f>
        <v>OZON_OA</v>
      </c>
      <c r="D2588" s="125" t="str">
        <f>IFERROR(VLOOKUP($A2588,HeadJournal!$A$1:$NTR$890,COLUMN(HeadJournal!D$1),0),"")</f>
        <v>Доставлен</v>
      </c>
      <c r="E2588" s="95">
        <f>IFERROR(VLOOKUP($A2588,HeadJournal!$A$1:$NTR$890,COLUMN(HeadJournal!G$1),0),"")</f>
        <v>45264</v>
      </c>
      <c r="F2588" s="95" t="str">
        <f t="shared" si="204"/>
        <v>2023 12</v>
      </c>
      <c r="G2588" s="96" t="s">
        <v>6</v>
      </c>
      <c r="H2588" s="160" t="str">
        <f>RIGHT(Journal!$J2588,9)</f>
        <v>892721541</v>
      </c>
      <c r="I2588" s="96" t="str">
        <f t="shared" si="206"/>
        <v>FatZorb</v>
      </c>
      <c r="J2588" s="97" t="s">
        <v>737</v>
      </c>
      <c r="K2588" s="29">
        <v>861</v>
      </c>
      <c r="L2588" s="29">
        <v>0</v>
      </c>
      <c r="M2588" s="30">
        <f>IFERROR(VLOOKUP($A2588,HeadJournal!$A$1:$J$890,COLUMN(HeadJournal!I$1),0)*($K2588+$L2588)/(SUMIF($A:$A,$A2588,$K:$K)+SUMIF($A:$A,$A2588,$L:$L)),0)</f>
        <v>0</v>
      </c>
      <c r="N2588" s="30">
        <f>IFERROR((VLOOKUP($A2588,HeadJournal!$A$1:$K$890,COLUMN(HeadJournal!K$1),0)-VLOOKUP($A2588,HeadJournal!$A$1:$K$890,COLUMN(HeadJournal!J$1),0))*($K2588+$L2588)/(SUMIF($A:$A,$A2588,$K:$K)+SUMIF($A:$A,$A2588,$L:$L)),0)</f>
        <v>0</v>
      </c>
      <c r="O2588" s="30">
        <f>IFERROR((VLOOKUP($A2588,HeadJournal!$A$1:$L$890,COLUMN(HeadJournal!L$1),0)*($K2588+$L2588)/(SUMIF($A:$A,$A2588,$K:$K)+SUMIF($A:$A,$A2588,$L:$L)))/VLOOKUP($A2588,HeadJournal!$A$1:$L$890,COLUMN(HeadJournal!H$1),0),0)</f>
        <v>0</v>
      </c>
      <c r="P2588" s="30">
        <f>IFERROR(SUM(K2588:O2588)*VLOOKUP($A2588,HeadJournal!$A$1:$L$890,COLUMN(HeadJournal!H$1),0),0)</f>
        <v>861</v>
      </c>
      <c r="Q2588" s="29">
        <v>2000</v>
      </c>
      <c r="R2588" s="31">
        <v>45325</v>
      </c>
      <c r="S2588" s="31" t="s">
        <v>3121</v>
      </c>
      <c r="T2588" s="95" t="str">
        <f t="shared" si="205"/>
        <v>2024 02</v>
      </c>
      <c r="U2588" s="32">
        <f t="shared" si="202"/>
        <v>1139</v>
      </c>
      <c r="V2588" s="22">
        <f t="shared" si="203"/>
        <v>1.3228803716608595</v>
      </c>
      <c r="X2588" s="33"/>
      <c r="Y2588" s="33"/>
    </row>
    <row r="2589" spans="1:25" x14ac:dyDescent="0.2">
      <c r="A2589" s="93" t="s">
        <v>1185</v>
      </c>
      <c r="B2589" s="94">
        <f>IFERROR(VLOOKUP($A2589,HeadJournal!$A$1:$NTR$890,COLUMN(HeadJournal!B$1),0),"")</f>
        <v>0</v>
      </c>
      <c r="C2589" s="94" t="str">
        <f>IFERROR(VLOOKUP($A2589,HeadJournal!$A$1:$NTR$890,COLUMN(HeadJournal!C$1),0),"")</f>
        <v>OZON_OA</v>
      </c>
      <c r="D2589" s="125" t="str">
        <f>IFERROR(VLOOKUP($A2589,HeadJournal!$A$1:$NTR$890,COLUMN(HeadJournal!D$1),0),"")</f>
        <v>Доставлен</v>
      </c>
      <c r="E2589" s="95">
        <f>IFERROR(VLOOKUP($A2589,HeadJournal!$A$1:$NTR$890,COLUMN(HeadJournal!G$1),0),"")</f>
        <v>45264</v>
      </c>
      <c r="F2589" s="95" t="str">
        <f t="shared" si="204"/>
        <v>2023 12</v>
      </c>
      <c r="G2589" s="96" t="s">
        <v>6</v>
      </c>
      <c r="H2589" s="160" t="str">
        <f>RIGHT(Journal!$J2589,9)</f>
        <v>892721541</v>
      </c>
      <c r="I2589" s="96" t="str">
        <f t="shared" si="206"/>
        <v>FatZorb</v>
      </c>
      <c r="J2589" s="97" t="s">
        <v>737</v>
      </c>
      <c r="K2589" s="29">
        <v>861</v>
      </c>
      <c r="L2589" s="29">
        <v>0</v>
      </c>
      <c r="M2589" s="30">
        <f>IFERROR(VLOOKUP($A2589,HeadJournal!$A$1:$J$890,COLUMN(HeadJournal!I$1),0)*($K2589+$L2589)/(SUMIF($A:$A,$A2589,$K:$K)+SUMIF($A:$A,$A2589,$L:$L)),0)</f>
        <v>0</v>
      </c>
      <c r="N2589" s="30">
        <f>IFERROR((VLOOKUP($A2589,HeadJournal!$A$1:$K$890,COLUMN(HeadJournal!K$1),0)-VLOOKUP($A2589,HeadJournal!$A$1:$K$890,COLUMN(HeadJournal!J$1),0))*($K2589+$L2589)/(SUMIF($A:$A,$A2589,$K:$K)+SUMIF($A:$A,$A2589,$L:$L)),0)</f>
        <v>0</v>
      </c>
      <c r="O2589" s="30">
        <f>IFERROR((VLOOKUP($A2589,HeadJournal!$A$1:$L$890,COLUMN(HeadJournal!L$1),0)*($K2589+$L2589)/(SUMIF($A:$A,$A2589,$K:$K)+SUMIF($A:$A,$A2589,$L:$L)))/VLOOKUP($A2589,HeadJournal!$A$1:$L$890,COLUMN(HeadJournal!H$1),0),0)</f>
        <v>0</v>
      </c>
      <c r="P2589" s="30">
        <f>IFERROR(SUM(K2589:O2589)*VLOOKUP($A2589,HeadJournal!$A$1:$L$890,COLUMN(HeadJournal!H$1),0),0)</f>
        <v>861</v>
      </c>
      <c r="Q2589" s="29">
        <v>2000</v>
      </c>
      <c r="R2589" s="31">
        <v>45325</v>
      </c>
      <c r="S2589" s="31" t="s">
        <v>3121</v>
      </c>
      <c r="T2589" s="95" t="str">
        <f t="shared" si="205"/>
        <v>2024 02</v>
      </c>
      <c r="U2589" s="32">
        <f t="shared" si="202"/>
        <v>1139</v>
      </c>
      <c r="V2589" s="22">
        <f t="shared" si="203"/>
        <v>1.3228803716608595</v>
      </c>
      <c r="X2589" s="33"/>
      <c r="Y2589" s="33"/>
    </row>
    <row r="2590" spans="1:25" x14ac:dyDescent="0.2">
      <c r="A2590" s="93" t="s">
        <v>1186</v>
      </c>
      <c r="B2590" s="94">
        <f>IFERROR(VLOOKUP($A2590,HeadJournal!$A$1:$NTR$890,COLUMN(HeadJournal!B$1),0),"")</f>
        <v>0</v>
      </c>
      <c r="C2590" s="94" t="str">
        <f>IFERROR(VLOOKUP($A2590,HeadJournal!$A$1:$NTR$890,COLUMN(HeadJournal!C$1),0),"")</f>
        <v>WBRS</v>
      </c>
      <c r="D2590" s="125" t="str">
        <f>IFERROR(VLOOKUP($A2590,HeadJournal!$A$1:$NTR$890,COLUMN(HeadJournal!D$1),0),"")</f>
        <v>Доставлен</v>
      </c>
      <c r="E2590" s="95">
        <f>IFERROR(VLOOKUP($A2590,HeadJournal!$A$1:$NTR$890,COLUMN(HeadJournal!G$1),0),"")</f>
        <v>45263</v>
      </c>
      <c r="F2590" s="95" t="str">
        <f t="shared" si="204"/>
        <v>2023 12</v>
      </c>
      <c r="G2590" s="96" t="s">
        <v>6</v>
      </c>
      <c r="H2590" s="160" t="str">
        <f>RIGHT(Journal!$J2590,9)</f>
        <v>146995620</v>
      </c>
      <c r="I2590" s="96" t="str">
        <f t="shared" si="206"/>
        <v>СОЛОЛЕТО</v>
      </c>
      <c r="J2590" s="97" t="s">
        <v>1187</v>
      </c>
      <c r="K2590" s="29">
        <v>429</v>
      </c>
      <c r="L2590" s="29">
        <v>0</v>
      </c>
      <c r="M2590" s="30">
        <f>IFERROR(VLOOKUP($A2590,HeadJournal!$A$1:$J$890,COLUMN(HeadJournal!I$1),0)*($K2590+$L2590)/(SUMIF($A:$A,$A2590,$K:$K)+SUMIF($A:$A,$A2590,$L:$L)),0)</f>
        <v>0</v>
      </c>
      <c r="N2590" s="30">
        <f>IFERROR((VLOOKUP($A2590,HeadJournal!$A$1:$K$890,COLUMN(HeadJournal!K$1),0)-VLOOKUP($A2590,HeadJournal!$A$1:$K$890,COLUMN(HeadJournal!J$1),0))*($K2590+$L2590)/(SUMIF($A:$A,$A2590,$K:$K)+SUMIF($A:$A,$A2590,$L:$L)),0)</f>
        <v>0</v>
      </c>
      <c r="O2590" s="30">
        <f>IFERROR((VLOOKUP($A2590,HeadJournal!$A$1:$L$890,COLUMN(HeadJournal!L$1),0)*($K2590+$L2590)/(SUMIF($A:$A,$A2590,$K:$K)+SUMIF($A:$A,$A2590,$L:$L)))/VLOOKUP($A2590,HeadJournal!$A$1:$L$890,COLUMN(HeadJournal!H$1),0),0)</f>
        <v>0</v>
      </c>
      <c r="P2590" s="30">
        <f>IFERROR(SUM(K2590:O2590)*VLOOKUP($A2590,HeadJournal!$A$1:$L$890,COLUMN(HeadJournal!H$1),0),0)</f>
        <v>429</v>
      </c>
      <c r="Q2590" s="29"/>
      <c r="R2590" s="31"/>
      <c r="S2590" s="31"/>
      <c r="T2590" s="95" t="str">
        <f t="shared" si="205"/>
        <v/>
      </c>
      <c r="U2590" s="32">
        <f t="shared" si="202"/>
        <v>-429</v>
      </c>
      <c r="V2590" s="22" t="str">
        <f t="shared" si="203"/>
        <v/>
      </c>
      <c r="X2590" s="33"/>
      <c r="Y2590" s="33"/>
    </row>
    <row r="2591" spans="1:25" x14ac:dyDescent="0.2">
      <c r="A2591" s="93" t="s">
        <v>1188</v>
      </c>
      <c r="B2591" s="94">
        <f>IFERROR(VLOOKUP($A2591,HeadJournal!$A$1:$NTR$890,COLUMN(HeadJournal!B$1),0),"")</f>
        <v>0</v>
      </c>
      <c r="C2591" s="94" t="str">
        <f>IFERROR(VLOOKUP($A2591,HeadJournal!$A$1:$NTR$890,COLUMN(HeadJournal!C$1),0),"")</f>
        <v>WBRS</v>
      </c>
      <c r="D2591" s="125" t="str">
        <f>IFERROR(VLOOKUP($A2591,HeadJournal!$A$1:$NTR$890,COLUMN(HeadJournal!D$1),0),"")</f>
        <v>Доставлен</v>
      </c>
      <c r="E2591" s="95">
        <f>IFERROR(VLOOKUP($A2591,HeadJournal!$A$1:$NTR$890,COLUMN(HeadJournal!G$1),0),"")</f>
        <v>45272</v>
      </c>
      <c r="F2591" s="95" t="str">
        <f t="shared" si="204"/>
        <v>2023 12</v>
      </c>
      <c r="G2591" s="96" t="s">
        <v>5</v>
      </c>
      <c r="H2591" s="160" t="str">
        <f>RIGHT(Journal!$J2591,9)</f>
        <v>000000015</v>
      </c>
      <c r="I2591" s="96" t="str">
        <f t="shared" si="206"/>
        <v>Forever</v>
      </c>
      <c r="J2591" s="97" t="s">
        <v>295</v>
      </c>
      <c r="K2591" s="29">
        <v>2040</v>
      </c>
      <c r="L2591" s="29">
        <v>0</v>
      </c>
      <c r="M2591" s="30">
        <f>IFERROR(VLOOKUP($A2591,HeadJournal!$A$1:$J$890,COLUMN(HeadJournal!I$1),0)*($K2591+$L2591)/(SUMIF($A:$A,$A2591,$K:$K)+SUMIF($A:$A,$A2591,$L:$L)),0)</f>
        <v>0</v>
      </c>
      <c r="N2591" s="30">
        <f>IFERROR((VLOOKUP($A2591,HeadJournal!$A$1:$K$890,COLUMN(HeadJournal!K$1),0)-VLOOKUP($A2591,HeadJournal!$A$1:$K$890,COLUMN(HeadJournal!J$1),0))*($K2591+$L2591)/(SUMIF($A:$A,$A2591,$K:$K)+SUMIF($A:$A,$A2591,$L:$L)),0)</f>
        <v>0</v>
      </c>
      <c r="O2591" s="30">
        <f>IFERROR((VLOOKUP($A2591,HeadJournal!$A$1:$L$890,COLUMN(HeadJournal!L$1),0)*($K2591+$L2591)/(SUMIF($A:$A,$A2591,$K:$K)+SUMIF($A:$A,$A2591,$L:$L)))/VLOOKUP($A2591,HeadJournal!$A$1:$L$890,COLUMN(HeadJournal!H$1),0),0)</f>
        <v>0</v>
      </c>
      <c r="P2591" s="30">
        <f>IFERROR(SUM(K2591:O2591)*VLOOKUP($A2591,HeadJournal!$A$1:$L$890,COLUMN(HeadJournal!H$1),0),0)</f>
        <v>2040</v>
      </c>
      <c r="Q2591" s="29">
        <v>2040</v>
      </c>
      <c r="R2591" s="31">
        <v>45306</v>
      </c>
      <c r="S2591" s="31" t="s">
        <v>3121</v>
      </c>
      <c r="T2591" s="95" t="str">
        <f t="shared" si="205"/>
        <v>2024 01</v>
      </c>
      <c r="U2591" s="32">
        <f t="shared" si="202"/>
        <v>0</v>
      </c>
      <c r="V2591" s="22">
        <f t="shared" si="203"/>
        <v>0</v>
      </c>
      <c r="X2591" s="33"/>
      <c r="Y2591" s="33"/>
    </row>
    <row r="2592" spans="1:25" x14ac:dyDescent="0.2">
      <c r="A2592" s="93" t="s">
        <v>1188</v>
      </c>
      <c r="B2592" s="94">
        <f>IFERROR(VLOOKUP($A2592,HeadJournal!$A$1:$NTR$890,COLUMN(HeadJournal!B$1),0),"")</f>
        <v>0</v>
      </c>
      <c r="C2592" s="94" t="str">
        <f>IFERROR(VLOOKUP($A2592,HeadJournal!$A$1:$NTR$890,COLUMN(HeadJournal!C$1),0),"")</f>
        <v>WBRS</v>
      </c>
      <c r="D2592" s="125" t="str">
        <f>IFERROR(VLOOKUP($A2592,HeadJournal!$A$1:$NTR$890,COLUMN(HeadJournal!D$1),0),"")</f>
        <v>Доставлен</v>
      </c>
      <c r="E2592" s="95">
        <f>IFERROR(VLOOKUP($A2592,HeadJournal!$A$1:$NTR$890,COLUMN(HeadJournal!G$1),0),"")</f>
        <v>45272</v>
      </c>
      <c r="F2592" s="95" t="str">
        <f t="shared" si="204"/>
        <v>2023 12</v>
      </c>
      <c r="G2592" s="96" t="s">
        <v>5</v>
      </c>
      <c r="H2592" s="160" t="str">
        <f>RIGHT(Journal!$J2592,9)</f>
        <v>000000015</v>
      </c>
      <c r="I2592" s="96" t="str">
        <f t="shared" si="206"/>
        <v>Forever</v>
      </c>
      <c r="J2592" s="97" t="s">
        <v>295</v>
      </c>
      <c r="K2592" s="29">
        <v>2040</v>
      </c>
      <c r="L2592" s="29">
        <v>0</v>
      </c>
      <c r="M2592" s="30">
        <f>IFERROR(VLOOKUP($A2592,HeadJournal!$A$1:$J$890,COLUMN(HeadJournal!I$1),0)*($K2592+$L2592)/(SUMIF($A:$A,$A2592,$K:$K)+SUMIF($A:$A,$A2592,$L:$L)),0)</f>
        <v>0</v>
      </c>
      <c r="N2592" s="30">
        <f>IFERROR((VLOOKUP($A2592,HeadJournal!$A$1:$K$890,COLUMN(HeadJournal!K$1),0)-VLOOKUP($A2592,HeadJournal!$A$1:$K$890,COLUMN(HeadJournal!J$1),0))*($K2592+$L2592)/(SUMIF($A:$A,$A2592,$K:$K)+SUMIF($A:$A,$A2592,$L:$L)),0)</f>
        <v>0</v>
      </c>
      <c r="O2592" s="30">
        <f>IFERROR((VLOOKUP($A2592,HeadJournal!$A$1:$L$890,COLUMN(HeadJournal!L$1),0)*($K2592+$L2592)/(SUMIF($A:$A,$A2592,$K:$K)+SUMIF($A:$A,$A2592,$L:$L)))/VLOOKUP($A2592,HeadJournal!$A$1:$L$890,COLUMN(HeadJournal!H$1),0),0)</f>
        <v>0</v>
      </c>
      <c r="P2592" s="30">
        <f>IFERROR(SUM(K2592:O2592)*VLOOKUP($A2592,HeadJournal!$A$1:$L$890,COLUMN(HeadJournal!H$1),0),0)</f>
        <v>2040</v>
      </c>
      <c r="Q2592" s="29">
        <v>2040</v>
      </c>
      <c r="R2592" s="31">
        <v>45273</v>
      </c>
      <c r="S2592" s="31" t="s">
        <v>3121</v>
      </c>
      <c r="T2592" s="95" t="str">
        <f t="shared" si="205"/>
        <v>2023 12</v>
      </c>
      <c r="U2592" s="32">
        <f t="shared" si="202"/>
        <v>0</v>
      </c>
      <c r="V2592" s="22">
        <f t="shared" si="203"/>
        <v>0</v>
      </c>
      <c r="X2592" s="33"/>
      <c r="Y2592" s="33"/>
    </row>
    <row r="2593" spans="1:25" x14ac:dyDescent="0.2">
      <c r="A2593" s="93" t="s">
        <v>1188</v>
      </c>
      <c r="B2593" s="94">
        <f>IFERROR(VLOOKUP($A2593,HeadJournal!$A$1:$NTR$890,COLUMN(HeadJournal!B$1),0),"")</f>
        <v>0</v>
      </c>
      <c r="C2593" s="94" t="str">
        <f>IFERROR(VLOOKUP($A2593,HeadJournal!$A$1:$NTR$890,COLUMN(HeadJournal!C$1),0),"")</f>
        <v>WBRS</v>
      </c>
      <c r="D2593" s="125" t="str">
        <f>IFERROR(VLOOKUP($A2593,HeadJournal!$A$1:$NTR$890,COLUMN(HeadJournal!D$1),0),"")</f>
        <v>Доставлен</v>
      </c>
      <c r="E2593" s="95">
        <f>IFERROR(VLOOKUP($A2593,HeadJournal!$A$1:$NTR$890,COLUMN(HeadJournal!G$1),0),"")</f>
        <v>45272</v>
      </c>
      <c r="F2593" s="95" t="str">
        <f t="shared" si="204"/>
        <v>2023 12</v>
      </c>
      <c r="G2593" s="96" t="s">
        <v>5</v>
      </c>
      <c r="H2593" s="160" t="str">
        <f>RIGHT(Journal!$J2593,9)</f>
        <v>000000015</v>
      </c>
      <c r="I2593" s="96" t="str">
        <f t="shared" si="206"/>
        <v>Forever</v>
      </c>
      <c r="J2593" s="97" t="s">
        <v>295</v>
      </c>
      <c r="K2593" s="29">
        <v>2040</v>
      </c>
      <c r="L2593" s="29">
        <v>0</v>
      </c>
      <c r="M2593" s="30">
        <f>IFERROR(VLOOKUP($A2593,HeadJournal!$A$1:$J$890,COLUMN(HeadJournal!I$1),0)*($K2593+$L2593)/(SUMIF($A:$A,$A2593,$K:$K)+SUMIF($A:$A,$A2593,$L:$L)),0)</f>
        <v>0</v>
      </c>
      <c r="N2593" s="30">
        <f>IFERROR((VLOOKUP($A2593,HeadJournal!$A$1:$K$890,COLUMN(HeadJournal!K$1),0)-VLOOKUP($A2593,HeadJournal!$A$1:$K$890,COLUMN(HeadJournal!J$1),0))*($K2593+$L2593)/(SUMIF($A:$A,$A2593,$K:$K)+SUMIF($A:$A,$A2593,$L:$L)),0)</f>
        <v>0</v>
      </c>
      <c r="O2593" s="30">
        <f>IFERROR((VLOOKUP($A2593,HeadJournal!$A$1:$L$890,COLUMN(HeadJournal!L$1),0)*($K2593+$L2593)/(SUMIF($A:$A,$A2593,$K:$K)+SUMIF($A:$A,$A2593,$L:$L)))/VLOOKUP($A2593,HeadJournal!$A$1:$L$890,COLUMN(HeadJournal!H$1),0),0)</f>
        <v>0</v>
      </c>
      <c r="P2593" s="30">
        <f>IFERROR(SUM(K2593:O2593)*VLOOKUP($A2593,HeadJournal!$A$1:$L$890,COLUMN(HeadJournal!H$1),0),0)</f>
        <v>2040</v>
      </c>
      <c r="Q2593" s="29">
        <v>3000</v>
      </c>
      <c r="R2593" s="31">
        <v>45559</v>
      </c>
      <c r="S2593" s="31" t="s">
        <v>3121</v>
      </c>
      <c r="T2593" s="95" t="str">
        <f t="shared" si="205"/>
        <v>2024 09</v>
      </c>
      <c r="U2593" s="32">
        <f t="shared" si="202"/>
        <v>960</v>
      </c>
      <c r="V2593" s="22">
        <f t="shared" si="203"/>
        <v>0.47058823529411764</v>
      </c>
      <c r="X2593" s="33"/>
      <c r="Y2593" s="33"/>
    </row>
    <row r="2594" spans="1:25" x14ac:dyDescent="0.2">
      <c r="A2594" s="93" t="s">
        <v>1189</v>
      </c>
      <c r="B2594" s="94">
        <f>IFERROR(VLOOKUP($A2594,HeadJournal!$A$1:$NTR$890,COLUMN(HeadJournal!B$1),0),"")</f>
        <v>0</v>
      </c>
      <c r="C2594" s="94" t="str">
        <f>IFERROR(VLOOKUP($A2594,HeadJournal!$A$1:$NTR$890,COLUMN(HeadJournal!C$1),0),"")</f>
        <v>CoralClub_AV</v>
      </c>
      <c r="D2594" s="125" t="str">
        <f>IFERROR(VLOOKUP($A2594,HeadJournal!$A$1:$NTR$890,COLUMN(HeadJournal!D$1),0),"")</f>
        <v>Доставлен</v>
      </c>
      <c r="E2594" s="95">
        <f>IFERROR(VLOOKUP($A2594,HeadJournal!$A$1:$NTR$890,COLUMN(HeadJournal!G$1),0),"")</f>
        <v>45276</v>
      </c>
      <c r="F2594" s="95" t="str">
        <f t="shared" si="204"/>
        <v>2023 12</v>
      </c>
      <c r="G2594" s="96" t="s">
        <v>5</v>
      </c>
      <c r="H2594" s="160" t="str">
        <f>RIGHT(Journal!$J2594,9)</f>
        <v>000091650</v>
      </c>
      <c r="I2594" s="96" t="str">
        <f t="shared" si="206"/>
        <v>CoralClub</v>
      </c>
      <c r="J2594" s="97" t="s">
        <v>1190</v>
      </c>
      <c r="K2594" s="29">
        <v>1260</v>
      </c>
      <c r="L2594" s="29">
        <v>0</v>
      </c>
      <c r="M2594" s="30">
        <f>IFERROR(VLOOKUP($A2594,HeadJournal!$A$1:$J$890,COLUMN(HeadJournal!I$1),0)*($K2594+$L2594)/(SUMIF($A:$A,$A2594,$K:$K)+SUMIF($A:$A,$A2594,$L:$L)),0)</f>
        <v>-382.43906249999998</v>
      </c>
      <c r="N2594" s="30">
        <f>IFERROR((VLOOKUP($A2594,HeadJournal!$A$1:$K$890,COLUMN(HeadJournal!K$1),0)-VLOOKUP($A2594,HeadJournal!$A$1:$K$890,COLUMN(HeadJournal!J$1),0))*($K2594+$L2594)/(SUMIF($A:$A,$A2594,$K:$K)+SUMIF($A:$A,$A2594,$L:$L)),0)</f>
        <v>13.064062499999951</v>
      </c>
      <c r="O2594" s="30">
        <f>IFERROR((VLOOKUP($A2594,HeadJournal!$A$1:$L$890,COLUMN(HeadJournal!L$1),0)*($K2594+$L2594)/(SUMIF($A:$A,$A2594,$K:$K)+SUMIF($A:$A,$A2594,$L:$L)))/VLOOKUP($A2594,HeadJournal!$A$1:$L$890,COLUMN(HeadJournal!H$1),0),0)</f>
        <v>0</v>
      </c>
      <c r="P2594" s="30">
        <f>IFERROR(SUM(K2594:O2594)*VLOOKUP($A2594,HeadJournal!$A$1:$L$890,COLUMN(HeadJournal!H$1),0),0)</f>
        <v>890.625</v>
      </c>
      <c r="Q2594" s="29">
        <v>1600</v>
      </c>
      <c r="R2594" s="31">
        <v>45282</v>
      </c>
      <c r="S2594" s="31" t="s">
        <v>3121</v>
      </c>
      <c r="T2594" s="95" t="str">
        <f t="shared" si="205"/>
        <v>2023 12</v>
      </c>
      <c r="U2594" s="32">
        <f t="shared" si="202"/>
        <v>709.375</v>
      </c>
      <c r="V2594" s="22">
        <f t="shared" si="203"/>
        <v>0.79649122807017547</v>
      </c>
      <c r="X2594" s="33"/>
      <c r="Y2594" s="33"/>
    </row>
    <row r="2595" spans="1:25" x14ac:dyDescent="0.2">
      <c r="A2595" s="93" t="s">
        <v>1189</v>
      </c>
      <c r="B2595" s="94">
        <f>IFERROR(VLOOKUP($A2595,HeadJournal!$A$1:$NTR$890,COLUMN(HeadJournal!B$1),0),"")</f>
        <v>0</v>
      </c>
      <c r="C2595" s="94" t="str">
        <f>IFERROR(VLOOKUP($A2595,HeadJournal!$A$1:$NTR$890,COLUMN(HeadJournal!C$1),0),"")</f>
        <v>CoralClub_AV</v>
      </c>
      <c r="D2595" s="125" t="str">
        <f>IFERROR(VLOOKUP($A2595,HeadJournal!$A$1:$NTR$890,COLUMN(HeadJournal!D$1),0),"")</f>
        <v>Доставлен</v>
      </c>
      <c r="E2595" s="95">
        <f>IFERROR(VLOOKUP($A2595,HeadJournal!$A$1:$NTR$890,COLUMN(HeadJournal!G$1),0),"")</f>
        <v>45276</v>
      </c>
      <c r="F2595" s="95" t="str">
        <f t="shared" si="204"/>
        <v>2023 12</v>
      </c>
      <c r="G2595" s="96" t="s">
        <v>5</v>
      </c>
      <c r="H2595" s="160" t="str">
        <f>RIGHT(Journal!$J2595,9)</f>
        <v>000002305</v>
      </c>
      <c r="I2595" s="96" t="str">
        <f t="shared" si="206"/>
        <v>CoralClub</v>
      </c>
      <c r="J2595" s="97" t="s">
        <v>1191</v>
      </c>
      <c r="K2595" s="29">
        <v>924</v>
      </c>
      <c r="L2595" s="29">
        <v>0</v>
      </c>
      <c r="M2595" s="30">
        <f>IFERROR(VLOOKUP($A2595,HeadJournal!$A$1:$J$890,COLUMN(HeadJournal!I$1),0)*($K2595+$L2595)/(SUMIF($A:$A,$A2595,$K:$K)+SUMIF($A:$A,$A2595,$L:$L)),0)</f>
        <v>-280.45531249999999</v>
      </c>
      <c r="N2595" s="30">
        <f>IFERROR((VLOOKUP($A2595,HeadJournal!$A$1:$K$890,COLUMN(HeadJournal!K$1),0)-VLOOKUP($A2595,HeadJournal!$A$1:$K$890,COLUMN(HeadJournal!J$1),0))*($K2595+$L2595)/(SUMIF($A:$A,$A2595,$K:$K)+SUMIF($A:$A,$A2595,$L:$L)),0)</f>
        <v>9.5803124999999625</v>
      </c>
      <c r="O2595" s="30">
        <f>IFERROR((VLOOKUP($A2595,HeadJournal!$A$1:$L$890,COLUMN(HeadJournal!L$1),0)*($K2595+$L2595)/(SUMIF($A:$A,$A2595,$K:$K)+SUMIF($A:$A,$A2595,$L:$L)))/VLOOKUP($A2595,HeadJournal!$A$1:$L$890,COLUMN(HeadJournal!H$1),0),0)</f>
        <v>0</v>
      </c>
      <c r="P2595" s="30">
        <f>IFERROR(SUM(K2595:O2595)*VLOOKUP($A2595,HeadJournal!$A$1:$L$890,COLUMN(HeadJournal!H$1),0),0)</f>
        <v>653.125</v>
      </c>
      <c r="Q2595" s="29">
        <v>1200</v>
      </c>
      <c r="R2595" s="31">
        <v>45282</v>
      </c>
      <c r="S2595" s="31" t="s">
        <v>3121</v>
      </c>
      <c r="T2595" s="95" t="str">
        <f t="shared" si="205"/>
        <v>2023 12</v>
      </c>
      <c r="U2595" s="32">
        <f t="shared" si="202"/>
        <v>546.875</v>
      </c>
      <c r="V2595" s="22">
        <f t="shared" si="203"/>
        <v>0.83732057416267947</v>
      </c>
      <c r="X2595" s="33"/>
      <c r="Y2595" s="33"/>
    </row>
    <row r="2596" spans="1:25" x14ac:dyDescent="0.2">
      <c r="A2596" s="93" t="s">
        <v>1189</v>
      </c>
      <c r="B2596" s="94">
        <f>IFERROR(VLOOKUP($A2596,HeadJournal!$A$1:$NTR$890,COLUMN(HeadJournal!B$1),0),"")</f>
        <v>0</v>
      </c>
      <c r="C2596" s="94" t="str">
        <f>IFERROR(VLOOKUP($A2596,HeadJournal!$A$1:$NTR$890,COLUMN(HeadJournal!C$1),0),"")</f>
        <v>CoralClub_AV</v>
      </c>
      <c r="D2596" s="125" t="str">
        <f>IFERROR(VLOOKUP($A2596,HeadJournal!$A$1:$NTR$890,COLUMN(HeadJournal!D$1),0),"")</f>
        <v>Доставлен</v>
      </c>
      <c r="E2596" s="95">
        <f>IFERROR(VLOOKUP($A2596,HeadJournal!$A$1:$NTR$890,COLUMN(HeadJournal!G$1),0),"")</f>
        <v>45276</v>
      </c>
      <c r="F2596" s="95" t="str">
        <f t="shared" si="204"/>
        <v>2023 12</v>
      </c>
      <c r="G2596" s="96" t="s">
        <v>5</v>
      </c>
      <c r="H2596" s="160" t="str">
        <f>RIGHT(Journal!$J2596,9)</f>
        <v>000002307</v>
      </c>
      <c r="I2596" s="96" t="str">
        <f t="shared" si="206"/>
        <v>CoralClub</v>
      </c>
      <c r="J2596" s="97" t="s">
        <v>1070</v>
      </c>
      <c r="K2596" s="29">
        <v>1260</v>
      </c>
      <c r="L2596" s="29">
        <v>0</v>
      </c>
      <c r="M2596" s="30">
        <f>IFERROR(VLOOKUP($A2596,HeadJournal!$A$1:$J$890,COLUMN(HeadJournal!I$1),0)*($K2596+$L2596)/(SUMIF($A:$A,$A2596,$K:$K)+SUMIF($A:$A,$A2596,$L:$L)),0)</f>
        <v>-382.43906249999998</v>
      </c>
      <c r="N2596" s="30">
        <f>IFERROR((VLOOKUP($A2596,HeadJournal!$A$1:$K$890,COLUMN(HeadJournal!K$1),0)-VLOOKUP($A2596,HeadJournal!$A$1:$K$890,COLUMN(HeadJournal!J$1),0))*($K2596+$L2596)/(SUMIF($A:$A,$A2596,$K:$K)+SUMIF($A:$A,$A2596,$L:$L)),0)</f>
        <v>13.064062499999951</v>
      </c>
      <c r="O2596" s="30">
        <f>IFERROR((VLOOKUP($A2596,HeadJournal!$A$1:$L$890,COLUMN(HeadJournal!L$1),0)*($K2596+$L2596)/(SUMIF($A:$A,$A2596,$K:$K)+SUMIF($A:$A,$A2596,$L:$L)))/VLOOKUP($A2596,HeadJournal!$A$1:$L$890,COLUMN(HeadJournal!H$1),0),0)</f>
        <v>0</v>
      </c>
      <c r="P2596" s="30">
        <f>IFERROR(SUM(K2596:O2596)*VLOOKUP($A2596,HeadJournal!$A$1:$L$890,COLUMN(HeadJournal!H$1),0),0)</f>
        <v>890.625</v>
      </c>
      <c r="Q2596" s="29">
        <v>1600</v>
      </c>
      <c r="R2596" s="31">
        <v>45282</v>
      </c>
      <c r="S2596" s="31" t="s">
        <v>3121</v>
      </c>
      <c r="T2596" s="95" t="str">
        <f t="shared" si="205"/>
        <v>2023 12</v>
      </c>
      <c r="U2596" s="32">
        <f t="shared" si="202"/>
        <v>709.375</v>
      </c>
      <c r="V2596" s="22">
        <f t="shared" si="203"/>
        <v>0.79649122807017547</v>
      </c>
      <c r="X2596" s="33"/>
      <c r="Y2596" s="33"/>
    </row>
    <row r="2597" spans="1:25" x14ac:dyDescent="0.2">
      <c r="A2597" s="93" t="s">
        <v>1189</v>
      </c>
      <c r="B2597" s="94">
        <f>IFERROR(VLOOKUP($A2597,HeadJournal!$A$1:$NTR$890,COLUMN(HeadJournal!B$1),0),"")</f>
        <v>0</v>
      </c>
      <c r="C2597" s="94" t="str">
        <f>IFERROR(VLOOKUP($A2597,HeadJournal!$A$1:$NTR$890,COLUMN(HeadJournal!C$1),0),"")</f>
        <v>CoralClub_AV</v>
      </c>
      <c r="D2597" s="125" t="str">
        <f>IFERROR(VLOOKUP($A2597,HeadJournal!$A$1:$NTR$890,COLUMN(HeadJournal!D$1),0),"")</f>
        <v>Доставлен</v>
      </c>
      <c r="E2597" s="95">
        <f>IFERROR(VLOOKUP($A2597,HeadJournal!$A$1:$NTR$890,COLUMN(HeadJournal!G$1),0),"")</f>
        <v>45276</v>
      </c>
      <c r="F2597" s="95" t="str">
        <f t="shared" si="204"/>
        <v>2023 12</v>
      </c>
      <c r="G2597" s="96" t="s">
        <v>5</v>
      </c>
      <c r="H2597" s="160" t="str">
        <f>RIGHT(Journal!$J2597,9)</f>
        <v>000002149</v>
      </c>
      <c r="I2597" s="96" t="str">
        <f t="shared" si="206"/>
        <v>CoralClub</v>
      </c>
      <c r="J2597" s="97" t="s">
        <v>703</v>
      </c>
      <c r="K2597" s="29">
        <v>840</v>
      </c>
      <c r="L2597" s="29">
        <v>0</v>
      </c>
      <c r="M2597" s="30">
        <f>IFERROR(VLOOKUP($A2597,HeadJournal!$A$1:$J$890,COLUMN(HeadJournal!I$1),0)*($K2597+$L2597)/(SUMIF($A:$A,$A2597,$K:$K)+SUMIF($A:$A,$A2597,$L:$L)),0)</f>
        <v>-254.95937500000002</v>
      </c>
      <c r="N2597" s="30">
        <f>IFERROR((VLOOKUP($A2597,HeadJournal!$A$1:$K$890,COLUMN(HeadJournal!K$1),0)-VLOOKUP($A2597,HeadJournal!$A$1:$K$890,COLUMN(HeadJournal!J$1),0))*($K2597+$L2597)/(SUMIF($A:$A,$A2597,$K:$K)+SUMIF($A:$A,$A2597,$L:$L)),0)</f>
        <v>8.7093749999999659</v>
      </c>
      <c r="O2597" s="30">
        <f>IFERROR((VLOOKUP($A2597,HeadJournal!$A$1:$L$890,COLUMN(HeadJournal!L$1),0)*($K2597+$L2597)/(SUMIF($A:$A,$A2597,$K:$K)+SUMIF($A:$A,$A2597,$L:$L)))/VLOOKUP($A2597,HeadJournal!$A$1:$L$890,COLUMN(HeadJournal!H$1),0),0)</f>
        <v>0</v>
      </c>
      <c r="P2597" s="30">
        <f>IFERROR(SUM(K2597:O2597)*VLOOKUP($A2597,HeadJournal!$A$1:$L$890,COLUMN(HeadJournal!H$1),0),0)</f>
        <v>593.75</v>
      </c>
      <c r="Q2597" s="29">
        <v>1100</v>
      </c>
      <c r="R2597" s="31">
        <v>45286</v>
      </c>
      <c r="S2597" s="31" t="s">
        <v>3121</v>
      </c>
      <c r="T2597" s="95" t="str">
        <f t="shared" si="205"/>
        <v>2023 12</v>
      </c>
      <c r="U2597" s="32">
        <f t="shared" si="202"/>
        <v>506.25</v>
      </c>
      <c r="V2597" s="22">
        <f t="shared" si="203"/>
        <v>0.85263157894736841</v>
      </c>
      <c r="X2597" s="33"/>
      <c r="Y2597" s="33"/>
    </row>
    <row r="2598" spans="1:25" x14ac:dyDescent="0.2">
      <c r="A2598" s="93" t="s">
        <v>1189</v>
      </c>
      <c r="B2598" s="94">
        <f>IFERROR(VLOOKUP($A2598,HeadJournal!$A$1:$NTR$890,COLUMN(HeadJournal!B$1),0),"")</f>
        <v>0</v>
      </c>
      <c r="C2598" s="94" t="str">
        <f>IFERROR(VLOOKUP($A2598,HeadJournal!$A$1:$NTR$890,COLUMN(HeadJournal!C$1),0),"")</f>
        <v>CoralClub_AV</v>
      </c>
      <c r="D2598" s="125" t="str">
        <f>IFERROR(VLOOKUP($A2598,HeadJournal!$A$1:$NTR$890,COLUMN(HeadJournal!D$1),0),"")</f>
        <v>Доставлен</v>
      </c>
      <c r="E2598" s="95">
        <f>IFERROR(VLOOKUP($A2598,HeadJournal!$A$1:$NTR$890,COLUMN(HeadJournal!G$1),0),"")</f>
        <v>45276</v>
      </c>
      <c r="F2598" s="95" t="str">
        <f t="shared" si="204"/>
        <v>2023 12</v>
      </c>
      <c r="G2598" s="96" t="s">
        <v>5</v>
      </c>
      <c r="H2598" s="160" t="str">
        <f>RIGHT(Journal!$J2598,9)</f>
        <v>000002111</v>
      </c>
      <c r="I2598" s="96" t="str">
        <f t="shared" si="206"/>
        <v>CoralClub</v>
      </c>
      <c r="J2598" s="97" t="s">
        <v>1192</v>
      </c>
      <c r="K2598" s="29">
        <v>1092</v>
      </c>
      <c r="L2598" s="29">
        <v>0</v>
      </c>
      <c r="M2598" s="30">
        <f>IFERROR(VLOOKUP($A2598,HeadJournal!$A$1:$J$890,COLUMN(HeadJournal!I$1),0)*($K2598+$L2598)/(SUMIF($A:$A,$A2598,$K:$K)+SUMIF($A:$A,$A2598,$L:$L)),0)</f>
        <v>-331.44718750000004</v>
      </c>
      <c r="N2598" s="30">
        <f>IFERROR((VLOOKUP($A2598,HeadJournal!$A$1:$K$890,COLUMN(HeadJournal!K$1),0)-VLOOKUP($A2598,HeadJournal!$A$1:$K$890,COLUMN(HeadJournal!J$1),0))*($K2598+$L2598)/(SUMIF($A:$A,$A2598,$K:$K)+SUMIF($A:$A,$A2598,$L:$L)),0)</f>
        <v>11.322187499999956</v>
      </c>
      <c r="O2598" s="30">
        <f>IFERROR((VLOOKUP($A2598,HeadJournal!$A$1:$L$890,COLUMN(HeadJournal!L$1),0)*($K2598+$L2598)/(SUMIF($A:$A,$A2598,$K:$K)+SUMIF($A:$A,$A2598,$L:$L)))/VLOOKUP($A2598,HeadJournal!$A$1:$L$890,COLUMN(HeadJournal!H$1),0),0)</f>
        <v>0</v>
      </c>
      <c r="P2598" s="30">
        <f>IFERROR(SUM(K2598:O2598)*VLOOKUP($A2598,HeadJournal!$A$1:$L$890,COLUMN(HeadJournal!H$1),0),0)</f>
        <v>771.87499999999989</v>
      </c>
      <c r="Q2598" s="29">
        <v>1400</v>
      </c>
      <c r="R2598" s="31">
        <v>45282</v>
      </c>
      <c r="S2598" s="31" t="s">
        <v>3121</v>
      </c>
      <c r="T2598" s="95" t="str">
        <f t="shared" si="205"/>
        <v>2023 12</v>
      </c>
      <c r="U2598" s="32">
        <f t="shared" si="202"/>
        <v>628.12500000000011</v>
      </c>
      <c r="V2598" s="22">
        <f t="shared" si="203"/>
        <v>0.81376518218623506</v>
      </c>
      <c r="X2598" s="33"/>
      <c r="Y2598" s="33"/>
    </row>
    <row r="2599" spans="1:25" x14ac:dyDescent="0.2">
      <c r="A2599" s="93" t="s">
        <v>1193</v>
      </c>
      <c r="B2599" s="94" t="str">
        <f>IFERROR(VLOOKUP($A2599,HeadJournal!$A$1:$NTR$890,COLUMN(HeadJournal!B$1),0),"")</f>
        <v>720000042510</v>
      </c>
      <c r="C2599" s="94" t="str">
        <f>IFERROR(VLOOKUP($A2599,HeadJournal!$A$1:$NTR$890,COLUMN(HeadJournal!C$1),0),"")</f>
        <v>iHerb_OA CZN6870</v>
      </c>
      <c r="D2599" s="125" t="str">
        <f>IFERROR(VLOOKUP($A2599,HeadJournal!$A$1:$NTR$890,COLUMN(HeadJournal!D$1),0),"")</f>
        <v>Доставлен</v>
      </c>
      <c r="E2599" s="95">
        <f>IFERROR(VLOOKUP($A2599,HeadJournal!$A$1:$NTR$890,COLUMN(HeadJournal!G$1),0),"")</f>
        <v>45267</v>
      </c>
      <c r="F2599" s="95" t="str">
        <f t="shared" si="204"/>
        <v>2023 12</v>
      </c>
      <c r="G2599" s="96" t="s">
        <v>5</v>
      </c>
      <c r="H2599" s="160" t="str">
        <f>RIGHT(Journal!$J2599,9)</f>
        <v>PAR-77870</v>
      </c>
      <c r="I2599" s="96" t="str">
        <f t="shared" si="206"/>
        <v>Paradise Herbs</v>
      </c>
      <c r="J2599" s="97" t="s">
        <v>1194</v>
      </c>
      <c r="K2599" s="29">
        <v>13.52</v>
      </c>
      <c r="L2599" s="29">
        <v>-1.35</v>
      </c>
      <c r="M2599" s="30">
        <f>IFERROR(VLOOKUP($A2599,HeadJournal!$A$1:$J$890,COLUMN(HeadJournal!I$1),0)*($K2599+$L2599)/(SUMIF($A:$A,$A2599,$K:$K)+SUMIF($A:$A,$A2599,$L:$L)),0)</f>
        <v>-0.43969724917796144</v>
      </c>
      <c r="N2599" s="30">
        <f>IFERROR((VLOOKUP($A2599,HeadJournal!$A$1:$K$890,COLUMN(HeadJournal!K$1),0)-VLOOKUP($A2599,HeadJournal!$A$1:$K$890,COLUMN(HeadJournal!J$1),0))*($K2599+$L2599)/(SUMIF($A:$A,$A2599,$K:$K)+SUMIF($A:$A,$A2599,$L:$L)),0)</f>
        <v>2.7740171927822349E-15</v>
      </c>
      <c r="O2599" s="30">
        <f>IFERROR((VLOOKUP($A2599,HeadJournal!$A$1:$L$890,COLUMN(HeadJournal!L$1),0)*($K2599+$L2599)/(SUMIF($A:$A,$A2599,$K:$K)+SUMIF($A:$A,$A2599,$L:$L)))/VLOOKUP($A2599,HeadJournal!$A$1:$L$890,COLUMN(HeadJournal!H$1),0),0)</f>
        <v>0.72304360529672007</v>
      </c>
      <c r="P2599" s="30">
        <f>IFERROR(SUM(K2599:O2599)*VLOOKUP($A2599,HeadJournal!$A$1:$L$890,COLUMN(HeadJournal!H$1),0),0)</f>
        <v>1260.7872090785154</v>
      </c>
      <c r="Q2599" s="29">
        <v>1800</v>
      </c>
      <c r="R2599" s="31">
        <v>45315</v>
      </c>
      <c r="S2599" s="31" t="s">
        <v>3121</v>
      </c>
      <c r="T2599" s="95" t="str">
        <f t="shared" si="205"/>
        <v>2024 01</v>
      </c>
      <c r="U2599" s="32">
        <f t="shared" si="202"/>
        <v>539.21279092148461</v>
      </c>
      <c r="V2599" s="22">
        <f t="shared" si="203"/>
        <v>0.42767945854684286</v>
      </c>
      <c r="X2599" s="33"/>
      <c r="Y2599" s="33"/>
    </row>
    <row r="2600" spans="1:25" x14ac:dyDescent="0.2">
      <c r="A2600" s="93" t="s">
        <v>1193</v>
      </c>
      <c r="B2600" s="94" t="str">
        <f>IFERROR(VLOOKUP($A2600,HeadJournal!$A$1:$NTR$890,COLUMN(HeadJournal!B$1),0),"")</f>
        <v>720000042510</v>
      </c>
      <c r="C2600" s="94" t="str">
        <f>IFERROR(VLOOKUP($A2600,HeadJournal!$A$1:$NTR$890,COLUMN(HeadJournal!C$1),0),"")</f>
        <v>iHerb_OA CZN6870</v>
      </c>
      <c r="D2600" s="125" t="str">
        <f>IFERROR(VLOOKUP($A2600,HeadJournal!$A$1:$NTR$890,COLUMN(HeadJournal!D$1),0),"")</f>
        <v>Доставлен</v>
      </c>
      <c r="E2600" s="95">
        <f>IFERROR(VLOOKUP($A2600,HeadJournal!$A$1:$NTR$890,COLUMN(HeadJournal!G$1),0),"")</f>
        <v>45267</v>
      </c>
      <c r="F2600" s="95" t="str">
        <f t="shared" si="204"/>
        <v>2023 12</v>
      </c>
      <c r="G2600" s="96" t="s">
        <v>5</v>
      </c>
      <c r="H2600" s="160" t="str">
        <f>RIGHT(Journal!$J2600,9)</f>
        <v>CGN-01864</v>
      </c>
      <c r="I2600" s="96" t="str">
        <f t="shared" si="206"/>
        <v>California Gold Nutrition</v>
      </c>
      <c r="J2600" s="97" t="s">
        <v>1195</v>
      </c>
      <c r="K2600" s="29">
        <v>53.87</v>
      </c>
      <c r="L2600" s="29">
        <v>-16.16</v>
      </c>
      <c r="M2600" s="30">
        <f>IFERROR(VLOOKUP($A2600,HeadJournal!$A$1:$J$890,COLUMN(HeadJournal!I$1),0)*($K2600+$L2600)/(SUMIF($A:$A,$A2600,$K:$K)+SUMIF($A:$A,$A2600,$L:$L)),0)</f>
        <v>-1.3624472692276846</v>
      </c>
      <c r="N2600" s="30">
        <f>IFERROR((VLOOKUP($A2600,HeadJournal!$A$1:$K$890,COLUMN(HeadJournal!K$1),0)-VLOOKUP($A2600,HeadJournal!$A$1:$K$890,COLUMN(HeadJournal!J$1),0))*($K2600+$L2600)/(SUMIF($A:$A,$A2600,$K:$K)+SUMIF($A:$A,$A2600,$L:$L)),0)</f>
        <v>8.5955783352356653E-15</v>
      </c>
      <c r="O2600" s="30">
        <f>IFERROR((VLOOKUP($A2600,HeadJournal!$A$1:$L$890,COLUMN(HeadJournal!L$1),0)*($K2600+$L2600)/(SUMIF($A:$A,$A2600,$K:$K)+SUMIF($A:$A,$A2600,$L:$L)))/VLOOKUP($A2600,HeadJournal!$A$1:$L$890,COLUMN(HeadJournal!H$1),0),0)</f>
        <v>2.240425173027059</v>
      </c>
      <c r="P2600" s="30">
        <f>IFERROR(SUM(K2600:O2600)*VLOOKUP($A2600,HeadJournal!$A$1:$L$890,COLUMN(HeadJournal!H$1),0),0)</f>
        <v>3906.6791827732777</v>
      </c>
      <c r="Q2600" s="29">
        <v>5500</v>
      </c>
      <c r="R2600" s="31">
        <v>45312</v>
      </c>
      <c r="S2600" s="31" t="s">
        <v>3121</v>
      </c>
      <c r="T2600" s="95" t="str">
        <f t="shared" si="205"/>
        <v>2024 01</v>
      </c>
      <c r="U2600" s="32">
        <f t="shared" si="202"/>
        <v>1593.3208172267223</v>
      </c>
      <c r="V2600" s="22">
        <f t="shared" si="203"/>
        <v>0.40784531892266973</v>
      </c>
      <c r="X2600" s="33"/>
      <c r="Y2600" s="33"/>
    </row>
    <row r="2601" spans="1:25" x14ac:dyDescent="0.2">
      <c r="A2601" s="93" t="s">
        <v>1193</v>
      </c>
      <c r="B2601" s="94" t="str">
        <f>IFERROR(VLOOKUP($A2601,HeadJournal!$A$1:$NTR$890,COLUMN(HeadJournal!B$1),0),"")</f>
        <v>720000042510</v>
      </c>
      <c r="C2601" s="94" t="str">
        <f>IFERROR(VLOOKUP($A2601,HeadJournal!$A$1:$NTR$890,COLUMN(HeadJournal!C$1),0),"")</f>
        <v>iHerb_OA CZN6870</v>
      </c>
      <c r="D2601" s="125" t="str">
        <f>IFERROR(VLOOKUP($A2601,HeadJournal!$A$1:$NTR$890,COLUMN(HeadJournal!D$1),0),"")</f>
        <v>Доставлен</v>
      </c>
      <c r="E2601" s="95">
        <f>IFERROR(VLOOKUP($A2601,HeadJournal!$A$1:$NTR$890,COLUMN(HeadJournal!G$1),0),"")</f>
        <v>45267</v>
      </c>
      <c r="F2601" s="95" t="str">
        <f t="shared" si="204"/>
        <v>2023 12</v>
      </c>
      <c r="G2601" s="96" t="s">
        <v>5</v>
      </c>
      <c r="H2601" s="161" t="s">
        <v>2085</v>
      </c>
      <c r="I2601" s="97" t="s">
        <v>2005</v>
      </c>
      <c r="J2601" s="97" t="s">
        <v>2086</v>
      </c>
      <c r="K2601" s="29">
        <v>16.940000000000001</v>
      </c>
      <c r="L2601" s="29">
        <v>-5.08</v>
      </c>
      <c r="M2601" s="30">
        <f>IFERROR(VLOOKUP($A2601,HeadJournal!$A$1:$J$890,COLUMN(HeadJournal!I$1),0)*($K2601+$L2601)/(SUMIF($A:$A,$A2601,$K:$K)+SUMIF($A:$A,$A2601,$L:$L)),0)</f>
        <v>-0.42849707274039633</v>
      </c>
      <c r="N2601" s="30">
        <f>IFERROR((VLOOKUP($A2601,HeadJournal!$A$1:$K$890,COLUMN(HeadJournal!K$1),0)-VLOOKUP($A2601,HeadJournal!$A$1:$K$890,COLUMN(HeadJournal!J$1),0))*($K2601+$L2601)/(SUMIF($A:$A,$A2601,$K:$K)+SUMIF($A:$A,$A2601,$L:$L)),0)</f>
        <v>2.7033561139192528E-15</v>
      </c>
      <c r="O2601" s="30">
        <f>IFERROR((VLOOKUP($A2601,HeadJournal!$A$1:$L$890,COLUMN(HeadJournal!L$1),0)*($K2601+$L2601)/(SUMIF($A:$A,$A2601,$K:$K)+SUMIF($A:$A,$A2601,$L:$L)))/VLOOKUP($A2601,HeadJournal!$A$1:$L$890,COLUMN(HeadJournal!H$1),0),0)</f>
        <v>0.70462589636968775</v>
      </c>
      <c r="P2601" s="30">
        <f>IFERROR(SUM(K2601:O2601)*VLOOKUP($A2601,HeadJournal!$A$1:$L$890,COLUMN(HeadJournal!H$1),0),0)</f>
        <v>1228.6718405646009</v>
      </c>
      <c r="Q2601" s="29">
        <v>2300</v>
      </c>
      <c r="R2601" s="31">
        <v>45311</v>
      </c>
      <c r="S2601" s="31" t="s">
        <v>3121</v>
      </c>
      <c r="T2601" s="95" t="str">
        <f t="shared" si="205"/>
        <v>2024 01</v>
      </c>
      <c r="U2601" s="32">
        <f t="shared" si="202"/>
        <v>1071.3281594353991</v>
      </c>
      <c r="V2601" s="22">
        <f t="shared" si="203"/>
        <v>0.87194002830169937</v>
      </c>
      <c r="X2601" s="33"/>
      <c r="Y2601" s="33"/>
    </row>
    <row r="2602" spans="1:25" x14ac:dyDescent="0.2">
      <c r="A2602" s="93" t="s">
        <v>1193</v>
      </c>
      <c r="B2602" s="94" t="str">
        <f>IFERROR(VLOOKUP($A2602,HeadJournal!$A$1:$NTR$890,COLUMN(HeadJournal!B$1),0),"")</f>
        <v>720000042510</v>
      </c>
      <c r="C2602" s="94" t="str">
        <f>IFERROR(VLOOKUP($A2602,HeadJournal!$A$1:$NTR$890,COLUMN(HeadJournal!C$1),0),"")</f>
        <v>iHerb_OA CZN6870</v>
      </c>
      <c r="D2602" s="125" t="str">
        <f>IFERROR(VLOOKUP($A2602,HeadJournal!$A$1:$NTR$890,COLUMN(HeadJournal!D$1),0),"")</f>
        <v>Доставлен</v>
      </c>
      <c r="E2602" s="95">
        <f>IFERROR(VLOOKUP($A2602,HeadJournal!$A$1:$NTR$890,COLUMN(HeadJournal!G$1),0),"")</f>
        <v>45267</v>
      </c>
      <c r="F2602" s="95" t="str">
        <f t="shared" si="204"/>
        <v>2023 12</v>
      </c>
      <c r="G2602" s="96" t="s">
        <v>5</v>
      </c>
      <c r="H2602" s="160" t="str">
        <f>RIGHT(Journal!$J2602,9)</f>
        <v>SRE-01345</v>
      </c>
      <c r="I2602" s="96" t="str">
        <f t="shared" si="206"/>
        <v>Sports Research</v>
      </c>
      <c r="J2602" s="97" t="s">
        <v>1196</v>
      </c>
      <c r="K2602" s="29">
        <v>34.21</v>
      </c>
      <c r="L2602" s="29">
        <v>-13.685</v>
      </c>
      <c r="M2602" s="30">
        <f>IFERROR(VLOOKUP($A2602,HeadJournal!$A$1:$J$890,COLUMN(HeadJournal!I$1),0)*($K2602+$L2602)/(SUMIF($A:$A,$A2602,$K:$K)+SUMIF($A:$A,$A2602,$L:$L)),0)</f>
        <v>-0.74156006897104831</v>
      </c>
      <c r="N2602" s="30">
        <f>IFERROR((VLOOKUP($A2602,HeadJournal!$A$1:$K$890,COLUMN(HeadJournal!K$1),0)-VLOOKUP($A2602,HeadJournal!$A$1:$K$890,COLUMN(HeadJournal!J$1),0))*($K2602+$L2602)/(SUMIF($A:$A,$A2602,$K:$K)+SUMIF($A:$A,$A2602,$L:$L)),0)</f>
        <v>4.6784472376216402E-15</v>
      </c>
      <c r="O2602" s="30">
        <f>IFERROR((VLOOKUP($A2602,HeadJournal!$A$1:$L$890,COLUMN(HeadJournal!L$1),0)*($K2602+$L2602)/(SUMIF($A:$A,$A2602,$K:$K)+SUMIF($A:$A,$A2602,$L:$L)))/VLOOKUP($A2602,HeadJournal!$A$1:$L$890,COLUMN(HeadJournal!H$1),0),0)</f>
        <v>1.219430566862381</v>
      </c>
      <c r="P2602" s="30">
        <f>IFERROR(SUM(K2602:O2602)*VLOOKUP($A2602,HeadJournal!$A$1:$L$890,COLUMN(HeadJournal!H$1),0),0)</f>
        <v>2126.3481895099853</v>
      </c>
      <c r="Q2602" s="29">
        <v>2126.35</v>
      </c>
      <c r="R2602" s="31">
        <v>45324</v>
      </c>
      <c r="S2602" s="31" t="s">
        <v>3121</v>
      </c>
      <c r="T2602" s="95" t="str">
        <f t="shared" si="205"/>
        <v>2024 02</v>
      </c>
      <c r="U2602" s="32">
        <f t="shared" si="202"/>
        <v>1.8104900145772262E-3</v>
      </c>
      <c r="V2602" s="22">
        <f t="shared" si="203"/>
        <v>8.5145510199552586E-7</v>
      </c>
      <c r="X2602" s="33"/>
      <c r="Y2602" s="33"/>
    </row>
    <row r="2603" spans="1:25" x14ac:dyDescent="0.2">
      <c r="A2603" s="93" t="s">
        <v>1193</v>
      </c>
      <c r="B2603" s="94" t="str">
        <f>IFERROR(VLOOKUP($A2603,HeadJournal!$A$1:$NTR$890,COLUMN(HeadJournal!B$1),0),"")</f>
        <v>720000042510</v>
      </c>
      <c r="C2603" s="94" t="str">
        <f>IFERROR(VLOOKUP($A2603,HeadJournal!$A$1:$NTR$890,COLUMN(HeadJournal!C$1),0),"")</f>
        <v>iHerb_OA CZN6870</v>
      </c>
      <c r="D2603" s="125" t="str">
        <f>IFERROR(VLOOKUP($A2603,HeadJournal!$A$1:$NTR$890,COLUMN(HeadJournal!D$1),0),"")</f>
        <v>Доставлен</v>
      </c>
      <c r="E2603" s="95">
        <f>IFERROR(VLOOKUP($A2603,HeadJournal!$A$1:$NTR$890,COLUMN(HeadJournal!G$1),0),"")</f>
        <v>45267</v>
      </c>
      <c r="F2603" s="95" t="str">
        <f t="shared" si="204"/>
        <v>2023 12</v>
      </c>
      <c r="G2603" s="96" t="s">
        <v>5</v>
      </c>
      <c r="H2603" s="160" t="str">
        <f>RIGHT(Journal!$J2603,9)</f>
        <v>SRE-01345</v>
      </c>
      <c r="I2603" s="96" t="str">
        <f t="shared" si="206"/>
        <v>Sports Research</v>
      </c>
      <c r="J2603" s="97" t="s">
        <v>1196</v>
      </c>
      <c r="K2603" s="29">
        <v>34.21</v>
      </c>
      <c r="L2603" s="29">
        <v>-13.685</v>
      </c>
      <c r="M2603" s="30">
        <f>IFERROR(VLOOKUP($A2603,HeadJournal!$A$1:$J$890,COLUMN(HeadJournal!I$1),0)*($K2603+$L2603)/(SUMIF($A:$A,$A2603,$K:$K)+SUMIF($A:$A,$A2603,$L:$L)),0)</f>
        <v>-0.74156006897104831</v>
      </c>
      <c r="N2603" s="30">
        <f>IFERROR((VLOOKUP($A2603,HeadJournal!$A$1:$K$890,COLUMN(HeadJournal!K$1),0)-VLOOKUP($A2603,HeadJournal!$A$1:$K$890,COLUMN(HeadJournal!J$1),0))*($K2603+$L2603)/(SUMIF($A:$A,$A2603,$K:$K)+SUMIF($A:$A,$A2603,$L:$L)),0)</f>
        <v>4.6784472376216402E-15</v>
      </c>
      <c r="O2603" s="30">
        <f>IFERROR((VLOOKUP($A2603,HeadJournal!$A$1:$L$890,COLUMN(HeadJournal!L$1),0)*($K2603+$L2603)/(SUMIF($A:$A,$A2603,$K:$K)+SUMIF($A:$A,$A2603,$L:$L)))/VLOOKUP($A2603,HeadJournal!$A$1:$L$890,COLUMN(HeadJournal!H$1),0),0)</f>
        <v>1.219430566862381</v>
      </c>
      <c r="P2603" s="30">
        <f>IFERROR(SUM(K2603:O2603)*VLOOKUP($A2603,HeadJournal!$A$1:$L$890,COLUMN(HeadJournal!H$1),0),0)</f>
        <v>2126.3481895099853</v>
      </c>
      <c r="Q2603" s="29">
        <v>3800</v>
      </c>
      <c r="R2603" s="31">
        <v>45420</v>
      </c>
      <c r="S2603" s="31" t="s">
        <v>3121</v>
      </c>
      <c r="T2603" s="95" t="str">
        <f t="shared" si="205"/>
        <v>2024 05</v>
      </c>
      <c r="U2603" s="32">
        <f t="shared" si="202"/>
        <v>1673.6518104900147</v>
      </c>
      <c r="V2603" s="22">
        <f t="shared" si="203"/>
        <v>0.78710148166077443</v>
      </c>
      <c r="X2603" s="33"/>
      <c r="Y2603" s="33"/>
    </row>
    <row r="2604" spans="1:25" x14ac:dyDescent="0.2">
      <c r="A2604" s="93" t="s">
        <v>1193</v>
      </c>
      <c r="B2604" s="94" t="str">
        <f>IFERROR(VLOOKUP($A2604,HeadJournal!$A$1:$NTR$890,COLUMN(HeadJournal!B$1),0),"")</f>
        <v>720000042510</v>
      </c>
      <c r="C2604" s="94" t="str">
        <f>IFERROR(VLOOKUP($A2604,HeadJournal!$A$1:$NTR$890,COLUMN(HeadJournal!C$1),0),"")</f>
        <v>iHerb_OA CZN6870</v>
      </c>
      <c r="D2604" s="125" t="str">
        <f>IFERROR(VLOOKUP($A2604,HeadJournal!$A$1:$NTR$890,COLUMN(HeadJournal!D$1),0),"")</f>
        <v>Доставлен</v>
      </c>
      <c r="E2604" s="95">
        <f>IFERROR(VLOOKUP($A2604,HeadJournal!$A$1:$NTR$890,COLUMN(HeadJournal!G$1),0),"")</f>
        <v>45267</v>
      </c>
      <c r="F2604" s="95" t="str">
        <f t="shared" si="204"/>
        <v>2023 12</v>
      </c>
      <c r="G2604" s="96" t="s">
        <v>5</v>
      </c>
      <c r="H2604" s="160" t="str">
        <f>RIGHT(Journal!$J2604,9)</f>
        <v>VTP-00508</v>
      </c>
      <c r="I2604" s="96" t="str">
        <f t="shared" si="206"/>
        <v>Vital Proteins</v>
      </c>
      <c r="J2604" s="97" t="s">
        <v>1197</v>
      </c>
      <c r="K2604" s="29">
        <v>61.02</v>
      </c>
      <c r="L2604" s="29">
        <v>-6.1</v>
      </c>
      <c r="M2604" s="30">
        <f>IFERROR(VLOOKUP($A2604,HeadJournal!$A$1:$J$890,COLUMN(HeadJournal!I$1),0)*($K2604+$L2604)/(SUMIF($A:$A,$A2604,$K:$K)+SUMIF($A:$A,$A2604,$L:$L)),0)</f>
        <v>-1.9842377095196091</v>
      </c>
      <c r="N2604" s="30">
        <f>IFERROR((VLOOKUP($A2604,HeadJournal!$A$1:$K$890,COLUMN(HeadJournal!K$1),0)-VLOOKUP($A2604,HeadJournal!$A$1:$K$890,COLUMN(HeadJournal!J$1),0))*($K2604+$L2604)/(SUMIF($A:$A,$A2604,$K:$K)+SUMIF($A:$A,$A2604,$L:$L)),0)</f>
        <v>1.2518407906951547E-14</v>
      </c>
      <c r="O2604" s="30">
        <f>IFERROR((VLOOKUP($A2604,HeadJournal!$A$1:$L$890,COLUMN(HeadJournal!L$1),0)*($K2604+$L2604)/(SUMIF($A:$A,$A2604,$K:$K)+SUMIF($A:$A,$A2604,$L:$L)))/VLOOKUP($A2604,HeadJournal!$A$1:$L$890,COLUMN(HeadJournal!H$1),0),0)</f>
        <v>3.2629050782987563</v>
      </c>
      <c r="P2604" s="30">
        <f>IFERROR(SUM(K2604:O2604)*VLOOKUP($A2604,HeadJournal!$A$1:$L$890,COLUMN(HeadJournal!H$1),0),0)</f>
        <v>5689.6001251102762</v>
      </c>
      <c r="Q2604" s="29">
        <v>6600</v>
      </c>
      <c r="R2604" s="31">
        <v>45310</v>
      </c>
      <c r="S2604" s="31" t="s">
        <v>3121</v>
      </c>
      <c r="T2604" s="95" t="str">
        <f t="shared" si="205"/>
        <v>2024 01</v>
      </c>
      <c r="U2604" s="32">
        <f t="shared" si="202"/>
        <v>910.39987488972383</v>
      </c>
      <c r="V2604" s="22">
        <f t="shared" si="203"/>
        <v>0.16001122308610016</v>
      </c>
      <c r="X2604" s="33"/>
      <c r="Y2604" s="33"/>
    </row>
    <row r="2605" spans="1:25" x14ac:dyDescent="0.2">
      <c r="A2605" s="93" t="s">
        <v>1193</v>
      </c>
      <c r="B2605" s="94" t="str">
        <f>IFERROR(VLOOKUP($A2605,HeadJournal!$A$1:$NTR$890,COLUMN(HeadJournal!B$1),0),"")</f>
        <v>720000042510</v>
      </c>
      <c r="C2605" s="94" t="str">
        <f>IFERROR(VLOOKUP($A2605,HeadJournal!$A$1:$NTR$890,COLUMN(HeadJournal!C$1),0),"")</f>
        <v>iHerb_OA CZN6870</v>
      </c>
      <c r="D2605" s="125" t="str">
        <f>IFERROR(VLOOKUP($A2605,HeadJournal!$A$1:$NTR$890,COLUMN(HeadJournal!D$1),0),"")</f>
        <v>Доставлен</v>
      </c>
      <c r="E2605" s="95">
        <f>IFERROR(VLOOKUP($A2605,HeadJournal!$A$1:$NTR$890,COLUMN(HeadJournal!G$1),0),"")</f>
        <v>45267</v>
      </c>
      <c r="F2605" s="95" t="str">
        <f t="shared" si="204"/>
        <v>2023 12</v>
      </c>
      <c r="G2605" s="96" t="s">
        <v>5</v>
      </c>
      <c r="H2605" s="161" t="s">
        <v>2878</v>
      </c>
      <c r="I2605" s="97" t="s">
        <v>2005</v>
      </c>
      <c r="J2605" s="97" t="s">
        <v>2879</v>
      </c>
      <c r="K2605" s="29">
        <v>9.18</v>
      </c>
      <c r="L2605" s="29">
        <v>-1.84</v>
      </c>
      <c r="M2605" s="30">
        <f>IFERROR(VLOOKUP($A2605,HeadJournal!$A$1:$J$890,COLUMN(HeadJournal!I$1),0)*($K2605+$L2605)/(SUMIF($A:$A,$A2605,$K:$K)+SUMIF($A:$A,$A2605,$L:$L)),0)</f>
        <v>-0.2651912743604139</v>
      </c>
      <c r="N2605" s="30">
        <f>IFERROR((VLOOKUP($A2605,HeadJournal!$A$1:$K$890,COLUMN(HeadJournal!K$1),0)-VLOOKUP($A2605,HeadJournal!$A$1:$K$890,COLUMN(HeadJournal!J$1),0))*($K2605+$L2605)/(SUMIF($A:$A,$A2605,$K:$K)+SUMIF($A:$A,$A2605,$L:$L)),0)</f>
        <v>1.6730719963041581E-15</v>
      </c>
      <c r="O2605" s="30">
        <f>IFERROR((VLOOKUP($A2605,HeadJournal!$A$1:$L$890,COLUMN(HeadJournal!L$1),0)*($K2605+$L2605)/(SUMIF($A:$A,$A2605,$K:$K)+SUMIF($A:$A,$A2605,$L:$L)))/VLOOKUP($A2605,HeadJournal!$A$1:$L$890,COLUMN(HeadJournal!H$1),0),0)</f>
        <v>0.43608381782070049</v>
      </c>
      <c r="P2605" s="30">
        <f>IFERROR(SUM(K2605:O2605)*VLOOKUP($A2605,HeadJournal!$A$1:$L$890,COLUMN(HeadJournal!H$1),0),0)</f>
        <v>760.40904803913736</v>
      </c>
      <c r="Q2605" s="29">
        <v>1500</v>
      </c>
      <c r="R2605" s="31">
        <v>45313</v>
      </c>
      <c r="S2605" s="31" t="s">
        <v>3121</v>
      </c>
      <c r="T2605" s="95" t="str">
        <f t="shared" si="205"/>
        <v>2024 01</v>
      </c>
      <c r="U2605" s="32">
        <f t="shared" si="202"/>
        <v>739.59095196086264</v>
      </c>
      <c r="V2605" s="22">
        <f t="shared" si="203"/>
        <v>0.97262250346447321</v>
      </c>
      <c r="X2605" s="33"/>
      <c r="Y2605" s="33"/>
    </row>
    <row r="2606" spans="1:25" x14ac:dyDescent="0.2">
      <c r="A2606" s="93" t="s">
        <v>1193</v>
      </c>
      <c r="B2606" s="94" t="str">
        <f>IFERROR(VLOOKUP($A2606,HeadJournal!$A$1:$NTR$890,COLUMN(HeadJournal!B$1),0),"")</f>
        <v>720000042510</v>
      </c>
      <c r="C2606" s="94" t="str">
        <f>IFERROR(VLOOKUP($A2606,HeadJournal!$A$1:$NTR$890,COLUMN(HeadJournal!C$1),0),"")</f>
        <v>iHerb_OA CZN6870</v>
      </c>
      <c r="D2606" s="125" t="str">
        <f>IFERROR(VLOOKUP($A2606,HeadJournal!$A$1:$NTR$890,COLUMN(HeadJournal!D$1),0),"")</f>
        <v>Доставлен</v>
      </c>
      <c r="E2606" s="95">
        <f>IFERROR(VLOOKUP($A2606,HeadJournal!$A$1:$NTR$890,COLUMN(HeadJournal!G$1),0),"")</f>
        <v>45267</v>
      </c>
      <c r="F2606" s="95" t="str">
        <f t="shared" si="204"/>
        <v>2023 12</v>
      </c>
      <c r="G2606" s="96" t="s">
        <v>5</v>
      </c>
      <c r="H2606" s="160" t="str">
        <f>RIGHT(Journal!$J2606,9)</f>
        <v>CGN-00963</v>
      </c>
      <c r="I2606" s="96" t="str">
        <f t="shared" si="206"/>
        <v>California Gold Nutrition</v>
      </c>
      <c r="J2606" s="97" t="s">
        <v>1127</v>
      </c>
      <c r="K2606" s="29">
        <v>11.68</v>
      </c>
      <c r="L2606" s="29">
        <v>-3.5049999999999999</v>
      </c>
      <c r="M2606" s="30">
        <f>IFERROR(VLOOKUP($A2606,HeadJournal!$A$1:$J$890,COLUMN(HeadJournal!I$1),0)*($K2606+$L2606)/(SUMIF($A:$A,$A2606,$K:$K)+SUMIF($A:$A,$A2606,$L:$L)),0)</f>
        <v>-0.29535949153901686</v>
      </c>
      <c r="N2606" s="30">
        <f>IFERROR((VLOOKUP($A2606,HeadJournal!$A$1:$K$890,COLUMN(HeadJournal!K$1),0)-VLOOKUP($A2606,HeadJournal!$A$1:$K$890,COLUMN(HeadJournal!J$1),0))*($K2606+$L2606)/(SUMIF($A:$A,$A2606,$K:$K)+SUMIF($A:$A,$A2606,$L:$L)),0)</f>
        <v>1.8634010313060619E-15</v>
      </c>
      <c r="O2606" s="30">
        <f>IFERROR((VLOOKUP($A2606,HeadJournal!$A$1:$L$890,COLUMN(HeadJournal!L$1),0)*($K2606+$L2606)/(SUMIF($A:$A,$A2606,$K:$K)+SUMIF($A:$A,$A2606,$L:$L)))/VLOOKUP($A2606,HeadJournal!$A$1:$L$890,COLUMN(HeadJournal!H$1),0),0)</f>
        <v>0.48569280799512632</v>
      </c>
      <c r="P2606" s="30">
        <f>IFERROR(SUM(K2606:O2606)*VLOOKUP($A2606,HeadJournal!$A$1:$L$890,COLUMN(HeadJournal!H$1),0),0)</f>
        <v>846.91334710081048</v>
      </c>
      <c r="Q2606" s="29">
        <v>1700</v>
      </c>
      <c r="R2606" s="31">
        <v>45312</v>
      </c>
      <c r="S2606" s="31" t="s">
        <v>3121</v>
      </c>
      <c r="T2606" s="95" t="str">
        <f t="shared" si="205"/>
        <v>2024 01</v>
      </c>
      <c r="U2606" s="32">
        <f t="shared" si="202"/>
        <v>853.08665289918952</v>
      </c>
      <c r="V2606" s="22">
        <f t="shared" si="203"/>
        <v>1.007289182322503</v>
      </c>
      <c r="X2606" s="33"/>
      <c r="Y2606" s="33"/>
    </row>
    <row r="2607" spans="1:25" x14ac:dyDescent="0.2">
      <c r="A2607" s="93" t="s">
        <v>1193</v>
      </c>
      <c r="B2607" s="94" t="str">
        <f>IFERROR(VLOOKUP($A2607,HeadJournal!$A$1:$NTR$890,COLUMN(HeadJournal!B$1),0),"")</f>
        <v>720000042510</v>
      </c>
      <c r="C2607" s="94" t="str">
        <f>IFERROR(VLOOKUP($A2607,HeadJournal!$A$1:$NTR$890,COLUMN(HeadJournal!C$1),0),"")</f>
        <v>iHerb_OA CZN6870</v>
      </c>
      <c r="D2607" s="125" t="str">
        <f>IFERROR(VLOOKUP($A2607,HeadJournal!$A$1:$NTR$890,COLUMN(HeadJournal!D$1),0),"")</f>
        <v>Доставлен</v>
      </c>
      <c r="E2607" s="95">
        <f>IFERROR(VLOOKUP($A2607,HeadJournal!$A$1:$NTR$890,COLUMN(HeadJournal!G$1),0),"")</f>
        <v>45267</v>
      </c>
      <c r="F2607" s="95" t="str">
        <f t="shared" si="204"/>
        <v>2023 12</v>
      </c>
      <c r="G2607" s="96" t="s">
        <v>5</v>
      </c>
      <c r="H2607" s="160" t="str">
        <f>RIGHT(Journal!$J2607,9)</f>
        <v>CGN-00963</v>
      </c>
      <c r="I2607" s="96" t="str">
        <f t="shared" si="206"/>
        <v>California Gold Nutrition</v>
      </c>
      <c r="J2607" s="97" t="s">
        <v>1127</v>
      </c>
      <c r="K2607" s="29">
        <v>11.68</v>
      </c>
      <c r="L2607" s="29">
        <v>-3.5049999999999999</v>
      </c>
      <c r="M2607" s="30">
        <f>IFERROR(VLOOKUP($A2607,HeadJournal!$A$1:$J$890,COLUMN(HeadJournal!I$1),0)*($K2607+$L2607)/(SUMIF($A:$A,$A2607,$K:$K)+SUMIF($A:$A,$A2607,$L:$L)),0)</f>
        <v>-0.29535949153901686</v>
      </c>
      <c r="N2607" s="30">
        <f>IFERROR((VLOOKUP($A2607,HeadJournal!$A$1:$K$890,COLUMN(HeadJournal!K$1),0)-VLOOKUP($A2607,HeadJournal!$A$1:$K$890,COLUMN(HeadJournal!J$1),0))*($K2607+$L2607)/(SUMIF($A:$A,$A2607,$K:$K)+SUMIF($A:$A,$A2607,$L:$L)),0)</f>
        <v>1.8634010313060619E-15</v>
      </c>
      <c r="O2607" s="30">
        <f>IFERROR((VLOOKUP($A2607,HeadJournal!$A$1:$L$890,COLUMN(HeadJournal!L$1),0)*($K2607+$L2607)/(SUMIF($A:$A,$A2607,$K:$K)+SUMIF($A:$A,$A2607,$L:$L)))/VLOOKUP($A2607,HeadJournal!$A$1:$L$890,COLUMN(HeadJournal!H$1),0),0)</f>
        <v>0.48569280799512632</v>
      </c>
      <c r="P2607" s="30">
        <f>IFERROR(SUM(K2607:O2607)*VLOOKUP($A2607,HeadJournal!$A$1:$L$890,COLUMN(HeadJournal!H$1),0),0)</f>
        <v>846.91334710081048</v>
      </c>
      <c r="Q2607" s="29">
        <v>1700</v>
      </c>
      <c r="R2607" s="31">
        <v>45312</v>
      </c>
      <c r="S2607" s="31" t="s">
        <v>3121</v>
      </c>
      <c r="T2607" s="95" t="str">
        <f t="shared" si="205"/>
        <v>2024 01</v>
      </c>
      <c r="U2607" s="32">
        <f t="shared" si="202"/>
        <v>853.08665289918952</v>
      </c>
      <c r="V2607" s="22">
        <f t="shared" si="203"/>
        <v>1.007289182322503</v>
      </c>
      <c r="X2607" s="33"/>
      <c r="Y2607" s="33"/>
    </row>
    <row r="2608" spans="1:25" x14ac:dyDescent="0.2">
      <c r="A2608" s="93" t="s">
        <v>1193</v>
      </c>
      <c r="B2608" s="94" t="str">
        <f>IFERROR(VLOOKUP($A2608,HeadJournal!$A$1:$NTR$890,COLUMN(HeadJournal!B$1),0),"")</f>
        <v>720000042510</v>
      </c>
      <c r="C2608" s="94" t="str">
        <f>IFERROR(VLOOKUP($A2608,HeadJournal!$A$1:$NTR$890,COLUMN(HeadJournal!C$1),0),"")</f>
        <v>iHerb_OA CZN6870</v>
      </c>
      <c r="D2608" s="125" t="str">
        <f>IFERROR(VLOOKUP($A2608,HeadJournal!$A$1:$NTR$890,COLUMN(HeadJournal!D$1),0),"")</f>
        <v>Доставлен</v>
      </c>
      <c r="E2608" s="95">
        <f>IFERROR(VLOOKUP($A2608,HeadJournal!$A$1:$NTR$890,COLUMN(HeadJournal!G$1),0),"")</f>
        <v>45267</v>
      </c>
      <c r="F2608" s="95" t="str">
        <f t="shared" si="204"/>
        <v>2023 12</v>
      </c>
      <c r="G2608" s="96" t="s">
        <v>6</v>
      </c>
      <c r="H2608" s="160" t="str">
        <f>RIGHT(Journal!$J2608,9)</f>
        <v>FOA-01906</v>
      </c>
      <c r="I2608" s="96" t="str">
        <f t="shared" si="206"/>
        <v>Force Factor</v>
      </c>
      <c r="J2608" s="97" t="s">
        <v>1075</v>
      </c>
      <c r="K2608" s="29">
        <v>22.79</v>
      </c>
      <c r="L2608" s="29">
        <v>-11.4</v>
      </c>
      <c r="M2608" s="30">
        <f>IFERROR(VLOOKUP($A2608,HeadJournal!$A$1:$J$890,COLUMN(HeadJournal!I$1),0)*($K2608+$L2608)/(SUMIF($A:$A,$A2608,$K:$K)+SUMIF($A:$A,$A2608,$L:$L)),0)</f>
        <v>-0.41151616007699099</v>
      </c>
      <c r="N2608" s="30">
        <f>IFERROR((VLOOKUP($A2608,HeadJournal!$A$1:$K$890,COLUMN(HeadJournal!K$1),0)-VLOOKUP($A2608,HeadJournal!$A$1:$K$890,COLUMN(HeadJournal!J$1),0))*($K2608+$L2608)/(SUMIF($A:$A,$A2608,$K:$K)+SUMIF($A:$A,$A2608,$L:$L)),0)</f>
        <v>2.5962248008044083E-15</v>
      </c>
      <c r="O2608" s="30">
        <f>IFERROR((VLOOKUP($A2608,HeadJournal!$A$1:$L$890,COLUMN(HeadJournal!L$1),0)*($K2608+$L2608)/(SUMIF($A:$A,$A2608,$K:$K)+SUMIF($A:$A,$A2608,$L:$L)))/VLOOKUP($A2608,HeadJournal!$A$1:$L$890,COLUMN(HeadJournal!H$1),0),0)</f>
        <v>0.67670227315773546</v>
      </c>
      <c r="P2608" s="30">
        <f>IFERROR(SUM(K2608:O2608)*VLOOKUP($A2608,HeadJournal!$A$1:$L$890,COLUMN(HeadJournal!H$1),0),0)</f>
        <v>1179.9807979789882</v>
      </c>
      <c r="Q2608" s="29">
        <v>2900</v>
      </c>
      <c r="R2608" s="31">
        <v>45547</v>
      </c>
      <c r="S2608" s="31" t="s">
        <v>3121</v>
      </c>
      <c r="T2608" s="95" t="str">
        <f t="shared" si="205"/>
        <v>2024 09</v>
      </c>
      <c r="U2608" s="32">
        <f t="shared" si="202"/>
        <v>1720.0192020210118</v>
      </c>
      <c r="V2608" s="22">
        <f t="shared" si="203"/>
        <v>1.4576671120131566</v>
      </c>
      <c r="X2608" s="33"/>
      <c r="Y2608" s="33"/>
    </row>
    <row r="2609" spans="1:25" x14ac:dyDescent="0.2">
      <c r="A2609" s="93" t="s">
        <v>1193</v>
      </c>
      <c r="B2609" s="94" t="str">
        <f>IFERROR(VLOOKUP($A2609,HeadJournal!$A$1:$NTR$890,COLUMN(HeadJournal!B$1),0),"")</f>
        <v>720000042510</v>
      </c>
      <c r="C2609" s="94" t="str">
        <f>IFERROR(VLOOKUP($A2609,HeadJournal!$A$1:$NTR$890,COLUMN(HeadJournal!C$1),0),"")</f>
        <v>iHerb_OA CZN6870</v>
      </c>
      <c r="D2609" s="125" t="str">
        <f>IFERROR(VLOOKUP($A2609,HeadJournal!$A$1:$NTR$890,COLUMN(HeadJournal!D$1),0),"")</f>
        <v>Доставлен</v>
      </c>
      <c r="E2609" s="95">
        <f>IFERROR(VLOOKUP($A2609,HeadJournal!$A$1:$NTR$890,COLUMN(HeadJournal!G$1),0),"")</f>
        <v>45267</v>
      </c>
      <c r="F2609" s="95" t="str">
        <f t="shared" si="204"/>
        <v>2023 12</v>
      </c>
      <c r="G2609" s="96" t="s">
        <v>5</v>
      </c>
      <c r="H2609" s="175" t="s">
        <v>3652</v>
      </c>
      <c r="I2609" s="176" t="s">
        <v>2005</v>
      </c>
      <c r="J2609" s="97" t="s">
        <v>3701</v>
      </c>
      <c r="K2609" s="29">
        <v>11.3</v>
      </c>
      <c r="L2609" s="29">
        <v>-2.2599999999999998</v>
      </c>
      <c r="M2609" s="30">
        <f>IFERROR(VLOOKUP($A2609,HeadJournal!$A$1:$J$890,COLUMN(HeadJournal!I$1),0)*($K2609+$L2609)/(SUMIF($A:$A,$A2609,$K:$K)+SUMIF($A:$A,$A2609,$L:$L)),0)</f>
        <v>-0.32661159675996482</v>
      </c>
      <c r="N2609" s="30">
        <f>IFERROR((VLOOKUP($A2609,HeadJournal!$A$1:$K$890,COLUMN(HeadJournal!K$1),0)-VLOOKUP($A2609,HeadJournal!$A$1:$K$890,COLUMN(HeadJournal!J$1),0))*($K2609+$L2609)/(SUMIF($A:$A,$A2609,$K:$K)+SUMIF($A:$A,$A2609,$L:$L)),0)</f>
        <v>2.0605682352301894E-15</v>
      </c>
      <c r="O2609" s="30">
        <f>IFERROR((VLOOKUP($A2609,HeadJournal!$A$1:$L$890,COLUMN(HeadJournal!L$1),0)*($K2609+$L2609)/(SUMIF($A:$A,$A2609,$K:$K)+SUMIF($A:$A,$A2609,$L:$L)))/VLOOKUP($A2609,HeadJournal!$A$1:$L$890,COLUMN(HeadJournal!H$1),0),0)</f>
        <v>0.53708415709797452</v>
      </c>
      <c r="P2609" s="30">
        <f>IFERROR(SUM(K2609:O2609)*VLOOKUP($A2609,HeadJournal!$A$1:$L$890,COLUMN(HeadJournal!H$1),0),0)</f>
        <v>936.52558505092657</v>
      </c>
      <c r="Q2609" s="29">
        <v>1500</v>
      </c>
      <c r="R2609" s="31">
        <v>45637</v>
      </c>
      <c r="S2609" s="31" t="s">
        <v>3121</v>
      </c>
      <c r="T2609" s="95" t="str">
        <f t="shared" si="205"/>
        <v>2024 12</v>
      </c>
      <c r="U2609" s="32">
        <f t="shared" si="202"/>
        <v>563.47441494907343</v>
      </c>
      <c r="V2609" s="22">
        <f t="shared" si="203"/>
        <v>0.60166473179526936</v>
      </c>
      <c r="X2609" s="33"/>
      <c r="Y2609" s="33"/>
    </row>
    <row r="2610" spans="1:25" x14ac:dyDescent="0.2">
      <c r="A2610" s="93" t="s">
        <v>1193</v>
      </c>
      <c r="B2610" s="94" t="str">
        <f>IFERROR(VLOOKUP($A2610,HeadJournal!$A$1:$NTR$890,COLUMN(HeadJournal!B$1),0),"")</f>
        <v>720000042510</v>
      </c>
      <c r="C2610" s="94" t="str">
        <f>IFERROR(VLOOKUP($A2610,HeadJournal!$A$1:$NTR$890,COLUMN(HeadJournal!C$1),0),"")</f>
        <v>iHerb_OA CZN6870</v>
      </c>
      <c r="D2610" s="125" t="str">
        <f>IFERROR(VLOOKUP($A2610,HeadJournal!$A$1:$NTR$890,COLUMN(HeadJournal!D$1),0),"")</f>
        <v>Доставлен</v>
      </c>
      <c r="E2610" s="95">
        <f>IFERROR(VLOOKUP($A2610,HeadJournal!$A$1:$NTR$890,COLUMN(HeadJournal!G$1),0),"")</f>
        <v>45267</v>
      </c>
      <c r="F2610" s="95" t="str">
        <f t="shared" si="204"/>
        <v>2023 12</v>
      </c>
      <c r="G2610" s="96" t="s">
        <v>5</v>
      </c>
      <c r="H2610" s="161" t="s">
        <v>2118</v>
      </c>
      <c r="I2610" s="97" t="s">
        <v>2005</v>
      </c>
      <c r="J2610" s="97" t="s">
        <v>2119</v>
      </c>
      <c r="K2610" s="29">
        <v>14.33</v>
      </c>
      <c r="L2610" s="29">
        <v>-1.4350000000000001</v>
      </c>
      <c r="M2610" s="30">
        <f>IFERROR(VLOOKUP($A2610,HeadJournal!$A$1:$J$890,COLUMN(HeadJournal!I$1),0)*($K2610+$L2610)/(SUMIF($A:$A,$A2610,$K:$K)+SUMIF($A:$A,$A2610,$L:$L)),0)</f>
        <v>-0.46589121020129931</v>
      </c>
      <c r="N2610" s="30">
        <f>IFERROR((VLOOKUP($A2610,HeadJournal!$A$1:$K$890,COLUMN(HeadJournal!K$1),0)-VLOOKUP($A2610,HeadJournal!$A$1:$K$890,COLUMN(HeadJournal!J$1),0))*($K2610+$L2610)/(SUMIF($A:$A,$A2610,$K:$K)+SUMIF($A:$A,$A2610,$L:$L)),0)</f>
        <v>2.9392729417359831E-15</v>
      </c>
      <c r="O2610" s="30">
        <f>IFERROR((VLOOKUP($A2610,HeadJournal!$A$1:$L$890,COLUMN(HeadJournal!L$1),0)*($K2610+$L2610)/(SUMIF($A:$A,$A2610,$K:$K)+SUMIF($A:$A,$A2610,$L:$L)))/VLOOKUP($A2610,HeadJournal!$A$1:$L$890,COLUMN(HeadJournal!H$1),0),0)</f>
        <v>0.76611727940026342</v>
      </c>
      <c r="P2610" s="30">
        <f>IFERROR(SUM(K2610:O2610)*VLOOKUP($A2610,HeadJournal!$A$1:$L$890,COLUMN(HeadJournal!H$1),0),0)</f>
        <v>1335.895732215896</v>
      </c>
      <c r="Q2610" s="29">
        <v>1900</v>
      </c>
      <c r="R2610" s="31">
        <v>45317</v>
      </c>
      <c r="S2610" s="31" t="s">
        <v>3121</v>
      </c>
      <c r="T2610" s="95" t="str">
        <f t="shared" si="205"/>
        <v>2024 01</v>
      </c>
      <c r="U2610" s="32">
        <f t="shared" si="202"/>
        <v>564.10426778410397</v>
      </c>
      <c r="V2610" s="22">
        <f t="shared" si="203"/>
        <v>0.42226668906891773</v>
      </c>
      <c r="X2610" s="33"/>
      <c r="Y2610" s="33"/>
    </row>
    <row r="2611" spans="1:25" x14ac:dyDescent="0.2">
      <c r="A2611" s="93" t="s">
        <v>1193</v>
      </c>
      <c r="B2611" s="94" t="str">
        <f>IFERROR(VLOOKUP($A2611,HeadJournal!$A$1:$NTR$890,COLUMN(HeadJournal!B$1),0),"")</f>
        <v>720000042510</v>
      </c>
      <c r="C2611" s="94" t="str">
        <f>IFERROR(VLOOKUP($A2611,HeadJournal!$A$1:$NTR$890,COLUMN(HeadJournal!C$1),0),"")</f>
        <v>iHerb_OA CZN6870</v>
      </c>
      <c r="D2611" s="125" t="str">
        <f>IFERROR(VLOOKUP($A2611,HeadJournal!$A$1:$NTR$890,COLUMN(HeadJournal!D$1),0),"")</f>
        <v>Доставлен</v>
      </c>
      <c r="E2611" s="95">
        <f>IFERROR(VLOOKUP($A2611,HeadJournal!$A$1:$NTR$890,COLUMN(HeadJournal!G$1),0),"")</f>
        <v>45267</v>
      </c>
      <c r="F2611" s="95" t="str">
        <f t="shared" si="204"/>
        <v>2023 12</v>
      </c>
      <c r="G2611" s="96" t="s">
        <v>5</v>
      </c>
      <c r="H2611" s="161" t="s">
        <v>2118</v>
      </c>
      <c r="I2611" s="97" t="s">
        <v>2005</v>
      </c>
      <c r="J2611" s="97" t="s">
        <v>2119</v>
      </c>
      <c r="K2611" s="29">
        <v>14.33</v>
      </c>
      <c r="L2611" s="29">
        <v>-1.4350000000000001</v>
      </c>
      <c r="M2611" s="30">
        <f>IFERROR(VLOOKUP($A2611,HeadJournal!$A$1:$J$890,COLUMN(HeadJournal!I$1),0)*($K2611+$L2611)/(SUMIF($A:$A,$A2611,$K:$K)+SUMIF($A:$A,$A2611,$L:$L)),0)</f>
        <v>-0.46589121020129931</v>
      </c>
      <c r="N2611" s="30">
        <f>IFERROR((VLOOKUP($A2611,HeadJournal!$A$1:$K$890,COLUMN(HeadJournal!K$1),0)-VLOOKUP($A2611,HeadJournal!$A$1:$K$890,COLUMN(HeadJournal!J$1),0))*($K2611+$L2611)/(SUMIF($A:$A,$A2611,$K:$K)+SUMIF($A:$A,$A2611,$L:$L)),0)</f>
        <v>2.9392729417359831E-15</v>
      </c>
      <c r="O2611" s="30">
        <f>IFERROR((VLOOKUP($A2611,HeadJournal!$A$1:$L$890,COLUMN(HeadJournal!L$1),0)*($K2611+$L2611)/(SUMIF($A:$A,$A2611,$K:$K)+SUMIF($A:$A,$A2611,$L:$L)))/VLOOKUP($A2611,HeadJournal!$A$1:$L$890,COLUMN(HeadJournal!H$1),0),0)</f>
        <v>0.76611727940026342</v>
      </c>
      <c r="P2611" s="30">
        <f>IFERROR(SUM(K2611:O2611)*VLOOKUP($A2611,HeadJournal!$A$1:$L$890,COLUMN(HeadJournal!H$1),0),0)</f>
        <v>1335.895732215896</v>
      </c>
      <c r="Q2611" s="29">
        <v>2100</v>
      </c>
      <c r="R2611" s="31">
        <v>45309</v>
      </c>
      <c r="S2611" s="31" t="s">
        <v>3121</v>
      </c>
      <c r="T2611" s="95" t="str">
        <f t="shared" si="205"/>
        <v>2024 01</v>
      </c>
      <c r="U2611" s="32">
        <f t="shared" si="202"/>
        <v>764.10426778410397</v>
      </c>
      <c r="V2611" s="22">
        <f t="shared" si="203"/>
        <v>0.57197897212880378</v>
      </c>
      <c r="X2611" s="33"/>
      <c r="Y2611" s="33"/>
    </row>
    <row r="2612" spans="1:25" x14ac:dyDescent="0.2">
      <c r="A2612" s="93" t="s">
        <v>1193</v>
      </c>
      <c r="B2612" s="94" t="str">
        <f>IFERROR(VLOOKUP($A2612,HeadJournal!$A$1:$NTR$890,COLUMN(HeadJournal!B$1),0),"")</f>
        <v>720000042510</v>
      </c>
      <c r="C2612" s="94" t="str">
        <f>IFERROR(VLOOKUP($A2612,HeadJournal!$A$1:$NTR$890,COLUMN(HeadJournal!C$1),0),"")</f>
        <v>iHerb_OA CZN6870</v>
      </c>
      <c r="D2612" s="125" t="str">
        <f>IFERROR(VLOOKUP($A2612,HeadJournal!$A$1:$NTR$890,COLUMN(HeadJournal!D$1),0),"")</f>
        <v>Доставлен</v>
      </c>
      <c r="E2612" s="95">
        <f>IFERROR(VLOOKUP($A2612,HeadJournal!$A$1:$NTR$890,COLUMN(HeadJournal!G$1),0),"")</f>
        <v>45267</v>
      </c>
      <c r="F2612" s="95" t="str">
        <f t="shared" si="204"/>
        <v>2023 12</v>
      </c>
      <c r="G2612" s="96" t="s">
        <v>6</v>
      </c>
      <c r="H2612" s="160" t="str">
        <f>RIGHT(Journal!$J2612,9)</f>
        <v>MSC-60676</v>
      </c>
      <c r="I2612" s="96" t="str">
        <f t="shared" si="206"/>
        <v>MuscleTech</v>
      </c>
      <c r="J2612" s="97" t="s">
        <v>604</v>
      </c>
      <c r="K2612" s="29">
        <v>31.09</v>
      </c>
      <c r="L2612" s="29">
        <v>-9.33</v>
      </c>
      <c r="M2612" s="30">
        <f>IFERROR(VLOOKUP($A2612,HeadJournal!$A$1:$J$890,COLUMN(HeadJournal!I$1),0)*($K2612+$L2612)/(SUMIF($A:$A,$A2612,$K:$K)+SUMIF($A:$A,$A2612,$L:$L)),0)</f>
        <v>-0.78618012671425141</v>
      </c>
      <c r="N2612" s="30">
        <f>IFERROR((VLOOKUP($A2612,HeadJournal!$A$1:$K$890,COLUMN(HeadJournal!K$1),0)-VLOOKUP($A2612,HeadJournal!$A$1:$K$890,COLUMN(HeadJournal!J$1),0))*($K2612+$L2612)/(SUMIF($A:$A,$A2612,$K:$K)+SUMIF($A:$A,$A2612,$L:$L)),0)</f>
        <v>4.9599518582531986E-15</v>
      </c>
      <c r="O2612" s="30">
        <f>IFERROR((VLOOKUP($A2612,HeadJournal!$A$1:$L$890,COLUMN(HeadJournal!L$1),0)*($K2612+$L2612)/(SUMIF($A:$A,$A2612,$K:$K)+SUMIF($A:$A,$A2612,$L:$L)))/VLOOKUP($A2612,HeadJournal!$A$1:$L$890,COLUMN(HeadJournal!H$1),0),0)</f>
        <v>1.2928043427491065</v>
      </c>
      <c r="P2612" s="30">
        <f>IFERROR(SUM(K2612:O2612)*VLOOKUP($A2612,HeadJournal!$A$1:$L$890,COLUMN(HeadJournal!H$1),0),0)</f>
        <v>2254.2916737509031</v>
      </c>
      <c r="Q2612" s="29">
        <v>3000</v>
      </c>
      <c r="R2612" s="31">
        <v>46094</v>
      </c>
      <c r="S2612" s="31"/>
      <c r="T2612" s="95" t="str">
        <f t="shared" si="205"/>
        <v>2026 03</v>
      </c>
      <c r="U2612" s="32">
        <f t="shared" si="202"/>
        <v>745.7083262490969</v>
      </c>
      <c r="V2612" s="22">
        <f t="shared" si="203"/>
        <v>0.3307949609769516</v>
      </c>
      <c r="X2612" s="33"/>
      <c r="Y2612" s="33"/>
    </row>
    <row r="2613" spans="1:25" x14ac:dyDescent="0.2">
      <c r="A2613" s="93" t="s">
        <v>1198</v>
      </c>
      <c r="B2613" s="94" t="str">
        <f>IFERROR(VLOOKUP($A2613,HeadJournal!$A$1:$NTR$890,COLUMN(HeadJournal!B$1),0),"")</f>
        <v>720000049600</v>
      </c>
      <c r="C2613" s="94" t="str">
        <f>IFERROR(VLOOKUP($A2613,HeadJournal!$A$1:$NTR$890,COLUMN(HeadJournal!C$1),0),"")</f>
        <v>iHerb_OA CZN6870</v>
      </c>
      <c r="D2613" s="125" t="str">
        <f>IFERROR(VLOOKUP($A2613,HeadJournal!$A$1:$NTR$890,COLUMN(HeadJournal!D$1),0),"")</f>
        <v>Доставлен</v>
      </c>
      <c r="E2613" s="95">
        <f>IFERROR(VLOOKUP($A2613,HeadJournal!$A$1:$NTR$890,COLUMN(HeadJournal!G$1),0),"")</f>
        <v>45273</v>
      </c>
      <c r="F2613" s="95" t="str">
        <f t="shared" si="204"/>
        <v>2023 12</v>
      </c>
      <c r="G2613" s="96" t="s">
        <v>5</v>
      </c>
      <c r="H2613" s="160" t="str">
        <f>RIGHT(Journal!$J2613,9)</f>
        <v>MOR-00953</v>
      </c>
      <c r="I2613" s="96" t="str">
        <f t="shared" si="206"/>
        <v>Morningstar Minerals</v>
      </c>
      <c r="J2613" s="97" t="s">
        <v>1199</v>
      </c>
      <c r="K2613" s="117">
        <v>0</v>
      </c>
      <c r="L2613" s="117">
        <v>0</v>
      </c>
      <c r="M2613" s="30">
        <f>IFERROR(VLOOKUP($A2613,HeadJournal!$A$1:$J$890,COLUMN(HeadJournal!I$1),0)*($K2613+$L2613)/(SUMIF($A:$A,$A2613,$K:$K)+SUMIF($A:$A,$A2613,$L:$L)),0)</f>
        <v>0</v>
      </c>
      <c r="N2613" s="30">
        <f>IFERROR((VLOOKUP($A2613,HeadJournal!$A$1:$K$890,COLUMN(HeadJournal!K$1),0)-VLOOKUP($A2613,HeadJournal!$A$1:$K$890,COLUMN(HeadJournal!J$1),0))*($K2613+$L2613)/(SUMIF($A:$A,$A2613,$K:$K)+SUMIF($A:$A,$A2613,$L:$L)),0)</f>
        <v>0</v>
      </c>
      <c r="O2613" s="30">
        <f>IFERROR((VLOOKUP($A2613,HeadJournal!$A$1:$L$890,COLUMN(HeadJournal!L$1),0)*($K2613+$L2613)/(SUMIF($A:$A,$A2613,$K:$K)+SUMIF($A:$A,$A2613,$L:$L)))/VLOOKUP($A2613,HeadJournal!$A$1:$L$890,COLUMN(HeadJournal!H$1),0),0)</f>
        <v>0</v>
      </c>
      <c r="P2613" s="30">
        <f>IFERROR(SUM(K2613:O2613)*VLOOKUP($A2613,HeadJournal!$A$1:$L$890,COLUMN(HeadJournal!H$1),0),0)</f>
        <v>0</v>
      </c>
      <c r="Q2613" s="29">
        <v>2800</v>
      </c>
      <c r="R2613" s="31">
        <v>45313</v>
      </c>
      <c r="S2613" s="31" t="s">
        <v>3121</v>
      </c>
      <c r="T2613" s="95" t="str">
        <f t="shared" si="205"/>
        <v>2024 01</v>
      </c>
      <c r="U2613" s="32">
        <f t="shared" si="202"/>
        <v>2800</v>
      </c>
      <c r="V2613" s="22" t="str">
        <f t="shared" si="203"/>
        <v/>
      </c>
      <c r="X2613" s="33"/>
      <c r="Y2613" s="33"/>
    </row>
    <row r="2614" spans="1:25" x14ac:dyDescent="0.2">
      <c r="A2614" s="93" t="s">
        <v>1198</v>
      </c>
      <c r="B2614" s="94" t="str">
        <f>IFERROR(VLOOKUP($A2614,HeadJournal!$A$1:$NTR$890,COLUMN(HeadJournal!B$1),0),"")</f>
        <v>720000049600</v>
      </c>
      <c r="C2614" s="94" t="str">
        <f>IFERROR(VLOOKUP($A2614,HeadJournal!$A$1:$NTR$890,COLUMN(HeadJournal!C$1),0),"")</f>
        <v>iHerb_OA CZN6870</v>
      </c>
      <c r="D2614" s="125" t="str">
        <f>IFERROR(VLOOKUP($A2614,HeadJournal!$A$1:$NTR$890,COLUMN(HeadJournal!D$1),0),"")</f>
        <v>Доставлен</v>
      </c>
      <c r="E2614" s="95">
        <f>IFERROR(VLOOKUP($A2614,HeadJournal!$A$1:$NTR$890,COLUMN(HeadJournal!G$1),0),"")</f>
        <v>45273</v>
      </c>
      <c r="F2614" s="95" t="str">
        <f t="shared" si="204"/>
        <v>2023 12</v>
      </c>
      <c r="G2614" s="96" t="s">
        <v>5</v>
      </c>
      <c r="H2614" s="160" t="str">
        <f>RIGHT(Journal!$J2614,9)</f>
        <v>NOW-04620</v>
      </c>
      <c r="I2614" s="96" t="str">
        <f t="shared" si="206"/>
        <v>NOW Foods</v>
      </c>
      <c r="J2614" s="97" t="s">
        <v>277</v>
      </c>
      <c r="K2614" s="29">
        <v>7.74</v>
      </c>
      <c r="L2614" s="29">
        <v>-1.9366666666666665</v>
      </c>
      <c r="M2614" s="30">
        <f>IFERROR(VLOOKUP($A2614,HeadJournal!$A$1:$J$890,COLUMN(HeadJournal!I$1),0)*($K2614+$L2614)/(SUMIF($A:$A,$A2614,$K:$K)+SUMIF($A:$A,$A2614,$L:$L)),0)</f>
        <v>-0.24831792828685259</v>
      </c>
      <c r="N2614" s="30">
        <f>IFERROR((VLOOKUP($A2614,HeadJournal!$A$1:$K$890,COLUMN(HeadJournal!K$1),0)-VLOOKUP($A2614,HeadJournal!$A$1:$K$890,COLUMN(HeadJournal!J$1),0))*($K2614+$L2614)/(SUMIF($A:$A,$A2614,$K:$K)+SUMIF($A:$A,$A2614,$L:$L)),0)</f>
        <v>0</v>
      </c>
      <c r="O2614" s="30">
        <f>IFERROR((VLOOKUP($A2614,HeadJournal!$A$1:$L$890,COLUMN(HeadJournal!L$1),0)*($K2614+$L2614)/(SUMIF($A:$A,$A2614,$K:$K)+SUMIF($A:$A,$A2614,$L:$L)))/VLOOKUP($A2614,HeadJournal!$A$1:$L$890,COLUMN(HeadJournal!H$1),0),0)</f>
        <v>0.19483920331465368</v>
      </c>
      <c r="P2614" s="30">
        <f>IFERROR(SUM(K2614:O2614)*VLOOKUP($A2614,HeadJournal!$A$1:$L$890,COLUMN(HeadJournal!H$1),0),0)</f>
        <v>648.19834568393094</v>
      </c>
      <c r="Q2614" s="29">
        <v>1400</v>
      </c>
      <c r="R2614" s="31">
        <v>45322</v>
      </c>
      <c r="S2614" s="31" t="s">
        <v>3121</v>
      </c>
      <c r="T2614" s="95" t="str">
        <f t="shared" si="205"/>
        <v>2024 01</v>
      </c>
      <c r="U2614" s="32">
        <f t="shared" si="202"/>
        <v>751.80165431606906</v>
      </c>
      <c r="V2614" s="22">
        <f t="shared" si="203"/>
        <v>1.1598327260814336</v>
      </c>
      <c r="X2614" s="33"/>
      <c r="Y2614" s="33"/>
    </row>
    <row r="2615" spans="1:25" x14ac:dyDescent="0.2">
      <c r="A2615" s="93" t="s">
        <v>1198</v>
      </c>
      <c r="B2615" s="94" t="str">
        <f>IFERROR(VLOOKUP($A2615,HeadJournal!$A$1:$NTR$890,COLUMN(HeadJournal!B$1),0),"")</f>
        <v>720000049600</v>
      </c>
      <c r="C2615" s="94" t="str">
        <f>IFERROR(VLOOKUP($A2615,HeadJournal!$A$1:$NTR$890,COLUMN(HeadJournal!C$1),0),"")</f>
        <v>iHerb_OA CZN6870</v>
      </c>
      <c r="D2615" s="125" t="str">
        <f>IFERROR(VLOOKUP($A2615,HeadJournal!$A$1:$NTR$890,COLUMN(HeadJournal!D$1),0),"")</f>
        <v>Доставлен</v>
      </c>
      <c r="E2615" s="95">
        <f>IFERROR(VLOOKUP($A2615,HeadJournal!$A$1:$NTR$890,COLUMN(HeadJournal!G$1),0),"")</f>
        <v>45273</v>
      </c>
      <c r="F2615" s="95" t="str">
        <f t="shared" si="204"/>
        <v>2023 12</v>
      </c>
      <c r="G2615" s="96" t="s">
        <v>5</v>
      </c>
      <c r="H2615" s="160" t="str">
        <f>RIGHT(Journal!$J2615,9)</f>
        <v>NOW-04620</v>
      </c>
      <c r="I2615" s="96" t="str">
        <f t="shared" si="206"/>
        <v>NOW Foods</v>
      </c>
      <c r="J2615" s="97" t="s">
        <v>277</v>
      </c>
      <c r="K2615" s="29">
        <v>7.74</v>
      </c>
      <c r="L2615" s="29">
        <v>-1.9366666666666665</v>
      </c>
      <c r="M2615" s="30">
        <f>IFERROR(VLOOKUP($A2615,HeadJournal!$A$1:$J$890,COLUMN(HeadJournal!I$1),0)*($K2615+$L2615)/(SUMIF($A:$A,$A2615,$K:$K)+SUMIF($A:$A,$A2615,$L:$L)),0)</f>
        <v>-0.24831792828685259</v>
      </c>
      <c r="N2615" s="30">
        <f>IFERROR((VLOOKUP($A2615,HeadJournal!$A$1:$K$890,COLUMN(HeadJournal!K$1),0)-VLOOKUP($A2615,HeadJournal!$A$1:$K$890,COLUMN(HeadJournal!J$1),0))*($K2615+$L2615)/(SUMIF($A:$A,$A2615,$K:$K)+SUMIF($A:$A,$A2615,$L:$L)),0)</f>
        <v>0</v>
      </c>
      <c r="O2615" s="30">
        <f>IFERROR((VLOOKUP($A2615,HeadJournal!$A$1:$L$890,COLUMN(HeadJournal!L$1),0)*($K2615+$L2615)/(SUMIF($A:$A,$A2615,$K:$K)+SUMIF($A:$A,$A2615,$L:$L)))/VLOOKUP($A2615,HeadJournal!$A$1:$L$890,COLUMN(HeadJournal!H$1),0),0)</f>
        <v>0.19483920331465368</v>
      </c>
      <c r="P2615" s="30">
        <f>IFERROR(SUM(K2615:O2615)*VLOOKUP($A2615,HeadJournal!$A$1:$L$890,COLUMN(HeadJournal!H$1),0),0)</f>
        <v>648.19834568393094</v>
      </c>
      <c r="Q2615" s="29">
        <v>1400</v>
      </c>
      <c r="R2615" s="31">
        <v>45399</v>
      </c>
      <c r="S2615" s="31" t="s">
        <v>3121</v>
      </c>
      <c r="T2615" s="95" t="str">
        <f t="shared" si="205"/>
        <v>2024 04</v>
      </c>
      <c r="U2615" s="32">
        <f t="shared" si="202"/>
        <v>751.80165431606906</v>
      </c>
      <c r="V2615" s="22">
        <f t="shared" si="203"/>
        <v>1.1598327260814336</v>
      </c>
      <c r="X2615" s="33"/>
      <c r="Y2615" s="33"/>
    </row>
    <row r="2616" spans="1:25" x14ac:dyDescent="0.2">
      <c r="A2616" s="93" t="s">
        <v>1198</v>
      </c>
      <c r="B2616" s="94" t="str">
        <f>IFERROR(VLOOKUP($A2616,HeadJournal!$A$1:$NTR$890,COLUMN(HeadJournal!B$1),0),"")</f>
        <v>720000049600</v>
      </c>
      <c r="C2616" s="94" t="str">
        <f>IFERROR(VLOOKUP($A2616,HeadJournal!$A$1:$NTR$890,COLUMN(HeadJournal!C$1),0),"")</f>
        <v>iHerb_OA CZN6870</v>
      </c>
      <c r="D2616" s="125" t="str">
        <f>IFERROR(VLOOKUP($A2616,HeadJournal!$A$1:$NTR$890,COLUMN(HeadJournal!D$1),0),"")</f>
        <v>Доставлен</v>
      </c>
      <c r="E2616" s="95">
        <f>IFERROR(VLOOKUP($A2616,HeadJournal!$A$1:$NTR$890,COLUMN(HeadJournal!G$1),0),"")</f>
        <v>45273</v>
      </c>
      <c r="F2616" s="95" t="str">
        <f t="shared" si="204"/>
        <v>2023 12</v>
      </c>
      <c r="G2616" s="96" t="s">
        <v>5</v>
      </c>
      <c r="H2616" s="160" t="str">
        <f>RIGHT(Journal!$J2616,9)</f>
        <v>NOW-04620</v>
      </c>
      <c r="I2616" s="96" t="str">
        <f t="shared" si="206"/>
        <v>NOW Foods</v>
      </c>
      <c r="J2616" s="97" t="s">
        <v>277</v>
      </c>
      <c r="K2616" s="29">
        <v>7.74</v>
      </c>
      <c r="L2616" s="29">
        <v>-1.9366666666666665</v>
      </c>
      <c r="M2616" s="30">
        <f>IFERROR(VLOOKUP($A2616,HeadJournal!$A$1:$J$890,COLUMN(HeadJournal!I$1),0)*($K2616+$L2616)/(SUMIF($A:$A,$A2616,$K:$K)+SUMIF($A:$A,$A2616,$L:$L)),0)</f>
        <v>-0.24831792828685259</v>
      </c>
      <c r="N2616" s="30">
        <f>IFERROR((VLOOKUP($A2616,HeadJournal!$A$1:$K$890,COLUMN(HeadJournal!K$1),0)-VLOOKUP($A2616,HeadJournal!$A$1:$K$890,COLUMN(HeadJournal!J$1),0))*($K2616+$L2616)/(SUMIF($A:$A,$A2616,$K:$K)+SUMIF($A:$A,$A2616,$L:$L)),0)</f>
        <v>0</v>
      </c>
      <c r="O2616" s="30">
        <f>IFERROR((VLOOKUP($A2616,HeadJournal!$A$1:$L$890,COLUMN(HeadJournal!L$1),0)*($K2616+$L2616)/(SUMIF($A:$A,$A2616,$K:$K)+SUMIF($A:$A,$A2616,$L:$L)))/VLOOKUP($A2616,HeadJournal!$A$1:$L$890,COLUMN(HeadJournal!H$1),0),0)</f>
        <v>0.19483920331465368</v>
      </c>
      <c r="P2616" s="30">
        <f>IFERROR(SUM(K2616:O2616)*VLOOKUP($A2616,HeadJournal!$A$1:$L$890,COLUMN(HeadJournal!H$1),0),0)</f>
        <v>648.19834568393094</v>
      </c>
      <c r="Q2616" s="29">
        <v>1300</v>
      </c>
      <c r="R2616" s="31">
        <v>45689</v>
      </c>
      <c r="S2616" s="31" t="s">
        <v>3121</v>
      </c>
      <c r="T2616" s="95" t="str">
        <f t="shared" si="205"/>
        <v>2025 02</v>
      </c>
      <c r="U2616" s="32">
        <f t="shared" si="202"/>
        <v>651.80165431606906</v>
      </c>
      <c r="V2616" s="22">
        <f t="shared" si="203"/>
        <v>1.0055589599327597</v>
      </c>
      <c r="X2616" s="33"/>
      <c r="Y2616" s="33"/>
    </row>
    <row r="2617" spans="1:25" x14ac:dyDescent="0.2">
      <c r="A2617" s="93" t="s">
        <v>1198</v>
      </c>
      <c r="B2617" s="94" t="str">
        <f>IFERROR(VLOOKUP($A2617,HeadJournal!$A$1:$NTR$890,COLUMN(HeadJournal!B$1),0),"")</f>
        <v>720000049600</v>
      </c>
      <c r="C2617" s="94" t="str">
        <f>IFERROR(VLOOKUP($A2617,HeadJournal!$A$1:$NTR$890,COLUMN(HeadJournal!C$1),0),"")</f>
        <v>iHerb_OA CZN6870</v>
      </c>
      <c r="D2617" s="125" t="str">
        <f>IFERROR(VLOOKUP($A2617,HeadJournal!$A$1:$NTR$890,COLUMN(HeadJournal!D$1),0),"")</f>
        <v>Доставлен</v>
      </c>
      <c r="E2617" s="95">
        <f>IFERROR(VLOOKUP($A2617,HeadJournal!$A$1:$NTR$890,COLUMN(HeadJournal!G$1),0),"")</f>
        <v>45273</v>
      </c>
      <c r="F2617" s="95" t="str">
        <f t="shared" si="204"/>
        <v>2023 12</v>
      </c>
      <c r="G2617" s="96" t="s">
        <v>5</v>
      </c>
      <c r="H2617" s="161" t="s">
        <v>2630</v>
      </c>
      <c r="I2617" s="97" t="s">
        <v>2052</v>
      </c>
      <c r="J2617" s="97" t="s">
        <v>2631</v>
      </c>
      <c r="K2617" s="29">
        <v>19.27</v>
      </c>
      <c r="L2617" s="29">
        <v>-9.64</v>
      </c>
      <c r="M2617" s="30">
        <f>IFERROR(VLOOKUP($A2617,HeadJournal!$A$1:$J$890,COLUMN(HeadJournal!I$1),0)*($K2617+$L2617)/(SUMIF($A:$A,$A2617,$K:$K)+SUMIF($A:$A,$A2617,$L:$L)),0)</f>
        <v>-0.41205657370517929</v>
      </c>
      <c r="N2617" s="30">
        <f>IFERROR((VLOOKUP($A2617,HeadJournal!$A$1:$K$890,COLUMN(HeadJournal!K$1),0)-VLOOKUP($A2617,HeadJournal!$A$1:$K$890,COLUMN(HeadJournal!J$1),0))*($K2617+$L2617)/(SUMIF($A:$A,$A2617,$K:$K)+SUMIF($A:$A,$A2617,$L:$L)),0)</f>
        <v>0</v>
      </c>
      <c r="O2617" s="30">
        <f>IFERROR((VLOOKUP($A2617,HeadJournal!$A$1:$L$890,COLUMN(HeadJournal!L$1),0)*($K2617+$L2617)/(SUMIF($A:$A,$A2617,$K:$K)+SUMIF($A:$A,$A2617,$L:$L)))/VLOOKUP($A2617,HeadJournal!$A$1:$L$890,COLUMN(HeadJournal!H$1),0),0)</f>
        <v>0.32331445053189795</v>
      </c>
      <c r="P2617" s="30">
        <f>IFERROR(SUM(K2617:O2617)*VLOOKUP($A2617,HeadJournal!$A$1:$L$890,COLUMN(HeadJournal!H$1),0),0)</f>
        <v>1075.6146011952189</v>
      </c>
      <c r="Q2617" s="29">
        <v>1179.72</v>
      </c>
      <c r="R2617" s="31">
        <v>45274</v>
      </c>
      <c r="S2617" s="31" t="s">
        <v>3121</v>
      </c>
      <c r="T2617" s="95" t="str">
        <f t="shared" si="205"/>
        <v>2023 12</v>
      </c>
      <c r="U2617" s="32">
        <f t="shared" si="202"/>
        <v>104.10539880478109</v>
      </c>
      <c r="V2617" s="22">
        <f t="shared" si="203"/>
        <v>9.6786896244342127E-2</v>
      </c>
      <c r="X2617" s="33"/>
      <c r="Y2617" s="33"/>
    </row>
    <row r="2618" spans="1:25" x14ac:dyDescent="0.2">
      <c r="A2618" s="93" t="s">
        <v>1198</v>
      </c>
      <c r="B2618" s="94" t="str">
        <f>IFERROR(VLOOKUP($A2618,HeadJournal!$A$1:$NTR$890,COLUMN(HeadJournal!B$1),0),"")</f>
        <v>720000049600</v>
      </c>
      <c r="C2618" s="94" t="str">
        <f>IFERROR(VLOOKUP($A2618,HeadJournal!$A$1:$NTR$890,COLUMN(HeadJournal!C$1),0),"")</f>
        <v>iHerb_OA CZN6870</v>
      </c>
      <c r="D2618" s="125" t="str">
        <f>IFERROR(VLOOKUP($A2618,HeadJournal!$A$1:$NTR$890,COLUMN(HeadJournal!D$1),0),"")</f>
        <v>Доставлен</v>
      </c>
      <c r="E2618" s="95">
        <f>IFERROR(VLOOKUP($A2618,HeadJournal!$A$1:$NTR$890,COLUMN(HeadJournal!G$1),0),"")</f>
        <v>45273</v>
      </c>
      <c r="F2618" s="95" t="str">
        <f t="shared" si="204"/>
        <v>2023 12</v>
      </c>
      <c r="G2618" s="96" t="s">
        <v>5</v>
      </c>
      <c r="H2618" s="160" t="str">
        <f>RIGHT(Journal!$J2618,9)</f>
        <v>LEX-18943</v>
      </c>
      <c r="I2618" s="96" t="str">
        <f t="shared" si="206"/>
        <v>Life Extension</v>
      </c>
      <c r="J2618" s="97" t="s">
        <v>1200</v>
      </c>
      <c r="K2618" s="29">
        <v>19.96</v>
      </c>
      <c r="L2618" s="29">
        <v>-2</v>
      </c>
      <c r="M2618" s="30">
        <f>IFERROR(VLOOKUP($A2618,HeadJournal!$A$1:$J$890,COLUMN(HeadJournal!I$1),0)*($K2618+$L2618)/(SUMIF($A:$A,$A2618,$K:$K)+SUMIF($A:$A,$A2618,$L:$L)),0)</f>
        <v>-0.76848764940239045</v>
      </c>
      <c r="N2618" s="30">
        <f>IFERROR((VLOOKUP($A2618,HeadJournal!$A$1:$K$890,COLUMN(HeadJournal!K$1),0)-VLOOKUP($A2618,HeadJournal!$A$1:$K$890,COLUMN(HeadJournal!J$1),0))*($K2618+$L2618)/(SUMIF($A:$A,$A2618,$K:$K)+SUMIF($A:$A,$A2618,$L:$L)),0)</f>
        <v>0</v>
      </c>
      <c r="O2618" s="30">
        <f>IFERROR((VLOOKUP($A2618,HeadJournal!$A$1:$L$890,COLUMN(HeadJournal!L$1),0)*($K2618+$L2618)/(SUMIF($A:$A,$A2618,$K:$K)+SUMIF($A:$A,$A2618,$L:$L)))/VLOOKUP($A2618,HeadJournal!$A$1:$L$890,COLUMN(HeadJournal!H$1),0),0)</f>
        <v>0.60298312892553352</v>
      </c>
      <c r="P2618" s="30">
        <f>IFERROR(SUM(K2618:O2618)*VLOOKUP($A2618,HeadJournal!$A$1:$L$890,COLUMN(HeadJournal!H$1),0),0)</f>
        <v>2006.0268159362549</v>
      </c>
      <c r="Q2618" s="29">
        <v>2200.19</v>
      </c>
      <c r="R2618" s="31">
        <v>45342</v>
      </c>
      <c r="S2618" s="31" t="s">
        <v>3121</v>
      </c>
      <c r="T2618" s="95" t="str">
        <f t="shared" si="205"/>
        <v>2024 02</v>
      </c>
      <c r="U2618" s="32">
        <f t="shared" si="202"/>
        <v>194.16318406374512</v>
      </c>
      <c r="V2618" s="22">
        <f t="shared" si="203"/>
        <v>9.678992450214334E-2</v>
      </c>
      <c r="X2618" s="33"/>
      <c r="Y2618" s="33"/>
    </row>
    <row r="2619" spans="1:25" x14ac:dyDescent="0.2">
      <c r="A2619" s="93" t="s">
        <v>1198</v>
      </c>
      <c r="B2619" s="94" t="str">
        <f>IFERROR(VLOOKUP($A2619,HeadJournal!$A$1:$NTR$890,COLUMN(HeadJournal!B$1),0),"")</f>
        <v>720000049600</v>
      </c>
      <c r="C2619" s="94" t="str">
        <f>IFERROR(VLOOKUP($A2619,HeadJournal!$A$1:$NTR$890,COLUMN(HeadJournal!C$1),0),"")</f>
        <v>iHerb_OA CZN6870</v>
      </c>
      <c r="D2619" s="125" t="str">
        <f>IFERROR(VLOOKUP($A2619,HeadJournal!$A$1:$NTR$890,COLUMN(HeadJournal!D$1),0),"")</f>
        <v>Доставлен</v>
      </c>
      <c r="E2619" s="95">
        <f>IFERROR(VLOOKUP($A2619,HeadJournal!$A$1:$NTR$890,COLUMN(HeadJournal!G$1),0),"")</f>
        <v>45273</v>
      </c>
      <c r="F2619" s="95" t="str">
        <f t="shared" si="204"/>
        <v>2023 12</v>
      </c>
      <c r="G2619" s="96" t="s">
        <v>5</v>
      </c>
      <c r="H2619" s="161" t="s">
        <v>3865</v>
      </c>
      <c r="I2619" s="97" t="s">
        <v>3866</v>
      </c>
      <c r="J2619" s="97" t="s">
        <v>3867</v>
      </c>
      <c r="K2619" s="29">
        <v>14.51</v>
      </c>
      <c r="L2619" s="29">
        <v>-1.45</v>
      </c>
      <c r="M2619" s="30">
        <f>IFERROR(VLOOKUP($A2619,HeadJournal!$A$1:$J$890,COLUMN(HeadJournal!I$1),0)*($K2619+$L2619)/(SUMIF($A:$A,$A2619,$K:$K)+SUMIF($A:$A,$A2619,$L:$L)),0)</f>
        <v>-0.55882231075697208</v>
      </c>
      <c r="N2619" s="30">
        <f>IFERROR((VLOOKUP($A2619,HeadJournal!$A$1:$K$890,COLUMN(HeadJournal!K$1),0)-VLOOKUP($A2619,HeadJournal!$A$1:$K$890,COLUMN(HeadJournal!J$1),0))*($K2619+$L2619)/(SUMIF($A:$A,$A2619,$K:$K)+SUMIF($A:$A,$A2619,$L:$L)),0)</f>
        <v>0</v>
      </c>
      <c r="O2619" s="30">
        <f>IFERROR((VLOOKUP($A2619,HeadJournal!$A$1:$L$890,COLUMN(HeadJournal!L$1),0)*($K2619+$L2619)/(SUMIF($A:$A,$A2619,$K:$K)+SUMIF($A:$A,$A2619,$L:$L)))/VLOOKUP($A2619,HeadJournal!$A$1:$L$890,COLUMN(HeadJournal!H$1),0),0)</f>
        <v>0.43847214163515974</v>
      </c>
      <c r="P2619" s="30">
        <f>IFERROR(SUM(K2619:O2619)*VLOOKUP($A2619,HeadJournal!$A$1:$L$890,COLUMN(HeadJournal!H$1),0),0)</f>
        <v>1458.7255131474105</v>
      </c>
      <c r="Q2619" s="29">
        <v>2000</v>
      </c>
      <c r="R2619" s="31">
        <v>45560</v>
      </c>
      <c r="S2619" s="31" t="s">
        <v>3121</v>
      </c>
      <c r="T2619" s="95" t="str">
        <f t="shared" si="205"/>
        <v>2024 09</v>
      </c>
      <c r="U2619" s="32">
        <f t="shared" si="202"/>
        <v>541.27448685258946</v>
      </c>
      <c r="V2619" s="22">
        <f t="shared" si="203"/>
        <v>0.3710598614846406</v>
      </c>
      <c r="X2619" s="33"/>
      <c r="Y2619" s="33"/>
    </row>
    <row r="2620" spans="1:25" x14ac:dyDescent="0.2">
      <c r="A2620" s="93" t="s">
        <v>1198</v>
      </c>
      <c r="B2620" s="94" t="str">
        <f>IFERROR(VLOOKUP($A2620,HeadJournal!$A$1:$NTR$890,COLUMN(HeadJournal!B$1),0),"")</f>
        <v>720000049600</v>
      </c>
      <c r="C2620" s="94" t="str">
        <f>IFERROR(VLOOKUP($A2620,HeadJournal!$A$1:$NTR$890,COLUMN(HeadJournal!C$1),0),"")</f>
        <v>iHerb_OA CZN6870</v>
      </c>
      <c r="D2620" s="125" t="str">
        <f>IFERROR(VLOOKUP($A2620,HeadJournal!$A$1:$NTR$890,COLUMN(HeadJournal!D$1),0),"")</f>
        <v>Доставлен</v>
      </c>
      <c r="E2620" s="95">
        <f>IFERROR(VLOOKUP($A2620,HeadJournal!$A$1:$NTR$890,COLUMN(HeadJournal!G$1),0),"")</f>
        <v>45273</v>
      </c>
      <c r="F2620" s="95" t="str">
        <f t="shared" si="204"/>
        <v>2023 12</v>
      </c>
      <c r="G2620" s="96" t="s">
        <v>5</v>
      </c>
      <c r="H2620" s="161" t="s">
        <v>3009</v>
      </c>
      <c r="I2620" s="97" t="s">
        <v>2005</v>
      </c>
      <c r="J2620" s="97" t="s">
        <v>3010</v>
      </c>
      <c r="K2620" s="29">
        <v>16.329999999999998</v>
      </c>
      <c r="L2620" s="29">
        <v>-6.5333333333333341</v>
      </c>
      <c r="M2620" s="30">
        <f>IFERROR(VLOOKUP($A2620,HeadJournal!$A$1:$J$890,COLUMN(HeadJournal!I$1),0)*($K2620+$L2620)/(SUMIF($A:$A,$A2620,$K:$K)+SUMIF($A:$A,$A2620,$L:$L)),0)</f>
        <v>-0.41918804780876484</v>
      </c>
      <c r="N2620" s="30">
        <f>IFERROR((VLOOKUP($A2620,HeadJournal!$A$1:$K$890,COLUMN(HeadJournal!K$1),0)-VLOOKUP($A2620,HeadJournal!$A$1:$K$890,COLUMN(HeadJournal!J$1),0))*($K2620+$L2620)/(SUMIF($A:$A,$A2620,$K:$K)+SUMIF($A:$A,$A2620,$L:$L)),0)</f>
        <v>0</v>
      </c>
      <c r="O2620" s="30">
        <f>IFERROR((VLOOKUP($A2620,HeadJournal!$A$1:$L$890,COLUMN(HeadJournal!L$1),0)*($K2620+$L2620)/(SUMIF($A:$A,$A2620,$K:$K)+SUMIF($A:$A,$A2620,$L:$L)))/VLOOKUP($A2620,HeadJournal!$A$1:$L$890,COLUMN(HeadJournal!H$1),0),0)</f>
        <v>0.32891006234449566</v>
      </c>
      <c r="P2620" s="30">
        <f>IFERROR(SUM(K2620:O2620)*VLOOKUP($A2620,HeadJournal!$A$1:$L$890,COLUMN(HeadJournal!H$1),0),0)</f>
        <v>1094.230291766268</v>
      </c>
      <c r="Q2620" s="29">
        <v>2300</v>
      </c>
      <c r="R2620" s="31">
        <v>45353</v>
      </c>
      <c r="S2620" s="31" t="s">
        <v>3121</v>
      </c>
      <c r="T2620" s="95" t="str">
        <f t="shared" si="205"/>
        <v>2024 03</v>
      </c>
      <c r="U2620" s="32">
        <f t="shared" si="202"/>
        <v>1205.769708233732</v>
      </c>
      <c r="V2620" s="22">
        <f t="shared" si="203"/>
        <v>1.101934133341731</v>
      </c>
      <c r="X2620" s="33"/>
      <c r="Y2620" s="33"/>
    </row>
    <row r="2621" spans="1:25" x14ac:dyDescent="0.2">
      <c r="A2621" s="93" t="s">
        <v>1198</v>
      </c>
      <c r="B2621" s="94" t="str">
        <f>IFERROR(VLOOKUP($A2621,HeadJournal!$A$1:$NTR$890,COLUMN(HeadJournal!B$1),0),"")</f>
        <v>720000049600</v>
      </c>
      <c r="C2621" s="94" t="str">
        <f>IFERROR(VLOOKUP($A2621,HeadJournal!$A$1:$NTR$890,COLUMN(HeadJournal!C$1),0),"")</f>
        <v>iHerb_OA CZN6870</v>
      </c>
      <c r="D2621" s="125" t="str">
        <f>IFERROR(VLOOKUP($A2621,HeadJournal!$A$1:$NTR$890,COLUMN(HeadJournal!D$1),0),"")</f>
        <v>Доставлен</v>
      </c>
      <c r="E2621" s="95">
        <f>IFERROR(VLOOKUP($A2621,HeadJournal!$A$1:$NTR$890,COLUMN(HeadJournal!G$1),0),"")</f>
        <v>45273</v>
      </c>
      <c r="F2621" s="95" t="str">
        <f t="shared" si="204"/>
        <v>2023 12</v>
      </c>
      <c r="G2621" s="96" t="s">
        <v>5</v>
      </c>
      <c r="H2621" s="161" t="s">
        <v>3009</v>
      </c>
      <c r="I2621" s="97" t="s">
        <v>2005</v>
      </c>
      <c r="J2621" s="97" t="s">
        <v>3010</v>
      </c>
      <c r="K2621" s="29">
        <v>16.329999999999998</v>
      </c>
      <c r="L2621" s="29">
        <v>-6.5333333333333341</v>
      </c>
      <c r="M2621" s="30">
        <f>IFERROR(VLOOKUP($A2621,HeadJournal!$A$1:$J$890,COLUMN(HeadJournal!I$1),0)*($K2621+$L2621)/(SUMIF($A:$A,$A2621,$K:$K)+SUMIF($A:$A,$A2621,$L:$L)),0)</f>
        <v>-0.41918804780876484</v>
      </c>
      <c r="N2621" s="30">
        <f>IFERROR((VLOOKUP($A2621,HeadJournal!$A$1:$K$890,COLUMN(HeadJournal!K$1),0)-VLOOKUP($A2621,HeadJournal!$A$1:$K$890,COLUMN(HeadJournal!J$1),0))*($K2621+$L2621)/(SUMIF($A:$A,$A2621,$K:$K)+SUMIF($A:$A,$A2621,$L:$L)),0)</f>
        <v>0</v>
      </c>
      <c r="O2621" s="30">
        <f>IFERROR((VLOOKUP($A2621,HeadJournal!$A$1:$L$890,COLUMN(HeadJournal!L$1),0)*($K2621+$L2621)/(SUMIF($A:$A,$A2621,$K:$K)+SUMIF($A:$A,$A2621,$L:$L)))/VLOOKUP($A2621,HeadJournal!$A$1:$L$890,COLUMN(HeadJournal!H$1),0),0)</f>
        <v>0.32891006234449566</v>
      </c>
      <c r="P2621" s="30">
        <f>IFERROR(SUM(K2621:O2621)*VLOOKUP($A2621,HeadJournal!$A$1:$L$890,COLUMN(HeadJournal!H$1),0),0)</f>
        <v>1094.230291766268</v>
      </c>
      <c r="Q2621" s="29">
        <v>2300</v>
      </c>
      <c r="R2621" s="31">
        <v>45682</v>
      </c>
      <c r="S2621" s="31" t="s">
        <v>3121</v>
      </c>
      <c r="T2621" s="95" t="str">
        <f t="shared" si="205"/>
        <v>2025 01</v>
      </c>
      <c r="U2621" s="32">
        <f t="shared" si="202"/>
        <v>1205.769708233732</v>
      </c>
      <c r="V2621" s="22">
        <f t="shared" si="203"/>
        <v>1.101934133341731</v>
      </c>
      <c r="X2621" s="33"/>
      <c r="Y2621" s="33"/>
    </row>
    <row r="2622" spans="1:25" x14ac:dyDescent="0.2">
      <c r="A2622" s="93" t="s">
        <v>1198</v>
      </c>
      <c r="B2622" s="94" t="str">
        <f>IFERROR(VLOOKUP($A2622,HeadJournal!$A$1:$NTR$890,COLUMN(HeadJournal!B$1),0),"")</f>
        <v>720000049600</v>
      </c>
      <c r="C2622" s="94" t="str">
        <f>IFERROR(VLOOKUP($A2622,HeadJournal!$A$1:$NTR$890,COLUMN(HeadJournal!C$1),0),"")</f>
        <v>iHerb_OA CZN6870</v>
      </c>
      <c r="D2622" s="125" t="str">
        <f>IFERROR(VLOOKUP($A2622,HeadJournal!$A$1:$NTR$890,COLUMN(HeadJournal!D$1),0),"")</f>
        <v>Доставлен</v>
      </c>
      <c r="E2622" s="95">
        <f>IFERROR(VLOOKUP($A2622,HeadJournal!$A$1:$NTR$890,COLUMN(HeadJournal!G$1),0),"")</f>
        <v>45273</v>
      </c>
      <c r="F2622" s="95" t="str">
        <f t="shared" si="204"/>
        <v>2023 12</v>
      </c>
      <c r="G2622" s="96" t="s">
        <v>5</v>
      </c>
      <c r="H2622" s="161" t="s">
        <v>3009</v>
      </c>
      <c r="I2622" s="97" t="s">
        <v>2005</v>
      </c>
      <c r="J2622" s="97" t="s">
        <v>3010</v>
      </c>
      <c r="K2622" s="29">
        <v>16.329999999999998</v>
      </c>
      <c r="L2622" s="29">
        <v>-6.5333333333333341</v>
      </c>
      <c r="M2622" s="30">
        <f>IFERROR(VLOOKUP($A2622,HeadJournal!$A$1:$J$890,COLUMN(HeadJournal!I$1),0)*($K2622+$L2622)/(SUMIF($A:$A,$A2622,$K:$K)+SUMIF($A:$A,$A2622,$L:$L)),0)</f>
        <v>-0.41918804780876484</v>
      </c>
      <c r="N2622" s="30">
        <f>IFERROR((VLOOKUP($A2622,HeadJournal!$A$1:$K$890,COLUMN(HeadJournal!K$1),0)-VLOOKUP($A2622,HeadJournal!$A$1:$K$890,COLUMN(HeadJournal!J$1),0))*($K2622+$L2622)/(SUMIF($A:$A,$A2622,$K:$K)+SUMIF($A:$A,$A2622,$L:$L)),0)</f>
        <v>0</v>
      </c>
      <c r="O2622" s="30">
        <f>IFERROR((VLOOKUP($A2622,HeadJournal!$A$1:$L$890,COLUMN(HeadJournal!L$1),0)*($K2622+$L2622)/(SUMIF($A:$A,$A2622,$K:$K)+SUMIF($A:$A,$A2622,$L:$L)))/VLOOKUP($A2622,HeadJournal!$A$1:$L$890,COLUMN(HeadJournal!H$1),0),0)</f>
        <v>0.32891006234449566</v>
      </c>
      <c r="P2622" s="30">
        <f>IFERROR(SUM(K2622:O2622)*VLOOKUP($A2622,HeadJournal!$A$1:$L$890,COLUMN(HeadJournal!H$1),0),0)</f>
        <v>1094.230291766268</v>
      </c>
      <c r="Q2622" s="29">
        <v>2300</v>
      </c>
      <c r="R2622" s="31">
        <v>45741</v>
      </c>
      <c r="S2622" s="31" t="s">
        <v>3121</v>
      </c>
      <c r="T2622" s="95" t="str">
        <f t="shared" si="205"/>
        <v>2025 03</v>
      </c>
      <c r="U2622" s="32">
        <f t="shared" si="202"/>
        <v>1205.769708233732</v>
      </c>
      <c r="V2622" s="22">
        <f t="shared" si="203"/>
        <v>1.101934133341731</v>
      </c>
      <c r="X2622" s="33"/>
      <c r="Y2622" s="33"/>
    </row>
    <row r="2623" spans="1:25" x14ac:dyDescent="0.2">
      <c r="A2623" s="93" t="s">
        <v>1198</v>
      </c>
      <c r="B2623" s="94" t="str">
        <f>IFERROR(VLOOKUP($A2623,HeadJournal!$A$1:$NTR$890,COLUMN(HeadJournal!B$1),0),"")</f>
        <v>720000049600</v>
      </c>
      <c r="C2623" s="94" t="str">
        <f>IFERROR(VLOOKUP($A2623,HeadJournal!$A$1:$NTR$890,COLUMN(HeadJournal!C$1),0),"")</f>
        <v>iHerb_OA CZN6870</v>
      </c>
      <c r="D2623" s="125" t="str">
        <f>IFERROR(VLOOKUP($A2623,HeadJournal!$A$1:$NTR$890,COLUMN(HeadJournal!D$1),0),"")</f>
        <v>Доставлен</v>
      </c>
      <c r="E2623" s="95">
        <f>IFERROR(VLOOKUP($A2623,HeadJournal!$A$1:$NTR$890,COLUMN(HeadJournal!G$1),0),"")</f>
        <v>45273</v>
      </c>
      <c r="F2623" s="95" t="str">
        <f t="shared" si="204"/>
        <v>2023 12</v>
      </c>
      <c r="G2623" s="96" t="s">
        <v>5</v>
      </c>
      <c r="H2623" s="160" t="str">
        <f>RIGHT(Journal!$J2623,9)</f>
        <v>SOR-04710</v>
      </c>
      <c r="I2623" s="96" t="str">
        <f t="shared" si="206"/>
        <v>Solaray</v>
      </c>
      <c r="J2623" s="97" t="s">
        <v>884</v>
      </c>
      <c r="K2623" s="29">
        <v>6.69</v>
      </c>
      <c r="L2623" s="29">
        <v>-1.34</v>
      </c>
      <c r="M2623" s="30">
        <f>IFERROR(VLOOKUP($A2623,HeadJournal!$A$1:$J$890,COLUMN(HeadJournal!I$1),0)*($K2623+$L2623)/(SUMIF($A:$A,$A2623,$K:$K)+SUMIF($A:$A,$A2623,$L:$L)),0)</f>
        <v>-0.22892031872509963</v>
      </c>
      <c r="N2623" s="30">
        <f>IFERROR((VLOOKUP($A2623,HeadJournal!$A$1:$K$890,COLUMN(HeadJournal!K$1),0)-VLOOKUP($A2623,HeadJournal!$A$1:$K$890,COLUMN(HeadJournal!J$1),0))*($K2623+$L2623)/(SUMIF($A:$A,$A2623,$K:$K)+SUMIF($A:$A,$A2623,$L:$L)),0)</f>
        <v>0</v>
      </c>
      <c r="O2623" s="30">
        <f>IFERROR((VLOOKUP($A2623,HeadJournal!$A$1:$L$890,COLUMN(HeadJournal!L$1),0)*($K2623+$L2623)/(SUMIF($A:$A,$A2623,$K:$K)+SUMIF($A:$A,$A2623,$L:$L)))/VLOOKUP($A2623,HeadJournal!$A$1:$L$890,COLUMN(HeadJournal!H$1),0),0)</f>
        <v>0.17961913918438782</v>
      </c>
      <c r="P2623" s="30">
        <f>IFERROR(SUM(K2623:O2623)*VLOOKUP($A2623,HeadJournal!$A$1:$L$890,COLUMN(HeadJournal!H$1),0),0)</f>
        <v>597.56366733067739</v>
      </c>
      <c r="Q2623" s="29">
        <v>1100</v>
      </c>
      <c r="R2623" s="31">
        <v>45388</v>
      </c>
      <c r="S2623" s="31" t="s">
        <v>3121</v>
      </c>
      <c r="T2623" s="95" t="str">
        <f t="shared" si="205"/>
        <v>2024 04</v>
      </c>
      <c r="U2623" s="32">
        <f t="shared" si="202"/>
        <v>502.43633266932261</v>
      </c>
      <c r="V2623" s="22">
        <f t="shared" si="203"/>
        <v>0.84080803458769593</v>
      </c>
      <c r="X2623" s="33"/>
      <c r="Y2623" s="33"/>
    </row>
    <row r="2624" spans="1:25" x14ac:dyDescent="0.2">
      <c r="A2624" s="93" t="s">
        <v>1198</v>
      </c>
      <c r="B2624" s="94" t="str">
        <f>IFERROR(VLOOKUP($A2624,HeadJournal!$A$1:$NTR$890,COLUMN(HeadJournal!B$1),0),"")</f>
        <v>720000049600</v>
      </c>
      <c r="C2624" s="94" t="str">
        <f>IFERROR(VLOOKUP($A2624,HeadJournal!$A$1:$NTR$890,COLUMN(HeadJournal!C$1),0),"")</f>
        <v>iHerb_OA CZN6870</v>
      </c>
      <c r="D2624" s="125" t="str">
        <f>IFERROR(VLOOKUP($A2624,HeadJournal!$A$1:$NTR$890,COLUMN(HeadJournal!D$1),0),"")</f>
        <v>Доставлен</v>
      </c>
      <c r="E2624" s="95">
        <f>IFERROR(VLOOKUP($A2624,HeadJournal!$A$1:$NTR$890,COLUMN(HeadJournal!G$1),0),"")</f>
        <v>45273</v>
      </c>
      <c r="F2624" s="95" t="str">
        <f t="shared" si="204"/>
        <v>2023 12</v>
      </c>
      <c r="G2624" s="96" t="s">
        <v>5</v>
      </c>
      <c r="H2624" s="160" t="str">
        <f>RIGHT(Journal!$J2624,9)</f>
        <v>SOR-04710</v>
      </c>
      <c r="I2624" s="96" t="str">
        <f t="shared" si="206"/>
        <v>Solaray</v>
      </c>
      <c r="J2624" s="97" t="s">
        <v>884</v>
      </c>
      <c r="K2624" s="29">
        <v>6.69</v>
      </c>
      <c r="L2624" s="29">
        <v>-1.34</v>
      </c>
      <c r="M2624" s="30">
        <f>IFERROR(VLOOKUP($A2624,HeadJournal!$A$1:$J$890,COLUMN(HeadJournal!I$1),0)*($K2624+$L2624)/(SUMIF($A:$A,$A2624,$K:$K)+SUMIF($A:$A,$A2624,$L:$L)),0)</f>
        <v>-0.22892031872509963</v>
      </c>
      <c r="N2624" s="30">
        <f>IFERROR((VLOOKUP($A2624,HeadJournal!$A$1:$K$890,COLUMN(HeadJournal!K$1),0)-VLOOKUP($A2624,HeadJournal!$A$1:$K$890,COLUMN(HeadJournal!J$1),0))*($K2624+$L2624)/(SUMIF($A:$A,$A2624,$K:$K)+SUMIF($A:$A,$A2624,$L:$L)),0)</f>
        <v>0</v>
      </c>
      <c r="O2624" s="30">
        <f>IFERROR((VLOOKUP($A2624,HeadJournal!$A$1:$L$890,COLUMN(HeadJournal!L$1),0)*($K2624+$L2624)/(SUMIF($A:$A,$A2624,$K:$K)+SUMIF($A:$A,$A2624,$L:$L)))/VLOOKUP($A2624,HeadJournal!$A$1:$L$890,COLUMN(HeadJournal!H$1),0),0)</f>
        <v>0.17961913918438782</v>
      </c>
      <c r="P2624" s="30">
        <f>IFERROR(SUM(K2624:O2624)*VLOOKUP($A2624,HeadJournal!$A$1:$L$890,COLUMN(HeadJournal!H$1),0),0)</f>
        <v>597.56366733067739</v>
      </c>
      <c r="Q2624" s="29">
        <v>1200</v>
      </c>
      <c r="R2624" s="31">
        <v>45472</v>
      </c>
      <c r="S2624" s="31" t="s">
        <v>3121</v>
      </c>
      <c r="T2624" s="95" t="str">
        <f t="shared" si="205"/>
        <v>2024 06</v>
      </c>
      <c r="U2624" s="32">
        <f t="shared" si="202"/>
        <v>602.43633266932261</v>
      </c>
      <c r="V2624" s="22">
        <f t="shared" si="203"/>
        <v>1.0081542195502138</v>
      </c>
      <c r="X2624" s="33"/>
      <c r="Y2624" s="33"/>
    </row>
    <row r="2625" spans="1:25" x14ac:dyDescent="0.2">
      <c r="A2625" s="93" t="s">
        <v>1198</v>
      </c>
      <c r="B2625" s="94" t="str">
        <f>IFERROR(VLOOKUP($A2625,HeadJournal!$A$1:$NTR$890,COLUMN(HeadJournal!B$1),0),"")</f>
        <v>720000049600</v>
      </c>
      <c r="C2625" s="94" t="str">
        <f>IFERROR(VLOOKUP($A2625,HeadJournal!$A$1:$NTR$890,COLUMN(HeadJournal!C$1),0),"")</f>
        <v>iHerb_OA CZN6870</v>
      </c>
      <c r="D2625" s="125" t="str">
        <f>IFERROR(VLOOKUP($A2625,HeadJournal!$A$1:$NTR$890,COLUMN(HeadJournal!D$1),0),"")</f>
        <v>Доставлен</v>
      </c>
      <c r="E2625" s="95">
        <f>IFERROR(VLOOKUP($A2625,HeadJournal!$A$1:$NTR$890,COLUMN(HeadJournal!G$1),0),"")</f>
        <v>45273</v>
      </c>
      <c r="F2625" s="95" t="str">
        <f t="shared" si="204"/>
        <v>2023 12</v>
      </c>
      <c r="G2625" s="96" t="s">
        <v>5</v>
      </c>
      <c r="H2625" s="160" t="str">
        <f>RIGHT(Journal!$J2625,9)</f>
        <v>SOR-47105</v>
      </c>
      <c r="I2625" s="96" t="str">
        <f t="shared" si="206"/>
        <v>Solaray</v>
      </c>
      <c r="J2625" s="97" t="s">
        <v>1201</v>
      </c>
      <c r="K2625" s="29">
        <v>8.76</v>
      </c>
      <c r="L2625" s="29">
        <v>-1.75</v>
      </c>
      <c r="M2625" s="30">
        <f>IFERROR(VLOOKUP($A2625,HeadJournal!$A$1:$J$890,COLUMN(HeadJournal!I$1),0)*($K2625+$L2625)/(SUMIF($A:$A,$A2625,$K:$K)+SUMIF($A:$A,$A2625,$L:$L)),0)</f>
        <v>-0.29994980079681277</v>
      </c>
      <c r="N2625" s="30">
        <f>IFERROR((VLOOKUP($A2625,HeadJournal!$A$1:$K$890,COLUMN(HeadJournal!K$1),0)-VLOOKUP($A2625,HeadJournal!$A$1:$K$890,COLUMN(HeadJournal!J$1),0))*($K2625+$L2625)/(SUMIF($A:$A,$A2625,$K:$K)+SUMIF($A:$A,$A2625,$L:$L)),0)</f>
        <v>0</v>
      </c>
      <c r="O2625" s="30">
        <f>IFERROR((VLOOKUP($A2625,HeadJournal!$A$1:$L$890,COLUMN(HeadJournal!L$1),0)*($K2625+$L2625)/(SUMIF($A:$A,$A2625,$K:$K)+SUMIF($A:$A,$A2625,$L:$L)))/VLOOKUP($A2625,HeadJournal!$A$1:$L$890,COLUMN(HeadJournal!H$1),0),0)</f>
        <v>0.23535143283786136</v>
      </c>
      <c r="P2625" s="30">
        <f>IFERROR(SUM(K2625:O2625)*VLOOKUP($A2625,HeadJournal!$A$1:$L$890,COLUMN(HeadJournal!H$1),0),0)</f>
        <v>782.97594541832666</v>
      </c>
      <c r="Q2625" s="29">
        <v>1400</v>
      </c>
      <c r="R2625" s="31">
        <v>45315</v>
      </c>
      <c r="S2625" s="31" t="s">
        <v>3121</v>
      </c>
      <c r="T2625" s="95" t="str">
        <f t="shared" si="205"/>
        <v>2024 01</v>
      </c>
      <c r="U2625" s="32">
        <f t="shared" ref="U2625:U2688" si="207">Q2625-P2625</f>
        <v>617.02405458167334</v>
      </c>
      <c r="V2625" s="22">
        <f t="shared" ref="V2625:V2688" si="208">IF(Q2625&lt;&gt;0,IFERROR(U2625/P2625,""),"")</f>
        <v>0.78804982221006936</v>
      </c>
      <c r="X2625" s="33"/>
      <c r="Y2625" s="33"/>
    </row>
    <row r="2626" spans="1:25" x14ac:dyDescent="0.2">
      <c r="A2626" s="93" t="s">
        <v>1198</v>
      </c>
      <c r="B2626" s="94" t="str">
        <f>IFERROR(VLOOKUP($A2626,HeadJournal!$A$1:$NTR$890,COLUMN(HeadJournal!B$1),0),"")</f>
        <v>720000049600</v>
      </c>
      <c r="C2626" s="94" t="str">
        <f>IFERROR(VLOOKUP($A2626,HeadJournal!$A$1:$NTR$890,COLUMN(HeadJournal!C$1),0),"")</f>
        <v>iHerb_OA CZN6870</v>
      </c>
      <c r="D2626" s="125" t="str">
        <f>IFERROR(VLOOKUP($A2626,HeadJournal!$A$1:$NTR$890,COLUMN(HeadJournal!D$1),0),"")</f>
        <v>Доставлен</v>
      </c>
      <c r="E2626" s="95">
        <f>IFERROR(VLOOKUP($A2626,HeadJournal!$A$1:$NTR$890,COLUMN(HeadJournal!G$1),0),"")</f>
        <v>45273</v>
      </c>
      <c r="F2626" s="95" t="str">
        <f t="shared" si="204"/>
        <v>2023 12</v>
      </c>
      <c r="G2626" s="96" t="s">
        <v>5</v>
      </c>
      <c r="H2626" s="160" t="str">
        <f>RIGHT(Journal!$J2626,9)</f>
        <v>SOR-47105</v>
      </c>
      <c r="I2626" s="96" t="str">
        <f t="shared" si="206"/>
        <v>Solaray</v>
      </c>
      <c r="J2626" s="97" t="s">
        <v>1201</v>
      </c>
      <c r="K2626" s="29">
        <v>8.76</v>
      </c>
      <c r="L2626" s="29">
        <v>-1.75</v>
      </c>
      <c r="M2626" s="30">
        <f>IFERROR(VLOOKUP($A2626,HeadJournal!$A$1:$J$890,COLUMN(HeadJournal!I$1),0)*($K2626+$L2626)/(SUMIF($A:$A,$A2626,$K:$K)+SUMIF($A:$A,$A2626,$L:$L)),0)</f>
        <v>-0.29994980079681277</v>
      </c>
      <c r="N2626" s="30">
        <f>IFERROR((VLOOKUP($A2626,HeadJournal!$A$1:$K$890,COLUMN(HeadJournal!K$1),0)-VLOOKUP($A2626,HeadJournal!$A$1:$K$890,COLUMN(HeadJournal!J$1),0))*($K2626+$L2626)/(SUMIF($A:$A,$A2626,$K:$K)+SUMIF($A:$A,$A2626,$L:$L)),0)</f>
        <v>0</v>
      </c>
      <c r="O2626" s="30">
        <f>IFERROR((VLOOKUP($A2626,HeadJournal!$A$1:$L$890,COLUMN(HeadJournal!L$1),0)*($K2626+$L2626)/(SUMIF($A:$A,$A2626,$K:$K)+SUMIF($A:$A,$A2626,$L:$L)))/VLOOKUP($A2626,HeadJournal!$A$1:$L$890,COLUMN(HeadJournal!H$1),0),0)</f>
        <v>0.23535143283786136</v>
      </c>
      <c r="P2626" s="30">
        <f>IFERROR(SUM(K2626:O2626)*VLOOKUP($A2626,HeadJournal!$A$1:$L$890,COLUMN(HeadJournal!H$1),0),0)</f>
        <v>782.97594541832666</v>
      </c>
      <c r="Q2626" s="29">
        <v>1400</v>
      </c>
      <c r="R2626" s="31">
        <v>45398</v>
      </c>
      <c r="S2626" s="31" t="s">
        <v>3121</v>
      </c>
      <c r="T2626" s="95" t="str">
        <f t="shared" si="205"/>
        <v>2024 04</v>
      </c>
      <c r="U2626" s="32">
        <f t="shared" si="207"/>
        <v>617.02405458167334</v>
      </c>
      <c r="V2626" s="22">
        <f t="shared" si="208"/>
        <v>0.78804982221006936</v>
      </c>
      <c r="X2626" s="33"/>
      <c r="Y2626" s="33"/>
    </row>
    <row r="2627" spans="1:25" x14ac:dyDescent="0.2">
      <c r="A2627" s="93" t="s">
        <v>1198</v>
      </c>
      <c r="B2627" s="94" t="str">
        <f>IFERROR(VLOOKUP($A2627,HeadJournal!$A$1:$NTR$890,COLUMN(HeadJournal!B$1),0),"")</f>
        <v>720000049600</v>
      </c>
      <c r="C2627" s="94" t="str">
        <f>IFERROR(VLOOKUP($A2627,HeadJournal!$A$1:$NTR$890,COLUMN(HeadJournal!C$1),0),"")</f>
        <v>iHerb_OA CZN6870</v>
      </c>
      <c r="D2627" s="125" t="str">
        <f>IFERROR(VLOOKUP($A2627,HeadJournal!$A$1:$NTR$890,COLUMN(HeadJournal!D$1),0),"")</f>
        <v>Доставлен</v>
      </c>
      <c r="E2627" s="95">
        <f>IFERROR(VLOOKUP($A2627,HeadJournal!$A$1:$NTR$890,COLUMN(HeadJournal!G$1),0),"")</f>
        <v>45273</v>
      </c>
      <c r="F2627" s="95" t="str">
        <f t="shared" si="204"/>
        <v>2023 12</v>
      </c>
      <c r="G2627" s="96" t="s">
        <v>5</v>
      </c>
      <c r="H2627" s="161" t="s">
        <v>2831</v>
      </c>
      <c r="I2627" s="97" t="s">
        <v>2005</v>
      </c>
      <c r="J2627" s="97" t="s">
        <v>3911</v>
      </c>
      <c r="K2627" s="29">
        <v>13.51</v>
      </c>
      <c r="L2627" s="29">
        <v>-3.38</v>
      </c>
      <c r="M2627" s="30">
        <f>IFERROR(VLOOKUP($A2627,HeadJournal!$A$1:$J$890,COLUMN(HeadJournal!I$1),0)*($K2627+$L2627)/(SUMIF($A:$A,$A2627,$K:$K)+SUMIF($A:$A,$A2627,$L:$L)),0)</f>
        <v>-0.43345099601593617</v>
      </c>
      <c r="N2627" s="30">
        <f>IFERROR((VLOOKUP($A2627,HeadJournal!$A$1:$K$890,COLUMN(HeadJournal!K$1),0)-VLOOKUP($A2627,HeadJournal!$A$1:$K$890,COLUMN(HeadJournal!J$1),0))*($K2627+$L2627)/(SUMIF($A:$A,$A2627,$K:$K)+SUMIF($A:$A,$A2627,$L:$L)),0)</f>
        <v>0</v>
      </c>
      <c r="O2627" s="30">
        <f>IFERROR((VLOOKUP($A2627,HeadJournal!$A$1:$L$890,COLUMN(HeadJournal!L$1),0)*($K2627+$L2627)/(SUMIF($A:$A,$A2627,$K:$K)+SUMIF($A:$A,$A2627,$L:$L)))/VLOOKUP($A2627,HeadJournal!$A$1:$L$890,COLUMN(HeadJournal!H$1),0),0)</f>
        <v>0.34010128596969119</v>
      </c>
      <c r="P2627" s="30">
        <f>IFERROR(SUM(K2627:O2627)*VLOOKUP($A2627,HeadJournal!$A$1:$L$890,COLUMN(HeadJournal!H$1),0),0)</f>
        <v>1131.4616729083664</v>
      </c>
      <c r="Q2627" s="29">
        <v>1900</v>
      </c>
      <c r="R2627" s="31">
        <v>45451</v>
      </c>
      <c r="S2627" s="31" t="s">
        <v>3121</v>
      </c>
      <c r="T2627" s="95" t="str">
        <f t="shared" si="205"/>
        <v>2024 06</v>
      </c>
      <c r="U2627" s="32">
        <f t="shared" si="207"/>
        <v>768.53832709163362</v>
      </c>
      <c r="V2627" s="22">
        <f t="shared" si="208"/>
        <v>0.67924380073444623</v>
      </c>
      <c r="X2627" s="33"/>
      <c r="Y2627" s="33"/>
    </row>
    <row r="2628" spans="1:25" x14ac:dyDescent="0.2">
      <c r="A2628" s="93" t="s">
        <v>1198</v>
      </c>
      <c r="B2628" s="94" t="str">
        <f>IFERROR(VLOOKUP($A2628,HeadJournal!$A$1:$NTR$890,COLUMN(HeadJournal!B$1),0),"")</f>
        <v>720000049600</v>
      </c>
      <c r="C2628" s="94" t="str">
        <f>IFERROR(VLOOKUP($A2628,HeadJournal!$A$1:$NTR$890,COLUMN(HeadJournal!C$1),0),"")</f>
        <v>iHerb_OA CZN6870</v>
      </c>
      <c r="D2628" s="125" t="str">
        <f>IFERROR(VLOOKUP($A2628,HeadJournal!$A$1:$NTR$890,COLUMN(HeadJournal!D$1),0),"")</f>
        <v>Доставлен</v>
      </c>
      <c r="E2628" s="95">
        <f>IFERROR(VLOOKUP($A2628,HeadJournal!$A$1:$NTR$890,COLUMN(HeadJournal!G$1),0),"")</f>
        <v>45273</v>
      </c>
      <c r="F2628" s="95" t="str">
        <f t="shared" ref="F2628:F2691" si="209">IFERROR(TEXT(E2628, "ГГГГ ММ"),"")</f>
        <v>2023 12</v>
      </c>
      <c r="G2628" s="96" t="s">
        <v>5</v>
      </c>
      <c r="H2628" s="160" t="str">
        <f>RIGHT(Journal!$J2628,9)</f>
        <v>CAL-52642</v>
      </c>
      <c r="I2628" s="96" t="str">
        <f t="shared" si="206"/>
        <v>KAL</v>
      </c>
      <c r="J2628" s="97" t="s">
        <v>1202</v>
      </c>
      <c r="K2628" s="29">
        <v>6.1</v>
      </c>
      <c r="L2628" s="29">
        <v>-1.22</v>
      </c>
      <c r="M2628" s="30">
        <f>IFERROR(VLOOKUP($A2628,HeadJournal!$A$1:$J$890,COLUMN(HeadJournal!I$1),0)*($K2628+$L2628)/(SUMIF($A:$A,$A2628,$K:$K)+SUMIF($A:$A,$A2628,$L:$L)),0)</f>
        <v>-0.20880956175298804</v>
      </c>
      <c r="N2628" s="30">
        <f>IFERROR((VLOOKUP($A2628,HeadJournal!$A$1:$K$890,COLUMN(HeadJournal!K$1),0)-VLOOKUP($A2628,HeadJournal!$A$1:$K$890,COLUMN(HeadJournal!J$1),0))*($K2628+$L2628)/(SUMIF($A:$A,$A2628,$K:$K)+SUMIF($A:$A,$A2628,$L:$L)),0)</f>
        <v>0</v>
      </c>
      <c r="O2628" s="30">
        <f>IFERROR((VLOOKUP($A2628,HeadJournal!$A$1:$L$890,COLUMN(HeadJournal!L$1),0)*($K2628+$L2628)/(SUMIF($A:$A,$A2628,$K:$K)+SUMIF($A:$A,$A2628,$L:$L)))/VLOOKUP($A2628,HeadJournal!$A$1:$L$890,COLUMN(HeadJournal!H$1),0),0)</f>
        <v>0.16383951387286214</v>
      </c>
      <c r="P2628" s="30">
        <f>IFERROR(SUM(K2628:O2628)*VLOOKUP($A2628,HeadJournal!$A$1:$L$890,COLUMN(HeadJournal!H$1),0),0)</f>
        <v>545.06741992031868</v>
      </c>
      <c r="Q2628" s="29">
        <v>1200</v>
      </c>
      <c r="R2628" s="31">
        <v>45311</v>
      </c>
      <c r="S2628" s="31" t="s">
        <v>3121</v>
      </c>
      <c r="T2628" s="95" t="str">
        <f t="shared" ref="T2628:T2691" si="210">IF(R2628="","",TEXT(R2628,"ГГГГ ММ"))</f>
        <v>2024 01</v>
      </c>
      <c r="U2628" s="32">
        <f t="shared" si="207"/>
        <v>654.93258007968132</v>
      </c>
      <c r="V2628" s="22">
        <f t="shared" si="208"/>
        <v>1.2015625152855831</v>
      </c>
      <c r="X2628" s="33"/>
      <c r="Y2628" s="33"/>
    </row>
    <row r="2629" spans="1:25" x14ac:dyDescent="0.2">
      <c r="A2629" s="93" t="s">
        <v>1198</v>
      </c>
      <c r="B2629" s="94" t="str">
        <f>IFERROR(VLOOKUP($A2629,HeadJournal!$A$1:$NTR$890,COLUMN(HeadJournal!B$1),0),"")</f>
        <v>720000049600</v>
      </c>
      <c r="C2629" s="94" t="str">
        <f>IFERROR(VLOOKUP($A2629,HeadJournal!$A$1:$NTR$890,COLUMN(HeadJournal!C$1),0),"")</f>
        <v>iHerb_OA CZN6870</v>
      </c>
      <c r="D2629" s="125" t="str">
        <f>IFERROR(VLOOKUP($A2629,HeadJournal!$A$1:$NTR$890,COLUMN(HeadJournal!D$1),0),"")</f>
        <v>Доставлен</v>
      </c>
      <c r="E2629" s="95">
        <f>IFERROR(VLOOKUP($A2629,HeadJournal!$A$1:$NTR$890,COLUMN(HeadJournal!G$1),0),"")</f>
        <v>45273</v>
      </c>
      <c r="F2629" s="95" t="str">
        <f t="shared" si="209"/>
        <v>2023 12</v>
      </c>
      <c r="G2629" s="96" t="s">
        <v>5</v>
      </c>
      <c r="H2629" s="161" t="s">
        <v>2755</v>
      </c>
      <c r="I2629" s="97" t="s">
        <v>2005</v>
      </c>
      <c r="J2629" s="97" t="s">
        <v>2756</v>
      </c>
      <c r="K2629" s="29">
        <v>17.43</v>
      </c>
      <c r="L2629" s="29">
        <v>-4.3600000000000003</v>
      </c>
      <c r="M2629" s="30">
        <f>IFERROR(VLOOKUP($A2629,HeadJournal!$A$1:$J$890,COLUMN(HeadJournal!I$1),0)*($K2629+$L2629)/(SUMIF($A:$A,$A2629,$K:$K)+SUMIF($A:$A,$A2629,$L:$L)),0)</f>
        <v>-0.5592501992031873</v>
      </c>
      <c r="N2629" s="30">
        <f>IFERROR((VLOOKUP($A2629,HeadJournal!$A$1:$K$890,COLUMN(HeadJournal!K$1),0)-VLOOKUP($A2629,HeadJournal!$A$1:$K$890,COLUMN(HeadJournal!J$1),0))*($K2629+$L2629)/(SUMIF($A:$A,$A2629,$K:$K)+SUMIF($A:$A,$A2629,$L:$L)),0)</f>
        <v>0</v>
      </c>
      <c r="O2629" s="30">
        <f>IFERROR((VLOOKUP($A2629,HeadJournal!$A$1:$L$890,COLUMN(HeadJournal!L$1),0)*($K2629+$L2629)/(SUMIF($A:$A,$A2629,$K:$K)+SUMIF($A:$A,$A2629,$L:$L)))/VLOOKUP($A2629,HeadJournal!$A$1:$L$890,COLUMN(HeadJournal!H$1),0),0)</f>
        <v>0.43880787834391555</v>
      </c>
      <c r="P2629" s="30">
        <f>IFERROR(SUM(K2629:O2629)*VLOOKUP($A2629,HeadJournal!$A$1:$L$890,COLUMN(HeadJournal!H$1),0),0)</f>
        <v>1459.8424545816733</v>
      </c>
      <c r="Q2629" s="29">
        <v>2400</v>
      </c>
      <c r="R2629" s="31">
        <v>45345</v>
      </c>
      <c r="S2629" s="31" t="s">
        <v>3121</v>
      </c>
      <c r="T2629" s="95" t="str">
        <f t="shared" si="210"/>
        <v>2024 02</v>
      </c>
      <c r="U2629" s="32">
        <f t="shared" si="207"/>
        <v>940.15754541832666</v>
      </c>
      <c r="V2629" s="22">
        <f t="shared" si="208"/>
        <v>0.6440130183004813</v>
      </c>
      <c r="X2629" s="33"/>
      <c r="Y2629" s="33"/>
    </row>
    <row r="2630" spans="1:25" x14ac:dyDescent="0.2">
      <c r="A2630" s="93" t="s">
        <v>1198</v>
      </c>
      <c r="B2630" s="94" t="str">
        <f>IFERROR(VLOOKUP($A2630,HeadJournal!$A$1:$NTR$890,COLUMN(HeadJournal!B$1),0),"")</f>
        <v>720000049600</v>
      </c>
      <c r="C2630" s="94" t="str">
        <f>IFERROR(VLOOKUP($A2630,HeadJournal!$A$1:$NTR$890,COLUMN(HeadJournal!C$1),0),"")</f>
        <v>iHerb_OA CZN6870</v>
      </c>
      <c r="D2630" s="125" t="str">
        <f>IFERROR(VLOOKUP($A2630,HeadJournal!$A$1:$NTR$890,COLUMN(HeadJournal!D$1),0),"")</f>
        <v>Доставлен</v>
      </c>
      <c r="E2630" s="95">
        <f>IFERROR(VLOOKUP($A2630,HeadJournal!$A$1:$NTR$890,COLUMN(HeadJournal!G$1),0),"")</f>
        <v>45273</v>
      </c>
      <c r="F2630" s="95" t="str">
        <f t="shared" si="209"/>
        <v>2023 12</v>
      </c>
      <c r="G2630" s="96" t="s">
        <v>5</v>
      </c>
      <c r="H2630" s="161" t="s">
        <v>2755</v>
      </c>
      <c r="I2630" s="97" t="s">
        <v>2005</v>
      </c>
      <c r="J2630" s="97" t="s">
        <v>2756</v>
      </c>
      <c r="K2630" s="29">
        <v>17.43</v>
      </c>
      <c r="L2630" s="29">
        <v>-4.3600000000000003</v>
      </c>
      <c r="M2630" s="30">
        <f>IFERROR(VLOOKUP($A2630,HeadJournal!$A$1:$J$890,COLUMN(HeadJournal!I$1),0)*($K2630+$L2630)/(SUMIF($A:$A,$A2630,$K:$K)+SUMIF($A:$A,$A2630,$L:$L)),0)</f>
        <v>-0.5592501992031873</v>
      </c>
      <c r="N2630" s="30">
        <f>IFERROR((VLOOKUP($A2630,HeadJournal!$A$1:$K$890,COLUMN(HeadJournal!K$1),0)-VLOOKUP($A2630,HeadJournal!$A$1:$K$890,COLUMN(HeadJournal!J$1),0))*($K2630+$L2630)/(SUMIF($A:$A,$A2630,$K:$K)+SUMIF($A:$A,$A2630,$L:$L)),0)</f>
        <v>0</v>
      </c>
      <c r="O2630" s="30">
        <f>IFERROR((VLOOKUP($A2630,HeadJournal!$A$1:$L$890,COLUMN(HeadJournal!L$1),0)*($K2630+$L2630)/(SUMIF($A:$A,$A2630,$K:$K)+SUMIF($A:$A,$A2630,$L:$L)))/VLOOKUP($A2630,HeadJournal!$A$1:$L$890,COLUMN(HeadJournal!H$1),0),0)</f>
        <v>0.43880787834391555</v>
      </c>
      <c r="P2630" s="30">
        <f>IFERROR(SUM(K2630:O2630)*VLOOKUP($A2630,HeadJournal!$A$1:$L$890,COLUMN(HeadJournal!H$1),0),0)</f>
        <v>1459.8424545816733</v>
      </c>
      <c r="Q2630" s="29">
        <v>2600</v>
      </c>
      <c r="R2630" s="31">
        <v>45437</v>
      </c>
      <c r="S2630" s="31" t="s">
        <v>3121</v>
      </c>
      <c r="T2630" s="95" t="str">
        <f t="shared" si="210"/>
        <v>2024 05</v>
      </c>
      <c r="U2630" s="32">
        <f t="shared" si="207"/>
        <v>1140.1575454183267</v>
      </c>
      <c r="V2630" s="22">
        <f t="shared" si="208"/>
        <v>0.78101410315885467</v>
      </c>
      <c r="X2630" s="33"/>
      <c r="Y2630" s="33"/>
    </row>
    <row r="2631" spans="1:25" x14ac:dyDescent="0.2">
      <c r="A2631" s="93" t="s">
        <v>1198</v>
      </c>
      <c r="B2631" s="94" t="str">
        <f>IFERROR(VLOOKUP($A2631,HeadJournal!$A$1:$NTR$890,COLUMN(HeadJournal!B$1),0),"")</f>
        <v>720000049600</v>
      </c>
      <c r="C2631" s="94" t="str">
        <f>IFERROR(VLOOKUP($A2631,HeadJournal!$A$1:$NTR$890,COLUMN(HeadJournal!C$1),0),"")</f>
        <v>iHerb_OA CZN6870</v>
      </c>
      <c r="D2631" s="125" t="str">
        <f>IFERROR(VLOOKUP($A2631,HeadJournal!$A$1:$NTR$890,COLUMN(HeadJournal!D$1),0),"")</f>
        <v>Доставлен</v>
      </c>
      <c r="E2631" s="95">
        <f>IFERROR(VLOOKUP($A2631,HeadJournal!$A$1:$NTR$890,COLUMN(HeadJournal!G$1),0),"")</f>
        <v>45273</v>
      </c>
      <c r="F2631" s="95" t="str">
        <f t="shared" si="209"/>
        <v>2023 12</v>
      </c>
      <c r="G2631" s="96" t="s">
        <v>5</v>
      </c>
      <c r="H2631" s="160" t="str">
        <f>RIGHT(Journal!$J2631,9)</f>
        <v>CAL-62827</v>
      </c>
      <c r="I2631" s="96" t="str">
        <f t="shared" si="206"/>
        <v>KAL</v>
      </c>
      <c r="J2631" s="97" t="s">
        <v>885</v>
      </c>
      <c r="K2631" s="29">
        <v>9.9</v>
      </c>
      <c r="L2631" s="29">
        <v>-1.98</v>
      </c>
      <c r="M2631" s="30">
        <f>IFERROR(VLOOKUP($A2631,HeadJournal!$A$1:$J$890,COLUMN(HeadJournal!I$1),0)*($K2631+$L2631)/(SUMIF($A:$A,$A2631,$K:$K)+SUMIF($A:$A,$A2631,$L:$L)),0)</f>
        <v>-0.33888764940239047</v>
      </c>
      <c r="N2631" s="30">
        <f>IFERROR((VLOOKUP($A2631,HeadJournal!$A$1:$K$890,COLUMN(HeadJournal!K$1),0)-VLOOKUP($A2631,HeadJournal!$A$1:$K$890,COLUMN(HeadJournal!J$1),0))*($K2631+$L2631)/(SUMIF($A:$A,$A2631,$K:$K)+SUMIF($A:$A,$A2631,$L:$L)),0)</f>
        <v>0</v>
      </c>
      <c r="O2631" s="30">
        <f>IFERROR((VLOOKUP($A2631,HeadJournal!$A$1:$L$890,COLUMN(HeadJournal!L$1),0)*($K2631+$L2631)/(SUMIF($A:$A,$A2631,$K:$K)+SUMIF($A:$A,$A2631,$L:$L)))/VLOOKUP($A2631,HeadJournal!$A$1:$L$890,COLUMN(HeadJournal!H$1),0),0)</f>
        <v>0.26590347333464509</v>
      </c>
      <c r="P2631" s="30">
        <f>IFERROR(SUM(K2631:O2631)*VLOOKUP($A2631,HeadJournal!$A$1:$L$890,COLUMN(HeadJournal!H$1),0),0)</f>
        <v>884.61761593625499</v>
      </c>
      <c r="Q2631" s="29">
        <v>1800</v>
      </c>
      <c r="R2631" s="31">
        <v>45319</v>
      </c>
      <c r="S2631" s="31" t="s">
        <v>3121</v>
      </c>
      <c r="T2631" s="95" t="str">
        <f t="shared" si="210"/>
        <v>2024 01</v>
      </c>
      <c r="U2631" s="32">
        <f t="shared" si="207"/>
        <v>915.38238406374501</v>
      </c>
      <c r="V2631" s="22">
        <f t="shared" si="208"/>
        <v>1.0347774762487965</v>
      </c>
      <c r="X2631" s="33"/>
      <c r="Y2631" s="33"/>
    </row>
    <row r="2632" spans="1:25" x14ac:dyDescent="0.2">
      <c r="A2632" s="93" t="s">
        <v>1198</v>
      </c>
      <c r="B2632" s="94" t="str">
        <f>IFERROR(VLOOKUP($A2632,HeadJournal!$A$1:$NTR$890,COLUMN(HeadJournal!B$1),0),"")</f>
        <v>720000049600</v>
      </c>
      <c r="C2632" s="94" t="str">
        <f>IFERROR(VLOOKUP($A2632,HeadJournal!$A$1:$NTR$890,COLUMN(HeadJournal!C$1),0),"")</f>
        <v>iHerb_OA CZN6870</v>
      </c>
      <c r="D2632" s="125" t="str">
        <f>IFERROR(VLOOKUP($A2632,HeadJournal!$A$1:$NTR$890,COLUMN(HeadJournal!D$1),0),"")</f>
        <v>Доставлен</v>
      </c>
      <c r="E2632" s="95">
        <f>IFERROR(VLOOKUP($A2632,HeadJournal!$A$1:$NTR$890,COLUMN(HeadJournal!G$1),0),"")</f>
        <v>45273</v>
      </c>
      <c r="F2632" s="95" t="str">
        <f t="shared" si="209"/>
        <v>2023 12</v>
      </c>
      <c r="G2632" s="96" t="s">
        <v>5</v>
      </c>
      <c r="H2632" s="160" t="str">
        <f>RIGHT(Journal!$J2632,9)</f>
        <v>CAL-62827</v>
      </c>
      <c r="I2632" s="96" t="str">
        <f t="shared" si="206"/>
        <v>KAL</v>
      </c>
      <c r="J2632" s="97" t="s">
        <v>885</v>
      </c>
      <c r="K2632" s="29">
        <v>9.9</v>
      </c>
      <c r="L2632" s="29">
        <v>-1.98</v>
      </c>
      <c r="M2632" s="30">
        <f>IFERROR(VLOOKUP($A2632,HeadJournal!$A$1:$J$890,COLUMN(HeadJournal!I$1),0)*($K2632+$L2632)/(SUMIF($A:$A,$A2632,$K:$K)+SUMIF($A:$A,$A2632,$L:$L)),0)</f>
        <v>-0.33888764940239047</v>
      </c>
      <c r="N2632" s="30">
        <f>IFERROR((VLOOKUP($A2632,HeadJournal!$A$1:$K$890,COLUMN(HeadJournal!K$1),0)-VLOOKUP($A2632,HeadJournal!$A$1:$K$890,COLUMN(HeadJournal!J$1),0))*($K2632+$L2632)/(SUMIF($A:$A,$A2632,$K:$K)+SUMIF($A:$A,$A2632,$L:$L)),0)</f>
        <v>0</v>
      </c>
      <c r="O2632" s="30">
        <f>IFERROR((VLOOKUP($A2632,HeadJournal!$A$1:$L$890,COLUMN(HeadJournal!L$1),0)*($K2632+$L2632)/(SUMIF($A:$A,$A2632,$K:$K)+SUMIF($A:$A,$A2632,$L:$L)))/VLOOKUP($A2632,HeadJournal!$A$1:$L$890,COLUMN(HeadJournal!H$1),0),0)</f>
        <v>0.26590347333464509</v>
      </c>
      <c r="P2632" s="30">
        <f>IFERROR(SUM(K2632:O2632)*VLOOKUP($A2632,HeadJournal!$A$1:$L$890,COLUMN(HeadJournal!H$1),0),0)</f>
        <v>884.61761593625499</v>
      </c>
      <c r="Q2632" s="29">
        <v>1800</v>
      </c>
      <c r="R2632" s="31">
        <v>45386</v>
      </c>
      <c r="S2632" s="31" t="s">
        <v>3121</v>
      </c>
      <c r="T2632" s="95" t="str">
        <f t="shared" si="210"/>
        <v>2024 04</v>
      </c>
      <c r="U2632" s="32">
        <f t="shared" si="207"/>
        <v>915.38238406374501</v>
      </c>
      <c r="V2632" s="22">
        <f t="shared" si="208"/>
        <v>1.0347774762487965</v>
      </c>
      <c r="X2632" s="33"/>
      <c r="Y2632" s="33"/>
    </row>
    <row r="2633" spans="1:25" x14ac:dyDescent="0.2">
      <c r="A2633" s="93" t="s">
        <v>1198</v>
      </c>
      <c r="B2633" s="94" t="str">
        <f>IFERROR(VLOOKUP($A2633,HeadJournal!$A$1:$NTR$890,COLUMN(HeadJournal!B$1),0),"")</f>
        <v>720000049600</v>
      </c>
      <c r="C2633" s="94" t="str">
        <f>IFERROR(VLOOKUP($A2633,HeadJournal!$A$1:$NTR$890,COLUMN(HeadJournal!C$1),0),"")</f>
        <v>iHerb_OA CZN6870</v>
      </c>
      <c r="D2633" s="125" t="str">
        <f>IFERROR(VLOOKUP($A2633,HeadJournal!$A$1:$NTR$890,COLUMN(HeadJournal!D$1),0),"")</f>
        <v>Доставлен</v>
      </c>
      <c r="E2633" s="95">
        <f>IFERROR(VLOOKUP($A2633,HeadJournal!$A$1:$NTR$890,COLUMN(HeadJournal!G$1),0),"")</f>
        <v>45273</v>
      </c>
      <c r="F2633" s="95" t="str">
        <f t="shared" si="209"/>
        <v>2023 12</v>
      </c>
      <c r="G2633" s="96" t="s">
        <v>5</v>
      </c>
      <c r="H2633" s="160" t="str">
        <f>RIGHT(Journal!$J2633,9)</f>
        <v>HNS-00403</v>
      </c>
      <c r="I2633" s="96" t="str">
        <f t="shared" si="206"/>
        <v>Honees</v>
      </c>
      <c r="J2633" s="97" t="s">
        <v>1203</v>
      </c>
      <c r="K2633" s="29">
        <v>3.64</v>
      </c>
      <c r="L2633" s="29">
        <v>-0.73</v>
      </c>
      <c r="M2633" s="30">
        <f>IFERROR(VLOOKUP($A2633,HeadJournal!$A$1:$J$890,COLUMN(HeadJournal!I$1),0)*($K2633+$L2633)/(SUMIF($A:$A,$A2633,$K:$K)+SUMIF($A:$A,$A2633,$L:$L)),0)</f>
        <v>-0.12451553784860558</v>
      </c>
      <c r="N2633" s="30">
        <f>IFERROR((VLOOKUP($A2633,HeadJournal!$A$1:$K$890,COLUMN(HeadJournal!K$1),0)-VLOOKUP($A2633,HeadJournal!$A$1:$K$890,COLUMN(HeadJournal!J$1),0))*($K2633+$L2633)/(SUMIF($A:$A,$A2633,$K:$K)+SUMIF($A:$A,$A2633,$L:$L)),0)</f>
        <v>0</v>
      </c>
      <c r="O2633" s="30">
        <f>IFERROR((VLOOKUP($A2633,HeadJournal!$A$1:$L$890,COLUMN(HeadJournal!L$1),0)*($K2633+$L2633)/(SUMIF($A:$A,$A2633,$K:$K)+SUMIF($A:$A,$A2633,$L:$L)))/VLOOKUP($A2633,HeadJournal!$A$1:$L$890,COLUMN(HeadJournal!H$1),0),0)</f>
        <v>9.7699382247956726E-2</v>
      </c>
      <c r="P2633" s="30">
        <f>IFERROR(SUM(K2633:O2633)*VLOOKUP($A2633,HeadJournal!$A$1:$L$890,COLUMN(HeadJournal!H$1),0),0)</f>
        <v>325.02995737051799</v>
      </c>
      <c r="Q2633" s="29"/>
      <c r="R2633" s="31"/>
      <c r="S2633" s="31"/>
      <c r="T2633" s="95" t="str">
        <f t="shared" si="210"/>
        <v/>
      </c>
      <c r="U2633" s="32">
        <f t="shared" si="207"/>
        <v>-325.02995737051799</v>
      </c>
      <c r="V2633" s="22" t="str">
        <f t="shared" si="208"/>
        <v/>
      </c>
      <c r="X2633" s="33"/>
      <c r="Y2633" s="33"/>
    </row>
    <row r="2634" spans="1:25" x14ac:dyDescent="0.2">
      <c r="A2634" s="93" t="s">
        <v>1198</v>
      </c>
      <c r="B2634" s="94" t="str">
        <f>IFERROR(VLOOKUP($A2634,HeadJournal!$A$1:$NTR$890,COLUMN(HeadJournal!B$1),0),"")</f>
        <v>720000049600</v>
      </c>
      <c r="C2634" s="94" t="str">
        <f>IFERROR(VLOOKUP($A2634,HeadJournal!$A$1:$NTR$890,COLUMN(HeadJournal!C$1),0),"")</f>
        <v>iHerb_OA CZN6870</v>
      </c>
      <c r="D2634" s="125" t="str">
        <f>IFERROR(VLOOKUP($A2634,HeadJournal!$A$1:$NTR$890,COLUMN(HeadJournal!D$1),0),"")</f>
        <v>Доставлен</v>
      </c>
      <c r="E2634" s="95">
        <f>IFERROR(VLOOKUP($A2634,HeadJournal!$A$1:$NTR$890,COLUMN(HeadJournal!G$1),0),"")</f>
        <v>45273</v>
      </c>
      <c r="F2634" s="95" t="str">
        <f t="shared" si="209"/>
        <v>2023 12</v>
      </c>
      <c r="G2634" s="96" t="s">
        <v>5</v>
      </c>
      <c r="H2634" s="160" t="str">
        <f>RIGHT(Journal!$J2634,9)</f>
        <v>HNS-00404</v>
      </c>
      <c r="I2634" s="96" t="str">
        <f t="shared" si="206"/>
        <v>Honees</v>
      </c>
      <c r="J2634" s="97" t="s">
        <v>1204</v>
      </c>
      <c r="K2634" s="29">
        <v>3.68</v>
      </c>
      <c r="L2634" s="29">
        <v>-0.74</v>
      </c>
      <c r="M2634" s="30">
        <f>IFERROR(VLOOKUP($A2634,HeadJournal!$A$1:$J$890,COLUMN(HeadJournal!I$1),0)*($K2634+$L2634)/(SUMIF($A:$A,$A2634,$K:$K)+SUMIF($A:$A,$A2634,$L:$L)),0)</f>
        <v>-0.12579920318725102</v>
      </c>
      <c r="N2634" s="30">
        <f>IFERROR((VLOOKUP($A2634,HeadJournal!$A$1:$K$890,COLUMN(HeadJournal!K$1),0)-VLOOKUP($A2634,HeadJournal!$A$1:$K$890,COLUMN(HeadJournal!J$1),0))*($K2634+$L2634)/(SUMIF($A:$A,$A2634,$K:$K)+SUMIF($A:$A,$A2634,$L:$L)),0)</f>
        <v>0</v>
      </c>
      <c r="O2634" s="30">
        <f>IFERROR((VLOOKUP($A2634,HeadJournal!$A$1:$L$890,COLUMN(HeadJournal!L$1),0)*($K2634+$L2634)/(SUMIF($A:$A,$A2634,$K:$K)+SUMIF($A:$A,$A2634,$L:$L)))/VLOOKUP($A2634,HeadJournal!$A$1:$L$890,COLUMN(HeadJournal!H$1),0),0)</f>
        <v>9.8706592374224328E-2</v>
      </c>
      <c r="P2634" s="30">
        <f>IFERROR(SUM(K2634:O2634)*VLOOKUP($A2634,HeadJournal!$A$1:$L$890,COLUMN(HeadJournal!H$1),0),0)</f>
        <v>328.38078167330684</v>
      </c>
      <c r="Q2634" s="29"/>
      <c r="R2634" s="31"/>
      <c r="S2634" s="31"/>
      <c r="T2634" s="95" t="str">
        <f t="shared" si="210"/>
        <v/>
      </c>
      <c r="U2634" s="32">
        <f t="shared" si="207"/>
        <v>-328.38078167330684</v>
      </c>
      <c r="V2634" s="22" t="str">
        <f t="shared" si="208"/>
        <v/>
      </c>
      <c r="X2634" s="33"/>
      <c r="Y2634" s="33"/>
    </row>
    <row r="2635" spans="1:25" x14ac:dyDescent="0.2">
      <c r="A2635" s="93" t="s">
        <v>1198</v>
      </c>
      <c r="B2635" s="94" t="str">
        <f>IFERROR(VLOOKUP($A2635,HeadJournal!$A$1:$NTR$890,COLUMN(HeadJournal!B$1),0),"")</f>
        <v>720000049600</v>
      </c>
      <c r="C2635" s="94" t="str">
        <f>IFERROR(VLOOKUP($A2635,HeadJournal!$A$1:$NTR$890,COLUMN(HeadJournal!C$1),0),"")</f>
        <v>iHerb_OA CZN6870</v>
      </c>
      <c r="D2635" s="125" t="str">
        <f>IFERROR(VLOOKUP($A2635,HeadJournal!$A$1:$NTR$890,COLUMN(HeadJournal!D$1),0),"")</f>
        <v>Доставлен</v>
      </c>
      <c r="E2635" s="95">
        <f>IFERROR(VLOOKUP($A2635,HeadJournal!$A$1:$NTR$890,COLUMN(HeadJournal!G$1),0),"")</f>
        <v>45273</v>
      </c>
      <c r="F2635" s="95" t="str">
        <f t="shared" si="209"/>
        <v>2023 12</v>
      </c>
      <c r="G2635" s="96" t="s">
        <v>5</v>
      </c>
      <c r="H2635" s="160" t="str">
        <f>RIGHT(Journal!$J2635,9)</f>
        <v>NOW-01665</v>
      </c>
      <c r="I2635" s="96" t="str">
        <f t="shared" si="206"/>
        <v>NOW Foods</v>
      </c>
      <c r="J2635" s="97" t="s">
        <v>1205</v>
      </c>
      <c r="K2635" s="29">
        <v>38.06</v>
      </c>
      <c r="L2635" s="29">
        <v>-15.225</v>
      </c>
      <c r="M2635" s="30">
        <f>IFERROR(VLOOKUP($A2635,HeadJournal!$A$1:$J$890,COLUMN(HeadJournal!I$1),0)*($K2635+$L2635)/(SUMIF($A:$A,$A2635,$K:$K)+SUMIF($A:$A,$A2635,$L:$L)),0)</f>
        <v>-0.97708326693227099</v>
      </c>
      <c r="N2635" s="30">
        <f>IFERROR((VLOOKUP($A2635,HeadJournal!$A$1:$K$890,COLUMN(HeadJournal!K$1),0)-VLOOKUP($A2635,HeadJournal!$A$1:$K$890,COLUMN(HeadJournal!J$1),0))*($K2635+$L2635)/(SUMIF($A:$A,$A2635,$K:$K)+SUMIF($A:$A,$A2635,$L:$L)),0)</f>
        <v>0</v>
      </c>
      <c r="O2635" s="30">
        <f>IFERROR((VLOOKUP($A2635,HeadJournal!$A$1:$L$890,COLUMN(HeadJournal!L$1),0)*($K2635+$L2635)/(SUMIF($A:$A,$A2635,$K:$K)+SUMIF($A:$A,$A2635,$L:$L)))/VLOOKUP($A2635,HeadJournal!$A$1:$L$890,COLUMN(HeadJournal!H$1),0),0)</f>
        <v>0.76665477444401775</v>
      </c>
      <c r="P2635" s="30">
        <f>IFERROR(SUM(K2635:O2635)*VLOOKUP($A2635,HeadJournal!$A$1:$L$890,COLUMN(HeadJournal!H$1),0),0)</f>
        <v>2550.535765139442</v>
      </c>
      <c r="Q2635" s="29">
        <v>4200</v>
      </c>
      <c r="R2635" s="31">
        <v>45427</v>
      </c>
      <c r="S2635" s="31" t="s">
        <v>3121</v>
      </c>
      <c r="T2635" s="95" t="str">
        <f t="shared" si="210"/>
        <v>2024 05</v>
      </c>
      <c r="U2635" s="32">
        <f t="shared" si="207"/>
        <v>1649.464234860558</v>
      </c>
      <c r="V2635" s="22">
        <f t="shared" si="208"/>
        <v>0.64671284261343387</v>
      </c>
      <c r="X2635" s="33"/>
      <c r="Y2635" s="33"/>
    </row>
    <row r="2636" spans="1:25" x14ac:dyDescent="0.2">
      <c r="A2636" s="93" t="s">
        <v>1198</v>
      </c>
      <c r="B2636" s="94" t="str">
        <f>IFERROR(VLOOKUP($A2636,HeadJournal!$A$1:$NTR$890,COLUMN(HeadJournal!B$1),0),"")</f>
        <v>720000049600</v>
      </c>
      <c r="C2636" s="94" t="str">
        <f>IFERROR(VLOOKUP($A2636,HeadJournal!$A$1:$NTR$890,COLUMN(HeadJournal!C$1),0),"")</f>
        <v>iHerb_OA CZN6870</v>
      </c>
      <c r="D2636" s="125" t="str">
        <f>IFERROR(VLOOKUP($A2636,HeadJournal!$A$1:$NTR$890,COLUMN(HeadJournal!D$1),0),"")</f>
        <v>Доставлен</v>
      </c>
      <c r="E2636" s="95">
        <f>IFERROR(VLOOKUP($A2636,HeadJournal!$A$1:$NTR$890,COLUMN(HeadJournal!G$1),0),"")</f>
        <v>45273</v>
      </c>
      <c r="F2636" s="95" t="str">
        <f t="shared" si="209"/>
        <v>2023 12</v>
      </c>
      <c r="G2636" s="96" t="s">
        <v>5</v>
      </c>
      <c r="H2636" s="160" t="str">
        <f>RIGHT(Journal!$J2636,9)</f>
        <v>NOW-01665</v>
      </c>
      <c r="I2636" s="96" t="str">
        <f t="shared" si="206"/>
        <v>NOW Foods</v>
      </c>
      <c r="J2636" s="97" t="s">
        <v>1205</v>
      </c>
      <c r="K2636" s="29">
        <v>38.06</v>
      </c>
      <c r="L2636" s="29">
        <v>-15.225</v>
      </c>
      <c r="M2636" s="30">
        <f>IFERROR(VLOOKUP($A2636,HeadJournal!$A$1:$J$890,COLUMN(HeadJournal!I$1),0)*($K2636+$L2636)/(SUMIF($A:$A,$A2636,$K:$K)+SUMIF($A:$A,$A2636,$L:$L)),0)</f>
        <v>-0.97708326693227099</v>
      </c>
      <c r="N2636" s="30">
        <f>IFERROR((VLOOKUP($A2636,HeadJournal!$A$1:$K$890,COLUMN(HeadJournal!K$1),0)-VLOOKUP($A2636,HeadJournal!$A$1:$K$890,COLUMN(HeadJournal!J$1),0))*($K2636+$L2636)/(SUMIF($A:$A,$A2636,$K:$K)+SUMIF($A:$A,$A2636,$L:$L)),0)</f>
        <v>0</v>
      </c>
      <c r="O2636" s="30">
        <f>IFERROR((VLOOKUP($A2636,HeadJournal!$A$1:$L$890,COLUMN(HeadJournal!L$1),0)*($K2636+$L2636)/(SUMIF($A:$A,$A2636,$K:$K)+SUMIF($A:$A,$A2636,$L:$L)))/VLOOKUP($A2636,HeadJournal!$A$1:$L$890,COLUMN(HeadJournal!H$1),0),0)</f>
        <v>0.76665477444401775</v>
      </c>
      <c r="P2636" s="30">
        <f>IFERROR(SUM(K2636:O2636)*VLOOKUP($A2636,HeadJournal!$A$1:$L$890,COLUMN(HeadJournal!H$1),0),0)</f>
        <v>2550.535765139442</v>
      </c>
      <c r="Q2636" s="29">
        <v>4200</v>
      </c>
      <c r="R2636" s="31">
        <v>45530</v>
      </c>
      <c r="S2636" s="31" t="s">
        <v>3121</v>
      </c>
      <c r="T2636" s="95" t="str">
        <f t="shared" si="210"/>
        <v>2024 08</v>
      </c>
      <c r="U2636" s="32">
        <f t="shared" si="207"/>
        <v>1649.464234860558</v>
      </c>
      <c r="V2636" s="22">
        <f t="shared" si="208"/>
        <v>0.64671284261343387</v>
      </c>
      <c r="X2636" s="33"/>
      <c r="Y2636" s="33"/>
    </row>
    <row r="2637" spans="1:25" x14ac:dyDescent="0.2">
      <c r="A2637" s="93" t="s">
        <v>1198</v>
      </c>
      <c r="B2637" s="94" t="str">
        <f>IFERROR(VLOOKUP($A2637,HeadJournal!$A$1:$NTR$890,COLUMN(HeadJournal!B$1),0),"")</f>
        <v>720000049600</v>
      </c>
      <c r="C2637" s="94" t="str">
        <f>IFERROR(VLOOKUP($A2637,HeadJournal!$A$1:$NTR$890,COLUMN(HeadJournal!C$1),0),"")</f>
        <v>iHerb_OA CZN6870</v>
      </c>
      <c r="D2637" s="125" t="str">
        <f>IFERROR(VLOOKUP($A2637,HeadJournal!$A$1:$NTR$890,COLUMN(HeadJournal!D$1),0),"")</f>
        <v>Доставлен</v>
      </c>
      <c r="E2637" s="95">
        <f>IFERROR(VLOOKUP($A2637,HeadJournal!$A$1:$NTR$890,COLUMN(HeadJournal!G$1),0),"")</f>
        <v>45273</v>
      </c>
      <c r="F2637" s="95" t="str">
        <f t="shared" si="209"/>
        <v>2023 12</v>
      </c>
      <c r="G2637" s="96" t="s">
        <v>5</v>
      </c>
      <c r="H2637" s="160" t="str">
        <f>RIGHT(Journal!$J2637,9)</f>
        <v>CGN-00963</v>
      </c>
      <c r="I2637" s="96" t="str">
        <f t="shared" si="206"/>
        <v>California Gold Nutrition</v>
      </c>
      <c r="J2637" s="97" t="s">
        <v>1127</v>
      </c>
      <c r="K2637" s="29">
        <v>11.68</v>
      </c>
      <c r="L2637" s="29">
        <v>-3.5049999999999999</v>
      </c>
      <c r="M2637" s="30">
        <f>IFERROR(VLOOKUP($A2637,HeadJournal!$A$1:$J$890,COLUMN(HeadJournal!I$1),0)*($K2637+$L2637)/(SUMIF($A:$A,$A2637,$K:$K)+SUMIF($A:$A,$A2637,$L:$L)),0)</f>
        <v>-0.34979880478087655</v>
      </c>
      <c r="N2637" s="30">
        <f>IFERROR((VLOOKUP($A2637,HeadJournal!$A$1:$K$890,COLUMN(HeadJournal!K$1),0)-VLOOKUP($A2637,HeadJournal!$A$1:$K$890,COLUMN(HeadJournal!J$1),0))*($K2637+$L2637)/(SUMIF($A:$A,$A2637,$K:$K)+SUMIF($A:$A,$A2637,$L:$L)),0)</f>
        <v>0</v>
      </c>
      <c r="O2637" s="30">
        <f>IFERROR((VLOOKUP($A2637,HeadJournal!$A$1:$L$890,COLUMN(HeadJournal!L$1),0)*($K2637+$L2637)/(SUMIF($A:$A,$A2637,$K:$K)+SUMIF($A:$A,$A2637,$L:$L)))/VLOOKUP($A2637,HeadJournal!$A$1:$L$890,COLUMN(HeadJournal!H$1),0),0)</f>
        <v>0.2744647594079197</v>
      </c>
      <c r="P2637" s="30">
        <f>IFERROR(SUM(K2637:O2637)*VLOOKUP($A2637,HeadJournal!$A$1:$L$890,COLUMN(HeadJournal!H$1),0),0)</f>
        <v>913.09962250996023</v>
      </c>
      <c r="Q2637" s="29">
        <v>1700</v>
      </c>
      <c r="R2637" s="31">
        <v>45336</v>
      </c>
      <c r="S2637" s="31" t="s">
        <v>3121</v>
      </c>
      <c r="T2637" s="95" t="str">
        <f t="shared" si="210"/>
        <v>2024 02</v>
      </c>
      <c r="U2637" s="32">
        <f t="shared" si="207"/>
        <v>786.90037749003977</v>
      </c>
      <c r="V2637" s="22">
        <f t="shared" si="208"/>
        <v>0.86179027796220142</v>
      </c>
      <c r="X2637" s="33"/>
      <c r="Y2637" s="33"/>
    </row>
    <row r="2638" spans="1:25" x14ac:dyDescent="0.2">
      <c r="A2638" s="93" t="s">
        <v>1198</v>
      </c>
      <c r="B2638" s="94" t="str">
        <f>IFERROR(VLOOKUP($A2638,HeadJournal!$A$1:$NTR$890,COLUMN(HeadJournal!B$1),0),"")</f>
        <v>720000049600</v>
      </c>
      <c r="C2638" s="94" t="str">
        <f>IFERROR(VLOOKUP($A2638,HeadJournal!$A$1:$NTR$890,COLUMN(HeadJournal!C$1),0),"")</f>
        <v>iHerb_OA CZN6870</v>
      </c>
      <c r="D2638" s="125" t="str">
        <f>IFERROR(VLOOKUP($A2638,HeadJournal!$A$1:$NTR$890,COLUMN(HeadJournal!D$1),0),"")</f>
        <v>Доставлен</v>
      </c>
      <c r="E2638" s="95">
        <f>IFERROR(VLOOKUP($A2638,HeadJournal!$A$1:$NTR$890,COLUMN(HeadJournal!G$1),0),"")</f>
        <v>45273</v>
      </c>
      <c r="F2638" s="95" t="str">
        <f t="shared" si="209"/>
        <v>2023 12</v>
      </c>
      <c r="G2638" s="96" t="s">
        <v>5</v>
      </c>
      <c r="H2638" s="160" t="str">
        <f>RIGHT(Journal!$J2638,9)</f>
        <v>CGN-00963</v>
      </c>
      <c r="I2638" s="96" t="str">
        <f t="shared" ref="I2638:I2677" si="211">IFERROR(LEFT(J2638,FIND(",",J2638)-1),"")</f>
        <v>California Gold Nutrition</v>
      </c>
      <c r="J2638" s="97" t="s">
        <v>1127</v>
      </c>
      <c r="K2638" s="29">
        <v>11.68</v>
      </c>
      <c r="L2638" s="29">
        <v>-3.5049999999999999</v>
      </c>
      <c r="M2638" s="30">
        <f>IFERROR(VLOOKUP($A2638,HeadJournal!$A$1:$J$890,COLUMN(HeadJournal!I$1),0)*($K2638+$L2638)/(SUMIF($A:$A,$A2638,$K:$K)+SUMIF($A:$A,$A2638,$L:$L)),0)</f>
        <v>-0.34979880478087655</v>
      </c>
      <c r="N2638" s="30">
        <f>IFERROR((VLOOKUP($A2638,HeadJournal!$A$1:$K$890,COLUMN(HeadJournal!K$1),0)-VLOOKUP($A2638,HeadJournal!$A$1:$K$890,COLUMN(HeadJournal!J$1),0))*($K2638+$L2638)/(SUMIF($A:$A,$A2638,$K:$K)+SUMIF($A:$A,$A2638,$L:$L)),0)</f>
        <v>0</v>
      </c>
      <c r="O2638" s="30">
        <f>IFERROR((VLOOKUP($A2638,HeadJournal!$A$1:$L$890,COLUMN(HeadJournal!L$1),0)*($K2638+$L2638)/(SUMIF($A:$A,$A2638,$K:$K)+SUMIF($A:$A,$A2638,$L:$L)))/VLOOKUP($A2638,HeadJournal!$A$1:$L$890,COLUMN(HeadJournal!H$1),0),0)</f>
        <v>0.2744647594079197</v>
      </c>
      <c r="P2638" s="30">
        <f>IFERROR(SUM(K2638:O2638)*VLOOKUP($A2638,HeadJournal!$A$1:$L$890,COLUMN(HeadJournal!H$1),0),0)</f>
        <v>913.09962250996023</v>
      </c>
      <c r="Q2638" s="29">
        <v>1700</v>
      </c>
      <c r="R2638" s="31">
        <v>45419</v>
      </c>
      <c r="S2638" s="31" t="s">
        <v>3121</v>
      </c>
      <c r="T2638" s="95" t="str">
        <f t="shared" si="210"/>
        <v>2024 05</v>
      </c>
      <c r="U2638" s="32">
        <f t="shared" si="207"/>
        <v>786.90037749003977</v>
      </c>
      <c r="V2638" s="22">
        <f t="shared" si="208"/>
        <v>0.86179027796220142</v>
      </c>
      <c r="X2638" s="33"/>
      <c r="Y2638" s="33"/>
    </row>
    <row r="2639" spans="1:25" x14ac:dyDescent="0.2">
      <c r="A2639" s="93" t="s">
        <v>1198</v>
      </c>
      <c r="B2639" s="94" t="str">
        <f>IFERROR(VLOOKUP($A2639,HeadJournal!$A$1:$NTR$890,COLUMN(HeadJournal!B$1),0),"")</f>
        <v>720000049600</v>
      </c>
      <c r="C2639" s="94" t="str">
        <f>IFERROR(VLOOKUP($A2639,HeadJournal!$A$1:$NTR$890,COLUMN(HeadJournal!C$1),0),"")</f>
        <v>iHerb_OA CZN6870</v>
      </c>
      <c r="D2639" s="125" t="str">
        <f>IFERROR(VLOOKUP($A2639,HeadJournal!$A$1:$NTR$890,COLUMN(HeadJournal!D$1),0),"")</f>
        <v>Доставлен</v>
      </c>
      <c r="E2639" s="95">
        <f>IFERROR(VLOOKUP($A2639,HeadJournal!$A$1:$NTR$890,COLUMN(HeadJournal!G$1),0),"")</f>
        <v>45273</v>
      </c>
      <c r="F2639" s="95" t="str">
        <f t="shared" si="209"/>
        <v>2023 12</v>
      </c>
      <c r="G2639" s="96" t="s">
        <v>5</v>
      </c>
      <c r="H2639" s="160" t="str">
        <f>RIGHT(Journal!$J2639,9)</f>
        <v>FBS-50070</v>
      </c>
      <c r="I2639" s="96" t="str">
        <f t="shared" si="211"/>
        <v>Futurebiotics</v>
      </c>
      <c r="J2639" s="97" t="s">
        <v>1088</v>
      </c>
      <c r="K2639" s="29">
        <v>15.52</v>
      </c>
      <c r="L2639" s="29">
        <v>-1.55</v>
      </c>
      <c r="M2639" s="30">
        <f>IFERROR(VLOOKUP($A2639,HeadJournal!$A$1:$J$890,COLUMN(HeadJournal!I$1),0)*($K2639+$L2639)/(SUMIF($A:$A,$A2639,$K:$K)+SUMIF($A:$A,$A2639,$L:$L)),0)</f>
        <v>-0.59776015936254978</v>
      </c>
      <c r="N2639" s="30">
        <f>IFERROR((VLOOKUP($A2639,HeadJournal!$A$1:$K$890,COLUMN(HeadJournal!K$1),0)-VLOOKUP($A2639,HeadJournal!$A$1:$K$890,COLUMN(HeadJournal!J$1),0))*($K2639+$L2639)/(SUMIF($A:$A,$A2639,$K:$K)+SUMIF($A:$A,$A2639,$L:$L)),0)</f>
        <v>0</v>
      </c>
      <c r="O2639" s="30">
        <f>IFERROR((VLOOKUP($A2639,HeadJournal!$A$1:$L$890,COLUMN(HeadJournal!L$1),0)*($K2639+$L2639)/(SUMIF($A:$A,$A2639,$K:$K)+SUMIF($A:$A,$A2639,$L:$L)))/VLOOKUP($A2639,HeadJournal!$A$1:$L$890,COLUMN(HeadJournal!H$1),0),0)</f>
        <v>0.46902418213194336</v>
      </c>
      <c r="P2639" s="30">
        <f>IFERROR(SUM(K2639:O2639)*VLOOKUP($A2639,HeadJournal!$A$1:$L$890,COLUMN(HeadJournal!H$1),0),0)</f>
        <v>1560.3671836653384</v>
      </c>
      <c r="Q2639" s="29">
        <v>2300</v>
      </c>
      <c r="R2639" s="31">
        <v>45319</v>
      </c>
      <c r="S2639" s="31" t="s">
        <v>3121</v>
      </c>
      <c r="T2639" s="95" t="str">
        <f t="shared" si="210"/>
        <v>2024 01</v>
      </c>
      <c r="U2639" s="32">
        <f t="shared" si="207"/>
        <v>739.63281633466158</v>
      </c>
      <c r="V2639" s="22">
        <f t="shared" si="208"/>
        <v>0.4740120300384984</v>
      </c>
      <c r="X2639" s="33"/>
      <c r="Y2639" s="33"/>
    </row>
    <row r="2640" spans="1:25" x14ac:dyDescent="0.2">
      <c r="A2640" s="93" t="s">
        <v>1206</v>
      </c>
      <c r="B2640" s="94" t="str">
        <f>IFERROR(VLOOKUP($A2640,HeadJournal!$A$1:$NTR$890,COLUMN(HeadJournal!B$1),0),"")</f>
        <v>720000058933</v>
      </c>
      <c r="C2640" s="94" t="str">
        <f>IFERROR(VLOOKUP($A2640,HeadJournal!$A$1:$NTR$890,COLUMN(HeadJournal!C$1),0),"")</f>
        <v>iHerb_OA CZN6870</v>
      </c>
      <c r="D2640" s="125" t="str">
        <f>IFERROR(VLOOKUP($A2640,HeadJournal!$A$1:$NTR$890,COLUMN(HeadJournal!D$1),0),"")</f>
        <v>Доставлен</v>
      </c>
      <c r="E2640" s="95">
        <f>IFERROR(VLOOKUP($A2640,HeadJournal!$A$1:$NTR$890,COLUMN(HeadJournal!G$1),0),"")</f>
        <v>45280</v>
      </c>
      <c r="F2640" s="95" t="str">
        <f t="shared" si="209"/>
        <v>2023 12</v>
      </c>
      <c r="G2640" s="96" t="s">
        <v>5</v>
      </c>
      <c r="H2640" s="160" t="str">
        <f>RIGHT(Journal!$J2640,9)</f>
        <v>CVR-13109</v>
      </c>
      <c r="I2640" s="96" t="str">
        <f t="shared" si="211"/>
        <v>Ecological Formulas</v>
      </c>
      <c r="J2640" s="97" t="s">
        <v>1207</v>
      </c>
      <c r="K2640" s="29">
        <v>45.23</v>
      </c>
      <c r="L2640" s="29">
        <v>-4.5199999999999996</v>
      </c>
      <c r="M2640" s="30">
        <f>IFERROR(VLOOKUP($A2640,HeadJournal!$A$1:$J$890,COLUMN(HeadJournal!I$1),0)*($K2640+$L2640)/(SUMIF($A:$A,$A2640,$K:$K)+SUMIF($A:$A,$A2640,$L:$L)),0)</f>
        <v>-2.2143749999999995</v>
      </c>
      <c r="N2640" s="30">
        <f>IFERROR((VLOOKUP($A2640,HeadJournal!$A$1:$K$890,COLUMN(HeadJournal!K$1),0)-VLOOKUP($A2640,HeadJournal!$A$1:$K$890,COLUMN(HeadJournal!J$1),0))*($K2640+$L2640)/(SUMIF($A:$A,$A2640,$K:$K)+SUMIF($A:$A,$A2640,$L:$L)),0)</f>
        <v>0</v>
      </c>
      <c r="O2640" s="30">
        <f>IFERROR((VLOOKUP($A2640,HeadJournal!$A$1:$L$890,COLUMN(HeadJournal!L$1),0)*($K2640+$L2640)/(SUMIF($A:$A,$A2640,$K:$K)+SUMIF($A:$A,$A2640,$L:$L)))/VLOOKUP($A2640,HeadJournal!$A$1:$L$890,COLUMN(HeadJournal!H$1),0),0)</f>
        <v>2.2853025564817346</v>
      </c>
      <c r="P2640" s="30">
        <f>IFERROR(SUM(K2640:O2640)*VLOOKUP($A2640,HeadJournal!$A$1:$L$890,COLUMN(HeadJournal!H$1),0),0)</f>
        <v>4184.6443749999989</v>
      </c>
      <c r="Q2640" s="29">
        <v>5100</v>
      </c>
      <c r="R2640" s="31">
        <v>45319</v>
      </c>
      <c r="S2640" s="31" t="s">
        <v>3121</v>
      </c>
      <c r="T2640" s="95" t="str">
        <f t="shared" si="210"/>
        <v>2024 01</v>
      </c>
      <c r="U2640" s="32">
        <f t="shared" si="207"/>
        <v>915.35562500000106</v>
      </c>
      <c r="V2640" s="22">
        <f t="shared" si="208"/>
        <v>0.21874155674220255</v>
      </c>
      <c r="X2640" s="33"/>
      <c r="Y2640" s="33"/>
    </row>
    <row r="2641" spans="1:25" x14ac:dyDescent="0.2">
      <c r="A2641" s="93" t="s">
        <v>1206</v>
      </c>
      <c r="B2641" s="94" t="str">
        <f>IFERROR(VLOOKUP($A2641,HeadJournal!$A$1:$NTR$890,COLUMN(HeadJournal!B$1),0),"")</f>
        <v>720000058933</v>
      </c>
      <c r="C2641" s="94" t="str">
        <f>IFERROR(VLOOKUP($A2641,HeadJournal!$A$1:$NTR$890,COLUMN(HeadJournal!C$1),0),"")</f>
        <v>iHerb_OA CZN6870</v>
      </c>
      <c r="D2641" s="125" t="str">
        <f>IFERROR(VLOOKUP($A2641,HeadJournal!$A$1:$NTR$890,COLUMN(HeadJournal!D$1),0),"")</f>
        <v>Доставлен</v>
      </c>
      <c r="E2641" s="95">
        <f>IFERROR(VLOOKUP($A2641,HeadJournal!$A$1:$NTR$890,COLUMN(HeadJournal!G$1),0),"")</f>
        <v>45280</v>
      </c>
      <c r="F2641" s="95" t="str">
        <f t="shared" si="209"/>
        <v>2023 12</v>
      </c>
      <c r="G2641" s="96" t="s">
        <v>6</v>
      </c>
      <c r="H2641" s="160" t="str">
        <f>RIGHT(Journal!$J2641,9)</f>
        <v>FOA-01906</v>
      </c>
      <c r="I2641" s="96" t="str">
        <f t="shared" si="211"/>
        <v>Force Factor</v>
      </c>
      <c r="J2641" s="97" t="s">
        <v>1075</v>
      </c>
      <c r="K2641" s="29">
        <v>22.79</v>
      </c>
      <c r="L2641" s="29">
        <v>-5.7</v>
      </c>
      <c r="M2641" s="30">
        <f>IFERROR(VLOOKUP($A2641,HeadJournal!$A$1:$J$890,COLUMN(HeadJournal!I$1),0)*($K2641+$L2641)/(SUMIF($A:$A,$A2641,$K:$K)+SUMIF($A:$A,$A2641,$L:$L)),0)</f>
        <v>-0.92959147015475307</v>
      </c>
      <c r="N2641" s="30">
        <f>IFERROR((VLOOKUP($A2641,HeadJournal!$A$1:$K$890,COLUMN(HeadJournal!K$1),0)-VLOOKUP($A2641,HeadJournal!$A$1:$K$890,COLUMN(HeadJournal!J$1),0))*($K2641+$L2641)/(SUMIF($A:$A,$A2641,$K:$K)+SUMIF($A:$A,$A2641,$L:$L)),0)</f>
        <v>0</v>
      </c>
      <c r="O2641" s="30">
        <f>IFERROR((VLOOKUP($A2641,HeadJournal!$A$1:$L$890,COLUMN(HeadJournal!L$1),0)*($K2641+$L2641)/(SUMIF($A:$A,$A2641,$K:$K)+SUMIF($A:$A,$A2641,$L:$L)))/VLOOKUP($A2641,HeadJournal!$A$1:$L$890,COLUMN(HeadJournal!H$1),0),0)</f>
        <v>0.95936675731448917</v>
      </c>
      <c r="P2641" s="30">
        <f>IFERROR(SUM(K2641:O2641)*VLOOKUP($A2641,HeadJournal!$A$1:$L$890,COLUMN(HeadJournal!H$1),0),0)</f>
        <v>1756.7077467145662</v>
      </c>
      <c r="Q2641" s="29">
        <v>2500</v>
      </c>
      <c r="R2641" s="31">
        <v>46034</v>
      </c>
      <c r="S2641" s="31"/>
      <c r="T2641" s="95" t="str">
        <f t="shared" si="210"/>
        <v>2026 01</v>
      </c>
      <c r="U2641" s="32">
        <f t="shared" si="207"/>
        <v>743.29225328543384</v>
      </c>
      <c r="V2641" s="22">
        <f t="shared" si="208"/>
        <v>0.42311662521871124</v>
      </c>
      <c r="X2641" s="33"/>
      <c r="Y2641" s="33"/>
    </row>
    <row r="2642" spans="1:25" x14ac:dyDescent="0.2">
      <c r="A2642" s="93" t="s">
        <v>1206</v>
      </c>
      <c r="B2642" s="94" t="str">
        <f>IFERROR(VLOOKUP($A2642,HeadJournal!$A$1:$NTR$890,COLUMN(HeadJournal!B$1),0),"")</f>
        <v>720000058933</v>
      </c>
      <c r="C2642" s="94" t="str">
        <f>IFERROR(VLOOKUP($A2642,HeadJournal!$A$1:$NTR$890,COLUMN(HeadJournal!C$1),0),"")</f>
        <v>iHerb_OA CZN6870</v>
      </c>
      <c r="D2642" s="125" t="str">
        <f>IFERROR(VLOOKUP($A2642,HeadJournal!$A$1:$NTR$890,COLUMN(HeadJournal!D$1),0),"")</f>
        <v>Доставлен</v>
      </c>
      <c r="E2642" s="95">
        <f>IFERROR(VLOOKUP($A2642,HeadJournal!$A$1:$NTR$890,COLUMN(HeadJournal!G$1),0),"")</f>
        <v>45280</v>
      </c>
      <c r="F2642" s="95" t="str">
        <f t="shared" si="209"/>
        <v>2023 12</v>
      </c>
      <c r="G2642" s="96" t="s">
        <v>6</v>
      </c>
      <c r="H2642" s="160" t="str">
        <f>RIGHT(Journal!$J2642,9)</f>
        <v>FOA-01490</v>
      </c>
      <c r="I2642" s="96" t="str">
        <f t="shared" si="211"/>
        <v>Force Factor</v>
      </c>
      <c r="J2642" s="97" t="s">
        <v>1208</v>
      </c>
      <c r="K2642" s="29">
        <v>15.58</v>
      </c>
      <c r="L2642" s="29">
        <v>-4.67</v>
      </c>
      <c r="M2642" s="30">
        <f>IFERROR(VLOOKUP($A2642,HeadJournal!$A$1:$J$890,COLUMN(HeadJournal!I$1),0)*($K2642+$L2642)/(SUMIF($A:$A,$A2642,$K:$K)+SUMIF($A:$A,$A2642,$L:$L)),0)</f>
        <v>-0.59343726971260136</v>
      </c>
      <c r="N2642" s="30">
        <f>IFERROR((VLOOKUP($A2642,HeadJournal!$A$1:$K$890,COLUMN(HeadJournal!K$1),0)-VLOOKUP($A2642,HeadJournal!$A$1:$K$890,COLUMN(HeadJournal!J$1),0))*($K2642+$L2642)/(SUMIF($A:$A,$A2642,$K:$K)+SUMIF($A:$A,$A2642,$L:$L)),0)</f>
        <v>0</v>
      </c>
      <c r="O2642" s="30">
        <f>IFERROR((VLOOKUP($A2642,HeadJournal!$A$1:$L$890,COLUMN(HeadJournal!L$1),0)*($K2642+$L2642)/(SUMIF($A:$A,$A2642,$K:$K)+SUMIF($A:$A,$A2642,$L:$L)))/VLOOKUP($A2642,HeadJournal!$A$1:$L$890,COLUMN(HeadJournal!H$1),0),0)</f>
        <v>0.61244536701586172</v>
      </c>
      <c r="P2642" s="30">
        <f>IFERROR(SUM(K2642:O2642)*VLOOKUP($A2642,HeadJournal!$A$1:$L$890,COLUMN(HeadJournal!H$1),0),0)</f>
        <v>1121.4559108634242</v>
      </c>
      <c r="Q2642" s="29">
        <v>1600</v>
      </c>
      <c r="R2642" s="31">
        <v>46094</v>
      </c>
      <c r="S2642" s="31"/>
      <c r="T2642" s="95" t="str">
        <f t="shared" si="210"/>
        <v>2026 03</v>
      </c>
      <c r="U2642" s="32">
        <f t="shared" si="207"/>
        <v>478.54408913657585</v>
      </c>
      <c r="V2642" s="22">
        <f t="shared" si="208"/>
        <v>0.42671681026509395</v>
      </c>
      <c r="X2642" s="33"/>
      <c r="Y2642" s="33"/>
    </row>
    <row r="2643" spans="1:25" x14ac:dyDescent="0.2">
      <c r="A2643" s="93" t="s">
        <v>1206</v>
      </c>
      <c r="B2643" s="94" t="str">
        <f>IFERROR(VLOOKUP($A2643,HeadJournal!$A$1:$NTR$890,COLUMN(HeadJournal!B$1),0),"")</f>
        <v>720000058933</v>
      </c>
      <c r="C2643" s="94" t="str">
        <f>IFERROR(VLOOKUP($A2643,HeadJournal!$A$1:$NTR$890,COLUMN(HeadJournal!C$1),0),"")</f>
        <v>iHerb_OA CZN6870</v>
      </c>
      <c r="D2643" s="125" t="str">
        <f>IFERROR(VLOOKUP($A2643,HeadJournal!$A$1:$NTR$890,COLUMN(HeadJournal!D$1),0),"")</f>
        <v>Доставлен</v>
      </c>
      <c r="E2643" s="95">
        <f>IFERROR(VLOOKUP($A2643,HeadJournal!$A$1:$NTR$890,COLUMN(HeadJournal!G$1),0),"")</f>
        <v>45280</v>
      </c>
      <c r="F2643" s="95" t="str">
        <f t="shared" si="209"/>
        <v>2023 12</v>
      </c>
      <c r="G2643" s="96" t="s">
        <v>5</v>
      </c>
      <c r="H2643" s="160" t="str">
        <f>RIGHT(Journal!$J2643,9)</f>
        <v>NOW-00470</v>
      </c>
      <c r="I2643" s="96" t="str">
        <f t="shared" si="211"/>
        <v>NOW Foods</v>
      </c>
      <c r="J2643" s="97" t="s">
        <v>982</v>
      </c>
      <c r="K2643" s="29">
        <v>11.76</v>
      </c>
      <c r="L2643" s="29">
        <v>-2.35</v>
      </c>
      <c r="M2643" s="30">
        <f>IFERROR(VLOOKUP($A2643,HeadJournal!$A$1:$J$890,COLUMN(HeadJournal!I$1),0)*($K2643+$L2643)/(SUMIF($A:$A,$A2643,$K:$K)+SUMIF($A:$A,$A2643,$L:$L)),0)</f>
        <v>-0.51184644436256455</v>
      </c>
      <c r="N2643" s="30">
        <f>IFERROR((VLOOKUP($A2643,HeadJournal!$A$1:$K$890,COLUMN(HeadJournal!K$1),0)-VLOOKUP($A2643,HeadJournal!$A$1:$K$890,COLUMN(HeadJournal!J$1),0))*($K2643+$L2643)/(SUMIF($A:$A,$A2643,$K:$K)+SUMIF($A:$A,$A2643,$L:$L)),0)</f>
        <v>0</v>
      </c>
      <c r="O2643" s="30">
        <f>IFERROR((VLOOKUP($A2643,HeadJournal!$A$1:$L$890,COLUMN(HeadJournal!L$1),0)*($K2643+$L2643)/(SUMIF($A:$A,$A2643,$K:$K)+SUMIF($A:$A,$A2643,$L:$L)))/VLOOKUP($A2643,HeadJournal!$A$1:$L$890,COLUMN(HeadJournal!H$1),0),0)</f>
        <v>0.52824114606959294</v>
      </c>
      <c r="P2643" s="30">
        <f>IFERROR(SUM(K2643:O2643)*VLOOKUP($A2643,HeadJournal!$A$1:$L$890,COLUMN(HeadJournal!H$1),0),0)</f>
        <v>967.26857206460329</v>
      </c>
      <c r="Q2643" s="29">
        <v>1800</v>
      </c>
      <c r="R2643" s="31">
        <v>45318</v>
      </c>
      <c r="S2643" s="31" t="s">
        <v>3121</v>
      </c>
      <c r="T2643" s="95" t="str">
        <f t="shared" si="210"/>
        <v>2024 01</v>
      </c>
      <c r="U2643" s="32">
        <f t="shared" si="207"/>
        <v>832.73142793539671</v>
      </c>
      <c r="V2643" s="22">
        <f t="shared" si="208"/>
        <v>0.86091024973338959</v>
      </c>
      <c r="X2643" s="33"/>
      <c r="Y2643" s="33"/>
    </row>
    <row r="2644" spans="1:25" x14ac:dyDescent="0.2">
      <c r="A2644" s="93" t="s">
        <v>1206</v>
      </c>
      <c r="B2644" s="94" t="str">
        <f>IFERROR(VLOOKUP($A2644,HeadJournal!$A$1:$NTR$890,COLUMN(HeadJournal!B$1),0),"")</f>
        <v>720000058933</v>
      </c>
      <c r="C2644" s="94" t="str">
        <f>IFERROR(VLOOKUP($A2644,HeadJournal!$A$1:$NTR$890,COLUMN(HeadJournal!C$1),0),"")</f>
        <v>iHerb_OA CZN6870</v>
      </c>
      <c r="D2644" s="125" t="str">
        <f>IFERROR(VLOOKUP($A2644,HeadJournal!$A$1:$NTR$890,COLUMN(HeadJournal!D$1),0),"")</f>
        <v>Доставлен</v>
      </c>
      <c r="E2644" s="95">
        <f>IFERROR(VLOOKUP($A2644,HeadJournal!$A$1:$NTR$890,COLUMN(HeadJournal!G$1),0),"")</f>
        <v>45280</v>
      </c>
      <c r="F2644" s="95" t="str">
        <f t="shared" si="209"/>
        <v>2023 12</v>
      </c>
      <c r="G2644" s="96" t="s">
        <v>6</v>
      </c>
      <c r="H2644" s="160" t="str">
        <f>RIGHT(Journal!$J2644,9)</f>
        <v>FOA-01527</v>
      </c>
      <c r="I2644" s="96" t="str">
        <f t="shared" si="211"/>
        <v>Force Factor</v>
      </c>
      <c r="J2644" s="97" t="s">
        <v>1209</v>
      </c>
      <c r="K2644" s="29">
        <v>10.53</v>
      </c>
      <c r="L2644" s="29">
        <v>-5.27</v>
      </c>
      <c r="M2644" s="30">
        <f>IFERROR(VLOOKUP($A2644,HeadJournal!$A$1:$J$890,COLUMN(HeadJournal!I$1),0)*($K2644+$L2644)/(SUMIF($A:$A,$A2644,$K:$K)+SUMIF($A:$A,$A2644,$L:$L)),0)</f>
        <v>-0.28611182756079589</v>
      </c>
      <c r="N2644" s="30">
        <f>IFERROR((VLOOKUP($A2644,HeadJournal!$A$1:$K$890,COLUMN(HeadJournal!K$1),0)-VLOOKUP($A2644,HeadJournal!$A$1:$K$890,COLUMN(HeadJournal!J$1),0))*($K2644+$L2644)/(SUMIF($A:$A,$A2644,$K:$K)+SUMIF($A:$A,$A2644,$L:$L)),0)</f>
        <v>0</v>
      </c>
      <c r="O2644" s="30">
        <f>IFERROR((VLOOKUP($A2644,HeadJournal!$A$1:$L$890,COLUMN(HeadJournal!L$1),0)*($K2644+$L2644)/(SUMIF($A:$A,$A2644,$K:$K)+SUMIF($A:$A,$A2644,$L:$L)))/VLOOKUP($A2644,HeadJournal!$A$1:$L$890,COLUMN(HeadJournal!H$1),0),0)</f>
        <v>0.29527613478491588</v>
      </c>
      <c r="P2644" s="30">
        <f>IFERROR(SUM(K2644:O2644)*VLOOKUP($A2644,HeadJournal!$A$1:$L$890,COLUMN(HeadJournal!H$1),0),0)</f>
        <v>540.68360138786534</v>
      </c>
      <c r="Q2644" s="29">
        <v>1600</v>
      </c>
      <c r="R2644" s="31">
        <v>45976</v>
      </c>
      <c r="S2644" s="31"/>
      <c r="T2644" s="95" t="str">
        <f t="shared" si="210"/>
        <v>2025 11</v>
      </c>
      <c r="U2644" s="32">
        <f t="shared" si="207"/>
        <v>1059.3163986121347</v>
      </c>
      <c r="V2644" s="22">
        <f t="shared" si="208"/>
        <v>1.9592168060821626</v>
      </c>
      <c r="X2644" s="33"/>
      <c r="Y2644" s="33"/>
    </row>
    <row r="2645" spans="1:25" x14ac:dyDescent="0.2">
      <c r="A2645" s="93" t="s">
        <v>1206</v>
      </c>
      <c r="B2645" s="94" t="str">
        <f>IFERROR(VLOOKUP($A2645,HeadJournal!$A$1:$NTR$890,COLUMN(HeadJournal!B$1),0),"")</f>
        <v>720000058933</v>
      </c>
      <c r="C2645" s="94" t="str">
        <f>IFERROR(VLOOKUP($A2645,HeadJournal!$A$1:$NTR$890,COLUMN(HeadJournal!C$1),0),"")</f>
        <v>iHerb_OA CZN6870</v>
      </c>
      <c r="D2645" s="125" t="str">
        <f>IFERROR(VLOOKUP($A2645,HeadJournal!$A$1:$NTR$890,COLUMN(HeadJournal!D$1),0),"")</f>
        <v>Доставлен</v>
      </c>
      <c r="E2645" s="95">
        <f>IFERROR(VLOOKUP($A2645,HeadJournal!$A$1:$NTR$890,COLUMN(HeadJournal!G$1),0),"")</f>
        <v>45280</v>
      </c>
      <c r="F2645" s="95" t="str">
        <f t="shared" si="209"/>
        <v>2023 12</v>
      </c>
      <c r="G2645" s="96" t="s">
        <v>5</v>
      </c>
      <c r="H2645" s="160" t="str">
        <f>RIGHT(Journal!$J2645,9)</f>
        <v>SOR-37402</v>
      </c>
      <c r="I2645" s="96" t="str">
        <f t="shared" si="211"/>
        <v>Solaray</v>
      </c>
      <c r="J2645" s="97" t="s">
        <v>1210</v>
      </c>
      <c r="K2645" s="29">
        <v>16.350000000000001</v>
      </c>
      <c r="L2645" s="29">
        <v>-4.09</v>
      </c>
      <c r="M2645" s="30">
        <f>IFERROR(VLOOKUP($A2645,HeadJournal!$A$1:$J$890,COLUMN(HeadJournal!I$1),0)*($K2645+$L2645)/(SUMIF($A:$A,$A2645,$K:$K)+SUMIF($A:$A,$A2645,$L:$L)),0)</f>
        <v>-0.66686901252763453</v>
      </c>
      <c r="N2645" s="30">
        <f>IFERROR((VLOOKUP($A2645,HeadJournal!$A$1:$K$890,COLUMN(HeadJournal!K$1),0)-VLOOKUP($A2645,HeadJournal!$A$1:$K$890,COLUMN(HeadJournal!J$1),0))*($K2645+$L2645)/(SUMIF($A:$A,$A2645,$K:$K)+SUMIF($A:$A,$A2645,$L:$L)),0)</f>
        <v>0</v>
      </c>
      <c r="O2645" s="30">
        <f>IFERROR((VLOOKUP($A2645,HeadJournal!$A$1:$L$890,COLUMN(HeadJournal!L$1),0)*($K2645+$L2645)/(SUMIF($A:$A,$A2645,$K:$K)+SUMIF($A:$A,$A2645,$L:$L)))/VLOOKUP($A2645,HeadJournal!$A$1:$L$890,COLUMN(HeadJournal!H$1),0),0)</f>
        <v>0.68822916586750382</v>
      </c>
      <c r="P2645" s="30">
        <f>IFERROR(SUM(K2645:O2645)*VLOOKUP($A2645,HeadJournal!$A$1:$L$890,COLUMN(HeadJournal!H$1),0),0)</f>
        <v>1260.2245157823634</v>
      </c>
      <c r="Q2645" s="29">
        <v>2300</v>
      </c>
      <c r="R2645" s="31">
        <v>45320</v>
      </c>
      <c r="S2645" s="31" t="s">
        <v>3121</v>
      </c>
      <c r="T2645" s="95" t="str">
        <f t="shared" si="210"/>
        <v>2024 01</v>
      </c>
      <c r="U2645" s="32">
        <f t="shared" si="207"/>
        <v>1039.7754842176366</v>
      </c>
      <c r="V2645" s="22">
        <f t="shared" si="208"/>
        <v>0.82507162112469368</v>
      </c>
      <c r="X2645" s="33"/>
      <c r="Y2645" s="33"/>
    </row>
    <row r="2646" spans="1:25" x14ac:dyDescent="0.2">
      <c r="A2646" s="93" t="s">
        <v>1206</v>
      </c>
      <c r="B2646" s="94" t="str">
        <f>IFERROR(VLOOKUP($A2646,HeadJournal!$A$1:$NTR$890,COLUMN(HeadJournal!B$1),0),"")</f>
        <v>720000058933</v>
      </c>
      <c r="C2646" s="94" t="str">
        <f>IFERROR(VLOOKUP($A2646,HeadJournal!$A$1:$NTR$890,COLUMN(HeadJournal!C$1),0),"")</f>
        <v>iHerb_OA CZN6870</v>
      </c>
      <c r="D2646" s="125" t="str">
        <f>IFERROR(VLOOKUP($A2646,HeadJournal!$A$1:$NTR$890,COLUMN(HeadJournal!D$1),0),"")</f>
        <v>Доставлен</v>
      </c>
      <c r="E2646" s="95">
        <f>IFERROR(VLOOKUP($A2646,HeadJournal!$A$1:$NTR$890,COLUMN(HeadJournal!G$1),0),"")</f>
        <v>45280</v>
      </c>
      <c r="F2646" s="95" t="str">
        <f t="shared" si="209"/>
        <v>2023 12</v>
      </c>
      <c r="G2646" s="96" t="s">
        <v>5</v>
      </c>
      <c r="H2646" s="160" t="str">
        <f>RIGHT(Journal!$J2646,9)</f>
        <v>SOR-37402</v>
      </c>
      <c r="I2646" s="96" t="str">
        <f t="shared" si="211"/>
        <v>Solaray</v>
      </c>
      <c r="J2646" s="97" t="s">
        <v>1210</v>
      </c>
      <c r="K2646" s="29">
        <v>16.350000000000001</v>
      </c>
      <c r="L2646" s="29">
        <v>-4.09</v>
      </c>
      <c r="M2646" s="30">
        <f>IFERROR(VLOOKUP($A2646,HeadJournal!$A$1:$J$890,COLUMN(HeadJournal!I$1),0)*($K2646+$L2646)/(SUMIF($A:$A,$A2646,$K:$K)+SUMIF($A:$A,$A2646,$L:$L)),0)</f>
        <v>-0.66686901252763453</v>
      </c>
      <c r="N2646" s="30">
        <f>IFERROR((VLOOKUP($A2646,HeadJournal!$A$1:$K$890,COLUMN(HeadJournal!K$1),0)-VLOOKUP($A2646,HeadJournal!$A$1:$K$890,COLUMN(HeadJournal!J$1),0))*($K2646+$L2646)/(SUMIF($A:$A,$A2646,$K:$K)+SUMIF($A:$A,$A2646,$L:$L)),0)</f>
        <v>0</v>
      </c>
      <c r="O2646" s="30">
        <f>IFERROR((VLOOKUP($A2646,HeadJournal!$A$1:$L$890,COLUMN(HeadJournal!L$1),0)*($K2646+$L2646)/(SUMIF($A:$A,$A2646,$K:$K)+SUMIF($A:$A,$A2646,$L:$L)))/VLOOKUP($A2646,HeadJournal!$A$1:$L$890,COLUMN(HeadJournal!H$1),0),0)</f>
        <v>0.68822916586750382</v>
      </c>
      <c r="P2646" s="30">
        <f>IFERROR(SUM(K2646:O2646)*VLOOKUP($A2646,HeadJournal!$A$1:$L$890,COLUMN(HeadJournal!H$1),0),0)</f>
        <v>1260.2245157823634</v>
      </c>
      <c r="Q2646" s="29">
        <v>2200</v>
      </c>
      <c r="R2646" s="31">
        <v>45581</v>
      </c>
      <c r="S2646" s="31" t="s">
        <v>3121</v>
      </c>
      <c r="T2646" s="95" t="str">
        <f t="shared" si="210"/>
        <v>2024 10</v>
      </c>
      <c r="U2646" s="32">
        <f t="shared" si="207"/>
        <v>939.77548421763663</v>
      </c>
      <c r="V2646" s="22">
        <f t="shared" si="208"/>
        <v>0.74572068107579392</v>
      </c>
      <c r="X2646" s="33"/>
      <c r="Y2646" s="33"/>
    </row>
    <row r="2647" spans="1:25" x14ac:dyDescent="0.2">
      <c r="A2647" s="93" t="s">
        <v>1206</v>
      </c>
      <c r="B2647" s="94" t="str">
        <f>IFERROR(VLOOKUP($A2647,HeadJournal!$A$1:$NTR$890,COLUMN(HeadJournal!B$1),0),"")</f>
        <v>720000058933</v>
      </c>
      <c r="C2647" s="94" t="str">
        <f>IFERROR(VLOOKUP($A2647,HeadJournal!$A$1:$NTR$890,COLUMN(HeadJournal!C$1),0),"")</f>
        <v>iHerb_OA CZN6870</v>
      </c>
      <c r="D2647" s="125" t="str">
        <f>IFERROR(VLOOKUP($A2647,HeadJournal!$A$1:$NTR$890,COLUMN(HeadJournal!D$1),0),"")</f>
        <v>Доставлен</v>
      </c>
      <c r="E2647" s="95">
        <f>IFERROR(VLOOKUP($A2647,HeadJournal!$A$1:$NTR$890,COLUMN(HeadJournal!G$1),0),"")</f>
        <v>45280</v>
      </c>
      <c r="F2647" s="95" t="str">
        <f t="shared" si="209"/>
        <v>2023 12</v>
      </c>
      <c r="G2647" s="96" t="s">
        <v>5</v>
      </c>
      <c r="H2647" s="175" t="s">
        <v>3634</v>
      </c>
      <c r="I2647" s="176" t="s">
        <v>2581</v>
      </c>
      <c r="J2647" s="97" t="s">
        <v>3676</v>
      </c>
      <c r="K2647" s="29">
        <v>12.4</v>
      </c>
      <c r="L2647" s="29">
        <v>-3.1</v>
      </c>
      <c r="M2647" s="30">
        <f>IFERROR(VLOOKUP($A2647,HeadJournal!$A$1:$J$890,COLUMN(HeadJournal!I$1),0)*($K2647+$L2647)/(SUMIF($A:$A,$A2647,$K:$K)+SUMIF($A:$A,$A2647,$L:$L)),0)</f>
        <v>-0.50586311717022847</v>
      </c>
      <c r="N2647" s="30">
        <f>IFERROR((VLOOKUP($A2647,HeadJournal!$A$1:$K$890,COLUMN(HeadJournal!K$1),0)-VLOOKUP($A2647,HeadJournal!$A$1:$K$890,COLUMN(HeadJournal!J$1),0))*($K2647+$L2647)/(SUMIF($A:$A,$A2647,$K:$K)+SUMIF($A:$A,$A2647,$L:$L)),0)</f>
        <v>0</v>
      </c>
      <c r="O2647" s="30">
        <f>IFERROR((VLOOKUP($A2647,HeadJournal!$A$1:$L$890,COLUMN(HeadJournal!L$1),0)*($K2647+$L2647)/(SUMIF($A:$A,$A2647,$K:$K)+SUMIF($A:$A,$A2647,$L:$L)))/VLOOKUP($A2647,HeadJournal!$A$1:$L$890,COLUMN(HeadJournal!H$1),0),0)</f>
        <v>0.5220661698668666</v>
      </c>
      <c r="P2647" s="30">
        <f>IFERROR(SUM(K2647:O2647)*VLOOKUP($A2647,HeadJournal!$A$1:$L$890,COLUMN(HeadJournal!H$1),0),0)</f>
        <v>955.9615005526897</v>
      </c>
      <c r="Q2647" s="29">
        <v>1800</v>
      </c>
      <c r="R2647" s="31">
        <v>45323</v>
      </c>
      <c r="S2647" s="31" t="s">
        <v>3121</v>
      </c>
      <c r="T2647" s="95" t="str">
        <f t="shared" si="210"/>
        <v>2024 02</v>
      </c>
      <c r="U2647" s="32">
        <f t="shared" si="207"/>
        <v>844.0384994473103</v>
      </c>
      <c r="V2647" s="22">
        <f t="shared" si="208"/>
        <v>0.8829210161280856</v>
      </c>
      <c r="X2647" s="33"/>
      <c r="Y2647" s="33"/>
    </row>
    <row r="2648" spans="1:25" x14ac:dyDescent="0.2">
      <c r="A2648" s="93" t="s">
        <v>1206</v>
      </c>
      <c r="B2648" s="94" t="str">
        <f>IFERROR(VLOOKUP($A2648,HeadJournal!$A$1:$NTR$890,COLUMN(HeadJournal!B$1),0),"")</f>
        <v>720000058933</v>
      </c>
      <c r="C2648" s="94" t="str">
        <f>IFERROR(VLOOKUP($A2648,HeadJournal!$A$1:$NTR$890,COLUMN(HeadJournal!C$1),0),"")</f>
        <v>iHerb_OA CZN6870</v>
      </c>
      <c r="D2648" s="125" t="str">
        <f>IFERROR(VLOOKUP($A2648,HeadJournal!$A$1:$NTR$890,COLUMN(HeadJournal!D$1),0),"")</f>
        <v>Доставлен</v>
      </c>
      <c r="E2648" s="95">
        <f>IFERROR(VLOOKUP($A2648,HeadJournal!$A$1:$NTR$890,COLUMN(HeadJournal!G$1),0),"")</f>
        <v>45280</v>
      </c>
      <c r="F2648" s="95" t="str">
        <f t="shared" si="209"/>
        <v>2023 12</v>
      </c>
      <c r="G2648" s="96" t="s">
        <v>5</v>
      </c>
      <c r="H2648" s="175" t="s">
        <v>3634</v>
      </c>
      <c r="I2648" s="176" t="s">
        <v>2581</v>
      </c>
      <c r="J2648" s="97" t="s">
        <v>3676</v>
      </c>
      <c r="K2648" s="29">
        <v>12.4</v>
      </c>
      <c r="L2648" s="29">
        <v>-3.1</v>
      </c>
      <c r="M2648" s="30">
        <f>IFERROR(VLOOKUP($A2648,HeadJournal!$A$1:$J$890,COLUMN(HeadJournal!I$1),0)*($K2648+$L2648)/(SUMIF($A:$A,$A2648,$K:$K)+SUMIF($A:$A,$A2648,$L:$L)),0)</f>
        <v>-0.50586311717022847</v>
      </c>
      <c r="N2648" s="30">
        <f>IFERROR((VLOOKUP($A2648,HeadJournal!$A$1:$K$890,COLUMN(HeadJournal!K$1),0)-VLOOKUP($A2648,HeadJournal!$A$1:$K$890,COLUMN(HeadJournal!J$1),0))*($K2648+$L2648)/(SUMIF($A:$A,$A2648,$K:$K)+SUMIF($A:$A,$A2648,$L:$L)),0)</f>
        <v>0</v>
      </c>
      <c r="O2648" s="30">
        <f>IFERROR((VLOOKUP($A2648,HeadJournal!$A$1:$L$890,COLUMN(HeadJournal!L$1),0)*($K2648+$L2648)/(SUMIF($A:$A,$A2648,$K:$K)+SUMIF($A:$A,$A2648,$L:$L)))/VLOOKUP($A2648,HeadJournal!$A$1:$L$890,COLUMN(HeadJournal!H$1),0),0)</f>
        <v>0.5220661698668666</v>
      </c>
      <c r="P2648" s="30">
        <f>IFERROR(SUM(K2648:O2648)*VLOOKUP($A2648,HeadJournal!$A$1:$L$890,COLUMN(HeadJournal!H$1),0),0)</f>
        <v>955.9615005526897</v>
      </c>
      <c r="Q2648" s="29">
        <v>1600</v>
      </c>
      <c r="R2648" s="31">
        <v>45780</v>
      </c>
      <c r="S2648" s="31" t="s">
        <v>3121</v>
      </c>
      <c r="T2648" s="95" t="str">
        <f t="shared" si="210"/>
        <v>2025 05</v>
      </c>
      <c r="U2648" s="32">
        <f t="shared" si="207"/>
        <v>644.0384994473103</v>
      </c>
      <c r="V2648" s="22">
        <f t="shared" si="208"/>
        <v>0.67370756989163172</v>
      </c>
      <c r="X2648" s="33"/>
      <c r="Y2648" s="33"/>
    </row>
    <row r="2649" spans="1:25" x14ac:dyDescent="0.2">
      <c r="A2649" s="93" t="s">
        <v>1206</v>
      </c>
      <c r="B2649" s="94" t="str">
        <f>IFERROR(VLOOKUP($A2649,HeadJournal!$A$1:$NTR$890,COLUMN(HeadJournal!B$1),0),"")</f>
        <v>720000058933</v>
      </c>
      <c r="C2649" s="94" t="str">
        <f>IFERROR(VLOOKUP($A2649,HeadJournal!$A$1:$NTR$890,COLUMN(HeadJournal!C$1),0),"")</f>
        <v>iHerb_OA CZN6870</v>
      </c>
      <c r="D2649" s="125" t="str">
        <f>IFERROR(VLOOKUP($A2649,HeadJournal!$A$1:$NTR$890,COLUMN(HeadJournal!D$1),0),"")</f>
        <v>Доставлен</v>
      </c>
      <c r="E2649" s="95">
        <f>IFERROR(VLOOKUP($A2649,HeadJournal!$A$1:$NTR$890,COLUMN(HeadJournal!G$1),0),"")</f>
        <v>45280</v>
      </c>
      <c r="F2649" s="95" t="str">
        <f t="shared" si="209"/>
        <v>2023 12</v>
      </c>
      <c r="G2649" s="96" t="s">
        <v>5</v>
      </c>
      <c r="H2649" s="160" t="str">
        <f>RIGHT(Journal!$J2649,9)</f>
        <v>RMS-06804</v>
      </c>
      <c r="I2649" s="96" t="str">
        <f t="shared" si="211"/>
        <v>Real Mushrooms</v>
      </c>
      <c r="J2649" s="97" t="s">
        <v>1211</v>
      </c>
      <c r="K2649" s="29">
        <v>28.9</v>
      </c>
      <c r="L2649" s="29">
        <v>-7.23</v>
      </c>
      <c r="M2649" s="30">
        <f>IFERROR(VLOOKUP($A2649,HeadJournal!$A$1:$J$890,COLUMN(HeadJournal!I$1),0)*($K2649+$L2649)/(SUMIF($A:$A,$A2649,$K:$K)+SUMIF($A:$A,$A2649,$L:$L)),0)</f>
        <v>-1.178715456890199</v>
      </c>
      <c r="N2649" s="30">
        <f>IFERROR((VLOOKUP($A2649,HeadJournal!$A$1:$K$890,COLUMN(HeadJournal!K$1),0)-VLOOKUP($A2649,HeadJournal!$A$1:$K$890,COLUMN(HeadJournal!J$1),0))*($K2649+$L2649)/(SUMIF($A:$A,$A2649,$K:$K)+SUMIF($A:$A,$A2649,$L:$L)),0)</f>
        <v>0</v>
      </c>
      <c r="O2649" s="30">
        <f>IFERROR((VLOOKUP($A2649,HeadJournal!$A$1:$L$890,COLUMN(HeadJournal!L$1),0)*($K2649+$L2649)/(SUMIF($A:$A,$A2649,$K:$K)+SUMIF($A:$A,$A2649,$L:$L)))/VLOOKUP($A2649,HeadJournal!$A$1:$L$890,COLUMN(HeadJournal!H$1),0),0)</f>
        <v>1.2164703119370963</v>
      </c>
      <c r="P2649" s="30">
        <f>IFERROR(SUM(K2649:O2649)*VLOOKUP($A2649,HeadJournal!$A$1:$L$890,COLUMN(HeadJournal!H$1),0),0)</f>
        <v>2227.4930878469663</v>
      </c>
      <c r="Q2649" s="29">
        <v>3500</v>
      </c>
      <c r="R2649" s="31">
        <v>45411</v>
      </c>
      <c r="S2649" s="31" t="s">
        <v>3121</v>
      </c>
      <c r="T2649" s="95" t="str">
        <f t="shared" si="210"/>
        <v>2024 04</v>
      </c>
      <c r="U2649" s="32">
        <f t="shared" si="207"/>
        <v>1272.5069121530337</v>
      </c>
      <c r="V2649" s="22">
        <f t="shared" si="208"/>
        <v>0.57127311375094048</v>
      </c>
      <c r="X2649" s="33"/>
      <c r="Y2649" s="33"/>
    </row>
    <row r="2650" spans="1:25" x14ac:dyDescent="0.2">
      <c r="A2650" s="93" t="s">
        <v>1206</v>
      </c>
      <c r="B2650" s="94" t="str">
        <f>IFERROR(VLOOKUP($A2650,HeadJournal!$A$1:$NTR$890,COLUMN(HeadJournal!B$1),0),"")</f>
        <v>720000058933</v>
      </c>
      <c r="C2650" s="94" t="str">
        <f>IFERROR(VLOOKUP($A2650,HeadJournal!$A$1:$NTR$890,COLUMN(HeadJournal!C$1),0),"")</f>
        <v>iHerb_OA CZN6870</v>
      </c>
      <c r="D2650" s="125" t="str">
        <f>IFERROR(VLOOKUP($A2650,HeadJournal!$A$1:$NTR$890,COLUMN(HeadJournal!D$1),0),"")</f>
        <v>Доставлен</v>
      </c>
      <c r="E2650" s="95">
        <f>IFERROR(VLOOKUP($A2650,HeadJournal!$A$1:$NTR$890,COLUMN(HeadJournal!G$1),0),"")</f>
        <v>45280</v>
      </c>
      <c r="F2650" s="95" t="str">
        <f t="shared" si="209"/>
        <v>2023 12</v>
      </c>
      <c r="G2650" s="96" t="s">
        <v>5</v>
      </c>
      <c r="H2650" s="161" t="s">
        <v>2211</v>
      </c>
      <c r="I2650" s="97" t="s">
        <v>2212</v>
      </c>
      <c r="J2650" s="97" t="s">
        <v>2213</v>
      </c>
      <c r="K2650" s="29">
        <v>29.75</v>
      </c>
      <c r="L2650" s="29">
        <v>-7.44</v>
      </c>
      <c r="M2650" s="30">
        <f>IFERROR(VLOOKUP($A2650,HeadJournal!$A$1:$J$890,COLUMN(HeadJournal!I$1),0)*($K2650+$L2650)/(SUMIF($A:$A,$A2650,$K:$K)+SUMIF($A:$A,$A2650,$L:$L)),0)</f>
        <v>-1.2135275423728813</v>
      </c>
      <c r="N2650" s="30">
        <f>IFERROR((VLOOKUP($A2650,HeadJournal!$A$1:$K$890,COLUMN(HeadJournal!K$1),0)-VLOOKUP($A2650,HeadJournal!$A$1:$K$890,COLUMN(HeadJournal!J$1),0))*($K2650+$L2650)/(SUMIF($A:$A,$A2650,$K:$K)+SUMIF($A:$A,$A2650,$L:$L)),0)</f>
        <v>0</v>
      </c>
      <c r="O2650" s="30">
        <f>IFERROR((VLOOKUP($A2650,HeadJournal!$A$1:$L$890,COLUMN(HeadJournal!L$1),0)*($K2650+$L2650)/(SUMIF($A:$A,$A2650,$K:$K)+SUMIF($A:$A,$A2650,$L:$L)))/VLOOKUP($A2650,HeadJournal!$A$1:$L$890,COLUMN(HeadJournal!H$1),0),0)</f>
        <v>1.2523974462075045</v>
      </c>
      <c r="P2650" s="30">
        <f>IFERROR(SUM(K2650:O2650)*VLOOKUP($A2650,HeadJournal!$A$1:$L$890,COLUMN(HeadJournal!H$1),0),0)</f>
        <v>2293.2796857344633</v>
      </c>
      <c r="Q2650" s="29">
        <v>2255.6</v>
      </c>
      <c r="R2650" s="31">
        <v>45320</v>
      </c>
      <c r="S2650" s="31" t="s">
        <v>3121</v>
      </c>
      <c r="T2650" s="95" t="str">
        <f t="shared" si="210"/>
        <v>2024 01</v>
      </c>
      <c r="U2650" s="32">
        <f t="shared" si="207"/>
        <v>-37.679685734463419</v>
      </c>
      <c r="V2650" s="22">
        <f t="shared" si="208"/>
        <v>-1.6430479879472631E-2</v>
      </c>
      <c r="X2650" s="33"/>
      <c r="Y2650" s="33"/>
    </row>
    <row r="2651" spans="1:25" x14ac:dyDescent="0.2">
      <c r="A2651" s="93" t="s">
        <v>1206</v>
      </c>
      <c r="B2651" s="94" t="str">
        <f>IFERROR(VLOOKUP($A2651,HeadJournal!$A$1:$NTR$890,COLUMN(HeadJournal!B$1),0),"")</f>
        <v>720000058933</v>
      </c>
      <c r="C2651" s="94" t="str">
        <f>IFERROR(VLOOKUP($A2651,HeadJournal!$A$1:$NTR$890,COLUMN(HeadJournal!C$1),0),"")</f>
        <v>iHerb_OA CZN6870</v>
      </c>
      <c r="D2651" s="125" t="str">
        <f>IFERROR(VLOOKUP($A2651,HeadJournal!$A$1:$NTR$890,COLUMN(HeadJournal!D$1),0),"")</f>
        <v>Доставлен</v>
      </c>
      <c r="E2651" s="95">
        <f>IFERROR(VLOOKUP($A2651,HeadJournal!$A$1:$NTR$890,COLUMN(HeadJournal!G$1),0),"")</f>
        <v>45280</v>
      </c>
      <c r="F2651" s="95" t="str">
        <f t="shared" si="209"/>
        <v>2023 12</v>
      </c>
      <c r="G2651" s="96" t="s">
        <v>5</v>
      </c>
      <c r="H2651" s="160" t="str">
        <f>RIGHT(Journal!$J2651,9)</f>
        <v>NOW-01792</v>
      </c>
      <c r="I2651" s="96" t="str">
        <f t="shared" si="211"/>
        <v>NOW Foods</v>
      </c>
      <c r="J2651" s="97" t="s">
        <v>1212</v>
      </c>
      <c r="K2651" s="29">
        <v>13.07</v>
      </c>
      <c r="L2651" s="29">
        <v>-2.61</v>
      </c>
      <c r="M2651" s="30">
        <f>IFERROR(VLOOKUP($A2651,HeadJournal!$A$1:$J$890,COLUMN(HeadJournal!I$1),0)*($K2651+$L2651)/(SUMIF($A:$A,$A2651,$K:$K)+SUMIF($A:$A,$A2651,$L:$L)),0)</f>
        <v>-0.56896002210759034</v>
      </c>
      <c r="N2651" s="30">
        <f>IFERROR((VLOOKUP($A2651,HeadJournal!$A$1:$K$890,COLUMN(HeadJournal!K$1),0)-VLOOKUP($A2651,HeadJournal!$A$1:$K$890,COLUMN(HeadJournal!J$1),0))*($K2651+$L2651)/(SUMIF($A:$A,$A2651,$K:$K)+SUMIF($A:$A,$A2651,$L:$L)),0)</f>
        <v>0</v>
      </c>
      <c r="O2651" s="30">
        <f>IFERROR((VLOOKUP($A2651,HeadJournal!$A$1:$L$890,COLUMN(HeadJournal!L$1),0)*($K2651+$L2651)/(SUMIF($A:$A,$A2651,$K:$K)+SUMIF($A:$A,$A2651,$L:$L)))/VLOOKUP($A2651,HeadJournal!$A$1:$L$890,COLUMN(HeadJournal!H$1),0),0)</f>
        <v>0.58718410073198113</v>
      </c>
      <c r="P2651" s="30">
        <f>IFERROR(SUM(K2651:O2651)*VLOOKUP($A2651,HeadJournal!$A$1:$L$890,COLUMN(HeadJournal!H$1),0),0)</f>
        <v>1075.199709223778</v>
      </c>
      <c r="Q2651" s="29">
        <v>1900</v>
      </c>
      <c r="R2651" s="31">
        <v>45334</v>
      </c>
      <c r="S2651" s="31" t="s">
        <v>3121</v>
      </c>
      <c r="T2651" s="95" t="str">
        <f t="shared" si="210"/>
        <v>2024 02</v>
      </c>
      <c r="U2651" s="32">
        <f t="shared" si="207"/>
        <v>824.80029077622203</v>
      </c>
      <c r="V2651" s="22">
        <f t="shared" si="208"/>
        <v>0.76711357313486672</v>
      </c>
      <c r="X2651" s="33"/>
      <c r="Y2651" s="33"/>
    </row>
    <row r="2652" spans="1:25" x14ac:dyDescent="0.2">
      <c r="A2652" s="93" t="s">
        <v>1206</v>
      </c>
      <c r="B2652" s="94" t="str">
        <f>IFERROR(VLOOKUP($A2652,HeadJournal!$A$1:$NTR$890,COLUMN(HeadJournal!B$1),0),"")</f>
        <v>720000058933</v>
      </c>
      <c r="C2652" s="94" t="str">
        <f>IFERROR(VLOOKUP($A2652,HeadJournal!$A$1:$NTR$890,COLUMN(HeadJournal!C$1),0),"")</f>
        <v>iHerb_OA CZN6870</v>
      </c>
      <c r="D2652" s="125" t="str">
        <f>IFERROR(VLOOKUP($A2652,HeadJournal!$A$1:$NTR$890,COLUMN(HeadJournal!D$1),0),"")</f>
        <v>Доставлен</v>
      </c>
      <c r="E2652" s="95">
        <f>IFERROR(VLOOKUP($A2652,HeadJournal!$A$1:$NTR$890,COLUMN(HeadJournal!G$1),0),"")</f>
        <v>45280</v>
      </c>
      <c r="F2652" s="95" t="str">
        <f t="shared" si="209"/>
        <v>2023 12</v>
      </c>
      <c r="G2652" s="96" t="s">
        <v>5</v>
      </c>
      <c r="H2652" s="160" t="str">
        <f>RIGHT(Journal!$J2652,9)</f>
        <v>CGN-00963</v>
      </c>
      <c r="I2652" s="96" t="str">
        <f t="shared" si="211"/>
        <v>California Gold Nutrition</v>
      </c>
      <c r="J2652" s="97" t="s">
        <v>1127</v>
      </c>
      <c r="K2652" s="29">
        <v>11.68</v>
      </c>
      <c r="L2652" s="29">
        <v>-3.5049999999999999</v>
      </c>
      <c r="M2652" s="30">
        <f>IFERROR(VLOOKUP($A2652,HeadJournal!$A$1:$J$890,COLUMN(HeadJournal!I$1),0)*($K2652+$L2652)/(SUMIF($A:$A,$A2652,$K:$K)+SUMIF($A:$A,$A2652,$L:$L)),0)</f>
        <v>-0.44466999815770086</v>
      </c>
      <c r="N2652" s="30">
        <f>IFERROR((VLOOKUP($A2652,HeadJournal!$A$1:$K$890,COLUMN(HeadJournal!K$1),0)-VLOOKUP($A2652,HeadJournal!$A$1:$K$890,COLUMN(HeadJournal!J$1),0))*($K2652+$L2652)/(SUMIF($A:$A,$A2652,$K:$K)+SUMIF($A:$A,$A2652,$L:$L)),0)</f>
        <v>0</v>
      </c>
      <c r="O2652" s="30">
        <f>IFERROR((VLOOKUP($A2652,HeadJournal!$A$1:$L$890,COLUMN(HeadJournal!L$1),0)*($K2652+$L2652)/(SUMIF($A:$A,$A2652,$K:$K)+SUMIF($A:$A,$A2652,$L:$L)))/VLOOKUP($A2652,HeadJournal!$A$1:$L$890,COLUMN(HeadJournal!H$1),0),0)</f>
        <v>0.45891300415716491</v>
      </c>
      <c r="P2652" s="30">
        <f>IFERROR(SUM(K2652:O2652)*VLOOKUP($A2652,HeadJournal!$A$1:$L$890,COLUMN(HeadJournal!H$1),0),0)</f>
        <v>840.32099645357414</v>
      </c>
      <c r="Q2652" s="29">
        <v>1600</v>
      </c>
      <c r="R2652" s="31">
        <v>45456</v>
      </c>
      <c r="S2652" s="31" t="s">
        <v>3121</v>
      </c>
      <c r="T2652" s="95" t="str">
        <f t="shared" si="210"/>
        <v>2024 06</v>
      </c>
      <c r="U2652" s="32">
        <f t="shared" si="207"/>
        <v>759.67900354642586</v>
      </c>
      <c r="V2652" s="22">
        <f t="shared" si="208"/>
        <v>0.90403429969323212</v>
      </c>
      <c r="X2652" s="33"/>
      <c r="Y2652" s="33"/>
    </row>
    <row r="2653" spans="1:25" x14ac:dyDescent="0.2">
      <c r="A2653" s="93" t="s">
        <v>1206</v>
      </c>
      <c r="B2653" s="94" t="str">
        <f>IFERROR(VLOOKUP($A2653,HeadJournal!$A$1:$NTR$890,COLUMN(HeadJournal!B$1),0),"")</f>
        <v>720000058933</v>
      </c>
      <c r="C2653" s="94" t="str">
        <f>IFERROR(VLOOKUP($A2653,HeadJournal!$A$1:$NTR$890,COLUMN(HeadJournal!C$1),0),"")</f>
        <v>iHerb_OA CZN6870</v>
      </c>
      <c r="D2653" s="125" t="str">
        <f>IFERROR(VLOOKUP($A2653,HeadJournal!$A$1:$NTR$890,COLUMN(HeadJournal!D$1),0),"")</f>
        <v>Доставлен</v>
      </c>
      <c r="E2653" s="95">
        <f>IFERROR(VLOOKUP($A2653,HeadJournal!$A$1:$NTR$890,COLUMN(HeadJournal!G$1),0),"")</f>
        <v>45280</v>
      </c>
      <c r="F2653" s="95" t="str">
        <f t="shared" si="209"/>
        <v>2023 12</v>
      </c>
      <c r="G2653" s="96" t="s">
        <v>5</v>
      </c>
      <c r="H2653" s="160" t="str">
        <f>RIGHT(Journal!$J2653,9)</f>
        <v>CGN-00963</v>
      </c>
      <c r="I2653" s="96" t="str">
        <f t="shared" si="211"/>
        <v>California Gold Nutrition</v>
      </c>
      <c r="J2653" s="97" t="s">
        <v>1127</v>
      </c>
      <c r="K2653" s="29">
        <v>11.68</v>
      </c>
      <c r="L2653" s="29">
        <v>-3.5049999999999999</v>
      </c>
      <c r="M2653" s="30">
        <f>IFERROR(VLOOKUP($A2653,HeadJournal!$A$1:$J$890,COLUMN(HeadJournal!I$1),0)*($K2653+$L2653)/(SUMIF($A:$A,$A2653,$K:$K)+SUMIF($A:$A,$A2653,$L:$L)),0)</f>
        <v>-0.44466999815770086</v>
      </c>
      <c r="N2653" s="30">
        <f>IFERROR((VLOOKUP($A2653,HeadJournal!$A$1:$K$890,COLUMN(HeadJournal!K$1),0)-VLOOKUP($A2653,HeadJournal!$A$1:$K$890,COLUMN(HeadJournal!J$1),0))*($K2653+$L2653)/(SUMIF($A:$A,$A2653,$K:$K)+SUMIF($A:$A,$A2653,$L:$L)),0)</f>
        <v>0</v>
      </c>
      <c r="O2653" s="30">
        <f>IFERROR((VLOOKUP($A2653,HeadJournal!$A$1:$L$890,COLUMN(HeadJournal!L$1),0)*($K2653+$L2653)/(SUMIF($A:$A,$A2653,$K:$K)+SUMIF($A:$A,$A2653,$L:$L)))/VLOOKUP($A2653,HeadJournal!$A$1:$L$890,COLUMN(HeadJournal!H$1),0),0)</f>
        <v>0.45891300415716491</v>
      </c>
      <c r="P2653" s="30">
        <f>IFERROR(SUM(K2653:O2653)*VLOOKUP($A2653,HeadJournal!$A$1:$L$890,COLUMN(HeadJournal!H$1),0),0)</f>
        <v>840.32099645357414</v>
      </c>
      <c r="Q2653" s="29">
        <v>1600</v>
      </c>
      <c r="R2653" s="31">
        <v>45727</v>
      </c>
      <c r="S2653" s="31" t="s">
        <v>3121</v>
      </c>
      <c r="T2653" s="95" t="str">
        <f t="shared" si="210"/>
        <v>2025 03</v>
      </c>
      <c r="U2653" s="32">
        <f t="shared" si="207"/>
        <v>759.67900354642586</v>
      </c>
      <c r="V2653" s="22">
        <f t="shared" si="208"/>
        <v>0.90403429969323212</v>
      </c>
      <c r="X2653" s="33"/>
      <c r="Y2653" s="33"/>
    </row>
    <row r="2654" spans="1:25" x14ac:dyDescent="0.2">
      <c r="A2654" s="93" t="s">
        <v>1206</v>
      </c>
      <c r="B2654" s="94" t="str">
        <f>IFERROR(VLOOKUP($A2654,HeadJournal!$A$1:$NTR$890,COLUMN(HeadJournal!B$1),0),"")</f>
        <v>720000058933</v>
      </c>
      <c r="C2654" s="94" t="str">
        <f>IFERROR(VLOOKUP($A2654,HeadJournal!$A$1:$NTR$890,COLUMN(HeadJournal!C$1),0),"")</f>
        <v>iHerb_OA CZN6870</v>
      </c>
      <c r="D2654" s="125" t="str">
        <f>IFERROR(VLOOKUP($A2654,HeadJournal!$A$1:$NTR$890,COLUMN(HeadJournal!D$1),0),"")</f>
        <v>Доставлен</v>
      </c>
      <c r="E2654" s="95">
        <f>IFERROR(VLOOKUP($A2654,HeadJournal!$A$1:$NTR$890,COLUMN(HeadJournal!G$1),0),"")</f>
        <v>45280</v>
      </c>
      <c r="F2654" s="95" t="str">
        <f t="shared" si="209"/>
        <v>2023 12</v>
      </c>
      <c r="G2654" s="96" t="s">
        <v>5</v>
      </c>
      <c r="H2654" s="161" t="s">
        <v>3998</v>
      </c>
      <c r="I2654" s="97" t="s">
        <v>2544</v>
      </c>
      <c r="J2654" s="97" t="s">
        <v>3999</v>
      </c>
      <c r="K2654" s="29">
        <v>26.44</v>
      </c>
      <c r="L2654" s="29">
        <v>-6.61</v>
      </c>
      <c r="M2654" s="30">
        <f>IFERROR(VLOOKUP($A2654,HeadJournal!$A$1:$J$890,COLUMN(HeadJournal!I$1),0)*($K2654+$L2654)/(SUMIF($A:$A,$A2654,$K:$K)+SUMIF($A:$A,$A2654,$L:$L)),0)</f>
        <v>-1.0786307111274873</v>
      </c>
      <c r="N2654" s="30">
        <f>IFERROR((VLOOKUP($A2654,HeadJournal!$A$1:$K$890,COLUMN(HeadJournal!K$1),0)-VLOOKUP($A2654,HeadJournal!$A$1:$K$890,COLUMN(HeadJournal!J$1),0))*($K2654+$L2654)/(SUMIF($A:$A,$A2654,$K:$K)+SUMIF($A:$A,$A2654,$L:$L)),0)</f>
        <v>0</v>
      </c>
      <c r="O2654" s="30">
        <f>IFERROR((VLOOKUP($A2654,HeadJournal!$A$1:$L$890,COLUMN(HeadJournal!L$1),0)*($K2654+$L2654)/(SUMIF($A:$A,$A2654,$K:$K)+SUMIF($A:$A,$A2654,$L:$L)))/VLOOKUP($A2654,HeadJournal!$A$1:$L$890,COLUMN(HeadJournal!H$1),0),0)</f>
        <v>1.1131798009096736</v>
      </c>
      <c r="P2654" s="30">
        <f>IFERROR(SUM(K2654:O2654)*VLOOKUP($A2654,HeadJournal!$A$1:$L$890,COLUMN(HeadJournal!H$1),0),0)</f>
        <v>2038.3566189204128</v>
      </c>
      <c r="Q2654" s="29"/>
      <c r="R2654" s="31"/>
      <c r="S2654" s="31"/>
      <c r="T2654" s="95" t="str">
        <f t="shared" si="210"/>
        <v/>
      </c>
      <c r="U2654" s="32">
        <f t="shared" si="207"/>
        <v>-2038.3566189204128</v>
      </c>
      <c r="V2654" s="22" t="str">
        <f t="shared" si="208"/>
        <v/>
      </c>
      <c r="X2654" s="33"/>
      <c r="Y2654" s="33"/>
    </row>
    <row r="2655" spans="1:25" x14ac:dyDescent="0.2">
      <c r="A2655" s="93" t="s">
        <v>1213</v>
      </c>
      <c r="B2655" s="94" t="str">
        <f>IFERROR(VLOOKUP($A2655,HeadJournal!$A$1:$NTR$890,COLUMN(HeadJournal!B$1),0),"")</f>
        <v>720000053678</v>
      </c>
      <c r="C2655" s="94" t="str">
        <f>IFERROR(VLOOKUP($A2655,HeadJournal!$A$1:$NTR$890,COLUMN(HeadJournal!C$1),0),"")</f>
        <v>iHerb_AV CYG0792</v>
      </c>
      <c r="D2655" s="125" t="str">
        <f>IFERROR(VLOOKUP($A2655,HeadJournal!$A$1:$NTR$890,COLUMN(HeadJournal!D$1),0),"")</f>
        <v>Доставлен</v>
      </c>
      <c r="E2655" s="95">
        <f>IFERROR(VLOOKUP($A2655,HeadJournal!$A$1:$NTR$890,COLUMN(HeadJournal!G$1),0),"")</f>
        <v>45276</v>
      </c>
      <c r="F2655" s="95" t="str">
        <f t="shared" si="209"/>
        <v>2023 12</v>
      </c>
      <c r="G2655" s="96" t="s">
        <v>6</v>
      </c>
      <c r="H2655" s="160" t="str">
        <f>RIGHT(Journal!$J2655,9)</f>
        <v>FOA-01906</v>
      </c>
      <c r="I2655" s="96" t="str">
        <f t="shared" si="211"/>
        <v>Force Factor</v>
      </c>
      <c r="J2655" s="97" t="s">
        <v>1075</v>
      </c>
      <c r="K2655" s="29">
        <v>22.79</v>
      </c>
      <c r="L2655" s="29">
        <v>-11.4</v>
      </c>
      <c r="M2655" s="30">
        <f>IFERROR(VLOOKUP($A2655,HeadJournal!$A$1:$J$890,COLUMN(HeadJournal!I$1),0)*($K2655+$L2655)/(SUMIF($A:$A,$A2655,$K:$K)+SUMIF($A:$A,$A2655,$L:$L)),0)</f>
        <v>-0.36054917550058901</v>
      </c>
      <c r="N2655" s="30">
        <f>IFERROR((VLOOKUP($A2655,HeadJournal!$A$1:$K$890,COLUMN(HeadJournal!K$1),0)-VLOOKUP($A2655,HeadJournal!$A$1:$K$890,COLUMN(HeadJournal!J$1),0))*($K2655+$L2655)/(SUMIF($A:$A,$A2655,$K:$K)+SUMIF($A:$A,$A2655,$L:$L)),0)</f>
        <v>4.7662436750927819E-15</v>
      </c>
      <c r="O2655" s="30">
        <f>IFERROR((VLOOKUP($A2655,HeadJournal!$A$1:$L$890,COLUMN(HeadJournal!L$1),0)*($K2655+$L2655)/(SUMIF($A:$A,$A2655,$K:$K)+SUMIF($A:$A,$A2655,$L:$L)))/VLOOKUP($A2655,HeadJournal!$A$1:$L$890,COLUMN(HeadJournal!H$1),0),0)</f>
        <v>0.38895389016964843</v>
      </c>
      <c r="P2655" s="30">
        <f>IFERROR(SUM(K2655:O2655)*VLOOKUP($A2655,HeadJournal!$A$1:$L$890,COLUMN(HeadJournal!H$1),0),0)</f>
        <v>1169.2219865282696</v>
      </c>
      <c r="Q2655" s="29">
        <v>2500</v>
      </c>
      <c r="R2655" s="31">
        <v>46094</v>
      </c>
      <c r="S2655" s="31"/>
      <c r="T2655" s="95" t="str">
        <f t="shared" si="210"/>
        <v>2026 03</v>
      </c>
      <c r="U2655" s="32">
        <f t="shared" si="207"/>
        <v>1330.7780134717304</v>
      </c>
      <c r="V2655" s="22">
        <f t="shared" si="208"/>
        <v>1.1381739556772821</v>
      </c>
      <c r="X2655" s="33"/>
      <c r="Y2655" s="33"/>
    </row>
    <row r="2656" spans="1:25" x14ac:dyDescent="0.2">
      <c r="A2656" s="93" t="s">
        <v>1213</v>
      </c>
      <c r="B2656" s="94" t="str">
        <f>IFERROR(VLOOKUP($A2656,HeadJournal!$A$1:$NTR$890,COLUMN(HeadJournal!B$1),0),"")</f>
        <v>720000053678</v>
      </c>
      <c r="C2656" s="94" t="str">
        <f>IFERROR(VLOOKUP($A2656,HeadJournal!$A$1:$NTR$890,COLUMN(HeadJournal!C$1),0),"")</f>
        <v>iHerb_AV CYG0792</v>
      </c>
      <c r="D2656" s="125" t="str">
        <f>IFERROR(VLOOKUP($A2656,HeadJournal!$A$1:$NTR$890,COLUMN(HeadJournal!D$1),0),"")</f>
        <v>Доставлен</v>
      </c>
      <c r="E2656" s="95">
        <f>IFERROR(VLOOKUP($A2656,HeadJournal!$A$1:$NTR$890,COLUMN(HeadJournal!G$1),0),"")</f>
        <v>45276</v>
      </c>
      <c r="F2656" s="95" t="str">
        <f t="shared" si="209"/>
        <v>2023 12</v>
      </c>
      <c r="G2656" s="96" t="s">
        <v>5</v>
      </c>
      <c r="H2656" s="161" t="s">
        <v>2642</v>
      </c>
      <c r="I2656" s="97" t="s">
        <v>2212</v>
      </c>
      <c r="J2656" s="97" t="s">
        <v>2643</v>
      </c>
      <c r="K2656" s="29">
        <v>24.98</v>
      </c>
      <c r="L2656" s="29">
        <v>-6.25</v>
      </c>
      <c r="M2656" s="30">
        <f>IFERROR(VLOOKUP($A2656,HeadJournal!$A$1:$J$890,COLUMN(HeadJournal!I$1),0)*($K2656+$L2656)/(SUMIF($A:$A,$A2656,$K:$K)+SUMIF($A:$A,$A2656,$L:$L)),0)</f>
        <v>-0.59289605418139013</v>
      </c>
      <c r="N2656" s="30">
        <f>IFERROR((VLOOKUP($A2656,HeadJournal!$A$1:$K$890,COLUMN(HeadJournal!K$1),0)-VLOOKUP($A2656,HeadJournal!$A$1:$K$890,COLUMN(HeadJournal!J$1),0))*($K2656+$L2656)/(SUMIF($A:$A,$A2656,$K:$K)+SUMIF($A:$A,$A2656,$L:$L)),0)</f>
        <v>7.8377299415704845E-15</v>
      </c>
      <c r="O2656" s="30">
        <f>IFERROR((VLOOKUP($A2656,HeadJournal!$A$1:$L$890,COLUMN(HeadJournal!L$1),0)*($K2656+$L2656)/(SUMIF($A:$A,$A2656,$K:$K)+SUMIF($A:$A,$A2656,$L:$L)))/VLOOKUP($A2656,HeadJournal!$A$1:$L$890,COLUMN(HeadJournal!H$1),0),0)</f>
        <v>0.63960547523068634</v>
      </c>
      <c r="P2656" s="30">
        <f>IFERROR(SUM(K2656:O2656)*VLOOKUP($A2656,HeadJournal!$A$1:$L$890,COLUMN(HeadJournal!H$1),0),0)</f>
        <v>1922.6977882067154</v>
      </c>
      <c r="Q2656" s="29">
        <v>3300</v>
      </c>
      <c r="R2656" s="31">
        <v>45530</v>
      </c>
      <c r="S2656" s="31" t="s">
        <v>3121</v>
      </c>
      <c r="T2656" s="95" t="str">
        <f t="shared" si="210"/>
        <v>2024 08</v>
      </c>
      <c r="U2656" s="32">
        <f t="shared" si="207"/>
        <v>1377.3022117932846</v>
      </c>
      <c r="V2656" s="22">
        <f t="shared" si="208"/>
        <v>0.71633837633832365</v>
      </c>
      <c r="X2656" s="33"/>
      <c r="Y2656" s="33"/>
    </row>
    <row r="2657" spans="1:25" x14ac:dyDescent="0.2">
      <c r="A2657" s="93" t="s">
        <v>1213</v>
      </c>
      <c r="B2657" s="94" t="str">
        <f>IFERROR(VLOOKUP($A2657,HeadJournal!$A$1:$NTR$890,COLUMN(HeadJournal!B$1),0),"")</f>
        <v>720000053678</v>
      </c>
      <c r="C2657" s="94" t="str">
        <f>IFERROR(VLOOKUP($A2657,HeadJournal!$A$1:$NTR$890,COLUMN(HeadJournal!C$1),0),"")</f>
        <v>iHerb_AV CYG0792</v>
      </c>
      <c r="D2657" s="125" t="str">
        <f>IFERROR(VLOOKUP($A2657,HeadJournal!$A$1:$NTR$890,COLUMN(HeadJournal!D$1),0),"")</f>
        <v>Доставлен</v>
      </c>
      <c r="E2657" s="95">
        <f>IFERROR(VLOOKUP($A2657,HeadJournal!$A$1:$NTR$890,COLUMN(HeadJournal!G$1),0),"")</f>
        <v>45276</v>
      </c>
      <c r="F2657" s="95" t="str">
        <f t="shared" si="209"/>
        <v>2023 12</v>
      </c>
      <c r="G2657" s="96" t="s">
        <v>5</v>
      </c>
      <c r="H2657" s="161" t="s">
        <v>2671</v>
      </c>
      <c r="I2657" s="97" t="s">
        <v>2569</v>
      </c>
      <c r="J2657" s="97" t="s">
        <v>2672</v>
      </c>
      <c r="K2657" s="29">
        <v>10.5</v>
      </c>
      <c r="L2657" s="29">
        <v>-2.625</v>
      </c>
      <c r="M2657" s="30">
        <f>IFERROR(VLOOKUP($A2657,HeadJournal!$A$1:$J$890,COLUMN(HeadJournal!I$1),0)*($K2657+$L2657)/(SUMIF($A:$A,$A2657,$K:$K)+SUMIF($A:$A,$A2657,$L:$L)),0)</f>
        <v>-0.2492822438162545</v>
      </c>
      <c r="N2657" s="30">
        <f>IFERROR((VLOOKUP($A2657,HeadJournal!$A$1:$K$890,COLUMN(HeadJournal!K$1),0)-VLOOKUP($A2657,HeadJournal!$A$1:$K$890,COLUMN(HeadJournal!J$1),0))*($K2657+$L2657)/(SUMIF($A:$A,$A2657,$K:$K)+SUMIF($A:$A,$A2657,$L:$L)),0)</f>
        <v>3.2953616278626568E-15</v>
      </c>
      <c r="O2657" s="30">
        <f>IFERROR((VLOOKUP($A2657,HeadJournal!$A$1:$L$890,COLUMN(HeadJournal!L$1),0)*($K2657+$L2657)/(SUMIF($A:$A,$A2657,$K:$K)+SUMIF($A:$A,$A2657,$L:$L)))/VLOOKUP($A2657,HeadJournal!$A$1:$L$890,COLUMN(HeadJournal!H$1),0),0)</f>
        <v>0.26892114882229873</v>
      </c>
      <c r="P2657" s="30">
        <f>IFERROR(SUM(K2657:O2657)*VLOOKUP($A2657,HeadJournal!$A$1:$L$890,COLUMN(HeadJournal!H$1),0),0)</f>
        <v>808.39535943021281</v>
      </c>
      <c r="Q2657" s="29">
        <v>1600</v>
      </c>
      <c r="R2657" s="31">
        <v>45449</v>
      </c>
      <c r="S2657" s="31" t="s">
        <v>3121</v>
      </c>
      <c r="T2657" s="95" t="str">
        <f t="shared" si="210"/>
        <v>2024 06</v>
      </c>
      <c r="U2657" s="32">
        <f t="shared" si="207"/>
        <v>791.60464056978719</v>
      </c>
      <c r="V2657" s="22">
        <f t="shared" si="208"/>
        <v>0.9792295704514431</v>
      </c>
      <c r="X2657" s="33"/>
      <c r="Y2657" s="33"/>
    </row>
    <row r="2658" spans="1:25" x14ac:dyDescent="0.2">
      <c r="A2658" s="93" t="s">
        <v>1213</v>
      </c>
      <c r="B2658" s="94" t="str">
        <f>IFERROR(VLOOKUP($A2658,HeadJournal!$A$1:$NTR$890,COLUMN(HeadJournal!B$1),0),"")</f>
        <v>720000053678</v>
      </c>
      <c r="C2658" s="94" t="str">
        <f>IFERROR(VLOOKUP($A2658,HeadJournal!$A$1:$NTR$890,COLUMN(HeadJournal!C$1),0),"")</f>
        <v>iHerb_AV CYG0792</v>
      </c>
      <c r="D2658" s="125" t="str">
        <f>IFERROR(VLOOKUP($A2658,HeadJournal!$A$1:$NTR$890,COLUMN(HeadJournal!D$1),0),"")</f>
        <v>Доставлен</v>
      </c>
      <c r="E2658" s="95">
        <f>IFERROR(VLOOKUP($A2658,HeadJournal!$A$1:$NTR$890,COLUMN(HeadJournal!G$1),0),"")</f>
        <v>45276</v>
      </c>
      <c r="F2658" s="95" t="str">
        <f t="shared" si="209"/>
        <v>2023 12</v>
      </c>
      <c r="G2658" s="96" t="s">
        <v>5</v>
      </c>
      <c r="H2658" s="161" t="s">
        <v>2671</v>
      </c>
      <c r="I2658" s="97" t="s">
        <v>2569</v>
      </c>
      <c r="J2658" s="97" t="s">
        <v>2672</v>
      </c>
      <c r="K2658" s="29">
        <v>10.5</v>
      </c>
      <c r="L2658" s="29">
        <v>-2.625</v>
      </c>
      <c r="M2658" s="30">
        <f>IFERROR(VLOOKUP($A2658,HeadJournal!$A$1:$J$890,COLUMN(HeadJournal!I$1),0)*($K2658+$L2658)/(SUMIF($A:$A,$A2658,$K:$K)+SUMIF($A:$A,$A2658,$L:$L)),0)</f>
        <v>-0.2492822438162545</v>
      </c>
      <c r="N2658" s="30">
        <f>IFERROR((VLOOKUP($A2658,HeadJournal!$A$1:$K$890,COLUMN(HeadJournal!K$1),0)-VLOOKUP($A2658,HeadJournal!$A$1:$K$890,COLUMN(HeadJournal!J$1),0))*($K2658+$L2658)/(SUMIF($A:$A,$A2658,$K:$K)+SUMIF($A:$A,$A2658,$L:$L)),0)</f>
        <v>3.2953616278626568E-15</v>
      </c>
      <c r="O2658" s="30">
        <f>IFERROR((VLOOKUP($A2658,HeadJournal!$A$1:$L$890,COLUMN(HeadJournal!L$1),0)*($K2658+$L2658)/(SUMIF($A:$A,$A2658,$K:$K)+SUMIF($A:$A,$A2658,$L:$L)))/VLOOKUP($A2658,HeadJournal!$A$1:$L$890,COLUMN(HeadJournal!H$1),0),0)</f>
        <v>0.26892114882229873</v>
      </c>
      <c r="P2658" s="30">
        <f>IFERROR(SUM(K2658:O2658)*VLOOKUP($A2658,HeadJournal!$A$1:$L$890,COLUMN(HeadJournal!H$1),0),0)</f>
        <v>808.39535943021281</v>
      </c>
      <c r="Q2658" s="29">
        <v>1600</v>
      </c>
      <c r="R2658" s="31">
        <v>45507</v>
      </c>
      <c r="S2658" s="31" t="s">
        <v>3121</v>
      </c>
      <c r="T2658" s="95" t="str">
        <f t="shared" si="210"/>
        <v>2024 08</v>
      </c>
      <c r="U2658" s="32">
        <f t="shared" si="207"/>
        <v>791.60464056978719</v>
      </c>
      <c r="V2658" s="22">
        <f t="shared" si="208"/>
        <v>0.9792295704514431</v>
      </c>
      <c r="X2658" s="33"/>
      <c r="Y2658" s="33"/>
    </row>
    <row r="2659" spans="1:25" x14ac:dyDescent="0.2">
      <c r="A2659" s="93" t="s">
        <v>1213</v>
      </c>
      <c r="B2659" s="94" t="str">
        <f>IFERROR(VLOOKUP($A2659,HeadJournal!$A$1:$NTR$890,COLUMN(HeadJournal!B$1),0),"")</f>
        <v>720000053678</v>
      </c>
      <c r="C2659" s="94" t="str">
        <f>IFERROR(VLOOKUP($A2659,HeadJournal!$A$1:$NTR$890,COLUMN(HeadJournal!C$1),0),"")</f>
        <v>iHerb_AV CYG0792</v>
      </c>
      <c r="D2659" s="125" t="str">
        <f>IFERROR(VLOOKUP($A2659,HeadJournal!$A$1:$NTR$890,COLUMN(HeadJournal!D$1),0),"")</f>
        <v>Доставлен</v>
      </c>
      <c r="E2659" s="95">
        <f>IFERROR(VLOOKUP($A2659,HeadJournal!$A$1:$NTR$890,COLUMN(HeadJournal!G$1),0),"")</f>
        <v>45276</v>
      </c>
      <c r="F2659" s="95" t="str">
        <f t="shared" si="209"/>
        <v>2023 12</v>
      </c>
      <c r="G2659" s="96" t="s">
        <v>5</v>
      </c>
      <c r="H2659" s="161" t="s">
        <v>2211</v>
      </c>
      <c r="I2659" s="97" t="s">
        <v>2212</v>
      </c>
      <c r="J2659" s="97" t="s">
        <v>2213</v>
      </c>
      <c r="K2659" s="29">
        <v>29.75</v>
      </c>
      <c r="L2659" s="29">
        <v>-8.9250000000000007</v>
      </c>
      <c r="M2659" s="30">
        <f>IFERROR(VLOOKUP($A2659,HeadJournal!$A$1:$J$890,COLUMN(HeadJournal!I$1),0)*($K2659+$L2659)/(SUMIF($A:$A,$A2659,$K:$K)+SUMIF($A:$A,$A2659,$L:$L)),0)</f>
        <v>-0.6592130447585397</v>
      </c>
      <c r="N2659" s="30">
        <f>IFERROR((VLOOKUP($A2659,HeadJournal!$A$1:$K$890,COLUMN(HeadJournal!K$1),0)-VLOOKUP($A2659,HeadJournal!$A$1:$K$890,COLUMN(HeadJournal!J$1),0))*($K2659+$L2659)/(SUMIF($A:$A,$A2659,$K:$K)+SUMIF($A:$A,$A2659,$L:$L)),0)</f>
        <v>8.7144007492368035E-15</v>
      </c>
      <c r="O2659" s="30">
        <f>IFERROR((VLOOKUP($A2659,HeadJournal!$A$1:$L$890,COLUMN(HeadJournal!L$1),0)*($K2659+$L2659)/(SUMIF($A:$A,$A2659,$K:$K)+SUMIF($A:$A,$A2659,$L:$L)))/VLOOKUP($A2659,HeadJournal!$A$1:$L$890,COLUMN(HeadJournal!H$1),0),0)</f>
        <v>0.7111470379967455</v>
      </c>
      <c r="P2659" s="30">
        <f>IFERROR(SUM(K2659:O2659)*VLOOKUP($A2659,HeadJournal!$A$1:$L$890,COLUMN(HeadJournal!H$1),0),0)</f>
        <v>2137.7566171598955</v>
      </c>
      <c r="Q2659" s="29">
        <v>3400</v>
      </c>
      <c r="R2659" s="31">
        <v>45489</v>
      </c>
      <c r="S2659" s="31" t="s">
        <v>3121</v>
      </c>
      <c r="T2659" s="95" t="str">
        <f t="shared" si="210"/>
        <v>2024 07</v>
      </c>
      <c r="U2659" s="32">
        <f t="shared" si="207"/>
        <v>1262.2433828401045</v>
      </c>
      <c r="V2659" s="22">
        <f t="shared" si="208"/>
        <v>0.59045233339848147</v>
      </c>
      <c r="X2659" s="33"/>
      <c r="Y2659" s="33"/>
    </row>
    <row r="2660" spans="1:25" x14ac:dyDescent="0.2">
      <c r="A2660" s="93" t="s">
        <v>1213</v>
      </c>
      <c r="B2660" s="94" t="str">
        <f>IFERROR(VLOOKUP($A2660,HeadJournal!$A$1:$NTR$890,COLUMN(HeadJournal!B$1),0),"")</f>
        <v>720000053678</v>
      </c>
      <c r="C2660" s="94" t="str">
        <f>IFERROR(VLOOKUP($A2660,HeadJournal!$A$1:$NTR$890,COLUMN(HeadJournal!C$1),0),"")</f>
        <v>iHerb_AV CYG0792</v>
      </c>
      <c r="D2660" s="125" t="str">
        <f>IFERROR(VLOOKUP($A2660,HeadJournal!$A$1:$NTR$890,COLUMN(HeadJournal!D$1),0),"")</f>
        <v>Доставлен</v>
      </c>
      <c r="E2660" s="95">
        <f>IFERROR(VLOOKUP($A2660,HeadJournal!$A$1:$NTR$890,COLUMN(HeadJournal!G$1),0),"")</f>
        <v>45276</v>
      </c>
      <c r="F2660" s="95" t="str">
        <f t="shared" si="209"/>
        <v>2023 12</v>
      </c>
      <c r="G2660" s="96" t="s">
        <v>5</v>
      </c>
      <c r="H2660" s="161" t="s">
        <v>2211</v>
      </c>
      <c r="I2660" s="97" t="s">
        <v>2212</v>
      </c>
      <c r="J2660" s="97" t="s">
        <v>2213</v>
      </c>
      <c r="K2660" s="29">
        <v>29.75</v>
      </c>
      <c r="L2660" s="29">
        <v>-8.9250000000000007</v>
      </c>
      <c r="M2660" s="30">
        <f>IFERROR(VLOOKUP($A2660,HeadJournal!$A$1:$J$890,COLUMN(HeadJournal!I$1),0)*($K2660+$L2660)/(SUMIF($A:$A,$A2660,$K:$K)+SUMIF($A:$A,$A2660,$L:$L)),0)</f>
        <v>-0.6592130447585397</v>
      </c>
      <c r="N2660" s="30">
        <f>IFERROR((VLOOKUP($A2660,HeadJournal!$A$1:$K$890,COLUMN(HeadJournal!K$1),0)-VLOOKUP($A2660,HeadJournal!$A$1:$K$890,COLUMN(HeadJournal!J$1),0))*($K2660+$L2660)/(SUMIF($A:$A,$A2660,$K:$K)+SUMIF($A:$A,$A2660,$L:$L)),0)</f>
        <v>8.7144007492368035E-15</v>
      </c>
      <c r="O2660" s="30">
        <f>IFERROR((VLOOKUP($A2660,HeadJournal!$A$1:$L$890,COLUMN(HeadJournal!L$1),0)*($K2660+$L2660)/(SUMIF($A:$A,$A2660,$K:$K)+SUMIF($A:$A,$A2660,$L:$L)))/VLOOKUP($A2660,HeadJournal!$A$1:$L$890,COLUMN(HeadJournal!H$1),0),0)</f>
        <v>0.7111470379967455</v>
      </c>
      <c r="P2660" s="30">
        <f>IFERROR(SUM(K2660:O2660)*VLOOKUP($A2660,HeadJournal!$A$1:$L$890,COLUMN(HeadJournal!H$1),0),0)</f>
        <v>2137.7566171598955</v>
      </c>
      <c r="Q2660" s="29">
        <v>3400</v>
      </c>
      <c r="R2660" s="31">
        <v>45489</v>
      </c>
      <c r="S2660" s="31" t="s">
        <v>3121</v>
      </c>
      <c r="T2660" s="95" t="str">
        <f t="shared" si="210"/>
        <v>2024 07</v>
      </c>
      <c r="U2660" s="32">
        <f t="shared" si="207"/>
        <v>1262.2433828401045</v>
      </c>
      <c r="V2660" s="22">
        <f t="shared" si="208"/>
        <v>0.59045233339848147</v>
      </c>
      <c r="X2660" s="33"/>
      <c r="Y2660" s="33"/>
    </row>
    <row r="2661" spans="1:25" x14ac:dyDescent="0.2">
      <c r="A2661" s="93" t="s">
        <v>1213</v>
      </c>
      <c r="B2661" s="94" t="str">
        <f>IFERROR(VLOOKUP($A2661,HeadJournal!$A$1:$NTR$890,COLUMN(HeadJournal!B$1),0),"")</f>
        <v>720000053678</v>
      </c>
      <c r="C2661" s="94" t="str">
        <f>IFERROR(VLOOKUP($A2661,HeadJournal!$A$1:$NTR$890,COLUMN(HeadJournal!C$1),0),"")</f>
        <v>iHerb_AV CYG0792</v>
      </c>
      <c r="D2661" s="125" t="str">
        <f>IFERROR(VLOOKUP($A2661,HeadJournal!$A$1:$NTR$890,COLUMN(HeadJournal!D$1),0),"")</f>
        <v>Доставлен</v>
      </c>
      <c r="E2661" s="95">
        <f>IFERROR(VLOOKUP($A2661,HeadJournal!$A$1:$NTR$890,COLUMN(HeadJournal!G$1),0),"")</f>
        <v>45276</v>
      </c>
      <c r="F2661" s="95" t="str">
        <f t="shared" si="209"/>
        <v>2023 12</v>
      </c>
      <c r="G2661" s="96" t="s">
        <v>7</v>
      </c>
      <c r="H2661" s="160" t="str">
        <f>RIGHT(Journal!$J2661,9)</f>
        <v>WNW-58000</v>
      </c>
      <c r="I2661" s="96" t="str">
        <f t="shared" si="211"/>
        <v>wet n wild</v>
      </c>
      <c r="J2661" s="97" t="s">
        <v>1214</v>
      </c>
      <c r="K2661" s="29">
        <v>5.99</v>
      </c>
      <c r="L2661" s="29">
        <v>-1.2</v>
      </c>
      <c r="M2661" s="30">
        <f>IFERROR(VLOOKUP($A2661,HeadJournal!$A$1:$J$890,COLUMN(HeadJournal!I$1),0)*($K2661+$L2661)/(SUMIF($A:$A,$A2661,$K:$K)+SUMIF($A:$A,$A2661,$L:$L)),0)</f>
        <v>-0.15162691401649003</v>
      </c>
      <c r="N2661" s="30">
        <f>IFERROR((VLOOKUP($A2661,HeadJournal!$A$1:$K$890,COLUMN(HeadJournal!K$1),0)-VLOOKUP($A2661,HeadJournal!$A$1:$K$890,COLUMN(HeadJournal!J$1),0))*($K2661+$L2661)/(SUMIF($A:$A,$A2661,$K:$K)+SUMIF($A:$A,$A2661,$L:$L)),0)</f>
        <v>2.0044167869793176E-15</v>
      </c>
      <c r="O2661" s="30">
        <f>IFERROR((VLOOKUP($A2661,HeadJournal!$A$1:$L$890,COLUMN(HeadJournal!L$1),0)*($K2661+$L2661)/(SUMIF($A:$A,$A2661,$K:$K)+SUMIF($A:$A,$A2661,$L:$L)))/VLOOKUP($A2661,HeadJournal!$A$1:$L$890,COLUMN(HeadJournal!H$1),0),0)</f>
        <v>0.16357235591857916</v>
      </c>
      <c r="P2661" s="30">
        <f>IFERROR(SUM(K2661:O2661)*VLOOKUP($A2661,HeadJournal!$A$1:$L$890,COLUMN(HeadJournal!H$1),0),0)</f>
        <v>491.7096852915198</v>
      </c>
      <c r="Q2661" s="29"/>
      <c r="R2661" s="31"/>
      <c r="S2661" s="31"/>
      <c r="T2661" s="95" t="str">
        <f t="shared" si="210"/>
        <v/>
      </c>
      <c r="U2661" s="32">
        <f t="shared" si="207"/>
        <v>-491.7096852915198</v>
      </c>
      <c r="V2661" s="22" t="str">
        <f t="shared" si="208"/>
        <v/>
      </c>
      <c r="X2661" s="33"/>
      <c r="Y2661" s="33"/>
    </row>
    <row r="2662" spans="1:25" x14ac:dyDescent="0.2">
      <c r="A2662" s="93" t="s">
        <v>1213</v>
      </c>
      <c r="B2662" s="94" t="str">
        <f>IFERROR(VLOOKUP($A2662,HeadJournal!$A$1:$NTR$890,COLUMN(HeadJournal!B$1),0),"")</f>
        <v>720000053678</v>
      </c>
      <c r="C2662" s="94" t="str">
        <f>IFERROR(VLOOKUP($A2662,HeadJournal!$A$1:$NTR$890,COLUMN(HeadJournal!C$1),0),"")</f>
        <v>iHerb_AV CYG0792</v>
      </c>
      <c r="D2662" s="125" t="str">
        <f>IFERROR(VLOOKUP($A2662,HeadJournal!$A$1:$NTR$890,COLUMN(HeadJournal!D$1),0),"")</f>
        <v>Доставлен</v>
      </c>
      <c r="E2662" s="95">
        <f>IFERROR(VLOOKUP($A2662,HeadJournal!$A$1:$NTR$890,COLUMN(HeadJournal!G$1),0),"")</f>
        <v>45276</v>
      </c>
      <c r="F2662" s="95" t="str">
        <f t="shared" si="209"/>
        <v>2023 12</v>
      </c>
      <c r="G2662" s="96" t="s">
        <v>5</v>
      </c>
      <c r="H2662" s="160" t="str">
        <f>RIGHT(Journal!$J2662,9)</f>
        <v>CVR-13129</v>
      </c>
      <c r="I2662" s="96" t="str">
        <f t="shared" si="211"/>
        <v>Ecological Formulas</v>
      </c>
      <c r="J2662" s="97" t="s">
        <v>1215</v>
      </c>
      <c r="K2662" s="29">
        <v>28.53</v>
      </c>
      <c r="L2662" s="29">
        <v>-2.85</v>
      </c>
      <c r="M2662" s="30">
        <f>IFERROR(VLOOKUP($A2662,HeadJournal!$A$1:$J$890,COLUMN(HeadJournal!I$1),0)*($K2662+$L2662)/(SUMIF($A:$A,$A2662,$K:$K)+SUMIF($A:$A,$A2662,$L:$L)),0)</f>
        <v>-0.81289752650176705</v>
      </c>
      <c r="N2662" s="30">
        <f>IFERROR((VLOOKUP($A2662,HeadJournal!$A$1:$K$890,COLUMN(HeadJournal!K$1),0)-VLOOKUP($A2662,HeadJournal!$A$1:$K$890,COLUMN(HeadJournal!J$1),0))*($K2662+$L2662)/(SUMIF($A:$A,$A2662,$K:$K)+SUMIF($A:$A,$A2662,$L:$L)),0)</f>
        <v>1.0746017346477844E-14</v>
      </c>
      <c r="O2662" s="30">
        <f>IFERROR((VLOOKUP($A2662,HeadJournal!$A$1:$L$890,COLUMN(HeadJournal!L$1),0)*($K2662+$L2662)/(SUMIF($A:$A,$A2662,$K:$K)+SUMIF($A:$A,$A2662,$L:$L)))/VLOOKUP($A2662,HeadJournal!$A$1:$L$890,COLUMN(HeadJournal!H$1),0),0)</f>
        <v>0.87693906054052451</v>
      </c>
      <c r="P2662" s="30">
        <f>IFERROR(SUM(K2662:O2662)*VLOOKUP($A2662,HeadJournal!$A$1:$L$890,COLUMN(HeadJournal!H$1),0),0)</f>
        <v>2636.1387720848079</v>
      </c>
      <c r="Q2662" s="29">
        <v>3400</v>
      </c>
      <c r="R2662" s="31">
        <v>45310</v>
      </c>
      <c r="S2662" s="31" t="s">
        <v>3121</v>
      </c>
      <c r="T2662" s="95" t="str">
        <f t="shared" si="210"/>
        <v>2024 01</v>
      </c>
      <c r="U2662" s="32">
        <f t="shared" si="207"/>
        <v>763.8612279151921</v>
      </c>
      <c r="V2662" s="22">
        <f t="shared" si="208"/>
        <v>0.28976518080309077</v>
      </c>
      <c r="X2662" s="33"/>
      <c r="Y2662" s="33"/>
    </row>
    <row r="2663" spans="1:25" x14ac:dyDescent="0.2">
      <c r="A2663" s="93" t="s">
        <v>1213</v>
      </c>
      <c r="B2663" s="94" t="str">
        <f>IFERROR(VLOOKUP($A2663,HeadJournal!$A$1:$NTR$890,COLUMN(HeadJournal!B$1),0),"")</f>
        <v>720000053678</v>
      </c>
      <c r="C2663" s="94" t="str">
        <f>IFERROR(VLOOKUP($A2663,HeadJournal!$A$1:$NTR$890,COLUMN(HeadJournal!C$1),0),"")</f>
        <v>iHerb_AV CYG0792</v>
      </c>
      <c r="D2663" s="125" t="str">
        <f>IFERROR(VLOOKUP($A2663,HeadJournal!$A$1:$NTR$890,COLUMN(HeadJournal!D$1),0),"")</f>
        <v>Доставлен</v>
      </c>
      <c r="E2663" s="95">
        <f>IFERROR(VLOOKUP($A2663,HeadJournal!$A$1:$NTR$890,COLUMN(HeadJournal!G$1),0),"")</f>
        <v>45276</v>
      </c>
      <c r="F2663" s="95" t="str">
        <f t="shared" si="209"/>
        <v>2023 12</v>
      </c>
      <c r="G2663" s="96" t="s">
        <v>5</v>
      </c>
      <c r="H2663" s="160" t="str">
        <f>RIGHT(Journal!$J2663,9)</f>
        <v>CVR-13077</v>
      </c>
      <c r="I2663" s="96" t="str">
        <f t="shared" si="211"/>
        <v>Ecological Formulas</v>
      </c>
      <c r="J2663" s="97" t="s">
        <v>1216</v>
      </c>
      <c r="K2663" s="29">
        <v>39.090000000000003</v>
      </c>
      <c r="L2663" s="29">
        <v>-3.91</v>
      </c>
      <c r="M2663" s="30">
        <f>IFERROR(VLOOKUP($A2663,HeadJournal!$A$1:$J$890,COLUMN(HeadJournal!I$1),0)*($K2663+$L2663)/(SUMIF($A:$A,$A2663,$K:$K)+SUMIF($A:$A,$A2663,$L:$L)),0)</f>
        <v>-1.1136189634864553</v>
      </c>
      <c r="N2663" s="30">
        <f>IFERROR((VLOOKUP($A2663,HeadJournal!$A$1:$K$890,COLUMN(HeadJournal!K$1),0)-VLOOKUP($A2663,HeadJournal!$A$1:$K$890,COLUMN(HeadJournal!J$1),0))*($K2663+$L2663)/(SUMIF($A:$A,$A2663,$K:$K)+SUMIF($A:$A,$A2663,$L:$L)),0)</f>
        <v>1.4721374230883593E-14</v>
      </c>
      <c r="O2663" s="30">
        <f>IFERROR((VLOOKUP($A2663,HeadJournal!$A$1:$L$890,COLUMN(HeadJournal!L$1),0)*($K2663+$L2663)/(SUMIF($A:$A,$A2663,$K:$K)+SUMIF($A:$A,$A2663,$L:$L)))/VLOOKUP($A2663,HeadJournal!$A$1:$L$890,COLUMN(HeadJournal!H$1),0),0)</f>
        <v>1.2013518749928216</v>
      </c>
      <c r="P2663" s="30">
        <f>IFERROR(SUM(K2663:O2663)*VLOOKUP($A2663,HeadJournal!$A$1:$L$890,COLUMN(HeadJournal!H$1),0),0)</f>
        <v>3611.3458723498275</v>
      </c>
      <c r="Q2663" s="29">
        <v>4500</v>
      </c>
      <c r="R2663" s="31">
        <v>45310</v>
      </c>
      <c r="S2663" s="31" t="s">
        <v>3121</v>
      </c>
      <c r="T2663" s="95" t="str">
        <f t="shared" si="210"/>
        <v>2024 01</v>
      </c>
      <c r="U2663" s="32">
        <f t="shared" si="207"/>
        <v>888.65412765017254</v>
      </c>
      <c r="V2663" s="22">
        <f t="shared" si="208"/>
        <v>0.2460728379561008</v>
      </c>
      <c r="X2663" s="33"/>
      <c r="Y2663" s="33"/>
    </row>
    <row r="2664" spans="1:25" x14ac:dyDescent="0.2">
      <c r="A2664" s="93" t="s">
        <v>1213</v>
      </c>
      <c r="B2664" s="94" t="str">
        <f>IFERROR(VLOOKUP($A2664,HeadJournal!$A$1:$NTR$890,COLUMN(HeadJournal!B$1),0),"")</f>
        <v>720000053678</v>
      </c>
      <c r="C2664" s="94" t="str">
        <f>IFERROR(VLOOKUP($A2664,HeadJournal!$A$1:$NTR$890,COLUMN(HeadJournal!C$1),0),"")</f>
        <v>iHerb_AV CYG0792</v>
      </c>
      <c r="D2664" s="125" t="str">
        <f>IFERROR(VLOOKUP($A2664,HeadJournal!$A$1:$NTR$890,COLUMN(HeadJournal!D$1),0),"")</f>
        <v>Доставлен</v>
      </c>
      <c r="E2664" s="95">
        <f>IFERROR(VLOOKUP($A2664,HeadJournal!$A$1:$NTR$890,COLUMN(HeadJournal!G$1),0),"")</f>
        <v>45276</v>
      </c>
      <c r="F2664" s="95" t="str">
        <f t="shared" si="209"/>
        <v>2023 12</v>
      </c>
      <c r="G2664" s="96" t="s">
        <v>5</v>
      </c>
      <c r="H2664" s="160" t="str">
        <f>RIGHT(Journal!$J2664,9)</f>
        <v>THR-80303</v>
      </c>
      <c r="I2664" s="96" t="str">
        <f t="shared" si="211"/>
        <v>Thorne</v>
      </c>
      <c r="J2664" s="97" t="s">
        <v>1217</v>
      </c>
      <c r="K2664" s="29">
        <v>16</v>
      </c>
      <c r="L2664" s="29">
        <v>-1.6</v>
      </c>
      <c r="M2664" s="30">
        <f>IFERROR(VLOOKUP($A2664,HeadJournal!$A$1:$J$890,COLUMN(HeadJournal!I$1),0)*($K2664+$L2664)/(SUMIF($A:$A,$A2664,$K:$K)+SUMIF($A:$A,$A2664,$L:$L)),0)</f>
        <v>-0.45583038869257969</v>
      </c>
      <c r="N2664" s="30">
        <f>IFERROR((VLOOKUP($A2664,HeadJournal!$A$1:$K$890,COLUMN(HeadJournal!K$1),0)-VLOOKUP($A2664,HeadJournal!$A$1:$K$890,COLUMN(HeadJournal!J$1),0))*($K2664+$L2664)/(SUMIF($A:$A,$A2664,$K:$K)+SUMIF($A:$A,$A2664,$L:$L)),0)</f>
        <v>6.0258041195202868E-15</v>
      </c>
      <c r="O2664" s="30">
        <f>IFERROR((VLOOKUP($A2664,HeadJournal!$A$1:$L$890,COLUMN(HeadJournal!L$1),0)*($K2664+$L2664)/(SUMIF($A:$A,$A2664,$K:$K)+SUMIF($A:$A,$A2664,$L:$L)))/VLOOKUP($A2664,HeadJournal!$A$1:$L$890,COLUMN(HeadJournal!H$1),0),0)</f>
        <v>0.49174152927506048</v>
      </c>
      <c r="P2664" s="30">
        <f>IFERROR(SUM(K2664:O2664)*VLOOKUP($A2664,HeadJournal!$A$1:$L$890,COLUMN(HeadJournal!H$1),0),0)</f>
        <v>1478.2086572438175</v>
      </c>
      <c r="Q2664" s="29">
        <v>2100</v>
      </c>
      <c r="R2664" s="31">
        <v>45310</v>
      </c>
      <c r="S2664" s="31" t="s">
        <v>3121</v>
      </c>
      <c r="T2664" s="95" t="str">
        <f t="shared" si="210"/>
        <v>2024 01</v>
      </c>
      <c r="U2664" s="32">
        <f t="shared" si="207"/>
        <v>621.79134275618253</v>
      </c>
      <c r="V2664" s="22">
        <f t="shared" si="208"/>
        <v>0.42063841238458094</v>
      </c>
      <c r="X2664" s="33"/>
      <c r="Y2664" s="33"/>
    </row>
    <row r="2665" spans="1:25" x14ac:dyDescent="0.2">
      <c r="A2665" s="93" t="s">
        <v>1213</v>
      </c>
      <c r="B2665" s="94" t="str">
        <f>IFERROR(VLOOKUP($A2665,HeadJournal!$A$1:$NTR$890,COLUMN(HeadJournal!B$1),0),"")</f>
        <v>720000053678</v>
      </c>
      <c r="C2665" s="94" t="str">
        <f>IFERROR(VLOOKUP($A2665,HeadJournal!$A$1:$NTR$890,COLUMN(HeadJournal!C$1),0),"")</f>
        <v>iHerb_AV CYG0792</v>
      </c>
      <c r="D2665" s="125" t="str">
        <f>IFERROR(VLOOKUP($A2665,HeadJournal!$A$1:$NTR$890,COLUMN(HeadJournal!D$1),0),"")</f>
        <v>Доставлен</v>
      </c>
      <c r="E2665" s="95">
        <f>IFERROR(VLOOKUP($A2665,HeadJournal!$A$1:$NTR$890,COLUMN(HeadJournal!G$1),0),"")</f>
        <v>45276</v>
      </c>
      <c r="F2665" s="95" t="str">
        <f t="shared" si="209"/>
        <v>2023 12</v>
      </c>
      <c r="G2665" s="96" t="s">
        <v>5</v>
      </c>
      <c r="H2665" s="160" t="str">
        <f>RIGHT(Journal!$J2665,9)</f>
        <v>SNS-00678</v>
      </c>
      <c r="I2665" s="96" t="str">
        <f t="shared" si="211"/>
        <v>Source Naturals</v>
      </c>
      <c r="J2665" s="97" t="s">
        <v>1218</v>
      </c>
      <c r="K2665" s="29">
        <v>17.97</v>
      </c>
      <c r="L2665" s="29">
        <v>-1.8</v>
      </c>
      <c r="M2665" s="30">
        <f>IFERROR(VLOOKUP($A2665,HeadJournal!$A$1:$J$890,COLUMN(HeadJournal!I$1),0)*($K2665+$L2665)/(SUMIF($A:$A,$A2665,$K:$K)+SUMIF($A:$A,$A2665,$L:$L)),0)</f>
        <v>-0.51185954063604255</v>
      </c>
      <c r="N2665" s="30">
        <f>IFERROR((VLOOKUP($A2665,HeadJournal!$A$1:$K$890,COLUMN(HeadJournal!K$1),0)-VLOOKUP($A2665,HeadJournal!$A$1:$K$890,COLUMN(HeadJournal!J$1),0))*($K2665+$L2665)/(SUMIF($A:$A,$A2665,$K:$K)+SUMIF($A:$A,$A2665,$L:$L)),0)</f>
        <v>6.7664758758779874E-15</v>
      </c>
      <c r="O2665" s="30">
        <f>IFERROR((VLOOKUP($A2665,HeadJournal!$A$1:$L$890,COLUMN(HeadJournal!L$1),0)*($K2665+$L2665)/(SUMIF($A:$A,$A2665,$K:$K)+SUMIF($A:$A,$A2665,$L:$L)))/VLOOKUP($A2665,HeadJournal!$A$1:$L$890,COLUMN(HeadJournal!H$1),0),0)</f>
        <v>0.55218475891511998</v>
      </c>
      <c r="P2665" s="30">
        <f>IFERROR(SUM(K2665:O2665)*VLOOKUP($A2665,HeadJournal!$A$1:$L$890,COLUMN(HeadJournal!H$1),0),0)</f>
        <v>1659.9051380300368</v>
      </c>
      <c r="Q2665" s="29">
        <v>2300</v>
      </c>
      <c r="R2665" s="31">
        <v>45310</v>
      </c>
      <c r="S2665" s="31" t="s">
        <v>3121</v>
      </c>
      <c r="T2665" s="95" t="str">
        <f t="shared" si="210"/>
        <v>2024 01</v>
      </c>
      <c r="U2665" s="32">
        <f t="shared" si="207"/>
        <v>640.09486196996318</v>
      </c>
      <c r="V2665" s="22">
        <f t="shared" si="208"/>
        <v>0.38562135106685858</v>
      </c>
      <c r="X2665" s="33"/>
      <c r="Y2665" s="33"/>
    </row>
    <row r="2666" spans="1:25" x14ac:dyDescent="0.2">
      <c r="A2666" s="93" t="s">
        <v>1213</v>
      </c>
      <c r="B2666" s="94" t="str">
        <f>IFERROR(VLOOKUP($A2666,HeadJournal!$A$1:$NTR$890,COLUMN(HeadJournal!B$1),0),"")</f>
        <v>720000053678</v>
      </c>
      <c r="C2666" s="94" t="str">
        <f>IFERROR(VLOOKUP($A2666,HeadJournal!$A$1:$NTR$890,COLUMN(HeadJournal!C$1),0),"")</f>
        <v>iHerb_AV CYG0792</v>
      </c>
      <c r="D2666" s="125" t="str">
        <f>IFERROR(VLOOKUP($A2666,HeadJournal!$A$1:$NTR$890,COLUMN(HeadJournal!D$1),0),"")</f>
        <v>Доставлен</v>
      </c>
      <c r="E2666" s="95">
        <f>IFERROR(VLOOKUP($A2666,HeadJournal!$A$1:$NTR$890,COLUMN(HeadJournal!G$1),0),"")</f>
        <v>45276</v>
      </c>
      <c r="F2666" s="95" t="str">
        <f t="shared" si="209"/>
        <v>2023 12</v>
      </c>
      <c r="G2666" s="96" t="s">
        <v>5</v>
      </c>
      <c r="H2666" s="161" t="s">
        <v>2806</v>
      </c>
      <c r="I2666" s="97" t="s">
        <v>2009</v>
      </c>
      <c r="J2666" s="97" t="s">
        <v>2807</v>
      </c>
      <c r="K2666" s="29">
        <v>22.96</v>
      </c>
      <c r="L2666" s="29">
        <v>-5.74</v>
      </c>
      <c r="M2666" s="30">
        <f>IFERROR(VLOOKUP($A2666,HeadJournal!$A$1:$J$890,COLUMN(HeadJournal!I$1),0)*($K2666+$L2666)/(SUMIF($A:$A,$A2666,$K:$K)+SUMIF($A:$A,$A2666,$L:$L)),0)</f>
        <v>-0.54509717314487649</v>
      </c>
      <c r="N2666" s="30">
        <f>IFERROR((VLOOKUP($A2666,HeadJournal!$A$1:$K$890,COLUMN(HeadJournal!K$1),0)-VLOOKUP($A2666,HeadJournal!$A$1:$K$890,COLUMN(HeadJournal!J$1),0))*($K2666+$L2666)/(SUMIF($A:$A,$A2666,$K:$K)+SUMIF($A:$A,$A2666,$L:$L)),0)</f>
        <v>7.2058574262596756E-15</v>
      </c>
      <c r="O2666" s="30">
        <f>IFERROR((VLOOKUP($A2666,HeadJournal!$A$1:$L$890,COLUMN(HeadJournal!L$1),0)*($K2666+$L2666)/(SUMIF($A:$A,$A2666,$K:$K)+SUMIF($A:$A,$A2666,$L:$L)))/VLOOKUP($A2666,HeadJournal!$A$1:$L$890,COLUMN(HeadJournal!H$1),0),0)</f>
        <v>0.58804091209142639</v>
      </c>
      <c r="P2666" s="30">
        <f>IFERROR(SUM(K2666:O2666)*VLOOKUP($A2666,HeadJournal!$A$1:$L$890,COLUMN(HeadJournal!H$1),0),0)</f>
        <v>1767.6911859540646</v>
      </c>
      <c r="Q2666" s="29">
        <v>2900</v>
      </c>
      <c r="R2666" s="31">
        <v>45543</v>
      </c>
      <c r="S2666" s="31" t="s">
        <v>3121</v>
      </c>
      <c r="T2666" s="95" t="str">
        <f t="shared" si="210"/>
        <v>2024 09</v>
      </c>
      <c r="U2666" s="32">
        <f t="shared" si="207"/>
        <v>1132.3088140459354</v>
      </c>
      <c r="V2666" s="22">
        <f t="shared" si="208"/>
        <v>0.64055804715392162</v>
      </c>
      <c r="X2666" s="33"/>
      <c r="Y2666" s="33"/>
    </row>
    <row r="2667" spans="1:25" x14ac:dyDescent="0.2">
      <c r="A2667" s="93" t="s">
        <v>1213</v>
      </c>
      <c r="B2667" s="94" t="str">
        <f>IFERROR(VLOOKUP($A2667,HeadJournal!$A$1:$NTR$890,COLUMN(HeadJournal!B$1),0),"")</f>
        <v>720000053678</v>
      </c>
      <c r="C2667" s="94" t="str">
        <f>IFERROR(VLOOKUP($A2667,HeadJournal!$A$1:$NTR$890,COLUMN(HeadJournal!C$1),0),"")</f>
        <v>iHerb_AV CYG0792</v>
      </c>
      <c r="D2667" s="125" t="str">
        <f>IFERROR(VLOOKUP($A2667,HeadJournal!$A$1:$NTR$890,COLUMN(HeadJournal!D$1),0),"")</f>
        <v>Доставлен</v>
      </c>
      <c r="E2667" s="95">
        <f>IFERROR(VLOOKUP($A2667,HeadJournal!$A$1:$NTR$890,COLUMN(HeadJournal!G$1),0),"")</f>
        <v>45276</v>
      </c>
      <c r="F2667" s="95" t="str">
        <f t="shared" si="209"/>
        <v>2023 12</v>
      </c>
      <c r="G2667" s="96" t="s">
        <v>5</v>
      </c>
      <c r="H2667" s="161" t="s">
        <v>2806</v>
      </c>
      <c r="I2667" s="97" t="s">
        <v>2009</v>
      </c>
      <c r="J2667" s="97" t="s">
        <v>2807</v>
      </c>
      <c r="K2667" s="29">
        <v>22.96</v>
      </c>
      <c r="L2667" s="29">
        <v>-5.74</v>
      </c>
      <c r="M2667" s="30">
        <f>IFERROR(VLOOKUP($A2667,HeadJournal!$A$1:$J$890,COLUMN(HeadJournal!I$1),0)*($K2667+$L2667)/(SUMIF($A:$A,$A2667,$K:$K)+SUMIF($A:$A,$A2667,$L:$L)),0)</f>
        <v>-0.54509717314487649</v>
      </c>
      <c r="N2667" s="30">
        <f>IFERROR((VLOOKUP($A2667,HeadJournal!$A$1:$K$890,COLUMN(HeadJournal!K$1),0)-VLOOKUP($A2667,HeadJournal!$A$1:$K$890,COLUMN(HeadJournal!J$1),0))*($K2667+$L2667)/(SUMIF($A:$A,$A2667,$K:$K)+SUMIF($A:$A,$A2667,$L:$L)),0)</f>
        <v>7.2058574262596756E-15</v>
      </c>
      <c r="O2667" s="30">
        <f>IFERROR((VLOOKUP($A2667,HeadJournal!$A$1:$L$890,COLUMN(HeadJournal!L$1),0)*($K2667+$L2667)/(SUMIF($A:$A,$A2667,$K:$K)+SUMIF($A:$A,$A2667,$L:$L)))/VLOOKUP($A2667,HeadJournal!$A$1:$L$890,COLUMN(HeadJournal!H$1),0),0)</f>
        <v>0.58804091209142639</v>
      </c>
      <c r="P2667" s="30">
        <f>IFERROR(SUM(K2667:O2667)*VLOOKUP($A2667,HeadJournal!$A$1:$L$890,COLUMN(HeadJournal!H$1),0),0)</f>
        <v>1767.6911859540646</v>
      </c>
      <c r="Q2667" s="29">
        <v>3100</v>
      </c>
      <c r="R2667" s="31">
        <v>45637</v>
      </c>
      <c r="S2667" s="31" t="s">
        <v>3121</v>
      </c>
      <c r="T2667" s="95" t="str">
        <f t="shared" si="210"/>
        <v>2024 12</v>
      </c>
      <c r="U2667" s="32">
        <f t="shared" si="207"/>
        <v>1332.3088140459354</v>
      </c>
      <c r="V2667" s="22">
        <f t="shared" si="208"/>
        <v>0.75369998144039896</v>
      </c>
      <c r="X2667" s="33"/>
      <c r="Y2667" s="33"/>
    </row>
    <row r="2668" spans="1:25" x14ac:dyDescent="0.2">
      <c r="A2668" s="93" t="s">
        <v>1213</v>
      </c>
      <c r="B2668" s="94" t="str">
        <f>IFERROR(VLOOKUP($A2668,HeadJournal!$A$1:$NTR$890,COLUMN(HeadJournal!B$1),0),"")</f>
        <v>720000053678</v>
      </c>
      <c r="C2668" s="94" t="str">
        <f>IFERROR(VLOOKUP($A2668,HeadJournal!$A$1:$NTR$890,COLUMN(HeadJournal!C$1),0),"")</f>
        <v>iHerb_AV CYG0792</v>
      </c>
      <c r="D2668" s="125" t="str">
        <f>IFERROR(VLOOKUP($A2668,HeadJournal!$A$1:$NTR$890,COLUMN(HeadJournal!D$1),0),"")</f>
        <v>Доставлен</v>
      </c>
      <c r="E2668" s="95">
        <f>IFERROR(VLOOKUP($A2668,HeadJournal!$A$1:$NTR$890,COLUMN(HeadJournal!G$1),0),"")</f>
        <v>45276</v>
      </c>
      <c r="F2668" s="95" t="str">
        <f t="shared" si="209"/>
        <v>2023 12</v>
      </c>
      <c r="G2668" s="96" t="s">
        <v>5</v>
      </c>
      <c r="H2668" s="161" t="s">
        <v>2806</v>
      </c>
      <c r="I2668" s="97" t="s">
        <v>2009</v>
      </c>
      <c r="J2668" s="97" t="s">
        <v>2807</v>
      </c>
      <c r="K2668" s="29">
        <v>22.96</v>
      </c>
      <c r="L2668" s="29">
        <v>-5.74</v>
      </c>
      <c r="M2668" s="30">
        <f>IFERROR(VLOOKUP($A2668,HeadJournal!$A$1:$J$890,COLUMN(HeadJournal!I$1),0)*($K2668+$L2668)/(SUMIF($A:$A,$A2668,$K:$K)+SUMIF($A:$A,$A2668,$L:$L)),0)</f>
        <v>-0.54509717314487649</v>
      </c>
      <c r="N2668" s="30">
        <f>IFERROR((VLOOKUP($A2668,HeadJournal!$A$1:$K$890,COLUMN(HeadJournal!K$1),0)-VLOOKUP($A2668,HeadJournal!$A$1:$K$890,COLUMN(HeadJournal!J$1),0))*($K2668+$L2668)/(SUMIF($A:$A,$A2668,$K:$K)+SUMIF($A:$A,$A2668,$L:$L)),0)</f>
        <v>7.2058574262596756E-15</v>
      </c>
      <c r="O2668" s="30">
        <f>IFERROR((VLOOKUP($A2668,HeadJournal!$A$1:$L$890,COLUMN(HeadJournal!L$1),0)*($K2668+$L2668)/(SUMIF($A:$A,$A2668,$K:$K)+SUMIF($A:$A,$A2668,$L:$L)))/VLOOKUP($A2668,HeadJournal!$A$1:$L$890,COLUMN(HeadJournal!H$1),0),0)</f>
        <v>0.58804091209142639</v>
      </c>
      <c r="P2668" s="30">
        <f>IFERROR(SUM(K2668:O2668)*VLOOKUP($A2668,HeadJournal!$A$1:$L$890,COLUMN(HeadJournal!H$1),0),0)</f>
        <v>1767.6911859540646</v>
      </c>
      <c r="Q2668" s="29">
        <v>3200</v>
      </c>
      <c r="R2668" s="31">
        <v>45663</v>
      </c>
      <c r="S2668" s="31" t="s">
        <v>3121</v>
      </c>
      <c r="T2668" s="95" t="str">
        <f t="shared" si="210"/>
        <v>2025 01</v>
      </c>
      <c r="U2668" s="32">
        <f t="shared" si="207"/>
        <v>1432.3088140459354</v>
      </c>
      <c r="V2668" s="22">
        <f t="shared" si="208"/>
        <v>0.81027094858363768</v>
      </c>
      <c r="X2668" s="33"/>
      <c r="Y2668" s="33"/>
    </row>
    <row r="2669" spans="1:25" x14ac:dyDescent="0.2">
      <c r="A2669" s="93" t="s">
        <v>1213</v>
      </c>
      <c r="B2669" s="94" t="str">
        <f>IFERROR(VLOOKUP($A2669,HeadJournal!$A$1:$NTR$890,COLUMN(HeadJournal!B$1),0),"")</f>
        <v>720000053678</v>
      </c>
      <c r="C2669" s="94" t="str">
        <f>IFERROR(VLOOKUP($A2669,HeadJournal!$A$1:$NTR$890,COLUMN(HeadJournal!C$1),0),"")</f>
        <v>iHerb_AV CYG0792</v>
      </c>
      <c r="D2669" s="125" t="str">
        <f>IFERROR(VLOOKUP($A2669,HeadJournal!$A$1:$NTR$890,COLUMN(HeadJournal!D$1),0),"")</f>
        <v>Доставлен</v>
      </c>
      <c r="E2669" s="95">
        <f>IFERROR(VLOOKUP($A2669,HeadJournal!$A$1:$NTR$890,COLUMN(HeadJournal!G$1),0),"")</f>
        <v>45276</v>
      </c>
      <c r="F2669" s="95" t="str">
        <f t="shared" si="209"/>
        <v>2023 12</v>
      </c>
      <c r="G2669" s="96" t="s">
        <v>5</v>
      </c>
      <c r="H2669" s="161" t="s">
        <v>2806</v>
      </c>
      <c r="I2669" s="97" t="s">
        <v>2009</v>
      </c>
      <c r="J2669" s="97" t="s">
        <v>2807</v>
      </c>
      <c r="K2669" s="29">
        <v>22.96</v>
      </c>
      <c r="L2669" s="29">
        <v>-5.74</v>
      </c>
      <c r="M2669" s="30">
        <f>IFERROR(VLOOKUP($A2669,HeadJournal!$A$1:$J$890,COLUMN(HeadJournal!I$1),0)*($K2669+$L2669)/(SUMIF($A:$A,$A2669,$K:$K)+SUMIF($A:$A,$A2669,$L:$L)),0)</f>
        <v>-0.54509717314487649</v>
      </c>
      <c r="N2669" s="30">
        <f>IFERROR((VLOOKUP($A2669,HeadJournal!$A$1:$K$890,COLUMN(HeadJournal!K$1),0)-VLOOKUP($A2669,HeadJournal!$A$1:$K$890,COLUMN(HeadJournal!J$1),0))*($K2669+$L2669)/(SUMIF($A:$A,$A2669,$K:$K)+SUMIF($A:$A,$A2669,$L:$L)),0)</f>
        <v>7.2058574262596756E-15</v>
      </c>
      <c r="O2669" s="30">
        <f>IFERROR((VLOOKUP($A2669,HeadJournal!$A$1:$L$890,COLUMN(HeadJournal!L$1),0)*($K2669+$L2669)/(SUMIF($A:$A,$A2669,$K:$K)+SUMIF($A:$A,$A2669,$L:$L)))/VLOOKUP($A2669,HeadJournal!$A$1:$L$890,COLUMN(HeadJournal!H$1),0),0)</f>
        <v>0.58804091209142639</v>
      </c>
      <c r="P2669" s="30">
        <f>IFERROR(SUM(K2669:O2669)*VLOOKUP($A2669,HeadJournal!$A$1:$L$890,COLUMN(HeadJournal!H$1),0),0)</f>
        <v>1767.6911859540646</v>
      </c>
      <c r="Q2669" s="29">
        <v>3200</v>
      </c>
      <c r="R2669" s="31">
        <v>45696</v>
      </c>
      <c r="S2669" s="31" t="s">
        <v>3121</v>
      </c>
      <c r="T2669" s="95" t="str">
        <f t="shared" si="210"/>
        <v>2025 02</v>
      </c>
      <c r="U2669" s="32">
        <f t="shared" si="207"/>
        <v>1432.3088140459354</v>
      </c>
      <c r="V2669" s="22">
        <f t="shared" si="208"/>
        <v>0.81027094858363768</v>
      </c>
      <c r="X2669" s="33"/>
      <c r="Y2669" s="33"/>
    </row>
    <row r="2670" spans="1:25" x14ac:dyDescent="0.2">
      <c r="A2670" s="93" t="s">
        <v>1213</v>
      </c>
      <c r="B2670" s="94" t="str">
        <f>IFERROR(VLOOKUP($A2670,HeadJournal!$A$1:$NTR$890,COLUMN(HeadJournal!B$1),0),"")</f>
        <v>720000053678</v>
      </c>
      <c r="C2670" s="94" t="str">
        <f>IFERROR(VLOOKUP($A2670,HeadJournal!$A$1:$NTR$890,COLUMN(HeadJournal!C$1),0),"")</f>
        <v>iHerb_AV CYG0792</v>
      </c>
      <c r="D2670" s="125" t="str">
        <f>IFERROR(VLOOKUP($A2670,HeadJournal!$A$1:$NTR$890,COLUMN(HeadJournal!D$1),0),"")</f>
        <v>Доставлен</v>
      </c>
      <c r="E2670" s="95">
        <f>IFERROR(VLOOKUP($A2670,HeadJournal!$A$1:$NTR$890,COLUMN(HeadJournal!G$1),0),"")</f>
        <v>45276</v>
      </c>
      <c r="F2670" s="95" t="str">
        <f t="shared" si="209"/>
        <v>2023 12</v>
      </c>
      <c r="G2670" s="96" t="s">
        <v>5</v>
      </c>
      <c r="H2670" s="161" t="s">
        <v>2028</v>
      </c>
      <c r="I2670" s="97" t="s">
        <v>2009</v>
      </c>
      <c r="J2670" s="97" t="s">
        <v>2029</v>
      </c>
      <c r="K2670" s="29">
        <v>12.71</v>
      </c>
      <c r="L2670" s="29">
        <v>-3.18</v>
      </c>
      <c r="M2670" s="30">
        <f>IFERROR(VLOOKUP($A2670,HeadJournal!$A$1:$J$890,COLUMN(HeadJournal!I$1),0)*($K2670+$L2670)/(SUMIF($A:$A,$A2670,$K:$K)+SUMIF($A:$A,$A2670,$L:$L)),0)</f>
        <v>-0.3016710836277976</v>
      </c>
      <c r="N2670" s="30">
        <f>IFERROR((VLOOKUP($A2670,HeadJournal!$A$1:$K$890,COLUMN(HeadJournal!K$1),0)-VLOOKUP($A2670,HeadJournal!$A$1:$K$890,COLUMN(HeadJournal!J$1),0))*($K2670+$L2670)/(SUMIF($A:$A,$A2670,$K:$K)+SUMIF($A:$A,$A2670,$L:$L)),0)</f>
        <v>3.9879106429880793E-15</v>
      </c>
      <c r="O2670" s="30">
        <f>IFERROR((VLOOKUP($A2670,HeadJournal!$A$1:$L$890,COLUMN(HeadJournal!L$1),0)*($K2670+$L2670)/(SUMIF($A:$A,$A2670,$K:$K)+SUMIF($A:$A,$A2670,$L:$L)))/VLOOKUP($A2670,HeadJournal!$A$1:$L$890,COLUMN(HeadJournal!H$1),0),0)</f>
        <v>0.32543727597161998</v>
      </c>
      <c r="P2670" s="30">
        <f>IFERROR(SUM(K2670:O2670)*VLOOKUP($A2670,HeadJournal!$A$1:$L$890,COLUMN(HeadJournal!H$1),0),0)</f>
        <v>978.2867016342766</v>
      </c>
      <c r="Q2670" s="29">
        <v>1700</v>
      </c>
      <c r="R2670" s="31">
        <v>45345</v>
      </c>
      <c r="S2670" s="31" t="s">
        <v>3121</v>
      </c>
      <c r="T2670" s="95" t="str">
        <f t="shared" si="210"/>
        <v>2024 02</v>
      </c>
      <c r="U2670" s="32">
        <f t="shared" si="207"/>
        <v>721.7132983657234</v>
      </c>
      <c r="V2670" s="22">
        <f t="shared" si="208"/>
        <v>0.7377318910295575</v>
      </c>
      <c r="X2670" s="33"/>
      <c r="Y2670" s="33"/>
    </row>
    <row r="2671" spans="1:25" x14ac:dyDescent="0.2">
      <c r="A2671" s="93" t="s">
        <v>1213</v>
      </c>
      <c r="B2671" s="94" t="str">
        <f>IFERROR(VLOOKUP($A2671,HeadJournal!$A$1:$NTR$890,COLUMN(HeadJournal!B$1),0),"")</f>
        <v>720000053678</v>
      </c>
      <c r="C2671" s="94" t="str">
        <f>IFERROR(VLOOKUP($A2671,HeadJournal!$A$1:$NTR$890,COLUMN(HeadJournal!C$1),0),"")</f>
        <v>iHerb_AV CYG0792</v>
      </c>
      <c r="D2671" s="125" t="str">
        <f>IFERROR(VLOOKUP($A2671,HeadJournal!$A$1:$NTR$890,COLUMN(HeadJournal!D$1),0),"")</f>
        <v>Доставлен</v>
      </c>
      <c r="E2671" s="95">
        <f>IFERROR(VLOOKUP($A2671,HeadJournal!$A$1:$NTR$890,COLUMN(HeadJournal!G$1),0),"")</f>
        <v>45276</v>
      </c>
      <c r="F2671" s="95" t="str">
        <f t="shared" si="209"/>
        <v>2023 12</v>
      </c>
      <c r="G2671" s="96" t="s">
        <v>5</v>
      </c>
      <c r="H2671" s="161" t="s">
        <v>2028</v>
      </c>
      <c r="I2671" s="97" t="s">
        <v>2009</v>
      </c>
      <c r="J2671" s="97" t="s">
        <v>2029</v>
      </c>
      <c r="K2671" s="29">
        <v>12.71</v>
      </c>
      <c r="L2671" s="29">
        <v>-3.18</v>
      </c>
      <c r="M2671" s="30">
        <f>IFERROR(VLOOKUP($A2671,HeadJournal!$A$1:$J$890,COLUMN(HeadJournal!I$1),0)*($K2671+$L2671)/(SUMIF($A:$A,$A2671,$K:$K)+SUMIF($A:$A,$A2671,$L:$L)),0)</f>
        <v>-0.3016710836277976</v>
      </c>
      <c r="N2671" s="30">
        <f>IFERROR((VLOOKUP($A2671,HeadJournal!$A$1:$K$890,COLUMN(HeadJournal!K$1),0)-VLOOKUP($A2671,HeadJournal!$A$1:$K$890,COLUMN(HeadJournal!J$1),0))*($K2671+$L2671)/(SUMIF($A:$A,$A2671,$K:$K)+SUMIF($A:$A,$A2671,$L:$L)),0)</f>
        <v>3.9879106429880793E-15</v>
      </c>
      <c r="O2671" s="30">
        <f>IFERROR((VLOOKUP($A2671,HeadJournal!$A$1:$L$890,COLUMN(HeadJournal!L$1),0)*($K2671+$L2671)/(SUMIF($A:$A,$A2671,$K:$K)+SUMIF($A:$A,$A2671,$L:$L)))/VLOOKUP($A2671,HeadJournal!$A$1:$L$890,COLUMN(HeadJournal!H$1),0),0)</f>
        <v>0.32543727597161998</v>
      </c>
      <c r="P2671" s="30">
        <f>IFERROR(SUM(K2671:O2671)*VLOOKUP($A2671,HeadJournal!$A$1:$L$890,COLUMN(HeadJournal!H$1),0),0)</f>
        <v>978.2867016342766</v>
      </c>
      <c r="Q2671" s="29">
        <v>1800</v>
      </c>
      <c r="R2671" s="31">
        <v>45472</v>
      </c>
      <c r="S2671" s="31" t="s">
        <v>3121</v>
      </c>
      <c r="T2671" s="95" t="str">
        <f t="shared" si="210"/>
        <v>2024 06</v>
      </c>
      <c r="U2671" s="32">
        <f t="shared" si="207"/>
        <v>821.7132983657234</v>
      </c>
      <c r="V2671" s="22">
        <f t="shared" si="208"/>
        <v>0.83995141403129625</v>
      </c>
      <c r="X2671" s="33"/>
      <c r="Y2671" s="33"/>
    </row>
    <row r="2672" spans="1:25" x14ac:dyDescent="0.2">
      <c r="A2672" s="93" t="s">
        <v>1219</v>
      </c>
      <c r="B2672" s="94">
        <f>IFERROR(VLOOKUP($A2672,HeadJournal!$A$1:$NTR$890,COLUMN(HeadJournal!B$1),0),"")</f>
        <v>0</v>
      </c>
      <c r="C2672" s="94" t="str">
        <f>IFERROR(VLOOKUP($A2672,HeadJournal!$A$1:$NTR$890,COLUMN(HeadJournal!C$1),0),"")</f>
        <v>CoralClub_OA</v>
      </c>
      <c r="D2672" s="125" t="str">
        <f>IFERROR(VLOOKUP($A2672,HeadJournal!$A$1:$NTR$890,COLUMN(HeadJournal!D$1),0),"")</f>
        <v>Доставлен</v>
      </c>
      <c r="E2672" s="95">
        <f>IFERROR(VLOOKUP($A2672,HeadJournal!$A$1:$NTR$890,COLUMN(HeadJournal!G$1),0),"")</f>
        <v>45285</v>
      </c>
      <c r="F2672" s="95" t="str">
        <f t="shared" si="209"/>
        <v>2023 12</v>
      </c>
      <c r="G2672" s="96" t="s">
        <v>5</v>
      </c>
      <c r="H2672" s="160" t="str">
        <f>RIGHT(Journal!$J2672,9)</f>
        <v>000001405</v>
      </c>
      <c r="I2672" s="96" t="str">
        <f t="shared" si="211"/>
        <v>CoralClub</v>
      </c>
      <c r="J2672" s="97" t="s">
        <v>249</v>
      </c>
      <c r="K2672" s="29">
        <v>1092</v>
      </c>
      <c r="L2672" s="29">
        <v>0</v>
      </c>
      <c r="M2672" s="30">
        <f>IFERROR(VLOOKUP($A2672,HeadJournal!$A$1:$J$890,COLUMN(HeadJournal!I$1),0)*($K2672+$L2672)/(SUMIF($A:$A,$A2672,$K:$K)+SUMIF($A:$A,$A2672,$L:$L)),0)</f>
        <v>0</v>
      </c>
      <c r="N2672" s="30">
        <f>IFERROR((VLOOKUP($A2672,HeadJournal!$A$1:$K$890,COLUMN(HeadJournal!K$1),0)-VLOOKUP($A2672,HeadJournal!$A$1:$K$890,COLUMN(HeadJournal!J$1),0))*($K2672+$L2672)/(SUMIF($A:$A,$A2672,$K:$K)+SUMIF($A:$A,$A2672,$L:$L)),0)</f>
        <v>14.547619047619047</v>
      </c>
      <c r="O2672" s="30">
        <f>IFERROR((VLOOKUP($A2672,HeadJournal!$A$1:$L$890,COLUMN(HeadJournal!L$1),0)*($K2672+$L2672)/(SUMIF($A:$A,$A2672,$K:$K)+SUMIF($A:$A,$A2672,$L:$L)))/VLOOKUP($A2672,HeadJournal!$A$1:$L$890,COLUMN(HeadJournal!H$1),0),0)</f>
        <v>0</v>
      </c>
      <c r="P2672" s="30">
        <f>IFERROR(SUM(K2672:O2672)*VLOOKUP($A2672,HeadJournal!$A$1:$L$890,COLUMN(HeadJournal!H$1),0),0)</f>
        <v>1106.547619047619</v>
      </c>
      <c r="Q2672" s="29">
        <v>1400</v>
      </c>
      <c r="R2672" s="31">
        <v>45286</v>
      </c>
      <c r="S2672" s="31" t="s">
        <v>3121</v>
      </c>
      <c r="T2672" s="95" t="str">
        <f t="shared" si="210"/>
        <v>2023 12</v>
      </c>
      <c r="U2672" s="32">
        <f t="shared" si="207"/>
        <v>293.45238095238096</v>
      </c>
      <c r="V2672" s="22">
        <f t="shared" si="208"/>
        <v>0.26519634211941906</v>
      </c>
      <c r="X2672" s="33"/>
      <c r="Y2672" s="33"/>
    </row>
    <row r="2673" spans="1:25" x14ac:dyDescent="0.2">
      <c r="A2673" s="93" t="s">
        <v>1219</v>
      </c>
      <c r="B2673" s="94">
        <f>IFERROR(VLOOKUP($A2673,HeadJournal!$A$1:$NTR$890,COLUMN(HeadJournal!B$1),0),"")</f>
        <v>0</v>
      </c>
      <c r="C2673" s="94" t="str">
        <f>IFERROR(VLOOKUP($A2673,HeadJournal!$A$1:$NTR$890,COLUMN(HeadJournal!C$1),0),"")</f>
        <v>CoralClub_OA</v>
      </c>
      <c r="D2673" s="125" t="str">
        <f>IFERROR(VLOOKUP($A2673,HeadJournal!$A$1:$NTR$890,COLUMN(HeadJournal!D$1),0),"")</f>
        <v>Доставлен</v>
      </c>
      <c r="E2673" s="95">
        <f>IFERROR(VLOOKUP($A2673,HeadJournal!$A$1:$NTR$890,COLUMN(HeadJournal!G$1),0),"")</f>
        <v>45285</v>
      </c>
      <c r="F2673" s="95" t="str">
        <f t="shared" si="209"/>
        <v>2023 12</v>
      </c>
      <c r="G2673" s="96" t="s">
        <v>5</v>
      </c>
      <c r="H2673" s="160" t="str">
        <f>RIGHT(Journal!$J2673,9)</f>
        <v>000001405</v>
      </c>
      <c r="I2673" s="96" t="str">
        <f t="shared" si="211"/>
        <v>CoralClub</v>
      </c>
      <c r="J2673" s="97" t="s">
        <v>249</v>
      </c>
      <c r="K2673" s="29">
        <v>1092</v>
      </c>
      <c r="L2673" s="29">
        <v>0</v>
      </c>
      <c r="M2673" s="30">
        <f>IFERROR(VLOOKUP($A2673,HeadJournal!$A$1:$J$890,COLUMN(HeadJournal!I$1),0)*($K2673+$L2673)/(SUMIF($A:$A,$A2673,$K:$K)+SUMIF($A:$A,$A2673,$L:$L)),0)</f>
        <v>0</v>
      </c>
      <c r="N2673" s="30">
        <f>IFERROR((VLOOKUP($A2673,HeadJournal!$A$1:$K$890,COLUMN(HeadJournal!K$1),0)-VLOOKUP($A2673,HeadJournal!$A$1:$K$890,COLUMN(HeadJournal!J$1),0))*($K2673+$L2673)/(SUMIF($A:$A,$A2673,$K:$K)+SUMIF($A:$A,$A2673,$L:$L)),0)</f>
        <v>14.547619047619047</v>
      </c>
      <c r="O2673" s="30">
        <f>IFERROR((VLOOKUP($A2673,HeadJournal!$A$1:$L$890,COLUMN(HeadJournal!L$1),0)*($K2673+$L2673)/(SUMIF($A:$A,$A2673,$K:$K)+SUMIF($A:$A,$A2673,$L:$L)))/VLOOKUP($A2673,HeadJournal!$A$1:$L$890,COLUMN(HeadJournal!H$1),0),0)</f>
        <v>0</v>
      </c>
      <c r="P2673" s="30">
        <f>IFERROR(SUM(K2673:O2673)*VLOOKUP($A2673,HeadJournal!$A$1:$L$890,COLUMN(HeadJournal!H$1),0),0)</f>
        <v>1106.547619047619</v>
      </c>
      <c r="Q2673" s="29">
        <v>1400</v>
      </c>
      <c r="R2673" s="31">
        <v>45311</v>
      </c>
      <c r="S2673" s="31" t="s">
        <v>3121</v>
      </c>
      <c r="T2673" s="95" t="str">
        <f t="shared" si="210"/>
        <v>2024 01</v>
      </c>
      <c r="U2673" s="32">
        <f t="shared" si="207"/>
        <v>293.45238095238096</v>
      </c>
      <c r="V2673" s="22">
        <f t="shared" si="208"/>
        <v>0.26519634211941906</v>
      </c>
      <c r="X2673" s="33"/>
      <c r="Y2673" s="33"/>
    </row>
    <row r="2674" spans="1:25" x14ac:dyDescent="0.2">
      <c r="A2674" s="93" t="s">
        <v>1219</v>
      </c>
      <c r="B2674" s="94">
        <f>IFERROR(VLOOKUP($A2674,HeadJournal!$A$1:$NTR$890,COLUMN(HeadJournal!B$1),0),"")</f>
        <v>0</v>
      </c>
      <c r="C2674" s="94" t="str">
        <f>IFERROR(VLOOKUP($A2674,HeadJournal!$A$1:$NTR$890,COLUMN(HeadJournal!C$1),0),"")</f>
        <v>CoralClub_OA</v>
      </c>
      <c r="D2674" s="125" t="str">
        <f>IFERROR(VLOOKUP($A2674,HeadJournal!$A$1:$NTR$890,COLUMN(HeadJournal!D$1),0),"")</f>
        <v>Доставлен</v>
      </c>
      <c r="E2674" s="95">
        <f>IFERROR(VLOOKUP($A2674,HeadJournal!$A$1:$NTR$890,COLUMN(HeadJournal!G$1),0),"")</f>
        <v>45285</v>
      </c>
      <c r="F2674" s="95" t="str">
        <f t="shared" si="209"/>
        <v>2023 12</v>
      </c>
      <c r="G2674" s="96" t="s">
        <v>5</v>
      </c>
      <c r="H2674" s="160" t="str">
        <f>RIGHT(Journal!$J2674,9)</f>
        <v>000001405</v>
      </c>
      <c r="I2674" s="96" t="str">
        <f t="shared" si="211"/>
        <v>CoralClub</v>
      </c>
      <c r="J2674" s="97" t="s">
        <v>249</v>
      </c>
      <c r="K2674" s="29">
        <v>1092</v>
      </c>
      <c r="L2674" s="29">
        <v>0</v>
      </c>
      <c r="M2674" s="30">
        <f>IFERROR(VLOOKUP($A2674,HeadJournal!$A$1:$J$890,COLUMN(HeadJournal!I$1),0)*($K2674+$L2674)/(SUMIF($A:$A,$A2674,$K:$K)+SUMIF($A:$A,$A2674,$L:$L)),0)</f>
        <v>0</v>
      </c>
      <c r="N2674" s="30">
        <f>IFERROR((VLOOKUP($A2674,HeadJournal!$A$1:$K$890,COLUMN(HeadJournal!K$1),0)-VLOOKUP($A2674,HeadJournal!$A$1:$K$890,COLUMN(HeadJournal!J$1),0))*($K2674+$L2674)/(SUMIF($A:$A,$A2674,$K:$K)+SUMIF($A:$A,$A2674,$L:$L)),0)</f>
        <v>14.547619047619047</v>
      </c>
      <c r="O2674" s="30">
        <f>IFERROR((VLOOKUP($A2674,HeadJournal!$A$1:$L$890,COLUMN(HeadJournal!L$1),0)*($K2674+$L2674)/(SUMIF($A:$A,$A2674,$K:$K)+SUMIF($A:$A,$A2674,$L:$L)))/VLOOKUP($A2674,HeadJournal!$A$1:$L$890,COLUMN(HeadJournal!H$1),0),0)</f>
        <v>0</v>
      </c>
      <c r="P2674" s="30">
        <f>IFERROR(SUM(K2674:O2674)*VLOOKUP($A2674,HeadJournal!$A$1:$L$890,COLUMN(HeadJournal!H$1),0),0)</f>
        <v>1106.547619047619</v>
      </c>
      <c r="Q2674" s="29"/>
      <c r="R2674" s="31"/>
      <c r="S2674" s="31"/>
      <c r="T2674" s="95" t="str">
        <f t="shared" si="210"/>
        <v/>
      </c>
      <c r="U2674" s="32">
        <f t="shared" si="207"/>
        <v>-1106.547619047619</v>
      </c>
      <c r="V2674" s="22" t="str">
        <f t="shared" si="208"/>
        <v/>
      </c>
      <c r="X2674" s="33"/>
      <c r="Y2674" s="33"/>
    </row>
    <row r="2675" spans="1:25" x14ac:dyDescent="0.2">
      <c r="A2675" s="93" t="s">
        <v>1219</v>
      </c>
      <c r="B2675" s="94">
        <f>IFERROR(VLOOKUP($A2675,HeadJournal!$A$1:$NTR$890,COLUMN(HeadJournal!B$1),0),"")</f>
        <v>0</v>
      </c>
      <c r="C2675" s="94" t="str">
        <f>IFERROR(VLOOKUP($A2675,HeadJournal!$A$1:$NTR$890,COLUMN(HeadJournal!C$1),0),"")</f>
        <v>CoralClub_OA</v>
      </c>
      <c r="D2675" s="125" t="str">
        <f>IFERROR(VLOOKUP($A2675,HeadJournal!$A$1:$NTR$890,COLUMN(HeadJournal!D$1),0),"")</f>
        <v>Доставлен</v>
      </c>
      <c r="E2675" s="95">
        <f>IFERROR(VLOOKUP($A2675,HeadJournal!$A$1:$NTR$890,COLUMN(HeadJournal!G$1),0),"")</f>
        <v>45285</v>
      </c>
      <c r="F2675" s="95" t="str">
        <f t="shared" si="209"/>
        <v>2023 12</v>
      </c>
      <c r="G2675" s="96" t="s">
        <v>5</v>
      </c>
      <c r="H2675" s="160" t="str">
        <f>RIGHT(Journal!$J2675,9)</f>
        <v>000002307</v>
      </c>
      <c r="I2675" s="96" t="str">
        <f t="shared" si="211"/>
        <v>CoralClub</v>
      </c>
      <c r="J2675" s="97" t="s">
        <v>1070</v>
      </c>
      <c r="K2675" s="29">
        <v>1260</v>
      </c>
      <c r="L2675" s="29">
        <v>0</v>
      </c>
      <c r="M2675" s="30">
        <f>IFERROR(VLOOKUP($A2675,HeadJournal!$A$1:$J$890,COLUMN(HeadJournal!I$1),0)*($K2675+$L2675)/(SUMIF($A:$A,$A2675,$K:$K)+SUMIF($A:$A,$A2675,$L:$L)),0)</f>
        <v>0</v>
      </c>
      <c r="N2675" s="30">
        <f>IFERROR((VLOOKUP($A2675,HeadJournal!$A$1:$K$890,COLUMN(HeadJournal!K$1),0)-VLOOKUP($A2675,HeadJournal!$A$1:$K$890,COLUMN(HeadJournal!J$1),0))*($K2675+$L2675)/(SUMIF($A:$A,$A2675,$K:$K)+SUMIF($A:$A,$A2675,$L:$L)),0)</f>
        <v>16.785714285714285</v>
      </c>
      <c r="O2675" s="30">
        <f>IFERROR((VLOOKUP($A2675,HeadJournal!$A$1:$L$890,COLUMN(HeadJournal!L$1),0)*($K2675+$L2675)/(SUMIF($A:$A,$A2675,$K:$K)+SUMIF($A:$A,$A2675,$L:$L)))/VLOOKUP($A2675,HeadJournal!$A$1:$L$890,COLUMN(HeadJournal!H$1),0),0)</f>
        <v>0</v>
      </c>
      <c r="P2675" s="30">
        <f>IFERROR(SUM(K2675:O2675)*VLOOKUP($A2675,HeadJournal!$A$1:$L$890,COLUMN(HeadJournal!H$1),0),0)</f>
        <v>1276.7857142857142</v>
      </c>
      <c r="Q2675" s="29">
        <v>1700</v>
      </c>
      <c r="R2675" s="31">
        <v>45347</v>
      </c>
      <c r="S2675" s="31" t="s">
        <v>3121</v>
      </c>
      <c r="T2675" s="95" t="str">
        <f t="shared" si="210"/>
        <v>2024 02</v>
      </c>
      <c r="U2675" s="32">
        <f t="shared" si="207"/>
        <v>423.21428571428578</v>
      </c>
      <c r="V2675" s="22">
        <f t="shared" si="208"/>
        <v>0.33146853146853156</v>
      </c>
      <c r="X2675" s="33"/>
      <c r="Y2675" s="33"/>
    </row>
    <row r="2676" spans="1:25" x14ac:dyDescent="0.2">
      <c r="A2676" s="93" t="s">
        <v>1219</v>
      </c>
      <c r="B2676" s="94">
        <f>IFERROR(VLOOKUP($A2676,HeadJournal!$A$1:$NTR$890,COLUMN(HeadJournal!B$1),0),"")</f>
        <v>0</v>
      </c>
      <c r="C2676" s="94" t="str">
        <f>IFERROR(VLOOKUP($A2676,HeadJournal!$A$1:$NTR$890,COLUMN(HeadJournal!C$1),0),"")</f>
        <v>CoralClub_OA</v>
      </c>
      <c r="D2676" s="125" t="str">
        <f>IFERROR(VLOOKUP($A2676,HeadJournal!$A$1:$NTR$890,COLUMN(HeadJournal!D$1),0),"")</f>
        <v>Доставлен</v>
      </c>
      <c r="E2676" s="95">
        <f>IFERROR(VLOOKUP($A2676,HeadJournal!$A$1:$NTR$890,COLUMN(HeadJournal!G$1),0),"")</f>
        <v>45285</v>
      </c>
      <c r="F2676" s="95" t="str">
        <f t="shared" si="209"/>
        <v>2023 12</v>
      </c>
      <c r="G2676" s="96" t="s">
        <v>5</v>
      </c>
      <c r="H2676" s="160" t="str">
        <f>RIGHT(Journal!$J2676,9)</f>
        <v>000002307</v>
      </c>
      <c r="I2676" s="96" t="str">
        <f t="shared" si="211"/>
        <v>CoralClub</v>
      </c>
      <c r="J2676" s="97" t="s">
        <v>1070</v>
      </c>
      <c r="K2676" s="29">
        <v>1260</v>
      </c>
      <c r="L2676" s="29">
        <v>0</v>
      </c>
      <c r="M2676" s="30">
        <f>IFERROR(VLOOKUP($A2676,HeadJournal!$A$1:$J$890,COLUMN(HeadJournal!I$1),0)*($K2676+$L2676)/(SUMIF($A:$A,$A2676,$K:$K)+SUMIF($A:$A,$A2676,$L:$L)),0)</f>
        <v>0</v>
      </c>
      <c r="N2676" s="30">
        <f>IFERROR((VLOOKUP($A2676,HeadJournal!$A$1:$K$890,COLUMN(HeadJournal!K$1),0)-VLOOKUP($A2676,HeadJournal!$A$1:$K$890,COLUMN(HeadJournal!J$1),0))*($K2676+$L2676)/(SUMIF($A:$A,$A2676,$K:$K)+SUMIF($A:$A,$A2676,$L:$L)),0)</f>
        <v>16.785714285714285</v>
      </c>
      <c r="O2676" s="30">
        <f>IFERROR((VLOOKUP($A2676,HeadJournal!$A$1:$L$890,COLUMN(HeadJournal!L$1),0)*($K2676+$L2676)/(SUMIF($A:$A,$A2676,$K:$K)+SUMIF($A:$A,$A2676,$L:$L)))/VLOOKUP($A2676,HeadJournal!$A$1:$L$890,COLUMN(HeadJournal!H$1),0),0)</f>
        <v>0</v>
      </c>
      <c r="P2676" s="30">
        <f>IFERROR(SUM(K2676:O2676)*VLOOKUP($A2676,HeadJournal!$A$1:$L$890,COLUMN(HeadJournal!H$1),0),0)</f>
        <v>1276.7857142857142</v>
      </c>
      <c r="Q2676" s="29">
        <v>1700</v>
      </c>
      <c r="R2676" s="31">
        <v>45502</v>
      </c>
      <c r="S2676" s="31" t="s">
        <v>3121</v>
      </c>
      <c r="T2676" s="95" t="str">
        <f t="shared" si="210"/>
        <v>2024 07</v>
      </c>
      <c r="U2676" s="32">
        <f t="shared" si="207"/>
        <v>423.21428571428578</v>
      </c>
      <c r="V2676" s="22">
        <f t="shared" si="208"/>
        <v>0.33146853146853156</v>
      </c>
      <c r="X2676" s="33"/>
      <c r="Y2676" s="33"/>
    </row>
    <row r="2677" spans="1:25" x14ac:dyDescent="0.2">
      <c r="A2677" s="93" t="s">
        <v>1219</v>
      </c>
      <c r="B2677" s="94">
        <f>IFERROR(VLOOKUP($A2677,HeadJournal!$A$1:$NTR$890,COLUMN(HeadJournal!B$1),0),"")</f>
        <v>0</v>
      </c>
      <c r="C2677" s="94" t="str">
        <f>IFERROR(VLOOKUP($A2677,HeadJournal!$A$1:$NTR$890,COLUMN(HeadJournal!C$1),0),"")</f>
        <v>CoralClub_OA</v>
      </c>
      <c r="D2677" s="125" t="str">
        <f>IFERROR(VLOOKUP($A2677,HeadJournal!$A$1:$NTR$890,COLUMN(HeadJournal!D$1),0),"")</f>
        <v>Доставлен</v>
      </c>
      <c r="E2677" s="95">
        <f>IFERROR(VLOOKUP($A2677,HeadJournal!$A$1:$NTR$890,COLUMN(HeadJournal!G$1),0),"")</f>
        <v>45285</v>
      </c>
      <c r="F2677" s="95" t="str">
        <f t="shared" si="209"/>
        <v>2023 12</v>
      </c>
      <c r="G2677" s="96" t="s">
        <v>5</v>
      </c>
      <c r="H2677" s="160" t="str">
        <f>RIGHT(Journal!$J2677,9)</f>
        <v>000002307</v>
      </c>
      <c r="I2677" s="96" t="str">
        <f t="shared" si="211"/>
        <v>CoralClub</v>
      </c>
      <c r="J2677" s="97" t="s">
        <v>1070</v>
      </c>
      <c r="K2677" s="29">
        <v>1260</v>
      </c>
      <c r="L2677" s="29">
        <v>0</v>
      </c>
      <c r="M2677" s="30">
        <f>IFERROR(VLOOKUP($A2677,HeadJournal!$A$1:$J$890,COLUMN(HeadJournal!I$1),0)*($K2677+$L2677)/(SUMIF($A:$A,$A2677,$K:$K)+SUMIF($A:$A,$A2677,$L:$L)),0)</f>
        <v>0</v>
      </c>
      <c r="N2677" s="30">
        <f>IFERROR((VLOOKUP($A2677,HeadJournal!$A$1:$K$890,COLUMN(HeadJournal!K$1),0)-VLOOKUP($A2677,HeadJournal!$A$1:$K$890,COLUMN(HeadJournal!J$1),0))*($K2677+$L2677)/(SUMIF($A:$A,$A2677,$K:$K)+SUMIF($A:$A,$A2677,$L:$L)),0)</f>
        <v>16.785714285714285</v>
      </c>
      <c r="O2677" s="30">
        <f>IFERROR((VLOOKUP($A2677,HeadJournal!$A$1:$L$890,COLUMN(HeadJournal!L$1),0)*($K2677+$L2677)/(SUMIF($A:$A,$A2677,$K:$K)+SUMIF($A:$A,$A2677,$L:$L)))/VLOOKUP($A2677,HeadJournal!$A$1:$L$890,COLUMN(HeadJournal!H$1),0),0)</f>
        <v>0</v>
      </c>
      <c r="P2677" s="30">
        <f>IFERROR(SUM(K2677:O2677)*VLOOKUP($A2677,HeadJournal!$A$1:$L$890,COLUMN(HeadJournal!H$1),0),0)</f>
        <v>1276.7857142857142</v>
      </c>
      <c r="Q2677" s="29">
        <v>1700</v>
      </c>
      <c r="R2677" s="31">
        <v>45502</v>
      </c>
      <c r="S2677" s="31" t="s">
        <v>3121</v>
      </c>
      <c r="T2677" s="95" t="str">
        <f t="shared" si="210"/>
        <v>2024 07</v>
      </c>
      <c r="U2677" s="32">
        <f t="shared" si="207"/>
        <v>423.21428571428578</v>
      </c>
      <c r="V2677" s="22">
        <f t="shared" si="208"/>
        <v>0.33146853146853156</v>
      </c>
      <c r="X2677" s="33"/>
      <c r="Y2677" s="33"/>
    </row>
    <row r="2678" spans="1:25" x14ac:dyDescent="0.2">
      <c r="A2678" s="93" t="s">
        <v>1220</v>
      </c>
      <c r="B2678" s="94" t="str">
        <f>IFERROR(VLOOKUP($A2678,HeadJournal!$A$1:$NTR$890,COLUMN(HeadJournal!B$1),0),"")</f>
        <v>1395905958</v>
      </c>
      <c r="C2678" s="94" t="str">
        <f>IFERROR(VLOOKUP($A2678,HeadJournal!$A$1:$NTR$890,COLUMN(HeadJournal!C$1),0),"")</f>
        <v>essens_OA</v>
      </c>
      <c r="D2678" s="125" t="str">
        <f>IFERROR(VLOOKUP($A2678,HeadJournal!$A$1:$NTR$890,COLUMN(HeadJournal!D$1),0),"")</f>
        <v>Доставлен</v>
      </c>
      <c r="E2678" s="95">
        <f>IFERROR(VLOOKUP($A2678,HeadJournal!$A$1:$NTR$890,COLUMN(HeadJournal!G$1),0),"")</f>
        <v>45279</v>
      </c>
      <c r="F2678" s="95" t="str">
        <f t="shared" si="209"/>
        <v>2023 12</v>
      </c>
      <c r="G2678" s="96" t="s">
        <v>8</v>
      </c>
      <c r="H2678" s="161" t="s">
        <v>2260</v>
      </c>
      <c r="I2678" s="97" t="s">
        <v>2243</v>
      </c>
      <c r="J2678" s="97" t="s">
        <v>2268</v>
      </c>
      <c r="K2678" s="29">
        <v>1545</v>
      </c>
      <c r="L2678" s="29">
        <v>-247.48833592534993</v>
      </c>
      <c r="M2678" s="30">
        <f>IFERROR(VLOOKUP($A2678,HeadJournal!$A$1:$J$890,COLUMN(HeadJournal!I$1),0)*($K2678+$L2678)/(SUMIF($A:$A,$A2678,$K:$K)+SUMIF($A:$A,$A2678,$L:$L)),0)</f>
        <v>0</v>
      </c>
      <c r="N2678" s="30">
        <f>IFERROR((VLOOKUP($A2678,HeadJournal!$A$1:$K$890,COLUMN(HeadJournal!K$1),0)-VLOOKUP($A2678,HeadJournal!$A$1:$K$890,COLUMN(HeadJournal!J$1),0))*($K2678+$L2678)/(SUMIF($A:$A,$A2678,$K:$K)+SUMIF($A:$A,$A2678,$L:$L)),0)</f>
        <v>-9.5515731642597004</v>
      </c>
      <c r="O2678" s="30">
        <f>IFERROR((VLOOKUP($A2678,HeadJournal!$A$1:$L$890,COLUMN(HeadJournal!L$1),0)*($K2678+$L2678)/(SUMIF($A:$A,$A2678,$K:$K)+SUMIF($A:$A,$A2678,$L:$L)))/VLOOKUP($A2678,HeadJournal!$A$1:$L$890,COLUMN(HeadJournal!H$1),0),0)</f>
        <v>81.888820594919878</v>
      </c>
      <c r="P2678" s="30">
        <f>IFERROR(SUM(K2678:O2678)*VLOOKUP($A2678,HeadJournal!$A$1:$L$890,COLUMN(HeadJournal!H$1),0),0)</f>
        <v>1369.8489115053103</v>
      </c>
      <c r="Q2678" s="29">
        <v>2200</v>
      </c>
      <c r="R2678" s="31">
        <v>45319</v>
      </c>
      <c r="S2678" s="31" t="s">
        <v>3121</v>
      </c>
      <c r="T2678" s="95" t="str">
        <f t="shared" si="210"/>
        <v>2024 01</v>
      </c>
      <c r="U2678" s="32">
        <f t="shared" si="207"/>
        <v>830.1510884946897</v>
      </c>
      <c r="V2678" s="22">
        <f t="shared" si="208"/>
        <v>0.60601653329960803</v>
      </c>
      <c r="X2678" s="33"/>
      <c r="Y2678" s="33"/>
    </row>
    <row r="2679" spans="1:25" x14ac:dyDescent="0.2">
      <c r="A2679" s="93" t="s">
        <v>1220</v>
      </c>
      <c r="B2679" s="94" t="str">
        <f>IFERROR(VLOOKUP($A2679,HeadJournal!$A$1:$NTR$890,COLUMN(HeadJournal!B$1),0),"")</f>
        <v>1395905958</v>
      </c>
      <c r="C2679" s="94" t="str">
        <f>IFERROR(VLOOKUP($A2679,HeadJournal!$A$1:$NTR$890,COLUMN(HeadJournal!C$1),0),"")</f>
        <v>essens_OA</v>
      </c>
      <c r="D2679" s="125" t="str">
        <f>IFERROR(VLOOKUP($A2679,HeadJournal!$A$1:$NTR$890,COLUMN(HeadJournal!D$1),0),"")</f>
        <v>Доставлен</v>
      </c>
      <c r="E2679" s="95">
        <f>IFERROR(VLOOKUP($A2679,HeadJournal!$A$1:$NTR$890,COLUMN(HeadJournal!G$1),0),"")</f>
        <v>45279</v>
      </c>
      <c r="F2679" s="95" t="str">
        <f t="shared" si="209"/>
        <v>2023 12</v>
      </c>
      <c r="G2679" s="96" t="s">
        <v>8</v>
      </c>
      <c r="H2679" s="161" t="s">
        <v>5253</v>
      </c>
      <c r="I2679" s="97" t="s">
        <v>2243</v>
      </c>
      <c r="J2679" s="97" t="s">
        <v>5311</v>
      </c>
      <c r="K2679" s="29">
        <v>1545</v>
      </c>
      <c r="L2679" s="29">
        <v>-247.48833592534993</v>
      </c>
      <c r="M2679" s="30">
        <f>IFERROR(VLOOKUP($A2679,HeadJournal!$A$1:$J$890,COLUMN(HeadJournal!I$1),0)*($K2679+$L2679)/(SUMIF($A:$A,$A2679,$K:$K)+SUMIF($A:$A,$A2679,$L:$L)),0)</f>
        <v>0</v>
      </c>
      <c r="N2679" s="30">
        <f>IFERROR((VLOOKUP($A2679,HeadJournal!$A$1:$K$890,COLUMN(HeadJournal!K$1),0)-VLOOKUP($A2679,HeadJournal!$A$1:$K$890,COLUMN(HeadJournal!J$1),0))*($K2679+$L2679)/(SUMIF($A:$A,$A2679,$K:$K)+SUMIF($A:$A,$A2679,$L:$L)),0)</f>
        <v>-9.5515731642597004</v>
      </c>
      <c r="O2679" s="30">
        <f>IFERROR((VLOOKUP($A2679,HeadJournal!$A$1:$L$890,COLUMN(HeadJournal!L$1),0)*($K2679+$L2679)/(SUMIF($A:$A,$A2679,$K:$K)+SUMIF($A:$A,$A2679,$L:$L)))/VLOOKUP($A2679,HeadJournal!$A$1:$L$890,COLUMN(HeadJournal!H$1),0),0)</f>
        <v>81.888820594919878</v>
      </c>
      <c r="P2679" s="30">
        <f>IFERROR(SUM(K2679:O2679)*VLOOKUP($A2679,HeadJournal!$A$1:$L$890,COLUMN(HeadJournal!H$1),0),0)</f>
        <v>1369.8489115053103</v>
      </c>
      <c r="Q2679" s="29">
        <v>2200</v>
      </c>
      <c r="R2679" s="31">
        <v>45574</v>
      </c>
      <c r="S2679" s="31" t="s">
        <v>3121</v>
      </c>
      <c r="T2679" s="95" t="str">
        <f t="shared" si="210"/>
        <v>2024 10</v>
      </c>
      <c r="U2679" s="32">
        <f t="shared" si="207"/>
        <v>830.1510884946897</v>
      </c>
      <c r="V2679" s="22">
        <f t="shared" si="208"/>
        <v>0.60601653329960803</v>
      </c>
      <c r="X2679" s="33"/>
      <c r="Y2679" s="33"/>
    </row>
    <row r="2680" spans="1:25" x14ac:dyDescent="0.2">
      <c r="A2680" s="93" t="s">
        <v>1220</v>
      </c>
      <c r="B2680" s="94" t="str">
        <f>IFERROR(VLOOKUP($A2680,HeadJournal!$A$1:$NTR$890,COLUMN(HeadJournal!B$1),0),"")</f>
        <v>1395905958</v>
      </c>
      <c r="C2680" s="94" t="str">
        <f>IFERROR(VLOOKUP($A2680,HeadJournal!$A$1:$NTR$890,COLUMN(HeadJournal!C$1),0),"")</f>
        <v>essens_OA</v>
      </c>
      <c r="D2680" s="125" t="str">
        <f>IFERROR(VLOOKUP($A2680,HeadJournal!$A$1:$NTR$890,COLUMN(HeadJournal!D$1),0),"")</f>
        <v>Доставлен</v>
      </c>
      <c r="E2680" s="95">
        <f>IFERROR(VLOOKUP($A2680,HeadJournal!$A$1:$NTR$890,COLUMN(HeadJournal!G$1),0),"")</f>
        <v>45279</v>
      </c>
      <c r="F2680" s="95" t="str">
        <f t="shared" si="209"/>
        <v>2023 12</v>
      </c>
      <c r="G2680" s="96" t="s">
        <v>8</v>
      </c>
      <c r="H2680" s="161" t="s">
        <v>5254</v>
      </c>
      <c r="I2680" s="97" t="s">
        <v>2243</v>
      </c>
      <c r="J2680" s="97" t="s">
        <v>5312</v>
      </c>
      <c r="K2680" s="29">
        <v>1545</v>
      </c>
      <c r="L2680" s="29">
        <v>-247.48833592534993</v>
      </c>
      <c r="M2680" s="30">
        <f>IFERROR(VLOOKUP($A2680,HeadJournal!$A$1:$J$890,COLUMN(HeadJournal!I$1),0)*($K2680+$L2680)/(SUMIF($A:$A,$A2680,$K:$K)+SUMIF($A:$A,$A2680,$L:$L)),0)</f>
        <v>0</v>
      </c>
      <c r="N2680" s="30">
        <f>IFERROR((VLOOKUP($A2680,HeadJournal!$A$1:$K$890,COLUMN(HeadJournal!K$1),0)-VLOOKUP($A2680,HeadJournal!$A$1:$K$890,COLUMN(HeadJournal!J$1),0))*($K2680+$L2680)/(SUMIF($A:$A,$A2680,$K:$K)+SUMIF($A:$A,$A2680,$L:$L)),0)</f>
        <v>-9.5515731642597004</v>
      </c>
      <c r="O2680" s="30">
        <f>IFERROR((VLOOKUP($A2680,HeadJournal!$A$1:$L$890,COLUMN(HeadJournal!L$1),0)*($K2680+$L2680)/(SUMIF($A:$A,$A2680,$K:$K)+SUMIF($A:$A,$A2680,$L:$L)))/VLOOKUP($A2680,HeadJournal!$A$1:$L$890,COLUMN(HeadJournal!H$1),0),0)</f>
        <v>81.888820594919878</v>
      </c>
      <c r="P2680" s="30">
        <f>IFERROR(SUM(K2680:O2680)*VLOOKUP($A2680,HeadJournal!$A$1:$L$890,COLUMN(HeadJournal!H$1),0),0)</f>
        <v>1369.8489115053103</v>
      </c>
      <c r="Q2680" s="29"/>
      <c r="R2680" s="31"/>
      <c r="S2680" s="31"/>
      <c r="T2680" s="95" t="str">
        <f t="shared" si="210"/>
        <v/>
      </c>
      <c r="U2680" s="32">
        <f t="shared" si="207"/>
        <v>-1369.8489115053103</v>
      </c>
      <c r="V2680" s="22" t="str">
        <f t="shared" si="208"/>
        <v/>
      </c>
      <c r="X2680" s="33"/>
      <c r="Y2680" s="33"/>
    </row>
    <row r="2681" spans="1:25" x14ac:dyDescent="0.2">
      <c r="A2681" s="93" t="s">
        <v>1220</v>
      </c>
      <c r="B2681" s="94" t="str">
        <f>IFERROR(VLOOKUP($A2681,HeadJournal!$A$1:$NTR$890,COLUMN(HeadJournal!B$1),0),"")</f>
        <v>1395905958</v>
      </c>
      <c r="C2681" s="94" t="str">
        <f>IFERROR(VLOOKUP($A2681,HeadJournal!$A$1:$NTR$890,COLUMN(HeadJournal!C$1),0),"")</f>
        <v>essens_OA</v>
      </c>
      <c r="D2681" s="125" t="str">
        <f>IFERROR(VLOOKUP($A2681,HeadJournal!$A$1:$NTR$890,COLUMN(HeadJournal!D$1),0),"")</f>
        <v>Доставлен</v>
      </c>
      <c r="E2681" s="95">
        <f>IFERROR(VLOOKUP($A2681,HeadJournal!$A$1:$NTR$890,COLUMN(HeadJournal!G$1),0),"")</f>
        <v>45279</v>
      </c>
      <c r="F2681" s="95" t="str">
        <f t="shared" si="209"/>
        <v>2023 12</v>
      </c>
      <c r="G2681" s="96" t="s">
        <v>8</v>
      </c>
      <c r="H2681" s="161" t="s">
        <v>5255</v>
      </c>
      <c r="I2681" s="97" t="s">
        <v>2243</v>
      </c>
      <c r="J2681" s="97" t="s">
        <v>5313</v>
      </c>
      <c r="K2681" s="29">
        <v>1545</v>
      </c>
      <c r="L2681" s="29">
        <v>-247.48833592534993</v>
      </c>
      <c r="M2681" s="30">
        <f>IFERROR(VLOOKUP($A2681,HeadJournal!$A$1:$J$890,COLUMN(HeadJournal!I$1),0)*($K2681+$L2681)/(SUMIF($A:$A,$A2681,$K:$K)+SUMIF($A:$A,$A2681,$L:$L)),0)</f>
        <v>0</v>
      </c>
      <c r="N2681" s="30">
        <f>IFERROR((VLOOKUP($A2681,HeadJournal!$A$1:$K$890,COLUMN(HeadJournal!K$1),0)-VLOOKUP($A2681,HeadJournal!$A$1:$K$890,COLUMN(HeadJournal!J$1),0))*($K2681+$L2681)/(SUMIF($A:$A,$A2681,$K:$K)+SUMIF($A:$A,$A2681,$L:$L)),0)</f>
        <v>-9.5515731642597004</v>
      </c>
      <c r="O2681" s="30">
        <f>IFERROR((VLOOKUP($A2681,HeadJournal!$A$1:$L$890,COLUMN(HeadJournal!L$1),0)*($K2681+$L2681)/(SUMIF($A:$A,$A2681,$K:$K)+SUMIF($A:$A,$A2681,$L:$L)))/VLOOKUP($A2681,HeadJournal!$A$1:$L$890,COLUMN(HeadJournal!H$1),0),0)</f>
        <v>81.888820594919878</v>
      </c>
      <c r="P2681" s="30">
        <f>IFERROR(SUM(K2681:O2681)*VLOOKUP($A2681,HeadJournal!$A$1:$L$890,COLUMN(HeadJournal!H$1),0),0)</f>
        <v>1369.8489115053103</v>
      </c>
      <c r="Q2681" s="29">
        <v>1380.0077760497668</v>
      </c>
      <c r="R2681" s="31">
        <v>45289</v>
      </c>
      <c r="S2681" s="31" t="s">
        <v>3121</v>
      </c>
      <c r="T2681" s="95" t="str">
        <f t="shared" si="210"/>
        <v>2023 12</v>
      </c>
      <c r="U2681" s="32">
        <f t="shared" si="207"/>
        <v>10.158864544456492</v>
      </c>
      <c r="V2681" s="22">
        <f t="shared" si="208"/>
        <v>7.4160474627037801E-3</v>
      </c>
      <c r="X2681" s="33"/>
      <c r="Y2681" s="33"/>
    </row>
    <row r="2682" spans="1:25" x14ac:dyDescent="0.2">
      <c r="A2682" s="93" t="s">
        <v>1220</v>
      </c>
      <c r="B2682" s="94" t="str">
        <f>IFERROR(VLOOKUP($A2682,HeadJournal!$A$1:$NTR$890,COLUMN(HeadJournal!B$1),0),"")</f>
        <v>1395905958</v>
      </c>
      <c r="C2682" s="94" t="str">
        <f>IFERROR(VLOOKUP($A2682,HeadJournal!$A$1:$NTR$890,COLUMN(HeadJournal!C$1),0),"")</f>
        <v>essens_OA</v>
      </c>
      <c r="D2682" s="125" t="str">
        <f>IFERROR(VLOOKUP($A2682,HeadJournal!$A$1:$NTR$890,COLUMN(HeadJournal!D$1),0),"")</f>
        <v>Доставлен</v>
      </c>
      <c r="E2682" s="95">
        <f>IFERROR(VLOOKUP($A2682,HeadJournal!$A$1:$NTR$890,COLUMN(HeadJournal!G$1),0),"")</f>
        <v>45279</v>
      </c>
      <c r="F2682" s="95" t="str">
        <f t="shared" si="209"/>
        <v>2023 12</v>
      </c>
      <c r="G2682" s="96" t="s">
        <v>8</v>
      </c>
      <c r="H2682" s="161" t="s">
        <v>5256</v>
      </c>
      <c r="I2682" s="97" t="s">
        <v>2243</v>
      </c>
      <c r="J2682" s="97" t="s">
        <v>5314</v>
      </c>
      <c r="K2682" s="29">
        <v>1545</v>
      </c>
      <c r="L2682" s="29">
        <v>-247.48833592534993</v>
      </c>
      <c r="M2682" s="30">
        <f>IFERROR(VLOOKUP($A2682,HeadJournal!$A$1:$J$890,COLUMN(HeadJournal!I$1),0)*($K2682+$L2682)/(SUMIF($A:$A,$A2682,$K:$K)+SUMIF($A:$A,$A2682,$L:$L)),0)</f>
        <v>0</v>
      </c>
      <c r="N2682" s="30">
        <f>IFERROR((VLOOKUP($A2682,HeadJournal!$A$1:$K$890,COLUMN(HeadJournal!K$1),0)-VLOOKUP($A2682,HeadJournal!$A$1:$K$890,COLUMN(HeadJournal!J$1),0))*($K2682+$L2682)/(SUMIF($A:$A,$A2682,$K:$K)+SUMIF($A:$A,$A2682,$L:$L)),0)</f>
        <v>-9.5515731642597004</v>
      </c>
      <c r="O2682" s="30">
        <f>IFERROR((VLOOKUP($A2682,HeadJournal!$A$1:$L$890,COLUMN(HeadJournal!L$1),0)*($K2682+$L2682)/(SUMIF($A:$A,$A2682,$K:$K)+SUMIF($A:$A,$A2682,$L:$L)))/VLOOKUP($A2682,HeadJournal!$A$1:$L$890,COLUMN(HeadJournal!H$1),0),0)</f>
        <v>81.888820594919878</v>
      </c>
      <c r="P2682" s="30">
        <f>IFERROR(SUM(K2682:O2682)*VLOOKUP($A2682,HeadJournal!$A$1:$L$890,COLUMN(HeadJournal!H$1),0),0)</f>
        <v>1369.8489115053103</v>
      </c>
      <c r="Q2682" s="29">
        <v>2200</v>
      </c>
      <c r="R2682" s="31">
        <v>45315</v>
      </c>
      <c r="S2682" s="31" t="s">
        <v>3121</v>
      </c>
      <c r="T2682" s="95" t="str">
        <f t="shared" si="210"/>
        <v>2024 01</v>
      </c>
      <c r="U2682" s="32">
        <f t="shared" si="207"/>
        <v>830.1510884946897</v>
      </c>
      <c r="V2682" s="22">
        <f t="shared" si="208"/>
        <v>0.60601653329960803</v>
      </c>
      <c r="X2682" s="33"/>
      <c r="Y2682" s="33"/>
    </row>
    <row r="2683" spans="1:25" x14ac:dyDescent="0.2">
      <c r="A2683" s="93" t="s">
        <v>1220</v>
      </c>
      <c r="B2683" s="94" t="str">
        <f>IFERROR(VLOOKUP($A2683,HeadJournal!$A$1:$NTR$890,COLUMN(HeadJournal!B$1),0),"")</f>
        <v>1395905958</v>
      </c>
      <c r="C2683" s="94" t="str">
        <f>IFERROR(VLOOKUP($A2683,HeadJournal!$A$1:$NTR$890,COLUMN(HeadJournal!C$1),0),"")</f>
        <v>essens_OA</v>
      </c>
      <c r="D2683" s="125" t="str">
        <f>IFERROR(VLOOKUP($A2683,HeadJournal!$A$1:$NTR$890,COLUMN(HeadJournal!D$1),0),"")</f>
        <v>Доставлен</v>
      </c>
      <c r="E2683" s="95">
        <f>IFERROR(VLOOKUP($A2683,HeadJournal!$A$1:$NTR$890,COLUMN(HeadJournal!G$1),0),"")</f>
        <v>45279</v>
      </c>
      <c r="F2683" s="95" t="str">
        <f t="shared" si="209"/>
        <v>2023 12</v>
      </c>
      <c r="G2683" s="96" t="s">
        <v>8</v>
      </c>
      <c r="H2683" s="161" t="s">
        <v>5257</v>
      </c>
      <c r="I2683" s="97" t="s">
        <v>2243</v>
      </c>
      <c r="J2683" s="97" t="s">
        <v>5315</v>
      </c>
      <c r="K2683" s="29">
        <v>1545</v>
      </c>
      <c r="L2683" s="29">
        <v>-247.48833592534993</v>
      </c>
      <c r="M2683" s="30">
        <f>IFERROR(VLOOKUP($A2683,HeadJournal!$A$1:$J$890,COLUMN(HeadJournal!I$1),0)*($K2683+$L2683)/(SUMIF($A:$A,$A2683,$K:$K)+SUMIF($A:$A,$A2683,$L:$L)),0)</f>
        <v>0</v>
      </c>
      <c r="N2683" s="30">
        <f>IFERROR((VLOOKUP($A2683,HeadJournal!$A$1:$K$890,COLUMN(HeadJournal!K$1),0)-VLOOKUP($A2683,HeadJournal!$A$1:$K$890,COLUMN(HeadJournal!J$1),0))*($K2683+$L2683)/(SUMIF($A:$A,$A2683,$K:$K)+SUMIF($A:$A,$A2683,$L:$L)),0)</f>
        <v>-9.5515731642597004</v>
      </c>
      <c r="O2683" s="30">
        <f>IFERROR((VLOOKUP($A2683,HeadJournal!$A$1:$L$890,COLUMN(HeadJournal!L$1),0)*($K2683+$L2683)/(SUMIF($A:$A,$A2683,$K:$K)+SUMIF($A:$A,$A2683,$L:$L)))/VLOOKUP($A2683,HeadJournal!$A$1:$L$890,COLUMN(HeadJournal!H$1),0),0)</f>
        <v>81.888820594919878</v>
      </c>
      <c r="P2683" s="30">
        <f>IFERROR(SUM(K2683:O2683)*VLOOKUP($A2683,HeadJournal!$A$1:$L$890,COLUMN(HeadJournal!H$1),0),0)</f>
        <v>1369.8489115053103</v>
      </c>
      <c r="Q2683" s="29">
        <v>2200</v>
      </c>
      <c r="R2683" s="31">
        <v>45289</v>
      </c>
      <c r="S2683" s="31" t="s">
        <v>3121</v>
      </c>
      <c r="T2683" s="95" t="str">
        <f t="shared" si="210"/>
        <v>2023 12</v>
      </c>
      <c r="U2683" s="32">
        <f t="shared" si="207"/>
        <v>830.1510884946897</v>
      </c>
      <c r="V2683" s="22">
        <f t="shared" si="208"/>
        <v>0.60601653329960803</v>
      </c>
      <c r="X2683" s="33"/>
      <c r="Y2683" s="33"/>
    </row>
    <row r="2684" spans="1:25" x14ac:dyDescent="0.2">
      <c r="A2684" s="93" t="s">
        <v>1220</v>
      </c>
      <c r="B2684" s="94" t="str">
        <f>IFERROR(VLOOKUP($A2684,HeadJournal!$A$1:$NTR$890,COLUMN(HeadJournal!B$1),0),"")</f>
        <v>1395905958</v>
      </c>
      <c r="C2684" s="94" t="str">
        <f>IFERROR(VLOOKUP($A2684,HeadJournal!$A$1:$NTR$890,COLUMN(HeadJournal!C$1),0),"")</f>
        <v>essens_OA</v>
      </c>
      <c r="D2684" s="125" t="str">
        <f>IFERROR(VLOOKUP($A2684,HeadJournal!$A$1:$NTR$890,COLUMN(HeadJournal!D$1),0),"")</f>
        <v>Доставлен</v>
      </c>
      <c r="E2684" s="95">
        <f>IFERROR(VLOOKUP($A2684,HeadJournal!$A$1:$NTR$890,COLUMN(HeadJournal!G$1),0),"")</f>
        <v>45279</v>
      </c>
      <c r="F2684" s="95" t="str">
        <f t="shared" si="209"/>
        <v>2023 12</v>
      </c>
      <c r="G2684" s="96" t="s">
        <v>8</v>
      </c>
      <c r="H2684" s="161" t="s">
        <v>5258</v>
      </c>
      <c r="I2684" s="97" t="s">
        <v>2243</v>
      </c>
      <c r="J2684" s="97" t="s">
        <v>5316</v>
      </c>
      <c r="K2684" s="29">
        <v>375</v>
      </c>
      <c r="L2684" s="29">
        <v>0</v>
      </c>
      <c r="M2684" s="30">
        <f>IFERROR(VLOOKUP($A2684,HeadJournal!$A$1:$J$890,COLUMN(HeadJournal!I$1),0)*($K2684+$L2684)/(SUMIF($A:$A,$A2684,$K:$K)+SUMIF($A:$A,$A2684,$L:$L)),0)</f>
        <v>0</v>
      </c>
      <c r="N2684" s="30">
        <f>IFERROR((VLOOKUP($A2684,HeadJournal!$A$1:$K$890,COLUMN(HeadJournal!K$1),0)-VLOOKUP($A2684,HeadJournal!$A$1:$K$890,COLUMN(HeadJournal!J$1),0))*($K2684+$L2684)/(SUMIF($A:$A,$A2684,$K:$K)+SUMIF($A:$A,$A2684,$L:$L)),0)</f>
        <v>-2.7605454623422268</v>
      </c>
      <c r="O2684" s="30">
        <f>IFERROR((VLOOKUP($A2684,HeadJournal!$A$1:$L$890,COLUMN(HeadJournal!L$1),0)*($K2684+$L2684)/(SUMIF($A:$A,$A2684,$K:$K)+SUMIF($A:$A,$A2684,$L:$L)))/VLOOKUP($A2684,HeadJournal!$A$1:$L$890,COLUMN(HeadJournal!H$1),0),0)</f>
        <v>23.667076430480709</v>
      </c>
      <c r="P2684" s="30">
        <f>IFERROR(SUM(K2684:O2684)*VLOOKUP($A2684,HeadJournal!$A$1:$L$890,COLUMN(HeadJournal!H$1),0),0)</f>
        <v>395.9065309681385</v>
      </c>
      <c r="Q2684" s="29"/>
      <c r="R2684" s="31"/>
      <c r="S2684" s="31"/>
      <c r="T2684" s="95" t="str">
        <f t="shared" si="210"/>
        <v/>
      </c>
      <c r="U2684" s="32">
        <f t="shared" si="207"/>
        <v>-395.9065309681385</v>
      </c>
      <c r="V2684" s="22" t="str">
        <f t="shared" si="208"/>
        <v/>
      </c>
      <c r="X2684" s="33"/>
      <c r="Y2684" s="33"/>
    </row>
    <row r="2685" spans="1:25" x14ac:dyDescent="0.2">
      <c r="A2685" s="93" t="s">
        <v>1221</v>
      </c>
      <c r="B2685" s="94" t="str">
        <f>IFERROR(VLOOKUP($A2685,HeadJournal!$A$1:$NTR$890,COLUMN(HeadJournal!B$1),0),"")</f>
        <v>720000066732</v>
      </c>
      <c r="C2685" s="94" t="str">
        <f>IFERROR(VLOOKUP($A2685,HeadJournal!$A$1:$NTR$890,COLUMN(HeadJournal!C$1),0),"")</f>
        <v>iHerb_MH DLE7202</v>
      </c>
      <c r="D2685" s="125" t="str">
        <f>IFERROR(VLOOKUP($A2685,HeadJournal!$A$1:$NTR$890,COLUMN(HeadJournal!D$1),0),"")</f>
        <v>Доставлен</v>
      </c>
      <c r="E2685" s="95">
        <f>IFERROR(VLOOKUP($A2685,HeadJournal!$A$1:$NTR$890,COLUMN(HeadJournal!G$1),0),"")</f>
        <v>45285</v>
      </c>
      <c r="F2685" s="95" t="str">
        <f t="shared" si="209"/>
        <v>2023 12</v>
      </c>
      <c r="G2685" s="96" t="s">
        <v>7</v>
      </c>
      <c r="H2685" s="161" t="str">
        <f>RIGHT(Journal!$J2685,9)</f>
        <v>NOW-07788</v>
      </c>
      <c r="I2685" s="97" t="str">
        <f t="shared" ref="I2685:I2714" si="212">IFERROR(LEFT(J2685,FIND(",",J2685)-1),"")</f>
        <v>NOW Foods</v>
      </c>
      <c r="J2685" s="97" t="s">
        <v>1222</v>
      </c>
      <c r="K2685" s="29">
        <v>12.07</v>
      </c>
      <c r="L2685" s="29">
        <v>-2.41</v>
      </c>
      <c r="M2685" s="30">
        <f>IFERROR(VLOOKUP($A2685,HeadJournal!$A$1:$J$890,COLUMN(HeadJournal!I$1),0)*($K2685+$L2685)/(SUMIF($A:$A,$A2685,$K:$K)+SUMIF($A:$A,$A2685,$L:$L)),0)</f>
        <v>-1.0342150857542878</v>
      </c>
      <c r="N2685" s="30">
        <f>IFERROR((VLOOKUP($A2685,HeadJournal!$A$1:$K$890,COLUMN(HeadJournal!K$1),0)-VLOOKUP($A2685,HeadJournal!$A$1:$K$890,COLUMN(HeadJournal!J$1),0))*($K2685+$L2685)/(SUMIF($A:$A,$A2685,$K:$K)+SUMIF($A:$A,$A2685,$L:$L)),0)</f>
        <v>0</v>
      </c>
      <c r="O2685" s="30">
        <f>IFERROR((VLOOKUP($A2685,HeadJournal!$A$1:$L$890,COLUMN(HeadJournal!L$1),0)*($K2685+$L2685)/(SUMIF($A:$A,$A2685,$K:$K)+SUMIF($A:$A,$A2685,$L:$L)))/VLOOKUP($A2685,HeadJournal!$A$1:$L$890,COLUMN(HeadJournal!H$1),0),0)</f>
        <v>0.51170927596891747</v>
      </c>
      <c r="P2685" s="30">
        <f>IFERROR(SUM(K2685:O2685)*VLOOKUP($A2685,HeadJournal!$A$1:$L$890,COLUMN(HeadJournal!H$1),0),0)</f>
        <v>943.89701610080499</v>
      </c>
      <c r="Q2685" s="29"/>
      <c r="R2685" s="31"/>
      <c r="S2685" s="31"/>
      <c r="T2685" s="95" t="str">
        <f t="shared" si="210"/>
        <v/>
      </c>
      <c r="U2685" s="32">
        <f t="shared" si="207"/>
        <v>-943.89701610080499</v>
      </c>
      <c r="V2685" s="22" t="str">
        <f t="shared" si="208"/>
        <v/>
      </c>
      <c r="X2685" s="33"/>
      <c r="Y2685" s="33"/>
    </row>
    <row r="2686" spans="1:25" x14ac:dyDescent="0.2">
      <c r="A2686" s="93" t="s">
        <v>1221</v>
      </c>
      <c r="B2686" s="94" t="str">
        <f>IFERROR(VLOOKUP($A2686,HeadJournal!$A$1:$NTR$890,COLUMN(HeadJournal!B$1),0),"")</f>
        <v>720000066732</v>
      </c>
      <c r="C2686" s="94" t="str">
        <f>IFERROR(VLOOKUP($A2686,HeadJournal!$A$1:$NTR$890,COLUMN(HeadJournal!C$1),0),"")</f>
        <v>iHerb_MH DLE7202</v>
      </c>
      <c r="D2686" s="125" t="str">
        <f>IFERROR(VLOOKUP($A2686,HeadJournal!$A$1:$NTR$890,COLUMN(HeadJournal!D$1),0),"")</f>
        <v>Доставлен</v>
      </c>
      <c r="E2686" s="95">
        <f>IFERROR(VLOOKUP($A2686,HeadJournal!$A$1:$NTR$890,COLUMN(HeadJournal!G$1),0),"")</f>
        <v>45285</v>
      </c>
      <c r="F2686" s="95" t="str">
        <f t="shared" si="209"/>
        <v>2023 12</v>
      </c>
      <c r="G2686" s="96" t="s">
        <v>5</v>
      </c>
      <c r="H2686" s="161" t="s">
        <v>3009</v>
      </c>
      <c r="I2686" s="97" t="s">
        <v>2005</v>
      </c>
      <c r="J2686" s="97" t="s">
        <v>3010</v>
      </c>
      <c r="K2686" s="29">
        <v>16.329999999999998</v>
      </c>
      <c r="L2686" s="29">
        <v>-6.53</v>
      </c>
      <c r="M2686" s="30">
        <f>IFERROR(VLOOKUP($A2686,HeadJournal!$A$1:$J$890,COLUMN(HeadJournal!I$1),0)*($K2686+$L2686)/(SUMIF($A:$A,$A2686,$K:$K)+SUMIF($A:$A,$A2686,$L:$L)),0)</f>
        <v>-1.049203710185509</v>
      </c>
      <c r="N2686" s="30">
        <f>IFERROR((VLOOKUP($A2686,HeadJournal!$A$1:$K$890,COLUMN(HeadJournal!K$1),0)-VLOOKUP($A2686,HeadJournal!$A$1:$K$890,COLUMN(HeadJournal!J$1),0))*($K2686+$L2686)/(SUMIF($A:$A,$A2686,$K:$K)+SUMIF($A:$A,$A2686,$L:$L)),0)</f>
        <v>0</v>
      </c>
      <c r="O2686" s="30">
        <f>IFERROR((VLOOKUP($A2686,HeadJournal!$A$1:$L$890,COLUMN(HeadJournal!L$1),0)*($K2686+$L2686)/(SUMIF($A:$A,$A2686,$K:$K)+SUMIF($A:$A,$A2686,$L:$L)))/VLOOKUP($A2686,HeadJournal!$A$1:$L$890,COLUMN(HeadJournal!H$1),0),0)</f>
        <v>0.51912535243223501</v>
      </c>
      <c r="P2686" s="30">
        <f>IFERROR(SUM(K2686:O2686)*VLOOKUP($A2686,HeadJournal!$A$1:$L$890,COLUMN(HeadJournal!H$1),0),0)</f>
        <v>957.57668300081639</v>
      </c>
      <c r="Q2686" s="29">
        <v>957.58</v>
      </c>
      <c r="R2686" s="31">
        <v>45342</v>
      </c>
      <c r="S2686" s="31" t="s">
        <v>3121</v>
      </c>
      <c r="T2686" s="95" t="str">
        <f t="shared" si="210"/>
        <v>2024 02</v>
      </c>
      <c r="U2686" s="32">
        <f t="shared" si="207"/>
        <v>3.3169991836530244E-3</v>
      </c>
      <c r="V2686" s="22">
        <f t="shared" si="208"/>
        <v>3.4639514960392956E-6</v>
      </c>
      <c r="X2686" s="33"/>
      <c r="Y2686" s="33"/>
    </row>
    <row r="2687" spans="1:25" x14ac:dyDescent="0.2">
      <c r="A2687" s="93" t="s">
        <v>1221</v>
      </c>
      <c r="B2687" s="94" t="str">
        <f>IFERROR(VLOOKUP($A2687,HeadJournal!$A$1:$NTR$890,COLUMN(HeadJournal!B$1),0),"")</f>
        <v>720000066732</v>
      </c>
      <c r="C2687" s="94" t="str">
        <f>IFERROR(VLOOKUP($A2687,HeadJournal!$A$1:$NTR$890,COLUMN(HeadJournal!C$1),0),"")</f>
        <v>iHerb_MH DLE7202</v>
      </c>
      <c r="D2687" s="125" t="str">
        <f>IFERROR(VLOOKUP($A2687,HeadJournal!$A$1:$NTR$890,COLUMN(HeadJournal!D$1),0),"")</f>
        <v>Доставлен</v>
      </c>
      <c r="E2687" s="95">
        <f>IFERROR(VLOOKUP($A2687,HeadJournal!$A$1:$NTR$890,COLUMN(HeadJournal!G$1),0),"")</f>
        <v>45285</v>
      </c>
      <c r="F2687" s="95" t="str">
        <f t="shared" si="209"/>
        <v>2023 12</v>
      </c>
      <c r="G2687" s="96" t="s">
        <v>5</v>
      </c>
      <c r="H2687" s="161" t="s">
        <v>2087</v>
      </c>
      <c r="I2687" s="97" t="s">
        <v>2005</v>
      </c>
      <c r="J2687" s="97" t="s">
        <v>2088</v>
      </c>
      <c r="K2687" s="29">
        <v>22.35</v>
      </c>
      <c r="L2687" s="29">
        <v>-4.47</v>
      </c>
      <c r="M2687" s="30">
        <f>IFERROR(VLOOKUP($A2687,HeadJournal!$A$1:$J$890,COLUMN(HeadJournal!I$1),0)*($K2687+$L2687)/(SUMIF($A:$A,$A2687,$K:$K)+SUMIF($A:$A,$A2687,$L:$L)),0)</f>
        <v>-1.9142614630731538</v>
      </c>
      <c r="N2687" s="30">
        <f>IFERROR((VLOOKUP($A2687,HeadJournal!$A$1:$K$890,COLUMN(HeadJournal!K$1),0)-VLOOKUP($A2687,HeadJournal!$A$1:$K$890,COLUMN(HeadJournal!J$1),0))*($K2687+$L2687)/(SUMIF($A:$A,$A2687,$K:$K)+SUMIF($A:$A,$A2687,$L:$L)),0)</f>
        <v>0</v>
      </c>
      <c r="O2687" s="30">
        <f>IFERROR((VLOOKUP($A2687,HeadJournal!$A$1:$L$890,COLUMN(HeadJournal!L$1),0)*($K2687+$L2687)/(SUMIF($A:$A,$A2687,$K:$K)+SUMIF($A:$A,$A2687,$L:$L)))/VLOOKUP($A2687,HeadJournal!$A$1:$L$890,COLUMN(HeadJournal!H$1),0),0)</f>
        <v>0.94713890831513914</v>
      </c>
      <c r="P2687" s="30">
        <f>IFERROR(SUM(K2687:O2687)*VLOOKUP($A2687,HeadJournal!$A$1:$L$890,COLUMN(HeadJournal!H$1),0),0)</f>
        <v>1747.0888869443475</v>
      </c>
      <c r="Q2687" s="29">
        <v>2600</v>
      </c>
      <c r="R2687" s="31">
        <v>45488</v>
      </c>
      <c r="S2687" s="31" t="s">
        <v>3121</v>
      </c>
      <c r="T2687" s="95" t="str">
        <f t="shared" si="210"/>
        <v>2024 07</v>
      </c>
      <c r="U2687" s="32">
        <f t="shared" si="207"/>
        <v>852.91111305565255</v>
      </c>
      <c r="V2687" s="22">
        <f t="shared" si="208"/>
        <v>0.48818987942129904</v>
      </c>
      <c r="X2687" s="33"/>
      <c r="Y2687" s="33"/>
    </row>
    <row r="2688" spans="1:25" x14ac:dyDescent="0.2">
      <c r="A2688" s="93" t="s">
        <v>1221</v>
      </c>
      <c r="B2688" s="94" t="str">
        <f>IFERROR(VLOOKUP($A2688,HeadJournal!$A$1:$NTR$890,COLUMN(HeadJournal!B$1),0),"")</f>
        <v>720000066732</v>
      </c>
      <c r="C2688" s="94" t="str">
        <f>IFERROR(VLOOKUP($A2688,HeadJournal!$A$1:$NTR$890,COLUMN(HeadJournal!C$1),0),"")</f>
        <v>iHerb_MH DLE7202</v>
      </c>
      <c r="D2688" s="125" t="str">
        <f>IFERROR(VLOOKUP($A2688,HeadJournal!$A$1:$NTR$890,COLUMN(HeadJournal!D$1),0),"")</f>
        <v>Доставлен</v>
      </c>
      <c r="E2688" s="95">
        <f>IFERROR(VLOOKUP($A2688,HeadJournal!$A$1:$NTR$890,COLUMN(HeadJournal!G$1),0),"")</f>
        <v>45285</v>
      </c>
      <c r="F2688" s="95" t="str">
        <f t="shared" si="209"/>
        <v>2023 12</v>
      </c>
      <c r="G2688" s="96" t="s">
        <v>5</v>
      </c>
      <c r="H2688" s="161" t="s">
        <v>3641</v>
      </c>
      <c r="I2688" s="97" t="s">
        <v>2681</v>
      </c>
      <c r="J2688" s="97" t="s">
        <v>3687</v>
      </c>
      <c r="K2688" s="29">
        <v>11.5</v>
      </c>
      <c r="L2688" s="29">
        <v>-2.2999999999999998</v>
      </c>
      <c r="M2688" s="30">
        <f>IFERROR(VLOOKUP($A2688,HeadJournal!$A$1:$J$890,COLUMN(HeadJournal!I$1),0)*($K2688+$L2688)/(SUMIF($A:$A,$A2688,$K:$K)+SUMIF($A:$A,$A2688,$L:$L)),0)</f>
        <v>-0.98496674833741671</v>
      </c>
      <c r="N2688" s="30">
        <f>IFERROR((VLOOKUP($A2688,HeadJournal!$A$1:$K$890,COLUMN(HeadJournal!K$1),0)-VLOOKUP($A2688,HeadJournal!$A$1:$K$890,COLUMN(HeadJournal!J$1),0))*($K2688+$L2688)/(SUMIF($A:$A,$A2688,$K:$K)+SUMIF($A:$A,$A2688,$L:$L)),0)</f>
        <v>0</v>
      </c>
      <c r="O2688" s="30">
        <f>IFERROR((VLOOKUP($A2688,HeadJournal!$A$1:$L$890,COLUMN(HeadJournal!L$1),0)*($K2688+$L2688)/(SUMIF($A:$A,$A2688,$K:$K)+SUMIF($A:$A,$A2688,$L:$L)))/VLOOKUP($A2688,HeadJournal!$A$1:$L$890,COLUMN(HeadJournal!H$1),0),0)</f>
        <v>0.48734216758944515</v>
      </c>
      <c r="P2688" s="30">
        <f>IFERROR(SUM(K2688:O2688)*VLOOKUP($A2688,HeadJournal!$A$1:$L$890,COLUMN(HeadJournal!H$1),0),0)</f>
        <v>898.94953914362361</v>
      </c>
      <c r="Q2688" s="29">
        <v>1600</v>
      </c>
      <c r="R2688" s="31">
        <v>45322</v>
      </c>
      <c r="S2688" s="31" t="s">
        <v>3121</v>
      </c>
      <c r="T2688" s="95" t="str">
        <f t="shared" si="210"/>
        <v>2024 01</v>
      </c>
      <c r="U2688" s="32">
        <f t="shared" si="207"/>
        <v>701.05046085637639</v>
      </c>
      <c r="V2688" s="22">
        <f t="shared" si="208"/>
        <v>0.77985518689316635</v>
      </c>
      <c r="X2688" s="33"/>
      <c r="Y2688" s="33"/>
    </row>
    <row r="2689" spans="1:25" x14ac:dyDescent="0.2">
      <c r="A2689" s="93" t="s">
        <v>1221</v>
      </c>
      <c r="B2689" s="94" t="str">
        <f>IFERROR(VLOOKUP($A2689,HeadJournal!$A$1:$NTR$890,COLUMN(HeadJournal!B$1),0),"")</f>
        <v>720000066732</v>
      </c>
      <c r="C2689" s="94" t="str">
        <f>IFERROR(VLOOKUP($A2689,HeadJournal!$A$1:$NTR$890,COLUMN(HeadJournal!C$1),0),"")</f>
        <v>iHerb_MH DLE7202</v>
      </c>
      <c r="D2689" s="125" t="str">
        <f>IFERROR(VLOOKUP($A2689,HeadJournal!$A$1:$NTR$890,COLUMN(HeadJournal!D$1),0),"")</f>
        <v>Доставлен</v>
      </c>
      <c r="E2689" s="95">
        <f>IFERROR(VLOOKUP($A2689,HeadJournal!$A$1:$NTR$890,COLUMN(HeadJournal!G$1),0),"")</f>
        <v>45285</v>
      </c>
      <c r="F2689" s="95" t="str">
        <f t="shared" si="209"/>
        <v>2023 12</v>
      </c>
      <c r="G2689" s="96" t="s">
        <v>5</v>
      </c>
      <c r="H2689" s="161" t="str">
        <f>RIGHT(Journal!$J2689,9)</f>
        <v>CEN-22928</v>
      </c>
      <c r="I2689" s="97" t="str">
        <f t="shared" si="212"/>
        <v>21st Century</v>
      </c>
      <c r="J2689" s="97" t="s">
        <v>1223</v>
      </c>
      <c r="K2689" s="29">
        <v>11.37</v>
      </c>
      <c r="L2689" s="29">
        <v>-2.27</v>
      </c>
      <c r="M2689" s="30">
        <f>IFERROR(VLOOKUP($A2689,HeadJournal!$A$1:$J$890,COLUMN(HeadJournal!I$1),0)*($K2689+$L2689)/(SUMIF($A:$A,$A2689,$K:$K)+SUMIF($A:$A,$A2689,$L:$L)),0)</f>
        <v>-0.97426058802940141</v>
      </c>
      <c r="N2689" s="30">
        <f>IFERROR((VLOOKUP($A2689,HeadJournal!$A$1:$K$890,COLUMN(HeadJournal!K$1),0)-VLOOKUP($A2689,HeadJournal!$A$1:$K$890,COLUMN(HeadJournal!J$1),0))*($K2689+$L2689)/(SUMIF($A:$A,$A2689,$K:$K)+SUMIF($A:$A,$A2689,$L:$L)),0)</f>
        <v>0</v>
      </c>
      <c r="O2689" s="30">
        <f>IFERROR((VLOOKUP($A2689,HeadJournal!$A$1:$L$890,COLUMN(HeadJournal!L$1),0)*($K2689+$L2689)/(SUMIF($A:$A,$A2689,$K:$K)+SUMIF($A:$A,$A2689,$L:$L)))/VLOOKUP($A2689,HeadJournal!$A$1:$L$890,COLUMN(HeadJournal!H$1),0),0)</f>
        <v>0.4820449701156469</v>
      </c>
      <c r="P2689" s="30">
        <f>IFERROR(SUM(K2689:O2689)*VLOOKUP($A2689,HeadJournal!$A$1:$L$890,COLUMN(HeadJournal!H$1),0),0)</f>
        <v>889.17834850075815</v>
      </c>
      <c r="Q2689" s="29">
        <v>1700</v>
      </c>
      <c r="R2689" s="31">
        <v>45319</v>
      </c>
      <c r="S2689" s="31" t="s">
        <v>3121</v>
      </c>
      <c r="T2689" s="95" t="str">
        <f t="shared" si="210"/>
        <v>2024 01</v>
      </c>
      <c r="U2689" s="32">
        <f t="shared" ref="U2689:U2752" si="213">Q2689-P2689</f>
        <v>810.82165149924185</v>
      </c>
      <c r="V2689" s="22">
        <f t="shared" ref="V2689:V2752" si="214">IF(Q2689&lt;&gt;0,IFERROR(U2689/P2689,""),"")</f>
        <v>0.91187741229458252</v>
      </c>
      <c r="X2689" s="33"/>
      <c r="Y2689" s="33"/>
    </row>
    <row r="2690" spans="1:25" x14ac:dyDescent="0.2">
      <c r="A2690" s="93" t="s">
        <v>1221</v>
      </c>
      <c r="B2690" s="94" t="str">
        <f>IFERROR(VLOOKUP($A2690,HeadJournal!$A$1:$NTR$890,COLUMN(HeadJournal!B$1),0),"")</f>
        <v>720000066732</v>
      </c>
      <c r="C2690" s="94" t="str">
        <f>IFERROR(VLOOKUP($A2690,HeadJournal!$A$1:$NTR$890,COLUMN(HeadJournal!C$1),0),"")</f>
        <v>iHerb_MH DLE7202</v>
      </c>
      <c r="D2690" s="125" t="str">
        <f>IFERROR(VLOOKUP($A2690,HeadJournal!$A$1:$NTR$890,COLUMN(HeadJournal!D$1),0),"")</f>
        <v>Доставлен</v>
      </c>
      <c r="E2690" s="95">
        <f>IFERROR(VLOOKUP($A2690,HeadJournal!$A$1:$NTR$890,COLUMN(HeadJournal!G$1),0),"")</f>
        <v>45285</v>
      </c>
      <c r="F2690" s="95" t="str">
        <f t="shared" si="209"/>
        <v>2023 12</v>
      </c>
      <c r="G2690" s="96" t="s">
        <v>5</v>
      </c>
      <c r="H2690" s="161" t="s">
        <v>2075</v>
      </c>
      <c r="I2690" s="97" t="s">
        <v>2005</v>
      </c>
      <c r="J2690" s="97" t="s">
        <v>3878</v>
      </c>
      <c r="K2690" s="29">
        <v>24.35</v>
      </c>
      <c r="L2690" s="29">
        <v>-4.87</v>
      </c>
      <c r="M2690" s="30">
        <f>IFERROR(VLOOKUP($A2690,HeadJournal!$A$1:$J$890,COLUMN(HeadJournal!I$1),0)*($K2690+$L2690)/(SUMIF($A:$A,$A2690,$K:$K)+SUMIF($A:$A,$A2690,$L:$L)),0)</f>
        <v>-2.0855600280013999</v>
      </c>
      <c r="N2690" s="30">
        <f>IFERROR((VLOOKUP($A2690,HeadJournal!$A$1:$K$890,COLUMN(HeadJournal!K$1),0)-VLOOKUP($A2690,HeadJournal!$A$1:$K$890,COLUMN(HeadJournal!J$1),0))*($K2690+$L2690)/(SUMIF($A:$A,$A2690,$K:$K)+SUMIF($A:$A,$A2690,$L:$L)),0)</f>
        <v>0</v>
      </c>
      <c r="O2690" s="30">
        <f>IFERROR((VLOOKUP($A2690,HeadJournal!$A$1:$L$890,COLUMN(HeadJournal!L$1),0)*($K2690+$L2690)/(SUMIF($A:$A,$A2690,$K:$K)+SUMIF($A:$A,$A2690,$L:$L)))/VLOOKUP($A2690,HeadJournal!$A$1:$L$890,COLUMN(HeadJournal!H$1),0),0)</f>
        <v>1.0318940678959123</v>
      </c>
      <c r="P2690" s="30">
        <f>IFERROR(SUM(K2690:O2690)*VLOOKUP($A2690,HeadJournal!$A$1:$L$890,COLUMN(HeadJournal!H$1),0),0)</f>
        <v>1903.4279372301949</v>
      </c>
      <c r="Q2690" s="29">
        <v>3250</v>
      </c>
      <c r="R2690" s="31">
        <v>45330</v>
      </c>
      <c r="S2690" s="31" t="s">
        <v>3121</v>
      </c>
      <c r="T2690" s="95" t="str">
        <f t="shared" si="210"/>
        <v>2024 02</v>
      </c>
      <c r="U2690" s="32">
        <f t="shared" si="213"/>
        <v>1346.5720627698051</v>
      </c>
      <c r="V2690" s="22">
        <f t="shared" si="214"/>
        <v>0.70744578054753793</v>
      </c>
      <c r="X2690" s="33"/>
      <c r="Y2690" s="33"/>
    </row>
    <row r="2691" spans="1:25" x14ac:dyDescent="0.2">
      <c r="A2691" s="93" t="s">
        <v>1221</v>
      </c>
      <c r="B2691" s="94" t="str">
        <f>IFERROR(VLOOKUP($A2691,HeadJournal!$A$1:$NTR$890,COLUMN(HeadJournal!B$1),0),"")</f>
        <v>720000066732</v>
      </c>
      <c r="C2691" s="94" t="str">
        <f>IFERROR(VLOOKUP($A2691,HeadJournal!$A$1:$NTR$890,COLUMN(HeadJournal!C$1),0),"")</f>
        <v>iHerb_MH DLE7202</v>
      </c>
      <c r="D2691" s="125" t="str">
        <f>IFERROR(VLOOKUP($A2691,HeadJournal!$A$1:$NTR$890,COLUMN(HeadJournal!D$1),0),"")</f>
        <v>Доставлен</v>
      </c>
      <c r="E2691" s="95">
        <f>IFERROR(VLOOKUP($A2691,HeadJournal!$A$1:$NTR$890,COLUMN(HeadJournal!G$1),0),"")</f>
        <v>45285</v>
      </c>
      <c r="F2691" s="95" t="str">
        <f t="shared" si="209"/>
        <v>2023 12</v>
      </c>
      <c r="G2691" s="96" t="s">
        <v>5</v>
      </c>
      <c r="H2691" s="161" t="s">
        <v>2075</v>
      </c>
      <c r="I2691" s="97" t="s">
        <v>2005</v>
      </c>
      <c r="J2691" s="97" t="s">
        <v>3878</v>
      </c>
      <c r="K2691" s="29">
        <v>24.35</v>
      </c>
      <c r="L2691" s="29">
        <v>-4.87</v>
      </c>
      <c r="M2691" s="30">
        <f>IFERROR(VLOOKUP($A2691,HeadJournal!$A$1:$J$890,COLUMN(HeadJournal!I$1),0)*($K2691+$L2691)/(SUMIF($A:$A,$A2691,$K:$K)+SUMIF($A:$A,$A2691,$L:$L)),0)</f>
        <v>-2.0855600280013999</v>
      </c>
      <c r="N2691" s="30">
        <f>IFERROR((VLOOKUP($A2691,HeadJournal!$A$1:$K$890,COLUMN(HeadJournal!K$1),0)-VLOOKUP($A2691,HeadJournal!$A$1:$K$890,COLUMN(HeadJournal!J$1),0))*($K2691+$L2691)/(SUMIF($A:$A,$A2691,$K:$K)+SUMIF($A:$A,$A2691,$L:$L)),0)</f>
        <v>0</v>
      </c>
      <c r="O2691" s="30">
        <f>IFERROR((VLOOKUP($A2691,HeadJournal!$A$1:$L$890,COLUMN(HeadJournal!L$1),0)*($K2691+$L2691)/(SUMIF($A:$A,$A2691,$K:$K)+SUMIF($A:$A,$A2691,$L:$L)))/VLOOKUP($A2691,HeadJournal!$A$1:$L$890,COLUMN(HeadJournal!H$1),0),0)</f>
        <v>1.0318940678959123</v>
      </c>
      <c r="P2691" s="30">
        <f>IFERROR(SUM(K2691:O2691)*VLOOKUP($A2691,HeadJournal!$A$1:$L$890,COLUMN(HeadJournal!H$1),0),0)</f>
        <v>1903.4279372301949</v>
      </c>
      <c r="Q2691" s="29">
        <v>3300</v>
      </c>
      <c r="R2691" s="31">
        <v>45423</v>
      </c>
      <c r="S2691" s="31" t="s">
        <v>3121</v>
      </c>
      <c r="T2691" s="95" t="str">
        <f t="shared" si="210"/>
        <v>2024 05</v>
      </c>
      <c r="U2691" s="32">
        <f t="shared" si="213"/>
        <v>1396.5720627698051</v>
      </c>
      <c r="V2691" s="22">
        <f t="shared" si="214"/>
        <v>0.73371417717134613</v>
      </c>
      <c r="X2691" s="33"/>
      <c r="Y2691" s="33"/>
    </row>
    <row r="2692" spans="1:25" x14ac:dyDescent="0.2">
      <c r="A2692" s="93" t="s">
        <v>1221</v>
      </c>
      <c r="B2692" s="94" t="str">
        <f>IFERROR(VLOOKUP($A2692,HeadJournal!$A$1:$NTR$890,COLUMN(HeadJournal!B$1),0),"")</f>
        <v>720000066732</v>
      </c>
      <c r="C2692" s="94" t="str">
        <f>IFERROR(VLOOKUP($A2692,HeadJournal!$A$1:$NTR$890,COLUMN(HeadJournal!C$1),0),"")</f>
        <v>iHerb_MH DLE7202</v>
      </c>
      <c r="D2692" s="125" t="str">
        <f>IFERROR(VLOOKUP($A2692,HeadJournal!$A$1:$NTR$890,COLUMN(HeadJournal!D$1),0),"")</f>
        <v>Доставлен</v>
      </c>
      <c r="E2692" s="95">
        <f>IFERROR(VLOOKUP($A2692,HeadJournal!$A$1:$NTR$890,COLUMN(HeadJournal!G$1),0),"")</f>
        <v>45285</v>
      </c>
      <c r="F2692" s="95" t="str">
        <f t="shared" ref="F2692:F2755" si="215">IFERROR(TEXT(E2692, "ГГГГ ММ"),"")</f>
        <v>2023 12</v>
      </c>
      <c r="G2692" s="96" t="s">
        <v>5</v>
      </c>
      <c r="H2692" s="161" t="s">
        <v>2810</v>
      </c>
      <c r="I2692" s="97" t="s">
        <v>2569</v>
      </c>
      <c r="J2692" s="97" t="s">
        <v>2811</v>
      </c>
      <c r="K2692" s="29">
        <v>15.66</v>
      </c>
      <c r="L2692" s="29">
        <v>-9.99</v>
      </c>
      <c r="M2692" s="30">
        <f>IFERROR(VLOOKUP($A2692,HeadJournal!$A$1:$J$890,COLUMN(HeadJournal!I$1),0)*($K2692+$L2692)/(SUMIF($A:$A,$A2692,$K:$K)+SUMIF($A:$A,$A2692,$L:$L)),0)</f>
        <v>-0.60703928946447328</v>
      </c>
      <c r="N2692" s="30">
        <f>IFERROR((VLOOKUP($A2692,HeadJournal!$A$1:$K$890,COLUMN(HeadJournal!K$1),0)-VLOOKUP($A2692,HeadJournal!$A$1:$K$890,COLUMN(HeadJournal!J$1),0))*($K2692+$L2692)/(SUMIF($A:$A,$A2692,$K:$K)+SUMIF($A:$A,$A2692,$L:$L)),0)</f>
        <v>0</v>
      </c>
      <c r="O2692" s="30">
        <f>IFERROR((VLOOKUP($A2692,HeadJournal!$A$1:$L$890,COLUMN(HeadJournal!L$1),0)*($K2692+$L2692)/(SUMIF($A:$A,$A2692,$K:$K)+SUMIF($A:$A,$A2692,$L:$L)))/VLOOKUP($A2692,HeadJournal!$A$1:$L$890,COLUMN(HeadJournal!H$1),0),0)</f>
        <v>0.30035109676436461</v>
      </c>
      <c r="P2692" s="30">
        <f>IFERROR(SUM(K2692:O2692)*VLOOKUP($A2692,HeadJournal!$A$1:$L$890,COLUMN(HeadJournal!H$1),0),0)</f>
        <v>554.02650945047253</v>
      </c>
      <c r="Q2692" s="29">
        <v>2300</v>
      </c>
      <c r="R2692" s="31">
        <v>45654</v>
      </c>
      <c r="S2692" s="31" t="s">
        <v>3121</v>
      </c>
      <c r="T2692" s="95" t="str">
        <f t="shared" ref="T2692:T2755" si="216">IF(R2692="","",TEXT(R2692,"ГГГГ ММ"))</f>
        <v>2024 12</v>
      </c>
      <c r="U2692" s="32">
        <f t="shared" si="213"/>
        <v>1745.9734905495275</v>
      </c>
      <c r="V2692" s="22">
        <f t="shared" si="214"/>
        <v>3.1514258988822079</v>
      </c>
      <c r="X2692" s="33"/>
      <c r="Y2692" s="33"/>
    </row>
    <row r="2693" spans="1:25" x14ac:dyDescent="0.2">
      <c r="A2693" s="93" t="s">
        <v>1221</v>
      </c>
      <c r="B2693" s="94" t="str">
        <f>IFERROR(VLOOKUP($A2693,HeadJournal!$A$1:$NTR$890,COLUMN(HeadJournal!B$1),0),"")</f>
        <v>720000066732</v>
      </c>
      <c r="C2693" s="94" t="str">
        <f>IFERROR(VLOOKUP($A2693,HeadJournal!$A$1:$NTR$890,COLUMN(HeadJournal!C$1),0),"")</f>
        <v>iHerb_MH DLE7202</v>
      </c>
      <c r="D2693" s="125" t="str">
        <f>IFERROR(VLOOKUP($A2693,HeadJournal!$A$1:$NTR$890,COLUMN(HeadJournal!D$1),0),"")</f>
        <v>Доставлен</v>
      </c>
      <c r="E2693" s="95">
        <f>IFERROR(VLOOKUP($A2693,HeadJournal!$A$1:$NTR$890,COLUMN(HeadJournal!G$1),0),"")</f>
        <v>45285</v>
      </c>
      <c r="F2693" s="95" t="str">
        <f t="shared" si="215"/>
        <v>2023 12</v>
      </c>
      <c r="G2693" s="96" t="s">
        <v>5</v>
      </c>
      <c r="H2693" s="161" t="str">
        <f>RIGHT(Journal!$J2693,9)</f>
        <v>NOW-02271</v>
      </c>
      <c r="I2693" s="97" t="str">
        <f t="shared" si="212"/>
        <v>NOW Foods</v>
      </c>
      <c r="J2693" s="97" t="s">
        <v>1224</v>
      </c>
      <c r="K2693" s="29">
        <v>34.29</v>
      </c>
      <c r="L2693" s="29">
        <v>-6.86</v>
      </c>
      <c r="M2693" s="30">
        <f>IFERROR(VLOOKUP($A2693,HeadJournal!$A$1:$J$890,COLUMN(HeadJournal!I$1),0)*($K2693+$L2693)/(SUMIF($A:$A,$A2693,$K:$K)+SUMIF($A:$A,$A2693,$L:$L)),0)</f>
        <v>-2.9366997724886241</v>
      </c>
      <c r="N2693" s="30">
        <f>IFERROR((VLOOKUP($A2693,HeadJournal!$A$1:$K$890,COLUMN(HeadJournal!K$1),0)-VLOOKUP($A2693,HeadJournal!$A$1:$K$890,COLUMN(HeadJournal!J$1),0))*($K2693+$L2693)/(SUMIF($A:$A,$A2693,$K:$K)+SUMIF($A:$A,$A2693,$L:$L)),0)</f>
        <v>0</v>
      </c>
      <c r="O2693" s="30">
        <f>IFERROR((VLOOKUP($A2693,HeadJournal!$A$1:$L$890,COLUMN(HeadJournal!L$1),0)*($K2693+$L2693)/(SUMIF($A:$A,$A2693,$K:$K)+SUMIF($A:$A,$A2693,$L:$L)))/VLOOKUP($A2693,HeadJournal!$A$1:$L$890,COLUMN(HeadJournal!H$1),0),0)</f>
        <v>1.4530212670628786</v>
      </c>
      <c r="P2693" s="30">
        <f>IFERROR(SUM(K2693:O2693)*VLOOKUP($A2693,HeadJournal!$A$1:$L$890,COLUMN(HeadJournal!H$1),0),0)</f>
        <v>2680.2375933380004</v>
      </c>
      <c r="Q2693" s="29">
        <v>3900</v>
      </c>
      <c r="R2693" s="31">
        <v>45620</v>
      </c>
      <c r="S2693" s="31" t="s">
        <v>3121</v>
      </c>
      <c r="T2693" s="95" t="str">
        <f t="shared" si="216"/>
        <v>2024 11</v>
      </c>
      <c r="U2693" s="32">
        <f t="shared" si="213"/>
        <v>1219.7624066619996</v>
      </c>
      <c r="V2693" s="22">
        <f t="shared" si="214"/>
        <v>0.45509488027995787</v>
      </c>
      <c r="X2693" s="33"/>
      <c r="Y2693" s="33"/>
    </row>
    <row r="2694" spans="1:25" x14ac:dyDescent="0.2">
      <c r="A2694" s="93" t="s">
        <v>1221</v>
      </c>
      <c r="B2694" s="94" t="str">
        <f>IFERROR(VLOOKUP($A2694,HeadJournal!$A$1:$NTR$890,COLUMN(HeadJournal!B$1),0),"")</f>
        <v>720000066732</v>
      </c>
      <c r="C2694" s="94" t="str">
        <f>IFERROR(VLOOKUP($A2694,HeadJournal!$A$1:$NTR$890,COLUMN(HeadJournal!C$1),0),"")</f>
        <v>iHerb_MH DLE7202</v>
      </c>
      <c r="D2694" s="125" t="str">
        <f>IFERROR(VLOOKUP($A2694,HeadJournal!$A$1:$NTR$890,COLUMN(HeadJournal!D$1),0),"")</f>
        <v>Доставлен</v>
      </c>
      <c r="E2694" s="95">
        <f>IFERROR(VLOOKUP($A2694,HeadJournal!$A$1:$NTR$890,COLUMN(HeadJournal!G$1),0),"")</f>
        <v>45285</v>
      </c>
      <c r="F2694" s="95" t="str">
        <f t="shared" si="215"/>
        <v>2023 12</v>
      </c>
      <c r="G2694" s="96" t="s">
        <v>5</v>
      </c>
      <c r="H2694" s="161" t="str">
        <f>RIGHT(Journal!$J2694,9)</f>
        <v>FOA-01491</v>
      </c>
      <c r="I2694" s="97" t="str">
        <f t="shared" si="212"/>
        <v>Force Factor</v>
      </c>
      <c r="J2694" s="97" t="s">
        <v>1225</v>
      </c>
      <c r="K2694" s="29">
        <v>11.41</v>
      </c>
      <c r="L2694" s="29">
        <v>-2.2799999999999998</v>
      </c>
      <c r="M2694" s="30">
        <f>IFERROR(VLOOKUP($A2694,HeadJournal!$A$1:$J$890,COLUMN(HeadJournal!I$1),0)*($K2694+$L2694)/(SUMIF($A:$A,$A2694,$K:$K)+SUMIF($A:$A,$A2694,$L:$L)),0)</f>
        <v>-0.97747243612180612</v>
      </c>
      <c r="N2694" s="30">
        <f>IFERROR((VLOOKUP($A2694,HeadJournal!$A$1:$K$890,COLUMN(HeadJournal!K$1),0)-VLOOKUP($A2694,HeadJournal!$A$1:$K$890,COLUMN(HeadJournal!J$1),0))*($K2694+$L2694)/(SUMIF($A:$A,$A2694,$K:$K)+SUMIF($A:$A,$A2694,$L:$L)),0)</f>
        <v>0</v>
      </c>
      <c r="O2694" s="30">
        <f>IFERROR((VLOOKUP($A2694,HeadJournal!$A$1:$L$890,COLUMN(HeadJournal!L$1),0)*($K2694+$L2694)/(SUMIF($A:$A,$A2694,$K:$K)+SUMIF($A:$A,$A2694,$L:$L)))/VLOOKUP($A2694,HeadJournal!$A$1:$L$890,COLUMN(HeadJournal!H$1),0),0)</f>
        <v>0.48363412935778644</v>
      </c>
      <c r="P2694" s="30">
        <f>IFERROR(SUM(K2694:O2694)*VLOOKUP($A2694,HeadJournal!$A$1:$L$890,COLUMN(HeadJournal!H$1),0),0)</f>
        <v>892.10970569361814</v>
      </c>
      <c r="Q2694" s="29">
        <v>1600</v>
      </c>
      <c r="R2694" s="31">
        <v>46036</v>
      </c>
      <c r="S2694" s="31"/>
      <c r="T2694" s="95" t="str">
        <f t="shared" si="216"/>
        <v>2026 01</v>
      </c>
      <c r="U2694" s="32">
        <f t="shared" si="213"/>
        <v>707.89029430638186</v>
      </c>
      <c r="V2694" s="22">
        <f t="shared" si="214"/>
        <v>0.79350139314535861</v>
      </c>
      <c r="X2694" s="33"/>
      <c r="Y2694" s="33"/>
    </row>
    <row r="2695" spans="1:25" x14ac:dyDescent="0.2">
      <c r="A2695" s="93" t="s">
        <v>1221</v>
      </c>
      <c r="B2695" s="94" t="str">
        <f>IFERROR(VLOOKUP($A2695,HeadJournal!$A$1:$NTR$890,COLUMN(HeadJournal!B$1),0),"")</f>
        <v>720000066732</v>
      </c>
      <c r="C2695" s="94" t="str">
        <f>IFERROR(VLOOKUP($A2695,HeadJournal!$A$1:$NTR$890,COLUMN(HeadJournal!C$1),0),"")</f>
        <v>iHerb_MH DLE7202</v>
      </c>
      <c r="D2695" s="125" t="str">
        <f>IFERROR(VLOOKUP($A2695,HeadJournal!$A$1:$NTR$890,COLUMN(HeadJournal!D$1),0),"")</f>
        <v>Доставлен</v>
      </c>
      <c r="E2695" s="95">
        <f>IFERROR(VLOOKUP($A2695,HeadJournal!$A$1:$NTR$890,COLUMN(HeadJournal!G$1),0),"")</f>
        <v>45285</v>
      </c>
      <c r="F2695" s="95" t="str">
        <f t="shared" si="215"/>
        <v>2023 12</v>
      </c>
      <c r="G2695" s="96" t="s">
        <v>5</v>
      </c>
      <c r="H2695" s="161" t="str">
        <f>RIGHT(Journal!$J2695,9)</f>
        <v>NBC-01050</v>
      </c>
      <c r="I2695" s="97" t="str">
        <f t="shared" si="212"/>
        <v>NutriBiotic</v>
      </c>
      <c r="J2695" s="97" t="s">
        <v>1045</v>
      </c>
      <c r="K2695" s="29">
        <v>9.0299999999999994</v>
      </c>
      <c r="L2695" s="29">
        <v>-1.8049999999999999</v>
      </c>
      <c r="M2695" s="30">
        <f>IFERROR(VLOOKUP($A2695,HeadJournal!$A$1:$J$890,COLUMN(HeadJournal!I$1),0)*($K2695+$L2695)/(SUMIF($A:$A,$A2695,$K:$K)+SUMIF($A:$A,$A2695,$L:$L)),0)</f>
        <v>-0.77352008225411262</v>
      </c>
      <c r="N2695" s="30">
        <f>IFERROR((VLOOKUP($A2695,HeadJournal!$A$1:$K$890,COLUMN(HeadJournal!K$1),0)-VLOOKUP($A2695,HeadJournal!$A$1:$K$890,COLUMN(HeadJournal!J$1),0))*($K2695+$L2695)/(SUMIF($A:$A,$A2695,$K:$K)+SUMIF($A:$A,$A2695,$L:$L)),0)</f>
        <v>0</v>
      </c>
      <c r="O2695" s="30">
        <f>IFERROR((VLOOKUP($A2695,HeadJournal!$A$1:$L$890,COLUMN(HeadJournal!L$1),0)*($K2695+$L2695)/(SUMIF($A:$A,$A2695,$K:$K)+SUMIF($A:$A,$A2695,$L:$L)))/VLOOKUP($A2695,HeadJournal!$A$1:$L$890,COLUMN(HeadJournal!H$1),0),0)</f>
        <v>0.38272251748192837</v>
      </c>
      <c r="P2695" s="30">
        <f>IFERROR(SUM(K2695:O2695)*VLOOKUP($A2695,HeadJournal!$A$1:$L$890,COLUMN(HeadJournal!H$1),0),0)</f>
        <v>705.96852394703069</v>
      </c>
      <c r="Q2695" s="29">
        <v>1600</v>
      </c>
      <c r="R2695" s="31">
        <v>45419</v>
      </c>
      <c r="S2695" s="31" t="s">
        <v>3121</v>
      </c>
      <c r="T2695" s="95" t="str">
        <f t="shared" si="216"/>
        <v>2024 05</v>
      </c>
      <c r="U2695" s="32">
        <f t="shared" si="213"/>
        <v>894.03147605296931</v>
      </c>
      <c r="V2695" s="22">
        <f t="shared" si="214"/>
        <v>1.2663899957670763</v>
      </c>
      <c r="X2695" s="33"/>
      <c r="Y2695" s="33"/>
    </row>
    <row r="2696" spans="1:25" x14ac:dyDescent="0.2">
      <c r="A2696" s="93" t="s">
        <v>1221</v>
      </c>
      <c r="B2696" s="94" t="str">
        <f>IFERROR(VLOOKUP($A2696,HeadJournal!$A$1:$NTR$890,COLUMN(HeadJournal!B$1),0),"")</f>
        <v>720000066732</v>
      </c>
      <c r="C2696" s="94" t="str">
        <f>IFERROR(VLOOKUP($A2696,HeadJournal!$A$1:$NTR$890,COLUMN(HeadJournal!C$1),0),"")</f>
        <v>iHerb_MH DLE7202</v>
      </c>
      <c r="D2696" s="125" t="str">
        <f>IFERROR(VLOOKUP($A2696,HeadJournal!$A$1:$NTR$890,COLUMN(HeadJournal!D$1),0),"")</f>
        <v>Доставлен</v>
      </c>
      <c r="E2696" s="95">
        <f>IFERROR(VLOOKUP($A2696,HeadJournal!$A$1:$NTR$890,COLUMN(HeadJournal!G$1),0),"")</f>
        <v>45285</v>
      </c>
      <c r="F2696" s="95" t="str">
        <f t="shared" si="215"/>
        <v>2023 12</v>
      </c>
      <c r="G2696" s="96" t="s">
        <v>5</v>
      </c>
      <c r="H2696" s="161" t="str">
        <f>RIGHT(Journal!$J2696,9)</f>
        <v>NBC-01050</v>
      </c>
      <c r="I2696" s="97" t="str">
        <f t="shared" si="212"/>
        <v>NutriBiotic</v>
      </c>
      <c r="J2696" s="97" t="s">
        <v>1045</v>
      </c>
      <c r="K2696" s="29">
        <v>9.0299999999999994</v>
      </c>
      <c r="L2696" s="29">
        <v>-1.8049999999999999</v>
      </c>
      <c r="M2696" s="30">
        <f>IFERROR(VLOOKUP($A2696,HeadJournal!$A$1:$J$890,COLUMN(HeadJournal!I$1),0)*($K2696+$L2696)/(SUMIF($A:$A,$A2696,$K:$K)+SUMIF($A:$A,$A2696,$L:$L)),0)</f>
        <v>-0.77352008225411262</v>
      </c>
      <c r="N2696" s="30">
        <f>IFERROR((VLOOKUP($A2696,HeadJournal!$A$1:$K$890,COLUMN(HeadJournal!K$1),0)-VLOOKUP($A2696,HeadJournal!$A$1:$K$890,COLUMN(HeadJournal!J$1),0))*($K2696+$L2696)/(SUMIF($A:$A,$A2696,$K:$K)+SUMIF($A:$A,$A2696,$L:$L)),0)</f>
        <v>0</v>
      </c>
      <c r="O2696" s="30">
        <f>IFERROR((VLOOKUP($A2696,HeadJournal!$A$1:$L$890,COLUMN(HeadJournal!L$1),0)*($K2696+$L2696)/(SUMIF($A:$A,$A2696,$K:$K)+SUMIF($A:$A,$A2696,$L:$L)))/VLOOKUP($A2696,HeadJournal!$A$1:$L$890,COLUMN(HeadJournal!H$1),0),0)</f>
        <v>0.38272251748192837</v>
      </c>
      <c r="P2696" s="30">
        <f>IFERROR(SUM(K2696:O2696)*VLOOKUP($A2696,HeadJournal!$A$1:$L$890,COLUMN(HeadJournal!H$1),0),0)</f>
        <v>705.96852394703069</v>
      </c>
      <c r="Q2696" s="29">
        <v>705.97</v>
      </c>
      <c r="R2696" s="31">
        <v>45286</v>
      </c>
      <c r="S2696" s="31" t="s">
        <v>3121</v>
      </c>
      <c r="T2696" s="95" t="str">
        <f t="shared" si="216"/>
        <v>2023 12</v>
      </c>
      <c r="U2696" s="32">
        <f t="shared" si="213"/>
        <v>1.4760529693376157E-3</v>
      </c>
      <c r="V2696" s="22">
        <f t="shared" si="214"/>
        <v>2.090819801830662E-6</v>
      </c>
      <c r="X2696" s="33"/>
      <c r="Y2696" s="33"/>
    </row>
    <row r="2697" spans="1:25" x14ac:dyDescent="0.2">
      <c r="A2697" s="93" t="s">
        <v>1221</v>
      </c>
      <c r="B2697" s="94" t="str">
        <f>IFERROR(VLOOKUP($A2697,HeadJournal!$A$1:$NTR$890,COLUMN(HeadJournal!B$1),0),"")</f>
        <v>720000066732</v>
      </c>
      <c r="C2697" s="94" t="str">
        <f>IFERROR(VLOOKUP($A2697,HeadJournal!$A$1:$NTR$890,COLUMN(HeadJournal!C$1),0),"")</f>
        <v>iHerb_MH DLE7202</v>
      </c>
      <c r="D2697" s="125" t="str">
        <f>IFERROR(VLOOKUP($A2697,HeadJournal!$A$1:$NTR$890,COLUMN(HeadJournal!D$1),0),"")</f>
        <v>Доставлен</v>
      </c>
      <c r="E2697" s="95">
        <f>IFERROR(VLOOKUP($A2697,HeadJournal!$A$1:$NTR$890,COLUMN(HeadJournal!G$1),0),"")</f>
        <v>45285</v>
      </c>
      <c r="F2697" s="95" t="str">
        <f t="shared" si="215"/>
        <v>2023 12</v>
      </c>
      <c r="G2697" s="96" t="s">
        <v>5</v>
      </c>
      <c r="H2697" s="161" t="s">
        <v>2471</v>
      </c>
      <c r="I2697" s="97" t="s">
        <v>2039</v>
      </c>
      <c r="J2697" s="97" t="s">
        <v>2472</v>
      </c>
      <c r="K2697" s="29">
        <v>20.69</v>
      </c>
      <c r="L2697" s="29">
        <v>-4.1399999999999997</v>
      </c>
      <c r="M2697" s="30">
        <f>IFERROR(VLOOKUP($A2697,HeadJournal!$A$1:$J$890,COLUMN(HeadJournal!I$1),0)*($K2697+$L2697)/(SUMIF($A:$A,$A2697,$K:$K)+SUMIF($A:$A,$A2697,$L:$L)),0)</f>
        <v>-1.7718695309765489</v>
      </c>
      <c r="N2697" s="30">
        <f>IFERROR((VLOOKUP($A2697,HeadJournal!$A$1:$K$890,COLUMN(HeadJournal!K$1),0)-VLOOKUP($A2697,HeadJournal!$A$1:$K$890,COLUMN(HeadJournal!J$1),0))*($K2697+$L2697)/(SUMIF($A:$A,$A2697,$K:$K)+SUMIF($A:$A,$A2697,$L:$L)),0)</f>
        <v>0</v>
      </c>
      <c r="O2697" s="30">
        <f>IFERROR((VLOOKUP($A2697,HeadJournal!$A$1:$L$890,COLUMN(HeadJournal!L$1),0)*($K2697+$L2697)/(SUMIF($A:$A,$A2697,$K:$K)+SUMIF($A:$A,$A2697,$L:$L)))/VLOOKUP($A2697,HeadJournal!$A$1:$L$890,COLUMN(HeadJournal!H$1),0),0)</f>
        <v>0.87668618191362169</v>
      </c>
      <c r="P2697" s="30">
        <f>IFERROR(SUM(K2697:O2697)*VLOOKUP($A2697,HeadJournal!$A$1:$L$890,COLUMN(HeadJournal!H$1),0),0)</f>
        <v>1617.1320513942364</v>
      </c>
      <c r="Q2697" s="29">
        <v>2700</v>
      </c>
      <c r="R2697" s="31">
        <v>45319</v>
      </c>
      <c r="S2697" s="31" t="s">
        <v>3121</v>
      </c>
      <c r="T2697" s="95" t="str">
        <f t="shared" si="216"/>
        <v>2024 01</v>
      </c>
      <c r="U2697" s="32">
        <f t="shared" si="213"/>
        <v>1082.8679486057636</v>
      </c>
      <c r="V2697" s="22">
        <f t="shared" si="214"/>
        <v>0.66962246383784896</v>
      </c>
      <c r="X2697" s="33"/>
      <c r="Y2697" s="33"/>
    </row>
    <row r="2698" spans="1:25" x14ac:dyDescent="0.2">
      <c r="A2698" s="93" t="s">
        <v>1221</v>
      </c>
      <c r="B2698" s="94" t="str">
        <f>IFERROR(VLOOKUP($A2698,HeadJournal!$A$1:$NTR$890,COLUMN(HeadJournal!B$1),0),"")</f>
        <v>720000066732</v>
      </c>
      <c r="C2698" s="94" t="str">
        <f>IFERROR(VLOOKUP($A2698,HeadJournal!$A$1:$NTR$890,COLUMN(HeadJournal!C$1),0),"")</f>
        <v>iHerb_MH DLE7202</v>
      </c>
      <c r="D2698" s="125" t="str">
        <f>IFERROR(VLOOKUP($A2698,HeadJournal!$A$1:$NTR$890,COLUMN(HeadJournal!D$1),0),"")</f>
        <v>Доставлен</v>
      </c>
      <c r="E2698" s="95">
        <f>IFERROR(VLOOKUP($A2698,HeadJournal!$A$1:$NTR$890,COLUMN(HeadJournal!G$1),0),"")</f>
        <v>45285</v>
      </c>
      <c r="F2698" s="95" t="str">
        <f t="shared" si="215"/>
        <v>2023 12</v>
      </c>
      <c r="G2698" s="96" t="s">
        <v>5</v>
      </c>
      <c r="H2698" s="161" t="str">
        <f>RIGHT(Journal!$J2698,9)</f>
        <v>NAP-47627</v>
      </c>
      <c r="I2698" s="97" t="str">
        <f t="shared" si="212"/>
        <v>NaturesPlus</v>
      </c>
      <c r="J2698" s="97" t="s">
        <v>897</v>
      </c>
      <c r="K2698" s="29">
        <v>9.7799999999999994</v>
      </c>
      <c r="L2698" s="29">
        <v>-1.96</v>
      </c>
      <c r="M2698" s="30">
        <f>IFERROR(VLOOKUP($A2698,HeadJournal!$A$1:$J$890,COLUMN(HeadJournal!I$1),0)*($K2698+$L2698)/(SUMIF($A:$A,$A2698,$K:$K)+SUMIF($A:$A,$A2698,$L:$L)),0)</f>
        <v>-0.83722173608680417</v>
      </c>
      <c r="N2698" s="30">
        <f>IFERROR((VLOOKUP($A2698,HeadJournal!$A$1:$K$890,COLUMN(HeadJournal!K$1),0)-VLOOKUP($A2698,HeadJournal!$A$1:$K$890,COLUMN(HeadJournal!J$1),0))*($K2698+$L2698)/(SUMIF($A:$A,$A2698,$K:$K)+SUMIF($A:$A,$A2698,$L:$L)),0)</f>
        <v>0</v>
      </c>
      <c r="O2698" s="30">
        <f>IFERROR((VLOOKUP($A2698,HeadJournal!$A$1:$L$890,COLUMN(HeadJournal!L$1),0)*($K2698+$L2698)/(SUMIF($A:$A,$A2698,$K:$K)+SUMIF($A:$A,$A2698,$L:$L)))/VLOOKUP($A2698,HeadJournal!$A$1:$L$890,COLUMN(HeadJournal!H$1),0),0)</f>
        <v>0.41424084245102838</v>
      </c>
      <c r="P2698" s="30">
        <f>IFERROR(SUM(K2698:O2698)*VLOOKUP($A2698,HeadJournal!$A$1:$L$890,COLUMN(HeadJournal!H$1),0),0)</f>
        <v>764.10710827208015</v>
      </c>
      <c r="Q2698" s="29">
        <v>1700</v>
      </c>
      <c r="R2698" s="31">
        <v>45319</v>
      </c>
      <c r="S2698" s="31" t="s">
        <v>3121</v>
      </c>
      <c r="T2698" s="95" t="str">
        <f t="shared" si="216"/>
        <v>2024 01</v>
      </c>
      <c r="U2698" s="32">
        <f t="shared" si="213"/>
        <v>935.89289172791985</v>
      </c>
      <c r="V2698" s="22">
        <f t="shared" si="214"/>
        <v>1.2248189836164578</v>
      </c>
      <c r="X2698" s="33"/>
      <c r="Y2698" s="33"/>
    </row>
    <row r="2699" spans="1:25" x14ac:dyDescent="0.2">
      <c r="A2699" s="93" t="s">
        <v>1221</v>
      </c>
      <c r="B2699" s="94" t="str">
        <f>IFERROR(VLOOKUP($A2699,HeadJournal!$A$1:$NTR$890,COLUMN(HeadJournal!B$1),0),"")</f>
        <v>720000066732</v>
      </c>
      <c r="C2699" s="94" t="str">
        <f>IFERROR(VLOOKUP($A2699,HeadJournal!$A$1:$NTR$890,COLUMN(HeadJournal!C$1),0),"")</f>
        <v>iHerb_MH DLE7202</v>
      </c>
      <c r="D2699" s="125" t="str">
        <f>IFERROR(VLOOKUP($A2699,HeadJournal!$A$1:$NTR$890,COLUMN(HeadJournal!D$1),0),"")</f>
        <v>Доставлен</v>
      </c>
      <c r="E2699" s="95">
        <f>IFERROR(VLOOKUP($A2699,HeadJournal!$A$1:$NTR$890,COLUMN(HeadJournal!G$1),0),"")</f>
        <v>45285</v>
      </c>
      <c r="F2699" s="95" t="str">
        <f t="shared" si="215"/>
        <v>2023 12</v>
      </c>
      <c r="G2699" s="96" t="s">
        <v>5</v>
      </c>
      <c r="H2699" s="161" t="str">
        <f>RIGHT(Journal!$J2699,9)</f>
        <v>NOW-03557</v>
      </c>
      <c r="I2699" s="97" t="str">
        <f t="shared" si="212"/>
        <v>NOW Foods</v>
      </c>
      <c r="J2699" s="97" t="s">
        <v>1226</v>
      </c>
      <c r="K2699" s="29">
        <v>13.33</v>
      </c>
      <c r="L2699" s="29">
        <v>-2.665</v>
      </c>
      <c r="M2699" s="30">
        <f>IFERROR(VLOOKUP($A2699,HeadJournal!$A$1:$J$890,COLUMN(HeadJournal!I$1),0)*($K2699+$L2699)/(SUMIF($A:$A,$A2699,$K:$K)+SUMIF($A:$A,$A2699,$L:$L)),0)</f>
        <v>-1.1418119968498424</v>
      </c>
      <c r="N2699" s="30">
        <f>IFERROR((VLOOKUP($A2699,HeadJournal!$A$1:$K$890,COLUMN(HeadJournal!K$1),0)-VLOOKUP($A2699,HeadJournal!$A$1:$K$890,COLUMN(HeadJournal!J$1),0))*($K2699+$L2699)/(SUMIF($A:$A,$A2699,$K:$K)+SUMIF($A:$A,$A2699,$L:$L)),0)</f>
        <v>0</v>
      </c>
      <c r="O2699" s="30">
        <f>IFERROR((VLOOKUP($A2699,HeadJournal!$A$1:$L$890,COLUMN(HeadJournal!L$1),0)*($K2699+$L2699)/(SUMIF($A:$A,$A2699,$K:$K)+SUMIF($A:$A,$A2699,$L:$L)))/VLOOKUP($A2699,HeadJournal!$A$1:$L$890,COLUMN(HeadJournal!H$1),0),0)</f>
        <v>0.56494611058059052</v>
      </c>
      <c r="P2699" s="30">
        <f>IFERROR(SUM(K2699:O2699)*VLOOKUP($A2699,HeadJournal!$A$1:$L$890,COLUMN(HeadJournal!H$1),0),0)</f>
        <v>1042.0974820616029</v>
      </c>
      <c r="Q2699" s="29">
        <v>1800</v>
      </c>
      <c r="R2699" s="31">
        <v>45373</v>
      </c>
      <c r="S2699" s="31" t="s">
        <v>3121</v>
      </c>
      <c r="T2699" s="95" t="str">
        <f t="shared" si="216"/>
        <v>2024 03</v>
      </c>
      <c r="U2699" s="32">
        <f t="shared" si="213"/>
        <v>757.90251793839707</v>
      </c>
      <c r="V2699" s="22">
        <f t="shared" si="214"/>
        <v>0.72728562441108957</v>
      </c>
      <c r="X2699" s="33"/>
      <c r="Y2699" s="33"/>
    </row>
    <row r="2700" spans="1:25" x14ac:dyDescent="0.2">
      <c r="A2700" s="93" t="s">
        <v>1221</v>
      </c>
      <c r="B2700" s="94" t="str">
        <f>IFERROR(VLOOKUP($A2700,HeadJournal!$A$1:$NTR$890,COLUMN(HeadJournal!B$1),0),"")</f>
        <v>720000066732</v>
      </c>
      <c r="C2700" s="94" t="str">
        <f>IFERROR(VLOOKUP($A2700,HeadJournal!$A$1:$NTR$890,COLUMN(HeadJournal!C$1),0),"")</f>
        <v>iHerb_MH DLE7202</v>
      </c>
      <c r="D2700" s="125" t="str">
        <f>IFERROR(VLOOKUP($A2700,HeadJournal!$A$1:$NTR$890,COLUMN(HeadJournal!D$1),0),"")</f>
        <v>Доставлен</v>
      </c>
      <c r="E2700" s="95">
        <f>IFERROR(VLOOKUP($A2700,HeadJournal!$A$1:$NTR$890,COLUMN(HeadJournal!G$1),0),"")</f>
        <v>45285</v>
      </c>
      <c r="F2700" s="95" t="str">
        <f t="shared" si="215"/>
        <v>2023 12</v>
      </c>
      <c r="G2700" s="96" t="s">
        <v>5</v>
      </c>
      <c r="H2700" s="161" t="str">
        <f>RIGHT(Journal!$J2700,9)</f>
        <v>NOW-03557</v>
      </c>
      <c r="I2700" s="97" t="str">
        <f t="shared" si="212"/>
        <v>NOW Foods</v>
      </c>
      <c r="J2700" s="97" t="s">
        <v>1226</v>
      </c>
      <c r="K2700" s="29">
        <v>13.33</v>
      </c>
      <c r="L2700" s="29">
        <v>-2.665</v>
      </c>
      <c r="M2700" s="30">
        <f>IFERROR(VLOOKUP($A2700,HeadJournal!$A$1:$J$890,COLUMN(HeadJournal!I$1),0)*($K2700+$L2700)/(SUMIF($A:$A,$A2700,$K:$K)+SUMIF($A:$A,$A2700,$L:$L)),0)</f>
        <v>-1.1418119968498424</v>
      </c>
      <c r="N2700" s="30">
        <f>IFERROR((VLOOKUP($A2700,HeadJournal!$A$1:$K$890,COLUMN(HeadJournal!K$1),0)-VLOOKUP($A2700,HeadJournal!$A$1:$K$890,COLUMN(HeadJournal!J$1),0))*($K2700+$L2700)/(SUMIF($A:$A,$A2700,$K:$K)+SUMIF($A:$A,$A2700,$L:$L)),0)</f>
        <v>0</v>
      </c>
      <c r="O2700" s="30">
        <f>IFERROR((VLOOKUP($A2700,HeadJournal!$A$1:$L$890,COLUMN(HeadJournal!L$1),0)*($K2700+$L2700)/(SUMIF($A:$A,$A2700,$K:$K)+SUMIF($A:$A,$A2700,$L:$L)))/VLOOKUP($A2700,HeadJournal!$A$1:$L$890,COLUMN(HeadJournal!H$1),0),0)</f>
        <v>0.56494611058059052</v>
      </c>
      <c r="P2700" s="30">
        <f>IFERROR(SUM(K2700:O2700)*VLOOKUP($A2700,HeadJournal!$A$1:$L$890,COLUMN(HeadJournal!H$1),0),0)</f>
        <v>1042.0974820616029</v>
      </c>
      <c r="Q2700" s="29">
        <v>1900</v>
      </c>
      <c r="R2700" s="31">
        <v>45629</v>
      </c>
      <c r="S2700" s="31" t="s">
        <v>3121</v>
      </c>
      <c r="T2700" s="95" t="str">
        <f t="shared" si="216"/>
        <v>2024 12</v>
      </c>
      <c r="U2700" s="32">
        <f t="shared" si="213"/>
        <v>857.90251793839707</v>
      </c>
      <c r="V2700" s="22">
        <f t="shared" si="214"/>
        <v>0.82324593687837233</v>
      </c>
      <c r="X2700" s="33"/>
      <c r="Y2700" s="33"/>
    </row>
    <row r="2701" spans="1:25" x14ac:dyDescent="0.2">
      <c r="A2701" s="93" t="s">
        <v>1221</v>
      </c>
      <c r="B2701" s="94" t="str">
        <f>IFERROR(VLOOKUP($A2701,HeadJournal!$A$1:$NTR$890,COLUMN(HeadJournal!B$1),0),"")</f>
        <v>720000066732</v>
      </c>
      <c r="C2701" s="94" t="str">
        <f>IFERROR(VLOOKUP($A2701,HeadJournal!$A$1:$NTR$890,COLUMN(HeadJournal!C$1),0),"")</f>
        <v>iHerb_MH DLE7202</v>
      </c>
      <c r="D2701" s="125" t="str">
        <f>IFERROR(VLOOKUP($A2701,HeadJournal!$A$1:$NTR$890,COLUMN(HeadJournal!D$1),0),"")</f>
        <v>Доставлен</v>
      </c>
      <c r="E2701" s="95">
        <f>IFERROR(VLOOKUP($A2701,HeadJournal!$A$1:$NTR$890,COLUMN(HeadJournal!G$1),0),"")</f>
        <v>45285</v>
      </c>
      <c r="F2701" s="95" t="str">
        <f t="shared" si="215"/>
        <v>2023 12</v>
      </c>
      <c r="G2701" s="96" t="s">
        <v>5</v>
      </c>
      <c r="H2701" s="161" t="s">
        <v>3658</v>
      </c>
      <c r="I2701" s="97" t="s">
        <v>2005</v>
      </c>
      <c r="J2701" s="97" t="s">
        <v>3706</v>
      </c>
      <c r="K2701" s="29">
        <v>21.49</v>
      </c>
      <c r="L2701" s="29">
        <v>-4.3</v>
      </c>
      <c r="M2701" s="30">
        <f>IFERROR(VLOOKUP($A2701,HeadJournal!$A$1:$J$890,COLUMN(HeadJournal!I$1),0)*($K2701+$L2701)/(SUMIF($A:$A,$A2701,$K:$K)+SUMIF($A:$A,$A2701,$L:$L)),0)</f>
        <v>-1.8403889569478471</v>
      </c>
      <c r="N2701" s="30">
        <f>IFERROR((VLOOKUP($A2701,HeadJournal!$A$1:$K$890,COLUMN(HeadJournal!K$1),0)-VLOOKUP($A2701,HeadJournal!$A$1:$K$890,COLUMN(HeadJournal!J$1),0))*($K2701+$L2701)/(SUMIF($A:$A,$A2701,$K:$K)+SUMIF($A:$A,$A2701,$L:$L)),0)</f>
        <v>0</v>
      </c>
      <c r="O2701" s="30">
        <f>IFERROR((VLOOKUP($A2701,HeadJournal!$A$1:$L$890,COLUMN(HeadJournal!L$1),0)*($K2701+$L2701)/(SUMIF($A:$A,$A2701,$K:$K)+SUMIF($A:$A,$A2701,$L:$L)))/VLOOKUP($A2701,HeadJournal!$A$1:$L$890,COLUMN(HeadJournal!H$1),0),0)</f>
        <v>0.91058824574593067</v>
      </c>
      <c r="P2701" s="30">
        <f>IFERROR(SUM(K2701:O2701)*VLOOKUP($A2701,HeadJournal!$A$1:$L$890,COLUMN(HeadJournal!H$1),0),0)</f>
        <v>1679.667671508575</v>
      </c>
      <c r="Q2701" s="29">
        <v>3200</v>
      </c>
      <c r="R2701" s="31">
        <v>45330</v>
      </c>
      <c r="S2701" s="31" t="s">
        <v>3121</v>
      </c>
      <c r="T2701" s="95" t="str">
        <f t="shared" si="216"/>
        <v>2024 02</v>
      </c>
      <c r="U2701" s="32">
        <f t="shared" si="213"/>
        <v>1520.332328491425</v>
      </c>
      <c r="V2701" s="22">
        <f t="shared" si="214"/>
        <v>0.90513876898395929</v>
      </c>
      <c r="X2701" s="33"/>
      <c r="Y2701" s="33"/>
    </row>
    <row r="2702" spans="1:25" x14ac:dyDescent="0.2">
      <c r="A2702" s="93" t="s">
        <v>1221</v>
      </c>
      <c r="B2702" s="94" t="str">
        <f>IFERROR(VLOOKUP($A2702,HeadJournal!$A$1:$NTR$890,COLUMN(HeadJournal!B$1),0),"")</f>
        <v>720000066732</v>
      </c>
      <c r="C2702" s="94" t="str">
        <f>IFERROR(VLOOKUP($A2702,HeadJournal!$A$1:$NTR$890,COLUMN(HeadJournal!C$1),0),"")</f>
        <v>iHerb_MH DLE7202</v>
      </c>
      <c r="D2702" s="125" t="str">
        <f>IFERROR(VLOOKUP($A2702,HeadJournal!$A$1:$NTR$890,COLUMN(HeadJournal!D$1),0),"")</f>
        <v>Доставлен</v>
      </c>
      <c r="E2702" s="95">
        <f>IFERROR(VLOOKUP($A2702,HeadJournal!$A$1:$NTR$890,COLUMN(HeadJournal!G$1),0),"")</f>
        <v>45285</v>
      </c>
      <c r="F2702" s="95" t="str">
        <f t="shared" si="215"/>
        <v>2023 12</v>
      </c>
      <c r="G2702" s="96" t="s">
        <v>5</v>
      </c>
      <c r="H2702" s="161" t="s">
        <v>2182</v>
      </c>
      <c r="I2702" s="97" t="s">
        <v>2005</v>
      </c>
      <c r="J2702" s="97" t="s">
        <v>2183</v>
      </c>
      <c r="K2702" s="29">
        <v>20.56</v>
      </c>
      <c r="L2702" s="29">
        <v>-6.17</v>
      </c>
      <c r="M2702" s="30">
        <f>IFERROR(VLOOKUP($A2702,HeadJournal!$A$1:$J$890,COLUMN(HeadJournal!I$1),0)*($K2702+$L2702)/(SUMIF($A:$A,$A2702,$K:$K)+SUMIF($A:$A,$A2702,$L:$L)),0)</f>
        <v>-1.540616468323416</v>
      </c>
      <c r="N2702" s="30">
        <f>IFERROR((VLOOKUP($A2702,HeadJournal!$A$1:$K$890,COLUMN(HeadJournal!K$1),0)-VLOOKUP($A2702,HeadJournal!$A$1:$K$890,COLUMN(HeadJournal!J$1),0))*($K2702+$L2702)/(SUMIF($A:$A,$A2702,$K:$K)+SUMIF($A:$A,$A2702,$L:$L)),0)</f>
        <v>0</v>
      </c>
      <c r="O2702" s="30">
        <f>IFERROR((VLOOKUP($A2702,HeadJournal!$A$1:$L$890,COLUMN(HeadJournal!L$1),0)*($K2702+$L2702)/(SUMIF($A:$A,$A2702,$K:$K)+SUMIF($A:$A,$A2702,$L:$L)))/VLOOKUP($A2702,HeadJournal!$A$1:$L$890,COLUMN(HeadJournal!H$1),0),0)</f>
        <v>0.76226671647957778</v>
      </c>
      <c r="P2702" s="30">
        <f>IFERROR(SUM(K2702:O2702)*VLOOKUP($A2702,HeadJournal!$A$1:$L$890,COLUMN(HeadJournal!H$1),0),0)</f>
        <v>1406.0743335083421</v>
      </c>
      <c r="Q2702" s="29">
        <v>2600</v>
      </c>
      <c r="R2702" s="31">
        <v>45332</v>
      </c>
      <c r="S2702" s="31" t="s">
        <v>3121</v>
      </c>
      <c r="T2702" s="95" t="str">
        <f t="shared" si="216"/>
        <v>2024 02</v>
      </c>
      <c r="U2702" s="32">
        <f t="shared" si="213"/>
        <v>1193.9256664916579</v>
      </c>
      <c r="V2702" s="22">
        <f t="shared" si="214"/>
        <v>0.8491198779744844</v>
      </c>
      <c r="X2702" s="33"/>
      <c r="Y2702" s="33"/>
    </row>
    <row r="2703" spans="1:25" x14ac:dyDescent="0.2">
      <c r="A2703" s="93" t="s">
        <v>1227</v>
      </c>
      <c r="B2703" s="94" t="str">
        <f>IFERROR(VLOOKUP($A2703,HeadJournal!$A$1:$NTR$890,COLUMN(HeadJournal!B$1),0),"")</f>
        <v>720000069872</v>
      </c>
      <c r="C2703" s="94" t="str">
        <f>IFERROR(VLOOKUP($A2703,HeadJournal!$A$1:$NTR$890,COLUMN(HeadJournal!C$1),0),"")</f>
        <v>iHerb_OA CZN6870</v>
      </c>
      <c r="D2703" s="125" t="str">
        <f>IFERROR(VLOOKUP($A2703,HeadJournal!$A$1:$NTR$890,COLUMN(HeadJournal!D$1),0),"")</f>
        <v>Доставлен</v>
      </c>
      <c r="E2703" s="95">
        <f>IFERROR(VLOOKUP($A2703,HeadJournal!$A$1:$NTR$890,COLUMN(HeadJournal!G$1),0),"")</f>
        <v>45289</v>
      </c>
      <c r="F2703" s="95" t="str">
        <f t="shared" si="215"/>
        <v>2023 12</v>
      </c>
      <c r="G2703" s="96" t="s">
        <v>5</v>
      </c>
      <c r="H2703" s="161" t="s">
        <v>2049</v>
      </c>
      <c r="I2703" s="97" t="s">
        <v>2048</v>
      </c>
      <c r="J2703" s="97" t="s">
        <v>2050</v>
      </c>
      <c r="K2703" s="29">
        <v>10.38</v>
      </c>
      <c r="L2703" s="29">
        <v>-3.1150000000000002</v>
      </c>
      <c r="M2703" s="30">
        <f>IFERROR(VLOOKUP($A2703,HeadJournal!$A$1:$J$890,COLUMN(HeadJournal!I$1),0)*($K2703+$L2703)/(SUMIF($A:$A,$A2703,$K:$K)+SUMIF($A:$A,$A2703,$L:$L)),0)</f>
        <v>-0.9836152263374488</v>
      </c>
      <c r="N2703" s="30">
        <f>IFERROR((VLOOKUP($A2703,HeadJournal!$A$1:$K$890,COLUMN(HeadJournal!K$1),0)-VLOOKUP($A2703,HeadJournal!$A$1:$K$890,COLUMN(HeadJournal!J$1),0))*($K2703+$L2703)/(SUMIF($A:$A,$A2703,$K:$K)+SUMIF($A:$A,$A2703,$L:$L)),0)</f>
        <v>8.4972723873203765E-16</v>
      </c>
      <c r="O2703" s="30">
        <f>IFERROR((VLOOKUP($A2703,HeadJournal!$A$1:$L$890,COLUMN(HeadJournal!L$1),0)*($K2703+$L2703)/(SUMIF($A:$A,$A2703,$K:$K)+SUMIF($A:$A,$A2703,$L:$L)))/VLOOKUP($A2703,HeadJournal!$A$1:$L$890,COLUMN(HeadJournal!H$1),0),0)</f>
        <v>0.72156905621725342</v>
      </c>
      <c r="P2703" s="30">
        <f>IFERROR(SUM(K2703:O2703)*VLOOKUP($A2703,HeadJournal!$A$1:$L$890,COLUMN(HeadJournal!H$1),0),0)</f>
        <v>725.78266844993163</v>
      </c>
      <c r="Q2703" s="29">
        <v>1600</v>
      </c>
      <c r="R2703" s="31">
        <v>45320</v>
      </c>
      <c r="S2703" s="31" t="s">
        <v>3121</v>
      </c>
      <c r="T2703" s="95" t="str">
        <f t="shared" si="216"/>
        <v>2024 01</v>
      </c>
      <c r="U2703" s="32">
        <f t="shared" si="213"/>
        <v>874.21733155006837</v>
      </c>
      <c r="V2703" s="22">
        <f t="shared" si="214"/>
        <v>1.204516681856225</v>
      </c>
      <c r="X2703" s="33"/>
      <c r="Y2703" s="33"/>
    </row>
    <row r="2704" spans="1:25" x14ac:dyDescent="0.2">
      <c r="A2704" s="93" t="s">
        <v>1227</v>
      </c>
      <c r="B2704" s="94" t="str">
        <f>IFERROR(VLOOKUP($A2704,HeadJournal!$A$1:$NTR$890,COLUMN(HeadJournal!B$1),0),"")</f>
        <v>720000069872</v>
      </c>
      <c r="C2704" s="94" t="str">
        <f>IFERROR(VLOOKUP($A2704,HeadJournal!$A$1:$NTR$890,COLUMN(HeadJournal!C$1),0),"")</f>
        <v>iHerb_OA CZN6870</v>
      </c>
      <c r="D2704" s="125" t="str">
        <f>IFERROR(VLOOKUP($A2704,HeadJournal!$A$1:$NTR$890,COLUMN(HeadJournal!D$1),0),"")</f>
        <v>Доставлен</v>
      </c>
      <c r="E2704" s="95">
        <f>IFERROR(VLOOKUP($A2704,HeadJournal!$A$1:$NTR$890,COLUMN(HeadJournal!G$1),0),"")</f>
        <v>45289</v>
      </c>
      <c r="F2704" s="95" t="str">
        <f t="shared" si="215"/>
        <v>2023 12</v>
      </c>
      <c r="G2704" s="96" t="s">
        <v>5</v>
      </c>
      <c r="H2704" s="161" t="s">
        <v>2049</v>
      </c>
      <c r="I2704" s="97" t="s">
        <v>2048</v>
      </c>
      <c r="J2704" s="97" t="s">
        <v>2050</v>
      </c>
      <c r="K2704" s="29">
        <v>10.38</v>
      </c>
      <c r="L2704" s="29">
        <v>-3.1150000000000002</v>
      </c>
      <c r="M2704" s="30">
        <f>IFERROR(VLOOKUP($A2704,HeadJournal!$A$1:$J$890,COLUMN(HeadJournal!I$1),0)*($K2704+$L2704)/(SUMIF($A:$A,$A2704,$K:$K)+SUMIF($A:$A,$A2704,$L:$L)),0)</f>
        <v>-0.9836152263374488</v>
      </c>
      <c r="N2704" s="30">
        <f>IFERROR((VLOOKUP($A2704,HeadJournal!$A$1:$K$890,COLUMN(HeadJournal!K$1),0)-VLOOKUP($A2704,HeadJournal!$A$1:$K$890,COLUMN(HeadJournal!J$1),0))*($K2704+$L2704)/(SUMIF($A:$A,$A2704,$K:$K)+SUMIF($A:$A,$A2704,$L:$L)),0)</f>
        <v>8.4972723873203765E-16</v>
      </c>
      <c r="O2704" s="30">
        <f>IFERROR((VLOOKUP($A2704,HeadJournal!$A$1:$L$890,COLUMN(HeadJournal!L$1),0)*($K2704+$L2704)/(SUMIF($A:$A,$A2704,$K:$K)+SUMIF($A:$A,$A2704,$L:$L)))/VLOOKUP($A2704,HeadJournal!$A$1:$L$890,COLUMN(HeadJournal!H$1),0),0)</f>
        <v>0.72156905621725342</v>
      </c>
      <c r="P2704" s="30">
        <f>IFERROR(SUM(K2704:O2704)*VLOOKUP($A2704,HeadJournal!$A$1:$L$890,COLUMN(HeadJournal!H$1),0),0)</f>
        <v>725.78266844993163</v>
      </c>
      <c r="Q2704" s="29">
        <v>1800</v>
      </c>
      <c r="R2704" s="31">
        <v>45477</v>
      </c>
      <c r="S2704" s="31" t="s">
        <v>3121</v>
      </c>
      <c r="T2704" s="95" t="str">
        <f t="shared" si="216"/>
        <v>2024 07</v>
      </c>
      <c r="U2704" s="32">
        <f t="shared" si="213"/>
        <v>1074.2173315500684</v>
      </c>
      <c r="V2704" s="22">
        <f t="shared" si="214"/>
        <v>1.4800812670882533</v>
      </c>
      <c r="X2704" s="33"/>
      <c r="Y2704" s="33"/>
    </row>
    <row r="2705" spans="1:25" x14ac:dyDescent="0.2">
      <c r="A2705" s="93" t="s">
        <v>1227</v>
      </c>
      <c r="B2705" s="94" t="str">
        <f>IFERROR(VLOOKUP($A2705,HeadJournal!$A$1:$NTR$890,COLUMN(HeadJournal!B$1),0),"")</f>
        <v>720000069872</v>
      </c>
      <c r="C2705" s="94" t="str">
        <f>IFERROR(VLOOKUP($A2705,HeadJournal!$A$1:$NTR$890,COLUMN(HeadJournal!C$1),0),"")</f>
        <v>iHerb_OA CZN6870</v>
      </c>
      <c r="D2705" s="125" t="str">
        <f>IFERROR(VLOOKUP($A2705,HeadJournal!$A$1:$NTR$890,COLUMN(HeadJournal!D$1),0),"")</f>
        <v>Доставлен</v>
      </c>
      <c r="E2705" s="95">
        <f>IFERROR(VLOOKUP($A2705,HeadJournal!$A$1:$NTR$890,COLUMN(HeadJournal!G$1),0),"")</f>
        <v>45289</v>
      </c>
      <c r="F2705" s="95" t="str">
        <f t="shared" si="215"/>
        <v>2023 12</v>
      </c>
      <c r="G2705" s="96" t="s">
        <v>5</v>
      </c>
      <c r="H2705" s="161" t="s">
        <v>3573</v>
      </c>
      <c r="I2705" s="97" t="s">
        <v>2052</v>
      </c>
      <c r="J2705" s="97" t="s">
        <v>3574</v>
      </c>
      <c r="K2705" s="29">
        <v>16.75</v>
      </c>
      <c r="L2705" s="29">
        <v>-5.0259999999999998</v>
      </c>
      <c r="M2705" s="30">
        <f>IFERROR(VLOOKUP($A2705,HeadJournal!$A$1:$J$890,COLUMN(HeadJournal!I$1),0)*($K2705+$L2705)/(SUMIF($A:$A,$A2705,$K:$K)+SUMIF($A:$A,$A2705,$L:$L)),0)</f>
        <v>-1.5873234567901238</v>
      </c>
      <c r="N2705" s="30">
        <f>IFERROR((VLOOKUP($A2705,HeadJournal!$A$1:$K$890,COLUMN(HeadJournal!K$1),0)-VLOOKUP($A2705,HeadJournal!$A$1:$K$890,COLUMN(HeadJournal!J$1),0))*($K2705+$L2705)/(SUMIF($A:$A,$A2705,$K:$K)+SUMIF($A:$A,$A2705,$L:$L)),0)</f>
        <v>1.3712597586915911E-15</v>
      </c>
      <c r="O2705" s="30">
        <f>IFERROR((VLOOKUP($A2705,HeadJournal!$A$1:$L$890,COLUMN(HeadJournal!L$1),0)*($K2705+$L2705)/(SUMIF($A:$A,$A2705,$K:$K)+SUMIF($A:$A,$A2705,$L:$L)))/VLOOKUP($A2705,HeadJournal!$A$1:$L$890,COLUMN(HeadJournal!H$1),0),0)</f>
        <v>1.1644426173559641</v>
      </c>
      <c r="P2705" s="30">
        <f>IFERROR(SUM(K2705:O2705)*VLOOKUP($A2705,HeadJournal!$A$1:$L$890,COLUMN(HeadJournal!H$1),0),0)</f>
        <v>1171.242395720165</v>
      </c>
      <c r="Q2705" s="29">
        <v>2300</v>
      </c>
      <c r="R2705" s="31">
        <v>45322</v>
      </c>
      <c r="S2705" s="31" t="s">
        <v>3121</v>
      </c>
      <c r="T2705" s="95" t="str">
        <f t="shared" si="216"/>
        <v>2024 01</v>
      </c>
      <c r="U2705" s="32">
        <f t="shared" si="213"/>
        <v>1128.757604279835</v>
      </c>
      <c r="V2705" s="22">
        <f t="shared" si="214"/>
        <v>0.96372673018362931</v>
      </c>
      <c r="X2705" s="33"/>
      <c r="Y2705" s="33"/>
    </row>
    <row r="2706" spans="1:25" x14ac:dyDescent="0.2">
      <c r="A2706" s="93" t="s">
        <v>1227</v>
      </c>
      <c r="B2706" s="94" t="str">
        <f>IFERROR(VLOOKUP($A2706,HeadJournal!$A$1:$NTR$890,COLUMN(HeadJournal!B$1),0),"")</f>
        <v>720000069872</v>
      </c>
      <c r="C2706" s="94" t="str">
        <f>IFERROR(VLOOKUP($A2706,HeadJournal!$A$1:$NTR$890,COLUMN(HeadJournal!C$1),0),"")</f>
        <v>iHerb_OA CZN6870</v>
      </c>
      <c r="D2706" s="125" t="str">
        <f>IFERROR(VLOOKUP($A2706,HeadJournal!$A$1:$NTR$890,COLUMN(HeadJournal!D$1),0),"")</f>
        <v>Доставлен</v>
      </c>
      <c r="E2706" s="95">
        <f>IFERROR(VLOOKUP($A2706,HeadJournal!$A$1:$NTR$890,COLUMN(HeadJournal!G$1),0),"")</f>
        <v>45289</v>
      </c>
      <c r="F2706" s="95" t="str">
        <f t="shared" si="215"/>
        <v>2023 12</v>
      </c>
      <c r="G2706" s="96" t="s">
        <v>5</v>
      </c>
      <c r="H2706" s="161" t="s">
        <v>3573</v>
      </c>
      <c r="I2706" s="97" t="s">
        <v>2052</v>
      </c>
      <c r="J2706" s="97" t="s">
        <v>3574</v>
      </c>
      <c r="K2706" s="29">
        <v>16.75</v>
      </c>
      <c r="L2706" s="29">
        <v>-5.0259999999999998</v>
      </c>
      <c r="M2706" s="30">
        <f>IFERROR(VLOOKUP($A2706,HeadJournal!$A$1:$J$890,COLUMN(HeadJournal!I$1),0)*($K2706+$L2706)/(SUMIF($A:$A,$A2706,$K:$K)+SUMIF($A:$A,$A2706,$L:$L)),0)</f>
        <v>-1.5873234567901238</v>
      </c>
      <c r="N2706" s="30">
        <f>IFERROR((VLOOKUP($A2706,HeadJournal!$A$1:$K$890,COLUMN(HeadJournal!K$1),0)-VLOOKUP($A2706,HeadJournal!$A$1:$K$890,COLUMN(HeadJournal!J$1),0))*($K2706+$L2706)/(SUMIF($A:$A,$A2706,$K:$K)+SUMIF($A:$A,$A2706,$L:$L)),0)</f>
        <v>1.3712597586915911E-15</v>
      </c>
      <c r="O2706" s="30">
        <f>IFERROR((VLOOKUP($A2706,HeadJournal!$A$1:$L$890,COLUMN(HeadJournal!L$1),0)*($K2706+$L2706)/(SUMIF($A:$A,$A2706,$K:$K)+SUMIF($A:$A,$A2706,$L:$L)))/VLOOKUP($A2706,HeadJournal!$A$1:$L$890,COLUMN(HeadJournal!H$1),0),0)</f>
        <v>1.1644426173559641</v>
      </c>
      <c r="P2706" s="30">
        <f>IFERROR(SUM(K2706:O2706)*VLOOKUP($A2706,HeadJournal!$A$1:$L$890,COLUMN(HeadJournal!H$1),0),0)</f>
        <v>1171.242395720165</v>
      </c>
      <c r="Q2706" s="29">
        <v>2200</v>
      </c>
      <c r="R2706" s="31">
        <v>45359</v>
      </c>
      <c r="S2706" s="31" t="s">
        <v>3121</v>
      </c>
      <c r="T2706" s="95" t="str">
        <f t="shared" si="216"/>
        <v>2024 03</v>
      </c>
      <c r="U2706" s="32">
        <f t="shared" si="213"/>
        <v>1028.757604279835</v>
      </c>
      <c r="V2706" s="22">
        <f t="shared" si="214"/>
        <v>0.87834730713216724</v>
      </c>
      <c r="X2706" s="33"/>
      <c r="Y2706" s="33"/>
    </row>
    <row r="2707" spans="1:25" x14ac:dyDescent="0.2">
      <c r="A2707" s="93" t="s">
        <v>1227</v>
      </c>
      <c r="B2707" s="94" t="str">
        <f>IFERROR(VLOOKUP($A2707,HeadJournal!$A$1:$NTR$890,COLUMN(HeadJournal!B$1),0),"")</f>
        <v>720000069872</v>
      </c>
      <c r="C2707" s="94" t="str">
        <f>IFERROR(VLOOKUP($A2707,HeadJournal!$A$1:$NTR$890,COLUMN(HeadJournal!C$1),0),"")</f>
        <v>iHerb_OA CZN6870</v>
      </c>
      <c r="D2707" s="125" t="str">
        <f>IFERROR(VLOOKUP($A2707,HeadJournal!$A$1:$NTR$890,COLUMN(HeadJournal!D$1),0),"")</f>
        <v>Доставлен</v>
      </c>
      <c r="E2707" s="95">
        <f>IFERROR(VLOOKUP($A2707,HeadJournal!$A$1:$NTR$890,COLUMN(HeadJournal!G$1),0),"")</f>
        <v>45289</v>
      </c>
      <c r="F2707" s="95" t="str">
        <f t="shared" si="215"/>
        <v>2023 12</v>
      </c>
      <c r="G2707" s="96" t="s">
        <v>5</v>
      </c>
      <c r="H2707" s="161" t="s">
        <v>3573</v>
      </c>
      <c r="I2707" s="97" t="s">
        <v>2052</v>
      </c>
      <c r="J2707" s="97" t="s">
        <v>3574</v>
      </c>
      <c r="K2707" s="29">
        <v>16.75</v>
      </c>
      <c r="L2707" s="29">
        <v>-5.0259999999999998</v>
      </c>
      <c r="M2707" s="30">
        <f>IFERROR(VLOOKUP($A2707,HeadJournal!$A$1:$J$890,COLUMN(HeadJournal!I$1),0)*($K2707+$L2707)/(SUMIF($A:$A,$A2707,$K:$K)+SUMIF($A:$A,$A2707,$L:$L)),0)</f>
        <v>-1.5873234567901238</v>
      </c>
      <c r="N2707" s="30">
        <f>IFERROR((VLOOKUP($A2707,HeadJournal!$A$1:$K$890,COLUMN(HeadJournal!K$1),0)-VLOOKUP($A2707,HeadJournal!$A$1:$K$890,COLUMN(HeadJournal!J$1),0))*($K2707+$L2707)/(SUMIF($A:$A,$A2707,$K:$K)+SUMIF($A:$A,$A2707,$L:$L)),0)</f>
        <v>1.3712597586915911E-15</v>
      </c>
      <c r="O2707" s="30">
        <f>IFERROR((VLOOKUP($A2707,HeadJournal!$A$1:$L$890,COLUMN(HeadJournal!L$1),0)*($K2707+$L2707)/(SUMIF($A:$A,$A2707,$K:$K)+SUMIF($A:$A,$A2707,$L:$L)))/VLOOKUP($A2707,HeadJournal!$A$1:$L$890,COLUMN(HeadJournal!H$1),0),0)</f>
        <v>1.1644426173559641</v>
      </c>
      <c r="P2707" s="30">
        <f>IFERROR(SUM(K2707:O2707)*VLOOKUP($A2707,HeadJournal!$A$1:$L$890,COLUMN(HeadJournal!H$1),0),0)</f>
        <v>1171.242395720165</v>
      </c>
      <c r="Q2707" s="29">
        <v>2300</v>
      </c>
      <c r="R2707" s="31">
        <v>45486</v>
      </c>
      <c r="S2707" s="31" t="s">
        <v>3121</v>
      </c>
      <c r="T2707" s="95" t="str">
        <f t="shared" si="216"/>
        <v>2024 07</v>
      </c>
      <c r="U2707" s="32">
        <f t="shared" si="213"/>
        <v>1128.757604279835</v>
      </c>
      <c r="V2707" s="22">
        <f t="shared" si="214"/>
        <v>0.96372673018362931</v>
      </c>
      <c r="X2707" s="33"/>
      <c r="Y2707" s="33"/>
    </row>
    <row r="2708" spans="1:25" x14ac:dyDescent="0.2">
      <c r="A2708" s="93" t="s">
        <v>1227</v>
      </c>
      <c r="B2708" s="94" t="str">
        <f>IFERROR(VLOOKUP($A2708,HeadJournal!$A$1:$NTR$890,COLUMN(HeadJournal!B$1),0),"")</f>
        <v>720000069872</v>
      </c>
      <c r="C2708" s="94" t="str">
        <f>IFERROR(VLOOKUP($A2708,HeadJournal!$A$1:$NTR$890,COLUMN(HeadJournal!C$1),0),"")</f>
        <v>iHerb_OA CZN6870</v>
      </c>
      <c r="D2708" s="125" t="str">
        <f>IFERROR(VLOOKUP($A2708,HeadJournal!$A$1:$NTR$890,COLUMN(HeadJournal!D$1),0),"")</f>
        <v>Доставлен</v>
      </c>
      <c r="E2708" s="95">
        <f>IFERROR(VLOOKUP($A2708,HeadJournal!$A$1:$NTR$890,COLUMN(HeadJournal!G$1),0),"")</f>
        <v>45289</v>
      </c>
      <c r="F2708" s="95" t="str">
        <f t="shared" si="215"/>
        <v>2023 12</v>
      </c>
      <c r="G2708" s="96" t="s">
        <v>5</v>
      </c>
      <c r="H2708" s="161" t="s">
        <v>3573</v>
      </c>
      <c r="I2708" s="97" t="s">
        <v>2052</v>
      </c>
      <c r="J2708" s="97" t="s">
        <v>3574</v>
      </c>
      <c r="K2708" s="29">
        <v>16.75</v>
      </c>
      <c r="L2708" s="29">
        <v>-5.0259999999999998</v>
      </c>
      <c r="M2708" s="30">
        <f>IFERROR(VLOOKUP($A2708,HeadJournal!$A$1:$J$890,COLUMN(HeadJournal!I$1),0)*($K2708+$L2708)/(SUMIF($A:$A,$A2708,$K:$K)+SUMIF($A:$A,$A2708,$L:$L)),0)</f>
        <v>-1.5873234567901238</v>
      </c>
      <c r="N2708" s="30">
        <f>IFERROR((VLOOKUP($A2708,HeadJournal!$A$1:$K$890,COLUMN(HeadJournal!K$1),0)-VLOOKUP($A2708,HeadJournal!$A$1:$K$890,COLUMN(HeadJournal!J$1),0))*($K2708+$L2708)/(SUMIF($A:$A,$A2708,$K:$K)+SUMIF($A:$A,$A2708,$L:$L)),0)</f>
        <v>1.3712597586915911E-15</v>
      </c>
      <c r="O2708" s="30">
        <f>IFERROR((VLOOKUP($A2708,HeadJournal!$A$1:$L$890,COLUMN(HeadJournal!L$1),0)*($K2708+$L2708)/(SUMIF($A:$A,$A2708,$K:$K)+SUMIF($A:$A,$A2708,$L:$L)))/VLOOKUP($A2708,HeadJournal!$A$1:$L$890,COLUMN(HeadJournal!H$1),0),0)</f>
        <v>1.1644426173559641</v>
      </c>
      <c r="P2708" s="30">
        <f>IFERROR(SUM(K2708:O2708)*VLOOKUP($A2708,HeadJournal!$A$1:$L$890,COLUMN(HeadJournal!H$1),0),0)</f>
        <v>1171.242395720165</v>
      </c>
      <c r="Q2708" s="29">
        <v>2300</v>
      </c>
      <c r="R2708" s="31">
        <v>45583</v>
      </c>
      <c r="S2708" s="31" t="s">
        <v>3121</v>
      </c>
      <c r="T2708" s="95" t="str">
        <f t="shared" si="216"/>
        <v>2024 10</v>
      </c>
      <c r="U2708" s="32">
        <f t="shared" si="213"/>
        <v>1128.757604279835</v>
      </c>
      <c r="V2708" s="22">
        <f t="shared" si="214"/>
        <v>0.96372673018362931</v>
      </c>
      <c r="X2708" s="33"/>
      <c r="Y2708" s="33"/>
    </row>
    <row r="2709" spans="1:25" x14ac:dyDescent="0.2">
      <c r="A2709" s="93" t="s">
        <v>1227</v>
      </c>
      <c r="B2709" s="94" t="str">
        <f>IFERROR(VLOOKUP($A2709,HeadJournal!$A$1:$NTR$890,COLUMN(HeadJournal!B$1),0),"")</f>
        <v>720000069872</v>
      </c>
      <c r="C2709" s="94" t="str">
        <f>IFERROR(VLOOKUP($A2709,HeadJournal!$A$1:$NTR$890,COLUMN(HeadJournal!C$1),0),"")</f>
        <v>iHerb_OA CZN6870</v>
      </c>
      <c r="D2709" s="125" t="str">
        <f>IFERROR(VLOOKUP($A2709,HeadJournal!$A$1:$NTR$890,COLUMN(HeadJournal!D$1),0),"")</f>
        <v>Доставлен</v>
      </c>
      <c r="E2709" s="95">
        <f>IFERROR(VLOOKUP($A2709,HeadJournal!$A$1:$NTR$890,COLUMN(HeadJournal!G$1),0),"")</f>
        <v>45289</v>
      </c>
      <c r="F2709" s="95" t="str">
        <f t="shared" si="215"/>
        <v>2023 12</v>
      </c>
      <c r="G2709" s="96" t="s">
        <v>5</v>
      </c>
      <c r="H2709" s="161" t="s">
        <v>3573</v>
      </c>
      <c r="I2709" s="97" t="s">
        <v>2052</v>
      </c>
      <c r="J2709" s="97" t="s">
        <v>3574</v>
      </c>
      <c r="K2709" s="29">
        <v>16.75</v>
      </c>
      <c r="L2709" s="29">
        <v>-5.0259999999999998</v>
      </c>
      <c r="M2709" s="30">
        <f>IFERROR(VLOOKUP($A2709,HeadJournal!$A$1:$J$890,COLUMN(HeadJournal!I$1),0)*($K2709+$L2709)/(SUMIF($A:$A,$A2709,$K:$K)+SUMIF($A:$A,$A2709,$L:$L)),0)</f>
        <v>-1.5873234567901238</v>
      </c>
      <c r="N2709" s="30">
        <f>IFERROR((VLOOKUP($A2709,HeadJournal!$A$1:$K$890,COLUMN(HeadJournal!K$1),0)-VLOOKUP($A2709,HeadJournal!$A$1:$K$890,COLUMN(HeadJournal!J$1),0))*($K2709+$L2709)/(SUMIF($A:$A,$A2709,$K:$K)+SUMIF($A:$A,$A2709,$L:$L)),0)</f>
        <v>1.3712597586915911E-15</v>
      </c>
      <c r="O2709" s="30">
        <f>IFERROR((VLOOKUP($A2709,HeadJournal!$A$1:$L$890,COLUMN(HeadJournal!L$1),0)*($K2709+$L2709)/(SUMIF($A:$A,$A2709,$K:$K)+SUMIF($A:$A,$A2709,$L:$L)))/VLOOKUP($A2709,HeadJournal!$A$1:$L$890,COLUMN(HeadJournal!H$1),0),0)</f>
        <v>1.1644426173559641</v>
      </c>
      <c r="P2709" s="30">
        <f>IFERROR(SUM(K2709:O2709)*VLOOKUP($A2709,HeadJournal!$A$1:$L$890,COLUMN(HeadJournal!H$1),0),0)</f>
        <v>1171.242395720165</v>
      </c>
      <c r="Q2709" s="29">
        <v>2400</v>
      </c>
      <c r="R2709" s="31">
        <v>45741</v>
      </c>
      <c r="S2709" s="31" t="s">
        <v>3121</v>
      </c>
      <c r="T2709" s="95" t="str">
        <f t="shared" si="216"/>
        <v>2025 03</v>
      </c>
      <c r="U2709" s="32">
        <f t="shared" si="213"/>
        <v>1228.757604279835</v>
      </c>
      <c r="V2709" s="22">
        <f t="shared" si="214"/>
        <v>1.0491061532350916</v>
      </c>
      <c r="X2709" s="33"/>
      <c r="Y2709" s="33"/>
    </row>
    <row r="2710" spans="1:25" x14ac:dyDescent="0.2">
      <c r="A2710" s="93" t="s">
        <v>1227</v>
      </c>
      <c r="B2710" s="94" t="str">
        <f>IFERROR(VLOOKUP($A2710,HeadJournal!$A$1:$NTR$890,COLUMN(HeadJournal!B$1),0),"")</f>
        <v>720000069872</v>
      </c>
      <c r="C2710" s="94" t="str">
        <f>IFERROR(VLOOKUP($A2710,HeadJournal!$A$1:$NTR$890,COLUMN(HeadJournal!C$1),0),"")</f>
        <v>iHerb_OA CZN6870</v>
      </c>
      <c r="D2710" s="125" t="str">
        <f>IFERROR(VLOOKUP($A2710,HeadJournal!$A$1:$NTR$890,COLUMN(HeadJournal!D$1),0),"")</f>
        <v>Доставлен</v>
      </c>
      <c r="E2710" s="95">
        <f>IFERROR(VLOOKUP($A2710,HeadJournal!$A$1:$NTR$890,COLUMN(HeadJournal!G$1),0),"")</f>
        <v>45289</v>
      </c>
      <c r="F2710" s="95" t="str">
        <f t="shared" si="215"/>
        <v>2023 12</v>
      </c>
      <c r="G2710" s="96" t="s">
        <v>5</v>
      </c>
      <c r="H2710" s="161" t="s">
        <v>2709</v>
      </c>
      <c r="I2710" s="97" t="s">
        <v>2052</v>
      </c>
      <c r="J2710" s="97" t="s">
        <v>2710</v>
      </c>
      <c r="K2710" s="29">
        <v>13.71</v>
      </c>
      <c r="L2710" s="29">
        <v>-4.1150000000000002</v>
      </c>
      <c r="M2710" s="30">
        <f>IFERROR(VLOOKUP($A2710,HeadJournal!$A$1:$J$890,COLUMN(HeadJournal!I$1),0)*($K2710+$L2710)/(SUMIF($A:$A,$A2710,$K:$K)+SUMIF($A:$A,$A2710,$L:$L)),0)</f>
        <v>-1.299076131687243</v>
      </c>
      <c r="N2710" s="30">
        <f>IFERROR((VLOOKUP($A2710,HeadJournal!$A$1:$K$890,COLUMN(HeadJournal!K$1),0)-VLOOKUP($A2710,HeadJournal!$A$1:$K$890,COLUMN(HeadJournal!J$1),0))*($K2710+$L2710)/(SUMIF($A:$A,$A2710,$K:$K)+SUMIF($A:$A,$A2710,$L:$L)),0)</f>
        <v>1.122248156315747E-15</v>
      </c>
      <c r="O2710" s="30">
        <f>IFERROR((VLOOKUP($A2710,HeadJournal!$A$1:$L$890,COLUMN(HeadJournal!L$1),0)*($K2710+$L2710)/(SUMIF($A:$A,$A2710,$K:$K)+SUMIF($A:$A,$A2710,$L:$L)))/VLOOKUP($A2710,HeadJournal!$A$1:$L$890,COLUMN(HeadJournal!H$1),0),0)</f>
        <v>0.95298762483200905</v>
      </c>
      <c r="P2710" s="30">
        <f>IFERROR(SUM(K2710:O2710)*VLOOKUP($A2710,HeadJournal!$A$1:$L$890,COLUMN(HeadJournal!H$1),0),0)</f>
        <v>958.55260891632395</v>
      </c>
      <c r="Q2710" s="29">
        <v>1900</v>
      </c>
      <c r="R2710" s="31">
        <v>45332</v>
      </c>
      <c r="S2710" s="31" t="s">
        <v>3121</v>
      </c>
      <c r="T2710" s="95" t="str">
        <f t="shared" si="216"/>
        <v>2024 02</v>
      </c>
      <c r="U2710" s="32">
        <f t="shared" si="213"/>
        <v>941.44739108367605</v>
      </c>
      <c r="V2710" s="22">
        <f t="shared" si="214"/>
        <v>0.98215516010958859</v>
      </c>
      <c r="X2710" s="33"/>
      <c r="Y2710" s="33"/>
    </row>
    <row r="2711" spans="1:25" x14ac:dyDescent="0.2">
      <c r="A2711" s="93" t="s">
        <v>1227</v>
      </c>
      <c r="B2711" s="94" t="str">
        <f>IFERROR(VLOOKUP($A2711,HeadJournal!$A$1:$NTR$890,COLUMN(HeadJournal!B$1),0),"")</f>
        <v>720000069872</v>
      </c>
      <c r="C2711" s="94" t="str">
        <f>IFERROR(VLOOKUP($A2711,HeadJournal!$A$1:$NTR$890,COLUMN(HeadJournal!C$1),0),"")</f>
        <v>iHerb_OA CZN6870</v>
      </c>
      <c r="D2711" s="125" t="str">
        <f>IFERROR(VLOOKUP($A2711,HeadJournal!$A$1:$NTR$890,COLUMN(HeadJournal!D$1),0),"")</f>
        <v>Доставлен</v>
      </c>
      <c r="E2711" s="95">
        <f>IFERROR(VLOOKUP($A2711,HeadJournal!$A$1:$NTR$890,COLUMN(HeadJournal!G$1),0),"")</f>
        <v>45289</v>
      </c>
      <c r="F2711" s="95" t="str">
        <f t="shared" si="215"/>
        <v>2023 12</v>
      </c>
      <c r="G2711" s="96" t="s">
        <v>5</v>
      </c>
      <c r="H2711" s="161" t="s">
        <v>2709</v>
      </c>
      <c r="I2711" s="97" t="s">
        <v>2052</v>
      </c>
      <c r="J2711" s="97" t="s">
        <v>2710</v>
      </c>
      <c r="K2711" s="29">
        <v>13.71</v>
      </c>
      <c r="L2711" s="29">
        <v>-4.1150000000000002</v>
      </c>
      <c r="M2711" s="30">
        <f>IFERROR(VLOOKUP($A2711,HeadJournal!$A$1:$J$890,COLUMN(HeadJournal!I$1),0)*($K2711+$L2711)/(SUMIF($A:$A,$A2711,$K:$K)+SUMIF($A:$A,$A2711,$L:$L)),0)</f>
        <v>-1.299076131687243</v>
      </c>
      <c r="N2711" s="30">
        <f>IFERROR((VLOOKUP($A2711,HeadJournal!$A$1:$K$890,COLUMN(HeadJournal!K$1),0)-VLOOKUP($A2711,HeadJournal!$A$1:$K$890,COLUMN(HeadJournal!J$1),0))*($K2711+$L2711)/(SUMIF($A:$A,$A2711,$K:$K)+SUMIF($A:$A,$A2711,$L:$L)),0)</f>
        <v>1.122248156315747E-15</v>
      </c>
      <c r="O2711" s="30">
        <f>IFERROR((VLOOKUP($A2711,HeadJournal!$A$1:$L$890,COLUMN(HeadJournal!L$1),0)*($K2711+$L2711)/(SUMIF($A:$A,$A2711,$K:$K)+SUMIF($A:$A,$A2711,$L:$L)))/VLOOKUP($A2711,HeadJournal!$A$1:$L$890,COLUMN(HeadJournal!H$1),0),0)</f>
        <v>0.95298762483200905</v>
      </c>
      <c r="P2711" s="30">
        <f>IFERROR(SUM(K2711:O2711)*VLOOKUP($A2711,HeadJournal!$A$1:$L$890,COLUMN(HeadJournal!H$1),0),0)</f>
        <v>958.55260891632395</v>
      </c>
      <c r="Q2711" s="29">
        <v>1800</v>
      </c>
      <c r="R2711" s="31">
        <v>45358</v>
      </c>
      <c r="S2711" s="31" t="s">
        <v>3121</v>
      </c>
      <c r="T2711" s="95" t="str">
        <f t="shared" si="216"/>
        <v>2024 03</v>
      </c>
      <c r="U2711" s="32">
        <f t="shared" si="213"/>
        <v>841.44739108367605</v>
      </c>
      <c r="V2711" s="22">
        <f t="shared" si="214"/>
        <v>0.87783120431434714</v>
      </c>
      <c r="X2711" s="33"/>
      <c r="Y2711" s="33"/>
    </row>
    <row r="2712" spans="1:25" x14ac:dyDescent="0.2">
      <c r="A2712" s="93" t="s">
        <v>1227</v>
      </c>
      <c r="B2712" s="94" t="str">
        <f>IFERROR(VLOOKUP($A2712,HeadJournal!$A$1:$NTR$890,COLUMN(HeadJournal!B$1),0),"")</f>
        <v>720000069872</v>
      </c>
      <c r="C2712" s="94" t="str">
        <f>IFERROR(VLOOKUP($A2712,HeadJournal!$A$1:$NTR$890,COLUMN(HeadJournal!C$1),0),"")</f>
        <v>iHerb_OA CZN6870</v>
      </c>
      <c r="D2712" s="125" t="str">
        <f>IFERROR(VLOOKUP($A2712,HeadJournal!$A$1:$NTR$890,COLUMN(HeadJournal!D$1),0),"")</f>
        <v>Доставлен</v>
      </c>
      <c r="E2712" s="95">
        <f>IFERROR(VLOOKUP($A2712,HeadJournal!$A$1:$NTR$890,COLUMN(HeadJournal!G$1),0),"")</f>
        <v>45289</v>
      </c>
      <c r="F2712" s="95" t="str">
        <f t="shared" si="215"/>
        <v>2023 12</v>
      </c>
      <c r="G2712" s="96" t="s">
        <v>5</v>
      </c>
      <c r="H2712" s="161" t="str">
        <f>RIGHT(Journal!$J2712,9)</f>
        <v>CGN-01847</v>
      </c>
      <c r="I2712" s="97" t="str">
        <f t="shared" si="212"/>
        <v>California Gold Nutrition</v>
      </c>
      <c r="J2712" s="97" t="s">
        <v>1228</v>
      </c>
      <c r="K2712" s="29">
        <v>9.1999999999999993</v>
      </c>
      <c r="L2712" s="29">
        <v>-2.76</v>
      </c>
      <c r="M2712" s="30">
        <f>IFERROR(VLOOKUP($A2712,HeadJournal!$A$1:$J$890,COLUMN(HeadJournal!I$1),0)*($K2712+$L2712)/(SUMIF($A:$A,$A2712,$K:$K)+SUMIF($A:$A,$A2712,$L:$L)),0)</f>
        <v>-0.87191769547325104</v>
      </c>
      <c r="N2712" s="30">
        <f>IFERROR((VLOOKUP($A2712,HeadJournal!$A$1:$K$890,COLUMN(HeadJournal!K$1),0)-VLOOKUP($A2712,HeadJournal!$A$1:$K$890,COLUMN(HeadJournal!J$1),0))*($K2712+$L2712)/(SUMIF($A:$A,$A2712,$K:$K)+SUMIF($A:$A,$A2712,$L:$L)),0)</f>
        <v>7.5323378078930792E-16</v>
      </c>
      <c r="O2712" s="30">
        <f>IFERROR((VLOOKUP($A2712,HeadJournal!$A$1:$L$890,COLUMN(HeadJournal!L$1),0)*($K2712+$L2712)/(SUMIF($A:$A,$A2712,$K:$K)+SUMIF($A:$A,$A2712,$L:$L)))/VLOOKUP($A2712,HeadJournal!$A$1:$L$890,COLUMN(HeadJournal!H$1),0),0)</f>
        <v>0.63962900509829479</v>
      </c>
      <c r="P2712" s="30">
        <f>IFERROR(SUM(K2712:O2712)*VLOOKUP($A2712,HeadJournal!$A$1:$L$890,COLUMN(HeadJournal!H$1),0),0)</f>
        <v>643.36412729766812</v>
      </c>
      <c r="Q2712" s="29">
        <v>1500</v>
      </c>
      <c r="R2712" s="31">
        <v>45713</v>
      </c>
      <c r="S2712" s="31" t="s">
        <v>3121</v>
      </c>
      <c r="T2712" s="95" t="str">
        <f t="shared" si="216"/>
        <v>2025 02</v>
      </c>
      <c r="U2712" s="32">
        <f t="shared" si="213"/>
        <v>856.63587270233188</v>
      </c>
      <c r="V2712" s="22">
        <f t="shared" si="214"/>
        <v>1.3314946176754869</v>
      </c>
      <c r="X2712" s="33"/>
      <c r="Y2712" s="33"/>
    </row>
    <row r="2713" spans="1:25" x14ac:dyDescent="0.2">
      <c r="A2713" s="93" t="s">
        <v>1227</v>
      </c>
      <c r="B2713" s="94" t="str">
        <f>IFERROR(VLOOKUP($A2713,HeadJournal!$A$1:$NTR$890,COLUMN(HeadJournal!B$1),0),"")</f>
        <v>720000069872</v>
      </c>
      <c r="C2713" s="94" t="str">
        <f>IFERROR(VLOOKUP($A2713,HeadJournal!$A$1:$NTR$890,COLUMN(HeadJournal!C$1),0),"")</f>
        <v>iHerb_OA CZN6870</v>
      </c>
      <c r="D2713" s="125" t="str">
        <f>IFERROR(VLOOKUP($A2713,HeadJournal!$A$1:$NTR$890,COLUMN(HeadJournal!D$1),0),"")</f>
        <v>Доставлен</v>
      </c>
      <c r="E2713" s="95">
        <f>IFERROR(VLOOKUP($A2713,HeadJournal!$A$1:$NTR$890,COLUMN(HeadJournal!G$1),0),"")</f>
        <v>45289</v>
      </c>
      <c r="F2713" s="95" t="str">
        <f t="shared" si="215"/>
        <v>2023 12</v>
      </c>
      <c r="G2713" s="96" t="s">
        <v>5</v>
      </c>
      <c r="H2713" s="161" t="str">
        <f>RIGHT(Journal!$J2713,9)</f>
        <v>CGN-00856</v>
      </c>
      <c r="I2713" s="97" t="str">
        <f t="shared" si="212"/>
        <v>California Gold Nutrition</v>
      </c>
      <c r="J2713" s="97" t="s">
        <v>896</v>
      </c>
      <c r="K2713" s="29">
        <v>20.16</v>
      </c>
      <c r="L2713" s="29">
        <v>-6.05</v>
      </c>
      <c r="M2713" s="30">
        <f>IFERROR(VLOOKUP($A2713,HeadJournal!$A$1:$J$890,COLUMN(HeadJournal!I$1),0)*($K2713+$L2713)/(SUMIF($A:$A,$A2713,$K:$K)+SUMIF($A:$A,$A2713,$L:$L)),0)</f>
        <v>-1.9103662551440328</v>
      </c>
      <c r="N2713" s="30">
        <f>IFERROR((VLOOKUP($A2713,HeadJournal!$A$1:$K$890,COLUMN(HeadJournal!K$1),0)-VLOOKUP($A2713,HeadJournal!$A$1:$K$890,COLUMN(HeadJournal!J$1),0))*($K2713+$L2713)/(SUMIF($A:$A,$A2713,$K:$K)+SUMIF($A:$A,$A2713,$L:$L)),0)</f>
        <v>1.6503305352386855E-15</v>
      </c>
      <c r="O2713" s="30">
        <f>IFERROR((VLOOKUP($A2713,HeadJournal!$A$1:$L$890,COLUMN(HeadJournal!L$1),0)*($K2713+$L2713)/(SUMIF($A:$A,$A2713,$K:$K)+SUMIF($A:$A,$A2713,$L:$L)))/VLOOKUP($A2713,HeadJournal!$A$1:$L$890,COLUMN(HeadJournal!H$1),0),0)</f>
        <v>1.4014231773194006</v>
      </c>
      <c r="P2713" s="30">
        <f>IFERROR(SUM(K2713:O2713)*VLOOKUP($A2713,HeadJournal!$A$1:$L$890,COLUMN(HeadJournal!H$1),0),0)</f>
        <v>1409.6068068587108</v>
      </c>
      <c r="Q2713" s="29">
        <v>2500</v>
      </c>
      <c r="R2713" s="31">
        <v>45528</v>
      </c>
      <c r="S2713" s="31" t="s">
        <v>3121</v>
      </c>
      <c r="T2713" s="95" t="str">
        <f t="shared" si="216"/>
        <v>2024 08</v>
      </c>
      <c r="U2713" s="32">
        <f t="shared" si="213"/>
        <v>1090.3931931412892</v>
      </c>
      <c r="V2713" s="22">
        <f t="shared" si="214"/>
        <v>0.77354421661116646</v>
      </c>
      <c r="X2713" s="33"/>
      <c r="Y2713" s="33"/>
    </row>
    <row r="2714" spans="1:25" x14ac:dyDescent="0.2">
      <c r="A2714" s="93" t="s">
        <v>1227</v>
      </c>
      <c r="B2714" s="94" t="str">
        <f>IFERROR(VLOOKUP($A2714,HeadJournal!$A$1:$NTR$890,COLUMN(HeadJournal!B$1),0),"")</f>
        <v>720000069872</v>
      </c>
      <c r="C2714" s="94" t="str">
        <f>IFERROR(VLOOKUP($A2714,HeadJournal!$A$1:$NTR$890,COLUMN(HeadJournal!C$1),0),"")</f>
        <v>iHerb_OA CZN6870</v>
      </c>
      <c r="D2714" s="125" t="str">
        <f>IFERROR(VLOOKUP($A2714,HeadJournal!$A$1:$NTR$890,COLUMN(HeadJournal!D$1),0),"")</f>
        <v>Доставлен</v>
      </c>
      <c r="E2714" s="95">
        <f>IFERROR(VLOOKUP($A2714,HeadJournal!$A$1:$NTR$890,COLUMN(HeadJournal!G$1),0),"")</f>
        <v>45289</v>
      </c>
      <c r="F2714" s="95" t="str">
        <f t="shared" si="215"/>
        <v>2023 12</v>
      </c>
      <c r="G2714" s="96" t="s">
        <v>5</v>
      </c>
      <c r="H2714" s="161" t="str">
        <f>RIGHT(Journal!$J2714,9)</f>
        <v>CGN-02108</v>
      </c>
      <c r="I2714" s="97" t="str">
        <f t="shared" si="212"/>
        <v>California Gold Nutrition</v>
      </c>
      <c r="J2714" s="97" t="s">
        <v>1116</v>
      </c>
      <c r="K2714" s="29">
        <v>17.23</v>
      </c>
      <c r="L2714" s="29">
        <v>-8.6199999999999992</v>
      </c>
      <c r="M2714" s="30">
        <f>IFERROR(VLOOKUP($A2714,HeadJournal!$A$1:$J$890,COLUMN(HeadJournal!I$1),0)*($K2714+$L2714)/(SUMIF($A:$A,$A2714,$K:$K)+SUMIF($A:$A,$A2714,$L:$L)),0)</f>
        <v>-1.1657160493827161</v>
      </c>
      <c r="N2714" s="30">
        <f>IFERROR((VLOOKUP($A2714,HeadJournal!$A$1:$K$890,COLUMN(HeadJournal!K$1),0)-VLOOKUP($A2714,HeadJournal!$A$1:$K$890,COLUMN(HeadJournal!J$1),0))*($K2714+$L2714)/(SUMIF($A:$A,$A2714,$K:$K)+SUMIF($A:$A,$A2714,$L:$L)),0)</f>
        <v>1.007040815620488E-15</v>
      </c>
      <c r="O2714" s="30">
        <f>IFERROR((VLOOKUP($A2714,HeadJournal!$A$1:$L$890,COLUMN(HeadJournal!L$1),0)*($K2714+$L2714)/(SUMIF($A:$A,$A2714,$K:$K)+SUMIF($A:$A,$A2714,$L:$L)))/VLOOKUP($A2714,HeadJournal!$A$1:$L$890,COLUMN(HeadJournal!H$1),0),0)</f>
        <v>0.8551561698596768</v>
      </c>
      <c r="P2714" s="30">
        <f>IFERROR(SUM(K2714:O2714)*VLOOKUP($A2714,HeadJournal!$A$1:$L$890,COLUMN(HeadJournal!H$1),0),0)</f>
        <v>860.14986584362168</v>
      </c>
      <c r="Q2714" s="29">
        <v>2100</v>
      </c>
      <c r="R2714" s="31">
        <v>45612</v>
      </c>
      <c r="S2714" s="31" t="s">
        <v>3121</v>
      </c>
      <c r="T2714" s="95" t="str">
        <f t="shared" si="216"/>
        <v>2024 11</v>
      </c>
      <c r="U2714" s="32">
        <f t="shared" si="213"/>
        <v>1239.8501341563783</v>
      </c>
      <c r="V2714" s="22">
        <f t="shared" si="214"/>
        <v>1.4414350142813224</v>
      </c>
      <c r="X2714" s="33"/>
      <c r="Y2714" s="33"/>
    </row>
    <row r="2715" spans="1:25" x14ac:dyDescent="0.2">
      <c r="A2715" s="93" t="s">
        <v>1229</v>
      </c>
      <c r="B2715" s="94" t="str">
        <f>IFERROR(VLOOKUP($A2715,HeadJournal!$A$1:$NTR$890,COLUMN(HeadJournal!B$1),0),"")</f>
        <v>720000079409</v>
      </c>
      <c r="C2715" s="94" t="str">
        <f>IFERROR(VLOOKUP($A2715,HeadJournal!$A$1:$NTR$890,COLUMN(HeadJournal!C$1),0),"")</f>
        <v>iHerb_OA CZN6870</v>
      </c>
      <c r="D2715" s="125" t="str">
        <f>IFERROR(VLOOKUP($A2715,HeadJournal!$A$1:$NTR$890,COLUMN(HeadJournal!D$1),0),"")</f>
        <v>Доставлен</v>
      </c>
      <c r="E2715" s="118">
        <f>IFERROR(VLOOKUP($A2715,HeadJournal!$A$1:$NTR$890,COLUMN(HeadJournal!G$1),0),"")</f>
        <v>45300</v>
      </c>
      <c r="F2715" s="95" t="str">
        <f t="shared" si="215"/>
        <v>2024 01</v>
      </c>
      <c r="G2715" s="96" t="s">
        <v>5</v>
      </c>
      <c r="H2715" s="161" t="s">
        <v>2851</v>
      </c>
      <c r="I2715" s="97" t="s">
        <v>2102</v>
      </c>
      <c r="J2715" s="97" t="s">
        <v>4165</v>
      </c>
      <c r="K2715" s="29">
        <v>5.65</v>
      </c>
      <c r="L2715" s="29">
        <v>-0.56999999999999995</v>
      </c>
      <c r="M2715" s="30">
        <f>IFERROR(VLOOKUP($A2715,HeadJournal!$A$1:$J$890,COLUMN(HeadJournal!I$1),0)*($K2715+$L2715)/(SUMIF($A:$A,$A2715,$K:$K)+SUMIF($A:$A,$A2715,$L:$L)),0)</f>
        <v>-0.23499541536768753</v>
      </c>
      <c r="N2715" s="30">
        <f>IFERROR((VLOOKUP($A2715,HeadJournal!$A$1:$K$890,COLUMN(HeadJournal!K$1),0)-VLOOKUP($A2715,HeadJournal!$A$1:$K$890,COLUMN(HeadJournal!J$1),0))*($K2715+$L2715)/(SUMIF($A:$A,$A2715,$K:$K)+SUMIF($A:$A,$A2715,$L:$L)),0)</f>
        <v>6.619396841484154E-16</v>
      </c>
      <c r="O2715" s="30">
        <f>IFERROR((VLOOKUP($A2715,HeadJournal!$A$1:$L$890,COLUMN(HeadJournal!L$1),0)*($K2715+$L2715)/(SUMIF($A:$A,$A2715,$K:$K)+SUMIF($A:$A,$A2715,$L:$L)))/VLOOKUP($A2715,HeadJournal!$A$1:$L$890,COLUMN(HeadJournal!H$1),0),0)</f>
        <v>0.45538560003469875</v>
      </c>
      <c r="P2715" s="30">
        <f>IFERROR(SUM(K2715:O2715)*VLOOKUP($A2715,HeadJournal!$A$1:$L$890,COLUMN(HeadJournal!H$1),0),0)</f>
        <v>537.99533651201182</v>
      </c>
      <c r="Q2715" s="29">
        <v>900</v>
      </c>
      <c r="R2715" s="31">
        <v>45456</v>
      </c>
      <c r="S2715" s="31" t="s">
        <v>3121</v>
      </c>
      <c r="T2715" s="95" t="str">
        <f t="shared" si="216"/>
        <v>2024 06</v>
      </c>
      <c r="U2715" s="32">
        <f t="shared" si="213"/>
        <v>362.00466348798818</v>
      </c>
      <c r="V2715" s="22">
        <f t="shared" si="214"/>
        <v>0.67287695435238348</v>
      </c>
      <c r="X2715" s="33"/>
      <c r="Y2715" s="33"/>
    </row>
    <row r="2716" spans="1:25" x14ac:dyDescent="0.2">
      <c r="A2716" s="93" t="s">
        <v>1229</v>
      </c>
      <c r="B2716" s="94" t="str">
        <f>IFERROR(VLOOKUP($A2716,HeadJournal!$A$1:$NTR$890,COLUMN(HeadJournal!B$1),0),"")</f>
        <v>720000079409</v>
      </c>
      <c r="C2716" s="94" t="str">
        <f>IFERROR(VLOOKUP($A2716,HeadJournal!$A$1:$NTR$890,COLUMN(HeadJournal!C$1),0),"")</f>
        <v>iHerb_OA CZN6870</v>
      </c>
      <c r="D2716" s="125" t="str">
        <f>IFERROR(VLOOKUP($A2716,HeadJournal!$A$1:$NTR$890,COLUMN(HeadJournal!D$1),0),"")</f>
        <v>Доставлен</v>
      </c>
      <c r="E2716" s="118">
        <f>IFERROR(VLOOKUP($A2716,HeadJournal!$A$1:$NTR$890,COLUMN(HeadJournal!G$1),0),"")</f>
        <v>45300</v>
      </c>
      <c r="F2716" s="95" t="str">
        <f t="shared" si="215"/>
        <v>2024 01</v>
      </c>
      <c r="G2716" s="96" t="s">
        <v>5</v>
      </c>
      <c r="H2716" s="161" t="s">
        <v>2665</v>
      </c>
      <c r="I2716" s="97" t="s">
        <v>2666</v>
      </c>
      <c r="J2716" s="97" t="s">
        <v>3930</v>
      </c>
      <c r="K2716" s="29">
        <v>9.4499999999999993</v>
      </c>
      <c r="L2716" s="29">
        <v>-0.94499999999999995</v>
      </c>
      <c r="M2716" s="30">
        <f>IFERROR(VLOOKUP($A2716,HeadJournal!$A$1:$J$890,COLUMN(HeadJournal!I$1),0)*($K2716+$L2716)/(SUMIF($A:$A,$A2716,$K:$K)+SUMIF($A:$A,$A2716,$L:$L)),0)</f>
        <v>-0.39343228498074451</v>
      </c>
      <c r="N2716" s="30">
        <f>IFERROR((VLOOKUP($A2716,HeadJournal!$A$1:$K$890,COLUMN(HeadJournal!K$1),0)-VLOOKUP($A2716,HeadJournal!$A$1:$K$890,COLUMN(HeadJournal!J$1),0))*($K2716+$L2716)/(SUMIF($A:$A,$A2716,$K:$K)+SUMIF($A:$A,$A2716,$L:$L)),0)</f>
        <v>1.1082277585988725E-15</v>
      </c>
      <c r="O2716" s="30">
        <f>IFERROR((VLOOKUP($A2716,HeadJournal!$A$1:$L$890,COLUMN(HeadJournal!L$1),0)*($K2716+$L2716)/(SUMIF($A:$A,$A2716,$K:$K)+SUMIF($A:$A,$A2716,$L:$L)))/VLOOKUP($A2716,HeadJournal!$A$1:$L$890,COLUMN(HeadJournal!H$1),0),0)</f>
        <v>0.76241230871951027</v>
      </c>
      <c r="P2716" s="30">
        <f>IFERROR(SUM(K2716:O2716)*VLOOKUP($A2716,HeadJournal!$A$1:$L$890,COLUMN(HeadJournal!H$1),0),0)</f>
        <v>900.71857028241345</v>
      </c>
      <c r="Q2716" s="29">
        <v>1400</v>
      </c>
      <c r="R2716" s="31">
        <v>45333</v>
      </c>
      <c r="S2716" s="31" t="s">
        <v>3121</v>
      </c>
      <c r="T2716" s="95" t="str">
        <f t="shared" si="216"/>
        <v>2024 02</v>
      </c>
      <c r="U2716" s="32">
        <f t="shared" si="213"/>
        <v>499.28142971758655</v>
      </c>
      <c r="V2716" s="22">
        <f t="shared" si="214"/>
        <v>0.55431457304254383</v>
      </c>
      <c r="X2716" s="33"/>
      <c r="Y2716" s="33"/>
    </row>
    <row r="2717" spans="1:25" x14ac:dyDescent="0.2">
      <c r="A2717" s="93" t="s">
        <v>1229</v>
      </c>
      <c r="B2717" s="94" t="str">
        <f>IFERROR(VLOOKUP($A2717,HeadJournal!$A$1:$NTR$890,COLUMN(HeadJournal!B$1),0),"")</f>
        <v>720000079409</v>
      </c>
      <c r="C2717" s="94" t="str">
        <f>IFERROR(VLOOKUP($A2717,HeadJournal!$A$1:$NTR$890,COLUMN(HeadJournal!C$1),0),"")</f>
        <v>iHerb_OA CZN6870</v>
      </c>
      <c r="D2717" s="125" t="str">
        <f>IFERROR(VLOOKUP($A2717,HeadJournal!$A$1:$NTR$890,COLUMN(HeadJournal!D$1),0),"")</f>
        <v>Доставлен</v>
      </c>
      <c r="E2717" s="118">
        <f>IFERROR(VLOOKUP($A2717,HeadJournal!$A$1:$NTR$890,COLUMN(HeadJournal!G$1),0),"")</f>
        <v>45300</v>
      </c>
      <c r="F2717" s="95" t="str">
        <f t="shared" si="215"/>
        <v>2024 01</v>
      </c>
      <c r="G2717" s="96" t="s">
        <v>5</v>
      </c>
      <c r="H2717" s="161" t="s">
        <v>2665</v>
      </c>
      <c r="I2717" s="97" t="s">
        <v>2666</v>
      </c>
      <c r="J2717" s="97" t="s">
        <v>3930</v>
      </c>
      <c r="K2717" s="29">
        <v>9.4499999999999993</v>
      </c>
      <c r="L2717" s="29">
        <v>-0.94499999999999995</v>
      </c>
      <c r="M2717" s="30">
        <f>IFERROR(VLOOKUP($A2717,HeadJournal!$A$1:$J$890,COLUMN(HeadJournal!I$1),0)*($K2717+$L2717)/(SUMIF($A:$A,$A2717,$K:$K)+SUMIF($A:$A,$A2717,$L:$L)),0)</f>
        <v>-0.39343228498074451</v>
      </c>
      <c r="N2717" s="30">
        <f>IFERROR((VLOOKUP($A2717,HeadJournal!$A$1:$K$890,COLUMN(HeadJournal!K$1),0)-VLOOKUP($A2717,HeadJournal!$A$1:$K$890,COLUMN(HeadJournal!J$1),0))*($K2717+$L2717)/(SUMIF($A:$A,$A2717,$K:$K)+SUMIF($A:$A,$A2717,$L:$L)),0)</f>
        <v>1.1082277585988725E-15</v>
      </c>
      <c r="O2717" s="30">
        <f>IFERROR((VLOOKUP($A2717,HeadJournal!$A$1:$L$890,COLUMN(HeadJournal!L$1),0)*($K2717+$L2717)/(SUMIF($A:$A,$A2717,$K:$K)+SUMIF($A:$A,$A2717,$L:$L)))/VLOOKUP($A2717,HeadJournal!$A$1:$L$890,COLUMN(HeadJournal!H$1),0),0)</f>
        <v>0.76241230871951027</v>
      </c>
      <c r="P2717" s="30">
        <f>IFERROR(SUM(K2717:O2717)*VLOOKUP($A2717,HeadJournal!$A$1:$L$890,COLUMN(HeadJournal!H$1),0),0)</f>
        <v>900.71857028241345</v>
      </c>
      <c r="Q2717" s="29">
        <v>1400</v>
      </c>
      <c r="R2717" s="31">
        <v>45333</v>
      </c>
      <c r="S2717" s="31" t="s">
        <v>3121</v>
      </c>
      <c r="T2717" s="95" t="str">
        <f t="shared" si="216"/>
        <v>2024 02</v>
      </c>
      <c r="U2717" s="32">
        <f t="shared" si="213"/>
        <v>499.28142971758655</v>
      </c>
      <c r="V2717" s="22">
        <f t="shared" si="214"/>
        <v>0.55431457304254383</v>
      </c>
      <c r="X2717" s="33"/>
      <c r="Y2717" s="33"/>
    </row>
    <row r="2718" spans="1:25" x14ac:dyDescent="0.2">
      <c r="A2718" s="93" t="s">
        <v>1229</v>
      </c>
      <c r="B2718" s="94" t="str">
        <f>IFERROR(VLOOKUP($A2718,HeadJournal!$A$1:$NTR$890,COLUMN(HeadJournal!B$1),0),"")</f>
        <v>720000079409</v>
      </c>
      <c r="C2718" s="94" t="str">
        <f>IFERROR(VLOOKUP($A2718,HeadJournal!$A$1:$NTR$890,COLUMN(HeadJournal!C$1),0),"")</f>
        <v>iHerb_OA CZN6870</v>
      </c>
      <c r="D2718" s="126" t="str">
        <f>IFERROR(VLOOKUP($A2718,HeadJournal!$A$1:$NTR$890,COLUMN(HeadJournal!D$1),0),"")</f>
        <v>Доставлен</v>
      </c>
      <c r="E2718" s="118">
        <f>IFERROR(VLOOKUP($A2718,HeadJournal!$A$1:$NTR$890,COLUMN(HeadJournal!G$1),0),"")</f>
        <v>45300</v>
      </c>
      <c r="F2718" s="95" t="str">
        <f t="shared" si="215"/>
        <v>2024 01</v>
      </c>
      <c r="G2718" s="96" t="s">
        <v>5</v>
      </c>
      <c r="H2718" s="161" t="s">
        <v>2189</v>
      </c>
      <c r="I2718" s="97" t="s">
        <v>2005</v>
      </c>
      <c r="J2718" s="97" t="s">
        <v>4154</v>
      </c>
      <c r="K2718" s="29">
        <v>30.48</v>
      </c>
      <c r="L2718" s="29">
        <v>-4.57</v>
      </c>
      <c r="M2718" s="30">
        <f>IFERROR(VLOOKUP($A2718,HeadJournal!$A$1:$J$890,COLUMN(HeadJournal!I$1),0)*($K2718+$L2718)/(SUMIF($A:$A,$A2718,$K:$K)+SUMIF($A:$A,$A2718,$L:$L)),0)</f>
        <v>-1.1985691362552724</v>
      </c>
      <c r="N2718" s="30">
        <f>IFERROR((VLOOKUP($A2718,HeadJournal!$A$1:$K$890,COLUMN(HeadJournal!K$1),0)-VLOOKUP($A2718,HeadJournal!$A$1:$K$890,COLUMN(HeadJournal!J$1),0))*($K2718+$L2718)/(SUMIF($A:$A,$A2718,$K:$K)+SUMIF($A:$A,$A2718,$L:$L)),0)</f>
        <v>3.3761529953317804E-15</v>
      </c>
      <c r="O2718" s="30">
        <f>IFERROR((VLOOKUP($A2718,HeadJournal!$A$1:$L$890,COLUMN(HeadJournal!L$1),0)*($K2718+$L2718)/(SUMIF($A:$A,$A2718,$K:$K)+SUMIF($A:$A,$A2718,$L:$L)))/VLOOKUP($A2718,HeadJournal!$A$1:$L$890,COLUMN(HeadJournal!H$1),0),0)</f>
        <v>2.3226458458462687</v>
      </c>
      <c r="P2718" s="30">
        <f>IFERROR(SUM(K2718:O2718)*VLOOKUP($A2718,HeadJournal!$A$1:$L$890,COLUMN(HeadJournal!H$1),0),0)</f>
        <v>2743.9880253988631</v>
      </c>
      <c r="Q2718" s="29">
        <v>3400</v>
      </c>
      <c r="R2718" s="31">
        <v>45335</v>
      </c>
      <c r="S2718" s="31" t="s">
        <v>3121</v>
      </c>
      <c r="T2718" s="95" t="str">
        <f t="shared" si="216"/>
        <v>2024 02</v>
      </c>
      <c r="U2718" s="32">
        <f t="shared" si="213"/>
        <v>656.0119746011369</v>
      </c>
      <c r="V2718" s="22">
        <f t="shared" si="214"/>
        <v>0.23907246260878989</v>
      </c>
      <c r="X2718" s="33"/>
      <c r="Y2718" s="33"/>
    </row>
    <row r="2719" spans="1:25" x14ac:dyDescent="0.2">
      <c r="A2719" s="93" t="s">
        <v>1229</v>
      </c>
      <c r="B2719" s="94" t="str">
        <f>IFERROR(VLOOKUP($A2719,HeadJournal!$A$1:$NTR$890,COLUMN(HeadJournal!B$1),0),"")</f>
        <v>720000079409</v>
      </c>
      <c r="C2719" s="94" t="str">
        <f>IFERROR(VLOOKUP($A2719,HeadJournal!$A$1:$NTR$890,COLUMN(HeadJournal!C$1),0),"")</f>
        <v>iHerb_OA CZN6870</v>
      </c>
      <c r="D2719" s="126" t="str">
        <f>IFERROR(VLOOKUP($A2719,HeadJournal!$A$1:$NTR$890,COLUMN(HeadJournal!D$1),0),"")</f>
        <v>Доставлен</v>
      </c>
      <c r="E2719" s="118">
        <f>IFERROR(VLOOKUP($A2719,HeadJournal!$A$1:$NTR$890,COLUMN(HeadJournal!G$1),0),"")</f>
        <v>45300</v>
      </c>
      <c r="F2719" s="95" t="str">
        <f t="shared" si="215"/>
        <v>2024 01</v>
      </c>
      <c r="G2719" s="96" t="s">
        <v>5</v>
      </c>
      <c r="H2719" s="161" t="s">
        <v>3651</v>
      </c>
      <c r="I2719" s="97" t="s">
        <v>2042</v>
      </c>
      <c r="J2719" s="97" t="s">
        <v>3700</v>
      </c>
      <c r="K2719" s="29">
        <v>17.46</v>
      </c>
      <c r="L2719" s="29">
        <v>-1.75</v>
      </c>
      <c r="M2719" s="30">
        <f>IFERROR(VLOOKUP($A2719,HeadJournal!$A$1:$J$890,COLUMN(HeadJournal!I$1),0)*($K2719+$L2719)/(SUMIF($A:$A,$A2719,$K:$K)+SUMIF($A:$A,$A2719,$L:$L)),0)</f>
        <v>-0.72672794791857709</v>
      </c>
      <c r="N2719" s="30">
        <f>IFERROR((VLOOKUP($A2719,HeadJournal!$A$1:$K$890,COLUMN(HeadJournal!K$1),0)-VLOOKUP($A2719,HeadJournal!$A$1:$K$890,COLUMN(HeadJournal!J$1),0))*($K2719+$L2719)/(SUMIF($A:$A,$A2719,$K:$K)+SUMIF($A:$A,$A2719,$L:$L)),0)</f>
        <v>2.047061503537718E-15</v>
      </c>
      <c r="O2719" s="30">
        <f>IFERROR((VLOOKUP($A2719,HeadJournal!$A$1:$L$890,COLUMN(HeadJournal!L$1),0)*($K2719+$L2719)/(SUMIF($A:$A,$A2719,$K:$K)+SUMIF($A:$A,$A2719,$L:$L)))/VLOOKUP($A2719,HeadJournal!$A$1:$L$890,COLUMN(HeadJournal!H$1),0),0)</f>
        <v>1.4082889323907712</v>
      </c>
      <c r="P2719" s="30">
        <f>IFERROR(SUM(K2719:O2719)*VLOOKUP($A2719,HeadJournal!$A$1:$L$890,COLUMN(HeadJournal!H$1),0),0)</f>
        <v>1663.7611686227767</v>
      </c>
      <c r="Q2719" s="29">
        <v>2150</v>
      </c>
      <c r="R2719" s="31">
        <v>45335</v>
      </c>
      <c r="S2719" s="31" t="s">
        <v>3121</v>
      </c>
      <c r="T2719" s="95" t="str">
        <f t="shared" si="216"/>
        <v>2024 02</v>
      </c>
      <c r="U2719" s="32">
        <f t="shared" si="213"/>
        <v>486.23883137722328</v>
      </c>
      <c r="V2719" s="22">
        <f t="shared" si="214"/>
        <v>0.29225278275951144</v>
      </c>
      <c r="X2719" s="33"/>
      <c r="Y2719" s="33"/>
    </row>
    <row r="2720" spans="1:25" x14ac:dyDescent="0.2">
      <c r="A2720" s="93" t="s">
        <v>1229</v>
      </c>
      <c r="B2720" s="94" t="str">
        <f>IFERROR(VLOOKUP($A2720,HeadJournal!$A$1:$NTR$890,COLUMN(HeadJournal!B$1),0),"")</f>
        <v>720000079409</v>
      </c>
      <c r="C2720" s="94" t="str">
        <f>IFERROR(VLOOKUP($A2720,HeadJournal!$A$1:$NTR$890,COLUMN(HeadJournal!C$1),0),"")</f>
        <v>iHerb_OA CZN6870</v>
      </c>
      <c r="D2720" s="126" t="str">
        <f>IFERROR(VLOOKUP($A2720,HeadJournal!$A$1:$NTR$890,COLUMN(HeadJournal!D$1),0),"")</f>
        <v>Доставлен</v>
      </c>
      <c r="E2720" s="118">
        <f>IFERROR(VLOOKUP($A2720,HeadJournal!$A$1:$NTR$890,COLUMN(HeadJournal!G$1),0),"")</f>
        <v>45300</v>
      </c>
      <c r="F2720" s="95" t="str">
        <f t="shared" si="215"/>
        <v>2024 01</v>
      </c>
      <c r="G2720" s="96" t="s">
        <v>5</v>
      </c>
      <c r="H2720" s="161" t="s">
        <v>2546</v>
      </c>
      <c r="I2720" s="97" t="s">
        <v>2039</v>
      </c>
      <c r="J2720" s="97" t="s">
        <v>2547</v>
      </c>
      <c r="K2720" s="29">
        <v>10.65</v>
      </c>
      <c r="L2720" s="29">
        <v>-1.07</v>
      </c>
      <c r="M2720" s="30">
        <f>IFERROR(VLOOKUP($A2720,HeadJournal!$A$1:$J$890,COLUMN(HeadJournal!I$1),0)*($K2720+$L2720)/(SUMIF($A:$A,$A2720,$K:$K)+SUMIF($A:$A,$A2720,$L:$L)),0)</f>
        <v>-0.44316064551622963</v>
      </c>
      <c r="N2720" s="30">
        <f>IFERROR((VLOOKUP($A2720,HeadJournal!$A$1:$K$890,COLUMN(HeadJournal!K$1),0)-VLOOKUP($A2720,HeadJournal!$A$1:$K$890,COLUMN(HeadJournal!J$1),0))*($K2720+$L2720)/(SUMIF($A:$A,$A2720,$K:$K)+SUMIF($A:$A,$A2720,$L:$L)),0)</f>
        <v>1.2483035775869724E-15</v>
      </c>
      <c r="O2720" s="30">
        <f>IFERROR((VLOOKUP($A2720,HeadJournal!$A$1:$L$890,COLUMN(HeadJournal!L$1),0)*($K2720+$L2720)/(SUMIF($A:$A,$A2720,$K:$K)+SUMIF($A:$A,$A2720,$L:$L)))/VLOOKUP($A2720,HeadJournal!$A$1:$L$890,COLUMN(HeadJournal!H$1),0),0)</f>
        <v>0.85877835597094754</v>
      </c>
      <c r="P2720" s="30">
        <f>IFERROR(SUM(K2720:O2720)*VLOOKUP($A2720,HeadJournal!$A$1:$L$890,COLUMN(HeadJournal!H$1),0),0)</f>
        <v>1014.566008619109</v>
      </c>
      <c r="Q2720" s="29">
        <v>1700</v>
      </c>
      <c r="R2720" s="31">
        <v>45331</v>
      </c>
      <c r="S2720" s="31" t="s">
        <v>3121</v>
      </c>
      <c r="T2720" s="95" t="str">
        <f t="shared" si="216"/>
        <v>2024 02</v>
      </c>
      <c r="U2720" s="32">
        <f t="shared" si="213"/>
        <v>685.43399138089103</v>
      </c>
      <c r="V2720" s="22">
        <f t="shared" si="214"/>
        <v>0.6755932936426795</v>
      </c>
      <c r="X2720" s="33"/>
      <c r="Y2720" s="33"/>
    </row>
    <row r="2721" spans="1:25" x14ac:dyDescent="0.2">
      <c r="A2721" s="93" t="s">
        <v>1229</v>
      </c>
      <c r="B2721" s="94" t="str">
        <f>IFERROR(VLOOKUP($A2721,HeadJournal!$A$1:$NTR$890,COLUMN(HeadJournal!B$1),0),"")</f>
        <v>720000079409</v>
      </c>
      <c r="C2721" s="94" t="str">
        <f>IFERROR(VLOOKUP($A2721,HeadJournal!$A$1:$NTR$890,COLUMN(HeadJournal!C$1),0),"")</f>
        <v>iHerb_OA CZN6870</v>
      </c>
      <c r="D2721" s="126" t="str">
        <f>IFERROR(VLOOKUP($A2721,HeadJournal!$A$1:$NTR$890,COLUMN(HeadJournal!D$1),0),"")</f>
        <v>Доставлен</v>
      </c>
      <c r="E2721" s="118">
        <f>IFERROR(VLOOKUP($A2721,HeadJournal!$A$1:$NTR$890,COLUMN(HeadJournal!G$1),0),"")</f>
        <v>45300</v>
      </c>
      <c r="F2721" s="95" t="str">
        <f t="shared" si="215"/>
        <v>2024 01</v>
      </c>
      <c r="G2721" s="96" t="s">
        <v>5</v>
      </c>
      <c r="H2721" s="161" t="str">
        <f>RIGHT(Journal!$J2721,9)</f>
        <v>NOW-02645</v>
      </c>
      <c r="I2721" s="97" t="str">
        <f t="shared" ref="I2721:I2744" si="217">IFERROR(LEFT(J2721,FIND(",",J2721)-1),"")</f>
        <v>NOW Foods</v>
      </c>
      <c r="J2721" s="97" t="s">
        <v>1230</v>
      </c>
      <c r="K2721" s="29">
        <v>14.89</v>
      </c>
      <c r="L2721" s="29">
        <v>-1.49</v>
      </c>
      <c r="M2721" s="30">
        <f>IFERROR(VLOOKUP($A2721,HeadJournal!$A$1:$J$890,COLUMN(HeadJournal!I$1),0)*($K2721+$L2721)/(SUMIF($A:$A,$A2721,$K:$K)+SUMIF($A:$A,$A2721,$L:$L)),0)</f>
        <v>-0.61986979644232532</v>
      </c>
      <c r="N2721" s="30">
        <f>IFERROR((VLOOKUP($A2721,HeadJournal!$A$1:$K$890,COLUMN(HeadJournal!K$1),0)-VLOOKUP($A2721,HeadJournal!$A$1:$K$890,COLUMN(HeadJournal!J$1),0))*($K2721+$L2721)/(SUMIF($A:$A,$A2721,$K:$K)+SUMIF($A:$A,$A2721,$L:$L)),0)</f>
        <v>1.746061371572592E-15</v>
      </c>
      <c r="O2721" s="30">
        <f>IFERROR((VLOOKUP($A2721,HeadJournal!$A$1:$L$890,COLUMN(HeadJournal!L$1),0)*($K2721+$L2721)/(SUMIF($A:$A,$A2721,$K:$K)+SUMIF($A:$A,$A2721,$L:$L)))/VLOOKUP($A2721,HeadJournal!$A$1:$L$890,COLUMN(HeadJournal!H$1),0),0)</f>
        <v>1.2012139843434968</v>
      </c>
      <c r="P2721" s="30">
        <f>IFERROR(SUM(K2721:O2721)*VLOOKUP($A2721,HeadJournal!$A$1:$L$890,COLUMN(HeadJournal!H$1),0),0)</f>
        <v>1419.1215569411336</v>
      </c>
      <c r="Q2721" s="29">
        <v>1900</v>
      </c>
      <c r="R2721" s="31">
        <v>45335</v>
      </c>
      <c r="S2721" s="31" t="s">
        <v>3121</v>
      </c>
      <c r="T2721" s="95" t="str">
        <f t="shared" si="216"/>
        <v>2024 02</v>
      </c>
      <c r="U2721" s="32">
        <f t="shared" si="213"/>
        <v>480.87844305886642</v>
      </c>
      <c r="V2721" s="22">
        <f t="shared" si="214"/>
        <v>0.33885641487638518</v>
      </c>
      <c r="X2721" s="33"/>
      <c r="Y2721" s="33"/>
    </row>
    <row r="2722" spans="1:25" x14ac:dyDescent="0.2">
      <c r="A2722" s="93" t="s">
        <v>1229</v>
      </c>
      <c r="B2722" s="94" t="str">
        <f>IFERROR(VLOOKUP($A2722,HeadJournal!$A$1:$NTR$890,COLUMN(HeadJournal!B$1),0),"")</f>
        <v>720000079409</v>
      </c>
      <c r="C2722" s="94" t="str">
        <f>IFERROR(VLOOKUP($A2722,HeadJournal!$A$1:$NTR$890,COLUMN(HeadJournal!C$1),0),"")</f>
        <v>iHerb_OA CZN6870</v>
      </c>
      <c r="D2722" s="126" t="str">
        <f>IFERROR(VLOOKUP($A2722,HeadJournal!$A$1:$NTR$890,COLUMN(HeadJournal!D$1),0),"")</f>
        <v>Доставлен</v>
      </c>
      <c r="E2722" s="118">
        <f>IFERROR(VLOOKUP($A2722,HeadJournal!$A$1:$NTR$890,COLUMN(HeadJournal!G$1),0),"")</f>
        <v>45300</v>
      </c>
      <c r="F2722" s="95" t="str">
        <f t="shared" si="215"/>
        <v>2024 01</v>
      </c>
      <c r="G2722" s="96" t="s">
        <v>5</v>
      </c>
      <c r="H2722" s="161" t="s">
        <v>4000</v>
      </c>
      <c r="I2722" s="97" t="s">
        <v>2005</v>
      </c>
      <c r="J2722" s="97" t="s">
        <v>4001</v>
      </c>
      <c r="K2722" s="29">
        <v>22.44</v>
      </c>
      <c r="L2722" s="29">
        <v>-2.2400000000000002</v>
      </c>
      <c r="M2722" s="30">
        <f>IFERROR(VLOOKUP($A2722,HeadJournal!$A$1:$J$890,COLUMN(HeadJournal!I$1),0)*($K2722+$L2722)/(SUMIF($A:$A,$A2722,$K:$K)+SUMIF($A:$A,$A2722,$L:$L)),0)</f>
        <v>-0.93443058866678907</v>
      </c>
      <c r="N2722" s="30">
        <f>IFERROR((VLOOKUP($A2722,HeadJournal!$A$1:$K$890,COLUMN(HeadJournal!K$1),0)-VLOOKUP($A2722,HeadJournal!$A$1:$K$890,COLUMN(HeadJournal!J$1),0))*($K2722+$L2722)/(SUMIF($A:$A,$A2722,$K:$K)+SUMIF($A:$A,$A2722,$L:$L)),0)</f>
        <v>2.6321223661019671E-15</v>
      </c>
      <c r="O2722" s="30">
        <f>IFERROR((VLOOKUP($A2722,HeadJournal!$A$1:$L$890,COLUMN(HeadJournal!L$1),0)*($K2722+$L2722)/(SUMIF($A:$A,$A2722,$K:$K)+SUMIF($A:$A,$A2722,$L:$L)))/VLOOKUP($A2722,HeadJournal!$A$1:$L$890,COLUMN(HeadJournal!H$1),0),0)</f>
        <v>1.8107852599804952</v>
      </c>
      <c r="P2722" s="30">
        <f>IFERROR(SUM(K2722:O2722)*VLOOKUP($A2722,HeadJournal!$A$1:$L$890,COLUMN(HeadJournal!H$1),0),0)</f>
        <v>2139.2727947918584</v>
      </c>
      <c r="Q2722" s="29">
        <v>2700</v>
      </c>
      <c r="R2722" s="31">
        <v>45335</v>
      </c>
      <c r="S2722" s="31" t="s">
        <v>3121</v>
      </c>
      <c r="T2722" s="95" t="str">
        <f t="shared" si="216"/>
        <v>2024 02</v>
      </c>
      <c r="U2722" s="32">
        <f t="shared" si="213"/>
        <v>560.72720520814164</v>
      </c>
      <c r="V2722" s="22">
        <f t="shared" si="214"/>
        <v>0.26211112793714458</v>
      </c>
      <c r="X2722" s="33"/>
      <c r="Y2722" s="33"/>
    </row>
    <row r="2723" spans="1:25" x14ac:dyDescent="0.2">
      <c r="A2723" s="93" t="s">
        <v>1229</v>
      </c>
      <c r="B2723" s="94" t="str">
        <f>IFERROR(VLOOKUP($A2723,HeadJournal!$A$1:$NTR$890,COLUMN(HeadJournal!B$1),0),"")</f>
        <v>720000079409</v>
      </c>
      <c r="C2723" s="94" t="str">
        <f>IFERROR(VLOOKUP($A2723,HeadJournal!$A$1:$NTR$890,COLUMN(HeadJournal!C$1),0),"")</f>
        <v>iHerb_OA CZN6870</v>
      </c>
      <c r="D2723" s="126" t="str">
        <f>IFERROR(VLOOKUP($A2723,HeadJournal!$A$1:$NTR$890,COLUMN(HeadJournal!D$1),0),"")</f>
        <v>Доставлен</v>
      </c>
      <c r="E2723" s="118">
        <f>IFERROR(VLOOKUP($A2723,HeadJournal!$A$1:$NTR$890,COLUMN(HeadJournal!G$1),0),"")</f>
        <v>45300</v>
      </c>
      <c r="F2723" s="95" t="str">
        <f t="shared" si="215"/>
        <v>2024 01</v>
      </c>
      <c r="G2723" s="96" t="s">
        <v>5</v>
      </c>
      <c r="H2723" s="161" t="s">
        <v>2473</v>
      </c>
      <c r="I2723" s="97" t="s">
        <v>2005</v>
      </c>
      <c r="J2723" s="97" t="s">
        <v>2474</v>
      </c>
      <c r="K2723" s="29">
        <v>24.11</v>
      </c>
      <c r="L2723" s="29">
        <v>-3.62</v>
      </c>
      <c r="M2723" s="30">
        <f>IFERROR(VLOOKUP($A2723,HeadJournal!$A$1:$J$890,COLUMN(HeadJournal!I$1),0)*($K2723+$L2723)/(SUMIF($A:$A,$A2723,$K:$K)+SUMIF($A:$A,$A2723,$L:$L)),0)</f>
        <v>-0.9478456812763616</v>
      </c>
      <c r="N2723" s="30">
        <f>IFERROR((VLOOKUP($A2723,HeadJournal!$A$1:$K$890,COLUMN(HeadJournal!K$1),0)-VLOOKUP($A2723,HeadJournal!$A$1:$K$890,COLUMN(HeadJournal!J$1),0))*($K2723+$L2723)/(SUMIF($A:$A,$A2723,$K:$K)+SUMIF($A:$A,$A2723,$L:$L)),0)</f>
        <v>2.6699102614568959E-15</v>
      </c>
      <c r="O2723" s="30">
        <f>IFERROR((VLOOKUP($A2723,HeadJournal!$A$1:$L$890,COLUMN(HeadJournal!L$1),0)*($K2723+$L2723)/(SUMIF($A:$A,$A2723,$K:$K)+SUMIF($A:$A,$A2723,$L:$L)))/VLOOKUP($A2723,HeadJournal!$A$1:$L$890,COLUMN(HeadJournal!H$1),0),0)</f>
        <v>1.8367816820297196</v>
      </c>
      <c r="P2723" s="30">
        <f>IFERROR(SUM(K2723:O2723)*VLOOKUP($A2723,HeadJournal!$A$1:$L$890,COLUMN(HeadJournal!H$1),0),0)</f>
        <v>2169.9851269943151</v>
      </c>
      <c r="Q2723" s="29">
        <v>2850</v>
      </c>
      <c r="R2723" s="31">
        <v>45335</v>
      </c>
      <c r="S2723" s="31" t="s">
        <v>3121</v>
      </c>
      <c r="T2723" s="95" t="str">
        <f t="shared" si="216"/>
        <v>2024 02</v>
      </c>
      <c r="U2723" s="32">
        <f t="shared" si="213"/>
        <v>680.01487300568488</v>
      </c>
      <c r="V2723" s="22">
        <f t="shared" si="214"/>
        <v>0.31337305705296953</v>
      </c>
      <c r="X2723" s="33"/>
      <c r="Y2723" s="33"/>
    </row>
    <row r="2724" spans="1:25" x14ac:dyDescent="0.2">
      <c r="A2724" s="93" t="s">
        <v>1229</v>
      </c>
      <c r="B2724" s="94" t="str">
        <f>IFERROR(VLOOKUP($A2724,HeadJournal!$A$1:$NTR$890,COLUMN(HeadJournal!B$1),0),"")</f>
        <v>720000079409</v>
      </c>
      <c r="C2724" s="94" t="str">
        <f>IFERROR(VLOOKUP($A2724,HeadJournal!$A$1:$NTR$890,COLUMN(HeadJournal!C$1),0),"")</f>
        <v>iHerb_OA CZN6870</v>
      </c>
      <c r="D2724" s="126" t="str">
        <f>IFERROR(VLOOKUP($A2724,HeadJournal!$A$1:$NTR$890,COLUMN(HeadJournal!D$1),0),"")</f>
        <v>Доставлен</v>
      </c>
      <c r="E2724" s="118">
        <f>IFERROR(VLOOKUP($A2724,HeadJournal!$A$1:$NTR$890,COLUMN(HeadJournal!G$1),0),"")</f>
        <v>45300</v>
      </c>
      <c r="F2724" s="95" t="str">
        <f t="shared" si="215"/>
        <v>2024 01</v>
      </c>
      <c r="G2724" s="96" t="s">
        <v>5</v>
      </c>
      <c r="H2724" s="161" t="str">
        <f>RIGHT(Journal!$J2724,9)</f>
        <v>HRM-50004</v>
      </c>
      <c r="I2724" s="97" t="str">
        <f t="shared" si="217"/>
        <v>Healths Harmony</v>
      </c>
      <c r="J2724" s="97" t="s">
        <v>979</v>
      </c>
      <c r="K2724" s="29">
        <v>15.01</v>
      </c>
      <c r="L2724" s="29">
        <v>-1.5</v>
      </c>
      <c r="M2724" s="30">
        <f>IFERROR(VLOOKUP($A2724,HeadJournal!$A$1:$J$890,COLUMN(HeadJournal!I$1),0)*($K2724+$L2724)/(SUMIF($A:$A,$A2724,$K:$K)+SUMIF($A:$A,$A2724,$L:$L)),0)</f>
        <v>-0.62495827984595642</v>
      </c>
      <c r="N2724" s="30">
        <f>IFERROR((VLOOKUP($A2724,HeadJournal!$A$1:$K$890,COLUMN(HeadJournal!K$1),0)-VLOOKUP($A2724,HeadJournal!$A$1:$K$890,COLUMN(HeadJournal!J$1),0))*($K2724+$L2724)/(SUMIF($A:$A,$A2724,$K:$K)+SUMIF($A:$A,$A2724,$L:$L)),0)</f>
        <v>1.7603947111899789E-15</v>
      </c>
      <c r="O2724" s="30">
        <f>IFERROR((VLOOKUP($A2724,HeadJournal!$A$1:$L$890,COLUMN(HeadJournal!L$1),0)*($K2724+$L2724)/(SUMIF($A:$A,$A2724,$K:$K)+SUMIF($A:$A,$A2724,$L:$L)))/VLOOKUP($A2724,HeadJournal!$A$1:$L$890,COLUMN(HeadJournal!H$1),0),0)</f>
        <v>1.2110746961552716</v>
      </c>
      <c r="P2724" s="30">
        <f>IFERROR(SUM(K2724:O2724)*VLOOKUP($A2724,HeadJournal!$A$1:$L$890,COLUMN(HeadJournal!H$1),0),0)</f>
        <v>1430.771062259307</v>
      </c>
      <c r="Q2724" s="29">
        <v>2000</v>
      </c>
      <c r="R2724" s="31">
        <v>45336</v>
      </c>
      <c r="S2724" s="31" t="s">
        <v>3121</v>
      </c>
      <c r="T2724" s="95" t="str">
        <f t="shared" si="216"/>
        <v>2024 02</v>
      </c>
      <c r="U2724" s="32">
        <f t="shared" si="213"/>
        <v>569.22893774069303</v>
      </c>
      <c r="V2724" s="22">
        <f t="shared" si="214"/>
        <v>0.39784767301753576</v>
      </c>
      <c r="X2724" s="33"/>
      <c r="Y2724" s="33"/>
    </row>
    <row r="2725" spans="1:25" x14ac:dyDescent="0.2">
      <c r="A2725" s="93" t="s">
        <v>1229</v>
      </c>
      <c r="B2725" s="94" t="str">
        <f>IFERROR(VLOOKUP($A2725,HeadJournal!$A$1:$NTR$890,COLUMN(HeadJournal!B$1),0),"")</f>
        <v>720000079409</v>
      </c>
      <c r="C2725" s="94" t="str">
        <f>IFERROR(VLOOKUP($A2725,HeadJournal!$A$1:$NTR$890,COLUMN(HeadJournal!C$1),0),"")</f>
        <v>iHerb_OA CZN6870</v>
      </c>
      <c r="D2725" s="126" t="str">
        <f>IFERROR(VLOOKUP($A2725,HeadJournal!$A$1:$NTR$890,COLUMN(HeadJournal!D$1),0),"")</f>
        <v>Доставлен</v>
      </c>
      <c r="E2725" s="118">
        <f>IFERROR(VLOOKUP($A2725,HeadJournal!$A$1:$NTR$890,COLUMN(HeadJournal!G$1),0),"")</f>
        <v>45300</v>
      </c>
      <c r="F2725" s="95" t="str">
        <f t="shared" si="215"/>
        <v>2024 01</v>
      </c>
      <c r="G2725" s="96" t="s">
        <v>5</v>
      </c>
      <c r="H2725" s="161" t="s">
        <v>4093</v>
      </c>
      <c r="I2725" s="97" t="s">
        <v>2657</v>
      </c>
      <c r="J2725" s="97" t="s">
        <v>4094</v>
      </c>
      <c r="K2725" s="29">
        <v>13</v>
      </c>
      <c r="L2725" s="29">
        <v>-7.01</v>
      </c>
      <c r="M2725" s="30">
        <f>IFERROR(VLOOKUP($A2725,HeadJournal!$A$1:$J$890,COLUMN(HeadJournal!I$1),0)*($K2725+$L2725)/(SUMIF($A:$A,$A2725,$K:$K)+SUMIF($A:$A,$A2725,$L:$L)),0)</f>
        <v>-0.27709105079772606</v>
      </c>
      <c r="N2725" s="30">
        <f>IFERROR((VLOOKUP($A2725,HeadJournal!$A$1:$K$890,COLUMN(HeadJournal!K$1),0)-VLOOKUP($A2725,HeadJournal!$A$1:$K$890,COLUMN(HeadJournal!J$1),0))*($K2725+$L2725)/(SUMIF($A:$A,$A2725,$K:$K)+SUMIF($A:$A,$A2725,$L:$L)),0)</f>
        <v>7.8051549371043471E-16</v>
      </c>
      <c r="O2725" s="30">
        <f>IFERROR((VLOOKUP($A2725,HeadJournal!$A$1:$L$890,COLUMN(HeadJournal!L$1),0)*($K2725+$L2725)/(SUMIF($A:$A,$A2725,$K:$K)+SUMIF($A:$A,$A2725,$L:$L)))/VLOOKUP($A2725,HeadJournal!$A$1:$L$890,COLUMN(HeadJournal!H$1),0),0)</f>
        <v>0.53696057956847354</v>
      </c>
      <c r="P2725" s="30">
        <f>IFERROR(SUM(K2725:O2725)*VLOOKUP($A2725,HeadJournal!$A$1:$L$890,COLUMN(HeadJournal!H$1),0),0)</f>
        <v>634.36851687144701</v>
      </c>
      <c r="Q2725" s="29">
        <v>1600</v>
      </c>
      <c r="R2725" s="31">
        <v>45337</v>
      </c>
      <c r="S2725" s="31" t="s">
        <v>3121</v>
      </c>
      <c r="T2725" s="95" t="str">
        <f t="shared" si="216"/>
        <v>2024 02</v>
      </c>
      <c r="U2725" s="32">
        <f t="shared" si="213"/>
        <v>965.63148312855299</v>
      </c>
      <c r="V2725" s="22">
        <f t="shared" si="214"/>
        <v>1.5221932637685351</v>
      </c>
      <c r="X2725" s="33"/>
      <c r="Y2725" s="33"/>
    </row>
    <row r="2726" spans="1:25" x14ac:dyDescent="0.2">
      <c r="A2726" s="93" t="s">
        <v>1229</v>
      </c>
      <c r="B2726" s="94" t="str">
        <f>IFERROR(VLOOKUP($A2726,HeadJournal!$A$1:$NTR$890,COLUMN(HeadJournal!B$1),0),"")</f>
        <v>720000079409</v>
      </c>
      <c r="C2726" s="94" t="str">
        <f>IFERROR(VLOOKUP($A2726,HeadJournal!$A$1:$NTR$890,COLUMN(HeadJournal!C$1),0),"")</f>
        <v>iHerb_OA CZN6870</v>
      </c>
      <c r="D2726" s="126" t="str">
        <f>IFERROR(VLOOKUP($A2726,HeadJournal!$A$1:$NTR$890,COLUMN(HeadJournal!D$1),0),"")</f>
        <v>Доставлен</v>
      </c>
      <c r="E2726" s="118">
        <f>IFERROR(VLOOKUP($A2726,HeadJournal!$A$1:$NTR$890,COLUMN(HeadJournal!G$1),0),"")</f>
        <v>45300</v>
      </c>
      <c r="F2726" s="95" t="str">
        <f t="shared" si="215"/>
        <v>2024 01</v>
      </c>
      <c r="G2726" s="96" t="s">
        <v>5</v>
      </c>
      <c r="H2726" s="161" t="str">
        <f>RIGHT(Journal!$J2726,9)</f>
        <v>CEN-22928</v>
      </c>
      <c r="I2726" s="97" t="str">
        <f t="shared" si="217"/>
        <v>21st Century</v>
      </c>
      <c r="J2726" s="97" t="s">
        <v>1223</v>
      </c>
      <c r="K2726" s="29">
        <v>11.49</v>
      </c>
      <c r="L2726" s="29">
        <v>-1.1499999999999999</v>
      </c>
      <c r="M2726" s="30">
        <f>IFERROR(VLOOKUP($A2726,HeadJournal!$A$1:$J$890,COLUMN(HeadJournal!I$1),0)*($K2726+$L2726)/(SUMIF($A:$A,$A2726,$K:$K)+SUMIF($A:$A,$A2726,$L:$L)),0)</f>
        <v>-0.47831743994131676</v>
      </c>
      <c r="N2726" s="30">
        <f>IFERROR((VLOOKUP($A2726,HeadJournal!$A$1:$K$890,COLUMN(HeadJournal!K$1),0)-VLOOKUP($A2726,HeadJournal!$A$1:$K$890,COLUMN(HeadJournal!J$1),0))*($K2726+$L2726)/(SUMIF($A:$A,$A2726,$K:$K)+SUMIF($A:$A,$A2726,$L:$L)),0)</f>
        <v>1.3473339240343731E-15</v>
      </c>
      <c r="O2726" s="30">
        <f>IFERROR((VLOOKUP($A2726,HeadJournal!$A$1:$L$890,COLUMN(HeadJournal!L$1),0)*($K2726+$L2726)/(SUMIF($A:$A,$A2726,$K:$K)+SUMIF($A:$A,$A2726,$L:$L)))/VLOOKUP($A2726,HeadJournal!$A$1:$L$890,COLUMN(HeadJournal!H$1),0),0)</f>
        <v>0.92690691030684746</v>
      </c>
      <c r="P2726" s="30">
        <f>IFERROR(SUM(K2726:O2726)*VLOOKUP($A2726,HeadJournal!$A$1:$L$890,COLUMN(HeadJournal!H$1),0),0)</f>
        <v>1095.0534999083077</v>
      </c>
      <c r="Q2726" s="29">
        <v>1700</v>
      </c>
      <c r="R2726" s="31">
        <v>45336</v>
      </c>
      <c r="S2726" s="31" t="s">
        <v>3121</v>
      </c>
      <c r="T2726" s="95" t="str">
        <f t="shared" si="216"/>
        <v>2024 02</v>
      </c>
      <c r="U2726" s="32">
        <f t="shared" si="213"/>
        <v>604.94650009169231</v>
      </c>
      <c r="V2726" s="22">
        <f t="shared" si="214"/>
        <v>0.55243556606352695</v>
      </c>
      <c r="X2726" s="33"/>
      <c r="Y2726" s="33"/>
    </row>
    <row r="2727" spans="1:25" x14ac:dyDescent="0.2">
      <c r="A2727" s="93" t="s">
        <v>1229</v>
      </c>
      <c r="B2727" s="94" t="str">
        <f>IFERROR(VLOOKUP($A2727,HeadJournal!$A$1:$NTR$890,COLUMN(HeadJournal!B$1),0),"")</f>
        <v>720000079409</v>
      </c>
      <c r="C2727" s="94" t="str">
        <f>IFERROR(VLOOKUP($A2727,HeadJournal!$A$1:$NTR$890,COLUMN(HeadJournal!C$1),0),"")</f>
        <v>iHerb_OA CZN6870</v>
      </c>
      <c r="D2727" s="126" t="str">
        <f>IFERROR(VLOOKUP($A2727,HeadJournal!$A$1:$NTR$890,COLUMN(HeadJournal!D$1),0),"")</f>
        <v>Доставлен</v>
      </c>
      <c r="E2727" s="118">
        <f>IFERROR(VLOOKUP($A2727,HeadJournal!$A$1:$NTR$890,COLUMN(HeadJournal!G$1),0),"")</f>
        <v>45300</v>
      </c>
      <c r="F2727" s="95" t="str">
        <f t="shared" si="215"/>
        <v>2024 01</v>
      </c>
      <c r="G2727" s="96" t="s">
        <v>7</v>
      </c>
      <c r="H2727" s="161" t="str">
        <f>RIGHT(Journal!$J2727,9)</f>
        <v>ADC-00977</v>
      </c>
      <c r="I2727" s="97" t="str">
        <f t="shared" si="217"/>
        <v>Advanced Clinicals</v>
      </c>
      <c r="J2727" s="97" t="s">
        <v>1231</v>
      </c>
      <c r="K2727" s="29">
        <v>10.63</v>
      </c>
      <c r="L2727" s="29">
        <v>-1.0649999999999999</v>
      </c>
      <c r="M2727" s="30">
        <f>IFERROR(VLOOKUP($A2727,HeadJournal!$A$1:$J$890,COLUMN(HeadJournal!I$1),0)*($K2727+$L2727)/(SUMIF($A:$A,$A2727,$K:$K)+SUMIF($A:$A,$A2727,$L:$L)),0)</f>
        <v>-0.44246676141573454</v>
      </c>
      <c r="N2727" s="30">
        <f>IFERROR((VLOOKUP($A2727,HeadJournal!$A$1:$K$890,COLUMN(HeadJournal!K$1),0)-VLOOKUP($A2727,HeadJournal!$A$1:$K$890,COLUMN(HeadJournal!J$1),0))*($K2727+$L2727)/(SUMIF($A:$A,$A2727,$K:$K)+SUMIF($A:$A,$A2727,$L:$L)),0)</f>
        <v>1.2463490312755108E-15</v>
      </c>
      <c r="O2727" s="30">
        <f>IFERROR((VLOOKUP($A2727,HeadJournal!$A$1:$L$890,COLUMN(HeadJournal!L$1),0)*($K2727+$L2727)/(SUMIF($A:$A,$A2727,$K:$K)+SUMIF($A:$A,$A2727,$L:$L)))/VLOOKUP($A2727,HeadJournal!$A$1:$L$890,COLUMN(HeadJournal!H$1),0),0)</f>
        <v>0.85743371345116026</v>
      </c>
      <c r="P2727" s="30">
        <f>IFERROR(SUM(K2727:O2727)*VLOOKUP($A2727,HeadJournal!$A$1:$L$890,COLUMN(HeadJournal!H$1),0),0)</f>
        <v>1012.9774397120852</v>
      </c>
      <c r="Q2727" s="29">
        <v>1800</v>
      </c>
      <c r="R2727" s="31">
        <v>45370</v>
      </c>
      <c r="S2727" s="31" t="s">
        <v>3121</v>
      </c>
      <c r="T2727" s="95" t="str">
        <f t="shared" si="216"/>
        <v>2024 03</v>
      </c>
      <c r="U2727" s="32">
        <f t="shared" si="213"/>
        <v>787.02256028791476</v>
      </c>
      <c r="V2727" s="22">
        <f t="shared" si="214"/>
        <v>0.77693986996552189</v>
      </c>
      <c r="X2727" s="33"/>
      <c r="Y2727" s="33"/>
    </row>
    <row r="2728" spans="1:25" x14ac:dyDescent="0.2">
      <c r="A2728" s="93" t="s">
        <v>1229</v>
      </c>
      <c r="B2728" s="94" t="str">
        <f>IFERROR(VLOOKUP($A2728,HeadJournal!$A$1:$NTR$890,COLUMN(HeadJournal!B$1),0),"")</f>
        <v>720000079409</v>
      </c>
      <c r="C2728" s="94" t="str">
        <f>IFERROR(VLOOKUP($A2728,HeadJournal!$A$1:$NTR$890,COLUMN(HeadJournal!C$1),0),"")</f>
        <v>iHerb_OA CZN6870</v>
      </c>
      <c r="D2728" s="126" t="str">
        <f>IFERROR(VLOOKUP($A2728,HeadJournal!$A$1:$NTR$890,COLUMN(HeadJournal!D$1),0),"")</f>
        <v>Доставлен</v>
      </c>
      <c r="E2728" s="118">
        <f>IFERROR(VLOOKUP($A2728,HeadJournal!$A$1:$NTR$890,COLUMN(HeadJournal!G$1),0),"")</f>
        <v>45300</v>
      </c>
      <c r="F2728" s="95" t="str">
        <f t="shared" si="215"/>
        <v>2024 01</v>
      </c>
      <c r="G2728" s="96" t="s">
        <v>7</v>
      </c>
      <c r="H2728" s="161" t="str">
        <f>RIGHT(Journal!$J2728,9)</f>
        <v>ADC-00977</v>
      </c>
      <c r="I2728" s="97" t="str">
        <f t="shared" si="217"/>
        <v>Advanced Clinicals</v>
      </c>
      <c r="J2728" s="97" t="s">
        <v>1231</v>
      </c>
      <c r="K2728" s="29">
        <v>10.63</v>
      </c>
      <c r="L2728" s="29">
        <v>-1.0649999999999999</v>
      </c>
      <c r="M2728" s="30">
        <f>IFERROR(VLOOKUP($A2728,HeadJournal!$A$1:$J$890,COLUMN(HeadJournal!I$1),0)*($K2728+$L2728)/(SUMIF($A:$A,$A2728,$K:$K)+SUMIF($A:$A,$A2728,$L:$L)),0)</f>
        <v>-0.44246676141573454</v>
      </c>
      <c r="N2728" s="30">
        <f>IFERROR((VLOOKUP($A2728,HeadJournal!$A$1:$K$890,COLUMN(HeadJournal!K$1),0)-VLOOKUP($A2728,HeadJournal!$A$1:$K$890,COLUMN(HeadJournal!J$1),0))*($K2728+$L2728)/(SUMIF($A:$A,$A2728,$K:$K)+SUMIF($A:$A,$A2728,$L:$L)),0)</f>
        <v>1.2463490312755108E-15</v>
      </c>
      <c r="O2728" s="30">
        <f>IFERROR((VLOOKUP($A2728,HeadJournal!$A$1:$L$890,COLUMN(HeadJournal!L$1),0)*($K2728+$L2728)/(SUMIF($A:$A,$A2728,$K:$K)+SUMIF($A:$A,$A2728,$L:$L)))/VLOOKUP($A2728,HeadJournal!$A$1:$L$890,COLUMN(HeadJournal!H$1),0),0)</f>
        <v>0.85743371345116026</v>
      </c>
      <c r="P2728" s="30">
        <f>IFERROR(SUM(K2728:O2728)*VLOOKUP($A2728,HeadJournal!$A$1:$L$890,COLUMN(HeadJournal!H$1),0),0)</f>
        <v>1012.9774397120852</v>
      </c>
      <c r="Q2728" s="29">
        <v>1500</v>
      </c>
      <c r="R2728" s="31">
        <v>45455</v>
      </c>
      <c r="S2728" s="31" t="s">
        <v>3121</v>
      </c>
      <c r="T2728" s="95" t="str">
        <f t="shared" si="216"/>
        <v>2024 06</v>
      </c>
      <c r="U2728" s="32">
        <f t="shared" si="213"/>
        <v>487.02256028791476</v>
      </c>
      <c r="V2728" s="22">
        <f t="shared" si="214"/>
        <v>0.48078322497126819</v>
      </c>
      <c r="X2728" s="33"/>
      <c r="Y2728" s="33"/>
    </row>
    <row r="2729" spans="1:25" x14ac:dyDescent="0.2">
      <c r="A2729" s="93" t="s">
        <v>1229</v>
      </c>
      <c r="B2729" s="94" t="str">
        <f>IFERROR(VLOOKUP($A2729,HeadJournal!$A$1:$NTR$890,COLUMN(HeadJournal!B$1),0),"")</f>
        <v>720000079409</v>
      </c>
      <c r="C2729" s="94" t="str">
        <f>IFERROR(VLOOKUP($A2729,HeadJournal!$A$1:$NTR$890,COLUMN(HeadJournal!C$1),0),"")</f>
        <v>iHerb_OA CZN6870</v>
      </c>
      <c r="D2729" s="126" t="str">
        <f>IFERROR(VLOOKUP($A2729,HeadJournal!$A$1:$NTR$890,COLUMN(HeadJournal!D$1),0),"")</f>
        <v>Доставлен</v>
      </c>
      <c r="E2729" s="118">
        <f>IFERROR(VLOOKUP($A2729,HeadJournal!$A$1:$NTR$890,COLUMN(HeadJournal!G$1),0),"")</f>
        <v>45300</v>
      </c>
      <c r="F2729" s="95" t="str">
        <f t="shared" si="215"/>
        <v>2024 01</v>
      </c>
      <c r="G2729" s="96" t="s">
        <v>7</v>
      </c>
      <c r="H2729" s="161" t="str">
        <f>RIGHT(Journal!$J2729,9)</f>
        <v>EZV-75066</v>
      </c>
      <c r="I2729" s="97" t="str">
        <f t="shared" si="217"/>
        <v>Elizavecca</v>
      </c>
      <c r="J2729" s="97" t="s">
        <v>1232</v>
      </c>
      <c r="K2729" s="29">
        <v>12.02</v>
      </c>
      <c r="L2729" s="29">
        <v>-1.2</v>
      </c>
      <c r="M2729" s="30">
        <f>IFERROR(VLOOKUP($A2729,HeadJournal!$A$1:$J$890,COLUMN(HeadJournal!I$1),0)*($K2729+$L2729)/(SUMIF($A:$A,$A2729,$K:$K)+SUMIF($A:$A,$A2729,$L:$L)),0)</f>
        <v>-0.50052173115716125</v>
      </c>
      <c r="N2729" s="30">
        <f>IFERROR((VLOOKUP($A2729,HeadJournal!$A$1:$K$890,COLUMN(HeadJournal!K$1),0)-VLOOKUP($A2729,HeadJournal!$A$1:$K$890,COLUMN(HeadJournal!J$1),0))*($K2729+$L2729)/(SUMIF($A:$A,$A2729,$K:$K)+SUMIF($A:$A,$A2729,$L:$L)),0)</f>
        <v>1.4098794060011525E-15</v>
      </c>
      <c r="O2729" s="30">
        <f>IFERROR((VLOOKUP($A2729,HeadJournal!$A$1:$L$890,COLUMN(HeadJournal!L$1),0)*($K2729+$L2729)/(SUMIF($A:$A,$A2729,$K:$K)+SUMIF($A:$A,$A2729,$L:$L)))/VLOOKUP($A2729,HeadJournal!$A$1:$L$890,COLUMN(HeadJournal!H$1),0),0)</f>
        <v>0.9699354709400474</v>
      </c>
      <c r="P2729" s="30">
        <f>IFERROR(SUM(K2729:O2729)*VLOOKUP($A2729,HeadJournal!$A$1:$L$890,COLUMN(HeadJournal!H$1),0),0)</f>
        <v>1145.8877049330647</v>
      </c>
      <c r="Q2729" s="29"/>
      <c r="R2729" s="31"/>
      <c r="S2729" s="31"/>
      <c r="T2729" s="95" t="str">
        <f t="shared" si="216"/>
        <v/>
      </c>
      <c r="U2729" s="32">
        <f t="shared" si="213"/>
        <v>-1145.8877049330647</v>
      </c>
      <c r="V2729" s="22" t="str">
        <f t="shared" si="214"/>
        <v/>
      </c>
      <c r="X2729" s="33"/>
      <c r="Y2729" s="33"/>
    </row>
    <row r="2730" spans="1:25" x14ac:dyDescent="0.2">
      <c r="A2730" s="93" t="s">
        <v>1229</v>
      </c>
      <c r="B2730" s="94" t="str">
        <f>IFERROR(VLOOKUP($A2730,HeadJournal!$A$1:$NTR$890,COLUMN(HeadJournal!B$1),0),"")</f>
        <v>720000079409</v>
      </c>
      <c r="C2730" s="94" t="str">
        <f>IFERROR(VLOOKUP($A2730,HeadJournal!$A$1:$NTR$890,COLUMN(HeadJournal!C$1),0),"")</f>
        <v>iHerb_OA CZN6870</v>
      </c>
      <c r="D2730" s="126" t="str">
        <f>IFERROR(VLOOKUP($A2730,HeadJournal!$A$1:$NTR$890,COLUMN(HeadJournal!D$1),0),"")</f>
        <v>Доставлен</v>
      </c>
      <c r="E2730" s="118">
        <f>IFERROR(VLOOKUP($A2730,HeadJournal!$A$1:$NTR$890,COLUMN(HeadJournal!G$1),0),"")</f>
        <v>45300</v>
      </c>
      <c r="F2730" s="95" t="str">
        <f t="shared" si="215"/>
        <v>2024 01</v>
      </c>
      <c r="G2730" s="96" t="s">
        <v>5</v>
      </c>
      <c r="H2730" s="161" t="s">
        <v>2105</v>
      </c>
      <c r="I2730" s="97" t="s">
        <v>2039</v>
      </c>
      <c r="J2730" s="97" t="s">
        <v>2106</v>
      </c>
      <c r="K2730" s="29">
        <v>10.95</v>
      </c>
      <c r="L2730" s="29">
        <v>-1.1000000000000001</v>
      </c>
      <c r="M2730" s="30">
        <f>IFERROR(VLOOKUP($A2730,HeadJournal!$A$1:$J$890,COLUMN(HeadJournal!I$1),0)*($K2730+$L2730)/(SUMIF($A:$A,$A2730,$K:$K)+SUMIF($A:$A,$A2730,$L:$L)),0)</f>
        <v>-0.45565055932514215</v>
      </c>
      <c r="N2730" s="30">
        <f>IFERROR((VLOOKUP($A2730,HeadJournal!$A$1:$K$890,COLUMN(HeadJournal!K$1),0)-VLOOKUP($A2730,HeadJournal!$A$1:$K$890,COLUMN(HeadJournal!J$1),0))*($K2730+$L2730)/(SUMIF($A:$A,$A2730,$K:$K)+SUMIF($A:$A,$A2730,$L:$L)),0)</f>
        <v>1.2834854111932857E-15</v>
      </c>
      <c r="O2730" s="30">
        <f>IFERROR((VLOOKUP($A2730,HeadJournal!$A$1:$L$890,COLUMN(HeadJournal!L$1),0)*($K2730+$L2730)/(SUMIF($A:$A,$A2730,$K:$K)+SUMIF($A:$A,$A2730,$L:$L)))/VLOOKUP($A2730,HeadJournal!$A$1:$L$890,COLUMN(HeadJournal!H$1),0),0)</f>
        <v>0.8829819213271225</v>
      </c>
      <c r="P2730" s="30">
        <f>IFERROR(SUM(K2730:O2730)*VLOOKUP($A2730,HeadJournal!$A$1:$L$890,COLUMN(HeadJournal!H$1),0),0)</f>
        <v>1043.1602489455345</v>
      </c>
      <c r="Q2730" s="29">
        <v>1600</v>
      </c>
      <c r="R2730" s="31">
        <v>45332</v>
      </c>
      <c r="S2730" s="31" t="s">
        <v>3121</v>
      </c>
      <c r="T2730" s="95" t="str">
        <f t="shared" si="216"/>
        <v>2024 02</v>
      </c>
      <c r="U2730" s="32">
        <f t="shared" si="213"/>
        <v>556.83975105446552</v>
      </c>
      <c r="V2730" s="22">
        <f t="shared" si="214"/>
        <v>0.53380077664705883</v>
      </c>
      <c r="X2730" s="33"/>
      <c r="Y2730" s="33"/>
    </row>
    <row r="2731" spans="1:25" x14ac:dyDescent="0.2">
      <c r="A2731" s="93" t="s">
        <v>1229</v>
      </c>
      <c r="B2731" s="94" t="str">
        <f>IFERROR(VLOOKUP($A2731,HeadJournal!$A$1:$NTR$890,COLUMN(HeadJournal!B$1),0),"")</f>
        <v>720000079409</v>
      </c>
      <c r="C2731" s="94" t="str">
        <f>IFERROR(VLOOKUP($A2731,HeadJournal!$A$1:$NTR$890,COLUMN(HeadJournal!C$1),0),"")</f>
        <v>iHerb_OA CZN6870</v>
      </c>
      <c r="D2731" s="126" t="str">
        <f>IFERROR(VLOOKUP($A2731,HeadJournal!$A$1:$NTR$890,COLUMN(HeadJournal!D$1),0),"")</f>
        <v>Доставлен</v>
      </c>
      <c r="E2731" s="118">
        <f>IFERROR(VLOOKUP($A2731,HeadJournal!$A$1:$NTR$890,COLUMN(HeadJournal!G$1),0),"")</f>
        <v>45300</v>
      </c>
      <c r="F2731" s="95" t="str">
        <f t="shared" si="215"/>
        <v>2024 01</v>
      </c>
      <c r="G2731" s="96" t="s">
        <v>5</v>
      </c>
      <c r="H2731" s="161" t="str">
        <f>RIGHT(Journal!$J2731,9)</f>
        <v>NOW-04603</v>
      </c>
      <c r="I2731" s="97" t="str">
        <f t="shared" si="217"/>
        <v>NOW Foods</v>
      </c>
      <c r="J2731" s="97" t="s">
        <v>153</v>
      </c>
      <c r="K2731" s="29">
        <v>12.85</v>
      </c>
      <c r="L2731" s="29">
        <v>-3.08</v>
      </c>
      <c r="M2731" s="30">
        <f>IFERROR(VLOOKUP($A2731,HeadJournal!$A$1:$J$890,COLUMN(HeadJournal!I$1),0)*($K2731+$L2731)/(SUMIF($A:$A,$A2731,$K:$K)+SUMIF($A:$A,$A2731,$L:$L)),0)</f>
        <v>-0.45194984412250139</v>
      </c>
      <c r="N2731" s="30">
        <f>IFERROR((VLOOKUP($A2731,HeadJournal!$A$1:$K$890,COLUMN(HeadJournal!K$1),0)-VLOOKUP($A2731,HeadJournal!$A$1:$K$890,COLUMN(HeadJournal!J$1),0))*($K2731+$L2731)/(SUMIF($A:$A,$A2731,$K:$K)+SUMIF($A:$A,$A2731,$L:$L)),0)</f>
        <v>1.2730611641988226E-15</v>
      </c>
      <c r="O2731" s="30">
        <f>IFERROR((VLOOKUP($A2731,HeadJournal!$A$1:$L$890,COLUMN(HeadJournal!L$1),0)*($K2731+$L2731)/(SUMIF($A:$A,$A2731,$K:$K)+SUMIF($A:$A,$A2731,$L:$L)))/VLOOKUP($A2731,HeadJournal!$A$1:$L$890,COLUMN(HeadJournal!H$1),0),0)</f>
        <v>0.87581049455492266</v>
      </c>
      <c r="P2731" s="30">
        <f>IFERROR(SUM(K2731:O2731)*VLOOKUP($A2731,HeadJournal!$A$1:$L$890,COLUMN(HeadJournal!H$1),0),0)</f>
        <v>1034.6878814414085</v>
      </c>
      <c r="Q2731" s="29">
        <v>1800</v>
      </c>
      <c r="R2731" s="31">
        <v>45496</v>
      </c>
      <c r="S2731" s="31" t="s">
        <v>3121</v>
      </c>
      <c r="T2731" s="95" t="str">
        <f t="shared" si="216"/>
        <v>2024 07</v>
      </c>
      <c r="U2731" s="32">
        <f t="shared" si="213"/>
        <v>765.31211855859146</v>
      </c>
      <c r="V2731" s="22">
        <f t="shared" si="214"/>
        <v>0.7396550518137377</v>
      </c>
      <c r="X2731" s="33"/>
      <c r="Y2731" s="33"/>
    </row>
    <row r="2732" spans="1:25" x14ac:dyDescent="0.2">
      <c r="A2732" s="93" t="s">
        <v>1229</v>
      </c>
      <c r="B2732" s="94" t="str">
        <f>IFERROR(VLOOKUP($A2732,HeadJournal!$A$1:$NTR$890,COLUMN(HeadJournal!B$1),0),"")</f>
        <v>720000079409</v>
      </c>
      <c r="C2732" s="94" t="str">
        <f>IFERROR(VLOOKUP($A2732,HeadJournal!$A$1:$NTR$890,COLUMN(HeadJournal!C$1),0),"")</f>
        <v>iHerb_OA CZN6870</v>
      </c>
      <c r="D2732" s="126" t="str">
        <f>IFERROR(VLOOKUP($A2732,HeadJournal!$A$1:$NTR$890,COLUMN(HeadJournal!D$1),0),"")</f>
        <v>Доставлен</v>
      </c>
      <c r="E2732" s="118">
        <f>IFERROR(VLOOKUP($A2732,HeadJournal!$A$1:$NTR$890,COLUMN(HeadJournal!G$1),0),"")</f>
        <v>45300</v>
      </c>
      <c r="F2732" s="95" t="str">
        <f t="shared" si="215"/>
        <v>2024 01</v>
      </c>
      <c r="G2732" s="96" t="s">
        <v>5</v>
      </c>
      <c r="H2732" s="161" t="str">
        <f>RIGHT(Journal!$J2732,9)</f>
        <v>CAR-05513</v>
      </c>
      <c r="I2732" s="97" t="str">
        <f t="shared" si="217"/>
        <v>Carlson</v>
      </c>
      <c r="J2732" s="97" t="s">
        <v>1233</v>
      </c>
      <c r="K2732" s="29">
        <v>16.18</v>
      </c>
      <c r="L2732" s="29">
        <v>-4.8499999999999996</v>
      </c>
      <c r="M2732" s="30">
        <f>IFERROR(VLOOKUP($A2732,HeadJournal!$A$1:$J$890,COLUMN(HeadJournal!I$1),0)*($K2732+$L2732)/(SUMIF($A:$A,$A2732,$K:$K)+SUMIF($A:$A,$A2732,$L:$L)),0)</f>
        <v>-0.52411379057399599</v>
      </c>
      <c r="N2732" s="30">
        <f>IFERROR((VLOOKUP($A2732,HeadJournal!$A$1:$K$890,COLUMN(HeadJournal!K$1),0)-VLOOKUP($A2732,HeadJournal!$A$1:$K$890,COLUMN(HeadJournal!J$1),0))*($K2732+$L2732)/(SUMIF($A:$A,$A2732,$K:$K)+SUMIF($A:$A,$A2732,$L:$L)),0)</f>
        <v>1.4763339805908558E-15</v>
      </c>
      <c r="O2732" s="30">
        <f>IFERROR((VLOOKUP($A2732,HeadJournal!$A$1:$L$890,COLUMN(HeadJournal!L$1),0)*($K2732+$L2732)/(SUMIF($A:$A,$A2732,$K:$K)+SUMIF($A:$A,$A2732,$L:$L)))/VLOOKUP($A2732,HeadJournal!$A$1:$L$890,COLUMN(HeadJournal!H$1),0),0)</f>
        <v>1.0156533166128223</v>
      </c>
      <c r="P2732" s="30">
        <f>IFERROR(SUM(K2732:O2732)*VLOOKUP($A2732,HeadJournal!$A$1:$L$890,COLUMN(HeadJournal!H$1),0),0)</f>
        <v>1199.8990477718689</v>
      </c>
      <c r="Q2732" s="29">
        <v>2200</v>
      </c>
      <c r="R2732" s="31">
        <v>45346</v>
      </c>
      <c r="S2732" s="31" t="s">
        <v>3121</v>
      </c>
      <c r="T2732" s="95" t="str">
        <f t="shared" si="216"/>
        <v>2024 02</v>
      </c>
      <c r="U2732" s="32">
        <f t="shared" si="213"/>
        <v>1000.1009522281311</v>
      </c>
      <c r="V2732" s="22">
        <f t="shared" si="214"/>
        <v>0.83348757888028213</v>
      </c>
      <c r="X2732" s="33"/>
      <c r="Y2732" s="33"/>
    </row>
    <row r="2733" spans="1:25" x14ac:dyDescent="0.2">
      <c r="A2733" s="93" t="s">
        <v>1234</v>
      </c>
      <c r="B2733" s="94" t="str">
        <f>IFERROR(VLOOKUP($A2733,HeadJournal!$A$1:$NTR$890,COLUMN(HeadJournal!B$1),0),"")</f>
        <v>720000088921</v>
      </c>
      <c r="C2733" s="119" t="str">
        <f>IFERROR(VLOOKUP($A2733,HeadJournal!$A$1:$NTR$890,COLUMN(HeadJournal!C$1),0),"")</f>
        <v>iHerb_MH DLE7202</v>
      </c>
      <c r="D2733" s="125" t="str">
        <f>IFERROR(VLOOKUP($A2733,HeadJournal!$A$1:$NTR$890,COLUMN(HeadJournal!D$1),0),"")</f>
        <v>Доставлен</v>
      </c>
      <c r="E2733" s="95">
        <f>IFERROR(VLOOKUP($A2733,HeadJournal!$A$1:$NTR$890,COLUMN(HeadJournal!G$1),0),"")</f>
        <v>45306</v>
      </c>
      <c r="F2733" s="95" t="str">
        <f t="shared" si="215"/>
        <v>2024 01</v>
      </c>
      <c r="G2733" s="96" t="s">
        <v>5</v>
      </c>
      <c r="H2733" s="161" t="str">
        <f>RIGHT(Journal!$J2733,9)</f>
        <v>CAL-39022</v>
      </c>
      <c r="I2733" s="97" t="str">
        <f t="shared" si="217"/>
        <v>KAL</v>
      </c>
      <c r="J2733" s="97" t="s">
        <v>1026</v>
      </c>
      <c r="K2733" s="29">
        <v>18.87</v>
      </c>
      <c r="L2733" s="29">
        <v>-3.7749999999999999</v>
      </c>
      <c r="M2733" s="30">
        <f>IFERROR(VLOOKUP($A2733,HeadJournal!$A$1:$J$890,COLUMN(HeadJournal!I$1),0)*($K2733+$L2733)/(SUMIF($A:$A,$A2733,$K:$K)+SUMIF($A:$A,$A2733,$L:$L)),0)</f>
        <v>-1.1959976309555147</v>
      </c>
      <c r="N2733" s="30">
        <f>IFERROR((VLOOKUP($A2733,HeadJournal!$A$1:$K$890,COLUMN(HeadJournal!K$1),0)-VLOOKUP($A2733,HeadJournal!$A$1:$K$890,COLUMN(HeadJournal!J$1),0))*($K2733+$L2733)/(SUMIF($A:$A,$A2733,$K:$K)+SUMIF($A:$A,$A2733,$L:$L)),0)</f>
        <v>2.258624395114233E-15</v>
      </c>
      <c r="O2733" s="30">
        <f>IFERROR((VLOOKUP($A2733,HeadJournal!$A$1:$L$890,COLUMN(HeadJournal!L$1),0)*($K2733+$L2733)/(SUMIF($A:$A,$A2733,$K:$K)+SUMIF($A:$A,$A2733,$L:$L)))/VLOOKUP($A2733,HeadJournal!$A$1:$L$890,COLUMN(HeadJournal!H$1),0),0)</f>
        <v>1.1949133317104057</v>
      </c>
      <c r="P2733" s="30">
        <f>IFERROR(SUM(K2733:O2733)*VLOOKUP($A2733,HeadJournal!$A$1:$L$890,COLUMN(HeadJournal!H$1),0),0)</f>
        <v>1531.2660973063089</v>
      </c>
      <c r="Q2733" s="29">
        <v>2500</v>
      </c>
      <c r="R2733" s="31">
        <v>45352</v>
      </c>
      <c r="S2733" s="31" t="s">
        <v>3121</v>
      </c>
      <c r="T2733" s="95" t="str">
        <f t="shared" si="216"/>
        <v>2024 03</v>
      </c>
      <c r="U2733" s="32">
        <f t="shared" si="213"/>
        <v>968.73390269369111</v>
      </c>
      <c r="V2733" s="22">
        <f t="shared" si="214"/>
        <v>0.63263589809623344</v>
      </c>
      <c r="X2733" s="33"/>
      <c r="Y2733" s="33"/>
    </row>
    <row r="2734" spans="1:25" x14ac:dyDescent="0.2">
      <c r="A2734" s="93" t="s">
        <v>1234</v>
      </c>
      <c r="B2734" s="94" t="str">
        <f>IFERROR(VLOOKUP($A2734,HeadJournal!$A$1:$NTR$890,COLUMN(HeadJournal!B$1),0),"")</f>
        <v>720000088921</v>
      </c>
      <c r="C2734" s="119" t="str">
        <f>IFERROR(VLOOKUP($A2734,HeadJournal!$A$1:$NTR$890,COLUMN(HeadJournal!C$1),0),"")</f>
        <v>iHerb_MH DLE7202</v>
      </c>
      <c r="D2734" s="125" t="str">
        <f>IFERROR(VLOOKUP($A2734,HeadJournal!$A$1:$NTR$890,COLUMN(HeadJournal!D$1),0),"")</f>
        <v>Доставлен</v>
      </c>
      <c r="E2734" s="95">
        <f>IFERROR(VLOOKUP($A2734,HeadJournal!$A$1:$NTR$890,COLUMN(HeadJournal!G$1),0),"")</f>
        <v>45306</v>
      </c>
      <c r="F2734" s="95" t="str">
        <f t="shared" si="215"/>
        <v>2024 01</v>
      </c>
      <c r="G2734" s="96" t="s">
        <v>5</v>
      </c>
      <c r="H2734" s="161" t="str">
        <f>RIGHT(Journal!$J2734,9)</f>
        <v>CAL-39022</v>
      </c>
      <c r="I2734" s="97" t="str">
        <f t="shared" si="217"/>
        <v>KAL</v>
      </c>
      <c r="J2734" s="97" t="s">
        <v>1026</v>
      </c>
      <c r="K2734" s="29">
        <v>18.87</v>
      </c>
      <c r="L2734" s="29">
        <v>-3.7749999999999999</v>
      </c>
      <c r="M2734" s="30">
        <f>IFERROR(VLOOKUP($A2734,HeadJournal!$A$1:$J$890,COLUMN(HeadJournal!I$1),0)*($K2734+$L2734)/(SUMIF($A:$A,$A2734,$K:$K)+SUMIF($A:$A,$A2734,$L:$L)),0)</f>
        <v>-1.1959976309555147</v>
      </c>
      <c r="N2734" s="30">
        <f>IFERROR((VLOOKUP($A2734,HeadJournal!$A$1:$K$890,COLUMN(HeadJournal!K$1),0)-VLOOKUP($A2734,HeadJournal!$A$1:$K$890,COLUMN(HeadJournal!J$1),0))*($K2734+$L2734)/(SUMIF($A:$A,$A2734,$K:$K)+SUMIF($A:$A,$A2734,$L:$L)),0)</f>
        <v>2.258624395114233E-15</v>
      </c>
      <c r="O2734" s="30">
        <f>IFERROR((VLOOKUP($A2734,HeadJournal!$A$1:$L$890,COLUMN(HeadJournal!L$1),0)*($K2734+$L2734)/(SUMIF($A:$A,$A2734,$K:$K)+SUMIF($A:$A,$A2734,$L:$L)))/VLOOKUP($A2734,HeadJournal!$A$1:$L$890,COLUMN(HeadJournal!H$1),0),0)</f>
        <v>1.1949133317104057</v>
      </c>
      <c r="P2734" s="30">
        <f>IFERROR(SUM(K2734:O2734)*VLOOKUP($A2734,HeadJournal!$A$1:$L$890,COLUMN(HeadJournal!H$1),0),0)</f>
        <v>1531.2660973063089</v>
      </c>
      <c r="Q2734" s="29">
        <v>2500</v>
      </c>
      <c r="R2734" s="31">
        <v>45357</v>
      </c>
      <c r="S2734" s="31" t="s">
        <v>3121</v>
      </c>
      <c r="T2734" s="95" t="str">
        <f t="shared" si="216"/>
        <v>2024 03</v>
      </c>
      <c r="U2734" s="32">
        <f t="shared" si="213"/>
        <v>968.73390269369111</v>
      </c>
      <c r="V2734" s="22">
        <f t="shared" si="214"/>
        <v>0.63263589809623344</v>
      </c>
      <c r="X2734" s="33"/>
      <c r="Y2734" s="33"/>
    </row>
    <row r="2735" spans="1:25" x14ac:dyDescent="0.2">
      <c r="A2735" s="93" t="s">
        <v>1234</v>
      </c>
      <c r="B2735" s="94" t="str">
        <f>IFERROR(VLOOKUP($A2735,HeadJournal!$A$1:$NTR$890,COLUMN(HeadJournal!B$1),0),"")</f>
        <v>720000088921</v>
      </c>
      <c r="C2735" s="119" t="str">
        <f>IFERROR(VLOOKUP($A2735,HeadJournal!$A$1:$NTR$890,COLUMN(HeadJournal!C$1),0),"")</f>
        <v>iHerb_MH DLE7202</v>
      </c>
      <c r="D2735" s="125" t="str">
        <f>IFERROR(VLOOKUP($A2735,HeadJournal!$A$1:$NTR$890,COLUMN(HeadJournal!D$1),0),"")</f>
        <v>Доставлен</v>
      </c>
      <c r="E2735" s="95">
        <f>IFERROR(VLOOKUP($A2735,HeadJournal!$A$1:$NTR$890,COLUMN(HeadJournal!G$1),0),"")</f>
        <v>45306</v>
      </c>
      <c r="F2735" s="95" t="str">
        <f t="shared" si="215"/>
        <v>2024 01</v>
      </c>
      <c r="G2735" s="96" t="s">
        <v>5</v>
      </c>
      <c r="H2735" s="161" t="s">
        <v>2815</v>
      </c>
      <c r="I2735" s="97" t="s">
        <v>2005</v>
      </c>
      <c r="J2735" s="97" t="s">
        <v>2816</v>
      </c>
      <c r="K2735" s="29">
        <v>20.6</v>
      </c>
      <c r="L2735" s="29">
        <v>-4.12</v>
      </c>
      <c r="M2735" s="30">
        <f>IFERROR(VLOOKUP($A2735,HeadJournal!$A$1:$J$890,COLUMN(HeadJournal!I$1),0)*($K2735+$L2735)/(SUMIF($A:$A,$A2735,$K:$K)+SUMIF($A:$A,$A2735,$L:$L)),0)</f>
        <v>-1.3057330876546462</v>
      </c>
      <c r="N2735" s="30">
        <f>IFERROR((VLOOKUP($A2735,HeadJournal!$A$1:$K$890,COLUMN(HeadJournal!K$1),0)-VLOOKUP($A2735,HeadJournal!$A$1:$K$890,COLUMN(HeadJournal!J$1),0))*($K2735+$L2735)/(SUMIF($A:$A,$A2735,$K:$K)+SUMIF($A:$A,$A2735,$L:$L)),0)</f>
        <v>2.465858233288013E-15</v>
      </c>
      <c r="O2735" s="30">
        <f>IFERROR((VLOOKUP($A2735,HeadJournal!$A$1:$L$890,COLUMN(HeadJournal!L$1),0)*($K2735+$L2735)/(SUMIF($A:$A,$A2735,$K:$K)+SUMIF($A:$A,$A2735,$L:$L)))/VLOOKUP($A2735,HeadJournal!$A$1:$L$890,COLUMN(HeadJournal!H$1),0),0)</f>
        <v>1.3045493015294789</v>
      </c>
      <c r="P2735" s="30">
        <f>IFERROR(SUM(K2735:O2735)*VLOOKUP($A2735,HeadJournal!$A$1:$L$890,COLUMN(HeadJournal!H$1),0),0)</f>
        <v>1671.763185399667</v>
      </c>
      <c r="Q2735" s="29">
        <v>2600</v>
      </c>
      <c r="R2735" s="31">
        <v>45346</v>
      </c>
      <c r="S2735" s="31" t="s">
        <v>3121</v>
      </c>
      <c r="T2735" s="95" t="str">
        <f t="shared" si="216"/>
        <v>2024 02</v>
      </c>
      <c r="U2735" s="32">
        <f t="shared" si="213"/>
        <v>928.23681460033299</v>
      </c>
      <c r="V2735" s="22">
        <f t="shared" si="214"/>
        <v>0.55524420127628316</v>
      </c>
      <c r="X2735" s="33"/>
      <c r="Y2735" s="33"/>
    </row>
    <row r="2736" spans="1:25" x14ac:dyDescent="0.2">
      <c r="A2736" s="93" t="s">
        <v>1234</v>
      </c>
      <c r="B2736" s="94" t="str">
        <f>IFERROR(VLOOKUP($A2736,HeadJournal!$A$1:$NTR$890,COLUMN(HeadJournal!B$1),0),"")</f>
        <v>720000088921</v>
      </c>
      <c r="C2736" s="119" t="str">
        <f>IFERROR(VLOOKUP($A2736,HeadJournal!$A$1:$NTR$890,COLUMN(HeadJournal!C$1),0),"")</f>
        <v>iHerb_MH DLE7202</v>
      </c>
      <c r="D2736" s="125" t="str">
        <f>IFERROR(VLOOKUP($A2736,HeadJournal!$A$1:$NTR$890,COLUMN(HeadJournal!D$1),0),"")</f>
        <v>Доставлен</v>
      </c>
      <c r="E2736" s="95">
        <f>IFERROR(VLOOKUP($A2736,HeadJournal!$A$1:$NTR$890,COLUMN(HeadJournal!G$1),0),"")</f>
        <v>45306</v>
      </c>
      <c r="F2736" s="95" t="str">
        <f t="shared" si="215"/>
        <v>2024 01</v>
      </c>
      <c r="G2736" s="96" t="s">
        <v>5</v>
      </c>
      <c r="H2736" s="161" t="str">
        <f>RIGHT(Journal!$J2736,9)</f>
        <v>SWV-11613</v>
      </c>
      <c r="I2736" s="97" t="str">
        <f t="shared" si="217"/>
        <v>Swanson</v>
      </c>
      <c r="J2736" s="97" t="s">
        <v>835</v>
      </c>
      <c r="K2736" s="29">
        <v>8.17</v>
      </c>
      <c r="L2736" s="29">
        <v>-1.63</v>
      </c>
      <c r="M2736" s="30">
        <f>IFERROR(VLOOKUP($A2736,HeadJournal!$A$1:$J$890,COLUMN(HeadJournal!I$1),0)*($K2736+$L2736)/(SUMIF($A:$A,$A2736,$K:$K)+SUMIF($A:$A,$A2736,$L:$L)),0)</f>
        <v>-0.51817320347459861</v>
      </c>
      <c r="N2736" s="30">
        <f>IFERROR((VLOOKUP($A2736,HeadJournal!$A$1:$K$890,COLUMN(HeadJournal!K$1),0)-VLOOKUP($A2736,HeadJournal!$A$1:$K$890,COLUMN(HeadJournal!J$1),0))*($K2736+$L2736)/(SUMIF($A:$A,$A2736,$K:$K)+SUMIF($A:$A,$A2736,$L:$L)),0)</f>
        <v>9.785626726761897E-16</v>
      </c>
      <c r="O2736" s="30">
        <f>IFERROR((VLOOKUP($A2736,HeadJournal!$A$1:$L$890,COLUMN(HeadJournal!L$1),0)*($K2736+$L2736)/(SUMIF($A:$A,$A2736,$K:$K)+SUMIF($A:$A,$A2736,$L:$L)))/VLOOKUP($A2736,HeadJournal!$A$1:$L$890,COLUMN(HeadJournal!H$1),0),0)</f>
        <v>0.5177034242720141</v>
      </c>
      <c r="P2736" s="30">
        <f>IFERROR(SUM(K2736:O2736)*VLOOKUP($A2736,HeadJournal!$A$1:$L$890,COLUMN(HeadJournal!H$1),0),0)</f>
        <v>663.43029323506198</v>
      </c>
      <c r="Q2736" s="29">
        <v>1600</v>
      </c>
      <c r="R2736" s="31">
        <v>45346</v>
      </c>
      <c r="S2736" s="31" t="s">
        <v>3121</v>
      </c>
      <c r="T2736" s="95" t="str">
        <f t="shared" si="216"/>
        <v>2024 02</v>
      </c>
      <c r="U2736" s="32">
        <f t="shared" si="213"/>
        <v>936.56970676493802</v>
      </c>
      <c r="V2736" s="22">
        <f t="shared" si="214"/>
        <v>1.4117077804783014</v>
      </c>
      <c r="X2736" s="33"/>
      <c r="Y2736" s="33"/>
    </row>
    <row r="2737" spans="1:25" x14ac:dyDescent="0.2">
      <c r="A2737" s="93" t="s">
        <v>1234</v>
      </c>
      <c r="B2737" s="94" t="str">
        <f>IFERROR(VLOOKUP($A2737,HeadJournal!$A$1:$NTR$890,COLUMN(HeadJournal!B$1),0),"")</f>
        <v>720000088921</v>
      </c>
      <c r="C2737" s="119" t="str">
        <f>IFERROR(VLOOKUP($A2737,HeadJournal!$A$1:$NTR$890,COLUMN(HeadJournal!C$1),0),"")</f>
        <v>iHerb_MH DLE7202</v>
      </c>
      <c r="D2737" s="125" t="str">
        <f>IFERROR(VLOOKUP($A2737,HeadJournal!$A$1:$NTR$890,COLUMN(HeadJournal!D$1),0),"")</f>
        <v>Доставлен</v>
      </c>
      <c r="E2737" s="95">
        <f>IFERROR(VLOOKUP($A2737,HeadJournal!$A$1:$NTR$890,COLUMN(HeadJournal!G$1),0),"")</f>
        <v>45306</v>
      </c>
      <c r="F2737" s="95" t="str">
        <f t="shared" si="215"/>
        <v>2024 01</v>
      </c>
      <c r="G2737" s="96" t="s">
        <v>5</v>
      </c>
      <c r="H2737" s="161" t="s">
        <v>3642</v>
      </c>
      <c r="I2737" s="97" t="s">
        <v>2681</v>
      </c>
      <c r="J2737" s="97" t="s">
        <v>3691</v>
      </c>
      <c r="K2737" s="29">
        <v>16.79</v>
      </c>
      <c r="L2737" s="29">
        <v>-3.36</v>
      </c>
      <c r="M2737" s="30">
        <f>IFERROR(VLOOKUP($A2737,HeadJournal!$A$1:$J$890,COLUMN(HeadJournal!I$1),0)*($K2737+$L2737)/(SUMIF($A:$A,$A2737,$K:$K)+SUMIF($A:$A,$A2737,$L:$L)),0)</f>
        <v>-1.0640773887865229</v>
      </c>
      <c r="N2737" s="30">
        <f>IFERROR((VLOOKUP($A2737,HeadJournal!$A$1:$K$890,COLUMN(HeadJournal!K$1),0)-VLOOKUP($A2737,HeadJournal!$A$1:$K$890,COLUMN(HeadJournal!J$1),0))*($K2737+$L2737)/(SUMIF($A:$A,$A2737,$K:$K)+SUMIF($A:$A,$A2737,$L:$L)),0)</f>
        <v>2.0094949073457534E-15</v>
      </c>
      <c r="O2737" s="30">
        <f>IFERROR((VLOOKUP($A2737,HeadJournal!$A$1:$L$890,COLUMN(HeadJournal!L$1),0)*($K2737+$L2737)/(SUMIF($A:$A,$A2737,$K:$K)+SUMIF($A:$A,$A2737,$L:$L)))/VLOOKUP($A2737,HeadJournal!$A$1:$L$890,COLUMN(HeadJournal!H$1),0),0)</f>
        <v>1.0631126892925304</v>
      </c>
      <c r="P2737" s="30">
        <f>IFERROR(SUM(K2737:O2737)*VLOOKUP($A2737,HeadJournal!$A$1:$L$890,COLUMN(HeadJournal!H$1),0),0)</f>
        <v>1362.3652657716946</v>
      </c>
      <c r="Q2737" s="29">
        <v>2400</v>
      </c>
      <c r="R2737" s="31">
        <v>45539</v>
      </c>
      <c r="S2737" s="31" t="s">
        <v>3121</v>
      </c>
      <c r="T2737" s="95" t="str">
        <f t="shared" si="216"/>
        <v>2024 09</v>
      </c>
      <c r="U2737" s="32">
        <f t="shared" si="213"/>
        <v>1037.6347342283054</v>
      </c>
      <c r="V2737" s="22">
        <f t="shared" si="214"/>
        <v>0.76164209430321195</v>
      </c>
      <c r="X2737" s="33"/>
      <c r="Y2737" s="33"/>
    </row>
    <row r="2738" spans="1:25" x14ac:dyDescent="0.2">
      <c r="A2738" s="93" t="s">
        <v>1234</v>
      </c>
      <c r="B2738" s="94" t="str">
        <f>IFERROR(VLOOKUP($A2738,HeadJournal!$A$1:$NTR$890,COLUMN(HeadJournal!B$1),0),"")</f>
        <v>720000088921</v>
      </c>
      <c r="C2738" s="119" t="str">
        <f>IFERROR(VLOOKUP($A2738,HeadJournal!$A$1:$NTR$890,COLUMN(HeadJournal!C$1),0),"")</f>
        <v>iHerb_MH DLE7202</v>
      </c>
      <c r="D2738" s="125" t="str">
        <f>IFERROR(VLOOKUP($A2738,HeadJournal!$A$1:$NTR$890,COLUMN(HeadJournal!D$1),0),"")</f>
        <v>Доставлен</v>
      </c>
      <c r="E2738" s="95">
        <f>IFERROR(VLOOKUP($A2738,HeadJournal!$A$1:$NTR$890,COLUMN(HeadJournal!G$1),0),"")</f>
        <v>45306</v>
      </c>
      <c r="F2738" s="95" t="str">
        <f t="shared" si="215"/>
        <v>2024 01</v>
      </c>
      <c r="G2738" s="96" t="s">
        <v>5</v>
      </c>
      <c r="H2738" s="161" t="s">
        <v>2217</v>
      </c>
      <c r="I2738" s="97" t="s">
        <v>2218</v>
      </c>
      <c r="J2738" s="97" t="s">
        <v>2219</v>
      </c>
      <c r="K2738" s="29">
        <v>28.05</v>
      </c>
      <c r="L2738" s="29">
        <v>-5.61</v>
      </c>
      <c r="M2738" s="30">
        <f>IFERROR(VLOOKUP($A2738,HeadJournal!$A$1:$J$890,COLUMN(HeadJournal!I$1),0)*($K2738+$L2738)/(SUMIF($A:$A,$A2738,$K:$K)+SUMIF($A:$A,$A2738,$L:$L)),0)</f>
        <v>-1.7779520926559624</v>
      </c>
      <c r="N2738" s="30">
        <f>IFERROR((VLOOKUP($A2738,HeadJournal!$A$1:$K$890,COLUMN(HeadJournal!K$1),0)-VLOOKUP($A2738,HeadJournal!$A$1:$K$890,COLUMN(HeadJournal!J$1),0))*($K2738+$L2738)/(SUMIF($A:$A,$A2738,$K:$K)+SUMIF($A:$A,$A2738,$L:$L)),0)</f>
        <v>3.357637060375183E-15</v>
      </c>
      <c r="O2738" s="30">
        <f>IFERROR((VLOOKUP($A2738,HeadJournal!$A$1:$L$890,COLUMN(HeadJournal!L$1),0)*($K2738+$L2738)/(SUMIF($A:$A,$A2738,$K:$K)+SUMIF($A:$A,$A2738,$L:$L)))/VLOOKUP($A2738,HeadJournal!$A$1:$L$890,COLUMN(HeadJournal!H$1),0),0)</f>
        <v>1.776340189703975</v>
      </c>
      <c r="P2738" s="30">
        <f>IFERROR(SUM(K2738:O2738)*VLOOKUP($A2738,HeadJournal!$A$1:$L$890,COLUMN(HeadJournal!H$1),0),0)</f>
        <v>2276.3571529349838</v>
      </c>
      <c r="Q2738" s="29">
        <v>3400</v>
      </c>
      <c r="R2738" s="31">
        <v>45353</v>
      </c>
      <c r="S2738" s="31" t="s">
        <v>3121</v>
      </c>
      <c r="T2738" s="95" t="str">
        <f t="shared" si="216"/>
        <v>2024 03</v>
      </c>
      <c r="U2738" s="32">
        <f t="shared" si="213"/>
        <v>1123.6428470650162</v>
      </c>
      <c r="V2738" s="22">
        <f t="shared" si="214"/>
        <v>0.4936144776825841</v>
      </c>
      <c r="X2738" s="33"/>
      <c r="Y2738" s="33"/>
    </row>
    <row r="2739" spans="1:25" x14ac:dyDescent="0.2">
      <c r="A2739" s="93" t="s">
        <v>1234</v>
      </c>
      <c r="B2739" s="94" t="str">
        <f>IFERROR(VLOOKUP($A2739,HeadJournal!$A$1:$NTR$890,COLUMN(HeadJournal!B$1),0),"")</f>
        <v>720000088921</v>
      </c>
      <c r="C2739" s="119" t="str">
        <f>IFERROR(VLOOKUP($A2739,HeadJournal!$A$1:$NTR$890,COLUMN(HeadJournal!C$1),0),"")</f>
        <v>iHerb_MH DLE7202</v>
      </c>
      <c r="D2739" s="125" t="str">
        <f>IFERROR(VLOOKUP($A2739,HeadJournal!$A$1:$NTR$890,COLUMN(HeadJournal!D$1),0),"")</f>
        <v>Доставлен</v>
      </c>
      <c r="E2739" s="95">
        <f>IFERROR(VLOOKUP($A2739,HeadJournal!$A$1:$NTR$890,COLUMN(HeadJournal!G$1),0),"")</f>
        <v>45306</v>
      </c>
      <c r="F2739" s="95" t="str">
        <f t="shared" si="215"/>
        <v>2024 01</v>
      </c>
      <c r="G2739" s="96" t="s">
        <v>5</v>
      </c>
      <c r="H2739" s="161" t="s">
        <v>2217</v>
      </c>
      <c r="I2739" s="97" t="s">
        <v>2218</v>
      </c>
      <c r="J2739" s="97" t="s">
        <v>2219</v>
      </c>
      <c r="K2739" s="29">
        <v>28.05</v>
      </c>
      <c r="L2739" s="29">
        <v>-5.61</v>
      </c>
      <c r="M2739" s="30">
        <f>IFERROR(VLOOKUP($A2739,HeadJournal!$A$1:$J$890,COLUMN(HeadJournal!I$1),0)*($K2739+$L2739)/(SUMIF($A:$A,$A2739,$K:$K)+SUMIF($A:$A,$A2739,$L:$L)),0)</f>
        <v>-1.7779520926559624</v>
      </c>
      <c r="N2739" s="30">
        <f>IFERROR((VLOOKUP($A2739,HeadJournal!$A$1:$K$890,COLUMN(HeadJournal!K$1),0)-VLOOKUP($A2739,HeadJournal!$A$1:$K$890,COLUMN(HeadJournal!J$1),0))*($K2739+$L2739)/(SUMIF($A:$A,$A2739,$K:$K)+SUMIF($A:$A,$A2739,$L:$L)),0)</f>
        <v>3.357637060375183E-15</v>
      </c>
      <c r="O2739" s="30">
        <f>IFERROR((VLOOKUP($A2739,HeadJournal!$A$1:$L$890,COLUMN(HeadJournal!L$1),0)*($K2739+$L2739)/(SUMIF($A:$A,$A2739,$K:$K)+SUMIF($A:$A,$A2739,$L:$L)))/VLOOKUP($A2739,HeadJournal!$A$1:$L$890,COLUMN(HeadJournal!H$1),0),0)</f>
        <v>1.776340189703975</v>
      </c>
      <c r="P2739" s="30">
        <f>IFERROR(SUM(K2739:O2739)*VLOOKUP($A2739,HeadJournal!$A$1:$L$890,COLUMN(HeadJournal!H$1),0),0)</f>
        <v>2276.3571529349838</v>
      </c>
      <c r="Q2739" s="29">
        <v>3350</v>
      </c>
      <c r="R2739" s="31">
        <v>45356</v>
      </c>
      <c r="S2739" s="31" t="s">
        <v>3121</v>
      </c>
      <c r="T2739" s="95" t="str">
        <f t="shared" si="216"/>
        <v>2024 03</v>
      </c>
      <c r="U2739" s="32">
        <f t="shared" si="213"/>
        <v>1073.6428470650162</v>
      </c>
      <c r="V2739" s="22">
        <f t="shared" si="214"/>
        <v>0.47164955889313431</v>
      </c>
      <c r="X2739" s="33"/>
      <c r="Y2739" s="33"/>
    </row>
    <row r="2740" spans="1:25" x14ac:dyDescent="0.2">
      <c r="A2740" s="93" t="s">
        <v>1234</v>
      </c>
      <c r="B2740" s="94" t="str">
        <f>IFERROR(VLOOKUP($A2740,HeadJournal!$A$1:$NTR$890,COLUMN(HeadJournal!B$1),0),"")</f>
        <v>720000088921</v>
      </c>
      <c r="C2740" s="119" t="str">
        <f>IFERROR(VLOOKUP($A2740,HeadJournal!$A$1:$NTR$890,COLUMN(HeadJournal!C$1),0),"")</f>
        <v>iHerb_MH DLE7202</v>
      </c>
      <c r="D2740" s="125" t="str">
        <f>IFERROR(VLOOKUP($A2740,HeadJournal!$A$1:$NTR$890,COLUMN(HeadJournal!D$1),0),"")</f>
        <v>Доставлен</v>
      </c>
      <c r="E2740" s="95">
        <f>IFERROR(VLOOKUP($A2740,HeadJournal!$A$1:$NTR$890,COLUMN(HeadJournal!G$1),0),"")</f>
        <v>45306</v>
      </c>
      <c r="F2740" s="95" t="str">
        <f t="shared" si="215"/>
        <v>2024 01</v>
      </c>
      <c r="G2740" s="96" t="s">
        <v>5</v>
      </c>
      <c r="H2740" s="161" t="str">
        <f>RIGHT(Journal!$J2740,9)</f>
        <v>VTP-00508</v>
      </c>
      <c r="I2740" s="97" t="str">
        <f t="shared" si="217"/>
        <v>Vital Proteins</v>
      </c>
      <c r="J2740" s="97" t="s">
        <v>1197</v>
      </c>
      <c r="K2740" s="29">
        <v>61.51</v>
      </c>
      <c r="L2740" s="29">
        <v>-12.3</v>
      </c>
      <c r="M2740" s="30">
        <f>IFERROR(VLOOKUP($A2740,HeadJournal!$A$1:$J$890,COLUMN(HeadJournal!I$1),0)*($K2740+$L2740)/(SUMIF($A:$A,$A2740,$K:$K)+SUMIF($A:$A,$A2740,$L:$L)),0)</f>
        <v>-3.8989760463279808</v>
      </c>
      <c r="N2740" s="30">
        <f>IFERROR((VLOOKUP($A2740,HeadJournal!$A$1:$K$890,COLUMN(HeadJournal!K$1),0)-VLOOKUP($A2740,HeadJournal!$A$1:$K$890,COLUMN(HeadJournal!J$1),0))*($K2740+$L2740)/(SUMIF($A:$A,$A2740,$K:$K)+SUMIF($A:$A,$A2740,$L:$L)),0)</f>
        <v>7.3631604162683915E-15</v>
      </c>
      <c r="O2740" s="30">
        <f>IFERROR((VLOOKUP($A2740,HeadJournal!$A$1:$L$890,COLUMN(HeadJournal!L$1),0)*($K2740+$L2740)/(SUMIF($A:$A,$A2740,$K:$K)+SUMIF($A:$A,$A2740,$L:$L)))/VLOOKUP($A2740,HeadJournal!$A$1:$L$890,COLUMN(HeadJournal!H$1),0),0)</f>
        <v>3.8954412092394208</v>
      </c>
      <c r="P2740" s="30">
        <f>IFERROR(SUM(K2740:O2740)*VLOOKUP($A2740,HeadJournal!$A$1:$L$890,COLUMN(HeadJournal!H$1),0),0)</f>
        <v>4991.9579098008253</v>
      </c>
      <c r="Q2740" s="29">
        <v>6400</v>
      </c>
      <c r="R2740" s="31">
        <v>45345</v>
      </c>
      <c r="S2740" s="31" t="s">
        <v>3121</v>
      </c>
      <c r="T2740" s="95" t="str">
        <f t="shared" si="216"/>
        <v>2024 02</v>
      </c>
      <c r="U2740" s="32">
        <f t="shared" si="213"/>
        <v>1408.0420901991747</v>
      </c>
      <c r="V2740" s="22">
        <f t="shared" si="214"/>
        <v>0.28206209179663422</v>
      </c>
      <c r="X2740" s="33"/>
      <c r="Y2740" s="33"/>
    </row>
    <row r="2741" spans="1:25" x14ac:dyDescent="0.2">
      <c r="A2741" s="93" t="s">
        <v>1234</v>
      </c>
      <c r="B2741" s="94" t="str">
        <f>IFERROR(VLOOKUP($A2741,HeadJournal!$A$1:$NTR$890,COLUMN(HeadJournal!B$1),0),"")</f>
        <v>720000088921</v>
      </c>
      <c r="C2741" s="119" t="str">
        <f>IFERROR(VLOOKUP($A2741,HeadJournal!$A$1:$NTR$890,COLUMN(HeadJournal!C$1),0),"")</f>
        <v>iHerb_MH DLE7202</v>
      </c>
      <c r="D2741" s="125" t="str">
        <f>IFERROR(VLOOKUP($A2741,HeadJournal!$A$1:$NTR$890,COLUMN(HeadJournal!D$1),0),"")</f>
        <v>Доставлен</v>
      </c>
      <c r="E2741" s="95">
        <f>IFERROR(VLOOKUP($A2741,HeadJournal!$A$1:$NTR$890,COLUMN(HeadJournal!G$1),0),"")</f>
        <v>45306</v>
      </c>
      <c r="F2741" s="95" t="str">
        <f t="shared" si="215"/>
        <v>2024 01</v>
      </c>
      <c r="G2741" s="96" t="s">
        <v>5</v>
      </c>
      <c r="H2741" s="161" t="str">
        <f>RIGHT(Journal!$J2741,9)</f>
        <v>BTZ-75121</v>
      </c>
      <c r="I2741" s="97" t="str">
        <f t="shared" si="217"/>
        <v>BioSchwartz</v>
      </c>
      <c r="J2741" s="97" t="s">
        <v>1235</v>
      </c>
      <c r="K2741" s="29">
        <v>21.46</v>
      </c>
      <c r="L2741" s="29">
        <v>-12.47</v>
      </c>
      <c r="M2741" s="30">
        <f>IFERROR(VLOOKUP($A2741,HeadJournal!$A$1:$J$890,COLUMN(HeadJournal!I$1),0)*($K2741+$L2741)/(SUMIF($A:$A,$A2741,$K:$K)+SUMIF($A:$A,$A2741,$L:$L)),0)</f>
        <v>-0.71229007633587804</v>
      </c>
      <c r="N2741" s="30">
        <f>IFERROR((VLOOKUP($A2741,HeadJournal!$A$1:$K$890,COLUMN(HeadJournal!K$1),0)-VLOOKUP($A2741,HeadJournal!$A$1:$K$890,COLUMN(HeadJournal!J$1),0))*($K2741+$L2741)/(SUMIF($A:$A,$A2741,$K:$K)+SUMIF($A:$A,$A2741,$L:$L)),0)</f>
        <v>1.3451496066298082E-15</v>
      </c>
      <c r="O2741" s="30">
        <f>IFERROR((VLOOKUP($A2741,HeadJournal!$A$1:$L$890,COLUMN(HeadJournal!L$1),0)*($K2741+$L2741)/(SUMIF($A:$A,$A2741,$K:$K)+SUMIF($A:$A,$A2741,$L:$L)))/VLOOKUP($A2741,HeadJournal!$A$1:$L$890,COLUMN(HeadJournal!H$1),0),0)</f>
        <v>0.71164430951153013</v>
      </c>
      <c r="P2741" s="30">
        <f>IFERROR(SUM(K2741:O2741)*VLOOKUP($A2741,HeadJournal!$A$1:$L$890,COLUMN(HeadJournal!H$1),0),0)</f>
        <v>911.96304834605633</v>
      </c>
      <c r="Q2741" s="29">
        <v>2500</v>
      </c>
      <c r="R2741" s="31">
        <v>45467</v>
      </c>
      <c r="S2741" s="31" t="s">
        <v>3121</v>
      </c>
      <c r="T2741" s="95" t="str">
        <f t="shared" si="216"/>
        <v>2024 06</v>
      </c>
      <c r="U2741" s="32">
        <f t="shared" si="213"/>
        <v>1588.0369516539436</v>
      </c>
      <c r="V2741" s="22">
        <f t="shared" si="214"/>
        <v>1.7413391414641419</v>
      </c>
      <c r="X2741" s="33"/>
      <c r="Y2741" s="33"/>
    </row>
    <row r="2742" spans="1:25" x14ac:dyDescent="0.2">
      <c r="A2742" s="93" t="s">
        <v>1234</v>
      </c>
      <c r="B2742" s="94" t="str">
        <f>IFERROR(VLOOKUP($A2742,HeadJournal!$A$1:$NTR$890,COLUMN(HeadJournal!B$1),0),"")</f>
        <v>720000088921</v>
      </c>
      <c r="C2742" s="119" t="str">
        <f>IFERROR(VLOOKUP($A2742,HeadJournal!$A$1:$NTR$890,COLUMN(HeadJournal!C$1),0),"")</f>
        <v>iHerb_MH DLE7202</v>
      </c>
      <c r="D2742" s="125" t="str">
        <f>IFERROR(VLOOKUP($A2742,HeadJournal!$A$1:$NTR$890,COLUMN(HeadJournal!D$1),0),"")</f>
        <v>Доставлен</v>
      </c>
      <c r="E2742" s="95">
        <f>IFERROR(VLOOKUP($A2742,HeadJournal!$A$1:$NTR$890,COLUMN(HeadJournal!G$1),0),"")</f>
        <v>45306</v>
      </c>
      <c r="F2742" s="95" t="str">
        <f t="shared" si="215"/>
        <v>2024 01</v>
      </c>
      <c r="G2742" s="96" t="s">
        <v>5</v>
      </c>
      <c r="H2742" s="161" t="s">
        <v>3629</v>
      </c>
      <c r="I2742" s="97" t="s">
        <v>2052</v>
      </c>
      <c r="J2742" s="97" t="s">
        <v>3672</v>
      </c>
      <c r="K2742" s="29">
        <v>10.220000000000001</v>
      </c>
      <c r="L2742" s="29">
        <v>-3.07</v>
      </c>
      <c r="M2742" s="30">
        <f>IFERROR(VLOOKUP($A2742,HeadJournal!$A$1:$J$890,COLUMN(HeadJournal!I$1),0)*($K2742+$L2742)/(SUMIF($A:$A,$A2742,$K:$K)+SUMIF($A:$A,$A2742,$L:$L)),0)</f>
        <v>-0.5665043432482233</v>
      </c>
      <c r="N2742" s="30">
        <f>IFERROR((VLOOKUP($A2742,HeadJournal!$A$1:$K$890,COLUMN(HeadJournal!K$1),0)-VLOOKUP($A2742,HeadJournal!$A$1:$K$890,COLUMN(HeadJournal!J$1),0))*($K2742+$L2742)/(SUMIF($A:$A,$A2742,$K:$K)+SUMIF($A:$A,$A2742,$L:$L)),0)</f>
        <v>1.0698353378646416E-15</v>
      </c>
      <c r="O2742" s="30">
        <f>IFERROR((VLOOKUP($A2742,HeadJournal!$A$1:$L$890,COLUMN(HeadJournal!L$1),0)*($K2742+$L2742)/(SUMIF($A:$A,$A2742,$K:$K)+SUMIF($A:$A,$A2742,$L:$L)))/VLOOKUP($A2742,HeadJournal!$A$1:$L$890,COLUMN(HeadJournal!H$1),0),0)</f>
        <v>0.56599074671940375</v>
      </c>
      <c r="P2742" s="30">
        <f>IFERROR(SUM(K2742:O2742)*VLOOKUP($A2742,HeadJournal!$A$1:$L$890,COLUMN(HeadJournal!H$1),0),0)</f>
        <v>725.30987716065647</v>
      </c>
      <c r="Q2742" s="29">
        <v>1400</v>
      </c>
      <c r="R2742" s="31">
        <v>45364</v>
      </c>
      <c r="S2742" s="31" t="s">
        <v>3121</v>
      </c>
      <c r="T2742" s="95" t="str">
        <f t="shared" si="216"/>
        <v>2024 03</v>
      </c>
      <c r="U2742" s="32">
        <f t="shared" si="213"/>
        <v>674.69012283934353</v>
      </c>
      <c r="V2742" s="22">
        <f t="shared" si="214"/>
        <v>0.93020947885133975</v>
      </c>
      <c r="X2742" s="33"/>
      <c r="Y2742" s="33"/>
    </row>
    <row r="2743" spans="1:25" x14ac:dyDescent="0.2">
      <c r="A2743" s="93" t="s">
        <v>1234</v>
      </c>
      <c r="B2743" s="94" t="str">
        <f>IFERROR(VLOOKUP($A2743,HeadJournal!$A$1:$NTR$890,COLUMN(HeadJournal!B$1),0),"")</f>
        <v>720000088921</v>
      </c>
      <c r="C2743" s="119" t="str">
        <f>IFERROR(VLOOKUP($A2743,HeadJournal!$A$1:$NTR$890,COLUMN(HeadJournal!C$1),0),"")</f>
        <v>iHerb_MH DLE7202</v>
      </c>
      <c r="D2743" s="125" t="str">
        <f>IFERROR(VLOOKUP($A2743,HeadJournal!$A$1:$NTR$890,COLUMN(HeadJournal!D$1),0),"")</f>
        <v>Доставлен</v>
      </c>
      <c r="E2743" s="95">
        <f>IFERROR(VLOOKUP($A2743,HeadJournal!$A$1:$NTR$890,COLUMN(HeadJournal!G$1),0),"")</f>
        <v>45306</v>
      </c>
      <c r="F2743" s="95" t="str">
        <f t="shared" si="215"/>
        <v>2024 01</v>
      </c>
      <c r="G2743" s="96" t="s">
        <v>5</v>
      </c>
      <c r="H2743" s="161" t="str">
        <f>RIGHT(Journal!$J2743,9)</f>
        <v>NAP-47627</v>
      </c>
      <c r="I2743" s="97" t="str">
        <f t="shared" si="217"/>
        <v>NaturesPlus</v>
      </c>
      <c r="J2743" s="97" t="s">
        <v>897</v>
      </c>
      <c r="K2743" s="29">
        <v>9.8800000000000008</v>
      </c>
      <c r="L2743" s="29">
        <v>-1.98</v>
      </c>
      <c r="M2743" s="30">
        <f>IFERROR(VLOOKUP($A2743,HeadJournal!$A$1:$J$890,COLUMN(HeadJournal!I$1),0)*($K2743+$L2743)/(SUMIF($A:$A,$A2743,$K:$K)+SUMIF($A:$A,$A2743,$L:$L)),0)</f>
        <v>-0.62592787575677822</v>
      </c>
      <c r="N2743" s="30">
        <f>IFERROR((VLOOKUP($A2743,HeadJournal!$A$1:$K$890,COLUMN(HeadJournal!K$1),0)-VLOOKUP($A2743,HeadJournal!$A$1:$K$890,COLUMN(HeadJournal!J$1),0))*($K2743+$L2743)/(SUMIF($A:$A,$A2743,$K:$K)+SUMIF($A:$A,$A2743,$L:$L)),0)</f>
        <v>1.1820558278504433E-15</v>
      </c>
      <c r="O2743" s="30">
        <f>IFERROR((VLOOKUP($A2743,HeadJournal!$A$1:$L$890,COLUMN(HeadJournal!L$1),0)*($K2743+$L2743)/(SUMIF($A:$A,$A2743,$K:$K)+SUMIF($A:$A,$A2743,$L:$L)))/VLOOKUP($A2743,HeadJournal!$A$1:$L$890,COLUMN(HeadJournal!H$1),0),0)</f>
        <v>0.62536040546619442</v>
      </c>
      <c r="P2743" s="30">
        <f>IFERROR(SUM(K2743:O2743)*VLOOKUP($A2743,HeadJournal!$A$1:$L$890,COLUMN(HeadJournal!H$1),0),0)</f>
        <v>801.39133280687918</v>
      </c>
      <c r="Q2743" s="29">
        <v>1700</v>
      </c>
      <c r="R2743" s="31">
        <v>45592</v>
      </c>
      <c r="S2743" s="31" t="s">
        <v>3121</v>
      </c>
      <c r="T2743" s="95" t="str">
        <f t="shared" si="216"/>
        <v>2024 10</v>
      </c>
      <c r="U2743" s="32">
        <f t="shared" si="213"/>
        <v>898.60866719312082</v>
      </c>
      <c r="V2743" s="22">
        <f t="shared" si="214"/>
        <v>1.1213106885567843</v>
      </c>
      <c r="X2743" s="33"/>
      <c r="Y2743" s="33"/>
    </row>
    <row r="2744" spans="1:25" x14ac:dyDescent="0.2">
      <c r="A2744" s="93" t="s">
        <v>1234</v>
      </c>
      <c r="B2744" s="94" t="str">
        <f>IFERROR(VLOOKUP($A2744,HeadJournal!$A$1:$NTR$890,COLUMN(HeadJournal!B$1),0),"")</f>
        <v>720000088921</v>
      </c>
      <c r="C2744" s="119" t="str">
        <f>IFERROR(VLOOKUP($A2744,HeadJournal!$A$1:$NTR$890,COLUMN(HeadJournal!C$1),0),"")</f>
        <v>iHerb_MH DLE7202</v>
      </c>
      <c r="D2744" s="125" t="str">
        <f>IFERROR(VLOOKUP($A2744,HeadJournal!$A$1:$NTR$890,COLUMN(HeadJournal!D$1),0),"")</f>
        <v>Доставлен</v>
      </c>
      <c r="E2744" s="95">
        <f>IFERROR(VLOOKUP($A2744,HeadJournal!$A$1:$NTR$890,COLUMN(HeadJournal!G$1),0),"")</f>
        <v>45306</v>
      </c>
      <c r="F2744" s="95" t="str">
        <f t="shared" si="215"/>
        <v>2024 01</v>
      </c>
      <c r="G2744" s="96" t="s">
        <v>5</v>
      </c>
      <c r="H2744" s="161" t="str">
        <f>RIGHT(Journal!$J2744,9)</f>
        <v>EVL-02434</v>
      </c>
      <c r="I2744" s="97" t="str">
        <f t="shared" si="217"/>
        <v>EVLution Nutrition</v>
      </c>
      <c r="J2744" s="97" t="s">
        <v>508</v>
      </c>
      <c r="K2744" s="29">
        <v>6.48</v>
      </c>
      <c r="L2744" s="29">
        <v>-1.3</v>
      </c>
      <c r="M2744" s="30">
        <f>IFERROR(VLOOKUP($A2744,HeadJournal!$A$1:$J$890,COLUMN(HeadJournal!I$1),0)*($K2744+$L2744)/(SUMIF($A:$A,$A2744,$K:$K)+SUMIF($A:$A,$A2744,$L:$L)),0)</f>
        <v>-0.41041853119241917</v>
      </c>
      <c r="N2744" s="30">
        <f>IFERROR((VLOOKUP($A2744,HeadJournal!$A$1:$K$890,COLUMN(HeadJournal!K$1),0)-VLOOKUP($A2744,HeadJournal!$A$1:$K$890,COLUMN(HeadJournal!J$1),0))*($K2744+$L2744)/(SUMIF($A:$A,$A2744,$K:$K)+SUMIF($A:$A,$A2744,$L:$L)),0)</f>
        <v>7.7506951750193624E-16</v>
      </c>
      <c r="O2744" s="30">
        <f>IFERROR((VLOOKUP($A2744,HeadJournal!$A$1:$L$890,COLUMN(HeadJournal!L$1),0)*($K2744+$L2744)/(SUMIF($A:$A,$A2744,$K:$K)+SUMIF($A:$A,$A2744,$L:$L)))/VLOOKUP($A2744,HeadJournal!$A$1:$L$890,COLUMN(HeadJournal!H$1),0),0)</f>
        <v>0.41004644307783378</v>
      </c>
      <c r="P2744" s="30">
        <f>IFERROR(SUM(K2744:O2744)*VLOOKUP($A2744,HeadJournal!$A$1:$L$890,COLUMN(HeadJournal!H$1),0),0)</f>
        <v>525.4692536632449</v>
      </c>
      <c r="Q2744" s="29">
        <v>1200</v>
      </c>
      <c r="R2744" s="31">
        <v>45444</v>
      </c>
      <c r="S2744" s="31" t="s">
        <v>3121</v>
      </c>
      <c r="T2744" s="95" t="str">
        <f t="shared" si="216"/>
        <v>2024 06</v>
      </c>
      <c r="U2744" s="32">
        <f t="shared" si="213"/>
        <v>674.5307463367551</v>
      </c>
      <c r="V2744" s="22">
        <f t="shared" si="214"/>
        <v>1.2836731010127542</v>
      </c>
      <c r="X2744" s="33"/>
      <c r="Y2744" s="33"/>
    </row>
    <row r="2745" spans="1:25" x14ac:dyDescent="0.2">
      <c r="A2745" s="93" t="s">
        <v>1236</v>
      </c>
      <c r="B2745" s="94" t="str">
        <f>IFERROR(VLOOKUP($A2745,HeadJournal!$A$1:$NTR$890,COLUMN(HeadJournal!B$1),0),"")</f>
        <v>720000084230</v>
      </c>
      <c r="C2745" s="94" t="str">
        <f>IFERROR(VLOOKUP($A2745,HeadJournal!$A$1:$NTR$890,COLUMN(HeadJournal!C$1),0),"")</f>
        <v>iHerb_AV CYG0792</v>
      </c>
      <c r="D2745" s="126" t="str">
        <f>IFERROR(VLOOKUP($A2745,HeadJournal!$A$1:$NTR$890,COLUMN(HeadJournal!D$1),0),"")</f>
        <v>Доставлен</v>
      </c>
      <c r="E2745" s="118">
        <f>IFERROR(VLOOKUP($A2745,HeadJournal!$A$1:$NTR$890,COLUMN(HeadJournal!G$1),0),"")</f>
        <v>45303</v>
      </c>
      <c r="F2745" s="95" t="str">
        <f t="shared" si="215"/>
        <v>2024 01</v>
      </c>
      <c r="G2745" s="96" t="s">
        <v>5</v>
      </c>
      <c r="H2745" s="161" t="s">
        <v>2884</v>
      </c>
      <c r="I2745" s="97" t="s">
        <v>2839</v>
      </c>
      <c r="J2745" s="97" t="s">
        <v>2885</v>
      </c>
      <c r="K2745" s="29">
        <v>38.53</v>
      </c>
      <c r="L2745" s="29">
        <v>0</v>
      </c>
      <c r="M2745" s="30">
        <f>IFERROR(VLOOKUP($A2745,HeadJournal!$A$1:$J$890,COLUMN(HeadJournal!I$1),0)*($K2745+$L2745)/(SUMIF($A:$A,$A2745,$K:$K)+SUMIF($A:$A,$A2745,$L:$L)),0)</f>
        <v>-2.9571613610001291</v>
      </c>
      <c r="N2745" s="30">
        <f>IFERROR((VLOOKUP($A2745,HeadJournal!$A$1:$K$890,COLUMN(HeadJournal!K$1),0)-VLOOKUP($A2745,HeadJournal!$A$1:$K$890,COLUMN(HeadJournal!J$1),0))*($K2745+$L2745)/(SUMIF($A:$A,$A2745,$K:$K)+SUMIF($A:$A,$A2745,$L:$L)),0)</f>
        <v>0</v>
      </c>
      <c r="O2745" s="30">
        <f>IFERROR((VLOOKUP($A2745,HeadJournal!$A$1:$L$890,COLUMN(HeadJournal!L$1),0)*($K2745+$L2745)/(SUMIF($A:$A,$A2745,$K:$K)+SUMIF($A:$A,$A2745,$L:$L)))/VLOOKUP($A2745,HeadJournal!$A$1:$L$890,COLUMN(HeadJournal!H$1),0),0)</f>
        <v>2.4196604035837628</v>
      </c>
      <c r="P2745" s="30">
        <f>IFERROR(SUM(K2745:O2745)*VLOOKUP($A2745,HeadJournal!$A$1:$L$890,COLUMN(HeadJournal!H$1),0),0)</f>
        <v>3868.6411737981693</v>
      </c>
      <c r="Q2745" s="29">
        <v>4200</v>
      </c>
      <c r="R2745" s="31">
        <v>45332</v>
      </c>
      <c r="S2745" s="31" t="s">
        <v>3121</v>
      </c>
      <c r="T2745" s="95" t="str">
        <f t="shared" si="216"/>
        <v>2024 02</v>
      </c>
      <c r="U2745" s="32">
        <f t="shared" si="213"/>
        <v>331.35882620183065</v>
      </c>
      <c r="V2745" s="22">
        <f t="shared" si="214"/>
        <v>8.5652509838876553E-2</v>
      </c>
      <c r="X2745" s="33"/>
      <c r="Y2745" s="33"/>
    </row>
    <row r="2746" spans="1:25" x14ac:dyDescent="0.2">
      <c r="A2746" s="93" t="s">
        <v>1236</v>
      </c>
      <c r="B2746" s="94" t="str">
        <f>IFERROR(VLOOKUP($A2746,HeadJournal!$A$1:$NTR$890,COLUMN(HeadJournal!B$1),0),"")</f>
        <v>720000084230</v>
      </c>
      <c r="C2746" s="94" t="str">
        <f>IFERROR(VLOOKUP($A2746,HeadJournal!$A$1:$NTR$890,COLUMN(HeadJournal!C$1),0),"")</f>
        <v>iHerb_AV CYG0792</v>
      </c>
      <c r="D2746" s="126" t="str">
        <f>IFERROR(VLOOKUP($A2746,HeadJournal!$A$1:$NTR$890,COLUMN(HeadJournal!D$1),0),"")</f>
        <v>Доставлен</v>
      </c>
      <c r="E2746" s="118">
        <f>IFERROR(VLOOKUP($A2746,HeadJournal!$A$1:$NTR$890,COLUMN(HeadJournal!G$1),0),"")</f>
        <v>45303</v>
      </c>
      <c r="F2746" s="95" t="str">
        <f t="shared" si="215"/>
        <v>2024 01</v>
      </c>
      <c r="G2746" s="96" t="s">
        <v>5</v>
      </c>
      <c r="H2746" s="161" t="s">
        <v>2855</v>
      </c>
      <c r="I2746" s="97" t="s">
        <v>2856</v>
      </c>
      <c r="J2746" s="97" t="s">
        <v>2857</v>
      </c>
      <c r="K2746" s="29">
        <v>24.81</v>
      </c>
      <c r="L2746" s="29">
        <v>-4.96</v>
      </c>
      <c r="M2746" s="30">
        <f>IFERROR(VLOOKUP($A2746,HeadJournal!$A$1:$J$890,COLUMN(HeadJournal!I$1),0)*($K2746+$L2746)/(SUMIF($A:$A,$A2746,$K:$K)+SUMIF($A:$A,$A2746,$L:$L)),0)</f>
        <v>-1.5234791854620438</v>
      </c>
      <c r="N2746" s="30">
        <f>IFERROR((VLOOKUP($A2746,HeadJournal!$A$1:$K$890,COLUMN(HeadJournal!K$1),0)-VLOOKUP($A2746,HeadJournal!$A$1:$K$890,COLUMN(HeadJournal!J$1),0))*($K2746+$L2746)/(SUMIF($A:$A,$A2746,$K:$K)+SUMIF($A:$A,$A2746,$L:$L)),0)</f>
        <v>0</v>
      </c>
      <c r="O2746" s="30">
        <f>IFERROR((VLOOKUP($A2746,HeadJournal!$A$1:$L$890,COLUMN(HeadJournal!L$1),0)*($K2746+$L2746)/(SUMIF($A:$A,$A2746,$K:$K)+SUMIF($A:$A,$A2746,$L:$L)))/VLOOKUP($A2746,HeadJournal!$A$1:$L$890,COLUMN(HeadJournal!H$1),0),0)</f>
        <v>1.2465678435280998</v>
      </c>
      <c r="P2746" s="30">
        <f>IFERROR(SUM(K2746:O2746)*VLOOKUP($A2746,HeadJournal!$A$1:$L$890,COLUMN(HeadJournal!H$1),0),0)</f>
        <v>1993.0580664389738</v>
      </c>
      <c r="Q2746" s="29">
        <v>3000</v>
      </c>
      <c r="R2746" s="31">
        <v>45333</v>
      </c>
      <c r="S2746" s="31" t="s">
        <v>3121</v>
      </c>
      <c r="T2746" s="95" t="str">
        <f t="shared" si="216"/>
        <v>2024 02</v>
      </c>
      <c r="U2746" s="32">
        <f t="shared" si="213"/>
        <v>1006.9419335610262</v>
      </c>
      <c r="V2746" s="22">
        <f t="shared" si="214"/>
        <v>0.50522458453011565</v>
      </c>
      <c r="X2746" s="33"/>
      <c r="Y2746" s="33"/>
    </row>
    <row r="2747" spans="1:25" x14ac:dyDescent="0.2">
      <c r="A2747" s="93" t="s">
        <v>1236</v>
      </c>
      <c r="B2747" s="94" t="str">
        <f>IFERROR(VLOOKUP($A2747,HeadJournal!$A$1:$NTR$890,COLUMN(HeadJournal!B$1),0),"")</f>
        <v>720000084230</v>
      </c>
      <c r="C2747" s="94" t="str">
        <f>IFERROR(VLOOKUP($A2747,HeadJournal!$A$1:$NTR$890,COLUMN(HeadJournal!C$1),0),"")</f>
        <v>iHerb_AV CYG0792</v>
      </c>
      <c r="D2747" s="126" t="str">
        <f>IFERROR(VLOOKUP($A2747,HeadJournal!$A$1:$NTR$890,COLUMN(HeadJournal!D$1),0),"")</f>
        <v>Доставлен</v>
      </c>
      <c r="E2747" s="118">
        <f>IFERROR(VLOOKUP($A2747,HeadJournal!$A$1:$NTR$890,COLUMN(HeadJournal!G$1),0),"")</f>
        <v>45303</v>
      </c>
      <c r="F2747" s="95" t="str">
        <f t="shared" si="215"/>
        <v>2024 01</v>
      </c>
      <c r="G2747" s="96" t="s">
        <v>5</v>
      </c>
      <c r="H2747" s="161" t="s">
        <v>2979</v>
      </c>
      <c r="I2747" s="97" t="s">
        <v>2039</v>
      </c>
      <c r="J2747" s="97" t="s">
        <v>2980</v>
      </c>
      <c r="K2747" s="29">
        <v>11.74</v>
      </c>
      <c r="L2747" s="29">
        <v>-2.35</v>
      </c>
      <c r="M2747" s="30">
        <f>IFERROR(VLOOKUP($A2747,HeadJournal!$A$1:$J$890,COLUMN(HeadJournal!I$1),0)*($K2747+$L2747)/(SUMIF($A:$A,$A2747,$K:$K)+SUMIF($A:$A,$A2747,$L:$L)),0)</f>
        <v>-0.72067856682562181</v>
      </c>
      <c r="N2747" s="30">
        <f>IFERROR((VLOOKUP($A2747,HeadJournal!$A$1:$K$890,COLUMN(HeadJournal!K$1),0)-VLOOKUP($A2747,HeadJournal!$A$1:$K$890,COLUMN(HeadJournal!J$1),0))*($K2747+$L2747)/(SUMIF($A:$A,$A2747,$K:$K)+SUMIF($A:$A,$A2747,$L:$L)),0)</f>
        <v>0</v>
      </c>
      <c r="O2747" s="30">
        <f>IFERROR((VLOOKUP($A2747,HeadJournal!$A$1:$L$890,COLUMN(HeadJournal!L$1),0)*($K2747+$L2747)/(SUMIF($A:$A,$A2747,$K:$K)+SUMIF($A:$A,$A2747,$L:$L)))/VLOOKUP($A2747,HeadJournal!$A$1:$L$890,COLUMN(HeadJournal!H$1),0),0)</f>
        <v>0.58968624940699543</v>
      </c>
      <c r="P2747" s="30">
        <f>IFERROR(SUM(K2747:O2747)*VLOOKUP($A2747,HeadJournal!$A$1:$L$890,COLUMN(HeadJournal!H$1),0),0)</f>
        <v>942.81185107616955</v>
      </c>
      <c r="Q2747" s="29">
        <v>1700</v>
      </c>
      <c r="R2747" s="31">
        <v>45335</v>
      </c>
      <c r="S2747" s="31" t="s">
        <v>3121</v>
      </c>
      <c r="T2747" s="95" t="str">
        <f t="shared" si="216"/>
        <v>2024 02</v>
      </c>
      <c r="U2747" s="32">
        <f t="shared" si="213"/>
        <v>757.18814892383045</v>
      </c>
      <c r="V2747" s="22">
        <f t="shared" si="214"/>
        <v>0.80311691888422965</v>
      </c>
      <c r="X2747" s="33"/>
      <c r="Y2747" s="33"/>
    </row>
    <row r="2748" spans="1:25" x14ac:dyDescent="0.2">
      <c r="A2748" s="93" t="s">
        <v>1236</v>
      </c>
      <c r="B2748" s="94" t="str">
        <f>IFERROR(VLOOKUP($A2748,HeadJournal!$A$1:$NTR$890,COLUMN(HeadJournal!B$1),0),"")</f>
        <v>720000084230</v>
      </c>
      <c r="C2748" s="94" t="str">
        <f>IFERROR(VLOOKUP($A2748,HeadJournal!$A$1:$NTR$890,COLUMN(HeadJournal!C$1),0),"")</f>
        <v>iHerb_AV CYG0792</v>
      </c>
      <c r="D2748" s="126" t="str">
        <f>IFERROR(VLOOKUP($A2748,HeadJournal!$A$1:$NTR$890,COLUMN(HeadJournal!D$1),0),"")</f>
        <v>Доставлен</v>
      </c>
      <c r="E2748" s="118">
        <f>IFERROR(VLOOKUP($A2748,HeadJournal!$A$1:$NTR$890,COLUMN(HeadJournal!G$1),0),"")</f>
        <v>45303</v>
      </c>
      <c r="F2748" s="95" t="str">
        <f t="shared" si="215"/>
        <v>2024 01</v>
      </c>
      <c r="G2748" s="96" t="s">
        <v>5</v>
      </c>
      <c r="H2748" s="161" t="s">
        <v>2546</v>
      </c>
      <c r="I2748" s="97" t="s">
        <v>2039</v>
      </c>
      <c r="J2748" s="97" t="s">
        <v>2547</v>
      </c>
      <c r="K2748" s="29">
        <v>10.65</v>
      </c>
      <c r="L2748" s="29">
        <v>-2.13</v>
      </c>
      <c r="M2748" s="30">
        <f>IFERROR(VLOOKUP($A2748,HeadJournal!$A$1:$J$890,COLUMN(HeadJournal!I$1),0)*($K2748+$L2748)/(SUMIF($A:$A,$A2748,$K:$K)+SUMIF($A:$A,$A2748,$L:$L)),0)</f>
        <v>-0.65390643124113923</v>
      </c>
      <c r="N2748" s="30">
        <f>IFERROR((VLOOKUP($A2748,HeadJournal!$A$1:$K$890,COLUMN(HeadJournal!K$1),0)-VLOOKUP($A2748,HeadJournal!$A$1:$K$890,COLUMN(HeadJournal!J$1),0))*($K2748+$L2748)/(SUMIF($A:$A,$A2748,$K:$K)+SUMIF($A:$A,$A2748,$L:$L)),0)</f>
        <v>0</v>
      </c>
      <c r="O2748" s="30">
        <f>IFERROR((VLOOKUP($A2748,HeadJournal!$A$1:$L$890,COLUMN(HeadJournal!L$1),0)*($K2748+$L2748)/(SUMIF($A:$A,$A2748,$K:$K)+SUMIF($A:$A,$A2748,$L:$L)))/VLOOKUP($A2748,HeadJournal!$A$1:$L$890,COLUMN(HeadJournal!H$1),0),0)</f>
        <v>0.53505078220954216</v>
      </c>
      <c r="P2748" s="30">
        <f>IFERROR(SUM(K2748:O2748)*VLOOKUP($A2748,HeadJournal!$A$1:$L$890,COLUMN(HeadJournal!H$1),0),0)</f>
        <v>855.4586763758216</v>
      </c>
      <c r="Q2748" s="29">
        <v>1500</v>
      </c>
      <c r="R2748" s="31">
        <v>45335</v>
      </c>
      <c r="S2748" s="31" t="s">
        <v>3121</v>
      </c>
      <c r="T2748" s="95" t="str">
        <f t="shared" si="216"/>
        <v>2024 02</v>
      </c>
      <c r="U2748" s="32">
        <f t="shared" si="213"/>
        <v>644.5413236241784</v>
      </c>
      <c r="V2748" s="22">
        <f t="shared" si="214"/>
        <v>0.75344530533584464</v>
      </c>
      <c r="X2748" s="33"/>
      <c r="Y2748" s="33"/>
    </row>
    <row r="2749" spans="1:25" x14ac:dyDescent="0.2">
      <c r="A2749" s="93" t="s">
        <v>1236</v>
      </c>
      <c r="B2749" s="94" t="str">
        <f>IFERROR(VLOOKUP($A2749,HeadJournal!$A$1:$NTR$890,COLUMN(HeadJournal!B$1),0),"")</f>
        <v>720000084230</v>
      </c>
      <c r="C2749" s="94" t="str">
        <f>IFERROR(VLOOKUP($A2749,HeadJournal!$A$1:$NTR$890,COLUMN(HeadJournal!C$1),0),"")</f>
        <v>iHerb_AV CYG0792</v>
      </c>
      <c r="D2749" s="126" t="str">
        <f>IFERROR(VLOOKUP($A2749,HeadJournal!$A$1:$NTR$890,COLUMN(HeadJournal!D$1),0),"")</f>
        <v>Доставлен</v>
      </c>
      <c r="E2749" s="118">
        <f>IFERROR(VLOOKUP($A2749,HeadJournal!$A$1:$NTR$890,COLUMN(HeadJournal!G$1),0),"")</f>
        <v>45303</v>
      </c>
      <c r="F2749" s="95" t="str">
        <f t="shared" si="215"/>
        <v>2024 01</v>
      </c>
      <c r="G2749" s="96" t="s">
        <v>5</v>
      </c>
      <c r="H2749" s="161" t="s">
        <v>2546</v>
      </c>
      <c r="I2749" s="97" t="s">
        <v>2039</v>
      </c>
      <c r="J2749" s="97" t="s">
        <v>2547</v>
      </c>
      <c r="K2749" s="29">
        <v>10.65</v>
      </c>
      <c r="L2749" s="29">
        <v>-2.13</v>
      </c>
      <c r="M2749" s="30">
        <f>IFERROR(VLOOKUP($A2749,HeadJournal!$A$1:$J$890,COLUMN(HeadJournal!I$1),0)*($K2749+$L2749)/(SUMIF($A:$A,$A2749,$K:$K)+SUMIF($A:$A,$A2749,$L:$L)),0)</f>
        <v>-0.65390643124113923</v>
      </c>
      <c r="N2749" s="30">
        <f>IFERROR((VLOOKUP($A2749,HeadJournal!$A$1:$K$890,COLUMN(HeadJournal!K$1),0)-VLOOKUP($A2749,HeadJournal!$A$1:$K$890,COLUMN(HeadJournal!J$1),0))*($K2749+$L2749)/(SUMIF($A:$A,$A2749,$K:$K)+SUMIF($A:$A,$A2749,$L:$L)),0)</f>
        <v>0</v>
      </c>
      <c r="O2749" s="30">
        <f>IFERROR((VLOOKUP($A2749,HeadJournal!$A$1:$L$890,COLUMN(HeadJournal!L$1),0)*($K2749+$L2749)/(SUMIF($A:$A,$A2749,$K:$K)+SUMIF($A:$A,$A2749,$L:$L)))/VLOOKUP($A2749,HeadJournal!$A$1:$L$890,COLUMN(HeadJournal!H$1),0),0)</f>
        <v>0.53505078220954216</v>
      </c>
      <c r="P2749" s="30">
        <f>IFERROR(SUM(K2749:O2749)*VLOOKUP($A2749,HeadJournal!$A$1:$L$890,COLUMN(HeadJournal!H$1),0),0)</f>
        <v>855.4586763758216</v>
      </c>
      <c r="Q2749" s="29">
        <v>1700</v>
      </c>
      <c r="R2749" s="31">
        <v>45345</v>
      </c>
      <c r="S2749" s="31" t="s">
        <v>3121</v>
      </c>
      <c r="T2749" s="95" t="str">
        <f t="shared" si="216"/>
        <v>2024 02</v>
      </c>
      <c r="U2749" s="32">
        <f t="shared" si="213"/>
        <v>844.5413236241784</v>
      </c>
      <c r="V2749" s="22">
        <f t="shared" si="214"/>
        <v>0.98723801271395728</v>
      </c>
      <c r="X2749" s="33"/>
      <c r="Y2749" s="33"/>
    </row>
    <row r="2750" spans="1:25" x14ac:dyDescent="0.2">
      <c r="A2750" s="93" t="s">
        <v>1236</v>
      </c>
      <c r="B2750" s="94" t="str">
        <f>IFERROR(VLOOKUP($A2750,HeadJournal!$A$1:$NTR$890,COLUMN(HeadJournal!B$1),0),"")</f>
        <v>720000084230</v>
      </c>
      <c r="C2750" s="94" t="str">
        <f>IFERROR(VLOOKUP($A2750,HeadJournal!$A$1:$NTR$890,COLUMN(HeadJournal!C$1),0),"")</f>
        <v>iHerb_AV CYG0792</v>
      </c>
      <c r="D2750" s="126" t="str">
        <f>IFERROR(VLOOKUP($A2750,HeadJournal!$A$1:$NTR$890,COLUMN(HeadJournal!D$1),0),"")</f>
        <v>Доставлен</v>
      </c>
      <c r="E2750" s="118">
        <f>IFERROR(VLOOKUP($A2750,HeadJournal!$A$1:$NTR$890,COLUMN(HeadJournal!G$1),0),"")</f>
        <v>45303</v>
      </c>
      <c r="F2750" s="95" t="str">
        <f t="shared" si="215"/>
        <v>2024 01</v>
      </c>
      <c r="G2750" s="96" t="s">
        <v>5</v>
      </c>
      <c r="H2750" s="161" t="s">
        <v>2471</v>
      </c>
      <c r="I2750" s="97" t="s">
        <v>2039</v>
      </c>
      <c r="J2750" s="97" t="s">
        <v>2472</v>
      </c>
      <c r="K2750" s="29">
        <v>20.91</v>
      </c>
      <c r="L2750" s="29">
        <v>-4.18</v>
      </c>
      <c r="M2750" s="30">
        <f>IFERROR(VLOOKUP($A2750,HeadJournal!$A$1:$J$890,COLUMN(HeadJournal!I$1),0)*($K2750+$L2750)/(SUMIF($A:$A,$A2750,$K:$K)+SUMIF($A:$A,$A2750,$L:$L)),0)</f>
        <v>-1.284020492331486</v>
      </c>
      <c r="N2750" s="30">
        <f>IFERROR((VLOOKUP($A2750,HeadJournal!$A$1:$K$890,COLUMN(HeadJournal!K$1),0)-VLOOKUP($A2750,HeadJournal!$A$1:$K$890,COLUMN(HeadJournal!J$1),0))*($K2750+$L2750)/(SUMIF($A:$A,$A2750,$K:$K)+SUMIF($A:$A,$A2750,$L:$L)),0)</f>
        <v>0</v>
      </c>
      <c r="O2750" s="30">
        <f>IFERROR((VLOOKUP($A2750,HeadJournal!$A$1:$L$890,COLUMN(HeadJournal!L$1),0)*($K2750+$L2750)/(SUMIF($A:$A,$A2750,$K:$K)+SUMIF($A:$A,$A2750,$L:$L)))/VLOOKUP($A2750,HeadJournal!$A$1:$L$890,COLUMN(HeadJournal!H$1),0),0)</f>
        <v>1.0506337542682676</v>
      </c>
      <c r="P2750" s="30">
        <f>IFERROR(SUM(K2750:O2750)*VLOOKUP($A2750,HeadJournal!$A$1:$L$890,COLUMN(HeadJournal!H$1),0),0)</f>
        <v>1679.7915088928987</v>
      </c>
      <c r="Q2750" s="29">
        <v>2700</v>
      </c>
      <c r="R2750" s="31">
        <v>45346</v>
      </c>
      <c r="S2750" s="31" t="s">
        <v>3121</v>
      </c>
      <c r="T2750" s="95" t="str">
        <f t="shared" si="216"/>
        <v>2024 02</v>
      </c>
      <c r="U2750" s="32">
        <f t="shared" si="213"/>
        <v>1020.2084911071013</v>
      </c>
      <c r="V2750" s="22">
        <f t="shared" si="214"/>
        <v>0.60734233129889481</v>
      </c>
      <c r="X2750" s="33"/>
      <c r="Y2750" s="33"/>
    </row>
    <row r="2751" spans="1:25" x14ac:dyDescent="0.2">
      <c r="A2751" s="93" t="s">
        <v>1236</v>
      </c>
      <c r="B2751" s="94" t="str">
        <f>IFERROR(VLOOKUP($A2751,HeadJournal!$A$1:$NTR$890,COLUMN(HeadJournal!B$1),0),"")</f>
        <v>720000084230</v>
      </c>
      <c r="C2751" s="94" t="str">
        <f>IFERROR(VLOOKUP($A2751,HeadJournal!$A$1:$NTR$890,COLUMN(HeadJournal!C$1),0),"")</f>
        <v>iHerb_AV CYG0792</v>
      </c>
      <c r="D2751" s="126" t="str">
        <f>IFERROR(VLOOKUP($A2751,HeadJournal!$A$1:$NTR$890,COLUMN(HeadJournal!D$1),0),"")</f>
        <v>Доставлен</v>
      </c>
      <c r="E2751" s="118">
        <f>IFERROR(VLOOKUP($A2751,HeadJournal!$A$1:$NTR$890,COLUMN(HeadJournal!G$1),0),"")</f>
        <v>45303</v>
      </c>
      <c r="F2751" s="95" t="str">
        <f t="shared" si="215"/>
        <v>2024 01</v>
      </c>
      <c r="G2751" s="96" t="s">
        <v>5</v>
      </c>
      <c r="H2751" s="161" t="s">
        <v>2223</v>
      </c>
      <c r="I2751" s="97" t="s">
        <v>2008</v>
      </c>
      <c r="J2751" s="97" t="s">
        <v>2224</v>
      </c>
      <c r="K2751" s="29">
        <v>12.96</v>
      </c>
      <c r="L2751" s="29">
        <v>-2.59</v>
      </c>
      <c r="M2751" s="30">
        <f>IFERROR(VLOOKUP($A2751,HeadJournal!$A$1:$J$890,COLUMN(HeadJournal!I$1),0)*($K2751+$L2751)/(SUMIF($A:$A,$A2751,$K:$K)+SUMIF($A:$A,$A2751,$L:$L)),0)</f>
        <v>-0.79589315633457924</v>
      </c>
      <c r="N2751" s="30">
        <f>IFERROR((VLOOKUP($A2751,HeadJournal!$A$1:$K$890,COLUMN(HeadJournal!K$1),0)-VLOOKUP($A2751,HeadJournal!$A$1:$K$890,COLUMN(HeadJournal!J$1),0))*($K2751+$L2751)/(SUMIF($A:$A,$A2751,$K:$K)+SUMIF($A:$A,$A2751,$L:$L)),0)</f>
        <v>0</v>
      </c>
      <c r="O2751" s="30">
        <f>IFERROR((VLOOKUP($A2751,HeadJournal!$A$1:$L$890,COLUMN(HeadJournal!L$1),0)*($K2751+$L2751)/(SUMIF($A:$A,$A2751,$K:$K)+SUMIF($A:$A,$A2751,$L:$L)))/VLOOKUP($A2751,HeadJournal!$A$1:$L$890,COLUMN(HeadJournal!H$1),0),0)</f>
        <v>0.65122964923860949</v>
      </c>
      <c r="P2751" s="30">
        <f>IFERROR(SUM(K2751:O2751)*VLOOKUP($A2751,HeadJournal!$A$1:$L$890,COLUMN(HeadJournal!H$1),0),0)</f>
        <v>1041.2096800489755</v>
      </c>
      <c r="Q2751" s="29">
        <v>1041.21</v>
      </c>
      <c r="R2751" s="31">
        <v>45383</v>
      </c>
      <c r="S2751" s="31" t="s">
        <v>3121</v>
      </c>
      <c r="T2751" s="95" t="str">
        <f t="shared" si="216"/>
        <v>2024 04</v>
      </c>
      <c r="U2751" s="32">
        <f t="shared" si="213"/>
        <v>3.1995102449400292E-4</v>
      </c>
      <c r="V2751" s="22">
        <f t="shared" si="214"/>
        <v>3.0728779286699807E-7</v>
      </c>
      <c r="X2751" s="33"/>
      <c r="Y2751" s="33"/>
    </row>
    <row r="2752" spans="1:25" x14ac:dyDescent="0.2">
      <c r="A2752" s="93" t="s">
        <v>1236</v>
      </c>
      <c r="B2752" s="94" t="str">
        <f>IFERROR(VLOOKUP($A2752,HeadJournal!$A$1:$NTR$890,COLUMN(HeadJournal!B$1),0),"")</f>
        <v>720000084230</v>
      </c>
      <c r="C2752" s="94" t="str">
        <f>IFERROR(VLOOKUP($A2752,HeadJournal!$A$1:$NTR$890,COLUMN(HeadJournal!C$1),0),"")</f>
        <v>iHerb_AV CYG0792</v>
      </c>
      <c r="D2752" s="126" t="str">
        <f>IFERROR(VLOOKUP($A2752,HeadJournal!$A$1:$NTR$890,COLUMN(HeadJournal!D$1),0),"")</f>
        <v>Доставлен</v>
      </c>
      <c r="E2752" s="118">
        <f>IFERROR(VLOOKUP($A2752,HeadJournal!$A$1:$NTR$890,COLUMN(HeadJournal!G$1),0),"")</f>
        <v>45303</v>
      </c>
      <c r="F2752" s="95" t="str">
        <f t="shared" si="215"/>
        <v>2024 01</v>
      </c>
      <c r="G2752" s="96" t="s">
        <v>5</v>
      </c>
      <c r="H2752" s="161" t="s">
        <v>2223</v>
      </c>
      <c r="I2752" s="97" t="s">
        <v>2008</v>
      </c>
      <c r="J2752" s="97" t="s">
        <v>2224</v>
      </c>
      <c r="K2752" s="29">
        <v>12.96</v>
      </c>
      <c r="L2752" s="29">
        <v>-2.59</v>
      </c>
      <c r="M2752" s="30">
        <f>IFERROR(VLOOKUP($A2752,HeadJournal!$A$1:$J$890,COLUMN(HeadJournal!I$1),0)*($K2752+$L2752)/(SUMIF($A:$A,$A2752,$K:$K)+SUMIF($A:$A,$A2752,$L:$L)),0)</f>
        <v>-0.79589315633457924</v>
      </c>
      <c r="N2752" s="30">
        <f>IFERROR((VLOOKUP($A2752,HeadJournal!$A$1:$K$890,COLUMN(HeadJournal!K$1),0)-VLOOKUP($A2752,HeadJournal!$A$1:$K$890,COLUMN(HeadJournal!J$1),0))*($K2752+$L2752)/(SUMIF($A:$A,$A2752,$K:$K)+SUMIF($A:$A,$A2752,$L:$L)),0)</f>
        <v>0</v>
      </c>
      <c r="O2752" s="30">
        <f>IFERROR((VLOOKUP($A2752,HeadJournal!$A$1:$L$890,COLUMN(HeadJournal!L$1),0)*($K2752+$L2752)/(SUMIF($A:$A,$A2752,$K:$K)+SUMIF($A:$A,$A2752,$L:$L)))/VLOOKUP($A2752,HeadJournal!$A$1:$L$890,COLUMN(HeadJournal!H$1),0),0)</f>
        <v>0.65122964923860949</v>
      </c>
      <c r="P2752" s="30">
        <f>IFERROR(SUM(K2752:O2752)*VLOOKUP($A2752,HeadJournal!$A$1:$L$890,COLUMN(HeadJournal!H$1),0),0)</f>
        <v>1041.2096800489755</v>
      </c>
      <c r="Q2752" s="29">
        <v>1700</v>
      </c>
      <c r="R2752" s="31">
        <v>45414</v>
      </c>
      <c r="S2752" s="31" t="s">
        <v>3121</v>
      </c>
      <c r="T2752" s="95" t="str">
        <f t="shared" si="216"/>
        <v>2024 05</v>
      </c>
      <c r="U2752" s="32">
        <f t="shared" si="213"/>
        <v>658.79031995102446</v>
      </c>
      <c r="V2752" s="22">
        <f t="shared" si="214"/>
        <v>0.63271628431272064</v>
      </c>
      <c r="X2752" s="33"/>
      <c r="Y2752" s="33"/>
    </row>
    <row r="2753" spans="1:25" x14ac:dyDescent="0.2">
      <c r="A2753" s="93" t="s">
        <v>1236</v>
      </c>
      <c r="B2753" s="94" t="str">
        <f>IFERROR(VLOOKUP($A2753,HeadJournal!$A$1:$NTR$890,COLUMN(HeadJournal!B$1),0),"")</f>
        <v>720000084230</v>
      </c>
      <c r="C2753" s="94" t="str">
        <f>IFERROR(VLOOKUP($A2753,HeadJournal!$A$1:$NTR$890,COLUMN(HeadJournal!C$1),0),"")</f>
        <v>iHerb_AV CYG0792</v>
      </c>
      <c r="D2753" s="126" t="str">
        <f>IFERROR(VLOOKUP($A2753,HeadJournal!$A$1:$NTR$890,COLUMN(HeadJournal!D$1),0),"")</f>
        <v>Доставлен</v>
      </c>
      <c r="E2753" s="118">
        <f>IFERROR(VLOOKUP($A2753,HeadJournal!$A$1:$NTR$890,COLUMN(HeadJournal!G$1),0),"")</f>
        <v>45303</v>
      </c>
      <c r="F2753" s="95" t="str">
        <f t="shared" si="215"/>
        <v>2024 01</v>
      </c>
      <c r="G2753" s="96" t="s">
        <v>5</v>
      </c>
      <c r="H2753" s="161" t="s">
        <v>2120</v>
      </c>
      <c r="I2753" s="97" t="s">
        <v>2005</v>
      </c>
      <c r="J2753" s="97" t="s">
        <v>2121</v>
      </c>
      <c r="K2753" s="29">
        <v>14.94</v>
      </c>
      <c r="L2753" s="29">
        <v>-2.99</v>
      </c>
      <c r="M2753" s="30">
        <f>IFERROR(VLOOKUP($A2753,HeadJournal!$A$1:$J$890,COLUMN(HeadJournal!I$1),0)*($K2753+$L2753)/(SUMIF($A:$A,$A2753,$K:$K)+SUMIF($A:$A,$A2753,$L:$L)),0)</f>
        <v>-0.91715749452248996</v>
      </c>
      <c r="N2753" s="30">
        <f>IFERROR((VLOOKUP($A2753,HeadJournal!$A$1:$K$890,COLUMN(HeadJournal!K$1),0)-VLOOKUP($A2753,HeadJournal!$A$1:$K$890,COLUMN(HeadJournal!J$1),0))*($K2753+$L2753)/(SUMIF($A:$A,$A2753,$K:$K)+SUMIF($A:$A,$A2753,$L:$L)),0)</f>
        <v>0</v>
      </c>
      <c r="O2753" s="30">
        <f>IFERROR((VLOOKUP($A2753,HeadJournal!$A$1:$L$890,COLUMN(HeadJournal!L$1),0)*($K2753+$L2753)/(SUMIF($A:$A,$A2753,$K:$K)+SUMIF($A:$A,$A2753,$L:$L)))/VLOOKUP($A2753,HeadJournal!$A$1:$L$890,COLUMN(HeadJournal!H$1),0),0)</f>
        <v>0.75045268162019119</v>
      </c>
      <c r="P2753" s="30">
        <f>IFERROR(SUM(K2753:O2753)*VLOOKUP($A2753,HeadJournal!$A$1:$L$890,COLUMN(HeadJournal!H$1),0),0)</f>
        <v>1199.8510777806416</v>
      </c>
      <c r="Q2753" s="29">
        <v>2600</v>
      </c>
      <c r="R2753" s="31">
        <v>45353</v>
      </c>
      <c r="S2753" s="31" t="s">
        <v>3121</v>
      </c>
      <c r="T2753" s="95" t="str">
        <f t="shared" si="216"/>
        <v>2024 03</v>
      </c>
      <c r="U2753" s="32">
        <f t="shared" ref="U2753:U2816" si="218">Q2753-P2753</f>
        <v>1400.1489222193584</v>
      </c>
      <c r="V2753" s="22">
        <f t="shared" ref="V2753:V2816" si="219">IF(Q2753&lt;&gt;0,IFERROR(U2753/P2753,""),"")</f>
        <v>1.1669355873807328</v>
      </c>
      <c r="X2753" s="33"/>
      <c r="Y2753" s="33"/>
    </row>
    <row r="2754" spans="1:25" x14ac:dyDescent="0.2">
      <c r="A2754" s="93" t="s">
        <v>1236</v>
      </c>
      <c r="B2754" s="94" t="str">
        <f>IFERROR(VLOOKUP($A2754,HeadJournal!$A$1:$NTR$890,COLUMN(HeadJournal!B$1),0),"")</f>
        <v>720000084230</v>
      </c>
      <c r="C2754" s="94" t="str">
        <f>IFERROR(VLOOKUP($A2754,HeadJournal!$A$1:$NTR$890,COLUMN(HeadJournal!C$1),0),"")</f>
        <v>iHerb_AV CYG0792</v>
      </c>
      <c r="D2754" s="125" t="str">
        <f>IFERROR(VLOOKUP($A2754,HeadJournal!$A$1:$NTR$890,COLUMN(HeadJournal!D$1),0),"")</f>
        <v>Доставлен</v>
      </c>
      <c r="E2754" s="118">
        <f>IFERROR(VLOOKUP($A2754,HeadJournal!$A$1:$NTR$890,COLUMN(HeadJournal!G$1),0),"")</f>
        <v>45303</v>
      </c>
      <c r="F2754" s="95" t="str">
        <f t="shared" si="215"/>
        <v>2024 01</v>
      </c>
      <c r="G2754" s="96" t="s">
        <v>5</v>
      </c>
      <c r="H2754" s="161" t="s">
        <v>2120</v>
      </c>
      <c r="I2754" s="97" t="s">
        <v>2005</v>
      </c>
      <c r="J2754" s="97" t="s">
        <v>2121</v>
      </c>
      <c r="K2754" s="29">
        <v>14.94</v>
      </c>
      <c r="L2754" s="29">
        <v>-2.99</v>
      </c>
      <c r="M2754" s="30">
        <f>IFERROR(VLOOKUP($A2754,HeadJournal!$A$1:$J$890,COLUMN(HeadJournal!I$1),0)*($K2754+$L2754)/(SUMIF($A:$A,$A2754,$K:$K)+SUMIF($A:$A,$A2754,$L:$L)),0)</f>
        <v>-0.91715749452248996</v>
      </c>
      <c r="N2754" s="30">
        <f>IFERROR((VLOOKUP($A2754,HeadJournal!$A$1:$K$890,COLUMN(HeadJournal!K$1),0)-VLOOKUP($A2754,HeadJournal!$A$1:$K$890,COLUMN(HeadJournal!J$1),0))*($K2754+$L2754)/(SUMIF($A:$A,$A2754,$K:$K)+SUMIF($A:$A,$A2754,$L:$L)),0)</f>
        <v>0</v>
      </c>
      <c r="O2754" s="30">
        <f>IFERROR((VLOOKUP($A2754,HeadJournal!$A$1:$L$890,COLUMN(HeadJournal!L$1),0)*($K2754+$L2754)/(SUMIF($A:$A,$A2754,$K:$K)+SUMIF($A:$A,$A2754,$L:$L)))/VLOOKUP($A2754,HeadJournal!$A$1:$L$890,COLUMN(HeadJournal!H$1),0),0)</f>
        <v>0.75045268162019119</v>
      </c>
      <c r="P2754" s="30">
        <f>IFERROR(SUM(K2754:O2754)*VLOOKUP($A2754,HeadJournal!$A$1:$L$890,COLUMN(HeadJournal!H$1),0),0)</f>
        <v>1199.8510777806416</v>
      </c>
      <c r="Q2754" s="29">
        <v>2300</v>
      </c>
      <c r="R2754" s="31">
        <v>45425</v>
      </c>
      <c r="S2754" s="31" t="s">
        <v>3121</v>
      </c>
      <c r="T2754" s="95" t="str">
        <f t="shared" si="216"/>
        <v>2024 05</v>
      </c>
      <c r="U2754" s="32">
        <f t="shared" si="218"/>
        <v>1100.1489222193584</v>
      </c>
      <c r="V2754" s="22">
        <f t="shared" si="219"/>
        <v>0.91690455806757132</v>
      </c>
      <c r="X2754" s="33"/>
      <c r="Y2754" s="33"/>
    </row>
    <row r="2755" spans="1:25" x14ac:dyDescent="0.2">
      <c r="A2755" s="93" t="s">
        <v>1236</v>
      </c>
      <c r="B2755" s="94" t="str">
        <f>IFERROR(VLOOKUP($A2755,HeadJournal!$A$1:$NTR$890,COLUMN(HeadJournal!B$1),0),"")</f>
        <v>720000084230</v>
      </c>
      <c r="C2755" s="94" t="str">
        <f>IFERROR(VLOOKUP($A2755,HeadJournal!$A$1:$NTR$890,COLUMN(HeadJournal!C$1),0),"")</f>
        <v>iHerb_AV CYG0792</v>
      </c>
      <c r="D2755" s="125" t="str">
        <f>IFERROR(VLOOKUP($A2755,HeadJournal!$A$1:$NTR$890,COLUMN(HeadJournal!D$1),0),"")</f>
        <v>Доставлен</v>
      </c>
      <c r="E2755" s="118">
        <f>IFERROR(VLOOKUP($A2755,HeadJournal!$A$1:$NTR$890,COLUMN(HeadJournal!G$1),0),"")</f>
        <v>45303</v>
      </c>
      <c r="F2755" s="95" t="str">
        <f t="shared" si="215"/>
        <v>2024 01</v>
      </c>
      <c r="G2755" s="96" t="s">
        <v>5</v>
      </c>
      <c r="H2755" s="161" t="s">
        <v>2659</v>
      </c>
      <c r="I2755" s="97" t="s">
        <v>2218</v>
      </c>
      <c r="J2755" s="97" t="s">
        <v>2660</v>
      </c>
      <c r="K2755" s="29">
        <v>10.89</v>
      </c>
      <c r="L2755" s="29">
        <v>-2.1800000000000002</v>
      </c>
      <c r="M2755" s="30">
        <f>IFERROR(VLOOKUP($A2755,HeadJournal!$A$1:$J$890,COLUMN(HeadJournal!I$1),0)*($K2755+$L2755)/(SUMIF($A:$A,$A2755,$K:$K)+SUMIF($A:$A,$A2755,$L:$L)),0)</f>
        <v>-0.66848885165614125</v>
      </c>
      <c r="N2755" s="30">
        <f>IFERROR((VLOOKUP($A2755,HeadJournal!$A$1:$K$890,COLUMN(HeadJournal!K$1),0)-VLOOKUP($A2755,HeadJournal!$A$1:$K$890,COLUMN(HeadJournal!J$1),0))*($K2755+$L2755)/(SUMIF($A:$A,$A2755,$K:$K)+SUMIF($A:$A,$A2755,$L:$L)),0)</f>
        <v>0</v>
      </c>
      <c r="O2755" s="30">
        <f>IFERROR((VLOOKUP($A2755,HeadJournal!$A$1:$L$890,COLUMN(HeadJournal!L$1),0)*($K2755+$L2755)/(SUMIF($A:$A,$A2755,$K:$K)+SUMIF($A:$A,$A2755,$L:$L)))/VLOOKUP($A2755,HeadJournal!$A$1:$L$890,COLUMN(HeadJournal!H$1),0),0)</f>
        <v>0.54698266585036526</v>
      </c>
      <c r="P2755" s="30">
        <f>IFERROR(SUM(K2755:O2755)*VLOOKUP($A2755,HeadJournal!$A$1:$L$890,COLUMN(HeadJournal!H$1),0),0)</f>
        <v>874.53580648279421</v>
      </c>
      <c r="Q2755" s="29">
        <v>1700</v>
      </c>
      <c r="R2755" s="31">
        <v>45371</v>
      </c>
      <c r="S2755" s="31" t="s">
        <v>3121</v>
      </c>
      <c r="T2755" s="95" t="str">
        <f t="shared" si="216"/>
        <v>2024 03</v>
      </c>
      <c r="U2755" s="32">
        <f t="shared" si="218"/>
        <v>825.46419351720579</v>
      </c>
      <c r="V2755" s="22">
        <f t="shared" si="219"/>
        <v>0.94388838901525995</v>
      </c>
      <c r="X2755" s="33"/>
      <c r="Y2755" s="33"/>
    </row>
    <row r="2756" spans="1:25" x14ac:dyDescent="0.2">
      <c r="A2756" s="93" t="s">
        <v>1236</v>
      </c>
      <c r="B2756" s="94" t="str">
        <f>IFERROR(VLOOKUP($A2756,HeadJournal!$A$1:$NTR$890,COLUMN(HeadJournal!B$1),0),"")</f>
        <v>720000084230</v>
      </c>
      <c r="C2756" s="94" t="str">
        <f>IFERROR(VLOOKUP($A2756,HeadJournal!$A$1:$NTR$890,COLUMN(HeadJournal!C$1),0),"")</f>
        <v>iHerb_AV CYG0792</v>
      </c>
      <c r="D2756" s="125" t="str">
        <f>IFERROR(VLOOKUP($A2756,HeadJournal!$A$1:$NTR$890,COLUMN(HeadJournal!D$1),0),"")</f>
        <v>Доставлен</v>
      </c>
      <c r="E2756" s="118">
        <f>IFERROR(VLOOKUP($A2756,HeadJournal!$A$1:$NTR$890,COLUMN(HeadJournal!G$1),0),"")</f>
        <v>45303</v>
      </c>
      <c r="F2756" s="95" t="str">
        <f t="shared" ref="F2756:F2819" si="220">IFERROR(TEXT(E2756, "ГГГГ ММ"),"")</f>
        <v>2024 01</v>
      </c>
      <c r="G2756" s="96" t="s">
        <v>5</v>
      </c>
      <c r="H2756" s="161" t="str">
        <f>RIGHT(Journal!$J2756,9)</f>
        <v>CGN-02108</v>
      </c>
      <c r="I2756" s="97" t="str">
        <f t="shared" ref="I2756:I2779" si="221">IFERROR(LEFT(J2756,FIND(",",J2756)-1),"")</f>
        <v>California Gold Nutrition</v>
      </c>
      <c r="J2756" s="97" t="s">
        <v>1116</v>
      </c>
      <c r="K2756" s="29">
        <v>17.23</v>
      </c>
      <c r="L2756" s="29">
        <v>-8.6199999999999992</v>
      </c>
      <c r="M2756" s="30">
        <f>IFERROR(VLOOKUP($A2756,HeadJournal!$A$1:$J$890,COLUMN(HeadJournal!I$1),0)*($K2756+$L2756)/(SUMIF($A:$A,$A2756,$K:$K)+SUMIF($A:$A,$A2756,$L:$L)),0)</f>
        <v>-0.66081389354298248</v>
      </c>
      <c r="N2756" s="30">
        <f>IFERROR((VLOOKUP($A2756,HeadJournal!$A$1:$K$890,COLUMN(HeadJournal!K$1),0)-VLOOKUP($A2756,HeadJournal!$A$1:$K$890,COLUMN(HeadJournal!J$1),0))*($K2756+$L2756)/(SUMIF($A:$A,$A2756,$K:$K)+SUMIF($A:$A,$A2756,$L:$L)),0)</f>
        <v>0</v>
      </c>
      <c r="O2756" s="30">
        <f>IFERROR((VLOOKUP($A2756,HeadJournal!$A$1:$L$890,COLUMN(HeadJournal!L$1),0)*($K2756+$L2756)/(SUMIF($A:$A,$A2756,$K:$K)+SUMIF($A:$A,$A2756,$L:$L)))/VLOOKUP($A2756,HeadJournal!$A$1:$L$890,COLUMN(HeadJournal!H$1),0),0)</f>
        <v>0.54070272709203737</v>
      </c>
      <c r="P2756" s="30">
        <f>IFERROR(SUM(K2756:O2756)*VLOOKUP($A2756,HeadJournal!$A$1:$L$890,COLUMN(HeadJournal!H$1),0),0)</f>
        <v>864.49521168965077</v>
      </c>
      <c r="Q2756" s="29"/>
      <c r="R2756" s="31"/>
      <c r="S2756" s="31"/>
      <c r="T2756" s="95" t="str">
        <f t="shared" ref="T2756:T2819" si="222">IF(R2756="","",TEXT(R2756,"ГГГГ ММ"))</f>
        <v/>
      </c>
      <c r="U2756" s="32">
        <f t="shared" si="218"/>
        <v>-864.49521168965077</v>
      </c>
      <c r="V2756" s="22" t="str">
        <f t="shared" si="219"/>
        <v/>
      </c>
      <c r="X2756" s="33"/>
      <c r="Y2756" s="33"/>
    </row>
    <row r="2757" spans="1:25" x14ac:dyDescent="0.2">
      <c r="A2757" s="93" t="s">
        <v>1236</v>
      </c>
      <c r="B2757" s="94" t="str">
        <f>IFERROR(VLOOKUP($A2757,HeadJournal!$A$1:$NTR$890,COLUMN(HeadJournal!B$1),0),"")</f>
        <v>720000084230</v>
      </c>
      <c r="C2757" s="94" t="str">
        <f>IFERROR(VLOOKUP($A2757,HeadJournal!$A$1:$NTR$890,COLUMN(HeadJournal!C$1),0),"")</f>
        <v>iHerb_AV CYG0792</v>
      </c>
      <c r="D2757" s="125" t="str">
        <f>IFERROR(VLOOKUP($A2757,HeadJournal!$A$1:$NTR$890,COLUMN(HeadJournal!D$1),0),"")</f>
        <v>Доставлен</v>
      </c>
      <c r="E2757" s="118">
        <f>IFERROR(VLOOKUP($A2757,HeadJournal!$A$1:$NTR$890,COLUMN(HeadJournal!G$1),0),"")</f>
        <v>45303</v>
      </c>
      <c r="F2757" s="95" t="str">
        <f t="shared" si="220"/>
        <v>2024 01</v>
      </c>
      <c r="G2757" s="96" t="s">
        <v>5</v>
      </c>
      <c r="H2757" s="161" t="s">
        <v>2773</v>
      </c>
      <c r="I2757" s="97" t="s">
        <v>2005</v>
      </c>
      <c r="J2757" s="97" t="s">
        <v>2774</v>
      </c>
      <c r="K2757" s="29">
        <v>14.73</v>
      </c>
      <c r="L2757" s="29">
        <v>-2.95</v>
      </c>
      <c r="M2757" s="30">
        <f>IFERROR(VLOOKUP($A2757,HeadJournal!$A$1:$J$890,COLUMN(HeadJournal!I$1),0)*($K2757+$L2757)/(SUMIF($A:$A,$A2757,$K:$K)+SUMIF($A:$A,$A2757,$L:$L)),0)</f>
        <v>-0.90411006573011987</v>
      </c>
      <c r="N2757" s="30">
        <f>IFERROR((VLOOKUP($A2757,HeadJournal!$A$1:$K$890,COLUMN(HeadJournal!K$1),0)-VLOOKUP($A2757,HeadJournal!$A$1:$K$890,COLUMN(HeadJournal!J$1),0))*($K2757+$L2757)/(SUMIF($A:$A,$A2757,$K:$K)+SUMIF($A:$A,$A2757,$L:$L)),0)</f>
        <v>0</v>
      </c>
      <c r="O2757" s="30">
        <f>IFERROR((VLOOKUP($A2757,HeadJournal!$A$1:$L$890,COLUMN(HeadJournal!L$1),0)*($K2757+$L2757)/(SUMIF($A:$A,$A2757,$K:$K)+SUMIF($A:$A,$A2757,$L:$L)))/VLOOKUP($A2757,HeadJournal!$A$1:$L$890,COLUMN(HeadJournal!H$1),0),0)</f>
        <v>0.73977678573103367</v>
      </c>
      <c r="P2757" s="30">
        <f>IFERROR(SUM(K2757:O2757)*VLOOKUP($A2757,HeadJournal!$A$1:$L$890,COLUMN(HeadJournal!H$1),0),0)</f>
        <v>1182.782066632298</v>
      </c>
      <c r="Q2757" s="29">
        <v>2000</v>
      </c>
      <c r="R2757" s="31">
        <v>45734</v>
      </c>
      <c r="S2757" s="31" t="s">
        <v>3121</v>
      </c>
      <c r="T2757" s="95" t="str">
        <f t="shared" si="222"/>
        <v>2025 03</v>
      </c>
      <c r="U2757" s="32">
        <f t="shared" si="218"/>
        <v>817.21793336770202</v>
      </c>
      <c r="V2757" s="22">
        <f t="shared" si="219"/>
        <v>0.69092857967870924</v>
      </c>
      <c r="X2757" s="33"/>
      <c r="Y2757" s="33"/>
    </row>
    <row r="2758" spans="1:25" x14ac:dyDescent="0.2">
      <c r="A2758" s="93" t="s">
        <v>1236</v>
      </c>
      <c r="B2758" s="94" t="str">
        <f>IFERROR(VLOOKUP($A2758,HeadJournal!$A$1:$NTR$890,COLUMN(HeadJournal!B$1),0),"")</f>
        <v>720000084230</v>
      </c>
      <c r="C2758" s="94" t="str">
        <f>IFERROR(VLOOKUP($A2758,HeadJournal!$A$1:$NTR$890,COLUMN(HeadJournal!C$1),0),"")</f>
        <v>iHerb_AV CYG0792</v>
      </c>
      <c r="D2758" s="125" t="str">
        <f>IFERROR(VLOOKUP($A2758,HeadJournal!$A$1:$NTR$890,COLUMN(HeadJournal!D$1),0),"")</f>
        <v>Доставлен</v>
      </c>
      <c r="E2758" s="118">
        <f>IFERROR(VLOOKUP($A2758,HeadJournal!$A$1:$NTR$890,COLUMN(HeadJournal!G$1),0),"")</f>
        <v>45303</v>
      </c>
      <c r="F2758" s="95" t="str">
        <f t="shared" si="220"/>
        <v>2024 01</v>
      </c>
      <c r="G2758" s="96" t="s">
        <v>5</v>
      </c>
      <c r="H2758" s="161" t="str">
        <f>RIGHT(Journal!$J2758,9)</f>
        <v>NOW-01452</v>
      </c>
      <c r="I2758" s="97" t="str">
        <f t="shared" si="221"/>
        <v>NOW Foods</v>
      </c>
      <c r="J2758" s="97" t="s">
        <v>149</v>
      </c>
      <c r="K2758" s="29">
        <v>11.97</v>
      </c>
      <c r="L2758" s="29">
        <v>-2.39</v>
      </c>
      <c r="M2758" s="30">
        <f>IFERROR(VLOOKUP($A2758,HeadJournal!$A$1:$J$890,COLUMN(HeadJournal!I$1),0)*($K2758+$L2758)/(SUMIF($A:$A,$A2758,$K:$K)+SUMIF($A:$A,$A2758,$L:$L)),0)</f>
        <v>-0.73526098724062383</v>
      </c>
      <c r="N2758" s="30">
        <f>IFERROR((VLOOKUP($A2758,HeadJournal!$A$1:$K$890,COLUMN(HeadJournal!K$1),0)-VLOOKUP($A2758,HeadJournal!$A$1:$K$890,COLUMN(HeadJournal!J$1),0))*($K2758+$L2758)/(SUMIF($A:$A,$A2758,$K:$K)+SUMIF($A:$A,$A2758,$L:$L)),0)</f>
        <v>0</v>
      </c>
      <c r="O2758" s="30">
        <f>IFERROR((VLOOKUP($A2758,HeadJournal!$A$1:$L$890,COLUMN(HeadJournal!L$1),0)*($K2758+$L2758)/(SUMIF($A:$A,$A2758,$K:$K)+SUMIF($A:$A,$A2758,$L:$L)))/VLOOKUP($A2758,HeadJournal!$A$1:$L$890,COLUMN(HeadJournal!H$1),0),0)</f>
        <v>0.60161813304781842</v>
      </c>
      <c r="P2758" s="30">
        <f>IFERROR(SUM(K2758:O2758)*VLOOKUP($A2758,HeadJournal!$A$1:$L$890,COLUMN(HeadJournal!H$1),0),0)</f>
        <v>961.88898118314205</v>
      </c>
      <c r="Q2758" s="29">
        <v>1700</v>
      </c>
      <c r="R2758" s="31">
        <v>45339</v>
      </c>
      <c r="S2758" s="31" t="s">
        <v>3121</v>
      </c>
      <c r="T2758" s="95" t="str">
        <f t="shared" si="222"/>
        <v>2024 02</v>
      </c>
      <c r="U2758" s="32">
        <f t="shared" si="218"/>
        <v>738.11101881685795</v>
      </c>
      <c r="V2758" s="22">
        <f t="shared" si="219"/>
        <v>0.76735572738235047</v>
      </c>
      <c r="X2758" s="33"/>
      <c r="Y2758" s="33"/>
    </row>
    <row r="2759" spans="1:25" x14ac:dyDescent="0.2">
      <c r="A2759" s="93" t="s">
        <v>1236</v>
      </c>
      <c r="B2759" s="94" t="str">
        <f>IFERROR(VLOOKUP($A2759,HeadJournal!$A$1:$NTR$890,COLUMN(HeadJournal!B$1),0),"")</f>
        <v>720000084230</v>
      </c>
      <c r="C2759" s="94" t="str">
        <f>IFERROR(VLOOKUP($A2759,HeadJournal!$A$1:$NTR$890,COLUMN(HeadJournal!C$1),0),"")</f>
        <v>iHerb_AV CYG0792</v>
      </c>
      <c r="D2759" s="125" t="str">
        <f>IFERROR(VLOOKUP($A2759,HeadJournal!$A$1:$NTR$890,COLUMN(HeadJournal!D$1),0),"")</f>
        <v>Доставлен</v>
      </c>
      <c r="E2759" s="118">
        <f>IFERROR(VLOOKUP($A2759,HeadJournal!$A$1:$NTR$890,COLUMN(HeadJournal!G$1),0),"")</f>
        <v>45303</v>
      </c>
      <c r="F2759" s="95" t="str">
        <f t="shared" si="220"/>
        <v>2024 01</v>
      </c>
      <c r="G2759" s="96" t="s">
        <v>5</v>
      </c>
      <c r="H2759" s="161" t="str">
        <f>RIGHT(Journal!$J2759,9)</f>
        <v>ZAH-08047</v>
      </c>
      <c r="I2759" s="97" t="str">
        <f t="shared" si="221"/>
        <v>Zahler</v>
      </c>
      <c r="J2759" s="97" t="s">
        <v>1237</v>
      </c>
      <c r="K2759" s="29">
        <v>17.89</v>
      </c>
      <c r="L2759" s="29">
        <v>-3.58</v>
      </c>
      <c r="M2759" s="30">
        <f>IFERROR(VLOOKUP($A2759,HeadJournal!$A$1:$J$890,COLUMN(HeadJournal!I$1),0)*($K2759+$L2759)/(SUMIF($A:$A,$A2759,$K:$K)+SUMIF($A:$A,$A2759,$L:$L)),0)</f>
        <v>-1.0982865059930405</v>
      </c>
      <c r="N2759" s="30">
        <f>IFERROR((VLOOKUP($A2759,HeadJournal!$A$1:$K$890,COLUMN(HeadJournal!K$1),0)-VLOOKUP($A2759,HeadJournal!$A$1:$K$890,COLUMN(HeadJournal!J$1),0))*($K2759+$L2759)/(SUMIF($A:$A,$A2759,$K:$K)+SUMIF($A:$A,$A2759,$L:$L)),0)</f>
        <v>0</v>
      </c>
      <c r="O2759" s="30">
        <f>IFERROR((VLOOKUP($A2759,HeadJournal!$A$1:$L$890,COLUMN(HeadJournal!L$1),0)*($K2759+$L2759)/(SUMIF($A:$A,$A2759,$K:$K)+SUMIF($A:$A,$A2759,$L:$L)))/VLOOKUP($A2759,HeadJournal!$A$1:$L$890,COLUMN(HeadJournal!H$1),0),0)</f>
        <v>0.89865923631673095</v>
      </c>
      <c r="P2759" s="30">
        <f>IFERROR(SUM(K2759:O2759)*VLOOKUP($A2759,HeadJournal!$A$1:$L$890,COLUMN(HeadJournal!H$1),0),0)</f>
        <v>1436.8091148988269</v>
      </c>
      <c r="Q2759" s="29">
        <v>2500</v>
      </c>
      <c r="R2759" s="31">
        <v>45444</v>
      </c>
      <c r="S2759" s="31" t="s">
        <v>3121</v>
      </c>
      <c r="T2759" s="95" t="str">
        <f t="shared" si="222"/>
        <v>2024 06</v>
      </c>
      <c r="U2759" s="32">
        <f t="shared" si="218"/>
        <v>1063.1908851011731</v>
      </c>
      <c r="V2759" s="22">
        <f t="shared" si="219"/>
        <v>0.73996669013060778</v>
      </c>
      <c r="X2759" s="33"/>
      <c r="Y2759" s="33"/>
    </row>
    <row r="2760" spans="1:25" x14ac:dyDescent="0.2">
      <c r="A2760" s="93" t="s">
        <v>1236</v>
      </c>
      <c r="B2760" s="94" t="str">
        <f>IFERROR(VLOOKUP($A2760,HeadJournal!$A$1:$NTR$890,COLUMN(HeadJournal!B$1),0),"")</f>
        <v>720000084230</v>
      </c>
      <c r="C2760" s="94" t="str">
        <f>IFERROR(VLOOKUP($A2760,HeadJournal!$A$1:$NTR$890,COLUMN(HeadJournal!C$1),0),"")</f>
        <v>iHerb_AV CYG0792</v>
      </c>
      <c r="D2760" s="125" t="str">
        <f>IFERROR(VLOOKUP($A2760,HeadJournal!$A$1:$NTR$890,COLUMN(HeadJournal!D$1),0),"")</f>
        <v>Доставлен</v>
      </c>
      <c r="E2760" s="118">
        <f>IFERROR(VLOOKUP($A2760,HeadJournal!$A$1:$NTR$890,COLUMN(HeadJournal!G$1),0),"")</f>
        <v>45303</v>
      </c>
      <c r="F2760" s="95" t="str">
        <f t="shared" si="220"/>
        <v>2024 01</v>
      </c>
      <c r="G2760" s="96" t="s">
        <v>5</v>
      </c>
      <c r="H2760" s="161" t="s">
        <v>2430</v>
      </c>
      <c r="I2760" s="97" t="s">
        <v>2221</v>
      </c>
      <c r="J2760" s="97" t="s">
        <v>4197</v>
      </c>
      <c r="K2760" s="29">
        <v>7.72</v>
      </c>
      <c r="L2760" s="29">
        <v>-1.5449999999999999</v>
      </c>
      <c r="M2760" s="30">
        <f>IFERROR(VLOOKUP($A2760,HeadJournal!$A$1:$J$890,COLUMN(HeadJournal!I$1),0)*($K2760+$L2760)/(SUMIF($A:$A,$A2760,$K:$K)+SUMIF($A:$A,$A2760,$L:$L)),0)</f>
        <v>-0.47392866348756285</v>
      </c>
      <c r="N2760" s="30">
        <f>IFERROR((VLOOKUP($A2760,HeadJournal!$A$1:$K$890,COLUMN(HeadJournal!K$1),0)-VLOOKUP($A2760,HeadJournal!$A$1:$K$890,COLUMN(HeadJournal!J$1),0))*($K2760+$L2760)/(SUMIF($A:$A,$A2760,$K:$K)+SUMIF($A:$A,$A2760,$L:$L)),0)</f>
        <v>0</v>
      </c>
      <c r="O2760" s="30">
        <f>IFERROR((VLOOKUP($A2760,HeadJournal!$A$1:$L$890,COLUMN(HeadJournal!L$1),0)*($K2760+$L2760)/(SUMIF($A:$A,$A2760,$K:$K)+SUMIF($A:$A,$A2760,$L:$L)))/VLOOKUP($A2760,HeadJournal!$A$1:$L$890,COLUMN(HeadJournal!H$1),0),0)</f>
        <v>0.38778621832675148</v>
      </c>
      <c r="P2760" s="30">
        <f>IFERROR(SUM(K2760:O2760)*VLOOKUP($A2760,HeadJournal!$A$1:$L$890,COLUMN(HeadJournal!H$1),0),0)</f>
        <v>620.0067284766078</v>
      </c>
      <c r="Q2760" s="29">
        <v>1700</v>
      </c>
      <c r="R2760" s="31">
        <v>45488</v>
      </c>
      <c r="S2760" s="31" t="s">
        <v>3121</v>
      </c>
      <c r="T2760" s="95" t="str">
        <f t="shared" si="222"/>
        <v>2024 07</v>
      </c>
      <c r="U2760" s="32">
        <f t="shared" si="218"/>
        <v>1079.9932715233922</v>
      </c>
      <c r="V2760" s="22">
        <f t="shared" si="219"/>
        <v>1.7419057276636301</v>
      </c>
      <c r="X2760" s="33"/>
      <c r="Y2760" s="33"/>
    </row>
    <row r="2761" spans="1:25" x14ac:dyDescent="0.2">
      <c r="A2761" s="93" t="s">
        <v>1236</v>
      </c>
      <c r="B2761" s="94" t="str">
        <f>IFERROR(VLOOKUP($A2761,HeadJournal!$A$1:$NTR$890,COLUMN(HeadJournal!B$1),0),"")</f>
        <v>720000084230</v>
      </c>
      <c r="C2761" s="94" t="str">
        <f>IFERROR(VLOOKUP($A2761,HeadJournal!$A$1:$NTR$890,COLUMN(HeadJournal!C$1),0),"")</f>
        <v>iHerb_AV CYG0792</v>
      </c>
      <c r="D2761" s="125" t="str">
        <f>IFERROR(VLOOKUP($A2761,HeadJournal!$A$1:$NTR$890,COLUMN(HeadJournal!D$1),0),"")</f>
        <v>Доставлен</v>
      </c>
      <c r="E2761" s="118">
        <f>IFERROR(VLOOKUP($A2761,HeadJournal!$A$1:$NTR$890,COLUMN(HeadJournal!G$1),0),"")</f>
        <v>45303</v>
      </c>
      <c r="F2761" s="95" t="str">
        <f t="shared" si="220"/>
        <v>2024 01</v>
      </c>
      <c r="G2761" s="96" t="s">
        <v>5</v>
      </c>
      <c r="H2761" s="161" t="s">
        <v>2430</v>
      </c>
      <c r="I2761" s="97" t="s">
        <v>2221</v>
      </c>
      <c r="J2761" s="97" t="s">
        <v>4197</v>
      </c>
      <c r="K2761" s="29">
        <v>7.72</v>
      </c>
      <c r="L2761" s="29">
        <v>-1.5449999999999999</v>
      </c>
      <c r="M2761" s="30">
        <f>IFERROR(VLOOKUP($A2761,HeadJournal!$A$1:$J$890,COLUMN(HeadJournal!I$1),0)*($K2761+$L2761)/(SUMIF($A:$A,$A2761,$K:$K)+SUMIF($A:$A,$A2761,$L:$L)),0)</f>
        <v>-0.47392866348756285</v>
      </c>
      <c r="N2761" s="30">
        <f>IFERROR((VLOOKUP($A2761,HeadJournal!$A$1:$K$890,COLUMN(HeadJournal!K$1),0)-VLOOKUP($A2761,HeadJournal!$A$1:$K$890,COLUMN(HeadJournal!J$1),0))*($K2761+$L2761)/(SUMIF($A:$A,$A2761,$K:$K)+SUMIF($A:$A,$A2761,$L:$L)),0)</f>
        <v>0</v>
      </c>
      <c r="O2761" s="30">
        <f>IFERROR((VLOOKUP($A2761,HeadJournal!$A$1:$L$890,COLUMN(HeadJournal!L$1),0)*($K2761+$L2761)/(SUMIF($A:$A,$A2761,$K:$K)+SUMIF($A:$A,$A2761,$L:$L)))/VLOOKUP($A2761,HeadJournal!$A$1:$L$890,COLUMN(HeadJournal!H$1),0),0)</f>
        <v>0.38778621832675148</v>
      </c>
      <c r="P2761" s="30">
        <f>IFERROR(SUM(K2761:O2761)*VLOOKUP($A2761,HeadJournal!$A$1:$L$890,COLUMN(HeadJournal!H$1),0),0)</f>
        <v>620.0067284766078</v>
      </c>
      <c r="Q2761" s="29">
        <v>1700</v>
      </c>
      <c r="R2761" s="31">
        <v>45496</v>
      </c>
      <c r="S2761" s="31" t="s">
        <v>3121</v>
      </c>
      <c r="T2761" s="95" t="str">
        <f t="shared" si="222"/>
        <v>2024 07</v>
      </c>
      <c r="U2761" s="32">
        <f t="shared" si="218"/>
        <v>1079.9932715233922</v>
      </c>
      <c r="V2761" s="22">
        <f t="shared" si="219"/>
        <v>1.7419057276636301</v>
      </c>
      <c r="X2761" s="33"/>
      <c r="Y2761" s="33"/>
    </row>
    <row r="2762" spans="1:25" x14ac:dyDescent="0.2">
      <c r="A2762" s="93" t="s">
        <v>1236</v>
      </c>
      <c r="B2762" s="94" t="str">
        <f>IFERROR(VLOOKUP($A2762,HeadJournal!$A$1:$NTR$890,COLUMN(HeadJournal!B$1),0),"")</f>
        <v>720000084230</v>
      </c>
      <c r="C2762" s="94" t="str">
        <f>IFERROR(VLOOKUP($A2762,HeadJournal!$A$1:$NTR$890,COLUMN(HeadJournal!C$1),0),"")</f>
        <v>iHerb_AV CYG0792</v>
      </c>
      <c r="D2762" s="125" t="str">
        <f>IFERROR(VLOOKUP($A2762,HeadJournal!$A$1:$NTR$890,COLUMN(HeadJournal!D$1),0),"")</f>
        <v>Доставлен</v>
      </c>
      <c r="E2762" s="118">
        <f>IFERROR(VLOOKUP($A2762,HeadJournal!$A$1:$NTR$890,COLUMN(HeadJournal!G$1),0),"")</f>
        <v>45303</v>
      </c>
      <c r="F2762" s="95" t="str">
        <f t="shared" si="220"/>
        <v>2024 01</v>
      </c>
      <c r="G2762" s="96" t="s">
        <v>5</v>
      </c>
      <c r="H2762" s="161" t="s">
        <v>2431</v>
      </c>
      <c r="I2762" s="97" t="s">
        <v>2221</v>
      </c>
      <c r="J2762" s="97" t="s">
        <v>4196</v>
      </c>
      <c r="K2762" s="29">
        <v>13.49</v>
      </c>
      <c r="L2762" s="29">
        <v>-2.7</v>
      </c>
      <c r="M2762" s="30">
        <f>IFERROR(VLOOKUP($A2762,HeadJournal!$A$1:$J$890,COLUMN(HeadJournal!I$1),0)*($K2762+$L2762)/(SUMIF($A:$A,$A2762,$K:$K)+SUMIF($A:$A,$A2762,$L:$L)),0)</f>
        <v>-0.82812798040984648</v>
      </c>
      <c r="N2762" s="30">
        <f>IFERROR((VLOOKUP($A2762,HeadJournal!$A$1:$K$890,COLUMN(HeadJournal!K$1),0)-VLOOKUP($A2762,HeadJournal!$A$1:$K$890,COLUMN(HeadJournal!J$1),0))*($K2762+$L2762)/(SUMIF($A:$A,$A2762,$K:$K)+SUMIF($A:$A,$A2762,$L:$L)),0)</f>
        <v>0</v>
      </c>
      <c r="O2762" s="30">
        <f>IFERROR((VLOOKUP($A2762,HeadJournal!$A$1:$L$890,COLUMN(HeadJournal!L$1),0)*($K2762+$L2762)/(SUMIF($A:$A,$A2762,$K:$K)+SUMIF($A:$A,$A2762,$L:$L)))/VLOOKUP($A2762,HeadJournal!$A$1:$L$890,COLUMN(HeadJournal!H$1),0),0)</f>
        <v>0.67760539202358672</v>
      </c>
      <c r="P2762" s="30">
        <f>IFERROR(SUM(K2762:O2762)*VLOOKUP($A2762,HeadJournal!$A$1:$L$890,COLUMN(HeadJournal!H$1),0),0)</f>
        <v>1083.3801781801778</v>
      </c>
      <c r="Q2762" s="29">
        <v>2200</v>
      </c>
      <c r="R2762" s="31">
        <v>45334</v>
      </c>
      <c r="S2762" s="31" t="s">
        <v>3121</v>
      </c>
      <c r="T2762" s="95" t="str">
        <f t="shared" si="222"/>
        <v>2024 02</v>
      </c>
      <c r="U2762" s="32">
        <f t="shared" si="218"/>
        <v>1116.6198218198222</v>
      </c>
      <c r="V2762" s="22">
        <f t="shared" si="219"/>
        <v>1.0306814212675361</v>
      </c>
      <c r="X2762" s="33"/>
      <c r="Y2762" s="33"/>
    </row>
    <row r="2763" spans="1:25" x14ac:dyDescent="0.2">
      <c r="A2763" s="93" t="s">
        <v>1236</v>
      </c>
      <c r="B2763" s="94" t="str">
        <f>IFERROR(VLOOKUP($A2763,HeadJournal!$A$1:$NTR$890,COLUMN(HeadJournal!B$1),0),"")</f>
        <v>720000084230</v>
      </c>
      <c r="C2763" s="94" t="str">
        <f>IFERROR(VLOOKUP($A2763,HeadJournal!$A$1:$NTR$890,COLUMN(HeadJournal!C$1),0),"")</f>
        <v>iHerb_AV CYG0792</v>
      </c>
      <c r="D2763" s="125" t="str">
        <f>IFERROR(VLOOKUP($A2763,HeadJournal!$A$1:$NTR$890,COLUMN(HeadJournal!D$1),0),"")</f>
        <v>Доставлен</v>
      </c>
      <c r="E2763" s="118">
        <f>IFERROR(VLOOKUP($A2763,HeadJournal!$A$1:$NTR$890,COLUMN(HeadJournal!G$1),0),"")</f>
        <v>45303</v>
      </c>
      <c r="F2763" s="95" t="str">
        <f t="shared" si="220"/>
        <v>2024 01</v>
      </c>
      <c r="G2763" s="96" t="s">
        <v>5</v>
      </c>
      <c r="H2763" s="161" t="s">
        <v>2431</v>
      </c>
      <c r="I2763" s="97" t="s">
        <v>2221</v>
      </c>
      <c r="J2763" s="97" t="s">
        <v>4196</v>
      </c>
      <c r="K2763" s="29">
        <v>13.49</v>
      </c>
      <c r="L2763" s="29">
        <v>-2.7</v>
      </c>
      <c r="M2763" s="30">
        <f>IFERROR(VLOOKUP($A2763,HeadJournal!$A$1:$J$890,COLUMN(HeadJournal!I$1),0)*($K2763+$L2763)/(SUMIF($A:$A,$A2763,$K:$K)+SUMIF($A:$A,$A2763,$L:$L)),0)</f>
        <v>-0.82812798040984648</v>
      </c>
      <c r="N2763" s="30">
        <f>IFERROR((VLOOKUP($A2763,HeadJournal!$A$1:$K$890,COLUMN(HeadJournal!K$1),0)-VLOOKUP($A2763,HeadJournal!$A$1:$K$890,COLUMN(HeadJournal!J$1),0))*($K2763+$L2763)/(SUMIF($A:$A,$A2763,$K:$K)+SUMIF($A:$A,$A2763,$L:$L)),0)</f>
        <v>0</v>
      </c>
      <c r="O2763" s="30">
        <f>IFERROR((VLOOKUP($A2763,HeadJournal!$A$1:$L$890,COLUMN(HeadJournal!L$1),0)*($K2763+$L2763)/(SUMIF($A:$A,$A2763,$K:$K)+SUMIF($A:$A,$A2763,$L:$L)))/VLOOKUP($A2763,HeadJournal!$A$1:$L$890,COLUMN(HeadJournal!H$1),0),0)</f>
        <v>0.67760539202358672</v>
      </c>
      <c r="P2763" s="30">
        <f>IFERROR(SUM(K2763:O2763)*VLOOKUP($A2763,HeadJournal!$A$1:$L$890,COLUMN(HeadJournal!H$1),0),0)</f>
        <v>1083.3801781801778</v>
      </c>
      <c r="Q2763" s="29">
        <v>2300</v>
      </c>
      <c r="R2763" s="31">
        <v>45382</v>
      </c>
      <c r="S2763" s="31" t="s">
        <v>3121</v>
      </c>
      <c r="T2763" s="95" t="str">
        <f t="shared" si="222"/>
        <v>2024 03</v>
      </c>
      <c r="U2763" s="32">
        <f t="shared" si="218"/>
        <v>1216.6198218198222</v>
      </c>
      <c r="V2763" s="22">
        <f t="shared" si="219"/>
        <v>1.1229851222342422</v>
      </c>
      <c r="X2763" s="33"/>
      <c r="Y2763" s="33"/>
    </row>
    <row r="2764" spans="1:25" x14ac:dyDescent="0.2">
      <c r="A2764" s="93" t="s">
        <v>1236</v>
      </c>
      <c r="B2764" s="94" t="str">
        <f>IFERROR(VLOOKUP($A2764,HeadJournal!$A$1:$NTR$890,COLUMN(HeadJournal!B$1),0),"")</f>
        <v>720000084230</v>
      </c>
      <c r="C2764" s="94" t="str">
        <f>IFERROR(VLOOKUP($A2764,HeadJournal!$A$1:$NTR$890,COLUMN(HeadJournal!C$1),0),"")</f>
        <v>iHerb_AV CYG0792</v>
      </c>
      <c r="D2764" s="125" t="str">
        <f>IFERROR(VLOOKUP($A2764,HeadJournal!$A$1:$NTR$890,COLUMN(HeadJournal!D$1),0),"")</f>
        <v>Доставлен</v>
      </c>
      <c r="E2764" s="118">
        <f>IFERROR(VLOOKUP($A2764,HeadJournal!$A$1:$NTR$890,COLUMN(HeadJournal!G$1),0),"")</f>
        <v>45303</v>
      </c>
      <c r="F2764" s="95" t="str">
        <f t="shared" si="220"/>
        <v>2024 01</v>
      </c>
      <c r="G2764" s="96" t="s">
        <v>5</v>
      </c>
      <c r="H2764" s="161" t="str">
        <f>RIGHT(Journal!$J2764,9)</f>
        <v>NWY-15788</v>
      </c>
      <c r="I2764" s="97" t="str">
        <f t="shared" si="221"/>
        <v>Nature's Way</v>
      </c>
      <c r="J2764" s="97" t="s">
        <v>69</v>
      </c>
      <c r="K2764" s="29">
        <v>12.45</v>
      </c>
      <c r="L2764" s="29">
        <v>-2.4900000000000002</v>
      </c>
      <c r="M2764" s="30">
        <f>IFERROR(VLOOKUP($A2764,HeadJournal!$A$1:$J$890,COLUMN(HeadJournal!I$1),0)*($K2764+$L2764)/(SUMIF($A:$A,$A2764,$K:$K)+SUMIF($A:$A,$A2764,$L:$L)),0)</f>
        <v>-0.76442582807062764</v>
      </c>
      <c r="N2764" s="30">
        <f>IFERROR((VLOOKUP($A2764,HeadJournal!$A$1:$K$890,COLUMN(HeadJournal!K$1),0)-VLOOKUP($A2764,HeadJournal!$A$1:$K$890,COLUMN(HeadJournal!J$1),0))*($K2764+$L2764)/(SUMIF($A:$A,$A2764,$K:$K)+SUMIF($A:$A,$A2764,$L:$L)),0)</f>
        <v>0</v>
      </c>
      <c r="O2764" s="30">
        <f>IFERROR((VLOOKUP($A2764,HeadJournal!$A$1:$L$890,COLUMN(HeadJournal!L$1),0)*($K2764+$L2764)/(SUMIF($A:$A,$A2764,$K:$K)+SUMIF($A:$A,$A2764,$L:$L)))/VLOOKUP($A2764,HeadJournal!$A$1:$L$890,COLUMN(HeadJournal!H$1),0),0)</f>
        <v>0.62548190032946471</v>
      </c>
      <c r="P2764" s="30">
        <f>IFERROR(SUM(K2764:O2764)*VLOOKUP($A2764,HeadJournal!$A$1:$L$890,COLUMN(HeadJournal!H$1),0),0)</f>
        <v>1000.0432413970871</v>
      </c>
      <c r="Q2764" s="29"/>
      <c r="R2764" s="31"/>
      <c r="S2764" s="31"/>
      <c r="T2764" s="95" t="str">
        <f t="shared" si="222"/>
        <v/>
      </c>
      <c r="U2764" s="32">
        <f t="shared" si="218"/>
        <v>-1000.0432413970871</v>
      </c>
      <c r="V2764" s="22" t="str">
        <f t="shared" si="219"/>
        <v/>
      </c>
      <c r="X2764" s="33"/>
      <c r="Y2764" s="33"/>
    </row>
    <row r="2765" spans="1:25" x14ac:dyDescent="0.2">
      <c r="A2765" s="93" t="s">
        <v>1236</v>
      </c>
      <c r="B2765" s="94" t="str">
        <f>IFERROR(VLOOKUP($A2765,HeadJournal!$A$1:$NTR$890,COLUMN(HeadJournal!B$1),0),"")</f>
        <v>720000084230</v>
      </c>
      <c r="C2765" s="94" t="str">
        <f>IFERROR(VLOOKUP($A2765,HeadJournal!$A$1:$NTR$890,COLUMN(HeadJournal!C$1),0),"")</f>
        <v>iHerb_AV CYG0792</v>
      </c>
      <c r="D2765" s="125" t="str">
        <f>IFERROR(VLOOKUP($A2765,HeadJournal!$A$1:$NTR$890,COLUMN(HeadJournal!D$1),0),"")</f>
        <v>Доставлен</v>
      </c>
      <c r="E2765" s="118">
        <f>IFERROR(VLOOKUP($A2765,HeadJournal!$A$1:$NTR$890,COLUMN(HeadJournal!G$1),0),"")</f>
        <v>45303</v>
      </c>
      <c r="F2765" s="95" t="str">
        <f t="shared" si="220"/>
        <v>2024 01</v>
      </c>
      <c r="G2765" s="96" t="s">
        <v>5</v>
      </c>
      <c r="H2765" s="161" t="s">
        <v>3992</v>
      </c>
      <c r="I2765" s="97" t="s">
        <v>2666</v>
      </c>
      <c r="J2765" s="97" t="s">
        <v>3993</v>
      </c>
      <c r="K2765" s="29">
        <v>27.27</v>
      </c>
      <c r="L2765" s="29">
        <v>-5.4550000000000001</v>
      </c>
      <c r="M2765" s="30">
        <f>IFERROR(VLOOKUP($A2765,HeadJournal!$A$1:$J$890,COLUMN(HeadJournal!I$1),0)*($K2765+$L2765)/(SUMIF($A:$A,$A2765,$K:$K)+SUMIF($A:$A,$A2765,$L:$L)),0)</f>
        <v>-1.6742921123856165</v>
      </c>
      <c r="N2765" s="30">
        <f>IFERROR((VLOOKUP($A2765,HeadJournal!$A$1:$K$890,COLUMN(HeadJournal!K$1),0)-VLOOKUP($A2765,HeadJournal!$A$1:$K$890,COLUMN(HeadJournal!J$1),0))*($K2765+$L2765)/(SUMIF($A:$A,$A2765,$K:$K)+SUMIF($A:$A,$A2765,$L:$L)),0)</f>
        <v>0</v>
      </c>
      <c r="O2765" s="30">
        <f>IFERROR((VLOOKUP($A2765,HeadJournal!$A$1:$L$890,COLUMN(HeadJournal!L$1),0)*($K2765+$L2765)/(SUMIF($A:$A,$A2765,$K:$K)+SUMIF($A:$A,$A2765,$L:$L)))/VLOOKUP($A2765,HeadJournal!$A$1:$L$890,COLUMN(HeadJournal!H$1),0),0)</f>
        <v>1.3699686401292444</v>
      </c>
      <c r="P2765" s="30">
        <f>IFERROR(SUM(K2765:O2765)*VLOOKUP($A2765,HeadJournal!$A$1:$L$890,COLUMN(HeadJournal!H$1),0),0)</f>
        <v>2190.3557541242426</v>
      </c>
      <c r="Q2765" s="29">
        <v>3500</v>
      </c>
      <c r="R2765" s="31">
        <v>45337</v>
      </c>
      <c r="S2765" s="31" t="s">
        <v>3121</v>
      </c>
      <c r="T2765" s="95" t="str">
        <f t="shared" si="222"/>
        <v>2024 02</v>
      </c>
      <c r="U2765" s="32">
        <f t="shared" si="218"/>
        <v>1309.6442458757574</v>
      </c>
      <c r="V2765" s="22">
        <f t="shared" si="219"/>
        <v>0.59791394316188828</v>
      </c>
      <c r="X2765" s="33"/>
      <c r="Y2765" s="33"/>
    </row>
    <row r="2766" spans="1:25" x14ac:dyDescent="0.2">
      <c r="A2766" s="93" t="s">
        <v>1236</v>
      </c>
      <c r="B2766" s="94" t="str">
        <f>IFERROR(VLOOKUP($A2766,HeadJournal!$A$1:$NTR$890,COLUMN(HeadJournal!B$1),0),"")</f>
        <v>720000084230</v>
      </c>
      <c r="C2766" s="94" t="str">
        <f>IFERROR(VLOOKUP($A2766,HeadJournal!$A$1:$NTR$890,COLUMN(HeadJournal!C$1),0),"")</f>
        <v>iHerb_AV CYG0792</v>
      </c>
      <c r="D2766" s="125" t="str">
        <f>IFERROR(VLOOKUP($A2766,HeadJournal!$A$1:$NTR$890,COLUMN(HeadJournal!D$1),0),"")</f>
        <v>Доставлен</v>
      </c>
      <c r="E2766" s="118">
        <f>IFERROR(VLOOKUP($A2766,HeadJournal!$A$1:$NTR$890,COLUMN(HeadJournal!G$1),0),"")</f>
        <v>45303</v>
      </c>
      <c r="F2766" s="95" t="str">
        <f t="shared" si="220"/>
        <v>2024 01</v>
      </c>
      <c r="G2766" s="96" t="s">
        <v>5</v>
      </c>
      <c r="H2766" s="161" t="s">
        <v>3992</v>
      </c>
      <c r="I2766" s="97" t="s">
        <v>2666</v>
      </c>
      <c r="J2766" s="97" t="s">
        <v>3993</v>
      </c>
      <c r="K2766" s="29">
        <v>27.27</v>
      </c>
      <c r="L2766" s="29">
        <v>-5.4550000000000001</v>
      </c>
      <c r="M2766" s="30">
        <f>IFERROR(VLOOKUP($A2766,HeadJournal!$A$1:$J$890,COLUMN(HeadJournal!I$1),0)*($K2766+$L2766)/(SUMIF($A:$A,$A2766,$K:$K)+SUMIF($A:$A,$A2766,$L:$L)),0)</f>
        <v>-1.6742921123856165</v>
      </c>
      <c r="N2766" s="30">
        <f>IFERROR((VLOOKUP($A2766,HeadJournal!$A$1:$K$890,COLUMN(HeadJournal!K$1),0)-VLOOKUP($A2766,HeadJournal!$A$1:$K$890,COLUMN(HeadJournal!J$1),0))*($K2766+$L2766)/(SUMIF($A:$A,$A2766,$K:$K)+SUMIF($A:$A,$A2766,$L:$L)),0)</f>
        <v>0</v>
      </c>
      <c r="O2766" s="30">
        <f>IFERROR((VLOOKUP($A2766,HeadJournal!$A$1:$L$890,COLUMN(HeadJournal!L$1),0)*($K2766+$L2766)/(SUMIF($A:$A,$A2766,$K:$K)+SUMIF($A:$A,$A2766,$L:$L)))/VLOOKUP($A2766,HeadJournal!$A$1:$L$890,COLUMN(HeadJournal!H$1),0),0)</f>
        <v>1.3699686401292444</v>
      </c>
      <c r="P2766" s="30">
        <f>IFERROR(SUM(K2766:O2766)*VLOOKUP($A2766,HeadJournal!$A$1:$L$890,COLUMN(HeadJournal!H$1),0),0)</f>
        <v>2190.3557541242426</v>
      </c>
      <c r="Q2766" s="29">
        <v>3500</v>
      </c>
      <c r="R2766" s="31">
        <v>45371</v>
      </c>
      <c r="S2766" s="31" t="s">
        <v>3121</v>
      </c>
      <c r="T2766" s="95" t="str">
        <f t="shared" si="222"/>
        <v>2024 03</v>
      </c>
      <c r="U2766" s="32">
        <f t="shared" si="218"/>
        <v>1309.6442458757574</v>
      </c>
      <c r="V2766" s="22">
        <f t="shared" si="219"/>
        <v>0.59791394316188828</v>
      </c>
      <c r="X2766" s="33"/>
      <c r="Y2766" s="33"/>
    </row>
    <row r="2767" spans="1:25" x14ac:dyDescent="0.2">
      <c r="A2767" s="93" t="s">
        <v>1236</v>
      </c>
      <c r="B2767" s="94" t="str">
        <f>IFERROR(VLOOKUP($A2767,HeadJournal!$A$1:$NTR$890,COLUMN(HeadJournal!B$1),0),"")</f>
        <v>720000084230</v>
      </c>
      <c r="C2767" s="94" t="str">
        <f>IFERROR(VLOOKUP($A2767,HeadJournal!$A$1:$NTR$890,COLUMN(HeadJournal!C$1),0),"")</f>
        <v>iHerb_AV CYG0792</v>
      </c>
      <c r="D2767" s="125" t="str">
        <f>IFERROR(VLOOKUP($A2767,HeadJournal!$A$1:$NTR$890,COLUMN(HeadJournal!D$1),0),"")</f>
        <v>Доставлен</v>
      </c>
      <c r="E2767" s="118">
        <f>IFERROR(VLOOKUP($A2767,HeadJournal!$A$1:$NTR$890,COLUMN(HeadJournal!G$1),0),"")</f>
        <v>45303</v>
      </c>
      <c r="F2767" s="95" t="str">
        <f t="shared" si="220"/>
        <v>2024 01</v>
      </c>
      <c r="G2767" s="96" t="s">
        <v>5</v>
      </c>
      <c r="H2767" s="161" t="str">
        <f>RIGHT(Journal!$J2767,9)</f>
        <v>RSP-00661</v>
      </c>
      <c r="I2767" s="97" t="str">
        <f t="shared" si="221"/>
        <v>RSP Nutrition</v>
      </c>
      <c r="J2767" s="97" t="s">
        <v>1132</v>
      </c>
      <c r="K2767" s="29">
        <v>15.72</v>
      </c>
      <c r="L2767" s="29">
        <v>-3.14</v>
      </c>
      <c r="M2767" s="30">
        <f>IFERROR(VLOOKUP($A2767,HeadJournal!$A$1:$J$890,COLUMN(HeadJournal!I$1),0)*($K2767+$L2767)/(SUMIF($A:$A,$A2767,$K:$K)+SUMIF($A:$A,$A2767,$L:$L)),0)</f>
        <v>-0.96550973063539114</v>
      </c>
      <c r="N2767" s="30">
        <f>IFERROR((VLOOKUP($A2767,HeadJournal!$A$1:$K$890,COLUMN(HeadJournal!K$1),0)-VLOOKUP($A2767,HeadJournal!$A$1:$K$890,COLUMN(HeadJournal!J$1),0))*($K2767+$L2767)/(SUMIF($A:$A,$A2767,$K:$K)+SUMIF($A:$A,$A2767,$L:$L)),0)</f>
        <v>0</v>
      </c>
      <c r="O2767" s="30">
        <f>IFERROR((VLOOKUP($A2767,HeadJournal!$A$1:$L$890,COLUMN(HeadJournal!L$1),0)*($K2767+$L2767)/(SUMIF($A:$A,$A2767,$K:$K)+SUMIF($A:$A,$A2767,$L:$L)))/VLOOKUP($A2767,HeadJournal!$A$1:$L$890,COLUMN(HeadJournal!H$1),0),0)</f>
        <v>0.79001629579765731</v>
      </c>
      <c r="P2767" s="30">
        <f>IFERROR(SUM(K2767:O2767)*VLOOKUP($A2767,HeadJournal!$A$1:$L$890,COLUMN(HeadJournal!H$1),0),0)</f>
        <v>1263.1068249774455</v>
      </c>
      <c r="Q2767" s="29">
        <v>2300</v>
      </c>
      <c r="R2767" s="31">
        <v>45340</v>
      </c>
      <c r="S2767" s="31" t="s">
        <v>3121</v>
      </c>
      <c r="T2767" s="95" t="str">
        <f t="shared" si="222"/>
        <v>2024 02</v>
      </c>
      <c r="U2767" s="32">
        <f t="shared" si="218"/>
        <v>1036.8931750225545</v>
      </c>
      <c r="V2767" s="22">
        <f t="shared" si="219"/>
        <v>0.82090695301331273</v>
      </c>
      <c r="X2767" s="33"/>
      <c r="Y2767" s="33"/>
    </row>
    <row r="2768" spans="1:25" x14ac:dyDescent="0.2">
      <c r="A2768" s="93" t="s">
        <v>1236</v>
      </c>
      <c r="B2768" s="94" t="str">
        <f>IFERROR(VLOOKUP($A2768,HeadJournal!$A$1:$NTR$890,COLUMN(HeadJournal!B$1),0),"")</f>
        <v>720000084230</v>
      </c>
      <c r="C2768" s="94" t="str">
        <f>IFERROR(VLOOKUP($A2768,HeadJournal!$A$1:$NTR$890,COLUMN(HeadJournal!C$1),0),"")</f>
        <v>iHerb_AV CYG0792</v>
      </c>
      <c r="D2768" s="125" t="str">
        <f>IFERROR(VLOOKUP($A2768,HeadJournal!$A$1:$NTR$890,COLUMN(HeadJournal!D$1),0),"")</f>
        <v>Доставлен</v>
      </c>
      <c r="E2768" s="118">
        <f>IFERROR(VLOOKUP($A2768,HeadJournal!$A$1:$NTR$890,COLUMN(HeadJournal!G$1),0),"")</f>
        <v>45303</v>
      </c>
      <c r="F2768" s="95" t="str">
        <f t="shared" si="220"/>
        <v>2024 01</v>
      </c>
      <c r="G2768" s="96" t="s">
        <v>5</v>
      </c>
      <c r="H2768" s="161" t="s">
        <v>2909</v>
      </c>
      <c r="I2768" s="97" t="s">
        <v>2045</v>
      </c>
      <c r="J2768" s="97" t="s">
        <v>4102</v>
      </c>
      <c r="K2768" s="29">
        <v>6.93</v>
      </c>
      <c r="L2768" s="29">
        <v>-1.385</v>
      </c>
      <c r="M2768" s="30">
        <f>IFERROR(VLOOKUP($A2768,HeadJournal!$A$1:$J$890,COLUMN(HeadJournal!I$1),0)*($K2768+$L2768)/(SUMIF($A:$A,$A2768,$K:$K)+SUMIF($A:$A,$A2768,$L:$L)),0)</f>
        <v>-0.42557642737466161</v>
      </c>
      <c r="N2768" s="30">
        <f>IFERROR((VLOOKUP($A2768,HeadJournal!$A$1:$K$890,COLUMN(HeadJournal!K$1),0)-VLOOKUP($A2768,HeadJournal!$A$1:$K$890,COLUMN(HeadJournal!J$1),0))*($K2768+$L2768)/(SUMIF($A:$A,$A2768,$K:$K)+SUMIF($A:$A,$A2768,$L:$L)),0)</f>
        <v>0</v>
      </c>
      <c r="O2768" s="30">
        <f>IFERROR((VLOOKUP($A2768,HeadJournal!$A$1:$L$890,COLUMN(HeadJournal!L$1),0)*($K2768+$L2768)/(SUMIF($A:$A,$A2768,$K:$K)+SUMIF($A:$A,$A2768,$L:$L)))/VLOOKUP($A2768,HeadJournal!$A$1:$L$890,COLUMN(HeadJournal!H$1),0),0)</f>
        <v>0.34822260414928535</v>
      </c>
      <c r="P2768" s="30">
        <f>IFERROR(SUM(K2768:O2768)*VLOOKUP($A2768,HeadJournal!$A$1:$L$890,COLUMN(HeadJournal!H$1),0),0)</f>
        <v>556.75098127980402</v>
      </c>
      <c r="Q2768" s="29">
        <v>2200</v>
      </c>
      <c r="R2768" s="31">
        <v>45361</v>
      </c>
      <c r="S2768" s="31" t="s">
        <v>3121</v>
      </c>
      <c r="T2768" s="95" t="str">
        <f t="shared" si="222"/>
        <v>2024 03</v>
      </c>
      <c r="U2768" s="32">
        <f t="shared" si="218"/>
        <v>1643.2490187201961</v>
      </c>
      <c r="V2768" s="22">
        <f t="shared" si="219"/>
        <v>2.9514973012582</v>
      </c>
      <c r="X2768" s="33"/>
      <c r="Y2768" s="33"/>
    </row>
    <row r="2769" spans="1:25" x14ac:dyDescent="0.2">
      <c r="A2769" s="93" t="s">
        <v>1236</v>
      </c>
      <c r="B2769" s="94" t="str">
        <f>IFERROR(VLOOKUP($A2769,HeadJournal!$A$1:$NTR$890,COLUMN(HeadJournal!B$1),0),"")</f>
        <v>720000084230</v>
      </c>
      <c r="C2769" s="94" t="str">
        <f>IFERROR(VLOOKUP($A2769,HeadJournal!$A$1:$NTR$890,COLUMN(HeadJournal!C$1),0),"")</f>
        <v>iHerb_AV CYG0792</v>
      </c>
      <c r="D2769" s="125" t="str">
        <f>IFERROR(VLOOKUP($A2769,HeadJournal!$A$1:$NTR$890,COLUMN(HeadJournal!D$1),0),"")</f>
        <v>Доставлен</v>
      </c>
      <c r="E2769" s="118">
        <f>IFERROR(VLOOKUP($A2769,HeadJournal!$A$1:$NTR$890,COLUMN(HeadJournal!G$1),0),"")</f>
        <v>45303</v>
      </c>
      <c r="F2769" s="95" t="str">
        <f t="shared" si="220"/>
        <v>2024 01</v>
      </c>
      <c r="G2769" s="96" t="s">
        <v>5</v>
      </c>
      <c r="H2769" s="161" t="s">
        <v>2909</v>
      </c>
      <c r="I2769" s="97" t="s">
        <v>2045</v>
      </c>
      <c r="J2769" s="97" t="s">
        <v>4102</v>
      </c>
      <c r="K2769" s="29">
        <v>6.93</v>
      </c>
      <c r="L2769" s="29">
        <v>-1.385</v>
      </c>
      <c r="M2769" s="30">
        <f>IFERROR(VLOOKUP($A2769,HeadJournal!$A$1:$J$890,COLUMN(HeadJournal!I$1),0)*($K2769+$L2769)/(SUMIF($A:$A,$A2769,$K:$K)+SUMIF($A:$A,$A2769,$L:$L)),0)</f>
        <v>-0.42557642737466161</v>
      </c>
      <c r="N2769" s="30">
        <f>IFERROR((VLOOKUP($A2769,HeadJournal!$A$1:$K$890,COLUMN(HeadJournal!K$1),0)-VLOOKUP($A2769,HeadJournal!$A$1:$K$890,COLUMN(HeadJournal!J$1),0))*($K2769+$L2769)/(SUMIF($A:$A,$A2769,$K:$K)+SUMIF($A:$A,$A2769,$L:$L)),0)</f>
        <v>0</v>
      </c>
      <c r="O2769" s="30">
        <f>IFERROR((VLOOKUP($A2769,HeadJournal!$A$1:$L$890,COLUMN(HeadJournal!L$1),0)*($K2769+$L2769)/(SUMIF($A:$A,$A2769,$K:$K)+SUMIF($A:$A,$A2769,$L:$L)))/VLOOKUP($A2769,HeadJournal!$A$1:$L$890,COLUMN(HeadJournal!H$1),0),0)</f>
        <v>0.34822260414928535</v>
      </c>
      <c r="P2769" s="30">
        <f>IFERROR(SUM(K2769:O2769)*VLOOKUP($A2769,HeadJournal!$A$1:$L$890,COLUMN(HeadJournal!H$1),0),0)</f>
        <v>556.75098127980402</v>
      </c>
      <c r="Q2769" s="29">
        <v>2200</v>
      </c>
      <c r="R2769" s="31">
        <v>45528</v>
      </c>
      <c r="S2769" s="31" t="s">
        <v>3121</v>
      </c>
      <c r="T2769" s="95" t="str">
        <f t="shared" si="222"/>
        <v>2024 08</v>
      </c>
      <c r="U2769" s="32">
        <f t="shared" si="218"/>
        <v>1643.2490187201961</v>
      </c>
      <c r="V2769" s="22">
        <f t="shared" si="219"/>
        <v>2.9514973012582</v>
      </c>
      <c r="X2769" s="33"/>
      <c r="Y2769" s="33"/>
    </row>
    <row r="2770" spans="1:25" x14ac:dyDescent="0.2">
      <c r="A2770" s="93" t="s">
        <v>1238</v>
      </c>
      <c r="B2770" s="94" t="str">
        <f>IFERROR(VLOOKUP($A2770,HeadJournal!$A$1:$NTR$890,COLUMN(HeadJournal!B$1),0),"")</f>
        <v>720000093209</v>
      </c>
      <c r="C2770" s="119" t="str">
        <f>IFERROR(VLOOKUP($A2770,HeadJournal!$A$1:$NTR$890,COLUMN(HeadJournal!C$1),0),"")</f>
        <v>iHerb_VP DFD1605</v>
      </c>
      <c r="D2770" s="125" t="str">
        <f>IFERROR(VLOOKUP($A2770,HeadJournal!$A$1:$NTR$890,COLUMN(HeadJournal!D$1),0),"")</f>
        <v>Доставлен</v>
      </c>
      <c r="E2770" s="95">
        <f>IFERROR(VLOOKUP($A2770,HeadJournal!$A$1:$NTR$890,COLUMN(HeadJournal!G$1),0),"")</f>
        <v>45308</v>
      </c>
      <c r="F2770" s="95" t="str">
        <f t="shared" si="220"/>
        <v>2024 01</v>
      </c>
      <c r="G2770" s="96" t="s">
        <v>5</v>
      </c>
      <c r="H2770" s="161" t="s">
        <v>3652</v>
      </c>
      <c r="I2770" s="97" t="s">
        <v>2005</v>
      </c>
      <c r="J2770" s="97" t="s">
        <v>3701</v>
      </c>
      <c r="K2770" s="29">
        <v>11.34</v>
      </c>
      <c r="L2770" s="29">
        <v>-2.72</v>
      </c>
      <c r="M2770" s="30">
        <f>IFERROR(VLOOKUP($A2770,HeadJournal!$A$1:$J$890,COLUMN(HeadJournal!I$1),0)*($K2770+$L2770)/(SUMIF($A:$A,$A2770,$K:$K)+SUMIF($A:$A,$A2770,$L:$L)),0)</f>
        <v>-1.6972881607235526</v>
      </c>
      <c r="N2770" s="30">
        <f>IFERROR((VLOOKUP($A2770,HeadJournal!$A$1:$K$890,COLUMN(HeadJournal!K$1),0)-VLOOKUP($A2770,HeadJournal!$A$1:$K$890,COLUMN(HeadJournal!J$1),0))*($K2770+$L2770)/(SUMIF($A:$A,$A2770,$K:$K)+SUMIF($A:$A,$A2770,$L:$L)),0)</f>
        <v>9.0812934720914279E-16</v>
      </c>
      <c r="O2770" s="30">
        <f>IFERROR((VLOOKUP($A2770,HeadJournal!$A$1:$L$890,COLUMN(HeadJournal!L$1),0)*($K2770+$L2770)/(SUMIF($A:$A,$A2770,$K:$K)+SUMIF($A:$A,$A2770,$L:$L)))/VLOOKUP($A2770,HeadJournal!$A$1:$L$890,COLUMN(HeadJournal!H$1),0),0)</f>
        <v>0.94749344748152242</v>
      </c>
      <c r="P2770" s="30">
        <f>IFERROR(SUM(K2770:O2770)*VLOOKUP($A2770,HeadJournal!$A$1:$L$890,COLUMN(HeadJournal!H$1),0),0)</f>
        <v>809.70848592680466</v>
      </c>
      <c r="Q2770" s="29">
        <v>1600</v>
      </c>
      <c r="R2770" s="31">
        <v>45821</v>
      </c>
      <c r="S2770" s="31" t="s">
        <v>3121</v>
      </c>
      <c r="T2770" s="95" t="str">
        <f t="shared" si="222"/>
        <v>2025 06</v>
      </c>
      <c r="U2770" s="32">
        <f t="shared" si="218"/>
        <v>790.29151407319534</v>
      </c>
      <c r="V2770" s="22">
        <f t="shared" si="219"/>
        <v>0.97601979948205142</v>
      </c>
      <c r="X2770" s="33"/>
      <c r="Y2770" s="33"/>
    </row>
    <row r="2771" spans="1:25" x14ac:dyDescent="0.2">
      <c r="A2771" s="93" t="s">
        <v>1238</v>
      </c>
      <c r="B2771" s="94" t="str">
        <f>IFERROR(VLOOKUP($A2771,HeadJournal!$A$1:$NTR$890,COLUMN(HeadJournal!B$1),0),"")</f>
        <v>720000093209</v>
      </c>
      <c r="C2771" s="119" t="str">
        <f>IFERROR(VLOOKUP($A2771,HeadJournal!$A$1:$NTR$890,COLUMN(HeadJournal!C$1),0),"")</f>
        <v>iHerb_VP DFD1605</v>
      </c>
      <c r="D2771" s="125" t="str">
        <f>IFERROR(VLOOKUP($A2771,HeadJournal!$A$1:$NTR$890,COLUMN(HeadJournal!D$1),0),"")</f>
        <v>Доставлен</v>
      </c>
      <c r="E2771" s="95">
        <f>IFERROR(VLOOKUP($A2771,HeadJournal!$A$1:$NTR$890,COLUMN(HeadJournal!G$1),0),"")</f>
        <v>45308</v>
      </c>
      <c r="F2771" s="95" t="str">
        <f t="shared" si="220"/>
        <v>2024 01</v>
      </c>
      <c r="G2771" s="96" t="s">
        <v>5</v>
      </c>
      <c r="H2771" s="161" t="str">
        <f>RIGHT(Journal!$J2771,9)</f>
        <v>NAP-29998</v>
      </c>
      <c r="I2771" s="97" t="str">
        <f t="shared" si="221"/>
        <v>NaturesPlus</v>
      </c>
      <c r="J2771" s="97" t="s">
        <v>1239</v>
      </c>
      <c r="K2771" s="29">
        <v>11.41</v>
      </c>
      <c r="L2771" s="29">
        <v>-2.74</v>
      </c>
      <c r="M2771" s="30">
        <f>IFERROR(VLOOKUP($A2771,HeadJournal!$A$1:$J$890,COLUMN(HeadJournal!I$1),0)*($K2771+$L2771)/(SUMIF($A:$A,$A2771,$K:$K)+SUMIF($A:$A,$A2771,$L:$L)),0)</f>
        <v>-1.7071332196604641</v>
      </c>
      <c r="N2771" s="30">
        <f>IFERROR((VLOOKUP($A2771,HeadJournal!$A$1:$K$890,COLUMN(HeadJournal!K$1),0)-VLOOKUP($A2771,HeadJournal!$A$1:$K$890,COLUMN(HeadJournal!J$1),0))*($K2771+$L2771)/(SUMIF($A:$A,$A2771,$K:$K)+SUMIF($A:$A,$A2771,$L:$L)),0)</f>
        <v>9.133969188286855E-16</v>
      </c>
      <c r="O2771" s="30">
        <f>IFERROR((VLOOKUP($A2771,HeadJournal!$A$1:$L$890,COLUMN(HeadJournal!L$1),0)*($K2771+$L2771)/(SUMIF($A:$A,$A2771,$K:$K)+SUMIF($A:$A,$A2771,$L:$L)))/VLOOKUP($A2771,HeadJournal!$A$1:$L$890,COLUMN(HeadJournal!H$1),0),0)</f>
        <v>0.95298934914904887</v>
      </c>
      <c r="P2771" s="30">
        <f>IFERROR(SUM(K2771:O2771)*VLOOKUP($A2771,HeadJournal!$A$1:$L$890,COLUMN(HeadJournal!H$1),0),0)</f>
        <v>814.40517087997648</v>
      </c>
      <c r="Q2771" s="29">
        <v>1800</v>
      </c>
      <c r="R2771" s="31">
        <v>45371</v>
      </c>
      <c r="S2771" s="31" t="s">
        <v>3121</v>
      </c>
      <c r="T2771" s="95" t="str">
        <f t="shared" si="222"/>
        <v>2024 03</v>
      </c>
      <c r="U2771" s="32">
        <f t="shared" si="218"/>
        <v>985.59482912002352</v>
      </c>
      <c r="V2771" s="22">
        <f t="shared" si="219"/>
        <v>1.2102020767563082</v>
      </c>
      <c r="X2771" s="33"/>
      <c r="Y2771" s="33"/>
    </row>
    <row r="2772" spans="1:25" x14ac:dyDescent="0.2">
      <c r="A2772" s="93" t="s">
        <v>1238</v>
      </c>
      <c r="B2772" s="94" t="str">
        <f>IFERROR(VLOOKUP($A2772,HeadJournal!$A$1:$NTR$890,COLUMN(HeadJournal!B$1),0),"")</f>
        <v>720000093209</v>
      </c>
      <c r="C2772" s="119" t="str">
        <f>IFERROR(VLOOKUP($A2772,HeadJournal!$A$1:$NTR$890,COLUMN(HeadJournal!C$1),0),"")</f>
        <v>iHerb_VP DFD1605</v>
      </c>
      <c r="D2772" s="125" t="str">
        <f>IFERROR(VLOOKUP($A2772,HeadJournal!$A$1:$NTR$890,COLUMN(HeadJournal!D$1),0),"")</f>
        <v>Доставлен</v>
      </c>
      <c r="E2772" s="95">
        <f>IFERROR(VLOOKUP($A2772,HeadJournal!$A$1:$NTR$890,COLUMN(HeadJournal!G$1),0),"")</f>
        <v>45308</v>
      </c>
      <c r="F2772" s="95" t="str">
        <f t="shared" si="220"/>
        <v>2024 01</v>
      </c>
      <c r="G2772" s="96" t="s">
        <v>5</v>
      </c>
      <c r="H2772" s="161" t="s">
        <v>2895</v>
      </c>
      <c r="I2772" s="97" t="s">
        <v>2666</v>
      </c>
      <c r="J2772" s="97" t="s">
        <v>3854</v>
      </c>
      <c r="K2772" s="29">
        <v>12.1</v>
      </c>
      <c r="L2772" s="29">
        <v>-2.42</v>
      </c>
      <c r="M2772" s="30">
        <f>IFERROR(VLOOKUP($A2772,HeadJournal!$A$1:$J$890,COLUMN(HeadJournal!I$1),0)*($K2772+$L2772)/(SUMIF($A:$A,$A2772,$K:$K)+SUMIF($A:$A,$A2772,$L:$L)),0)</f>
        <v>-1.9060034101860777</v>
      </c>
      <c r="N2772" s="30">
        <f>IFERROR((VLOOKUP($A2772,HeadJournal!$A$1:$K$890,COLUMN(HeadJournal!K$1),0)-VLOOKUP($A2772,HeadJournal!$A$1:$K$890,COLUMN(HeadJournal!J$1),0))*($K2772+$L2772)/(SUMIF($A:$A,$A2772,$K:$K)+SUMIF($A:$A,$A2772,$L:$L)),0)</f>
        <v>1.0198018655434459E-15</v>
      </c>
      <c r="O2772" s="30">
        <f>IFERROR((VLOOKUP($A2772,HeadJournal!$A$1:$L$890,COLUMN(HeadJournal!L$1),0)*($K2772+$L2772)/(SUMIF($A:$A,$A2772,$K:$K)+SUMIF($A:$A,$A2772,$L:$L)))/VLOOKUP($A2772,HeadJournal!$A$1:$L$890,COLUMN(HeadJournal!H$1),0),0)</f>
        <v>1.0640065628330788</v>
      </c>
      <c r="P2772" s="30">
        <f>IFERROR(SUM(K2772:O2772)*VLOOKUP($A2772,HeadJournal!$A$1:$L$890,COLUMN(HeadJournal!H$1),0),0)</f>
        <v>909.2782069340451</v>
      </c>
      <c r="Q2772" s="29">
        <v>2000</v>
      </c>
      <c r="R2772" s="31">
        <v>45593</v>
      </c>
      <c r="S2772" s="31" t="s">
        <v>3121</v>
      </c>
      <c r="T2772" s="95" t="str">
        <f t="shared" si="222"/>
        <v>2024 10</v>
      </c>
      <c r="U2772" s="32">
        <f t="shared" si="218"/>
        <v>1090.7217930659549</v>
      </c>
      <c r="V2772" s="22">
        <f t="shared" si="219"/>
        <v>1.1995468325846184</v>
      </c>
      <c r="X2772" s="33"/>
      <c r="Y2772" s="33"/>
    </row>
    <row r="2773" spans="1:25" x14ac:dyDescent="0.2">
      <c r="A2773" s="93" t="s">
        <v>1238</v>
      </c>
      <c r="B2773" s="94" t="str">
        <f>IFERROR(VLOOKUP($A2773,HeadJournal!$A$1:$NTR$890,COLUMN(HeadJournal!B$1),0),"")</f>
        <v>720000093209</v>
      </c>
      <c r="C2773" s="119" t="str">
        <f>IFERROR(VLOOKUP($A2773,HeadJournal!$A$1:$NTR$890,COLUMN(HeadJournal!C$1),0),"")</f>
        <v>iHerb_VP DFD1605</v>
      </c>
      <c r="D2773" s="125" t="str">
        <f>IFERROR(VLOOKUP($A2773,HeadJournal!$A$1:$NTR$890,COLUMN(HeadJournal!D$1),0),"")</f>
        <v>Доставлен</v>
      </c>
      <c r="E2773" s="95">
        <f>IFERROR(VLOOKUP($A2773,HeadJournal!$A$1:$NTR$890,COLUMN(HeadJournal!G$1),0),"")</f>
        <v>45308</v>
      </c>
      <c r="F2773" s="95" t="str">
        <f t="shared" si="220"/>
        <v>2024 01</v>
      </c>
      <c r="G2773" s="96" t="s">
        <v>5</v>
      </c>
      <c r="H2773" s="161" t="str">
        <f>RIGHT(Journal!$J2773,9)</f>
        <v>NAP-29996</v>
      </c>
      <c r="I2773" s="97" t="str">
        <f t="shared" si="221"/>
        <v>NaturesPlus</v>
      </c>
      <c r="J2773" s="97" t="s">
        <v>77</v>
      </c>
      <c r="K2773" s="29">
        <v>12.25</v>
      </c>
      <c r="L2773" s="29">
        <v>-2.4500000000000002</v>
      </c>
      <c r="M2773" s="30">
        <f>IFERROR(VLOOKUP($A2773,HeadJournal!$A$1:$J$890,COLUMN(HeadJournal!I$1),0)*($K2773+$L2773)/(SUMIF($A:$A,$A2773,$K:$K)+SUMIF($A:$A,$A2773,$L:$L)),0)</f>
        <v>-1.9296315516346656</v>
      </c>
      <c r="N2773" s="30">
        <f>IFERROR((VLOOKUP($A2773,HeadJournal!$A$1:$K$890,COLUMN(HeadJournal!K$1),0)-VLOOKUP($A2773,HeadJournal!$A$1:$K$890,COLUMN(HeadJournal!J$1),0))*($K2773+$L2773)/(SUMIF($A:$A,$A2773,$K:$K)+SUMIF($A:$A,$A2773,$L:$L)),0)</f>
        <v>1.0324440374303481E-15</v>
      </c>
      <c r="O2773" s="30">
        <f>IFERROR((VLOOKUP($A2773,HeadJournal!$A$1:$L$890,COLUMN(HeadJournal!L$1),0)*($K2773+$L2773)/(SUMIF($A:$A,$A2773,$K:$K)+SUMIF($A:$A,$A2773,$L:$L)))/VLOOKUP($A2773,HeadJournal!$A$1:$L$890,COLUMN(HeadJournal!H$1),0),0)</f>
        <v>1.0771967268351417</v>
      </c>
      <c r="P2773" s="30">
        <f>IFERROR(SUM(K2773:O2773)*VLOOKUP($A2773,HeadJournal!$A$1:$L$890,COLUMN(HeadJournal!H$1),0),0)</f>
        <v>920.5502508216573</v>
      </c>
      <c r="Q2773" s="29">
        <v>2000</v>
      </c>
      <c r="R2773" s="31">
        <v>45802</v>
      </c>
      <c r="S2773" s="31" t="s">
        <v>3121</v>
      </c>
      <c r="T2773" s="95" t="str">
        <f t="shared" si="222"/>
        <v>2025 05</v>
      </c>
      <c r="U2773" s="32">
        <f t="shared" si="218"/>
        <v>1079.4497491783427</v>
      </c>
      <c r="V2773" s="22">
        <f t="shared" si="219"/>
        <v>1.1726136060631738</v>
      </c>
      <c r="X2773" s="33"/>
      <c r="Y2773" s="33"/>
    </row>
    <row r="2774" spans="1:25" x14ac:dyDescent="0.2">
      <c r="A2774" s="93" t="s">
        <v>1238</v>
      </c>
      <c r="B2774" s="94" t="str">
        <f>IFERROR(VLOOKUP($A2774,HeadJournal!$A$1:$NTR$890,COLUMN(HeadJournal!B$1),0),"")</f>
        <v>720000093209</v>
      </c>
      <c r="C2774" s="119" t="str">
        <f>IFERROR(VLOOKUP($A2774,HeadJournal!$A$1:$NTR$890,COLUMN(HeadJournal!C$1),0),"")</f>
        <v>iHerb_VP DFD1605</v>
      </c>
      <c r="D2774" s="125" t="str">
        <f>IFERROR(VLOOKUP($A2774,HeadJournal!$A$1:$NTR$890,COLUMN(HeadJournal!D$1),0),"")</f>
        <v>Доставлен</v>
      </c>
      <c r="E2774" s="95">
        <f>IFERROR(VLOOKUP($A2774,HeadJournal!$A$1:$NTR$890,COLUMN(HeadJournal!G$1),0),"")</f>
        <v>45308</v>
      </c>
      <c r="F2774" s="95" t="str">
        <f t="shared" si="220"/>
        <v>2024 01</v>
      </c>
      <c r="G2774" s="96" t="s">
        <v>5</v>
      </c>
      <c r="H2774" s="161" t="str">
        <f>RIGHT(Journal!$J2774,9)</f>
        <v>NAP-29964</v>
      </c>
      <c r="I2774" s="97" t="str">
        <f t="shared" si="221"/>
        <v>NaturesPlus</v>
      </c>
      <c r="J2774" s="97" t="s">
        <v>1240</v>
      </c>
      <c r="K2774" s="29">
        <v>16.53</v>
      </c>
      <c r="L2774" s="29">
        <v>-3.31</v>
      </c>
      <c r="M2774" s="30">
        <f>IFERROR(VLOOKUP($A2774,HeadJournal!$A$1:$J$890,COLUMN(HeadJournal!I$1),0)*($K2774+$L2774)/(SUMIF($A:$A,$A2774,$K:$K)+SUMIF($A:$A,$A2774,$L:$L)),0)</f>
        <v>-2.6030335829194162</v>
      </c>
      <c r="N2774" s="30">
        <f>IFERROR((VLOOKUP($A2774,HeadJournal!$A$1:$K$890,COLUMN(HeadJournal!K$1),0)-VLOOKUP($A2774,HeadJournal!$A$1:$K$890,COLUMN(HeadJournal!J$1),0))*($K2774+$L2774)/(SUMIF($A:$A,$A2774,$K:$K)+SUMIF($A:$A,$A2774,$L:$L)),0)</f>
        <v>1.3927459362070615E-15</v>
      </c>
      <c r="O2774" s="30">
        <f>IFERROR((VLOOKUP($A2774,HeadJournal!$A$1:$L$890,COLUMN(HeadJournal!L$1),0)*($K2774+$L2774)/(SUMIF($A:$A,$A2774,$K:$K)+SUMIF($A:$A,$A2774,$L:$L)))/VLOOKUP($A2774,HeadJournal!$A$1:$L$890,COLUMN(HeadJournal!H$1),0),0)</f>
        <v>1.4531164008939361</v>
      </c>
      <c r="P2774" s="30">
        <f>IFERROR(SUM(K2774:O2774)*VLOOKUP($A2774,HeadJournal!$A$1:$L$890,COLUMN(HeadJournal!H$1),0),0)</f>
        <v>1241.8035016186031</v>
      </c>
      <c r="Q2774" s="29"/>
      <c r="R2774" s="31"/>
      <c r="S2774" s="31"/>
      <c r="T2774" s="95" t="str">
        <f t="shared" si="222"/>
        <v/>
      </c>
      <c r="U2774" s="32">
        <f t="shared" si="218"/>
        <v>-1241.8035016186031</v>
      </c>
      <c r="V2774" s="22" t="str">
        <f t="shared" si="219"/>
        <v/>
      </c>
      <c r="X2774" s="33"/>
      <c r="Y2774" s="33"/>
    </row>
    <row r="2775" spans="1:25" x14ac:dyDescent="0.2">
      <c r="A2775" s="93" t="s">
        <v>1238</v>
      </c>
      <c r="B2775" s="94" t="str">
        <f>IFERROR(VLOOKUP($A2775,HeadJournal!$A$1:$NTR$890,COLUMN(HeadJournal!B$1),0),"")</f>
        <v>720000093209</v>
      </c>
      <c r="C2775" s="119" t="str">
        <f>IFERROR(VLOOKUP($A2775,HeadJournal!$A$1:$NTR$890,COLUMN(HeadJournal!C$1),0),"")</f>
        <v>iHerb_VP DFD1605</v>
      </c>
      <c r="D2775" s="125" t="str">
        <f>IFERROR(VLOOKUP($A2775,HeadJournal!$A$1:$NTR$890,COLUMN(HeadJournal!D$1),0),"")</f>
        <v>Доставлен</v>
      </c>
      <c r="E2775" s="95">
        <f>IFERROR(VLOOKUP($A2775,HeadJournal!$A$1:$NTR$890,COLUMN(HeadJournal!G$1),0),"")</f>
        <v>45308</v>
      </c>
      <c r="F2775" s="95" t="str">
        <f t="shared" si="220"/>
        <v>2024 01</v>
      </c>
      <c r="G2775" s="96" t="s">
        <v>5</v>
      </c>
      <c r="H2775" s="161" t="s">
        <v>2196</v>
      </c>
      <c r="I2775" s="97" t="s">
        <v>2006</v>
      </c>
      <c r="J2775" s="97" t="s">
        <v>2197</v>
      </c>
      <c r="K2775" s="29">
        <v>17.14</v>
      </c>
      <c r="L2775" s="29">
        <v>-3.43</v>
      </c>
      <c r="M2775" s="30">
        <f>IFERROR(VLOOKUP($A2775,HeadJournal!$A$1:$J$890,COLUMN(HeadJournal!I$1),0)*($K2775+$L2775)/(SUMIF($A:$A,$A2775,$K:$K)+SUMIF($A:$A,$A2775,$L:$L)),0)</f>
        <v>-2.6995151605011496</v>
      </c>
      <c r="N2775" s="30">
        <f>IFERROR((VLOOKUP($A2775,HeadJournal!$A$1:$K$890,COLUMN(HeadJournal!K$1),0)-VLOOKUP($A2775,HeadJournal!$A$1:$K$890,COLUMN(HeadJournal!J$1),0))*($K2775+$L2775)/(SUMIF($A:$A,$A2775,$K:$K)+SUMIF($A:$A,$A2775,$L:$L)),0)</f>
        <v>1.4443681380785788E-15</v>
      </c>
      <c r="O2775" s="30">
        <f>IFERROR((VLOOKUP($A2775,HeadJournal!$A$1:$L$890,COLUMN(HeadJournal!L$1),0)*($K2775+$L2775)/(SUMIF($A:$A,$A2775,$K:$K)+SUMIF($A:$A,$A2775,$L:$L)))/VLOOKUP($A2775,HeadJournal!$A$1:$L$890,COLUMN(HeadJournal!H$1),0),0)</f>
        <v>1.506976237235693</v>
      </c>
      <c r="P2775" s="30">
        <f>IFERROR(SUM(K2775:O2775)*VLOOKUP($A2775,HeadJournal!$A$1:$L$890,COLUMN(HeadJournal!H$1),0),0)</f>
        <v>1287.831014159686</v>
      </c>
      <c r="Q2775" s="29">
        <v>2400</v>
      </c>
      <c r="R2775" s="31">
        <v>45363</v>
      </c>
      <c r="S2775" s="31" t="s">
        <v>3121</v>
      </c>
      <c r="T2775" s="95" t="str">
        <f t="shared" si="222"/>
        <v>2024 03</v>
      </c>
      <c r="U2775" s="32">
        <f t="shared" si="218"/>
        <v>1112.168985840314</v>
      </c>
      <c r="V2775" s="22">
        <f t="shared" si="219"/>
        <v>0.86359854174346617</v>
      </c>
      <c r="X2775" s="33"/>
      <c r="Y2775" s="33"/>
    </row>
    <row r="2776" spans="1:25" x14ac:dyDescent="0.2">
      <c r="A2776" s="93" t="s">
        <v>1238</v>
      </c>
      <c r="B2776" s="94" t="str">
        <f>IFERROR(VLOOKUP($A2776,HeadJournal!$A$1:$NTR$890,COLUMN(HeadJournal!B$1),0),"")</f>
        <v>720000093209</v>
      </c>
      <c r="C2776" s="119" t="str">
        <f>IFERROR(VLOOKUP($A2776,HeadJournal!$A$1:$NTR$890,COLUMN(HeadJournal!C$1),0),"")</f>
        <v>iHerb_VP DFD1605</v>
      </c>
      <c r="D2776" s="125" t="str">
        <f>IFERROR(VLOOKUP($A2776,HeadJournal!$A$1:$NTR$890,COLUMN(HeadJournal!D$1),0),"")</f>
        <v>Доставлен</v>
      </c>
      <c r="E2776" s="95">
        <f>IFERROR(VLOOKUP($A2776,HeadJournal!$A$1:$NTR$890,COLUMN(HeadJournal!G$1),0),"")</f>
        <v>45308</v>
      </c>
      <c r="F2776" s="95" t="str">
        <f t="shared" si="220"/>
        <v>2024 01</v>
      </c>
      <c r="G2776" s="96" t="s">
        <v>5</v>
      </c>
      <c r="H2776" s="161" t="s">
        <v>2025</v>
      </c>
      <c r="I2776" s="97" t="s">
        <v>2008</v>
      </c>
      <c r="J2776" s="97" t="s">
        <v>2026</v>
      </c>
      <c r="K2776" s="29">
        <v>18.45</v>
      </c>
      <c r="L2776" s="29">
        <v>-3.69</v>
      </c>
      <c r="M2776" s="30">
        <f>IFERROR(VLOOKUP($A2776,HeadJournal!$A$1:$J$890,COLUMN(HeadJournal!I$1),0)*($K2776+$L2776)/(SUMIF($A:$A,$A2776,$K:$K)+SUMIF($A:$A,$A2776,$L:$L)),0)</f>
        <v>-2.9062613981762921</v>
      </c>
      <c r="N2776" s="30">
        <f>IFERROR((VLOOKUP($A2776,HeadJournal!$A$1:$K$890,COLUMN(HeadJournal!K$1),0)-VLOOKUP($A2776,HeadJournal!$A$1:$K$890,COLUMN(HeadJournal!J$1),0))*($K2776+$L2776)/(SUMIF($A:$A,$A2776,$K:$K)+SUMIF($A:$A,$A2776,$L:$L)),0)</f>
        <v>1.5549871420889733E-15</v>
      </c>
      <c r="O2776" s="30">
        <f>IFERROR((VLOOKUP($A2776,HeadJournal!$A$1:$L$890,COLUMN(HeadJournal!L$1),0)*($K2776+$L2776)/(SUMIF($A:$A,$A2776,$K:$K)+SUMIF($A:$A,$A2776,$L:$L)))/VLOOKUP($A2776,HeadJournal!$A$1:$L$890,COLUMN(HeadJournal!H$1),0),0)</f>
        <v>1.6223901722537439</v>
      </c>
      <c r="P2776" s="30">
        <f>IFERROR(SUM(K2776:O2776)*VLOOKUP($A2776,HeadJournal!$A$1:$L$890,COLUMN(HeadJournal!H$1),0),0)</f>
        <v>1386.4613981762918</v>
      </c>
      <c r="Q2776" s="29">
        <v>2350</v>
      </c>
      <c r="R2776" s="31">
        <v>45346</v>
      </c>
      <c r="S2776" s="31" t="s">
        <v>3121</v>
      </c>
      <c r="T2776" s="95" t="str">
        <f t="shared" si="222"/>
        <v>2024 02</v>
      </c>
      <c r="U2776" s="32">
        <f t="shared" si="218"/>
        <v>963.53860182370818</v>
      </c>
      <c r="V2776" s="22">
        <f t="shared" si="219"/>
        <v>0.6949624440255725</v>
      </c>
      <c r="X2776" s="33"/>
      <c r="Y2776" s="33"/>
    </row>
    <row r="2777" spans="1:25" x14ac:dyDescent="0.2">
      <c r="A2777" s="93" t="s">
        <v>1238</v>
      </c>
      <c r="B2777" s="94" t="str">
        <f>IFERROR(VLOOKUP($A2777,HeadJournal!$A$1:$NTR$890,COLUMN(HeadJournal!B$1),0),"")</f>
        <v>720000093209</v>
      </c>
      <c r="C2777" s="119" t="str">
        <f>IFERROR(VLOOKUP($A2777,HeadJournal!$A$1:$NTR$890,COLUMN(HeadJournal!C$1),0),"")</f>
        <v>iHerb_VP DFD1605</v>
      </c>
      <c r="D2777" s="125" t="str">
        <f>IFERROR(VLOOKUP($A2777,HeadJournal!$A$1:$NTR$890,COLUMN(HeadJournal!D$1),0),"")</f>
        <v>Доставлен</v>
      </c>
      <c r="E2777" s="95">
        <f>IFERROR(VLOOKUP($A2777,HeadJournal!$A$1:$NTR$890,COLUMN(HeadJournal!G$1),0),"")</f>
        <v>45308</v>
      </c>
      <c r="F2777" s="95" t="str">
        <f t="shared" si="220"/>
        <v>2024 01</v>
      </c>
      <c r="G2777" s="96" t="s">
        <v>5</v>
      </c>
      <c r="H2777" s="161" t="s">
        <v>2025</v>
      </c>
      <c r="I2777" s="97" t="s">
        <v>2008</v>
      </c>
      <c r="J2777" s="97" t="s">
        <v>2026</v>
      </c>
      <c r="K2777" s="29">
        <v>18.45</v>
      </c>
      <c r="L2777" s="29">
        <v>-3.69</v>
      </c>
      <c r="M2777" s="30">
        <f>IFERROR(VLOOKUP($A2777,HeadJournal!$A$1:$J$890,COLUMN(HeadJournal!I$1),0)*($K2777+$L2777)/(SUMIF($A:$A,$A2777,$K:$K)+SUMIF($A:$A,$A2777,$L:$L)),0)</f>
        <v>-2.9062613981762921</v>
      </c>
      <c r="N2777" s="30">
        <f>IFERROR((VLOOKUP($A2777,HeadJournal!$A$1:$K$890,COLUMN(HeadJournal!K$1),0)-VLOOKUP($A2777,HeadJournal!$A$1:$K$890,COLUMN(HeadJournal!J$1),0))*($K2777+$L2777)/(SUMIF($A:$A,$A2777,$K:$K)+SUMIF($A:$A,$A2777,$L:$L)),0)</f>
        <v>1.5549871420889733E-15</v>
      </c>
      <c r="O2777" s="30">
        <f>IFERROR((VLOOKUP($A2777,HeadJournal!$A$1:$L$890,COLUMN(HeadJournal!L$1),0)*($K2777+$L2777)/(SUMIF($A:$A,$A2777,$K:$K)+SUMIF($A:$A,$A2777,$L:$L)))/VLOOKUP($A2777,HeadJournal!$A$1:$L$890,COLUMN(HeadJournal!H$1),0),0)</f>
        <v>1.6223901722537439</v>
      </c>
      <c r="P2777" s="30">
        <f>IFERROR(SUM(K2777:O2777)*VLOOKUP($A2777,HeadJournal!$A$1:$L$890,COLUMN(HeadJournal!H$1),0),0)</f>
        <v>1386.4613981762918</v>
      </c>
      <c r="Q2777" s="29">
        <v>2400</v>
      </c>
      <c r="R2777" s="31">
        <v>45346</v>
      </c>
      <c r="S2777" s="31" t="s">
        <v>3121</v>
      </c>
      <c r="T2777" s="95" t="str">
        <f t="shared" si="222"/>
        <v>2024 02</v>
      </c>
      <c r="U2777" s="32">
        <f t="shared" si="218"/>
        <v>1013.5386018237082</v>
      </c>
      <c r="V2777" s="22">
        <f t="shared" si="219"/>
        <v>0.73102547474952084</v>
      </c>
      <c r="X2777" s="33"/>
      <c r="Y2777" s="33"/>
    </row>
    <row r="2778" spans="1:25" x14ac:dyDescent="0.2">
      <c r="A2778" s="93" t="s">
        <v>1238</v>
      </c>
      <c r="B2778" s="94" t="str">
        <f>IFERROR(VLOOKUP($A2778,HeadJournal!$A$1:$NTR$890,COLUMN(HeadJournal!B$1),0),"")</f>
        <v>720000093209</v>
      </c>
      <c r="C2778" s="119" t="str">
        <f>IFERROR(VLOOKUP($A2778,HeadJournal!$A$1:$NTR$890,COLUMN(HeadJournal!C$1),0),"")</f>
        <v>iHerb_VP DFD1605</v>
      </c>
      <c r="D2778" s="125" t="str">
        <f>IFERROR(VLOOKUP($A2778,HeadJournal!$A$1:$NTR$890,COLUMN(HeadJournal!D$1),0),"")</f>
        <v>Доставлен</v>
      </c>
      <c r="E2778" s="95">
        <f>IFERROR(VLOOKUP($A2778,HeadJournal!$A$1:$NTR$890,COLUMN(HeadJournal!G$1),0),"")</f>
        <v>45308</v>
      </c>
      <c r="F2778" s="95" t="str">
        <f t="shared" si="220"/>
        <v>2024 01</v>
      </c>
      <c r="G2778" s="96" t="s">
        <v>5</v>
      </c>
      <c r="H2778" s="161" t="str">
        <f>RIGHT(Journal!$J2778,9)</f>
        <v>CGN-02006</v>
      </c>
      <c r="I2778" s="97" t="str">
        <f t="shared" si="221"/>
        <v>California Gold Nutrition</v>
      </c>
      <c r="J2778" s="97" t="s">
        <v>1241</v>
      </c>
      <c r="K2778" s="29">
        <v>11.87</v>
      </c>
      <c r="L2778" s="29">
        <v>-5.94</v>
      </c>
      <c r="M2778" s="30">
        <f>IFERROR(VLOOKUP($A2778,HeadJournal!$A$1:$J$890,COLUMN(HeadJournal!I$1),0)*($K2778+$L2778)/(SUMIF($A:$A,$A2778,$K:$K)+SUMIF($A:$A,$A2778,$L:$L)),0)</f>
        <v>-1.1676239899177105</v>
      </c>
      <c r="N2778" s="30">
        <f>IFERROR((VLOOKUP($A2778,HeadJournal!$A$1:$K$890,COLUMN(HeadJournal!K$1),0)-VLOOKUP($A2778,HeadJournal!$A$1:$K$890,COLUMN(HeadJournal!J$1),0))*($K2778+$L2778)/(SUMIF($A:$A,$A2778,$K:$K)+SUMIF($A:$A,$A2778,$L:$L)),0)</f>
        <v>6.2473399407775126E-16</v>
      </c>
      <c r="O2778" s="30">
        <f>IFERROR((VLOOKUP($A2778,HeadJournal!$A$1:$L$890,COLUMN(HeadJournal!L$1),0)*($K2778+$L2778)/(SUMIF($A:$A,$A2778,$K:$K)+SUMIF($A:$A,$A2778,$L:$L)))/VLOOKUP($A2778,HeadJournal!$A$1:$L$890,COLUMN(HeadJournal!H$1),0),0)</f>
        <v>0.65181393776861107</v>
      </c>
      <c r="P2778" s="30">
        <f>IFERROR(SUM(K2778:O2778)*VLOOKUP($A2778,HeadJournal!$A$1:$L$890,COLUMN(HeadJournal!H$1),0),0)</f>
        <v>557.02683544616605</v>
      </c>
      <c r="Q2778" s="29"/>
      <c r="R2778" s="31"/>
      <c r="S2778" s="31"/>
      <c r="T2778" s="95" t="str">
        <f t="shared" si="222"/>
        <v/>
      </c>
      <c r="U2778" s="32">
        <f t="shared" si="218"/>
        <v>-557.02683544616605</v>
      </c>
      <c r="V2778" s="22" t="str">
        <f t="shared" si="219"/>
        <v/>
      </c>
      <c r="X2778" s="33"/>
      <c r="Y2778" s="33"/>
    </row>
    <row r="2779" spans="1:25" x14ac:dyDescent="0.2">
      <c r="A2779" s="93" t="s">
        <v>1238</v>
      </c>
      <c r="B2779" s="94" t="str">
        <f>IFERROR(VLOOKUP($A2779,HeadJournal!$A$1:$NTR$890,COLUMN(HeadJournal!B$1),0),"")</f>
        <v>720000093209</v>
      </c>
      <c r="C2779" s="119" t="str">
        <f>IFERROR(VLOOKUP($A2779,HeadJournal!$A$1:$NTR$890,COLUMN(HeadJournal!C$1),0),"")</f>
        <v>iHerb_VP DFD1605</v>
      </c>
      <c r="D2779" s="125" t="str">
        <f>IFERROR(VLOOKUP($A2779,HeadJournal!$A$1:$NTR$890,COLUMN(HeadJournal!D$1),0),"")</f>
        <v>Доставлен</v>
      </c>
      <c r="E2779" s="95">
        <f>IFERROR(VLOOKUP($A2779,HeadJournal!$A$1:$NTR$890,COLUMN(HeadJournal!G$1),0),"")</f>
        <v>45308</v>
      </c>
      <c r="F2779" s="95" t="str">
        <f t="shared" si="220"/>
        <v>2024 01</v>
      </c>
      <c r="G2779" s="96" t="s">
        <v>6</v>
      </c>
      <c r="H2779" s="161" t="str">
        <f>RIGHT(Journal!$J2779,9)</f>
        <v>OPN-02450</v>
      </c>
      <c r="I2779" s="97" t="str">
        <f t="shared" si="221"/>
        <v>Optimum Nutrition</v>
      </c>
      <c r="J2779" s="97" t="s">
        <v>1242</v>
      </c>
      <c r="K2779" s="29">
        <v>21.41</v>
      </c>
      <c r="L2779" s="29">
        <v>-4.28</v>
      </c>
      <c r="M2779" s="30">
        <f>IFERROR(VLOOKUP($A2779,HeadJournal!$A$1:$J$890,COLUMN(HeadJournal!I$1),0)*($K2779+$L2779)/(SUMIF($A:$A,$A2779,$K:$K)+SUMIF($A:$A,$A2779,$L:$L)),0)</f>
        <v>-3.3729171917858998</v>
      </c>
      <c r="N2779" s="30">
        <f>IFERROR((VLOOKUP($A2779,HeadJournal!$A$1:$K$890,COLUMN(HeadJournal!K$1),0)-VLOOKUP($A2779,HeadJournal!$A$1:$K$890,COLUMN(HeadJournal!J$1),0))*($K2779+$L2779)/(SUMIF($A:$A,$A2779,$K:$K)+SUMIF($A:$A,$A2779,$L:$L)),0)</f>
        <v>1.8046700368552918E-15</v>
      </c>
      <c r="O2779" s="30">
        <f>IFERROR((VLOOKUP($A2779,HeadJournal!$A$1:$L$890,COLUMN(HeadJournal!L$1),0)*($K2779+$L2779)/(SUMIF($A:$A,$A2779,$K:$K)+SUMIF($A:$A,$A2779,$L:$L)))/VLOOKUP($A2779,HeadJournal!$A$1:$L$890,COLUMN(HeadJournal!H$1),0),0)</f>
        <v>1.8828959112944872</v>
      </c>
      <c r="P2779" s="30">
        <f>IFERROR(SUM(K2779:O2779)*VLOOKUP($A2779,HeadJournal!$A$1:$L$890,COLUMN(HeadJournal!H$1),0),0)</f>
        <v>1609.0842649566314</v>
      </c>
      <c r="Q2779" s="29">
        <v>2400</v>
      </c>
      <c r="R2779" s="31">
        <v>45595</v>
      </c>
      <c r="S2779" s="31" t="s">
        <v>3121</v>
      </c>
      <c r="T2779" s="95" t="str">
        <f t="shared" si="222"/>
        <v>2024 10</v>
      </c>
      <c r="U2779" s="32">
        <f t="shared" si="218"/>
        <v>790.91573504336861</v>
      </c>
      <c r="V2779" s="22">
        <f t="shared" si="219"/>
        <v>0.49153158244617207</v>
      </c>
      <c r="X2779" s="33"/>
      <c r="Y2779" s="33"/>
    </row>
    <row r="2780" spans="1:25" x14ac:dyDescent="0.2">
      <c r="A2780" s="93" t="s">
        <v>1238</v>
      </c>
      <c r="B2780" s="94" t="str">
        <f>IFERROR(VLOOKUP($A2780,HeadJournal!$A$1:$NTR$890,COLUMN(HeadJournal!B$1),0),"")</f>
        <v>720000093209</v>
      </c>
      <c r="C2780" s="119" t="str">
        <f>IFERROR(VLOOKUP($A2780,HeadJournal!$A$1:$NTR$890,COLUMN(HeadJournal!C$1),0),"")</f>
        <v>iHerb_VP DFD1605</v>
      </c>
      <c r="D2780" s="125" t="str">
        <f>IFERROR(VLOOKUP($A2780,HeadJournal!$A$1:$NTR$890,COLUMN(HeadJournal!D$1),0),"")</f>
        <v>Доставлен</v>
      </c>
      <c r="E2780" s="95">
        <f>IFERROR(VLOOKUP($A2780,HeadJournal!$A$1:$NTR$890,COLUMN(HeadJournal!G$1),0),"")</f>
        <v>45308</v>
      </c>
      <c r="F2780" s="95" t="str">
        <f t="shared" si="220"/>
        <v>2024 01</v>
      </c>
      <c r="G2780" s="96" t="s">
        <v>5</v>
      </c>
      <c r="H2780" s="161" t="s">
        <v>3641</v>
      </c>
      <c r="I2780" s="97" t="s">
        <v>2681</v>
      </c>
      <c r="J2780" s="97" t="s">
        <v>3687</v>
      </c>
      <c r="K2780" s="29">
        <v>11.63</v>
      </c>
      <c r="L2780" s="29">
        <v>-2.3250000000000002</v>
      </c>
      <c r="M2780" s="30">
        <f>IFERROR(VLOOKUP($A2780,HeadJournal!$A$1:$J$890,COLUMN(HeadJournal!I$1),0)*($K2780+$L2780)/(SUMIF($A:$A,$A2780,$K:$K)+SUMIF($A:$A,$A2780,$L:$L)),0)</f>
        <v>-1.832165468159241</v>
      </c>
      <c r="N2780" s="30">
        <f>IFERROR((VLOOKUP($A2780,HeadJournal!$A$1:$K$890,COLUMN(HeadJournal!K$1),0)-VLOOKUP($A2780,HeadJournal!$A$1:$K$890,COLUMN(HeadJournal!J$1),0))*($K2780+$L2780)/(SUMIF($A:$A,$A2780,$K:$K)+SUMIF($A:$A,$A2780,$L:$L)),0)</f>
        <v>9.8029507839687635E-16</v>
      </c>
      <c r="O2780" s="30">
        <f>IFERROR((VLOOKUP($A2780,HeadJournal!$A$1:$L$890,COLUMN(HeadJournal!L$1),0)*($K2780+$L2780)/(SUMIF($A:$A,$A2780,$K:$K)+SUMIF($A:$A,$A2780,$L:$L)))/VLOOKUP($A2780,HeadJournal!$A$1:$L$890,COLUMN(HeadJournal!H$1),0),0)</f>
        <v>1.0227873003266319</v>
      </c>
      <c r="P2780" s="30">
        <f>IFERROR(SUM(K2780:O2780)*VLOOKUP($A2780,HeadJournal!$A$1:$L$890,COLUMN(HeadJournal!H$1),0),0)</f>
        <v>874.05306978525721</v>
      </c>
      <c r="Q2780" s="29">
        <v>1800</v>
      </c>
      <c r="R2780" s="31">
        <v>45635</v>
      </c>
      <c r="S2780" s="31" t="s">
        <v>3121</v>
      </c>
      <c r="T2780" s="95" t="str">
        <f t="shared" si="222"/>
        <v>2024 12</v>
      </c>
      <c r="U2780" s="32">
        <f t="shared" si="218"/>
        <v>925.94693021474279</v>
      </c>
      <c r="V2780" s="22">
        <f t="shared" si="219"/>
        <v>1.0593715212764314</v>
      </c>
      <c r="X2780" s="33"/>
      <c r="Y2780" s="33"/>
    </row>
    <row r="2781" spans="1:25" x14ac:dyDescent="0.2">
      <c r="A2781" s="93" t="s">
        <v>1238</v>
      </c>
      <c r="B2781" s="94" t="str">
        <f>IFERROR(VLOOKUP($A2781,HeadJournal!$A$1:$NTR$890,COLUMN(HeadJournal!B$1),0),"")</f>
        <v>720000093209</v>
      </c>
      <c r="C2781" s="119" t="str">
        <f>IFERROR(VLOOKUP($A2781,HeadJournal!$A$1:$NTR$890,COLUMN(HeadJournal!C$1),0),"")</f>
        <v>iHerb_VP DFD1605</v>
      </c>
      <c r="D2781" s="125" t="str">
        <f>IFERROR(VLOOKUP($A2781,HeadJournal!$A$1:$NTR$890,COLUMN(HeadJournal!D$1),0),"")</f>
        <v>Доставлен</v>
      </c>
      <c r="E2781" s="95">
        <f>IFERROR(VLOOKUP($A2781,HeadJournal!$A$1:$NTR$890,COLUMN(HeadJournal!G$1),0),"")</f>
        <v>45308</v>
      </c>
      <c r="F2781" s="95" t="str">
        <f t="shared" si="220"/>
        <v>2024 01</v>
      </c>
      <c r="G2781" s="96" t="s">
        <v>5</v>
      </c>
      <c r="H2781" s="161" t="s">
        <v>3641</v>
      </c>
      <c r="I2781" s="97" t="s">
        <v>2681</v>
      </c>
      <c r="J2781" s="97" t="s">
        <v>3687</v>
      </c>
      <c r="K2781" s="29">
        <v>11.63</v>
      </c>
      <c r="L2781" s="29">
        <v>-2.3250000000000002</v>
      </c>
      <c r="M2781" s="30">
        <f>IFERROR(VLOOKUP($A2781,HeadJournal!$A$1:$J$890,COLUMN(HeadJournal!I$1),0)*($K2781+$L2781)/(SUMIF($A:$A,$A2781,$K:$K)+SUMIF($A:$A,$A2781,$L:$L)),0)</f>
        <v>-1.832165468159241</v>
      </c>
      <c r="N2781" s="30">
        <f>IFERROR((VLOOKUP($A2781,HeadJournal!$A$1:$K$890,COLUMN(HeadJournal!K$1),0)-VLOOKUP($A2781,HeadJournal!$A$1:$K$890,COLUMN(HeadJournal!J$1),0))*($K2781+$L2781)/(SUMIF($A:$A,$A2781,$K:$K)+SUMIF($A:$A,$A2781,$L:$L)),0)</f>
        <v>9.8029507839687635E-16</v>
      </c>
      <c r="O2781" s="30">
        <f>IFERROR((VLOOKUP($A2781,HeadJournal!$A$1:$L$890,COLUMN(HeadJournal!L$1),0)*($K2781+$L2781)/(SUMIF($A:$A,$A2781,$K:$K)+SUMIF($A:$A,$A2781,$L:$L)))/VLOOKUP($A2781,HeadJournal!$A$1:$L$890,COLUMN(HeadJournal!H$1),0),0)</f>
        <v>1.0227873003266319</v>
      </c>
      <c r="P2781" s="30">
        <f>IFERROR(SUM(K2781:O2781)*VLOOKUP($A2781,HeadJournal!$A$1:$L$890,COLUMN(HeadJournal!H$1),0),0)</f>
        <v>874.05306978525721</v>
      </c>
      <c r="Q2781" s="29">
        <v>1700</v>
      </c>
      <c r="R2781" s="31">
        <v>46144</v>
      </c>
      <c r="S2781" s="31"/>
      <c r="T2781" s="95" t="str">
        <f t="shared" si="222"/>
        <v>2026 05</v>
      </c>
      <c r="U2781" s="32">
        <f t="shared" si="218"/>
        <v>825.94693021474279</v>
      </c>
      <c r="V2781" s="22">
        <f t="shared" si="219"/>
        <v>0.9449619923166297</v>
      </c>
      <c r="X2781" s="33"/>
      <c r="Y2781" s="33"/>
    </row>
    <row r="2782" spans="1:25" x14ac:dyDescent="0.2">
      <c r="A2782" s="93" t="s">
        <v>1243</v>
      </c>
      <c r="B2782" s="94">
        <f>IFERROR(VLOOKUP($A2782,HeadJournal!$A$1:$NTR$890,COLUMN(HeadJournal!B$1),0),"")</f>
        <v>0</v>
      </c>
      <c r="C2782" s="94" t="str">
        <f>IFERROR(VLOOKUP($A2782,HeadJournal!$A$1:$NTR$890,COLUMN(HeadJournal!C$1),0),"")</f>
        <v>NSP</v>
      </c>
      <c r="D2782" s="125" t="str">
        <f>IFERROR(VLOOKUP($A2782,HeadJournal!$A$1:$NTR$890,COLUMN(HeadJournal!D$1),0),"")</f>
        <v>Доставлен</v>
      </c>
      <c r="E2782" s="95">
        <f>IFERROR(VLOOKUP($A2782,HeadJournal!$A$1:$NTR$890,COLUMN(HeadJournal!G$1),0),"")</f>
        <v>45304</v>
      </c>
      <c r="F2782" s="95" t="str">
        <f t="shared" si="220"/>
        <v>2024 01</v>
      </c>
      <c r="G2782" s="96" t="s">
        <v>5</v>
      </c>
      <c r="H2782" s="161" t="s">
        <v>5668</v>
      </c>
      <c r="I2782" s="97" t="s">
        <v>1395</v>
      </c>
      <c r="J2782" s="97" t="s">
        <v>5669</v>
      </c>
      <c r="K2782" s="29">
        <v>3600.66</v>
      </c>
      <c r="L2782" s="29">
        <v>0</v>
      </c>
      <c r="M2782" s="30">
        <f>IFERROR(VLOOKUP($A2782,HeadJournal!$A$1:$J$890,COLUMN(HeadJournal!I$1),0)*($K2782+$L2782)/(SUMIF($A:$A,$A2782,$K:$K)+SUMIF($A:$A,$A2782,$L:$L)),0)</f>
        <v>0</v>
      </c>
      <c r="N2782" s="30">
        <f>IFERROR((VLOOKUP($A2782,HeadJournal!$A$1:$K$890,COLUMN(HeadJournal!K$1),0)-VLOOKUP($A2782,HeadJournal!$A$1:$K$890,COLUMN(HeadJournal!J$1),0))*($K2782+$L2782)/(SUMIF($A:$A,$A2782,$K:$K)+SUMIF($A:$A,$A2782,$L:$L)),0)</f>
        <v>0</v>
      </c>
      <c r="O2782" s="30">
        <f>IFERROR((VLOOKUP($A2782,HeadJournal!$A$1:$L$890,COLUMN(HeadJournal!L$1),0)*($K2782+$L2782)/(SUMIF($A:$A,$A2782,$K:$K)+SUMIF($A:$A,$A2782,$L:$L)))/VLOOKUP($A2782,HeadJournal!$A$1:$L$890,COLUMN(HeadJournal!H$1),0),0)</f>
        <v>59.999999999999993</v>
      </c>
      <c r="P2782" s="30">
        <f>IFERROR(SUM(K2782:O2782)*VLOOKUP($A2782,HeadJournal!$A$1:$L$890,COLUMN(HeadJournal!H$1),0),0)</f>
        <v>3660.66</v>
      </c>
      <c r="Q2782" s="29">
        <v>4800</v>
      </c>
      <c r="R2782" s="31">
        <v>45321</v>
      </c>
      <c r="S2782" s="31" t="s">
        <v>3121</v>
      </c>
      <c r="T2782" s="95" t="str">
        <f t="shared" si="222"/>
        <v>2024 01</v>
      </c>
      <c r="U2782" s="32">
        <f t="shared" si="218"/>
        <v>1139.3400000000001</v>
      </c>
      <c r="V2782" s="22">
        <f t="shared" si="219"/>
        <v>0.31123895690940984</v>
      </c>
      <c r="X2782" s="33"/>
      <c r="Y2782" s="33"/>
    </row>
    <row r="2783" spans="1:25" x14ac:dyDescent="0.2">
      <c r="A2783" s="93" t="s">
        <v>1244</v>
      </c>
      <c r="B2783" s="94">
        <f>IFERROR(VLOOKUP($A2783,HeadJournal!$A$1:$NTR$890,COLUMN(HeadJournal!B$1),0),"")</f>
        <v>0</v>
      </c>
      <c r="C2783" s="94" t="str">
        <f>IFERROR(VLOOKUP($A2783,HeadJournal!$A$1:$NTR$890,COLUMN(HeadJournal!C$1),0),"")</f>
        <v>OZON_AV</v>
      </c>
      <c r="D2783" s="125" t="str">
        <f>IFERROR(VLOOKUP($A2783,HeadJournal!$A$1:$NTR$890,COLUMN(HeadJournal!D$1),0),"")</f>
        <v>Доставлен</v>
      </c>
      <c r="E2783" s="95">
        <f>IFERROR(VLOOKUP($A2783,HeadJournal!$A$1:$NTR$890,COLUMN(HeadJournal!G$1),0),"")</f>
        <v>45298</v>
      </c>
      <c r="F2783" s="95" t="str">
        <f t="shared" si="220"/>
        <v>2024 01</v>
      </c>
      <c r="G2783" s="96" t="s">
        <v>6</v>
      </c>
      <c r="H2783" s="161" t="str">
        <f>RIGHT(Journal!$J2783,9)</f>
        <v>715218620</v>
      </c>
      <c r="I2783" s="97" t="str">
        <f t="shared" ref="I2783:I2801" si="223">IFERROR(LEFT(J2783,FIND(",",J2783)-1),"")</f>
        <v>R-Line</v>
      </c>
      <c r="J2783" s="97" t="s">
        <v>1245</v>
      </c>
      <c r="K2783" s="29">
        <v>3664</v>
      </c>
      <c r="L2783" s="29">
        <v>0</v>
      </c>
      <c r="M2783" s="30">
        <f>IFERROR(VLOOKUP($A2783,HeadJournal!$A$1:$J$890,COLUMN(HeadJournal!I$1),0)*($K2783+$L2783)/(SUMIF($A:$A,$A2783,$K:$K)+SUMIF($A:$A,$A2783,$L:$L)),0)</f>
        <v>0</v>
      </c>
      <c r="N2783" s="30">
        <f>IFERROR((VLOOKUP($A2783,HeadJournal!$A$1:$K$890,COLUMN(HeadJournal!K$1),0)-VLOOKUP($A2783,HeadJournal!$A$1:$K$890,COLUMN(HeadJournal!J$1),0))*($K2783+$L2783)/(SUMIF($A:$A,$A2783,$K:$K)+SUMIF($A:$A,$A2783,$L:$L)),0)</f>
        <v>0</v>
      </c>
      <c r="O2783" s="30">
        <f>IFERROR((VLOOKUP($A2783,HeadJournal!$A$1:$L$890,COLUMN(HeadJournal!L$1),0)*($K2783+$L2783)/(SUMIF($A:$A,$A2783,$K:$K)+SUMIF($A:$A,$A2783,$L:$L)))/VLOOKUP($A2783,HeadJournal!$A$1:$L$890,COLUMN(HeadJournal!H$1),0),0)</f>
        <v>147.47205795845073</v>
      </c>
      <c r="P2783" s="30">
        <f>IFERROR(SUM(K2783:O2783)*VLOOKUP($A2783,HeadJournal!$A$1:$L$890,COLUMN(HeadJournal!H$1),0),0)</f>
        <v>3811.4720579584509</v>
      </c>
      <c r="Q2783" s="29">
        <v>4500</v>
      </c>
      <c r="R2783" s="31">
        <v>45649</v>
      </c>
      <c r="S2783" s="31" t="s">
        <v>3121</v>
      </c>
      <c r="T2783" s="95" t="str">
        <f t="shared" si="222"/>
        <v>2024 12</v>
      </c>
      <c r="U2783" s="32">
        <f t="shared" si="218"/>
        <v>688.52794204154907</v>
      </c>
      <c r="V2783" s="22">
        <f t="shared" si="219"/>
        <v>0.18064619957107783</v>
      </c>
      <c r="X2783" s="33"/>
      <c r="Y2783" s="33"/>
    </row>
    <row r="2784" spans="1:25" x14ac:dyDescent="0.2">
      <c r="A2784" s="93" t="s">
        <v>1246</v>
      </c>
      <c r="B2784" s="94">
        <f>IFERROR(VLOOKUP($A2784,HeadJournal!$A$1:$NTR$890,COLUMN(HeadJournal!B$1),0),"")</f>
        <v>0</v>
      </c>
      <c r="C2784" s="94" t="str">
        <f>IFERROR(VLOOKUP($A2784,HeadJournal!$A$1:$NTR$890,COLUMN(HeadJournal!C$1),0),"")</f>
        <v>WBRS</v>
      </c>
      <c r="D2784" s="125" t="str">
        <f>IFERROR(VLOOKUP($A2784,HeadJournal!$A$1:$NTR$890,COLUMN(HeadJournal!D$1),0),"")</f>
        <v>Доставлен</v>
      </c>
      <c r="E2784" s="95">
        <f>IFERROR(VLOOKUP($A2784,HeadJournal!$A$1:$NTR$890,COLUMN(HeadJournal!G$1),0),"")</f>
        <v>45309</v>
      </c>
      <c r="F2784" s="95" t="str">
        <f t="shared" si="220"/>
        <v>2024 01</v>
      </c>
      <c r="G2784" s="96" t="s">
        <v>6</v>
      </c>
      <c r="H2784" s="161" t="str">
        <f>RIGHT(Journal!$J2784,9)</f>
        <v>176330234</v>
      </c>
      <c r="I2784" s="97" t="str">
        <f t="shared" si="223"/>
        <v>Red Ginseng</v>
      </c>
      <c r="J2784" s="97" t="s">
        <v>1247</v>
      </c>
      <c r="K2784" s="29">
        <v>1305</v>
      </c>
      <c r="L2784" s="29">
        <v>0</v>
      </c>
      <c r="M2784" s="30">
        <f>IFERROR(VLOOKUP($A2784,HeadJournal!$A$1:$J$890,COLUMN(HeadJournal!I$1),0)*($K2784+$L2784)/(SUMIF($A:$A,$A2784,$K:$K)+SUMIF($A:$A,$A2784,$L:$L)),0)</f>
        <v>0</v>
      </c>
      <c r="N2784" s="30">
        <f>IFERROR((VLOOKUP($A2784,HeadJournal!$A$1:$K$890,COLUMN(HeadJournal!K$1),0)-VLOOKUP($A2784,HeadJournal!$A$1:$K$890,COLUMN(HeadJournal!J$1),0))*($K2784+$L2784)/(SUMIF($A:$A,$A2784,$K:$K)+SUMIF($A:$A,$A2784,$L:$L)),0)</f>
        <v>0</v>
      </c>
      <c r="O2784" s="30">
        <f>IFERROR((VLOOKUP($A2784,HeadJournal!$A$1:$L$890,COLUMN(HeadJournal!L$1),0)*($K2784+$L2784)/(SUMIF($A:$A,$A2784,$K:$K)+SUMIF($A:$A,$A2784,$L:$L)))/VLOOKUP($A2784,HeadJournal!$A$1:$L$890,COLUMN(HeadJournal!H$1),0),0)</f>
        <v>52.524845970463481</v>
      </c>
      <c r="P2784" s="30">
        <f>IFERROR(SUM(K2784:O2784)*VLOOKUP($A2784,HeadJournal!$A$1:$L$890,COLUMN(HeadJournal!H$1),0),0)</f>
        <v>1357.5248459704635</v>
      </c>
      <c r="Q2784" s="29">
        <v>1900</v>
      </c>
      <c r="R2784" s="31">
        <v>45310</v>
      </c>
      <c r="S2784" s="31" t="s">
        <v>3121</v>
      </c>
      <c r="T2784" s="95" t="str">
        <f t="shared" si="222"/>
        <v>2024 01</v>
      </c>
      <c r="U2784" s="32">
        <f t="shared" si="218"/>
        <v>542.4751540295365</v>
      </c>
      <c r="V2784" s="22">
        <f t="shared" si="219"/>
        <v>0.39960605924802312</v>
      </c>
      <c r="X2784" s="33"/>
      <c r="Y2784" s="33"/>
    </row>
    <row r="2785" spans="1:25" x14ac:dyDescent="0.2">
      <c r="A2785" s="93" t="s">
        <v>1246</v>
      </c>
      <c r="B2785" s="94">
        <f>IFERROR(VLOOKUP($A2785,HeadJournal!$A$1:$NTR$890,COLUMN(HeadJournal!B$1),0),"")</f>
        <v>0</v>
      </c>
      <c r="C2785" s="94" t="str">
        <f>IFERROR(VLOOKUP($A2785,HeadJournal!$A$1:$NTR$890,COLUMN(HeadJournal!C$1),0),"")</f>
        <v>WBRS</v>
      </c>
      <c r="D2785" s="125" t="str">
        <f>IFERROR(VLOOKUP($A2785,HeadJournal!$A$1:$NTR$890,COLUMN(HeadJournal!D$1),0),"")</f>
        <v>Доставлен</v>
      </c>
      <c r="E2785" s="95">
        <f>IFERROR(VLOOKUP($A2785,HeadJournal!$A$1:$NTR$890,COLUMN(HeadJournal!G$1),0),"")</f>
        <v>45309</v>
      </c>
      <c r="F2785" s="95" t="str">
        <f t="shared" si="220"/>
        <v>2024 01</v>
      </c>
      <c r="G2785" s="96" t="s">
        <v>6</v>
      </c>
      <c r="H2785" s="161" t="str">
        <f>RIGHT(Journal!$J2785,9)</f>
        <v>176330234</v>
      </c>
      <c r="I2785" s="97" t="str">
        <f t="shared" si="223"/>
        <v>Red Ginseng</v>
      </c>
      <c r="J2785" s="97" t="s">
        <v>1247</v>
      </c>
      <c r="K2785" s="29">
        <v>1135</v>
      </c>
      <c r="L2785" s="29">
        <v>0</v>
      </c>
      <c r="M2785" s="30">
        <f>IFERROR(VLOOKUP($A2785,HeadJournal!$A$1:$J$890,COLUMN(HeadJournal!I$1),0)*($K2785+$L2785)/(SUMIF($A:$A,$A2785,$K:$K)+SUMIF($A:$A,$A2785,$L:$L)),0)</f>
        <v>0</v>
      </c>
      <c r="N2785" s="30">
        <f>IFERROR((VLOOKUP($A2785,HeadJournal!$A$1:$K$890,COLUMN(HeadJournal!K$1),0)-VLOOKUP($A2785,HeadJournal!$A$1:$K$890,COLUMN(HeadJournal!J$1),0))*($K2785+$L2785)/(SUMIF($A:$A,$A2785,$K:$K)+SUMIF($A:$A,$A2785,$L:$L)),0)</f>
        <v>0</v>
      </c>
      <c r="O2785" s="30">
        <f>IFERROR((VLOOKUP($A2785,HeadJournal!$A$1:$L$890,COLUMN(HeadJournal!L$1),0)*($K2785+$L2785)/(SUMIF($A:$A,$A2785,$K:$K)+SUMIF($A:$A,$A2785,$L:$L)))/VLOOKUP($A2785,HeadJournal!$A$1:$L$890,COLUMN(HeadJournal!H$1),0),0)</f>
        <v>45.682528870862875</v>
      </c>
      <c r="P2785" s="30">
        <f>IFERROR(SUM(K2785:O2785)*VLOOKUP($A2785,HeadJournal!$A$1:$L$890,COLUMN(HeadJournal!H$1),0),0)</f>
        <v>1180.6825288708628</v>
      </c>
      <c r="Q2785" s="29">
        <v>1900</v>
      </c>
      <c r="R2785" s="31">
        <v>45310</v>
      </c>
      <c r="S2785" s="31" t="s">
        <v>3121</v>
      </c>
      <c r="T2785" s="95" t="str">
        <f t="shared" si="222"/>
        <v>2024 01</v>
      </c>
      <c r="U2785" s="32">
        <f t="shared" si="218"/>
        <v>719.31747112913718</v>
      </c>
      <c r="V2785" s="22">
        <f t="shared" si="219"/>
        <v>0.60923868486226451</v>
      </c>
      <c r="X2785" s="33"/>
      <c r="Y2785" s="33"/>
    </row>
    <row r="2786" spans="1:25" x14ac:dyDescent="0.2">
      <c r="A2786" s="93" t="s">
        <v>1246</v>
      </c>
      <c r="B2786" s="94">
        <f>IFERROR(VLOOKUP($A2786,HeadJournal!$A$1:$NTR$890,COLUMN(HeadJournal!B$1),0),"")</f>
        <v>0</v>
      </c>
      <c r="C2786" s="94" t="str">
        <f>IFERROR(VLOOKUP($A2786,HeadJournal!$A$1:$NTR$890,COLUMN(HeadJournal!C$1),0),"")</f>
        <v>WBRS</v>
      </c>
      <c r="D2786" s="125" t="str">
        <f>IFERROR(VLOOKUP($A2786,HeadJournal!$A$1:$NTR$890,COLUMN(HeadJournal!D$1),0),"")</f>
        <v>Доставлен</v>
      </c>
      <c r="E2786" s="95">
        <f>IFERROR(VLOOKUP($A2786,HeadJournal!$A$1:$NTR$890,COLUMN(HeadJournal!G$1),0),"")</f>
        <v>45309</v>
      </c>
      <c r="F2786" s="95" t="str">
        <f t="shared" si="220"/>
        <v>2024 01</v>
      </c>
      <c r="G2786" s="96" t="s">
        <v>6</v>
      </c>
      <c r="H2786" s="161" t="str">
        <f>RIGHT(Journal!$J2786,9)</f>
        <v>176330234</v>
      </c>
      <c r="I2786" s="97" t="str">
        <f t="shared" si="223"/>
        <v>Red Ginseng</v>
      </c>
      <c r="J2786" s="97" t="s">
        <v>1247</v>
      </c>
      <c r="K2786" s="29">
        <v>1148</v>
      </c>
      <c r="L2786" s="29">
        <v>0</v>
      </c>
      <c r="M2786" s="30">
        <f>IFERROR(VLOOKUP($A2786,HeadJournal!$A$1:$J$890,COLUMN(HeadJournal!I$1),0)*($K2786+$L2786)/(SUMIF($A:$A,$A2786,$K:$K)+SUMIF($A:$A,$A2786,$L:$L)),0)</f>
        <v>0</v>
      </c>
      <c r="N2786" s="30">
        <f>IFERROR((VLOOKUP($A2786,HeadJournal!$A$1:$K$890,COLUMN(HeadJournal!K$1),0)-VLOOKUP($A2786,HeadJournal!$A$1:$K$890,COLUMN(HeadJournal!J$1),0))*($K2786+$L2786)/(SUMIF($A:$A,$A2786,$K:$K)+SUMIF($A:$A,$A2786,$L:$L)),0)</f>
        <v>0</v>
      </c>
      <c r="O2786" s="30">
        <f>IFERROR((VLOOKUP($A2786,HeadJournal!$A$1:$L$890,COLUMN(HeadJournal!L$1),0)*($K2786+$L2786)/(SUMIF($A:$A,$A2786,$K:$K)+SUMIF($A:$A,$A2786,$L:$L)))/VLOOKUP($A2786,HeadJournal!$A$1:$L$890,COLUMN(HeadJournal!H$1),0),0)</f>
        <v>46.205764884361749</v>
      </c>
      <c r="P2786" s="30">
        <f>IFERROR(SUM(K2786:O2786)*VLOOKUP($A2786,HeadJournal!$A$1:$L$890,COLUMN(HeadJournal!H$1),0),0)</f>
        <v>1194.2057648843618</v>
      </c>
      <c r="Q2786" s="29">
        <v>1900</v>
      </c>
      <c r="R2786" s="31">
        <v>45310</v>
      </c>
      <c r="S2786" s="31" t="s">
        <v>3121</v>
      </c>
      <c r="T2786" s="95" t="str">
        <f t="shared" si="222"/>
        <v>2024 01</v>
      </c>
      <c r="U2786" s="32">
        <f t="shared" si="218"/>
        <v>705.79423511563823</v>
      </c>
      <c r="V2786" s="22">
        <f t="shared" si="219"/>
        <v>0.59101559870964304</v>
      </c>
      <c r="X2786" s="33"/>
      <c r="Y2786" s="33"/>
    </row>
    <row r="2787" spans="1:25" x14ac:dyDescent="0.2">
      <c r="A2787" s="93" t="s">
        <v>1246</v>
      </c>
      <c r="B2787" s="94">
        <f>IFERROR(VLOOKUP($A2787,HeadJournal!$A$1:$NTR$890,COLUMN(HeadJournal!B$1),0),"")</f>
        <v>0</v>
      </c>
      <c r="C2787" s="94" t="str">
        <f>IFERROR(VLOOKUP($A2787,HeadJournal!$A$1:$NTR$890,COLUMN(HeadJournal!C$1),0),"")</f>
        <v>WBRS</v>
      </c>
      <c r="D2787" s="125" t="str">
        <f>IFERROR(VLOOKUP($A2787,HeadJournal!$A$1:$NTR$890,COLUMN(HeadJournal!D$1),0),"")</f>
        <v>Доставлен</v>
      </c>
      <c r="E2787" s="95">
        <f>IFERROR(VLOOKUP($A2787,HeadJournal!$A$1:$NTR$890,COLUMN(HeadJournal!G$1),0),"")</f>
        <v>45309</v>
      </c>
      <c r="F2787" s="95" t="str">
        <f t="shared" si="220"/>
        <v>2024 01</v>
      </c>
      <c r="G2787" s="96" t="s">
        <v>6</v>
      </c>
      <c r="H2787" s="161" t="str">
        <f>RIGHT(Journal!$J2787,9)</f>
        <v>176330234</v>
      </c>
      <c r="I2787" s="97" t="str">
        <f t="shared" si="223"/>
        <v>Red Ginseng</v>
      </c>
      <c r="J2787" s="97" t="s">
        <v>1247</v>
      </c>
      <c r="K2787" s="29">
        <v>1148</v>
      </c>
      <c r="L2787" s="29">
        <v>0</v>
      </c>
      <c r="M2787" s="30">
        <f>IFERROR(VLOOKUP($A2787,HeadJournal!$A$1:$J$890,COLUMN(HeadJournal!I$1),0)*($K2787+$L2787)/(SUMIF($A:$A,$A2787,$K:$K)+SUMIF($A:$A,$A2787,$L:$L)),0)</f>
        <v>0</v>
      </c>
      <c r="N2787" s="30">
        <f>IFERROR((VLOOKUP($A2787,HeadJournal!$A$1:$K$890,COLUMN(HeadJournal!K$1),0)-VLOOKUP($A2787,HeadJournal!$A$1:$K$890,COLUMN(HeadJournal!J$1),0))*($K2787+$L2787)/(SUMIF($A:$A,$A2787,$K:$K)+SUMIF($A:$A,$A2787,$L:$L)),0)</f>
        <v>0</v>
      </c>
      <c r="O2787" s="30">
        <f>IFERROR((VLOOKUP($A2787,HeadJournal!$A$1:$L$890,COLUMN(HeadJournal!L$1),0)*($K2787+$L2787)/(SUMIF($A:$A,$A2787,$K:$K)+SUMIF($A:$A,$A2787,$L:$L)))/VLOOKUP($A2787,HeadJournal!$A$1:$L$890,COLUMN(HeadJournal!H$1),0),0)</f>
        <v>46.205764884361749</v>
      </c>
      <c r="P2787" s="30">
        <f>IFERROR(SUM(K2787:O2787)*VLOOKUP($A2787,HeadJournal!$A$1:$L$890,COLUMN(HeadJournal!H$1),0),0)</f>
        <v>1194.2057648843618</v>
      </c>
      <c r="Q2787" s="29">
        <v>1900</v>
      </c>
      <c r="R2787" s="31">
        <v>45310</v>
      </c>
      <c r="S2787" s="31" t="s">
        <v>3121</v>
      </c>
      <c r="T2787" s="95" t="str">
        <f t="shared" si="222"/>
        <v>2024 01</v>
      </c>
      <c r="U2787" s="32">
        <f t="shared" si="218"/>
        <v>705.79423511563823</v>
      </c>
      <c r="V2787" s="22">
        <f t="shared" si="219"/>
        <v>0.59101559870964304</v>
      </c>
      <c r="X2787" s="33"/>
      <c r="Y2787" s="33"/>
    </row>
    <row r="2788" spans="1:25" x14ac:dyDescent="0.2">
      <c r="A2788" s="93" t="s">
        <v>1246</v>
      </c>
      <c r="B2788" s="94">
        <f>IFERROR(VLOOKUP($A2788,HeadJournal!$A$1:$NTR$890,COLUMN(HeadJournal!B$1),0),"")</f>
        <v>0</v>
      </c>
      <c r="C2788" s="94" t="str">
        <f>IFERROR(VLOOKUP($A2788,HeadJournal!$A$1:$NTR$890,COLUMN(HeadJournal!C$1),0),"")</f>
        <v>WBRS</v>
      </c>
      <c r="D2788" s="125" t="str">
        <f>IFERROR(VLOOKUP($A2788,HeadJournal!$A$1:$NTR$890,COLUMN(HeadJournal!D$1),0),"")</f>
        <v>Доставлен</v>
      </c>
      <c r="E2788" s="95">
        <f>IFERROR(VLOOKUP($A2788,HeadJournal!$A$1:$NTR$890,COLUMN(HeadJournal!G$1),0),"")</f>
        <v>45309</v>
      </c>
      <c r="F2788" s="95" t="str">
        <f t="shared" si="220"/>
        <v>2024 01</v>
      </c>
      <c r="G2788" s="96" t="s">
        <v>6</v>
      </c>
      <c r="H2788" s="161" t="str">
        <f>RIGHT(Journal!$J2788,9)</f>
        <v>176330234</v>
      </c>
      <c r="I2788" s="97" t="str">
        <f t="shared" si="223"/>
        <v>Red Ginseng</v>
      </c>
      <c r="J2788" s="97" t="s">
        <v>1247</v>
      </c>
      <c r="K2788" s="29">
        <v>1135</v>
      </c>
      <c r="L2788" s="29">
        <v>0</v>
      </c>
      <c r="M2788" s="30">
        <f>IFERROR(VLOOKUP($A2788,HeadJournal!$A$1:$J$890,COLUMN(HeadJournal!I$1),0)*($K2788+$L2788)/(SUMIF($A:$A,$A2788,$K:$K)+SUMIF($A:$A,$A2788,$L:$L)),0)</f>
        <v>0</v>
      </c>
      <c r="N2788" s="30">
        <f>IFERROR((VLOOKUP($A2788,HeadJournal!$A$1:$K$890,COLUMN(HeadJournal!K$1),0)-VLOOKUP($A2788,HeadJournal!$A$1:$K$890,COLUMN(HeadJournal!J$1),0))*($K2788+$L2788)/(SUMIF($A:$A,$A2788,$K:$K)+SUMIF($A:$A,$A2788,$L:$L)),0)</f>
        <v>0</v>
      </c>
      <c r="O2788" s="30">
        <f>IFERROR((VLOOKUP($A2788,HeadJournal!$A$1:$L$890,COLUMN(HeadJournal!L$1),0)*($K2788+$L2788)/(SUMIF($A:$A,$A2788,$K:$K)+SUMIF($A:$A,$A2788,$L:$L)))/VLOOKUP($A2788,HeadJournal!$A$1:$L$890,COLUMN(HeadJournal!H$1),0),0)</f>
        <v>45.682528870862875</v>
      </c>
      <c r="P2788" s="30">
        <f>IFERROR(SUM(K2788:O2788)*VLOOKUP($A2788,HeadJournal!$A$1:$L$890,COLUMN(HeadJournal!H$1),0),0)</f>
        <v>1180.6825288708628</v>
      </c>
      <c r="Q2788" s="29">
        <v>1900</v>
      </c>
      <c r="R2788" s="31">
        <v>45311</v>
      </c>
      <c r="S2788" s="31" t="s">
        <v>3121</v>
      </c>
      <c r="T2788" s="95" t="str">
        <f t="shared" si="222"/>
        <v>2024 01</v>
      </c>
      <c r="U2788" s="32">
        <f t="shared" si="218"/>
        <v>719.31747112913718</v>
      </c>
      <c r="V2788" s="22">
        <f t="shared" si="219"/>
        <v>0.60923868486226451</v>
      </c>
      <c r="X2788" s="33"/>
      <c r="Y2788" s="33"/>
    </row>
    <row r="2789" spans="1:25" x14ac:dyDescent="0.2">
      <c r="A2789" s="93" t="s">
        <v>1246</v>
      </c>
      <c r="B2789" s="94">
        <f>IFERROR(VLOOKUP($A2789,HeadJournal!$A$1:$NTR$890,COLUMN(HeadJournal!B$1),0),"")</f>
        <v>0</v>
      </c>
      <c r="C2789" s="94" t="str">
        <f>IFERROR(VLOOKUP($A2789,HeadJournal!$A$1:$NTR$890,COLUMN(HeadJournal!C$1),0),"")</f>
        <v>WBRS</v>
      </c>
      <c r="D2789" s="125" t="str">
        <f>IFERROR(VLOOKUP($A2789,HeadJournal!$A$1:$NTR$890,COLUMN(HeadJournal!D$1),0),"")</f>
        <v>Доставлен</v>
      </c>
      <c r="E2789" s="95">
        <f>IFERROR(VLOOKUP($A2789,HeadJournal!$A$1:$NTR$890,COLUMN(HeadJournal!G$1),0),"")</f>
        <v>45309</v>
      </c>
      <c r="F2789" s="95" t="str">
        <f t="shared" si="220"/>
        <v>2024 01</v>
      </c>
      <c r="G2789" s="96" t="s">
        <v>6</v>
      </c>
      <c r="H2789" s="161" t="str">
        <f>RIGHT(Journal!$J2789,9)</f>
        <v>176330234</v>
      </c>
      <c r="I2789" s="97" t="str">
        <f t="shared" si="223"/>
        <v>Red Ginseng</v>
      </c>
      <c r="J2789" s="97" t="s">
        <v>1247</v>
      </c>
      <c r="K2789" s="29">
        <v>1135</v>
      </c>
      <c r="L2789" s="29">
        <v>0</v>
      </c>
      <c r="M2789" s="30">
        <f>IFERROR(VLOOKUP($A2789,HeadJournal!$A$1:$J$890,COLUMN(HeadJournal!I$1),0)*($K2789+$L2789)/(SUMIF($A:$A,$A2789,$K:$K)+SUMIF($A:$A,$A2789,$L:$L)),0)</f>
        <v>0</v>
      </c>
      <c r="N2789" s="30">
        <f>IFERROR((VLOOKUP($A2789,HeadJournal!$A$1:$K$890,COLUMN(HeadJournal!K$1),0)-VLOOKUP($A2789,HeadJournal!$A$1:$K$890,COLUMN(HeadJournal!J$1),0))*($K2789+$L2789)/(SUMIF($A:$A,$A2789,$K:$K)+SUMIF($A:$A,$A2789,$L:$L)),0)</f>
        <v>0</v>
      </c>
      <c r="O2789" s="30">
        <f>IFERROR((VLOOKUP($A2789,HeadJournal!$A$1:$L$890,COLUMN(HeadJournal!L$1),0)*($K2789+$L2789)/(SUMIF($A:$A,$A2789,$K:$K)+SUMIF($A:$A,$A2789,$L:$L)))/VLOOKUP($A2789,HeadJournal!$A$1:$L$890,COLUMN(HeadJournal!H$1),0),0)</f>
        <v>45.682528870862875</v>
      </c>
      <c r="P2789" s="30">
        <f>IFERROR(SUM(K2789:O2789)*VLOOKUP($A2789,HeadJournal!$A$1:$L$890,COLUMN(HeadJournal!H$1),0),0)</f>
        <v>1180.6825288708628</v>
      </c>
      <c r="Q2789" s="29">
        <v>1800</v>
      </c>
      <c r="R2789" s="31">
        <v>45319</v>
      </c>
      <c r="S2789" s="31" t="s">
        <v>3121</v>
      </c>
      <c r="T2789" s="95" t="str">
        <f t="shared" si="222"/>
        <v>2024 01</v>
      </c>
      <c r="U2789" s="32">
        <f t="shared" si="218"/>
        <v>619.31747112913718</v>
      </c>
      <c r="V2789" s="22">
        <f t="shared" si="219"/>
        <v>0.52454191197477695</v>
      </c>
      <c r="X2789" s="33"/>
      <c r="Y2789" s="33"/>
    </row>
    <row r="2790" spans="1:25" x14ac:dyDescent="0.2">
      <c r="A2790" s="93" t="s">
        <v>1246</v>
      </c>
      <c r="B2790" s="94">
        <f>IFERROR(VLOOKUP($A2790,HeadJournal!$A$1:$NTR$890,COLUMN(HeadJournal!B$1),0),"")</f>
        <v>0</v>
      </c>
      <c r="C2790" s="94" t="str">
        <f>IFERROR(VLOOKUP($A2790,HeadJournal!$A$1:$NTR$890,COLUMN(HeadJournal!C$1),0),"")</f>
        <v>WBRS</v>
      </c>
      <c r="D2790" s="125" t="str">
        <f>IFERROR(VLOOKUP($A2790,HeadJournal!$A$1:$NTR$890,COLUMN(HeadJournal!D$1),0),"")</f>
        <v>Доставлен</v>
      </c>
      <c r="E2790" s="95">
        <f>IFERROR(VLOOKUP($A2790,HeadJournal!$A$1:$NTR$890,COLUMN(HeadJournal!G$1),0),"")</f>
        <v>45309</v>
      </c>
      <c r="F2790" s="95" t="str">
        <f t="shared" si="220"/>
        <v>2024 01</v>
      </c>
      <c r="G2790" s="96" t="s">
        <v>6</v>
      </c>
      <c r="H2790" s="161" t="str">
        <f>RIGHT(Journal!$J2790,9)</f>
        <v>176330234</v>
      </c>
      <c r="I2790" s="97" t="str">
        <f t="shared" si="223"/>
        <v>Red Ginseng</v>
      </c>
      <c r="J2790" s="97" t="s">
        <v>1247</v>
      </c>
      <c r="K2790" s="29">
        <v>1148</v>
      </c>
      <c r="L2790" s="29">
        <v>0</v>
      </c>
      <c r="M2790" s="30">
        <f>IFERROR(VLOOKUP($A2790,HeadJournal!$A$1:$J$890,COLUMN(HeadJournal!I$1),0)*($K2790+$L2790)/(SUMIF($A:$A,$A2790,$K:$K)+SUMIF($A:$A,$A2790,$L:$L)),0)</f>
        <v>0</v>
      </c>
      <c r="N2790" s="30">
        <f>IFERROR((VLOOKUP($A2790,HeadJournal!$A$1:$K$890,COLUMN(HeadJournal!K$1),0)-VLOOKUP($A2790,HeadJournal!$A$1:$K$890,COLUMN(HeadJournal!J$1),0))*($K2790+$L2790)/(SUMIF($A:$A,$A2790,$K:$K)+SUMIF($A:$A,$A2790,$L:$L)),0)</f>
        <v>0</v>
      </c>
      <c r="O2790" s="30">
        <f>IFERROR((VLOOKUP($A2790,HeadJournal!$A$1:$L$890,COLUMN(HeadJournal!L$1),0)*($K2790+$L2790)/(SUMIF($A:$A,$A2790,$K:$K)+SUMIF($A:$A,$A2790,$L:$L)))/VLOOKUP($A2790,HeadJournal!$A$1:$L$890,COLUMN(HeadJournal!H$1),0),0)</f>
        <v>46.205764884361749</v>
      </c>
      <c r="P2790" s="30">
        <f>IFERROR(SUM(K2790:O2790)*VLOOKUP($A2790,HeadJournal!$A$1:$L$890,COLUMN(HeadJournal!H$1),0),0)</f>
        <v>1194.2057648843618</v>
      </c>
      <c r="Q2790" s="29">
        <v>1800</v>
      </c>
      <c r="R2790" s="31">
        <v>45319</v>
      </c>
      <c r="S2790" s="31" t="s">
        <v>3121</v>
      </c>
      <c r="T2790" s="95" t="str">
        <f t="shared" si="222"/>
        <v>2024 01</v>
      </c>
      <c r="U2790" s="32">
        <f t="shared" si="218"/>
        <v>605.79423511563823</v>
      </c>
      <c r="V2790" s="22">
        <f t="shared" si="219"/>
        <v>0.50727793561966183</v>
      </c>
      <c r="X2790" s="33"/>
      <c r="Y2790" s="33"/>
    </row>
    <row r="2791" spans="1:25" x14ac:dyDescent="0.2">
      <c r="A2791" s="93" t="s">
        <v>1246</v>
      </c>
      <c r="B2791" s="94">
        <f>IFERROR(VLOOKUP($A2791,HeadJournal!$A$1:$NTR$890,COLUMN(HeadJournal!B$1),0),"")</f>
        <v>0</v>
      </c>
      <c r="C2791" s="94" t="str">
        <f>IFERROR(VLOOKUP($A2791,HeadJournal!$A$1:$NTR$890,COLUMN(HeadJournal!C$1),0),"")</f>
        <v>WBRS</v>
      </c>
      <c r="D2791" s="125" t="str">
        <f>IFERROR(VLOOKUP($A2791,HeadJournal!$A$1:$NTR$890,COLUMN(HeadJournal!D$1),0),"")</f>
        <v>Доставлен</v>
      </c>
      <c r="E2791" s="95">
        <f>IFERROR(VLOOKUP($A2791,HeadJournal!$A$1:$NTR$890,COLUMN(HeadJournal!G$1),0),"")</f>
        <v>45309</v>
      </c>
      <c r="F2791" s="95" t="str">
        <f t="shared" si="220"/>
        <v>2024 01</v>
      </c>
      <c r="G2791" s="96" t="s">
        <v>6</v>
      </c>
      <c r="H2791" s="161" t="str">
        <f>RIGHT(Journal!$J2791,9)</f>
        <v>176330234</v>
      </c>
      <c r="I2791" s="97" t="str">
        <f t="shared" si="223"/>
        <v>Red Ginseng</v>
      </c>
      <c r="J2791" s="97" t="s">
        <v>1247</v>
      </c>
      <c r="K2791" s="29">
        <v>1135</v>
      </c>
      <c r="L2791" s="29">
        <v>0</v>
      </c>
      <c r="M2791" s="30">
        <f>IFERROR(VLOOKUP($A2791,HeadJournal!$A$1:$J$890,COLUMN(HeadJournal!I$1),0)*($K2791+$L2791)/(SUMIF($A:$A,$A2791,$K:$K)+SUMIF($A:$A,$A2791,$L:$L)),0)</f>
        <v>0</v>
      </c>
      <c r="N2791" s="30">
        <f>IFERROR((VLOOKUP($A2791,HeadJournal!$A$1:$K$890,COLUMN(HeadJournal!K$1),0)-VLOOKUP($A2791,HeadJournal!$A$1:$K$890,COLUMN(HeadJournal!J$1),0))*($K2791+$L2791)/(SUMIF($A:$A,$A2791,$K:$K)+SUMIF($A:$A,$A2791,$L:$L)),0)</f>
        <v>0</v>
      </c>
      <c r="O2791" s="30">
        <f>IFERROR((VLOOKUP($A2791,HeadJournal!$A$1:$L$890,COLUMN(HeadJournal!L$1),0)*($K2791+$L2791)/(SUMIF($A:$A,$A2791,$K:$K)+SUMIF($A:$A,$A2791,$L:$L)))/VLOOKUP($A2791,HeadJournal!$A$1:$L$890,COLUMN(HeadJournal!H$1),0),0)</f>
        <v>45.682528870862875</v>
      </c>
      <c r="P2791" s="30">
        <f>IFERROR(SUM(K2791:O2791)*VLOOKUP($A2791,HeadJournal!$A$1:$L$890,COLUMN(HeadJournal!H$1),0),0)</f>
        <v>1180.6825288708628</v>
      </c>
      <c r="Q2791" s="29">
        <v>1900</v>
      </c>
      <c r="R2791" s="31">
        <v>45328</v>
      </c>
      <c r="S2791" s="31" t="s">
        <v>3121</v>
      </c>
      <c r="T2791" s="95" t="str">
        <f t="shared" si="222"/>
        <v>2024 02</v>
      </c>
      <c r="U2791" s="32">
        <f t="shared" si="218"/>
        <v>719.31747112913718</v>
      </c>
      <c r="V2791" s="22">
        <f t="shared" si="219"/>
        <v>0.60923868486226451</v>
      </c>
      <c r="X2791" s="33"/>
      <c r="Y2791" s="33"/>
    </row>
    <row r="2792" spans="1:25" x14ac:dyDescent="0.2">
      <c r="A2792" s="93" t="s">
        <v>1246</v>
      </c>
      <c r="B2792" s="94">
        <f>IFERROR(VLOOKUP($A2792,HeadJournal!$A$1:$NTR$890,COLUMN(HeadJournal!B$1),0),"")</f>
        <v>0</v>
      </c>
      <c r="C2792" s="94" t="str">
        <f>IFERROR(VLOOKUP($A2792,HeadJournal!$A$1:$NTR$890,COLUMN(HeadJournal!C$1),0),"")</f>
        <v>WBRS</v>
      </c>
      <c r="D2792" s="125" t="str">
        <f>IFERROR(VLOOKUP($A2792,HeadJournal!$A$1:$NTR$890,COLUMN(HeadJournal!D$1),0),"")</f>
        <v>Доставлен</v>
      </c>
      <c r="E2792" s="95">
        <f>IFERROR(VLOOKUP($A2792,HeadJournal!$A$1:$NTR$890,COLUMN(HeadJournal!G$1),0),"")</f>
        <v>45309</v>
      </c>
      <c r="F2792" s="95" t="str">
        <f t="shared" si="220"/>
        <v>2024 01</v>
      </c>
      <c r="G2792" s="96" t="s">
        <v>6</v>
      </c>
      <c r="H2792" s="161" t="str">
        <f>RIGHT(Journal!$J2792,9)</f>
        <v>176330234</v>
      </c>
      <c r="I2792" s="97" t="str">
        <f t="shared" si="223"/>
        <v>Red Ginseng</v>
      </c>
      <c r="J2792" s="97" t="s">
        <v>1247</v>
      </c>
      <c r="K2792" s="29">
        <v>1305</v>
      </c>
      <c r="L2792" s="29">
        <v>0</v>
      </c>
      <c r="M2792" s="30">
        <f>IFERROR(VLOOKUP($A2792,HeadJournal!$A$1:$J$890,COLUMN(HeadJournal!I$1),0)*($K2792+$L2792)/(SUMIF($A:$A,$A2792,$K:$K)+SUMIF($A:$A,$A2792,$L:$L)),0)</f>
        <v>0</v>
      </c>
      <c r="N2792" s="30">
        <f>IFERROR((VLOOKUP($A2792,HeadJournal!$A$1:$K$890,COLUMN(HeadJournal!K$1),0)-VLOOKUP($A2792,HeadJournal!$A$1:$K$890,COLUMN(HeadJournal!J$1),0))*($K2792+$L2792)/(SUMIF($A:$A,$A2792,$K:$K)+SUMIF($A:$A,$A2792,$L:$L)),0)</f>
        <v>0</v>
      </c>
      <c r="O2792" s="30">
        <f>IFERROR((VLOOKUP($A2792,HeadJournal!$A$1:$L$890,COLUMN(HeadJournal!L$1),0)*($K2792+$L2792)/(SUMIF($A:$A,$A2792,$K:$K)+SUMIF($A:$A,$A2792,$L:$L)))/VLOOKUP($A2792,HeadJournal!$A$1:$L$890,COLUMN(HeadJournal!H$1),0),0)</f>
        <v>52.524845970463481</v>
      </c>
      <c r="P2792" s="30">
        <f>IFERROR(SUM(K2792:O2792)*VLOOKUP($A2792,HeadJournal!$A$1:$L$890,COLUMN(HeadJournal!H$1),0),0)</f>
        <v>1357.5248459704635</v>
      </c>
      <c r="Q2792" s="29">
        <v>1900</v>
      </c>
      <c r="R2792" s="31">
        <v>45328</v>
      </c>
      <c r="S2792" s="31" t="s">
        <v>3121</v>
      </c>
      <c r="T2792" s="95" t="str">
        <f t="shared" si="222"/>
        <v>2024 02</v>
      </c>
      <c r="U2792" s="32">
        <f t="shared" si="218"/>
        <v>542.4751540295365</v>
      </c>
      <c r="V2792" s="22">
        <f t="shared" si="219"/>
        <v>0.39960605924802312</v>
      </c>
      <c r="X2792" s="33"/>
      <c r="Y2792" s="33"/>
    </row>
    <row r="2793" spans="1:25" x14ac:dyDescent="0.2">
      <c r="A2793" s="93" t="s">
        <v>1246</v>
      </c>
      <c r="B2793" s="94">
        <f>IFERROR(VLOOKUP($A2793,HeadJournal!$A$1:$NTR$890,COLUMN(HeadJournal!B$1),0),"")</f>
        <v>0</v>
      </c>
      <c r="C2793" s="94" t="str">
        <f>IFERROR(VLOOKUP($A2793,HeadJournal!$A$1:$NTR$890,COLUMN(HeadJournal!C$1),0),"")</f>
        <v>WBRS</v>
      </c>
      <c r="D2793" s="125" t="str">
        <f>IFERROR(VLOOKUP($A2793,HeadJournal!$A$1:$NTR$890,COLUMN(HeadJournal!D$1),0),"")</f>
        <v>Доставлен</v>
      </c>
      <c r="E2793" s="95">
        <f>IFERROR(VLOOKUP($A2793,HeadJournal!$A$1:$NTR$890,COLUMN(HeadJournal!G$1),0),"")</f>
        <v>45309</v>
      </c>
      <c r="F2793" s="95" t="str">
        <f t="shared" si="220"/>
        <v>2024 01</v>
      </c>
      <c r="G2793" s="96" t="s">
        <v>7</v>
      </c>
      <c r="H2793" s="161" t="str">
        <f>RIGHT(Journal!$J2793,9)</f>
        <v>157827858</v>
      </c>
      <c r="I2793" s="97" t="str">
        <f t="shared" si="223"/>
        <v>Mr.Volos</v>
      </c>
      <c r="J2793" s="97" t="s">
        <v>1248</v>
      </c>
      <c r="K2793" s="29">
        <v>965</v>
      </c>
      <c r="L2793" s="29">
        <v>0</v>
      </c>
      <c r="M2793" s="30">
        <f>IFERROR(VLOOKUP($A2793,HeadJournal!$A$1:$J$890,COLUMN(HeadJournal!I$1),0)*($K2793+$L2793)/(SUMIF($A:$A,$A2793,$K:$K)+SUMIF($A:$A,$A2793,$L:$L)),0)</f>
        <v>0</v>
      </c>
      <c r="N2793" s="30">
        <f>IFERROR((VLOOKUP($A2793,HeadJournal!$A$1:$K$890,COLUMN(HeadJournal!K$1),0)-VLOOKUP($A2793,HeadJournal!$A$1:$K$890,COLUMN(HeadJournal!J$1),0))*($K2793+$L2793)/(SUMIF($A:$A,$A2793,$K:$K)+SUMIF($A:$A,$A2793,$L:$L)),0)</f>
        <v>0</v>
      </c>
      <c r="O2793" s="30">
        <f>IFERROR((VLOOKUP($A2793,HeadJournal!$A$1:$L$890,COLUMN(HeadJournal!L$1),0)*($K2793+$L2793)/(SUMIF($A:$A,$A2793,$K:$K)+SUMIF($A:$A,$A2793,$L:$L)))/VLOOKUP($A2793,HeadJournal!$A$1:$L$890,COLUMN(HeadJournal!H$1),0),0)</f>
        <v>38.840211771262268</v>
      </c>
      <c r="P2793" s="30">
        <f>IFERROR(SUM(K2793:O2793)*VLOOKUP($A2793,HeadJournal!$A$1:$L$890,COLUMN(HeadJournal!H$1),0),0)</f>
        <v>1003.8402117712623</v>
      </c>
      <c r="Q2793" s="29">
        <v>1500</v>
      </c>
      <c r="R2793" s="31">
        <v>45311</v>
      </c>
      <c r="S2793" s="31" t="s">
        <v>3121</v>
      </c>
      <c r="T2793" s="95" t="str">
        <f t="shared" si="222"/>
        <v>2024 01</v>
      </c>
      <c r="U2793" s="32">
        <f t="shared" si="218"/>
        <v>496.15978822873774</v>
      </c>
      <c r="V2793" s="22">
        <f t="shared" si="219"/>
        <v>0.494261718559043</v>
      </c>
      <c r="X2793" s="33"/>
      <c r="Y2793" s="33"/>
    </row>
    <row r="2794" spans="1:25" x14ac:dyDescent="0.2">
      <c r="A2794" s="93" t="s">
        <v>1246</v>
      </c>
      <c r="B2794" s="94">
        <f>IFERROR(VLOOKUP($A2794,HeadJournal!$A$1:$NTR$890,COLUMN(HeadJournal!B$1),0),"")</f>
        <v>0</v>
      </c>
      <c r="C2794" s="94" t="str">
        <f>IFERROR(VLOOKUP($A2794,HeadJournal!$A$1:$NTR$890,COLUMN(HeadJournal!C$1),0),"")</f>
        <v>WBRS</v>
      </c>
      <c r="D2794" s="125" t="str">
        <f>IFERROR(VLOOKUP($A2794,HeadJournal!$A$1:$NTR$890,COLUMN(HeadJournal!D$1),0),"")</f>
        <v>Доставлен</v>
      </c>
      <c r="E2794" s="95">
        <f>IFERROR(VLOOKUP($A2794,HeadJournal!$A$1:$NTR$890,COLUMN(HeadJournal!G$1),0),"")</f>
        <v>45309</v>
      </c>
      <c r="F2794" s="95" t="str">
        <f t="shared" si="220"/>
        <v>2024 01</v>
      </c>
      <c r="G2794" s="96" t="s">
        <v>7</v>
      </c>
      <c r="H2794" s="161" t="str">
        <f>RIGHT(Journal!$J2794,9)</f>
        <v>157827858</v>
      </c>
      <c r="I2794" s="97" t="str">
        <f t="shared" si="223"/>
        <v>Mr.Volos</v>
      </c>
      <c r="J2794" s="97" t="s">
        <v>1248</v>
      </c>
      <c r="K2794" s="29">
        <v>965</v>
      </c>
      <c r="L2794" s="29">
        <v>0</v>
      </c>
      <c r="M2794" s="30">
        <f>IFERROR(VLOOKUP($A2794,HeadJournal!$A$1:$J$890,COLUMN(HeadJournal!I$1),0)*($K2794+$L2794)/(SUMIF($A:$A,$A2794,$K:$K)+SUMIF($A:$A,$A2794,$L:$L)),0)</f>
        <v>0</v>
      </c>
      <c r="N2794" s="30">
        <f>IFERROR((VLOOKUP($A2794,HeadJournal!$A$1:$K$890,COLUMN(HeadJournal!K$1),0)-VLOOKUP($A2794,HeadJournal!$A$1:$K$890,COLUMN(HeadJournal!J$1),0))*($K2794+$L2794)/(SUMIF($A:$A,$A2794,$K:$K)+SUMIF($A:$A,$A2794,$L:$L)),0)</f>
        <v>0</v>
      </c>
      <c r="O2794" s="30">
        <f>IFERROR((VLOOKUP($A2794,HeadJournal!$A$1:$L$890,COLUMN(HeadJournal!L$1),0)*($K2794+$L2794)/(SUMIF($A:$A,$A2794,$K:$K)+SUMIF($A:$A,$A2794,$L:$L)))/VLOOKUP($A2794,HeadJournal!$A$1:$L$890,COLUMN(HeadJournal!H$1),0),0)</f>
        <v>38.840211771262268</v>
      </c>
      <c r="P2794" s="30">
        <f>IFERROR(SUM(K2794:O2794)*VLOOKUP($A2794,HeadJournal!$A$1:$L$890,COLUMN(HeadJournal!H$1),0),0)</f>
        <v>1003.8402117712623</v>
      </c>
      <c r="Q2794" s="29">
        <v>1500</v>
      </c>
      <c r="R2794" s="31">
        <v>45311</v>
      </c>
      <c r="S2794" s="31" t="s">
        <v>3121</v>
      </c>
      <c r="T2794" s="95" t="str">
        <f t="shared" si="222"/>
        <v>2024 01</v>
      </c>
      <c r="U2794" s="32">
        <f t="shared" si="218"/>
        <v>496.15978822873774</v>
      </c>
      <c r="V2794" s="22">
        <f t="shared" si="219"/>
        <v>0.494261718559043</v>
      </c>
      <c r="X2794" s="33"/>
      <c r="Y2794" s="33"/>
    </row>
    <row r="2795" spans="1:25" x14ac:dyDescent="0.2">
      <c r="A2795" s="93" t="s">
        <v>1246</v>
      </c>
      <c r="B2795" s="94">
        <f>IFERROR(VLOOKUP($A2795,HeadJournal!$A$1:$NTR$890,COLUMN(HeadJournal!B$1),0),"")</f>
        <v>0</v>
      </c>
      <c r="C2795" s="94" t="str">
        <f>IFERROR(VLOOKUP($A2795,HeadJournal!$A$1:$NTR$890,COLUMN(HeadJournal!C$1),0),"")</f>
        <v>WBRS</v>
      </c>
      <c r="D2795" s="125" t="str">
        <f>IFERROR(VLOOKUP($A2795,HeadJournal!$A$1:$NTR$890,COLUMN(HeadJournal!D$1),0),"")</f>
        <v>Доставлен</v>
      </c>
      <c r="E2795" s="95">
        <f>IFERROR(VLOOKUP($A2795,HeadJournal!$A$1:$NTR$890,COLUMN(HeadJournal!G$1),0),"")</f>
        <v>45309</v>
      </c>
      <c r="F2795" s="95" t="str">
        <f t="shared" si="220"/>
        <v>2024 01</v>
      </c>
      <c r="G2795" s="96" t="s">
        <v>7</v>
      </c>
      <c r="H2795" s="161" t="str">
        <f>RIGHT(Journal!$J2795,9)</f>
        <v>157827858</v>
      </c>
      <c r="I2795" s="97" t="str">
        <f t="shared" si="223"/>
        <v>Mr.Volos</v>
      </c>
      <c r="J2795" s="97" t="s">
        <v>1248</v>
      </c>
      <c r="K2795" s="29">
        <v>965</v>
      </c>
      <c r="L2795" s="29">
        <v>0</v>
      </c>
      <c r="M2795" s="30">
        <f>IFERROR(VLOOKUP($A2795,HeadJournal!$A$1:$J$890,COLUMN(HeadJournal!I$1),0)*($K2795+$L2795)/(SUMIF($A:$A,$A2795,$K:$K)+SUMIF($A:$A,$A2795,$L:$L)),0)</f>
        <v>0</v>
      </c>
      <c r="N2795" s="30">
        <f>IFERROR((VLOOKUP($A2795,HeadJournal!$A$1:$K$890,COLUMN(HeadJournal!K$1),0)-VLOOKUP($A2795,HeadJournal!$A$1:$K$890,COLUMN(HeadJournal!J$1),0))*($K2795+$L2795)/(SUMIF($A:$A,$A2795,$K:$K)+SUMIF($A:$A,$A2795,$L:$L)),0)</f>
        <v>0</v>
      </c>
      <c r="O2795" s="30">
        <f>IFERROR((VLOOKUP($A2795,HeadJournal!$A$1:$L$890,COLUMN(HeadJournal!L$1),0)*($K2795+$L2795)/(SUMIF($A:$A,$A2795,$K:$K)+SUMIF($A:$A,$A2795,$L:$L)))/VLOOKUP($A2795,HeadJournal!$A$1:$L$890,COLUMN(HeadJournal!H$1),0),0)</f>
        <v>38.840211771262268</v>
      </c>
      <c r="P2795" s="30">
        <f>IFERROR(SUM(K2795:O2795)*VLOOKUP($A2795,HeadJournal!$A$1:$L$890,COLUMN(HeadJournal!H$1),0),0)</f>
        <v>1003.8402117712623</v>
      </c>
      <c r="Q2795" s="29">
        <v>1500</v>
      </c>
      <c r="R2795" s="31">
        <v>45311</v>
      </c>
      <c r="S2795" s="31" t="s">
        <v>3121</v>
      </c>
      <c r="T2795" s="95" t="str">
        <f t="shared" si="222"/>
        <v>2024 01</v>
      </c>
      <c r="U2795" s="32">
        <f t="shared" si="218"/>
        <v>496.15978822873774</v>
      </c>
      <c r="V2795" s="22">
        <f t="shared" si="219"/>
        <v>0.494261718559043</v>
      </c>
      <c r="X2795" s="33"/>
      <c r="Y2795" s="33"/>
    </row>
    <row r="2796" spans="1:25" x14ac:dyDescent="0.2">
      <c r="A2796" s="93" t="s">
        <v>1246</v>
      </c>
      <c r="B2796" s="94">
        <f>IFERROR(VLOOKUP($A2796,HeadJournal!$A$1:$NTR$890,COLUMN(HeadJournal!B$1),0),"")</f>
        <v>0</v>
      </c>
      <c r="C2796" s="94" t="str">
        <f>IFERROR(VLOOKUP($A2796,HeadJournal!$A$1:$NTR$890,COLUMN(HeadJournal!C$1),0),"")</f>
        <v>WBRS</v>
      </c>
      <c r="D2796" s="125" t="str">
        <f>IFERROR(VLOOKUP($A2796,HeadJournal!$A$1:$NTR$890,COLUMN(HeadJournal!D$1),0),"")</f>
        <v>Доставлен</v>
      </c>
      <c r="E2796" s="95">
        <f>IFERROR(VLOOKUP($A2796,HeadJournal!$A$1:$NTR$890,COLUMN(HeadJournal!G$1),0),"")</f>
        <v>45309</v>
      </c>
      <c r="F2796" s="95" t="str">
        <f t="shared" si="220"/>
        <v>2024 01</v>
      </c>
      <c r="G2796" s="96" t="s">
        <v>7</v>
      </c>
      <c r="H2796" s="161" t="str">
        <f>RIGHT(Journal!$J2796,9)</f>
        <v>157827858</v>
      </c>
      <c r="I2796" s="97" t="str">
        <f t="shared" si="223"/>
        <v>Mr.Volos</v>
      </c>
      <c r="J2796" s="97" t="s">
        <v>1248</v>
      </c>
      <c r="K2796" s="29">
        <v>965</v>
      </c>
      <c r="L2796" s="29">
        <v>0</v>
      </c>
      <c r="M2796" s="30">
        <f>IFERROR(VLOOKUP($A2796,HeadJournal!$A$1:$J$890,COLUMN(HeadJournal!I$1),0)*($K2796+$L2796)/(SUMIF($A:$A,$A2796,$K:$K)+SUMIF($A:$A,$A2796,$L:$L)),0)</f>
        <v>0</v>
      </c>
      <c r="N2796" s="30">
        <f>IFERROR((VLOOKUP($A2796,HeadJournal!$A$1:$K$890,COLUMN(HeadJournal!K$1),0)-VLOOKUP($A2796,HeadJournal!$A$1:$K$890,COLUMN(HeadJournal!J$1),0))*($K2796+$L2796)/(SUMIF($A:$A,$A2796,$K:$K)+SUMIF($A:$A,$A2796,$L:$L)),0)</f>
        <v>0</v>
      </c>
      <c r="O2796" s="30">
        <f>IFERROR((VLOOKUP($A2796,HeadJournal!$A$1:$L$890,COLUMN(HeadJournal!L$1),0)*($K2796+$L2796)/(SUMIF($A:$A,$A2796,$K:$K)+SUMIF($A:$A,$A2796,$L:$L)))/VLOOKUP($A2796,HeadJournal!$A$1:$L$890,COLUMN(HeadJournal!H$1),0),0)</f>
        <v>38.840211771262268</v>
      </c>
      <c r="P2796" s="30">
        <f>IFERROR(SUM(K2796:O2796)*VLOOKUP($A2796,HeadJournal!$A$1:$L$890,COLUMN(HeadJournal!H$1),0),0)</f>
        <v>1003.8402117712623</v>
      </c>
      <c r="Q2796" s="29">
        <v>1500</v>
      </c>
      <c r="R2796" s="31">
        <v>45311</v>
      </c>
      <c r="S2796" s="31" t="s">
        <v>3121</v>
      </c>
      <c r="T2796" s="95" t="str">
        <f t="shared" si="222"/>
        <v>2024 01</v>
      </c>
      <c r="U2796" s="32">
        <f t="shared" si="218"/>
        <v>496.15978822873774</v>
      </c>
      <c r="V2796" s="22">
        <f t="shared" si="219"/>
        <v>0.494261718559043</v>
      </c>
      <c r="X2796" s="33"/>
      <c r="Y2796" s="33"/>
    </row>
    <row r="2797" spans="1:25" x14ac:dyDescent="0.2">
      <c r="A2797" s="93" t="s">
        <v>1249</v>
      </c>
      <c r="B2797" s="94">
        <f>IFERROR(VLOOKUP($A2797,HeadJournal!$A$1:$NTR$890,COLUMN(HeadJournal!B$1),0),"")</f>
        <v>0</v>
      </c>
      <c r="C2797" s="94" t="str">
        <f>IFERROR(VLOOKUP($A2797,HeadJournal!$A$1:$NTR$890,COLUMN(HeadJournal!C$1),0),"")</f>
        <v>OZON_OA</v>
      </c>
      <c r="D2797" s="125" t="str">
        <f>IFERROR(VLOOKUP($A2797,HeadJournal!$A$1:$NTR$890,COLUMN(HeadJournal!D$1),0),"")</f>
        <v>Доставлен</v>
      </c>
      <c r="E2797" s="95">
        <f>IFERROR(VLOOKUP($A2797,HeadJournal!$A$1:$NTR$890,COLUMN(HeadJournal!G$1),0),"")</f>
        <v>45287</v>
      </c>
      <c r="F2797" s="95" t="str">
        <f t="shared" si="220"/>
        <v>2023 12</v>
      </c>
      <c r="G2797" s="96" t="s">
        <v>6</v>
      </c>
      <c r="H2797" s="161" t="str">
        <f>RIGHT(Journal!$J2797,9)</f>
        <v>892721541</v>
      </c>
      <c r="I2797" s="97" t="str">
        <f t="shared" si="223"/>
        <v>FatZorb</v>
      </c>
      <c r="J2797" s="97" t="s">
        <v>737</v>
      </c>
      <c r="K2797" s="29">
        <v>832</v>
      </c>
      <c r="L2797" s="29"/>
      <c r="M2797" s="30">
        <f>IFERROR(VLOOKUP($A2797,HeadJournal!$A$1:$J$890,COLUMN(HeadJournal!I$1),0)*($K2797+$L2797)/(SUMIF($A:$A,$A2797,$K:$K)+SUMIF($A:$A,$A2797,$L:$L)),0)</f>
        <v>0</v>
      </c>
      <c r="N2797" s="30">
        <f>IFERROR((VLOOKUP($A2797,HeadJournal!$A$1:$K$890,COLUMN(HeadJournal!K$1),0)-VLOOKUP($A2797,HeadJournal!$A$1:$K$890,COLUMN(HeadJournal!J$1),0))*($K2797+$L2797)/(SUMIF($A:$A,$A2797,$K:$K)+SUMIF($A:$A,$A2797,$L:$L)),0)</f>
        <v>0</v>
      </c>
      <c r="O2797" s="30">
        <f>IFERROR((VLOOKUP($A2797,HeadJournal!$A$1:$L$890,COLUMN(HeadJournal!L$1),0)*($K2797+$L2797)/(SUMIF($A:$A,$A2797,$K:$K)+SUMIF($A:$A,$A2797,$L:$L)))/VLOOKUP($A2797,HeadJournal!$A$1:$L$890,COLUMN(HeadJournal!H$1),0),0)</f>
        <v>33.487104863927676</v>
      </c>
      <c r="P2797" s="30">
        <f>IFERROR(SUM(K2797:O2797)*VLOOKUP($A2797,HeadJournal!$A$1:$L$890,COLUMN(HeadJournal!H$1),0),0)</f>
        <v>865.4871048639277</v>
      </c>
      <c r="Q2797" s="29">
        <v>2000</v>
      </c>
      <c r="R2797" s="31">
        <v>45346</v>
      </c>
      <c r="S2797" s="31" t="s">
        <v>3121</v>
      </c>
      <c r="T2797" s="95" t="str">
        <f t="shared" si="222"/>
        <v>2024 02</v>
      </c>
      <c r="U2797" s="32">
        <f t="shared" si="218"/>
        <v>1134.5128951360723</v>
      </c>
      <c r="V2797" s="22">
        <f t="shared" si="219"/>
        <v>1.31083743334852</v>
      </c>
      <c r="X2797" s="33"/>
      <c r="Y2797" s="33"/>
    </row>
    <row r="2798" spans="1:25" x14ac:dyDescent="0.2">
      <c r="A2798" s="93" t="s">
        <v>1249</v>
      </c>
      <c r="B2798" s="94">
        <f>IFERROR(VLOOKUP($A2798,HeadJournal!$A$1:$NTR$890,COLUMN(HeadJournal!B$1),0),"")</f>
        <v>0</v>
      </c>
      <c r="C2798" s="94" t="str">
        <f>IFERROR(VLOOKUP($A2798,HeadJournal!$A$1:$NTR$890,COLUMN(HeadJournal!C$1),0),"")</f>
        <v>OZON_OA</v>
      </c>
      <c r="D2798" s="125" t="str">
        <f>IFERROR(VLOOKUP($A2798,HeadJournal!$A$1:$NTR$890,COLUMN(HeadJournal!D$1),0),"")</f>
        <v>Доставлен</v>
      </c>
      <c r="E2798" s="95">
        <f>IFERROR(VLOOKUP($A2798,HeadJournal!$A$1:$NTR$890,COLUMN(HeadJournal!G$1),0),"")</f>
        <v>45287</v>
      </c>
      <c r="F2798" s="95" t="str">
        <f t="shared" si="220"/>
        <v>2023 12</v>
      </c>
      <c r="G2798" s="96" t="s">
        <v>6</v>
      </c>
      <c r="H2798" s="161" t="str">
        <f>RIGHT(Journal!$J2798,9)</f>
        <v>892721541</v>
      </c>
      <c r="I2798" s="97" t="str">
        <f t="shared" si="223"/>
        <v>FatZorb</v>
      </c>
      <c r="J2798" s="97" t="s">
        <v>737</v>
      </c>
      <c r="K2798" s="29">
        <v>832</v>
      </c>
      <c r="L2798" s="29"/>
      <c r="M2798" s="30">
        <f>IFERROR(VLOOKUP($A2798,HeadJournal!$A$1:$J$890,COLUMN(HeadJournal!I$1),0)*($K2798+$L2798)/(SUMIF($A:$A,$A2798,$K:$K)+SUMIF($A:$A,$A2798,$L:$L)),0)</f>
        <v>0</v>
      </c>
      <c r="N2798" s="30">
        <f>IFERROR((VLOOKUP($A2798,HeadJournal!$A$1:$K$890,COLUMN(HeadJournal!K$1),0)-VLOOKUP($A2798,HeadJournal!$A$1:$K$890,COLUMN(HeadJournal!J$1),0))*($K2798+$L2798)/(SUMIF($A:$A,$A2798,$K:$K)+SUMIF($A:$A,$A2798,$L:$L)),0)</f>
        <v>0</v>
      </c>
      <c r="O2798" s="30">
        <f>IFERROR((VLOOKUP($A2798,HeadJournal!$A$1:$L$890,COLUMN(HeadJournal!L$1),0)*($K2798+$L2798)/(SUMIF($A:$A,$A2798,$K:$K)+SUMIF($A:$A,$A2798,$L:$L)))/VLOOKUP($A2798,HeadJournal!$A$1:$L$890,COLUMN(HeadJournal!H$1),0),0)</f>
        <v>33.487104863927676</v>
      </c>
      <c r="P2798" s="30">
        <f>IFERROR(SUM(K2798:O2798)*VLOOKUP($A2798,HeadJournal!$A$1:$L$890,COLUMN(HeadJournal!H$1),0),0)</f>
        <v>865.4871048639277</v>
      </c>
      <c r="Q2798" s="29">
        <v>1900</v>
      </c>
      <c r="R2798" s="31">
        <v>45414</v>
      </c>
      <c r="S2798" s="31" t="s">
        <v>3121</v>
      </c>
      <c r="T2798" s="95" t="str">
        <f t="shared" si="222"/>
        <v>2024 05</v>
      </c>
      <c r="U2798" s="32">
        <f t="shared" si="218"/>
        <v>1034.5128951360723</v>
      </c>
      <c r="V2798" s="22">
        <f t="shared" si="219"/>
        <v>1.1952955616810939</v>
      </c>
      <c r="X2798" s="33"/>
      <c r="Y2798" s="33"/>
    </row>
    <row r="2799" spans="1:25" x14ac:dyDescent="0.2">
      <c r="A2799" s="93" t="s">
        <v>1249</v>
      </c>
      <c r="B2799" s="94">
        <f>IFERROR(VLOOKUP($A2799,HeadJournal!$A$1:$NTR$890,COLUMN(HeadJournal!B$1),0),"")</f>
        <v>0</v>
      </c>
      <c r="C2799" s="94" t="str">
        <f>IFERROR(VLOOKUP($A2799,HeadJournal!$A$1:$NTR$890,COLUMN(HeadJournal!C$1),0),"")</f>
        <v>OZON_OA</v>
      </c>
      <c r="D2799" s="125" t="str">
        <f>IFERROR(VLOOKUP($A2799,HeadJournal!$A$1:$NTR$890,COLUMN(HeadJournal!D$1),0),"")</f>
        <v>Доставлен</v>
      </c>
      <c r="E2799" s="95">
        <f>IFERROR(VLOOKUP($A2799,HeadJournal!$A$1:$NTR$890,COLUMN(HeadJournal!G$1),0),"")</f>
        <v>45287</v>
      </c>
      <c r="F2799" s="95" t="str">
        <f t="shared" si="220"/>
        <v>2023 12</v>
      </c>
      <c r="G2799" s="96" t="s">
        <v>6</v>
      </c>
      <c r="H2799" s="161" t="str">
        <f>RIGHT(Journal!$J2799,9)</f>
        <v>892721541</v>
      </c>
      <c r="I2799" s="97" t="str">
        <f t="shared" si="223"/>
        <v>FatZorb</v>
      </c>
      <c r="J2799" s="97" t="s">
        <v>737</v>
      </c>
      <c r="K2799" s="29">
        <v>832</v>
      </c>
      <c r="L2799" s="29"/>
      <c r="M2799" s="30">
        <f>IFERROR(VLOOKUP($A2799,HeadJournal!$A$1:$J$890,COLUMN(HeadJournal!I$1),0)*($K2799+$L2799)/(SUMIF($A:$A,$A2799,$K:$K)+SUMIF($A:$A,$A2799,$L:$L)),0)</f>
        <v>0</v>
      </c>
      <c r="N2799" s="30">
        <f>IFERROR((VLOOKUP($A2799,HeadJournal!$A$1:$K$890,COLUMN(HeadJournal!K$1),0)-VLOOKUP($A2799,HeadJournal!$A$1:$K$890,COLUMN(HeadJournal!J$1),0))*($K2799+$L2799)/(SUMIF($A:$A,$A2799,$K:$K)+SUMIF($A:$A,$A2799,$L:$L)),0)</f>
        <v>0</v>
      </c>
      <c r="O2799" s="30">
        <f>IFERROR((VLOOKUP($A2799,HeadJournal!$A$1:$L$890,COLUMN(HeadJournal!L$1),0)*($K2799+$L2799)/(SUMIF($A:$A,$A2799,$K:$K)+SUMIF($A:$A,$A2799,$L:$L)))/VLOOKUP($A2799,HeadJournal!$A$1:$L$890,COLUMN(HeadJournal!H$1),0),0)</f>
        <v>33.487104863927676</v>
      </c>
      <c r="P2799" s="30">
        <f>IFERROR(SUM(K2799:O2799)*VLOOKUP($A2799,HeadJournal!$A$1:$L$890,COLUMN(HeadJournal!H$1),0),0)</f>
        <v>865.4871048639277</v>
      </c>
      <c r="Q2799" s="29">
        <v>1900</v>
      </c>
      <c r="R2799" s="31">
        <v>45423</v>
      </c>
      <c r="S2799" s="31" t="s">
        <v>3121</v>
      </c>
      <c r="T2799" s="95" t="str">
        <f t="shared" si="222"/>
        <v>2024 05</v>
      </c>
      <c r="U2799" s="32">
        <f t="shared" si="218"/>
        <v>1034.5128951360723</v>
      </c>
      <c r="V2799" s="22">
        <f t="shared" si="219"/>
        <v>1.1952955616810939</v>
      </c>
      <c r="X2799" s="33"/>
      <c r="Y2799" s="33"/>
    </row>
    <row r="2800" spans="1:25" x14ac:dyDescent="0.2">
      <c r="A2800" s="93" t="s">
        <v>1250</v>
      </c>
      <c r="B2800" s="94">
        <f>IFERROR(VLOOKUP($A2800,HeadJournal!$A$1:$NTR$890,COLUMN(HeadJournal!B$1),0),"")</f>
        <v>0</v>
      </c>
      <c r="C2800" s="94" t="str">
        <f>IFERROR(VLOOKUP($A2800,HeadJournal!$A$1:$NTR$890,COLUMN(HeadJournal!C$1),0),"")</f>
        <v>OZON_OA</v>
      </c>
      <c r="D2800" s="125" t="str">
        <f>IFERROR(VLOOKUP($A2800,HeadJournal!$A$1:$NTR$890,COLUMN(HeadJournal!D$1),0),"")</f>
        <v>Доставлен</v>
      </c>
      <c r="E2800" s="95">
        <f>IFERROR(VLOOKUP($A2800,HeadJournal!$A$1:$NTR$890,COLUMN(HeadJournal!G$1),0),"")</f>
        <v>45290</v>
      </c>
      <c r="F2800" s="95" t="str">
        <f t="shared" si="220"/>
        <v>2023 12</v>
      </c>
      <c r="G2800" s="96" t="s">
        <v>6</v>
      </c>
      <c r="H2800" s="161" t="str">
        <f>RIGHT(Journal!$J2800,9)</f>
        <v>OPN-05223</v>
      </c>
      <c r="I2800" s="97" t="str">
        <f t="shared" si="223"/>
        <v>Optimum Nutrition</v>
      </c>
      <c r="J2800" s="97" t="s">
        <v>836</v>
      </c>
      <c r="K2800" s="29">
        <v>2230</v>
      </c>
      <c r="L2800" s="29"/>
      <c r="M2800" s="30">
        <f>IFERROR(VLOOKUP($A2800,HeadJournal!$A$1:$J$890,COLUMN(HeadJournal!I$1),0)*($K2800+$L2800)/(SUMIF($A:$A,$A2800,$K:$K)+SUMIF($A:$A,$A2800,$L:$L)),0)</f>
        <v>0</v>
      </c>
      <c r="N2800" s="30">
        <f>IFERROR((VLOOKUP($A2800,HeadJournal!$A$1:$K$890,COLUMN(HeadJournal!K$1),0)-VLOOKUP($A2800,HeadJournal!$A$1:$K$890,COLUMN(HeadJournal!J$1),0))*($K2800+$L2800)/(SUMIF($A:$A,$A2800,$K:$K)+SUMIF($A:$A,$A2800,$L:$L)),0)</f>
        <v>0</v>
      </c>
      <c r="O2800" s="30">
        <f>IFERROR((VLOOKUP($A2800,HeadJournal!$A$1:$L$890,COLUMN(HeadJournal!L$1),0)*($K2800+$L2800)/(SUMIF($A:$A,$A2800,$K:$K)+SUMIF($A:$A,$A2800,$L:$L)))/VLOOKUP($A2800,HeadJournal!$A$1:$L$890,COLUMN(HeadJournal!H$1),0),0)</f>
        <v>89.755100777113853</v>
      </c>
      <c r="P2800" s="30">
        <f>IFERROR(SUM(K2800:O2800)*VLOOKUP($A2800,HeadJournal!$A$1:$L$890,COLUMN(HeadJournal!H$1),0),0)</f>
        <v>2319.755100777114</v>
      </c>
      <c r="Q2800" s="29">
        <v>4100</v>
      </c>
      <c r="R2800" s="31">
        <v>45312</v>
      </c>
      <c r="S2800" s="31" t="s">
        <v>3121</v>
      </c>
      <c r="T2800" s="95" t="str">
        <f t="shared" si="222"/>
        <v>2024 01</v>
      </c>
      <c r="U2800" s="32">
        <f t="shared" si="218"/>
        <v>1780.244899222886</v>
      </c>
      <c r="V2800" s="22">
        <f t="shared" si="219"/>
        <v>0.76742794902207867</v>
      </c>
      <c r="X2800" s="33"/>
      <c r="Y2800" s="33"/>
    </row>
    <row r="2801" spans="1:25" x14ac:dyDescent="0.2">
      <c r="A2801" s="93" t="s">
        <v>1250</v>
      </c>
      <c r="B2801" s="94">
        <f>IFERROR(VLOOKUP($A2801,HeadJournal!$A$1:$NTR$890,COLUMN(HeadJournal!B$1),0),"")</f>
        <v>0</v>
      </c>
      <c r="C2801" s="94" t="str">
        <f>IFERROR(VLOOKUP($A2801,HeadJournal!$A$1:$NTR$890,COLUMN(HeadJournal!C$1),0),"")</f>
        <v>OZON_OA</v>
      </c>
      <c r="D2801" s="125" t="str">
        <f>IFERROR(VLOOKUP($A2801,HeadJournal!$A$1:$NTR$890,COLUMN(HeadJournal!D$1),0),"")</f>
        <v>Доставлен</v>
      </c>
      <c r="E2801" s="95">
        <f>IFERROR(VLOOKUP($A2801,HeadJournal!$A$1:$NTR$890,COLUMN(HeadJournal!G$1),0),"")</f>
        <v>45290</v>
      </c>
      <c r="F2801" s="95" t="str">
        <f t="shared" si="220"/>
        <v>2023 12</v>
      </c>
      <c r="G2801" s="96" t="s">
        <v>6</v>
      </c>
      <c r="H2801" s="161" t="str">
        <f>RIGHT(Journal!$J2801,9)</f>
        <v>OPN-05223</v>
      </c>
      <c r="I2801" s="97" t="str">
        <f t="shared" si="223"/>
        <v>Optimum Nutrition</v>
      </c>
      <c r="J2801" s="97" t="s">
        <v>836</v>
      </c>
      <c r="K2801" s="29">
        <v>2230</v>
      </c>
      <c r="L2801" s="29"/>
      <c r="M2801" s="30">
        <f>IFERROR(VLOOKUP($A2801,HeadJournal!$A$1:$J$890,COLUMN(HeadJournal!I$1),0)*($K2801+$L2801)/(SUMIF($A:$A,$A2801,$K:$K)+SUMIF($A:$A,$A2801,$L:$L)),0)</f>
        <v>0</v>
      </c>
      <c r="N2801" s="30">
        <f>IFERROR((VLOOKUP($A2801,HeadJournal!$A$1:$K$890,COLUMN(HeadJournal!K$1),0)-VLOOKUP($A2801,HeadJournal!$A$1:$K$890,COLUMN(HeadJournal!J$1),0))*($K2801+$L2801)/(SUMIF($A:$A,$A2801,$K:$K)+SUMIF($A:$A,$A2801,$L:$L)),0)</f>
        <v>0</v>
      </c>
      <c r="O2801" s="30">
        <f>IFERROR((VLOOKUP($A2801,HeadJournal!$A$1:$L$890,COLUMN(HeadJournal!L$1),0)*($K2801+$L2801)/(SUMIF($A:$A,$A2801,$K:$K)+SUMIF($A:$A,$A2801,$L:$L)))/VLOOKUP($A2801,HeadJournal!$A$1:$L$890,COLUMN(HeadJournal!H$1),0),0)</f>
        <v>89.755100777113853</v>
      </c>
      <c r="P2801" s="30">
        <f>IFERROR(SUM(K2801:O2801)*VLOOKUP($A2801,HeadJournal!$A$1:$L$890,COLUMN(HeadJournal!H$1),0),0)</f>
        <v>2319.755100777114</v>
      </c>
      <c r="Q2801" s="29">
        <v>4100</v>
      </c>
      <c r="R2801" s="31">
        <v>45315</v>
      </c>
      <c r="S2801" s="31" t="s">
        <v>3121</v>
      </c>
      <c r="T2801" s="95" t="str">
        <f t="shared" si="222"/>
        <v>2024 01</v>
      </c>
      <c r="U2801" s="32">
        <f t="shared" si="218"/>
        <v>1780.244899222886</v>
      </c>
      <c r="V2801" s="22">
        <f t="shared" si="219"/>
        <v>0.76742794902207867</v>
      </c>
      <c r="X2801" s="33"/>
      <c r="Y2801" s="33"/>
    </row>
    <row r="2802" spans="1:25" x14ac:dyDescent="0.2">
      <c r="A2802" s="93" t="s">
        <v>1251</v>
      </c>
      <c r="B2802" s="94" t="str">
        <f>IFERROR(VLOOKUP($A2802,HeadJournal!$A$1:$NTR$890,COLUMN(HeadJournal!B$1),0),"")</f>
        <v>1495012412</v>
      </c>
      <c r="C2802" s="94" t="str">
        <f>IFERROR(VLOOKUP($A2802,HeadJournal!$A$1:$NTR$890,COLUMN(HeadJournal!C$1),0),"")</f>
        <v>essens_OA</v>
      </c>
      <c r="D2802" s="125" t="str">
        <f>IFERROR(VLOOKUP($A2802,HeadJournal!$A$1:$NTR$890,COLUMN(HeadJournal!D$1),0),"")</f>
        <v>Доставлен</v>
      </c>
      <c r="E2802" s="95">
        <f>IFERROR(VLOOKUP($A2802,HeadJournal!$A$1:$NTR$890,COLUMN(HeadJournal!G$1),0),"")</f>
        <v>45305</v>
      </c>
      <c r="F2802" s="95" t="str">
        <f t="shared" si="220"/>
        <v>2024 01</v>
      </c>
      <c r="G2802" s="96" t="s">
        <v>8</v>
      </c>
      <c r="H2802" s="161" t="s">
        <v>5259</v>
      </c>
      <c r="I2802" s="97" t="s">
        <v>2243</v>
      </c>
      <c r="J2802" s="97" t="s">
        <v>5317</v>
      </c>
      <c r="K2802" s="29">
        <v>1445</v>
      </c>
      <c r="L2802" s="29">
        <v>-240.83333333333334</v>
      </c>
      <c r="M2802" s="30">
        <f>IFERROR(VLOOKUP($A2802,HeadJournal!$A$1:$J$890,COLUMN(HeadJournal!I$1),0)*($K2802+$L2802)/(SUMIF($A:$A,$A2802,$K:$K)+SUMIF($A:$A,$A2802,$L:$L)),0)</f>
        <v>0</v>
      </c>
      <c r="N2802" s="30">
        <f>IFERROR((VLOOKUP($A2802,HeadJournal!$A$1:$K$890,COLUMN(HeadJournal!K$1),0)-VLOOKUP($A2802,HeadJournal!$A$1:$K$890,COLUMN(HeadJournal!J$1),0))*($K2802+$L2802)/(SUMIF($A:$A,$A2802,$K:$K)+SUMIF($A:$A,$A2802,$L:$L)),0)</f>
        <v>0</v>
      </c>
      <c r="O2802" s="30">
        <f>IFERROR((VLOOKUP($A2802,HeadJournal!$A$1:$L$890,COLUMN(HeadJournal!L$1),0)*($K2802+$L2802)/(SUMIF($A:$A,$A2802,$K:$K)+SUMIF($A:$A,$A2802,$L:$L)))/VLOOKUP($A2802,HeadJournal!$A$1:$L$890,COLUMN(HeadJournal!H$1),0),0)</f>
        <v>106.96641278883764</v>
      </c>
      <c r="P2802" s="30">
        <f>IFERROR(SUM(K2802:O2802)*VLOOKUP($A2802,HeadJournal!$A$1:$L$890,COLUMN(HeadJournal!H$1),0),0)</f>
        <v>1311.1330794555045</v>
      </c>
      <c r="Q2802" s="29"/>
      <c r="R2802" s="31"/>
      <c r="S2802" s="31"/>
      <c r="T2802" s="95" t="str">
        <f t="shared" si="222"/>
        <v/>
      </c>
      <c r="U2802" s="32">
        <f t="shared" si="218"/>
        <v>-1311.1330794555045</v>
      </c>
      <c r="V2802" s="22" t="str">
        <f t="shared" si="219"/>
        <v/>
      </c>
      <c r="X2802" s="33"/>
      <c r="Y2802" s="33"/>
    </row>
    <row r="2803" spans="1:25" x14ac:dyDescent="0.2">
      <c r="A2803" s="93" t="s">
        <v>1251</v>
      </c>
      <c r="B2803" s="94" t="str">
        <f>IFERROR(VLOOKUP($A2803,HeadJournal!$A$1:$NTR$890,COLUMN(HeadJournal!B$1),0),"")</f>
        <v>1495012412</v>
      </c>
      <c r="C2803" s="94" t="str">
        <f>IFERROR(VLOOKUP($A2803,HeadJournal!$A$1:$NTR$890,COLUMN(HeadJournal!C$1),0),"")</f>
        <v>essens_OA</v>
      </c>
      <c r="D2803" s="125" t="str">
        <f>IFERROR(VLOOKUP($A2803,HeadJournal!$A$1:$NTR$890,COLUMN(HeadJournal!D$1),0),"")</f>
        <v>Доставлен</v>
      </c>
      <c r="E2803" s="95">
        <f>IFERROR(VLOOKUP($A2803,HeadJournal!$A$1:$NTR$890,COLUMN(HeadJournal!G$1),0),"")</f>
        <v>45305</v>
      </c>
      <c r="F2803" s="95" t="str">
        <f t="shared" si="220"/>
        <v>2024 01</v>
      </c>
      <c r="G2803" s="96" t="s">
        <v>8</v>
      </c>
      <c r="H2803" s="161" t="s">
        <v>2242</v>
      </c>
      <c r="I2803" s="97" t="s">
        <v>2243</v>
      </c>
      <c r="J2803" s="97" t="s">
        <v>2244</v>
      </c>
      <c r="K2803" s="29">
        <v>1445</v>
      </c>
      <c r="L2803" s="29">
        <v>-240.83333333333334</v>
      </c>
      <c r="M2803" s="30">
        <f>IFERROR(VLOOKUP($A2803,HeadJournal!$A$1:$J$890,COLUMN(HeadJournal!I$1),0)*($K2803+$L2803)/(SUMIF($A:$A,$A2803,$K:$K)+SUMIF($A:$A,$A2803,$L:$L)),0)</f>
        <v>0</v>
      </c>
      <c r="N2803" s="30">
        <f>IFERROR((VLOOKUP($A2803,HeadJournal!$A$1:$K$890,COLUMN(HeadJournal!K$1),0)-VLOOKUP($A2803,HeadJournal!$A$1:$K$890,COLUMN(HeadJournal!J$1),0))*($K2803+$L2803)/(SUMIF($A:$A,$A2803,$K:$K)+SUMIF($A:$A,$A2803,$L:$L)),0)</f>
        <v>0</v>
      </c>
      <c r="O2803" s="30">
        <f>IFERROR((VLOOKUP($A2803,HeadJournal!$A$1:$L$890,COLUMN(HeadJournal!L$1),0)*($K2803+$L2803)/(SUMIF($A:$A,$A2803,$K:$K)+SUMIF($A:$A,$A2803,$L:$L)))/VLOOKUP($A2803,HeadJournal!$A$1:$L$890,COLUMN(HeadJournal!H$1),0),0)</f>
        <v>106.96641278883764</v>
      </c>
      <c r="P2803" s="30">
        <f>IFERROR(SUM(K2803:O2803)*VLOOKUP($A2803,HeadJournal!$A$1:$L$890,COLUMN(HeadJournal!H$1),0),0)</f>
        <v>1311.1330794555045</v>
      </c>
      <c r="Q2803" s="29">
        <v>2200</v>
      </c>
      <c r="R2803" s="31">
        <v>45395</v>
      </c>
      <c r="S2803" s="31" t="s">
        <v>3121</v>
      </c>
      <c r="T2803" s="95" t="str">
        <f t="shared" si="222"/>
        <v>2024 04</v>
      </c>
      <c r="U2803" s="32">
        <f t="shared" si="218"/>
        <v>888.86692054449554</v>
      </c>
      <c r="V2803" s="22">
        <f t="shared" si="219"/>
        <v>0.67793798697660024</v>
      </c>
      <c r="X2803" s="33"/>
      <c r="Y2803" s="33"/>
    </row>
    <row r="2804" spans="1:25" x14ac:dyDescent="0.2">
      <c r="A2804" s="93" t="s">
        <v>1251</v>
      </c>
      <c r="B2804" s="94" t="str">
        <f>IFERROR(VLOOKUP($A2804,HeadJournal!$A$1:$NTR$890,COLUMN(HeadJournal!B$1),0),"")</f>
        <v>1495012412</v>
      </c>
      <c r="C2804" s="94" t="str">
        <f>IFERROR(VLOOKUP($A2804,HeadJournal!$A$1:$NTR$890,COLUMN(HeadJournal!C$1),0),"")</f>
        <v>essens_OA</v>
      </c>
      <c r="D2804" s="125" t="str">
        <f>IFERROR(VLOOKUP($A2804,HeadJournal!$A$1:$NTR$890,COLUMN(HeadJournal!D$1),0),"")</f>
        <v>Доставлен</v>
      </c>
      <c r="E2804" s="95">
        <f>IFERROR(VLOOKUP($A2804,HeadJournal!$A$1:$NTR$890,COLUMN(HeadJournal!G$1),0),"")</f>
        <v>45305</v>
      </c>
      <c r="F2804" s="95" t="str">
        <f t="shared" si="220"/>
        <v>2024 01</v>
      </c>
      <c r="G2804" s="96" t="s">
        <v>8</v>
      </c>
      <c r="H2804" s="161" t="s">
        <v>5260</v>
      </c>
      <c r="I2804" s="97" t="s">
        <v>2243</v>
      </c>
      <c r="J2804" s="97" t="s">
        <v>5318</v>
      </c>
      <c r="K2804" s="29">
        <v>1445</v>
      </c>
      <c r="L2804" s="29">
        <v>-240.83333333333334</v>
      </c>
      <c r="M2804" s="30">
        <f>IFERROR(VLOOKUP($A2804,HeadJournal!$A$1:$J$890,COLUMN(HeadJournal!I$1),0)*($K2804+$L2804)/(SUMIF($A:$A,$A2804,$K:$K)+SUMIF($A:$A,$A2804,$L:$L)),0)</f>
        <v>0</v>
      </c>
      <c r="N2804" s="30">
        <f>IFERROR((VLOOKUP($A2804,HeadJournal!$A$1:$K$890,COLUMN(HeadJournal!K$1),0)-VLOOKUP($A2804,HeadJournal!$A$1:$K$890,COLUMN(HeadJournal!J$1),0))*($K2804+$L2804)/(SUMIF($A:$A,$A2804,$K:$K)+SUMIF($A:$A,$A2804,$L:$L)),0)</f>
        <v>0</v>
      </c>
      <c r="O2804" s="30">
        <f>IFERROR((VLOOKUP($A2804,HeadJournal!$A$1:$L$890,COLUMN(HeadJournal!L$1),0)*($K2804+$L2804)/(SUMIF($A:$A,$A2804,$K:$K)+SUMIF($A:$A,$A2804,$L:$L)))/VLOOKUP($A2804,HeadJournal!$A$1:$L$890,COLUMN(HeadJournal!H$1),0),0)</f>
        <v>106.96641278883764</v>
      </c>
      <c r="P2804" s="30">
        <f>IFERROR(SUM(K2804:O2804)*VLOOKUP($A2804,HeadJournal!$A$1:$L$890,COLUMN(HeadJournal!H$1),0),0)</f>
        <v>1311.1330794555045</v>
      </c>
      <c r="Q2804" s="29"/>
      <c r="R2804" s="31"/>
      <c r="S2804" s="31"/>
      <c r="T2804" s="95" t="str">
        <f t="shared" si="222"/>
        <v/>
      </c>
      <c r="U2804" s="32">
        <f t="shared" si="218"/>
        <v>-1311.1330794555045</v>
      </c>
      <c r="V2804" s="22" t="str">
        <f t="shared" si="219"/>
        <v/>
      </c>
      <c r="X2804" s="33"/>
      <c r="Y2804" s="33"/>
    </row>
    <row r="2805" spans="1:25" x14ac:dyDescent="0.2">
      <c r="A2805" s="93" t="s">
        <v>1251</v>
      </c>
      <c r="B2805" s="94" t="str">
        <f>IFERROR(VLOOKUP($A2805,HeadJournal!$A$1:$NTR$890,COLUMN(HeadJournal!B$1),0),"")</f>
        <v>1495012412</v>
      </c>
      <c r="C2805" s="94" t="str">
        <f>IFERROR(VLOOKUP($A2805,HeadJournal!$A$1:$NTR$890,COLUMN(HeadJournal!C$1),0),"")</f>
        <v>essens_OA</v>
      </c>
      <c r="D2805" s="125" t="str">
        <f>IFERROR(VLOOKUP($A2805,HeadJournal!$A$1:$NTR$890,COLUMN(HeadJournal!D$1),0),"")</f>
        <v>Доставлен</v>
      </c>
      <c r="E2805" s="95">
        <f>IFERROR(VLOOKUP($A2805,HeadJournal!$A$1:$NTR$890,COLUMN(HeadJournal!G$1),0),"")</f>
        <v>45305</v>
      </c>
      <c r="F2805" s="95" t="str">
        <f t="shared" si="220"/>
        <v>2024 01</v>
      </c>
      <c r="G2805" s="96" t="s">
        <v>8</v>
      </c>
      <c r="H2805" s="161" t="s">
        <v>2245</v>
      </c>
      <c r="I2805" s="97" t="s">
        <v>2243</v>
      </c>
      <c r="J2805" s="97" t="s">
        <v>2252</v>
      </c>
      <c r="K2805" s="29">
        <v>1445</v>
      </c>
      <c r="L2805" s="29">
        <v>-240.83333333333334</v>
      </c>
      <c r="M2805" s="30">
        <f>IFERROR(VLOOKUP($A2805,HeadJournal!$A$1:$J$890,COLUMN(HeadJournal!I$1),0)*($K2805+$L2805)/(SUMIF($A:$A,$A2805,$K:$K)+SUMIF($A:$A,$A2805,$L:$L)),0)</f>
        <v>0</v>
      </c>
      <c r="N2805" s="30">
        <f>IFERROR((VLOOKUP($A2805,HeadJournal!$A$1:$K$890,COLUMN(HeadJournal!K$1),0)-VLOOKUP($A2805,HeadJournal!$A$1:$K$890,COLUMN(HeadJournal!J$1),0))*($K2805+$L2805)/(SUMIF($A:$A,$A2805,$K:$K)+SUMIF($A:$A,$A2805,$L:$L)),0)</f>
        <v>0</v>
      </c>
      <c r="O2805" s="30">
        <f>IFERROR((VLOOKUP($A2805,HeadJournal!$A$1:$L$890,COLUMN(HeadJournal!L$1),0)*($K2805+$L2805)/(SUMIF($A:$A,$A2805,$K:$K)+SUMIF($A:$A,$A2805,$L:$L)))/VLOOKUP($A2805,HeadJournal!$A$1:$L$890,COLUMN(HeadJournal!H$1),0),0)</f>
        <v>106.96641278883764</v>
      </c>
      <c r="P2805" s="30">
        <f>IFERROR(SUM(K2805:O2805)*VLOOKUP($A2805,HeadJournal!$A$1:$L$890,COLUMN(HeadJournal!H$1),0),0)</f>
        <v>1311.1330794555045</v>
      </c>
      <c r="Q2805" s="29">
        <v>2200</v>
      </c>
      <c r="R2805" s="31">
        <v>45574</v>
      </c>
      <c r="S2805" s="31" t="s">
        <v>3121</v>
      </c>
      <c r="T2805" s="95" t="str">
        <f t="shared" si="222"/>
        <v>2024 10</v>
      </c>
      <c r="U2805" s="32">
        <f t="shared" si="218"/>
        <v>888.86692054449554</v>
      </c>
      <c r="V2805" s="22">
        <f t="shared" si="219"/>
        <v>0.67793798697660024</v>
      </c>
      <c r="X2805" s="33"/>
      <c r="Y2805" s="33"/>
    </row>
    <row r="2806" spans="1:25" x14ac:dyDescent="0.2">
      <c r="A2806" s="93" t="s">
        <v>1251</v>
      </c>
      <c r="B2806" s="94" t="str">
        <f>IFERROR(VLOOKUP($A2806,HeadJournal!$A$1:$NTR$890,COLUMN(HeadJournal!B$1),0),"")</f>
        <v>1495012412</v>
      </c>
      <c r="C2806" s="94" t="str">
        <f>IFERROR(VLOOKUP($A2806,HeadJournal!$A$1:$NTR$890,COLUMN(HeadJournal!C$1),0),"")</f>
        <v>essens_OA</v>
      </c>
      <c r="D2806" s="125" t="str">
        <f>IFERROR(VLOOKUP($A2806,HeadJournal!$A$1:$NTR$890,COLUMN(HeadJournal!D$1),0),"")</f>
        <v>Доставлен</v>
      </c>
      <c r="E2806" s="95">
        <f>IFERROR(VLOOKUP($A2806,HeadJournal!$A$1:$NTR$890,COLUMN(HeadJournal!G$1),0),"")</f>
        <v>45305</v>
      </c>
      <c r="F2806" s="95" t="str">
        <f t="shared" si="220"/>
        <v>2024 01</v>
      </c>
      <c r="G2806" s="96" t="s">
        <v>8</v>
      </c>
      <c r="H2806" s="161" t="s">
        <v>5261</v>
      </c>
      <c r="I2806" s="97" t="s">
        <v>2243</v>
      </c>
      <c r="J2806" s="97" t="s">
        <v>5319</v>
      </c>
      <c r="K2806" s="29">
        <v>1445</v>
      </c>
      <c r="L2806" s="29">
        <v>-240.83333333333334</v>
      </c>
      <c r="M2806" s="30">
        <f>IFERROR(VLOOKUP($A2806,HeadJournal!$A$1:$J$890,COLUMN(HeadJournal!I$1),0)*($K2806+$L2806)/(SUMIF($A:$A,$A2806,$K:$K)+SUMIF($A:$A,$A2806,$L:$L)),0)</f>
        <v>0</v>
      </c>
      <c r="N2806" s="30">
        <f>IFERROR((VLOOKUP($A2806,HeadJournal!$A$1:$K$890,COLUMN(HeadJournal!K$1),0)-VLOOKUP($A2806,HeadJournal!$A$1:$K$890,COLUMN(HeadJournal!J$1),0))*($K2806+$L2806)/(SUMIF($A:$A,$A2806,$K:$K)+SUMIF($A:$A,$A2806,$L:$L)),0)</f>
        <v>0</v>
      </c>
      <c r="O2806" s="30">
        <f>IFERROR((VLOOKUP($A2806,HeadJournal!$A$1:$L$890,COLUMN(HeadJournal!L$1),0)*($K2806+$L2806)/(SUMIF($A:$A,$A2806,$K:$K)+SUMIF($A:$A,$A2806,$L:$L)))/VLOOKUP($A2806,HeadJournal!$A$1:$L$890,COLUMN(HeadJournal!H$1),0),0)</f>
        <v>106.96641278883764</v>
      </c>
      <c r="P2806" s="30">
        <f>IFERROR(SUM(K2806:O2806)*VLOOKUP($A2806,HeadJournal!$A$1:$L$890,COLUMN(HeadJournal!H$1),0),0)</f>
        <v>1311.1330794555045</v>
      </c>
      <c r="Q2806" s="29"/>
      <c r="R2806" s="31"/>
      <c r="S2806" s="31"/>
      <c r="T2806" s="95" t="str">
        <f t="shared" si="222"/>
        <v/>
      </c>
      <c r="U2806" s="32">
        <f t="shared" si="218"/>
        <v>-1311.1330794555045</v>
      </c>
      <c r="V2806" s="22" t="str">
        <f t="shared" si="219"/>
        <v/>
      </c>
      <c r="X2806" s="33"/>
      <c r="Y2806" s="33"/>
    </row>
    <row r="2807" spans="1:25" x14ac:dyDescent="0.2">
      <c r="A2807" s="93" t="s">
        <v>1251</v>
      </c>
      <c r="B2807" s="94" t="str">
        <f>IFERROR(VLOOKUP($A2807,HeadJournal!$A$1:$NTR$890,COLUMN(HeadJournal!B$1),0),"")</f>
        <v>1495012412</v>
      </c>
      <c r="C2807" s="94" t="str">
        <f>IFERROR(VLOOKUP($A2807,HeadJournal!$A$1:$NTR$890,COLUMN(HeadJournal!C$1),0),"")</f>
        <v>essens_OA</v>
      </c>
      <c r="D2807" s="125" t="str">
        <f>IFERROR(VLOOKUP($A2807,HeadJournal!$A$1:$NTR$890,COLUMN(HeadJournal!D$1),0),"")</f>
        <v>Доставлен</v>
      </c>
      <c r="E2807" s="95">
        <f>IFERROR(VLOOKUP($A2807,HeadJournal!$A$1:$NTR$890,COLUMN(HeadJournal!G$1),0),"")</f>
        <v>45305</v>
      </c>
      <c r="F2807" s="95" t="str">
        <f t="shared" si="220"/>
        <v>2024 01</v>
      </c>
      <c r="G2807" s="96" t="s">
        <v>8</v>
      </c>
      <c r="H2807" s="161" t="s">
        <v>5262</v>
      </c>
      <c r="I2807" s="97" t="s">
        <v>2243</v>
      </c>
      <c r="J2807" s="97" t="s">
        <v>5320</v>
      </c>
      <c r="K2807" s="29">
        <v>1445</v>
      </c>
      <c r="L2807" s="29">
        <v>-240.83333333333334</v>
      </c>
      <c r="M2807" s="30">
        <f>IFERROR(VLOOKUP($A2807,HeadJournal!$A$1:$J$890,COLUMN(HeadJournal!I$1),0)*($K2807+$L2807)/(SUMIF($A:$A,$A2807,$K:$K)+SUMIF($A:$A,$A2807,$L:$L)),0)</f>
        <v>0</v>
      </c>
      <c r="N2807" s="30">
        <f>IFERROR((VLOOKUP($A2807,HeadJournal!$A$1:$K$890,COLUMN(HeadJournal!K$1),0)-VLOOKUP($A2807,HeadJournal!$A$1:$K$890,COLUMN(HeadJournal!J$1),0))*($K2807+$L2807)/(SUMIF($A:$A,$A2807,$K:$K)+SUMIF($A:$A,$A2807,$L:$L)),0)</f>
        <v>0</v>
      </c>
      <c r="O2807" s="30">
        <f>IFERROR((VLOOKUP($A2807,HeadJournal!$A$1:$L$890,COLUMN(HeadJournal!L$1),0)*($K2807+$L2807)/(SUMIF($A:$A,$A2807,$K:$K)+SUMIF($A:$A,$A2807,$L:$L)))/VLOOKUP($A2807,HeadJournal!$A$1:$L$890,COLUMN(HeadJournal!H$1),0),0)</f>
        <v>106.96641278883764</v>
      </c>
      <c r="P2807" s="30">
        <f>IFERROR(SUM(K2807:O2807)*VLOOKUP($A2807,HeadJournal!$A$1:$L$890,COLUMN(HeadJournal!H$1),0),0)</f>
        <v>1311.1330794555045</v>
      </c>
      <c r="Q2807" s="29">
        <v>2200</v>
      </c>
      <c r="R2807" s="31">
        <v>45654</v>
      </c>
      <c r="S2807" s="31" t="s">
        <v>3121</v>
      </c>
      <c r="T2807" s="95" t="str">
        <f t="shared" si="222"/>
        <v>2024 12</v>
      </c>
      <c r="U2807" s="32">
        <f t="shared" si="218"/>
        <v>888.86692054449554</v>
      </c>
      <c r="V2807" s="22">
        <f t="shared" si="219"/>
        <v>0.67793798697660024</v>
      </c>
      <c r="X2807" s="33"/>
      <c r="Y2807" s="33"/>
    </row>
    <row r="2808" spans="1:25" x14ac:dyDescent="0.2">
      <c r="A2808" s="93" t="s">
        <v>1252</v>
      </c>
      <c r="B2808" s="94">
        <f>IFERROR(VLOOKUP($A2808,HeadJournal!$A$1:$NTR$890,COLUMN(HeadJournal!B$1),0),"")</f>
        <v>0</v>
      </c>
      <c r="C2808" s="94" t="str">
        <f>IFERROR(VLOOKUP($A2808,HeadJournal!$A$1:$NTR$890,COLUMN(HeadJournal!C$1),0),"")</f>
        <v>CoralClub_AV</v>
      </c>
      <c r="D2808" s="125" t="str">
        <f>IFERROR(VLOOKUP($A2808,HeadJournal!$A$1:$NTR$890,COLUMN(HeadJournal!D$1),0),"")</f>
        <v>Доставлен</v>
      </c>
      <c r="E2808" s="95">
        <f>IFERROR(VLOOKUP($A2808,HeadJournal!$A$1:$NTR$890,COLUMN(HeadJournal!G$1),0),"")</f>
        <v>45314</v>
      </c>
      <c r="F2808" s="95" t="str">
        <f t="shared" si="220"/>
        <v>2024 01</v>
      </c>
      <c r="G2808" s="96" t="s">
        <v>5</v>
      </c>
      <c r="H2808" s="161" t="str">
        <f>RIGHT(Journal!$J2808,9)</f>
        <v>000091614</v>
      </c>
      <c r="I2808" s="97" t="str">
        <f t="shared" ref="I2808:I2870" si="224">IFERROR(LEFT(J2808,FIND(",",J2808)-1),"")</f>
        <v>CoralClub</v>
      </c>
      <c r="J2808" s="97" t="s">
        <v>1253</v>
      </c>
      <c r="K2808" s="29">
        <v>2856</v>
      </c>
      <c r="L2808" s="29">
        <v>0</v>
      </c>
      <c r="M2808" s="30">
        <f>IFERROR(VLOOKUP($A2808,HeadJournal!$A$1:$J$890,COLUMN(HeadJournal!I$1),0)*($K2808+$L2808)/(SUMIF($A:$A,$A2808,$K:$K)+SUMIF($A:$A,$A2808,$L:$L)),0)</f>
        <v>0</v>
      </c>
      <c r="N2808" s="30">
        <f>IFERROR((VLOOKUP($A2808,HeadJournal!$A$1:$K$890,COLUMN(HeadJournal!K$1),0)-VLOOKUP($A2808,HeadJournal!$A$1:$K$890,COLUMN(HeadJournal!J$1),0))*($K2808+$L2808)/(SUMIF($A:$A,$A2808,$K:$K)+SUMIF($A:$A,$A2808,$L:$L)),0)</f>
        <v>8.8148148148148149</v>
      </c>
      <c r="O2808" s="30">
        <f>IFERROR((VLOOKUP($A2808,HeadJournal!$A$1:$L$890,COLUMN(HeadJournal!L$1),0)*($K2808+$L2808)/(SUMIF($A:$A,$A2808,$K:$K)+SUMIF($A:$A,$A2808,$L:$L)))/VLOOKUP($A2808,HeadJournal!$A$1:$L$890,COLUMN(HeadJournal!H$1),0),0)</f>
        <v>0</v>
      </c>
      <c r="P2808" s="30">
        <f>IFERROR(SUM(K2808:O2808)*VLOOKUP($A2808,HeadJournal!$A$1:$L$890,COLUMN(HeadJournal!H$1),0),0)</f>
        <v>2864.8148148148148</v>
      </c>
      <c r="Q2808" s="29">
        <v>3600</v>
      </c>
      <c r="R2808" s="31">
        <v>45321</v>
      </c>
      <c r="S2808" s="31" t="s">
        <v>3121</v>
      </c>
      <c r="T2808" s="95" t="str">
        <f t="shared" si="222"/>
        <v>2024 01</v>
      </c>
      <c r="U2808" s="32">
        <f t="shared" si="218"/>
        <v>735.18518518518522</v>
      </c>
      <c r="V2808" s="22">
        <f t="shared" si="219"/>
        <v>0.25662572721396254</v>
      </c>
      <c r="X2808" s="33"/>
      <c r="Y2808" s="33"/>
    </row>
    <row r="2809" spans="1:25" x14ac:dyDescent="0.2">
      <c r="A2809" s="93" t="s">
        <v>1252</v>
      </c>
      <c r="B2809" s="94">
        <f>IFERROR(VLOOKUP($A2809,HeadJournal!$A$1:$NTR$890,COLUMN(HeadJournal!B$1),0),"")</f>
        <v>0</v>
      </c>
      <c r="C2809" s="94" t="str">
        <f>IFERROR(VLOOKUP($A2809,HeadJournal!$A$1:$NTR$890,COLUMN(HeadJournal!C$1),0),"")</f>
        <v>CoralClub_AV</v>
      </c>
      <c r="D2809" s="125" t="str">
        <f>IFERROR(VLOOKUP($A2809,HeadJournal!$A$1:$NTR$890,COLUMN(HeadJournal!D$1),0),"")</f>
        <v>Доставлен</v>
      </c>
      <c r="E2809" s="95">
        <f>IFERROR(VLOOKUP($A2809,HeadJournal!$A$1:$NTR$890,COLUMN(HeadJournal!G$1),0),"")</f>
        <v>45314</v>
      </c>
      <c r="F2809" s="95" t="str">
        <f t="shared" si="220"/>
        <v>2024 01</v>
      </c>
      <c r="G2809" s="96" t="s">
        <v>5</v>
      </c>
      <c r="H2809" s="161" t="str">
        <f>RIGHT(Journal!$J2809,9)</f>
        <v>000002150</v>
      </c>
      <c r="I2809" s="97" t="str">
        <f t="shared" si="224"/>
        <v>CoralClub</v>
      </c>
      <c r="J2809" s="97" t="s">
        <v>307</v>
      </c>
      <c r="K2809" s="29">
        <v>1680</v>
      </c>
      <c r="L2809" s="29">
        <v>0</v>
      </c>
      <c r="M2809" s="30">
        <f>IFERROR(VLOOKUP($A2809,HeadJournal!$A$1:$J$890,COLUMN(HeadJournal!I$1),0)*($K2809+$L2809)/(SUMIF($A:$A,$A2809,$K:$K)+SUMIF($A:$A,$A2809,$L:$L)),0)</f>
        <v>0</v>
      </c>
      <c r="N2809" s="30">
        <f>IFERROR((VLOOKUP($A2809,HeadJournal!$A$1:$K$890,COLUMN(HeadJournal!K$1),0)-VLOOKUP($A2809,HeadJournal!$A$1:$K$890,COLUMN(HeadJournal!J$1),0))*($K2809+$L2809)/(SUMIF($A:$A,$A2809,$K:$K)+SUMIF($A:$A,$A2809,$L:$L)),0)</f>
        <v>5.1851851851851851</v>
      </c>
      <c r="O2809" s="30">
        <f>IFERROR((VLOOKUP($A2809,HeadJournal!$A$1:$L$890,COLUMN(HeadJournal!L$1),0)*($K2809+$L2809)/(SUMIF($A:$A,$A2809,$K:$K)+SUMIF($A:$A,$A2809,$L:$L)))/VLOOKUP($A2809,HeadJournal!$A$1:$L$890,COLUMN(HeadJournal!H$1),0),0)</f>
        <v>0</v>
      </c>
      <c r="P2809" s="30">
        <f>IFERROR(SUM(K2809:O2809)*VLOOKUP($A2809,HeadJournal!$A$1:$L$890,COLUMN(HeadJournal!H$1),0),0)</f>
        <v>1685.1851851851852</v>
      </c>
      <c r="Q2809" s="29">
        <v>2100</v>
      </c>
      <c r="R2809" s="31">
        <v>45314</v>
      </c>
      <c r="S2809" s="31" t="s">
        <v>3121</v>
      </c>
      <c r="T2809" s="95" t="str">
        <f t="shared" si="222"/>
        <v>2024 01</v>
      </c>
      <c r="U2809" s="32">
        <f t="shared" si="218"/>
        <v>414.81481481481478</v>
      </c>
      <c r="V2809" s="22">
        <f t="shared" si="219"/>
        <v>0.24615384615384614</v>
      </c>
      <c r="X2809" s="33"/>
      <c r="Y2809" s="33"/>
    </row>
    <row r="2810" spans="1:25" x14ac:dyDescent="0.2">
      <c r="A2810" s="93" t="s">
        <v>1254</v>
      </c>
      <c r="B2810" s="94" t="str">
        <f>IFERROR(VLOOKUP($A2810,HeadJournal!$A$1:$NTR$890,COLUMN(HeadJournal!B$1),0),"")</f>
        <v>1395905958</v>
      </c>
      <c r="C2810" s="94" t="str">
        <f>IFERROR(VLOOKUP($A2810,HeadJournal!$A$1:$NTR$890,COLUMN(HeadJournal!C$1),0),"")</f>
        <v>essens_OA</v>
      </c>
      <c r="D2810" s="125" t="str">
        <f>IFERROR(VLOOKUP($A2810,HeadJournal!$A$1:$NTR$890,COLUMN(HeadJournal!D$1),0),"")</f>
        <v>Доставлен</v>
      </c>
      <c r="E2810" s="95">
        <f>IFERROR(VLOOKUP($A2810,HeadJournal!$A$1:$NTR$890,COLUMN(HeadJournal!G$1),0),"")</f>
        <v>45285</v>
      </c>
      <c r="F2810" s="95" t="str">
        <f t="shared" si="220"/>
        <v>2023 12</v>
      </c>
      <c r="G2810" s="96" t="s">
        <v>8</v>
      </c>
      <c r="H2810" s="161" t="s">
        <v>5263</v>
      </c>
      <c r="I2810" s="97" t="s">
        <v>2243</v>
      </c>
      <c r="J2810" s="97" t="s">
        <v>5321</v>
      </c>
      <c r="K2810" s="29">
        <v>1560</v>
      </c>
      <c r="L2810" s="29"/>
      <c r="M2810" s="30">
        <f>IFERROR(VLOOKUP($A2810,HeadJournal!$A$1:$J$890,COLUMN(HeadJournal!I$1),0)*($K2810+$L2810)/(SUMIF($A:$A,$A2810,$K:$K)+SUMIF($A:$A,$A2810,$L:$L)),0)</f>
        <v>0</v>
      </c>
      <c r="N2810" s="30">
        <f>IFERROR((VLOOKUP($A2810,HeadJournal!$A$1:$K$890,COLUMN(HeadJournal!K$1),0)-VLOOKUP($A2810,HeadJournal!$A$1:$K$890,COLUMN(HeadJournal!J$1),0))*($K2810+$L2810)/(SUMIF($A:$A,$A2810,$K:$K)+SUMIF($A:$A,$A2810,$L:$L)),0)</f>
        <v>-312</v>
      </c>
      <c r="O2810" s="30">
        <f>IFERROR((VLOOKUP($A2810,HeadJournal!$A$1:$L$890,COLUMN(HeadJournal!L$1),0)*($K2810+$L2810)/(SUMIF($A:$A,$A2810,$K:$K)+SUMIF($A:$A,$A2810,$L:$L)))/VLOOKUP($A2810,HeadJournal!$A$1:$L$890,COLUMN(HeadJournal!H$1),0),0)</f>
        <v>0</v>
      </c>
      <c r="P2810" s="30">
        <f>IFERROR(SUM(K2810:O2810)*VLOOKUP($A2810,HeadJournal!$A$1:$L$890,COLUMN(HeadJournal!H$1),0),0)</f>
        <v>1248</v>
      </c>
      <c r="Q2810" s="29">
        <v>1560</v>
      </c>
      <c r="R2810" s="31">
        <v>45297</v>
      </c>
      <c r="S2810" s="31" t="s">
        <v>3121</v>
      </c>
      <c r="T2810" s="95" t="str">
        <f t="shared" si="222"/>
        <v>2024 01</v>
      </c>
      <c r="U2810" s="32">
        <f t="shared" si="218"/>
        <v>312</v>
      </c>
      <c r="V2810" s="22">
        <f t="shared" si="219"/>
        <v>0.25</v>
      </c>
      <c r="X2810" s="33"/>
      <c r="Y2810" s="33"/>
    </row>
    <row r="2811" spans="1:25" x14ac:dyDescent="0.2">
      <c r="A2811" s="93" t="s">
        <v>1254</v>
      </c>
      <c r="B2811" s="94" t="str">
        <f>IFERROR(VLOOKUP($A2811,HeadJournal!$A$1:$NTR$890,COLUMN(HeadJournal!B$1),0),"")</f>
        <v>1395905958</v>
      </c>
      <c r="C2811" s="94" t="str">
        <f>IFERROR(VLOOKUP($A2811,HeadJournal!$A$1:$NTR$890,COLUMN(HeadJournal!C$1),0),"")</f>
        <v>essens_OA</v>
      </c>
      <c r="D2811" s="125" t="str">
        <f>IFERROR(VLOOKUP($A2811,HeadJournal!$A$1:$NTR$890,COLUMN(HeadJournal!D$1),0),"")</f>
        <v>Доставлен</v>
      </c>
      <c r="E2811" s="95">
        <f>IFERROR(VLOOKUP($A2811,HeadJournal!$A$1:$NTR$890,COLUMN(HeadJournal!G$1),0),"")</f>
        <v>45285</v>
      </c>
      <c r="F2811" s="95" t="str">
        <f t="shared" si="220"/>
        <v>2023 12</v>
      </c>
      <c r="G2811" s="96" t="s">
        <v>8</v>
      </c>
      <c r="H2811" s="161" t="s">
        <v>5264</v>
      </c>
      <c r="I2811" s="97" t="s">
        <v>2243</v>
      </c>
      <c r="J2811" s="97" t="s">
        <v>5322</v>
      </c>
      <c r="K2811" s="29">
        <v>1560</v>
      </c>
      <c r="L2811" s="29"/>
      <c r="M2811" s="30">
        <f>IFERROR(VLOOKUP($A2811,HeadJournal!$A$1:$J$890,COLUMN(HeadJournal!I$1),0)*($K2811+$L2811)/(SUMIF($A:$A,$A2811,$K:$K)+SUMIF($A:$A,$A2811,$L:$L)),0)</f>
        <v>0</v>
      </c>
      <c r="N2811" s="30">
        <f>IFERROR((VLOOKUP($A2811,HeadJournal!$A$1:$K$890,COLUMN(HeadJournal!K$1),0)-VLOOKUP($A2811,HeadJournal!$A$1:$K$890,COLUMN(HeadJournal!J$1),0))*($K2811+$L2811)/(SUMIF($A:$A,$A2811,$K:$K)+SUMIF($A:$A,$A2811,$L:$L)),0)</f>
        <v>-312</v>
      </c>
      <c r="O2811" s="30">
        <f>IFERROR((VLOOKUP($A2811,HeadJournal!$A$1:$L$890,COLUMN(HeadJournal!L$1),0)*($K2811+$L2811)/(SUMIF($A:$A,$A2811,$K:$K)+SUMIF($A:$A,$A2811,$L:$L)))/VLOOKUP($A2811,HeadJournal!$A$1:$L$890,COLUMN(HeadJournal!H$1),0),0)</f>
        <v>0</v>
      </c>
      <c r="P2811" s="30">
        <f>IFERROR(SUM(K2811:O2811)*VLOOKUP($A2811,HeadJournal!$A$1:$L$890,COLUMN(HeadJournal!H$1),0),0)</f>
        <v>1248</v>
      </c>
      <c r="Q2811" s="29">
        <v>1560</v>
      </c>
      <c r="R2811" s="31">
        <v>45297</v>
      </c>
      <c r="S2811" s="31" t="s">
        <v>3121</v>
      </c>
      <c r="T2811" s="95" t="str">
        <f t="shared" si="222"/>
        <v>2024 01</v>
      </c>
      <c r="U2811" s="32">
        <f t="shared" si="218"/>
        <v>312</v>
      </c>
      <c r="V2811" s="22">
        <f t="shared" si="219"/>
        <v>0.25</v>
      </c>
      <c r="X2811" s="33"/>
      <c r="Y2811" s="33"/>
    </row>
    <row r="2812" spans="1:25" x14ac:dyDescent="0.2">
      <c r="A2812" s="93" t="s">
        <v>1254</v>
      </c>
      <c r="B2812" s="94" t="str">
        <f>IFERROR(VLOOKUP($A2812,HeadJournal!$A$1:$NTR$890,COLUMN(HeadJournal!B$1),0),"")</f>
        <v>1395905958</v>
      </c>
      <c r="C2812" s="94" t="str">
        <f>IFERROR(VLOOKUP($A2812,HeadJournal!$A$1:$NTR$890,COLUMN(HeadJournal!C$1),0),"")</f>
        <v>essens_OA</v>
      </c>
      <c r="D2812" s="125" t="str">
        <f>IFERROR(VLOOKUP($A2812,HeadJournal!$A$1:$NTR$890,COLUMN(HeadJournal!D$1),0),"")</f>
        <v>Доставлен</v>
      </c>
      <c r="E2812" s="95">
        <f>IFERROR(VLOOKUP($A2812,HeadJournal!$A$1:$NTR$890,COLUMN(HeadJournal!G$1),0),"")</f>
        <v>45285</v>
      </c>
      <c r="F2812" s="95" t="str">
        <f t="shared" si="220"/>
        <v>2023 12</v>
      </c>
      <c r="G2812" s="96" t="s">
        <v>8</v>
      </c>
      <c r="H2812" s="161" t="s">
        <v>3956</v>
      </c>
      <c r="I2812" s="97" t="s">
        <v>2243</v>
      </c>
      <c r="J2812" s="97" t="s">
        <v>3960</v>
      </c>
      <c r="K2812" s="29">
        <v>1560</v>
      </c>
      <c r="L2812" s="29"/>
      <c r="M2812" s="30">
        <f>IFERROR(VLOOKUP($A2812,HeadJournal!$A$1:$J$890,COLUMN(HeadJournal!I$1),0)*($K2812+$L2812)/(SUMIF($A:$A,$A2812,$K:$K)+SUMIF($A:$A,$A2812,$L:$L)),0)</f>
        <v>0</v>
      </c>
      <c r="N2812" s="30">
        <f>IFERROR((VLOOKUP($A2812,HeadJournal!$A$1:$K$890,COLUMN(HeadJournal!K$1),0)-VLOOKUP($A2812,HeadJournal!$A$1:$K$890,COLUMN(HeadJournal!J$1),0))*($K2812+$L2812)/(SUMIF($A:$A,$A2812,$K:$K)+SUMIF($A:$A,$A2812,$L:$L)),0)</f>
        <v>-312</v>
      </c>
      <c r="O2812" s="30">
        <f>IFERROR((VLOOKUP($A2812,HeadJournal!$A$1:$L$890,COLUMN(HeadJournal!L$1),0)*($K2812+$L2812)/(SUMIF($A:$A,$A2812,$K:$K)+SUMIF($A:$A,$A2812,$L:$L)))/VLOOKUP($A2812,HeadJournal!$A$1:$L$890,COLUMN(HeadJournal!H$1),0),0)</f>
        <v>0</v>
      </c>
      <c r="P2812" s="30">
        <f>IFERROR(SUM(K2812:O2812)*VLOOKUP($A2812,HeadJournal!$A$1:$L$890,COLUMN(HeadJournal!H$1),0),0)</f>
        <v>1248</v>
      </c>
      <c r="Q2812" s="29">
        <v>1560</v>
      </c>
      <c r="R2812" s="31">
        <v>45286</v>
      </c>
      <c r="S2812" s="31" t="s">
        <v>3121</v>
      </c>
      <c r="T2812" s="95" t="str">
        <f t="shared" si="222"/>
        <v>2023 12</v>
      </c>
      <c r="U2812" s="32">
        <f t="shared" si="218"/>
        <v>312</v>
      </c>
      <c r="V2812" s="22">
        <f t="shared" si="219"/>
        <v>0.25</v>
      </c>
      <c r="X2812" s="33"/>
      <c r="Y2812" s="33"/>
    </row>
    <row r="2813" spans="1:25" x14ac:dyDescent="0.2">
      <c r="A2813" s="93" t="s">
        <v>1254</v>
      </c>
      <c r="B2813" s="94" t="str">
        <f>IFERROR(VLOOKUP($A2813,HeadJournal!$A$1:$NTR$890,COLUMN(HeadJournal!B$1),0),"")</f>
        <v>1395905958</v>
      </c>
      <c r="C2813" s="94" t="str">
        <f>IFERROR(VLOOKUP($A2813,HeadJournal!$A$1:$NTR$890,COLUMN(HeadJournal!C$1),0),"")</f>
        <v>essens_OA</v>
      </c>
      <c r="D2813" s="125" t="str">
        <f>IFERROR(VLOOKUP($A2813,HeadJournal!$A$1:$NTR$890,COLUMN(HeadJournal!D$1),0),"")</f>
        <v>Доставлен</v>
      </c>
      <c r="E2813" s="95">
        <f>IFERROR(VLOOKUP($A2813,HeadJournal!$A$1:$NTR$890,COLUMN(HeadJournal!G$1),0),"")</f>
        <v>45285</v>
      </c>
      <c r="F2813" s="95" t="str">
        <f t="shared" si="220"/>
        <v>2023 12</v>
      </c>
      <c r="G2813" s="96" t="s">
        <v>8</v>
      </c>
      <c r="H2813" s="161" t="s">
        <v>5256</v>
      </c>
      <c r="I2813" s="97" t="s">
        <v>2243</v>
      </c>
      <c r="J2813" s="97" t="s">
        <v>5314</v>
      </c>
      <c r="K2813" s="29">
        <v>1560</v>
      </c>
      <c r="L2813" s="29"/>
      <c r="M2813" s="30">
        <f>IFERROR(VLOOKUP($A2813,HeadJournal!$A$1:$J$890,COLUMN(HeadJournal!I$1),0)*($K2813+$L2813)/(SUMIF($A:$A,$A2813,$K:$K)+SUMIF($A:$A,$A2813,$L:$L)),0)</f>
        <v>0</v>
      </c>
      <c r="N2813" s="30">
        <f>IFERROR((VLOOKUP($A2813,HeadJournal!$A$1:$K$890,COLUMN(HeadJournal!K$1),0)-VLOOKUP($A2813,HeadJournal!$A$1:$K$890,COLUMN(HeadJournal!J$1),0))*($K2813+$L2813)/(SUMIF($A:$A,$A2813,$K:$K)+SUMIF($A:$A,$A2813,$L:$L)),0)</f>
        <v>-312</v>
      </c>
      <c r="O2813" s="30">
        <f>IFERROR((VLOOKUP($A2813,HeadJournal!$A$1:$L$890,COLUMN(HeadJournal!L$1),0)*($K2813+$L2813)/(SUMIF($A:$A,$A2813,$K:$K)+SUMIF($A:$A,$A2813,$L:$L)))/VLOOKUP($A2813,HeadJournal!$A$1:$L$890,COLUMN(HeadJournal!H$1),0),0)</f>
        <v>0</v>
      </c>
      <c r="P2813" s="30">
        <f>IFERROR(SUM(K2813:O2813)*VLOOKUP($A2813,HeadJournal!$A$1:$L$890,COLUMN(HeadJournal!H$1),0),0)</f>
        <v>1248</v>
      </c>
      <c r="Q2813" s="29">
        <v>2200</v>
      </c>
      <c r="R2813" s="31">
        <v>45315</v>
      </c>
      <c r="S2813" s="31" t="s">
        <v>3121</v>
      </c>
      <c r="T2813" s="95" t="str">
        <f t="shared" si="222"/>
        <v>2024 01</v>
      </c>
      <c r="U2813" s="32">
        <f t="shared" si="218"/>
        <v>952</v>
      </c>
      <c r="V2813" s="22">
        <f t="shared" si="219"/>
        <v>0.76282051282051277</v>
      </c>
      <c r="X2813" s="33"/>
      <c r="Y2813" s="33"/>
    </row>
    <row r="2814" spans="1:25" x14ac:dyDescent="0.2">
      <c r="A2814" s="93" t="s">
        <v>1254</v>
      </c>
      <c r="B2814" s="94" t="str">
        <f>IFERROR(VLOOKUP($A2814,HeadJournal!$A$1:$NTR$890,COLUMN(HeadJournal!B$1),0),"")</f>
        <v>1395905958</v>
      </c>
      <c r="C2814" s="94" t="str">
        <f>IFERROR(VLOOKUP($A2814,HeadJournal!$A$1:$NTR$890,COLUMN(HeadJournal!C$1),0),"")</f>
        <v>essens_OA</v>
      </c>
      <c r="D2814" s="125" t="str">
        <f>IFERROR(VLOOKUP($A2814,HeadJournal!$A$1:$NTR$890,COLUMN(HeadJournal!D$1),0),"")</f>
        <v>Доставлен</v>
      </c>
      <c r="E2814" s="95">
        <f>IFERROR(VLOOKUP($A2814,HeadJournal!$A$1:$NTR$890,COLUMN(HeadJournal!G$1),0),"")</f>
        <v>45285</v>
      </c>
      <c r="F2814" s="95" t="str">
        <f t="shared" si="220"/>
        <v>2023 12</v>
      </c>
      <c r="G2814" s="96" t="s">
        <v>8</v>
      </c>
      <c r="H2814" s="161" t="s">
        <v>2765</v>
      </c>
      <c r="I2814" s="97" t="s">
        <v>2243</v>
      </c>
      <c r="J2814" s="97" t="s">
        <v>3957</v>
      </c>
      <c r="K2814" s="29">
        <v>1560</v>
      </c>
      <c r="L2814" s="29"/>
      <c r="M2814" s="30">
        <f>IFERROR(VLOOKUP($A2814,HeadJournal!$A$1:$J$890,COLUMN(HeadJournal!I$1),0)*($K2814+$L2814)/(SUMIF($A:$A,$A2814,$K:$K)+SUMIF($A:$A,$A2814,$L:$L)),0)</f>
        <v>0</v>
      </c>
      <c r="N2814" s="30">
        <f>IFERROR((VLOOKUP($A2814,HeadJournal!$A$1:$K$890,COLUMN(HeadJournal!K$1),0)-VLOOKUP($A2814,HeadJournal!$A$1:$K$890,COLUMN(HeadJournal!J$1),0))*($K2814+$L2814)/(SUMIF($A:$A,$A2814,$K:$K)+SUMIF($A:$A,$A2814,$L:$L)),0)</f>
        <v>-312</v>
      </c>
      <c r="O2814" s="30">
        <f>IFERROR((VLOOKUP($A2814,HeadJournal!$A$1:$L$890,COLUMN(HeadJournal!L$1),0)*($K2814+$L2814)/(SUMIF($A:$A,$A2814,$K:$K)+SUMIF($A:$A,$A2814,$L:$L)))/VLOOKUP($A2814,HeadJournal!$A$1:$L$890,COLUMN(HeadJournal!H$1),0),0)</f>
        <v>0</v>
      </c>
      <c r="P2814" s="30">
        <f>IFERROR(SUM(K2814:O2814)*VLOOKUP($A2814,HeadJournal!$A$1:$L$890,COLUMN(HeadJournal!H$1),0),0)</f>
        <v>1248</v>
      </c>
      <c r="Q2814" s="29">
        <v>2200</v>
      </c>
      <c r="R2814" s="31">
        <v>45347</v>
      </c>
      <c r="S2814" s="31" t="s">
        <v>3121</v>
      </c>
      <c r="T2814" s="95" t="str">
        <f t="shared" si="222"/>
        <v>2024 02</v>
      </c>
      <c r="U2814" s="32">
        <f t="shared" si="218"/>
        <v>952</v>
      </c>
      <c r="V2814" s="22">
        <f t="shared" si="219"/>
        <v>0.76282051282051277</v>
      </c>
      <c r="X2814" s="33"/>
      <c r="Y2814" s="33"/>
    </row>
    <row r="2815" spans="1:25" x14ac:dyDescent="0.2">
      <c r="A2815" s="93" t="s">
        <v>1255</v>
      </c>
      <c r="B2815" s="94">
        <f>IFERROR(VLOOKUP($A2815,HeadJournal!$A$1:$NTR$890,COLUMN(HeadJournal!B$1),0),"")</f>
        <v>0</v>
      </c>
      <c r="C2815" s="94" t="str">
        <f>IFERROR(VLOOKUP($A2815,HeadJournal!$A$1:$NTR$890,COLUMN(HeadJournal!C$1),0),"")</f>
        <v>OZON_OA</v>
      </c>
      <c r="D2815" s="125" t="str">
        <f>IFERROR(VLOOKUP($A2815,HeadJournal!$A$1:$NTR$890,COLUMN(HeadJournal!D$1),0),"")</f>
        <v>Доставлен</v>
      </c>
      <c r="E2815" s="95">
        <f>IFERROR(VLOOKUP($A2815,HeadJournal!$A$1:$NTR$890,COLUMN(HeadJournal!G$1),0),"")</f>
        <v>45314</v>
      </c>
      <c r="F2815" s="95" t="str">
        <f t="shared" si="220"/>
        <v>2024 01</v>
      </c>
      <c r="G2815" s="96" t="s">
        <v>5</v>
      </c>
      <c r="H2815" s="161" t="str">
        <f>RIGHT(Journal!$J2815,9)</f>
        <v>147011133</v>
      </c>
      <c r="I2815" s="97" t="str">
        <f t="shared" si="224"/>
        <v>NUTRICIA</v>
      </c>
      <c r="J2815" s="97" t="s">
        <v>1256</v>
      </c>
      <c r="K2815" s="29">
        <v>1058</v>
      </c>
      <c r="L2815" s="29"/>
      <c r="M2815" s="30">
        <f>IFERROR(VLOOKUP($A2815,HeadJournal!$A$1:$J$890,COLUMN(HeadJournal!I$1),0)*($K2815+$L2815)/(SUMIF($A:$A,$A2815,$K:$K)+SUMIF($A:$A,$A2815,$L:$L)),0)</f>
        <v>0</v>
      </c>
      <c r="N2815" s="30">
        <f>IFERROR((VLOOKUP($A2815,HeadJournal!$A$1:$K$890,COLUMN(HeadJournal!K$1),0)-VLOOKUP($A2815,HeadJournal!$A$1:$K$890,COLUMN(HeadJournal!J$1),0))*($K2815+$L2815)/(SUMIF($A:$A,$A2815,$K:$K)+SUMIF($A:$A,$A2815,$L:$L)),0)</f>
        <v>0</v>
      </c>
      <c r="O2815" s="30">
        <f>IFERROR((VLOOKUP($A2815,HeadJournal!$A$1:$L$890,COLUMN(HeadJournal!L$1),0)*($K2815+$L2815)/(SUMIF($A:$A,$A2815,$K:$K)+SUMIF($A:$A,$A2815,$L:$L)))/VLOOKUP($A2815,HeadJournal!$A$1:$L$890,COLUMN(HeadJournal!H$1),0),0)</f>
        <v>130</v>
      </c>
      <c r="P2815" s="30">
        <f>IFERROR(SUM(K2815:O2815)*VLOOKUP($A2815,HeadJournal!$A$1:$L$890,COLUMN(HeadJournal!H$1),0),0)</f>
        <v>1188</v>
      </c>
      <c r="Q2815" s="29">
        <v>1500</v>
      </c>
      <c r="R2815" s="31">
        <v>45319</v>
      </c>
      <c r="S2815" s="31" t="s">
        <v>3121</v>
      </c>
      <c r="T2815" s="95" t="str">
        <f t="shared" si="222"/>
        <v>2024 01</v>
      </c>
      <c r="U2815" s="32">
        <f t="shared" si="218"/>
        <v>312</v>
      </c>
      <c r="V2815" s="22">
        <f t="shared" si="219"/>
        <v>0.26262626262626265</v>
      </c>
      <c r="X2815" s="33"/>
      <c r="Y2815" s="33"/>
    </row>
    <row r="2816" spans="1:25" x14ac:dyDescent="0.2">
      <c r="A2816" s="93" t="s">
        <v>1255</v>
      </c>
      <c r="B2816" s="94">
        <f>IFERROR(VLOOKUP($A2816,HeadJournal!$A$1:$NTR$890,COLUMN(HeadJournal!B$1),0),"")</f>
        <v>0</v>
      </c>
      <c r="C2816" s="94" t="str">
        <f>IFERROR(VLOOKUP($A2816,HeadJournal!$A$1:$NTR$890,COLUMN(HeadJournal!C$1),0),"")</f>
        <v>OZON_OA</v>
      </c>
      <c r="D2816" s="125" t="str">
        <f>IFERROR(VLOOKUP($A2816,HeadJournal!$A$1:$NTR$890,COLUMN(HeadJournal!D$1),0),"")</f>
        <v>Доставлен</v>
      </c>
      <c r="E2816" s="95">
        <f>IFERROR(VLOOKUP($A2816,HeadJournal!$A$1:$NTR$890,COLUMN(HeadJournal!G$1),0),"")</f>
        <v>45314</v>
      </c>
      <c r="F2816" s="95" t="str">
        <f t="shared" si="220"/>
        <v>2024 01</v>
      </c>
      <c r="G2816" s="96" t="s">
        <v>5</v>
      </c>
      <c r="H2816" s="161" t="str">
        <f>RIGHT(Journal!$J2816,9)</f>
        <v>147011133</v>
      </c>
      <c r="I2816" s="97" t="str">
        <f t="shared" si="224"/>
        <v>NUTRICIA</v>
      </c>
      <c r="J2816" s="97" t="s">
        <v>1256</v>
      </c>
      <c r="K2816" s="29">
        <v>1058</v>
      </c>
      <c r="L2816" s="29"/>
      <c r="M2816" s="30">
        <f>IFERROR(VLOOKUP($A2816,HeadJournal!$A$1:$J$890,COLUMN(HeadJournal!I$1),0)*($K2816+$L2816)/(SUMIF($A:$A,$A2816,$K:$K)+SUMIF($A:$A,$A2816,$L:$L)),0)</f>
        <v>0</v>
      </c>
      <c r="N2816" s="30">
        <f>IFERROR((VLOOKUP($A2816,HeadJournal!$A$1:$K$890,COLUMN(HeadJournal!K$1),0)-VLOOKUP($A2816,HeadJournal!$A$1:$K$890,COLUMN(HeadJournal!J$1),0))*($K2816+$L2816)/(SUMIF($A:$A,$A2816,$K:$K)+SUMIF($A:$A,$A2816,$L:$L)),0)</f>
        <v>0</v>
      </c>
      <c r="O2816" s="30">
        <f>IFERROR((VLOOKUP($A2816,HeadJournal!$A$1:$L$890,COLUMN(HeadJournal!L$1),0)*($K2816+$L2816)/(SUMIF($A:$A,$A2816,$K:$K)+SUMIF($A:$A,$A2816,$L:$L)))/VLOOKUP($A2816,HeadJournal!$A$1:$L$890,COLUMN(HeadJournal!H$1),0),0)</f>
        <v>130</v>
      </c>
      <c r="P2816" s="30">
        <f>IFERROR(SUM(K2816:O2816)*VLOOKUP($A2816,HeadJournal!$A$1:$L$890,COLUMN(HeadJournal!H$1),0),0)</f>
        <v>1188</v>
      </c>
      <c r="Q2816" s="29">
        <v>1500</v>
      </c>
      <c r="R2816" s="31">
        <v>45319</v>
      </c>
      <c r="S2816" s="31" t="s">
        <v>3121</v>
      </c>
      <c r="T2816" s="95" t="str">
        <f t="shared" si="222"/>
        <v>2024 01</v>
      </c>
      <c r="U2816" s="32">
        <f t="shared" si="218"/>
        <v>312</v>
      </c>
      <c r="V2816" s="22">
        <f t="shared" si="219"/>
        <v>0.26262626262626265</v>
      </c>
      <c r="X2816" s="33"/>
      <c r="Y2816" s="33"/>
    </row>
    <row r="2817" spans="1:25" x14ac:dyDescent="0.2">
      <c r="A2817" s="93" t="s">
        <v>1257</v>
      </c>
      <c r="B2817" s="94">
        <f>IFERROR(VLOOKUP($A2817,HeadJournal!$A$1:$NTR$890,COLUMN(HeadJournal!B$1),0),"")</f>
        <v>0</v>
      </c>
      <c r="C2817" s="94" t="str">
        <f>IFERROR(VLOOKUP($A2817,HeadJournal!$A$1:$NTR$890,COLUMN(HeadJournal!C$1),0),"")</f>
        <v>OZON_OA</v>
      </c>
      <c r="D2817" s="125" t="str">
        <f>IFERROR(VLOOKUP($A2817,HeadJournal!$A$1:$NTR$890,COLUMN(HeadJournal!D$1),0),"")</f>
        <v>Доставлен</v>
      </c>
      <c r="E2817" s="95">
        <f>IFERROR(VLOOKUP($A2817,HeadJournal!$A$1:$NTR$890,COLUMN(HeadJournal!G$1),0),"")</f>
        <v>45314</v>
      </c>
      <c r="F2817" s="95" t="str">
        <f t="shared" si="220"/>
        <v>2024 01</v>
      </c>
      <c r="G2817" s="96" t="s">
        <v>6</v>
      </c>
      <c r="H2817" s="161" t="str">
        <f>RIGHT(Journal!$J2817,9)</f>
        <v>OPN-05223</v>
      </c>
      <c r="I2817" s="97" t="str">
        <f t="shared" si="224"/>
        <v>Optimum Nutrition</v>
      </c>
      <c r="J2817" s="97" t="s">
        <v>836</v>
      </c>
      <c r="K2817" s="29">
        <v>2305</v>
      </c>
      <c r="L2817" s="29"/>
      <c r="M2817" s="30">
        <f>IFERROR(VLOOKUP($A2817,HeadJournal!$A$1:$J$890,COLUMN(HeadJournal!I$1),0)*($K2817+$L2817)/(SUMIF($A:$A,$A2817,$K:$K)+SUMIF($A:$A,$A2817,$L:$L)),0)</f>
        <v>0</v>
      </c>
      <c r="N2817" s="30">
        <f>IFERROR((VLOOKUP($A2817,HeadJournal!$A$1:$K$890,COLUMN(HeadJournal!K$1),0)-VLOOKUP($A2817,HeadJournal!$A$1:$K$890,COLUMN(HeadJournal!J$1),0))*($K2817+$L2817)/(SUMIF($A:$A,$A2817,$K:$K)+SUMIF($A:$A,$A2817,$L:$L)),0)</f>
        <v>0</v>
      </c>
      <c r="O2817" s="30">
        <f>IFERROR((VLOOKUP($A2817,HeadJournal!$A$1:$L$890,COLUMN(HeadJournal!L$1),0)*($K2817+$L2817)/(SUMIF($A:$A,$A2817,$K:$K)+SUMIF($A:$A,$A2817,$L:$L)))/VLOOKUP($A2817,HeadJournal!$A$1:$L$890,COLUMN(HeadJournal!H$1),0),0)</f>
        <v>130</v>
      </c>
      <c r="P2817" s="30">
        <f>IFERROR(SUM(K2817:O2817)*VLOOKUP($A2817,HeadJournal!$A$1:$L$890,COLUMN(HeadJournal!H$1),0),0)</f>
        <v>2435</v>
      </c>
      <c r="Q2817" s="29">
        <v>4000</v>
      </c>
      <c r="R2817" s="31">
        <v>45332</v>
      </c>
      <c r="S2817" s="31" t="s">
        <v>3121</v>
      </c>
      <c r="T2817" s="95" t="str">
        <f t="shared" si="222"/>
        <v>2024 02</v>
      </c>
      <c r="U2817" s="32">
        <f t="shared" ref="U2817:U2880" si="225">Q2817-P2817</f>
        <v>1565</v>
      </c>
      <c r="V2817" s="22">
        <f t="shared" ref="V2817:V2880" si="226">IF(Q2817&lt;&gt;0,IFERROR(U2817/P2817,""),"")</f>
        <v>0.64271047227926081</v>
      </c>
      <c r="X2817" s="33"/>
      <c r="Y2817" s="33"/>
    </row>
    <row r="2818" spans="1:25" x14ac:dyDescent="0.2">
      <c r="A2818" s="93" t="s">
        <v>1257</v>
      </c>
      <c r="B2818" s="94">
        <f>IFERROR(VLOOKUP($A2818,HeadJournal!$A$1:$NTR$890,COLUMN(HeadJournal!B$1),0),"")</f>
        <v>0</v>
      </c>
      <c r="C2818" s="94" t="str">
        <f>IFERROR(VLOOKUP($A2818,HeadJournal!$A$1:$NTR$890,COLUMN(HeadJournal!C$1),0),"")</f>
        <v>OZON_OA</v>
      </c>
      <c r="D2818" s="125" t="str">
        <f>IFERROR(VLOOKUP($A2818,HeadJournal!$A$1:$NTR$890,COLUMN(HeadJournal!D$1),0),"")</f>
        <v>Доставлен</v>
      </c>
      <c r="E2818" s="95">
        <f>IFERROR(VLOOKUP($A2818,HeadJournal!$A$1:$NTR$890,COLUMN(HeadJournal!G$1),0),"")</f>
        <v>45314</v>
      </c>
      <c r="F2818" s="95" t="str">
        <f t="shared" si="220"/>
        <v>2024 01</v>
      </c>
      <c r="G2818" s="96" t="s">
        <v>6</v>
      </c>
      <c r="H2818" s="161" t="str">
        <f>RIGHT(Journal!$J2818,9)</f>
        <v>OPN-05223</v>
      </c>
      <c r="I2818" s="97" t="str">
        <f t="shared" si="224"/>
        <v>Optimum Nutrition</v>
      </c>
      <c r="J2818" s="97" t="s">
        <v>836</v>
      </c>
      <c r="K2818" s="29">
        <v>2305</v>
      </c>
      <c r="L2818" s="29"/>
      <c r="M2818" s="30">
        <f>IFERROR(VLOOKUP($A2818,HeadJournal!$A$1:$J$890,COLUMN(HeadJournal!I$1),0)*($K2818+$L2818)/(SUMIF($A:$A,$A2818,$K:$K)+SUMIF($A:$A,$A2818,$L:$L)),0)</f>
        <v>0</v>
      </c>
      <c r="N2818" s="30">
        <f>IFERROR((VLOOKUP($A2818,HeadJournal!$A$1:$K$890,COLUMN(HeadJournal!K$1),0)-VLOOKUP($A2818,HeadJournal!$A$1:$K$890,COLUMN(HeadJournal!J$1),0))*($K2818+$L2818)/(SUMIF($A:$A,$A2818,$K:$K)+SUMIF($A:$A,$A2818,$L:$L)),0)</f>
        <v>0</v>
      </c>
      <c r="O2818" s="30">
        <f>IFERROR((VLOOKUP($A2818,HeadJournal!$A$1:$L$890,COLUMN(HeadJournal!L$1),0)*($K2818+$L2818)/(SUMIF($A:$A,$A2818,$K:$K)+SUMIF($A:$A,$A2818,$L:$L)))/VLOOKUP($A2818,HeadJournal!$A$1:$L$890,COLUMN(HeadJournal!H$1),0),0)</f>
        <v>130</v>
      </c>
      <c r="P2818" s="30">
        <f>IFERROR(SUM(K2818:O2818)*VLOOKUP($A2818,HeadJournal!$A$1:$L$890,COLUMN(HeadJournal!H$1),0),0)</f>
        <v>2435</v>
      </c>
      <c r="Q2818" s="29">
        <v>4000</v>
      </c>
      <c r="R2818" s="31">
        <v>45340</v>
      </c>
      <c r="S2818" s="31" t="s">
        <v>3121</v>
      </c>
      <c r="T2818" s="95" t="str">
        <f t="shared" si="222"/>
        <v>2024 02</v>
      </c>
      <c r="U2818" s="32">
        <f t="shared" si="225"/>
        <v>1565</v>
      </c>
      <c r="V2818" s="22">
        <f t="shared" si="226"/>
        <v>0.64271047227926081</v>
      </c>
      <c r="X2818" s="33"/>
      <c r="Y2818" s="33"/>
    </row>
    <row r="2819" spans="1:25" x14ac:dyDescent="0.2">
      <c r="A2819" s="93" t="s">
        <v>1258</v>
      </c>
      <c r="B2819" s="94">
        <f>IFERROR(VLOOKUP($A2819,HeadJournal!$A$1:$NTR$890,COLUMN(HeadJournal!B$1),0),"")</f>
        <v>0</v>
      </c>
      <c r="C2819" s="94" t="str">
        <f>IFERROR(VLOOKUP($A2819,HeadJournal!$A$1:$NTR$890,COLUMN(HeadJournal!C$1),0),"")</f>
        <v>OZON_OA</v>
      </c>
      <c r="D2819" s="125" t="str">
        <f>IFERROR(VLOOKUP($A2819,HeadJournal!$A$1:$NTR$890,COLUMN(HeadJournal!D$1),0),"")</f>
        <v>Доставлен</v>
      </c>
      <c r="E2819" s="95">
        <f>IFERROR(VLOOKUP($A2819,HeadJournal!$A$1:$NTR$890,COLUMN(HeadJournal!G$1),0),"")</f>
        <v>45317</v>
      </c>
      <c r="F2819" s="95" t="str">
        <f t="shared" si="220"/>
        <v>2024 01</v>
      </c>
      <c r="G2819" s="96" t="s">
        <v>5</v>
      </c>
      <c r="H2819" s="161" t="str">
        <f>RIGHT(Journal!$J2819,9)</f>
        <v>065206575</v>
      </c>
      <c r="I2819" s="97" t="str">
        <f t="shared" si="224"/>
        <v>JAGAT PHARMA</v>
      </c>
      <c r="J2819" s="97" t="s">
        <v>1259</v>
      </c>
      <c r="K2819" s="29">
        <v>232</v>
      </c>
      <c r="L2819" s="29"/>
      <c r="M2819" s="30">
        <f>IFERROR(VLOOKUP($A2819,HeadJournal!$A$1:$J$890,COLUMN(HeadJournal!I$1),0)*($K2819+$L2819)/(SUMIF($A:$A,$A2819,$K:$K)+SUMIF($A:$A,$A2819,$L:$L)),0)</f>
        <v>0</v>
      </c>
      <c r="N2819" s="30">
        <f>IFERROR((VLOOKUP($A2819,HeadJournal!$A$1:$K$890,COLUMN(HeadJournal!K$1),0)-VLOOKUP($A2819,HeadJournal!$A$1:$K$890,COLUMN(HeadJournal!J$1),0))*($K2819+$L2819)/(SUMIF($A:$A,$A2819,$K:$K)+SUMIF($A:$A,$A2819,$L:$L)),0)</f>
        <v>0</v>
      </c>
      <c r="O2819" s="30">
        <f>IFERROR((VLOOKUP($A2819,HeadJournal!$A$1:$L$890,COLUMN(HeadJournal!L$1),0)*($K2819+$L2819)/(SUMIF($A:$A,$A2819,$K:$K)+SUMIF($A:$A,$A2819,$L:$L)))/VLOOKUP($A2819,HeadJournal!$A$1:$L$890,COLUMN(HeadJournal!H$1),0),0)</f>
        <v>86.666666666666671</v>
      </c>
      <c r="P2819" s="30">
        <f>IFERROR(SUM(K2819:O2819)*VLOOKUP($A2819,HeadJournal!$A$1:$L$890,COLUMN(HeadJournal!H$1),0),0)</f>
        <v>318.66666666666669</v>
      </c>
      <c r="Q2819" s="29">
        <v>400</v>
      </c>
      <c r="R2819" s="31">
        <v>45334</v>
      </c>
      <c r="S2819" s="31" t="s">
        <v>3121</v>
      </c>
      <c r="T2819" s="95" t="str">
        <f t="shared" si="222"/>
        <v>2024 02</v>
      </c>
      <c r="U2819" s="32">
        <f t="shared" si="225"/>
        <v>81.333333333333314</v>
      </c>
      <c r="V2819" s="22">
        <f t="shared" si="226"/>
        <v>0.2552301255230125</v>
      </c>
      <c r="X2819" s="33"/>
      <c r="Y2819" s="33"/>
    </row>
    <row r="2820" spans="1:25" x14ac:dyDescent="0.2">
      <c r="A2820" s="93" t="s">
        <v>1258</v>
      </c>
      <c r="B2820" s="94">
        <f>IFERROR(VLOOKUP($A2820,HeadJournal!$A$1:$NTR$890,COLUMN(HeadJournal!B$1),0),"")</f>
        <v>0</v>
      </c>
      <c r="C2820" s="94" t="str">
        <f>IFERROR(VLOOKUP($A2820,HeadJournal!$A$1:$NTR$890,COLUMN(HeadJournal!C$1),0),"")</f>
        <v>OZON_OA</v>
      </c>
      <c r="D2820" s="125" t="str">
        <f>IFERROR(VLOOKUP($A2820,HeadJournal!$A$1:$NTR$890,COLUMN(HeadJournal!D$1),0),"")</f>
        <v>Доставлен</v>
      </c>
      <c r="E2820" s="95">
        <f>IFERROR(VLOOKUP($A2820,HeadJournal!$A$1:$NTR$890,COLUMN(HeadJournal!G$1),0),"")</f>
        <v>45317</v>
      </c>
      <c r="F2820" s="95" t="str">
        <f t="shared" ref="F2820:F2883" si="227">IFERROR(TEXT(E2820, "ГГГГ ММ"),"")</f>
        <v>2024 01</v>
      </c>
      <c r="G2820" s="96" t="s">
        <v>5</v>
      </c>
      <c r="H2820" s="161" t="str">
        <f>RIGHT(Journal!$J2820,9)</f>
        <v>065206575</v>
      </c>
      <c r="I2820" s="97" t="str">
        <f t="shared" si="224"/>
        <v>JAGAT PHARMA</v>
      </c>
      <c r="J2820" s="97" t="s">
        <v>1259</v>
      </c>
      <c r="K2820" s="29">
        <v>232</v>
      </c>
      <c r="L2820" s="29"/>
      <c r="M2820" s="30">
        <f>IFERROR(VLOOKUP($A2820,HeadJournal!$A$1:$J$890,COLUMN(HeadJournal!I$1),0)*($K2820+$L2820)/(SUMIF($A:$A,$A2820,$K:$K)+SUMIF($A:$A,$A2820,$L:$L)),0)</f>
        <v>0</v>
      </c>
      <c r="N2820" s="30">
        <f>IFERROR((VLOOKUP($A2820,HeadJournal!$A$1:$K$890,COLUMN(HeadJournal!K$1),0)-VLOOKUP($A2820,HeadJournal!$A$1:$K$890,COLUMN(HeadJournal!J$1),0))*($K2820+$L2820)/(SUMIF($A:$A,$A2820,$K:$K)+SUMIF($A:$A,$A2820,$L:$L)),0)</f>
        <v>0</v>
      </c>
      <c r="O2820" s="30">
        <f>IFERROR((VLOOKUP($A2820,HeadJournal!$A$1:$L$890,COLUMN(HeadJournal!L$1),0)*($K2820+$L2820)/(SUMIF($A:$A,$A2820,$K:$K)+SUMIF($A:$A,$A2820,$L:$L)))/VLOOKUP($A2820,HeadJournal!$A$1:$L$890,COLUMN(HeadJournal!H$1),0),0)</f>
        <v>86.666666666666671</v>
      </c>
      <c r="P2820" s="30">
        <f>IFERROR(SUM(K2820:O2820)*VLOOKUP($A2820,HeadJournal!$A$1:$L$890,COLUMN(HeadJournal!H$1),0),0)</f>
        <v>318.66666666666669</v>
      </c>
      <c r="Q2820" s="29">
        <v>400</v>
      </c>
      <c r="R2820" s="31">
        <v>45334</v>
      </c>
      <c r="S2820" s="31" t="s">
        <v>3121</v>
      </c>
      <c r="T2820" s="95" t="str">
        <f t="shared" ref="T2820:T2883" si="228">IF(R2820="","",TEXT(R2820,"ГГГГ ММ"))</f>
        <v>2024 02</v>
      </c>
      <c r="U2820" s="32">
        <f t="shared" si="225"/>
        <v>81.333333333333314</v>
      </c>
      <c r="V2820" s="22">
        <f t="shared" si="226"/>
        <v>0.2552301255230125</v>
      </c>
      <c r="X2820" s="33"/>
      <c r="Y2820" s="33"/>
    </row>
    <row r="2821" spans="1:25" x14ac:dyDescent="0.2">
      <c r="A2821" s="93" t="s">
        <v>1258</v>
      </c>
      <c r="B2821" s="94">
        <f>IFERROR(VLOOKUP($A2821,HeadJournal!$A$1:$NTR$890,COLUMN(HeadJournal!B$1),0),"")</f>
        <v>0</v>
      </c>
      <c r="C2821" s="94" t="str">
        <f>IFERROR(VLOOKUP($A2821,HeadJournal!$A$1:$NTR$890,COLUMN(HeadJournal!C$1),0),"")</f>
        <v>OZON_OA</v>
      </c>
      <c r="D2821" s="125" t="str">
        <f>IFERROR(VLOOKUP($A2821,HeadJournal!$A$1:$NTR$890,COLUMN(HeadJournal!D$1),0),"")</f>
        <v>Доставлен</v>
      </c>
      <c r="E2821" s="95">
        <f>IFERROR(VLOOKUP($A2821,HeadJournal!$A$1:$NTR$890,COLUMN(HeadJournal!G$1),0),"")</f>
        <v>45317</v>
      </c>
      <c r="F2821" s="95" t="str">
        <f t="shared" si="227"/>
        <v>2024 01</v>
      </c>
      <c r="G2821" s="96" t="s">
        <v>5</v>
      </c>
      <c r="H2821" s="161" t="str">
        <f>RIGHT(Journal!$J2821,9)</f>
        <v>065206575</v>
      </c>
      <c r="I2821" s="97" t="str">
        <f t="shared" si="224"/>
        <v>JAGAT PHARMA</v>
      </c>
      <c r="J2821" s="97" t="s">
        <v>1259</v>
      </c>
      <c r="K2821" s="29">
        <v>232</v>
      </c>
      <c r="L2821" s="29"/>
      <c r="M2821" s="30">
        <f>IFERROR(VLOOKUP($A2821,HeadJournal!$A$1:$J$890,COLUMN(HeadJournal!I$1),0)*($K2821+$L2821)/(SUMIF($A:$A,$A2821,$K:$K)+SUMIF($A:$A,$A2821,$L:$L)),0)</f>
        <v>0</v>
      </c>
      <c r="N2821" s="30">
        <f>IFERROR((VLOOKUP($A2821,HeadJournal!$A$1:$K$890,COLUMN(HeadJournal!K$1),0)-VLOOKUP($A2821,HeadJournal!$A$1:$K$890,COLUMN(HeadJournal!J$1),0))*($K2821+$L2821)/(SUMIF($A:$A,$A2821,$K:$K)+SUMIF($A:$A,$A2821,$L:$L)),0)</f>
        <v>0</v>
      </c>
      <c r="O2821" s="30">
        <f>IFERROR((VLOOKUP($A2821,HeadJournal!$A$1:$L$890,COLUMN(HeadJournal!L$1),0)*($K2821+$L2821)/(SUMIF($A:$A,$A2821,$K:$K)+SUMIF($A:$A,$A2821,$L:$L)))/VLOOKUP($A2821,HeadJournal!$A$1:$L$890,COLUMN(HeadJournal!H$1),0),0)</f>
        <v>86.666666666666671</v>
      </c>
      <c r="P2821" s="30">
        <f>IFERROR(SUM(K2821:O2821)*VLOOKUP($A2821,HeadJournal!$A$1:$L$890,COLUMN(HeadJournal!H$1),0),0)</f>
        <v>318.66666666666669</v>
      </c>
      <c r="Q2821" s="29">
        <v>800</v>
      </c>
      <c r="R2821" s="31">
        <v>45411</v>
      </c>
      <c r="S2821" s="31" t="s">
        <v>3121</v>
      </c>
      <c r="T2821" s="95" t="str">
        <f t="shared" si="228"/>
        <v>2024 04</v>
      </c>
      <c r="U2821" s="32">
        <f t="shared" si="225"/>
        <v>481.33333333333331</v>
      </c>
      <c r="V2821" s="22">
        <f t="shared" si="226"/>
        <v>1.510460251046025</v>
      </c>
      <c r="X2821" s="33"/>
      <c r="Y2821" s="33"/>
    </row>
    <row r="2822" spans="1:25" x14ac:dyDescent="0.2">
      <c r="A2822" s="93" t="s">
        <v>1260</v>
      </c>
      <c r="B2822" s="94">
        <f>IFERROR(VLOOKUP($A2822,HeadJournal!$A$1:$NTR$890,COLUMN(HeadJournal!B$1),0),"")</f>
        <v>0</v>
      </c>
      <c r="C2822" s="94" t="str">
        <f>IFERROR(VLOOKUP($A2822,HeadJournal!$A$1:$NTR$890,COLUMN(HeadJournal!C$1),0),"")</f>
        <v>WBRS</v>
      </c>
      <c r="D2822" s="125" t="str">
        <f>IFERROR(VLOOKUP($A2822,HeadJournal!$A$1:$NTR$890,COLUMN(HeadJournal!D$1),0),"")</f>
        <v>Доставлен</v>
      </c>
      <c r="E2822" s="95">
        <f>IFERROR(VLOOKUP($A2822,HeadJournal!$A$1:$NTR$890,COLUMN(HeadJournal!G$1),0),"")</f>
        <v>45317</v>
      </c>
      <c r="F2822" s="95" t="str">
        <f t="shared" si="227"/>
        <v>2024 01</v>
      </c>
      <c r="G2822" s="96" t="s">
        <v>5</v>
      </c>
      <c r="H2822" s="161" t="str">
        <f>RIGHT(Journal!$J2822,9)</f>
        <v>168204369</v>
      </c>
      <c r="I2822" s="97" t="str">
        <f t="shared" si="224"/>
        <v>MEDI-PEEL</v>
      </c>
      <c r="J2822" s="97" t="s">
        <v>1261</v>
      </c>
      <c r="K2822" s="29">
        <v>1153</v>
      </c>
      <c r="L2822" s="29"/>
      <c r="M2822" s="30">
        <f>IFERROR(VLOOKUP($A2822,HeadJournal!$A$1:$J$890,COLUMN(HeadJournal!I$1),0)*($K2822+$L2822)/(SUMIF($A:$A,$A2822,$K:$K)+SUMIF($A:$A,$A2822,$L:$L)),0)</f>
        <v>0</v>
      </c>
      <c r="N2822" s="30">
        <f>IFERROR((VLOOKUP($A2822,HeadJournal!$A$1:$K$890,COLUMN(HeadJournal!K$1),0)-VLOOKUP($A2822,HeadJournal!$A$1:$K$890,COLUMN(HeadJournal!J$1),0))*($K2822+$L2822)/(SUMIF($A:$A,$A2822,$K:$K)+SUMIF($A:$A,$A2822,$L:$L)),0)</f>
        <v>0</v>
      </c>
      <c r="O2822" s="30">
        <f>IFERROR((VLOOKUP($A2822,HeadJournal!$A$1:$L$890,COLUMN(HeadJournal!L$1),0)*($K2822+$L2822)/(SUMIF($A:$A,$A2822,$K:$K)+SUMIF($A:$A,$A2822,$L:$L)))/VLOOKUP($A2822,HeadJournal!$A$1:$L$890,COLUMN(HeadJournal!H$1),0),0)</f>
        <v>46.276628589070704</v>
      </c>
      <c r="P2822" s="30">
        <f>IFERROR(SUM(K2822:O2822)*VLOOKUP($A2822,HeadJournal!$A$1:$L$890,COLUMN(HeadJournal!H$1),0),0)</f>
        <v>1199.2766285890707</v>
      </c>
      <c r="Q2822" s="29">
        <v>1800</v>
      </c>
      <c r="R2822" s="31">
        <v>45330</v>
      </c>
      <c r="S2822" s="31" t="s">
        <v>3121</v>
      </c>
      <c r="T2822" s="95" t="str">
        <f t="shared" si="228"/>
        <v>2024 02</v>
      </c>
      <c r="U2822" s="32">
        <f t="shared" si="225"/>
        <v>600.7233714109293</v>
      </c>
      <c r="V2822" s="22">
        <f t="shared" si="226"/>
        <v>0.50090475966138892</v>
      </c>
      <c r="X2822" s="33"/>
      <c r="Y2822" s="33"/>
    </row>
    <row r="2823" spans="1:25" x14ac:dyDescent="0.2">
      <c r="A2823" s="93" t="s">
        <v>1260</v>
      </c>
      <c r="B2823" s="94">
        <f>IFERROR(VLOOKUP($A2823,HeadJournal!$A$1:$NTR$890,COLUMN(HeadJournal!B$1),0),"")</f>
        <v>0</v>
      </c>
      <c r="C2823" s="94" t="str">
        <f>IFERROR(VLOOKUP($A2823,HeadJournal!$A$1:$NTR$890,COLUMN(HeadJournal!C$1),0),"")</f>
        <v>WBRS</v>
      </c>
      <c r="D2823" s="125" t="str">
        <f>IFERROR(VLOOKUP($A2823,HeadJournal!$A$1:$NTR$890,COLUMN(HeadJournal!D$1),0),"")</f>
        <v>Доставлен</v>
      </c>
      <c r="E2823" s="95">
        <f>IFERROR(VLOOKUP($A2823,HeadJournal!$A$1:$NTR$890,COLUMN(HeadJournal!G$1),0),"")</f>
        <v>45317</v>
      </c>
      <c r="F2823" s="95" t="str">
        <f t="shared" si="227"/>
        <v>2024 01</v>
      </c>
      <c r="G2823" s="96" t="s">
        <v>6</v>
      </c>
      <c r="H2823" s="161" t="str">
        <f>RIGHT(Journal!$J2823,9)</f>
        <v>015958935</v>
      </c>
      <c r="I2823" s="97" t="str">
        <f t="shared" si="224"/>
        <v>SKILLS NUTRITION</v>
      </c>
      <c r="J2823" s="97" t="s">
        <v>1105</v>
      </c>
      <c r="K2823" s="29">
        <v>996</v>
      </c>
      <c r="L2823" s="29"/>
      <c r="M2823" s="30">
        <f>IFERROR(VLOOKUP($A2823,HeadJournal!$A$1:$J$890,COLUMN(HeadJournal!I$1),0)*($K2823+$L2823)/(SUMIF($A:$A,$A2823,$K:$K)+SUMIF($A:$A,$A2823,$L:$L)),0)</f>
        <v>0</v>
      </c>
      <c r="N2823" s="30">
        <f>IFERROR((VLOOKUP($A2823,HeadJournal!$A$1:$K$890,COLUMN(HeadJournal!K$1),0)-VLOOKUP($A2823,HeadJournal!$A$1:$K$890,COLUMN(HeadJournal!J$1),0))*($K2823+$L2823)/(SUMIF($A:$A,$A2823,$K:$K)+SUMIF($A:$A,$A2823,$L:$L)),0)</f>
        <v>0</v>
      </c>
      <c r="O2823" s="30">
        <f>IFERROR((VLOOKUP($A2823,HeadJournal!$A$1:$L$890,COLUMN(HeadJournal!L$1),0)*($K2823+$L2823)/(SUMIF($A:$A,$A2823,$K:$K)+SUMIF($A:$A,$A2823,$L:$L)))/VLOOKUP($A2823,HeadJournal!$A$1:$L$890,COLUMN(HeadJournal!H$1),0),0)</f>
        <v>39.975301018832972</v>
      </c>
      <c r="P2823" s="30">
        <f>IFERROR(SUM(K2823:O2823)*VLOOKUP($A2823,HeadJournal!$A$1:$L$890,COLUMN(HeadJournal!H$1),0),0)</f>
        <v>1035.9753010188331</v>
      </c>
      <c r="Q2823" s="29">
        <v>1500</v>
      </c>
      <c r="R2823" s="31">
        <v>45318</v>
      </c>
      <c r="S2823" s="31" t="s">
        <v>3121</v>
      </c>
      <c r="T2823" s="95" t="str">
        <f t="shared" si="228"/>
        <v>2024 01</v>
      </c>
      <c r="U2823" s="32">
        <f t="shared" si="225"/>
        <v>464.02469898116692</v>
      </c>
      <c r="V2823" s="22">
        <f t="shared" si="226"/>
        <v>0.44791096710975675</v>
      </c>
      <c r="X2823" s="33"/>
      <c r="Y2823" s="33"/>
    </row>
    <row r="2824" spans="1:25" x14ac:dyDescent="0.2">
      <c r="A2824" s="93" t="s">
        <v>1260</v>
      </c>
      <c r="B2824" s="94">
        <f>IFERROR(VLOOKUP($A2824,HeadJournal!$A$1:$NTR$890,COLUMN(HeadJournal!B$1),0),"")</f>
        <v>0</v>
      </c>
      <c r="C2824" s="94" t="str">
        <f>IFERROR(VLOOKUP($A2824,HeadJournal!$A$1:$NTR$890,COLUMN(HeadJournal!C$1),0),"")</f>
        <v>WBRS</v>
      </c>
      <c r="D2824" s="125" t="str">
        <f>IFERROR(VLOOKUP($A2824,HeadJournal!$A$1:$NTR$890,COLUMN(HeadJournal!D$1),0),"")</f>
        <v>Доставлен</v>
      </c>
      <c r="E2824" s="95">
        <f>IFERROR(VLOOKUP($A2824,HeadJournal!$A$1:$NTR$890,COLUMN(HeadJournal!G$1),0),"")</f>
        <v>45317</v>
      </c>
      <c r="F2824" s="95" t="str">
        <f t="shared" si="227"/>
        <v>2024 01</v>
      </c>
      <c r="G2824" s="96" t="s">
        <v>6</v>
      </c>
      <c r="H2824" s="161" t="str">
        <f>RIGHT(Journal!$J2824,9)</f>
        <v>015958935</v>
      </c>
      <c r="I2824" s="97" t="str">
        <f t="shared" si="224"/>
        <v>SKILLS NUTRITION</v>
      </c>
      <c r="J2824" s="97" t="s">
        <v>1105</v>
      </c>
      <c r="K2824" s="29">
        <v>996</v>
      </c>
      <c r="L2824" s="29"/>
      <c r="M2824" s="30">
        <f>IFERROR(VLOOKUP($A2824,HeadJournal!$A$1:$J$890,COLUMN(HeadJournal!I$1),0)*($K2824+$L2824)/(SUMIF($A:$A,$A2824,$K:$K)+SUMIF($A:$A,$A2824,$L:$L)),0)</f>
        <v>0</v>
      </c>
      <c r="N2824" s="30">
        <f>IFERROR((VLOOKUP($A2824,HeadJournal!$A$1:$K$890,COLUMN(HeadJournal!K$1),0)-VLOOKUP($A2824,HeadJournal!$A$1:$K$890,COLUMN(HeadJournal!J$1),0))*($K2824+$L2824)/(SUMIF($A:$A,$A2824,$K:$K)+SUMIF($A:$A,$A2824,$L:$L)),0)</f>
        <v>0</v>
      </c>
      <c r="O2824" s="30">
        <f>IFERROR((VLOOKUP($A2824,HeadJournal!$A$1:$L$890,COLUMN(HeadJournal!L$1),0)*($K2824+$L2824)/(SUMIF($A:$A,$A2824,$K:$K)+SUMIF($A:$A,$A2824,$L:$L)))/VLOOKUP($A2824,HeadJournal!$A$1:$L$890,COLUMN(HeadJournal!H$1),0),0)</f>
        <v>39.975301018832972</v>
      </c>
      <c r="P2824" s="30">
        <f>IFERROR(SUM(K2824:O2824)*VLOOKUP($A2824,HeadJournal!$A$1:$L$890,COLUMN(HeadJournal!H$1),0),0)</f>
        <v>1035.9753010188331</v>
      </c>
      <c r="Q2824" s="29">
        <v>1500</v>
      </c>
      <c r="R2824" s="31">
        <v>45318</v>
      </c>
      <c r="S2824" s="31" t="s">
        <v>3121</v>
      </c>
      <c r="T2824" s="95" t="str">
        <f t="shared" si="228"/>
        <v>2024 01</v>
      </c>
      <c r="U2824" s="32">
        <f t="shared" si="225"/>
        <v>464.02469898116692</v>
      </c>
      <c r="V2824" s="22">
        <f t="shared" si="226"/>
        <v>0.44791096710975675</v>
      </c>
      <c r="X2824" s="33"/>
      <c r="Y2824" s="33"/>
    </row>
    <row r="2825" spans="1:25" x14ac:dyDescent="0.2">
      <c r="A2825" s="93" t="s">
        <v>1260</v>
      </c>
      <c r="B2825" s="94">
        <f>IFERROR(VLOOKUP($A2825,HeadJournal!$A$1:$NTR$890,COLUMN(HeadJournal!B$1),0),"")</f>
        <v>0</v>
      </c>
      <c r="C2825" s="94" t="str">
        <f>IFERROR(VLOOKUP($A2825,HeadJournal!$A$1:$NTR$890,COLUMN(HeadJournal!C$1),0),"")</f>
        <v>WBRS</v>
      </c>
      <c r="D2825" s="125" t="str">
        <f>IFERROR(VLOOKUP($A2825,HeadJournal!$A$1:$NTR$890,COLUMN(HeadJournal!D$1),0),"")</f>
        <v>Доставлен</v>
      </c>
      <c r="E2825" s="95">
        <f>IFERROR(VLOOKUP($A2825,HeadJournal!$A$1:$NTR$890,COLUMN(HeadJournal!G$1),0),"")</f>
        <v>45317</v>
      </c>
      <c r="F2825" s="95" t="str">
        <f t="shared" si="227"/>
        <v>2024 01</v>
      </c>
      <c r="G2825" s="96" t="s">
        <v>6</v>
      </c>
      <c r="H2825" s="161" t="str">
        <f>RIGHT(Journal!$J2825,9)</f>
        <v>015958935</v>
      </c>
      <c r="I2825" s="97" t="str">
        <f t="shared" si="224"/>
        <v>SKILLS NUTRITION</v>
      </c>
      <c r="J2825" s="97" t="s">
        <v>1105</v>
      </c>
      <c r="K2825" s="29">
        <v>996</v>
      </c>
      <c r="L2825" s="29"/>
      <c r="M2825" s="30">
        <f>IFERROR(VLOOKUP($A2825,HeadJournal!$A$1:$J$890,COLUMN(HeadJournal!I$1),0)*($K2825+$L2825)/(SUMIF($A:$A,$A2825,$K:$K)+SUMIF($A:$A,$A2825,$L:$L)),0)</f>
        <v>0</v>
      </c>
      <c r="N2825" s="30">
        <f>IFERROR((VLOOKUP($A2825,HeadJournal!$A$1:$K$890,COLUMN(HeadJournal!K$1),0)-VLOOKUP($A2825,HeadJournal!$A$1:$K$890,COLUMN(HeadJournal!J$1),0))*($K2825+$L2825)/(SUMIF($A:$A,$A2825,$K:$K)+SUMIF($A:$A,$A2825,$L:$L)),0)</f>
        <v>0</v>
      </c>
      <c r="O2825" s="30">
        <f>IFERROR((VLOOKUP($A2825,HeadJournal!$A$1:$L$890,COLUMN(HeadJournal!L$1),0)*($K2825+$L2825)/(SUMIF($A:$A,$A2825,$K:$K)+SUMIF($A:$A,$A2825,$L:$L)))/VLOOKUP($A2825,HeadJournal!$A$1:$L$890,COLUMN(HeadJournal!H$1),0),0)</f>
        <v>39.975301018832972</v>
      </c>
      <c r="P2825" s="30">
        <f>IFERROR(SUM(K2825:O2825)*VLOOKUP($A2825,HeadJournal!$A$1:$L$890,COLUMN(HeadJournal!H$1),0),0)</f>
        <v>1035.9753010188331</v>
      </c>
      <c r="Q2825" s="29">
        <v>1500</v>
      </c>
      <c r="R2825" s="31">
        <v>45370</v>
      </c>
      <c r="S2825" s="31" t="s">
        <v>3121</v>
      </c>
      <c r="T2825" s="95" t="str">
        <f t="shared" si="228"/>
        <v>2024 03</v>
      </c>
      <c r="U2825" s="32">
        <f t="shared" si="225"/>
        <v>464.02469898116692</v>
      </c>
      <c r="V2825" s="22">
        <f t="shared" si="226"/>
        <v>0.44791096710975675</v>
      </c>
      <c r="X2825" s="33"/>
      <c r="Y2825" s="33"/>
    </row>
    <row r="2826" spans="1:25" x14ac:dyDescent="0.2">
      <c r="A2826" s="93" t="s">
        <v>1260</v>
      </c>
      <c r="B2826" s="94">
        <f>IFERROR(VLOOKUP($A2826,HeadJournal!$A$1:$NTR$890,COLUMN(HeadJournal!B$1),0),"")</f>
        <v>0</v>
      </c>
      <c r="C2826" s="94" t="str">
        <f>IFERROR(VLOOKUP($A2826,HeadJournal!$A$1:$NTR$890,COLUMN(HeadJournal!C$1),0),"")</f>
        <v>WBRS</v>
      </c>
      <c r="D2826" s="125" t="str">
        <f>IFERROR(VLOOKUP($A2826,HeadJournal!$A$1:$NTR$890,COLUMN(HeadJournal!D$1),0),"")</f>
        <v>Доставлен</v>
      </c>
      <c r="E2826" s="95">
        <f>IFERROR(VLOOKUP($A2826,HeadJournal!$A$1:$NTR$890,COLUMN(HeadJournal!G$1),0),"")</f>
        <v>45317</v>
      </c>
      <c r="F2826" s="95" t="str">
        <f t="shared" si="227"/>
        <v>2024 01</v>
      </c>
      <c r="G2826" s="96" t="s">
        <v>6</v>
      </c>
      <c r="H2826" s="161" t="str">
        <f>RIGHT(Journal!$J2826,9)</f>
        <v>169216399</v>
      </c>
      <c r="I2826" s="97" t="str">
        <f t="shared" si="224"/>
        <v>FIT90</v>
      </c>
      <c r="J2826" s="97" t="s">
        <v>1262</v>
      </c>
      <c r="K2826" s="29">
        <v>861</v>
      </c>
      <c r="L2826" s="29"/>
      <c r="M2826" s="30">
        <f>IFERROR(VLOOKUP($A2826,HeadJournal!$A$1:$J$890,COLUMN(HeadJournal!I$1),0)*($K2826+$L2826)/(SUMIF($A:$A,$A2826,$K:$K)+SUMIF($A:$A,$A2826,$L:$L)),0)</f>
        <v>0</v>
      </c>
      <c r="N2826" s="30">
        <f>IFERROR((VLOOKUP($A2826,HeadJournal!$A$1:$K$890,COLUMN(HeadJournal!K$1),0)-VLOOKUP($A2826,HeadJournal!$A$1:$K$890,COLUMN(HeadJournal!J$1),0))*($K2826+$L2826)/(SUMIF($A:$A,$A2826,$K:$K)+SUMIF($A:$A,$A2826,$L:$L)),0)</f>
        <v>0</v>
      </c>
      <c r="O2826" s="30">
        <f>IFERROR((VLOOKUP($A2826,HeadJournal!$A$1:$L$890,COLUMN(HeadJournal!L$1),0)*($K2826+$L2826)/(SUMIF($A:$A,$A2826,$K:$K)+SUMIF($A:$A,$A2826,$L:$L)))/VLOOKUP($A2826,HeadJournal!$A$1:$L$890,COLUMN(HeadJournal!H$1),0),0)</f>
        <v>34.556962025316459</v>
      </c>
      <c r="P2826" s="30">
        <f>IFERROR(SUM(K2826:O2826)*VLOOKUP($A2826,HeadJournal!$A$1:$L$890,COLUMN(HeadJournal!H$1),0),0)</f>
        <v>895.55696202531647</v>
      </c>
      <c r="Q2826" s="29">
        <v>1700</v>
      </c>
      <c r="R2826" s="31">
        <v>45332</v>
      </c>
      <c r="S2826" s="31" t="s">
        <v>3121</v>
      </c>
      <c r="T2826" s="95" t="str">
        <f t="shared" si="228"/>
        <v>2024 02</v>
      </c>
      <c r="U2826" s="32">
        <f t="shared" si="225"/>
        <v>804.44303797468353</v>
      </c>
      <c r="V2826" s="22">
        <f t="shared" si="226"/>
        <v>0.89826004607838983</v>
      </c>
      <c r="X2826" s="33"/>
      <c r="Y2826" s="33"/>
    </row>
    <row r="2827" spans="1:25" x14ac:dyDescent="0.2">
      <c r="A2827" s="93" t="s">
        <v>1260</v>
      </c>
      <c r="B2827" s="94">
        <f>IFERROR(VLOOKUP($A2827,HeadJournal!$A$1:$NTR$890,COLUMN(HeadJournal!B$1),0),"")</f>
        <v>0</v>
      </c>
      <c r="C2827" s="94" t="str">
        <f>IFERROR(VLOOKUP($A2827,HeadJournal!$A$1:$NTR$890,COLUMN(HeadJournal!C$1),0),"")</f>
        <v>WBRS</v>
      </c>
      <c r="D2827" s="125" t="str">
        <f>IFERROR(VLOOKUP($A2827,HeadJournal!$A$1:$NTR$890,COLUMN(HeadJournal!D$1),0),"")</f>
        <v>Доставлен</v>
      </c>
      <c r="E2827" s="95">
        <f>IFERROR(VLOOKUP($A2827,HeadJournal!$A$1:$NTR$890,COLUMN(HeadJournal!G$1),0),"")</f>
        <v>45317</v>
      </c>
      <c r="F2827" s="95" t="str">
        <f t="shared" si="227"/>
        <v>2024 01</v>
      </c>
      <c r="G2827" s="96" t="s">
        <v>6</v>
      </c>
      <c r="H2827" s="161" t="str">
        <f>RIGHT(Journal!$J2827,9)</f>
        <v>169216399</v>
      </c>
      <c r="I2827" s="97" t="str">
        <f t="shared" si="224"/>
        <v>FIT90</v>
      </c>
      <c r="J2827" s="97" t="s">
        <v>1262</v>
      </c>
      <c r="K2827" s="29">
        <v>861</v>
      </c>
      <c r="L2827" s="29"/>
      <c r="M2827" s="30">
        <f>IFERROR(VLOOKUP($A2827,HeadJournal!$A$1:$J$890,COLUMN(HeadJournal!I$1),0)*($K2827+$L2827)/(SUMIF($A:$A,$A2827,$K:$K)+SUMIF($A:$A,$A2827,$L:$L)),0)</f>
        <v>0</v>
      </c>
      <c r="N2827" s="30">
        <f>IFERROR((VLOOKUP($A2827,HeadJournal!$A$1:$K$890,COLUMN(HeadJournal!K$1),0)-VLOOKUP($A2827,HeadJournal!$A$1:$K$890,COLUMN(HeadJournal!J$1),0))*($K2827+$L2827)/(SUMIF($A:$A,$A2827,$K:$K)+SUMIF($A:$A,$A2827,$L:$L)),0)</f>
        <v>0</v>
      </c>
      <c r="O2827" s="30">
        <f>IFERROR((VLOOKUP($A2827,HeadJournal!$A$1:$L$890,COLUMN(HeadJournal!L$1),0)*($K2827+$L2827)/(SUMIF($A:$A,$A2827,$K:$K)+SUMIF($A:$A,$A2827,$L:$L)))/VLOOKUP($A2827,HeadJournal!$A$1:$L$890,COLUMN(HeadJournal!H$1),0),0)</f>
        <v>34.556962025316459</v>
      </c>
      <c r="P2827" s="30">
        <f>IFERROR(SUM(K2827:O2827)*VLOOKUP($A2827,HeadJournal!$A$1:$L$890,COLUMN(HeadJournal!H$1),0),0)</f>
        <v>895.55696202531647</v>
      </c>
      <c r="Q2827" s="29">
        <v>2000</v>
      </c>
      <c r="R2827" s="31">
        <v>45513</v>
      </c>
      <c r="S2827" s="31" t="s">
        <v>3121</v>
      </c>
      <c r="T2827" s="95" t="str">
        <f t="shared" si="228"/>
        <v>2024 08</v>
      </c>
      <c r="U2827" s="32">
        <f t="shared" si="225"/>
        <v>1104.4430379746836</v>
      </c>
      <c r="V2827" s="22">
        <f t="shared" si="226"/>
        <v>1.2332471130334</v>
      </c>
      <c r="X2827" s="33"/>
      <c r="Y2827" s="33"/>
    </row>
    <row r="2828" spans="1:25" x14ac:dyDescent="0.2">
      <c r="A2828" s="93" t="s">
        <v>1260</v>
      </c>
      <c r="B2828" s="94">
        <f>IFERROR(VLOOKUP($A2828,HeadJournal!$A$1:$NTR$890,COLUMN(HeadJournal!B$1),0),"")</f>
        <v>0</v>
      </c>
      <c r="C2828" s="94" t="str">
        <f>IFERROR(VLOOKUP($A2828,HeadJournal!$A$1:$NTR$890,COLUMN(HeadJournal!C$1),0),"")</f>
        <v>WBRS</v>
      </c>
      <c r="D2828" s="125" t="str">
        <f>IFERROR(VLOOKUP($A2828,HeadJournal!$A$1:$NTR$890,COLUMN(HeadJournal!D$1),0),"")</f>
        <v>Доставлен</v>
      </c>
      <c r="E2828" s="95">
        <f>IFERROR(VLOOKUP($A2828,HeadJournal!$A$1:$NTR$890,COLUMN(HeadJournal!G$1),0),"")</f>
        <v>45317</v>
      </c>
      <c r="F2828" s="95" t="str">
        <f t="shared" si="227"/>
        <v>2024 01</v>
      </c>
      <c r="G2828" s="96" t="s">
        <v>7</v>
      </c>
      <c r="H2828" s="161" t="str">
        <f>RIGHT(Journal!$J2828,9)</f>
        <v>138951460</v>
      </c>
      <c r="I2828" s="97" t="str">
        <f t="shared" si="224"/>
        <v>Kirkland</v>
      </c>
      <c r="J2828" s="97" t="s">
        <v>437</v>
      </c>
      <c r="K2828" s="29">
        <v>615</v>
      </c>
      <c r="L2828" s="29"/>
      <c r="M2828" s="30">
        <f>IFERROR(VLOOKUP($A2828,HeadJournal!$A$1:$J$890,COLUMN(HeadJournal!I$1),0)*($K2828+$L2828)/(SUMIF($A:$A,$A2828,$K:$K)+SUMIF($A:$A,$A2828,$L:$L)),0)</f>
        <v>0</v>
      </c>
      <c r="N2828" s="30">
        <f>IFERROR((VLOOKUP($A2828,HeadJournal!$A$1:$K$890,COLUMN(HeadJournal!K$1),0)-VLOOKUP($A2828,HeadJournal!$A$1:$K$890,COLUMN(HeadJournal!J$1),0))*($K2828+$L2828)/(SUMIF($A:$A,$A2828,$K:$K)+SUMIF($A:$A,$A2828,$L:$L)),0)</f>
        <v>0</v>
      </c>
      <c r="O2828" s="30">
        <f>IFERROR((VLOOKUP($A2828,HeadJournal!$A$1:$L$890,COLUMN(HeadJournal!L$1),0)*($K2828+$L2828)/(SUMIF($A:$A,$A2828,$K:$K)+SUMIF($A:$A,$A2828,$L:$L)))/VLOOKUP($A2828,HeadJournal!$A$1:$L$890,COLUMN(HeadJournal!H$1),0),0)</f>
        <v>24.683544303797468</v>
      </c>
      <c r="P2828" s="30">
        <f>IFERROR(SUM(K2828:O2828)*VLOOKUP($A2828,HeadJournal!$A$1:$L$890,COLUMN(HeadJournal!H$1),0),0)</f>
        <v>639.68354430379748</v>
      </c>
      <c r="Q2828" s="29"/>
      <c r="R2828" s="31"/>
      <c r="S2828" s="31"/>
      <c r="T2828" s="95" t="str">
        <f t="shared" si="228"/>
        <v/>
      </c>
      <c r="U2828" s="32">
        <f t="shared" si="225"/>
        <v>-639.68354430379748</v>
      </c>
      <c r="V2828" s="22" t="str">
        <f t="shared" si="226"/>
        <v/>
      </c>
      <c r="X2828" s="33"/>
      <c r="Y2828" s="33"/>
    </row>
    <row r="2829" spans="1:25" x14ac:dyDescent="0.2">
      <c r="A2829" s="93" t="s">
        <v>1263</v>
      </c>
      <c r="B2829" s="94" t="str">
        <f>IFERROR(VLOOKUP($A2829,HeadJournal!$A$1:$NTR$890,COLUMN(HeadJournal!B$1),0),"")</f>
        <v>1495030317</v>
      </c>
      <c r="C2829" s="94" t="str">
        <f>IFERROR(VLOOKUP($A2829,HeadJournal!$A$1:$NTR$890,COLUMN(HeadJournal!C$1),0),"")</f>
        <v>essens_OA</v>
      </c>
      <c r="D2829" s="125" t="str">
        <f>IFERROR(VLOOKUP($A2829,HeadJournal!$A$1:$NTR$890,COLUMN(HeadJournal!D$1),0),"")</f>
        <v>Доставлен</v>
      </c>
      <c r="E2829" s="95">
        <f>IFERROR(VLOOKUP($A2829,HeadJournal!$A$1:$NTR$890,COLUMN(HeadJournal!G$1),0),"")</f>
        <v>45315</v>
      </c>
      <c r="F2829" s="95" t="str">
        <f t="shared" si="227"/>
        <v>2024 01</v>
      </c>
      <c r="G2829" s="96" t="s">
        <v>8</v>
      </c>
      <c r="H2829" s="161" t="s">
        <v>5265</v>
      </c>
      <c r="I2829" s="97" t="s">
        <v>2243</v>
      </c>
      <c r="J2829" s="97" t="s">
        <v>5323</v>
      </c>
      <c r="K2829" s="29">
        <v>826.27</v>
      </c>
      <c r="L2829" s="29"/>
      <c r="M2829" s="30">
        <f>IFERROR(VLOOKUP($A2829,HeadJournal!$A$1:$J$890,COLUMN(HeadJournal!I$1),0)*($K2829+$L2829)/(SUMIF($A:$A,$A2829,$K:$K)+SUMIF($A:$A,$A2829,$L:$L)),0)</f>
        <v>0</v>
      </c>
      <c r="N2829" s="30">
        <f>IFERROR((VLOOKUP($A2829,HeadJournal!$A$1:$K$890,COLUMN(HeadJournal!K$1),0)-VLOOKUP($A2829,HeadJournal!$A$1:$K$890,COLUMN(HeadJournal!J$1),0))*($K2829+$L2829)/(SUMIF($A:$A,$A2829,$K:$K)+SUMIF($A:$A,$A2829,$L:$L)),0)</f>
        <v>0</v>
      </c>
      <c r="O2829" s="30">
        <f>IFERROR((VLOOKUP($A2829,HeadJournal!$A$1:$L$890,COLUMN(HeadJournal!L$1),0)*($K2829+$L2829)/(SUMIF($A:$A,$A2829,$K:$K)+SUMIF($A:$A,$A2829,$L:$L)))/VLOOKUP($A2829,HeadJournal!$A$1:$L$890,COLUMN(HeadJournal!H$1),0),0)</f>
        <v>100.3681791366472</v>
      </c>
      <c r="P2829" s="30">
        <f>IFERROR(SUM(K2829:O2829)*VLOOKUP($A2829,HeadJournal!$A$1:$L$890,COLUMN(HeadJournal!H$1),0),0)</f>
        <v>926.63817913664718</v>
      </c>
      <c r="Q2829" s="29">
        <v>2200</v>
      </c>
      <c r="R2829" s="31">
        <v>45339</v>
      </c>
      <c r="S2829" s="31" t="s">
        <v>3121</v>
      </c>
      <c r="T2829" s="95" t="str">
        <f t="shared" si="228"/>
        <v>2024 02</v>
      </c>
      <c r="U2829" s="32">
        <f t="shared" si="225"/>
        <v>1273.3618208633529</v>
      </c>
      <c r="V2829" s="22">
        <f t="shared" si="226"/>
        <v>1.3741737061274009</v>
      </c>
      <c r="X2829" s="33"/>
      <c r="Y2829" s="33"/>
    </row>
    <row r="2830" spans="1:25" x14ac:dyDescent="0.2">
      <c r="A2830" s="93" t="s">
        <v>1263</v>
      </c>
      <c r="B2830" s="94" t="str">
        <f>IFERROR(VLOOKUP($A2830,HeadJournal!$A$1:$NTR$890,COLUMN(HeadJournal!B$1),0),"")</f>
        <v>1495030317</v>
      </c>
      <c r="C2830" s="94" t="str">
        <f>IFERROR(VLOOKUP($A2830,HeadJournal!$A$1:$NTR$890,COLUMN(HeadJournal!C$1),0),"")</f>
        <v>essens_OA</v>
      </c>
      <c r="D2830" s="125" t="str">
        <f>IFERROR(VLOOKUP($A2830,HeadJournal!$A$1:$NTR$890,COLUMN(HeadJournal!D$1),0),"")</f>
        <v>Доставлен</v>
      </c>
      <c r="E2830" s="95">
        <f>IFERROR(VLOOKUP($A2830,HeadJournal!$A$1:$NTR$890,COLUMN(HeadJournal!G$1),0),"")</f>
        <v>45315</v>
      </c>
      <c r="F2830" s="95" t="str">
        <f t="shared" si="227"/>
        <v>2024 01</v>
      </c>
      <c r="G2830" s="96" t="s">
        <v>8</v>
      </c>
      <c r="H2830" s="161" t="s">
        <v>5266</v>
      </c>
      <c r="I2830" s="97" t="s">
        <v>2243</v>
      </c>
      <c r="J2830" s="97" t="s">
        <v>5324</v>
      </c>
      <c r="K2830" s="29">
        <v>35.74</v>
      </c>
      <c r="L2830" s="29"/>
      <c r="M2830" s="30">
        <f>IFERROR(VLOOKUP($A2830,HeadJournal!$A$1:$J$890,COLUMN(HeadJournal!I$1),0)*($K2830+$L2830)/(SUMIF($A:$A,$A2830,$K:$K)+SUMIF($A:$A,$A2830,$L:$L)),0)</f>
        <v>0</v>
      </c>
      <c r="N2830" s="30">
        <f>IFERROR((VLOOKUP($A2830,HeadJournal!$A$1:$K$890,COLUMN(HeadJournal!K$1),0)-VLOOKUP($A2830,HeadJournal!$A$1:$K$890,COLUMN(HeadJournal!J$1),0))*($K2830+$L2830)/(SUMIF($A:$A,$A2830,$K:$K)+SUMIF($A:$A,$A2830,$L:$L)),0)</f>
        <v>0</v>
      </c>
      <c r="O2830" s="30">
        <f>IFERROR((VLOOKUP($A2830,HeadJournal!$A$1:$L$890,COLUMN(HeadJournal!L$1),0)*($K2830+$L2830)/(SUMIF($A:$A,$A2830,$K:$K)+SUMIF($A:$A,$A2830,$L:$L)))/VLOOKUP($A2830,HeadJournal!$A$1:$L$890,COLUMN(HeadJournal!H$1),0),0)</f>
        <v>4.3413880721117444</v>
      </c>
      <c r="P2830" s="30">
        <f>IFERROR(SUM(K2830:O2830)*VLOOKUP($A2830,HeadJournal!$A$1:$L$890,COLUMN(HeadJournal!H$1),0),0)</f>
        <v>40.08138807211175</v>
      </c>
      <c r="Q2830" s="29"/>
      <c r="R2830" s="31"/>
      <c r="S2830" s="31"/>
      <c r="T2830" s="95" t="str">
        <f t="shared" si="228"/>
        <v/>
      </c>
      <c r="U2830" s="32">
        <f t="shared" si="225"/>
        <v>-40.08138807211175</v>
      </c>
      <c r="V2830" s="22" t="str">
        <f t="shared" si="226"/>
        <v/>
      </c>
      <c r="X2830" s="33"/>
      <c r="Y2830" s="33"/>
    </row>
    <row r="2831" spans="1:25" x14ac:dyDescent="0.2">
      <c r="A2831" s="93" t="s">
        <v>1263</v>
      </c>
      <c r="B2831" s="94" t="str">
        <f>IFERROR(VLOOKUP($A2831,HeadJournal!$A$1:$NTR$890,COLUMN(HeadJournal!B$1),0),"")</f>
        <v>1495030317</v>
      </c>
      <c r="C2831" s="94" t="str">
        <f>IFERROR(VLOOKUP($A2831,HeadJournal!$A$1:$NTR$890,COLUMN(HeadJournal!C$1),0),"")</f>
        <v>essens_OA</v>
      </c>
      <c r="D2831" s="125" t="str">
        <f>IFERROR(VLOOKUP($A2831,HeadJournal!$A$1:$NTR$890,COLUMN(HeadJournal!D$1),0),"")</f>
        <v>Доставлен</v>
      </c>
      <c r="E2831" s="95">
        <f>IFERROR(VLOOKUP($A2831,HeadJournal!$A$1:$NTR$890,COLUMN(HeadJournal!G$1),0),"")</f>
        <v>45315</v>
      </c>
      <c r="F2831" s="95" t="str">
        <f t="shared" si="227"/>
        <v>2024 01</v>
      </c>
      <c r="G2831" s="96" t="s">
        <v>8</v>
      </c>
      <c r="H2831" s="161" t="s">
        <v>5267</v>
      </c>
      <c r="I2831" s="97" t="s">
        <v>2243</v>
      </c>
      <c r="J2831" s="97" t="s">
        <v>5325</v>
      </c>
      <c r="K2831" s="29">
        <v>964.72</v>
      </c>
      <c r="L2831" s="29"/>
      <c r="M2831" s="30">
        <f>IFERROR(VLOOKUP($A2831,HeadJournal!$A$1:$J$890,COLUMN(HeadJournal!I$1),0)*($K2831+$L2831)/(SUMIF($A:$A,$A2831,$K:$K)+SUMIF($A:$A,$A2831,$L:$L)),0)</f>
        <v>0</v>
      </c>
      <c r="N2831" s="30">
        <f>IFERROR((VLOOKUP($A2831,HeadJournal!$A$1:$K$890,COLUMN(HeadJournal!K$1),0)-VLOOKUP($A2831,HeadJournal!$A$1:$K$890,COLUMN(HeadJournal!J$1),0))*($K2831+$L2831)/(SUMIF($A:$A,$A2831,$K:$K)+SUMIF($A:$A,$A2831,$L:$L)),0)</f>
        <v>0</v>
      </c>
      <c r="O2831" s="30">
        <f>IFERROR((VLOOKUP($A2831,HeadJournal!$A$1:$L$890,COLUMN(HeadJournal!L$1),0)*($K2831+$L2831)/(SUMIF($A:$A,$A2831,$K:$K)+SUMIF($A:$A,$A2831,$L:$L)))/VLOOKUP($A2831,HeadJournal!$A$1:$L$890,COLUMN(HeadJournal!H$1),0),0)</f>
        <v>117.18589538129945</v>
      </c>
      <c r="P2831" s="30">
        <f>IFERROR(SUM(K2831:O2831)*VLOOKUP($A2831,HeadJournal!$A$1:$L$890,COLUMN(HeadJournal!H$1),0),0)</f>
        <v>1081.9058953812994</v>
      </c>
      <c r="Q2831" s="29"/>
      <c r="R2831" s="31"/>
      <c r="S2831" s="31"/>
      <c r="T2831" s="95" t="str">
        <f t="shared" si="228"/>
        <v/>
      </c>
      <c r="U2831" s="32">
        <f t="shared" si="225"/>
        <v>-1081.9058953812994</v>
      </c>
      <c r="V2831" s="22" t="str">
        <f t="shared" si="226"/>
        <v/>
      </c>
      <c r="X2831" s="33"/>
      <c r="Y2831" s="33"/>
    </row>
    <row r="2832" spans="1:25" x14ac:dyDescent="0.2">
      <c r="A2832" s="93" t="s">
        <v>1263</v>
      </c>
      <c r="B2832" s="94" t="str">
        <f>IFERROR(VLOOKUP($A2832,HeadJournal!$A$1:$NTR$890,COLUMN(HeadJournal!B$1),0),"")</f>
        <v>1495030317</v>
      </c>
      <c r="C2832" s="94" t="str">
        <f>IFERROR(VLOOKUP($A2832,HeadJournal!$A$1:$NTR$890,COLUMN(HeadJournal!C$1),0),"")</f>
        <v>essens_OA</v>
      </c>
      <c r="D2832" s="125" t="str">
        <f>IFERROR(VLOOKUP($A2832,HeadJournal!$A$1:$NTR$890,COLUMN(HeadJournal!D$1),0),"")</f>
        <v>Доставлен</v>
      </c>
      <c r="E2832" s="95">
        <f>IFERROR(VLOOKUP($A2832,HeadJournal!$A$1:$NTR$890,COLUMN(HeadJournal!G$1),0),"")</f>
        <v>45315</v>
      </c>
      <c r="F2832" s="95" t="str">
        <f t="shared" si="227"/>
        <v>2024 01</v>
      </c>
      <c r="G2832" s="96" t="s">
        <v>8</v>
      </c>
      <c r="H2832" s="161" t="s">
        <v>5268</v>
      </c>
      <c r="I2832" s="97" t="s">
        <v>2243</v>
      </c>
      <c r="J2832" s="97" t="s">
        <v>5326</v>
      </c>
      <c r="K2832" s="29">
        <v>826.27</v>
      </c>
      <c r="L2832" s="29"/>
      <c r="M2832" s="30">
        <f>IFERROR(VLOOKUP($A2832,HeadJournal!$A$1:$J$890,COLUMN(HeadJournal!I$1),0)*($K2832+$L2832)/(SUMIF($A:$A,$A2832,$K:$K)+SUMIF($A:$A,$A2832,$L:$L)),0)</f>
        <v>0</v>
      </c>
      <c r="N2832" s="30">
        <f>IFERROR((VLOOKUP($A2832,HeadJournal!$A$1:$K$890,COLUMN(HeadJournal!K$1),0)-VLOOKUP($A2832,HeadJournal!$A$1:$K$890,COLUMN(HeadJournal!J$1),0))*($K2832+$L2832)/(SUMIF($A:$A,$A2832,$K:$K)+SUMIF($A:$A,$A2832,$L:$L)),0)</f>
        <v>0</v>
      </c>
      <c r="O2832" s="30">
        <f>IFERROR((VLOOKUP($A2832,HeadJournal!$A$1:$L$890,COLUMN(HeadJournal!L$1),0)*($K2832+$L2832)/(SUMIF($A:$A,$A2832,$K:$K)+SUMIF($A:$A,$A2832,$L:$L)))/VLOOKUP($A2832,HeadJournal!$A$1:$L$890,COLUMN(HeadJournal!H$1),0),0)</f>
        <v>100.3681791366472</v>
      </c>
      <c r="P2832" s="30">
        <f>IFERROR(SUM(K2832:O2832)*VLOOKUP($A2832,HeadJournal!$A$1:$L$890,COLUMN(HeadJournal!H$1),0),0)</f>
        <v>926.63817913664718</v>
      </c>
      <c r="Q2832" s="29"/>
      <c r="R2832" s="31"/>
      <c r="S2832" s="31"/>
      <c r="T2832" s="95" t="str">
        <f t="shared" si="228"/>
        <v/>
      </c>
      <c r="U2832" s="32">
        <f t="shared" si="225"/>
        <v>-926.63817913664718</v>
      </c>
      <c r="V2832" s="22" t="str">
        <f t="shared" si="226"/>
        <v/>
      </c>
      <c r="X2832" s="33"/>
      <c r="Y2832" s="33"/>
    </row>
    <row r="2833" spans="1:25" x14ac:dyDescent="0.2">
      <c r="A2833" s="93" t="s">
        <v>1263</v>
      </c>
      <c r="B2833" s="94" t="str">
        <f>IFERROR(VLOOKUP($A2833,HeadJournal!$A$1:$NTR$890,COLUMN(HeadJournal!B$1),0),"")</f>
        <v>1495030317</v>
      </c>
      <c r="C2833" s="94" t="str">
        <f>IFERROR(VLOOKUP($A2833,HeadJournal!$A$1:$NTR$890,COLUMN(HeadJournal!C$1),0),"")</f>
        <v>essens_OA</v>
      </c>
      <c r="D2833" s="125" t="str">
        <f>IFERROR(VLOOKUP($A2833,HeadJournal!$A$1:$NTR$890,COLUMN(HeadJournal!D$1),0),"")</f>
        <v>Доставлен</v>
      </c>
      <c r="E2833" s="95">
        <f>IFERROR(VLOOKUP($A2833,HeadJournal!$A$1:$NTR$890,COLUMN(HeadJournal!G$1),0),"")</f>
        <v>45315</v>
      </c>
      <c r="F2833" s="95" t="str">
        <f t="shared" si="227"/>
        <v>2024 01</v>
      </c>
      <c r="G2833" s="96" t="s">
        <v>8</v>
      </c>
      <c r="H2833" s="161" t="s">
        <v>5256</v>
      </c>
      <c r="I2833" s="97" t="s">
        <v>2243</v>
      </c>
      <c r="J2833" s="97" t="s">
        <v>5314</v>
      </c>
      <c r="K2833" s="29">
        <v>826.27</v>
      </c>
      <c r="L2833" s="29"/>
      <c r="M2833" s="30">
        <f>IFERROR(VLOOKUP($A2833,HeadJournal!$A$1:$J$890,COLUMN(HeadJournal!I$1),0)*($K2833+$L2833)/(SUMIF($A:$A,$A2833,$K:$K)+SUMIF($A:$A,$A2833,$L:$L)),0)</f>
        <v>0</v>
      </c>
      <c r="N2833" s="30">
        <f>IFERROR((VLOOKUP($A2833,HeadJournal!$A$1:$K$890,COLUMN(HeadJournal!K$1),0)-VLOOKUP($A2833,HeadJournal!$A$1:$K$890,COLUMN(HeadJournal!J$1),0))*($K2833+$L2833)/(SUMIF($A:$A,$A2833,$K:$K)+SUMIF($A:$A,$A2833,$L:$L)),0)</f>
        <v>0</v>
      </c>
      <c r="O2833" s="30">
        <f>IFERROR((VLOOKUP($A2833,HeadJournal!$A$1:$L$890,COLUMN(HeadJournal!L$1),0)*($K2833+$L2833)/(SUMIF($A:$A,$A2833,$K:$K)+SUMIF($A:$A,$A2833,$L:$L)))/VLOOKUP($A2833,HeadJournal!$A$1:$L$890,COLUMN(HeadJournal!H$1),0),0)</f>
        <v>100.3681791366472</v>
      </c>
      <c r="P2833" s="30">
        <f>IFERROR(SUM(K2833:O2833)*VLOOKUP($A2833,HeadJournal!$A$1:$L$890,COLUMN(HeadJournal!H$1),0),0)</f>
        <v>926.63817913664718</v>
      </c>
      <c r="Q2833" s="29">
        <v>2200</v>
      </c>
      <c r="R2833" s="31">
        <v>45334</v>
      </c>
      <c r="S2833" s="31" t="s">
        <v>3121</v>
      </c>
      <c r="T2833" s="95" t="str">
        <f t="shared" si="228"/>
        <v>2024 02</v>
      </c>
      <c r="U2833" s="32">
        <f t="shared" si="225"/>
        <v>1273.3618208633529</v>
      </c>
      <c r="V2833" s="22">
        <f t="shared" si="226"/>
        <v>1.3741737061274009</v>
      </c>
      <c r="X2833" s="33"/>
      <c r="Y2833" s="33"/>
    </row>
    <row r="2834" spans="1:25" x14ac:dyDescent="0.2">
      <c r="A2834" s="93" t="s">
        <v>1263</v>
      </c>
      <c r="B2834" s="94" t="str">
        <f>IFERROR(VLOOKUP($A2834,HeadJournal!$A$1:$NTR$890,COLUMN(HeadJournal!B$1),0),"")</f>
        <v>1495030317</v>
      </c>
      <c r="C2834" s="94" t="str">
        <f>IFERROR(VLOOKUP($A2834,HeadJournal!$A$1:$NTR$890,COLUMN(HeadJournal!C$1),0),"")</f>
        <v>essens_OA</v>
      </c>
      <c r="D2834" s="125" t="str">
        <f>IFERROR(VLOOKUP($A2834,HeadJournal!$A$1:$NTR$890,COLUMN(HeadJournal!D$1),0),"")</f>
        <v>Доставлен</v>
      </c>
      <c r="E2834" s="95">
        <f>IFERROR(VLOOKUP($A2834,HeadJournal!$A$1:$NTR$890,COLUMN(HeadJournal!G$1),0),"")</f>
        <v>45315</v>
      </c>
      <c r="F2834" s="95" t="str">
        <f t="shared" si="227"/>
        <v>2024 01</v>
      </c>
      <c r="G2834" s="96" t="s">
        <v>8</v>
      </c>
      <c r="H2834" s="161" t="s">
        <v>5256</v>
      </c>
      <c r="I2834" s="97" t="s">
        <v>2243</v>
      </c>
      <c r="J2834" s="97" t="s">
        <v>5314</v>
      </c>
      <c r="K2834" s="29">
        <v>826.27</v>
      </c>
      <c r="L2834" s="29"/>
      <c r="M2834" s="30">
        <f>IFERROR(VLOOKUP($A2834,HeadJournal!$A$1:$J$890,COLUMN(HeadJournal!I$1),0)*($K2834+$L2834)/(SUMIF($A:$A,$A2834,$K:$K)+SUMIF($A:$A,$A2834,$L:$L)),0)</f>
        <v>0</v>
      </c>
      <c r="N2834" s="30">
        <f>IFERROR((VLOOKUP($A2834,HeadJournal!$A$1:$K$890,COLUMN(HeadJournal!K$1),0)-VLOOKUP($A2834,HeadJournal!$A$1:$K$890,COLUMN(HeadJournal!J$1),0))*($K2834+$L2834)/(SUMIF($A:$A,$A2834,$K:$K)+SUMIF($A:$A,$A2834,$L:$L)),0)</f>
        <v>0</v>
      </c>
      <c r="O2834" s="30">
        <f>IFERROR((VLOOKUP($A2834,HeadJournal!$A$1:$L$890,COLUMN(HeadJournal!L$1),0)*($K2834+$L2834)/(SUMIF($A:$A,$A2834,$K:$K)+SUMIF($A:$A,$A2834,$L:$L)))/VLOOKUP($A2834,HeadJournal!$A$1:$L$890,COLUMN(HeadJournal!H$1),0),0)</f>
        <v>100.3681791366472</v>
      </c>
      <c r="P2834" s="30">
        <f>IFERROR(SUM(K2834:O2834)*VLOOKUP($A2834,HeadJournal!$A$1:$L$890,COLUMN(HeadJournal!H$1),0),0)</f>
        <v>926.63817913664718</v>
      </c>
      <c r="Q2834" s="29"/>
      <c r="R2834" s="31"/>
      <c r="S2834" s="31"/>
      <c r="T2834" s="95" t="str">
        <f t="shared" si="228"/>
        <v/>
      </c>
      <c r="U2834" s="32">
        <f t="shared" si="225"/>
        <v>-926.63817913664718</v>
      </c>
      <c r="V2834" s="22" t="str">
        <f t="shared" si="226"/>
        <v/>
      </c>
      <c r="X2834" s="33"/>
      <c r="Y2834" s="33"/>
    </row>
    <row r="2835" spans="1:25" x14ac:dyDescent="0.2">
      <c r="A2835" s="93" t="s">
        <v>1269</v>
      </c>
      <c r="B2835" s="94" t="str">
        <f>IFERROR(VLOOKUP($A2835,HeadJournal!$A$1:$NTR$890,COLUMN(HeadJournal!B$1),0),"")</f>
        <v>1495031040</v>
      </c>
      <c r="C2835" s="94" t="str">
        <f>IFERROR(VLOOKUP($A2835,HeadJournal!$A$1:$NTR$890,COLUMN(HeadJournal!C$1),0),"")</f>
        <v>essens_OA</v>
      </c>
      <c r="D2835" s="125" t="str">
        <f>IFERROR(VLOOKUP($A2835,HeadJournal!$A$1:$NTR$890,COLUMN(HeadJournal!D$1),0),"")</f>
        <v>Доставлен</v>
      </c>
      <c r="E2835" s="95">
        <f>IFERROR(VLOOKUP($A2835,HeadJournal!$A$1:$NTR$890,COLUMN(HeadJournal!G$1),0),"")</f>
        <v>45316</v>
      </c>
      <c r="F2835" s="95" t="str">
        <f t="shared" si="227"/>
        <v>2024 01</v>
      </c>
      <c r="G2835" s="96" t="s">
        <v>8</v>
      </c>
      <c r="H2835" s="161" t="s">
        <v>5269</v>
      </c>
      <c r="I2835" s="97" t="s">
        <v>2243</v>
      </c>
      <c r="J2835" s="97" t="s">
        <v>5327</v>
      </c>
      <c r="K2835" s="29">
        <v>985</v>
      </c>
      <c r="L2835" s="29"/>
      <c r="M2835" s="30">
        <f>IFERROR(VLOOKUP($A2835,HeadJournal!$A$1:$J$890,COLUMN(HeadJournal!I$1),0)*($K2835+$L2835)/(SUMIF($A:$A,$A2835,$K:$K)+SUMIF($A:$A,$A2835,$L:$L)),0)</f>
        <v>0</v>
      </c>
      <c r="N2835" s="30">
        <f>IFERROR((VLOOKUP($A2835,HeadJournal!$A$1:$K$890,COLUMN(HeadJournal!K$1),0)-VLOOKUP($A2835,HeadJournal!$A$1:$K$890,COLUMN(HeadJournal!J$1),0))*($K2835+$L2835)/(SUMIF($A:$A,$A2835,$K:$K)+SUMIF($A:$A,$A2835,$L:$L)),0)</f>
        <v>-49.287338893100831</v>
      </c>
      <c r="O2835" s="30">
        <f>IFERROR((VLOOKUP($A2835,HeadJournal!$A$1:$L$890,COLUMN(HeadJournal!L$1),0)*($K2835+$L2835)/(SUMIF($A:$A,$A2835,$K:$K)+SUMIF($A:$A,$A2835,$L:$L)))/VLOOKUP($A2835,HeadJournal!$A$1:$L$890,COLUMN(HeadJournal!H$1),0),0)</f>
        <v>59.144806671721</v>
      </c>
      <c r="P2835" s="30">
        <f>IFERROR(SUM(K2835:O2835)*VLOOKUP($A2835,HeadJournal!$A$1:$L$890,COLUMN(HeadJournal!H$1),0),0)</f>
        <v>994.85746777862016</v>
      </c>
      <c r="Q2835" s="29">
        <v>4000</v>
      </c>
      <c r="R2835" s="31">
        <v>45371</v>
      </c>
      <c r="S2835" s="31" t="s">
        <v>3121</v>
      </c>
      <c r="T2835" s="95" t="str">
        <f t="shared" si="228"/>
        <v>2024 03</v>
      </c>
      <c r="U2835" s="32">
        <f t="shared" si="225"/>
        <v>3005.14253222138</v>
      </c>
      <c r="V2835" s="22">
        <f t="shared" si="226"/>
        <v>3.0206764582382335</v>
      </c>
      <c r="X2835" s="33"/>
      <c r="Y2835" s="33"/>
    </row>
    <row r="2836" spans="1:25" x14ac:dyDescent="0.2">
      <c r="A2836" s="93" t="s">
        <v>1269</v>
      </c>
      <c r="B2836" s="94" t="str">
        <f>IFERROR(VLOOKUP($A2836,HeadJournal!$A$1:$NTR$890,COLUMN(HeadJournal!B$1),0),"")</f>
        <v>1495031040</v>
      </c>
      <c r="C2836" s="94" t="str">
        <f>IFERROR(VLOOKUP($A2836,HeadJournal!$A$1:$NTR$890,COLUMN(HeadJournal!C$1),0),"")</f>
        <v>essens_OA</v>
      </c>
      <c r="D2836" s="125" t="str">
        <f>IFERROR(VLOOKUP($A2836,HeadJournal!$A$1:$NTR$890,COLUMN(HeadJournal!D$1),0),"")</f>
        <v>Доставлен</v>
      </c>
      <c r="E2836" s="95">
        <f>IFERROR(VLOOKUP($A2836,HeadJournal!$A$1:$NTR$890,COLUMN(HeadJournal!G$1),0),"")</f>
        <v>45316</v>
      </c>
      <c r="F2836" s="95" t="str">
        <f t="shared" si="227"/>
        <v>2024 01</v>
      </c>
      <c r="G2836" s="96" t="s">
        <v>8</v>
      </c>
      <c r="H2836" s="161" t="s">
        <v>5269</v>
      </c>
      <c r="I2836" s="97" t="s">
        <v>2243</v>
      </c>
      <c r="J2836" s="97" t="s">
        <v>5327</v>
      </c>
      <c r="K2836" s="29">
        <v>985</v>
      </c>
      <c r="L2836" s="29"/>
      <c r="M2836" s="30">
        <f>IFERROR(VLOOKUP($A2836,HeadJournal!$A$1:$J$890,COLUMN(HeadJournal!I$1),0)*($K2836+$L2836)/(SUMIF($A:$A,$A2836,$K:$K)+SUMIF($A:$A,$A2836,$L:$L)),0)</f>
        <v>0</v>
      </c>
      <c r="N2836" s="30">
        <f>IFERROR((VLOOKUP($A2836,HeadJournal!$A$1:$K$890,COLUMN(HeadJournal!K$1),0)-VLOOKUP($A2836,HeadJournal!$A$1:$K$890,COLUMN(HeadJournal!J$1),0))*($K2836+$L2836)/(SUMIF($A:$A,$A2836,$K:$K)+SUMIF($A:$A,$A2836,$L:$L)),0)</f>
        <v>-49.287338893100831</v>
      </c>
      <c r="O2836" s="30">
        <f>IFERROR((VLOOKUP($A2836,HeadJournal!$A$1:$L$890,COLUMN(HeadJournal!L$1),0)*($K2836+$L2836)/(SUMIF($A:$A,$A2836,$K:$K)+SUMIF($A:$A,$A2836,$L:$L)))/VLOOKUP($A2836,HeadJournal!$A$1:$L$890,COLUMN(HeadJournal!H$1),0),0)</f>
        <v>59.144806671721</v>
      </c>
      <c r="P2836" s="30">
        <f>IFERROR(SUM(K2836:O2836)*VLOOKUP($A2836,HeadJournal!$A$1:$L$890,COLUMN(HeadJournal!H$1),0),0)</f>
        <v>994.85746777862016</v>
      </c>
      <c r="Q2836" s="29">
        <v>994.86</v>
      </c>
      <c r="R2836" s="31">
        <v>45316</v>
      </c>
      <c r="S2836" s="31" t="s">
        <v>3121</v>
      </c>
      <c r="T2836" s="95" t="str">
        <f t="shared" si="228"/>
        <v>2024 01</v>
      </c>
      <c r="U2836" s="32">
        <f t="shared" si="225"/>
        <v>2.5322213798517623E-3</v>
      </c>
      <c r="V2836" s="22">
        <f t="shared" si="226"/>
        <v>2.545310722254379E-6</v>
      </c>
      <c r="X2836" s="33"/>
      <c r="Y2836" s="33"/>
    </row>
    <row r="2837" spans="1:25" x14ac:dyDescent="0.2">
      <c r="A2837" s="93" t="s">
        <v>1269</v>
      </c>
      <c r="B2837" s="94" t="str">
        <f>IFERROR(VLOOKUP($A2837,HeadJournal!$A$1:$NTR$890,COLUMN(HeadJournal!B$1),0),"")</f>
        <v>1495031040</v>
      </c>
      <c r="C2837" s="94" t="str">
        <f>IFERROR(VLOOKUP($A2837,HeadJournal!$A$1:$NTR$890,COLUMN(HeadJournal!C$1),0),"")</f>
        <v>essens_OA</v>
      </c>
      <c r="D2837" s="125" t="str">
        <f>IFERROR(VLOOKUP($A2837,HeadJournal!$A$1:$NTR$890,COLUMN(HeadJournal!D$1),0),"")</f>
        <v>Доставлен</v>
      </c>
      <c r="E2837" s="95">
        <f>IFERROR(VLOOKUP($A2837,HeadJournal!$A$1:$NTR$890,COLUMN(HeadJournal!G$1),0),"")</f>
        <v>45316</v>
      </c>
      <c r="F2837" s="95" t="str">
        <f t="shared" si="227"/>
        <v>2024 01</v>
      </c>
      <c r="G2837" s="96" t="s">
        <v>8</v>
      </c>
      <c r="H2837" s="161" t="s">
        <v>5270</v>
      </c>
      <c r="I2837" s="97" t="s">
        <v>2243</v>
      </c>
      <c r="J2837" s="97" t="s">
        <v>5328</v>
      </c>
      <c r="K2837" s="29">
        <v>925</v>
      </c>
      <c r="L2837" s="29"/>
      <c r="M2837" s="30">
        <f>IFERROR(VLOOKUP($A2837,HeadJournal!$A$1:$J$890,COLUMN(HeadJournal!I$1),0)*($K2837+$L2837)/(SUMIF($A:$A,$A2837,$K:$K)+SUMIF($A:$A,$A2837,$L:$L)),0)</f>
        <v>0</v>
      </c>
      <c r="N2837" s="30">
        <f>IFERROR((VLOOKUP($A2837,HeadJournal!$A$1:$K$890,COLUMN(HeadJournal!K$1),0)-VLOOKUP($A2837,HeadJournal!$A$1:$K$890,COLUMN(HeadJournal!J$1),0))*($K2837+$L2837)/(SUMIF($A:$A,$A2837,$K:$K)+SUMIF($A:$A,$A2837,$L:$L)),0)</f>
        <v>-46.285064442759669</v>
      </c>
      <c r="O2837" s="30">
        <f>IFERROR((VLOOKUP($A2837,HeadJournal!$A$1:$L$890,COLUMN(HeadJournal!L$1),0)*($K2837+$L2837)/(SUMIF($A:$A,$A2837,$K:$K)+SUMIF($A:$A,$A2837,$L:$L)))/VLOOKUP($A2837,HeadJournal!$A$1:$L$890,COLUMN(HeadJournal!H$1),0),0)</f>
        <v>55.542077331311603</v>
      </c>
      <c r="P2837" s="30">
        <f>IFERROR(SUM(K2837:O2837)*VLOOKUP($A2837,HeadJournal!$A$1:$L$890,COLUMN(HeadJournal!H$1),0),0)</f>
        <v>934.25701288855191</v>
      </c>
      <c r="Q2837" s="29"/>
      <c r="R2837" s="31"/>
      <c r="S2837" s="31"/>
      <c r="T2837" s="95" t="str">
        <f t="shared" si="228"/>
        <v/>
      </c>
      <c r="U2837" s="32">
        <f t="shared" si="225"/>
        <v>-934.25701288855191</v>
      </c>
      <c r="V2837" s="22" t="str">
        <f t="shared" si="226"/>
        <v/>
      </c>
      <c r="X2837" s="33"/>
      <c r="Y2837" s="33"/>
    </row>
    <row r="2838" spans="1:25" x14ac:dyDescent="0.2">
      <c r="A2838" s="93" t="s">
        <v>1269</v>
      </c>
      <c r="B2838" s="94" t="str">
        <f>IFERROR(VLOOKUP($A2838,HeadJournal!$A$1:$NTR$890,COLUMN(HeadJournal!B$1),0),"")</f>
        <v>1495031040</v>
      </c>
      <c r="C2838" s="94" t="str">
        <f>IFERROR(VLOOKUP($A2838,HeadJournal!$A$1:$NTR$890,COLUMN(HeadJournal!C$1),0),"")</f>
        <v>essens_OA</v>
      </c>
      <c r="D2838" s="125" t="str">
        <f>IFERROR(VLOOKUP($A2838,HeadJournal!$A$1:$NTR$890,COLUMN(HeadJournal!D$1),0),"")</f>
        <v>Доставлен</v>
      </c>
      <c r="E2838" s="95">
        <f>IFERROR(VLOOKUP($A2838,HeadJournal!$A$1:$NTR$890,COLUMN(HeadJournal!G$1),0),"")</f>
        <v>45316</v>
      </c>
      <c r="F2838" s="95" t="str">
        <f t="shared" si="227"/>
        <v>2024 01</v>
      </c>
      <c r="G2838" s="96" t="s">
        <v>8</v>
      </c>
      <c r="H2838" s="161" t="s">
        <v>5271</v>
      </c>
      <c r="I2838" s="97" t="s">
        <v>2243</v>
      </c>
      <c r="J2838" s="97" t="s">
        <v>5329</v>
      </c>
      <c r="K2838" s="29">
        <v>925</v>
      </c>
      <c r="L2838" s="29"/>
      <c r="M2838" s="30">
        <f>IFERROR(VLOOKUP($A2838,HeadJournal!$A$1:$J$890,COLUMN(HeadJournal!I$1),0)*($K2838+$L2838)/(SUMIF($A:$A,$A2838,$K:$K)+SUMIF($A:$A,$A2838,$L:$L)),0)</f>
        <v>0</v>
      </c>
      <c r="N2838" s="30">
        <f>IFERROR((VLOOKUP($A2838,HeadJournal!$A$1:$K$890,COLUMN(HeadJournal!K$1),0)-VLOOKUP($A2838,HeadJournal!$A$1:$K$890,COLUMN(HeadJournal!J$1),0))*($K2838+$L2838)/(SUMIF($A:$A,$A2838,$K:$K)+SUMIF($A:$A,$A2838,$L:$L)),0)</f>
        <v>-46.285064442759669</v>
      </c>
      <c r="O2838" s="30">
        <f>IFERROR((VLOOKUP($A2838,HeadJournal!$A$1:$L$890,COLUMN(HeadJournal!L$1),0)*($K2838+$L2838)/(SUMIF($A:$A,$A2838,$K:$K)+SUMIF($A:$A,$A2838,$L:$L)))/VLOOKUP($A2838,HeadJournal!$A$1:$L$890,COLUMN(HeadJournal!H$1),0),0)</f>
        <v>55.542077331311603</v>
      </c>
      <c r="P2838" s="30">
        <f>IFERROR(SUM(K2838:O2838)*VLOOKUP($A2838,HeadJournal!$A$1:$L$890,COLUMN(HeadJournal!H$1),0),0)</f>
        <v>934.25701288855191</v>
      </c>
      <c r="Q2838" s="29">
        <v>2200</v>
      </c>
      <c r="R2838" s="31">
        <v>45334</v>
      </c>
      <c r="S2838" s="31" t="s">
        <v>3121</v>
      </c>
      <c r="T2838" s="95" t="str">
        <f t="shared" si="228"/>
        <v>2024 02</v>
      </c>
      <c r="U2838" s="32">
        <f t="shared" si="225"/>
        <v>1265.7429871114482</v>
      </c>
      <c r="V2838" s="22">
        <f t="shared" si="226"/>
        <v>1.3548124013519602</v>
      </c>
      <c r="X2838" s="33"/>
      <c r="Y2838" s="33"/>
    </row>
    <row r="2839" spans="1:25" x14ac:dyDescent="0.2">
      <c r="A2839" s="93" t="s">
        <v>1269</v>
      </c>
      <c r="B2839" s="94" t="str">
        <f>IFERROR(VLOOKUP($A2839,HeadJournal!$A$1:$NTR$890,COLUMN(HeadJournal!B$1),0),"")</f>
        <v>1495031040</v>
      </c>
      <c r="C2839" s="94" t="str">
        <f>IFERROR(VLOOKUP($A2839,HeadJournal!$A$1:$NTR$890,COLUMN(HeadJournal!C$1),0),"")</f>
        <v>essens_OA</v>
      </c>
      <c r="D2839" s="125" t="str">
        <f>IFERROR(VLOOKUP($A2839,HeadJournal!$A$1:$NTR$890,COLUMN(HeadJournal!D$1),0),"")</f>
        <v>Доставлен</v>
      </c>
      <c r="E2839" s="95">
        <f>IFERROR(VLOOKUP($A2839,HeadJournal!$A$1:$NTR$890,COLUMN(HeadJournal!G$1),0),"")</f>
        <v>45316</v>
      </c>
      <c r="F2839" s="95" t="str">
        <f t="shared" si="227"/>
        <v>2024 01</v>
      </c>
      <c r="G2839" s="96" t="s">
        <v>8</v>
      </c>
      <c r="H2839" s="161" t="s">
        <v>5272</v>
      </c>
      <c r="I2839" s="97" t="s">
        <v>2243</v>
      </c>
      <c r="J2839" s="97" t="s">
        <v>5330</v>
      </c>
      <c r="K2839" s="29">
        <v>925</v>
      </c>
      <c r="L2839" s="29"/>
      <c r="M2839" s="30">
        <f>IFERROR(VLOOKUP($A2839,HeadJournal!$A$1:$J$890,COLUMN(HeadJournal!I$1),0)*($K2839+$L2839)/(SUMIF($A:$A,$A2839,$K:$K)+SUMIF($A:$A,$A2839,$L:$L)),0)</f>
        <v>0</v>
      </c>
      <c r="N2839" s="30">
        <f>IFERROR((VLOOKUP($A2839,HeadJournal!$A$1:$K$890,COLUMN(HeadJournal!K$1),0)-VLOOKUP($A2839,HeadJournal!$A$1:$K$890,COLUMN(HeadJournal!J$1),0))*($K2839+$L2839)/(SUMIF($A:$A,$A2839,$K:$K)+SUMIF($A:$A,$A2839,$L:$L)),0)</f>
        <v>-46.285064442759669</v>
      </c>
      <c r="O2839" s="30">
        <f>IFERROR((VLOOKUP($A2839,HeadJournal!$A$1:$L$890,COLUMN(HeadJournal!L$1),0)*($K2839+$L2839)/(SUMIF($A:$A,$A2839,$K:$K)+SUMIF($A:$A,$A2839,$L:$L)))/VLOOKUP($A2839,HeadJournal!$A$1:$L$890,COLUMN(HeadJournal!H$1),0),0)</f>
        <v>55.542077331311603</v>
      </c>
      <c r="P2839" s="30">
        <f>IFERROR(SUM(K2839:O2839)*VLOOKUP($A2839,HeadJournal!$A$1:$L$890,COLUMN(HeadJournal!H$1),0),0)</f>
        <v>934.25701288855191</v>
      </c>
      <c r="Q2839" s="29">
        <v>2200</v>
      </c>
      <c r="R2839" s="31">
        <v>45567</v>
      </c>
      <c r="S2839" s="31" t="s">
        <v>3121</v>
      </c>
      <c r="T2839" s="95" t="str">
        <f t="shared" si="228"/>
        <v>2024 10</v>
      </c>
      <c r="U2839" s="32">
        <f t="shared" si="225"/>
        <v>1265.7429871114482</v>
      </c>
      <c r="V2839" s="22">
        <f t="shared" si="226"/>
        <v>1.3548124013519602</v>
      </c>
      <c r="X2839" s="33"/>
      <c r="Y2839" s="33"/>
    </row>
    <row r="2840" spans="1:25" x14ac:dyDescent="0.2">
      <c r="A2840" s="93" t="s">
        <v>1269</v>
      </c>
      <c r="B2840" s="94" t="str">
        <f>IFERROR(VLOOKUP($A2840,HeadJournal!$A$1:$NTR$890,COLUMN(HeadJournal!B$1),0),"")</f>
        <v>1495031040</v>
      </c>
      <c r="C2840" s="94" t="str">
        <f>IFERROR(VLOOKUP($A2840,HeadJournal!$A$1:$NTR$890,COLUMN(HeadJournal!C$1),0),"")</f>
        <v>essens_OA</v>
      </c>
      <c r="D2840" s="125" t="str">
        <f>IFERROR(VLOOKUP($A2840,HeadJournal!$A$1:$NTR$890,COLUMN(HeadJournal!D$1),0),"")</f>
        <v>Доставлен</v>
      </c>
      <c r="E2840" s="95">
        <f>IFERROR(VLOOKUP($A2840,HeadJournal!$A$1:$NTR$890,COLUMN(HeadJournal!G$1),0),"")</f>
        <v>45316</v>
      </c>
      <c r="F2840" s="95" t="str">
        <f t="shared" si="227"/>
        <v>2024 01</v>
      </c>
      <c r="G2840" s="96" t="s">
        <v>8</v>
      </c>
      <c r="H2840" s="161" t="s">
        <v>5256</v>
      </c>
      <c r="I2840" s="97" t="s">
        <v>2243</v>
      </c>
      <c r="J2840" s="97" t="s">
        <v>5314</v>
      </c>
      <c r="K2840" s="29">
        <v>925</v>
      </c>
      <c r="L2840" s="29"/>
      <c r="M2840" s="30">
        <f>IFERROR(VLOOKUP($A2840,HeadJournal!$A$1:$J$890,COLUMN(HeadJournal!I$1),0)*($K2840+$L2840)/(SUMIF($A:$A,$A2840,$K:$K)+SUMIF($A:$A,$A2840,$L:$L)),0)</f>
        <v>0</v>
      </c>
      <c r="N2840" s="30">
        <f>IFERROR((VLOOKUP($A2840,HeadJournal!$A$1:$K$890,COLUMN(HeadJournal!K$1),0)-VLOOKUP($A2840,HeadJournal!$A$1:$K$890,COLUMN(HeadJournal!J$1),0))*($K2840+$L2840)/(SUMIF($A:$A,$A2840,$K:$K)+SUMIF($A:$A,$A2840,$L:$L)),0)</f>
        <v>-46.285064442759669</v>
      </c>
      <c r="O2840" s="30">
        <f>IFERROR((VLOOKUP($A2840,HeadJournal!$A$1:$L$890,COLUMN(HeadJournal!L$1),0)*($K2840+$L2840)/(SUMIF($A:$A,$A2840,$K:$K)+SUMIF($A:$A,$A2840,$L:$L)))/VLOOKUP($A2840,HeadJournal!$A$1:$L$890,COLUMN(HeadJournal!H$1),0),0)</f>
        <v>55.542077331311603</v>
      </c>
      <c r="P2840" s="30">
        <f>IFERROR(SUM(K2840:O2840)*VLOOKUP($A2840,HeadJournal!$A$1:$L$890,COLUMN(HeadJournal!H$1),0),0)</f>
        <v>934.25701288855191</v>
      </c>
      <c r="Q2840" s="29"/>
      <c r="R2840" s="31"/>
      <c r="S2840" s="31"/>
      <c r="T2840" s="95" t="str">
        <f t="shared" si="228"/>
        <v/>
      </c>
      <c r="U2840" s="32">
        <f t="shared" si="225"/>
        <v>-934.25701288855191</v>
      </c>
      <c r="V2840" s="22" t="str">
        <f t="shared" si="226"/>
        <v/>
      </c>
      <c r="X2840" s="33"/>
      <c r="Y2840" s="33"/>
    </row>
    <row r="2841" spans="1:25" x14ac:dyDescent="0.2">
      <c r="A2841" s="93" t="s">
        <v>1269</v>
      </c>
      <c r="B2841" s="94" t="str">
        <f>IFERROR(VLOOKUP($A2841,HeadJournal!$A$1:$NTR$890,COLUMN(HeadJournal!B$1),0),"")</f>
        <v>1495031040</v>
      </c>
      <c r="C2841" s="94" t="str">
        <f>IFERROR(VLOOKUP($A2841,HeadJournal!$A$1:$NTR$890,COLUMN(HeadJournal!C$1),0),"")</f>
        <v>essens_OA</v>
      </c>
      <c r="D2841" s="125" t="str">
        <f>IFERROR(VLOOKUP($A2841,HeadJournal!$A$1:$NTR$890,COLUMN(HeadJournal!D$1),0),"")</f>
        <v>Доставлен</v>
      </c>
      <c r="E2841" s="95">
        <f>IFERROR(VLOOKUP($A2841,HeadJournal!$A$1:$NTR$890,COLUMN(HeadJournal!G$1),0),"")</f>
        <v>45316</v>
      </c>
      <c r="F2841" s="95" t="str">
        <f t="shared" si="227"/>
        <v>2024 01</v>
      </c>
      <c r="G2841" s="96" t="s">
        <v>8</v>
      </c>
      <c r="H2841" s="161" t="s">
        <v>5257</v>
      </c>
      <c r="I2841" s="97" t="s">
        <v>2243</v>
      </c>
      <c r="J2841" s="97" t="s">
        <v>5315</v>
      </c>
      <c r="K2841" s="29">
        <v>925</v>
      </c>
      <c r="L2841" s="29"/>
      <c r="M2841" s="30">
        <f>IFERROR(VLOOKUP($A2841,HeadJournal!$A$1:$J$890,COLUMN(HeadJournal!I$1),0)*($K2841+$L2841)/(SUMIF($A:$A,$A2841,$K:$K)+SUMIF($A:$A,$A2841,$L:$L)),0)</f>
        <v>0</v>
      </c>
      <c r="N2841" s="30">
        <f>IFERROR((VLOOKUP($A2841,HeadJournal!$A$1:$K$890,COLUMN(HeadJournal!K$1),0)-VLOOKUP($A2841,HeadJournal!$A$1:$K$890,COLUMN(HeadJournal!J$1),0))*($K2841+$L2841)/(SUMIF($A:$A,$A2841,$K:$K)+SUMIF($A:$A,$A2841,$L:$L)),0)</f>
        <v>-46.285064442759669</v>
      </c>
      <c r="O2841" s="30">
        <f>IFERROR((VLOOKUP($A2841,HeadJournal!$A$1:$L$890,COLUMN(HeadJournal!L$1),0)*($K2841+$L2841)/(SUMIF($A:$A,$A2841,$K:$K)+SUMIF($A:$A,$A2841,$L:$L)))/VLOOKUP($A2841,HeadJournal!$A$1:$L$890,COLUMN(HeadJournal!H$1),0),0)</f>
        <v>55.542077331311603</v>
      </c>
      <c r="P2841" s="30">
        <f>IFERROR(SUM(K2841:O2841)*VLOOKUP($A2841,HeadJournal!$A$1:$L$890,COLUMN(HeadJournal!H$1),0),0)</f>
        <v>934.25701288855191</v>
      </c>
      <c r="Q2841" s="29"/>
      <c r="R2841" s="31"/>
      <c r="S2841" s="31"/>
      <c r="T2841" s="95" t="str">
        <f t="shared" si="228"/>
        <v/>
      </c>
      <c r="U2841" s="32">
        <f t="shared" si="225"/>
        <v>-934.25701288855191</v>
      </c>
      <c r="V2841" s="22" t="str">
        <f t="shared" si="226"/>
        <v/>
      </c>
      <c r="X2841" s="33"/>
      <c r="Y2841" s="33"/>
    </row>
    <row r="2842" spans="1:25" x14ac:dyDescent="0.2">
      <c r="A2842" s="93" t="s">
        <v>1273</v>
      </c>
      <c r="B2842" s="94" t="str">
        <f>IFERROR(VLOOKUP($A2842,HeadJournal!$A$1:$NTR$890,COLUMN(HeadJournal!B$1),0),"")</f>
        <v>1495030348</v>
      </c>
      <c r="C2842" s="94" t="str">
        <f>IFERROR(VLOOKUP($A2842,HeadJournal!$A$1:$NTR$890,COLUMN(HeadJournal!C$1),0),"")</f>
        <v>essens_AV</v>
      </c>
      <c r="D2842" s="125" t="str">
        <f>IFERROR(VLOOKUP($A2842,HeadJournal!$A$1:$NTR$890,COLUMN(HeadJournal!D$1),0),"")</f>
        <v>Доставлен</v>
      </c>
      <c r="E2842" s="95">
        <f>IFERROR(VLOOKUP($A2842,HeadJournal!$A$1:$NTR$890,COLUMN(HeadJournal!G$1),0),"")</f>
        <v>45315</v>
      </c>
      <c r="F2842" s="95" t="str">
        <f t="shared" si="227"/>
        <v>2024 01</v>
      </c>
      <c r="G2842" s="96" t="s">
        <v>8</v>
      </c>
      <c r="H2842" s="161" t="s">
        <v>5273</v>
      </c>
      <c r="I2842" s="97" t="s">
        <v>2243</v>
      </c>
      <c r="J2842" s="97" t="s">
        <v>5331</v>
      </c>
      <c r="K2842" s="29">
        <v>1545</v>
      </c>
      <c r="L2842" s="29">
        <v>-257.5</v>
      </c>
      <c r="M2842" s="30">
        <f>IFERROR(VLOOKUP($A2842,HeadJournal!$A$1:$J$890,COLUMN(HeadJournal!I$1),0)*($K2842+$L2842)/(SUMIF($A:$A,$A2842,$K:$K)+SUMIF($A:$A,$A2842,$L:$L)),0)</f>
        <v>0</v>
      </c>
      <c r="N2842" s="30">
        <f>IFERROR((VLOOKUP($A2842,HeadJournal!$A$1:$K$890,COLUMN(HeadJournal!K$1),0)-VLOOKUP($A2842,HeadJournal!$A$1:$K$890,COLUMN(HeadJournal!J$1),0))*($K2842+$L2842)/(SUMIF($A:$A,$A2842,$K:$K)+SUMIF($A:$A,$A2842,$L:$L)),0)</f>
        <v>0</v>
      </c>
      <c r="O2842" s="30">
        <f>IFERROR((VLOOKUP($A2842,HeadJournal!$A$1:$L$890,COLUMN(HeadJournal!L$1),0)*($K2842+$L2842)/(SUMIF($A:$A,$A2842,$K:$K)+SUMIF($A:$A,$A2842,$L:$L)))/VLOOKUP($A2842,HeadJournal!$A$1:$L$890,COLUMN(HeadJournal!H$1),0),0)</f>
        <v>107.61844331641286</v>
      </c>
      <c r="P2842" s="30">
        <f>IFERROR(SUM(K2842:O2842)*VLOOKUP($A2842,HeadJournal!$A$1:$L$890,COLUMN(HeadJournal!H$1),0),0)</f>
        <v>1395.1184433164128</v>
      </c>
      <c r="Q2842" s="29">
        <v>2200</v>
      </c>
      <c r="R2842" s="31">
        <v>45339</v>
      </c>
      <c r="S2842" s="31" t="s">
        <v>3121</v>
      </c>
      <c r="T2842" s="95" t="str">
        <f t="shared" si="228"/>
        <v>2024 02</v>
      </c>
      <c r="U2842" s="32">
        <f t="shared" si="225"/>
        <v>804.88155668358718</v>
      </c>
      <c r="V2842" s="22">
        <f t="shared" si="226"/>
        <v>0.5769270419579996</v>
      </c>
      <c r="X2842" s="33"/>
      <c r="Y2842" s="33"/>
    </row>
    <row r="2843" spans="1:25" x14ac:dyDescent="0.2">
      <c r="A2843" s="93" t="s">
        <v>1273</v>
      </c>
      <c r="B2843" s="94" t="str">
        <f>IFERROR(VLOOKUP($A2843,HeadJournal!$A$1:$NTR$890,COLUMN(HeadJournal!B$1),0),"")</f>
        <v>1495030348</v>
      </c>
      <c r="C2843" s="94" t="str">
        <f>IFERROR(VLOOKUP($A2843,HeadJournal!$A$1:$NTR$890,COLUMN(HeadJournal!C$1),0),"")</f>
        <v>essens_AV</v>
      </c>
      <c r="D2843" s="125" t="str">
        <f>IFERROR(VLOOKUP($A2843,HeadJournal!$A$1:$NTR$890,COLUMN(HeadJournal!D$1),0),"")</f>
        <v>Доставлен</v>
      </c>
      <c r="E2843" s="95">
        <f>IFERROR(VLOOKUP($A2843,HeadJournal!$A$1:$NTR$890,COLUMN(HeadJournal!G$1),0),"")</f>
        <v>45315</v>
      </c>
      <c r="F2843" s="95" t="str">
        <f t="shared" si="227"/>
        <v>2024 01</v>
      </c>
      <c r="G2843" s="96" t="s">
        <v>8</v>
      </c>
      <c r="H2843" s="161" t="s">
        <v>2262</v>
      </c>
      <c r="I2843" s="97" t="s">
        <v>2243</v>
      </c>
      <c r="J2843" s="97" t="s">
        <v>2270</v>
      </c>
      <c r="K2843" s="29">
        <v>1545</v>
      </c>
      <c r="L2843" s="29">
        <v>-257.5</v>
      </c>
      <c r="M2843" s="30">
        <f>IFERROR(VLOOKUP($A2843,HeadJournal!$A$1:$J$890,COLUMN(HeadJournal!I$1),0)*($K2843+$L2843)/(SUMIF($A:$A,$A2843,$K:$K)+SUMIF($A:$A,$A2843,$L:$L)),0)</f>
        <v>0</v>
      </c>
      <c r="N2843" s="30">
        <f>IFERROR((VLOOKUP($A2843,HeadJournal!$A$1:$K$890,COLUMN(HeadJournal!K$1),0)-VLOOKUP($A2843,HeadJournal!$A$1:$K$890,COLUMN(HeadJournal!J$1),0))*($K2843+$L2843)/(SUMIF($A:$A,$A2843,$K:$K)+SUMIF($A:$A,$A2843,$L:$L)),0)</f>
        <v>0</v>
      </c>
      <c r="O2843" s="30">
        <f>IFERROR((VLOOKUP($A2843,HeadJournal!$A$1:$L$890,COLUMN(HeadJournal!L$1),0)*($K2843+$L2843)/(SUMIF($A:$A,$A2843,$K:$K)+SUMIF($A:$A,$A2843,$L:$L)))/VLOOKUP($A2843,HeadJournal!$A$1:$L$890,COLUMN(HeadJournal!H$1),0),0)</f>
        <v>107.61844331641286</v>
      </c>
      <c r="P2843" s="30">
        <f>IFERROR(SUM(K2843:O2843)*VLOOKUP($A2843,HeadJournal!$A$1:$L$890,COLUMN(HeadJournal!H$1),0),0)</f>
        <v>1395.1184433164128</v>
      </c>
      <c r="Q2843" s="29">
        <v>2200</v>
      </c>
      <c r="R2843" s="31">
        <v>45334</v>
      </c>
      <c r="S2843" s="31" t="s">
        <v>3121</v>
      </c>
      <c r="T2843" s="95" t="str">
        <f t="shared" si="228"/>
        <v>2024 02</v>
      </c>
      <c r="U2843" s="32">
        <f t="shared" si="225"/>
        <v>804.88155668358718</v>
      </c>
      <c r="V2843" s="22">
        <f t="shared" si="226"/>
        <v>0.5769270419579996</v>
      </c>
      <c r="X2843" s="33"/>
      <c r="Y2843" s="33"/>
    </row>
    <row r="2844" spans="1:25" x14ac:dyDescent="0.2">
      <c r="A2844" s="93" t="s">
        <v>1273</v>
      </c>
      <c r="B2844" s="94" t="str">
        <f>IFERROR(VLOOKUP($A2844,HeadJournal!$A$1:$NTR$890,COLUMN(HeadJournal!B$1),0),"")</f>
        <v>1495030348</v>
      </c>
      <c r="C2844" s="94" t="str">
        <f>IFERROR(VLOOKUP($A2844,HeadJournal!$A$1:$NTR$890,COLUMN(HeadJournal!C$1),0),"")</f>
        <v>essens_AV</v>
      </c>
      <c r="D2844" s="125" t="str">
        <f>IFERROR(VLOOKUP($A2844,HeadJournal!$A$1:$NTR$890,COLUMN(HeadJournal!D$1),0),"")</f>
        <v>Доставлен</v>
      </c>
      <c r="E2844" s="95">
        <f>IFERROR(VLOOKUP($A2844,HeadJournal!$A$1:$NTR$890,COLUMN(HeadJournal!G$1),0),"")</f>
        <v>45315</v>
      </c>
      <c r="F2844" s="95" t="str">
        <f t="shared" si="227"/>
        <v>2024 01</v>
      </c>
      <c r="G2844" s="96" t="s">
        <v>8</v>
      </c>
      <c r="H2844" s="161" t="s">
        <v>5274</v>
      </c>
      <c r="I2844" s="97" t="s">
        <v>2243</v>
      </c>
      <c r="J2844" s="97" t="s">
        <v>5332</v>
      </c>
      <c r="K2844" s="29">
        <v>1545</v>
      </c>
      <c r="L2844" s="29">
        <v>-257.5</v>
      </c>
      <c r="M2844" s="30">
        <f>IFERROR(VLOOKUP($A2844,HeadJournal!$A$1:$J$890,COLUMN(HeadJournal!I$1),0)*($K2844+$L2844)/(SUMIF($A:$A,$A2844,$K:$K)+SUMIF($A:$A,$A2844,$L:$L)),0)</f>
        <v>0</v>
      </c>
      <c r="N2844" s="30">
        <f>IFERROR((VLOOKUP($A2844,HeadJournal!$A$1:$K$890,COLUMN(HeadJournal!K$1),0)-VLOOKUP($A2844,HeadJournal!$A$1:$K$890,COLUMN(HeadJournal!J$1),0))*($K2844+$L2844)/(SUMIF($A:$A,$A2844,$K:$K)+SUMIF($A:$A,$A2844,$L:$L)),0)</f>
        <v>0</v>
      </c>
      <c r="O2844" s="30">
        <f>IFERROR((VLOOKUP($A2844,HeadJournal!$A$1:$L$890,COLUMN(HeadJournal!L$1),0)*($K2844+$L2844)/(SUMIF($A:$A,$A2844,$K:$K)+SUMIF($A:$A,$A2844,$L:$L)))/VLOOKUP($A2844,HeadJournal!$A$1:$L$890,COLUMN(HeadJournal!H$1),0),0)</f>
        <v>107.61844331641286</v>
      </c>
      <c r="P2844" s="30">
        <f>IFERROR(SUM(K2844:O2844)*VLOOKUP($A2844,HeadJournal!$A$1:$L$890,COLUMN(HeadJournal!H$1),0),0)</f>
        <v>1395.1184433164128</v>
      </c>
      <c r="Q2844" s="29"/>
      <c r="R2844" s="31"/>
      <c r="S2844" s="31"/>
      <c r="T2844" s="95" t="str">
        <f t="shared" si="228"/>
        <v/>
      </c>
      <c r="U2844" s="32">
        <f t="shared" si="225"/>
        <v>-1395.1184433164128</v>
      </c>
      <c r="V2844" s="22" t="str">
        <f t="shared" si="226"/>
        <v/>
      </c>
      <c r="X2844" s="33"/>
      <c r="Y2844" s="33"/>
    </row>
    <row r="2845" spans="1:25" x14ac:dyDescent="0.2">
      <c r="A2845" s="93" t="s">
        <v>1273</v>
      </c>
      <c r="B2845" s="94" t="str">
        <f>IFERROR(VLOOKUP($A2845,HeadJournal!$A$1:$NTR$890,COLUMN(HeadJournal!B$1),0),"")</f>
        <v>1495030348</v>
      </c>
      <c r="C2845" s="94" t="str">
        <f>IFERROR(VLOOKUP($A2845,HeadJournal!$A$1:$NTR$890,COLUMN(HeadJournal!C$1),0),"")</f>
        <v>essens_AV</v>
      </c>
      <c r="D2845" s="125" t="str">
        <f>IFERROR(VLOOKUP($A2845,HeadJournal!$A$1:$NTR$890,COLUMN(HeadJournal!D$1),0),"")</f>
        <v>Доставлен</v>
      </c>
      <c r="E2845" s="95">
        <f>IFERROR(VLOOKUP($A2845,HeadJournal!$A$1:$NTR$890,COLUMN(HeadJournal!G$1),0),"")</f>
        <v>45315</v>
      </c>
      <c r="F2845" s="95" t="str">
        <f t="shared" si="227"/>
        <v>2024 01</v>
      </c>
      <c r="G2845" s="96" t="s">
        <v>8</v>
      </c>
      <c r="H2845" s="161" t="s">
        <v>5275</v>
      </c>
      <c r="I2845" s="97" t="s">
        <v>2243</v>
      </c>
      <c r="J2845" s="97" t="s">
        <v>5333</v>
      </c>
      <c r="K2845" s="29">
        <v>1545</v>
      </c>
      <c r="L2845" s="29">
        <v>-257.5</v>
      </c>
      <c r="M2845" s="30">
        <f>IFERROR(VLOOKUP($A2845,HeadJournal!$A$1:$J$890,COLUMN(HeadJournal!I$1),0)*($K2845+$L2845)/(SUMIF($A:$A,$A2845,$K:$K)+SUMIF($A:$A,$A2845,$L:$L)),0)</f>
        <v>0</v>
      </c>
      <c r="N2845" s="30">
        <f>IFERROR((VLOOKUP($A2845,HeadJournal!$A$1:$K$890,COLUMN(HeadJournal!K$1),0)-VLOOKUP($A2845,HeadJournal!$A$1:$K$890,COLUMN(HeadJournal!J$1),0))*($K2845+$L2845)/(SUMIF($A:$A,$A2845,$K:$K)+SUMIF($A:$A,$A2845,$L:$L)),0)</f>
        <v>0</v>
      </c>
      <c r="O2845" s="30">
        <f>IFERROR((VLOOKUP($A2845,HeadJournal!$A$1:$L$890,COLUMN(HeadJournal!L$1),0)*($K2845+$L2845)/(SUMIF($A:$A,$A2845,$K:$K)+SUMIF($A:$A,$A2845,$L:$L)))/VLOOKUP($A2845,HeadJournal!$A$1:$L$890,COLUMN(HeadJournal!H$1),0),0)</f>
        <v>107.61844331641286</v>
      </c>
      <c r="P2845" s="30">
        <f>IFERROR(SUM(K2845:O2845)*VLOOKUP($A2845,HeadJournal!$A$1:$L$890,COLUMN(HeadJournal!H$1),0),0)</f>
        <v>1395.1184433164128</v>
      </c>
      <c r="Q2845" s="29"/>
      <c r="R2845" s="31"/>
      <c r="S2845" s="31"/>
      <c r="T2845" s="95" t="str">
        <f t="shared" si="228"/>
        <v/>
      </c>
      <c r="U2845" s="32">
        <f t="shared" si="225"/>
        <v>-1395.1184433164128</v>
      </c>
      <c r="V2845" s="22" t="str">
        <f t="shared" si="226"/>
        <v/>
      </c>
      <c r="X2845" s="33"/>
      <c r="Y2845" s="33"/>
    </row>
    <row r="2846" spans="1:25" x14ac:dyDescent="0.2">
      <c r="A2846" s="93" t="s">
        <v>1273</v>
      </c>
      <c r="B2846" s="94" t="str">
        <f>IFERROR(VLOOKUP($A2846,HeadJournal!$A$1:$NTR$890,COLUMN(HeadJournal!B$1),0),"")</f>
        <v>1495030348</v>
      </c>
      <c r="C2846" s="94" t="str">
        <f>IFERROR(VLOOKUP($A2846,HeadJournal!$A$1:$NTR$890,COLUMN(HeadJournal!C$1),0),"")</f>
        <v>essens_AV</v>
      </c>
      <c r="D2846" s="125" t="str">
        <f>IFERROR(VLOOKUP($A2846,HeadJournal!$A$1:$NTR$890,COLUMN(HeadJournal!D$1),0),"")</f>
        <v>Доставлен</v>
      </c>
      <c r="E2846" s="95">
        <f>IFERROR(VLOOKUP($A2846,HeadJournal!$A$1:$NTR$890,COLUMN(HeadJournal!G$1),0),"")</f>
        <v>45315</v>
      </c>
      <c r="F2846" s="95" t="str">
        <f t="shared" si="227"/>
        <v>2024 01</v>
      </c>
      <c r="G2846" s="96" t="s">
        <v>8</v>
      </c>
      <c r="H2846" s="161" t="s">
        <v>2766</v>
      </c>
      <c r="I2846" s="97" t="s">
        <v>2243</v>
      </c>
      <c r="J2846" s="97" t="s">
        <v>3958</v>
      </c>
      <c r="K2846" s="29">
        <v>1545</v>
      </c>
      <c r="L2846" s="29">
        <v>-257.5</v>
      </c>
      <c r="M2846" s="30">
        <f>IFERROR(VLOOKUP($A2846,HeadJournal!$A$1:$J$890,COLUMN(HeadJournal!I$1),0)*($K2846+$L2846)/(SUMIF($A:$A,$A2846,$K:$K)+SUMIF($A:$A,$A2846,$L:$L)),0)</f>
        <v>0</v>
      </c>
      <c r="N2846" s="30">
        <f>IFERROR((VLOOKUP($A2846,HeadJournal!$A$1:$K$890,COLUMN(HeadJournal!K$1),0)-VLOOKUP($A2846,HeadJournal!$A$1:$K$890,COLUMN(HeadJournal!J$1),0))*($K2846+$L2846)/(SUMIF($A:$A,$A2846,$K:$K)+SUMIF($A:$A,$A2846,$L:$L)),0)</f>
        <v>0</v>
      </c>
      <c r="O2846" s="30">
        <f>IFERROR((VLOOKUP($A2846,HeadJournal!$A$1:$L$890,COLUMN(HeadJournal!L$1),0)*($K2846+$L2846)/(SUMIF($A:$A,$A2846,$K:$K)+SUMIF($A:$A,$A2846,$L:$L)))/VLOOKUP($A2846,HeadJournal!$A$1:$L$890,COLUMN(HeadJournal!H$1),0),0)</f>
        <v>107.61844331641286</v>
      </c>
      <c r="P2846" s="30">
        <f>IFERROR(SUM(K2846:O2846)*VLOOKUP($A2846,HeadJournal!$A$1:$L$890,COLUMN(HeadJournal!H$1),0),0)</f>
        <v>1395.1184433164128</v>
      </c>
      <c r="Q2846" s="29">
        <v>2200</v>
      </c>
      <c r="R2846" s="31">
        <v>45340</v>
      </c>
      <c r="S2846" s="31" t="s">
        <v>3121</v>
      </c>
      <c r="T2846" s="95" t="str">
        <f t="shared" si="228"/>
        <v>2024 02</v>
      </c>
      <c r="U2846" s="32">
        <f t="shared" si="225"/>
        <v>804.88155668358718</v>
      </c>
      <c r="V2846" s="22">
        <f t="shared" si="226"/>
        <v>0.5769270419579996</v>
      </c>
      <c r="X2846" s="33"/>
      <c r="Y2846" s="33"/>
    </row>
    <row r="2847" spans="1:25" x14ac:dyDescent="0.2">
      <c r="A2847" s="93" t="s">
        <v>1273</v>
      </c>
      <c r="B2847" s="94" t="str">
        <f>IFERROR(VLOOKUP($A2847,HeadJournal!$A$1:$NTR$890,COLUMN(HeadJournal!B$1),0),"")</f>
        <v>1495030348</v>
      </c>
      <c r="C2847" s="94" t="str">
        <f>IFERROR(VLOOKUP($A2847,HeadJournal!$A$1:$NTR$890,COLUMN(HeadJournal!C$1),0),"")</f>
        <v>essens_AV</v>
      </c>
      <c r="D2847" s="125" t="str">
        <f>IFERROR(VLOOKUP($A2847,HeadJournal!$A$1:$NTR$890,COLUMN(HeadJournal!D$1),0),"")</f>
        <v>Доставлен</v>
      </c>
      <c r="E2847" s="95">
        <f>IFERROR(VLOOKUP($A2847,HeadJournal!$A$1:$NTR$890,COLUMN(HeadJournal!G$1),0),"")</f>
        <v>45315</v>
      </c>
      <c r="F2847" s="95" t="str">
        <f t="shared" si="227"/>
        <v>2024 01</v>
      </c>
      <c r="G2847" s="96" t="s">
        <v>8</v>
      </c>
      <c r="H2847" s="161" t="s">
        <v>5262</v>
      </c>
      <c r="I2847" s="97" t="s">
        <v>2243</v>
      </c>
      <c r="J2847" s="97" t="s">
        <v>5320</v>
      </c>
      <c r="K2847" s="29">
        <v>1545</v>
      </c>
      <c r="L2847" s="29">
        <v>-257.5</v>
      </c>
      <c r="M2847" s="30">
        <f>IFERROR(VLOOKUP($A2847,HeadJournal!$A$1:$J$890,COLUMN(HeadJournal!I$1),0)*($K2847+$L2847)/(SUMIF($A:$A,$A2847,$K:$K)+SUMIF($A:$A,$A2847,$L:$L)),0)</f>
        <v>0</v>
      </c>
      <c r="N2847" s="30">
        <f>IFERROR((VLOOKUP($A2847,HeadJournal!$A$1:$K$890,COLUMN(HeadJournal!K$1),0)-VLOOKUP($A2847,HeadJournal!$A$1:$K$890,COLUMN(HeadJournal!J$1),0))*($K2847+$L2847)/(SUMIF($A:$A,$A2847,$K:$K)+SUMIF($A:$A,$A2847,$L:$L)),0)</f>
        <v>0</v>
      </c>
      <c r="O2847" s="30">
        <f>IFERROR((VLOOKUP($A2847,HeadJournal!$A$1:$L$890,COLUMN(HeadJournal!L$1),0)*($K2847+$L2847)/(SUMIF($A:$A,$A2847,$K:$K)+SUMIF($A:$A,$A2847,$L:$L)))/VLOOKUP($A2847,HeadJournal!$A$1:$L$890,COLUMN(HeadJournal!H$1),0),0)</f>
        <v>107.61844331641286</v>
      </c>
      <c r="P2847" s="30">
        <f>IFERROR(SUM(K2847:O2847)*VLOOKUP($A2847,HeadJournal!$A$1:$L$890,COLUMN(HeadJournal!H$1),0),0)</f>
        <v>1395.1184433164128</v>
      </c>
      <c r="Q2847" s="29"/>
      <c r="R2847" s="31"/>
      <c r="S2847" s="31"/>
      <c r="T2847" s="95" t="str">
        <f t="shared" si="228"/>
        <v/>
      </c>
      <c r="U2847" s="32">
        <f t="shared" si="225"/>
        <v>-1395.1184433164128</v>
      </c>
      <c r="V2847" s="22" t="str">
        <f t="shared" si="226"/>
        <v/>
      </c>
      <c r="X2847" s="33"/>
      <c r="Y2847" s="33"/>
    </row>
    <row r="2848" spans="1:25" x14ac:dyDescent="0.2">
      <c r="A2848" s="93" t="s">
        <v>1273</v>
      </c>
      <c r="B2848" s="94" t="str">
        <f>IFERROR(VLOOKUP($A2848,HeadJournal!$A$1:$NTR$890,COLUMN(HeadJournal!B$1),0),"")</f>
        <v>1495030348</v>
      </c>
      <c r="C2848" s="94" t="str">
        <f>IFERROR(VLOOKUP($A2848,HeadJournal!$A$1:$NTR$890,COLUMN(HeadJournal!C$1),0),"")</f>
        <v>essens_AV</v>
      </c>
      <c r="D2848" s="125" t="str">
        <f>IFERROR(VLOOKUP($A2848,HeadJournal!$A$1:$NTR$890,COLUMN(HeadJournal!D$1),0),"")</f>
        <v>Доставлен</v>
      </c>
      <c r="E2848" s="95">
        <f>IFERROR(VLOOKUP($A2848,HeadJournal!$A$1:$NTR$890,COLUMN(HeadJournal!G$1),0),"")</f>
        <v>45315</v>
      </c>
      <c r="F2848" s="95" t="str">
        <f t="shared" si="227"/>
        <v>2024 01</v>
      </c>
      <c r="G2848" s="96" t="s">
        <v>8</v>
      </c>
      <c r="H2848" s="161" t="s">
        <v>3956</v>
      </c>
      <c r="I2848" s="97" t="s">
        <v>2243</v>
      </c>
      <c r="J2848" s="97" t="s">
        <v>3960</v>
      </c>
      <c r="K2848" s="29">
        <v>1230</v>
      </c>
      <c r="L2848" s="29"/>
      <c r="M2848" s="30">
        <f>IFERROR(VLOOKUP($A2848,HeadJournal!$A$1:$J$890,COLUMN(HeadJournal!I$1),0)*($K2848+$L2848)/(SUMIF($A:$A,$A2848,$K:$K)+SUMIF($A:$A,$A2848,$L:$L)),0)</f>
        <v>0</v>
      </c>
      <c r="N2848" s="30">
        <f>IFERROR((VLOOKUP($A2848,HeadJournal!$A$1:$K$890,COLUMN(HeadJournal!K$1),0)-VLOOKUP($A2848,HeadJournal!$A$1:$K$890,COLUMN(HeadJournal!J$1),0))*($K2848+$L2848)/(SUMIF($A:$A,$A2848,$K:$K)+SUMIF($A:$A,$A2848,$L:$L)),0)</f>
        <v>0</v>
      </c>
      <c r="O2848" s="30">
        <f>IFERROR((VLOOKUP($A2848,HeadJournal!$A$1:$L$890,COLUMN(HeadJournal!L$1),0)*($K2848+$L2848)/(SUMIF($A:$A,$A2848,$K:$K)+SUMIF($A:$A,$A2848,$L:$L)))/VLOOKUP($A2848,HeadJournal!$A$1:$L$890,COLUMN(HeadJournal!H$1),0),0)</f>
        <v>102.81218274111676</v>
      </c>
      <c r="P2848" s="30">
        <f>IFERROR(SUM(K2848:O2848)*VLOOKUP($A2848,HeadJournal!$A$1:$L$890,COLUMN(HeadJournal!H$1),0),0)</f>
        <v>1332.8121827411167</v>
      </c>
      <c r="Q2848" s="29">
        <v>2100</v>
      </c>
      <c r="R2848" s="31">
        <v>45336</v>
      </c>
      <c r="S2848" s="31" t="s">
        <v>3121</v>
      </c>
      <c r="T2848" s="95" t="str">
        <f t="shared" si="228"/>
        <v>2024 02</v>
      </c>
      <c r="U2848" s="32">
        <f t="shared" si="225"/>
        <v>767.18781725888334</v>
      </c>
      <c r="V2848" s="22">
        <f t="shared" si="226"/>
        <v>0.57561584984994141</v>
      </c>
      <c r="X2848" s="33"/>
      <c r="Y2848" s="33"/>
    </row>
    <row r="2849" spans="1:25" x14ac:dyDescent="0.2">
      <c r="A2849" s="93" t="s">
        <v>1273</v>
      </c>
      <c r="B2849" s="94" t="str">
        <f>IFERROR(VLOOKUP($A2849,HeadJournal!$A$1:$NTR$890,COLUMN(HeadJournal!B$1),0),"")</f>
        <v>1495030348</v>
      </c>
      <c r="C2849" s="94" t="str">
        <f>IFERROR(VLOOKUP($A2849,HeadJournal!$A$1:$NTR$890,COLUMN(HeadJournal!C$1),0),"")</f>
        <v>essens_AV</v>
      </c>
      <c r="D2849" s="125" t="str">
        <f>IFERROR(VLOOKUP($A2849,HeadJournal!$A$1:$NTR$890,COLUMN(HeadJournal!D$1),0),"")</f>
        <v>Доставлен</v>
      </c>
      <c r="E2849" s="95">
        <f>IFERROR(VLOOKUP($A2849,HeadJournal!$A$1:$NTR$890,COLUMN(HeadJournal!G$1),0),"")</f>
        <v>45315</v>
      </c>
      <c r="F2849" s="95" t="str">
        <f t="shared" si="227"/>
        <v>2024 01</v>
      </c>
      <c r="G2849" s="96" t="s">
        <v>8</v>
      </c>
      <c r="H2849" s="161" t="s">
        <v>5276</v>
      </c>
      <c r="I2849" s="97" t="s">
        <v>2243</v>
      </c>
      <c r="J2849" s="97" t="s">
        <v>5334</v>
      </c>
      <c r="K2849" s="29">
        <v>1755</v>
      </c>
      <c r="L2849" s="29">
        <v>-292.5</v>
      </c>
      <c r="M2849" s="30">
        <f>IFERROR(VLOOKUP($A2849,HeadJournal!$A$1:$J$890,COLUMN(HeadJournal!I$1),0)*($K2849+$L2849)/(SUMIF($A:$A,$A2849,$K:$K)+SUMIF($A:$A,$A2849,$L:$L)),0)</f>
        <v>0</v>
      </c>
      <c r="N2849" s="30">
        <f>IFERROR((VLOOKUP($A2849,HeadJournal!$A$1:$K$890,COLUMN(HeadJournal!K$1),0)-VLOOKUP($A2849,HeadJournal!$A$1:$K$890,COLUMN(HeadJournal!J$1),0))*($K2849+$L2849)/(SUMIF($A:$A,$A2849,$K:$K)+SUMIF($A:$A,$A2849,$L:$L)),0)</f>
        <v>0</v>
      </c>
      <c r="O2849" s="30">
        <f>IFERROR((VLOOKUP($A2849,HeadJournal!$A$1:$L$890,COLUMN(HeadJournal!L$1),0)*($K2849+$L2849)/(SUMIF($A:$A,$A2849,$K:$K)+SUMIF($A:$A,$A2849,$L:$L)))/VLOOKUP($A2849,HeadJournal!$A$1:$L$890,COLUMN(HeadJournal!H$1),0),0)</f>
        <v>122.24619289340102</v>
      </c>
      <c r="P2849" s="30">
        <f>IFERROR(SUM(K2849:O2849)*VLOOKUP($A2849,HeadJournal!$A$1:$L$890,COLUMN(HeadJournal!H$1),0),0)</f>
        <v>1584.746192893401</v>
      </c>
      <c r="Q2849" s="29">
        <v>2500</v>
      </c>
      <c r="R2849" s="31">
        <v>45339</v>
      </c>
      <c r="S2849" s="31" t="s">
        <v>3121</v>
      </c>
      <c r="T2849" s="95" t="str">
        <f t="shared" si="228"/>
        <v>2024 02</v>
      </c>
      <c r="U2849" s="32">
        <f t="shared" si="225"/>
        <v>915.25380710659897</v>
      </c>
      <c r="V2849" s="22">
        <f t="shared" si="226"/>
        <v>0.57753967872643697</v>
      </c>
      <c r="X2849" s="33"/>
      <c r="Y2849" s="33"/>
    </row>
    <row r="2850" spans="1:25" x14ac:dyDescent="0.2">
      <c r="A2850" s="93" t="s">
        <v>1273</v>
      </c>
      <c r="B2850" s="94" t="str">
        <f>IFERROR(VLOOKUP($A2850,HeadJournal!$A$1:$NTR$890,COLUMN(HeadJournal!B$1),0),"")</f>
        <v>1495030348</v>
      </c>
      <c r="C2850" s="94" t="str">
        <f>IFERROR(VLOOKUP($A2850,HeadJournal!$A$1:$NTR$890,COLUMN(HeadJournal!C$1),0),"")</f>
        <v>essens_AV</v>
      </c>
      <c r="D2850" s="125" t="str">
        <f>IFERROR(VLOOKUP($A2850,HeadJournal!$A$1:$NTR$890,COLUMN(HeadJournal!D$1),0),"")</f>
        <v>Доставлен</v>
      </c>
      <c r="E2850" s="95">
        <f>IFERROR(VLOOKUP($A2850,HeadJournal!$A$1:$NTR$890,COLUMN(HeadJournal!G$1),0),"")</f>
        <v>45315</v>
      </c>
      <c r="F2850" s="95" t="str">
        <f t="shared" si="227"/>
        <v>2024 01</v>
      </c>
      <c r="G2850" s="96" t="s">
        <v>8</v>
      </c>
      <c r="H2850" s="161" t="s">
        <v>5277</v>
      </c>
      <c r="I2850" s="97" t="s">
        <v>2243</v>
      </c>
      <c r="J2850" s="97" t="s">
        <v>5335</v>
      </c>
      <c r="K2850" s="29">
        <v>1755</v>
      </c>
      <c r="L2850" s="29">
        <v>-292.5</v>
      </c>
      <c r="M2850" s="30">
        <f>IFERROR(VLOOKUP($A2850,HeadJournal!$A$1:$J$890,COLUMN(HeadJournal!I$1),0)*($K2850+$L2850)/(SUMIF($A:$A,$A2850,$K:$K)+SUMIF($A:$A,$A2850,$L:$L)),0)</f>
        <v>0</v>
      </c>
      <c r="N2850" s="30">
        <f>IFERROR((VLOOKUP($A2850,HeadJournal!$A$1:$K$890,COLUMN(HeadJournal!K$1),0)-VLOOKUP($A2850,HeadJournal!$A$1:$K$890,COLUMN(HeadJournal!J$1),0))*($K2850+$L2850)/(SUMIF($A:$A,$A2850,$K:$K)+SUMIF($A:$A,$A2850,$L:$L)),0)</f>
        <v>0</v>
      </c>
      <c r="O2850" s="30">
        <f>IFERROR((VLOOKUP($A2850,HeadJournal!$A$1:$L$890,COLUMN(HeadJournal!L$1),0)*($K2850+$L2850)/(SUMIF($A:$A,$A2850,$K:$K)+SUMIF($A:$A,$A2850,$L:$L)))/VLOOKUP($A2850,HeadJournal!$A$1:$L$890,COLUMN(HeadJournal!H$1),0),0)</f>
        <v>122.24619289340102</v>
      </c>
      <c r="P2850" s="30">
        <f>IFERROR(SUM(K2850:O2850)*VLOOKUP($A2850,HeadJournal!$A$1:$L$890,COLUMN(HeadJournal!H$1),0),0)</f>
        <v>1584.746192893401</v>
      </c>
      <c r="Q2850" s="29">
        <v>2500</v>
      </c>
      <c r="R2850" s="31">
        <v>45336</v>
      </c>
      <c r="S2850" s="31" t="s">
        <v>3121</v>
      </c>
      <c r="T2850" s="95" t="str">
        <f t="shared" si="228"/>
        <v>2024 02</v>
      </c>
      <c r="U2850" s="32">
        <f t="shared" si="225"/>
        <v>915.25380710659897</v>
      </c>
      <c r="V2850" s="22">
        <f t="shared" si="226"/>
        <v>0.57753967872643697</v>
      </c>
      <c r="X2850" s="33"/>
      <c r="Y2850" s="33"/>
    </row>
    <row r="2851" spans="1:25" x14ac:dyDescent="0.2">
      <c r="A2851" s="93" t="s">
        <v>1273</v>
      </c>
      <c r="B2851" s="94" t="str">
        <f>IFERROR(VLOOKUP($A2851,HeadJournal!$A$1:$NTR$890,COLUMN(HeadJournal!B$1),0),"")</f>
        <v>1495030348</v>
      </c>
      <c r="C2851" s="94" t="str">
        <f>IFERROR(VLOOKUP($A2851,HeadJournal!$A$1:$NTR$890,COLUMN(HeadJournal!C$1),0),"")</f>
        <v>essens_AV</v>
      </c>
      <c r="D2851" s="125" t="str">
        <f>IFERROR(VLOOKUP($A2851,HeadJournal!$A$1:$NTR$890,COLUMN(HeadJournal!D$1),0),"")</f>
        <v>Доставлен</v>
      </c>
      <c r="E2851" s="95">
        <f>IFERROR(VLOOKUP($A2851,HeadJournal!$A$1:$NTR$890,COLUMN(HeadJournal!G$1),0),"")</f>
        <v>45315</v>
      </c>
      <c r="F2851" s="95" t="str">
        <f t="shared" si="227"/>
        <v>2024 01</v>
      </c>
      <c r="G2851" s="96" t="s">
        <v>8</v>
      </c>
      <c r="H2851" s="161" t="s">
        <v>5278</v>
      </c>
      <c r="I2851" s="97" t="s">
        <v>2243</v>
      </c>
      <c r="J2851" s="97" t="s">
        <v>2513</v>
      </c>
      <c r="K2851" s="29">
        <v>1755</v>
      </c>
      <c r="L2851" s="29">
        <v>-292.5</v>
      </c>
      <c r="M2851" s="30">
        <f>IFERROR(VLOOKUP($A2851,HeadJournal!$A$1:$J$890,COLUMN(HeadJournal!I$1),0)*($K2851+$L2851)/(SUMIF($A:$A,$A2851,$K:$K)+SUMIF($A:$A,$A2851,$L:$L)),0)</f>
        <v>0</v>
      </c>
      <c r="N2851" s="30">
        <f>IFERROR((VLOOKUP($A2851,HeadJournal!$A$1:$K$890,COLUMN(HeadJournal!K$1),0)-VLOOKUP($A2851,HeadJournal!$A$1:$K$890,COLUMN(HeadJournal!J$1),0))*($K2851+$L2851)/(SUMIF($A:$A,$A2851,$K:$K)+SUMIF($A:$A,$A2851,$L:$L)),0)</f>
        <v>0</v>
      </c>
      <c r="O2851" s="30">
        <f>IFERROR((VLOOKUP($A2851,HeadJournal!$A$1:$L$890,COLUMN(HeadJournal!L$1),0)*($K2851+$L2851)/(SUMIF($A:$A,$A2851,$K:$K)+SUMIF($A:$A,$A2851,$L:$L)))/VLOOKUP($A2851,HeadJournal!$A$1:$L$890,COLUMN(HeadJournal!H$1),0),0)</f>
        <v>122.24619289340102</v>
      </c>
      <c r="P2851" s="30">
        <f>IFERROR(SUM(K2851:O2851)*VLOOKUP($A2851,HeadJournal!$A$1:$L$890,COLUMN(HeadJournal!H$1),0),0)</f>
        <v>1584.746192893401</v>
      </c>
      <c r="Q2851" s="29">
        <v>2550</v>
      </c>
      <c r="R2851" s="31">
        <v>45330</v>
      </c>
      <c r="S2851" s="31" t="s">
        <v>3121</v>
      </c>
      <c r="T2851" s="95" t="str">
        <f t="shared" si="228"/>
        <v>2024 02</v>
      </c>
      <c r="U2851" s="32">
        <f t="shared" si="225"/>
        <v>965.25380710659897</v>
      </c>
      <c r="V2851" s="22">
        <f t="shared" si="226"/>
        <v>0.60909047230096569</v>
      </c>
      <c r="X2851" s="33"/>
      <c r="Y2851" s="33"/>
    </row>
    <row r="2852" spans="1:25" x14ac:dyDescent="0.2">
      <c r="A2852" s="93" t="s">
        <v>1273</v>
      </c>
      <c r="B2852" s="94" t="str">
        <f>IFERROR(VLOOKUP($A2852,HeadJournal!$A$1:$NTR$890,COLUMN(HeadJournal!B$1),0),"")</f>
        <v>1495030348</v>
      </c>
      <c r="C2852" s="94" t="str">
        <f>IFERROR(VLOOKUP($A2852,HeadJournal!$A$1:$NTR$890,COLUMN(HeadJournal!C$1),0),"")</f>
        <v>essens_AV</v>
      </c>
      <c r="D2852" s="125" t="str">
        <f>IFERROR(VLOOKUP($A2852,HeadJournal!$A$1:$NTR$890,COLUMN(HeadJournal!D$1),0),"")</f>
        <v>Доставлен</v>
      </c>
      <c r="E2852" s="95">
        <f>IFERROR(VLOOKUP($A2852,HeadJournal!$A$1:$NTR$890,COLUMN(HeadJournal!G$1),0),"")</f>
        <v>45315</v>
      </c>
      <c r="F2852" s="95" t="str">
        <f t="shared" si="227"/>
        <v>2024 01</v>
      </c>
      <c r="G2852" s="96" t="s">
        <v>8</v>
      </c>
      <c r="H2852" s="161" t="s">
        <v>5279</v>
      </c>
      <c r="I2852" s="97" t="s">
        <v>2243</v>
      </c>
      <c r="J2852" s="97" t="s">
        <v>5336</v>
      </c>
      <c r="K2852" s="29">
        <v>1755</v>
      </c>
      <c r="L2852" s="29">
        <v>-292.5</v>
      </c>
      <c r="M2852" s="30">
        <f>IFERROR(VLOOKUP($A2852,HeadJournal!$A$1:$J$890,COLUMN(HeadJournal!I$1),0)*($K2852+$L2852)/(SUMIF($A:$A,$A2852,$K:$K)+SUMIF($A:$A,$A2852,$L:$L)),0)</f>
        <v>0</v>
      </c>
      <c r="N2852" s="30">
        <f>IFERROR((VLOOKUP($A2852,HeadJournal!$A$1:$K$890,COLUMN(HeadJournal!K$1),0)-VLOOKUP($A2852,HeadJournal!$A$1:$K$890,COLUMN(HeadJournal!J$1),0))*($K2852+$L2852)/(SUMIF($A:$A,$A2852,$K:$K)+SUMIF($A:$A,$A2852,$L:$L)),0)</f>
        <v>0</v>
      </c>
      <c r="O2852" s="30">
        <f>IFERROR((VLOOKUP($A2852,HeadJournal!$A$1:$L$890,COLUMN(HeadJournal!L$1),0)*($K2852+$L2852)/(SUMIF($A:$A,$A2852,$K:$K)+SUMIF($A:$A,$A2852,$L:$L)))/VLOOKUP($A2852,HeadJournal!$A$1:$L$890,COLUMN(HeadJournal!H$1),0),0)</f>
        <v>122.24619289340102</v>
      </c>
      <c r="P2852" s="30">
        <f>IFERROR(SUM(K2852:O2852)*VLOOKUP($A2852,HeadJournal!$A$1:$L$890,COLUMN(HeadJournal!H$1),0),0)</f>
        <v>1584.746192893401</v>
      </c>
      <c r="Q2852" s="29"/>
      <c r="R2852" s="31"/>
      <c r="S2852" s="31"/>
      <c r="T2852" s="95" t="str">
        <f t="shared" si="228"/>
        <v/>
      </c>
      <c r="U2852" s="32">
        <f t="shared" si="225"/>
        <v>-1584.746192893401</v>
      </c>
      <c r="V2852" s="22" t="str">
        <f t="shared" si="226"/>
        <v/>
      </c>
      <c r="X2852" s="33"/>
      <c r="Y2852" s="33"/>
    </row>
    <row r="2853" spans="1:25" x14ac:dyDescent="0.2">
      <c r="A2853" s="93" t="s">
        <v>1273</v>
      </c>
      <c r="B2853" s="94" t="str">
        <f>IFERROR(VLOOKUP($A2853,HeadJournal!$A$1:$NTR$890,COLUMN(HeadJournal!B$1),0),"")</f>
        <v>1495030348</v>
      </c>
      <c r="C2853" s="94" t="str">
        <f>IFERROR(VLOOKUP($A2853,HeadJournal!$A$1:$NTR$890,COLUMN(HeadJournal!C$1),0),"")</f>
        <v>essens_AV</v>
      </c>
      <c r="D2853" s="125" t="str">
        <f>IFERROR(VLOOKUP($A2853,HeadJournal!$A$1:$NTR$890,COLUMN(HeadJournal!D$1),0),"")</f>
        <v>Доставлен</v>
      </c>
      <c r="E2853" s="95">
        <f>IFERROR(VLOOKUP($A2853,HeadJournal!$A$1:$NTR$890,COLUMN(HeadJournal!G$1),0),"")</f>
        <v>45315</v>
      </c>
      <c r="F2853" s="95" t="str">
        <f t="shared" si="227"/>
        <v>2024 01</v>
      </c>
      <c r="G2853" s="96" t="s">
        <v>8</v>
      </c>
      <c r="H2853" s="161" t="s">
        <v>5280</v>
      </c>
      <c r="I2853" s="97" t="s">
        <v>2243</v>
      </c>
      <c r="J2853" s="97" t="s">
        <v>5309</v>
      </c>
      <c r="K2853" s="29">
        <v>1755</v>
      </c>
      <c r="L2853" s="29">
        <v>-292.5</v>
      </c>
      <c r="M2853" s="30">
        <f>IFERROR(VLOOKUP($A2853,HeadJournal!$A$1:$J$890,COLUMN(HeadJournal!I$1),0)*($K2853+$L2853)/(SUMIF($A:$A,$A2853,$K:$K)+SUMIF($A:$A,$A2853,$L:$L)),0)</f>
        <v>0</v>
      </c>
      <c r="N2853" s="30">
        <f>IFERROR((VLOOKUP($A2853,HeadJournal!$A$1:$K$890,COLUMN(HeadJournal!K$1),0)-VLOOKUP($A2853,HeadJournal!$A$1:$K$890,COLUMN(HeadJournal!J$1),0))*($K2853+$L2853)/(SUMIF($A:$A,$A2853,$K:$K)+SUMIF($A:$A,$A2853,$L:$L)),0)</f>
        <v>0</v>
      </c>
      <c r="O2853" s="30">
        <f>IFERROR((VLOOKUP($A2853,HeadJournal!$A$1:$L$890,COLUMN(HeadJournal!L$1),0)*($K2853+$L2853)/(SUMIF($A:$A,$A2853,$K:$K)+SUMIF($A:$A,$A2853,$L:$L)))/VLOOKUP($A2853,HeadJournal!$A$1:$L$890,COLUMN(HeadJournal!H$1),0),0)</f>
        <v>122.24619289340102</v>
      </c>
      <c r="P2853" s="30">
        <f>IFERROR(SUM(K2853:O2853)*VLOOKUP($A2853,HeadJournal!$A$1:$L$890,COLUMN(HeadJournal!H$1),0),0)</f>
        <v>1584.746192893401</v>
      </c>
      <c r="Q2853" s="29"/>
      <c r="R2853" s="31"/>
      <c r="S2853" s="31"/>
      <c r="T2853" s="95" t="str">
        <f t="shared" si="228"/>
        <v/>
      </c>
      <c r="U2853" s="32">
        <f t="shared" si="225"/>
        <v>-1584.746192893401</v>
      </c>
      <c r="V2853" s="22" t="str">
        <f t="shared" si="226"/>
        <v/>
      </c>
      <c r="X2853" s="33"/>
      <c r="Y2853" s="33"/>
    </row>
    <row r="2854" spans="1:25" x14ac:dyDescent="0.2">
      <c r="A2854" s="93" t="s">
        <v>1273</v>
      </c>
      <c r="B2854" s="94" t="str">
        <f>IFERROR(VLOOKUP($A2854,HeadJournal!$A$1:$NTR$890,COLUMN(HeadJournal!B$1),0),"")</f>
        <v>1495030348</v>
      </c>
      <c r="C2854" s="94" t="str">
        <f>IFERROR(VLOOKUP($A2854,HeadJournal!$A$1:$NTR$890,COLUMN(HeadJournal!C$1),0),"")</f>
        <v>essens_AV</v>
      </c>
      <c r="D2854" s="125" t="str">
        <f>IFERROR(VLOOKUP($A2854,HeadJournal!$A$1:$NTR$890,COLUMN(HeadJournal!D$1),0),"")</f>
        <v>Доставлен</v>
      </c>
      <c r="E2854" s="95">
        <f>IFERROR(VLOOKUP($A2854,HeadJournal!$A$1:$NTR$890,COLUMN(HeadJournal!G$1),0),"")</f>
        <v>45315</v>
      </c>
      <c r="F2854" s="95" t="str">
        <f t="shared" si="227"/>
        <v>2024 01</v>
      </c>
      <c r="G2854" s="96" t="s">
        <v>8</v>
      </c>
      <c r="H2854" s="161" t="s">
        <v>5281</v>
      </c>
      <c r="I2854" s="97" t="s">
        <v>2243</v>
      </c>
      <c r="J2854" s="97" t="s">
        <v>5310</v>
      </c>
      <c r="K2854" s="29">
        <v>1755</v>
      </c>
      <c r="L2854" s="29">
        <v>-292.5</v>
      </c>
      <c r="M2854" s="30">
        <f>IFERROR(VLOOKUP($A2854,HeadJournal!$A$1:$J$890,COLUMN(HeadJournal!I$1),0)*($K2854+$L2854)/(SUMIF($A:$A,$A2854,$K:$K)+SUMIF($A:$A,$A2854,$L:$L)),0)</f>
        <v>0</v>
      </c>
      <c r="N2854" s="30">
        <f>IFERROR((VLOOKUP($A2854,HeadJournal!$A$1:$K$890,COLUMN(HeadJournal!K$1),0)-VLOOKUP($A2854,HeadJournal!$A$1:$K$890,COLUMN(HeadJournal!J$1),0))*($K2854+$L2854)/(SUMIF($A:$A,$A2854,$K:$K)+SUMIF($A:$A,$A2854,$L:$L)),0)</f>
        <v>0</v>
      </c>
      <c r="O2854" s="30">
        <f>IFERROR((VLOOKUP($A2854,HeadJournal!$A$1:$L$890,COLUMN(HeadJournal!L$1),0)*($K2854+$L2854)/(SUMIF($A:$A,$A2854,$K:$K)+SUMIF($A:$A,$A2854,$L:$L)))/VLOOKUP($A2854,HeadJournal!$A$1:$L$890,COLUMN(HeadJournal!H$1),0),0)</f>
        <v>122.24619289340102</v>
      </c>
      <c r="P2854" s="30">
        <f>IFERROR(SUM(K2854:O2854)*VLOOKUP($A2854,HeadJournal!$A$1:$L$890,COLUMN(HeadJournal!H$1),0),0)</f>
        <v>1584.746192893401</v>
      </c>
      <c r="Q2854" s="29">
        <v>2500</v>
      </c>
      <c r="R2854" s="31">
        <v>45588</v>
      </c>
      <c r="S2854" s="31" t="s">
        <v>3121</v>
      </c>
      <c r="T2854" s="95" t="str">
        <f t="shared" si="228"/>
        <v>2024 10</v>
      </c>
      <c r="U2854" s="32">
        <f t="shared" si="225"/>
        <v>915.25380710659897</v>
      </c>
      <c r="V2854" s="22">
        <f t="shared" si="226"/>
        <v>0.57753967872643697</v>
      </c>
      <c r="X2854" s="33"/>
      <c r="Y2854" s="33"/>
    </row>
    <row r="2855" spans="1:25" x14ac:dyDescent="0.2">
      <c r="A2855" s="93" t="s">
        <v>1282</v>
      </c>
      <c r="B2855" s="94" t="str">
        <f>IFERROR(VLOOKUP($A2855,HeadJournal!$A$1:$NTR$890,COLUMN(HeadJournal!B$1),0),"")</f>
        <v>720000099498</v>
      </c>
      <c r="C2855" s="119" t="str">
        <f>IFERROR(VLOOKUP($A2855,HeadJournal!$A$1:$NTR$890,COLUMN(HeadJournal!C$1),0),"")</f>
        <v>iHerb_MH DLE7202</v>
      </c>
      <c r="D2855" s="125" t="str">
        <f>IFERROR(VLOOKUP($A2855,HeadJournal!$A$1:$NTR$890,COLUMN(HeadJournal!D$1),0),"")</f>
        <v>Доставлен</v>
      </c>
      <c r="E2855" s="95">
        <f>IFERROR(VLOOKUP($A2855,HeadJournal!$A$1:$NTR$890,COLUMN(HeadJournal!G$1),0),"")</f>
        <v>45313</v>
      </c>
      <c r="F2855" s="95" t="str">
        <f t="shared" si="227"/>
        <v>2024 01</v>
      </c>
      <c r="G2855" s="96" t="s">
        <v>5</v>
      </c>
      <c r="H2855" s="161" t="str">
        <f>RIGHT(Journal!$J2855,9)</f>
        <v>EUR-26102</v>
      </c>
      <c r="I2855" s="97" t="str">
        <f t="shared" si="224"/>
        <v>Terry Naturally</v>
      </c>
      <c r="J2855" s="97" t="s">
        <v>1283</v>
      </c>
      <c r="K2855" s="29">
        <v>21.98</v>
      </c>
      <c r="L2855" s="29">
        <v>-5.28</v>
      </c>
      <c r="M2855" s="30">
        <f>IFERROR(VLOOKUP($A2855,HeadJournal!$A$1:$J$890,COLUMN(HeadJournal!I$1),0)*($K2855+$L2855)/(SUMIF($A:$A,$A2855,$K:$K)+SUMIF($A:$A,$A2855,$L:$L)),0)</f>
        <v>-0.62935021036355121</v>
      </c>
      <c r="N2855" s="30">
        <f>IFERROR((VLOOKUP($A2855,HeadJournal!$A$1:$K$890,COLUMN(HeadJournal!K$1),0)-VLOOKUP($A2855,HeadJournal!$A$1:$K$890,COLUMN(HeadJournal!J$1),0))*($K2855+$L2855)/(SUMIF($A:$A,$A2855,$K:$K)+SUMIF($A:$A,$A2855,$L:$L)),0)</f>
        <v>0</v>
      </c>
      <c r="O2855" s="30">
        <f>IFERROR((VLOOKUP($A2855,HeadJournal!$A$1:$L$890,COLUMN(HeadJournal!L$1),0)*($K2855+$L2855)/(SUMIF($A:$A,$A2855,$K:$K)+SUMIF($A:$A,$A2855,$L:$L)))/VLOOKUP($A2855,HeadJournal!$A$1:$L$890,COLUMN(HeadJournal!H$1),0),0)</f>
        <v>0.90700545062325921</v>
      </c>
      <c r="P2855" s="30">
        <f>IFERROR(SUM(K2855:O2855)*VLOOKUP($A2855,HeadJournal!$A$1:$L$890,COLUMN(HeadJournal!H$1),0),0)</f>
        <v>1714.7082862862142</v>
      </c>
      <c r="Q2855" s="29">
        <v>2700</v>
      </c>
      <c r="R2855" s="31">
        <v>45352</v>
      </c>
      <c r="S2855" s="31" t="s">
        <v>3121</v>
      </c>
      <c r="T2855" s="95" t="str">
        <f t="shared" si="228"/>
        <v>2024 03</v>
      </c>
      <c r="U2855" s="32">
        <f t="shared" si="225"/>
        <v>985.29171371378584</v>
      </c>
      <c r="V2855" s="22">
        <f t="shared" si="226"/>
        <v>0.57461185765175904</v>
      </c>
      <c r="X2855" s="33"/>
      <c r="Y2855" s="33"/>
    </row>
    <row r="2856" spans="1:25" x14ac:dyDescent="0.2">
      <c r="A2856" s="93" t="s">
        <v>1282</v>
      </c>
      <c r="B2856" s="94" t="str">
        <f>IFERROR(VLOOKUP($A2856,HeadJournal!$A$1:$NTR$890,COLUMN(HeadJournal!B$1),0),"")</f>
        <v>720000099498</v>
      </c>
      <c r="C2856" s="119" t="str">
        <f>IFERROR(VLOOKUP($A2856,HeadJournal!$A$1:$NTR$890,COLUMN(HeadJournal!C$1),0),"")</f>
        <v>iHerb_MH DLE7202</v>
      </c>
      <c r="D2856" s="125" t="str">
        <f>IFERROR(VLOOKUP($A2856,HeadJournal!$A$1:$NTR$890,COLUMN(HeadJournal!D$1),0),"")</f>
        <v>Доставлен</v>
      </c>
      <c r="E2856" s="95">
        <f>IFERROR(VLOOKUP($A2856,HeadJournal!$A$1:$NTR$890,COLUMN(HeadJournal!G$1),0),"")</f>
        <v>45313</v>
      </c>
      <c r="F2856" s="95" t="str">
        <f t="shared" si="227"/>
        <v>2024 01</v>
      </c>
      <c r="G2856" s="96" t="s">
        <v>5</v>
      </c>
      <c r="H2856" s="161" t="s">
        <v>3631</v>
      </c>
      <c r="I2856" s="97" t="s">
        <v>2207</v>
      </c>
      <c r="J2856" s="97" t="s">
        <v>3674</v>
      </c>
      <c r="K2856" s="29">
        <v>24.78</v>
      </c>
      <c r="L2856" s="29">
        <v>-2.48</v>
      </c>
      <c r="M2856" s="30">
        <f>IFERROR(VLOOKUP($A2856,HeadJournal!$A$1:$J$890,COLUMN(HeadJournal!I$1),0)*($K2856+$L2856)/(SUMIF($A:$A,$A2856,$K:$K)+SUMIF($A:$A,$A2856,$L:$L)),0)</f>
        <v>-0.84038980186270629</v>
      </c>
      <c r="N2856" s="30">
        <f>IFERROR((VLOOKUP($A2856,HeadJournal!$A$1:$K$890,COLUMN(HeadJournal!K$1),0)-VLOOKUP($A2856,HeadJournal!$A$1:$K$890,COLUMN(HeadJournal!J$1),0))*($K2856+$L2856)/(SUMIF($A:$A,$A2856,$K:$K)+SUMIF($A:$A,$A2856,$L:$L)),0)</f>
        <v>0</v>
      </c>
      <c r="O2856" s="30">
        <f>IFERROR((VLOOKUP($A2856,HeadJournal!$A$1:$L$890,COLUMN(HeadJournal!L$1),0)*($K2856+$L2856)/(SUMIF($A:$A,$A2856,$K:$K)+SUMIF($A:$A,$A2856,$L:$L)))/VLOOKUP($A2856,HeadJournal!$A$1:$L$890,COLUMN(HeadJournal!H$1),0),0)</f>
        <v>1.2111509909520168</v>
      </c>
      <c r="P2856" s="30">
        <f>IFERROR(SUM(K2856:O2856)*VLOOKUP($A2856,HeadJournal!$A$1:$L$890,COLUMN(HeadJournal!H$1),0),0)</f>
        <v>2289.7002864779988</v>
      </c>
      <c r="Q2856" s="29">
        <v>3000</v>
      </c>
      <c r="R2856" s="31">
        <v>45345</v>
      </c>
      <c r="S2856" s="31" t="s">
        <v>3121</v>
      </c>
      <c r="T2856" s="95" t="str">
        <f t="shared" si="228"/>
        <v>2024 02</v>
      </c>
      <c r="U2856" s="32">
        <f t="shared" si="225"/>
        <v>710.29971352200118</v>
      </c>
      <c r="V2856" s="22">
        <f t="shared" si="226"/>
        <v>0.31021514812079587</v>
      </c>
      <c r="X2856" s="33"/>
      <c r="Y2856" s="33"/>
    </row>
    <row r="2857" spans="1:25" x14ac:dyDescent="0.2">
      <c r="A2857" s="93" t="s">
        <v>1282</v>
      </c>
      <c r="B2857" s="94" t="str">
        <f>IFERROR(VLOOKUP($A2857,HeadJournal!$A$1:$NTR$890,COLUMN(HeadJournal!B$1),0),"")</f>
        <v>720000099498</v>
      </c>
      <c r="C2857" s="119" t="str">
        <f>IFERROR(VLOOKUP($A2857,HeadJournal!$A$1:$NTR$890,COLUMN(HeadJournal!C$1),0),"")</f>
        <v>iHerb_MH DLE7202</v>
      </c>
      <c r="D2857" s="125" t="str">
        <f>IFERROR(VLOOKUP($A2857,HeadJournal!$A$1:$NTR$890,COLUMN(HeadJournal!D$1),0),"")</f>
        <v>Доставлен</v>
      </c>
      <c r="E2857" s="95">
        <f>IFERROR(VLOOKUP($A2857,HeadJournal!$A$1:$NTR$890,COLUMN(HeadJournal!G$1),0),"")</f>
        <v>45313</v>
      </c>
      <c r="F2857" s="95" t="str">
        <f t="shared" si="227"/>
        <v>2024 01</v>
      </c>
      <c r="G2857" s="96" t="s">
        <v>5</v>
      </c>
      <c r="H2857" s="161" t="str">
        <f>RIGHT(Journal!$J2857,9)</f>
        <v>NLI-00117</v>
      </c>
      <c r="I2857" s="97" t="str">
        <f t="shared" si="224"/>
        <v>Nature's Life</v>
      </c>
      <c r="J2857" s="97" t="s">
        <v>720</v>
      </c>
      <c r="K2857" s="29">
        <v>7.26</v>
      </c>
      <c r="L2857" s="29">
        <v>-1.0900000000000001</v>
      </c>
      <c r="M2857" s="30">
        <f>IFERROR(VLOOKUP($A2857,HeadJournal!$A$1:$J$890,COLUMN(HeadJournal!I$1),0)*($K2857+$L2857)/(SUMIF($A:$A,$A2857,$K:$K)+SUMIF($A:$A,$A2857,$L:$L)),0)</f>
        <v>-0.2325204070624618</v>
      </c>
      <c r="N2857" s="30">
        <f>IFERROR((VLOOKUP($A2857,HeadJournal!$A$1:$K$890,COLUMN(HeadJournal!K$1),0)-VLOOKUP($A2857,HeadJournal!$A$1:$K$890,COLUMN(HeadJournal!J$1),0))*($K2857+$L2857)/(SUMIF($A:$A,$A2857,$K:$K)+SUMIF($A:$A,$A2857,$L:$L)),0)</f>
        <v>0</v>
      </c>
      <c r="O2857" s="30">
        <f>IFERROR((VLOOKUP($A2857,HeadJournal!$A$1:$L$890,COLUMN(HeadJournal!L$1),0)*($K2857+$L2857)/(SUMIF($A:$A,$A2857,$K:$K)+SUMIF($A:$A,$A2857,$L:$L)))/VLOOKUP($A2857,HeadJournal!$A$1:$L$890,COLUMN(HeadJournal!H$1),0),0)</f>
        <v>0.3351032113979347</v>
      </c>
      <c r="P2857" s="30">
        <f>IFERROR(SUM(K2857:O2857)*VLOOKUP($A2857,HeadJournal!$A$1:$L$890,COLUMN(HeadJournal!H$1),0),0)</f>
        <v>633.51797163987681</v>
      </c>
      <c r="Q2857" s="29">
        <v>1200</v>
      </c>
      <c r="R2857" s="31">
        <v>45350</v>
      </c>
      <c r="S2857" s="31" t="s">
        <v>3121</v>
      </c>
      <c r="T2857" s="95" t="str">
        <f t="shared" si="228"/>
        <v>2024 02</v>
      </c>
      <c r="U2857" s="32">
        <f t="shared" si="225"/>
        <v>566.48202836012319</v>
      </c>
      <c r="V2857" s="22">
        <f t="shared" si="226"/>
        <v>0.8941846225668556</v>
      </c>
      <c r="X2857" s="33"/>
      <c r="Y2857" s="33"/>
    </row>
    <row r="2858" spans="1:25" x14ac:dyDescent="0.2">
      <c r="A2858" s="93" t="s">
        <v>1282</v>
      </c>
      <c r="B2858" s="94" t="str">
        <f>IFERROR(VLOOKUP($A2858,HeadJournal!$A$1:$NTR$890,COLUMN(HeadJournal!B$1),0),"")</f>
        <v>720000099498</v>
      </c>
      <c r="C2858" s="119" t="str">
        <f>IFERROR(VLOOKUP($A2858,HeadJournal!$A$1:$NTR$890,COLUMN(HeadJournal!C$1),0),"")</f>
        <v>iHerb_MH DLE7202</v>
      </c>
      <c r="D2858" s="125" t="str">
        <f>IFERROR(VLOOKUP($A2858,HeadJournal!$A$1:$NTR$890,COLUMN(HeadJournal!D$1),0),"")</f>
        <v>Доставлен</v>
      </c>
      <c r="E2858" s="95">
        <f>IFERROR(VLOOKUP($A2858,HeadJournal!$A$1:$NTR$890,COLUMN(HeadJournal!G$1),0),"")</f>
        <v>45313</v>
      </c>
      <c r="F2858" s="95" t="str">
        <f t="shared" si="227"/>
        <v>2024 01</v>
      </c>
      <c r="G2858" s="96" t="s">
        <v>5</v>
      </c>
      <c r="H2858" s="161" t="str">
        <f>RIGHT(Journal!$J2858,9)</f>
        <v>NWY-40460</v>
      </c>
      <c r="I2858" s="97" t="str">
        <f t="shared" si="224"/>
        <v>Nature's Way</v>
      </c>
      <c r="J2858" s="97" t="s">
        <v>1284</v>
      </c>
      <c r="K2858" s="29">
        <v>14.13</v>
      </c>
      <c r="L2858" s="29">
        <v>-1.41</v>
      </c>
      <c r="M2858" s="30">
        <f>IFERROR(VLOOKUP($A2858,HeadJournal!$A$1:$J$890,COLUMN(HeadJournal!I$1),0)*($K2858+$L2858)/(SUMIF($A:$A,$A2858,$K:$K)+SUMIF($A:$A,$A2858,$L:$L)),0)</f>
        <v>-0.47936135783379474</v>
      </c>
      <c r="N2858" s="30">
        <f>IFERROR((VLOOKUP($A2858,HeadJournal!$A$1:$K$890,COLUMN(HeadJournal!K$1),0)-VLOOKUP($A2858,HeadJournal!$A$1:$K$890,COLUMN(HeadJournal!J$1),0))*($K2858+$L2858)/(SUMIF($A:$A,$A2858,$K:$K)+SUMIF($A:$A,$A2858,$L:$L)),0)</f>
        <v>0</v>
      </c>
      <c r="O2858" s="30">
        <f>IFERROR((VLOOKUP($A2858,HeadJournal!$A$1:$L$890,COLUMN(HeadJournal!L$1),0)*($K2858+$L2858)/(SUMIF($A:$A,$A2858,$K:$K)+SUMIF($A:$A,$A2858,$L:$L)))/VLOOKUP($A2858,HeadJournal!$A$1:$L$890,COLUMN(HeadJournal!H$1),0),0)</f>
        <v>0.69084487017532092</v>
      </c>
      <c r="P2858" s="30">
        <f>IFERROR(SUM(K2858:O2858)*VLOOKUP($A2858,HeadJournal!$A$1:$L$890,COLUMN(HeadJournal!H$1),0),0)</f>
        <v>1306.0532575784819</v>
      </c>
      <c r="Q2858" s="29">
        <v>2000</v>
      </c>
      <c r="R2858" s="31">
        <v>45346</v>
      </c>
      <c r="S2858" s="31" t="s">
        <v>3121</v>
      </c>
      <c r="T2858" s="95" t="str">
        <f t="shared" si="228"/>
        <v>2024 02</v>
      </c>
      <c r="U2858" s="32">
        <f t="shared" si="225"/>
        <v>693.94674242151814</v>
      </c>
      <c r="V2858" s="22">
        <f t="shared" si="226"/>
        <v>0.53133112175543751</v>
      </c>
      <c r="X2858" s="33"/>
      <c r="Y2858" s="33"/>
    </row>
    <row r="2859" spans="1:25" x14ac:dyDescent="0.2">
      <c r="A2859" s="93" t="s">
        <v>1282</v>
      </c>
      <c r="B2859" s="94" t="str">
        <f>IFERROR(VLOOKUP($A2859,HeadJournal!$A$1:$NTR$890,COLUMN(HeadJournal!B$1),0),"")</f>
        <v>720000099498</v>
      </c>
      <c r="C2859" s="119" t="str">
        <f>IFERROR(VLOOKUP($A2859,HeadJournal!$A$1:$NTR$890,COLUMN(HeadJournal!C$1),0),"")</f>
        <v>iHerb_MH DLE7202</v>
      </c>
      <c r="D2859" s="125" t="str">
        <f>IFERROR(VLOOKUP($A2859,HeadJournal!$A$1:$NTR$890,COLUMN(HeadJournal!D$1),0),"")</f>
        <v>Доставлен</v>
      </c>
      <c r="E2859" s="95">
        <f>IFERROR(VLOOKUP($A2859,HeadJournal!$A$1:$NTR$890,COLUMN(HeadJournal!G$1),0),"")</f>
        <v>45313</v>
      </c>
      <c r="F2859" s="95" t="str">
        <f t="shared" si="227"/>
        <v>2024 01</v>
      </c>
      <c r="G2859" s="96" t="s">
        <v>5</v>
      </c>
      <c r="H2859" s="161" t="str">
        <f>RIGHT(Journal!$J2859,9)</f>
        <v>NOW-00386</v>
      </c>
      <c r="I2859" s="97" t="str">
        <f t="shared" si="224"/>
        <v>NOW Foods</v>
      </c>
      <c r="J2859" s="97" t="s">
        <v>498</v>
      </c>
      <c r="K2859" s="29">
        <v>33.74</v>
      </c>
      <c r="L2859" s="29">
        <v>-3.37</v>
      </c>
      <c r="M2859" s="30">
        <f>IFERROR(VLOOKUP($A2859,HeadJournal!$A$1:$J$890,COLUMN(HeadJournal!I$1),0)*($K2859+$L2859)/(SUMIF($A:$A,$A2859,$K:$K)+SUMIF($A:$A,$A2859,$L:$L)),0)</f>
        <v>-1.144512927469524</v>
      </c>
      <c r="N2859" s="30">
        <f>IFERROR((VLOOKUP($A2859,HeadJournal!$A$1:$K$890,COLUMN(HeadJournal!K$1),0)-VLOOKUP($A2859,HeadJournal!$A$1:$K$890,COLUMN(HeadJournal!J$1),0))*($K2859+$L2859)/(SUMIF($A:$A,$A2859,$K:$K)+SUMIF($A:$A,$A2859,$L:$L)),0)</f>
        <v>0</v>
      </c>
      <c r="O2859" s="30">
        <f>IFERROR((VLOOKUP($A2859,HeadJournal!$A$1:$L$890,COLUMN(HeadJournal!L$1),0)*($K2859+$L2859)/(SUMIF($A:$A,$A2859,$K:$K)+SUMIF($A:$A,$A2859,$L:$L)))/VLOOKUP($A2859,HeadJournal!$A$1:$L$890,COLUMN(HeadJournal!H$1),0),0)</f>
        <v>1.6494464392472088</v>
      </c>
      <c r="P2859" s="30">
        <f>IFERROR(SUM(K2859:O2859)*VLOOKUP($A2859,HeadJournal!$A$1:$L$890,COLUMN(HeadJournal!H$1),0),0)</f>
        <v>3118.3048296115171</v>
      </c>
      <c r="Q2859" s="29">
        <v>4000</v>
      </c>
      <c r="R2859" s="31">
        <v>45346</v>
      </c>
      <c r="S2859" s="31" t="s">
        <v>3121</v>
      </c>
      <c r="T2859" s="95" t="str">
        <f t="shared" si="228"/>
        <v>2024 02</v>
      </c>
      <c r="U2859" s="32">
        <f t="shared" si="225"/>
        <v>881.69517038848289</v>
      </c>
      <c r="V2859" s="22">
        <f t="shared" si="226"/>
        <v>0.28274822974838087</v>
      </c>
      <c r="X2859" s="33"/>
      <c r="Y2859" s="33"/>
    </row>
    <row r="2860" spans="1:25" x14ac:dyDescent="0.2">
      <c r="A2860" s="93" t="s">
        <v>1282</v>
      </c>
      <c r="B2860" s="94" t="str">
        <f>IFERROR(VLOOKUP($A2860,HeadJournal!$A$1:$NTR$890,COLUMN(HeadJournal!B$1),0),"")</f>
        <v>720000099498</v>
      </c>
      <c r="C2860" s="119" t="str">
        <f>IFERROR(VLOOKUP($A2860,HeadJournal!$A$1:$NTR$890,COLUMN(HeadJournal!C$1),0),"")</f>
        <v>iHerb_MH DLE7202</v>
      </c>
      <c r="D2860" s="125" t="str">
        <f>IFERROR(VLOOKUP($A2860,HeadJournal!$A$1:$NTR$890,COLUMN(HeadJournal!D$1),0),"")</f>
        <v>Доставлен</v>
      </c>
      <c r="E2860" s="95">
        <f>IFERROR(VLOOKUP($A2860,HeadJournal!$A$1:$NTR$890,COLUMN(HeadJournal!G$1),0),"")</f>
        <v>45313</v>
      </c>
      <c r="F2860" s="95" t="str">
        <f t="shared" si="227"/>
        <v>2024 01</v>
      </c>
      <c r="G2860" s="96" t="s">
        <v>5</v>
      </c>
      <c r="H2860" s="161" t="str">
        <f>RIGHT(Journal!$J2860,9)</f>
        <v>NOW-01742</v>
      </c>
      <c r="I2860" s="97" t="str">
        <f t="shared" si="224"/>
        <v>NOW Foods</v>
      </c>
      <c r="J2860" s="97" t="s">
        <v>499</v>
      </c>
      <c r="K2860" s="29">
        <v>17.52</v>
      </c>
      <c r="L2860" s="29">
        <v>-1.75</v>
      </c>
      <c r="M2860" s="30">
        <f>IFERROR(VLOOKUP($A2860,HeadJournal!$A$1:$J$890,COLUMN(HeadJournal!I$1),0)*($K2860+$L2860)/(SUMIF($A:$A,$A2860,$K:$K)+SUMIF($A:$A,$A2860,$L:$L)),0)</f>
        <v>-0.59430256391815595</v>
      </c>
      <c r="N2860" s="30">
        <f>IFERROR((VLOOKUP($A2860,HeadJournal!$A$1:$K$890,COLUMN(HeadJournal!K$1),0)-VLOOKUP($A2860,HeadJournal!$A$1:$K$890,COLUMN(HeadJournal!J$1),0))*($K2860+$L2860)/(SUMIF($A:$A,$A2860,$K:$K)+SUMIF($A:$A,$A2860,$L:$L)),0)</f>
        <v>0</v>
      </c>
      <c r="O2860" s="30">
        <f>IFERROR((VLOOKUP($A2860,HeadJournal!$A$1:$L$890,COLUMN(HeadJournal!L$1),0)*($K2860+$L2860)/(SUMIF($A:$A,$A2860,$K:$K)+SUMIF($A:$A,$A2860,$L:$L)))/VLOOKUP($A2860,HeadJournal!$A$1:$L$890,COLUMN(HeadJournal!H$1),0),0)</f>
        <v>0.85649556624723344</v>
      </c>
      <c r="P2860" s="30">
        <f>IFERROR(SUM(K2860:O2860)*VLOOKUP($A2860,HeadJournal!$A$1:$L$890,COLUMN(HeadJournal!H$1),0),0)</f>
        <v>1619.2185433972215</v>
      </c>
      <c r="Q2860" s="29">
        <v>2500</v>
      </c>
      <c r="R2860" s="31">
        <v>45346</v>
      </c>
      <c r="S2860" s="31" t="s">
        <v>3121</v>
      </c>
      <c r="T2860" s="95" t="str">
        <f t="shared" si="228"/>
        <v>2024 02</v>
      </c>
      <c r="U2860" s="32">
        <f t="shared" si="225"/>
        <v>880.78145660277846</v>
      </c>
      <c r="V2860" s="22">
        <f t="shared" si="226"/>
        <v>0.54395465034314883</v>
      </c>
      <c r="X2860" s="33"/>
      <c r="Y2860" s="33"/>
    </row>
    <row r="2861" spans="1:25" x14ac:dyDescent="0.2">
      <c r="A2861" s="93" t="s">
        <v>1282</v>
      </c>
      <c r="B2861" s="94" t="str">
        <f>IFERROR(VLOOKUP($A2861,HeadJournal!$A$1:$NTR$890,COLUMN(HeadJournal!B$1),0),"")</f>
        <v>720000099498</v>
      </c>
      <c r="C2861" s="119" t="str">
        <f>IFERROR(VLOOKUP($A2861,HeadJournal!$A$1:$NTR$890,COLUMN(HeadJournal!C$1),0),"")</f>
        <v>iHerb_MH DLE7202</v>
      </c>
      <c r="D2861" s="125" t="str">
        <f>IFERROR(VLOOKUP($A2861,HeadJournal!$A$1:$NTR$890,COLUMN(HeadJournal!D$1),0),"")</f>
        <v>Доставлен</v>
      </c>
      <c r="E2861" s="95">
        <f>IFERROR(VLOOKUP($A2861,HeadJournal!$A$1:$NTR$890,COLUMN(HeadJournal!G$1),0),"")</f>
        <v>45313</v>
      </c>
      <c r="F2861" s="95" t="str">
        <f t="shared" si="227"/>
        <v>2024 01</v>
      </c>
      <c r="G2861" s="96" t="s">
        <v>5</v>
      </c>
      <c r="H2861" s="161" t="str">
        <f>RIGHT(Journal!$J2861,9)</f>
        <v>CGN-00963</v>
      </c>
      <c r="I2861" s="97" t="str">
        <f t="shared" si="224"/>
        <v>California Gold Nutrition</v>
      </c>
      <c r="J2861" s="97" t="s">
        <v>1127</v>
      </c>
      <c r="K2861" s="29">
        <v>11.68</v>
      </c>
      <c r="L2861" s="29">
        <v>-3.5</v>
      </c>
      <c r="M2861" s="30">
        <f>IFERROR(VLOOKUP($A2861,HeadJournal!$A$1:$J$890,COLUMN(HeadJournal!I$1),0)*($K2861+$L2861)/(SUMIF($A:$A,$A2861,$K:$K)+SUMIF($A:$A,$A2861,$L:$L)),0)</f>
        <v>-0.30826854615412275</v>
      </c>
      <c r="N2861" s="30">
        <f>IFERROR((VLOOKUP($A2861,HeadJournal!$A$1:$K$890,COLUMN(HeadJournal!K$1),0)-VLOOKUP($A2861,HeadJournal!$A$1:$K$890,COLUMN(HeadJournal!J$1),0))*($K2861+$L2861)/(SUMIF($A:$A,$A2861,$K:$K)+SUMIF($A:$A,$A2861,$L:$L)),0)</f>
        <v>0</v>
      </c>
      <c r="O2861" s="30">
        <f>IFERROR((VLOOKUP($A2861,HeadJournal!$A$1:$L$890,COLUMN(HeadJournal!L$1),0)*($K2861+$L2861)/(SUMIF($A:$A,$A2861,$K:$K)+SUMIF($A:$A,$A2861,$L:$L)))/VLOOKUP($A2861,HeadJournal!$A$1:$L$890,COLUMN(HeadJournal!H$1),0),0)</f>
        <v>0.44426973569450662</v>
      </c>
      <c r="P2861" s="30">
        <f>IFERROR(SUM(K2861:O2861)*VLOOKUP($A2861,HeadJournal!$A$1:$L$890,COLUMN(HeadJournal!H$1),0),0)</f>
        <v>839.89902885157073</v>
      </c>
      <c r="Q2861" s="29">
        <v>1600</v>
      </c>
      <c r="R2861" s="31">
        <v>45906</v>
      </c>
      <c r="S2861" s="31" t="s">
        <v>3325</v>
      </c>
      <c r="T2861" s="95" t="str">
        <f t="shared" si="228"/>
        <v>2025 09</v>
      </c>
      <c r="U2861" s="32">
        <f t="shared" si="225"/>
        <v>760.10097114842927</v>
      </c>
      <c r="V2861" s="22">
        <f t="shared" si="226"/>
        <v>0.90499089180725367</v>
      </c>
      <c r="X2861" s="33"/>
      <c r="Y2861" s="33"/>
    </row>
    <row r="2862" spans="1:25" x14ac:dyDescent="0.2">
      <c r="A2862" s="93" t="s">
        <v>1282</v>
      </c>
      <c r="B2862" s="94" t="str">
        <f>IFERROR(VLOOKUP($A2862,HeadJournal!$A$1:$NTR$890,COLUMN(HeadJournal!B$1),0),"")</f>
        <v>720000099498</v>
      </c>
      <c r="C2862" s="119" t="str">
        <f>IFERROR(VLOOKUP($A2862,HeadJournal!$A$1:$NTR$890,COLUMN(HeadJournal!C$1),0),"")</f>
        <v>iHerb_MH DLE7202</v>
      </c>
      <c r="D2862" s="125" t="str">
        <f>IFERROR(VLOOKUP($A2862,HeadJournal!$A$1:$NTR$890,COLUMN(HeadJournal!D$1),0),"")</f>
        <v>Доставлен</v>
      </c>
      <c r="E2862" s="95">
        <f>IFERROR(VLOOKUP($A2862,HeadJournal!$A$1:$NTR$890,COLUMN(HeadJournal!G$1),0),"")</f>
        <v>45313</v>
      </c>
      <c r="F2862" s="95" t="str">
        <f t="shared" si="227"/>
        <v>2024 01</v>
      </c>
      <c r="G2862" s="96" t="s">
        <v>5</v>
      </c>
      <c r="H2862" s="161" t="s">
        <v>2471</v>
      </c>
      <c r="I2862" s="97" t="s">
        <v>2039</v>
      </c>
      <c r="J2862" s="97" t="s">
        <v>2472</v>
      </c>
      <c r="K2862" s="29">
        <v>20.91</v>
      </c>
      <c r="L2862" s="29">
        <v>-2.0920000000000001</v>
      </c>
      <c r="M2862" s="30">
        <f>IFERROR(VLOOKUP($A2862,HeadJournal!$A$1:$J$890,COLUMN(HeadJournal!I$1),0)*($K2862+$L2862)/(SUMIF($A:$A,$A2862,$K:$K)+SUMIF($A:$A,$A2862,$L:$L)),0)</f>
        <v>-0.70916839871983894</v>
      </c>
      <c r="N2862" s="30">
        <f>IFERROR((VLOOKUP($A2862,HeadJournal!$A$1:$K$890,COLUMN(HeadJournal!K$1),0)-VLOOKUP($A2862,HeadJournal!$A$1:$K$890,COLUMN(HeadJournal!J$1),0))*($K2862+$L2862)/(SUMIF($A:$A,$A2862,$K:$K)+SUMIF($A:$A,$A2862,$L:$L)),0)</f>
        <v>0</v>
      </c>
      <c r="O2862" s="30">
        <f>IFERROR((VLOOKUP($A2862,HeadJournal!$A$1:$L$890,COLUMN(HeadJournal!L$1),0)*($K2862+$L2862)/(SUMIF($A:$A,$A2862,$K:$K)+SUMIF($A:$A,$A2862,$L:$L)))/VLOOKUP($A2862,HeadJournal!$A$1:$L$890,COLUMN(HeadJournal!H$1),0),0)</f>
        <v>1.0220376389118859</v>
      </c>
      <c r="P2862" s="30">
        <f>IFERROR(SUM(K2862:O2862)*VLOOKUP($A2862,HeadJournal!$A$1:$L$890,COLUMN(HeadJournal!H$1),0),0)</f>
        <v>1932.1784749301787</v>
      </c>
      <c r="Q2862" s="29">
        <v>2700</v>
      </c>
      <c r="R2862" s="31">
        <v>45346</v>
      </c>
      <c r="S2862" s="31" t="s">
        <v>3121</v>
      </c>
      <c r="T2862" s="95" t="str">
        <f t="shared" si="228"/>
        <v>2024 02</v>
      </c>
      <c r="U2862" s="32">
        <f t="shared" si="225"/>
        <v>767.82152506982129</v>
      </c>
      <c r="V2862" s="22">
        <f t="shared" si="226"/>
        <v>0.39738643972708954</v>
      </c>
      <c r="X2862" s="33"/>
      <c r="Y2862" s="33"/>
    </row>
    <row r="2863" spans="1:25" x14ac:dyDescent="0.2">
      <c r="A2863" s="93" t="s">
        <v>1282</v>
      </c>
      <c r="B2863" s="94" t="str">
        <f>IFERROR(VLOOKUP($A2863,HeadJournal!$A$1:$NTR$890,COLUMN(HeadJournal!B$1),0),"")</f>
        <v>720000099498</v>
      </c>
      <c r="C2863" s="119" t="str">
        <f>IFERROR(VLOOKUP($A2863,HeadJournal!$A$1:$NTR$890,COLUMN(HeadJournal!C$1),0),"")</f>
        <v>iHerb_MH DLE7202</v>
      </c>
      <c r="D2863" s="125" t="str">
        <f>IFERROR(VLOOKUP($A2863,HeadJournal!$A$1:$NTR$890,COLUMN(HeadJournal!D$1),0),"")</f>
        <v>Доставлен</v>
      </c>
      <c r="E2863" s="95">
        <f>IFERROR(VLOOKUP($A2863,HeadJournal!$A$1:$NTR$890,COLUMN(HeadJournal!G$1),0),"")</f>
        <v>45313</v>
      </c>
      <c r="F2863" s="95" t="str">
        <f t="shared" si="227"/>
        <v>2024 01</v>
      </c>
      <c r="G2863" s="96" t="s">
        <v>5</v>
      </c>
      <c r="H2863" s="161" t="s">
        <v>2471</v>
      </c>
      <c r="I2863" s="97" t="s">
        <v>2039</v>
      </c>
      <c r="J2863" s="97" t="s">
        <v>2472</v>
      </c>
      <c r="K2863" s="29">
        <v>20.91</v>
      </c>
      <c r="L2863" s="29">
        <v>-2.0920000000000001</v>
      </c>
      <c r="M2863" s="30">
        <f>IFERROR(VLOOKUP($A2863,HeadJournal!$A$1:$J$890,COLUMN(HeadJournal!I$1),0)*($K2863+$L2863)/(SUMIF($A:$A,$A2863,$K:$K)+SUMIF($A:$A,$A2863,$L:$L)),0)</f>
        <v>-0.70916839871983894</v>
      </c>
      <c r="N2863" s="30">
        <f>IFERROR((VLOOKUP($A2863,HeadJournal!$A$1:$K$890,COLUMN(HeadJournal!K$1),0)-VLOOKUP($A2863,HeadJournal!$A$1:$K$890,COLUMN(HeadJournal!J$1),0))*($K2863+$L2863)/(SUMIF($A:$A,$A2863,$K:$K)+SUMIF($A:$A,$A2863,$L:$L)),0)</f>
        <v>0</v>
      </c>
      <c r="O2863" s="30">
        <f>IFERROR((VLOOKUP($A2863,HeadJournal!$A$1:$L$890,COLUMN(HeadJournal!L$1),0)*($K2863+$L2863)/(SUMIF($A:$A,$A2863,$K:$K)+SUMIF($A:$A,$A2863,$L:$L)))/VLOOKUP($A2863,HeadJournal!$A$1:$L$890,COLUMN(HeadJournal!H$1),0),0)</f>
        <v>1.0220376389118859</v>
      </c>
      <c r="P2863" s="30">
        <f>IFERROR(SUM(K2863:O2863)*VLOOKUP($A2863,HeadJournal!$A$1:$L$890,COLUMN(HeadJournal!H$1),0),0)</f>
        <v>1932.1784749301787</v>
      </c>
      <c r="Q2863" s="29">
        <v>2800</v>
      </c>
      <c r="R2863" s="31">
        <v>45386</v>
      </c>
      <c r="S2863" s="31" t="s">
        <v>3121</v>
      </c>
      <c r="T2863" s="95" t="str">
        <f t="shared" si="228"/>
        <v>2024 04</v>
      </c>
      <c r="U2863" s="32">
        <f t="shared" si="225"/>
        <v>867.82152506982129</v>
      </c>
      <c r="V2863" s="22">
        <f t="shared" si="226"/>
        <v>0.44914149305031509</v>
      </c>
      <c r="X2863" s="33"/>
      <c r="Y2863" s="33"/>
    </row>
    <row r="2864" spans="1:25" x14ac:dyDescent="0.2">
      <c r="A2864" s="93" t="s">
        <v>1282</v>
      </c>
      <c r="B2864" s="94" t="str">
        <f>IFERROR(VLOOKUP($A2864,HeadJournal!$A$1:$NTR$890,COLUMN(HeadJournal!B$1),0),"")</f>
        <v>720000099498</v>
      </c>
      <c r="C2864" s="119" t="str">
        <f>IFERROR(VLOOKUP($A2864,HeadJournal!$A$1:$NTR$890,COLUMN(HeadJournal!C$1),0),"")</f>
        <v>iHerb_MH DLE7202</v>
      </c>
      <c r="D2864" s="125" t="str">
        <f>IFERROR(VLOOKUP($A2864,HeadJournal!$A$1:$NTR$890,COLUMN(HeadJournal!D$1),0),"")</f>
        <v>Доставлен</v>
      </c>
      <c r="E2864" s="95">
        <f>IFERROR(VLOOKUP($A2864,HeadJournal!$A$1:$NTR$890,COLUMN(HeadJournal!G$1),0),"")</f>
        <v>45313</v>
      </c>
      <c r="F2864" s="95" t="str">
        <f t="shared" si="227"/>
        <v>2024 01</v>
      </c>
      <c r="G2864" s="96" t="s">
        <v>5</v>
      </c>
      <c r="H2864" s="161" t="s">
        <v>2471</v>
      </c>
      <c r="I2864" s="97" t="s">
        <v>2039</v>
      </c>
      <c r="J2864" s="97" t="s">
        <v>2472</v>
      </c>
      <c r="K2864" s="29">
        <v>20.91</v>
      </c>
      <c r="L2864" s="29">
        <v>-2.0920000000000001</v>
      </c>
      <c r="M2864" s="30">
        <f>IFERROR(VLOOKUP($A2864,HeadJournal!$A$1:$J$890,COLUMN(HeadJournal!I$1),0)*($K2864+$L2864)/(SUMIF($A:$A,$A2864,$K:$K)+SUMIF($A:$A,$A2864,$L:$L)),0)</f>
        <v>-0.70916839871983894</v>
      </c>
      <c r="N2864" s="30">
        <f>IFERROR((VLOOKUP($A2864,HeadJournal!$A$1:$K$890,COLUMN(HeadJournal!K$1),0)-VLOOKUP($A2864,HeadJournal!$A$1:$K$890,COLUMN(HeadJournal!J$1),0))*($K2864+$L2864)/(SUMIF($A:$A,$A2864,$K:$K)+SUMIF($A:$A,$A2864,$L:$L)),0)</f>
        <v>0</v>
      </c>
      <c r="O2864" s="30">
        <f>IFERROR((VLOOKUP($A2864,HeadJournal!$A$1:$L$890,COLUMN(HeadJournal!L$1),0)*($K2864+$L2864)/(SUMIF($A:$A,$A2864,$K:$K)+SUMIF($A:$A,$A2864,$L:$L)))/VLOOKUP($A2864,HeadJournal!$A$1:$L$890,COLUMN(HeadJournal!H$1),0),0)</f>
        <v>1.0220376389118859</v>
      </c>
      <c r="P2864" s="30">
        <f>IFERROR(SUM(K2864:O2864)*VLOOKUP($A2864,HeadJournal!$A$1:$L$890,COLUMN(HeadJournal!H$1),0),0)</f>
        <v>1932.1784749301787</v>
      </c>
      <c r="Q2864" s="29">
        <v>2800</v>
      </c>
      <c r="R2864" s="31">
        <v>45388</v>
      </c>
      <c r="S2864" s="31" t="s">
        <v>3121</v>
      </c>
      <c r="T2864" s="95" t="str">
        <f t="shared" si="228"/>
        <v>2024 04</v>
      </c>
      <c r="U2864" s="32">
        <f t="shared" si="225"/>
        <v>867.82152506982129</v>
      </c>
      <c r="V2864" s="22">
        <f t="shared" si="226"/>
        <v>0.44914149305031509</v>
      </c>
      <c r="X2864" s="33"/>
      <c r="Y2864" s="33"/>
    </row>
    <row r="2865" spans="1:25" x14ac:dyDescent="0.2">
      <c r="A2865" s="93" t="s">
        <v>1282</v>
      </c>
      <c r="B2865" s="94" t="str">
        <f>IFERROR(VLOOKUP($A2865,HeadJournal!$A$1:$NTR$890,COLUMN(HeadJournal!B$1),0),"")</f>
        <v>720000099498</v>
      </c>
      <c r="C2865" s="119" t="str">
        <f>IFERROR(VLOOKUP($A2865,HeadJournal!$A$1:$NTR$890,COLUMN(HeadJournal!C$1),0),"")</f>
        <v>iHerb_MH DLE7202</v>
      </c>
      <c r="D2865" s="125" t="str">
        <f>IFERROR(VLOOKUP($A2865,HeadJournal!$A$1:$NTR$890,COLUMN(HeadJournal!D$1),0),"")</f>
        <v>Доставлен</v>
      </c>
      <c r="E2865" s="95">
        <f>IFERROR(VLOOKUP($A2865,HeadJournal!$A$1:$NTR$890,COLUMN(HeadJournal!G$1),0),"")</f>
        <v>45313</v>
      </c>
      <c r="F2865" s="95" t="str">
        <f t="shared" si="227"/>
        <v>2024 01</v>
      </c>
      <c r="G2865" s="96" t="s">
        <v>5</v>
      </c>
      <c r="H2865" s="161" t="s">
        <v>2471</v>
      </c>
      <c r="I2865" s="97" t="s">
        <v>2039</v>
      </c>
      <c r="J2865" s="97" t="s">
        <v>2472</v>
      </c>
      <c r="K2865" s="29">
        <v>20.91</v>
      </c>
      <c r="L2865" s="29">
        <v>-2.0920000000000001</v>
      </c>
      <c r="M2865" s="30">
        <f>IFERROR(VLOOKUP($A2865,HeadJournal!$A$1:$J$890,COLUMN(HeadJournal!I$1),0)*($K2865+$L2865)/(SUMIF($A:$A,$A2865,$K:$K)+SUMIF($A:$A,$A2865,$L:$L)),0)</f>
        <v>-0.70916839871983894</v>
      </c>
      <c r="N2865" s="30">
        <f>IFERROR((VLOOKUP($A2865,HeadJournal!$A$1:$K$890,COLUMN(HeadJournal!K$1),0)-VLOOKUP($A2865,HeadJournal!$A$1:$K$890,COLUMN(HeadJournal!J$1),0))*($K2865+$L2865)/(SUMIF($A:$A,$A2865,$K:$K)+SUMIF($A:$A,$A2865,$L:$L)),0)</f>
        <v>0</v>
      </c>
      <c r="O2865" s="30">
        <f>IFERROR((VLOOKUP($A2865,HeadJournal!$A$1:$L$890,COLUMN(HeadJournal!L$1),0)*($K2865+$L2865)/(SUMIF($A:$A,$A2865,$K:$K)+SUMIF($A:$A,$A2865,$L:$L)))/VLOOKUP($A2865,HeadJournal!$A$1:$L$890,COLUMN(HeadJournal!H$1),0),0)</f>
        <v>1.0220376389118859</v>
      </c>
      <c r="P2865" s="30">
        <f>IFERROR(SUM(K2865:O2865)*VLOOKUP($A2865,HeadJournal!$A$1:$L$890,COLUMN(HeadJournal!H$1),0),0)</f>
        <v>1932.1784749301787</v>
      </c>
      <c r="Q2865" s="29">
        <v>2700</v>
      </c>
      <c r="R2865" s="31">
        <v>45507</v>
      </c>
      <c r="S2865" s="31" t="s">
        <v>3121</v>
      </c>
      <c r="T2865" s="95" t="str">
        <f t="shared" si="228"/>
        <v>2024 08</v>
      </c>
      <c r="U2865" s="32">
        <f t="shared" si="225"/>
        <v>767.82152506982129</v>
      </c>
      <c r="V2865" s="22">
        <f t="shared" si="226"/>
        <v>0.39738643972708954</v>
      </c>
      <c r="X2865" s="33"/>
      <c r="Y2865" s="33"/>
    </row>
    <row r="2866" spans="1:25" x14ac:dyDescent="0.2">
      <c r="A2866" s="93" t="s">
        <v>1282</v>
      </c>
      <c r="B2866" s="94" t="str">
        <f>IFERROR(VLOOKUP($A2866,HeadJournal!$A$1:$NTR$890,COLUMN(HeadJournal!B$1),0),"")</f>
        <v>720000099498</v>
      </c>
      <c r="C2866" s="119" t="str">
        <f>IFERROR(VLOOKUP($A2866,HeadJournal!$A$1:$NTR$890,COLUMN(HeadJournal!C$1),0),"")</f>
        <v>iHerb_MH DLE7202</v>
      </c>
      <c r="D2866" s="125" t="str">
        <f>IFERROR(VLOOKUP($A2866,HeadJournal!$A$1:$NTR$890,COLUMN(HeadJournal!D$1),0),"")</f>
        <v>Доставлен</v>
      </c>
      <c r="E2866" s="95">
        <f>IFERROR(VLOOKUP($A2866,HeadJournal!$A$1:$NTR$890,COLUMN(HeadJournal!G$1),0),"")</f>
        <v>45313</v>
      </c>
      <c r="F2866" s="95" t="str">
        <f t="shared" si="227"/>
        <v>2024 01</v>
      </c>
      <c r="G2866" s="96" t="s">
        <v>5</v>
      </c>
      <c r="H2866" s="161" t="s">
        <v>2471</v>
      </c>
      <c r="I2866" s="97" t="s">
        <v>2039</v>
      </c>
      <c r="J2866" s="97" t="s">
        <v>2472</v>
      </c>
      <c r="K2866" s="29">
        <v>20.91</v>
      </c>
      <c r="L2866" s="29">
        <v>-2.0920000000000001</v>
      </c>
      <c r="M2866" s="30">
        <f>IFERROR(VLOOKUP($A2866,HeadJournal!$A$1:$J$890,COLUMN(HeadJournal!I$1),0)*($K2866+$L2866)/(SUMIF($A:$A,$A2866,$K:$K)+SUMIF($A:$A,$A2866,$L:$L)),0)</f>
        <v>-0.70916839871983894</v>
      </c>
      <c r="N2866" s="30">
        <f>IFERROR((VLOOKUP($A2866,HeadJournal!$A$1:$K$890,COLUMN(HeadJournal!K$1),0)-VLOOKUP($A2866,HeadJournal!$A$1:$K$890,COLUMN(HeadJournal!J$1),0))*($K2866+$L2866)/(SUMIF($A:$A,$A2866,$K:$K)+SUMIF($A:$A,$A2866,$L:$L)),0)</f>
        <v>0</v>
      </c>
      <c r="O2866" s="30">
        <f>IFERROR((VLOOKUP($A2866,HeadJournal!$A$1:$L$890,COLUMN(HeadJournal!L$1),0)*($K2866+$L2866)/(SUMIF($A:$A,$A2866,$K:$K)+SUMIF($A:$A,$A2866,$L:$L)))/VLOOKUP($A2866,HeadJournal!$A$1:$L$890,COLUMN(HeadJournal!H$1),0),0)</f>
        <v>1.0220376389118859</v>
      </c>
      <c r="P2866" s="30">
        <f>IFERROR(SUM(K2866:O2866)*VLOOKUP($A2866,HeadJournal!$A$1:$L$890,COLUMN(HeadJournal!H$1),0),0)</f>
        <v>1932.1784749301787</v>
      </c>
      <c r="Q2866" s="29">
        <v>2500</v>
      </c>
      <c r="R2866" s="31">
        <v>45530</v>
      </c>
      <c r="S2866" s="31" t="s">
        <v>3121</v>
      </c>
      <c r="T2866" s="95" t="str">
        <f t="shared" si="228"/>
        <v>2024 08</v>
      </c>
      <c r="U2866" s="32">
        <f t="shared" si="225"/>
        <v>567.82152506982129</v>
      </c>
      <c r="V2866" s="22">
        <f t="shared" si="226"/>
        <v>0.29387633308063849</v>
      </c>
      <c r="X2866" s="33"/>
      <c r="Y2866" s="33"/>
    </row>
    <row r="2867" spans="1:25" x14ac:dyDescent="0.2">
      <c r="A2867" s="93" t="s">
        <v>1282</v>
      </c>
      <c r="B2867" s="94" t="str">
        <f>IFERROR(VLOOKUP($A2867,HeadJournal!$A$1:$NTR$890,COLUMN(HeadJournal!B$1),0),"")</f>
        <v>720000099498</v>
      </c>
      <c r="C2867" s="119" t="str">
        <f>IFERROR(VLOOKUP($A2867,HeadJournal!$A$1:$NTR$890,COLUMN(HeadJournal!C$1),0),"")</f>
        <v>iHerb_MH DLE7202</v>
      </c>
      <c r="D2867" s="125" t="str">
        <f>IFERROR(VLOOKUP($A2867,HeadJournal!$A$1:$NTR$890,COLUMN(HeadJournal!D$1),0),"")</f>
        <v>Доставлен</v>
      </c>
      <c r="E2867" s="95">
        <f>IFERROR(VLOOKUP($A2867,HeadJournal!$A$1:$NTR$890,COLUMN(HeadJournal!G$1),0),"")</f>
        <v>45313</v>
      </c>
      <c r="F2867" s="95" t="str">
        <f t="shared" si="227"/>
        <v>2024 01</v>
      </c>
      <c r="G2867" s="96" t="s">
        <v>5</v>
      </c>
      <c r="H2867" s="161" t="str">
        <f>RIGHT(Journal!$J2867,9)</f>
        <v>NAP-29923</v>
      </c>
      <c r="I2867" s="97" t="str">
        <f t="shared" si="224"/>
        <v>NaturesPlus</v>
      </c>
      <c r="J2867" s="97" t="s">
        <v>1285</v>
      </c>
      <c r="K2867" s="29">
        <v>11.44</v>
      </c>
      <c r="L2867" s="29">
        <v>-1.1399999999999999</v>
      </c>
      <c r="M2867" s="30">
        <f>IFERROR(VLOOKUP($A2867,HeadJournal!$A$1:$J$890,COLUMN(HeadJournal!I$1),0)*($K2867+$L2867)/(SUMIF($A:$A,$A2867,$K:$K)+SUMIF($A:$A,$A2867,$L:$L)),0)</f>
        <v>-0.38816210579308846</v>
      </c>
      <c r="N2867" s="30">
        <f>IFERROR((VLOOKUP($A2867,HeadJournal!$A$1:$K$890,COLUMN(HeadJournal!K$1),0)-VLOOKUP($A2867,HeadJournal!$A$1:$K$890,COLUMN(HeadJournal!J$1),0))*($K2867+$L2867)/(SUMIF($A:$A,$A2867,$K:$K)+SUMIF($A:$A,$A2867,$L:$L)),0)</f>
        <v>0</v>
      </c>
      <c r="O2867" s="30">
        <f>IFERROR((VLOOKUP($A2867,HeadJournal!$A$1:$L$890,COLUMN(HeadJournal!L$1),0)*($K2867+$L2867)/(SUMIF($A:$A,$A2867,$K:$K)+SUMIF($A:$A,$A2867,$L:$L)))/VLOOKUP($A2867,HeadJournal!$A$1:$L$890,COLUMN(HeadJournal!H$1),0),0)</f>
        <v>0.55941054739039342</v>
      </c>
      <c r="P2867" s="30">
        <f>IFERROR(SUM(K2867:O2867)*VLOOKUP($A2867,HeadJournal!$A$1:$L$890,COLUMN(HeadJournal!H$1),0),0)</f>
        <v>1057.5745717813177</v>
      </c>
      <c r="Q2867" s="29">
        <v>1500</v>
      </c>
      <c r="R2867" s="31">
        <v>45402</v>
      </c>
      <c r="S2867" s="31" t="s">
        <v>3121</v>
      </c>
      <c r="T2867" s="95" t="str">
        <f t="shared" si="228"/>
        <v>2024 04</v>
      </c>
      <c r="U2867" s="32">
        <f t="shared" si="225"/>
        <v>442.42542821868233</v>
      </c>
      <c r="V2867" s="22">
        <f t="shared" si="226"/>
        <v>0.41833969917930841</v>
      </c>
      <c r="X2867" s="33"/>
      <c r="Y2867" s="33"/>
    </row>
    <row r="2868" spans="1:25" x14ac:dyDescent="0.2">
      <c r="A2868" s="93" t="s">
        <v>1282</v>
      </c>
      <c r="B2868" s="94" t="str">
        <f>IFERROR(VLOOKUP($A2868,HeadJournal!$A$1:$NTR$890,COLUMN(HeadJournal!B$1),0),"")</f>
        <v>720000099498</v>
      </c>
      <c r="C2868" s="119" t="str">
        <f>IFERROR(VLOOKUP($A2868,HeadJournal!$A$1:$NTR$890,COLUMN(HeadJournal!C$1),0),"")</f>
        <v>iHerb_MH DLE7202</v>
      </c>
      <c r="D2868" s="125" t="str">
        <f>IFERROR(VLOOKUP($A2868,HeadJournal!$A$1:$NTR$890,COLUMN(HeadJournal!D$1),0),"")</f>
        <v>Доставлен</v>
      </c>
      <c r="E2868" s="95">
        <f>IFERROR(VLOOKUP($A2868,HeadJournal!$A$1:$NTR$890,COLUMN(HeadJournal!G$1),0),"")</f>
        <v>45313</v>
      </c>
      <c r="F2868" s="95" t="str">
        <f t="shared" si="227"/>
        <v>2024 01</v>
      </c>
      <c r="G2868" s="96" t="s">
        <v>5</v>
      </c>
      <c r="H2868" s="161" t="s">
        <v>2118</v>
      </c>
      <c r="I2868" s="97" t="s">
        <v>2005</v>
      </c>
      <c r="J2868" s="97" t="s">
        <v>2119</v>
      </c>
      <c r="K2868" s="29">
        <v>14.38</v>
      </c>
      <c r="L2868" s="29">
        <v>-1.44</v>
      </c>
      <c r="M2868" s="30">
        <f>IFERROR(VLOOKUP($A2868,HeadJournal!$A$1:$J$890,COLUMN(HeadJournal!I$1),0)*($K2868+$L2868)/(SUMIF($A:$A,$A2868,$K:$K)+SUMIF($A:$A,$A2868,$L:$L)),0)</f>
        <v>-0.4876521989284045</v>
      </c>
      <c r="N2868" s="30">
        <f>IFERROR((VLOOKUP($A2868,HeadJournal!$A$1:$K$890,COLUMN(HeadJournal!K$1),0)-VLOOKUP($A2868,HeadJournal!$A$1:$K$890,COLUMN(HeadJournal!J$1),0))*($K2868+$L2868)/(SUMIF($A:$A,$A2868,$K:$K)+SUMIF($A:$A,$A2868,$L:$L)),0)</f>
        <v>0</v>
      </c>
      <c r="O2868" s="30">
        <f>IFERROR((VLOOKUP($A2868,HeadJournal!$A$1:$L$890,COLUMN(HeadJournal!L$1),0)*($K2868+$L2868)/(SUMIF($A:$A,$A2868,$K:$K)+SUMIF($A:$A,$A2868,$L:$L)))/VLOOKUP($A2868,HeadJournal!$A$1:$L$890,COLUMN(HeadJournal!H$1),0),0)</f>
        <v>0.7027934449739508</v>
      </c>
      <c r="P2868" s="30">
        <f>IFERROR(SUM(K2868:O2868)*VLOOKUP($A2868,HeadJournal!$A$1:$L$890,COLUMN(HeadJournal!H$1),0),0)</f>
        <v>1328.6422290145877</v>
      </c>
      <c r="Q2868" s="29">
        <v>2000</v>
      </c>
      <c r="R2868" s="31">
        <v>45353</v>
      </c>
      <c r="S2868" s="31" t="s">
        <v>3121</v>
      </c>
      <c r="T2868" s="95" t="str">
        <f t="shared" si="228"/>
        <v>2024 03</v>
      </c>
      <c r="U2868" s="32">
        <f t="shared" si="225"/>
        <v>671.35777098541234</v>
      </c>
      <c r="V2868" s="22">
        <f t="shared" si="226"/>
        <v>0.50529612586778716</v>
      </c>
      <c r="X2868" s="33"/>
      <c r="Y2868" s="33"/>
    </row>
    <row r="2869" spans="1:25" x14ac:dyDescent="0.2">
      <c r="A2869" s="93" t="s">
        <v>1282</v>
      </c>
      <c r="B2869" s="94" t="str">
        <f>IFERROR(VLOOKUP($A2869,HeadJournal!$A$1:$NTR$890,COLUMN(HeadJournal!B$1),0),"")</f>
        <v>720000099498</v>
      </c>
      <c r="C2869" s="119" t="str">
        <f>IFERROR(VLOOKUP($A2869,HeadJournal!$A$1:$NTR$890,COLUMN(HeadJournal!C$1),0),"")</f>
        <v>iHerb_MH DLE7202</v>
      </c>
      <c r="D2869" s="125" t="str">
        <f>IFERROR(VLOOKUP($A2869,HeadJournal!$A$1:$NTR$890,COLUMN(HeadJournal!D$1),0),"")</f>
        <v>Доставлен</v>
      </c>
      <c r="E2869" s="95">
        <f>IFERROR(VLOOKUP($A2869,HeadJournal!$A$1:$NTR$890,COLUMN(HeadJournal!G$1),0),"")</f>
        <v>45313</v>
      </c>
      <c r="F2869" s="95" t="str">
        <f t="shared" si="227"/>
        <v>2024 01</v>
      </c>
      <c r="G2869" s="96" t="s">
        <v>5</v>
      </c>
      <c r="H2869" s="161" t="s">
        <v>2118</v>
      </c>
      <c r="I2869" s="97" t="s">
        <v>2005</v>
      </c>
      <c r="J2869" s="97" t="s">
        <v>2119</v>
      </c>
      <c r="K2869" s="29">
        <v>14.38</v>
      </c>
      <c r="L2869" s="29">
        <v>-1.44</v>
      </c>
      <c r="M2869" s="30">
        <f>IFERROR(VLOOKUP($A2869,HeadJournal!$A$1:$J$890,COLUMN(HeadJournal!I$1),0)*($K2869+$L2869)/(SUMIF($A:$A,$A2869,$K:$K)+SUMIF($A:$A,$A2869,$L:$L)),0)</f>
        <v>-0.4876521989284045</v>
      </c>
      <c r="N2869" s="30">
        <f>IFERROR((VLOOKUP($A2869,HeadJournal!$A$1:$K$890,COLUMN(HeadJournal!K$1),0)-VLOOKUP($A2869,HeadJournal!$A$1:$K$890,COLUMN(HeadJournal!J$1),0))*($K2869+$L2869)/(SUMIF($A:$A,$A2869,$K:$K)+SUMIF($A:$A,$A2869,$L:$L)),0)</f>
        <v>0</v>
      </c>
      <c r="O2869" s="30">
        <f>IFERROR((VLOOKUP($A2869,HeadJournal!$A$1:$L$890,COLUMN(HeadJournal!L$1),0)*($K2869+$L2869)/(SUMIF($A:$A,$A2869,$K:$K)+SUMIF($A:$A,$A2869,$L:$L)))/VLOOKUP($A2869,HeadJournal!$A$1:$L$890,COLUMN(HeadJournal!H$1),0),0)</f>
        <v>0.7027934449739508</v>
      </c>
      <c r="P2869" s="30">
        <f>IFERROR(SUM(K2869:O2869)*VLOOKUP($A2869,HeadJournal!$A$1:$L$890,COLUMN(HeadJournal!H$1),0),0)</f>
        <v>1328.6422290145877</v>
      </c>
      <c r="Q2869" s="29">
        <v>2000</v>
      </c>
      <c r="R2869" s="31">
        <v>45362</v>
      </c>
      <c r="S2869" s="31" t="s">
        <v>3121</v>
      </c>
      <c r="T2869" s="95" t="str">
        <f t="shared" si="228"/>
        <v>2024 03</v>
      </c>
      <c r="U2869" s="32">
        <f t="shared" si="225"/>
        <v>671.35777098541234</v>
      </c>
      <c r="V2869" s="22">
        <f t="shared" si="226"/>
        <v>0.50529612586778716</v>
      </c>
      <c r="X2869" s="33"/>
      <c r="Y2869" s="33"/>
    </row>
    <row r="2870" spans="1:25" x14ac:dyDescent="0.2">
      <c r="A2870" s="93" t="s">
        <v>1282</v>
      </c>
      <c r="B2870" s="94" t="str">
        <f>IFERROR(VLOOKUP($A2870,HeadJournal!$A$1:$NTR$890,COLUMN(HeadJournal!B$1),0),"")</f>
        <v>720000099498</v>
      </c>
      <c r="C2870" s="119" t="str">
        <f>IFERROR(VLOOKUP($A2870,HeadJournal!$A$1:$NTR$890,COLUMN(HeadJournal!C$1),0),"")</f>
        <v>iHerb_MH DLE7202</v>
      </c>
      <c r="D2870" s="125" t="str">
        <f>IFERROR(VLOOKUP($A2870,HeadJournal!$A$1:$NTR$890,COLUMN(HeadJournal!D$1),0),"")</f>
        <v>Доставлен</v>
      </c>
      <c r="E2870" s="95">
        <f>IFERROR(VLOOKUP($A2870,HeadJournal!$A$1:$NTR$890,COLUMN(HeadJournal!G$1),0),"")</f>
        <v>45313</v>
      </c>
      <c r="F2870" s="95" t="str">
        <f t="shared" si="227"/>
        <v>2024 01</v>
      </c>
      <c r="G2870" s="96" t="s">
        <v>5</v>
      </c>
      <c r="H2870" s="161" t="str">
        <f>RIGHT(Journal!$J2870,9)</f>
        <v>LEX-14591</v>
      </c>
      <c r="I2870" s="97" t="str">
        <f t="shared" si="224"/>
        <v>Life Extension</v>
      </c>
      <c r="J2870" s="97" t="s">
        <v>690</v>
      </c>
      <c r="K2870" s="29">
        <v>9.49</v>
      </c>
      <c r="L2870" s="29">
        <v>-2.2799999999999998</v>
      </c>
      <c r="M2870" s="30">
        <f>IFERROR(VLOOKUP($A2870,HeadJournal!$A$1:$J$890,COLUMN(HeadJournal!I$1),0)*($K2870+$L2870)/(SUMIF($A:$A,$A2870,$K:$K)+SUMIF($A:$A,$A2870,$L:$L)),0)</f>
        <v>-0.271713474055162</v>
      </c>
      <c r="N2870" s="30">
        <f>IFERROR((VLOOKUP($A2870,HeadJournal!$A$1:$K$890,COLUMN(HeadJournal!K$1),0)-VLOOKUP($A2870,HeadJournal!$A$1:$K$890,COLUMN(HeadJournal!J$1),0))*($K2870+$L2870)/(SUMIF($A:$A,$A2870,$K:$K)+SUMIF($A:$A,$A2870,$L:$L)),0)</f>
        <v>0</v>
      </c>
      <c r="O2870" s="30">
        <f>IFERROR((VLOOKUP($A2870,HeadJournal!$A$1:$L$890,COLUMN(HeadJournal!L$1),0)*($K2870+$L2870)/(SUMIF($A:$A,$A2870,$K:$K)+SUMIF($A:$A,$A2870,$L:$L)))/VLOOKUP($A2870,HeadJournal!$A$1:$L$890,COLUMN(HeadJournal!H$1),0),0)</f>
        <v>0.39158738317327552</v>
      </c>
      <c r="P2870" s="30">
        <f>IFERROR(SUM(K2870:O2870)*VLOOKUP($A2870,HeadJournal!$A$1:$L$890,COLUMN(HeadJournal!H$1),0),0)</f>
        <v>740.30220024692255</v>
      </c>
      <c r="Q2870" s="29">
        <v>1500</v>
      </c>
      <c r="R2870" s="31">
        <v>45456</v>
      </c>
      <c r="S2870" s="31" t="s">
        <v>3121</v>
      </c>
      <c r="T2870" s="95" t="str">
        <f t="shared" si="228"/>
        <v>2024 06</v>
      </c>
      <c r="U2870" s="32">
        <f t="shared" si="225"/>
        <v>759.69779975307745</v>
      </c>
      <c r="V2870" s="22">
        <f t="shared" si="226"/>
        <v>1.0261995702561544</v>
      </c>
      <c r="X2870" s="33"/>
      <c r="Y2870" s="33"/>
    </row>
    <row r="2871" spans="1:25" x14ac:dyDescent="0.2">
      <c r="A2871" s="93" t="s">
        <v>1282</v>
      </c>
      <c r="B2871" s="94" t="str">
        <f>IFERROR(VLOOKUP($A2871,HeadJournal!$A$1:$NTR$890,COLUMN(HeadJournal!B$1),0),"")</f>
        <v>720000099498</v>
      </c>
      <c r="C2871" s="119" t="str">
        <f>IFERROR(VLOOKUP($A2871,HeadJournal!$A$1:$NTR$890,COLUMN(HeadJournal!C$1),0),"")</f>
        <v>iHerb_MH DLE7202</v>
      </c>
      <c r="D2871" s="125" t="str">
        <f>IFERROR(VLOOKUP($A2871,HeadJournal!$A$1:$NTR$890,COLUMN(HeadJournal!D$1),0),"")</f>
        <v>Доставлен</v>
      </c>
      <c r="E2871" s="95">
        <f>IFERROR(VLOOKUP($A2871,HeadJournal!$A$1:$NTR$890,COLUMN(HeadJournal!G$1),0),"")</f>
        <v>45313</v>
      </c>
      <c r="F2871" s="95" t="str">
        <f t="shared" si="227"/>
        <v>2024 01</v>
      </c>
      <c r="G2871" s="96" t="s">
        <v>5</v>
      </c>
      <c r="H2871" s="161" t="s">
        <v>3632</v>
      </c>
      <c r="I2871" s="97" t="s">
        <v>2008</v>
      </c>
      <c r="J2871" s="97" t="s">
        <v>3675</v>
      </c>
      <c r="K2871" s="29">
        <v>13.87</v>
      </c>
      <c r="L2871" s="29">
        <v>-3.33</v>
      </c>
      <c r="M2871" s="30">
        <f>IFERROR(VLOOKUP($A2871,HeadJournal!$A$1:$J$890,COLUMN(HeadJournal!I$1),0)*($K2871+$L2871)/(SUMIF($A:$A,$A2871,$K:$K)+SUMIF($A:$A,$A2871,$L:$L)),0)</f>
        <v>-0.39720665971448088</v>
      </c>
      <c r="N2871" s="30">
        <f>IFERROR((VLOOKUP($A2871,HeadJournal!$A$1:$K$890,COLUMN(HeadJournal!K$1),0)-VLOOKUP($A2871,HeadJournal!$A$1:$K$890,COLUMN(HeadJournal!J$1),0))*($K2871+$L2871)/(SUMIF($A:$A,$A2871,$K:$K)+SUMIF($A:$A,$A2871,$L:$L)),0)</f>
        <v>0</v>
      </c>
      <c r="O2871" s="30">
        <f>IFERROR((VLOOKUP($A2871,HeadJournal!$A$1:$L$890,COLUMN(HeadJournal!L$1),0)*($K2871+$L2871)/(SUMIF($A:$A,$A2871,$K:$K)+SUMIF($A:$A,$A2871,$L:$L)))/VLOOKUP($A2871,HeadJournal!$A$1:$L$890,COLUMN(HeadJournal!H$1),0),0)</f>
        <v>0.57244535626162585</v>
      </c>
      <c r="P2871" s="30">
        <f>IFERROR(SUM(K2871:O2871)*VLOOKUP($A2871,HeadJournal!$A$1:$L$890,COLUMN(HeadJournal!H$1),0),0)</f>
        <v>1082.2170860752515</v>
      </c>
      <c r="Q2871" s="29">
        <v>1900</v>
      </c>
      <c r="R2871" s="31">
        <v>45484</v>
      </c>
      <c r="S2871" s="31" t="s">
        <v>3121</v>
      </c>
      <c r="T2871" s="95" t="str">
        <f t="shared" si="228"/>
        <v>2024 07</v>
      </c>
      <c r="U2871" s="32">
        <f t="shared" si="225"/>
        <v>817.78291392474853</v>
      </c>
      <c r="V2871" s="22">
        <f t="shared" si="226"/>
        <v>0.75565514945851109</v>
      </c>
      <c r="X2871" s="33"/>
      <c r="Y2871" s="33"/>
    </row>
    <row r="2872" spans="1:25" x14ac:dyDescent="0.2">
      <c r="A2872" s="93" t="s">
        <v>1282</v>
      </c>
      <c r="B2872" s="94" t="str">
        <f>IFERROR(VLOOKUP($A2872,HeadJournal!$A$1:$NTR$890,COLUMN(HeadJournal!B$1),0),"")</f>
        <v>720000099498</v>
      </c>
      <c r="C2872" s="119" t="str">
        <f>IFERROR(VLOOKUP($A2872,HeadJournal!$A$1:$NTR$890,COLUMN(HeadJournal!C$1),0),"")</f>
        <v>iHerb_MH DLE7202</v>
      </c>
      <c r="D2872" s="125" t="str">
        <f>IFERROR(VLOOKUP($A2872,HeadJournal!$A$1:$NTR$890,COLUMN(HeadJournal!D$1),0),"")</f>
        <v>Доставлен</v>
      </c>
      <c r="E2872" s="95">
        <f>IFERROR(VLOOKUP($A2872,HeadJournal!$A$1:$NTR$890,COLUMN(HeadJournal!G$1),0),"")</f>
        <v>45313</v>
      </c>
      <c r="F2872" s="95" t="str">
        <f t="shared" si="227"/>
        <v>2024 01</v>
      </c>
      <c r="G2872" s="96" t="s">
        <v>5</v>
      </c>
      <c r="H2872" s="161" t="str">
        <f>RIGHT(Journal!$J2872,9)</f>
        <v>HRM-50013</v>
      </c>
      <c r="I2872" s="97" t="str">
        <f t="shared" ref="I2872:I2933" si="229">IFERROR(LEFT(J2872,FIND(",",J2872)-1),"")</f>
        <v>Healths Harmony</v>
      </c>
      <c r="J2872" s="97" t="s">
        <v>1286</v>
      </c>
      <c r="K2872" s="29">
        <v>19.850000000000001</v>
      </c>
      <c r="L2872" s="29">
        <v>-1.99</v>
      </c>
      <c r="M2872" s="30">
        <f>IFERROR(VLOOKUP($A2872,HeadJournal!$A$1:$J$890,COLUMN(HeadJournal!I$1),0)*($K2872+$L2872)/(SUMIF($A:$A,$A2872,$K:$K)+SUMIF($A:$A,$A2872,$L:$L)),0)</f>
        <v>-0.67306555431694781</v>
      </c>
      <c r="N2872" s="30">
        <f>IFERROR((VLOOKUP($A2872,HeadJournal!$A$1:$K$890,COLUMN(HeadJournal!K$1),0)-VLOOKUP($A2872,HeadJournal!$A$1:$K$890,COLUMN(HeadJournal!J$1),0))*($K2872+$L2872)/(SUMIF($A:$A,$A2872,$K:$K)+SUMIF($A:$A,$A2872,$L:$L)),0)</f>
        <v>0</v>
      </c>
      <c r="O2872" s="30">
        <f>IFERROR((VLOOKUP($A2872,HeadJournal!$A$1:$L$890,COLUMN(HeadJournal!L$1),0)*($K2872+$L2872)/(SUMIF($A:$A,$A2872,$K:$K)+SUMIF($A:$A,$A2872,$L:$L)))/VLOOKUP($A2872,HeadJournal!$A$1:$L$890,COLUMN(HeadJournal!H$1),0),0)</f>
        <v>0.97000702683421636</v>
      </c>
      <c r="P2872" s="30">
        <f>IFERROR(SUM(K2872:O2872)*VLOOKUP($A2872,HeadJournal!$A$1:$L$890,COLUMN(HeadJournal!H$1),0),0)</f>
        <v>1833.8137720402271</v>
      </c>
      <c r="Q2872" s="29">
        <v>2600</v>
      </c>
      <c r="R2872" s="31">
        <v>45362</v>
      </c>
      <c r="S2872" s="31" t="s">
        <v>3121</v>
      </c>
      <c r="T2872" s="95" t="str">
        <f t="shared" si="228"/>
        <v>2024 03</v>
      </c>
      <c r="U2872" s="32">
        <f t="shared" si="225"/>
        <v>766.18622795977285</v>
      </c>
      <c r="V2872" s="22">
        <f t="shared" si="226"/>
        <v>0.41781027040021901</v>
      </c>
      <c r="X2872" s="33"/>
      <c r="Y2872" s="33"/>
    </row>
    <row r="2873" spans="1:25" x14ac:dyDescent="0.2">
      <c r="A2873" s="93" t="s">
        <v>1287</v>
      </c>
      <c r="B2873" s="94" t="str">
        <f>IFERROR(VLOOKUP($A2873,HeadJournal!$A$1:$NTR$890,COLUMN(HeadJournal!B$1),0),"")</f>
        <v>720000111573</v>
      </c>
      <c r="C2873" s="94" t="str">
        <f>IFERROR(VLOOKUP($A2873,HeadJournal!$A$1:$NTR$890,COLUMN(HeadJournal!C$1),0),"")</f>
        <v>iHerb_AV CYG0792</v>
      </c>
      <c r="D2873" s="125" t="str">
        <f>IFERROR(VLOOKUP($A2873,HeadJournal!$A$1:$NTR$890,COLUMN(HeadJournal!D$1),0),"")</f>
        <v>Доставлен</v>
      </c>
      <c r="E2873" s="95">
        <f>IFERROR(VLOOKUP($A2873,HeadJournal!$A$1:$NTR$890,COLUMN(HeadJournal!G$1),0),"")</f>
        <v>45322</v>
      </c>
      <c r="F2873" s="95" t="str">
        <f t="shared" si="227"/>
        <v>2024 01</v>
      </c>
      <c r="G2873" s="96" t="s">
        <v>5</v>
      </c>
      <c r="H2873" s="161" t="s">
        <v>2118</v>
      </c>
      <c r="I2873" s="97" t="s">
        <v>2005</v>
      </c>
      <c r="J2873" s="97" t="s">
        <v>2119</v>
      </c>
      <c r="K2873" s="29">
        <v>14.38</v>
      </c>
      <c r="L2873" s="29">
        <v>-2.1566666666666667</v>
      </c>
      <c r="M2873" s="30">
        <f>IFERROR(VLOOKUP($A2873,HeadJournal!$A$1:$J$890,COLUMN(HeadJournal!I$1),0)*($K2873+$L2873)/(SUMIF($A:$A,$A2873,$K:$K)+SUMIF($A:$A,$A2873,$L:$L)),0)</f>
        <v>-0.60173974063128377</v>
      </c>
      <c r="N2873" s="30">
        <f>IFERROR((VLOOKUP($A2873,HeadJournal!$A$1:$K$890,COLUMN(HeadJournal!K$1),0)-VLOOKUP($A2873,HeadJournal!$A$1:$K$890,COLUMN(HeadJournal!J$1),0))*($K2873+$L2873)/(SUMIF($A:$A,$A2873,$K:$K)+SUMIF($A:$A,$A2873,$L:$L)),0)</f>
        <v>4.2193598834578172E-15</v>
      </c>
      <c r="O2873" s="30">
        <f>IFERROR((VLOOKUP($A2873,HeadJournal!$A$1:$L$890,COLUMN(HeadJournal!L$1),0)*($K2873+$L2873)/(SUMIF($A:$A,$A2873,$K:$K)+SUMIF($A:$A,$A2873,$L:$L)))/VLOOKUP($A2873,HeadJournal!$A$1:$L$890,COLUMN(HeadJournal!H$1),0),0)</f>
        <v>1.0119132171808818</v>
      </c>
      <c r="P2873" s="30">
        <f>IFERROR(SUM(K2873:O2873)*VLOOKUP($A2873,HeadJournal!$A$1:$L$890,COLUMN(HeadJournal!H$1),0),0)</f>
        <v>1277.250497145865</v>
      </c>
      <c r="Q2873" s="29">
        <v>2000</v>
      </c>
      <c r="R2873" s="31">
        <v>45362</v>
      </c>
      <c r="S2873" s="31" t="s">
        <v>3121</v>
      </c>
      <c r="T2873" s="95" t="str">
        <f t="shared" si="228"/>
        <v>2024 03</v>
      </c>
      <c r="U2873" s="32">
        <f t="shared" si="225"/>
        <v>722.74950285413502</v>
      </c>
      <c r="V2873" s="22">
        <f t="shared" si="226"/>
        <v>0.56586355180067338</v>
      </c>
      <c r="X2873" s="33"/>
      <c r="Y2873" s="33"/>
    </row>
    <row r="2874" spans="1:25" x14ac:dyDescent="0.2">
      <c r="A2874" s="93" t="s">
        <v>1287</v>
      </c>
      <c r="B2874" s="94" t="str">
        <f>IFERROR(VLOOKUP($A2874,HeadJournal!$A$1:$NTR$890,COLUMN(HeadJournal!B$1),0),"")</f>
        <v>720000111573</v>
      </c>
      <c r="C2874" s="94" t="str">
        <f>IFERROR(VLOOKUP($A2874,HeadJournal!$A$1:$NTR$890,COLUMN(HeadJournal!C$1),0),"")</f>
        <v>iHerb_AV CYG0792</v>
      </c>
      <c r="D2874" s="125" t="str">
        <f>IFERROR(VLOOKUP($A2874,HeadJournal!$A$1:$NTR$890,COLUMN(HeadJournal!D$1),0),"")</f>
        <v>Доставлен</v>
      </c>
      <c r="E2874" s="95">
        <f>IFERROR(VLOOKUP($A2874,HeadJournal!$A$1:$NTR$890,COLUMN(HeadJournal!G$1),0),"")</f>
        <v>45322</v>
      </c>
      <c r="F2874" s="95" t="str">
        <f t="shared" si="227"/>
        <v>2024 01</v>
      </c>
      <c r="G2874" s="96" t="s">
        <v>5</v>
      </c>
      <c r="H2874" s="161" t="s">
        <v>2118</v>
      </c>
      <c r="I2874" s="97" t="s">
        <v>2005</v>
      </c>
      <c r="J2874" s="97" t="s">
        <v>2119</v>
      </c>
      <c r="K2874" s="29">
        <v>14.38</v>
      </c>
      <c r="L2874" s="29">
        <v>-2.1566666666666667</v>
      </c>
      <c r="M2874" s="30">
        <f>IFERROR(VLOOKUP($A2874,HeadJournal!$A$1:$J$890,COLUMN(HeadJournal!I$1),0)*($K2874+$L2874)/(SUMIF($A:$A,$A2874,$K:$K)+SUMIF($A:$A,$A2874,$L:$L)),0)</f>
        <v>-0.60173974063128377</v>
      </c>
      <c r="N2874" s="30">
        <f>IFERROR((VLOOKUP($A2874,HeadJournal!$A$1:$K$890,COLUMN(HeadJournal!K$1),0)-VLOOKUP($A2874,HeadJournal!$A$1:$K$890,COLUMN(HeadJournal!J$1),0))*($K2874+$L2874)/(SUMIF($A:$A,$A2874,$K:$K)+SUMIF($A:$A,$A2874,$L:$L)),0)</f>
        <v>4.2193598834578172E-15</v>
      </c>
      <c r="O2874" s="30">
        <f>IFERROR((VLOOKUP($A2874,HeadJournal!$A$1:$L$890,COLUMN(HeadJournal!L$1),0)*($K2874+$L2874)/(SUMIF($A:$A,$A2874,$K:$K)+SUMIF($A:$A,$A2874,$L:$L)))/VLOOKUP($A2874,HeadJournal!$A$1:$L$890,COLUMN(HeadJournal!H$1),0),0)</f>
        <v>1.0119132171808818</v>
      </c>
      <c r="P2874" s="30">
        <f>IFERROR(SUM(K2874:O2874)*VLOOKUP($A2874,HeadJournal!$A$1:$L$890,COLUMN(HeadJournal!H$1),0),0)</f>
        <v>1277.250497145865</v>
      </c>
      <c r="Q2874" s="29">
        <v>2000</v>
      </c>
      <c r="R2874" s="31">
        <v>45371</v>
      </c>
      <c r="S2874" s="31" t="s">
        <v>3121</v>
      </c>
      <c r="T2874" s="95" t="str">
        <f t="shared" si="228"/>
        <v>2024 03</v>
      </c>
      <c r="U2874" s="32">
        <f t="shared" si="225"/>
        <v>722.74950285413502</v>
      </c>
      <c r="V2874" s="22">
        <f t="shared" si="226"/>
        <v>0.56586355180067338</v>
      </c>
      <c r="X2874" s="33"/>
      <c r="Y2874" s="33"/>
    </row>
    <row r="2875" spans="1:25" x14ac:dyDescent="0.2">
      <c r="A2875" s="93" t="s">
        <v>1287</v>
      </c>
      <c r="B2875" s="94" t="str">
        <f>IFERROR(VLOOKUP($A2875,HeadJournal!$A$1:$NTR$890,COLUMN(HeadJournal!B$1),0),"")</f>
        <v>720000111573</v>
      </c>
      <c r="C2875" s="94" t="str">
        <f>IFERROR(VLOOKUP($A2875,HeadJournal!$A$1:$NTR$890,COLUMN(HeadJournal!C$1),0),"")</f>
        <v>iHerb_AV CYG0792</v>
      </c>
      <c r="D2875" s="125" t="str">
        <f>IFERROR(VLOOKUP($A2875,HeadJournal!$A$1:$NTR$890,COLUMN(HeadJournal!D$1),0),"")</f>
        <v>Доставлен</v>
      </c>
      <c r="E2875" s="95">
        <f>IFERROR(VLOOKUP($A2875,HeadJournal!$A$1:$NTR$890,COLUMN(HeadJournal!G$1),0),"")</f>
        <v>45322</v>
      </c>
      <c r="F2875" s="95" t="str">
        <f t="shared" si="227"/>
        <v>2024 01</v>
      </c>
      <c r="G2875" s="96" t="s">
        <v>5</v>
      </c>
      <c r="H2875" s="161" t="s">
        <v>2118</v>
      </c>
      <c r="I2875" s="97" t="s">
        <v>2005</v>
      </c>
      <c r="J2875" s="97" t="s">
        <v>2119</v>
      </c>
      <c r="K2875" s="29">
        <v>14.38</v>
      </c>
      <c r="L2875" s="29">
        <v>-2.1566666666666667</v>
      </c>
      <c r="M2875" s="30">
        <f>IFERROR(VLOOKUP($A2875,HeadJournal!$A$1:$J$890,COLUMN(HeadJournal!I$1),0)*($K2875+$L2875)/(SUMIF($A:$A,$A2875,$K:$K)+SUMIF($A:$A,$A2875,$L:$L)),0)</f>
        <v>-0.60173974063128377</v>
      </c>
      <c r="N2875" s="30">
        <f>IFERROR((VLOOKUP($A2875,HeadJournal!$A$1:$K$890,COLUMN(HeadJournal!K$1),0)-VLOOKUP($A2875,HeadJournal!$A$1:$K$890,COLUMN(HeadJournal!J$1),0))*($K2875+$L2875)/(SUMIF($A:$A,$A2875,$K:$K)+SUMIF($A:$A,$A2875,$L:$L)),0)</f>
        <v>4.2193598834578172E-15</v>
      </c>
      <c r="O2875" s="30">
        <f>IFERROR((VLOOKUP($A2875,HeadJournal!$A$1:$L$890,COLUMN(HeadJournal!L$1),0)*($K2875+$L2875)/(SUMIF($A:$A,$A2875,$K:$K)+SUMIF($A:$A,$A2875,$L:$L)))/VLOOKUP($A2875,HeadJournal!$A$1:$L$890,COLUMN(HeadJournal!H$1),0),0)</f>
        <v>1.0119132171808818</v>
      </c>
      <c r="P2875" s="30">
        <f>IFERROR(SUM(K2875:O2875)*VLOOKUP($A2875,HeadJournal!$A$1:$L$890,COLUMN(HeadJournal!H$1),0),0)</f>
        <v>1277.250497145865</v>
      </c>
      <c r="Q2875" s="29">
        <v>1900</v>
      </c>
      <c r="R2875" s="31">
        <v>45451</v>
      </c>
      <c r="S2875" s="31" t="s">
        <v>3121</v>
      </c>
      <c r="T2875" s="95" t="str">
        <f t="shared" si="228"/>
        <v>2024 06</v>
      </c>
      <c r="U2875" s="32">
        <f t="shared" si="225"/>
        <v>622.74950285413502</v>
      </c>
      <c r="V2875" s="22">
        <f t="shared" si="226"/>
        <v>0.4875703742106397</v>
      </c>
      <c r="X2875" s="33"/>
      <c r="Y2875" s="33"/>
    </row>
    <row r="2876" spans="1:25" x14ac:dyDescent="0.2">
      <c r="A2876" s="93" t="s">
        <v>1287</v>
      </c>
      <c r="B2876" s="94" t="str">
        <f>IFERROR(VLOOKUP($A2876,HeadJournal!$A$1:$NTR$890,COLUMN(HeadJournal!B$1),0),"")</f>
        <v>720000111573</v>
      </c>
      <c r="C2876" s="94" t="str">
        <f>IFERROR(VLOOKUP($A2876,HeadJournal!$A$1:$NTR$890,COLUMN(HeadJournal!C$1),0),"")</f>
        <v>iHerb_AV CYG0792</v>
      </c>
      <c r="D2876" s="125" t="str">
        <f>IFERROR(VLOOKUP($A2876,HeadJournal!$A$1:$NTR$890,COLUMN(HeadJournal!D$1),0),"")</f>
        <v>Доставлен</v>
      </c>
      <c r="E2876" s="95">
        <f>IFERROR(VLOOKUP($A2876,HeadJournal!$A$1:$NTR$890,COLUMN(HeadJournal!G$1),0),"")</f>
        <v>45322</v>
      </c>
      <c r="F2876" s="95" t="str">
        <f t="shared" si="227"/>
        <v>2024 01</v>
      </c>
      <c r="G2876" s="96" t="s">
        <v>5</v>
      </c>
      <c r="H2876" s="161" t="s">
        <v>2573</v>
      </c>
      <c r="I2876" s="97" t="s">
        <v>2006</v>
      </c>
      <c r="J2876" s="97" t="s">
        <v>2574</v>
      </c>
      <c r="K2876" s="29">
        <v>21.27</v>
      </c>
      <c r="L2876" s="29">
        <v>-3.19</v>
      </c>
      <c r="M2876" s="30">
        <f>IFERROR(VLOOKUP($A2876,HeadJournal!$A$1:$J$890,COLUMN(HeadJournal!I$1),0)*($K2876+$L2876)/(SUMIF($A:$A,$A2876,$K:$K)+SUMIF($A:$A,$A2876,$L:$L)),0)</f>
        <v>-0.89005627302538382</v>
      </c>
      <c r="N2876" s="30">
        <f>IFERROR((VLOOKUP($A2876,HeadJournal!$A$1:$K$890,COLUMN(HeadJournal!K$1),0)-VLOOKUP($A2876,HeadJournal!$A$1:$K$890,COLUMN(HeadJournal!J$1),0))*($K2876+$L2876)/(SUMIF($A:$A,$A2876,$K:$K)+SUMIF($A:$A,$A2876,$L:$L)),0)</f>
        <v>6.2410166369989629E-15</v>
      </c>
      <c r="O2876" s="30">
        <f>IFERROR((VLOOKUP($A2876,HeadJournal!$A$1:$L$890,COLUMN(HeadJournal!L$1),0)*($K2876+$L2876)/(SUMIF($A:$A,$A2876,$K:$K)+SUMIF($A:$A,$A2876,$L:$L)))/VLOOKUP($A2876,HeadJournal!$A$1:$L$890,COLUMN(HeadJournal!H$1),0),0)</f>
        <v>1.496759555491983</v>
      </c>
      <c r="P2876" s="30">
        <f>IFERROR(SUM(K2876:O2876)*VLOOKUP($A2876,HeadJournal!$A$1:$L$890,COLUMN(HeadJournal!H$1),0),0)</f>
        <v>1889.2300781344893</v>
      </c>
      <c r="Q2876" s="29">
        <v>2600</v>
      </c>
      <c r="R2876" s="31">
        <v>45355</v>
      </c>
      <c r="S2876" s="31" t="s">
        <v>3121</v>
      </c>
      <c r="T2876" s="95" t="str">
        <f t="shared" si="228"/>
        <v>2024 03</v>
      </c>
      <c r="U2876" s="32">
        <f t="shared" si="225"/>
        <v>710.7699218655107</v>
      </c>
      <c r="V2876" s="22">
        <f t="shared" si="226"/>
        <v>0.37622200180475468</v>
      </c>
      <c r="X2876" s="33"/>
      <c r="Y2876" s="33"/>
    </row>
    <row r="2877" spans="1:25" x14ac:dyDescent="0.2">
      <c r="A2877" s="93" t="s">
        <v>1287</v>
      </c>
      <c r="B2877" s="94" t="str">
        <f>IFERROR(VLOOKUP($A2877,HeadJournal!$A$1:$NTR$890,COLUMN(HeadJournal!B$1),0),"")</f>
        <v>720000111573</v>
      </c>
      <c r="C2877" s="94" t="str">
        <f>IFERROR(VLOOKUP($A2877,HeadJournal!$A$1:$NTR$890,COLUMN(HeadJournal!C$1),0),"")</f>
        <v>iHerb_AV CYG0792</v>
      </c>
      <c r="D2877" s="125" t="str">
        <f>IFERROR(VLOOKUP($A2877,HeadJournal!$A$1:$NTR$890,COLUMN(HeadJournal!D$1),0),"")</f>
        <v>Доставлен</v>
      </c>
      <c r="E2877" s="95">
        <f>IFERROR(VLOOKUP($A2877,HeadJournal!$A$1:$NTR$890,COLUMN(HeadJournal!G$1),0),"")</f>
        <v>45322</v>
      </c>
      <c r="F2877" s="95" t="str">
        <f t="shared" si="227"/>
        <v>2024 01</v>
      </c>
      <c r="G2877" s="96" t="s">
        <v>5</v>
      </c>
      <c r="H2877" s="161" t="s">
        <v>2573</v>
      </c>
      <c r="I2877" s="97" t="s">
        <v>2006</v>
      </c>
      <c r="J2877" s="97" t="s">
        <v>2574</v>
      </c>
      <c r="K2877" s="29">
        <v>21.27</v>
      </c>
      <c r="L2877" s="29">
        <v>-3.19</v>
      </c>
      <c r="M2877" s="30">
        <f>IFERROR(VLOOKUP($A2877,HeadJournal!$A$1:$J$890,COLUMN(HeadJournal!I$1),0)*($K2877+$L2877)/(SUMIF($A:$A,$A2877,$K:$K)+SUMIF($A:$A,$A2877,$L:$L)),0)</f>
        <v>-0.89005627302538382</v>
      </c>
      <c r="N2877" s="30">
        <f>IFERROR((VLOOKUP($A2877,HeadJournal!$A$1:$K$890,COLUMN(HeadJournal!K$1),0)-VLOOKUP($A2877,HeadJournal!$A$1:$K$890,COLUMN(HeadJournal!J$1),0))*($K2877+$L2877)/(SUMIF($A:$A,$A2877,$K:$K)+SUMIF($A:$A,$A2877,$L:$L)),0)</f>
        <v>6.2410166369989629E-15</v>
      </c>
      <c r="O2877" s="30">
        <f>IFERROR((VLOOKUP($A2877,HeadJournal!$A$1:$L$890,COLUMN(HeadJournal!L$1),0)*($K2877+$L2877)/(SUMIF($A:$A,$A2877,$K:$K)+SUMIF($A:$A,$A2877,$L:$L)))/VLOOKUP($A2877,HeadJournal!$A$1:$L$890,COLUMN(HeadJournal!H$1),0),0)</f>
        <v>1.496759555491983</v>
      </c>
      <c r="P2877" s="30">
        <f>IFERROR(SUM(K2877:O2877)*VLOOKUP($A2877,HeadJournal!$A$1:$L$890,COLUMN(HeadJournal!H$1),0),0)</f>
        <v>1889.2300781344893</v>
      </c>
      <c r="Q2877" s="29">
        <v>2600</v>
      </c>
      <c r="R2877" s="31">
        <v>45395</v>
      </c>
      <c r="S2877" s="31" t="s">
        <v>3121</v>
      </c>
      <c r="T2877" s="95" t="str">
        <f t="shared" si="228"/>
        <v>2024 04</v>
      </c>
      <c r="U2877" s="32">
        <f t="shared" si="225"/>
        <v>710.7699218655107</v>
      </c>
      <c r="V2877" s="22">
        <f t="shared" si="226"/>
        <v>0.37622200180475468</v>
      </c>
      <c r="X2877" s="33"/>
      <c r="Y2877" s="33"/>
    </row>
    <row r="2878" spans="1:25" x14ac:dyDescent="0.2">
      <c r="A2878" s="93" t="s">
        <v>1287</v>
      </c>
      <c r="B2878" s="94" t="str">
        <f>IFERROR(VLOOKUP($A2878,HeadJournal!$A$1:$NTR$890,COLUMN(HeadJournal!B$1),0),"")</f>
        <v>720000111573</v>
      </c>
      <c r="C2878" s="94" t="str">
        <f>IFERROR(VLOOKUP($A2878,HeadJournal!$A$1:$NTR$890,COLUMN(HeadJournal!C$1),0),"")</f>
        <v>iHerb_AV CYG0792</v>
      </c>
      <c r="D2878" s="125" t="str">
        <f>IFERROR(VLOOKUP($A2878,HeadJournal!$A$1:$NTR$890,COLUMN(HeadJournal!D$1),0),"")</f>
        <v>Доставлен</v>
      </c>
      <c r="E2878" s="95">
        <f>IFERROR(VLOOKUP($A2878,HeadJournal!$A$1:$NTR$890,COLUMN(HeadJournal!G$1),0),"")</f>
        <v>45322</v>
      </c>
      <c r="F2878" s="95" t="str">
        <f t="shared" si="227"/>
        <v>2024 01</v>
      </c>
      <c r="G2878" s="96" t="s">
        <v>7</v>
      </c>
      <c r="H2878" s="161" t="str">
        <f>RIGHT(Journal!$J2878,9)</f>
        <v>MPL-34771</v>
      </c>
      <c r="I2878" s="97" t="str">
        <f t="shared" si="229"/>
        <v>Medi-Peel</v>
      </c>
      <c r="J2878" s="97" t="s">
        <v>1288</v>
      </c>
      <c r="K2878" s="29">
        <v>22.71</v>
      </c>
      <c r="L2878" s="29">
        <v>-3.41</v>
      </c>
      <c r="M2878" s="30">
        <f>IFERROR(VLOOKUP($A2878,HeadJournal!$A$1:$J$890,COLUMN(HeadJournal!I$1),0)*($K2878+$L2878)/(SUMIF($A:$A,$A2878,$K:$K)+SUMIF($A:$A,$A2878,$L:$L)),0)</f>
        <v>-0.9501153799441322</v>
      </c>
      <c r="N2878" s="30">
        <f>IFERROR((VLOOKUP($A2878,HeadJournal!$A$1:$K$890,COLUMN(HeadJournal!K$1),0)-VLOOKUP($A2878,HeadJournal!$A$1:$K$890,COLUMN(HeadJournal!J$1),0))*($K2878+$L2878)/(SUMIF($A:$A,$A2878,$K:$K)+SUMIF($A:$A,$A2878,$L:$L)),0)</f>
        <v>6.6621471844070796E-15</v>
      </c>
      <c r="O2878" s="30">
        <f>IFERROR((VLOOKUP($A2878,HeadJournal!$A$1:$L$890,COLUMN(HeadJournal!L$1),0)*($K2878+$L2878)/(SUMIF($A:$A,$A2878,$K:$K)+SUMIF($A:$A,$A2878,$L:$L)))/VLOOKUP($A2878,HeadJournal!$A$1:$L$890,COLUMN(HeadJournal!H$1),0),0)</f>
        <v>1.5977577113382342</v>
      </c>
      <c r="P2878" s="30">
        <f>IFERROR(SUM(K2878:O2878)*VLOOKUP($A2878,HeadJournal!$A$1:$L$890,COLUMN(HeadJournal!H$1),0),0)</f>
        <v>2016.7113112829447</v>
      </c>
      <c r="Q2878" s="29"/>
      <c r="R2878" s="31"/>
      <c r="S2878" s="31"/>
      <c r="T2878" s="95" t="str">
        <f t="shared" si="228"/>
        <v/>
      </c>
      <c r="U2878" s="32">
        <f t="shared" si="225"/>
        <v>-2016.7113112829447</v>
      </c>
      <c r="V2878" s="22" t="str">
        <f t="shared" si="226"/>
        <v/>
      </c>
      <c r="X2878" s="33"/>
      <c r="Y2878" s="33"/>
    </row>
    <row r="2879" spans="1:25" x14ac:dyDescent="0.2">
      <c r="A2879" s="93" t="s">
        <v>1287</v>
      </c>
      <c r="B2879" s="94" t="str">
        <f>IFERROR(VLOOKUP($A2879,HeadJournal!$A$1:$NTR$890,COLUMN(HeadJournal!B$1),0),"")</f>
        <v>720000111573</v>
      </c>
      <c r="C2879" s="94" t="str">
        <f>IFERROR(VLOOKUP($A2879,HeadJournal!$A$1:$NTR$890,COLUMN(HeadJournal!C$1),0),"")</f>
        <v>iHerb_AV CYG0792</v>
      </c>
      <c r="D2879" s="125" t="str">
        <f>IFERROR(VLOOKUP($A2879,HeadJournal!$A$1:$NTR$890,COLUMN(HeadJournal!D$1),0),"")</f>
        <v>Доставлен</v>
      </c>
      <c r="E2879" s="95">
        <f>IFERROR(VLOOKUP($A2879,HeadJournal!$A$1:$NTR$890,COLUMN(HeadJournal!G$1),0),"")</f>
        <v>45322</v>
      </c>
      <c r="F2879" s="95" t="str">
        <f t="shared" si="227"/>
        <v>2024 01</v>
      </c>
      <c r="G2879" s="96" t="s">
        <v>5</v>
      </c>
      <c r="H2879" s="161" t="s">
        <v>2089</v>
      </c>
      <c r="I2879" s="97" t="s">
        <v>2005</v>
      </c>
      <c r="J2879" s="97" t="s">
        <v>3781</v>
      </c>
      <c r="K2879" s="29">
        <v>23.08</v>
      </c>
      <c r="L2879" s="29">
        <v>-3.46</v>
      </c>
      <c r="M2879" s="30">
        <f>IFERROR(VLOOKUP($A2879,HeadJournal!$A$1:$J$890,COLUMN(HeadJournal!I$1),0)*($K2879+$L2879)/(SUMIF($A:$A,$A2879,$K:$K)+SUMIF($A:$A,$A2879,$L:$L)),0)</f>
        <v>-0.96586858831626266</v>
      </c>
      <c r="N2879" s="30">
        <f>IFERROR((VLOOKUP($A2879,HeadJournal!$A$1:$K$890,COLUMN(HeadJournal!K$1),0)-VLOOKUP($A2879,HeadJournal!$A$1:$K$890,COLUMN(HeadJournal!J$1),0))*($K2879+$L2879)/(SUMIF($A:$A,$A2879,$K:$K)+SUMIF($A:$A,$A2879,$L:$L)),0)</f>
        <v>6.7726076558583878E-15</v>
      </c>
      <c r="O2879" s="30">
        <f>IFERROR((VLOOKUP($A2879,HeadJournal!$A$1:$L$890,COLUMN(HeadJournal!L$1),0)*($K2879+$L2879)/(SUMIF($A:$A,$A2879,$K:$K)+SUMIF($A:$A,$A2879,$L:$L)))/VLOOKUP($A2879,HeadJournal!$A$1:$L$890,COLUMN(HeadJournal!H$1),0),0)</f>
        <v>1.6242490309044637</v>
      </c>
      <c r="P2879" s="30">
        <f>IFERROR(SUM(K2879:O2879)*VLOOKUP($A2879,HeadJournal!$A$1:$L$890,COLUMN(HeadJournal!H$1),0),0)</f>
        <v>2050.1490117809003</v>
      </c>
      <c r="Q2879" s="29">
        <v>2900</v>
      </c>
      <c r="R2879" s="31">
        <v>45405</v>
      </c>
      <c r="S2879" s="31" t="s">
        <v>3121</v>
      </c>
      <c r="T2879" s="95" t="str">
        <f t="shared" si="228"/>
        <v>2024 04</v>
      </c>
      <c r="U2879" s="32">
        <f t="shared" si="225"/>
        <v>849.85098821909969</v>
      </c>
      <c r="V2879" s="22">
        <f t="shared" si="226"/>
        <v>0.41453132593560149</v>
      </c>
      <c r="X2879" s="33"/>
      <c r="Y2879" s="33"/>
    </row>
    <row r="2880" spans="1:25" x14ac:dyDescent="0.2">
      <c r="A2880" s="93" t="s">
        <v>1287</v>
      </c>
      <c r="B2880" s="94" t="str">
        <f>IFERROR(VLOOKUP($A2880,HeadJournal!$A$1:$NTR$890,COLUMN(HeadJournal!B$1),0),"")</f>
        <v>720000111573</v>
      </c>
      <c r="C2880" s="94" t="str">
        <f>IFERROR(VLOOKUP($A2880,HeadJournal!$A$1:$NTR$890,COLUMN(HeadJournal!C$1),0),"")</f>
        <v>iHerb_AV CYG0792</v>
      </c>
      <c r="D2880" s="125" t="str">
        <f>IFERROR(VLOOKUP($A2880,HeadJournal!$A$1:$NTR$890,COLUMN(HeadJournal!D$1),0),"")</f>
        <v>Доставлен</v>
      </c>
      <c r="E2880" s="95">
        <f>IFERROR(VLOOKUP($A2880,HeadJournal!$A$1:$NTR$890,COLUMN(HeadJournal!G$1),0),"")</f>
        <v>45322</v>
      </c>
      <c r="F2880" s="95" t="str">
        <f t="shared" si="227"/>
        <v>2024 01</v>
      </c>
      <c r="G2880" s="96" t="s">
        <v>5</v>
      </c>
      <c r="H2880" s="161" t="s">
        <v>2089</v>
      </c>
      <c r="I2880" s="97" t="s">
        <v>2005</v>
      </c>
      <c r="J2880" s="97" t="s">
        <v>3781</v>
      </c>
      <c r="K2880" s="29">
        <v>23.08</v>
      </c>
      <c r="L2880" s="29">
        <v>-3.46</v>
      </c>
      <c r="M2880" s="30">
        <f>IFERROR(VLOOKUP($A2880,HeadJournal!$A$1:$J$890,COLUMN(HeadJournal!I$1),0)*($K2880+$L2880)/(SUMIF($A:$A,$A2880,$K:$K)+SUMIF($A:$A,$A2880,$L:$L)),0)</f>
        <v>-0.96586858831626266</v>
      </c>
      <c r="N2880" s="30">
        <f>IFERROR((VLOOKUP($A2880,HeadJournal!$A$1:$K$890,COLUMN(HeadJournal!K$1),0)-VLOOKUP($A2880,HeadJournal!$A$1:$K$890,COLUMN(HeadJournal!J$1),0))*($K2880+$L2880)/(SUMIF($A:$A,$A2880,$K:$K)+SUMIF($A:$A,$A2880,$L:$L)),0)</f>
        <v>6.7726076558583878E-15</v>
      </c>
      <c r="O2880" s="30">
        <f>IFERROR((VLOOKUP($A2880,HeadJournal!$A$1:$L$890,COLUMN(HeadJournal!L$1),0)*($K2880+$L2880)/(SUMIF($A:$A,$A2880,$K:$K)+SUMIF($A:$A,$A2880,$L:$L)))/VLOOKUP($A2880,HeadJournal!$A$1:$L$890,COLUMN(HeadJournal!H$1),0),0)</f>
        <v>1.6242490309044637</v>
      </c>
      <c r="P2880" s="30">
        <f>IFERROR(SUM(K2880:O2880)*VLOOKUP($A2880,HeadJournal!$A$1:$L$890,COLUMN(HeadJournal!H$1),0),0)</f>
        <v>2050.1490117809003</v>
      </c>
      <c r="Q2880" s="29">
        <v>2900</v>
      </c>
      <c r="R2880" s="31">
        <v>45419</v>
      </c>
      <c r="S2880" s="31" t="s">
        <v>3121</v>
      </c>
      <c r="T2880" s="95" t="str">
        <f t="shared" si="228"/>
        <v>2024 05</v>
      </c>
      <c r="U2880" s="32">
        <f t="shared" si="225"/>
        <v>849.85098821909969</v>
      </c>
      <c r="V2880" s="22">
        <f t="shared" si="226"/>
        <v>0.41453132593560149</v>
      </c>
      <c r="X2880" s="33"/>
      <c r="Y2880" s="33"/>
    </row>
    <row r="2881" spans="1:25" x14ac:dyDescent="0.2">
      <c r="A2881" s="93" t="s">
        <v>1287</v>
      </c>
      <c r="B2881" s="94" t="str">
        <f>IFERROR(VLOOKUP($A2881,HeadJournal!$A$1:$NTR$890,COLUMN(HeadJournal!B$1),0),"")</f>
        <v>720000111573</v>
      </c>
      <c r="C2881" s="94" t="str">
        <f>IFERROR(VLOOKUP($A2881,HeadJournal!$A$1:$NTR$890,COLUMN(HeadJournal!C$1),0),"")</f>
        <v>iHerb_AV CYG0792</v>
      </c>
      <c r="D2881" s="125" t="str">
        <f>IFERROR(VLOOKUP($A2881,HeadJournal!$A$1:$NTR$890,COLUMN(HeadJournal!D$1),0),"")</f>
        <v>Доставлен</v>
      </c>
      <c r="E2881" s="95">
        <f>IFERROR(VLOOKUP($A2881,HeadJournal!$A$1:$NTR$890,COLUMN(HeadJournal!G$1),0),"")</f>
        <v>45322</v>
      </c>
      <c r="F2881" s="95" t="str">
        <f t="shared" si="227"/>
        <v>2024 01</v>
      </c>
      <c r="G2881" s="96" t="s">
        <v>5</v>
      </c>
      <c r="H2881" s="161" t="str">
        <f>RIGHT(Journal!$J2881,9)</f>
        <v>SWV-11613</v>
      </c>
      <c r="I2881" s="97" t="str">
        <f t="shared" si="229"/>
        <v>Swanson</v>
      </c>
      <c r="J2881" s="97" t="s">
        <v>835</v>
      </c>
      <c r="K2881" s="29">
        <v>8.17</v>
      </c>
      <c r="L2881" s="29">
        <v>-1.2250000000000001</v>
      </c>
      <c r="M2881" s="30">
        <f>IFERROR(VLOOKUP($A2881,HeadJournal!$A$1:$J$890,COLUMN(HeadJournal!I$1),0)*($K2881+$L2881)/(SUMIF($A:$A,$A2881,$K:$K)+SUMIF($A:$A,$A2881,$L:$L)),0)</f>
        <v>-0.34189385045139886</v>
      </c>
      <c r="N2881" s="30">
        <f>IFERROR((VLOOKUP($A2881,HeadJournal!$A$1:$K$890,COLUMN(HeadJournal!K$1),0)-VLOOKUP($A2881,HeadJournal!$A$1:$K$890,COLUMN(HeadJournal!J$1),0))*($K2881+$L2881)/(SUMIF($A:$A,$A2881,$K:$K)+SUMIF($A:$A,$A2881,$L:$L)),0)</f>
        <v>2.3973374194666926E-15</v>
      </c>
      <c r="O2881" s="30">
        <f>IFERROR((VLOOKUP($A2881,HeadJournal!$A$1:$L$890,COLUMN(HeadJournal!L$1),0)*($K2881+$L2881)/(SUMIF($A:$A,$A2881,$K:$K)+SUMIF($A:$A,$A2881,$L:$L)))/VLOOKUP($A2881,HeadJournal!$A$1:$L$890,COLUMN(HeadJournal!H$1),0),0)</f>
        <v>0.5749444199608309</v>
      </c>
      <c r="P2881" s="30">
        <f>IFERROR(SUM(K2881:O2881)*VLOOKUP($A2881,HeadJournal!$A$1:$L$890,COLUMN(HeadJournal!H$1),0),0)</f>
        <v>725.70259361969181</v>
      </c>
      <c r="Q2881" s="29">
        <v>1600</v>
      </c>
      <c r="R2881" s="31">
        <v>45353</v>
      </c>
      <c r="S2881" s="31" t="s">
        <v>3121</v>
      </c>
      <c r="T2881" s="95" t="str">
        <f t="shared" si="228"/>
        <v>2024 03</v>
      </c>
      <c r="U2881" s="32">
        <f t="shared" ref="U2881:U2944" si="230">Q2881-P2881</f>
        <v>874.29740638030819</v>
      </c>
      <c r="V2881" s="22">
        <f t="shared" ref="V2881:V2944" si="231">IF(Q2881&lt;&gt;0,IFERROR(U2881/P2881,""),"")</f>
        <v>1.2047599306755243</v>
      </c>
      <c r="X2881" s="33"/>
      <c r="Y2881" s="33"/>
    </row>
    <row r="2882" spans="1:25" x14ac:dyDescent="0.2">
      <c r="A2882" s="93" t="s">
        <v>1287</v>
      </c>
      <c r="B2882" s="94" t="str">
        <f>IFERROR(VLOOKUP($A2882,HeadJournal!$A$1:$NTR$890,COLUMN(HeadJournal!B$1),0),"")</f>
        <v>720000111573</v>
      </c>
      <c r="C2882" s="94" t="str">
        <f>IFERROR(VLOOKUP($A2882,HeadJournal!$A$1:$NTR$890,COLUMN(HeadJournal!C$1),0),"")</f>
        <v>iHerb_AV CYG0792</v>
      </c>
      <c r="D2882" s="125" t="str">
        <f>IFERROR(VLOOKUP($A2882,HeadJournal!$A$1:$NTR$890,COLUMN(HeadJournal!D$1),0),"")</f>
        <v>Доставлен</v>
      </c>
      <c r="E2882" s="95">
        <f>IFERROR(VLOOKUP($A2882,HeadJournal!$A$1:$NTR$890,COLUMN(HeadJournal!G$1),0),"")</f>
        <v>45322</v>
      </c>
      <c r="F2882" s="95" t="str">
        <f t="shared" si="227"/>
        <v>2024 01</v>
      </c>
      <c r="G2882" s="96" t="s">
        <v>5</v>
      </c>
      <c r="H2882" s="161" t="str">
        <f>RIGHT(Journal!$J2882,9)</f>
        <v>SWV-11613</v>
      </c>
      <c r="I2882" s="97" t="str">
        <f t="shared" si="229"/>
        <v>Swanson</v>
      </c>
      <c r="J2882" s="97" t="s">
        <v>835</v>
      </c>
      <c r="K2882" s="29">
        <v>8.17</v>
      </c>
      <c r="L2882" s="29">
        <v>-1.2250000000000001</v>
      </c>
      <c r="M2882" s="30">
        <f>IFERROR(VLOOKUP($A2882,HeadJournal!$A$1:$J$890,COLUMN(HeadJournal!I$1),0)*($K2882+$L2882)/(SUMIF($A:$A,$A2882,$K:$K)+SUMIF($A:$A,$A2882,$L:$L)),0)</f>
        <v>-0.34189385045139886</v>
      </c>
      <c r="N2882" s="30">
        <f>IFERROR((VLOOKUP($A2882,HeadJournal!$A$1:$K$890,COLUMN(HeadJournal!K$1),0)-VLOOKUP($A2882,HeadJournal!$A$1:$K$890,COLUMN(HeadJournal!J$1),0))*($K2882+$L2882)/(SUMIF($A:$A,$A2882,$K:$K)+SUMIF($A:$A,$A2882,$L:$L)),0)</f>
        <v>2.3973374194666926E-15</v>
      </c>
      <c r="O2882" s="30">
        <f>IFERROR((VLOOKUP($A2882,HeadJournal!$A$1:$L$890,COLUMN(HeadJournal!L$1),0)*($K2882+$L2882)/(SUMIF($A:$A,$A2882,$K:$K)+SUMIF($A:$A,$A2882,$L:$L)))/VLOOKUP($A2882,HeadJournal!$A$1:$L$890,COLUMN(HeadJournal!H$1),0),0)</f>
        <v>0.5749444199608309</v>
      </c>
      <c r="P2882" s="30">
        <f>IFERROR(SUM(K2882:O2882)*VLOOKUP($A2882,HeadJournal!$A$1:$L$890,COLUMN(HeadJournal!H$1),0),0)</f>
        <v>725.70259361969181</v>
      </c>
      <c r="Q2882" s="29">
        <v>1600</v>
      </c>
      <c r="R2882" s="31">
        <v>45353</v>
      </c>
      <c r="S2882" s="31" t="s">
        <v>3121</v>
      </c>
      <c r="T2882" s="95" t="str">
        <f t="shared" si="228"/>
        <v>2024 03</v>
      </c>
      <c r="U2882" s="32">
        <f t="shared" si="230"/>
        <v>874.29740638030819</v>
      </c>
      <c r="V2882" s="22">
        <f t="shared" si="231"/>
        <v>1.2047599306755243</v>
      </c>
      <c r="X2882" s="33"/>
      <c r="Y2882" s="33"/>
    </row>
    <row r="2883" spans="1:25" x14ac:dyDescent="0.2">
      <c r="A2883" s="93" t="s">
        <v>1287</v>
      </c>
      <c r="B2883" s="94" t="str">
        <f>IFERROR(VLOOKUP($A2883,HeadJournal!$A$1:$NTR$890,COLUMN(HeadJournal!B$1),0),"")</f>
        <v>720000111573</v>
      </c>
      <c r="C2883" s="94" t="str">
        <f>IFERROR(VLOOKUP($A2883,HeadJournal!$A$1:$NTR$890,COLUMN(HeadJournal!C$1),0),"")</f>
        <v>iHerb_AV CYG0792</v>
      </c>
      <c r="D2883" s="125" t="str">
        <f>IFERROR(VLOOKUP($A2883,HeadJournal!$A$1:$NTR$890,COLUMN(HeadJournal!D$1),0),"")</f>
        <v>Доставлен</v>
      </c>
      <c r="E2883" s="95">
        <f>IFERROR(VLOOKUP($A2883,HeadJournal!$A$1:$NTR$890,COLUMN(HeadJournal!G$1),0),"")</f>
        <v>45322</v>
      </c>
      <c r="F2883" s="95" t="str">
        <f t="shared" si="227"/>
        <v>2024 01</v>
      </c>
      <c r="G2883" s="96" t="s">
        <v>5</v>
      </c>
      <c r="H2883" s="161" t="s">
        <v>2189</v>
      </c>
      <c r="I2883" s="97" t="s">
        <v>2005</v>
      </c>
      <c r="J2883" s="97" t="s">
        <v>4154</v>
      </c>
      <c r="K2883" s="29">
        <v>30.48</v>
      </c>
      <c r="L2883" s="29">
        <v>-6.1</v>
      </c>
      <c r="M2883" s="30">
        <f>IFERROR(VLOOKUP($A2883,HeadJournal!$A$1:$J$890,COLUMN(HeadJournal!I$1),0)*($K2883+$L2883)/(SUMIF($A:$A,$A2883,$K:$K)+SUMIF($A:$A,$A2883,$L:$L)),0)</f>
        <v>-1.2001975628517072</v>
      </c>
      <c r="N2883" s="30">
        <f>IFERROR((VLOOKUP($A2883,HeadJournal!$A$1:$K$890,COLUMN(HeadJournal!K$1),0)-VLOOKUP($A2883,HeadJournal!$A$1:$K$890,COLUMN(HeadJournal!J$1),0))*($K2883+$L2883)/(SUMIF($A:$A,$A2883,$K:$K)+SUMIF($A:$A,$A2883,$L:$L)),0)</f>
        <v>8.4157071686966126E-15</v>
      </c>
      <c r="O2883" s="30">
        <f>IFERROR((VLOOKUP($A2883,HeadJournal!$A$1:$L$890,COLUMN(HeadJournal!L$1),0)*($K2883+$L2883)/(SUMIF($A:$A,$A2883,$K:$K)+SUMIF($A:$A,$A2883,$L:$L)))/VLOOKUP($A2883,HeadJournal!$A$1:$L$890,COLUMN(HeadJournal!H$1),0),0)</f>
        <v>2.0183074094521323</v>
      </c>
      <c r="P2883" s="30">
        <f>IFERROR(SUM(K2883:O2883)*VLOOKUP($A2883,HeadJournal!$A$1:$L$890,COLUMN(HeadJournal!H$1),0),0)</f>
        <v>2547.5348066879897</v>
      </c>
      <c r="Q2883" s="29">
        <v>3700</v>
      </c>
      <c r="R2883" s="31">
        <v>45383</v>
      </c>
      <c r="S2883" s="31" t="s">
        <v>3121</v>
      </c>
      <c r="T2883" s="95" t="str">
        <f t="shared" si="228"/>
        <v>2024 04</v>
      </c>
      <c r="U2883" s="32">
        <f t="shared" si="230"/>
        <v>1152.4651933120103</v>
      </c>
      <c r="V2883" s="22">
        <f t="shared" si="231"/>
        <v>0.45238447391826314</v>
      </c>
      <c r="X2883" s="33"/>
      <c r="Y2883" s="33"/>
    </row>
    <row r="2884" spans="1:25" x14ac:dyDescent="0.2">
      <c r="A2884" s="93" t="s">
        <v>1287</v>
      </c>
      <c r="B2884" s="94" t="str">
        <f>IFERROR(VLOOKUP($A2884,HeadJournal!$A$1:$NTR$890,COLUMN(HeadJournal!B$1),0),"")</f>
        <v>720000111573</v>
      </c>
      <c r="C2884" s="94" t="str">
        <f>IFERROR(VLOOKUP($A2884,HeadJournal!$A$1:$NTR$890,COLUMN(HeadJournal!C$1),0),"")</f>
        <v>iHerb_AV CYG0792</v>
      </c>
      <c r="D2884" s="125" t="str">
        <f>IFERROR(VLOOKUP($A2884,HeadJournal!$A$1:$NTR$890,COLUMN(HeadJournal!D$1),0),"")</f>
        <v>Доставлен</v>
      </c>
      <c r="E2884" s="95">
        <f>IFERROR(VLOOKUP($A2884,HeadJournal!$A$1:$NTR$890,COLUMN(HeadJournal!G$1),0),"")</f>
        <v>45322</v>
      </c>
      <c r="F2884" s="95" t="str">
        <f t="shared" ref="F2884:F2947" si="232">IFERROR(TEXT(E2884, "ГГГГ ММ"),"")</f>
        <v>2024 01</v>
      </c>
      <c r="G2884" s="96" t="s">
        <v>5</v>
      </c>
      <c r="H2884" s="161" t="s">
        <v>3642</v>
      </c>
      <c r="I2884" s="97" t="s">
        <v>2681</v>
      </c>
      <c r="J2884" s="97" t="s">
        <v>3691</v>
      </c>
      <c r="K2884" s="29">
        <v>16.79</v>
      </c>
      <c r="L2884" s="29">
        <v>-2.52</v>
      </c>
      <c r="M2884" s="30">
        <f>IFERROR(VLOOKUP($A2884,HeadJournal!$A$1:$J$890,COLUMN(HeadJournal!I$1),0)*($K2884+$L2884)/(SUMIF($A:$A,$A2884,$K:$K)+SUMIF($A:$A,$A2884,$L:$L)),0)</f>
        <v>-0.70249463584470295</v>
      </c>
      <c r="N2884" s="30">
        <f>IFERROR((VLOOKUP($A2884,HeadJournal!$A$1:$K$890,COLUMN(HeadJournal!K$1),0)-VLOOKUP($A2884,HeadJournal!$A$1:$K$890,COLUMN(HeadJournal!J$1),0))*($K2884+$L2884)/(SUMIF($A:$A,$A2884,$K:$K)+SUMIF($A:$A,$A2884,$L:$L)),0)</f>
        <v>4.9258466487818149E-15</v>
      </c>
      <c r="O2884" s="30">
        <f>IFERROR((VLOOKUP($A2884,HeadJournal!$A$1:$L$890,COLUMN(HeadJournal!L$1),0)*($K2884+$L2884)/(SUMIF($A:$A,$A2884,$K:$K)+SUMIF($A:$A,$A2884,$L:$L)))/VLOOKUP($A2884,HeadJournal!$A$1:$L$890,COLUMN(HeadJournal!H$1),0),0)</f>
        <v>1.1813472819065596</v>
      </c>
      <c r="P2884" s="30">
        <f>IFERROR(SUM(K2884:O2884)*VLOOKUP($A2884,HeadJournal!$A$1:$L$890,COLUMN(HeadJournal!H$1),0),0)</f>
        <v>1491.1124565807058</v>
      </c>
      <c r="Q2884" s="29">
        <v>2300</v>
      </c>
      <c r="R2884" s="31">
        <v>45542</v>
      </c>
      <c r="S2884" s="31" t="s">
        <v>3121</v>
      </c>
      <c r="T2884" s="95" t="str">
        <f t="shared" ref="T2884:T2947" si="233">IF(R2884="","",TEXT(R2884,"ГГГГ ММ"))</f>
        <v>2024 09</v>
      </c>
      <c r="U2884" s="32">
        <f t="shared" si="230"/>
        <v>808.88754341929416</v>
      </c>
      <c r="V2884" s="22">
        <f t="shared" si="231"/>
        <v>0.54247252770871979</v>
      </c>
      <c r="X2884" s="33"/>
      <c r="Y2884" s="33"/>
    </row>
    <row r="2885" spans="1:25" x14ac:dyDescent="0.2">
      <c r="A2885" s="93" t="s">
        <v>1287</v>
      </c>
      <c r="B2885" s="94" t="str">
        <f>IFERROR(VLOOKUP($A2885,HeadJournal!$A$1:$NTR$890,COLUMN(HeadJournal!B$1),0),"")</f>
        <v>720000111573</v>
      </c>
      <c r="C2885" s="94" t="str">
        <f>IFERROR(VLOOKUP($A2885,HeadJournal!$A$1:$NTR$890,COLUMN(HeadJournal!C$1),0),"")</f>
        <v>iHerb_AV CYG0792</v>
      </c>
      <c r="D2885" s="125" t="str">
        <f>IFERROR(VLOOKUP($A2885,HeadJournal!$A$1:$NTR$890,COLUMN(HeadJournal!D$1),0),"")</f>
        <v>Доставлен</v>
      </c>
      <c r="E2885" s="95">
        <f>IFERROR(VLOOKUP($A2885,HeadJournal!$A$1:$NTR$890,COLUMN(HeadJournal!G$1),0),"")</f>
        <v>45322</v>
      </c>
      <c r="F2885" s="95" t="str">
        <f t="shared" si="232"/>
        <v>2024 01</v>
      </c>
      <c r="G2885" s="96" t="s">
        <v>5</v>
      </c>
      <c r="H2885" s="161" t="s">
        <v>4039</v>
      </c>
      <c r="I2885" s="97" t="s">
        <v>2239</v>
      </c>
      <c r="J2885" s="97" t="s">
        <v>4040</v>
      </c>
      <c r="K2885" s="29">
        <v>20.55</v>
      </c>
      <c r="L2885" s="29">
        <v>-3.08</v>
      </c>
      <c r="M2885" s="30">
        <f>IFERROR(VLOOKUP($A2885,HeadJournal!$A$1:$J$890,COLUMN(HeadJournal!I$1),0)*($K2885+$L2885)/(SUMIF($A:$A,$A2885,$K:$K)+SUMIF($A:$A,$A2885,$L:$L)),0)</f>
        <v>-0.86002671956600973</v>
      </c>
      <c r="N2885" s="30">
        <f>IFERROR((VLOOKUP($A2885,HeadJournal!$A$1:$K$890,COLUMN(HeadJournal!K$1),0)-VLOOKUP($A2885,HeadJournal!$A$1:$K$890,COLUMN(HeadJournal!J$1),0))*($K2885+$L2885)/(SUMIF($A:$A,$A2885,$K:$K)+SUMIF($A:$A,$A2885,$L:$L)),0)</f>
        <v>6.0304513632949053E-15</v>
      </c>
      <c r="O2885" s="30">
        <f>IFERROR((VLOOKUP($A2885,HeadJournal!$A$1:$L$890,COLUMN(HeadJournal!L$1),0)*($K2885+$L2885)/(SUMIF($A:$A,$A2885,$K:$K)+SUMIF($A:$A,$A2885,$L:$L)))/VLOOKUP($A2885,HeadJournal!$A$1:$L$890,COLUMN(HeadJournal!H$1),0),0)</f>
        <v>1.4462604775688572</v>
      </c>
      <c r="P2885" s="30">
        <f>IFERROR(SUM(K2885:O2885)*VLOOKUP($A2885,HeadJournal!$A$1:$L$890,COLUMN(HeadJournal!H$1),0),0)</f>
        <v>1825.4894615602614</v>
      </c>
      <c r="Q2885" s="29">
        <v>2400</v>
      </c>
      <c r="R2885" s="31">
        <v>45449</v>
      </c>
      <c r="S2885" s="31" t="s">
        <v>3121</v>
      </c>
      <c r="T2885" s="95" t="str">
        <f t="shared" si="233"/>
        <v>2024 06</v>
      </c>
      <c r="U2885" s="32">
        <f t="shared" si="230"/>
        <v>574.51053843973864</v>
      </c>
      <c r="V2885" s="22">
        <f t="shared" si="231"/>
        <v>0.31471588882726259</v>
      </c>
      <c r="X2885" s="33"/>
      <c r="Y2885" s="33"/>
    </row>
    <row r="2886" spans="1:25" x14ac:dyDescent="0.2">
      <c r="A2886" s="93" t="s">
        <v>1287</v>
      </c>
      <c r="B2886" s="94" t="str">
        <f>IFERROR(VLOOKUP($A2886,HeadJournal!$A$1:$NTR$890,COLUMN(HeadJournal!B$1),0),"")</f>
        <v>720000111573</v>
      </c>
      <c r="C2886" s="94" t="str">
        <f>IFERROR(VLOOKUP($A2886,HeadJournal!$A$1:$NTR$890,COLUMN(HeadJournal!C$1),0),"")</f>
        <v>iHerb_AV CYG0792</v>
      </c>
      <c r="D2886" s="125" t="str">
        <f>IFERROR(VLOOKUP($A2886,HeadJournal!$A$1:$NTR$890,COLUMN(HeadJournal!D$1),0),"")</f>
        <v>Доставлен</v>
      </c>
      <c r="E2886" s="95">
        <f>IFERROR(VLOOKUP($A2886,HeadJournal!$A$1:$NTR$890,COLUMN(HeadJournal!G$1),0),"")</f>
        <v>45322</v>
      </c>
      <c r="F2886" s="95" t="str">
        <f t="shared" si="232"/>
        <v>2024 01</v>
      </c>
      <c r="G2886" s="96" t="s">
        <v>5</v>
      </c>
      <c r="H2886" s="161" t="s">
        <v>2217</v>
      </c>
      <c r="I2886" s="97" t="s">
        <v>2218</v>
      </c>
      <c r="J2886" s="97" t="s">
        <v>2219</v>
      </c>
      <c r="K2886" s="29">
        <v>28.05</v>
      </c>
      <c r="L2886" s="29">
        <v>-4.21</v>
      </c>
      <c r="M2886" s="30">
        <f>IFERROR(VLOOKUP($A2886,HeadJournal!$A$1:$J$890,COLUMN(HeadJournal!I$1),0)*($K2886+$L2886)/(SUMIF($A:$A,$A2886,$K:$K)+SUMIF($A:$A,$A2886,$L:$L)),0)</f>
        <v>-1.1736140237237365</v>
      </c>
      <c r="N2886" s="30">
        <f>IFERROR((VLOOKUP($A2886,HeadJournal!$A$1:$K$890,COLUMN(HeadJournal!K$1),0)-VLOOKUP($A2886,HeadJournal!$A$1:$K$890,COLUMN(HeadJournal!J$1),0))*($K2886+$L2886)/(SUMIF($A:$A,$A2886,$K:$K)+SUMIF($A:$A,$A2886,$L:$L)),0)</f>
        <v>8.2293051231225265E-15</v>
      </c>
      <c r="O2886" s="30">
        <f>IFERROR((VLOOKUP($A2886,HeadJournal!$A$1:$L$890,COLUMN(HeadJournal!L$1),0)*($K2886+$L2886)/(SUMIF($A:$A,$A2886,$K:$K)+SUMIF($A:$A,$A2886,$L:$L)))/VLOOKUP($A2886,HeadJournal!$A$1:$L$890,COLUMN(HeadJournal!H$1),0),0)</f>
        <v>1.9736033076841193</v>
      </c>
      <c r="P2886" s="30">
        <f>IFERROR(SUM(K2886:O2886)*VLOOKUP($A2886,HeadJournal!$A$1:$L$890,COLUMN(HeadJournal!H$1),0),0)</f>
        <v>2491.1086870976892</v>
      </c>
      <c r="Q2886" s="29">
        <v>3350</v>
      </c>
      <c r="R2886" s="31">
        <v>45356</v>
      </c>
      <c r="S2886" s="31" t="s">
        <v>3121</v>
      </c>
      <c r="T2886" s="95" t="str">
        <f t="shared" si="233"/>
        <v>2024 03</v>
      </c>
      <c r="U2886" s="32">
        <f t="shared" si="230"/>
        <v>858.8913129023108</v>
      </c>
      <c r="V2886" s="22">
        <f t="shared" si="231"/>
        <v>0.34478275369950939</v>
      </c>
      <c r="X2886" s="33"/>
      <c r="Y2886" s="33"/>
    </row>
    <row r="2887" spans="1:25" x14ac:dyDescent="0.2">
      <c r="A2887" s="93" t="s">
        <v>1287</v>
      </c>
      <c r="B2887" s="94" t="str">
        <f>IFERROR(VLOOKUP($A2887,HeadJournal!$A$1:$NTR$890,COLUMN(HeadJournal!B$1),0),"")</f>
        <v>720000111573</v>
      </c>
      <c r="C2887" s="94" t="str">
        <f>IFERROR(VLOOKUP($A2887,HeadJournal!$A$1:$NTR$890,COLUMN(HeadJournal!C$1),0),"")</f>
        <v>iHerb_AV CYG0792</v>
      </c>
      <c r="D2887" s="125" t="str">
        <f>IFERROR(VLOOKUP($A2887,HeadJournal!$A$1:$NTR$890,COLUMN(HeadJournal!D$1),0),"")</f>
        <v>Доставлен</v>
      </c>
      <c r="E2887" s="95">
        <f>IFERROR(VLOOKUP($A2887,HeadJournal!$A$1:$NTR$890,COLUMN(HeadJournal!G$1),0),"")</f>
        <v>45322</v>
      </c>
      <c r="F2887" s="95" t="str">
        <f t="shared" si="232"/>
        <v>2024 01</v>
      </c>
      <c r="G2887" s="96" t="s">
        <v>5</v>
      </c>
      <c r="H2887" s="161" t="s">
        <v>4093</v>
      </c>
      <c r="I2887" s="97" t="s">
        <v>2657</v>
      </c>
      <c r="J2887" s="97" t="s">
        <v>4094</v>
      </c>
      <c r="K2887" s="29">
        <v>13</v>
      </c>
      <c r="L2887" s="29">
        <v>-7.01</v>
      </c>
      <c r="M2887" s="30">
        <f>IFERROR(VLOOKUP($A2887,HeadJournal!$A$1:$J$890,COLUMN(HeadJournal!I$1),0)*($K2887+$L2887)/(SUMIF($A:$A,$A2887,$K:$K)+SUMIF($A:$A,$A2887,$L:$L)),0)</f>
        <v>-0.29488036921582134</v>
      </c>
      <c r="N2887" s="30">
        <f>IFERROR((VLOOKUP($A2887,HeadJournal!$A$1:$K$890,COLUMN(HeadJournal!K$1),0)-VLOOKUP($A2887,HeadJournal!$A$1:$K$890,COLUMN(HeadJournal!J$1),0))*($K2887+$L2887)/(SUMIF($A:$A,$A2887,$K:$K)+SUMIF($A:$A,$A2887,$L:$L)),0)</f>
        <v>2.067681949979192E-15</v>
      </c>
      <c r="O2887" s="30">
        <f>IFERROR((VLOOKUP($A2887,HeadJournal!$A$1:$L$890,COLUMN(HeadJournal!L$1),0)*($K2887+$L2887)/(SUMIF($A:$A,$A2887,$K:$K)+SUMIF($A:$A,$A2887,$L:$L)))/VLOOKUP($A2887,HeadJournal!$A$1:$L$890,COLUMN(HeadJournal!H$1),0),0)</f>
        <v>0.4958843881303639</v>
      </c>
      <c r="P2887" s="30">
        <f>IFERROR(SUM(K2887:O2887)*VLOOKUP($A2887,HeadJournal!$A$1:$L$890,COLUMN(HeadJournal!H$1),0),0)</f>
        <v>625.91195619610562</v>
      </c>
      <c r="Q2887" s="29">
        <v>1700</v>
      </c>
      <c r="R2887" s="31">
        <v>45405</v>
      </c>
      <c r="S2887" s="31" t="s">
        <v>3121</v>
      </c>
      <c r="T2887" s="95" t="str">
        <f t="shared" si="233"/>
        <v>2024 04</v>
      </c>
      <c r="U2887" s="32">
        <f t="shared" si="230"/>
        <v>1074.0880438038944</v>
      </c>
      <c r="V2887" s="22">
        <f t="shared" si="231"/>
        <v>1.7160369492404615</v>
      </c>
      <c r="X2887" s="33"/>
      <c r="Y2887" s="33"/>
    </row>
    <row r="2888" spans="1:25" x14ac:dyDescent="0.2">
      <c r="A2888" s="93" t="s">
        <v>1287</v>
      </c>
      <c r="B2888" s="94" t="str">
        <f>IFERROR(VLOOKUP($A2888,HeadJournal!$A$1:$NTR$890,COLUMN(HeadJournal!B$1),0),"")</f>
        <v>720000111573</v>
      </c>
      <c r="C2888" s="94" t="str">
        <f>IFERROR(VLOOKUP($A2888,HeadJournal!$A$1:$NTR$890,COLUMN(HeadJournal!C$1),0),"")</f>
        <v>iHerb_AV CYG0792</v>
      </c>
      <c r="D2888" s="125" t="str">
        <f>IFERROR(VLOOKUP($A2888,HeadJournal!$A$1:$NTR$890,COLUMN(HeadJournal!D$1),0),"")</f>
        <v>Доставлен</v>
      </c>
      <c r="E2888" s="95">
        <f>IFERROR(VLOOKUP($A2888,HeadJournal!$A$1:$NTR$890,COLUMN(HeadJournal!G$1),0),"")</f>
        <v>45322</v>
      </c>
      <c r="F2888" s="95" t="str">
        <f t="shared" si="232"/>
        <v>2024 01</v>
      </c>
      <c r="G2888" s="96" t="s">
        <v>5</v>
      </c>
      <c r="H2888" s="161" t="s">
        <v>2024</v>
      </c>
      <c r="I2888" s="97" t="s">
        <v>2005</v>
      </c>
      <c r="J2888" s="97" t="s">
        <v>4140</v>
      </c>
      <c r="K2888" s="29">
        <v>18.59</v>
      </c>
      <c r="L2888" s="29">
        <v>-2.79</v>
      </c>
      <c r="M2888" s="30">
        <f>IFERROR(VLOOKUP($A2888,HeadJournal!$A$1:$J$890,COLUMN(HeadJournal!I$1),0)*($K2888+$L2888)/(SUMIF($A:$A,$A2888,$K:$K)+SUMIF($A:$A,$A2888,$L:$L)),0)</f>
        <v>-0.77781466337395277</v>
      </c>
      <c r="N2888" s="30">
        <f>IFERROR((VLOOKUP($A2888,HeadJournal!$A$1:$K$890,COLUMN(HeadJournal!K$1),0)-VLOOKUP($A2888,HeadJournal!$A$1:$K$890,COLUMN(HeadJournal!J$1),0))*($K2888+$L2888)/(SUMIF($A:$A,$A2888,$K:$K)+SUMIF($A:$A,$A2888,$L:$L)),0)</f>
        <v>5.4539857779083867E-15</v>
      </c>
      <c r="O2888" s="30">
        <f>IFERROR((VLOOKUP($A2888,HeadJournal!$A$1:$L$890,COLUMN(HeadJournal!L$1),0)*($K2888+$L2888)/(SUMIF($A:$A,$A2888,$K:$K)+SUMIF($A:$A,$A2888,$L:$L)))/VLOOKUP($A2888,HeadJournal!$A$1:$L$890,COLUMN(HeadJournal!H$1),0),0)</f>
        <v>1.3080089035825959</v>
      </c>
      <c r="P2888" s="30">
        <f>IFERROR(SUM(K2888:O2888)*VLOOKUP($A2888,HeadJournal!$A$1:$L$890,COLUMN(HeadJournal!H$1),0),0)</f>
        <v>1650.9864620865558</v>
      </c>
      <c r="Q2888" s="29">
        <v>2500</v>
      </c>
      <c r="R2888" s="31">
        <v>45490</v>
      </c>
      <c r="S2888" s="31" t="s">
        <v>3121</v>
      </c>
      <c r="T2888" s="95" t="str">
        <f t="shared" si="233"/>
        <v>2024 07</v>
      </c>
      <c r="U2888" s="32">
        <f t="shared" si="230"/>
        <v>849.01353791344422</v>
      </c>
      <c r="V2888" s="22">
        <f t="shared" si="231"/>
        <v>0.51424621425450145</v>
      </c>
      <c r="X2888" s="33"/>
      <c r="Y2888" s="33"/>
    </row>
    <row r="2889" spans="1:25" x14ac:dyDescent="0.2">
      <c r="A2889" s="93" t="s">
        <v>1289</v>
      </c>
      <c r="B2889" s="94" t="str">
        <f>IFERROR(VLOOKUP($A2889,HeadJournal!$A$1:$NTR$890,COLUMN(HeadJournal!B$1),0),"")</f>
        <v>720000106807</v>
      </c>
      <c r="C2889" s="94" t="str">
        <f>IFERROR(VLOOKUP($A2889,HeadJournal!$A$1:$NTR$890,COLUMN(HeadJournal!C$1),0),"")</f>
        <v>iHerb_OA CZN6870</v>
      </c>
      <c r="D2889" s="125" t="str">
        <f>IFERROR(VLOOKUP($A2889,HeadJournal!$A$1:$NTR$890,COLUMN(HeadJournal!D$1),0),"")</f>
        <v>Доставлен</v>
      </c>
      <c r="E2889" s="95">
        <f>IFERROR(VLOOKUP($A2889,HeadJournal!$A$1:$NTR$890,COLUMN(HeadJournal!G$1),0),"")</f>
        <v>45319</v>
      </c>
      <c r="F2889" s="95" t="str">
        <f t="shared" si="232"/>
        <v>2024 01</v>
      </c>
      <c r="G2889" s="96" t="s">
        <v>5</v>
      </c>
      <c r="H2889" s="161" t="s">
        <v>3623</v>
      </c>
      <c r="I2889" s="97" t="s">
        <v>2218</v>
      </c>
      <c r="J2889" s="97" t="s">
        <v>3665</v>
      </c>
      <c r="K2889" s="29">
        <v>17.63</v>
      </c>
      <c r="L2889" s="29">
        <v>-2.64</v>
      </c>
      <c r="M2889" s="30">
        <f>IFERROR(VLOOKUP($A2889,HeadJournal!$A$1:$J$890,COLUMN(HeadJournal!I$1),0)*($K2889+$L2889)/(SUMIF($A:$A,$A2889,$K:$K)+SUMIF($A:$A,$A2889,$L:$L)),0)</f>
        <v>-1.0980929088193081</v>
      </c>
      <c r="N2889" s="30">
        <f>IFERROR((VLOOKUP($A2889,HeadJournal!$A$1:$K$890,COLUMN(HeadJournal!K$1),0)-VLOOKUP($A2889,HeadJournal!$A$1:$K$890,COLUMN(HeadJournal!J$1),0))*($K2889+$L2889)/(SUMIF($A:$A,$A2889,$K:$K)+SUMIF($A:$A,$A2889,$L:$L)),0)</f>
        <v>-2.4957758962054773E-15</v>
      </c>
      <c r="O2889" s="30">
        <f>IFERROR((VLOOKUP($A2889,HeadJournal!$A$1:$L$890,COLUMN(HeadJournal!L$1),0)*($K2889+$L2889)/(SUMIF($A:$A,$A2889,$K:$K)+SUMIF($A:$A,$A2889,$L:$L)))/VLOOKUP($A2889,HeadJournal!$A$1:$L$890,COLUMN(HeadJournal!H$1),0),0)</f>
        <v>0.89563633490003347</v>
      </c>
      <c r="P2889" s="30">
        <f>IFERROR(SUM(K2889:O2889)*VLOOKUP($A2889,HeadJournal!$A$1:$L$890,COLUMN(HeadJournal!H$1),0),0)</f>
        <v>1498.6838756919828</v>
      </c>
      <c r="Q2889" s="29">
        <v>2300</v>
      </c>
      <c r="R2889" s="31">
        <v>45388</v>
      </c>
      <c r="S2889" s="31" t="s">
        <v>3121</v>
      </c>
      <c r="T2889" s="95" t="str">
        <f t="shared" si="233"/>
        <v>2024 04</v>
      </c>
      <c r="U2889" s="32">
        <f t="shared" si="230"/>
        <v>801.31612430801715</v>
      </c>
      <c r="V2889" s="22">
        <f t="shared" si="231"/>
        <v>0.53467988633562091</v>
      </c>
      <c r="X2889" s="33"/>
      <c r="Y2889" s="33"/>
    </row>
    <row r="2890" spans="1:25" x14ac:dyDescent="0.2">
      <c r="A2890" s="93" t="s">
        <v>1289</v>
      </c>
      <c r="B2890" s="94" t="str">
        <f>IFERROR(VLOOKUP($A2890,HeadJournal!$A$1:$NTR$890,COLUMN(HeadJournal!B$1),0),"")</f>
        <v>720000106807</v>
      </c>
      <c r="C2890" s="94" t="str">
        <f>IFERROR(VLOOKUP($A2890,HeadJournal!$A$1:$NTR$890,COLUMN(HeadJournal!C$1),0),"")</f>
        <v>iHerb_OA CZN6870</v>
      </c>
      <c r="D2890" s="125" t="str">
        <f>IFERROR(VLOOKUP($A2890,HeadJournal!$A$1:$NTR$890,COLUMN(HeadJournal!D$1),0),"")</f>
        <v>Доставлен</v>
      </c>
      <c r="E2890" s="95">
        <f>IFERROR(VLOOKUP($A2890,HeadJournal!$A$1:$NTR$890,COLUMN(HeadJournal!G$1),0),"")</f>
        <v>45319</v>
      </c>
      <c r="F2890" s="95" t="str">
        <f t="shared" si="232"/>
        <v>2024 01</v>
      </c>
      <c r="G2890" s="96" t="s">
        <v>5</v>
      </c>
      <c r="H2890" s="161" t="s">
        <v>2439</v>
      </c>
      <c r="I2890" s="97" t="s">
        <v>2042</v>
      </c>
      <c r="J2890" s="97" t="s">
        <v>2440</v>
      </c>
      <c r="K2890" s="29">
        <v>39.24</v>
      </c>
      <c r="L2890" s="29">
        <v>-5.8849999999999998</v>
      </c>
      <c r="M2890" s="30">
        <f>IFERROR(VLOOKUP($A2890,HeadJournal!$A$1:$J$890,COLUMN(HeadJournal!I$1),0)*($K2890+$L2890)/(SUMIF($A:$A,$A2890,$K:$K)+SUMIF($A:$A,$A2890,$L:$L)),0)</f>
        <v>-2.4434215459418298</v>
      </c>
      <c r="N2890" s="30">
        <f>IFERROR((VLOOKUP($A2890,HeadJournal!$A$1:$K$890,COLUMN(HeadJournal!K$1),0)-VLOOKUP($A2890,HeadJournal!$A$1:$K$890,COLUMN(HeadJournal!J$1),0))*($K2890+$L2890)/(SUMIF($A:$A,$A2890,$K:$K)+SUMIF($A:$A,$A2890,$L:$L)),0)</f>
        <v>-5.5534759851857046E-15</v>
      </c>
      <c r="O2890" s="30">
        <f>IFERROR((VLOOKUP($A2890,HeadJournal!$A$1:$L$890,COLUMN(HeadJournal!L$1),0)*($K2890+$L2890)/(SUMIF($A:$A,$A2890,$K:$K)+SUMIF($A:$A,$A2890,$L:$L)))/VLOOKUP($A2890,HeadJournal!$A$1:$L$890,COLUMN(HeadJournal!H$1),0),0)</f>
        <v>1.9929252802261928</v>
      </c>
      <c r="P2890" s="30">
        <f>IFERROR(SUM(K2890:O2890)*VLOOKUP($A2890,HeadJournal!$A$1:$L$890,COLUMN(HeadJournal!H$1),0),0)</f>
        <v>3334.796575964383</v>
      </c>
      <c r="Q2890" s="29">
        <v>4400</v>
      </c>
      <c r="R2890" s="31">
        <v>45352</v>
      </c>
      <c r="S2890" s="31" t="s">
        <v>3121</v>
      </c>
      <c r="T2890" s="95" t="str">
        <f t="shared" si="233"/>
        <v>2024 03</v>
      </c>
      <c r="U2890" s="32">
        <f t="shared" si="230"/>
        <v>1065.203424035617</v>
      </c>
      <c r="V2890" s="22">
        <f t="shared" si="231"/>
        <v>0.319420810166681</v>
      </c>
      <c r="X2890" s="33"/>
      <c r="Y2890" s="33"/>
    </row>
    <row r="2891" spans="1:25" x14ac:dyDescent="0.2">
      <c r="A2891" s="93" t="s">
        <v>1289</v>
      </c>
      <c r="B2891" s="94" t="str">
        <f>IFERROR(VLOOKUP($A2891,HeadJournal!$A$1:$NTR$890,COLUMN(HeadJournal!B$1),0),"")</f>
        <v>720000106807</v>
      </c>
      <c r="C2891" s="94" t="str">
        <f>IFERROR(VLOOKUP($A2891,HeadJournal!$A$1:$NTR$890,COLUMN(HeadJournal!C$1),0),"")</f>
        <v>iHerb_OA CZN6870</v>
      </c>
      <c r="D2891" s="125" t="str">
        <f>IFERROR(VLOOKUP($A2891,HeadJournal!$A$1:$NTR$890,COLUMN(HeadJournal!D$1),0),"")</f>
        <v>Доставлен</v>
      </c>
      <c r="E2891" s="95">
        <f>IFERROR(VLOOKUP($A2891,HeadJournal!$A$1:$NTR$890,COLUMN(HeadJournal!G$1),0),"")</f>
        <v>45319</v>
      </c>
      <c r="F2891" s="95" t="str">
        <f t="shared" si="232"/>
        <v>2024 01</v>
      </c>
      <c r="G2891" s="96" t="s">
        <v>5</v>
      </c>
      <c r="H2891" s="161" t="s">
        <v>2439</v>
      </c>
      <c r="I2891" s="97" t="s">
        <v>2042</v>
      </c>
      <c r="J2891" s="97" t="s">
        <v>2440</v>
      </c>
      <c r="K2891" s="29">
        <v>39.24</v>
      </c>
      <c r="L2891" s="29">
        <v>-5.8849999999999998</v>
      </c>
      <c r="M2891" s="30">
        <f>IFERROR(VLOOKUP($A2891,HeadJournal!$A$1:$J$890,COLUMN(HeadJournal!I$1),0)*($K2891+$L2891)/(SUMIF($A:$A,$A2891,$K:$K)+SUMIF($A:$A,$A2891,$L:$L)),0)</f>
        <v>-2.4434215459418298</v>
      </c>
      <c r="N2891" s="30">
        <f>IFERROR((VLOOKUP($A2891,HeadJournal!$A$1:$K$890,COLUMN(HeadJournal!K$1),0)-VLOOKUP($A2891,HeadJournal!$A$1:$K$890,COLUMN(HeadJournal!J$1),0))*($K2891+$L2891)/(SUMIF($A:$A,$A2891,$K:$K)+SUMIF($A:$A,$A2891,$L:$L)),0)</f>
        <v>-5.5534759851857046E-15</v>
      </c>
      <c r="O2891" s="30">
        <f>IFERROR((VLOOKUP($A2891,HeadJournal!$A$1:$L$890,COLUMN(HeadJournal!L$1),0)*($K2891+$L2891)/(SUMIF($A:$A,$A2891,$K:$K)+SUMIF($A:$A,$A2891,$L:$L)))/VLOOKUP($A2891,HeadJournal!$A$1:$L$890,COLUMN(HeadJournal!H$1),0),0)</f>
        <v>1.9929252802261928</v>
      </c>
      <c r="P2891" s="30">
        <f>IFERROR(SUM(K2891:O2891)*VLOOKUP($A2891,HeadJournal!$A$1:$L$890,COLUMN(HeadJournal!H$1),0),0)</f>
        <v>3334.796575964383</v>
      </c>
      <c r="Q2891" s="29">
        <v>4400</v>
      </c>
      <c r="R2891" s="31">
        <v>45352</v>
      </c>
      <c r="S2891" s="31" t="s">
        <v>3121</v>
      </c>
      <c r="T2891" s="95" t="str">
        <f t="shared" si="233"/>
        <v>2024 03</v>
      </c>
      <c r="U2891" s="32">
        <f t="shared" si="230"/>
        <v>1065.203424035617</v>
      </c>
      <c r="V2891" s="22">
        <f t="shared" si="231"/>
        <v>0.319420810166681</v>
      </c>
      <c r="X2891" s="33"/>
      <c r="Y2891" s="33"/>
    </row>
    <row r="2892" spans="1:25" x14ac:dyDescent="0.2">
      <c r="A2892" s="93" t="s">
        <v>1289</v>
      </c>
      <c r="B2892" s="94" t="str">
        <f>IFERROR(VLOOKUP($A2892,HeadJournal!$A$1:$NTR$890,COLUMN(HeadJournal!B$1),0),"")</f>
        <v>720000106807</v>
      </c>
      <c r="C2892" s="94" t="str">
        <f>IFERROR(VLOOKUP($A2892,HeadJournal!$A$1:$NTR$890,COLUMN(HeadJournal!C$1),0),"")</f>
        <v>iHerb_OA CZN6870</v>
      </c>
      <c r="D2892" s="125" t="str">
        <f>IFERROR(VLOOKUP($A2892,HeadJournal!$A$1:$NTR$890,COLUMN(HeadJournal!D$1),0),"")</f>
        <v>Доставлен</v>
      </c>
      <c r="E2892" s="95">
        <f>IFERROR(VLOOKUP($A2892,HeadJournal!$A$1:$NTR$890,COLUMN(HeadJournal!G$1),0),"")</f>
        <v>45319</v>
      </c>
      <c r="F2892" s="95" t="str">
        <f t="shared" si="232"/>
        <v>2024 01</v>
      </c>
      <c r="G2892" s="96" t="s">
        <v>5</v>
      </c>
      <c r="H2892" s="161" t="str">
        <f>RIGHT(Journal!$J2892,9)</f>
        <v>HEC-50301</v>
      </c>
      <c r="I2892" s="97" t="str">
        <f t="shared" si="229"/>
        <v>Herbs Etc</v>
      </c>
      <c r="J2892" s="97" t="s">
        <v>719</v>
      </c>
      <c r="K2892" s="29">
        <v>46.85</v>
      </c>
      <c r="L2892" s="29">
        <v>-9.3699999999999992</v>
      </c>
      <c r="M2892" s="30">
        <f>IFERROR(VLOOKUP($A2892,HeadJournal!$A$1:$J$890,COLUMN(HeadJournal!I$1),0)*($K2892+$L2892)/(SUMIF($A:$A,$A2892,$K:$K)+SUMIF($A:$A,$A2892,$L:$L)),0)</f>
        <v>-2.7455985472013125</v>
      </c>
      <c r="N2892" s="30">
        <f>IFERROR((VLOOKUP($A2892,HeadJournal!$A$1:$K$890,COLUMN(HeadJournal!K$1),0)-VLOOKUP($A2892,HeadJournal!$A$1:$K$890,COLUMN(HeadJournal!J$1),0))*($K2892+$L2892)/(SUMIF($A:$A,$A2892,$K:$K)+SUMIF($A:$A,$A2892,$L:$L)),0)</f>
        <v>-6.2402722207992868E-15</v>
      </c>
      <c r="O2892" s="30">
        <f>IFERROR((VLOOKUP($A2892,HeadJournal!$A$1:$L$890,COLUMN(HeadJournal!L$1),0)*($K2892+$L2892)/(SUMIF($A:$A,$A2892,$K:$K)+SUMIF($A:$A,$A2892,$L:$L)))/VLOOKUP($A2892,HeadJournal!$A$1:$L$890,COLUMN(HeadJournal!H$1),0),0)</f>
        <v>2.2393895818581231</v>
      </c>
      <c r="P2892" s="30">
        <f>IFERROR(SUM(K2892:O2892)*VLOOKUP($A2892,HeadJournal!$A$1:$L$890,COLUMN(HeadJournal!H$1),0),0)</f>
        <v>3747.2095837848915</v>
      </c>
      <c r="Q2892" s="29">
        <v>6400</v>
      </c>
      <c r="R2892" s="31">
        <v>45353</v>
      </c>
      <c r="S2892" s="31" t="s">
        <v>3121</v>
      </c>
      <c r="T2892" s="95" t="str">
        <f t="shared" si="233"/>
        <v>2024 03</v>
      </c>
      <c r="U2892" s="32">
        <f t="shared" si="230"/>
        <v>2652.7904162151085</v>
      </c>
      <c r="V2892" s="22">
        <f t="shared" si="231"/>
        <v>0.70793756177780742</v>
      </c>
      <c r="X2892" s="33"/>
      <c r="Y2892" s="33"/>
    </row>
    <row r="2893" spans="1:25" x14ac:dyDescent="0.2">
      <c r="A2893" s="93" t="s">
        <v>1289</v>
      </c>
      <c r="B2893" s="94" t="str">
        <f>IFERROR(VLOOKUP($A2893,HeadJournal!$A$1:$NTR$890,COLUMN(HeadJournal!B$1),0),"")</f>
        <v>720000106807</v>
      </c>
      <c r="C2893" s="94" t="str">
        <f>IFERROR(VLOOKUP($A2893,HeadJournal!$A$1:$NTR$890,COLUMN(HeadJournal!C$1),0),"")</f>
        <v>iHerb_OA CZN6870</v>
      </c>
      <c r="D2893" s="125" t="str">
        <f>IFERROR(VLOOKUP($A2893,HeadJournal!$A$1:$NTR$890,COLUMN(HeadJournal!D$1),0),"")</f>
        <v>Доставлен</v>
      </c>
      <c r="E2893" s="95">
        <f>IFERROR(VLOOKUP($A2893,HeadJournal!$A$1:$NTR$890,COLUMN(HeadJournal!G$1),0),"")</f>
        <v>45319</v>
      </c>
      <c r="F2893" s="95" t="str">
        <f t="shared" si="232"/>
        <v>2024 01</v>
      </c>
      <c r="G2893" s="96" t="s">
        <v>5</v>
      </c>
      <c r="H2893" s="161" t="str">
        <f>RIGHT(Journal!$J2893,9)</f>
        <v>HEC-50301</v>
      </c>
      <c r="I2893" s="97" t="str">
        <f t="shared" si="229"/>
        <v>Herbs Etc</v>
      </c>
      <c r="J2893" s="97" t="s">
        <v>719</v>
      </c>
      <c r="K2893" s="29">
        <v>46.85</v>
      </c>
      <c r="L2893" s="29">
        <v>-9.3699999999999992</v>
      </c>
      <c r="M2893" s="30">
        <f>IFERROR(VLOOKUP($A2893,HeadJournal!$A$1:$J$890,COLUMN(HeadJournal!I$1),0)*($K2893+$L2893)/(SUMIF($A:$A,$A2893,$K:$K)+SUMIF($A:$A,$A2893,$L:$L)),0)</f>
        <v>-2.7455985472013125</v>
      </c>
      <c r="N2893" s="30">
        <f>IFERROR((VLOOKUP($A2893,HeadJournal!$A$1:$K$890,COLUMN(HeadJournal!K$1),0)-VLOOKUP($A2893,HeadJournal!$A$1:$K$890,COLUMN(HeadJournal!J$1),0))*($K2893+$L2893)/(SUMIF($A:$A,$A2893,$K:$K)+SUMIF($A:$A,$A2893,$L:$L)),0)</f>
        <v>-6.2402722207992868E-15</v>
      </c>
      <c r="O2893" s="30">
        <f>IFERROR((VLOOKUP($A2893,HeadJournal!$A$1:$L$890,COLUMN(HeadJournal!L$1),0)*($K2893+$L2893)/(SUMIF($A:$A,$A2893,$K:$K)+SUMIF($A:$A,$A2893,$L:$L)))/VLOOKUP($A2893,HeadJournal!$A$1:$L$890,COLUMN(HeadJournal!H$1),0),0)</f>
        <v>2.2393895818581231</v>
      </c>
      <c r="P2893" s="30">
        <f>IFERROR(SUM(K2893:O2893)*VLOOKUP($A2893,HeadJournal!$A$1:$L$890,COLUMN(HeadJournal!H$1),0),0)</f>
        <v>3747.2095837848915</v>
      </c>
      <c r="Q2893" s="29">
        <v>5500</v>
      </c>
      <c r="R2893" s="31">
        <v>45717</v>
      </c>
      <c r="S2893" s="31" t="s">
        <v>3121</v>
      </c>
      <c r="T2893" s="95" t="str">
        <f t="shared" si="233"/>
        <v>2025 03</v>
      </c>
      <c r="U2893" s="32">
        <f t="shared" si="230"/>
        <v>1752.7904162151085</v>
      </c>
      <c r="V2893" s="22">
        <f t="shared" si="231"/>
        <v>0.46775884215280322</v>
      </c>
      <c r="X2893" s="33"/>
      <c r="Y2893" s="33"/>
    </row>
    <row r="2894" spans="1:25" x14ac:dyDescent="0.2">
      <c r="A2894" s="93" t="s">
        <v>1289</v>
      </c>
      <c r="B2894" s="94" t="str">
        <f>IFERROR(VLOOKUP($A2894,HeadJournal!$A$1:$NTR$890,COLUMN(HeadJournal!B$1),0),"")</f>
        <v>720000106807</v>
      </c>
      <c r="C2894" s="94" t="str">
        <f>IFERROR(VLOOKUP($A2894,HeadJournal!$A$1:$NTR$890,COLUMN(HeadJournal!C$1),0),"")</f>
        <v>iHerb_OA CZN6870</v>
      </c>
      <c r="D2894" s="125" t="str">
        <f>IFERROR(VLOOKUP($A2894,HeadJournal!$A$1:$NTR$890,COLUMN(HeadJournal!D$1),0),"")</f>
        <v>Доставлен</v>
      </c>
      <c r="E2894" s="95">
        <f>IFERROR(VLOOKUP($A2894,HeadJournal!$A$1:$NTR$890,COLUMN(HeadJournal!G$1),0),"")</f>
        <v>45319</v>
      </c>
      <c r="F2894" s="95" t="str">
        <f t="shared" si="232"/>
        <v>2024 01</v>
      </c>
      <c r="G2894" s="96" t="s">
        <v>5</v>
      </c>
      <c r="H2894" s="161" t="str">
        <f>RIGHT(Journal!$J2894,9)</f>
        <v>SDN-00601</v>
      </c>
      <c r="I2894" s="97" t="str">
        <f t="shared" si="229"/>
        <v>Sundown Naturals</v>
      </c>
      <c r="J2894" s="97" t="s">
        <v>1025</v>
      </c>
      <c r="K2894" s="29">
        <v>7.53</v>
      </c>
      <c r="L2894" s="29">
        <v>-1.1299999999999999</v>
      </c>
      <c r="M2894" s="30">
        <f>IFERROR(VLOOKUP($A2894,HeadJournal!$A$1:$J$890,COLUMN(HeadJournal!I$1),0)*($K2894+$L2894)/(SUMIF($A:$A,$A2894,$K:$K)+SUMIF($A:$A,$A2894,$L:$L)),0)</f>
        <v>-0.4688321958935005</v>
      </c>
      <c r="N2894" s="30">
        <f>IFERROR((VLOOKUP($A2894,HeadJournal!$A$1:$K$890,COLUMN(HeadJournal!K$1),0)-VLOOKUP($A2894,HeadJournal!$A$1:$K$890,COLUMN(HeadJournal!J$1),0))*($K2894+$L2894)/(SUMIF($A:$A,$A2894,$K:$K)+SUMIF($A:$A,$A2894,$L:$L)),0)</f>
        <v>-1.0655747655580426E-15</v>
      </c>
      <c r="O2894" s="30">
        <f>IFERROR((VLOOKUP($A2894,HeadJournal!$A$1:$L$890,COLUMN(HeadJournal!L$1),0)*($K2894+$L2894)/(SUMIF($A:$A,$A2894,$K:$K)+SUMIF($A:$A,$A2894,$L:$L)))/VLOOKUP($A2894,HeadJournal!$A$1:$L$890,COLUMN(HeadJournal!H$1),0),0)</f>
        <v>0.38239309828954077</v>
      </c>
      <c r="P2894" s="30">
        <f>IFERROR(SUM(K2894:O2894)*VLOOKUP($A2894,HeadJournal!$A$1:$L$890,COLUMN(HeadJournal!H$1),0),0)</f>
        <v>639.86503031545647</v>
      </c>
      <c r="Q2894" s="29">
        <v>1200</v>
      </c>
      <c r="R2894" s="31">
        <v>45352</v>
      </c>
      <c r="S2894" s="31" t="s">
        <v>3121</v>
      </c>
      <c r="T2894" s="95" t="str">
        <f t="shared" si="233"/>
        <v>2024 03</v>
      </c>
      <c r="U2894" s="32">
        <f t="shared" si="230"/>
        <v>560.13496968454353</v>
      </c>
      <c r="V2894" s="22">
        <f t="shared" si="231"/>
        <v>0.87539550240524067</v>
      </c>
      <c r="X2894" s="33"/>
      <c r="Y2894" s="33"/>
    </row>
    <row r="2895" spans="1:25" x14ac:dyDescent="0.2">
      <c r="A2895" s="93" t="s">
        <v>1289</v>
      </c>
      <c r="B2895" s="94" t="str">
        <f>IFERROR(VLOOKUP($A2895,HeadJournal!$A$1:$NTR$890,COLUMN(HeadJournal!B$1),0),"")</f>
        <v>720000106807</v>
      </c>
      <c r="C2895" s="94" t="str">
        <f>IFERROR(VLOOKUP($A2895,HeadJournal!$A$1:$NTR$890,COLUMN(HeadJournal!C$1),0),"")</f>
        <v>iHerb_OA CZN6870</v>
      </c>
      <c r="D2895" s="125" t="str">
        <f>IFERROR(VLOOKUP($A2895,HeadJournal!$A$1:$NTR$890,COLUMN(HeadJournal!D$1),0),"")</f>
        <v>Доставлен</v>
      </c>
      <c r="E2895" s="95">
        <f>IFERROR(VLOOKUP($A2895,HeadJournal!$A$1:$NTR$890,COLUMN(HeadJournal!G$1),0),"")</f>
        <v>45319</v>
      </c>
      <c r="F2895" s="95" t="str">
        <f t="shared" si="232"/>
        <v>2024 01</v>
      </c>
      <c r="G2895" s="96" t="s">
        <v>5</v>
      </c>
      <c r="H2895" s="161" t="str">
        <f>RIGHT(Journal!$J2895,9)</f>
        <v>SDN-00601</v>
      </c>
      <c r="I2895" s="97" t="str">
        <f t="shared" si="229"/>
        <v>Sundown Naturals</v>
      </c>
      <c r="J2895" s="97" t="s">
        <v>1025</v>
      </c>
      <c r="K2895" s="29">
        <v>7.53</v>
      </c>
      <c r="L2895" s="29">
        <v>-1.1299999999999999</v>
      </c>
      <c r="M2895" s="30">
        <f>IFERROR(VLOOKUP($A2895,HeadJournal!$A$1:$J$890,COLUMN(HeadJournal!I$1),0)*($K2895+$L2895)/(SUMIF($A:$A,$A2895,$K:$K)+SUMIF($A:$A,$A2895,$L:$L)),0)</f>
        <v>-0.4688321958935005</v>
      </c>
      <c r="N2895" s="30">
        <f>IFERROR((VLOOKUP($A2895,HeadJournal!$A$1:$K$890,COLUMN(HeadJournal!K$1),0)-VLOOKUP($A2895,HeadJournal!$A$1:$K$890,COLUMN(HeadJournal!J$1),0))*($K2895+$L2895)/(SUMIF($A:$A,$A2895,$K:$K)+SUMIF($A:$A,$A2895,$L:$L)),0)</f>
        <v>-1.0655747655580426E-15</v>
      </c>
      <c r="O2895" s="30">
        <f>IFERROR((VLOOKUP($A2895,HeadJournal!$A$1:$L$890,COLUMN(HeadJournal!L$1),0)*($K2895+$L2895)/(SUMIF($A:$A,$A2895,$K:$K)+SUMIF($A:$A,$A2895,$L:$L)))/VLOOKUP($A2895,HeadJournal!$A$1:$L$890,COLUMN(HeadJournal!H$1),0),0)</f>
        <v>0.38239309828954077</v>
      </c>
      <c r="P2895" s="30">
        <f>IFERROR(SUM(K2895:O2895)*VLOOKUP($A2895,HeadJournal!$A$1:$L$890,COLUMN(HeadJournal!H$1),0),0)</f>
        <v>639.86503031545647</v>
      </c>
      <c r="Q2895" s="29">
        <v>1200</v>
      </c>
      <c r="R2895" s="31">
        <v>45357</v>
      </c>
      <c r="S2895" s="31" t="s">
        <v>3121</v>
      </c>
      <c r="T2895" s="95" t="str">
        <f t="shared" si="233"/>
        <v>2024 03</v>
      </c>
      <c r="U2895" s="32">
        <f t="shared" si="230"/>
        <v>560.13496968454353</v>
      </c>
      <c r="V2895" s="22">
        <f t="shared" si="231"/>
        <v>0.87539550240524067</v>
      </c>
      <c r="X2895" s="33"/>
      <c r="Y2895" s="33"/>
    </row>
    <row r="2896" spans="1:25" x14ac:dyDescent="0.2">
      <c r="A2896" s="93" t="s">
        <v>1289</v>
      </c>
      <c r="B2896" s="94" t="str">
        <f>IFERROR(VLOOKUP($A2896,HeadJournal!$A$1:$NTR$890,COLUMN(HeadJournal!B$1),0),"")</f>
        <v>720000106807</v>
      </c>
      <c r="C2896" s="94" t="str">
        <f>IFERROR(VLOOKUP($A2896,HeadJournal!$A$1:$NTR$890,COLUMN(HeadJournal!C$1),0),"")</f>
        <v>iHerb_OA CZN6870</v>
      </c>
      <c r="D2896" s="125" t="str">
        <f>IFERROR(VLOOKUP($A2896,HeadJournal!$A$1:$NTR$890,COLUMN(HeadJournal!D$1),0),"")</f>
        <v>Доставлен</v>
      </c>
      <c r="E2896" s="95">
        <f>IFERROR(VLOOKUP($A2896,HeadJournal!$A$1:$NTR$890,COLUMN(HeadJournal!G$1),0),"")</f>
        <v>45319</v>
      </c>
      <c r="F2896" s="95" t="str">
        <f t="shared" si="232"/>
        <v>2024 01</v>
      </c>
      <c r="G2896" s="96" t="s">
        <v>5</v>
      </c>
      <c r="H2896" s="161" t="str">
        <f>RIGHT(Journal!$J2896,9)</f>
        <v>LKN-01542</v>
      </c>
      <c r="I2896" s="97" t="str">
        <f t="shared" si="229"/>
        <v>Lake Avenue Nutrition</v>
      </c>
      <c r="J2896" s="97" t="s">
        <v>338</v>
      </c>
      <c r="K2896" s="29">
        <v>19.260000000000002</v>
      </c>
      <c r="L2896" s="29">
        <v>-2.89</v>
      </c>
      <c r="M2896" s="30">
        <f>IFERROR(VLOOKUP($A2896,HeadJournal!$A$1:$J$890,COLUMN(HeadJournal!I$1),0)*($K2896+$L2896)/(SUMIF($A:$A,$A2896,$K:$K)+SUMIF($A:$A,$A2896,$L:$L)),0)</f>
        <v>-1.1991848510588443</v>
      </c>
      <c r="N2896" s="30">
        <f>IFERROR((VLOOKUP($A2896,HeadJournal!$A$1:$K$890,COLUMN(HeadJournal!K$1),0)-VLOOKUP($A2896,HeadJournal!$A$1:$K$890,COLUMN(HeadJournal!J$1),0))*($K2896+$L2896)/(SUMIF($A:$A,$A2896,$K:$K)+SUMIF($A:$A,$A2896,$L:$L)),0)</f>
        <v>-2.7255404550289307E-15</v>
      </c>
      <c r="O2896" s="30">
        <f>IFERROR((VLOOKUP($A2896,HeadJournal!$A$1:$L$890,COLUMN(HeadJournal!L$1),0)*($K2896+$L2896)/(SUMIF($A:$A,$A2896,$K:$K)+SUMIF($A:$A,$A2896,$L:$L)))/VLOOKUP($A2896,HeadJournal!$A$1:$L$890,COLUMN(HeadJournal!H$1),0),0)</f>
        <v>0.97808984671871591</v>
      </c>
      <c r="P2896" s="30">
        <f>IFERROR(SUM(K2896:O2896)*VLOOKUP($A2896,HeadJournal!$A$1:$L$890,COLUMN(HeadJournal!H$1),0),0)</f>
        <v>1636.6547728537532</v>
      </c>
      <c r="Q2896" s="29">
        <v>2500</v>
      </c>
      <c r="R2896" s="31">
        <v>45449</v>
      </c>
      <c r="S2896" s="31" t="s">
        <v>3121</v>
      </c>
      <c r="T2896" s="95" t="str">
        <f t="shared" si="233"/>
        <v>2024 06</v>
      </c>
      <c r="U2896" s="32">
        <f t="shared" si="230"/>
        <v>863.34522714624677</v>
      </c>
      <c r="V2896" s="22">
        <f t="shared" si="231"/>
        <v>0.52750600888229759</v>
      </c>
      <c r="X2896" s="33"/>
      <c r="Y2896" s="33"/>
    </row>
    <row r="2897" spans="1:25" x14ac:dyDescent="0.2">
      <c r="A2897" s="93" t="s">
        <v>1289</v>
      </c>
      <c r="B2897" s="94" t="str">
        <f>IFERROR(VLOOKUP($A2897,HeadJournal!$A$1:$NTR$890,COLUMN(HeadJournal!B$1),0),"")</f>
        <v>720000106807</v>
      </c>
      <c r="C2897" s="94" t="str">
        <f>IFERROR(VLOOKUP($A2897,HeadJournal!$A$1:$NTR$890,COLUMN(HeadJournal!C$1),0),"")</f>
        <v>iHerb_OA CZN6870</v>
      </c>
      <c r="D2897" s="125" t="str">
        <f>IFERROR(VLOOKUP($A2897,HeadJournal!$A$1:$NTR$890,COLUMN(HeadJournal!D$1),0),"")</f>
        <v>Доставлен</v>
      </c>
      <c r="E2897" s="95">
        <f>IFERROR(VLOOKUP($A2897,HeadJournal!$A$1:$NTR$890,COLUMN(HeadJournal!G$1),0),"")</f>
        <v>45319</v>
      </c>
      <c r="F2897" s="95" t="str">
        <f t="shared" si="232"/>
        <v>2024 01</v>
      </c>
      <c r="G2897" s="96" t="s">
        <v>5</v>
      </c>
      <c r="H2897" s="161" t="str">
        <f>RIGHT(Journal!$J2897,9)</f>
        <v>NFS-01035</v>
      </c>
      <c r="I2897" s="97" t="str">
        <f t="shared" si="229"/>
        <v>Natural Factors</v>
      </c>
      <c r="J2897" s="97" t="s">
        <v>1290</v>
      </c>
      <c r="K2897" s="29">
        <v>22.41</v>
      </c>
      <c r="L2897" s="29">
        <v>-3.36</v>
      </c>
      <c r="M2897" s="30">
        <f>IFERROR(VLOOKUP($A2897,HeadJournal!$A$1:$J$890,COLUMN(HeadJournal!I$1),0)*($K2897+$L2897)/(SUMIF($A:$A,$A2897,$K:$K)+SUMIF($A:$A,$A2897,$L:$L)),0)</f>
        <v>-1.3955083330892475</v>
      </c>
      <c r="N2897" s="30">
        <f>IFERROR((VLOOKUP($A2897,HeadJournal!$A$1:$K$890,COLUMN(HeadJournal!K$1),0)-VLOOKUP($A2897,HeadJournal!$A$1:$K$890,COLUMN(HeadJournal!J$1),0))*($K2897+$L2897)/(SUMIF($A:$A,$A2897,$K:$K)+SUMIF($A:$A,$A2897,$L:$L)),0)</f>
        <v>-3.1717498881063606E-15</v>
      </c>
      <c r="O2897" s="30">
        <f>IFERROR((VLOOKUP($A2897,HeadJournal!$A$1:$L$890,COLUMN(HeadJournal!L$1),0)*($K2897+$L2897)/(SUMIF($A:$A,$A2897,$K:$K)+SUMIF($A:$A,$A2897,$L:$L)))/VLOOKUP($A2897,HeadJournal!$A$1:$L$890,COLUMN(HeadJournal!H$1),0),0)</f>
        <v>1.1382169566274611</v>
      </c>
      <c r="P2897" s="30">
        <f>IFERROR(SUM(K2897:O2897)*VLOOKUP($A2897,HeadJournal!$A$1:$L$890,COLUMN(HeadJournal!H$1),0),0)</f>
        <v>1904.5982542983506</v>
      </c>
      <c r="Q2897" s="29">
        <v>2900</v>
      </c>
      <c r="R2897" s="31">
        <v>45712</v>
      </c>
      <c r="S2897" s="31" t="s">
        <v>3121</v>
      </c>
      <c r="T2897" s="95" t="str">
        <f t="shared" si="233"/>
        <v>2025 02</v>
      </c>
      <c r="U2897" s="32">
        <f t="shared" si="230"/>
        <v>995.40174570164936</v>
      </c>
      <c r="V2897" s="22">
        <f t="shared" si="231"/>
        <v>0.522630819100668</v>
      </c>
      <c r="X2897" s="33"/>
      <c r="Y2897" s="33"/>
    </row>
    <row r="2898" spans="1:25" x14ac:dyDescent="0.2">
      <c r="A2898" s="93" t="s">
        <v>1289</v>
      </c>
      <c r="B2898" s="94" t="str">
        <f>IFERROR(VLOOKUP($A2898,HeadJournal!$A$1:$NTR$890,COLUMN(HeadJournal!B$1),0),"")</f>
        <v>720000106807</v>
      </c>
      <c r="C2898" s="94" t="str">
        <f>IFERROR(VLOOKUP($A2898,HeadJournal!$A$1:$NTR$890,COLUMN(HeadJournal!C$1),0),"")</f>
        <v>iHerb_OA CZN6870</v>
      </c>
      <c r="D2898" s="125" t="str">
        <f>IFERROR(VLOOKUP($A2898,HeadJournal!$A$1:$NTR$890,COLUMN(HeadJournal!D$1),0),"")</f>
        <v>Доставлен</v>
      </c>
      <c r="E2898" s="95">
        <f>IFERROR(VLOOKUP($A2898,HeadJournal!$A$1:$NTR$890,COLUMN(HeadJournal!G$1),0),"")</f>
        <v>45319</v>
      </c>
      <c r="F2898" s="95" t="str">
        <f t="shared" si="232"/>
        <v>2024 01</v>
      </c>
      <c r="G2898" s="96" t="s">
        <v>5</v>
      </c>
      <c r="H2898" s="161" t="str">
        <f>RIGHT(Journal!$J2898,9)</f>
        <v>CAL-39022</v>
      </c>
      <c r="I2898" s="97" t="str">
        <f t="shared" si="229"/>
        <v>KAL</v>
      </c>
      <c r="J2898" s="97" t="s">
        <v>1026</v>
      </c>
      <c r="K2898" s="29">
        <v>18.77</v>
      </c>
      <c r="L2898" s="29">
        <v>-3.7549999999999999</v>
      </c>
      <c r="M2898" s="30">
        <f>IFERROR(VLOOKUP($A2898,HeadJournal!$A$1:$J$890,COLUMN(HeadJournal!I$1),0)*($K2898+$L2898)/(SUMIF($A:$A,$A2898,$K:$K)+SUMIF($A:$A,$A2898,$L:$L)),0)</f>
        <v>-1.0999242845845172</v>
      </c>
      <c r="N2898" s="30">
        <f>IFERROR((VLOOKUP($A2898,HeadJournal!$A$1:$K$890,COLUMN(HeadJournal!K$1),0)-VLOOKUP($A2898,HeadJournal!$A$1:$K$890,COLUMN(HeadJournal!J$1),0))*($K2898+$L2898)/(SUMIF($A:$A,$A2898,$K:$K)+SUMIF($A:$A,$A2898,$L:$L)),0)</f>
        <v>-2.4999382976334386E-15</v>
      </c>
      <c r="O2898" s="30">
        <f>IFERROR((VLOOKUP($A2898,HeadJournal!$A$1:$L$890,COLUMN(HeadJournal!L$1),0)*($K2898+$L2898)/(SUMIF($A:$A,$A2898,$K:$K)+SUMIF($A:$A,$A2898,$L:$L)))/VLOOKUP($A2898,HeadJournal!$A$1:$L$890,COLUMN(HeadJournal!H$1),0),0)</f>
        <v>0.89713005794022727</v>
      </c>
      <c r="P2898" s="30">
        <f>IFERROR(SUM(K2898:O2898)*VLOOKUP($A2898,HeadJournal!$A$1:$L$890,COLUMN(HeadJournal!H$1),0),0)</f>
        <v>1501.1833484666529</v>
      </c>
      <c r="Q2898" s="29">
        <v>2400</v>
      </c>
      <c r="R2898" s="31">
        <v>45362</v>
      </c>
      <c r="S2898" s="31" t="s">
        <v>3121</v>
      </c>
      <c r="T2898" s="95" t="str">
        <f t="shared" si="233"/>
        <v>2024 03</v>
      </c>
      <c r="U2898" s="32">
        <f t="shared" si="230"/>
        <v>898.81665153334711</v>
      </c>
      <c r="V2898" s="22">
        <f t="shared" si="231"/>
        <v>0.59873875662917619</v>
      </c>
      <c r="X2898" s="33"/>
      <c r="Y2898" s="33"/>
    </row>
    <row r="2899" spans="1:25" x14ac:dyDescent="0.2">
      <c r="A2899" s="93" t="s">
        <v>1289</v>
      </c>
      <c r="B2899" s="94" t="str">
        <f>IFERROR(VLOOKUP($A2899,HeadJournal!$A$1:$NTR$890,COLUMN(HeadJournal!B$1),0),"")</f>
        <v>720000106807</v>
      </c>
      <c r="C2899" s="94" t="str">
        <f>IFERROR(VLOOKUP($A2899,HeadJournal!$A$1:$NTR$890,COLUMN(HeadJournal!C$1),0),"")</f>
        <v>iHerb_OA CZN6870</v>
      </c>
      <c r="D2899" s="125" t="str">
        <f>IFERROR(VLOOKUP($A2899,HeadJournal!$A$1:$NTR$890,COLUMN(HeadJournal!D$1),0),"")</f>
        <v>Доставлен</v>
      </c>
      <c r="E2899" s="95">
        <f>IFERROR(VLOOKUP($A2899,HeadJournal!$A$1:$NTR$890,COLUMN(HeadJournal!G$1),0),"")</f>
        <v>45319</v>
      </c>
      <c r="F2899" s="95" t="str">
        <f t="shared" si="232"/>
        <v>2024 01</v>
      </c>
      <c r="G2899" s="96" t="s">
        <v>5</v>
      </c>
      <c r="H2899" s="161" t="str">
        <f>RIGHT(Journal!$J2899,9)</f>
        <v>CAL-39022</v>
      </c>
      <c r="I2899" s="97" t="str">
        <f t="shared" si="229"/>
        <v>KAL</v>
      </c>
      <c r="J2899" s="97" t="s">
        <v>1026</v>
      </c>
      <c r="K2899" s="29">
        <v>18.77</v>
      </c>
      <c r="L2899" s="29">
        <v>-3.7549999999999999</v>
      </c>
      <c r="M2899" s="30">
        <f>IFERROR(VLOOKUP($A2899,HeadJournal!$A$1:$J$890,COLUMN(HeadJournal!I$1),0)*($K2899+$L2899)/(SUMIF($A:$A,$A2899,$K:$K)+SUMIF($A:$A,$A2899,$L:$L)),0)</f>
        <v>-1.0999242845845172</v>
      </c>
      <c r="N2899" s="30">
        <f>IFERROR((VLOOKUP($A2899,HeadJournal!$A$1:$K$890,COLUMN(HeadJournal!K$1),0)-VLOOKUP($A2899,HeadJournal!$A$1:$K$890,COLUMN(HeadJournal!J$1),0))*($K2899+$L2899)/(SUMIF($A:$A,$A2899,$K:$K)+SUMIF($A:$A,$A2899,$L:$L)),0)</f>
        <v>-2.4999382976334386E-15</v>
      </c>
      <c r="O2899" s="30">
        <f>IFERROR((VLOOKUP($A2899,HeadJournal!$A$1:$L$890,COLUMN(HeadJournal!L$1),0)*($K2899+$L2899)/(SUMIF($A:$A,$A2899,$K:$K)+SUMIF($A:$A,$A2899,$L:$L)))/VLOOKUP($A2899,HeadJournal!$A$1:$L$890,COLUMN(HeadJournal!H$1),0),0)</f>
        <v>0.89713005794022727</v>
      </c>
      <c r="P2899" s="30">
        <f>IFERROR(SUM(K2899:O2899)*VLOOKUP($A2899,HeadJournal!$A$1:$L$890,COLUMN(HeadJournal!H$1),0),0)</f>
        <v>1501.1833484666529</v>
      </c>
      <c r="Q2899" s="29">
        <v>2400</v>
      </c>
      <c r="R2899" s="31">
        <v>45362</v>
      </c>
      <c r="S2899" s="31" t="s">
        <v>3121</v>
      </c>
      <c r="T2899" s="95" t="str">
        <f t="shared" si="233"/>
        <v>2024 03</v>
      </c>
      <c r="U2899" s="32">
        <f t="shared" si="230"/>
        <v>898.81665153334711</v>
      </c>
      <c r="V2899" s="22">
        <f t="shared" si="231"/>
        <v>0.59873875662917619</v>
      </c>
      <c r="X2899" s="33"/>
      <c r="Y2899" s="33"/>
    </row>
    <row r="2900" spans="1:25" x14ac:dyDescent="0.2">
      <c r="A2900" s="93" t="s">
        <v>1289</v>
      </c>
      <c r="B2900" s="94" t="str">
        <f>IFERROR(VLOOKUP($A2900,HeadJournal!$A$1:$NTR$890,COLUMN(HeadJournal!B$1),0),"")</f>
        <v>720000106807</v>
      </c>
      <c r="C2900" s="94" t="str">
        <f>IFERROR(VLOOKUP($A2900,HeadJournal!$A$1:$NTR$890,COLUMN(HeadJournal!C$1),0),"")</f>
        <v>iHerb_OA CZN6870</v>
      </c>
      <c r="D2900" s="125" t="str">
        <f>IFERROR(VLOOKUP($A2900,HeadJournal!$A$1:$NTR$890,COLUMN(HeadJournal!D$1),0),"")</f>
        <v>Доставлен</v>
      </c>
      <c r="E2900" s="95">
        <f>IFERROR(VLOOKUP($A2900,HeadJournal!$A$1:$NTR$890,COLUMN(HeadJournal!G$1),0),"")</f>
        <v>45319</v>
      </c>
      <c r="F2900" s="95" t="str">
        <f t="shared" si="232"/>
        <v>2024 01</v>
      </c>
      <c r="G2900" s="96" t="s">
        <v>5</v>
      </c>
      <c r="H2900" s="161" t="str">
        <f>RIGHT(Journal!$J2900,9)</f>
        <v>NWY-12371</v>
      </c>
      <c r="I2900" s="97" t="str">
        <f t="shared" si="229"/>
        <v>Nature's Way</v>
      </c>
      <c r="J2900" s="97" t="s">
        <v>1291</v>
      </c>
      <c r="K2900" s="29">
        <v>20.58</v>
      </c>
      <c r="L2900" s="29">
        <v>-3.09</v>
      </c>
      <c r="M2900" s="30">
        <f>IFERROR(VLOOKUP($A2900,HeadJournal!$A$1:$J$890,COLUMN(HeadJournal!I$1),0)*($K2900+$L2900)/(SUMIF($A:$A,$A2900,$K:$K)+SUMIF($A:$A,$A2900,$L:$L)),0)</f>
        <v>-1.2812304853402066</v>
      </c>
      <c r="N2900" s="30">
        <f>IFERROR((VLOOKUP($A2900,HeadJournal!$A$1:$K$890,COLUMN(HeadJournal!K$1),0)-VLOOKUP($A2900,HeadJournal!$A$1:$K$890,COLUMN(HeadJournal!J$1),0))*($K2900+$L2900)/(SUMIF($A:$A,$A2900,$K:$K)+SUMIF($A:$A,$A2900,$L:$L)),0)</f>
        <v>-2.9120160390015875E-15</v>
      </c>
      <c r="O2900" s="30">
        <f>IFERROR((VLOOKUP($A2900,HeadJournal!$A$1:$L$890,COLUMN(HeadJournal!L$1),0)*($K2900+$L2900)/(SUMIF($A:$A,$A2900,$K:$K)+SUMIF($A:$A,$A2900,$L:$L)))/VLOOKUP($A2900,HeadJournal!$A$1:$L$890,COLUMN(HeadJournal!H$1),0),0)</f>
        <v>1.0450086389193853</v>
      </c>
      <c r="P2900" s="30">
        <f>IFERROR(SUM(K2900:O2900)*VLOOKUP($A2900,HeadJournal!$A$1:$L$890,COLUMN(HeadJournal!H$1),0),0)</f>
        <v>1748.6311531589579</v>
      </c>
      <c r="Q2900" s="29">
        <v>2600</v>
      </c>
      <c r="R2900" s="31">
        <v>45353</v>
      </c>
      <c r="S2900" s="31" t="s">
        <v>3121</v>
      </c>
      <c r="T2900" s="95" t="str">
        <f t="shared" si="233"/>
        <v>2024 03</v>
      </c>
      <c r="U2900" s="32">
        <f t="shared" si="230"/>
        <v>851.36884684104211</v>
      </c>
      <c r="V2900" s="22">
        <f t="shared" si="231"/>
        <v>0.48687731846880183</v>
      </c>
      <c r="X2900" s="33"/>
      <c r="Y2900" s="33"/>
    </row>
    <row r="2901" spans="1:25" x14ac:dyDescent="0.2">
      <c r="A2901" s="93" t="s">
        <v>1289</v>
      </c>
      <c r="B2901" s="94" t="str">
        <f>IFERROR(VLOOKUP($A2901,HeadJournal!$A$1:$NTR$890,COLUMN(HeadJournal!B$1),0),"")</f>
        <v>720000106807</v>
      </c>
      <c r="C2901" s="94" t="str">
        <f>IFERROR(VLOOKUP($A2901,HeadJournal!$A$1:$NTR$890,COLUMN(HeadJournal!C$1),0),"")</f>
        <v>iHerb_OA CZN6870</v>
      </c>
      <c r="D2901" s="125" t="str">
        <f>IFERROR(VLOOKUP($A2901,HeadJournal!$A$1:$NTR$890,COLUMN(HeadJournal!D$1),0),"")</f>
        <v>Доставлен</v>
      </c>
      <c r="E2901" s="95">
        <f>IFERROR(VLOOKUP($A2901,HeadJournal!$A$1:$NTR$890,COLUMN(HeadJournal!G$1),0),"")</f>
        <v>45319</v>
      </c>
      <c r="F2901" s="95" t="str">
        <f t="shared" si="232"/>
        <v>2024 01</v>
      </c>
      <c r="G2901" s="96" t="s">
        <v>7</v>
      </c>
      <c r="H2901" s="161" t="str">
        <f>RIGHT(Journal!$J2901,9)</f>
        <v>YTH-01964</v>
      </c>
      <c r="I2901" s="97" t="str">
        <f t="shared" si="229"/>
        <v>Yeouth</v>
      </c>
      <c r="J2901" s="97" t="s">
        <v>1292</v>
      </c>
      <c r="K2901" s="29">
        <v>2.2400000000000002</v>
      </c>
      <c r="L2901" s="29">
        <v>-1.24</v>
      </c>
      <c r="M2901" s="30">
        <f>IFERROR(VLOOKUP($A2901,HeadJournal!$A$1:$J$890,COLUMN(HeadJournal!I$1),0)*($K2901+$L2901)/(SUMIF($A:$A,$A2901,$K:$K)+SUMIF($A:$A,$A2901,$L:$L)),0)</f>
        <v>-7.3255030608359473E-2</v>
      </c>
      <c r="N2901" s="30">
        <f>IFERROR((VLOOKUP($A2901,HeadJournal!$A$1:$K$890,COLUMN(HeadJournal!K$1),0)-VLOOKUP($A2901,HeadJournal!$A$1:$K$890,COLUMN(HeadJournal!J$1),0))*($K2901+$L2901)/(SUMIF($A:$A,$A2901,$K:$K)+SUMIF($A:$A,$A2901,$L:$L)),0)</f>
        <v>-1.6649605711844417E-16</v>
      </c>
      <c r="O2901" s="30">
        <f>IFERROR((VLOOKUP($A2901,HeadJournal!$A$1:$L$890,COLUMN(HeadJournal!L$1),0)*($K2901+$L2901)/(SUMIF($A:$A,$A2901,$K:$K)+SUMIF($A:$A,$A2901,$L:$L)))/VLOOKUP($A2901,HeadJournal!$A$1:$L$890,COLUMN(HeadJournal!H$1),0),0)</f>
        <v>5.9748921607740757E-2</v>
      </c>
      <c r="P2901" s="30">
        <f>IFERROR(SUM(K2901:O2901)*VLOOKUP($A2901,HeadJournal!$A$1:$L$890,COLUMN(HeadJournal!H$1),0),0)</f>
        <v>99.978910986790098</v>
      </c>
      <c r="Q2901" s="29"/>
      <c r="R2901" s="31"/>
      <c r="S2901" s="31"/>
      <c r="T2901" s="95" t="str">
        <f t="shared" si="233"/>
        <v/>
      </c>
      <c r="U2901" s="32">
        <f t="shared" si="230"/>
        <v>-99.978910986790098</v>
      </c>
      <c r="V2901" s="22" t="str">
        <f t="shared" si="231"/>
        <v/>
      </c>
      <c r="X2901" s="33"/>
      <c r="Y2901" s="33"/>
    </row>
    <row r="2902" spans="1:25" x14ac:dyDescent="0.2">
      <c r="A2902" s="93" t="s">
        <v>1289</v>
      </c>
      <c r="B2902" s="94" t="str">
        <f>IFERROR(VLOOKUP($A2902,HeadJournal!$A$1:$NTR$890,COLUMN(HeadJournal!B$1),0),"")</f>
        <v>720000106807</v>
      </c>
      <c r="C2902" s="94" t="str">
        <f>IFERROR(VLOOKUP($A2902,HeadJournal!$A$1:$NTR$890,COLUMN(HeadJournal!C$1),0),"")</f>
        <v>iHerb_OA CZN6870</v>
      </c>
      <c r="D2902" s="125" t="str">
        <f>IFERROR(VLOOKUP($A2902,HeadJournal!$A$1:$NTR$890,COLUMN(HeadJournal!D$1),0),"")</f>
        <v>Доставлен</v>
      </c>
      <c r="E2902" s="95">
        <f>IFERROR(VLOOKUP($A2902,HeadJournal!$A$1:$NTR$890,COLUMN(HeadJournal!G$1),0),"")</f>
        <v>45319</v>
      </c>
      <c r="F2902" s="95" t="str">
        <f t="shared" si="232"/>
        <v>2024 01</v>
      </c>
      <c r="G2902" s="96" t="s">
        <v>5</v>
      </c>
      <c r="H2902" s="161" t="str">
        <f>RIGHT(Journal!$J2902,9)</f>
        <v>NCS-67209</v>
      </c>
      <c r="I2902" s="97" t="str">
        <f t="shared" si="229"/>
        <v>Nutricost</v>
      </c>
      <c r="J2902" s="97" t="s">
        <v>1293</v>
      </c>
      <c r="K2902" s="29">
        <v>22.36</v>
      </c>
      <c r="L2902" s="29">
        <v>-4.47</v>
      </c>
      <c r="M2902" s="30">
        <f>IFERROR(VLOOKUP($A2902,HeadJournal!$A$1:$J$890,COLUMN(HeadJournal!I$1),0)*($K2902+$L2902)/(SUMIF($A:$A,$A2902,$K:$K)+SUMIF($A:$A,$A2902,$L:$L)),0)</f>
        <v>-1.3105324975835506</v>
      </c>
      <c r="N2902" s="30">
        <f>IFERROR((VLOOKUP($A2902,HeadJournal!$A$1:$K$890,COLUMN(HeadJournal!K$1),0)-VLOOKUP($A2902,HeadJournal!$A$1:$K$890,COLUMN(HeadJournal!J$1),0))*($K2902+$L2902)/(SUMIF($A:$A,$A2902,$K:$K)+SUMIF($A:$A,$A2902,$L:$L)),0)</f>
        <v>-2.9786144618489654E-15</v>
      </c>
      <c r="O2902" s="30">
        <f>IFERROR((VLOOKUP($A2902,HeadJournal!$A$1:$L$890,COLUMN(HeadJournal!L$1),0)*($K2902+$L2902)/(SUMIF($A:$A,$A2902,$K:$K)+SUMIF($A:$A,$A2902,$L:$L)))/VLOOKUP($A2902,HeadJournal!$A$1:$L$890,COLUMN(HeadJournal!H$1),0),0)</f>
        <v>1.0689082075624818</v>
      </c>
      <c r="P2902" s="30">
        <f>IFERROR(SUM(K2902:O2902)*VLOOKUP($A2902,HeadJournal!$A$1:$L$890,COLUMN(HeadJournal!H$1),0),0)</f>
        <v>1788.6227175536742</v>
      </c>
      <c r="Q2902" s="29">
        <v>3000</v>
      </c>
      <c r="R2902" s="31">
        <v>45398</v>
      </c>
      <c r="S2902" s="31" t="s">
        <v>3121</v>
      </c>
      <c r="T2902" s="95" t="str">
        <f t="shared" si="233"/>
        <v>2024 04</v>
      </c>
      <c r="U2902" s="32">
        <f t="shared" si="230"/>
        <v>1211.3772824463258</v>
      </c>
      <c r="V2902" s="22">
        <f t="shared" si="231"/>
        <v>0.67726819667321703</v>
      </c>
      <c r="X2902" s="33"/>
      <c r="Y2902" s="33"/>
    </row>
    <row r="2903" spans="1:25" x14ac:dyDescent="0.2">
      <c r="A2903" s="93" t="s">
        <v>1289</v>
      </c>
      <c r="B2903" s="94" t="str">
        <f>IFERROR(VLOOKUP($A2903,HeadJournal!$A$1:$NTR$890,COLUMN(HeadJournal!B$1),0),"")</f>
        <v>720000106807</v>
      </c>
      <c r="C2903" s="94" t="str">
        <f>IFERROR(VLOOKUP($A2903,HeadJournal!$A$1:$NTR$890,COLUMN(HeadJournal!C$1),0),"")</f>
        <v>iHerb_OA CZN6870</v>
      </c>
      <c r="D2903" s="125" t="str">
        <f>IFERROR(VLOOKUP($A2903,HeadJournal!$A$1:$NTR$890,COLUMN(HeadJournal!D$1),0),"")</f>
        <v>Доставлен</v>
      </c>
      <c r="E2903" s="95">
        <f>IFERROR(VLOOKUP($A2903,HeadJournal!$A$1:$NTR$890,COLUMN(HeadJournal!G$1),0),"")</f>
        <v>45319</v>
      </c>
      <c r="F2903" s="95" t="str">
        <f t="shared" si="232"/>
        <v>2024 01</v>
      </c>
      <c r="G2903" s="96" t="s">
        <v>5</v>
      </c>
      <c r="H2903" s="161" t="str">
        <f>RIGHT(Journal!$J2903,9)</f>
        <v>SPN-00215</v>
      </c>
      <c r="I2903" s="97" t="str">
        <f t="shared" si="229"/>
        <v>Super Nutrition</v>
      </c>
      <c r="J2903" s="97" t="s">
        <v>164</v>
      </c>
      <c r="K2903" s="29">
        <v>20.97</v>
      </c>
      <c r="L2903" s="29">
        <v>-3.15</v>
      </c>
      <c r="M2903" s="30">
        <f>IFERROR(VLOOKUP($A2903,HeadJournal!$A$1:$J$890,COLUMN(HeadJournal!I$1),0)*($K2903+$L2903)/(SUMIF($A:$A,$A2903,$K:$K)+SUMIF($A:$A,$A2903,$L:$L)),0)</f>
        <v>-1.3054046454409656</v>
      </c>
      <c r="N2903" s="30">
        <f>IFERROR((VLOOKUP($A2903,HeadJournal!$A$1:$K$890,COLUMN(HeadJournal!K$1),0)-VLOOKUP($A2903,HeadJournal!$A$1:$K$890,COLUMN(HeadJournal!J$1),0))*($K2903+$L2903)/(SUMIF($A:$A,$A2903,$K:$K)+SUMIF($A:$A,$A2903,$L:$L)),0)</f>
        <v>-2.9669597378506744E-15</v>
      </c>
      <c r="O2903" s="30">
        <f>IFERROR((VLOOKUP($A2903,HeadJournal!$A$1:$L$890,COLUMN(HeadJournal!L$1),0)*($K2903+$L2903)/(SUMIF($A:$A,$A2903,$K:$K)+SUMIF($A:$A,$A2903,$L:$L)))/VLOOKUP($A2903,HeadJournal!$A$1:$L$890,COLUMN(HeadJournal!H$1),0),0)</f>
        <v>1.0647257830499399</v>
      </c>
      <c r="P2903" s="30">
        <f>IFERROR(SUM(K2903:O2903)*VLOOKUP($A2903,HeadJournal!$A$1:$L$890,COLUMN(HeadJournal!H$1),0),0)</f>
        <v>1781.6241937845989</v>
      </c>
      <c r="Q2903" s="29">
        <v>2600</v>
      </c>
      <c r="R2903" s="31">
        <v>45544</v>
      </c>
      <c r="S2903" s="31" t="s">
        <v>3121</v>
      </c>
      <c r="T2903" s="95" t="str">
        <f t="shared" si="233"/>
        <v>2024 09</v>
      </c>
      <c r="U2903" s="32">
        <f t="shared" si="230"/>
        <v>818.3758062154011</v>
      </c>
      <c r="V2903" s="22">
        <f t="shared" si="231"/>
        <v>0.45934255331197194</v>
      </c>
      <c r="X2903" s="33"/>
      <c r="Y2903" s="33"/>
    </row>
    <row r="2904" spans="1:25" x14ac:dyDescent="0.2">
      <c r="A2904" s="93" t="s">
        <v>1289</v>
      </c>
      <c r="B2904" s="94" t="str">
        <f>IFERROR(VLOOKUP($A2904,HeadJournal!$A$1:$NTR$890,COLUMN(HeadJournal!B$1),0),"")</f>
        <v>720000106807</v>
      </c>
      <c r="C2904" s="94" t="str">
        <f>IFERROR(VLOOKUP($A2904,HeadJournal!$A$1:$NTR$890,COLUMN(HeadJournal!C$1),0),"")</f>
        <v>iHerb_OA CZN6870</v>
      </c>
      <c r="D2904" s="125" t="str">
        <f>IFERROR(VLOOKUP($A2904,HeadJournal!$A$1:$NTR$890,COLUMN(HeadJournal!D$1),0),"")</f>
        <v>Доставлен</v>
      </c>
      <c r="E2904" s="95">
        <f>IFERROR(VLOOKUP($A2904,HeadJournal!$A$1:$NTR$890,COLUMN(HeadJournal!G$1),0),"")</f>
        <v>45319</v>
      </c>
      <c r="F2904" s="95" t="str">
        <f t="shared" si="232"/>
        <v>2024 01</v>
      </c>
      <c r="G2904" s="96" t="s">
        <v>5</v>
      </c>
      <c r="H2904" s="161" t="s">
        <v>3642</v>
      </c>
      <c r="I2904" s="97" t="s">
        <v>2681</v>
      </c>
      <c r="J2904" s="97" t="s">
        <v>3691</v>
      </c>
      <c r="K2904" s="29">
        <v>16.79</v>
      </c>
      <c r="L2904" s="29">
        <v>-2.52</v>
      </c>
      <c r="M2904" s="30">
        <f>IFERROR(VLOOKUP($A2904,HeadJournal!$A$1:$J$890,COLUMN(HeadJournal!I$1),0)*($K2904+$L2904)/(SUMIF($A:$A,$A2904,$K:$K)+SUMIF($A:$A,$A2904,$L:$L)),0)</f>
        <v>-1.0453492867812892</v>
      </c>
      <c r="N2904" s="30">
        <f>IFERROR((VLOOKUP($A2904,HeadJournal!$A$1:$K$890,COLUMN(HeadJournal!K$1),0)-VLOOKUP($A2904,HeadJournal!$A$1:$K$890,COLUMN(HeadJournal!J$1),0))*($K2904+$L2904)/(SUMIF($A:$A,$A2904,$K:$K)+SUMIF($A:$A,$A2904,$L:$L)),0)</f>
        <v>-2.3758987350801976E-15</v>
      </c>
      <c r="O2904" s="30">
        <f>IFERROR((VLOOKUP($A2904,HeadJournal!$A$1:$L$890,COLUMN(HeadJournal!L$1),0)*($K2904+$L2904)/(SUMIF($A:$A,$A2904,$K:$K)+SUMIF($A:$A,$A2904,$L:$L)))/VLOOKUP($A2904,HeadJournal!$A$1:$L$890,COLUMN(HeadJournal!H$1),0),0)</f>
        <v>0.85261711134246032</v>
      </c>
      <c r="P2904" s="30">
        <f>IFERROR(SUM(K2904:O2904)*VLOOKUP($A2904,HeadJournal!$A$1:$L$890,COLUMN(HeadJournal!H$1),0),0)</f>
        <v>1426.6990597814943</v>
      </c>
      <c r="Q2904" s="29">
        <v>1426.7</v>
      </c>
      <c r="R2904" s="31">
        <v>45320</v>
      </c>
      <c r="S2904" s="31" t="s">
        <v>3121</v>
      </c>
      <c r="T2904" s="95" t="str">
        <f t="shared" si="233"/>
        <v>2024 01</v>
      </c>
      <c r="U2904" s="32">
        <f t="shared" si="230"/>
        <v>9.4021850577519217E-4</v>
      </c>
      <c r="V2904" s="22">
        <f t="shared" si="231"/>
        <v>6.5901669965296751E-7</v>
      </c>
      <c r="X2904" s="33"/>
      <c r="Y2904" s="33"/>
    </row>
    <row r="2905" spans="1:25" x14ac:dyDescent="0.2">
      <c r="A2905" s="93" t="s">
        <v>1289</v>
      </c>
      <c r="B2905" s="94" t="str">
        <f>IFERROR(VLOOKUP($A2905,HeadJournal!$A$1:$NTR$890,COLUMN(HeadJournal!B$1),0),"")</f>
        <v>720000106807</v>
      </c>
      <c r="C2905" s="94" t="str">
        <f>IFERROR(VLOOKUP($A2905,HeadJournal!$A$1:$NTR$890,COLUMN(HeadJournal!C$1),0),"")</f>
        <v>iHerb_OA CZN6870</v>
      </c>
      <c r="D2905" s="125" t="str">
        <f>IFERROR(VLOOKUP($A2905,HeadJournal!$A$1:$NTR$890,COLUMN(HeadJournal!D$1),0),"")</f>
        <v>Доставлен</v>
      </c>
      <c r="E2905" s="95">
        <f>IFERROR(VLOOKUP($A2905,HeadJournal!$A$1:$NTR$890,COLUMN(HeadJournal!G$1),0),"")</f>
        <v>45319</v>
      </c>
      <c r="F2905" s="95" t="str">
        <f t="shared" si="232"/>
        <v>2024 01</v>
      </c>
      <c r="G2905" s="96" t="s">
        <v>5</v>
      </c>
      <c r="H2905" s="161" t="s">
        <v>3642</v>
      </c>
      <c r="I2905" s="97" t="s">
        <v>2681</v>
      </c>
      <c r="J2905" s="97" t="s">
        <v>3691</v>
      </c>
      <c r="K2905" s="29">
        <v>16.79</v>
      </c>
      <c r="L2905" s="29">
        <v>-2.52</v>
      </c>
      <c r="M2905" s="30">
        <f>IFERROR(VLOOKUP($A2905,HeadJournal!$A$1:$J$890,COLUMN(HeadJournal!I$1),0)*($K2905+$L2905)/(SUMIF($A:$A,$A2905,$K:$K)+SUMIF($A:$A,$A2905,$L:$L)),0)</f>
        <v>-1.0453492867812892</v>
      </c>
      <c r="N2905" s="30">
        <f>IFERROR((VLOOKUP($A2905,HeadJournal!$A$1:$K$890,COLUMN(HeadJournal!K$1),0)-VLOOKUP($A2905,HeadJournal!$A$1:$K$890,COLUMN(HeadJournal!J$1),0))*($K2905+$L2905)/(SUMIF($A:$A,$A2905,$K:$K)+SUMIF($A:$A,$A2905,$L:$L)),0)</f>
        <v>-2.3758987350801976E-15</v>
      </c>
      <c r="O2905" s="30">
        <f>IFERROR((VLOOKUP($A2905,HeadJournal!$A$1:$L$890,COLUMN(HeadJournal!L$1),0)*($K2905+$L2905)/(SUMIF($A:$A,$A2905,$K:$K)+SUMIF($A:$A,$A2905,$L:$L)))/VLOOKUP($A2905,HeadJournal!$A$1:$L$890,COLUMN(HeadJournal!H$1),0),0)</f>
        <v>0.85261711134246032</v>
      </c>
      <c r="P2905" s="30">
        <f>IFERROR(SUM(K2905:O2905)*VLOOKUP($A2905,HeadJournal!$A$1:$L$890,COLUMN(HeadJournal!H$1),0),0)</f>
        <v>1426.6990597814943</v>
      </c>
      <c r="Q2905" s="29">
        <v>2000</v>
      </c>
      <c r="R2905" s="31">
        <v>45719</v>
      </c>
      <c r="S2905" s="31" t="s">
        <v>3121</v>
      </c>
      <c r="T2905" s="95" t="str">
        <f t="shared" si="233"/>
        <v>2025 03</v>
      </c>
      <c r="U2905" s="32">
        <f t="shared" si="230"/>
        <v>573.30094021850573</v>
      </c>
      <c r="V2905" s="22">
        <f t="shared" si="231"/>
        <v>0.4018373295250573</v>
      </c>
      <c r="X2905" s="33"/>
      <c r="Y2905" s="33"/>
    </row>
    <row r="2906" spans="1:25" x14ac:dyDescent="0.2">
      <c r="A2906" s="93" t="s">
        <v>1289</v>
      </c>
      <c r="B2906" s="94" t="str">
        <f>IFERROR(VLOOKUP($A2906,HeadJournal!$A$1:$NTR$890,COLUMN(HeadJournal!B$1),0),"")</f>
        <v>720000106807</v>
      </c>
      <c r="C2906" s="94" t="str">
        <f>IFERROR(VLOOKUP($A2906,HeadJournal!$A$1:$NTR$890,COLUMN(HeadJournal!C$1),0),"")</f>
        <v>iHerb_OA CZN6870</v>
      </c>
      <c r="D2906" s="125" t="str">
        <f>IFERROR(VLOOKUP($A2906,HeadJournal!$A$1:$NTR$890,COLUMN(HeadJournal!D$1),0),"")</f>
        <v>Доставлен</v>
      </c>
      <c r="E2906" s="95">
        <f>IFERROR(VLOOKUP($A2906,HeadJournal!$A$1:$NTR$890,COLUMN(HeadJournal!G$1),0),"")</f>
        <v>45319</v>
      </c>
      <c r="F2906" s="95" t="str">
        <f t="shared" si="232"/>
        <v>2024 01</v>
      </c>
      <c r="G2906" s="96" t="s">
        <v>5</v>
      </c>
      <c r="H2906" s="161" t="str">
        <f>RIGHT(Journal!$J2906,9)</f>
        <v>SNS-01177</v>
      </c>
      <c r="I2906" s="97" t="str">
        <f t="shared" si="229"/>
        <v>Source Naturals</v>
      </c>
      <c r="J2906" s="97" t="s">
        <v>772</v>
      </c>
      <c r="K2906" s="29">
        <v>27.95</v>
      </c>
      <c r="L2906" s="29">
        <v>-4.1900000000000004</v>
      </c>
      <c r="M2906" s="30">
        <f>IFERROR(VLOOKUP($A2906,HeadJournal!$A$1:$J$890,COLUMN(HeadJournal!I$1),0)*($K2906+$L2906)/(SUMIF($A:$A,$A2906,$K:$K)+SUMIF($A:$A,$A2906,$L:$L)),0)</f>
        <v>-1.7405395272546205</v>
      </c>
      <c r="N2906" s="30">
        <f>IFERROR((VLOOKUP($A2906,HeadJournal!$A$1:$K$890,COLUMN(HeadJournal!K$1),0)-VLOOKUP($A2906,HeadJournal!$A$1:$K$890,COLUMN(HeadJournal!J$1),0))*($K2906+$L2906)/(SUMIF($A:$A,$A2906,$K:$K)+SUMIF($A:$A,$A2906,$L:$L)),0)</f>
        <v>-3.9559463171342322E-15</v>
      </c>
      <c r="O2906" s="30">
        <f>IFERROR((VLOOKUP($A2906,HeadJournal!$A$1:$L$890,COLUMN(HeadJournal!L$1),0)*($K2906+$L2906)/(SUMIF($A:$A,$A2906,$K:$K)+SUMIF($A:$A,$A2906,$L:$L)))/VLOOKUP($A2906,HeadJournal!$A$1:$L$890,COLUMN(HeadJournal!H$1),0),0)</f>
        <v>1.4196343773999198</v>
      </c>
      <c r="P2906" s="30">
        <f>IFERROR(SUM(K2906:O2906)*VLOOKUP($A2906,HeadJournal!$A$1:$L$890,COLUMN(HeadJournal!H$1),0),0)</f>
        <v>2375.4989250461317</v>
      </c>
      <c r="Q2906" s="29">
        <v>3400</v>
      </c>
      <c r="R2906" s="31">
        <v>45717</v>
      </c>
      <c r="S2906" s="31" t="s">
        <v>3121</v>
      </c>
      <c r="T2906" s="95" t="str">
        <f t="shared" si="233"/>
        <v>2025 03</v>
      </c>
      <c r="U2906" s="32">
        <f t="shared" si="230"/>
        <v>1024.5010749538683</v>
      </c>
      <c r="V2906" s="22">
        <f t="shared" si="231"/>
        <v>0.43127827344058794</v>
      </c>
      <c r="X2906" s="33"/>
      <c r="Y2906" s="33"/>
    </row>
    <row r="2907" spans="1:25" x14ac:dyDescent="0.2">
      <c r="A2907" s="93" t="s">
        <v>1570</v>
      </c>
      <c r="B2907" s="94" t="str">
        <f>IFERROR(VLOOKUP($A2907,HeadJournal!$A$1:$NTR$890,COLUMN(HeadJournal!B$1),0),"")</f>
        <v>720000119518</v>
      </c>
      <c r="C2907" s="94" t="str">
        <f>IFERROR(VLOOKUP($A2907,HeadJournal!$A$1:$NTR$890,COLUMN(HeadJournal!C$1),0),"")</f>
        <v>iHerb_OA CZN6870</v>
      </c>
      <c r="D2907" s="125" t="str">
        <f>IFERROR(VLOOKUP($A2907,HeadJournal!$A$1:$NTR$890,COLUMN(HeadJournal!D$1),0),"")</f>
        <v>Доставлен</v>
      </c>
      <c r="E2907" s="95">
        <f>IFERROR(VLOOKUP($A2907,HeadJournal!$A$1:$NTR$890,COLUMN(HeadJournal!G$1),0),"")</f>
        <v>45329</v>
      </c>
      <c r="F2907" s="95" t="str">
        <f t="shared" si="232"/>
        <v>2024 02</v>
      </c>
      <c r="G2907" s="96" t="s">
        <v>5</v>
      </c>
      <c r="H2907" s="161" t="s">
        <v>2051</v>
      </c>
      <c r="I2907" s="97" t="s">
        <v>2052</v>
      </c>
      <c r="J2907" s="97" t="s">
        <v>3097</v>
      </c>
      <c r="K2907" s="29">
        <v>21.04</v>
      </c>
      <c r="L2907" s="29">
        <v>-7.05</v>
      </c>
      <c r="M2907" s="30">
        <f>IFERROR(VLOOKUP($A2907,HeadJournal!$A$1:$J$890,COLUMN(HeadJournal!I$1),0)*($K2907+$L2907)/(SUMIF($A:$A,$A2907,$K:$K)+SUMIF($A:$A,$A2907,$L:$L)),0)</f>
        <v>0</v>
      </c>
      <c r="N2907" s="30">
        <f>IFERROR((VLOOKUP($A2907,HeadJournal!$A$1:$K$890,COLUMN(HeadJournal!K$1),0)-VLOOKUP($A2907,HeadJournal!$A$1:$K$890,COLUMN(HeadJournal!J$1),0))*($K2907+$L2907)/(SUMIF($A:$A,$A2907,$K:$K)+SUMIF($A:$A,$A2907,$L:$L)),0)</f>
        <v>0</v>
      </c>
      <c r="O2907" s="30">
        <f>IFERROR((VLOOKUP($A2907,HeadJournal!$A$1:$L$890,COLUMN(HeadJournal!L$1),0)*($K2907+$L2907)/(SUMIF($A:$A,$A2907,$K:$K)+SUMIF($A:$A,$A2907,$L:$L)))/VLOOKUP($A2907,HeadJournal!$A$1:$L$890,COLUMN(HeadJournal!H$1),0),0)</f>
        <v>1.0965118792052673</v>
      </c>
      <c r="P2907" s="30">
        <f>IFERROR(SUM(K2907:O2907)*VLOOKUP($A2907,HeadJournal!$A$1:$L$890,COLUMN(HeadJournal!H$1),0),0)</f>
        <v>1518.1000797390357</v>
      </c>
      <c r="Q2907" s="29">
        <v>2300</v>
      </c>
      <c r="R2907" s="31">
        <v>45433</v>
      </c>
      <c r="S2907" s="31" t="s">
        <v>3121</v>
      </c>
      <c r="T2907" s="95" t="str">
        <f t="shared" si="233"/>
        <v>2024 05</v>
      </c>
      <c r="U2907" s="32">
        <f t="shared" si="230"/>
        <v>781.89992026096434</v>
      </c>
      <c r="V2907" s="22">
        <f t="shared" si="231"/>
        <v>0.5150516297946407</v>
      </c>
      <c r="X2907" s="33"/>
      <c r="Y2907" s="33"/>
    </row>
    <row r="2908" spans="1:25" x14ac:dyDescent="0.2">
      <c r="A2908" s="93" t="s">
        <v>1570</v>
      </c>
      <c r="B2908" s="94" t="str">
        <f>IFERROR(VLOOKUP($A2908,HeadJournal!$A$1:$NTR$890,COLUMN(HeadJournal!B$1),0),"")</f>
        <v>720000119518</v>
      </c>
      <c r="C2908" s="94" t="str">
        <f>IFERROR(VLOOKUP($A2908,HeadJournal!$A$1:$NTR$890,COLUMN(HeadJournal!C$1),0),"")</f>
        <v>iHerb_OA CZN6870</v>
      </c>
      <c r="D2908" s="125" t="str">
        <f>IFERROR(VLOOKUP($A2908,HeadJournal!$A$1:$NTR$890,COLUMN(HeadJournal!D$1),0),"")</f>
        <v>Доставлен</v>
      </c>
      <c r="E2908" s="95">
        <f>IFERROR(VLOOKUP($A2908,HeadJournal!$A$1:$NTR$890,COLUMN(HeadJournal!G$1),0),"")</f>
        <v>45329</v>
      </c>
      <c r="F2908" s="95" t="str">
        <f t="shared" si="232"/>
        <v>2024 02</v>
      </c>
      <c r="G2908" s="96" t="s">
        <v>5</v>
      </c>
      <c r="H2908" s="161" t="s">
        <v>2051</v>
      </c>
      <c r="I2908" s="97" t="s">
        <v>2052</v>
      </c>
      <c r="J2908" s="97" t="s">
        <v>3097</v>
      </c>
      <c r="K2908" s="29">
        <v>21.04</v>
      </c>
      <c r="L2908" s="29">
        <v>-7.05</v>
      </c>
      <c r="M2908" s="30">
        <f>IFERROR(VLOOKUP($A2908,HeadJournal!$A$1:$J$890,COLUMN(HeadJournal!I$1),0)*($K2908+$L2908)/(SUMIF($A:$A,$A2908,$K:$K)+SUMIF($A:$A,$A2908,$L:$L)),0)</f>
        <v>0</v>
      </c>
      <c r="N2908" s="30">
        <f>IFERROR((VLOOKUP($A2908,HeadJournal!$A$1:$K$890,COLUMN(HeadJournal!K$1),0)-VLOOKUP($A2908,HeadJournal!$A$1:$K$890,COLUMN(HeadJournal!J$1),0))*($K2908+$L2908)/(SUMIF($A:$A,$A2908,$K:$K)+SUMIF($A:$A,$A2908,$L:$L)),0)</f>
        <v>0</v>
      </c>
      <c r="O2908" s="30">
        <f>IFERROR((VLOOKUP($A2908,HeadJournal!$A$1:$L$890,COLUMN(HeadJournal!L$1),0)*($K2908+$L2908)/(SUMIF($A:$A,$A2908,$K:$K)+SUMIF($A:$A,$A2908,$L:$L)))/VLOOKUP($A2908,HeadJournal!$A$1:$L$890,COLUMN(HeadJournal!H$1),0),0)</f>
        <v>1.0965118792052673</v>
      </c>
      <c r="P2908" s="30">
        <f>IFERROR(SUM(K2908:O2908)*VLOOKUP($A2908,HeadJournal!$A$1:$L$890,COLUMN(HeadJournal!H$1),0),0)</f>
        <v>1518.1000797390357</v>
      </c>
      <c r="Q2908" s="29">
        <v>2300</v>
      </c>
      <c r="R2908" s="31">
        <v>45467</v>
      </c>
      <c r="S2908" s="31" t="s">
        <v>3121</v>
      </c>
      <c r="T2908" s="95" t="str">
        <f t="shared" si="233"/>
        <v>2024 06</v>
      </c>
      <c r="U2908" s="32">
        <f t="shared" si="230"/>
        <v>781.89992026096434</v>
      </c>
      <c r="V2908" s="22">
        <f t="shared" si="231"/>
        <v>0.5150516297946407</v>
      </c>
      <c r="X2908" s="33"/>
      <c r="Y2908" s="33"/>
    </row>
    <row r="2909" spans="1:25" x14ac:dyDescent="0.2">
      <c r="A2909" s="93" t="s">
        <v>1570</v>
      </c>
      <c r="B2909" s="94" t="str">
        <f>IFERROR(VLOOKUP($A2909,HeadJournal!$A$1:$NTR$890,COLUMN(HeadJournal!B$1),0),"")</f>
        <v>720000119518</v>
      </c>
      <c r="C2909" s="94" t="str">
        <f>IFERROR(VLOOKUP($A2909,HeadJournal!$A$1:$NTR$890,COLUMN(HeadJournal!C$1),0),"")</f>
        <v>iHerb_OA CZN6870</v>
      </c>
      <c r="D2909" s="125" t="str">
        <f>IFERROR(VLOOKUP($A2909,HeadJournal!$A$1:$NTR$890,COLUMN(HeadJournal!D$1),0),"")</f>
        <v>Доставлен</v>
      </c>
      <c r="E2909" s="95">
        <f>IFERROR(VLOOKUP($A2909,HeadJournal!$A$1:$NTR$890,COLUMN(HeadJournal!G$1),0),"")</f>
        <v>45329</v>
      </c>
      <c r="F2909" s="95" t="str">
        <f t="shared" si="232"/>
        <v>2024 02</v>
      </c>
      <c r="G2909" s="96" t="s">
        <v>5</v>
      </c>
      <c r="H2909" s="161" t="s">
        <v>2051</v>
      </c>
      <c r="I2909" s="97" t="s">
        <v>2052</v>
      </c>
      <c r="J2909" s="97" t="s">
        <v>3097</v>
      </c>
      <c r="K2909" s="29">
        <v>21.04</v>
      </c>
      <c r="L2909" s="29">
        <v>-7.05</v>
      </c>
      <c r="M2909" s="30">
        <f>IFERROR(VLOOKUP($A2909,HeadJournal!$A$1:$J$890,COLUMN(HeadJournal!I$1),0)*($K2909+$L2909)/(SUMIF($A:$A,$A2909,$K:$K)+SUMIF($A:$A,$A2909,$L:$L)),0)</f>
        <v>0</v>
      </c>
      <c r="N2909" s="30">
        <f>IFERROR((VLOOKUP($A2909,HeadJournal!$A$1:$K$890,COLUMN(HeadJournal!K$1),0)-VLOOKUP($A2909,HeadJournal!$A$1:$K$890,COLUMN(HeadJournal!J$1),0))*($K2909+$L2909)/(SUMIF($A:$A,$A2909,$K:$K)+SUMIF($A:$A,$A2909,$L:$L)),0)</f>
        <v>0</v>
      </c>
      <c r="O2909" s="30">
        <f>IFERROR((VLOOKUP($A2909,HeadJournal!$A$1:$L$890,COLUMN(HeadJournal!L$1),0)*($K2909+$L2909)/(SUMIF($A:$A,$A2909,$K:$K)+SUMIF($A:$A,$A2909,$L:$L)))/VLOOKUP($A2909,HeadJournal!$A$1:$L$890,COLUMN(HeadJournal!H$1),0),0)</f>
        <v>1.0965118792052673</v>
      </c>
      <c r="P2909" s="30">
        <f>IFERROR(SUM(K2909:O2909)*VLOOKUP($A2909,HeadJournal!$A$1:$L$890,COLUMN(HeadJournal!H$1),0),0)</f>
        <v>1518.1000797390357</v>
      </c>
      <c r="Q2909" s="29">
        <v>2300</v>
      </c>
      <c r="R2909" s="31">
        <v>45472</v>
      </c>
      <c r="S2909" s="31" t="s">
        <v>3121</v>
      </c>
      <c r="T2909" s="95" t="str">
        <f t="shared" si="233"/>
        <v>2024 06</v>
      </c>
      <c r="U2909" s="32">
        <f t="shared" si="230"/>
        <v>781.89992026096434</v>
      </c>
      <c r="V2909" s="22">
        <f t="shared" si="231"/>
        <v>0.5150516297946407</v>
      </c>
      <c r="X2909" s="33"/>
      <c r="Y2909" s="33"/>
    </row>
    <row r="2910" spans="1:25" x14ac:dyDescent="0.2">
      <c r="A2910" s="93" t="s">
        <v>1570</v>
      </c>
      <c r="B2910" s="94" t="str">
        <f>IFERROR(VLOOKUP($A2910,HeadJournal!$A$1:$NTR$890,COLUMN(HeadJournal!B$1),0),"")</f>
        <v>720000119518</v>
      </c>
      <c r="C2910" s="94" t="str">
        <f>IFERROR(VLOOKUP($A2910,HeadJournal!$A$1:$NTR$890,COLUMN(HeadJournal!C$1),0),"")</f>
        <v>iHerb_OA CZN6870</v>
      </c>
      <c r="D2910" s="125" t="str">
        <f>IFERROR(VLOOKUP($A2910,HeadJournal!$A$1:$NTR$890,COLUMN(HeadJournal!D$1),0),"")</f>
        <v>Доставлен</v>
      </c>
      <c r="E2910" s="95">
        <f>IFERROR(VLOOKUP($A2910,HeadJournal!$A$1:$NTR$890,COLUMN(HeadJournal!G$1),0),"")</f>
        <v>45329</v>
      </c>
      <c r="F2910" s="95" t="str">
        <f t="shared" si="232"/>
        <v>2024 02</v>
      </c>
      <c r="G2910" s="96" t="s">
        <v>5</v>
      </c>
      <c r="H2910" s="161" t="s">
        <v>2051</v>
      </c>
      <c r="I2910" s="97" t="s">
        <v>2052</v>
      </c>
      <c r="J2910" s="97" t="s">
        <v>3097</v>
      </c>
      <c r="K2910" s="29">
        <v>21.04</v>
      </c>
      <c r="L2910" s="29">
        <v>-7.05</v>
      </c>
      <c r="M2910" s="30">
        <f>IFERROR(VLOOKUP($A2910,HeadJournal!$A$1:$J$890,COLUMN(HeadJournal!I$1),0)*($K2910+$L2910)/(SUMIF($A:$A,$A2910,$K:$K)+SUMIF($A:$A,$A2910,$L:$L)),0)</f>
        <v>0</v>
      </c>
      <c r="N2910" s="30">
        <f>IFERROR((VLOOKUP($A2910,HeadJournal!$A$1:$K$890,COLUMN(HeadJournal!K$1),0)-VLOOKUP($A2910,HeadJournal!$A$1:$K$890,COLUMN(HeadJournal!J$1),0))*($K2910+$L2910)/(SUMIF($A:$A,$A2910,$K:$K)+SUMIF($A:$A,$A2910,$L:$L)),0)</f>
        <v>0</v>
      </c>
      <c r="O2910" s="30">
        <f>IFERROR((VLOOKUP($A2910,HeadJournal!$A$1:$L$890,COLUMN(HeadJournal!L$1),0)*($K2910+$L2910)/(SUMIF($A:$A,$A2910,$K:$K)+SUMIF($A:$A,$A2910,$L:$L)))/VLOOKUP($A2910,HeadJournal!$A$1:$L$890,COLUMN(HeadJournal!H$1),0),0)</f>
        <v>1.0965118792052673</v>
      </c>
      <c r="P2910" s="30">
        <f>IFERROR(SUM(K2910:O2910)*VLOOKUP($A2910,HeadJournal!$A$1:$L$890,COLUMN(HeadJournal!H$1),0),0)</f>
        <v>1518.1000797390357</v>
      </c>
      <c r="Q2910" s="29">
        <v>2300</v>
      </c>
      <c r="R2910" s="31">
        <v>45489</v>
      </c>
      <c r="S2910" s="31" t="s">
        <v>3121</v>
      </c>
      <c r="T2910" s="95" t="str">
        <f t="shared" si="233"/>
        <v>2024 07</v>
      </c>
      <c r="U2910" s="32">
        <f t="shared" si="230"/>
        <v>781.89992026096434</v>
      </c>
      <c r="V2910" s="22">
        <f t="shared" si="231"/>
        <v>0.5150516297946407</v>
      </c>
      <c r="X2910" s="33"/>
      <c r="Y2910" s="33"/>
    </row>
    <row r="2911" spans="1:25" x14ac:dyDescent="0.2">
      <c r="A2911" s="93" t="s">
        <v>1570</v>
      </c>
      <c r="B2911" s="94" t="str">
        <f>IFERROR(VLOOKUP($A2911,HeadJournal!$A$1:$NTR$890,COLUMN(HeadJournal!B$1),0),"")</f>
        <v>720000119518</v>
      </c>
      <c r="C2911" s="94" t="str">
        <f>IFERROR(VLOOKUP($A2911,HeadJournal!$A$1:$NTR$890,COLUMN(HeadJournal!C$1),0),"")</f>
        <v>iHerb_OA CZN6870</v>
      </c>
      <c r="D2911" s="125" t="str">
        <f>IFERROR(VLOOKUP($A2911,HeadJournal!$A$1:$NTR$890,COLUMN(HeadJournal!D$1),0),"")</f>
        <v>Доставлен</v>
      </c>
      <c r="E2911" s="95">
        <f>IFERROR(VLOOKUP($A2911,HeadJournal!$A$1:$NTR$890,COLUMN(HeadJournal!G$1),0),"")</f>
        <v>45329</v>
      </c>
      <c r="F2911" s="95" t="str">
        <f t="shared" si="232"/>
        <v>2024 02</v>
      </c>
      <c r="G2911" s="96" t="s">
        <v>5</v>
      </c>
      <c r="H2911" s="161" t="s">
        <v>3585</v>
      </c>
      <c r="I2911" s="97" t="s">
        <v>2052</v>
      </c>
      <c r="J2911" s="97" t="s">
        <v>3586</v>
      </c>
      <c r="K2911" s="29">
        <v>44.43</v>
      </c>
      <c r="L2911" s="29">
        <v>-13.33</v>
      </c>
      <c r="M2911" s="30">
        <f>IFERROR(VLOOKUP($A2911,HeadJournal!$A$1:$J$890,COLUMN(HeadJournal!I$1),0)*($K2911+$L2911)/(SUMIF($A:$A,$A2911,$K:$K)+SUMIF($A:$A,$A2911,$L:$L)),0)</f>
        <v>0</v>
      </c>
      <c r="N2911" s="30">
        <f>IFERROR((VLOOKUP($A2911,HeadJournal!$A$1:$K$890,COLUMN(HeadJournal!K$1),0)-VLOOKUP($A2911,HeadJournal!$A$1:$K$890,COLUMN(HeadJournal!J$1),0))*($K2911+$L2911)/(SUMIF($A:$A,$A2911,$K:$K)+SUMIF($A:$A,$A2911,$L:$L)),0)</f>
        <v>0</v>
      </c>
      <c r="O2911" s="30">
        <f>IFERROR((VLOOKUP($A2911,HeadJournal!$A$1:$L$890,COLUMN(HeadJournal!L$1),0)*($K2911+$L2911)/(SUMIF($A:$A,$A2911,$K:$K)+SUMIF($A:$A,$A2911,$L:$L)))/VLOOKUP($A2911,HeadJournal!$A$1:$L$890,COLUMN(HeadJournal!H$1),0),0)</f>
        <v>2.4375639344734683</v>
      </c>
      <c r="P2911" s="30">
        <f>IFERROR(SUM(K2911:O2911)*VLOOKUP($A2911,HeadJournal!$A$1:$L$890,COLUMN(HeadJournal!H$1),0),0)</f>
        <v>3374.7614353026461</v>
      </c>
      <c r="Q2911" s="29">
        <v>4500</v>
      </c>
      <c r="R2911" s="31">
        <v>45362</v>
      </c>
      <c r="S2911" s="31" t="s">
        <v>3121</v>
      </c>
      <c r="T2911" s="95" t="str">
        <f t="shared" si="233"/>
        <v>2024 03</v>
      </c>
      <c r="U2911" s="32">
        <f t="shared" si="230"/>
        <v>1125.2385646973539</v>
      </c>
      <c r="V2911" s="22">
        <f t="shared" si="231"/>
        <v>0.33342758777745823</v>
      </c>
      <c r="X2911" s="33"/>
      <c r="Y2911" s="33"/>
    </row>
    <row r="2912" spans="1:25" x14ac:dyDescent="0.2">
      <c r="A2912" s="93" t="s">
        <v>1570</v>
      </c>
      <c r="B2912" s="94" t="str">
        <f>IFERROR(VLOOKUP($A2912,HeadJournal!$A$1:$NTR$890,COLUMN(HeadJournal!B$1),0),"")</f>
        <v>720000119518</v>
      </c>
      <c r="C2912" s="94" t="str">
        <f>IFERROR(VLOOKUP($A2912,HeadJournal!$A$1:$NTR$890,COLUMN(HeadJournal!C$1),0),"")</f>
        <v>iHerb_OA CZN6870</v>
      </c>
      <c r="D2912" s="125" t="str">
        <f>IFERROR(VLOOKUP($A2912,HeadJournal!$A$1:$NTR$890,COLUMN(HeadJournal!D$1),0),"")</f>
        <v>Доставлен</v>
      </c>
      <c r="E2912" s="95">
        <f>IFERROR(VLOOKUP($A2912,HeadJournal!$A$1:$NTR$890,COLUMN(HeadJournal!G$1),0),"")</f>
        <v>45329</v>
      </c>
      <c r="F2912" s="95" t="str">
        <f t="shared" si="232"/>
        <v>2024 02</v>
      </c>
      <c r="G2912" s="96" t="s">
        <v>5</v>
      </c>
      <c r="H2912" s="161" t="s">
        <v>2049</v>
      </c>
      <c r="I2912" s="97" t="s">
        <v>2048</v>
      </c>
      <c r="J2912" s="97" t="s">
        <v>2050</v>
      </c>
      <c r="K2912" s="29">
        <v>10.32</v>
      </c>
      <c r="L2912" s="29">
        <v>-3.1</v>
      </c>
      <c r="M2912" s="30">
        <f>IFERROR(VLOOKUP($A2912,HeadJournal!$A$1:$J$890,COLUMN(HeadJournal!I$1),0)*($K2912+$L2912)/(SUMIF($A:$A,$A2912,$K:$K)+SUMIF($A:$A,$A2912,$L:$L)),0)</f>
        <v>0</v>
      </c>
      <c r="N2912" s="30">
        <f>IFERROR((VLOOKUP($A2912,HeadJournal!$A$1:$K$890,COLUMN(HeadJournal!K$1),0)-VLOOKUP($A2912,HeadJournal!$A$1:$K$890,COLUMN(HeadJournal!J$1),0))*($K2912+$L2912)/(SUMIF($A:$A,$A2912,$K:$K)+SUMIF($A:$A,$A2912,$L:$L)),0)</f>
        <v>0</v>
      </c>
      <c r="O2912" s="30">
        <f>IFERROR((VLOOKUP($A2912,HeadJournal!$A$1:$L$890,COLUMN(HeadJournal!L$1),0)*($K2912+$L2912)/(SUMIF($A:$A,$A2912,$K:$K)+SUMIF($A:$A,$A2912,$L:$L)))/VLOOKUP($A2912,HeadJournal!$A$1:$L$890,COLUMN(HeadJournal!H$1),0),0)</f>
        <v>0.56589104845332605</v>
      </c>
      <c r="P2912" s="30">
        <f>IFERROR(SUM(K2912:O2912)*VLOOKUP($A2912,HeadJournal!$A$1:$L$890,COLUMN(HeadJournal!H$1),0),0)</f>
        <v>783.46551649148262</v>
      </c>
      <c r="Q2912" s="29">
        <v>1800</v>
      </c>
      <c r="R2912" s="31">
        <v>45477</v>
      </c>
      <c r="S2912" s="31" t="s">
        <v>3121</v>
      </c>
      <c r="T2912" s="95" t="str">
        <f t="shared" si="233"/>
        <v>2024 07</v>
      </c>
      <c r="U2912" s="32">
        <f t="shared" si="230"/>
        <v>1016.5344835085174</v>
      </c>
      <c r="V2912" s="22">
        <f t="shared" si="231"/>
        <v>1.2974846526248722</v>
      </c>
      <c r="X2912" s="33"/>
      <c r="Y2912" s="33"/>
    </row>
    <row r="2913" spans="1:25" x14ac:dyDescent="0.2">
      <c r="A2913" s="93" t="s">
        <v>1570</v>
      </c>
      <c r="B2913" s="94" t="str">
        <f>IFERROR(VLOOKUP($A2913,HeadJournal!$A$1:$NTR$890,COLUMN(HeadJournal!B$1),0),"")</f>
        <v>720000119518</v>
      </c>
      <c r="C2913" s="94" t="str">
        <f>IFERROR(VLOOKUP($A2913,HeadJournal!$A$1:$NTR$890,COLUMN(HeadJournal!C$1),0),"")</f>
        <v>iHerb_OA CZN6870</v>
      </c>
      <c r="D2913" s="125" t="str">
        <f>IFERROR(VLOOKUP($A2913,HeadJournal!$A$1:$NTR$890,COLUMN(HeadJournal!D$1),0),"")</f>
        <v>Доставлен</v>
      </c>
      <c r="E2913" s="95">
        <f>IFERROR(VLOOKUP($A2913,HeadJournal!$A$1:$NTR$890,COLUMN(HeadJournal!G$1),0),"")</f>
        <v>45329</v>
      </c>
      <c r="F2913" s="95" t="str">
        <f t="shared" si="232"/>
        <v>2024 02</v>
      </c>
      <c r="G2913" s="96" t="s">
        <v>5</v>
      </c>
      <c r="H2913" s="161" t="str">
        <f>RIGHT(Journal!$J2913,9)</f>
        <v>PTF-10391</v>
      </c>
      <c r="I2913" s="97" t="str">
        <f t="shared" si="229"/>
        <v>Planetary Herbals</v>
      </c>
      <c r="J2913" s="97" t="s">
        <v>946</v>
      </c>
      <c r="K2913" s="29">
        <v>19.57</v>
      </c>
      <c r="L2913" s="29">
        <v>-2.9350000000000001</v>
      </c>
      <c r="M2913" s="30">
        <f>IFERROR(VLOOKUP($A2913,HeadJournal!$A$1:$J$890,COLUMN(HeadJournal!I$1),0)*($K2913+$L2913)/(SUMIF($A:$A,$A2913,$K:$K)+SUMIF($A:$A,$A2913,$L:$L)),0)</f>
        <v>0</v>
      </c>
      <c r="N2913" s="30">
        <f>IFERROR((VLOOKUP($A2913,HeadJournal!$A$1:$K$890,COLUMN(HeadJournal!K$1),0)-VLOOKUP($A2913,HeadJournal!$A$1:$K$890,COLUMN(HeadJournal!J$1),0))*($K2913+$L2913)/(SUMIF($A:$A,$A2913,$K:$K)+SUMIF($A:$A,$A2913,$L:$L)),0)</f>
        <v>0</v>
      </c>
      <c r="O2913" s="30">
        <f>IFERROR((VLOOKUP($A2913,HeadJournal!$A$1:$L$890,COLUMN(HeadJournal!L$1),0)*($K2913+$L2913)/(SUMIF($A:$A,$A2913,$K:$K)+SUMIF($A:$A,$A2913,$L:$L)))/VLOOKUP($A2913,HeadJournal!$A$1:$L$890,COLUMN(HeadJournal!H$1),0),0)</f>
        <v>1.3038223810278504</v>
      </c>
      <c r="P2913" s="30">
        <f>IFERROR(SUM(K2913:O2913)*VLOOKUP($A2913,HeadJournal!$A$1:$L$890,COLUMN(HeadJournal!H$1),0),0)</f>
        <v>1805.1175715839074</v>
      </c>
      <c r="Q2913" s="29">
        <v>2400</v>
      </c>
      <c r="R2913" s="31">
        <v>45367</v>
      </c>
      <c r="S2913" s="31" t="s">
        <v>3121</v>
      </c>
      <c r="T2913" s="95" t="str">
        <f t="shared" si="233"/>
        <v>2024 03</v>
      </c>
      <c r="U2913" s="32">
        <f t="shared" si="230"/>
        <v>594.88242841609258</v>
      </c>
      <c r="V2913" s="22">
        <f t="shared" si="231"/>
        <v>0.32955328660066763</v>
      </c>
      <c r="X2913" s="33"/>
      <c r="Y2913" s="33"/>
    </row>
    <row r="2914" spans="1:25" x14ac:dyDescent="0.2">
      <c r="A2914" s="93" t="s">
        <v>1570</v>
      </c>
      <c r="B2914" s="94" t="str">
        <f>IFERROR(VLOOKUP($A2914,HeadJournal!$A$1:$NTR$890,COLUMN(HeadJournal!B$1),0),"")</f>
        <v>720000119518</v>
      </c>
      <c r="C2914" s="94" t="str">
        <f>IFERROR(VLOOKUP($A2914,HeadJournal!$A$1:$NTR$890,COLUMN(HeadJournal!C$1),0),"")</f>
        <v>iHerb_OA CZN6870</v>
      </c>
      <c r="D2914" s="125" t="str">
        <f>IFERROR(VLOOKUP($A2914,HeadJournal!$A$1:$NTR$890,COLUMN(HeadJournal!D$1),0),"")</f>
        <v>Доставлен</v>
      </c>
      <c r="E2914" s="95">
        <f>IFERROR(VLOOKUP($A2914,HeadJournal!$A$1:$NTR$890,COLUMN(HeadJournal!G$1),0),"")</f>
        <v>45329</v>
      </c>
      <c r="F2914" s="95" t="str">
        <f t="shared" si="232"/>
        <v>2024 02</v>
      </c>
      <c r="G2914" s="96" t="s">
        <v>5</v>
      </c>
      <c r="H2914" s="161" t="str">
        <f>RIGHT(Journal!$J2914,9)</f>
        <v>PTF-10391</v>
      </c>
      <c r="I2914" s="97" t="str">
        <f t="shared" si="229"/>
        <v>Planetary Herbals</v>
      </c>
      <c r="J2914" s="97" t="s">
        <v>946</v>
      </c>
      <c r="K2914" s="29">
        <v>19.57</v>
      </c>
      <c r="L2914" s="29">
        <v>-2.9350000000000001</v>
      </c>
      <c r="M2914" s="30">
        <f>IFERROR(VLOOKUP($A2914,HeadJournal!$A$1:$J$890,COLUMN(HeadJournal!I$1),0)*($K2914+$L2914)/(SUMIF($A:$A,$A2914,$K:$K)+SUMIF($A:$A,$A2914,$L:$L)),0)</f>
        <v>0</v>
      </c>
      <c r="N2914" s="30">
        <f>IFERROR((VLOOKUP($A2914,HeadJournal!$A$1:$K$890,COLUMN(HeadJournal!K$1),0)-VLOOKUP($A2914,HeadJournal!$A$1:$K$890,COLUMN(HeadJournal!J$1),0))*($K2914+$L2914)/(SUMIF($A:$A,$A2914,$K:$K)+SUMIF($A:$A,$A2914,$L:$L)),0)</f>
        <v>0</v>
      </c>
      <c r="O2914" s="30">
        <f>IFERROR((VLOOKUP($A2914,HeadJournal!$A$1:$L$890,COLUMN(HeadJournal!L$1),0)*($K2914+$L2914)/(SUMIF($A:$A,$A2914,$K:$K)+SUMIF($A:$A,$A2914,$L:$L)))/VLOOKUP($A2914,HeadJournal!$A$1:$L$890,COLUMN(HeadJournal!H$1),0),0)</f>
        <v>1.3038223810278504</v>
      </c>
      <c r="P2914" s="30">
        <f>IFERROR(SUM(K2914:O2914)*VLOOKUP($A2914,HeadJournal!$A$1:$L$890,COLUMN(HeadJournal!H$1),0),0)</f>
        <v>1805.1175715839074</v>
      </c>
      <c r="Q2914" s="29"/>
      <c r="R2914" s="31"/>
      <c r="S2914" s="31"/>
      <c r="T2914" s="95" t="str">
        <f t="shared" si="233"/>
        <v/>
      </c>
      <c r="U2914" s="32">
        <f t="shared" si="230"/>
        <v>-1805.1175715839074</v>
      </c>
      <c r="V2914" s="22" t="str">
        <f t="shared" si="231"/>
        <v/>
      </c>
      <c r="X2914" s="33"/>
      <c r="Y2914" s="33"/>
    </row>
    <row r="2915" spans="1:25" x14ac:dyDescent="0.2">
      <c r="A2915" s="93" t="s">
        <v>1570</v>
      </c>
      <c r="B2915" s="94" t="str">
        <f>IFERROR(VLOOKUP($A2915,HeadJournal!$A$1:$NTR$890,COLUMN(HeadJournal!B$1),0),"")</f>
        <v>720000119518</v>
      </c>
      <c r="C2915" s="94" t="str">
        <f>IFERROR(VLOOKUP($A2915,HeadJournal!$A$1:$NTR$890,COLUMN(HeadJournal!C$1),0),"")</f>
        <v>iHerb_OA CZN6870</v>
      </c>
      <c r="D2915" s="125" t="str">
        <f>IFERROR(VLOOKUP($A2915,HeadJournal!$A$1:$NTR$890,COLUMN(HeadJournal!D$1),0),"")</f>
        <v>Доставлен</v>
      </c>
      <c r="E2915" s="95">
        <f>IFERROR(VLOOKUP($A2915,HeadJournal!$A$1:$NTR$890,COLUMN(HeadJournal!G$1),0),"")</f>
        <v>45329</v>
      </c>
      <c r="F2915" s="95" t="str">
        <f t="shared" si="232"/>
        <v>2024 02</v>
      </c>
      <c r="G2915" s="96" t="s">
        <v>5</v>
      </c>
      <c r="H2915" s="161" t="str">
        <f>RIGHT(Journal!$J2915,9)</f>
        <v>PTF-10393</v>
      </c>
      <c r="I2915" s="97" t="str">
        <f t="shared" si="229"/>
        <v>Planetary Herbals</v>
      </c>
      <c r="J2915" s="97" t="s">
        <v>1043</v>
      </c>
      <c r="K2915" s="29">
        <v>21.18</v>
      </c>
      <c r="L2915" s="29">
        <v>-3.1749999999999998</v>
      </c>
      <c r="M2915" s="30">
        <f>IFERROR(VLOOKUP($A2915,HeadJournal!$A$1:$J$890,COLUMN(HeadJournal!I$1),0)*($K2915+$L2915)/(SUMIF($A:$A,$A2915,$K:$K)+SUMIF($A:$A,$A2915,$L:$L)),0)</f>
        <v>0</v>
      </c>
      <c r="N2915" s="30">
        <f>IFERROR((VLOOKUP($A2915,HeadJournal!$A$1:$K$890,COLUMN(HeadJournal!K$1),0)-VLOOKUP($A2915,HeadJournal!$A$1:$K$890,COLUMN(HeadJournal!J$1),0))*($K2915+$L2915)/(SUMIF($A:$A,$A2915,$K:$K)+SUMIF($A:$A,$A2915,$L:$L)),0)</f>
        <v>0</v>
      </c>
      <c r="O2915" s="30">
        <f>IFERROR((VLOOKUP($A2915,HeadJournal!$A$1:$L$890,COLUMN(HeadJournal!L$1),0)*($K2915+$L2915)/(SUMIF($A:$A,$A2915,$K:$K)+SUMIF($A:$A,$A2915,$L:$L)))/VLOOKUP($A2915,HeadJournal!$A$1:$L$890,COLUMN(HeadJournal!H$1),0),0)</f>
        <v>1.4112005993631764</v>
      </c>
      <c r="P2915" s="30">
        <f>IFERROR(SUM(K2915:O2915)*VLOOKUP($A2915,HeadJournal!$A$1:$L$890,COLUMN(HeadJournal!H$1),0),0)</f>
        <v>1953.7806959043132</v>
      </c>
      <c r="Q2915" s="29">
        <v>2600</v>
      </c>
      <c r="R2915" s="31">
        <v>45405</v>
      </c>
      <c r="S2915" s="31" t="s">
        <v>3121</v>
      </c>
      <c r="T2915" s="95" t="str">
        <f t="shared" si="233"/>
        <v>2024 04</v>
      </c>
      <c r="U2915" s="32">
        <f t="shared" si="230"/>
        <v>646.21930409568677</v>
      </c>
      <c r="V2915" s="22">
        <f t="shared" si="231"/>
        <v>0.33075324444056003</v>
      </c>
      <c r="X2915" s="33"/>
      <c r="Y2915" s="33"/>
    </row>
    <row r="2916" spans="1:25" x14ac:dyDescent="0.2">
      <c r="A2916" s="93" t="s">
        <v>1570</v>
      </c>
      <c r="B2916" s="94" t="str">
        <f>IFERROR(VLOOKUP($A2916,HeadJournal!$A$1:$NTR$890,COLUMN(HeadJournal!B$1),0),"")</f>
        <v>720000119518</v>
      </c>
      <c r="C2916" s="94" t="str">
        <f>IFERROR(VLOOKUP($A2916,HeadJournal!$A$1:$NTR$890,COLUMN(HeadJournal!C$1),0),"")</f>
        <v>iHerb_OA CZN6870</v>
      </c>
      <c r="D2916" s="125" t="str">
        <f>IFERROR(VLOOKUP($A2916,HeadJournal!$A$1:$NTR$890,COLUMN(HeadJournal!D$1),0),"")</f>
        <v>Доставлен</v>
      </c>
      <c r="E2916" s="95">
        <f>IFERROR(VLOOKUP($A2916,HeadJournal!$A$1:$NTR$890,COLUMN(HeadJournal!G$1),0),"")</f>
        <v>45329</v>
      </c>
      <c r="F2916" s="95" t="str">
        <f t="shared" si="232"/>
        <v>2024 02</v>
      </c>
      <c r="G2916" s="96" t="s">
        <v>5</v>
      </c>
      <c r="H2916" s="161" t="str">
        <f>RIGHT(Journal!$J2916,9)</f>
        <v>PTF-10393</v>
      </c>
      <c r="I2916" s="97" t="str">
        <f t="shared" si="229"/>
        <v>Planetary Herbals</v>
      </c>
      <c r="J2916" s="97" t="s">
        <v>1043</v>
      </c>
      <c r="K2916" s="29">
        <v>21.18</v>
      </c>
      <c r="L2916" s="29">
        <v>-3.1749999999999998</v>
      </c>
      <c r="M2916" s="30">
        <f>IFERROR(VLOOKUP($A2916,HeadJournal!$A$1:$J$890,COLUMN(HeadJournal!I$1),0)*($K2916+$L2916)/(SUMIF($A:$A,$A2916,$K:$K)+SUMIF($A:$A,$A2916,$L:$L)),0)</f>
        <v>0</v>
      </c>
      <c r="N2916" s="30">
        <f>IFERROR((VLOOKUP($A2916,HeadJournal!$A$1:$K$890,COLUMN(HeadJournal!K$1),0)-VLOOKUP($A2916,HeadJournal!$A$1:$K$890,COLUMN(HeadJournal!J$1),0))*($K2916+$L2916)/(SUMIF($A:$A,$A2916,$K:$K)+SUMIF($A:$A,$A2916,$L:$L)),0)</f>
        <v>0</v>
      </c>
      <c r="O2916" s="30">
        <f>IFERROR((VLOOKUP($A2916,HeadJournal!$A$1:$L$890,COLUMN(HeadJournal!L$1),0)*($K2916+$L2916)/(SUMIF($A:$A,$A2916,$K:$K)+SUMIF($A:$A,$A2916,$L:$L)))/VLOOKUP($A2916,HeadJournal!$A$1:$L$890,COLUMN(HeadJournal!H$1),0),0)</f>
        <v>1.4112005993631764</v>
      </c>
      <c r="P2916" s="30">
        <f>IFERROR(SUM(K2916:O2916)*VLOOKUP($A2916,HeadJournal!$A$1:$L$890,COLUMN(HeadJournal!H$1),0),0)</f>
        <v>1953.7806959043132</v>
      </c>
      <c r="Q2916" s="29">
        <v>2700</v>
      </c>
      <c r="R2916" s="31">
        <v>45679</v>
      </c>
      <c r="S2916" s="31" t="s">
        <v>3121</v>
      </c>
      <c r="T2916" s="95" t="str">
        <f t="shared" si="233"/>
        <v>2025 01</v>
      </c>
      <c r="U2916" s="32">
        <f t="shared" si="230"/>
        <v>746.21930409568677</v>
      </c>
      <c r="V2916" s="22">
        <f t="shared" si="231"/>
        <v>0.38193606153442772</v>
      </c>
      <c r="X2916" s="33"/>
      <c r="Y2916" s="33"/>
    </row>
    <row r="2917" spans="1:25" x14ac:dyDescent="0.2">
      <c r="A2917" s="93" t="s">
        <v>1570</v>
      </c>
      <c r="B2917" s="94" t="str">
        <f>IFERROR(VLOOKUP($A2917,HeadJournal!$A$1:$NTR$890,COLUMN(HeadJournal!B$1),0),"")</f>
        <v>720000119518</v>
      </c>
      <c r="C2917" s="94" t="str">
        <f>IFERROR(VLOOKUP($A2917,HeadJournal!$A$1:$NTR$890,COLUMN(HeadJournal!C$1),0),"")</f>
        <v>iHerb_OA CZN6870</v>
      </c>
      <c r="D2917" s="125" t="str">
        <f>IFERROR(VLOOKUP($A2917,HeadJournal!$A$1:$NTR$890,COLUMN(HeadJournal!D$1),0),"")</f>
        <v>Доставлен</v>
      </c>
      <c r="E2917" s="95">
        <f>IFERROR(VLOOKUP($A2917,HeadJournal!$A$1:$NTR$890,COLUMN(HeadJournal!G$1),0),"")</f>
        <v>45329</v>
      </c>
      <c r="F2917" s="95" t="str">
        <f t="shared" si="232"/>
        <v>2024 02</v>
      </c>
      <c r="G2917" s="96" t="s">
        <v>5</v>
      </c>
      <c r="H2917" s="161" t="str">
        <f>RIGHT(Journal!$J2917,9)</f>
        <v>AMX-22880</v>
      </c>
      <c r="I2917" s="97" t="str">
        <f t="shared" si="229"/>
        <v>ALLMAX</v>
      </c>
      <c r="J2917" s="97" t="s">
        <v>1576</v>
      </c>
      <c r="K2917" s="29">
        <v>16.059999999999999</v>
      </c>
      <c r="L2917" s="29">
        <v>-3.21</v>
      </c>
      <c r="M2917" s="30">
        <f>IFERROR(VLOOKUP($A2917,HeadJournal!$A$1:$J$890,COLUMN(HeadJournal!I$1),0)*($K2917+$L2917)/(SUMIF($A:$A,$A2917,$K:$K)+SUMIF($A:$A,$A2917,$L:$L)),0)</f>
        <v>0</v>
      </c>
      <c r="N2917" s="30">
        <f>IFERROR((VLOOKUP($A2917,HeadJournal!$A$1:$K$890,COLUMN(HeadJournal!K$1),0)-VLOOKUP($A2917,HeadJournal!$A$1:$K$890,COLUMN(HeadJournal!J$1),0))*($K2917+$L2917)/(SUMIF($A:$A,$A2917,$K:$K)+SUMIF($A:$A,$A2917,$L:$L)),0)</f>
        <v>0</v>
      </c>
      <c r="O2917" s="30">
        <f>IFERROR((VLOOKUP($A2917,HeadJournal!$A$1:$L$890,COLUMN(HeadJournal!L$1),0)*($K2917+$L2917)/(SUMIF($A:$A,$A2917,$K:$K)+SUMIF($A:$A,$A2917,$L:$L)))/VLOOKUP($A2917,HeadJournal!$A$1:$L$890,COLUMN(HeadJournal!H$1),0),0)</f>
        <v>1.0071606610284265</v>
      </c>
      <c r="P2917" s="30">
        <f>IFERROR(SUM(K2917:O2917)*VLOOKUP($A2917,HeadJournal!$A$1:$L$890,COLUMN(HeadJournal!H$1),0),0)</f>
        <v>1394.394998187749</v>
      </c>
      <c r="Q2917" s="29">
        <v>2200</v>
      </c>
      <c r="R2917" s="31">
        <v>45512</v>
      </c>
      <c r="S2917" s="31" t="s">
        <v>3121</v>
      </c>
      <c r="T2917" s="95" t="str">
        <f t="shared" si="233"/>
        <v>2024 08</v>
      </c>
      <c r="U2917" s="32">
        <f t="shared" si="230"/>
        <v>805.60500181225098</v>
      </c>
      <c r="V2917" s="22">
        <f t="shared" si="231"/>
        <v>0.57774518903127903</v>
      </c>
      <c r="X2917" s="33"/>
      <c r="Y2917" s="33"/>
    </row>
    <row r="2918" spans="1:25" x14ac:dyDescent="0.2">
      <c r="A2918" s="93" t="s">
        <v>1570</v>
      </c>
      <c r="B2918" s="94" t="str">
        <f>IFERROR(VLOOKUP($A2918,HeadJournal!$A$1:$NTR$890,COLUMN(HeadJournal!B$1),0),"")</f>
        <v>720000119518</v>
      </c>
      <c r="C2918" s="94" t="str">
        <f>IFERROR(VLOOKUP($A2918,HeadJournal!$A$1:$NTR$890,COLUMN(HeadJournal!C$1),0),"")</f>
        <v>iHerb_OA CZN6870</v>
      </c>
      <c r="D2918" s="125" t="str">
        <f>IFERROR(VLOOKUP($A2918,HeadJournal!$A$1:$NTR$890,COLUMN(HeadJournal!D$1),0),"")</f>
        <v>Доставлен</v>
      </c>
      <c r="E2918" s="95">
        <f>IFERROR(VLOOKUP($A2918,HeadJournal!$A$1:$NTR$890,COLUMN(HeadJournal!G$1),0),"")</f>
        <v>45329</v>
      </c>
      <c r="F2918" s="95" t="str">
        <f t="shared" si="232"/>
        <v>2024 02</v>
      </c>
      <c r="G2918" s="96" t="s">
        <v>5</v>
      </c>
      <c r="H2918" s="161" t="s">
        <v>2565</v>
      </c>
      <c r="I2918" s="97" t="s">
        <v>2052</v>
      </c>
      <c r="J2918" s="97" t="s">
        <v>3829</v>
      </c>
      <c r="K2918" s="29">
        <v>31.02</v>
      </c>
      <c r="L2918" s="29">
        <v>-9.3066666666666666</v>
      </c>
      <c r="M2918" s="30">
        <f>IFERROR(VLOOKUP($A2918,HeadJournal!$A$1:$J$890,COLUMN(HeadJournal!I$1),0)*($K2918+$L2918)/(SUMIF($A:$A,$A2918,$K:$K)+SUMIF($A:$A,$A2918,$L:$L)),0)</f>
        <v>0</v>
      </c>
      <c r="N2918" s="30">
        <f>IFERROR((VLOOKUP($A2918,HeadJournal!$A$1:$K$890,COLUMN(HeadJournal!K$1),0)-VLOOKUP($A2918,HeadJournal!$A$1:$K$890,COLUMN(HeadJournal!J$1),0))*($K2918+$L2918)/(SUMIF($A:$A,$A2918,$K:$K)+SUMIF($A:$A,$A2918,$L:$L)),0)</f>
        <v>0</v>
      </c>
      <c r="O2918" s="30">
        <f>IFERROR((VLOOKUP($A2918,HeadJournal!$A$1:$L$890,COLUMN(HeadJournal!L$1),0)*($K2918+$L2918)/(SUMIF($A:$A,$A2918,$K:$K)+SUMIF($A:$A,$A2918,$L:$L)))/VLOOKUP($A2918,HeadJournal!$A$1:$L$890,COLUMN(HeadJournal!H$1),0),0)</f>
        <v>1.7018533193097716</v>
      </c>
      <c r="P2918" s="30">
        <f>IFERROR(SUM(K2918:O2918)*VLOOKUP($A2918,HeadJournal!$A$1:$L$890,COLUMN(HeadJournal!H$1),0),0)</f>
        <v>2356.1839217107649</v>
      </c>
      <c r="Q2918" s="29">
        <v>3300</v>
      </c>
      <c r="R2918" s="31">
        <v>45472</v>
      </c>
      <c r="S2918" s="31" t="s">
        <v>3121</v>
      </c>
      <c r="T2918" s="95" t="str">
        <f t="shared" si="233"/>
        <v>2024 06</v>
      </c>
      <c r="U2918" s="32">
        <f t="shared" si="230"/>
        <v>943.81607828923507</v>
      </c>
      <c r="V2918" s="22">
        <f t="shared" si="231"/>
        <v>0.4005697813284263</v>
      </c>
      <c r="X2918" s="33"/>
      <c r="Y2918" s="33"/>
    </row>
    <row r="2919" spans="1:25" x14ac:dyDescent="0.2">
      <c r="A2919" s="93" t="s">
        <v>1570</v>
      </c>
      <c r="B2919" s="94" t="str">
        <f>IFERROR(VLOOKUP($A2919,HeadJournal!$A$1:$NTR$890,COLUMN(HeadJournal!B$1),0),"")</f>
        <v>720000119518</v>
      </c>
      <c r="C2919" s="94" t="str">
        <f>IFERROR(VLOOKUP($A2919,HeadJournal!$A$1:$NTR$890,COLUMN(HeadJournal!C$1),0),"")</f>
        <v>iHerb_OA CZN6870</v>
      </c>
      <c r="D2919" s="125" t="str">
        <f>IFERROR(VLOOKUP($A2919,HeadJournal!$A$1:$NTR$890,COLUMN(HeadJournal!D$1),0),"")</f>
        <v>Доставлен</v>
      </c>
      <c r="E2919" s="95">
        <f>IFERROR(VLOOKUP($A2919,HeadJournal!$A$1:$NTR$890,COLUMN(HeadJournal!G$1),0),"")</f>
        <v>45329</v>
      </c>
      <c r="F2919" s="95" t="str">
        <f t="shared" si="232"/>
        <v>2024 02</v>
      </c>
      <c r="G2919" s="96" t="s">
        <v>5</v>
      </c>
      <c r="H2919" s="161" t="s">
        <v>2565</v>
      </c>
      <c r="I2919" s="97" t="s">
        <v>2052</v>
      </c>
      <c r="J2919" s="97" t="s">
        <v>3829</v>
      </c>
      <c r="K2919" s="29">
        <v>31.02</v>
      </c>
      <c r="L2919" s="29">
        <v>-9.3066666666666666</v>
      </c>
      <c r="M2919" s="30">
        <f>IFERROR(VLOOKUP($A2919,HeadJournal!$A$1:$J$890,COLUMN(HeadJournal!I$1),0)*($K2919+$L2919)/(SUMIF($A:$A,$A2919,$K:$K)+SUMIF($A:$A,$A2919,$L:$L)),0)</f>
        <v>0</v>
      </c>
      <c r="N2919" s="30">
        <f>IFERROR((VLOOKUP($A2919,HeadJournal!$A$1:$K$890,COLUMN(HeadJournal!K$1),0)-VLOOKUP($A2919,HeadJournal!$A$1:$K$890,COLUMN(HeadJournal!J$1),0))*($K2919+$L2919)/(SUMIF($A:$A,$A2919,$K:$K)+SUMIF($A:$A,$A2919,$L:$L)),0)</f>
        <v>0</v>
      </c>
      <c r="O2919" s="30">
        <f>IFERROR((VLOOKUP($A2919,HeadJournal!$A$1:$L$890,COLUMN(HeadJournal!L$1),0)*($K2919+$L2919)/(SUMIF($A:$A,$A2919,$K:$K)+SUMIF($A:$A,$A2919,$L:$L)))/VLOOKUP($A2919,HeadJournal!$A$1:$L$890,COLUMN(HeadJournal!H$1),0),0)</f>
        <v>1.7018533193097716</v>
      </c>
      <c r="P2919" s="30">
        <f>IFERROR(SUM(K2919:O2919)*VLOOKUP($A2919,HeadJournal!$A$1:$L$890,COLUMN(HeadJournal!H$1),0),0)</f>
        <v>2356.1839217107649</v>
      </c>
      <c r="Q2919" s="29">
        <v>3400</v>
      </c>
      <c r="R2919" s="31">
        <v>45472</v>
      </c>
      <c r="S2919" s="31" t="s">
        <v>3121</v>
      </c>
      <c r="T2919" s="95" t="str">
        <f t="shared" si="233"/>
        <v>2024 06</v>
      </c>
      <c r="U2919" s="32">
        <f t="shared" si="230"/>
        <v>1043.8160782892351</v>
      </c>
      <c r="V2919" s="22">
        <f t="shared" si="231"/>
        <v>0.44301128985353017</v>
      </c>
      <c r="X2919" s="33"/>
      <c r="Y2919" s="33"/>
    </row>
    <row r="2920" spans="1:25" x14ac:dyDescent="0.2">
      <c r="A2920" s="93" t="s">
        <v>1570</v>
      </c>
      <c r="B2920" s="94" t="str">
        <f>IFERROR(VLOOKUP($A2920,HeadJournal!$A$1:$NTR$890,COLUMN(HeadJournal!B$1),0),"")</f>
        <v>720000119518</v>
      </c>
      <c r="C2920" s="94" t="str">
        <f>IFERROR(VLOOKUP($A2920,HeadJournal!$A$1:$NTR$890,COLUMN(HeadJournal!C$1),0),"")</f>
        <v>iHerb_OA CZN6870</v>
      </c>
      <c r="D2920" s="125" t="str">
        <f>IFERROR(VLOOKUP($A2920,HeadJournal!$A$1:$NTR$890,COLUMN(HeadJournal!D$1),0),"")</f>
        <v>Доставлен</v>
      </c>
      <c r="E2920" s="95">
        <f>IFERROR(VLOOKUP($A2920,HeadJournal!$A$1:$NTR$890,COLUMN(HeadJournal!G$1),0),"")</f>
        <v>45329</v>
      </c>
      <c r="F2920" s="95" t="str">
        <f t="shared" si="232"/>
        <v>2024 02</v>
      </c>
      <c r="G2920" s="96" t="s">
        <v>5</v>
      </c>
      <c r="H2920" s="161" t="s">
        <v>2565</v>
      </c>
      <c r="I2920" s="97" t="s">
        <v>2052</v>
      </c>
      <c r="J2920" s="97" t="s">
        <v>3829</v>
      </c>
      <c r="K2920" s="29">
        <v>31.02</v>
      </c>
      <c r="L2920" s="29">
        <v>-9.3066666666666666</v>
      </c>
      <c r="M2920" s="30">
        <f>IFERROR(VLOOKUP($A2920,HeadJournal!$A$1:$J$890,COLUMN(HeadJournal!I$1),0)*($K2920+$L2920)/(SUMIF($A:$A,$A2920,$K:$K)+SUMIF($A:$A,$A2920,$L:$L)),0)</f>
        <v>0</v>
      </c>
      <c r="N2920" s="30">
        <f>IFERROR((VLOOKUP($A2920,HeadJournal!$A$1:$K$890,COLUMN(HeadJournal!K$1),0)-VLOOKUP($A2920,HeadJournal!$A$1:$K$890,COLUMN(HeadJournal!J$1),0))*($K2920+$L2920)/(SUMIF($A:$A,$A2920,$K:$K)+SUMIF($A:$A,$A2920,$L:$L)),0)</f>
        <v>0</v>
      </c>
      <c r="O2920" s="30">
        <f>IFERROR((VLOOKUP($A2920,HeadJournal!$A$1:$L$890,COLUMN(HeadJournal!L$1),0)*($K2920+$L2920)/(SUMIF($A:$A,$A2920,$K:$K)+SUMIF($A:$A,$A2920,$L:$L)))/VLOOKUP($A2920,HeadJournal!$A$1:$L$890,COLUMN(HeadJournal!H$1),0),0)</f>
        <v>1.7018533193097716</v>
      </c>
      <c r="P2920" s="30">
        <f>IFERROR(SUM(K2920:O2920)*VLOOKUP($A2920,HeadJournal!$A$1:$L$890,COLUMN(HeadJournal!H$1),0),0)</f>
        <v>2356.1839217107649</v>
      </c>
      <c r="Q2920" s="29">
        <v>3300</v>
      </c>
      <c r="R2920" s="31">
        <v>45472</v>
      </c>
      <c r="S2920" s="31" t="s">
        <v>3121</v>
      </c>
      <c r="T2920" s="95" t="str">
        <f t="shared" si="233"/>
        <v>2024 06</v>
      </c>
      <c r="U2920" s="32">
        <f t="shared" si="230"/>
        <v>943.81607828923507</v>
      </c>
      <c r="V2920" s="22">
        <f t="shared" si="231"/>
        <v>0.4005697813284263</v>
      </c>
      <c r="X2920" s="33"/>
      <c r="Y2920" s="33"/>
    </row>
    <row r="2921" spans="1:25" x14ac:dyDescent="0.2">
      <c r="A2921" s="93" t="s">
        <v>1570</v>
      </c>
      <c r="B2921" s="94" t="str">
        <f>IFERROR(VLOOKUP($A2921,HeadJournal!$A$1:$NTR$890,COLUMN(HeadJournal!B$1),0),"")</f>
        <v>720000119518</v>
      </c>
      <c r="C2921" s="94" t="str">
        <f>IFERROR(VLOOKUP($A2921,HeadJournal!$A$1:$NTR$890,COLUMN(HeadJournal!C$1),0),"")</f>
        <v>iHerb_OA CZN6870</v>
      </c>
      <c r="D2921" s="125" t="str">
        <f>IFERROR(VLOOKUP($A2921,HeadJournal!$A$1:$NTR$890,COLUMN(HeadJournal!D$1),0),"")</f>
        <v>Доставлен</v>
      </c>
      <c r="E2921" s="95">
        <f>IFERROR(VLOOKUP($A2921,HeadJournal!$A$1:$NTR$890,COLUMN(HeadJournal!G$1),0),"")</f>
        <v>45329</v>
      </c>
      <c r="F2921" s="95" t="str">
        <f t="shared" si="232"/>
        <v>2024 02</v>
      </c>
      <c r="G2921" s="96" t="s">
        <v>5</v>
      </c>
      <c r="H2921" s="161" t="s">
        <v>2863</v>
      </c>
      <c r="I2921" s="97" t="s">
        <v>2864</v>
      </c>
      <c r="J2921" s="97" t="s">
        <v>2865</v>
      </c>
      <c r="K2921" s="29">
        <v>17.41</v>
      </c>
      <c r="L2921" s="29">
        <v>-3.48</v>
      </c>
      <c r="M2921" s="30">
        <f>IFERROR(VLOOKUP($A2921,HeadJournal!$A$1:$J$890,COLUMN(HeadJournal!I$1),0)*($K2921+$L2921)/(SUMIF($A:$A,$A2921,$K:$K)+SUMIF($A:$A,$A2921,$L:$L)),0)</f>
        <v>0</v>
      </c>
      <c r="N2921" s="30">
        <f>IFERROR((VLOOKUP($A2921,HeadJournal!$A$1:$K$890,COLUMN(HeadJournal!K$1),0)-VLOOKUP($A2921,HeadJournal!$A$1:$K$890,COLUMN(HeadJournal!J$1),0))*($K2921+$L2921)/(SUMIF($A:$A,$A2921,$K:$K)+SUMIF($A:$A,$A2921,$L:$L)),0)</f>
        <v>0</v>
      </c>
      <c r="O2921" s="30">
        <f>IFERROR((VLOOKUP($A2921,HeadJournal!$A$1:$L$890,COLUMN(HeadJournal!L$1),0)*($K2921+$L2921)/(SUMIF($A:$A,$A2921,$K:$K)+SUMIF($A:$A,$A2921,$L:$L)))/VLOOKUP($A2921,HeadJournal!$A$1:$L$890,COLUMN(HeadJournal!H$1),0),0)</f>
        <v>1.0918091835117496</v>
      </c>
      <c r="P2921" s="30">
        <f>IFERROR(SUM(K2921:O2921)*VLOOKUP($A2921,HeadJournal!$A$1:$L$890,COLUMN(HeadJournal!H$1),0),0)</f>
        <v>1511.5892859731787</v>
      </c>
      <c r="Q2921" s="29">
        <v>2300</v>
      </c>
      <c r="R2921" s="31">
        <v>45462</v>
      </c>
      <c r="S2921" s="31" t="s">
        <v>3121</v>
      </c>
      <c r="T2921" s="95" t="str">
        <f t="shared" si="233"/>
        <v>2024 06</v>
      </c>
      <c r="U2921" s="32">
        <f t="shared" si="230"/>
        <v>788.41071402682132</v>
      </c>
      <c r="V2921" s="22">
        <f t="shared" si="231"/>
        <v>0.52157733674278683</v>
      </c>
      <c r="X2921" s="33"/>
      <c r="Y2921" s="33"/>
    </row>
    <row r="2922" spans="1:25" x14ac:dyDescent="0.2">
      <c r="A2922" s="93" t="s">
        <v>1570</v>
      </c>
      <c r="B2922" s="94" t="str">
        <f>IFERROR(VLOOKUP($A2922,HeadJournal!$A$1:$NTR$890,COLUMN(HeadJournal!B$1),0),"")</f>
        <v>720000119518</v>
      </c>
      <c r="C2922" s="94" t="str">
        <f>IFERROR(VLOOKUP($A2922,HeadJournal!$A$1:$NTR$890,COLUMN(HeadJournal!C$1),0),"")</f>
        <v>iHerb_OA CZN6870</v>
      </c>
      <c r="D2922" s="125" t="str">
        <f>IFERROR(VLOOKUP($A2922,HeadJournal!$A$1:$NTR$890,COLUMN(HeadJournal!D$1),0),"")</f>
        <v>Доставлен</v>
      </c>
      <c r="E2922" s="95">
        <f>IFERROR(VLOOKUP($A2922,HeadJournal!$A$1:$NTR$890,COLUMN(HeadJournal!G$1),0),"")</f>
        <v>45329</v>
      </c>
      <c r="F2922" s="95" t="str">
        <f t="shared" si="232"/>
        <v>2024 02</v>
      </c>
      <c r="G2922" s="96" t="s">
        <v>5</v>
      </c>
      <c r="H2922" s="161" t="str">
        <f>RIGHT(Journal!$J2922,9)</f>
        <v>AMX-20214</v>
      </c>
      <c r="I2922" s="97" t="str">
        <f t="shared" si="229"/>
        <v>ALLMAX</v>
      </c>
      <c r="J2922" s="97" t="s">
        <v>1577</v>
      </c>
      <c r="K2922" s="29">
        <v>16.16</v>
      </c>
      <c r="L2922" s="29">
        <v>-3.23</v>
      </c>
      <c r="M2922" s="30">
        <f>IFERROR(VLOOKUP($A2922,HeadJournal!$A$1:$J$890,COLUMN(HeadJournal!I$1),0)*($K2922+$L2922)/(SUMIF($A:$A,$A2922,$K:$K)+SUMIF($A:$A,$A2922,$L:$L)),0)</f>
        <v>0</v>
      </c>
      <c r="N2922" s="30">
        <f>IFERROR((VLOOKUP($A2922,HeadJournal!$A$1:$K$890,COLUMN(HeadJournal!K$1),0)-VLOOKUP($A2922,HeadJournal!$A$1:$K$890,COLUMN(HeadJournal!J$1),0))*($K2922+$L2922)/(SUMIF($A:$A,$A2922,$K:$K)+SUMIF($A:$A,$A2922,$L:$L)),0)</f>
        <v>0</v>
      </c>
      <c r="O2922" s="30">
        <f>IFERROR((VLOOKUP($A2922,HeadJournal!$A$1:$L$890,COLUMN(HeadJournal!L$1),0)*($K2922+$L2922)/(SUMIF($A:$A,$A2922,$K:$K)+SUMIF($A:$A,$A2922,$L:$L)))/VLOOKUP($A2922,HeadJournal!$A$1:$L$890,COLUMN(HeadJournal!H$1),0),0)</f>
        <v>1.013430921953117</v>
      </c>
      <c r="P2922" s="30">
        <f>IFERROR(SUM(K2922:O2922)*VLOOKUP($A2922,HeadJournal!$A$1:$L$890,COLUMN(HeadJournal!H$1),0),0)</f>
        <v>1403.0760565422254</v>
      </c>
      <c r="Q2922" s="29">
        <v>2400</v>
      </c>
      <c r="R2922" s="31">
        <v>45426</v>
      </c>
      <c r="S2922" s="31" t="s">
        <v>3121</v>
      </c>
      <c r="T2922" s="95" t="str">
        <f t="shared" si="233"/>
        <v>2024 05</v>
      </c>
      <c r="U2922" s="32">
        <f t="shared" si="230"/>
        <v>996.92394345777461</v>
      </c>
      <c r="V2922" s="22">
        <f t="shared" si="231"/>
        <v>0.71052737220433948</v>
      </c>
      <c r="X2922" s="33"/>
      <c r="Y2922" s="33"/>
    </row>
    <row r="2923" spans="1:25" x14ac:dyDescent="0.2">
      <c r="A2923" s="93" t="s">
        <v>1570</v>
      </c>
      <c r="B2923" s="94" t="str">
        <f>IFERROR(VLOOKUP($A2923,HeadJournal!$A$1:$NTR$890,COLUMN(HeadJournal!B$1),0),"")</f>
        <v>720000119518</v>
      </c>
      <c r="C2923" s="94" t="str">
        <f>IFERROR(VLOOKUP($A2923,HeadJournal!$A$1:$NTR$890,COLUMN(HeadJournal!C$1),0),"")</f>
        <v>iHerb_OA CZN6870</v>
      </c>
      <c r="D2923" s="125" t="str">
        <f>IFERROR(VLOOKUP($A2923,HeadJournal!$A$1:$NTR$890,COLUMN(HeadJournal!D$1),0),"")</f>
        <v>Доставлен</v>
      </c>
      <c r="E2923" s="95">
        <f>IFERROR(VLOOKUP($A2923,HeadJournal!$A$1:$NTR$890,COLUMN(HeadJournal!G$1),0),"")</f>
        <v>45329</v>
      </c>
      <c r="F2923" s="95" t="str">
        <f t="shared" si="232"/>
        <v>2024 02</v>
      </c>
      <c r="G2923" s="96" t="s">
        <v>5</v>
      </c>
      <c r="H2923" s="161" t="str">
        <f>RIGHT(Journal!$J2923,9)</f>
        <v>FOA-66013</v>
      </c>
      <c r="I2923" s="97" t="str">
        <f t="shared" si="229"/>
        <v>Force Factor</v>
      </c>
      <c r="J2923" s="97" t="s">
        <v>1578</v>
      </c>
      <c r="K2923" s="29">
        <v>18.45</v>
      </c>
      <c r="L2923" s="29">
        <v>-10.96</v>
      </c>
      <c r="M2923" s="30">
        <f>IFERROR(VLOOKUP($A2923,HeadJournal!$A$1:$J$890,COLUMN(HeadJournal!I$1),0)*($K2923+$L2923)/(SUMIF($A:$A,$A2923,$K:$K)+SUMIF($A:$A,$A2923,$L:$L)),0)</f>
        <v>0</v>
      </c>
      <c r="N2923" s="30">
        <f>IFERROR((VLOOKUP($A2923,HeadJournal!$A$1:$K$890,COLUMN(HeadJournal!K$1),0)-VLOOKUP($A2923,HeadJournal!$A$1:$K$890,COLUMN(HeadJournal!J$1),0))*($K2923+$L2923)/(SUMIF($A:$A,$A2923,$K:$K)+SUMIF($A:$A,$A2923,$L:$L)),0)</f>
        <v>0</v>
      </c>
      <c r="O2923" s="30">
        <f>IFERROR((VLOOKUP($A2923,HeadJournal!$A$1:$L$890,COLUMN(HeadJournal!L$1),0)*($K2923+$L2923)/(SUMIF($A:$A,$A2923,$K:$K)+SUMIF($A:$A,$A2923,$L:$L)))/VLOOKUP($A2923,HeadJournal!$A$1:$L$890,COLUMN(HeadJournal!H$1),0),0)</f>
        <v>0.58705317907415666</v>
      </c>
      <c r="P2923" s="30">
        <f>IFERROR(SUM(K2923:O2923)*VLOOKUP($A2923,HeadJournal!$A$1:$L$890,COLUMN(HeadJournal!H$1),0),0)</f>
        <v>812.76408843783975</v>
      </c>
      <c r="Q2923" s="29">
        <v>2100</v>
      </c>
      <c r="R2923" s="31">
        <v>45612</v>
      </c>
      <c r="S2923" s="31" t="s">
        <v>3121</v>
      </c>
      <c r="T2923" s="95" t="str">
        <f t="shared" si="233"/>
        <v>2024 11</v>
      </c>
      <c r="U2923" s="32">
        <f t="shared" si="230"/>
        <v>1287.2359115621603</v>
      </c>
      <c r="V2923" s="22">
        <f t="shared" si="231"/>
        <v>1.5837755750703399</v>
      </c>
      <c r="X2923" s="33"/>
      <c r="Y2923" s="33"/>
    </row>
    <row r="2924" spans="1:25" x14ac:dyDescent="0.2">
      <c r="A2924" s="93" t="s">
        <v>1572</v>
      </c>
      <c r="B2924" s="94" t="str">
        <f>IFERROR(VLOOKUP($A2924,HeadJournal!$A$1:$NTR$890,COLUMN(HeadJournal!B$1),0),"")</f>
        <v>720000122982</v>
      </c>
      <c r="C2924" s="94" t="str">
        <f>IFERROR(VLOOKUP($A2924,HeadJournal!$A$1:$NTR$890,COLUMN(HeadJournal!C$1),0),"")</f>
        <v>iHerb_AV CYG0792</v>
      </c>
      <c r="D2924" s="125" t="str">
        <f>IFERROR(VLOOKUP($A2924,HeadJournal!$A$1:$NTR$890,COLUMN(HeadJournal!D$1),0),"")</f>
        <v>Доставлен</v>
      </c>
      <c r="E2924" s="95">
        <f>IFERROR(VLOOKUP($A2924,HeadJournal!$A$1:$NTR$890,COLUMN(HeadJournal!G$1),0),"")</f>
        <v>45331</v>
      </c>
      <c r="F2924" s="95" t="str">
        <f t="shared" si="232"/>
        <v>2024 02</v>
      </c>
      <c r="G2924" s="96" t="s">
        <v>5</v>
      </c>
      <c r="H2924" s="161" t="s">
        <v>2819</v>
      </c>
      <c r="I2924" s="97" t="s">
        <v>2042</v>
      </c>
      <c r="J2924" s="97" t="s">
        <v>2820</v>
      </c>
      <c r="K2924" s="29">
        <v>11.61</v>
      </c>
      <c r="L2924" s="29">
        <v>-1.63</v>
      </c>
      <c r="M2924" s="30">
        <f>IFERROR(VLOOKUP($A2924,HeadJournal!$A$1:$J$890,COLUMN(HeadJournal!I$1),0)*($K2924+$L2924)/(SUMIF($A:$A,$A2924,$K:$K)+SUMIF($A:$A,$A2924,$L:$L)),0)</f>
        <v>-0.34384450198951577</v>
      </c>
      <c r="N2924" s="30">
        <f>IFERROR((VLOOKUP($A2924,HeadJournal!$A$1:$K$890,COLUMN(HeadJournal!K$1),0)-VLOOKUP($A2924,HeadJournal!$A$1:$K$890,COLUMN(HeadJournal!J$1),0))*($K2924+$L2924)/(SUMIF($A:$A,$A2924,$K:$K)+SUMIF($A:$A,$A2924,$L:$L)),0)</f>
        <v>5.3745088128989858E-15</v>
      </c>
      <c r="O2924" s="30">
        <f>IFERROR((VLOOKUP($A2924,HeadJournal!$A$1:$L$890,COLUMN(HeadJournal!L$1),0)*($K2924+$L2924)/(SUMIF($A:$A,$A2924,$K:$K)+SUMIF($A:$A,$A2924,$L:$L)))/VLOOKUP($A2924,HeadJournal!$A$1:$L$890,COLUMN(HeadJournal!H$1),0),0)</f>
        <v>0.67918212757530882</v>
      </c>
      <c r="P2924" s="30">
        <f>IFERROR(SUM(K2924:O2924)*VLOOKUP($A2924,HeadJournal!$A$1:$L$890,COLUMN(HeadJournal!H$1),0),0)</f>
        <v>1041.5818966715096</v>
      </c>
      <c r="Q2924" s="29">
        <v>1700</v>
      </c>
      <c r="R2924" s="31">
        <v>45381</v>
      </c>
      <c r="S2924" s="31" t="s">
        <v>3121</v>
      </c>
      <c r="T2924" s="95" t="str">
        <f t="shared" si="233"/>
        <v>2024 03</v>
      </c>
      <c r="U2924" s="32">
        <f t="shared" si="230"/>
        <v>658.41810332849036</v>
      </c>
      <c r="V2924" s="22">
        <f t="shared" si="231"/>
        <v>0.63213282165573192</v>
      </c>
      <c r="X2924" s="33"/>
      <c r="Y2924" s="33"/>
    </row>
    <row r="2925" spans="1:25" x14ac:dyDescent="0.2">
      <c r="A2925" s="93" t="s">
        <v>1572</v>
      </c>
      <c r="B2925" s="94" t="str">
        <f>IFERROR(VLOOKUP($A2925,HeadJournal!$A$1:$NTR$890,COLUMN(HeadJournal!B$1),0),"")</f>
        <v>720000122982</v>
      </c>
      <c r="C2925" s="94" t="str">
        <f>IFERROR(VLOOKUP($A2925,HeadJournal!$A$1:$NTR$890,COLUMN(HeadJournal!C$1),0),"")</f>
        <v>iHerb_AV CYG0792</v>
      </c>
      <c r="D2925" s="125" t="str">
        <f>IFERROR(VLOOKUP($A2925,HeadJournal!$A$1:$NTR$890,COLUMN(HeadJournal!D$1),0),"")</f>
        <v>Доставлен</v>
      </c>
      <c r="E2925" s="95">
        <f>IFERROR(VLOOKUP($A2925,HeadJournal!$A$1:$NTR$890,COLUMN(HeadJournal!G$1),0),"")</f>
        <v>45331</v>
      </c>
      <c r="F2925" s="95" t="str">
        <f t="shared" si="232"/>
        <v>2024 02</v>
      </c>
      <c r="G2925" s="96" t="s">
        <v>5</v>
      </c>
      <c r="H2925" s="161" t="s">
        <v>2984</v>
      </c>
      <c r="I2925" s="97" t="s">
        <v>2218</v>
      </c>
      <c r="J2925" s="97" t="s">
        <v>2985</v>
      </c>
      <c r="K2925" s="29">
        <v>9.9600000000000009</v>
      </c>
      <c r="L2925" s="29">
        <v>-1.39</v>
      </c>
      <c r="M2925" s="30">
        <f>IFERROR(VLOOKUP($A2925,HeadJournal!$A$1:$J$890,COLUMN(HeadJournal!I$1),0)*($K2925+$L2925)/(SUMIF($A:$A,$A2925,$K:$K)+SUMIF($A:$A,$A2925,$L:$L)),0)</f>
        <v>-0.29526526874249998</v>
      </c>
      <c r="N2925" s="30">
        <f>IFERROR((VLOOKUP($A2925,HeadJournal!$A$1:$K$890,COLUMN(HeadJournal!K$1),0)-VLOOKUP($A2925,HeadJournal!$A$1:$K$890,COLUMN(HeadJournal!J$1),0))*($K2925+$L2925)/(SUMIF($A:$A,$A2925,$K:$K)+SUMIF($A:$A,$A2925,$L:$L)),0)</f>
        <v>4.6151844214974254E-15</v>
      </c>
      <c r="O2925" s="30">
        <f>IFERROR((VLOOKUP($A2925,HeadJournal!$A$1:$L$890,COLUMN(HeadJournal!L$1),0)*($K2925+$L2925)/(SUMIF($A:$A,$A2925,$K:$K)+SUMIF($A:$A,$A2925,$L:$L)))/VLOOKUP($A2925,HeadJournal!$A$1:$L$890,COLUMN(HeadJournal!H$1),0),0)</f>
        <v>0.58322553440084135</v>
      </c>
      <c r="P2925" s="30">
        <f>IFERROR(SUM(K2925:O2925)*VLOOKUP($A2925,HeadJournal!$A$1:$L$890,COLUMN(HeadJournal!H$1),0),0)</f>
        <v>894.42453451651659</v>
      </c>
      <c r="Q2925" s="29">
        <v>1500</v>
      </c>
      <c r="R2925" s="31">
        <v>45378</v>
      </c>
      <c r="S2925" s="31" t="s">
        <v>3121</v>
      </c>
      <c r="T2925" s="95" t="str">
        <f t="shared" si="233"/>
        <v>2024 03</v>
      </c>
      <c r="U2925" s="32">
        <f t="shared" si="230"/>
        <v>605.57546548348341</v>
      </c>
      <c r="V2925" s="22">
        <f t="shared" si="231"/>
        <v>0.67705596404600943</v>
      </c>
      <c r="X2925" s="33"/>
      <c r="Y2925" s="33"/>
    </row>
    <row r="2926" spans="1:25" x14ac:dyDescent="0.2">
      <c r="A2926" s="93" t="s">
        <v>1572</v>
      </c>
      <c r="B2926" s="94" t="str">
        <f>IFERROR(VLOOKUP($A2926,HeadJournal!$A$1:$NTR$890,COLUMN(HeadJournal!B$1),0),"")</f>
        <v>720000122982</v>
      </c>
      <c r="C2926" s="94" t="str">
        <f>IFERROR(VLOOKUP($A2926,HeadJournal!$A$1:$NTR$890,COLUMN(HeadJournal!C$1),0),"")</f>
        <v>iHerb_AV CYG0792</v>
      </c>
      <c r="D2926" s="125" t="str">
        <f>IFERROR(VLOOKUP($A2926,HeadJournal!$A$1:$NTR$890,COLUMN(HeadJournal!D$1),0),"")</f>
        <v>Доставлен</v>
      </c>
      <c r="E2926" s="95">
        <f>IFERROR(VLOOKUP($A2926,HeadJournal!$A$1:$NTR$890,COLUMN(HeadJournal!G$1),0),"")</f>
        <v>45331</v>
      </c>
      <c r="F2926" s="95" t="str">
        <f t="shared" si="232"/>
        <v>2024 02</v>
      </c>
      <c r="G2926" s="96" t="s">
        <v>5</v>
      </c>
      <c r="H2926" s="161" t="s">
        <v>2986</v>
      </c>
      <c r="I2926" s="97" t="s">
        <v>2005</v>
      </c>
      <c r="J2926" s="97" t="s">
        <v>2987</v>
      </c>
      <c r="K2926" s="29">
        <v>10.68</v>
      </c>
      <c r="L2926" s="29">
        <v>-1.5</v>
      </c>
      <c r="M2926" s="30">
        <f>IFERROR(VLOOKUP($A2926,HeadJournal!$A$1:$J$890,COLUMN(HeadJournal!I$1),0)*($K2926+$L2926)/(SUMIF($A:$A,$A2926,$K:$K)+SUMIF($A:$A,$A2926,$L:$L)),0)</f>
        <v>-0.31628181645929404</v>
      </c>
      <c r="N2926" s="30">
        <f>IFERROR((VLOOKUP($A2926,HeadJournal!$A$1:$K$890,COLUMN(HeadJournal!K$1),0)-VLOOKUP($A2926,HeadJournal!$A$1:$K$890,COLUMN(HeadJournal!J$1),0))*($K2926+$L2926)/(SUMIF($A:$A,$A2926,$K:$K)+SUMIF($A:$A,$A2926,$L:$L)),0)</f>
        <v>4.9436864631676034E-15</v>
      </c>
      <c r="O2926" s="30">
        <f>IFERROR((VLOOKUP($A2926,HeadJournal!$A$1:$L$890,COLUMN(HeadJournal!L$1),0)*($K2926+$L2926)/(SUMIF($A:$A,$A2926,$K:$K)+SUMIF($A:$A,$A2926,$L:$L)))/VLOOKUP($A2926,HeadJournal!$A$1:$L$890,COLUMN(HeadJournal!H$1),0),0)</f>
        <v>0.62473867045504361</v>
      </c>
      <c r="P2926" s="30">
        <f>IFERROR(SUM(K2926:O2926)*VLOOKUP($A2926,HeadJournal!$A$1:$L$890,COLUMN(HeadJournal!H$1),0),0)</f>
        <v>958.08835786016596</v>
      </c>
      <c r="Q2926" s="29">
        <v>1500</v>
      </c>
      <c r="R2926" s="31">
        <v>45378</v>
      </c>
      <c r="S2926" s="31" t="s">
        <v>3121</v>
      </c>
      <c r="T2926" s="95" t="str">
        <f t="shared" si="233"/>
        <v>2024 03</v>
      </c>
      <c r="U2926" s="32">
        <f t="shared" si="230"/>
        <v>541.91164213983404</v>
      </c>
      <c r="V2926" s="22">
        <f t="shared" si="231"/>
        <v>0.56561760477933565</v>
      </c>
      <c r="X2926" s="33"/>
      <c r="Y2926" s="33"/>
    </row>
    <row r="2927" spans="1:25" x14ac:dyDescent="0.2">
      <c r="A2927" s="93" t="s">
        <v>1572</v>
      </c>
      <c r="B2927" s="94" t="str">
        <f>IFERROR(VLOOKUP($A2927,HeadJournal!$A$1:$NTR$890,COLUMN(HeadJournal!B$1),0),"")</f>
        <v>720000122982</v>
      </c>
      <c r="C2927" s="94" t="str">
        <f>IFERROR(VLOOKUP($A2927,HeadJournal!$A$1:$NTR$890,COLUMN(HeadJournal!C$1),0),"")</f>
        <v>iHerb_AV CYG0792</v>
      </c>
      <c r="D2927" s="125" t="str">
        <f>IFERROR(VLOOKUP($A2927,HeadJournal!$A$1:$NTR$890,COLUMN(HeadJournal!D$1),0),"")</f>
        <v>Доставлен</v>
      </c>
      <c r="E2927" s="95">
        <f>IFERROR(VLOOKUP($A2927,HeadJournal!$A$1:$NTR$890,COLUMN(HeadJournal!G$1),0),"")</f>
        <v>45331</v>
      </c>
      <c r="F2927" s="95" t="str">
        <f t="shared" si="232"/>
        <v>2024 02</v>
      </c>
      <c r="G2927" s="96" t="s">
        <v>5</v>
      </c>
      <c r="H2927" s="161" t="str">
        <f>RIGHT(Journal!$J2927,9)</f>
        <v>FHH-00039</v>
      </c>
      <c r="I2927" s="97" t="str">
        <f t="shared" si="229"/>
        <v>Fairhaven Health</v>
      </c>
      <c r="J2927" s="97" t="s">
        <v>1579</v>
      </c>
      <c r="K2927" s="29">
        <v>19.07</v>
      </c>
      <c r="L2927" s="29">
        <v>-2.67</v>
      </c>
      <c r="M2927" s="30">
        <f>IFERROR(VLOOKUP($A2927,HeadJournal!$A$1:$J$890,COLUMN(HeadJournal!I$1),0)*($K2927+$L2927)/(SUMIF($A:$A,$A2927,$K:$K)+SUMIF($A:$A,$A2927,$L:$L)),0)</f>
        <v>-0.56503505336954485</v>
      </c>
      <c r="N2927" s="30">
        <f>IFERROR((VLOOKUP($A2927,HeadJournal!$A$1:$K$890,COLUMN(HeadJournal!K$1),0)-VLOOKUP($A2927,HeadJournal!$A$1:$K$890,COLUMN(HeadJournal!J$1),0))*($K2927+$L2927)/(SUMIF($A:$A,$A2927,$K:$K)+SUMIF($A:$A,$A2927,$L:$L)),0)</f>
        <v>8.8318581694933228E-15</v>
      </c>
      <c r="O2927" s="30">
        <f>IFERROR((VLOOKUP($A2927,HeadJournal!$A$1:$L$890,COLUMN(HeadJournal!L$1),0)*($K2927+$L2927)/(SUMIF($A:$A,$A2927,$K:$K)+SUMIF($A:$A,$A2927,$L:$L)))/VLOOKUP($A2927,HeadJournal!$A$1:$L$890,COLUMN(HeadJournal!H$1),0),0)</f>
        <v>1.1160908709654374</v>
      </c>
      <c r="P2927" s="30">
        <f>IFERROR(SUM(K2927:O2927)*VLOOKUP($A2927,HeadJournal!$A$1:$L$890,COLUMN(HeadJournal!H$1),0),0)</f>
        <v>1711.6175456325407</v>
      </c>
      <c r="Q2927" s="29">
        <v>2500</v>
      </c>
      <c r="R2927" s="31">
        <v>45364</v>
      </c>
      <c r="S2927" s="31" t="s">
        <v>3121</v>
      </c>
      <c r="T2927" s="95" t="str">
        <f t="shared" si="233"/>
        <v>2024 03</v>
      </c>
      <c r="U2927" s="32">
        <f t="shared" si="230"/>
        <v>788.38245436745933</v>
      </c>
      <c r="V2927" s="22">
        <f t="shared" si="231"/>
        <v>0.46060666787340443</v>
      </c>
      <c r="X2927" s="33"/>
      <c r="Y2927" s="33"/>
    </row>
    <row r="2928" spans="1:25" x14ac:dyDescent="0.2">
      <c r="A2928" s="93" t="s">
        <v>1572</v>
      </c>
      <c r="B2928" s="94" t="str">
        <f>IFERROR(VLOOKUP($A2928,HeadJournal!$A$1:$NTR$890,COLUMN(HeadJournal!B$1),0),"")</f>
        <v>720000122982</v>
      </c>
      <c r="C2928" s="94" t="str">
        <f>IFERROR(VLOOKUP($A2928,HeadJournal!$A$1:$NTR$890,COLUMN(HeadJournal!C$1),0),"")</f>
        <v>iHerb_AV CYG0792</v>
      </c>
      <c r="D2928" s="125" t="str">
        <f>IFERROR(VLOOKUP($A2928,HeadJournal!$A$1:$NTR$890,COLUMN(HeadJournal!D$1),0),"")</f>
        <v>Доставлен</v>
      </c>
      <c r="E2928" s="95">
        <f>IFERROR(VLOOKUP($A2928,HeadJournal!$A$1:$NTR$890,COLUMN(HeadJournal!G$1),0),"")</f>
        <v>45331</v>
      </c>
      <c r="F2928" s="95" t="str">
        <f t="shared" si="232"/>
        <v>2024 02</v>
      </c>
      <c r="G2928" s="96" t="s">
        <v>5</v>
      </c>
      <c r="H2928" s="161" t="s">
        <v>2027</v>
      </c>
      <c r="I2928" s="97" t="s">
        <v>2005</v>
      </c>
      <c r="J2928" s="97" t="s">
        <v>4110</v>
      </c>
      <c r="K2928" s="29">
        <v>8.3699999999999992</v>
      </c>
      <c r="L2928" s="29">
        <v>-1.5333333333333332</v>
      </c>
      <c r="M2928" s="30">
        <f>IFERROR(VLOOKUP($A2928,HeadJournal!$A$1:$J$890,COLUMN(HeadJournal!I$1),0)*($K2928+$L2928)/(SUMIF($A:$A,$A2928,$K:$K)+SUMIF($A:$A,$A2928,$L:$L)),0)</f>
        <v>-0.23554611676035295</v>
      </c>
      <c r="N2928" s="30">
        <f>IFERROR((VLOOKUP($A2928,HeadJournal!$A$1:$K$890,COLUMN(HeadJournal!K$1),0)-VLOOKUP($A2928,HeadJournal!$A$1:$K$890,COLUMN(HeadJournal!J$1),0))*($K2928+$L2928)/(SUMIF($A:$A,$A2928,$K:$K)+SUMIF($A:$A,$A2928,$L:$L)),0)</f>
        <v>3.6817359970794315E-15</v>
      </c>
      <c r="O2928" s="30">
        <f>IFERROR((VLOOKUP($A2928,HeadJournal!$A$1:$L$890,COLUMN(HeadJournal!L$1),0)*($K2928+$L2928)/(SUMIF($A:$A,$A2928,$K:$K)+SUMIF($A:$A,$A2928,$L:$L)))/VLOOKUP($A2928,HeadJournal!$A$1:$L$890,COLUMN(HeadJournal!H$1),0),0)</f>
        <v>0.4652647106402667</v>
      </c>
      <c r="P2928" s="30">
        <f>IFERROR(SUM(K2928:O2928)*VLOOKUP($A2928,HeadJournal!$A$1:$L$890,COLUMN(HeadJournal!H$1),0),0)</f>
        <v>713.52186709193916</v>
      </c>
      <c r="Q2928" s="29">
        <v>1200</v>
      </c>
      <c r="R2928" s="31">
        <v>45407</v>
      </c>
      <c r="S2928" s="31" t="s">
        <v>3121</v>
      </c>
      <c r="T2928" s="95" t="str">
        <f t="shared" si="233"/>
        <v>2024 04</v>
      </c>
      <c r="U2928" s="32">
        <f t="shared" si="230"/>
        <v>486.47813290806084</v>
      </c>
      <c r="V2928" s="22">
        <f t="shared" si="231"/>
        <v>0.68179849188192698</v>
      </c>
      <c r="X2928" s="33"/>
      <c r="Y2928" s="33"/>
    </row>
    <row r="2929" spans="1:25" x14ac:dyDescent="0.2">
      <c r="A2929" s="93" t="s">
        <v>1572</v>
      </c>
      <c r="B2929" s="94" t="str">
        <f>IFERROR(VLOOKUP($A2929,HeadJournal!$A$1:$NTR$890,COLUMN(HeadJournal!B$1),0),"")</f>
        <v>720000122982</v>
      </c>
      <c r="C2929" s="94" t="str">
        <f>IFERROR(VLOOKUP($A2929,HeadJournal!$A$1:$NTR$890,COLUMN(HeadJournal!C$1),0),"")</f>
        <v>iHerb_AV CYG0792</v>
      </c>
      <c r="D2929" s="125" t="str">
        <f>IFERROR(VLOOKUP($A2929,HeadJournal!$A$1:$NTR$890,COLUMN(HeadJournal!D$1),0),"")</f>
        <v>Доставлен</v>
      </c>
      <c r="E2929" s="95">
        <f>IFERROR(VLOOKUP($A2929,HeadJournal!$A$1:$NTR$890,COLUMN(HeadJournal!G$1),0),"")</f>
        <v>45331</v>
      </c>
      <c r="F2929" s="95" t="str">
        <f t="shared" si="232"/>
        <v>2024 02</v>
      </c>
      <c r="G2929" s="96" t="s">
        <v>5</v>
      </c>
      <c r="H2929" s="161" t="s">
        <v>2027</v>
      </c>
      <c r="I2929" s="97" t="s">
        <v>2005</v>
      </c>
      <c r="J2929" s="97" t="s">
        <v>4110</v>
      </c>
      <c r="K2929" s="29">
        <v>8.3699999999999992</v>
      </c>
      <c r="L2929" s="29">
        <v>-1.5333333333333332</v>
      </c>
      <c r="M2929" s="30">
        <f>IFERROR(VLOOKUP($A2929,HeadJournal!$A$1:$J$890,COLUMN(HeadJournal!I$1),0)*($K2929+$L2929)/(SUMIF($A:$A,$A2929,$K:$K)+SUMIF($A:$A,$A2929,$L:$L)),0)</f>
        <v>-0.23554611676035295</v>
      </c>
      <c r="N2929" s="30">
        <f>IFERROR((VLOOKUP($A2929,HeadJournal!$A$1:$K$890,COLUMN(HeadJournal!K$1),0)-VLOOKUP($A2929,HeadJournal!$A$1:$K$890,COLUMN(HeadJournal!J$1),0))*($K2929+$L2929)/(SUMIF($A:$A,$A2929,$K:$K)+SUMIF($A:$A,$A2929,$L:$L)),0)</f>
        <v>3.6817359970794315E-15</v>
      </c>
      <c r="O2929" s="30">
        <f>IFERROR((VLOOKUP($A2929,HeadJournal!$A$1:$L$890,COLUMN(HeadJournal!L$1),0)*($K2929+$L2929)/(SUMIF($A:$A,$A2929,$K:$K)+SUMIF($A:$A,$A2929,$L:$L)))/VLOOKUP($A2929,HeadJournal!$A$1:$L$890,COLUMN(HeadJournal!H$1),0),0)</f>
        <v>0.4652647106402667</v>
      </c>
      <c r="P2929" s="30">
        <f>IFERROR(SUM(K2929:O2929)*VLOOKUP($A2929,HeadJournal!$A$1:$L$890,COLUMN(HeadJournal!H$1),0),0)</f>
        <v>713.52186709193916</v>
      </c>
      <c r="Q2929" s="29">
        <v>1200</v>
      </c>
      <c r="R2929" s="31">
        <v>45427</v>
      </c>
      <c r="S2929" s="31" t="s">
        <v>3121</v>
      </c>
      <c r="T2929" s="95" t="str">
        <f t="shared" si="233"/>
        <v>2024 05</v>
      </c>
      <c r="U2929" s="32">
        <f t="shared" si="230"/>
        <v>486.47813290806084</v>
      </c>
      <c r="V2929" s="22">
        <f t="shared" si="231"/>
        <v>0.68179849188192698</v>
      </c>
      <c r="X2929" s="33"/>
      <c r="Y2929" s="33"/>
    </row>
    <row r="2930" spans="1:25" x14ac:dyDescent="0.2">
      <c r="A2930" s="93" t="s">
        <v>1572</v>
      </c>
      <c r="B2930" s="94" t="str">
        <f>IFERROR(VLOOKUP($A2930,HeadJournal!$A$1:$NTR$890,COLUMN(HeadJournal!B$1),0),"")</f>
        <v>720000122982</v>
      </c>
      <c r="C2930" s="94" t="str">
        <f>IFERROR(VLOOKUP($A2930,HeadJournal!$A$1:$NTR$890,COLUMN(HeadJournal!C$1),0),"")</f>
        <v>iHerb_AV CYG0792</v>
      </c>
      <c r="D2930" s="125" t="str">
        <f>IFERROR(VLOOKUP($A2930,HeadJournal!$A$1:$NTR$890,COLUMN(HeadJournal!D$1),0),"")</f>
        <v>Доставлен</v>
      </c>
      <c r="E2930" s="95">
        <f>IFERROR(VLOOKUP($A2930,HeadJournal!$A$1:$NTR$890,COLUMN(HeadJournal!G$1),0),"")</f>
        <v>45331</v>
      </c>
      <c r="F2930" s="95" t="str">
        <f t="shared" si="232"/>
        <v>2024 02</v>
      </c>
      <c r="G2930" s="96" t="s">
        <v>5</v>
      </c>
      <c r="H2930" s="161" t="s">
        <v>2027</v>
      </c>
      <c r="I2930" s="97" t="s">
        <v>2005</v>
      </c>
      <c r="J2930" s="97" t="s">
        <v>4110</v>
      </c>
      <c r="K2930" s="29">
        <v>8.3699999999999992</v>
      </c>
      <c r="L2930" s="29">
        <v>-1.5333333333333332</v>
      </c>
      <c r="M2930" s="30">
        <f>IFERROR(VLOOKUP($A2930,HeadJournal!$A$1:$J$890,COLUMN(HeadJournal!I$1),0)*($K2930+$L2930)/(SUMIF($A:$A,$A2930,$K:$K)+SUMIF($A:$A,$A2930,$L:$L)),0)</f>
        <v>-0.23554611676035295</v>
      </c>
      <c r="N2930" s="30">
        <f>IFERROR((VLOOKUP($A2930,HeadJournal!$A$1:$K$890,COLUMN(HeadJournal!K$1),0)-VLOOKUP($A2930,HeadJournal!$A$1:$K$890,COLUMN(HeadJournal!J$1),0))*($K2930+$L2930)/(SUMIF($A:$A,$A2930,$K:$K)+SUMIF($A:$A,$A2930,$L:$L)),0)</f>
        <v>3.6817359970794315E-15</v>
      </c>
      <c r="O2930" s="30">
        <f>IFERROR((VLOOKUP($A2930,HeadJournal!$A$1:$L$890,COLUMN(HeadJournal!L$1),0)*($K2930+$L2930)/(SUMIF($A:$A,$A2930,$K:$K)+SUMIF($A:$A,$A2930,$L:$L)))/VLOOKUP($A2930,HeadJournal!$A$1:$L$890,COLUMN(HeadJournal!H$1),0),0)</f>
        <v>0.4652647106402667</v>
      </c>
      <c r="P2930" s="30">
        <f>IFERROR(SUM(K2930:O2930)*VLOOKUP($A2930,HeadJournal!$A$1:$L$890,COLUMN(HeadJournal!H$1),0),0)</f>
        <v>713.52186709193916</v>
      </c>
      <c r="Q2930" s="29">
        <v>1200</v>
      </c>
      <c r="R2930" s="31">
        <v>45500</v>
      </c>
      <c r="S2930" s="31" t="s">
        <v>3121</v>
      </c>
      <c r="T2930" s="95" t="str">
        <f t="shared" si="233"/>
        <v>2024 07</v>
      </c>
      <c r="U2930" s="32">
        <f t="shared" si="230"/>
        <v>486.47813290806084</v>
      </c>
      <c r="V2930" s="22">
        <f t="shared" si="231"/>
        <v>0.68179849188192698</v>
      </c>
      <c r="X2930" s="33"/>
      <c r="Y2930" s="33"/>
    </row>
    <row r="2931" spans="1:25" x14ac:dyDescent="0.2">
      <c r="A2931" s="93" t="s">
        <v>1572</v>
      </c>
      <c r="B2931" s="94" t="str">
        <f>IFERROR(VLOOKUP($A2931,HeadJournal!$A$1:$NTR$890,COLUMN(HeadJournal!B$1),0),"")</f>
        <v>720000122982</v>
      </c>
      <c r="C2931" s="94" t="str">
        <f>IFERROR(VLOOKUP($A2931,HeadJournal!$A$1:$NTR$890,COLUMN(HeadJournal!C$1),0),"")</f>
        <v>iHerb_AV CYG0792</v>
      </c>
      <c r="D2931" s="125" t="str">
        <f>IFERROR(VLOOKUP($A2931,HeadJournal!$A$1:$NTR$890,COLUMN(HeadJournal!D$1),0),"")</f>
        <v>Доставлен</v>
      </c>
      <c r="E2931" s="95">
        <f>IFERROR(VLOOKUP($A2931,HeadJournal!$A$1:$NTR$890,COLUMN(HeadJournal!G$1),0),"")</f>
        <v>45331</v>
      </c>
      <c r="F2931" s="95" t="str">
        <f t="shared" si="232"/>
        <v>2024 02</v>
      </c>
      <c r="G2931" s="96" t="s">
        <v>5</v>
      </c>
      <c r="H2931" s="161" t="s">
        <v>2614</v>
      </c>
      <c r="I2931" s="97" t="s">
        <v>2005</v>
      </c>
      <c r="J2931" s="97" t="s">
        <v>2641</v>
      </c>
      <c r="K2931" s="29">
        <v>5.87</v>
      </c>
      <c r="L2931" s="29">
        <v>-0.82</v>
      </c>
      <c r="M2931" s="30">
        <f>IFERROR(VLOOKUP($A2931,HeadJournal!$A$1:$J$890,COLUMN(HeadJournal!I$1),0)*($K2931+$L2931)/(SUMIF($A:$A,$A2931,$K:$K)+SUMIF($A:$A,$A2931,$L:$L)),0)</f>
        <v>-0.17398945240952449</v>
      </c>
      <c r="N2931" s="30">
        <f>IFERROR((VLOOKUP($A2931,HeadJournal!$A$1:$K$890,COLUMN(HeadJournal!K$1),0)-VLOOKUP($A2931,HeadJournal!$A$1:$K$890,COLUMN(HeadJournal!J$1),0))*($K2931+$L2931)/(SUMIF($A:$A,$A2931,$K:$K)+SUMIF($A:$A,$A2931,$L:$L)),0)</f>
        <v>2.719566082679346E-15</v>
      </c>
      <c r="O2931" s="30">
        <f>IFERROR((VLOOKUP($A2931,HeadJournal!$A$1:$L$890,COLUMN(HeadJournal!L$1),0)*($K2931+$L2931)/(SUMIF($A:$A,$A2931,$K:$K)+SUMIF($A:$A,$A2931,$L:$L)))/VLOOKUP($A2931,HeadJournal!$A$1:$L$890,COLUMN(HeadJournal!H$1),0),0)</f>
        <v>0.34367432307167428</v>
      </c>
      <c r="P2931" s="30">
        <f>IFERROR(SUM(K2931:O2931)*VLOOKUP($A2931,HeadJournal!$A$1:$L$890,COLUMN(HeadJournal!H$1),0),0)</f>
        <v>527.05296374660543</v>
      </c>
      <c r="Q2931" s="29">
        <v>1000</v>
      </c>
      <c r="R2931" s="31">
        <v>45520</v>
      </c>
      <c r="S2931" s="31" t="s">
        <v>3121</v>
      </c>
      <c r="T2931" s="95" t="str">
        <f t="shared" si="233"/>
        <v>2024 08</v>
      </c>
      <c r="U2931" s="32">
        <f t="shared" si="230"/>
        <v>472.94703625339457</v>
      </c>
      <c r="V2931" s="22">
        <f t="shared" si="231"/>
        <v>0.89734252301970985</v>
      </c>
      <c r="X2931" s="33"/>
      <c r="Y2931" s="33"/>
    </row>
    <row r="2932" spans="1:25" x14ac:dyDescent="0.2">
      <c r="A2932" s="93" t="s">
        <v>1572</v>
      </c>
      <c r="B2932" s="94" t="str">
        <f>IFERROR(VLOOKUP($A2932,HeadJournal!$A$1:$NTR$890,COLUMN(HeadJournal!B$1),0),"")</f>
        <v>720000122982</v>
      </c>
      <c r="C2932" s="94" t="str">
        <f>IFERROR(VLOOKUP($A2932,HeadJournal!$A$1:$NTR$890,COLUMN(HeadJournal!C$1),0),"")</f>
        <v>iHerb_AV CYG0792</v>
      </c>
      <c r="D2932" s="125" t="str">
        <f>IFERROR(VLOOKUP($A2932,HeadJournal!$A$1:$NTR$890,COLUMN(HeadJournal!D$1),0),"")</f>
        <v>Доставлен</v>
      </c>
      <c r="E2932" s="95">
        <f>IFERROR(VLOOKUP($A2932,HeadJournal!$A$1:$NTR$890,COLUMN(HeadJournal!G$1),0),"")</f>
        <v>45331</v>
      </c>
      <c r="F2932" s="95" t="str">
        <f t="shared" si="232"/>
        <v>2024 02</v>
      </c>
      <c r="G2932" s="96" t="s">
        <v>5</v>
      </c>
      <c r="H2932" s="161" t="s">
        <v>2614</v>
      </c>
      <c r="I2932" s="97" t="s">
        <v>2005</v>
      </c>
      <c r="J2932" s="97" t="s">
        <v>2641</v>
      </c>
      <c r="K2932" s="29">
        <v>5.87</v>
      </c>
      <c r="L2932" s="29">
        <v>-0.82</v>
      </c>
      <c r="M2932" s="30">
        <f>IFERROR(VLOOKUP($A2932,HeadJournal!$A$1:$J$890,COLUMN(HeadJournal!I$1),0)*($K2932+$L2932)/(SUMIF($A:$A,$A2932,$K:$K)+SUMIF($A:$A,$A2932,$L:$L)),0)</f>
        <v>-0.17398945240952449</v>
      </c>
      <c r="N2932" s="30">
        <f>IFERROR((VLOOKUP($A2932,HeadJournal!$A$1:$K$890,COLUMN(HeadJournal!K$1),0)-VLOOKUP($A2932,HeadJournal!$A$1:$K$890,COLUMN(HeadJournal!J$1),0))*($K2932+$L2932)/(SUMIF($A:$A,$A2932,$K:$K)+SUMIF($A:$A,$A2932,$L:$L)),0)</f>
        <v>2.719566082679346E-15</v>
      </c>
      <c r="O2932" s="30">
        <f>IFERROR((VLOOKUP($A2932,HeadJournal!$A$1:$L$890,COLUMN(HeadJournal!L$1),0)*($K2932+$L2932)/(SUMIF($A:$A,$A2932,$K:$K)+SUMIF($A:$A,$A2932,$L:$L)))/VLOOKUP($A2932,HeadJournal!$A$1:$L$890,COLUMN(HeadJournal!H$1),0),0)</f>
        <v>0.34367432307167428</v>
      </c>
      <c r="P2932" s="30">
        <f>IFERROR(SUM(K2932:O2932)*VLOOKUP($A2932,HeadJournal!$A$1:$L$890,COLUMN(HeadJournal!H$1),0),0)</f>
        <v>527.05296374660543</v>
      </c>
      <c r="Q2932" s="29">
        <v>1000</v>
      </c>
      <c r="R2932" s="31">
        <v>45622</v>
      </c>
      <c r="S2932" s="31" t="s">
        <v>3121</v>
      </c>
      <c r="T2932" s="95" t="str">
        <f t="shared" si="233"/>
        <v>2024 11</v>
      </c>
      <c r="U2932" s="32">
        <f t="shared" si="230"/>
        <v>472.94703625339457</v>
      </c>
      <c r="V2932" s="22">
        <f t="shared" si="231"/>
        <v>0.89734252301970985</v>
      </c>
      <c r="X2932" s="33"/>
      <c r="Y2932" s="33"/>
    </row>
    <row r="2933" spans="1:25" x14ac:dyDescent="0.2">
      <c r="A2933" s="93" t="s">
        <v>1572</v>
      </c>
      <c r="B2933" s="94" t="str">
        <f>IFERROR(VLOOKUP($A2933,HeadJournal!$A$1:$NTR$890,COLUMN(HeadJournal!B$1),0),"")</f>
        <v>720000122982</v>
      </c>
      <c r="C2933" s="94" t="str">
        <f>IFERROR(VLOOKUP($A2933,HeadJournal!$A$1:$NTR$890,COLUMN(HeadJournal!C$1),0),"")</f>
        <v>iHerb_AV CYG0792</v>
      </c>
      <c r="D2933" s="125" t="str">
        <f>IFERROR(VLOOKUP($A2933,HeadJournal!$A$1:$NTR$890,COLUMN(HeadJournal!D$1),0),"")</f>
        <v>Доставлен</v>
      </c>
      <c r="E2933" s="95">
        <f>IFERROR(VLOOKUP($A2933,HeadJournal!$A$1:$NTR$890,COLUMN(HeadJournal!G$1),0),"")</f>
        <v>45331</v>
      </c>
      <c r="F2933" s="95" t="str">
        <f t="shared" si="232"/>
        <v>2024 02</v>
      </c>
      <c r="G2933" s="96" t="s">
        <v>5</v>
      </c>
      <c r="H2933" s="161" t="str">
        <f>RIGHT(Journal!$J2933,9)</f>
        <v>NOW-00479</v>
      </c>
      <c r="I2933" s="97" t="str">
        <f t="shared" si="229"/>
        <v>NOW Foods</v>
      </c>
      <c r="J2933" s="97" t="s">
        <v>1580</v>
      </c>
      <c r="K2933" s="29">
        <v>17.989999999999998</v>
      </c>
      <c r="L2933" s="29">
        <v>-2.52</v>
      </c>
      <c r="M2933" s="30">
        <f>IFERROR(VLOOKUP($A2933,HeadJournal!$A$1:$J$890,COLUMN(HeadJournal!I$1),0)*($K2933+$L2933)/(SUMIF($A:$A,$A2933,$K:$K)+SUMIF($A:$A,$A2933,$L:$L)),0)</f>
        <v>-0.53299343144066214</v>
      </c>
      <c r="N2933" s="30">
        <f>IFERROR((VLOOKUP($A2933,HeadJournal!$A$1:$K$890,COLUMN(HeadJournal!K$1),0)-VLOOKUP($A2933,HeadJournal!$A$1:$K$890,COLUMN(HeadJournal!J$1),0))*($K2933+$L2933)/(SUMIF($A:$A,$A2933,$K:$K)+SUMIF($A:$A,$A2933,$L:$L)),0)</f>
        <v>8.3310271879305912E-15</v>
      </c>
      <c r="O2933" s="30">
        <f>IFERROR((VLOOKUP($A2933,HeadJournal!$A$1:$L$890,COLUMN(HeadJournal!L$1),0)*($K2933+$L2933)/(SUMIF($A:$A,$A2933,$K:$K)+SUMIF($A:$A,$A2933,$L:$L)))/VLOOKUP($A2933,HeadJournal!$A$1:$L$890,COLUMN(HeadJournal!H$1),0),0)</f>
        <v>1.0528003520631291</v>
      </c>
      <c r="P2933" s="30">
        <f>IFERROR(SUM(K2933:O2933)*VLOOKUP($A2933,HeadJournal!$A$1:$L$890,COLUMN(HeadJournal!H$1),0),0)</f>
        <v>1614.5563067643538</v>
      </c>
      <c r="Q2933" s="29">
        <v>1600</v>
      </c>
      <c r="R2933" s="31">
        <v>45936</v>
      </c>
      <c r="S2933" s="31"/>
      <c r="T2933" s="95" t="str">
        <f t="shared" si="233"/>
        <v>2025 10</v>
      </c>
      <c r="U2933" s="32">
        <f t="shared" si="230"/>
        <v>-14.556306764353849</v>
      </c>
      <c r="V2933" s="22">
        <f t="shared" si="231"/>
        <v>-9.0156699418711302E-3</v>
      </c>
      <c r="X2933" s="33"/>
      <c r="Y2933" s="33"/>
    </row>
    <row r="2934" spans="1:25" x14ac:dyDescent="0.2">
      <c r="A2934" s="93" t="s">
        <v>1572</v>
      </c>
      <c r="B2934" s="94" t="str">
        <f>IFERROR(VLOOKUP($A2934,HeadJournal!$A$1:$NTR$890,COLUMN(HeadJournal!B$1),0),"")</f>
        <v>720000122982</v>
      </c>
      <c r="C2934" s="94" t="str">
        <f>IFERROR(VLOOKUP($A2934,HeadJournal!$A$1:$NTR$890,COLUMN(HeadJournal!C$1),0),"")</f>
        <v>iHerb_AV CYG0792</v>
      </c>
      <c r="D2934" s="125" t="str">
        <f>IFERROR(VLOOKUP($A2934,HeadJournal!$A$1:$NTR$890,COLUMN(HeadJournal!D$1),0),"")</f>
        <v>Доставлен</v>
      </c>
      <c r="E2934" s="95">
        <f>IFERROR(VLOOKUP($A2934,HeadJournal!$A$1:$NTR$890,COLUMN(HeadJournal!G$1),0),"")</f>
        <v>45331</v>
      </c>
      <c r="F2934" s="95" t="str">
        <f t="shared" si="232"/>
        <v>2024 02</v>
      </c>
      <c r="G2934" s="96" t="s">
        <v>5</v>
      </c>
      <c r="H2934" s="161" t="s">
        <v>2800</v>
      </c>
      <c r="I2934" s="97" t="s">
        <v>2207</v>
      </c>
      <c r="J2934" s="97" t="s">
        <v>2801</v>
      </c>
      <c r="K2934" s="29">
        <v>25.02</v>
      </c>
      <c r="L2934" s="29">
        <v>-3.5049999999999999</v>
      </c>
      <c r="M2934" s="30">
        <f>IFERROR(VLOOKUP($A2934,HeadJournal!$A$1:$J$890,COLUMN(HeadJournal!I$1),0)*($K2934+$L2934)/(SUMIF($A:$A,$A2934,$K:$K)+SUMIF($A:$A,$A2934,$L:$L)),0)</f>
        <v>-0.74126397397839994</v>
      </c>
      <c r="N2934" s="30">
        <f>IFERROR((VLOOKUP($A2934,HeadJournal!$A$1:$K$890,COLUMN(HeadJournal!K$1),0)-VLOOKUP($A2934,HeadJournal!$A$1:$K$890,COLUMN(HeadJournal!J$1),0))*($K2934+$L2934)/(SUMIF($A:$A,$A2934,$K:$K)+SUMIF($A:$A,$A2934,$L:$L)),0)</f>
        <v>1.1586428568088344E-14</v>
      </c>
      <c r="O2934" s="30">
        <f>IFERROR((VLOOKUP($A2934,HeadJournal!$A$1:$L$890,COLUMN(HeadJournal!L$1),0)*($K2934+$L2934)/(SUMIF($A:$A,$A2934,$K:$K)+SUMIF($A:$A,$A2934,$L:$L)))/VLOOKUP($A2934,HeadJournal!$A$1:$L$890,COLUMN(HeadJournal!H$1),0),0)</f>
        <v>1.4641887249281333</v>
      </c>
      <c r="P2934" s="30">
        <f>IFERROR(SUM(K2934:O2934)*VLOOKUP($A2934,HeadJournal!$A$1:$L$890,COLUMN(HeadJournal!H$1),0),0)</f>
        <v>2245.4543594075676</v>
      </c>
      <c r="Q2934" s="29">
        <v>3100</v>
      </c>
      <c r="R2934" s="31">
        <v>45402</v>
      </c>
      <c r="S2934" s="31" t="s">
        <v>3121</v>
      </c>
      <c r="T2934" s="95" t="str">
        <f t="shared" si="233"/>
        <v>2024 04</v>
      </c>
      <c r="U2934" s="32">
        <f t="shared" si="230"/>
        <v>854.54564059243239</v>
      </c>
      <c r="V2934" s="22">
        <f t="shared" si="231"/>
        <v>0.38056691600620757</v>
      </c>
      <c r="X2934" s="33"/>
      <c r="Y2934" s="33"/>
    </row>
    <row r="2935" spans="1:25" x14ac:dyDescent="0.2">
      <c r="A2935" s="93" t="s">
        <v>1572</v>
      </c>
      <c r="B2935" s="94" t="str">
        <f>IFERROR(VLOOKUP($A2935,HeadJournal!$A$1:$NTR$890,COLUMN(HeadJournal!B$1),0),"")</f>
        <v>720000122982</v>
      </c>
      <c r="C2935" s="94" t="str">
        <f>IFERROR(VLOOKUP($A2935,HeadJournal!$A$1:$NTR$890,COLUMN(HeadJournal!C$1),0),"")</f>
        <v>iHerb_AV CYG0792</v>
      </c>
      <c r="D2935" s="125" t="str">
        <f>IFERROR(VLOOKUP($A2935,HeadJournal!$A$1:$NTR$890,COLUMN(HeadJournal!D$1),0),"")</f>
        <v>Доставлен</v>
      </c>
      <c r="E2935" s="95">
        <f>IFERROR(VLOOKUP($A2935,HeadJournal!$A$1:$NTR$890,COLUMN(HeadJournal!G$1),0),"")</f>
        <v>45331</v>
      </c>
      <c r="F2935" s="95" t="str">
        <f t="shared" si="232"/>
        <v>2024 02</v>
      </c>
      <c r="G2935" s="96" t="s">
        <v>5</v>
      </c>
      <c r="H2935" s="161" t="s">
        <v>2800</v>
      </c>
      <c r="I2935" s="97" t="s">
        <v>2207</v>
      </c>
      <c r="J2935" s="97" t="s">
        <v>2801</v>
      </c>
      <c r="K2935" s="29">
        <v>25.02</v>
      </c>
      <c r="L2935" s="29">
        <v>-3.5049999999999999</v>
      </c>
      <c r="M2935" s="30">
        <f>IFERROR(VLOOKUP($A2935,HeadJournal!$A$1:$J$890,COLUMN(HeadJournal!I$1),0)*($K2935+$L2935)/(SUMIF($A:$A,$A2935,$K:$K)+SUMIF($A:$A,$A2935,$L:$L)),0)</f>
        <v>-0.74126397397839994</v>
      </c>
      <c r="N2935" s="30">
        <f>IFERROR((VLOOKUP($A2935,HeadJournal!$A$1:$K$890,COLUMN(HeadJournal!K$1),0)-VLOOKUP($A2935,HeadJournal!$A$1:$K$890,COLUMN(HeadJournal!J$1),0))*($K2935+$L2935)/(SUMIF($A:$A,$A2935,$K:$K)+SUMIF($A:$A,$A2935,$L:$L)),0)</f>
        <v>1.1586428568088344E-14</v>
      </c>
      <c r="O2935" s="30">
        <f>IFERROR((VLOOKUP($A2935,HeadJournal!$A$1:$L$890,COLUMN(HeadJournal!L$1),0)*($K2935+$L2935)/(SUMIF($A:$A,$A2935,$K:$K)+SUMIF($A:$A,$A2935,$L:$L)))/VLOOKUP($A2935,HeadJournal!$A$1:$L$890,COLUMN(HeadJournal!H$1),0),0)</f>
        <v>1.4641887249281333</v>
      </c>
      <c r="P2935" s="30">
        <f>IFERROR(SUM(K2935:O2935)*VLOOKUP($A2935,HeadJournal!$A$1:$L$890,COLUMN(HeadJournal!H$1),0),0)</f>
        <v>2245.4543594075676</v>
      </c>
      <c r="Q2935" s="29">
        <v>3200</v>
      </c>
      <c r="R2935" s="31">
        <v>45545</v>
      </c>
      <c r="S2935" s="31" t="s">
        <v>3121</v>
      </c>
      <c r="T2935" s="95" t="str">
        <f t="shared" si="233"/>
        <v>2024 09</v>
      </c>
      <c r="U2935" s="32">
        <f t="shared" si="230"/>
        <v>954.54564059243239</v>
      </c>
      <c r="V2935" s="22">
        <f t="shared" si="231"/>
        <v>0.42510133265156907</v>
      </c>
      <c r="X2935" s="33"/>
      <c r="Y2935" s="33"/>
    </row>
    <row r="2936" spans="1:25" x14ac:dyDescent="0.2">
      <c r="A2936" s="93" t="s">
        <v>1572</v>
      </c>
      <c r="B2936" s="94" t="str">
        <f>IFERROR(VLOOKUP($A2936,HeadJournal!$A$1:$NTR$890,COLUMN(HeadJournal!B$1),0),"")</f>
        <v>720000122982</v>
      </c>
      <c r="C2936" s="94" t="str">
        <f>IFERROR(VLOOKUP($A2936,HeadJournal!$A$1:$NTR$890,COLUMN(HeadJournal!C$1),0),"")</f>
        <v>iHerb_AV CYG0792</v>
      </c>
      <c r="D2936" s="125" t="str">
        <f>IFERROR(VLOOKUP($A2936,HeadJournal!$A$1:$NTR$890,COLUMN(HeadJournal!D$1),0),"")</f>
        <v>Доставлен</v>
      </c>
      <c r="E2936" s="95">
        <f>IFERROR(VLOOKUP($A2936,HeadJournal!$A$1:$NTR$890,COLUMN(HeadJournal!G$1),0),"")</f>
        <v>45331</v>
      </c>
      <c r="F2936" s="95" t="str">
        <f t="shared" si="232"/>
        <v>2024 02</v>
      </c>
      <c r="G2936" s="96" t="s">
        <v>5</v>
      </c>
      <c r="H2936" s="161" t="s">
        <v>2648</v>
      </c>
      <c r="I2936" s="97" t="s">
        <v>2218</v>
      </c>
      <c r="J2936" s="97" t="s">
        <v>2649</v>
      </c>
      <c r="K2936" s="29">
        <v>11.52</v>
      </c>
      <c r="L2936" s="29">
        <v>-1.61</v>
      </c>
      <c r="M2936" s="30">
        <f>IFERROR(VLOOKUP($A2936,HeadJournal!$A$1:$J$890,COLUMN(HeadJournal!I$1),0)*($K2936+$L2936)/(SUMIF($A:$A,$A2936,$K:$K)+SUMIF($A:$A,$A2936,$L:$L)),0)</f>
        <v>-0.34143276700562131</v>
      </c>
      <c r="N2936" s="30">
        <f>IFERROR((VLOOKUP($A2936,HeadJournal!$A$1:$K$890,COLUMN(HeadJournal!K$1),0)-VLOOKUP($A2936,HeadJournal!$A$1:$K$890,COLUMN(HeadJournal!J$1),0))*($K2936+$L2936)/(SUMIF($A:$A,$A2936,$K:$K)+SUMIF($A:$A,$A2936,$L:$L)),0)</f>
        <v>5.33681185729749E-15</v>
      </c>
      <c r="O2936" s="30">
        <f>IFERROR((VLOOKUP($A2936,HeadJournal!$A$1:$L$890,COLUMN(HeadJournal!L$1),0)*($K2936+$L2936)/(SUMIF($A:$A,$A2936,$K:$K)+SUMIF($A:$A,$A2936,$L:$L)))/VLOOKUP($A2936,HeadJournal!$A$1:$L$890,COLUMN(HeadJournal!H$1),0),0)</f>
        <v>0.67441832507728561</v>
      </c>
      <c r="P2936" s="30">
        <f>IFERROR(SUM(K2936:O2936)*VLOOKUP($A2936,HeadJournal!$A$1:$L$890,COLUMN(HeadJournal!H$1),0),0)</f>
        <v>1034.276212025517</v>
      </c>
      <c r="Q2936" s="29">
        <v>1600</v>
      </c>
      <c r="R2936" s="31">
        <v>45395</v>
      </c>
      <c r="S2936" s="31" t="s">
        <v>3121</v>
      </c>
      <c r="T2936" s="95" t="str">
        <f t="shared" si="233"/>
        <v>2024 04</v>
      </c>
      <c r="U2936" s="32">
        <f t="shared" si="230"/>
        <v>565.723787974483</v>
      </c>
      <c r="V2936" s="22">
        <f t="shared" si="231"/>
        <v>0.54697553844593871</v>
      </c>
      <c r="X2936" s="33"/>
      <c r="Y2936" s="33"/>
    </row>
    <row r="2937" spans="1:25" x14ac:dyDescent="0.2">
      <c r="A2937" s="93" t="s">
        <v>1572</v>
      </c>
      <c r="B2937" s="94" t="str">
        <f>IFERROR(VLOOKUP($A2937,HeadJournal!$A$1:$NTR$890,COLUMN(HeadJournal!B$1),0),"")</f>
        <v>720000122982</v>
      </c>
      <c r="C2937" s="94" t="str">
        <f>IFERROR(VLOOKUP($A2937,HeadJournal!$A$1:$NTR$890,COLUMN(HeadJournal!C$1),0),"")</f>
        <v>iHerb_AV CYG0792</v>
      </c>
      <c r="D2937" s="125" t="str">
        <f>IFERROR(VLOOKUP($A2937,HeadJournal!$A$1:$NTR$890,COLUMN(HeadJournal!D$1),0),"")</f>
        <v>Доставлен</v>
      </c>
      <c r="E2937" s="95">
        <f>IFERROR(VLOOKUP($A2937,HeadJournal!$A$1:$NTR$890,COLUMN(HeadJournal!G$1),0),"")</f>
        <v>45331</v>
      </c>
      <c r="F2937" s="95" t="str">
        <f t="shared" si="232"/>
        <v>2024 02</v>
      </c>
      <c r="G2937" s="96" t="s">
        <v>5</v>
      </c>
      <c r="H2937" s="161" t="s">
        <v>2223</v>
      </c>
      <c r="I2937" s="97" t="s">
        <v>2008</v>
      </c>
      <c r="J2937" s="97" t="s">
        <v>2224</v>
      </c>
      <c r="K2937" s="29">
        <v>12.96</v>
      </c>
      <c r="L2937" s="29">
        <v>-1.8149999999999999</v>
      </c>
      <c r="M2937" s="30">
        <f>IFERROR(VLOOKUP($A2937,HeadJournal!$A$1:$J$890,COLUMN(HeadJournal!I$1),0)*($K2937+$L2937)/(SUMIF($A:$A,$A2937,$K:$K)+SUMIF($A:$A,$A2937,$L:$L)),0)</f>
        <v>-0.38398266279290111</v>
      </c>
      <c r="N2937" s="30">
        <f>IFERROR((VLOOKUP($A2937,HeadJournal!$A$1:$K$890,COLUMN(HeadJournal!K$1),0)-VLOOKUP($A2937,HeadJournal!$A$1:$K$890,COLUMN(HeadJournal!J$1),0))*($K2937+$L2937)/(SUMIF($A:$A,$A2937,$K:$K)+SUMIF($A:$A,$A2937,$L:$L)),0)</f>
        <v>6.0018938596953106E-15</v>
      </c>
      <c r="O2937" s="30">
        <f>IFERROR((VLOOKUP($A2937,HeadJournal!$A$1:$L$890,COLUMN(HeadJournal!L$1),0)*($K2937+$L2937)/(SUMIF($A:$A,$A2937,$K:$K)+SUMIF($A:$A,$A2937,$L:$L)))/VLOOKUP($A2937,HeadJournal!$A$1:$L$890,COLUMN(HeadJournal!H$1),0),0)</f>
        <v>0.75846541200669515</v>
      </c>
      <c r="P2937" s="30">
        <f>IFERROR(SUM(K2937:O2937)*VLOOKUP($A2937,HeadJournal!$A$1:$L$890,COLUMN(HeadJournal!H$1),0),0)</f>
        <v>1163.1693625655284</v>
      </c>
      <c r="Q2937" s="29">
        <v>1700</v>
      </c>
      <c r="R2937" s="31">
        <v>45420</v>
      </c>
      <c r="S2937" s="31" t="s">
        <v>3121</v>
      </c>
      <c r="T2937" s="95" t="str">
        <f t="shared" si="233"/>
        <v>2024 05</v>
      </c>
      <c r="U2937" s="32">
        <f t="shared" si="230"/>
        <v>536.83063743447156</v>
      </c>
      <c r="V2937" s="22">
        <f t="shared" si="231"/>
        <v>0.46152405205241864</v>
      </c>
      <c r="X2937" s="33"/>
      <c r="Y2937" s="33"/>
    </row>
    <row r="2938" spans="1:25" x14ac:dyDescent="0.2">
      <c r="A2938" s="93" t="s">
        <v>1572</v>
      </c>
      <c r="B2938" s="94" t="str">
        <f>IFERROR(VLOOKUP($A2938,HeadJournal!$A$1:$NTR$890,COLUMN(HeadJournal!B$1),0),"")</f>
        <v>720000122982</v>
      </c>
      <c r="C2938" s="94" t="str">
        <f>IFERROR(VLOOKUP($A2938,HeadJournal!$A$1:$NTR$890,COLUMN(HeadJournal!C$1),0),"")</f>
        <v>iHerb_AV CYG0792</v>
      </c>
      <c r="D2938" s="125" t="str">
        <f>IFERROR(VLOOKUP($A2938,HeadJournal!$A$1:$NTR$890,COLUMN(HeadJournal!D$1),0),"")</f>
        <v>Доставлен</v>
      </c>
      <c r="E2938" s="95">
        <f>IFERROR(VLOOKUP($A2938,HeadJournal!$A$1:$NTR$890,COLUMN(HeadJournal!G$1),0),"")</f>
        <v>45331</v>
      </c>
      <c r="F2938" s="95" t="str">
        <f t="shared" si="232"/>
        <v>2024 02</v>
      </c>
      <c r="G2938" s="96" t="s">
        <v>5</v>
      </c>
      <c r="H2938" s="161" t="s">
        <v>2223</v>
      </c>
      <c r="I2938" s="97" t="s">
        <v>2008</v>
      </c>
      <c r="J2938" s="97" t="s">
        <v>2224</v>
      </c>
      <c r="K2938" s="29">
        <v>12.96</v>
      </c>
      <c r="L2938" s="29">
        <v>-1.8149999999999999</v>
      </c>
      <c r="M2938" s="30">
        <f>IFERROR(VLOOKUP($A2938,HeadJournal!$A$1:$J$890,COLUMN(HeadJournal!I$1),0)*($K2938+$L2938)/(SUMIF($A:$A,$A2938,$K:$K)+SUMIF($A:$A,$A2938,$L:$L)),0)</f>
        <v>-0.38398266279290111</v>
      </c>
      <c r="N2938" s="30">
        <f>IFERROR((VLOOKUP($A2938,HeadJournal!$A$1:$K$890,COLUMN(HeadJournal!K$1),0)-VLOOKUP($A2938,HeadJournal!$A$1:$K$890,COLUMN(HeadJournal!J$1),0))*($K2938+$L2938)/(SUMIF($A:$A,$A2938,$K:$K)+SUMIF($A:$A,$A2938,$L:$L)),0)</f>
        <v>6.0018938596953106E-15</v>
      </c>
      <c r="O2938" s="30">
        <f>IFERROR((VLOOKUP($A2938,HeadJournal!$A$1:$L$890,COLUMN(HeadJournal!L$1),0)*($K2938+$L2938)/(SUMIF($A:$A,$A2938,$K:$K)+SUMIF($A:$A,$A2938,$L:$L)))/VLOOKUP($A2938,HeadJournal!$A$1:$L$890,COLUMN(HeadJournal!H$1),0),0)</f>
        <v>0.75846541200669515</v>
      </c>
      <c r="P2938" s="30">
        <f>IFERROR(SUM(K2938:O2938)*VLOOKUP($A2938,HeadJournal!$A$1:$L$890,COLUMN(HeadJournal!H$1),0),0)</f>
        <v>1163.1693625655284</v>
      </c>
      <c r="Q2938" s="29">
        <v>1700</v>
      </c>
      <c r="R2938" s="31">
        <v>45472</v>
      </c>
      <c r="S2938" s="31" t="s">
        <v>3121</v>
      </c>
      <c r="T2938" s="95" t="str">
        <f t="shared" si="233"/>
        <v>2024 06</v>
      </c>
      <c r="U2938" s="32">
        <f t="shared" si="230"/>
        <v>536.83063743447156</v>
      </c>
      <c r="V2938" s="22">
        <f t="shared" si="231"/>
        <v>0.46152405205241864</v>
      </c>
      <c r="X2938" s="33"/>
      <c r="Y2938" s="33"/>
    </row>
    <row r="2939" spans="1:25" x14ac:dyDescent="0.2">
      <c r="A2939" s="93" t="s">
        <v>1572</v>
      </c>
      <c r="B2939" s="94" t="str">
        <f>IFERROR(VLOOKUP($A2939,HeadJournal!$A$1:$NTR$890,COLUMN(HeadJournal!B$1),0),"")</f>
        <v>720000122982</v>
      </c>
      <c r="C2939" s="94" t="str">
        <f>IFERROR(VLOOKUP($A2939,HeadJournal!$A$1:$NTR$890,COLUMN(HeadJournal!C$1),0),"")</f>
        <v>iHerb_AV CYG0792</v>
      </c>
      <c r="D2939" s="125" t="str">
        <f>IFERROR(VLOOKUP($A2939,HeadJournal!$A$1:$NTR$890,COLUMN(HeadJournal!D$1),0),"")</f>
        <v>Доставлен</v>
      </c>
      <c r="E2939" s="95">
        <f>IFERROR(VLOOKUP($A2939,HeadJournal!$A$1:$NTR$890,COLUMN(HeadJournal!G$1),0),"")</f>
        <v>45331</v>
      </c>
      <c r="F2939" s="95" t="str">
        <f t="shared" si="232"/>
        <v>2024 02</v>
      </c>
      <c r="G2939" s="96" t="s">
        <v>5</v>
      </c>
      <c r="H2939" s="161" t="str">
        <f>RIGHT(Journal!$J2939,9)</f>
        <v>IRW-57837</v>
      </c>
      <c r="I2939" s="97" t="str">
        <f t="shared" ref="I2939:I2994" si="234">IFERROR(LEFT(J2939,FIND(",",J2939)-1),"")</f>
        <v>Applied Nutrition</v>
      </c>
      <c r="J2939" s="97" t="s">
        <v>1581</v>
      </c>
      <c r="K2939" s="29">
        <v>17.07</v>
      </c>
      <c r="L2939" s="29">
        <v>-3.415</v>
      </c>
      <c r="M2939" s="30">
        <f>IFERROR(VLOOKUP($A2939,HeadJournal!$A$1:$J$890,COLUMN(HeadJournal!I$1),0)*($K2939+$L2939)/(SUMIF($A:$A,$A2939,$K:$K)+SUMIF($A:$A,$A2939,$L:$L)),0)</f>
        <v>-0.47046058864397172</v>
      </c>
      <c r="N2939" s="30">
        <f>IFERROR((VLOOKUP($A2939,HeadJournal!$A$1:$K$890,COLUMN(HeadJournal!K$1),0)-VLOOKUP($A2939,HeadJournal!$A$1:$K$890,COLUMN(HeadJournal!J$1),0))*($K2939+$L2939)/(SUMIF($A:$A,$A2939,$K:$K)+SUMIF($A:$A,$A2939,$L:$L)),0)</f>
        <v>7.3535989819775201E-15</v>
      </c>
      <c r="O2939" s="30">
        <f>IFERROR((VLOOKUP($A2939,HeadJournal!$A$1:$L$890,COLUMN(HeadJournal!L$1),0)*($K2939+$L2939)/(SUMIF($A:$A,$A2939,$K:$K)+SUMIF($A:$A,$A2939,$L:$L)))/VLOOKUP($A2939,HeadJournal!$A$1:$L$890,COLUMN(HeadJournal!H$1),0),0)</f>
        <v>0.92928175872152741</v>
      </c>
      <c r="P2939" s="30">
        <f>IFERROR(SUM(K2939:O2939)*VLOOKUP($A2939,HeadJournal!$A$1:$L$890,COLUMN(HeadJournal!H$1),0),0)</f>
        <v>1425.1303405861186</v>
      </c>
      <c r="Q2939" s="29">
        <v>1425.13</v>
      </c>
      <c r="R2939" s="31">
        <v>45332</v>
      </c>
      <c r="S2939" s="31" t="s">
        <v>3121</v>
      </c>
      <c r="T2939" s="95" t="str">
        <f t="shared" si="233"/>
        <v>2024 02</v>
      </c>
      <c r="U2939" s="32">
        <f t="shared" si="230"/>
        <v>-3.4058611845466658E-4</v>
      </c>
      <c r="V2939" s="22">
        <f t="shared" si="231"/>
        <v>-2.3898594307843626E-7</v>
      </c>
      <c r="X2939" s="33"/>
      <c r="Y2939" s="33"/>
    </row>
    <row r="2940" spans="1:25" x14ac:dyDescent="0.2">
      <c r="A2940" s="93" t="s">
        <v>1572</v>
      </c>
      <c r="B2940" s="94" t="str">
        <f>IFERROR(VLOOKUP($A2940,HeadJournal!$A$1:$NTR$890,COLUMN(HeadJournal!B$1),0),"")</f>
        <v>720000122982</v>
      </c>
      <c r="C2940" s="94" t="str">
        <f>IFERROR(VLOOKUP($A2940,HeadJournal!$A$1:$NTR$890,COLUMN(HeadJournal!C$1),0),"")</f>
        <v>iHerb_AV CYG0792</v>
      </c>
      <c r="D2940" s="125" t="str">
        <f>IFERROR(VLOOKUP($A2940,HeadJournal!$A$1:$NTR$890,COLUMN(HeadJournal!D$1),0),"")</f>
        <v>Доставлен</v>
      </c>
      <c r="E2940" s="95">
        <f>IFERROR(VLOOKUP($A2940,HeadJournal!$A$1:$NTR$890,COLUMN(HeadJournal!G$1),0),"")</f>
        <v>45331</v>
      </c>
      <c r="F2940" s="95" t="str">
        <f t="shared" si="232"/>
        <v>2024 02</v>
      </c>
      <c r="G2940" s="96" t="s">
        <v>5</v>
      </c>
      <c r="H2940" s="161" t="str">
        <f>RIGHT(Journal!$J2940,9)</f>
        <v>IRW-57837</v>
      </c>
      <c r="I2940" s="97" t="str">
        <f t="shared" si="234"/>
        <v>Applied Nutrition</v>
      </c>
      <c r="J2940" s="97" t="s">
        <v>1581</v>
      </c>
      <c r="K2940" s="29">
        <v>17.07</v>
      </c>
      <c r="L2940" s="29">
        <v>-3.415</v>
      </c>
      <c r="M2940" s="30">
        <f>IFERROR(VLOOKUP($A2940,HeadJournal!$A$1:$J$890,COLUMN(HeadJournal!I$1),0)*($K2940+$L2940)/(SUMIF($A:$A,$A2940,$K:$K)+SUMIF($A:$A,$A2940,$L:$L)),0)</f>
        <v>-0.47046058864397172</v>
      </c>
      <c r="N2940" s="30">
        <f>IFERROR((VLOOKUP($A2940,HeadJournal!$A$1:$K$890,COLUMN(HeadJournal!K$1),0)-VLOOKUP($A2940,HeadJournal!$A$1:$K$890,COLUMN(HeadJournal!J$1),0))*($K2940+$L2940)/(SUMIF($A:$A,$A2940,$K:$K)+SUMIF($A:$A,$A2940,$L:$L)),0)</f>
        <v>7.3535989819775201E-15</v>
      </c>
      <c r="O2940" s="30">
        <f>IFERROR((VLOOKUP($A2940,HeadJournal!$A$1:$L$890,COLUMN(HeadJournal!L$1),0)*($K2940+$L2940)/(SUMIF($A:$A,$A2940,$K:$K)+SUMIF($A:$A,$A2940,$L:$L)))/VLOOKUP($A2940,HeadJournal!$A$1:$L$890,COLUMN(HeadJournal!H$1),0),0)</f>
        <v>0.92928175872152741</v>
      </c>
      <c r="P2940" s="30">
        <f>IFERROR(SUM(K2940:O2940)*VLOOKUP($A2940,HeadJournal!$A$1:$L$890,COLUMN(HeadJournal!H$1),0),0)</f>
        <v>1425.1303405861186</v>
      </c>
      <c r="Q2940" s="29">
        <v>2300</v>
      </c>
      <c r="R2940" s="31">
        <v>45685</v>
      </c>
      <c r="S2940" s="31" t="s">
        <v>3121</v>
      </c>
      <c r="T2940" s="95" t="str">
        <f t="shared" si="233"/>
        <v>2025 01</v>
      </c>
      <c r="U2940" s="32">
        <f t="shared" si="230"/>
        <v>874.86965941388144</v>
      </c>
      <c r="V2940" s="22">
        <f t="shared" si="231"/>
        <v>0.61388747014821854</v>
      </c>
      <c r="X2940" s="33"/>
      <c r="Y2940" s="33"/>
    </row>
    <row r="2941" spans="1:25" x14ac:dyDescent="0.2">
      <c r="A2941" s="93" t="s">
        <v>1572</v>
      </c>
      <c r="B2941" s="94" t="str">
        <f>IFERROR(VLOOKUP($A2941,HeadJournal!$A$1:$NTR$890,COLUMN(HeadJournal!B$1),0),"")</f>
        <v>720000122982</v>
      </c>
      <c r="C2941" s="94" t="str">
        <f>IFERROR(VLOOKUP($A2941,HeadJournal!$A$1:$NTR$890,COLUMN(HeadJournal!C$1),0),"")</f>
        <v>iHerb_AV CYG0792</v>
      </c>
      <c r="D2941" s="125" t="str">
        <f>IFERROR(VLOOKUP($A2941,HeadJournal!$A$1:$NTR$890,COLUMN(HeadJournal!D$1),0),"")</f>
        <v>Доставлен</v>
      </c>
      <c r="E2941" s="95">
        <f>IFERROR(VLOOKUP($A2941,HeadJournal!$A$1:$NTR$890,COLUMN(HeadJournal!G$1),0),"")</f>
        <v>45331</v>
      </c>
      <c r="F2941" s="95" t="str">
        <f t="shared" si="232"/>
        <v>2024 02</v>
      </c>
      <c r="G2941" s="96" t="s">
        <v>5</v>
      </c>
      <c r="H2941" s="161" t="str">
        <f>RIGHT(Journal!$J2941,9)</f>
        <v>FOA-01540</v>
      </c>
      <c r="I2941" s="97" t="str">
        <f t="shared" si="234"/>
        <v>Force Factor</v>
      </c>
      <c r="J2941" s="97" t="s">
        <v>1582</v>
      </c>
      <c r="K2941" s="29">
        <v>16.91</v>
      </c>
      <c r="L2941" s="29">
        <v>-3.38</v>
      </c>
      <c r="M2941" s="30">
        <f>IFERROR(VLOOKUP($A2941,HeadJournal!$A$1:$J$890,COLUMN(HeadJournal!I$1),0)*($K2941+$L2941)/(SUMIF($A:$A,$A2941,$K:$K)+SUMIF($A:$A,$A2941,$L:$L)),0)</f>
        <v>-0.46615391902987452</v>
      </c>
      <c r="N2941" s="30">
        <f>IFERROR((VLOOKUP($A2941,HeadJournal!$A$1:$K$890,COLUMN(HeadJournal!K$1),0)-VLOOKUP($A2941,HeadJournal!$A$1:$K$890,COLUMN(HeadJournal!J$1),0))*($K2941+$L2941)/(SUMIF($A:$A,$A2941,$K:$K)+SUMIF($A:$A,$A2941,$L:$L)),0)</f>
        <v>7.2862829898319916E-15</v>
      </c>
      <c r="O2941" s="30">
        <f>IFERROR((VLOOKUP($A2941,HeadJournal!$A$1:$L$890,COLUMN(HeadJournal!L$1),0)*($K2941+$L2941)/(SUMIF($A:$A,$A2941,$K:$K)+SUMIF($A:$A,$A2941,$L:$L)))/VLOOKUP($A2941,HeadJournal!$A$1:$L$890,COLUMN(HeadJournal!H$1),0),0)</f>
        <v>0.92077496854648588</v>
      </c>
      <c r="P2941" s="30">
        <f>IFERROR(SUM(K2941:O2941)*VLOOKUP($A2941,HeadJournal!$A$1:$L$890,COLUMN(HeadJournal!H$1),0),0)</f>
        <v>1412.084475146846</v>
      </c>
      <c r="Q2941" s="29"/>
      <c r="R2941" s="31"/>
      <c r="S2941" s="31"/>
      <c r="T2941" s="95" t="str">
        <f t="shared" si="233"/>
        <v/>
      </c>
      <c r="U2941" s="32">
        <f t="shared" si="230"/>
        <v>-1412.084475146846</v>
      </c>
      <c r="V2941" s="22" t="str">
        <f t="shared" si="231"/>
        <v/>
      </c>
      <c r="X2941" s="33"/>
      <c r="Y2941" s="33"/>
    </row>
    <row r="2942" spans="1:25" x14ac:dyDescent="0.2">
      <c r="A2942" s="93" t="s">
        <v>1572</v>
      </c>
      <c r="B2942" s="94" t="str">
        <f>IFERROR(VLOOKUP($A2942,HeadJournal!$A$1:$NTR$890,COLUMN(HeadJournal!B$1),0),"")</f>
        <v>720000122982</v>
      </c>
      <c r="C2942" s="94" t="str">
        <f>IFERROR(VLOOKUP($A2942,HeadJournal!$A$1:$NTR$890,COLUMN(HeadJournal!C$1),0),"")</f>
        <v>iHerb_AV CYG0792</v>
      </c>
      <c r="D2942" s="125" t="str">
        <f>IFERROR(VLOOKUP($A2942,HeadJournal!$A$1:$NTR$890,COLUMN(HeadJournal!D$1),0),"")</f>
        <v>Доставлен</v>
      </c>
      <c r="E2942" s="95">
        <f>IFERROR(VLOOKUP($A2942,HeadJournal!$A$1:$NTR$890,COLUMN(HeadJournal!G$1),0),"")</f>
        <v>45331</v>
      </c>
      <c r="F2942" s="95" t="str">
        <f t="shared" si="232"/>
        <v>2024 02</v>
      </c>
      <c r="G2942" s="96" t="s">
        <v>5</v>
      </c>
      <c r="H2942" s="161" t="str">
        <f>RIGHT(Journal!$J2942,9)</f>
        <v>YTH-01969</v>
      </c>
      <c r="I2942" s="97" t="str">
        <f t="shared" si="234"/>
        <v>Yeouth</v>
      </c>
      <c r="J2942" s="97" t="s">
        <v>1583</v>
      </c>
      <c r="K2942" s="29">
        <v>3.26</v>
      </c>
      <c r="L2942" s="29">
        <v>-1.81</v>
      </c>
      <c r="M2942" s="30">
        <f>IFERROR(VLOOKUP($A2942,HeadJournal!$A$1:$J$890,COLUMN(HeadJournal!I$1),0)*($K2942+$L2942)/(SUMIF($A:$A,$A2942,$K:$K)+SUMIF($A:$A,$A2942,$L:$L)),0)</f>
        <v>-4.9957367523526829E-2</v>
      </c>
      <c r="N2942" s="30">
        <f>IFERROR((VLOOKUP($A2942,HeadJournal!$A$1:$K$890,COLUMN(HeadJournal!K$1),0)-VLOOKUP($A2942,HeadJournal!$A$1:$K$890,COLUMN(HeadJournal!J$1),0))*($K2942+$L2942)/(SUMIF($A:$A,$A2942,$K:$K)+SUMIF($A:$A,$A2942,$L:$L)),0)</f>
        <v>7.8086550888812908E-16</v>
      </c>
      <c r="O2942" s="30">
        <f>IFERROR((VLOOKUP($A2942,HeadJournal!$A$1:$L$890,COLUMN(HeadJournal!L$1),0)*($K2942+$L2942)/(SUMIF($A:$A,$A2942,$K:$K)+SUMIF($A:$A,$A2942,$L:$L)))/VLOOKUP($A2942,HeadJournal!$A$1:$L$890,COLUMN(HeadJournal!H$1),0),0)</f>
        <v>9.867876603048073E-2</v>
      </c>
      <c r="P2942" s="30">
        <f>IFERROR(SUM(K2942:O2942)*VLOOKUP($A2942,HeadJournal!$A$1:$L$890,COLUMN(HeadJournal!H$1),0),0)</f>
        <v>151.33203909555999</v>
      </c>
      <c r="Q2942" s="29"/>
      <c r="R2942" s="31"/>
      <c r="S2942" s="31"/>
      <c r="T2942" s="95" t="str">
        <f t="shared" si="233"/>
        <v/>
      </c>
      <c r="U2942" s="32">
        <f t="shared" si="230"/>
        <v>-151.33203909555999</v>
      </c>
      <c r="V2942" s="22" t="str">
        <f t="shared" si="231"/>
        <v/>
      </c>
      <c r="X2942" s="33"/>
      <c r="Y2942" s="33"/>
    </row>
    <row r="2943" spans="1:25" x14ac:dyDescent="0.2">
      <c r="A2943" s="93" t="s">
        <v>1572</v>
      </c>
      <c r="B2943" s="94" t="str">
        <f>IFERROR(VLOOKUP($A2943,HeadJournal!$A$1:$NTR$890,COLUMN(HeadJournal!B$1),0),"")</f>
        <v>720000122982</v>
      </c>
      <c r="C2943" s="94" t="str">
        <f>IFERROR(VLOOKUP($A2943,HeadJournal!$A$1:$NTR$890,COLUMN(HeadJournal!C$1),0),"")</f>
        <v>iHerb_AV CYG0792</v>
      </c>
      <c r="D2943" s="125" t="str">
        <f>IFERROR(VLOOKUP($A2943,HeadJournal!$A$1:$NTR$890,COLUMN(HeadJournal!D$1),0),"")</f>
        <v>Доставлен</v>
      </c>
      <c r="E2943" s="95">
        <f>IFERROR(VLOOKUP($A2943,HeadJournal!$A$1:$NTR$890,COLUMN(HeadJournal!G$1),0),"")</f>
        <v>45331</v>
      </c>
      <c r="F2943" s="95" t="str">
        <f t="shared" si="232"/>
        <v>2024 02</v>
      </c>
      <c r="G2943" s="96" t="s">
        <v>5</v>
      </c>
      <c r="H2943" s="161" t="str">
        <f>RIGHT(Journal!$J2943,9)</f>
        <v>BOI-08204</v>
      </c>
      <c r="I2943" s="97" t="str">
        <f t="shared" si="234"/>
        <v>Boiron</v>
      </c>
      <c r="J2943" s="97" t="s">
        <v>1584</v>
      </c>
      <c r="K2943" s="29">
        <v>13.35</v>
      </c>
      <c r="L2943" s="29">
        <v>-2.67</v>
      </c>
      <c r="M2943" s="30">
        <f>IFERROR(VLOOKUP($A2943,HeadJournal!$A$1:$J$890,COLUMN(HeadJournal!I$1),0)*($K2943+$L2943)/(SUMIF($A:$A,$A2943,$K:$K)+SUMIF($A:$A,$A2943,$L:$L)),0)</f>
        <v>-0.3679618518284597</v>
      </c>
      <c r="N2943" s="30">
        <f>IFERROR((VLOOKUP($A2943,HeadJournal!$A$1:$K$890,COLUMN(HeadJournal!K$1),0)-VLOOKUP($A2943,HeadJournal!$A$1:$K$890,COLUMN(HeadJournal!J$1),0))*($K2943+$L2943)/(SUMIF($A:$A,$A2943,$K:$K)+SUMIF($A:$A,$A2943,$L:$L)),0)</f>
        <v>5.7514783689139441E-15</v>
      </c>
      <c r="O2943" s="30">
        <f>IFERROR((VLOOKUP($A2943,HeadJournal!$A$1:$L$890,COLUMN(HeadJournal!L$1),0)*($K2943+$L2943)/(SUMIF($A:$A,$A2943,$K:$K)+SUMIF($A:$A,$A2943,$L:$L)))/VLOOKUP($A2943,HeadJournal!$A$1:$L$890,COLUMN(HeadJournal!H$1),0),0)</f>
        <v>0.726820152555541</v>
      </c>
      <c r="P2943" s="30">
        <f>IFERROR(SUM(K2943:O2943)*VLOOKUP($A2943,HeadJournal!$A$1:$L$890,COLUMN(HeadJournal!H$1),0),0)</f>
        <v>1114.6387431314349</v>
      </c>
      <c r="Q2943" s="29">
        <v>1800</v>
      </c>
      <c r="R2943" s="31">
        <v>45373</v>
      </c>
      <c r="S2943" s="31" t="s">
        <v>3121</v>
      </c>
      <c r="T2943" s="95" t="str">
        <f t="shared" si="233"/>
        <v>2024 03</v>
      </c>
      <c r="U2943" s="32">
        <f t="shared" si="230"/>
        <v>685.36125686856508</v>
      </c>
      <c r="V2943" s="22">
        <f t="shared" si="231"/>
        <v>0.61487299009823604</v>
      </c>
      <c r="X2943" s="33"/>
      <c r="Y2943" s="33"/>
    </row>
    <row r="2944" spans="1:25" x14ac:dyDescent="0.2">
      <c r="A2944" s="93" t="s">
        <v>1572</v>
      </c>
      <c r="B2944" s="94" t="str">
        <f>IFERROR(VLOOKUP($A2944,HeadJournal!$A$1:$NTR$890,COLUMN(HeadJournal!B$1),0),"")</f>
        <v>720000122982</v>
      </c>
      <c r="C2944" s="94" t="str">
        <f>IFERROR(VLOOKUP($A2944,HeadJournal!$A$1:$NTR$890,COLUMN(HeadJournal!C$1),0),"")</f>
        <v>iHerb_AV CYG0792</v>
      </c>
      <c r="D2944" s="125" t="str">
        <f>IFERROR(VLOOKUP($A2944,HeadJournal!$A$1:$NTR$890,COLUMN(HeadJournal!D$1),0),"")</f>
        <v>Доставлен</v>
      </c>
      <c r="E2944" s="95">
        <f>IFERROR(VLOOKUP($A2944,HeadJournal!$A$1:$NTR$890,COLUMN(HeadJournal!G$1),0),"")</f>
        <v>45331</v>
      </c>
      <c r="F2944" s="95" t="str">
        <f t="shared" si="232"/>
        <v>2024 02</v>
      </c>
      <c r="G2944" s="96" t="s">
        <v>5</v>
      </c>
      <c r="H2944" s="161" t="str">
        <f>RIGHT(Journal!$J2944,9)</f>
        <v>BOS-41413</v>
      </c>
      <c r="I2944" s="97" t="str">
        <f t="shared" si="234"/>
        <v>Boiron</v>
      </c>
      <c r="J2944" s="97" t="s">
        <v>1585</v>
      </c>
      <c r="K2944" s="29">
        <v>9.59</v>
      </c>
      <c r="L2944" s="29">
        <v>-1.92</v>
      </c>
      <c r="M2944" s="30">
        <f>IFERROR(VLOOKUP($A2944,HeadJournal!$A$1:$J$890,COLUMN(HeadJournal!I$1),0)*($K2944+$L2944)/(SUMIF($A:$A,$A2944,$K:$K)+SUMIF($A:$A,$A2944,$L:$L)),0)</f>
        <v>-0.26425724752100055</v>
      </c>
      <c r="N2944" s="30">
        <f>IFERROR((VLOOKUP($A2944,HeadJournal!$A$1:$K$890,COLUMN(HeadJournal!K$1),0)-VLOOKUP($A2944,HeadJournal!$A$1:$K$890,COLUMN(HeadJournal!J$1),0))*($K2944+$L2944)/(SUMIF($A:$A,$A2944,$K:$K)+SUMIF($A:$A,$A2944,$L:$L)),0)</f>
        <v>4.1305092780496206E-15</v>
      </c>
      <c r="O2944" s="30">
        <f>IFERROR((VLOOKUP($A2944,HeadJournal!$A$1:$L$890,COLUMN(HeadJournal!L$1),0)*($K2944+$L2944)/(SUMIF($A:$A,$A2944,$K:$K)+SUMIF($A:$A,$A2944,$L:$L)))/VLOOKUP($A2944,HeadJournal!$A$1:$L$890,COLUMN(HeadJournal!H$1),0),0)</f>
        <v>0.52197664514054298</v>
      </c>
      <c r="P2944" s="30">
        <f>IFERROR(SUM(K2944:O2944)*VLOOKUP($A2944,HeadJournal!$A$1:$L$890,COLUMN(HeadJournal!H$1),0),0)</f>
        <v>800.4943033537553</v>
      </c>
      <c r="Q2944" s="29"/>
      <c r="R2944" s="31"/>
      <c r="S2944" s="31"/>
      <c r="T2944" s="95" t="str">
        <f t="shared" si="233"/>
        <v/>
      </c>
      <c r="U2944" s="32">
        <f t="shared" si="230"/>
        <v>-800.4943033537553</v>
      </c>
      <c r="V2944" s="22" t="str">
        <f t="shared" si="231"/>
        <v/>
      </c>
      <c r="X2944" s="33"/>
      <c r="Y2944" s="33"/>
    </row>
    <row r="2945" spans="1:25" x14ac:dyDescent="0.2">
      <c r="A2945" s="93" t="s">
        <v>1572</v>
      </c>
      <c r="B2945" s="94" t="str">
        <f>IFERROR(VLOOKUP($A2945,HeadJournal!$A$1:$NTR$890,COLUMN(HeadJournal!B$1),0),"")</f>
        <v>720000122982</v>
      </c>
      <c r="C2945" s="94" t="str">
        <f>IFERROR(VLOOKUP($A2945,HeadJournal!$A$1:$NTR$890,COLUMN(HeadJournal!C$1),0),"")</f>
        <v>iHerb_AV CYG0792</v>
      </c>
      <c r="D2945" s="125" t="str">
        <f>IFERROR(VLOOKUP($A2945,HeadJournal!$A$1:$NTR$890,COLUMN(HeadJournal!D$1),0),"")</f>
        <v>Доставлен</v>
      </c>
      <c r="E2945" s="95">
        <f>IFERROR(VLOOKUP($A2945,HeadJournal!$A$1:$NTR$890,COLUMN(HeadJournal!G$1),0),"")</f>
        <v>45331</v>
      </c>
      <c r="F2945" s="95" t="str">
        <f t="shared" si="232"/>
        <v>2024 02</v>
      </c>
      <c r="G2945" s="96" t="s">
        <v>5</v>
      </c>
      <c r="H2945" s="161" t="s">
        <v>3634</v>
      </c>
      <c r="I2945" s="97" t="s">
        <v>2581</v>
      </c>
      <c r="J2945" s="97" t="s">
        <v>3676</v>
      </c>
      <c r="K2945" s="29">
        <v>12.53</v>
      </c>
      <c r="L2945" s="29">
        <v>-2.5099999999999998</v>
      </c>
      <c r="M2945" s="30">
        <f>IFERROR(VLOOKUP($A2945,HeadJournal!$A$1:$J$890,COLUMN(HeadJournal!I$1),0)*($K2945+$L2945)/(SUMIF($A:$A,$A2945,$K:$K)+SUMIF($A:$A,$A2945,$L:$L)),0)</f>
        <v>-0.34522263626602678</v>
      </c>
      <c r="N2945" s="30">
        <f>IFERROR((VLOOKUP($A2945,HeadJournal!$A$1:$K$890,COLUMN(HeadJournal!K$1),0)-VLOOKUP($A2945,HeadJournal!$A$1:$K$890,COLUMN(HeadJournal!J$1),0))*($K2945+$L2945)/(SUMIF($A:$A,$A2945,$K:$K)+SUMIF($A:$A,$A2945,$L:$L)),0)</f>
        <v>5.396049930385554E-15</v>
      </c>
      <c r="O2945" s="30">
        <f>IFERROR((VLOOKUP($A2945,HeadJournal!$A$1:$L$890,COLUMN(HeadJournal!L$1),0)*($K2945+$L2945)/(SUMIF($A:$A,$A2945,$K:$K)+SUMIF($A:$A,$A2945,$L:$L)))/VLOOKUP($A2945,HeadJournal!$A$1:$L$890,COLUMN(HeadJournal!H$1),0),0)</f>
        <v>0.68190430043132222</v>
      </c>
      <c r="P2945" s="30">
        <f>IFERROR(SUM(K2945:O2945)*VLOOKUP($A2945,HeadJournal!$A$1:$L$890,COLUMN(HeadJournal!H$1),0),0)</f>
        <v>1045.7565736120766</v>
      </c>
      <c r="Q2945" s="29">
        <v>1045.76</v>
      </c>
      <c r="R2945" s="31">
        <v>45332</v>
      </c>
      <c r="S2945" s="31" t="s">
        <v>3121</v>
      </c>
      <c r="T2945" s="95" t="str">
        <f t="shared" si="233"/>
        <v>2024 02</v>
      </c>
      <c r="U2945" s="32">
        <f t="shared" ref="U2945:U3008" si="235">Q2945-P2945</f>
        <v>3.4263879233549233E-3</v>
      </c>
      <c r="V2945" s="22">
        <f t="shared" ref="V2945:V3008" si="236">IF(Q2945&lt;&gt;0,IFERROR(U2945/P2945,""),"")</f>
        <v>3.2764679752574445E-6</v>
      </c>
      <c r="X2945" s="33"/>
      <c r="Y2945" s="33"/>
    </row>
    <row r="2946" spans="1:25" x14ac:dyDescent="0.2">
      <c r="A2946" s="93" t="s">
        <v>1572</v>
      </c>
      <c r="B2946" s="94" t="str">
        <f>IFERROR(VLOOKUP($A2946,HeadJournal!$A$1:$NTR$890,COLUMN(HeadJournal!B$1),0),"")</f>
        <v>720000122982</v>
      </c>
      <c r="C2946" s="94" t="str">
        <f>IFERROR(VLOOKUP($A2946,HeadJournal!$A$1:$NTR$890,COLUMN(HeadJournal!C$1),0),"")</f>
        <v>iHerb_AV CYG0792</v>
      </c>
      <c r="D2946" s="125" t="str">
        <f>IFERROR(VLOOKUP($A2946,HeadJournal!$A$1:$NTR$890,COLUMN(HeadJournal!D$1),0),"")</f>
        <v>Доставлен</v>
      </c>
      <c r="E2946" s="95">
        <f>IFERROR(VLOOKUP($A2946,HeadJournal!$A$1:$NTR$890,COLUMN(HeadJournal!G$1),0),"")</f>
        <v>45331</v>
      </c>
      <c r="F2946" s="95" t="str">
        <f t="shared" si="232"/>
        <v>2024 02</v>
      </c>
      <c r="G2946" s="96" t="s">
        <v>5</v>
      </c>
      <c r="H2946" s="161" t="s">
        <v>2475</v>
      </c>
      <c r="I2946" s="97" t="s">
        <v>2005</v>
      </c>
      <c r="J2946" s="97" t="s">
        <v>3755</v>
      </c>
      <c r="K2946" s="29">
        <v>13.25</v>
      </c>
      <c r="L2946" s="29">
        <v>-1.86</v>
      </c>
      <c r="M2946" s="30">
        <f>IFERROR(VLOOKUP($A2946,HeadJournal!$A$1:$J$890,COLUMN(HeadJournal!I$1),0)*($K2946+$L2946)/(SUMIF($A:$A,$A2946,$K:$K)+SUMIF($A:$A,$A2946,$L:$L)),0)</f>
        <v>-0.39242373523653151</v>
      </c>
      <c r="N2946" s="30">
        <f>IFERROR((VLOOKUP($A2946,HeadJournal!$A$1:$K$890,COLUMN(HeadJournal!K$1),0)-VLOOKUP($A2946,HeadJournal!$A$1:$K$890,COLUMN(HeadJournal!J$1),0))*($K2946+$L2946)/(SUMIF($A:$A,$A2946,$K:$K)+SUMIF($A:$A,$A2946,$L:$L)),0)</f>
        <v>6.1338332043005462E-15</v>
      </c>
      <c r="O2946" s="30">
        <f>IFERROR((VLOOKUP($A2946,HeadJournal!$A$1:$L$890,COLUMN(HeadJournal!L$1),0)*($K2946+$L2946)/(SUMIF($A:$A,$A2946,$K:$K)+SUMIF($A:$A,$A2946,$L:$L)))/VLOOKUP($A2946,HeadJournal!$A$1:$L$890,COLUMN(HeadJournal!H$1),0),0)</f>
        <v>0.7751387207497763</v>
      </c>
      <c r="P2946" s="30">
        <f>IFERROR(SUM(K2946:O2946)*VLOOKUP($A2946,HeadJournal!$A$1:$L$890,COLUMN(HeadJournal!H$1),0),0)</f>
        <v>1188.7392588265022</v>
      </c>
      <c r="Q2946" s="29">
        <v>1800</v>
      </c>
      <c r="R2946" s="31">
        <v>45467</v>
      </c>
      <c r="S2946" s="31" t="s">
        <v>3121</v>
      </c>
      <c r="T2946" s="95" t="str">
        <f t="shared" si="233"/>
        <v>2024 06</v>
      </c>
      <c r="U2946" s="32">
        <f t="shared" si="235"/>
        <v>611.26074117349776</v>
      </c>
      <c r="V2946" s="22">
        <f t="shared" si="236"/>
        <v>0.51420926551792456</v>
      </c>
      <c r="X2946" s="33"/>
      <c r="Y2946" s="33"/>
    </row>
    <row r="2947" spans="1:25" x14ac:dyDescent="0.2">
      <c r="A2947" s="93" t="s">
        <v>1572</v>
      </c>
      <c r="B2947" s="94" t="str">
        <f>IFERROR(VLOOKUP($A2947,HeadJournal!$A$1:$NTR$890,COLUMN(HeadJournal!B$1),0),"")</f>
        <v>720000122982</v>
      </c>
      <c r="C2947" s="94" t="str">
        <f>IFERROR(VLOOKUP($A2947,HeadJournal!$A$1:$NTR$890,COLUMN(HeadJournal!C$1),0),"")</f>
        <v>iHerb_AV CYG0792</v>
      </c>
      <c r="D2947" s="125" t="str">
        <f>IFERROR(VLOOKUP($A2947,HeadJournal!$A$1:$NTR$890,COLUMN(HeadJournal!D$1),0),"")</f>
        <v>Доставлен</v>
      </c>
      <c r="E2947" s="95">
        <f>IFERROR(VLOOKUP($A2947,HeadJournal!$A$1:$NTR$890,COLUMN(HeadJournal!G$1),0),"")</f>
        <v>45331</v>
      </c>
      <c r="F2947" s="95" t="str">
        <f t="shared" si="232"/>
        <v>2024 02</v>
      </c>
      <c r="G2947" s="96" t="s">
        <v>5</v>
      </c>
      <c r="H2947" s="161" t="s">
        <v>4090</v>
      </c>
      <c r="I2947" s="97" t="s">
        <v>2052</v>
      </c>
      <c r="J2947" s="97" t="s">
        <v>4089</v>
      </c>
      <c r="K2947" s="29">
        <v>26.96</v>
      </c>
      <c r="L2947" s="29">
        <v>-13.48</v>
      </c>
      <c r="M2947" s="30">
        <f>IFERROR(VLOOKUP($A2947,HeadJournal!$A$1:$J$890,COLUMN(HeadJournal!I$1),0)*($K2947+$L2947)/(SUMIF($A:$A,$A2947,$K:$K)+SUMIF($A:$A,$A2947,$L:$L)),0)</f>
        <v>-0.46443125118423567</v>
      </c>
      <c r="N2947" s="30">
        <f>IFERROR((VLOOKUP($A2947,HeadJournal!$A$1:$K$890,COLUMN(HeadJournal!K$1),0)-VLOOKUP($A2947,HeadJournal!$A$1:$K$890,COLUMN(HeadJournal!J$1),0))*($K2947+$L2947)/(SUMIF($A:$A,$A2947,$K:$K)+SUMIF($A:$A,$A2947,$L:$L)),0)</f>
        <v>7.2593565929737795E-15</v>
      </c>
      <c r="O2947" s="30">
        <f>IFERROR((VLOOKUP($A2947,HeadJournal!$A$1:$L$890,COLUMN(HeadJournal!L$1),0)*($K2947+$L2947)/(SUMIF($A:$A,$A2947,$K:$K)+SUMIF($A:$A,$A2947,$L:$L)))/VLOOKUP($A2947,HeadJournal!$A$1:$L$890,COLUMN(HeadJournal!H$1),0),0)</f>
        <v>0.91737225247646925</v>
      </c>
      <c r="P2947" s="30">
        <f>IFERROR(SUM(K2947:O2947)*VLOOKUP($A2947,HeadJournal!$A$1:$L$890,COLUMN(HeadJournal!H$1),0),0)</f>
        <v>1406.866128971137</v>
      </c>
      <c r="Q2947" s="29">
        <v>2300</v>
      </c>
      <c r="R2947" s="31">
        <v>45360</v>
      </c>
      <c r="S2947" s="31" t="s">
        <v>3121</v>
      </c>
      <c r="T2947" s="95" t="str">
        <f t="shared" si="233"/>
        <v>2024 03</v>
      </c>
      <c r="U2947" s="32">
        <f t="shared" si="235"/>
        <v>893.13387102886304</v>
      </c>
      <c r="V2947" s="22">
        <f t="shared" si="236"/>
        <v>0.63483927335860002</v>
      </c>
      <c r="X2947" s="33"/>
      <c r="Y2947" s="33"/>
    </row>
    <row r="2948" spans="1:25" x14ac:dyDescent="0.2">
      <c r="A2948" s="93" t="s">
        <v>1572</v>
      </c>
      <c r="B2948" s="94" t="str">
        <f>IFERROR(VLOOKUP($A2948,HeadJournal!$A$1:$NTR$890,COLUMN(HeadJournal!B$1),0),"")</f>
        <v>720000122982</v>
      </c>
      <c r="C2948" s="94" t="str">
        <f>IFERROR(VLOOKUP($A2948,HeadJournal!$A$1:$NTR$890,COLUMN(HeadJournal!C$1),0),"")</f>
        <v>iHerb_AV CYG0792</v>
      </c>
      <c r="D2948" s="125" t="str">
        <f>IFERROR(VLOOKUP($A2948,HeadJournal!$A$1:$NTR$890,COLUMN(HeadJournal!D$1),0),"")</f>
        <v>Доставлен</v>
      </c>
      <c r="E2948" s="95">
        <f>IFERROR(VLOOKUP($A2948,HeadJournal!$A$1:$NTR$890,COLUMN(HeadJournal!G$1),0),"")</f>
        <v>45331</v>
      </c>
      <c r="F2948" s="95" t="str">
        <f t="shared" ref="F2948:F3011" si="237">IFERROR(TEXT(E2948, "ГГГГ ММ"),"")</f>
        <v>2024 02</v>
      </c>
      <c r="G2948" s="96" t="s">
        <v>5</v>
      </c>
      <c r="H2948" s="161" t="str">
        <f>RIGHT(Journal!$J2948,9)</f>
        <v>SWV-02675</v>
      </c>
      <c r="I2948" s="97" t="str">
        <f t="shared" si="234"/>
        <v>Swanson</v>
      </c>
      <c r="J2948" s="97" t="s">
        <v>1586</v>
      </c>
      <c r="K2948" s="29">
        <v>40.020000000000003</v>
      </c>
      <c r="L2948" s="29">
        <v>-8</v>
      </c>
      <c r="M2948" s="30">
        <f>IFERROR(VLOOKUP($A2948,HeadJournal!$A$1:$J$890,COLUMN(HeadJournal!I$1),0)*($K2948+$L2948)/(SUMIF($A:$A,$A2948,$K:$K)+SUMIF($A:$A,$A2948,$L:$L)),0)</f>
        <v>-1.1031964883471237</v>
      </c>
      <c r="N2948" s="30">
        <f>IFERROR((VLOOKUP($A2948,HeadJournal!$A$1:$K$890,COLUMN(HeadJournal!K$1),0)-VLOOKUP($A2948,HeadJournal!$A$1:$K$890,COLUMN(HeadJournal!J$1),0))*($K2948+$L2948)/(SUMIF($A:$A,$A2948,$K:$K)+SUMIF($A:$A,$A2948,$L:$L)),0)</f>
        <v>1.7243664547998548E-14</v>
      </c>
      <c r="O2948" s="30">
        <f>IFERROR((VLOOKUP($A2948,HeadJournal!$A$1:$L$890,COLUMN(HeadJournal!L$1),0)*($K2948+$L2948)/(SUMIF($A:$A,$A2948,$K:$K)+SUMIF($A:$A,$A2948,$L:$L)))/VLOOKUP($A2948,HeadJournal!$A$1:$L$890,COLUMN(HeadJournal!H$1),0),0)</f>
        <v>2.1790993712386162</v>
      </c>
      <c r="P2948" s="30">
        <f>IFERROR(SUM(K2948:O2948)*VLOOKUP($A2948,HeadJournal!$A$1:$L$890,COLUMN(HeadJournal!H$1),0),0)</f>
        <v>3341.8288909240218</v>
      </c>
      <c r="Q2948" s="29">
        <v>4500</v>
      </c>
      <c r="R2948" s="31">
        <v>45360</v>
      </c>
      <c r="S2948" s="31" t="s">
        <v>3121</v>
      </c>
      <c r="T2948" s="95" t="str">
        <f t="shared" ref="T2948:T3011" si="238">IF(R2948="","",TEXT(R2948,"ГГГГ ММ"))</f>
        <v>2024 03</v>
      </c>
      <c r="U2948" s="32">
        <f t="shared" si="235"/>
        <v>1158.1711090759782</v>
      </c>
      <c r="V2948" s="22">
        <f t="shared" si="236"/>
        <v>0.34656804608441272</v>
      </c>
      <c r="X2948" s="33"/>
      <c r="Y2948" s="33"/>
    </row>
    <row r="2949" spans="1:25" x14ac:dyDescent="0.2">
      <c r="A2949" s="93" t="s">
        <v>1572</v>
      </c>
      <c r="B2949" s="94" t="str">
        <f>IFERROR(VLOOKUP($A2949,HeadJournal!$A$1:$NTR$890,COLUMN(HeadJournal!B$1),0),"")</f>
        <v>720000122982</v>
      </c>
      <c r="C2949" s="94" t="str">
        <f>IFERROR(VLOOKUP($A2949,HeadJournal!$A$1:$NTR$890,COLUMN(HeadJournal!C$1),0),"")</f>
        <v>iHerb_AV CYG0792</v>
      </c>
      <c r="D2949" s="125" t="str">
        <f>IFERROR(VLOOKUP($A2949,HeadJournal!$A$1:$NTR$890,COLUMN(HeadJournal!D$1),0),"")</f>
        <v>Доставлен</v>
      </c>
      <c r="E2949" s="95">
        <f>IFERROR(VLOOKUP($A2949,HeadJournal!$A$1:$NTR$890,COLUMN(HeadJournal!G$1),0),"")</f>
        <v>45331</v>
      </c>
      <c r="F2949" s="95" t="str">
        <f t="shared" si="237"/>
        <v>2024 02</v>
      </c>
      <c r="G2949" s="96" t="s">
        <v>5</v>
      </c>
      <c r="H2949" s="161" t="str">
        <f>RIGHT(Journal!$J2949,9)</f>
        <v>SBL-00111</v>
      </c>
      <c r="I2949" s="97" t="str">
        <f t="shared" si="234"/>
        <v>Sambucol</v>
      </c>
      <c r="J2949" s="97" t="s">
        <v>1587</v>
      </c>
      <c r="K2949" s="29">
        <v>29.59</v>
      </c>
      <c r="L2949" s="29">
        <v>-5.92</v>
      </c>
      <c r="M2949" s="30">
        <f>IFERROR(VLOOKUP($A2949,HeadJournal!$A$1:$J$890,COLUMN(HeadJournal!I$1),0)*($K2949+$L2949)/(SUMIF($A:$A,$A2949,$K:$K)+SUMIF($A:$A,$A2949,$L:$L)),0)</f>
        <v>-0.81551095812543473</v>
      </c>
      <c r="N2949" s="30">
        <f>IFERROR((VLOOKUP($A2949,HeadJournal!$A$1:$K$890,COLUMN(HeadJournal!K$1),0)-VLOOKUP($A2949,HeadJournal!$A$1:$K$890,COLUMN(HeadJournal!J$1),0))*($K2949+$L2949)/(SUMIF($A:$A,$A2949,$K:$K)+SUMIF($A:$A,$A2949,$L:$L)),0)</f>
        <v>1.2746956272677253E-14</v>
      </c>
      <c r="O2949" s="30">
        <f>IFERROR((VLOOKUP($A2949,HeadJournal!$A$1:$L$890,COLUMN(HeadJournal!L$1),0)*($K2949+$L2949)/(SUMIF($A:$A,$A2949,$K:$K)+SUMIF($A:$A,$A2949,$L:$L)))/VLOOKUP($A2949,HeadJournal!$A$1:$L$890,COLUMN(HeadJournal!H$1),0),0)</f>
        <v>1.610845787545848</v>
      </c>
      <c r="P2949" s="30">
        <f>IFERROR(SUM(K2949:O2949)*VLOOKUP($A2949,HeadJournal!$A$1:$L$890,COLUMN(HeadJournal!H$1),0),0)</f>
        <v>2470.3650795806243</v>
      </c>
      <c r="Q2949" s="29">
        <v>3500</v>
      </c>
      <c r="R2949" s="31">
        <v>45681</v>
      </c>
      <c r="S2949" s="31" t="s">
        <v>3121</v>
      </c>
      <c r="T2949" s="95" t="str">
        <f t="shared" si="238"/>
        <v>2025 01</v>
      </c>
      <c r="U2949" s="32">
        <f t="shared" si="235"/>
        <v>1029.6349204193757</v>
      </c>
      <c r="V2949" s="22">
        <f t="shared" si="236"/>
        <v>0.41679463854555832</v>
      </c>
      <c r="X2949" s="33"/>
      <c r="Y2949" s="33"/>
    </row>
    <row r="2950" spans="1:25" x14ac:dyDescent="0.2">
      <c r="A2950" s="93" t="s">
        <v>1574</v>
      </c>
      <c r="B2950" s="94" t="str">
        <f>IFERROR(VLOOKUP($A2950,HeadJournal!$A$1:$NTR$890,COLUMN(HeadJournal!B$1),0),"")</f>
        <v>720000131191</v>
      </c>
      <c r="C2950" s="94" t="str">
        <f>IFERROR(VLOOKUP($A2950,HeadJournal!$A$1:$NTR$890,COLUMN(HeadJournal!C$1),0),"")</f>
        <v>iHerb_VP DFD1605</v>
      </c>
      <c r="D2950" s="125" t="str">
        <f>IFERROR(VLOOKUP($A2950,HeadJournal!$A$1:$NTR$890,COLUMN(HeadJournal!D$1),0),"")</f>
        <v>Доставлен</v>
      </c>
      <c r="E2950" s="95">
        <f>IFERROR(VLOOKUP($A2950,HeadJournal!$A$1:$NTR$890,COLUMN(HeadJournal!G$1),0),"")</f>
        <v>45336</v>
      </c>
      <c r="F2950" s="95" t="str">
        <f t="shared" si="237"/>
        <v>2024 02</v>
      </c>
      <c r="G2950" s="96" t="s">
        <v>5</v>
      </c>
      <c r="H2950" s="161" t="str">
        <f>RIGHT(Journal!$J2950,9)</f>
        <v>CGN-02189</v>
      </c>
      <c r="I2950" s="97" t="str">
        <f t="shared" si="234"/>
        <v>California Gold Nutrition</v>
      </c>
      <c r="J2950" s="97" t="s">
        <v>1588</v>
      </c>
      <c r="K2950" s="29">
        <v>26.88</v>
      </c>
      <c r="L2950" s="29">
        <v>-8.8699999999999992</v>
      </c>
      <c r="M2950" s="30">
        <f>IFERROR(VLOOKUP($A2950,HeadJournal!$A$1:$J$890,COLUMN(HeadJournal!I$1),0)*($K2950+$L2950)/(SUMIF($A:$A,$A2950,$K:$K)+SUMIF($A:$A,$A2950,$L:$L)),0)</f>
        <v>-1.2028788576692768</v>
      </c>
      <c r="N2950" s="30">
        <f>IFERROR((VLOOKUP($A2950,HeadJournal!$A$1:$K$890,COLUMN(HeadJournal!K$1),0)-VLOOKUP($A2950,HeadJournal!$A$1:$K$890,COLUMN(HeadJournal!J$1),0))*($K2950+$L2950)/(SUMIF($A:$A,$A2950,$K:$K)+SUMIF($A:$A,$A2950,$L:$L)),0)</f>
        <v>4.2868806736868328E-15</v>
      </c>
      <c r="O2950" s="30">
        <f>IFERROR((VLOOKUP($A2950,HeadJournal!$A$1:$L$890,COLUMN(HeadJournal!L$1),0)*($K2950+$L2950)/(SUMIF($A:$A,$A2950,$K:$K)+SUMIF($A:$A,$A2950,$L:$L)))/VLOOKUP($A2950,HeadJournal!$A$1:$L$890,COLUMN(HeadJournal!H$1),0),0)</f>
        <v>0.83189476019904884</v>
      </c>
      <c r="P2950" s="30">
        <f>IFERROR(SUM(K2950:O2950)*VLOOKUP($A2950,HeadJournal!$A$1:$L$890,COLUMN(HeadJournal!H$1),0),0)</f>
        <v>1786.7675675222984</v>
      </c>
      <c r="Q2950" s="29">
        <v>2700</v>
      </c>
      <c r="R2950" s="31">
        <v>45427</v>
      </c>
      <c r="S2950" s="31" t="s">
        <v>3121</v>
      </c>
      <c r="T2950" s="95" t="str">
        <f t="shared" si="238"/>
        <v>2024 05</v>
      </c>
      <c r="U2950" s="32">
        <f t="shared" si="235"/>
        <v>913.23243247770165</v>
      </c>
      <c r="V2950" s="22">
        <f t="shared" si="236"/>
        <v>0.51110869095529676</v>
      </c>
      <c r="X2950" s="33"/>
      <c r="Y2950" s="33"/>
    </row>
    <row r="2951" spans="1:25" x14ac:dyDescent="0.2">
      <c r="A2951" s="93" t="s">
        <v>1574</v>
      </c>
      <c r="B2951" s="94" t="str">
        <f>IFERROR(VLOOKUP($A2951,HeadJournal!$A$1:$NTR$890,COLUMN(HeadJournal!B$1),0),"")</f>
        <v>720000131191</v>
      </c>
      <c r="C2951" s="94" t="str">
        <f>IFERROR(VLOOKUP($A2951,HeadJournal!$A$1:$NTR$890,COLUMN(HeadJournal!C$1),0),"")</f>
        <v>iHerb_VP DFD1605</v>
      </c>
      <c r="D2951" s="125" t="str">
        <f>IFERROR(VLOOKUP($A2951,HeadJournal!$A$1:$NTR$890,COLUMN(HeadJournal!D$1),0),"")</f>
        <v>Доставлен</v>
      </c>
      <c r="E2951" s="95">
        <f>IFERROR(VLOOKUP($A2951,HeadJournal!$A$1:$NTR$890,COLUMN(HeadJournal!G$1),0),"")</f>
        <v>45336</v>
      </c>
      <c r="F2951" s="95" t="str">
        <f t="shared" si="237"/>
        <v>2024 02</v>
      </c>
      <c r="G2951" s="96" t="s">
        <v>5</v>
      </c>
      <c r="H2951" s="161" t="s">
        <v>3658</v>
      </c>
      <c r="I2951" s="97" t="s">
        <v>2005</v>
      </c>
      <c r="J2951" s="97" t="s">
        <v>3706</v>
      </c>
      <c r="K2951" s="29">
        <v>26.52</v>
      </c>
      <c r="L2951" s="29">
        <v>-5.3049999999999997</v>
      </c>
      <c r="M2951" s="30">
        <f>IFERROR(VLOOKUP($A2951,HeadJournal!$A$1:$J$890,COLUMN(HeadJournal!I$1),0)*($K2951+$L2951)/(SUMIF($A:$A,$A2951,$K:$K)+SUMIF($A:$A,$A2951,$L:$L)),0)</f>
        <v>-1.4169391985260251</v>
      </c>
      <c r="N2951" s="30">
        <f>IFERROR((VLOOKUP($A2951,HeadJournal!$A$1:$K$890,COLUMN(HeadJournal!K$1),0)-VLOOKUP($A2951,HeadJournal!$A$1:$K$890,COLUMN(HeadJournal!J$1),0))*($K2951+$L2951)/(SUMIF($A:$A,$A2951,$K:$K)+SUMIF($A:$A,$A2951,$L:$L)),0)</f>
        <v>5.049759771919276E-15</v>
      </c>
      <c r="O2951" s="30">
        <f>IFERROR((VLOOKUP($A2951,HeadJournal!$A$1:$L$890,COLUMN(HeadJournal!L$1),0)*($K2951+$L2951)/(SUMIF($A:$A,$A2951,$K:$K)+SUMIF($A:$A,$A2951,$L:$L)))/VLOOKUP($A2951,HeadJournal!$A$1:$L$890,COLUMN(HeadJournal!H$1),0),0)</f>
        <v>0.97993599875751358</v>
      </c>
      <c r="P2951" s="30">
        <f>IFERROR(SUM(K2951:O2951)*VLOOKUP($A2951,HeadJournal!$A$1:$L$890,COLUMN(HeadJournal!H$1),0),0)</f>
        <v>2104.7348109375657</v>
      </c>
      <c r="Q2951" s="29">
        <v>3300</v>
      </c>
      <c r="R2951" s="31">
        <v>45375</v>
      </c>
      <c r="S2951" s="31" t="s">
        <v>3121</v>
      </c>
      <c r="T2951" s="95" t="str">
        <f t="shared" si="238"/>
        <v>2024 03</v>
      </c>
      <c r="U2951" s="32">
        <f t="shared" si="235"/>
        <v>1195.2651890624343</v>
      </c>
      <c r="V2951" s="22">
        <f t="shared" si="236"/>
        <v>0.56789348608245649</v>
      </c>
      <c r="X2951" s="33"/>
      <c r="Y2951" s="33"/>
    </row>
    <row r="2952" spans="1:25" x14ac:dyDescent="0.2">
      <c r="A2952" s="93" t="s">
        <v>1574</v>
      </c>
      <c r="B2952" s="94" t="str">
        <f>IFERROR(VLOOKUP($A2952,HeadJournal!$A$1:$NTR$890,COLUMN(HeadJournal!B$1),0),"")</f>
        <v>720000131191</v>
      </c>
      <c r="C2952" s="94" t="str">
        <f>IFERROR(VLOOKUP($A2952,HeadJournal!$A$1:$NTR$890,COLUMN(HeadJournal!C$1),0),"")</f>
        <v>iHerb_VP DFD1605</v>
      </c>
      <c r="D2952" s="125" t="str">
        <f>IFERROR(VLOOKUP($A2952,HeadJournal!$A$1:$NTR$890,COLUMN(HeadJournal!D$1),0),"")</f>
        <v>Доставлен</v>
      </c>
      <c r="E2952" s="95">
        <f>IFERROR(VLOOKUP($A2952,HeadJournal!$A$1:$NTR$890,COLUMN(HeadJournal!G$1),0),"")</f>
        <v>45336</v>
      </c>
      <c r="F2952" s="95" t="str">
        <f t="shared" si="237"/>
        <v>2024 02</v>
      </c>
      <c r="G2952" s="96" t="s">
        <v>5</v>
      </c>
      <c r="H2952" s="161" t="s">
        <v>3658</v>
      </c>
      <c r="I2952" s="97" t="s">
        <v>2005</v>
      </c>
      <c r="J2952" s="97" t="s">
        <v>3706</v>
      </c>
      <c r="K2952" s="29">
        <v>26.52</v>
      </c>
      <c r="L2952" s="29">
        <v>-5.3049999999999997</v>
      </c>
      <c r="M2952" s="30">
        <f>IFERROR(VLOOKUP($A2952,HeadJournal!$A$1:$J$890,COLUMN(HeadJournal!I$1),0)*($K2952+$L2952)/(SUMIF($A:$A,$A2952,$K:$K)+SUMIF($A:$A,$A2952,$L:$L)),0)</f>
        <v>-1.4169391985260251</v>
      </c>
      <c r="N2952" s="30">
        <f>IFERROR((VLOOKUP($A2952,HeadJournal!$A$1:$K$890,COLUMN(HeadJournal!K$1),0)-VLOOKUP($A2952,HeadJournal!$A$1:$K$890,COLUMN(HeadJournal!J$1),0))*($K2952+$L2952)/(SUMIF($A:$A,$A2952,$K:$K)+SUMIF($A:$A,$A2952,$L:$L)),0)</f>
        <v>5.049759771919276E-15</v>
      </c>
      <c r="O2952" s="30">
        <f>IFERROR((VLOOKUP($A2952,HeadJournal!$A$1:$L$890,COLUMN(HeadJournal!L$1),0)*($K2952+$L2952)/(SUMIF($A:$A,$A2952,$K:$K)+SUMIF($A:$A,$A2952,$L:$L)))/VLOOKUP($A2952,HeadJournal!$A$1:$L$890,COLUMN(HeadJournal!H$1),0),0)</f>
        <v>0.97993599875751358</v>
      </c>
      <c r="P2952" s="30">
        <f>IFERROR(SUM(K2952:O2952)*VLOOKUP($A2952,HeadJournal!$A$1:$L$890,COLUMN(HeadJournal!H$1),0),0)</f>
        <v>2104.7348109375657</v>
      </c>
      <c r="Q2952" s="29">
        <v>3300</v>
      </c>
      <c r="R2952" s="31">
        <v>45378</v>
      </c>
      <c r="S2952" s="31" t="s">
        <v>3121</v>
      </c>
      <c r="T2952" s="95" t="str">
        <f t="shared" si="238"/>
        <v>2024 03</v>
      </c>
      <c r="U2952" s="32">
        <f t="shared" si="235"/>
        <v>1195.2651890624343</v>
      </c>
      <c r="V2952" s="22">
        <f t="shared" si="236"/>
        <v>0.56789348608245649</v>
      </c>
      <c r="X2952" s="33"/>
      <c r="Y2952" s="33"/>
    </row>
    <row r="2953" spans="1:25" x14ac:dyDescent="0.2">
      <c r="A2953" s="93" t="s">
        <v>1574</v>
      </c>
      <c r="B2953" s="94" t="str">
        <f>IFERROR(VLOOKUP($A2953,HeadJournal!$A$1:$NTR$890,COLUMN(HeadJournal!B$1),0),"")</f>
        <v>720000131191</v>
      </c>
      <c r="C2953" s="94" t="str">
        <f>IFERROR(VLOOKUP($A2953,HeadJournal!$A$1:$NTR$890,COLUMN(HeadJournal!C$1),0),"")</f>
        <v>iHerb_VP DFD1605</v>
      </c>
      <c r="D2953" s="125" t="str">
        <f>IFERROR(VLOOKUP($A2953,HeadJournal!$A$1:$NTR$890,COLUMN(HeadJournal!D$1),0),"")</f>
        <v>Доставлен</v>
      </c>
      <c r="E2953" s="95">
        <f>IFERROR(VLOOKUP($A2953,HeadJournal!$A$1:$NTR$890,COLUMN(HeadJournal!G$1),0),"")</f>
        <v>45336</v>
      </c>
      <c r="F2953" s="95" t="str">
        <f t="shared" si="237"/>
        <v>2024 02</v>
      </c>
      <c r="G2953" s="96" t="s">
        <v>5</v>
      </c>
      <c r="H2953" s="161" t="s">
        <v>2103</v>
      </c>
      <c r="I2953" s="97" t="s">
        <v>2039</v>
      </c>
      <c r="J2953" s="97" t="s">
        <v>2104</v>
      </c>
      <c r="K2953" s="29">
        <v>17.100000000000001</v>
      </c>
      <c r="L2953" s="29">
        <v>-2.39</v>
      </c>
      <c r="M2953" s="30">
        <f>IFERROR(VLOOKUP($A2953,HeadJournal!$A$1:$J$890,COLUMN(HeadJournal!I$1),0)*($K2953+$L2953)/(SUMIF($A:$A,$A2953,$K:$K)+SUMIF($A:$A,$A2953,$L:$L)),0)</f>
        <v>-0.98247351450944298</v>
      </c>
      <c r="N2953" s="30">
        <f>IFERROR((VLOOKUP($A2953,HeadJournal!$A$1:$K$890,COLUMN(HeadJournal!K$1),0)-VLOOKUP($A2953,HeadJournal!$A$1:$K$890,COLUMN(HeadJournal!J$1),0))*($K2953+$L2953)/(SUMIF($A:$A,$A2953,$K:$K)+SUMIF($A:$A,$A2953,$L:$L)),0)</f>
        <v>3.5013889344771415E-15</v>
      </c>
      <c r="O2953" s="30">
        <f>IFERROR((VLOOKUP($A2953,HeadJournal!$A$1:$L$890,COLUMN(HeadJournal!L$1),0)*($K2953+$L2953)/(SUMIF($A:$A,$A2953,$K:$K)+SUMIF($A:$A,$A2953,$L:$L)))/VLOOKUP($A2953,HeadJournal!$A$1:$L$890,COLUMN(HeadJournal!H$1),0),0)</f>
        <v>0.67946540380499776</v>
      </c>
      <c r="P2953" s="30">
        <f>IFERROR(SUM(K2953:O2953)*VLOOKUP($A2953,HeadJournal!$A$1:$L$890,COLUMN(HeadJournal!H$1),0),0)</f>
        <v>1459.3753980151589</v>
      </c>
      <c r="Q2953" s="29">
        <v>2200</v>
      </c>
      <c r="R2953" s="31">
        <v>45375</v>
      </c>
      <c r="S2953" s="31" t="s">
        <v>3121</v>
      </c>
      <c r="T2953" s="95" t="str">
        <f t="shared" si="238"/>
        <v>2024 03</v>
      </c>
      <c r="U2953" s="32">
        <f t="shared" si="235"/>
        <v>740.62460198484109</v>
      </c>
      <c r="V2953" s="22">
        <f t="shared" si="236"/>
        <v>0.50749423554223028</v>
      </c>
      <c r="X2953" s="33"/>
      <c r="Y2953" s="33"/>
    </row>
    <row r="2954" spans="1:25" x14ac:dyDescent="0.2">
      <c r="A2954" s="93" t="s">
        <v>1574</v>
      </c>
      <c r="B2954" s="94" t="str">
        <f>IFERROR(VLOOKUP($A2954,HeadJournal!$A$1:$NTR$890,COLUMN(HeadJournal!B$1),0),"")</f>
        <v>720000131191</v>
      </c>
      <c r="C2954" s="94" t="str">
        <f>IFERROR(VLOOKUP($A2954,HeadJournal!$A$1:$NTR$890,COLUMN(HeadJournal!C$1),0),"")</f>
        <v>iHerb_VP DFD1605</v>
      </c>
      <c r="D2954" s="125" t="str">
        <f>IFERROR(VLOOKUP($A2954,HeadJournal!$A$1:$NTR$890,COLUMN(HeadJournal!D$1),0),"")</f>
        <v>Доставлен</v>
      </c>
      <c r="E2954" s="95">
        <f>IFERROR(VLOOKUP($A2954,HeadJournal!$A$1:$NTR$890,COLUMN(HeadJournal!G$1),0),"")</f>
        <v>45336</v>
      </c>
      <c r="F2954" s="95" t="str">
        <f t="shared" si="237"/>
        <v>2024 02</v>
      </c>
      <c r="G2954" s="96" t="s">
        <v>5</v>
      </c>
      <c r="H2954" s="161" t="s">
        <v>2105</v>
      </c>
      <c r="I2954" s="97" t="s">
        <v>2039</v>
      </c>
      <c r="J2954" s="97" t="s">
        <v>2106</v>
      </c>
      <c r="K2954" s="29">
        <v>11.05</v>
      </c>
      <c r="L2954" s="29">
        <v>-1.55</v>
      </c>
      <c r="M2954" s="30">
        <f>IFERROR(VLOOKUP($A2954,HeadJournal!$A$1:$J$890,COLUMN(HeadJournal!I$1),0)*($K2954+$L2954)/(SUMIF($A:$A,$A2954,$K:$K)+SUMIF($A:$A,$A2954,$L:$L)),0)</f>
        <v>-0.63450023030861369</v>
      </c>
      <c r="N2954" s="30">
        <f>IFERROR((VLOOKUP($A2954,HeadJournal!$A$1:$K$890,COLUMN(HeadJournal!K$1),0)-VLOOKUP($A2954,HeadJournal!$A$1:$K$890,COLUMN(HeadJournal!J$1),0))*($K2954+$L2954)/(SUMIF($A:$A,$A2954,$K:$K)+SUMIF($A:$A,$A2954,$L:$L)),0)</f>
        <v>2.2612640977248704E-15</v>
      </c>
      <c r="O2954" s="30">
        <f>IFERROR((VLOOKUP($A2954,HeadJournal!$A$1:$L$890,COLUMN(HeadJournal!L$1),0)*($K2954+$L2954)/(SUMIF($A:$A,$A2954,$K:$K)+SUMIF($A:$A,$A2954,$L:$L)))/VLOOKUP($A2954,HeadJournal!$A$1:$L$890,COLUMN(HeadJournal!H$1),0),0)</f>
        <v>0.4388117835586321</v>
      </c>
      <c r="P2954" s="30">
        <f>IFERROR(SUM(K2954:O2954)*VLOOKUP($A2954,HeadJournal!$A$1:$L$890,COLUMN(HeadJournal!H$1),0),0)</f>
        <v>942.49260918722018</v>
      </c>
      <c r="Q2954" s="29">
        <v>1600</v>
      </c>
      <c r="R2954" s="31">
        <v>45375</v>
      </c>
      <c r="S2954" s="31" t="s">
        <v>3121</v>
      </c>
      <c r="T2954" s="95" t="str">
        <f t="shared" si="238"/>
        <v>2024 03</v>
      </c>
      <c r="U2954" s="32">
        <f t="shared" si="235"/>
        <v>657.50739081277982</v>
      </c>
      <c r="V2954" s="22">
        <f t="shared" si="236"/>
        <v>0.6976260443886092</v>
      </c>
      <c r="X2954" s="33"/>
      <c r="Y2954" s="33"/>
    </row>
    <row r="2955" spans="1:25" x14ac:dyDescent="0.2">
      <c r="A2955" s="93" t="s">
        <v>1574</v>
      </c>
      <c r="B2955" s="94" t="str">
        <f>IFERROR(VLOOKUP($A2955,HeadJournal!$A$1:$NTR$890,COLUMN(HeadJournal!B$1),0),"")</f>
        <v>720000131191</v>
      </c>
      <c r="C2955" s="94" t="str">
        <f>IFERROR(VLOOKUP($A2955,HeadJournal!$A$1:$NTR$890,COLUMN(HeadJournal!C$1),0),"")</f>
        <v>iHerb_VP DFD1605</v>
      </c>
      <c r="D2955" s="125" t="str">
        <f>IFERROR(VLOOKUP($A2955,HeadJournal!$A$1:$NTR$890,COLUMN(HeadJournal!D$1),0),"")</f>
        <v>Доставлен</v>
      </c>
      <c r="E2955" s="95">
        <f>IFERROR(VLOOKUP($A2955,HeadJournal!$A$1:$NTR$890,COLUMN(HeadJournal!G$1),0),"")</f>
        <v>45336</v>
      </c>
      <c r="F2955" s="95" t="str">
        <f t="shared" si="237"/>
        <v>2024 02</v>
      </c>
      <c r="G2955" s="96" t="s">
        <v>5</v>
      </c>
      <c r="H2955" s="161" t="str">
        <f>RIGHT(Journal!$J2955,9)</f>
        <v>CGN-02188</v>
      </c>
      <c r="I2955" s="97" t="str">
        <f t="shared" si="234"/>
        <v>California Gold Nutrition</v>
      </c>
      <c r="J2955" s="97" t="s">
        <v>1589</v>
      </c>
      <c r="K2955" s="29">
        <v>26.88</v>
      </c>
      <c r="L2955" s="29">
        <v>-8.8699999999999992</v>
      </c>
      <c r="M2955" s="30">
        <f>IFERROR(VLOOKUP($A2955,HeadJournal!$A$1:$J$890,COLUMN(HeadJournal!I$1),0)*($K2955+$L2955)/(SUMIF($A:$A,$A2955,$K:$K)+SUMIF($A:$A,$A2955,$L:$L)),0)</f>
        <v>-1.2028788576692768</v>
      </c>
      <c r="N2955" s="30">
        <f>IFERROR((VLOOKUP($A2955,HeadJournal!$A$1:$K$890,COLUMN(HeadJournal!K$1),0)-VLOOKUP($A2955,HeadJournal!$A$1:$K$890,COLUMN(HeadJournal!J$1),0))*($K2955+$L2955)/(SUMIF($A:$A,$A2955,$K:$K)+SUMIF($A:$A,$A2955,$L:$L)),0)</f>
        <v>4.2868806736868328E-15</v>
      </c>
      <c r="O2955" s="30">
        <f>IFERROR((VLOOKUP($A2955,HeadJournal!$A$1:$L$890,COLUMN(HeadJournal!L$1),0)*($K2955+$L2955)/(SUMIF($A:$A,$A2955,$K:$K)+SUMIF($A:$A,$A2955,$L:$L)))/VLOOKUP($A2955,HeadJournal!$A$1:$L$890,COLUMN(HeadJournal!H$1),0),0)</f>
        <v>0.83189476019904884</v>
      </c>
      <c r="P2955" s="30">
        <f>IFERROR(SUM(K2955:O2955)*VLOOKUP($A2955,HeadJournal!$A$1:$L$890,COLUMN(HeadJournal!H$1),0),0)</f>
        <v>1786.7675675222984</v>
      </c>
      <c r="Q2955" s="29"/>
      <c r="R2955" s="31"/>
      <c r="S2955" s="31"/>
      <c r="T2955" s="95" t="str">
        <f t="shared" si="238"/>
        <v/>
      </c>
      <c r="U2955" s="32">
        <f t="shared" si="235"/>
        <v>-1786.7675675222984</v>
      </c>
      <c r="V2955" s="22" t="str">
        <f t="shared" si="236"/>
        <v/>
      </c>
      <c r="X2955" s="33"/>
      <c r="Y2955" s="33"/>
    </row>
    <row r="2956" spans="1:25" x14ac:dyDescent="0.2">
      <c r="A2956" s="93" t="s">
        <v>1574</v>
      </c>
      <c r="B2956" s="94" t="str">
        <f>IFERROR(VLOOKUP($A2956,HeadJournal!$A$1:$NTR$890,COLUMN(HeadJournal!B$1),0),"")</f>
        <v>720000131191</v>
      </c>
      <c r="C2956" s="94" t="str">
        <f>IFERROR(VLOOKUP($A2956,HeadJournal!$A$1:$NTR$890,COLUMN(HeadJournal!C$1),0),"")</f>
        <v>iHerb_VP DFD1605</v>
      </c>
      <c r="D2956" s="125" t="str">
        <f>IFERROR(VLOOKUP($A2956,HeadJournal!$A$1:$NTR$890,COLUMN(HeadJournal!D$1),0),"")</f>
        <v>Доставлен</v>
      </c>
      <c r="E2956" s="95">
        <f>IFERROR(VLOOKUP($A2956,HeadJournal!$A$1:$NTR$890,COLUMN(HeadJournal!G$1),0),"")</f>
        <v>45336</v>
      </c>
      <c r="F2956" s="95" t="str">
        <f t="shared" si="237"/>
        <v>2024 02</v>
      </c>
      <c r="G2956" s="96" t="s">
        <v>5</v>
      </c>
      <c r="H2956" s="161" t="str">
        <f>RIGHT(Journal!$J2956,9)</f>
        <v>NOW-08091</v>
      </c>
      <c r="I2956" s="97" t="str">
        <f t="shared" si="234"/>
        <v>NOW Foods</v>
      </c>
      <c r="J2956" s="97" t="s">
        <v>1110</v>
      </c>
      <c r="K2956" s="29">
        <v>6.41</v>
      </c>
      <c r="L2956" s="29">
        <v>-0.89500000000000002</v>
      </c>
      <c r="M2956" s="30">
        <f>IFERROR(VLOOKUP($A2956,HeadJournal!$A$1:$J$890,COLUMN(HeadJournal!I$1),0)*($K2956+$L2956)/(SUMIF($A:$A,$A2956,$K:$K)+SUMIF($A:$A,$A2956,$L:$L)),0)</f>
        <v>-0.36834408106863209</v>
      </c>
      <c r="N2956" s="30">
        <f>IFERROR((VLOOKUP($A2956,HeadJournal!$A$1:$K$890,COLUMN(HeadJournal!K$1),0)-VLOOKUP($A2956,HeadJournal!$A$1:$K$890,COLUMN(HeadJournal!J$1),0))*($K2956+$L2956)/(SUMIF($A:$A,$A2956,$K:$K)+SUMIF($A:$A,$A2956,$L:$L)),0)</f>
        <v>1.3127233156792275E-15</v>
      </c>
      <c r="O2956" s="30">
        <f>IFERROR((VLOOKUP($A2956,HeadJournal!$A$1:$L$890,COLUMN(HeadJournal!L$1),0)*($K2956+$L2956)/(SUMIF($A:$A,$A2956,$K:$K)+SUMIF($A:$A,$A2956,$L:$L)))/VLOOKUP($A2956,HeadJournal!$A$1:$L$890,COLUMN(HeadJournal!H$1),0),0)</f>
        <v>0.25474178803430064</v>
      </c>
      <c r="P2956" s="30">
        <f>IFERROR(SUM(K2956:O2956)*VLOOKUP($A2956,HeadJournal!$A$1:$L$890,COLUMN(HeadJournal!H$1),0),0)</f>
        <v>547.14176207026526</v>
      </c>
      <c r="Q2956" s="29">
        <v>1100</v>
      </c>
      <c r="R2956" s="31">
        <v>45381</v>
      </c>
      <c r="S2956" s="31" t="s">
        <v>3121</v>
      </c>
      <c r="T2956" s="95" t="str">
        <f t="shared" si="238"/>
        <v>2024 03</v>
      </c>
      <c r="U2956" s="32">
        <f t="shared" si="235"/>
        <v>552.85823792973474</v>
      </c>
      <c r="V2956" s="22">
        <f t="shared" si="236"/>
        <v>1.0104478880168817</v>
      </c>
      <c r="X2956" s="33"/>
      <c r="Y2956" s="33"/>
    </row>
    <row r="2957" spans="1:25" x14ac:dyDescent="0.2">
      <c r="A2957" s="93" t="s">
        <v>1574</v>
      </c>
      <c r="B2957" s="94" t="str">
        <f>IFERROR(VLOOKUP($A2957,HeadJournal!$A$1:$NTR$890,COLUMN(HeadJournal!B$1),0),"")</f>
        <v>720000131191</v>
      </c>
      <c r="C2957" s="94" t="str">
        <f>IFERROR(VLOOKUP($A2957,HeadJournal!$A$1:$NTR$890,COLUMN(HeadJournal!C$1),0),"")</f>
        <v>iHerb_VP DFD1605</v>
      </c>
      <c r="D2957" s="125" t="str">
        <f>IFERROR(VLOOKUP($A2957,HeadJournal!$A$1:$NTR$890,COLUMN(HeadJournal!D$1),0),"")</f>
        <v>Доставлен</v>
      </c>
      <c r="E2957" s="95">
        <f>IFERROR(VLOOKUP($A2957,HeadJournal!$A$1:$NTR$890,COLUMN(HeadJournal!G$1),0),"")</f>
        <v>45336</v>
      </c>
      <c r="F2957" s="95" t="str">
        <f t="shared" si="237"/>
        <v>2024 02</v>
      </c>
      <c r="G2957" s="96" t="s">
        <v>5</v>
      </c>
      <c r="H2957" s="161" t="str">
        <f>RIGHT(Journal!$J2957,9)</f>
        <v>NOW-08091</v>
      </c>
      <c r="I2957" s="97" t="str">
        <f t="shared" si="234"/>
        <v>NOW Foods</v>
      </c>
      <c r="J2957" s="97" t="s">
        <v>1110</v>
      </c>
      <c r="K2957" s="29">
        <v>6.41</v>
      </c>
      <c r="L2957" s="29">
        <v>-0.89500000000000002</v>
      </c>
      <c r="M2957" s="30">
        <f>IFERROR(VLOOKUP($A2957,HeadJournal!$A$1:$J$890,COLUMN(HeadJournal!I$1),0)*($K2957+$L2957)/(SUMIF($A:$A,$A2957,$K:$K)+SUMIF($A:$A,$A2957,$L:$L)),0)</f>
        <v>-0.36834408106863209</v>
      </c>
      <c r="N2957" s="30">
        <f>IFERROR((VLOOKUP($A2957,HeadJournal!$A$1:$K$890,COLUMN(HeadJournal!K$1),0)-VLOOKUP($A2957,HeadJournal!$A$1:$K$890,COLUMN(HeadJournal!J$1),0))*($K2957+$L2957)/(SUMIF($A:$A,$A2957,$K:$K)+SUMIF($A:$A,$A2957,$L:$L)),0)</f>
        <v>1.3127233156792275E-15</v>
      </c>
      <c r="O2957" s="30">
        <f>IFERROR((VLOOKUP($A2957,HeadJournal!$A$1:$L$890,COLUMN(HeadJournal!L$1),0)*($K2957+$L2957)/(SUMIF($A:$A,$A2957,$K:$K)+SUMIF($A:$A,$A2957,$L:$L)))/VLOOKUP($A2957,HeadJournal!$A$1:$L$890,COLUMN(HeadJournal!H$1),0),0)</f>
        <v>0.25474178803430064</v>
      </c>
      <c r="P2957" s="30">
        <f>IFERROR(SUM(K2957:O2957)*VLOOKUP($A2957,HeadJournal!$A$1:$L$890,COLUMN(HeadJournal!H$1),0),0)</f>
        <v>547.14176207026526</v>
      </c>
      <c r="Q2957" s="29">
        <v>1100</v>
      </c>
      <c r="R2957" s="31">
        <v>45414</v>
      </c>
      <c r="S2957" s="31" t="s">
        <v>3121</v>
      </c>
      <c r="T2957" s="95" t="str">
        <f t="shared" si="238"/>
        <v>2024 05</v>
      </c>
      <c r="U2957" s="32">
        <f t="shared" si="235"/>
        <v>552.85823792973474</v>
      </c>
      <c r="V2957" s="22">
        <f t="shared" si="236"/>
        <v>1.0104478880168817</v>
      </c>
      <c r="X2957" s="33"/>
      <c r="Y2957" s="33"/>
    </row>
    <row r="2958" spans="1:25" x14ac:dyDescent="0.2">
      <c r="A2958" s="93" t="s">
        <v>1574</v>
      </c>
      <c r="B2958" s="94" t="str">
        <f>IFERROR(VLOOKUP($A2958,HeadJournal!$A$1:$NTR$890,COLUMN(HeadJournal!B$1),0),"")</f>
        <v>720000131191</v>
      </c>
      <c r="C2958" s="94" t="str">
        <f>IFERROR(VLOOKUP($A2958,HeadJournal!$A$1:$NTR$890,COLUMN(HeadJournal!C$1),0),"")</f>
        <v>iHerb_VP DFD1605</v>
      </c>
      <c r="D2958" s="125" t="str">
        <f>IFERROR(VLOOKUP($A2958,HeadJournal!$A$1:$NTR$890,COLUMN(HeadJournal!D$1),0),"")</f>
        <v>Доставлен</v>
      </c>
      <c r="E2958" s="95">
        <f>IFERROR(VLOOKUP($A2958,HeadJournal!$A$1:$NTR$890,COLUMN(HeadJournal!G$1),0),"")</f>
        <v>45336</v>
      </c>
      <c r="F2958" s="95" t="str">
        <f t="shared" si="237"/>
        <v>2024 02</v>
      </c>
      <c r="G2958" s="96" t="s">
        <v>5</v>
      </c>
      <c r="H2958" s="161" t="s">
        <v>3646</v>
      </c>
      <c r="I2958" s="97" t="s">
        <v>3688</v>
      </c>
      <c r="J2958" s="97" t="s">
        <v>3695</v>
      </c>
      <c r="K2958" s="29">
        <v>9.2899999999999991</v>
      </c>
      <c r="L2958" s="29">
        <v>-1.86</v>
      </c>
      <c r="M2958" s="30">
        <f>IFERROR(VLOOKUP($A2958,HeadJournal!$A$1:$J$890,COLUMN(HeadJournal!I$1),0)*($K2958+$L2958)/(SUMIF($A:$A,$A2958,$K:$K)+SUMIF($A:$A,$A2958,$L:$L)),0)</f>
        <v>-0.49624596959926298</v>
      </c>
      <c r="N2958" s="30">
        <f>IFERROR((VLOOKUP($A2958,HeadJournal!$A$1:$K$890,COLUMN(HeadJournal!K$1),0)-VLOOKUP($A2958,HeadJournal!$A$1:$K$890,COLUMN(HeadJournal!J$1),0))*($K2958+$L2958)/(SUMIF($A:$A,$A2958,$K:$K)+SUMIF($A:$A,$A2958,$L:$L)),0)</f>
        <v>1.7685465522206087E-15</v>
      </c>
      <c r="O2958" s="30">
        <f>IFERROR((VLOOKUP($A2958,HeadJournal!$A$1:$L$890,COLUMN(HeadJournal!L$1),0)*($K2958+$L2958)/(SUMIF($A:$A,$A2958,$K:$K)+SUMIF($A:$A,$A2958,$L:$L)))/VLOOKUP($A2958,HeadJournal!$A$1:$L$890,COLUMN(HeadJournal!H$1),0),0)</f>
        <v>0.34319700545690901</v>
      </c>
      <c r="P2958" s="30">
        <f>IFERROR(SUM(K2958:O2958)*VLOOKUP($A2958,HeadJournal!$A$1:$L$890,COLUMN(HeadJournal!H$1),0),0)</f>
        <v>737.12843013274153</v>
      </c>
      <c r="Q2958" s="29">
        <v>2000</v>
      </c>
      <c r="R2958" s="31">
        <v>45388</v>
      </c>
      <c r="S2958" s="31" t="s">
        <v>3121</v>
      </c>
      <c r="T2958" s="95" t="str">
        <f t="shared" si="238"/>
        <v>2024 04</v>
      </c>
      <c r="U2958" s="32">
        <f t="shared" si="235"/>
        <v>1262.8715698672586</v>
      </c>
      <c r="V2958" s="22">
        <f t="shared" si="236"/>
        <v>1.7132313966507053</v>
      </c>
      <c r="X2958" s="33"/>
      <c r="Y2958" s="33"/>
    </row>
    <row r="2959" spans="1:25" x14ac:dyDescent="0.2">
      <c r="A2959" s="93" t="s">
        <v>1574</v>
      </c>
      <c r="B2959" s="94" t="str">
        <f>IFERROR(VLOOKUP($A2959,HeadJournal!$A$1:$NTR$890,COLUMN(HeadJournal!B$1),0),"")</f>
        <v>720000131191</v>
      </c>
      <c r="C2959" s="94" t="str">
        <f>IFERROR(VLOOKUP($A2959,HeadJournal!$A$1:$NTR$890,COLUMN(HeadJournal!C$1),0),"")</f>
        <v>iHerb_VP DFD1605</v>
      </c>
      <c r="D2959" s="125" t="str">
        <f>IFERROR(VLOOKUP($A2959,HeadJournal!$A$1:$NTR$890,COLUMN(HeadJournal!D$1),0),"")</f>
        <v>Доставлен</v>
      </c>
      <c r="E2959" s="95">
        <f>IFERROR(VLOOKUP($A2959,HeadJournal!$A$1:$NTR$890,COLUMN(HeadJournal!G$1),0),"")</f>
        <v>45336</v>
      </c>
      <c r="F2959" s="95" t="str">
        <f t="shared" si="237"/>
        <v>2024 02</v>
      </c>
      <c r="G2959" s="96" t="s">
        <v>5</v>
      </c>
      <c r="H2959" s="161" t="s">
        <v>3646</v>
      </c>
      <c r="I2959" s="97" t="s">
        <v>3688</v>
      </c>
      <c r="J2959" s="97" t="s">
        <v>3695</v>
      </c>
      <c r="K2959" s="29">
        <v>9.2899999999999991</v>
      </c>
      <c r="L2959" s="29">
        <v>-1.86</v>
      </c>
      <c r="M2959" s="30">
        <f>IFERROR(VLOOKUP($A2959,HeadJournal!$A$1:$J$890,COLUMN(HeadJournal!I$1),0)*($K2959+$L2959)/(SUMIF($A:$A,$A2959,$K:$K)+SUMIF($A:$A,$A2959,$L:$L)),0)</f>
        <v>-0.49624596959926298</v>
      </c>
      <c r="N2959" s="30">
        <f>IFERROR((VLOOKUP($A2959,HeadJournal!$A$1:$K$890,COLUMN(HeadJournal!K$1),0)-VLOOKUP($A2959,HeadJournal!$A$1:$K$890,COLUMN(HeadJournal!J$1),0))*($K2959+$L2959)/(SUMIF($A:$A,$A2959,$K:$K)+SUMIF($A:$A,$A2959,$L:$L)),0)</f>
        <v>1.7685465522206087E-15</v>
      </c>
      <c r="O2959" s="30">
        <f>IFERROR((VLOOKUP($A2959,HeadJournal!$A$1:$L$890,COLUMN(HeadJournal!L$1),0)*($K2959+$L2959)/(SUMIF($A:$A,$A2959,$K:$K)+SUMIF($A:$A,$A2959,$L:$L)))/VLOOKUP($A2959,HeadJournal!$A$1:$L$890,COLUMN(HeadJournal!H$1),0),0)</f>
        <v>0.34319700545690901</v>
      </c>
      <c r="P2959" s="30">
        <f>IFERROR(SUM(K2959:O2959)*VLOOKUP($A2959,HeadJournal!$A$1:$L$890,COLUMN(HeadJournal!H$1),0),0)</f>
        <v>737.12843013274153</v>
      </c>
      <c r="Q2959" s="29">
        <v>2000</v>
      </c>
      <c r="R2959" s="31">
        <v>45395</v>
      </c>
      <c r="S2959" s="31" t="s">
        <v>3121</v>
      </c>
      <c r="T2959" s="95" t="str">
        <f t="shared" si="238"/>
        <v>2024 04</v>
      </c>
      <c r="U2959" s="32">
        <f t="shared" si="235"/>
        <v>1262.8715698672586</v>
      </c>
      <c r="V2959" s="22">
        <f t="shared" si="236"/>
        <v>1.7132313966507053</v>
      </c>
      <c r="X2959" s="33"/>
      <c r="Y2959" s="33"/>
    </row>
    <row r="2960" spans="1:25" x14ac:dyDescent="0.2">
      <c r="A2960" s="93" t="s">
        <v>1574</v>
      </c>
      <c r="B2960" s="94" t="str">
        <f>IFERROR(VLOOKUP($A2960,HeadJournal!$A$1:$NTR$890,COLUMN(HeadJournal!B$1),0),"")</f>
        <v>720000131191</v>
      </c>
      <c r="C2960" s="94" t="str">
        <f>IFERROR(VLOOKUP($A2960,HeadJournal!$A$1:$NTR$890,COLUMN(HeadJournal!C$1),0),"")</f>
        <v>iHerb_VP DFD1605</v>
      </c>
      <c r="D2960" s="125" t="str">
        <f>IFERROR(VLOOKUP($A2960,HeadJournal!$A$1:$NTR$890,COLUMN(HeadJournal!D$1),0),"")</f>
        <v>Доставлен</v>
      </c>
      <c r="E2960" s="95">
        <f>IFERROR(VLOOKUP($A2960,HeadJournal!$A$1:$NTR$890,COLUMN(HeadJournal!G$1),0),"")</f>
        <v>45336</v>
      </c>
      <c r="F2960" s="95" t="str">
        <f t="shared" si="237"/>
        <v>2024 02</v>
      </c>
      <c r="G2960" s="96" t="s">
        <v>5</v>
      </c>
      <c r="H2960" s="161" t="s">
        <v>3634</v>
      </c>
      <c r="I2960" s="97" t="s">
        <v>2581</v>
      </c>
      <c r="J2960" s="97" t="s">
        <v>3676</v>
      </c>
      <c r="K2960" s="29">
        <v>12.53</v>
      </c>
      <c r="L2960" s="29">
        <v>-2.5099999999999998</v>
      </c>
      <c r="M2960" s="30">
        <f>IFERROR(VLOOKUP($A2960,HeadJournal!$A$1:$J$890,COLUMN(HeadJournal!I$1),0)*($K2960+$L2960)/(SUMIF($A:$A,$A2960,$K:$K)+SUMIF($A:$A,$A2960,$L:$L)),0)</f>
        <v>-0.6692307692307693</v>
      </c>
      <c r="N2960" s="30">
        <f>IFERROR((VLOOKUP($A2960,HeadJournal!$A$1:$K$890,COLUMN(HeadJournal!K$1),0)-VLOOKUP($A2960,HeadJournal!$A$1:$K$890,COLUMN(HeadJournal!J$1),0))*($K2960+$L2960)/(SUMIF($A:$A,$A2960,$K:$K)+SUMIF($A:$A,$A2960,$L:$L)),0)</f>
        <v>2.3850385536003368E-15</v>
      </c>
      <c r="O2960" s="30">
        <f>IFERROR((VLOOKUP($A2960,HeadJournal!$A$1:$L$890,COLUMN(HeadJournal!L$1),0)*($K2960+$L2960)/(SUMIF($A:$A,$A2960,$K:$K)+SUMIF($A:$A,$A2960,$L:$L)))/VLOOKUP($A2960,HeadJournal!$A$1:$L$890,COLUMN(HeadJournal!H$1),0),0)</f>
        <v>0.46283095486920983</v>
      </c>
      <c r="P2960" s="30">
        <f>IFERROR(SUM(K2960:O2960)*VLOOKUP($A2960,HeadJournal!$A$1:$L$890,COLUMN(HeadJournal!H$1),0),0)</f>
        <v>994.08167832167862</v>
      </c>
      <c r="Q2960" s="29">
        <v>1600</v>
      </c>
      <c r="R2960" s="31">
        <v>45841</v>
      </c>
      <c r="S2960" s="31" t="s">
        <v>3231</v>
      </c>
      <c r="T2960" s="95" t="str">
        <f t="shared" si="238"/>
        <v>2025 07</v>
      </c>
      <c r="U2960" s="32">
        <f t="shared" si="235"/>
        <v>605.91832167832138</v>
      </c>
      <c r="V2960" s="22">
        <f t="shared" si="236"/>
        <v>0.60952569078760344</v>
      </c>
      <c r="X2960" s="33"/>
      <c r="Y2960" s="33"/>
    </row>
    <row r="2961" spans="1:25" x14ac:dyDescent="0.2">
      <c r="A2961" s="93" t="s">
        <v>1574</v>
      </c>
      <c r="B2961" s="94" t="str">
        <f>IFERROR(VLOOKUP($A2961,HeadJournal!$A$1:$NTR$890,COLUMN(HeadJournal!B$1),0),"")</f>
        <v>720000131191</v>
      </c>
      <c r="C2961" s="94" t="str">
        <f>IFERROR(VLOOKUP($A2961,HeadJournal!$A$1:$NTR$890,COLUMN(HeadJournal!C$1),0),"")</f>
        <v>iHerb_VP DFD1605</v>
      </c>
      <c r="D2961" s="125" t="str">
        <f>IFERROR(VLOOKUP($A2961,HeadJournal!$A$1:$NTR$890,COLUMN(HeadJournal!D$1),0),"")</f>
        <v>Доставлен</v>
      </c>
      <c r="E2961" s="95">
        <f>IFERROR(VLOOKUP($A2961,HeadJournal!$A$1:$NTR$890,COLUMN(HeadJournal!G$1),0),"")</f>
        <v>45336</v>
      </c>
      <c r="F2961" s="95" t="str">
        <f t="shared" si="237"/>
        <v>2024 02</v>
      </c>
      <c r="G2961" s="96" t="s">
        <v>5</v>
      </c>
      <c r="H2961" s="161" t="s">
        <v>2024</v>
      </c>
      <c r="I2961" s="97" t="s">
        <v>2005</v>
      </c>
      <c r="J2961" s="97" t="s">
        <v>4140</v>
      </c>
      <c r="K2961" s="29">
        <v>18.59</v>
      </c>
      <c r="L2961" s="29">
        <v>-2.605</v>
      </c>
      <c r="M2961" s="30">
        <f>IFERROR(VLOOKUP($A2961,HeadJournal!$A$1:$J$890,COLUMN(HeadJournal!I$1),0)*($K2961+$L2961)/(SUMIF($A:$A,$A2961,$K:$K)+SUMIF($A:$A,$A2961,$L:$L)),0)</f>
        <v>-1.0676301243666515</v>
      </c>
      <c r="N2961" s="30">
        <f>IFERROR((VLOOKUP($A2961,HeadJournal!$A$1:$K$890,COLUMN(HeadJournal!K$1),0)-VLOOKUP($A2961,HeadJournal!$A$1:$K$890,COLUMN(HeadJournal!J$1),0))*($K2961+$L2961)/(SUMIF($A:$A,$A2961,$K:$K)+SUMIF($A:$A,$A2961,$L:$L)),0)</f>
        <v>3.8048743791717945E-15</v>
      </c>
      <c r="O2961" s="30">
        <f>IFERROR((VLOOKUP($A2961,HeadJournal!$A$1:$L$890,COLUMN(HeadJournal!L$1),0)*($K2961+$L2961)/(SUMIF($A:$A,$A2961,$K:$K)+SUMIF($A:$A,$A2961,$L:$L)))/VLOOKUP($A2961,HeadJournal!$A$1:$L$890,COLUMN(HeadJournal!H$1),0),0)</f>
        <v>0.73835856422997215</v>
      </c>
      <c r="P2961" s="30">
        <f>IFERROR(SUM(K2961:O2961)*VLOOKUP($A2961,HeadJournal!$A$1:$L$890,COLUMN(HeadJournal!H$1),0),0)</f>
        <v>1585.8678271429173</v>
      </c>
      <c r="Q2961" s="29">
        <v>2500</v>
      </c>
      <c r="R2961" s="31">
        <v>45533</v>
      </c>
      <c r="S2961" s="31" t="s">
        <v>3121</v>
      </c>
      <c r="T2961" s="95" t="str">
        <f t="shared" si="238"/>
        <v>2024 08</v>
      </c>
      <c r="U2961" s="32">
        <f t="shared" si="235"/>
        <v>914.13217285708265</v>
      </c>
      <c r="V2961" s="22">
        <f t="shared" si="236"/>
        <v>0.57642393471338238</v>
      </c>
      <c r="X2961" s="33"/>
      <c r="Y2961" s="33"/>
    </row>
    <row r="2962" spans="1:25" x14ac:dyDescent="0.2">
      <c r="A2962" s="93" t="s">
        <v>1574</v>
      </c>
      <c r="B2962" s="94" t="str">
        <f>IFERROR(VLOOKUP($A2962,HeadJournal!$A$1:$NTR$890,COLUMN(HeadJournal!B$1),0),"")</f>
        <v>720000131191</v>
      </c>
      <c r="C2962" s="94" t="str">
        <f>IFERROR(VLOOKUP($A2962,HeadJournal!$A$1:$NTR$890,COLUMN(HeadJournal!C$1),0),"")</f>
        <v>iHerb_VP DFD1605</v>
      </c>
      <c r="D2962" s="125" t="str">
        <f>IFERROR(VLOOKUP($A2962,HeadJournal!$A$1:$NTR$890,COLUMN(HeadJournal!D$1),0),"")</f>
        <v>Доставлен</v>
      </c>
      <c r="E2962" s="95">
        <f>IFERROR(VLOOKUP($A2962,HeadJournal!$A$1:$NTR$890,COLUMN(HeadJournal!G$1),0),"")</f>
        <v>45336</v>
      </c>
      <c r="F2962" s="95" t="str">
        <f t="shared" si="237"/>
        <v>2024 02</v>
      </c>
      <c r="G2962" s="96" t="s">
        <v>5</v>
      </c>
      <c r="H2962" s="161" t="s">
        <v>2024</v>
      </c>
      <c r="I2962" s="97" t="s">
        <v>2005</v>
      </c>
      <c r="J2962" s="97" t="s">
        <v>4140</v>
      </c>
      <c r="K2962" s="29">
        <v>18.59</v>
      </c>
      <c r="L2962" s="29">
        <v>-2.605</v>
      </c>
      <c r="M2962" s="30">
        <f>IFERROR(VLOOKUP($A2962,HeadJournal!$A$1:$J$890,COLUMN(HeadJournal!I$1),0)*($K2962+$L2962)/(SUMIF($A:$A,$A2962,$K:$K)+SUMIF($A:$A,$A2962,$L:$L)),0)</f>
        <v>-1.0676301243666515</v>
      </c>
      <c r="N2962" s="30">
        <f>IFERROR((VLOOKUP($A2962,HeadJournal!$A$1:$K$890,COLUMN(HeadJournal!K$1),0)-VLOOKUP($A2962,HeadJournal!$A$1:$K$890,COLUMN(HeadJournal!J$1),0))*($K2962+$L2962)/(SUMIF($A:$A,$A2962,$K:$K)+SUMIF($A:$A,$A2962,$L:$L)),0)</f>
        <v>3.8048743791717945E-15</v>
      </c>
      <c r="O2962" s="30">
        <f>IFERROR((VLOOKUP($A2962,HeadJournal!$A$1:$L$890,COLUMN(HeadJournal!L$1),0)*($K2962+$L2962)/(SUMIF($A:$A,$A2962,$K:$K)+SUMIF($A:$A,$A2962,$L:$L)))/VLOOKUP($A2962,HeadJournal!$A$1:$L$890,COLUMN(HeadJournal!H$1),0),0)</f>
        <v>0.73835856422997215</v>
      </c>
      <c r="P2962" s="30">
        <f>IFERROR(SUM(K2962:O2962)*VLOOKUP($A2962,HeadJournal!$A$1:$L$890,COLUMN(HeadJournal!H$1),0),0)</f>
        <v>1585.8678271429173</v>
      </c>
      <c r="Q2962" s="29">
        <v>2400</v>
      </c>
      <c r="R2962" s="31">
        <v>45561</v>
      </c>
      <c r="S2962" s="31" t="s">
        <v>3121</v>
      </c>
      <c r="T2962" s="95" t="str">
        <f t="shared" si="238"/>
        <v>2024 09</v>
      </c>
      <c r="U2962" s="32">
        <f t="shared" si="235"/>
        <v>814.13217285708265</v>
      </c>
      <c r="V2962" s="22">
        <f t="shared" si="236"/>
        <v>0.51336697732484715</v>
      </c>
      <c r="X2962" s="33"/>
      <c r="Y2962" s="33"/>
    </row>
    <row r="2963" spans="1:25" x14ac:dyDescent="0.2">
      <c r="A2963" s="93" t="s">
        <v>1574</v>
      </c>
      <c r="B2963" s="94" t="str">
        <f>IFERROR(VLOOKUP($A2963,HeadJournal!$A$1:$NTR$890,COLUMN(HeadJournal!B$1),0),"")</f>
        <v>720000131191</v>
      </c>
      <c r="C2963" s="94" t="str">
        <f>IFERROR(VLOOKUP($A2963,HeadJournal!$A$1:$NTR$890,COLUMN(HeadJournal!C$1),0),"")</f>
        <v>iHerb_VP DFD1605</v>
      </c>
      <c r="D2963" s="125" t="str">
        <f>IFERROR(VLOOKUP($A2963,HeadJournal!$A$1:$NTR$890,COLUMN(HeadJournal!D$1),0),"")</f>
        <v>Доставлен</v>
      </c>
      <c r="E2963" s="95">
        <f>IFERROR(VLOOKUP($A2963,HeadJournal!$A$1:$NTR$890,COLUMN(HeadJournal!G$1),0),"")</f>
        <v>45336</v>
      </c>
      <c r="F2963" s="95" t="str">
        <f t="shared" si="237"/>
        <v>2024 02</v>
      </c>
      <c r="G2963" s="96" t="s">
        <v>5</v>
      </c>
      <c r="H2963" s="161" t="str">
        <f>RIGHT(Journal!$J2963,9)</f>
        <v>MBE-01506</v>
      </c>
      <c r="I2963" s="97" t="str">
        <f t="shared" si="234"/>
        <v>Sierra Bees</v>
      </c>
      <c r="J2963" s="97" t="s">
        <v>1590</v>
      </c>
      <c r="K2963" s="29">
        <v>13.2</v>
      </c>
      <c r="L2963" s="29">
        <v>-6.6</v>
      </c>
      <c r="M2963" s="30">
        <f>IFERROR(VLOOKUP($A2963,HeadJournal!$A$1:$J$890,COLUMN(HeadJournal!I$1),0)*($K2963+$L2963)/(SUMIF($A:$A,$A2963,$K:$K)+SUMIF($A:$A,$A2963,$L:$L)),0)</f>
        <v>-0.44081068631966847</v>
      </c>
      <c r="N2963" s="30">
        <f>IFERROR((VLOOKUP($A2963,HeadJournal!$A$1:$K$890,COLUMN(HeadJournal!K$1),0)-VLOOKUP($A2963,HeadJournal!$A$1:$K$890,COLUMN(HeadJournal!J$1),0))*($K2963+$L2963)/(SUMIF($A:$A,$A2963,$K:$K)+SUMIF($A:$A,$A2963,$L:$L)),0)</f>
        <v>1.5709834784193834E-15</v>
      </c>
      <c r="O2963" s="30">
        <f>IFERROR((VLOOKUP($A2963,HeadJournal!$A$1:$L$890,COLUMN(HeadJournal!L$1),0)*($K2963+$L2963)/(SUMIF($A:$A,$A2963,$K:$K)+SUMIF($A:$A,$A2963,$L:$L)))/VLOOKUP($A2963,HeadJournal!$A$1:$L$890,COLUMN(HeadJournal!H$1),0),0)</f>
        <v>0.30485871278810228</v>
      </c>
      <c r="P2963" s="30">
        <f>IFERROR(SUM(K2963:O2963)*VLOOKUP($A2963,HeadJournal!$A$1:$L$890,COLUMN(HeadJournal!H$1),0),0)</f>
        <v>654.78433901427934</v>
      </c>
      <c r="Q2963" s="29"/>
      <c r="R2963" s="31"/>
      <c r="S2963" s="31"/>
      <c r="T2963" s="95" t="str">
        <f t="shared" si="238"/>
        <v/>
      </c>
      <c r="U2963" s="32">
        <f t="shared" si="235"/>
        <v>-654.78433901427934</v>
      </c>
      <c r="V2963" s="22" t="str">
        <f t="shared" si="236"/>
        <v/>
      </c>
      <c r="X2963" s="33"/>
      <c r="Y2963" s="33"/>
    </row>
    <row r="2964" spans="1:25" x14ac:dyDescent="0.2">
      <c r="A2964" s="93" t="s">
        <v>1574</v>
      </c>
      <c r="B2964" s="94" t="str">
        <f>IFERROR(VLOOKUP($A2964,HeadJournal!$A$1:$NTR$890,COLUMN(HeadJournal!B$1),0),"")</f>
        <v>720000131191</v>
      </c>
      <c r="C2964" s="94" t="str">
        <f>IFERROR(VLOOKUP($A2964,HeadJournal!$A$1:$NTR$890,COLUMN(HeadJournal!C$1),0),"")</f>
        <v>iHerb_VP DFD1605</v>
      </c>
      <c r="D2964" s="125" t="str">
        <f>IFERROR(VLOOKUP($A2964,HeadJournal!$A$1:$NTR$890,COLUMN(HeadJournal!D$1),0),"")</f>
        <v>Доставлен</v>
      </c>
      <c r="E2964" s="95">
        <f>IFERROR(VLOOKUP($A2964,HeadJournal!$A$1:$NTR$890,COLUMN(HeadJournal!G$1),0),"")</f>
        <v>45336</v>
      </c>
      <c r="F2964" s="95" t="str">
        <f t="shared" si="237"/>
        <v>2024 02</v>
      </c>
      <c r="G2964" s="96" t="s">
        <v>5</v>
      </c>
      <c r="H2964" s="161" t="s">
        <v>2182</v>
      </c>
      <c r="I2964" s="97" t="s">
        <v>2005</v>
      </c>
      <c r="J2964" s="97" t="s">
        <v>2183</v>
      </c>
      <c r="K2964" s="29">
        <v>20.63</v>
      </c>
      <c r="L2964" s="29">
        <v>-2.89</v>
      </c>
      <c r="M2964" s="30">
        <f>IFERROR(VLOOKUP($A2964,HeadJournal!$A$1:$J$890,COLUMN(HeadJournal!I$1),0)*($K2964+$L2964)/(SUMIF($A:$A,$A2964,$K:$K)+SUMIF($A:$A,$A2964,$L:$L)),0)</f>
        <v>-1.1848456932289269</v>
      </c>
      <c r="N2964" s="30">
        <f>IFERROR((VLOOKUP($A2964,HeadJournal!$A$1:$K$890,COLUMN(HeadJournal!K$1),0)-VLOOKUP($A2964,HeadJournal!$A$1:$K$890,COLUMN(HeadJournal!J$1),0))*($K2964+$L2964)/(SUMIF($A:$A,$A2964,$K:$K)+SUMIF($A:$A,$A2964,$L:$L)),0)</f>
        <v>4.2226131677514944E-15</v>
      </c>
      <c r="O2964" s="30">
        <f>IFERROR((VLOOKUP($A2964,HeadJournal!$A$1:$L$890,COLUMN(HeadJournal!L$1),0)*($K2964+$L2964)/(SUMIF($A:$A,$A2964,$K:$K)+SUMIF($A:$A,$A2964,$L:$L)))/VLOOKUP($A2964,HeadJournal!$A$1:$L$890,COLUMN(HeadJournal!H$1),0),0)</f>
        <v>0.81942326740317184</v>
      </c>
      <c r="P2964" s="30">
        <f>IFERROR(SUM(K2964:O2964)*VLOOKUP($A2964,HeadJournal!$A$1:$L$890,COLUMN(HeadJournal!H$1),0),0)</f>
        <v>1759.9809354717142</v>
      </c>
      <c r="Q2964" s="29">
        <v>2600</v>
      </c>
      <c r="R2964" s="31">
        <v>45629</v>
      </c>
      <c r="S2964" s="31" t="s">
        <v>3121</v>
      </c>
      <c r="T2964" s="95" t="str">
        <f t="shared" si="238"/>
        <v>2024 12</v>
      </c>
      <c r="U2964" s="32">
        <f t="shared" si="235"/>
        <v>840.01906452828575</v>
      </c>
      <c r="V2964" s="22">
        <f t="shared" si="236"/>
        <v>0.47728872943907308</v>
      </c>
      <c r="X2964" s="33"/>
      <c r="Y2964" s="33"/>
    </row>
    <row r="2965" spans="1:25" x14ac:dyDescent="0.2">
      <c r="A2965" s="93" t="s">
        <v>1574</v>
      </c>
      <c r="B2965" s="94" t="str">
        <f>IFERROR(VLOOKUP($A2965,HeadJournal!$A$1:$NTR$890,COLUMN(HeadJournal!B$1),0),"")</f>
        <v>720000131191</v>
      </c>
      <c r="C2965" s="94" t="str">
        <f>IFERROR(VLOOKUP($A2965,HeadJournal!$A$1:$NTR$890,COLUMN(HeadJournal!C$1),0),"")</f>
        <v>iHerb_VP DFD1605</v>
      </c>
      <c r="D2965" s="125" t="str">
        <f>IFERROR(VLOOKUP($A2965,HeadJournal!$A$1:$NTR$890,COLUMN(HeadJournal!D$1),0),"")</f>
        <v>Доставлен</v>
      </c>
      <c r="E2965" s="95">
        <f>IFERROR(VLOOKUP($A2965,HeadJournal!$A$1:$NTR$890,COLUMN(HeadJournal!G$1),0),"")</f>
        <v>45336</v>
      </c>
      <c r="F2965" s="95" t="str">
        <f t="shared" si="237"/>
        <v>2024 02</v>
      </c>
      <c r="G2965" s="96" t="s">
        <v>5</v>
      </c>
      <c r="H2965" s="161" t="s">
        <v>2217</v>
      </c>
      <c r="I2965" s="97" t="s">
        <v>2218</v>
      </c>
      <c r="J2965" s="97" t="s">
        <v>2219</v>
      </c>
      <c r="K2965" s="29">
        <v>28.34</v>
      </c>
      <c r="L2965" s="29">
        <v>-3.97</v>
      </c>
      <c r="M2965" s="30">
        <f>IFERROR(VLOOKUP($A2965,HeadJournal!$A$1:$J$890,COLUMN(HeadJournal!I$1),0)*($K2965+$L2965)/(SUMIF($A:$A,$A2965,$K:$K)+SUMIF($A:$A,$A2965,$L:$L)),0)</f>
        <v>-1.6276600644864121</v>
      </c>
      <c r="N2965" s="30">
        <f>IFERROR((VLOOKUP($A2965,HeadJournal!$A$1:$K$890,COLUMN(HeadJournal!K$1),0)-VLOOKUP($A2965,HeadJournal!$A$1:$K$890,COLUMN(HeadJournal!J$1),0))*($K2965+$L2965)/(SUMIF($A:$A,$A2965,$K:$K)+SUMIF($A:$A,$A2965,$L:$L)),0)</f>
        <v>5.8007374801636935E-15</v>
      </c>
      <c r="O2965" s="30">
        <f>IFERROR((VLOOKUP($A2965,HeadJournal!$A$1:$L$890,COLUMN(HeadJournal!L$1),0)*($K2965+$L2965)/(SUMIF($A:$A,$A2965,$K:$K)+SUMIF($A:$A,$A2965,$L:$L)))/VLOOKUP($A2965,HeadJournal!$A$1:$L$890,COLUMN(HeadJournal!H$1),0),0)</f>
        <v>1.1256677016130383</v>
      </c>
      <c r="P2965" s="30">
        <f>IFERROR(SUM(K2965:O2965)*VLOOKUP($A2965,HeadJournal!$A$1:$L$890,COLUMN(HeadJournal!H$1),0),0)</f>
        <v>2417.7415669360589</v>
      </c>
      <c r="Q2965" s="29">
        <v>3400</v>
      </c>
      <c r="R2965" s="31">
        <v>45392</v>
      </c>
      <c r="S2965" s="31" t="s">
        <v>3121</v>
      </c>
      <c r="T2965" s="95" t="str">
        <f t="shared" si="238"/>
        <v>2024 04</v>
      </c>
      <c r="U2965" s="32">
        <f t="shared" si="235"/>
        <v>982.25843306394108</v>
      </c>
      <c r="V2965" s="22">
        <f t="shared" si="236"/>
        <v>0.4062710615960215</v>
      </c>
      <c r="X2965" s="33"/>
      <c r="Y2965" s="33"/>
    </row>
    <row r="2966" spans="1:25" x14ac:dyDescent="0.2">
      <c r="A2966" s="93" t="s">
        <v>1574</v>
      </c>
      <c r="B2966" s="94" t="str">
        <f>IFERROR(VLOOKUP($A2966,HeadJournal!$A$1:$NTR$890,COLUMN(HeadJournal!B$1),0),"")</f>
        <v>720000131191</v>
      </c>
      <c r="C2966" s="94" t="str">
        <f>IFERROR(VLOOKUP($A2966,HeadJournal!$A$1:$NTR$890,COLUMN(HeadJournal!C$1),0),"")</f>
        <v>iHerb_VP DFD1605</v>
      </c>
      <c r="D2966" s="125" t="str">
        <f>IFERROR(VLOOKUP($A2966,HeadJournal!$A$1:$NTR$890,COLUMN(HeadJournal!D$1),0),"")</f>
        <v>Доставлен</v>
      </c>
      <c r="E2966" s="95">
        <f>IFERROR(VLOOKUP($A2966,HeadJournal!$A$1:$NTR$890,COLUMN(HeadJournal!G$1),0),"")</f>
        <v>45336</v>
      </c>
      <c r="F2966" s="95" t="str">
        <f t="shared" si="237"/>
        <v>2024 02</v>
      </c>
      <c r="G2966" s="96" t="s">
        <v>5</v>
      </c>
      <c r="H2966" s="161" t="s">
        <v>2745</v>
      </c>
      <c r="I2966" s="97" t="s">
        <v>2052</v>
      </c>
      <c r="J2966" s="97" t="s">
        <v>2746</v>
      </c>
      <c r="K2966" s="29">
        <v>27.95</v>
      </c>
      <c r="L2966" s="29">
        <v>-8.39</v>
      </c>
      <c r="M2966" s="30">
        <f>IFERROR(VLOOKUP($A2966,HeadJournal!$A$1:$J$890,COLUMN(HeadJournal!I$1),0)*($K2966+$L2966)/(SUMIF($A:$A,$A2966,$K:$K)+SUMIF($A:$A,$A2966,$L:$L)),0)</f>
        <v>-1.3064025794564718</v>
      </c>
      <c r="N2966" s="30">
        <f>IFERROR((VLOOKUP($A2966,HeadJournal!$A$1:$K$890,COLUMN(HeadJournal!K$1),0)-VLOOKUP($A2966,HeadJournal!$A$1:$K$890,COLUMN(HeadJournal!J$1),0))*($K2966+$L2966)/(SUMIF($A:$A,$A2966,$K:$K)+SUMIF($A:$A,$A2966,$L:$L)),0)</f>
        <v>4.6558237633156275E-15</v>
      </c>
      <c r="O2966" s="30">
        <f>IFERROR((VLOOKUP($A2966,HeadJournal!$A$1:$L$890,COLUMN(HeadJournal!L$1),0)*($K2966+$L2966)/(SUMIF($A:$A,$A2966,$K:$K)+SUMIF($A:$A,$A2966,$L:$L)))/VLOOKUP($A2966,HeadJournal!$A$1:$L$890,COLUMN(HeadJournal!H$1),0),0)</f>
        <v>0.90349036699019403</v>
      </c>
      <c r="P2966" s="30">
        <f>IFERROR(SUM(K2966:O2966)*VLOOKUP($A2966,HeadJournal!$A$1:$L$890,COLUMN(HeadJournal!H$1),0),0)</f>
        <v>1940.5426774423186</v>
      </c>
      <c r="Q2966" s="29">
        <v>3300</v>
      </c>
      <c r="R2966" s="31">
        <v>45447</v>
      </c>
      <c r="S2966" s="31" t="s">
        <v>3121</v>
      </c>
      <c r="T2966" s="95" t="str">
        <f t="shared" si="238"/>
        <v>2024 06</v>
      </c>
      <c r="U2966" s="32">
        <f t="shared" si="235"/>
        <v>1359.4573225576814</v>
      </c>
      <c r="V2966" s="22">
        <f t="shared" si="236"/>
        <v>0.70055523043145773</v>
      </c>
      <c r="X2966" s="33"/>
      <c r="Y2966" s="33"/>
    </row>
    <row r="2967" spans="1:25" x14ac:dyDescent="0.2">
      <c r="A2967" s="93" t="s">
        <v>1591</v>
      </c>
      <c r="B2967" s="94">
        <f>IFERROR(VLOOKUP($A2967,HeadJournal!$A$1:$NTR$890,COLUMN(HeadJournal!B$1),0),"")</f>
        <v>0</v>
      </c>
      <c r="C2967" s="94" t="str">
        <f>IFERROR(VLOOKUP($A2967,HeadJournal!$A$1:$NTR$890,COLUMN(HeadJournal!C$1),0),"")</f>
        <v>KingMass</v>
      </c>
      <c r="D2967" s="125" t="str">
        <f>IFERROR(VLOOKUP($A2967,HeadJournal!$A$1:$NTR$890,COLUMN(HeadJournal!D$1),0),"")</f>
        <v>Доставлен</v>
      </c>
      <c r="E2967" s="95">
        <f>IFERROR(VLOOKUP($A2967,HeadJournal!$A$1:$NTR$890,COLUMN(HeadJournal!G$1),0),"")</f>
        <v>45344</v>
      </c>
      <c r="F2967" s="95" t="str">
        <f t="shared" si="237"/>
        <v>2024 02</v>
      </c>
      <c r="G2967" s="96" t="s">
        <v>6</v>
      </c>
      <c r="H2967" s="161" t="str">
        <f>RIGHT(Journal!$J2967,9)</f>
        <v>000001752</v>
      </c>
      <c r="I2967" s="97" t="str">
        <f t="shared" si="234"/>
        <v>Maxler</v>
      </c>
      <c r="J2967" s="97" t="s">
        <v>1595</v>
      </c>
      <c r="K2967" s="29">
        <v>2735</v>
      </c>
      <c r="L2967" s="29">
        <v>0</v>
      </c>
      <c r="M2967" s="30">
        <f>IFERROR(VLOOKUP($A2967,HeadJournal!$A$1:$J$890,COLUMN(HeadJournal!I$1),0)*($K2967+$L2967)/(SUMIF($A:$A,$A2967,$K:$K)+SUMIF($A:$A,$A2967,$L:$L)),0)</f>
        <v>0</v>
      </c>
      <c r="N2967" s="30">
        <f>IFERROR((VLOOKUP($A2967,HeadJournal!$A$1:$K$890,COLUMN(HeadJournal!K$1),0)-VLOOKUP($A2967,HeadJournal!$A$1:$K$890,COLUMN(HeadJournal!J$1),0))*($K2967+$L2967)/(SUMIF($A:$A,$A2967,$K:$K)+SUMIF($A:$A,$A2967,$L:$L)),0)</f>
        <v>0</v>
      </c>
      <c r="O2967" s="30">
        <f>IFERROR((VLOOKUP($A2967,HeadJournal!$A$1:$L$890,COLUMN(HeadJournal!L$1),0)*($K2967+$L2967)/(SUMIF($A:$A,$A2967,$K:$K)+SUMIF($A:$A,$A2967,$L:$L)))/VLOOKUP($A2967,HeadJournal!$A$1:$L$890,COLUMN(HeadJournal!H$1),0),0)</f>
        <v>69.127170311464539</v>
      </c>
      <c r="P2967" s="30">
        <f>IFERROR(SUM(K2967:O2967)*VLOOKUP($A2967,HeadJournal!$A$1:$L$890,COLUMN(HeadJournal!H$1),0),0)</f>
        <v>2804.1271703114644</v>
      </c>
      <c r="Q2967" s="29">
        <v>3900</v>
      </c>
      <c r="R2967" s="31">
        <v>45346</v>
      </c>
      <c r="S2967" s="31" t="s">
        <v>3121</v>
      </c>
      <c r="T2967" s="95" t="str">
        <f t="shared" si="238"/>
        <v>2024 02</v>
      </c>
      <c r="U2967" s="32">
        <f t="shared" si="235"/>
        <v>1095.8728296885356</v>
      </c>
      <c r="V2967" s="22">
        <f t="shared" si="236"/>
        <v>0.3908071079268538</v>
      </c>
      <c r="X2967" s="33"/>
      <c r="Y2967" s="33"/>
    </row>
    <row r="2968" spans="1:25" x14ac:dyDescent="0.2">
      <c r="A2968" s="93" t="s">
        <v>1591</v>
      </c>
      <c r="B2968" s="94">
        <f>IFERROR(VLOOKUP($A2968,HeadJournal!$A$1:$NTR$890,COLUMN(HeadJournal!B$1),0),"")</f>
        <v>0</v>
      </c>
      <c r="C2968" s="94" t="str">
        <f>IFERROR(VLOOKUP($A2968,HeadJournal!$A$1:$NTR$890,COLUMN(HeadJournal!C$1),0),"")</f>
        <v>KingMass</v>
      </c>
      <c r="D2968" s="125" t="str">
        <f>IFERROR(VLOOKUP($A2968,HeadJournal!$A$1:$NTR$890,COLUMN(HeadJournal!D$1),0),"")</f>
        <v>Доставлен</v>
      </c>
      <c r="E2968" s="95">
        <f>IFERROR(VLOOKUP($A2968,HeadJournal!$A$1:$NTR$890,COLUMN(HeadJournal!G$1),0),"")</f>
        <v>45344</v>
      </c>
      <c r="F2968" s="95" t="str">
        <f t="shared" si="237"/>
        <v>2024 02</v>
      </c>
      <c r="G2968" s="96" t="s">
        <v>6</v>
      </c>
      <c r="H2968" s="161" t="s">
        <v>3684</v>
      </c>
      <c r="I2968" s="97" t="str">
        <f t="shared" si="234"/>
        <v>Maxler</v>
      </c>
      <c r="J2968" s="97" t="s">
        <v>1594</v>
      </c>
      <c r="K2968" s="29">
        <v>2735</v>
      </c>
      <c r="L2968" s="29">
        <v>0</v>
      </c>
      <c r="M2968" s="30">
        <f>IFERROR(VLOOKUP($A2968,HeadJournal!$A$1:$J$890,COLUMN(HeadJournal!I$1),0)*($K2968+$L2968)/(SUMIF($A:$A,$A2968,$K:$K)+SUMIF($A:$A,$A2968,$L:$L)),0)</f>
        <v>0</v>
      </c>
      <c r="N2968" s="30">
        <f>IFERROR((VLOOKUP($A2968,HeadJournal!$A$1:$K$890,COLUMN(HeadJournal!K$1),0)-VLOOKUP($A2968,HeadJournal!$A$1:$K$890,COLUMN(HeadJournal!J$1),0))*($K2968+$L2968)/(SUMIF($A:$A,$A2968,$K:$K)+SUMIF($A:$A,$A2968,$L:$L)),0)</f>
        <v>0</v>
      </c>
      <c r="O2968" s="30">
        <f>IFERROR((VLOOKUP($A2968,HeadJournal!$A$1:$L$890,COLUMN(HeadJournal!L$1),0)*($K2968+$L2968)/(SUMIF($A:$A,$A2968,$K:$K)+SUMIF($A:$A,$A2968,$L:$L)))/VLOOKUP($A2968,HeadJournal!$A$1:$L$890,COLUMN(HeadJournal!H$1),0),0)</f>
        <v>69.127170311464539</v>
      </c>
      <c r="P2968" s="30">
        <f>IFERROR(SUM(K2968:O2968)*VLOOKUP($A2968,HeadJournal!$A$1:$L$890,COLUMN(HeadJournal!H$1),0),0)</f>
        <v>2804.1271703114644</v>
      </c>
      <c r="Q2968" s="29">
        <v>3600</v>
      </c>
      <c r="R2968" s="31">
        <v>45364</v>
      </c>
      <c r="S2968" s="31" t="s">
        <v>3121</v>
      </c>
      <c r="T2968" s="95" t="str">
        <f t="shared" si="238"/>
        <v>2024 03</v>
      </c>
      <c r="U2968" s="32">
        <f t="shared" si="235"/>
        <v>795.8728296885356</v>
      </c>
      <c r="V2968" s="22">
        <f t="shared" si="236"/>
        <v>0.28382194577863429</v>
      </c>
      <c r="X2968" s="33"/>
      <c r="Y2968" s="33"/>
    </row>
    <row r="2969" spans="1:25" x14ac:dyDescent="0.2">
      <c r="A2969" s="93" t="s">
        <v>1591</v>
      </c>
      <c r="B2969" s="94">
        <f>IFERROR(VLOOKUP($A2969,HeadJournal!$A$1:$NTR$890,COLUMN(HeadJournal!B$1),0),"")</f>
        <v>0</v>
      </c>
      <c r="C2969" s="94" t="str">
        <f>IFERROR(VLOOKUP($A2969,HeadJournal!$A$1:$NTR$890,COLUMN(HeadJournal!C$1),0),"")</f>
        <v>KingMass</v>
      </c>
      <c r="D2969" s="125" t="str">
        <f>IFERROR(VLOOKUP($A2969,HeadJournal!$A$1:$NTR$890,COLUMN(HeadJournal!D$1),0),"")</f>
        <v>Доставлен</v>
      </c>
      <c r="E2969" s="95">
        <f>IFERROR(VLOOKUP($A2969,HeadJournal!$A$1:$NTR$890,COLUMN(HeadJournal!G$1),0),"")</f>
        <v>45344</v>
      </c>
      <c r="F2969" s="95" t="str">
        <f t="shared" si="237"/>
        <v>2024 02</v>
      </c>
      <c r="G2969" s="96" t="s">
        <v>6</v>
      </c>
      <c r="H2969" s="161" t="str">
        <f>RIGHT(Journal!$J2969,9)</f>
        <v>000004854</v>
      </c>
      <c r="I2969" s="97" t="str">
        <f t="shared" si="234"/>
        <v>V-Shape Supps</v>
      </c>
      <c r="J2969" s="97" t="s">
        <v>1596</v>
      </c>
      <c r="K2969" s="29">
        <v>1990</v>
      </c>
      <c r="L2969" s="29">
        <v>0</v>
      </c>
      <c r="M2969" s="30">
        <f>IFERROR(VLOOKUP($A2969,HeadJournal!$A$1:$J$890,COLUMN(HeadJournal!I$1),0)*($K2969+$L2969)/(SUMIF($A:$A,$A2969,$K:$K)+SUMIF($A:$A,$A2969,$L:$L)),0)</f>
        <v>0</v>
      </c>
      <c r="N2969" s="30">
        <f>IFERROR((VLOOKUP($A2969,HeadJournal!$A$1:$K$890,COLUMN(HeadJournal!K$1),0)-VLOOKUP($A2969,HeadJournal!$A$1:$K$890,COLUMN(HeadJournal!J$1),0))*($K2969+$L2969)/(SUMIF($A:$A,$A2969,$K:$K)+SUMIF($A:$A,$A2969,$L:$L)),0)</f>
        <v>0</v>
      </c>
      <c r="O2969" s="30">
        <f>IFERROR((VLOOKUP($A2969,HeadJournal!$A$1:$L$890,COLUMN(HeadJournal!L$1),0)*($K2969+$L2969)/(SUMIF($A:$A,$A2969,$K:$K)+SUMIF($A:$A,$A2969,$L:$L)))/VLOOKUP($A2969,HeadJournal!$A$1:$L$890,COLUMN(HeadJournal!H$1),0),0)</f>
        <v>50.297282968853544</v>
      </c>
      <c r="P2969" s="30">
        <f>IFERROR(SUM(K2969:O2969)*VLOOKUP($A2969,HeadJournal!$A$1:$L$890,COLUMN(HeadJournal!H$1),0),0)</f>
        <v>2040.2972829688536</v>
      </c>
      <c r="Q2969" s="29">
        <v>2500</v>
      </c>
      <c r="R2969" s="31">
        <v>45493</v>
      </c>
      <c r="S2969" s="31" t="s">
        <v>3121</v>
      </c>
      <c r="T2969" s="95" t="str">
        <f t="shared" si="238"/>
        <v>2024 07</v>
      </c>
      <c r="U2969" s="32">
        <f t="shared" si="235"/>
        <v>459.70271703114645</v>
      </c>
      <c r="V2969" s="22">
        <f t="shared" si="236"/>
        <v>0.22531163515653424</v>
      </c>
      <c r="X2969" s="33"/>
      <c r="Y2969" s="33"/>
    </row>
    <row r="2970" spans="1:25" x14ac:dyDescent="0.2">
      <c r="A2970" s="93" t="s">
        <v>1591</v>
      </c>
      <c r="B2970" s="94">
        <f>IFERROR(VLOOKUP($A2970,HeadJournal!$A$1:$NTR$890,COLUMN(HeadJournal!B$1),0),"")</f>
        <v>0</v>
      </c>
      <c r="C2970" s="94" t="str">
        <f>IFERROR(VLOOKUP($A2970,HeadJournal!$A$1:$NTR$890,COLUMN(HeadJournal!C$1),0),"")</f>
        <v>KingMass</v>
      </c>
      <c r="D2970" s="125" t="str">
        <f>IFERROR(VLOOKUP($A2970,HeadJournal!$A$1:$NTR$890,COLUMN(HeadJournal!D$1),0),"")</f>
        <v>Доставлен</v>
      </c>
      <c r="E2970" s="95">
        <f>IFERROR(VLOOKUP($A2970,HeadJournal!$A$1:$NTR$890,COLUMN(HeadJournal!G$1),0),"")</f>
        <v>45344</v>
      </c>
      <c r="F2970" s="95" t="str">
        <f t="shared" si="237"/>
        <v>2024 02</v>
      </c>
      <c r="G2970" s="96" t="s">
        <v>6</v>
      </c>
      <c r="H2970" s="161" t="str">
        <f>RIGHT(Journal!$J2970,9)</f>
        <v>000002285</v>
      </c>
      <c r="I2970" s="97" t="str">
        <f t="shared" si="234"/>
        <v>Maxler</v>
      </c>
      <c r="J2970" s="97" t="s">
        <v>1597</v>
      </c>
      <c r="K2970" s="29">
        <v>1860</v>
      </c>
      <c r="L2970" s="29">
        <v>0</v>
      </c>
      <c r="M2970" s="30">
        <f>IFERROR(VLOOKUP($A2970,HeadJournal!$A$1:$J$890,COLUMN(HeadJournal!I$1),0)*($K2970+$L2970)/(SUMIF($A:$A,$A2970,$K:$K)+SUMIF($A:$A,$A2970,$L:$L)),0)</f>
        <v>0</v>
      </c>
      <c r="N2970" s="30">
        <f>IFERROR((VLOOKUP($A2970,HeadJournal!$A$1:$K$890,COLUMN(HeadJournal!K$1),0)-VLOOKUP($A2970,HeadJournal!$A$1:$K$890,COLUMN(HeadJournal!J$1),0))*($K2970+$L2970)/(SUMIF($A:$A,$A2970,$K:$K)+SUMIF($A:$A,$A2970,$L:$L)),0)</f>
        <v>0</v>
      </c>
      <c r="O2970" s="30">
        <f>IFERROR((VLOOKUP($A2970,HeadJournal!$A$1:$L$890,COLUMN(HeadJournal!L$1),0)*($K2970+$L2970)/(SUMIF($A:$A,$A2970,$K:$K)+SUMIF($A:$A,$A2970,$L:$L)))/VLOOKUP($A2970,HeadJournal!$A$1:$L$890,COLUMN(HeadJournal!H$1),0),0)</f>
        <v>47.011530815109346</v>
      </c>
      <c r="P2970" s="30">
        <f>IFERROR(SUM(K2970:O2970)*VLOOKUP($A2970,HeadJournal!$A$1:$L$890,COLUMN(HeadJournal!H$1),0),0)</f>
        <v>1907.0115308151094</v>
      </c>
      <c r="Q2970" s="29">
        <v>2600</v>
      </c>
      <c r="R2970" s="31">
        <v>45490</v>
      </c>
      <c r="S2970" s="31" t="s">
        <v>3121</v>
      </c>
      <c r="T2970" s="95" t="str">
        <f t="shared" si="238"/>
        <v>2024 07</v>
      </c>
      <c r="U2970" s="32">
        <f t="shared" si="235"/>
        <v>692.98846918489062</v>
      </c>
      <c r="V2970" s="22">
        <f t="shared" si="236"/>
        <v>0.36338976350535657</v>
      </c>
      <c r="X2970" s="33"/>
      <c r="Y2970" s="33"/>
    </row>
    <row r="2971" spans="1:25" x14ac:dyDescent="0.2">
      <c r="A2971" s="93" t="s">
        <v>1591</v>
      </c>
      <c r="B2971" s="94">
        <f>IFERROR(VLOOKUP($A2971,HeadJournal!$A$1:$NTR$890,COLUMN(HeadJournal!B$1),0),"")</f>
        <v>0</v>
      </c>
      <c r="C2971" s="94" t="str">
        <f>IFERROR(VLOOKUP($A2971,HeadJournal!$A$1:$NTR$890,COLUMN(HeadJournal!C$1),0),"")</f>
        <v>KingMass</v>
      </c>
      <c r="D2971" s="125" t="str">
        <f>IFERROR(VLOOKUP($A2971,HeadJournal!$A$1:$NTR$890,COLUMN(HeadJournal!D$1),0),"")</f>
        <v>Доставлен</v>
      </c>
      <c r="E2971" s="95">
        <f>IFERROR(VLOOKUP($A2971,HeadJournal!$A$1:$NTR$890,COLUMN(HeadJournal!G$1),0),"")</f>
        <v>45344</v>
      </c>
      <c r="F2971" s="95" t="str">
        <f t="shared" si="237"/>
        <v>2024 02</v>
      </c>
      <c r="G2971" s="96" t="s">
        <v>6</v>
      </c>
      <c r="H2971" s="161" t="str">
        <f>RIGHT(Journal!$J2971,9)</f>
        <v>000002285</v>
      </c>
      <c r="I2971" s="97" t="str">
        <f t="shared" si="234"/>
        <v>Maxler</v>
      </c>
      <c r="J2971" s="97" t="s">
        <v>1597</v>
      </c>
      <c r="K2971" s="29">
        <v>1860</v>
      </c>
      <c r="L2971" s="29">
        <v>0</v>
      </c>
      <c r="M2971" s="30">
        <f>IFERROR(VLOOKUP($A2971,HeadJournal!$A$1:$J$890,COLUMN(HeadJournal!I$1),0)*($K2971+$L2971)/(SUMIF($A:$A,$A2971,$K:$K)+SUMIF($A:$A,$A2971,$L:$L)),0)</f>
        <v>0</v>
      </c>
      <c r="N2971" s="30">
        <f>IFERROR((VLOOKUP($A2971,HeadJournal!$A$1:$K$890,COLUMN(HeadJournal!K$1),0)-VLOOKUP($A2971,HeadJournal!$A$1:$K$890,COLUMN(HeadJournal!J$1),0))*($K2971+$L2971)/(SUMIF($A:$A,$A2971,$K:$K)+SUMIF($A:$A,$A2971,$L:$L)),0)</f>
        <v>0</v>
      </c>
      <c r="O2971" s="30">
        <f>IFERROR((VLOOKUP($A2971,HeadJournal!$A$1:$L$890,COLUMN(HeadJournal!L$1),0)*($K2971+$L2971)/(SUMIF($A:$A,$A2971,$K:$K)+SUMIF($A:$A,$A2971,$L:$L)))/VLOOKUP($A2971,HeadJournal!$A$1:$L$890,COLUMN(HeadJournal!H$1),0),0)</f>
        <v>47.011530815109346</v>
      </c>
      <c r="P2971" s="30">
        <f>IFERROR(SUM(K2971:O2971)*VLOOKUP($A2971,HeadJournal!$A$1:$L$890,COLUMN(HeadJournal!H$1),0),0)</f>
        <v>1907.0115308151094</v>
      </c>
      <c r="Q2971" s="29">
        <v>2600</v>
      </c>
      <c r="R2971" s="31">
        <v>45576</v>
      </c>
      <c r="S2971" s="31" t="s">
        <v>3121</v>
      </c>
      <c r="T2971" s="95" t="str">
        <f t="shared" si="238"/>
        <v>2024 10</v>
      </c>
      <c r="U2971" s="32">
        <f t="shared" si="235"/>
        <v>692.98846918489062</v>
      </c>
      <c r="V2971" s="22">
        <f t="shared" si="236"/>
        <v>0.36338976350535657</v>
      </c>
      <c r="X2971" s="33"/>
      <c r="Y2971" s="33"/>
    </row>
    <row r="2972" spans="1:25" x14ac:dyDescent="0.2">
      <c r="A2972" s="93" t="s">
        <v>1591</v>
      </c>
      <c r="B2972" s="94">
        <f>IFERROR(VLOOKUP($A2972,HeadJournal!$A$1:$NTR$890,COLUMN(HeadJournal!B$1),0),"")</f>
        <v>0</v>
      </c>
      <c r="C2972" s="94" t="str">
        <f>IFERROR(VLOOKUP($A2972,HeadJournal!$A$1:$NTR$890,COLUMN(HeadJournal!C$1),0),"")</f>
        <v>KingMass</v>
      </c>
      <c r="D2972" s="125" t="str">
        <f>IFERROR(VLOOKUP($A2972,HeadJournal!$A$1:$NTR$890,COLUMN(HeadJournal!D$1),0),"")</f>
        <v>Доставлен</v>
      </c>
      <c r="E2972" s="95">
        <f>IFERROR(VLOOKUP($A2972,HeadJournal!$A$1:$NTR$890,COLUMN(HeadJournal!G$1),0),"")</f>
        <v>45344</v>
      </c>
      <c r="F2972" s="95" t="str">
        <f t="shared" si="237"/>
        <v>2024 02</v>
      </c>
      <c r="G2972" s="96" t="s">
        <v>5</v>
      </c>
      <c r="H2972" s="161" t="str">
        <f>RIGHT(Journal!$J2972,9)</f>
        <v>000001108</v>
      </c>
      <c r="I2972" s="97" t="str">
        <f t="shared" si="234"/>
        <v>Maxler</v>
      </c>
      <c r="J2972" s="97" t="s">
        <v>1598</v>
      </c>
      <c r="K2972" s="29">
        <v>1340</v>
      </c>
      <c r="L2972" s="29">
        <v>0</v>
      </c>
      <c r="M2972" s="30">
        <f>IFERROR(VLOOKUP($A2972,HeadJournal!$A$1:$J$890,COLUMN(HeadJournal!I$1),0)*($K2972+$L2972)/(SUMIF($A:$A,$A2972,$K:$K)+SUMIF($A:$A,$A2972,$L:$L)),0)</f>
        <v>0</v>
      </c>
      <c r="N2972" s="30">
        <f>IFERROR((VLOOKUP($A2972,HeadJournal!$A$1:$K$890,COLUMN(HeadJournal!K$1),0)-VLOOKUP($A2972,HeadJournal!$A$1:$K$890,COLUMN(HeadJournal!J$1),0))*($K2972+$L2972)/(SUMIF($A:$A,$A2972,$K:$K)+SUMIF($A:$A,$A2972,$L:$L)),0)</f>
        <v>0</v>
      </c>
      <c r="O2972" s="30">
        <f>IFERROR((VLOOKUP($A2972,HeadJournal!$A$1:$L$890,COLUMN(HeadJournal!L$1),0)*($K2972+$L2972)/(SUMIF($A:$A,$A2972,$K:$K)+SUMIF($A:$A,$A2972,$L:$L)))/VLOOKUP($A2972,HeadJournal!$A$1:$L$890,COLUMN(HeadJournal!H$1),0),0)</f>
        <v>33.868522200132531</v>
      </c>
      <c r="P2972" s="30">
        <f>IFERROR(SUM(K2972:O2972)*VLOOKUP($A2972,HeadJournal!$A$1:$L$890,COLUMN(HeadJournal!H$1),0),0)</f>
        <v>1373.8685222001325</v>
      </c>
      <c r="Q2972" s="29">
        <v>2200</v>
      </c>
      <c r="R2972" s="31">
        <v>45379</v>
      </c>
      <c r="S2972" s="31" t="s">
        <v>3121</v>
      </c>
      <c r="T2972" s="95" t="str">
        <f t="shared" si="238"/>
        <v>2024 03</v>
      </c>
      <c r="U2972" s="32">
        <f t="shared" si="235"/>
        <v>826.13147779986753</v>
      </c>
      <c r="V2972" s="22">
        <f t="shared" si="236"/>
        <v>0.60131771304934545</v>
      </c>
      <c r="X2972" s="33"/>
      <c r="Y2972" s="33"/>
    </row>
    <row r="2973" spans="1:25" x14ac:dyDescent="0.2">
      <c r="A2973" s="93" t="s">
        <v>1591</v>
      </c>
      <c r="B2973" s="94">
        <f>IFERROR(VLOOKUP($A2973,HeadJournal!$A$1:$NTR$890,COLUMN(HeadJournal!B$1),0),"")</f>
        <v>0</v>
      </c>
      <c r="C2973" s="94" t="str">
        <f>IFERROR(VLOOKUP($A2973,HeadJournal!$A$1:$NTR$890,COLUMN(HeadJournal!C$1),0),"")</f>
        <v>KingMass</v>
      </c>
      <c r="D2973" s="125" t="str">
        <f>IFERROR(VLOOKUP($A2973,HeadJournal!$A$1:$NTR$890,COLUMN(HeadJournal!D$1),0),"")</f>
        <v>Доставлен</v>
      </c>
      <c r="E2973" s="95">
        <f>IFERROR(VLOOKUP($A2973,HeadJournal!$A$1:$NTR$890,COLUMN(HeadJournal!G$1),0),"")</f>
        <v>45344</v>
      </c>
      <c r="F2973" s="95" t="str">
        <f t="shared" si="237"/>
        <v>2024 02</v>
      </c>
      <c r="G2973" s="96" t="s">
        <v>6</v>
      </c>
      <c r="H2973" s="161" t="str">
        <f>RIGHT(Journal!$J2973,9)</f>
        <v>000000993</v>
      </c>
      <c r="I2973" s="97" t="str">
        <f t="shared" si="234"/>
        <v>Maxler</v>
      </c>
      <c r="J2973" s="97" t="s">
        <v>1599</v>
      </c>
      <c r="K2973" s="29">
        <v>1720</v>
      </c>
      <c r="L2973" s="29">
        <v>0</v>
      </c>
      <c r="M2973" s="30">
        <f>IFERROR(VLOOKUP($A2973,HeadJournal!$A$1:$J$890,COLUMN(HeadJournal!I$1),0)*($K2973+$L2973)/(SUMIF($A:$A,$A2973,$K:$K)+SUMIF($A:$A,$A2973,$L:$L)),0)</f>
        <v>0</v>
      </c>
      <c r="N2973" s="30">
        <f>IFERROR((VLOOKUP($A2973,HeadJournal!$A$1:$K$890,COLUMN(HeadJournal!K$1),0)-VLOOKUP($A2973,HeadJournal!$A$1:$K$890,COLUMN(HeadJournal!J$1),0))*($K2973+$L2973)/(SUMIF($A:$A,$A2973,$K:$K)+SUMIF($A:$A,$A2973,$L:$L)),0)</f>
        <v>0</v>
      </c>
      <c r="O2973" s="30">
        <f>IFERROR((VLOOKUP($A2973,HeadJournal!$A$1:$L$890,COLUMN(HeadJournal!L$1),0)*($K2973+$L2973)/(SUMIF($A:$A,$A2973,$K:$K)+SUMIF($A:$A,$A2973,$L:$L)))/VLOOKUP($A2973,HeadJournal!$A$1:$L$890,COLUMN(HeadJournal!H$1),0),0)</f>
        <v>43.47302849569251</v>
      </c>
      <c r="P2973" s="30">
        <f>IFERROR(SUM(K2973:O2973)*VLOOKUP($A2973,HeadJournal!$A$1:$L$890,COLUMN(HeadJournal!H$1),0),0)</f>
        <v>1763.4730284956925</v>
      </c>
      <c r="Q2973" s="29">
        <v>2200</v>
      </c>
      <c r="R2973" s="31">
        <v>45465</v>
      </c>
      <c r="S2973" s="31" t="s">
        <v>3121</v>
      </c>
      <c r="T2973" s="95" t="str">
        <f t="shared" si="238"/>
        <v>2024 06</v>
      </c>
      <c r="U2973" s="32">
        <f t="shared" si="235"/>
        <v>436.52697150430754</v>
      </c>
      <c r="V2973" s="22">
        <f t="shared" si="236"/>
        <v>0.24753821830588538</v>
      </c>
      <c r="X2973" s="33"/>
      <c r="Y2973" s="33"/>
    </row>
    <row r="2974" spans="1:25" x14ac:dyDescent="0.2">
      <c r="A2974" s="93" t="s">
        <v>1591</v>
      </c>
      <c r="B2974" s="94">
        <f>IFERROR(VLOOKUP($A2974,HeadJournal!$A$1:$NTR$890,COLUMN(HeadJournal!B$1),0),"")</f>
        <v>0</v>
      </c>
      <c r="C2974" s="94" t="str">
        <f>IFERROR(VLOOKUP($A2974,HeadJournal!$A$1:$NTR$890,COLUMN(HeadJournal!C$1),0),"")</f>
        <v>KingMass</v>
      </c>
      <c r="D2974" s="125" t="str">
        <f>IFERROR(VLOOKUP($A2974,HeadJournal!$A$1:$NTR$890,COLUMN(HeadJournal!D$1),0),"")</f>
        <v>Доставлен</v>
      </c>
      <c r="E2974" s="95">
        <f>IFERROR(VLOOKUP($A2974,HeadJournal!$A$1:$NTR$890,COLUMN(HeadJournal!G$1),0),"")</f>
        <v>45344</v>
      </c>
      <c r="F2974" s="95" t="str">
        <f t="shared" si="237"/>
        <v>2024 02</v>
      </c>
      <c r="G2974" s="96" t="s">
        <v>6</v>
      </c>
      <c r="H2974" s="161" t="str">
        <f>RIGHT(Journal!$J2974,9)</f>
        <v>000001802</v>
      </c>
      <c r="I2974" s="97" t="str">
        <f t="shared" si="234"/>
        <v>Scitec Nutrition</v>
      </c>
      <c r="J2974" s="97" t="s">
        <v>1600</v>
      </c>
      <c r="K2974" s="29">
        <v>850</v>
      </c>
      <c r="L2974" s="29">
        <v>0</v>
      </c>
      <c r="M2974" s="30">
        <f>IFERROR(VLOOKUP($A2974,HeadJournal!$A$1:$J$890,COLUMN(HeadJournal!I$1),0)*($K2974+$L2974)/(SUMIF($A:$A,$A2974,$K:$K)+SUMIF($A:$A,$A2974,$L:$L)),0)</f>
        <v>0</v>
      </c>
      <c r="N2974" s="30">
        <f>IFERROR((VLOOKUP($A2974,HeadJournal!$A$1:$K$890,COLUMN(HeadJournal!K$1),0)-VLOOKUP($A2974,HeadJournal!$A$1:$K$890,COLUMN(HeadJournal!J$1),0))*($K2974+$L2974)/(SUMIF($A:$A,$A2974,$K:$K)+SUMIF($A:$A,$A2974,$L:$L)),0)</f>
        <v>0</v>
      </c>
      <c r="O2974" s="30">
        <f>IFERROR((VLOOKUP($A2974,HeadJournal!$A$1:$L$890,COLUMN(HeadJournal!L$1),0)*($K2974+$L2974)/(SUMIF($A:$A,$A2974,$K:$K)+SUMIF($A:$A,$A2974,$L:$L)))/VLOOKUP($A2974,HeadJournal!$A$1:$L$890,COLUMN(HeadJournal!H$1),0),0)</f>
        <v>21.483764082173625</v>
      </c>
      <c r="P2974" s="30">
        <f>IFERROR(SUM(K2974:O2974)*VLOOKUP($A2974,HeadJournal!$A$1:$L$890,COLUMN(HeadJournal!H$1),0),0)</f>
        <v>871.48376408217359</v>
      </c>
      <c r="Q2974" s="29">
        <v>1700</v>
      </c>
      <c r="R2974" s="31">
        <v>45592</v>
      </c>
      <c r="S2974" s="31" t="s">
        <v>3121</v>
      </c>
      <c r="T2974" s="95" t="str">
        <f t="shared" si="238"/>
        <v>2024 10</v>
      </c>
      <c r="U2974" s="32">
        <f t="shared" si="235"/>
        <v>828.51623591782641</v>
      </c>
      <c r="V2974" s="22">
        <f t="shared" si="236"/>
        <v>0.9506961231692026</v>
      </c>
      <c r="X2974" s="33"/>
      <c r="Y2974" s="33"/>
    </row>
    <row r="2975" spans="1:25" x14ac:dyDescent="0.2">
      <c r="A2975" s="93" t="s">
        <v>1593</v>
      </c>
      <c r="B2975" s="94">
        <f>IFERROR(VLOOKUP($A2975,HeadJournal!$A$1:$NTR$890,COLUMN(HeadJournal!B$1),0),"")</f>
        <v>0</v>
      </c>
      <c r="C2975" s="94" t="str">
        <f>IFERROR(VLOOKUP($A2975,HeadJournal!$A$1:$NTR$890,COLUMN(HeadJournal!C$1),0),"")</f>
        <v>KingMass</v>
      </c>
      <c r="D2975" s="125" t="str">
        <f>IFERROR(VLOOKUP($A2975,HeadJournal!$A$1:$NTR$890,COLUMN(HeadJournal!D$1),0),"")</f>
        <v>Доставлен</v>
      </c>
      <c r="E2975" s="95">
        <f>IFERROR(VLOOKUP($A2975,HeadJournal!$A$1:$NTR$890,COLUMN(HeadJournal!G$1),0),"")</f>
        <v>45344</v>
      </c>
      <c r="F2975" s="95" t="str">
        <f t="shared" si="237"/>
        <v>2024 02</v>
      </c>
      <c r="G2975" s="96" t="s">
        <v>5</v>
      </c>
      <c r="H2975" s="161" t="str">
        <f>RIGHT(Journal!$J2975,9)</f>
        <v>000001369</v>
      </c>
      <c r="I2975" s="97" t="str">
        <f t="shared" si="234"/>
        <v>Solgar</v>
      </c>
      <c r="J2975" s="97" t="s">
        <v>3610</v>
      </c>
      <c r="K2975" s="29">
        <v>1370</v>
      </c>
      <c r="L2975" s="29">
        <v>0</v>
      </c>
      <c r="M2975" s="30">
        <f>IFERROR(VLOOKUP($A2975,HeadJournal!$A$1:$J$890,COLUMN(HeadJournal!I$1),0)*($K2975+$L2975)/(SUMIF($A:$A,$A2975,$K:$K)+SUMIF($A:$A,$A2975,$L:$L)),0)</f>
        <v>0</v>
      </c>
      <c r="N2975" s="30">
        <f>IFERROR((VLOOKUP($A2975,HeadJournal!$A$1:$K$890,COLUMN(HeadJournal!K$1),0)-VLOOKUP($A2975,HeadJournal!$A$1:$K$890,COLUMN(HeadJournal!J$1),0))*($K2975+$L2975)/(SUMIF($A:$A,$A2975,$K:$K)+SUMIF($A:$A,$A2975,$L:$L)),0)</f>
        <v>0</v>
      </c>
      <c r="O2975" s="30">
        <f>IFERROR((VLOOKUP($A2975,HeadJournal!$A$1:$L$890,COLUMN(HeadJournal!L$1),0)*($K2975+$L2975)/(SUMIF($A:$A,$A2975,$K:$K)+SUMIF($A:$A,$A2975,$L:$L)))/VLOOKUP($A2975,HeadJournal!$A$1:$L$890,COLUMN(HeadJournal!H$1),0),0)</f>
        <v>32.402207615031621</v>
      </c>
      <c r="P2975" s="30">
        <f>IFERROR(SUM(K2975:O2975)*VLOOKUP($A2975,HeadJournal!$A$1:$L$890,COLUMN(HeadJournal!H$1),0),0)</f>
        <v>1402.4022076150316</v>
      </c>
      <c r="Q2975" s="29">
        <v>1800</v>
      </c>
      <c r="R2975" s="31">
        <v>45362</v>
      </c>
      <c r="S2975" s="31" t="s">
        <v>3121</v>
      </c>
      <c r="T2975" s="95" t="str">
        <f t="shared" si="238"/>
        <v>2024 03</v>
      </c>
      <c r="U2975" s="32">
        <f t="shared" si="235"/>
        <v>397.59779238496844</v>
      </c>
      <c r="V2975" s="22">
        <f t="shared" si="236"/>
        <v>0.28351195557595099</v>
      </c>
      <c r="X2975" s="33"/>
      <c r="Y2975" s="33"/>
    </row>
    <row r="2976" spans="1:25" x14ac:dyDescent="0.2">
      <c r="A2976" s="93" t="s">
        <v>1593</v>
      </c>
      <c r="B2976" s="94">
        <f>IFERROR(VLOOKUP($A2976,HeadJournal!$A$1:$NTR$890,COLUMN(HeadJournal!B$1),0),"")</f>
        <v>0</v>
      </c>
      <c r="C2976" s="94" t="str">
        <f>IFERROR(VLOOKUP($A2976,HeadJournal!$A$1:$NTR$890,COLUMN(HeadJournal!C$1),0),"")</f>
        <v>KingMass</v>
      </c>
      <c r="D2976" s="125" t="str">
        <f>IFERROR(VLOOKUP($A2976,HeadJournal!$A$1:$NTR$890,COLUMN(HeadJournal!D$1),0),"")</f>
        <v>Доставлен</v>
      </c>
      <c r="E2976" s="95">
        <f>IFERROR(VLOOKUP($A2976,HeadJournal!$A$1:$NTR$890,COLUMN(HeadJournal!G$1),0),"")</f>
        <v>45344</v>
      </c>
      <c r="F2976" s="95" t="str">
        <f t="shared" si="237"/>
        <v>2024 02</v>
      </c>
      <c r="G2976" s="96" t="s">
        <v>6</v>
      </c>
      <c r="H2976" s="161" t="str">
        <f>RIGHT(Journal!$J2976,9)</f>
        <v>000004736</v>
      </c>
      <c r="I2976" s="97" t="str">
        <f t="shared" si="234"/>
        <v>Universal Nutrition</v>
      </c>
      <c r="J2976" s="97" t="s">
        <v>1601</v>
      </c>
      <c r="K2976" s="29">
        <v>2890</v>
      </c>
      <c r="L2976" s="29">
        <v>0</v>
      </c>
      <c r="M2976" s="30">
        <f>IFERROR(VLOOKUP($A2976,HeadJournal!$A$1:$J$890,COLUMN(HeadJournal!I$1),0)*($K2976+$L2976)/(SUMIF($A:$A,$A2976,$K:$K)+SUMIF($A:$A,$A2976,$L:$L)),0)</f>
        <v>0</v>
      </c>
      <c r="N2976" s="30">
        <f>IFERROR((VLOOKUP($A2976,HeadJournal!$A$1:$K$890,COLUMN(HeadJournal!K$1),0)-VLOOKUP($A2976,HeadJournal!$A$1:$K$890,COLUMN(HeadJournal!J$1),0))*($K2976+$L2976)/(SUMIF($A:$A,$A2976,$K:$K)+SUMIF($A:$A,$A2976,$L:$L)),0)</f>
        <v>0</v>
      </c>
      <c r="O2976" s="30">
        <f>IFERROR((VLOOKUP($A2976,HeadJournal!$A$1:$L$890,COLUMN(HeadJournal!L$1),0)*($K2976+$L2976)/(SUMIF($A:$A,$A2976,$K:$K)+SUMIF($A:$A,$A2976,$L:$L)))/VLOOKUP($A2976,HeadJournal!$A$1:$L$890,COLUMN(HeadJournal!H$1),0),0)</f>
        <v>68.352102195212694</v>
      </c>
      <c r="P2976" s="30">
        <f>IFERROR(SUM(K2976:O2976)*VLOOKUP($A2976,HeadJournal!$A$1:$L$890,COLUMN(HeadJournal!H$1),0),0)</f>
        <v>2958.3521021952129</v>
      </c>
      <c r="Q2976" s="29">
        <v>3800</v>
      </c>
      <c r="R2976" s="31">
        <v>45402</v>
      </c>
      <c r="S2976" s="31" t="s">
        <v>3121</v>
      </c>
      <c r="T2976" s="95" t="str">
        <f t="shared" si="238"/>
        <v>2024 04</v>
      </c>
      <c r="U2976" s="32">
        <f t="shared" si="235"/>
        <v>841.64789780478714</v>
      </c>
      <c r="V2976" s="22">
        <f t="shared" si="236"/>
        <v>0.28449889287358715</v>
      </c>
      <c r="X2976" s="33"/>
      <c r="Y2976" s="33"/>
    </row>
    <row r="2977" spans="1:25" x14ac:dyDescent="0.2">
      <c r="A2977" s="93" t="s">
        <v>1593</v>
      </c>
      <c r="B2977" s="94">
        <f>IFERROR(VLOOKUP($A2977,HeadJournal!$A$1:$NTR$890,COLUMN(HeadJournal!B$1),0),"")</f>
        <v>0</v>
      </c>
      <c r="C2977" s="94" t="str">
        <f>IFERROR(VLOOKUP($A2977,HeadJournal!$A$1:$NTR$890,COLUMN(HeadJournal!C$1),0),"")</f>
        <v>KingMass</v>
      </c>
      <c r="D2977" s="125" t="str">
        <f>IFERROR(VLOOKUP($A2977,HeadJournal!$A$1:$NTR$890,COLUMN(HeadJournal!D$1),0),"")</f>
        <v>Доставлен</v>
      </c>
      <c r="E2977" s="95">
        <f>IFERROR(VLOOKUP($A2977,HeadJournal!$A$1:$NTR$890,COLUMN(HeadJournal!G$1),0),"")</f>
        <v>45344</v>
      </c>
      <c r="F2977" s="95" t="str">
        <f t="shared" si="237"/>
        <v>2024 02</v>
      </c>
      <c r="G2977" s="96" t="s">
        <v>6</v>
      </c>
      <c r="H2977" s="161" t="str">
        <f>RIGHT(Journal!$J2977,9)</f>
        <v>000002098</v>
      </c>
      <c r="I2977" s="97" t="str">
        <f t="shared" si="234"/>
        <v>Tree of Life</v>
      </c>
      <c r="J2977" s="97" t="s">
        <v>1602</v>
      </c>
      <c r="K2977" s="29">
        <v>1410</v>
      </c>
      <c r="L2977" s="29">
        <v>0</v>
      </c>
      <c r="M2977" s="30">
        <f>IFERROR(VLOOKUP($A2977,HeadJournal!$A$1:$J$890,COLUMN(HeadJournal!I$1),0)*($K2977+$L2977)/(SUMIF($A:$A,$A2977,$K:$K)+SUMIF($A:$A,$A2977,$L:$L)),0)</f>
        <v>0</v>
      </c>
      <c r="N2977" s="30">
        <f>IFERROR((VLOOKUP($A2977,HeadJournal!$A$1:$K$890,COLUMN(HeadJournal!K$1),0)-VLOOKUP($A2977,HeadJournal!$A$1:$K$890,COLUMN(HeadJournal!J$1),0))*($K2977+$L2977)/(SUMIF($A:$A,$A2977,$K:$K)+SUMIF($A:$A,$A2977,$L:$L)),0)</f>
        <v>0</v>
      </c>
      <c r="O2977" s="30">
        <f>IFERROR((VLOOKUP($A2977,HeadJournal!$A$1:$L$890,COLUMN(HeadJournal!L$1),0)*($K2977+$L2977)/(SUMIF($A:$A,$A2977,$K:$K)+SUMIF($A:$A,$A2977,$L:$L)))/VLOOKUP($A2977,HeadJournal!$A$1:$L$890,COLUMN(HeadJournal!H$1),0),0)</f>
        <v>33.348257472404811</v>
      </c>
      <c r="P2977" s="30">
        <f>IFERROR(SUM(K2977:O2977)*VLOOKUP($A2977,HeadJournal!$A$1:$L$890,COLUMN(HeadJournal!H$1),0),0)</f>
        <v>1443.3482574724048</v>
      </c>
      <c r="Q2977" s="29">
        <v>2400</v>
      </c>
      <c r="R2977" s="31">
        <v>45447</v>
      </c>
      <c r="S2977" s="31" t="s">
        <v>3121</v>
      </c>
      <c r="T2977" s="95" t="str">
        <f t="shared" si="238"/>
        <v>2024 06</v>
      </c>
      <c r="U2977" s="32">
        <f t="shared" si="235"/>
        <v>956.65174252759516</v>
      </c>
      <c r="V2977" s="22">
        <f t="shared" si="236"/>
        <v>0.66280035852392694</v>
      </c>
      <c r="X2977" s="33"/>
      <c r="Y2977" s="33"/>
    </row>
    <row r="2978" spans="1:25" x14ac:dyDescent="0.2">
      <c r="A2978" s="93" t="s">
        <v>1593</v>
      </c>
      <c r="B2978" s="94">
        <f>IFERROR(VLOOKUP($A2978,HeadJournal!$A$1:$NTR$890,COLUMN(HeadJournal!B$1),0),"")</f>
        <v>0</v>
      </c>
      <c r="C2978" s="94" t="str">
        <f>IFERROR(VLOOKUP($A2978,HeadJournal!$A$1:$NTR$890,COLUMN(HeadJournal!C$1),0),"")</f>
        <v>KingMass</v>
      </c>
      <c r="D2978" s="125" t="str">
        <f>IFERROR(VLOOKUP($A2978,HeadJournal!$A$1:$NTR$890,COLUMN(HeadJournal!D$1),0),"")</f>
        <v>Доставлен</v>
      </c>
      <c r="E2978" s="95">
        <f>IFERROR(VLOOKUP($A2978,HeadJournal!$A$1:$NTR$890,COLUMN(HeadJournal!G$1),0),"")</f>
        <v>45344</v>
      </c>
      <c r="F2978" s="95" t="str">
        <f t="shared" si="237"/>
        <v>2024 02</v>
      </c>
      <c r="G2978" s="96" t="s">
        <v>6</v>
      </c>
      <c r="H2978" s="161" t="str">
        <f>RIGHT(Journal!$J2978,9)</f>
        <v>000004759</v>
      </c>
      <c r="I2978" s="97" t="str">
        <f t="shared" si="234"/>
        <v>Optimum System</v>
      </c>
      <c r="J2978" s="97" t="s">
        <v>1603</v>
      </c>
      <c r="K2978" s="29">
        <v>1890</v>
      </c>
      <c r="L2978" s="29">
        <v>0</v>
      </c>
      <c r="M2978" s="30">
        <f>IFERROR(VLOOKUP($A2978,HeadJournal!$A$1:$J$890,COLUMN(HeadJournal!I$1),0)*($K2978+$L2978)/(SUMIF($A:$A,$A2978,$K:$K)+SUMIF($A:$A,$A2978,$L:$L)),0)</f>
        <v>0</v>
      </c>
      <c r="N2978" s="30">
        <f>IFERROR((VLOOKUP($A2978,HeadJournal!$A$1:$K$890,COLUMN(HeadJournal!K$1),0)-VLOOKUP($A2978,HeadJournal!$A$1:$K$890,COLUMN(HeadJournal!J$1),0))*($K2978+$L2978)/(SUMIF($A:$A,$A2978,$K:$K)+SUMIF($A:$A,$A2978,$L:$L)),0)</f>
        <v>0</v>
      </c>
      <c r="O2978" s="30">
        <f>IFERROR((VLOOKUP($A2978,HeadJournal!$A$1:$L$890,COLUMN(HeadJournal!L$1),0)*($K2978+$L2978)/(SUMIF($A:$A,$A2978,$K:$K)+SUMIF($A:$A,$A2978,$L:$L)))/VLOOKUP($A2978,HeadJournal!$A$1:$L$890,COLUMN(HeadJournal!H$1),0),0)</f>
        <v>44.700855760883044</v>
      </c>
      <c r="P2978" s="30">
        <f>IFERROR(SUM(K2978:O2978)*VLOOKUP($A2978,HeadJournal!$A$1:$L$890,COLUMN(HeadJournal!H$1),0),0)</f>
        <v>1934.7008557608831</v>
      </c>
      <c r="Q2978" s="29"/>
      <c r="R2978" s="31"/>
      <c r="S2978" s="31"/>
      <c r="T2978" s="95" t="str">
        <f t="shared" si="238"/>
        <v/>
      </c>
      <c r="U2978" s="32">
        <f t="shared" si="235"/>
        <v>-1934.7008557608831</v>
      </c>
      <c r="V2978" s="22" t="str">
        <f t="shared" si="236"/>
        <v/>
      </c>
      <c r="X2978" s="33"/>
      <c r="Y2978" s="33"/>
    </row>
    <row r="2979" spans="1:25" x14ac:dyDescent="0.2">
      <c r="A2979" s="93" t="s">
        <v>1593</v>
      </c>
      <c r="B2979" s="94">
        <f>IFERROR(VLOOKUP($A2979,HeadJournal!$A$1:$NTR$890,COLUMN(HeadJournal!B$1),0),"")</f>
        <v>0</v>
      </c>
      <c r="C2979" s="94" t="str">
        <f>IFERROR(VLOOKUP($A2979,HeadJournal!$A$1:$NTR$890,COLUMN(HeadJournal!C$1),0),"")</f>
        <v>KingMass</v>
      </c>
      <c r="D2979" s="125" t="str">
        <f>IFERROR(VLOOKUP($A2979,HeadJournal!$A$1:$NTR$890,COLUMN(HeadJournal!D$1),0),"")</f>
        <v>Доставлен</v>
      </c>
      <c r="E2979" s="95">
        <f>IFERROR(VLOOKUP($A2979,HeadJournal!$A$1:$NTR$890,COLUMN(HeadJournal!G$1),0),"")</f>
        <v>45344</v>
      </c>
      <c r="F2979" s="95" t="str">
        <f t="shared" si="237"/>
        <v>2024 02</v>
      </c>
      <c r="G2979" s="96" t="s">
        <v>6</v>
      </c>
      <c r="H2979" s="161" t="str">
        <f>RIGHT(Journal!$J2979,9)</f>
        <v>000004760</v>
      </c>
      <c r="I2979" s="97" t="str">
        <f t="shared" si="234"/>
        <v>Optimum System</v>
      </c>
      <c r="J2979" s="97" t="s">
        <v>1604</v>
      </c>
      <c r="K2979" s="29">
        <v>1890</v>
      </c>
      <c r="L2979" s="29">
        <v>0</v>
      </c>
      <c r="M2979" s="30">
        <f>IFERROR(VLOOKUP($A2979,HeadJournal!$A$1:$J$890,COLUMN(HeadJournal!I$1),0)*($K2979+$L2979)/(SUMIF($A:$A,$A2979,$K:$K)+SUMIF($A:$A,$A2979,$L:$L)),0)</f>
        <v>0</v>
      </c>
      <c r="N2979" s="30">
        <f>IFERROR((VLOOKUP($A2979,HeadJournal!$A$1:$K$890,COLUMN(HeadJournal!K$1),0)-VLOOKUP($A2979,HeadJournal!$A$1:$K$890,COLUMN(HeadJournal!J$1),0))*($K2979+$L2979)/(SUMIF($A:$A,$A2979,$K:$K)+SUMIF($A:$A,$A2979,$L:$L)),0)</f>
        <v>0</v>
      </c>
      <c r="O2979" s="30">
        <f>IFERROR((VLOOKUP($A2979,HeadJournal!$A$1:$L$890,COLUMN(HeadJournal!L$1),0)*($K2979+$L2979)/(SUMIF($A:$A,$A2979,$K:$K)+SUMIF($A:$A,$A2979,$L:$L)))/VLOOKUP($A2979,HeadJournal!$A$1:$L$890,COLUMN(HeadJournal!H$1),0),0)</f>
        <v>44.700855760883044</v>
      </c>
      <c r="P2979" s="30">
        <f>IFERROR(SUM(K2979:O2979)*VLOOKUP($A2979,HeadJournal!$A$1:$L$890,COLUMN(HeadJournal!H$1),0),0)</f>
        <v>1934.7008557608831</v>
      </c>
      <c r="Q2979" s="29">
        <v>3000</v>
      </c>
      <c r="R2979" s="31">
        <v>45392</v>
      </c>
      <c r="S2979" s="31" t="s">
        <v>3121</v>
      </c>
      <c r="T2979" s="95" t="str">
        <f t="shared" si="238"/>
        <v>2024 04</v>
      </c>
      <c r="U2979" s="32">
        <f t="shared" si="235"/>
        <v>1065.2991442391169</v>
      </c>
      <c r="V2979" s="22">
        <f t="shared" si="236"/>
        <v>0.5506273184647732</v>
      </c>
      <c r="X2979" s="33"/>
      <c r="Y2979" s="33"/>
    </row>
    <row r="2980" spans="1:25" x14ac:dyDescent="0.2">
      <c r="A2980" s="93" t="s">
        <v>1593</v>
      </c>
      <c r="B2980" s="94">
        <f>IFERROR(VLOOKUP($A2980,HeadJournal!$A$1:$NTR$890,COLUMN(HeadJournal!B$1),0),"")</f>
        <v>0</v>
      </c>
      <c r="C2980" s="94" t="str">
        <f>IFERROR(VLOOKUP($A2980,HeadJournal!$A$1:$NTR$890,COLUMN(HeadJournal!C$1),0),"")</f>
        <v>KingMass</v>
      </c>
      <c r="D2980" s="125" t="str">
        <f>IFERROR(VLOOKUP($A2980,HeadJournal!$A$1:$NTR$890,COLUMN(HeadJournal!D$1),0),"")</f>
        <v>Доставлен</v>
      </c>
      <c r="E2980" s="95">
        <f>IFERROR(VLOOKUP($A2980,HeadJournal!$A$1:$NTR$890,COLUMN(HeadJournal!G$1),0),"")</f>
        <v>45344</v>
      </c>
      <c r="F2980" s="95" t="str">
        <f t="shared" si="237"/>
        <v>2024 02</v>
      </c>
      <c r="G2980" s="96" t="s">
        <v>5</v>
      </c>
      <c r="H2980" s="161" t="str">
        <f>RIGHT(Journal!$J2980,9)</f>
        <v>000003037</v>
      </c>
      <c r="I2980" s="97" t="str">
        <f t="shared" si="234"/>
        <v>NOW Foods</v>
      </c>
      <c r="J2980" s="97" t="s">
        <v>1605</v>
      </c>
      <c r="K2980" s="29">
        <v>954</v>
      </c>
      <c r="L2980" s="29">
        <v>0</v>
      </c>
      <c r="M2980" s="30">
        <f>IFERROR(VLOOKUP($A2980,HeadJournal!$A$1:$J$890,COLUMN(HeadJournal!I$1),0)*($K2980+$L2980)/(SUMIF($A:$A,$A2980,$K:$K)+SUMIF($A:$A,$A2980,$L:$L)),0)</f>
        <v>0</v>
      </c>
      <c r="N2980" s="30">
        <f>IFERROR((VLOOKUP($A2980,HeadJournal!$A$1:$K$890,COLUMN(HeadJournal!K$1),0)-VLOOKUP($A2980,HeadJournal!$A$1:$K$890,COLUMN(HeadJournal!J$1),0))*($K2980+$L2980)/(SUMIF($A:$A,$A2980,$K:$K)+SUMIF($A:$A,$A2980,$L:$L)),0)</f>
        <v>0</v>
      </c>
      <c r="O2980" s="30">
        <f>IFERROR((VLOOKUP($A2980,HeadJournal!$A$1:$L$890,COLUMN(HeadJournal!L$1),0)*($K2980+$L2980)/(SUMIF($A:$A,$A2980,$K:$K)+SUMIF($A:$A,$A2980,$L:$L)))/VLOOKUP($A2980,HeadJournal!$A$1:$L$890,COLUMN(HeadJournal!H$1),0),0)</f>
        <v>22.563289098350488</v>
      </c>
      <c r="P2980" s="30">
        <f>IFERROR(SUM(K2980:O2980)*VLOOKUP($A2980,HeadJournal!$A$1:$L$890,COLUMN(HeadJournal!H$1),0),0)</f>
        <v>976.56328909835054</v>
      </c>
      <c r="Q2980" s="29">
        <v>1700</v>
      </c>
      <c r="R2980" s="31">
        <v>45359</v>
      </c>
      <c r="S2980" s="31" t="s">
        <v>3121</v>
      </c>
      <c r="T2980" s="95" t="str">
        <f t="shared" si="238"/>
        <v>2024 03</v>
      </c>
      <c r="U2980" s="32">
        <f t="shared" si="235"/>
        <v>723.43671090164946</v>
      </c>
      <c r="V2980" s="22">
        <f t="shared" si="236"/>
        <v>0.74079859337083021</v>
      </c>
      <c r="X2980" s="33"/>
      <c r="Y2980" s="33"/>
    </row>
    <row r="2981" spans="1:25" x14ac:dyDescent="0.2">
      <c r="A2981" s="93" t="s">
        <v>1593</v>
      </c>
      <c r="B2981" s="94">
        <f>IFERROR(VLOOKUP($A2981,HeadJournal!$A$1:$NTR$890,COLUMN(HeadJournal!B$1),0),"")</f>
        <v>0</v>
      </c>
      <c r="C2981" s="94" t="str">
        <f>IFERROR(VLOOKUP($A2981,HeadJournal!$A$1:$NTR$890,COLUMN(HeadJournal!C$1),0),"")</f>
        <v>KingMass</v>
      </c>
      <c r="D2981" s="125" t="str">
        <f>IFERROR(VLOOKUP($A2981,HeadJournal!$A$1:$NTR$890,COLUMN(HeadJournal!D$1),0),"")</f>
        <v>Доставлен</v>
      </c>
      <c r="E2981" s="95">
        <f>IFERROR(VLOOKUP($A2981,HeadJournal!$A$1:$NTR$890,COLUMN(HeadJournal!G$1),0),"")</f>
        <v>45344</v>
      </c>
      <c r="F2981" s="95" t="str">
        <f t="shared" si="237"/>
        <v>2024 02</v>
      </c>
      <c r="G2981" s="96" t="s">
        <v>5</v>
      </c>
      <c r="H2981" s="161" t="str">
        <f>RIGHT(Journal!$J2981,9)</f>
        <v>000003037</v>
      </c>
      <c r="I2981" s="97" t="str">
        <f t="shared" si="234"/>
        <v>NOW Foods</v>
      </c>
      <c r="J2981" s="97" t="s">
        <v>1605</v>
      </c>
      <c r="K2981" s="29">
        <v>954</v>
      </c>
      <c r="L2981" s="29">
        <v>0</v>
      </c>
      <c r="M2981" s="30">
        <f>IFERROR(VLOOKUP($A2981,HeadJournal!$A$1:$J$890,COLUMN(HeadJournal!I$1),0)*($K2981+$L2981)/(SUMIF($A:$A,$A2981,$K:$K)+SUMIF($A:$A,$A2981,$L:$L)),0)</f>
        <v>0</v>
      </c>
      <c r="N2981" s="30">
        <f>IFERROR((VLOOKUP($A2981,HeadJournal!$A$1:$K$890,COLUMN(HeadJournal!K$1),0)-VLOOKUP($A2981,HeadJournal!$A$1:$K$890,COLUMN(HeadJournal!J$1),0))*($K2981+$L2981)/(SUMIF($A:$A,$A2981,$K:$K)+SUMIF($A:$A,$A2981,$L:$L)),0)</f>
        <v>0</v>
      </c>
      <c r="O2981" s="30">
        <f>IFERROR((VLOOKUP($A2981,HeadJournal!$A$1:$L$890,COLUMN(HeadJournal!L$1),0)*($K2981+$L2981)/(SUMIF($A:$A,$A2981,$K:$K)+SUMIF($A:$A,$A2981,$L:$L)))/VLOOKUP($A2981,HeadJournal!$A$1:$L$890,COLUMN(HeadJournal!H$1),0),0)</f>
        <v>22.563289098350488</v>
      </c>
      <c r="P2981" s="30">
        <f>IFERROR(SUM(K2981:O2981)*VLOOKUP($A2981,HeadJournal!$A$1:$L$890,COLUMN(HeadJournal!H$1),0),0)</f>
        <v>976.56328909835054</v>
      </c>
      <c r="Q2981" s="29">
        <v>1700</v>
      </c>
      <c r="R2981" s="31">
        <v>45405</v>
      </c>
      <c r="S2981" s="31" t="s">
        <v>3121</v>
      </c>
      <c r="T2981" s="95" t="str">
        <f t="shared" si="238"/>
        <v>2024 04</v>
      </c>
      <c r="U2981" s="32">
        <f t="shared" si="235"/>
        <v>723.43671090164946</v>
      </c>
      <c r="V2981" s="22">
        <f t="shared" si="236"/>
        <v>0.74079859337083021</v>
      </c>
      <c r="X2981" s="33"/>
      <c r="Y2981" s="33"/>
    </row>
    <row r="2982" spans="1:25" x14ac:dyDescent="0.2">
      <c r="A2982" s="93" t="s">
        <v>1593</v>
      </c>
      <c r="B2982" s="94">
        <f>IFERROR(VLOOKUP($A2982,HeadJournal!$A$1:$NTR$890,COLUMN(HeadJournal!B$1),0),"")</f>
        <v>0</v>
      </c>
      <c r="C2982" s="94" t="str">
        <f>IFERROR(VLOOKUP($A2982,HeadJournal!$A$1:$NTR$890,COLUMN(HeadJournal!C$1),0),"")</f>
        <v>KingMass</v>
      </c>
      <c r="D2982" s="125" t="str">
        <f>IFERROR(VLOOKUP($A2982,HeadJournal!$A$1:$NTR$890,COLUMN(HeadJournal!D$1),0),"")</f>
        <v>Доставлен</v>
      </c>
      <c r="E2982" s="95">
        <f>IFERROR(VLOOKUP($A2982,HeadJournal!$A$1:$NTR$890,COLUMN(HeadJournal!G$1),0),"")</f>
        <v>45344</v>
      </c>
      <c r="F2982" s="95" t="str">
        <f t="shared" si="237"/>
        <v>2024 02</v>
      </c>
      <c r="G2982" s="96" t="s">
        <v>5</v>
      </c>
      <c r="H2982" s="161" t="s">
        <v>2174</v>
      </c>
      <c r="I2982" s="97" t="s">
        <v>2005</v>
      </c>
      <c r="J2982" s="97" t="s">
        <v>2175</v>
      </c>
      <c r="K2982" s="29">
        <v>544</v>
      </c>
      <c r="L2982" s="29">
        <v>0</v>
      </c>
      <c r="M2982" s="30">
        <f>IFERROR(VLOOKUP($A2982,HeadJournal!$A$1:$J$890,COLUMN(HeadJournal!I$1),0)*($K2982+$L2982)/(SUMIF($A:$A,$A2982,$K:$K)+SUMIF($A:$A,$A2982,$L:$L)),0)</f>
        <v>0</v>
      </c>
      <c r="N2982" s="30">
        <f>IFERROR((VLOOKUP($A2982,HeadJournal!$A$1:$K$890,COLUMN(HeadJournal!K$1),0)-VLOOKUP($A2982,HeadJournal!$A$1:$K$890,COLUMN(HeadJournal!J$1),0))*($K2982+$L2982)/(SUMIF($A:$A,$A2982,$K:$K)+SUMIF($A:$A,$A2982,$L:$L)),0)</f>
        <v>0</v>
      </c>
      <c r="O2982" s="30">
        <f>IFERROR((VLOOKUP($A2982,HeadJournal!$A$1:$L$890,COLUMN(HeadJournal!L$1),0)*($K2982+$L2982)/(SUMIF($A:$A,$A2982,$K:$K)+SUMIF($A:$A,$A2982,$L:$L)))/VLOOKUP($A2982,HeadJournal!$A$1:$L$890,COLUMN(HeadJournal!H$1),0),0)</f>
        <v>12.866278060275331</v>
      </c>
      <c r="P2982" s="30">
        <f>IFERROR(SUM(K2982:O2982)*VLOOKUP($A2982,HeadJournal!$A$1:$L$890,COLUMN(HeadJournal!H$1),0),0)</f>
        <v>556.86627806027536</v>
      </c>
      <c r="Q2982" s="29">
        <v>1200</v>
      </c>
      <c r="R2982" s="31">
        <v>45480</v>
      </c>
      <c r="S2982" s="31" t="s">
        <v>3121</v>
      </c>
      <c r="T2982" s="95" t="str">
        <f t="shared" si="238"/>
        <v>2024 07</v>
      </c>
      <c r="U2982" s="32">
        <f t="shared" si="235"/>
        <v>643.13372193972464</v>
      </c>
      <c r="V2982" s="22">
        <f t="shared" si="236"/>
        <v>1.1549159058076626</v>
      </c>
      <c r="X2982" s="33"/>
      <c r="Y2982" s="33"/>
    </row>
    <row r="2983" spans="1:25" x14ac:dyDescent="0.2">
      <c r="A2983" s="93" t="s">
        <v>1593</v>
      </c>
      <c r="B2983" s="94">
        <f>IFERROR(VLOOKUP($A2983,HeadJournal!$A$1:$NTR$890,COLUMN(HeadJournal!B$1),0),"")</f>
        <v>0</v>
      </c>
      <c r="C2983" s="94" t="str">
        <f>IFERROR(VLOOKUP($A2983,HeadJournal!$A$1:$NTR$890,COLUMN(HeadJournal!C$1),0),"")</f>
        <v>KingMass</v>
      </c>
      <c r="D2983" s="125" t="str">
        <f>IFERROR(VLOOKUP($A2983,HeadJournal!$A$1:$NTR$890,COLUMN(HeadJournal!D$1),0),"")</f>
        <v>Доставлен</v>
      </c>
      <c r="E2983" s="95">
        <f>IFERROR(VLOOKUP($A2983,HeadJournal!$A$1:$NTR$890,COLUMN(HeadJournal!G$1),0),"")</f>
        <v>45344</v>
      </c>
      <c r="F2983" s="95" t="str">
        <f t="shared" si="237"/>
        <v>2024 02</v>
      </c>
      <c r="G2983" s="96" t="s">
        <v>5</v>
      </c>
      <c r="H2983" s="161" t="s">
        <v>2174</v>
      </c>
      <c r="I2983" s="97" t="s">
        <v>2005</v>
      </c>
      <c r="J2983" s="97" t="s">
        <v>2175</v>
      </c>
      <c r="K2983" s="29">
        <v>544</v>
      </c>
      <c r="L2983" s="29">
        <v>0</v>
      </c>
      <c r="M2983" s="30">
        <f>IFERROR(VLOOKUP($A2983,HeadJournal!$A$1:$J$890,COLUMN(HeadJournal!I$1),0)*($K2983+$L2983)/(SUMIF($A:$A,$A2983,$K:$K)+SUMIF($A:$A,$A2983,$L:$L)),0)</f>
        <v>0</v>
      </c>
      <c r="N2983" s="30">
        <f>IFERROR((VLOOKUP($A2983,HeadJournal!$A$1:$K$890,COLUMN(HeadJournal!K$1),0)-VLOOKUP($A2983,HeadJournal!$A$1:$K$890,COLUMN(HeadJournal!J$1),0))*($K2983+$L2983)/(SUMIF($A:$A,$A2983,$K:$K)+SUMIF($A:$A,$A2983,$L:$L)),0)</f>
        <v>0</v>
      </c>
      <c r="O2983" s="30">
        <f>IFERROR((VLOOKUP($A2983,HeadJournal!$A$1:$L$890,COLUMN(HeadJournal!L$1),0)*($K2983+$L2983)/(SUMIF($A:$A,$A2983,$K:$K)+SUMIF($A:$A,$A2983,$L:$L)))/VLOOKUP($A2983,HeadJournal!$A$1:$L$890,COLUMN(HeadJournal!H$1),0),0)</f>
        <v>12.866278060275331</v>
      </c>
      <c r="P2983" s="30">
        <f>IFERROR(SUM(K2983:O2983)*VLOOKUP($A2983,HeadJournal!$A$1:$L$890,COLUMN(HeadJournal!H$1),0),0)</f>
        <v>556.86627806027536</v>
      </c>
      <c r="Q2983" s="29"/>
      <c r="R2983" s="31"/>
      <c r="S2983" s="31"/>
      <c r="T2983" s="95" t="str">
        <f t="shared" si="238"/>
        <v/>
      </c>
      <c r="U2983" s="32">
        <f t="shared" si="235"/>
        <v>-556.86627806027536</v>
      </c>
      <c r="V2983" s="22" t="str">
        <f t="shared" si="236"/>
        <v/>
      </c>
      <c r="X2983" s="33"/>
      <c r="Y2983" s="33"/>
    </row>
    <row r="2984" spans="1:25" x14ac:dyDescent="0.2">
      <c r="A2984" s="93" t="s">
        <v>1593</v>
      </c>
      <c r="B2984" s="94">
        <f>IFERROR(VLOOKUP($A2984,HeadJournal!$A$1:$NTR$890,COLUMN(HeadJournal!B$1),0),"")</f>
        <v>0</v>
      </c>
      <c r="C2984" s="94" t="str">
        <f>IFERROR(VLOOKUP($A2984,HeadJournal!$A$1:$NTR$890,COLUMN(HeadJournal!C$1),0),"")</f>
        <v>KingMass</v>
      </c>
      <c r="D2984" s="125" t="str">
        <f>IFERROR(VLOOKUP($A2984,HeadJournal!$A$1:$NTR$890,COLUMN(HeadJournal!D$1),0),"")</f>
        <v>Доставлен</v>
      </c>
      <c r="E2984" s="95">
        <f>IFERROR(VLOOKUP($A2984,HeadJournal!$A$1:$NTR$890,COLUMN(HeadJournal!G$1),0),"")</f>
        <v>45344</v>
      </c>
      <c r="F2984" s="95" t="str">
        <f t="shared" si="237"/>
        <v>2024 02</v>
      </c>
      <c r="G2984" s="96" t="s">
        <v>5</v>
      </c>
      <c r="H2984" s="161" t="str">
        <f>RIGHT(Journal!$J2984,9)</f>
        <v>000002982</v>
      </c>
      <c r="I2984" s="97" t="str">
        <f t="shared" si="234"/>
        <v>NOW Foods</v>
      </c>
      <c r="J2984" s="97" t="s">
        <v>1606</v>
      </c>
      <c r="K2984" s="29">
        <v>1840</v>
      </c>
      <c r="L2984" s="29">
        <v>0</v>
      </c>
      <c r="M2984" s="30">
        <f>IFERROR(VLOOKUP($A2984,HeadJournal!$A$1:$J$890,COLUMN(HeadJournal!I$1),0)*($K2984+$L2984)/(SUMIF($A:$A,$A2984,$K:$K)+SUMIF($A:$A,$A2984,$L:$L)),0)</f>
        <v>0</v>
      </c>
      <c r="N2984" s="30">
        <f>IFERROR((VLOOKUP($A2984,HeadJournal!$A$1:$K$890,COLUMN(HeadJournal!K$1),0)-VLOOKUP($A2984,HeadJournal!$A$1:$K$890,COLUMN(HeadJournal!J$1),0))*($K2984+$L2984)/(SUMIF($A:$A,$A2984,$K:$K)+SUMIF($A:$A,$A2984,$L:$L)),0)</f>
        <v>0</v>
      </c>
      <c r="O2984" s="30">
        <f>IFERROR((VLOOKUP($A2984,HeadJournal!$A$1:$L$890,COLUMN(HeadJournal!L$1),0)*($K2984+$L2984)/(SUMIF($A:$A,$A2984,$K:$K)+SUMIF($A:$A,$A2984,$L:$L)))/VLOOKUP($A2984,HeadJournal!$A$1:$L$890,COLUMN(HeadJournal!H$1),0),0)</f>
        <v>43.518293439166563</v>
      </c>
      <c r="P2984" s="30">
        <f>IFERROR(SUM(K2984:O2984)*VLOOKUP($A2984,HeadJournal!$A$1:$L$890,COLUMN(HeadJournal!H$1),0),0)</f>
        <v>1883.5182934391667</v>
      </c>
      <c r="Q2984" s="29">
        <v>3000</v>
      </c>
      <c r="R2984" s="31">
        <v>45367</v>
      </c>
      <c r="S2984" s="31" t="s">
        <v>3121</v>
      </c>
      <c r="T2984" s="95" t="str">
        <f t="shared" si="238"/>
        <v>2024 03</v>
      </c>
      <c r="U2984" s="32">
        <f t="shared" si="235"/>
        <v>1116.4817065608333</v>
      </c>
      <c r="V2984" s="22">
        <f t="shared" si="236"/>
        <v>0.59276393037957675</v>
      </c>
      <c r="X2984" s="33"/>
      <c r="Y2984" s="33"/>
    </row>
    <row r="2985" spans="1:25" x14ac:dyDescent="0.2">
      <c r="A2985" s="93" t="s">
        <v>1593</v>
      </c>
      <c r="B2985" s="94">
        <f>IFERROR(VLOOKUP($A2985,HeadJournal!$A$1:$NTR$890,COLUMN(HeadJournal!B$1),0),"")</f>
        <v>0</v>
      </c>
      <c r="C2985" s="94" t="str">
        <f>IFERROR(VLOOKUP($A2985,HeadJournal!$A$1:$NTR$890,COLUMN(HeadJournal!C$1),0),"")</f>
        <v>KingMass</v>
      </c>
      <c r="D2985" s="125" t="str">
        <f>IFERROR(VLOOKUP($A2985,HeadJournal!$A$1:$NTR$890,COLUMN(HeadJournal!D$1),0),"")</f>
        <v>Доставлен</v>
      </c>
      <c r="E2985" s="95">
        <f>IFERROR(VLOOKUP($A2985,HeadJournal!$A$1:$NTR$890,COLUMN(HeadJournal!G$1),0),"")</f>
        <v>45344</v>
      </c>
      <c r="F2985" s="95" t="str">
        <f t="shared" si="237"/>
        <v>2024 02</v>
      </c>
      <c r="G2985" s="96" t="s">
        <v>5</v>
      </c>
      <c r="H2985" s="161" t="str">
        <f>RIGHT(Journal!$J2985,9)</f>
        <v>000002982</v>
      </c>
      <c r="I2985" s="97" t="str">
        <f t="shared" si="234"/>
        <v>NOW Foods</v>
      </c>
      <c r="J2985" s="97" t="s">
        <v>1606</v>
      </c>
      <c r="K2985" s="29">
        <v>1840</v>
      </c>
      <c r="L2985" s="29">
        <v>0</v>
      </c>
      <c r="M2985" s="30">
        <f>IFERROR(VLOOKUP($A2985,HeadJournal!$A$1:$J$890,COLUMN(HeadJournal!I$1),0)*($K2985+$L2985)/(SUMIF($A:$A,$A2985,$K:$K)+SUMIF($A:$A,$A2985,$L:$L)),0)</f>
        <v>0</v>
      </c>
      <c r="N2985" s="30">
        <f>IFERROR((VLOOKUP($A2985,HeadJournal!$A$1:$K$890,COLUMN(HeadJournal!K$1),0)-VLOOKUP($A2985,HeadJournal!$A$1:$K$890,COLUMN(HeadJournal!J$1),0))*($K2985+$L2985)/(SUMIF($A:$A,$A2985,$K:$K)+SUMIF($A:$A,$A2985,$L:$L)),0)</f>
        <v>0</v>
      </c>
      <c r="O2985" s="30">
        <f>IFERROR((VLOOKUP($A2985,HeadJournal!$A$1:$L$890,COLUMN(HeadJournal!L$1),0)*($K2985+$L2985)/(SUMIF($A:$A,$A2985,$K:$K)+SUMIF($A:$A,$A2985,$L:$L)))/VLOOKUP($A2985,HeadJournal!$A$1:$L$890,COLUMN(HeadJournal!H$1),0),0)</f>
        <v>43.518293439166563</v>
      </c>
      <c r="P2985" s="30">
        <f>IFERROR(SUM(K2985:O2985)*VLOOKUP($A2985,HeadJournal!$A$1:$L$890,COLUMN(HeadJournal!H$1),0),0)</f>
        <v>1883.5182934391667</v>
      </c>
      <c r="Q2985" s="29">
        <v>2900</v>
      </c>
      <c r="R2985" s="31">
        <v>45402</v>
      </c>
      <c r="S2985" s="31" t="s">
        <v>3121</v>
      </c>
      <c r="T2985" s="95" t="str">
        <f t="shared" si="238"/>
        <v>2024 04</v>
      </c>
      <c r="U2985" s="32">
        <f t="shared" si="235"/>
        <v>1016.4817065608333</v>
      </c>
      <c r="V2985" s="22">
        <f t="shared" si="236"/>
        <v>0.53967179936692422</v>
      </c>
      <c r="X2985" s="33"/>
      <c r="Y2985" s="33"/>
    </row>
    <row r="2986" spans="1:25" x14ac:dyDescent="0.2">
      <c r="A2986" s="93" t="s">
        <v>1607</v>
      </c>
      <c r="B2986" s="94">
        <f>IFERROR(VLOOKUP($A2986,HeadJournal!$A$1:$NTR$890,COLUMN(HeadJournal!B$1),0),"")</f>
        <v>0</v>
      </c>
      <c r="C2986" s="94" t="str">
        <f>IFERROR(VLOOKUP($A2986,HeadJournal!$A$1:$NTR$890,COLUMN(HeadJournal!C$1),0),"")</f>
        <v>OZON_OA</v>
      </c>
      <c r="D2986" s="125" t="str">
        <f>IFERROR(VLOOKUP($A2986,HeadJournal!$A$1:$NTR$890,COLUMN(HeadJournal!D$1),0),"")</f>
        <v>Доставлен</v>
      </c>
      <c r="E2986" s="95">
        <f>IFERROR(VLOOKUP($A2986,HeadJournal!$A$1:$NTR$890,COLUMN(HeadJournal!G$1),0),"")</f>
        <v>45320</v>
      </c>
      <c r="F2986" s="95" t="str">
        <f t="shared" si="237"/>
        <v>2024 01</v>
      </c>
      <c r="G2986" s="96" t="s">
        <v>5</v>
      </c>
      <c r="H2986" s="161" t="str">
        <f>RIGHT(Journal!$J2986,9)</f>
        <v>701059656</v>
      </c>
      <c r="I2986" s="97" t="str">
        <f t="shared" si="234"/>
        <v>Eco Energy food</v>
      </c>
      <c r="J2986" s="97" t="s">
        <v>1608</v>
      </c>
      <c r="K2986" s="29">
        <v>630</v>
      </c>
      <c r="L2986" s="29">
        <v>0</v>
      </c>
      <c r="M2986" s="30">
        <f>IFERROR(VLOOKUP($A2986,HeadJournal!$A$1:$J$890,COLUMN(HeadJournal!I$1),0)*($K2986+$L2986)/(SUMIF($A:$A,$A2986,$K:$K)+SUMIF($A:$A,$A2986,$L:$L)),0)</f>
        <v>0</v>
      </c>
      <c r="N2986" s="30">
        <f>IFERROR((VLOOKUP($A2986,HeadJournal!$A$1:$K$890,COLUMN(HeadJournal!K$1),0)-VLOOKUP($A2986,HeadJournal!$A$1:$K$890,COLUMN(HeadJournal!J$1),0))*($K2986+$L2986)/(SUMIF($A:$A,$A2986,$K:$K)+SUMIF($A:$A,$A2986,$L:$L)),0)</f>
        <v>0</v>
      </c>
      <c r="O2986" s="30">
        <f>IFERROR((VLOOKUP($A2986,HeadJournal!$A$1:$L$890,COLUMN(HeadJournal!L$1),0)*($K2986+$L2986)/(SUMIF($A:$A,$A2986,$K:$K)+SUMIF($A:$A,$A2986,$L:$L)))/VLOOKUP($A2986,HeadJournal!$A$1:$L$890,COLUMN(HeadJournal!H$1),0),0)</f>
        <v>0</v>
      </c>
      <c r="P2986" s="30">
        <f>IFERROR(SUM(K2986:O2986)*VLOOKUP($A2986,HeadJournal!$A$1:$L$890,COLUMN(HeadJournal!H$1),0),0)</f>
        <v>630</v>
      </c>
      <c r="Q2986" s="29"/>
      <c r="R2986" s="31"/>
      <c r="S2986" s="31"/>
      <c r="T2986" s="95" t="str">
        <f t="shared" si="238"/>
        <v/>
      </c>
      <c r="U2986" s="32">
        <f t="shared" si="235"/>
        <v>-630</v>
      </c>
      <c r="V2986" s="22" t="str">
        <f t="shared" si="236"/>
        <v/>
      </c>
      <c r="X2986" s="33"/>
      <c r="Y2986" s="33"/>
    </row>
    <row r="2987" spans="1:25" x14ac:dyDescent="0.2">
      <c r="A2987" s="93" t="s">
        <v>1609</v>
      </c>
      <c r="B2987" s="94">
        <f>IFERROR(VLOOKUP($A2987,HeadJournal!$A$1:$NTR$890,COLUMN(HeadJournal!B$1),0),"")</f>
        <v>0</v>
      </c>
      <c r="C2987" s="94" t="str">
        <f>IFERROR(VLOOKUP($A2987,HeadJournal!$A$1:$NTR$890,COLUMN(HeadJournal!C$1),0),"")</f>
        <v>OZON_OA</v>
      </c>
      <c r="D2987" s="125" t="str">
        <f>IFERROR(VLOOKUP($A2987,HeadJournal!$A$1:$NTR$890,COLUMN(HeadJournal!D$1),0),"")</f>
        <v>Доставлен</v>
      </c>
      <c r="E2987" s="95">
        <f>IFERROR(VLOOKUP($A2987,HeadJournal!$A$1:$NTR$890,COLUMN(HeadJournal!G$1),0),"")</f>
        <v>45327</v>
      </c>
      <c r="F2987" s="95" t="str">
        <f t="shared" si="237"/>
        <v>2024 02</v>
      </c>
      <c r="G2987" s="96" t="s">
        <v>6</v>
      </c>
      <c r="H2987" s="161" t="str">
        <f>RIGHT(Journal!$J2987,9)</f>
        <v>095246917</v>
      </c>
      <c r="I2987" s="97" t="str">
        <f t="shared" si="234"/>
        <v>R-Line</v>
      </c>
      <c r="J2987" s="97" t="s">
        <v>1053</v>
      </c>
      <c r="K2987" s="29">
        <v>1248</v>
      </c>
      <c r="L2987" s="29">
        <v>0</v>
      </c>
      <c r="M2987" s="30">
        <f>IFERROR(VLOOKUP($A2987,HeadJournal!$A$1:$J$890,COLUMN(HeadJournal!I$1),0)*($K2987+$L2987)/(SUMIF($A:$A,$A2987,$K:$K)+SUMIF($A:$A,$A2987,$L:$L)),0)</f>
        <v>0</v>
      </c>
      <c r="N2987" s="30">
        <f>IFERROR((VLOOKUP($A2987,HeadJournal!$A$1:$K$890,COLUMN(HeadJournal!K$1),0)-VLOOKUP($A2987,HeadJournal!$A$1:$K$890,COLUMN(HeadJournal!J$1),0))*($K2987+$L2987)/(SUMIF($A:$A,$A2987,$K:$K)+SUMIF($A:$A,$A2987,$L:$L)),0)</f>
        <v>0</v>
      </c>
      <c r="O2987" s="30">
        <f>IFERROR((VLOOKUP($A2987,HeadJournal!$A$1:$L$890,COLUMN(HeadJournal!L$1),0)*($K2987+$L2987)/(SUMIF($A:$A,$A2987,$K:$K)+SUMIF($A:$A,$A2987,$L:$L)))/VLOOKUP($A2987,HeadJournal!$A$1:$L$890,COLUMN(HeadJournal!H$1),0),0)</f>
        <v>0</v>
      </c>
      <c r="P2987" s="30">
        <f>IFERROR(SUM(K2987:O2987)*VLOOKUP($A2987,HeadJournal!$A$1:$L$890,COLUMN(HeadJournal!H$1),0),0)</f>
        <v>1248</v>
      </c>
      <c r="Q2987" s="29">
        <v>3000</v>
      </c>
      <c r="R2987" s="31">
        <v>45405</v>
      </c>
      <c r="S2987" s="31" t="s">
        <v>3121</v>
      </c>
      <c r="T2987" s="95" t="str">
        <f t="shared" si="238"/>
        <v>2024 04</v>
      </c>
      <c r="U2987" s="32">
        <f t="shared" si="235"/>
        <v>1752</v>
      </c>
      <c r="V2987" s="22">
        <f t="shared" si="236"/>
        <v>1.4038461538461537</v>
      </c>
      <c r="X2987" s="33"/>
      <c r="Y2987" s="33"/>
    </row>
    <row r="2988" spans="1:25" x14ac:dyDescent="0.2">
      <c r="A2988" s="93" t="s">
        <v>1610</v>
      </c>
      <c r="B2988" s="94">
        <f>IFERROR(VLOOKUP($A2988,HeadJournal!$A$1:$NTR$890,COLUMN(HeadJournal!B$1),0),"")</f>
        <v>0</v>
      </c>
      <c r="C2988" s="94" t="str">
        <f>IFERROR(VLOOKUP($A2988,HeadJournal!$A$1:$NTR$890,COLUMN(HeadJournal!C$1),0),"")</f>
        <v>OZON_OA</v>
      </c>
      <c r="D2988" s="125" t="str">
        <f>IFERROR(VLOOKUP($A2988,HeadJournal!$A$1:$NTR$890,COLUMN(HeadJournal!D$1),0),"")</f>
        <v>Доставлен</v>
      </c>
      <c r="E2988" s="95">
        <f>IFERROR(VLOOKUP($A2988,HeadJournal!$A$1:$NTR$890,COLUMN(HeadJournal!G$1),0),"")</f>
        <v>45338</v>
      </c>
      <c r="F2988" s="95" t="str">
        <f t="shared" si="237"/>
        <v>2024 02</v>
      </c>
      <c r="G2988" s="96" t="s">
        <v>6</v>
      </c>
      <c r="H2988" s="161" t="str">
        <f>RIGHT(Journal!$J2988,9)</f>
        <v>OPN-05223</v>
      </c>
      <c r="I2988" s="97" t="str">
        <f t="shared" si="234"/>
        <v>Optimum Nutrition</v>
      </c>
      <c r="J2988" s="97" t="s">
        <v>836</v>
      </c>
      <c r="K2988" s="29">
        <v>2335</v>
      </c>
      <c r="L2988" s="29">
        <v>0</v>
      </c>
      <c r="M2988" s="30">
        <f>IFERROR(VLOOKUP($A2988,HeadJournal!$A$1:$J$890,COLUMN(HeadJournal!I$1),0)*($K2988+$L2988)/(SUMIF($A:$A,$A2988,$K:$K)+SUMIF($A:$A,$A2988,$L:$L)),0)</f>
        <v>0</v>
      </c>
      <c r="N2988" s="30">
        <f>IFERROR((VLOOKUP($A2988,HeadJournal!$A$1:$K$890,COLUMN(HeadJournal!K$1),0)-VLOOKUP($A2988,HeadJournal!$A$1:$K$890,COLUMN(HeadJournal!J$1),0))*($K2988+$L2988)/(SUMIF($A:$A,$A2988,$K:$K)+SUMIF($A:$A,$A2988,$L:$L)),0)</f>
        <v>0</v>
      </c>
      <c r="O2988" s="30">
        <f>IFERROR((VLOOKUP($A2988,HeadJournal!$A$1:$L$890,COLUMN(HeadJournal!L$1),0)*($K2988+$L2988)/(SUMIF($A:$A,$A2988,$K:$K)+SUMIF($A:$A,$A2988,$L:$L)))/VLOOKUP($A2988,HeadJournal!$A$1:$L$890,COLUMN(HeadJournal!H$1),0),0)</f>
        <v>0</v>
      </c>
      <c r="P2988" s="30">
        <f>IFERROR(SUM(K2988:O2988)*VLOOKUP($A2988,HeadJournal!$A$1:$L$890,COLUMN(HeadJournal!H$1),0),0)</f>
        <v>2335</v>
      </c>
      <c r="Q2988" s="29">
        <v>4000</v>
      </c>
      <c r="R2988" s="31">
        <v>45345</v>
      </c>
      <c r="S2988" s="31" t="s">
        <v>3121</v>
      </c>
      <c r="T2988" s="95" t="str">
        <f t="shared" si="238"/>
        <v>2024 02</v>
      </c>
      <c r="U2988" s="32">
        <f t="shared" si="235"/>
        <v>1665</v>
      </c>
      <c r="V2988" s="22">
        <f t="shared" si="236"/>
        <v>0.71306209850107072</v>
      </c>
      <c r="X2988" s="33"/>
      <c r="Y2988" s="33"/>
    </row>
    <row r="2989" spans="1:25" x14ac:dyDescent="0.2">
      <c r="A2989" s="93" t="s">
        <v>1610</v>
      </c>
      <c r="B2989" s="94">
        <f>IFERROR(VLOOKUP($A2989,HeadJournal!$A$1:$NTR$890,COLUMN(HeadJournal!B$1),0),"")</f>
        <v>0</v>
      </c>
      <c r="C2989" s="94" t="str">
        <f>IFERROR(VLOOKUP($A2989,HeadJournal!$A$1:$NTR$890,COLUMN(HeadJournal!C$1),0),"")</f>
        <v>OZON_OA</v>
      </c>
      <c r="D2989" s="125" t="str">
        <f>IFERROR(VLOOKUP($A2989,HeadJournal!$A$1:$NTR$890,COLUMN(HeadJournal!D$1),0),"")</f>
        <v>Доставлен</v>
      </c>
      <c r="E2989" s="95">
        <f>IFERROR(VLOOKUP($A2989,HeadJournal!$A$1:$NTR$890,COLUMN(HeadJournal!G$1),0),"")</f>
        <v>45338</v>
      </c>
      <c r="F2989" s="95" t="str">
        <f t="shared" si="237"/>
        <v>2024 02</v>
      </c>
      <c r="G2989" s="96" t="s">
        <v>6</v>
      </c>
      <c r="H2989" s="161" t="str">
        <f>RIGHT(Journal!$J2989,9)</f>
        <v>OPN-05223</v>
      </c>
      <c r="I2989" s="97" t="str">
        <f t="shared" si="234"/>
        <v>Optimum Nutrition</v>
      </c>
      <c r="J2989" s="97" t="s">
        <v>836</v>
      </c>
      <c r="K2989" s="29">
        <v>2335</v>
      </c>
      <c r="L2989" s="29">
        <v>0</v>
      </c>
      <c r="M2989" s="30">
        <f>IFERROR(VLOOKUP($A2989,HeadJournal!$A$1:$J$890,COLUMN(HeadJournal!I$1),0)*($K2989+$L2989)/(SUMIF($A:$A,$A2989,$K:$K)+SUMIF($A:$A,$A2989,$L:$L)),0)</f>
        <v>0</v>
      </c>
      <c r="N2989" s="30">
        <f>IFERROR((VLOOKUP($A2989,HeadJournal!$A$1:$K$890,COLUMN(HeadJournal!K$1),0)-VLOOKUP($A2989,HeadJournal!$A$1:$K$890,COLUMN(HeadJournal!J$1),0))*($K2989+$L2989)/(SUMIF($A:$A,$A2989,$K:$K)+SUMIF($A:$A,$A2989,$L:$L)),0)</f>
        <v>0</v>
      </c>
      <c r="O2989" s="30">
        <f>IFERROR((VLOOKUP($A2989,HeadJournal!$A$1:$L$890,COLUMN(HeadJournal!L$1),0)*($K2989+$L2989)/(SUMIF($A:$A,$A2989,$K:$K)+SUMIF($A:$A,$A2989,$L:$L)))/VLOOKUP($A2989,HeadJournal!$A$1:$L$890,COLUMN(HeadJournal!H$1),0),0)</f>
        <v>0</v>
      </c>
      <c r="P2989" s="30">
        <f>IFERROR(SUM(K2989:O2989)*VLOOKUP($A2989,HeadJournal!$A$1:$L$890,COLUMN(HeadJournal!H$1),0),0)</f>
        <v>2335</v>
      </c>
      <c r="Q2989" s="29">
        <v>4000</v>
      </c>
      <c r="R2989" s="31">
        <v>45375</v>
      </c>
      <c r="S2989" s="31" t="s">
        <v>3121</v>
      </c>
      <c r="T2989" s="95" t="str">
        <f t="shared" si="238"/>
        <v>2024 03</v>
      </c>
      <c r="U2989" s="32">
        <f t="shared" si="235"/>
        <v>1665</v>
      </c>
      <c r="V2989" s="22">
        <f t="shared" si="236"/>
        <v>0.71306209850107072</v>
      </c>
      <c r="X2989" s="33"/>
      <c r="Y2989" s="33"/>
    </row>
    <row r="2990" spans="1:25" x14ac:dyDescent="0.2">
      <c r="A2990" s="93" t="s">
        <v>1632</v>
      </c>
      <c r="B2990" s="94">
        <f>IFERROR(VLOOKUP($A2990,HeadJournal!$A$1:$NTR$890,COLUMN(HeadJournal!B$1),0),"")</f>
        <v>0</v>
      </c>
      <c r="C2990" s="94" t="str">
        <f>IFERROR(VLOOKUP($A2990,HeadJournal!$A$1:$NTR$890,COLUMN(HeadJournal!C$1),0),"")</f>
        <v>CoralClub_AV</v>
      </c>
      <c r="D2990" s="125" t="str">
        <f>IFERROR(VLOOKUP($A2990,HeadJournal!$A$1:$NTR$890,COLUMN(HeadJournal!D$1),0),"")</f>
        <v>Доставлен</v>
      </c>
      <c r="E2990" s="95">
        <f>IFERROR(VLOOKUP($A2990,HeadJournal!$A$1:$NTR$890,COLUMN(HeadJournal!G$1),0),"")</f>
        <v>45341</v>
      </c>
      <c r="F2990" s="95" t="str">
        <f t="shared" si="237"/>
        <v>2024 02</v>
      </c>
      <c r="G2990" s="96" t="s">
        <v>5</v>
      </c>
      <c r="H2990" s="161" t="str">
        <f>RIGHT(Journal!$J2990,9)</f>
        <v>000002125</v>
      </c>
      <c r="I2990" s="97" t="str">
        <f t="shared" si="234"/>
        <v>CoralClub</v>
      </c>
      <c r="J2990" s="97" t="s">
        <v>247</v>
      </c>
      <c r="K2990" s="29">
        <v>1260</v>
      </c>
      <c r="L2990" s="29">
        <v>0</v>
      </c>
      <c r="M2990" s="30">
        <f>IFERROR(VLOOKUP($A2990,HeadJournal!$A$1:$J$890,COLUMN(HeadJournal!I$1),0)*($K2990+$L2990)/(SUMIF($A:$A,$A2990,$K:$K)+SUMIF($A:$A,$A2990,$L:$L)),0)</f>
        <v>0</v>
      </c>
      <c r="N2990" s="30">
        <f>IFERROR((VLOOKUP($A2990,HeadJournal!$A$1:$K$890,COLUMN(HeadJournal!K$1),0)-VLOOKUP($A2990,HeadJournal!$A$1:$K$890,COLUMN(HeadJournal!J$1),0))*($K2990+$L2990)/(SUMIF($A:$A,$A2990,$K:$K)+SUMIF($A:$A,$A2990,$L:$L)),0)</f>
        <v>15</v>
      </c>
      <c r="O2990" s="30">
        <f>IFERROR((VLOOKUP($A2990,HeadJournal!$A$1:$L$890,COLUMN(HeadJournal!L$1),0)*($K2990+$L2990)/(SUMIF($A:$A,$A2990,$K:$K)+SUMIF($A:$A,$A2990,$L:$L)))/VLOOKUP($A2990,HeadJournal!$A$1:$L$890,COLUMN(HeadJournal!H$1),0),0)</f>
        <v>0</v>
      </c>
      <c r="P2990" s="30">
        <f>IFERROR(SUM(K2990:O2990)*VLOOKUP($A2990,HeadJournal!$A$1:$L$890,COLUMN(HeadJournal!H$1),0),0)</f>
        <v>1275</v>
      </c>
      <c r="Q2990" s="29">
        <v>1600</v>
      </c>
      <c r="R2990" s="31">
        <v>45344</v>
      </c>
      <c r="S2990" s="31" t="s">
        <v>3121</v>
      </c>
      <c r="T2990" s="95" t="str">
        <f t="shared" si="238"/>
        <v>2024 02</v>
      </c>
      <c r="U2990" s="32">
        <f t="shared" si="235"/>
        <v>325</v>
      </c>
      <c r="V2990" s="22">
        <f t="shared" si="236"/>
        <v>0.25490196078431371</v>
      </c>
      <c r="X2990" s="33"/>
      <c r="Y2990" s="33"/>
    </row>
    <row r="2991" spans="1:25" x14ac:dyDescent="0.2">
      <c r="A2991" s="93" t="s">
        <v>1632</v>
      </c>
      <c r="B2991" s="94">
        <f>IFERROR(VLOOKUP($A2991,HeadJournal!$A$1:$NTR$890,COLUMN(HeadJournal!B$1),0),"")</f>
        <v>0</v>
      </c>
      <c r="C2991" s="94" t="str">
        <f>IFERROR(VLOOKUP($A2991,HeadJournal!$A$1:$NTR$890,COLUMN(HeadJournal!C$1),0),"")</f>
        <v>CoralClub_AV</v>
      </c>
      <c r="D2991" s="125" t="str">
        <f>IFERROR(VLOOKUP($A2991,HeadJournal!$A$1:$NTR$890,COLUMN(HeadJournal!D$1),0),"")</f>
        <v>Доставлен</v>
      </c>
      <c r="E2991" s="95">
        <f>IFERROR(VLOOKUP($A2991,HeadJournal!$A$1:$NTR$890,COLUMN(HeadJournal!G$1),0),"")</f>
        <v>45341</v>
      </c>
      <c r="F2991" s="95" t="str">
        <f t="shared" si="237"/>
        <v>2024 02</v>
      </c>
      <c r="G2991" s="96" t="s">
        <v>5</v>
      </c>
      <c r="H2991" s="161" t="str">
        <f>RIGHT(Journal!$J2991,9)</f>
        <v>000002153</v>
      </c>
      <c r="I2991" s="97" t="str">
        <f t="shared" si="234"/>
        <v>CoralClub</v>
      </c>
      <c r="J2991" s="97" t="s">
        <v>262</v>
      </c>
      <c r="K2991" s="29">
        <v>1260</v>
      </c>
      <c r="L2991" s="29">
        <v>0</v>
      </c>
      <c r="M2991" s="30">
        <f>IFERROR(VLOOKUP($A2991,HeadJournal!$A$1:$J$890,COLUMN(HeadJournal!I$1),0)*($K2991+$L2991)/(SUMIF($A:$A,$A2991,$K:$K)+SUMIF($A:$A,$A2991,$L:$L)),0)</f>
        <v>0</v>
      </c>
      <c r="N2991" s="30">
        <f>IFERROR((VLOOKUP($A2991,HeadJournal!$A$1:$K$890,COLUMN(HeadJournal!K$1),0)-VLOOKUP($A2991,HeadJournal!$A$1:$K$890,COLUMN(HeadJournal!J$1),0))*($K2991+$L2991)/(SUMIF($A:$A,$A2991,$K:$K)+SUMIF($A:$A,$A2991,$L:$L)),0)</f>
        <v>15</v>
      </c>
      <c r="O2991" s="30">
        <f>IFERROR((VLOOKUP($A2991,HeadJournal!$A$1:$L$890,COLUMN(HeadJournal!L$1),0)*($K2991+$L2991)/(SUMIF($A:$A,$A2991,$K:$K)+SUMIF($A:$A,$A2991,$L:$L)))/VLOOKUP($A2991,HeadJournal!$A$1:$L$890,COLUMN(HeadJournal!H$1),0),0)</f>
        <v>0</v>
      </c>
      <c r="P2991" s="30">
        <f>IFERROR(SUM(K2991:O2991)*VLOOKUP($A2991,HeadJournal!$A$1:$L$890,COLUMN(HeadJournal!H$1),0),0)</f>
        <v>1275</v>
      </c>
      <c r="Q2991" s="29">
        <v>1600</v>
      </c>
      <c r="R2991" s="31">
        <v>45345</v>
      </c>
      <c r="S2991" s="31" t="s">
        <v>3121</v>
      </c>
      <c r="T2991" s="95" t="str">
        <f t="shared" si="238"/>
        <v>2024 02</v>
      </c>
      <c r="U2991" s="32">
        <f t="shared" si="235"/>
        <v>325</v>
      </c>
      <c r="V2991" s="22">
        <f t="shared" si="236"/>
        <v>0.25490196078431371</v>
      </c>
      <c r="X2991" s="33"/>
      <c r="Y2991" s="33"/>
    </row>
    <row r="2992" spans="1:25" x14ac:dyDescent="0.2">
      <c r="A2992" s="93" t="s">
        <v>1632</v>
      </c>
      <c r="B2992" s="94">
        <f>IFERROR(VLOOKUP($A2992,HeadJournal!$A$1:$NTR$890,COLUMN(HeadJournal!B$1),0),"")</f>
        <v>0</v>
      </c>
      <c r="C2992" s="94" t="str">
        <f>IFERROR(VLOOKUP($A2992,HeadJournal!$A$1:$NTR$890,COLUMN(HeadJournal!C$1),0),"")</f>
        <v>CoralClub_AV</v>
      </c>
      <c r="D2992" s="125" t="str">
        <f>IFERROR(VLOOKUP($A2992,HeadJournal!$A$1:$NTR$890,COLUMN(HeadJournal!D$1),0),"")</f>
        <v>Доставлен</v>
      </c>
      <c r="E2992" s="95">
        <f>IFERROR(VLOOKUP($A2992,HeadJournal!$A$1:$NTR$890,COLUMN(HeadJournal!G$1),0),"")</f>
        <v>45341</v>
      </c>
      <c r="F2992" s="95" t="str">
        <f t="shared" si="237"/>
        <v>2024 02</v>
      </c>
      <c r="G2992" s="96" t="s">
        <v>5</v>
      </c>
      <c r="H2992" s="161" t="str">
        <f>RIGHT(Journal!$J2992,9)</f>
        <v>000002153</v>
      </c>
      <c r="I2992" s="97" t="str">
        <f t="shared" si="234"/>
        <v>CoralClub</v>
      </c>
      <c r="J2992" s="97" t="s">
        <v>262</v>
      </c>
      <c r="K2992" s="29">
        <v>1260</v>
      </c>
      <c r="L2992" s="29">
        <v>0</v>
      </c>
      <c r="M2992" s="30">
        <f>IFERROR(VLOOKUP($A2992,HeadJournal!$A$1:$J$890,COLUMN(HeadJournal!I$1),0)*($K2992+$L2992)/(SUMIF($A:$A,$A2992,$K:$K)+SUMIF($A:$A,$A2992,$L:$L)),0)</f>
        <v>0</v>
      </c>
      <c r="N2992" s="30">
        <f>IFERROR((VLOOKUP($A2992,HeadJournal!$A$1:$K$890,COLUMN(HeadJournal!K$1),0)-VLOOKUP($A2992,HeadJournal!$A$1:$K$890,COLUMN(HeadJournal!J$1),0))*($K2992+$L2992)/(SUMIF($A:$A,$A2992,$K:$K)+SUMIF($A:$A,$A2992,$L:$L)),0)</f>
        <v>15</v>
      </c>
      <c r="O2992" s="30">
        <f>IFERROR((VLOOKUP($A2992,HeadJournal!$A$1:$L$890,COLUMN(HeadJournal!L$1),0)*($K2992+$L2992)/(SUMIF($A:$A,$A2992,$K:$K)+SUMIF($A:$A,$A2992,$L:$L)))/VLOOKUP($A2992,HeadJournal!$A$1:$L$890,COLUMN(HeadJournal!H$1),0),0)</f>
        <v>0</v>
      </c>
      <c r="P2992" s="30">
        <f>IFERROR(SUM(K2992:O2992)*VLOOKUP($A2992,HeadJournal!$A$1:$L$890,COLUMN(HeadJournal!H$1),0),0)</f>
        <v>1275</v>
      </c>
      <c r="Q2992" s="29">
        <v>1600</v>
      </c>
      <c r="R2992" s="31">
        <v>45353</v>
      </c>
      <c r="S2992" s="31" t="s">
        <v>3121</v>
      </c>
      <c r="T2992" s="95" t="str">
        <f t="shared" si="238"/>
        <v>2024 03</v>
      </c>
      <c r="U2992" s="32">
        <f t="shared" si="235"/>
        <v>325</v>
      </c>
      <c r="V2992" s="22">
        <f t="shared" si="236"/>
        <v>0.25490196078431371</v>
      </c>
      <c r="X2992" s="33"/>
      <c r="Y2992" s="33"/>
    </row>
    <row r="2993" spans="1:25" x14ac:dyDescent="0.2">
      <c r="A2993" s="93" t="s">
        <v>1632</v>
      </c>
      <c r="B2993" s="94">
        <f>IFERROR(VLOOKUP($A2993,HeadJournal!$A$1:$NTR$890,COLUMN(HeadJournal!B$1),0),"")</f>
        <v>0</v>
      </c>
      <c r="C2993" s="94" t="str">
        <f>IFERROR(VLOOKUP($A2993,HeadJournal!$A$1:$NTR$890,COLUMN(HeadJournal!C$1),0),"")</f>
        <v>CoralClub_AV</v>
      </c>
      <c r="D2993" s="125" t="str">
        <f>IFERROR(VLOOKUP($A2993,HeadJournal!$A$1:$NTR$890,COLUMN(HeadJournal!D$1),0),"")</f>
        <v>Доставлен</v>
      </c>
      <c r="E2993" s="95">
        <f>IFERROR(VLOOKUP($A2993,HeadJournal!$A$1:$NTR$890,COLUMN(HeadJournal!G$1),0),"")</f>
        <v>45341</v>
      </c>
      <c r="F2993" s="95" t="str">
        <f t="shared" si="237"/>
        <v>2024 02</v>
      </c>
      <c r="G2993" s="96" t="s">
        <v>5</v>
      </c>
      <c r="H2993" s="161" t="str">
        <f>RIGHT(Journal!$J2993,9)</f>
        <v>000002153</v>
      </c>
      <c r="I2993" s="97" t="str">
        <f t="shared" si="234"/>
        <v>CoralClub</v>
      </c>
      <c r="J2993" s="97" t="s">
        <v>262</v>
      </c>
      <c r="K2993" s="29">
        <v>1260</v>
      </c>
      <c r="L2993" s="29">
        <v>0</v>
      </c>
      <c r="M2993" s="30">
        <f>IFERROR(VLOOKUP($A2993,HeadJournal!$A$1:$J$890,COLUMN(HeadJournal!I$1),0)*($K2993+$L2993)/(SUMIF($A:$A,$A2993,$K:$K)+SUMIF($A:$A,$A2993,$L:$L)),0)</f>
        <v>0</v>
      </c>
      <c r="N2993" s="30">
        <f>IFERROR((VLOOKUP($A2993,HeadJournal!$A$1:$K$890,COLUMN(HeadJournal!K$1),0)-VLOOKUP($A2993,HeadJournal!$A$1:$K$890,COLUMN(HeadJournal!J$1),0))*($K2993+$L2993)/(SUMIF($A:$A,$A2993,$K:$K)+SUMIF($A:$A,$A2993,$L:$L)),0)</f>
        <v>15</v>
      </c>
      <c r="O2993" s="30">
        <f>IFERROR((VLOOKUP($A2993,HeadJournal!$A$1:$L$890,COLUMN(HeadJournal!L$1),0)*($K2993+$L2993)/(SUMIF($A:$A,$A2993,$K:$K)+SUMIF($A:$A,$A2993,$L:$L)))/VLOOKUP($A2993,HeadJournal!$A$1:$L$890,COLUMN(HeadJournal!H$1),0),0)</f>
        <v>0</v>
      </c>
      <c r="P2993" s="30">
        <f>IFERROR(SUM(K2993:O2993)*VLOOKUP($A2993,HeadJournal!$A$1:$L$890,COLUMN(HeadJournal!H$1),0),0)</f>
        <v>1275</v>
      </c>
      <c r="Q2993" s="29">
        <v>1550</v>
      </c>
      <c r="R2993" s="31">
        <v>45364</v>
      </c>
      <c r="S2993" s="31" t="s">
        <v>3121</v>
      </c>
      <c r="T2993" s="95" t="str">
        <f t="shared" si="238"/>
        <v>2024 03</v>
      </c>
      <c r="U2993" s="32">
        <f t="shared" si="235"/>
        <v>275</v>
      </c>
      <c r="V2993" s="22">
        <f t="shared" si="236"/>
        <v>0.21568627450980393</v>
      </c>
      <c r="X2993" s="33"/>
      <c r="Y2993" s="33"/>
    </row>
    <row r="2994" spans="1:25" x14ac:dyDescent="0.2">
      <c r="A2994" s="93" t="s">
        <v>1632</v>
      </c>
      <c r="B2994" s="94">
        <f>IFERROR(VLOOKUP($A2994,HeadJournal!$A$1:$NTR$890,COLUMN(HeadJournal!B$1),0),"")</f>
        <v>0</v>
      </c>
      <c r="C2994" s="94" t="str">
        <f>IFERROR(VLOOKUP($A2994,HeadJournal!$A$1:$NTR$890,COLUMN(HeadJournal!C$1),0),"")</f>
        <v>CoralClub_AV</v>
      </c>
      <c r="D2994" s="125" t="str">
        <f>IFERROR(VLOOKUP($A2994,HeadJournal!$A$1:$NTR$890,COLUMN(HeadJournal!D$1),0),"")</f>
        <v>Доставлен</v>
      </c>
      <c r="E2994" s="95">
        <f>IFERROR(VLOOKUP($A2994,HeadJournal!$A$1:$NTR$890,COLUMN(HeadJournal!G$1),0),"")</f>
        <v>45341</v>
      </c>
      <c r="F2994" s="95" t="str">
        <f t="shared" si="237"/>
        <v>2024 02</v>
      </c>
      <c r="G2994" s="96" t="s">
        <v>5</v>
      </c>
      <c r="H2994" s="161" t="str">
        <f>RIGHT(Journal!$J2994,9)</f>
        <v>000002153</v>
      </c>
      <c r="I2994" s="97" t="str">
        <f t="shared" si="234"/>
        <v>CoralClub</v>
      </c>
      <c r="J2994" s="97" t="s">
        <v>262</v>
      </c>
      <c r="K2994" s="29">
        <v>1260</v>
      </c>
      <c r="L2994" s="29">
        <v>0</v>
      </c>
      <c r="M2994" s="30">
        <f>IFERROR(VLOOKUP($A2994,HeadJournal!$A$1:$J$890,COLUMN(HeadJournal!I$1),0)*($K2994+$L2994)/(SUMIF($A:$A,$A2994,$K:$K)+SUMIF($A:$A,$A2994,$L:$L)),0)</f>
        <v>0</v>
      </c>
      <c r="N2994" s="30">
        <f>IFERROR((VLOOKUP($A2994,HeadJournal!$A$1:$K$890,COLUMN(HeadJournal!K$1),0)-VLOOKUP($A2994,HeadJournal!$A$1:$K$890,COLUMN(HeadJournal!J$1),0))*($K2994+$L2994)/(SUMIF($A:$A,$A2994,$K:$K)+SUMIF($A:$A,$A2994,$L:$L)),0)</f>
        <v>15</v>
      </c>
      <c r="O2994" s="30">
        <f>IFERROR((VLOOKUP($A2994,HeadJournal!$A$1:$L$890,COLUMN(HeadJournal!L$1),0)*($K2994+$L2994)/(SUMIF($A:$A,$A2994,$K:$K)+SUMIF($A:$A,$A2994,$L:$L)))/VLOOKUP($A2994,HeadJournal!$A$1:$L$890,COLUMN(HeadJournal!H$1),0),0)</f>
        <v>0</v>
      </c>
      <c r="P2994" s="30">
        <f>IFERROR(SUM(K2994:O2994)*VLOOKUP($A2994,HeadJournal!$A$1:$L$890,COLUMN(HeadJournal!H$1),0),0)</f>
        <v>1275</v>
      </c>
      <c r="Q2994" s="29">
        <v>1550</v>
      </c>
      <c r="R2994" s="31">
        <v>45364</v>
      </c>
      <c r="S2994" s="31" t="s">
        <v>3121</v>
      </c>
      <c r="T2994" s="95" t="str">
        <f t="shared" si="238"/>
        <v>2024 03</v>
      </c>
      <c r="U2994" s="32">
        <f t="shared" si="235"/>
        <v>275</v>
      </c>
      <c r="V2994" s="22">
        <f t="shared" si="236"/>
        <v>0.21568627450980393</v>
      </c>
      <c r="X2994" s="33"/>
      <c r="Y2994" s="33"/>
    </row>
    <row r="2995" spans="1:25" x14ac:dyDescent="0.2">
      <c r="A2995" s="93" t="s">
        <v>1620</v>
      </c>
      <c r="B2995" s="94" t="str">
        <f>IFERROR(VLOOKUP($A2995,HeadJournal!$A$1:$NTR$890,COLUMN(HeadJournal!B$1),0),"")</f>
        <v>1495071944</v>
      </c>
      <c r="C2995" s="94" t="str">
        <f>IFERROR(VLOOKUP($A2995,HeadJournal!$A$1:$NTR$890,COLUMN(HeadJournal!C$1),0),"")</f>
        <v>essens_OA</v>
      </c>
      <c r="D2995" s="125" t="str">
        <f>IFERROR(VLOOKUP($A2995,HeadJournal!$A$1:$NTR$890,COLUMN(HeadJournal!D$1),0),"")</f>
        <v>Доставлен</v>
      </c>
      <c r="E2995" s="95">
        <f>IFERROR(VLOOKUP($A2995,HeadJournal!$A$1:$NTR$890,COLUMN(HeadJournal!G$1),0),"")</f>
        <v>45339</v>
      </c>
      <c r="F2995" s="95" t="str">
        <f t="shared" si="237"/>
        <v>2024 02</v>
      </c>
      <c r="G2995" s="96" t="s">
        <v>8</v>
      </c>
      <c r="H2995" s="161" t="s">
        <v>2260</v>
      </c>
      <c r="I2995" s="97" t="s">
        <v>2243</v>
      </c>
      <c r="J2995" s="97" t="s">
        <v>2268</v>
      </c>
      <c r="K2995" s="70">
        <v>1451.6</v>
      </c>
      <c r="L2995" s="29"/>
      <c r="M2995" s="30">
        <f>IFERROR(VLOOKUP($A2995,HeadJournal!$A$1:$J$890,COLUMN(HeadJournal!I$1),0)*($K2995+$L2995)/(SUMIF($A:$A,$A2995,$K:$K)+SUMIF($A:$A,$A2995,$L:$L)),0)</f>
        <v>0</v>
      </c>
      <c r="N2995" s="30">
        <f>IFERROR((VLOOKUP($A2995,HeadJournal!$A$1:$K$890,COLUMN(HeadJournal!K$1),0)-VLOOKUP($A2995,HeadJournal!$A$1:$K$890,COLUMN(HeadJournal!J$1),0))*($K2995+$L2995)/(SUMIF($A:$A,$A2995,$K:$K)+SUMIF($A:$A,$A2995,$L:$L)),0)</f>
        <v>-241.44545853967043</v>
      </c>
      <c r="O2995" s="30">
        <f>IFERROR((VLOOKUP($A2995,HeadJournal!$A$1:$L$890,COLUMN(HeadJournal!L$1),0)*($K2995+$L2995)/(SUMIF($A:$A,$A2995,$K:$K)+SUMIF($A:$A,$A2995,$L:$L)))/VLOOKUP($A2995,HeadJournal!$A$1:$L$890,COLUMN(HeadJournal!H$1),0),0)</f>
        <v>54.355403986676393</v>
      </c>
      <c r="P2995" s="30">
        <f>IFERROR(SUM(K2995:O2995)*VLOOKUP($A2995,HeadJournal!$A$1:$L$890,COLUMN(HeadJournal!H$1),0),0)</f>
        <v>1264.509945447006</v>
      </c>
      <c r="Q2995" s="29">
        <v>2100</v>
      </c>
      <c r="R2995" s="31">
        <v>45576</v>
      </c>
      <c r="S2995" s="31" t="s">
        <v>3121</v>
      </c>
      <c r="T2995" s="95" t="str">
        <f t="shared" si="238"/>
        <v>2024 10</v>
      </c>
      <c r="U2995" s="32">
        <f t="shared" si="235"/>
        <v>835.49005455299402</v>
      </c>
      <c r="V2995" s="22">
        <f t="shared" si="236"/>
        <v>0.66072240678000138</v>
      </c>
      <c r="X2995" s="33"/>
      <c r="Y2995" s="33"/>
    </row>
    <row r="2996" spans="1:25" x14ac:dyDescent="0.2">
      <c r="A2996" s="93" t="s">
        <v>1620</v>
      </c>
      <c r="B2996" s="94" t="str">
        <f>IFERROR(VLOOKUP($A2996,HeadJournal!$A$1:$NTR$890,COLUMN(HeadJournal!B$1),0),"")</f>
        <v>1495071944</v>
      </c>
      <c r="C2996" s="94" t="str">
        <f>IFERROR(VLOOKUP($A2996,HeadJournal!$A$1:$NTR$890,COLUMN(HeadJournal!C$1),0),"")</f>
        <v>essens_OA</v>
      </c>
      <c r="D2996" s="125" t="str">
        <f>IFERROR(VLOOKUP($A2996,HeadJournal!$A$1:$NTR$890,COLUMN(HeadJournal!D$1),0),"")</f>
        <v>Доставлен</v>
      </c>
      <c r="E2996" s="95">
        <f>IFERROR(VLOOKUP($A2996,HeadJournal!$A$1:$NTR$890,COLUMN(HeadJournal!G$1),0),"")</f>
        <v>45339</v>
      </c>
      <c r="F2996" s="95" t="str">
        <f t="shared" si="237"/>
        <v>2024 02</v>
      </c>
      <c r="G2996" s="96" t="s">
        <v>8</v>
      </c>
      <c r="H2996" s="161" t="s">
        <v>2764</v>
      </c>
      <c r="I2996" s="97" t="s">
        <v>2243</v>
      </c>
      <c r="J2996" s="97" t="s">
        <v>5337</v>
      </c>
      <c r="K2996" s="29">
        <v>1451.6</v>
      </c>
      <c r="L2996" s="29"/>
      <c r="M2996" s="30">
        <f>IFERROR(VLOOKUP($A2996,HeadJournal!$A$1:$J$890,COLUMN(HeadJournal!I$1),0)*($K2996+$L2996)/(SUMIF($A:$A,$A2996,$K:$K)+SUMIF($A:$A,$A2996,$L:$L)),0)</f>
        <v>0</v>
      </c>
      <c r="N2996" s="30">
        <f>IFERROR((VLOOKUP($A2996,HeadJournal!$A$1:$K$890,COLUMN(HeadJournal!K$1),0)-VLOOKUP($A2996,HeadJournal!$A$1:$K$890,COLUMN(HeadJournal!J$1),0))*($K2996+$L2996)/(SUMIF($A:$A,$A2996,$K:$K)+SUMIF($A:$A,$A2996,$L:$L)),0)</f>
        <v>-241.44545853967043</v>
      </c>
      <c r="O2996" s="30">
        <f>IFERROR((VLOOKUP($A2996,HeadJournal!$A$1:$L$890,COLUMN(HeadJournal!L$1),0)*($K2996+$L2996)/(SUMIF($A:$A,$A2996,$K:$K)+SUMIF($A:$A,$A2996,$L:$L)))/VLOOKUP($A2996,HeadJournal!$A$1:$L$890,COLUMN(HeadJournal!H$1),0),0)</f>
        <v>54.355403986676393</v>
      </c>
      <c r="P2996" s="30">
        <f>IFERROR(SUM(K2996:O2996)*VLOOKUP($A2996,HeadJournal!$A$1:$L$890,COLUMN(HeadJournal!H$1),0),0)</f>
        <v>1264.509945447006</v>
      </c>
      <c r="Q2996" s="29">
        <v>2200</v>
      </c>
      <c r="R2996" s="31">
        <v>45588</v>
      </c>
      <c r="S2996" s="31" t="s">
        <v>3121</v>
      </c>
      <c r="T2996" s="95" t="str">
        <f t="shared" si="238"/>
        <v>2024 10</v>
      </c>
      <c r="U2996" s="32">
        <f t="shared" si="235"/>
        <v>935.49005455299402</v>
      </c>
      <c r="V2996" s="22">
        <f t="shared" si="236"/>
        <v>0.73980442615047759</v>
      </c>
      <c r="X2996" s="33"/>
      <c r="Y2996" s="33"/>
    </row>
    <row r="2997" spans="1:25" x14ac:dyDescent="0.2">
      <c r="A2997" s="93" t="s">
        <v>1620</v>
      </c>
      <c r="B2997" s="94" t="str">
        <f>IFERROR(VLOOKUP($A2997,HeadJournal!$A$1:$NTR$890,COLUMN(HeadJournal!B$1),0),"")</f>
        <v>1495071944</v>
      </c>
      <c r="C2997" s="94" t="str">
        <f>IFERROR(VLOOKUP($A2997,HeadJournal!$A$1:$NTR$890,COLUMN(HeadJournal!C$1),0),"")</f>
        <v>essens_OA</v>
      </c>
      <c r="D2997" s="125" t="str">
        <f>IFERROR(VLOOKUP($A2997,HeadJournal!$A$1:$NTR$890,COLUMN(HeadJournal!D$1),0),"")</f>
        <v>Доставлен</v>
      </c>
      <c r="E2997" s="95">
        <f>IFERROR(VLOOKUP($A2997,HeadJournal!$A$1:$NTR$890,COLUMN(HeadJournal!G$1),0),"")</f>
        <v>45339</v>
      </c>
      <c r="F2997" s="95" t="str">
        <f t="shared" si="237"/>
        <v>2024 02</v>
      </c>
      <c r="G2997" s="96" t="s">
        <v>8</v>
      </c>
      <c r="H2997" s="161" t="s">
        <v>5273</v>
      </c>
      <c r="I2997" s="97" t="s">
        <v>2243</v>
      </c>
      <c r="J2997" s="97" t="s">
        <v>5331</v>
      </c>
      <c r="K2997" s="29">
        <v>1451.6</v>
      </c>
      <c r="L2997" s="29"/>
      <c r="M2997" s="30">
        <f>IFERROR(VLOOKUP($A2997,HeadJournal!$A$1:$J$890,COLUMN(HeadJournal!I$1),0)*($K2997+$L2997)/(SUMIF($A:$A,$A2997,$K:$K)+SUMIF($A:$A,$A2997,$L:$L)),0)</f>
        <v>0</v>
      </c>
      <c r="N2997" s="30">
        <f>IFERROR((VLOOKUP($A2997,HeadJournal!$A$1:$K$890,COLUMN(HeadJournal!K$1),0)-VLOOKUP($A2997,HeadJournal!$A$1:$K$890,COLUMN(HeadJournal!J$1),0))*($K2997+$L2997)/(SUMIF($A:$A,$A2997,$K:$K)+SUMIF($A:$A,$A2997,$L:$L)),0)</f>
        <v>-241.44545853967043</v>
      </c>
      <c r="O2997" s="30">
        <f>IFERROR((VLOOKUP($A2997,HeadJournal!$A$1:$L$890,COLUMN(HeadJournal!L$1),0)*($K2997+$L2997)/(SUMIF($A:$A,$A2997,$K:$K)+SUMIF($A:$A,$A2997,$L:$L)))/VLOOKUP($A2997,HeadJournal!$A$1:$L$890,COLUMN(HeadJournal!H$1),0),0)</f>
        <v>54.355403986676393</v>
      </c>
      <c r="P2997" s="30">
        <f>IFERROR(SUM(K2997:O2997)*VLOOKUP($A2997,HeadJournal!$A$1:$L$890,COLUMN(HeadJournal!H$1),0),0)</f>
        <v>1264.509945447006</v>
      </c>
      <c r="Q2997" s="29">
        <v>2200</v>
      </c>
      <c r="R2997" s="31">
        <v>45393</v>
      </c>
      <c r="S2997" s="31" t="s">
        <v>3121</v>
      </c>
      <c r="T2997" s="95" t="str">
        <f t="shared" si="238"/>
        <v>2024 04</v>
      </c>
      <c r="U2997" s="32">
        <f t="shared" si="235"/>
        <v>935.49005455299402</v>
      </c>
      <c r="V2997" s="22">
        <f t="shared" si="236"/>
        <v>0.73980442615047759</v>
      </c>
      <c r="X2997" s="33"/>
      <c r="Y2997" s="33"/>
    </row>
    <row r="2998" spans="1:25" x14ac:dyDescent="0.2">
      <c r="A2998" s="93" t="s">
        <v>1620</v>
      </c>
      <c r="B2998" s="94" t="str">
        <f>IFERROR(VLOOKUP($A2998,HeadJournal!$A$1:$NTR$890,COLUMN(HeadJournal!B$1),0),"")</f>
        <v>1495071944</v>
      </c>
      <c r="C2998" s="94" t="str">
        <f>IFERROR(VLOOKUP($A2998,HeadJournal!$A$1:$NTR$890,COLUMN(HeadJournal!C$1),0),"")</f>
        <v>essens_OA</v>
      </c>
      <c r="D2998" s="125" t="str">
        <f>IFERROR(VLOOKUP($A2998,HeadJournal!$A$1:$NTR$890,COLUMN(HeadJournal!D$1),0),"")</f>
        <v>Доставлен</v>
      </c>
      <c r="E2998" s="95">
        <f>IFERROR(VLOOKUP($A2998,HeadJournal!$A$1:$NTR$890,COLUMN(HeadJournal!G$1),0),"")</f>
        <v>45339</v>
      </c>
      <c r="F2998" s="95" t="str">
        <f t="shared" si="237"/>
        <v>2024 02</v>
      </c>
      <c r="G2998" s="96" t="s">
        <v>8</v>
      </c>
      <c r="H2998" s="161" t="s">
        <v>2766</v>
      </c>
      <c r="I2998" s="97" t="s">
        <v>2243</v>
      </c>
      <c r="J2998" s="97" t="s">
        <v>3958</v>
      </c>
      <c r="K2998" s="29">
        <v>1451.6</v>
      </c>
      <c r="L2998" s="29"/>
      <c r="M2998" s="30">
        <f>IFERROR(VLOOKUP($A2998,HeadJournal!$A$1:$J$890,COLUMN(HeadJournal!I$1),0)*($K2998+$L2998)/(SUMIF($A:$A,$A2998,$K:$K)+SUMIF($A:$A,$A2998,$L:$L)),0)</f>
        <v>0</v>
      </c>
      <c r="N2998" s="30">
        <f>IFERROR((VLOOKUP($A2998,HeadJournal!$A$1:$K$890,COLUMN(HeadJournal!K$1),0)-VLOOKUP($A2998,HeadJournal!$A$1:$K$890,COLUMN(HeadJournal!J$1),0))*($K2998+$L2998)/(SUMIF($A:$A,$A2998,$K:$K)+SUMIF($A:$A,$A2998,$L:$L)),0)</f>
        <v>-241.44545853967043</v>
      </c>
      <c r="O2998" s="30">
        <f>IFERROR((VLOOKUP($A2998,HeadJournal!$A$1:$L$890,COLUMN(HeadJournal!L$1),0)*($K2998+$L2998)/(SUMIF($A:$A,$A2998,$K:$K)+SUMIF($A:$A,$A2998,$L:$L)))/VLOOKUP($A2998,HeadJournal!$A$1:$L$890,COLUMN(HeadJournal!H$1),0),0)</f>
        <v>54.355403986676393</v>
      </c>
      <c r="P2998" s="30">
        <f>IFERROR(SUM(K2998:O2998)*VLOOKUP($A2998,HeadJournal!$A$1:$L$890,COLUMN(HeadJournal!H$1),0),0)</f>
        <v>1264.509945447006</v>
      </c>
      <c r="Q2998" s="29">
        <v>2200</v>
      </c>
      <c r="R2998" s="31">
        <v>45588</v>
      </c>
      <c r="S2998" s="31" t="s">
        <v>3121</v>
      </c>
      <c r="T2998" s="95" t="str">
        <f t="shared" si="238"/>
        <v>2024 10</v>
      </c>
      <c r="U2998" s="32">
        <f t="shared" si="235"/>
        <v>935.49005455299402</v>
      </c>
      <c r="V2998" s="22">
        <f t="shared" si="236"/>
        <v>0.73980442615047759</v>
      </c>
      <c r="X2998" s="33"/>
      <c r="Y2998" s="33"/>
    </row>
    <row r="2999" spans="1:25" x14ac:dyDescent="0.2">
      <c r="A2999" s="93" t="s">
        <v>1620</v>
      </c>
      <c r="B2999" s="94" t="str">
        <f>IFERROR(VLOOKUP($A2999,HeadJournal!$A$1:$NTR$890,COLUMN(HeadJournal!B$1),0),"")</f>
        <v>1495071944</v>
      </c>
      <c r="C2999" s="94" t="str">
        <f>IFERROR(VLOOKUP($A2999,HeadJournal!$A$1:$NTR$890,COLUMN(HeadJournal!C$1),0),"")</f>
        <v>essens_OA</v>
      </c>
      <c r="D2999" s="125" t="str">
        <f>IFERROR(VLOOKUP($A2999,HeadJournal!$A$1:$NTR$890,COLUMN(HeadJournal!D$1),0),"")</f>
        <v>Доставлен</v>
      </c>
      <c r="E2999" s="95">
        <f>IFERROR(VLOOKUP($A2999,HeadJournal!$A$1:$NTR$890,COLUMN(HeadJournal!G$1),0),"")</f>
        <v>45339</v>
      </c>
      <c r="F2999" s="95" t="str">
        <f t="shared" si="237"/>
        <v>2024 02</v>
      </c>
      <c r="G2999" s="96" t="s">
        <v>8</v>
      </c>
      <c r="H2999" s="161" t="s">
        <v>5277</v>
      </c>
      <c r="I2999" s="97" t="s">
        <v>2243</v>
      </c>
      <c r="J2999" s="97" t="s">
        <v>5335</v>
      </c>
      <c r="K2999" s="70">
        <v>1648.9</v>
      </c>
      <c r="L2999" s="29"/>
      <c r="M2999" s="30">
        <f>IFERROR(VLOOKUP($A2999,HeadJournal!$A$1:$J$890,COLUMN(HeadJournal!I$1),0)*($K2999+$L2999)/(SUMIF($A:$A,$A2999,$K:$K)+SUMIF($A:$A,$A2999,$L:$L)),0)</f>
        <v>0</v>
      </c>
      <c r="N2999" s="30">
        <f>IFERROR((VLOOKUP($A2999,HeadJournal!$A$1:$K$890,COLUMN(HeadJournal!K$1),0)-VLOOKUP($A2999,HeadJournal!$A$1:$K$890,COLUMN(HeadJournal!J$1),0))*($K2999+$L2999)/(SUMIF($A:$A,$A2999,$K:$K)+SUMIF($A:$A,$A2999,$L:$L)),0)</f>
        <v>-274.26248042578027</v>
      </c>
      <c r="O2999" s="30">
        <f>IFERROR((VLOOKUP($A2999,HeadJournal!$A$1:$L$890,COLUMN(HeadJournal!L$1),0)*($K2999+$L2999)/(SUMIF($A:$A,$A2999,$K:$K)+SUMIF($A:$A,$A2999,$L:$L)))/VLOOKUP($A2999,HeadJournal!$A$1:$L$890,COLUMN(HeadJournal!H$1),0),0)</f>
        <v>61.743335377260067</v>
      </c>
      <c r="P2999" s="30">
        <f>IFERROR(SUM(K2999:O2999)*VLOOKUP($A2999,HeadJournal!$A$1:$L$890,COLUMN(HeadJournal!H$1),0),0)</f>
        <v>1436.3808549514799</v>
      </c>
      <c r="Q2999" s="29"/>
      <c r="R2999" s="31"/>
      <c r="S2999" s="31"/>
      <c r="T2999" s="95" t="str">
        <f t="shared" si="238"/>
        <v/>
      </c>
      <c r="U2999" s="32">
        <f t="shared" si="235"/>
        <v>-1436.3808549514799</v>
      </c>
      <c r="V2999" s="22" t="str">
        <f t="shared" si="236"/>
        <v/>
      </c>
      <c r="X2999" s="33"/>
      <c r="Y2999" s="33"/>
    </row>
    <row r="3000" spans="1:25" x14ac:dyDescent="0.2">
      <c r="A3000" s="93" t="s">
        <v>1620</v>
      </c>
      <c r="B3000" s="94" t="str">
        <f>IFERROR(VLOOKUP($A3000,HeadJournal!$A$1:$NTR$890,COLUMN(HeadJournal!B$1),0),"")</f>
        <v>1495071944</v>
      </c>
      <c r="C3000" s="94" t="str">
        <f>IFERROR(VLOOKUP($A3000,HeadJournal!$A$1:$NTR$890,COLUMN(HeadJournal!C$1),0),"")</f>
        <v>essens_OA</v>
      </c>
      <c r="D3000" s="125" t="str">
        <f>IFERROR(VLOOKUP($A3000,HeadJournal!$A$1:$NTR$890,COLUMN(HeadJournal!D$1),0),"")</f>
        <v>Доставлен</v>
      </c>
      <c r="E3000" s="95">
        <f>IFERROR(VLOOKUP($A3000,HeadJournal!$A$1:$NTR$890,COLUMN(HeadJournal!G$1),0),"")</f>
        <v>45339</v>
      </c>
      <c r="F3000" s="95" t="str">
        <f t="shared" si="237"/>
        <v>2024 02</v>
      </c>
      <c r="G3000" s="96" t="s">
        <v>8</v>
      </c>
      <c r="H3000" s="161" t="s">
        <v>5282</v>
      </c>
      <c r="I3000" s="97" t="s">
        <v>2243</v>
      </c>
      <c r="J3000" s="97" t="s">
        <v>5338</v>
      </c>
      <c r="K3000" s="29">
        <v>1648.9</v>
      </c>
      <c r="L3000" s="29"/>
      <c r="M3000" s="30">
        <f>IFERROR(VLOOKUP($A3000,HeadJournal!$A$1:$J$890,COLUMN(HeadJournal!I$1),0)*($K3000+$L3000)/(SUMIF($A:$A,$A3000,$K:$K)+SUMIF($A:$A,$A3000,$L:$L)),0)</f>
        <v>0</v>
      </c>
      <c r="N3000" s="30">
        <f>IFERROR((VLOOKUP($A3000,HeadJournal!$A$1:$K$890,COLUMN(HeadJournal!K$1),0)-VLOOKUP($A3000,HeadJournal!$A$1:$K$890,COLUMN(HeadJournal!J$1),0))*($K3000+$L3000)/(SUMIF($A:$A,$A3000,$K:$K)+SUMIF($A:$A,$A3000,$L:$L)),0)</f>
        <v>-274.26248042578027</v>
      </c>
      <c r="O3000" s="30">
        <f>IFERROR((VLOOKUP($A3000,HeadJournal!$A$1:$L$890,COLUMN(HeadJournal!L$1),0)*($K3000+$L3000)/(SUMIF($A:$A,$A3000,$K:$K)+SUMIF($A:$A,$A3000,$L:$L)))/VLOOKUP($A3000,HeadJournal!$A$1:$L$890,COLUMN(HeadJournal!H$1),0),0)</f>
        <v>61.743335377260067</v>
      </c>
      <c r="P3000" s="30">
        <f>IFERROR(SUM(K3000:O3000)*VLOOKUP($A3000,HeadJournal!$A$1:$L$890,COLUMN(HeadJournal!H$1),0),0)</f>
        <v>1436.3808549514799</v>
      </c>
      <c r="Q3000" s="29"/>
      <c r="R3000" s="31"/>
      <c r="S3000" s="31"/>
      <c r="T3000" s="95" t="str">
        <f t="shared" si="238"/>
        <v/>
      </c>
      <c r="U3000" s="32">
        <f t="shared" si="235"/>
        <v>-1436.3808549514799</v>
      </c>
      <c r="V3000" s="22" t="str">
        <f t="shared" si="236"/>
        <v/>
      </c>
      <c r="X3000" s="33"/>
      <c r="Y3000" s="33"/>
    </row>
    <row r="3001" spans="1:25" x14ac:dyDescent="0.2">
      <c r="A3001" s="93" t="s">
        <v>1620</v>
      </c>
      <c r="B3001" s="94" t="str">
        <f>IFERROR(VLOOKUP($A3001,HeadJournal!$A$1:$NTR$890,COLUMN(HeadJournal!B$1),0),"")</f>
        <v>1495071944</v>
      </c>
      <c r="C3001" s="94" t="str">
        <f>IFERROR(VLOOKUP($A3001,HeadJournal!$A$1:$NTR$890,COLUMN(HeadJournal!C$1),0),"")</f>
        <v>essens_OA</v>
      </c>
      <c r="D3001" s="125" t="str">
        <f>IFERROR(VLOOKUP($A3001,HeadJournal!$A$1:$NTR$890,COLUMN(HeadJournal!D$1),0),"")</f>
        <v>Доставлен</v>
      </c>
      <c r="E3001" s="95">
        <f>IFERROR(VLOOKUP($A3001,HeadJournal!$A$1:$NTR$890,COLUMN(HeadJournal!G$1),0),"")</f>
        <v>45339</v>
      </c>
      <c r="F3001" s="95" t="str">
        <f t="shared" si="237"/>
        <v>2024 02</v>
      </c>
      <c r="G3001" s="96" t="s">
        <v>8</v>
      </c>
      <c r="H3001" s="161" t="s">
        <v>5281</v>
      </c>
      <c r="I3001" s="97" t="s">
        <v>2243</v>
      </c>
      <c r="J3001" s="97" t="s">
        <v>5310</v>
      </c>
      <c r="K3001" s="29">
        <v>1648.9</v>
      </c>
      <c r="L3001" s="29"/>
      <c r="M3001" s="30">
        <f>IFERROR(VLOOKUP($A3001,HeadJournal!$A$1:$J$890,COLUMN(HeadJournal!I$1),0)*($K3001+$L3001)/(SUMIF($A:$A,$A3001,$K:$K)+SUMIF($A:$A,$A3001,$L:$L)),0)</f>
        <v>0</v>
      </c>
      <c r="N3001" s="30">
        <f>IFERROR((VLOOKUP($A3001,HeadJournal!$A$1:$K$890,COLUMN(HeadJournal!K$1),0)-VLOOKUP($A3001,HeadJournal!$A$1:$K$890,COLUMN(HeadJournal!J$1),0))*($K3001+$L3001)/(SUMIF($A:$A,$A3001,$K:$K)+SUMIF($A:$A,$A3001,$L:$L)),0)</f>
        <v>-274.26248042578027</v>
      </c>
      <c r="O3001" s="30">
        <f>IFERROR((VLOOKUP($A3001,HeadJournal!$A$1:$L$890,COLUMN(HeadJournal!L$1),0)*($K3001+$L3001)/(SUMIF($A:$A,$A3001,$K:$K)+SUMIF($A:$A,$A3001,$L:$L)))/VLOOKUP($A3001,HeadJournal!$A$1:$L$890,COLUMN(HeadJournal!H$1),0),0)</f>
        <v>61.743335377260067</v>
      </c>
      <c r="P3001" s="30">
        <f>IFERROR(SUM(K3001:O3001)*VLOOKUP($A3001,HeadJournal!$A$1:$L$890,COLUMN(HeadJournal!H$1),0),0)</f>
        <v>1436.3808549514799</v>
      </c>
      <c r="Q3001" s="29">
        <v>1436.38</v>
      </c>
      <c r="R3001" s="31">
        <v>45340</v>
      </c>
      <c r="S3001" s="31" t="s">
        <v>3121</v>
      </c>
      <c r="T3001" s="95" t="str">
        <f t="shared" si="238"/>
        <v>2024 02</v>
      </c>
      <c r="U3001" s="32">
        <f t="shared" si="235"/>
        <v>-8.549514798232849E-4</v>
      </c>
      <c r="V3001" s="22">
        <f t="shared" si="236"/>
        <v>-5.9521224950618308E-7</v>
      </c>
      <c r="X3001" s="33"/>
      <c r="Y3001" s="33"/>
    </row>
    <row r="3002" spans="1:25" x14ac:dyDescent="0.2">
      <c r="A3002" s="93" t="s">
        <v>1620</v>
      </c>
      <c r="B3002" s="94" t="str">
        <f>IFERROR(VLOOKUP($A3002,HeadJournal!$A$1:$NTR$890,COLUMN(HeadJournal!B$1),0),"")</f>
        <v>1495071944</v>
      </c>
      <c r="C3002" s="94" t="str">
        <f>IFERROR(VLOOKUP($A3002,HeadJournal!$A$1:$NTR$890,COLUMN(HeadJournal!C$1),0),"")</f>
        <v>essens_OA</v>
      </c>
      <c r="D3002" s="125" t="str">
        <f>IFERROR(VLOOKUP($A3002,HeadJournal!$A$1:$NTR$890,COLUMN(HeadJournal!D$1),0),"")</f>
        <v>Доставлен</v>
      </c>
      <c r="E3002" s="95">
        <f>IFERROR(VLOOKUP($A3002,HeadJournal!$A$1:$NTR$890,COLUMN(HeadJournal!G$1),0),"")</f>
        <v>45339</v>
      </c>
      <c r="F3002" s="95" t="str">
        <f t="shared" si="237"/>
        <v>2024 02</v>
      </c>
      <c r="G3002" s="96" t="s">
        <v>8</v>
      </c>
      <c r="H3002" s="161" t="s">
        <v>5281</v>
      </c>
      <c r="I3002" s="97" t="s">
        <v>2243</v>
      </c>
      <c r="J3002" s="97" t="s">
        <v>5310</v>
      </c>
      <c r="K3002" s="29">
        <v>1648.9</v>
      </c>
      <c r="L3002" s="29"/>
      <c r="M3002" s="30">
        <f>IFERROR(VLOOKUP($A3002,HeadJournal!$A$1:$J$890,COLUMN(HeadJournal!I$1),0)*($K3002+$L3002)/(SUMIF($A:$A,$A3002,$K:$K)+SUMIF($A:$A,$A3002,$L:$L)),0)</f>
        <v>0</v>
      </c>
      <c r="N3002" s="30">
        <f>IFERROR((VLOOKUP($A3002,HeadJournal!$A$1:$K$890,COLUMN(HeadJournal!K$1),0)-VLOOKUP($A3002,HeadJournal!$A$1:$K$890,COLUMN(HeadJournal!J$1),0))*($K3002+$L3002)/(SUMIF($A:$A,$A3002,$K:$K)+SUMIF($A:$A,$A3002,$L:$L)),0)</f>
        <v>-274.26248042578027</v>
      </c>
      <c r="O3002" s="30">
        <f>IFERROR((VLOOKUP($A3002,HeadJournal!$A$1:$L$890,COLUMN(HeadJournal!L$1),0)*($K3002+$L3002)/(SUMIF($A:$A,$A3002,$K:$K)+SUMIF($A:$A,$A3002,$L:$L)))/VLOOKUP($A3002,HeadJournal!$A$1:$L$890,COLUMN(HeadJournal!H$1),0),0)</f>
        <v>61.743335377260067</v>
      </c>
      <c r="P3002" s="30">
        <f>IFERROR(SUM(K3002:O3002)*VLOOKUP($A3002,HeadJournal!$A$1:$L$890,COLUMN(HeadJournal!H$1),0),0)</f>
        <v>1436.3808549514799</v>
      </c>
      <c r="Q3002" s="29"/>
      <c r="R3002" s="31"/>
      <c r="S3002" s="31"/>
      <c r="T3002" s="95" t="str">
        <f t="shared" si="238"/>
        <v/>
      </c>
      <c r="U3002" s="32">
        <f t="shared" si="235"/>
        <v>-1436.3808549514799</v>
      </c>
      <c r="V3002" s="22" t="str">
        <f t="shared" si="236"/>
        <v/>
      </c>
      <c r="X3002" s="33"/>
      <c r="Y3002" s="33"/>
    </row>
    <row r="3003" spans="1:25" x14ac:dyDescent="0.2">
      <c r="A3003" s="93" t="s">
        <v>1620</v>
      </c>
      <c r="B3003" s="94" t="str">
        <f>IFERROR(VLOOKUP($A3003,HeadJournal!$A$1:$NTR$890,COLUMN(HeadJournal!B$1),0),"")</f>
        <v>1495071944</v>
      </c>
      <c r="C3003" s="94" t="str">
        <f>IFERROR(VLOOKUP($A3003,HeadJournal!$A$1:$NTR$890,COLUMN(HeadJournal!C$1),0),"")</f>
        <v>essens_OA</v>
      </c>
      <c r="D3003" s="125" t="str">
        <f>IFERROR(VLOOKUP($A3003,HeadJournal!$A$1:$NTR$890,COLUMN(HeadJournal!D$1),0),"")</f>
        <v>Доставлен</v>
      </c>
      <c r="E3003" s="95">
        <f>IFERROR(VLOOKUP($A3003,HeadJournal!$A$1:$NTR$890,COLUMN(HeadJournal!G$1),0),"")</f>
        <v>45339</v>
      </c>
      <c r="F3003" s="95" t="str">
        <f t="shared" si="237"/>
        <v>2024 02</v>
      </c>
      <c r="G3003" s="96" t="s">
        <v>8</v>
      </c>
      <c r="H3003" s="161" t="s">
        <v>5283</v>
      </c>
      <c r="I3003" s="97" t="s">
        <v>2243</v>
      </c>
      <c r="J3003" s="97" t="s">
        <v>5339</v>
      </c>
      <c r="K3003" s="29">
        <v>1648.9</v>
      </c>
      <c r="L3003" s="29"/>
      <c r="M3003" s="30">
        <f>IFERROR(VLOOKUP($A3003,HeadJournal!$A$1:$J$890,COLUMN(HeadJournal!I$1),0)*($K3003+$L3003)/(SUMIF($A:$A,$A3003,$K:$K)+SUMIF($A:$A,$A3003,$L:$L)),0)</f>
        <v>0</v>
      </c>
      <c r="N3003" s="30">
        <f>IFERROR((VLOOKUP($A3003,HeadJournal!$A$1:$K$890,COLUMN(HeadJournal!K$1),0)-VLOOKUP($A3003,HeadJournal!$A$1:$K$890,COLUMN(HeadJournal!J$1),0))*($K3003+$L3003)/(SUMIF($A:$A,$A3003,$K:$K)+SUMIF($A:$A,$A3003,$L:$L)),0)</f>
        <v>-274.26248042578027</v>
      </c>
      <c r="O3003" s="30">
        <f>IFERROR((VLOOKUP($A3003,HeadJournal!$A$1:$L$890,COLUMN(HeadJournal!L$1),0)*($K3003+$L3003)/(SUMIF($A:$A,$A3003,$K:$K)+SUMIF($A:$A,$A3003,$L:$L)))/VLOOKUP($A3003,HeadJournal!$A$1:$L$890,COLUMN(HeadJournal!H$1),0),0)</f>
        <v>61.743335377260067</v>
      </c>
      <c r="P3003" s="30">
        <f>IFERROR(SUM(K3003:O3003)*VLOOKUP($A3003,HeadJournal!$A$1:$L$890,COLUMN(HeadJournal!H$1),0),0)</f>
        <v>1436.3808549514799</v>
      </c>
      <c r="Q3003" s="29"/>
      <c r="R3003" s="31"/>
      <c r="S3003" s="31"/>
      <c r="T3003" s="95" t="str">
        <f t="shared" si="238"/>
        <v/>
      </c>
      <c r="U3003" s="32">
        <f t="shared" si="235"/>
        <v>-1436.3808549514799</v>
      </c>
      <c r="V3003" s="22" t="str">
        <f t="shared" si="236"/>
        <v/>
      </c>
      <c r="X3003" s="33"/>
      <c r="Y3003" s="33"/>
    </row>
    <row r="3004" spans="1:25" x14ac:dyDescent="0.2">
      <c r="A3004" s="93" t="s">
        <v>1620</v>
      </c>
      <c r="B3004" s="94" t="str">
        <f>IFERROR(VLOOKUP($A3004,HeadJournal!$A$1:$NTR$890,COLUMN(HeadJournal!B$1),0),"")</f>
        <v>1495071944</v>
      </c>
      <c r="C3004" s="94" t="str">
        <f>IFERROR(VLOOKUP($A3004,HeadJournal!$A$1:$NTR$890,COLUMN(HeadJournal!C$1),0),"")</f>
        <v>essens_OA</v>
      </c>
      <c r="D3004" s="125" t="str">
        <f>IFERROR(VLOOKUP($A3004,HeadJournal!$A$1:$NTR$890,COLUMN(HeadJournal!D$1),0),"")</f>
        <v>Доставлен</v>
      </c>
      <c r="E3004" s="95">
        <f>IFERROR(VLOOKUP($A3004,HeadJournal!$A$1:$NTR$890,COLUMN(HeadJournal!G$1),0),"")</f>
        <v>45339</v>
      </c>
      <c r="F3004" s="95" t="str">
        <f t="shared" si="237"/>
        <v>2024 02</v>
      </c>
      <c r="G3004" s="96" t="s">
        <v>8</v>
      </c>
      <c r="H3004" s="161" t="s">
        <v>5283</v>
      </c>
      <c r="I3004" s="97" t="s">
        <v>2243</v>
      </c>
      <c r="J3004" s="97" t="s">
        <v>5339</v>
      </c>
      <c r="K3004" s="29">
        <v>1648.9</v>
      </c>
      <c r="L3004" s="29"/>
      <c r="M3004" s="30">
        <f>IFERROR(VLOOKUP($A3004,HeadJournal!$A$1:$J$890,COLUMN(HeadJournal!I$1),0)*($K3004+$L3004)/(SUMIF($A:$A,$A3004,$K:$K)+SUMIF($A:$A,$A3004,$L:$L)),0)</f>
        <v>0</v>
      </c>
      <c r="N3004" s="30">
        <f>IFERROR((VLOOKUP($A3004,HeadJournal!$A$1:$K$890,COLUMN(HeadJournal!K$1),0)-VLOOKUP($A3004,HeadJournal!$A$1:$K$890,COLUMN(HeadJournal!J$1),0))*($K3004+$L3004)/(SUMIF($A:$A,$A3004,$K:$K)+SUMIF($A:$A,$A3004,$L:$L)),0)</f>
        <v>-274.26248042578027</v>
      </c>
      <c r="O3004" s="30">
        <f>IFERROR((VLOOKUP($A3004,HeadJournal!$A$1:$L$890,COLUMN(HeadJournal!L$1),0)*($K3004+$L3004)/(SUMIF($A:$A,$A3004,$K:$K)+SUMIF($A:$A,$A3004,$L:$L)))/VLOOKUP($A3004,HeadJournal!$A$1:$L$890,COLUMN(HeadJournal!H$1),0),0)</f>
        <v>61.743335377260067</v>
      </c>
      <c r="P3004" s="30">
        <f>IFERROR(SUM(K3004:O3004)*VLOOKUP($A3004,HeadJournal!$A$1:$L$890,COLUMN(HeadJournal!H$1),0),0)</f>
        <v>1436.3808549514799</v>
      </c>
      <c r="Q3004" s="29"/>
      <c r="R3004" s="31"/>
      <c r="S3004" s="31"/>
      <c r="T3004" s="95" t="str">
        <f t="shared" si="238"/>
        <v/>
      </c>
      <c r="U3004" s="32">
        <f t="shared" si="235"/>
        <v>-1436.3808549514799</v>
      </c>
      <c r="V3004" s="22" t="str">
        <f t="shared" si="236"/>
        <v/>
      </c>
      <c r="X3004" s="33"/>
      <c r="Y3004" s="33"/>
    </row>
    <row r="3005" spans="1:25" x14ac:dyDescent="0.2">
      <c r="A3005" s="93" t="s">
        <v>1620</v>
      </c>
      <c r="B3005" s="94" t="str">
        <f>IFERROR(VLOOKUP($A3005,HeadJournal!$A$1:$NTR$890,COLUMN(HeadJournal!B$1),0),"")</f>
        <v>1495071944</v>
      </c>
      <c r="C3005" s="94" t="str">
        <f>IFERROR(VLOOKUP($A3005,HeadJournal!$A$1:$NTR$890,COLUMN(HeadJournal!C$1),0),"")</f>
        <v>essens_OA</v>
      </c>
      <c r="D3005" s="125" t="str">
        <f>IFERROR(VLOOKUP($A3005,HeadJournal!$A$1:$NTR$890,COLUMN(HeadJournal!D$1),0),"")</f>
        <v>Доставлен</v>
      </c>
      <c r="E3005" s="95">
        <f>IFERROR(VLOOKUP($A3005,HeadJournal!$A$1:$NTR$890,COLUMN(HeadJournal!G$1),0),"")</f>
        <v>45339</v>
      </c>
      <c r="F3005" s="95" t="str">
        <f t="shared" si="237"/>
        <v>2024 02</v>
      </c>
      <c r="G3005" s="96" t="s">
        <v>8</v>
      </c>
      <c r="H3005" s="161" t="s">
        <v>5284</v>
      </c>
      <c r="I3005" s="97" t="s">
        <v>2243</v>
      </c>
      <c r="J3005" s="97" t="s">
        <v>5340</v>
      </c>
      <c r="K3005" s="29">
        <v>37.590000000000003</v>
      </c>
      <c r="L3005" s="29"/>
      <c r="M3005" s="30">
        <f>IFERROR(VLOOKUP($A3005,HeadJournal!$A$1:$J$890,COLUMN(HeadJournal!I$1),0)*($K3005+$L3005)/(SUMIF($A:$A,$A3005,$K:$K)+SUMIF($A:$A,$A3005,$L:$L)),0)</f>
        <v>0</v>
      </c>
      <c r="N3005" s="30">
        <f>IFERROR((VLOOKUP($A3005,HeadJournal!$A$1:$K$890,COLUMN(HeadJournal!K$1),0)-VLOOKUP($A3005,HeadJournal!$A$1:$K$890,COLUMN(HeadJournal!J$1),0))*($K3005+$L3005)/(SUMIF($A:$A,$A3005,$K:$K)+SUMIF($A:$A,$A3005,$L:$L)),0)</f>
        <v>-6.2523662072927886</v>
      </c>
      <c r="O3005" s="30">
        <f>IFERROR((VLOOKUP($A3005,HeadJournal!$A$1:$L$890,COLUMN(HeadJournal!L$1),0)*($K3005+$L3005)/(SUMIF($A:$A,$A3005,$K:$K)+SUMIF($A:$A,$A3005,$L:$L)))/VLOOKUP($A3005,HeadJournal!$A$1:$L$890,COLUMN(HeadJournal!H$1),0),0)</f>
        <v>1.4075638163813489</v>
      </c>
      <c r="P3005" s="30">
        <f>IFERROR(SUM(K3005:O3005)*VLOOKUP($A3005,HeadJournal!$A$1:$L$890,COLUMN(HeadJournal!H$1),0),0)</f>
        <v>32.745197609088564</v>
      </c>
      <c r="Q3005" s="29"/>
      <c r="R3005" s="31"/>
      <c r="S3005" s="31"/>
      <c r="T3005" s="95" t="str">
        <f t="shared" si="238"/>
        <v/>
      </c>
      <c r="U3005" s="32">
        <f t="shared" si="235"/>
        <v>-32.745197609088564</v>
      </c>
      <c r="V3005" s="22" t="str">
        <f t="shared" si="236"/>
        <v/>
      </c>
      <c r="X3005" s="33"/>
      <c r="Y3005" s="33"/>
    </row>
    <row r="3006" spans="1:25" x14ac:dyDescent="0.2">
      <c r="A3006" s="93" t="s">
        <v>1620</v>
      </c>
      <c r="B3006" s="94" t="str">
        <f>IFERROR(VLOOKUP($A3006,HeadJournal!$A$1:$NTR$890,COLUMN(HeadJournal!B$1),0),"")</f>
        <v>1495071944</v>
      </c>
      <c r="C3006" s="94" t="str">
        <f>IFERROR(VLOOKUP($A3006,HeadJournal!$A$1:$NTR$890,COLUMN(HeadJournal!C$1),0),"")</f>
        <v>essens_OA</v>
      </c>
      <c r="D3006" s="125" t="str">
        <f>IFERROR(VLOOKUP($A3006,HeadJournal!$A$1:$NTR$890,COLUMN(HeadJournal!D$1),0),"")</f>
        <v>Доставлен</v>
      </c>
      <c r="E3006" s="95">
        <f>IFERROR(VLOOKUP($A3006,HeadJournal!$A$1:$NTR$890,COLUMN(HeadJournal!G$1),0),"")</f>
        <v>45339</v>
      </c>
      <c r="F3006" s="95" t="str">
        <f t="shared" si="237"/>
        <v>2024 02</v>
      </c>
      <c r="G3006" s="96" t="s">
        <v>8</v>
      </c>
      <c r="H3006" s="161" t="s">
        <v>5265</v>
      </c>
      <c r="I3006" s="97" t="s">
        <v>2243</v>
      </c>
      <c r="J3006" s="97" t="s">
        <v>5323</v>
      </c>
      <c r="K3006" s="29">
        <v>1451.6</v>
      </c>
      <c r="L3006" s="29"/>
      <c r="M3006" s="30">
        <f>IFERROR(VLOOKUP($A3006,HeadJournal!$A$1:$J$890,COLUMN(HeadJournal!I$1),0)*($K3006+$L3006)/(SUMIF($A:$A,$A3006,$K:$K)+SUMIF($A:$A,$A3006,$L:$L)),0)</f>
        <v>0</v>
      </c>
      <c r="N3006" s="30">
        <f>IFERROR((VLOOKUP($A3006,HeadJournal!$A$1:$K$890,COLUMN(HeadJournal!K$1),0)-VLOOKUP($A3006,HeadJournal!$A$1:$K$890,COLUMN(HeadJournal!J$1),0))*($K3006+$L3006)/(SUMIF($A:$A,$A3006,$K:$K)+SUMIF($A:$A,$A3006,$L:$L)),0)</f>
        <v>-241.44545853967043</v>
      </c>
      <c r="O3006" s="30">
        <f>IFERROR((VLOOKUP($A3006,HeadJournal!$A$1:$L$890,COLUMN(HeadJournal!L$1),0)*($K3006+$L3006)/(SUMIF($A:$A,$A3006,$K:$K)+SUMIF($A:$A,$A3006,$L:$L)))/VLOOKUP($A3006,HeadJournal!$A$1:$L$890,COLUMN(HeadJournal!H$1),0),0)</f>
        <v>54.355403986676393</v>
      </c>
      <c r="P3006" s="30">
        <f>IFERROR(SUM(K3006:O3006)*VLOOKUP($A3006,HeadJournal!$A$1:$L$890,COLUMN(HeadJournal!H$1),0),0)</f>
        <v>1264.509945447006</v>
      </c>
      <c r="Q3006" s="29"/>
      <c r="R3006" s="31"/>
      <c r="S3006" s="31"/>
      <c r="T3006" s="95" t="str">
        <f t="shared" si="238"/>
        <v/>
      </c>
      <c r="U3006" s="32">
        <f t="shared" si="235"/>
        <v>-1264.509945447006</v>
      </c>
      <c r="V3006" s="22" t="str">
        <f t="shared" si="236"/>
        <v/>
      </c>
      <c r="X3006" s="33"/>
      <c r="Y3006" s="33"/>
    </row>
    <row r="3007" spans="1:25" x14ac:dyDescent="0.2">
      <c r="A3007" s="93" t="s">
        <v>1620</v>
      </c>
      <c r="B3007" s="94" t="str">
        <f>IFERROR(VLOOKUP($A3007,HeadJournal!$A$1:$NTR$890,COLUMN(HeadJournal!B$1),0),"")</f>
        <v>1495071944</v>
      </c>
      <c r="C3007" s="94" t="str">
        <f>IFERROR(VLOOKUP($A3007,HeadJournal!$A$1:$NTR$890,COLUMN(HeadJournal!C$1),0),"")</f>
        <v>essens_OA</v>
      </c>
      <c r="D3007" s="125" t="str">
        <f>IFERROR(VLOOKUP($A3007,HeadJournal!$A$1:$NTR$890,COLUMN(HeadJournal!D$1),0),"")</f>
        <v>Доставлен</v>
      </c>
      <c r="E3007" s="95">
        <f>IFERROR(VLOOKUP($A3007,HeadJournal!$A$1:$NTR$890,COLUMN(HeadJournal!G$1),0),"")</f>
        <v>45339</v>
      </c>
      <c r="F3007" s="95" t="str">
        <f t="shared" si="237"/>
        <v>2024 02</v>
      </c>
      <c r="G3007" s="96" t="s">
        <v>8</v>
      </c>
      <c r="H3007" s="161" t="s">
        <v>5265</v>
      </c>
      <c r="I3007" s="97" t="s">
        <v>2243</v>
      </c>
      <c r="J3007" s="97" t="s">
        <v>5323</v>
      </c>
      <c r="K3007" s="29">
        <v>1451.6</v>
      </c>
      <c r="L3007" s="29"/>
      <c r="M3007" s="30">
        <f>IFERROR(VLOOKUP($A3007,HeadJournal!$A$1:$J$890,COLUMN(HeadJournal!I$1),0)*($K3007+$L3007)/(SUMIF($A:$A,$A3007,$K:$K)+SUMIF($A:$A,$A3007,$L:$L)),0)</f>
        <v>0</v>
      </c>
      <c r="N3007" s="30">
        <f>IFERROR((VLOOKUP($A3007,HeadJournal!$A$1:$K$890,COLUMN(HeadJournal!K$1),0)-VLOOKUP($A3007,HeadJournal!$A$1:$K$890,COLUMN(HeadJournal!J$1),0))*($K3007+$L3007)/(SUMIF($A:$A,$A3007,$K:$K)+SUMIF($A:$A,$A3007,$L:$L)),0)</f>
        <v>-241.44545853967043</v>
      </c>
      <c r="O3007" s="30">
        <f>IFERROR((VLOOKUP($A3007,HeadJournal!$A$1:$L$890,COLUMN(HeadJournal!L$1),0)*($K3007+$L3007)/(SUMIF($A:$A,$A3007,$K:$K)+SUMIF($A:$A,$A3007,$L:$L)))/VLOOKUP($A3007,HeadJournal!$A$1:$L$890,COLUMN(HeadJournal!H$1),0),0)</f>
        <v>54.355403986676393</v>
      </c>
      <c r="P3007" s="30">
        <f>IFERROR(SUM(K3007:O3007)*VLOOKUP($A3007,HeadJournal!$A$1:$L$890,COLUMN(HeadJournal!H$1),0),0)</f>
        <v>1264.509945447006</v>
      </c>
      <c r="Q3007" s="29"/>
      <c r="R3007" s="31"/>
      <c r="S3007" s="31"/>
      <c r="T3007" s="95" t="str">
        <f t="shared" si="238"/>
        <v/>
      </c>
      <c r="U3007" s="32">
        <f t="shared" si="235"/>
        <v>-1264.509945447006</v>
      </c>
      <c r="V3007" s="22" t="str">
        <f t="shared" si="236"/>
        <v/>
      </c>
      <c r="X3007" s="33"/>
      <c r="Y3007" s="33"/>
    </row>
    <row r="3008" spans="1:25" x14ac:dyDescent="0.2">
      <c r="A3008" s="93" t="s">
        <v>1617</v>
      </c>
      <c r="B3008" s="94" t="str">
        <f>IFERROR(VLOOKUP($A3008,HeadJournal!$A$1:$NTR$890,COLUMN(HeadJournal!B$1),0),"")</f>
        <v>1495060911</v>
      </c>
      <c r="C3008" s="94" t="str">
        <f>IFERROR(VLOOKUP($A3008,HeadJournal!$A$1:$NTR$890,COLUMN(HeadJournal!C$1),0),"")</f>
        <v>essens_OA</v>
      </c>
      <c r="D3008" s="125" t="str">
        <f>IFERROR(VLOOKUP($A3008,HeadJournal!$A$1:$NTR$890,COLUMN(HeadJournal!D$1),0),"")</f>
        <v>Доставлен</v>
      </c>
      <c r="E3008" s="95">
        <f>IFERROR(VLOOKUP($A3008,HeadJournal!$A$1:$NTR$890,COLUMN(HeadJournal!G$1),0),"")</f>
        <v>45333</v>
      </c>
      <c r="F3008" s="95" t="str">
        <f t="shared" si="237"/>
        <v>2024 02</v>
      </c>
      <c r="G3008" s="96" t="s">
        <v>8</v>
      </c>
      <c r="H3008" s="161" t="s">
        <v>5285</v>
      </c>
      <c r="I3008" s="97" t="s">
        <v>2243</v>
      </c>
      <c r="J3008" s="97" t="s">
        <v>5341</v>
      </c>
      <c r="K3008" s="29">
        <v>1353.16</v>
      </c>
      <c r="L3008" s="29"/>
      <c r="M3008" s="30">
        <f>IFERROR(VLOOKUP($A3008,HeadJournal!$A$1:$J$890,COLUMN(HeadJournal!I$1),0)*($K3008+$L3008)/(SUMIF($A:$A,$A3008,$K:$K)+SUMIF($A:$A,$A3008,$L:$L)),0)</f>
        <v>0</v>
      </c>
      <c r="N3008" s="30">
        <f>IFERROR((VLOOKUP($A3008,HeadJournal!$A$1:$K$890,COLUMN(HeadJournal!K$1),0)-VLOOKUP($A3008,HeadJournal!$A$1:$K$890,COLUMN(HeadJournal!J$1),0))*($K3008+$L3008)/(SUMIF($A:$A,$A3008,$K:$K)+SUMIF($A:$A,$A3008,$L:$L)),0)</f>
        <v>-163.0755817594659</v>
      </c>
      <c r="O3008" s="30">
        <f>IFERROR((VLOOKUP($A3008,HeadJournal!$A$1:$L$890,COLUMN(HeadJournal!L$1),0)*($K3008+$L3008)/(SUMIF($A:$A,$A3008,$K:$K)+SUMIF($A:$A,$A3008,$L:$L)))/VLOOKUP($A3008,HeadJournal!$A$1:$L$890,COLUMN(HeadJournal!H$1),0),0)</f>
        <v>43.385268137846026</v>
      </c>
      <c r="P3008" s="30">
        <f>IFERROR(SUM(K3008:O3008)*VLOOKUP($A3008,HeadJournal!$A$1:$L$890,COLUMN(HeadJournal!H$1),0),0)</f>
        <v>1233.4696863783802</v>
      </c>
      <c r="Q3008" s="29"/>
      <c r="R3008" s="31"/>
      <c r="S3008" s="31"/>
      <c r="T3008" s="95" t="str">
        <f t="shared" si="238"/>
        <v/>
      </c>
      <c r="U3008" s="32">
        <f t="shared" si="235"/>
        <v>-1233.4696863783802</v>
      </c>
      <c r="V3008" s="22" t="str">
        <f t="shared" si="236"/>
        <v/>
      </c>
      <c r="X3008" s="33"/>
      <c r="Y3008" s="33"/>
    </row>
    <row r="3009" spans="1:25" x14ac:dyDescent="0.2">
      <c r="A3009" s="93" t="s">
        <v>1617</v>
      </c>
      <c r="B3009" s="94" t="str">
        <f>IFERROR(VLOOKUP($A3009,HeadJournal!$A$1:$NTR$890,COLUMN(HeadJournal!B$1),0),"")</f>
        <v>1495060911</v>
      </c>
      <c r="C3009" s="94" t="str">
        <f>IFERROR(VLOOKUP($A3009,HeadJournal!$A$1:$NTR$890,COLUMN(HeadJournal!C$1),0),"")</f>
        <v>essens_OA</v>
      </c>
      <c r="D3009" s="125" t="str">
        <f>IFERROR(VLOOKUP($A3009,HeadJournal!$A$1:$NTR$890,COLUMN(HeadJournal!D$1),0),"")</f>
        <v>Доставлен</v>
      </c>
      <c r="E3009" s="95">
        <f>IFERROR(VLOOKUP($A3009,HeadJournal!$A$1:$NTR$890,COLUMN(HeadJournal!G$1),0),"")</f>
        <v>45333</v>
      </c>
      <c r="F3009" s="95" t="str">
        <f t="shared" si="237"/>
        <v>2024 02</v>
      </c>
      <c r="G3009" s="96" t="s">
        <v>8</v>
      </c>
      <c r="H3009" s="161" t="s">
        <v>5286</v>
      </c>
      <c r="I3009" s="97" t="s">
        <v>2243</v>
      </c>
      <c r="J3009" s="97" t="s">
        <v>5342</v>
      </c>
      <c r="K3009" s="70">
        <v>1353.16</v>
      </c>
      <c r="L3009" s="29"/>
      <c r="M3009" s="30">
        <f>IFERROR(VLOOKUP($A3009,HeadJournal!$A$1:$J$890,COLUMN(HeadJournal!I$1),0)*($K3009+$L3009)/(SUMIF($A:$A,$A3009,$K:$K)+SUMIF($A:$A,$A3009,$L:$L)),0)</f>
        <v>0</v>
      </c>
      <c r="N3009" s="30">
        <f>IFERROR((VLOOKUP($A3009,HeadJournal!$A$1:$K$890,COLUMN(HeadJournal!K$1),0)-VLOOKUP($A3009,HeadJournal!$A$1:$K$890,COLUMN(HeadJournal!J$1),0))*($K3009+$L3009)/(SUMIF($A:$A,$A3009,$K:$K)+SUMIF($A:$A,$A3009,$L:$L)),0)</f>
        <v>-163.0755817594659</v>
      </c>
      <c r="O3009" s="30">
        <f>IFERROR((VLOOKUP($A3009,HeadJournal!$A$1:$L$890,COLUMN(HeadJournal!L$1),0)*($K3009+$L3009)/(SUMIF($A:$A,$A3009,$K:$K)+SUMIF($A:$A,$A3009,$L:$L)))/VLOOKUP($A3009,HeadJournal!$A$1:$L$890,COLUMN(HeadJournal!H$1),0),0)</f>
        <v>43.385268137846026</v>
      </c>
      <c r="P3009" s="30">
        <f>IFERROR(SUM(K3009:O3009)*VLOOKUP($A3009,HeadJournal!$A$1:$L$890,COLUMN(HeadJournal!H$1),0),0)</f>
        <v>1233.4696863783802</v>
      </c>
      <c r="Q3009" s="29"/>
      <c r="R3009" s="31"/>
      <c r="S3009" s="31"/>
      <c r="T3009" s="95" t="str">
        <f t="shared" si="238"/>
        <v/>
      </c>
      <c r="U3009" s="32">
        <f t="shared" ref="U3009:U3072" si="239">Q3009-P3009</f>
        <v>-1233.4696863783802</v>
      </c>
      <c r="V3009" s="22" t="str">
        <f t="shared" ref="V3009:V3072" si="240">IF(Q3009&lt;&gt;0,IFERROR(U3009/P3009,""),"")</f>
        <v/>
      </c>
      <c r="X3009" s="33"/>
      <c r="Y3009" s="33"/>
    </row>
    <row r="3010" spans="1:25" x14ac:dyDescent="0.2">
      <c r="A3010" s="93" t="s">
        <v>1617</v>
      </c>
      <c r="B3010" s="94" t="str">
        <f>IFERROR(VLOOKUP($A3010,HeadJournal!$A$1:$NTR$890,COLUMN(HeadJournal!B$1),0),"")</f>
        <v>1495060911</v>
      </c>
      <c r="C3010" s="94" t="str">
        <f>IFERROR(VLOOKUP($A3010,HeadJournal!$A$1:$NTR$890,COLUMN(HeadJournal!C$1),0),"")</f>
        <v>essens_OA</v>
      </c>
      <c r="D3010" s="125" t="str">
        <f>IFERROR(VLOOKUP($A3010,HeadJournal!$A$1:$NTR$890,COLUMN(HeadJournal!D$1),0),"")</f>
        <v>Доставлен</v>
      </c>
      <c r="E3010" s="95">
        <f>IFERROR(VLOOKUP($A3010,HeadJournal!$A$1:$NTR$890,COLUMN(HeadJournal!G$1),0),"")</f>
        <v>45333</v>
      </c>
      <c r="F3010" s="95" t="str">
        <f t="shared" si="237"/>
        <v>2024 02</v>
      </c>
      <c r="G3010" s="96" t="s">
        <v>8</v>
      </c>
      <c r="H3010" s="161" t="s">
        <v>5287</v>
      </c>
      <c r="I3010" s="97" t="s">
        <v>2243</v>
      </c>
      <c r="J3010" s="97" t="s">
        <v>5343</v>
      </c>
      <c r="K3010" s="29">
        <v>1353.16</v>
      </c>
      <c r="L3010" s="29"/>
      <c r="M3010" s="30">
        <f>IFERROR(VLOOKUP($A3010,HeadJournal!$A$1:$J$890,COLUMN(HeadJournal!I$1),0)*($K3010+$L3010)/(SUMIF($A:$A,$A3010,$K:$K)+SUMIF($A:$A,$A3010,$L:$L)),0)</f>
        <v>0</v>
      </c>
      <c r="N3010" s="30">
        <f>IFERROR((VLOOKUP($A3010,HeadJournal!$A$1:$K$890,COLUMN(HeadJournal!K$1),0)-VLOOKUP($A3010,HeadJournal!$A$1:$K$890,COLUMN(HeadJournal!J$1),0))*($K3010+$L3010)/(SUMIF($A:$A,$A3010,$K:$K)+SUMIF($A:$A,$A3010,$L:$L)),0)</f>
        <v>-163.0755817594659</v>
      </c>
      <c r="O3010" s="30">
        <f>IFERROR((VLOOKUP($A3010,HeadJournal!$A$1:$L$890,COLUMN(HeadJournal!L$1),0)*($K3010+$L3010)/(SUMIF($A:$A,$A3010,$K:$K)+SUMIF($A:$A,$A3010,$L:$L)))/VLOOKUP($A3010,HeadJournal!$A$1:$L$890,COLUMN(HeadJournal!H$1),0),0)</f>
        <v>43.385268137846026</v>
      </c>
      <c r="P3010" s="30">
        <f>IFERROR(SUM(K3010:O3010)*VLOOKUP($A3010,HeadJournal!$A$1:$L$890,COLUMN(HeadJournal!H$1),0),0)</f>
        <v>1233.4696863783802</v>
      </c>
      <c r="Q3010" s="29">
        <v>2200</v>
      </c>
      <c r="R3010" s="31">
        <v>45574</v>
      </c>
      <c r="S3010" s="31" t="s">
        <v>3121</v>
      </c>
      <c r="T3010" s="95" t="str">
        <f t="shared" si="238"/>
        <v>2024 10</v>
      </c>
      <c r="U3010" s="32">
        <f t="shared" si="239"/>
        <v>966.53031362161983</v>
      </c>
      <c r="V3010" s="22">
        <f t="shared" si="240"/>
        <v>0.78358659665116914</v>
      </c>
      <c r="X3010" s="33"/>
      <c r="Y3010" s="33"/>
    </row>
    <row r="3011" spans="1:25" x14ac:dyDescent="0.2">
      <c r="A3011" s="93" t="s">
        <v>1617</v>
      </c>
      <c r="B3011" s="94" t="str">
        <f>IFERROR(VLOOKUP($A3011,HeadJournal!$A$1:$NTR$890,COLUMN(HeadJournal!B$1),0),"")</f>
        <v>1495060911</v>
      </c>
      <c r="C3011" s="94" t="str">
        <f>IFERROR(VLOOKUP($A3011,HeadJournal!$A$1:$NTR$890,COLUMN(HeadJournal!C$1),0),"")</f>
        <v>essens_OA</v>
      </c>
      <c r="D3011" s="125" t="str">
        <f>IFERROR(VLOOKUP($A3011,HeadJournal!$A$1:$NTR$890,COLUMN(HeadJournal!D$1),0),"")</f>
        <v>Доставлен</v>
      </c>
      <c r="E3011" s="95">
        <f>IFERROR(VLOOKUP($A3011,HeadJournal!$A$1:$NTR$890,COLUMN(HeadJournal!G$1),0),"")</f>
        <v>45333</v>
      </c>
      <c r="F3011" s="95" t="str">
        <f t="shared" si="237"/>
        <v>2024 02</v>
      </c>
      <c r="G3011" s="96" t="s">
        <v>8</v>
      </c>
      <c r="H3011" s="161" t="s">
        <v>3956</v>
      </c>
      <c r="I3011" s="97" t="s">
        <v>2243</v>
      </c>
      <c r="J3011" s="97" t="s">
        <v>3960</v>
      </c>
      <c r="K3011" s="29">
        <v>1353.16</v>
      </c>
      <c r="L3011" s="29"/>
      <c r="M3011" s="30">
        <f>IFERROR(VLOOKUP($A3011,HeadJournal!$A$1:$J$890,COLUMN(HeadJournal!I$1),0)*($K3011+$L3011)/(SUMIF($A:$A,$A3011,$K:$K)+SUMIF($A:$A,$A3011,$L:$L)),0)</f>
        <v>0</v>
      </c>
      <c r="N3011" s="30">
        <f>IFERROR((VLOOKUP($A3011,HeadJournal!$A$1:$K$890,COLUMN(HeadJournal!K$1),0)-VLOOKUP($A3011,HeadJournal!$A$1:$K$890,COLUMN(HeadJournal!J$1),0))*($K3011+$L3011)/(SUMIF($A:$A,$A3011,$K:$K)+SUMIF($A:$A,$A3011,$L:$L)),0)</f>
        <v>-163.0755817594659</v>
      </c>
      <c r="O3011" s="30">
        <f>IFERROR((VLOOKUP($A3011,HeadJournal!$A$1:$L$890,COLUMN(HeadJournal!L$1),0)*($K3011+$L3011)/(SUMIF($A:$A,$A3011,$K:$K)+SUMIF($A:$A,$A3011,$L:$L)))/VLOOKUP($A3011,HeadJournal!$A$1:$L$890,COLUMN(HeadJournal!H$1),0),0)</f>
        <v>43.385268137846026</v>
      </c>
      <c r="P3011" s="30">
        <f>IFERROR(SUM(K3011:O3011)*VLOOKUP($A3011,HeadJournal!$A$1:$L$890,COLUMN(HeadJournal!H$1),0),0)</f>
        <v>1233.4696863783802</v>
      </c>
      <c r="Q3011" s="29">
        <v>2200</v>
      </c>
      <c r="R3011" s="31">
        <v>45574</v>
      </c>
      <c r="S3011" s="31" t="s">
        <v>3121</v>
      </c>
      <c r="T3011" s="95" t="str">
        <f t="shared" si="238"/>
        <v>2024 10</v>
      </c>
      <c r="U3011" s="32">
        <f t="shared" si="239"/>
        <v>966.53031362161983</v>
      </c>
      <c r="V3011" s="22">
        <f t="shared" si="240"/>
        <v>0.78358659665116914</v>
      </c>
      <c r="X3011" s="33"/>
      <c r="Y3011" s="33"/>
    </row>
    <row r="3012" spans="1:25" x14ac:dyDescent="0.2">
      <c r="A3012" s="93" t="s">
        <v>1617</v>
      </c>
      <c r="B3012" s="94" t="str">
        <f>IFERROR(VLOOKUP($A3012,HeadJournal!$A$1:$NTR$890,COLUMN(HeadJournal!B$1),0),"")</f>
        <v>1495060911</v>
      </c>
      <c r="C3012" s="94" t="str">
        <f>IFERROR(VLOOKUP($A3012,HeadJournal!$A$1:$NTR$890,COLUMN(HeadJournal!C$1),0),"")</f>
        <v>essens_OA</v>
      </c>
      <c r="D3012" s="125" t="str">
        <f>IFERROR(VLOOKUP($A3012,HeadJournal!$A$1:$NTR$890,COLUMN(HeadJournal!D$1),0),"")</f>
        <v>Доставлен</v>
      </c>
      <c r="E3012" s="95">
        <f>IFERROR(VLOOKUP($A3012,HeadJournal!$A$1:$NTR$890,COLUMN(HeadJournal!G$1),0),"")</f>
        <v>45333</v>
      </c>
      <c r="F3012" s="95" t="str">
        <f t="shared" ref="F3012:F3075" si="241">IFERROR(TEXT(E3012, "ГГГГ ММ"),"")</f>
        <v>2024 02</v>
      </c>
      <c r="G3012" s="96" t="s">
        <v>8</v>
      </c>
      <c r="H3012" s="161" t="s">
        <v>3956</v>
      </c>
      <c r="I3012" s="97" t="s">
        <v>2243</v>
      </c>
      <c r="J3012" s="97" t="s">
        <v>3960</v>
      </c>
      <c r="K3012" s="29">
        <v>1353.16</v>
      </c>
      <c r="L3012" s="29"/>
      <c r="M3012" s="30">
        <f>IFERROR(VLOOKUP($A3012,HeadJournal!$A$1:$J$890,COLUMN(HeadJournal!I$1),0)*($K3012+$L3012)/(SUMIF($A:$A,$A3012,$K:$K)+SUMIF($A:$A,$A3012,$L:$L)),0)</f>
        <v>0</v>
      </c>
      <c r="N3012" s="30">
        <f>IFERROR((VLOOKUP($A3012,HeadJournal!$A$1:$K$890,COLUMN(HeadJournal!K$1),0)-VLOOKUP($A3012,HeadJournal!$A$1:$K$890,COLUMN(HeadJournal!J$1),0))*($K3012+$L3012)/(SUMIF($A:$A,$A3012,$K:$K)+SUMIF($A:$A,$A3012,$L:$L)),0)</f>
        <v>-163.0755817594659</v>
      </c>
      <c r="O3012" s="30">
        <f>IFERROR((VLOOKUP($A3012,HeadJournal!$A$1:$L$890,COLUMN(HeadJournal!L$1),0)*($K3012+$L3012)/(SUMIF($A:$A,$A3012,$K:$K)+SUMIF($A:$A,$A3012,$L:$L)))/VLOOKUP($A3012,HeadJournal!$A$1:$L$890,COLUMN(HeadJournal!H$1),0),0)</f>
        <v>43.385268137846026</v>
      </c>
      <c r="P3012" s="30">
        <f>IFERROR(SUM(K3012:O3012)*VLOOKUP($A3012,HeadJournal!$A$1:$L$890,COLUMN(HeadJournal!H$1),0),0)</f>
        <v>1233.4696863783802</v>
      </c>
      <c r="Q3012" s="29">
        <v>1233.47</v>
      </c>
      <c r="R3012" s="31"/>
      <c r="S3012" s="31"/>
      <c r="T3012" s="95" t="str">
        <f t="shared" ref="T3012:T3075" si="242">IF(R3012="","",TEXT(R3012,"ГГГГ ММ"))</f>
        <v/>
      </c>
      <c r="U3012" s="32">
        <f t="shared" si="239"/>
        <v>3.1362161985271086E-4</v>
      </c>
      <c r="V3012" s="22">
        <f t="shared" si="240"/>
        <v>2.5425968981332875E-7</v>
      </c>
      <c r="X3012" s="33"/>
      <c r="Y3012" s="33"/>
    </row>
    <row r="3013" spans="1:25" x14ac:dyDescent="0.2">
      <c r="A3013" s="93" t="s">
        <v>1617</v>
      </c>
      <c r="B3013" s="94" t="str">
        <f>IFERROR(VLOOKUP($A3013,HeadJournal!$A$1:$NTR$890,COLUMN(HeadJournal!B$1),0),"")</f>
        <v>1495060911</v>
      </c>
      <c r="C3013" s="94" t="str">
        <f>IFERROR(VLOOKUP($A3013,HeadJournal!$A$1:$NTR$890,COLUMN(HeadJournal!C$1),0),"")</f>
        <v>essens_OA</v>
      </c>
      <c r="D3013" s="125" t="str">
        <f>IFERROR(VLOOKUP($A3013,HeadJournal!$A$1:$NTR$890,COLUMN(HeadJournal!D$1),0),"")</f>
        <v>Доставлен</v>
      </c>
      <c r="E3013" s="95">
        <f>IFERROR(VLOOKUP($A3013,HeadJournal!$A$1:$NTR$890,COLUMN(HeadJournal!G$1),0),"")</f>
        <v>45333</v>
      </c>
      <c r="F3013" s="95" t="str">
        <f t="shared" si="241"/>
        <v>2024 02</v>
      </c>
      <c r="G3013" s="96" t="s">
        <v>8</v>
      </c>
      <c r="H3013" s="161" t="s">
        <v>2266</v>
      </c>
      <c r="I3013" s="97" t="s">
        <v>2243</v>
      </c>
      <c r="J3013" s="97" t="s">
        <v>2273</v>
      </c>
      <c r="K3013" s="29">
        <v>1353.16</v>
      </c>
      <c r="L3013" s="29"/>
      <c r="M3013" s="30">
        <f>IFERROR(VLOOKUP($A3013,HeadJournal!$A$1:$J$890,COLUMN(HeadJournal!I$1),0)*($K3013+$L3013)/(SUMIF($A:$A,$A3013,$K:$K)+SUMIF($A:$A,$A3013,$L:$L)),0)</f>
        <v>0</v>
      </c>
      <c r="N3013" s="30">
        <f>IFERROR((VLOOKUP($A3013,HeadJournal!$A$1:$K$890,COLUMN(HeadJournal!K$1),0)-VLOOKUP($A3013,HeadJournal!$A$1:$K$890,COLUMN(HeadJournal!J$1),0))*($K3013+$L3013)/(SUMIF($A:$A,$A3013,$K:$K)+SUMIF($A:$A,$A3013,$L:$L)),0)</f>
        <v>-163.0755817594659</v>
      </c>
      <c r="O3013" s="30">
        <f>IFERROR((VLOOKUP($A3013,HeadJournal!$A$1:$L$890,COLUMN(HeadJournal!L$1),0)*($K3013+$L3013)/(SUMIF($A:$A,$A3013,$K:$K)+SUMIF($A:$A,$A3013,$L:$L)))/VLOOKUP($A3013,HeadJournal!$A$1:$L$890,COLUMN(HeadJournal!H$1),0),0)</f>
        <v>43.385268137846026</v>
      </c>
      <c r="P3013" s="30">
        <f>IFERROR(SUM(K3013:O3013)*VLOOKUP($A3013,HeadJournal!$A$1:$L$890,COLUMN(HeadJournal!H$1),0),0)</f>
        <v>1233.4696863783802</v>
      </c>
      <c r="Q3013" s="29">
        <v>2200</v>
      </c>
      <c r="R3013" s="31">
        <v>45567</v>
      </c>
      <c r="S3013" s="31" t="s">
        <v>3121</v>
      </c>
      <c r="T3013" s="95" t="str">
        <f t="shared" si="242"/>
        <v>2024 10</v>
      </c>
      <c r="U3013" s="32">
        <f t="shared" si="239"/>
        <v>966.53031362161983</v>
      </c>
      <c r="V3013" s="22">
        <f t="shared" si="240"/>
        <v>0.78358659665116914</v>
      </c>
      <c r="X3013" s="33"/>
      <c r="Y3013" s="33"/>
    </row>
    <row r="3014" spans="1:25" x14ac:dyDescent="0.2">
      <c r="A3014" s="93" t="s">
        <v>1617</v>
      </c>
      <c r="B3014" s="94" t="str">
        <f>IFERROR(VLOOKUP($A3014,HeadJournal!$A$1:$NTR$890,COLUMN(HeadJournal!B$1),0),"")</f>
        <v>1495060911</v>
      </c>
      <c r="C3014" s="94" t="str">
        <f>IFERROR(VLOOKUP($A3014,HeadJournal!$A$1:$NTR$890,COLUMN(HeadJournal!C$1),0),"")</f>
        <v>essens_OA</v>
      </c>
      <c r="D3014" s="125" t="str">
        <f>IFERROR(VLOOKUP($A3014,HeadJournal!$A$1:$NTR$890,COLUMN(HeadJournal!D$1),0),"")</f>
        <v>Доставлен</v>
      </c>
      <c r="E3014" s="95">
        <f>IFERROR(VLOOKUP($A3014,HeadJournal!$A$1:$NTR$890,COLUMN(HeadJournal!G$1),0),"")</f>
        <v>45333</v>
      </c>
      <c r="F3014" s="95" t="str">
        <f t="shared" si="241"/>
        <v>2024 02</v>
      </c>
      <c r="G3014" s="96" t="s">
        <v>8</v>
      </c>
      <c r="H3014" s="161" t="s">
        <v>5278</v>
      </c>
      <c r="I3014" s="97" t="s">
        <v>2243</v>
      </c>
      <c r="J3014" s="97" t="s">
        <v>2513</v>
      </c>
      <c r="K3014" s="29">
        <v>1537.09</v>
      </c>
      <c r="L3014" s="29"/>
      <c r="M3014" s="30">
        <f>IFERROR(VLOOKUP($A3014,HeadJournal!$A$1:$J$890,COLUMN(HeadJournal!I$1),0)*($K3014+$L3014)/(SUMIF($A:$A,$A3014,$K:$K)+SUMIF($A:$A,$A3014,$L:$L)),0)</f>
        <v>0</v>
      </c>
      <c r="N3014" s="30">
        <f>IFERROR((VLOOKUP($A3014,HeadJournal!$A$1:$K$890,COLUMN(HeadJournal!K$1),0)-VLOOKUP($A3014,HeadJournal!$A$1:$K$890,COLUMN(HeadJournal!J$1),0))*($K3014+$L3014)/(SUMIF($A:$A,$A3014,$K:$K)+SUMIF($A:$A,$A3014,$L:$L)),0)</f>
        <v>-185.24183833889373</v>
      </c>
      <c r="O3014" s="30">
        <f>IFERROR((VLOOKUP($A3014,HeadJournal!$A$1:$L$890,COLUMN(HeadJournal!L$1),0)*($K3014+$L3014)/(SUMIF($A:$A,$A3014,$K:$K)+SUMIF($A:$A,$A3014,$L:$L)))/VLOOKUP($A3014,HeadJournal!$A$1:$L$890,COLUMN(HeadJournal!H$1),0),0)</f>
        <v>49.282466080878649</v>
      </c>
      <c r="P3014" s="30">
        <f>IFERROR(SUM(K3014:O3014)*VLOOKUP($A3014,HeadJournal!$A$1:$L$890,COLUMN(HeadJournal!H$1),0),0)</f>
        <v>1401.1306277419849</v>
      </c>
      <c r="Q3014" s="29">
        <v>2550</v>
      </c>
      <c r="R3014" s="31">
        <v>45579</v>
      </c>
      <c r="S3014" s="31" t="s">
        <v>3121</v>
      </c>
      <c r="T3014" s="95" t="str">
        <f t="shared" si="242"/>
        <v>2024 10</v>
      </c>
      <c r="U3014" s="32">
        <f t="shared" si="239"/>
        <v>1148.8693722580151</v>
      </c>
      <c r="V3014" s="22">
        <f t="shared" si="240"/>
        <v>0.81995878864591976</v>
      </c>
      <c r="X3014" s="33"/>
      <c r="Y3014" s="33"/>
    </row>
    <row r="3015" spans="1:25" x14ac:dyDescent="0.2">
      <c r="A3015" s="93" t="s">
        <v>1617</v>
      </c>
      <c r="B3015" s="94" t="str">
        <f>IFERROR(VLOOKUP($A3015,HeadJournal!$A$1:$NTR$890,COLUMN(HeadJournal!B$1),0),"")</f>
        <v>1495060911</v>
      </c>
      <c r="C3015" s="94" t="str">
        <f>IFERROR(VLOOKUP($A3015,HeadJournal!$A$1:$NTR$890,COLUMN(HeadJournal!C$1),0),"")</f>
        <v>essens_OA</v>
      </c>
      <c r="D3015" s="125" t="str">
        <f>IFERROR(VLOOKUP($A3015,HeadJournal!$A$1:$NTR$890,COLUMN(HeadJournal!D$1),0),"")</f>
        <v>Доставлен</v>
      </c>
      <c r="E3015" s="95">
        <f>IFERROR(VLOOKUP($A3015,HeadJournal!$A$1:$NTR$890,COLUMN(HeadJournal!G$1),0),"")</f>
        <v>45333</v>
      </c>
      <c r="F3015" s="95" t="str">
        <f t="shared" si="241"/>
        <v>2024 02</v>
      </c>
      <c r="G3015" s="96" t="s">
        <v>8</v>
      </c>
      <c r="H3015" s="161" t="s">
        <v>5288</v>
      </c>
      <c r="I3015" s="97" t="s">
        <v>2243</v>
      </c>
      <c r="J3015" s="97" t="s">
        <v>2515</v>
      </c>
      <c r="K3015" s="29">
        <v>1537.09</v>
      </c>
      <c r="L3015" s="29"/>
      <c r="M3015" s="30">
        <f>IFERROR(VLOOKUP($A3015,HeadJournal!$A$1:$J$890,COLUMN(HeadJournal!I$1),0)*($K3015+$L3015)/(SUMIF($A:$A,$A3015,$K:$K)+SUMIF($A:$A,$A3015,$L:$L)),0)</f>
        <v>0</v>
      </c>
      <c r="N3015" s="30">
        <f>IFERROR((VLOOKUP($A3015,HeadJournal!$A$1:$K$890,COLUMN(HeadJournal!K$1),0)-VLOOKUP($A3015,HeadJournal!$A$1:$K$890,COLUMN(HeadJournal!J$1),0))*($K3015+$L3015)/(SUMIF($A:$A,$A3015,$K:$K)+SUMIF($A:$A,$A3015,$L:$L)),0)</f>
        <v>-185.24183833889373</v>
      </c>
      <c r="O3015" s="30">
        <f>IFERROR((VLOOKUP($A3015,HeadJournal!$A$1:$L$890,COLUMN(HeadJournal!L$1),0)*($K3015+$L3015)/(SUMIF($A:$A,$A3015,$K:$K)+SUMIF($A:$A,$A3015,$L:$L)))/VLOOKUP($A3015,HeadJournal!$A$1:$L$890,COLUMN(HeadJournal!H$1),0),0)</f>
        <v>49.282466080878649</v>
      </c>
      <c r="P3015" s="30">
        <f>IFERROR(SUM(K3015:O3015)*VLOOKUP($A3015,HeadJournal!$A$1:$L$890,COLUMN(HeadJournal!H$1),0),0)</f>
        <v>1401.1306277419849</v>
      </c>
      <c r="Q3015" s="29">
        <v>2500</v>
      </c>
      <c r="R3015" s="31">
        <v>45574</v>
      </c>
      <c r="S3015" s="31" t="s">
        <v>3121</v>
      </c>
      <c r="T3015" s="95" t="str">
        <f t="shared" si="242"/>
        <v>2024 10</v>
      </c>
      <c r="U3015" s="32">
        <f t="shared" si="239"/>
        <v>1098.8693722580151</v>
      </c>
      <c r="V3015" s="22">
        <f t="shared" si="240"/>
        <v>0.78427332220188217</v>
      </c>
      <c r="X3015" s="33"/>
      <c r="Y3015" s="33"/>
    </row>
    <row r="3016" spans="1:25" x14ac:dyDescent="0.2">
      <c r="A3016" s="93" t="s">
        <v>1617</v>
      </c>
      <c r="B3016" s="94" t="str">
        <f>IFERROR(VLOOKUP($A3016,HeadJournal!$A$1:$NTR$890,COLUMN(HeadJournal!B$1),0),"")</f>
        <v>1495060911</v>
      </c>
      <c r="C3016" s="94" t="str">
        <f>IFERROR(VLOOKUP($A3016,HeadJournal!$A$1:$NTR$890,COLUMN(HeadJournal!C$1),0),"")</f>
        <v>essens_OA</v>
      </c>
      <c r="D3016" s="125" t="str">
        <f>IFERROR(VLOOKUP($A3016,HeadJournal!$A$1:$NTR$890,COLUMN(HeadJournal!D$1),0),"")</f>
        <v>Доставлен</v>
      </c>
      <c r="E3016" s="95">
        <f>IFERROR(VLOOKUP($A3016,HeadJournal!$A$1:$NTR$890,COLUMN(HeadJournal!G$1),0),"")</f>
        <v>45333</v>
      </c>
      <c r="F3016" s="95" t="str">
        <f t="shared" si="241"/>
        <v>2024 02</v>
      </c>
      <c r="G3016" s="96" t="s">
        <v>8</v>
      </c>
      <c r="H3016" s="161" t="s">
        <v>5289</v>
      </c>
      <c r="I3016" s="97" t="s">
        <v>2243</v>
      </c>
      <c r="J3016" s="97" t="s">
        <v>5344</v>
      </c>
      <c r="K3016" s="29">
        <v>35.04</v>
      </c>
      <c r="L3016" s="29"/>
      <c r="M3016" s="30">
        <f>IFERROR(VLOOKUP($A3016,HeadJournal!$A$1:$J$890,COLUMN(HeadJournal!I$1),0)*($K3016+$L3016)/(SUMIF($A:$A,$A3016,$K:$K)+SUMIF($A:$A,$A3016,$L:$L)),0)</f>
        <v>0</v>
      </c>
      <c r="N3016" s="30">
        <f>IFERROR((VLOOKUP($A3016,HeadJournal!$A$1:$K$890,COLUMN(HeadJournal!K$1),0)-VLOOKUP($A3016,HeadJournal!$A$1:$K$890,COLUMN(HeadJournal!J$1),0))*($K3016+$L3016)/(SUMIF($A:$A,$A3016,$K:$K)+SUMIF($A:$A,$A3016,$L:$L)),0)</f>
        <v>-4.2228327654170128</v>
      </c>
      <c r="O3016" s="30">
        <f>IFERROR((VLOOKUP($A3016,HeadJournal!$A$1:$L$890,COLUMN(HeadJournal!L$1),0)*($K3016+$L3016)/(SUMIF($A:$A,$A3016,$K:$K)+SUMIF($A:$A,$A3016,$L:$L)))/VLOOKUP($A3016,HeadJournal!$A$1:$L$890,COLUMN(HeadJournal!H$1),0),0)</f>
        <v>1.123459011166547</v>
      </c>
      <c r="P3016" s="30">
        <f>IFERROR(SUM(K3016:O3016)*VLOOKUP($A3016,HeadJournal!$A$1:$L$890,COLUMN(HeadJournal!H$1),0),0)</f>
        <v>31.940626245749531</v>
      </c>
      <c r="Q3016" s="29"/>
      <c r="R3016" s="31"/>
      <c r="S3016" s="31"/>
      <c r="T3016" s="95" t="str">
        <f t="shared" si="242"/>
        <v/>
      </c>
      <c r="U3016" s="32">
        <f t="shared" si="239"/>
        <v>-31.940626245749531</v>
      </c>
      <c r="V3016" s="22" t="str">
        <f t="shared" si="240"/>
        <v/>
      </c>
      <c r="X3016" s="33"/>
      <c r="Y3016" s="33"/>
    </row>
    <row r="3017" spans="1:25" x14ac:dyDescent="0.2">
      <c r="A3017" s="93" t="s">
        <v>1628</v>
      </c>
      <c r="B3017" s="94" t="str">
        <f>IFERROR(VLOOKUP($A3017,HeadJournal!$A$1:$NTR$890,COLUMN(HeadJournal!B$1),0),"")</f>
        <v>1495086818</v>
      </c>
      <c r="C3017" s="94" t="str">
        <f>IFERROR(VLOOKUP($A3017,HeadJournal!$A$1:$NTR$890,COLUMN(HeadJournal!C$1),0),"")</f>
        <v>essens_AV</v>
      </c>
      <c r="D3017" s="125" t="str">
        <f>IFERROR(VLOOKUP($A3017,HeadJournal!$A$1:$NTR$890,COLUMN(HeadJournal!D$1),0),"")</f>
        <v>Доставлен</v>
      </c>
      <c r="E3017" s="95">
        <f>IFERROR(VLOOKUP($A3017,HeadJournal!$A$1:$NTR$890,COLUMN(HeadJournal!G$1),0),"")</f>
        <v>45347</v>
      </c>
      <c r="F3017" s="95" t="str">
        <f t="shared" si="241"/>
        <v>2024 02</v>
      </c>
      <c r="G3017" s="96" t="s">
        <v>8</v>
      </c>
      <c r="H3017" s="161" t="s">
        <v>5290</v>
      </c>
      <c r="I3017" s="97" t="s">
        <v>2243</v>
      </c>
      <c r="J3017" s="97" t="s">
        <v>5345</v>
      </c>
      <c r="K3017" s="70">
        <v>1260</v>
      </c>
      <c r="L3017" s="29"/>
      <c r="M3017" s="30">
        <f>IFERROR(VLOOKUP($A3017,HeadJournal!$A$1:$J$890,COLUMN(HeadJournal!I$1),0)*($K3017+$L3017)/(SUMIF($A:$A,$A3017,$K:$K)+SUMIF($A:$A,$A3017,$L:$L)),0)</f>
        <v>0</v>
      </c>
      <c r="N3017" s="30">
        <f>IFERROR((VLOOKUP($A3017,HeadJournal!$A$1:$K$890,COLUMN(HeadJournal!K$1),0)-VLOOKUP($A3017,HeadJournal!$A$1:$K$890,COLUMN(HeadJournal!J$1),0))*($K3017+$L3017)/(SUMIF($A:$A,$A3017,$K:$K)+SUMIF($A:$A,$A3017,$L:$L)),0)</f>
        <v>-210</v>
      </c>
      <c r="O3017" s="30">
        <f>IFERROR((VLOOKUP($A3017,HeadJournal!$A$1:$L$890,COLUMN(HeadJournal!L$1),0)*($K3017+$L3017)/(SUMIF($A:$A,$A3017,$K:$K)+SUMIF($A:$A,$A3017,$L:$L)))/VLOOKUP($A3017,HeadJournal!$A$1:$L$890,COLUMN(HeadJournal!H$1),0),0)</f>
        <v>85.166666666666671</v>
      </c>
      <c r="P3017" s="30">
        <f>IFERROR(SUM(K3017:O3017)*VLOOKUP($A3017,HeadJournal!$A$1:$L$890,COLUMN(HeadJournal!H$1),0),0)</f>
        <v>1135.1666666666667</v>
      </c>
      <c r="Q3017" s="29">
        <v>1135.17</v>
      </c>
      <c r="R3017" s="31"/>
      <c r="S3017" s="31"/>
      <c r="T3017" s="95" t="str">
        <f t="shared" si="242"/>
        <v/>
      </c>
      <c r="U3017" s="32">
        <f t="shared" si="239"/>
        <v>3.3333333333303017E-3</v>
      </c>
      <c r="V3017" s="22">
        <f t="shared" si="240"/>
        <v>2.9364263691061237E-6</v>
      </c>
      <c r="X3017" s="33"/>
      <c r="Y3017" s="33"/>
    </row>
    <row r="3018" spans="1:25" x14ac:dyDescent="0.2">
      <c r="A3018" s="93" t="s">
        <v>1628</v>
      </c>
      <c r="B3018" s="94" t="str">
        <f>IFERROR(VLOOKUP($A3018,HeadJournal!$A$1:$NTR$890,COLUMN(HeadJournal!B$1),0),"")</f>
        <v>1495086818</v>
      </c>
      <c r="C3018" s="94" t="str">
        <f>IFERROR(VLOOKUP($A3018,HeadJournal!$A$1:$NTR$890,COLUMN(HeadJournal!C$1),0),"")</f>
        <v>essens_AV</v>
      </c>
      <c r="D3018" s="125" t="str">
        <f>IFERROR(VLOOKUP($A3018,HeadJournal!$A$1:$NTR$890,COLUMN(HeadJournal!D$1),0),"")</f>
        <v>Доставлен</v>
      </c>
      <c r="E3018" s="95">
        <f>IFERROR(VLOOKUP($A3018,HeadJournal!$A$1:$NTR$890,COLUMN(HeadJournal!G$1),0),"")</f>
        <v>45347</v>
      </c>
      <c r="F3018" s="95" t="str">
        <f t="shared" si="241"/>
        <v>2024 02</v>
      </c>
      <c r="G3018" s="96" t="s">
        <v>8</v>
      </c>
      <c r="H3018" s="161" t="s">
        <v>5255</v>
      </c>
      <c r="I3018" s="97" t="s">
        <v>2243</v>
      </c>
      <c r="J3018" s="97" t="s">
        <v>5313</v>
      </c>
      <c r="K3018" s="29">
        <v>1260</v>
      </c>
      <c r="L3018" s="29"/>
      <c r="M3018" s="30">
        <f>IFERROR(VLOOKUP($A3018,HeadJournal!$A$1:$J$890,COLUMN(HeadJournal!I$1),0)*($K3018+$L3018)/(SUMIF($A:$A,$A3018,$K:$K)+SUMIF($A:$A,$A3018,$L:$L)),0)</f>
        <v>0</v>
      </c>
      <c r="N3018" s="30">
        <f>IFERROR((VLOOKUP($A3018,HeadJournal!$A$1:$K$890,COLUMN(HeadJournal!K$1),0)-VLOOKUP($A3018,HeadJournal!$A$1:$K$890,COLUMN(HeadJournal!J$1),0))*($K3018+$L3018)/(SUMIF($A:$A,$A3018,$K:$K)+SUMIF($A:$A,$A3018,$L:$L)),0)</f>
        <v>-210</v>
      </c>
      <c r="O3018" s="30">
        <f>IFERROR((VLOOKUP($A3018,HeadJournal!$A$1:$L$890,COLUMN(HeadJournal!L$1),0)*($K3018+$L3018)/(SUMIF($A:$A,$A3018,$K:$K)+SUMIF($A:$A,$A3018,$L:$L)))/VLOOKUP($A3018,HeadJournal!$A$1:$L$890,COLUMN(HeadJournal!H$1),0),0)</f>
        <v>85.166666666666671</v>
      </c>
      <c r="P3018" s="30">
        <f>IFERROR(SUM(K3018:O3018)*VLOOKUP($A3018,HeadJournal!$A$1:$L$890,COLUMN(HeadJournal!H$1),0),0)</f>
        <v>1135.1666666666667</v>
      </c>
      <c r="Q3018" s="29"/>
      <c r="R3018" s="31"/>
      <c r="S3018" s="31"/>
      <c r="T3018" s="95" t="str">
        <f t="shared" si="242"/>
        <v/>
      </c>
      <c r="U3018" s="32">
        <f t="shared" si="239"/>
        <v>-1135.1666666666667</v>
      </c>
      <c r="V3018" s="22" t="str">
        <f t="shared" si="240"/>
        <v/>
      </c>
      <c r="X3018" s="33"/>
      <c r="Y3018" s="33"/>
    </row>
    <row r="3019" spans="1:25" x14ac:dyDescent="0.2">
      <c r="A3019" s="93" t="s">
        <v>1628</v>
      </c>
      <c r="B3019" s="94" t="str">
        <f>IFERROR(VLOOKUP($A3019,HeadJournal!$A$1:$NTR$890,COLUMN(HeadJournal!B$1),0),"")</f>
        <v>1495086818</v>
      </c>
      <c r="C3019" s="94" t="str">
        <f>IFERROR(VLOOKUP($A3019,HeadJournal!$A$1:$NTR$890,COLUMN(HeadJournal!C$1),0),"")</f>
        <v>essens_AV</v>
      </c>
      <c r="D3019" s="125" t="str">
        <f>IFERROR(VLOOKUP($A3019,HeadJournal!$A$1:$NTR$890,COLUMN(HeadJournal!D$1),0),"")</f>
        <v>Доставлен</v>
      </c>
      <c r="E3019" s="95">
        <f>IFERROR(VLOOKUP($A3019,HeadJournal!$A$1:$NTR$890,COLUMN(HeadJournal!G$1),0),"")</f>
        <v>45347</v>
      </c>
      <c r="F3019" s="95" t="str">
        <f t="shared" si="241"/>
        <v>2024 02</v>
      </c>
      <c r="G3019" s="96" t="s">
        <v>8</v>
      </c>
      <c r="H3019" s="161" t="s">
        <v>2765</v>
      </c>
      <c r="I3019" s="97" t="s">
        <v>2243</v>
      </c>
      <c r="J3019" s="97" t="s">
        <v>3957</v>
      </c>
      <c r="K3019" s="29">
        <v>1260</v>
      </c>
      <c r="L3019" s="29"/>
      <c r="M3019" s="30">
        <f>IFERROR(VLOOKUP($A3019,HeadJournal!$A$1:$J$890,COLUMN(HeadJournal!I$1),0)*($K3019+$L3019)/(SUMIF($A:$A,$A3019,$K:$K)+SUMIF($A:$A,$A3019,$L:$L)),0)</f>
        <v>0</v>
      </c>
      <c r="N3019" s="30">
        <f>IFERROR((VLOOKUP($A3019,HeadJournal!$A$1:$K$890,COLUMN(HeadJournal!K$1),0)-VLOOKUP($A3019,HeadJournal!$A$1:$K$890,COLUMN(HeadJournal!J$1),0))*($K3019+$L3019)/(SUMIF($A:$A,$A3019,$K:$K)+SUMIF($A:$A,$A3019,$L:$L)),0)</f>
        <v>-210</v>
      </c>
      <c r="O3019" s="30">
        <f>IFERROR((VLOOKUP($A3019,HeadJournal!$A$1:$L$890,COLUMN(HeadJournal!L$1),0)*($K3019+$L3019)/(SUMIF($A:$A,$A3019,$K:$K)+SUMIF($A:$A,$A3019,$L:$L)))/VLOOKUP($A3019,HeadJournal!$A$1:$L$890,COLUMN(HeadJournal!H$1),0),0)</f>
        <v>85.166666666666671</v>
      </c>
      <c r="P3019" s="30">
        <f>IFERROR(SUM(K3019:O3019)*VLOOKUP($A3019,HeadJournal!$A$1:$L$890,COLUMN(HeadJournal!H$1),0),0)</f>
        <v>1135.1666666666667</v>
      </c>
      <c r="Q3019" s="29">
        <v>2200</v>
      </c>
      <c r="R3019" s="31">
        <v>45574</v>
      </c>
      <c r="S3019" s="31" t="s">
        <v>3121</v>
      </c>
      <c r="T3019" s="95" t="str">
        <f t="shared" si="242"/>
        <v>2024 10</v>
      </c>
      <c r="U3019" s="32">
        <f t="shared" si="239"/>
        <v>1064.8333333333333</v>
      </c>
      <c r="V3019" s="22">
        <f t="shared" si="240"/>
        <v>0.93804140361180433</v>
      </c>
      <c r="X3019" s="33"/>
      <c r="Y3019" s="33"/>
    </row>
    <row r="3020" spans="1:25" x14ac:dyDescent="0.2">
      <c r="A3020" s="93" t="s">
        <v>1628</v>
      </c>
      <c r="B3020" s="94" t="str">
        <f>IFERROR(VLOOKUP($A3020,HeadJournal!$A$1:$NTR$890,COLUMN(HeadJournal!B$1),0),"")</f>
        <v>1495086818</v>
      </c>
      <c r="C3020" s="94" t="str">
        <f>IFERROR(VLOOKUP($A3020,HeadJournal!$A$1:$NTR$890,COLUMN(HeadJournal!C$1),0),"")</f>
        <v>essens_AV</v>
      </c>
      <c r="D3020" s="125" t="str">
        <f>IFERROR(VLOOKUP($A3020,HeadJournal!$A$1:$NTR$890,COLUMN(HeadJournal!D$1),0),"")</f>
        <v>Доставлен</v>
      </c>
      <c r="E3020" s="95">
        <f>IFERROR(VLOOKUP($A3020,HeadJournal!$A$1:$NTR$890,COLUMN(HeadJournal!G$1),0),"")</f>
        <v>45347</v>
      </c>
      <c r="F3020" s="95" t="str">
        <f t="shared" si="241"/>
        <v>2024 02</v>
      </c>
      <c r="G3020" s="96" t="s">
        <v>8</v>
      </c>
      <c r="H3020" s="161" t="s">
        <v>5291</v>
      </c>
      <c r="I3020" s="97" t="s">
        <v>2243</v>
      </c>
      <c r="J3020" s="97" t="s">
        <v>5346</v>
      </c>
      <c r="K3020" s="29">
        <v>1260</v>
      </c>
      <c r="L3020" s="29"/>
      <c r="M3020" s="30">
        <f>IFERROR(VLOOKUP($A3020,HeadJournal!$A$1:$J$890,COLUMN(HeadJournal!I$1),0)*($K3020+$L3020)/(SUMIF($A:$A,$A3020,$K:$K)+SUMIF($A:$A,$A3020,$L:$L)),0)</f>
        <v>0</v>
      </c>
      <c r="N3020" s="30">
        <f>IFERROR((VLOOKUP($A3020,HeadJournal!$A$1:$K$890,COLUMN(HeadJournal!K$1),0)-VLOOKUP($A3020,HeadJournal!$A$1:$K$890,COLUMN(HeadJournal!J$1),0))*($K3020+$L3020)/(SUMIF($A:$A,$A3020,$K:$K)+SUMIF($A:$A,$A3020,$L:$L)),0)</f>
        <v>-210</v>
      </c>
      <c r="O3020" s="30">
        <f>IFERROR((VLOOKUP($A3020,HeadJournal!$A$1:$L$890,COLUMN(HeadJournal!L$1),0)*($K3020+$L3020)/(SUMIF($A:$A,$A3020,$K:$K)+SUMIF($A:$A,$A3020,$L:$L)))/VLOOKUP($A3020,HeadJournal!$A$1:$L$890,COLUMN(HeadJournal!H$1),0),0)</f>
        <v>85.166666666666671</v>
      </c>
      <c r="P3020" s="30">
        <f>IFERROR(SUM(K3020:O3020)*VLOOKUP($A3020,HeadJournal!$A$1:$L$890,COLUMN(HeadJournal!H$1),0),0)</f>
        <v>1135.1666666666667</v>
      </c>
      <c r="Q3020" s="29"/>
      <c r="R3020" s="31"/>
      <c r="S3020" s="31"/>
      <c r="T3020" s="95" t="str">
        <f t="shared" si="242"/>
        <v/>
      </c>
      <c r="U3020" s="32">
        <f t="shared" si="239"/>
        <v>-1135.1666666666667</v>
      </c>
      <c r="V3020" s="22" t="str">
        <f t="shared" si="240"/>
        <v/>
      </c>
      <c r="X3020" s="33"/>
      <c r="Y3020" s="33"/>
    </row>
    <row r="3021" spans="1:25" x14ac:dyDescent="0.2">
      <c r="A3021" s="93" t="s">
        <v>1628</v>
      </c>
      <c r="B3021" s="94" t="str">
        <f>IFERROR(VLOOKUP($A3021,HeadJournal!$A$1:$NTR$890,COLUMN(HeadJournal!B$1),0),"")</f>
        <v>1495086818</v>
      </c>
      <c r="C3021" s="94" t="str">
        <f>IFERROR(VLOOKUP($A3021,HeadJournal!$A$1:$NTR$890,COLUMN(HeadJournal!C$1),0),"")</f>
        <v>essens_AV</v>
      </c>
      <c r="D3021" s="125" t="str">
        <f>IFERROR(VLOOKUP($A3021,HeadJournal!$A$1:$NTR$890,COLUMN(HeadJournal!D$1),0),"")</f>
        <v>Доставлен</v>
      </c>
      <c r="E3021" s="95">
        <f>IFERROR(VLOOKUP($A3021,HeadJournal!$A$1:$NTR$890,COLUMN(HeadJournal!G$1),0),"")</f>
        <v>45347</v>
      </c>
      <c r="F3021" s="95" t="str">
        <f t="shared" si="241"/>
        <v>2024 02</v>
      </c>
      <c r="G3021" s="96" t="s">
        <v>8</v>
      </c>
      <c r="H3021" s="161" t="s">
        <v>5292</v>
      </c>
      <c r="I3021" s="97" t="s">
        <v>2243</v>
      </c>
      <c r="J3021" s="97" t="s">
        <v>5347</v>
      </c>
      <c r="K3021" s="29">
        <v>1260</v>
      </c>
      <c r="L3021" s="29"/>
      <c r="M3021" s="30">
        <f>IFERROR(VLOOKUP($A3021,HeadJournal!$A$1:$J$890,COLUMN(HeadJournal!I$1),0)*($K3021+$L3021)/(SUMIF($A:$A,$A3021,$K:$K)+SUMIF($A:$A,$A3021,$L:$L)),0)</f>
        <v>0</v>
      </c>
      <c r="N3021" s="30">
        <f>IFERROR((VLOOKUP($A3021,HeadJournal!$A$1:$K$890,COLUMN(HeadJournal!K$1),0)-VLOOKUP($A3021,HeadJournal!$A$1:$K$890,COLUMN(HeadJournal!J$1),0))*($K3021+$L3021)/(SUMIF($A:$A,$A3021,$K:$K)+SUMIF($A:$A,$A3021,$L:$L)),0)</f>
        <v>-210</v>
      </c>
      <c r="O3021" s="30">
        <f>IFERROR((VLOOKUP($A3021,HeadJournal!$A$1:$L$890,COLUMN(HeadJournal!L$1),0)*($K3021+$L3021)/(SUMIF($A:$A,$A3021,$K:$K)+SUMIF($A:$A,$A3021,$L:$L)))/VLOOKUP($A3021,HeadJournal!$A$1:$L$890,COLUMN(HeadJournal!H$1),0),0)</f>
        <v>85.166666666666671</v>
      </c>
      <c r="P3021" s="30">
        <f>IFERROR(SUM(K3021:O3021)*VLOOKUP($A3021,HeadJournal!$A$1:$L$890,COLUMN(HeadJournal!H$1),0),0)</f>
        <v>1135.1666666666667</v>
      </c>
      <c r="Q3021" s="29"/>
      <c r="R3021" s="31"/>
      <c r="S3021" s="31"/>
      <c r="T3021" s="95" t="str">
        <f t="shared" si="242"/>
        <v/>
      </c>
      <c r="U3021" s="32">
        <f t="shared" si="239"/>
        <v>-1135.1666666666667</v>
      </c>
      <c r="V3021" s="22" t="str">
        <f t="shared" si="240"/>
        <v/>
      </c>
      <c r="X3021" s="33"/>
      <c r="Y3021" s="33"/>
    </row>
    <row r="3022" spans="1:25" x14ac:dyDescent="0.2">
      <c r="A3022" s="93" t="s">
        <v>1628</v>
      </c>
      <c r="B3022" s="94" t="str">
        <f>IFERROR(VLOOKUP($A3022,HeadJournal!$A$1:$NTR$890,COLUMN(HeadJournal!B$1),0),"")</f>
        <v>1495086818</v>
      </c>
      <c r="C3022" s="94" t="str">
        <f>IFERROR(VLOOKUP($A3022,HeadJournal!$A$1:$NTR$890,COLUMN(HeadJournal!C$1),0),"")</f>
        <v>essens_AV</v>
      </c>
      <c r="D3022" s="125" t="str">
        <f>IFERROR(VLOOKUP($A3022,HeadJournal!$A$1:$NTR$890,COLUMN(HeadJournal!D$1),0),"")</f>
        <v>Доставлен</v>
      </c>
      <c r="E3022" s="95">
        <f>IFERROR(VLOOKUP($A3022,HeadJournal!$A$1:$NTR$890,COLUMN(HeadJournal!G$1),0),"")</f>
        <v>45347</v>
      </c>
      <c r="F3022" s="95" t="str">
        <f t="shared" si="241"/>
        <v>2024 02</v>
      </c>
      <c r="G3022" s="96" t="s">
        <v>8</v>
      </c>
      <c r="H3022" s="161" t="s">
        <v>2247</v>
      </c>
      <c r="I3022" s="97" t="s">
        <v>2243</v>
      </c>
      <c r="J3022" s="97" t="s">
        <v>2254</v>
      </c>
      <c r="K3022" s="29">
        <v>1260</v>
      </c>
      <c r="L3022" s="29"/>
      <c r="M3022" s="30">
        <f>IFERROR(VLOOKUP($A3022,HeadJournal!$A$1:$J$890,COLUMN(HeadJournal!I$1),0)*($K3022+$L3022)/(SUMIF($A:$A,$A3022,$K:$K)+SUMIF($A:$A,$A3022,$L:$L)),0)</f>
        <v>0</v>
      </c>
      <c r="N3022" s="30">
        <f>IFERROR((VLOOKUP($A3022,HeadJournal!$A$1:$K$890,COLUMN(HeadJournal!K$1),0)-VLOOKUP($A3022,HeadJournal!$A$1:$K$890,COLUMN(HeadJournal!J$1),0))*($K3022+$L3022)/(SUMIF($A:$A,$A3022,$K:$K)+SUMIF($A:$A,$A3022,$L:$L)),0)</f>
        <v>-210</v>
      </c>
      <c r="O3022" s="30">
        <f>IFERROR((VLOOKUP($A3022,HeadJournal!$A$1:$L$890,COLUMN(HeadJournal!L$1),0)*($K3022+$L3022)/(SUMIF($A:$A,$A3022,$K:$K)+SUMIF($A:$A,$A3022,$L:$L)))/VLOOKUP($A3022,HeadJournal!$A$1:$L$890,COLUMN(HeadJournal!H$1),0),0)</f>
        <v>85.166666666666671</v>
      </c>
      <c r="P3022" s="30">
        <f>IFERROR(SUM(K3022:O3022)*VLOOKUP($A3022,HeadJournal!$A$1:$L$890,COLUMN(HeadJournal!H$1),0),0)</f>
        <v>1135.1666666666667</v>
      </c>
      <c r="Q3022" s="29">
        <v>2200</v>
      </c>
      <c r="R3022" s="31">
        <v>45356</v>
      </c>
      <c r="S3022" s="31" t="s">
        <v>3121</v>
      </c>
      <c r="T3022" s="95" t="str">
        <f t="shared" si="242"/>
        <v>2024 03</v>
      </c>
      <c r="U3022" s="32">
        <f t="shared" si="239"/>
        <v>1064.8333333333333</v>
      </c>
      <c r="V3022" s="22">
        <f t="shared" si="240"/>
        <v>0.93804140361180433</v>
      </c>
      <c r="X3022" s="33"/>
      <c r="Y3022" s="33"/>
    </row>
    <row r="3023" spans="1:25" x14ac:dyDescent="0.2">
      <c r="A3023" s="93" t="s">
        <v>1637</v>
      </c>
      <c r="B3023" s="94" t="str">
        <f>IFERROR(VLOOKUP($A3023,HeadJournal!$A$1:$NTR$890,COLUMN(HeadJournal!B$1),0),"")</f>
        <v>720000136447</v>
      </c>
      <c r="C3023" s="94" t="str">
        <f>IFERROR(VLOOKUP($A3023,HeadJournal!$A$1:$NTR$890,COLUMN(HeadJournal!C$1),0),"")</f>
        <v>iHerb_AV CYG0792</v>
      </c>
      <c r="D3023" s="125" t="str">
        <f>IFERROR(VLOOKUP($A3023,HeadJournal!$A$1:$NTR$890,COLUMN(HeadJournal!D$1),0),"")</f>
        <v>Доставлен</v>
      </c>
      <c r="E3023" s="95">
        <f>IFERROR(VLOOKUP($A3023,HeadJournal!$A$1:$NTR$890,COLUMN(HeadJournal!G$1),0),"")</f>
        <v>45340</v>
      </c>
      <c r="F3023" s="95" t="str">
        <f t="shared" si="241"/>
        <v>2024 02</v>
      </c>
      <c r="G3023" s="96" t="s">
        <v>5</v>
      </c>
      <c r="H3023" s="161" t="s">
        <v>2847</v>
      </c>
      <c r="I3023" s="97" t="s">
        <v>2839</v>
      </c>
      <c r="J3023" s="97" t="s">
        <v>2848</v>
      </c>
      <c r="K3023" s="29">
        <v>13.9</v>
      </c>
      <c r="L3023" s="29">
        <v>-0.69499999999999995</v>
      </c>
      <c r="M3023" s="30">
        <f>IFERROR(VLOOKUP($A3023,HeadJournal!$A$1:$J$890,COLUMN(HeadJournal!I$1),0)*($K3023+$L3023)/(SUMIF($A:$A,$A3023,$K:$K)+SUMIF($A:$A,$A3023,$L:$L)),0)</f>
        <v>-0.57881327439138286</v>
      </c>
      <c r="N3023" s="30">
        <f>IFERROR((VLOOKUP($A3023,HeadJournal!$A$1:$K$890,COLUMN(HeadJournal!K$1),0)-VLOOKUP($A3023,HeadJournal!$A$1:$K$890,COLUMN(HeadJournal!J$1),0))*($K3023+$L3023)/(SUMIF($A:$A,$A3023,$K:$K)+SUMIF($A:$A,$A3023,$L:$L)),0)</f>
        <v>-2.3367702697745154E-15</v>
      </c>
      <c r="O3023" s="30">
        <f>IFERROR((VLOOKUP($A3023,HeadJournal!$A$1:$L$890,COLUMN(HeadJournal!L$1),0)*($K3023+$L3023)/(SUMIF($A:$A,$A3023,$K:$K)+SUMIF($A:$A,$A3023,$L:$L)))/VLOOKUP($A3023,HeadJournal!$A$1:$L$890,COLUMN(HeadJournal!H$1),0),0)</f>
        <v>0.90308164612091113</v>
      </c>
      <c r="P3023" s="30">
        <f>IFERROR(SUM(K3023:O3023)*VLOOKUP($A3023,HeadJournal!$A$1:$L$890,COLUMN(HeadJournal!H$1),0),0)</f>
        <v>1376.3028615901874</v>
      </c>
      <c r="Q3023" s="29">
        <v>1800</v>
      </c>
      <c r="R3023" s="31">
        <v>45375</v>
      </c>
      <c r="S3023" s="31" t="s">
        <v>3121</v>
      </c>
      <c r="T3023" s="95" t="str">
        <f t="shared" si="242"/>
        <v>2024 03</v>
      </c>
      <c r="U3023" s="32">
        <f t="shared" si="239"/>
        <v>423.69713840981262</v>
      </c>
      <c r="V3023" s="22">
        <f t="shared" si="240"/>
        <v>0.30785167293793952</v>
      </c>
      <c r="X3023" s="33"/>
      <c r="Y3023" s="33"/>
    </row>
    <row r="3024" spans="1:25" x14ac:dyDescent="0.2">
      <c r="A3024" s="93" t="s">
        <v>1637</v>
      </c>
      <c r="B3024" s="94" t="str">
        <f>IFERROR(VLOOKUP($A3024,HeadJournal!$A$1:$NTR$890,COLUMN(HeadJournal!B$1),0),"")</f>
        <v>720000136447</v>
      </c>
      <c r="C3024" s="94" t="str">
        <f>IFERROR(VLOOKUP($A3024,HeadJournal!$A$1:$NTR$890,COLUMN(HeadJournal!C$1),0),"")</f>
        <v>iHerb_AV CYG0792</v>
      </c>
      <c r="D3024" s="125" t="str">
        <f>IFERROR(VLOOKUP($A3024,HeadJournal!$A$1:$NTR$890,COLUMN(HeadJournal!D$1),0),"")</f>
        <v>Доставлен</v>
      </c>
      <c r="E3024" s="95">
        <f>IFERROR(VLOOKUP($A3024,HeadJournal!$A$1:$NTR$890,COLUMN(HeadJournal!G$1),0),"")</f>
        <v>45340</v>
      </c>
      <c r="F3024" s="95" t="str">
        <f t="shared" si="241"/>
        <v>2024 02</v>
      </c>
      <c r="G3024" s="96" t="s">
        <v>5</v>
      </c>
      <c r="H3024" s="161" t="s">
        <v>2847</v>
      </c>
      <c r="I3024" s="97" t="s">
        <v>2839</v>
      </c>
      <c r="J3024" s="97" t="s">
        <v>2848</v>
      </c>
      <c r="K3024" s="29">
        <v>13.9</v>
      </c>
      <c r="L3024" s="29">
        <v>-0.69499999999999995</v>
      </c>
      <c r="M3024" s="30">
        <f>IFERROR(VLOOKUP($A3024,HeadJournal!$A$1:$J$890,COLUMN(HeadJournal!I$1),0)*($K3024+$L3024)/(SUMIF($A:$A,$A3024,$K:$K)+SUMIF($A:$A,$A3024,$L:$L)),0)</f>
        <v>-0.57881327439138286</v>
      </c>
      <c r="N3024" s="30">
        <f>IFERROR((VLOOKUP($A3024,HeadJournal!$A$1:$K$890,COLUMN(HeadJournal!K$1),0)-VLOOKUP($A3024,HeadJournal!$A$1:$K$890,COLUMN(HeadJournal!J$1),0))*($K3024+$L3024)/(SUMIF($A:$A,$A3024,$K:$K)+SUMIF($A:$A,$A3024,$L:$L)),0)</f>
        <v>-2.3367702697745154E-15</v>
      </c>
      <c r="O3024" s="30">
        <f>IFERROR((VLOOKUP($A3024,HeadJournal!$A$1:$L$890,COLUMN(HeadJournal!L$1),0)*($K3024+$L3024)/(SUMIF($A:$A,$A3024,$K:$K)+SUMIF($A:$A,$A3024,$L:$L)))/VLOOKUP($A3024,HeadJournal!$A$1:$L$890,COLUMN(HeadJournal!H$1),0),0)</f>
        <v>0.90308164612091113</v>
      </c>
      <c r="P3024" s="30">
        <f>IFERROR(SUM(K3024:O3024)*VLOOKUP($A3024,HeadJournal!$A$1:$L$890,COLUMN(HeadJournal!H$1),0),0)</f>
        <v>1376.3028615901874</v>
      </c>
      <c r="Q3024" s="29">
        <v>1800</v>
      </c>
      <c r="R3024" s="31">
        <v>45375</v>
      </c>
      <c r="S3024" s="31" t="s">
        <v>3121</v>
      </c>
      <c r="T3024" s="95" t="str">
        <f t="shared" si="242"/>
        <v>2024 03</v>
      </c>
      <c r="U3024" s="32">
        <f t="shared" si="239"/>
        <v>423.69713840981262</v>
      </c>
      <c r="V3024" s="22">
        <f t="shared" si="240"/>
        <v>0.30785167293793952</v>
      </c>
      <c r="X3024" s="33"/>
      <c r="Y3024" s="33"/>
    </row>
    <row r="3025" spans="1:25" x14ac:dyDescent="0.2">
      <c r="A3025" s="93" t="s">
        <v>1637</v>
      </c>
      <c r="B3025" s="94" t="str">
        <f>IFERROR(VLOOKUP($A3025,HeadJournal!$A$1:$NTR$890,COLUMN(HeadJournal!B$1),0),"")</f>
        <v>720000136447</v>
      </c>
      <c r="C3025" s="94" t="str">
        <f>IFERROR(VLOOKUP($A3025,HeadJournal!$A$1:$NTR$890,COLUMN(HeadJournal!C$1),0),"")</f>
        <v>iHerb_AV CYG0792</v>
      </c>
      <c r="D3025" s="125" t="str">
        <f>IFERROR(VLOOKUP($A3025,HeadJournal!$A$1:$NTR$890,COLUMN(HeadJournal!D$1),0),"")</f>
        <v>Доставлен</v>
      </c>
      <c r="E3025" s="95">
        <f>IFERROR(VLOOKUP($A3025,HeadJournal!$A$1:$NTR$890,COLUMN(HeadJournal!G$1),0),"")</f>
        <v>45340</v>
      </c>
      <c r="F3025" s="95" t="str">
        <f t="shared" si="241"/>
        <v>2024 02</v>
      </c>
      <c r="G3025" s="96" t="s">
        <v>5</v>
      </c>
      <c r="H3025" s="161" t="str">
        <f>RIGHT(Journal!$J3025,9)</f>
        <v>NCS-67339</v>
      </c>
      <c r="I3025" s="97" t="str">
        <f t="shared" ref="I3025:I3061" si="243">IFERROR(LEFT(J3025,FIND(",",J3025)-1),"")</f>
        <v>Nutricost</v>
      </c>
      <c r="J3025" s="97" t="s">
        <v>1638</v>
      </c>
      <c r="K3025" s="29">
        <v>21.51</v>
      </c>
      <c r="L3025" s="29">
        <v>-4.3</v>
      </c>
      <c r="M3025" s="30">
        <f>IFERROR(VLOOKUP($A3025,HeadJournal!$A$1:$J$890,COLUMN(HeadJournal!I$1),0)*($K3025+$L3025)/(SUMIF($A:$A,$A3025,$K:$K)+SUMIF($A:$A,$A3025,$L:$L)),0)</f>
        <v>-0.75436398729842469</v>
      </c>
      <c r="N3025" s="30">
        <f>IFERROR((VLOOKUP($A3025,HeadJournal!$A$1:$K$890,COLUMN(HeadJournal!K$1),0)-VLOOKUP($A3025,HeadJournal!$A$1:$K$890,COLUMN(HeadJournal!J$1),0))*($K3025+$L3025)/(SUMIF($A:$A,$A3025,$K:$K)+SUMIF($A:$A,$A3025,$L:$L)),0)</f>
        <v>-3.045499155079092E-15</v>
      </c>
      <c r="O3025" s="30">
        <f>IFERROR((VLOOKUP($A3025,HeadJournal!$A$1:$L$890,COLUMN(HeadJournal!L$1),0)*($K3025+$L3025)/(SUMIF($A:$A,$A3025,$K:$K)+SUMIF($A:$A,$A3025,$L:$L)))/VLOOKUP($A3025,HeadJournal!$A$1:$L$890,COLUMN(HeadJournal!H$1),0),0)</f>
        <v>1.17698107760249</v>
      </c>
      <c r="P3025" s="30">
        <f>IFERROR(SUM(K3025:O3025)*VLOOKUP($A3025,HeadJournal!$A$1:$L$890,COLUMN(HeadJournal!H$1),0),0)</f>
        <v>1793.7275462299979</v>
      </c>
      <c r="Q3025" s="29"/>
      <c r="R3025" s="31"/>
      <c r="S3025" s="31"/>
      <c r="T3025" s="95" t="str">
        <f t="shared" si="242"/>
        <v/>
      </c>
      <c r="U3025" s="32">
        <f t="shared" si="239"/>
        <v>-1793.7275462299979</v>
      </c>
      <c r="V3025" s="22" t="str">
        <f t="shared" si="240"/>
        <v/>
      </c>
      <c r="X3025" s="33"/>
      <c r="Y3025" s="33"/>
    </row>
    <row r="3026" spans="1:25" x14ac:dyDescent="0.2">
      <c r="A3026" s="93" t="s">
        <v>1637</v>
      </c>
      <c r="B3026" s="94" t="str">
        <f>IFERROR(VLOOKUP($A3026,HeadJournal!$A$1:$NTR$890,COLUMN(HeadJournal!B$1),0),"")</f>
        <v>720000136447</v>
      </c>
      <c r="C3026" s="94" t="str">
        <f>IFERROR(VLOOKUP($A3026,HeadJournal!$A$1:$NTR$890,COLUMN(HeadJournal!C$1),0),"")</f>
        <v>iHerb_AV CYG0792</v>
      </c>
      <c r="D3026" s="125" t="str">
        <f>IFERROR(VLOOKUP($A3026,HeadJournal!$A$1:$NTR$890,COLUMN(HeadJournal!D$1),0),"")</f>
        <v>Доставлен</v>
      </c>
      <c r="E3026" s="95">
        <f>IFERROR(VLOOKUP($A3026,HeadJournal!$A$1:$NTR$890,COLUMN(HeadJournal!G$1),0),"")</f>
        <v>45340</v>
      </c>
      <c r="F3026" s="95" t="str">
        <f t="shared" si="241"/>
        <v>2024 02</v>
      </c>
      <c r="G3026" s="96" t="s">
        <v>5</v>
      </c>
      <c r="H3026" s="161" t="s">
        <v>2124</v>
      </c>
      <c r="I3026" s="97" t="s">
        <v>2125</v>
      </c>
      <c r="J3026" s="97" t="s">
        <v>2126</v>
      </c>
      <c r="K3026" s="29">
        <v>13.66</v>
      </c>
      <c r="L3026" s="29">
        <v>-1.37</v>
      </c>
      <c r="M3026" s="30">
        <f>IFERROR(VLOOKUP($A3026,HeadJournal!$A$1:$J$890,COLUMN(HeadJournal!I$1),0)*($K3026+$L3026)/(SUMIF($A:$A,$A3026,$K:$K)+SUMIF($A:$A,$A3026,$L:$L)),0)</f>
        <v>-0.53870618267853798</v>
      </c>
      <c r="N3026" s="30">
        <f>IFERROR((VLOOKUP($A3026,HeadJournal!$A$1:$K$890,COLUMN(HeadJournal!K$1),0)-VLOOKUP($A3026,HeadJournal!$A$1:$K$890,COLUMN(HeadJournal!J$1),0))*($K3026+$L3026)/(SUMIF($A:$A,$A3026,$K:$K)+SUMIF($A:$A,$A3026,$L:$L)),0)</f>
        <v>-2.1748509364277768E-15</v>
      </c>
      <c r="O3026" s="30">
        <f>IFERROR((VLOOKUP($A3026,HeadJournal!$A$1:$L$890,COLUMN(HeadJournal!L$1),0)*($K3026+$L3026)/(SUMIF($A:$A,$A3026,$K:$K)+SUMIF($A:$A,$A3026,$L:$L)))/VLOOKUP($A3026,HeadJournal!$A$1:$L$890,COLUMN(HeadJournal!H$1),0),0)</f>
        <v>0.84050537151276017</v>
      </c>
      <c r="P3026" s="30">
        <f>IFERROR(SUM(K3026:O3026)*VLOOKUP($A3026,HeadJournal!$A$1:$L$890,COLUMN(HeadJournal!H$1),0),0)</f>
        <v>1280.9361733391443</v>
      </c>
      <c r="Q3026" s="29">
        <v>2000</v>
      </c>
      <c r="R3026" s="31">
        <v>45419</v>
      </c>
      <c r="S3026" s="31" t="s">
        <v>3121</v>
      </c>
      <c r="T3026" s="95" t="str">
        <f t="shared" si="242"/>
        <v>2024 05</v>
      </c>
      <c r="U3026" s="32">
        <f t="shared" si="239"/>
        <v>719.06382666085574</v>
      </c>
      <c r="V3026" s="22">
        <f t="shared" si="240"/>
        <v>0.56135804548824653</v>
      </c>
      <c r="X3026" s="33"/>
      <c r="Y3026" s="33"/>
    </row>
    <row r="3027" spans="1:25" x14ac:dyDescent="0.2">
      <c r="A3027" s="93" t="s">
        <v>1637</v>
      </c>
      <c r="B3027" s="94" t="str">
        <f>IFERROR(VLOOKUP($A3027,HeadJournal!$A$1:$NTR$890,COLUMN(HeadJournal!B$1),0),"")</f>
        <v>720000136447</v>
      </c>
      <c r="C3027" s="94" t="str">
        <f>IFERROR(VLOOKUP($A3027,HeadJournal!$A$1:$NTR$890,COLUMN(HeadJournal!C$1),0),"")</f>
        <v>iHerb_AV CYG0792</v>
      </c>
      <c r="D3027" s="125" t="str">
        <f>IFERROR(VLOOKUP($A3027,HeadJournal!$A$1:$NTR$890,COLUMN(HeadJournal!D$1),0),"")</f>
        <v>Доставлен</v>
      </c>
      <c r="E3027" s="95">
        <f>IFERROR(VLOOKUP($A3027,HeadJournal!$A$1:$NTR$890,COLUMN(HeadJournal!G$1),0),"")</f>
        <v>45340</v>
      </c>
      <c r="F3027" s="95" t="str">
        <f t="shared" si="241"/>
        <v>2024 02</v>
      </c>
      <c r="G3027" s="96" t="s">
        <v>5</v>
      </c>
      <c r="H3027" s="161" t="s">
        <v>2884</v>
      </c>
      <c r="I3027" s="97" t="s">
        <v>2839</v>
      </c>
      <c r="J3027" s="97" t="s">
        <v>2885</v>
      </c>
      <c r="K3027" s="29">
        <v>38.81</v>
      </c>
      <c r="L3027" s="29">
        <v>-1.94</v>
      </c>
      <c r="M3027" s="30">
        <f>IFERROR(VLOOKUP($A3027,HeadJournal!$A$1:$J$890,COLUMN(HeadJournal!I$1),0)*($K3027+$L3027)/(SUMIF($A:$A,$A3027,$K:$K)+SUMIF($A:$A,$A3027,$L:$L)),0)</f>
        <v>-1.6161185480356144</v>
      </c>
      <c r="N3027" s="30">
        <f>IFERROR((VLOOKUP($A3027,HeadJournal!$A$1:$K$890,COLUMN(HeadJournal!K$1),0)-VLOOKUP($A3027,HeadJournal!$A$1:$K$890,COLUMN(HeadJournal!J$1),0))*($K3027+$L3027)/(SUMIF($A:$A,$A3027,$K:$K)+SUMIF($A:$A,$A3027,$L:$L)),0)</f>
        <v>-6.5245528092833311E-15</v>
      </c>
      <c r="O3027" s="30">
        <f>IFERROR((VLOOKUP($A3027,HeadJournal!$A$1:$L$890,COLUMN(HeadJournal!L$1),0)*($K3027+$L3027)/(SUMIF($A:$A,$A3027,$K:$K)+SUMIF($A:$A,$A3027,$L:$L)))/VLOOKUP($A3027,HeadJournal!$A$1:$L$890,COLUMN(HeadJournal!H$1),0),0)</f>
        <v>2.5215161145382807</v>
      </c>
      <c r="P3027" s="30">
        <f>IFERROR(SUM(K3027:O3027)*VLOOKUP($A3027,HeadJournal!$A$1:$L$890,COLUMN(HeadJournal!H$1),0),0)</f>
        <v>3842.8085200174332</v>
      </c>
      <c r="Q3027" s="29">
        <v>4600</v>
      </c>
      <c r="R3027" s="31">
        <v>45377</v>
      </c>
      <c r="S3027" s="31" t="s">
        <v>3121</v>
      </c>
      <c r="T3027" s="95" t="str">
        <f t="shared" si="242"/>
        <v>2024 03</v>
      </c>
      <c r="U3027" s="32">
        <f t="shared" si="239"/>
        <v>757.19147998256676</v>
      </c>
      <c r="V3027" s="22">
        <f t="shared" si="240"/>
        <v>0.19704116820765549</v>
      </c>
      <c r="X3027" s="33"/>
      <c r="Y3027" s="33"/>
    </row>
    <row r="3028" spans="1:25" x14ac:dyDescent="0.2">
      <c r="A3028" s="93" t="s">
        <v>1637</v>
      </c>
      <c r="B3028" s="94" t="str">
        <f>IFERROR(VLOOKUP($A3028,HeadJournal!$A$1:$NTR$890,COLUMN(HeadJournal!B$1),0),"")</f>
        <v>720000136447</v>
      </c>
      <c r="C3028" s="94" t="str">
        <f>IFERROR(VLOOKUP($A3028,HeadJournal!$A$1:$NTR$890,COLUMN(HeadJournal!C$1),0),"")</f>
        <v>iHerb_AV CYG0792</v>
      </c>
      <c r="D3028" s="125" t="str">
        <f>IFERROR(VLOOKUP($A3028,HeadJournal!$A$1:$NTR$890,COLUMN(HeadJournal!D$1),0),"")</f>
        <v>Доставлен</v>
      </c>
      <c r="E3028" s="95">
        <f>IFERROR(VLOOKUP($A3028,HeadJournal!$A$1:$NTR$890,COLUMN(HeadJournal!G$1),0),"")</f>
        <v>45340</v>
      </c>
      <c r="F3028" s="95" t="str">
        <f t="shared" si="241"/>
        <v>2024 02</v>
      </c>
      <c r="G3028" s="96" t="s">
        <v>5</v>
      </c>
      <c r="H3028" s="161" t="s">
        <v>2426</v>
      </c>
      <c r="I3028" s="97" t="s">
        <v>2125</v>
      </c>
      <c r="J3028" s="97" t="s">
        <v>2427</v>
      </c>
      <c r="K3028" s="29">
        <v>13.72</v>
      </c>
      <c r="L3028" s="29">
        <v>-1.37</v>
      </c>
      <c r="M3028" s="30">
        <f>IFERROR(VLOOKUP($A3028,HeadJournal!$A$1:$J$890,COLUMN(HeadJournal!I$1),0)*($K3028+$L3028)/(SUMIF($A:$A,$A3028,$K:$K)+SUMIF($A:$A,$A3028,$L:$L)),0)</f>
        <v>-0.54133615590560991</v>
      </c>
      <c r="N3028" s="30">
        <f>IFERROR((VLOOKUP($A3028,HeadJournal!$A$1:$K$890,COLUMN(HeadJournal!K$1),0)-VLOOKUP($A3028,HeadJournal!$A$1:$K$890,COLUMN(HeadJournal!J$1),0))*($K3028+$L3028)/(SUMIF($A:$A,$A3028,$K:$K)+SUMIF($A:$A,$A3028,$L:$L)),0)</f>
        <v>-2.1854685976308419E-15</v>
      </c>
      <c r="O3028" s="30">
        <f>IFERROR((VLOOKUP($A3028,HeadJournal!$A$1:$L$890,COLUMN(HeadJournal!L$1),0)*($K3028+$L3028)/(SUMIF($A:$A,$A3028,$K:$K)+SUMIF($A:$A,$A3028,$L:$L)))/VLOOKUP($A3028,HeadJournal!$A$1:$L$890,COLUMN(HeadJournal!H$1),0),0)</f>
        <v>0.84460873378214729</v>
      </c>
      <c r="P3028" s="30">
        <f>IFERROR(SUM(K3028:O3028)*VLOOKUP($A3028,HeadJournal!$A$1:$L$890,COLUMN(HeadJournal!H$1),0),0)</f>
        <v>1287.1897266670817</v>
      </c>
      <c r="Q3028" s="29">
        <v>2000</v>
      </c>
      <c r="R3028" s="31">
        <v>45375</v>
      </c>
      <c r="S3028" s="31" t="s">
        <v>3121</v>
      </c>
      <c r="T3028" s="95" t="str">
        <f t="shared" si="242"/>
        <v>2024 03</v>
      </c>
      <c r="U3028" s="32">
        <f t="shared" si="239"/>
        <v>712.81027333291831</v>
      </c>
      <c r="V3028" s="22">
        <f t="shared" si="240"/>
        <v>0.55377250032797953</v>
      </c>
      <c r="X3028" s="33"/>
      <c r="Y3028" s="33"/>
    </row>
    <row r="3029" spans="1:25" x14ac:dyDescent="0.2">
      <c r="A3029" s="93" t="s">
        <v>1637</v>
      </c>
      <c r="B3029" s="94" t="str">
        <f>IFERROR(VLOOKUP($A3029,HeadJournal!$A$1:$NTR$890,COLUMN(HeadJournal!B$1),0),"")</f>
        <v>720000136447</v>
      </c>
      <c r="C3029" s="94" t="str">
        <f>IFERROR(VLOOKUP($A3029,HeadJournal!$A$1:$NTR$890,COLUMN(HeadJournal!C$1),0),"")</f>
        <v>iHerb_AV CYG0792</v>
      </c>
      <c r="D3029" s="125" t="str">
        <f>IFERROR(VLOOKUP($A3029,HeadJournal!$A$1:$NTR$890,COLUMN(HeadJournal!D$1),0),"")</f>
        <v>Доставлен</v>
      </c>
      <c r="E3029" s="95">
        <f>IFERROR(VLOOKUP($A3029,HeadJournal!$A$1:$NTR$890,COLUMN(HeadJournal!G$1),0),"")</f>
        <v>45340</v>
      </c>
      <c r="F3029" s="95" t="str">
        <f t="shared" si="241"/>
        <v>2024 02</v>
      </c>
      <c r="G3029" s="96" t="s">
        <v>7</v>
      </c>
      <c r="H3029" s="161" t="s">
        <v>2718</v>
      </c>
      <c r="I3029" s="97" t="s">
        <v>2719</v>
      </c>
      <c r="J3029" s="97" t="s">
        <v>2720</v>
      </c>
      <c r="K3029" s="29">
        <v>15.43</v>
      </c>
      <c r="L3029" s="29">
        <v>-3.09</v>
      </c>
      <c r="M3029" s="30">
        <f>IFERROR(VLOOKUP($A3029,HeadJournal!$A$1:$J$890,COLUMN(HeadJournal!I$1),0)*($K3029+$L3029)/(SUMIF($A:$A,$A3029,$K:$K)+SUMIF($A:$A,$A3029,$L:$L)),0)</f>
        <v>-0.54089782703443112</v>
      </c>
      <c r="N3029" s="30">
        <f>IFERROR((VLOOKUP($A3029,HeadJournal!$A$1:$K$890,COLUMN(HeadJournal!K$1),0)-VLOOKUP($A3029,HeadJournal!$A$1:$K$890,COLUMN(HeadJournal!J$1),0))*($K3029+$L3029)/(SUMIF($A:$A,$A3029,$K:$K)+SUMIF($A:$A,$A3029,$L:$L)),0)</f>
        <v>-2.1836989874303307E-15</v>
      </c>
      <c r="O3029" s="30">
        <f>IFERROR((VLOOKUP($A3029,HeadJournal!$A$1:$L$890,COLUMN(HeadJournal!L$1),0)*($K3029+$L3029)/(SUMIF($A:$A,$A3029,$K:$K)+SUMIF($A:$A,$A3029,$L:$L)))/VLOOKUP($A3029,HeadJournal!$A$1:$L$890,COLUMN(HeadJournal!H$1),0),0)</f>
        <v>0.84392484007058266</v>
      </c>
      <c r="P3029" s="30">
        <f>IFERROR(SUM(K3029:O3029)*VLOOKUP($A3029,HeadJournal!$A$1:$L$890,COLUMN(HeadJournal!H$1),0),0)</f>
        <v>1286.147467779092</v>
      </c>
      <c r="Q3029" s="29"/>
      <c r="R3029" s="31"/>
      <c r="S3029" s="31"/>
      <c r="T3029" s="95" t="str">
        <f t="shared" si="242"/>
        <v/>
      </c>
      <c r="U3029" s="32">
        <f t="shared" si="239"/>
        <v>-1286.147467779092</v>
      </c>
      <c r="V3029" s="22" t="str">
        <f t="shared" si="240"/>
        <v/>
      </c>
      <c r="X3029" s="33"/>
      <c r="Y3029" s="33"/>
    </row>
    <row r="3030" spans="1:25" x14ac:dyDescent="0.2">
      <c r="A3030" s="93" t="s">
        <v>1637</v>
      </c>
      <c r="B3030" s="94" t="str">
        <f>IFERROR(VLOOKUP($A3030,HeadJournal!$A$1:$NTR$890,COLUMN(HeadJournal!B$1),0),"")</f>
        <v>720000136447</v>
      </c>
      <c r="C3030" s="94" t="str">
        <f>IFERROR(VLOOKUP($A3030,HeadJournal!$A$1:$NTR$890,COLUMN(HeadJournal!C$1),0),"")</f>
        <v>iHerb_AV CYG0792</v>
      </c>
      <c r="D3030" s="125" t="str">
        <f>IFERROR(VLOOKUP($A3030,HeadJournal!$A$1:$NTR$890,COLUMN(HeadJournal!D$1),0),"")</f>
        <v>Доставлен</v>
      </c>
      <c r="E3030" s="95">
        <f>IFERROR(VLOOKUP($A3030,HeadJournal!$A$1:$NTR$890,COLUMN(HeadJournal!G$1),0),"")</f>
        <v>45340</v>
      </c>
      <c r="F3030" s="95" t="str">
        <f t="shared" si="241"/>
        <v>2024 02</v>
      </c>
      <c r="G3030" s="96" t="s">
        <v>7</v>
      </c>
      <c r="H3030" s="161" t="str">
        <f>RIGHT(Journal!$J3030,9)</f>
        <v>MHL-05089</v>
      </c>
      <c r="I3030" s="97" t="str">
        <f t="shared" si="243"/>
        <v>MEDIHEAL</v>
      </c>
      <c r="J3030" s="97" t="s">
        <v>1635</v>
      </c>
      <c r="K3030" s="29">
        <v>14.19</v>
      </c>
      <c r="L3030" s="29">
        <v>-2.84</v>
      </c>
      <c r="M3030" s="30">
        <f>IFERROR(VLOOKUP($A3030,HeadJournal!$A$1:$J$890,COLUMN(HeadJournal!I$1),0)*($K3030+$L3030)/(SUMIF($A:$A,$A3030,$K:$K)+SUMIF($A:$A,$A3030,$L:$L)),0)</f>
        <v>-0.49750326878774664</v>
      </c>
      <c r="N3030" s="30">
        <f>IFERROR((VLOOKUP($A3030,HeadJournal!$A$1:$K$890,COLUMN(HeadJournal!K$1),0)-VLOOKUP($A3030,HeadJournal!$A$1:$K$890,COLUMN(HeadJournal!J$1),0))*($K3030+$L3030)/(SUMIF($A:$A,$A3030,$K:$K)+SUMIF($A:$A,$A3030,$L:$L)),0)</f>
        <v>-2.0085075775797613E-15</v>
      </c>
      <c r="O3030" s="30">
        <f>IFERROR((VLOOKUP($A3030,HeadJournal!$A$1:$L$890,COLUMN(HeadJournal!L$1),0)*($K3030+$L3030)/(SUMIF($A:$A,$A3030,$K:$K)+SUMIF($A:$A,$A3030,$L:$L)))/VLOOKUP($A3030,HeadJournal!$A$1:$L$890,COLUMN(HeadJournal!H$1),0),0)</f>
        <v>0.77621936262569791</v>
      </c>
      <c r="P3030" s="30">
        <f>IFERROR(SUM(K3030:O3030)*VLOOKUP($A3030,HeadJournal!$A$1:$L$890,COLUMN(HeadJournal!H$1),0),0)</f>
        <v>1182.9638378681277</v>
      </c>
      <c r="Q3030" s="29"/>
      <c r="R3030" s="31"/>
      <c r="S3030" s="31"/>
      <c r="T3030" s="95" t="str">
        <f t="shared" si="242"/>
        <v/>
      </c>
      <c r="U3030" s="32">
        <f t="shared" si="239"/>
        <v>-1182.9638378681277</v>
      </c>
      <c r="V3030" s="22" t="str">
        <f t="shared" si="240"/>
        <v/>
      </c>
      <c r="X3030" s="33"/>
      <c r="Y3030" s="33"/>
    </row>
    <row r="3031" spans="1:25" x14ac:dyDescent="0.2">
      <c r="A3031" s="93" t="s">
        <v>1637</v>
      </c>
      <c r="B3031" s="94" t="str">
        <f>IFERROR(VLOOKUP($A3031,HeadJournal!$A$1:$NTR$890,COLUMN(HeadJournal!B$1),0),"")</f>
        <v>720000136447</v>
      </c>
      <c r="C3031" s="94" t="str">
        <f>IFERROR(VLOOKUP($A3031,HeadJournal!$A$1:$NTR$890,COLUMN(HeadJournal!C$1),0),"")</f>
        <v>iHerb_AV CYG0792</v>
      </c>
      <c r="D3031" s="125" t="str">
        <f>IFERROR(VLOOKUP($A3031,HeadJournal!$A$1:$NTR$890,COLUMN(HeadJournal!D$1),0),"")</f>
        <v>Доставлен</v>
      </c>
      <c r="E3031" s="95">
        <f>IFERROR(VLOOKUP($A3031,HeadJournal!$A$1:$NTR$890,COLUMN(HeadJournal!G$1),0),"")</f>
        <v>45340</v>
      </c>
      <c r="F3031" s="95" t="str">
        <f t="shared" si="241"/>
        <v>2024 02</v>
      </c>
      <c r="G3031" s="96" t="s">
        <v>5</v>
      </c>
      <c r="H3031" s="161" t="s">
        <v>2575</v>
      </c>
      <c r="I3031" s="97" t="s">
        <v>2036</v>
      </c>
      <c r="J3031" s="97" t="s">
        <v>2576</v>
      </c>
      <c r="K3031" s="29">
        <v>12.88</v>
      </c>
      <c r="L3031" s="29">
        <v>-2.58</v>
      </c>
      <c r="M3031" s="30">
        <f>IFERROR(VLOOKUP($A3031,HeadJournal!$A$1:$J$890,COLUMN(HeadJournal!I$1),0)*($K3031+$L3031)/(SUMIF($A:$A,$A3031,$K:$K)+SUMIF($A:$A,$A3031,$L:$L)),0)</f>
        <v>-0.45147873731399035</v>
      </c>
      <c r="N3031" s="30">
        <f>IFERROR((VLOOKUP($A3031,HeadJournal!$A$1:$K$890,COLUMN(HeadJournal!K$1),0)-VLOOKUP($A3031,HeadJournal!$A$1:$K$890,COLUMN(HeadJournal!J$1),0))*($K3031+$L3031)/(SUMIF($A:$A,$A3031,$K:$K)+SUMIF($A:$A,$A3031,$L:$L)),0)</f>
        <v>-1.8226985065261272E-15</v>
      </c>
      <c r="O3031" s="30">
        <f>IFERROR((VLOOKUP($A3031,HeadJournal!$A$1:$L$890,COLUMN(HeadJournal!L$1),0)*($K3031+$L3031)/(SUMIF($A:$A,$A3031,$K:$K)+SUMIF($A:$A,$A3031,$L:$L)))/VLOOKUP($A3031,HeadJournal!$A$1:$L$890,COLUMN(HeadJournal!H$1),0),0)</f>
        <v>0.70441052291142647</v>
      </c>
      <c r="P3031" s="30">
        <f>IFERROR(SUM(K3031:O3031)*VLOOKUP($A3031,HeadJournal!$A$1:$L$890,COLUMN(HeadJournal!H$1),0),0)</f>
        <v>1073.526654629226</v>
      </c>
      <c r="Q3031" s="29">
        <v>1700</v>
      </c>
      <c r="R3031" s="31">
        <v>45619</v>
      </c>
      <c r="S3031" s="31" t="s">
        <v>3121</v>
      </c>
      <c r="T3031" s="95" t="str">
        <f t="shared" si="242"/>
        <v>2024 11</v>
      </c>
      <c r="U3031" s="32">
        <f t="shared" si="239"/>
        <v>626.47334537077404</v>
      </c>
      <c r="V3031" s="22">
        <f t="shared" si="240"/>
        <v>0.58356571089252096</v>
      </c>
      <c r="X3031" s="33"/>
      <c r="Y3031" s="33"/>
    </row>
    <row r="3032" spans="1:25" x14ac:dyDescent="0.2">
      <c r="A3032" s="93" t="s">
        <v>1637</v>
      </c>
      <c r="B3032" s="94" t="str">
        <f>IFERROR(VLOOKUP($A3032,HeadJournal!$A$1:$NTR$890,COLUMN(HeadJournal!B$1),0),"")</f>
        <v>720000136447</v>
      </c>
      <c r="C3032" s="94" t="str">
        <f>IFERROR(VLOOKUP($A3032,HeadJournal!$A$1:$NTR$890,COLUMN(HeadJournal!C$1),0),"")</f>
        <v>iHerb_AV CYG0792</v>
      </c>
      <c r="D3032" s="125" t="str">
        <f>IFERROR(VLOOKUP($A3032,HeadJournal!$A$1:$NTR$890,COLUMN(HeadJournal!D$1),0),"")</f>
        <v>Доставлен</v>
      </c>
      <c r="E3032" s="95">
        <f>IFERROR(VLOOKUP($A3032,HeadJournal!$A$1:$NTR$890,COLUMN(HeadJournal!G$1),0),"")</f>
        <v>45340</v>
      </c>
      <c r="F3032" s="95" t="str">
        <f t="shared" si="241"/>
        <v>2024 02</v>
      </c>
      <c r="G3032" s="96" t="s">
        <v>5</v>
      </c>
      <c r="H3032" s="161" t="str">
        <f>RIGHT(Journal!$J3032,9)</f>
        <v>SOL-03280</v>
      </c>
      <c r="I3032" s="97" t="str">
        <f t="shared" si="243"/>
        <v>Solgar</v>
      </c>
      <c r="J3032" s="97" t="s">
        <v>1639</v>
      </c>
      <c r="K3032" s="29">
        <v>18.25</v>
      </c>
      <c r="L3032" s="29">
        <v>-0.91</v>
      </c>
      <c r="M3032" s="30">
        <f>IFERROR(VLOOKUP($A3032,HeadJournal!$A$1:$J$890,COLUMN(HeadJournal!I$1),0)*($K3032+$L3032)/(SUMIF($A:$A,$A3032,$K:$K)+SUMIF($A:$A,$A3032,$L:$L)),0)</f>
        <v>-0.76006226262374688</v>
      </c>
      <c r="N3032" s="30">
        <f>IFERROR((VLOOKUP($A3032,HeadJournal!$A$1:$K$890,COLUMN(HeadJournal!K$1),0)-VLOOKUP($A3032,HeadJournal!$A$1:$K$890,COLUMN(HeadJournal!J$1),0))*($K3032+$L3032)/(SUMIF($A:$A,$A3032,$K:$K)+SUMIF($A:$A,$A3032,$L:$L)),0)</f>
        <v>-3.0685040876857323E-15</v>
      </c>
      <c r="O3032" s="30">
        <f>IFERROR((VLOOKUP($A3032,HeadJournal!$A$1:$L$890,COLUMN(HeadJournal!L$1),0)*($K3032+$L3032)/(SUMIF($A:$A,$A3032,$K:$K)+SUMIF($A:$A,$A3032,$L:$L)))/VLOOKUP($A3032,HeadJournal!$A$1:$L$890,COLUMN(HeadJournal!H$1),0),0)</f>
        <v>1.1858716958528284</v>
      </c>
      <c r="P3032" s="30">
        <f>IFERROR(SUM(K3032:O3032)*VLOOKUP($A3032,HeadJournal!$A$1:$L$890,COLUMN(HeadJournal!H$1),0),0)</f>
        <v>1807.2769117738617</v>
      </c>
      <c r="Q3032" s="29">
        <v>2400</v>
      </c>
      <c r="R3032" s="31">
        <v>45589</v>
      </c>
      <c r="S3032" s="31" t="s">
        <v>3121</v>
      </c>
      <c r="T3032" s="95" t="str">
        <f t="shared" si="242"/>
        <v>2024 10</v>
      </c>
      <c r="U3032" s="32">
        <f t="shared" si="239"/>
        <v>592.72308822613832</v>
      </c>
      <c r="V3032" s="22">
        <f t="shared" si="240"/>
        <v>0.32796473211422494</v>
      </c>
      <c r="X3032" s="33"/>
      <c r="Y3032" s="33"/>
    </row>
    <row r="3033" spans="1:25" x14ac:dyDescent="0.2">
      <c r="A3033" s="93" t="s">
        <v>1637</v>
      </c>
      <c r="B3033" s="94" t="str">
        <f>IFERROR(VLOOKUP($A3033,HeadJournal!$A$1:$NTR$890,COLUMN(HeadJournal!B$1),0),"")</f>
        <v>720000136447</v>
      </c>
      <c r="C3033" s="94" t="str">
        <f>IFERROR(VLOOKUP($A3033,HeadJournal!$A$1:$NTR$890,COLUMN(HeadJournal!C$1),0),"")</f>
        <v>iHerb_AV CYG0792</v>
      </c>
      <c r="D3033" s="125" t="str">
        <f>IFERROR(VLOOKUP($A3033,HeadJournal!$A$1:$NTR$890,COLUMN(HeadJournal!D$1),0),"")</f>
        <v>Доставлен</v>
      </c>
      <c r="E3033" s="95">
        <f>IFERROR(VLOOKUP($A3033,HeadJournal!$A$1:$NTR$890,COLUMN(HeadJournal!G$1),0),"")</f>
        <v>45340</v>
      </c>
      <c r="F3033" s="95" t="str">
        <f t="shared" si="241"/>
        <v>2024 02</v>
      </c>
      <c r="G3033" s="96" t="s">
        <v>5</v>
      </c>
      <c r="H3033" s="161" t="str">
        <f>RIGHT(Journal!$J3033,9)</f>
        <v>FCD-02894</v>
      </c>
      <c r="I3033" s="97" t="str">
        <f t="shared" si="243"/>
        <v>FITCODE</v>
      </c>
      <c r="J3033" s="97" t="s">
        <v>1640</v>
      </c>
      <c r="K3033" s="29">
        <v>11.56</v>
      </c>
      <c r="L3033" s="29">
        <v>-7.41</v>
      </c>
      <c r="M3033" s="30">
        <f>IFERROR(VLOOKUP($A3033,HeadJournal!$A$1:$J$890,COLUMN(HeadJournal!I$1),0)*($K3033+$L3033)/(SUMIF($A:$A,$A3033,$K:$K)+SUMIF($A:$A,$A3033,$L:$L)),0)</f>
        <v>-0.18190648153913205</v>
      </c>
      <c r="N3033" s="30">
        <f>IFERROR((VLOOKUP($A3033,HeadJournal!$A$1:$K$890,COLUMN(HeadJournal!K$1),0)-VLOOKUP($A3033,HeadJournal!$A$1:$K$890,COLUMN(HeadJournal!J$1),0))*($K3033+$L3033)/(SUMIF($A:$A,$A3033,$K:$K)+SUMIF($A:$A,$A3033,$L:$L)),0)</f>
        <v>-7.3438823321198327E-16</v>
      </c>
      <c r="O3033" s="30">
        <f>IFERROR((VLOOKUP($A3033,HeadJournal!$A$1:$L$890,COLUMN(HeadJournal!L$1),0)*($K3033+$L3033)/(SUMIF($A:$A,$A3033,$K:$K)+SUMIF($A:$A,$A3033,$L:$L)))/VLOOKUP($A3033,HeadJournal!$A$1:$L$890,COLUMN(HeadJournal!H$1),0),0)</f>
        <v>0.28381589029926402</v>
      </c>
      <c r="P3033" s="30">
        <f>IFERROR(SUM(K3033:O3033)*VLOOKUP($A3033,HeadJournal!$A$1:$L$890,COLUMN(HeadJournal!H$1),0),0)</f>
        <v>432.53743851565895</v>
      </c>
      <c r="Q3033" s="29">
        <v>1500</v>
      </c>
      <c r="R3033" s="31">
        <v>45717</v>
      </c>
      <c r="S3033" s="31" t="s">
        <v>3121</v>
      </c>
      <c r="T3033" s="95" t="str">
        <f t="shared" si="242"/>
        <v>2025 03</v>
      </c>
      <c r="U3033" s="32">
        <f t="shared" si="239"/>
        <v>1067.462561484341</v>
      </c>
      <c r="V3033" s="22">
        <f t="shared" si="240"/>
        <v>2.4679078998284125</v>
      </c>
      <c r="X3033" s="33"/>
      <c r="Y3033" s="33"/>
    </row>
    <row r="3034" spans="1:25" x14ac:dyDescent="0.2">
      <c r="A3034" s="93" t="s">
        <v>1641</v>
      </c>
      <c r="B3034" s="94" t="str">
        <f>IFERROR(VLOOKUP($A3034,HeadJournal!$A$1:$NTR$890,COLUMN(HeadJournal!B$1),0),"")</f>
        <v>720000150257</v>
      </c>
      <c r="C3034" s="94" t="str">
        <f>IFERROR(VLOOKUP($A3034,HeadJournal!$A$1:$NTR$890,COLUMN(HeadJournal!C$1),0),"")</f>
        <v>iHerb_AV CYG0792</v>
      </c>
      <c r="D3034" s="125" t="str">
        <f>IFERROR(VLOOKUP($A3034,HeadJournal!$A$1:$NTR$890,COLUMN(HeadJournal!D$1),0),"")</f>
        <v>Доставлен</v>
      </c>
      <c r="E3034" s="95">
        <f>IFERROR(VLOOKUP($A3034,HeadJournal!$A$1:$NTR$890,COLUMN(HeadJournal!G$1),0),"")</f>
        <v>45350</v>
      </c>
      <c r="F3034" s="95" t="str">
        <f t="shared" si="241"/>
        <v>2024 02</v>
      </c>
      <c r="G3034" s="96" t="s">
        <v>5</v>
      </c>
      <c r="H3034" s="161" t="str">
        <f>RIGHT(Journal!$J3034,9)</f>
        <v>LEX-22073</v>
      </c>
      <c r="I3034" s="97" t="str">
        <f t="shared" si="243"/>
        <v>Life Extension</v>
      </c>
      <c r="J3034" s="97" t="s">
        <v>1643</v>
      </c>
      <c r="K3034" s="29">
        <v>24.83</v>
      </c>
      <c r="L3034" s="29">
        <v>-4.97</v>
      </c>
      <c r="M3034" s="30">
        <f>IFERROR(VLOOKUP($A3034,HeadJournal!$A$1:$J$890,COLUMN(HeadJournal!I$1),0)*($K3034+$L3034)/(SUMIF($A:$A,$A3034,$K:$K)+SUMIF($A:$A,$A3034,$L:$L)),0)</f>
        <v>-1.6356933602315584</v>
      </c>
      <c r="N3034" s="30">
        <f>IFERROR((VLOOKUP($A3034,HeadJournal!$A$1:$K$890,COLUMN(HeadJournal!K$1),0)-VLOOKUP($A3034,HeadJournal!$A$1:$K$890,COLUMN(HeadJournal!J$1),0))*($K3034+$L3034)/(SUMIF($A:$A,$A3034,$K:$K)+SUMIF($A:$A,$A3034,$L:$L)),0)</f>
        <v>-2.4754633334261184E-15</v>
      </c>
      <c r="O3034" s="30">
        <f>IFERROR((VLOOKUP($A3034,HeadJournal!$A$1:$L$890,COLUMN(HeadJournal!L$1),0)*($K3034+$L3034)/(SUMIF($A:$A,$A3034,$K:$K)+SUMIF($A:$A,$A3034,$L:$L)))/VLOOKUP($A3034,HeadJournal!$A$1:$L$890,COLUMN(HeadJournal!H$1),0),0)</f>
        <v>0.95329868308328303</v>
      </c>
      <c r="P3034" s="30">
        <f>IFERROR(SUM(K3034:O3034)*VLOOKUP($A3034,HeadJournal!$A$1:$L$890,COLUMN(HeadJournal!H$1),0),0)</f>
        <v>2002.323836505569</v>
      </c>
      <c r="Q3034" s="29"/>
      <c r="R3034" s="31"/>
      <c r="S3034" s="31"/>
      <c r="T3034" s="95" t="str">
        <f t="shared" si="242"/>
        <v/>
      </c>
      <c r="U3034" s="32">
        <f t="shared" si="239"/>
        <v>-2002.323836505569</v>
      </c>
      <c r="V3034" s="22" t="str">
        <f t="shared" si="240"/>
        <v/>
      </c>
      <c r="X3034" s="33"/>
      <c r="Y3034" s="33"/>
    </row>
    <row r="3035" spans="1:25" x14ac:dyDescent="0.2">
      <c r="A3035" s="93" t="s">
        <v>1641</v>
      </c>
      <c r="B3035" s="94" t="str">
        <f>IFERROR(VLOOKUP($A3035,HeadJournal!$A$1:$NTR$890,COLUMN(HeadJournal!B$1),0),"")</f>
        <v>720000150257</v>
      </c>
      <c r="C3035" s="94" t="str">
        <f>IFERROR(VLOOKUP($A3035,HeadJournal!$A$1:$NTR$890,COLUMN(HeadJournal!C$1),0),"")</f>
        <v>iHerb_AV CYG0792</v>
      </c>
      <c r="D3035" s="125" t="str">
        <f>IFERROR(VLOOKUP($A3035,HeadJournal!$A$1:$NTR$890,COLUMN(HeadJournal!D$1),0),"")</f>
        <v>Доставлен</v>
      </c>
      <c r="E3035" s="95">
        <f>IFERROR(VLOOKUP($A3035,HeadJournal!$A$1:$NTR$890,COLUMN(HeadJournal!G$1),0),"")</f>
        <v>45350</v>
      </c>
      <c r="F3035" s="95" t="str">
        <f t="shared" si="241"/>
        <v>2024 02</v>
      </c>
      <c r="G3035" s="96" t="s">
        <v>5</v>
      </c>
      <c r="H3035" s="161" t="str">
        <f>RIGHT(Journal!$J3035,9)</f>
        <v>EVL-24071</v>
      </c>
      <c r="I3035" s="97" t="str">
        <f t="shared" si="243"/>
        <v>EVLution Nutrition</v>
      </c>
      <c r="J3035" s="97" t="s">
        <v>1644</v>
      </c>
      <c r="K3035" s="29">
        <v>28.13</v>
      </c>
      <c r="L3035" s="29">
        <v>-5.63</v>
      </c>
      <c r="M3035" s="30">
        <f>IFERROR(VLOOKUP($A3035,HeadJournal!$A$1:$J$890,COLUMN(HeadJournal!I$1),0)*($K3035+$L3035)/(SUMIF($A:$A,$A3035,$K:$K)+SUMIF($A:$A,$A3035,$L:$L)),0)</f>
        <v>-1.8531269186913426</v>
      </c>
      <c r="N3035" s="30">
        <f>IFERROR((VLOOKUP($A3035,HeadJournal!$A$1:$K$890,COLUMN(HeadJournal!K$1),0)-VLOOKUP($A3035,HeadJournal!$A$1:$K$890,COLUMN(HeadJournal!J$1),0))*($K3035+$L3035)/(SUMIF($A:$A,$A3035,$K:$K)+SUMIF($A:$A,$A3035,$L:$L)),0)</f>
        <v>-2.8045279457244542E-15</v>
      </c>
      <c r="O3035" s="30">
        <f>IFERROR((VLOOKUP($A3035,HeadJournal!$A$1:$L$890,COLUMN(HeadJournal!L$1),0)*($K3035+$L3035)/(SUMIF($A:$A,$A3035,$K:$K)+SUMIF($A:$A,$A3035,$L:$L)))/VLOOKUP($A3035,HeadJournal!$A$1:$L$890,COLUMN(HeadJournal!H$1),0),0)</f>
        <v>1.0800211666351394</v>
      </c>
      <c r="P3035" s="30">
        <f>IFERROR(SUM(K3035:O3035)*VLOOKUP($A3035,HeadJournal!$A$1:$L$890,COLUMN(HeadJournal!H$1),0),0)</f>
        <v>2268.493772476098</v>
      </c>
      <c r="Q3035" s="29">
        <v>3200</v>
      </c>
      <c r="R3035" s="31">
        <v>45761</v>
      </c>
      <c r="S3035" s="31" t="s">
        <v>3121</v>
      </c>
      <c r="T3035" s="95" t="str">
        <f t="shared" si="242"/>
        <v>2025 04</v>
      </c>
      <c r="U3035" s="32">
        <f t="shared" si="239"/>
        <v>931.506227523902</v>
      </c>
      <c r="V3035" s="22">
        <f t="shared" si="240"/>
        <v>0.41062763267238234</v>
      </c>
      <c r="X3035" s="33"/>
      <c r="Y3035" s="33"/>
    </row>
    <row r="3036" spans="1:25" x14ac:dyDescent="0.2">
      <c r="A3036" s="93" t="s">
        <v>1641</v>
      </c>
      <c r="B3036" s="94" t="str">
        <f>IFERROR(VLOOKUP($A3036,HeadJournal!$A$1:$NTR$890,COLUMN(HeadJournal!B$1),0),"")</f>
        <v>720000150257</v>
      </c>
      <c r="C3036" s="94" t="str">
        <f>IFERROR(VLOOKUP($A3036,HeadJournal!$A$1:$NTR$890,COLUMN(HeadJournal!C$1),0),"")</f>
        <v>iHerb_AV CYG0792</v>
      </c>
      <c r="D3036" s="125" t="str">
        <f>IFERROR(VLOOKUP($A3036,HeadJournal!$A$1:$NTR$890,COLUMN(HeadJournal!D$1),0),"")</f>
        <v>Доставлен</v>
      </c>
      <c r="E3036" s="95">
        <f>IFERROR(VLOOKUP($A3036,HeadJournal!$A$1:$NTR$890,COLUMN(HeadJournal!G$1),0),"")</f>
        <v>45350</v>
      </c>
      <c r="F3036" s="95" t="str">
        <f t="shared" si="241"/>
        <v>2024 02</v>
      </c>
      <c r="G3036" s="96" t="s">
        <v>5</v>
      </c>
      <c r="H3036" s="161" t="str">
        <f>RIGHT(Journal!$J3036,9)</f>
        <v>SNS-01819</v>
      </c>
      <c r="I3036" s="97" t="str">
        <f t="shared" si="243"/>
        <v>Source Naturals</v>
      </c>
      <c r="J3036" s="97" t="s">
        <v>945</v>
      </c>
      <c r="K3036" s="29">
        <v>11.15</v>
      </c>
      <c r="L3036" s="29">
        <v>-2.23</v>
      </c>
      <c r="M3036" s="30">
        <f>IFERROR(VLOOKUP($A3036,HeadJournal!$A$1:$J$890,COLUMN(HeadJournal!I$1),0)*($K3036+$L3036)/(SUMIF($A:$A,$A3036,$K:$K)+SUMIF($A:$A,$A3036,$L:$L)),0)</f>
        <v>-0.73466187176563458</v>
      </c>
      <c r="N3036" s="30">
        <f>IFERROR((VLOOKUP($A3036,HeadJournal!$A$1:$K$890,COLUMN(HeadJournal!K$1),0)-VLOOKUP($A3036,HeadJournal!$A$1:$K$890,COLUMN(HeadJournal!J$1),0))*($K3036+$L3036)/(SUMIF($A:$A,$A3036,$K:$K)+SUMIF($A:$A,$A3036,$L:$L)),0)</f>
        <v>-1.1118395233716503E-15</v>
      </c>
      <c r="O3036" s="30">
        <f>IFERROR((VLOOKUP($A3036,HeadJournal!$A$1:$L$890,COLUMN(HeadJournal!L$1),0)*($K3036+$L3036)/(SUMIF($A:$A,$A3036,$K:$K)+SUMIF($A:$A,$A3036,$L:$L)))/VLOOKUP($A3036,HeadJournal!$A$1:$L$890,COLUMN(HeadJournal!H$1),0),0)</f>
        <v>0.42816839139490864</v>
      </c>
      <c r="P3036" s="30">
        <f>IFERROR(SUM(K3036:O3036)*VLOOKUP($A3036,HeadJournal!$A$1:$L$890,COLUMN(HeadJournal!H$1),0),0)</f>
        <v>899.33175335496867</v>
      </c>
      <c r="Q3036" s="29">
        <v>899.33</v>
      </c>
      <c r="R3036" s="31">
        <v>45351</v>
      </c>
      <c r="S3036" s="31" t="s">
        <v>3121</v>
      </c>
      <c r="T3036" s="95" t="str">
        <f t="shared" si="242"/>
        <v>2024 02</v>
      </c>
      <c r="U3036" s="32">
        <f t="shared" si="239"/>
        <v>-1.7533549686277183E-3</v>
      </c>
      <c r="V3036" s="22">
        <f t="shared" si="240"/>
        <v>-1.9496197727777377E-6</v>
      </c>
      <c r="X3036" s="33"/>
      <c r="Y3036" s="33"/>
    </row>
    <row r="3037" spans="1:25" x14ac:dyDescent="0.2">
      <c r="A3037" s="93" t="s">
        <v>1641</v>
      </c>
      <c r="B3037" s="94" t="str">
        <f>IFERROR(VLOOKUP($A3037,HeadJournal!$A$1:$NTR$890,COLUMN(HeadJournal!B$1),0),"")</f>
        <v>720000150257</v>
      </c>
      <c r="C3037" s="94" t="str">
        <f>IFERROR(VLOOKUP($A3037,HeadJournal!$A$1:$NTR$890,COLUMN(HeadJournal!C$1),0),"")</f>
        <v>iHerb_AV CYG0792</v>
      </c>
      <c r="D3037" s="125" t="str">
        <f>IFERROR(VLOOKUP($A3037,HeadJournal!$A$1:$NTR$890,COLUMN(HeadJournal!D$1),0),"")</f>
        <v>Доставлен</v>
      </c>
      <c r="E3037" s="95">
        <f>IFERROR(VLOOKUP($A3037,HeadJournal!$A$1:$NTR$890,COLUMN(HeadJournal!G$1),0),"")</f>
        <v>45350</v>
      </c>
      <c r="F3037" s="95" t="str">
        <f t="shared" si="241"/>
        <v>2024 02</v>
      </c>
      <c r="G3037" s="96" t="s">
        <v>5</v>
      </c>
      <c r="H3037" s="161" t="str">
        <f>RIGHT(Journal!$J3037,9)</f>
        <v>SNS-01819</v>
      </c>
      <c r="I3037" s="97" t="str">
        <f t="shared" si="243"/>
        <v>Source Naturals</v>
      </c>
      <c r="J3037" s="97" t="s">
        <v>945</v>
      </c>
      <c r="K3037" s="29">
        <v>11.15</v>
      </c>
      <c r="L3037" s="29">
        <v>-2.23</v>
      </c>
      <c r="M3037" s="30">
        <f>IFERROR(VLOOKUP($A3037,HeadJournal!$A$1:$J$890,COLUMN(HeadJournal!I$1),0)*($K3037+$L3037)/(SUMIF($A:$A,$A3037,$K:$K)+SUMIF($A:$A,$A3037,$L:$L)),0)</f>
        <v>-0.73466187176563458</v>
      </c>
      <c r="N3037" s="30">
        <f>IFERROR((VLOOKUP($A3037,HeadJournal!$A$1:$K$890,COLUMN(HeadJournal!K$1),0)-VLOOKUP($A3037,HeadJournal!$A$1:$K$890,COLUMN(HeadJournal!J$1),0))*($K3037+$L3037)/(SUMIF($A:$A,$A3037,$K:$K)+SUMIF($A:$A,$A3037,$L:$L)),0)</f>
        <v>-1.1118395233716503E-15</v>
      </c>
      <c r="O3037" s="30">
        <f>IFERROR((VLOOKUP($A3037,HeadJournal!$A$1:$L$890,COLUMN(HeadJournal!L$1),0)*($K3037+$L3037)/(SUMIF($A:$A,$A3037,$K:$K)+SUMIF($A:$A,$A3037,$L:$L)))/VLOOKUP($A3037,HeadJournal!$A$1:$L$890,COLUMN(HeadJournal!H$1),0),0)</f>
        <v>0.42816839139490864</v>
      </c>
      <c r="P3037" s="30">
        <f>IFERROR(SUM(K3037:O3037)*VLOOKUP($A3037,HeadJournal!$A$1:$L$890,COLUMN(HeadJournal!H$1),0),0)</f>
        <v>899.33175335496867</v>
      </c>
      <c r="Q3037" s="29">
        <v>1700</v>
      </c>
      <c r="R3037" s="31">
        <v>45426</v>
      </c>
      <c r="S3037" s="31" t="s">
        <v>3121</v>
      </c>
      <c r="T3037" s="95" t="str">
        <f t="shared" si="242"/>
        <v>2024 05</v>
      </c>
      <c r="U3037" s="32">
        <f t="shared" si="239"/>
        <v>800.66824664503133</v>
      </c>
      <c r="V3037" s="22">
        <f t="shared" si="240"/>
        <v>0.89029242396716024</v>
      </c>
      <c r="X3037" s="33"/>
      <c r="Y3037" s="33"/>
    </row>
    <row r="3038" spans="1:25" x14ac:dyDescent="0.2">
      <c r="A3038" s="93" t="s">
        <v>1641</v>
      </c>
      <c r="B3038" s="94" t="str">
        <f>IFERROR(VLOOKUP($A3038,HeadJournal!$A$1:$NTR$890,COLUMN(HeadJournal!B$1),0),"")</f>
        <v>720000150257</v>
      </c>
      <c r="C3038" s="94" t="str">
        <f>IFERROR(VLOOKUP($A3038,HeadJournal!$A$1:$NTR$890,COLUMN(HeadJournal!C$1),0),"")</f>
        <v>iHerb_AV CYG0792</v>
      </c>
      <c r="D3038" s="125" t="str">
        <f>IFERROR(VLOOKUP($A3038,HeadJournal!$A$1:$NTR$890,COLUMN(HeadJournal!D$1),0),"")</f>
        <v>Доставлен</v>
      </c>
      <c r="E3038" s="95">
        <f>IFERROR(VLOOKUP($A3038,HeadJournal!$A$1:$NTR$890,COLUMN(HeadJournal!G$1),0),"")</f>
        <v>45350</v>
      </c>
      <c r="F3038" s="95" t="str">
        <f t="shared" si="241"/>
        <v>2024 02</v>
      </c>
      <c r="G3038" s="96" t="s">
        <v>5</v>
      </c>
      <c r="H3038" s="161" t="str">
        <f>RIGHT(Journal!$J3038,9)</f>
        <v>NCS-67068</v>
      </c>
      <c r="I3038" s="97" t="str">
        <f t="shared" si="243"/>
        <v>Nutricost</v>
      </c>
      <c r="J3038" s="97" t="s">
        <v>1645</v>
      </c>
      <c r="K3038" s="29">
        <v>16.22</v>
      </c>
      <c r="L3038" s="29">
        <v>-3.24</v>
      </c>
      <c r="M3038" s="30">
        <f>IFERROR(VLOOKUP($A3038,HeadJournal!$A$1:$J$890,COLUMN(HeadJournal!I$1),0)*($K3038+$L3038)/(SUMIF($A:$A,$A3038,$K:$K)+SUMIF($A:$A,$A3038,$L:$L)),0)</f>
        <v>-1.069048329093939</v>
      </c>
      <c r="N3038" s="30">
        <f>IFERROR((VLOOKUP($A3038,HeadJournal!$A$1:$K$890,COLUMN(HeadJournal!K$1),0)-VLOOKUP($A3038,HeadJournal!$A$1:$K$890,COLUMN(HeadJournal!J$1),0))*($K3038+$L3038)/(SUMIF($A:$A,$A3038,$K:$K)+SUMIF($A:$A,$A3038,$L:$L)),0)</f>
        <v>-1.6179010104668182E-15</v>
      </c>
      <c r="O3038" s="30">
        <f>IFERROR((VLOOKUP($A3038,HeadJournal!$A$1:$L$890,COLUMN(HeadJournal!L$1),0)*($K3038+$L3038)/(SUMIF($A:$A,$A3038,$K:$K)+SUMIF($A:$A,$A3038,$L:$L)))/VLOOKUP($A3038,HeadJournal!$A$1:$L$890,COLUMN(HeadJournal!H$1),0),0)</f>
        <v>0.62305221079662709</v>
      </c>
      <c r="P3038" s="30">
        <f>IFERROR(SUM(K3038:O3038)*VLOOKUP($A3038,HeadJournal!$A$1:$L$890,COLUMN(HeadJournal!H$1),0),0)</f>
        <v>1308.6688518551002</v>
      </c>
      <c r="Q3038" s="29">
        <v>2200</v>
      </c>
      <c r="R3038" s="31">
        <v>45395</v>
      </c>
      <c r="S3038" s="31" t="s">
        <v>3121</v>
      </c>
      <c r="T3038" s="95" t="str">
        <f t="shared" si="242"/>
        <v>2024 04</v>
      </c>
      <c r="U3038" s="32">
        <f t="shared" si="239"/>
        <v>891.33114814489977</v>
      </c>
      <c r="V3038" s="22">
        <f t="shared" si="240"/>
        <v>0.68109754953011648</v>
      </c>
      <c r="X3038" s="33"/>
      <c r="Y3038" s="33"/>
    </row>
    <row r="3039" spans="1:25" x14ac:dyDescent="0.2">
      <c r="A3039" s="93" t="s">
        <v>1641</v>
      </c>
      <c r="B3039" s="94" t="str">
        <f>IFERROR(VLOOKUP($A3039,HeadJournal!$A$1:$NTR$890,COLUMN(HeadJournal!B$1),0),"")</f>
        <v>720000150257</v>
      </c>
      <c r="C3039" s="94" t="str">
        <f>IFERROR(VLOOKUP($A3039,HeadJournal!$A$1:$NTR$890,COLUMN(HeadJournal!C$1),0),"")</f>
        <v>iHerb_AV CYG0792</v>
      </c>
      <c r="D3039" s="125" t="str">
        <f>IFERROR(VLOOKUP($A3039,HeadJournal!$A$1:$NTR$890,COLUMN(HeadJournal!D$1),0),"")</f>
        <v>Доставлен</v>
      </c>
      <c r="E3039" s="95">
        <f>IFERROR(VLOOKUP($A3039,HeadJournal!$A$1:$NTR$890,COLUMN(HeadJournal!G$1),0),"")</f>
        <v>45350</v>
      </c>
      <c r="F3039" s="95" t="str">
        <f t="shared" si="241"/>
        <v>2024 02</v>
      </c>
      <c r="G3039" s="96" t="s">
        <v>5</v>
      </c>
      <c r="H3039" s="161" t="s">
        <v>2016</v>
      </c>
      <c r="I3039" s="97" t="s">
        <v>2005</v>
      </c>
      <c r="J3039" s="97" t="s">
        <v>2017</v>
      </c>
      <c r="K3039" s="29">
        <v>36.799999999999997</v>
      </c>
      <c r="L3039" s="29">
        <v>-7.36</v>
      </c>
      <c r="M3039" s="30">
        <f>IFERROR(VLOOKUP($A3039,HeadJournal!$A$1:$J$890,COLUMN(HeadJournal!I$1),0)*($K3039+$L3039)/(SUMIF($A:$A,$A3039,$K:$K)+SUMIF($A:$A,$A3039,$L:$L)),0)</f>
        <v>-2.4247136216121388</v>
      </c>
      <c r="N3039" s="30">
        <f>IFERROR((VLOOKUP($A3039,HeadJournal!$A$1:$K$890,COLUMN(HeadJournal!K$1),0)-VLOOKUP($A3039,HeadJournal!$A$1:$K$890,COLUMN(HeadJournal!J$1),0))*($K3039+$L3039)/(SUMIF($A:$A,$A3039,$K:$K)+SUMIF($A:$A,$A3039,$L:$L)),0)</f>
        <v>-3.6695690098723524E-15</v>
      </c>
      <c r="O3039" s="30">
        <f>IFERROR((VLOOKUP($A3039,HeadJournal!$A$1:$L$890,COLUMN(HeadJournal!L$1),0)*($K3039+$L3039)/(SUMIF($A:$A,$A3039,$K:$K)+SUMIF($A:$A,$A3039,$L:$L)))/VLOOKUP($A3039,HeadJournal!$A$1:$L$890,COLUMN(HeadJournal!H$1),0),0)</f>
        <v>1.4131476953661557</v>
      </c>
      <c r="P3039" s="30">
        <f>IFERROR(SUM(K3039:O3039)*VLOOKUP($A3039,HeadJournal!$A$1:$L$890,COLUMN(HeadJournal!H$1),0),0)</f>
        <v>2968.1980738531702</v>
      </c>
      <c r="Q3039" s="29">
        <v>4100</v>
      </c>
      <c r="R3039" s="31">
        <v>45451</v>
      </c>
      <c r="S3039" s="31" t="s">
        <v>3121</v>
      </c>
      <c r="T3039" s="95" t="str">
        <f t="shared" si="242"/>
        <v>2024 06</v>
      </c>
      <c r="U3039" s="32">
        <f t="shared" si="239"/>
        <v>1131.8019261468298</v>
      </c>
      <c r="V3039" s="22">
        <f t="shared" si="240"/>
        <v>0.38130943353035052</v>
      </c>
      <c r="X3039" s="33"/>
      <c r="Y3039" s="33"/>
    </row>
    <row r="3040" spans="1:25" x14ac:dyDescent="0.2">
      <c r="A3040" s="93" t="s">
        <v>1641</v>
      </c>
      <c r="B3040" s="94" t="str">
        <f>IFERROR(VLOOKUP($A3040,HeadJournal!$A$1:$NTR$890,COLUMN(HeadJournal!B$1),0),"")</f>
        <v>720000150257</v>
      </c>
      <c r="C3040" s="94" t="str">
        <f>IFERROR(VLOOKUP($A3040,HeadJournal!$A$1:$NTR$890,COLUMN(HeadJournal!C$1),0),"")</f>
        <v>iHerb_AV CYG0792</v>
      </c>
      <c r="D3040" s="125" t="str">
        <f>IFERROR(VLOOKUP($A3040,HeadJournal!$A$1:$NTR$890,COLUMN(HeadJournal!D$1),0),"")</f>
        <v>Доставлен</v>
      </c>
      <c r="E3040" s="95">
        <f>IFERROR(VLOOKUP($A3040,HeadJournal!$A$1:$NTR$890,COLUMN(HeadJournal!G$1),0),"")</f>
        <v>45350</v>
      </c>
      <c r="F3040" s="95" t="str">
        <f t="shared" si="241"/>
        <v>2024 02</v>
      </c>
      <c r="G3040" s="96" t="s">
        <v>5</v>
      </c>
      <c r="H3040" s="161" t="str">
        <f>RIGHT(Journal!$J3040,9)</f>
        <v>FOA-66103</v>
      </c>
      <c r="I3040" s="97" t="str">
        <f t="shared" si="243"/>
        <v>Force Factor</v>
      </c>
      <c r="J3040" s="97" t="s">
        <v>1646</v>
      </c>
      <c r="K3040" s="29">
        <v>14.24</v>
      </c>
      <c r="L3040" s="29">
        <v>-2.85</v>
      </c>
      <c r="M3040" s="30">
        <f>IFERROR(VLOOKUP($A3040,HeadJournal!$A$1:$J$890,COLUMN(HeadJournal!I$1),0)*($K3040+$L3040)/(SUMIF($A:$A,$A3040,$K:$K)+SUMIF($A:$A,$A3040,$L:$L)),0)</f>
        <v>-0.93809402683975085</v>
      </c>
      <c r="N3040" s="30">
        <f>IFERROR((VLOOKUP($A3040,HeadJournal!$A$1:$K$890,COLUMN(HeadJournal!K$1),0)-VLOOKUP($A3040,HeadJournal!$A$1:$K$890,COLUMN(HeadJournal!J$1),0))*($K3040+$L3040)/(SUMIF($A:$A,$A3040,$K:$K)+SUMIF($A:$A,$A3040,$L:$L)),0)</f>
        <v>-1.4197143689689572E-15</v>
      </c>
      <c r="O3040" s="30">
        <f>IFERROR((VLOOKUP($A3040,HeadJournal!$A$1:$L$890,COLUMN(HeadJournal!L$1),0)*($K3040+$L3040)/(SUMIF($A:$A,$A3040,$K:$K)+SUMIF($A:$A,$A3040,$L:$L)))/VLOOKUP($A3040,HeadJournal!$A$1:$L$890,COLUMN(HeadJournal!H$1),0),0)</f>
        <v>0.54673071502107728</v>
      </c>
      <c r="P3040" s="30">
        <f>IFERROR(SUM(K3040:O3040)*VLOOKUP($A3040,HeadJournal!$A$1:$L$890,COLUMN(HeadJournal!H$1),0),0)</f>
        <v>1148.3619586001225</v>
      </c>
      <c r="Q3040" s="29">
        <v>2000</v>
      </c>
      <c r="R3040" s="31">
        <v>45866</v>
      </c>
      <c r="S3040" s="31"/>
      <c r="T3040" s="95" t="str">
        <f t="shared" si="242"/>
        <v>2025 07</v>
      </c>
      <c r="U3040" s="32">
        <f t="shared" si="239"/>
        <v>851.63804139987747</v>
      </c>
      <c r="V3040" s="22">
        <f t="shared" si="240"/>
        <v>0.74161115754656504</v>
      </c>
      <c r="X3040" s="33"/>
      <c r="Y3040" s="33"/>
    </row>
    <row r="3041" spans="1:25" x14ac:dyDescent="0.2">
      <c r="A3041" s="93" t="s">
        <v>1641</v>
      </c>
      <c r="B3041" s="94" t="str">
        <f>IFERROR(VLOOKUP($A3041,HeadJournal!$A$1:$NTR$890,COLUMN(HeadJournal!B$1),0),"")</f>
        <v>720000150257</v>
      </c>
      <c r="C3041" s="94" t="str">
        <f>IFERROR(VLOOKUP($A3041,HeadJournal!$A$1:$NTR$890,COLUMN(HeadJournal!C$1),0),"")</f>
        <v>iHerb_AV CYG0792</v>
      </c>
      <c r="D3041" s="125" t="str">
        <f>IFERROR(VLOOKUP($A3041,HeadJournal!$A$1:$NTR$890,COLUMN(HeadJournal!D$1),0),"")</f>
        <v>Доставлен</v>
      </c>
      <c r="E3041" s="95">
        <f>IFERROR(VLOOKUP($A3041,HeadJournal!$A$1:$NTR$890,COLUMN(HeadJournal!G$1),0),"")</f>
        <v>45350</v>
      </c>
      <c r="F3041" s="95" t="str">
        <f t="shared" si="241"/>
        <v>2024 02</v>
      </c>
      <c r="G3041" s="96" t="s">
        <v>5</v>
      </c>
      <c r="H3041" s="161" t="str">
        <f>RIGHT(Journal!$J3041,9)</f>
        <v>FOA-66103</v>
      </c>
      <c r="I3041" s="97" t="str">
        <f t="shared" si="243"/>
        <v>Force Factor</v>
      </c>
      <c r="J3041" s="97" t="s">
        <v>1646</v>
      </c>
      <c r="K3041" s="29">
        <v>14.24</v>
      </c>
      <c r="L3041" s="29">
        <v>-2.85</v>
      </c>
      <c r="M3041" s="30">
        <f>IFERROR(VLOOKUP($A3041,HeadJournal!$A$1:$J$890,COLUMN(HeadJournal!I$1),0)*($K3041+$L3041)/(SUMIF($A:$A,$A3041,$K:$K)+SUMIF($A:$A,$A3041,$L:$L)),0)</f>
        <v>-0.93809402683975085</v>
      </c>
      <c r="N3041" s="30">
        <f>IFERROR((VLOOKUP($A3041,HeadJournal!$A$1:$K$890,COLUMN(HeadJournal!K$1),0)-VLOOKUP($A3041,HeadJournal!$A$1:$K$890,COLUMN(HeadJournal!J$1),0))*($K3041+$L3041)/(SUMIF($A:$A,$A3041,$K:$K)+SUMIF($A:$A,$A3041,$L:$L)),0)</f>
        <v>-1.4197143689689572E-15</v>
      </c>
      <c r="O3041" s="30">
        <f>IFERROR((VLOOKUP($A3041,HeadJournal!$A$1:$L$890,COLUMN(HeadJournal!L$1),0)*($K3041+$L3041)/(SUMIF($A:$A,$A3041,$K:$K)+SUMIF($A:$A,$A3041,$L:$L)))/VLOOKUP($A3041,HeadJournal!$A$1:$L$890,COLUMN(HeadJournal!H$1),0),0)</f>
        <v>0.54673071502107728</v>
      </c>
      <c r="P3041" s="30">
        <f>IFERROR(SUM(K3041:O3041)*VLOOKUP($A3041,HeadJournal!$A$1:$L$890,COLUMN(HeadJournal!H$1),0),0)</f>
        <v>1148.3619586001225</v>
      </c>
      <c r="Q3041" s="29">
        <v>2000</v>
      </c>
      <c r="R3041" s="31">
        <v>45930</v>
      </c>
      <c r="S3041" s="31"/>
      <c r="T3041" s="95" t="str">
        <f t="shared" si="242"/>
        <v>2025 09</v>
      </c>
      <c r="U3041" s="32">
        <f t="shared" si="239"/>
        <v>851.63804139987747</v>
      </c>
      <c r="V3041" s="22">
        <f t="shared" si="240"/>
        <v>0.74161115754656504</v>
      </c>
      <c r="X3041" s="33"/>
      <c r="Y3041" s="33"/>
    </row>
    <row r="3042" spans="1:25" x14ac:dyDescent="0.2">
      <c r="A3042" s="93" t="s">
        <v>1641</v>
      </c>
      <c r="B3042" s="94" t="str">
        <f>IFERROR(VLOOKUP($A3042,HeadJournal!$A$1:$NTR$890,COLUMN(HeadJournal!B$1),0),"")</f>
        <v>720000150257</v>
      </c>
      <c r="C3042" s="94" t="str">
        <f>IFERROR(VLOOKUP($A3042,HeadJournal!$A$1:$NTR$890,COLUMN(HeadJournal!C$1),0),"")</f>
        <v>iHerb_AV CYG0792</v>
      </c>
      <c r="D3042" s="125" t="str">
        <f>IFERROR(VLOOKUP($A3042,HeadJournal!$A$1:$NTR$890,COLUMN(HeadJournal!D$1),0),"")</f>
        <v>Доставлен</v>
      </c>
      <c r="E3042" s="95">
        <f>IFERROR(VLOOKUP($A3042,HeadJournal!$A$1:$NTR$890,COLUMN(HeadJournal!G$1),0),"")</f>
        <v>45350</v>
      </c>
      <c r="F3042" s="95" t="str">
        <f t="shared" si="241"/>
        <v>2024 02</v>
      </c>
      <c r="G3042" s="96" t="s">
        <v>5</v>
      </c>
      <c r="H3042" s="161" t="s">
        <v>2488</v>
      </c>
      <c r="I3042" s="97" t="s">
        <v>2005</v>
      </c>
      <c r="J3042" s="97" t="s">
        <v>2489</v>
      </c>
      <c r="K3042" s="29">
        <v>19.86</v>
      </c>
      <c r="L3042" s="29">
        <v>-3.97</v>
      </c>
      <c r="M3042" s="30">
        <f>IFERROR(VLOOKUP($A3042,HeadJournal!$A$1:$J$890,COLUMN(HeadJournal!I$1),0)*($K3042+$L3042)/(SUMIF($A:$A,$A3042,$K:$K)+SUMIF($A:$A,$A3042,$L:$L)),0)</f>
        <v>-1.3087194105780193</v>
      </c>
      <c r="N3042" s="30">
        <f>IFERROR((VLOOKUP($A3042,HeadJournal!$A$1:$K$890,COLUMN(HeadJournal!K$1),0)-VLOOKUP($A3042,HeadJournal!$A$1:$K$890,COLUMN(HeadJournal!J$1),0))*($K3042+$L3042)/(SUMIF($A:$A,$A3042,$K:$K)+SUMIF($A:$A,$A3042,$L:$L)),0)</f>
        <v>-1.9806199581138476E-15</v>
      </c>
      <c r="O3042" s="30">
        <f>IFERROR((VLOOKUP($A3042,HeadJournal!$A$1:$L$890,COLUMN(HeadJournal!L$1),0)*($K3042+$L3042)/(SUMIF($A:$A,$A3042,$K:$K)+SUMIF($A:$A,$A3042,$L:$L)))/VLOOKUP($A3042,HeadJournal!$A$1:$L$890,COLUMN(HeadJournal!H$1),0),0)</f>
        <v>0.76273494834810518</v>
      </c>
      <c r="P3042" s="30">
        <f>IFERROR(SUM(K3042:O3042)*VLOOKUP($A3042,HeadJournal!$A$1:$L$890,COLUMN(HeadJournal!H$1),0),0)</f>
        <v>1602.0607130953422</v>
      </c>
      <c r="Q3042" s="29">
        <v>2300</v>
      </c>
      <c r="R3042" s="31">
        <v>45456</v>
      </c>
      <c r="S3042" s="31" t="s">
        <v>3121</v>
      </c>
      <c r="T3042" s="95" t="str">
        <f t="shared" si="242"/>
        <v>2024 06</v>
      </c>
      <c r="U3042" s="32">
        <f t="shared" si="239"/>
        <v>697.93928690465782</v>
      </c>
      <c r="V3042" s="22">
        <f t="shared" si="240"/>
        <v>0.43565095954208194</v>
      </c>
      <c r="X3042" s="33"/>
      <c r="Y3042" s="33"/>
    </row>
    <row r="3043" spans="1:25" x14ac:dyDescent="0.2">
      <c r="A3043" s="93" t="s">
        <v>1641</v>
      </c>
      <c r="B3043" s="94" t="str">
        <f>IFERROR(VLOOKUP($A3043,HeadJournal!$A$1:$NTR$890,COLUMN(HeadJournal!B$1),0),"")</f>
        <v>720000150257</v>
      </c>
      <c r="C3043" s="94" t="str">
        <f>IFERROR(VLOOKUP($A3043,HeadJournal!$A$1:$NTR$890,COLUMN(HeadJournal!C$1),0),"")</f>
        <v>iHerb_AV CYG0792</v>
      </c>
      <c r="D3043" s="125" t="str">
        <f>IFERROR(VLOOKUP($A3043,HeadJournal!$A$1:$NTR$890,COLUMN(HeadJournal!D$1),0),"")</f>
        <v>Доставлен</v>
      </c>
      <c r="E3043" s="95">
        <f>IFERROR(VLOOKUP($A3043,HeadJournal!$A$1:$NTR$890,COLUMN(HeadJournal!G$1),0),"")</f>
        <v>45350</v>
      </c>
      <c r="F3043" s="95" t="str">
        <f t="shared" si="241"/>
        <v>2024 02</v>
      </c>
      <c r="G3043" s="96" t="s">
        <v>5</v>
      </c>
      <c r="H3043" s="161" t="s">
        <v>2488</v>
      </c>
      <c r="I3043" s="97" t="s">
        <v>2005</v>
      </c>
      <c r="J3043" s="97" t="s">
        <v>2489</v>
      </c>
      <c r="K3043" s="29">
        <v>19.86</v>
      </c>
      <c r="L3043" s="29">
        <v>-3.97</v>
      </c>
      <c r="M3043" s="30">
        <f>IFERROR(VLOOKUP($A3043,HeadJournal!$A$1:$J$890,COLUMN(HeadJournal!I$1),0)*($K3043+$L3043)/(SUMIF($A:$A,$A3043,$K:$K)+SUMIF($A:$A,$A3043,$L:$L)),0)</f>
        <v>-1.3087194105780193</v>
      </c>
      <c r="N3043" s="30">
        <f>IFERROR((VLOOKUP($A3043,HeadJournal!$A$1:$K$890,COLUMN(HeadJournal!K$1),0)-VLOOKUP($A3043,HeadJournal!$A$1:$K$890,COLUMN(HeadJournal!J$1),0))*($K3043+$L3043)/(SUMIF($A:$A,$A3043,$K:$K)+SUMIF($A:$A,$A3043,$L:$L)),0)</f>
        <v>-1.9806199581138476E-15</v>
      </c>
      <c r="O3043" s="30">
        <f>IFERROR((VLOOKUP($A3043,HeadJournal!$A$1:$L$890,COLUMN(HeadJournal!L$1),0)*($K3043+$L3043)/(SUMIF($A:$A,$A3043,$K:$K)+SUMIF($A:$A,$A3043,$L:$L)))/VLOOKUP($A3043,HeadJournal!$A$1:$L$890,COLUMN(HeadJournal!H$1),0),0)</f>
        <v>0.76273494834810518</v>
      </c>
      <c r="P3043" s="30">
        <f>IFERROR(SUM(K3043:O3043)*VLOOKUP($A3043,HeadJournal!$A$1:$L$890,COLUMN(HeadJournal!H$1),0),0)</f>
        <v>1602.0607130953422</v>
      </c>
      <c r="Q3043" s="29">
        <v>2400</v>
      </c>
      <c r="R3043" s="31">
        <v>45456</v>
      </c>
      <c r="S3043" s="31" t="s">
        <v>3121</v>
      </c>
      <c r="T3043" s="95" t="str">
        <f t="shared" si="242"/>
        <v>2024 06</v>
      </c>
      <c r="U3043" s="32">
        <f t="shared" si="239"/>
        <v>797.93928690465782</v>
      </c>
      <c r="V3043" s="22">
        <f t="shared" si="240"/>
        <v>0.49807056647869419</v>
      </c>
      <c r="X3043" s="33"/>
      <c r="Y3043" s="33"/>
    </row>
    <row r="3044" spans="1:25" x14ac:dyDescent="0.2">
      <c r="A3044" s="93" t="s">
        <v>1641</v>
      </c>
      <c r="B3044" s="94" t="str">
        <f>IFERROR(VLOOKUP($A3044,HeadJournal!$A$1:$NTR$890,COLUMN(HeadJournal!B$1),0),"")</f>
        <v>720000150257</v>
      </c>
      <c r="C3044" s="94" t="str">
        <f>IFERROR(VLOOKUP($A3044,HeadJournal!$A$1:$NTR$890,COLUMN(HeadJournal!C$1),0),"")</f>
        <v>iHerb_AV CYG0792</v>
      </c>
      <c r="D3044" s="125" t="str">
        <f>IFERROR(VLOOKUP($A3044,HeadJournal!$A$1:$NTR$890,COLUMN(HeadJournal!D$1),0),"")</f>
        <v>Доставлен</v>
      </c>
      <c r="E3044" s="95">
        <f>IFERROR(VLOOKUP($A3044,HeadJournal!$A$1:$NTR$890,COLUMN(HeadJournal!G$1),0),"")</f>
        <v>45350</v>
      </c>
      <c r="F3044" s="95" t="str">
        <f t="shared" si="241"/>
        <v>2024 02</v>
      </c>
      <c r="G3044" s="96" t="s">
        <v>6</v>
      </c>
      <c r="H3044" s="161" t="str">
        <f>RIGHT(Journal!$J3044,9)</f>
        <v>NOW-00011</v>
      </c>
      <c r="I3044" s="97" t="str">
        <f t="shared" si="243"/>
        <v>NOW Foods</v>
      </c>
      <c r="J3044" s="97" t="s">
        <v>1647</v>
      </c>
      <c r="K3044" s="29">
        <v>13.97</v>
      </c>
      <c r="L3044" s="29">
        <v>-2.79</v>
      </c>
      <c r="M3044" s="30">
        <f>IFERROR(VLOOKUP($A3044,HeadJournal!$A$1:$J$890,COLUMN(HeadJournal!I$1),0)*($K3044+$L3044)/(SUMIF($A:$A,$A3044,$K:$K)+SUMIF($A:$A,$A3044,$L:$L)),0)</f>
        <v>-0.92079817559863164</v>
      </c>
      <c r="N3044" s="30">
        <f>IFERROR((VLOOKUP($A3044,HeadJournal!$A$1:$K$890,COLUMN(HeadJournal!K$1),0)-VLOOKUP($A3044,HeadJournal!$A$1:$K$890,COLUMN(HeadJournal!J$1),0))*($K3044+$L3044)/(SUMIF($A:$A,$A3044,$K:$K)+SUMIF($A:$A,$A3044,$L:$L)),0)</f>
        <v>-1.3935387748088621E-15</v>
      </c>
      <c r="O3044" s="30">
        <f>IFERROR((VLOOKUP($A3044,HeadJournal!$A$1:$L$890,COLUMN(HeadJournal!L$1),0)*($K3044+$L3044)/(SUMIF($A:$A,$A3044,$K:$K)+SUMIF($A:$A,$A3044,$L:$L)))/VLOOKUP($A3044,HeadJournal!$A$1:$L$890,COLUMN(HeadJournal!H$1),0),0)</f>
        <v>0.53665051746581593</v>
      </c>
      <c r="P3044" s="30">
        <f>IFERROR(SUM(K3044:O3044)*VLOOKUP($A3044,HeadJournal!$A$1:$L$890,COLUMN(HeadJournal!H$1),0),0)</f>
        <v>1127.1893500570122</v>
      </c>
      <c r="Q3044" s="29">
        <v>1900</v>
      </c>
      <c r="R3044" s="31">
        <v>46003</v>
      </c>
      <c r="S3044" s="31"/>
      <c r="T3044" s="95" t="str">
        <f t="shared" si="242"/>
        <v>2025 12</v>
      </c>
      <c r="U3044" s="32">
        <f t="shared" si="239"/>
        <v>772.81064994298777</v>
      </c>
      <c r="V3044" s="22">
        <f t="shared" si="240"/>
        <v>0.68560854474352484</v>
      </c>
      <c r="X3044" s="33"/>
      <c r="Y3044" s="33"/>
    </row>
    <row r="3045" spans="1:25" x14ac:dyDescent="0.2">
      <c r="A3045" s="93" t="s">
        <v>1641</v>
      </c>
      <c r="B3045" s="94" t="str">
        <f>IFERROR(VLOOKUP($A3045,HeadJournal!$A$1:$NTR$890,COLUMN(HeadJournal!B$1),0),"")</f>
        <v>720000150257</v>
      </c>
      <c r="C3045" s="94" t="str">
        <f>IFERROR(VLOOKUP($A3045,HeadJournal!$A$1:$NTR$890,COLUMN(HeadJournal!C$1),0),"")</f>
        <v>iHerb_AV CYG0792</v>
      </c>
      <c r="D3045" s="125" t="str">
        <f>IFERROR(VLOOKUP($A3045,HeadJournal!$A$1:$NTR$890,COLUMN(HeadJournal!D$1),0),"")</f>
        <v>Доставлен</v>
      </c>
      <c r="E3045" s="95">
        <f>IFERROR(VLOOKUP($A3045,HeadJournal!$A$1:$NTR$890,COLUMN(HeadJournal!G$1),0),"")</f>
        <v>45350</v>
      </c>
      <c r="F3045" s="95" t="str">
        <f t="shared" si="241"/>
        <v>2024 02</v>
      </c>
      <c r="G3045" s="96" t="s">
        <v>5</v>
      </c>
      <c r="H3045" s="161" t="s">
        <v>2060</v>
      </c>
      <c r="I3045" s="97" t="s">
        <v>2007</v>
      </c>
      <c r="J3045" s="97" t="s">
        <v>2061</v>
      </c>
      <c r="K3045" s="29">
        <v>31.91</v>
      </c>
      <c r="L3045" s="29">
        <v>-9.57</v>
      </c>
      <c r="M3045" s="30">
        <f>IFERROR(VLOOKUP($A3045,HeadJournal!$A$1:$J$890,COLUMN(HeadJournal!I$1),0)*($K3045+$L3045)/(SUMIF($A:$A,$A3045,$K:$K)+SUMIF($A:$A,$A3045,$L:$L)),0)</f>
        <v>-1.8399491272695376</v>
      </c>
      <c r="N3045" s="30">
        <f>IFERROR((VLOOKUP($A3045,HeadJournal!$A$1:$K$890,COLUMN(HeadJournal!K$1),0)-VLOOKUP($A3045,HeadJournal!$A$1:$K$890,COLUMN(HeadJournal!J$1),0))*($K3045+$L3045)/(SUMIF($A:$A,$A3045,$K:$K)+SUMIF($A:$A,$A3045,$L:$L)),0)</f>
        <v>-2.7845846358881914E-15</v>
      </c>
      <c r="O3045" s="30">
        <f>IFERROR((VLOOKUP($A3045,HeadJournal!$A$1:$L$890,COLUMN(HeadJournal!L$1),0)*($K3045+$L3045)/(SUMIF($A:$A,$A3045,$K:$K)+SUMIF($A:$A,$A3045,$L:$L)))/VLOOKUP($A3045,HeadJournal!$A$1:$L$890,COLUMN(HeadJournal!H$1),0),0)</f>
        <v>1.0723410161168452</v>
      </c>
      <c r="P3045" s="30">
        <f>IFERROR(SUM(K3045:O3045)*VLOOKUP($A3045,HeadJournal!$A$1:$L$890,COLUMN(HeadJournal!H$1),0),0)</f>
        <v>2252.3622612051568</v>
      </c>
      <c r="Q3045" s="29">
        <v>2252.36</v>
      </c>
      <c r="R3045" s="31">
        <v>45351</v>
      </c>
      <c r="S3045" s="31" t="s">
        <v>3121</v>
      </c>
      <c r="T3045" s="95" t="str">
        <f t="shared" si="242"/>
        <v>2024 02</v>
      </c>
      <c r="U3045" s="32">
        <f t="shared" si="239"/>
        <v>-2.2612051566284208E-3</v>
      </c>
      <c r="V3045" s="22">
        <f t="shared" si="240"/>
        <v>-1.003926053803855E-6</v>
      </c>
      <c r="X3045" s="33"/>
      <c r="Y3045" s="33"/>
    </row>
    <row r="3046" spans="1:25" x14ac:dyDescent="0.2">
      <c r="A3046" s="93" t="s">
        <v>1641</v>
      </c>
      <c r="B3046" s="94" t="str">
        <f>IFERROR(VLOOKUP($A3046,HeadJournal!$A$1:$NTR$890,COLUMN(HeadJournal!B$1),0),"")</f>
        <v>720000150257</v>
      </c>
      <c r="C3046" s="94" t="str">
        <f>IFERROR(VLOOKUP($A3046,HeadJournal!$A$1:$NTR$890,COLUMN(HeadJournal!C$1),0),"")</f>
        <v>iHerb_AV CYG0792</v>
      </c>
      <c r="D3046" s="125" t="str">
        <f>IFERROR(VLOOKUP($A3046,HeadJournal!$A$1:$NTR$890,COLUMN(HeadJournal!D$1),0),"")</f>
        <v>Доставлен</v>
      </c>
      <c r="E3046" s="95">
        <f>IFERROR(VLOOKUP($A3046,HeadJournal!$A$1:$NTR$890,COLUMN(HeadJournal!G$1),0),"")</f>
        <v>45350</v>
      </c>
      <c r="F3046" s="95" t="str">
        <f t="shared" si="241"/>
        <v>2024 02</v>
      </c>
      <c r="G3046" s="96" t="s">
        <v>5</v>
      </c>
      <c r="H3046" s="161" t="s">
        <v>2014</v>
      </c>
      <c r="I3046" s="97" t="s">
        <v>2007</v>
      </c>
      <c r="J3046" s="97" t="s">
        <v>2015</v>
      </c>
      <c r="K3046" s="29">
        <v>31.91</v>
      </c>
      <c r="L3046" s="29">
        <v>-9.57</v>
      </c>
      <c r="M3046" s="30">
        <f>IFERROR(VLOOKUP($A3046,HeadJournal!$A$1:$J$890,COLUMN(HeadJournal!I$1),0)*($K3046+$L3046)/(SUMIF($A:$A,$A3046,$K:$K)+SUMIF($A:$A,$A3046,$L:$L)),0)</f>
        <v>-1.8399491272695376</v>
      </c>
      <c r="N3046" s="30">
        <f>IFERROR((VLOOKUP($A3046,HeadJournal!$A$1:$K$890,COLUMN(HeadJournal!K$1),0)-VLOOKUP($A3046,HeadJournal!$A$1:$K$890,COLUMN(HeadJournal!J$1),0))*($K3046+$L3046)/(SUMIF($A:$A,$A3046,$K:$K)+SUMIF($A:$A,$A3046,$L:$L)),0)</f>
        <v>-2.7845846358881914E-15</v>
      </c>
      <c r="O3046" s="30">
        <f>IFERROR((VLOOKUP($A3046,HeadJournal!$A$1:$L$890,COLUMN(HeadJournal!L$1),0)*($K3046+$L3046)/(SUMIF($A:$A,$A3046,$K:$K)+SUMIF($A:$A,$A3046,$L:$L)))/VLOOKUP($A3046,HeadJournal!$A$1:$L$890,COLUMN(HeadJournal!H$1),0),0)</f>
        <v>1.0723410161168452</v>
      </c>
      <c r="P3046" s="30">
        <f>IFERROR(SUM(K3046:O3046)*VLOOKUP($A3046,HeadJournal!$A$1:$L$890,COLUMN(HeadJournal!H$1),0),0)</f>
        <v>2252.3622612051568</v>
      </c>
      <c r="Q3046" s="29">
        <v>2252.36</v>
      </c>
      <c r="R3046" s="31">
        <v>45351</v>
      </c>
      <c r="S3046" s="31" t="s">
        <v>3121</v>
      </c>
      <c r="T3046" s="95" t="str">
        <f t="shared" si="242"/>
        <v>2024 02</v>
      </c>
      <c r="U3046" s="32">
        <f t="shared" si="239"/>
        <v>-2.2612051566284208E-3</v>
      </c>
      <c r="V3046" s="22">
        <f t="shared" si="240"/>
        <v>-1.003926053803855E-6</v>
      </c>
      <c r="X3046" s="33"/>
      <c r="Y3046" s="33"/>
    </row>
    <row r="3047" spans="1:25" x14ac:dyDescent="0.2">
      <c r="A3047" s="93" t="s">
        <v>1641</v>
      </c>
      <c r="B3047" s="94" t="str">
        <f>IFERROR(VLOOKUP($A3047,HeadJournal!$A$1:$NTR$890,COLUMN(HeadJournal!B$1),0),"")</f>
        <v>720000150257</v>
      </c>
      <c r="C3047" s="94" t="str">
        <f>IFERROR(VLOOKUP($A3047,HeadJournal!$A$1:$NTR$890,COLUMN(HeadJournal!C$1),0),"")</f>
        <v>iHerb_AV CYG0792</v>
      </c>
      <c r="D3047" s="125" t="str">
        <f>IFERROR(VLOOKUP($A3047,HeadJournal!$A$1:$NTR$890,COLUMN(HeadJournal!D$1),0),"")</f>
        <v>Доставлен</v>
      </c>
      <c r="E3047" s="95">
        <f>IFERROR(VLOOKUP($A3047,HeadJournal!$A$1:$NTR$890,COLUMN(HeadJournal!G$1),0),"")</f>
        <v>45350</v>
      </c>
      <c r="F3047" s="95" t="str">
        <f t="shared" si="241"/>
        <v>2024 02</v>
      </c>
      <c r="G3047" s="96" t="s">
        <v>5</v>
      </c>
      <c r="H3047" s="161" t="s">
        <v>2146</v>
      </c>
      <c r="I3047" s="97" t="s">
        <v>2147</v>
      </c>
      <c r="J3047" s="97" t="s">
        <v>2148</v>
      </c>
      <c r="K3047" s="29">
        <v>29.93</v>
      </c>
      <c r="L3047" s="29">
        <v>-14.95</v>
      </c>
      <c r="M3047" s="30">
        <f>IFERROR(VLOOKUP($A3047,HeadJournal!$A$1:$J$890,COLUMN(HeadJournal!I$1),0)*($K3047+$L3047)/(SUMIF($A:$A,$A3047,$K:$K)+SUMIF($A:$A,$A3047,$L:$L)),0)</f>
        <v>-1.2337707218665028</v>
      </c>
      <c r="N3047" s="30">
        <f>IFERROR((VLOOKUP($A3047,HeadJournal!$A$1:$K$890,COLUMN(HeadJournal!K$1),0)-VLOOKUP($A3047,HeadJournal!$A$1:$K$890,COLUMN(HeadJournal!J$1),0))*($K3047+$L3047)/(SUMIF($A:$A,$A3047,$K:$K)+SUMIF($A:$A,$A3047,$L:$L)),0)</f>
        <v>-1.8671923834201035E-15</v>
      </c>
      <c r="O3047" s="30">
        <f>IFERROR((VLOOKUP($A3047,HeadJournal!$A$1:$L$890,COLUMN(HeadJournal!L$1),0)*($K3047+$L3047)/(SUMIF($A:$A,$A3047,$K:$K)+SUMIF($A:$A,$A3047,$L:$L)))/VLOOKUP($A3047,HeadJournal!$A$1:$L$890,COLUMN(HeadJournal!H$1),0),0)</f>
        <v>0.71905409227530626</v>
      </c>
      <c r="P3047" s="30">
        <f>IFERROR(SUM(K3047:O3047)*VLOOKUP($A3047,HeadJournal!$A$1:$L$890,COLUMN(HeadJournal!H$1),0),0)</f>
        <v>1510.3127427418647</v>
      </c>
      <c r="Q3047" s="29">
        <v>3500</v>
      </c>
      <c r="R3047" s="31">
        <v>45523</v>
      </c>
      <c r="S3047" s="31" t="s">
        <v>3121</v>
      </c>
      <c r="T3047" s="95" t="str">
        <f t="shared" si="242"/>
        <v>2024 08</v>
      </c>
      <c r="U3047" s="32">
        <f t="shared" si="239"/>
        <v>1989.6872572581353</v>
      </c>
      <c r="V3047" s="22">
        <f t="shared" si="240"/>
        <v>1.3174008276232911</v>
      </c>
      <c r="X3047" s="33"/>
      <c r="Y3047" s="33"/>
    </row>
    <row r="3048" spans="1:25" x14ac:dyDescent="0.2">
      <c r="A3048" s="93" t="s">
        <v>1648</v>
      </c>
      <c r="B3048" s="94" t="str">
        <f>IFERROR(VLOOKUP($A3048,HeadJournal!$A$1:$NTR$890,COLUMN(HeadJournal!B$1),0),"")</f>
        <v>720000144380</v>
      </c>
      <c r="C3048" s="94" t="str">
        <f>IFERROR(VLOOKUP($A3048,HeadJournal!$A$1:$NTR$890,COLUMN(HeadJournal!C$1),0),"")</f>
        <v>iHerb_OA CZN6870</v>
      </c>
      <c r="D3048" s="125" t="str">
        <f>IFERROR(VLOOKUP($A3048,HeadJournal!$A$1:$NTR$890,COLUMN(HeadJournal!D$1),0),"")</f>
        <v>Доставлен</v>
      </c>
      <c r="E3048" s="95">
        <f>IFERROR(VLOOKUP($A3048,HeadJournal!$A$1:$NTR$890,COLUMN(HeadJournal!G$1),0),"")</f>
        <v>45346</v>
      </c>
      <c r="F3048" s="95" t="str">
        <f t="shared" si="241"/>
        <v>2024 02</v>
      </c>
      <c r="G3048" s="96" t="s">
        <v>5</v>
      </c>
      <c r="H3048" s="161" t="s">
        <v>2174</v>
      </c>
      <c r="I3048" s="97" t="s">
        <v>2005</v>
      </c>
      <c r="J3048" s="97" t="s">
        <v>2175</v>
      </c>
      <c r="K3048" s="29">
        <v>6.17</v>
      </c>
      <c r="L3048" s="29">
        <v>-0.62</v>
      </c>
      <c r="M3048" s="30">
        <f>IFERROR(VLOOKUP($A3048,HeadJournal!$A$1:$J$890,COLUMN(HeadJournal!I$1),0)*($K3048+$L3048)/(SUMIF($A:$A,$A3048,$K:$K)+SUMIF($A:$A,$A3048,$L:$L)),0)</f>
        <v>-0.64005868880618388</v>
      </c>
      <c r="N3048" s="30">
        <f>IFERROR((VLOOKUP($A3048,HeadJournal!$A$1:$K$890,COLUMN(HeadJournal!K$1),0)-VLOOKUP($A3048,HeadJournal!$A$1:$K$890,COLUMN(HeadJournal!J$1),0))*($K3048+$L3048)/(SUMIF($A:$A,$A3048,$K:$K)+SUMIF($A:$A,$A3048,$L:$L)),0)</f>
        <v>-7.526504787610565E-16</v>
      </c>
      <c r="O3048" s="30">
        <f>IFERROR((VLOOKUP($A3048,HeadJournal!$A$1:$L$890,COLUMN(HeadJournal!L$1),0)*($K3048+$L3048)/(SUMIF($A:$A,$A3048,$K:$K)+SUMIF($A:$A,$A3048,$L:$L)))/VLOOKUP($A3048,HeadJournal!$A$1:$L$890,COLUMN(HeadJournal!H$1),0),0)</f>
        <v>0.29466398338018962</v>
      </c>
      <c r="P3048" s="30">
        <f>IFERROR(SUM(K3048:O3048)*VLOOKUP($A3048,HeadJournal!$A$1:$L$890,COLUMN(HeadJournal!H$1),0),0)</f>
        <v>534.52315344975648</v>
      </c>
      <c r="Q3048" s="29">
        <v>1200</v>
      </c>
      <c r="R3048" s="31">
        <v>45480</v>
      </c>
      <c r="S3048" s="31" t="s">
        <v>3121</v>
      </c>
      <c r="T3048" s="95" t="str">
        <f t="shared" si="242"/>
        <v>2024 07</v>
      </c>
      <c r="U3048" s="32">
        <f t="shared" si="239"/>
        <v>665.47684655024352</v>
      </c>
      <c r="V3048" s="22">
        <f t="shared" si="240"/>
        <v>1.2449916196432758</v>
      </c>
      <c r="X3048" s="33"/>
      <c r="Y3048" s="33"/>
    </row>
    <row r="3049" spans="1:25" x14ac:dyDescent="0.2">
      <c r="A3049" s="93" t="s">
        <v>1648</v>
      </c>
      <c r="B3049" s="94" t="str">
        <f>IFERROR(VLOOKUP($A3049,HeadJournal!$A$1:$NTR$890,COLUMN(HeadJournal!B$1),0),"")</f>
        <v>720000144380</v>
      </c>
      <c r="C3049" s="94" t="str">
        <f>IFERROR(VLOOKUP($A3049,HeadJournal!$A$1:$NTR$890,COLUMN(HeadJournal!C$1),0),"")</f>
        <v>iHerb_OA CZN6870</v>
      </c>
      <c r="D3049" s="125" t="str">
        <f>IFERROR(VLOOKUP($A3049,HeadJournal!$A$1:$NTR$890,COLUMN(HeadJournal!D$1),0),"")</f>
        <v>Доставлен</v>
      </c>
      <c r="E3049" s="95">
        <f>IFERROR(VLOOKUP($A3049,HeadJournal!$A$1:$NTR$890,COLUMN(HeadJournal!G$1),0),"")</f>
        <v>45346</v>
      </c>
      <c r="F3049" s="95" t="str">
        <f t="shared" si="241"/>
        <v>2024 02</v>
      </c>
      <c r="G3049" s="96" t="s">
        <v>5</v>
      </c>
      <c r="H3049" s="161" t="s">
        <v>2743</v>
      </c>
      <c r="I3049" s="97" t="s">
        <v>2052</v>
      </c>
      <c r="J3049" s="97" t="s">
        <v>2744</v>
      </c>
      <c r="K3049" s="29">
        <v>20.8</v>
      </c>
      <c r="L3049" s="29">
        <v>-6.24</v>
      </c>
      <c r="M3049" s="30">
        <f>IFERROR(VLOOKUP($A3049,HeadJournal!$A$1:$J$890,COLUMN(HeadJournal!I$1),0)*($K3049+$L3049)/(SUMIF($A:$A,$A3049,$K:$K)+SUMIF($A:$A,$A3049,$L:$L)),0)</f>
        <v>-1.6791449565798264</v>
      </c>
      <c r="N3049" s="30">
        <f>IFERROR((VLOOKUP($A3049,HeadJournal!$A$1:$K$890,COLUMN(HeadJournal!K$1),0)-VLOOKUP($A3049,HeadJournal!$A$1:$K$890,COLUMN(HeadJournal!J$1),0))*($K3049+$L3049)/(SUMIF($A:$A,$A3049,$K:$K)+SUMIF($A:$A,$A3049,$L:$L)),0)</f>
        <v>-1.9745208956326099E-15</v>
      </c>
      <c r="O3049" s="30">
        <f>IFERROR((VLOOKUP($A3049,HeadJournal!$A$1:$L$890,COLUMN(HeadJournal!L$1),0)*($K3049+$L3049)/(SUMIF($A:$A,$A3049,$K:$K)+SUMIF($A:$A,$A3049,$L:$L)))/VLOOKUP($A3049,HeadJournal!$A$1:$L$890,COLUMN(HeadJournal!H$1),0),0)</f>
        <v>0.77302839603883977</v>
      </c>
      <c r="P3049" s="30">
        <f>IFERROR(SUM(K3049:O3049)*VLOOKUP($A3049,HeadJournal!$A$1:$L$890,COLUMN(HeadJournal!H$1),0),0)</f>
        <v>1402.2805611222443</v>
      </c>
      <c r="Q3049" s="29">
        <v>2300</v>
      </c>
      <c r="R3049" s="31">
        <v>45456</v>
      </c>
      <c r="S3049" s="31" t="s">
        <v>3121</v>
      </c>
      <c r="T3049" s="95" t="str">
        <f t="shared" si="242"/>
        <v>2024 06</v>
      </c>
      <c r="U3049" s="32">
        <f t="shared" si="239"/>
        <v>897.71943887775569</v>
      </c>
      <c r="V3049" s="22">
        <f t="shared" si="240"/>
        <v>0.6401853265079217</v>
      </c>
      <c r="X3049" s="33"/>
      <c r="Y3049" s="33"/>
    </row>
    <row r="3050" spans="1:25" x14ac:dyDescent="0.2">
      <c r="A3050" s="93" t="s">
        <v>1648</v>
      </c>
      <c r="B3050" s="94" t="str">
        <f>IFERROR(VLOOKUP($A3050,HeadJournal!$A$1:$NTR$890,COLUMN(HeadJournal!B$1),0),"")</f>
        <v>720000144380</v>
      </c>
      <c r="C3050" s="94" t="str">
        <f>IFERROR(VLOOKUP($A3050,HeadJournal!$A$1:$NTR$890,COLUMN(HeadJournal!C$1),0),"")</f>
        <v>iHerb_OA CZN6870</v>
      </c>
      <c r="D3050" s="125" t="str">
        <f>IFERROR(VLOOKUP($A3050,HeadJournal!$A$1:$NTR$890,COLUMN(HeadJournal!D$1),0),"")</f>
        <v>Доставлен</v>
      </c>
      <c r="E3050" s="95">
        <f>IFERROR(VLOOKUP($A3050,HeadJournal!$A$1:$NTR$890,COLUMN(HeadJournal!G$1),0),"")</f>
        <v>45346</v>
      </c>
      <c r="F3050" s="95" t="str">
        <f t="shared" si="241"/>
        <v>2024 02</v>
      </c>
      <c r="G3050" s="96" t="s">
        <v>5</v>
      </c>
      <c r="H3050" s="161" t="s">
        <v>2745</v>
      </c>
      <c r="I3050" s="97" t="s">
        <v>2052</v>
      </c>
      <c r="J3050" s="97" t="s">
        <v>2746</v>
      </c>
      <c r="K3050" s="29">
        <v>27.95</v>
      </c>
      <c r="L3050" s="29">
        <v>-8.39</v>
      </c>
      <c r="M3050" s="30">
        <f>IFERROR(VLOOKUP($A3050,HeadJournal!$A$1:$J$890,COLUMN(HeadJournal!I$1),0)*($K3050+$L3050)/(SUMIF($A:$A,$A3050,$K:$K)+SUMIF($A:$A,$A3050,$L:$L)),0)</f>
        <v>-2.2557744059547664</v>
      </c>
      <c r="N3050" s="30">
        <f>IFERROR((VLOOKUP($A3050,HeadJournal!$A$1:$K$890,COLUMN(HeadJournal!K$1),0)-VLOOKUP($A3050,HeadJournal!$A$1:$K$890,COLUMN(HeadJournal!J$1),0))*($K3050+$L3050)/(SUMIF($A:$A,$A3050,$K:$K)+SUMIF($A:$A,$A3050,$L:$L)),0)</f>
        <v>-2.6525843900119396E-15</v>
      </c>
      <c r="O3050" s="30">
        <f>IFERROR((VLOOKUP($A3050,HeadJournal!$A$1:$L$890,COLUMN(HeadJournal!L$1),0)*($K3050+$L3050)/(SUMIF($A:$A,$A3050,$K:$K)+SUMIF($A:$A,$A3050,$L:$L)))/VLOOKUP($A3050,HeadJournal!$A$1:$L$890,COLUMN(HeadJournal!H$1),0),0)</f>
        <v>1.0384914441291007</v>
      </c>
      <c r="P3050" s="30">
        <f>IFERROR(SUM(K3050:O3050)*VLOOKUP($A3050,HeadJournal!$A$1:$L$890,COLUMN(HeadJournal!H$1),0),0)</f>
        <v>1883.8329516175202</v>
      </c>
      <c r="Q3050" s="29">
        <v>3300</v>
      </c>
      <c r="R3050" s="31">
        <v>45571</v>
      </c>
      <c r="S3050" s="31" t="s">
        <v>3121</v>
      </c>
      <c r="T3050" s="95" t="str">
        <f t="shared" si="242"/>
        <v>2024 10</v>
      </c>
      <c r="U3050" s="32">
        <f t="shared" si="239"/>
        <v>1416.1670483824798</v>
      </c>
      <c r="V3050" s="22">
        <f t="shared" si="240"/>
        <v>0.75174767867103753</v>
      </c>
      <c r="X3050" s="33"/>
      <c r="Y3050" s="33"/>
    </row>
    <row r="3051" spans="1:25" x14ac:dyDescent="0.2">
      <c r="A3051" s="93" t="s">
        <v>1648</v>
      </c>
      <c r="B3051" s="94" t="str">
        <f>IFERROR(VLOOKUP($A3051,HeadJournal!$A$1:$NTR$890,COLUMN(HeadJournal!B$1),0),"")</f>
        <v>720000144380</v>
      </c>
      <c r="C3051" s="94" t="str">
        <f>IFERROR(VLOOKUP($A3051,HeadJournal!$A$1:$NTR$890,COLUMN(HeadJournal!C$1),0),"")</f>
        <v>iHerb_OA CZN6870</v>
      </c>
      <c r="D3051" s="125" t="str">
        <f>IFERROR(VLOOKUP($A3051,HeadJournal!$A$1:$NTR$890,COLUMN(HeadJournal!D$1),0),"")</f>
        <v>Доставлен</v>
      </c>
      <c r="E3051" s="95">
        <f>IFERROR(VLOOKUP($A3051,HeadJournal!$A$1:$NTR$890,COLUMN(HeadJournal!G$1),0),"")</f>
        <v>45346</v>
      </c>
      <c r="F3051" s="95" t="str">
        <f t="shared" si="241"/>
        <v>2024 02</v>
      </c>
      <c r="G3051" s="96" t="s">
        <v>5</v>
      </c>
      <c r="H3051" s="161" t="s">
        <v>2624</v>
      </c>
      <c r="I3051" s="97" t="s">
        <v>2005</v>
      </c>
      <c r="J3051" s="97" t="s">
        <v>2625</v>
      </c>
      <c r="K3051" s="29">
        <v>21.41</v>
      </c>
      <c r="L3051" s="29">
        <v>-2.1420000000000003</v>
      </c>
      <c r="M3051" s="30">
        <f>IFERROR(VLOOKUP($A3051,HeadJournal!$A$1:$J$890,COLUMN(HeadJournal!I$1),0)*($K3051+$L3051)/(SUMIF($A:$A,$A3051,$K:$K)+SUMIF($A:$A,$A3051,$L:$L)),0)</f>
        <v>-2.2220992461112705</v>
      </c>
      <c r="N3051" s="30">
        <f>IFERROR((VLOOKUP($A3051,HeadJournal!$A$1:$K$890,COLUMN(HeadJournal!K$1),0)-VLOOKUP($A3051,HeadJournal!$A$1:$K$890,COLUMN(HeadJournal!J$1),0))*($K3051+$L3051)/(SUMIF($A:$A,$A3051,$K:$K)+SUMIF($A:$A,$A3051,$L:$L)),0)</f>
        <v>-2.6129854819401871E-15</v>
      </c>
      <c r="O3051" s="30">
        <f>IFERROR((VLOOKUP($A3051,HeadJournal!$A$1:$L$890,COLUMN(HeadJournal!L$1),0)*($K3051+$L3051)/(SUMIF($A:$A,$A3051,$K:$K)+SUMIF($A:$A,$A3051,$L:$L)))/VLOOKUP($A3051,HeadJournal!$A$1:$L$890,COLUMN(HeadJournal!H$1),0),0)</f>
        <v>1.0229884021206295</v>
      </c>
      <c r="P3051" s="30">
        <f>IFERROR(SUM(K3051:O3051)*VLOOKUP($A3051,HeadJournal!$A$1:$L$890,COLUMN(HeadJournal!H$1),0),0)</f>
        <v>1855.7102920125963</v>
      </c>
      <c r="Q3051" s="29">
        <v>3000</v>
      </c>
      <c r="R3051" s="31">
        <v>45388</v>
      </c>
      <c r="S3051" s="31" t="s">
        <v>3121</v>
      </c>
      <c r="T3051" s="95" t="str">
        <f t="shared" si="242"/>
        <v>2024 04</v>
      </c>
      <c r="U3051" s="32">
        <f t="shared" si="239"/>
        <v>1144.2897079874037</v>
      </c>
      <c r="V3051" s="22">
        <f t="shared" si="240"/>
        <v>0.61663165468914505</v>
      </c>
      <c r="X3051" s="33"/>
      <c r="Y3051" s="33"/>
    </row>
    <row r="3052" spans="1:25" x14ac:dyDescent="0.2">
      <c r="A3052" s="93" t="s">
        <v>1648</v>
      </c>
      <c r="B3052" s="94" t="str">
        <f>IFERROR(VLOOKUP($A3052,HeadJournal!$A$1:$NTR$890,COLUMN(HeadJournal!B$1),0),"")</f>
        <v>720000144380</v>
      </c>
      <c r="C3052" s="94" t="str">
        <f>IFERROR(VLOOKUP($A3052,HeadJournal!$A$1:$NTR$890,COLUMN(HeadJournal!C$1),0),"")</f>
        <v>iHerb_OA CZN6870</v>
      </c>
      <c r="D3052" s="125" t="str">
        <f>IFERROR(VLOOKUP($A3052,HeadJournal!$A$1:$NTR$890,COLUMN(HeadJournal!D$1),0),"")</f>
        <v>Доставлен</v>
      </c>
      <c r="E3052" s="95">
        <f>IFERROR(VLOOKUP($A3052,HeadJournal!$A$1:$NTR$890,COLUMN(HeadJournal!G$1),0),"")</f>
        <v>45346</v>
      </c>
      <c r="F3052" s="95" t="str">
        <f t="shared" si="241"/>
        <v>2024 02</v>
      </c>
      <c r="G3052" s="96" t="s">
        <v>5</v>
      </c>
      <c r="H3052" s="161" t="s">
        <v>2624</v>
      </c>
      <c r="I3052" s="97" t="s">
        <v>2005</v>
      </c>
      <c r="J3052" s="97" t="s">
        <v>2625</v>
      </c>
      <c r="K3052" s="29">
        <v>21.41</v>
      </c>
      <c r="L3052" s="29">
        <v>-2.1420000000000003</v>
      </c>
      <c r="M3052" s="30">
        <f>IFERROR(VLOOKUP($A3052,HeadJournal!$A$1:$J$890,COLUMN(HeadJournal!I$1),0)*($K3052+$L3052)/(SUMIF($A:$A,$A3052,$K:$K)+SUMIF($A:$A,$A3052,$L:$L)),0)</f>
        <v>-2.2220992461112705</v>
      </c>
      <c r="N3052" s="30">
        <f>IFERROR((VLOOKUP($A3052,HeadJournal!$A$1:$K$890,COLUMN(HeadJournal!K$1),0)-VLOOKUP($A3052,HeadJournal!$A$1:$K$890,COLUMN(HeadJournal!J$1),0))*($K3052+$L3052)/(SUMIF($A:$A,$A3052,$K:$K)+SUMIF($A:$A,$A3052,$L:$L)),0)</f>
        <v>-2.6129854819401871E-15</v>
      </c>
      <c r="O3052" s="30">
        <f>IFERROR((VLOOKUP($A3052,HeadJournal!$A$1:$L$890,COLUMN(HeadJournal!L$1),0)*($K3052+$L3052)/(SUMIF($A:$A,$A3052,$K:$K)+SUMIF($A:$A,$A3052,$L:$L)))/VLOOKUP($A3052,HeadJournal!$A$1:$L$890,COLUMN(HeadJournal!H$1),0),0)</f>
        <v>1.0229884021206295</v>
      </c>
      <c r="P3052" s="30">
        <f>IFERROR(SUM(K3052:O3052)*VLOOKUP($A3052,HeadJournal!$A$1:$L$890,COLUMN(HeadJournal!H$1),0),0)</f>
        <v>1855.7102920125963</v>
      </c>
      <c r="Q3052" s="29">
        <v>3000</v>
      </c>
      <c r="R3052" s="31">
        <v>45405</v>
      </c>
      <c r="S3052" s="31" t="s">
        <v>3121</v>
      </c>
      <c r="T3052" s="95" t="str">
        <f t="shared" si="242"/>
        <v>2024 04</v>
      </c>
      <c r="U3052" s="32">
        <f t="shared" si="239"/>
        <v>1144.2897079874037</v>
      </c>
      <c r="V3052" s="22">
        <f t="shared" si="240"/>
        <v>0.61663165468914505</v>
      </c>
      <c r="X3052" s="33"/>
      <c r="Y3052" s="33"/>
    </row>
    <row r="3053" spans="1:25" x14ac:dyDescent="0.2">
      <c r="A3053" s="93" t="s">
        <v>1648</v>
      </c>
      <c r="B3053" s="94" t="str">
        <f>IFERROR(VLOOKUP($A3053,HeadJournal!$A$1:$NTR$890,COLUMN(HeadJournal!B$1),0),"")</f>
        <v>720000144380</v>
      </c>
      <c r="C3053" s="94" t="str">
        <f>IFERROR(VLOOKUP($A3053,HeadJournal!$A$1:$NTR$890,COLUMN(HeadJournal!C$1),0),"")</f>
        <v>iHerb_OA CZN6870</v>
      </c>
      <c r="D3053" s="125" t="str">
        <f>IFERROR(VLOOKUP($A3053,HeadJournal!$A$1:$NTR$890,COLUMN(HeadJournal!D$1),0),"")</f>
        <v>Доставлен</v>
      </c>
      <c r="E3053" s="95">
        <f>IFERROR(VLOOKUP($A3053,HeadJournal!$A$1:$NTR$890,COLUMN(HeadJournal!G$1),0),"")</f>
        <v>45346</v>
      </c>
      <c r="F3053" s="95" t="str">
        <f t="shared" si="241"/>
        <v>2024 02</v>
      </c>
      <c r="G3053" s="96" t="s">
        <v>5</v>
      </c>
      <c r="H3053" s="161" t="s">
        <v>2624</v>
      </c>
      <c r="I3053" s="97" t="s">
        <v>2005</v>
      </c>
      <c r="J3053" s="97" t="s">
        <v>2625</v>
      </c>
      <c r="K3053" s="29">
        <v>21.41</v>
      </c>
      <c r="L3053" s="29">
        <v>-2.1420000000000003</v>
      </c>
      <c r="M3053" s="30">
        <f>IFERROR(VLOOKUP($A3053,HeadJournal!$A$1:$J$890,COLUMN(HeadJournal!I$1),0)*($K3053+$L3053)/(SUMIF($A:$A,$A3053,$K:$K)+SUMIF($A:$A,$A3053,$L:$L)),0)</f>
        <v>-2.2220992461112705</v>
      </c>
      <c r="N3053" s="30">
        <f>IFERROR((VLOOKUP($A3053,HeadJournal!$A$1:$K$890,COLUMN(HeadJournal!K$1),0)-VLOOKUP($A3053,HeadJournal!$A$1:$K$890,COLUMN(HeadJournal!J$1),0))*($K3053+$L3053)/(SUMIF($A:$A,$A3053,$K:$K)+SUMIF($A:$A,$A3053,$L:$L)),0)</f>
        <v>-2.6129854819401871E-15</v>
      </c>
      <c r="O3053" s="30">
        <f>IFERROR((VLOOKUP($A3053,HeadJournal!$A$1:$L$890,COLUMN(HeadJournal!L$1),0)*($K3053+$L3053)/(SUMIF($A:$A,$A3053,$K:$K)+SUMIF($A:$A,$A3053,$L:$L)))/VLOOKUP($A3053,HeadJournal!$A$1:$L$890,COLUMN(HeadJournal!H$1),0),0)</f>
        <v>1.0229884021206295</v>
      </c>
      <c r="P3053" s="30">
        <f>IFERROR(SUM(K3053:O3053)*VLOOKUP($A3053,HeadJournal!$A$1:$L$890,COLUMN(HeadJournal!H$1),0),0)</f>
        <v>1855.7102920125963</v>
      </c>
      <c r="Q3053" s="29">
        <v>2900</v>
      </c>
      <c r="R3053" s="31">
        <v>45456</v>
      </c>
      <c r="S3053" s="31" t="s">
        <v>3121</v>
      </c>
      <c r="T3053" s="95" t="str">
        <f t="shared" si="242"/>
        <v>2024 06</v>
      </c>
      <c r="U3053" s="32">
        <f t="shared" si="239"/>
        <v>1044.2897079874037</v>
      </c>
      <c r="V3053" s="22">
        <f t="shared" si="240"/>
        <v>0.56274393286617352</v>
      </c>
      <c r="X3053" s="33"/>
      <c r="Y3053" s="33"/>
    </row>
    <row r="3054" spans="1:25" x14ac:dyDescent="0.2">
      <c r="A3054" s="93" t="s">
        <v>1648</v>
      </c>
      <c r="B3054" s="94" t="str">
        <f>IFERROR(VLOOKUP($A3054,HeadJournal!$A$1:$NTR$890,COLUMN(HeadJournal!B$1),0),"")</f>
        <v>720000144380</v>
      </c>
      <c r="C3054" s="94" t="str">
        <f>IFERROR(VLOOKUP($A3054,HeadJournal!$A$1:$NTR$890,COLUMN(HeadJournal!C$1),0),"")</f>
        <v>iHerb_OA CZN6870</v>
      </c>
      <c r="D3054" s="125" t="str">
        <f>IFERROR(VLOOKUP($A3054,HeadJournal!$A$1:$NTR$890,COLUMN(HeadJournal!D$1),0),"")</f>
        <v>Доставлен</v>
      </c>
      <c r="E3054" s="95">
        <f>IFERROR(VLOOKUP($A3054,HeadJournal!$A$1:$NTR$890,COLUMN(HeadJournal!G$1),0),"")</f>
        <v>45346</v>
      </c>
      <c r="F3054" s="95" t="str">
        <f t="shared" si="241"/>
        <v>2024 02</v>
      </c>
      <c r="G3054" s="96" t="s">
        <v>5</v>
      </c>
      <c r="H3054" s="161" t="s">
        <v>2624</v>
      </c>
      <c r="I3054" s="97" t="s">
        <v>2005</v>
      </c>
      <c r="J3054" s="97" t="s">
        <v>2625</v>
      </c>
      <c r="K3054" s="29">
        <v>21.41</v>
      </c>
      <c r="L3054" s="29">
        <v>-2.1420000000000003</v>
      </c>
      <c r="M3054" s="30">
        <f>IFERROR(VLOOKUP($A3054,HeadJournal!$A$1:$J$890,COLUMN(HeadJournal!I$1),0)*($K3054+$L3054)/(SUMIF($A:$A,$A3054,$K:$K)+SUMIF($A:$A,$A3054,$L:$L)),0)</f>
        <v>-2.2220992461112705</v>
      </c>
      <c r="N3054" s="30">
        <f>IFERROR((VLOOKUP($A3054,HeadJournal!$A$1:$K$890,COLUMN(HeadJournal!K$1),0)-VLOOKUP($A3054,HeadJournal!$A$1:$K$890,COLUMN(HeadJournal!J$1),0))*($K3054+$L3054)/(SUMIF($A:$A,$A3054,$K:$K)+SUMIF($A:$A,$A3054,$L:$L)),0)</f>
        <v>-2.6129854819401871E-15</v>
      </c>
      <c r="O3054" s="30">
        <f>IFERROR((VLOOKUP($A3054,HeadJournal!$A$1:$L$890,COLUMN(HeadJournal!L$1),0)*($K3054+$L3054)/(SUMIF($A:$A,$A3054,$K:$K)+SUMIF($A:$A,$A3054,$L:$L)))/VLOOKUP($A3054,HeadJournal!$A$1:$L$890,COLUMN(HeadJournal!H$1),0),0)</f>
        <v>1.0229884021206295</v>
      </c>
      <c r="P3054" s="30">
        <f>IFERROR(SUM(K3054:O3054)*VLOOKUP($A3054,HeadJournal!$A$1:$L$890,COLUMN(HeadJournal!H$1),0),0)</f>
        <v>1855.7102920125963</v>
      </c>
      <c r="Q3054" s="29">
        <v>2900</v>
      </c>
      <c r="R3054" s="31">
        <v>45488</v>
      </c>
      <c r="S3054" s="31" t="s">
        <v>3121</v>
      </c>
      <c r="T3054" s="95" t="str">
        <f t="shared" si="242"/>
        <v>2024 07</v>
      </c>
      <c r="U3054" s="32">
        <f t="shared" si="239"/>
        <v>1044.2897079874037</v>
      </c>
      <c r="V3054" s="22">
        <f t="shared" si="240"/>
        <v>0.56274393286617352</v>
      </c>
      <c r="X3054" s="33"/>
      <c r="Y3054" s="33"/>
    </row>
    <row r="3055" spans="1:25" x14ac:dyDescent="0.2">
      <c r="A3055" s="93" t="s">
        <v>1648</v>
      </c>
      <c r="B3055" s="94" t="str">
        <f>IFERROR(VLOOKUP($A3055,HeadJournal!$A$1:$NTR$890,COLUMN(HeadJournal!B$1),0),"")</f>
        <v>720000144380</v>
      </c>
      <c r="C3055" s="94" t="str">
        <f>IFERROR(VLOOKUP($A3055,HeadJournal!$A$1:$NTR$890,COLUMN(HeadJournal!C$1),0),"")</f>
        <v>iHerb_OA CZN6870</v>
      </c>
      <c r="D3055" s="125" t="str">
        <f>IFERROR(VLOOKUP($A3055,HeadJournal!$A$1:$NTR$890,COLUMN(HeadJournal!D$1),0),"")</f>
        <v>Доставлен</v>
      </c>
      <c r="E3055" s="95">
        <f>IFERROR(VLOOKUP($A3055,HeadJournal!$A$1:$NTR$890,COLUMN(HeadJournal!G$1),0),"")</f>
        <v>45346</v>
      </c>
      <c r="F3055" s="95" t="str">
        <f t="shared" si="241"/>
        <v>2024 02</v>
      </c>
      <c r="G3055" s="96" t="s">
        <v>5</v>
      </c>
      <c r="H3055" s="161" t="s">
        <v>2624</v>
      </c>
      <c r="I3055" s="97" t="s">
        <v>2005</v>
      </c>
      <c r="J3055" s="97" t="s">
        <v>2625</v>
      </c>
      <c r="K3055" s="29">
        <v>21.41</v>
      </c>
      <c r="L3055" s="29">
        <v>-2.1420000000000003</v>
      </c>
      <c r="M3055" s="30">
        <f>IFERROR(VLOOKUP($A3055,HeadJournal!$A$1:$J$890,COLUMN(HeadJournal!I$1),0)*($K3055+$L3055)/(SUMIF($A:$A,$A3055,$K:$K)+SUMIF($A:$A,$A3055,$L:$L)),0)</f>
        <v>-2.2220992461112705</v>
      </c>
      <c r="N3055" s="30">
        <f>IFERROR((VLOOKUP($A3055,HeadJournal!$A$1:$K$890,COLUMN(HeadJournal!K$1),0)-VLOOKUP($A3055,HeadJournal!$A$1:$K$890,COLUMN(HeadJournal!J$1),0))*($K3055+$L3055)/(SUMIF($A:$A,$A3055,$K:$K)+SUMIF($A:$A,$A3055,$L:$L)),0)</f>
        <v>-2.6129854819401871E-15</v>
      </c>
      <c r="O3055" s="30">
        <f>IFERROR((VLOOKUP($A3055,HeadJournal!$A$1:$L$890,COLUMN(HeadJournal!L$1),0)*($K3055+$L3055)/(SUMIF($A:$A,$A3055,$K:$K)+SUMIF($A:$A,$A3055,$L:$L)))/VLOOKUP($A3055,HeadJournal!$A$1:$L$890,COLUMN(HeadJournal!H$1),0),0)</f>
        <v>1.0229884021206295</v>
      </c>
      <c r="P3055" s="30">
        <f>IFERROR(SUM(K3055:O3055)*VLOOKUP($A3055,HeadJournal!$A$1:$L$890,COLUMN(HeadJournal!H$1),0),0)</f>
        <v>1855.7102920125963</v>
      </c>
      <c r="Q3055" s="29">
        <v>2900</v>
      </c>
      <c r="R3055" s="31">
        <v>45499</v>
      </c>
      <c r="S3055" s="31" t="s">
        <v>3121</v>
      </c>
      <c r="T3055" s="95" t="str">
        <f t="shared" si="242"/>
        <v>2024 07</v>
      </c>
      <c r="U3055" s="32">
        <f t="shared" si="239"/>
        <v>1044.2897079874037</v>
      </c>
      <c r="V3055" s="22">
        <f t="shared" si="240"/>
        <v>0.56274393286617352</v>
      </c>
      <c r="X3055" s="33"/>
      <c r="Y3055" s="33"/>
    </row>
    <row r="3056" spans="1:25" x14ac:dyDescent="0.2">
      <c r="A3056" s="93" t="s">
        <v>1648</v>
      </c>
      <c r="B3056" s="94" t="str">
        <f>IFERROR(VLOOKUP($A3056,HeadJournal!$A$1:$NTR$890,COLUMN(HeadJournal!B$1),0),"")</f>
        <v>720000144380</v>
      </c>
      <c r="C3056" s="94" t="str">
        <f>IFERROR(VLOOKUP($A3056,HeadJournal!$A$1:$NTR$890,COLUMN(HeadJournal!C$1),0),"")</f>
        <v>iHerb_OA CZN6870</v>
      </c>
      <c r="D3056" s="125" t="str">
        <f>IFERROR(VLOOKUP($A3056,HeadJournal!$A$1:$NTR$890,COLUMN(HeadJournal!D$1),0),"")</f>
        <v>Доставлен</v>
      </c>
      <c r="E3056" s="95">
        <f>IFERROR(VLOOKUP($A3056,HeadJournal!$A$1:$NTR$890,COLUMN(HeadJournal!G$1),0),"")</f>
        <v>45346</v>
      </c>
      <c r="F3056" s="95" t="str">
        <f t="shared" si="241"/>
        <v>2024 02</v>
      </c>
      <c r="G3056" s="96" t="s">
        <v>5</v>
      </c>
      <c r="H3056" s="161" t="s">
        <v>2035</v>
      </c>
      <c r="I3056" s="97" t="s">
        <v>2036</v>
      </c>
      <c r="J3056" s="97" t="s">
        <v>2037</v>
      </c>
      <c r="K3056" s="29">
        <v>18.91</v>
      </c>
      <c r="L3056" s="29">
        <v>-3.78</v>
      </c>
      <c r="M3056" s="30">
        <f>IFERROR(VLOOKUP($A3056,HeadJournal!$A$1:$J$890,COLUMN(HeadJournal!I$1),0)*($K3056+$L3056)/(SUMIF($A:$A,$A3056,$K:$K)+SUMIF($A:$A,$A3056,$L:$L)),0)</f>
        <v>-1.7448807138085696</v>
      </c>
      <c r="N3056" s="30">
        <f>IFERROR((VLOOKUP($A3056,HeadJournal!$A$1:$K$890,COLUMN(HeadJournal!K$1),0)-VLOOKUP($A3056,HeadJournal!$A$1:$K$890,COLUMN(HeadJournal!J$1),0))*($K3056+$L3056)/(SUMIF($A:$A,$A3056,$K:$K)+SUMIF($A:$A,$A3056,$L:$L)),0)</f>
        <v>-2.0518201339918534E-15</v>
      </c>
      <c r="O3056" s="30">
        <f>IFERROR((VLOOKUP($A3056,HeadJournal!$A$1:$L$890,COLUMN(HeadJournal!L$1),0)*($K3056+$L3056)/(SUMIF($A:$A,$A3056,$K:$K)+SUMIF($A:$A,$A3056,$L:$L)))/VLOOKUP($A3056,HeadJournal!$A$1:$L$890,COLUMN(HeadJournal!H$1),0),0)</f>
        <v>0.80329118352112949</v>
      </c>
      <c r="P3056" s="30">
        <f>IFERROR(SUM(K3056:O3056)*VLOOKUP($A3056,HeadJournal!$A$1:$L$890,COLUMN(HeadJournal!H$1),0),0)</f>
        <v>1457.1775336387059</v>
      </c>
      <c r="Q3056" s="29">
        <v>2500</v>
      </c>
      <c r="R3056" s="31">
        <v>45509</v>
      </c>
      <c r="S3056" s="31" t="s">
        <v>3121</v>
      </c>
      <c r="T3056" s="95" t="str">
        <f t="shared" si="242"/>
        <v>2024 08</v>
      </c>
      <c r="U3056" s="32">
        <f t="shared" si="239"/>
        <v>1042.8224663612941</v>
      </c>
      <c r="V3056" s="22">
        <f t="shared" si="240"/>
        <v>0.71564544627398341</v>
      </c>
      <c r="X3056" s="33"/>
      <c r="Y3056" s="33"/>
    </row>
    <row r="3057" spans="1:25" x14ac:dyDescent="0.2">
      <c r="A3057" s="93" t="s">
        <v>1648</v>
      </c>
      <c r="B3057" s="94" t="str">
        <f>IFERROR(VLOOKUP($A3057,HeadJournal!$A$1:$NTR$890,COLUMN(HeadJournal!B$1),0),"")</f>
        <v>720000144380</v>
      </c>
      <c r="C3057" s="94" t="str">
        <f>IFERROR(VLOOKUP($A3057,HeadJournal!$A$1:$NTR$890,COLUMN(HeadJournal!C$1),0),"")</f>
        <v>iHerb_OA CZN6870</v>
      </c>
      <c r="D3057" s="125" t="str">
        <f>IFERROR(VLOOKUP($A3057,HeadJournal!$A$1:$NTR$890,COLUMN(HeadJournal!D$1),0),"")</f>
        <v>Доставлен</v>
      </c>
      <c r="E3057" s="95">
        <f>IFERROR(VLOOKUP($A3057,HeadJournal!$A$1:$NTR$890,COLUMN(HeadJournal!G$1),0),"")</f>
        <v>45346</v>
      </c>
      <c r="F3057" s="95" t="str">
        <f t="shared" si="241"/>
        <v>2024 02</v>
      </c>
      <c r="G3057" s="96" t="s">
        <v>5</v>
      </c>
      <c r="H3057" s="161" t="str">
        <f>RIGHT(Journal!$J3057,9)</f>
        <v>FBS-50070</v>
      </c>
      <c r="I3057" s="97" t="str">
        <f t="shared" si="243"/>
        <v>Futurebiotics</v>
      </c>
      <c r="J3057" s="97" t="s">
        <v>1088</v>
      </c>
      <c r="K3057" s="29">
        <v>15.86</v>
      </c>
      <c r="L3057" s="29">
        <v>-1.585</v>
      </c>
      <c r="M3057" s="30">
        <f>IFERROR(VLOOKUP($A3057,HeadJournal!$A$1:$J$890,COLUMN(HeadJournal!I$1),0)*($K3057+$L3057)/(SUMIF($A:$A,$A3057,$K:$K)+SUMIF($A:$A,$A3057,$L:$L)),0)</f>
        <v>-1.6462770779654545</v>
      </c>
      <c r="N3057" s="30">
        <f>IFERROR((VLOOKUP($A3057,HeadJournal!$A$1:$K$890,COLUMN(HeadJournal!K$1),0)-VLOOKUP($A3057,HeadJournal!$A$1:$K$890,COLUMN(HeadJournal!J$1),0))*($K3057+$L3057)/(SUMIF($A:$A,$A3057,$K:$K)+SUMIF($A:$A,$A3057,$L:$L)),0)</f>
        <v>-1.9358712764529877E-15</v>
      </c>
      <c r="O3057" s="30">
        <f>IFERROR((VLOOKUP($A3057,HeadJournal!$A$1:$L$890,COLUMN(HeadJournal!L$1),0)*($K3057+$L3057)/(SUMIF($A:$A,$A3057,$K:$K)+SUMIF($A:$A,$A3057,$L:$L)))/VLOOKUP($A3057,HeadJournal!$A$1:$L$890,COLUMN(HeadJournal!H$1),0),0)</f>
        <v>0.75789700229769474</v>
      </c>
      <c r="P3057" s="30">
        <f>IFERROR(SUM(K3057:O3057)*VLOOKUP($A3057,HeadJournal!$A$1:$L$890,COLUMN(HeadJournal!H$1),0),0)</f>
        <v>1374.8320748640135</v>
      </c>
      <c r="Q3057" s="29">
        <v>2300</v>
      </c>
      <c r="R3057" s="31">
        <v>45383</v>
      </c>
      <c r="S3057" s="31" t="s">
        <v>3121</v>
      </c>
      <c r="T3057" s="95" t="str">
        <f t="shared" si="242"/>
        <v>2024 04</v>
      </c>
      <c r="U3057" s="32">
        <f t="shared" si="239"/>
        <v>925.16792513598648</v>
      </c>
      <c r="V3057" s="22">
        <f t="shared" si="240"/>
        <v>0.67293158346447224</v>
      </c>
      <c r="X3057" s="33"/>
      <c r="Y3057" s="33"/>
    </row>
    <row r="3058" spans="1:25" x14ac:dyDescent="0.2">
      <c r="A3058" s="93" t="s">
        <v>1648</v>
      </c>
      <c r="B3058" s="94" t="str">
        <f>IFERROR(VLOOKUP($A3058,HeadJournal!$A$1:$NTR$890,COLUMN(HeadJournal!B$1),0),"")</f>
        <v>720000144380</v>
      </c>
      <c r="C3058" s="94" t="str">
        <f>IFERROR(VLOOKUP($A3058,HeadJournal!$A$1:$NTR$890,COLUMN(HeadJournal!C$1),0),"")</f>
        <v>iHerb_OA CZN6870</v>
      </c>
      <c r="D3058" s="125" t="str">
        <f>IFERROR(VLOOKUP($A3058,HeadJournal!$A$1:$NTR$890,COLUMN(HeadJournal!D$1),0),"")</f>
        <v>Доставлен</v>
      </c>
      <c r="E3058" s="95">
        <f>IFERROR(VLOOKUP($A3058,HeadJournal!$A$1:$NTR$890,COLUMN(HeadJournal!G$1),0),"")</f>
        <v>45346</v>
      </c>
      <c r="F3058" s="95" t="str">
        <f t="shared" si="241"/>
        <v>2024 02</v>
      </c>
      <c r="G3058" s="96" t="s">
        <v>5</v>
      </c>
      <c r="H3058" s="161" t="str">
        <f>RIGHT(Journal!$J3058,9)</f>
        <v>FBS-50070</v>
      </c>
      <c r="I3058" s="97" t="str">
        <f t="shared" si="243"/>
        <v>Futurebiotics</v>
      </c>
      <c r="J3058" s="97" t="s">
        <v>1088</v>
      </c>
      <c r="K3058" s="29">
        <v>15.86</v>
      </c>
      <c r="L3058" s="29">
        <v>-1.585</v>
      </c>
      <c r="M3058" s="30">
        <f>IFERROR(VLOOKUP($A3058,HeadJournal!$A$1:$J$890,COLUMN(HeadJournal!I$1),0)*($K3058+$L3058)/(SUMIF($A:$A,$A3058,$K:$K)+SUMIF($A:$A,$A3058,$L:$L)),0)</f>
        <v>-1.6462770779654545</v>
      </c>
      <c r="N3058" s="30">
        <f>IFERROR((VLOOKUP($A3058,HeadJournal!$A$1:$K$890,COLUMN(HeadJournal!K$1),0)-VLOOKUP($A3058,HeadJournal!$A$1:$K$890,COLUMN(HeadJournal!J$1),0))*($K3058+$L3058)/(SUMIF($A:$A,$A3058,$K:$K)+SUMIF($A:$A,$A3058,$L:$L)),0)</f>
        <v>-1.9358712764529877E-15</v>
      </c>
      <c r="O3058" s="30">
        <f>IFERROR((VLOOKUP($A3058,HeadJournal!$A$1:$L$890,COLUMN(HeadJournal!L$1),0)*($K3058+$L3058)/(SUMIF($A:$A,$A3058,$K:$K)+SUMIF($A:$A,$A3058,$L:$L)))/VLOOKUP($A3058,HeadJournal!$A$1:$L$890,COLUMN(HeadJournal!H$1),0),0)</f>
        <v>0.75789700229769474</v>
      </c>
      <c r="P3058" s="30">
        <f>IFERROR(SUM(K3058:O3058)*VLOOKUP($A3058,HeadJournal!$A$1:$L$890,COLUMN(HeadJournal!H$1),0),0)</f>
        <v>1374.8320748640135</v>
      </c>
      <c r="Q3058" s="29">
        <v>2300</v>
      </c>
      <c r="R3058" s="31">
        <v>45637</v>
      </c>
      <c r="S3058" s="31" t="s">
        <v>3121</v>
      </c>
      <c r="T3058" s="95" t="str">
        <f t="shared" si="242"/>
        <v>2024 12</v>
      </c>
      <c r="U3058" s="32">
        <f t="shared" si="239"/>
        <v>925.16792513598648</v>
      </c>
      <c r="V3058" s="22">
        <f t="shared" si="240"/>
        <v>0.67293158346447224</v>
      </c>
      <c r="X3058" s="33"/>
      <c r="Y3058" s="33"/>
    </row>
    <row r="3059" spans="1:25" x14ac:dyDescent="0.2">
      <c r="A3059" s="93" t="s">
        <v>1648</v>
      </c>
      <c r="B3059" s="94" t="str">
        <f>IFERROR(VLOOKUP($A3059,HeadJournal!$A$1:$NTR$890,COLUMN(HeadJournal!B$1),0),"")</f>
        <v>720000144380</v>
      </c>
      <c r="C3059" s="94" t="str">
        <f>IFERROR(VLOOKUP($A3059,HeadJournal!$A$1:$NTR$890,COLUMN(HeadJournal!C$1),0),"")</f>
        <v>iHerb_OA CZN6870</v>
      </c>
      <c r="D3059" s="125" t="str">
        <f>IFERROR(VLOOKUP($A3059,HeadJournal!$A$1:$NTR$890,COLUMN(HeadJournal!D$1),0),"")</f>
        <v>Доставлен</v>
      </c>
      <c r="E3059" s="95">
        <f>IFERROR(VLOOKUP($A3059,HeadJournal!$A$1:$NTR$890,COLUMN(HeadJournal!G$1),0),"")</f>
        <v>45346</v>
      </c>
      <c r="F3059" s="95" t="str">
        <f t="shared" si="241"/>
        <v>2024 02</v>
      </c>
      <c r="G3059" s="96" t="s">
        <v>5</v>
      </c>
      <c r="H3059" s="161" t="s">
        <v>2025</v>
      </c>
      <c r="I3059" s="97" t="s">
        <v>2008</v>
      </c>
      <c r="J3059" s="97" t="s">
        <v>2026</v>
      </c>
      <c r="K3059" s="29">
        <v>18.45</v>
      </c>
      <c r="L3059" s="29">
        <v>-1.85</v>
      </c>
      <c r="M3059" s="30">
        <f>IFERROR(VLOOKUP($A3059,HeadJournal!$A$1:$J$890,COLUMN(HeadJournal!I$1),0)*($K3059+$L3059)/(SUMIF($A:$A,$A3059,$K:$K)+SUMIF($A:$A,$A3059,$L:$L)),0)</f>
        <v>-1.9144097719248019</v>
      </c>
      <c r="N3059" s="30">
        <f>IFERROR((VLOOKUP($A3059,HeadJournal!$A$1:$K$890,COLUMN(HeadJournal!K$1),0)-VLOOKUP($A3059,HeadJournal!$A$1:$K$890,COLUMN(HeadJournal!J$1),0))*($K3059+$L3059)/(SUMIF($A:$A,$A3059,$K:$K)+SUMIF($A:$A,$A3059,$L:$L)),0)</f>
        <v>-2.2511708013393759E-15</v>
      </c>
      <c r="O3059" s="30">
        <f>IFERROR((VLOOKUP($A3059,HeadJournal!$A$1:$L$890,COLUMN(HeadJournal!L$1),0)*($K3059+$L3059)/(SUMIF($A:$A,$A3059,$K:$K)+SUMIF($A:$A,$A3059,$L:$L)))/VLOOKUP($A3059,HeadJournal!$A$1:$L$890,COLUMN(HeadJournal!H$1),0),0)</f>
        <v>0.881337319659666</v>
      </c>
      <c r="P3059" s="30">
        <f>IFERROR(SUM(K3059:O3059)*VLOOKUP($A3059,HeadJournal!$A$1:$L$890,COLUMN(HeadJournal!H$1),0),0)</f>
        <v>1598.7539364443169</v>
      </c>
      <c r="Q3059" s="29">
        <v>2300</v>
      </c>
      <c r="R3059" s="31">
        <v>45456</v>
      </c>
      <c r="S3059" s="31" t="s">
        <v>3121</v>
      </c>
      <c r="T3059" s="95" t="str">
        <f t="shared" si="242"/>
        <v>2024 06</v>
      </c>
      <c r="U3059" s="32">
        <f t="shared" si="239"/>
        <v>701.24606355568312</v>
      </c>
      <c r="V3059" s="22">
        <f t="shared" si="240"/>
        <v>0.4386203827683941</v>
      </c>
      <c r="X3059" s="33"/>
      <c r="Y3059" s="33"/>
    </row>
    <row r="3060" spans="1:25" x14ac:dyDescent="0.2">
      <c r="A3060" s="93" t="s">
        <v>1648</v>
      </c>
      <c r="B3060" s="94" t="str">
        <f>IFERROR(VLOOKUP($A3060,HeadJournal!$A$1:$NTR$890,COLUMN(HeadJournal!B$1),0),"")</f>
        <v>720000144380</v>
      </c>
      <c r="C3060" s="94" t="str">
        <f>IFERROR(VLOOKUP($A3060,HeadJournal!$A$1:$NTR$890,COLUMN(HeadJournal!C$1),0),"")</f>
        <v>iHerb_OA CZN6870</v>
      </c>
      <c r="D3060" s="125" t="str">
        <f>IFERROR(VLOOKUP($A3060,HeadJournal!$A$1:$NTR$890,COLUMN(HeadJournal!D$1),0),"")</f>
        <v>Доставлен</v>
      </c>
      <c r="E3060" s="95">
        <f>IFERROR(VLOOKUP($A3060,HeadJournal!$A$1:$NTR$890,COLUMN(HeadJournal!G$1),0),"")</f>
        <v>45346</v>
      </c>
      <c r="F3060" s="95" t="str">
        <f t="shared" si="241"/>
        <v>2024 02</v>
      </c>
      <c r="G3060" s="96" t="s">
        <v>5</v>
      </c>
      <c r="H3060" s="161" t="s">
        <v>3913</v>
      </c>
      <c r="I3060" s="97" t="s">
        <v>2581</v>
      </c>
      <c r="J3060" s="97" t="s">
        <v>3914</v>
      </c>
      <c r="K3060" s="29">
        <v>12.5</v>
      </c>
      <c r="L3060" s="29">
        <v>-7.51</v>
      </c>
      <c r="M3060" s="30">
        <f>IFERROR(VLOOKUP($A3060,HeadJournal!$A$1:$J$890,COLUMN(HeadJournal!I$1),0)*($K3060+$L3060)/(SUMIF($A:$A,$A3060,$K:$K)+SUMIF($A:$A,$A3060,$L:$L)),0)</f>
        <v>-0.57547619047619047</v>
      </c>
      <c r="N3060" s="30">
        <f>IFERROR((VLOOKUP($A3060,HeadJournal!$A$1:$K$890,COLUMN(HeadJournal!K$1),0)-VLOOKUP($A3060,HeadJournal!$A$1:$K$890,COLUMN(HeadJournal!J$1),0))*($K3060+$L3060)/(SUMIF($A:$A,$A3060,$K:$K)+SUMIF($A:$A,$A3060,$L:$L)),0)</f>
        <v>-6.7670736739057157E-16</v>
      </c>
      <c r="O3060" s="30">
        <f>IFERROR((VLOOKUP($A3060,HeadJournal!$A$1:$L$890,COLUMN(HeadJournal!L$1),0)*($K3060+$L3060)/(SUMIF($A:$A,$A3060,$K:$K)+SUMIF($A:$A,$A3060,$L:$L)))/VLOOKUP($A3060,HeadJournal!$A$1:$L$890,COLUMN(HeadJournal!H$1),0),0)</f>
        <v>0.26493212199408039</v>
      </c>
      <c r="P3060" s="30">
        <f>IFERROR(SUM(K3060:O3060)*VLOOKUP($A3060,HeadJournal!$A$1:$L$890,COLUMN(HeadJournal!H$1),0),0)</f>
        <v>480.58928571428567</v>
      </c>
      <c r="Q3060" s="29">
        <v>1800</v>
      </c>
      <c r="R3060" s="31">
        <v>45821</v>
      </c>
      <c r="S3060" s="31" t="s">
        <v>3121</v>
      </c>
      <c r="T3060" s="95" t="str">
        <f t="shared" si="242"/>
        <v>2025 06</v>
      </c>
      <c r="U3060" s="32">
        <f t="shared" si="239"/>
        <v>1319.4107142857142</v>
      </c>
      <c r="V3060" s="22">
        <f t="shared" si="240"/>
        <v>2.7454018504068669</v>
      </c>
      <c r="X3060" s="33"/>
      <c r="Y3060" s="33"/>
    </row>
    <row r="3061" spans="1:25" x14ac:dyDescent="0.2">
      <c r="A3061" s="93" t="s">
        <v>1648</v>
      </c>
      <c r="B3061" s="94" t="str">
        <f>IFERROR(VLOOKUP($A3061,HeadJournal!$A$1:$NTR$890,COLUMN(HeadJournal!B$1),0),"")</f>
        <v>720000144380</v>
      </c>
      <c r="C3061" s="94" t="str">
        <f>IFERROR(VLOOKUP($A3061,HeadJournal!$A$1:$NTR$890,COLUMN(HeadJournal!C$1),0),"")</f>
        <v>iHerb_OA CZN6870</v>
      </c>
      <c r="D3061" s="125" t="str">
        <f>IFERROR(VLOOKUP($A3061,HeadJournal!$A$1:$NTR$890,COLUMN(HeadJournal!D$1),0),"")</f>
        <v>Доставлен</v>
      </c>
      <c r="E3061" s="95">
        <f>IFERROR(VLOOKUP($A3061,HeadJournal!$A$1:$NTR$890,COLUMN(HeadJournal!G$1),0),"")</f>
        <v>45346</v>
      </c>
      <c r="F3061" s="95" t="str">
        <f t="shared" si="241"/>
        <v>2024 02</v>
      </c>
      <c r="G3061" s="96" t="s">
        <v>5</v>
      </c>
      <c r="H3061" s="161" t="str">
        <f>RIGHT(Journal!$J3061,9)</f>
        <v>NOW-04700</v>
      </c>
      <c r="I3061" s="97" t="str">
        <f t="shared" si="243"/>
        <v>NOW Foods</v>
      </c>
      <c r="J3061" s="97" t="s">
        <v>1650</v>
      </c>
      <c r="K3061" s="29">
        <v>9.2200000000000006</v>
      </c>
      <c r="L3061" s="29">
        <v>-0.92</v>
      </c>
      <c r="M3061" s="30">
        <f>IFERROR(VLOOKUP($A3061,HeadJournal!$A$1:$J$890,COLUMN(HeadJournal!I$1),0)*($K3061+$L3061)/(SUMIF($A:$A,$A3061,$K:$K)+SUMIF($A:$A,$A3061,$L:$L)),0)</f>
        <v>-0.95720488596240105</v>
      </c>
      <c r="N3061" s="30">
        <f>IFERROR((VLOOKUP($A3061,HeadJournal!$A$1:$K$890,COLUMN(HeadJournal!K$1),0)-VLOOKUP($A3061,HeadJournal!$A$1:$K$890,COLUMN(HeadJournal!J$1),0))*($K3061+$L3061)/(SUMIF($A:$A,$A3061,$K:$K)+SUMIF($A:$A,$A3061,$L:$L)),0)</f>
        <v>-1.1255854006696883E-15</v>
      </c>
      <c r="O3061" s="30">
        <f>IFERROR((VLOOKUP($A3061,HeadJournal!$A$1:$L$890,COLUMN(HeadJournal!L$1),0)*($K3061+$L3061)/(SUMIF($A:$A,$A3061,$K:$K)+SUMIF($A:$A,$A3061,$L:$L)))/VLOOKUP($A3061,HeadJournal!$A$1:$L$890,COLUMN(HeadJournal!H$1),0),0)</f>
        <v>0.44066865982983305</v>
      </c>
      <c r="P3061" s="30">
        <f>IFERROR(SUM(K3061:O3061)*VLOOKUP($A3061,HeadJournal!$A$1:$L$890,COLUMN(HeadJournal!H$1),0),0)</f>
        <v>799.37696822215855</v>
      </c>
      <c r="Q3061" s="29">
        <v>1700</v>
      </c>
      <c r="R3061" s="31">
        <v>45388</v>
      </c>
      <c r="S3061" s="31" t="s">
        <v>3121</v>
      </c>
      <c r="T3061" s="95" t="str">
        <f t="shared" si="242"/>
        <v>2024 04</v>
      </c>
      <c r="U3061" s="32">
        <f t="shared" si="239"/>
        <v>900.62303177784145</v>
      </c>
      <c r="V3061" s="22">
        <f t="shared" si="240"/>
        <v>1.1266562180054518</v>
      </c>
      <c r="X3061" s="33"/>
      <c r="Y3061" s="33"/>
    </row>
    <row r="3062" spans="1:25" x14ac:dyDescent="0.2">
      <c r="A3062" s="93" t="s">
        <v>1653</v>
      </c>
      <c r="B3062" s="94">
        <f>IFERROR(VLOOKUP($A3062,HeadJournal!$A$1:$NTR$890,COLUMN(HeadJournal!B$1),0),"")</f>
        <v>0</v>
      </c>
      <c r="C3062" s="94" t="str">
        <f>IFERROR(VLOOKUP($A3062,HeadJournal!$A$1:$NTR$890,COLUMN(HeadJournal!C$1),0),"")</f>
        <v>OZON_OA</v>
      </c>
      <c r="D3062" s="125" t="str">
        <f>IFERROR(VLOOKUP($A3062,HeadJournal!$A$1:$NTR$890,COLUMN(HeadJournal!D$1),0),"")</f>
        <v>Доставлен</v>
      </c>
      <c r="E3062" s="95">
        <f>IFERROR(VLOOKUP($A3062,HeadJournal!$A$1:$NTR$890,COLUMN(HeadJournal!G$1),0),"")</f>
        <v>45342</v>
      </c>
      <c r="F3062" s="95" t="str">
        <f t="shared" si="241"/>
        <v>2024 02</v>
      </c>
      <c r="G3062" s="96" t="s">
        <v>6</v>
      </c>
      <c r="H3062" s="161" t="s">
        <v>1950</v>
      </c>
      <c r="I3062" s="97" t="s">
        <v>560</v>
      </c>
      <c r="J3062" s="97" t="s">
        <v>1951</v>
      </c>
      <c r="K3062" s="29">
        <v>556</v>
      </c>
      <c r="L3062" s="29">
        <v>0</v>
      </c>
      <c r="M3062" s="30">
        <f>IFERROR(VLOOKUP($A3062,HeadJournal!$A$1:$J$890,COLUMN(HeadJournal!I$1),0)*($K3062+$L3062)/(SUMIF($A:$A,$A3062,$K:$K)+SUMIF($A:$A,$A3062,$L:$L)),0)</f>
        <v>0</v>
      </c>
      <c r="N3062" s="30">
        <f>IFERROR((VLOOKUP($A3062,HeadJournal!$A$1:$K$890,COLUMN(HeadJournal!K$1),0)-VLOOKUP($A3062,HeadJournal!$A$1:$K$890,COLUMN(HeadJournal!J$1),0))*($K3062+$L3062)/(SUMIF($A:$A,$A3062,$K:$K)+SUMIF($A:$A,$A3062,$L:$L)),0)</f>
        <v>0</v>
      </c>
      <c r="O3062" s="30">
        <f>IFERROR((VLOOKUP($A3062,HeadJournal!$A$1:$L$890,COLUMN(HeadJournal!L$1),0)*($K3062+$L3062)/(SUMIF($A:$A,$A3062,$K:$K)+SUMIF($A:$A,$A3062,$L:$L)))/VLOOKUP($A3062,HeadJournal!$A$1:$L$890,COLUMN(HeadJournal!H$1),0),0)</f>
        <v>0</v>
      </c>
      <c r="P3062" s="30">
        <f>IFERROR(SUM(K3062:O3062)*VLOOKUP($A3062,HeadJournal!$A$1:$L$890,COLUMN(HeadJournal!H$1),0),0)</f>
        <v>556</v>
      </c>
      <c r="Q3062" s="29">
        <v>1700</v>
      </c>
      <c r="R3062" s="31">
        <v>45369</v>
      </c>
      <c r="S3062" s="31" t="s">
        <v>3121</v>
      </c>
      <c r="T3062" s="95" t="str">
        <f t="shared" si="242"/>
        <v>2024 03</v>
      </c>
      <c r="U3062" s="32">
        <f t="shared" si="239"/>
        <v>1144</v>
      </c>
      <c r="V3062" s="22">
        <f t="shared" si="240"/>
        <v>2.0575539568345325</v>
      </c>
      <c r="X3062" s="33"/>
      <c r="Y3062" s="33"/>
    </row>
    <row r="3063" spans="1:25" x14ac:dyDescent="0.2">
      <c r="A3063" s="93" t="s">
        <v>1653</v>
      </c>
      <c r="B3063" s="94">
        <f>IFERROR(VLOOKUP($A3063,HeadJournal!$A$1:$NTR$890,COLUMN(HeadJournal!B$1),0),"")</f>
        <v>0</v>
      </c>
      <c r="C3063" s="94" t="str">
        <f>IFERROR(VLOOKUP($A3063,HeadJournal!$A$1:$NTR$890,COLUMN(HeadJournal!C$1),0),"")</f>
        <v>OZON_OA</v>
      </c>
      <c r="D3063" s="125" t="str">
        <f>IFERROR(VLOOKUP($A3063,HeadJournal!$A$1:$NTR$890,COLUMN(HeadJournal!D$1),0),"")</f>
        <v>Доставлен</v>
      </c>
      <c r="E3063" s="95">
        <f>IFERROR(VLOOKUP($A3063,HeadJournal!$A$1:$NTR$890,COLUMN(HeadJournal!G$1),0),"")</f>
        <v>45342</v>
      </c>
      <c r="F3063" s="95" t="str">
        <f t="shared" si="241"/>
        <v>2024 02</v>
      </c>
      <c r="G3063" s="96" t="s">
        <v>6</v>
      </c>
      <c r="H3063" s="161" t="s">
        <v>1950</v>
      </c>
      <c r="I3063" s="97" t="s">
        <v>560</v>
      </c>
      <c r="J3063" s="97" t="s">
        <v>1951</v>
      </c>
      <c r="K3063" s="29">
        <v>556</v>
      </c>
      <c r="L3063" s="29">
        <v>0</v>
      </c>
      <c r="M3063" s="30">
        <f>IFERROR(VLOOKUP($A3063,HeadJournal!$A$1:$J$890,COLUMN(HeadJournal!I$1),0)*($K3063+$L3063)/(SUMIF($A:$A,$A3063,$K:$K)+SUMIF($A:$A,$A3063,$L:$L)),0)</f>
        <v>0</v>
      </c>
      <c r="N3063" s="30">
        <f>IFERROR((VLOOKUP($A3063,HeadJournal!$A$1:$K$890,COLUMN(HeadJournal!K$1),0)-VLOOKUP($A3063,HeadJournal!$A$1:$K$890,COLUMN(HeadJournal!J$1),0))*($K3063+$L3063)/(SUMIF($A:$A,$A3063,$K:$K)+SUMIF($A:$A,$A3063,$L:$L)),0)</f>
        <v>0</v>
      </c>
      <c r="O3063" s="30">
        <f>IFERROR((VLOOKUP($A3063,HeadJournal!$A$1:$L$890,COLUMN(HeadJournal!L$1),0)*($K3063+$L3063)/(SUMIF($A:$A,$A3063,$K:$K)+SUMIF($A:$A,$A3063,$L:$L)))/VLOOKUP($A3063,HeadJournal!$A$1:$L$890,COLUMN(HeadJournal!H$1),0),0)</f>
        <v>0</v>
      </c>
      <c r="P3063" s="30">
        <f>IFERROR(SUM(K3063:O3063)*VLOOKUP($A3063,HeadJournal!$A$1:$L$890,COLUMN(HeadJournal!H$1),0),0)</f>
        <v>556</v>
      </c>
      <c r="Q3063" s="29">
        <v>1700</v>
      </c>
      <c r="R3063" s="31">
        <v>45487</v>
      </c>
      <c r="S3063" s="31" t="s">
        <v>3121</v>
      </c>
      <c r="T3063" s="95" t="str">
        <f t="shared" si="242"/>
        <v>2024 07</v>
      </c>
      <c r="U3063" s="32">
        <f t="shared" si="239"/>
        <v>1144</v>
      </c>
      <c r="V3063" s="22">
        <f t="shared" si="240"/>
        <v>2.0575539568345325</v>
      </c>
      <c r="X3063" s="33"/>
      <c r="Y3063" s="33"/>
    </row>
    <row r="3064" spans="1:25" x14ac:dyDescent="0.2">
      <c r="A3064" s="93" t="s">
        <v>1653</v>
      </c>
      <c r="B3064" s="94">
        <f>IFERROR(VLOOKUP($A3064,HeadJournal!$A$1:$NTR$890,COLUMN(HeadJournal!B$1),0),"")</f>
        <v>0</v>
      </c>
      <c r="C3064" s="94" t="str">
        <f>IFERROR(VLOOKUP($A3064,HeadJournal!$A$1:$NTR$890,COLUMN(HeadJournal!C$1),0),"")</f>
        <v>OZON_OA</v>
      </c>
      <c r="D3064" s="125" t="str">
        <f>IFERROR(VLOOKUP($A3064,HeadJournal!$A$1:$NTR$890,COLUMN(HeadJournal!D$1),0),"")</f>
        <v>Доставлен</v>
      </c>
      <c r="E3064" s="95">
        <f>IFERROR(VLOOKUP($A3064,HeadJournal!$A$1:$NTR$890,COLUMN(HeadJournal!G$1),0),"")</f>
        <v>45342</v>
      </c>
      <c r="F3064" s="95" t="str">
        <f t="shared" si="241"/>
        <v>2024 02</v>
      </c>
      <c r="G3064" s="96" t="s">
        <v>6</v>
      </c>
      <c r="H3064" s="161" t="s">
        <v>1950</v>
      </c>
      <c r="I3064" s="97" t="s">
        <v>560</v>
      </c>
      <c r="J3064" s="97" t="s">
        <v>1951</v>
      </c>
      <c r="K3064" s="29">
        <v>556</v>
      </c>
      <c r="L3064" s="29">
        <v>0</v>
      </c>
      <c r="M3064" s="30">
        <f>IFERROR(VLOOKUP($A3064,HeadJournal!$A$1:$J$890,COLUMN(HeadJournal!I$1),0)*($K3064+$L3064)/(SUMIF($A:$A,$A3064,$K:$K)+SUMIF($A:$A,$A3064,$L:$L)),0)</f>
        <v>0</v>
      </c>
      <c r="N3064" s="30">
        <f>IFERROR((VLOOKUP($A3064,HeadJournal!$A$1:$K$890,COLUMN(HeadJournal!K$1),0)-VLOOKUP($A3064,HeadJournal!$A$1:$K$890,COLUMN(HeadJournal!J$1),0))*($K3064+$L3064)/(SUMIF($A:$A,$A3064,$K:$K)+SUMIF($A:$A,$A3064,$L:$L)),0)</f>
        <v>0</v>
      </c>
      <c r="O3064" s="30">
        <f>IFERROR((VLOOKUP($A3064,HeadJournal!$A$1:$L$890,COLUMN(HeadJournal!L$1),0)*($K3064+$L3064)/(SUMIF($A:$A,$A3064,$K:$K)+SUMIF($A:$A,$A3064,$L:$L)))/VLOOKUP($A3064,HeadJournal!$A$1:$L$890,COLUMN(HeadJournal!H$1),0),0)</f>
        <v>0</v>
      </c>
      <c r="P3064" s="30">
        <f>IFERROR(SUM(K3064:O3064)*VLOOKUP($A3064,HeadJournal!$A$1:$L$890,COLUMN(HeadJournal!H$1),0),0)</f>
        <v>556</v>
      </c>
      <c r="Q3064" s="29">
        <v>1700</v>
      </c>
      <c r="R3064" s="31">
        <v>45507</v>
      </c>
      <c r="S3064" s="31" t="s">
        <v>3121</v>
      </c>
      <c r="T3064" s="95" t="str">
        <f t="shared" si="242"/>
        <v>2024 08</v>
      </c>
      <c r="U3064" s="32">
        <f t="shared" si="239"/>
        <v>1144</v>
      </c>
      <c r="V3064" s="22">
        <f t="shared" si="240"/>
        <v>2.0575539568345325</v>
      </c>
      <c r="X3064" s="33"/>
      <c r="Y3064" s="33"/>
    </row>
    <row r="3065" spans="1:25" x14ac:dyDescent="0.2">
      <c r="A3065" s="93" t="s">
        <v>1654</v>
      </c>
      <c r="B3065" s="94">
        <f>IFERROR(VLOOKUP($A3065,HeadJournal!$A$1:$NTR$890,COLUMN(HeadJournal!B$1),0),"")</f>
        <v>0</v>
      </c>
      <c r="C3065" s="94" t="str">
        <f>IFERROR(VLOOKUP($A3065,HeadJournal!$A$1:$NTR$890,COLUMN(HeadJournal!C$1),0),"")</f>
        <v>OZON_OA</v>
      </c>
      <c r="D3065" s="125" t="str">
        <f>IFERROR(VLOOKUP($A3065,HeadJournal!$A$1:$NTR$890,COLUMN(HeadJournal!D$1),0),"")</f>
        <v>Доставлен</v>
      </c>
      <c r="E3065" s="95">
        <f>IFERROR(VLOOKUP($A3065,HeadJournal!$A$1:$NTR$890,COLUMN(HeadJournal!G$1),0),"")</f>
        <v>45343</v>
      </c>
      <c r="F3065" s="95" t="str">
        <f t="shared" si="241"/>
        <v>2024 02</v>
      </c>
      <c r="G3065" s="96" t="s">
        <v>6</v>
      </c>
      <c r="H3065" s="161" t="str">
        <f>RIGHT(Journal!$J3065,9)</f>
        <v>892721541</v>
      </c>
      <c r="I3065" s="97" t="str">
        <f t="shared" ref="I3065:I3125" si="244">IFERROR(LEFT(J3065,FIND(",",J3065)-1),"")</f>
        <v>FatZorb</v>
      </c>
      <c r="J3065" s="97" t="s">
        <v>737</v>
      </c>
      <c r="K3065" s="29">
        <v>942</v>
      </c>
      <c r="L3065" s="29">
        <v>0</v>
      </c>
      <c r="M3065" s="30">
        <f>IFERROR(VLOOKUP($A3065,HeadJournal!$A$1:$J$890,COLUMN(HeadJournal!I$1),0)*($K3065+$L3065)/(SUMIF($A:$A,$A3065,$K:$K)+SUMIF($A:$A,$A3065,$L:$L)),0)</f>
        <v>0</v>
      </c>
      <c r="N3065" s="30">
        <f>IFERROR((VLOOKUP($A3065,HeadJournal!$A$1:$K$890,COLUMN(HeadJournal!K$1),0)-VLOOKUP($A3065,HeadJournal!$A$1:$K$890,COLUMN(HeadJournal!J$1),0))*($K3065+$L3065)/(SUMIF($A:$A,$A3065,$K:$K)+SUMIF($A:$A,$A3065,$L:$L)),0)</f>
        <v>0</v>
      </c>
      <c r="O3065" s="30">
        <f>IFERROR((VLOOKUP($A3065,HeadJournal!$A$1:$L$890,COLUMN(HeadJournal!L$1),0)*($K3065+$L3065)/(SUMIF($A:$A,$A3065,$K:$K)+SUMIF($A:$A,$A3065,$L:$L)))/VLOOKUP($A3065,HeadJournal!$A$1:$L$890,COLUMN(HeadJournal!H$1),0),0)</f>
        <v>0</v>
      </c>
      <c r="P3065" s="30">
        <f>IFERROR(SUM(K3065:O3065)*VLOOKUP($A3065,HeadJournal!$A$1:$L$890,COLUMN(HeadJournal!H$1),0),0)</f>
        <v>942</v>
      </c>
      <c r="Q3065" s="29">
        <v>2000</v>
      </c>
      <c r="R3065" s="31">
        <v>45450</v>
      </c>
      <c r="S3065" s="31" t="s">
        <v>3121</v>
      </c>
      <c r="T3065" s="95" t="str">
        <f t="shared" si="242"/>
        <v>2024 06</v>
      </c>
      <c r="U3065" s="32">
        <f t="shared" si="239"/>
        <v>1058</v>
      </c>
      <c r="V3065" s="22">
        <f t="shared" si="240"/>
        <v>1.1231422505307855</v>
      </c>
      <c r="X3065" s="33"/>
      <c r="Y3065" s="33"/>
    </row>
    <row r="3066" spans="1:25" x14ac:dyDescent="0.2">
      <c r="A3066" s="93" t="s">
        <v>1655</v>
      </c>
      <c r="B3066" s="94">
        <f>IFERROR(VLOOKUP($A3066,HeadJournal!$A$1:$NTR$890,COLUMN(HeadJournal!B$1),0),"")</f>
        <v>0</v>
      </c>
      <c r="C3066" s="94" t="str">
        <f>IFERROR(VLOOKUP($A3066,HeadJournal!$A$1:$NTR$890,COLUMN(HeadJournal!C$1),0),"")</f>
        <v>OZON_OA</v>
      </c>
      <c r="D3066" s="125" t="str">
        <f>IFERROR(VLOOKUP($A3066,HeadJournal!$A$1:$NTR$890,COLUMN(HeadJournal!D$1),0),"")</f>
        <v>Доставлен</v>
      </c>
      <c r="E3066" s="95">
        <f>IFERROR(VLOOKUP($A3066,HeadJournal!$A$1:$NTR$890,COLUMN(HeadJournal!G$1),0),"")</f>
        <v>45350</v>
      </c>
      <c r="F3066" s="95" t="str">
        <f t="shared" si="241"/>
        <v>2024 02</v>
      </c>
      <c r="G3066" s="96" t="s">
        <v>7</v>
      </c>
      <c r="H3066" s="161" t="str">
        <f>RIGHT(Journal!$J3066,9)</f>
        <v>175137049</v>
      </c>
      <c r="I3066" s="97" t="str">
        <f t="shared" si="244"/>
        <v>ENOUGH</v>
      </c>
      <c r="J3066" s="97" t="s">
        <v>1656</v>
      </c>
      <c r="K3066" s="29">
        <v>320</v>
      </c>
      <c r="L3066" s="29">
        <v>0</v>
      </c>
      <c r="M3066" s="30">
        <f>IFERROR(VLOOKUP($A3066,HeadJournal!$A$1:$J$890,COLUMN(HeadJournal!I$1),0)*($K3066+$L3066)/(SUMIF($A:$A,$A3066,$K:$K)+SUMIF($A:$A,$A3066,$L:$L)),0)</f>
        <v>0</v>
      </c>
      <c r="N3066" s="30">
        <f>IFERROR((VLOOKUP($A3066,HeadJournal!$A$1:$K$890,COLUMN(HeadJournal!K$1),0)-VLOOKUP($A3066,HeadJournal!$A$1:$K$890,COLUMN(HeadJournal!J$1),0))*($K3066+$L3066)/(SUMIF($A:$A,$A3066,$K:$K)+SUMIF($A:$A,$A3066,$L:$L)),0)</f>
        <v>0</v>
      </c>
      <c r="O3066" s="30">
        <f>IFERROR((VLOOKUP($A3066,HeadJournal!$A$1:$L$890,COLUMN(HeadJournal!L$1),0)*($K3066+$L3066)/(SUMIF($A:$A,$A3066,$K:$K)+SUMIF($A:$A,$A3066,$L:$L)))/VLOOKUP($A3066,HeadJournal!$A$1:$L$890,COLUMN(HeadJournal!H$1),0),0)</f>
        <v>0</v>
      </c>
      <c r="P3066" s="30">
        <f>IFERROR(SUM(K3066:O3066)*VLOOKUP($A3066,HeadJournal!$A$1:$L$890,COLUMN(HeadJournal!H$1),0),0)</f>
        <v>320</v>
      </c>
      <c r="Q3066" s="29">
        <v>500</v>
      </c>
      <c r="R3066" s="31">
        <v>45362</v>
      </c>
      <c r="S3066" s="31" t="s">
        <v>3121</v>
      </c>
      <c r="T3066" s="95" t="str">
        <f t="shared" si="242"/>
        <v>2024 03</v>
      </c>
      <c r="U3066" s="32">
        <f t="shared" si="239"/>
        <v>180</v>
      </c>
      <c r="V3066" s="22">
        <f t="shared" si="240"/>
        <v>0.5625</v>
      </c>
      <c r="X3066" s="33"/>
      <c r="Y3066" s="33"/>
    </row>
    <row r="3067" spans="1:25" x14ac:dyDescent="0.2">
      <c r="A3067" s="93" t="s">
        <v>1655</v>
      </c>
      <c r="B3067" s="94">
        <f>IFERROR(VLOOKUP($A3067,HeadJournal!$A$1:$NTR$890,COLUMN(HeadJournal!B$1),0),"")</f>
        <v>0</v>
      </c>
      <c r="C3067" s="94" t="str">
        <f>IFERROR(VLOOKUP($A3067,HeadJournal!$A$1:$NTR$890,COLUMN(HeadJournal!C$1),0),"")</f>
        <v>OZON_OA</v>
      </c>
      <c r="D3067" s="125" t="str">
        <f>IFERROR(VLOOKUP($A3067,HeadJournal!$A$1:$NTR$890,COLUMN(HeadJournal!D$1),0),"")</f>
        <v>Доставлен</v>
      </c>
      <c r="E3067" s="95">
        <f>IFERROR(VLOOKUP($A3067,HeadJournal!$A$1:$NTR$890,COLUMN(HeadJournal!G$1),0),"")</f>
        <v>45350</v>
      </c>
      <c r="F3067" s="95" t="str">
        <f t="shared" si="241"/>
        <v>2024 02</v>
      </c>
      <c r="G3067" s="96" t="s">
        <v>7</v>
      </c>
      <c r="H3067" s="161" t="str">
        <f>RIGHT(Journal!$J3067,9)</f>
        <v>175137049</v>
      </c>
      <c r="I3067" s="97" t="str">
        <f t="shared" si="244"/>
        <v>ENOUGH</v>
      </c>
      <c r="J3067" s="97" t="s">
        <v>1656</v>
      </c>
      <c r="K3067" s="29">
        <v>320</v>
      </c>
      <c r="L3067" s="29">
        <v>0</v>
      </c>
      <c r="M3067" s="30">
        <f>IFERROR(VLOOKUP($A3067,HeadJournal!$A$1:$J$890,COLUMN(HeadJournal!I$1),0)*($K3067+$L3067)/(SUMIF($A:$A,$A3067,$K:$K)+SUMIF($A:$A,$A3067,$L:$L)),0)</f>
        <v>0</v>
      </c>
      <c r="N3067" s="30">
        <f>IFERROR((VLOOKUP($A3067,HeadJournal!$A$1:$K$890,COLUMN(HeadJournal!K$1),0)-VLOOKUP($A3067,HeadJournal!$A$1:$K$890,COLUMN(HeadJournal!J$1),0))*($K3067+$L3067)/(SUMIF($A:$A,$A3067,$K:$K)+SUMIF($A:$A,$A3067,$L:$L)),0)</f>
        <v>0</v>
      </c>
      <c r="O3067" s="30">
        <f>IFERROR((VLOOKUP($A3067,HeadJournal!$A$1:$L$890,COLUMN(HeadJournal!L$1),0)*($K3067+$L3067)/(SUMIF($A:$A,$A3067,$K:$K)+SUMIF($A:$A,$A3067,$L:$L)))/VLOOKUP($A3067,HeadJournal!$A$1:$L$890,COLUMN(HeadJournal!H$1),0),0)</f>
        <v>0</v>
      </c>
      <c r="P3067" s="30">
        <f>IFERROR(SUM(K3067:O3067)*VLOOKUP($A3067,HeadJournal!$A$1:$L$890,COLUMN(HeadJournal!H$1),0),0)</f>
        <v>320</v>
      </c>
      <c r="Q3067" s="29">
        <v>600</v>
      </c>
      <c r="R3067" s="31">
        <v>45370</v>
      </c>
      <c r="S3067" s="31" t="s">
        <v>3121</v>
      </c>
      <c r="T3067" s="95" t="str">
        <f t="shared" si="242"/>
        <v>2024 03</v>
      </c>
      <c r="U3067" s="32">
        <f t="shared" si="239"/>
        <v>280</v>
      </c>
      <c r="V3067" s="22">
        <f t="shared" si="240"/>
        <v>0.875</v>
      </c>
      <c r="X3067" s="33"/>
      <c r="Y3067" s="33"/>
    </row>
    <row r="3068" spans="1:25" x14ac:dyDescent="0.2">
      <c r="A3068" s="93" t="s">
        <v>1655</v>
      </c>
      <c r="B3068" s="94">
        <f>IFERROR(VLOOKUP($A3068,HeadJournal!$A$1:$NTR$890,COLUMN(HeadJournal!B$1),0),"")</f>
        <v>0</v>
      </c>
      <c r="C3068" s="94" t="str">
        <f>IFERROR(VLOOKUP($A3068,HeadJournal!$A$1:$NTR$890,COLUMN(HeadJournal!C$1),0),"")</f>
        <v>OZON_OA</v>
      </c>
      <c r="D3068" s="125" t="str">
        <f>IFERROR(VLOOKUP($A3068,HeadJournal!$A$1:$NTR$890,COLUMN(HeadJournal!D$1),0),"")</f>
        <v>Доставлен</v>
      </c>
      <c r="E3068" s="95">
        <f>IFERROR(VLOOKUP($A3068,HeadJournal!$A$1:$NTR$890,COLUMN(HeadJournal!G$1),0),"")</f>
        <v>45350</v>
      </c>
      <c r="F3068" s="95" t="str">
        <f t="shared" si="241"/>
        <v>2024 02</v>
      </c>
      <c r="G3068" s="96" t="s">
        <v>6</v>
      </c>
      <c r="H3068" s="161" t="str">
        <f>RIGHT(Journal!$J3068,9)</f>
        <v>392584827</v>
      </c>
      <c r="I3068" s="97" t="str">
        <f t="shared" si="244"/>
        <v>Cloma Pharma</v>
      </c>
      <c r="J3068" s="97" t="s">
        <v>1657</v>
      </c>
      <c r="K3068" s="29">
        <v>2476</v>
      </c>
      <c r="L3068" s="29">
        <v>0</v>
      </c>
      <c r="M3068" s="30">
        <f>IFERROR(VLOOKUP($A3068,HeadJournal!$A$1:$J$890,COLUMN(HeadJournal!I$1),0)*($K3068+$L3068)/(SUMIF($A:$A,$A3068,$K:$K)+SUMIF($A:$A,$A3068,$L:$L)),0)</f>
        <v>0</v>
      </c>
      <c r="N3068" s="30">
        <f>IFERROR((VLOOKUP($A3068,HeadJournal!$A$1:$K$890,COLUMN(HeadJournal!K$1),0)-VLOOKUP($A3068,HeadJournal!$A$1:$K$890,COLUMN(HeadJournal!J$1),0))*($K3068+$L3068)/(SUMIF($A:$A,$A3068,$K:$K)+SUMIF($A:$A,$A3068,$L:$L)),0)</f>
        <v>0</v>
      </c>
      <c r="O3068" s="30">
        <f>IFERROR((VLOOKUP($A3068,HeadJournal!$A$1:$L$890,COLUMN(HeadJournal!L$1),0)*($K3068+$L3068)/(SUMIF($A:$A,$A3068,$K:$K)+SUMIF($A:$A,$A3068,$L:$L)))/VLOOKUP($A3068,HeadJournal!$A$1:$L$890,COLUMN(HeadJournal!H$1),0),0)</f>
        <v>0</v>
      </c>
      <c r="P3068" s="30">
        <f>IFERROR(SUM(K3068:O3068)*VLOOKUP($A3068,HeadJournal!$A$1:$L$890,COLUMN(HeadJournal!H$1),0),0)</f>
        <v>2476</v>
      </c>
      <c r="Q3068" s="29">
        <v>3800</v>
      </c>
      <c r="R3068" s="31">
        <v>45407</v>
      </c>
      <c r="S3068" s="31" t="s">
        <v>3121</v>
      </c>
      <c r="T3068" s="95" t="str">
        <f t="shared" si="242"/>
        <v>2024 04</v>
      </c>
      <c r="U3068" s="32">
        <f t="shared" si="239"/>
        <v>1324</v>
      </c>
      <c r="V3068" s="22">
        <f t="shared" si="240"/>
        <v>0.53473344103392573</v>
      </c>
      <c r="X3068" s="33"/>
      <c r="Y3068" s="33"/>
    </row>
    <row r="3069" spans="1:25" x14ac:dyDescent="0.2">
      <c r="A3069" s="93" t="s">
        <v>1658</v>
      </c>
      <c r="B3069" s="94">
        <f>IFERROR(VLOOKUP($A3069,HeadJournal!$A$1:$NTR$890,COLUMN(HeadJournal!B$1),0),"")</f>
        <v>0</v>
      </c>
      <c r="C3069" s="94" t="str">
        <f>IFERROR(VLOOKUP($A3069,HeadJournal!$A$1:$NTR$890,COLUMN(HeadJournal!C$1),0),"")</f>
        <v>OZON_OA</v>
      </c>
      <c r="D3069" s="125" t="str">
        <f>IFERROR(VLOOKUP($A3069,HeadJournal!$A$1:$NTR$890,COLUMN(HeadJournal!D$1),0),"")</f>
        <v>Доставлен</v>
      </c>
      <c r="E3069" s="95">
        <f>IFERROR(VLOOKUP($A3069,HeadJournal!$A$1:$NTR$890,COLUMN(HeadJournal!G$1),0),"")</f>
        <v>45350</v>
      </c>
      <c r="F3069" s="95" t="str">
        <f t="shared" si="241"/>
        <v>2024 02</v>
      </c>
      <c r="G3069" s="96" t="s">
        <v>6</v>
      </c>
      <c r="H3069" s="161" t="str">
        <f>RIGHT(Journal!$J3069,9)</f>
        <v>032085656</v>
      </c>
      <c r="I3069" s="97" t="str">
        <f t="shared" si="244"/>
        <v>R-Line</v>
      </c>
      <c r="J3069" s="97" t="s">
        <v>1659</v>
      </c>
      <c r="K3069" s="29">
        <v>1131</v>
      </c>
      <c r="L3069" s="29">
        <v>0</v>
      </c>
      <c r="M3069" s="30">
        <f>IFERROR(VLOOKUP($A3069,HeadJournal!$A$1:$J$890,COLUMN(HeadJournal!I$1),0)*($K3069+$L3069)/(SUMIF($A:$A,$A3069,$K:$K)+SUMIF($A:$A,$A3069,$L:$L)),0)</f>
        <v>0</v>
      </c>
      <c r="N3069" s="30">
        <f>IFERROR((VLOOKUP($A3069,HeadJournal!$A$1:$K$890,COLUMN(HeadJournal!K$1),0)-VLOOKUP($A3069,HeadJournal!$A$1:$K$890,COLUMN(HeadJournal!J$1),0))*($K3069+$L3069)/(SUMIF($A:$A,$A3069,$K:$K)+SUMIF($A:$A,$A3069,$L:$L)),0)</f>
        <v>0</v>
      </c>
      <c r="O3069" s="30">
        <f>IFERROR((VLOOKUP($A3069,HeadJournal!$A$1:$L$890,COLUMN(HeadJournal!L$1),0)*($K3069+$L3069)/(SUMIF($A:$A,$A3069,$K:$K)+SUMIF($A:$A,$A3069,$L:$L)))/VLOOKUP($A3069,HeadJournal!$A$1:$L$890,COLUMN(HeadJournal!H$1),0),0)</f>
        <v>0</v>
      </c>
      <c r="P3069" s="30">
        <f>IFERROR(SUM(K3069:O3069)*VLOOKUP($A3069,HeadJournal!$A$1:$L$890,COLUMN(HeadJournal!H$1),0),0)</f>
        <v>1131</v>
      </c>
      <c r="Q3069" s="29">
        <v>1800</v>
      </c>
      <c r="R3069" s="31">
        <v>45359</v>
      </c>
      <c r="S3069" s="31" t="s">
        <v>3121</v>
      </c>
      <c r="T3069" s="95" t="str">
        <f t="shared" si="242"/>
        <v>2024 03</v>
      </c>
      <c r="U3069" s="32">
        <f t="shared" si="239"/>
        <v>669</v>
      </c>
      <c r="V3069" s="22">
        <f t="shared" si="240"/>
        <v>0.59151193633952259</v>
      </c>
      <c r="X3069" s="33"/>
      <c r="Y3069" s="33"/>
    </row>
    <row r="3070" spans="1:25" x14ac:dyDescent="0.2">
      <c r="A3070" s="93" t="s">
        <v>1660</v>
      </c>
      <c r="B3070" s="94">
        <f>IFERROR(VLOOKUP($A3070,HeadJournal!$A$1:$NTR$890,COLUMN(HeadJournal!B$1),0),"")</f>
        <v>0</v>
      </c>
      <c r="C3070" s="94" t="str">
        <f>IFERROR(VLOOKUP($A3070,HeadJournal!$A$1:$NTR$890,COLUMN(HeadJournal!C$1),0),"")</f>
        <v>OZON_OA</v>
      </c>
      <c r="D3070" s="125" t="str">
        <f>IFERROR(VLOOKUP($A3070,HeadJournal!$A$1:$NTR$890,COLUMN(HeadJournal!D$1),0),"")</f>
        <v>Доставлен</v>
      </c>
      <c r="E3070" s="95">
        <f>IFERROR(VLOOKUP($A3070,HeadJournal!$A$1:$NTR$890,COLUMN(HeadJournal!G$1),0),"")</f>
        <v>45352</v>
      </c>
      <c r="F3070" s="95" t="str">
        <f t="shared" si="241"/>
        <v>2024 03</v>
      </c>
      <c r="G3070" s="96" t="s">
        <v>6</v>
      </c>
      <c r="H3070" s="161" t="str">
        <f>RIGHT(Journal!$J3070,9)</f>
        <v>892721541</v>
      </c>
      <c r="I3070" s="97" t="str">
        <f t="shared" si="244"/>
        <v>FatZorb</v>
      </c>
      <c r="J3070" s="97" t="s">
        <v>737</v>
      </c>
      <c r="K3070" s="29">
        <v>1132</v>
      </c>
      <c r="L3070" s="29">
        <v>0</v>
      </c>
      <c r="M3070" s="30">
        <f>IFERROR(VLOOKUP($A3070,HeadJournal!$A$1:$J$890,COLUMN(HeadJournal!I$1),0)*($K3070+$L3070)/(SUMIF($A:$A,$A3070,$K:$K)+SUMIF($A:$A,$A3070,$L:$L)),0)</f>
        <v>0</v>
      </c>
      <c r="N3070" s="30">
        <f>IFERROR((VLOOKUP($A3070,HeadJournal!$A$1:$K$890,COLUMN(HeadJournal!K$1),0)-VLOOKUP($A3070,HeadJournal!$A$1:$K$890,COLUMN(HeadJournal!J$1),0))*($K3070+$L3070)/(SUMIF($A:$A,$A3070,$K:$K)+SUMIF($A:$A,$A3070,$L:$L)),0)</f>
        <v>0</v>
      </c>
      <c r="O3070" s="30">
        <f>IFERROR((VLOOKUP($A3070,HeadJournal!$A$1:$L$890,COLUMN(HeadJournal!L$1),0)*($K3070+$L3070)/(SUMIF($A:$A,$A3070,$K:$K)+SUMIF($A:$A,$A3070,$L:$L)))/VLOOKUP($A3070,HeadJournal!$A$1:$L$890,COLUMN(HeadJournal!H$1),0),0)</f>
        <v>0</v>
      </c>
      <c r="P3070" s="30">
        <f>IFERROR(SUM(K3070:O3070)*VLOOKUP($A3070,HeadJournal!$A$1:$L$890,COLUMN(HeadJournal!H$1),0),0)</f>
        <v>1132</v>
      </c>
      <c r="Q3070" s="29">
        <v>2000</v>
      </c>
      <c r="R3070" s="31">
        <v>45521</v>
      </c>
      <c r="S3070" s="31" t="s">
        <v>3121</v>
      </c>
      <c r="T3070" s="95" t="str">
        <f t="shared" si="242"/>
        <v>2024 08</v>
      </c>
      <c r="U3070" s="32">
        <f t="shared" si="239"/>
        <v>868</v>
      </c>
      <c r="V3070" s="22">
        <f t="shared" si="240"/>
        <v>0.7667844522968198</v>
      </c>
      <c r="X3070" s="33"/>
      <c r="Y3070" s="33"/>
    </row>
    <row r="3071" spans="1:25" x14ac:dyDescent="0.2">
      <c r="A3071" s="93" t="s">
        <v>1660</v>
      </c>
      <c r="B3071" s="94">
        <f>IFERROR(VLOOKUP($A3071,HeadJournal!$A$1:$NTR$890,COLUMN(HeadJournal!B$1),0),"")</f>
        <v>0</v>
      </c>
      <c r="C3071" s="94" t="str">
        <f>IFERROR(VLOOKUP($A3071,HeadJournal!$A$1:$NTR$890,COLUMN(HeadJournal!C$1),0),"")</f>
        <v>OZON_OA</v>
      </c>
      <c r="D3071" s="125" t="str">
        <f>IFERROR(VLOOKUP($A3071,HeadJournal!$A$1:$NTR$890,COLUMN(HeadJournal!D$1),0),"")</f>
        <v>Доставлен</v>
      </c>
      <c r="E3071" s="95">
        <f>IFERROR(VLOOKUP($A3071,HeadJournal!$A$1:$NTR$890,COLUMN(HeadJournal!G$1),0),"")</f>
        <v>45352</v>
      </c>
      <c r="F3071" s="95" t="str">
        <f t="shared" si="241"/>
        <v>2024 03</v>
      </c>
      <c r="G3071" s="96" t="s">
        <v>6</v>
      </c>
      <c r="H3071" s="161" t="str">
        <f>RIGHT(Journal!$J3071,9)</f>
        <v>892721541</v>
      </c>
      <c r="I3071" s="97" t="str">
        <f t="shared" si="244"/>
        <v>FatZorb</v>
      </c>
      <c r="J3071" s="97" t="s">
        <v>737</v>
      </c>
      <c r="K3071" s="29">
        <v>1132</v>
      </c>
      <c r="L3071" s="29">
        <v>0</v>
      </c>
      <c r="M3071" s="30">
        <f>IFERROR(VLOOKUP($A3071,HeadJournal!$A$1:$J$890,COLUMN(HeadJournal!I$1),0)*($K3071+$L3071)/(SUMIF($A:$A,$A3071,$K:$K)+SUMIF($A:$A,$A3071,$L:$L)),0)</f>
        <v>0</v>
      </c>
      <c r="N3071" s="30">
        <f>IFERROR((VLOOKUP($A3071,HeadJournal!$A$1:$K$890,COLUMN(HeadJournal!K$1),0)-VLOOKUP($A3071,HeadJournal!$A$1:$K$890,COLUMN(HeadJournal!J$1),0))*($K3071+$L3071)/(SUMIF($A:$A,$A3071,$K:$K)+SUMIF($A:$A,$A3071,$L:$L)),0)</f>
        <v>0</v>
      </c>
      <c r="O3071" s="30">
        <f>IFERROR((VLOOKUP($A3071,HeadJournal!$A$1:$L$890,COLUMN(HeadJournal!L$1),0)*($K3071+$L3071)/(SUMIF($A:$A,$A3071,$K:$K)+SUMIF($A:$A,$A3071,$L:$L)))/VLOOKUP($A3071,HeadJournal!$A$1:$L$890,COLUMN(HeadJournal!H$1),0),0)</f>
        <v>0</v>
      </c>
      <c r="P3071" s="30">
        <f>IFERROR(SUM(K3071:O3071)*VLOOKUP($A3071,HeadJournal!$A$1:$L$890,COLUMN(HeadJournal!H$1),0),0)</f>
        <v>1132</v>
      </c>
      <c r="Q3071" s="29">
        <v>2000</v>
      </c>
      <c r="R3071" s="31">
        <v>45521</v>
      </c>
      <c r="S3071" s="31" t="s">
        <v>3121</v>
      </c>
      <c r="T3071" s="95" t="str">
        <f t="shared" si="242"/>
        <v>2024 08</v>
      </c>
      <c r="U3071" s="32">
        <f t="shared" si="239"/>
        <v>868</v>
      </c>
      <c r="V3071" s="22">
        <f t="shared" si="240"/>
        <v>0.7667844522968198</v>
      </c>
      <c r="X3071" s="33"/>
      <c r="Y3071" s="33"/>
    </row>
    <row r="3072" spans="1:25" x14ac:dyDescent="0.2">
      <c r="A3072" s="93" t="s">
        <v>1661</v>
      </c>
      <c r="B3072" s="94">
        <f>IFERROR(VLOOKUP($A3072,HeadJournal!$A$1:$NTR$890,COLUMN(HeadJournal!B$1),0),"")</f>
        <v>0</v>
      </c>
      <c r="C3072" s="94" t="str">
        <f>IFERROR(VLOOKUP($A3072,HeadJournal!$A$1:$NTR$890,COLUMN(HeadJournal!C$1),0),"")</f>
        <v>WBRS</v>
      </c>
      <c r="D3072" s="125" t="str">
        <f>IFERROR(VLOOKUP($A3072,HeadJournal!$A$1:$NTR$890,COLUMN(HeadJournal!D$1),0),"")</f>
        <v>Доставлен</v>
      </c>
      <c r="E3072" s="95">
        <f>IFERROR(VLOOKUP($A3072,HeadJournal!$A$1:$NTR$890,COLUMN(HeadJournal!G$1),0),"")</f>
        <v>45358</v>
      </c>
      <c r="F3072" s="95" t="str">
        <f t="shared" si="241"/>
        <v>2024 03</v>
      </c>
      <c r="G3072" s="96" t="s">
        <v>7</v>
      </c>
      <c r="H3072" s="161" t="str">
        <f>RIGHT(Journal!$J3072,9)</f>
        <v>154082844</v>
      </c>
      <c r="I3072" s="97" t="str">
        <f t="shared" si="244"/>
        <v>ENOUGH</v>
      </c>
      <c r="J3072" s="97" t="s">
        <v>1662</v>
      </c>
      <c r="K3072" s="29">
        <v>246</v>
      </c>
      <c r="L3072" s="29">
        <v>0</v>
      </c>
      <c r="M3072" s="30">
        <f>IFERROR(VLOOKUP($A3072,HeadJournal!$A$1:$J$890,COLUMN(HeadJournal!I$1),0)*($K3072+$L3072)/(SUMIF($A:$A,$A3072,$K:$K)+SUMIF($A:$A,$A3072,$L:$L)),0)</f>
        <v>0</v>
      </c>
      <c r="N3072" s="30">
        <f>IFERROR((VLOOKUP($A3072,HeadJournal!$A$1:$K$890,COLUMN(HeadJournal!K$1),0)-VLOOKUP($A3072,HeadJournal!$A$1:$K$890,COLUMN(HeadJournal!J$1),0))*($K3072+$L3072)/(SUMIF($A:$A,$A3072,$K:$K)+SUMIF($A:$A,$A3072,$L:$L)),0)</f>
        <v>0</v>
      </c>
      <c r="O3072" s="30">
        <f>IFERROR((VLOOKUP($A3072,HeadJournal!$A$1:$L$890,COLUMN(HeadJournal!L$1),0)*($K3072+$L3072)/(SUMIF($A:$A,$A3072,$K:$K)+SUMIF($A:$A,$A3072,$L:$L)))/VLOOKUP($A3072,HeadJournal!$A$1:$L$890,COLUMN(HeadJournal!H$1),0),0)</f>
        <v>0</v>
      </c>
      <c r="P3072" s="30">
        <f>IFERROR(SUM(K3072:O3072)*VLOOKUP($A3072,HeadJournal!$A$1:$L$890,COLUMN(HeadJournal!H$1),0),0)</f>
        <v>246</v>
      </c>
      <c r="Q3072" s="29">
        <v>500</v>
      </c>
      <c r="R3072" s="31">
        <v>45362</v>
      </c>
      <c r="S3072" s="31" t="s">
        <v>3121</v>
      </c>
      <c r="T3072" s="95" t="str">
        <f t="shared" si="242"/>
        <v>2024 03</v>
      </c>
      <c r="U3072" s="32">
        <f t="shared" si="239"/>
        <v>254</v>
      </c>
      <c r="V3072" s="22">
        <f t="shared" si="240"/>
        <v>1.032520325203252</v>
      </c>
      <c r="X3072" s="33"/>
      <c r="Y3072" s="33"/>
    </row>
    <row r="3073" spans="1:25" x14ac:dyDescent="0.2">
      <c r="A3073" s="93" t="s">
        <v>1661</v>
      </c>
      <c r="B3073" s="94">
        <f>IFERROR(VLOOKUP($A3073,HeadJournal!$A$1:$NTR$890,COLUMN(HeadJournal!B$1),0),"")</f>
        <v>0</v>
      </c>
      <c r="C3073" s="94" t="str">
        <f>IFERROR(VLOOKUP($A3073,HeadJournal!$A$1:$NTR$890,COLUMN(HeadJournal!C$1),0),"")</f>
        <v>WBRS</v>
      </c>
      <c r="D3073" s="125" t="str">
        <f>IFERROR(VLOOKUP($A3073,HeadJournal!$A$1:$NTR$890,COLUMN(HeadJournal!D$1),0),"")</f>
        <v>Доставлен</v>
      </c>
      <c r="E3073" s="95">
        <f>IFERROR(VLOOKUP($A3073,HeadJournal!$A$1:$NTR$890,COLUMN(HeadJournal!G$1),0),"")</f>
        <v>45358</v>
      </c>
      <c r="F3073" s="95" t="str">
        <f t="shared" si="241"/>
        <v>2024 03</v>
      </c>
      <c r="G3073" s="96" t="s">
        <v>7</v>
      </c>
      <c r="H3073" s="161" t="str">
        <f>RIGHT(Journal!$J3073,9)</f>
        <v>154082844</v>
      </c>
      <c r="I3073" s="97" t="str">
        <f t="shared" si="244"/>
        <v>ENOUGH</v>
      </c>
      <c r="J3073" s="97" t="s">
        <v>1662</v>
      </c>
      <c r="K3073" s="29">
        <v>246</v>
      </c>
      <c r="L3073" s="29">
        <v>0</v>
      </c>
      <c r="M3073" s="30">
        <f>IFERROR(VLOOKUP($A3073,HeadJournal!$A$1:$J$890,COLUMN(HeadJournal!I$1),0)*($K3073+$L3073)/(SUMIF($A:$A,$A3073,$K:$K)+SUMIF($A:$A,$A3073,$L:$L)),0)</f>
        <v>0</v>
      </c>
      <c r="N3073" s="30">
        <f>IFERROR((VLOOKUP($A3073,HeadJournal!$A$1:$K$890,COLUMN(HeadJournal!K$1),0)-VLOOKUP($A3073,HeadJournal!$A$1:$K$890,COLUMN(HeadJournal!J$1),0))*($K3073+$L3073)/(SUMIF($A:$A,$A3073,$K:$K)+SUMIF($A:$A,$A3073,$L:$L)),0)</f>
        <v>0</v>
      </c>
      <c r="O3073" s="30">
        <f>IFERROR((VLOOKUP($A3073,HeadJournal!$A$1:$L$890,COLUMN(HeadJournal!L$1),0)*($K3073+$L3073)/(SUMIF($A:$A,$A3073,$K:$K)+SUMIF($A:$A,$A3073,$L:$L)))/VLOOKUP($A3073,HeadJournal!$A$1:$L$890,COLUMN(HeadJournal!H$1),0),0)</f>
        <v>0</v>
      </c>
      <c r="P3073" s="30">
        <f>IFERROR(SUM(K3073:O3073)*VLOOKUP($A3073,HeadJournal!$A$1:$L$890,COLUMN(HeadJournal!H$1),0),0)</f>
        <v>246</v>
      </c>
      <c r="Q3073" s="29">
        <v>500</v>
      </c>
      <c r="R3073" s="31">
        <v>45455</v>
      </c>
      <c r="S3073" s="31" t="s">
        <v>3121</v>
      </c>
      <c r="T3073" s="95" t="str">
        <f t="shared" si="242"/>
        <v>2024 06</v>
      </c>
      <c r="U3073" s="32">
        <f t="shared" ref="U3073:U3136" si="245">Q3073-P3073</f>
        <v>254</v>
      </c>
      <c r="V3073" s="22">
        <f t="shared" ref="V3073:V3136" si="246">IF(Q3073&lt;&gt;0,IFERROR(U3073/P3073,""),"")</f>
        <v>1.032520325203252</v>
      </c>
      <c r="X3073" s="33"/>
      <c r="Y3073" s="33"/>
    </row>
    <row r="3074" spans="1:25" x14ac:dyDescent="0.2">
      <c r="A3074" s="93" t="s">
        <v>1661</v>
      </c>
      <c r="B3074" s="94">
        <f>IFERROR(VLOOKUP($A3074,HeadJournal!$A$1:$NTR$890,COLUMN(HeadJournal!B$1),0),"")</f>
        <v>0</v>
      </c>
      <c r="C3074" s="94" t="str">
        <f>IFERROR(VLOOKUP($A3074,HeadJournal!$A$1:$NTR$890,COLUMN(HeadJournal!C$1),0),"")</f>
        <v>WBRS</v>
      </c>
      <c r="D3074" s="125" t="str">
        <f>IFERROR(VLOOKUP($A3074,HeadJournal!$A$1:$NTR$890,COLUMN(HeadJournal!D$1),0),"")</f>
        <v>Доставлен</v>
      </c>
      <c r="E3074" s="95">
        <f>IFERROR(VLOOKUP($A3074,HeadJournal!$A$1:$NTR$890,COLUMN(HeadJournal!G$1),0),"")</f>
        <v>45358</v>
      </c>
      <c r="F3074" s="95" t="str">
        <f t="shared" si="241"/>
        <v>2024 03</v>
      </c>
      <c r="G3074" s="96" t="s">
        <v>7</v>
      </c>
      <c r="H3074" s="161" t="str">
        <f>RIGHT(Journal!$J3074,9)</f>
        <v>154082844</v>
      </c>
      <c r="I3074" s="97" t="str">
        <f t="shared" si="244"/>
        <v>ENOUGH</v>
      </c>
      <c r="J3074" s="97" t="s">
        <v>1662</v>
      </c>
      <c r="K3074" s="29">
        <v>246</v>
      </c>
      <c r="L3074" s="29">
        <v>0</v>
      </c>
      <c r="M3074" s="30">
        <f>IFERROR(VLOOKUP($A3074,HeadJournal!$A$1:$J$890,COLUMN(HeadJournal!I$1),0)*($K3074+$L3074)/(SUMIF($A:$A,$A3074,$K:$K)+SUMIF($A:$A,$A3074,$L:$L)),0)</f>
        <v>0</v>
      </c>
      <c r="N3074" s="30">
        <f>IFERROR((VLOOKUP($A3074,HeadJournal!$A$1:$K$890,COLUMN(HeadJournal!K$1),0)-VLOOKUP($A3074,HeadJournal!$A$1:$K$890,COLUMN(HeadJournal!J$1),0))*($K3074+$L3074)/(SUMIF($A:$A,$A3074,$K:$K)+SUMIF($A:$A,$A3074,$L:$L)),0)</f>
        <v>0</v>
      </c>
      <c r="O3074" s="30">
        <f>IFERROR((VLOOKUP($A3074,HeadJournal!$A$1:$L$890,COLUMN(HeadJournal!L$1),0)*($K3074+$L3074)/(SUMIF($A:$A,$A3074,$K:$K)+SUMIF($A:$A,$A3074,$L:$L)))/VLOOKUP($A3074,HeadJournal!$A$1:$L$890,COLUMN(HeadJournal!H$1),0),0)</f>
        <v>0</v>
      </c>
      <c r="P3074" s="30">
        <f>IFERROR(SUM(K3074:O3074)*VLOOKUP($A3074,HeadJournal!$A$1:$L$890,COLUMN(HeadJournal!H$1),0),0)</f>
        <v>246</v>
      </c>
      <c r="Q3074" s="29">
        <v>500</v>
      </c>
      <c r="R3074" s="31">
        <v>45573</v>
      </c>
      <c r="S3074" s="31" t="s">
        <v>3121</v>
      </c>
      <c r="T3074" s="95" t="str">
        <f t="shared" si="242"/>
        <v>2024 10</v>
      </c>
      <c r="U3074" s="32">
        <f t="shared" si="245"/>
        <v>254</v>
      </c>
      <c r="V3074" s="22">
        <f t="shared" si="246"/>
        <v>1.032520325203252</v>
      </c>
      <c r="X3074" s="33"/>
      <c r="Y3074" s="33"/>
    </row>
    <row r="3075" spans="1:25" x14ac:dyDescent="0.2">
      <c r="A3075" s="93" t="s">
        <v>1665</v>
      </c>
      <c r="B3075" s="94" t="str">
        <f>IFERROR(VLOOKUP($A3075,HeadJournal!$A$1:$NTR$890,COLUMN(HeadJournal!B$1),0),"")</f>
        <v>720000163398</v>
      </c>
      <c r="C3075" s="94" t="str">
        <f>IFERROR(VLOOKUP($A3075,HeadJournal!$A$1:$NTR$890,COLUMN(HeadJournal!C$1),0),"")</f>
        <v>iHerb_MH DLE7202</v>
      </c>
      <c r="D3075" s="125" t="str">
        <f>IFERROR(VLOOKUP($A3075,HeadJournal!$A$1:$NTR$890,COLUMN(HeadJournal!D$1),0),"")</f>
        <v>Доставлен</v>
      </c>
      <c r="E3075" s="95">
        <f>IFERROR(VLOOKUP($A3075,HeadJournal!$A$1:$NTR$890,COLUMN(HeadJournal!G$1),0),"")</f>
        <v>45361</v>
      </c>
      <c r="F3075" s="95" t="str">
        <f t="shared" si="241"/>
        <v>2024 03</v>
      </c>
      <c r="G3075" s="96" t="s">
        <v>5</v>
      </c>
      <c r="H3075" s="161" t="str">
        <f>RIGHT(Journal!$J3075,9)</f>
        <v>NOW-01430</v>
      </c>
      <c r="I3075" s="97" t="str">
        <f t="shared" si="244"/>
        <v>NOW Foods</v>
      </c>
      <c r="J3075" s="97" t="s">
        <v>1667</v>
      </c>
      <c r="K3075" s="29">
        <v>6.91</v>
      </c>
      <c r="L3075" s="29">
        <v>-1.2450000000000001</v>
      </c>
      <c r="M3075" s="30">
        <f>IFERROR(VLOOKUP($A3075,HeadJournal!$A$1:$J$890,COLUMN(HeadJournal!I$1),0)*($K3075+$L3075)/(SUMIF($A:$A,$A3075,$K:$K)+SUMIF($A:$A,$A3075,$L:$L)),0)</f>
        <v>-0.77666171279955398</v>
      </c>
      <c r="N3075" s="30">
        <f>IFERROR((VLOOKUP($A3075,HeadJournal!$A$1:$K$890,COLUMN(HeadJournal!K$1),0)-VLOOKUP($A3075,HeadJournal!$A$1:$K$890,COLUMN(HeadJournal!J$1),0))*($K3075+$L3075)/(SUMIF($A:$A,$A3075,$K:$K)+SUMIF($A:$A,$A3075,$L:$L)),0)</f>
        <v>-1.994042775691853E-15</v>
      </c>
      <c r="O3075" s="30">
        <f>IFERROR((VLOOKUP($A3075,HeadJournal!$A$1:$L$890,COLUMN(HeadJournal!L$1),0)*($K3075+$L3075)/(SUMIF($A:$A,$A3075,$K:$K)+SUMIF($A:$A,$A3075,$L:$L)))/VLOOKUP($A3075,HeadJournal!$A$1:$L$890,COLUMN(HeadJournal!H$1),0),0)</f>
        <v>0.40940183782076517</v>
      </c>
      <c r="P3075" s="30">
        <f>IFERROR(SUM(K3075:O3075)*VLOOKUP($A3075,HeadJournal!$A$1:$L$890,COLUMN(HeadJournal!H$1),0),0)</f>
        <v>556.53073657811615</v>
      </c>
      <c r="Q3075" s="29">
        <v>1200</v>
      </c>
      <c r="R3075" s="31">
        <v>45405</v>
      </c>
      <c r="S3075" s="31" t="s">
        <v>3121</v>
      </c>
      <c r="T3075" s="95" t="str">
        <f t="shared" si="242"/>
        <v>2024 04</v>
      </c>
      <c r="U3075" s="32">
        <f t="shared" si="245"/>
        <v>643.46926342188385</v>
      </c>
      <c r="V3075" s="22">
        <f t="shared" si="246"/>
        <v>1.1562151398471139</v>
      </c>
      <c r="X3075" s="33"/>
      <c r="Y3075" s="33"/>
    </row>
    <row r="3076" spans="1:25" x14ac:dyDescent="0.2">
      <c r="A3076" s="93" t="s">
        <v>1665</v>
      </c>
      <c r="B3076" s="94" t="str">
        <f>IFERROR(VLOOKUP($A3076,HeadJournal!$A$1:$NTR$890,COLUMN(HeadJournal!B$1),0),"")</f>
        <v>720000163398</v>
      </c>
      <c r="C3076" s="94" t="str">
        <f>IFERROR(VLOOKUP($A3076,HeadJournal!$A$1:$NTR$890,COLUMN(HeadJournal!C$1),0),"")</f>
        <v>iHerb_MH DLE7202</v>
      </c>
      <c r="D3076" s="125" t="str">
        <f>IFERROR(VLOOKUP($A3076,HeadJournal!$A$1:$NTR$890,COLUMN(HeadJournal!D$1),0),"")</f>
        <v>Доставлен</v>
      </c>
      <c r="E3076" s="95">
        <f>IFERROR(VLOOKUP($A3076,HeadJournal!$A$1:$NTR$890,COLUMN(HeadJournal!G$1),0),"")</f>
        <v>45361</v>
      </c>
      <c r="F3076" s="95" t="str">
        <f t="shared" ref="F3076:F3139" si="247">IFERROR(TEXT(E3076, "ГГГГ ММ"),"")</f>
        <v>2024 03</v>
      </c>
      <c r="G3076" s="96" t="s">
        <v>5</v>
      </c>
      <c r="H3076" s="161" t="str">
        <f>RIGHT(Journal!$J3076,9)</f>
        <v>NOW-01430</v>
      </c>
      <c r="I3076" s="97" t="str">
        <f t="shared" si="244"/>
        <v>NOW Foods</v>
      </c>
      <c r="J3076" s="97" t="s">
        <v>1667</v>
      </c>
      <c r="K3076" s="29">
        <v>6.91</v>
      </c>
      <c r="L3076" s="29">
        <v>-1.2450000000000001</v>
      </c>
      <c r="M3076" s="30">
        <f>IFERROR(VLOOKUP($A3076,HeadJournal!$A$1:$J$890,COLUMN(HeadJournal!I$1),0)*($K3076+$L3076)/(SUMIF($A:$A,$A3076,$K:$K)+SUMIF($A:$A,$A3076,$L:$L)),0)</f>
        <v>-0.77666171279955398</v>
      </c>
      <c r="N3076" s="30">
        <f>IFERROR((VLOOKUP($A3076,HeadJournal!$A$1:$K$890,COLUMN(HeadJournal!K$1),0)-VLOOKUP($A3076,HeadJournal!$A$1:$K$890,COLUMN(HeadJournal!J$1),0))*($K3076+$L3076)/(SUMIF($A:$A,$A3076,$K:$K)+SUMIF($A:$A,$A3076,$L:$L)),0)</f>
        <v>-1.994042775691853E-15</v>
      </c>
      <c r="O3076" s="30">
        <f>IFERROR((VLOOKUP($A3076,HeadJournal!$A$1:$L$890,COLUMN(HeadJournal!L$1),0)*($K3076+$L3076)/(SUMIF($A:$A,$A3076,$K:$K)+SUMIF($A:$A,$A3076,$L:$L)))/VLOOKUP($A3076,HeadJournal!$A$1:$L$890,COLUMN(HeadJournal!H$1),0),0)</f>
        <v>0.40940183782076517</v>
      </c>
      <c r="P3076" s="30">
        <f>IFERROR(SUM(K3076:O3076)*VLOOKUP($A3076,HeadJournal!$A$1:$L$890,COLUMN(HeadJournal!H$1),0),0)</f>
        <v>556.53073657811615</v>
      </c>
      <c r="Q3076" s="29">
        <v>1200</v>
      </c>
      <c r="R3076" s="31">
        <v>45480</v>
      </c>
      <c r="S3076" s="31" t="s">
        <v>3121</v>
      </c>
      <c r="T3076" s="95" t="str">
        <f t="shared" ref="T3076:T3139" si="248">IF(R3076="","",TEXT(R3076,"ГГГГ ММ"))</f>
        <v>2024 07</v>
      </c>
      <c r="U3076" s="32">
        <f t="shared" si="245"/>
        <v>643.46926342188385</v>
      </c>
      <c r="V3076" s="22">
        <f t="shared" si="246"/>
        <v>1.1562151398471139</v>
      </c>
      <c r="X3076" s="33"/>
      <c r="Y3076" s="33"/>
    </row>
    <row r="3077" spans="1:25" x14ac:dyDescent="0.2">
      <c r="A3077" s="93" t="s">
        <v>1665</v>
      </c>
      <c r="B3077" s="94" t="str">
        <f>IFERROR(VLOOKUP($A3077,HeadJournal!$A$1:$NTR$890,COLUMN(HeadJournal!B$1),0),"")</f>
        <v>720000163398</v>
      </c>
      <c r="C3077" s="94" t="str">
        <f>IFERROR(VLOOKUP($A3077,HeadJournal!$A$1:$NTR$890,COLUMN(HeadJournal!C$1),0),"")</f>
        <v>iHerb_MH DLE7202</v>
      </c>
      <c r="D3077" s="125" t="str">
        <f>IFERROR(VLOOKUP($A3077,HeadJournal!$A$1:$NTR$890,COLUMN(HeadJournal!D$1),0),"")</f>
        <v>Доставлен</v>
      </c>
      <c r="E3077" s="95">
        <f>IFERROR(VLOOKUP($A3077,HeadJournal!$A$1:$NTR$890,COLUMN(HeadJournal!G$1),0),"")</f>
        <v>45361</v>
      </c>
      <c r="F3077" s="95" t="str">
        <f t="shared" si="247"/>
        <v>2024 03</v>
      </c>
      <c r="G3077" s="96" t="s">
        <v>7</v>
      </c>
      <c r="H3077" s="161" t="str">
        <f>RIGHT(Journal!$J3077,9)</f>
        <v>BOJ-31589</v>
      </c>
      <c r="I3077" s="97" t="str">
        <f t="shared" si="244"/>
        <v>Beauty of Joseon</v>
      </c>
      <c r="J3077" s="97" t="s">
        <v>1664</v>
      </c>
      <c r="K3077" s="29">
        <v>26.3</v>
      </c>
      <c r="L3077" s="29">
        <v>-4.7300000000000004</v>
      </c>
      <c r="M3077" s="30">
        <f>IFERROR(VLOOKUP($A3077,HeadJournal!$A$1:$J$890,COLUMN(HeadJournal!I$1),0)*($K3077+$L3077)/(SUMIF($A:$A,$A3077,$K:$K)+SUMIF($A:$A,$A3077,$L:$L)),0)</f>
        <v>-2.9572097343488752</v>
      </c>
      <c r="N3077" s="30">
        <f>IFERROR((VLOOKUP($A3077,HeadJournal!$A$1:$K$890,COLUMN(HeadJournal!K$1),0)-VLOOKUP($A3077,HeadJournal!$A$1:$K$890,COLUMN(HeadJournal!J$1),0))*($K3077+$L3077)/(SUMIF($A:$A,$A3077,$K:$K)+SUMIF($A:$A,$A3077,$L:$L)),0)</f>
        <v>-7.5924982650791288E-15</v>
      </c>
      <c r="O3077" s="30">
        <f>IFERROR((VLOOKUP($A3077,HeadJournal!$A$1:$L$890,COLUMN(HeadJournal!L$1),0)*($K3077+$L3077)/(SUMIF($A:$A,$A3077,$K:$K)+SUMIF($A:$A,$A3077,$L:$L)))/VLOOKUP($A3077,HeadJournal!$A$1:$L$890,COLUMN(HeadJournal!H$1),0),0)</f>
        <v>1.5588345351798596</v>
      </c>
      <c r="P3077" s="30">
        <f>IFERROR(SUM(K3077:O3077)*VLOOKUP($A3077,HeadJournal!$A$1:$L$890,COLUMN(HeadJournal!H$1),0),0)</f>
        <v>2119.0411276240006</v>
      </c>
      <c r="Q3077" s="29"/>
      <c r="R3077" s="31"/>
      <c r="S3077" s="31"/>
      <c r="T3077" s="95" t="str">
        <f t="shared" si="248"/>
        <v/>
      </c>
      <c r="U3077" s="32">
        <f t="shared" si="245"/>
        <v>-2119.0411276240006</v>
      </c>
      <c r="V3077" s="22" t="str">
        <f t="shared" si="246"/>
        <v/>
      </c>
      <c r="X3077" s="33"/>
      <c r="Y3077" s="33"/>
    </row>
    <row r="3078" spans="1:25" x14ac:dyDescent="0.2">
      <c r="A3078" s="93" t="s">
        <v>1665</v>
      </c>
      <c r="B3078" s="94" t="str">
        <f>IFERROR(VLOOKUP($A3078,HeadJournal!$A$1:$NTR$890,COLUMN(HeadJournal!B$1),0),"")</f>
        <v>720000163398</v>
      </c>
      <c r="C3078" s="94" t="str">
        <f>IFERROR(VLOOKUP($A3078,HeadJournal!$A$1:$NTR$890,COLUMN(HeadJournal!C$1),0),"")</f>
        <v>iHerb_MH DLE7202</v>
      </c>
      <c r="D3078" s="125" t="str">
        <f>IFERROR(VLOOKUP($A3078,HeadJournal!$A$1:$NTR$890,COLUMN(HeadJournal!D$1),0),"")</f>
        <v>Доставлен</v>
      </c>
      <c r="E3078" s="95">
        <f>IFERROR(VLOOKUP($A3078,HeadJournal!$A$1:$NTR$890,COLUMN(HeadJournal!G$1),0),"")</f>
        <v>45361</v>
      </c>
      <c r="F3078" s="95" t="str">
        <f t="shared" si="247"/>
        <v>2024 03</v>
      </c>
      <c r="G3078" s="96" t="s">
        <v>5</v>
      </c>
      <c r="H3078" s="161" t="s">
        <v>2642</v>
      </c>
      <c r="I3078" s="97" t="s">
        <v>2212</v>
      </c>
      <c r="J3078" s="97" t="s">
        <v>2643</v>
      </c>
      <c r="K3078" s="29">
        <v>25.48</v>
      </c>
      <c r="L3078" s="29">
        <v>-4.585</v>
      </c>
      <c r="M3078" s="30">
        <f>IFERROR(VLOOKUP($A3078,HeadJournal!$A$1:$J$890,COLUMN(HeadJournal!I$1),0)*($K3078+$L3078)/(SUMIF($A:$A,$A3078,$K:$K)+SUMIF($A:$A,$A3078,$L:$L)),0)</f>
        <v>-2.8646684005201553</v>
      </c>
      <c r="N3078" s="30">
        <f>IFERROR((VLOOKUP($A3078,HeadJournal!$A$1:$K$890,COLUMN(HeadJournal!K$1),0)-VLOOKUP($A3078,HeadJournal!$A$1:$K$890,COLUMN(HeadJournal!J$1),0))*($K3078+$L3078)/(SUMIF($A:$A,$A3078,$K:$K)+SUMIF($A:$A,$A3078,$L:$L)),0)</f>
        <v>-7.3549027004556515E-15</v>
      </c>
      <c r="O3078" s="30">
        <f>IFERROR((VLOOKUP($A3078,HeadJournal!$A$1:$L$890,COLUMN(HeadJournal!L$1),0)*($K3078+$L3078)/(SUMIF($A:$A,$A3078,$K:$K)+SUMIF($A:$A,$A3078,$L:$L)))/VLOOKUP($A3078,HeadJournal!$A$1:$L$890,COLUMN(HeadJournal!H$1),0),0)</f>
        <v>1.5100532041067765</v>
      </c>
      <c r="P3078" s="30">
        <f>IFERROR(SUM(K3078:O3078)*VLOOKUP($A3078,HeadJournal!$A$1:$L$890,COLUMN(HeadJournal!H$1),0),0)</f>
        <v>2052.7289921976585</v>
      </c>
      <c r="Q3078" s="29">
        <v>3300</v>
      </c>
      <c r="R3078" s="31">
        <v>45573</v>
      </c>
      <c r="S3078" s="31" t="s">
        <v>3121</v>
      </c>
      <c r="T3078" s="95" t="str">
        <f t="shared" si="248"/>
        <v>2024 10</v>
      </c>
      <c r="U3078" s="32">
        <f t="shared" si="245"/>
        <v>1247.2710078023415</v>
      </c>
      <c r="V3078" s="22">
        <f t="shared" si="246"/>
        <v>0.60761601387380859</v>
      </c>
      <c r="X3078" s="33"/>
      <c r="Y3078" s="33"/>
    </row>
    <row r="3079" spans="1:25" x14ac:dyDescent="0.2">
      <c r="A3079" s="93" t="s">
        <v>1665</v>
      </c>
      <c r="B3079" s="94" t="str">
        <f>IFERROR(VLOOKUP($A3079,HeadJournal!$A$1:$NTR$890,COLUMN(HeadJournal!B$1),0),"")</f>
        <v>720000163398</v>
      </c>
      <c r="C3079" s="94" t="str">
        <f>IFERROR(VLOOKUP($A3079,HeadJournal!$A$1:$NTR$890,COLUMN(HeadJournal!C$1),0),"")</f>
        <v>iHerb_MH DLE7202</v>
      </c>
      <c r="D3079" s="125" t="str">
        <f>IFERROR(VLOOKUP($A3079,HeadJournal!$A$1:$NTR$890,COLUMN(HeadJournal!D$1),0),"")</f>
        <v>Доставлен</v>
      </c>
      <c r="E3079" s="95">
        <f>IFERROR(VLOOKUP($A3079,HeadJournal!$A$1:$NTR$890,COLUMN(HeadJournal!G$1),0),"")</f>
        <v>45361</v>
      </c>
      <c r="F3079" s="95" t="str">
        <f t="shared" si="247"/>
        <v>2024 03</v>
      </c>
      <c r="G3079" s="96" t="s">
        <v>5</v>
      </c>
      <c r="H3079" s="161" t="s">
        <v>2642</v>
      </c>
      <c r="I3079" s="97" t="s">
        <v>2212</v>
      </c>
      <c r="J3079" s="97" t="s">
        <v>2643</v>
      </c>
      <c r="K3079" s="29">
        <v>25.48</v>
      </c>
      <c r="L3079" s="29">
        <v>-4.585</v>
      </c>
      <c r="M3079" s="30">
        <f>IFERROR(VLOOKUP($A3079,HeadJournal!$A$1:$J$890,COLUMN(HeadJournal!I$1),0)*($K3079+$L3079)/(SUMIF($A:$A,$A3079,$K:$K)+SUMIF($A:$A,$A3079,$L:$L)),0)</f>
        <v>-2.8646684005201553</v>
      </c>
      <c r="N3079" s="30">
        <f>IFERROR((VLOOKUP($A3079,HeadJournal!$A$1:$K$890,COLUMN(HeadJournal!K$1),0)-VLOOKUP($A3079,HeadJournal!$A$1:$K$890,COLUMN(HeadJournal!J$1),0))*($K3079+$L3079)/(SUMIF($A:$A,$A3079,$K:$K)+SUMIF($A:$A,$A3079,$L:$L)),0)</f>
        <v>-7.3549027004556515E-15</v>
      </c>
      <c r="O3079" s="30">
        <f>IFERROR((VLOOKUP($A3079,HeadJournal!$A$1:$L$890,COLUMN(HeadJournal!L$1),0)*($K3079+$L3079)/(SUMIF($A:$A,$A3079,$K:$K)+SUMIF($A:$A,$A3079,$L:$L)))/VLOOKUP($A3079,HeadJournal!$A$1:$L$890,COLUMN(HeadJournal!H$1),0),0)</f>
        <v>1.5100532041067765</v>
      </c>
      <c r="P3079" s="30">
        <f>IFERROR(SUM(K3079:O3079)*VLOOKUP($A3079,HeadJournal!$A$1:$L$890,COLUMN(HeadJournal!H$1),0),0)</f>
        <v>2052.7289921976585</v>
      </c>
      <c r="Q3079" s="29">
        <v>3300</v>
      </c>
      <c r="R3079" s="31">
        <v>45575</v>
      </c>
      <c r="S3079" s="31" t="s">
        <v>3121</v>
      </c>
      <c r="T3079" s="95" t="str">
        <f t="shared" si="248"/>
        <v>2024 10</v>
      </c>
      <c r="U3079" s="32">
        <f t="shared" si="245"/>
        <v>1247.2710078023415</v>
      </c>
      <c r="V3079" s="22">
        <f t="shared" si="246"/>
        <v>0.60761601387380859</v>
      </c>
      <c r="X3079" s="33"/>
      <c r="Y3079" s="33"/>
    </row>
    <row r="3080" spans="1:25" x14ac:dyDescent="0.2">
      <c r="A3080" s="93" t="s">
        <v>1665</v>
      </c>
      <c r="B3080" s="94" t="str">
        <f>IFERROR(VLOOKUP($A3080,HeadJournal!$A$1:$NTR$890,COLUMN(HeadJournal!B$1),0),"")</f>
        <v>720000163398</v>
      </c>
      <c r="C3080" s="94" t="str">
        <f>IFERROR(VLOOKUP($A3080,HeadJournal!$A$1:$NTR$890,COLUMN(HeadJournal!C$1),0),"")</f>
        <v>iHerb_MH DLE7202</v>
      </c>
      <c r="D3080" s="125" t="str">
        <f>IFERROR(VLOOKUP($A3080,HeadJournal!$A$1:$NTR$890,COLUMN(HeadJournal!D$1),0),"")</f>
        <v>Доставлен</v>
      </c>
      <c r="E3080" s="95">
        <f>IFERROR(VLOOKUP($A3080,HeadJournal!$A$1:$NTR$890,COLUMN(HeadJournal!G$1),0),"")</f>
        <v>45361</v>
      </c>
      <c r="F3080" s="95" t="str">
        <f t="shared" si="247"/>
        <v>2024 03</v>
      </c>
      <c r="G3080" s="96" t="s">
        <v>5</v>
      </c>
      <c r="H3080" s="161" t="str">
        <f>RIGHT(Journal!$J3080,9)</f>
        <v>YTH-01899</v>
      </c>
      <c r="I3080" s="97" t="str">
        <f t="shared" si="244"/>
        <v>Yeouth</v>
      </c>
      <c r="J3080" s="97" t="s">
        <v>1668</v>
      </c>
      <c r="K3080" s="29">
        <v>12.91</v>
      </c>
      <c r="L3080" s="29">
        <v>-2.3199999999999998</v>
      </c>
      <c r="M3080" s="30">
        <f>IFERROR(VLOOKUP($A3080,HeadJournal!$A$1:$J$890,COLUMN(HeadJournal!I$1),0)*($K3080+$L3080)/(SUMIF($A:$A,$A3080,$K:$K)+SUMIF($A:$A,$A3080,$L:$L)),0)</f>
        <v>-1.4518707040683632</v>
      </c>
      <c r="N3080" s="30">
        <f>IFERROR((VLOOKUP($A3080,HeadJournal!$A$1:$K$890,COLUMN(HeadJournal!K$1),0)-VLOOKUP($A3080,HeadJournal!$A$1:$K$890,COLUMN(HeadJournal!J$1),0))*($K3080+$L3080)/(SUMIF($A:$A,$A3080,$K:$K)+SUMIF($A:$A,$A3080,$L:$L)),0)</f>
        <v>-3.72761041387056E-15</v>
      </c>
      <c r="O3080" s="30">
        <f>IFERROR((VLOOKUP($A3080,HeadJournal!$A$1:$L$890,COLUMN(HeadJournal!L$1),0)*($K3080+$L3080)/(SUMIF($A:$A,$A3080,$K:$K)+SUMIF($A:$A,$A3080,$L:$L)))/VLOOKUP($A3080,HeadJournal!$A$1:$L$890,COLUMN(HeadJournal!H$1),0),0)</f>
        <v>0.76532488305770585</v>
      </c>
      <c r="P3080" s="30">
        <f>IFERROR(SUM(K3080:O3080)*VLOOKUP($A3080,HeadJournal!$A$1:$L$890,COLUMN(HeadJournal!H$1),0),0)</f>
        <v>1040.363724688835</v>
      </c>
      <c r="Q3080" s="29">
        <v>1800</v>
      </c>
      <c r="R3080" s="31">
        <v>45392</v>
      </c>
      <c r="S3080" s="31" t="s">
        <v>3121</v>
      </c>
      <c r="T3080" s="95" t="str">
        <f t="shared" si="248"/>
        <v>2024 04</v>
      </c>
      <c r="U3080" s="32">
        <f t="shared" si="245"/>
        <v>759.63627531116504</v>
      </c>
      <c r="V3080" s="22">
        <f t="shared" si="246"/>
        <v>0.73016413133624647</v>
      </c>
      <c r="X3080" s="33"/>
      <c r="Y3080" s="33"/>
    </row>
    <row r="3081" spans="1:25" x14ac:dyDescent="0.2">
      <c r="A3081" s="93" t="s">
        <v>1665</v>
      </c>
      <c r="B3081" s="94" t="str">
        <f>IFERROR(VLOOKUP($A3081,HeadJournal!$A$1:$NTR$890,COLUMN(HeadJournal!B$1),0),"")</f>
        <v>720000163398</v>
      </c>
      <c r="C3081" s="94" t="str">
        <f>IFERROR(VLOOKUP($A3081,HeadJournal!$A$1:$NTR$890,COLUMN(HeadJournal!C$1),0),"")</f>
        <v>iHerb_MH DLE7202</v>
      </c>
      <c r="D3081" s="125" t="str">
        <f>IFERROR(VLOOKUP($A3081,HeadJournal!$A$1:$NTR$890,COLUMN(HeadJournal!D$1),0),"")</f>
        <v>Доставлен</v>
      </c>
      <c r="E3081" s="95">
        <f>IFERROR(VLOOKUP($A3081,HeadJournal!$A$1:$NTR$890,COLUMN(HeadJournal!G$1),0),"")</f>
        <v>45361</v>
      </c>
      <c r="F3081" s="95" t="str">
        <f t="shared" si="247"/>
        <v>2024 03</v>
      </c>
      <c r="G3081" s="96" t="s">
        <v>7</v>
      </c>
      <c r="H3081" s="161" t="str">
        <f>RIGHT(Journal!$J3081,9)</f>
        <v>ARH-19470</v>
      </c>
      <c r="I3081" s="97" t="str">
        <f t="shared" si="244"/>
        <v>Arm &amp; Hammer</v>
      </c>
      <c r="J3081" s="97" t="s">
        <v>82</v>
      </c>
      <c r="K3081" s="29">
        <v>4.6500000000000004</v>
      </c>
      <c r="L3081" s="29">
        <v>-0.84</v>
      </c>
      <c r="M3081" s="30">
        <f>IFERROR(VLOOKUP($A3081,HeadJournal!$A$1:$J$890,COLUMN(HeadJournal!I$1),0)*($K3081+$L3081)/(SUMIF($A:$A,$A3081,$K:$K)+SUMIF($A:$A,$A3081,$L:$L)),0)</f>
        <v>-0.52234441761099748</v>
      </c>
      <c r="N3081" s="30">
        <f>IFERROR((VLOOKUP($A3081,HeadJournal!$A$1:$K$890,COLUMN(HeadJournal!K$1),0)-VLOOKUP($A3081,HeadJournal!$A$1:$K$890,COLUMN(HeadJournal!J$1),0))*($K3081+$L3081)/(SUMIF($A:$A,$A3081,$K:$K)+SUMIF($A:$A,$A3081,$L:$L)),0)</f>
        <v>-1.3410949647636294E-15</v>
      </c>
      <c r="O3081" s="30">
        <f>IFERROR((VLOOKUP($A3081,HeadJournal!$A$1:$L$890,COLUMN(HeadJournal!L$1),0)*($K3081+$L3081)/(SUMIF($A:$A,$A3081,$K:$K)+SUMIF($A:$A,$A3081,$L:$L)))/VLOOKUP($A3081,HeadJournal!$A$1:$L$890,COLUMN(HeadJournal!H$1),0),0)</f>
        <v>0.27534351316806982</v>
      </c>
      <c r="P3081" s="30">
        <f>IFERROR(SUM(K3081:O3081)*VLOOKUP($A3081,HeadJournal!$A$1:$L$890,COLUMN(HeadJournal!H$1),0),0)</f>
        <v>374.29516440646466</v>
      </c>
      <c r="Q3081" s="29">
        <v>600</v>
      </c>
      <c r="R3081" s="31">
        <v>45395</v>
      </c>
      <c r="S3081" s="31" t="s">
        <v>3121</v>
      </c>
      <c r="T3081" s="95" t="str">
        <f t="shared" si="248"/>
        <v>2024 04</v>
      </c>
      <c r="U3081" s="32">
        <f t="shared" si="245"/>
        <v>225.70483559353534</v>
      </c>
      <c r="V3081" s="22">
        <f t="shared" si="246"/>
        <v>0.6030129615792521</v>
      </c>
      <c r="X3081" s="33"/>
      <c r="Y3081" s="33"/>
    </row>
    <row r="3082" spans="1:25" x14ac:dyDescent="0.2">
      <c r="A3082" s="93" t="s">
        <v>1665</v>
      </c>
      <c r="B3082" s="94" t="str">
        <f>IFERROR(VLOOKUP($A3082,HeadJournal!$A$1:$NTR$890,COLUMN(HeadJournal!B$1),0),"")</f>
        <v>720000163398</v>
      </c>
      <c r="C3082" s="94" t="str">
        <f>IFERROR(VLOOKUP($A3082,HeadJournal!$A$1:$NTR$890,COLUMN(HeadJournal!C$1),0),"")</f>
        <v>iHerb_MH DLE7202</v>
      </c>
      <c r="D3082" s="125" t="str">
        <f>IFERROR(VLOOKUP($A3082,HeadJournal!$A$1:$NTR$890,COLUMN(HeadJournal!D$1),0),"")</f>
        <v>Доставлен</v>
      </c>
      <c r="E3082" s="95">
        <f>IFERROR(VLOOKUP($A3082,HeadJournal!$A$1:$NTR$890,COLUMN(HeadJournal!G$1),0),"")</f>
        <v>45361</v>
      </c>
      <c r="F3082" s="95" t="str">
        <f t="shared" si="247"/>
        <v>2024 03</v>
      </c>
      <c r="G3082" s="96" t="s">
        <v>7</v>
      </c>
      <c r="H3082" s="161" t="str">
        <f>RIGHT(Journal!$J3082,9)</f>
        <v>ARH-19724</v>
      </c>
      <c r="I3082" s="97" t="str">
        <f t="shared" si="244"/>
        <v>Arm &amp; Hammer</v>
      </c>
      <c r="J3082" s="97" t="s">
        <v>667</v>
      </c>
      <c r="K3082" s="29">
        <v>4.7300000000000004</v>
      </c>
      <c r="L3082" s="29">
        <v>-0.85</v>
      </c>
      <c r="M3082" s="30">
        <f>IFERROR(VLOOKUP($A3082,HeadJournal!$A$1:$J$890,COLUMN(HeadJournal!I$1),0)*($K3082+$L3082)/(SUMIF($A:$A,$A3082,$K:$K)+SUMIF($A:$A,$A3082,$L:$L)),0)</f>
        <v>-0.53194129667471668</v>
      </c>
      <c r="N3082" s="30">
        <f>IFERROR((VLOOKUP($A3082,HeadJournal!$A$1:$K$890,COLUMN(HeadJournal!K$1),0)-VLOOKUP($A3082,HeadJournal!$A$1:$K$890,COLUMN(HeadJournal!J$1),0))*($K3082+$L3082)/(SUMIF($A:$A,$A3082,$K:$K)+SUMIF($A:$A,$A3082,$L:$L)),0)</f>
        <v>-1.3657345047986566E-15</v>
      </c>
      <c r="O3082" s="30">
        <f>IFERROR((VLOOKUP($A3082,HeadJournal!$A$1:$L$890,COLUMN(HeadJournal!L$1),0)*($K3082+$L3082)/(SUMIF($A:$A,$A3082,$K:$K)+SUMIF($A:$A,$A3082,$L:$L)))/VLOOKUP($A3082,HeadJournal!$A$1:$L$890,COLUMN(HeadJournal!H$1),0),0)</f>
        <v>0.28040231787194514</v>
      </c>
      <c r="P3082" s="30">
        <f>IFERROR(SUM(K3082:O3082)*VLOOKUP($A3082,HeadJournal!$A$1:$L$890,COLUMN(HeadJournal!H$1),0),0)</f>
        <v>381.17197845067801</v>
      </c>
      <c r="Q3082" s="29">
        <v>900</v>
      </c>
      <c r="R3082" s="31">
        <v>45405</v>
      </c>
      <c r="S3082" s="31" t="s">
        <v>3121</v>
      </c>
      <c r="T3082" s="95" t="str">
        <f t="shared" si="248"/>
        <v>2024 04</v>
      </c>
      <c r="U3082" s="32">
        <f t="shared" si="245"/>
        <v>518.82802154932199</v>
      </c>
      <c r="V3082" s="22">
        <f t="shared" si="246"/>
        <v>1.3611389369653155</v>
      </c>
      <c r="X3082" s="33"/>
      <c r="Y3082" s="33"/>
    </row>
    <row r="3083" spans="1:25" x14ac:dyDescent="0.2">
      <c r="A3083" s="93" t="s">
        <v>1665</v>
      </c>
      <c r="B3083" s="94" t="str">
        <f>IFERROR(VLOOKUP($A3083,HeadJournal!$A$1:$NTR$890,COLUMN(HeadJournal!B$1),0),"")</f>
        <v>720000163398</v>
      </c>
      <c r="C3083" s="94" t="str">
        <f>IFERROR(VLOOKUP($A3083,HeadJournal!$A$1:$NTR$890,COLUMN(HeadJournal!C$1),0),"")</f>
        <v>iHerb_MH DLE7202</v>
      </c>
      <c r="D3083" s="125" t="str">
        <f>IFERROR(VLOOKUP($A3083,HeadJournal!$A$1:$NTR$890,COLUMN(HeadJournal!D$1),0),"")</f>
        <v>Доставлен</v>
      </c>
      <c r="E3083" s="95">
        <f>IFERROR(VLOOKUP($A3083,HeadJournal!$A$1:$NTR$890,COLUMN(HeadJournal!G$1),0),"")</f>
        <v>45361</v>
      </c>
      <c r="F3083" s="95" t="str">
        <f t="shared" si="247"/>
        <v>2024 03</v>
      </c>
      <c r="G3083" s="96" t="s">
        <v>7</v>
      </c>
      <c r="H3083" s="161" t="str">
        <f>RIGHT(Journal!$J3083,9)</f>
        <v>ARH-19744</v>
      </c>
      <c r="I3083" s="97" t="str">
        <f t="shared" si="244"/>
        <v>Arm &amp; Hammer</v>
      </c>
      <c r="J3083" s="97" t="s">
        <v>81</v>
      </c>
      <c r="K3083" s="29">
        <v>4.6500000000000004</v>
      </c>
      <c r="L3083" s="29">
        <v>-0.84</v>
      </c>
      <c r="M3083" s="30">
        <f>IFERROR(VLOOKUP($A3083,HeadJournal!$A$1:$J$890,COLUMN(HeadJournal!I$1),0)*($K3083+$L3083)/(SUMIF($A:$A,$A3083,$K:$K)+SUMIF($A:$A,$A3083,$L:$L)),0)</f>
        <v>-0.52234441761099748</v>
      </c>
      <c r="N3083" s="30">
        <f>IFERROR((VLOOKUP($A3083,HeadJournal!$A$1:$K$890,COLUMN(HeadJournal!K$1),0)-VLOOKUP($A3083,HeadJournal!$A$1:$K$890,COLUMN(HeadJournal!J$1),0))*($K3083+$L3083)/(SUMIF($A:$A,$A3083,$K:$K)+SUMIF($A:$A,$A3083,$L:$L)),0)</f>
        <v>-1.3410949647636294E-15</v>
      </c>
      <c r="O3083" s="30">
        <f>IFERROR((VLOOKUP($A3083,HeadJournal!$A$1:$L$890,COLUMN(HeadJournal!L$1),0)*($K3083+$L3083)/(SUMIF($A:$A,$A3083,$K:$K)+SUMIF($A:$A,$A3083,$L:$L)))/VLOOKUP($A3083,HeadJournal!$A$1:$L$890,COLUMN(HeadJournal!H$1),0),0)</f>
        <v>0.27534351316806982</v>
      </c>
      <c r="P3083" s="30">
        <f>IFERROR(SUM(K3083:O3083)*VLOOKUP($A3083,HeadJournal!$A$1:$L$890,COLUMN(HeadJournal!H$1),0),0)</f>
        <v>374.29516440646466</v>
      </c>
      <c r="Q3083" s="29">
        <v>1000</v>
      </c>
      <c r="R3083" s="31">
        <v>45593</v>
      </c>
      <c r="S3083" s="31" t="s">
        <v>3121</v>
      </c>
      <c r="T3083" s="95" t="str">
        <f t="shared" si="248"/>
        <v>2024 10</v>
      </c>
      <c r="U3083" s="32">
        <f t="shared" si="245"/>
        <v>625.70483559353534</v>
      </c>
      <c r="V3083" s="22">
        <f t="shared" si="246"/>
        <v>1.6716882692987536</v>
      </c>
      <c r="X3083" s="33"/>
      <c r="Y3083" s="33"/>
    </row>
    <row r="3084" spans="1:25" x14ac:dyDescent="0.2">
      <c r="A3084" s="93" t="s">
        <v>1665</v>
      </c>
      <c r="B3084" s="94" t="str">
        <f>IFERROR(VLOOKUP($A3084,HeadJournal!$A$1:$NTR$890,COLUMN(HeadJournal!B$1),0),"")</f>
        <v>720000163398</v>
      </c>
      <c r="C3084" s="94" t="str">
        <f>IFERROR(VLOOKUP($A3084,HeadJournal!$A$1:$NTR$890,COLUMN(HeadJournal!C$1),0),"")</f>
        <v>iHerb_MH DLE7202</v>
      </c>
      <c r="D3084" s="125" t="str">
        <f>IFERROR(VLOOKUP($A3084,HeadJournal!$A$1:$NTR$890,COLUMN(HeadJournal!D$1),0),"")</f>
        <v>Доставлен</v>
      </c>
      <c r="E3084" s="95">
        <f>IFERROR(VLOOKUP($A3084,HeadJournal!$A$1:$NTR$890,COLUMN(HeadJournal!G$1),0),"")</f>
        <v>45361</v>
      </c>
      <c r="F3084" s="95" t="str">
        <f t="shared" si="247"/>
        <v>2024 03</v>
      </c>
      <c r="G3084" s="96" t="s">
        <v>7</v>
      </c>
      <c r="H3084" s="161" t="str">
        <f>RIGHT(Journal!$J3084,9)</f>
        <v>ARH-19764</v>
      </c>
      <c r="I3084" s="97" t="str">
        <f t="shared" si="244"/>
        <v>Arm &amp; Hammer</v>
      </c>
      <c r="J3084" s="97" t="s">
        <v>1669</v>
      </c>
      <c r="K3084" s="29">
        <v>4.6500000000000004</v>
      </c>
      <c r="L3084" s="29">
        <v>-0.84</v>
      </c>
      <c r="M3084" s="30">
        <f>IFERROR(VLOOKUP($A3084,HeadJournal!$A$1:$J$890,COLUMN(HeadJournal!I$1),0)*($K3084+$L3084)/(SUMIF($A:$A,$A3084,$K:$K)+SUMIF($A:$A,$A3084,$L:$L)),0)</f>
        <v>-0.52234441761099748</v>
      </c>
      <c r="N3084" s="30">
        <f>IFERROR((VLOOKUP($A3084,HeadJournal!$A$1:$K$890,COLUMN(HeadJournal!K$1),0)-VLOOKUP($A3084,HeadJournal!$A$1:$K$890,COLUMN(HeadJournal!J$1),0))*($K3084+$L3084)/(SUMIF($A:$A,$A3084,$K:$K)+SUMIF($A:$A,$A3084,$L:$L)),0)</f>
        <v>-1.3410949647636294E-15</v>
      </c>
      <c r="O3084" s="30">
        <f>IFERROR((VLOOKUP($A3084,HeadJournal!$A$1:$L$890,COLUMN(HeadJournal!L$1),0)*($K3084+$L3084)/(SUMIF($A:$A,$A3084,$K:$K)+SUMIF($A:$A,$A3084,$L:$L)))/VLOOKUP($A3084,HeadJournal!$A$1:$L$890,COLUMN(HeadJournal!H$1),0),0)</f>
        <v>0.27534351316806982</v>
      </c>
      <c r="P3084" s="30">
        <f>IFERROR(SUM(K3084:O3084)*VLOOKUP($A3084,HeadJournal!$A$1:$L$890,COLUMN(HeadJournal!H$1),0),0)</f>
        <v>374.29516440646466</v>
      </c>
      <c r="Q3084" s="29">
        <v>600</v>
      </c>
      <c r="R3084" s="31">
        <v>45395</v>
      </c>
      <c r="S3084" s="31" t="s">
        <v>3121</v>
      </c>
      <c r="T3084" s="95" t="str">
        <f t="shared" si="248"/>
        <v>2024 04</v>
      </c>
      <c r="U3084" s="32">
        <f t="shared" si="245"/>
        <v>225.70483559353534</v>
      </c>
      <c r="V3084" s="22">
        <f t="shared" si="246"/>
        <v>0.6030129615792521</v>
      </c>
      <c r="X3084" s="33"/>
      <c r="Y3084" s="33"/>
    </row>
    <row r="3085" spans="1:25" x14ac:dyDescent="0.2">
      <c r="A3085" s="93" t="s">
        <v>1665</v>
      </c>
      <c r="B3085" s="94" t="str">
        <f>IFERROR(VLOOKUP($A3085,HeadJournal!$A$1:$NTR$890,COLUMN(HeadJournal!B$1),0),"")</f>
        <v>720000163398</v>
      </c>
      <c r="C3085" s="94" t="str">
        <f>IFERROR(VLOOKUP($A3085,HeadJournal!$A$1:$NTR$890,COLUMN(HeadJournal!C$1),0),"")</f>
        <v>iHerb_MH DLE7202</v>
      </c>
      <c r="D3085" s="125" t="str">
        <f>IFERROR(VLOOKUP($A3085,HeadJournal!$A$1:$NTR$890,COLUMN(HeadJournal!D$1),0),"")</f>
        <v>Доставлен</v>
      </c>
      <c r="E3085" s="95">
        <f>IFERROR(VLOOKUP($A3085,HeadJournal!$A$1:$NTR$890,COLUMN(HeadJournal!G$1),0),"")</f>
        <v>45361</v>
      </c>
      <c r="F3085" s="95" t="str">
        <f t="shared" si="247"/>
        <v>2024 03</v>
      </c>
      <c r="G3085" s="96" t="s">
        <v>5</v>
      </c>
      <c r="H3085" s="161" t="s">
        <v>2488</v>
      </c>
      <c r="I3085" s="97" t="s">
        <v>2005</v>
      </c>
      <c r="J3085" s="97" t="s">
        <v>2489</v>
      </c>
      <c r="K3085" s="29">
        <v>19.86</v>
      </c>
      <c r="L3085" s="29">
        <v>-3.5750000000000002</v>
      </c>
      <c r="M3085" s="30">
        <f>IFERROR(VLOOKUP($A3085,HeadJournal!$A$1:$J$890,COLUMN(HeadJournal!I$1),0)*($K3085+$L3085)/(SUMIF($A:$A,$A3085,$K:$K)+SUMIF($A:$A,$A3085,$L:$L)),0)</f>
        <v>-2.2326453650380826</v>
      </c>
      <c r="N3085" s="30">
        <f>IFERROR((VLOOKUP($A3085,HeadJournal!$A$1:$K$890,COLUMN(HeadJournal!K$1),0)-VLOOKUP($A3085,HeadJournal!$A$1:$K$890,COLUMN(HeadJournal!J$1),0))*($K3085+$L3085)/(SUMIF($A:$A,$A3085,$K:$K)+SUMIF($A:$A,$A3085,$L:$L)),0)</f>
        <v>-5.7322129924345679E-15</v>
      </c>
      <c r="O3085" s="30">
        <f>IFERROR((VLOOKUP($A3085,HeadJournal!$A$1:$L$890,COLUMN(HeadJournal!L$1),0)*($K3085+$L3085)/(SUMIF($A:$A,$A3085,$K:$K)+SUMIF($A:$A,$A3085,$L:$L)))/VLOOKUP($A3085,HeadJournal!$A$1:$L$890,COLUMN(HeadJournal!H$1),0),0)</f>
        <v>1.1768947800372747</v>
      </c>
      <c r="P3085" s="30">
        <f>IFERROR(SUM(K3085:O3085)*VLOOKUP($A3085,HeadJournal!$A$1:$L$890,COLUMN(HeadJournal!H$1),0),0)</f>
        <v>1599.8416672858996</v>
      </c>
      <c r="Q3085" s="29">
        <v>2300</v>
      </c>
      <c r="R3085" s="31">
        <v>45551</v>
      </c>
      <c r="S3085" s="31" t="s">
        <v>3121</v>
      </c>
      <c r="T3085" s="95" t="str">
        <f t="shared" si="248"/>
        <v>2024 09</v>
      </c>
      <c r="U3085" s="32">
        <f t="shared" si="245"/>
        <v>700.15833271410042</v>
      </c>
      <c r="V3085" s="22">
        <f t="shared" si="246"/>
        <v>0.43764226612618828</v>
      </c>
      <c r="X3085" s="33"/>
      <c r="Y3085" s="33"/>
    </row>
    <row r="3086" spans="1:25" x14ac:dyDescent="0.2">
      <c r="A3086" s="93" t="s">
        <v>1665</v>
      </c>
      <c r="B3086" s="94" t="str">
        <f>IFERROR(VLOOKUP($A3086,HeadJournal!$A$1:$NTR$890,COLUMN(HeadJournal!B$1),0),"")</f>
        <v>720000163398</v>
      </c>
      <c r="C3086" s="94" t="str">
        <f>IFERROR(VLOOKUP($A3086,HeadJournal!$A$1:$NTR$890,COLUMN(HeadJournal!C$1),0),"")</f>
        <v>iHerb_MH DLE7202</v>
      </c>
      <c r="D3086" s="125" t="str">
        <f>IFERROR(VLOOKUP($A3086,HeadJournal!$A$1:$NTR$890,COLUMN(HeadJournal!D$1),0),"")</f>
        <v>Доставлен</v>
      </c>
      <c r="E3086" s="95">
        <f>IFERROR(VLOOKUP($A3086,HeadJournal!$A$1:$NTR$890,COLUMN(HeadJournal!G$1),0),"")</f>
        <v>45361</v>
      </c>
      <c r="F3086" s="95" t="str">
        <f t="shared" si="247"/>
        <v>2024 03</v>
      </c>
      <c r="G3086" s="96" t="s">
        <v>5</v>
      </c>
      <c r="H3086" s="161" t="s">
        <v>2488</v>
      </c>
      <c r="I3086" s="97" t="s">
        <v>2005</v>
      </c>
      <c r="J3086" s="97" t="s">
        <v>2489</v>
      </c>
      <c r="K3086" s="29">
        <v>19.86</v>
      </c>
      <c r="L3086" s="29">
        <v>-3.5750000000000002</v>
      </c>
      <c r="M3086" s="30">
        <f>IFERROR(VLOOKUP($A3086,HeadJournal!$A$1:$J$890,COLUMN(HeadJournal!I$1),0)*($K3086+$L3086)/(SUMIF($A:$A,$A3086,$K:$K)+SUMIF($A:$A,$A3086,$L:$L)),0)</f>
        <v>-2.2326453650380826</v>
      </c>
      <c r="N3086" s="30">
        <f>IFERROR((VLOOKUP($A3086,HeadJournal!$A$1:$K$890,COLUMN(HeadJournal!K$1),0)-VLOOKUP($A3086,HeadJournal!$A$1:$K$890,COLUMN(HeadJournal!J$1),0))*($K3086+$L3086)/(SUMIF($A:$A,$A3086,$K:$K)+SUMIF($A:$A,$A3086,$L:$L)),0)</f>
        <v>-5.7322129924345679E-15</v>
      </c>
      <c r="O3086" s="30">
        <f>IFERROR((VLOOKUP($A3086,HeadJournal!$A$1:$L$890,COLUMN(HeadJournal!L$1),0)*($K3086+$L3086)/(SUMIF($A:$A,$A3086,$K:$K)+SUMIF($A:$A,$A3086,$L:$L)))/VLOOKUP($A3086,HeadJournal!$A$1:$L$890,COLUMN(HeadJournal!H$1),0),0)</f>
        <v>1.1768947800372747</v>
      </c>
      <c r="P3086" s="30">
        <f>IFERROR(SUM(K3086:O3086)*VLOOKUP($A3086,HeadJournal!$A$1:$L$890,COLUMN(HeadJournal!H$1),0),0)</f>
        <v>1599.8416672858996</v>
      </c>
      <c r="Q3086" s="29">
        <v>2400</v>
      </c>
      <c r="R3086" s="31">
        <v>45595</v>
      </c>
      <c r="S3086" s="31" t="s">
        <v>3121</v>
      </c>
      <c r="T3086" s="95" t="str">
        <f t="shared" si="248"/>
        <v>2024 10</v>
      </c>
      <c r="U3086" s="32">
        <f t="shared" si="245"/>
        <v>800.15833271410042</v>
      </c>
      <c r="V3086" s="22">
        <f t="shared" si="246"/>
        <v>0.5001484516099356</v>
      </c>
      <c r="X3086" s="33"/>
      <c r="Y3086" s="33"/>
    </row>
    <row r="3087" spans="1:25" x14ac:dyDescent="0.2">
      <c r="A3087" s="93" t="s">
        <v>1665</v>
      </c>
      <c r="B3087" s="94" t="str">
        <f>IFERROR(VLOOKUP($A3087,HeadJournal!$A$1:$NTR$890,COLUMN(HeadJournal!B$1),0),"")</f>
        <v>720000163398</v>
      </c>
      <c r="C3087" s="94" t="str">
        <f>IFERROR(VLOOKUP($A3087,HeadJournal!$A$1:$NTR$890,COLUMN(HeadJournal!C$1),0),"")</f>
        <v>iHerb_MH DLE7202</v>
      </c>
      <c r="D3087" s="125" t="str">
        <f>IFERROR(VLOOKUP($A3087,HeadJournal!$A$1:$NTR$890,COLUMN(HeadJournal!D$1),0),"")</f>
        <v>Доставлен</v>
      </c>
      <c r="E3087" s="95">
        <f>IFERROR(VLOOKUP($A3087,HeadJournal!$A$1:$NTR$890,COLUMN(HeadJournal!G$1),0),"")</f>
        <v>45361</v>
      </c>
      <c r="F3087" s="95" t="str">
        <f t="shared" si="247"/>
        <v>2024 03</v>
      </c>
      <c r="G3087" s="96" t="s">
        <v>5</v>
      </c>
      <c r="H3087" s="161" t="s">
        <v>2502</v>
      </c>
      <c r="I3087" s="97" t="s">
        <v>2005</v>
      </c>
      <c r="J3087" s="97" t="s">
        <v>2503</v>
      </c>
      <c r="K3087" s="29">
        <v>23.08</v>
      </c>
      <c r="L3087" s="29">
        <v>-4.1500000000000004</v>
      </c>
      <c r="M3087" s="30">
        <f>IFERROR(VLOOKUP($A3087,HeadJournal!$A$1:$J$890,COLUMN(HeadJournal!I$1),0)*($K3087+$L3087)/(SUMIF($A:$A,$A3087,$K:$K)+SUMIF($A:$A,$A3087,$L:$L)),0)</f>
        <v>-2.5952702953743261</v>
      </c>
      <c r="N3087" s="30">
        <f>IFERROR((VLOOKUP($A3087,HeadJournal!$A$1:$K$890,COLUMN(HeadJournal!K$1),0)-VLOOKUP($A3087,HeadJournal!$A$1:$K$890,COLUMN(HeadJournal!J$1),0))*($K3087+$L3087)/(SUMIF($A:$A,$A3087,$K:$K)+SUMIF($A:$A,$A3087,$L:$L)),0)</f>
        <v>-6.6632356123295281E-15</v>
      </c>
      <c r="O3087" s="30">
        <f>IFERROR((VLOOKUP($A3087,HeadJournal!$A$1:$L$890,COLUMN(HeadJournal!L$1),0)*($K3087+$L3087)/(SUMIF($A:$A,$A3087,$K:$K)+SUMIF($A:$A,$A3087,$L:$L)))/VLOOKUP($A3087,HeadJournal!$A$1:$L$890,COLUMN(HeadJournal!H$1),0),0)</f>
        <v>1.368045329205134</v>
      </c>
      <c r="P3087" s="30">
        <f>IFERROR(SUM(K3087:O3087)*VLOOKUP($A3087,HeadJournal!$A$1:$L$890,COLUMN(HeadJournal!H$1),0),0)</f>
        <v>1859.686997956529</v>
      </c>
      <c r="Q3087" s="29">
        <v>2900</v>
      </c>
      <c r="R3087" s="31">
        <v>45592</v>
      </c>
      <c r="S3087" s="31" t="s">
        <v>3121</v>
      </c>
      <c r="T3087" s="95" t="str">
        <f t="shared" si="248"/>
        <v>2024 10</v>
      </c>
      <c r="U3087" s="32">
        <f t="shared" si="245"/>
        <v>1040.313002043471</v>
      </c>
      <c r="V3087" s="22">
        <f t="shared" si="246"/>
        <v>0.55940220219133285</v>
      </c>
      <c r="X3087" s="33"/>
      <c r="Y3087" s="33"/>
    </row>
    <row r="3088" spans="1:25" x14ac:dyDescent="0.2">
      <c r="A3088" s="93" t="s">
        <v>1665</v>
      </c>
      <c r="B3088" s="94" t="str">
        <f>IFERROR(VLOOKUP($A3088,HeadJournal!$A$1:$NTR$890,COLUMN(HeadJournal!B$1),0),"")</f>
        <v>720000163398</v>
      </c>
      <c r="C3088" s="94" t="str">
        <f>IFERROR(VLOOKUP($A3088,HeadJournal!$A$1:$NTR$890,COLUMN(HeadJournal!C$1),0),"")</f>
        <v>iHerb_MH DLE7202</v>
      </c>
      <c r="D3088" s="125" t="str">
        <f>IFERROR(VLOOKUP($A3088,HeadJournal!$A$1:$NTR$890,COLUMN(HeadJournal!D$1),0),"")</f>
        <v>Доставлен</v>
      </c>
      <c r="E3088" s="95">
        <f>IFERROR(VLOOKUP($A3088,HeadJournal!$A$1:$NTR$890,COLUMN(HeadJournal!G$1),0),"")</f>
        <v>45361</v>
      </c>
      <c r="F3088" s="95" t="str">
        <f t="shared" si="247"/>
        <v>2024 03</v>
      </c>
      <c r="G3088" s="96" t="s">
        <v>5</v>
      </c>
      <c r="H3088" s="161" t="s">
        <v>3628</v>
      </c>
      <c r="I3088" s="97" t="s">
        <v>3670</v>
      </c>
      <c r="J3088" s="97" t="s">
        <v>3671</v>
      </c>
      <c r="K3088" s="29">
        <v>22.62</v>
      </c>
      <c r="L3088" s="29">
        <v>-13.22</v>
      </c>
      <c r="M3088" s="30">
        <f>IFERROR(VLOOKUP($A3088,HeadJournal!$A$1:$J$890,COLUMN(HeadJournal!I$1),0)*($K3088+$L3088)/(SUMIF($A:$A,$A3088,$K:$K)+SUMIF($A:$A,$A3088,$L:$L)),0)</f>
        <v>-1.2887237599851382</v>
      </c>
      <c r="N3088" s="30">
        <f>IFERROR((VLOOKUP($A3088,HeadJournal!$A$1:$K$890,COLUMN(HeadJournal!K$1),0)-VLOOKUP($A3088,HeadJournal!$A$1:$K$890,COLUMN(HeadJournal!J$1),0))*($K3088+$L3088)/(SUMIF($A:$A,$A3088,$K:$K)+SUMIF($A:$A,$A3088,$L:$L)),0)</f>
        <v>-3.3087382332750958E-15</v>
      </c>
      <c r="O3088" s="30">
        <f>IFERROR((VLOOKUP($A3088,HeadJournal!$A$1:$L$890,COLUMN(HeadJournal!L$1),0)*($K3088+$L3088)/(SUMIF($A:$A,$A3088,$K:$K)+SUMIF($A:$A,$A3088,$L:$L)))/VLOOKUP($A3088,HeadJournal!$A$1:$L$890,COLUMN(HeadJournal!H$1),0),0)</f>
        <v>0.67932520309182576</v>
      </c>
      <c r="P3088" s="30">
        <f>IFERROR(SUM(K3088:O3088)*VLOOKUP($A3088,HeadJournal!$A$1:$L$890,COLUMN(HeadJournal!H$1),0),0)</f>
        <v>923.45788593720943</v>
      </c>
      <c r="Q3088" s="29">
        <v>2700</v>
      </c>
      <c r="R3088" s="31">
        <v>45731</v>
      </c>
      <c r="S3088" s="31" t="s">
        <v>3121</v>
      </c>
      <c r="T3088" s="95" t="str">
        <f t="shared" si="248"/>
        <v>2025 03</v>
      </c>
      <c r="U3088" s="32">
        <f t="shared" si="245"/>
        <v>1776.5421140627905</v>
      </c>
      <c r="V3088" s="22">
        <f t="shared" si="246"/>
        <v>1.9237933219442847</v>
      </c>
      <c r="X3088" s="33"/>
      <c r="Y3088" s="33"/>
    </row>
    <row r="3089" spans="1:25" x14ac:dyDescent="0.2">
      <c r="A3089" s="93" t="s">
        <v>1672</v>
      </c>
      <c r="B3089" s="94" t="str">
        <f>IFERROR(VLOOKUP($A3089,HeadJournal!$A$1:$NTR$890,COLUMN(HeadJournal!B$1),0),"")</f>
        <v>710002129861</v>
      </c>
      <c r="C3089" s="94" t="str">
        <f>IFERROR(VLOOKUP($A3089,HeadJournal!$A$1:$NTR$890,COLUMN(HeadJournal!C$1),0),"")</f>
        <v>iHerb_MH DLE7202</v>
      </c>
      <c r="D3089" s="125" t="str">
        <f>IFERROR(VLOOKUP($A3089,HeadJournal!$A$1:$NTR$890,COLUMN(HeadJournal!D$1),0),"")</f>
        <v>Доставлен</v>
      </c>
      <c r="E3089" s="95">
        <f>IFERROR(VLOOKUP($A3089,HeadJournal!$A$1:$NTR$890,COLUMN(HeadJournal!G$1),0),"")</f>
        <v>45369</v>
      </c>
      <c r="F3089" s="95" t="str">
        <f t="shared" si="247"/>
        <v>2024 03</v>
      </c>
      <c r="G3089" s="96" t="s">
        <v>5</v>
      </c>
      <c r="H3089" s="161" t="str">
        <f>RIGHT(Journal!$J3089,9)</f>
        <v>NOW-04014</v>
      </c>
      <c r="I3089" s="97" t="str">
        <f t="shared" si="244"/>
        <v>NOW Foods</v>
      </c>
      <c r="J3089" s="97" t="s">
        <v>1674</v>
      </c>
      <c r="K3089" s="29">
        <v>27.3</v>
      </c>
      <c r="L3089" s="29">
        <v>-5.46</v>
      </c>
      <c r="M3089" s="30">
        <f>IFERROR(VLOOKUP($A3089,HeadJournal!$A$1:$J$890,COLUMN(HeadJournal!I$1),0)*($K3089+$L3089)/(SUMIF($A:$A,$A3089,$K:$K)+SUMIF($A:$A,$A3089,$L:$L)),0)</f>
        <v>-3.652449451765416</v>
      </c>
      <c r="N3089" s="30">
        <f>IFERROR((VLOOKUP($A3089,HeadJournal!$A$1:$K$890,COLUMN(HeadJournal!K$1),0)-VLOOKUP($A3089,HeadJournal!$A$1:$K$890,COLUMN(HeadJournal!J$1),0))*($K3089+$L3089)/(SUMIF($A:$A,$A3089,$K:$K)+SUMIF($A:$A,$A3089,$L:$L)),0)</f>
        <v>0</v>
      </c>
      <c r="O3089" s="30">
        <f>IFERROR((VLOOKUP($A3089,HeadJournal!$A$1:$L$890,COLUMN(HeadJournal!L$1),0)*($K3089+$L3089)/(SUMIF($A:$A,$A3089,$K:$K)+SUMIF($A:$A,$A3089,$L:$L)))/VLOOKUP($A3089,HeadJournal!$A$1:$L$890,COLUMN(HeadJournal!H$1),0),0)</f>
        <v>1.1640094021346254</v>
      </c>
      <c r="P3089" s="30">
        <f>IFERROR(SUM(K3089:O3089)*VLOOKUP($A3089,HeadJournal!$A$1:$L$890,COLUMN(HeadJournal!H$1),0),0)</f>
        <v>2040.5768232572177</v>
      </c>
      <c r="Q3089" s="29">
        <v>3300</v>
      </c>
      <c r="R3089" s="31">
        <v>45413</v>
      </c>
      <c r="S3089" s="31" t="s">
        <v>3121</v>
      </c>
      <c r="T3089" s="95" t="str">
        <f t="shared" si="248"/>
        <v>2024 05</v>
      </c>
      <c r="U3089" s="32">
        <f t="shared" si="245"/>
        <v>1259.4231767427823</v>
      </c>
      <c r="V3089" s="22">
        <f t="shared" si="246"/>
        <v>0.61718978790147228</v>
      </c>
      <c r="X3089" s="33"/>
      <c r="Y3089" s="33"/>
    </row>
    <row r="3090" spans="1:25" x14ac:dyDescent="0.2">
      <c r="A3090" s="93" t="s">
        <v>1672</v>
      </c>
      <c r="B3090" s="94" t="str">
        <f>IFERROR(VLOOKUP($A3090,HeadJournal!$A$1:$NTR$890,COLUMN(HeadJournal!B$1),0),"")</f>
        <v>710002129861</v>
      </c>
      <c r="C3090" s="94" t="str">
        <f>IFERROR(VLOOKUP($A3090,HeadJournal!$A$1:$NTR$890,COLUMN(HeadJournal!C$1),0),"")</f>
        <v>iHerb_MH DLE7202</v>
      </c>
      <c r="D3090" s="125" t="str">
        <f>IFERROR(VLOOKUP($A3090,HeadJournal!$A$1:$NTR$890,COLUMN(HeadJournal!D$1),0),"")</f>
        <v>Доставлен</v>
      </c>
      <c r="E3090" s="95">
        <f>IFERROR(VLOOKUP($A3090,HeadJournal!$A$1:$NTR$890,COLUMN(HeadJournal!G$1),0),"")</f>
        <v>45369</v>
      </c>
      <c r="F3090" s="95" t="str">
        <f t="shared" si="247"/>
        <v>2024 03</v>
      </c>
      <c r="G3090" s="96" t="s">
        <v>7</v>
      </c>
      <c r="H3090" s="161" t="str">
        <f>RIGHT(Journal!$J3090,9)</f>
        <v>HIM-20028</v>
      </c>
      <c r="I3090" s="97" t="str">
        <f t="shared" si="244"/>
        <v>Himalaya</v>
      </c>
      <c r="J3090" s="97" t="s">
        <v>1675</v>
      </c>
      <c r="K3090" s="29">
        <v>9.01</v>
      </c>
      <c r="L3090" s="29">
        <v>-1.8</v>
      </c>
      <c r="M3090" s="30">
        <f>IFERROR(VLOOKUP($A3090,HeadJournal!$A$1:$J$890,COLUMN(HeadJournal!I$1),0)*($K3090+$L3090)/(SUMIF($A:$A,$A3090,$K:$K)+SUMIF($A:$A,$A3090,$L:$L)),0)</f>
        <v>-1.2057765818328137</v>
      </c>
      <c r="N3090" s="30">
        <f>IFERROR((VLOOKUP($A3090,HeadJournal!$A$1:$K$890,COLUMN(HeadJournal!K$1),0)-VLOOKUP($A3090,HeadJournal!$A$1:$K$890,COLUMN(HeadJournal!J$1),0))*($K3090+$L3090)/(SUMIF($A:$A,$A3090,$K:$K)+SUMIF($A:$A,$A3090,$L:$L)),0)</f>
        <v>0</v>
      </c>
      <c r="O3090" s="30">
        <f>IFERROR((VLOOKUP($A3090,HeadJournal!$A$1:$L$890,COLUMN(HeadJournal!L$1),0)*($K3090+$L3090)/(SUMIF($A:$A,$A3090,$K:$K)+SUMIF($A:$A,$A3090,$L:$L)))/VLOOKUP($A3090,HeadJournal!$A$1:$L$890,COLUMN(HeadJournal!H$1),0),0)</f>
        <v>0.38427233467905902</v>
      </c>
      <c r="P3090" s="30">
        <f>IFERROR(SUM(K3090:O3090)*VLOOKUP($A3090,HeadJournal!$A$1:$L$890,COLUMN(HeadJournal!H$1),0),0)</f>
        <v>673.65196408811994</v>
      </c>
      <c r="Q3090" s="29"/>
      <c r="R3090" s="31"/>
      <c r="S3090" s="31"/>
      <c r="T3090" s="95" t="str">
        <f t="shared" si="248"/>
        <v/>
      </c>
      <c r="U3090" s="32">
        <f t="shared" si="245"/>
        <v>-673.65196408811994</v>
      </c>
      <c r="V3090" s="22" t="str">
        <f t="shared" si="246"/>
        <v/>
      </c>
      <c r="X3090" s="33"/>
      <c r="Y3090" s="33"/>
    </row>
    <row r="3091" spans="1:25" x14ac:dyDescent="0.2">
      <c r="A3091" s="93" t="s">
        <v>1672</v>
      </c>
      <c r="B3091" s="94" t="str">
        <f>IFERROR(VLOOKUP($A3091,HeadJournal!$A$1:$NTR$890,COLUMN(HeadJournal!B$1),0),"")</f>
        <v>710002129861</v>
      </c>
      <c r="C3091" s="94" t="str">
        <f>IFERROR(VLOOKUP($A3091,HeadJournal!$A$1:$NTR$890,COLUMN(HeadJournal!C$1),0),"")</f>
        <v>iHerb_MH DLE7202</v>
      </c>
      <c r="D3091" s="125" t="str">
        <f>IFERROR(VLOOKUP($A3091,HeadJournal!$A$1:$NTR$890,COLUMN(HeadJournal!D$1),0),"")</f>
        <v>Доставлен</v>
      </c>
      <c r="E3091" s="95">
        <f>IFERROR(VLOOKUP($A3091,HeadJournal!$A$1:$NTR$890,COLUMN(HeadJournal!G$1),0),"")</f>
        <v>45369</v>
      </c>
      <c r="F3091" s="95" t="str">
        <f t="shared" si="247"/>
        <v>2024 03</v>
      </c>
      <c r="G3091" s="96" t="s">
        <v>7</v>
      </c>
      <c r="H3091" s="161" t="str">
        <f>RIGHT(Journal!$J3091,9)</f>
        <v>DES-33442</v>
      </c>
      <c r="I3091" s="97" t="str">
        <f t="shared" si="244"/>
        <v>Desert Essence</v>
      </c>
      <c r="J3091" s="97" t="s">
        <v>1676</v>
      </c>
      <c r="K3091" s="29">
        <v>7.37</v>
      </c>
      <c r="L3091" s="29">
        <v>-1.47</v>
      </c>
      <c r="M3091" s="30">
        <f>IFERROR(VLOOKUP($A3091,HeadJournal!$A$1:$J$890,COLUMN(HeadJournal!I$1),0)*($K3091+$L3091)/(SUMIF($A:$A,$A3091,$K:$K)+SUMIF($A:$A,$A3091,$L:$L)),0)</f>
        <v>-0.98669650940549247</v>
      </c>
      <c r="N3091" s="30">
        <f>IFERROR((VLOOKUP($A3091,HeadJournal!$A$1:$K$890,COLUMN(HeadJournal!K$1),0)-VLOOKUP($A3091,HeadJournal!$A$1:$K$890,COLUMN(HeadJournal!J$1),0))*($K3091+$L3091)/(SUMIF($A:$A,$A3091,$K:$K)+SUMIF($A:$A,$A3091,$L:$L)),0)</f>
        <v>0</v>
      </c>
      <c r="O3091" s="30">
        <f>IFERROR((VLOOKUP($A3091,HeadJournal!$A$1:$L$890,COLUMN(HeadJournal!L$1),0)*($K3091+$L3091)/(SUMIF($A:$A,$A3091,$K:$K)+SUMIF($A:$A,$A3091,$L:$L)))/VLOOKUP($A3091,HeadJournal!$A$1:$L$890,COLUMN(HeadJournal!H$1),0),0)</f>
        <v>0.31445308940450051</v>
      </c>
      <c r="P3091" s="30">
        <f>IFERROR(SUM(K3091:O3091)*VLOOKUP($A3091,HeadJournal!$A$1:$L$890,COLUMN(HeadJournal!H$1),0),0)</f>
        <v>551.25472789457808</v>
      </c>
      <c r="Q3091" s="29">
        <v>1100</v>
      </c>
      <c r="R3091" s="31">
        <v>45423</v>
      </c>
      <c r="S3091" s="31" t="s">
        <v>3121</v>
      </c>
      <c r="T3091" s="95" t="str">
        <f t="shared" si="248"/>
        <v>2024 05</v>
      </c>
      <c r="U3091" s="32">
        <f t="shared" si="245"/>
        <v>548.74527210542192</v>
      </c>
      <c r="V3091" s="22">
        <f t="shared" si="246"/>
        <v>0.99544773829198596</v>
      </c>
      <c r="X3091" s="33"/>
      <c r="Y3091" s="33"/>
    </row>
    <row r="3092" spans="1:25" x14ac:dyDescent="0.2">
      <c r="A3092" s="93" t="s">
        <v>1672</v>
      </c>
      <c r="B3092" s="94" t="str">
        <f>IFERROR(VLOOKUP($A3092,HeadJournal!$A$1:$NTR$890,COLUMN(HeadJournal!B$1),0),"")</f>
        <v>710002129861</v>
      </c>
      <c r="C3092" s="94" t="str">
        <f>IFERROR(VLOOKUP($A3092,HeadJournal!$A$1:$NTR$890,COLUMN(HeadJournal!C$1),0),"")</f>
        <v>iHerb_MH DLE7202</v>
      </c>
      <c r="D3092" s="125" t="str">
        <f>IFERROR(VLOOKUP($A3092,HeadJournal!$A$1:$NTR$890,COLUMN(HeadJournal!D$1),0),"")</f>
        <v>Доставлен</v>
      </c>
      <c r="E3092" s="95">
        <f>IFERROR(VLOOKUP($A3092,HeadJournal!$A$1:$NTR$890,COLUMN(HeadJournal!G$1),0),"")</f>
        <v>45369</v>
      </c>
      <c r="F3092" s="95" t="str">
        <f t="shared" si="247"/>
        <v>2024 03</v>
      </c>
      <c r="G3092" s="96" t="s">
        <v>5</v>
      </c>
      <c r="H3092" s="161" t="s">
        <v>2626</v>
      </c>
      <c r="I3092" s="97" t="s">
        <v>2005</v>
      </c>
      <c r="J3092" s="97" t="s">
        <v>2627</v>
      </c>
      <c r="K3092" s="29">
        <v>25.04</v>
      </c>
      <c r="L3092" s="29">
        <v>-5.01</v>
      </c>
      <c r="M3092" s="30">
        <f>IFERROR(VLOOKUP($A3092,HeadJournal!$A$1:$J$890,COLUMN(HeadJournal!I$1),0)*($K3092+$L3092)/(SUMIF($A:$A,$A3092,$K:$K)+SUMIF($A:$A,$A3092,$L:$L)),0)</f>
        <v>-3.3497510310833922</v>
      </c>
      <c r="N3092" s="30">
        <f>IFERROR((VLOOKUP($A3092,HeadJournal!$A$1:$K$890,COLUMN(HeadJournal!K$1),0)-VLOOKUP($A3092,HeadJournal!$A$1:$K$890,COLUMN(HeadJournal!J$1),0))*($K3092+$L3092)/(SUMIF($A:$A,$A3092,$K:$K)+SUMIF($A:$A,$A3092,$L:$L)),0)</f>
        <v>0</v>
      </c>
      <c r="O3092" s="30">
        <f>IFERROR((VLOOKUP($A3092,HeadJournal!$A$1:$L$890,COLUMN(HeadJournal!L$1),0)*($K3092+$L3092)/(SUMIF($A:$A,$A3092,$K:$K)+SUMIF($A:$A,$A3092,$L:$L)))/VLOOKUP($A3092,HeadJournal!$A$1:$L$890,COLUMN(HeadJournal!H$1),0),0)</f>
        <v>1.0675415899613803</v>
      </c>
      <c r="P3092" s="30">
        <f>IFERROR(SUM(K3092:O3092)*VLOOKUP($A3092,HeadJournal!$A$1:$L$890,COLUMN(HeadJournal!H$1),0),0)</f>
        <v>1871.4630846997286</v>
      </c>
      <c r="Q3092" s="29">
        <v>3000</v>
      </c>
      <c r="R3092" s="31">
        <v>45423</v>
      </c>
      <c r="S3092" s="31" t="s">
        <v>3121</v>
      </c>
      <c r="T3092" s="95" t="str">
        <f t="shared" si="248"/>
        <v>2024 05</v>
      </c>
      <c r="U3092" s="32">
        <f t="shared" si="245"/>
        <v>1128.5369153002714</v>
      </c>
      <c r="V3092" s="22">
        <f t="shared" si="246"/>
        <v>0.60302387181809802</v>
      </c>
      <c r="X3092" s="33"/>
      <c r="Y3092" s="33"/>
    </row>
    <row r="3093" spans="1:25" x14ac:dyDescent="0.2">
      <c r="A3093" s="93" t="s">
        <v>1672</v>
      </c>
      <c r="B3093" s="94" t="str">
        <f>IFERROR(VLOOKUP($A3093,HeadJournal!$A$1:$NTR$890,COLUMN(HeadJournal!B$1),0),"")</f>
        <v>710002129861</v>
      </c>
      <c r="C3093" s="94" t="str">
        <f>IFERROR(VLOOKUP($A3093,HeadJournal!$A$1:$NTR$890,COLUMN(HeadJournal!C$1),0),"")</f>
        <v>iHerb_MH DLE7202</v>
      </c>
      <c r="D3093" s="125" t="str">
        <f>IFERROR(VLOOKUP($A3093,HeadJournal!$A$1:$NTR$890,COLUMN(HeadJournal!D$1),0),"")</f>
        <v>Доставлен</v>
      </c>
      <c r="E3093" s="95">
        <f>IFERROR(VLOOKUP($A3093,HeadJournal!$A$1:$NTR$890,COLUMN(HeadJournal!G$1),0),"")</f>
        <v>45369</v>
      </c>
      <c r="F3093" s="95" t="str">
        <f t="shared" si="247"/>
        <v>2024 03</v>
      </c>
      <c r="G3093" s="96" t="s">
        <v>5</v>
      </c>
      <c r="H3093" s="161" t="s">
        <v>2626</v>
      </c>
      <c r="I3093" s="97" t="s">
        <v>2005</v>
      </c>
      <c r="J3093" s="97" t="s">
        <v>2627</v>
      </c>
      <c r="K3093" s="29">
        <v>25.04</v>
      </c>
      <c r="L3093" s="29">
        <v>-5.01</v>
      </c>
      <c r="M3093" s="30">
        <f>IFERROR(VLOOKUP($A3093,HeadJournal!$A$1:$J$890,COLUMN(HeadJournal!I$1),0)*($K3093+$L3093)/(SUMIF($A:$A,$A3093,$K:$K)+SUMIF($A:$A,$A3093,$L:$L)),0)</f>
        <v>-3.3497510310833922</v>
      </c>
      <c r="N3093" s="30">
        <f>IFERROR((VLOOKUP($A3093,HeadJournal!$A$1:$K$890,COLUMN(HeadJournal!K$1),0)-VLOOKUP($A3093,HeadJournal!$A$1:$K$890,COLUMN(HeadJournal!J$1),0))*($K3093+$L3093)/(SUMIF($A:$A,$A3093,$K:$K)+SUMIF($A:$A,$A3093,$L:$L)),0)</f>
        <v>0</v>
      </c>
      <c r="O3093" s="30">
        <f>IFERROR((VLOOKUP($A3093,HeadJournal!$A$1:$L$890,COLUMN(HeadJournal!L$1),0)*($K3093+$L3093)/(SUMIF($A:$A,$A3093,$K:$K)+SUMIF($A:$A,$A3093,$L:$L)))/VLOOKUP($A3093,HeadJournal!$A$1:$L$890,COLUMN(HeadJournal!H$1),0),0)</f>
        <v>1.0675415899613803</v>
      </c>
      <c r="P3093" s="30">
        <f>IFERROR(SUM(K3093:O3093)*VLOOKUP($A3093,HeadJournal!$A$1:$L$890,COLUMN(HeadJournal!H$1),0),0)</f>
        <v>1871.4630846997286</v>
      </c>
      <c r="Q3093" s="29">
        <v>2900</v>
      </c>
      <c r="R3093" s="31">
        <v>45571</v>
      </c>
      <c r="S3093" s="31" t="s">
        <v>3121</v>
      </c>
      <c r="T3093" s="95" t="str">
        <f t="shared" si="248"/>
        <v>2024 10</v>
      </c>
      <c r="U3093" s="32">
        <f t="shared" si="245"/>
        <v>1028.5369153002714</v>
      </c>
      <c r="V3093" s="22">
        <f t="shared" si="246"/>
        <v>0.54958974275749473</v>
      </c>
      <c r="X3093" s="33"/>
      <c r="Y3093" s="33"/>
    </row>
    <row r="3094" spans="1:25" x14ac:dyDescent="0.2">
      <c r="A3094" s="93" t="s">
        <v>1672</v>
      </c>
      <c r="B3094" s="94" t="str">
        <f>IFERROR(VLOOKUP($A3094,HeadJournal!$A$1:$NTR$890,COLUMN(HeadJournal!B$1),0),"")</f>
        <v>710002129861</v>
      </c>
      <c r="C3094" s="94" t="str">
        <f>IFERROR(VLOOKUP($A3094,HeadJournal!$A$1:$NTR$890,COLUMN(HeadJournal!C$1),0),"")</f>
        <v>iHerb_MH DLE7202</v>
      </c>
      <c r="D3094" s="125" t="str">
        <f>IFERROR(VLOOKUP($A3094,HeadJournal!$A$1:$NTR$890,COLUMN(HeadJournal!D$1),0),"")</f>
        <v>Доставлен</v>
      </c>
      <c r="E3094" s="95">
        <f>IFERROR(VLOOKUP($A3094,HeadJournal!$A$1:$NTR$890,COLUMN(HeadJournal!G$1),0),"")</f>
        <v>45369</v>
      </c>
      <c r="F3094" s="95" t="str">
        <f t="shared" si="247"/>
        <v>2024 03</v>
      </c>
      <c r="G3094" s="96" t="s">
        <v>5</v>
      </c>
      <c r="H3094" s="161" t="s">
        <v>2678</v>
      </c>
      <c r="I3094" s="97" t="s">
        <v>2005</v>
      </c>
      <c r="J3094" s="97" t="s">
        <v>2679</v>
      </c>
      <c r="K3094" s="29">
        <v>9.2200000000000006</v>
      </c>
      <c r="L3094" s="29">
        <v>-1.84</v>
      </c>
      <c r="M3094" s="30">
        <f>IFERROR(VLOOKUP($A3094,HeadJournal!$A$1:$J$890,COLUMN(HeadJournal!I$1),0)*($K3094+$L3094)/(SUMIF($A:$A,$A3094,$K:$K)+SUMIF($A:$A,$A3094,$L:$L)),0)</f>
        <v>-1.2342068202394127</v>
      </c>
      <c r="N3094" s="30">
        <f>IFERROR((VLOOKUP($A3094,HeadJournal!$A$1:$K$890,COLUMN(HeadJournal!K$1),0)-VLOOKUP($A3094,HeadJournal!$A$1:$K$890,COLUMN(HeadJournal!J$1),0))*($K3094+$L3094)/(SUMIF($A:$A,$A3094,$K:$K)+SUMIF($A:$A,$A3094,$L:$L)),0)</f>
        <v>0</v>
      </c>
      <c r="O3094" s="30">
        <f>IFERROR((VLOOKUP($A3094,HeadJournal!$A$1:$L$890,COLUMN(HeadJournal!L$1),0)*($K3094+$L3094)/(SUMIF($A:$A,$A3094,$K:$K)+SUMIF($A:$A,$A3094,$L:$L)))/VLOOKUP($A3094,HeadJournal!$A$1:$L$890,COLUMN(HeadJournal!H$1),0),0)</f>
        <v>0.39333284742461244</v>
      </c>
      <c r="P3094" s="30">
        <f>IFERROR(SUM(K3094:O3094)*VLOOKUP($A3094,HeadJournal!$A$1:$L$890,COLUMN(HeadJournal!H$1),0),0)</f>
        <v>689.5355748918621</v>
      </c>
      <c r="Q3094" s="29">
        <v>1600</v>
      </c>
      <c r="R3094" s="31">
        <v>45456</v>
      </c>
      <c r="S3094" s="31" t="s">
        <v>3121</v>
      </c>
      <c r="T3094" s="95" t="str">
        <f t="shared" si="248"/>
        <v>2024 06</v>
      </c>
      <c r="U3094" s="32">
        <f t="shared" si="245"/>
        <v>910.4644251081379</v>
      </c>
      <c r="V3094" s="22">
        <f t="shared" si="246"/>
        <v>1.3204023958458175</v>
      </c>
      <c r="X3094" s="33"/>
      <c r="Y3094" s="33"/>
    </row>
    <row r="3095" spans="1:25" x14ac:dyDescent="0.2">
      <c r="A3095" s="93" t="s">
        <v>1672</v>
      </c>
      <c r="B3095" s="94" t="str">
        <f>IFERROR(VLOOKUP($A3095,HeadJournal!$A$1:$NTR$890,COLUMN(HeadJournal!B$1),0),"")</f>
        <v>710002129861</v>
      </c>
      <c r="C3095" s="94" t="str">
        <f>IFERROR(VLOOKUP($A3095,HeadJournal!$A$1:$NTR$890,COLUMN(HeadJournal!C$1),0),"")</f>
        <v>iHerb_MH DLE7202</v>
      </c>
      <c r="D3095" s="125" t="str">
        <f>IFERROR(VLOOKUP($A3095,HeadJournal!$A$1:$NTR$890,COLUMN(HeadJournal!D$1),0),"")</f>
        <v>Доставлен</v>
      </c>
      <c r="E3095" s="95">
        <f>IFERROR(VLOOKUP($A3095,HeadJournal!$A$1:$NTR$890,COLUMN(HeadJournal!G$1),0),"")</f>
        <v>45369</v>
      </c>
      <c r="F3095" s="95" t="str">
        <f t="shared" si="247"/>
        <v>2024 03</v>
      </c>
      <c r="G3095" s="96" t="s">
        <v>5</v>
      </c>
      <c r="H3095" s="161" t="str">
        <f>RIGHT(Journal!$J3095,9)</f>
        <v>CLF-02971</v>
      </c>
      <c r="I3095" s="97" t="str">
        <f t="shared" si="244"/>
        <v>Country Life</v>
      </c>
      <c r="J3095" s="97" t="s">
        <v>1677</v>
      </c>
      <c r="K3095" s="29">
        <v>15.33</v>
      </c>
      <c r="L3095" s="29">
        <v>-3.0649999999999999</v>
      </c>
      <c r="M3095" s="30">
        <f>IFERROR(VLOOKUP($A3095,HeadJournal!$A$1:$J$890,COLUMN(HeadJournal!I$1),0)*($K3095+$L3095)/(SUMIF($A:$A,$A3095,$K:$K)+SUMIF($A:$A,$A3095,$L:$L)),0)</f>
        <v>-2.0511580826878584</v>
      </c>
      <c r="N3095" s="30">
        <f>IFERROR((VLOOKUP($A3095,HeadJournal!$A$1:$K$890,COLUMN(HeadJournal!K$1),0)-VLOOKUP($A3095,HeadJournal!$A$1:$K$890,COLUMN(HeadJournal!J$1),0))*($K3095+$L3095)/(SUMIF($A:$A,$A3095,$K:$K)+SUMIF($A:$A,$A3095,$L:$L)),0)</f>
        <v>0</v>
      </c>
      <c r="O3095" s="30">
        <f>IFERROR((VLOOKUP($A3095,HeadJournal!$A$1:$L$890,COLUMN(HeadJournal!L$1),0)*($K3095+$L3095)/(SUMIF($A:$A,$A3095,$K:$K)+SUMIF($A:$A,$A3095,$L:$L)))/VLOOKUP($A3095,HeadJournal!$A$1:$L$890,COLUMN(HeadJournal!H$1),0),0)</f>
        <v>0.65368934602477935</v>
      </c>
      <c r="P3095" s="30">
        <f>IFERROR(SUM(K3095:O3095)*VLOOKUP($A3095,HeadJournal!$A$1:$L$890,COLUMN(HeadJournal!H$1),0),0)</f>
        <v>1145.9558029876271</v>
      </c>
      <c r="Q3095" s="29">
        <v>2400</v>
      </c>
      <c r="R3095" s="31">
        <v>45402</v>
      </c>
      <c r="S3095" s="31" t="s">
        <v>3121</v>
      </c>
      <c r="T3095" s="95" t="str">
        <f t="shared" si="248"/>
        <v>2024 04</v>
      </c>
      <c r="U3095" s="32">
        <f t="shared" si="245"/>
        <v>1254.0441970123729</v>
      </c>
      <c r="V3095" s="22">
        <f t="shared" si="246"/>
        <v>1.0943216079912925</v>
      </c>
      <c r="X3095" s="33"/>
      <c r="Y3095" s="33"/>
    </row>
    <row r="3096" spans="1:25" x14ac:dyDescent="0.2">
      <c r="A3096" s="93" t="s">
        <v>1672</v>
      </c>
      <c r="B3096" s="94" t="str">
        <f>IFERROR(VLOOKUP($A3096,HeadJournal!$A$1:$NTR$890,COLUMN(HeadJournal!B$1),0),"")</f>
        <v>710002129861</v>
      </c>
      <c r="C3096" s="94" t="str">
        <f>IFERROR(VLOOKUP($A3096,HeadJournal!$A$1:$NTR$890,COLUMN(HeadJournal!C$1),0),"")</f>
        <v>iHerb_MH DLE7202</v>
      </c>
      <c r="D3096" s="125" t="str">
        <f>IFERROR(VLOOKUP($A3096,HeadJournal!$A$1:$NTR$890,COLUMN(HeadJournal!D$1),0),"")</f>
        <v>Доставлен</v>
      </c>
      <c r="E3096" s="95">
        <f>IFERROR(VLOOKUP($A3096,HeadJournal!$A$1:$NTR$890,COLUMN(HeadJournal!G$1),0),"")</f>
        <v>45369</v>
      </c>
      <c r="F3096" s="95" t="str">
        <f t="shared" si="247"/>
        <v>2024 03</v>
      </c>
      <c r="G3096" s="96" t="s">
        <v>5</v>
      </c>
      <c r="H3096" s="161" t="str">
        <f>RIGHT(Journal!$J3096,9)</f>
        <v>CLF-02971</v>
      </c>
      <c r="I3096" s="97" t="str">
        <f t="shared" si="244"/>
        <v>Country Life</v>
      </c>
      <c r="J3096" s="97" t="s">
        <v>1677</v>
      </c>
      <c r="K3096" s="29">
        <v>15.33</v>
      </c>
      <c r="L3096" s="29">
        <v>-3.0649999999999999</v>
      </c>
      <c r="M3096" s="30">
        <f>IFERROR(VLOOKUP($A3096,HeadJournal!$A$1:$J$890,COLUMN(HeadJournal!I$1),0)*($K3096+$L3096)/(SUMIF($A:$A,$A3096,$K:$K)+SUMIF($A:$A,$A3096,$L:$L)),0)</f>
        <v>-2.0511580826878584</v>
      </c>
      <c r="N3096" s="30">
        <f>IFERROR((VLOOKUP($A3096,HeadJournal!$A$1:$K$890,COLUMN(HeadJournal!K$1),0)-VLOOKUP($A3096,HeadJournal!$A$1:$K$890,COLUMN(HeadJournal!J$1),0))*($K3096+$L3096)/(SUMIF($A:$A,$A3096,$K:$K)+SUMIF($A:$A,$A3096,$L:$L)),0)</f>
        <v>0</v>
      </c>
      <c r="O3096" s="30">
        <f>IFERROR((VLOOKUP($A3096,HeadJournal!$A$1:$L$890,COLUMN(HeadJournal!L$1),0)*($K3096+$L3096)/(SUMIF($A:$A,$A3096,$K:$K)+SUMIF($A:$A,$A3096,$L:$L)))/VLOOKUP($A3096,HeadJournal!$A$1:$L$890,COLUMN(HeadJournal!H$1),0),0)</f>
        <v>0.65368934602477935</v>
      </c>
      <c r="P3096" s="30">
        <f>IFERROR(SUM(K3096:O3096)*VLOOKUP($A3096,HeadJournal!$A$1:$L$890,COLUMN(HeadJournal!H$1),0),0)</f>
        <v>1145.9558029876271</v>
      </c>
      <c r="Q3096" s="29">
        <v>2300</v>
      </c>
      <c r="R3096" s="31">
        <v>45577</v>
      </c>
      <c r="S3096" s="31" t="s">
        <v>3121</v>
      </c>
      <c r="T3096" s="95" t="str">
        <f t="shared" si="248"/>
        <v>2024 10</v>
      </c>
      <c r="U3096" s="32">
        <f t="shared" si="245"/>
        <v>1154.0441970123729</v>
      </c>
      <c r="V3096" s="22">
        <f t="shared" si="246"/>
        <v>1.0070582076583221</v>
      </c>
      <c r="X3096" s="33"/>
      <c r="Y3096" s="33"/>
    </row>
    <row r="3097" spans="1:25" x14ac:dyDescent="0.2">
      <c r="A3097" s="93" t="s">
        <v>1672</v>
      </c>
      <c r="B3097" s="94" t="str">
        <f>IFERROR(VLOOKUP($A3097,HeadJournal!$A$1:$NTR$890,COLUMN(HeadJournal!B$1),0),"")</f>
        <v>710002129861</v>
      </c>
      <c r="C3097" s="94" t="str">
        <f>IFERROR(VLOOKUP($A3097,HeadJournal!$A$1:$NTR$890,COLUMN(HeadJournal!C$1),0),"")</f>
        <v>iHerb_MH DLE7202</v>
      </c>
      <c r="D3097" s="125" t="str">
        <f>IFERROR(VLOOKUP($A3097,HeadJournal!$A$1:$NTR$890,COLUMN(HeadJournal!D$1),0),"")</f>
        <v>Доставлен</v>
      </c>
      <c r="E3097" s="95">
        <f>IFERROR(VLOOKUP($A3097,HeadJournal!$A$1:$NTR$890,COLUMN(HeadJournal!G$1),0),"")</f>
        <v>45369</v>
      </c>
      <c r="F3097" s="95" t="str">
        <f t="shared" si="247"/>
        <v>2024 03</v>
      </c>
      <c r="G3097" s="96" t="s">
        <v>5</v>
      </c>
      <c r="H3097" s="161" t="str">
        <f>RIGHT(Journal!$J3097,9)</f>
        <v>FHH-00001</v>
      </c>
      <c r="I3097" s="97" t="str">
        <f t="shared" si="244"/>
        <v>Fairhaven Health</v>
      </c>
      <c r="J3097" s="97" t="s">
        <v>1678</v>
      </c>
      <c r="K3097" s="29">
        <v>20.11</v>
      </c>
      <c r="L3097" s="29">
        <v>-4.0199999999999996</v>
      </c>
      <c r="M3097" s="30">
        <f>IFERROR(VLOOKUP($A3097,HeadJournal!$A$1:$J$890,COLUMN(HeadJournal!I$1),0)*($K3097+$L3097)/(SUMIF($A:$A,$A3097,$K:$K)+SUMIF($A:$A,$A3097,$L:$L)),0)</f>
        <v>-2.690838446836334</v>
      </c>
      <c r="N3097" s="30">
        <f>IFERROR((VLOOKUP($A3097,HeadJournal!$A$1:$K$890,COLUMN(HeadJournal!K$1),0)-VLOOKUP($A3097,HeadJournal!$A$1:$K$890,COLUMN(HeadJournal!J$1),0))*($K3097+$L3097)/(SUMIF($A:$A,$A3097,$K:$K)+SUMIF($A:$A,$A3097,$L:$L)),0)</f>
        <v>0</v>
      </c>
      <c r="O3097" s="30">
        <f>IFERROR((VLOOKUP($A3097,HeadJournal!$A$1:$L$890,COLUMN(HeadJournal!L$1),0)*($K3097+$L3097)/(SUMIF($A:$A,$A3097,$K:$K)+SUMIF($A:$A,$A3097,$L:$L)))/VLOOKUP($A3097,HeadJournal!$A$1:$L$890,COLUMN(HeadJournal!H$1),0),0)</f>
        <v>0.85755088279973091</v>
      </c>
      <c r="P3097" s="30">
        <f>IFERROR(SUM(K3097:O3097)*VLOOKUP($A3097,HeadJournal!$A$1:$L$890,COLUMN(HeadJournal!H$1),0),0)</f>
        <v>1503.337046071824</v>
      </c>
      <c r="Q3097" s="29">
        <v>2600</v>
      </c>
      <c r="R3097" s="31">
        <v>45402</v>
      </c>
      <c r="S3097" s="31" t="s">
        <v>3121</v>
      </c>
      <c r="T3097" s="95" t="str">
        <f t="shared" si="248"/>
        <v>2024 04</v>
      </c>
      <c r="U3097" s="32">
        <f t="shared" si="245"/>
        <v>1096.662953928176</v>
      </c>
      <c r="V3097" s="22">
        <f t="shared" si="246"/>
        <v>0.72948575091242807</v>
      </c>
      <c r="X3097" s="33"/>
      <c r="Y3097" s="33"/>
    </row>
    <row r="3098" spans="1:25" x14ac:dyDescent="0.2">
      <c r="A3098" s="93" t="s">
        <v>1672</v>
      </c>
      <c r="B3098" s="94" t="str">
        <f>IFERROR(VLOOKUP($A3098,HeadJournal!$A$1:$NTR$890,COLUMN(HeadJournal!B$1),0),"")</f>
        <v>710002129861</v>
      </c>
      <c r="C3098" s="94" t="str">
        <f>IFERROR(VLOOKUP($A3098,HeadJournal!$A$1:$NTR$890,COLUMN(HeadJournal!C$1),0),"")</f>
        <v>iHerb_MH DLE7202</v>
      </c>
      <c r="D3098" s="125" t="str">
        <f>IFERROR(VLOOKUP($A3098,HeadJournal!$A$1:$NTR$890,COLUMN(HeadJournal!D$1),0),"")</f>
        <v>Доставлен</v>
      </c>
      <c r="E3098" s="95">
        <f>IFERROR(VLOOKUP($A3098,HeadJournal!$A$1:$NTR$890,COLUMN(HeadJournal!G$1),0),"")</f>
        <v>45369</v>
      </c>
      <c r="F3098" s="95" t="str">
        <f t="shared" si="247"/>
        <v>2024 03</v>
      </c>
      <c r="G3098" s="96" t="s">
        <v>5</v>
      </c>
      <c r="H3098" s="161" t="s">
        <v>2203</v>
      </c>
      <c r="I3098" s="97" t="s">
        <v>2166</v>
      </c>
      <c r="J3098" s="97" t="s">
        <v>4099</v>
      </c>
      <c r="K3098" s="29">
        <v>9.48</v>
      </c>
      <c r="L3098" s="29">
        <v>-1.9</v>
      </c>
      <c r="M3098" s="30">
        <f>IFERROR(VLOOKUP($A3098,HeadJournal!$A$1:$J$890,COLUMN(HeadJournal!I$1),0)*($K3098+$L3098)/(SUMIF($A:$A,$A3098,$K:$K)+SUMIF($A:$A,$A3098,$L:$L)),0)</f>
        <v>-1.2676541595412936</v>
      </c>
      <c r="N3098" s="30">
        <f>IFERROR((VLOOKUP($A3098,HeadJournal!$A$1:$K$890,COLUMN(HeadJournal!K$1),0)-VLOOKUP($A3098,HeadJournal!$A$1:$K$890,COLUMN(HeadJournal!J$1),0))*($K3098+$L3098)/(SUMIF($A:$A,$A3098,$K:$K)+SUMIF($A:$A,$A3098,$L:$L)),0)</f>
        <v>0</v>
      </c>
      <c r="O3098" s="30">
        <f>IFERROR((VLOOKUP($A3098,HeadJournal!$A$1:$L$890,COLUMN(HeadJournal!L$1),0)*($K3098+$L3098)/(SUMIF($A:$A,$A3098,$K:$K)+SUMIF($A:$A,$A3098,$L:$L)))/VLOOKUP($A3098,HeadJournal!$A$1:$L$890,COLUMN(HeadJournal!H$1),0),0)</f>
        <v>0.40399227418408695</v>
      </c>
      <c r="P3098" s="30">
        <f>IFERROR(SUM(K3098:O3098)*VLOOKUP($A3098,HeadJournal!$A$1:$L$890,COLUMN(HeadJournal!H$1),0),0)</f>
        <v>708.222175837441</v>
      </c>
      <c r="Q3098" s="29">
        <v>1500</v>
      </c>
      <c r="R3098" s="31">
        <v>45411</v>
      </c>
      <c r="S3098" s="31" t="s">
        <v>3121</v>
      </c>
      <c r="T3098" s="95" t="str">
        <f t="shared" si="248"/>
        <v>2024 04</v>
      </c>
      <c r="U3098" s="32">
        <f t="shared" si="245"/>
        <v>791.777824162559</v>
      </c>
      <c r="V3098" s="22">
        <f t="shared" si="246"/>
        <v>1.1179794295855212</v>
      </c>
      <c r="X3098" s="33"/>
      <c r="Y3098" s="33"/>
    </row>
    <row r="3099" spans="1:25" x14ac:dyDescent="0.2">
      <c r="A3099" s="93" t="s">
        <v>1672</v>
      </c>
      <c r="B3099" s="94" t="str">
        <f>IFERROR(VLOOKUP($A3099,HeadJournal!$A$1:$NTR$890,COLUMN(HeadJournal!B$1),0),"")</f>
        <v>710002129861</v>
      </c>
      <c r="C3099" s="94" t="str">
        <f>IFERROR(VLOOKUP($A3099,HeadJournal!$A$1:$NTR$890,COLUMN(HeadJournal!C$1),0),"")</f>
        <v>iHerb_MH DLE7202</v>
      </c>
      <c r="D3099" s="125" t="str">
        <f>IFERROR(VLOOKUP($A3099,HeadJournal!$A$1:$NTR$890,COLUMN(HeadJournal!D$1),0),"")</f>
        <v>Доставлен</v>
      </c>
      <c r="E3099" s="95">
        <f>IFERROR(VLOOKUP($A3099,HeadJournal!$A$1:$NTR$890,COLUMN(HeadJournal!G$1),0),"")</f>
        <v>45369</v>
      </c>
      <c r="F3099" s="95" t="str">
        <f t="shared" si="247"/>
        <v>2024 03</v>
      </c>
      <c r="G3099" s="96" t="s">
        <v>7</v>
      </c>
      <c r="H3099" s="161" t="str">
        <f>RIGHT(Journal!$J3099,9)</f>
        <v>ARH-19793</v>
      </c>
      <c r="I3099" s="97" t="str">
        <f t="shared" si="244"/>
        <v>Arm &amp; Hammer</v>
      </c>
      <c r="J3099" s="97" t="s">
        <v>743</v>
      </c>
      <c r="K3099" s="29">
        <v>5.87</v>
      </c>
      <c r="L3099" s="29">
        <v>-1.175</v>
      </c>
      <c r="M3099" s="30">
        <f>IFERROR(VLOOKUP($A3099,HeadJournal!$A$1:$J$890,COLUMN(HeadJournal!I$1),0)*($K3099+$L3099)/(SUMIF($A:$A,$A3099,$K:$K)+SUMIF($A:$A,$A3099,$L:$L)),0)</f>
        <v>-0.7851762901116589</v>
      </c>
      <c r="N3099" s="30">
        <f>IFERROR((VLOOKUP($A3099,HeadJournal!$A$1:$K$890,COLUMN(HeadJournal!K$1),0)-VLOOKUP($A3099,HeadJournal!$A$1:$K$890,COLUMN(HeadJournal!J$1),0))*($K3099+$L3099)/(SUMIF($A:$A,$A3099,$K:$K)+SUMIF($A:$A,$A3099,$L:$L)),0)</f>
        <v>0</v>
      </c>
      <c r="O3099" s="30">
        <f>IFERROR((VLOOKUP($A3099,HeadJournal!$A$1:$L$890,COLUMN(HeadJournal!L$1),0)*($K3099+$L3099)/(SUMIF($A:$A,$A3099,$K:$K)+SUMIF($A:$A,$A3099,$L:$L)))/VLOOKUP($A3099,HeadJournal!$A$1:$L$890,COLUMN(HeadJournal!H$1),0),0)</f>
        <v>0.2502300431786661</v>
      </c>
      <c r="P3099" s="30">
        <f>IFERROR(SUM(K3099:O3099)*VLOOKUP($A3099,HeadJournal!$A$1:$L$890,COLUMN(HeadJournal!H$1),0),0)</f>
        <v>438.66795719746511</v>
      </c>
      <c r="Q3099" s="29">
        <v>800</v>
      </c>
      <c r="R3099" s="31">
        <v>45426</v>
      </c>
      <c r="S3099" s="31" t="s">
        <v>3121</v>
      </c>
      <c r="T3099" s="95" t="str">
        <f t="shared" si="248"/>
        <v>2024 05</v>
      </c>
      <c r="U3099" s="32">
        <f t="shared" si="245"/>
        <v>361.33204280253489</v>
      </c>
      <c r="V3099" s="22">
        <f t="shared" si="246"/>
        <v>0.82370284146348605</v>
      </c>
      <c r="X3099" s="33"/>
      <c r="Y3099" s="33"/>
    </row>
    <row r="3100" spans="1:25" x14ac:dyDescent="0.2">
      <c r="A3100" s="93" t="s">
        <v>1672</v>
      </c>
      <c r="B3100" s="94" t="str">
        <f>IFERROR(VLOOKUP($A3100,HeadJournal!$A$1:$NTR$890,COLUMN(HeadJournal!B$1),0),"")</f>
        <v>710002129861</v>
      </c>
      <c r="C3100" s="94" t="str">
        <f>IFERROR(VLOOKUP($A3100,HeadJournal!$A$1:$NTR$890,COLUMN(HeadJournal!C$1),0),"")</f>
        <v>iHerb_MH DLE7202</v>
      </c>
      <c r="D3100" s="125" t="str">
        <f>IFERROR(VLOOKUP($A3100,HeadJournal!$A$1:$NTR$890,COLUMN(HeadJournal!D$1),0),"")</f>
        <v>Доставлен</v>
      </c>
      <c r="E3100" s="95">
        <f>IFERROR(VLOOKUP($A3100,HeadJournal!$A$1:$NTR$890,COLUMN(HeadJournal!G$1),0),"")</f>
        <v>45369</v>
      </c>
      <c r="F3100" s="95" t="str">
        <f t="shared" si="247"/>
        <v>2024 03</v>
      </c>
      <c r="G3100" s="96" t="s">
        <v>7</v>
      </c>
      <c r="H3100" s="161" t="str">
        <f>RIGHT(Journal!$J3100,9)</f>
        <v>ARH-19793</v>
      </c>
      <c r="I3100" s="97" t="str">
        <f t="shared" si="244"/>
        <v>Arm &amp; Hammer</v>
      </c>
      <c r="J3100" s="97" t="s">
        <v>743</v>
      </c>
      <c r="K3100" s="29">
        <v>5.87</v>
      </c>
      <c r="L3100" s="29">
        <v>-1.175</v>
      </c>
      <c r="M3100" s="30">
        <f>IFERROR(VLOOKUP($A3100,HeadJournal!$A$1:$J$890,COLUMN(HeadJournal!I$1),0)*($K3100+$L3100)/(SUMIF($A:$A,$A3100,$K:$K)+SUMIF($A:$A,$A3100,$L:$L)),0)</f>
        <v>-0.7851762901116589</v>
      </c>
      <c r="N3100" s="30">
        <f>IFERROR((VLOOKUP($A3100,HeadJournal!$A$1:$K$890,COLUMN(HeadJournal!K$1),0)-VLOOKUP($A3100,HeadJournal!$A$1:$K$890,COLUMN(HeadJournal!J$1),0))*($K3100+$L3100)/(SUMIF($A:$A,$A3100,$K:$K)+SUMIF($A:$A,$A3100,$L:$L)),0)</f>
        <v>0</v>
      </c>
      <c r="O3100" s="30">
        <f>IFERROR((VLOOKUP($A3100,HeadJournal!$A$1:$L$890,COLUMN(HeadJournal!L$1),0)*($K3100+$L3100)/(SUMIF($A:$A,$A3100,$K:$K)+SUMIF($A:$A,$A3100,$L:$L)))/VLOOKUP($A3100,HeadJournal!$A$1:$L$890,COLUMN(HeadJournal!H$1),0),0)</f>
        <v>0.2502300431786661</v>
      </c>
      <c r="P3100" s="30">
        <f>IFERROR(SUM(K3100:O3100)*VLOOKUP($A3100,HeadJournal!$A$1:$L$890,COLUMN(HeadJournal!H$1),0),0)</f>
        <v>438.66795719746511</v>
      </c>
      <c r="Q3100" s="29">
        <v>800</v>
      </c>
      <c r="R3100" s="31">
        <v>45426</v>
      </c>
      <c r="S3100" s="31" t="s">
        <v>3121</v>
      </c>
      <c r="T3100" s="95" t="str">
        <f t="shared" si="248"/>
        <v>2024 05</v>
      </c>
      <c r="U3100" s="32">
        <f t="shared" si="245"/>
        <v>361.33204280253489</v>
      </c>
      <c r="V3100" s="22">
        <f t="shared" si="246"/>
        <v>0.82370284146348605</v>
      </c>
      <c r="X3100" s="33"/>
      <c r="Y3100" s="33"/>
    </row>
    <row r="3101" spans="1:25" x14ac:dyDescent="0.2">
      <c r="A3101" s="93" t="s">
        <v>1672</v>
      </c>
      <c r="B3101" s="94" t="str">
        <f>IFERROR(VLOOKUP($A3101,HeadJournal!$A$1:$NTR$890,COLUMN(HeadJournal!B$1),0),"")</f>
        <v>710002129861</v>
      </c>
      <c r="C3101" s="94" t="str">
        <f>IFERROR(VLOOKUP($A3101,HeadJournal!$A$1:$NTR$890,COLUMN(HeadJournal!C$1),0),"")</f>
        <v>iHerb_MH DLE7202</v>
      </c>
      <c r="D3101" s="125" t="str">
        <f>IFERROR(VLOOKUP($A3101,HeadJournal!$A$1:$NTR$890,COLUMN(HeadJournal!D$1),0),"")</f>
        <v>Доставлен</v>
      </c>
      <c r="E3101" s="95">
        <f>IFERROR(VLOOKUP($A3101,HeadJournal!$A$1:$NTR$890,COLUMN(HeadJournal!G$1),0),"")</f>
        <v>45369</v>
      </c>
      <c r="F3101" s="95" t="str">
        <f t="shared" si="247"/>
        <v>2024 03</v>
      </c>
      <c r="G3101" s="96" t="s">
        <v>7</v>
      </c>
      <c r="H3101" s="161" t="str">
        <f>RIGHT(Journal!$J3101,9)</f>
        <v>TOC-57170</v>
      </c>
      <c r="I3101" s="97" t="str">
        <f t="shared" si="244"/>
        <v>The Organic Skin Co</v>
      </c>
      <c r="J3101" s="97" t="s">
        <v>1671</v>
      </c>
      <c r="K3101" s="29">
        <v>33.18</v>
      </c>
      <c r="L3101" s="29">
        <v>-15.68</v>
      </c>
      <c r="M3101" s="30">
        <f>IFERROR(VLOOKUP($A3101,HeadJournal!$A$1:$J$890,COLUMN(HeadJournal!I$1),0)*($K3101+$L3101)/(SUMIF($A:$A,$A3101,$K:$K)+SUMIF($A:$A,$A3101,$L:$L)),0)</f>
        <v>-2.9266421889145962</v>
      </c>
      <c r="N3101" s="30">
        <f>IFERROR((VLOOKUP($A3101,HeadJournal!$A$1:$K$890,COLUMN(HeadJournal!K$1),0)-VLOOKUP($A3101,HeadJournal!$A$1:$K$890,COLUMN(HeadJournal!J$1),0))*($K3101+$L3101)/(SUMIF($A:$A,$A3101,$K:$K)+SUMIF($A:$A,$A3101,$L:$L)),0)</f>
        <v>0</v>
      </c>
      <c r="O3101" s="30">
        <f>IFERROR((VLOOKUP($A3101,HeadJournal!$A$1:$L$890,COLUMN(HeadJournal!L$1),0)*($K3101+$L3101)/(SUMIF($A:$A,$A3101,$K:$K)+SUMIF($A:$A,$A3101,$L:$L)))/VLOOKUP($A3101,HeadJournal!$A$1:$L$890,COLUMN(HeadJournal!H$1),0),0)</f>
        <v>0.93269984145402662</v>
      </c>
      <c r="P3101" s="30">
        <f>IFERROR(SUM(K3101:O3101)*VLOOKUP($A3101,HeadJournal!$A$1:$L$890,COLUMN(HeadJournal!H$1),0),0)</f>
        <v>1635.0775827381553</v>
      </c>
      <c r="Q3101" s="29"/>
      <c r="R3101" s="31"/>
      <c r="S3101" s="31"/>
      <c r="T3101" s="95" t="str">
        <f t="shared" si="248"/>
        <v/>
      </c>
      <c r="U3101" s="32">
        <f t="shared" si="245"/>
        <v>-1635.0775827381553</v>
      </c>
      <c r="V3101" s="22" t="str">
        <f t="shared" si="246"/>
        <v/>
      </c>
      <c r="X3101" s="33"/>
      <c r="Y3101" s="33"/>
    </row>
    <row r="3102" spans="1:25" x14ac:dyDescent="0.2">
      <c r="A3102" s="93" t="s">
        <v>1672</v>
      </c>
      <c r="B3102" s="94" t="str">
        <f>IFERROR(VLOOKUP($A3102,HeadJournal!$A$1:$NTR$890,COLUMN(HeadJournal!B$1),0),"")</f>
        <v>710002129861</v>
      </c>
      <c r="C3102" s="94" t="str">
        <f>IFERROR(VLOOKUP($A3102,HeadJournal!$A$1:$NTR$890,COLUMN(HeadJournal!C$1),0),"")</f>
        <v>iHerb_MH DLE7202</v>
      </c>
      <c r="D3102" s="125" t="str">
        <f>IFERROR(VLOOKUP($A3102,HeadJournal!$A$1:$NTR$890,COLUMN(HeadJournal!D$1),0),"")</f>
        <v>Доставлен</v>
      </c>
      <c r="E3102" s="95">
        <f>IFERROR(VLOOKUP($A3102,HeadJournal!$A$1:$NTR$890,COLUMN(HeadJournal!G$1),0),"")</f>
        <v>45369</v>
      </c>
      <c r="F3102" s="95" t="str">
        <f t="shared" si="247"/>
        <v>2024 03</v>
      </c>
      <c r="G3102" s="96" t="s">
        <v>5</v>
      </c>
      <c r="H3102" s="161" t="str">
        <f>RIGHT(Journal!$J3102,9)</f>
        <v>HRM-50004</v>
      </c>
      <c r="I3102" s="97" t="str">
        <f t="shared" si="244"/>
        <v>Healths Harmony</v>
      </c>
      <c r="J3102" s="97" t="s">
        <v>979</v>
      </c>
      <c r="K3102" s="29">
        <v>15.26</v>
      </c>
      <c r="L3102" s="29">
        <v>-3.05</v>
      </c>
      <c r="M3102" s="30">
        <f>IFERROR(VLOOKUP($A3102,HeadJournal!$A$1:$J$890,COLUMN(HeadJournal!I$1),0)*($K3102+$L3102)/(SUMIF($A:$A,$A3102,$K:$K)+SUMIF($A:$A,$A3102,$L:$L)),0)</f>
        <v>-2.041960064379841</v>
      </c>
      <c r="N3102" s="30">
        <f>IFERROR((VLOOKUP($A3102,HeadJournal!$A$1:$K$890,COLUMN(HeadJournal!K$1),0)-VLOOKUP($A3102,HeadJournal!$A$1:$K$890,COLUMN(HeadJournal!J$1),0))*($K3102+$L3102)/(SUMIF($A:$A,$A3102,$K:$K)+SUMIF($A:$A,$A3102,$L:$L)),0)</f>
        <v>0</v>
      </c>
      <c r="O3102" s="30">
        <f>IFERROR((VLOOKUP($A3102,HeadJournal!$A$1:$L$890,COLUMN(HeadJournal!L$1),0)*($K3102+$L3102)/(SUMIF($A:$A,$A3102,$K:$K)+SUMIF($A:$A,$A3102,$L:$L)))/VLOOKUP($A3102,HeadJournal!$A$1:$L$890,COLUMN(HeadJournal!H$1),0),0)</f>
        <v>0.65075800366592385</v>
      </c>
      <c r="P3102" s="30">
        <f>IFERROR(SUM(K3102:O3102)*VLOOKUP($A3102,HeadJournal!$A$1:$L$890,COLUMN(HeadJournal!H$1),0),0)</f>
        <v>1140.816987727593</v>
      </c>
      <c r="Q3102" s="29">
        <v>2000</v>
      </c>
      <c r="R3102" s="31">
        <v>45405</v>
      </c>
      <c r="S3102" s="31" t="s">
        <v>3121</v>
      </c>
      <c r="T3102" s="95" t="str">
        <f t="shared" si="248"/>
        <v>2024 04</v>
      </c>
      <c r="U3102" s="32">
        <f t="shared" si="245"/>
        <v>859.18301227240704</v>
      </c>
      <c r="V3102" s="22">
        <f t="shared" si="246"/>
        <v>0.75312957425697524</v>
      </c>
      <c r="X3102" s="33"/>
      <c r="Y3102" s="33"/>
    </row>
    <row r="3103" spans="1:25" x14ac:dyDescent="0.2">
      <c r="A3103" s="93" t="s">
        <v>1672</v>
      </c>
      <c r="B3103" s="94" t="str">
        <f>IFERROR(VLOOKUP($A3103,HeadJournal!$A$1:$NTR$890,COLUMN(HeadJournal!B$1),0),"")</f>
        <v>710002129861</v>
      </c>
      <c r="C3103" s="94" t="str">
        <f>IFERROR(VLOOKUP($A3103,HeadJournal!$A$1:$NTR$890,COLUMN(HeadJournal!C$1),0),"")</f>
        <v>iHerb_MH DLE7202</v>
      </c>
      <c r="D3103" s="125" t="str">
        <f>IFERROR(VLOOKUP($A3103,HeadJournal!$A$1:$NTR$890,COLUMN(HeadJournal!D$1),0),"")</f>
        <v>Доставлен</v>
      </c>
      <c r="E3103" s="95">
        <f>IFERROR(VLOOKUP($A3103,HeadJournal!$A$1:$NTR$890,COLUMN(HeadJournal!G$1),0),"")</f>
        <v>45369</v>
      </c>
      <c r="F3103" s="95" t="str">
        <f t="shared" si="247"/>
        <v>2024 03</v>
      </c>
      <c r="G3103" s="96" t="s">
        <v>5</v>
      </c>
      <c r="H3103" s="161" t="str">
        <f>RIGHT(Journal!$J3103,9)</f>
        <v>HRM-50004</v>
      </c>
      <c r="I3103" s="97" t="str">
        <f t="shared" si="244"/>
        <v>Healths Harmony</v>
      </c>
      <c r="J3103" s="97" t="s">
        <v>979</v>
      </c>
      <c r="K3103" s="29">
        <v>15.26</v>
      </c>
      <c r="L3103" s="29">
        <v>-3.05</v>
      </c>
      <c r="M3103" s="30">
        <f>IFERROR(VLOOKUP($A3103,HeadJournal!$A$1:$J$890,COLUMN(HeadJournal!I$1),0)*($K3103+$L3103)/(SUMIF($A:$A,$A3103,$K:$K)+SUMIF($A:$A,$A3103,$L:$L)),0)</f>
        <v>-2.041960064379841</v>
      </c>
      <c r="N3103" s="30">
        <f>IFERROR((VLOOKUP($A3103,HeadJournal!$A$1:$K$890,COLUMN(HeadJournal!K$1),0)-VLOOKUP($A3103,HeadJournal!$A$1:$K$890,COLUMN(HeadJournal!J$1),0))*($K3103+$L3103)/(SUMIF($A:$A,$A3103,$K:$K)+SUMIF($A:$A,$A3103,$L:$L)),0)</f>
        <v>0</v>
      </c>
      <c r="O3103" s="30">
        <f>IFERROR((VLOOKUP($A3103,HeadJournal!$A$1:$L$890,COLUMN(HeadJournal!L$1),0)*($K3103+$L3103)/(SUMIF($A:$A,$A3103,$K:$K)+SUMIF($A:$A,$A3103,$L:$L)))/VLOOKUP($A3103,HeadJournal!$A$1:$L$890,COLUMN(HeadJournal!H$1),0),0)</f>
        <v>0.65075800366592385</v>
      </c>
      <c r="P3103" s="30">
        <f>IFERROR(SUM(K3103:O3103)*VLOOKUP($A3103,HeadJournal!$A$1:$L$890,COLUMN(HeadJournal!H$1),0),0)</f>
        <v>1140.816987727593</v>
      </c>
      <c r="Q3103" s="29">
        <v>2000</v>
      </c>
      <c r="R3103" s="31">
        <v>45486</v>
      </c>
      <c r="S3103" s="31" t="s">
        <v>3121</v>
      </c>
      <c r="T3103" s="95" t="str">
        <f t="shared" si="248"/>
        <v>2024 07</v>
      </c>
      <c r="U3103" s="32">
        <f t="shared" si="245"/>
        <v>859.18301227240704</v>
      </c>
      <c r="V3103" s="22">
        <f t="shared" si="246"/>
        <v>0.75312957425697524</v>
      </c>
      <c r="X3103" s="33"/>
      <c r="Y3103" s="33"/>
    </row>
    <row r="3104" spans="1:25" x14ac:dyDescent="0.2">
      <c r="A3104" s="93" t="s">
        <v>1672</v>
      </c>
      <c r="B3104" s="94" t="str">
        <f>IFERROR(VLOOKUP($A3104,HeadJournal!$A$1:$NTR$890,COLUMN(HeadJournal!B$1),0),"")</f>
        <v>710002129861</v>
      </c>
      <c r="C3104" s="94" t="str">
        <f>IFERROR(VLOOKUP($A3104,HeadJournal!$A$1:$NTR$890,COLUMN(HeadJournal!C$1),0),"")</f>
        <v>iHerb_MH DLE7202</v>
      </c>
      <c r="D3104" s="125" t="str">
        <f>IFERROR(VLOOKUP($A3104,HeadJournal!$A$1:$NTR$890,COLUMN(HeadJournal!D$1),0),"")</f>
        <v>Доставлен</v>
      </c>
      <c r="E3104" s="95">
        <f>IFERROR(VLOOKUP($A3104,HeadJournal!$A$1:$NTR$890,COLUMN(HeadJournal!G$1),0),"")</f>
        <v>45369</v>
      </c>
      <c r="F3104" s="95" t="str">
        <f t="shared" si="247"/>
        <v>2024 03</v>
      </c>
      <c r="G3104" s="96" t="s">
        <v>7</v>
      </c>
      <c r="H3104" s="161" t="str">
        <f>RIGHT(Journal!$J3104,9)</f>
        <v>ARH-19724</v>
      </c>
      <c r="I3104" s="97" t="str">
        <f t="shared" si="244"/>
        <v>Arm &amp; Hammer</v>
      </c>
      <c r="J3104" s="97" t="s">
        <v>667</v>
      </c>
      <c r="K3104" s="29">
        <v>4.7300000000000004</v>
      </c>
      <c r="L3104" s="29">
        <v>-0.95</v>
      </c>
      <c r="M3104" s="30">
        <f>IFERROR(VLOOKUP($A3104,HeadJournal!$A$1:$J$890,COLUMN(HeadJournal!I$1),0)*($K3104+$L3104)/(SUMIF($A:$A,$A3104,$K:$K)+SUMIF($A:$A,$A3104,$L:$L)),0)</f>
        <v>-0.6321547128055528</v>
      </c>
      <c r="N3104" s="30">
        <f>IFERROR((VLOOKUP($A3104,HeadJournal!$A$1:$K$890,COLUMN(HeadJournal!K$1),0)-VLOOKUP($A3104,HeadJournal!$A$1:$K$890,COLUMN(HeadJournal!J$1),0))*($K3104+$L3104)/(SUMIF($A:$A,$A3104,$K:$K)+SUMIF($A:$A,$A3104,$L:$L)),0)</f>
        <v>0</v>
      </c>
      <c r="O3104" s="30">
        <f>IFERROR((VLOOKUP($A3104,HeadJournal!$A$1:$L$890,COLUMN(HeadJournal!L$1),0)*($K3104+$L3104)/(SUMIF($A:$A,$A3104,$K:$K)+SUMIF($A:$A,$A3104,$L:$L)))/VLOOKUP($A3104,HeadJournal!$A$1:$L$890,COLUMN(HeadJournal!H$1),0),0)</f>
        <v>0.20146316575406978</v>
      </c>
      <c r="P3104" s="30">
        <f>IFERROR(SUM(K3104:O3104)*VLOOKUP($A3104,HeadJournal!$A$1:$L$890,COLUMN(HeadJournal!H$1),0),0)</f>
        <v>353.17675787144162</v>
      </c>
      <c r="Q3104" s="29">
        <v>353.18</v>
      </c>
      <c r="R3104" s="31">
        <v>45415</v>
      </c>
      <c r="S3104" s="31" t="s">
        <v>3121</v>
      </c>
      <c r="T3104" s="95" t="str">
        <f t="shared" si="248"/>
        <v>2024 05</v>
      </c>
      <c r="U3104" s="32">
        <f t="shared" si="245"/>
        <v>3.2421285583836834E-3</v>
      </c>
      <c r="V3104" s="22">
        <f t="shared" si="246"/>
        <v>9.1799035075910546E-6</v>
      </c>
      <c r="X3104" s="33"/>
      <c r="Y3104" s="33"/>
    </row>
    <row r="3105" spans="1:25" x14ac:dyDescent="0.2">
      <c r="A3105" s="93" t="s">
        <v>1672</v>
      </c>
      <c r="B3105" s="94" t="str">
        <f>IFERROR(VLOOKUP($A3105,HeadJournal!$A$1:$NTR$890,COLUMN(HeadJournal!B$1),0),"")</f>
        <v>710002129861</v>
      </c>
      <c r="C3105" s="94" t="str">
        <f>IFERROR(VLOOKUP($A3105,HeadJournal!$A$1:$NTR$890,COLUMN(HeadJournal!C$1),0),"")</f>
        <v>iHerb_MH DLE7202</v>
      </c>
      <c r="D3105" s="125" t="str">
        <f>IFERROR(VLOOKUP($A3105,HeadJournal!$A$1:$NTR$890,COLUMN(HeadJournal!D$1),0),"")</f>
        <v>Доставлен</v>
      </c>
      <c r="E3105" s="95">
        <f>IFERROR(VLOOKUP($A3105,HeadJournal!$A$1:$NTR$890,COLUMN(HeadJournal!G$1),0),"")</f>
        <v>45369</v>
      </c>
      <c r="F3105" s="95" t="str">
        <f t="shared" si="247"/>
        <v>2024 03</v>
      </c>
      <c r="G3105" s="96" t="s">
        <v>5</v>
      </c>
      <c r="H3105" s="161" t="str">
        <f>RIGHT(Journal!$J3105,9)</f>
        <v>NOW-04007</v>
      </c>
      <c r="I3105" s="97" t="str">
        <f t="shared" si="244"/>
        <v>NOW Foods</v>
      </c>
      <c r="J3105" s="97" t="s">
        <v>1679</v>
      </c>
      <c r="K3105" s="29">
        <v>16.43</v>
      </c>
      <c r="L3105" s="29">
        <v>-3.29</v>
      </c>
      <c r="M3105" s="30">
        <f>IFERROR(VLOOKUP($A3105,HeadJournal!$A$1:$J$890,COLUMN(HeadJournal!I$1),0)*($K3105+$L3105)/(SUMIF($A:$A,$A3105,$K:$K)+SUMIF($A:$A,$A3105,$L:$L)),0)</f>
        <v>-2.1974901921335883</v>
      </c>
      <c r="N3105" s="30">
        <f>IFERROR((VLOOKUP($A3105,HeadJournal!$A$1:$K$890,COLUMN(HeadJournal!K$1),0)-VLOOKUP($A3105,HeadJournal!$A$1:$K$890,COLUMN(HeadJournal!J$1),0))*($K3105+$L3105)/(SUMIF($A:$A,$A3105,$K:$K)+SUMIF($A:$A,$A3105,$L:$L)),0)</f>
        <v>0</v>
      </c>
      <c r="O3105" s="30">
        <f>IFERROR((VLOOKUP($A3105,HeadJournal!$A$1:$L$890,COLUMN(HeadJournal!L$1),0)*($K3105+$L3105)/(SUMIF($A:$A,$A3105,$K:$K)+SUMIF($A:$A,$A3105,$L:$L)))/VLOOKUP($A3105,HeadJournal!$A$1:$L$890,COLUMN(HeadJournal!H$1),0),0)</f>
        <v>0.70032433809748074</v>
      </c>
      <c r="P3105" s="30">
        <f>IFERROR(SUM(K3105:O3105)*VLOOKUP($A3105,HeadJournal!$A$1:$L$890,COLUMN(HeadJournal!H$1),0),0)</f>
        <v>1227.709682124535</v>
      </c>
      <c r="Q3105" s="29">
        <v>2100</v>
      </c>
      <c r="R3105" s="31">
        <v>45474</v>
      </c>
      <c r="S3105" s="31" t="s">
        <v>3121</v>
      </c>
      <c r="T3105" s="95" t="str">
        <f t="shared" si="248"/>
        <v>2024 07</v>
      </c>
      <c r="U3105" s="32">
        <f t="shared" si="245"/>
        <v>872.29031787546501</v>
      </c>
      <c r="V3105" s="22">
        <f t="shared" si="246"/>
        <v>0.71050210858154872</v>
      </c>
      <c r="X3105" s="33"/>
      <c r="Y3105" s="33"/>
    </row>
    <row r="3106" spans="1:25" x14ac:dyDescent="0.2">
      <c r="A3106" s="93" t="s">
        <v>1682</v>
      </c>
      <c r="B3106" s="94" t="str">
        <f>IFERROR(VLOOKUP($A3106,HeadJournal!$A$1:$NTR$890,COLUMN(HeadJournal!B$1),0),"")</f>
        <v>720000157150</v>
      </c>
      <c r="C3106" s="94" t="str">
        <f>IFERROR(VLOOKUP($A3106,HeadJournal!$A$1:$NTR$890,COLUMN(HeadJournal!C$1),0),"")</f>
        <v>iHerb_OA CZN6870</v>
      </c>
      <c r="D3106" s="125" t="str">
        <f>IFERROR(VLOOKUP($A3106,HeadJournal!$A$1:$NTR$890,COLUMN(HeadJournal!D$1),0),"")</f>
        <v>Доставлен</v>
      </c>
      <c r="E3106" s="95">
        <f>IFERROR(VLOOKUP($A3106,HeadJournal!$A$1:$NTR$890,COLUMN(HeadJournal!G$1),0),"")</f>
        <v>45355</v>
      </c>
      <c r="F3106" s="95" t="str">
        <f t="shared" si="247"/>
        <v>2024 03</v>
      </c>
      <c r="G3106" s="96" t="s">
        <v>5</v>
      </c>
      <c r="H3106" s="161" t="str">
        <f>RIGHT(Journal!$J3106,9)</f>
        <v>CVR-03504</v>
      </c>
      <c r="I3106" s="97" t="str">
        <f t="shared" si="244"/>
        <v>Cardiovascular Research</v>
      </c>
      <c r="J3106" s="97" t="s">
        <v>1684</v>
      </c>
      <c r="K3106" s="29">
        <v>17.8</v>
      </c>
      <c r="L3106" s="29">
        <v>-3.56</v>
      </c>
      <c r="M3106" s="30">
        <f>IFERROR(VLOOKUP($A3106,HeadJournal!$A$1:$J$890,COLUMN(HeadJournal!I$1),0)*($K3106+$L3106)/(SUMIF($A:$A,$A3106,$K:$K)+SUMIF($A:$A,$A3106,$L:$L)),0)</f>
        <v>-0.63725767293546398</v>
      </c>
      <c r="N3106" s="30">
        <f>IFERROR((VLOOKUP($A3106,HeadJournal!$A$1:$K$890,COLUMN(HeadJournal!K$1),0)-VLOOKUP($A3106,HeadJournal!$A$1:$K$890,COLUMN(HeadJournal!J$1),0))*($K3106+$L3106)/(SUMIF($A:$A,$A3106,$K:$K)+SUMIF($A:$A,$A3106,$L:$L)),0)</f>
        <v>0</v>
      </c>
      <c r="O3106" s="30">
        <f>IFERROR((VLOOKUP($A3106,HeadJournal!$A$1:$L$890,COLUMN(HeadJournal!L$1),0)*($K3106+$L3106)/(SUMIF($A:$A,$A3106,$K:$K)+SUMIF($A:$A,$A3106,$L:$L)))/VLOOKUP($A3106,HeadJournal!$A$1:$L$890,COLUMN(HeadJournal!H$1),0),0)</f>
        <v>0.60822257673050428</v>
      </c>
      <c r="P3106" s="30">
        <f>IFERROR(SUM(K3106:O3106)*VLOOKUP($A3106,HeadJournal!$A$1:$L$890,COLUMN(HeadJournal!H$1),0),0)</f>
        <v>1478.0977584520058</v>
      </c>
      <c r="Q3106" s="29">
        <v>2350</v>
      </c>
      <c r="R3106" s="31">
        <v>45391</v>
      </c>
      <c r="S3106" s="31" t="s">
        <v>3121</v>
      </c>
      <c r="T3106" s="95" t="str">
        <f t="shared" si="248"/>
        <v>2024 04</v>
      </c>
      <c r="U3106" s="32">
        <f t="shared" si="245"/>
        <v>871.90224154799421</v>
      </c>
      <c r="V3106" s="22">
        <f t="shared" si="246"/>
        <v>0.58988130965107954</v>
      </c>
      <c r="X3106" s="33"/>
      <c r="Y3106" s="33"/>
    </row>
    <row r="3107" spans="1:25" x14ac:dyDescent="0.2">
      <c r="A3107" s="93" t="s">
        <v>1682</v>
      </c>
      <c r="B3107" s="94" t="str">
        <f>IFERROR(VLOOKUP($A3107,HeadJournal!$A$1:$NTR$890,COLUMN(HeadJournal!B$1),0),"")</f>
        <v>720000157150</v>
      </c>
      <c r="C3107" s="94" t="str">
        <f>IFERROR(VLOOKUP($A3107,HeadJournal!$A$1:$NTR$890,COLUMN(HeadJournal!C$1),0),"")</f>
        <v>iHerb_OA CZN6870</v>
      </c>
      <c r="D3107" s="125" t="str">
        <f>IFERROR(VLOOKUP($A3107,HeadJournal!$A$1:$NTR$890,COLUMN(HeadJournal!D$1),0),"")</f>
        <v>Доставлен</v>
      </c>
      <c r="E3107" s="95">
        <f>IFERROR(VLOOKUP($A3107,HeadJournal!$A$1:$NTR$890,COLUMN(HeadJournal!G$1),0),"")</f>
        <v>45355</v>
      </c>
      <c r="F3107" s="95" t="str">
        <f t="shared" si="247"/>
        <v>2024 03</v>
      </c>
      <c r="G3107" s="96" t="s">
        <v>5</v>
      </c>
      <c r="H3107" s="161" t="s">
        <v>3654</v>
      </c>
      <c r="I3107" s="97" t="s">
        <v>2005</v>
      </c>
      <c r="J3107" s="97" t="s">
        <v>3703</v>
      </c>
      <c r="K3107" s="29">
        <v>11.77</v>
      </c>
      <c r="L3107" s="29">
        <v>-2.355</v>
      </c>
      <c r="M3107" s="30">
        <f>IFERROR(VLOOKUP($A3107,HeadJournal!$A$1:$J$890,COLUMN(HeadJournal!I$1),0)*($K3107+$L3107)/(SUMIF($A:$A,$A3107,$K:$K)+SUMIF($A:$A,$A3107,$L:$L)),0)</f>
        <v>-0.42133293473928318</v>
      </c>
      <c r="N3107" s="30">
        <f>IFERROR((VLOOKUP($A3107,HeadJournal!$A$1:$K$890,COLUMN(HeadJournal!K$1),0)-VLOOKUP($A3107,HeadJournal!$A$1:$K$890,COLUMN(HeadJournal!J$1),0))*($K3107+$L3107)/(SUMIF($A:$A,$A3107,$K:$K)+SUMIF($A:$A,$A3107,$L:$L)),0)</f>
        <v>0</v>
      </c>
      <c r="O3107" s="30">
        <f>IFERROR((VLOOKUP($A3107,HeadJournal!$A$1:$L$890,COLUMN(HeadJournal!L$1),0)*($K3107+$L3107)/(SUMIF($A:$A,$A3107,$K:$K)+SUMIF($A:$A,$A3107,$L:$L)))/VLOOKUP($A3107,HeadJournal!$A$1:$L$890,COLUMN(HeadJournal!H$1),0),0)</f>
        <v>0.40213592415152366</v>
      </c>
      <c r="P3107" s="30">
        <f>IFERROR(SUM(K3107:O3107)*VLOOKUP($A3107,HeadJournal!$A$1:$L$890,COLUMN(HeadJournal!H$1),0),0)</f>
        <v>977.26758397651906</v>
      </c>
      <c r="Q3107" s="29">
        <v>1500</v>
      </c>
      <c r="R3107" s="31">
        <v>45579</v>
      </c>
      <c r="S3107" s="31" t="s">
        <v>3121</v>
      </c>
      <c r="T3107" s="95" t="str">
        <f t="shared" si="248"/>
        <v>2024 10</v>
      </c>
      <c r="U3107" s="32">
        <f t="shared" si="245"/>
        <v>522.73241602348094</v>
      </c>
      <c r="V3107" s="22">
        <f t="shared" si="246"/>
        <v>0.53489179892417338</v>
      </c>
      <c r="X3107" s="33"/>
      <c r="Y3107" s="33"/>
    </row>
    <row r="3108" spans="1:25" x14ac:dyDescent="0.2">
      <c r="A3108" s="93" t="s">
        <v>1682</v>
      </c>
      <c r="B3108" s="94" t="str">
        <f>IFERROR(VLOOKUP($A3108,HeadJournal!$A$1:$NTR$890,COLUMN(HeadJournal!B$1),0),"")</f>
        <v>720000157150</v>
      </c>
      <c r="C3108" s="94" t="str">
        <f>IFERROR(VLOOKUP($A3108,HeadJournal!$A$1:$NTR$890,COLUMN(HeadJournal!C$1),0),"")</f>
        <v>iHerb_OA CZN6870</v>
      </c>
      <c r="D3108" s="125" t="str">
        <f>IFERROR(VLOOKUP($A3108,HeadJournal!$A$1:$NTR$890,COLUMN(HeadJournal!D$1),0),"")</f>
        <v>Доставлен</v>
      </c>
      <c r="E3108" s="95">
        <f>IFERROR(VLOOKUP($A3108,HeadJournal!$A$1:$NTR$890,COLUMN(HeadJournal!G$1),0),"")</f>
        <v>45355</v>
      </c>
      <c r="F3108" s="95" t="str">
        <f t="shared" si="247"/>
        <v>2024 03</v>
      </c>
      <c r="G3108" s="96" t="s">
        <v>5</v>
      </c>
      <c r="H3108" s="161" t="s">
        <v>3654</v>
      </c>
      <c r="I3108" s="97" t="s">
        <v>2005</v>
      </c>
      <c r="J3108" s="97" t="s">
        <v>3703</v>
      </c>
      <c r="K3108" s="29">
        <v>11.77</v>
      </c>
      <c r="L3108" s="29">
        <v>-2.355</v>
      </c>
      <c r="M3108" s="30">
        <f>IFERROR(VLOOKUP($A3108,HeadJournal!$A$1:$J$890,COLUMN(HeadJournal!I$1),0)*($K3108+$L3108)/(SUMIF($A:$A,$A3108,$K:$K)+SUMIF($A:$A,$A3108,$L:$L)),0)</f>
        <v>-0.42133293473928318</v>
      </c>
      <c r="N3108" s="30">
        <f>IFERROR((VLOOKUP($A3108,HeadJournal!$A$1:$K$890,COLUMN(HeadJournal!K$1),0)-VLOOKUP($A3108,HeadJournal!$A$1:$K$890,COLUMN(HeadJournal!J$1),0))*($K3108+$L3108)/(SUMIF($A:$A,$A3108,$K:$K)+SUMIF($A:$A,$A3108,$L:$L)),0)</f>
        <v>0</v>
      </c>
      <c r="O3108" s="30">
        <f>IFERROR((VLOOKUP($A3108,HeadJournal!$A$1:$L$890,COLUMN(HeadJournal!L$1),0)*($K3108+$L3108)/(SUMIF($A:$A,$A3108,$K:$K)+SUMIF($A:$A,$A3108,$L:$L)))/VLOOKUP($A3108,HeadJournal!$A$1:$L$890,COLUMN(HeadJournal!H$1),0),0)</f>
        <v>0.40213592415152366</v>
      </c>
      <c r="P3108" s="30">
        <f>IFERROR(SUM(K3108:O3108)*VLOOKUP($A3108,HeadJournal!$A$1:$L$890,COLUMN(HeadJournal!H$1),0),0)</f>
        <v>977.26758397651906</v>
      </c>
      <c r="Q3108" s="29">
        <v>1200</v>
      </c>
      <c r="R3108" s="31">
        <v>46072</v>
      </c>
      <c r="S3108" s="31"/>
      <c r="T3108" s="95" t="str">
        <f t="shared" si="248"/>
        <v>2026 02</v>
      </c>
      <c r="U3108" s="32">
        <f t="shared" si="245"/>
        <v>222.73241602348094</v>
      </c>
      <c r="V3108" s="22">
        <f t="shared" si="246"/>
        <v>0.22791343913933867</v>
      </c>
      <c r="X3108" s="33"/>
      <c r="Y3108" s="33"/>
    </row>
    <row r="3109" spans="1:25" x14ac:dyDescent="0.2">
      <c r="A3109" s="93" t="s">
        <v>1682</v>
      </c>
      <c r="B3109" s="94" t="str">
        <f>IFERROR(VLOOKUP($A3109,HeadJournal!$A$1:$NTR$890,COLUMN(HeadJournal!B$1),0),"")</f>
        <v>720000157150</v>
      </c>
      <c r="C3109" s="94" t="str">
        <f>IFERROR(VLOOKUP($A3109,HeadJournal!$A$1:$NTR$890,COLUMN(HeadJournal!C$1),0),"")</f>
        <v>iHerb_OA CZN6870</v>
      </c>
      <c r="D3109" s="125" t="str">
        <f>IFERROR(VLOOKUP($A3109,HeadJournal!$A$1:$NTR$890,COLUMN(HeadJournal!D$1),0),"")</f>
        <v>Доставлен</v>
      </c>
      <c r="E3109" s="95">
        <f>IFERROR(VLOOKUP($A3109,HeadJournal!$A$1:$NTR$890,COLUMN(HeadJournal!G$1),0),"")</f>
        <v>45355</v>
      </c>
      <c r="F3109" s="95" t="str">
        <f t="shared" si="247"/>
        <v>2024 03</v>
      </c>
      <c r="G3109" s="96" t="s">
        <v>5</v>
      </c>
      <c r="H3109" s="161" t="s">
        <v>4004</v>
      </c>
      <c r="I3109" s="97" t="s">
        <v>2042</v>
      </c>
      <c r="J3109" s="97" t="s">
        <v>4005</v>
      </c>
      <c r="K3109" s="29">
        <v>9.76</v>
      </c>
      <c r="L3109" s="29">
        <v>-1.95</v>
      </c>
      <c r="M3109" s="30">
        <f>IFERROR(VLOOKUP($A3109,HeadJournal!$A$1:$J$890,COLUMN(HeadJournal!I$1),0)*($K3109+$L3109)/(SUMIF($A:$A,$A3109,$K:$K)+SUMIF($A:$A,$A3109,$L:$L)),0)</f>
        <v>-0.34950719281081272</v>
      </c>
      <c r="N3109" s="30">
        <f>IFERROR((VLOOKUP($A3109,HeadJournal!$A$1:$K$890,COLUMN(HeadJournal!K$1),0)-VLOOKUP($A3109,HeadJournal!$A$1:$K$890,COLUMN(HeadJournal!J$1),0))*($K3109+$L3109)/(SUMIF($A:$A,$A3109,$K:$K)+SUMIF($A:$A,$A3109,$L:$L)),0)</f>
        <v>0</v>
      </c>
      <c r="O3109" s="30">
        <f>IFERROR((VLOOKUP($A3109,HeadJournal!$A$1:$L$890,COLUMN(HeadJournal!L$1),0)*($K3109+$L3109)/(SUMIF($A:$A,$A3109,$K:$K)+SUMIF($A:$A,$A3109,$L:$L)))/VLOOKUP($A3109,HeadJournal!$A$1:$L$890,COLUMN(HeadJournal!H$1),0),0)</f>
        <v>0.33358274749053646</v>
      </c>
      <c r="P3109" s="30">
        <f>IFERROR(SUM(K3109:O3109)*VLOOKUP($A3109,HeadJournal!$A$1:$L$890,COLUMN(HeadJournal!H$1),0),0)</f>
        <v>810.6701891509947</v>
      </c>
      <c r="Q3109" s="29">
        <v>1500</v>
      </c>
      <c r="R3109" s="31">
        <v>45547</v>
      </c>
      <c r="S3109" s="31" t="s">
        <v>3121</v>
      </c>
      <c r="T3109" s="95" t="str">
        <f t="shared" si="248"/>
        <v>2024 09</v>
      </c>
      <c r="U3109" s="32">
        <f t="shared" si="245"/>
        <v>689.3298108490053</v>
      </c>
      <c r="V3109" s="22">
        <f t="shared" si="246"/>
        <v>0.85032090740987065</v>
      </c>
      <c r="X3109" s="33"/>
      <c r="Y3109" s="33"/>
    </row>
    <row r="3110" spans="1:25" x14ac:dyDescent="0.2">
      <c r="A3110" s="93" t="s">
        <v>1682</v>
      </c>
      <c r="B3110" s="94" t="str">
        <f>IFERROR(VLOOKUP($A3110,HeadJournal!$A$1:$NTR$890,COLUMN(HeadJournal!B$1),0),"")</f>
        <v>720000157150</v>
      </c>
      <c r="C3110" s="94" t="str">
        <f>IFERROR(VLOOKUP($A3110,HeadJournal!$A$1:$NTR$890,COLUMN(HeadJournal!C$1),0),"")</f>
        <v>iHerb_OA CZN6870</v>
      </c>
      <c r="D3110" s="125" t="str">
        <f>IFERROR(VLOOKUP($A3110,HeadJournal!$A$1:$NTR$890,COLUMN(HeadJournal!D$1),0),"")</f>
        <v>Доставлен</v>
      </c>
      <c r="E3110" s="95">
        <f>IFERROR(VLOOKUP($A3110,HeadJournal!$A$1:$NTR$890,COLUMN(HeadJournal!G$1),0),"")</f>
        <v>45355</v>
      </c>
      <c r="F3110" s="95" t="str">
        <f t="shared" si="247"/>
        <v>2024 03</v>
      </c>
      <c r="G3110" s="96" t="s">
        <v>5</v>
      </c>
      <c r="H3110" s="161" t="str">
        <f>RIGHT(Journal!$J3110,9)</f>
        <v>CVR-13129</v>
      </c>
      <c r="I3110" s="97" t="str">
        <f t="shared" si="244"/>
        <v>Ecological Formulas</v>
      </c>
      <c r="J3110" s="97" t="s">
        <v>1215</v>
      </c>
      <c r="K3110" s="29">
        <v>29.16</v>
      </c>
      <c r="L3110" s="29">
        <v>-5.83</v>
      </c>
      <c r="M3110" s="30">
        <f>IFERROR(VLOOKUP($A3110,HeadJournal!$A$1:$J$890,COLUMN(HeadJournal!I$1),0)*($K3110+$L3110)/(SUMIF($A:$A,$A3110,$K:$K)+SUMIF($A:$A,$A3110,$L:$L)),0)</f>
        <v>-1.0440464543247452</v>
      </c>
      <c r="N3110" s="30">
        <f>IFERROR((VLOOKUP($A3110,HeadJournal!$A$1:$K$890,COLUMN(HeadJournal!K$1),0)-VLOOKUP($A3110,HeadJournal!$A$1:$K$890,COLUMN(HeadJournal!J$1),0))*($K3110+$L3110)/(SUMIF($A:$A,$A3110,$K:$K)+SUMIF($A:$A,$A3110,$L:$L)),0)</f>
        <v>0</v>
      </c>
      <c r="O3110" s="30">
        <f>IFERROR((VLOOKUP($A3110,HeadJournal!$A$1:$L$890,COLUMN(HeadJournal!L$1),0)*($K3110+$L3110)/(SUMIF($A:$A,$A3110,$K:$K)+SUMIF($A:$A,$A3110,$L:$L)))/VLOOKUP($A3110,HeadJournal!$A$1:$L$890,COLUMN(HeadJournal!H$1),0),0)</f>
        <v>0.99647701651142306</v>
      </c>
      <c r="P3110" s="30">
        <f>IFERROR(SUM(K3110:O3110)*VLOOKUP($A3110,HeadJournal!$A$1:$L$890,COLUMN(HeadJournal!H$1),0),0)</f>
        <v>2421.6306674638545</v>
      </c>
      <c r="Q3110" s="29">
        <v>3500</v>
      </c>
      <c r="R3110" s="31">
        <v>45391</v>
      </c>
      <c r="S3110" s="31" t="s">
        <v>3121</v>
      </c>
      <c r="T3110" s="95" t="str">
        <f t="shared" si="248"/>
        <v>2024 04</v>
      </c>
      <c r="U3110" s="32">
        <f t="shared" si="245"/>
        <v>1078.3693325361455</v>
      </c>
      <c r="V3110" s="22">
        <f t="shared" si="246"/>
        <v>0.44530710113012778</v>
      </c>
      <c r="X3110" s="33"/>
      <c r="Y3110" s="33"/>
    </row>
    <row r="3111" spans="1:25" x14ac:dyDescent="0.2">
      <c r="A3111" s="93" t="s">
        <v>1682</v>
      </c>
      <c r="B3111" s="94" t="str">
        <f>IFERROR(VLOOKUP($A3111,HeadJournal!$A$1:$NTR$890,COLUMN(HeadJournal!B$1),0),"")</f>
        <v>720000157150</v>
      </c>
      <c r="C3111" s="94" t="str">
        <f>IFERROR(VLOOKUP($A3111,HeadJournal!$A$1:$NTR$890,COLUMN(HeadJournal!C$1),0),"")</f>
        <v>iHerb_OA CZN6870</v>
      </c>
      <c r="D3111" s="125" t="str">
        <f>IFERROR(VLOOKUP($A3111,HeadJournal!$A$1:$NTR$890,COLUMN(HeadJournal!D$1),0),"")</f>
        <v>Доставлен</v>
      </c>
      <c r="E3111" s="95">
        <f>IFERROR(VLOOKUP($A3111,HeadJournal!$A$1:$NTR$890,COLUMN(HeadJournal!G$1),0),"")</f>
        <v>45355</v>
      </c>
      <c r="F3111" s="95" t="str">
        <f t="shared" si="247"/>
        <v>2024 03</v>
      </c>
      <c r="G3111" s="96" t="s">
        <v>5</v>
      </c>
      <c r="H3111" s="161" t="str">
        <f>RIGHT(Journal!$J3111,9)</f>
        <v>DRB-00249</v>
      </c>
      <c r="I3111" s="97" t="str">
        <f t="shared" si="244"/>
        <v>Doctor's Best</v>
      </c>
      <c r="J3111" s="97" t="s">
        <v>1685</v>
      </c>
      <c r="K3111" s="29">
        <v>38.630000000000003</v>
      </c>
      <c r="L3111" s="29">
        <v>-7.73</v>
      </c>
      <c r="M3111" s="30">
        <f>IFERROR(VLOOKUP($A3111,HeadJournal!$A$1:$J$890,COLUMN(HeadJournal!I$1),0)*($K3111+$L3111)/(SUMIF($A:$A,$A3111,$K:$K)+SUMIF($A:$A,$A3111,$L:$L)),0)</f>
        <v>-1.3828133492770953</v>
      </c>
      <c r="N3111" s="30">
        <f>IFERROR((VLOOKUP($A3111,HeadJournal!$A$1:$K$890,COLUMN(HeadJournal!K$1),0)-VLOOKUP($A3111,HeadJournal!$A$1:$K$890,COLUMN(HeadJournal!J$1),0))*($K3111+$L3111)/(SUMIF($A:$A,$A3111,$K:$K)+SUMIF($A:$A,$A3111,$L:$L)),0)</f>
        <v>0</v>
      </c>
      <c r="O3111" s="30">
        <f>IFERROR((VLOOKUP($A3111,HeadJournal!$A$1:$L$890,COLUMN(HeadJournal!L$1),0)*($K3111+$L3111)/(SUMIF($A:$A,$A3111,$K:$K)+SUMIF($A:$A,$A3111,$L:$L)))/VLOOKUP($A3111,HeadJournal!$A$1:$L$890,COLUMN(HeadJournal!H$1),0),0)</f>
        <v>1.3198088216975128</v>
      </c>
      <c r="P3111" s="30">
        <f>IFERROR(SUM(K3111:O3111)*VLOOKUP($A3111,HeadJournal!$A$1:$L$890,COLUMN(HeadJournal!H$1),0),0)</f>
        <v>3207.3890966409394</v>
      </c>
      <c r="Q3111" s="29">
        <v>5800</v>
      </c>
      <c r="R3111" s="31">
        <v>45438</v>
      </c>
      <c r="S3111" s="31" t="s">
        <v>3121</v>
      </c>
      <c r="T3111" s="95" t="str">
        <f t="shared" si="248"/>
        <v>2024 05</v>
      </c>
      <c r="U3111" s="32">
        <f t="shared" si="245"/>
        <v>2592.6109033590606</v>
      </c>
      <c r="V3111" s="22">
        <f t="shared" si="246"/>
        <v>0.80832441130209964</v>
      </c>
      <c r="X3111" s="33"/>
      <c r="Y3111" s="33"/>
    </row>
    <row r="3112" spans="1:25" x14ac:dyDescent="0.2">
      <c r="A3112" s="93" t="s">
        <v>1682</v>
      </c>
      <c r="B3112" s="94" t="str">
        <f>IFERROR(VLOOKUP($A3112,HeadJournal!$A$1:$NTR$890,COLUMN(HeadJournal!B$1),0),"")</f>
        <v>720000157150</v>
      </c>
      <c r="C3112" s="94" t="str">
        <f>IFERROR(VLOOKUP($A3112,HeadJournal!$A$1:$NTR$890,COLUMN(HeadJournal!C$1),0),"")</f>
        <v>iHerb_OA CZN6870</v>
      </c>
      <c r="D3112" s="125" t="str">
        <f>IFERROR(VLOOKUP($A3112,HeadJournal!$A$1:$NTR$890,COLUMN(HeadJournal!D$1),0),"")</f>
        <v>Доставлен</v>
      </c>
      <c r="E3112" s="95">
        <f>IFERROR(VLOOKUP($A3112,HeadJournal!$A$1:$NTR$890,COLUMN(HeadJournal!G$1),0),"")</f>
        <v>45355</v>
      </c>
      <c r="F3112" s="95" t="str">
        <f t="shared" si="247"/>
        <v>2024 03</v>
      </c>
      <c r="G3112" s="96" t="s">
        <v>5</v>
      </c>
      <c r="H3112" s="161" t="s">
        <v>2217</v>
      </c>
      <c r="I3112" s="97" t="s">
        <v>2218</v>
      </c>
      <c r="J3112" s="97" t="s">
        <v>2219</v>
      </c>
      <c r="K3112" s="29">
        <v>28.34</v>
      </c>
      <c r="L3112" s="29">
        <v>-5.67</v>
      </c>
      <c r="M3112" s="30">
        <f>IFERROR(VLOOKUP($A3112,HeadJournal!$A$1:$J$890,COLUMN(HeadJournal!I$1),0)*($K3112+$L3112)/(SUMIF($A:$A,$A3112,$K:$K)+SUMIF($A:$A,$A3112,$L:$L)),0)</f>
        <v>-1.0145106352139726</v>
      </c>
      <c r="N3112" s="30">
        <f>IFERROR((VLOOKUP($A3112,HeadJournal!$A$1:$K$890,COLUMN(HeadJournal!K$1),0)-VLOOKUP($A3112,HeadJournal!$A$1:$K$890,COLUMN(HeadJournal!J$1),0))*($K3112+$L3112)/(SUMIF($A:$A,$A3112,$K:$K)+SUMIF($A:$A,$A3112,$L:$L)),0)</f>
        <v>0</v>
      </c>
      <c r="O3112" s="30">
        <f>IFERROR((VLOOKUP($A3112,HeadJournal!$A$1:$L$890,COLUMN(HeadJournal!L$1),0)*($K3112+$L3112)/(SUMIF($A:$A,$A3112,$K:$K)+SUMIF($A:$A,$A3112,$L:$L)))/VLOOKUP($A3112,HeadJournal!$A$1:$L$890,COLUMN(HeadJournal!H$1),0),0)</f>
        <v>0.96828692517419468</v>
      </c>
      <c r="P3112" s="30">
        <f>IFERROR(SUM(K3112:O3112)*VLOOKUP($A3112,HeadJournal!$A$1:$L$890,COLUMN(HeadJournal!H$1),0),0)</f>
        <v>2353.1233275356017</v>
      </c>
      <c r="Q3112" s="29">
        <v>3300</v>
      </c>
      <c r="R3112" s="31">
        <v>45430</v>
      </c>
      <c r="S3112" s="31" t="s">
        <v>3121</v>
      </c>
      <c r="T3112" s="95" t="str">
        <f t="shared" si="248"/>
        <v>2024 05</v>
      </c>
      <c r="U3112" s="32">
        <f t="shared" si="245"/>
        <v>946.87667246439833</v>
      </c>
      <c r="V3112" s="22">
        <f t="shared" si="246"/>
        <v>0.40239143498528446</v>
      </c>
      <c r="X3112" s="33"/>
      <c r="Y3112" s="33"/>
    </row>
    <row r="3113" spans="1:25" x14ac:dyDescent="0.2">
      <c r="A3113" s="93" t="s">
        <v>1682</v>
      </c>
      <c r="B3113" s="94" t="str">
        <f>IFERROR(VLOOKUP($A3113,HeadJournal!$A$1:$NTR$890,COLUMN(HeadJournal!B$1),0),"")</f>
        <v>720000157150</v>
      </c>
      <c r="C3113" s="94" t="str">
        <f>IFERROR(VLOOKUP($A3113,HeadJournal!$A$1:$NTR$890,COLUMN(HeadJournal!C$1),0),"")</f>
        <v>iHerb_OA CZN6870</v>
      </c>
      <c r="D3113" s="125" t="str">
        <f>IFERROR(VLOOKUP($A3113,HeadJournal!$A$1:$NTR$890,COLUMN(HeadJournal!D$1),0),"")</f>
        <v>Доставлен</v>
      </c>
      <c r="E3113" s="95">
        <f>IFERROR(VLOOKUP($A3113,HeadJournal!$A$1:$NTR$890,COLUMN(HeadJournal!G$1),0),"")</f>
        <v>45355</v>
      </c>
      <c r="F3113" s="95" t="str">
        <f t="shared" si="247"/>
        <v>2024 03</v>
      </c>
      <c r="G3113" s="96" t="s">
        <v>5</v>
      </c>
      <c r="H3113" s="161" t="s">
        <v>2217</v>
      </c>
      <c r="I3113" s="97" t="s">
        <v>2218</v>
      </c>
      <c r="J3113" s="97" t="s">
        <v>2219</v>
      </c>
      <c r="K3113" s="29">
        <v>28.34</v>
      </c>
      <c r="L3113" s="29">
        <v>-5.67</v>
      </c>
      <c r="M3113" s="30">
        <f>IFERROR(VLOOKUP($A3113,HeadJournal!$A$1:$J$890,COLUMN(HeadJournal!I$1),0)*($K3113+$L3113)/(SUMIF($A:$A,$A3113,$K:$K)+SUMIF($A:$A,$A3113,$L:$L)),0)</f>
        <v>-1.0145106352139726</v>
      </c>
      <c r="N3113" s="30">
        <f>IFERROR((VLOOKUP($A3113,HeadJournal!$A$1:$K$890,COLUMN(HeadJournal!K$1),0)-VLOOKUP($A3113,HeadJournal!$A$1:$K$890,COLUMN(HeadJournal!J$1),0))*($K3113+$L3113)/(SUMIF($A:$A,$A3113,$K:$K)+SUMIF($A:$A,$A3113,$L:$L)),0)</f>
        <v>0</v>
      </c>
      <c r="O3113" s="30">
        <f>IFERROR((VLOOKUP($A3113,HeadJournal!$A$1:$L$890,COLUMN(HeadJournal!L$1),0)*($K3113+$L3113)/(SUMIF($A:$A,$A3113,$K:$K)+SUMIF($A:$A,$A3113,$L:$L)))/VLOOKUP($A3113,HeadJournal!$A$1:$L$890,COLUMN(HeadJournal!H$1),0),0)</f>
        <v>0.96828692517419468</v>
      </c>
      <c r="P3113" s="30">
        <f>IFERROR(SUM(K3113:O3113)*VLOOKUP($A3113,HeadJournal!$A$1:$L$890,COLUMN(HeadJournal!H$1),0),0)</f>
        <v>2353.1233275356017</v>
      </c>
      <c r="Q3113" s="29">
        <v>3400</v>
      </c>
      <c r="R3113" s="31">
        <v>45451</v>
      </c>
      <c r="S3113" s="31" t="s">
        <v>3121</v>
      </c>
      <c r="T3113" s="95" t="str">
        <f t="shared" si="248"/>
        <v>2024 06</v>
      </c>
      <c r="U3113" s="32">
        <f t="shared" si="245"/>
        <v>1046.8766724643983</v>
      </c>
      <c r="V3113" s="22">
        <f t="shared" si="246"/>
        <v>0.44488814513635372</v>
      </c>
      <c r="X3113" s="33"/>
      <c r="Y3113" s="33"/>
    </row>
    <row r="3114" spans="1:25" x14ac:dyDescent="0.2">
      <c r="A3114" s="93" t="s">
        <v>1682</v>
      </c>
      <c r="B3114" s="94" t="str">
        <f>IFERROR(VLOOKUP($A3114,HeadJournal!$A$1:$NTR$890,COLUMN(HeadJournal!B$1),0),"")</f>
        <v>720000157150</v>
      </c>
      <c r="C3114" s="94" t="str">
        <f>IFERROR(VLOOKUP($A3114,HeadJournal!$A$1:$NTR$890,COLUMN(HeadJournal!C$1),0),"")</f>
        <v>iHerb_OA CZN6870</v>
      </c>
      <c r="D3114" s="125" t="str">
        <f>IFERROR(VLOOKUP($A3114,HeadJournal!$A$1:$NTR$890,COLUMN(HeadJournal!D$1),0),"")</f>
        <v>Доставлен</v>
      </c>
      <c r="E3114" s="95">
        <f>IFERROR(VLOOKUP($A3114,HeadJournal!$A$1:$NTR$890,COLUMN(HeadJournal!G$1),0),"")</f>
        <v>45355</v>
      </c>
      <c r="F3114" s="95" t="str">
        <f t="shared" si="247"/>
        <v>2024 03</v>
      </c>
      <c r="G3114" s="96" t="s">
        <v>5</v>
      </c>
      <c r="H3114" s="161" t="s">
        <v>3083</v>
      </c>
      <c r="I3114" s="97" t="s">
        <v>2102</v>
      </c>
      <c r="J3114" s="97" t="s">
        <v>3084</v>
      </c>
      <c r="K3114" s="29">
        <v>7.09</v>
      </c>
      <c r="L3114" s="29">
        <v>-1.42</v>
      </c>
      <c r="M3114" s="30">
        <f>IFERROR(VLOOKUP($A3114,HeadJournal!$A$1:$J$890,COLUMN(HeadJournal!I$1),0)*($K3114+$L3114)/(SUMIF($A:$A,$A3114,$K:$K)+SUMIF($A:$A,$A3114,$L:$L)),0)</f>
        <v>-0.25373953690618545</v>
      </c>
      <c r="N3114" s="30">
        <f>IFERROR((VLOOKUP($A3114,HeadJournal!$A$1:$K$890,COLUMN(HeadJournal!K$1),0)-VLOOKUP($A3114,HeadJournal!$A$1:$K$890,COLUMN(HeadJournal!J$1),0))*($K3114+$L3114)/(SUMIF($A:$A,$A3114,$K:$K)+SUMIF($A:$A,$A3114,$L:$L)),0)</f>
        <v>0</v>
      </c>
      <c r="O3114" s="30">
        <f>IFERROR((VLOOKUP($A3114,HeadJournal!$A$1:$L$890,COLUMN(HeadJournal!L$1),0)*($K3114+$L3114)/(SUMIF($A:$A,$A3114,$K:$K)+SUMIF($A:$A,$A3114,$L:$L)))/VLOOKUP($A3114,HeadJournal!$A$1:$L$890,COLUMN(HeadJournal!H$1),0),0)</f>
        <v>0.24217851194255333</v>
      </c>
      <c r="P3114" s="30">
        <f>IFERROR(SUM(K3114:O3114)*VLOOKUP($A3114,HeadJournal!$A$1:$L$890,COLUMN(HeadJournal!H$1),0),0)</f>
        <v>588.54032938362866</v>
      </c>
      <c r="Q3114" s="29">
        <v>1200</v>
      </c>
      <c r="R3114" s="31">
        <v>45628</v>
      </c>
      <c r="S3114" s="31" t="s">
        <v>3121</v>
      </c>
      <c r="T3114" s="95" t="str">
        <f t="shared" si="248"/>
        <v>2024 12</v>
      </c>
      <c r="U3114" s="32">
        <f t="shared" si="245"/>
        <v>611.45967061637134</v>
      </c>
      <c r="V3114" s="22">
        <f t="shared" si="246"/>
        <v>1.0389426859782844</v>
      </c>
      <c r="X3114" s="33"/>
      <c r="Y3114" s="33"/>
    </row>
    <row r="3115" spans="1:25" x14ac:dyDescent="0.2">
      <c r="A3115" s="93" t="s">
        <v>1682</v>
      </c>
      <c r="B3115" s="94" t="str">
        <f>IFERROR(VLOOKUP($A3115,HeadJournal!$A$1:$NTR$890,COLUMN(HeadJournal!B$1),0),"")</f>
        <v>720000157150</v>
      </c>
      <c r="C3115" s="94" t="str">
        <f>IFERROR(VLOOKUP($A3115,HeadJournal!$A$1:$NTR$890,COLUMN(HeadJournal!C$1),0),"")</f>
        <v>iHerb_OA CZN6870</v>
      </c>
      <c r="D3115" s="125" t="str">
        <f>IFERROR(VLOOKUP($A3115,HeadJournal!$A$1:$NTR$890,COLUMN(HeadJournal!D$1),0),"")</f>
        <v>Доставлен</v>
      </c>
      <c r="E3115" s="95">
        <f>IFERROR(VLOOKUP($A3115,HeadJournal!$A$1:$NTR$890,COLUMN(HeadJournal!G$1),0),"")</f>
        <v>45355</v>
      </c>
      <c r="F3115" s="95" t="str">
        <f t="shared" si="247"/>
        <v>2024 03</v>
      </c>
      <c r="G3115" s="96" t="s">
        <v>5</v>
      </c>
      <c r="H3115" s="161" t="s">
        <v>3083</v>
      </c>
      <c r="I3115" s="97" t="s">
        <v>2102</v>
      </c>
      <c r="J3115" s="97" t="s">
        <v>3084</v>
      </c>
      <c r="K3115" s="29">
        <v>7.09</v>
      </c>
      <c r="L3115" s="29">
        <v>-1.42</v>
      </c>
      <c r="M3115" s="30">
        <f>IFERROR(VLOOKUP($A3115,HeadJournal!$A$1:$J$890,COLUMN(HeadJournal!I$1),0)*($K3115+$L3115)/(SUMIF($A:$A,$A3115,$K:$K)+SUMIF($A:$A,$A3115,$L:$L)),0)</f>
        <v>-0.25373953690618545</v>
      </c>
      <c r="N3115" s="30">
        <f>IFERROR((VLOOKUP($A3115,HeadJournal!$A$1:$K$890,COLUMN(HeadJournal!K$1),0)-VLOOKUP($A3115,HeadJournal!$A$1:$K$890,COLUMN(HeadJournal!J$1),0))*($K3115+$L3115)/(SUMIF($A:$A,$A3115,$K:$K)+SUMIF($A:$A,$A3115,$L:$L)),0)</f>
        <v>0</v>
      </c>
      <c r="O3115" s="30">
        <f>IFERROR((VLOOKUP($A3115,HeadJournal!$A$1:$L$890,COLUMN(HeadJournal!L$1),0)*($K3115+$L3115)/(SUMIF($A:$A,$A3115,$K:$K)+SUMIF($A:$A,$A3115,$L:$L)))/VLOOKUP($A3115,HeadJournal!$A$1:$L$890,COLUMN(HeadJournal!H$1),0),0)</f>
        <v>0.24217851194255333</v>
      </c>
      <c r="P3115" s="30">
        <f>IFERROR(SUM(K3115:O3115)*VLOOKUP($A3115,HeadJournal!$A$1:$L$890,COLUMN(HeadJournal!H$1),0),0)</f>
        <v>588.54032938362866</v>
      </c>
      <c r="Q3115" s="29">
        <v>1400</v>
      </c>
      <c r="R3115" s="31">
        <v>45811</v>
      </c>
      <c r="S3115" s="31" t="s">
        <v>3121</v>
      </c>
      <c r="T3115" s="95" t="str">
        <f t="shared" si="248"/>
        <v>2025 06</v>
      </c>
      <c r="U3115" s="32">
        <f t="shared" si="245"/>
        <v>811.45967061637134</v>
      </c>
      <c r="V3115" s="22">
        <f t="shared" si="246"/>
        <v>1.3787664669746651</v>
      </c>
      <c r="X3115" s="33"/>
      <c r="Y3115" s="33"/>
    </row>
    <row r="3116" spans="1:25" x14ac:dyDescent="0.2">
      <c r="A3116" s="93" t="s">
        <v>1682</v>
      </c>
      <c r="B3116" s="94" t="str">
        <f>IFERROR(VLOOKUP($A3116,HeadJournal!$A$1:$NTR$890,COLUMN(HeadJournal!B$1),0),"")</f>
        <v>720000157150</v>
      </c>
      <c r="C3116" s="94" t="str">
        <f>IFERROR(VLOOKUP($A3116,HeadJournal!$A$1:$NTR$890,COLUMN(HeadJournal!C$1),0),"")</f>
        <v>iHerb_OA CZN6870</v>
      </c>
      <c r="D3116" s="125" t="str">
        <f>IFERROR(VLOOKUP($A3116,HeadJournal!$A$1:$NTR$890,COLUMN(HeadJournal!D$1),0),"")</f>
        <v>Доставлен</v>
      </c>
      <c r="E3116" s="95">
        <f>IFERROR(VLOOKUP($A3116,HeadJournal!$A$1:$NTR$890,COLUMN(HeadJournal!G$1),0),"")</f>
        <v>45355</v>
      </c>
      <c r="F3116" s="95" t="str">
        <f t="shared" si="247"/>
        <v>2024 03</v>
      </c>
      <c r="G3116" s="96" t="s">
        <v>5</v>
      </c>
      <c r="H3116" s="161" t="str">
        <f>RIGHT(Journal!$J3116,9)</f>
        <v>SRE-01347</v>
      </c>
      <c r="I3116" s="97" t="str">
        <f t="shared" si="244"/>
        <v>Sports Research</v>
      </c>
      <c r="J3116" s="97" t="s">
        <v>662</v>
      </c>
      <c r="K3116" s="29">
        <v>32.21</v>
      </c>
      <c r="L3116" s="29">
        <v>-9.6649999999999991</v>
      </c>
      <c r="M3116" s="30">
        <f>IFERROR(VLOOKUP($A3116,HeadJournal!$A$1:$J$890,COLUMN(HeadJournal!I$1),0)*($K3116+$L3116)/(SUMIF($A:$A,$A3116,$K:$K)+SUMIF($A:$A,$A3116,$L:$L)),0)</f>
        <v>-1.0089167300793562</v>
      </c>
      <c r="N3116" s="30">
        <f>IFERROR((VLOOKUP($A3116,HeadJournal!$A$1:$K$890,COLUMN(HeadJournal!K$1),0)-VLOOKUP($A3116,HeadJournal!$A$1:$K$890,COLUMN(HeadJournal!J$1),0))*($K3116+$L3116)/(SUMIF($A:$A,$A3116,$K:$K)+SUMIF($A:$A,$A3116,$L:$L)),0)</f>
        <v>0</v>
      </c>
      <c r="O3116" s="30">
        <f>IFERROR((VLOOKUP($A3116,HeadJournal!$A$1:$L$890,COLUMN(HeadJournal!L$1),0)*($K3116+$L3116)/(SUMIF($A:$A,$A3116,$K:$K)+SUMIF($A:$A,$A3116,$L:$L)))/VLOOKUP($A3116,HeadJournal!$A$1:$L$890,COLUMN(HeadJournal!H$1),0),0)</f>
        <v>0.96294789272396208</v>
      </c>
      <c r="P3116" s="30">
        <f>IFERROR(SUM(K3116:O3116)*VLOOKUP($A3116,HeadJournal!$A$1:$L$890,COLUMN(HeadJournal!H$1),0),0)</f>
        <v>2340.1484525491901</v>
      </c>
      <c r="Q3116" s="29">
        <v>3500</v>
      </c>
      <c r="R3116" s="31">
        <v>45947</v>
      </c>
      <c r="S3116" s="31"/>
      <c r="T3116" s="95" t="str">
        <f t="shared" si="248"/>
        <v>2025 10</v>
      </c>
      <c r="U3116" s="32">
        <f t="shared" si="245"/>
        <v>1159.8515474508099</v>
      </c>
      <c r="V3116" s="22">
        <f t="shared" si="246"/>
        <v>0.49563161097209485</v>
      </c>
      <c r="X3116" s="33"/>
      <c r="Y3116" s="33"/>
    </row>
    <row r="3117" spans="1:25" x14ac:dyDescent="0.2">
      <c r="A3117" s="93" t="s">
        <v>1682</v>
      </c>
      <c r="B3117" s="94" t="str">
        <f>IFERROR(VLOOKUP($A3117,HeadJournal!$A$1:$NTR$890,COLUMN(HeadJournal!B$1),0),"")</f>
        <v>720000157150</v>
      </c>
      <c r="C3117" s="94" t="str">
        <f>IFERROR(VLOOKUP($A3117,HeadJournal!$A$1:$NTR$890,COLUMN(HeadJournal!C$1),0),"")</f>
        <v>iHerb_OA CZN6870</v>
      </c>
      <c r="D3117" s="125" t="str">
        <f>IFERROR(VLOOKUP($A3117,HeadJournal!$A$1:$NTR$890,COLUMN(HeadJournal!D$1),0),"")</f>
        <v>Доставлен</v>
      </c>
      <c r="E3117" s="95">
        <f>IFERROR(VLOOKUP($A3117,HeadJournal!$A$1:$NTR$890,COLUMN(HeadJournal!G$1),0),"")</f>
        <v>45355</v>
      </c>
      <c r="F3117" s="95" t="str">
        <f t="shared" si="247"/>
        <v>2024 03</v>
      </c>
      <c r="G3117" s="96" t="s">
        <v>5</v>
      </c>
      <c r="H3117" s="161" t="str">
        <f>RIGHT(Journal!$J3117,9)</f>
        <v>SRE-01347</v>
      </c>
      <c r="I3117" s="97" t="str">
        <f t="shared" si="244"/>
        <v>Sports Research</v>
      </c>
      <c r="J3117" s="97" t="s">
        <v>662</v>
      </c>
      <c r="K3117" s="29">
        <v>32.21</v>
      </c>
      <c r="L3117" s="29">
        <v>-9.6649999999999991</v>
      </c>
      <c r="M3117" s="30">
        <f>IFERROR(VLOOKUP($A3117,HeadJournal!$A$1:$J$890,COLUMN(HeadJournal!I$1),0)*($K3117+$L3117)/(SUMIF($A:$A,$A3117,$K:$K)+SUMIF($A:$A,$A3117,$L:$L)),0)</f>
        <v>-1.0089167300793562</v>
      </c>
      <c r="N3117" s="30">
        <f>IFERROR((VLOOKUP($A3117,HeadJournal!$A$1:$K$890,COLUMN(HeadJournal!K$1),0)-VLOOKUP($A3117,HeadJournal!$A$1:$K$890,COLUMN(HeadJournal!J$1),0))*($K3117+$L3117)/(SUMIF($A:$A,$A3117,$K:$K)+SUMIF($A:$A,$A3117,$L:$L)),0)</f>
        <v>0</v>
      </c>
      <c r="O3117" s="30">
        <f>IFERROR((VLOOKUP($A3117,HeadJournal!$A$1:$L$890,COLUMN(HeadJournal!L$1),0)*($K3117+$L3117)/(SUMIF($A:$A,$A3117,$K:$K)+SUMIF($A:$A,$A3117,$L:$L)))/VLOOKUP($A3117,HeadJournal!$A$1:$L$890,COLUMN(HeadJournal!H$1),0),0)</f>
        <v>0.96294789272396208</v>
      </c>
      <c r="P3117" s="30">
        <f>IFERROR(SUM(K3117:O3117)*VLOOKUP($A3117,HeadJournal!$A$1:$L$890,COLUMN(HeadJournal!H$1),0),0)</f>
        <v>2340.1484525491901</v>
      </c>
      <c r="Q3117" s="29">
        <v>3500</v>
      </c>
      <c r="R3117" s="31">
        <v>46011</v>
      </c>
      <c r="S3117" s="31" t="s">
        <v>4992</v>
      </c>
      <c r="T3117" s="95" t="str">
        <f t="shared" si="248"/>
        <v>2025 12</v>
      </c>
      <c r="U3117" s="32">
        <f t="shared" si="245"/>
        <v>1159.8515474508099</v>
      </c>
      <c r="V3117" s="22">
        <f t="shared" si="246"/>
        <v>0.49563161097209485</v>
      </c>
      <c r="X3117" s="33"/>
      <c r="Y3117" s="33"/>
    </row>
    <row r="3118" spans="1:25" x14ac:dyDescent="0.2">
      <c r="A3118" s="93" t="s">
        <v>1682</v>
      </c>
      <c r="B3118" s="94" t="str">
        <f>IFERROR(VLOOKUP($A3118,HeadJournal!$A$1:$NTR$890,COLUMN(HeadJournal!B$1),0),"")</f>
        <v>720000157150</v>
      </c>
      <c r="C3118" s="94" t="str">
        <f>IFERROR(VLOOKUP($A3118,HeadJournal!$A$1:$NTR$890,COLUMN(HeadJournal!C$1),0),"")</f>
        <v>iHerb_OA CZN6870</v>
      </c>
      <c r="D3118" s="125" t="str">
        <f>IFERROR(VLOOKUP($A3118,HeadJournal!$A$1:$NTR$890,COLUMN(HeadJournal!D$1),0),"")</f>
        <v>Доставлен</v>
      </c>
      <c r="E3118" s="95">
        <f>IFERROR(VLOOKUP($A3118,HeadJournal!$A$1:$NTR$890,COLUMN(HeadJournal!G$1),0),"")</f>
        <v>45355</v>
      </c>
      <c r="F3118" s="95" t="str">
        <f t="shared" si="247"/>
        <v>2024 03</v>
      </c>
      <c r="G3118" s="96" t="s">
        <v>7</v>
      </c>
      <c r="H3118" s="161" t="str">
        <f>RIGHT(Journal!$J3118,9)</f>
        <v>MHL-05868</v>
      </c>
      <c r="I3118" s="97" t="str">
        <f t="shared" si="244"/>
        <v>MEDIHEAL</v>
      </c>
      <c r="J3118" s="97" t="s">
        <v>1680</v>
      </c>
      <c r="K3118" s="29">
        <v>24.64</v>
      </c>
      <c r="L3118" s="29">
        <v>-4.93</v>
      </c>
      <c r="M3118" s="30">
        <f>IFERROR(VLOOKUP($A3118,HeadJournal!$A$1:$J$890,COLUMN(HeadJournal!I$1),0)*($K3118+$L3118)/(SUMIF($A:$A,$A3118,$K:$K)+SUMIF($A:$A,$A3118,$L:$L)),0)</f>
        <v>-0.88204696162626361</v>
      </c>
      <c r="N3118" s="30">
        <f>IFERROR((VLOOKUP($A3118,HeadJournal!$A$1:$K$890,COLUMN(HeadJournal!K$1),0)-VLOOKUP($A3118,HeadJournal!$A$1:$K$890,COLUMN(HeadJournal!J$1),0))*($K3118+$L3118)/(SUMIF($A:$A,$A3118,$K:$K)+SUMIF($A:$A,$A3118,$L:$L)),0)</f>
        <v>0</v>
      </c>
      <c r="O3118" s="30">
        <f>IFERROR((VLOOKUP($A3118,HeadJournal!$A$1:$L$890,COLUMN(HeadJournal!L$1),0)*($K3118+$L3118)/(SUMIF($A:$A,$A3118,$K:$K)+SUMIF($A:$A,$A3118,$L:$L)))/VLOOKUP($A3118,HeadJournal!$A$1:$L$890,COLUMN(HeadJournal!H$1),0),0)</f>
        <v>0.84185863675268535</v>
      </c>
      <c r="P3118" s="30">
        <f>IFERROR(SUM(K3118:O3118)*VLOOKUP($A3118,HeadJournal!$A$1:$L$890,COLUMN(HeadJournal!H$1),0),0)</f>
        <v>2045.8782878573763</v>
      </c>
      <c r="Q3118" s="29"/>
      <c r="R3118" s="31"/>
      <c r="S3118" s="31"/>
      <c r="T3118" s="95" t="str">
        <f t="shared" si="248"/>
        <v/>
      </c>
      <c r="U3118" s="32">
        <f t="shared" si="245"/>
        <v>-2045.8782878573763</v>
      </c>
      <c r="V3118" s="22" t="str">
        <f t="shared" si="246"/>
        <v/>
      </c>
      <c r="X3118" s="33"/>
      <c r="Y3118" s="33"/>
    </row>
    <row r="3119" spans="1:25" x14ac:dyDescent="0.2">
      <c r="A3119" s="93" t="s">
        <v>1682</v>
      </c>
      <c r="B3119" s="94" t="str">
        <f>IFERROR(VLOOKUP($A3119,HeadJournal!$A$1:$NTR$890,COLUMN(HeadJournal!B$1),0),"")</f>
        <v>720000157150</v>
      </c>
      <c r="C3119" s="94" t="str">
        <f>IFERROR(VLOOKUP($A3119,HeadJournal!$A$1:$NTR$890,COLUMN(HeadJournal!C$1),0),"")</f>
        <v>iHerb_OA CZN6870</v>
      </c>
      <c r="D3119" s="125" t="str">
        <f>IFERROR(VLOOKUP($A3119,HeadJournal!$A$1:$NTR$890,COLUMN(HeadJournal!D$1),0),"")</f>
        <v>Доставлен</v>
      </c>
      <c r="E3119" s="95">
        <f>IFERROR(VLOOKUP($A3119,HeadJournal!$A$1:$NTR$890,COLUMN(HeadJournal!G$1),0),"")</f>
        <v>45355</v>
      </c>
      <c r="F3119" s="95" t="str">
        <f t="shared" si="247"/>
        <v>2024 03</v>
      </c>
      <c r="G3119" s="96" t="s">
        <v>5</v>
      </c>
      <c r="H3119" s="161" t="s">
        <v>3647</v>
      </c>
      <c r="I3119" s="97" t="s">
        <v>2042</v>
      </c>
      <c r="J3119" s="97" t="s">
        <v>3696</v>
      </c>
      <c r="K3119" s="29">
        <v>17.489999999999998</v>
      </c>
      <c r="L3119" s="29">
        <v>-3.5</v>
      </c>
      <c r="M3119" s="30">
        <f>IFERROR(VLOOKUP($A3119,HeadJournal!$A$1:$J$890,COLUMN(HeadJournal!I$1),0)*($K3119+$L3119)/(SUMIF($A:$A,$A3119,$K:$K)+SUMIF($A:$A,$A3119,$L:$L)),0)</f>
        <v>-0.62606986266623166</v>
      </c>
      <c r="N3119" s="30">
        <f>IFERROR((VLOOKUP($A3119,HeadJournal!$A$1:$K$890,COLUMN(HeadJournal!K$1),0)-VLOOKUP($A3119,HeadJournal!$A$1:$K$890,COLUMN(HeadJournal!J$1),0))*($K3119+$L3119)/(SUMIF($A:$A,$A3119,$K:$K)+SUMIF($A:$A,$A3119,$L:$L)),0)</f>
        <v>0</v>
      </c>
      <c r="O3119" s="30">
        <f>IFERROR((VLOOKUP($A3119,HeadJournal!$A$1:$L$890,COLUMN(HeadJournal!L$1),0)*($K3119+$L3119)/(SUMIF($A:$A,$A3119,$K:$K)+SUMIF($A:$A,$A3119,$L:$L)))/VLOOKUP($A3119,HeadJournal!$A$1:$L$890,COLUMN(HeadJournal!H$1),0),0)</f>
        <v>0.59754451183003887</v>
      </c>
      <c r="P3119" s="30">
        <f>IFERROR(SUM(K3119:O3119)*VLOOKUP($A3119,HeadJournal!$A$1:$L$890,COLUMN(HeadJournal!H$1),0),0)</f>
        <v>1452.1480084791824</v>
      </c>
      <c r="Q3119" s="29">
        <v>2500</v>
      </c>
      <c r="R3119" s="31">
        <v>45430</v>
      </c>
      <c r="S3119" s="31" t="s">
        <v>3121</v>
      </c>
      <c r="T3119" s="95" t="str">
        <f t="shared" si="248"/>
        <v>2024 05</v>
      </c>
      <c r="U3119" s="32">
        <f t="shared" si="245"/>
        <v>1047.8519915208176</v>
      </c>
      <c r="V3119" s="22">
        <f t="shared" si="246"/>
        <v>0.7215875967204064</v>
      </c>
      <c r="X3119" s="33"/>
      <c r="Y3119" s="33"/>
    </row>
    <row r="3120" spans="1:25" x14ac:dyDescent="0.2">
      <c r="A3120" s="93" t="s">
        <v>1682</v>
      </c>
      <c r="B3120" s="94" t="str">
        <f>IFERROR(VLOOKUP($A3120,HeadJournal!$A$1:$NTR$890,COLUMN(HeadJournal!B$1),0),"")</f>
        <v>720000157150</v>
      </c>
      <c r="C3120" s="94" t="str">
        <f>IFERROR(VLOOKUP($A3120,HeadJournal!$A$1:$NTR$890,COLUMN(HeadJournal!C$1),0),"")</f>
        <v>iHerb_OA CZN6870</v>
      </c>
      <c r="D3120" s="125" t="str">
        <f>IFERROR(VLOOKUP($A3120,HeadJournal!$A$1:$NTR$890,COLUMN(HeadJournal!D$1),0),"")</f>
        <v>Доставлен</v>
      </c>
      <c r="E3120" s="95">
        <f>IFERROR(VLOOKUP($A3120,HeadJournal!$A$1:$NTR$890,COLUMN(HeadJournal!G$1),0),"")</f>
        <v>45355</v>
      </c>
      <c r="F3120" s="95" t="str">
        <f t="shared" si="247"/>
        <v>2024 03</v>
      </c>
      <c r="G3120" s="96" t="s">
        <v>5</v>
      </c>
      <c r="H3120" s="161" t="s">
        <v>3647</v>
      </c>
      <c r="I3120" s="97" t="s">
        <v>2042</v>
      </c>
      <c r="J3120" s="97" t="s">
        <v>3696</v>
      </c>
      <c r="K3120" s="29">
        <v>17.489999999999998</v>
      </c>
      <c r="L3120" s="29">
        <v>-3.5</v>
      </c>
      <c r="M3120" s="30">
        <f>IFERROR(VLOOKUP($A3120,HeadJournal!$A$1:$J$890,COLUMN(HeadJournal!I$1),0)*($K3120+$L3120)/(SUMIF($A:$A,$A3120,$K:$K)+SUMIF($A:$A,$A3120,$L:$L)),0)</f>
        <v>-0.62606986266623166</v>
      </c>
      <c r="N3120" s="30">
        <f>IFERROR((VLOOKUP($A3120,HeadJournal!$A$1:$K$890,COLUMN(HeadJournal!K$1),0)-VLOOKUP($A3120,HeadJournal!$A$1:$K$890,COLUMN(HeadJournal!J$1),0))*($K3120+$L3120)/(SUMIF($A:$A,$A3120,$K:$K)+SUMIF($A:$A,$A3120,$L:$L)),0)</f>
        <v>0</v>
      </c>
      <c r="O3120" s="30">
        <f>IFERROR((VLOOKUP($A3120,HeadJournal!$A$1:$L$890,COLUMN(HeadJournal!L$1),0)*($K3120+$L3120)/(SUMIF($A:$A,$A3120,$K:$K)+SUMIF($A:$A,$A3120,$L:$L)))/VLOOKUP($A3120,HeadJournal!$A$1:$L$890,COLUMN(HeadJournal!H$1),0),0)</f>
        <v>0.59754451183003887</v>
      </c>
      <c r="P3120" s="30">
        <f>IFERROR(SUM(K3120:O3120)*VLOOKUP($A3120,HeadJournal!$A$1:$L$890,COLUMN(HeadJournal!H$1),0),0)</f>
        <v>1452.1480084791824</v>
      </c>
      <c r="Q3120" s="29">
        <v>2500</v>
      </c>
      <c r="R3120" s="31">
        <v>45430</v>
      </c>
      <c r="S3120" s="31" t="s">
        <v>3121</v>
      </c>
      <c r="T3120" s="95" t="str">
        <f t="shared" si="248"/>
        <v>2024 05</v>
      </c>
      <c r="U3120" s="32">
        <f t="shared" si="245"/>
        <v>1047.8519915208176</v>
      </c>
      <c r="V3120" s="22">
        <f t="shared" si="246"/>
        <v>0.7215875967204064</v>
      </c>
      <c r="X3120" s="33"/>
      <c r="Y3120" s="33"/>
    </row>
    <row r="3121" spans="1:25" x14ac:dyDescent="0.2">
      <c r="A3121" s="93" t="s">
        <v>1682</v>
      </c>
      <c r="B3121" s="94" t="str">
        <f>IFERROR(VLOOKUP($A3121,HeadJournal!$A$1:$NTR$890,COLUMN(HeadJournal!B$1),0),"")</f>
        <v>720000157150</v>
      </c>
      <c r="C3121" s="94" t="str">
        <f>IFERROR(VLOOKUP($A3121,HeadJournal!$A$1:$NTR$890,COLUMN(HeadJournal!C$1),0),"")</f>
        <v>iHerb_OA CZN6870</v>
      </c>
      <c r="D3121" s="125" t="str">
        <f>IFERROR(VLOOKUP($A3121,HeadJournal!$A$1:$NTR$890,COLUMN(HeadJournal!D$1),0),"")</f>
        <v>Доставлен</v>
      </c>
      <c r="E3121" s="95">
        <f>IFERROR(VLOOKUP($A3121,HeadJournal!$A$1:$NTR$890,COLUMN(HeadJournal!G$1),0),"")</f>
        <v>45355</v>
      </c>
      <c r="F3121" s="95" t="str">
        <f t="shared" si="247"/>
        <v>2024 03</v>
      </c>
      <c r="G3121" s="96" t="s">
        <v>5</v>
      </c>
      <c r="H3121" s="161" t="str">
        <f>RIGHT(Journal!$J3121,9)</f>
        <v>PCT-47707</v>
      </c>
      <c r="I3121" s="97" t="str">
        <f t="shared" si="244"/>
        <v>Pure Co</v>
      </c>
      <c r="J3121" s="97" t="s">
        <v>1681</v>
      </c>
      <c r="K3121" s="29">
        <v>16.899999999999999</v>
      </c>
      <c r="L3121" s="29">
        <v>-6.72</v>
      </c>
      <c r="M3121" s="30">
        <f>IFERROR(VLOOKUP($A3121,HeadJournal!$A$1:$J$890,COLUMN(HeadJournal!I$1),0)*($K3121+$L3121)/(SUMIF($A:$A,$A3121,$K:$K)+SUMIF($A:$A,$A3121,$L:$L)),0)</f>
        <v>-0.45556763416313362</v>
      </c>
      <c r="N3121" s="30">
        <f>IFERROR((VLOOKUP($A3121,HeadJournal!$A$1:$K$890,COLUMN(HeadJournal!K$1),0)-VLOOKUP($A3121,HeadJournal!$A$1:$K$890,COLUMN(HeadJournal!J$1),0))*($K3121+$L3121)/(SUMIF($A:$A,$A3121,$K:$K)+SUMIF($A:$A,$A3121,$L:$L)),0)</f>
        <v>0</v>
      </c>
      <c r="O3121" s="30">
        <f>IFERROR((VLOOKUP($A3121,HeadJournal!$A$1:$L$890,COLUMN(HeadJournal!L$1),0)*($K3121+$L3121)/(SUMIF($A:$A,$A3121,$K:$K)+SUMIF($A:$A,$A3121,$L:$L)))/VLOOKUP($A3121,HeadJournal!$A$1:$L$890,COLUMN(HeadJournal!H$1),0),0)</f>
        <v>0.4348108027469475</v>
      </c>
      <c r="P3121" s="30">
        <f>IFERROR(SUM(K3121:O3121)*VLOOKUP($A3121,HeadJournal!$A$1:$L$890,COLUMN(HeadJournal!H$1),0),0)</f>
        <v>1056.673818893358</v>
      </c>
      <c r="Q3121" s="29">
        <v>1500</v>
      </c>
      <c r="R3121" s="31">
        <v>45907</v>
      </c>
      <c r="S3121" s="31" t="s">
        <v>3475</v>
      </c>
      <c r="T3121" s="95" t="str">
        <f t="shared" si="248"/>
        <v>2025 09</v>
      </c>
      <c r="U3121" s="32">
        <f t="shared" si="245"/>
        <v>443.32618110664203</v>
      </c>
      <c r="V3121" s="22">
        <f t="shared" si="246"/>
        <v>0.41954875116611889</v>
      </c>
      <c r="X3121" s="33"/>
      <c r="Y3121" s="33"/>
    </row>
    <row r="3122" spans="1:25" x14ac:dyDescent="0.2">
      <c r="A3122" s="93" t="s">
        <v>1682</v>
      </c>
      <c r="B3122" s="94" t="str">
        <f>IFERROR(VLOOKUP($A3122,HeadJournal!$A$1:$NTR$890,COLUMN(HeadJournal!B$1),0),"")</f>
        <v>720000157150</v>
      </c>
      <c r="C3122" s="94" t="str">
        <f>IFERROR(VLOOKUP($A3122,HeadJournal!$A$1:$NTR$890,COLUMN(HeadJournal!C$1),0),"")</f>
        <v>iHerb_OA CZN6870</v>
      </c>
      <c r="D3122" s="125" t="str">
        <f>IFERROR(VLOOKUP($A3122,HeadJournal!$A$1:$NTR$890,COLUMN(HeadJournal!D$1),0),"")</f>
        <v>Доставлен</v>
      </c>
      <c r="E3122" s="95">
        <f>IFERROR(VLOOKUP($A3122,HeadJournal!$A$1:$NTR$890,COLUMN(HeadJournal!G$1),0),"")</f>
        <v>45355</v>
      </c>
      <c r="F3122" s="95" t="str">
        <f t="shared" si="247"/>
        <v>2024 03</v>
      </c>
      <c r="G3122" s="96" t="s">
        <v>5</v>
      </c>
      <c r="H3122" s="161" t="s">
        <v>3658</v>
      </c>
      <c r="I3122" s="97" t="s">
        <v>2005</v>
      </c>
      <c r="J3122" s="97" t="s">
        <v>3706</v>
      </c>
      <c r="K3122" s="29">
        <v>26.52</v>
      </c>
      <c r="L3122" s="29">
        <v>-5.3</v>
      </c>
      <c r="M3122" s="30">
        <f>IFERROR(VLOOKUP($A3122,HeadJournal!$A$1:$J$890,COLUMN(HeadJournal!I$1),0)*($K3122+$L3122)/(SUMIF($A:$A,$A3122,$K:$K)+SUMIF($A:$A,$A3122,$L:$L)),0)</f>
        <v>-0.94962133565242568</v>
      </c>
      <c r="N3122" s="30">
        <f>IFERROR((VLOOKUP($A3122,HeadJournal!$A$1:$K$890,COLUMN(HeadJournal!K$1),0)-VLOOKUP($A3122,HeadJournal!$A$1:$K$890,COLUMN(HeadJournal!J$1),0))*($K3122+$L3122)/(SUMIF($A:$A,$A3122,$K:$K)+SUMIF($A:$A,$A3122,$L:$L)),0)</f>
        <v>0</v>
      </c>
      <c r="O3122" s="30">
        <f>IFERROR((VLOOKUP($A3122,HeadJournal!$A$1:$L$890,COLUMN(HeadJournal!L$1),0)*($K3122+$L3122)/(SUMIF($A:$A,$A3122,$K:$K)+SUMIF($A:$A,$A3122,$L:$L)))/VLOOKUP($A3122,HeadJournal!$A$1:$L$890,COLUMN(HeadJournal!H$1),0),0)</f>
        <v>0.90635414875149578</v>
      </c>
      <c r="P3122" s="30">
        <f>IFERROR(SUM(K3122:O3122)*VLOOKUP($A3122,HeadJournal!$A$1:$L$890,COLUMN(HeadJournal!H$1),0),0)</f>
        <v>2202.6147776932276</v>
      </c>
      <c r="Q3122" s="29">
        <v>3300</v>
      </c>
      <c r="R3122" s="31">
        <v>45395</v>
      </c>
      <c r="S3122" s="31" t="s">
        <v>3121</v>
      </c>
      <c r="T3122" s="95" t="str">
        <f t="shared" si="248"/>
        <v>2024 04</v>
      </c>
      <c r="U3122" s="32">
        <f t="shared" si="245"/>
        <v>1097.3852223067724</v>
      </c>
      <c r="V3122" s="22">
        <f t="shared" si="246"/>
        <v>0.49821931343621106</v>
      </c>
      <c r="X3122" s="33"/>
      <c r="Y3122" s="33"/>
    </row>
    <row r="3123" spans="1:25" x14ac:dyDescent="0.2">
      <c r="A3123" s="93" t="s">
        <v>1686</v>
      </c>
      <c r="B3123" s="94" t="str">
        <f>IFERROR(VLOOKUP($A3123,HeadJournal!$A$1:$NTR$890,COLUMN(HeadJournal!B$1),0),"")</f>
        <v>720000166156</v>
      </c>
      <c r="C3123" s="94" t="str">
        <f>IFERROR(VLOOKUP($A3123,HeadJournal!$A$1:$NTR$890,COLUMN(HeadJournal!C$1),0),"")</f>
        <v>iHerb_VP DFD1605</v>
      </c>
      <c r="D3123" s="125" t="str">
        <f>IFERROR(VLOOKUP($A3123,HeadJournal!$A$1:$NTR$890,COLUMN(HeadJournal!D$1),0),"")</f>
        <v>Доставлен</v>
      </c>
      <c r="E3123" s="95">
        <f>IFERROR(VLOOKUP($A3123,HeadJournal!$A$1:$NTR$890,COLUMN(HeadJournal!G$1),0),"")</f>
        <v>45363</v>
      </c>
      <c r="F3123" s="95" t="str">
        <f t="shared" si="247"/>
        <v>2024 03</v>
      </c>
      <c r="G3123" s="96" t="s">
        <v>5</v>
      </c>
      <c r="H3123" s="161" t="s">
        <v>3585</v>
      </c>
      <c r="I3123" s="97" t="s">
        <v>2052</v>
      </c>
      <c r="J3123" s="97" t="s">
        <v>3586</v>
      </c>
      <c r="K3123" s="29">
        <v>44.43</v>
      </c>
      <c r="L3123" s="29">
        <v>-13.33</v>
      </c>
      <c r="M3123" s="30">
        <f>IFERROR(VLOOKUP($A3123,HeadJournal!$A$1:$J$890,COLUMN(HeadJournal!I$1),0)*($K3123+$L3123)/(SUMIF($A:$A,$A3123,$K:$K)+SUMIF($A:$A,$A3123,$L:$L)),0)</f>
        <v>-3.1393001345895022</v>
      </c>
      <c r="N3123" s="30">
        <f>IFERROR((VLOOKUP($A3123,HeadJournal!$A$1:$K$890,COLUMN(HeadJournal!K$1),0)-VLOOKUP($A3123,HeadJournal!$A$1:$K$890,COLUMN(HeadJournal!J$1),0))*($K3123+$L3123)/(SUMIF($A:$A,$A3123,$K:$K)+SUMIF($A:$A,$A3123,$L:$L)),0)</f>
        <v>5.407531893341275E-15</v>
      </c>
      <c r="O3123" s="30">
        <f>IFERROR((VLOOKUP($A3123,HeadJournal!$A$1:$L$890,COLUMN(HeadJournal!L$1),0)*($K3123+$L3123)/(SUMIF($A:$A,$A3123,$K:$K)+SUMIF($A:$A,$A3123,$L:$L)))/VLOOKUP($A3123,HeadJournal!$A$1:$L$890,COLUMN(HeadJournal!H$1),0),0)</f>
        <v>2.032022161391982</v>
      </c>
      <c r="P3123" s="30">
        <f>IFERROR(SUM(K3123:O3123)*VLOOKUP($A3123,HeadJournal!$A$1:$L$890,COLUMN(HeadJournal!H$1),0),0)</f>
        <v>3137.8864982258665</v>
      </c>
      <c r="Q3123" s="29">
        <v>4600</v>
      </c>
      <c r="R3123" s="31">
        <v>45402</v>
      </c>
      <c r="S3123" s="31" t="s">
        <v>3121</v>
      </c>
      <c r="T3123" s="95" t="str">
        <f t="shared" si="248"/>
        <v>2024 04</v>
      </c>
      <c r="U3123" s="32">
        <f t="shared" si="245"/>
        <v>1462.1135017741335</v>
      </c>
      <c r="V3123" s="22">
        <f t="shared" si="246"/>
        <v>0.46595487204549929</v>
      </c>
      <c r="X3123" s="33"/>
      <c r="Y3123" s="33"/>
    </row>
    <row r="3124" spans="1:25" x14ac:dyDescent="0.2">
      <c r="A3124" s="93" t="s">
        <v>1686</v>
      </c>
      <c r="B3124" s="94" t="str">
        <f>IFERROR(VLOOKUP($A3124,HeadJournal!$A$1:$NTR$890,COLUMN(HeadJournal!B$1),0),"")</f>
        <v>720000166156</v>
      </c>
      <c r="C3124" s="94" t="str">
        <f>IFERROR(VLOOKUP($A3124,HeadJournal!$A$1:$NTR$890,COLUMN(HeadJournal!C$1),0),"")</f>
        <v>iHerb_VP DFD1605</v>
      </c>
      <c r="D3124" s="125" t="str">
        <f>IFERROR(VLOOKUP($A3124,HeadJournal!$A$1:$NTR$890,COLUMN(HeadJournal!D$1),0),"")</f>
        <v>Доставлен</v>
      </c>
      <c r="E3124" s="95">
        <f>IFERROR(VLOOKUP($A3124,HeadJournal!$A$1:$NTR$890,COLUMN(HeadJournal!G$1),0),"")</f>
        <v>45363</v>
      </c>
      <c r="F3124" s="95" t="str">
        <f t="shared" si="247"/>
        <v>2024 03</v>
      </c>
      <c r="G3124" s="96" t="s">
        <v>5</v>
      </c>
      <c r="H3124" s="161" t="s">
        <v>3585</v>
      </c>
      <c r="I3124" s="97" t="s">
        <v>2052</v>
      </c>
      <c r="J3124" s="97" t="s">
        <v>3586</v>
      </c>
      <c r="K3124" s="29">
        <v>44.43</v>
      </c>
      <c r="L3124" s="29">
        <v>-13.33</v>
      </c>
      <c r="M3124" s="30">
        <f>IFERROR(VLOOKUP($A3124,HeadJournal!$A$1:$J$890,COLUMN(HeadJournal!I$1),0)*($K3124+$L3124)/(SUMIF($A:$A,$A3124,$K:$K)+SUMIF($A:$A,$A3124,$L:$L)),0)</f>
        <v>-3.1393001345895022</v>
      </c>
      <c r="N3124" s="30">
        <f>IFERROR((VLOOKUP($A3124,HeadJournal!$A$1:$K$890,COLUMN(HeadJournal!K$1),0)-VLOOKUP($A3124,HeadJournal!$A$1:$K$890,COLUMN(HeadJournal!J$1),0))*($K3124+$L3124)/(SUMIF($A:$A,$A3124,$K:$K)+SUMIF($A:$A,$A3124,$L:$L)),0)</f>
        <v>5.407531893341275E-15</v>
      </c>
      <c r="O3124" s="30">
        <f>IFERROR((VLOOKUP($A3124,HeadJournal!$A$1:$L$890,COLUMN(HeadJournal!L$1),0)*($K3124+$L3124)/(SUMIF($A:$A,$A3124,$K:$K)+SUMIF($A:$A,$A3124,$L:$L)))/VLOOKUP($A3124,HeadJournal!$A$1:$L$890,COLUMN(HeadJournal!H$1),0),0)</f>
        <v>2.032022161391982</v>
      </c>
      <c r="P3124" s="30">
        <f>IFERROR(SUM(K3124:O3124)*VLOOKUP($A3124,HeadJournal!$A$1:$L$890,COLUMN(HeadJournal!H$1),0),0)</f>
        <v>3137.8864982258665</v>
      </c>
      <c r="Q3124" s="29">
        <v>4500</v>
      </c>
      <c r="R3124" s="31">
        <v>45414</v>
      </c>
      <c r="S3124" s="31" t="s">
        <v>3121</v>
      </c>
      <c r="T3124" s="95" t="str">
        <f t="shared" si="248"/>
        <v>2024 05</v>
      </c>
      <c r="U3124" s="32">
        <f t="shared" si="245"/>
        <v>1362.1135017741335</v>
      </c>
      <c r="V3124" s="22">
        <f t="shared" si="246"/>
        <v>0.43408628787059717</v>
      </c>
      <c r="X3124" s="33"/>
      <c r="Y3124" s="33"/>
    </row>
    <row r="3125" spans="1:25" x14ac:dyDescent="0.2">
      <c r="A3125" s="93" t="s">
        <v>1686</v>
      </c>
      <c r="B3125" s="94" t="str">
        <f>IFERROR(VLOOKUP($A3125,HeadJournal!$A$1:$NTR$890,COLUMN(HeadJournal!B$1),0),"")</f>
        <v>720000166156</v>
      </c>
      <c r="C3125" s="94" t="str">
        <f>IFERROR(VLOOKUP($A3125,HeadJournal!$A$1:$NTR$890,COLUMN(HeadJournal!C$1),0),"")</f>
        <v>iHerb_VP DFD1605</v>
      </c>
      <c r="D3125" s="125" t="str">
        <f>IFERROR(VLOOKUP($A3125,HeadJournal!$A$1:$NTR$890,COLUMN(HeadJournal!D$1),0),"")</f>
        <v>Доставлен</v>
      </c>
      <c r="E3125" s="95">
        <f>IFERROR(VLOOKUP($A3125,HeadJournal!$A$1:$NTR$890,COLUMN(HeadJournal!G$1),0),"")</f>
        <v>45363</v>
      </c>
      <c r="F3125" s="95" t="str">
        <f t="shared" si="247"/>
        <v>2024 03</v>
      </c>
      <c r="G3125" s="96" t="s">
        <v>5</v>
      </c>
      <c r="H3125" s="161" t="str">
        <f>RIGHT(Journal!$J3125,9)</f>
        <v>CGN-02270</v>
      </c>
      <c r="I3125" s="97" t="str">
        <f t="shared" si="244"/>
        <v>California Gold Nutrition</v>
      </c>
      <c r="J3125" s="97" t="s">
        <v>1688</v>
      </c>
      <c r="K3125" s="29">
        <v>13.36</v>
      </c>
      <c r="L3125" s="29">
        <v>-4.01</v>
      </c>
      <c r="M3125" s="30">
        <f>IFERROR(VLOOKUP($A3125,HeadJournal!$A$1:$J$890,COLUMN(HeadJournal!I$1),0)*($K3125+$L3125)/(SUMIF($A:$A,$A3125,$K:$K)+SUMIF($A:$A,$A3125,$L:$L)),0)</f>
        <v>-0.94380888290713338</v>
      </c>
      <c r="N3125" s="30">
        <f>IFERROR((VLOOKUP($A3125,HeadJournal!$A$1:$K$890,COLUMN(HeadJournal!K$1),0)-VLOOKUP($A3125,HeadJournal!$A$1:$K$890,COLUMN(HeadJournal!J$1),0))*($K3125+$L3125)/(SUMIF($A:$A,$A3125,$K:$K)+SUMIF($A:$A,$A3125,$L:$L)),0)</f>
        <v>1.6257370804739845E-15</v>
      </c>
      <c r="O3125" s="30">
        <f>IFERROR((VLOOKUP($A3125,HeadJournal!$A$1:$L$890,COLUMN(HeadJournal!L$1),0)*($K3125+$L3125)/(SUMIF($A:$A,$A3125,$K:$K)+SUMIF($A:$A,$A3125,$L:$L)))/VLOOKUP($A3125,HeadJournal!$A$1:$L$890,COLUMN(HeadJournal!H$1),0),0)</f>
        <v>0.61091341508086927</v>
      </c>
      <c r="P3125" s="30">
        <f>IFERROR(SUM(K3125:O3125)*VLOOKUP($A3125,HeadJournal!$A$1:$L$890,COLUMN(HeadJournal!H$1),0),0)</f>
        <v>943.3838829071334</v>
      </c>
      <c r="Q3125" s="29">
        <v>1900</v>
      </c>
      <c r="R3125" s="31">
        <v>45726</v>
      </c>
      <c r="S3125" s="31" t="s">
        <v>3121</v>
      </c>
      <c r="T3125" s="95" t="str">
        <f t="shared" si="248"/>
        <v>2025 03</v>
      </c>
      <c r="U3125" s="32">
        <f t="shared" si="245"/>
        <v>956.6161170928666</v>
      </c>
      <c r="V3125" s="22">
        <f t="shared" si="246"/>
        <v>1.0140263517593249</v>
      </c>
      <c r="X3125" s="33"/>
      <c r="Y3125" s="33"/>
    </row>
    <row r="3126" spans="1:25" x14ac:dyDescent="0.2">
      <c r="A3126" s="93" t="s">
        <v>1686</v>
      </c>
      <c r="B3126" s="94" t="str">
        <f>IFERROR(VLOOKUP($A3126,HeadJournal!$A$1:$NTR$890,COLUMN(HeadJournal!B$1),0),"")</f>
        <v>720000166156</v>
      </c>
      <c r="C3126" s="94" t="str">
        <f>IFERROR(VLOOKUP($A3126,HeadJournal!$A$1:$NTR$890,COLUMN(HeadJournal!C$1),0),"")</f>
        <v>iHerb_VP DFD1605</v>
      </c>
      <c r="D3126" s="125" t="str">
        <f>IFERROR(VLOOKUP($A3126,HeadJournal!$A$1:$NTR$890,COLUMN(HeadJournal!D$1),0),"")</f>
        <v>Доставлен</v>
      </c>
      <c r="E3126" s="95">
        <f>IFERROR(VLOOKUP($A3126,HeadJournal!$A$1:$NTR$890,COLUMN(HeadJournal!G$1),0),"")</f>
        <v>45363</v>
      </c>
      <c r="F3126" s="95" t="str">
        <f t="shared" si="247"/>
        <v>2024 03</v>
      </c>
      <c r="G3126" s="96" t="s">
        <v>5</v>
      </c>
      <c r="H3126" s="161" t="s">
        <v>2051</v>
      </c>
      <c r="I3126" s="97" t="s">
        <v>2052</v>
      </c>
      <c r="J3126" s="97" t="s">
        <v>3097</v>
      </c>
      <c r="K3126" s="29">
        <v>21.04</v>
      </c>
      <c r="L3126" s="29">
        <v>-7.0449999999999999</v>
      </c>
      <c r="M3126" s="30">
        <f>IFERROR(VLOOKUP($A3126,HeadJournal!$A$1:$J$890,COLUMN(HeadJournal!I$1),0)*($K3126+$L3126)/(SUMIF($A:$A,$A3126,$K:$K)+SUMIF($A:$A,$A3126,$L:$L)),0)</f>
        <v>-1.4126850605652761</v>
      </c>
      <c r="N3126" s="30">
        <f>IFERROR((VLOOKUP($A3126,HeadJournal!$A$1:$K$890,COLUMN(HeadJournal!K$1),0)-VLOOKUP($A3126,HeadJournal!$A$1:$K$890,COLUMN(HeadJournal!J$1),0))*($K3126+$L3126)/(SUMIF($A:$A,$A3126,$K:$K)+SUMIF($A:$A,$A3126,$L:$L)),0)</f>
        <v>2.4333893520035734E-15</v>
      </c>
      <c r="O3126" s="30">
        <f>IFERROR((VLOOKUP($A3126,HeadJournal!$A$1:$L$890,COLUMN(HeadJournal!L$1),0)*($K3126+$L3126)/(SUMIF($A:$A,$A3126,$K:$K)+SUMIF($A:$A,$A3126,$L:$L)))/VLOOKUP($A3126,HeadJournal!$A$1:$L$890,COLUMN(HeadJournal!H$1),0),0)</f>
        <v>0.91440997262639201</v>
      </c>
      <c r="P3126" s="30">
        <f>IFERROR(SUM(K3126:O3126)*VLOOKUP($A3126,HeadJournal!$A$1:$L$890,COLUMN(HeadJournal!H$1),0),0)</f>
        <v>1412.0489242016397</v>
      </c>
      <c r="Q3126" s="29">
        <v>2300</v>
      </c>
      <c r="R3126" s="31">
        <v>45489</v>
      </c>
      <c r="S3126" s="31" t="s">
        <v>3121</v>
      </c>
      <c r="T3126" s="95" t="str">
        <f t="shared" si="248"/>
        <v>2024 07</v>
      </c>
      <c r="U3126" s="32">
        <f t="shared" si="245"/>
        <v>887.95107579836031</v>
      </c>
      <c r="V3126" s="22">
        <f t="shared" si="246"/>
        <v>0.62883874671722173</v>
      </c>
      <c r="X3126" s="33"/>
      <c r="Y3126" s="33"/>
    </row>
    <row r="3127" spans="1:25" x14ac:dyDescent="0.2">
      <c r="A3127" s="93" t="s">
        <v>1686</v>
      </c>
      <c r="B3127" s="94" t="str">
        <f>IFERROR(VLOOKUP($A3127,HeadJournal!$A$1:$NTR$890,COLUMN(HeadJournal!B$1),0),"")</f>
        <v>720000166156</v>
      </c>
      <c r="C3127" s="94" t="str">
        <f>IFERROR(VLOOKUP($A3127,HeadJournal!$A$1:$NTR$890,COLUMN(HeadJournal!C$1),0),"")</f>
        <v>iHerb_VP DFD1605</v>
      </c>
      <c r="D3127" s="125" t="str">
        <f>IFERROR(VLOOKUP($A3127,HeadJournal!$A$1:$NTR$890,COLUMN(HeadJournal!D$1),0),"")</f>
        <v>Доставлен</v>
      </c>
      <c r="E3127" s="95">
        <f>IFERROR(VLOOKUP($A3127,HeadJournal!$A$1:$NTR$890,COLUMN(HeadJournal!G$1),0),"")</f>
        <v>45363</v>
      </c>
      <c r="F3127" s="95" t="str">
        <f t="shared" si="247"/>
        <v>2024 03</v>
      </c>
      <c r="G3127" s="96" t="s">
        <v>5</v>
      </c>
      <c r="H3127" s="161" t="s">
        <v>2051</v>
      </c>
      <c r="I3127" s="97" t="s">
        <v>2052</v>
      </c>
      <c r="J3127" s="97" t="s">
        <v>3097</v>
      </c>
      <c r="K3127" s="29">
        <v>21.04</v>
      </c>
      <c r="L3127" s="29">
        <v>-7.0449999999999999</v>
      </c>
      <c r="M3127" s="30">
        <f>IFERROR(VLOOKUP($A3127,HeadJournal!$A$1:$J$890,COLUMN(HeadJournal!I$1),0)*($K3127+$L3127)/(SUMIF($A:$A,$A3127,$K:$K)+SUMIF($A:$A,$A3127,$L:$L)),0)</f>
        <v>-1.4126850605652761</v>
      </c>
      <c r="N3127" s="30">
        <f>IFERROR((VLOOKUP($A3127,HeadJournal!$A$1:$K$890,COLUMN(HeadJournal!K$1),0)-VLOOKUP($A3127,HeadJournal!$A$1:$K$890,COLUMN(HeadJournal!J$1),0))*($K3127+$L3127)/(SUMIF($A:$A,$A3127,$K:$K)+SUMIF($A:$A,$A3127,$L:$L)),0)</f>
        <v>2.4333893520035734E-15</v>
      </c>
      <c r="O3127" s="30">
        <f>IFERROR((VLOOKUP($A3127,HeadJournal!$A$1:$L$890,COLUMN(HeadJournal!L$1),0)*($K3127+$L3127)/(SUMIF($A:$A,$A3127,$K:$K)+SUMIF($A:$A,$A3127,$L:$L)))/VLOOKUP($A3127,HeadJournal!$A$1:$L$890,COLUMN(HeadJournal!H$1),0),0)</f>
        <v>0.91440997262639201</v>
      </c>
      <c r="P3127" s="30">
        <f>IFERROR(SUM(K3127:O3127)*VLOOKUP($A3127,HeadJournal!$A$1:$L$890,COLUMN(HeadJournal!H$1),0),0)</f>
        <v>1412.0489242016397</v>
      </c>
      <c r="Q3127" s="29">
        <v>2300</v>
      </c>
      <c r="R3127" s="31">
        <v>45489</v>
      </c>
      <c r="S3127" s="31" t="s">
        <v>3121</v>
      </c>
      <c r="T3127" s="95" t="str">
        <f t="shared" si="248"/>
        <v>2024 07</v>
      </c>
      <c r="U3127" s="32">
        <f t="shared" si="245"/>
        <v>887.95107579836031</v>
      </c>
      <c r="V3127" s="22">
        <f t="shared" si="246"/>
        <v>0.62883874671722173</v>
      </c>
      <c r="X3127" s="33"/>
      <c r="Y3127" s="33"/>
    </row>
    <row r="3128" spans="1:25" x14ac:dyDescent="0.2">
      <c r="A3128" s="93" t="s">
        <v>1686</v>
      </c>
      <c r="B3128" s="94" t="str">
        <f>IFERROR(VLOOKUP($A3128,HeadJournal!$A$1:$NTR$890,COLUMN(HeadJournal!B$1),0),"")</f>
        <v>720000166156</v>
      </c>
      <c r="C3128" s="94" t="str">
        <f>IFERROR(VLOOKUP($A3128,HeadJournal!$A$1:$NTR$890,COLUMN(HeadJournal!C$1),0),"")</f>
        <v>iHerb_VP DFD1605</v>
      </c>
      <c r="D3128" s="125" t="str">
        <f>IFERROR(VLOOKUP($A3128,HeadJournal!$A$1:$NTR$890,COLUMN(HeadJournal!D$1),0),"")</f>
        <v>Доставлен</v>
      </c>
      <c r="E3128" s="95">
        <f>IFERROR(VLOOKUP($A3128,HeadJournal!$A$1:$NTR$890,COLUMN(HeadJournal!G$1),0),"")</f>
        <v>45363</v>
      </c>
      <c r="F3128" s="95" t="str">
        <f t="shared" si="247"/>
        <v>2024 03</v>
      </c>
      <c r="G3128" s="96" t="s">
        <v>5</v>
      </c>
      <c r="H3128" s="161" t="s">
        <v>2615</v>
      </c>
      <c r="I3128" s="97" t="s">
        <v>2052</v>
      </c>
      <c r="J3128" s="97" t="s">
        <v>2616</v>
      </c>
      <c r="K3128" s="29">
        <v>48.6</v>
      </c>
      <c r="L3128" s="29">
        <v>-14.58</v>
      </c>
      <c r="M3128" s="30">
        <f>IFERROR(VLOOKUP($A3128,HeadJournal!$A$1:$J$890,COLUMN(HeadJournal!I$1),0)*($K3128+$L3128)/(SUMIF($A:$A,$A3128,$K:$K)+SUMIF($A:$A,$A3128,$L:$L)),0)</f>
        <v>-3.4340511440107679</v>
      </c>
      <c r="N3128" s="30">
        <f>IFERROR((VLOOKUP($A3128,HeadJournal!$A$1:$K$890,COLUMN(HeadJournal!K$1),0)-VLOOKUP($A3128,HeadJournal!$A$1:$K$890,COLUMN(HeadJournal!J$1),0))*($K3128+$L3128)/(SUMIF($A:$A,$A3128,$K:$K)+SUMIF($A:$A,$A3128,$L:$L)),0)</f>
        <v>5.9152487141951823E-15</v>
      </c>
      <c r="O3128" s="30">
        <f>IFERROR((VLOOKUP($A3128,HeadJournal!$A$1:$L$890,COLUMN(HeadJournal!L$1),0)*($K3128+$L3128)/(SUMIF($A:$A,$A3128,$K:$K)+SUMIF($A:$A,$A3128,$L:$L)))/VLOOKUP($A3128,HeadJournal!$A$1:$L$890,COLUMN(HeadJournal!H$1),0),0)</f>
        <v>2.2228100942300721</v>
      </c>
      <c r="P3128" s="30">
        <f>IFERROR(SUM(K3128:O3128)*VLOOKUP($A3128,HeadJournal!$A$1:$L$890,COLUMN(HeadJournal!H$1),0),0)</f>
        <v>3432.5047803744042</v>
      </c>
      <c r="Q3128" s="29">
        <v>3432.5</v>
      </c>
      <c r="R3128" s="31">
        <v>45364</v>
      </c>
      <c r="S3128" s="31" t="s">
        <v>3121</v>
      </c>
      <c r="T3128" s="95" t="str">
        <f t="shared" si="248"/>
        <v>2024 03</v>
      </c>
      <c r="U3128" s="32">
        <f t="shared" si="245"/>
        <v>-4.7803744041630125E-3</v>
      </c>
      <c r="V3128" s="22">
        <f t="shared" si="246"/>
        <v>-1.3926781490575485E-6</v>
      </c>
      <c r="X3128" s="33"/>
      <c r="Y3128" s="33"/>
    </row>
    <row r="3129" spans="1:25" x14ac:dyDescent="0.2">
      <c r="A3129" s="93" t="s">
        <v>1686</v>
      </c>
      <c r="B3129" s="94" t="str">
        <f>IFERROR(VLOOKUP($A3129,HeadJournal!$A$1:$NTR$890,COLUMN(HeadJournal!B$1),0),"")</f>
        <v>720000166156</v>
      </c>
      <c r="C3129" s="94" t="str">
        <f>IFERROR(VLOOKUP($A3129,HeadJournal!$A$1:$NTR$890,COLUMN(HeadJournal!C$1),0),"")</f>
        <v>iHerb_VP DFD1605</v>
      </c>
      <c r="D3129" s="125" t="str">
        <f>IFERROR(VLOOKUP($A3129,HeadJournal!$A$1:$NTR$890,COLUMN(HeadJournal!D$1),0),"")</f>
        <v>Доставлен</v>
      </c>
      <c r="E3129" s="95">
        <f>IFERROR(VLOOKUP($A3129,HeadJournal!$A$1:$NTR$890,COLUMN(HeadJournal!G$1),0),"")</f>
        <v>45363</v>
      </c>
      <c r="F3129" s="95" t="str">
        <f t="shared" si="247"/>
        <v>2024 03</v>
      </c>
      <c r="G3129" s="96" t="s">
        <v>5</v>
      </c>
      <c r="H3129" s="161" t="str">
        <f>RIGHT(Journal!$J3129,9)</f>
        <v>CGN-02278</v>
      </c>
      <c r="I3129" s="97" t="str">
        <f t="shared" ref="I3129:I3190" si="249">IFERROR(LEFT(J3129,FIND(",",J3129)-1),"")</f>
        <v>California Gold Nutrition</v>
      </c>
      <c r="J3129" s="97" t="s">
        <v>1689</v>
      </c>
      <c r="K3129" s="29">
        <v>11.5</v>
      </c>
      <c r="L3129" s="29">
        <v>-3.45</v>
      </c>
      <c r="M3129" s="30">
        <f>IFERROR(VLOOKUP($A3129,HeadJournal!$A$1:$J$890,COLUMN(HeadJournal!I$1),0)*($K3129+$L3129)/(SUMIF($A:$A,$A3129,$K:$K)+SUMIF($A:$A,$A3129,$L:$L)),0)</f>
        <v>-0.81258411843876199</v>
      </c>
      <c r="N3129" s="30">
        <f>IFERROR((VLOOKUP($A3129,HeadJournal!$A$1:$K$890,COLUMN(HeadJournal!K$1),0)-VLOOKUP($A3129,HeadJournal!$A$1:$K$890,COLUMN(HeadJournal!J$1),0))*($K3129+$L3129)/(SUMIF($A:$A,$A3129,$K:$K)+SUMIF($A:$A,$A3129,$L:$L)),0)</f>
        <v>1.3996987698198477E-15</v>
      </c>
      <c r="O3129" s="30">
        <f>IFERROR((VLOOKUP($A3129,HeadJournal!$A$1:$L$890,COLUMN(HeadJournal!L$1),0)*($K3129+$L3129)/(SUMIF($A:$A,$A3129,$K:$K)+SUMIF($A:$A,$A3129,$L:$L)))/VLOOKUP($A3129,HeadJournal!$A$1:$L$890,COLUMN(HeadJournal!H$1),0),0)</f>
        <v>0.52597358196802113</v>
      </c>
      <c r="P3129" s="30">
        <f>IFERROR(SUM(K3129:O3129)*VLOOKUP($A3129,HeadJournal!$A$1:$L$890,COLUMN(HeadJournal!H$1),0),0)</f>
        <v>812.21820934785285</v>
      </c>
      <c r="Q3129" s="29">
        <v>1600</v>
      </c>
      <c r="R3129" s="31">
        <v>45782</v>
      </c>
      <c r="S3129" s="31" t="s">
        <v>3121</v>
      </c>
      <c r="T3129" s="95" t="str">
        <f t="shared" si="248"/>
        <v>2025 05</v>
      </c>
      <c r="U3129" s="32">
        <f t="shared" si="245"/>
        <v>787.78179065214715</v>
      </c>
      <c r="V3129" s="22">
        <f t="shared" si="246"/>
        <v>0.969913973345505</v>
      </c>
      <c r="X3129" s="33"/>
      <c r="Y3129" s="33"/>
    </row>
    <row r="3130" spans="1:25" x14ac:dyDescent="0.2">
      <c r="A3130" s="93" t="s">
        <v>1686</v>
      </c>
      <c r="B3130" s="94" t="str">
        <f>IFERROR(VLOOKUP($A3130,HeadJournal!$A$1:$NTR$890,COLUMN(HeadJournal!B$1),0),"")</f>
        <v>720000166156</v>
      </c>
      <c r="C3130" s="94" t="str">
        <f>IFERROR(VLOOKUP($A3130,HeadJournal!$A$1:$NTR$890,COLUMN(HeadJournal!C$1),0),"")</f>
        <v>iHerb_VP DFD1605</v>
      </c>
      <c r="D3130" s="125" t="str">
        <f>IFERROR(VLOOKUP($A3130,HeadJournal!$A$1:$NTR$890,COLUMN(HeadJournal!D$1),0),"")</f>
        <v>Доставлен</v>
      </c>
      <c r="E3130" s="95">
        <f>IFERROR(VLOOKUP($A3130,HeadJournal!$A$1:$NTR$890,COLUMN(HeadJournal!G$1),0),"")</f>
        <v>45363</v>
      </c>
      <c r="F3130" s="95" t="str">
        <f t="shared" si="247"/>
        <v>2024 03</v>
      </c>
      <c r="G3130" s="96" t="s">
        <v>5</v>
      </c>
      <c r="H3130" s="161" t="s">
        <v>2880</v>
      </c>
      <c r="I3130" s="97" t="s">
        <v>2052</v>
      </c>
      <c r="J3130" s="97" t="s">
        <v>2881</v>
      </c>
      <c r="K3130" s="29">
        <v>22.66</v>
      </c>
      <c r="L3130" s="29">
        <v>-6.8</v>
      </c>
      <c r="M3130" s="30">
        <f>IFERROR(VLOOKUP($A3130,HeadJournal!$A$1:$J$890,COLUMN(HeadJournal!I$1),0)*($K3130+$L3130)/(SUMIF($A:$A,$A3130,$K:$K)+SUMIF($A:$A,$A3130,$L:$L)),0)</f>
        <v>-1.6009421265141321</v>
      </c>
      <c r="N3130" s="30">
        <f>IFERROR((VLOOKUP($A3130,HeadJournal!$A$1:$K$890,COLUMN(HeadJournal!K$1),0)-VLOOKUP($A3130,HeadJournal!$A$1:$K$890,COLUMN(HeadJournal!J$1),0))*($K3130+$L3130)/(SUMIF($A:$A,$A3130,$K:$K)+SUMIF($A:$A,$A3130,$L:$L)),0)</f>
        <v>2.75766738998047E-15</v>
      </c>
      <c r="O3130" s="30">
        <f>IFERROR((VLOOKUP($A3130,HeadJournal!$A$1:$L$890,COLUMN(HeadJournal!L$1),0)*($K3130+$L3130)/(SUMIF($A:$A,$A3130,$K:$K)+SUMIF($A:$A,$A3130,$L:$L)))/VLOOKUP($A3130,HeadJournal!$A$1:$L$890,COLUMN(HeadJournal!H$1),0),0)</f>
        <v>1.0362659639767473</v>
      </c>
      <c r="P3130" s="30">
        <f>IFERROR(SUM(K3130:O3130)*VLOOKUP($A3130,HeadJournal!$A$1:$L$890,COLUMN(HeadJournal!H$1),0),0)</f>
        <v>1600.2212174232232</v>
      </c>
      <c r="Q3130" s="29">
        <v>2900</v>
      </c>
      <c r="R3130" s="31">
        <v>45420</v>
      </c>
      <c r="S3130" s="31" t="s">
        <v>3121</v>
      </c>
      <c r="T3130" s="95" t="str">
        <f t="shared" si="248"/>
        <v>2024 05</v>
      </c>
      <c r="U3130" s="32">
        <f t="shared" si="245"/>
        <v>1299.7787825767768</v>
      </c>
      <c r="V3130" s="22">
        <f t="shared" si="246"/>
        <v>0.8122494367808486</v>
      </c>
      <c r="X3130" s="33"/>
      <c r="Y3130" s="33"/>
    </row>
    <row r="3131" spans="1:25" x14ac:dyDescent="0.2">
      <c r="A3131" s="93" t="s">
        <v>1686</v>
      </c>
      <c r="B3131" s="94" t="str">
        <f>IFERROR(VLOOKUP($A3131,HeadJournal!$A$1:$NTR$890,COLUMN(HeadJournal!B$1),0),"")</f>
        <v>720000166156</v>
      </c>
      <c r="C3131" s="94" t="str">
        <f>IFERROR(VLOOKUP($A3131,HeadJournal!$A$1:$NTR$890,COLUMN(HeadJournal!C$1),0),"")</f>
        <v>iHerb_VP DFD1605</v>
      </c>
      <c r="D3131" s="125" t="str">
        <f>IFERROR(VLOOKUP($A3131,HeadJournal!$A$1:$NTR$890,COLUMN(HeadJournal!D$1),0),"")</f>
        <v>Доставлен</v>
      </c>
      <c r="E3131" s="95">
        <f>IFERROR(VLOOKUP($A3131,HeadJournal!$A$1:$NTR$890,COLUMN(HeadJournal!G$1),0),"")</f>
        <v>45363</v>
      </c>
      <c r="F3131" s="95" t="str">
        <f t="shared" si="247"/>
        <v>2024 03</v>
      </c>
      <c r="G3131" s="96" t="s">
        <v>5</v>
      </c>
      <c r="H3131" s="161" t="s">
        <v>4093</v>
      </c>
      <c r="I3131" s="97" t="s">
        <v>2657</v>
      </c>
      <c r="J3131" s="97" t="s">
        <v>4094</v>
      </c>
      <c r="K3131" s="29">
        <v>13.13</v>
      </c>
      <c r="L3131" s="29">
        <v>-7.14</v>
      </c>
      <c r="M3131" s="30">
        <f>IFERROR(VLOOKUP($A3131,HeadJournal!$A$1:$J$890,COLUMN(HeadJournal!I$1),0)*($K3131+$L3131)/(SUMIF($A:$A,$A3131,$K:$K)+SUMIF($A:$A,$A3131,$L:$L)),0)</f>
        <v>-0.6046433378196503</v>
      </c>
      <c r="N3131" s="30">
        <f>IFERROR((VLOOKUP($A3131,HeadJournal!$A$1:$K$890,COLUMN(HeadJournal!K$1),0)-VLOOKUP($A3131,HeadJournal!$A$1:$K$890,COLUMN(HeadJournal!J$1),0))*($K3131+$L3131)/(SUMIF($A:$A,$A3131,$K:$K)+SUMIF($A:$A,$A3131,$L:$L)),0)</f>
        <v>1.0415149852448308E-15</v>
      </c>
      <c r="O3131" s="30">
        <f>IFERROR((VLOOKUP($A3131,HeadJournal!$A$1:$L$890,COLUMN(HeadJournal!L$1),0)*($K3131+$L3131)/(SUMIF($A:$A,$A3131,$K:$K)+SUMIF($A:$A,$A3131,$L:$L)))/VLOOKUP($A3131,HeadJournal!$A$1:$L$890,COLUMN(HeadJournal!H$1),0),0)</f>
        <v>0.39137661565073883</v>
      </c>
      <c r="P3131" s="30">
        <f>IFERROR(SUM(K3131:O3131)*VLOOKUP($A3131,HeadJournal!$A$1:$L$890,COLUMN(HeadJournal!H$1),0),0)</f>
        <v>604.37106509237753</v>
      </c>
      <c r="Q3131" s="29">
        <v>1700</v>
      </c>
      <c r="R3131" s="31">
        <v>45474</v>
      </c>
      <c r="S3131" s="31" t="s">
        <v>3121</v>
      </c>
      <c r="T3131" s="95" t="str">
        <f t="shared" si="248"/>
        <v>2024 07</v>
      </c>
      <c r="U3131" s="32">
        <f t="shared" si="245"/>
        <v>1095.6289349076224</v>
      </c>
      <c r="V3131" s="22">
        <f t="shared" si="246"/>
        <v>1.8128414780084756</v>
      </c>
      <c r="X3131" s="33"/>
      <c r="Y3131" s="33"/>
    </row>
    <row r="3132" spans="1:25" x14ac:dyDescent="0.2">
      <c r="A3132" s="93" t="s">
        <v>1692</v>
      </c>
      <c r="B3132" s="94" t="str">
        <f>IFERROR(VLOOKUP($A3132,HeadJournal!$A$1:$NTR$890,COLUMN(HeadJournal!B$1),0),"")</f>
        <v>720000176291</v>
      </c>
      <c r="C3132" s="94" t="str">
        <f>IFERROR(VLOOKUP($A3132,HeadJournal!$A$1:$NTR$890,COLUMN(HeadJournal!C$1),0),"")</f>
        <v>iHerb_VP DFD1605</v>
      </c>
      <c r="D3132" s="125" t="str">
        <f>IFERROR(VLOOKUP($A3132,HeadJournal!$A$1:$NTR$890,COLUMN(HeadJournal!D$1),0),"")</f>
        <v>Доставлен</v>
      </c>
      <c r="E3132" s="95">
        <f>IFERROR(VLOOKUP($A3132,HeadJournal!$A$1:$NTR$890,COLUMN(HeadJournal!G$1),0),"")</f>
        <v>45371</v>
      </c>
      <c r="F3132" s="95" t="str">
        <f t="shared" si="247"/>
        <v>2024 03</v>
      </c>
      <c r="G3132" s="96" t="s">
        <v>5</v>
      </c>
      <c r="H3132" s="161" t="s">
        <v>3644</v>
      </c>
      <c r="I3132" s="97" t="s">
        <v>2102</v>
      </c>
      <c r="J3132" s="97" t="s">
        <v>3694</v>
      </c>
      <c r="K3132" s="29">
        <v>10.07</v>
      </c>
      <c r="L3132" s="29">
        <v>-2.0099999999999998</v>
      </c>
      <c r="M3132" s="30">
        <f>IFERROR(VLOOKUP($A3132,HeadJournal!$A$1:$J$890,COLUMN(HeadJournal!I$1),0)*($K3132+$L3132)/(SUMIF($A:$A,$A3132,$K:$K)+SUMIF($A:$A,$A3132,$L:$L)),0)</f>
        <v>-0.32597229916897513</v>
      </c>
      <c r="N3132" s="30">
        <f>IFERROR((VLOOKUP($A3132,HeadJournal!$A$1:$K$890,COLUMN(HeadJournal!K$1),0)-VLOOKUP($A3132,HeadJournal!$A$1:$K$890,COLUMN(HeadJournal!J$1),0))*($K3132+$L3132)/(SUMIF($A:$A,$A3132,$K:$K)+SUMIF($A:$A,$A3132,$L:$L)),0)</f>
        <v>2.3075192949791624E-15</v>
      </c>
      <c r="O3132" s="30">
        <f>IFERROR((VLOOKUP($A3132,HeadJournal!$A$1:$L$890,COLUMN(HeadJournal!L$1),0)*($K3132+$L3132)/(SUMIF($A:$A,$A3132,$K:$K)+SUMIF($A:$A,$A3132,$L:$L)))/VLOOKUP($A3132,HeadJournal!$A$1:$L$890,COLUMN(HeadJournal!H$1),0),0)</f>
        <v>0.42938054876194598</v>
      </c>
      <c r="P3132" s="30">
        <f>IFERROR(SUM(K3132:O3132)*VLOOKUP($A3132,HeadJournal!$A$1:$L$890,COLUMN(HeadJournal!H$1),0),0)</f>
        <v>848.65852933769872</v>
      </c>
      <c r="Q3132" s="29">
        <v>1400</v>
      </c>
      <c r="R3132" s="31">
        <v>45402</v>
      </c>
      <c r="S3132" s="31" t="s">
        <v>3121</v>
      </c>
      <c r="T3132" s="95" t="str">
        <f t="shared" si="248"/>
        <v>2024 04</v>
      </c>
      <c r="U3132" s="32">
        <f t="shared" si="245"/>
        <v>551.34147066230128</v>
      </c>
      <c r="V3132" s="22">
        <f t="shared" si="246"/>
        <v>0.64966232189120099</v>
      </c>
      <c r="X3132" s="33"/>
      <c r="Y3132" s="33"/>
    </row>
    <row r="3133" spans="1:25" x14ac:dyDescent="0.2">
      <c r="A3133" s="93" t="s">
        <v>1692</v>
      </c>
      <c r="B3133" s="94" t="str">
        <f>IFERROR(VLOOKUP($A3133,HeadJournal!$A$1:$NTR$890,COLUMN(HeadJournal!B$1),0),"")</f>
        <v>720000176291</v>
      </c>
      <c r="C3133" s="94" t="str">
        <f>IFERROR(VLOOKUP($A3133,HeadJournal!$A$1:$NTR$890,COLUMN(HeadJournal!C$1),0),"")</f>
        <v>iHerb_VP DFD1605</v>
      </c>
      <c r="D3133" s="125" t="str">
        <f>IFERROR(VLOOKUP($A3133,HeadJournal!$A$1:$NTR$890,COLUMN(HeadJournal!D$1),0),"")</f>
        <v>Доставлен</v>
      </c>
      <c r="E3133" s="95">
        <f>IFERROR(VLOOKUP($A3133,HeadJournal!$A$1:$NTR$890,COLUMN(HeadJournal!G$1),0),"")</f>
        <v>45371</v>
      </c>
      <c r="F3133" s="95" t="str">
        <f t="shared" si="247"/>
        <v>2024 03</v>
      </c>
      <c r="G3133" s="96" t="s">
        <v>5</v>
      </c>
      <c r="H3133" s="161" t="s">
        <v>2546</v>
      </c>
      <c r="I3133" s="97" t="s">
        <v>2039</v>
      </c>
      <c r="J3133" s="97" t="s">
        <v>2547</v>
      </c>
      <c r="K3133" s="29">
        <v>10.76</v>
      </c>
      <c r="L3133" s="29">
        <v>-2.1533333333333333</v>
      </c>
      <c r="M3133" s="30">
        <f>IFERROR(VLOOKUP($A3133,HeadJournal!$A$1:$J$890,COLUMN(HeadJournal!I$1),0)*($K3133+$L3133)/(SUMIF($A:$A,$A3133,$K:$K)+SUMIF($A:$A,$A3133,$L:$L)),0)</f>
        <v>-0.34808125577100646</v>
      </c>
      <c r="N3133" s="30">
        <f>IFERROR((VLOOKUP($A3133,HeadJournal!$A$1:$K$890,COLUMN(HeadJournal!K$1),0)-VLOOKUP($A3133,HeadJournal!$A$1:$K$890,COLUMN(HeadJournal!J$1),0))*($K3133+$L3133)/(SUMIF($A:$A,$A3133,$K:$K)+SUMIF($A:$A,$A3133,$L:$L)),0)</f>
        <v>2.4640259799984273E-15</v>
      </c>
      <c r="O3133" s="30">
        <f>IFERROR((VLOOKUP($A3133,HeadJournal!$A$1:$L$890,COLUMN(HeadJournal!L$1),0)*($K3133+$L3133)/(SUMIF($A:$A,$A3133,$K:$K)+SUMIF($A:$A,$A3133,$L:$L)))/VLOOKUP($A3133,HeadJournal!$A$1:$L$890,COLUMN(HeadJournal!H$1),0),0)</f>
        <v>0.45850313354149885</v>
      </c>
      <c r="P3133" s="30">
        <f>IFERROR(SUM(K3133:O3133)*VLOOKUP($A3133,HeadJournal!$A$1:$L$890,COLUMN(HeadJournal!H$1),0),0)</f>
        <v>906.21849576093348</v>
      </c>
      <c r="Q3133" s="29">
        <v>1600</v>
      </c>
      <c r="R3133" s="31">
        <v>45402</v>
      </c>
      <c r="S3133" s="31" t="s">
        <v>3121</v>
      </c>
      <c r="T3133" s="95" t="str">
        <f t="shared" si="248"/>
        <v>2024 04</v>
      </c>
      <c r="U3133" s="32">
        <f t="shared" si="245"/>
        <v>693.78150423906652</v>
      </c>
      <c r="V3133" s="22">
        <f t="shared" si="246"/>
        <v>0.76557861871547006</v>
      </c>
      <c r="X3133" s="33"/>
      <c r="Y3133" s="33"/>
    </row>
    <row r="3134" spans="1:25" x14ac:dyDescent="0.2">
      <c r="A3134" s="93" t="s">
        <v>1692</v>
      </c>
      <c r="B3134" s="94" t="str">
        <f>IFERROR(VLOOKUP($A3134,HeadJournal!$A$1:$NTR$890,COLUMN(HeadJournal!B$1),0),"")</f>
        <v>720000176291</v>
      </c>
      <c r="C3134" s="94" t="str">
        <f>IFERROR(VLOOKUP($A3134,HeadJournal!$A$1:$NTR$890,COLUMN(HeadJournal!C$1),0),"")</f>
        <v>iHerb_VP DFD1605</v>
      </c>
      <c r="D3134" s="125" t="str">
        <f>IFERROR(VLOOKUP($A3134,HeadJournal!$A$1:$NTR$890,COLUMN(HeadJournal!D$1),0),"")</f>
        <v>Доставлен</v>
      </c>
      <c r="E3134" s="95">
        <f>IFERROR(VLOOKUP($A3134,HeadJournal!$A$1:$NTR$890,COLUMN(HeadJournal!G$1),0),"")</f>
        <v>45371</v>
      </c>
      <c r="F3134" s="95" t="str">
        <f t="shared" si="247"/>
        <v>2024 03</v>
      </c>
      <c r="G3134" s="96" t="s">
        <v>5</v>
      </c>
      <c r="H3134" s="161" t="s">
        <v>2546</v>
      </c>
      <c r="I3134" s="97" t="s">
        <v>2039</v>
      </c>
      <c r="J3134" s="97" t="s">
        <v>2547</v>
      </c>
      <c r="K3134" s="29">
        <v>10.76</v>
      </c>
      <c r="L3134" s="29">
        <v>-2.1533333333333333</v>
      </c>
      <c r="M3134" s="30">
        <f>IFERROR(VLOOKUP($A3134,HeadJournal!$A$1:$J$890,COLUMN(HeadJournal!I$1),0)*($K3134+$L3134)/(SUMIF($A:$A,$A3134,$K:$K)+SUMIF($A:$A,$A3134,$L:$L)),0)</f>
        <v>-0.34808125577100646</v>
      </c>
      <c r="N3134" s="30">
        <f>IFERROR((VLOOKUP($A3134,HeadJournal!$A$1:$K$890,COLUMN(HeadJournal!K$1),0)-VLOOKUP($A3134,HeadJournal!$A$1:$K$890,COLUMN(HeadJournal!J$1),0))*($K3134+$L3134)/(SUMIF($A:$A,$A3134,$K:$K)+SUMIF($A:$A,$A3134,$L:$L)),0)</f>
        <v>2.4640259799984273E-15</v>
      </c>
      <c r="O3134" s="30">
        <f>IFERROR((VLOOKUP($A3134,HeadJournal!$A$1:$L$890,COLUMN(HeadJournal!L$1),0)*($K3134+$L3134)/(SUMIF($A:$A,$A3134,$K:$K)+SUMIF($A:$A,$A3134,$L:$L)))/VLOOKUP($A3134,HeadJournal!$A$1:$L$890,COLUMN(HeadJournal!H$1),0),0)</f>
        <v>0.45850313354149885</v>
      </c>
      <c r="P3134" s="30">
        <f>IFERROR(SUM(K3134:O3134)*VLOOKUP($A3134,HeadJournal!$A$1:$L$890,COLUMN(HeadJournal!H$1),0),0)</f>
        <v>906.21849576093348</v>
      </c>
      <c r="Q3134" s="29">
        <v>1700</v>
      </c>
      <c r="R3134" s="31">
        <v>45455</v>
      </c>
      <c r="S3134" s="31" t="s">
        <v>3121</v>
      </c>
      <c r="T3134" s="95" t="str">
        <f t="shared" si="248"/>
        <v>2024 06</v>
      </c>
      <c r="U3134" s="32">
        <f t="shared" si="245"/>
        <v>793.78150423906652</v>
      </c>
      <c r="V3134" s="22">
        <f t="shared" si="246"/>
        <v>0.87592728238518691</v>
      </c>
      <c r="X3134" s="33"/>
      <c r="Y3134" s="33"/>
    </row>
    <row r="3135" spans="1:25" x14ac:dyDescent="0.2">
      <c r="A3135" s="93" t="s">
        <v>1692</v>
      </c>
      <c r="B3135" s="94" t="str">
        <f>IFERROR(VLOOKUP($A3135,HeadJournal!$A$1:$NTR$890,COLUMN(HeadJournal!B$1),0),"")</f>
        <v>720000176291</v>
      </c>
      <c r="C3135" s="94" t="str">
        <f>IFERROR(VLOOKUP($A3135,HeadJournal!$A$1:$NTR$890,COLUMN(HeadJournal!C$1),0),"")</f>
        <v>iHerb_VP DFD1605</v>
      </c>
      <c r="D3135" s="125" t="str">
        <f>IFERROR(VLOOKUP($A3135,HeadJournal!$A$1:$NTR$890,COLUMN(HeadJournal!D$1),0),"")</f>
        <v>Доставлен</v>
      </c>
      <c r="E3135" s="95">
        <f>IFERROR(VLOOKUP($A3135,HeadJournal!$A$1:$NTR$890,COLUMN(HeadJournal!G$1),0),"")</f>
        <v>45371</v>
      </c>
      <c r="F3135" s="95" t="str">
        <f t="shared" si="247"/>
        <v>2024 03</v>
      </c>
      <c r="G3135" s="96" t="s">
        <v>5</v>
      </c>
      <c r="H3135" s="161" t="s">
        <v>2546</v>
      </c>
      <c r="I3135" s="97" t="s">
        <v>2039</v>
      </c>
      <c r="J3135" s="97" t="s">
        <v>2547</v>
      </c>
      <c r="K3135" s="29">
        <v>10.76</v>
      </c>
      <c r="L3135" s="29">
        <v>-2.1533333333333333</v>
      </c>
      <c r="M3135" s="30">
        <f>IFERROR(VLOOKUP($A3135,HeadJournal!$A$1:$J$890,COLUMN(HeadJournal!I$1),0)*($K3135+$L3135)/(SUMIF($A:$A,$A3135,$K:$K)+SUMIF($A:$A,$A3135,$L:$L)),0)</f>
        <v>-0.34808125577100646</v>
      </c>
      <c r="N3135" s="30">
        <f>IFERROR((VLOOKUP($A3135,HeadJournal!$A$1:$K$890,COLUMN(HeadJournal!K$1),0)-VLOOKUP($A3135,HeadJournal!$A$1:$K$890,COLUMN(HeadJournal!J$1),0))*($K3135+$L3135)/(SUMIF($A:$A,$A3135,$K:$K)+SUMIF($A:$A,$A3135,$L:$L)),0)</f>
        <v>2.4640259799984273E-15</v>
      </c>
      <c r="O3135" s="30">
        <f>IFERROR((VLOOKUP($A3135,HeadJournal!$A$1:$L$890,COLUMN(HeadJournal!L$1),0)*($K3135+$L3135)/(SUMIF($A:$A,$A3135,$K:$K)+SUMIF($A:$A,$A3135,$L:$L)))/VLOOKUP($A3135,HeadJournal!$A$1:$L$890,COLUMN(HeadJournal!H$1),0),0)</f>
        <v>0.45850313354149885</v>
      </c>
      <c r="P3135" s="30">
        <f>IFERROR(SUM(K3135:O3135)*VLOOKUP($A3135,HeadJournal!$A$1:$L$890,COLUMN(HeadJournal!H$1),0),0)</f>
        <v>906.21849576093348</v>
      </c>
      <c r="Q3135" s="29">
        <v>1600</v>
      </c>
      <c r="R3135" s="31">
        <v>45457</v>
      </c>
      <c r="S3135" s="31" t="s">
        <v>3121</v>
      </c>
      <c r="T3135" s="95" t="str">
        <f t="shared" si="248"/>
        <v>2024 06</v>
      </c>
      <c r="U3135" s="32">
        <f t="shared" si="245"/>
        <v>693.78150423906652</v>
      </c>
      <c r="V3135" s="22">
        <f t="shared" si="246"/>
        <v>0.76557861871547006</v>
      </c>
      <c r="X3135" s="33"/>
      <c r="Y3135" s="33"/>
    </row>
    <row r="3136" spans="1:25" x14ac:dyDescent="0.2">
      <c r="A3136" s="93" t="s">
        <v>1692</v>
      </c>
      <c r="B3136" s="94" t="str">
        <f>IFERROR(VLOOKUP($A3136,HeadJournal!$A$1:$NTR$890,COLUMN(HeadJournal!B$1),0),"")</f>
        <v>720000176291</v>
      </c>
      <c r="C3136" s="94" t="str">
        <f>IFERROR(VLOOKUP($A3136,HeadJournal!$A$1:$NTR$890,COLUMN(HeadJournal!C$1),0),"")</f>
        <v>iHerb_VP DFD1605</v>
      </c>
      <c r="D3136" s="125" t="str">
        <f>IFERROR(VLOOKUP($A3136,HeadJournal!$A$1:$NTR$890,COLUMN(HeadJournal!D$1),0),"")</f>
        <v>Доставлен</v>
      </c>
      <c r="E3136" s="95">
        <f>IFERROR(VLOOKUP($A3136,HeadJournal!$A$1:$NTR$890,COLUMN(HeadJournal!G$1),0),"")</f>
        <v>45371</v>
      </c>
      <c r="F3136" s="95" t="str">
        <f t="shared" si="247"/>
        <v>2024 03</v>
      </c>
      <c r="G3136" s="96" t="s">
        <v>5</v>
      </c>
      <c r="H3136" s="161" t="s">
        <v>2027</v>
      </c>
      <c r="I3136" s="97" t="s">
        <v>2005</v>
      </c>
      <c r="J3136" s="97" t="s">
        <v>4110</v>
      </c>
      <c r="K3136" s="29">
        <v>8.3699999999999992</v>
      </c>
      <c r="L3136" s="29">
        <v>-2.0099999999999998</v>
      </c>
      <c r="M3136" s="30">
        <f>IFERROR(VLOOKUP($A3136,HeadJournal!$A$1:$J$890,COLUMN(HeadJournal!I$1),0)*($K3136+$L3136)/(SUMIF($A:$A,$A3136,$K:$K)+SUMIF($A:$A,$A3136,$L:$L)),0)</f>
        <v>-0.25721883656509698</v>
      </c>
      <c r="N3136" s="30">
        <f>IFERROR((VLOOKUP($A3136,HeadJournal!$A$1:$K$890,COLUMN(HeadJournal!K$1),0)-VLOOKUP($A3136,HeadJournal!$A$1:$K$890,COLUMN(HeadJournal!J$1),0))*($K3136+$L3136)/(SUMIF($A:$A,$A3136,$K:$K)+SUMIF($A:$A,$A3136,$L:$L)),0)</f>
        <v>1.8208216769314482E-15</v>
      </c>
      <c r="O3136" s="30">
        <f>IFERROR((VLOOKUP($A3136,HeadJournal!$A$1:$L$890,COLUMN(HeadJournal!L$1),0)*($K3136+$L3136)/(SUMIF($A:$A,$A3136,$K:$K)+SUMIF($A:$A,$A3136,$L:$L)))/VLOOKUP($A3136,HeadJournal!$A$1:$L$890,COLUMN(HeadJournal!H$1),0),0)</f>
        <v>0.33881641316699457</v>
      </c>
      <c r="P3136" s="30">
        <f>IFERROR(SUM(K3136:O3136)*VLOOKUP($A3136,HeadJournal!$A$1:$L$890,COLUMN(HeadJournal!H$1),0),0)</f>
        <v>669.66107277763797</v>
      </c>
      <c r="Q3136" s="29">
        <v>1200</v>
      </c>
      <c r="R3136" s="31">
        <v>45523</v>
      </c>
      <c r="S3136" s="31" t="s">
        <v>3121</v>
      </c>
      <c r="T3136" s="95" t="str">
        <f t="shared" si="248"/>
        <v>2024 08</v>
      </c>
      <c r="U3136" s="32">
        <f t="shared" si="245"/>
        <v>530.33892722236203</v>
      </c>
      <c r="V3136" s="22">
        <f t="shared" si="246"/>
        <v>0.79195125531577959</v>
      </c>
      <c r="X3136" s="33"/>
      <c r="Y3136" s="33"/>
    </row>
    <row r="3137" spans="1:25" x14ac:dyDescent="0.2">
      <c r="A3137" s="93" t="s">
        <v>1692</v>
      </c>
      <c r="B3137" s="94" t="str">
        <f>IFERROR(VLOOKUP($A3137,HeadJournal!$A$1:$NTR$890,COLUMN(HeadJournal!B$1),0),"")</f>
        <v>720000176291</v>
      </c>
      <c r="C3137" s="94" t="str">
        <f>IFERROR(VLOOKUP($A3137,HeadJournal!$A$1:$NTR$890,COLUMN(HeadJournal!C$1),0),"")</f>
        <v>iHerb_VP DFD1605</v>
      </c>
      <c r="D3137" s="125" t="str">
        <f>IFERROR(VLOOKUP($A3137,HeadJournal!$A$1:$NTR$890,COLUMN(HeadJournal!D$1),0),"")</f>
        <v>Доставлен</v>
      </c>
      <c r="E3137" s="95">
        <f>IFERROR(VLOOKUP($A3137,HeadJournal!$A$1:$NTR$890,COLUMN(HeadJournal!G$1),0),"")</f>
        <v>45371</v>
      </c>
      <c r="F3137" s="95" t="str">
        <f t="shared" si="247"/>
        <v>2024 03</v>
      </c>
      <c r="G3137" s="96" t="s">
        <v>5</v>
      </c>
      <c r="H3137" s="161" t="s">
        <v>2027</v>
      </c>
      <c r="I3137" s="97" t="s">
        <v>2005</v>
      </c>
      <c r="J3137" s="97" t="s">
        <v>4110</v>
      </c>
      <c r="K3137" s="29">
        <v>8.3699999999999992</v>
      </c>
      <c r="L3137" s="29">
        <v>-2.0099999999999998</v>
      </c>
      <c r="M3137" s="30">
        <f>IFERROR(VLOOKUP($A3137,HeadJournal!$A$1:$J$890,COLUMN(HeadJournal!I$1),0)*($K3137+$L3137)/(SUMIF($A:$A,$A3137,$K:$K)+SUMIF($A:$A,$A3137,$L:$L)),0)</f>
        <v>-0.25721883656509698</v>
      </c>
      <c r="N3137" s="30">
        <f>IFERROR((VLOOKUP($A3137,HeadJournal!$A$1:$K$890,COLUMN(HeadJournal!K$1),0)-VLOOKUP($A3137,HeadJournal!$A$1:$K$890,COLUMN(HeadJournal!J$1),0))*($K3137+$L3137)/(SUMIF($A:$A,$A3137,$K:$K)+SUMIF($A:$A,$A3137,$L:$L)),0)</f>
        <v>1.8208216769314482E-15</v>
      </c>
      <c r="O3137" s="30">
        <f>IFERROR((VLOOKUP($A3137,HeadJournal!$A$1:$L$890,COLUMN(HeadJournal!L$1),0)*($K3137+$L3137)/(SUMIF($A:$A,$A3137,$K:$K)+SUMIF($A:$A,$A3137,$L:$L)))/VLOOKUP($A3137,HeadJournal!$A$1:$L$890,COLUMN(HeadJournal!H$1),0),0)</f>
        <v>0.33881641316699457</v>
      </c>
      <c r="P3137" s="30">
        <f>IFERROR(SUM(K3137:O3137)*VLOOKUP($A3137,HeadJournal!$A$1:$L$890,COLUMN(HeadJournal!H$1),0),0)</f>
        <v>669.66107277763797</v>
      </c>
      <c r="Q3137" s="29">
        <v>1200</v>
      </c>
      <c r="R3137" s="31">
        <v>45528</v>
      </c>
      <c r="S3137" s="31" t="s">
        <v>3121</v>
      </c>
      <c r="T3137" s="95" t="str">
        <f t="shared" si="248"/>
        <v>2024 08</v>
      </c>
      <c r="U3137" s="32">
        <f t="shared" ref="U3137:U3200" si="250">Q3137-P3137</f>
        <v>530.33892722236203</v>
      </c>
      <c r="V3137" s="22">
        <f t="shared" ref="V3137:V3200" si="251">IF(Q3137&lt;&gt;0,IFERROR(U3137/P3137,""),"")</f>
        <v>0.79195125531577959</v>
      </c>
      <c r="X3137" s="33"/>
      <c r="Y3137" s="33"/>
    </row>
    <row r="3138" spans="1:25" x14ac:dyDescent="0.2">
      <c r="A3138" s="93" t="s">
        <v>1692</v>
      </c>
      <c r="B3138" s="94" t="str">
        <f>IFERROR(VLOOKUP($A3138,HeadJournal!$A$1:$NTR$890,COLUMN(HeadJournal!B$1),0),"")</f>
        <v>720000176291</v>
      </c>
      <c r="C3138" s="94" t="str">
        <f>IFERROR(VLOOKUP($A3138,HeadJournal!$A$1:$NTR$890,COLUMN(HeadJournal!C$1),0),"")</f>
        <v>iHerb_VP DFD1605</v>
      </c>
      <c r="D3138" s="125" t="str">
        <f>IFERROR(VLOOKUP($A3138,HeadJournal!$A$1:$NTR$890,COLUMN(HeadJournal!D$1),0),"")</f>
        <v>Доставлен</v>
      </c>
      <c r="E3138" s="95">
        <f>IFERROR(VLOOKUP($A3138,HeadJournal!$A$1:$NTR$890,COLUMN(HeadJournal!G$1),0),"")</f>
        <v>45371</v>
      </c>
      <c r="F3138" s="95" t="str">
        <f t="shared" si="247"/>
        <v>2024 03</v>
      </c>
      <c r="G3138" s="96" t="s">
        <v>7</v>
      </c>
      <c r="H3138" s="161" t="s">
        <v>3624</v>
      </c>
      <c r="I3138" s="97" t="s">
        <v>3029</v>
      </c>
      <c r="J3138" s="97" t="s">
        <v>3666</v>
      </c>
      <c r="K3138" s="29">
        <v>13.37</v>
      </c>
      <c r="L3138" s="29">
        <v>-2.67</v>
      </c>
      <c r="M3138" s="30">
        <f>IFERROR(VLOOKUP($A3138,HeadJournal!$A$1:$J$890,COLUMN(HeadJournal!I$1),0)*($K3138+$L3138)/(SUMIF($A:$A,$A3138,$K:$K)+SUMIF($A:$A,$A3138,$L:$L)),0)</f>
        <v>-0.43274238227146822</v>
      </c>
      <c r="N3138" s="30">
        <f>IFERROR((VLOOKUP($A3138,HeadJournal!$A$1:$K$890,COLUMN(HeadJournal!K$1),0)-VLOOKUP($A3138,HeadJournal!$A$1:$K$890,COLUMN(HeadJournal!J$1),0))*($K3138+$L3138)/(SUMIF($A:$A,$A3138,$K:$K)+SUMIF($A:$A,$A3138,$L:$L)),0)</f>
        <v>3.0633320665356125E-15</v>
      </c>
      <c r="O3138" s="30">
        <f>IFERROR((VLOOKUP($A3138,HeadJournal!$A$1:$L$890,COLUMN(HeadJournal!L$1),0)*($K3138+$L3138)/(SUMIF($A:$A,$A3138,$K:$K)+SUMIF($A:$A,$A3138,$L:$L)))/VLOOKUP($A3138,HeadJournal!$A$1:$L$890,COLUMN(HeadJournal!H$1),0),0)</f>
        <v>0.57002132403881145</v>
      </c>
      <c r="P3138" s="30">
        <f>IFERROR(SUM(K3138:O3138)*VLOOKUP($A3138,HeadJournal!$A$1:$L$890,COLUMN(HeadJournal!H$1),0),0)</f>
        <v>1126.6310501133219</v>
      </c>
      <c r="Q3138" s="29">
        <v>1900</v>
      </c>
      <c r="R3138" s="31">
        <v>45405</v>
      </c>
      <c r="S3138" s="31" t="s">
        <v>3121</v>
      </c>
      <c r="T3138" s="95" t="str">
        <f t="shared" si="248"/>
        <v>2024 04</v>
      </c>
      <c r="U3138" s="32">
        <f t="shared" si="250"/>
        <v>773.36894988667814</v>
      </c>
      <c r="V3138" s="22">
        <f t="shared" si="251"/>
        <v>0.68644384495606525</v>
      </c>
      <c r="X3138" s="33"/>
      <c r="Y3138" s="33"/>
    </row>
    <row r="3139" spans="1:25" x14ac:dyDescent="0.2">
      <c r="A3139" s="93" t="s">
        <v>1692</v>
      </c>
      <c r="B3139" s="94" t="str">
        <f>IFERROR(VLOOKUP($A3139,HeadJournal!$A$1:$NTR$890,COLUMN(HeadJournal!B$1),0),"")</f>
        <v>720000176291</v>
      </c>
      <c r="C3139" s="94" t="str">
        <f>IFERROR(VLOOKUP($A3139,HeadJournal!$A$1:$NTR$890,COLUMN(HeadJournal!C$1),0),"")</f>
        <v>iHerb_VP DFD1605</v>
      </c>
      <c r="D3139" s="125" t="str">
        <f>IFERROR(VLOOKUP($A3139,HeadJournal!$A$1:$NTR$890,COLUMN(HeadJournal!D$1),0),"")</f>
        <v>Доставлен</v>
      </c>
      <c r="E3139" s="95">
        <f>IFERROR(VLOOKUP($A3139,HeadJournal!$A$1:$NTR$890,COLUMN(HeadJournal!G$1),0),"")</f>
        <v>45371</v>
      </c>
      <c r="F3139" s="95" t="str">
        <f t="shared" si="247"/>
        <v>2024 03</v>
      </c>
      <c r="G3139" s="96" t="s">
        <v>5</v>
      </c>
      <c r="H3139" s="161" t="str">
        <f>RIGHT(Journal!$J3139,9)</f>
        <v>NTA-26173</v>
      </c>
      <c r="I3139" s="97" t="str">
        <f t="shared" si="249"/>
        <v>Nature's Answer</v>
      </c>
      <c r="J3139" s="97" t="s">
        <v>1690</v>
      </c>
      <c r="K3139" s="29">
        <v>19.16</v>
      </c>
      <c r="L3139" s="29">
        <v>-3.83</v>
      </c>
      <c r="M3139" s="30">
        <f>IFERROR(VLOOKUP($A3139,HeadJournal!$A$1:$J$890,COLUMN(HeadJournal!I$1),0)*($K3139+$L3139)/(SUMIF($A:$A,$A3139,$K:$K)+SUMIF($A:$A,$A3139,$L:$L)),0)</f>
        <v>-0.61999445983379509</v>
      </c>
      <c r="N3139" s="30">
        <f>IFERROR((VLOOKUP($A3139,HeadJournal!$A$1:$K$890,COLUMN(HeadJournal!K$1),0)-VLOOKUP($A3139,HeadJournal!$A$1:$K$890,COLUMN(HeadJournal!J$1),0))*($K3139+$L3139)/(SUMIF($A:$A,$A3139,$K:$K)+SUMIF($A:$A,$A3139,$L:$L)),0)</f>
        <v>4.3888673439243869E-15</v>
      </c>
      <c r="O3139" s="30">
        <f>IFERROR((VLOOKUP($A3139,HeadJournal!$A$1:$L$890,COLUMN(HeadJournal!L$1),0)*($K3139+$L3139)/(SUMIF($A:$A,$A3139,$K:$K)+SUMIF($A:$A,$A3139,$L:$L)))/VLOOKUP($A3139,HeadJournal!$A$1:$L$890,COLUMN(HeadJournal!H$1),0),0)</f>
        <v>0.81667541098270857</v>
      </c>
      <c r="P3139" s="30">
        <f>IFERROR(SUM(K3139:O3139)*VLOOKUP($A3139,HeadJournal!$A$1:$L$890,COLUMN(HeadJournal!H$1),0),0)</f>
        <v>1614.1358876857221</v>
      </c>
      <c r="Q3139" s="29">
        <v>2500</v>
      </c>
      <c r="R3139" s="31">
        <v>45403</v>
      </c>
      <c r="S3139" s="31" t="s">
        <v>3121</v>
      </c>
      <c r="T3139" s="95" t="str">
        <f t="shared" si="248"/>
        <v>2024 04</v>
      </c>
      <c r="U3139" s="32">
        <f t="shared" si="250"/>
        <v>885.86411231427792</v>
      </c>
      <c r="V3139" s="22">
        <f t="shared" si="251"/>
        <v>0.5488163165645189</v>
      </c>
      <c r="X3139" s="33"/>
      <c r="Y3139" s="33"/>
    </row>
    <row r="3140" spans="1:25" x14ac:dyDescent="0.2">
      <c r="A3140" s="93" t="s">
        <v>1692</v>
      </c>
      <c r="B3140" s="94" t="str">
        <f>IFERROR(VLOOKUP($A3140,HeadJournal!$A$1:$NTR$890,COLUMN(HeadJournal!B$1),0),"")</f>
        <v>720000176291</v>
      </c>
      <c r="C3140" s="94" t="str">
        <f>IFERROR(VLOOKUP($A3140,HeadJournal!$A$1:$NTR$890,COLUMN(HeadJournal!C$1),0),"")</f>
        <v>iHerb_VP DFD1605</v>
      </c>
      <c r="D3140" s="125" t="str">
        <f>IFERROR(VLOOKUP($A3140,HeadJournal!$A$1:$NTR$890,COLUMN(HeadJournal!D$1),0),"")</f>
        <v>Доставлен</v>
      </c>
      <c r="E3140" s="95">
        <f>IFERROR(VLOOKUP($A3140,HeadJournal!$A$1:$NTR$890,COLUMN(HeadJournal!G$1),0),"")</f>
        <v>45371</v>
      </c>
      <c r="F3140" s="95" t="str">
        <f t="shared" ref="F3140:F3203" si="252">IFERROR(TEXT(E3140, "ГГГГ ММ"),"")</f>
        <v>2024 03</v>
      </c>
      <c r="G3140" s="96" t="s">
        <v>5</v>
      </c>
      <c r="H3140" s="161" t="s">
        <v>2624</v>
      </c>
      <c r="I3140" s="97" t="s">
        <v>2005</v>
      </c>
      <c r="J3140" s="97" t="s">
        <v>2625</v>
      </c>
      <c r="K3140" s="29">
        <v>21.41</v>
      </c>
      <c r="L3140" s="29">
        <v>-4.28</v>
      </c>
      <c r="M3140" s="30">
        <f>IFERROR(VLOOKUP($A3140,HeadJournal!$A$1:$J$890,COLUMN(HeadJournal!I$1),0)*($K3140+$L3140)/(SUMIF($A:$A,$A3140,$K:$K)+SUMIF($A:$A,$A3140,$L:$L)),0)</f>
        <v>-0.69279224376731308</v>
      </c>
      <c r="N3140" s="30">
        <f>IFERROR((VLOOKUP($A3140,HeadJournal!$A$1:$K$890,COLUMN(HeadJournal!K$1),0)-VLOOKUP($A3140,HeadJournal!$A$1:$K$890,COLUMN(HeadJournal!J$1),0))*($K3140+$L3140)/(SUMIF($A:$A,$A3140,$K:$K)+SUMIF($A:$A,$A3140,$L:$L)),0)</f>
        <v>4.9041942336219662E-15</v>
      </c>
      <c r="O3140" s="30">
        <f>IFERROR((VLOOKUP($A3140,HeadJournal!$A$1:$L$890,COLUMN(HeadJournal!L$1),0)*($K3140+$L3140)/(SUMIF($A:$A,$A3140,$K:$K)+SUMIF($A:$A,$A3140,$L:$L)))/VLOOKUP($A3140,HeadJournal!$A$1:$L$890,COLUMN(HeadJournal!H$1),0),0)</f>
        <v>0.91256684867148052</v>
      </c>
      <c r="P3140" s="30">
        <f>IFERROR(SUM(K3140:O3140)*VLOOKUP($A3140,HeadJournal!$A$1:$L$890,COLUMN(HeadJournal!H$1),0),0)</f>
        <v>1803.662606396374</v>
      </c>
      <c r="Q3140" s="29">
        <v>2900</v>
      </c>
      <c r="R3140" s="31">
        <v>45535</v>
      </c>
      <c r="S3140" s="31" t="s">
        <v>3121</v>
      </c>
      <c r="T3140" s="95" t="str">
        <f t="shared" ref="T3140:T3203" si="253">IF(R3140="","",TEXT(R3140,"ГГГГ ММ"))</f>
        <v>2024 08</v>
      </c>
      <c r="U3140" s="32">
        <f t="shared" si="250"/>
        <v>1096.337393603626</v>
      </c>
      <c r="V3140" s="22">
        <f t="shared" si="251"/>
        <v>0.60783950929384301</v>
      </c>
      <c r="X3140" s="33"/>
      <c r="Y3140" s="33"/>
    </row>
    <row r="3141" spans="1:25" x14ac:dyDescent="0.2">
      <c r="A3141" s="93" t="s">
        <v>1692</v>
      </c>
      <c r="B3141" s="94" t="str">
        <f>IFERROR(VLOOKUP($A3141,HeadJournal!$A$1:$NTR$890,COLUMN(HeadJournal!B$1),0),"")</f>
        <v>720000176291</v>
      </c>
      <c r="C3141" s="94" t="str">
        <f>IFERROR(VLOOKUP($A3141,HeadJournal!$A$1:$NTR$890,COLUMN(HeadJournal!C$1),0),"")</f>
        <v>iHerb_VP DFD1605</v>
      </c>
      <c r="D3141" s="125" t="str">
        <f>IFERROR(VLOOKUP($A3141,HeadJournal!$A$1:$NTR$890,COLUMN(HeadJournal!D$1),0),"")</f>
        <v>Доставлен</v>
      </c>
      <c r="E3141" s="95">
        <f>IFERROR(VLOOKUP($A3141,HeadJournal!$A$1:$NTR$890,COLUMN(HeadJournal!G$1),0),"")</f>
        <v>45371</v>
      </c>
      <c r="F3141" s="95" t="str">
        <f t="shared" si="252"/>
        <v>2024 03</v>
      </c>
      <c r="G3141" s="96" t="s">
        <v>5</v>
      </c>
      <c r="H3141" s="161" t="s">
        <v>2624</v>
      </c>
      <c r="I3141" s="97" t="s">
        <v>2005</v>
      </c>
      <c r="J3141" s="97" t="s">
        <v>2625</v>
      </c>
      <c r="K3141" s="29">
        <v>21.41</v>
      </c>
      <c r="L3141" s="29">
        <v>-4.28</v>
      </c>
      <c r="M3141" s="30">
        <f>IFERROR(VLOOKUP($A3141,HeadJournal!$A$1:$J$890,COLUMN(HeadJournal!I$1),0)*($K3141+$L3141)/(SUMIF($A:$A,$A3141,$K:$K)+SUMIF($A:$A,$A3141,$L:$L)),0)</f>
        <v>-0.69279224376731308</v>
      </c>
      <c r="N3141" s="30">
        <f>IFERROR((VLOOKUP($A3141,HeadJournal!$A$1:$K$890,COLUMN(HeadJournal!K$1),0)-VLOOKUP($A3141,HeadJournal!$A$1:$K$890,COLUMN(HeadJournal!J$1),0))*($K3141+$L3141)/(SUMIF($A:$A,$A3141,$K:$K)+SUMIF($A:$A,$A3141,$L:$L)),0)</f>
        <v>4.9041942336219662E-15</v>
      </c>
      <c r="O3141" s="30">
        <f>IFERROR((VLOOKUP($A3141,HeadJournal!$A$1:$L$890,COLUMN(HeadJournal!L$1),0)*($K3141+$L3141)/(SUMIF($A:$A,$A3141,$K:$K)+SUMIF($A:$A,$A3141,$L:$L)))/VLOOKUP($A3141,HeadJournal!$A$1:$L$890,COLUMN(HeadJournal!H$1),0),0)</f>
        <v>0.91256684867148052</v>
      </c>
      <c r="P3141" s="30">
        <f>IFERROR(SUM(K3141:O3141)*VLOOKUP($A3141,HeadJournal!$A$1:$L$890,COLUMN(HeadJournal!H$1),0),0)</f>
        <v>1803.662606396374</v>
      </c>
      <c r="Q3141" s="29">
        <v>2900</v>
      </c>
      <c r="R3141" s="31">
        <v>45560</v>
      </c>
      <c r="S3141" s="31" t="s">
        <v>3121</v>
      </c>
      <c r="T3141" s="95" t="str">
        <f t="shared" si="253"/>
        <v>2024 09</v>
      </c>
      <c r="U3141" s="32">
        <f t="shared" si="250"/>
        <v>1096.337393603626</v>
      </c>
      <c r="V3141" s="22">
        <f t="shared" si="251"/>
        <v>0.60783950929384301</v>
      </c>
      <c r="X3141" s="33"/>
      <c r="Y3141" s="33"/>
    </row>
    <row r="3142" spans="1:25" x14ac:dyDescent="0.2">
      <c r="A3142" s="93" t="s">
        <v>1692</v>
      </c>
      <c r="B3142" s="94" t="str">
        <f>IFERROR(VLOOKUP($A3142,HeadJournal!$A$1:$NTR$890,COLUMN(HeadJournal!B$1),0),"")</f>
        <v>720000176291</v>
      </c>
      <c r="C3142" s="94" t="str">
        <f>IFERROR(VLOOKUP($A3142,HeadJournal!$A$1:$NTR$890,COLUMN(HeadJournal!C$1),0),"")</f>
        <v>iHerb_VP DFD1605</v>
      </c>
      <c r="D3142" s="125" t="str">
        <f>IFERROR(VLOOKUP($A3142,HeadJournal!$A$1:$NTR$890,COLUMN(HeadJournal!D$1),0),"")</f>
        <v>Доставлен</v>
      </c>
      <c r="E3142" s="95">
        <f>IFERROR(VLOOKUP($A3142,HeadJournal!$A$1:$NTR$890,COLUMN(HeadJournal!G$1),0),"")</f>
        <v>45371</v>
      </c>
      <c r="F3142" s="95" t="str">
        <f t="shared" si="252"/>
        <v>2024 03</v>
      </c>
      <c r="G3142" s="96" t="s">
        <v>5</v>
      </c>
      <c r="H3142" s="161" t="str">
        <f>RIGHT(Journal!$J3142,9)</f>
        <v>NOW-00426</v>
      </c>
      <c r="I3142" s="97" t="str">
        <f t="shared" si="249"/>
        <v>NOW Foods</v>
      </c>
      <c r="J3142" s="97" t="s">
        <v>1694</v>
      </c>
      <c r="K3142" s="29">
        <v>14.51</v>
      </c>
      <c r="L3142" s="29">
        <v>-2.9033333333333338</v>
      </c>
      <c r="M3142" s="30">
        <f>IFERROR(VLOOKUP($A3142,HeadJournal!$A$1:$J$890,COLUMN(HeadJournal!I$1),0)*($K3142+$L3142)/(SUMIF($A:$A,$A3142,$K:$K)+SUMIF($A:$A,$A3142,$L:$L)),0)</f>
        <v>-0.46941089566020316</v>
      </c>
      <c r="N3142" s="30">
        <f>IFERROR((VLOOKUP($A3142,HeadJournal!$A$1:$K$890,COLUMN(HeadJournal!K$1),0)-VLOOKUP($A3142,HeadJournal!$A$1:$K$890,COLUMN(HeadJournal!J$1),0))*($K3142+$L3142)/(SUMIF($A:$A,$A3142,$K:$K)+SUMIF($A:$A,$A3142,$L:$L)),0)</f>
        <v>3.3229041294943931E-15</v>
      </c>
      <c r="O3142" s="30">
        <f>IFERROR((VLOOKUP($A3142,HeadJournal!$A$1:$L$890,COLUMN(HeadJournal!L$1),0)*($K3142+$L3142)/(SUMIF($A:$A,$A3142,$K:$K)+SUMIF($A:$A,$A3142,$L:$L)))/VLOOKUP($A3142,HeadJournal!$A$1:$L$890,COLUMN(HeadJournal!H$1),0),0)</f>
        <v>0.61832219635611896</v>
      </c>
      <c r="P3142" s="30">
        <f>IFERROR(SUM(K3142:O3142)*VLOOKUP($A3142,HeadJournal!$A$1:$L$890,COLUMN(HeadJournal!H$1),0),0)</f>
        <v>1222.0963602786874</v>
      </c>
      <c r="Q3142" s="29">
        <v>2000</v>
      </c>
      <c r="R3142" s="31">
        <v>45407</v>
      </c>
      <c r="S3142" s="31" t="s">
        <v>3121</v>
      </c>
      <c r="T3142" s="95" t="str">
        <f t="shared" si="253"/>
        <v>2024 04</v>
      </c>
      <c r="U3142" s="32">
        <f t="shared" si="250"/>
        <v>777.90363972131263</v>
      </c>
      <c r="V3142" s="22">
        <f t="shared" si="251"/>
        <v>0.63653216309712202</v>
      </c>
      <c r="X3142" s="33"/>
      <c r="Y3142" s="33"/>
    </row>
    <row r="3143" spans="1:25" x14ac:dyDescent="0.2">
      <c r="A3143" s="93" t="s">
        <v>1692</v>
      </c>
      <c r="B3143" s="94" t="str">
        <f>IFERROR(VLOOKUP($A3143,HeadJournal!$A$1:$NTR$890,COLUMN(HeadJournal!B$1),0),"")</f>
        <v>720000176291</v>
      </c>
      <c r="C3143" s="94" t="str">
        <f>IFERROR(VLOOKUP($A3143,HeadJournal!$A$1:$NTR$890,COLUMN(HeadJournal!C$1),0),"")</f>
        <v>iHerb_VP DFD1605</v>
      </c>
      <c r="D3143" s="125" t="str">
        <f>IFERROR(VLOOKUP($A3143,HeadJournal!$A$1:$NTR$890,COLUMN(HeadJournal!D$1),0),"")</f>
        <v>Доставлен</v>
      </c>
      <c r="E3143" s="95">
        <f>IFERROR(VLOOKUP($A3143,HeadJournal!$A$1:$NTR$890,COLUMN(HeadJournal!G$1),0),"")</f>
        <v>45371</v>
      </c>
      <c r="F3143" s="95" t="str">
        <f t="shared" si="252"/>
        <v>2024 03</v>
      </c>
      <c r="G3143" s="96" t="s">
        <v>5</v>
      </c>
      <c r="H3143" s="161" t="str">
        <f>RIGHT(Journal!$J3143,9)</f>
        <v>NOW-00426</v>
      </c>
      <c r="I3143" s="97" t="str">
        <f t="shared" si="249"/>
        <v>NOW Foods</v>
      </c>
      <c r="J3143" s="97" t="s">
        <v>1694</v>
      </c>
      <c r="K3143" s="29">
        <v>14.51</v>
      </c>
      <c r="L3143" s="29">
        <v>-2.9033333333333338</v>
      </c>
      <c r="M3143" s="30">
        <f>IFERROR(VLOOKUP($A3143,HeadJournal!$A$1:$J$890,COLUMN(HeadJournal!I$1),0)*($K3143+$L3143)/(SUMIF($A:$A,$A3143,$K:$K)+SUMIF($A:$A,$A3143,$L:$L)),0)</f>
        <v>-0.46941089566020316</v>
      </c>
      <c r="N3143" s="30">
        <f>IFERROR((VLOOKUP($A3143,HeadJournal!$A$1:$K$890,COLUMN(HeadJournal!K$1),0)-VLOOKUP($A3143,HeadJournal!$A$1:$K$890,COLUMN(HeadJournal!J$1),0))*($K3143+$L3143)/(SUMIF($A:$A,$A3143,$K:$K)+SUMIF($A:$A,$A3143,$L:$L)),0)</f>
        <v>3.3229041294943931E-15</v>
      </c>
      <c r="O3143" s="30">
        <f>IFERROR((VLOOKUP($A3143,HeadJournal!$A$1:$L$890,COLUMN(HeadJournal!L$1),0)*($K3143+$L3143)/(SUMIF($A:$A,$A3143,$K:$K)+SUMIF($A:$A,$A3143,$L:$L)))/VLOOKUP($A3143,HeadJournal!$A$1:$L$890,COLUMN(HeadJournal!H$1),0),0)</f>
        <v>0.61832219635611896</v>
      </c>
      <c r="P3143" s="30">
        <f>IFERROR(SUM(K3143:O3143)*VLOOKUP($A3143,HeadJournal!$A$1:$L$890,COLUMN(HeadJournal!H$1),0),0)</f>
        <v>1222.0963602786874</v>
      </c>
      <c r="Q3143" s="29">
        <v>2000</v>
      </c>
      <c r="R3143" s="31">
        <v>45413</v>
      </c>
      <c r="S3143" s="31" t="s">
        <v>3121</v>
      </c>
      <c r="T3143" s="95" t="str">
        <f t="shared" si="253"/>
        <v>2024 05</v>
      </c>
      <c r="U3143" s="32">
        <f t="shared" si="250"/>
        <v>777.90363972131263</v>
      </c>
      <c r="V3143" s="22">
        <f t="shared" si="251"/>
        <v>0.63653216309712202</v>
      </c>
      <c r="X3143" s="33"/>
      <c r="Y3143" s="33"/>
    </row>
    <row r="3144" spans="1:25" x14ac:dyDescent="0.2">
      <c r="A3144" s="93" t="s">
        <v>1692</v>
      </c>
      <c r="B3144" s="94" t="str">
        <f>IFERROR(VLOOKUP($A3144,HeadJournal!$A$1:$NTR$890,COLUMN(HeadJournal!B$1),0),"")</f>
        <v>720000176291</v>
      </c>
      <c r="C3144" s="94" t="str">
        <f>IFERROR(VLOOKUP($A3144,HeadJournal!$A$1:$NTR$890,COLUMN(HeadJournal!C$1),0),"")</f>
        <v>iHerb_VP DFD1605</v>
      </c>
      <c r="D3144" s="125" t="str">
        <f>IFERROR(VLOOKUP($A3144,HeadJournal!$A$1:$NTR$890,COLUMN(HeadJournal!D$1),0),"")</f>
        <v>Доставлен</v>
      </c>
      <c r="E3144" s="95">
        <f>IFERROR(VLOOKUP($A3144,HeadJournal!$A$1:$NTR$890,COLUMN(HeadJournal!G$1),0),"")</f>
        <v>45371</v>
      </c>
      <c r="F3144" s="95" t="str">
        <f t="shared" si="252"/>
        <v>2024 03</v>
      </c>
      <c r="G3144" s="96" t="s">
        <v>5</v>
      </c>
      <c r="H3144" s="161" t="str">
        <f>RIGHT(Journal!$J3144,9)</f>
        <v>NOW-00426</v>
      </c>
      <c r="I3144" s="97" t="str">
        <f t="shared" si="249"/>
        <v>NOW Foods</v>
      </c>
      <c r="J3144" s="97" t="s">
        <v>1694</v>
      </c>
      <c r="K3144" s="29">
        <v>14.51</v>
      </c>
      <c r="L3144" s="29">
        <v>-2.9033333333333338</v>
      </c>
      <c r="M3144" s="30">
        <f>IFERROR(VLOOKUP($A3144,HeadJournal!$A$1:$J$890,COLUMN(HeadJournal!I$1),0)*($K3144+$L3144)/(SUMIF($A:$A,$A3144,$K:$K)+SUMIF($A:$A,$A3144,$L:$L)),0)</f>
        <v>-0.46941089566020316</v>
      </c>
      <c r="N3144" s="30">
        <f>IFERROR((VLOOKUP($A3144,HeadJournal!$A$1:$K$890,COLUMN(HeadJournal!K$1),0)-VLOOKUP($A3144,HeadJournal!$A$1:$K$890,COLUMN(HeadJournal!J$1),0))*($K3144+$L3144)/(SUMIF($A:$A,$A3144,$K:$K)+SUMIF($A:$A,$A3144,$L:$L)),0)</f>
        <v>3.3229041294943931E-15</v>
      </c>
      <c r="O3144" s="30">
        <f>IFERROR((VLOOKUP($A3144,HeadJournal!$A$1:$L$890,COLUMN(HeadJournal!L$1),0)*($K3144+$L3144)/(SUMIF($A:$A,$A3144,$K:$K)+SUMIF($A:$A,$A3144,$L:$L)))/VLOOKUP($A3144,HeadJournal!$A$1:$L$890,COLUMN(HeadJournal!H$1),0),0)</f>
        <v>0.61832219635611896</v>
      </c>
      <c r="P3144" s="30">
        <f>IFERROR(SUM(K3144:O3144)*VLOOKUP($A3144,HeadJournal!$A$1:$L$890,COLUMN(HeadJournal!H$1),0),0)</f>
        <v>1222.0963602786874</v>
      </c>
      <c r="Q3144" s="29">
        <v>1900</v>
      </c>
      <c r="R3144" s="31">
        <v>45480</v>
      </c>
      <c r="S3144" s="31" t="s">
        <v>3121</v>
      </c>
      <c r="T3144" s="95" t="str">
        <f t="shared" si="253"/>
        <v>2024 07</v>
      </c>
      <c r="U3144" s="32">
        <f t="shared" si="250"/>
        <v>677.90363972131263</v>
      </c>
      <c r="V3144" s="22">
        <f t="shared" si="251"/>
        <v>0.55470555494226592</v>
      </c>
      <c r="X3144" s="33"/>
      <c r="Y3144" s="33"/>
    </row>
    <row r="3145" spans="1:25" x14ac:dyDescent="0.2">
      <c r="A3145" s="93" t="s">
        <v>1692</v>
      </c>
      <c r="B3145" s="94" t="str">
        <f>IFERROR(VLOOKUP($A3145,HeadJournal!$A$1:$NTR$890,COLUMN(HeadJournal!B$1),0),"")</f>
        <v>720000176291</v>
      </c>
      <c r="C3145" s="94" t="str">
        <f>IFERROR(VLOOKUP($A3145,HeadJournal!$A$1:$NTR$890,COLUMN(HeadJournal!C$1),0),"")</f>
        <v>iHerb_VP DFD1605</v>
      </c>
      <c r="D3145" s="125" t="str">
        <f>IFERROR(VLOOKUP($A3145,HeadJournal!$A$1:$NTR$890,COLUMN(HeadJournal!D$1),0),"")</f>
        <v>Доставлен</v>
      </c>
      <c r="E3145" s="95">
        <f>IFERROR(VLOOKUP($A3145,HeadJournal!$A$1:$NTR$890,COLUMN(HeadJournal!G$1),0),"")</f>
        <v>45371</v>
      </c>
      <c r="F3145" s="95" t="str">
        <f t="shared" si="252"/>
        <v>2024 03</v>
      </c>
      <c r="G3145" s="96" t="s">
        <v>5</v>
      </c>
      <c r="H3145" s="161" t="s">
        <v>3992</v>
      </c>
      <c r="I3145" s="97" t="s">
        <v>2666</v>
      </c>
      <c r="J3145" s="97" t="s">
        <v>3993</v>
      </c>
      <c r="K3145" s="29">
        <v>27.54</v>
      </c>
      <c r="L3145" s="29">
        <v>-5.51</v>
      </c>
      <c r="M3145" s="30">
        <f>IFERROR(VLOOKUP($A3145,HeadJournal!$A$1:$J$890,COLUMN(HeadJournal!I$1),0)*($K3145+$L3145)/(SUMIF($A:$A,$A3145,$K:$K)+SUMIF($A:$A,$A3145,$L:$L)),0)</f>
        <v>-0.89096398891966788</v>
      </c>
      <c r="N3145" s="30">
        <f>IFERROR((VLOOKUP($A3145,HeadJournal!$A$1:$K$890,COLUMN(HeadJournal!K$1),0)-VLOOKUP($A3145,HeadJournal!$A$1:$K$890,COLUMN(HeadJournal!J$1),0))*($K3145+$L3145)/(SUMIF($A:$A,$A3145,$K:$K)+SUMIF($A:$A,$A3145,$L:$L)),0)</f>
        <v>6.3070285444653784E-15</v>
      </c>
      <c r="O3145" s="30">
        <f>IFERROR((VLOOKUP($A3145,HeadJournal!$A$1:$L$890,COLUMN(HeadJournal!L$1),0)*($K3145+$L3145)/(SUMIF($A:$A,$A3145,$K:$K)+SUMIF($A:$A,$A3145,$L:$L)))/VLOOKUP($A3145,HeadJournal!$A$1:$L$890,COLUMN(HeadJournal!H$1),0),0)</f>
        <v>1.1736046512686935</v>
      </c>
      <c r="P3145" s="30">
        <f>IFERROR(SUM(K3145:O3145)*VLOOKUP($A3145,HeadJournal!$A$1:$L$890,COLUMN(HeadJournal!H$1),0),0)</f>
        <v>2319.5964517753723</v>
      </c>
      <c r="Q3145" s="29">
        <v>3500</v>
      </c>
      <c r="R3145" s="31">
        <v>45402</v>
      </c>
      <c r="S3145" s="31" t="s">
        <v>3121</v>
      </c>
      <c r="T3145" s="95" t="str">
        <f t="shared" si="253"/>
        <v>2024 04</v>
      </c>
      <c r="U3145" s="32">
        <f t="shared" si="250"/>
        <v>1180.4035482246277</v>
      </c>
      <c r="V3145" s="22">
        <f t="shared" si="251"/>
        <v>0.50888314961905146</v>
      </c>
      <c r="X3145" s="33"/>
      <c r="Y3145" s="33"/>
    </row>
    <row r="3146" spans="1:25" x14ac:dyDescent="0.2">
      <c r="A3146" s="93" t="s">
        <v>1692</v>
      </c>
      <c r="B3146" s="94" t="str">
        <f>IFERROR(VLOOKUP($A3146,HeadJournal!$A$1:$NTR$890,COLUMN(HeadJournal!B$1),0),"")</f>
        <v>720000176291</v>
      </c>
      <c r="C3146" s="94" t="str">
        <f>IFERROR(VLOOKUP($A3146,HeadJournal!$A$1:$NTR$890,COLUMN(HeadJournal!C$1),0),"")</f>
        <v>iHerb_VP DFD1605</v>
      </c>
      <c r="D3146" s="125" t="str">
        <f>IFERROR(VLOOKUP($A3146,HeadJournal!$A$1:$NTR$890,COLUMN(HeadJournal!D$1),0),"")</f>
        <v>Доставлен</v>
      </c>
      <c r="E3146" s="95">
        <f>IFERROR(VLOOKUP($A3146,HeadJournal!$A$1:$NTR$890,COLUMN(HeadJournal!G$1),0),"")</f>
        <v>45371</v>
      </c>
      <c r="F3146" s="95" t="str">
        <f t="shared" si="252"/>
        <v>2024 03</v>
      </c>
      <c r="G3146" s="96" t="s">
        <v>5</v>
      </c>
      <c r="H3146" s="161" t="s">
        <v>3992</v>
      </c>
      <c r="I3146" s="97" t="s">
        <v>2666</v>
      </c>
      <c r="J3146" s="97" t="s">
        <v>3993</v>
      </c>
      <c r="K3146" s="29">
        <v>27.54</v>
      </c>
      <c r="L3146" s="29">
        <v>-5.51</v>
      </c>
      <c r="M3146" s="30">
        <f>IFERROR(VLOOKUP($A3146,HeadJournal!$A$1:$J$890,COLUMN(HeadJournal!I$1),0)*($K3146+$L3146)/(SUMIF($A:$A,$A3146,$K:$K)+SUMIF($A:$A,$A3146,$L:$L)),0)</f>
        <v>-0.89096398891966788</v>
      </c>
      <c r="N3146" s="30">
        <f>IFERROR((VLOOKUP($A3146,HeadJournal!$A$1:$K$890,COLUMN(HeadJournal!K$1),0)-VLOOKUP($A3146,HeadJournal!$A$1:$K$890,COLUMN(HeadJournal!J$1),0))*($K3146+$L3146)/(SUMIF($A:$A,$A3146,$K:$K)+SUMIF($A:$A,$A3146,$L:$L)),0)</f>
        <v>6.3070285444653784E-15</v>
      </c>
      <c r="O3146" s="30">
        <f>IFERROR((VLOOKUP($A3146,HeadJournal!$A$1:$L$890,COLUMN(HeadJournal!L$1),0)*($K3146+$L3146)/(SUMIF($A:$A,$A3146,$K:$K)+SUMIF($A:$A,$A3146,$L:$L)))/VLOOKUP($A3146,HeadJournal!$A$1:$L$890,COLUMN(HeadJournal!H$1),0),0)</f>
        <v>1.1736046512686935</v>
      </c>
      <c r="P3146" s="30">
        <f>IFERROR(SUM(K3146:O3146)*VLOOKUP($A3146,HeadJournal!$A$1:$L$890,COLUMN(HeadJournal!H$1),0),0)</f>
        <v>2319.5964517753723</v>
      </c>
      <c r="Q3146" s="29">
        <v>3900</v>
      </c>
      <c r="R3146" s="31">
        <v>45630</v>
      </c>
      <c r="S3146" s="31" t="s">
        <v>3121</v>
      </c>
      <c r="T3146" s="95" t="str">
        <f t="shared" si="253"/>
        <v>2024 12</v>
      </c>
      <c r="U3146" s="32">
        <f t="shared" si="250"/>
        <v>1580.4035482246277</v>
      </c>
      <c r="V3146" s="22">
        <f t="shared" si="251"/>
        <v>0.68132693814694301</v>
      </c>
      <c r="X3146" s="33"/>
      <c r="Y3146" s="33"/>
    </row>
    <row r="3147" spans="1:25" x14ac:dyDescent="0.2">
      <c r="A3147" s="93" t="s">
        <v>1692</v>
      </c>
      <c r="B3147" s="94" t="str">
        <f>IFERROR(VLOOKUP($A3147,HeadJournal!$A$1:$NTR$890,COLUMN(HeadJournal!B$1),0),"")</f>
        <v>720000176291</v>
      </c>
      <c r="C3147" s="94" t="str">
        <f>IFERROR(VLOOKUP($A3147,HeadJournal!$A$1:$NTR$890,COLUMN(HeadJournal!C$1),0),"")</f>
        <v>iHerb_VP DFD1605</v>
      </c>
      <c r="D3147" s="125" t="str">
        <f>IFERROR(VLOOKUP($A3147,HeadJournal!$A$1:$NTR$890,COLUMN(HeadJournal!D$1),0),"")</f>
        <v>Доставлен</v>
      </c>
      <c r="E3147" s="95">
        <f>IFERROR(VLOOKUP($A3147,HeadJournal!$A$1:$NTR$890,COLUMN(HeadJournal!G$1),0),"")</f>
        <v>45371</v>
      </c>
      <c r="F3147" s="95" t="str">
        <f t="shared" si="252"/>
        <v>2024 03</v>
      </c>
      <c r="G3147" s="96" t="s">
        <v>5</v>
      </c>
      <c r="H3147" s="161" t="str">
        <f>RIGHT(Journal!$J3147,9)</f>
        <v>NAP-29998</v>
      </c>
      <c r="I3147" s="97" t="str">
        <f t="shared" si="249"/>
        <v>NaturesPlus</v>
      </c>
      <c r="J3147" s="97" t="s">
        <v>1239</v>
      </c>
      <c r="K3147" s="29">
        <v>11.52</v>
      </c>
      <c r="L3147" s="29">
        <v>-2.2999999999999998</v>
      </c>
      <c r="M3147" s="30">
        <f>IFERROR(VLOOKUP($A3147,HeadJournal!$A$1:$J$890,COLUMN(HeadJournal!I$1),0)*($K3147+$L3147)/(SUMIF($A:$A,$A3147,$K:$K)+SUMIF($A:$A,$A3147,$L:$L)),0)</f>
        <v>-0.37288642659279775</v>
      </c>
      <c r="N3147" s="30">
        <f>IFERROR((VLOOKUP($A3147,HeadJournal!$A$1:$K$890,COLUMN(HeadJournal!K$1),0)-VLOOKUP($A3147,HeadJournal!$A$1:$K$890,COLUMN(HeadJournal!J$1),0))*($K3147+$L3147)/(SUMIF($A:$A,$A3147,$K:$K)+SUMIF($A:$A,$A3147,$L:$L)),0)</f>
        <v>2.6396188461176024E-15</v>
      </c>
      <c r="O3147" s="30">
        <f>IFERROR((VLOOKUP($A3147,HeadJournal!$A$1:$L$890,COLUMN(HeadJournal!L$1),0)*($K3147+$L3147)/(SUMIF($A:$A,$A3147,$K:$K)+SUMIF($A:$A,$A3147,$L:$L)))/VLOOKUP($A3147,HeadJournal!$A$1:$L$890,COLUMN(HeadJournal!H$1),0),0)</f>
        <v>0.49117725305026561</v>
      </c>
      <c r="P3147" s="30">
        <f>IFERROR(SUM(K3147:O3147)*VLOOKUP($A3147,HeadJournal!$A$1:$L$890,COLUMN(HeadJournal!H$1),0),0)</f>
        <v>970.79797028456323</v>
      </c>
      <c r="Q3147" s="29">
        <v>1800</v>
      </c>
      <c r="R3147" s="31">
        <v>45551</v>
      </c>
      <c r="S3147" s="31" t="s">
        <v>3121</v>
      </c>
      <c r="T3147" s="95" t="str">
        <f t="shared" si="253"/>
        <v>2024 09</v>
      </c>
      <c r="U3147" s="32">
        <f t="shared" si="250"/>
        <v>829.20202971543677</v>
      </c>
      <c r="V3147" s="22">
        <f t="shared" si="251"/>
        <v>0.85414479129203225</v>
      </c>
      <c r="X3147" s="33"/>
      <c r="Y3147" s="33"/>
    </row>
    <row r="3148" spans="1:25" x14ac:dyDescent="0.2">
      <c r="A3148" s="93" t="s">
        <v>1692</v>
      </c>
      <c r="B3148" s="94" t="str">
        <f>IFERROR(VLOOKUP($A3148,HeadJournal!$A$1:$NTR$890,COLUMN(HeadJournal!B$1),0),"")</f>
        <v>720000176291</v>
      </c>
      <c r="C3148" s="94" t="str">
        <f>IFERROR(VLOOKUP($A3148,HeadJournal!$A$1:$NTR$890,COLUMN(HeadJournal!C$1),0),"")</f>
        <v>iHerb_VP DFD1605</v>
      </c>
      <c r="D3148" s="125" t="str">
        <f>IFERROR(VLOOKUP($A3148,HeadJournal!$A$1:$NTR$890,COLUMN(HeadJournal!D$1),0),"")</f>
        <v>Доставлен</v>
      </c>
      <c r="E3148" s="95">
        <f>IFERROR(VLOOKUP($A3148,HeadJournal!$A$1:$NTR$890,COLUMN(HeadJournal!G$1),0),"")</f>
        <v>45371</v>
      </c>
      <c r="F3148" s="95" t="str">
        <f t="shared" si="252"/>
        <v>2024 03</v>
      </c>
      <c r="G3148" s="96" t="s">
        <v>7</v>
      </c>
      <c r="H3148" s="161" t="str">
        <f>RIGHT(Journal!$J3148,9)</f>
        <v>RSE-01954</v>
      </c>
      <c r="I3148" s="97" t="str">
        <f t="shared" si="249"/>
        <v>Radiant Seoul</v>
      </c>
      <c r="J3148" s="97" t="s">
        <v>1691</v>
      </c>
      <c r="K3148" s="29">
        <v>7.12</v>
      </c>
      <c r="L3148" s="29">
        <v>-3.56</v>
      </c>
      <c r="M3148" s="30">
        <f>IFERROR(VLOOKUP($A3148,HeadJournal!$A$1:$J$890,COLUMN(HeadJournal!I$1),0)*($K3148+$L3148)/(SUMIF($A:$A,$A3148,$K:$K)+SUMIF($A:$A,$A3148,$L:$L)),0)</f>
        <v>-0.14397783933518007</v>
      </c>
      <c r="N3148" s="30">
        <f>IFERROR((VLOOKUP($A3148,HeadJournal!$A$1:$K$890,COLUMN(HeadJournal!K$1),0)-VLOOKUP($A3148,HeadJournal!$A$1:$K$890,COLUMN(HeadJournal!J$1),0))*($K3148+$L3148)/(SUMIF($A:$A,$A3148,$K:$K)+SUMIF($A:$A,$A3148,$L:$L)),0)</f>
        <v>1.0192020707352131E-15</v>
      </c>
      <c r="O3148" s="30">
        <f>IFERROR((VLOOKUP($A3148,HeadJournal!$A$1:$L$890,COLUMN(HeadJournal!L$1),0)*($K3148+$L3148)/(SUMIF($A:$A,$A3148,$K:$K)+SUMIF($A:$A,$A3148,$L:$L)))/VLOOKUP($A3148,HeadJournal!$A$1:$L$890,COLUMN(HeadJournal!H$1),0),0)</f>
        <v>0.18965195454001582</v>
      </c>
      <c r="P3148" s="30">
        <f>IFERROR(SUM(K3148:O3148)*VLOOKUP($A3148,HeadJournal!$A$1:$L$890,COLUMN(HeadJournal!H$1),0),0)</f>
        <v>374.84173256106789</v>
      </c>
      <c r="Q3148" s="29"/>
      <c r="R3148" s="31"/>
      <c r="S3148" s="31"/>
      <c r="T3148" s="95" t="str">
        <f t="shared" si="253"/>
        <v/>
      </c>
      <c r="U3148" s="32">
        <f t="shared" si="250"/>
        <v>-374.84173256106789</v>
      </c>
      <c r="V3148" s="22" t="str">
        <f t="shared" si="251"/>
        <v/>
      </c>
      <c r="X3148" s="33"/>
      <c r="Y3148" s="33"/>
    </row>
    <row r="3149" spans="1:25" x14ac:dyDescent="0.2">
      <c r="A3149" s="93" t="s">
        <v>1696</v>
      </c>
      <c r="B3149" s="94">
        <f>IFERROR(VLOOKUP($A3149,HeadJournal!$A$1:$NTR$890,COLUMN(HeadJournal!B$1),0),"")</f>
        <v>0</v>
      </c>
      <c r="C3149" s="94" t="str">
        <f>IFERROR(VLOOKUP($A3149,HeadJournal!$A$1:$NTR$890,COLUMN(HeadJournal!C$1),0),"")</f>
        <v>WBRS</v>
      </c>
      <c r="D3149" s="125" t="str">
        <f>IFERROR(VLOOKUP($A3149,HeadJournal!$A$1:$NTR$890,COLUMN(HeadJournal!D$1),0),"")</f>
        <v>Доставлен</v>
      </c>
      <c r="E3149" s="95">
        <f>IFERROR(VLOOKUP($A3149,HeadJournal!$A$1:$NTR$890,COLUMN(HeadJournal!G$1),0),"")</f>
        <v>45374</v>
      </c>
      <c r="F3149" s="95" t="str">
        <f t="shared" si="252"/>
        <v>2024 03</v>
      </c>
      <c r="G3149" s="96" t="s">
        <v>5</v>
      </c>
      <c r="H3149" s="161" t="str">
        <f>RIGHT(Journal!$J3149,9)</f>
        <v>000000037</v>
      </c>
      <c r="I3149" s="97" t="str">
        <f t="shared" si="249"/>
        <v>Forever</v>
      </c>
      <c r="J3149" s="97" t="s">
        <v>297</v>
      </c>
      <c r="K3149" s="29">
        <v>1651</v>
      </c>
      <c r="L3149" s="29">
        <v>0</v>
      </c>
      <c r="M3149" s="30">
        <f>IFERROR(VLOOKUP($A3149,HeadJournal!$A$1:$J$890,COLUMN(HeadJournal!I$1),0)*($K3149+$L3149)/(SUMIF($A:$A,$A3149,$K:$K)+SUMIF($A:$A,$A3149,$L:$L)),0)</f>
        <v>0</v>
      </c>
      <c r="N3149" s="30">
        <f>IFERROR((VLOOKUP($A3149,HeadJournal!$A$1:$K$890,COLUMN(HeadJournal!K$1),0)-VLOOKUP($A3149,HeadJournal!$A$1:$K$890,COLUMN(HeadJournal!J$1),0))*($K3149+$L3149)/(SUMIF($A:$A,$A3149,$K:$K)+SUMIF($A:$A,$A3149,$L:$L)),0)</f>
        <v>0</v>
      </c>
      <c r="O3149" s="30">
        <f>IFERROR((VLOOKUP($A3149,HeadJournal!$A$1:$L$890,COLUMN(HeadJournal!L$1),0)*($K3149+$L3149)/(SUMIF($A:$A,$A3149,$K:$K)+SUMIF($A:$A,$A3149,$L:$L)))/VLOOKUP($A3149,HeadJournal!$A$1:$L$890,COLUMN(HeadJournal!H$1),0),0)</f>
        <v>0</v>
      </c>
      <c r="P3149" s="30">
        <f>IFERROR(SUM(K3149:O3149)*VLOOKUP($A3149,HeadJournal!$A$1:$L$890,COLUMN(HeadJournal!H$1),0),0)</f>
        <v>1651</v>
      </c>
      <c r="Q3149" s="29">
        <v>2100</v>
      </c>
      <c r="R3149" s="31">
        <v>45378</v>
      </c>
      <c r="S3149" s="31" t="s">
        <v>3121</v>
      </c>
      <c r="T3149" s="95" t="str">
        <f t="shared" si="253"/>
        <v>2024 03</v>
      </c>
      <c r="U3149" s="32">
        <f t="shared" si="250"/>
        <v>449</v>
      </c>
      <c r="V3149" s="22">
        <f t="shared" si="251"/>
        <v>0.27195639006662631</v>
      </c>
      <c r="X3149" s="33"/>
      <c r="Y3149" s="33"/>
    </row>
    <row r="3150" spans="1:25" x14ac:dyDescent="0.2">
      <c r="A3150" s="93" t="s">
        <v>1696</v>
      </c>
      <c r="B3150" s="94">
        <f>IFERROR(VLOOKUP($A3150,HeadJournal!$A$1:$NTR$890,COLUMN(HeadJournal!B$1),0),"")</f>
        <v>0</v>
      </c>
      <c r="C3150" s="94" t="str">
        <f>IFERROR(VLOOKUP($A3150,HeadJournal!$A$1:$NTR$890,COLUMN(HeadJournal!C$1),0),"")</f>
        <v>WBRS</v>
      </c>
      <c r="D3150" s="125" t="str">
        <f>IFERROR(VLOOKUP($A3150,HeadJournal!$A$1:$NTR$890,COLUMN(HeadJournal!D$1),0),"")</f>
        <v>Доставлен</v>
      </c>
      <c r="E3150" s="95">
        <f>IFERROR(VLOOKUP($A3150,HeadJournal!$A$1:$NTR$890,COLUMN(HeadJournal!G$1),0),"")</f>
        <v>45374</v>
      </c>
      <c r="F3150" s="95" t="str">
        <f t="shared" si="252"/>
        <v>2024 03</v>
      </c>
      <c r="G3150" s="96" t="s">
        <v>6</v>
      </c>
      <c r="H3150" s="161" t="s">
        <v>3636</v>
      </c>
      <c r="I3150" s="97" t="s">
        <v>3680</v>
      </c>
      <c r="J3150" s="97" t="s">
        <v>3681</v>
      </c>
      <c r="K3150" s="29">
        <v>432</v>
      </c>
      <c r="L3150" s="29">
        <v>0</v>
      </c>
      <c r="M3150" s="30">
        <f>IFERROR(VLOOKUP($A3150,HeadJournal!$A$1:$J$890,COLUMN(HeadJournal!I$1),0)*($K3150+$L3150)/(SUMIF($A:$A,$A3150,$K:$K)+SUMIF($A:$A,$A3150,$L:$L)),0)</f>
        <v>0</v>
      </c>
      <c r="N3150" s="30">
        <f>IFERROR((VLOOKUP($A3150,HeadJournal!$A$1:$K$890,COLUMN(HeadJournal!K$1),0)-VLOOKUP($A3150,HeadJournal!$A$1:$K$890,COLUMN(HeadJournal!J$1),0))*($K3150+$L3150)/(SUMIF($A:$A,$A3150,$K:$K)+SUMIF($A:$A,$A3150,$L:$L)),0)</f>
        <v>0</v>
      </c>
      <c r="O3150" s="30">
        <f>IFERROR((VLOOKUP($A3150,HeadJournal!$A$1:$L$890,COLUMN(HeadJournal!L$1),0)*($K3150+$L3150)/(SUMIF($A:$A,$A3150,$K:$K)+SUMIF($A:$A,$A3150,$L:$L)))/VLOOKUP($A3150,HeadJournal!$A$1:$L$890,COLUMN(HeadJournal!H$1),0),0)</f>
        <v>0</v>
      </c>
      <c r="P3150" s="30">
        <f>IFERROR(SUM(K3150:O3150)*VLOOKUP($A3150,HeadJournal!$A$1:$L$890,COLUMN(HeadJournal!H$1),0),0)</f>
        <v>432</v>
      </c>
      <c r="Q3150" s="29">
        <v>800</v>
      </c>
      <c r="R3150" s="31">
        <v>45405</v>
      </c>
      <c r="S3150" s="31" t="s">
        <v>3121</v>
      </c>
      <c r="T3150" s="95" t="str">
        <f t="shared" si="253"/>
        <v>2024 04</v>
      </c>
      <c r="U3150" s="32">
        <f t="shared" si="250"/>
        <v>368</v>
      </c>
      <c r="V3150" s="22">
        <f t="shared" si="251"/>
        <v>0.85185185185185186</v>
      </c>
      <c r="X3150" s="33"/>
      <c r="Y3150" s="33"/>
    </row>
    <row r="3151" spans="1:25" x14ac:dyDescent="0.2">
      <c r="A3151" s="93" t="s">
        <v>1696</v>
      </c>
      <c r="B3151" s="94">
        <f>IFERROR(VLOOKUP($A3151,HeadJournal!$A$1:$NTR$890,COLUMN(HeadJournal!B$1),0),"")</f>
        <v>0</v>
      </c>
      <c r="C3151" s="94" t="str">
        <f>IFERROR(VLOOKUP($A3151,HeadJournal!$A$1:$NTR$890,COLUMN(HeadJournal!C$1),0),"")</f>
        <v>WBRS</v>
      </c>
      <c r="D3151" s="125" t="str">
        <f>IFERROR(VLOOKUP($A3151,HeadJournal!$A$1:$NTR$890,COLUMN(HeadJournal!D$1),0),"")</f>
        <v>Доставлен</v>
      </c>
      <c r="E3151" s="95">
        <f>IFERROR(VLOOKUP($A3151,HeadJournal!$A$1:$NTR$890,COLUMN(HeadJournal!G$1),0),"")</f>
        <v>45374</v>
      </c>
      <c r="F3151" s="95" t="str">
        <f t="shared" si="252"/>
        <v>2024 03</v>
      </c>
      <c r="G3151" s="96" t="s">
        <v>6</v>
      </c>
      <c r="H3151" s="161" t="s">
        <v>3636</v>
      </c>
      <c r="I3151" s="97" t="s">
        <v>3680</v>
      </c>
      <c r="J3151" s="97" t="s">
        <v>3681</v>
      </c>
      <c r="K3151" s="29">
        <v>432</v>
      </c>
      <c r="L3151" s="29">
        <v>0</v>
      </c>
      <c r="M3151" s="30">
        <f>IFERROR(VLOOKUP($A3151,HeadJournal!$A$1:$J$890,COLUMN(HeadJournal!I$1),0)*($K3151+$L3151)/(SUMIF($A:$A,$A3151,$K:$K)+SUMIF($A:$A,$A3151,$L:$L)),0)</f>
        <v>0</v>
      </c>
      <c r="N3151" s="30">
        <f>IFERROR((VLOOKUP($A3151,HeadJournal!$A$1:$K$890,COLUMN(HeadJournal!K$1),0)-VLOOKUP($A3151,HeadJournal!$A$1:$K$890,COLUMN(HeadJournal!J$1),0))*($K3151+$L3151)/(SUMIF($A:$A,$A3151,$K:$K)+SUMIF($A:$A,$A3151,$L:$L)),0)</f>
        <v>0</v>
      </c>
      <c r="O3151" s="30">
        <f>IFERROR((VLOOKUP($A3151,HeadJournal!$A$1:$L$890,COLUMN(HeadJournal!L$1),0)*($K3151+$L3151)/(SUMIF($A:$A,$A3151,$K:$K)+SUMIF($A:$A,$A3151,$L:$L)))/VLOOKUP($A3151,HeadJournal!$A$1:$L$890,COLUMN(HeadJournal!H$1),0),0)</f>
        <v>0</v>
      </c>
      <c r="P3151" s="30">
        <f>IFERROR(SUM(K3151:O3151)*VLOOKUP($A3151,HeadJournal!$A$1:$L$890,COLUMN(HeadJournal!H$1),0),0)</f>
        <v>432</v>
      </c>
      <c r="Q3151" s="29">
        <v>800</v>
      </c>
      <c r="R3151" s="31">
        <v>45465</v>
      </c>
      <c r="S3151" s="31" t="s">
        <v>3121</v>
      </c>
      <c r="T3151" s="95" t="str">
        <f t="shared" si="253"/>
        <v>2024 06</v>
      </c>
      <c r="U3151" s="32">
        <f t="shared" si="250"/>
        <v>368</v>
      </c>
      <c r="V3151" s="22">
        <f t="shared" si="251"/>
        <v>0.85185185185185186</v>
      </c>
      <c r="X3151" s="33"/>
      <c r="Y3151" s="33"/>
    </row>
    <row r="3152" spans="1:25" x14ac:dyDescent="0.2">
      <c r="A3152" s="93" t="s">
        <v>1696</v>
      </c>
      <c r="B3152" s="94">
        <f>IFERROR(VLOOKUP($A3152,HeadJournal!$A$1:$NTR$890,COLUMN(HeadJournal!B$1),0),"")</f>
        <v>0</v>
      </c>
      <c r="C3152" s="94" t="str">
        <f>IFERROR(VLOOKUP($A3152,HeadJournal!$A$1:$NTR$890,COLUMN(HeadJournal!C$1),0),"")</f>
        <v>WBRS</v>
      </c>
      <c r="D3152" s="125" t="str">
        <f>IFERROR(VLOOKUP($A3152,HeadJournal!$A$1:$NTR$890,COLUMN(HeadJournal!D$1),0),"")</f>
        <v>Доставлен</v>
      </c>
      <c r="E3152" s="95">
        <f>IFERROR(VLOOKUP($A3152,HeadJournal!$A$1:$NTR$890,COLUMN(HeadJournal!G$1),0),"")</f>
        <v>45374</v>
      </c>
      <c r="F3152" s="95" t="str">
        <f t="shared" si="252"/>
        <v>2024 03</v>
      </c>
      <c r="G3152" s="96" t="s">
        <v>6</v>
      </c>
      <c r="H3152" s="161" t="s">
        <v>3636</v>
      </c>
      <c r="I3152" s="97" t="s">
        <v>3680</v>
      </c>
      <c r="J3152" s="97" t="s">
        <v>3681</v>
      </c>
      <c r="K3152" s="29">
        <v>432</v>
      </c>
      <c r="L3152" s="29">
        <v>0</v>
      </c>
      <c r="M3152" s="30">
        <f>IFERROR(VLOOKUP($A3152,HeadJournal!$A$1:$J$890,COLUMN(HeadJournal!I$1),0)*($K3152+$L3152)/(SUMIF($A:$A,$A3152,$K:$K)+SUMIF($A:$A,$A3152,$L:$L)),0)</f>
        <v>0</v>
      </c>
      <c r="N3152" s="30">
        <f>IFERROR((VLOOKUP($A3152,HeadJournal!$A$1:$K$890,COLUMN(HeadJournal!K$1),0)-VLOOKUP($A3152,HeadJournal!$A$1:$K$890,COLUMN(HeadJournal!J$1),0))*($K3152+$L3152)/(SUMIF($A:$A,$A3152,$K:$K)+SUMIF($A:$A,$A3152,$L:$L)),0)</f>
        <v>0</v>
      </c>
      <c r="O3152" s="30">
        <f>IFERROR((VLOOKUP($A3152,HeadJournal!$A$1:$L$890,COLUMN(HeadJournal!L$1),0)*($K3152+$L3152)/(SUMIF($A:$A,$A3152,$K:$K)+SUMIF($A:$A,$A3152,$L:$L)))/VLOOKUP($A3152,HeadJournal!$A$1:$L$890,COLUMN(HeadJournal!H$1),0),0)</f>
        <v>0</v>
      </c>
      <c r="P3152" s="30">
        <f>IFERROR(SUM(K3152:O3152)*VLOOKUP($A3152,HeadJournal!$A$1:$L$890,COLUMN(HeadJournal!H$1),0),0)</f>
        <v>432</v>
      </c>
      <c r="Q3152" s="29">
        <v>800</v>
      </c>
      <c r="R3152" s="31">
        <v>45465</v>
      </c>
      <c r="S3152" s="31" t="s">
        <v>3121</v>
      </c>
      <c r="T3152" s="95" t="str">
        <f t="shared" si="253"/>
        <v>2024 06</v>
      </c>
      <c r="U3152" s="32">
        <f t="shared" si="250"/>
        <v>368</v>
      </c>
      <c r="V3152" s="22">
        <f t="shared" si="251"/>
        <v>0.85185185185185186</v>
      </c>
      <c r="X3152" s="33"/>
      <c r="Y3152" s="33"/>
    </row>
    <row r="3153" spans="1:25" x14ac:dyDescent="0.2">
      <c r="A3153" s="93" t="s">
        <v>1696</v>
      </c>
      <c r="B3153" s="94">
        <f>IFERROR(VLOOKUP($A3153,HeadJournal!$A$1:$NTR$890,COLUMN(HeadJournal!B$1),0),"")</f>
        <v>0</v>
      </c>
      <c r="C3153" s="94" t="str">
        <f>IFERROR(VLOOKUP($A3153,HeadJournal!$A$1:$NTR$890,COLUMN(HeadJournal!C$1),0),"")</f>
        <v>WBRS</v>
      </c>
      <c r="D3153" s="125" t="str">
        <f>IFERROR(VLOOKUP($A3153,HeadJournal!$A$1:$NTR$890,COLUMN(HeadJournal!D$1),0),"")</f>
        <v>Доставлен</v>
      </c>
      <c r="E3153" s="95">
        <f>IFERROR(VLOOKUP($A3153,HeadJournal!$A$1:$NTR$890,COLUMN(HeadJournal!G$1),0),"")</f>
        <v>45374</v>
      </c>
      <c r="F3153" s="95" t="str">
        <f t="shared" si="252"/>
        <v>2024 03</v>
      </c>
      <c r="G3153" s="96" t="s">
        <v>6</v>
      </c>
      <c r="H3153" s="161" t="s">
        <v>3636</v>
      </c>
      <c r="I3153" s="97" t="s">
        <v>3680</v>
      </c>
      <c r="J3153" s="97" t="s">
        <v>3681</v>
      </c>
      <c r="K3153" s="29">
        <v>432</v>
      </c>
      <c r="L3153" s="29">
        <v>0</v>
      </c>
      <c r="M3153" s="30">
        <f>IFERROR(VLOOKUP($A3153,HeadJournal!$A$1:$J$890,COLUMN(HeadJournal!I$1),0)*($K3153+$L3153)/(SUMIF($A:$A,$A3153,$K:$K)+SUMIF($A:$A,$A3153,$L:$L)),0)</f>
        <v>0</v>
      </c>
      <c r="N3153" s="30">
        <f>IFERROR((VLOOKUP($A3153,HeadJournal!$A$1:$K$890,COLUMN(HeadJournal!K$1),0)-VLOOKUP($A3153,HeadJournal!$A$1:$K$890,COLUMN(HeadJournal!J$1),0))*($K3153+$L3153)/(SUMIF($A:$A,$A3153,$K:$K)+SUMIF($A:$A,$A3153,$L:$L)),0)</f>
        <v>0</v>
      </c>
      <c r="O3153" s="30">
        <f>IFERROR((VLOOKUP($A3153,HeadJournal!$A$1:$L$890,COLUMN(HeadJournal!L$1),0)*($K3153+$L3153)/(SUMIF($A:$A,$A3153,$K:$K)+SUMIF($A:$A,$A3153,$L:$L)))/VLOOKUP($A3153,HeadJournal!$A$1:$L$890,COLUMN(HeadJournal!H$1),0),0)</f>
        <v>0</v>
      </c>
      <c r="P3153" s="30">
        <f>IFERROR(SUM(K3153:O3153)*VLOOKUP($A3153,HeadJournal!$A$1:$L$890,COLUMN(HeadJournal!H$1),0),0)</f>
        <v>432</v>
      </c>
      <c r="Q3153" s="29">
        <v>800</v>
      </c>
      <c r="R3153" s="31">
        <v>45480</v>
      </c>
      <c r="S3153" s="31" t="s">
        <v>3121</v>
      </c>
      <c r="T3153" s="95" t="str">
        <f t="shared" si="253"/>
        <v>2024 07</v>
      </c>
      <c r="U3153" s="32">
        <f t="shared" si="250"/>
        <v>368</v>
      </c>
      <c r="V3153" s="22">
        <f t="shared" si="251"/>
        <v>0.85185185185185186</v>
      </c>
      <c r="X3153" s="33"/>
      <c r="Y3153" s="33"/>
    </row>
    <row r="3154" spans="1:25" x14ac:dyDescent="0.2">
      <c r="A3154" s="93" t="s">
        <v>1696</v>
      </c>
      <c r="B3154" s="94">
        <f>IFERROR(VLOOKUP($A3154,HeadJournal!$A$1:$NTR$890,COLUMN(HeadJournal!B$1),0),"")</f>
        <v>0</v>
      </c>
      <c r="C3154" s="94" t="str">
        <f>IFERROR(VLOOKUP($A3154,HeadJournal!$A$1:$NTR$890,COLUMN(HeadJournal!C$1),0),"")</f>
        <v>WBRS</v>
      </c>
      <c r="D3154" s="125" t="str">
        <f>IFERROR(VLOOKUP($A3154,HeadJournal!$A$1:$NTR$890,COLUMN(HeadJournal!D$1),0),"")</f>
        <v>Доставлен</v>
      </c>
      <c r="E3154" s="95">
        <f>IFERROR(VLOOKUP($A3154,HeadJournal!$A$1:$NTR$890,COLUMN(HeadJournal!G$1),0),"")</f>
        <v>45374</v>
      </c>
      <c r="F3154" s="95" t="str">
        <f t="shared" si="252"/>
        <v>2024 03</v>
      </c>
      <c r="G3154" s="96" t="s">
        <v>6</v>
      </c>
      <c r="H3154" s="161" t="str">
        <f>RIGHT(Journal!$J3154,9)</f>
        <v xml:space="preserve"> 65579476</v>
      </c>
      <c r="I3154" s="97" t="str">
        <f t="shared" si="249"/>
        <v>Maxler</v>
      </c>
      <c r="J3154" s="97" t="s">
        <v>1697</v>
      </c>
      <c r="K3154" s="29">
        <v>3407</v>
      </c>
      <c r="L3154" s="29">
        <v>0</v>
      </c>
      <c r="M3154" s="30">
        <f>IFERROR(VLOOKUP($A3154,HeadJournal!$A$1:$J$890,COLUMN(HeadJournal!I$1),0)*($K3154+$L3154)/(SUMIF($A:$A,$A3154,$K:$K)+SUMIF($A:$A,$A3154,$L:$L)),0)</f>
        <v>0</v>
      </c>
      <c r="N3154" s="30">
        <f>IFERROR((VLOOKUP($A3154,HeadJournal!$A$1:$K$890,COLUMN(HeadJournal!K$1),0)-VLOOKUP($A3154,HeadJournal!$A$1:$K$890,COLUMN(HeadJournal!J$1),0))*($K3154+$L3154)/(SUMIF($A:$A,$A3154,$K:$K)+SUMIF($A:$A,$A3154,$L:$L)),0)</f>
        <v>0</v>
      </c>
      <c r="O3154" s="30">
        <f>IFERROR((VLOOKUP($A3154,HeadJournal!$A$1:$L$890,COLUMN(HeadJournal!L$1),0)*($K3154+$L3154)/(SUMIF($A:$A,$A3154,$K:$K)+SUMIF($A:$A,$A3154,$L:$L)))/VLOOKUP($A3154,HeadJournal!$A$1:$L$890,COLUMN(HeadJournal!H$1),0),0)</f>
        <v>0</v>
      </c>
      <c r="P3154" s="30">
        <f>IFERROR(SUM(K3154:O3154)*VLOOKUP($A3154,HeadJournal!$A$1:$L$890,COLUMN(HeadJournal!H$1),0),0)</f>
        <v>3407</v>
      </c>
      <c r="Q3154" s="29">
        <v>4082</v>
      </c>
      <c r="R3154" s="31">
        <v>45375</v>
      </c>
      <c r="S3154" s="31" t="s">
        <v>3121</v>
      </c>
      <c r="T3154" s="95" t="str">
        <f t="shared" si="253"/>
        <v>2024 03</v>
      </c>
      <c r="U3154" s="32">
        <f t="shared" si="250"/>
        <v>675</v>
      </c>
      <c r="V3154" s="22">
        <f t="shared" si="251"/>
        <v>0.19812151452891105</v>
      </c>
      <c r="X3154" s="33"/>
      <c r="Y3154" s="33"/>
    </row>
    <row r="3155" spans="1:25" x14ac:dyDescent="0.2">
      <c r="A3155" s="93" t="s">
        <v>1696</v>
      </c>
      <c r="B3155" s="94">
        <f>IFERROR(VLOOKUP($A3155,HeadJournal!$A$1:$NTR$890,COLUMN(HeadJournal!B$1),0),"")</f>
        <v>0</v>
      </c>
      <c r="C3155" s="94" t="str">
        <f>IFERROR(VLOOKUP($A3155,HeadJournal!$A$1:$NTR$890,COLUMN(HeadJournal!C$1),0),"")</f>
        <v>WBRS</v>
      </c>
      <c r="D3155" s="125" t="str">
        <f>IFERROR(VLOOKUP($A3155,HeadJournal!$A$1:$NTR$890,COLUMN(HeadJournal!D$1),0),"")</f>
        <v>Доставлен</v>
      </c>
      <c r="E3155" s="95">
        <f>IFERROR(VLOOKUP($A3155,HeadJournal!$A$1:$NTR$890,COLUMN(HeadJournal!G$1),0),"")</f>
        <v>45374</v>
      </c>
      <c r="F3155" s="95" t="str">
        <f t="shared" si="252"/>
        <v>2024 03</v>
      </c>
      <c r="G3155" s="96" t="s">
        <v>7</v>
      </c>
      <c r="H3155" s="161" t="str">
        <f>RIGHT(Journal!$J3155,9)</f>
        <v xml:space="preserve"> 27088804</v>
      </c>
      <c r="I3155" s="97" t="str">
        <f t="shared" si="249"/>
        <v>ENOUGH</v>
      </c>
      <c r="J3155" s="97" t="s">
        <v>1698</v>
      </c>
      <c r="K3155" s="29">
        <v>233</v>
      </c>
      <c r="L3155" s="29">
        <v>0</v>
      </c>
      <c r="M3155" s="30">
        <f>IFERROR(VLOOKUP($A3155,HeadJournal!$A$1:$J$890,COLUMN(HeadJournal!I$1),0)*($K3155+$L3155)/(SUMIF($A:$A,$A3155,$K:$K)+SUMIF($A:$A,$A3155,$L:$L)),0)</f>
        <v>0</v>
      </c>
      <c r="N3155" s="30">
        <f>IFERROR((VLOOKUP($A3155,HeadJournal!$A$1:$K$890,COLUMN(HeadJournal!K$1),0)-VLOOKUP($A3155,HeadJournal!$A$1:$K$890,COLUMN(HeadJournal!J$1),0))*($K3155+$L3155)/(SUMIF($A:$A,$A3155,$K:$K)+SUMIF($A:$A,$A3155,$L:$L)),0)</f>
        <v>0</v>
      </c>
      <c r="O3155" s="30">
        <f>IFERROR((VLOOKUP($A3155,HeadJournal!$A$1:$L$890,COLUMN(HeadJournal!L$1),0)*($K3155+$L3155)/(SUMIF($A:$A,$A3155,$K:$K)+SUMIF($A:$A,$A3155,$L:$L)))/VLOOKUP($A3155,HeadJournal!$A$1:$L$890,COLUMN(HeadJournal!H$1),0),0)</f>
        <v>0</v>
      </c>
      <c r="P3155" s="30">
        <f>IFERROR(SUM(K3155:O3155)*VLOOKUP($A3155,HeadJournal!$A$1:$L$890,COLUMN(HeadJournal!H$1),0),0)</f>
        <v>233</v>
      </c>
      <c r="Q3155" s="29"/>
      <c r="R3155" s="31"/>
      <c r="S3155" s="31"/>
      <c r="T3155" s="95" t="str">
        <f t="shared" si="253"/>
        <v/>
      </c>
      <c r="U3155" s="32">
        <f t="shared" si="250"/>
        <v>-233</v>
      </c>
      <c r="V3155" s="22" t="str">
        <f t="shared" si="251"/>
        <v/>
      </c>
      <c r="X3155" s="33"/>
      <c r="Y3155" s="33"/>
    </row>
    <row r="3156" spans="1:25" x14ac:dyDescent="0.2">
      <c r="A3156" s="93" t="s">
        <v>1696</v>
      </c>
      <c r="B3156" s="94">
        <f>IFERROR(VLOOKUP($A3156,HeadJournal!$A$1:$NTR$890,COLUMN(HeadJournal!B$1),0),"")</f>
        <v>0</v>
      </c>
      <c r="C3156" s="94" t="str">
        <f>IFERROR(VLOOKUP($A3156,HeadJournal!$A$1:$NTR$890,COLUMN(HeadJournal!C$1),0),"")</f>
        <v>WBRS</v>
      </c>
      <c r="D3156" s="125" t="str">
        <f>IFERROR(VLOOKUP($A3156,HeadJournal!$A$1:$NTR$890,COLUMN(HeadJournal!D$1),0),"")</f>
        <v>Доставлен</v>
      </c>
      <c r="E3156" s="95">
        <f>IFERROR(VLOOKUP($A3156,HeadJournal!$A$1:$NTR$890,COLUMN(HeadJournal!G$1),0),"")</f>
        <v>45374</v>
      </c>
      <c r="F3156" s="95" t="str">
        <f t="shared" si="252"/>
        <v>2024 03</v>
      </c>
      <c r="G3156" s="96" t="s">
        <v>7</v>
      </c>
      <c r="H3156" s="161" t="str">
        <f>RIGHT(Journal!$J3156,9)</f>
        <v xml:space="preserve"> 27088804</v>
      </c>
      <c r="I3156" s="97" t="str">
        <f t="shared" si="249"/>
        <v>ENOUGH</v>
      </c>
      <c r="J3156" s="97" t="s">
        <v>1698</v>
      </c>
      <c r="K3156" s="29">
        <v>233</v>
      </c>
      <c r="L3156" s="29">
        <v>0</v>
      </c>
      <c r="M3156" s="30">
        <f>IFERROR(VLOOKUP($A3156,HeadJournal!$A$1:$J$890,COLUMN(HeadJournal!I$1),0)*($K3156+$L3156)/(SUMIF($A:$A,$A3156,$K:$K)+SUMIF($A:$A,$A3156,$L:$L)),0)</f>
        <v>0</v>
      </c>
      <c r="N3156" s="30">
        <f>IFERROR((VLOOKUP($A3156,HeadJournal!$A$1:$K$890,COLUMN(HeadJournal!K$1),0)-VLOOKUP($A3156,HeadJournal!$A$1:$K$890,COLUMN(HeadJournal!J$1),0))*($K3156+$L3156)/(SUMIF($A:$A,$A3156,$K:$K)+SUMIF($A:$A,$A3156,$L:$L)),0)</f>
        <v>0</v>
      </c>
      <c r="O3156" s="30">
        <f>IFERROR((VLOOKUP($A3156,HeadJournal!$A$1:$L$890,COLUMN(HeadJournal!L$1),0)*($K3156+$L3156)/(SUMIF($A:$A,$A3156,$K:$K)+SUMIF($A:$A,$A3156,$L:$L)))/VLOOKUP($A3156,HeadJournal!$A$1:$L$890,COLUMN(HeadJournal!H$1),0),0)</f>
        <v>0</v>
      </c>
      <c r="P3156" s="30">
        <f>IFERROR(SUM(K3156:O3156)*VLOOKUP($A3156,HeadJournal!$A$1:$L$890,COLUMN(HeadJournal!H$1),0),0)</f>
        <v>233</v>
      </c>
      <c r="Q3156" s="29"/>
      <c r="R3156" s="31"/>
      <c r="S3156" s="31"/>
      <c r="T3156" s="95" t="str">
        <f t="shared" si="253"/>
        <v/>
      </c>
      <c r="U3156" s="32">
        <f t="shared" si="250"/>
        <v>-233</v>
      </c>
      <c r="V3156" s="22" t="str">
        <f t="shared" si="251"/>
        <v/>
      </c>
      <c r="X3156" s="33"/>
      <c r="Y3156" s="33"/>
    </row>
    <row r="3157" spans="1:25" x14ac:dyDescent="0.2">
      <c r="A3157" s="93" t="s">
        <v>1696</v>
      </c>
      <c r="B3157" s="94">
        <f>IFERROR(VLOOKUP($A3157,HeadJournal!$A$1:$NTR$890,COLUMN(HeadJournal!B$1),0),"")</f>
        <v>0</v>
      </c>
      <c r="C3157" s="94" t="str">
        <f>IFERROR(VLOOKUP($A3157,HeadJournal!$A$1:$NTR$890,COLUMN(HeadJournal!C$1),0),"")</f>
        <v>WBRS</v>
      </c>
      <c r="D3157" s="125" t="str">
        <f>IFERROR(VLOOKUP($A3157,HeadJournal!$A$1:$NTR$890,COLUMN(HeadJournal!D$1),0),"")</f>
        <v>Доставлен</v>
      </c>
      <c r="E3157" s="95">
        <f>IFERROR(VLOOKUP($A3157,HeadJournal!$A$1:$NTR$890,COLUMN(HeadJournal!G$1),0),"")</f>
        <v>45374</v>
      </c>
      <c r="F3157" s="95" t="str">
        <f t="shared" si="252"/>
        <v>2024 03</v>
      </c>
      <c r="G3157" s="96" t="s">
        <v>7</v>
      </c>
      <c r="H3157" s="161" t="str">
        <f>RIGHT(Journal!$J3157,9)</f>
        <v xml:space="preserve"> 27088804</v>
      </c>
      <c r="I3157" s="97" t="str">
        <f t="shared" si="249"/>
        <v>ENOUGH</v>
      </c>
      <c r="J3157" s="97" t="s">
        <v>1698</v>
      </c>
      <c r="K3157" s="29">
        <v>233</v>
      </c>
      <c r="L3157" s="29">
        <v>0</v>
      </c>
      <c r="M3157" s="30">
        <f>IFERROR(VLOOKUP($A3157,HeadJournal!$A$1:$J$890,COLUMN(HeadJournal!I$1),0)*($K3157+$L3157)/(SUMIF($A:$A,$A3157,$K:$K)+SUMIF($A:$A,$A3157,$L:$L)),0)</f>
        <v>0</v>
      </c>
      <c r="N3157" s="30">
        <f>IFERROR((VLOOKUP($A3157,HeadJournal!$A$1:$K$890,COLUMN(HeadJournal!K$1),0)-VLOOKUP($A3157,HeadJournal!$A$1:$K$890,COLUMN(HeadJournal!J$1),0))*($K3157+$L3157)/(SUMIF($A:$A,$A3157,$K:$K)+SUMIF($A:$A,$A3157,$L:$L)),0)</f>
        <v>0</v>
      </c>
      <c r="O3157" s="30">
        <f>IFERROR((VLOOKUP($A3157,HeadJournal!$A$1:$L$890,COLUMN(HeadJournal!L$1),0)*($K3157+$L3157)/(SUMIF($A:$A,$A3157,$K:$K)+SUMIF($A:$A,$A3157,$L:$L)))/VLOOKUP($A3157,HeadJournal!$A$1:$L$890,COLUMN(HeadJournal!H$1),0),0)</f>
        <v>0</v>
      </c>
      <c r="P3157" s="30">
        <f>IFERROR(SUM(K3157:O3157)*VLOOKUP($A3157,HeadJournal!$A$1:$L$890,COLUMN(HeadJournal!H$1),0),0)</f>
        <v>233</v>
      </c>
      <c r="Q3157" s="29"/>
      <c r="R3157" s="31"/>
      <c r="S3157" s="31"/>
      <c r="T3157" s="95" t="str">
        <f t="shared" si="253"/>
        <v/>
      </c>
      <c r="U3157" s="32">
        <f t="shared" si="250"/>
        <v>-233</v>
      </c>
      <c r="V3157" s="22" t="str">
        <f t="shared" si="251"/>
        <v/>
      </c>
      <c r="X3157" s="33"/>
      <c r="Y3157" s="33"/>
    </row>
    <row r="3158" spans="1:25" x14ac:dyDescent="0.2">
      <c r="A3158" s="93" t="s">
        <v>1696</v>
      </c>
      <c r="B3158" s="94">
        <f>IFERROR(VLOOKUP($A3158,HeadJournal!$A$1:$NTR$890,COLUMN(HeadJournal!B$1),0),"")</f>
        <v>0</v>
      </c>
      <c r="C3158" s="94" t="str">
        <f>IFERROR(VLOOKUP($A3158,HeadJournal!$A$1:$NTR$890,COLUMN(HeadJournal!C$1),0),"")</f>
        <v>WBRS</v>
      </c>
      <c r="D3158" s="125" t="str">
        <f>IFERROR(VLOOKUP($A3158,HeadJournal!$A$1:$NTR$890,COLUMN(HeadJournal!D$1),0),"")</f>
        <v>Доставлен</v>
      </c>
      <c r="E3158" s="95">
        <f>IFERROR(VLOOKUP($A3158,HeadJournal!$A$1:$NTR$890,COLUMN(HeadJournal!G$1),0),"")</f>
        <v>45374</v>
      </c>
      <c r="F3158" s="95" t="str">
        <f t="shared" si="252"/>
        <v>2024 03</v>
      </c>
      <c r="G3158" s="96" t="s">
        <v>5</v>
      </c>
      <c r="H3158" s="161" t="str">
        <f>RIGHT(Journal!$J3158,9)</f>
        <v>119141823</v>
      </c>
      <c r="I3158" s="97" t="str">
        <f t="shared" si="249"/>
        <v>Green Leaf Formula</v>
      </c>
      <c r="J3158" s="97" t="s">
        <v>1699</v>
      </c>
      <c r="K3158" s="29">
        <v>592</v>
      </c>
      <c r="L3158" s="29">
        <v>0</v>
      </c>
      <c r="M3158" s="30">
        <f>IFERROR(VLOOKUP($A3158,HeadJournal!$A$1:$J$890,COLUMN(HeadJournal!I$1),0)*($K3158+$L3158)/(SUMIF($A:$A,$A3158,$K:$K)+SUMIF($A:$A,$A3158,$L:$L)),0)</f>
        <v>0</v>
      </c>
      <c r="N3158" s="30">
        <f>IFERROR((VLOOKUP($A3158,HeadJournal!$A$1:$K$890,COLUMN(HeadJournal!K$1),0)-VLOOKUP($A3158,HeadJournal!$A$1:$K$890,COLUMN(HeadJournal!J$1),0))*($K3158+$L3158)/(SUMIF($A:$A,$A3158,$K:$K)+SUMIF($A:$A,$A3158,$L:$L)),0)</f>
        <v>0</v>
      </c>
      <c r="O3158" s="30">
        <f>IFERROR((VLOOKUP($A3158,HeadJournal!$A$1:$L$890,COLUMN(HeadJournal!L$1),0)*($K3158+$L3158)/(SUMIF($A:$A,$A3158,$K:$K)+SUMIF($A:$A,$A3158,$L:$L)))/VLOOKUP($A3158,HeadJournal!$A$1:$L$890,COLUMN(HeadJournal!H$1),0),0)</f>
        <v>0</v>
      </c>
      <c r="P3158" s="30">
        <f>IFERROR(SUM(K3158:O3158)*VLOOKUP($A3158,HeadJournal!$A$1:$L$890,COLUMN(HeadJournal!H$1),0),0)</f>
        <v>592</v>
      </c>
      <c r="Q3158" s="29">
        <v>950</v>
      </c>
      <c r="R3158" s="31">
        <v>45377</v>
      </c>
      <c r="S3158" s="31" t="s">
        <v>3121</v>
      </c>
      <c r="T3158" s="95" t="str">
        <f t="shared" si="253"/>
        <v>2024 03</v>
      </c>
      <c r="U3158" s="32">
        <f t="shared" si="250"/>
        <v>358</v>
      </c>
      <c r="V3158" s="22">
        <f t="shared" si="251"/>
        <v>0.60472972972972971</v>
      </c>
      <c r="X3158" s="33"/>
      <c r="Y3158" s="33"/>
    </row>
    <row r="3159" spans="1:25" x14ac:dyDescent="0.2">
      <c r="A3159" s="93" t="s">
        <v>1700</v>
      </c>
      <c r="B3159" s="94">
        <f>IFERROR(VLOOKUP($A3159,HeadJournal!$A$1:$NTR$890,COLUMN(HeadJournal!B$1),0),"")</f>
        <v>0</v>
      </c>
      <c r="C3159" s="94" t="str">
        <f>IFERROR(VLOOKUP($A3159,HeadJournal!$A$1:$NTR$890,COLUMN(HeadJournal!C$1),0),"")</f>
        <v>OZON_OA</v>
      </c>
      <c r="D3159" s="125" t="str">
        <f>IFERROR(VLOOKUP($A3159,HeadJournal!$A$1:$NTR$890,COLUMN(HeadJournal!D$1),0),"")</f>
        <v>Доставлен</v>
      </c>
      <c r="E3159" s="95">
        <f>IFERROR(VLOOKUP($A3159,HeadJournal!$A$1:$NTR$890,COLUMN(HeadJournal!G$1),0),"")</f>
        <v>45354</v>
      </c>
      <c r="F3159" s="95" t="str">
        <f t="shared" si="252"/>
        <v>2024 03</v>
      </c>
      <c r="G3159" s="96" t="s">
        <v>8</v>
      </c>
      <c r="H3159" s="161" t="s">
        <v>5293</v>
      </c>
      <c r="I3159" s="97" t="s">
        <v>2243</v>
      </c>
      <c r="J3159" s="97" t="s">
        <v>5348</v>
      </c>
      <c r="K3159" s="29">
        <v>1872</v>
      </c>
      <c r="L3159" s="29">
        <v>0</v>
      </c>
      <c r="M3159" s="30">
        <f>IFERROR(VLOOKUP($A3159,HeadJournal!$A$1:$J$890,COLUMN(HeadJournal!I$1),0)*($K3159+$L3159)/(SUMIF($A:$A,$A3159,$K:$K)+SUMIF($A:$A,$A3159,$L:$L)),0)</f>
        <v>0</v>
      </c>
      <c r="N3159" s="30">
        <f>IFERROR((VLOOKUP($A3159,HeadJournal!$A$1:$K$890,COLUMN(HeadJournal!K$1),0)-VLOOKUP($A3159,HeadJournal!$A$1:$K$890,COLUMN(HeadJournal!J$1),0))*($K3159+$L3159)/(SUMIF($A:$A,$A3159,$K:$K)+SUMIF($A:$A,$A3159,$L:$L)),0)</f>
        <v>0</v>
      </c>
      <c r="O3159" s="30">
        <f>IFERROR((VLOOKUP($A3159,HeadJournal!$A$1:$L$890,COLUMN(HeadJournal!L$1),0)*($K3159+$L3159)/(SUMIF($A:$A,$A3159,$K:$K)+SUMIF($A:$A,$A3159,$L:$L)))/VLOOKUP($A3159,HeadJournal!$A$1:$L$890,COLUMN(HeadJournal!H$1),0),0)</f>
        <v>0</v>
      </c>
      <c r="P3159" s="30">
        <f>IFERROR(SUM(K3159:O3159)*VLOOKUP($A3159,HeadJournal!$A$1:$L$890,COLUMN(HeadJournal!H$1),0),0)</f>
        <v>1872</v>
      </c>
      <c r="Q3159" s="29"/>
      <c r="R3159" s="31"/>
      <c r="S3159" s="31"/>
      <c r="T3159" s="95" t="str">
        <f t="shared" si="253"/>
        <v/>
      </c>
      <c r="U3159" s="32">
        <f t="shared" si="250"/>
        <v>-1872</v>
      </c>
      <c r="V3159" s="22" t="str">
        <f t="shared" si="251"/>
        <v/>
      </c>
      <c r="X3159" s="33"/>
      <c r="Y3159" s="33"/>
    </row>
    <row r="3160" spans="1:25" x14ac:dyDescent="0.2">
      <c r="A3160" s="93" t="s">
        <v>1700</v>
      </c>
      <c r="B3160" s="94">
        <f>IFERROR(VLOOKUP($A3160,HeadJournal!$A$1:$NTR$890,COLUMN(HeadJournal!B$1),0),"")</f>
        <v>0</v>
      </c>
      <c r="C3160" s="94" t="str">
        <f>IFERROR(VLOOKUP($A3160,HeadJournal!$A$1:$NTR$890,COLUMN(HeadJournal!C$1),0),"")</f>
        <v>OZON_OA</v>
      </c>
      <c r="D3160" s="125" t="str">
        <f>IFERROR(VLOOKUP($A3160,HeadJournal!$A$1:$NTR$890,COLUMN(HeadJournal!D$1),0),"")</f>
        <v>Доставлен</v>
      </c>
      <c r="E3160" s="95">
        <f>IFERROR(VLOOKUP($A3160,HeadJournal!$A$1:$NTR$890,COLUMN(HeadJournal!G$1),0),"")</f>
        <v>45354</v>
      </c>
      <c r="F3160" s="95" t="str">
        <f t="shared" si="252"/>
        <v>2024 03</v>
      </c>
      <c r="G3160" s="96" t="s">
        <v>8</v>
      </c>
      <c r="H3160" s="161" t="s">
        <v>5294</v>
      </c>
      <c r="I3160" s="97" t="s">
        <v>2243</v>
      </c>
      <c r="J3160" s="97" t="s">
        <v>5349</v>
      </c>
      <c r="K3160" s="29">
        <v>1872</v>
      </c>
      <c r="L3160" s="29">
        <v>0</v>
      </c>
      <c r="M3160" s="30">
        <f>IFERROR(VLOOKUP($A3160,HeadJournal!$A$1:$J$890,COLUMN(HeadJournal!I$1),0)*($K3160+$L3160)/(SUMIF($A:$A,$A3160,$K:$K)+SUMIF($A:$A,$A3160,$L:$L)),0)</f>
        <v>0</v>
      </c>
      <c r="N3160" s="30">
        <f>IFERROR((VLOOKUP($A3160,HeadJournal!$A$1:$K$890,COLUMN(HeadJournal!K$1),0)-VLOOKUP($A3160,HeadJournal!$A$1:$K$890,COLUMN(HeadJournal!J$1),0))*($K3160+$L3160)/(SUMIF($A:$A,$A3160,$K:$K)+SUMIF($A:$A,$A3160,$L:$L)),0)</f>
        <v>0</v>
      </c>
      <c r="O3160" s="30">
        <f>IFERROR((VLOOKUP($A3160,HeadJournal!$A$1:$L$890,COLUMN(HeadJournal!L$1),0)*($K3160+$L3160)/(SUMIF($A:$A,$A3160,$K:$K)+SUMIF($A:$A,$A3160,$L:$L)))/VLOOKUP($A3160,HeadJournal!$A$1:$L$890,COLUMN(HeadJournal!H$1),0),0)</f>
        <v>0</v>
      </c>
      <c r="P3160" s="30">
        <f>IFERROR(SUM(K3160:O3160)*VLOOKUP($A3160,HeadJournal!$A$1:$L$890,COLUMN(HeadJournal!H$1),0),0)</f>
        <v>1872</v>
      </c>
      <c r="Q3160" s="29"/>
      <c r="R3160" s="31"/>
      <c r="S3160" s="31"/>
      <c r="T3160" s="95" t="str">
        <f t="shared" si="253"/>
        <v/>
      </c>
      <c r="U3160" s="32">
        <f t="shared" si="250"/>
        <v>-1872</v>
      </c>
      <c r="V3160" s="22" t="str">
        <f t="shared" si="251"/>
        <v/>
      </c>
      <c r="X3160" s="33"/>
      <c r="Y3160" s="33"/>
    </row>
    <row r="3161" spans="1:25" x14ac:dyDescent="0.2">
      <c r="A3161" s="93" t="s">
        <v>1702</v>
      </c>
      <c r="B3161" s="94">
        <f>IFERROR(VLOOKUP($A3161,HeadJournal!$A$1:$NTR$890,COLUMN(HeadJournal!B$1),0),"")</f>
        <v>0</v>
      </c>
      <c r="C3161" s="94" t="str">
        <f>IFERROR(VLOOKUP($A3161,HeadJournal!$A$1:$NTR$890,COLUMN(HeadJournal!C$1),0),"")</f>
        <v>OZON_OA</v>
      </c>
      <c r="D3161" s="125" t="str">
        <f>IFERROR(VLOOKUP($A3161,HeadJournal!$A$1:$NTR$890,COLUMN(HeadJournal!D$1),0),"")</f>
        <v>Доставлен</v>
      </c>
      <c r="E3161" s="95">
        <f>IFERROR(VLOOKUP($A3161,HeadJournal!$A$1:$NTR$890,COLUMN(HeadJournal!G$1),0),"")</f>
        <v>45364</v>
      </c>
      <c r="F3161" s="95" t="str">
        <f t="shared" si="252"/>
        <v>2024 03</v>
      </c>
      <c r="G3161" s="96" t="s">
        <v>5</v>
      </c>
      <c r="H3161" s="161" t="str">
        <f>RIGHT(Journal!$J3161,9)</f>
        <v>NOW-05975</v>
      </c>
      <c r="I3161" s="97" t="str">
        <f t="shared" si="249"/>
        <v>NOW Foods</v>
      </c>
      <c r="J3161" s="97" t="s">
        <v>109</v>
      </c>
      <c r="K3161" s="29">
        <v>1602</v>
      </c>
      <c r="L3161" s="29">
        <v>0</v>
      </c>
      <c r="M3161" s="30">
        <f>IFERROR(VLOOKUP($A3161,HeadJournal!$A$1:$J$890,COLUMN(HeadJournal!I$1),0)*($K3161+$L3161)/(SUMIF($A:$A,$A3161,$K:$K)+SUMIF($A:$A,$A3161,$L:$L)),0)</f>
        <v>0</v>
      </c>
      <c r="N3161" s="30">
        <f>IFERROR((VLOOKUP($A3161,HeadJournal!$A$1:$K$890,COLUMN(HeadJournal!K$1),0)-VLOOKUP($A3161,HeadJournal!$A$1:$K$890,COLUMN(HeadJournal!J$1),0))*($K3161+$L3161)/(SUMIF($A:$A,$A3161,$K:$K)+SUMIF($A:$A,$A3161,$L:$L)),0)</f>
        <v>0</v>
      </c>
      <c r="O3161" s="30">
        <f>IFERROR((VLOOKUP($A3161,HeadJournal!$A$1:$L$890,COLUMN(HeadJournal!L$1),0)*($K3161+$L3161)/(SUMIF($A:$A,$A3161,$K:$K)+SUMIF($A:$A,$A3161,$L:$L)))/VLOOKUP($A3161,HeadJournal!$A$1:$L$890,COLUMN(HeadJournal!H$1),0),0)</f>
        <v>0</v>
      </c>
      <c r="P3161" s="30">
        <f>IFERROR(SUM(K3161:O3161)*VLOOKUP($A3161,HeadJournal!$A$1:$L$890,COLUMN(HeadJournal!H$1),0),0)</f>
        <v>1602</v>
      </c>
      <c r="Q3161" s="29"/>
      <c r="R3161" s="31"/>
      <c r="S3161" s="31"/>
      <c r="T3161" s="95" t="str">
        <f t="shared" si="253"/>
        <v/>
      </c>
      <c r="U3161" s="32">
        <f t="shared" si="250"/>
        <v>-1602</v>
      </c>
      <c r="V3161" s="22" t="str">
        <f t="shared" si="251"/>
        <v/>
      </c>
      <c r="X3161" s="33"/>
      <c r="Y3161" s="33"/>
    </row>
    <row r="3162" spans="1:25" x14ac:dyDescent="0.2">
      <c r="A3162" s="93" t="s">
        <v>1703</v>
      </c>
      <c r="B3162" s="94">
        <f>IFERROR(VLOOKUP($A3162,HeadJournal!$A$1:$NTR$890,COLUMN(HeadJournal!B$1),0),"")</f>
        <v>0</v>
      </c>
      <c r="C3162" s="94" t="str">
        <f>IFERROR(VLOOKUP($A3162,HeadJournal!$A$1:$NTR$890,COLUMN(HeadJournal!C$1),0),"")</f>
        <v>OZON_OA</v>
      </c>
      <c r="D3162" s="125" t="str">
        <f>IFERROR(VLOOKUP($A3162,HeadJournal!$A$1:$NTR$890,COLUMN(HeadJournal!D$1),0),"")</f>
        <v>Доставлен</v>
      </c>
      <c r="E3162" s="95">
        <f>IFERROR(VLOOKUP($A3162,HeadJournal!$A$1:$NTR$890,COLUMN(HeadJournal!G$1),0),"")</f>
        <v>45364</v>
      </c>
      <c r="F3162" s="95" t="str">
        <f t="shared" si="252"/>
        <v>2024 03</v>
      </c>
      <c r="G3162" s="96" t="s">
        <v>5</v>
      </c>
      <c r="H3162" s="161" t="s">
        <v>2838</v>
      </c>
      <c r="I3162" s="97" t="s">
        <v>2839</v>
      </c>
      <c r="J3162" s="97" t="s">
        <v>2840</v>
      </c>
      <c r="K3162" s="29">
        <v>2981</v>
      </c>
      <c r="L3162" s="29">
        <v>0</v>
      </c>
      <c r="M3162" s="30">
        <f>IFERROR(VLOOKUP($A3162,HeadJournal!$A$1:$J$890,COLUMN(HeadJournal!I$1),0)*($K3162+$L3162)/(SUMIF($A:$A,$A3162,$K:$K)+SUMIF($A:$A,$A3162,$L:$L)),0)</f>
        <v>0</v>
      </c>
      <c r="N3162" s="30">
        <f>IFERROR((VLOOKUP($A3162,HeadJournal!$A$1:$K$890,COLUMN(HeadJournal!K$1),0)-VLOOKUP($A3162,HeadJournal!$A$1:$K$890,COLUMN(HeadJournal!J$1),0))*($K3162+$L3162)/(SUMIF($A:$A,$A3162,$K:$K)+SUMIF($A:$A,$A3162,$L:$L)),0)</f>
        <v>0</v>
      </c>
      <c r="O3162" s="30">
        <f>IFERROR((VLOOKUP($A3162,HeadJournal!$A$1:$L$890,COLUMN(HeadJournal!L$1),0)*($K3162+$L3162)/(SUMIF($A:$A,$A3162,$K:$K)+SUMIF($A:$A,$A3162,$L:$L)))/VLOOKUP($A3162,HeadJournal!$A$1:$L$890,COLUMN(HeadJournal!H$1),0),0)</f>
        <v>0</v>
      </c>
      <c r="P3162" s="30">
        <f>IFERROR(SUM(K3162:O3162)*VLOOKUP($A3162,HeadJournal!$A$1:$L$890,COLUMN(HeadJournal!H$1),0),0)</f>
        <v>2981</v>
      </c>
      <c r="Q3162" s="29">
        <v>3500</v>
      </c>
      <c r="R3162" s="31">
        <v>45378</v>
      </c>
      <c r="S3162" s="31" t="s">
        <v>3121</v>
      </c>
      <c r="T3162" s="95" t="str">
        <f t="shared" si="253"/>
        <v>2024 03</v>
      </c>
      <c r="U3162" s="32">
        <f t="shared" si="250"/>
        <v>519</v>
      </c>
      <c r="V3162" s="22">
        <f t="shared" si="251"/>
        <v>0.17410265011741027</v>
      </c>
      <c r="X3162" s="33"/>
      <c r="Y3162" s="33"/>
    </row>
    <row r="3163" spans="1:25" x14ac:dyDescent="0.2">
      <c r="A3163" s="93" t="s">
        <v>1703</v>
      </c>
      <c r="B3163" s="94">
        <f>IFERROR(VLOOKUP($A3163,HeadJournal!$A$1:$NTR$890,COLUMN(HeadJournal!B$1),0),"")</f>
        <v>0</v>
      </c>
      <c r="C3163" s="94" t="str">
        <f>IFERROR(VLOOKUP($A3163,HeadJournal!$A$1:$NTR$890,COLUMN(HeadJournal!C$1),0),"")</f>
        <v>OZON_OA</v>
      </c>
      <c r="D3163" s="125" t="str">
        <f>IFERROR(VLOOKUP($A3163,HeadJournal!$A$1:$NTR$890,COLUMN(HeadJournal!D$1),0),"")</f>
        <v>Доставлен</v>
      </c>
      <c r="E3163" s="95">
        <f>IFERROR(VLOOKUP($A3163,HeadJournal!$A$1:$NTR$890,COLUMN(HeadJournal!G$1),0),"")</f>
        <v>45364</v>
      </c>
      <c r="F3163" s="95" t="str">
        <f t="shared" si="252"/>
        <v>2024 03</v>
      </c>
      <c r="G3163" s="96" t="s">
        <v>5</v>
      </c>
      <c r="H3163" s="161" t="s">
        <v>2838</v>
      </c>
      <c r="I3163" s="97" t="s">
        <v>2839</v>
      </c>
      <c r="J3163" s="97" t="s">
        <v>2840</v>
      </c>
      <c r="K3163" s="29">
        <v>2981</v>
      </c>
      <c r="L3163" s="29">
        <v>0</v>
      </c>
      <c r="M3163" s="30">
        <f>IFERROR(VLOOKUP($A3163,HeadJournal!$A$1:$J$890,COLUMN(HeadJournal!I$1),0)*($K3163+$L3163)/(SUMIF($A:$A,$A3163,$K:$K)+SUMIF($A:$A,$A3163,$L:$L)),0)</f>
        <v>0</v>
      </c>
      <c r="N3163" s="30">
        <f>IFERROR((VLOOKUP($A3163,HeadJournal!$A$1:$K$890,COLUMN(HeadJournal!K$1),0)-VLOOKUP($A3163,HeadJournal!$A$1:$K$890,COLUMN(HeadJournal!J$1),0))*($K3163+$L3163)/(SUMIF($A:$A,$A3163,$K:$K)+SUMIF($A:$A,$A3163,$L:$L)),0)</f>
        <v>0</v>
      </c>
      <c r="O3163" s="30">
        <f>IFERROR((VLOOKUP($A3163,HeadJournal!$A$1:$L$890,COLUMN(HeadJournal!L$1),0)*($K3163+$L3163)/(SUMIF($A:$A,$A3163,$K:$K)+SUMIF($A:$A,$A3163,$L:$L)))/VLOOKUP($A3163,HeadJournal!$A$1:$L$890,COLUMN(HeadJournal!H$1),0),0)</f>
        <v>0</v>
      </c>
      <c r="P3163" s="30">
        <f>IFERROR(SUM(K3163:O3163)*VLOOKUP($A3163,HeadJournal!$A$1:$L$890,COLUMN(HeadJournal!H$1),0),0)</f>
        <v>2981</v>
      </c>
      <c r="Q3163" s="29">
        <v>3500</v>
      </c>
      <c r="R3163" s="31">
        <v>45378</v>
      </c>
      <c r="S3163" s="31" t="s">
        <v>3121</v>
      </c>
      <c r="T3163" s="95" t="str">
        <f t="shared" si="253"/>
        <v>2024 03</v>
      </c>
      <c r="U3163" s="32">
        <f t="shared" si="250"/>
        <v>519</v>
      </c>
      <c r="V3163" s="22">
        <f t="shared" si="251"/>
        <v>0.17410265011741027</v>
      </c>
      <c r="X3163" s="33"/>
      <c r="Y3163" s="33"/>
    </row>
    <row r="3164" spans="1:25" x14ac:dyDescent="0.2">
      <c r="A3164" s="93" t="s">
        <v>1704</v>
      </c>
      <c r="B3164" s="94">
        <f>IFERROR(VLOOKUP($A3164,HeadJournal!$A$1:$NTR$890,COLUMN(HeadJournal!B$1),0),"")</f>
        <v>0</v>
      </c>
      <c r="C3164" s="94" t="str">
        <f>IFERROR(VLOOKUP($A3164,HeadJournal!$A$1:$NTR$890,COLUMN(HeadJournal!C$1),0),"")</f>
        <v>OZON_OA</v>
      </c>
      <c r="D3164" s="125" t="str">
        <f>IFERROR(VLOOKUP($A3164,HeadJournal!$A$1:$NTR$890,COLUMN(HeadJournal!D$1),0),"")</f>
        <v>Доставлен</v>
      </c>
      <c r="E3164" s="95">
        <f>IFERROR(VLOOKUP($A3164,HeadJournal!$A$1:$NTR$890,COLUMN(HeadJournal!G$1),0),"")</f>
        <v>45365</v>
      </c>
      <c r="F3164" s="95" t="str">
        <f t="shared" si="252"/>
        <v>2024 03</v>
      </c>
      <c r="G3164" s="96" t="s">
        <v>5</v>
      </c>
      <c r="H3164" s="161" t="str">
        <f>RIGHT(Journal!$J3164,9)</f>
        <v>SOL-59204</v>
      </c>
      <c r="I3164" s="97" t="str">
        <f t="shared" si="249"/>
        <v>Solgar</v>
      </c>
      <c r="J3164" s="97" t="s">
        <v>1705</v>
      </c>
      <c r="K3164" s="29">
        <v>1236</v>
      </c>
      <c r="L3164" s="29">
        <v>0</v>
      </c>
      <c r="M3164" s="30">
        <f>IFERROR(VLOOKUP($A3164,HeadJournal!$A$1:$J$890,COLUMN(HeadJournal!I$1),0)*($K3164+$L3164)/(SUMIF($A:$A,$A3164,$K:$K)+SUMIF($A:$A,$A3164,$L:$L)),0)</f>
        <v>0</v>
      </c>
      <c r="N3164" s="30">
        <f>IFERROR((VLOOKUP($A3164,HeadJournal!$A$1:$K$890,COLUMN(HeadJournal!K$1),0)-VLOOKUP($A3164,HeadJournal!$A$1:$K$890,COLUMN(HeadJournal!J$1),0))*($K3164+$L3164)/(SUMIF($A:$A,$A3164,$K:$K)+SUMIF($A:$A,$A3164,$L:$L)),0)</f>
        <v>0</v>
      </c>
      <c r="O3164" s="30">
        <f>IFERROR((VLOOKUP($A3164,HeadJournal!$A$1:$L$890,COLUMN(HeadJournal!L$1),0)*($K3164+$L3164)/(SUMIF($A:$A,$A3164,$K:$K)+SUMIF($A:$A,$A3164,$L:$L)))/VLOOKUP($A3164,HeadJournal!$A$1:$L$890,COLUMN(HeadJournal!H$1),0),0)</f>
        <v>0</v>
      </c>
      <c r="P3164" s="30">
        <f>IFERROR(SUM(K3164:O3164)*VLOOKUP($A3164,HeadJournal!$A$1:$L$890,COLUMN(HeadJournal!H$1),0),0)</f>
        <v>1236</v>
      </c>
      <c r="Q3164" s="29">
        <v>1500</v>
      </c>
      <c r="R3164" s="31">
        <v>45377</v>
      </c>
      <c r="S3164" s="31" t="s">
        <v>3121</v>
      </c>
      <c r="T3164" s="95" t="str">
        <f t="shared" si="253"/>
        <v>2024 03</v>
      </c>
      <c r="U3164" s="32">
        <f t="shared" si="250"/>
        <v>264</v>
      </c>
      <c r="V3164" s="22">
        <f t="shared" si="251"/>
        <v>0.21359223300970873</v>
      </c>
      <c r="X3164" s="33"/>
      <c r="Y3164" s="33"/>
    </row>
    <row r="3165" spans="1:25" x14ac:dyDescent="0.2">
      <c r="A3165" s="93" t="s">
        <v>1704</v>
      </c>
      <c r="B3165" s="94">
        <f>IFERROR(VLOOKUP($A3165,HeadJournal!$A$1:$NTR$890,COLUMN(HeadJournal!B$1),0),"")</f>
        <v>0</v>
      </c>
      <c r="C3165" s="94" t="str">
        <f>IFERROR(VLOOKUP($A3165,HeadJournal!$A$1:$NTR$890,COLUMN(HeadJournal!C$1),0),"")</f>
        <v>OZON_OA</v>
      </c>
      <c r="D3165" s="125" t="str">
        <f>IFERROR(VLOOKUP($A3165,HeadJournal!$A$1:$NTR$890,COLUMN(HeadJournal!D$1),0),"")</f>
        <v>Доставлен</v>
      </c>
      <c r="E3165" s="95">
        <f>IFERROR(VLOOKUP($A3165,HeadJournal!$A$1:$NTR$890,COLUMN(HeadJournal!G$1),0),"")</f>
        <v>45365</v>
      </c>
      <c r="F3165" s="95" t="str">
        <f t="shared" si="252"/>
        <v>2024 03</v>
      </c>
      <c r="G3165" s="96" t="s">
        <v>5</v>
      </c>
      <c r="H3165" s="161" t="str">
        <f>RIGHT(Journal!$J3165,9)</f>
        <v>SOL-59204</v>
      </c>
      <c r="I3165" s="97" t="str">
        <f t="shared" si="249"/>
        <v>Solgar</v>
      </c>
      <c r="J3165" s="97" t="s">
        <v>1705</v>
      </c>
      <c r="K3165" s="29">
        <v>1236</v>
      </c>
      <c r="L3165" s="29">
        <v>0</v>
      </c>
      <c r="M3165" s="30">
        <f>IFERROR(VLOOKUP($A3165,HeadJournal!$A$1:$J$890,COLUMN(HeadJournal!I$1),0)*($K3165+$L3165)/(SUMIF($A:$A,$A3165,$K:$K)+SUMIF($A:$A,$A3165,$L:$L)),0)</f>
        <v>0</v>
      </c>
      <c r="N3165" s="30">
        <f>IFERROR((VLOOKUP($A3165,HeadJournal!$A$1:$K$890,COLUMN(HeadJournal!K$1),0)-VLOOKUP($A3165,HeadJournal!$A$1:$K$890,COLUMN(HeadJournal!J$1),0))*($K3165+$L3165)/(SUMIF($A:$A,$A3165,$K:$K)+SUMIF($A:$A,$A3165,$L:$L)),0)</f>
        <v>0</v>
      </c>
      <c r="O3165" s="30">
        <f>IFERROR((VLOOKUP($A3165,HeadJournal!$A$1:$L$890,COLUMN(HeadJournal!L$1),0)*($K3165+$L3165)/(SUMIF($A:$A,$A3165,$K:$K)+SUMIF($A:$A,$A3165,$L:$L)))/VLOOKUP($A3165,HeadJournal!$A$1:$L$890,COLUMN(HeadJournal!H$1),0),0)</f>
        <v>0</v>
      </c>
      <c r="P3165" s="30">
        <f>IFERROR(SUM(K3165:O3165)*VLOOKUP($A3165,HeadJournal!$A$1:$L$890,COLUMN(HeadJournal!H$1),0),0)</f>
        <v>1236</v>
      </c>
      <c r="Q3165" s="29">
        <v>1500</v>
      </c>
      <c r="R3165" s="31">
        <v>45377</v>
      </c>
      <c r="S3165" s="31" t="s">
        <v>3121</v>
      </c>
      <c r="T3165" s="95" t="str">
        <f t="shared" si="253"/>
        <v>2024 03</v>
      </c>
      <c r="U3165" s="32">
        <f t="shared" si="250"/>
        <v>264</v>
      </c>
      <c r="V3165" s="22">
        <f t="shared" si="251"/>
        <v>0.21359223300970873</v>
      </c>
      <c r="X3165" s="33"/>
      <c r="Y3165" s="33"/>
    </row>
    <row r="3166" spans="1:25" x14ac:dyDescent="0.2">
      <c r="A3166" s="93" t="s">
        <v>1706</v>
      </c>
      <c r="B3166" s="94">
        <f>IFERROR(VLOOKUP($A3166,HeadJournal!$A$1:$NTR$890,COLUMN(HeadJournal!B$1),0),"")</f>
        <v>0</v>
      </c>
      <c r="C3166" s="94" t="str">
        <f>IFERROR(VLOOKUP($A3166,HeadJournal!$A$1:$NTR$890,COLUMN(HeadJournal!C$1),0),"")</f>
        <v>OZON_OA</v>
      </c>
      <c r="D3166" s="125" t="str">
        <f>IFERROR(VLOOKUP($A3166,HeadJournal!$A$1:$NTR$890,COLUMN(HeadJournal!D$1),0),"")</f>
        <v>Доставлен</v>
      </c>
      <c r="E3166" s="95">
        <f>IFERROR(VLOOKUP($A3166,HeadJournal!$A$1:$NTR$890,COLUMN(HeadJournal!G$1),0),"")</f>
        <v>45368</v>
      </c>
      <c r="F3166" s="95" t="str">
        <f t="shared" si="252"/>
        <v>2024 03</v>
      </c>
      <c r="G3166" s="96" t="s">
        <v>7</v>
      </c>
      <c r="H3166" s="161" t="str">
        <f>RIGHT(Journal!$J3166,9)</f>
        <v>911242803</v>
      </c>
      <c r="I3166" s="97" t="str">
        <f t="shared" si="249"/>
        <v>LADOR</v>
      </c>
      <c r="J3166" s="97" t="s">
        <v>3607</v>
      </c>
      <c r="K3166" s="29">
        <v>659</v>
      </c>
      <c r="L3166" s="29">
        <v>0</v>
      </c>
      <c r="M3166" s="30">
        <f>IFERROR(VLOOKUP($A3166,HeadJournal!$A$1:$J$890,COLUMN(HeadJournal!I$1),0)*($K3166+$L3166)/(SUMIF($A:$A,$A3166,$K:$K)+SUMIF($A:$A,$A3166,$L:$L)),0)</f>
        <v>0</v>
      </c>
      <c r="N3166" s="30">
        <f>IFERROR((VLOOKUP($A3166,HeadJournal!$A$1:$K$890,COLUMN(HeadJournal!K$1),0)-VLOOKUP($A3166,HeadJournal!$A$1:$K$890,COLUMN(HeadJournal!J$1),0))*($K3166+$L3166)/(SUMIF($A:$A,$A3166,$K:$K)+SUMIF($A:$A,$A3166,$L:$L)),0)</f>
        <v>0</v>
      </c>
      <c r="O3166" s="30">
        <f>IFERROR((VLOOKUP($A3166,HeadJournal!$A$1:$L$890,COLUMN(HeadJournal!L$1),0)*($K3166+$L3166)/(SUMIF($A:$A,$A3166,$K:$K)+SUMIF($A:$A,$A3166,$L:$L)))/VLOOKUP($A3166,HeadJournal!$A$1:$L$890,COLUMN(HeadJournal!H$1),0),0)</f>
        <v>0</v>
      </c>
      <c r="P3166" s="30">
        <f>IFERROR(SUM(K3166:O3166)*VLOOKUP($A3166,HeadJournal!$A$1:$L$890,COLUMN(HeadJournal!H$1),0),0)</f>
        <v>659</v>
      </c>
      <c r="Q3166" s="29">
        <v>1000</v>
      </c>
      <c r="R3166" s="31">
        <v>45377</v>
      </c>
      <c r="S3166" s="31" t="s">
        <v>3121</v>
      </c>
      <c r="T3166" s="95" t="str">
        <f t="shared" si="253"/>
        <v>2024 03</v>
      </c>
      <c r="U3166" s="32">
        <f t="shared" si="250"/>
        <v>341</v>
      </c>
      <c r="V3166" s="22">
        <f t="shared" si="251"/>
        <v>0.51745068285280726</v>
      </c>
      <c r="X3166" s="33"/>
      <c r="Y3166" s="33"/>
    </row>
    <row r="3167" spans="1:25" x14ac:dyDescent="0.2">
      <c r="A3167" s="93" t="s">
        <v>1707</v>
      </c>
      <c r="B3167" s="94">
        <f>IFERROR(VLOOKUP($A3167,HeadJournal!$A$1:$NTR$890,COLUMN(HeadJournal!B$1),0),"")</f>
        <v>0</v>
      </c>
      <c r="C3167" s="94" t="str">
        <f>IFERROR(VLOOKUP($A3167,HeadJournal!$A$1:$NTR$890,COLUMN(HeadJournal!C$1),0),"")</f>
        <v>OZON_OA</v>
      </c>
      <c r="D3167" s="125" t="str">
        <f>IFERROR(VLOOKUP($A3167,HeadJournal!$A$1:$NTR$890,COLUMN(HeadJournal!D$1),0),"")</f>
        <v>Доставлен</v>
      </c>
      <c r="E3167" s="95">
        <f>IFERROR(VLOOKUP($A3167,HeadJournal!$A$1:$NTR$890,COLUMN(HeadJournal!G$1),0),"")</f>
        <v>45370</v>
      </c>
      <c r="F3167" s="95" t="str">
        <f t="shared" si="252"/>
        <v>2024 03</v>
      </c>
      <c r="G3167" s="96" t="s">
        <v>6</v>
      </c>
      <c r="H3167" s="161" t="str">
        <f>RIGHT(Journal!$J3167,9)</f>
        <v>176349145</v>
      </c>
      <c r="I3167" s="97" t="str">
        <f t="shared" si="249"/>
        <v>PRIMEKRAFT</v>
      </c>
      <c r="J3167" s="97" t="s">
        <v>3613</v>
      </c>
      <c r="K3167" s="29">
        <v>1607</v>
      </c>
      <c r="L3167" s="29">
        <v>0</v>
      </c>
      <c r="M3167" s="30">
        <f>IFERROR(VLOOKUP($A3167,HeadJournal!$A$1:$J$890,COLUMN(HeadJournal!I$1),0)*($K3167+$L3167)/(SUMIF($A:$A,$A3167,$K:$K)+SUMIF($A:$A,$A3167,$L:$L)),0)</f>
        <v>0</v>
      </c>
      <c r="N3167" s="30">
        <f>IFERROR((VLOOKUP($A3167,HeadJournal!$A$1:$K$890,COLUMN(HeadJournal!K$1),0)-VLOOKUP($A3167,HeadJournal!$A$1:$K$890,COLUMN(HeadJournal!J$1),0))*($K3167+$L3167)/(SUMIF($A:$A,$A3167,$K:$K)+SUMIF($A:$A,$A3167,$L:$L)),0)</f>
        <v>0</v>
      </c>
      <c r="O3167" s="30">
        <f>IFERROR((VLOOKUP($A3167,HeadJournal!$A$1:$L$890,COLUMN(HeadJournal!L$1),0)*($K3167+$L3167)/(SUMIF($A:$A,$A3167,$K:$K)+SUMIF($A:$A,$A3167,$L:$L)))/VLOOKUP($A3167,HeadJournal!$A$1:$L$890,COLUMN(HeadJournal!H$1),0),0)</f>
        <v>0</v>
      </c>
      <c r="P3167" s="30">
        <f>IFERROR(SUM(K3167:O3167)*VLOOKUP($A3167,HeadJournal!$A$1:$L$890,COLUMN(HeadJournal!H$1),0),0)</f>
        <v>1607</v>
      </c>
      <c r="Q3167" s="29">
        <v>2000</v>
      </c>
      <c r="R3167" s="31">
        <v>45375</v>
      </c>
      <c r="S3167" s="31" t="s">
        <v>3121</v>
      </c>
      <c r="T3167" s="95" t="str">
        <f t="shared" si="253"/>
        <v>2024 03</v>
      </c>
      <c r="U3167" s="32">
        <f t="shared" si="250"/>
        <v>393</v>
      </c>
      <c r="V3167" s="22">
        <f t="shared" si="251"/>
        <v>0.24455507156191661</v>
      </c>
      <c r="X3167" s="33"/>
      <c r="Y3167" s="33"/>
    </row>
    <row r="3168" spans="1:25" x14ac:dyDescent="0.2">
      <c r="A3168" s="93" t="s">
        <v>1707</v>
      </c>
      <c r="B3168" s="94">
        <f>IFERROR(VLOOKUP($A3168,HeadJournal!$A$1:$NTR$890,COLUMN(HeadJournal!B$1),0),"")</f>
        <v>0</v>
      </c>
      <c r="C3168" s="94" t="str">
        <f>IFERROR(VLOOKUP($A3168,HeadJournal!$A$1:$NTR$890,COLUMN(HeadJournal!C$1),0),"")</f>
        <v>OZON_OA</v>
      </c>
      <c r="D3168" s="125" t="str">
        <f>IFERROR(VLOOKUP($A3168,HeadJournal!$A$1:$NTR$890,COLUMN(HeadJournal!D$1),0),"")</f>
        <v>Доставлен</v>
      </c>
      <c r="E3168" s="95">
        <f>IFERROR(VLOOKUP($A3168,HeadJournal!$A$1:$NTR$890,COLUMN(HeadJournal!G$1),0),"")</f>
        <v>45370</v>
      </c>
      <c r="F3168" s="95" t="str">
        <f t="shared" si="252"/>
        <v>2024 03</v>
      </c>
      <c r="G3168" s="96" t="s">
        <v>6</v>
      </c>
      <c r="H3168" s="161" t="str">
        <f>RIGHT(Journal!$J3168,9)</f>
        <v>176349146</v>
      </c>
      <c r="I3168" s="97" t="str">
        <f t="shared" si="249"/>
        <v>PRIMEKRAFT</v>
      </c>
      <c r="J3168" s="97" t="s">
        <v>1708</v>
      </c>
      <c r="K3168" s="29">
        <v>1607</v>
      </c>
      <c r="L3168" s="29">
        <v>0</v>
      </c>
      <c r="M3168" s="30">
        <f>IFERROR(VLOOKUP($A3168,HeadJournal!$A$1:$J$890,COLUMN(HeadJournal!I$1),0)*($K3168+$L3168)/(SUMIF($A:$A,$A3168,$K:$K)+SUMIF($A:$A,$A3168,$L:$L)),0)</f>
        <v>0</v>
      </c>
      <c r="N3168" s="30">
        <f>IFERROR((VLOOKUP($A3168,HeadJournal!$A$1:$K$890,COLUMN(HeadJournal!K$1),0)-VLOOKUP($A3168,HeadJournal!$A$1:$K$890,COLUMN(HeadJournal!J$1),0))*($K3168+$L3168)/(SUMIF($A:$A,$A3168,$K:$K)+SUMIF($A:$A,$A3168,$L:$L)),0)</f>
        <v>0</v>
      </c>
      <c r="O3168" s="30">
        <f>IFERROR((VLOOKUP($A3168,HeadJournal!$A$1:$L$890,COLUMN(HeadJournal!L$1),0)*($K3168+$L3168)/(SUMIF($A:$A,$A3168,$K:$K)+SUMIF($A:$A,$A3168,$L:$L)))/VLOOKUP($A3168,HeadJournal!$A$1:$L$890,COLUMN(HeadJournal!H$1),0),0)</f>
        <v>0</v>
      </c>
      <c r="P3168" s="30">
        <f>IFERROR(SUM(K3168:O3168)*VLOOKUP($A3168,HeadJournal!$A$1:$L$890,COLUMN(HeadJournal!H$1),0),0)</f>
        <v>1607</v>
      </c>
      <c r="Q3168" s="29">
        <v>2000</v>
      </c>
      <c r="R3168" s="31">
        <v>45375</v>
      </c>
      <c r="S3168" s="31" t="s">
        <v>3121</v>
      </c>
      <c r="T3168" s="95" t="str">
        <f t="shared" si="253"/>
        <v>2024 03</v>
      </c>
      <c r="U3168" s="32">
        <f t="shared" si="250"/>
        <v>393</v>
      </c>
      <c r="V3168" s="22">
        <f t="shared" si="251"/>
        <v>0.24455507156191661</v>
      </c>
      <c r="X3168" s="33"/>
      <c r="Y3168" s="33"/>
    </row>
    <row r="3169" spans="1:25" x14ac:dyDescent="0.2">
      <c r="A3169" s="93" t="s">
        <v>1709</v>
      </c>
      <c r="B3169" s="94">
        <f>IFERROR(VLOOKUP($A3169,HeadJournal!$A$1:$NTR$890,COLUMN(HeadJournal!B$1),0),"")</f>
        <v>0</v>
      </c>
      <c r="C3169" s="94" t="str">
        <f>IFERROR(VLOOKUP($A3169,HeadJournal!$A$1:$NTR$890,COLUMN(HeadJournal!C$1),0),"")</f>
        <v>OZON_OA</v>
      </c>
      <c r="D3169" s="125" t="str">
        <f>IFERROR(VLOOKUP($A3169,HeadJournal!$A$1:$NTR$890,COLUMN(HeadJournal!D$1),0),"")</f>
        <v>Доставлен</v>
      </c>
      <c r="E3169" s="95">
        <f>IFERROR(VLOOKUP($A3169,HeadJournal!$A$1:$NTR$890,COLUMN(HeadJournal!G$1),0),"")</f>
        <v>45371</v>
      </c>
      <c r="F3169" s="95" t="str">
        <f t="shared" si="252"/>
        <v>2024 03</v>
      </c>
      <c r="G3169" s="96" t="s">
        <v>6</v>
      </c>
      <c r="H3169" s="161" t="str">
        <f>RIGHT(Journal!$J3169,9)</f>
        <v>OPN-05223</v>
      </c>
      <c r="I3169" s="97" t="str">
        <f t="shared" si="249"/>
        <v>Optimum Nutrition</v>
      </c>
      <c r="J3169" s="97" t="s">
        <v>836</v>
      </c>
      <c r="K3169" s="29">
        <v>2408</v>
      </c>
      <c r="L3169" s="29">
        <v>0</v>
      </c>
      <c r="M3169" s="30">
        <f>IFERROR(VLOOKUP($A3169,HeadJournal!$A$1:$J$890,COLUMN(HeadJournal!I$1),0)*($K3169+$L3169)/(SUMIF($A:$A,$A3169,$K:$K)+SUMIF($A:$A,$A3169,$L:$L)),0)</f>
        <v>0</v>
      </c>
      <c r="N3169" s="30">
        <f>IFERROR((VLOOKUP($A3169,HeadJournal!$A$1:$K$890,COLUMN(HeadJournal!K$1),0)-VLOOKUP($A3169,HeadJournal!$A$1:$K$890,COLUMN(HeadJournal!J$1),0))*($K3169+$L3169)/(SUMIF($A:$A,$A3169,$K:$K)+SUMIF($A:$A,$A3169,$L:$L)),0)</f>
        <v>0</v>
      </c>
      <c r="O3169" s="30">
        <f>IFERROR((VLOOKUP($A3169,HeadJournal!$A$1:$L$890,COLUMN(HeadJournal!L$1),0)*($K3169+$L3169)/(SUMIF($A:$A,$A3169,$K:$K)+SUMIF($A:$A,$A3169,$L:$L)))/VLOOKUP($A3169,HeadJournal!$A$1:$L$890,COLUMN(HeadJournal!H$1),0),0)</f>
        <v>0</v>
      </c>
      <c r="P3169" s="30">
        <f>IFERROR(SUM(K3169:O3169)*VLOOKUP($A3169,HeadJournal!$A$1:$L$890,COLUMN(HeadJournal!H$1),0),0)</f>
        <v>2408</v>
      </c>
      <c r="Q3169" s="29">
        <v>3900</v>
      </c>
      <c r="R3169" s="31">
        <v>45486</v>
      </c>
      <c r="S3169" s="31" t="s">
        <v>3121</v>
      </c>
      <c r="T3169" s="95" t="str">
        <f t="shared" si="253"/>
        <v>2024 07</v>
      </c>
      <c r="U3169" s="32">
        <f t="shared" si="250"/>
        <v>1492</v>
      </c>
      <c r="V3169" s="22">
        <f t="shared" si="251"/>
        <v>0.61960132890365449</v>
      </c>
      <c r="X3169" s="33"/>
      <c r="Y3169" s="33"/>
    </row>
    <row r="3170" spans="1:25" x14ac:dyDescent="0.2">
      <c r="A3170" s="93" t="s">
        <v>1709</v>
      </c>
      <c r="B3170" s="94">
        <f>IFERROR(VLOOKUP($A3170,HeadJournal!$A$1:$NTR$890,COLUMN(HeadJournal!B$1),0),"")</f>
        <v>0</v>
      </c>
      <c r="C3170" s="94" t="str">
        <f>IFERROR(VLOOKUP($A3170,HeadJournal!$A$1:$NTR$890,COLUMN(HeadJournal!C$1),0),"")</f>
        <v>OZON_OA</v>
      </c>
      <c r="D3170" s="125" t="str">
        <f>IFERROR(VLOOKUP($A3170,HeadJournal!$A$1:$NTR$890,COLUMN(HeadJournal!D$1),0),"")</f>
        <v>Доставлен</v>
      </c>
      <c r="E3170" s="95">
        <f>IFERROR(VLOOKUP($A3170,HeadJournal!$A$1:$NTR$890,COLUMN(HeadJournal!G$1),0),"")</f>
        <v>45371</v>
      </c>
      <c r="F3170" s="95" t="str">
        <f t="shared" si="252"/>
        <v>2024 03</v>
      </c>
      <c r="G3170" s="96" t="s">
        <v>6</v>
      </c>
      <c r="H3170" s="161" t="str">
        <f>RIGHT(Journal!$J3170,9)</f>
        <v>OPN-05223</v>
      </c>
      <c r="I3170" s="97" t="str">
        <f t="shared" si="249"/>
        <v>Optimum Nutrition</v>
      </c>
      <c r="J3170" s="97" t="s">
        <v>836</v>
      </c>
      <c r="K3170" s="29">
        <v>2408</v>
      </c>
      <c r="L3170" s="29">
        <v>0</v>
      </c>
      <c r="M3170" s="30">
        <f>IFERROR(VLOOKUP($A3170,HeadJournal!$A$1:$J$890,COLUMN(HeadJournal!I$1),0)*($K3170+$L3170)/(SUMIF($A:$A,$A3170,$K:$K)+SUMIF($A:$A,$A3170,$L:$L)),0)</f>
        <v>0</v>
      </c>
      <c r="N3170" s="30">
        <f>IFERROR((VLOOKUP($A3170,HeadJournal!$A$1:$K$890,COLUMN(HeadJournal!K$1),0)-VLOOKUP($A3170,HeadJournal!$A$1:$K$890,COLUMN(HeadJournal!J$1),0))*($K3170+$L3170)/(SUMIF($A:$A,$A3170,$K:$K)+SUMIF($A:$A,$A3170,$L:$L)),0)</f>
        <v>0</v>
      </c>
      <c r="O3170" s="30">
        <f>IFERROR((VLOOKUP($A3170,HeadJournal!$A$1:$L$890,COLUMN(HeadJournal!L$1),0)*($K3170+$L3170)/(SUMIF($A:$A,$A3170,$K:$K)+SUMIF($A:$A,$A3170,$L:$L)))/VLOOKUP($A3170,HeadJournal!$A$1:$L$890,COLUMN(HeadJournal!H$1),0),0)</f>
        <v>0</v>
      </c>
      <c r="P3170" s="30">
        <f>IFERROR(SUM(K3170:O3170)*VLOOKUP($A3170,HeadJournal!$A$1:$L$890,COLUMN(HeadJournal!H$1),0),0)</f>
        <v>2408</v>
      </c>
      <c r="Q3170" s="29"/>
      <c r="R3170" s="31"/>
      <c r="S3170" s="31"/>
      <c r="T3170" s="95" t="str">
        <f t="shared" si="253"/>
        <v/>
      </c>
      <c r="U3170" s="32">
        <f t="shared" si="250"/>
        <v>-2408</v>
      </c>
      <c r="V3170" s="22" t="str">
        <f t="shared" si="251"/>
        <v/>
      </c>
      <c r="X3170" s="33"/>
      <c r="Y3170" s="33"/>
    </row>
    <row r="3171" spans="1:25" x14ac:dyDescent="0.2">
      <c r="A3171" s="93" t="s">
        <v>1710</v>
      </c>
      <c r="B3171" s="94">
        <f>IFERROR(VLOOKUP($A3171,HeadJournal!$A$1:$NTR$890,COLUMN(HeadJournal!B$1),0),"")</f>
        <v>0</v>
      </c>
      <c r="C3171" s="94" t="str">
        <f>IFERROR(VLOOKUP($A3171,HeadJournal!$A$1:$NTR$890,COLUMN(HeadJournal!C$1),0),"")</f>
        <v>ЛЭТУАЛЬ</v>
      </c>
      <c r="D3171" s="125" t="str">
        <f>IFERROR(VLOOKUP($A3171,HeadJournal!$A$1:$NTR$890,COLUMN(HeadJournal!D$1),0),"")</f>
        <v>Доставлен</v>
      </c>
      <c r="E3171" s="95">
        <f>IFERROR(VLOOKUP($A3171,HeadJournal!$A$1:$NTR$890,COLUMN(HeadJournal!G$1),0),"")</f>
        <v>45376</v>
      </c>
      <c r="F3171" s="95" t="str">
        <f t="shared" si="252"/>
        <v>2024 03</v>
      </c>
      <c r="G3171" s="96" t="s">
        <v>7</v>
      </c>
      <c r="H3171" s="161" t="str">
        <f>RIGHT(Journal!$J3171,9)</f>
        <v>ECD087944</v>
      </c>
      <c r="I3171" s="97" t="str">
        <f t="shared" si="249"/>
        <v>ECODERMA</v>
      </c>
      <c r="J3171" s="97" t="s">
        <v>1712</v>
      </c>
      <c r="K3171" s="29">
        <v>1139.6000000000001</v>
      </c>
      <c r="L3171" s="29">
        <v>0</v>
      </c>
      <c r="M3171" s="30">
        <f>IFERROR(VLOOKUP($A3171,HeadJournal!$A$1:$J$890,COLUMN(HeadJournal!I$1),0)*($K3171+$L3171)/(SUMIF($A:$A,$A3171,$K:$K)+SUMIF($A:$A,$A3171,$L:$L)),0)</f>
        <v>0</v>
      </c>
      <c r="N3171" s="30">
        <f>IFERROR((VLOOKUP($A3171,HeadJournal!$A$1:$K$890,COLUMN(HeadJournal!K$1),0)-VLOOKUP($A3171,HeadJournal!$A$1:$K$890,COLUMN(HeadJournal!J$1),0))*($K3171+$L3171)/(SUMIF($A:$A,$A3171,$K:$K)+SUMIF($A:$A,$A3171,$L:$L)),0)</f>
        <v>0</v>
      </c>
      <c r="O3171" s="30">
        <f>IFERROR((VLOOKUP($A3171,HeadJournal!$A$1:$L$890,COLUMN(HeadJournal!L$1),0)*($K3171+$L3171)/(SUMIF($A:$A,$A3171,$K:$K)+SUMIF($A:$A,$A3171,$L:$L)))/VLOOKUP($A3171,HeadJournal!$A$1:$L$890,COLUMN(HeadJournal!H$1),0),0)</f>
        <v>0</v>
      </c>
      <c r="P3171" s="30">
        <f>IFERROR(SUM(K3171:O3171)*VLOOKUP($A3171,HeadJournal!$A$1:$L$890,COLUMN(HeadJournal!H$1),0),0)</f>
        <v>1139.6000000000001</v>
      </c>
      <c r="Q3171" s="29"/>
      <c r="R3171" s="31"/>
      <c r="S3171" s="31"/>
      <c r="T3171" s="95" t="str">
        <f t="shared" si="253"/>
        <v/>
      </c>
      <c r="U3171" s="32">
        <f t="shared" si="250"/>
        <v>-1139.6000000000001</v>
      </c>
      <c r="V3171" s="22" t="str">
        <f t="shared" si="251"/>
        <v/>
      </c>
      <c r="X3171" s="33"/>
      <c r="Y3171" s="33"/>
    </row>
    <row r="3172" spans="1:25" x14ac:dyDescent="0.2">
      <c r="A3172" s="93" t="s">
        <v>1710</v>
      </c>
      <c r="B3172" s="94">
        <f>IFERROR(VLOOKUP($A3172,HeadJournal!$A$1:$NTR$890,COLUMN(HeadJournal!B$1),0),"")</f>
        <v>0</v>
      </c>
      <c r="C3172" s="94" t="str">
        <f>IFERROR(VLOOKUP($A3172,HeadJournal!$A$1:$NTR$890,COLUMN(HeadJournal!C$1),0),"")</f>
        <v>ЛЭТУАЛЬ</v>
      </c>
      <c r="D3172" s="125" t="str">
        <f>IFERROR(VLOOKUP($A3172,HeadJournal!$A$1:$NTR$890,COLUMN(HeadJournal!D$1),0),"")</f>
        <v>Доставлен</v>
      </c>
      <c r="E3172" s="95">
        <f>IFERROR(VLOOKUP($A3172,HeadJournal!$A$1:$NTR$890,COLUMN(HeadJournal!G$1),0),"")</f>
        <v>45376</v>
      </c>
      <c r="F3172" s="95" t="str">
        <f t="shared" si="252"/>
        <v>2024 03</v>
      </c>
      <c r="G3172" s="96" t="s">
        <v>7</v>
      </c>
      <c r="H3172" s="161" t="str">
        <f>RIGHT(Journal!$J3172,9)</f>
        <v>LPO555557</v>
      </c>
      <c r="I3172" s="97" t="str">
        <f t="shared" si="249"/>
        <v>LE PETIT OLIVIER</v>
      </c>
      <c r="J3172" s="97" t="s">
        <v>1713</v>
      </c>
      <c r="K3172" s="29">
        <v>327.60000000000002</v>
      </c>
      <c r="L3172" s="29">
        <v>0</v>
      </c>
      <c r="M3172" s="30">
        <f>IFERROR(VLOOKUP($A3172,HeadJournal!$A$1:$J$890,COLUMN(HeadJournal!I$1),0)*($K3172+$L3172)/(SUMIF($A:$A,$A3172,$K:$K)+SUMIF($A:$A,$A3172,$L:$L)),0)</f>
        <v>0</v>
      </c>
      <c r="N3172" s="30">
        <f>IFERROR((VLOOKUP($A3172,HeadJournal!$A$1:$K$890,COLUMN(HeadJournal!K$1),0)-VLOOKUP($A3172,HeadJournal!$A$1:$K$890,COLUMN(HeadJournal!J$1),0))*($K3172+$L3172)/(SUMIF($A:$A,$A3172,$K:$K)+SUMIF($A:$A,$A3172,$L:$L)),0)</f>
        <v>0</v>
      </c>
      <c r="O3172" s="30">
        <f>IFERROR((VLOOKUP($A3172,HeadJournal!$A$1:$L$890,COLUMN(HeadJournal!L$1),0)*($K3172+$L3172)/(SUMIF($A:$A,$A3172,$K:$K)+SUMIF($A:$A,$A3172,$L:$L)))/VLOOKUP($A3172,HeadJournal!$A$1:$L$890,COLUMN(HeadJournal!H$1),0),0)</f>
        <v>0</v>
      </c>
      <c r="P3172" s="30">
        <f>IFERROR(SUM(K3172:O3172)*VLOOKUP($A3172,HeadJournal!$A$1:$L$890,COLUMN(HeadJournal!H$1),0),0)</f>
        <v>327.60000000000002</v>
      </c>
      <c r="Q3172" s="29"/>
      <c r="R3172" s="31"/>
      <c r="S3172" s="31"/>
      <c r="T3172" s="95" t="str">
        <f t="shared" si="253"/>
        <v/>
      </c>
      <c r="U3172" s="32">
        <f t="shared" si="250"/>
        <v>-327.60000000000002</v>
      </c>
      <c r="V3172" s="22" t="str">
        <f t="shared" si="251"/>
        <v/>
      </c>
      <c r="X3172" s="33"/>
      <c r="Y3172" s="33"/>
    </row>
    <row r="3173" spans="1:25" x14ac:dyDescent="0.2">
      <c r="A3173" s="93" t="s">
        <v>1710</v>
      </c>
      <c r="B3173" s="94">
        <f>IFERROR(VLOOKUP($A3173,HeadJournal!$A$1:$NTR$890,COLUMN(HeadJournal!B$1),0),"")</f>
        <v>0</v>
      </c>
      <c r="C3173" s="94" t="str">
        <f>IFERROR(VLOOKUP($A3173,HeadJournal!$A$1:$NTR$890,COLUMN(HeadJournal!C$1),0),"")</f>
        <v>ЛЭТУАЛЬ</v>
      </c>
      <c r="D3173" s="125" t="str">
        <f>IFERROR(VLOOKUP($A3173,HeadJournal!$A$1:$NTR$890,COLUMN(HeadJournal!D$1),0),"")</f>
        <v>Доставлен</v>
      </c>
      <c r="E3173" s="95">
        <f>IFERROR(VLOOKUP($A3173,HeadJournal!$A$1:$NTR$890,COLUMN(HeadJournal!G$1),0),"")</f>
        <v>45376</v>
      </c>
      <c r="F3173" s="95" t="str">
        <f t="shared" si="252"/>
        <v>2024 03</v>
      </c>
      <c r="G3173" s="96" t="s">
        <v>7</v>
      </c>
      <c r="H3173" s="161" t="str">
        <f>RIGHT(Journal!$J3173,9)</f>
        <v>CLOR50159</v>
      </c>
      <c r="I3173" s="97" t="str">
        <f t="shared" si="249"/>
        <v>LOREN COSMETIC</v>
      </c>
      <c r="J3173" s="97" t="s">
        <v>1714</v>
      </c>
      <c r="K3173" s="29">
        <v>115.60000000000001</v>
      </c>
      <c r="L3173" s="29">
        <v>0</v>
      </c>
      <c r="M3173" s="30">
        <f>IFERROR(VLOOKUP($A3173,HeadJournal!$A$1:$J$890,COLUMN(HeadJournal!I$1),0)*($K3173+$L3173)/(SUMIF($A:$A,$A3173,$K:$K)+SUMIF($A:$A,$A3173,$L:$L)),0)</f>
        <v>0</v>
      </c>
      <c r="N3173" s="30">
        <f>IFERROR((VLOOKUP($A3173,HeadJournal!$A$1:$K$890,COLUMN(HeadJournal!K$1),0)-VLOOKUP($A3173,HeadJournal!$A$1:$K$890,COLUMN(HeadJournal!J$1),0))*($K3173+$L3173)/(SUMIF($A:$A,$A3173,$K:$K)+SUMIF($A:$A,$A3173,$L:$L)),0)</f>
        <v>0</v>
      </c>
      <c r="O3173" s="30">
        <f>IFERROR((VLOOKUP($A3173,HeadJournal!$A$1:$L$890,COLUMN(HeadJournal!L$1),0)*($K3173+$L3173)/(SUMIF($A:$A,$A3173,$K:$K)+SUMIF($A:$A,$A3173,$L:$L)))/VLOOKUP($A3173,HeadJournal!$A$1:$L$890,COLUMN(HeadJournal!H$1),0),0)</f>
        <v>0</v>
      </c>
      <c r="P3173" s="30">
        <f>IFERROR(SUM(K3173:O3173)*VLOOKUP($A3173,HeadJournal!$A$1:$L$890,COLUMN(HeadJournal!H$1),0),0)</f>
        <v>115.60000000000001</v>
      </c>
      <c r="Q3173" s="29"/>
      <c r="R3173" s="31"/>
      <c r="S3173" s="31"/>
      <c r="T3173" s="95" t="str">
        <f t="shared" si="253"/>
        <v/>
      </c>
      <c r="U3173" s="32">
        <f t="shared" si="250"/>
        <v>-115.60000000000001</v>
      </c>
      <c r="V3173" s="22" t="str">
        <f t="shared" si="251"/>
        <v/>
      </c>
      <c r="X3173" s="33"/>
      <c r="Y3173" s="33"/>
    </row>
    <row r="3174" spans="1:25" x14ac:dyDescent="0.2">
      <c r="A3174" s="93" t="s">
        <v>1710</v>
      </c>
      <c r="B3174" s="94">
        <f>IFERROR(VLOOKUP($A3174,HeadJournal!$A$1:$NTR$890,COLUMN(HeadJournal!B$1),0),"")</f>
        <v>0</v>
      </c>
      <c r="C3174" s="94" t="str">
        <f>IFERROR(VLOOKUP($A3174,HeadJournal!$A$1:$NTR$890,COLUMN(HeadJournal!C$1),0),"")</f>
        <v>ЛЭТУАЛЬ</v>
      </c>
      <c r="D3174" s="125" t="str">
        <f>IFERROR(VLOOKUP($A3174,HeadJournal!$A$1:$NTR$890,COLUMN(HeadJournal!D$1),0),"")</f>
        <v>Доставлен</v>
      </c>
      <c r="E3174" s="95">
        <f>IFERROR(VLOOKUP($A3174,HeadJournal!$A$1:$NTR$890,COLUMN(HeadJournal!G$1),0),"")</f>
        <v>45376</v>
      </c>
      <c r="F3174" s="95" t="str">
        <f t="shared" si="252"/>
        <v>2024 03</v>
      </c>
      <c r="G3174" s="96" t="s">
        <v>7</v>
      </c>
      <c r="H3174" s="161" t="str">
        <f>RIGHT(Journal!$J3174,9)</f>
        <v>LPO555567</v>
      </c>
      <c r="I3174" s="97" t="str">
        <f t="shared" si="249"/>
        <v>LE PETIT OLIVIER</v>
      </c>
      <c r="J3174" s="97" t="s">
        <v>1715</v>
      </c>
      <c r="K3174" s="29">
        <v>499.6</v>
      </c>
      <c r="L3174" s="29">
        <v>0</v>
      </c>
      <c r="M3174" s="30">
        <f>IFERROR(VLOOKUP($A3174,HeadJournal!$A$1:$J$890,COLUMN(HeadJournal!I$1),0)*($K3174+$L3174)/(SUMIF($A:$A,$A3174,$K:$K)+SUMIF($A:$A,$A3174,$L:$L)),0)</f>
        <v>0</v>
      </c>
      <c r="N3174" s="30">
        <f>IFERROR((VLOOKUP($A3174,HeadJournal!$A$1:$K$890,COLUMN(HeadJournal!K$1),0)-VLOOKUP($A3174,HeadJournal!$A$1:$K$890,COLUMN(HeadJournal!J$1),0))*($K3174+$L3174)/(SUMIF($A:$A,$A3174,$K:$K)+SUMIF($A:$A,$A3174,$L:$L)),0)</f>
        <v>0</v>
      </c>
      <c r="O3174" s="30">
        <f>IFERROR((VLOOKUP($A3174,HeadJournal!$A$1:$L$890,COLUMN(HeadJournal!L$1),0)*($K3174+$L3174)/(SUMIF($A:$A,$A3174,$K:$K)+SUMIF($A:$A,$A3174,$L:$L)))/VLOOKUP($A3174,HeadJournal!$A$1:$L$890,COLUMN(HeadJournal!H$1),0),0)</f>
        <v>0</v>
      </c>
      <c r="P3174" s="30">
        <f>IFERROR(SUM(K3174:O3174)*VLOOKUP($A3174,HeadJournal!$A$1:$L$890,COLUMN(HeadJournal!H$1),0),0)</f>
        <v>499.6</v>
      </c>
      <c r="Q3174" s="29"/>
      <c r="R3174" s="31"/>
      <c r="S3174" s="31"/>
      <c r="T3174" s="95" t="str">
        <f t="shared" si="253"/>
        <v/>
      </c>
      <c r="U3174" s="32">
        <f t="shared" si="250"/>
        <v>-499.6</v>
      </c>
      <c r="V3174" s="22" t="str">
        <f t="shared" si="251"/>
        <v/>
      </c>
      <c r="X3174" s="33"/>
      <c r="Y3174" s="33"/>
    </row>
    <row r="3175" spans="1:25" x14ac:dyDescent="0.2">
      <c r="A3175" s="93" t="s">
        <v>1710</v>
      </c>
      <c r="B3175" s="94">
        <f>IFERROR(VLOOKUP($A3175,HeadJournal!$A$1:$NTR$890,COLUMN(HeadJournal!B$1),0),"")</f>
        <v>0</v>
      </c>
      <c r="C3175" s="94" t="str">
        <f>IFERROR(VLOOKUP($A3175,HeadJournal!$A$1:$NTR$890,COLUMN(HeadJournal!C$1),0),"")</f>
        <v>ЛЭТУАЛЬ</v>
      </c>
      <c r="D3175" s="125" t="str">
        <f>IFERROR(VLOOKUP($A3175,HeadJournal!$A$1:$NTR$890,COLUMN(HeadJournal!D$1),0),"")</f>
        <v>Доставлен</v>
      </c>
      <c r="E3175" s="95">
        <f>IFERROR(VLOOKUP($A3175,HeadJournal!$A$1:$NTR$890,COLUMN(HeadJournal!G$1),0),"")</f>
        <v>45376</v>
      </c>
      <c r="F3175" s="95" t="str">
        <f t="shared" si="252"/>
        <v>2024 03</v>
      </c>
      <c r="G3175" s="96" t="s">
        <v>7</v>
      </c>
      <c r="H3175" s="161" t="str">
        <f>RIGHT(Journal!$J3175,9)</f>
        <v>LPO373290</v>
      </c>
      <c r="I3175" s="97" t="str">
        <f t="shared" si="249"/>
        <v>LE PETIT OLIVIER</v>
      </c>
      <c r="J3175" s="97" t="s">
        <v>1716</v>
      </c>
      <c r="K3175" s="29">
        <v>315.60000000000002</v>
      </c>
      <c r="L3175" s="29">
        <v>0</v>
      </c>
      <c r="M3175" s="30">
        <f>IFERROR(VLOOKUP($A3175,HeadJournal!$A$1:$J$890,COLUMN(HeadJournal!I$1),0)*($K3175+$L3175)/(SUMIF($A:$A,$A3175,$K:$K)+SUMIF($A:$A,$A3175,$L:$L)),0)</f>
        <v>0</v>
      </c>
      <c r="N3175" s="30">
        <f>IFERROR((VLOOKUP($A3175,HeadJournal!$A$1:$K$890,COLUMN(HeadJournal!K$1),0)-VLOOKUP($A3175,HeadJournal!$A$1:$K$890,COLUMN(HeadJournal!J$1),0))*($K3175+$L3175)/(SUMIF($A:$A,$A3175,$K:$K)+SUMIF($A:$A,$A3175,$L:$L)),0)</f>
        <v>0</v>
      </c>
      <c r="O3175" s="30">
        <f>IFERROR((VLOOKUP($A3175,HeadJournal!$A$1:$L$890,COLUMN(HeadJournal!L$1),0)*($K3175+$L3175)/(SUMIF($A:$A,$A3175,$K:$K)+SUMIF($A:$A,$A3175,$L:$L)))/VLOOKUP($A3175,HeadJournal!$A$1:$L$890,COLUMN(HeadJournal!H$1),0),0)</f>
        <v>0</v>
      </c>
      <c r="P3175" s="30">
        <f>IFERROR(SUM(K3175:O3175)*VLOOKUP($A3175,HeadJournal!$A$1:$L$890,COLUMN(HeadJournal!H$1),0),0)</f>
        <v>315.60000000000002</v>
      </c>
      <c r="Q3175" s="29"/>
      <c r="R3175" s="31"/>
      <c r="S3175" s="31"/>
      <c r="T3175" s="95" t="str">
        <f t="shared" si="253"/>
        <v/>
      </c>
      <c r="U3175" s="32">
        <f t="shared" si="250"/>
        <v>-315.60000000000002</v>
      </c>
      <c r="V3175" s="22" t="str">
        <f t="shared" si="251"/>
        <v/>
      </c>
      <c r="X3175" s="33"/>
      <c r="Y3175" s="33"/>
    </row>
    <row r="3176" spans="1:25" x14ac:dyDescent="0.2">
      <c r="A3176" s="93" t="s">
        <v>1710</v>
      </c>
      <c r="B3176" s="94">
        <f>IFERROR(VLOOKUP($A3176,HeadJournal!$A$1:$NTR$890,COLUMN(HeadJournal!B$1),0),"")</f>
        <v>0</v>
      </c>
      <c r="C3176" s="94" t="str">
        <f>IFERROR(VLOOKUP($A3176,HeadJournal!$A$1:$NTR$890,COLUMN(HeadJournal!C$1),0),"")</f>
        <v>ЛЭТУАЛЬ</v>
      </c>
      <c r="D3176" s="125" t="str">
        <f>IFERROR(VLOOKUP($A3176,HeadJournal!$A$1:$NTR$890,COLUMN(HeadJournal!D$1),0),"")</f>
        <v>Доставлен</v>
      </c>
      <c r="E3176" s="95">
        <f>IFERROR(VLOOKUP($A3176,HeadJournal!$A$1:$NTR$890,COLUMN(HeadJournal!G$1),0),"")</f>
        <v>45376</v>
      </c>
      <c r="F3176" s="95" t="str">
        <f t="shared" si="252"/>
        <v>2024 03</v>
      </c>
      <c r="G3176" s="96" t="s">
        <v>7</v>
      </c>
      <c r="H3176" s="161" t="str">
        <f>RIGHT(Journal!$J3176,9)</f>
        <v>LPO373319</v>
      </c>
      <c r="I3176" s="97" t="str">
        <f t="shared" si="249"/>
        <v>LE PETIT OLIVIER</v>
      </c>
      <c r="J3176" s="97" t="s">
        <v>1717</v>
      </c>
      <c r="K3176" s="29">
        <v>499.6</v>
      </c>
      <c r="L3176" s="29">
        <v>0</v>
      </c>
      <c r="M3176" s="30">
        <f>IFERROR(VLOOKUP($A3176,HeadJournal!$A$1:$J$890,COLUMN(HeadJournal!I$1),0)*($K3176+$L3176)/(SUMIF($A:$A,$A3176,$K:$K)+SUMIF($A:$A,$A3176,$L:$L)),0)</f>
        <v>0</v>
      </c>
      <c r="N3176" s="30">
        <f>IFERROR((VLOOKUP($A3176,HeadJournal!$A$1:$K$890,COLUMN(HeadJournal!K$1),0)-VLOOKUP($A3176,HeadJournal!$A$1:$K$890,COLUMN(HeadJournal!J$1),0))*($K3176+$L3176)/(SUMIF($A:$A,$A3176,$K:$K)+SUMIF($A:$A,$A3176,$L:$L)),0)</f>
        <v>0</v>
      </c>
      <c r="O3176" s="30">
        <f>IFERROR((VLOOKUP($A3176,HeadJournal!$A$1:$L$890,COLUMN(HeadJournal!L$1),0)*($K3176+$L3176)/(SUMIF($A:$A,$A3176,$K:$K)+SUMIF($A:$A,$A3176,$L:$L)))/VLOOKUP($A3176,HeadJournal!$A$1:$L$890,COLUMN(HeadJournal!H$1),0),0)</f>
        <v>0</v>
      </c>
      <c r="P3176" s="30">
        <f>IFERROR(SUM(K3176:O3176)*VLOOKUP($A3176,HeadJournal!$A$1:$L$890,COLUMN(HeadJournal!H$1),0),0)</f>
        <v>499.6</v>
      </c>
      <c r="Q3176" s="29"/>
      <c r="R3176" s="31"/>
      <c r="S3176" s="31"/>
      <c r="T3176" s="95" t="str">
        <f t="shared" si="253"/>
        <v/>
      </c>
      <c r="U3176" s="32">
        <f t="shared" si="250"/>
        <v>-499.6</v>
      </c>
      <c r="V3176" s="22" t="str">
        <f t="shared" si="251"/>
        <v/>
      </c>
      <c r="X3176" s="33"/>
      <c r="Y3176" s="33"/>
    </row>
    <row r="3177" spans="1:25" x14ac:dyDescent="0.2">
      <c r="A3177" s="93" t="s">
        <v>1710</v>
      </c>
      <c r="B3177" s="94">
        <f>IFERROR(VLOOKUP($A3177,HeadJournal!$A$1:$NTR$890,COLUMN(HeadJournal!B$1),0),"")</f>
        <v>0</v>
      </c>
      <c r="C3177" s="94" t="str">
        <f>IFERROR(VLOOKUP($A3177,HeadJournal!$A$1:$NTR$890,COLUMN(HeadJournal!C$1),0),"")</f>
        <v>ЛЭТУАЛЬ</v>
      </c>
      <c r="D3177" s="125" t="str">
        <f>IFERROR(VLOOKUP($A3177,HeadJournal!$A$1:$NTR$890,COLUMN(HeadJournal!D$1),0),"")</f>
        <v>Доставлен</v>
      </c>
      <c r="E3177" s="95">
        <f>IFERROR(VLOOKUP($A3177,HeadJournal!$A$1:$NTR$890,COLUMN(HeadJournal!G$1),0),"")</f>
        <v>45376</v>
      </c>
      <c r="F3177" s="95" t="str">
        <f t="shared" si="252"/>
        <v>2024 03</v>
      </c>
      <c r="G3177" s="96" t="s">
        <v>7</v>
      </c>
      <c r="H3177" s="161" t="str">
        <f>RIGHT(Journal!$J3177,9)</f>
        <v>LPO115173</v>
      </c>
      <c r="I3177" s="97" t="str">
        <f t="shared" si="249"/>
        <v>LE PETIT OLIVIER</v>
      </c>
      <c r="J3177" s="97" t="s">
        <v>3599</v>
      </c>
      <c r="K3177" s="29">
        <v>439.6</v>
      </c>
      <c r="L3177" s="29">
        <v>0</v>
      </c>
      <c r="M3177" s="30">
        <f>IFERROR(VLOOKUP($A3177,HeadJournal!$A$1:$J$890,COLUMN(HeadJournal!I$1),0)*($K3177+$L3177)/(SUMIF($A:$A,$A3177,$K:$K)+SUMIF($A:$A,$A3177,$L:$L)),0)</f>
        <v>0</v>
      </c>
      <c r="N3177" s="30">
        <f>IFERROR((VLOOKUP($A3177,HeadJournal!$A$1:$K$890,COLUMN(HeadJournal!K$1),0)-VLOOKUP($A3177,HeadJournal!$A$1:$K$890,COLUMN(HeadJournal!J$1),0))*($K3177+$L3177)/(SUMIF($A:$A,$A3177,$K:$K)+SUMIF($A:$A,$A3177,$L:$L)),0)</f>
        <v>0</v>
      </c>
      <c r="O3177" s="30">
        <f>IFERROR((VLOOKUP($A3177,HeadJournal!$A$1:$L$890,COLUMN(HeadJournal!L$1),0)*($K3177+$L3177)/(SUMIF($A:$A,$A3177,$K:$K)+SUMIF($A:$A,$A3177,$L:$L)))/VLOOKUP($A3177,HeadJournal!$A$1:$L$890,COLUMN(HeadJournal!H$1),0),0)</f>
        <v>0</v>
      </c>
      <c r="P3177" s="30">
        <f>IFERROR(SUM(K3177:O3177)*VLOOKUP($A3177,HeadJournal!$A$1:$L$890,COLUMN(HeadJournal!H$1),0),0)</f>
        <v>439.6</v>
      </c>
      <c r="Q3177" s="29"/>
      <c r="R3177" s="31"/>
      <c r="S3177" s="31"/>
      <c r="T3177" s="95" t="str">
        <f t="shared" si="253"/>
        <v/>
      </c>
      <c r="U3177" s="32">
        <f t="shared" si="250"/>
        <v>-439.6</v>
      </c>
      <c r="V3177" s="22" t="str">
        <f t="shared" si="251"/>
        <v/>
      </c>
      <c r="X3177" s="33"/>
      <c r="Y3177" s="33"/>
    </row>
    <row r="3178" spans="1:25" x14ac:dyDescent="0.2">
      <c r="A3178" s="93" t="s">
        <v>1710</v>
      </c>
      <c r="B3178" s="94">
        <f>IFERROR(VLOOKUP($A3178,HeadJournal!$A$1:$NTR$890,COLUMN(HeadJournal!B$1),0),"")</f>
        <v>0</v>
      </c>
      <c r="C3178" s="94" t="str">
        <f>IFERROR(VLOOKUP($A3178,HeadJournal!$A$1:$NTR$890,COLUMN(HeadJournal!C$1),0),"")</f>
        <v>ЛЭТУАЛЬ</v>
      </c>
      <c r="D3178" s="125" t="str">
        <f>IFERROR(VLOOKUP($A3178,HeadJournal!$A$1:$NTR$890,COLUMN(HeadJournal!D$1),0),"")</f>
        <v>Доставлен</v>
      </c>
      <c r="E3178" s="95">
        <f>IFERROR(VLOOKUP($A3178,HeadJournal!$A$1:$NTR$890,COLUMN(HeadJournal!G$1),0),"")</f>
        <v>45376</v>
      </c>
      <c r="F3178" s="95" t="str">
        <f t="shared" si="252"/>
        <v>2024 03</v>
      </c>
      <c r="G3178" s="96" t="s">
        <v>7</v>
      </c>
      <c r="H3178" s="161" t="str">
        <f>RIGHT(Journal!$J3178,9)</f>
        <v>CLOR50111</v>
      </c>
      <c r="I3178" s="97" t="str">
        <f t="shared" si="249"/>
        <v>LOREN COSMETIC</v>
      </c>
      <c r="J3178" s="97" t="s">
        <v>1718</v>
      </c>
      <c r="K3178" s="29">
        <v>115.60000000000001</v>
      </c>
      <c r="L3178" s="29">
        <v>0</v>
      </c>
      <c r="M3178" s="30">
        <f>IFERROR(VLOOKUP($A3178,HeadJournal!$A$1:$J$890,COLUMN(HeadJournal!I$1),0)*($K3178+$L3178)/(SUMIF($A:$A,$A3178,$K:$K)+SUMIF($A:$A,$A3178,$L:$L)),0)</f>
        <v>0</v>
      </c>
      <c r="N3178" s="30">
        <f>IFERROR((VLOOKUP($A3178,HeadJournal!$A$1:$K$890,COLUMN(HeadJournal!K$1),0)-VLOOKUP($A3178,HeadJournal!$A$1:$K$890,COLUMN(HeadJournal!J$1),0))*($K3178+$L3178)/(SUMIF($A:$A,$A3178,$K:$K)+SUMIF($A:$A,$A3178,$L:$L)),0)</f>
        <v>0</v>
      </c>
      <c r="O3178" s="30">
        <f>IFERROR((VLOOKUP($A3178,HeadJournal!$A$1:$L$890,COLUMN(HeadJournal!L$1),0)*($K3178+$L3178)/(SUMIF($A:$A,$A3178,$K:$K)+SUMIF($A:$A,$A3178,$L:$L)))/VLOOKUP($A3178,HeadJournal!$A$1:$L$890,COLUMN(HeadJournal!H$1),0),0)</f>
        <v>0</v>
      </c>
      <c r="P3178" s="30">
        <f>IFERROR(SUM(K3178:O3178)*VLOOKUP($A3178,HeadJournal!$A$1:$L$890,COLUMN(HeadJournal!H$1),0),0)</f>
        <v>115.60000000000001</v>
      </c>
      <c r="Q3178" s="29"/>
      <c r="R3178" s="31"/>
      <c r="S3178" s="31"/>
      <c r="T3178" s="95" t="str">
        <f t="shared" si="253"/>
        <v/>
      </c>
      <c r="U3178" s="32">
        <f t="shared" si="250"/>
        <v>-115.60000000000001</v>
      </c>
      <c r="V3178" s="22" t="str">
        <f t="shared" si="251"/>
        <v/>
      </c>
      <c r="X3178" s="33"/>
      <c r="Y3178" s="33"/>
    </row>
    <row r="3179" spans="1:25" x14ac:dyDescent="0.2">
      <c r="A3179" s="93" t="s">
        <v>1710</v>
      </c>
      <c r="B3179" s="94">
        <f>IFERROR(VLOOKUP($A3179,HeadJournal!$A$1:$NTR$890,COLUMN(HeadJournal!B$1),0),"")</f>
        <v>0</v>
      </c>
      <c r="C3179" s="94" t="str">
        <f>IFERROR(VLOOKUP($A3179,HeadJournal!$A$1:$NTR$890,COLUMN(HeadJournal!C$1),0),"")</f>
        <v>ЛЭТУАЛЬ</v>
      </c>
      <c r="D3179" s="125" t="str">
        <f>IFERROR(VLOOKUP($A3179,HeadJournal!$A$1:$NTR$890,COLUMN(HeadJournal!D$1),0),"")</f>
        <v>Доставлен</v>
      </c>
      <c r="E3179" s="95">
        <f>IFERROR(VLOOKUP($A3179,HeadJournal!$A$1:$NTR$890,COLUMN(HeadJournal!G$1),0),"")</f>
        <v>45376</v>
      </c>
      <c r="F3179" s="95" t="str">
        <f t="shared" si="252"/>
        <v>2024 03</v>
      </c>
      <c r="G3179" s="96" t="s">
        <v>7</v>
      </c>
      <c r="H3179" s="161" t="str">
        <f>RIGHT(Journal!$J3179,9)</f>
        <v>LPO555570</v>
      </c>
      <c r="I3179" s="97" t="str">
        <f t="shared" si="249"/>
        <v>LE PETIT OLIVIER</v>
      </c>
      <c r="J3179" s="97" t="s">
        <v>1719</v>
      </c>
      <c r="K3179" s="29">
        <v>459.6</v>
      </c>
      <c r="L3179" s="29">
        <v>0</v>
      </c>
      <c r="M3179" s="30">
        <f>IFERROR(VLOOKUP($A3179,HeadJournal!$A$1:$J$890,COLUMN(HeadJournal!I$1),0)*($K3179+$L3179)/(SUMIF($A:$A,$A3179,$K:$K)+SUMIF($A:$A,$A3179,$L:$L)),0)</f>
        <v>0</v>
      </c>
      <c r="N3179" s="30">
        <f>IFERROR((VLOOKUP($A3179,HeadJournal!$A$1:$K$890,COLUMN(HeadJournal!K$1),0)-VLOOKUP($A3179,HeadJournal!$A$1:$K$890,COLUMN(HeadJournal!J$1),0))*($K3179+$L3179)/(SUMIF($A:$A,$A3179,$K:$K)+SUMIF($A:$A,$A3179,$L:$L)),0)</f>
        <v>0</v>
      </c>
      <c r="O3179" s="30">
        <f>IFERROR((VLOOKUP($A3179,HeadJournal!$A$1:$L$890,COLUMN(HeadJournal!L$1),0)*($K3179+$L3179)/(SUMIF($A:$A,$A3179,$K:$K)+SUMIF($A:$A,$A3179,$L:$L)))/VLOOKUP($A3179,HeadJournal!$A$1:$L$890,COLUMN(HeadJournal!H$1),0),0)</f>
        <v>0</v>
      </c>
      <c r="P3179" s="30">
        <f>IFERROR(SUM(K3179:O3179)*VLOOKUP($A3179,HeadJournal!$A$1:$L$890,COLUMN(HeadJournal!H$1),0),0)</f>
        <v>459.6</v>
      </c>
      <c r="Q3179" s="29"/>
      <c r="R3179" s="31"/>
      <c r="S3179" s="31"/>
      <c r="T3179" s="95" t="str">
        <f t="shared" si="253"/>
        <v/>
      </c>
      <c r="U3179" s="32">
        <f t="shared" si="250"/>
        <v>-459.6</v>
      </c>
      <c r="V3179" s="22" t="str">
        <f t="shared" si="251"/>
        <v/>
      </c>
      <c r="X3179" s="33"/>
      <c r="Y3179" s="33"/>
    </row>
    <row r="3180" spans="1:25" x14ac:dyDescent="0.2">
      <c r="A3180" s="93" t="s">
        <v>1710</v>
      </c>
      <c r="B3180" s="94">
        <f>IFERROR(VLOOKUP($A3180,HeadJournal!$A$1:$NTR$890,COLUMN(HeadJournal!B$1),0),"")</f>
        <v>0</v>
      </c>
      <c r="C3180" s="94" t="str">
        <f>IFERROR(VLOOKUP($A3180,HeadJournal!$A$1:$NTR$890,COLUMN(HeadJournal!C$1),0),"")</f>
        <v>ЛЭТУАЛЬ</v>
      </c>
      <c r="D3180" s="125" t="str">
        <f>IFERROR(VLOOKUP($A3180,HeadJournal!$A$1:$NTR$890,COLUMN(HeadJournal!D$1),0),"")</f>
        <v>Доставлен</v>
      </c>
      <c r="E3180" s="95">
        <f>IFERROR(VLOOKUP($A3180,HeadJournal!$A$1:$NTR$890,COLUMN(HeadJournal!G$1),0),"")</f>
        <v>45376</v>
      </c>
      <c r="F3180" s="95" t="str">
        <f t="shared" si="252"/>
        <v>2024 03</v>
      </c>
      <c r="G3180" s="96" t="s">
        <v>7</v>
      </c>
      <c r="H3180" s="161" t="str">
        <f>RIGHT(Journal!$J3180,9)</f>
        <v>ECD087943</v>
      </c>
      <c r="I3180" s="97" t="str">
        <f t="shared" si="249"/>
        <v>ECODERMA</v>
      </c>
      <c r="J3180" s="97" t="s">
        <v>1720</v>
      </c>
      <c r="K3180" s="29">
        <v>1139.6000000000001</v>
      </c>
      <c r="L3180" s="29">
        <v>0</v>
      </c>
      <c r="M3180" s="30">
        <f>IFERROR(VLOOKUP($A3180,HeadJournal!$A$1:$J$890,COLUMN(HeadJournal!I$1),0)*($K3180+$L3180)/(SUMIF($A:$A,$A3180,$K:$K)+SUMIF($A:$A,$A3180,$L:$L)),0)</f>
        <v>0</v>
      </c>
      <c r="N3180" s="30">
        <f>IFERROR((VLOOKUP($A3180,HeadJournal!$A$1:$K$890,COLUMN(HeadJournal!K$1),0)-VLOOKUP($A3180,HeadJournal!$A$1:$K$890,COLUMN(HeadJournal!J$1),0))*($K3180+$L3180)/(SUMIF($A:$A,$A3180,$K:$K)+SUMIF($A:$A,$A3180,$L:$L)),0)</f>
        <v>0</v>
      </c>
      <c r="O3180" s="30">
        <f>IFERROR((VLOOKUP($A3180,HeadJournal!$A$1:$L$890,COLUMN(HeadJournal!L$1),0)*($K3180+$L3180)/(SUMIF($A:$A,$A3180,$K:$K)+SUMIF($A:$A,$A3180,$L:$L)))/VLOOKUP($A3180,HeadJournal!$A$1:$L$890,COLUMN(HeadJournal!H$1),0),0)</f>
        <v>0</v>
      </c>
      <c r="P3180" s="30">
        <f>IFERROR(SUM(K3180:O3180)*VLOOKUP($A3180,HeadJournal!$A$1:$L$890,COLUMN(HeadJournal!H$1),0),0)</f>
        <v>1139.6000000000001</v>
      </c>
      <c r="Q3180" s="29"/>
      <c r="R3180" s="31"/>
      <c r="S3180" s="31"/>
      <c r="T3180" s="95" t="str">
        <f t="shared" si="253"/>
        <v/>
      </c>
      <c r="U3180" s="32">
        <f t="shared" si="250"/>
        <v>-1139.6000000000001</v>
      </c>
      <c r="V3180" s="22" t="str">
        <f t="shared" si="251"/>
        <v/>
      </c>
      <c r="X3180" s="33"/>
      <c r="Y3180" s="33"/>
    </row>
    <row r="3181" spans="1:25" x14ac:dyDescent="0.2">
      <c r="A3181" s="93" t="s">
        <v>1721</v>
      </c>
      <c r="B3181" s="94">
        <f>IFERROR(VLOOKUP($A3181,HeadJournal!$A$1:$NTR$890,COLUMN(HeadJournal!B$1),0),"")</f>
        <v>0</v>
      </c>
      <c r="C3181" s="94" t="str">
        <f>IFERROR(VLOOKUP($A3181,HeadJournal!$A$1:$NTR$890,COLUMN(HeadJournal!C$1),0),"")</f>
        <v>OZON_OA</v>
      </c>
      <c r="D3181" s="125" t="str">
        <f>IFERROR(VLOOKUP($A3181,HeadJournal!$A$1:$NTR$890,COLUMN(HeadJournal!D$1),0),"")</f>
        <v>Доставлен</v>
      </c>
      <c r="E3181" s="95">
        <f>IFERROR(VLOOKUP($A3181,HeadJournal!$A$1:$NTR$890,COLUMN(HeadJournal!G$1),0),"")</f>
        <v>45378</v>
      </c>
      <c r="F3181" s="95" t="str">
        <f t="shared" si="252"/>
        <v>2024 03</v>
      </c>
      <c r="G3181" s="96" t="s">
        <v>5</v>
      </c>
      <c r="H3181" s="161" t="str">
        <f>RIGHT(Journal!$J3181,9)</f>
        <v>000001108</v>
      </c>
      <c r="I3181" s="97" t="str">
        <f t="shared" si="249"/>
        <v>Maxler</v>
      </c>
      <c r="J3181" s="97" t="s">
        <v>1598</v>
      </c>
      <c r="K3181" s="29">
        <v>1592</v>
      </c>
      <c r="L3181" s="29">
        <v>0</v>
      </c>
      <c r="M3181" s="30">
        <f>IFERROR(VLOOKUP($A3181,HeadJournal!$A$1:$J$890,COLUMN(HeadJournal!I$1),0)*($K3181+$L3181)/(SUMIF($A:$A,$A3181,$K:$K)+SUMIF($A:$A,$A3181,$L:$L)),0)</f>
        <v>0</v>
      </c>
      <c r="N3181" s="30">
        <f>IFERROR((VLOOKUP($A3181,HeadJournal!$A$1:$K$890,COLUMN(HeadJournal!K$1),0)-VLOOKUP($A3181,HeadJournal!$A$1:$K$890,COLUMN(HeadJournal!J$1),0))*($K3181+$L3181)/(SUMIF($A:$A,$A3181,$K:$K)+SUMIF($A:$A,$A3181,$L:$L)),0)</f>
        <v>0</v>
      </c>
      <c r="O3181" s="30">
        <f>IFERROR((VLOOKUP($A3181,HeadJournal!$A$1:$L$890,COLUMN(HeadJournal!L$1),0)*($K3181+$L3181)/(SUMIF($A:$A,$A3181,$K:$K)+SUMIF($A:$A,$A3181,$L:$L)))/VLOOKUP($A3181,HeadJournal!$A$1:$L$890,COLUMN(HeadJournal!H$1),0),0)</f>
        <v>0</v>
      </c>
      <c r="P3181" s="30">
        <f>IFERROR(SUM(K3181:O3181)*VLOOKUP($A3181,HeadJournal!$A$1:$L$890,COLUMN(HeadJournal!H$1),0),0)</f>
        <v>1592</v>
      </c>
      <c r="Q3181" s="29">
        <v>2200</v>
      </c>
      <c r="R3181" s="31">
        <v>45381</v>
      </c>
      <c r="S3181" s="31" t="s">
        <v>3121</v>
      </c>
      <c r="T3181" s="95" t="str">
        <f t="shared" si="253"/>
        <v>2024 03</v>
      </c>
      <c r="U3181" s="32">
        <f t="shared" si="250"/>
        <v>608</v>
      </c>
      <c r="V3181" s="22">
        <f t="shared" si="251"/>
        <v>0.38190954773869346</v>
      </c>
      <c r="X3181" s="33"/>
      <c r="Y3181" s="33"/>
    </row>
    <row r="3182" spans="1:25" x14ac:dyDescent="0.2">
      <c r="A3182" s="93" t="s">
        <v>1722</v>
      </c>
      <c r="B3182" s="94" t="str">
        <f>IFERROR(VLOOKUP($A3182,HeadJournal!$A$1:$NTR$890,COLUMN(HeadJournal!B$1),0),"")</f>
        <v>710002136226</v>
      </c>
      <c r="C3182" s="94" t="str">
        <f>IFERROR(VLOOKUP($A3182,HeadJournal!$A$1:$NTR$890,COLUMN(HeadJournal!C$1),0),"")</f>
        <v>iHerb_AV CYG0792</v>
      </c>
      <c r="D3182" s="125" t="str">
        <f>IFERROR(VLOOKUP($A3182,HeadJournal!$A$1:$NTR$890,COLUMN(HeadJournal!D$1),0),"")</f>
        <v>Доставлен</v>
      </c>
      <c r="E3182" s="95">
        <f>IFERROR(VLOOKUP($A3182,HeadJournal!$A$1:$NTR$890,COLUMN(HeadJournal!G$1),0),"")</f>
        <v>45378</v>
      </c>
      <c r="F3182" s="95" t="str">
        <f t="shared" si="252"/>
        <v>2024 03</v>
      </c>
      <c r="G3182" s="96" t="s">
        <v>5</v>
      </c>
      <c r="H3182" s="161" t="str">
        <f>RIGHT(Journal!$J3182,9)</f>
        <v>NOW-03796</v>
      </c>
      <c r="I3182" s="97" t="str">
        <f t="shared" si="249"/>
        <v>NOW Foods</v>
      </c>
      <c r="J3182" s="97" t="s">
        <v>1724</v>
      </c>
      <c r="K3182" s="29">
        <v>24.26</v>
      </c>
      <c r="L3182" s="29">
        <v>-4.8499999999999996</v>
      </c>
      <c r="M3182" s="30">
        <f>IFERROR(VLOOKUP($A3182,HeadJournal!$A$1:$J$890,COLUMN(HeadJournal!I$1),0)*($K3182+$L3182)/(SUMIF($A:$A,$A3182,$K:$K)+SUMIF($A:$A,$A3182,$L:$L)),0)</f>
        <v>-2.8548250482625481</v>
      </c>
      <c r="N3182" s="30">
        <f>IFERROR((VLOOKUP($A3182,HeadJournal!$A$1:$K$890,COLUMN(HeadJournal!K$1),0)-VLOOKUP($A3182,HeadJournal!$A$1:$K$890,COLUMN(HeadJournal!J$1),0))*($K3182+$L3182)/(SUMIF($A:$A,$A3182,$K:$K)+SUMIF($A:$A,$A3182,$L:$L)),0)</f>
        <v>-3.3280971286446781E-15</v>
      </c>
      <c r="O3182" s="30">
        <f>IFERROR((VLOOKUP($A3182,HeadJournal!$A$1:$L$890,COLUMN(HeadJournal!L$1),0)*($K3182+$L3182)/(SUMIF($A:$A,$A3182,$K:$K)+SUMIF($A:$A,$A3182,$L:$L)))/VLOOKUP($A3182,HeadJournal!$A$1:$L$890,COLUMN(HeadJournal!H$1),0),0)</f>
        <v>2.4916591175118796</v>
      </c>
      <c r="P3182" s="30">
        <f>IFERROR(SUM(K3182:O3182)*VLOOKUP($A3182,HeadJournal!$A$1:$L$890,COLUMN(HeadJournal!H$1),0),0)</f>
        <v>1968.5599517374519</v>
      </c>
      <c r="Q3182" s="29">
        <v>2800</v>
      </c>
      <c r="R3182" s="31">
        <v>45940</v>
      </c>
      <c r="S3182" s="31" t="s">
        <v>3121</v>
      </c>
      <c r="T3182" s="95" t="str">
        <f t="shared" si="253"/>
        <v>2025 10</v>
      </c>
      <c r="U3182" s="32">
        <f t="shared" si="250"/>
        <v>831.44004826254809</v>
      </c>
      <c r="V3182" s="22">
        <f t="shared" si="251"/>
        <v>0.42235952607321853</v>
      </c>
      <c r="X3182" s="33"/>
      <c r="Y3182" s="33"/>
    </row>
    <row r="3183" spans="1:25" x14ac:dyDescent="0.2">
      <c r="A3183" s="93" t="s">
        <v>1722</v>
      </c>
      <c r="B3183" s="94" t="str">
        <f>IFERROR(VLOOKUP($A3183,HeadJournal!$A$1:$NTR$890,COLUMN(HeadJournal!B$1),0),"")</f>
        <v>710002136226</v>
      </c>
      <c r="C3183" s="94" t="str">
        <f>IFERROR(VLOOKUP($A3183,HeadJournal!$A$1:$NTR$890,COLUMN(HeadJournal!C$1),0),"")</f>
        <v>iHerb_AV CYG0792</v>
      </c>
      <c r="D3183" s="125" t="str">
        <f>IFERROR(VLOOKUP($A3183,HeadJournal!$A$1:$NTR$890,COLUMN(HeadJournal!D$1),0),"")</f>
        <v>Доставлен</v>
      </c>
      <c r="E3183" s="95">
        <f>IFERROR(VLOOKUP($A3183,HeadJournal!$A$1:$NTR$890,COLUMN(HeadJournal!G$1),0),"")</f>
        <v>45378</v>
      </c>
      <c r="F3183" s="95" t="str">
        <f t="shared" si="252"/>
        <v>2024 03</v>
      </c>
      <c r="G3183" s="96" t="s">
        <v>7</v>
      </c>
      <c r="H3183" s="161" t="str">
        <f>RIGHT(Journal!$J3183,9)</f>
        <v>MPL-34771</v>
      </c>
      <c r="I3183" s="97" t="str">
        <f t="shared" si="249"/>
        <v>Medi-Peel</v>
      </c>
      <c r="J3183" s="97" t="s">
        <v>1288</v>
      </c>
      <c r="K3183" s="29">
        <v>22.95</v>
      </c>
      <c r="L3183" s="29">
        <v>-6.89</v>
      </c>
      <c r="M3183" s="30">
        <f>IFERROR(VLOOKUP($A3183,HeadJournal!$A$1:$J$890,COLUMN(HeadJournal!I$1),0)*($K3183+$L3183)/(SUMIF($A:$A,$A3183,$K:$K)+SUMIF($A:$A,$A3183,$L:$L)),0)</f>
        <v>-2.3621066602316598</v>
      </c>
      <c r="N3183" s="30">
        <f>IFERROR((VLOOKUP($A3183,HeadJournal!$A$1:$K$890,COLUMN(HeadJournal!K$1),0)-VLOOKUP($A3183,HeadJournal!$A$1:$K$890,COLUMN(HeadJournal!J$1),0))*($K3183+$L3183)/(SUMIF($A:$A,$A3183,$K:$K)+SUMIF($A:$A,$A3183,$L:$L)),0)</f>
        <v>-2.7536960271011599E-15</v>
      </c>
      <c r="O3183" s="30">
        <f>IFERROR((VLOOKUP($A3183,HeadJournal!$A$1:$L$890,COLUMN(HeadJournal!L$1),0)*($K3183+$L3183)/(SUMIF($A:$A,$A3183,$K:$K)+SUMIF($A:$A,$A3183,$L:$L)))/VLOOKUP($A3183,HeadJournal!$A$1:$L$890,COLUMN(HeadJournal!H$1),0),0)</f>
        <v>2.0616200632272421</v>
      </c>
      <c r="P3183" s="30">
        <f>IFERROR(SUM(K3183:O3183)*VLOOKUP($A3183,HeadJournal!$A$1:$L$890,COLUMN(HeadJournal!H$1),0),0)</f>
        <v>1628.8033397683394</v>
      </c>
      <c r="Q3183" s="29"/>
      <c r="R3183" s="31"/>
      <c r="S3183" s="31"/>
      <c r="T3183" s="95" t="str">
        <f t="shared" si="253"/>
        <v/>
      </c>
      <c r="U3183" s="32">
        <f t="shared" si="250"/>
        <v>-1628.8033397683394</v>
      </c>
      <c r="V3183" s="22" t="str">
        <f t="shared" si="251"/>
        <v/>
      </c>
      <c r="X3183" s="33"/>
      <c r="Y3183" s="33"/>
    </row>
    <row r="3184" spans="1:25" x14ac:dyDescent="0.2">
      <c r="A3184" s="93" t="s">
        <v>1722</v>
      </c>
      <c r="B3184" s="94" t="str">
        <f>IFERROR(VLOOKUP($A3184,HeadJournal!$A$1:$NTR$890,COLUMN(HeadJournal!B$1),0),"")</f>
        <v>710002136226</v>
      </c>
      <c r="C3184" s="94" t="str">
        <f>IFERROR(VLOOKUP($A3184,HeadJournal!$A$1:$NTR$890,COLUMN(HeadJournal!C$1),0),"")</f>
        <v>iHerb_AV CYG0792</v>
      </c>
      <c r="D3184" s="125" t="str">
        <f>IFERROR(VLOOKUP($A3184,HeadJournal!$A$1:$NTR$890,COLUMN(HeadJournal!D$1),0),"")</f>
        <v>Доставлен</v>
      </c>
      <c r="E3184" s="95">
        <f>IFERROR(VLOOKUP($A3184,HeadJournal!$A$1:$NTR$890,COLUMN(HeadJournal!G$1),0),"")</f>
        <v>45378</v>
      </c>
      <c r="F3184" s="95" t="str">
        <f t="shared" si="252"/>
        <v>2024 03</v>
      </c>
      <c r="G3184" s="96" t="s">
        <v>5</v>
      </c>
      <c r="H3184" s="161" t="str">
        <f>RIGHT(Journal!$J3184,9)</f>
        <v>MOR-00998</v>
      </c>
      <c r="I3184" s="97" t="str">
        <f t="shared" si="249"/>
        <v>Morningstar Minerals</v>
      </c>
      <c r="J3184" s="97" t="s">
        <v>1725</v>
      </c>
      <c r="K3184" s="29">
        <v>27.38</v>
      </c>
      <c r="L3184" s="29">
        <v>-5.48</v>
      </c>
      <c r="M3184" s="30">
        <f>IFERROR(VLOOKUP($A3184,HeadJournal!$A$1:$J$890,COLUMN(HeadJournal!I$1),0)*($K3184+$L3184)/(SUMIF($A:$A,$A3184,$K:$K)+SUMIF($A:$A,$A3184,$L:$L)),0)</f>
        <v>-3.2210545366795356</v>
      </c>
      <c r="N3184" s="30">
        <f>IFERROR((VLOOKUP($A3184,HeadJournal!$A$1:$K$890,COLUMN(HeadJournal!K$1),0)-VLOOKUP($A3184,HeadJournal!$A$1:$K$890,COLUMN(HeadJournal!J$1),0))*($K3184+$L3184)/(SUMIF($A:$A,$A3184,$K:$K)+SUMIF($A:$A,$A3184,$L:$L)),0)</f>
        <v>-3.7550400369561269E-15</v>
      </c>
      <c r="O3184" s="30">
        <f>IFERROR((VLOOKUP($A3184,HeadJournal!$A$1:$L$890,COLUMN(HeadJournal!L$1),0)*($K3184+$L3184)/(SUMIF($A:$A,$A3184,$K:$K)+SUMIF($A:$A,$A3184,$L:$L)))/VLOOKUP($A3184,HeadJournal!$A$1:$L$890,COLUMN(HeadJournal!H$1),0),0)</f>
        <v>2.8113000862189668</v>
      </c>
      <c r="P3184" s="30">
        <f>IFERROR(SUM(K3184:O3184)*VLOOKUP($A3184,HeadJournal!$A$1:$L$890,COLUMN(HeadJournal!H$1),0),0)</f>
        <v>2221.0954633204633</v>
      </c>
      <c r="Q3184" s="29"/>
      <c r="R3184" s="31"/>
      <c r="S3184" s="31"/>
      <c r="T3184" s="95" t="str">
        <f t="shared" si="253"/>
        <v/>
      </c>
      <c r="U3184" s="32">
        <f t="shared" si="250"/>
        <v>-2221.0954633204633</v>
      </c>
      <c r="V3184" s="22" t="str">
        <f t="shared" si="251"/>
        <v/>
      </c>
      <c r="X3184" s="33"/>
      <c r="Y3184" s="33"/>
    </row>
    <row r="3185" spans="1:25" x14ac:dyDescent="0.2">
      <c r="A3185" s="93" t="s">
        <v>1722</v>
      </c>
      <c r="B3185" s="94" t="str">
        <f>IFERROR(VLOOKUP($A3185,HeadJournal!$A$1:$NTR$890,COLUMN(HeadJournal!B$1),0),"")</f>
        <v>710002136226</v>
      </c>
      <c r="C3185" s="94" t="str">
        <f>IFERROR(VLOOKUP($A3185,HeadJournal!$A$1:$NTR$890,COLUMN(HeadJournal!C$1),0),"")</f>
        <v>iHerb_AV CYG0792</v>
      </c>
      <c r="D3185" s="125" t="str">
        <f>IFERROR(VLOOKUP($A3185,HeadJournal!$A$1:$NTR$890,COLUMN(HeadJournal!D$1),0),"")</f>
        <v>Доставлен</v>
      </c>
      <c r="E3185" s="95">
        <f>IFERROR(VLOOKUP($A3185,HeadJournal!$A$1:$NTR$890,COLUMN(HeadJournal!G$1),0),"")</f>
        <v>45378</v>
      </c>
      <c r="F3185" s="95" t="str">
        <f t="shared" si="252"/>
        <v>2024 03</v>
      </c>
      <c r="G3185" s="96" t="s">
        <v>7</v>
      </c>
      <c r="H3185" s="161" t="str">
        <f>RIGHT(Journal!$J3185,9)</f>
        <v>ARH-19793</v>
      </c>
      <c r="I3185" s="97" t="str">
        <f t="shared" si="249"/>
        <v>Arm &amp; Hammer</v>
      </c>
      <c r="J3185" s="97" t="s">
        <v>743</v>
      </c>
      <c r="K3185" s="29">
        <v>5.87</v>
      </c>
      <c r="L3185" s="29">
        <v>-1.175</v>
      </c>
      <c r="M3185" s="30">
        <f>IFERROR(VLOOKUP($A3185,HeadJournal!$A$1:$J$890,COLUMN(HeadJournal!I$1),0)*($K3185+$L3185)/(SUMIF($A:$A,$A3185,$K:$K)+SUMIF($A:$A,$A3185,$L:$L)),0)</f>
        <v>-0.69054114382239373</v>
      </c>
      <c r="N3185" s="30">
        <f>IFERROR((VLOOKUP($A3185,HeadJournal!$A$1:$K$890,COLUMN(HeadJournal!K$1),0)-VLOOKUP($A3185,HeadJournal!$A$1:$K$890,COLUMN(HeadJournal!J$1),0))*($K3185+$L3185)/(SUMIF($A:$A,$A3185,$K:$K)+SUMIF($A:$A,$A3185,$L:$L)),0)</f>
        <v>-8.0501885723785474E-16</v>
      </c>
      <c r="O3185" s="30">
        <f>IFERROR((VLOOKUP($A3185,HeadJournal!$A$1:$L$890,COLUMN(HeadJournal!L$1),0)*($K3185+$L3185)/(SUMIF($A:$A,$A3185,$K:$K)+SUMIF($A:$A,$A3185,$L:$L)))/VLOOKUP($A3185,HeadJournal!$A$1:$L$890,COLUMN(HeadJournal!H$1),0),0)</f>
        <v>0.60269652533324436</v>
      </c>
      <c r="P3185" s="30">
        <f>IFERROR(SUM(K3185:O3185)*VLOOKUP($A3185,HeadJournal!$A$1:$L$890,COLUMN(HeadJournal!H$1),0),0)</f>
        <v>476.16635617760619</v>
      </c>
      <c r="Q3185" s="29">
        <v>900</v>
      </c>
      <c r="R3185" s="31">
        <v>45564</v>
      </c>
      <c r="S3185" s="31" t="s">
        <v>3121</v>
      </c>
      <c r="T3185" s="95" t="str">
        <f t="shared" si="253"/>
        <v>2024 09</v>
      </c>
      <c r="U3185" s="32">
        <f t="shared" si="250"/>
        <v>423.83364382239381</v>
      </c>
      <c r="V3185" s="22">
        <f t="shared" si="251"/>
        <v>0.89009573718036328</v>
      </c>
      <c r="X3185" s="33"/>
      <c r="Y3185" s="33"/>
    </row>
    <row r="3186" spans="1:25" x14ac:dyDescent="0.2">
      <c r="A3186" s="93" t="s">
        <v>1722</v>
      </c>
      <c r="B3186" s="94" t="str">
        <f>IFERROR(VLOOKUP($A3186,HeadJournal!$A$1:$NTR$890,COLUMN(HeadJournal!B$1),0),"")</f>
        <v>710002136226</v>
      </c>
      <c r="C3186" s="94" t="str">
        <f>IFERROR(VLOOKUP($A3186,HeadJournal!$A$1:$NTR$890,COLUMN(HeadJournal!C$1),0),"")</f>
        <v>iHerb_AV CYG0792</v>
      </c>
      <c r="D3186" s="125" t="str">
        <f>IFERROR(VLOOKUP($A3186,HeadJournal!$A$1:$NTR$890,COLUMN(HeadJournal!D$1),0),"")</f>
        <v>Доставлен</v>
      </c>
      <c r="E3186" s="95">
        <f>IFERROR(VLOOKUP($A3186,HeadJournal!$A$1:$NTR$890,COLUMN(HeadJournal!G$1),0),"")</f>
        <v>45378</v>
      </c>
      <c r="F3186" s="95" t="str">
        <f t="shared" si="252"/>
        <v>2024 03</v>
      </c>
      <c r="G3186" s="96" t="s">
        <v>7</v>
      </c>
      <c r="H3186" s="161" t="str">
        <f>RIGHT(Journal!$J3186,9)</f>
        <v>ARH-19793</v>
      </c>
      <c r="I3186" s="97" t="str">
        <f t="shared" si="249"/>
        <v>Arm &amp; Hammer</v>
      </c>
      <c r="J3186" s="97" t="s">
        <v>743</v>
      </c>
      <c r="K3186" s="29">
        <v>5.87</v>
      </c>
      <c r="L3186" s="29">
        <v>-1.175</v>
      </c>
      <c r="M3186" s="30">
        <f>IFERROR(VLOOKUP($A3186,HeadJournal!$A$1:$J$890,COLUMN(HeadJournal!I$1),0)*($K3186+$L3186)/(SUMIF($A:$A,$A3186,$K:$K)+SUMIF($A:$A,$A3186,$L:$L)),0)</f>
        <v>-0.69054114382239373</v>
      </c>
      <c r="N3186" s="30">
        <f>IFERROR((VLOOKUP($A3186,HeadJournal!$A$1:$K$890,COLUMN(HeadJournal!K$1),0)-VLOOKUP($A3186,HeadJournal!$A$1:$K$890,COLUMN(HeadJournal!J$1),0))*($K3186+$L3186)/(SUMIF($A:$A,$A3186,$K:$K)+SUMIF($A:$A,$A3186,$L:$L)),0)</f>
        <v>-8.0501885723785474E-16</v>
      </c>
      <c r="O3186" s="30">
        <f>IFERROR((VLOOKUP($A3186,HeadJournal!$A$1:$L$890,COLUMN(HeadJournal!L$1),0)*($K3186+$L3186)/(SUMIF($A:$A,$A3186,$K:$K)+SUMIF($A:$A,$A3186,$L:$L)))/VLOOKUP($A3186,HeadJournal!$A$1:$L$890,COLUMN(HeadJournal!H$1),0),0)</f>
        <v>0.60269652533324436</v>
      </c>
      <c r="P3186" s="30">
        <f>IFERROR(SUM(K3186:O3186)*VLOOKUP($A3186,HeadJournal!$A$1:$L$890,COLUMN(HeadJournal!H$1),0),0)</f>
        <v>476.16635617760619</v>
      </c>
      <c r="Q3186" s="29">
        <v>900</v>
      </c>
      <c r="R3186" s="31">
        <v>45679</v>
      </c>
      <c r="S3186" s="31" t="s">
        <v>3121</v>
      </c>
      <c r="T3186" s="95" t="str">
        <f t="shared" si="253"/>
        <v>2025 01</v>
      </c>
      <c r="U3186" s="32">
        <f t="shared" si="250"/>
        <v>423.83364382239381</v>
      </c>
      <c r="V3186" s="22">
        <f t="shared" si="251"/>
        <v>0.89009573718036328</v>
      </c>
      <c r="X3186" s="33"/>
      <c r="Y3186" s="33"/>
    </row>
    <row r="3187" spans="1:25" x14ac:dyDescent="0.2">
      <c r="A3187" s="93" t="s">
        <v>1722</v>
      </c>
      <c r="B3187" s="94" t="str">
        <f>IFERROR(VLOOKUP($A3187,HeadJournal!$A$1:$NTR$890,COLUMN(HeadJournal!B$1),0),"")</f>
        <v>710002136226</v>
      </c>
      <c r="C3187" s="94" t="str">
        <f>IFERROR(VLOOKUP($A3187,HeadJournal!$A$1:$NTR$890,COLUMN(HeadJournal!C$1),0),"")</f>
        <v>iHerb_AV CYG0792</v>
      </c>
      <c r="D3187" s="125" t="str">
        <f>IFERROR(VLOOKUP($A3187,HeadJournal!$A$1:$NTR$890,COLUMN(HeadJournal!D$1),0),"")</f>
        <v>Доставлен</v>
      </c>
      <c r="E3187" s="95">
        <f>IFERROR(VLOOKUP($A3187,HeadJournal!$A$1:$NTR$890,COLUMN(HeadJournal!G$1),0),"")</f>
        <v>45378</v>
      </c>
      <c r="F3187" s="95" t="str">
        <f t="shared" si="252"/>
        <v>2024 03</v>
      </c>
      <c r="G3187" s="96" t="s">
        <v>5</v>
      </c>
      <c r="H3187" s="161" t="s">
        <v>2025</v>
      </c>
      <c r="I3187" s="97" t="s">
        <v>2008</v>
      </c>
      <c r="J3187" s="97" t="s">
        <v>2026</v>
      </c>
      <c r="K3187" s="29">
        <v>17.690000000000001</v>
      </c>
      <c r="L3187" s="29">
        <v>-3.54</v>
      </c>
      <c r="M3187" s="30">
        <f>IFERROR(VLOOKUP($A3187,HeadJournal!$A$1:$J$890,COLUMN(HeadJournal!I$1),0)*($K3187+$L3187)/(SUMIF($A:$A,$A3187,$K:$K)+SUMIF($A:$A,$A3187,$L:$L)),0)</f>
        <v>-2.0811836389961389</v>
      </c>
      <c r="N3187" s="30">
        <f>IFERROR((VLOOKUP($A3187,HeadJournal!$A$1:$K$890,COLUMN(HeadJournal!K$1),0)-VLOOKUP($A3187,HeadJournal!$A$1:$K$890,COLUMN(HeadJournal!J$1),0))*($K3187+$L3187)/(SUMIF($A:$A,$A3187,$K:$K)+SUMIF($A:$A,$A3187,$L:$L)),0)</f>
        <v>-2.4262016677136625E-15</v>
      </c>
      <c r="O3187" s="30">
        <f>IFERROR((VLOOKUP($A3187,HeadJournal!$A$1:$L$890,COLUMN(HeadJournal!L$1),0)*($K3187+$L3187)/(SUMIF($A:$A,$A3187,$K:$K)+SUMIF($A:$A,$A3187,$L:$L)))/VLOOKUP($A3187,HeadJournal!$A$1:$L$890,COLUMN(HeadJournal!H$1),0),0)</f>
        <v>1.8164336173515245</v>
      </c>
      <c r="P3187" s="30">
        <f>IFERROR(SUM(K3187:O3187)*VLOOKUP($A3187,HeadJournal!$A$1:$L$890,COLUMN(HeadJournal!H$1),0),0)</f>
        <v>1435.0913610038613</v>
      </c>
      <c r="Q3187" s="29">
        <v>2300</v>
      </c>
      <c r="R3187" s="31">
        <v>45509</v>
      </c>
      <c r="S3187" s="31" t="s">
        <v>3121</v>
      </c>
      <c r="T3187" s="95" t="str">
        <f t="shared" si="253"/>
        <v>2024 08</v>
      </c>
      <c r="U3187" s="32">
        <f t="shared" si="250"/>
        <v>864.90863899613873</v>
      </c>
      <c r="V3187" s="22">
        <f t="shared" si="251"/>
        <v>0.60268541954787203</v>
      </c>
      <c r="X3187" s="33"/>
      <c r="Y3187" s="33"/>
    </row>
    <row r="3188" spans="1:25" x14ac:dyDescent="0.2">
      <c r="A3188" s="93" t="s">
        <v>1722</v>
      </c>
      <c r="B3188" s="94" t="str">
        <f>IFERROR(VLOOKUP($A3188,HeadJournal!$A$1:$NTR$890,COLUMN(HeadJournal!B$1),0),"")</f>
        <v>710002136226</v>
      </c>
      <c r="C3188" s="94" t="str">
        <f>IFERROR(VLOOKUP($A3188,HeadJournal!$A$1:$NTR$890,COLUMN(HeadJournal!C$1),0),"")</f>
        <v>iHerb_AV CYG0792</v>
      </c>
      <c r="D3188" s="125" t="str">
        <f>IFERROR(VLOOKUP($A3188,HeadJournal!$A$1:$NTR$890,COLUMN(HeadJournal!D$1),0),"")</f>
        <v>Доставлен</v>
      </c>
      <c r="E3188" s="95">
        <f>IFERROR(VLOOKUP($A3188,HeadJournal!$A$1:$NTR$890,COLUMN(HeadJournal!G$1),0),"")</f>
        <v>45378</v>
      </c>
      <c r="F3188" s="95" t="str">
        <f t="shared" si="252"/>
        <v>2024 03</v>
      </c>
      <c r="G3188" s="96" t="s">
        <v>5</v>
      </c>
      <c r="H3188" s="161" t="str">
        <f>RIGHT(Journal!$J3188,9)</f>
        <v>CEN-28026</v>
      </c>
      <c r="I3188" s="97" t="str">
        <f t="shared" si="249"/>
        <v>21st Century</v>
      </c>
      <c r="J3188" s="97" t="s">
        <v>32</v>
      </c>
      <c r="K3188" s="29">
        <v>2.46</v>
      </c>
      <c r="L3188" s="29">
        <v>-0.49</v>
      </c>
      <c r="M3188" s="30">
        <f>IFERROR(VLOOKUP($A3188,HeadJournal!$A$1:$J$890,COLUMN(HeadJournal!I$1),0)*($K3188+$L3188)/(SUMIF($A:$A,$A3188,$K:$K)+SUMIF($A:$A,$A3188,$L:$L)),0)</f>
        <v>-0.28974782818532813</v>
      </c>
      <c r="N3188" s="30">
        <f>IFERROR((VLOOKUP($A3188,HeadJournal!$A$1:$K$890,COLUMN(HeadJournal!K$1),0)-VLOOKUP($A3188,HeadJournal!$A$1:$K$890,COLUMN(HeadJournal!J$1),0))*($K3188+$L3188)/(SUMIF($A:$A,$A3188,$K:$K)+SUMIF($A:$A,$A3188,$L:$L)),0)</f>
        <v>-3.3778214031066535E-16</v>
      </c>
      <c r="O3188" s="30">
        <f>IFERROR((VLOOKUP($A3188,HeadJournal!$A$1:$L$890,COLUMN(HeadJournal!L$1),0)*($K3188+$L3188)/(SUMIF($A:$A,$A3188,$K:$K)+SUMIF($A:$A,$A3188,$L:$L)))/VLOOKUP($A3188,HeadJournal!$A$1:$L$890,COLUMN(HeadJournal!H$1),0),0)</f>
        <v>0.2528886378927564</v>
      </c>
      <c r="P3188" s="30">
        <f>IFERROR(SUM(K3188:O3188)*VLOOKUP($A3188,HeadJournal!$A$1:$L$890,COLUMN(HeadJournal!H$1),0),0)</f>
        <v>199.7971718146718</v>
      </c>
      <c r="Q3188" s="29"/>
      <c r="R3188" s="31"/>
      <c r="S3188" s="31"/>
      <c r="T3188" s="95" t="str">
        <f t="shared" si="253"/>
        <v/>
      </c>
      <c r="U3188" s="32">
        <f t="shared" si="250"/>
        <v>-199.7971718146718</v>
      </c>
      <c r="V3188" s="22" t="str">
        <f t="shared" si="251"/>
        <v/>
      </c>
      <c r="X3188" s="33"/>
      <c r="Y3188" s="33"/>
    </row>
    <row r="3189" spans="1:25" x14ac:dyDescent="0.2">
      <c r="A3189" s="93" t="s">
        <v>1726</v>
      </c>
      <c r="B3189" s="94" t="str">
        <f>IFERROR(VLOOKUP($A3189,HeadJournal!$A$1:$NTR$890,COLUMN(HeadJournal!B$1),0),"")</f>
        <v>720000180301</v>
      </c>
      <c r="C3189" s="94" t="str">
        <f>IFERROR(VLOOKUP($A3189,HeadJournal!$A$1:$NTR$890,COLUMN(HeadJournal!C$1),0),"")</f>
        <v>iHerb_OA CZN6870</v>
      </c>
      <c r="D3189" s="125" t="str">
        <f>IFERROR(VLOOKUP($A3189,HeadJournal!$A$1:$NTR$890,COLUMN(HeadJournal!D$1),0),"")</f>
        <v>Доставлен</v>
      </c>
      <c r="E3189" s="95">
        <f>IFERROR(VLOOKUP($A3189,HeadJournal!$A$1:$NTR$890,COLUMN(HeadJournal!G$1),0),"")</f>
        <v>45375</v>
      </c>
      <c r="F3189" s="95" t="str">
        <f t="shared" si="252"/>
        <v>2024 03</v>
      </c>
      <c r="G3189" s="96" t="s">
        <v>5</v>
      </c>
      <c r="H3189" s="161" t="str">
        <f>RIGHT(Journal!$J3189,9)</f>
        <v>SWV-11613</v>
      </c>
      <c r="I3189" s="97" t="str">
        <f t="shared" si="249"/>
        <v>Swanson</v>
      </c>
      <c r="J3189" s="97" t="s">
        <v>835</v>
      </c>
      <c r="K3189" s="29">
        <v>16.79</v>
      </c>
      <c r="L3189" s="29">
        <v>-3.36</v>
      </c>
      <c r="M3189" s="30">
        <f>IFERROR(VLOOKUP($A3189,HeadJournal!$A$1:$J$890,COLUMN(HeadJournal!I$1),0)*($K3189+$L3189)/(SUMIF($A:$A,$A3189,$K:$K)+SUMIF($A:$A,$A3189,$L:$L)),0)</f>
        <v>-0.20408783527087604</v>
      </c>
      <c r="N3189" s="30">
        <f>IFERROR((VLOOKUP($A3189,HeadJournal!$A$1:$K$890,COLUMN(HeadJournal!K$1),0)-VLOOKUP($A3189,HeadJournal!$A$1:$K$890,COLUMN(HeadJournal!J$1),0))*($K3189+$L3189)/(SUMIF($A:$A,$A3189,$K:$K)+SUMIF($A:$A,$A3189,$L:$L)),0)</f>
        <v>0</v>
      </c>
      <c r="O3189" s="30">
        <f>IFERROR((VLOOKUP($A3189,HeadJournal!$A$1:$L$890,COLUMN(HeadJournal!L$1),0)*($K3189+$L3189)/(SUMIF($A:$A,$A3189,$K:$K)+SUMIF($A:$A,$A3189,$L:$L)))/VLOOKUP($A3189,HeadJournal!$A$1:$L$890,COLUMN(HeadJournal!H$1),0),0)</f>
        <v>0.54098870566262525</v>
      </c>
      <c r="P3189" s="30">
        <f>IFERROR(SUM(K3189:O3189)*VLOOKUP($A3189,HeadJournal!$A$1:$L$890,COLUMN(HeadJournal!H$1),0),0)</f>
        <v>1427.7224728364106</v>
      </c>
      <c r="Q3189" s="29"/>
      <c r="R3189" s="31"/>
      <c r="S3189" s="31"/>
      <c r="T3189" s="95" t="str">
        <f t="shared" si="253"/>
        <v/>
      </c>
      <c r="U3189" s="32">
        <f t="shared" si="250"/>
        <v>-1427.7224728364106</v>
      </c>
      <c r="V3189" s="22" t="str">
        <f t="shared" si="251"/>
        <v/>
      </c>
      <c r="X3189" s="33"/>
      <c r="Y3189" s="33"/>
    </row>
    <row r="3190" spans="1:25" x14ac:dyDescent="0.2">
      <c r="A3190" s="93" t="s">
        <v>1726</v>
      </c>
      <c r="B3190" s="94" t="str">
        <f>IFERROR(VLOOKUP($A3190,HeadJournal!$A$1:$NTR$890,COLUMN(HeadJournal!B$1),0),"")</f>
        <v>720000180301</v>
      </c>
      <c r="C3190" s="94" t="str">
        <f>IFERROR(VLOOKUP($A3190,HeadJournal!$A$1:$NTR$890,COLUMN(HeadJournal!C$1),0),"")</f>
        <v>iHerb_OA CZN6870</v>
      </c>
      <c r="D3190" s="125" t="str">
        <f>IFERROR(VLOOKUP($A3190,HeadJournal!$A$1:$NTR$890,COLUMN(HeadJournal!D$1),0),"")</f>
        <v>Доставлен</v>
      </c>
      <c r="E3190" s="95">
        <f>IFERROR(VLOOKUP($A3190,HeadJournal!$A$1:$NTR$890,COLUMN(HeadJournal!G$1),0),"")</f>
        <v>45375</v>
      </c>
      <c r="F3190" s="95" t="str">
        <f t="shared" si="252"/>
        <v>2024 03</v>
      </c>
      <c r="G3190" s="96" t="s">
        <v>5</v>
      </c>
      <c r="H3190" s="161" t="str">
        <f>RIGHT(Journal!$J3190,9)</f>
        <v>SWV-11613</v>
      </c>
      <c r="I3190" s="97" t="str">
        <f t="shared" si="249"/>
        <v>Swanson</v>
      </c>
      <c r="J3190" s="97" t="s">
        <v>835</v>
      </c>
      <c r="K3190" s="29">
        <v>16.79</v>
      </c>
      <c r="L3190" s="29">
        <v>-3.36</v>
      </c>
      <c r="M3190" s="30">
        <f>IFERROR(VLOOKUP($A3190,HeadJournal!$A$1:$J$890,COLUMN(HeadJournal!I$1),0)*($K3190+$L3190)/(SUMIF($A:$A,$A3190,$K:$K)+SUMIF($A:$A,$A3190,$L:$L)),0)</f>
        <v>-0.20408783527087604</v>
      </c>
      <c r="N3190" s="30">
        <f>IFERROR((VLOOKUP($A3190,HeadJournal!$A$1:$K$890,COLUMN(HeadJournal!K$1),0)-VLOOKUP($A3190,HeadJournal!$A$1:$K$890,COLUMN(HeadJournal!J$1),0))*($K3190+$L3190)/(SUMIF($A:$A,$A3190,$K:$K)+SUMIF($A:$A,$A3190,$L:$L)),0)</f>
        <v>0</v>
      </c>
      <c r="O3190" s="30">
        <f>IFERROR((VLOOKUP($A3190,HeadJournal!$A$1:$L$890,COLUMN(HeadJournal!L$1),0)*($K3190+$L3190)/(SUMIF($A:$A,$A3190,$K:$K)+SUMIF($A:$A,$A3190,$L:$L)))/VLOOKUP($A3190,HeadJournal!$A$1:$L$890,COLUMN(HeadJournal!H$1),0),0)</f>
        <v>0.54098870566262525</v>
      </c>
      <c r="P3190" s="30">
        <f>IFERROR(SUM(K3190:O3190)*VLOOKUP($A3190,HeadJournal!$A$1:$L$890,COLUMN(HeadJournal!H$1),0),0)</f>
        <v>1427.7224728364106</v>
      </c>
      <c r="Q3190" s="29"/>
      <c r="R3190" s="31"/>
      <c r="S3190" s="31"/>
      <c r="T3190" s="95" t="str">
        <f t="shared" si="253"/>
        <v/>
      </c>
      <c r="U3190" s="32">
        <f t="shared" si="250"/>
        <v>-1427.7224728364106</v>
      </c>
      <c r="V3190" s="22" t="str">
        <f t="shared" si="251"/>
        <v/>
      </c>
      <c r="X3190" s="33"/>
      <c r="Y3190" s="33"/>
    </row>
    <row r="3191" spans="1:25" x14ac:dyDescent="0.2">
      <c r="A3191" s="93" t="s">
        <v>1726</v>
      </c>
      <c r="B3191" s="94" t="str">
        <f>IFERROR(VLOOKUP($A3191,HeadJournal!$A$1:$NTR$890,COLUMN(HeadJournal!B$1),0),"")</f>
        <v>720000180301</v>
      </c>
      <c r="C3191" s="94" t="str">
        <f>IFERROR(VLOOKUP($A3191,HeadJournal!$A$1:$NTR$890,COLUMN(HeadJournal!C$1),0),"")</f>
        <v>iHerb_OA CZN6870</v>
      </c>
      <c r="D3191" s="125" t="str">
        <f>IFERROR(VLOOKUP($A3191,HeadJournal!$A$1:$NTR$890,COLUMN(HeadJournal!D$1),0),"")</f>
        <v>Доставлен</v>
      </c>
      <c r="E3191" s="95">
        <f>IFERROR(VLOOKUP($A3191,HeadJournal!$A$1:$NTR$890,COLUMN(HeadJournal!G$1),0),"")</f>
        <v>45375</v>
      </c>
      <c r="F3191" s="95" t="str">
        <f t="shared" si="252"/>
        <v>2024 03</v>
      </c>
      <c r="G3191" s="96" t="s">
        <v>5</v>
      </c>
      <c r="H3191" s="161" t="s">
        <v>2189</v>
      </c>
      <c r="I3191" s="97" t="s">
        <v>2005</v>
      </c>
      <c r="J3191" s="97" t="s">
        <v>4154</v>
      </c>
      <c r="K3191" s="29">
        <v>30.48</v>
      </c>
      <c r="L3191" s="29">
        <v>-7.3159999999999998</v>
      </c>
      <c r="M3191" s="30">
        <f>IFERROR(VLOOKUP($A3191,HeadJournal!$A$1:$J$890,COLUMN(HeadJournal!I$1),0)*($K3191+$L3191)/(SUMIF($A:$A,$A3191,$K:$K)+SUMIF($A:$A,$A3191,$L:$L)),0)</f>
        <v>-0.35200972570473366</v>
      </c>
      <c r="N3191" s="30">
        <f>IFERROR((VLOOKUP($A3191,HeadJournal!$A$1:$K$890,COLUMN(HeadJournal!K$1),0)-VLOOKUP($A3191,HeadJournal!$A$1:$K$890,COLUMN(HeadJournal!J$1),0))*($K3191+$L3191)/(SUMIF($A:$A,$A3191,$K:$K)+SUMIF($A:$A,$A3191,$L:$L)),0)</f>
        <v>0</v>
      </c>
      <c r="O3191" s="30">
        <f>IFERROR((VLOOKUP($A3191,HeadJournal!$A$1:$L$890,COLUMN(HeadJournal!L$1),0)*($K3191+$L3191)/(SUMIF($A:$A,$A3191,$K:$K)+SUMIF($A:$A,$A3191,$L:$L)))/VLOOKUP($A3191,HeadJournal!$A$1:$L$890,COLUMN(HeadJournal!H$1),0),0)</f>
        <v>0.93309474147200688</v>
      </c>
      <c r="P3191" s="30">
        <f>IFERROR(SUM(K3191:O3191)*VLOOKUP($A3191,HeadJournal!$A$1:$L$890,COLUMN(HeadJournal!H$1),0),0)</f>
        <v>2462.5289174074924</v>
      </c>
      <c r="Q3191" s="29">
        <v>3500</v>
      </c>
      <c r="R3191" s="31">
        <v>45427</v>
      </c>
      <c r="S3191" s="31" t="s">
        <v>3121</v>
      </c>
      <c r="T3191" s="95" t="str">
        <f t="shared" si="253"/>
        <v>2024 05</v>
      </c>
      <c r="U3191" s="32">
        <f t="shared" si="250"/>
        <v>1037.4710825925076</v>
      </c>
      <c r="V3191" s="22">
        <f t="shared" si="251"/>
        <v>0.42130310643610192</v>
      </c>
      <c r="X3191" s="33"/>
      <c r="Y3191" s="33"/>
    </row>
    <row r="3192" spans="1:25" x14ac:dyDescent="0.2">
      <c r="A3192" s="93" t="s">
        <v>1726</v>
      </c>
      <c r="B3192" s="94" t="str">
        <f>IFERROR(VLOOKUP($A3192,HeadJournal!$A$1:$NTR$890,COLUMN(HeadJournal!B$1),0),"")</f>
        <v>720000180301</v>
      </c>
      <c r="C3192" s="94" t="str">
        <f>IFERROR(VLOOKUP($A3192,HeadJournal!$A$1:$NTR$890,COLUMN(HeadJournal!C$1),0),"")</f>
        <v>iHerb_OA CZN6870</v>
      </c>
      <c r="D3192" s="125" t="str">
        <f>IFERROR(VLOOKUP($A3192,HeadJournal!$A$1:$NTR$890,COLUMN(HeadJournal!D$1),0),"")</f>
        <v>Доставлен</v>
      </c>
      <c r="E3192" s="95">
        <f>IFERROR(VLOOKUP($A3192,HeadJournal!$A$1:$NTR$890,COLUMN(HeadJournal!G$1),0),"")</f>
        <v>45375</v>
      </c>
      <c r="F3192" s="95" t="str">
        <f t="shared" si="252"/>
        <v>2024 03</v>
      </c>
      <c r="G3192" s="96" t="s">
        <v>5</v>
      </c>
      <c r="H3192" s="161" t="s">
        <v>2189</v>
      </c>
      <c r="I3192" s="97" t="s">
        <v>2005</v>
      </c>
      <c r="J3192" s="97" t="s">
        <v>4154</v>
      </c>
      <c r="K3192" s="29">
        <v>30.48</v>
      </c>
      <c r="L3192" s="29">
        <v>-7.3159999999999998</v>
      </c>
      <c r="M3192" s="30">
        <f>IFERROR(VLOOKUP($A3192,HeadJournal!$A$1:$J$890,COLUMN(HeadJournal!I$1),0)*($K3192+$L3192)/(SUMIF($A:$A,$A3192,$K:$K)+SUMIF($A:$A,$A3192,$L:$L)),0)</f>
        <v>-0.35200972570473366</v>
      </c>
      <c r="N3192" s="30">
        <f>IFERROR((VLOOKUP($A3192,HeadJournal!$A$1:$K$890,COLUMN(HeadJournal!K$1),0)-VLOOKUP($A3192,HeadJournal!$A$1:$K$890,COLUMN(HeadJournal!J$1),0))*($K3192+$L3192)/(SUMIF($A:$A,$A3192,$K:$K)+SUMIF($A:$A,$A3192,$L:$L)),0)</f>
        <v>0</v>
      </c>
      <c r="O3192" s="30">
        <f>IFERROR((VLOOKUP($A3192,HeadJournal!$A$1:$L$890,COLUMN(HeadJournal!L$1),0)*($K3192+$L3192)/(SUMIF($A:$A,$A3192,$K:$K)+SUMIF($A:$A,$A3192,$L:$L)))/VLOOKUP($A3192,HeadJournal!$A$1:$L$890,COLUMN(HeadJournal!H$1),0),0)</f>
        <v>0.93309474147200688</v>
      </c>
      <c r="P3192" s="30">
        <f>IFERROR(SUM(K3192:O3192)*VLOOKUP($A3192,HeadJournal!$A$1:$L$890,COLUMN(HeadJournal!H$1),0),0)</f>
        <v>2462.5289174074924</v>
      </c>
      <c r="Q3192" s="29">
        <v>3600</v>
      </c>
      <c r="R3192" s="31">
        <v>45434</v>
      </c>
      <c r="S3192" s="31" t="s">
        <v>3121</v>
      </c>
      <c r="T3192" s="95" t="str">
        <f t="shared" si="253"/>
        <v>2024 05</v>
      </c>
      <c r="U3192" s="32">
        <f t="shared" si="250"/>
        <v>1137.4710825925076</v>
      </c>
      <c r="V3192" s="22">
        <f t="shared" si="251"/>
        <v>0.46191176661999056</v>
      </c>
      <c r="X3192" s="33"/>
      <c r="Y3192" s="33"/>
    </row>
    <row r="3193" spans="1:25" x14ac:dyDescent="0.2">
      <c r="A3193" s="93" t="s">
        <v>1726</v>
      </c>
      <c r="B3193" s="94" t="str">
        <f>IFERROR(VLOOKUP($A3193,HeadJournal!$A$1:$NTR$890,COLUMN(HeadJournal!B$1),0),"")</f>
        <v>720000180301</v>
      </c>
      <c r="C3193" s="94" t="str">
        <f>IFERROR(VLOOKUP($A3193,HeadJournal!$A$1:$NTR$890,COLUMN(HeadJournal!C$1),0),"")</f>
        <v>iHerb_OA CZN6870</v>
      </c>
      <c r="D3193" s="125" t="str">
        <f>IFERROR(VLOOKUP($A3193,HeadJournal!$A$1:$NTR$890,COLUMN(HeadJournal!D$1),0),"")</f>
        <v>Доставлен</v>
      </c>
      <c r="E3193" s="95">
        <f>IFERROR(VLOOKUP($A3193,HeadJournal!$A$1:$NTR$890,COLUMN(HeadJournal!G$1),0),"")</f>
        <v>45375</v>
      </c>
      <c r="F3193" s="95" t="str">
        <f t="shared" si="252"/>
        <v>2024 03</v>
      </c>
      <c r="G3193" s="96" t="s">
        <v>5</v>
      </c>
      <c r="H3193" s="161" t="s">
        <v>2189</v>
      </c>
      <c r="I3193" s="97" t="s">
        <v>2005</v>
      </c>
      <c r="J3193" s="97" t="s">
        <v>4154</v>
      </c>
      <c r="K3193" s="29">
        <v>30.48</v>
      </c>
      <c r="L3193" s="29">
        <v>-7.3159999999999998</v>
      </c>
      <c r="M3193" s="30">
        <f>IFERROR(VLOOKUP($A3193,HeadJournal!$A$1:$J$890,COLUMN(HeadJournal!I$1),0)*($K3193+$L3193)/(SUMIF($A:$A,$A3193,$K:$K)+SUMIF($A:$A,$A3193,$L:$L)),0)</f>
        <v>-0.35200972570473366</v>
      </c>
      <c r="N3193" s="30">
        <f>IFERROR((VLOOKUP($A3193,HeadJournal!$A$1:$K$890,COLUMN(HeadJournal!K$1),0)-VLOOKUP($A3193,HeadJournal!$A$1:$K$890,COLUMN(HeadJournal!J$1),0))*($K3193+$L3193)/(SUMIF($A:$A,$A3193,$K:$K)+SUMIF($A:$A,$A3193,$L:$L)),0)</f>
        <v>0</v>
      </c>
      <c r="O3193" s="30">
        <f>IFERROR((VLOOKUP($A3193,HeadJournal!$A$1:$L$890,COLUMN(HeadJournal!L$1),0)*($K3193+$L3193)/(SUMIF($A:$A,$A3193,$K:$K)+SUMIF($A:$A,$A3193,$L:$L)))/VLOOKUP($A3193,HeadJournal!$A$1:$L$890,COLUMN(HeadJournal!H$1),0),0)</f>
        <v>0.93309474147200688</v>
      </c>
      <c r="P3193" s="30">
        <f>IFERROR(SUM(K3193:O3193)*VLOOKUP($A3193,HeadJournal!$A$1:$L$890,COLUMN(HeadJournal!H$1),0),0)</f>
        <v>2462.5289174074924</v>
      </c>
      <c r="Q3193" s="29">
        <v>3600</v>
      </c>
      <c r="R3193" s="31">
        <v>45437</v>
      </c>
      <c r="S3193" s="31" t="s">
        <v>3121</v>
      </c>
      <c r="T3193" s="95" t="str">
        <f t="shared" si="253"/>
        <v>2024 05</v>
      </c>
      <c r="U3193" s="32">
        <f t="shared" si="250"/>
        <v>1137.4710825925076</v>
      </c>
      <c r="V3193" s="22">
        <f t="shared" si="251"/>
        <v>0.46191176661999056</v>
      </c>
      <c r="X3193" s="33"/>
      <c r="Y3193" s="33"/>
    </row>
    <row r="3194" spans="1:25" x14ac:dyDescent="0.2">
      <c r="A3194" s="93" t="s">
        <v>1726</v>
      </c>
      <c r="B3194" s="94" t="str">
        <f>IFERROR(VLOOKUP($A3194,HeadJournal!$A$1:$NTR$890,COLUMN(HeadJournal!B$1),0),"")</f>
        <v>720000180301</v>
      </c>
      <c r="C3194" s="94" t="str">
        <f>IFERROR(VLOOKUP($A3194,HeadJournal!$A$1:$NTR$890,COLUMN(HeadJournal!C$1),0),"")</f>
        <v>iHerb_OA CZN6870</v>
      </c>
      <c r="D3194" s="125" t="str">
        <f>IFERROR(VLOOKUP($A3194,HeadJournal!$A$1:$NTR$890,COLUMN(HeadJournal!D$1),0),"")</f>
        <v>Доставлен</v>
      </c>
      <c r="E3194" s="95">
        <f>IFERROR(VLOOKUP($A3194,HeadJournal!$A$1:$NTR$890,COLUMN(HeadJournal!G$1),0),"")</f>
        <v>45375</v>
      </c>
      <c r="F3194" s="95" t="str">
        <f t="shared" si="252"/>
        <v>2024 03</v>
      </c>
      <c r="G3194" s="96" t="s">
        <v>5</v>
      </c>
      <c r="H3194" s="161" t="s">
        <v>2189</v>
      </c>
      <c r="I3194" s="97" t="s">
        <v>2005</v>
      </c>
      <c r="J3194" s="97" t="s">
        <v>4154</v>
      </c>
      <c r="K3194" s="29">
        <v>30.48</v>
      </c>
      <c r="L3194" s="29">
        <v>-7.3159999999999998</v>
      </c>
      <c r="M3194" s="30">
        <f>IFERROR(VLOOKUP($A3194,HeadJournal!$A$1:$J$890,COLUMN(HeadJournal!I$1),0)*($K3194+$L3194)/(SUMIF($A:$A,$A3194,$K:$K)+SUMIF($A:$A,$A3194,$L:$L)),0)</f>
        <v>-0.35200972570473366</v>
      </c>
      <c r="N3194" s="30">
        <f>IFERROR((VLOOKUP($A3194,HeadJournal!$A$1:$K$890,COLUMN(HeadJournal!K$1),0)-VLOOKUP($A3194,HeadJournal!$A$1:$K$890,COLUMN(HeadJournal!J$1),0))*($K3194+$L3194)/(SUMIF($A:$A,$A3194,$K:$K)+SUMIF($A:$A,$A3194,$L:$L)),0)</f>
        <v>0</v>
      </c>
      <c r="O3194" s="30">
        <f>IFERROR((VLOOKUP($A3194,HeadJournal!$A$1:$L$890,COLUMN(HeadJournal!L$1),0)*($K3194+$L3194)/(SUMIF($A:$A,$A3194,$K:$K)+SUMIF($A:$A,$A3194,$L:$L)))/VLOOKUP($A3194,HeadJournal!$A$1:$L$890,COLUMN(HeadJournal!H$1),0),0)</f>
        <v>0.93309474147200688</v>
      </c>
      <c r="P3194" s="30">
        <f>IFERROR(SUM(K3194:O3194)*VLOOKUP($A3194,HeadJournal!$A$1:$L$890,COLUMN(HeadJournal!H$1),0),0)</f>
        <v>2462.5289174074924</v>
      </c>
      <c r="Q3194" s="29">
        <v>3600</v>
      </c>
      <c r="R3194" s="31">
        <v>45437</v>
      </c>
      <c r="S3194" s="31" t="s">
        <v>3121</v>
      </c>
      <c r="T3194" s="95" t="str">
        <f t="shared" si="253"/>
        <v>2024 05</v>
      </c>
      <c r="U3194" s="32">
        <f t="shared" si="250"/>
        <v>1137.4710825925076</v>
      </c>
      <c r="V3194" s="22">
        <f t="shared" si="251"/>
        <v>0.46191176661999056</v>
      </c>
      <c r="X3194" s="33"/>
      <c r="Y3194" s="33"/>
    </row>
    <row r="3195" spans="1:25" x14ac:dyDescent="0.2">
      <c r="A3195" s="93" t="s">
        <v>1726</v>
      </c>
      <c r="B3195" s="94" t="str">
        <f>IFERROR(VLOOKUP($A3195,HeadJournal!$A$1:$NTR$890,COLUMN(HeadJournal!B$1),0),"")</f>
        <v>720000180301</v>
      </c>
      <c r="C3195" s="94" t="str">
        <f>IFERROR(VLOOKUP($A3195,HeadJournal!$A$1:$NTR$890,COLUMN(HeadJournal!C$1),0),"")</f>
        <v>iHerb_OA CZN6870</v>
      </c>
      <c r="D3195" s="125" t="str">
        <f>IFERROR(VLOOKUP($A3195,HeadJournal!$A$1:$NTR$890,COLUMN(HeadJournal!D$1),0),"")</f>
        <v>Доставлен</v>
      </c>
      <c r="E3195" s="95">
        <f>IFERROR(VLOOKUP($A3195,HeadJournal!$A$1:$NTR$890,COLUMN(HeadJournal!G$1),0),"")</f>
        <v>45375</v>
      </c>
      <c r="F3195" s="95" t="str">
        <f t="shared" si="252"/>
        <v>2024 03</v>
      </c>
      <c r="G3195" s="96" t="s">
        <v>5</v>
      </c>
      <c r="H3195" s="161" t="s">
        <v>2189</v>
      </c>
      <c r="I3195" s="97" t="s">
        <v>2005</v>
      </c>
      <c r="J3195" s="97" t="s">
        <v>4154</v>
      </c>
      <c r="K3195" s="29">
        <v>30.48</v>
      </c>
      <c r="L3195" s="29">
        <v>-7.3159999999999998</v>
      </c>
      <c r="M3195" s="30">
        <f>IFERROR(VLOOKUP($A3195,HeadJournal!$A$1:$J$890,COLUMN(HeadJournal!I$1),0)*($K3195+$L3195)/(SUMIF($A:$A,$A3195,$K:$K)+SUMIF($A:$A,$A3195,$L:$L)),0)</f>
        <v>-0.35200972570473366</v>
      </c>
      <c r="N3195" s="30">
        <f>IFERROR((VLOOKUP($A3195,HeadJournal!$A$1:$K$890,COLUMN(HeadJournal!K$1),0)-VLOOKUP($A3195,HeadJournal!$A$1:$K$890,COLUMN(HeadJournal!J$1),0))*($K3195+$L3195)/(SUMIF($A:$A,$A3195,$K:$K)+SUMIF($A:$A,$A3195,$L:$L)),0)</f>
        <v>0</v>
      </c>
      <c r="O3195" s="30">
        <f>IFERROR((VLOOKUP($A3195,HeadJournal!$A$1:$L$890,COLUMN(HeadJournal!L$1),0)*($K3195+$L3195)/(SUMIF($A:$A,$A3195,$K:$K)+SUMIF($A:$A,$A3195,$L:$L)))/VLOOKUP($A3195,HeadJournal!$A$1:$L$890,COLUMN(HeadJournal!H$1),0),0)</f>
        <v>0.93309474147200688</v>
      </c>
      <c r="P3195" s="30">
        <f>IFERROR(SUM(K3195:O3195)*VLOOKUP($A3195,HeadJournal!$A$1:$L$890,COLUMN(HeadJournal!H$1),0),0)</f>
        <v>2462.5289174074924</v>
      </c>
      <c r="Q3195" s="29">
        <v>3700</v>
      </c>
      <c r="R3195" s="31">
        <v>45472</v>
      </c>
      <c r="S3195" s="31" t="s">
        <v>3121</v>
      </c>
      <c r="T3195" s="95" t="str">
        <f t="shared" si="253"/>
        <v>2024 06</v>
      </c>
      <c r="U3195" s="32">
        <f t="shared" si="250"/>
        <v>1237.4710825925076</v>
      </c>
      <c r="V3195" s="22">
        <f t="shared" si="251"/>
        <v>0.50252042680387921</v>
      </c>
      <c r="X3195" s="33"/>
      <c r="Y3195" s="33"/>
    </row>
    <row r="3196" spans="1:25" x14ac:dyDescent="0.2">
      <c r="A3196" s="93" t="s">
        <v>1726</v>
      </c>
      <c r="B3196" s="94" t="str">
        <f>IFERROR(VLOOKUP($A3196,HeadJournal!$A$1:$NTR$890,COLUMN(HeadJournal!B$1),0),"")</f>
        <v>720000180301</v>
      </c>
      <c r="C3196" s="94" t="str">
        <f>IFERROR(VLOOKUP($A3196,HeadJournal!$A$1:$NTR$890,COLUMN(HeadJournal!C$1),0),"")</f>
        <v>iHerb_OA CZN6870</v>
      </c>
      <c r="D3196" s="125" t="str">
        <f>IFERROR(VLOOKUP($A3196,HeadJournal!$A$1:$NTR$890,COLUMN(HeadJournal!D$1),0),"")</f>
        <v>Доставлен</v>
      </c>
      <c r="E3196" s="95">
        <f>IFERROR(VLOOKUP($A3196,HeadJournal!$A$1:$NTR$890,COLUMN(HeadJournal!G$1),0),"")</f>
        <v>45375</v>
      </c>
      <c r="F3196" s="95" t="str">
        <f t="shared" si="252"/>
        <v>2024 03</v>
      </c>
      <c r="G3196" s="96" t="s">
        <v>5</v>
      </c>
      <c r="H3196" s="161" t="s">
        <v>2628</v>
      </c>
      <c r="I3196" s="97" t="s">
        <v>2005</v>
      </c>
      <c r="J3196" s="97" t="s">
        <v>2629</v>
      </c>
      <c r="K3196" s="29">
        <v>22.15</v>
      </c>
      <c r="L3196" s="29">
        <v>-4.43</v>
      </c>
      <c r="M3196" s="30">
        <f>IFERROR(VLOOKUP($A3196,HeadJournal!$A$1:$J$890,COLUMN(HeadJournal!I$1),0)*($K3196+$L3196)/(SUMIF($A:$A,$A3196,$K:$K)+SUMIF($A:$A,$A3196,$L:$L)),0)</f>
        <v>-0.26928044981384391</v>
      </c>
      <c r="N3196" s="30">
        <f>IFERROR((VLOOKUP($A3196,HeadJournal!$A$1:$K$890,COLUMN(HeadJournal!K$1),0)-VLOOKUP($A3196,HeadJournal!$A$1:$K$890,COLUMN(HeadJournal!J$1),0))*($K3196+$L3196)/(SUMIF($A:$A,$A3196,$K:$K)+SUMIF($A:$A,$A3196,$L:$L)),0)</f>
        <v>0</v>
      </c>
      <c r="O3196" s="30">
        <f>IFERROR((VLOOKUP($A3196,HeadJournal!$A$1:$L$890,COLUMN(HeadJournal!L$1),0)*($K3196+$L3196)/(SUMIF($A:$A,$A3196,$K:$K)+SUMIF($A:$A,$A3196,$L:$L)))/VLOOKUP($A3196,HeadJournal!$A$1:$L$890,COLUMN(HeadJournal!H$1),0),0)</f>
        <v>0.71379894745656891</v>
      </c>
      <c r="P3196" s="30">
        <f>IFERROR(SUM(K3196:O3196)*VLOOKUP($A3196,HeadJournal!$A$1:$L$890,COLUMN(HeadJournal!H$1),0),0)</f>
        <v>1883.7857199300965</v>
      </c>
      <c r="Q3196" s="29">
        <v>2700</v>
      </c>
      <c r="R3196" s="31">
        <v>45533</v>
      </c>
      <c r="S3196" s="31" t="s">
        <v>3121</v>
      </c>
      <c r="T3196" s="95" t="str">
        <f t="shared" si="253"/>
        <v>2024 08</v>
      </c>
      <c r="U3196" s="32">
        <f t="shared" si="250"/>
        <v>816.21428006990345</v>
      </c>
      <c r="V3196" s="22">
        <f t="shared" si="251"/>
        <v>0.43328403620141653</v>
      </c>
      <c r="X3196" s="33"/>
      <c r="Y3196" s="33"/>
    </row>
    <row r="3197" spans="1:25" x14ac:dyDescent="0.2">
      <c r="A3197" s="93" t="s">
        <v>1726</v>
      </c>
      <c r="B3197" s="94" t="str">
        <f>IFERROR(VLOOKUP($A3197,HeadJournal!$A$1:$NTR$890,COLUMN(HeadJournal!B$1),0),"")</f>
        <v>720000180301</v>
      </c>
      <c r="C3197" s="94" t="str">
        <f>IFERROR(VLOOKUP($A3197,HeadJournal!$A$1:$NTR$890,COLUMN(HeadJournal!C$1),0),"")</f>
        <v>iHerb_OA CZN6870</v>
      </c>
      <c r="D3197" s="125" t="str">
        <f>IFERROR(VLOOKUP($A3197,HeadJournal!$A$1:$NTR$890,COLUMN(HeadJournal!D$1),0),"")</f>
        <v>Доставлен</v>
      </c>
      <c r="E3197" s="95">
        <f>IFERROR(VLOOKUP($A3197,HeadJournal!$A$1:$NTR$890,COLUMN(HeadJournal!G$1),0),"")</f>
        <v>45375</v>
      </c>
      <c r="F3197" s="95" t="str">
        <f t="shared" si="252"/>
        <v>2024 03</v>
      </c>
      <c r="G3197" s="96" t="s">
        <v>5</v>
      </c>
      <c r="H3197" s="161" t="s">
        <v>2129</v>
      </c>
      <c r="I3197" s="97" t="s">
        <v>2125</v>
      </c>
      <c r="J3197" s="97" t="s">
        <v>2130</v>
      </c>
      <c r="K3197" s="29">
        <v>10.84</v>
      </c>
      <c r="L3197" s="29">
        <v>-2.1666666666666665</v>
      </c>
      <c r="M3197" s="30">
        <f>IFERROR(VLOOKUP($A3197,HeadJournal!$A$1:$J$890,COLUMN(HeadJournal!I$1),0)*($K3197+$L3197)/(SUMIF($A:$A,$A3197,$K:$K)+SUMIF($A:$A,$A3197,$L:$L)),0)</f>
        <v>-0.13180356102626445</v>
      </c>
      <c r="N3197" s="30">
        <f>IFERROR((VLOOKUP($A3197,HeadJournal!$A$1:$K$890,COLUMN(HeadJournal!K$1),0)-VLOOKUP($A3197,HeadJournal!$A$1:$K$890,COLUMN(HeadJournal!J$1),0))*($K3197+$L3197)/(SUMIF($A:$A,$A3197,$K:$K)+SUMIF($A:$A,$A3197,$L:$L)),0)</f>
        <v>0</v>
      </c>
      <c r="O3197" s="30">
        <f>IFERROR((VLOOKUP($A3197,HeadJournal!$A$1:$L$890,COLUMN(HeadJournal!L$1),0)*($K3197+$L3197)/(SUMIF($A:$A,$A3197,$K:$K)+SUMIF($A:$A,$A3197,$L:$L)))/VLOOKUP($A3197,HeadJournal!$A$1:$L$890,COLUMN(HeadJournal!H$1),0),0)</f>
        <v>0.34938014696801961</v>
      </c>
      <c r="P3197" s="30">
        <f>IFERROR(SUM(K3197:O3197)*VLOOKUP($A3197,HeadJournal!$A$1:$L$890,COLUMN(HeadJournal!H$1),0),0)</f>
        <v>922.04861611326396</v>
      </c>
      <c r="Q3197" s="29">
        <v>1700</v>
      </c>
      <c r="R3197" s="31">
        <v>45554</v>
      </c>
      <c r="S3197" s="31" t="s">
        <v>3121</v>
      </c>
      <c r="T3197" s="95" t="str">
        <f t="shared" si="253"/>
        <v>2024 09</v>
      </c>
      <c r="U3197" s="32">
        <f t="shared" si="250"/>
        <v>777.95138388673604</v>
      </c>
      <c r="V3197" s="22">
        <f t="shared" si="251"/>
        <v>0.84372056992618805</v>
      </c>
      <c r="X3197" s="33"/>
      <c r="Y3197" s="33"/>
    </row>
    <row r="3198" spans="1:25" x14ac:dyDescent="0.2">
      <c r="A3198" s="93" t="s">
        <v>1726</v>
      </c>
      <c r="B3198" s="94" t="str">
        <f>IFERROR(VLOOKUP($A3198,HeadJournal!$A$1:$NTR$890,COLUMN(HeadJournal!B$1),0),"")</f>
        <v>720000180301</v>
      </c>
      <c r="C3198" s="94" t="str">
        <f>IFERROR(VLOOKUP($A3198,HeadJournal!$A$1:$NTR$890,COLUMN(HeadJournal!C$1),0),"")</f>
        <v>iHerb_OA CZN6870</v>
      </c>
      <c r="D3198" s="125" t="str">
        <f>IFERROR(VLOOKUP($A3198,HeadJournal!$A$1:$NTR$890,COLUMN(HeadJournal!D$1),0),"")</f>
        <v>Доставлен</v>
      </c>
      <c r="E3198" s="95">
        <f>IFERROR(VLOOKUP($A3198,HeadJournal!$A$1:$NTR$890,COLUMN(HeadJournal!G$1),0),"")</f>
        <v>45375</v>
      </c>
      <c r="F3198" s="95" t="str">
        <f t="shared" si="252"/>
        <v>2024 03</v>
      </c>
      <c r="G3198" s="96" t="s">
        <v>5</v>
      </c>
      <c r="H3198" s="161" t="s">
        <v>2129</v>
      </c>
      <c r="I3198" s="97" t="s">
        <v>2125</v>
      </c>
      <c r="J3198" s="97" t="s">
        <v>2130</v>
      </c>
      <c r="K3198" s="29">
        <v>10.84</v>
      </c>
      <c r="L3198" s="29">
        <v>-2.1666666666666665</v>
      </c>
      <c r="M3198" s="30">
        <f>IFERROR(VLOOKUP($A3198,HeadJournal!$A$1:$J$890,COLUMN(HeadJournal!I$1),0)*($K3198+$L3198)/(SUMIF($A:$A,$A3198,$K:$K)+SUMIF($A:$A,$A3198,$L:$L)),0)</f>
        <v>-0.13180356102626445</v>
      </c>
      <c r="N3198" s="30">
        <f>IFERROR((VLOOKUP($A3198,HeadJournal!$A$1:$K$890,COLUMN(HeadJournal!K$1),0)-VLOOKUP($A3198,HeadJournal!$A$1:$K$890,COLUMN(HeadJournal!J$1),0))*($K3198+$L3198)/(SUMIF($A:$A,$A3198,$K:$K)+SUMIF($A:$A,$A3198,$L:$L)),0)</f>
        <v>0</v>
      </c>
      <c r="O3198" s="30">
        <f>IFERROR((VLOOKUP($A3198,HeadJournal!$A$1:$L$890,COLUMN(HeadJournal!L$1),0)*($K3198+$L3198)/(SUMIF($A:$A,$A3198,$K:$K)+SUMIF($A:$A,$A3198,$L:$L)))/VLOOKUP($A3198,HeadJournal!$A$1:$L$890,COLUMN(HeadJournal!H$1),0),0)</f>
        <v>0.34938014696801961</v>
      </c>
      <c r="P3198" s="30">
        <f>IFERROR(SUM(K3198:O3198)*VLOOKUP($A3198,HeadJournal!$A$1:$L$890,COLUMN(HeadJournal!H$1),0),0)</f>
        <v>922.04861611326396</v>
      </c>
      <c r="Q3198" s="29">
        <v>1800</v>
      </c>
      <c r="R3198" s="31">
        <v>45589</v>
      </c>
      <c r="S3198" s="31" t="s">
        <v>3121</v>
      </c>
      <c r="T3198" s="95" t="str">
        <f t="shared" si="253"/>
        <v>2024 10</v>
      </c>
      <c r="U3198" s="32">
        <f t="shared" si="250"/>
        <v>877.95138388673604</v>
      </c>
      <c r="V3198" s="22">
        <f t="shared" si="251"/>
        <v>0.9521747210983168</v>
      </c>
      <c r="X3198" s="33"/>
      <c r="Y3198" s="33"/>
    </row>
    <row r="3199" spans="1:25" x14ac:dyDescent="0.2">
      <c r="A3199" s="93" t="s">
        <v>1726</v>
      </c>
      <c r="B3199" s="94" t="str">
        <f>IFERROR(VLOOKUP($A3199,HeadJournal!$A$1:$NTR$890,COLUMN(HeadJournal!B$1),0),"")</f>
        <v>720000180301</v>
      </c>
      <c r="C3199" s="94" t="str">
        <f>IFERROR(VLOOKUP($A3199,HeadJournal!$A$1:$NTR$890,COLUMN(HeadJournal!C$1),0),"")</f>
        <v>iHerb_OA CZN6870</v>
      </c>
      <c r="D3199" s="125" t="str">
        <f>IFERROR(VLOOKUP($A3199,HeadJournal!$A$1:$NTR$890,COLUMN(HeadJournal!D$1),0),"")</f>
        <v>Доставлен</v>
      </c>
      <c r="E3199" s="95">
        <f>IFERROR(VLOOKUP($A3199,HeadJournal!$A$1:$NTR$890,COLUMN(HeadJournal!G$1),0),"")</f>
        <v>45375</v>
      </c>
      <c r="F3199" s="95" t="str">
        <f t="shared" si="252"/>
        <v>2024 03</v>
      </c>
      <c r="G3199" s="96" t="s">
        <v>5</v>
      </c>
      <c r="H3199" s="161" t="s">
        <v>2129</v>
      </c>
      <c r="I3199" s="97" t="s">
        <v>2125</v>
      </c>
      <c r="J3199" s="97" t="s">
        <v>2130</v>
      </c>
      <c r="K3199" s="29">
        <v>10.84</v>
      </c>
      <c r="L3199" s="29">
        <v>-2.1666666666666665</v>
      </c>
      <c r="M3199" s="30">
        <f>IFERROR(VLOOKUP($A3199,HeadJournal!$A$1:$J$890,COLUMN(HeadJournal!I$1),0)*($K3199+$L3199)/(SUMIF($A:$A,$A3199,$K:$K)+SUMIF($A:$A,$A3199,$L:$L)),0)</f>
        <v>-0.13180356102626445</v>
      </c>
      <c r="N3199" s="30">
        <f>IFERROR((VLOOKUP($A3199,HeadJournal!$A$1:$K$890,COLUMN(HeadJournal!K$1),0)-VLOOKUP($A3199,HeadJournal!$A$1:$K$890,COLUMN(HeadJournal!J$1),0))*($K3199+$L3199)/(SUMIF($A:$A,$A3199,$K:$K)+SUMIF($A:$A,$A3199,$L:$L)),0)</f>
        <v>0</v>
      </c>
      <c r="O3199" s="30">
        <f>IFERROR((VLOOKUP($A3199,HeadJournal!$A$1:$L$890,COLUMN(HeadJournal!L$1),0)*($K3199+$L3199)/(SUMIF($A:$A,$A3199,$K:$K)+SUMIF($A:$A,$A3199,$L:$L)))/VLOOKUP($A3199,HeadJournal!$A$1:$L$890,COLUMN(HeadJournal!H$1),0),0)</f>
        <v>0.34938014696801961</v>
      </c>
      <c r="P3199" s="30">
        <f>IFERROR(SUM(K3199:O3199)*VLOOKUP($A3199,HeadJournal!$A$1:$L$890,COLUMN(HeadJournal!H$1),0),0)</f>
        <v>922.04861611326396</v>
      </c>
      <c r="Q3199" s="29">
        <v>1900</v>
      </c>
      <c r="R3199" s="31">
        <v>45922</v>
      </c>
      <c r="S3199" s="31"/>
      <c r="T3199" s="95" t="str">
        <f t="shared" si="253"/>
        <v>2025 09</v>
      </c>
      <c r="U3199" s="32">
        <f t="shared" si="250"/>
        <v>977.95138388673604</v>
      </c>
      <c r="V3199" s="22">
        <f t="shared" si="251"/>
        <v>1.0606288722704456</v>
      </c>
      <c r="X3199" s="33"/>
      <c r="Y3199" s="33"/>
    </row>
    <row r="3200" spans="1:25" x14ac:dyDescent="0.2">
      <c r="A3200" s="93" t="s">
        <v>1726</v>
      </c>
      <c r="B3200" s="94" t="str">
        <f>IFERROR(VLOOKUP($A3200,HeadJournal!$A$1:$NTR$890,COLUMN(HeadJournal!B$1),0),"")</f>
        <v>720000180301</v>
      </c>
      <c r="C3200" s="94" t="str">
        <f>IFERROR(VLOOKUP($A3200,HeadJournal!$A$1:$NTR$890,COLUMN(HeadJournal!C$1),0),"")</f>
        <v>iHerb_OA CZN6870</v>
      </c>
      <c r="D3200" s="125" t="str">
        <f>IFERROR(VLOOKUP($A3200,HeadJournal!$A$1:$NTR$890,COLUMN(HeadJournal!D$1),0),"")</f>
        <v>Доставлен</v>
      </c>
      <c r="E3200" s="95">
        <f>IFERROR(VLOOKUP($A3200,HeadJournal!$A$1:$NTR$890,COLUMN(HeadJournal!G$1),0),"")</f>
        <v>45375</v>
      </c>
      <c r="F3200" s="95" t="str">
        <f t="shared" si="252"/>
        <v>2024 03</v>
      </c>
      <c r="G3200" s="96" t="s">
        <v>5</v>
      </c>
      <c r="H3200" s="161" t="s">
        <v>2020</v>
      </c>
      <c r="I3200" s="97" t="s">
        <v>2004</v>
      </c>
      <c r="J3200" s="97" t="s">
        <v>2021</v>
      </c>
      <c r="K3200" s="29">
        <v>14.46</v>
      </c>
      <c r="L3200" s="29">
        <v>-2.89</v>
      </c>
      <c r="M3200" s="30">
        <f>IFERROR(VLOOKUP($A3200,HeadJournal!$A$1:$J$890,COLUMN(HeadJournal!I$1),0)*($K3200+$L3200)/(SUMIF($A:$A,$A3200,$K:$K)+SUMIF($A:$A,$A3200,$L:$L)),0)</f>
        <v>-0.17582250588861029</v>
      </c>
      <c r="N3200" s="30">
        <f>IFERROR((VLOOKUP($A3200,HeadJournal!$A$1:$K$890,COLUMN(HeadJournal!K$1),0)-VLOOKUP($A3200,HeadJournal!$A$1:$K$890,COLUMN(HeadJournal!J$1),0))*($K3200+$L3200)/(SUMIF($A:$A,$A3200,$K:$K)+SUMIF($A:$A,$A3200,$L:$L)),0)</f>
        <v>0</v>
      </c>
      <c r="O3200" s="30">
        <f>IFERROR((VLOOKUP($A3200,HeadJournal!$A$1:$L$890,COLUMN(HeadJournal!L$1),0)*($K3200+$L3200)/(SUMIF($A:$A,$A3200,$K:$K)+SUMIF($A:$A,$A3200,$L:$L)))/VLOOKUP($A3200,HeadJournal!$A$1:$L$890,COLUMN(HeadJournal!H$1),0),0)</f>
        <v>0.46606398544427213</v>
      </c>
      <c r="P3200" s="30">
        <f>IFERROR(SUM(K3200:O3200)*VLOOKUP($A3200,HeadJournal!$A$1:$L$890,COLUMN(HeadJournal!H$1),0),0)</f>
        <v>1229.9887573132739</v>
      </c>
      <c r="Q3200" s="29">
        <v>2000</v>
      </c>
      <c r="R3200" s="31">
        <v>45521</v>
      </c>
      <c r="S3200" s="31" t="s">
        <v>3121</v>
      </c>
      <c r="T3200" s="95" t="str">
        <f t="shared" si="253"/>
        <v>2024 08</v>
      </c>
      <c r="U3200" s="32">
        <f t="shared" si="250"/>
        <v>770.01124268672606</v>
      </c>
      <c r="V3200" s="22">
        <f t="shared" si="251"/>
        <v>0.62603112273050376</v>
      </c>
      <c r="X3200" s="33"/>
      <c r="Y3200" s="33"/>
    </row>
    <row r="3201" spans="1:25" x14ac:dyDescent="0.2">
      <c r="A3201" s="93" t="s">
        <v>1726</v>
      </c>
      <c r="B3201" s="94" t="str">
        <f>IFERROR(VLOOKUP($A3201,HeadJournal!$A$1:$NTR$890,COLUMN(HeadJournal!B$1),0),"")</f>
        <v>720000180301</v>
      </c>
      <c r="C3201" s="94" t="str">
        <f>IFERROR(VLOOKUP($A3201,HeadJournal!$A$1:$NTR$890,COLUMN(HeadJournal!C$1),0),"")</f>
        <v>iHerb_OA CZN6870</v>
      </c>
      <c r="D3201" s="125" t="str">
        <f>IFERROR(VLOOKUP($A3201,HeadJournal!$A$1:$NTR$890,COLUMN(HeadJournal!D$1),0),"")</f>
        <v>Доставлен</v>
      </c>
      <c r="E3201" s="95">
        <f>IFERROR(VLOOKUP($A3201,HeadJournal!$A$1:$NTR$890,COLUMN(HeadJournal!G$1),0),"")</f>
        <v>45375</v>
      </c>
      <c r="F3201" s="95" t="str">
        <f t="shared" si="252"/>
        <v>2024 03</v>
      </c>
      <c r="G3201" s="96" t="s">
        <v>5</v>
      </c>
      <c r="H3201" s="161" t="s">
        <v>2196</v>
      </c>
      <c r="I3201" s="97" t="s">
        <v>2006</v>
      </c>
      <c r="J3201" s="97" t="s">
        <v>2197</v>
      </c>
      <c r="K3201" s="29">
        <v>17.329999999999998</v>
      </c>
      <c r="L3201" s="29">
        <v>-3.4649999999999999</v>
      </c>
      <c r="M3201" s="30">
        <f>IFERROR(VLOOKUP($A3201,HeadJournal!$A$1:$J$890,COLUMN(HeadJournal!I$1),0)*($K3201+$L3201)/(SUMIF($A:$A,$A3201,$K:$K)+SUMIF($A:$A,$A3201,$L:$L)),0)</f>
        <v>-0.21069827520705109</v>
      </c>
      <c r="N3201" s="30">
        <f>IFERROR((VLOOKUP($A3201,HeadJournal!$A$1:$K$890,COLUMN(HeadJournal!K$1),0)-VLOOKUP($A3201,HeadJournal!$A$1:$K$890,COLUMN(HeadJournal!J$1),0))*($K3201+$L3201)/(SUMIF($A:$A,$A3201,$K:$K)+SUMIF($A:$A,$A3201,$L:$L)),0)</f>
        <v>0</v>
      </c>
      <c r="O3201" s="30">
        <f>IFERROR((VLOOKUP($A3201,HeadJournal!$A$1:$L$890,COLUMN(HeadJournal!L$1),0)*($K3201+$L3201)/(SUMIF($A:$A,$A3201,$K:$K)+SUMIF($A:$A,$A3201,$L:$L)))/VLOOKUP($A3201,HeadJournal!$A$1:$L$890,COLUMN(HeadJournal!H$1),0),0)</f>
        <v>0.55851142248788521</v>
      </c>
      <c r="P3201" s="30">
        <f>IFERROR(SUM(K3201:O3201)*VLOOKUP($A3201,HeadJournal!$A$1:$L$890,COLUMN(HeadJournal!H$1),0),0)</f>
        <v>1473.966648241015</v>
      </c>
      <c r="Q3201" s="29">
        <v>2500</v>
      </c>
      <c r="R3201" s="31">
        <v>45402</v>
      </c>
      <c r="S3201" s="31" t="s">
        <v>3121</v>
      </c>
      <c r="T3201" s="95" t="str">
        <f t="shared" si="253"/>
        <v>2024 04</v>
      </c>
      <c r="U3201" s="32">
        <f t="shared" ref="U3201:U3264" si="254">Q3201-P3201</f>
        <v>1026.033351758985</v>
      </c>
      <c r="V3201" s="22">
        <f t="shared" ref="V3201:V3264" si="255">IF(Q3201&lt;&gt;0,IFERROR(U3201/P3201,""),"")</f>
        <v>0.69610350612981686</v>
      </c>
      <c r="X3201" s="33"/>
      <c r="Y3201" s="33"/>
    </row>
    <row r="3202" spans="1:25" x14ac:dyDescent="0.2">
      <c r="A3202" s="93" t="s">
        <v>1726</v>
      </c>
      <c r="B3202" s="94" t="str">
        <f>IFERROR(VLOOKUP($A3202,HeadJournal!$A$1:$NTR$890,COLUMN(HeadJournal!B$1),0),"")</f>
        <v>720000180301</v>
      </c>
      <c r="C3202" s="94" t="str">
        <f>IFERROR(VLOOKUP($A3202,HeadJournal!$A$1:$NTR$890,COLUMN(HeadJournal!C$1),0),"")</f>
        <v>iHerb_OA CZN6870</v>
      </c>
      <c r="D3202" s="125" t="str">
        <f>IFERROR(VLOOKUP($A3202,HeadJournal!$A$1:$NTR$890,COLUMN(HeadJournal!D$1),0),"")</f>
        <v>Доставлен</v>
      </c>
      <c r="E3202" s="95">
        <f>IFERROR(VLOOKUP($A3202,HeadJournal!$A$1:$NTR$890,COLUMN(HeadJournal!G$1),0),"")</f>
        <v>45375</v>
      </c>
      <c r="F3202" s="95" t="str">
        <f t="shared" si="252"/>
        <v>2024 03</v>
      </c>
      <c r="G3202" s="96" t="s">
        <v>5</v>
      </c>
      <c r="H3202" s="161" t="s">
        <v>2196</v>
      </c>
      <c r="I3202" s="97" t="s">
        <v>2006</v>
      </c>
      <c r="J3202" s="97" t="s">
        <v>2197</v>
      </c>
      <c r="K3202" s="29">
        <v>17.329999999999998</v>
      </c>
      <c r="L3202" s="29">
        <v>-3.4649999999999999</v>
      </c>
      <c r="M3202" s="30">
        <f>IFERROR(VLOOKUP($A3202,HeadJournal!$A$1:$J$890,COLUMN(HeadJournal!I$1),0)*($K3202+$L3202)/(SUMIF($A:$A,$A3202,$K:$K)+SUMIF($A:$A,$A3202,$L:$L)),0)</f>
        <v>-0.21069827520705109</v>
      </c>
      <c r="N3202" s="30">
        <f>IFERROR((VLOOKUP($A3202,HeadJournal!$A$1:$K$890,COLUMN(HeadJournal!K$1),0)-VLOOKUP($A3202,HeadJournal!$A$1:$K$890,COLUMN(HeadJournal!J$1),0))*($K3202+$L3202)/(SUMIF($A:$A,$A3202,$K:$K)+SUMIF($A:$A,$A3202,$L:$L)),0)</f>
        <v>0</v>
      </c>
      <c r="O3202" s="30">
        <f>IFERROR((VLOOKUP($A3202,HeadJournal!$A$1:$L$890,COLUMN(HeadJournal!L$1),0)*($K3202+$L3202)/(SUMIF($A:$A,$A3202,$K:$K)+SUMIF($A:$A,$A3202,$L:$L)))/VLOOKUP($A3202,HeadJournal!$A$1:$L$890,COLUMN(HeadJournal!H$1),0),0)</f>
        <v>0.55851142248788521</v>
      </c>
      <c r="P3202" s="30">
        <f>IFERROR(SUM(K3202:O3202)*VLOOKUP($A3202,HeadJournal!$A$1:$L$890,COLUMN(HeadJournal!H$1),0),0)</f>
        <v>1473.966648241015</v>
      </c>
      <c r="Q3202" s="29">
        <v>2500</v>
      </c>
      <c r="R3202" s="31">
        <v>45402</v>
      </c>
      <c r="S3202" s="31" t="s">
        <v>3121</v>
      </c>
      <c r="T3202" s="95" t="str">
        <f t="shared" si="253"/>
        <v>2024 04</v>
      </c>
      <c r="U3202" s="32">
        <f t="shared" si="254"/>
        <v>1026.033351758985</v>
      </c>
      <c r="V3202" s="22">
        <f t="shared" si="255"/>
        <v>0.69610350612981686</v>
      </c>
      <c r="X3202" s="33"/>
      <c r="Y3202" s="33"/>
    </row>
    <row r="3203" spans="1:25" x14ac:dyDescent="0.2">
      <c r="A3203" s="93" t="s">
        <v>1726</v>
      </c>
      <c r="B3203" s="94" t="str">
        <f>IFERROR(VLOOKUP($A3203,HeadJournal!$A$1:$NTR$890,COLUMN(HeadJournal!B$1),0),"")</f>
        <v>720000180301</v>
      </c>
      <c r="C3203" s="94" t="str">
        <f>IFERROR(VLOOKUP($A3203,HeadJournal!$A$1:$NTR$890,COLUMN(HeadJournal!C$1),0),"")</f>
        <v>iHerb_OA CZN6870</v>
      </c>
      <c r="D3203" s="125" t="str">
        <f>IFERROR(VLOOKUP($A3203,HeadJournal!$A$1:$NTR$890,COLUMN(HeadJournal!D$1),0),"")</f>
        <v>Доставлен</v>
      </c>
      <c r="E3203" s="95">
        <f>IFERROR(VLOOKUP($A3203,HeadJournal!$A$1:$NTR$890,COLUMN(HeadJournal!G$1),0),"")</f>
        <v>45375</v>
      </c>
      <c r="F3203" s="95" t="str">
        <f t="shared" si="252"/>
        <v>2024 03</v>
      </c>
      <c r="G3203" s="96" t="s">
        <v>5</v>
      </c>
      <c r="H3203" s="161" t="s">
        <v>2103</v>
      </c>
      <c r="I3203" s="97" t="s">
        <v>2039</v>
      </c>
      <c r="J3203" s="97" t="s">
        <v>2104</v>
      </c>
      <c r="K3203" s="29">
        <v>17.100000000000001</v>
      </c>
      <c r="L3203" s="29">
        <v>-3.42</v>
      </c>
      <c r="M3203" s="30">
        <f>IFERROR(VLOOKUP($A3203,HeadJournal!$A$1:$J$890,COLUMN(HeadJournal!I$1),0)*($K3203+$L3203)/(SUMIF($A:$A,$A3203,$K:$K)+SUMIF($A:$A,$A3203,$L:$L)),0)</f>
        <v>-0.20788693868247093</v>
      </c>
      <c r="N3203" s="30">
        <f>IFERROR((VLOOKUP($A3203,HeadJournal!$A$1:$K$890,COLUMN(HeadJournal!K$1),0)-VLOOKUP($A3203,HeadJournal!$A$1:$K$890,COLUMN(HeadJournal!J$1),0))*($K3203+$L3203)/(SUMIF($A:$A,$A3203,$K:$K)+SUMIF($A:$A,$A3203,$L:$L)),0)</f>
        <v>0</v>
      </c>
      <c r="O3203" s="30">
        <f>IFERROR((VLOOKUP($A3203,HeadJournal!$A$1:$L$890,COLUMN(HeadJournal!L$1),0)*($K3203+$L3203)/(SUMIF($A:$A,$A3203,$K:$K)+SUMIF($A:$A,$A3203,$L:$L)))/VLOOKUP($A3203,HeadJournal!$A$1:$L$890,COLUMN(HeadJournal!H$1),0),0)</f>
        <v>0.55105923257369427</v>
      </c>
      <c r="P3203" s="30">
        <f>IFERROR(SUM(K3203:O3203)*VLOOKUP($A3203,HeadJournal!$A$1:$L$890,COLUMN(HeadJournal!H$1),0),0)</f>
        <v>1454.2995851379076</v>
      </c>
      <c r="Q3203" s="29">
        <v>2200</v>
      </c>
      <c r="R3203" s="31">
        <v>45414</v>
      </c>
      <c r="S3203" s="31" t="s">
        <v>3121</v>
      </c>
      <c r="T3203" s="95" t="str">
        <f t="shared" si="253"/>
        <v>2024 05</v>
      </c>
      <c r="U3203" s="32">
        <f t="shared" si="254"/>
        <v>745.70041486209243</v>
      </c>
      <c r="V3203" s="22">
        <f t="shared" si="255"/>
        <v>0.51275570899057876</v>
      </c>
      <c r="X3203" s="33"/>
      <c r="Y3203" s="33"/>
    </row>
    <row r="3204" spans="1:25" x14ac:dyDescent="0.2">
      <c r="A3204" s="93" t="s">
        <v>1726</v>
      </c>
      <c r="B3204" s="94" t="str">
        <f>IFERROR(VLOOKUP($A3204,HeadJournal!$A$1:$NTR$890,COLUMN(HeadJournal!B$1),0),"")</f>
        <v>720000180301</v>
      </c>
      <c r="C3204" s="94" t="str">
        <f>IFERROR(VLOOKUP($A3204,HeadJournal!$A$1:$NTR$890,COLUMN(HeadJournal!C$1),0),"")</f>
        <v>iHerb_OA CZN6870</v>
      </c>
      <c r="D3204" s="125" t="str">
        <f>IFERROR(VLOOKUP($A3204,HeadJournal!$A$1:$NTR$890,COLUMN(HeadJournal!D$1),0),"")</f>
        <v>Доставлен</v>
      </c>
      <c r="E3204" s="95">
        <f>IFERROR(VLOOKUP($A3204,HeadJournal!$A$1:$NTR$890,COLUMN(HeadJournal!G$1),0),"")</f>
        <v>45375</v>
      </c>
      <c r="F3204" s="95" t="str">
        <f t="shared" ref="F3204:F3267" si="256">IFERROR(TEXT(E3204, "ГГГГ ММ"),"")</f>
        <v>2024 03</v>
      </c>
      <c r="G3204" s="96" t="s">
        <v>5</v>
      </c>
      <c r="H3204" s="161" t="s">
        <v>2105</v>
      </c>
      <c r="I3204" s="97" t="s">
        <v>2039</v>
      </c>
      <c r="J3204" s="97" t="s">
        <v>2106</v>
      </c>
      <c r="K3204" s="29">
        <v>11.05</v>
      </c>
      <c r="L3204" s="29">
        <v>-2.21</v>
      </c>
      <c r="M3204" s="30">
        <f>IFERROR(VLOOKUP($A3204,HeadJournal!$A$1:$J$890,COLUMN(HeadJournal!I$1),0)*($K3204+$L3204)/(SUMIF($A:$A,$A3204,$K:$K)+SUMIF($A:$A,$A3204,$L:$L)),0)</f>
        <v>-0.13433629663399435</v>
      </c>
      <c r="N3204" s="30">
        <f>IFERROR((VLOOKUP($A3204,HeadJournal!$A$1:$K$890,COLUMN(HeadJournal!K$1),0)-VLOOKUP($A3204,HeadJournal!$A$1:$K$890,COLUMN(HeadJournal!J$1),0))*($K3204+$L3204)/(SUMIF($A:$A,$A3204,$K:$K)+SUMIF($A:$A,$A3204,$L:$L)),0)</f>
        <v>0</v>
      </c>
      <c r="O3204" s="30">
        <f>IFERROR((VLOOKUP($A3204,HeadJournal!$A$1:$L$890,COLUMN(HeadJournal!L$1),0)*($K3204+$L3204)/(SUMIF($A:$A,$A3204,$K:$K)+SUMIF($A:$A,$A3204,$L:$L)))/VLOOKUP($A3204,HeadJournal!$A$1:$L$890,COLUMN(HeadJournal!H$1),0),0)</f>
        <v>0.35609383157539892</v>
      </c>
      <c r="P3204" s="30">
        <f>IFERROR(SUM(K3204:O3204)*VLOOKUP($A3204,HeadJournal!$A$1:$L$890,COLUMN(HeadJournal!H$1),0),0)</f>
        <v>939.76669098092839</v>
      </c>
      <c r="Q3204" s="29">
        <v>1600</v>
      </c>
      <c r="R3204" s="31">
        <v>45414</v>
      </c>
      <c r="S3204" s="31" t="s">
        <v>3121</v>
      </c>
      <c r="T3204" s="95" t="str">
        <f t="shared" ref="T3204:T3267" si="257">IF(R3204="","",TEXT(R3204,"ГГГГ ММ"))</f>
        <v>2024 05</v>
      </c>
      <c r="U3204" s="32">
        <f t="shared" si="254"/>
        <v>660.23330901907161</v>
      </c>
      <c r="V3204" s="22">
        <f t="shared" si="255"/>
        <v>0.70255023438840991</v>
      </c>
      <c r="X3204" s="33"/>
      <c r="Y3204" s="33"/>
    </row>
    <row r="3205" spans="1:25" x14ac:dyDescent="0.2">
      <c r="A3205" s="93" t="s">
        <v>1726</v>
      </c>
      <c r="B3205" s="94" t="str">
        <f>IFERROR(VLOOKUP($A3205,HeadJournal!$A$1:$NTR$890,COLUMN(HeadJournal!B$1),0),"")</f>
        <v>720000180301</v>
      </c>
      <c r="C3205" s="94" t="str">
        <f>IFERROR(VLOOKUP($A3205,HeadJournal!$A$1:$NTR$890,COLUMN(HeadJournal!C$1),0),"")</f>
        <v>iHerb_OA CZN6870</v>
      </c>
      <c r="D3205" s="125" t="str">
        <f>IFERROR(VLOOKUP($A3205,HeadJournal!$A$1:$NTR$890,COLUMN(HeadJournal!D$1),0),"")</f>
        <v>Доставлен</v>
      </c>
      <c r="E3205" s="95">
        <f>IFERROR(VLOOKUP($A3205,HeadJournal!$A$1:$NTR$890,COLUMN(HeadJournal!G$1),0),"")</f>
        <v>45375</v>
      </c>
      <c r="F3205" s="95" t="str">
        <f t="shared" si="256"/>
        <v>2024 03</v>
      </c>
      <c r="G3205" s="96" t="s">
        <v>5</v>
      </c>
      <c r="H3205" s="161" t="s">
        <v>2146</v>
      </c>
      <c r="I3205" s="97" t="s">
        <v>2147</v>
      </c>
      <c r="J3205" s="97" t="s">
        <v>2148</v>
      </c>
      <c r="K3205" s="29">
        <v>29.93</v>
      </c>
      <c r="L3205" s="29">
        <v>-14.95</v>
      </c>
      <c r="M3205" s="30">
        <f>IFERROR(VLOOKUP($A3205,HeadJournal!$A$1:$J$890,COLUMN(HeadJournal!I$1),0)*($K3205+$L3205)/(SUMIF($A:$A,$A3205,$K:$K)+SUMIF($A:$A,$A3205,$L:$L)),0)</f>
        <v>-0.22764227642276422</v>
      </c>
      <c r="N3205" s="30">
        <f>IFERROR((VLOOKUP($A3205,HeadJournal!$A$1:$K$890,COLUMN(HeadJournal!K$1),0)-VLOOKUP($A3205,HeadJournal!$A$1:$K$890,COLUMN(HeadJournal!J$1),0))*($K3205+$L3205)/(SUMIF($A:$A,$A3205,$K:$K)+SUMIF($A:$A,$A3205,$L:$L)),0)</f>
        <v>0</v>
      </c>
      <c r="O3205" s="30">
        <f>IFERROR((VLOOKUP($A3205,HeadJournal!$A$1:$L$890,COLUMN(HeadJournal!L$1),0)*($K3205+$L3205)/(SUMIF($A:$A,$A3205,$K:$K)+SUMIF($A:$A,$A3205,$L:$L)))/VLOOKUP($A3205,HeadJournal!$A$1:$L$890,COLUMN(HeadJournal!H$1),0),0)</f>
        <v>0.60342597251125285</v>
      </c>
      <c r="P3205" s="30">
        <f>IFERROR(SUM(K3205:O3205)*VLOOKUP($A3205,HeadJournal!$A$1:$L$890,COLUMN(HeadJournal!H$1),0),0)</f>
        <v>1592.5005691056911</v>
      </c>
      <c r="Q3205" s="29">
        <v>3500</v>
      </c>
      <c r="R3205" s="31">
        <v>45926</v>
      </c>
      <c r="S3205" s="31"/>
      <c r="T3205" s="95" t="str">
        <f t="shared" si="257"/>
        <v>2025 09</v>
      </c>
      <c r="U3205" s="32">
        <f t="shared" si="254"/>
        <v>1907.4994308943089</v>
      </c>
      <c r="V3205" s="22">
        <f t="shared" si="255"/>
        <v>1.1978014123822345</v>
      </c>
      <c r="X3205" s="33"/>
      <c r="Y3205" s="33"/>
    </row>
    <row r="3206" spans="1:25" x14ac:dyDescent="0.2">
      <c r="A3206" s="93" t="s">
        <v>1729</v>
      </c>
      <c r="B3206" s="94" t="str">
        <f>IFERROR(VLOOKUP($A3206,HeadJournal!$A$1:$NTR$890,COLUMN(HeadJournal!B$1),0),"")</f>
        <v>1495130567</v>
      </c>
      <c r="C3206" s="94" t="str">
        <f>IFERROR(VLOOKUP($A3206,HeadJournal!$A$1:$NTR$890,COLUMN(HeadJournal!C$1),0),"")</f>
        <v>essens_OA</v>
      </c>
      <c r="D3206" s="125" t="str">
        <f>IFERROR(VLOOKUP($A3206,HeadJournal!$A$1:$NTR$890,COLUMN(HeadJournal!D$1),0),"")</f>
        <v>Доставлен</v>
      </c>
      <c r="E3206" s="95">
        <f>IFERROR(VLOOKUP($A3206,HeadJournal!$A$1:$NTR$890,COLUMN(HeadJournal!G$1),0),"")</f>
        <v>45373</v>
      </c>
      <c r="F3206" s="95" t="str">
        <f t="shared" si="256"/>
        <v>2024 03</v>
      </c>
      <c r="G3206" s="96" t="s">
        <v>8</v>
      </c>
      <c r="H3206" s="161" t="s">
        <v>5295</v>
      </c>
      <c r="I3206" s="97" t="s">
        <v>2243</v>
      </c>
      <c r="J3206" s="97" t="s">
        <v>5350</v>
      </c>
      <c r="K3206" s="29">
        <v>835.97</v>
      </c>
      <c r="L3206" s="29"/>
      <c r="M3206" s="30">
        <f>IFERROR(VLOOKUP($A3206,HeadJournal!$A$1:$J$890,COLUMN(HeadJournal!I$1),0)*($K3206+$L3206)/(SUMIF($A:$A,$A3206,$K:$K)+SUMIF($A:$A,$A3206,$L:$L)),0)</f>
        <v>0</v>
      </c>
      <c r="N3206" s="30">
        <f>IFERROR((VLOOKUP($A3206,HeadJournal!$A$1:$K$890,COLUMN(HeadJournal!K$1),0)-VLOOKUP($A3206,HeadJournal!$A$1:$K$890,COLUMN(HeadJournal!J$1),0))*($K3206+$L3206)/(SUMIF($A:$A,$A3206,$K:$K)+SUMIF($A:$A,$A3206,$L:$L)),0)</f>
        <v>0</v>
      </c>
      <c r="O3206" s="30">
        <f>IFERROR((VLOOKUP($A3206,HeadJournal!$A$1:$L$890,COLUMN(HeadJournal!L$1),0)*($K3206+$L3206)/(SUMIF($A:$A,$A3206,$K:$K)+SUMIF($A:$A,$A3206,$L:$L)))/VLOOKUP($A3206,HeadJournal!$A$1:$L$890,COLUMN(HeadJournal!H$1),0),0)</f>
        <v>112.03837394097437</v>
      </c>
      <c r="P3206" s="30">
        <f>IFERROR(SUM(K3206:O3206)*VLOOKUP($A3206,HeadJournal!$A$1:$L$890,COLUMN(HeadJournal!H$1),0),0)</f>
        <v>948.00837394097437</v>
      </c>
      <c r="Q3206" s="29"/>
      <c r="R3206" s="31"/>
      <c r="S3206" s="31"/>
      <c r="T3206" s="95" t="str">
        <f t="shared" si="257"/>
        <v/>
      </c>
      <c r="U3206" s="32">
        <f t="shared" si="254"/>
        <v>-948.00837394097437</v>
      </c>
      <c r="V3206" s="22" t="str">
        <f t="shared" si="255"/>
        <v/>
      </c>
      <c r="X3206" s="33"/>
      <c r="Y3206" s="33"/>
    </row>
    <row r="3207" spans="1:25" x14ac:dyDescent="0.2">
      <c r="A3207" s="93" t="s">
        <v>1729</v>
      </c>
      <c r="B3207" s="94" t="str">
        <f>IFERROR(VLOOKUP($A3207,HeadJournal!$A$1:$NTR$890,COLUMN(HeadJournal!B$1),0),"")</f>
        <v>1495130567</v>
      </c>
      <c r="C3207" s="94" t="str">
        <f>IFERROR(VLOOKUP($A3207,HeadJournal!$A$1:$NTR$890,COLUMN(HeadJournal!C$1),0),"")</f>
        <v>essens_OA</v>
      </c>
      <c r="D3207" s="125" t="str">
        <f>IFERROR(VLOOKUP($A3207,HeadJournal!$A$1:$NTR$890,COLUMN(HeadJournal!D$1),0),"")</f>
        <v>Доставлен</v>
      </c>
      <c r="E3207" s="95">
        <f>IFERROR(VLOOKUP($A3207,HeadJournal!$A$1:$NTR$890,COLUMN(HeadJournal!G$1),0),"")</f>
        <v>45373</v>
      </c>
      <c r="F3207" s="95" t="str">
        <f t="shared" si="256"/>
        <v>2024 03</v>
      </c>
      <c r="G3207" s="96" t="s">
        <v>8</v>
      </c>
      <c r="H3207" s="161" t="s">
        <v>5271</v>
      </c>
      <c r="I3207" s="97" t="s">
        <v>2243</v>
      </c>
      <c r="J3207" s="97" t="s">
        <v>5329</v>
      </c>
      <c r="K3207" s="29">
        <v>835.97</v>
      </c>
      <c r="L3207" s="29"/>
      <c r="M3207" s="30">
        <f>IFERROR(VLOOKUP($A3207,HeadJournal!$A$1:$J$890,COLUMN(HeadJournal!I$1),0)*($K3207+$L3207)/(SUMIF($A:$A,$A3207,$K:$K)+SUMIF($A:$A,$A3207,$L:$L)),0)</f>
        <v>0</v>
      </c>
      <c r="N3207" s="30">
        <f>IFERROR((VLOOKUP($A3207,HeadJournal!$A$1:$K$890,COLUMN(HeadJournal!K$1),0)-VLOOKUP($A3207,HeadJournal!$A$1:$K$890,COLUMN(HeadJournal!J$1),0))*($K3207+$L3207)/(SUMIF($A:$A,$A3207,$K:$K)+SUMIF($A:$A,$A3207,$L:$L)),0)</f>
        <v>0</v>
      </c>
      <c r="O3207" s="30">
        <f>IFERROR((VLOOKUP($A3207,HeadJournal!$A$1:$L$890,COLUMN(HeadJournal!L$1),0)*($K3207+$L3207)/(SUMIF($A:$A,$A3207,$K:$K)+SUMIF($A:$A,$A3207,$L:$L)))/VLOOKUP($A3207,HeadJournal!$A$1:$L$890,COLUMN(HeadJournal!H$1),0),0)</f>
        <v>112.03837394097437</v>
      </c>
      <c r="P3207" s="30">
        <f>IFERROR(SUM(K3207:O3207)*VLOOKUP($A3207,HeadJournal!$A$1:$L$890,COLUMN(HeadJournal!H$1),0),0)</f>
        <v>948.00837394097437</v>
      </c>
      <c r="Q3207" s="29">
        <v>2200</v>
      </c>
      <c r="R3207" s="31">
        <v>45395</v>
      </c>
      <c r="S3207" s="31" t="s">
        <v>3121</v>
      </c>
      <c r="T3207" s="95" t="str">
        <f t="shared" si="257"/>
        <v>2024 04</v>
      </c>
      <c r="U3207" s="32">
        <f t="shared" si="254"/>
        <v>1251.9916260590257</v>
      </c>
      <c r="V3207" s="22">
        <f t="shared" si="255"/>
        <v>1.320654606514033</v>
      </c>
      <c r="X3207" s="33"/>
      <c r="Y3207" s="33"/>
    </row>
    <row r="3208" spans="1:25" x14ac:dyDescent="0.2">
      <c r="A3208" s="93" t="s">
        <v>1729</v>
      </c>
      <c r="B3208" s="94" t="str">
        <f>IFERROR(VLOOKUP($A3208,HeadJournal!$A$1:$NTR$890,COLUMN(HeadJournal!B$1),0),"")</f>
        <v>1495130567</v>
      </c>
      <c r="C3208" s="94" t="str">
        <f>IFERROR(VLOOKUP($A3208,HeadJournal!$A$1:$NTR$890,COLUMN(HeadJournal!C$1),0),"")</f>
        <v>essens_OA</v>
      </c>
      <c r="D3208" s="125" t="str">
        <f>IFERROR(VLOOKUP($A3208,HeadJournal!$A$1:$NTR$890,COLUMN(HeadJournal!D$1),0),"")</f>
        <v>Доставлен</v>
      </c>
      <c r="E3208" s="95">
        <f>IFERROR(VLOOKUP($A3208,HeadJournal!$A$1:$NTR$890,COLUMN(HeadJournal!G$1),0),"")</f>
        <v>45373</v>
      </c>
      <c r="F3208" s="95" t="str">
        <f t="shared" si="256"/>
        <v>2024 03</v>
      </c>
      <c r="G3208" s="96" t="s">
        <v>8</v>
      </c>
      <c r="H3208" s="161" t="s">
        <v>5271</v>
      </c>
      <c r="I3208" s="97" t="s">
        <v>2243</v>
      </c>
      <c r="J3208" s="97" t="s">
        <v>5329</v>
      </c>
      <c r="K3208" s="29">
        <v>835.97</v>
      </c>
      <c r="L3208" s="29"/>
      <c r="M3208" s="30">
        <f>IFERROR(VLOOKUP($A3208,HeadJournal!$A$1:$J$890,COLUMN(HeadJournal!I$1),0)*($K3208+$L3208)/(SUMIF($A:$A,$A3208,$K:$K)+SUMIF($A:$A,$A3208,$L:$L)),0)</f>
        <v>0</v>
      </c>
      <c r="N3208" s="30">
        <f>IFERROR((VLOOKUP($A3208,HeadJournal!$A$1:$K$890,COLUMN(HeadJournal!K$1),0)-VLOOKUP($A3208,HeadJournal!$A$1:$K$890,COLUMN(HeadJournal!J$1),0))*($K3208+$L3208)/(SUMIF($A:$A,$A3208,$K:$K)+SUMIF($A:$A,$A3208,$L:$L)),0)</f>
        <v>0</v>
      </c>
      <c r="O3208" s="30">
        <f>IFERROR((VLOOKUP($A3208,HeadJournal!$A$1:$L$890,COLUMN(HeadJournal!L$1),0)*($K3208+$L3208)/(SUMIF($A:$A,$A3208,$K:$K)+SUMIF($A:$A,$A3208,$L:$L)))/VLOOKUP($A3208,HeadJournal!$A$1:$L$890,COLUMN(HeadJournal!H$1),0),0)</f>
        <v>112.03837394097437</v>
      </c>
      <c r="P3208" s="30">
        <f>IFERROR(SUM(K3208:O3208)*VLOOKUP($A3208,HeadJournal!$A$1:$L$890,COLUMN(HeadJournal!H$1),0),0)</f>
        <v>948.00837394097437</v>
      </c>
      <c r="Q3208" s="29"/>
      <c r="R3208" s="31"/>
      <c r="S3208" s="31"/>
      <c r="T3208" s="95" t="str">
        <f t="shared" si="257"/>
        <v/>
      </c>
      <c r="U3208" s="32">
        <f t="shared" si="254"/>
        <v>-948.00837394097437</v>
      </c>
      <c r="V3208" s="22" t="str">
        <f t="shared" si="255"/>
        <v/>
      </c>
      <c r="X3208" s="33"/>
      <c r="Y3208" s="33"/>
    </row>
    <row r="3209" spans="1:25" x14ac:dyDescent="0.2">
      <c r="A3209" s="93" t="s">
        <v>1729</v>
      </c>
      <c r="B3209" s="94" t="str">
        <f>IFERROR(VLOOKUP($A3209,HeadJournal!$A$1:$NTR$890,COLUMN(HeadJournal!B$1),0),"")</f>
        <v>1495130567</v>
      </c>
      <c r="C3209" s="94" t="str">
        <f>IFERROR(VLOOKUP($A3209,HeadJournal!$A$1:$NTR$890,COLUMN(HeadJournal!C$1),0),"")</f>
        <v>essens_OA</v>
      </c>
      <c r="D3209" s="125" t="str">
        <f>IFERROR(VLOOKUP($A3209,HeadJournal!$A$1:$NTR$890,COLUMN(HeadJournal!D$1),0),"")</f>
        <v>Доставлен</v>
      </c>
      <c r="E3209" s="95">
        <f>IFERROR(VLOOKUP($A3209,HeadJournal!$A$1:$NTR$890,COLUMN(HeadJournal!G$1),0),"")</f>
        <v>45373</v>
      </c>
      <c r="F3209" s="95" t="str">
        <f t="shared" si="256"/>
        <v>2024 03</v>
      </c>
      <c r="G3209" s="96" t="s">
        <v>8</v>
      </c>
      <c r="H3209" s="161" t="s">
        <v>5268</v>
      </c>
      <c r="I3209" s="97" t="s">
        <v>2243</v>
      </c>
      <c r="J3209" s="97" t="s">
        <v>5326</v>
      </c>
      <c r="K3209" s="29">
        <v>835.97</v>
      </c>
      <c r="L3209" s="29"/>
      <c r="M3209" s="30">
        <f>IFERROR(VLOOKUP($A3209,HeadJournal!$A$1:$J$890,COLUMN(HeadJournal!I$1),0)*($K3209+$L3209)/(SUMIF($A:$A,$A3209,$K:$K)+SUMIF($A:$A,$A3209,$L:$L)),0)</f>
        <v>0</v>
      </c>
      <c r="N3209" s="30">
        <f>IFERROR((VLOOKUP($A3209,HeadJournal!$A$1:$K$890,COLUMN(HeadJournal!K$1),0)-VLOOKUP($A3209,HeadJournal!$A$1:$K$890,COLUMN(HeadJournal!J$1),0))*($K3209+$L3209)/(SUMIF($A:$A,$A3209,$K:$K)+SUMIF($A:$A,$A3209,$L:$L)),0)</f>
        <v>0</v>
      </c>
      <c r="O3209" s="30">
        <f>IFERROR((VLOOKUP($A3209,HeadJournal!$A$1:$L$890,COLUMN(HeadJournal!L$1),0)*($K3209+$L3209)/(SUMIF($A:$A,$A3209,$K:$K)+SUMIF($A:$A,$A3209,$L:$L)))/VLOOKUP($A3209,HeadJournal!$A$1:$L$890,COLUMN(HeadJournal!H$1),0),0)</f>
        <v>112.03837394097437</v>
      </c>
      <c r="P3209" s="30">
        <f>IFERROR(SUM(K3209:O3209)*VLOOKUP($A3209,HeadJournal!$A$1:$L$890,COLUMN(HeadJournal!H$1),0),0)</f>
        <v>948.00837394097437</v>
      </c>
      <c r="Q3209" s="29"/>
      <c r="R3209" s="31"/>
      <c r="S3209" s="31"/>
      <c r="T3209" s="95" t="str">
        <f t="shared" si="257"/>
        <v/>
      </c>
      <c r="U3209" s="32">
        <f t="shared" si="254"/>
        <v>-948.00837394097437</v>
      </c>
      <c r="V3209" s="22" t="str">
        <f t="shared" si="255"/>
        <v/>
      </c>
      <c r="X3209" s="33"/>
      <c r="Y3209" s="33"/>
    </row>
    <row r="3210" spans="1:25" x14ac:dyDescent="0.2">
      <c r="A3210" s="93" t="s">
        <v>1729</v>
      </c>
      <c r="B3210" s="94" t="str">
        <f>IFERROR(VLOOKUP($A3210,HeadJournal!$A$1:$NTR$890,COLUMN(HeadJournal!B$1),0),"")</f>
        <v>1495130567</v>
      </c>
      <c r="C3210" s="94" t="str">
        <f>IFERROR(VLOOKUP($A3210,HeadJournal!$A$1:$NTR$890,COLUMN(HeadJournal!C$1),0),"")</f>
        <v>essens_OA</v>
      </c>
      <c r="D3210" s="125" t="str">
        <f>IFERROR(VLOOKUP($A3210,HeadJournal!$A$1:$NTR$890,COLUMN(HeadJournal!D$1),0),"")</f>
        <v>Доставлен</v>
      </c>
      <c r="E3210" s="95">
        <f>IFERROR(VLOOKUP($A3210,HeadJournal!$A$1:$NTR$890,COLUMN(HeadJournal!G$1),0),"")</f>
        <v>45373</v>
      </c>
      <c r="F3210" s="95" t="str">
        <f t="shared" si="256"/>
        <v>2024 03</v>
      </c>
      <c r="G3210" s="96" t="s">
        <v>8</v>
      </c>
      <c r="H3210" s="161" t="s">
        <v>5296</v>
      </c>
      <c r="I3210" s="97" t="s">
        <v>2243</v>
      </c>
      <c r="J3210" s="97" t="s">
        <v>5351</v>
      </c>
      <c r="K3210" s="29">
        <v>115.08</v>
      </c>
      <c r="L3210" s="29"/>
      <c r="M3210" s="30">
        <f>IFERROR(VLOOKUP($A3210,HeadJournal!$A$1:$J$890,COLUMN(HeadJournal!I$1),0)*($K3210+$L3210)/(SUMIF($A:$A,$A3210,$K:$K)+SUMIF($A:$A,$A3210,$L:$L)),0)</f>
        <v>0</v>
      </c>
      <c r="N3210" s="30">
        <f>IFERROR((VLOOKUP($A3210,HeadJournal!$A$1:$K$890,COLUMN(HeadJournal!K$1),0)-VLOOKUP($A3210,HeadJournal!$A$1:$K$890,COLUMN(HeadJournal!J$1),0))*($K3210+$L3210)/(SUMIF($A:$A,$A3210,$K:$K)+SUMIF($A:$A,$A3210,$L:$L)),0)</f>
        <v>0</v>
      </c>
      <c r="O3210" s="30">
        <f>IFERROR((VLOOKUP($A3210,HeadJournal!$A$1:$L$890,COLUMN(HeadJournal!L$1),0)*($K3210+$L3210)/(SUMIF($A:$A,$A3210,$K:$K)+SUMIF($A:$A,$A3210,$L:$L)))/VLOOKUP($A3210,HeadJournal!$A$1:$L$890,COLUMN(HeadJournal!H$1),0),0)</f>
        <v>15.42325211805128</v>
      </c>
      <c r="P3210" s="30">
        <f>IFERROR(SUM(K3210:O3210)*VLOOKUP($A3210,HeadJournal!$A$1:$L$890,COLUMN(HeadJournal!H$1),0),0)</f>
        <v>130.50325211805128</v>
      </c>
      <c r="Q3210" s="29"/>
      <c r="R3210" s="31"/>
      <c r="S3210" s="31"/>
      <c r="T3210" s="95" t="str">
        <f t="shared" si="257"/>
        <v/>
      </c>
      <c r="U3210" s="32">
        <f t="shared" si="254"/>
        <v>-130.50325211805128</v>
      </c>
      <c r="V3210" s="22" t="str">
        <f t="shared" si="255"/>
        <v/>
      </c>
      <c r="X3210" s="33"/>
      <c r="Y3210" s="33"/>
    </row>
    <row r="3211" spans="1:25" x14ac:dyDescent="0.2">
      <c r="A3211" s="93" t="s">
        <v>1729</v>
      </c>
      <c r="B3211" s="94" t="str">
        <f>IFERROR(VLOOKUP($A3211,HeadJournal!$A$1:$NTR$890,COLUMN(HeadJournal!B$1),0),"")</f>
        <v>1495130567</v>
      </c>
      <c r="C3211" s="94" t="str">
        <f>IFERROR(VLOOKUP($A3211,HeadJournal!$A$1:$NTR$890,COLUMN(HeadJournal!C$1),0),"")</f>
        <v>essens_OA</v>
      </c>
      <c r="D3211" s="125" t="str">
        <f>IFERROR(VLOOKUP($A3211,HeadJournal!$A$1:$NTR$890,COLUMN(HeadJournal!D$1),0),"")</f>
        <v>Доставлен</v>
      </c>
      <c r="E3211" s="95">
        <f>IFERROR(VLOOKUP($A3211,HeadJournal!$A$1:$NTR$890,COLUMN(HeadJournal!G$1),0),"")</f>
        <v>45373</v>
      </c>
      <c r="F3211" s="95" t="str">
        <f t="shared" si="256"/>
        <v>2024 03</v>
      </c>
      <c r="G3211" s="96" t="s">
        <v>8</v>
      </c>
      <c r="H3211" s="161" t="s">
        <v>2265</v>
      </c>
      <c r="I3211" s="97" t="s">
        <v>2243</v>
      </c>
      <c r="J3211" s="97" t="s">
        <v>5352</v>
      </c>
      <c r="K3211" s="29">
        <v>115.08</v>
      </c>
      <c r="L3211" s="29"/>
      <c r="M3211" s="30">
        <f>IFERROR(VLOOKUP($A3211,HeadJournal!$A$1:$J$890,COLUMN(HeadJournal!I$1),0)*($K3211+$L3211)/(SUMIF($A:$A,$A3211,$K:$K)+SUMIF($A:$A,$A3211,$L:$L)),0)</f>
        <v>0</v>
      </c>
      <c r="N3211" s="30">
        <f>IFERROR((VLOOKUP($A3211,HeadJournal!$A$1:$K$890,COLUMN(HeadJournal!K$1),0)-VLOOKUP($A3211,HeadJournal!$A$1:$K$890,COLUMN(HeadJournal!J$1),0))*($K3211+$L3211)/(SUMIF($A:$A,$A3211,$K:$K)+SUMIF($A:$A,$A3211,$L:$L)),0)</f>
        <v>0</v>
      </c>
      <c r="O3211" s="30">
        <f>IFERROR((VLOOKUP($A3211,HeadJournal!$A$1:$L$890,COLUMN(HeadJournal!L$1),0)*($K3211+$L3211)/(SUMIF($A:$A,$A3211,$K:$K)+SUMIF($A:$A,$A3211,$L:$L)))/VLOOKUP($A3211,HeadJournal!$A$1:$L$890,COLUMN(HeadJournal!H$1),0),0)</f>
        <v>15.42325211805128</v>
      </c>
      <c r="P3211" s="30">
        <f>IFERROR(SUM(K3211:O3211)*VLOOKUP($A3211,HeadJournal!$A$1:$L$890,COLUMN(HeadJournal!H$1),0),0)</f>
        <v>130.50325211805128</v>
      </c>
      <c r="Q3211" s="29">
        <v>200</v>
      </c>
      <c r="R3211" s="31">
        <v>45405</v>
      </c>
      <c r="S3211" s="31" t="s">
        <v>3121</v>
      </c>
      <c r="T3211" s="95" t="str">
        <f t="shared" si="257"/>
        <v>2024 04</v>
      </c>
      <c r="U3211" s="32">
        <f t="shared" si="254"/>
        <v>69.496747881948721</v>
      </c>
      <c r="V3211" s="22">
        <f t="shared" si="255"/>
        <v>0.53252885850754894</v>
      </c>
      <c r="X3211" s="33"/>
      <c r="Y3211" s="33"/>
    </row>
    <row r="3212" spans="1:25" x14ac:dyDescent="0.2">
      <c r="A3212" s="93" t="s">
        <v>1733</v>
      </c>
      <c r="B3212" s="94" t="str">
        <f>IFERROR(VLOOKUP($A3212,HeadJournal!$A$1:$NTR$890,COLUMN(HeadJournal!B$1),0),"")</f>
        <v>722500146574</v>
      </c>
      <c r="C3212" s="94" t="str">
        <f>IFERROR(VLOOKUP($A3212,HeadJournal!$A$1:$NTR$890,COLUMN(HeadJournal!C$1),0),"")</f>
        <v>iHerb_MH DLE7202</v>
      </c>
      <c r="D3212" s="125" t="str">
        <f>IFERROR(VLOOKUP($A3212,HeadJournal!$A$1:$NTR$890,COLUMN(HeadJournal!D$1),0),"")</f>
        <v>Доставлен</v>
      </c>
      <c r="E3212" s="95">
        <f>IFERROR(VLOOKUP($A3212,HeadJournal!$A$1:$NTR$890,COLUMN(HeadJournal!G$1),0),"")</f>
        <v>45396</v>
      </c>
      <c r="F3212" s="95" t="str">
        <f t="shared" si="256"/>
        <v>2024 04</v>
      </c>
      <c r="G3212" s="96" t="s">
        <v>5</v>
      </c>
      <c r="H3212" s="161" t="str">
        <f>RIGHT(Journal!$J3212,9)</f>
        <v>CEN-27285</v>
      </c>
      <c r="I3212" s="97" t="str">
        <f t="shared" ref="I3212:I3254" si="258">IFERROR(LEFT(J3212,FIND(",",J3212)-1),"")</f>
        <v>21st Century</v>
      </c>
      <c r="J3212" s="97" t="s">
        <v>644</v>
      </c>
      <c r="K3212" s="29">
        <v>9.15</v>
      </c>
      <c r="L3212" s="29">
        <v>-0.92</v>
      </c>
      <c r="M3212" s="30">
        <f>IFERROR(VLOOKUP($A3212,HeadJournal!$A$1:$J$890,COLUMN(HeadJournal!I$1),0)*($K3212+$L3212)/(SUMIF($A:$A,$A3212,$K:$K)+SUMIF($A:$A,$A3212,$L:$L)),0)</f>
        <v>-0.88466157351561436</v>
      </c>
      <c r="N3212" s="30">
        <f>IFERROR((VLOOKUP($A3212,HeadJournal!$A$1:$K$890,COLUMN(HeadJournal!K$1),0)-VLOOKUP($A3212,HeadJournal!$A$1:$K$890,COLUMN(HeadJournal!J$1),0))*($K3212+$L3212)/(SUMIF($A:$A,$A3212,$K:$K)+SUMIF($A:$A,$A3212,$L:$L)),0)</f>
        <v>-1.5675557473007972E-15</v>
      </c>
      <c r="O3212" s="30">
        <f>IFERROR((VLOOKUP($A3212,HeadJournal!$A$1:$L$890,COLUMN(HeadJournal!L$1),0)*($K3212+$L3212)/(SUMIF($A:$A,$A3212,$K:$K)+SUMIF($A:$A,$A3212,$L:$L)))/VLOOKUP($A3212,HeadJournal!$A$1:$L$890,COLUMN(HeadJournal!H$1),0),0)</f>
        <v>0.53026156043421835</v>
      </c>
      <c r="P3212" s="30">
        <f>IFERROR(SUM(K3212:O3212)*VLOOKUP($A3212,HeadJournal!$A$1:$L$890,COLUMN(HeadJournal!H$1),0),0)</f>
        <v>824.6246372246793</v>
      </c>
      <c r="Q3212" s="29">
        <v>1600</v>
      </c>
      <c r="R3212" s="31">
        <v>45430</v>
      </c>
      <c r="S3212" s="31" t="s">
        <v>3121</v>
      </c>
      <c r="T3212" s="95" t="str">
        <f t="shared" si="257"/>
        <v>2024 05</v>
      </c>
      <c r="U3212" s="32">
        <f t="shared" si="254"/>
        <v>775.3753627753207</v>
      </c>
      <c r="V3212" s="22">
        <f t="shared" si="255"/>
        <v>0.94027673655845423</v>
      </c>
      <c r="X3212" s="33"/>
      <c r="Y3212" s="33"/>
    </row>
    <row r="3213" spans="1:25" x14ac:dyDescent="0.2">
      <c r="A3213" s="93" t="s">
        <v>1733</v>
      </c>
      <c r="B3213" s="94" t="str">
        <f>IFERROR(VLOOKUP($A3213,HeadJournal!$A$1:$NTR$890,COLUMN(HeadJournal!B$1),0),"")</f>
        <v>722500146574</v>
      </c>
      <c r="C3213" s="94" t="str">
        <f>IFERROR(VLOOKUP($A3213,HeadJournal!$A$1:$NTR$890,COLUMN(HeadJournal!C$1),0),"")</f>
        <v>iHerb_MH DLE7202</v>
      </c>
      <c r="D3213" s="125" t="str">
        <f>IFERROR(VLOOKUP($A3213,HeadJournal!$A$1:$NTR$890,COLUMN(HeadJournal!D$1),0),"")</f>
        <v>Доставлен</v>
      </c>
      <c r="E3213" s="95">
        <f>IFERROR(VLOOKUP($A3213,HeadJournal!$A$1:$NTR$890,COLUMN(HeadJournal!G$1),0),"")</f>
        <v>45396</v>
      </c>
      <c r="F3213" s="95" t="str">
        <f t="shared" si="256"/>
        <v>2024 04</v>
      </c>
      <c r="G3213" s="96" t="s">
        <v>5</v>
      </c>
      <c r="H3213" s="161" t="s">
        <v>2580</v>
      </c>
      <c r="I3213" s="97" t="s">
        <v>2581</v>
      </c>
      <c r="J3213" s="97" t="s">
        <v>2582</v>
      </c>
      <c r="K3213" s="29">
        <v>27.14</v>
      </c>
      <c r="L3213" s="29">
        <v>-5.43</v>
      </c>
      <c r="M3213" s="30">
        <f>IFERROR(VLOOKUP($A3213,HeadJournal!$A$1:$J$890,COLUMN(HeadJournal!I$1),0)*($K3213+$L3213)/(SUMIF($A:$A,$A3213,$K:$K)+SUMIF($A:$A,$A3213,$L:$L)),0)</f>
        <v>-2.3336576866371797</v>
      </c>
      <c r="N3213" s="30">
        <f>IFERROR((VLOOKUP($A3213,HeadJournal!$A$1:$K$890,COLUMN(HeadJournal!K$1),0)-VLOOKUP($A3213,HeadJournal!$A$1:$K$890,COLUMN(HeadJournal!J$1),0))*($K3213+$L3213)/(SUMIF($A:$A,$A3213,$K:$K)+SUMIF($A:$A,$A3213,$L:$L)),0)</f>
        <v>-4.1350711146901948E-15</v>
      </c>
      <c r="O3213" s="30">
        <f>IFERROR((VLOOKUP($A3213,HeadJournal!$A$1:$L$890,COLUMN(HeadJournal!L$1),0)*($K3213+$L3213)/(SUMIF($A:$A,$A3213,$K:$K)+SUMIF($A:$A,$A3213,$L:$L)))/VLOOKUP($A3213,HeadJournal!$A$1:$L$890,COLUMN(HeadJournal!H$1),0),0)</f>
        <v>1.3987823179862551</v>
      </c>
      <c r="P3213" s="30">
        <f>IFERROR(SUM(K3213:O3213)*VLOOKUP($A3213,HeadJournal!$A$1:$L$890,COLUMN(HeadJournal!H$1),0),0)</f>
        <v>2175.2856469195367</v>
      </c>
      <c r="Q3213" s="29">
        <v>3600</v>
      </c>
      <c r="R3213" s="31">
        <v>45430</v>
      </c>
      <c r="S3213" s="31" t="s">
        <v>3121</v>
      </c>
      <c r="T3213" s="95" t="str">
        <f t="shared" si="257"/>
        <v>2024 05</v>
      </c>
      <c r="U3213" s="32">
        <f t="shared" si="254"/>
        <v>1424.7143530804633</v>
      </c>
      <c r="V3213" s="22">
        <f t="shared" si="255"/>
        <v>0.65495506537177239</v>
      </c>
      <c r="X3213" s="33"/>
      <c r="Y3213" s="33"/>
    </row>
    <row r="3214" spans="1:25" x14ac:dyDescent="0.2">
      <c r="A3214" s="93" t="s">
        <v>1733</v>
      </c>
      <c r="B3214" s="94" t="str">
        <f>IFERROR(VLOOKUP($A3214,HeadJournal!$A$1:$NTR$890,COLUMN(HeadJournal!B$1),0),"")</f>
        <v>722500146574</v>
      </c>
      <c r="C3214" s="94" t="str">
        <f>IFERROR(VLOOKUP($A3214,HeadJournal!$A$1:$NTR$890,COLUMN(HeadJournal!C$1),0),"")</f>
        <v>iHerb_MH DLE7202</v>
      </c>
      <c r="D3214" s="125" t="str">
        <f>IFERROR(VLOOKUP($A3214,HeadJournal!$A$1:$NTR$890,COLUMN(HeadJournal!D$1),0),"")</f>
        <v>Доставлен</v>
      </c>
      <c r="E3214" s="95">
        <f>IFERROR(VLOOKUP($A3214,HeadJournal!$A$1:$NTR$890,COLUMN(HeadJournal!G$1),0),"")</f>
        <v>45396</v>
      </c>
      <c r="F3214" s="95" t="str">
        <f t="shared" si="256"/>
        <v>2024 04</v>
      </c>
      <c r="G3214" s="96" t="s">
        <v>5</v>
      </c>
      <c r="H3214" s="161" t="str">
        <f>RIGHT(Journal!$J3214,9)</f>
        <v>CVR-13129</v>
      </c>
      <c r="I3214" s="97" t="str">
        <f t="shared" si="258"/>
        <v>Ecological Formulas</v>
      </c>
      <c r="J3214" s="97" t="s">
        <v>1215</v>
      </c>
      <c r="K3214" s="29">
        <v>30.91</v>
      </c>
      <c r="L3214" s="29">
        <v>-6.18</v>
      </c>
      <c r="M3214" s="30">
        <f>IFERROR(VLOOKUP($A3214,HeadJournal!$A$1:$J$890,COLUMN(HeadJournal!I$1),0)*($K3214+$L3214)/(SUMIF($A:$A,$A3214,$K:$K)+SUMIF($A:$A,$A3214,$L:$L)),0)</f>
        <v>-2.6582844122771743</v>
      </c>
      <c r="N3214" s="30">
        <f>IFERROR((VLOOKUP($A3214,HeadJournal!$A$1:$K$890,COLUMN(HeadJournal!K$1),0)-VLOOKUP($A3214,HeadJournal!$A$1:$K$890,COLUMN(HeadJournal!J$1),0))*($K3214+$L3214)/(SUMIF($A:$A,$A3214,$K:$K)+SUMIF($A:$A,$A3214,$L:$L)),0)</f>
        <v>-4.7102859818649707E-15</v>
      </c>
      <c r="O3214" s="30">
        <f>IFERROR((VLOOKUP($A3214,HeadJournal!$A$1:$L$890,COLUMN(HeadJournal!L$1),0)*($K3214+$L3214)/(SUMIF($A:$A,$A3214,$K:$K)+SUMIF($A:$A,$A3214,$L:$L)))/VLOOKUP($A3214,HeadJournal!$A$1:$L$890,COLUMN(HeadJournal!H$1),0),0)</f>
        <v>1.5933618942330765</v>
      </c>
      <c r="P3214" s="30">
        <f>IFERROR(SUM(K3214:O3214)*VLOOKUP($A3214,HeadJournal!$A$1:$L$890,COLUMN(HeadJournal!H$1),0),0)</f>
        <v>2477.8818078452396</v>
      </c>
      <c r="Q3214" s="29">
        <v>3500</v>
      </c>
      <c r="R3214" s="31">
        <v>45480</v>
      </c>
      <c r="S3214" s="31" t="s">
        <v>3121</v>
      </c>
      <c r="T3214" s="95" t="str">
        <f t="shared" si="257"/>
        <v>2024 07</v>
      </c>
      <c r="U3214" s="32">
        <f t="shared" si="254"/>
        <v>1022.1181921547604</v>
      </c>
      <c r="V3214" s="22">
        <f t="shared" si="255"/>
        <v>0.41249674981212769</v>
      </c>
      <c r="X3214" s="33"/>
      <c r="Y3214" s="33"/>
    </row>
    <row r="3215" spans="1:25" x14ac:dyDescent="0.2">
      <c r="A3215" s="93" t="s">
        <v>1733</v>
      </c>
      <c r="B3215" s="94" t="str">
        <f>IFERROR(VLOOKUP($A3215,HeadJournal!$A$1:$NTR$890,COLUMN(HeadJournal!B$1),0),"")</f>
        <v>722500146574</v>
      </c>
      <c r="C3215" s="94" t="str">
        <f>IFERROR(VLOOKUP($A3215,HeadJournal!$A$1:$NTR$890,COLUMN(HeadJournal!C$1),0),"")</f>
        <v>iHerb_MH DLE7202</v>
      </c>
      <c r="D3215" s="125" t="str">
        <f>IFERROR(VLOOKUP($A3215,HeadJournal!$A$1:$NTR$890,COLUMN(HeadJournal!D$1),0),"")</f>
        <v>Доставлен</v>
      </c>
      <c r="E3215" s="95">
        <f>IFERROR(VLOOKUP($A3215,HeadJournal!$A$1:$NTR$890,COLUMN(HeadJournal!G$1),0),"")</f>
        <v>45396</v>
      </c>
      <c r="F3215" s="95" t="str">
        <f t="shared" si="256"/>
        <v>2024 04</v>
      </c>
      <c r="G3215" s="96" t="s">
        <v>5</v>
      </c>
      <c r="H3215" s="161" t="str">
        <f>RIGHT(Journal!$J3215,9)</f>
        <v>NCS-67209</v>
      </c>
      <c r="I3215" s="97" t="str">
        <f t="shared" si="258"/>
        <v>Nutricost</v>
      </c>
      <c r="J3215" s="97" t="s">
        <v>1293</v>
      </c>
      <c r="K3215" s="29">
        <v>22.31</v>
      </c>
      <c r="L3215" s="29">
        <v>-3.3450000000000002</v>
      </c>
      <c r="M3215" s="30">
        <f>IFERROR(VLOOKUP($A3215,HeadJournal!$A$1:$J$890,COLUMN(HeadJournal!I$1),0)*($K3215+$L3215)/(SUMIF($A:$A,$A3215,$K:$K)+SUMIF($A:$A,$A3215,$L:$L)),0)</f>
        <v>-2.0385913416432109</v>
      </c>
      <c r="N3215" s="30">
        <f>IFERROR((VLOOKUP($A3215,HeadJournal!$A$1:$K$890,COLUMN(HeadJournal!K$1),0)-VLOOKUP($A3215,HeadJournal!$A$1:$K$890,COLUMN(HeadJournal!J$1),0))*($K3215+$L3215)/(SUMIF($A:$A,$A3215,$K:$K)+SUMIF($A:$A,$A3215,$L:$L)),0)</f>
        <v>-3.6122350847581548E-15</v>
      </c>
      <c r="O3215" s="30">
        <f>IFERROR((VLOOKUP($A3215,HeadJournal!$A$1:$L$890,COLUMN(HeadJournal!L$1),0)*($K3215+$L3215)/(SUMIF($A:$A,$A3215,$K:$K)+SUMIF($A:$A,$A3215,$L:$L)))/VLOOKUP($A3215,HeadJournal!$A$1:$L$890,COLUMN(HeadJournal!H$1),0),0)</f>
        <v>1.2219210806360812</v>
      </c>
      <c r="P3215" s="30">
        <f>IFERROR(SUM(K3215:O3215)*VLOOKUP($A3215,HeadJournal!$A$1:$L$890,COLUMN(HeadJournal!H$1),0),0)</f>
        <v>1900.2437721708436</v>
      </c>
      <c r="Q3215" s="29">
        <v>3000</v>
      </c>
      <c r="R3215" s="31">
        <v>45430</v>
      </c>
      <c r="S3215" s="31" t="s">
        <v>3121</v>
      </c>
      <c r="T3215" s="95" t="str">
        <f t="shared" si="257"/>
        <v>2024 05</v>
      </c>
      <c r="U3215" s="32">
        <f t="shared" si="254"/>
        <v>1099.7562278291564</v>
      </c>
      <c r="V3215" s="22">
        <f t="shared" si="255"/>
        <v>0.57874481365766661</v>
      </c>
      <c r="X3215" s="33"/>
      <c r="Y3215" s="33"/>
    </row>
    <row r="3216" spans="1:25" x14ac:dyDescent="0.2">
      <c r="A3216" s="93" t="s">
        <v>1733</v>
      </c>
      <c r="B3216" s="94" t="str">
        <f>IFERROR(VLOOKUP($A3216,HeadJournal!$A$1:$NTR$890,COLUMN(HeadJournal!B$1),0),"")</f>
        <v>722500146574</v>
      </c>
      <c r="C3216" s="94" t="str">
        <f>IFERROR(VLOOKUP($A3216,HeadJournal!$A$1:$NTR$890,COLUMN(HeadJournal!C$1),0),"")</f>
        <v>iHerb_MH DLE7202</v>
      </c>
      <c r="D3216" s="125" t="str">
        <f>IFERROR(VLOOKUP($A3216,HeadJournal!$A$1:$NTR$890,COLUMN(HeadJournal!D$1),0),"")</f>
        <v>Доставлен</v>
      </c>
      <c r="E3216" s="95">
        <f>IFERROR(VLOOKUP($A3216,HeadJournal!$A$1:$NTR$890,COLUMN(HeadJournal!G$1),0),"")</f>
        <v>45396</v>
      </c>
      <c r="F3216" s="95" t="str">
        <f t="shared" si="256"/>
        <v>2024 04</v>
      </c>
      <c r="G3216" s="96" t="s">
        <v>5</v>
      </c>
      <c r="H3216" s="161" t="str">
        <f>RIGHT(Journal!$J3216,9)</f>
        <v>NCS-67209</v>
      </c>
      <c r="I3216" s="97" t="str">
        <f t="shared" si="258"/>
        <v>Nutricost</v>
      </c>
      <c r="J3216" s="97" t="s">
        <v>1293</v>
      </c>
      <c r="K3216" s="29">
        <v>22.31</v>
      </c>
      <c r="L3216" s="29">
        <v>-3.3450000000000002</v>
      </c>
      <c r="M3216" s="30">
        <f>IFERROR(VLOOKUP($A3216,HeadJournal!$A$1:$J$890,COLUMN(HeadJournal!I$1),0)*($K3216+$L3216)/(SUMIF($A:$A,$A3216,$K:$K)+SUMIF($A:$A,$A3216,$L:$L)),0)</f>
        <v>-2.0385913416432109</v>
      </c>
      <c r="N3216" s="30">
        <f>IFERROR((VLOOKUP($A3216,HeadJournal!$A$1:$K$890,COLUMN(HeadJournal!K$1),0)-VLOOKUP($A3216,HeadJournal!$A$1:$K$890,COLUMN(HeadJournal!J$1),0))*($K3216+$L3216)/(SUMIF($A:$A,$A3216,$K:$K)+SUMIF($A:$A,$A3216,$L:$L)),0)</f>
        <v>-3.6122350847581548E-15</v>
      </c>
      <c r="O3216" s="30">
        <f>IFERROR((VLOOKUP($A3216,HeadJournal!$A$1:$L$890,COLUMN(HeadJournal!L$1),0)*($K3216+$L3216)/(SUMIF($A:$A,$A3216,$K:$K)+SUMIF($A:$A,$A3216,$L:$L)))/VLOOKUP($A3216,HeadJournal!$A$1:$L$890,COLUMN(HeadJournal!H$1),0),0)</f>
        <v>1.2219210806360812</v>
      </c>
      <c r="P3216" s="30">
        <f>IFERROR(SUM(K3216:O3216)*VLOOKUP($A3216,HeadJournal!$A$1:$L$890,COLUMN(HeadJournal!H$1),0),0)</f>
        <v>1900.2437721708436</v>
      </c>
      <c r="Q3216" s="29">
        <v>3000</v>
      </c>
      <c r="R3216" s="31">
        <v>45430</v>
      </c>
      <c r="S3216" s="31" t="s">
        <v>3121</v>
      </c>
      <c r="T3216" s="95" t="str">
        <f t="shared" si="257"/>
        <v>2024 05</v>
      </c>
      <c r="U3216" s="32">
        <f t="shared" si="254"/>
        <v>1099.7562278291564</v>
      </c>
      <c r="V3216" s="22">
        <f t="shared" si="255"/>
        <v>0.57874481365766661</v>
      </c>
      <c r="X3216" s="33"/>
      <c r="Y3216" s="33"/>
    </row>
    <row r="3217" spans="1:25" x14ac:dyDescent="0.2">
      <c r="A3217" s="93" t="s">
        <v>1733</v>
      </c>
      <c r="B3217" s="94" t="str">
        <f>IFERROR(VLOOKUP($A3217,HeadJournal!$A$1:$NTR$890,COLUMN(HeadJournal!B$1),0),"")</f>
        <v>722500146574</v>
      </c>
      <c r="C3217" s="94" t="str">
        <f>IFERROR(VLOOKUP($A3217,HeadJournal!$A$1:$NTR$890,COLUMN(HeadJournal!C$1),0),"")</f>
        <v>iHerb_MH DLE7202</v>
      </c>
      <c r="D3217" s="125" t="str">
        <f>IFERROR(VLOOKUP($A3217,HeadJournal!$A$1:$NTR$890,COLUMN(HeadJournal!D$1),0),"")</f>
        <v>Доставлен</v>
      </c>
      <c r="E3217" s="95">
        <f>IFERROR(VLOOKUP($A3217,HeadJournal!$A$1:$NTR$890,COLUMN(HeadJournal!G$1),0),"")</f>
        <v>45396</v>
      </c>
      <c r="F3217" s="95" t="str">
        <f t="shared" si="256"/>
        <v>2024 04</v>
      </c>
      <c r="G3217" s="96" t="s">
        <v>5</v>
      </c>
      <c r="H3217" s="161" t="str">
        <f>RIGHT(Journal!$J3217,9)</f>
        <v>NOW-00386</v>
      </c>
      <c r="I3217" s="97" t="str">
        <f t="shared" si="258"/>
        <v>NOW Foods</v>
      </c>
      <c r="J3217" s="97" t="s">
        <v>498</v>
      </c>
      <c r="K3217" s="29">
        <v>33.74</v>
      </c>
      <c r="L3217" s="29">
        <v>-3.37</v>
      </c>
      <c r="M3217" s="30">
        <f>IFERROR(VLOOKUP($A3217,HeadJournal!$A$1:$J$890,COLUMN(HeadJournal!I$1),0)*($K3217+$L3217)/(SUMIF($A:$A,$A3217,$K:$K)+SUMIF($A:$A,$A3217,$L:$L)),0)</f>
        <v>-3.2645409462538528</v>
      </c>
      <c r="N3217" s="30">
        <f>IFERROR((VLOOKUP($A3217,HeadJournal!$A$1:$K$890,COLUMN(HeadJournal!K$1),0)-VLOOKUP($A3217,HeadJournal!$A$1:$K$890,COLUMN(HeadJournal!J$1),0))*($K3217+$L3217)/(SUMIF($A:$A,$A3217,$K:$K)+SUMIF($A:$A,$A3217,$L:$L)),0)</f>
        <v>-5.7845283165887253E-15</v>
      </c>
      <c r="O3217" s="30">
        <f>IFERROR((VLOOKUP($A3217,HeadJournal!$A$1:$L$890,COLUMN(HeadJournal!L$1),0)*($K3217+$L3217)/(SUMIF($A:$A,$A3217,$K:$K)+SUMIF($A:$A,$A3217,$L:$L)))/VLOOKUP($A3217,HeadJournal!$A$1:$L$890,COLUMN(HeadJournal!H$1),0),0)</f>
        <v>1.9567489174225041</v>
      </c>
      <c r="P3217" s="30">
        <f>IFERROR(SUM(K3217:O3217)*VLOOKUP($A3217,HeadJournal!$A$1:$L$890,COLUMN(HeadJournal!H$1),0),0)</f>
        <v>3042.9951679846308</v>
      </c>
      <c r="Q3217" s="29">
        <v>4000</v>
      </c>
      <c r="R3217" s="31">
        <v>45430</v>
      </c>
      <c r="S3217" s="31" t="s">
        <v>3121</v>
      </c>
      <c r="T3217" s="95" t="str">
        <f t="shared" si="257"/>
        <v>2024 05</v>
      </c>
      <c r="U3217" s="32">
        <f t="shared" si="254"/>
        <v>957.00483201536917</v>
      </c>
      <c r="V3217" s="22">
        <f t="shared" si="255"/>
        <v>0.31449436465888031</v>
      </c>
      <c r="X3217" s="33"/>
      <c r="Y3217" s="33"/>
    </row>
    <row r="3218" spans="1:25" x14ac:dyDescent="0.2">
      <c r="A3218" s="93" t="s">
        <v>1733</v>
      </c>
      <c r="B3218" s="94" t="str">
        <f>IFERROR(VLOOKUP($A3218,HeadJournal!$A$1:$NTR$890,COLUMN(HeadJournal!B$1),0),"")</f>
        <v>722500146574</v>
      </c>
      <c r="C3218" s="94" t="str">
        <f>IFERROR(VLOOKUP($A3218,HeadJournal!$A$1:$NTR$890,COLUMN(HeadJournal!C$1),0),"")</f>
        <v>iHerb_MH DLE7202</v>
      </c>
      <c r="D3218" s="125" t="str">
        <f>IFERROR(VLOOKUP($A3218,HeadJournal!$A$1:$NTR$890,COLUMN(HeadJournal!D$1),0),"")</f>
        <v>Доставлен</v>
      </c>
      <c r="E3218" s="95">
        <f>IFERROR(VLOOKUP($A3218,HeadJournal!$A$1:$NTR$890,COLUMN(HeadJournal!G$1),0),"")</f>
        <v>45396</v>
      </c>
      <c r="F3218" s="95" t="str">
        <f t="shared" si="256"/>
        <v>2024 04</v>
      </c>
      <c r="G3218" s="96" t="s">
        <v>5</v>
      </c>
      <c r="H3218" s="161" t="str">
        <f>RIGHT(Journal!$J3218,9)</f>
        <v>NOW-00446</v>
      </c>
      <c r="I3218" s="97" t="str">
        <f t="shared" si="258"/>
        <v>NOW Foods</v>
      </c>
      <c r="J3218" s="97" t="s">
        <v>797</v>
      </c>
      <c r="K3218" s="29">
        <v>6.87</v>
      </c>
      <c r="L3218" s="29">
        <v>-0.69</v>
      </c>
      <c r="M3218" s="30">
        <f>IFERROR(VLOOKUP($A3218,HeadJournal!$A$1:$J$890,COLUMN(HeadJournal!I$1),0)*($K3218+$L3218)/(SUMIF($A:$A,$A3218,$K:$K)+SUMIF($A:$A,$A3218,$L:$L)),0)</f>
        <v>-0.66430237233614775</v>
      </c>
      <c r="N3218" s="30">
        <f>IFERROR((VLOOKUP($A3218,HeadJournal!$A$1:$K$890,COLUMN(HeadJournal!K$1),0)-VLOOKUP($A3218,HeadJournal!$A$1:$K$890,COLUMN(HeadJournal!J$1),0))*($K3218+$L3218)/(SUMIF($A:$A,$A3218,$K:$K)+SUMIF($A:$A,$A3218,$L:$L)),0)</f>
        <v>-1.1770953242185814E-15</v>
      </c>
      <c r="O3218" s="30">
        <f>IFERROR((VLOOKUP($A3218,HeadJournal!$A$1:$L$890,COLUMN(HeadJournal!L$1),0)*($K3218+$L3218)/(SUMIF($A:$A,$A3218,$K:$K)+SUMIF($A:$A,$A3218,$L:$L)))/VLOOKUP($A3218,HeadJournal!$A$1:$L$890,COLUMN(HeadJournal!H$1),0),0)</f>
        <v>0.39817939775011768</v>
      </c>
      <c r="P3218" s="30">
        <f>IFERROR(SUM(K3218:O3218)*VLOOKUP($A3218,HeadJournal!$A$1:$L$890,COLUMN(HeadJournal!H$1),0),0)</f>
        <v>619.21995845060974</v>
      </c>
      <c r="Q3218" s="29">
        <v>1400</v>
      </c>
      <c r="R3218" s="31">
        <v>45430</v>
      </c>
      <c r="S3218" s="31" t="s">
        <v>3121</v>
      </c>
      <c r="T3218" s="95" t="str">
        <f t="shared" si="257"/>
        <v>2024 05</v>
      </c>
      <c r="U3218" s="32">
        <f t="shared" si="254"/>
        <v>780.78004154939026</v>
      </c>
      <c r="V3218" s="22">
        <f t="shared" si="255"/>
        <v>1.2609090370779237</v>
      </c>
      <c r="X3218" s="33"/>
      <c r="Y3218" s="33"/>
    </row>
    <row r="3219" spans="1:25" x14ac:dyDescent="0.2">
      <c r="A3219" s="93" t="s">
        <v>1733</v>
      </c>
      <c r="B3219" s="94" t="str">
        <f>IFERROR(VLOOKUP($A3219,HeadJournal!$A$1:$NTR$890,COLUMN(HeadJournal!B$1),0),"")</f>
        <v>722500146574</v>
      </c>
      <c r="C3219" s="94" t="str">
        <f>IFERROR(VLOOKUP($A3219,HeadJournal!$A$1:$NTR$890,COLUMN(HeadJournal!C$1),0),"")</f>
        <v>iHerb_MH DLE7202</v>
      </c>
      <c r="D3219" s="125" t="str">
        <f>IFERROR(VLOOKUP($A3219,HeadJournal!$A$1:$NTR$890,COLUMN(HeadJournal!D$1),0),"")</f>
        <v>Доставлен</v>
      </c>
      <c r="E3219" s="95">
        <f>IFERROR(VLOOKUP($A3219,HeadJournal!$A$1:$NTR$890,COLUMN(HeadJournal!G$1),0),"")</f>
        <v>45396</v>
      </c>
      <c r="F3219" s="95" t="str">
        <f t="shared" si="256"/>
        <v>2024 04</v>
      </c>
      <c r="G3219" s="96" t="s">
        <v>5</v>
      </c>
      <c r="H3219" s="161" t="str">
        <f>RIGHT(Journal!$J3219,9)</f>
        <v>NOW-01742</v>
      </c>
      <c r="I3219" s="97" t="str">
        <f t="shared" si="258"/>
        <v>NOW Foods</v>
      </c>
      <c r="J3219" s="97" t="s">
        <v>499</v>
      </c>
      <c r="K3219" s="29">
        <v>17.52</v>
      </c>
      <c r="L3219" s="29">
        <v>-1.75</v>
      </c>
      <c r="M3219" s="30">
        <f>IFERROR(VLOOKUP($A3219,HeadJournal!$A$1:$J$890,COLUMN(HeadJournal!I$1),0)*($K3219+$L3219)/(SUMIF($A:$A,$A3219,$K:$K)+SUMIF($A:$A,$A3219,$L:$L)),0)</f>
        <v>-1.695153464683018</v>
      </c>
      <c r="N3219" s="30">
        <f>IFERROR((VLOOKUP($A3219,HeadJournal!$A$1:$K$890,COLUMN(HeadJournal!K$1),0)-VLOOKUP($A3219,HeadJournal!$A$1:$K$890,COLUMN(HeadJournal!J$1),0))*($K3219+$L3219)/(SUMIF($A:$A,$A3219,$K:$K)+SUMIF($A:$A,$A3219,$L:$L)),0)</f>
        <v>-3.0036882302470922E-15</v>
      </c>
      <c r="O3219" s="30">
        <f>IFERROR((VLOOKUP($A3219,HeadJournal!$A$1:$L$890,COLUMN(HeadJournal!L$1),0)*($K3219+$L3219)/(SUMIF($A:$A,$A3219,$K:$K)+SUMIF($A:$A,$A3219,$L:$L)))/VLOOKUP($A3219,HeadJournal!$A$1:$L$890,COLUMN(HeadJournal!H$1),0),0)</f>
        <v>1.016066197818666</v>
      </c>
      <c r="P3219" s="30">
        <f>IFERROR(SUM(K3219:O3219)*VLOOKUP($A3219,HeadJournal!$A$1:$L$890,COLUMN(HeadJournal!H$1),0),0)</f>
        <v>1580.1130654961351</v>
      </c>
      <c r="Q3219" s="29">
        <v>2400</v>
      </c>
      <c r="R3219" s="31">
        <v>45430</v>
      </c>
      <c r="S3219" s="31" t="s">
        <v>3121</v>
      </c>
      <c r="T3219" s="95" t="str">
        <f t="shared" si="257"/>
        <v>2024 05</v>
      </c>
      <c r="U3219" s="32">
        <f t="shared" si="254"/>
        <v>819.88693450386495</v>
      </c>
      <c r="V3219" s="22">
        <f t="shared" si="255"/>
        <v>0.51887865014674195</v>
      </c>
      <c r="X3219" s="33"/>
      <c r="Y3219" s="33"/>
    </row>
    <row r="3220" spans="1:25" x14ac:dyDescent="0.2">
      <c r="A3220" s="93" t="s">
        <v>1733</v>
      </c>
      <c r="B3220" s="94" t="str">
        <f>IFERROR(VLOOKUP($A3220,HeadJournal!$A$1:$NTR$890,COLUMN(HeadJournal!B$1),0),"")</f>
        <v>722500146574</v>
      </c>
      <c r="C3220" s="94" t="str">
        <f>IFERROR(VLOOKUP($A3220,HeadJournal!$A$1:$NTR$890,COLUMN(HeadJournal!C$1),0),"")</f>
        <v>iHerb_MH DLE7202</v>
      </c>
      <c r="D3220" s="125" t="str">
        <f>IFERROR(VLOOKUP($A3220,HeadJournal!$A$1:$NTR$890,COLUMN(HeadJournal!D$1),0),"")</f>
        <v>Доставлен</v>
      </c>
      <c r="E3220" s="95">
        <f>IFERROR(VLOOKUP($A3220,HeadJournal!$A$1:$NTR$890,COLUMN(HeadJournal!G$1),0),"")</f>
        <v>45396</v>
      </c>
      <c r="F3220" s="95" t="str">
        <f t="shared" si="256"/>
        <v>2024 04</v>
      </c>
      <c r="G3220" s="96" t="s">
        <v>5</v>
      </c>
      <c r="H3220" s="161" t="str">
        <f>RIGHT(Journal!$J3220,9)</f>
        <v>FOA-66043</v>
      </c>
      <c r="I3220" s="97" t="str">
        <f t="shared" si="258"/>
        <v>Force Factor</v>
      </c>
      <c r="J3220" s="97" t="s">
        <v>1736</v>
      </c>
      <c r="K3220" s="29">
        <v>11.09</v>
      </c>
      <c r="L3220" s="29">
        <v>-6.79</v>
      </c>
      <c r="M3220" s="30">
        <f>IFERROR(VLOOKUP($A3220,HeadJournal!$A$1:$J$890,COLUMN(HeadJournal!I$1),0)*($K3220+$L3220)/(SUMIF($A:$A,$A3220,$K:$K)+SUMIF($A:$A,$A3220,$L:$L)),0)</f>
        <v>-0.46221686101058829</v>
      </c>
      <c r="N3220" s="30">
        <f>IFERROR((VLOOKUP($A3220,HeadJournal!$A$1:$K$890,COLUMN(HeadJournal!K$1),0)-VLOOKUP($A3220,HeadJournal!$A$1:$K$890,COLUMN(HeadJournal!J$1),0))*($K3220+$L3220)/(SUMIF($A:$A,$A3220,$K:$K)+SUMIF($A:$A,$A3220,$L:$L)),0)</f>
        <v>-8.1901454597733017E-16</v>
      </c>
      <c r="O3220" s="30">
        <f>IFERROR((VLOOKUP($A3220,HeadJournal!$A$1:$L$890,COLUMN(HeadJournal!L$1),0)*($K3220+$L3220)/(SUMIF($A:$A,$A3220,$K:$K)+SUMIF($A:$A,$A3220,$L:$L)))/VLOOKUP($A3220,HeadJournal!$A$1:$L$890,COLUMN(HeadJournal!H$1),0),0)</f>
        <v>0.27705039002030846</v>
      </c>
      <c r="P3220" s="30">
        <f>IFERROR(SUM(K3220:O3220)*VLOOKUP($A3220,HeadJournal!$A$1:$L$890,COLUMN(HeadJournal!H$1),0),0)</f>
        <v>430.84883840414585</v>
      </c>
      <c r="Q3220" s="29">
        <v>1600</v>
      </c>
      <c r="R3220" s="31">
        <v>45564</v>
      </c>
      <c r="S3220" s="31" t="s">
        <v>3121</v>
      </c>
      <c r="T3220" s="95" t="str">
        <f t="shared" si="257"/>
        <v>2024 09</v>
      </c>
      <c r="U3220" s="32">
        <f t="shared" si="254"/>
        <v>1169.1511615958541</v>
      </c>
      <c r="V3220" s="22">
        <f t="shared" si="255"/>
        <v>2.7135994283432745</v>
      </c>
      <c r="X3220" s="33"/>
      <c r="Y3220" s="33"/>
    </row>
    <row r="3221" spans="1:25" x14ac:dyDescent="0.2">
      <c r="A3221" s="93" t="s">
        <v>1738</v>
      </c>
      <c r="B3221" s="94" t="str">
        <f>IFERROR(VLOOKUP($A3221,HeadJournal!$A$1:$NTR$890,COLUMN(HeadJournal!B$1),0),"")</f>
        <v>720000198857</v>
      </c>
      <c r="C3221" s="94" t="str">
        <f>IFERROR(VLOOKUP($A3221,HeadJournal!$A$1:$NTR$890,COLUMN(HeadJournal!C$1),0),"")</f>
        <v>iHerb_AV CYG0792</v>
      </c>
      <c r="D3221" s="125" t="str">
        <f>IFERROR(VLOOKUP($A3221,HeadJournal!$A$1:$NTR$890,COLUMN(HeadJournal!D$1),0),"")</f>
        <v>Доставлен</v>
      </c>
      <c r="E3221" s="95">
        <f>IFERROR(VLOOKUP($A3221,HeadJournal!$A$1:$NTR$890,COLUMN(HeadJournal!G$1),0),"")</f>
        <v>45390</v>
      </c>
      <c r="F3221" s="95" t="str">
        <f t="shared" si="256"/>
        <v>2024 04</v>
      </c>
      <c r="G3221" s="96" t="s">
        <v>5</v>
      </c>
      <c r="H3221" s="161" t="str">
        <f>RIGHT(Journal!$J3221,9)</f>
        <v>SOR-08333</v>
      </c>
      <c r="I3221" s="97" t="str">
        <f t="shared" si="258"/>
        <v>Solaray</v>
      </c>
      <c r="J3221" s="97" t="s">
        <v>1740</v>
      </c>
      <c r="K3221" s="29">
        <v>12.5</v>
      </c>
      <c r="L3221" s="29">
        <v>-2.5</v>
      </c>
      <c r="M3221" s="30">
        <f>IFERROR(VLOOKUP($A3221,HeadJournal!$A$1:$J$890,COLUMN(HeadJournal!I$1),0)*($K3221+$L3221)/(SUMIF($A:$A,$A3221,$K:$K)+SUMIF($A:$A,$A3221,$L:$L)),0)</f>
        <v>-1.0607225211375866</v>
      </c>
      <c r="N3221" s="30">
        <f>IFERROR((VLOOKUP($A3221,HeadJournal!$A$1:$K$890,COLUMN(HeadJournal!K$1),0)-VLOOKUP($A3221,HeadJournal!$A$1:$K$890,COLUMN(HeadJournal!J$1),0))*($K3221+$L3221)/(SUMIF($A:$A,$A3221,$K:$K)+SUMIF($A:$A,$A3221,$L:$L)),0)</f>
        <v>0</v>
      </c>
      <c r="O3221" s="30">
        <f>IFERROR((VLOOKUP($A3221,HeadJournal!$A$1:$L$890,COLUMN(HeadJournal!L$1),0)*($K3221+$L3221)/(SUMIF($A:$A,$A3221,$K:$K)+SUMIF($A:$A,$A3221,$L:$L)))/VLOOKUP($A3221,HeadJournal!$A$1:$L$890,COLUMN(HeadJournal!H$1),0),0)</f>
        <v>0.54691373127038401</v>
      </c>
      <c r="P3221" s="30">
        <f>IFERROR(SUM(K3221:O3221)*VLOOKUP($A3221,HeadJournal!$A$1:$L$890,COLUMN(HeadJournal!H$1),0),0)</f>
        <v>993.1283627978479</v>
      </c>
      <c r="Q3221" s="29">
        <v>1700</v>
      </c>
      <c r="R3221" s="31">
        <v>45423</v>
      </c>
      <c r="S3221" s="31" t="s">
        <v>3121</v>
      </c>
      <c r="T3221" s="95" t="str">
        <f t="shared" si="257"/>
        <v>2024 05</v>
      </c>
      <c r="U3221" s="32">
        <f t="shared" si="254"/>
        <v>706.8716372021521</v>
      </c>
      <c r="V3221" s="22">
        <f t="shared" si="255"/>
        <v>0.71176261164342203</v>
      </c>
      <c r="X3221" s="33"/>
      <c r="Y3221" s="33"/>
    </row>
    <row r="3222" spans="1:25" x14ac:dyDescent="0.2">
      <c r="A3222" s="93" t="s">
        <v>1738</v>
      </c>
      <c r="B3222" s="94" t="str">
        <f>IFERROR(VLOOKUP($A3222,HeadJournal!$A$1:$NTR$890,COLUMN(HeadJournal!B$1),0),"")</f>
        <v>720000198857</v>
      </c>
      <c r="C3222" s="94" t="str">
        <f>IFERROR(VLOOKUP($A3222,HeadJournal!$A$1:$NTR$890,COLUMN(HeadJournal!C$1),0),"")</f>
        <v>iHerb_AV CYG0792</v>
      </c>
      <c r="D3222" s="125" t="str">
        <f>IFERROR(VLOOKUP($A3222,HeadJournal!$A$1:$NTR$890,COLUMN(HeadJournal!D$1),0),"")</f>
        <v>Доставлен</v>
      </c>
      <c r="E3222" s="95">
        <f>IFERROR(VLOOKUP($A3222,HeadJournal!$A$1:$NTR$890,COLUMN(HeadJournal!G$1),0),"")</f>
        <v>45390</v>
      </c>
      <c r="F3222" s="95" t="str">
        <f t="shared" si="256"/>
        <v>2024 04</v>
      </c>
      <c r="G3222" s="96" t="s">
        <v>5</v>
      </c>
      <c r="H3222" s="161" t="s">
        <v>2120</v>
      </c>
      <c r="I3222" s="97" t="s">
        <v>2005</v>
      </c>
      <c r="J3222" s="97" t="s">
        <v>2121</v>
      </c>
      <c r="K3222" s="29">
        <v>14.94</v>
      </c>
      <c r="L3222" s="29">
        <v>-2.99</v>
      </c>
      <c r="M3222" s="30">
        <f>IFERROR(VLOOKUP($A3222,HeadJournal!$A$1:$J$890,COLUMN(HeadJournal!I$1),0)*($K3222+$L3222)/(SUMIF($A:$A,$A3222,$K:$K)+SUMIF($A:$A,$A3222,$L:$L)),0)</f>
        <v>-1.2675634127594158</v>
      </c>
      <c r="N3222" s="30">
        <f>IFERROR((VLOOKUP($A3222,HeadJournal!$A$1:$K$890,COLUMN(HeadJournal!K$1),0)-VLOOKUP($A3222,HeadJournal!$A$1:$K$890,COLUMN(HeadJournal!J$1),0))*($K3222+$L3222)/(SUMIF($A:$A,$A3222,$K:$K)+SUMIF($A:$A,$A3222,$L:$L)),0)</f>
        <v>0</v>
      </c>
      <c r="O3222" s="30">
        <f>IFERROR((VLOOKUP($A3222,HeadJournal!$A$1:$L$890,COLUMN(HeadJournal!L$1),0)*($K3222+$L3222)/(SUMIF($A:$A,$A3222,$K:$K)+SUMIF($A:$A,$A3222,$L:$L)))/VLOOKUP($A3222,HeadJournal!$A$1:$L$890,COLUMN(HeadJournal!H$1),0),0)</f>
        <v>0.65356190886810883</v>
      </c>
      <c r="P3222" s="30">
        <f>IFERROR(SUM(K3222:O3222)*VLOOKUP($A3222,HeadJournal!$A$1:$L$890,COLUMN(HeadJournal!H$1),0),0)</f>
        <v>1186.7883935434281</v>
      </c>
      <c r="Q3222" s="29">
        <v>2300</v>
      </c>
      <c r="R3222" s="31">
        <v>45425</v>
      </c>
      <c r="S3222" s="31" t="s">
        <v>3121</v>
      </c>
      <c r="T3222" s="95" t="str">
        <f t="shared" si="257"/>
        <v>2024 05</v>
      </c>
      <c r="U3222" s="32">
        <f t="shared" si="254"/>
        <v>1113.2116064565719</v>
      </c>
      <c r="V3222" s="22">
        <f t="shared" si="255"/>
        <v>0.93800344906712818</v>
      </c>
      <c r="X3222" s="33"/>
      <c r="Y3222" s="33"/>
    </row>
    <row r="3223" spans="1:25" x14ac:dyDescent="0.2">
      <c r="A3223" s="93" t="s">
        <v>1738</v>
      </c>
      <c r="B3223" s="94" t="str">
        <f>IFERROR(VLOOKUP($A3223,HeadJournal!$A$1:$NTR$890,COLUMN(HeadJournal!B$1),0),"")</f>
        <v>720000198857</v>
      </c>
      <c r="C3223" s="94" t="str">
        <f>IFERROR(VLOOKUP($A3223,HeadJournal!$A$1:$NTR$890,COLUMN(HeadJournal!C$1),0),"")</f>
        <v>iHerb_AV CYG0792</v>
      </c>
      <c r="D3223" s="125" t="str">
        <f>IFERROR(VLOOKUP($A3223,HeadJournal!$A$1:$NTR$890,COLUMN(HeadJournal!D$1),0),"")</f>
        <v>Доставлен</v>
      </c>
      <c r="E3223" s="95">
        <f>IFERROR(VLOOKUP($A3223,HeadJournal!$A$1:$NTR$890,COLUMN(HeadJournal!G$1),0),"")</f>
        <v>45390</v>
      </c>
      <c r="F3223" s="95" t="str">
        <f t="shared" si="256"/>
        <v>2024 04</v>
      </c>
      <c r="G3223" s="96" t="s">
        <v>5</v>
      </c>
      <c r="H3223" s="161" t="s">
        <v>2471</v>
      </c>
      <c r="I3223" s="97" t="s">
        <v>2039</v>
      </c>
      <c r="J3223" s="97" t="s">
        <v>2472</v>
      </c>
      <c r="K3223" s="29">
        <v>21.18</v>
      </c>
      <c r="L3223" s="29">
        <v>-4.2350000000000003</v>
      </c>
      <c r="M3223" s="30">
        <f>IFERROR(VLOOKUP($A3223,HeadJournal!$A$1:$J$890,COLUMN(HeadJournal!I$1),0)*($K3223+$L3223)/(SUMIF($A:$A,$A3223,$K:$K)+SUMIF($A:$A,$A3223,$L:$L)),0)</f>
        <v>-1.7973943120676403</v>
      </c>
      <c r="N3223" s="30">
        <f>IFERROR((VLOOKUP($A3223,HeadJournal!$A$1:$K$890,COLUMN(HeadJournal!K$1),0)-VLOOKUP($A3223,HeadJournal!$A$1:$K$890,COLUMN(HeadJournal!J$1),0))*($K3223+$L3223)/(SUMIF($A:$A,$A3223,$K:$K)+SUMIF($A:$A,$A3223,$L:$L)),0)</f>
        <v>0</v>
      </c>
      <c r="O3223" s="30">
        <f>IFERROR((VLOOKUP($A3223,HeadJournal!$A$1:$L$890,COLUMN(HeadJournal!L$1),0)*($K3223+$L3223)/(SUMIF($A:$A,$A3223,$K:$K)+SUMIF($A:$A,$A3223,$L:$L)))/VLOOKUP($A3223,HeadJournal!$A$1:$L$890,COLUMN(HeadJournal!H$1),0),0)</f>
        <v>0.92674531763766577</v>
      </c>
      <c r="P3223" s="30">
        <f>IFERROR(SUM(K3223:O3223)*VLOOKUP($A3223,HeadJournal!$A$1:$L$890,COLUMN(HeadJournal!H$1),0),0)</f>
        <v>1682.8560107609533</v>
      </c>
      <c r="Q3223" s="29">
        <v>2600</v>
      </c>
      <c r="R3223" s="31">
        <v>45551</v>
      </c>
      <c r="S3223" s="31" t="s">
        <v>3121</v>
      </c>
      <c r="T3223" s="95" t="str">
        <f t="shared" si="257"/>
        <v>2024 09</v>
      </c>
      <c r="U3223" s="32">
        <f t="shared" si="254"/>
        <v>917.14398923904673</v>
      </c>
      <c r="V3223" s="22">
        <f t="shared" si="255"/>
        <v>0.54499255038720329</v>
      </c>
      <c r="X3223" s="33"/>
      <c r="Y3223" s="33"/>
    </row>
    <row r="3224" spans="1:25" x14ac:dyDescent="0.2">
      <c r="A3224" s="93" t="s">
        <v>1738</v>
      </c>
      <c r="B3224" s="94" t="str">
        <f>IFERROR(VLOOKUP($A3224,HeadJournal!$A$1:$NTR$890,COLUMN(HeadJournal!B$1),0),"")</f>
        <v>720000198857</v>
      </c>
      <c r="C3224" s="94" t="str">
        <f>IFERROR(VLOOKUP($A3224,HeadJournal!$A$1:$NTR$890,COLUMN(HeadJournal!C$1),0),"")</f>
        <v>iHerb_AV CYG0792</v>
      </c>
      <c r="D3224" s="125" t="str">
        <f>IFERROR(VLOOKUP($A3224,HeadJournal!$A$1:$NTR$890,COLUMN(HeadJournal!D$1),0),"")</f>
        <v>Доставлен</v>
      </c>
      <c r="E3224" s="95">
        <f>IFERROR(VLOOKUP($A3224,HeadJournal!$A$1:$NTR$890,COLUMN(HeadJournal!G$1),0),"")</f>
        <v>45390</v>
      </c>
      <c r="F3224" s="95" t="str">
        <f t="shared" si="256"/>
        <v>2024 04</v>
      </c>
      <c r="G3224" s="96" t="s">
        <v>5</v>
      </c>
      <c r="H3224" s="161" t="s">
        <v>2471</v>
      </c>
      <c r="I3224" s="97" t="s">
        <v>2039</v>
      </c>
      <c r="J3224" s="97" t="s">
        <v>2472</v>
      </c>
      <c r="K3224" s="29">
        <v>21.18</v>
      </c>
      <c r="L3224" s="29">
        <v>-4.2350000000000003</v>
      </c>
      <c r="M3224" s="30">
        <f>IFERROR(VLOOKUP($A3224,HeadJournal!$A$1:$J$890,COLUMN(HeadJournal!I$1),0)*($K3224+$L3224)/(SUMIF($A:$A,$A3224,$K:$K)+SUMIF($A:$A,$A3224,$L:$L)),0)</f>
        <v>-1.7973943120676403</v>
      </c>
      <c r="N3224" s="30">
        <f>IFERROR((VLOOKUP($A3224,HeadJournal!$A$1:$K$890,COLUMN(HeadJournal!K$1),0)-VLOOKUP($A3224,HeadJournal!$A$1:$K$890,COLUMN(HeadJournal!J$1),0))*($K3224+$L3224)/(SUMIF($A:$A,$A3224,$K:$K)+SUMIF($A:$A,$A3224,$L:$L)),0)</f>
        <v>0</v>
      </c>
      <c r="O3224" s="30">
        <f>IFERROR((VLOOKUP($A3224,HeadJournal!$A$1:$L$890,COLUMN(HeadJournal!L$1),0)*($K3224+$L3224)/(SUMIF($A:$A,$A3224,$K:$K)+SUMIF($A:$A,$A3224,$L:$L)))/VLOOKUP($A3224,HeadJournal!$A$1:$L$890,COLUMN(HeadJournal!H$1),0),0)</f>
        <v>0.92674531763766577</v>
      </c>
      <c r="P3224" s="30">
        <f>IFERROR(SUM(K3224:O3224)*VLOOKUP($A3224,HeadJournal!$A$1:$L$890,COLUMN(HeadJournal!H$1),0),0)</f>
        <v>1682.8560107609533</v>
      </c>
      <c r="Q3224" s="29">
        <v>2600</v>
      </c>
      <c r="R3224" s="31">
        <v>45622</v>
      </c>
      <c r="S3224" s="31" t="s">
        <v>3121</v>
      </c>
      <c r="T3224" s="95" t="str">
        <f t="shared" si="257"/>
        <v>2024 11</v>
      </c>
      <c r="U3224" s="32">
        <f t="shared" si="254"/>
        <v>917.14398923904673</v>
      </c>
      <c r="V3224" s="22">
        <f t="shared" si="255"/>
        <v>0.54499255038720329</v>
      </c>
      <c r="X3224" s="33"/>
      <c r="Y3224" s="33"/>
    </row>
    <row r="3225" spans="1:25" x14ac:dyDescent="0.2">
      <c r="A3225" s="93" t="s">
        <v>1738</v>
      </c>
      <c r="B3225" s="94" t="str">
        <f>IFERROR(VLOOKUP($A3225,HeadJournal!$A$1:$NTR$890,COLUMN(HeadJournal!B$1),0),"")</f>
        <v>720000198857</v>
      </c>
      <c r="C3225" s="94" t="str">
        <f>IFERROR(VLOOKUP($A3225,HeadJournal!$A$1:$NTR$890,COLUMN(HeadJournal!C$1),0),"")</f>
        <v>iHerb_AV CYG0792</v>
      </c>
      <c r="D3225" s="125" t="str">
        <f>IFERROR(VLOOKUP($A3225,HeadJournal!$A$1:$NTR$890,COLUMN(HeadJournal!D$1),0),"")</f>
        <v>Доставлен</v>
      </c>
      <c r="E3225" s="95">
        <f>IFERROR(VLOOKUP($A3225,HeadJournal!$A$1:$NTR$890,COLUMN(HeadJournal!G$1),0),"")</f>
        <v>45390</v>
      </c>
      <c r="F3225" s="95" t="str">
        <f t="shared" si="256"/>
        <v>2024 04</v>
      </c>
      <c r="G3225" s="96" t="s">
        <v>7</v>
      </c>
      <c r="H3225" s="161" t="s">
        <v>2914</v>
      </c>
      <c r="I3225" s="97" t="s">
        <v>2915</v>
      </c>
      <c r="J3225" s="97" t="s">
        <v>2916</v>
      </c>
      <c r="K3225" s="29">
        <v>5.38</v>
      </c>
      <c r="L3225" s="29">
        <v>-1.075</v>
      </c>
      <c r="M3225" s="30">
        <f>IFERROR(VLOOKUP($A3225,HeadJournal!$A$1:$J$890,COLUMN(HeadJournal!I$1),0)*($K3225+$L3225)/(SUMIF($A:$A,$A3225,$K:$K)+SUMIF($A:$A,$A3225,$L:$L)),0)</f>
        <v>-0.45664104534973099</v>
      </c>
      <c r="N3225" s="30">
        <f>IFERROR((VLOOKUP($A3225,HeadJournal!$A$1:$K$890,COLUMN(HeadJournal!K$1),0)-VLOOKUP($A3225,HeadJournal!$A$1:$K$890,COLUMN(HeadJournal!J$1),0))*($K3225+$L3225)/(SUMIF($A:$A,$A3225,$K:$K)+SUMIF($A:$A,$A3225,$L:$L)),0)</f>
        <v>0</v>
      </c>
      <c r="O3225" s="30">
        <f>IFERROR((VLOOKUP($A3225,HeadJournal!$A$1:$L$890,COLUMN(HeadJournal!L$1),0)*($K3225+$L3225)/(SUMIF($A:$A,$A3225,$K:$K)+SUMIF($A:$A,$A3225,$L:$L)))/VLOOKUP($A3225,HeadJournal!$A$1:$L$890,COLUMN(HeadJournal!H$1),0),0)</f>
        <v>0.2354463613119003</v>
      </c>
      <c r="P3225" s="30">
        <f>IFERROR(SUM(K3225:O3225)*VLOOKUP($A3225,HeadJournal!$A$1:$L$890,COLUMN(HeadJournal!H$1),0),0)</f>
        <v>427.54176018447345</v>
      </c>
      <c r="Q3225" s="29">
        <v>900</v>
      </c>
      <c r="R3225" s="31">
        <v>45890</v>
      </c>
      <c r="S3225" s="31" t="s">
        <v>3252</v>
      </c>
      <c r="T3225" s="95" t="str">
        <f t="shared" si="257"/>
        <v>2025 08</v>
      </c>
      <c r="U3225" s="32">
        <f t="shared" si="254"/>
        <v>472.45823981552655</v>
      </c>
      <c r="V3225" s="22">
        <f t="shared" si="255"/>
        <v>1.1050575261038191</v>
      </c>
      <c r="X3225" s="33"/>
      <c r="Y3225" s="33"/>
    </row>
    <row r="3226" spans="1:25" x14ac:dyDescent="0.2">
      <c r="A3226" s="93" t="s">
        <v>1738</v>
      </c>
      <c r="B3226" s="94" t="str">
        <f>IFERROR(VLOOKUP($A3226,HeadJournal!$A$1:$NTR$890,COLUMN(HeadJournal!B$1),0),"")</f>
        <v>720000198857</v>
      </c>
      <c r="C3226" s="94" t="str">
        <f>IFERROR(VLOOKUP($A3226,HeadJournal!$A$1:$NTR$890,COLUMN(HeadJournal!C$1),0),"")</f>
        <v>iHerb_AV CYG0792</v>
      </c>
      <c r="D3226" s="125" t="str">
        <f>IFERROR(VLOOKUP($A3226,HeadJournal!$A$1:$NTR$890,COLUMN(HeadJournal!D$1),0),"")</f>
        <v>Доставлен</v>
      </c>
      <c r="E3226" s="95">
        <f>IFERROR(VLOOKUP($A3226,HeadJournal!$A$1:$NTR$890,COLUMN(HeadJournal!G$1),0),"")</f>
        <v>45390</v>
      </c>
      <c r="F3226" s="95" t="str">
        <f t="shared" si="256"/>
        <v>2024 04</v>
      </c>
      <c r="G3226" s="96" t="s">
        <v>7</v>
      </c>
      <c r="H3226" s="161" t="s">
        <v>2914</v>
      </c>
      <c r="I3226" s="97" t="s">
        <v>2915</v>
      </c>
      <c r="J3226" s="97" t="s">
        <v>2916</v>
      </c>
      <c r="K3226" s="29">
        <v>5.38</v>
      </c>
      <c r="L3226" s="29">
        <v>-1.075</v>
      </c>
      <c r="M3226" s="30">
        <f>IFERROR(VLOOKUP($A3226,HeadJournal!$A$1:$J$890,COLUMN(HeadJournal!I$1),0)*($K3226+$L3226)/(SUMIF($A:$A,$A3226,$K:$K)+SUMIF($A:$A,$A3226,$L:$L)),0)</f>
        <v>-0.45664104534973099</v>
      </c>
      <c r="N3226" s="30">
        <f>IFERROR((VLOOKUP($A3226,HeadJournal!$A$1:$K$890,COLUMN(HeadJournal!K$1),0)-VLOOKUP($A3226,HeadJournal!$A$1:$K$890,COLUMN(HeadJournal!J$1),0))*($K3226+$L3226)/(SUMIF($A:$A,$A3226,$K:$K)+SUMIF($A:$A,$A3226,$L:$L)),0)</f>
        <v>0</v>
      </c>
      <c r="O3226" s="30">
        <f>IFERROR((VLOOKUP($A3226,HeadJournal!$A$1:$L$890,COLUMN(HeadJournal!L$1),0)*($K3226+$L3226)/(SUMIF($A:$A,$A3226,$K:$K)+SUMIF($A:$A,$A3226,$L:$L)))/VLOOKUP($A3226,HeadJournal!$A$1:$L$890,COLUMN(HeadJournal!H$1),0),0)</f>
        <v>0.2354463613119003</v>
      </c>
      <c r="P3226" s="30">
        <f>IFERROR(SUM(K3226:O3226)*VLOOKUP($A3226,HeadJournal!$A$1:$L$890,COLUMN(HeadJournal!H$1),0),0)</f>
        <v>427.54176018447345</v>
      </c>
      <c r="Q3226" s="29"/>
      <c r="R3226" s="31"/>
      <c r="S3226" s="31"/>
      <c r="T3226" s="95" t="str">
        <f t="shared" si="257"/>
        <v/>
      </c>
      <c r="U3226" s="32">
        <f t="shared" si="254"/>
        <v>-427.54176018447345</v>
      </c>
      <c r="V3226" s="22" t="str">
        <f t="shared" si="255"/>
        <v/>
      </c>
      <c r="X3226" s="33"/>
      <c r="Y3226" s="33"/>
    </row>
    <row r="3227" spans="1:25" x14ac:dyDescent="0.2">
      <c r="A3227" s="93" t="s">
        <v>1738</v>
      </c>
      <c r="B3227" s="94" t="str">
        <f>IFERROR(VLOOKUP($A3227,HeadJournal!$A$1:$NTR$890,COLUMN(HeadJournal!B$1),0),"")</f>
        <v>720000198857</v>
      </c>
      <c r="C3227" s="94" t="str">
        <f>IFERROR(VLOOKUP($A3227,HeadJournal!$A$1:$NTR$890,COLUMN(HeadJournal!C$1),0),"")</f>
        <v>iHerb_AV CYG0792</v>
      </c>
      <c r="D3227" s="125" t="str">
        <f>IFERROR(VLOOKUP($A3227,HeadJournal!$A$1:$NTR$890,COLUMN(HeadJournal!D$1),0),"")</f>
        <v>Доставлен</v>
      </c>
      <c r="E3227" s="95">
        <f>IFERROR(VLOOKUP($A3227,HeadJournal!$A$1:$NTR$890,COLUMN(HeadJournal!G$1),0),"")</f>
        <v>45390</v>
      </c>
      <c r="F3227" s="95" t="str">
        <f t="shared" si="256"/>
        <v>2024 04</v>
      </c>
      <c r="G3227" s="96" t="s">
        <v>7</v>
      </c>
      <c r="H3227" s="161" t="str">
        <f>RIGHT(Journal!$J3227,9)</f>
        <v>ARH-19724</v>
      </c>
      <c r="I3227" s="97" t="str">
        <f t="shared" si="258"/>
        <v>Arm &amp; Hammer</v>
      </c>
      <c r="J3227" s="97" t="s">
        <v>667</v>
      </c>
      <c r="K3227" s="29">
        <v>4.7300000000000004</v>
      </c>
      <c r="L3227" s="29">
        <v>-0.95</v>
      </c>
      <c r="M3227" s="30">
        <f>IFERROR(VLOOKUP($A3227,HeadJournal!$A$1:$J$890,COLUMN(HeadJournal!I$1),0)*($K3227+$L3227)/(SUMIF($A:$A,$A3227,$K:$K)+SUMIF($A:$A,$A3227,$L:$L)),0)</f>
        <v>-0.40095311299000774</v>
      </c>
      <c r="N3227" s="30">
        <f>IFERROR((VLOOKUP($A3227,HeadJournal!$A$1:$K$890,COLUMN(HeadJournal!K$1),0)-VLOOKUP($A3227,HeadJournal!$A$1:$K$890,COLUMN(HeadJournal!J$1),0))*($K3227+$L3227)/(SUMIF($A:$A,$A3227,$K:$K)+SUMIF($A:$A,$A3227,$L:$L)),0)</f>
        <v>0</v>
      </c>
      <c r="O3227" s="30">
        <f>IFERROR((VLOOKUP($A3227,HeadJournal!$A$1:$L$890,COLUMN(HeadJournal!L$1),0)*($K3227+$L3227)/(SUMIF($A:$A,$A3227,$K:$K)+SUMIF($A:$A,$A3227,$L:$L)))/VLOOKUP($A3227,HeadJournal!$A$1:$L$890,COLUMN(HeadJournal!H$1),0),0)</f>
        <v>0.20673339042020519</v>
      </c>
      <c r="P3227" s="30">
        <f>IFERROR(SUM(K3227:O3227)*VLOOKUP($A3227,HeadJournal!$A$1:$L$890,COLUMN(HeadJournal!H$1),0),0)</f>
        <v>375.40252113758652</v>
      </c>
      <c r="Q3227" s="29">
        <v>900</v>
      </c>
      <c r="R3227" s="31">
        <v>45426</v>
      </c>
      <c r="S3227" s="31" t="s">
        <v>3121</v>
      </c>
      <c r="T3227" s="95" t="str">
        <f t="shared" si="257"/>
        <v>2024 05</v>
      </c>
      <c r="U3227" s="32">
        <f t="shared" si="254"/>
        <v>524.59747886241348</v>
      </c>
      <c r="V3227" s="22">
        <f t="shared" si="255"/>
        <v>1.3974266269515714</v>
      </c>
      <c r="X3227" s="33"/>
      <c r="Y3227" s="33"/>
    </row>
    <row r="3228" spans="1:25" x14ac:dyDescent="0.2">
      <c r="A3228" s="93" t="s">
        <v>1738</v>
      </c>
      <c r="B3228" s="94" t="str">
        <f>IFERROR(VLOOKUP($A3228,HeadJournal!$A$1:$NTR$890,COLUMN(HeadJournal!B$1),0),"")</f>
        <v>720000198857</v>
      </c>
      <c r="C3228" s="94" t="str">
        <f>IFERROR(VLOOKUP($A3228,HeadJournal!$A$1:$NTR$890,COLUMN(HeadJournal!C$1),0),"")</f>
        <v>iHerb_AV CYG0792</v>
      </c>
      <c r="D3228" s="125" t="str">
        <f>IFERROR(VLOOKUP($A3228,HeadJournal!$A$1:$NTR$890,COLUMN(HeadJournal!D$1),0),"")</f>
        <v>Доставлен</v>
      </c>
      <c r="E3228" s="95">
        <f>IFERROR(VLOOKUP($A3228,HeadJournal!$A$1:$NTR$890,COLUMN(HeadJournal!G$1),0),"")</f>
        <v>45390</v>
      </c>
      <c r="F3228" s="95" t="str">
        <f t="shared" si="256"/>
        <v>2024 04</v>
      </c>
      <c r="G3228" s="96" t="s">
        <v>5</v>
      </c>
      <c r="H3228" s="161" t="str">
        <f>RIGHT(Journal!$J3228,9)</f>
        <v>SOR-03604</v>
      </c>
      <c r="I3228" s="97" t="str">
        <f t="shared" si="258"/>
        <v>Solaray</v>
      </c>
      <c r="J3228" s="97" t="s">
        <v>1741</v>
      </c>
      <c r="K3228" s="29">
        <v>24.7</v>
      </c>
      <c r="L3228" s="29">
        <v>-4.9400000000000004</v>
      </c>
      <c r="M3228" s="30">
        <f>IFERROR(VLOOKUP($A3228,HeadJournal!$A$1:$J$890,COLUMN(HeadJournal!I$1),0)*($K3228+$L3228)/(SUMIF($A:$A,$A3228,$K:$K)+SUMIF($A:$A,$A3228,$L:$L)),0)</f>
        <v>-2.095987701767871</v>
      </c>
      <c r="N3228" s="30">
        <f>IFERROR((VLOOKUP($A3228,HeadJournal!$A$1:$K$890,COLUMN(HeadJournal!K$1),0)-VLOOKUP($A3228,HeadJournal!$A$1:$K$890,COLUMN(HeadJournal!J$1),0))*($K3228+$L3228)/(SUMIF($A:$A,$A3228,$K:$K)+SUMIF($A:$A,$A3228,$L:$L)),0)</f>
        <v>0</v>
      </c>
      <c r="O3228" s="30">
        <f>IFERROR((VLOOKUP($A3228,HeadJournal!$A$1:$L$890,COLUMN(HeadJournal!L$1),0)*($K3228+$L3228)/(SUMIF($A:$A,$A3228,$K:$K)+SUMIF($A:$A,$A3228,$L:$L)))/VLOOKUP($A3228,HeadJournal!$A$1:$L$890,COLUMN(HeadJournal!H$1),0),0)</f>
        <v>1.0807015329902787</v>
      </c>
      <c r="P3228" s="30">
        <f>IFERROR(SUM(K3228:O3228)*VLOOKUP($A3228,HeadJournal!$A$1:$L$890,COLUMN(HeadJournal!H$1),0),0)</f>
        <v>1962.421644888547</v>
      </c>
      <c r="Q3228" s="29">
        <v>2800</v>
      </c>
      <c r="R3228" s="31">
        <v>45505</v>
      </c>
      <c r="S3228" s="31" t="s">
        <v>3121</v>
      </c>
      <c r="T3228" s="95" t="str">
        <f t="shared" si="257"/>
        <v>2024 08</v>
      </c>
      <c r="U3228" s="32">
        <f t="shared" si="254"/>
        <v>837.57835511145299</v>
      </c>
      <c r="V3228" s="22">
        <f t="shared" si="255"/>
        <v>0.42680855935984241</v>
      </c>
      <c r="X3228" s="33"/>
      <c r="Y3228" s="33"/>
    </row>
    <row r="3229" spans="1:25" x14ac:dyDescent="0.2">
      <c r="A3229" s="93" t="s">
        <v>1738</v>
      </c>
      <c r="B3229" s="94" t="str">
        <f>IFERROR(VLOOKUP($A3229,HeadJournal!$A$1:$NTR$890,COLUMN(HeadJournal!B$1),0),"")</f>
        <v>720000198857</v>
      </c>
      <c r="C3229" s="94" t="str">
        <f>IFERROR(VLOOKUP($A3229,HeadJournal!$A$1:$NTR$890,COLUMN(HeadJournal!C$1),0),"")</f>
        <v>iHerb_AV CYG0792</v>
      </c>
      <c r="D3229" s="125" t="str">
        <f>IFERROR(VLOOKUP($A3229,HeadJournal!$A$1:$NTR$890,COLUMN(HeadJournal!D$1),0),"")</f>
        <v>Доставлен</v>
      </c>
      <c r="E3229" s="95">
        <f>IFERROR(VLOOKUP($A3229,HeadJournal!$A$1:$NTR$890,COLUMN(HeadJournal!G$1),0),"")</f>
        <v>45390</v>
      </c>
      <c r="F3229" s="95" t="str">
        <f t="shared" si="256"/>
        <v>2024 04</v>
      </c>
      <c r="G3229" s="96" t="s">
        <v>5</v>
      </c>
      <c r="H3229" s="161" t="str">
        <f>RIGHT(Journal!$J3229,9)</f>
        <v>SOR-03604</v>
      </c>
      <c r="I3229" s="97" t="str">
        <f t="shared" si="258"/>
        <v>Solaray</v>
      </c>
      <c r="J3229" s="97" t="s">
        <v>1741</v>
      </c>
      <c r="K3229" s="29">
        <v>24.7</v>
      </c>
      <c r="L3229" s="29">
        <v>-4.9400000000000004</v>
      </c>
      <c r="M3229" s="30">
        <f>IFERROR(VLOOKUP($A3229,HeadJournal!$A$1:$J$890,COLUMN(HeadJournal!I$1),0)*($K3229+$L3229)/(SUMIF($A:$A,$A3229,$K:$K)+SUMIF($A:$A,$A3229,$L:$L)),0)</f>
        <v>-2.095987701767871</v>
      </c>
      <c r="N3229" s="30">
        <f>IFERROR((VLOOKUP($A3229,HeadJournal!$A$1:$K$890,COLUMN(HeadJournal!K$1),0)-VLOOKUP($A3229,HeadJournal!$A$1:$K$890,COLUMN(HeadJournal!J$1),0))*($K3229+$L3229)/(SUMIF($A:$A,$A3229,$K:$K)+SUMIF($A:$A,$A3229,$L:$L)),0)</f>
        <v>0</v>
      </c>
      <c r="O3229" s="30">
        <f>IFERROR((VLOOKUP($A3229,HeadJournal!$A$1:$L$890,COLUMN(HeadJournal!L$1),0)*($K3229+$L3229)/(SUMIF($A:$A,$A3229,$K:$K)+SUMIF($A:$A,$A3229,$L:$L)))/VLOOKUP($A3229,HeadJournal!$A$1:$L$890,COLUMN(HeadJournal!H$1),0),0)</f>
        <v>1.0807015329902787</v>
      </c>
      <c r="P3229" s="30">
        <f>IFERROR(SUM(K3229:O3229)*VLOOKUP($A3229,HeadJournal!$A$1:$L$890,COLUMN(HeadJournal!H$1),0),0)</f>
        <v>1962.421644888547</v>
      </c>
      <c r="Q3229" s="29">
        <v>2900</v>
      </c>
      <c r="R3229" s="31">
        <v>45525</v>
      </c>
      <c r="S3229" s="31" t="s">
        <v>3121</v>
      </c>
      <c r="T3229" s="95" t="str">
        <f t="shared" si="257"/>
        <v>2024 08</v>
      </c>
      <c r="U3229" s="32">
        <f t="shared" si="254"/>
        <v>937.57835511145299</v>
      </c>
      <c r="V3229" s="22">
        <f t="shared" si="255"/>
        <v>0.47776600790840823</v>
      </c>
      <c r="X3229" s="33"/>
      <c r="Y3229" s="33"/>
    </row>
    <row r="3230" spans="1:25" x14ac:dyDescent="0.2">
      <c r="A3230" s="93" t="s">
        <v>1738</v>
      </c>
      <c r="B3230" s="94" t="str">
        <f>IFERROR(VLOOKUP($A3230,HeadJournal!$A$1:$NTR$890,COLUMN(HeadJournal!B$1),0),"")</f>
        <v>720000198857</v>
      </c>
      <c r="C3230" s="94" t="str">
        <f>IFERROR(VLOOKUP($A3230,HeadJournal!$A$1:$NTR$890,COLUMN(HeadJournal!C$1),0),"")</f>
        <v>iHerb_AV CYG0792</v>
      </c>
      <c r="D3230" s="125" t="str">
        <f>IFERROR(VLOOKUP($A3230,HeadJournal!$A$1:$NTR$890,COLUMN(HeadJournal!D$1),0),"")</f>
        <v>Доставлен</v>
      </c>
      <c r="E3230" s="95">
        <f>IFERROR(VLOOKUP($A3230,HeadJournal!$A$1:$NTR$890,COLUMN(HeadJournal!G$1),0),"")</f>
        <v>45390</v>
      </c>
      <c r="F3230" s="95" t="str">
        <f t="shared" si="256"/>
        <v>2024 04</v>
      </c>
      <c r="G3230" s="96" t="s">
        <v>5</v>
      </c>
      <c r="H3230" s="161" t="str">
        <f>RIGHT(Journal!$J3230,9)</f>
        <v>FHH-00001</v>
      </c>
      <c r="I3230" s="97" t="str">
        <f t="shared" si="258"/>
        <v>Fairhaven Health</v>
      </c>
      <c r="J3230" s="97" t="s">
        <v>1678</v>
      </c>
      <c r="K3230" s="29">
        <v>24.79</v>
      </c>
      <c r="L3230" s="29">
        <v>-4.96</v>
      </c>
      <c r="M3230" s="30">
        <f>IFERROR(VLOOKUP($A3230,HeadJournal!$A$1:$J$890,COLUMN(HeadJournal!I$1),0)*($K3230+$L3230)/(SUMIF($A:$A,$A3230,$K:$K)+SUMIF($A:$A,$A3230,$L:$L)),0)</f>
        <v>-2.1034127594158338</v>
      </c>
      <c r="N3230" s="30">
        <f>IFERROR((VLOOKUP($A3230,HeadJournal!$A$1:$K$890,COLUMN(HeadJournal!K$1),0)-VLOOKUP($A3230,HeadJournal!$A$1:$K$890,COLUMN(HeadJournal!J$1),0))*($K3230+$L3230)/(SUMIF($A:$A,$A3230,$K:$K)+SUMIF($A:$A,$A3230,$L:$L)),0)</f>
        <v>0</v>
      </c>
      <c r="O3230" s="30">
        <f>IFERROR((VLOOKUP($A3230,HeadJournal!$A$1:$L$890,COLUMN(HeadJournal!L$1),0)*($K3230+$L3230)/(SUMIF($A:$A,$A3230,$K:$K)+SUMIF($A:$A,$A3230,$L:$L)))/VLOOKUP($A3230,HeadJournal!$A$1:$L$890,COLUMN(HeadJournal!H$1),0),0)</f>
        <v>1.0845299291091717</v>
      </c>
      <c r="P3230" s="30">
        <f>IFERROR(SUM(K3230:O3230)*VLOOKUP($A3230,HeadJournal!$A$1:$L$890,COLUMN(HeadJournal!H$1),0),0)</f>
        <v>1969.3735434281325</v>
      </c>
      <c r="Q3230" s="29">
        <v>2600</v>
      </c>
      <c r="R3230" s="31">
        <v>45417</v>
      </c>
      <c r="S3230" s="31" t="s">
        <v>3121</v>
      </c>
      <c r="T3230" s="95" t="str">
        <f t="shared" si="257"/>
        <v>2024 05</v>
      </c>
      <c r="U3230" s="32">
        <f t="shared" si="254"/>
        <v>630.62645657186749</v>
      </c>
      <c r="V3230" s="22">
        <f t="shared" si="255"/>
        <v>0.32021678095366407</v>
      </c>
      <c r="X3230" s="33"/>
      <c r="Y3230" s="33"/>
    </row>
    <row r="3231" spans="1:25" x14ac:dyDescent="0.2">
      <c r="A3231" s="93" t="s">
        <v>1738</v>
      </c>
      <c r="B3231" s="94" t="str">
        <f>IFERROR(VLOOKUP($A3231,HeadJournal!$A$1:$NTR$890,COLUMN(HeadJournal!B$1),0),"")</f>
        <v>720000198857</v>
      </c>
      <c r="C3231" s="94" t="str">
        <f>IFERROR(VLOOKUP($A3231,HeadJournal!$A$1:$NTR$890,COLUMN(HeadJournal!C$1),0),"")</f>
        <v>iHerb_AV CYG0792</v>
      </c>
      <c r="D3231" s="125" t="str">
        <f>IFERROR(VLOOKUP($A3231,HeadJournal!$A$1:$NTR$890,COLUMN(HeadJournal!D$1),0),"")</f>
        <v>Доставлен</v>
      </c>
      <c r="E3231" s="95">
        <f>IFERROR(VLOOKUP($A3231,HeadJournal!$A$1:$NTR$890,COLUMN(HeadJournal!G$1),0),"")</f>
        <v>45390</v>
      </c>
      <c r="F3231" s="95" t="str">
        <f t="shared" si="256"/>
        <v>2024 04</v>
      </c>
      <c r="G3231" s="96" t="s">
        <v>5</v>
      </c>
      <c r="H3231" s="161" t="str">
        <f>RIGHT(Journal!$J3231,9)</f>
        <v>FOA-66045</v>
      </c>
      <c r="I3231" s="97" t="str">
        <f t="shared" si="258"/>
        <v>Force Factor</v>
      </c>
      <c r="J3231" s="97" t="s">
        <v>1742</v>
      </c>
      <c r="K3231" s="29">
        <v>6.34</v>
      </c>
      <c r="L3231" s="29">
        <v>-3.82</v>
      </c>
      <c r="M3231" s="30">
        <f>IFERROR(VLOOKUP($A3231,HeadJournal!$A$1:$J$890,COLUMN(HeadJournal!I$1),0)*($K3231+$L3231)/(SUMIF($A:$A,$A3231,$K:$K)+SUMIF($A:$A,$A3231,$L:$L)),0)</f>
        <v>-0.26730207532667183</v>
      </c>
      <c r="N3231" s="30">
        <f>IFERROR((VLOOKUP($A3231,HeadJournal!$A$1:$K$890,COLUMN(HeadJournal!K$1),0)-VLOOKUP($A3231,HeadJournal!$A$1:$K$890,COLUMN(HeadJournal!J$1),0))*($K3231+$L3231)/(SUMIF($A:$A,$A3231,$K:$K)+SUMIF($A:$A,$A3231,$L:$L)),0)</f>
        <v>0</v>
      </c>
      <c r="O3231" s="30">
        <f>IFERROR((VLOOKUP($A3231,HeadJournal!$A$1:$L$890,COLUMN(HeadJournal!L$1),0)*($K3231+$L3231)/(SUMIF($A:$A,$A3231,$K:$K)+SUMIF($A:$A,$A3231,$L:$L)))/VLOOKUP($A3231,HeadJournal!$A$1:$L$890,COLUMN(HeadJournal!H$1),0),0)</f>
        <v>0.1378222602801368</v>
      </c>
      <c r="P3231" s="30">
        <f>IFERROR(SUM(K3231:O3231)*VLOOKUP($A3231,HeadJournal!$A$1:$L$890,COLUMN(HeadJournal!H$1),0),0)</f>
        <v>250.26834742505764</v>
      </c>
      <c r="Q3231" s="29">
        <v>1000</v>
      </c>
      <c r="R3231" s="31">
        <v>45467</v>
      </c>
      <c r="S3231" s="31" t="s">
        <v>3121</v>
      </c>
      <c r="T3231" s="95" t="str">
        <f t="shared" si="257"/>
        <v>2024 06</v>
      </c>
      <c r="U3231" s="32">
        <f t="shared" si="254"/>
        <v>749.73165257494236</v>
      </c>
      <c r="V3231" s="22">
        <f t="shared" si="255"/>
        <v>2.9957110449192861</v>
      </c>
      <c r="X3231" s="33"/>
      <c r="Y3231" s="33"/>
    </row>
    <row r="3232" spans="1:25" x14ac:dyDescent="0.2">
      <c r="A3232" s="93" t="s">
        <v>1743</v>
      </c>
      <c r="B3232" s="94" t="str">
        <f>IFERROR(VLOOKUP($A3232,HeadJournal!$A$1:$NTR$890,COLUMN(HeadJournal!B$1),0),"")</f>
        <v>720000203344</v>
      </c>
      <c r="C3232" s="94" t="str">
        <f>IFERROR(VLOOKUP($A3232,HeadJournal!$A$1:$NTR$890,COLUMN(HeadJournal!C$1),0),"")</f>
        <v>iHerb_OA CZN6870</v>
      </c>
      <c r="D3232" s="125" t="str">
        <f>IFERROR(VLOOKUP($A3232,HeadJournal!$A$1:$NTR$890,COLUMN(HeadJournal!D$1),0),"")</f>
        <v>Доставлен</v>
      </c>
      <c r="E3232" s="95">
        <f>IFERROR(VLOOKUP($A3232,HeadJournal!$A$1:$NTR$890,COLUMN(HeadJournal!G$1),0),"")</f>
        <v>45392</v>
      </c>
      <c r="F3232" s="95" t="str">
        <f t="shared" si="256"/>
        <v>2024 04</v>
      </c>
      <c r="G3232" s="96" t="s">
        <v>5</v>
      </c>
      <c r="H3232" s="161" t="s">
        <v>2615</v>
      </c>
      <c r="I3232" s="97" t="s">
        <v>2052</v>
      </c>
      <c r="J3232" s="97" t="s">
        <v>2616</v>
      </c>
      <c r="K3232" s="29">
        <v>48.6</v>
      </c>
      <c r="L3232" s="29">
        <v>-14.58</v>
      </c>
      <c r="M3232" s="30">
        <f>IFERROR(VLOOKUP($A3232,HeadJournal!$A$1:$J$890,COLUMN(HeadJournal!I$1),0)*($K3232+$L3232)/(SUMIF($A:$A,$A3232,$K:$K)+SUMIF($A:$A,$A3232,$L:$L)),0)</f>
        <v>-1.544884362163075</v>
      </c>
      <c r="N3232" s="30">
        <f>IFERROR((VLOOKUP($A3232,HeadJournal!$A$1:$K$890,COLUMN(HeadJournal!K$1),0)-VLOOKUP($A3232,HeadJournal!$A$1:$K$890,COLUMN(HeadJournal!J$1),0))*($K3232+$L3232)/(SUMIF($A:$A,$A3232,$K:$K)+SUMIF($A:$A,$A3232,$L:$L)),0)</f>
        <v>0</v>
      </c>
      <c r="O3232" s="30">
        <f>IFERROR((VLOOKUP($A3232,HeadJournal!$A$1:$L$890,COLUMN(HeadJournal!L$1),0)*($K3232+$L3232)/(SUMIF($A:$A,$A3232,$K:$K)+SUMIF($A:$A,$A3232,$L:$L)))/VLOOKUP($A3232,HeadJournal!$A$1:$L$890,COLUMN(HeadJournal!H$1),0),0)</f>
        <v>1.3709424820842526</v>
      </c>
      <c r="P3232" s="30">
        <f>IFERROR(SUM(K3232:O3232)*VLOOKUP($A3232,HeadJournal!$A$1:$L$890,COLUMN(HeadJournal!H$1),0),0)</f>
        <v>3520.6344842721296</v>
      </c>
      <c r="Q3232" s="29">
        <v>5300</v>
      </c>
      <c r="R3232" s="31">
        <v>45430</v>
      </c>
      <c r="S3232" s="31" t="s">
        <v>3121</v>
      </c>
      <c r="T3232" s="95" t="str">
        <f t="shared" si="257"/>
        <v>2024 05</v>
      </c>
      <c r="U3232" s="32">
        <f t="shared" si="254"/>
        <v>1779.3655157278704</v>
      </c>
      <c r="V3232" s="22">
        <f t="shared" si="255"/>
        <v>0.50541046611822404</v>
      </c>
      <c r="X3232" s="33"/>
      <c r="Y3232" s="33"/>
    </row>
    <row r="3233" spans="1:25" x14ac:dyDescent="0.2">
      <c r="A3233" s="93" t="s">
        <v>1743</v>
      </c>
      <c r="B3233" s="94" t="str">
        <f>IFERROR(VLOOKUP($A3233,HeadJournal!$A$1:$NTR$890,COLUMN(HeadJournal!B$1),0),"")</f>
        <v>720000203344</v>
      </c>
      <c r="C3233" s="94" t="str">
        <f>IFERROR(VLOOKUP($A3233,HeadJournal!$A$1:$NTR$890,COLUMN(HeadJournal!C$1),0),"")</f>
        <v>iHerb_OA CZN6870</v>
      </c>
      <c r="D3233" s="125" t="str">
        <f>IFERROR(VLOOKUP($A3233,HeadJournal!$A$1:$NTR$890,COLUMN(HeadJournal!D$1),0),"")</f>
        <v>Доставлен</v>
      </c>
      <c r="E3233" s="95">
        <f>IFERROR(VLOOKUP($A3233,HeadJournal!$A$1:$NTR$890,COLUMN(HeadJournal!G$1),0),"")</f>
        <v>45392</v>
      </c>
      <c r="F3233" s="95" t="str">
        <f t="shared" si="256"/>
        <v>2024 04</v>
      </c>
      <c r="G3233" s="96" t="s">
        <v>5</v>
      </c>
      <c r="H3233" s="161" t="s">
        <v>2615</v>
      </c>
      <c r="I3233" s="97" t="s">
        <v>2052</v>
      </c>
      <c r="J3233" s="97" t="s">
        <v>2616</v>
      </c>
      <c r="K3233" s="29">
        <v>48.6</v>
      </c>
      <c r="L3233" s="29">
        <v>-14.58</v>
      </c>
      <c r="M3233" s="30">
        <f>IFERROR(VLOOKUP($A3233,HeadJournal!$A$1:$J$890,COLUMN(HeadJournal!I$1),0)*($K3233+$L3233)/(SUMIF($A:$A,$A3233,$K:$K)+SUMIF($A:$A,$A3233,$L:$L)),0)</f>
        <v>-1.544884362163075</v>
      </c>
      <c r="N3233" s="30">
        <f>IFERROR((VLOOKUP($A3233,HeadJournal!$A$1:$K$890,COLUMN(HeadJournal!K$1),0)-VLOOKUP($A3233,HeadJournal!$A$1:$K$890,COLUMN(HeadJournal!J$1),0))*($K3233+$L3233)/(SUMIF($A:$A,$A3233,$K:$K)+SUMIF($A:$A,$A3233,$L:$L)),0)</f>
        <v>0</v>
      </c>
      <c r="O3233" s="30">
        <f>IFERROR((VLOOKUP($A3233,HeadJournal!$A$1:$L$890,COLUMN(HeadJournal!L$1),0)*($K3233+$L3233)/(SUMIF($A:$A,$A3233,$K:$K)+SUMIF($A:$A,$A3233,$L:$L)))/VLOOKUP($A3233,HeadJournal!$A$1:$L$890,COLUMN(HeadJournal!H$1),0),0)</f>
        <v>1.3709424820842526</v>
      </c>
      <c r="P3233" s="30">
        <f>IFERROR(SUM(K3233:O3233)*VLOOKUP($A3233,HeadJournal!$A$1:$L$890,COLUMN(HeadJournal!H$1),0),0)</f>
        <v>3520.6344842721296</v>
      </c>
      <c r="Q3233" s="29">
        <v>5200</v>
      </c>
      <c r="R3233" s="31">
        <v>45546</v>
      </c>
      <c r="S3233" s="31" t="s">
        <v>3121</v>
      </c>
      <c r="T3233" s="95" t="str">
        <f t="shared" si="257"/>
        <v>2024 09</v>
      </c>
      <c r="U3233" s="32">
        <f t="shared" si="254"/>
        <v>1679.3655157278704</v>
      </c>
      <c r="V3233" s="22">
        <f t="shared" si="255"/>
        <v>0.47700649505938963</v>
      </c>
      <c r="X3233" s="33"/>
      <c r="Y3233" s="33"/>
    </row>
    <row r="3234" spans="1:25" x14ac:dyDescent="0.2">
      <c r="A3234" s="93" t="s">
        <v>1743</v>
      </c>
      <c r="B3234" s="94" t="str">
        <f>IFERROR(VLOOKUP($A3234,HeadJournal!$A$1:$NTR$890,COLUMN(HeadJournal!B$1),0),"")</f>
        <v>720000203344</v>
      </c>
      <c r="C3234" s="94" t="str">
        <f>IFERROR(VLOOKUP($A3234,HeadJournal!$A$1:$NTR$890,COLUMN(HeadJournal!C$1),0),"")</f>
        <v>iHerb_OA CZN6870</v>
      </c>
      <c r="D3234" s="125" t="str">
        <f>IFERROR(VLOOKUP($A3234,HeadJournal!$A$1:$NTR$890,COLUMN(HeadJournal!D$1),0),"")</f>
        <v>Доставлен</v>
      </c>
      <c r="E3234" s="95">
        <f>IFERROR(VLOOKUP($A3234,HeadJournal!$A$1:$NTR$890,COLUMN(HeadJournal!G$1),0),"")</f>
        <v>45392</v>
      </c>
      <c r="F3234" s="95" t="str">
        <f t="shared" si="256"/>
        <v>2024 04</v>
      </c>
      <c r="G3234" s="96" t="s">
        <v>5</v>
      </c>
      <c r="H3234" s="161" t="s">
        <v>2630</v>
      </c>
      <c r="I3234" s="97" t="s">
        <v>2052</v>
      </c>
      <c r="J3234" s="97" t="s">
        <v>2631</v>
      </c>
      <c r="K3234" s="29">
        <v>19.27</v>
      </c>
      <c r="L3234" s="29">
        <v>-5.78</v>
      </c>
      <c r="M3234" s="30">
        <f>IFERROR(VLOOKUP($A3234,HeadJournal!$A$1:$J$890,COLUMN(HeadJournal!I$1),0)*($K3234+$L3234)/(SUMIF($A:$A,$A3234,$K:$K)+SUMIF($A:$A,$A3234,$L:$L)),0)</f>
        <v>-0.61259523943503458</v>
      </c>
      <c r="N3234" s="30">
        <f>IFERROR((VLOOKUP($A3234,HeadJournal!$A$1:$K$890,COLUMN(HeadJournal!K$1),0)-VLOOKUP($A3234,HeadJournal!$A$1:$K$890,COLUMN(HeadJournal!J$1),0))*($K3234+$L3234)/(SUMIF($A:$A,$A3234,$K:$K)+SUMIF($A:$A,$A3234,$L:$L)),0)</f>
        <v>0</v>
      </c>
      <c r="O3234" s="30">
        <f>IFERROR((VLOOKUP($A3234,HeadJournal!$A$1:$L$890,COLUMN(HeadJournal!L$1),0)*($K3234+$L3234)/(SUMIF($A:$A,$A3234,$K:$K)+SUMIF($A:$A,$A3234,$L:$L)))/VLOOKUP($A3234,HeadJournal!$A$1:$L$890,COLUMN(HeadJournal!H$1),0),0)</f>
        <v>0.54362181314863511</v>
      </c>
      <c r="P3234" s="30">
        <f>IFERROR(SUM(K3234:O3234)*VLOOKUP($A3234,HeadJournal!$A$1:$L$890,COLUMN(HeadJournal!H$1),0),0)</f>
        <v>1396.0423043160204</v>
      </c>
      <c r="Q3234" s="29">
        <v>2500</v>
      </c>
      <c r="R3234" s="31">
        <v>45424</v>
      </c>
      <c r="S3234" s="31" t="s">
        <v>3121</v>
      </c>
      <c r="T3234" s="95" t="str">
        <f t="shared" si="257"/>
        <v>2024 05</v>
      </c>
      <c r="U3234" s="32">
        <f t="shared" si="254"/>
        <v>1103.9576956839796</v>
      </c>
      <c r="V3234" s="22">
        <f t="shared" si="255"/>
        <v>0.79077667794949436</v>
      </c>
      <c r="X3234" s="33"/>
      <c r="Y3234" s="33"/>
    </row>
    <row r="3235" spans="1:25" x14ac:dyDescent="0.2">
      <c r="A3235" s="93" t="s">
        <v>1743</v>
      </c>
      <c r="B3235" s="94" t="str">
        <f>IFERROR(VLOOKUP($A3235,HeadJournal!$A$1:$NTR$890,COLUMN(HeadJournal!B$1),0),"")</f>
        <v>720000203344</v>
      </c>
      <c r="C3235" s="94" t="str">
        <f>IFERROR(VLOOKUP($A3235,HeadJournal!$A$1:$NTR$890,COLUMN(HeadJournal!C$1),0),"")</f>
        <v>iHerb_OA CZN6870</v>
      </c>
      <c r="D3235" s="125" t="str">
        <f>IFERROR(VLOOKUP($A3235,HeadJournal!$A$1:$NTR$890,COLUMN(HeadJournal!D$1),0),"")</f>
        <v>Доставлен</v>
      </c>
      <c r="E3235" s="95">
        <f>IFERROR(VLOOKUP($A3235,HeadJournal!$A$1:$NTR$890,COLUMN(HeadJournal!G$1),0),"")</f>
        <v>45392</v>
      </c>
      <c r="F3235" s="95" t="str">
        <f t="shared" si="256"/>
        <v>2024 04</v>
      </c>
      <c r="G3235" s="96" t="s">
        <v>5</v>
      </c>
      <c r="H3235" s="161" t="s">
        <v>3630</v>
      </c>
      <c r="I3235" s="97" t="s">
        <v>2052</v>
      </c>
      <c r="J3235" s="97" t="s">
        <v>3673</v>
      </c>
      <c r="K3235" s="29">
        <v>23.36</v>
      </c>
      <c r="L3235" s="29">
        <v>-10.86</v>
      </c>
      <c r="M3235" s="30">
        <f>IFERROR(VLOOKUP($A3235,HeadJournal!$A$1:$J$890,COLUMN(HeadJournal!I$1),0)*($K3235+$L3235)/(SUMIF($A:$A,$A3235,$K:$K)+SUMIF($A:$A,$A3235,$L:$L)),0)</f>
        <v>-0.56763828709695574</v>
      </c>
      <c r="N3235" s="30">
        <f>IFERROR((VLOOKUP($A3235,HeadJournal!$A$1:$K$890,COLUMN(HeadJournal!K$1),0)-VLOOKUP($A3235,HeadJournal!$A$1:$K$890,COLUMN(HeadJournal!J$1),0))*($K3235+$L3235)/(SUMIF($A:$A,$A3235,$K:$K)+SUMIF($A:$A,$A3235,$L:$L)),0)</f>
        <v>0</v>
      </c>
      <c r="O3235" s="30">
        <f>IFERROR((VLOOKUP($A3235,HeadJournal!$A$1:$L$890,COLUMN(HeadJournal!L$1),0)*($K3235+$L3235)/(SUMIF($A:$A,$A3235,$K:$K)+SUMIF($A:$A,$A3235,$L:$L)))/VLOOKUP($A3235,HeadJournal!$A$1:$L$890,COLUMN(HeadJournal!H$1),0),0)</f>
        <v>0.50372666155359069</v>
      </c>
      <c r="P3235" s="30">
        <f>IFERROR(SUM(K3235:O3235)*VLOOKUP($A3235,HeadJournal!$A$1:$L$890,COLUMN(HeadJournal!H$1),0),0)</f>
        <v>1293.5899780541331</v>
      </c>
      <c r="Q3235" s="29">
        <v>4000</v>
      </c>
      <c r="R3235" s="31">
        <v>45644</v>
      </c>
      <c r="S3235" s="31" t="s">
        <v>3121</v>
      </c>
      <c r="T3235" s="95" t="str">
        <f t="shared" si="257"/>
        <v>2024 12</v>
      </c>
      <c r="U3235" s="32">
        <f t="shared" si="254"/>
        <v>2706.4100219458669</v>
      </c>
      <c r="V3235" s="22">
        <f t="shared" si="255"/>
        <v>2.0921699053489506</v>
      </c>
      <c r="X3235" s="33"/>
      <c r="Y3235" s="33"/>
    </row>
    <row r="3236" spans="1:25" x14ac:dyDescent="0.2">
      <c r="A3236" s="93" t="s">
        <v>1743</v>
      </c>
      <c r="B3236" s="94" t="str">
        <f>IFERROR(VLOOKUP($A3236,HeadJournal!$A$1:$NTR$890,COLUMN(HeadJournal!B$1),0),"")</f>
        <v>720000203344</v>
      </c>
      <c r="C3236" s="94" t="str">
        <f>IFERROR(VLOOKUP($A3236,HeadJournal!$A$1:$NTR$890,COLUMN(HeadJournal!C$1),0),"")</f>
        <v>iHerb_OA CZN6870</v>
      </c>
      <c r="D3236" s="125" t="str">
        <f>IFERROR(VLOOKUP($A3236,HeadJournal!$A$1:$NTR$890,COLUMN(HeadJournal!D$1),0),"")</f>
        <v>Доставлен</v>
      </c>
      <c r="E3236" s="95">
        <f>IFERROR(VLOOKUP($A3236,HeadJournal!$A$1:$NTR$890,COLUMN(HeadJournal!G$1),0),"")</f>
        <v>45392</v>
      </c>
      <c r="F3236" s="95" t="str">
        <f t="shared" si="256"/>
        <v>2024 04</v>
      </c>
      <c r="G3236" s="96" t="s">
        <v>5</v>
      </c>
      <c r="H3236" s="161" t="s">
        <v>2898</v>
      </c>
      <c r="I3236" s="97" t="s">
        <v>2491</v>
      </c>
      <c r="J3236" s="97" t="s">
        <v>3581</v>
      </c>
      <c r="K3236" s="29">
        <v>7.79</v>
      </c>
      <c r="L3236" s="29">
        <v>-2.3366666666666664</v>
      </c>
      <c r="M3236" s="30">
        <f>IFERROR(VLOOKUP($A3236,HeadJournal!$A$1:$J$890,COLUMN(HeadJournal!I$1),0)*($K3236+$L3236)/(SUMIF($A:$A,$A3236,$K:$K)+SUMIF($A:$A,$A3236,$L:$L)),0)</f>
        <v>-0.24764166338416524</v>
      </c>
      <c r="N3236" s="30">
        <f>IFERROR((VLOOKUP($A3236,HeadJournal!$A$1:$K$890,COLUMN(HeadJournal!K$1),0)-VLOOKUP($A3236,HeadJournal!$A$1:$K$890,COLUMN(HeadJournal!J$1),0))*($K3236+$L3236)/(SUMIF($A:$A,$A3236,$K:$K)+SUMIF($A:$A,$A3236,$L:$L)),0)</f>
        <v>0</v>
      </c>
      <c r="O3236" s="30">
        <f>IFERROR((VLOOKUP($A3236,HeadJournal!$A$1:$L$890,COLUMN(HeadJournal!L$1),0)*($K3236+$L3236)/(SUMIF($A:$A,$A3236,$K:$K)+SUMIF($A:$A,$A3236,$L:$L)))/VLOOKUP($A3236,HeadJournal!$A$1:$L$890,COLUMN(HeadJournal!H$1),0),0)</f>
        <v>0.2197591515471132</v>
      </c>
      <c r="P3236" s="30">
        <f>IFERROR(SUM(K3236:O3236)*VLOOKUP($A3236,HeadJournal!$A$1:$L$890,COLUMN(HeadJournal!H$1),0),0)</f>
        <v>564.35018775908327</v>
      </c>
      <c r="Q3236" s="29">
        <v>564.35</v>
      </c>
      <c r="R3236" s="31">
        <v>45393</v>
      </c>
      <c r="S3236" s="31" t="s">
        <v>3121</v>
      </c>
      <c r="T3236" s="95" t="str">
        <f t="shared" si="257"/>
        <v>2024 04</v>
      </c>
      <c r="U3236" s="32">
        <f t="shared" si="254"/>
        <v>-1.8775908324641932E-4</v>
      </c>
      <c r="V3236" s="22">
        <f t="shared" si="255"/>
        <v>-3.3269960269167524E-7</v>
      </c>
      <c r="X3236" s="33"/>
      <c r="Y3236" s="33"/>
    </row>
    <row r="3237" spans="1:25" x14ac:dyDescent="0.2">
      <c r="A3237" s="93" t="s">
        <v>1743</v>
      </c>
      <c r="B3237" s="94" t="str">
        <f>IFERROR(VLOOKUP($A3237,HeadJournal!$A$1:$NTR$890,COLUMN(HeadJournal!B$1),0),"")</f>
        <v>720000203344</v>
      </c>
      <c r="C3237" s="94" t="str">
        <f>IFERROR(VLOOKUP($A3237,HeadJournal!$A$1:$NTR$890,COLUMN(HeadJournal!C$1),0),"")</f>
        <v>iHerb_OA CZN6870</v>
      </c>
      <c r="D3237" s="125" t="str">
        <f>IFERROR(VLOOKUP($A3237,HeadJournal!$A$1:$NTR$890,COLUMN(HeadJournal!D$1),0),"")</f>
        <v>Доставлен</v>
      </c>
      <c r="E3237" s="95">
        <f>IFERROR(VLOOKUP($A3237,HeadJournal!$A$1:$NTR$890,COLUMN(HeadJournal!G$1),0),"")</f>
        <v>45392</v>
      </c>
      <c r="F3237" s="95" t="str">
        <f t="shared" si="256"/>
        <v>2024 04</v>
      </c>
      <c r="G3237" s="96" t="s">
        <v>5</v>
      </c>
      <c r="H3237" s="161" t="s">
        <v>2898</v>
      </c>
      <c r="I3237" s="97" t="s">
        <v>2491</v>
      </c>
      <c r="J3237" s="97" t="s">
        <v>3581</v>
      </c>
      <c r="K3237" s="29">
        <v>7.79</v>
      </c>
      <c r="L3237" s="29">
        <v>-2.3366666666666664</v>
      </c>
      <c r="M3237" s="30">
        <f>IFERROR(VLOOKUP($A3237,HeadJournal!$A$1:$J$890,COLUMN(HeadJournal!I$1),0)*($K3237+$L3237)/(SUMIF($A:$A,$A3237,$K:$K)+SUMIF($A:$A,$A3237,$L:$L)),0)</f>
        <v>-0.24764166338416524</v>
      </c>
      <c r="N3237" s="30">
        <f>IFERROR((VLOOKUP($A3237,HeadJournal!$A$1:$K$890,COLUMN(HeadJournal!K$1),0)-VLOOKUP($A3237,HeadJournal!$A$1:$K$890,COLUMN(HeadJournal!J$1),0))*($K3237+$L3237)/(SUMIF($A:$A,$A3237,$K:$K)+SUMIF($A:$A,$A3237,$L:$L)),0)</f>
        <v>0</v>
      </c>
      <c r="O3237" s="30">
        <f>IFERROR((VLOOKUP($A3237,HeadJournal!$A$1:$L$890,COLUMN(HeadJournal!L$1),0)*($K3237+$L3237)/(SUMIF($A:$A,$A3237,$K:$K)+SUMIF($A:$A,$A3237,$L:$L)))/VLOOKUP($A3237,HeadJournal!$A$1:$L$890,COLUMN(HeadJournal!H$1),0),0)</f>
        <v>0.2197591515471132</v>
      </c>
      <c r="P3237" s="30">
        <f>IFERROR(SUM(K3237:O3237)*VLOOKUP($A3237,HeadJournal!$A$1:$L$890,COLUMN(HeadJournal!H$1),0),0)</f>
        <v>564.35018775908327</v>
      </c>
      <c r="Q3237" s="29">
        <v>1300</v>
      </c>
      <c r="R3237" s="31">
        <v>45542</v>
      </c>
      <c r="S3237" s="31" t="s">
        <v>3121</v>
      </c>
      <c r="T3237" s="95" t="str">
        <f t="shared" si="257"/>
        <v>2024 09</v>
      </c>
      <c r="U3237" s="32">
        <f t="shared" si="254"/>
        <v>735.64981224091673</v>
      </c>
      <c r="V3237" s="22">
        <f t="shared" si="255"/>
        <v>1.3035342739266704</v>
      </c>
      <c r="X3237" s="33"/>
      <c r="Y3237" s="33"/>
    </row>
    <row r="3238" spans="1:25" x14ac:dyDescent="0.2">
      <c r="A3238" s="93" t="s">
        <v>1743</v>
      </c>
      <c r="B3238" s="94" t="str">
        <f>IFERROR(VLOOKUP($A3238,HeadJournal!$A$1:$NTR$890,COLUMN(HeadJournal!B$1),0),"")</f>
        <v>720000203344</v>
      </c>
      <c r="C3238" s="94" t="str">
        <f>IFERROR(VLOOKUP($A3238,HeadJournal!$A$1:$NTR$890,COLUMN(HeadJournal!C$1),0),"")</f>
        <v>iHerb_OA CZN6870</v>
      </c>
      <c r="D3238" s="125" t="str">
        <f>IFERROR(VLOOKUP($A3238,HeadJournal!$A$1:$NTR$890,COLUMN(HeadJournal!D$1),0),"")</f>
        <v>Доставлен</v>
      </c>
      <c r="E3238" s="95">
        <f>IFERROR(VLOOKUP($A3238,HeadJournal!$A$1:$NTR$890,COLUMN(HeadJournal!G$1),0),"")</f>
        <v>45392</v>
      </c>
      <c r="F3238" s="95" t="str">
        <f t="shared" si="256"/>
        <v>2024 04</v>
      </c>
      <c r="G3238" s="96" t="s">
        <v>5</v>
      </c>
      <c r="H3238" s="161" t="s">
        <v>2898</v>
      </c>
      <c r="I3238" s="97" t="s">
        <v>2491</v>
      </c>
      <c r="J3238" s="97" t="s">
        <v>3581</v>
      </c>
      <c r="K3238" s="29">
        <v>7.79</v>
      </c>
      <c r="L3238" s="29">
        <v>-2.3366666666666664</v>
      </c>
      <c r="M3238" s="30">
        <f>IFERROR(VLOOKUP($A3238,HeadJournal!$A$1:$J$890,COLUMN(HeadJournal!I$1),0)*($K3238+$L3238)/(SUMIF($A:$A,$A3238,$K:$K)+SUMIF($A:$A,$A3238,$L:$L)),0)</f>
        <v>-0.24764166338416524</v>
      </c>
      <c r="N3238" s="30">
        <f>IFERROR((VLOOKUP($A3238,HeadJournal!$A$1:$K$890,COLUMN(HeadJournal!K$1),0)-VLOOKUP($A3238,HeadJournal!$A$1:$K$890,COLUMN(HeadJournal!J$1),0))*($K3238+$L3238)/(SUMIF($A:$A,$A3238,$K:$K)+SUMIF($A:$A,$A3238,$L:$L)),0)</f>
        <v>0</v>
      </c>
      <c r="O3238" s="30">
        <f>IFERROR((VLOOKUP($A3238,HeadJournal!$A$1:$L$890,COLUMN(HeadJournal!L$1),0)*($K3238+$L3238)/(SUMIF($A:$A,$A3238,$K:$K)+SUMIF($A:$A,$A3238,$L:$L)))/VLOOKUP($A3238,HeadJournal!$A$1:$L$890,COLUMN(HeadJournal!H$1),0),0)</f>
        <v>0.2197591515471132</v>
      </c>
      <c r="P3238" s="30">
        <f>IFERROR(SUM(K3238:O3238)*VLOOKUP($A3238,HeadJournal!$A$1:$L$890,COLUMN(HeadJournal!H$1),0),0)</f>
        <v>564.35018775908327</v>
      </c>
      <c r="Q3238" s="29">
        <v>1400</v>
      </c>
      <c r="R3238" s="31">
        <v>45679</v>
      </c>
      <c r="S3238" s="31" t="s">
        <v>3121</v>
      </c>
      <c r="T3238" s="95" t="str">
        <f t="shared" si="257"/>
        <v>2025 01</v>
      </c>
      <c r="U3238" s="32">
        <f t="shared" si="254"/>
        <v>835.64981224091673</v>
      </c>
      <c r="V3238" s="22">
        <f t="shared" si="255"/>
        <v>1.4807292180748759</v>
      </c>
      <c r="X3238" s="33"/>
      <c r="Y3238" s="33"/>
    </row>
    <row r="3239" spans="1:25" x14ac:dyDescent="0.2">
      <c r="A3239" s="93" t="s">
        <v>1743</v>
      </c>
      <c r="B3239" s="94" t="str">
        <f>IFERROR(VLOOKUP($A3239,HeadJournal!$A$1:$NTR$890,COLUMN(HeadJournal!B$1),0),"")</f>
        <v>720000203344</v>
      </c>
      <c r="C3239" s="94" t="str">
        <f>IFERROR(VLOOKUP($A3239,HeadJournal!$A$1:$NTR$890,COLUMN(HeadJournal!C$1),0),"")</f>
        <v>iHerb_OA CZN6870</v>
      </c>
      <c r="D3239" s="125" t="str">
        <f>IFERROR(VLOOKUP($A3239,HeadJournal!$A$1:$NTR$890,COLUMN(HeadJournal!D$1),0),"")</f>
        <v>Доставлен</v>
      </c>
      <c r="E3239" s="95">
        <f>IFERROR(VLOOKUP($A3239,HeadJournal!$A$1:$NTR$890,COLUMN(HeadJournal!G$1),0),"")</f>
        <v>45392</v>
      </c>
      <c r="F3239" s="95" t="str">
        <f t="shared" si="256"/>
        <v>2024 04</v>
      </c>
      <c r="G3239" s="96" t="s">
        <v>5</v>
      </c>
      <c r="H3239" s="161" t="str">
        <f>RIGHT(Journal!$J3239,9)</f>
        <v>FOA-66052</v>
      </c>
      <c r="I3239" s="97" t="str">
        <f t="shared" si="258"/>
        <v>Force Factor</v>
      </c>
      <c r="J3239" s="97" t="s">
        <v>1745</v>
      </c>
      <c r="K3239" s="29">
        <v>6.34</v>
      </c>
      <c r="L3239" s="29">
        <v>-3.82</v>
      </c>
      <c r="M3239" s="30">
        <f>IFERROR(VLOOKUP($A3239,HeadJournal!$A$1:$J$890,COLUMN(HeadJournal!I$1),0)*($K3239+$L3239)/(SUMIF($A:$A,$A3239,$K:$K)+SUMIF($A:$A,$A3239,$L:$L)),0)</f>
        <v>-0.11443587867874629</v>
      </c>
      <c r="N3239" s="30">
        <f>IFERROR((VLOOKUP($A3239,HeadJournal!$A$1:$K$890,COLUMN(HeadJournal!K$1),0)-VLOOKUP($A3239,HeadJournal!$A$1:$K$890,COLUMN(HeadJournal!J$1),0))*($K3239+$L3239)/(SUMIF($A:$A,$A3239,$K:$K)+SUMIF($A:$A,$A3239,$L:$L)),0)</f>
        <v>0</v>
      </c>
      <c r="O3239" s="30">
        <f>IFERROR((VLOOKUP($A3239,HeadJournal!$A$1:$L$890,COLUMN(HeadJournal!L$1),0)*($K3239+$L3239)/(SUMIF($A:$A,$A3239,$K:$K)+SUMIF($A:$A,$A3239,$L:$L)))/VLOOKUP($A3239,HeadJournal!$A$1:$L$890,COLUMN(HeadJournal!H$1),0),0)</f>
        <v>0.1015512949692039</v>
      </c>
      <c r="P3239" s="30">
        <f>IFERROR(SUM(K3239:O3239)*VLOOKUP($A3239,HeadJournal!$A$1:$L$890,COLUMN(HeadJournal!H$1),0),0)</f>
        <v>260.78773957571326</v>
      </c>
      <c r="Q3239" s="29">
        <v>1100</v>
      </c>
      <c r="R3239" s="31">
        <v>45619</v>
      </c>
      <c r="S3239" s="31" t="s">
        <v>3121</v>
      </c>
      <c r="T3239" s="95" t="str">
        <f t="shared" si="257"/>
        <v>2024 11</v>
      </c>
      <c r="U3239" s="32">
        <f t="shared" si="254"/>
        <v>839.2122604242868</v>
      </c>
      <c r="V3239" s="22">
        <f t="shared" si="255"/>
        <v>3.2179897022369119</v>
      </c>
      <c r="X3239" s="33"/>
      <c r="Y3239" s="33"/>
    </row>
    <row r="3240" spans="1:25" x14ac:dyDescent="0.2">
      <c r="A3240" s="93" t="s">
        <v>1743</v>
      </c>
      <c r="B3240" s="94" t="str">
        <f>IFERROR(VLOOKUP($A3240,HeadJournal!$A$1:$NTR$890,COLUMN(HeadJournal!B$1),0),"")</f>
        <v>720000203344</v>
      </c>
      <c r="C3240" s="94" t="str">
        <f>IFERROR(VLOOKUP($A3240,HeadJournal!$A$1:$NTR$890,COLUMN(HeadJournal!C$1),0),"")</f>
        <v>iHerb_OA CZN6870</v>
      </c>
      <c r="D3240" s="125" t="str">
        <f>IFERROR(VLOOKUP($A3240,HeadJournal!$A$1:$NTR$890,COLUMN(HeadJournal!D$1),0),"")</f>
        <v>Доставлен</v>
      </c>
      <c r="E3240" s="95">
        <f>IFERROR(VLOOKUP($A3240,HeadJournal!$A$1:$NTR$890,COLUMN(HeadJournal!G$1),0),"")</f>
        <v>45392</v>
      </c>
      <c r="F3240" s="95" t="str">
        <f t="shared" si="256"/>
        <v>2024 04</v>
      </c>
      <c r="G3240" s="96" t="s">
        <v>5</v>
      </c>
      <c r="H3240" s="161" t="s">
        <v>2562</v>
      </c>
      <c r="I3240" s="97" t="s">
        <v>2052</v>
      </c>
      <c r="J3240" s="97" t="s">
        <v>2563</v>
      </c>
      <c r="K3240" s="29">
        <v>92.57</v>
      </c>
      <c r="L3240" s="29">
        <v>-27.77</v>
      </c>
      <c r="M3240" s="30">
        <f>IFERROR(VLOOKUP($A3240,HeadJournal!$A$1:$J$890,COLUMN(HeadJournal!I$1),0)*($K3240+$L3240)/(SUMIF($A:$A,$A3240,$K:$K)+SUMIF($A:$A,$A3240,$L:$L)),0)</f>
        <v>-2.9426368803106189</v>
      </c>
      <c r="N3240" s="30">
        <f>IFERROR((VLOOKUP($A3240,HeadJournal!$A$1:$K$890,COLUMN(HeadJournal!K$1),0)-VLOOKUP($A3240,HeadJournal!$A$1:$K$890,COLUMN(HeadJournal!J$1),0))*($K3240+$L3240)/(SUMIF($A:$A,$A3240,$K:$K)+SUMIF($A:$A,$A3240,$L:$L)),0)</f>
        <v>0</v>
      </c>
      <c r="O3240" s="30">
        <f>IFERROR((VLOOKUP($A3240,HeadJournal!$A$1:$L$890,COLUMN(HeadJournal!L$1),0)*($K3240+$L3240)/(SUMIF($A:$A,$A3240,$K:$K)+SUMIF($A:$A,$A3240,$L:$L)))/VLOOKUP($A3240,HeadJournal!$A$1:$L$890,COLUMN(HeadJournal!H$1),0),0)</f>
        <v>2.6113190134938145</v>
      </c>
      <c r="P3240" s="30">
        <f>IFERROR(SUM(K3240:O3240)*VLOOKUP($A3240,HeadJournal!$A$1:$L$890,COLUMN(HeadJournal!H$1),0),0)</f>
        <v>6705.9704462326263</v>
      </c>
      <c r="Q3240" s="29">
        <v>9700</v>
      </c>
      <c r="R3240" s="31">
        <v>45550</v>
      </c>
      <c r="S3240" s="31" t="s">
        <v>3121</v>
      </c>
      <c r="T3240" s="95" t="str">
        <f t="shared" si="257"/>
        <v>2024 09</v>
      </c>
      <c r="U3240" s="32">
        <f t="shared" si="254"/>
        <v>2994.0295537673737</v>
      </c>
      <c r="V3240" s="22">
        <f t="shared" si="255"/>
        <v>0.44647222617114296</v>
      </c>
      <c r="X3240" s="33"/>
      <c r="Y3240" s="33"/>
    </row>
    <row r="3241" spans="1:25" x14ac:dyDescent="0.2">
      <c r="A3241" s="93" t="s">
        <v>1746</v>
      </c>
      <c r="B3241" s="94" t="str">
        <f>IFERROR(VLOOKUP($A3241,HeadJournal!$A$1:$NTR$890,COLUMN(HeadJournal!B$1),0),"")</f>
        <v>720000190392</v>
      </c>
      <c r="C3241" s="94" t="str">
        <f>IFERROR(VLOOKUP($A3241,HeadJournal!$A$1:$NTR$890,COLUMN(HeadJournal!C$1),0),"")</f>
        <v>iHerb_OA CZN6870</v>
      </c>
      <c r="D3241" s="125" t="str">
        <f>IFERROR(VLOOKUP($A3241,HeadJournal!$A$1:$NTR$890,COLUMN(HeadJournal!D$1),0),"")</f>
        <v>Доставлен</v>
      </c>
      <c r="E3241" s="95">
        <f>IFERROR(VLOOKUP($A3241,HeadJournal!$A$1:$NTR$890,COLUMN(HeadJournal!G$1),0),"")</f>
        <v>45385</v>
      </c>
      <c r="F3241" s="95" t="str">
        <f t="shared" si="256"/>
        <v>2024 04</v>
      </c>
      <c r="G3241" s="96" t="s">
        <v>5</v>
      </c>
      <c r="H3241" s="161" t="str">
        <f>RIGHT(Journal!$J3241,9)</f>
        <v>LEX-17512</v>
      </c>
      <c r="I3241" s="97" t="str">
        <f t="shared" si="258"/>
        <v>Life Extension</v>
      </c>
      <c r="J3241" s="97" t="s">
        <v>1748</v>
      </c>
      <c r="K3241" s="29">
        <v>8.85</v>
      </c>
      <c r="L3241" s="29">
        <v>-1.77</v>
      </c>
      <c r="M3241" s="30">
        <f>IFERROR(VLOOKUP($A3241,HeadJournal!$A$1:$J$890,COLUMN(HeadJournal!I$1),0)*($K3241+$L3241)/(SUMIF($A:$A,$A3241,$K:$K)+SUMIF($A:$A,$A3241,$L:$L)),0)</f>
        <v>-0.76832842708250471</v>
      </c>
      <c r="N3241" s="30">
        <f>IFERROR((VLOOKUP($A3241,HeadJournal!$A$1:$K$890,COLUMN(HeadJournal!K$1),0)-VLOOKUP($A3241,HeadJournal!$A$1:$K$890,COLUMN(HeadJournal!J$1),0))*($K3241+$L3241)/(SUMIF($A:$A,$A3241,$K:$K)+SUMIF($A:$A,$A3241,$L:$L)),0)</f>
        <v>8.0048413862383805E-16</v>
      </c>
      <c r="O3241" s="30">
        <f>IFERROR((VLOOKUP($A3241,HeadJournal!$A$1:$L$890,COLUMN(HeadJournal!L$1),0)*($K3241+$L3241)/(SUMIF($A:$A,$A3241,$K:$K)+SUMIF($A:$A,$A3241,$L:$L)))/VLOOKUP($A3241,HeadJournal!$A$1:$L$890,COLUMN(HeadJournal!H$1),0),0)</f>
        <v>0.40072978091351458</v>
      </c>
      <c r="P3241" s="30">
        <f>IFERROR(SUM(K3241:O3241)*VLOOKUP($A3241,HeadJournal!$A$1:$L$890,COLUMN(HeadJournal!H$1),0),0)</f>
        <v>702.85940965868406</v>
      </c>
      <c r="Q3241" s="29">
        <v>1400</v>
      </c>
      <c r="R3241" s="31">
        <v>45425</v>
      </c>
      <c r="S3241" s="31" t="s">
        <v>3121</v>
      </c>
      <c r="T3241" s="95" t="str">
        <f t="shared" si="257"/>
        <v>2024 05</v>
      </c>
      <c r="U3241" s="32">
        <f t="shared" si="254"/>
        <v>697.14059034131594</v>
      </c>
      <c r="V3241" s="22">
        <f t="shared" si="255"/>
        <v>0.99186349469213875</v>
      </c>
      <c r="X3241" s="33"/>
      <c r="Y3241" s="33"/>
    </row>
    <row r="3242" spans="1:25" x14ac:dyDescent="0.2">
      <c r="A3242" s="93" t="s">
        <v>1746</v>
      </c>
      <c r="B3242" s="94" t="str">
        <f>IFERROR(VLOOKUP($A3242,HeadJournal!$A$1:$NTR$890,COLUMN(HeadJournal!B$1),0),"")</f>
        <v>720000190392</v>
      </c>
      <c r="C3242" s="94" t="str">
        <f>IFERROR(VLOOKUP($A3242,HeadJournal!$A$1:$NTR$890,COLUMN(HeadJournal!C$1),0),"")</f>
        <v>iHerb_OA CZN6870</v>
      </c>
      <c r="D3242" s="125" t="str">
        <f>IFERROR(VLOOKUP($A3242,HeadJournal!$A$1:$NTR$890,COLUMN(HeadJournal!D$1),0),"")</f>
        <v>Доставлен</v>
      </c>
      <c r="E3242" s="95">
        <f>IFERROR(VLOOKUP($A3242,HeadJournal!$A$1:$NTR$890,COLUMN(HeadJournal!G$1),0),"")</f>
        <v>45385</v>
      </c>
      <c r="F3242" s="95" t="str">
        <f t="shared" si="256"/>
        <v>2024 04</v>
      </c>
      <c r="G3242" s="96" t="s">
        <v>5</v>
      </c>
      <c r="H3242" s="161" t="s">
        <v>2851</v>
      </c>
      <c r="I3242" s="97" t="s">
        <v>2102</v>
      </c>
      <c r="J3242" s="97" t="s">
        <v>4165</v>
      </c>
      <c r="K3242" s="29">
        <v>6.39</v>
      </c>
      <c r="L3242" s="29">
        <v>-1.28</v>
      </c>
      <c r="M3242" s="30">
        <f>IFERROR(VLOOKUP($A3242,HeadJournal!$A$1:$J$890,COLUMN(HeadJournal!I$1),0)*($K3242+$L3242)/(SUMIF($A:$A,$A3242,$K:$K)+SUMIF($A:$A,$A3242,$L:$L)),0)</f>
        <v>-0.55454212745644049</v>
      </c>
      <c r="N3242" s="30">
        <f>IFERROR((VLOOKUP($A3242,HeadJournal!$A$1:$K$890,COLUMN(HeadJournal!K$1),0)-VLOOKUP($A3242,HeadJournal!$A$1:$K$890,COLUMN(HeadJournal!J$1),0))*($K3242+$L3242)/(SUMIF($A:$A,$A3242,$K:$K)+SUMIF($A:$A,$A3242,$L:$L)),0)</f>
        <v>5.7775055767906942E-16</v>
      </c>
      <c r="O3242" s="30">
        <f>IFERROR((VLOOKUP($A3242,HeadJournal!$A$1:$L$890,COLUMN(HeadJournal!L$1),0)*($K3242+$L3242)/(SUMIF($A:$A,$A3242,$K:$K)+SUMIF($A:$A,$A3242,$L:$L)))/VLOOKUP($A3242,HeadJournal!$A$1:$L$890,COLUMN(HeadJournal!H$1),0),0)</f>
        <v>0.2892272853768445</v>
      </c>
      <c r="P3242" s="30">
        <f>IFERROR(SUM(K3242:O3242)*VLOOKUP($A3242,HeadJournal!$A$1:$L$890,COLUMN(HeadJournal!H$1),0),0)</f>
        <v>507.28977166043438</v>
      </c>
      <c r="Q3242" s="29">
        <v>1000</v>
      </c>
      <c r="R3242" s="31">
        <v>45535</v>
      </c>
      <c r="S3242" s="31" t="s">
        <v>3121</v>
      </c>
      <c r="T3242" s="95" t="str">
        <f t="shared" si="257"/>
        <v>2024 08</v>
      </c>
      <c r="U3242" s="32">
        <f t="shared" si="254"/>
        <v>492.71022833956562</v>
      </c>
      <c r="V3242" s="22">
        <f t="shared" si="255"/>
        <v>0.97125993044735015</v>
      </c>
      <c r="X3242" s="33"/>
      <c r="Y3242" s="33"/>
    </row>
    <row r="3243" spans="1:25" x14ac:dyDescent="0.2">
      <c r="A3243" s="93" t="s">
        <v>1746</v>
      </c>
      <c r="B3243" s="94" t="str">
        <f>IFERROR(VLOOKUP($A3243,HeadJournal!$A$1:$NTR$890,COLUMN(HeadJournal!B$1),0),"")</f>
        <v>720000190392</v>
      </c>
      <c r="C3243" s="94" t="str">
        <f>IFERROR(VLOOKUP($A3243,HeadJournal!$A$1:$NTR$890,COLUMN(HeadJournal!C$1),0),"")</f>
        <v>iHerb_OA CZN6870</v>
      </c>
      <c r="D3243" s="125" t="str">
        <f>IFERROR(VLOOKUP($A3243,HeadJournal!$A$1:$NTR$890,COLUMN(HeadJournal!D$1),0),"")</f>
        <v>Доставлен</v>
      </c>
      <c r="E3243" s="95">
        <f>IFERROR(VLOOKUP($A3243,HeadJournal!$A$1:$NTR$890,COLUMN(HeadJournal!G$1),0),"")</f>
        <v>45385</v>
      </c>
      <c r="F3243" s="95" t="str">
        <f t="shared" si="256"/>
        <v>2024 04</v>
      </c>
      <c r="G3243" s="96" t="s">
        <v>5</v>
      </c>
      <c r="H3243" s="161" t="s">
        <v>2851</v>
      </c>
      <c r="I3243" s="97" t="s">
        <v>2102</v>
      </c>
      <c r="J3243" s="97" t="s">
        <v>4165</v>
      </c>
      <c r="K3243" s="29">
        <v>6.39</v>
      </c>
      <c r="L3243" s="29">
        <v>-1.28</v>
      </c>
      <c r="M3243" s="30">
        <f>IFERROR(VLOOKUP($A3243,HeadJournal!$A$1:$J$890,COLUMN(HeadJournal!I$1),0)*($K3243+$L3243)/(SUMIF($A:$A,$A3243,$K:$K)+SUMIF($A:$A,$A3243,$L:$L)),0)</f>
        <v>-0.55454212745644049</v>
      </c>
      <c r="N3243" s="30">
        <f>IFERROR((VLOOKUP($A3243,HeadJournal!$A$1:$K$890,COLUMN(HeadJournal!K$1),0)-VLOOKUP($A3243,HeadJournal!$A$1:$K$890,COLUMN(HeadJournal!J$1),0))*($K3243+$L3243)/(SUMIF($A:$A,$A3243,$K:$K)+SUMIF($A:$A,$A3243,$L:$L)),0)</f>
        <v>5.7775055767906942E-16</v>
      </c>
      <c r="O3243" s="30">
        <f>IFERROR((VLOOKUP($A3243,HeadJournal!$A$1:$L$890,COLUMN(HeadJournal!L$1),0)*($K3243+$L3243)/(SUMIF($A:$A,$A3243,$K:$K)+SUMIF($A:$A,$A3243,$L:$L)))/VLOOKUP($A3243,HeadJournal!$A$1:$L$890,COLUMN(HeadJournal!H$1),0),0)</f>
        <v>0.2892272853768445</v>
      </c>
      <c r="P3243" s="30">
        <f>IFERROR(SUM(K3243:O3243)*VLOOKUP($A3243,HeadJournal!$A$1:$L$890,COLUMN(HeadJournal!H$1),0),0)</f>
        <v>507.28977166043438</v>
      </c>
      <c r="Q3243" s="29">
        <v>1200</v>
      </c>
      <c r="R3243" s="31">
        <v>45682</v>
      </c>
      <c r="S3243" s="31" t="s">
        <v>3121</v>
      </c>
      <c r="T3243" s="95" t="str">
        <f t="shared" si="257"/>
        <v>2025 01</v>
      </c>
      <c r="U3243" s="32">
        <f t="shared" si="254"/>
        <v>692.71022833956567</v>
      </c>
      <c r="V3243" s="22">
        <f t="shared" si="255"/>
        <v>1.3655119165368201</v>
      </c>
      <c r="X3243" s="33"/>
      <c r="Y3243" s="33"/>
    </row>
    <row r="3244" spans="1:25" x14ac:dyDescent="0.2">
      <c r="A3244" s="93" t="s">
        <v>1746</v>
      </c>
      <c r="B3244" s="94" t="str">
        <f>IFERROR(VLOOKUP($A3244,HeadJournal!$A$1:$NTR$890,COLUMN(HeadJournal!B$1),0),"")</f>
        <v>720000190392</v>
      </c>
      <c r="C3244" s="94" t="str">
        <f>IFERROR(VLOOKUP($A3244,HeadJournal!$A$1:$NTR$890,COLUMN(HeadJournal!C$1),0),"")</f>
        <v>iHerb_OA CZN6870</v>
      </c>
      <c r="D3244" s="125" t="str">
        <f>IFERROR(VLOOKUP($A3244,HeadJournal!$A$1:$NTR$890,COLUMN(HeadJournal!D$1),0),"")</f>
        <v>Доставлен</v>
      </c>
      <c r="E3244" s="95">
        <f>IFERROR(VLOOKUP($A3244,HeadJournal!$A$1:$NTR$890,COLUMN(HeadJournal!G$1),0),"")</f>
        <v>45385</v>
      </c>
      <c r="F3244" s="95" t="str">
        <f t="shared" si="256"/>
        <v>2024 04</v>
      </c>
      <c r="G3244" s="96" t="s">
        <v>5</v>
      </c>
      <c r="H3244" s="161" t="s">
        <v>2665</v>
      </c>
      <c r="I3244" s="97" t="s">
        <v>2666</v>
      </c>
      <c r="J3244" s="97" t="s">
        <v>3930</v>
      </c>
      <c r="K3244" s="29">
        <v>9.5500000000000007</v>
      </c>
      <c r="L3244" s="29">
        <v>-1.91</v>
      </c>
      <c r="M3244" s="30">
        <f>IFERROR(VLOOKUP($A3244,HeadJournal!$A$1:$J$890,COLUMN(HeadJournal!I$1),0)*($K3244+$L3244)/(SUMIF($A:$A,$A3244,$K:$K)+SUMIF($A:$A,$A3244,$L:$L)),0)</f>
        <v>-0.82910016707773115</v>
      </c>
      <c r="N3244" s="30">
        <f>IFERROR((VLOOKUP($A3244,HeadJournal!$A$1:$K$890,COLUMN(HeadJournal!K$1),0)-VLOOKUP($A3244,HeadJournal!$A$1:$K$890,COLUMN(HeadJournal!J$1),0))*($K3244+$L3244)/(SUMIF($A:$A,$A3244,$K:$K)+SUMIF($A:$A,$A3244,$L:$L)),0)</f>
        <v>8.6379926823250319E-16</v>
      </c>
      <c r="O3244" s="30">
        <f>IFERROR((VLOOKUP($A3244,HeadJournal!$A$1:$L$890,COLUMN(HeadJournal!L$1),0)*($K3244+$L3244)/(SUMIF($A:$A,$A3244,$K:$K)+SUMIF($A:$A,$A3244,$L:$L)))/VLOOKUP($A3244,HeadJournal!$A$1:$L$890,COLUMN(HeadJournal!H$1),0),0)</f>
        <v>0.43242592177673045</v>
      </c>
      <c r="P3244" s="30">
        <f>IFERROR(SUM(K3244:O3244)*VLOOKUP($A3244,HeadJournal!$A$1:$L$890,COLUMN(HeadJournal!H$1),0),0)</f>
        <v>758.45280929270439</v>
      </c>
      <c r="Q3244" s="29">
        <v>1200</v>
      </c>
      <c r="R3244" s="31">
        <v>45441</v>
      </c>
      <c r="S3244" s="31" t="s">
        <v>3121</v>
      </c>
      <c r="T3244" s="95" t="str">
        <f t="shared" si="257"/>
        <v>2024 05</v>
      </c>
      <c r="U3244" s="32">
        <f t="shared" si="254"/>
        <v>441.54719070729561</v>
      </c>
      <c r="V3244" s="22">
        <f t="shared" si="255"/>
        <v>0.58216831066795138</v>
      </c>
      <c r="X3244" s="33"/>
      <c r="Y3244" s="33"/>
    </row>
    <row r="3245" spans="1:25" x14ac:dyDescent="0.2">
      <c r="A3245" s="93" t="s">
        <v>1746</v>
      </c>
      <c r="B3245" s="94" t="str">
        <f>IFERROR(VLOOKUP($A3245,HeadJournal!$A$1:$NTR$890,COLUMN(HeadJournal!B$1),0),"")</f>
        <v>720000190392</v>
      </c>
      <c r="C3245" s="94" t="str">
        <f>IFERROR(VLOOKUP($A3245,HeadJournal!$A$1:$NTR$890,COLUMN(HeadJournal!C$1),0),"")</f>
        <v>iHerb_OA CZN6870</v>
      </c>
      <c r="D3245" s="125" t="str">
        <f>IFERROR(VLOOKUP($A3245,HeadJournal!$A$1:$NTR$890,COLUMN(HeadJournal!D$1),0),"")</f>
        <v>Доставлен</v>
      </c>
      <c r="E3245" s="95">
        <f>IFERROR(VLOOKUP($A3245,HeadJournal!$A$1:$NTR$890,COLUMN(HeadJournal!G$1),0),"")</f>
        <v>45385</v>
      </c>
      <c r="F3245" s="95" t="str">
        <f t="shared" si="256"/>
        <v>2024 04</v>
      </c>
      <c r="G3245" s="96" t="s">
        <v>5</v>
      </c>
      <c r="H3245" s="161" t="s">
        <v>2665</v>
      </c>
      <c r="I3245" s="97" t="s">
        <v>2666</v>
      </c>
      <c r="J3245" s="97" t="s">
        <v>3930</v>
      </c>
      <c r="K3245" s="29">
        <v>9.5500000000000007</v>
      </c>
      <c r="L3245" s="29">
        <v>-1.91</v>
      </c>
      <c r="M3245" s="30">
        <f>IFERROR(VLOOKUP($A3245,HeadJournal!$A$1:$J$890,COLUMN(HeadJournal!I$1),0)*($K3245+$L3245)/(SUMIF($A:$A,$A3245,$K:$K)+SUMIF($A:$A,$A3245,$L:$L)),0)</f>
        <v>-0.82910016707773115</v>
      </c>
      <c r="N3245" s="30">
        <f>IFERROR((VLOOKUP($A3245,HeadJournal!$A$1:$K$890,COLUMN(HeadJournal!K$1),0)-VLOOKUP($A3245,HeadJournal!$A$1:$K$890,COLUMN(HeadJournal!J$1),0))*($K3245+$L3245)/(SUMIF($A:$A,$A3245,$K:$K)+SUMIF($A:$A,$A3245,$L:$L)),0)</f>
        <v>8.6379926823250319E-16</v>
      </c>
      <c r="O3245" s="30">
        <f>IFERROR((VLOOKUP($A3245,HeadJournal!$A$1:$L$890,COLUMN(HeadJournal!L$1),0)*($K3245+$L3245)/(SUMIF($A:$A,$A3245,$K:$K)+SUMIF($A:$A,$A3245,$L:$L)))/VLOOKUP($A3245,HeadJournal!$A$1:$L$890,COLUMN(HeadJournal!H$1),0),0)</f>
        <v>0.43242592177673045</v>
      </c>
      <c r="P3245" s="30">
        <f>IFERROR(SUM(K3245:O3245)*VLOOKUP($A3245,HeadJournal!$A$1:$L$890,COLUMN(HeadJournal!H$1),0),0)</f>
        <v>758.45280929270439</v>
      </c>
      <c r="Q3245" s="29">
        <v>1500</v>
      </c>
      <c r="R3245" s="31">
        <v>45480</v>
      </c>
      <c r="S3245" s="31" t="s">
        <v>3121</v>
      </c>
      <c r="T3245" s="95" t="str">
        <f t="shared" si="257"/>
        <v>2024 07</v>
      </c>
      <c r="U3245" s="32">
        <f t="shared" si="254"/>
        <v>741.54719070729561</v>
      </c>
      <c r="V3245" s="22">
        <f t="shared" si="255"/>
        <v>0.97771038833493928</v>
      </c>
      <c r="X3245" s="33"/>
      <c r="Y3245" s="33"/>
    </row>
    <row r="3246" spans="1:25" x14ac:dyDescent="0.2">
      <c r="A3246" s="93" t="s">
        <v>1746</v>
      </c>
      <c r="B3246" s="94" t="str">
        <f>IFERROR(VLOOKUP($A3246,HeadJournal!$A$1:$NTR$890,COLUMN(HeadJournal!B$1),0),"")</f>
        <v>720000190392</v>
      </c>
      <c r="C3246" s="94" t="str">
        <f>IFERROR(VLOOKUP($A3246,HeadJournal!$A$1:$NTR$890,COLUMN(HeadJournal!C$1),0),"")</f>
        <v>iHerb_OA CZN6870</v>
      </c>
      <c r="D3246" s="125" t="str">
        <f>IFERROR(VLOOKUP($A3246,HeadJournal!$A$1:$NTR$890,COLUMN(HeadJournal!D$1),0),"")</f>
        <v>Доставлен</v>
      </c>
      <c r="E3246" s="95">
        <f>IFERROR(VLOOKUP($A3246,HeadJournal!$A$1:$NTR$890,COLUMN(HeadJournal!G$1),0),"")</f>
        <v>45385</v>
      </c>
      <c r="F3246" s="95" t="str">
        <f t="shared" si="256"/>
        <v>2024 04</v>
      </c>
      <c r="G3246" s="96" t="s">
        <v>5</v>
      </c>
      <c r="H3246" s="161" t="str">
        <f>RIGHT(Journal!$J3246,9)</f>
        <v>NCA-38611</v>
      </c>
      <c r="I3246" s="97" t="str">
        <f t="shared" si="258"/>
        <v>Nature's Craft</v>
      </c>
      <c r="J3246" s="97" t="s">
        <v>1066</v>
      </c>
      <c r="K3246" s="29">
        <v>20.18</v>
      </c>
      <c r="L3246" s="29">
        <v>-4.0350000000000001</v>
      </c>
      <c r="M3246" s="30">
        <f>IFERROR(VLOOKUP($A3246,HeadJournal!$A$1:$J$890,COLUMN(HeadJournal!I$1),0)*($K3246+$L3246)/(SUMIF($A:$A,$A3246,$K:$K)+SUMIF($A:$A,$A3246,$L:$L)),0)</f>
        <v>-1.7520709682552313</v>
      </c>
      <c r="N3246" s="30">
        <f>IFERROR((VLOOKUP($A3246,HeadJournal!$A$1:$K$890,COLUMN(HeadJournal!K$1),0)-VLOOKUP($A3246,HeadJournal!$A$1:$K$890,COLUMN(HeadJournal!J$1),0))*($K3246+$L3246)/(SUMIF($A:$A,$A3246,$K:$K)+SUMIF($A:$A,$A3246,$L:$L)),0)</f>
        <v>1.8253977991641053E-15</v>
      </c>
      <c r="O3246" s="30">
        <f>IFERROR((VLOOKUP($A3246,HeadJournal!$A$1:$L$890,COLUMN(HeadJournal!L$1),0)*($K3246+$L3246)/(SUMIF($A:$A,$A3246,$K:$K)+SUMIF($A:$A,$A3246,$L:$L)))/VLOOKUP($A3246,HeadJournal!$A$1:$L$890,COLUMN(HeadJournal!H$1),0),0)</f>
        <v>0.91381106113682098</v>
      </c>
      <c r="P3246" s="30">
        <f>IFERROR(SUM(K3246:O3246)*VLOOKUP($A3246,HeadJournal!$A$1:$L$890,COLUMN(HeadJournal!H$1),0),0)</f>
        <v>1602.7775662343861</v>
      </c>
      <c r="Q3246" s="29">
        <v>2400</v>
      </c>
      <c r="R3246" s="31">
        <v>45538</v>
      </c>
      <c r="S3246" s="31" t="s">
        <v>3121</v>
      </c>
      <c r="T3246" s="95" t="str">
        <f t="shared" si="257"/>
        <v>2024 09</v>
      </c>
      <c r="U3246" s="32">
        <f t="shared" si="254"/>
        <v>797.22243376561391</v>
      </c>
      <c r="V3246" s="22">
        <f t="shared" si="255"/>
        <v>0.49740054425557773</v>
      </c>
      <c r="X3246" s="33"/>
      <c r="Y3246" s="33"/>
    </row>
    <row r="3247" spans="1:25" x14ac:dyDescent="0.2">
      <c r="A3247" s="93" t="s">
        <v>1746</v>
      </c>
      <c r="B3247" s="94" t="str">
        <f>IFERROR(VLOOKUP($A3247,HeadJournal!$A$1:$NTR$890,COLUMN(HeadJournal!B$1),0),"")</f>
        <v>720000190392</v>
      </c>
      <c r="C3247" s="94" t="str">
        <f>IFERROR(VLOOKUP($A3247,HeadJournal!$A$1:$NTR$890,COLUMN(HeadJournal!C$1),0),"")</f>
        <v>iHerb_OA CZN6870</v>
      </c>
      <c r="D3247" s="125" t="str">
        <f>IFERROR(VLOOKUP($A3247,HeadJournal!$A$1:$NTR$890,COLUMN(HeadJournal!D$1),0),"")</f>
        <v>Доставлен</v>
      </c>
      <c r="E3247" s="95">
        <f>IFERROR(VLOOKUP($A3247,HeadJournal!$A$1:$NTR$890,COLUMN(HeadJournal!G$1),0),"")</f>
        <v>45385</v>
      </c>
      <c r="F3247" s="95" t="str">
        <f t="shared" si="256"/>
        <v>2024 04</v>
      </c>
      <c r="G3247" s="96" t="s">
        <v>5</v>
      </c>
      <c r="H3247" s="161" t="str">
        <f>RIGHT(Journal!$J3247,9)</f>
        <v>NCA-38611</v>
      </c>
      <c r="I3247" s="97" t="str">
        <f t="shared" si="258"/>
        <v>Nature's Craft</v>
      </c>
      <c r="J3247" s="97" t="s">
        <v>1066</v>
      </c>
      <c r="K3247" s="29">
        <v>20.18</v>
      </c>
      <c r="L3247" s="29">
        <v>-4.0350000000000001</v>
      </c>
      <c r="M3247" s="30">
        <f>IFERROR(VLOOKUP($A3247,HeadJournal!$A$1:$J$890,COLUMN(HeadJournal!I$1),0)*($K3247+$L3247)/(SUMIF($A:$A,$A3247,$K:$K)+SUMIF($A:$A,$A3247,$L:$L)),0)</f>
        <v>-1.7520709682552313</v>
      </c>
      <c r="N3247" s="30">
        <f>IFERROR((VLOOKUP($A3247,HeadJournal!$A$1:$K$890,COLUMN(HeadJournal!K$1),0)-VLOOKUP($A3247,HeadJournal!$A$1:$K$890,COLUMN(HeadJournal!J$1),0))*($K3247+$L3247)/(SUMIF($A:$A,$A3247,$K:$K)+SUMIF($A:$A,$A3247,$L:$L)),0)</f>
        <v>1.8253977991641053E-15</v>
      </c>
      <c r="O3247" s="30">
        <f>IFERROR((VLOOKUP($A3247,HeadJournal!$A$1:$L$890,COLUMN(HeadJournal!L$1),0)*($K3247+$L3247)/(SUMIF($A:$A,$A3247,$K:$K)+SUMIF($A:$A,$A3247,$L:$L)))/VLOOKUP($A3247,HeadJournal!$A$1:$L$890,COLUMN(HeadJournal!H$1),0),0)</f>
        <v>0.91381106113682098</v>
      </c>
      <c r="P3247" s="30">
        <f>IFERROR(SUM(K3247:O3247)*VLOOKUP($A3247,HeadJournal!$A$1:$L$890,COLUMN(HeadJournal!H$1),0),0)</f>
        <v>1602.7775662343861</v>
      </c>
      <c r="Q3247" s="29">
        <v>2400</v>
      </c>
      <c r="R3247" s="31">
        <v>45538</v>
      </c>
      <c r="S3247" s="31" t="s">
        <v>3121</v>
      </c>
      <c r="T3247" s="95" t="str">
        <f t="shared" si="257"/>
        <v>2024 09</v>
      </c>
      <c r="U3247" s="32">
        <f t="shared" si="254"/>
        <v>797.22243376561391</v>
      </c>
      <c r="V3247" s="22">
        <f t="shared" si="255"/>
        <v>0.49740054425557773</v>
      </c>
      <c r="X3247" s="33"/>
      <c r="Y3247" s="33"/>
    </row>
    <row r="3248" spans="1:25" x14ac:dyDescent="0.2">
      <c r="A3248" s="93" t="s">
        <v>1746</v>
      </c>
      <c r="B3248" s="94" t="str">
        <f>IFERROR(VLOOKUP($A3248,HeadJournal!$A$1:$NTR$890,COLUMN(HeadJournal!B$1),0),"")</f>
        <v>720000190392</v>
      </c>
      <c r="C3248" s="94" t="str">
        <f>IFERROR(VLOOKUP($A3248,HeadJournal!$A$1:$NTR$890,COLUMN(HeadJournal!C$1),0),"")</f>
        <v>iHerb_OA CZN6870</v>
      </c>
      <c r="D3248" s="125" t="str">
        <f>IFERROR(VLOOKUP($A3248,HeadJournal!$A$1:$NTR$890,COLUMN(HeadJournal!D$1),0),"")</f>
        <v>Доставлен</v>
      </c>
      <c r="E3248" s="95">
        <f>IFERROR(VLOOKUP($A3248,HeadJournal!$A$1:$NTR$890,COLUMN(HeadJournal!G$1),0),"")</f>
        <v>45385</v>
      </c>
      <c r="F3248" s="95" t="str">
        <f t="shared" si="256"/>
        <v>2024 04</v>
      </c>
      <c r="G3248" s="96" t="s">
        <v>5</v>
      </c>
      <c r="H3248" s="161" t="str">
        <f>RIGHT(Journal!$J3248,9)</f>
        <v>NWY-14600</v>
      </c>
      <c r="I3248" s="97" t="str">
        <f t="shared" si="258"/>
        <v>Nature's Way</v>
      </c>
      <c r="J3248" s="97" t="s">
        <v>1749</v>
      </c>
      <c r="K3248" s="29">
        <v>11.96</v>
      </c>
      <c r="L3248" s="29">
        <v>-2.39</v>
      </c>
      <c r="M3248" s="30">
        <f>IFERROR(VLOOKUP($A3248,HeadJournal!$A$1:$J$890,COLUMN(HeadJournal!I$1),0)*($K3248+$L3248)/(SUMIF($A:$A,$A3248,$K:$K)+SUMIF($A:$A,$A3248,$L:$L)),0)</f>
        <v>-1.0385456281327077</v>
      </c>
      <c r="N3248" s="30">
        <f>IFERROR((VLOOKUP($A3248,HeadJournal!$A$1:$K$890,COLUMN(HeadJournal!K$1),0)-VLOOKUP($A3248,HeadJournal!$A$1:$K$890,COLUMN(HeadJournal!J$1),0))*($K3248+$L3248)/(SUMIF($A:$A,$A3248,$K:$K)+SUMIF($A:$A,$A3248,$L:$L)),0)</f>
        <v>1.0820103399195099E-15</v>
      </c>
      <c r="O3248" s="30">
        <f>IFERROR((VLOOKUP($A3248,HeadJournal!$A$1:$L$890,COLUMN(HeadJournal!L$1),0)*($K3248+$L3248)/(SUMIF($A:$A,$A3248,$K:$K)+SUMIF($A:$A,$A3248,$L:$L)))/VLOOKUP($A3248,HeadJournal!$A$1:$L$890,COLUMN(HeadJournal!H$1),0),0)</f>
        <v>0.54166440725174214</v>
      </c>
      <c r="P3248" s="30">
        <f>IFERROR(SUM(K3248:O3248)*VLOOKUP($A3248,HeadJournal!$A$1:$L$890,COLUMN(HeadJournal!H$1),0),0)</f>
        <v>950.05149017423844</v>
      </c>
      <c r="Q3248" s="29">
        <v>1800</v>
      </c>
      <c r="R3248" s="31">
        <v>45419</v>
      </c>
      <c r="S3248" s="31" t="s">
        <v>3121</v>
      </c>
      <c r="T3248" s="95" t="str">
        <f t="shared" si="257"/>
        <v>2024 05</v>
      </c>
      <c r="U3248" s="32">
        <f t="shared" si="254"/>
        <v>849.94850982576156</v>
      </c>
      <c r="V3248" s="22">
        <f t="shared" si="255"/>
        <v>0.8946341525867002</v>
      </c>
      <c r="X3248" s="33"/>
      <c r="Y3248" s="33"/>
    </row>
    <row r="3249" spans="1:25" x14ac:dyDescent="0.2">
      <c r="A3249" s="93" t="s">
        <v>1746</v>
      </c>
      <c r="B3249" s="94" t="str">
        <f>IFERROR(VLOOKUP($A3249,HeadJournal!$A$1:$NTR$890,COLUMN(HeadJournal!B$1),0),"")</f>
        <v>720000190392</v>
      </c>
      <c r="C3249" s="94" t="str">
        <f>IFERROR(VLOOKUP($A3249,HeadJournal!$A$1:$NTR$890,COLUMN(HeadJournal!C$1),0),"")</f>
        <v>iHerb_OA CZN6870</v>
      </c>
      <c r="D3249" s="125" t="str">
        <f>IFERROR(VLOOKUP($A3249,HeadJournal!$A$1:$NTR$890,COLUMN(HeadJournal!D$1),0),"")</f>
        <v>Доставлен</v>
      </c>
      <c r="E3249" s="95">
        <f>IFERROR(VLOOKUP($A3249,HeadJournal!$A$1:$NTR$890,COLUMN(HeadJournal!G$1),0),"")</f>
        <v>45385</v>
      </c>
      <c r="F3249" s="95" t="str">
        <f t="shared" si="256"/>
        <v>2024 04</v>
      </c>
      <c r="G3249" s="96" t="s">
        <v>5</v>
      </c>
      <c r="H3249" s="161" t="s">
        <v>2462</v>
      </c>
      <c r="I3249" s="97" t="s">
        <v>2005</v>
      </c>
      <c r="J3249" s="97" t="s">
        <v>2463</v>
      </c>
      <c r="K3249" s="29">
        <v>7.9</v>
      </c>
      <c r="L3249" s="29">
        <v>-1.58</v>
      </c>
      <c r="M3249" s="30">
        <f>IFERROR(VLOOKUP($A3249,HeadJournal!$A$1:$J$890,COLUMN(HeadJournal!I$1),0)*($K3249+$L3249)/(SUMIF($A:$A,$A3249,$K:$K)+SUMIF($A:$A,$A3249,$L:$L)),0)</f>
        <v>-0.68585249423184036</v>
      </c>
      <c r="N3249" s="30">
        <f>IFERROR((VLOOKUP($A3249,HeadJournal!$A$1:$K$890,COLUMN(HeadJournal!K$1),0)-VLOOKUP($A3249,HeadJournal!$A$1:$K$890,COLUMN(HeadJournal!J$1),0))*($K3249+$L3249)/(SUMIF($A:$A,$A3249,$K:$K)+SUMIF($A:$A,$A3249,$L:$L)),0)</f>
        <v>7.145564627263639E-16</v>
      </c>
      <c r="O3249" s="30">
        <f>IFERROR((VLOOKUP($A3249,HeadJournal!$A$1:$L$890,COLUMN(HeadJournal!L$1),0)*($K3249+$L3249)/(SUMIF($A:$A,$A3249,$K:$K)+SUMIF($A:$A,$A3249,$L:$L)))/VLOOKUP($A3249,HeadJournal!$A$1:$L$890,COLUMN(HeadJournal!H$1),0),0)</f>
        <v>0.3577135897420074</v>
      </c>
      <c r="P3249" s="30">
        <f>IFERROR(SUM(K3249:O3249)*VLOOKUP($A3249,HeadJournal!$A$1:$L$890,COLUMN(HeadJournal!H$1),0),0)</f>
        <v>627.41122444108532</v>
      </c>
      <c r="Q3249" s="29">
        <v>1500</v>
      </c>
      <c r="R3249" s="31">
        <v>45419</v>
      </c>
      <c r="S3249" s="31" t="s">
        <v>3121</v>
      </c>
      <c r="T3249" s="95" t="str">
        <f t="shared" si="257"/>
        <v>2024 05</v>
      </c>
      <c r="U3249" s="32">
        <f t="shared" si="254"/>
        <v>872.58877555891468</v>
      </c>
      <c r="V3249" s="22">
        <f t="shared" si="255"/>
        <v>1.3907764821010973</v>
      </c>
      <c r="X3249" s="33"/>
      <c r="Y3249" s="33"/>
    </row>
    <row r="3250" spans="1:25" x14ac:dyDescent="0.2">
      <c r="A3250" s="93" t="s">
        <v>1746</v>
      </c>
      <c r="B3250" s="94" t="str">
        <f>IFERROR(VLOOKUP($A3250,HeadJournal!$A$1:$NTR$890,COLUMN(HeadJournal!B$1),0),"")</f>
        <v>720000190392</v>
      </c>
      <c r="C3250" s="94" t="str">
        <f>IFERROR(VLOOKUP($A3250,HeadJournal!$A$1:$NTR$890,COLUMN(HeadJournal!C$1),0),"")</f>
        <v>iHerb_OA CZN6870</v>
      </c>
      <c r="D3250" s="125" t="str">
        <f>IFERROR(VLOOKUP($A3250,HeadJournal!$A$1:$NTR$890,COLUMN(HeadJournal!D$1),0),"")</f>
        <v>Доставлен</v>
      </c>
      <c r="E3250" s="95">
        <f>IFERROR(VLOOKUP($A3250,HeadJournal!$A$1:$NTR$890,COLUMN(HeadJournal!G$1),0),"")</f>
        <v>45385</v>
      </c>
      <c r="F3250" s="95" t="str">
        <f t="shared" si="256"/>
        <v>2024 04</v>
      </c>
      <c r="G3250" s="96" t="s">
        <v>5</v>
      </c>
      <c r="H3250" s="161" t="s">
        <v>2200</v>
      </c>
      <c r="I3250" s="97" t="s">
        <v>2005</v>
      </c>
      <c r="J3250" s="97" t="s">
        <v>2201</v>
      </c>
      <c r="K3250" s="29">
        <v>11.07</v>
      </c>
      <c r="L3250" s="29">
        <v>-2.21</v>
      </c>
      <c r="M3250" s="30">
        <f>IFERROR(VLOOKUP($A3250,HeadJournal!$A$1:$J$890,COLUMN(HeadJournal!I$1),0)*($K3250+$L3250)/(SUMIF($A:$A,$A3250,$K:$K)+SUMIF($A:$A,$A3250,$L:$L)),0)</f>
        <v>-0.96149574349590272</v>
      </c>
      <c r="N3250" s="30">
        <f>IFERROR((VLOOKUP($A3250,HeadJournal!$A$1:$K$890,COLUMN(HeadJournal!K$1),0)-VLOOKUP($A3250,HeadJournal!$A$1:$K$890,COLUMN(HeadJournal!J$1),0))*($K3250+$L3250)/(SUMIF($A:$A,$A3250,$K:$K)+SUMIF($A:$A,$A3250,$L:$L)),0)</f>
        <v>1.0017358005942378E-15</v>
      </c>
      <c r="O3250" s="30">
        <f>IFERROR((VLOOKUP($A3250,HeadJournal!$A$1:$L$890,COLUMN(HeadJournal!L$1),0)*($K3250+$L3250)/(SUMIF($A:$A,$A3250,$K:$K)+SUMIF($A:$A,$A3250,$L:$L)))/VLOOKUP($A3250,HeadJournal!$A$1:$L$890,COLUMN(HeadJournal!H$1),0),0)</f>
        <v>0.50147822865730773</v>
      </c>
      <c r="P3250" s="30">
        <f>IFERROR(SUM(K3250:O3250)*VLOOKUP($A3250,HeadJournal!$A$1:$L$890,COLUMN(HeadJournal!H$1),0),0)</f>
        <v>879.56700135253402</v>
      </c>
      <c r="Q3250" s="29">
        <v>1600</v>
      </c>
      <c r="R3250" s="31">
        <v>45472</v>
      </c>
      <c r="S3250" s="31" t="s">
        <v>3121</v>
      </c>
      <c r="T3250" s="95" t="str">
        <f t="shared" si="257"/>
        <v>2024 06</v>
      </c>
      <c r="U3250" s="32">
        <f t="shared" si="254"/>
        <v>720.43299864746598</v>
      </c>
      <c r="V3250" s="22">
        <f t="shared" si="255"/>
        <v>0.81907688389814148</v>
      </c>
      <c r="X3250" s="33"/>
      <c r="Y3250" s="33"/>
    </row>
    <row r="3251" spans="1:25" x14ac:dyDescent="0.2">
      <c r="A3251" s="93" t="s">
        <v>1746</v>
      </c>
      <c r="B3251" s="94" t="str">
        <f>IFERROR(VLOOKUP($A3251,HeadJournal!$A$1:$NTR$890,COLUMN(HeadJournal!B$1),0),"")</f>
        <v>720000190392</v>
      </c>
      <c r="C3251" s="94" t="str">
        <f>IFERROR(VLOOKUP($A3251,HeadJournal!$A$1:$NTR$890,COLUMN(HeadJournal!C$1),0),"")</f>
        <v>iHerb_OA CZN6870</v>
      </c>
      <c r="D3251" s="125" t="str">
        <f>IFERROR(VLOOKUP($A3251,HeadJournal!$A$1:$NTR$890,COLUMN(HeadJournal!D$1),0),"")</f>
        <v>Доставлен</v>
      </c>
      <c r="E3251" s="95">
        <f>IFERROR(VLOOKUP($A3251,HeadJournal!$A$1:$NTR$890,COLUMN(HeadJournal!G$1),0),"")</f>
        <v>45385</v>
      </c>
      <c r="F3251" s="95" t="str">
        <f t="shared" si="256"/>
        <v>2024 04</v>
      </c>
      <c r="G3251" s="96" t="s">
        <v>5</v>
      </c>
      <c r="H3251" s="161" t="str">
        <f>RIGHT(Journal!$J3251,9)</f>
        <v>JRW-13007</v>
      </c>
      <c r="I3251" s="97" t="str">
        <f t="shared" si="258"/>
        <v>Jarrow Formulas</v>
      </c>
      <c r="J3251" s="97" t="s">
        <v>521</v>
      </c>
      <c r="K3251" s="29">
        <v>17.07</v>
      </c>
      <c r="L3251" s="29">
        <v>-3.41</v>
      </c>
      <c r="M3251" s="30">
        <f>IFERROR(VLOOKUP($A3251,HeadJournal!$A$1:$J$890,COLUMN(HeadJournal!I$1),0)*($K3251+$L3251)/(SUMIF($A:$A,$A3251,$K:$K)+SUMIF($A:$A,$A3251,$L:$L)),0)</f>
        <v>-1.4823963720264146</v>
      </c>
      <c r="N3251" s="30">
        <f>IFERROR((VLOOKUP($A3251,HeadJournal!$A$1:$K$890,COLUMN(HeadJournal!K$1),0)-VLOOKUP($A3251,HeadJournal!$A$1:$K$890,COLUMN(HeadJournal!J$1),0))*($K3251+$L3251)/(SUMIF($A:$A,$A3251,$K:$K)+SUMIF($A:$A,$A3251,$L:$L)),0)</f>
        <v>1.5444369115256535E-15</v>
      </c>
      <c r="O3251" s="30">
        <f>IFERROR((VLOOKUP($A3251,HeadJournal!$A$1:$L$890,COLUMN(HeadJournal!L$1),0)*($K3251+$L3251)/(SUMIF($A:$A,$A3251,$K:$K)+SUMIF($A:$A,$A3251,$L:$L)))/VLOOKUP($A3251,HeadJournal!$A$1:$L$890,COLUMN(HeadJournal!H$1),0),0)</f>
        <v>0.77315943605630066</v>
      </c>
      <c r="P3251" s="30">
        <f>IFERROR(SUM(K3251:O3251)*VLOOKUP($A3251,HeadJournal!$A$1:$L$890,COLUMN(HeadJournal!H$1),0),0)</f>
        <v>1356.0818553584215</v>
      </c>
      <c r="Q3251" s="29">
        <v>2300</v>
      </c>
      <c r="R3251" s="31">
        <v>45430</v>
      </c>
      <c r="S3251" s="31" t="s">
        <v>3121</v>
      </c>
      <c r="T3251" s="95" t="str">
        <f t="shared" si="257"/>
        <v>2024 05</v>
      </c>
      <c r="U3251" s="32">
        <f t="shared" si="254"/>
        <v>943.91814464157846</v>
      </c>
      <c r="V3251" s="22">
        <f t="shared" si="255"/>
        <v>0.69606280838562995</v>
      </c>
      <c r="X3251" s="33"/>
      <c r="Y3251" s="33"/>
    </row>
    <row r="3252" spans="1:25" x14ac:dyDescent="0.2">
      <c r="A3252" s="93" t="s">
        <v>1746</v>
      </c>
      <c r="B3252" s="94" t="str">
        <f>IFERROR(VLOOKUP($A3252,HeadJournal!$A$1:$NTR$890,COLUMN(HeadJournal!B$1),0),"")</f>
        <v>720000190392</v>
      </c>
      <c r="C3252" s="94" t="str">
        <f>IFERROR(VLOOKUP($A3252,HeadJournal!$A$1:$NTR$890,COLUMN(HeadJournal!C$1),0),"")</f>
        <v>iHerb_OA CZN6870</v>
      </c>
      <c r="D3252" s="125" t="str">
        <f>IFERROR(VLOOKUP($A3252,HeadJournal!$A$1:$NTR$890,COLUMN(HeadJournal!D$1),0),"")</f>
        <v>Доставлен</v>
      </c>
      <c r="E3252" s="95">
        <f>IFERROR(VLOOKUP($A3252,HeadJournal!$A$1:$NTR$890,COLUMN(HeadJournal!G$1),0),"")</f>
        <v>45385</v>
      </c>
      <c r="F3252" s="95" t="str">
        <f t="shared" si="256"/>
        <v>2024 04</v>
      </c>
      <c r="G3252" s="96" t="s">
        <v>5</v>
      </c>
      <c r="H3252" s="161" t="s">
        <v>3646</v>
      </c>
      <c r="I3252" s="97" t="s">
        <v>3688</v>
      </c>
      <c r="J3252" s="97" t="s">
        <v>3695</v>
      </c>
      <c r="K3252" s="29">
        <v>9.2899999999999991</v>
      </c>
      <c r="L3252" s="29">
        <v>-1.86</v>
      </c>
      <c r="M3252" s="30">
        <f>IFERROR(VLOOKUP($A3252,HeadJournal!$A$1:$J$890,COLUMN(HeadJournal!I$1),0)*($K3252+$L3252)/(SUMIF($A:$A,$A3252,$K:$K)+SUMIF($A:$A,$A3252,$L:$L)),0)</f>
        <v>-0.80631076457952111</v>
      </c>
      <c r="N3252" s="30">
        <f>IFERROR((VLOOKUP($A3252,HeadJournal!$A$1:$K$890,COLUMN(HeadJournal!K$1),0)-VLOOKUP($A3252,HeadJournal!$A$1:$K$890,COLUMN(HeadJournal!J$1),0))*($K3252+$L3252)/(SUMIF($A:$A,$A3252,$K:$K)+SUMIF($A:$A,$A3252,$L:$L)),0)</f>
        <v>8.4005609462925362E-16</v>
      </c>
      <c r="O3252" s="30">
        <f>IFERROR((VLOOKUP($A3252,HeadJournal!$A$1:$L$890,COLUMN(HeadJournal!L$1),0)*($K3252+$L3252)/(SUMIF($A:$A,$A3252,$K:$K)+SUMIF($A:$A,$A3252,$L:$L)))/VLOOKUP($A3252,HeadJournal!$A$1:$L$890,COLUMN(HeadJournal!H$1),0),0)</f>
        <v>0.42053986895302436</v>
      </c>
      <c r="P3252" s="30">
        <f>IFERROR(SUM(K3252:O3252)*VLOOKUP($A3252,HeadJournal!$A$1:$L$890,COLUMN(HeadJournal!H$1),0),0)</f>
        <v>737.60528442994655</v>
      </c>
      <c r="Q3252" s="29">
        <v>1900</v>
      </c>
      <c r="R3252" s="31">
        <v>45430</v>
      </c>
      <c r="S3252" s="31" t="s">
        <v>3121</v>
      </c>
      <c r="T3252" s="95" t="str">
        <f t="shared" si="257"/>
        <v>2024 05</v>
      </c>
      <c r="U3252" s="32">
        <f t="shared" si="254"/>
        <v>1162.3947155700534</v>
      </c>
      <c r="V3252" s="22">
        <f t="shared" si="255"/>
        <v>1.575903454200986</v>
      </c>
      <c r="X3252" s="33"/>
      <c r="Y3252" s="33"/>
    </row>
    <row r="3253" spans="1:25" x14ac:dyDescent="0.2">
      <c r="A3253" s="93" t="s">
        <v>1746</v>
      </c>
      <c r="B3253" s="94" t="str">
        <f>IFERROR(VLOOKUP($A3253,HeadJournal!$A$1:$NTR$890,COLUMN(HeadJournal!B$1),0),"")</f>
        <v>720000190392</v>
      </c>
      <c r="C3253" s="94" t="str">
        <f>IFERROR(VLOOKUP($A3253,HeadJournal!$A$1:$NTR$890,COLUMN(HeadJournal!C$1),0),"")</f>
        <v>iHerb_OA CZN6870</v>
      </c>
      <c r="D3253" s="125" t="str">
        <f>IFERROR(VLOOKUP($A3253,HeadJournal!$A$1:$NTR$890,COLUMN(HeadJournal!D$1),0),"")</f>
        <v>Доставлен</v>
      </c>
      <c r="E3253" s="95">
        <f>IFERROR(VLOOKUP($A3253,HeadJournal!$A$1:$NTR$890,COLUMN(HeadJournal!G$1),0),"")</f>
        <v>45385</v>
      </c>
      <c r="F3253" s="95" t="str">
        <f t="shared" si="256"/>
        <v>2024 04</v>
      </c>
      <c r="G3253" s="96" t="s">
        <v>5</v>
      </c>
      <c r="H3253" s="161" t="s">
        <v>3646</v>
      </c>
      <c r="I3253" s="97" t="s">
        <v>3688</v>
      </c>
      <c r="J3253" s="97" t="s">
        <v>3695</v>
      </c>
      <c r="K3253" s="29">
        <v>9.2899999999999991</v>
      </c>
      <c r="L3253" s="29">
        <v>-1.86</v>
      </c>
      <c r="M3253" s="30">
        <f>IFERROR(VLOOKUP($A3253,HeadJournal!$A$1:$J$890,COLUMN(HeadJournal!I$1),0)*($K3253+$L3253)/(SUMIF($A:$A,$A3253,$K:$K)+SUMIF($A:$A,$A3253,$L:$L)),0)</f>
        <v>-0.80631076457952111</v>
      </c>
      <c r="N3253" s="30">
        <f>IFERROR((VLOOKUP($A3253,HeadJournal!$A$1:$K$890,COLUMN(HeadJournal!K$1),0)-VLOOKUP($A3253,HeadJournal!$A$1:$K$890,COLUMN(HeadJournal!J$1),0))*($K3253+$L3253)/(SUMIF($A:$A,$A3253,$K:$K)+SUMIF($A:$A,$A3253,$L:$L)),0)</f>
        <v>8.4005609462925362E-16</v>
      </c>
      <c r="O3253" s="30">
        <f>IFERROR((VLOOKUP($A3253,HeadJournal!$A$1:$L$890,COLUMN(HeadJournal!L$1),0)*($K3253+$L3253)/(SUMIF($A:$A,$A3253,$K:$K)+SUMIF($A:$A,$A3253,$L:$L)))/VLOOKUP($A3253,HeadJournal!$A$1:$L$890,COLUMN(HeadJournal!H$1),0),0)</f>
        <v>0.42053986895302436</v>
      </c>
      <c r="P3253" s="30">
        <f>IFERROR(SUM(K3253:O3253)*VLOOKUP($A3253,HeadJournal!$A$1:$L$890,COLUMN(HeadJournal!H$1),0),0)</f>
        <v>737.60528442994655</v>
      </c>
      <c r="Q3253" s="29">
        <v>1900</v>
      </c>
      <c r="R3253" s="31">
        <v>45523</v>
      </c>
      <c r="S3253" s="31" t="s">
        <v>3121</v>
      </c>
      <c r="T3253" s="95" t="str">
        <f t="shared" si="257"/>
        <v>2024 08</v>
      </c>
      <c r="U3253" s="32">
        <f t="shared" si="254"/>
        <v>1162.3947155700534</v>
      </c>
      <c r="V3253" s="22">
        <f t="shared" si="255"/>
        <v>1.575903454200986</v>
      </c>
      <c r="X3253" s="33"/>
      <c r="Y3253" s="33"/>
    </row>
    <row r="3254" spans="1:25" x14ac:dyDescent="0.2">
      <c r="A3254" s="93" t="s">
        <v>1746</v>
      </c>
      <c r="B3254" s="94" t="str">
        <f>IFERROR(VLOOKUP($A3254,HeadJournal!$A$1:$NTR$890,COLUMN(HeadJournal!B$1),0),"")</f>
        <v>720000190392</v>
      </c>
      <c r="C3254" s="94" t="str">
        <f>IFERROR(VLOOKUP($A3254,HeadJournal!$A$1:$NTR$890,COLUMN(HeadJournal!C$1),0),"")</f>
        <v>iHerb_OA CZN6870</v>
      </c>
      <c r="D3254" s="125" t="str">
        <f>IFERROR(VLOOKUP($A3254,HeadJournal!$A$1:$NTR$890,COLUMN(HeadJournal!D$1),0),"")</f>
        <v>Доставлен</v>
      </c>
      <c r="E3254" s="95">
        <f>IFERROR(VLOOKUP($A3254,HeadJournal!$A$1:$NTR$890,COLUMN(HeadJournal!G$1),0),"")</f>
        <v>45385</v>
      </c>
      <c r="F3254" s="95" t="str">
        <f t="shared" si="256"/>
        <v>2024 04</v>
      </c>
      <c r="G3254" s="96" t="s">
        <v>5</v>
      </c>
      <c r="H3254" s="161" t="str">
        <f>RIGHT(Journal!$J3254,9)</f>
        <v>EVL-02951</v>
      </c>
      <c r="I3254" s="97" t="str">
        <f t="shared" si="258"/>
        <v>EVLution Nutrition</v>
      </c>
      <c r="J3254" s="97" t="s">
        <v>1750</v>
      </c>
      <c r="K3254" s="29">
        <v>15.1</v>
      </c>
      <c r="L3254" s="29">
        <v>-7.55</v>
      </c>
      <c r="M3254" s="30">
        <f>IFERROR(VLOOKUP($A3254,HeadJournal!$A$1:$J$890,COLUMN(HeadJournal!I$1),0)*($K3254+$L3254)/(SUMIF($A:$A,$A3254,$K:$K)+SUMIF($A:$A,$A3254,$L:$L)),0)</f>
        <v>-0.81933328029278396</v>
      </c>
      <c r="N3254" s="30">
        <f>IFERROR((VLOOKUP($A3254,HeadJournal!$A$1:$K$890,COLUMN(HeadJournal!K$1),0)-VLOOKUP($A3254,HeadJournal!$A$1:$K$890,COLUMN(HeadJournal!J$1),0))*($K3254+$L3254)/(SUMIF($A:$A,$A3254,$K:$K)+SUMIF($A:$A,$A3254,$L:$L)),0)</f>
        <v>8.5362362240253909E-16</v>
      </c>
      <c r="O3254" s="30">
        <f>IFERROR((VLOOKUP($A3254,HeadJournal!$A$1:$L$890,COLUMN(HeadJournal!L$1),0)*($K3254+$L3254)/(SUMIF($A:$A,$A3254,$K:$K)+SUMIF($A:$A,$A3254,$L:$L)))/VLOOKUP($A3254,HeadJournal!$A$1:$L$890,COLUMN(HeadJournal!H$1),0),0)</f>
        <v>0.42733189913799929</v>
      </c>
      <c r="P3254" s="30">
        <f>IFERROR(SUM(K3254:O3254)*VLOOKUP($A3254,HeadJournal!$A$1:$L$890,COLUMN(HeadJournal!H$1),0),0)</f>
        <v>749.51815578009393</v>
      </c>
      <c r="Q3254" s="29"/>
      <c r="R3254" s="31"/>
      <c r="S3254" s="31"/>
      <c r="T3254" s="95" t="str">
        <f t="shared" si="257"/>
        <v/>
      </c>
      <c r="U3254" s="32">
        <f t="shared" si="254"/>
        <v>-749.51815578009393</v>
      </c>
      <c r="V3254" s="22" t="str">
        <f t="shared" si="255"/>
        <v/>
      </c>
      <c r="X3254" s="33"/>
      <c r="Y3254" s="33"/>
    </row>
    <row r="3255" spans="1:25" x14ac:dyDescent="0.2">
      <c r="A3255" s="93" t="s">
        <v>1754</v>
      </c>
      <c r="B3255" s="94" t="str">
        <f>IFERROR(VLOOKUP($A3255,HeadJournal!$A$1:$NTR$890,COLUMN(HeadJournal!B$1),0),"")</f>
        <v>720000209993</v>
      </c>
      <c r="C3255" s="94" t="str">
        <f>IFERROR(VLOOKUP($A3255,HeadJournal!$A$1:$NTR$890,COLUMN(HeadJournal!C$1),0),"")</f>
        <v>iHerb_MH DLE7202</v>
      </c>
      <c r="D3255" s="125" t="str">
        <f>IFERROR(VLOOKUP($A3255,HeadJournal!$A$1:$NTR$890,COLUMN(HeadJournal!D$1),0),"")</f>
        <v>Доставлен</v>
      </c>
      <c r="E3255" s="95">
        <f>IFERROR(VLOOKUP($A3255,HeadJournal!$A$1:$NTR$890,COLUMN(HeadJournal!G$1),0),"")</f>
        <v>45404</v>
      </c>
      <c r="F3255" s="95" t="str">
        <f t="shared" si="256"/>
        <v>2024 04</v>
      </c>
      <c r="G3255" s="96" t="s">
        <v>5</v>
      </c>
      <c r="H3255" s="161" t="s">
        <v>2196</v>
      </c>
      <c r="I3255" s="97" t="s">
        <v>2006</v>
      </c>
      <c r="J3255" s="97" t="s">
        <v>2197</v>
      </c>
      <c r="K3255" s="29">
        <v>17.21</v>
      </c>
      <c r="L3255" s="29">
        <v>-3.44</v>
      </c>
      <c r="M3255" s="30">
        <f>IFERROR(VLOOKUP($A3255,HeadJournal!$A$1:$J$890,COLUMN(HeadJournal!I$1),0)*($K3255+$L3255)/(SUMIF($A:$A,$A3255,$K:$K)+SUMIF($A:$A,$A3255,$L:$L)),0)</f>
        <v>0</v>
      </c>
      <c r="N3255" s="30">
        <f>IFERROR((VLOOKUP($A3255,HeadJournal!$A$1:$K$890,COLUMN(HeadJournal!K$1),0)-VLOOKUP($A3255,HeadJournal!$A$1:$K$890,COLUMN(HeadJournal!J$1),0))*($K3255+$L3255)/(SUMIF($A:$A,$A3255,$K:$K)+SUMIF($A:$A,$A3255,$L:$L)),0)</f>
        <v>-2.0717110732976718E-15</v>
      </c>
      <c r="O3255" s="30">
        <f>IFERROR((VLOOKUP($A3255,HeadJournal!$A$1:$L$890,COLUMN(HeadJournal!L$1),0)*($K3255+$L3255)/(SUMIF($A:$A,$A3255,$K:$K)+SUMIF($A:$A,$A3255,$L:$L)))/VLOOKUP($A3255,HeadJournal!$A$1:$L$890,COLUMN(HeadJournal!H$1),0),0)</f>
        <v>0.70847794110130935</v>
      </c>
      <c r="P3255" s="30">
        <f>IFERROR(SUM(K3255:O3255)*VLOOKUP($A3255,HeadJournal!$A$1:$L$890,COLUMN(HeadJournal!H$1),0),0)</f>
        <v>1499.5659504525963</v>
      </c>
      <c r="Q3255" s="29">
        <v>2500</v>
      </c>
      <c r="R3255" s="31">
        <v>45430</v>
      </c>
      <c r="S3255" s="31" t="s">
        <v>3121</v>
      </c>
      <c r="T3255" s="95" t="str">
        <f t="shared" si="257"/>
        <v>2024 05</v>
      </c>
      <c r="U3255" s="32">
        <f t="shared" si="254"/>
        <v>1000.4340495474037</v>
      </c>
      <c r="V3255" s="22">
        <f t="shared" si="255"/>
        <v>0.66714908353677571</v>
      </c>
      <c r="X3255" s="33"/>
      <c r="Y3255" s="33"/>
    </row>
    <row r="3256" spans="1:25" x14ac:dyDescent="0.2">
      <c r="A3256" s="93" t="s">
        <v>1754</v>
      </c>
      <c r="B3256" s="94" t="str">
        <f>IFERROR(VLOOKUP($A3256,HeadJournal!$A$1:$NTR$890,COLUMN(HeadJournal!B$1),0),"")</f>
        <v>720000209993</v>
      </c>
      <c r="C3256" s="94" t="str">
        <f>IFERROR(VLOOKUP($A3256,HeadJournal!$A$1:$NTR$890,COLUMN(HeadJournal!C$1),0),"")</f>
        <v>iHerb_MH DLE7202</v>
      </c>
      <c r="D3256" s="125" t="str">
        <f>IFERROR(VLOOKUP($A3256,HeadJournal!$A$1:$NTR$890,COLUMN(HeadJournal!D$1),0),"")</f>
        <v>Доставлен</v>
      </c>
      <c r="E3256" s="95">
        <f>IFERROR(VLOOKUP($A3256,HeadJournal!$A$1:$NTR$890,COLUMN(HeadJournal!G$1),0),"")</f>
        <v>45404</v>
      </c>
      <c r="F3256" s="95" t="str">
        <f t="shared" si="256"/>
        <v>2024 04</v>
      </c>
      <c r="G3256" s="96" t="s">
        <v>5</v>
      </c>
      <c r="H3256" s="161" t="s">
        <v>2196</v>
      </c>
      <c r="I3256" s="97" t="s">
        <v>2006</v>
      </c>
      <c r="J3256" s="97" t="s">
        <v>2197</v>
      </c>
      <c r="K3256" s="29">
        <v>17.21</v>
      </c>
      <c r="L3256" s="29">
        <v>-3.44</v>
      </c>
      <c r="M3256" s="30">
        <f>IFERROR(VLOOKUP($A3256,HeadJournal!$A$1:$J$890,COLUMN(HeadJournal!I$1),0)*($K3256+$L3256)/(SUMIF($A:$A,$A3256,$K:$K)+SUMIF($A:$A,$A3256,$L:$L)),0)</f>
        <v>0</v>
      </c>
      <c r="N3256" s="30">
        <f>IFERROR((VLOOKUP($A3256,HeadJournal!$A$1:$K$890,COLUMN(HeadJournal!K$1),0)-VLOOKUP($A3256,HeadJournal!$A$1:$K$890,COLUMN(HeadJournal!J$1),0))*($K3256+$L3256)/(SUMIF($A:$A,$A3256,$K:$K)+SUMIF($A:$A,$A3256,$L:$L)),0)</f>
        <v>-2.0717110732976718E-15</v>
      </c>
      <c r="O3256" s="30">
        <f>IFERROR((VLOOKUP($A3256,HeadJournal!$A$1:$L$890,COLUMN(HeadJournal!L$1),0)*($K3256+$L3256)/(SUMIF($A:$A,$A3256,$K:$K)+SUMIF($A:$A,$A3256,$L:$L)))/VLOOKUP($A3256,HeadJournal!$A$1:$L$890,COLUMN(HeadJournal!H$1),0),0)</f>
        <v>0.70847794110130935</v>
      </c>
      <c r="P3256" s="30">
        <f>IFERROR(SUM(K3256:O3256)*VLOOKUP($A3256,HeadJournal!$A$1:$L$890,COLUMN(HeadJournal!H$1),0),0)</f>
        <v>1499.5659504525963</v>
      </c>
      <c r="Q3256" s="29">
        <v>2500</v>
      </c>
      <c r="R3256" s="31">
        <v>45430</v>
      </c>
      <c r="S3256" s="31" t="s">
        <v>3121</v>
      </c>
      <c r="T3256" s="95" t="str">
        <f t="shared" si="257"/>
        <v>2024 05</v>
      </c>
      <c r="U3256" s="32">
        <f t="shared" si="254"/>
        <v>1000.4340495474037</v>
      </c>
      <c r="V3256" s="22">
        <f t="shared" si="255"/>
        <v>0.66714908353677571</v>
      </c>
      <c r="X3256" s="33"/>
      <c r="Y3256" s="33"/>
    </row>
    <row r="3257" spans="1:25" x14ac:dyDescent="0.2">
      <c r="A3257" s="93" t="s">
        <v>1754</v>
      </c>
      <c r="B3257" s="94" t="str">
        <f>IFERROR(VLOOKUP($A3257,HeadJournal!$A$1:$NTR$890,COLUMN(HeadJournal!B$1),0),"")</f>
        <v>720000209993</v>
      </c>
      <c r="C3257" s="94" t="str">
        <f>IFERROR(VLOOKUP($A3257,HeadJournal!$A$1:$NTR$890,COLUMN(HeadJournal!C$1),0),"")</f>
        <v>iHerb_MH DLE7202</v>
      </c>
      <c r="D3257" s="125" t="str">
        <f>IFERROR(VLOOKUP($A3257,HeadJournal!$A$1:$NTR$890,COLUMN(HeadJournal!D$1),0),"")</f>
        <v>Доставлен</v>
      </c>
      <c r="E3257" s="95">
        <f>IFERROR(VLOOKUP($A3257,HeadJournal!$A$1:$NTR$890,COLUMN(HeadJournal!G$1),0),"")</f>
        <v>45404</v>
      </c>
      <c r="F3257" s="95" t="str">
        <f t="shared" si="256"/>
        <v>2024 04</v>
      </c>
      <c r="G3257" s="96" t="s">
        <v>5</v>
      </c>
      <c r="H3257" s="161" t="str">
        <f>RIGHT(Journal!$J3257,9)</f>
        <v>NOW-01613</v>
      </c>
      <c r="I3257" s="97" t="str">
        <f t="shared" ref="I3257:I3318" si="259">IFERROR(LEFT(J3257,FIND(",",J3257)-1),"")</f>
        <v>NOW Foods</v>
      </c>
      <c r="J3257" s="97" t="s">
        <v>892</v>
      </c>
      <c r="K3257" s="29">
        <v>42.55</v>
      </c>
      <c r="L3257" s="29">
        <v>-8.51</v>
      </c>
      <c r="M3257" s="30">
        <f>IFERROR(VLOOKUP($A3257,HeadJournal!$A$1:$J$890,COLUMN(HeadJournal!I$1),0)*($K3257+$L3257)/(SUMIF($A:$A,$A3257,$K:$K)+SUMIF($A:$A,$A3257,$L:$L)),0)</f>
        <v>0</v>
      </c>
      <c r="N3257" s="30">
        <f>IFERROR((VLOOKUP($A3257,HeadJournal!$A$1:$K$890,COLUMN(HeadJournal!K$1),0)-VLOOKUP($A3257,HeadJournal!$A$1:$K$890,COLUMN(HeadJournal!J$1),0))*($K3257+$L3257)/(SUMIF($A:$A,$A3257,$K:$K)+SUMIF($A:$A,$A3257,$L:$L)),0)</f>
        <v>-5.1213540257845123E-15</v>
      </c>
      <c r="O3257" s="30">
        <f>IFERROR((VLOOKUP($A3257,HeadJournal!$A$1:$L$890,COLUMN(HeadJournal!L$1),0)*($K3257+$L3257)/(SUMIF($A:$A,$A3257,$K:$K)+SUMIF($A:$A,$A3257,$L:$L)))/VLOOKUP($A3257,HeadJournal!$A$1:$L$890,COLUMN(HeadJournal!H$1),0),0)</f>
        <v>1.7513862828677245</v>
      </c>
      <c r="P3257" s="30">
        <f>IFERROR(SUM(K3257:O3257)*VLOOKUP($A3257,HeadJournal!$A$1:$L$890,COLUMN(HeadJournal!H$1),0),0)</f>
        <v>3706.9880140454884</v>
      </c>
      <c r="Q3257" s="29">
        <v>4900</v>
      </c>
      <c r="R3257" s="31">
        <v>45430</v>
      </c>
      <c r="S3257" s="31" t="s">
        <v>3121</v>
      </c>
      <c r="T3257" s="95" t="str">
        <f t="shared" si="257"/>
        <v>2024 05</v>
      </c>
      <c r="U3257" s="32">
        <f t="shared" si="254"/>
        <v>1193.0119859545116</v>
      </c>
      <c r="V3257" s="22">
        <f t="shared" si="255"/>
        <v>0.32182785092217248</v>
      </c>
      <c r="X3257" s="33"/>
      <c r="Y3257" s="33"/>
    </row>
    <row r="3258" spans="1:25" x14ac:dyDescent="0.2">
      <c r="A3258" s="93" t="s">
        <v>1754</v>
      </c>
      <c r="B3258" s="94" t="str">
        <f>IFERROR(VLOOKUP($A3258,HeadJournal!$A$1:$NTR$890,COLUMN(HeadJournal!B$1),0),"")</f>
        <v>720000209993</v>
      </c>
      <c r="C3258" s="94" t="str">
        <f>IFERROR(VLOOKUP($A3258,HeadJournal!$A$1:$NTR$890,COLUMN(HeadJournal!C$1),0),"")</f>
        <v>iHerb_MH DLE7202</v>
      </c>
      <c r="D3258" s="125" t="str">
        <f>IFERROR(VLOOKUP($A3258,HeadJournal!$A$1:$NTR$890,COLUMN(HeadJournal!D$1),0),"")</f>
        <v>Доставлен</v>
      </c>
      <c r="E3258" s="95">
        <f>IFERROR(VLOOKUP($A3258,HeadJournal!$A$1:$NTR$890,COLUMN(HeadJournal!G$1),0),"")</f>
        <v>45404</v>
      </c>
      <c r="F3258" s="95" t="str">
        <f t="shared" si="256"/>
        <v>2024 04</v>
      </c>
      <c r="G3258" s="96" t="s">
        <v>5</v>
      </c>
      <c r="H3258" s="161" t="s">
        <v>2089</v>
      </c>
      <c r="I3258" s="97" t="s">
        <v>2005</v>
      </c>
      <c r="J3258" s="97" t="s">
        <v>3781</v>
      </c>
      <c r="K3258" s="29">
        <v>23.08</v>
      </c>
      <c r="L3258" s="29">
        <v>-4.6150000000000002</v>
      </c>
      <c r="M3258" s="30">
        <f>IFERROR(VLOOKUP($A3258,HeadJournal!$A$1:$J$890,COLUMN(HeadJournal!I$1),0)*($K3258+$L3258)/(SUMIF($A:$A,$A3258,$K:$K)+SUMIF($A:$A,$A3258,$L:$L)),0)</f>
        <v>0</v>
      </c>
      <c r="N3258" s="30">
        <f>IFERROR((VLOOKUP($A3258,HeadJournal!$A$1:$K$890,COLUMN(HeadJournal!K$1),0)-VLOOKUP($A3258,HeadJournal!$A$1:$K$890,COLUMN(HeadJournal!J$1),0))*($K3258+$L3258)/(SUMIF($A:$A,$A3258,$K:$K)+SUMIF($A:$A,$A3258,$L:$L)),0)</f>
        <v>-2.7780787921889251E-15</v>
      </c>
      <c r="O3258" s="30">
        <f>IFERROR((VLOOKUP($A3258,HeadJournal!$A$1:$L$890,COLUMN(HeadJournal!L$1),0)*($K3258+$L3258)/(SUMIF($A:$A,$A3258,$K:$K)+SUMIF($A:$A,$A3258,$L:$L)))/VLOOKUP($A3258,HeadJournal!$A$1:$L$890,COLUMN(HeadJournal!H$1),0),0)</f>
        <v>0.95003959204325883</v>
      </c>
      <c r="P3258" s="30">
        <f>IFERROR(SUM(K3258:O3258)*VLOOKUP($A3258,HeadJournal!$A$1:$L$890,COLUMN(HeadJournal!H$1),0),0)</f>
        <v>2010.8558660208555</v>
      </c>
      <c r="Q3258" s="29">
        <v>2900</v>
      </c>
      <c r="R3258" s="31">
        <v>45456</v>
      </c>
      <c r="S3258" s="31" t="s">
        <v>3121</v>
      </c>
      <c r="T3258" s="95" t="str">
        <f t="shared" si="257"/>
        <v>2024 06</v>
      </c>
      <c r="U3258" s="32">
        <f t="shared" si="254"/>
        <v>889.1441339791445</v>
      </c>
      <c r="V3258" s="22">
        <f t="shared" si="255"/>
        <v>0.44217198706469735</v>
      </c>
      <c r="X3258" s="33"/>
      <c r="Y3258" s="33"/>
    </row>
    <row r="3259" spans="1:25" x14ac:dyDescent="0.2">
      <c r="A3259" s="93" t="s">
        <v>1754</v>
      </c>
      <c r="B3259" s="94" t="str">
        <f>IFERROR(VLOOKUP($A3259,HeadJournal!$A$1:$NTR$890,COLUMN(HeadJournal!B$1),0),"")</f>
        <v>720000209993</v>
      </c>
      <c r="C3259" s="94" t="str">
        <f>IFERROR(VLOOKUP($A3259,HeadJournal!$A$1:$NTR$890,COLUMN(HeadJournal!C$1),0),"")</f>
        <v>iHerb_MH DLE7202</v>
      </c>
      <c r="D3259" s="125" t="str">
        <f>IFERROR(VLOOKUP($A3259,HeadJournal!$A$1:$NTR$890,COLUMN(HeadJournal!D$1),0),"")</f>
        <v>Доставлен</v>
      </c>
      <c r="E3259" s="95">
        <f>IFERROR(VLOOKUP($A3259,HeadJournal!$A$1:$NTR$890,COLUMN(HeadJournal!G$1),0),"")</f>
        <v>45404</v>
      </c>
      <c r="F3259" s="95" t="str">
        <f t="shared" si="256"/>
        <v>2024 04</v>
      </c>
      <c r="G3259" s="96" t="s">
        <v>5</v>
      </c>
      <c r="H3259" s="161" t="s">
        <v>2089</v>
      </c>
      <c r="I3259" s="97" t="s">
        <v>2005</v>
      </c>
      <c r="J3259" s="97" t="s">
        <v>3781</v>
      </c>
      <c r="K3259" s="29">
        <v>23.08</v>
      </c>
      <c r="L3259" s="29">
        <v>-4.6150000000000002</v>
      </c>
      <c r="M3259" s="30">
        <f>IFERROR(VLOOKUP($A3259,HeadJournal!$A$1:$J$890,COLUMN(HeadJournal!I$1),0)*($K3259+$L3259)/(SUMIF($A:$A,$A3259,$K:$K)+SUMIF($A:$A,$A3259,$L:$L)),0)</f>
        <v>0</v>
      </c>
      <c r="N3259" s="30">
        <f>IFERROR((VLOOKUP($A3259,HeadJournal!$A$1:$K$890,COLUMN(HeadJournal!K$1),0)-VLOOKUP($A3259,HeadJournal!$A$1:$K$890,COLUMN(HeadJournal!J$1),0))*($K3259+$L3259)/(SUMIF($A:$A,$A3259,$K:$K)+SUMIF($A:$A,$A3259,$L:$L)),0)</f>
        <v>-2.7780787921889251E-15</v>
      </c>
      <c r="O3259" s="30">
        <f>IFERROR((VLOOKUP($A3259,HeadJournal!$A$1:$L$890,COLUMN(HeadJournal!L$1),0)*($K3259+$L3259)/(SUMIF($A:$A,$A3259,$K:$K)+SUMIF($A:$A,$A3259,$L:$L)))/VLOOKUP($A3259,HeadJournal!$A$1:$L$890,COLUMN(HeadJournal!H$1),0),0)</f>
        <v>0.95003959204325883</v>
      </c>
      <c r="P3259" s="30">
        <f>IFERROR(SUM(K3259:O3259)*VLOOKUP($A3259,HeadJournal!$A$1:$L$890,COLUMN(HeadJournal!H$1),0),0)</f>
        <v>2010.8558660208555</v>
      </c>
      <c r="Q3259" s="29">
        <v>2900</v>
      </c>
      <c r="R3259" s="31">
        <v>45472</v>
      </c>
      <c r="S3259" s="31" t="s">
        <v>3121</v>
      </c>
      <c r="T3259" s="95" t="str">
        <f t="shared" si="257"/>
        <v>2024 06</v>
      </c>
      <c r="U3259" s="32">
        <f t="shared" si="254"/>
        <v>889.1441339791445</v>
      </c>
      <c r="V3259" s="22">
        <f t="shared" si="255"/>
        <v>0.44217198706469735</v>
      </c>
      <c r="X3259" s="33"/>
      <c r="Y3259" s="33"/>
    </row>
    <row r="3260" spans="1:25" x14ac:dyDescent="0.2">
      <c r="A3260" s="93" t="s">
        <v>1754</v>
      </c>
      <c r="B3260" s="94" t="str">
        <f>IFERROR(VLOOKUP($A3260,HeadJournal!$A$1:$NTR$890,COLUMN(HeadJournal!B$1),0),"")</f>
        <v>720000209993</v>
      </c>
      <c r="C3260" s="94" t="str">
        <f>IFERROR(VLOOKUP($A3260,HeadJournal!$A$1:$NTR$890,COLUMN(HeadJournal!C$1),0),"")</f>
        <v>iHerb_MH DLE7202</v>
      </c>
      <c r="D3260" s="125" t="str">
        <f>IFERROR(VLOOKUP($A3260,HeadJournal!$A$1:$NTR$890,COLUMN(HeadJournal!D$1),0),"")</f>
        <v>Доставлен</v>
      </c>
      <c r="E3260" s="95">
        <f>IFERROR(VLOOKUP($A3260,HeadJournal!$A$1:$NTR$890,COLUMN(HeadJournal!G$1),0),"")</f>
        <v>45404</v>
      </c>
      <c r="F3260" s="95" t="str">
        <f t="shared" si="256"/>
        <v>2024 04</v>
      </c>
      <c r="G3260" s="96" t="s">
        <v>5</v>
      </c>
      <c r="H3260" s="161" t="s">
        <v>2124</v>
      </c>
      <c r="I3260" s="97" t="s">
        <v>2125</v>
      </c>
      <c r="J3260" s="97" t="s">
        <v>2126</v>
      </c>
      <c r="K3260" s="29">
        <v>13.66</v>
      </c>
      <c r="L3260" s="29">
        <v>-2.73</v>
      </c>
      <c r="M3260" s="30">
        <f>IFERROR(VLOOKUP($A3260,HeadJournal!$A$1:$J$890,COLUMN(HeadJournal!I$1),0)*($K3260+$L3260)/(SUMIF($A:$A,$A3260,$K:$K)+SUMIF($A:$A,$A3260,$L:$L)),0)</f>
        <v>0</v>
      </c>
      <c r="N3260" s="30">
        <f>IFERROR((VLOOKUP($A3260,HeadJournal!$A$1:$K$890,COLUMN(HeadJournal!K$1),0)-VLOOKUP($A3260,HeadJournal!$A$1:$K$890,COLUMN(HeadJournal!J$1),0))*($K3260+$L3260)/(SUMIF($A:$A,$A3260,$K:$K)+SUMIF($A:$A,$A3260,$L:$L)),0)</f>
        <v>-1.6444300676211728E-15</v>
      </c>
      <c r="O3260" s="30">
        <f>IFERROR((VLOOKUP($A3260,HeadJournal!$A$1:$L$890,COLUMN(HeadJournal!L$1),0)*($K3260+$L3260)/(SUMIF($A:$A,$A3260,$K:$K)+SUMIF($A:$A,$A3260,$L:$L)))/VLOOKUP($A3260,HeadJournal!$A$1:$L$890,COLUMN(HeadJournal!H$1),0),0)</f>
        <v>0.5623575814260936</v>
      </c>
      <c r="P3260" s="30">
        <f>IFERROR(SUM(K3260:O3260)*VLOOKUP($A3260,HeadJournal!$A$1:$L$890,COLUMN(HeadJournal!H$1),0),0)</f>
        <v>1190.2872794805285</v>
      </c>
      <c r="Q3260" s="29">
        <v>2000</v>
      </c>
      <c r="R3260" s="31">
        <v>45442</v>
      </c>
      <c r="S3260" s="31" t="s">
        <v>3121</v>
      </c>
      <c r="T3260" s="95" t="str">
        <f t="shared" si="257"/>
        <v>2024 05</v>
      </c>
      <c r="U3260" s="32">
        <f t="shared" si="254"/>
        <v>809.71272051947153</v>
      </c>
      <c r="V3260" s="22">
        <f t="shared" si="255"/>
        <v>0.68026663350787941</v>
      </c>
      <c r="X3260" s="33"/>
      <c r="Y3260" s="33"/>
    </row>
    <row r="3261" spans="1:25" x14ac:dyDescent="0.2">
      <c r="A3261" s="93" t="s">
        <v>1754</v>
      </c>
      <c r="B3261" s="94" t="str">
        <f>IFERROR(VLOOKUP($A3261,HeadJournal!$A$1:$NTR$890,COLUMN(HeadJournal!B$1),0),"")</f>
        <v>720000209993</v>
      </c>
      <c r="C3261" s="94" t="str">
        <f>IFERROR(VLOOKUP($A3261,HeadJournal!$A$1:$NTR$890,COLUMN(HeadJournal!C$1),0),"")</f>
        <v>iHerb_MH DLE7202</v>
      </c>
      <c r="D3261" s="125" t="str">
        <f>IFERROR(VLOOKUP($A3261,HeadJournal!$A$1:$NTR$890,COLUMN(HeadJournal!D$1),0),"")</f>
        <v>Доставлен</v>
      </c>
      <c r="E3261" s="95">
        <f>IFERROR(VLOOKUP($A3261,HeadJournal!$A$1:$NTR$890,COLUMN(HeadJournal!G$1),0),"")</f>
        <v>45404</v>
      </c>
      <c r="F3261" s="95" t="str">
        <f t="shared" si="256"/>
        <v>2024 04</v>
      </c>
      <c r="G3261" s="96" t="s">
        <v>5</v>
      </c>
      <c r="H3261" s="161" t="str">
        <f>RIGHT(Journal!$J3261,9)</f>
        <v>FCD-02867</v>
      </c>
      <c r="I3261" s="97" t="str">
        <f t="shared" si="259"/>
        <v>fitcode</v>
      </c>
      <c r="J3261" s="97" t="s">
        <v>1760</v>
      </c>
      <c r="K3261" s="29">
        <v>13.15</v>
      </c>
      <c r="L3261" s="29">
        <v>-6.58</v>
      </c>
      <c r="M3261" s="30">
        <f>IFERROR(VLOOKUP($A3261,HeadJournal!$A$1:$J$890,COLUMN(HeadJournal!I$1),0)*($K3261+$L3261)/(SUMIF($A:$A,$A3261,$K:$K)+SUMIF($A:$A,$A3261,$L:$L)),0)</f>
        <v>0</v>
      </c>
      <c r="N3261" s="30">
        <f>IFERROR((VLOOKUP($A3261,HeadJournal!$A$1:$K$890,COLUMN(HeadJournal!K$1),0)-VLOOKUP($A3261,HeadJournal!$A$1:$K$890,COLUMN(HeadJournal!J$1),0))*($K3261+$L3261)/(SUMIF($A:$A,$A3261,$K:$K)+SUMIF($A:$A,$A3261,$L:$L)),0)</f>
        <v>-9.8846345327274533E-16</v>
      </c>
      <c r="O3261" s="30">
        <f>IFERROR((VLOOKUP($A3261,HeadJournal!$A$1:$L$890,COLUMN(HeadJournal!L$1),0)*($K3261+$L3261)/(SUMIF($A:$A,$A3261,$K:$K)+SUMIF($A:$A,$A3261,$L:$L)))/VLOOKUP($A3261,HeadJournal!$A$1:$L$890,COLUMN(HeadJournal!H$1),0),0)</f>
        <v>0.33803195882611492</v>
      </c>
      <c r="P3261" s="30">
        <f>IFERROR(SUM(K3261:O3261)*VLOOKUP($A3261,HeadJournal!$A$1:$L$890,COLUMN(HeadJournal!H$1),0),0)</f>
        <v>715.47917897411457</v>
      </c>
      <c r="Q3261" s="29">
        <v>1700</v>
      </c>
      <c r="R3261" s="31">
        <v>45564</v>
      </c>
      <c r="S3261" s="31" t="s">
        <v>3121</v>
      </c>
      <c r="T3261" s="95" t="str">
        <f t="shared" si="257"/>
        <v>2024 09</v>
      </c>
      <c r="U3261" s="32">
        <f t="shared" si="254"/>
        <v>984.52082102588543</v>
      </c>
      <c r="V3261" s="22">
        <f t="shared" si="255"/>
        <v>1.3760300089200843</v>
      </c>
      <c r="X3261" s="33"/>
      <c r="Y3261" s="33"/>
    </row>
    <row r="3262" spans="1:25" x14ac:dyDescent="0.2">
      <c r="A3262" s="93" t="s">
        <v>1754</v>
      </c>
      <c r="B3262" s="94" t="str">
        <f>IFERROR(VLOOKUP($A3262,HeadJournal!$A$1:$NTR$890,COLUMN(HeadJournal!B$1),0),"")</f>
        <v>720000209993</v>
      </c>
      <c r="C3262" s="94" t="str">
        <f>IFERROR(VLOOKUP($A3262,HeadJournal!$A$1:$NTR$890,COLUMN(HeadJournal!C$1),0),"")</f>
        <v>iHerb_MH DLE7202</v>
      </c>
      <c r="D3262" s="125" t="str">
        <f>IFERROR(VLOOKUP($A3262,HeadJournal!$A$1:$NTR$890,COLUMN(HeadJournal!D$1),0),"")</f>
        <v>Доставлен</v>
      </c>
      <c r="E3262" s="95">
        <f>IFERROR(VLOOKUP($A3262,HeadJournal!$A$1:$NTR$890,COLUMN(HeadJournal!G$1),0),"")</f>
        <v>45404</v>
      </c>
      <c r="F3262" s="95" t="str">
        <f t="shared" si="256"/>
        <v>2024 04</v>
      </c>
      <c r="G3262" s="96" t="s">
        <v>5</v>
      </c>
      <c r="H3262" s="161" t="s">
        <v>2016</v>
      </c>
      <c r="I3262" s="97" t="s">
        <v>2005</v>
      </c>
      <c r="J3262" s="97" t="s">
        <v>2017</v>
      </c>
      <c r="K3262" s="29">
        <v>36.799999999999997</v>
      </c>
      <c r="L3262" s="29">
        <v>-7.36</v>
      </c>
      <c r="M3262" s="30">
        <f>IFERROR(VLOOKUP($A3262,HeadJournal!$A$1:$J$890,COLUMN(HeadJournal!I$1),0)*($K3262+$L3262)/(SUMIF($A:$A,$A3262,$K:$K)+SUMIF($A:$A,$A3262,$L:$L)),0)</f>
        <v>0</v>
      </c>
      <c r="N3262" s="30">
        <f>IFERROR((VLOOKUP($A3262,HeadJournal!$A$1:$K$890,COLUMN(HeadJournal!K$1),0)-VLOOKUP($A3262,HeadJournal!$A$1:$K$890,COLUMN(HeadJournal!J$1),0))*($K3262+$L3262)/(SUMIF($A:$A,$A3262,$K:$K)+SUMIF($A:$A,$A3262,$L:$L)),0)</f>
        <v>-4.4292791574352541E-15</v>
      </c>
      <c r="O3262" s="30">
        <f>IFERROR((VLOOKUP($A3262,HeadJournal!$A$1:$L$890,COLUMN(HeadJournal!L$1),0)*($K3262+$L3262)/(SUMIF($A:$A,$A3262,$K:$K)+SUMIF($A:$A,$A3262,$L:$L)))/VLOOKUP($A3262,HeadJournal!$A$1:$L$890,COLUMN(HeadJournal!H$1),0),0)</f>
        <v>1.5147124608585727</v>
      </c>
      <c r="P3262" s="30">
        <f>IFERROR(SUM(K3262:O3262)*VLOOKUP($A3262,HeadJournal!$A$1:$L$890,COLUMN(HeadJournal!H$1),0),0)</f>
        <v>3206.0436878231249</v>
      </c>
      <c r="Q3262" s="29">
        <v>4200</v>
      </c>
      <c r="R3262" s="31">
        <v>45530</v>
      </c>
      <c r="S3262" s="31" t="s">
        <v>3121</v>
      </c>
      <c r="T3262" s="95" t="str">
        <f t="shared" si="257"/>
        <v>2024 08</v>
      </c>
      <c r="U3262" s="32">
        <f t="shared" si="254"/>
        <v>993.95631217687514</v>
      </c>
      <c r="V3262" s="22">
        <f t="shared" si="255"/>
        <v>0.3100258165389389</v>
      </c>
      <c r="X3262" s="33"/>
      <c r="Y3262" s="33"/>
    </row>
    <row r="3263" spans="1:25" x14ac:dyDescent="0.2">
      <c r="A3263" s="93" t="s">
        <v>1754</v>
      </c>
      <c r="B3263" s="94" t="str">
        <f>IFERROR(VLOOKUP($A3263,HeadJournal!$A$1:$NTR$890,COLUMN(HeadJournal!B$1),0),"")</f>
        <v>720000209993</v>
      </c>
      <c r="C3263" s="94" t="str">
        <f>IFERROR(VLOOKUP($A3263,HeadJournal!$A$1:$NTR$890,COLUMN(HeadJournal!C$1),0),"")</f>
        <v>iHerb_MH DLE7202</v>
      </c>
      <c r="D3263" s="125" t="str">
        <f>IFERROR(VLOOKUP($A3263,HeadJournal!$A$1:$NTR$890,COLUMN(HeadJournal!D$1),0),"")</f>
        <v>Доставлен</v>
      </c>
      <c r="E3263" s="95">
        <f>IFERROR(VLOOKUP($A3263,HeadJournal!$A$1:$NTR$890,COLUMN(HeadJournal!G$1),0),"")</f>
        <v>45404</v>
      </c>
      <c r="F3263" s="95" t="str">
        <f t="shared" si="256"/>
        <v>2024 04</v>
      </c>
      <c r="G3263" s="96" t="s">
        <v>5</v>
      </c>
      <c r="H3263" s="161" t="s">
        <v>2016</v>
      </c>
      <c r="I3263" s="97" t="s">
        <v>2005</v>
      </c>
      <c r="J3263" s="97" t="s">
        <v>2017</v>
      </c>
      <c r="K3263" s="29">
        <v>36.799999999999997</v>
      </c>
      <c r="L3263" s="29">
        <v>-7.36</v>
      </c>
      <c r="M3263" s="30">
        <f>IFERROR(VLOOKUP($A3263,HeadJournal!$A$1:$J$890,COLUMN(HeadJournal!I$1),0)*($K3263+$L3263)/(SUMIF($A:$A,$A3263,$K:$K)+SUMIF($A:$A,$A3263,$L:$L)),0)</f>
        <v>0</v>
      </c>
      <c r="N3263" s="30">
        <f>IFERROR((VLOOKUP($A3263,HeadJournal!$A$1:$K$890,COLUMN(HeadJournal!K$1),0)-VLOOKUP($A3263,HeadJournal!$A$1:$K$890,COLUMN(HeadJournal!J$1),0))*($K3263+$L3263)/(SUMIF($A:$A,$A3263,$K:$K)+SUMIF($A:$A,$A3263,$L:$L)),0)</f>
        <v>-4.4292791574352541E-15</v>
      </c>
      <c r="O3263" s="30">
        <f>IFERROR((VLOOKUP($A3263,HeadJournal!$A$1:$L$890,COLUMN(HeadJournal!L$1),0)*($K3263+$L3263)/(SUMIF($A:$A,$A3263,$K:$K)+SUMIF($A:$A,$A3263,$L:$L)))/VLOOKUP($A3263,HeadJournal!$A$1:$L$890,COLUMN(HeadJournal!H$1),0),0)</f>
        <v>1.5147124608585727</v>
      </c>
      <c r="P3263" s="30">
        <f>IFERROR(SUM(K3263:O3263)*VLOOKUP($A3263,HeadJournal!$A$1:$L$890,COLUMN(HeadJournal!H$1),0),0)</f>
        <v>3206.0436878231249</v>
      </c>
      <c r="Q3263" s="29">
        <v>4200</v>
      </c>
      <c r="R3263" s="31">
        <v>45532</v>
      </c>
      <c r="S3263" s="31" t="s">
        <v>3121</v>
      </c>
      <c r="T3263" s="95" t="str">
        <f t="shared" si="257"/>
        <v>2024 08</v>
      </c>
      <c r="U3263" s="32">
        <f t="shared" si="254"/>
        <v>993.95631217687514</v>
      </c>
      <c r="V3263" s="22">
        <f t="shared" si="255"/>
        <v>0.3100258165389389</v>
      </c>
      <c r="X3263" s="33"/>
      <c r="Y3263" s="33"/>
    </row>
    <row r="3264" spans="1:25" x14ac:dyDescent="0.2">
      <c r="A3264" s="93" t="s">
        <v>1754</v>
      </c>
      <c r="B3264" s="94" t="str">
        <f>IFERROR(VLOOKUP($A3264,HeadJournal!$A$1:$NTR$890,COLUMN(HeadJournal!B$1),0),"")</f>
        <v>720000209993</v>
      </c>
      <c r="C3264" s="94" t="str">
        <f>IFERROR(VLOOKUP($A3264,HeadJournal!$A$1:$NTR$890,COLUMN(HeadJournal!C$1),0),"")</f>
        <v>iHerb_MH DLE7202</v>
      </c>
      <c r="D3264" s="125" t="str">
        <f>IFERROR(VLOOKUP($A3264,HeadJournal!$A$1:$NTR$890,COLUMN(HeadJournal!D$1),0),"")</f>
        <v>Доставлен</v>
      </c>
      <c r="E3264" s="95">
        <f>IFERROR(VLOOKUP($A3264,HeadJournal!$A$1:$NTR$890,COLUMN(HeadJournal!G$1),0),"")</f>
        <v>45404</v>
      </c>
      <c r="F3264" s="95" t="str">
        <f t="shared" si="256"/>
        <v>2024 04</v>
      </c>
      <c r="G3264" s="96" t="s">
        <v>5</v>
      </c>
      <c r="H3264" s="161" t="str">
        <f>RIGHT(Journal!$J3264,9)</f>
        <v>NOW-01742</v>
      </c>
      <c r="I3264" s="97" t="str">
        <f t="shared" si="259"/>
        <v>NOW Foods</v>
      </c>
      <c r="J3264" s="97" t="s">
        <v>499</v>
      </c>
      <c r="K3264" s="29">
        <v>17.52</v>
      </c>
      <c r="L3264" s="29">
        <v>-3.5</v>
      </c>
      <c r="M3264" s="30">
        <f>IFERROR(VLOOKUP($A3264,HeadJournal!$A$1:$J$890,COLUMN(HeadJournal!I$1),0)*($K3264+$L3264)/(SUMIF($A:$A,$A3264,$K:$K)+SUMIF($A:$A,$A3264,$L:$L)),0)</f>
        <v>0</v>
      </c>
      <c r="N3264" s="30">
        <f>IFERROR((VLOOKUP($A3264,HeadJournal!$A$1:$K$890,COLUMN(HeadJournal!K$1),0)-VLOOKUP($A3264,HeadJournal!$A$1:$K$890,COLUMN(HeadJournal!J$1),0))*($K3264+$L3264)/(SUMIF($A:$A,$A3264,$K:$K)+SUMIF($A:$A,$A3264,$L:$L)),0)</f>
        <v>-2.1093238378818704E-15</v>
      </c>
      <c r="O3264" s="30">
        <f>IFERROR((VLOOKUP($A3264,HeadJournal!$A$1:$L$890,COLUMN(HeadJournal!L$1),0)*($K3264+$L3264)/(SUMIF($A:$A,$A3264,$K:$K)+SUMIF($A:$A,$A3264,$L:$L)))/VLOOKUP($A3264,HeadJournal!$A$1:$L$890,COLUMN(HeadJournal!H$1),0),0)</f>
        <v>0.72134064881919802</v>
      </c>
      <c r="P3264" s="30">
        <f>IFERROR(SUM(K3264:O3264)*VLOOKUP($A3264,HeadJournal!$A$1:$L$890,COLUMN(HeadJournal!H$1),0),0)</f>
        <v>1526.7911855733769</v>
      </c>
      <c r="Q3264" s="29">
        <v>2400</v>
      </c>
      <c r="R3264" s="31">
        <v>45430</v>
      </c>
      <c r="S3264" s="31" t="s">
        <v>3121</v>
      </c>
      <c r="T3264" s="95" t="str">
        <f t="shared" si="257"/>
        <v>2024 05</v>
      </c>
      <c r="U3264" s="32">
        <f t="shared" si="254"/>
        <v>873.20881442662312</v>
      </c>
      <c r="V3264" s="22">
        <f t="shared" si="255"/>
        <v>0.57192419151849838</v>
      </c>
      <c r="X3264" s="33"/>
      <c r="Y3264" s="33"/>
    </row>
    <row r="3265" spans="1:25" x14ac:dyDescent="0.2">
      <c r="A3265" s="93" t="s">
        <v>1755</v>
      </c>
      <c r="B3265" s="94" t="str">
        <f>IFERROR(VLOOKUP($A3265,HeadJournal!$A$1:$NTR$890,COLUMN(HeadJournal!B$1),0),"")</f>
        <v>720000209360</v>
      </c>
      <c r="C3265" s="94" t="str">
        <f>IFERROR(VLOOKUP($A3265,HeadJournal!$A$1:$NTR$890,COLUMN(HeadJournal!C$1),0),"")</f>
        <v>iHerb_AV CYG0792</v>
      </c>
      <c r="D3265" s="125" t="str">
        <f>IFERROR(VLOOKUP($A3265,HeadJournal!$A$1:$NTR$890,COLUMN(HeadJournal!D$1),0),"")</f>
        <v>Доставлен</v>
      </c>
      <c r="E3265" s="95">
        <f>IFERROR(VLOOKUP($A3265,HeadJournal!$A$1:$NTR$890,COLUMN(HeadJournal!G$1),0),"")</f>
        <v>45403</v>
      </c>
      <c r="F3265" s="95" t="str">
        <f t="shared" si="256"/>
        <v>2024 04</v>
      </c>
      <c r="G3265" s="96" t="s">
        <v>5</v>
      </c>
      <c r="H3265" s="161" t="s">
        <v>2903</v>
      </c>
      <c r="I3265" s="97" t="s">
        <v>2839</v>
      </c>
      <c r="J3265" s="97" t="s">
        <v>2904</v>
      </c>
      <c r="K3265" s="29">
        <v>20.260000000000002</v>
      </c>
      <c r="L3265" s="29">
        <v>-1.0149999999999999</v>
      </c>
      <c r="M3265" s="30">
        <f>IFERROR(VLOOKUP($A3265,HeadJournal!$A$1:$J$890,COLUMN(HeadJournal!I$1),0)*($K3265+$L3265)/(SUMIF($A:$A,$A3265,$K:$K)+SUMIF($A:$A,$A3265,$L:$L)),0)</f>
        <v>-1.1046780786918748</v>
      </c>
      <c r="N3265" s="30">
        <f>IFERROR((VLOOKUP($A3265,HeadJournal!$A$1:$K$890,COLUMN(HeadJournal!K$1),0)-VLOOKUP($A3265,HeadJournal!$A$1:$K$890,COLUMN(HeadJournal!J$1),0))*($K3265+$L3265)/(SUMIF($A:$A,$A3265,$K:$K)+SUMIF($A:$A,$A3265,$L:$L)),0)</f>
        <v>-6.2110463633466758E-15</v>
      </c>
      <c r="O3265" s="30">
        <f>IFERROR((VLOOKUP($A3265,HeadJournal!$A$1:$L$890,COLUMN(HeadJournal!L$1),0)*($K3265+$L3265)/(SUMIF($A:$A,$A3265,$K:$K)+SUMIF($A:$A,$A3265,$L:$L)))/VLOOKUP($A3265,HeadJournal!$A$1:$L$890,COLUMN(HeadJournal!H$1),0),0)</f>
        <v>1.0562186075324969</v>
      </c>
      <c r="P3265" s="30">
        <f>IFERROR(SUM(K3265:O3265)*VLOOKUP($A3265,HeadJournal!$A$1:$L$890,COLUMN(HeadJournal!H$1),0),0)</f>
        <v>1999.1424385397136</v>
      </c>
      <c r="Q3265" s="29">
        <v>2500</v>
      </c>
      <c r="R3265" s="31">
        <v>45530</v>
      </c>
      <c r="S3265" s="31" t="s">
        <v>3121</v>
      </c>
      <c r="T3265" s="95" t="str">
        <f t="shared" si="257"/>
        <v>2024 08</v>
      </c>
      <c r="U3265" s="32">
        <f t="shared" ref="U3265:U3328" si="260">Q3265-P3265</f>
        <v>500.85756146028643</v>
      </c>
      <c r="V3265" s="22">
        <f t="shared" ref="V3265:V3328" si="261">IF(Q3265&lt;&gt;0,IFERROR(U3265/P3265,""),"")</f>
        <v>0.25053620582740521</v>
      </c>
      <c r="X3265" s="33"/>
      <c r="Y3265" s="33"/>
    </row>
    <row r="3266" spans="1:25" x14ac:dyDescent="0.2">
      <c r="A3266" s="93" t="s">
        <v>1755</v>
      </c>
      <c r="B3266" s="94" t="str">
        <f>IFERROR(VLOOKUP($A3266,HeadJournal!$A$1:$NTR$890,COLUMN(HeadJournal!B$1),0),"")</f>
        <v>720000209360</v>
      </c>
      <c r="C3266" s="94" t="str">
        <f>IFERROR(VLOOKUP($A3266,HeadJournal!$A$1:$NTR$890,COLUMN(HeadJournal!C$1),0),"")</f>
        <v>iHerb_AV CYG0792</v>
      </c>
      <c r="D3266" s="125" t="str">
        <f>IFERROR(VLOOKUP($A3266,HeadJournal!$A$1:$NTR$890,COLUMN(HeadJournal!D$1),0),"")</f>
        <v>Доставлен</v>
      </c>
      <c r="E3266" s="95">
        <f>IFERROR(VLOOKUP($A3266,HeadJournal!$A$1:$NTR$890,COLUMN(HeadJournal!G$1),0),"")</f>
        <v>45403</v>
      </c>
      <c r="F3266" s="95" t="str">
        <f t="shared" si="256"/>
        <v>2024 04</v>
      </c>
      <c r="G3266" s="96" t="s">
        <v>5</v>
      </c>
      <c r="H3266" s="161" t="s">
        <v>2903</v>
      </c>
      <c r="I3266" s="97" t="s">
        <v>2839</v>
      </c>
      <c r="J3266" s="97" t="s">
        <v>2904</v>
      </c>
      <c r="K3266" s="29">
        <v>20.260000000000002</v>
      </c>
      <c r="L3266" s="29">
        <v>-1.0149999999999999</v>
      </c>
      <c r="M3266" s="30">
        <f>IFERROR(VLOOKUP($A3266,HeadJournal!$A$1:$J$890,COLUMN(HeadJournal!I$1),0)*($K3266+$L3266)/(SUMIF($A:$A,$A3266,$K:$K)+SUMIF($A:$A,$A3266,$L:$L)),0)</f>
        <v>-1.1046780786918748</v>
      </c>
      <c r="N3266" s="30">
        <f>IFERROR((VLOOKUP($A3266,HeadJournal!$A$1:$K$890,COLUMN(HeadJournal!K$1),0)-VLOOKUP($A3266,HeadJournal!$A$1:$K$890,COLUMN(HeadJournal!J$1),0))*($K3266+$L3266)/(SUMIF($A:$A,$A3266,$K:$K)+SUMIF($A:$A,$A3266,$L:$L)),0)</f>
        <v>-6.2110463633466758E-15</v>
      </c>
      <c r="O3266" s="30">
        <f>IFERROR((VLOOKUP($A3266,HeadJournal!$A$1:$L$890,COLUMN(HeadJournal!L$1),0)*($K3266+$L3266)/(SUMIF($A:$A,$A3266,$K:$K)+SUMIF($A:$A,$A3266,$L:$L)))/VLOOKUP($A3266,HeadJournal!$A$1:$L$890,COLUMN(HeadJournal!H$1),0),0)</f>
        <v>1.0562186075324969</v>
      </c>
      <c r="P3266" s="30">
        <f>IFERROR(SUM(K3266:O3266)*VLOOKUP($A3266,HeadJournal!$A$1:$L$890,COLUMN(HeadJournal!H$1),0),0)</f>
        <v>1999.1424385397136</v>
      </c>
      <c r="Q3266" s="29">
        <v>2800</v>
      </c>
      <c r="R3266" s="31">
        <v>45690</v>
      </c>
      <c r="S3266" s="31" t="s">
        <v>3121</v>
      </c>
      <c r="T3266" s="95" t="str">
        <f t="shared" si="257"/>
        <v>2025 02</v>
      </c>
      <c r="U3266" s="32">
        <f t="shared" si="260"/>
        <v>800.85756146028643</v>
      </c>
      <c r="V3266" s="22">
        <f t="shared" si="261"/>
        <v>0.4006005505266938</v>
      </c>
      <c r="X3266" s="33"/>
      <c r="Y3266" s="33"/>
    </row>
    <row r="3267" spans="1:25" x14ac:dyDescent="0.2">
      <c r="A3267" s="93" t="s">
        <v>1755</v>
      </c>
      <c r="B3267" s="94" t="str">
        <f>IFERROR(VLOOKUP($A3267,HeadJournal!$A$1:$NTR$890,COLUMN(HeadJournal!B$1),0),"")</f>
        <v>720000209360</v>
      </c>
      <c r="C3267" s="94" t="str">
        <f>IFERROR(VLOOKUP($A3267,HeadJournal!$A$1:$NTR$890,COLUMN(HeadJournal!C$1),0),"")</f>
        <v>iHerb_AV CYG0792</v>
      </c>
      <c r="D3267" s="125" t="str">
        <f>IFERROR(VLOOKUP($A3267,HeadJournal!$A$1:$NTR$890,COLUMN(HeadJournal!D$1),0),"")</f>
        <v>Доставлен</v>
      </c>
      <c r="E3267" s="95">
        <f>IFERROR(VLOOKUP($A3267,HeadJournal!$A$1:$NTR$890,COLUMN(HeadJournal!G$1),0),"")</f>
        <v>45403</v>
      </c>
      <c r="F3267" s="95" t="str">
        <f t="shared" si="256"/>
        <v>2024 04</v>
      </c>
      <c r="G3267" s="96" t="s">
        <v>5</v>
      </c>
      <c r="H3267" s="161" t="s">
        <v>2841</v>
      </c>
      <c r="I3267" s="97" t="s">
        <v>2839</v>
      </c>
      <c r="J3267" s="97" t="s">
        <v>2842</v>
      </c>
      <c r="K3267" s="29">
        <v>18.55</v>
      </c>
      <c r="L3267" s="29">
        <v>-0.93</v>
      </c>
      <c r="M3267" s="30">
        <f>IFERROR(VLOOKUP($A3267,HeadJournal!$A$1:$J$890,COLUMN(HeadJournal!I$1),0)*($K3267+$L3267)/(SUMIF($A:$A,$A3267,$K:$K)+SUMIF($A:$A,$A3267,$L:$L)),0)</f>
        <v>-1.011401805484585</v>
      </c>
      <c r="N3267" s="30">
        <f>IFERROR((VLOOKUP($A3267,HeadJournal!$A$1:$K$890,COLUMN(HeadJournal!K$1),0)-VLOOKUP($A3267,HeadJournal!$A$1:$K$890,COLUMN(HeadJournal!J$1),0))*($K3267+$L3267)/(SUMIF($A:$A,$A3267,$K:$K)+SUMIF($A:$A,$A3267,$L:$L)),0)</f>
        <v>-5.6866010351867198E-15</v>
      </c>
      <c r="O3267" s="30">
        <f>IFERROR((VLOOKUP($A3267,HeadJournal!$A$1:$L$890,COLUMN(HeadJournal!L$1),0)*($K3267+$L3267)/(SUMIF($A:$A,$A3267,$K:$K)+SUMIF($A:$A,$A3267,$L:$L)))/VLOOKUP($A3267,HeadJournal!$A$1:$L$890,COLUMN(HeadJournal!H$1),0),0)</f>
        <v>0.96703413170811081</v>
      </c>
      <c r="P3267" s="30">
        <f>IFERROR(SUM(K3267:O3267)*VLOOKUP($A3267,HeadJournal!$A$1:$L$890,COLUMN(HeadJournal!H$1),0),0)</f>
        <v>1830.3398164234738</v>
      </c>
      <c r="Q3267" s="29">
        <v>2500</v>
      </c>
      <c r="R3267" s="31">
        <v>45433</v>
      </c>
      <c r="S3267" s="31" t="s">
        <v>3121</v>
      </c>
      <c r="T3267" s="95" t="str">
        <f t="shared" si="257"/>
        <v>2024 05</v>
      </c>
      <c r="U3267" s="32">
        <f t="shared" si="260"/>
        <v>669.66018357652615</v>
      </c>
      <c r="V3267" s="22">
        <f t="shared" si="261"/>
        <v>0.36586658803339456</v>
      </c>
      <c r="X3267" s="33"/>
      <c r="Y3267" s="33"/>
    </row>
    <row r="3268" spans="1:25" x14ac:dyDescent="0.2">
      <c r="A3268" s="93" t="s">
        <v>1755</v>
      </c>
      <c r="B3268" s="94" t="str">
        <f>IFERROR(VLOOKUP($A3268,HeadJournal!$A$1:$NTR$890,COLUMN(HeadJournal!B$1),0),"")</f>
        <v>720000209360</v>
      </c>
      <c r="C3268" s="94" t="str">
        <f>IFERROR(VLOOKUP($A3268,HeadJournal!$A$1:$NTR$890,COLUMN(HeadJournal!C$1),0),"")</f>
        <v>iHerb_AV CYG0792</v>
      </c>
      <c r="D3268" s="125" t="str">
        <f>IFERROR(VLOOKUP($A3268,HeadJournal!$A$1:$NTR$890,COLUMN(HeadJournal!D$1),0),"")</f>
        <v>Доставлен</v>
      </c>
      <c r="E3268" s="95">
        <f>IFERROR(VLOOKUP($A3268,HeadJournal!$A$1:$NTR$890,COLUMN(HeadJournal!G$1),0),"")</f>
        <v>45403</v>
      </c>
      <c r="F3268" s="95" t="str">
        <f t="shared" ref="F3268:F3331" si="262">IFERROR(TEXT(E3268, "ГГГГ ММ"),"")</f>
        <v>2024 04</v>
      </c>
      <c r="G3268" s="96" t="s">
        <v>5</v>
      </c>
      <c r="H3268" s="161" t="s">
        <v>2841</v>
      </c>
      <c r="I3268" s="97" t="s">
        <v>2839</v>
      </c>
      <c r="J3268" s="97" t="s">
        <v>2842</v>
      </c>
      <c r="K3268" s="29">
        <v>18.55</v>
      </c>
      <c r="L3268" s="29">
        <v>-0.93</v>
      </c>
      <c r="M3268" s="30">
        <f>IFERROR(VLOOKUP($A3268,HeadJournal!$A$1:$J$890,COLUMN(HeadJournal!I$1),0)*($K3268+$L3268)/(SUMIF($A:$A,$A3268,$K:$K)+SUMIF($A:$A,$A3268,$L:$L)),0)</f>
        <v>-1.011401805484585</v>
      </c>
      <c r="N3268" s="30">
        <f>IFERROR((VLOOKUP($A3268,HeadJournal!$A$1:$K$890,COLUMN(HeadJournal!K$1),0)-VLOOKUP($A3268,HeadJournal!$A$1:$K$890,COLUMN(HeadJournal!J$1),0))*($K3268+$L3268)/(SUMIF($A:$A,$A3268,$K:$K)+SUMIF($A:$A,$A3268,$L:$L)),0)</f>
        <v>-5.6866010351867198E-15</v>
      </c>
      <c r="O3268" s="30">
        <f>IFERROR((VLOOKUP($A3268,HeadJournal!$A$1:$L$890,COLUMN(HeadJournal!L$1),0)*($K3268+$L3268)/(SUMIF($A:$A,$A3268,$K:$K)+SUMIF($A:$A,$A3268,$L:$L)))/VLOOKUP($A3268,HeadJournal!$A$1:$L$890,COLUMN(HeadJournal!H$1),0),0)</f>
        <v>0.96703413170811081</v>
      </c>
      <c r="P3268" s="30">
        <f>IFERROR(SUM(K3268:O3268)*VLOOKUP($A3268,HeadJournal!$A$1:$L$890,COLUMN(HeadJournal!H$1),0),0)</f>
        <v>1830.3398164234738</v>
      </c>
      <c r="Q3268" s="29">
        <v>2500</v>
      </c>
      <c r="R3268" s="31">
        <v>45433</v>
      </c>
      <c r="S3268" s="31" t="s">
        <v>3121</v>
      </c>
      <c r="T3268" s="95" t="str">
        <f t="shared" ref="T3268:T3331" si="263">IF(R3268="","",TEXT(R3268,"ГГГГ ММ"))</f>
        <v>2024 05</v>
      </c>
      <c r="U3268" s="32">
        <f t="shared" si="260"/>
        <v>669.66018357652615</v>
      </c>
      <c r="V3268" s="22">
        <f t="shared" si="261"/>
        <v>0.36586658803339456</v>
      </c>
      <c r="X3268" s="33"/>
      <c r="Y3268" s="33"/>
    </row>
    <row r="3269" spans="1:25" x14ac:dyDescent="0.2">
      <c r="A3269" s="93" t="s">
        <v>1755</v>
      </c>
      <c r="B3269" s="94" t="str">
        <f>IFERROR(VLOOKUP($A3269,HeadJournal!$A$1:$NTR$890,COLUMN(HeadJournal!B$1),0),"")</f>
        <v>720000209360</v>
      </c>
      <c r="C3269" s="94" t="str">
        <f>IFERROR(VLOOKUP($A3269,HeadJournal!$A$1:$NTR$890,COLUMN(HeadJournal!C$1),0),"")</f>
        <v>iHerb_AV CYG0792</v>
      </c>
      <c r="D3269" s="125" t="str">
        <f>IFERROR(VLOOKUP($A3269,HeadJournal!$A$1:$NTR$890,COLUMN(HeadJournal!D$1),0),"")</f>
        <v>Доставлен</v>
      </c>
      <c r="E3269" s="95">
        <f>IFERROR(VLOOKUP($A3269,HeadJournal!$A$1:$NTR$890,COLUMN(HeadJournal!G$1),0),"")</f>
        <v>45403</v>
      </c>
      <c r="F3269" s="95" t="str">
        <f t="shared" si="262"/>
        <v>2024 04</v>
      </c>
      <c r="G3269" s="96" t="s">
        <v>5</v>
      </c>
      <c r="H3269" s="161" t="s">
        <v>2847</v>
      </c>
      <c r="I3269" s="97" t="s">
        <v>2839</v>
      </c>
      <c r="J3269" s="97" t="s">
        <v>2848</v>
      </c>
      <c r="K3269" s="29">
        <v>13.9</v>
      </c>
      <c r="L3269" s="29">
        <v>-0.69499999999999995</v>
      </c>
      <c r="M3269" s="30">
        <f>IFERROR(VLOOKUP($A3269,HeadJournal!$A$1:$J$890,COLUMN(HeadJournal!I$1),0)*($K3269+$L3269)/(SUMIF($A:$A,$A3269,$K:$K)+SUMIF($A:$A,$A3269,$L:$L)),0)</f>
        <v>-0.75797734627831681</v>
      </c>
      <c r="N3269" s="30">
        <f>IFERROR((VLOOKUP($A3269,HeadJournal!$A$1:$K$890,COLUMN(HeadJournal!K$1),0)-VLOOKUP($A3269,HeadJournal!$A$1:$K$890,COLUMN(HeadJournal!J$1),0))*($K3269+$L3269)/(SUMIF($A:$A,$A3269,$K:$K)+SUMIF($A:$A,$A3269,$L:$L)),0)</f>
        <v>-4.2617234205244398E-15</v>
      </c>
      <c r="O3269" s="30">
        <f>IFERROR((VLOOKUP($A3269,HeadJournal!$A$1:$L$890,COLUMN(HeadJournal!L$1),0)*($K3269+$L3269)/(SUMIF($A:$A,$A3269,$K:$K)+SUMIF($A:$A,$A3269,$L:$L)))/VLOOKUP($A3269,HeadJournal!$A$1:$L$890,COLUMN(HeadJournal!H$1),0),0)</f>
        <v>0.72472677123754836</v>
      </c>
      <c r="P3269" s="30">
        <f>IFERROR(SUM(K3269:O3269)*VLOOKUP($A3269,HeadJournal!$A$1:$L$890,COLUMN(HeadJournal!H$1),0),0)</f>
        <v>1371.7160769507364</v>
      </c>
      <c r="Q3269" s="29">
        <v>1900</v>
      </c>
      <c r="R3269" s="31">
        <v>45430</v>
      </c>
      <c r="S3269" s="31" t="s">
        <v>3121</v>
      </c>
      <c r="T3269" s="95" t="str">
        <f t="shared" si="263"/>
        <v>2024 05</v>
      </c>
      <c r="U3269" s="32">
        <f t="shared" si="260"/>
        <v>528.28392304926365</v>
      </c>
      <c r="V3269" s="22">
        <f t="shared" si="261"/>
        <v>0.38512628956249839</v>
      </c>
      <c r="X3269" s="33"/>
      <c r="Y3269" s="33"/>
    </row>
    <row r="3270" spans="1:25" x14ac:dyDescent="0.2">
      <c r="A3270" s="93" t="s">
        <v>1755</v>
      </c>
      <c r="B3270" s="94" t="str">
        <f>IFERROR(VLOOKUP($A3270,HeadJournal!$A$1:$NTR$890,COLUMN(HeadJournal!B$1),0),"")</f>
        <v>720000209360</v>
      </c>
      <c r="C3270" s="94" t="str">
        <f>IFERROR(VLOOKUP($A3270,HeadJournal!$A$1:$NTR$890,COLUMN(HeadJournal!C$1),0),"")</f>
        <v>iHerb_AV CYG0792</v>
      </c>
      <c r="D3270" s="125" t="str">
        <f>IFERROR(VLOOKUP($A3270,HeadJournal!$A$1:$NTR$890,COLUMN(HeadJournal!D$1),0),"")</f>
        <v>Доставлен</v>
      </c>
      <c r="E3270" s="95">
        <f>IFERROR(VLOOKUP($A3270,HeadJournal!$A$1:$NTR$890,COLUMN(HeadJournal!G$1),0),"")</f>
        <v>45403</v>
      </c>
      <c r="F3270" s="95" t="str">
        <f t="shared" si="262"/>
        <v>2024 04</v>
      </c>
      <c r="G3270" s="96" t="s">
        <v>5</v>
      </c>
      <c r="H3270" s="161" t="s">
        <v>2847</v>
      </c>
      <c r="I3270" s="97" t="s">
        <v>2839</v>
      </c>
      <c r="J3270" s="97" t="s">
        <v>2848</v>
      </c>
      <c r="K3270" s="29">
        <v>13.9</v>
      </c>
      <c r="L3270" s="29">
        <v>-0.69499999999999995</v>
      </c>
      <c r="M3270" s="30">
        <f>IFERROR(VLOOKUP($A3270,HeadJournal!$A$1:$J$890,COLUMN(HeadJournal!I$1),0)*($K3270+$L3270)/(SUMIF($A:$A,$A3270,$K:$K)+SUMIF($A:$A,$A3270,$L:$L)),0)</f>
        <v>-0.75797734627831681</v>
      </c>
      <c r="N3270" s="30">
        <f>IFERROR((VLOOKUP($A3270,HeadJournal!$A$1:$K$890,COLUMN(HeadJournal!K$1),0)-VLOOKUP($A3270,HeadJournal!$A$1:$K$890,COLUMN(HeadJournal!J$1),0))*($K3270+$L3270)/(SUMIF($A:$A,$A3270,$K:$K)+SUMIF($A:$A,$A3270,$L:$L)),0)</f>
        <v>-4.2617234205244398E-15</v>
      </c>
      <c r="O3270" s="30">
        <f>IFERROR((VLOOKUP($A3270,HeadJournal!$A$1:$L$890,COLUMN(HeadJournal!L$1),0)*($K3270+$L3270)/(SUMIF($A:$A,$A3270,$K:$K)+SUMIF($A:$A,$A3270,$L:$L)))/VLOOKUP($A3270,HeadJournal!$A$1:$L$890,COLUMN(HeadJournal!H$1),0),0)</f>
        <v>0.72472677123754836</v>
      </c>
      <c r="P3270" s="30">
        <f>IFERROR(SUM(K3270:O3270)*VLOOKUP($A3270,HeadJournal!$A$1:$L$890,COLUMN(HeadJournal!H$1),0),0)</f>
        <v>1371.7160769507364</v>
      </c>
      <c r="Q3270" s="29">
        <v>1800</v>
      </c>
      <c r="R3270" s="31">
        <v>45447</v>
      </c>
      <c r="S3270" s="31" t="s">
        <v>3121</v>
      </c>
      <c r="T3270" s="95" t="str">
        <f t="shared" si="263"/>
        <v>2024 06</v>
      </c>
      <c r="U3270" s="32">
        <f t="shared" si="260"/>
        <v>428.28392304926365</v>
      </c>
      <c r="V3270" s="22">
        <f t="shared" si="261"/>
        <v>0.3122249059013143</v>
      </c>
      <c r="X3270" s="33"/>
      <c r="Y3270" s="33"/>
    </row>
    <row r="3271" spans="1:25" x14ac:dyDescent="0.2">
      <c r="A3271" s="93" t="s">
        <v>1755</v>
      </c>
      <c r="B3271" s="94" t="str">
        <f>IFERROR(VLOOKUP($A3271,HeadJournal!$A$1:$NTR$890,COLUMN(HeadJournal!B$1),0),"")</f>
        <v>720000209360</v>
      </c>
      <c r="C3271" s="94" t="str">
        <f>IFERROR(VLOOKUP($A3271,HeadJournal!$A$1:$NTR$890,COLUMN(HeadJournal!C$1),0),"")</f>
        <v>iHerb_AV CYG0792</v>
      </c>
      <c r="D3271" s="125" t="str">
        <f>IFERROR(VLOOKUP($A3271,HeadJournal!$A$1:$NTR$890,COLUMN(HeadJournal!D$1),0),"")</f>
        <v>Доставлен</v>
      </c>
      <c r="E3271" s="95">
        <f>IFERROR(VLOOKUP($A3271,HeadJournal!$A$1:$NTR$890,COLUMN(HeadJournal!G$1),0),"")</f>
        <v>45403</v>
      </c>
      <c r="F3271" s="95" t="str">
        <f t="shared" si="262"/>
        <v>2024 04</v>
      </c>
      <c r="G3271" s="96" t="s">
        <v>5</v>
      </c>
      <c r="H3271" s="161" t="str">
        <f>RIGHT(Journal!$J3271,9)</f>
        <v>SOL-19377</v>
      </c>
      <c r="I3271" s="97" t="str">
        <f t="shared" si="259"/>
        <v>Solgar</v>
      </c>
      <c r="J3271" s="97" t="s">
        <v>769</v>
      </c>
      <c r="K3271" s="29">
        <v>15.51</v>
      </c>
      <c r="L3271" s="29">
        <v>-0.77500000000000002</v>
      </c>
      <c r="M3271" s="30">
        <f>IFERROR(VLOOKUP($A3271,HeadJournal!$A$1:$J$890,COLUMN(HeadJournal!I$1),0)*($K3271+$L3271)/(SUMIF($A:$A,$A3271,$K:$K)+SUMIF($A:$A,$A3271,$L:$L)),0)</f>
        <v>-0.8458005450519499</v>
      </c>
      <c r="N3271" s="30">
        <f>IFERROR((VLOOKUP($A3271,HeadJournal!$A$1:$K$890,COLUMN(HeadJournal!K$1),0)-VLOOKUP($A3271,HeadJournal!$A$1:$K$890,COLUMN(HeadJournal!J$1),0))*($K3271+$L3271)/(SUMIF($A:$A,$A3271,$K:$K)+SUMIF($A:$A,$A3271,$L:$L)),0)</f>
        <v>-4.7555088679611977E-15</v>
      </c>
      <c r="O3271" s="30">
        <f>IFERROR((VLOOKUP($A3271,HeadJournal!$A$1:$L$890,COLUMN(HeadJournal!L$1),0)*($K3271+$L3271)/(SUMIF($A:$A,$A3271,$K:$K)+SUMIF($A:$A,$A3271,$L:$L)))/VLOOKUP($A3271,HeadJournal!$A$1:$L$890,COLUMN(HeadJournal!H$1),0),0)</f>
        <v>0.8086973853983549</v>
      </c>
      <c r="P3271" s="30">
        <f>IFERROR(SUM(K3271:O3271)*VLOOKUP($A3271,HeadJournal!$A$1:$L$890,COLUMN(HeadJournal!H$1),0),0)</f>
        <v>1530.6502380817187</v>
      </c>
      <c r="Q3271" s="29">
        <v>2300</v>
      </c>
      <c r="R3271" s="31">
        <v>45628</v>
      </c>
      <c r="S3271" s="31" t="s">
        <v>3121</v>
      </c>
      <c r="T3271" s="95" t="str">
        <f t="shared" si="263"/>
        <v>2024 12</v>
      </c>
      <c r="U3271" s="32">
        <f t="shared" si="260"/>
        <v>769.34976191828127</v>
      </c>
      <c r="V3271" s="22">
        <f t="shared" si="261"/>
        <v>0.50262936807984671</v>
      </c>
      <c r="X3271" s="33"/>
      <c r="Y3271" s="33"/>
    </row>
    <row r="3272" spans="1:25" x14ac:dyDescent="0.2">
      <c r="A3272" s="93" t="s">
        <v>1755</v>
      </c>
      <c r="B3272" s="94" t="str">
        <f>IFERROR(VLOOKUP($A3272,HeadJournal!$A$1:$NTR$890,COLUMN(HeadJournal!B$1),0),"")</f>
        <v>720000209360</v>
      </c>
      <c r="C3272" s="94" t="str">
        <f>IFERROR(VLOOKUP($A3272,HeadJournal!$A$1:$NTR$890,COLUMN(HeadJournal!C$1),0),"")</f>
        <v>iHerb_AV CYG0792</v>
      </c>
      <c r="D3272" s="125" t="str">
        <f>IFERROR(VLOOKUP($A3272,HeadJournal!$A$1:$NTR$890,COLUMN(HeadJournal!D$1),0),"")</f>
        <v>Доставлен</v>
      </c>
      <c r="E3272" s="95">
        <f>IFERROR(VLOOKUP($A3272,HeadJournal!$A$1:$NTR$890,COLUMN(HeadJournal!G$1),0),"")</f>
        <v>45403</v>
      </c>
      <c r="F3272" s="95" t="str">
        <f t="shared" si="262"/>
        <v>2024 04</v>
      </c>
      <c r="G3272" s="96" t="s">
        <v>5</v>
      </c>
      <c r="H3272" s="161" t="str">
        <f>RIGHT(Journal!$J3272,9)</f>
        <v>SOL-19377</v>
      </c>
      <c r="I3272" s="97" t="str">
        <f t="shared" si="259"/>
        <v>Solgar</v>
      </c>
      <c r="J3272" s="97" t="s">
        <v>769</v>
      </c>
      <c r="K3272" s="29">
        <v>15.51</v>
      </c>
      <c r="L3272" s="29">
        <v>-0.77500000000000002</v>
      </c>
      <c r="M3272" s="30">
        <f>IFERROR(VLOOKUP($A3272,HeadJournal!$A$1:$J$890,COLUMN(HeadJournal!I$1),0)*($K3272+$L3272)/(SUMIF($A:$A,$A3272,$K:$K)+SUMIF($A:$A,$A3272,$L:$L)),0)</f>
        <v>-0.8458005450519499</v>
      </c>
      <c r="N3272" s="30">
        <f>IFERROR((VLOOKUP($A3272,HeadJournal!$A$1:$K$890,COLUMN(HeadJournal!K$1),0)-VLOOKUP($A3272,HeadJournal!$A$1:$K$890,COLUMN(HeadJournal!J$1),0))*($K3272+$L3272)/(SUMIF($A:$A,$A3272,$K:$K)+SUMIF($A:$A,$A3272,$L:$L)),0)</f>
        <v>-4.7555088679611977E-15</v>
      </c>
      <c r="O3272" s="30">
        <f>IFERROR((VLOOKUP($A3272,HeadJournal!$A$1:$L$890,COLUMN(HeadJournal!L$1),0)*($K3272+$L3272)/(SUMIF($A:$A,$A3272,$K:$K)+SUMIF($A:$A,$A3272,$L:$L)))/VLOOKUP($A3272,HeadJournal!$A$1:$L$890,COLUMN(HeadJournal!H$1),0),0)</f>
        <v>0.8086973853983549</v>
      </c>
      <c r="P3272" s="30">
        <f>IFERROR(SUM(K3272:O3272)*VLOOKUP($A3272,HeadJournal!$A$1:$L$890,COLUMN(HeadJournal!H$1),0),0)</f>
        <v>1530.6502380817187</v>
      </c>
      <c r="Q3272" s="29">
        <v>2200</v>
      </c>
      <c r="R3272" s="31">
        <v>45884</v>
      </c>
      <c r="S3272" s="31" t="s">
        <v>4457</v>
      </c>
      <c r="T3272" s="95" t="str">
        <f t="shared" si="263"/>
        <v>2025 08</v>
      </c>
      <c r="U3272" s="32">
        <f t="shared" si="260"/>
        <v>669.34976191828127</v>
      </c>
      <c r="V3272" s="22">
        <f t="shared" si="261"/>
        <v>0.43729765642420126</v>
      </c>
      <c r="X3272" s="33"/>
      <c r="Y3272" s="33"/>
    </row>
    <row r="3273" spans="1:25" x14ac:dyDescent="0.2">
      <c r="A3273" s="93" t="s">
        <v>1755</v>
      </c>
      <c r="B3273" s="94" t="str">
        <f>IFERROR(VLOOKUP($A3273,HeadJournal!$A$1:$NTR$890,COLUMN(HeadJournal!B$1),0),"")</f>
        <v>720000209360</v>
      </c>
      <c r="C3273" s="94" t="str">
        <f>IFERROR(VLOOKUP($A3273,HeadJournal!$A$1:$NTR$890,COLUMN(HeadJournal!C$1),0),"")</f>
        <v>iHerb_AV CYG0792</v>
      </c>
      <c r="D3273" s="125" t="str">
        <f>IFERROR(VLOOKUP($A3273,HeadJournal!$A$1:$NTR$890,COLUMN(HeadJournal!D$1),0),"")</f>
        <v>Доставлен</v>
      </c>
      <c r="E3273" s="95">
        <f>IFERROR(VLOOKUP($A3273,HeadJournal!$A$1:$NTR$890,COLUMN(HeadJournal!G$1),0),"")</f>
        <v>45403</v>
      </c>
      <c r="F3273" s="95" t="str">
        <f t="shared" si="262"/>
        <v>2024 04</v>
      </c>
      <c r="G3273" s="96" t="s">
        <v>5</v>
      </c>
      <c r="H3273" s="161" t="str">
        <f>RIGHT(Journal!$J3273,9)</f>
        <v>SOL-04163</v>
      </c>
      <c r="I3273" s="97" t="str">
        <f t="shared" si="259"/>
        <v>Solgar</v>
      </c>
      <c r="J3273" s="97" t="s">
        <v>1761</v>
      </c>
      <c r="K3273" s="29">
        <v>19.329999999999998</v>
      </c>
      <c r="L3273" s="29">
        <v>-0.97</v>
      </c>
      <c r="M3273" s="30">
        <f>IFERROR(VLOOKUP($A3273,HeadJournal!$A$1:$J$890,COLUMN(HeadJournal!I$1),0)*($K3273+$L3273)/(SUMIF($A:$A,$A3273,$K:$K)+SUMIF($A:$A,$A3273,$L:$L)),0)</f>
        <v>-1.0538783852835969</v>
      </c>
      <c r="N3273" s="30">
        <f>IFERROR((VLOOKUP($A3273,HeadJournal!$A$1:$K$890,COLUMN(HeadJournal!K$1),0)-VLOOKUP($A3273,HeadJournal!$A$1:$K$890,COLUMN(HeadJournal!J$1),0))*($K3273+$L3273)/(SUMIF($A:$A,$A3273,$K:$K)+SUMIF($A:$A,$A3273,$L:$L)),0)</f>
        <v>-5.925425369241099E-15</v>
      </c>
      <c r="O3273" s="30">
        <f>IFERROR((VLOOKUP($A3273,HeadJournal!$A$1:$L$890,COLUMN(HeadJournal!L$1),0)*($K3273+$L3273)/(SUMIF($A:$A,$A3273,$K:$K)+SUMIF($A:$A,$A3273,$L:$L)))/VLOOKUP($A3273,HeadJournal!$A$1:$L$890,COLUMN(HeadJournal!H$1),0),0)</f>
        <v>1.0076473699296773</v>
      </c>
      <c r="P3273" s="30">
        <f>IFERROR(SUM(K3273:O3273)*VLOOKUP($A3273,HeadJournal!$A$1:$L$890,COLUMN(HeadJournal!H$1),0),0)</f>
        <v>1907.2099335717924</v>
      </c>
      <c r="Q3273" s="29"/>
      <c r="R3273" s="31"/>
      <c r="S3273" s="31"/>
      <c r="T3273" s="95" t="str">
        <f t="shared" si="263"/>
        <v/>
      </c>
      <c r="U3273" s="32">
        <f t="shared" si="260"/>
        <v>-1907.2099335717924</v>
      </c>
      <c r="V3273" s="22" t="str">
        <f t="shared" si="261"/>
        <v/>
      </c>
      <c r="X3273" s="33"/>
      <c r="Y3273" s="33"/>
    </row>
    <row r="3274" spans="1:25" x14ac:dyDescent="0.2">
      <c r="A3274" s="93" t="s">
        <v>1755</v>
      </c>
      <c r="B3274" s="94" t="str">
        <f>IFERROR(VLOOKUP($A3274,HeadJournal!$A$1:$NTR$890,COLUMN(HeadJournal!B$1),0),"")</f>
        <v>720000209360</v>
      </c>
      <c r="C3274" s="94" t="str">
        <f>IFERROR(VLOOKUP($A3274,HeadJournal!$A$1:$NTR$890,COLUMN(HeadJournal!C$1),0),"")</f>
        <v>iHerb_AV CYG0792</v>
      </c>
      <c r="D3274" s="125" t="str">
        <f>IFERROR(VLOOKUP($A3274,HeadJournal!$A$1:$NTR$890,COLUMN(HeadJournal!D$1),0),"")</f>
        <v>Доставлен</v>
      </c>
      <c r="E3274" s="95">
        <f>IFERROR(VLOOKUP($A3274,HeadJournal!$A$1:$NTR$890,COLUMN(HeadJournal!G$1),0),"")</f>
        <v>45403</v>
      </c>
      <c r="F3274" s="95" t="str">
        <f t="shared" si="262"/>
        <v>2024 04</v>
      </c>
      <c r="G3274" s="96" t="s">
        <v>5</v>
      </c>
      <c r="H3274" s="161" t="str">
        <f>RIGHT(Journal!$J3274,9)</f>
        <v>SOL-00201</v>
      </c>
      <c r="I3274" s="97" t="str">
        <f t="shared" si="259"/>
        <v>Solgar</v>
      </c>
      <c r="J3274" s="97" t="s">
        <v>1762</v>
      </c>
      <c r="K3274" s="29">
        <v>27.46</v>
      </c>
      <c r="L3274" s="29">
        <v>-1.37</v>
      </c>
      <c r="M3274" s="30">
        <f>IFERROR(VLOOKUP($A3274,HeadJournal!$A$1:$J$890,COLUMN(HeadJournal!I$1),0)*($K3274+$L3274)/(SUMIF($A:$A,$A3274,$K:$K)+SUMIF($A:$A,$A3274,$L:$L)),0)</f>
        <v>-1.4975864418327367</v>
      </c>
      <c r="N3274" s="30">
        <f>IFERROR((VLOOKUP($A3274,HeadJournal!$A$1:$K$890,COLUMN(HeadJournal!K$1),0)-VLOOKUP($A3274,HeadJournal!$A$1:$K$890,COLUMN(HeadJournal!J$1),0))*($K3274+$L3274)/(SUMIF($A:$A,$A3274,$K:$K)+SUMIF($A:$A,$A3274,$L:$L)),0)</f>
        <v>-8.420171453349689E-15</v>
      </c>
      <c r="O3274" s="30">
        <f>IFERROR((VLOOKUP($A3274,HeadJournal!$A$1:$L$890,COLUMN(HeadJournal!L$1),0)*($K3274+$L3274)/(SUMIF($A:$A,$A3274,$K:$K)+SUMIF($A:$A,$A3274,$L:$L)))/VLOOKUP($A3274,HeadJournal!$A$1:$L$890,COLUMN(HeadJournal!H$1),0),0)</f>
        <v>1.431891061081987</v>
      </c>
      <c r="P3274" s="30">
        <f>IFERROR(SUM(K3274:O3274)*VLOOKUP($A3274,HeadJournal!$A$1:$L$890,COLUMN(HeadJournal!H$1),0),0)</f>
        <v>2710.191022161659</v>
      </c>
      <c r="Q3274" s="29">
        <v>3300</v>
      </c>
      <c r="R3274" s="31">
        <v>45564</v>
      </c>
      <c r="S3274" s="31" t="s">
        <v>3121</v>
      </c>
      <c r="T3274" s="95" t="str">
        <f t="shared" si="263"/>
        <v>2024 09</v>
      </c>
      <c r="U3274" s="32">
        <f t="shared" si="260"/>
        <v>589.80897783834098</v>
      </c>
      <c r="V3274" s="22">
        <f t="shared" si="261"/>
        <v>0.21762634921870083</v>
      </c>
      <c r="X3274" s="33"/>
      <c r="Y3274" s="33"/>
    </row>
    <row r="3275" spans="1:25" x14ac:dyDescent="0.2">
      <c r="A3275" s="93" t="s">
        <v>1755</v>
      </c>
      <c r="B3275" s="94" t="str">
        <f>IFERROR(VLOOKUP($A3275,HeadJournal!$A$1:$NTR$890,COLUMN(HeadJournal!B$1),0),"")</f>
        <v>720000209360</v>
      </c>
      <c r="C3275" s="94" t="str">
        <f>IFERROR(VLOOKUP($A3275,HeadJournal!$A$1:$NTR$890,COLUMN(HeadJournal!C$1),0),"")</f>
        <v>iHerb_AV CYG0792</v>
      </c>
      <c r="D3275" s="125" t="str">
        <f>IFERROR(VLOOKUP($A3275,HeadJournal!$A$1:$NTR$890,COLUMN(HeadJournal!D$1),0),"")</f>
        <v>Доставлен</v>
      </c>
      <c r="E3275" s="95">
        <f>IFERROR(VLOOKUP($A3275,HeadJournal!$A$1:$NTR$890,COLUMN(HeadJournal!G$1),0),"")</f>
        <v>45403</v>
      </c>
      <c r="F3275" s="95" t="str">
        <f t="shared" si="262"/>
        <v>2024 04</v>
      </c>
      <c r="G3275" s="96" t="s">
        <v>5</v>
      </c>
      <c r="H3275" s="161" t="str">
        <f>RIGHT(Journal!$J3275,9)</f>
        <v>IHB-00961</v>
      </c>
      <c r="I3275" s="97" t="str">
        <f t="shared" si="259"/>
        <v>iHerb Goods</v>
      </c>
      <c r="J3275" s="97" t="s">
        <v>1763</v>
      </c>
      <c r="K3275" s="29">
        <v>4.1500000000000004</v>
      </c>
      <c r="L3275" s="29">
        <v>-2.08</v>
      </c>
      <c r="M3275" s="30">
        <f>IFERROR(VLOOKUP($A3275,HeadJournal!$A$1:$J$890,COLUMN(HeadJournal!I$1),0)*($K3275+$L3275)/(SUMIF($A:$A,$A3275,$K:$K)+SUMIF($A:$A,$A3275,$L:$L)),0)</f>
        <v>-0.11881962187020947</v>
      </c>
      <c r="N3275" s="30">
        <f>IFERROR((VLOOKUP($A3275,HeadJournal!$A$1:$K$890,COLUMN(HeadJournal!K$1),0)-VLOOKUP($A3275,HeadJournal!$A$1:$K$890,COLUMN(HeadJournal!J$1),0))*($K3275+$L3275)/(SUMIF($A:$A,$A3275,$K:$K)+SUMIF($A:$A,$A3275,$L:$L)),0)</f>
        <v>-6.6806266417914365E-16</v>
      </c>
      <c r="O3275" s="30">
        <f>IFERROR((VLOOKUP($A3275,HeadJournal!$A$1:$L$890,COLUMN(HeadJournal!L$1),0)*($K3275+$L3275)/(SUMIF($A:$A,$A3275,$K:$K)+SUMIF($A:$A,$A3275,$L:$L)))/VLOOKUP($A3275,HeadJournal!$A$1:$L$890,COLUMN(HeadJournal!H$1),0),0)</f>
        <v>0.11360730151167933</v>
      </c>
      <c r="P3275" s="30">
        <f>IFERROR(SUM(K3275:O3275)*VLOOKUP($A3275,HeadJournal!$A$1:$L$890,COLUMN(HeadJournal!H$1),0),0)</f>
        <v>215.02857094191776</v>
      </c>
      <c r="Q3275" s="29"/>
      <c r="R3275" s="31"/>
      <c r="S3275" s="31"/>
      <c r="T3275" s="95" t="str">
        <f t="shared" si="263"/>
        <v/>
      </c>
      <c r="U3275" s="32">
        <f t="shared" si="260"/>
        <v>-215.02857094191776</v>
      </c>
      <c r="V3275" s="22" t="str">
        <f t="shared" si="261"/>
        <v/>
      </c>
      <c r="X3275" s="33"/>
      <c r="Y3275" s="33"/>
    </row>
    <row r="3276" spans="1:25" x14ac:dyDescent="0.2">
      <c r="A3276" s="93" t="s">
        <v>1756</v>
      </c>
      <c r="B3276" s="94" t="str">
        <f>IFERROR(VLOOKUP($A3276,HeadJournal!$A$1:$NTR$890,COLUMN(HeadJournal!B$1),0),"")</f>
        <v>720000208908</v>
      </c>
      <c r="C3276" s="94" t="str">
        <f>IFERROR(VLOOKUP($A3276,HeadJournal!$A$1:$NTR$890,COLUMN(HeadJournal!C$1),0),"")</f>
        <v>iHerb_OA CZN6870</v>
      </c>
      <c r="D3276" s="125" t="str">
        <f>IFERROR(VLOOKUP($A3276,HeadJournal!$A$1:$NTR$890,COLUMN(HeadJournal!D$1),0),"")</f>
        <v>Доставлен</v>
      </c>
      <c r="E3276" s="95">
        <f>IFERROR(VLOOKUP($A3276,HeadJournal!$A$1:$NTR$890,COLUMN(HeadJournal!G$1),0),"")</f>
        <v>45402</v>
      </c>
      <c r="F3276" s="95" t="str">
        <f t="shared" si="262"/>
        <v>2024 04</v>
      </c>
      <c r="G3276" s="96" t="s">
        <v>6</v>
      </c>
      <c r="H3276" s="161" t="s">
        <v>3627</v>
      </c>
      <c r="I3276" s="97" t="s">
        <v>3668</v>
      </c>
      <c r="J3276" s="97" t="s">
        <v>3669</v>
      </c>
      <c r="K3276" s="29">
        <v>39.729999999999997</v>
      </c>
      <c r="L3276" s="29">
        <v>-3.97</v>
      </c>
      <c r="M3276" s="30">
        <f>IFERROR(VLOOKUP($A3276,HeadJournal!$A$1:$J$890,COLUMN(HeadJournal!I$1),0)*($K3276+$L3276)/(SUMIF($A:$A,$A3276,$K:$K)+SUMIF($A:$A,$A3276,$L:$L)),0)</f>
        <v>-2.1367862939585209</v>
      </c>
      <c r="N3276" s="30">
        <f>IFERROR((VLOOKUP($A3276,HeadJournal!$A$1:$K$890,COLUMN(HeadJournal!K$1),0)-VLOOKUP($A3276,HeadJournal!$A$1:$K$890,COLUMN(HeadJournal!J$1),0))*($K3276+$L3276)/(SUMIF($A:$A,$A3276,$K:$K)+SUMIF($A:$A,$A3276,$L:$L)),0)</f>
        <v>0</v>
      </c>
      <c r="O3276" s="30">
        <f>IFERROR((VLOOKUP($A3276,HeadJournal!$A$1:$L$890,COLUMN(HeadJournal!L$1),0)*($K3276+$L3276)/(SUMIF($A:$A,$A3276,$K:$K)+SUMIF($A:$A,$A3276,$L:$L)))/VLOOKUP($A3276,HeadJournal!$A$1:$L$890,COLUMN(HeadJournal!H$1),0),0)</f>
        <v>2.0774563027128945</v>
      </c>
      <c r="P3276" s="30">
        <f>IFERROR(SUM(K3276:O3276)*VLOOKUP($A3276,HeadJournal!$A$1:$L$890,COLUMN(HeadJournal!H$1),0),0)</f>
        <v>3718.854410580102</v>
      </c>
      <c r="Q3276" s="29">
        <v>4600</v>
      </c>
      <c r="R3276" s="31">
        <v>45441</v>
      </c>
      <c r="S3276" s="31" t="s">
        <v>3121</v>
      </c>
      <c r="T3276" s="95" t="str">
        <f t="shared" si="263"/>
        <v>2024 05</v>
      </c>
      <c r="U3276" s="32">
        <f t="shared" si="260"/>
        <v>881.14558941989799</v>
      </c>
      <c r="V3276" s="22">
        <f t="shared" si="261"/>
        <v>0.23694006060389133</v>
      </c>
      <c r="X3276" s="33"/>
      <c r="Y3276" s="33"/>
    </row>
    <row r="3277" spans="1:25" x14ac:dyDescent="0.2">
      <c r="A3277" s="93" t="s">
        <v>1756</v>
      </c>
      <c r="B3277" s="94" t="str">
        <f>IFERROR(VLOOKUP($A3277,HeadJournal!$A$1:$NTR$890,COLUMN(HeadJournal!B$1),0),"")</f>
        <v>720000208908</v>
      </c>
      <c r="C3277" s="94" t="str">
        <f>IFERROR(VLOOKUP($A3277,HeadJournal!$A$1:$NTR$890,COLUMN(HeadJournal!C$1),0),"")</f>
        <v>iHerb_OA CZN6870</v>
      </c>
      <c r="D3277" s="125" t="str">
        <f>IFERROR(VLOOKUP($A3277,HeadJournal!$A$1:$NTR$890,COLUMN(HeadJournal!D$1),0),"")</f>
        <v>Доставлен</v>
      </c>
      <c r="E3277" s="95">
        <f>IFERROR(VLOOKUP($A3277,HeadJournal!$A$1:$NTR$890,COLUMN(HeadJournal!G$1),0),"")</f>
        <v>45402</v>
      </c>
      <c r="F3277" s="95" t="str">
        <f t="shared" si="262"/>
        <v>2024 04</v>
      </c>
      <c r="G3277" s="96" t="s">
        <v>5</v>
      </c>
      <c r="H3277" s="161" t="str">
        <f>RIGHT(Journal!$J3277,9)</f>
        <v>SOR-47105</v>
      </c>
      <c r="I3277" s="97" t="str">
        <f t="shared" si="259"/>
        <v>Solaray</v>
      </c>
      <c r="J3277" s="97" t="s">
        <v>1201</v>
      </c>
      <c r="K3277" s="29">
        <v>8.9499999999999993</v>
      </c>
      <c r="L3277" s="29">
        <v>-0.9</v>
      </c>
      <c r="M3277" s="30">
        <f>IFERROR(VLOOKUP($A3277,HeadJournal!$A$1:$J$890,COLUMN(HeadJournal!I$1),0)*($K3277+$L3277)/(SUMIF($A:$A,$A3277,$K:$K)+SUMIF($A:$A,$A3277,$L:$L)),0)</f>
        <v>-0.48101593026750816</v>
      </c>
      <c r="N3277" s="30">
        <f>IFERROR((VLOOKUP($A3277,HeadJournal!$A$1:$K$890,COLUMN(HeadJournal!K$1),0)-VLOOKUP($A3277,HeadJournal!$A$1:$K$890,COLUMN(HeadJournal!J$1),0))*($K3277+$L3277)/(SUMIF($A:$A,$A3277,$K:$K)+SUMIF($A:$A,$A3277,$L:$L)),0)</f>
        <v>0</v>
      </c>
      <c r="O3277" s="30">
        <f>IFERROR((VLOOKUP($A3277,HeadJournal!$A$1:$L$890,COLUMN(HeadJournal!L$1),0)*($K3277+$L3277)/(SUMIF($A:$A,$A3277,$K:$K)+SUMIF($A:$A,$A3277,$L:$L)))/VLOOKUP($A3277,HeadJournal!$A$1:$L$890,COLUMN(HeadJournal!H$1),0),0)</f>
        <v>0.4676600457728971</v>
      </c>
      <c r="P3277" s="30">
        <f>IFERROR(SUM(K3277:O3277)*VLOOKUP($A3277,HeadJournal!$A$1:$L$890,COLUMN(HeadJournal!H$1),0),0)</f>
        <v>837.15822162107986</v>
      </c>
      <c r="Q3277" s="29">
        <v>1500</v>
      </c>
      <c r="R3277" s="31">
        <v>46146</v>
      </c>
      <c r="S3277" s="31"/>
      <c r="T3277" s="95" t="str">
        <f t="shared" si="263"/>
        <v>2026 05</v>
      </c>
      <c r="U3277" s="32">
        <f t="shared" si="260"/>
        <v>662.84177837892014</v>
      </c>
      <c r="V3277" s="22">
        <f t="shared" si="261"/>
        <v>0.79177598840920183</v>
      </c>
      <c r="X3277" s="33"/>
      <c r="Y3277" s="33"/>
    </row>
    <row r="3278" spans="1:25" x14ac:dyDescent="0.2">
      <c r="A3278" s="93" t="s">
        <v>1756</v>
      </c>
      <c r="B3278" s="94" t="str">
        <f>IFERROR(VLOOKUP($A3278,HeadJournal!$A$1:$NTR$890,COLUMN(HeadJournal!B$1),0),"")</f>
        <v>720000208908</v>
      </c>
      <c r="C3278" s="94" t="str">
        <f>IFERROR(VLOOKUP($A3278,HeadJournal!$A$1:$NTR$890,COLUMN(HeadJournal!C$1),0),"")</f>
        <v>iHerb_OA CZN6870</v>
      </c>
      <c r="D3278" s="125" t="str">
        <f>IFERROR(VLOOKUP($A3278,HeadJournal!$A$1:$NTR$890,COLUMN(HeadJournal!D$1),0),"")</f>
        <v>Доставлен</v>
      </c>
      <c r="E3278" s="95">
        <f>IFERROR(VLOOKUP($A3278,HeadJournal!$A$1:$NTR$890,COLUMN(HeadJournal!G$1),0),"")</f>
        <v>45402</v>
      </c>
      <c r="F3278" s="95" t="str">
        <f t="shared" si="262"/>
        <v>2024 04</v>
      </c>
      <c r="G3278" s="96" t="s">
        <v>5</v>
      </c>
      <c r="H3278" s="161" t="str">
        <f>RIGHT(Journal!$J3278,9)</f>
        <v>NOW-00386</v>
      </c>
      <c r="I3278" s="97" t="str">
        <f t="shared" si="259"/>
        <v>NOW Foods</v>
      </c>
      <c r="J3278" s="97" t="s">
        <v>498</v>
      </c>
      <c r="K3278" s="29">
        <v>33.74</v>
      </c>
      <c r="L3278" s="29">
        <v>-3.37</v>
      </c>
      <c r="M3278" s="30">
        <f>IFERROR(VLOOKUP($A3278,HeadJournal!$A$1:$J$890,COLUMN(HeadJournal!I$1),0)*($K3278+$L3278)/(SUMIF($A:$A,$A3278,$K:$K)+SUMIF($A:$A,$A3278,$L:$L)),0)</f>
        <v>-1.8147147580402765</v>
      </c>
      <c r="N3278" s="30">
        <f>IFERROR((VLOOKUP($A3278,HeadJournal!$A$1:$K$890,COLUMN(HeadJournal!K$1),0)-VLOOKUP($A3278,HeadJournal!$A$1:$K$890,COLUMN(HeadJournal!J$1),0))*($K3278+$L3278)/(SUMIF($A:$A,$A3278,$K:$K)+SUMIF($A:$A,$A3278,$L:$L)),0)</f>
        <v>0</v>
      </c>
      <c r="O3278" s="30">
        <f>IFERROR((VLOOKUP($A3278,HeadJournal!$A$1:$L$890,COLUMN(HeadJournal!L$1),0)*($K3278+$L3278)/(SUMIF($A:$A,$A3278,$K:$K)+SUMIF($A:$A,$A3278,$L:$L)))/VLOOKUP($A3278,HeadJournal!$A$1:$L$890,COLUMN(HeadJournal!H$1),0),0)</f>
        <v>1.7643274024997375</v>
      </c>
      <c r="P3278" s="30">
        <f>IFERROR(SUM(K3278:O3278)*VLOOKUP($A3278,HeadJournal!$A$1:$L$890,COLUMN(HeadJournal!H$1),0),0)</f>
        <v>3158.322383929466</v>
      </c>
      <c r="Q3278" s="29">
        <v>4000</v>
      </c>
      <c r="R3278" s="31">
        <v>45430</v>
      </c>
      <c r="S3278" s="31" t="s">
        <v>3121</v>
      </c>
      <c r="T3278" s="95" t="str">
        <f t="shared" si="263"/>
        <v>2024 05</v>
      </c>
      <c r="U3278" s="32">
        <f t="shared" si="260"/>
        <v>841.67761607053399</v>
      </c>
      <c r="V3278" s="22">
        <f t="shared" si="261"/>
        <v>0.26649515589455131</v>
      </c>
      <c r="X3278" s="33"/>
      <c r="Y3278" s="33"/>
    </row>
    <row r="3279" spans="1:25" x14ac:dyDescent="0.2">
      <c r="A3279" s="93" t="s">
        <v>1756</v>
      </c>
      <c r="B3279" s="94" t="str">
        <f>IFERROR(VLOOKUP($A3279,HeadJournal!$A$1:$NTR$890,COLUMN(HeadJournal!B$1),0),"")</f>
        <v>720000208908</v>
      </c>
      <c r="C3279" s="94" t="str">
        <f>IFERROR(VLOOKUP($A3279,HeadJournal!$A$1:$NTR$890,COLUMN(HeadJournal!C$1),0),"")</f>
        <v>iHerb_OA CZN6870</v>
      </c>
      <c r="D3279" s="125" t="str">
        <f>IFERROR(VLOOKUP($A3279,HeadJournal!$A$1:$NTR$890,COLUMN(HeadJournal!D$1),0),"")</f>
        <v>Доставлен</v>
      </c>
      <c r="E3279" s="95">
        <f>IFERROR(VLOOKUP($A3279,HeadJournal!$A$1:$NTR$890,COLUMN(HeadJournal!G$1),0),"")</f>
        <v>45402</v>
      </c>
      <c r="F3279" s="95" t="str">
        <f t="shared" si="262"/>
        <v>2024 04</v>
      </c>
      <c r="G3279" s="96" t="s">
        <v>5</v>
      </c>
      <c r="H3279" s="161" t="str">
        <f>RIGHT(Journal!$J3279,9)</f>
        <v>NOW-01742</v>
      </c>
      <c r="I3279" s="97" t="str">
        <f t="shared" si="259"/>
        <v>NOW Foods</v>
      </c>
      <c r="J3279" s="97" t="s">
        <v>499</v>
      </c>
      <c r="K3279" s="29">
        <v>17.52</v>
      </c>
      <c r="L3279" s="29">
        <v>-1.75</v>
      </c>
      <c r="M3279" s="30">
        <f>IFERROR(VLOOKUP($A3279,HeadJournal!$A$1:$J$890,COLUMN(HeadJournal!I$1),0)*($K3279+$L3279)/(SUMIF($A:$A,$A3279,$K:$K)+SUMIF($A:$A,$A3279,$L:$L)),0)</f>
        <v>-0.94231319507063416</v>
      </c>
      <c r="N3279" s="30">
        <f>IFERROR((VLOOKUP($A3279,HeadJournal!$A$1:$K$890,COLUMN(HeadJournal!K$1),0)-VLOOKUP($A3279,HeadJournal!$A$1:$K$890,COLUMN(HeadJournal!J$1),0))*($K3279+$L3279)/(SUMIF($A:$A,$A3279,$K:$K)+SUMIF($A:$A,$A3279,$L:$L)),0)</f>
        <v>0</v>
      </c>
      <c r="O3279" s="30">
        <f>IFERROR((VLOOKUP($A3279,HeadJournal!$A$1:$L$890,COLUMN(HeadJournal!L$1),0)*($K3279+$L3279)/(SUMIF($A:$A,$A3279,$K:$K)+SUMIF($A:$A,$A3279,$L:$L)))/VLOOKUP($A3279,HeadJournal!$A$1:$L$890,COLUMN(HeadJournal!H$1),0),0)</f>
        <v>0.91614893438988676</v>
      </c>
      <c r="P3279" s="30">
        <f>IFERROR(SUM(K3279:O3279)*VLOOKUP($A3279,HeadJournal!$A$1:$L$890,COLUMN(HeadJournal!H$1),0),0)</f>
        <v>1639.9981558962027</v>
      </c>
      <c r="Q3279" s="29">
        <v>2400</v>
      </c>
      <c r="R3279" s="31">
        <v>45430</v>
      </c>
      <c r="S3279" s="31" t="s">
        <v>3121</v>
      </c>
      <c r="T3279" s="95" t="str">
        <f t="shared" si="263"/>
        <v>2024 05</v>
      </c>
      <c r="U3279" s="32">
        <f t="shared" si="260"/>
        <v>760.00184410379734</v>
      </c>
      <c r="V3279" s="22">
        <f t="shared" si="261"/>
        <v>0.46341627968995031</v>
      </c>
      <c r="X3279" s="33"/>
      <c r="Y3279" s="33"/>
    </row>
    <row r="3280" spans="1:25" x14ac:dyDescent="0.2">
      <c r="A3280" s="93" t="s">
        <v>1756</v>
      </c>
      <c r="B3280" s="94" t="str">
        <f>IFERROR(VLOOKUP($A3280,HeadJournal!$A$1:$NTR$890,COLUMN(HeadJournal!B$1),0),"")</f>
        <v>720000208908</v>
      </c>
      <c r="C3280" s="94" t="str">
        <f>IFERROR(VLOOKUP($A3280,HeadJournal!$A$1:$NTR$890,COLUMN(HeadJournal!C$1),0),"")</f>
        <v>iHerb_OA CZN6870</v>
      </c>
      <c r="D3280" s="125" t="str">
        <f>IFERROR(VLOOKUP($A3280,HeadJournal!$A$1:$NTR$890,COLUMN(HeadJournal!D$1),0),"")</f>
        <v>Доставлен</v>
      </c>
      <c r="E3280" s="95">
        <f>IFERROR(VLOOKUP($A3280,HeadJournal!$A$1:$NTR$890,COLUMN(HeadJournal!G$1),0),"")</f>
        <v>45402</v>
      </c>
      <c r="F3280" s="95" t="str">
        <f t="shared" si="262"/>
        <v>2024 04</v>
      </c>
      <c r="G3280" s="96" t="s">
        <v>5</v>
      </c>
      <c r="H3280" s="161" t="s">
        <v>2196</v>
      </c>
      <c r="I3280" s="97" t="s">
        <v>2006</v>
      </c>
      <c r="J3280" s="97" t="s">
        <v>2197</v>
      </c>
      <c r="K3280" s="29">
        <v>17.21</v>
      </c>
      <c r="L3280" s="29">
        <v>-1.72</v>
      </c>
      <c r="M3280" s="30">
        <f>IFERROR(VLOOKUP($A3280,HeadJournal!$A$1:$J$890,COLUMN(HeadJournal!I$1),0)*($K3280+$L3280)/(SUMIF($A:$A,$A3280,$K:$K)+SUMIF($A:$A,$A3280,$L:$L)),0)</f>
        <v>-0.92558220619176435</v>
      </c>
      <c r="N3280" s="30">
        <f>IFERROR((VLOOKUP($A3280,HeadJournal!$A$1:$K$890,COLUMN(HeadJournal!K$1),0)-VLOOKUP($A3280,HeadJournal!$A$1:$K$890,COLUMN(HeadJournal!J$1),0))*($K3280+$L3280)/(SUMIF($A:$A,$A3280,$K:$K)+SUMIF($A:$A,$A3280,$L:$L)),0)</f>
        <v>0</v>
      </c>
      <c r="O3280" s="30">
        <f>IFERROR((VLOOKUP($A3280,HeadJournal!$A$1:$L$890,COLUMN(HeadJournal!L$1),0)*($K3280+$L3280)/(SUMIF($A:$A,$A3280,$K:$K)+SUMIF($A:$A,$A3280,$L:$L)))/VLOOKUP($A3280,HeadJournal!$A$1:$L$890,COLUMN(HeadJournal!H$1),0),0)</f>
        <v>0.89988249801517728</v>
      </c>
      <c r="P3280" s="30">
        <f>IFERROR(SUM(K3280:O3280)*VLOOKUP($A3280,HeadJournal!$A$1:$L$890,COLUMN(HeadJournal!H$1),0),0)</f>
        <v>1610.8796090572087</v>
      </c>
      <c r="Q3280" s="29">
        <v>2500</v>
      </c>
      <c r="R3280" s="31">
        <v>45430</v>
      </c>
      <c r="S3280" s="31" t="s">
        <v>3121</v>
      </c>
      <c r="T3280" s="95" t="str">
        <f t="shared" si="263"/>
        <v>2024 05</v>
      </c>
      <c r="U3280" s="32">
        <f t="shared" si="260"/>
        <v>889.12039094279135</v>
      </c>
      <c r="V3280" s="22">
        <f t="shared" si="261"/>
        <v>0.55194713865871226</v>
      </c>
      <c r="X3280" s="33"/>
      <c r="Y3280" s="33"/>
    </row>
    <row r="3281" spans="1:25" x14ac:dyDescent="0.2">
      <c r="A3281" s="93" t="s">
        <v>1756</v>
      </c>
      <c r="B3281" s="94" t="str">
        <f>IFERROR(VLOOKUP($A3281,HeadJournal!$A$1:$NTR$890,COLUMN(HeadJournal!B$1),0),"")</f>
        <v>720000208908</v>
      </c>
      <c r="C3281" s="94" t="str">
        <f>IFERROR(VLOOKUP($A3281,HeadJournal!$A$1:$NTR$890,COLUMN(HeadJournal!C$1),0),"")</f>
        <v>iHerb_OA CZN6870</v>
      </c>
      <c r="D3281" s="125" t="str">
        <f>IFERROR(VLOOKUP($A3281,HeadJournal!$A$1:$NTR$890,COLUMN(HeadJournal!D$1),0),"")</f>
        <v>Доставлен</v>
      </c>
      <c r="E3281" s="95">
        <f>IFERROR(VLOOKUP($A3281,HeadJournal!$A$1:$NTR$890,COLUMN(HeadJournal!G$1),0),"")</f>
        <v>45402</v>
      </c>
      <c r="F3281" s="95" t="str">
        <f t="shared" si="262"/>
        <v>2024 04</v>
      </c>
      <c r="G3281" s="96" t="s">
        <v>5</v>
      </c>
      <c r="H3281" s="161" t="s">
        <v>2196</v>
      </c>
      <c r="I3281" s="97" t="s">
        <v>2006</v>
      </c>
      <c r="J3281" s="97" t="s">
        <v>2197</v>
      </c>
      <c r="K3281" s="29">
        <v>17.21</v>
      </c>
      <c r="L3281" s="29">
        <v>-1.72</v>
      </c>
      <c r="M3281" s="30">
        <f>IFERROR(VLOOKUP($A3281,HeadJournal!$A$1:$J$890,COLUMN(HeadJournal!I$1),0)*($K3281+$L3281)/(SUMIF($A:$A,$A3281,$K:$K)+SUMIF($A:$A,$A3281,$L:$L)),0)</f>
        <v>-0.92558220619176435</v>
      </c>
      <c r="N3281" s="30">
        <f>IFERROR((VLOOKUP($A3281,HeadJournal!$A$1:$K$890,COLUMN(HeadJournal!K$1),0)-VLOOKUP($A3281,HeadJournal!$A$1:$K$890,COLUMN(HeadJournal!J$1),0))*($K3281+$L3281)/(SUMIF($A:$A,$A3281,$K:$K)+SUMIF($A:$A,$A3281,$L:$L)),0)</f>
        <v>0</v>
      </c>
      <c r="O3281" s="30">
        <f>IFERROR((VLOOKUP($A3281,HeadJournal!$A$1:$L$890,COLUMN(HeadJournal!L$1),0)*($K3281+$L3281)/(SUMIF($A:$A,$A3281,$K:$K)+SUMIF($A:$A,$A3281,$L:$L)))/VLOOKUP($A3281,HeadJournal!$A$1:$L$890,COLUMN(HeadJournal!H$1),0),0)</f>
        <v>0.89988249801517728</v>
      </c>
      <c r="P3281" s="30">
        <f>IFERROR(SUM(K3281:O3281)*VLOOKUP($A3281,HeadJournal!$A$1:$L$890,COLUMN(HeadJournal!H$1),0),0)</f>
        <v>1610.8796090572087</v>
      </c>
      <c r="Q3281" s="29">
        <v>2500</v>
      </c>
      <c r="R3281" s="31">
        <v>45451</v>
      </c>
      <c r="S3281" s="31" t="s">
        <v>3121</v>
      </c>
      <c r="T3281" s="95" t="str">
        <f t="shared" si="263"/>
        <v>2024 06</v>
      </c>
      <c r="U3281" s="32">
        <f t="shared" si="260"/>
        <v>889.12039094279135</v>
      </c>
      <c r="V3281" s="22">
        <f t="shared" si="261"/>
        <v>0.55194713865871226</v>
      </c>
      <c r="X3281" s="33"/>
      <c r="Y3281" s="33"/>
    </row>
    <row r="3282" spans="1:25" x14ac:dyDescent="0.2">
      <c r="A3282" s="93" t="s">
        <v>1756</v>
      </c>
      <c r="B3282" s="94" t="str">
        <f>IFERROR(VLOOKUP($A3282,HeadJournal!$A$1:$NTR$890,COLUMN(HeadJournal!B$1),0),"")</f>
        <v>720000208908</v>
      </c>
      <c r="C3282" s="94" t="str">
        <f>IFERROR(VLOOKUP($A3282,HeadJournal!$A$1:$NTR$890,COLUMN(HeadJournal!C$1),0),"")</f>
        <v>iHerb_OA CZN6870</v>
      </c>
      <c r="D3282" s="125" t="str">
        <f>IFERROR(VLOOKUP($A3282,HeadJournal!$A$1:$NTR$890,COLUMN(HeadJournal!D$1),0),"")</f>
        <v>Доставлен</v>
      </c>
      <c r="E3282" s="95">
        <f>IFERROR(VLOOKUP($A3282,HeadJournal!$A$1:$NTR$890,COLUMN(HeadJournal!G$1),0),"")</f>
        <v>45402</v>
      </c>
      <c r="F3282" s="95" t="str">
        <f t="shared" si="262"/>
        <v>2024 04</v>
      </c>
      <c r="G3282" s="96" t="s">
        <v>5</v>
      </c>
      <c r="H3282" s="161" t="str">
        <f>RIGHT(Journal!$J3282,9)</f>
        <v>IHB-00961</v>
      </c>
      <c r="I3282" s="97" t="str">
        <f t="shared" si="259"/>
        <v>iHerb Goods</v>
      </c>
      <c r="J3282" s="97" t="s">
        <v>1763</v>
      </c>
      <c r="K3282" s="29">
        <v>4.1500000000000004</v>
      </c>
      <c r="L3282" s="29">
        <v>-2.08</v>
      </c>
      <c r="M3282" s="30">
        <f>IFERROR(VLOOKUP($A3282,HeadJournal!$A$1:$J$890,COLUMN(HeadJournal!I$1),0)*($K3282+$L3282)/(SUMIF($A:$A,$A3282,$K:$K)+SUMIF($A:$A,$A3282,$L:$L)),0)</f>
        <v>-0.12368981064021642</v>
      </c>
      <c r="N3282" s="30">
        <f>IFERROR((VLOOKUP($A3282,HeadJournal!$A$1:$K$890,COLUMN(HeadJournal!K$1),0)-VLOOKUP($A3282,HeadJournal!$A$1:$K$890,COLUMN(HeadJournal!J$1),0))*($K3282+$L3282)/(SUMIF($A:$A,$A3282,$K:$K)+SUMIF($A:$A,$A3282,$L:$L)),0)</f>
        <v>0</v>
      </c>
      <c r="O3282" s="30">
        <f>IFERROR((VLOOKUP($A3282,HeadJournal!$A$1:$L$890,COLUMN(HeadJournal!L$1),0)*($K3282+$L3282)/(SUMIF($A:$A,$A3282,$K:$K)+SUMIF($A:$A,$A3282,$L:$L)))/VLOOKUP($A3282,HeadJournal!$A$1:$L$890,COLUMN(HeadJournal!H$1),0),0)</f>
        <v>0.12025544034160215</v>
      </c>
      <c r="P3282" s="30">
        <f>IFERROR(SUM(K3282:O3282)*VLOOKUP($A3282,HeadJournal!$A$1:$L$890,COLUMN(HeadJournal!H$1),0),0)</f>
        <v>215.26925698827776</v>
      </c>
      <c r="Q3282" s="29"/>
      <c r="R3282" s="31"/>
      <c r="S3282" s="31"/>
      <c r="T3282" s="95" t="str">
        <f t="shared" si="263"/>
        <v/>
      </c>
      <c r="U3282" s="32">
        <f t="shared" si="260"/>
        <v>-215.26925698827776</v>
      </c>
      <c r="V3282" s="22" t="str">
        <f t="shared" si="261"/>
        <v/>
      </c>
      <c r="X3282" s="33"/>
      <c r="Y3282" s="33"/>
    </row>
    <row r="3283" spans="1:25" x14ac:dyDescent="0.2">
      <c r="A3283" s="93" t="s">
        <v>1756</v>
      </c>
      <c r="B3283" s="94" t="str">
        <f>IFERROR(VLOOKUP($A3283,HeadJournal!$A$1:$NTR$890,COLUMN(HeadJournal!B$1),0),"")</f>
        <v>720000208908</v>
      </c>
      <c r="C3283" s="94" t="str">
        <f>IFERROR(VLOOKUP($A3283,HeadJournal!$A$1:$NTR$890,COLUMN(HeadJournal!C$1),0),"")</f>
        <v>iHerb_OA CZN6870</v>
      </c>
      <c r="D3283" s="125" t="str">
        <f>IFERROR(VLOOKUP($A3283,HeadJournal!$A$1:$NTR$890,COLUMN(HeadJournal!D$1),0),"")</f>
        <v>Доставлен</v>
      </c>
      <c r="E3283" s="95">
        <f>IFERROR(VLOOKUP($A3283,HeadJournal!$A$1:$NTR$890,COLUMN(HeadJournal!G$1),0),"")</f>
        <v>45402</v>
      </c>
      <c r="F3283" s="95" t="str">
        <f t="shared" si="262"/>
        <v>2024 04</v>
      </c>
      <c r="G3283" s="96" t="s">
        <v>5</v>
      </c>
      <c r="H3283" s="161" t="s">
        <v>2124</v>
      </c>
      <c r="I3283" s="97" t="s">
        <v>2125</v>
      </c>
      <c r="J3283" s="97" t="s">
        <v>2126</v>
      </c>
      <c r="K3283" s="29">
        <v>13.66</v>
      </c>
      <c r="L3283" s="29">
        <v>-2.73</v>
      </c>
      <c r="M3283" s="30">
        <f>IFERROR(VLOOKUP($A3283,HeadJournal!$A$1:$J$890,COLUMN(HeadJournal!I$1),0)*($K3283+$L3283)/(SUMIF($A:$A,$A3283,$K:$K)+SUMIF($A:$A,$A3283,$L:$L)),0)</f>
        <v>-0.65310610159302673</v>
      </c>
      <c r="N3283" s="30">
        <f>IFERROR((VLOOKUP($A3283,HeadJournal!$A$1:$K$890,COLUMN(HeadJournal!K$1),0)-VLOOKUP($A3283,HeadJournal!$A$1:$K$890,COLUMN(HeadJournal!J$1),0))*($K3283+$L3283)/(SUMIF($A:$A,$A3283,$K:$K)+SUMIF($A:$A,$A3283,$L:$L)),0)</f>
        <v>0</v>
      </c>
      <c r="O3283" s="30">
        <f>IFERROR((VLOOKUP($A3283,HeadJournal!$A$1:$L$890,COLUMN(HeadJournal!L$1),0)*($K3283+$L3283)/(SUMIF($A:$A,$A3283,$K:$K)+SUMIF($A:$A,$A3283,$L:$L)))/VLOOKUP($A3283,HeadJournal!$A$1:$L$890,COLUMN(HeadJournal!H$1),0),0)</f>
        <v>0.63497196276990886</v>
      </c>
      <c r="P3283" s="30">
        <f>IFERROR(SUM(K3283:O3283)*VLOOKUP($A3283,HeadJournal!$A$1:$L$890,COLUMN(HeadJournal!H$1),0),0)</f>
        <v>1136.6632748221621</v>
      </c>
      <c r="Q3283" s="29">
        <v>2000</v>
      </c>
      <c r="R3283" s="31">
        <v>45480</v>
      </c>
      <c r="S3283" s="31" t="s">
        <v>3121</v>
      </c>
      <c r="T3283" s="95" t="str">
        <f t="shared" si="263"/>
        <v>2024 07</v>
      </c>
      <c r="U3283" s="32">
        <f t="shared" si="260"/>
        <v>863.33672517783793</v>
      </c>
      <c r="V3283" s="22">
        <f t="shared" si="261"/>
        <v>0.75953604229265892</v>
      </c>
      <c r="X3283" s="33"/>
      <c r="Y3283" s="33"/>
    </row>
    <row r="3284" spans="1:25" x14ac:dyDescent="0.2">
      <c r="A3284" s="93" t="s">
        <v>1756</v>
      </c>
      <c r="B3284" s="94" t="str">
        <f>IFERROR(VLOOKUP($A3284,HeadJournal!$A$1:$NTR$890,COLUMN(HeadJournal!B$1),0),"")</f>
        <v>720000208908</v>
      </c>
      <c r="C3284" s="94" t="str">
        <f>IFERROR(VLOOKUP($A3284,HeadJournal!$A$1:$NTR$890,COLUMN(HeadJournal!C$1),0),"")</f>
        <v>iHerb_OA CZN6870</v>
      </c>
      <c r="D3284" s="125" t="str">
        <f>IFERROR(VLOOKUP($A3284,HeadJournal!$A$1:$NTR$890,COLUMN(HeadJournal!D$1),0),"")</f>
        <v>Доставлен</v>
      </c>
      <c r="E3284" s="95">
        <f>IFERROR(VLOOKUP($A3284,HeadJournal!$A$1:$NTR$890,COLUMN(HeadJournal!G$1),0),"")</f>
        <v>45402</v>
      </c>
      <c r="F3284" s="95" t="str">
        <f t="shared" si="262"/>
        <v>2024 04</v>
      </c>
      <c r="G3284" s="96" t="s">
        <v>5</v>
      </c>
      <c r="H3284" s="161" t="s">
        <v>2124</v>
      </c>
      <c r="I3284" s="97" t="s">
        <v>2125</v>
      </c>
      <c r="J3284" s="97" t="s">
        <v>2126</v>
      </c>
      <c r="K3284" s="29">
        <v>13.66</v>
      </c>
      <c r="L3284" s="29">
        <v>-2.73</v>
      </c>
      <c r="M3284" s="30">
        <f>IFERROR(VLOOKUP($A3284,HeadJournal!$A$1:$J$890,COLUMN(HeadJournal!I$1),0)*($K3284+$L3284)/(SUMIF($A:$A,$A3284,$K:$K)+SUMIF($A:$A,$A3284,$L:$L)),0)</f>
        <v>-0.65310610159302673</v>
      </c>
      <c r="N3284" s="30">
        <f>IFERROR((VLOOKUP($A3284,HeadJournal!$A$1:$K$890,COLUMN(HeadJournal!K$1),0)-VLOOKUP($A3284,HeadJournal!$A$1:$K$890,COLUMN(HeadJournal!J$1),0))*($K3284+$L3284)/(SUMIF($A:$A,$A3284,$K:$K)+SUMIF($A:$A,$A3284,$L:$L)),0)</f>
        <v>0</v>
      </c>
      <c r="O3284" s="30">
        <f>IFERROR((VLOOKUP($A3284,HeadJournal!$A$1:$L$890,COLUMN(HeadJournal!L$1),0)*($K3284+$L3284)/(SUMIF($A:$A,$A3284,$K:$K)+SUMIF($A:$A,$A3284,$L:$L)))/VLOOKUP($A3284,HeadJournal!$A$1:$L$890,COLUMN(HeadJournal!H$1),0),0)</f>
        <v>0.63497196276990886</v>
      </c>
      <c r="P3284" s="30">
        <f>IFERROR(SUM(K3284:O3284)*VLOOKUP($A3284,HeadJournal!$A$1:$L$890,COLUMN(HeadJournal!H$1),0),0)</f>
        <v>1136.6632748221621</v>
      </c>
      <c r="Q3284" s="29">
        <v>1900</v>
      </c>
      <c r="R3284" s="31">
        <v>45480</v>
      </c>
      <c r="S3284" s="31" t="s">
        <v>3121</v>
      </c>
      <c r="T3284" s="95" t="str">
        <f t="shared" si="263"/>
        <v>2024 07</v>
      </c>
      <c r="U3284" s="32">
        <f t="shared" si="260"/>
        <v>763.33672517783793</v>
      </c>
      <c r="V3284" s="22">
        <f t="shared" si="261"/>
        <v>0.67155924017802604</v>
      </c>
      <c r="X3284" s="33"/>
      <c r="Y3284" s="33"/>
    </row>
    <row r="3285" spans="1:25" x14ac:dyDescent="0.2">
      <c r="A3285" s="93" t="s">
        <v>1756</v>
      </c>
      <c r="B3285" s="94" t="str">
        <f>IFERROR(VLOOKUP($A3285,HeadJournal!$A$1:$NTR$890,COLUMN(HeadJournal!B$1),0),"")</f>
        <v>720000208908</v>
      </c>
      <c r="C3285" s="94" t="str">
        <f>IFERROR(VLOOKUP($A3285,HeadJournal!$A$1:$NTR$890,COLUMN(HeadJournal!C$1),0),"")</f>
        <v>iHerb_OA CZN6870</v>
      </c>
      <c r="D3285" s="125" t="str">
        <f>IFERROR(VLOOKUP($A3285,HeadJournal!$A$1:$NTR$890,COLUMN(HeadJournal!D$1),0),"")</f>
        <v>Доставлен</v>
      </c>
      <c r="E3285" s="95">
        <f>IFERROR(VLOOKUP($A3285,HeadJournal!$A$1:$NTR$890,COLUMN(HeadJournal!G$1),0),"")</f>
        <v>45402</v>
      </c>
      <c r="F3285" s="95" t="str">
        <f t="shared" si="262"/>
        <v>2024 04</v>
      </c>
      <c r="G3285" s="96" t="s">
        <v>5</v>
      </c>
      <c r="H3285" s="161" t="s">
        <v>2617</v>
      </c>
      <c r="I3285" s="97" t="s">
        <v>2618</v>
      </c>
      <c r="J3285" s="97" t="s">
        <v>2619</v>
      </c>
      <c r="K3285" s="29">
        <v>13.43</v>
      </c>
      <c r="L3285" s="29">
        <v>-2.6850000000000001</v>
      </c>
      <c r="M3285" s="30">
        <f>IFERROR(VLOOKUP($A3285,HeadJournal!$A$1:$J$890,COLUMN(HeadJournal!I$1),0)*($K3285+$L3285)/(SUMIF($A:$A,$A3285,$K:$K)+SUMIF($A:$A,$A3285,$L:$L)),0)</f>
        <v>-0.64205169822663055</v>
      </c>
      <c r="N3285" s="30">
        <f>IFERROR((VLOOKUP($A3285,HeadJournal!$A$1:$K$890,COLUMN(HeadJournal!K$1),0)-VLOOKUP($A3285,HeadJournal!$A$1:$K$890,COLUMN(HeadJournal!J$1),0))*($K3285+$L3285)/(SUMIF($A:$A,$A3285,$K:$K)+SUMIF($A:$A,$A3285,$L:$L)),0)</f>
        <v>0</v>
      </c>
      <c r="O3285" s="30">
        <f>IFERROR((VLOOKUP($A3285,HeadJournal!$A$1:$L$890,COLUMN(HeadJournal!L$1),0)*($K3285+$L3285)/(SUMIF($A:$A,$A3285,$K:$K)+SUMIF($A:$A,$A3285,$L:$L)))/VLOOKUP($A3285,HeadJournal!$A$1:$L$890,COLUMN(HeadJournal!H$1),0),0)</f>
        <v>0.62422449587947582</v>
      </c>
      <c r="P3285" s="30">
        <f>IFERROR(SUM(K3285:O3285)*VLOOKUP($A3285,HeadJournal!$A$1:$L$890,COLUMN(HeadJournal!H$1),0),0)</f>
        <v>1117.4242349463982</v>
      </c>
      <c r="Q3285" s="29">
        <v>2500</v>
      </c>
      <c r="R3285" s="31">
        <v>45433</v>
      </c>
      <c r="S3285" s="31" t="s">
        <v>3121</v>
      </c>
      <c r="T3285" s="95" t="str">
        <f t="shared" si="263"/>
        <v>2024 05</v>
      </c>
      <c r="U3285" s="32">
        <f t="shared" si="260"/>
        <v>1382.5757650536018</v>
      </c>
      <c r="V3285" s="22">
        <f t="shared" si="261"/>
        <v>1.2372881505652351</v>
      </c>
      <c r="X3285" s="33"/>
      <c r="Y3285" s="33"/>
    </row>
    <row r="3286" spans="1:25" x14ac:dyDescent="0.2">
      <c r="A3286" s="93" t="s">
        <v>1756</v>
      </c>
      <c r="B3286" s="94" t="str">
        <f>IFERROR(VLOOKUP($A3286,HeadJournal!$A$1:$NTR$890,COLUMN(HeadJournal!B$1),0),"")</f>
        <v>720000208908</v>
      </c>
      <c r="C3286" s="94" t="str">
        <f>IFERROR(VLOOKUP($A3286,HeadJournal!$A$1:$NTR$890,COLUMN(HeadJournal!C$1),0),"")</f>
        <v>iHerb_OA CZN6870</v>
      </c>
      <c r="D3286" s="125" t="str">
        <f>IFERROR(VLOOKUP($A3286,HeadJournal!$A$1:$NTR$890,COLUMN(HeadJournal!D$1),0),"")</f>
        <v>Доставлен</v>
      </c>
      <c r="E3286" s="95">
        <f>IFERROR(VLOOKUP($A3286,HeadJournal!$A$1:$NTR$890,COLUMN(HeadJournal!G$1),0),"")</f>
        <v>45402</v>
      </c>
      <c r="F3286" s="95" t="str">
        <f t="shared" si="262"/>
        <v>2024 04</v>
      </c>
      <c r="G3286" s="96" t="s">
        <v>5</v>
      </c>
      <c r="H3286" s="161" t="s">
        <v>2617</v>
      </c>
      <c r="I3286" s="97" t="s">
        <v>2618</v>
      </c>
      <c r="J3286" s="97" t="s">
        <v>2619</v>
      </c>
      <c r="K3286" s="29">
        <v>13.43</v>
      </c>
      <c r="L3286" s="29">
        <v>-2.6850000000000001</v>
      </c>
      <c r="M3286" s="30">
        <f>IFERROR(VLOOKUP($A3286,HeadJournal!$A$1:$J$890,COLUMN(HeadJournal!I$1),0)*($K3286+$L3286)/(SUMIF($A:$A,$A3286,$K:$K)+SUMIF($A:$A,$A3286,$L:$L)),0)</f>
        <v>-0.64205169822663055</v>
      </c>
      <c r="N3286" s="30">
        <f>IFERROR((VLOOKUP($A3286,HeadJournal!$A$1:$K$890,COLUMN(HeadJournal!K$1),0)-VLOOKUP($A3286,HeadJournal!$A$1:$K$890,COLUMN(HeadJournal!J$1),0))*($K3286+$L3286)/(SUMIF($A:$A,$A3286,$K:$K)+SUMIF($A:$A,$A3286,$L:$L)),0)</f>
        <v>0</v>
      </c>
      <c r="O3286" s="30">
        <f>IFERROR((VLOOKUP($A3286,HeadJournal!$A$1:$L$890,COLUMN(HeadJournal!L$1),0)*($K3286+$L3286)/(SUMIF($A:$A,$A3286,$K:$K)+SUMIF($A:$A,$A3286,$L:$L)))/VLOOKUP($A3286,HeadJournal!$A$1:$L$890,COLUMN(HeadJournal!H$1),0),0)</f>
        <v>0.62422449587947582</v>
      </c>
      <c r="P3286" s="30">
        <f>IFERROR(SUM(K3286:O3286)*VLOOKUP($A3286,HeadJournal!$A$1:$L$890,COLUMN(HeadJournal!H$1),0),0)</f>
        <v>1117.4242349463982</v>
      </c>
      <c r="Q3286" s="29">
        <v>2500</v>
      </c>
      <c r="R3286" s="31">
        <v>45434</v>
      </c>
      <c r="S3286" s="31" t="s">
        <v>3121</v>
      </c>
      <c r="T3286" s="95" t="str">
        <f t="shared" si="263"/>
        <v>2024 05</v>
      </c>
      <c r="U3286" s="32">
        <f t="shared" si="260"/>
        <v>1382.5757650536018</v>
      </c>
      <c r="V3286" s="22">
        <f t="shared" si="261"/>
        <v>1.2372881505652351</v>
      </c>
      <c r="X3286" s="33"/>
      <c r="Y3286" s="33"/>
    </row>
    <row r="3287" spans="1:25" x14ac:dyDescent="0.2">
      <c r="A3287" s="93" t="s">
        <v>1765</v>
      </c>
      <c r="B3287" s="94">
        <f>IFERROR(VLOOKUP($A3287,HeadJournal!$A$1:$NTR$890,COLUMN(HeadJournal!B$1),0),"")</f>
        <v>0</v>
      </c>
      <c r="C3287" s="94" t="str">
        <f>IFERROR(VLOOKUP($A3287,HeadJournal!$A$1:$NTR$890,COLUMN(HeadJournal!C$1),0),"")</f>
        <v>OZON_OA</v>
      </c>
      <c r="D3287" s="125" t="str">
        <f>IFERROR(VLOOKUP($A3287,HeadJournal!$A$1:$NTR$890,COLUMN(HeadJournal!D$1),0),"")</f>
        <v>Доставлен</v>
      </c>
      <c r="E3287" s="95">
        <f>IFERROR(VLOOKUP($A3287,HeadJournal!$A$1:$NTR$890,COLUMN(HeadJournal!G$1),0),"")</f>
        <v>45408</v>
      </c>
      <c r="F3287" s="95" t="str">
        <f t="shared" si="262"/>
        <v>2024 04</v>
      </c>
      <c r="G3287" s="96" t="s">
        <v>8</v>
      </c>
      <c r="H3287" s="161" t="s">
        <v>5297</v>
      </c>
      <c r="I3287" s="97" t="s">
        <v>2243</v>
      </c>
      <c r="J3287" s="97" t="s">
        <v>5353</v>
      </c>
      <c r="K3287" s="29">
        <v>570.55999999999995</v>
      </c>
      <c r="L3287" s="29">
        <v>0</v>
      </c>
      <c r="M3287" s="30">
        <f>IFERROR(VLOOKUP($A3287,HeadJournal!$A$1:$J$890,COLUMN(HeadJournal!I$1),0)*($K3287+$L3287)/(SUMIF($A:$A,$A3287,$K:$K)+SUMIF($A:$A,$A3287,$L:$L)),0)</f>
        <v>0</v>
      </c>
      <c r="N3287" s="30">
        <f>IFERROR((VLOOKUP($A3287,HeadJournal!$A$1:$K$890,COLUMN(HeadJournal!K$1),0)-VLOOKUP($A3287,HeadJournal!$A$1:$K$890,COLUMN(HeadJournal!J$1),0))*($K3287+$L3287)/(SUMIF($A:$A,$A3287,$K:$K)+SUMIF($A:$A,$A3287,$L:$L)),0)</f>
        <v>0</v>
      </c>
      <c r="O3287" s="30">
        <f>IFERROR((VLOOKUP($A3287,HeadJournal!$A$1:$L$890,COLUMN(HeadJournal!L$1),0)*($K3287+$L3287)/(SUMIF($A:$A,$A3287,$K:$K)+SUMIF($A:$A,$A3287,$L:$L)))/VLOOKUP($A3287,HeadJournal!$A$1:$L$890,COLUMN(HeadJournal!H$1),0),0)</f>
        <v>0</v>
      </c>
      <c r="P3287" s="30">
        <f>IFERROR(SUM(K3287:O3287)*VLOOKUP($A3287,HeadJournal!$A$1:$L$890,COLUMN(HeadJournal!H$1),0),0)</f>
        <v>570.55999999999995</v>
      </c>
      <c r="Q3287" s="29"/>
      <c r="R3287" s="31"/>
      <c r="S3287" s="31"/>
      <c r="T3287" s="95" t="str">
        <f t="shared" si="263"/>
        <v/>
      </c>
      <c r="U3287" s="32">
        <f t="shared" si="260"/>
        <v>-570.55999999999995</v>
      </c>
      <c r="V3287" s="22" t="str">
        <f t="shared" si="261"/>
        <v/>
      </c>
      <c r="X3287" s="33"/>
      <c r="Y3287" s="33"/>
    </row>
    <row r="3288" spans="1:25" x14ac:dyDescent="0.2">
      <c r="A3288" s="93" t="s">
        <v>1765</v>
      </c>
      <c r="B3288" s="94">
        <f>IFERROR(VLOOKUP($A3288,HeadJournal!$A$1:$NTR$890,COLUMN(HeadJournal!B$1),0),"")</f>
        <v>0</v>
      </c>
      <c r="C3288" s="94" t="str">
        <f>IFERROR(VLOOKUP($A3288,HeadJournal!$A$1:$NTR$890,COLUMN(HeadJournal!C$1),0),"")</f>
        <v>OZON_OA</v>
      </c>
      <c r="D3288" s="125" t="str">
        <f>IFERROR(VLOOKUP($A3288,HeadJournal!$A$1:$NTR$890,COLUMN(HeadJournal!D$1),0),"")</f>
        <v>Доставлен</v>
      </c>
      <c r="E3288" s="95">
        <f>IFERROR(VLOOKUP($A3288,HeadJournal!$A$1:$NTR$890,COLUMN(HeadJournal!G$1),0),"")</f>
        <v>45408</v>
      </c>
      <c r="F3288" s="95" t="str">
        <f t="shared" si="262"/>
        <v>2024 04</v>
      </c>
      <c r="G3288" s="96" t="s">
        <v>8</v>
      </c>
      <c r="H3288" s="161" t="s">
        <v>5250</v>
      </c>
      <c r="I3288" s="97" t="s">
        <v>2243</v>
      </c>
      <c r="J3288" s="97" t="s">
        <v>5354</v>
      </c>
      <c r="K3288" s="29">
        <v>1518.69</v>
      </c>
      <c r="L3288" s="29">
        <v>0</v>
      </c>
      <c r="M3288" s="30">
        <f>IFERROR(VLOOKUP($A3288,HeadJournal!$A$1:$J$890,COLUMN(HeadJournal!I$1),0)*($K3288+$L3288)/(SUMIF($A:$A,$A3288,$K:$K)+SUMIF($A:$A,$A3288,$L:$L)),0)</f>
        <v>0</v>
      </c>
      <c r="N3288" s="30">
        <f>IFERROR((VLOOKUP($A3288,HeadJournal!$A$1:$K$890,COLUMN(HeadJournal!K$1),0)-VLOOKUP($A3288,HeadJournal!$A$1:$K$890,COLUMN(HeadJournal!J$1),0))*($K3288+$L3288)/(SUMIF($A:$A,$A3288,$K:$K)+SUMIF($A:$A,$A3288,$L:$L)),0)</f>
        <v>0</v>
      </c>
      <c r="O3288" s="30">
        <f>IFERROR((VLOOKUP($A3288,HeadJournal!$A$1:$L$890,COLUMN(HeadJournal!L$1),0)*($K3288+$L3288)/(SUMIF($A:$A,$A3288,$K:$K)+SUMIF($A:$A,$A3288,$L:$L)))/VLOOKUP($A3288,HeadJournal!$A$1:$L$890,COLUMN(HeadJournal!H$1),0),0)</f>
        <v>0</v>
      </c>
      <c r="P3288" s="30">
        <f>IFERROR(SUM(K3288:O3288)*VLOOKUP($A3288,HeadJournal!$A$1:$L$890,COLUMN(HeadJournal!H$1),0),0)</f>
        <v>1518.69</v>
      </c>
      <c r="Q3288" s="29">
        <v>518.69000000000005</v>
      </c>
      <c r="R3288" s="31"/>
      <c r="S3288" s="31"/>
      <c r="T3288" s="95" t="str">
        <f t="shared" si="263"/>
        <v/>
      </c>
      <c r="U3288" s="32">
        <f t="shared" si="260"/>
        <v>-1000</v>
      </c>
      <c r="V3288" s="22">
        <f t="shared" si="261"/>
        <v>-0.65846222731433013</v>
      </c>
      <c r="X3288" s="33"/>
      <c r="Y3288" s="33"/>
    </row>
    <row r="3289" spans="1:25" x14ac:dyDescent="0.2">
      <c r="A3289" s="93" t="s">
        <v>1765</v>
      </c>
      <c r="B3289" s="94">
        <f>IFERROR(VLOOKUP($A3289,HeadJournal!$A$1:$NTR$890,COLUMN(HeadJournal!B$1),0),"")</f>
        <v>0</v>
      </c>
      <c r="C3289" s="94" t="str">
        <f>IFERROR(VLOOKUP($A3289,HeadJournal!$A$1:$NTR$890,COLUMN(HeadJournal!C$1),0),"")</f>
        <v>OZON_OA</v>
      </c>
      <c r="D3289" s="125" t="str">
        <f>IFERROR(VLOOKUP($A3289,HeadJournal!$A$1:$NTR$890,COLUMN(HeadJournal!D$1),0),"")</f>
        <v>Доставлен</v>
      </c>
      <c r="E3289" s="95">
        <f>IFERROR(VLOOKUP($A3289,HeadJournal!$A$1:$NTR$890,COLUMN(HeadJournal!G$1),0),"")</f>
        <v>45408</v>
      </c>
      <c r="F3289" s="95" t="str">
        <f t="shared" si="262"/>
        <v>2024 04</v>
      </c>
      <c r="G3289" s="96" t="s">
        <v>8</v>
      </c>
      <c r="H3289" s="161" t="s">
        <v>5251</v>
      </c>
      <c r="I3289" s="97" t="s">
        <v>2243</v>
      </c>
      <c r="J3289" s="97" t="s">
        <v>5355</v>
      </c>
      <c r="K3289" s="29">
        <v>1036.08</v>
      </c>
      <c r="L3289" s="29">
        <v>0</v>
      </c>
      <c r="M3289" s="30">
        <f>IFERROR(VLOOKUP($A3289,HeadJournal!$A$1:$J$890,COLUMN(HeadJournal!I$1),0)*($K3289+$L3289)/(SUMIF($A:$A,$A3289,$K:$K)+SUMIF($A:$A,$A3289,$L:$L)),0)</f>
        <v>0</v>
      </c>
      <c r="N3289" s="30">
        <f>IFERROR((VLOOKUP($A3289,HeadJournal!$A$1:$K$890,COLUMN(HeadJournal!K$1),0)-VLOOKUP($A3289,HeadJournal!$A$1:$K$890,COLUMN(HeadJournal!J$1),0))*($K3289+$L3289)/(SUMIF($A:$A,$A3289,$K:$K)+SUMIF($A:$A,$A3289,$L:$L)),0)</f>
        <v>0</v>
      </c>
      <c r="O3289" s="30">
        <f>IFERROR((VLOOKUP($A3289,HeadJournal!$A$1:$L$890,COLUMN(HeadJournal!L$1),0)*($K3289+$L3289)/(SUMIF($A:$A,$A3289,$K:$K)+SUMIF($A:$A,$A3289,$L:$L)))/VLOOKUP($A3289,HeadJournal!$A$1:$L$890,COLUMN(HeadJournal!H$1),0),0)</f>
        <v>0</v>
      </c>
      <c r="P3289" s="30">
        <f>IFERROR(SUM(K3289:O3289)*VLOOKUP($A3289,HeadJournal!$A$1:$L$890,COLUMN(HeadJournal!H$1),0),0)</f>
        <v>1036.08</v>
      </c>
      <c r="Q3289" s="29">
        <v>2200</v>
      </c>
      <c r="R3289" s="31">
        <v>45409</v>
      </c>
      <c r="S3289" s="31" t="s">
        <v>3121</v>
      </c>
      <c r="T3289" s="95" t="str">
        <f t="shared" si="263"/>
        <v>2024 04</v>
      </c>
      <c r="U3289" s="32">
        <f t="shared" si="260"/>
        <v>1163.92</v>
      </c>
      <c r="V3289" s="22">
        <f t="shared" si="261"/>
        <v>1.1233881553547991</v>
      </c>
      <c r="X3289" s="33"/>
      <c r="Y3289" s="33"/>
    </row>
    <row r="3290" spans="1:25" x14ac:dyDescent="0.2">
      <c r="A3290" s="93" t="s">
        <v>1765</v>
      </c>
      <c r="B3290" s="94">
        <f>IFERROR(VLOOKUP($A3290,HeadJournal!$A$1:$NTR$890,COLUMN(HeadJournal!B$1),0),"")</f>
        <v>0</v>
      </c>
      <c r="C3290" s="94" t="str">
        <f>IFERROR(VLOOKUP($A3290,HeadJournal!$A$1:$NTR$890,COLUMN(HeadJournal!C$1),0),"")</f>
        <v>OZON_OA</v>
      </c>
      <c r="D3290" s="125" t="str">
        <f>IFERROR(VLOOKUP($A3290,HeadJournal!$A$1:$NTR$890,COLUMN(HeadJournal!D$1),0),"")</f>
        <v>Доставлен</v>
      </c>
      <c r="E3290" s="95">
        <f>IFERROR(VLOOKUP($A3290,HeadJournal!$A$1:$NTR$890,COLUMN(HeadJournal!G$1),0),"")</f>
        <v>45408</v>
      </c>
      <c r="F3290" s="95" t="str">
        <f t="shared" si="262"/>
        <v>2024 04</v>
      </c>
      <c r="G3290" s="96" t="s">
        <v>8</v>
      </c>
      <c r="H3290" s="161" t="s">
        <v>5252</v>
      </c>
      <c r="I3290" s="97" t="s">
        <v>2243</v>
      </c>
      <c r="J3290" s="97" t="s">
        <v>5356</v>
      </c>
      <c r="K3290" s="29">
        <v>1518.67</v>
      </c>
      <c r="L3290" s="29">
        <v>0</v>
      </c>
      <c r="M3290" s="30">
        <f>IFERROR(VLOOKUP($A3290,HeadJournal!$A$1:$J$890,COLUMN(HeadJournal!I$1),0)*($K3290+$L3290)/(SUMIF($A:$A,$A3290,$K:$K)+SUMIF($A:$A,$A3290,$L:$L)),0)</f>
        <v>0</v>
      </c>
      <c r="N3290" s="30">
        <f>IFERROR((VLOOKUP($A3290,HeadJournal!$A$1:$K$890,COLUMN(HeadJournal!K$1),0)-VLOOKUP($A3290,HeadJournal!$A$1:$K$890,COLUMN(HeadJournal!J$1),0))*($K3290+$L3290)/(SUMIF($A:$A,$A3290,$K:$K)+SUMIF($A:$A,$A3290,$L:$L)),0)</f>
        <v>0</v>
      </c>
      <c r="O3290" s="30">
        <f>IFERROR((VLOOKUP($A3290,HeadJournal!$A$1:$L$890,COLUMN(HeadJournal!L$1),0)*($K3290+$L3290)/(SUMIF($A:$A,$A3290,$K:$K)+SUMIF($A:$A,$A3290,$L:$L)))/VLOOKUP($A3290,HeadJournal!$A$1:$L$890,COLUMN(HeadJournal!H$1),0),0)</f>
        <v>0</v>
      </c>
      <c r="P3290" s="30">
        <f>IFERROR(SUM(K3290:O3290)*VLOOKUP($A3290,HeadJournal!$A$1:$L$890,COLUMN(HeadJournal!H$1),0),0)</f>
        <v>1518.67</v>
      </c>
      <c r="Q3290" s="29"/>
      <c r="R3290" s="31"/>
      <c r="S3290" s="31"/>
      <c r="T3290" s="95" t="str">
        <f t="shared" si="263"/>
        <v/>
      </c>
      <c r="U3290" s="32">
        <f t="shared" si="260"/>
        <v>-1518.67</v>
      </c>
      <c r="V3290" s="22" t="str">
        <f t="shared" si="261"/>
        <v/>
      </c>
      <c r="X3290" s="33"/>
      <c r="Y3290" s="33"/>
    </row>
    <row r="3291" spans="1:25" x14ac:dyDescent="0.2">
      <c r="A3291" s="93" t="s">
        <v>1769</v>
      </c>
      <c r="B3291" s="94" t="str">
        <f>IFERROR(VLOOKUP($A3291,HeadJournal!$A$1:$NTR$890,COLUMN(HeadJournal!B$1),0),"")</f>
        <v>720000218371</v>
      </c>
      <c r="C3291" s="94" t="str">
        <f>IFERROR(VLOOKUP($A3291,HeadJournal!$A$1:$NTR$890,COLUMN(HeadJournal!C$1),0),"")</f>
        <v>iHerb_AV CYG0792</v>
      </c>
      <c r="D3291" s="125" t="str">
        <f>IFERROR(VLOOKUP($A3291,HeadJournal!$A$1:$NTR$890,COLUMN(HeadJournal!D$1),0),"")</f>
        <v>Доставлен</v>
      </c>
      <c r="E3291" s="95">
        <f>IFERROR(VLOOKUP($A3291,HeadJournal!$A$1:$NTR$890,COLUMN(HeadJournal!G$1),0),"")</f>
        <v>45411</v>
      </c>
      <c r="F3291" s="95" t="str">
        <f t="shared" si="262"/>
        <v>2024 04</v>
      </c>
      <c r="G3291" s="96" t="s">
        <v>5</v>
      </c>
      <c r="H3291" s="161" t="s">
        <v>2194</v>
      </c>
      <c r="I3291" s="97" t="s">
        <v>2166</v>
      </c>
      <c r="J3291" s="97" t="s">
        <v>2195</v>
      </c>
      <c r="K3291" s="29">
        <v>26.82</v>
      </c>
      <c r="L3291" s="29">
        <v>-5.36</v>
      </c>
      <c r="M3291" s="30">
        <f>IFERROR(VLOOKUP($A3291,HeadJournal!$A$1:$J$890,COLUMN(HeadJournal!I$1),0)*($K3291+$L3291)/(SUMIF($A:$A,$A3291,$K:$K)+SUMIF($A:$A,$A3291,$L:$L)),0)</f>
        <v>0</v>
      </c>
      <c r="N3291" s="30">
        <f>IFERROR((VLOOKUP($A3291,HeadJournal!$A$1:$K$890,COLUMN(HeadJournal!K$1),0)-VLOOKUP($A3291,HeadJournal!$A$1:$K$890,COLUMN(HeadJournal!J$1),0))*($K3291+$L3291)/(SUMIF($A:$A,$A3291,$K:$K)+SUMIF($A:$A,$A3291,$L:$L)),0)</f>
        <v>0</v>
      </c>
      <c r="O3291" s="30">
        <f>IFERROR((VLOOKUP($A3291,HeadJournal!$A$1:$L$890,COLUMN(HeadJournal!L$1),0)*($K3291+$L3291)/(SUMIF($A:$A,$A3291,$K:$K)+SUMIF($A:$A,$A3291,$L:$L)))/VLOOKUP($A3291,HeadJournal!$A$1:$L$890,COLUMN(HeadJournal!H$1),0),0)</f>
        <v>1.8379062433889963</v>
      </c>
      <c r="P3291" s="30">
        <f>IFERROR(SUM(K3291:O3291)*VLOOKUP($A3291,HeadJournal!$A$1:$L$890,COLUMN(HeadJournal!H$1),0),0)</f>
        <v>2412.9398489683049</v>
      </c>
      <c r="Q3291" s="29">
        <v>3200</v>
      </c>
      <c r="R3291" s="31">
        <v>45525</v>
      </c>
      <c r="S3291" s="31" t="s">
        <v>3121</v>
      </c>
      <c r="T3291" s="95" t="str">
        <f t="shared" si="263"/>
        <v>2024 08</v>
      </c>
      <c r="U3291" s="32">
        <f t="shared" si="260"/>
        <v>787.06015103169511</v>
      </c>
      <c r="V3291" s="22">
        <f t="shared" si="261"/>
        <v>0.32618307968522986</v>
      </c>
      <c r="X3291" s="33"/>
      <c r="Y3291" s="33"/>
    </row>
    <row r="3292" spans="1:25" x14ac:dyDescent="0.2">
      <c r="A3292" s="93" t="s">
        <v>1769</v>
      </c>
      <c r="B3292" s="94" t="str">
        <f>IFERROR(VLOOKUP($A3292,HeadJournal!$A$1:$NTR$890,COLUMN(HeadJournal!B$1),0),"")</f>
        <v>720000218371</v>
      </c>
      <c r="C3292" s="94" t="str">
        <f>IFERROR(VLOOKUP($A3292,HeadJournal!$A$1:$NTR$890,COLUMN(HeadJournal!C$1),0),"")</f>
        <v>iHerb_AV CYG0792</v>
      </c>
      <c r="D3292" s="125" t="str">
        <f>IFERROR(VLOOKUP($A3292,HeadJournal!$A$1:$NTR$890,COLUMN(HeadJournal!D$1),0),"")</f>
        <v>Доставлен</v>
      </c>
      <c r="E3292" s="95">
        <f>IFERROR(VLOOKUP($A3292,HeadJournal!$A$1:$NTR$890,COLUMN(HeadJournal!G$1),0),"")</f>
        <v>45411</v>
      </c>
      <c r="F3292" s="95" t="str">
        <f t="shared" si="262"/>
        <v>2024 04</v>
      </c>
      <c r="G3292" s="96" t="s">
        <v>5</v>
      </c>
      <c r="H3292" s="161" t="str">
        <f>RIGHT(Journal!$J3292,9)</f>
        <v>BLB-00735</v>
      </c>
      <c r="I3292" s="97" t="str">
        <f t="shared" si="259"/>
        <v>Bluebonnet Nutrition</v>
      </c>
      <c r="J3292" s="97" t="s">
        <v>1077</v>
      </c>
      <c r="K3292" s="29">
        <v>19.170000000000002</v>
      </c>
      <c r="L3292" s="29">
        <v>-3.83</v>
      </c>
      <c r="M3292" s="30">
        <f>IFERROR(VLOOKUP($A3292,HeadJournal!$A$1:$J$890,COLUMN(HeadJournal!I$1),0)*($K3292+$L3292)/(SUMIF($A:$A,$A3292,$K:$K)+SUMIF($A:$A,$A3292,$L:$L)),0)</f>
        <v>0</v>
      </c>
      <c r="N3292" s="30">
        <f>IFERROR((VLOOKUP($A3292,HeadJournal!$A$1:$K$890,COLUMN(HeadJournal!K$1),0)-VLOOKUP($A3292,HeadJournal!$A$1:$K$890,COLUMN(HeadJournal!J$1),0))*($K3292+$L3292)/(SUMIF($A:$A,$A3292,$K:$K)+SUMIF($A:$A,$A3292,$L:$L)),0)</f>
        <v>0</v>
      </c>
      <c r="O3292" s="30">
        <f>IFERROR((VLOOKUP($A3292,HeadJournal!$A$1:$L$890,COLUMN(HeadJournal!L$1),0)*($K3292+$L3292)/(SUMIF($A:$A,$A3292,$K:$K)+SUMIF($A:$A,$A3292,$L:$L)))/VLOOKUP($A3292,HeadJournal!$A$1:$L$890,COLUMN(HeadJournal!H$1),0),0)</f>
        <v>1.3137689549667848</v>
      </c>
      <c r="P3292" s="30">
        <f>IFERROR(SUM(K3292:O3292)*VLOOKUP($A3292,HeadJournal!$A$1:$L$890,COLUMN(HeadJournal!H$1),0),0)</f>
        <v>1724.8134801106148</v>
      </c>
      <c r="Q3292" s="29">
        <v>2600</v>
      </c>
      <c r="R3292" s="31">
        <v>45595</v>
      </c>
      <c r="S3292" s="31" t="s">
        <v>3121</v>
      </c>
      <c r="T3292" s="95" t="str">
        <f t="shared" si="263"/>
        <v>2024 10</v>
      </c>
      <c r="U3292" s="32">
        <f t="shared" si="260"/>
        <v>875.18651988938518</v>
      </c>
      <c r="V3292" s="22">
        <f t="shared" si="261"/>
        <v>0.50740936917611412</v>
      </c>
      <c r="X3292" s="33"/>
      <c r="Y3292" s="33"/>
    </row>
    <row r="3293" spans="1:25" x14ac:dyDescent="0.2">
      <c r="A3293" s="93" t="s">
        <v>1769</v>
      </c>
      <c r="B3293" s="94" t="str">
        <f>IFERROR(VLOOKUP($A3293,HeadJournal!$A$1:$NTR$890,COLUMN(HeadJournal!B$1),0),"")</f>
        <v>720000218371</v>
      </c>
      <c r="C3293" s="94" t="str">
        <f>IFERROR(VLOOKUP($A3293,HeadJournal!$A$1:$NTR$890,COLUMN(HeadJournal!C$1),0),"")</f>
        <v>iHerb_AV CYG0792</v>
      </c>
      <c r="D3293" s="125" t="str">
        <f>IFERROR(VLOOKUP($A3293,HeadJournal!$A$1:$NTR$890,COLUMN(HeadJournal!D$1),0),"")</f>
        <v>Доставлен</v>
      </c>
      <c r="E3293" s="95">
        <f>IFERROR(VLOOKUP($A3293,HeadJournal!$A$1:$NTR$890,COLUMN(HeadJournal!G$1),0),"")</f>
        <v>45411</v>
      </c>
      <c r="F3293" s="95" t="str">
        <f t="shared" si="262"/>
        <v>2024 04</v>
      </c>
      <c r="G3293" s="96" t="s">
        <v>5</v>
      </c>
      <c r="H3293" s="161" t="s">
        <v>2203</v>
      </c>
      <c r="I3293" s="97" t="s">
        <v>2166</v>
      </c>
      <c r="J3293" s="97" t="s">
        <v>4099</v>
      </c>
      <c r="K3293" s="29">
        <v>9.48</v>
      </c>
      <c r="L3293" s="29">
        <v>-1.9</v>
      </c>
      <c r="M3293" s="30">
        <f>IFERROR(VLOOKUP($A3293,HeadJournal!$A$1:$J$890,COLUMN(HeadJournal!I$1),0)*($K3293+$L3293)/(SUMIF($A:$A,$A3293,$K:$K)+SUMIF($A:$A,$A3293,$L:$L)),0)</f>
        <v>0</v>
      </c>
      <c r="N3293" s="30">
        <f>IFERROR((VLOOKUP($A3293,HeadJournal!$A$1:$K$890,COLUMN(HeadJournal!K$1),0)-VLOOKUP($A3293,HeadJournal!$A$1:$K$890,COLUMN(HeadJournal!J$1),0))*($K3293+$L3293)/(SUMIF($A:$A,$A3293,$K:$K)+SUMIF($A:$A,$A3293,$L:$L)),0)</f>
        <v>0</v>
      </c>
      <c r="O3293" s="30">
        <f>IFERROR((VLOOKUP($A3293,HeadJournal!$A$1:$L$890,COLUMN(HeadJournal!L$1),0)*($K3293+$L3293)/(SUMIF($A:$A,$A3293,$K:$K)+SUMIF($A:$A,$A3293,$L:$L)))/VLOOKUP($A3293,HeadJournal!$A$1:$L$890,COLUMN(HeadJournal!H$1),0),0)</f>
        <v>0.64917657618306579</v>
      </c>
      <c r="P3293" s="30">
        <f>IFERROR(SUM(K3293:O3293)*VLOOKUP($A3293,HeadJournal!$A$1:$L$890,COLUMN(HeadJournal!H$1),0),0)</f>
        <v>852.28723463092967</v>
      </c>
      <c r="Q3293" s="29">
        <v>1500</v>
      </c>
      <c r="R3293" s="31">
        <v>45472</v>
      </c>
      <c r="S3293" s="31" t="s">
        <v>3121</v>
      </c>
      <c r="T3293" s="95" t="str">
        <f t="shared" si="263"/>
        <v>2024 06</v>
      </c>
      <c r="U3293" s="32">
        <f t="shared" si="260"/>
        <v>647.71276536907033</v>
      </c>
      <c r="V3293" s="22">
        <f t="shared" si="261"/>
        <v>0.75997004184810146</v>
      </c>
      <c r="X3293" s="33"/>
      <c r="Y3293" s="33"/>
    </row>
    <row r="3294" spans="1:25" x14ac:dyDescent="0.2">
      <c r="A3294" s="93" t="s">
        <v>1769</v>
      </c>
      <c r="B3294" s="94" t="str">
        <f>IFERROR(VLOOKUP($A3294,HeadJournal!$A$1:$NTR$890,COLUMN(HeadJournal!B$1),0),"")</f>
        <v>720000218371</v>
      </c>
      <c r="C3294" s="94" t="str">
        <f>IFERROR(VLOOKUP($A3294,HeadJournal!$A$1:$NTR$890,COLUMN(HeadJournal!C$1),0),"")</f>
        <v>iHerb_AV CYG0792</v>
      </c>
      <c r="D3294" s="125" t="str">
        <f>IFERROR(VLOOKUP($A3294,HeadJournal!$A$1:$NTR$890,COLUMN(HeadJournal!D$1),0),"")</f>
        <v>Доставлен</v>
      </c>
      <c r="E3294" s="95">
        <f>IFERROR(VLOOKUP($A3294,HeadJournal!$A$1:$NTR$890,COLUMN(HeadJournal!G$1),0),"")</f>
        <v>45411</v>
      </c>
      <c r="F3294" s="95" t="str">
        <f t="shared" si="262"/>
        <v>2024 04</v>
      </c>
      <c r="G3294" s="96" t="s">
        <v>7</v>
      </c>
      <c r="H3294" s="161" t="str">
        <f>RIGHT(Journal!$J3294,9)</f>
        <v>JAS-10030</v>
      </c>
      <c r="I3294" s="97" t="str">
        <f t="shared" si="259"/>
        <v>Jason Natural</v>
      </c>
      <c r="J3294" s="97" t="s">
        <v>1768</v>
      </c>
      <c r="K3294" s="29">
        <v>15.33</v>
      </c>
      <c r="L3294" s="29">
        <v>-3.07</v>
      </c>
      <c r="M3294" s="30">
        <f>IFERROR(VLOOKUP($A3294,HeadJournal!$A$1:$J$890,COLUMN(HeadJournal!I$1),0)*($K3294+$L3294)/(SUMIF($A:$A,$A3294,$K:$K)+SUMIF($A:$A,$A3294,$L:$L)),0)</f>
        <v>0</v>
      </c>
      <c r="N3294" s="30">
        <f>IFERROR((VLOOKUP($A3294,HeadJournal!$A$1:$K$890,COLUMN(HeadJournal!K$1),0)-VLOOKUP($A3294,HeadJournal!$A$1:$K$890,COLUMN(HeadJournal!J$1),0))*($K3294+$L3294)/(SUMIF($A:$A,$A3294,$K:$K)+SUMIF($A:$A,$A3294,$L:$L)),0)</f>
        <v>0</v>
      </c>
      <c r="O3294" s="30">
        <f>IFERROR((VLOOKUP($A3294,HeadJournal!$A$1:$L$890,COLUMN(HeadJournal!L$1),0)*($K3294+$L3294)/(SUMIF($A:$A,$A3294,$K:$K)+SUMIF($A:$A,$A3294,$L:$L)))/VLOOKUP($A3294,HeadJournal!$A$1:$L$890,COLUMN(HeadJournal!H$1),0),0)</f>
        <v>1.0499874438000509</v>
      </c>
      <c r="P3294" s="30">
        <f>IFERROR(SUM(K3294:O3294)*VLOOKUP($A3294,HeadJournal!$A$1:$L$890,COLUMN(HeadJournal!H$1),0),0)</f>
        <v>1378.5015166985747</v>
      </c>
      <c r="Q3294" s="29"/>
      <c r="R3294" s="31"/>
      <c r="S3294" s="31"/>
      <c r="T3294" s="95" t="str">
        <f t="shared" si="263"/>
        <v/>
      </c>
      <c r="U3294" s="32">
        <f t="shared" si="260"/>
        <v>-1378.5015166985747</v>
      </c>
      <c r="V3294" s="22" t="str">
        <f t="shared" si="261"/>
        <v/>
      </c>
      <c r="X3294" s="33"/>
      <c r="Y3294" s="33"/>
    </row>
    <row r="3295" spans="1:25" x14ac:dyDescent="0.2">
      <c r="A3295" s="93" t="s">
        <v>1769</v>
      </c>
      <c r="B3295" s="94" t="str">
        <f>IFERROR(VLOOKUP($A3295,HeadJournal!$A$1:$NTR$890,COLUMN(HeadJournal!B$1),0),"")</f>
        <v>720000218371</v>
      </c>
      <c r="C3295" s="94" t="str">
        <f>IFERROR(VLOOKUP($A3295,HeadJournal!$A$1:$NTR$890,COLUMN(HeadJournal!C$1),0),"")</f>
        <v>iHerb_AV CYG0792</v>
      </c>
      <c r="D3295" s="125" t="str">
        <f>IFERROR(VLOOKUP($A3295,HeadJournal!$A$1:$NTR$890,COLUMN(HeadJournal!D$1),0),"")</f>
        <v>Доставлен</v>
      </c>
      <c r="E3295" s="95">
        <f>IFERROR(VLOOKUP($A3295,HeadJournal!$A$1:$NTR$890,COLUMN(HeadJournal!G$1),0),"")</f>
        <v>45411</v>
      </c>
      <c r="F3295" s="95" t="str">
        <f t="shared" si="262"/>
        <v>2024 04</v>
      </c>
      <c r="G3295" s="96" t="s">
        <v>7</v>
      </c>
      <c r="H3295" s="161" t="s">
        <v>2673</v>
      </c>
      <c r="I3295" s="97" t="s">
        <v>2674</v>
      </c>
      <c r="J3295" s="97" t="s">
        <v>2675</v>
      </c>
      <c r="K3295" s="29">
        <v>10.81</v>
      </c>
      <c r="L3295" s="29">
        <v>-2.16</v>
      </c>
      <c r="M3295" s="30">
        <f>IFERROR(VLOOKUP($A3295,HeadJournal!$A$1:$J$890,COLUMN(HeadJournal!I$1),0)*($K3295+$L3295)/(SUMIF($A:$A,$A3295,$K:$K)+SUMIF($A:$A,$A3295,$L:$L)),0)</f>
        <v>0</v>
      </c>
      <c r="N3295" s="30">
        <f>IFERROR((VLOOKUP($A3295,HeadJournal!$A$1:$K$890,COLUMN(HeadJournal!K$1),0)-VLOOKUP($A3295,HeadJournal!$A$1:$K$890,COLUMN(HeadJournal!J$1),0))*($K3295+$L3295)/(SUMIF($A:$A,$A3295,$K:$K)+SUMIF($A:$A,$A3295,$L:$L)),0)</f>
        <v>0</v>
      </c>
      <c r="O3295" s="30">
        <f>IFERROR((VLOOKUP($A3295,HeadJournal!$A$1:$L$890,COLUMN(HeadJournal!L$1),0)*($K3295+$L3295)/(SUMIF($A:$A,$A3295,$K:$K)+SUMIF($A:$A,$A3295,$L:$L)))/VLOOKUP($A3295,HeadJournal!$A$1:$L$890,COLUMN(HeadJournal!H$1),0),0)</f>
        <v>0.74081495830917143</v>
      </c>
      <c r="P3295" s="30">
        <f>IFERROR(SUM(K3295:O3295)*VLOOKUP($A3295,HeadJournal!$A$1:$L$890,COLUMN(HeadJournal!H$1),0),0)</f>
        <v>972.59691023186554</v>
      </c>
      <c r="Q3295" s="29"/>
      <c r="R3295" s="31"/>
      <c r="S3295" s="31"/>
      <c r="T3295" s="95" t="str">
        <f t="shared" si="263"/>
        <v/>
      </c>
      <c r="U3295" s="32">
        <f t="shared" si="260"/>
        <v>-972.59691023186554</v>
      </c>
      <c r="V3295" s="22" t="str">
        <f t="shared" si="261"/>
        <v/>
      </c>
      <c r="X3295" s="33"/>
      <c r="Y3295" s="33"/>
    </row>
    <row r="3296" spans="1:25" x14ac:dyDescent="0.2">
      <c r="A3296" s="93" t="s">
        <v>1769</v>
      </c>
      <c r="B3296" s="94" t="str">
        <f>IFERROR(VLOOKUP($A3296,HeadJournal!$A$1:$NTR$890,COLUMN(HeadJournal!B$1),0),"")</f>
        <v>720000218371</v>
      </c>
      <c r="C3296" s="94" t="str">
        <f>IFERROR(VLOOKUP($A3296,HeadJournal!$A$1:$NTR$890,COLUMN(HeadJournal!C$1),0),"")</f>
        <v>iHerb_AV CYG0792</v>
      </c>
      <c r="D3296" s="125" t="str">
        <f>IFERROR(VLOOKUP($A3296,HeadJournal!$A$1:$NTR$890,COLUMN(HeadJournal!D$1),0),"")</f>
        <v>Доставлен</v>
      </c>
      <c r="E3296" s="95">
        <f>IFERROR(VLOOKUP($A3296,HeadJournal!$A$1:$NTR$890,COLUMN(HeadJournal!G$1),0),"")</f>
        <v>45411</v>
      </c>
      <c r="F3296" s="95" t="str">
        <f t="shared" si="262"/>
        <v>2024 04</v>
      </c>
      <c r="G3296" s="96" t="s">
        <v>7</v>
      </c>
      <c r="H3296" s="161" t="str">
        <f>RIGHT(Journal!$J3296,9)</f>
        <v>AXE-26094</v>
      </c>
      <c r="I3296" s="97" t="str">
        <f t="shared" si="259"/>
        <v>Axe</v>
      </c>
      <c r="J3296" s="97" t="s">
        <v>1771</v>
      </c>
      <c r="K3296" s="29">
        <v>7.24</v>
      </c>
      <c r="L3296" s="29">
        <v>-1.45</v>
      </c>
      <c r="M3296" s="30">
        <f>IFERROR(VLOOKUP($A3296,HeadJournal!$A$1:$J$890,COLUMN(HeadJournal!I$1),0)*($K3296+$L3296)/(SUMIF($A:$A,$A3296,$K:$K)+SUMIF($A:$A,$A3296,$L:$L)),0)</f>
        <v>0</v>
      </c>
      <c r="N3296" s="30">
        <f>IFERROR((VLOOKUP($A3296,HeadJournal!$A$1:$K$890,COLUMN(HeadJournal!K$1),0)-VLOOKUP($A3296,HeadJournal!$A$1:$K$890,COLUMN(HeadJournal!J$1),0))*($K3296+$L3296)/(SUMIF($A:$A,$A3296,$K:$K)+SUMIF($A:$A,$A3296,$L:$L)),0)</f>
        <v>0</v>
      </c>
      <c r="O3296" s="30">
        <f>IFERROR((VLOOKUP($A3296,HeadJournal!$A$1:$L$890,COLUMN(HeadJournal!L$1),0)*($K3296+$L3296)/(SUMIF($A:$A,$A3296,$K:$K)+SUMIF($A:$A,$A3296,$L:$L)))/VLOOKUP($A3296,HeadJournal!$A$1:$L$890,COLUMN(HeadJournal!H$1),0),0)</f>
        <v>0.49587498365434707</v>
      </c>
      <c r="P3296" s="30">
        <f>IFERROR(SUM(K3296:O3296)*VLOOKUP($A3296,HeadJournal!$A$1:$L$890,COLUMN(HeadJournal!H$1),0),0)</f>
        <v>651.02151563497125</v>
      </c>
      <c r="Q3296" s="29"/>
      <c r="R3296" s="31"/>
      <c r="S3296" s="31"/>
      <c r="T3296" s="95" t="str">
        <f t="shared" si="263"/>
        <v/>
      </c>
      <c r="U3296" s="32">
        <f t="shared" si="260"/>
        <v>-651.02151563497125</v>
      </c>
      <c r="V3296" s="22" t="str">
        <f t="shared" si="261"/>
        <v/>
      </c>
      <c r="X3296" s="33"/>
      <c r="Y3296" s="33"/>
    </row>
    <row r="3297" spans="1:25" x14ac:dyDescent="0.2">
      <c r="A3297" s="93" t="s">
        <v>1769</v>
      </c>
      <c r="B3297" s="94" t="str">
        <f>IFERROR(VLOOKUP($A3297,HeadJournal!$A$1:$NTR$890,COLUMN(HeadJournal!B$1),0),"")</f>
        <v>720000218371</v>
      </c>
      <c r="C3297" s="94" t="str">
        <f>IFERROR(VLOOKUP($A3297,HeadJournal!$A$1:$NTR$890,COLUMN(HeadJournal!C$1),0),"")</f>
        <v>iHerb_AV CYG0792</v>
      </c>
      <c r="D3297" s="125" t="str">
        <f>IFERROR(VLOOKUP($A3297,HeadJournal!$A$1:$NTR$890,COLUMN(HeadJournal!D$1),0),"")</f>
        <v>Доставлен</v>
      </c>
      <c r="E3297" s="95">
        <f>IFERROR(VLOOKUP($A3297,HeadJournal!$A$1:$NTR$890,COLUMN(HeadJournal!G$1),0),"")</f>
        <v>45411</v>
      </c>
      <c r="F3297" s="95" t="str">
        <f t="shared" si="262"/>
        <v>2024 04</v>
      </c>
      <c r="G3297" s="96" t="s">
        <v>7</v>
      </c>
      <c r="H3297" s="161" t="str">
        <f>RIGHT(Journal!$J3297,9)</f>
        <v>AXE-04040</v>
      </c>
      <c r="I3297" s="97" t="str">
        <f t="shared" si="259"/>
        <v>Axe</v>
      </c>
      <c r="J3297" s="97" t="s">
        <v>1772</v>
      </c>
      <c r="K3297" s="29">
        <v>7.3</v>
      </c>
      <c r="L3297" s="29">
        <v>-1.46</v>
      </c>
      <c r="M3297" s="30">
        <f>IFERROR(VLOOKUP($A3297,HeadJournal!$A$1:$J$890,COLUMN(HeadJournal!I$1),0)*($K3297+$L3297)/(SUMIF($A:$A,$A3297,$K:$K)+SUMIF($A:$A,$A3297,$L:$L)),0)</f>
        <v>0</v>
      </c>
      <c r="N3297" s="30">
        <f>IFERROR((VLOOKUP($A3297,HeadJournal!$A$1:$K$890,COLUMN(HeadJournal!K$1),0)-VLOOKUP($A3297,HeadJournal!$A$1:$K$890,COLUMN(HeadJournal!J$1),0))*($K3297+$L3297)/(SUMIF($A:$A,$A3297,$K:$K)+SUMIF($A:$A,$A3297,$L:$L)),0)</f>
        <v>0</v>
      </c>
      <c r="O3297" s="30">
        <f>IFERROR((VLOOKUP($A3297,HeadJournal!$A$1:$L$890,COLUMN(HeadJournal!L$1),0)*($K3297+$L3297)/(SUMIF($A:$A,$A3297,$K:$K)+SUMIF($A:$A,$A3297,$L:$L)))/VLOOKUP($A3297,HeadJournal!$A$1:$L$890,COLUMN(HeadJournal!H$1),0),0)</f>
        <v>0.5001571510434174</v>
      </c>
      <c r="P3297" s="30">
        <f>IFERROR(SUM(K3297:O3297)*VLOOKUP($A3297,HeadJournal!$A$1:$L$890,COLUMN(HeadJournal!H$1),0),0)</f>
        <v>656.643463092959</v>
      </c>
      <c r="Q3297" s="29"/>
      <c r="R3297" s="31"/>
      <c r="S3297" s="31"/>
      <c r="T3297" s="95" t="str">
        <f t="shared" si="263"/>
        <v/>
      </c>
      <c r="U3297" s="32">
        <f t="shared" si="260"/>
        <v>-656.643463092959</v>
      </c>
      <c r="V3297" s="22" t="str">
        <f t="shared" si="261"/>
        <v/>
      </c>
      <c r="X3297" s="33"/>
      <c r="Y3297" s="33"/>
    </row>
    <row r="3298" spans="1:25" x14ac:dyDescent="0.2">
      <c r="A3298" s="93" t="s">
        <v>1769</v>
      </c>
      <c r="B3298" s="94" t="str">
        <f>IFERROR(VLOOKUP($A3298,HeadJournal!$A$1:$NTR$890,COLUMN(HeadJournal!B$1),0),"")</f>
        <v>720000218371</v>
      </c>
      <c r="C3298" s="94" t="str">
        <f>IFERROR(VLOOKUP($A3298,HeadJournal!$A$1:$NTR$890,COLUMN(HeadJournal!C$1),0),"")</f>
        <v>iHerb_AV CYG0792</v>
      </c>
      <c r="D3298" s="125" t="str">
        <f>IFERROR(VLOOKUP($A3298,HeadJournal!$A$1:$NTR$890,COLUMN(HeadJournal!D$1),0),"")</f>
        <v>Доставлен</v>
      </c>
      <c r="E3298" s="95">
        <f>IFERROR(VLOOKUP($A3298,HeadJournal!$A$1:$NTR$890,COLUMN(HeadJournal!G$1),0),"")</f>
        <v>45411</v>
      </c>
      <c r="F3298" s="95" t="str">
        <f t="shared" si="262"/>
        <v>2024 04</v>
      </c>
      <c r="G3298" s="96" t="s">
        <v>7</v>
      </c>
      <c r="H3298" s="161" t="str">
        <f>RIGHT(Journal!$J3298,9)</f>
        <v>YTH-01970</v>
      </c>
      <c r="I3298" s="97" t="str">
        <f t="shared" si="259"/>
        <v>Yeouth</v>
      </c>
      <c r="J3298" s="97" t="s">
        <v>1773</v>
      </c>
      <c r="K3298" s="29">
        <v>2.2400000000000002</v>
      </c>
      <c r="L3298" s="29">
        <v>-1.24</v>
      </c>
      <c r="M3298" s="30">
        <f>IFERROR(VLOOKUP($A3298,HeadJournal!$A$1:$J$890,COLUMN(HeadJournal!I$1),0)*($K3298+$L3298)/(SUMIF($A:$A,$A3298,$K:$K)+SUMIF($A:$A,$A3298,$L:$L)),0)</f>
        <v>0</v>
      </c>
      <c r="N3298" s="30">
        <f>IFERROR((VLOOKUP($A3298,HeadJournal!$A$1:$K$890,COLUMN(HeadJournal!K$1),0)-VLOOKUP($A3298,HeadJournal!$A$1:$K$890,COLUMN(HeadJournal!J$1),0))*($K3298+$L3298)/(SUMIF($A:$A,$A3298,$K:$K)+SUMIF($A:$A,$A3298,$L:$L)),0)</f>
        <v>0</v>
      </c>
      <c r="O3298" s="30">
        <f>IFERROR((VLOOKUP($A3298,HeadJournal!$A$1:$L$890,COLUMN(HeadJournal!L$1),0)*($K3298+$L3298)/(SUMIF($A:$A,$A3298,$K:$K)+SUMIF($A:$A,$A3298,$L:$L)))/VLOOKUP($A3298,HeadJournal!$A$1:$L$890,COLUMN(HeadJournal!H$1),0),0)</f>
        <v>8.56433477814071E-2</v>
      </c>
      <c r="P3298" s="30">
        <f>IFERROR(SUM(K3298:O3298)*VLOOKUP($A3298,HeadJournal!$A$1:$L$890,COLUMN(HeadJournal!H$1),0),0)</f>
        <v>112.43894915975328</v>
      </c>
      <c r="Q3298" s="29"/>
      <c r="R3298" s="31"/>
      <c r="S3298" s="31"/>
      <c r="T3298" s="95" t="str">
        <f t="shared" si="263"/>
        <v/>
      </c>
      <c r="U3298" s="32">
        <f t="shared" si="260"/>
        <v>-112.43894915975328</v>
      </c>
      <c r="V3298" s="22" t="str">
        <f t="shared" si="261"/>
        <v/>
      </c>
      <c r="X3298" s="33"/>
      <c r="Y3298" s="33"/>
    </row>
    <row r="3299" spans="1:25" x14ac:dyDescent="0.2">
      <c r="A3299" s="93" t="s">
        <v>1769</v>
      </c>
      <c r="B3299" s="94" t="str">
        <f>IFERROR(VLOOKUP($A3299,HeadJournal!$A$1:$NTR$890,COLUMN(HeadJournal!B$1),0),"")</f>
        <v>720000218371</v>
      </c>
      <c r="C3299" s="94" t="str">
        <f>IFERROR(VLOOKUP($A3299,HeadJournal!$A$1:$NTR$890,COLUMN(HeadJournal!C$1),0),"")</f>
        <v>iHerb_AV CYG0792</v>
      </c>
      <c r="D3299" s="125" t="str">
        <f>IFERROR(VLOOKUP($A3299,HeadJournal!$A$1:$NTR$890,COLUMN(HeadJournal!D$1),0),"")</f>
        <v>Доставлен</v>
      </c>
      <c r="E3299" s="95">
        <f>IFERROR(VLOOKUP($A3299,HeadJournal!$A$1:$NTR$890,COLUMN(HeadJournal!G$1),0),"")</f>
        <v>45411</v>
      </c>
      <c r="F3299" s="95" t="str">
        <f t="shared" si="262"/>
        <v>2024 04</v>
      </c>
      <c r="G3299" s="96" t="s">
        <v>5</v>
      </c>
      <c r="H3299" s="161" t="s">
        <v>2196</v>
      </c>
      <c r="I3299" s="97" t="s">
        <v>2006</v>
      </c>
      <c r="J3299" s="97" t="s">
        <v>2197</v>
      </c>
      <c r="K3299" s="29">
        <v>17.21</v>
      </c>
      <c r="L3299" s="29">
        <v>-3.44</v>
      </c>
      <c r="M3299" s="30">
        <f>IFERROR(VLOOKUP($A3299,HeadJournal!$A$1:$J$890,COLUMN(HeadJournal!I$1),0)*($K3299+$L3299)/(SUMIF($A:$A,$A3299,$K:$K)+SUMIF($A:$A,$A3299,$L:$L)),0)</f>
        <v>0</v>
      </c>
      <c r="N3299" s="30">
        <f>IFERROR((VLOOKUP($A3299,HeadJournal!$A$1:$K$890,COLUMN(HeadJournal!K$1),0)-VLOOKUP($A3299,HeadJournal!$A$1:$K$890,COLUMN(HeadJournal!J$1),0))*($K3299+$L3299)/(SUMIF($A:$A,$A3299,$K:$K)+SUMIF($A:$A,$A3299,$L:$L)),0)</f>
        <v>0</v>
      </c>
      <c r="O3299" s="30">
        <f>IFERROR((VLOOKUP($A3299,HeadJournal!$A$1:$L$890,COLUMN(HeadJournal!L$1),0)*($K3299+$L3299)/(SUMIF($A:$A,$A3299,$K:$K)+SUMIF($A:$A,$A3299,$L:$L)))/VLOOKUP($A3299,HeadJournal!$A$1:$L$890,COLUMN(HeadJournal!H$1),0),0)</f>
        <v>1.1793088989499758</v>
      </c>
      <c r="P3299" s="30">
        <f>IFERROR(SUM(K3299:O3299)*VLOOKUP($A3299,HeadJournal!$A$1:$L$890,COLUMN(HeadJournal!H$1),0),0)</f>
        <v>1548.2843299298024</v>
      </c>
      <c r="Q3299" s="29">
        <v>2500</v>
      </c>
      <c r="R3299" s="31">
        <v>45454</v>
      </c>
      <c r="S3299" s="31" t="s">
        <v>3121</v>
      </c>
      <c r="T3299" s="95" t="str">
        <f t="shared" si="263"/>
        <v>2024 06</v>
      </c>
      <c r="U3299" s="32">
        <f t="shared" si="260"/>
        <v>951.71567007019758</v>
      </c>
      <c r="V3299" s="22">
        <f t="shared" si="261"/>
        <v>0.61469050075146558</v>
      </c>
      <c r="X3299" s="33"/>
      <c r="Y3299" s="33"/>
    </row>
    <row r="3300" spans="1:25" x14ac:dyDescent="0.2">
      <c r="A3300" s="93" t="s">
        <v>1769</v>
      </c>
      <c r="B3300" s="94" t="str">
        <f>IFERROR(VLOOKUP($A3300,HeadJournal!$A$1:$NTR$890,COLUMN(HeadJournal!B$1),0),"")</f>
        <v>720000218371</v>
      </c>
      <c r="C3300" s="94" t="str">
        <f>IFERROR(VLOOKUP($A3300,HeadJournal!$A$1:$NTR$890,COLUMN(HeadJournal!C$1),0),"")</f>
        <v>iHerb_AV CYG0792</v>
      </c>
      <c r="D3300" s="125" t="str">
        <f>IFERROR(VLOOKUP($A3300,HeadJournal!$A$1:$NTR$890,COLUMN(HeadJournal!D$1),0),"")</f>
        <v>Доставлен</v>
      </c>
      <c r="E3300" s="95">
        <f>IFERROR(VLOOKUP($A3300,HeadJournal!$A$1:$NTR$890,COLUMN(HeadJournal!G$1),0),"")</f>
        <v>45411</v>
      </c>
      <c r="F3300" s="95" t="str">
        <f t="shared" si="262"/>
        <v>2024 04</v>
      </c>
      <c r="G3300" s="96" t="s">
        <v>5</v>
      </c>
      <c r="H3300" s="161" t="s">
        <v>2018</v>
      </c>
      <c r="I3300" s="97" t="s">
        <v>2005</v>
      </c>
      <c r="J3300" s="97" t="s">
        <v>2019</v>
      </c>
      <c r="K3300" s="29">
        <v>21.9</v>
      </c>
      <c r="L3300" s="29">
        <v>-4.38</v>
      </c>
      <c r="M3300" s="30">
        <f>IFERROR(VLOOKUP($A3300,HeadJournal!$A$1:$J$890,COLUMN(HeadJournal!I$1),0)*($K3300+$L3300)/(SUMIF($A:$A,$A3300,$K:$K)+SUMIF($A:$A,$A3300,$L:$L)),0)</f>
        <v>0</v>
      </c>
      <c r="N3300" s="30">
        <f>IFERROR((VLOOKUP($A3300,HeadJournal!$A$1:$K$890,COLUMN(HeadJournal!K$1),0)-VLOOKUP($A3300,HeadJournal!$A$1:$K$890,COLUMN(HeadJournal!J$1),0))*($K3300+$L3300)/(SUMIF($A:$A,$A3300,$K:$K)+SUMIF($A:$A,$A3300,$L:$L)),0)</f>
        <v>0</v>
      </c>
      <c r="O3300" s="30">
        <f>IFERROR((VLOOKUP($A3300,HeadJournal!$A$1:$L$890,COLUMN(HeadJournal!L$1),0)*($K3300+$L3300)/(SUMIF($A:$A,$A3300,$K:$K)+SUMIF($A:$A,$A3300,$L:$L)))/VLOOKUP($A3300,HeadJournal!$A$1:$L$890,COLUMN(HeadJournal!H$1),0),0)</f>
        <v>1.5004714531302523</v>
      </c>
      <c r="P3300" s="30">
        <f>IFERROR(SUM(K3300:O3300)*VLOOKUP($A3300,HeadJournal!$A$1:$L$890,COLUMN(HeadJournal!H$1),0),0)</f>
        <v>1969.9303892788769</v>
      </c>
      <c r="Q3300" s="29">
        <v>2700</v>
      </c>
      <c r="R3300" s="31">
        <v>45447</v>
      </c>
      <c r="S3300" s="31" t="s">
        <v>3121</v>
      </c>
      <c r="T3300" s="95" t="str">
        <f t="shared" si="263"/>
        <v>2024 06</v>
      </c>
      <c r="U3300" s="32">
        <f t="shared" si="260"/>
        <v>730.06961072112313</v>
      </c>
      <c r="V3300" s="22">
        <f t="shared" si="261"/>
        <v>0.37060680656252848</v>
      </c>
      <c r="X3300" s="33"/>
      <c r="Y3300" s="33"/>
    </row>
    <row r="3301" spans="1:25" x14ac:dyDescent="0.2">
      <c r="A3301" s="93" t="s">
        <v>1769</v>
      </c>
      <c r="B3301" s="94" t="str">
        <f>IFERROR(VLOOKUP($A3301,HeadJournal!$A$1:$NTR$890,COLUMN(HeadJournal!B$1),0),"")</f>
        <v>720000218371</v>
      </c>
      <c r="C3301" s="94" t="str">
        <f>IFERROR(VLOOKUP($A3301,HeadJournal!$A$1:$NTR$890,COLUMN(HeadJournal!C$1),0),"")</f>
        <v>iHerb_AV CYG0792</v>
      </c>
      <c r="D3301" s="125" t="str">
        <f>IFERROR(VLOOKUP($A3301,HeadJournal!$A$1:$NTR$890,COLUMN(HeadJournal!D$1),0),"")</f>
        <v>Доставлен</v>
      </c>
      <c r="E3301" s="95">
        <f>IFERROR(VLOOKUP($A3301,HeadJournal!$A$1:$NTR$890,COLUMN(HeadJournal!G$1),0),"")</f>
        <v>45411</v>
      </c>
      <c r="F3301" s="95" t="str">
        <f t="shared" si="262"/>
        <v>2024 04</v>
      </c>
      <c r="G3301" s="96" t="s">
        <v>5</v>
      </c>
      <c r="H3301" s="161" t="s">
        <v>2022</v>
      </c>
      <c r="I3301" s="97" t="s">
        <v>2005</v>
      </c>
      <c r="J3301" s="97" t="s">
        <v>2023</v>
      </c>
      <c r="K3301" s="29">
        <v>27.38</v>
      </c>
      <c r="L3301" s="29">
        <v>-5.48</v>
      </c>
      <c r="M3301" s="30">
        <f>IFERROR(VLOOKUP($A3301,HeadJournal!$A$1:$J$890,COLUMN(HeadJournal!I$1),0)*($K3301+$L3301)/(SUMIF($A:$A,$A3301,$K:$K)+SUMIF($A:$A,$A3301,$L:$L)),0)</f>
        <v>0</v>
      </c>
      <c r="N3301" s="30">
        <f>IFERROR((VLOOKUP($A3301,HeadJournal!$A$1:$K$890,COLUMN(HeadJournal!K$1),0)-VLOOKUP($A3301,HeadJournal!$A$1:$K$890,COLUMN(HeadJournal!J$1),0))*($K3301+$L3301)/(SUMIF($A:$A,$A3301,$K:$K)+SUMIF($A:$A,$A3301,$L:$L)),0)</f>
        <v>0</v>
      </c>
      <c r="O3301" s="30">
        <f>IFERROR((VLOOKUP($A3301,HeadJournal!$A$1:$L$890,COLUMN(HeadJournal!L$1),0)*($K3301+$L3301)/(SUMIF($A:$A,$A3301,$K:$K)+SUMIF($A:$A,$A3301,$L:$L)))/VLOOKUP($A3301,HeadJournal!$A$1:$L$890,COLUMN(HeadJournal!H$1),0),0)</f>
        <v>1.8755893164128152</v>
      </c>
      <c r="P3301" s="30">
        <f>IFERROR(SUM(K3301:O3301)*VLOOKUP($A3301,HeadJournal!$A$1:$L$890,COLUMN(HeadJournal!H$1),0),0)</f>
        <v>2462.412986598596</v>
      </c>
      <c r="Q3301" s="29">
        <v>3100</v>
      </c>
      <c r="R3301" s="31">
        <v>45507</v>
      </c>
      <c r="S3301" s="31" t="s">
        <v>3121</v>
      </c>
      <c r="T3301" s="95" t="str">
        <f t="shared" si="263"/>
        <v>2024 08</v>
      </c>
      <c r="U3301" s="32">
        <f t="shared" si="260"/>
        <v>637.58701340140396</v>
      </c>
      <c r="V3301" s="22">
        <f t="shared" si="261"/>
        <v>0.25892773343521136</v>
      </c>
      <c r="X3301" s="33"/>
      <c r="Y3301" s="33"/>
    </row>
    <row r="3302" spans="1:25" x14ac:dyDescent="0.2">
      <c r="A3302" s="93" t="s">
        <v>1769</v>
      </c>
      <c r="B3302" s="94" t="str">
        <f>IFERROR(VLOOKUP($A3302,HeadJournal!$A$1:$NTR$890,COLUMN(HeadJournal!B$1),0),"")</f>
        <v>720000218371</v>
      </c>
      <c r="C3302" s="94" t="str">
        <f>IFERROR(VLOOKUP($A3302,HeadJournal!$A$1:$NTR$890,COLUMN(HeadJournal!C$1),0),"")</f>
        <v>iHerb_AV CYG0792</v>
      </c>
      <c r="D3302" s="125" t="str">
        <f>IFERROR(VLOOKUP($A3302,HeadJournal!$A$1:$NTR$890,COLUMN(HeadJournal!D$1),0),"")</f>
        <v>Доставлен</v>
      </c>
      <c r="E3302" s="95">
        <f>IFERROR(VLOOKUP($A3302,HeadJournal!$A$1:$NTR$890,COLUMN(HeadJournal!G$1),0),"")</f>
        <v>45411</v>
      </c>
      <c r="F3302" s="95" t="str">
        <f t="shared" si="262"/>
        <v>2024 04</v>
      </c>
      <c r="G3302" s="96" t="s">
        <v>5</v>
      </c>
      <c r="H3302" s="161" t="s">
        <v>2896</v>
      </c>
      <c r="I3302" s="97" t="s">
        <v>2666</v>
      </c>
      <c r="J3302" s="97" t="s">
        <v>2897</v>
      </c>
      <c r="K3302" s="29">
        <v>12.4</v>
      </c>
      <c r="L3302" s="29">
        <v>-2.48</v>
      </c>
      <c r="M3302" s="30">
        <f>IFERROR(VLOOKUP($A3302,HeadJournal!$A$1:$J$890,COLUMN(HeadJournal!I$1),0)*($K3302+$L3302)/(SUMIF($A:$A,$A3302,$K:$K)+SUMIF($A:$A,$A3302,$L:$L)),0)</f>
        <v>0</v>
      </c>
      <c r="N3302" s="30">
        <f>IFERROR((VLOOKUP($A3302,HeadJournal!$A$1:$K$890,COLUMN(HeadJournal!K$1),0)-VLOOKUP($A3302,HeadJournal!$A$1:$K$890,COLUMN(HeadJournal!J$1),0))*($K3302+$L3302)/(SUMIF($A:$A,$A3302,$K:$K)+SUMIF($A:$A,$A3302,$L:$L)),0)</f>
        <v>0</v>
      </c>
      <c r="O3302" s="30">
        <f>IFERROR((VLOOKUP($A3302,HeadJournal!$A$1:$L$890,COLUMN(HeadJournal!L$1),0)*($K3302+$L3302)/(SUMIF($A:$A,$A3302,$K:$K)+SUMIF($A:$A,$A3302,$L:$L)))/VLOOKUP($A3302,HeadJournal!$A$1:$L$890,COLUMN(HeadJournal!H$1),0),0)</f>
        <v>0.84958200999155842</v>
      </c>
      <c r="P3302" s="30">
        <f>IFERROR(SUM(K3302:O3302)*VLOOKUP($A3302,HeadJournal!$A$1:$L$890,COLUMN(HeadJournal!H$1),0),0)</f>
        <v>1115.394375664752</v>
      </c>
      <c r="Q3302" s="29">
        <v>2000</v>
      </c>
      <c r="R3302" s="31">
        <v>45640</v>
      </c>
      <c r="S3302" s="31" t="s">
        <v>3121</v>
      </c>
      <c r="T3302" s="95" t="str">
        <f t="shared" si="263"/>
        <v>2024 12</v>
      </c>
      <c r="U3302" s="32">
        <f t="shared" si="260"/>
        <v>884.60562433524797</v>
      </c>
      <c r="V3302" s="22">
        <f t="shared" si="261"/>
        <v>0.7930877576893296</v>
      </c>
      <c r="X3302" s="33"/>
      <c r="Y3302" s="33"/>
    </row>
    <row r="3303" spans="1:25" x14ac:dyDescent="0.2">
      <c r="A3303" s="93" t="s">
        <v>1774</v>
      </c>
      <c r="B3303" s="94" t="str">
        <f>IFERROR(VLOOKUP($A3303,HeadJournal!$A$1:$NTR$890,COLUMN(HeadJournal!B$1),0),"")</f>
        <v>720000216299</v>
      </c>
      <c r="C3303" s="94" t="str">
        <f>IFERROR(VLOOKUP($A3303,HeadJournal!$A$1:$NTR$890,COLUMN(HeadJournal!C$1),0),"")</f>
        <v>iHerb_OA CZN6870</v>
      </c>
      <c r="D3303" s="125" t="str">
        <f>IFERROR(VLOOKUP($A3303,HeadJournal!$A$1:$NTR$890,COLUMN(HeadJournal!D$1),0),"")</f>
        <v>Доставлен</v>
      </c>
      <c r="E3303" s="95">
        <f>IFERROR(VLOOKUP($A3303,HeadJournal!$A$1:$NTR$890,COLUMN(HeadJournal!G$1),0),"")</f>
        <v>45410</v>
      </c>
      <c r="F3303" s="95" t="str">
        <f t="shared" si="262"/>
        <v>2024 04</v>
      </c>
      <c r="G3303" s="96" t="s">
        <v>5</v>
      </c>
      <c r="H3303" s="161" t="s">
        <v>2196</v>
      </c>
      <c r="I3303" s="97" t="s">
        <v>2006</v>
      </c>
      <c r="J3303" s="97" t="s">
        <v>2197</v>
      </c>
      <c r="K3303" s="29">
        <v>17.21</v>
      </c>
      <c r="L3303" s="29">
        <v>-3.4433333333333334</v>
      </c>
      <c r="M3303" s="30">
        <f>IFERROR(VLOOKUP($A3303,HeadJournal!$A$1:$J$890,COLUMN(HeadJournal!I$1),0)*($K3303+$L3303)/(SUMIF($A:$A,$A3303,$K:$K)+SUMIF($A:$A,$A3303,$L:$L)),0)</f>
        <v>-0.28285733853845629</v>
      </c>
      <c r="N3303" s="30">
        <f>IFERROR((VLOOKUP($A3303,HeadJournal!$A$1:$K$890,COLUMN(HeadJournal!K$1),0)-VLOOKUP($A3303,HeadJournal!$A$1:$K$890,COLUMN(HeadJournal!J$1),0))*($K3303+$L3303)/(SUMIF($A:$A,$A3303,$K:$K)+SUMIF($A:$A,$A3303,$L:$L)),0)</f>
        <v>2.0098222715493555E-15</v>
      </c>
      <c r="O3303" s="30">
        <f>IFERROR((VLOOKUP($A3303,HeadJournal!$A$1:$L$890,COLUMN(HeadJournal!L$1),0)*($K3303+$L3303)/(SUMIF($A:$A,$A3303,$K:$K)+SUMIF($A:$A,$A3303,$L:$L)))/VLOOKUP($A3303,HeadJournal!$A$1:$L$890,COLUMN(HeadJournal!H$1),0),0)</f>
        <v>0.85245261235769298</v>
      </c>
      <c r="P3303" s="30">
        <f>IFERROR(SUM(K3303:O3303)*VLOOKUP($A3303,HeadJournal!$A$1:$L$890,COLUMN(HeadJournal!H$1),0),0)</f>
        <v>1487.6743827477574</v>
      </c>
      <c r="Q3303" s="29">
        <v>2500</v>
      </c>
      <c r="R3303" s="31">
        <v>45462</v>
      </c>
      <c r="S3303" s="31" t="s">
        <v>3121</v>
      </c>
      <c r="T3303" s="95" t="str">
        <f t="shared" si="263"/>
        <v>2024 06</v>
      </c>
      <c r="U3303" s="32">
        <f t="shared" si="260"/>
        <v>1012.3256172522426</v>
      </c>
      <c r="V3303" s="22">
        <f t="shared" si="261"/>
        <v>0.68047526326457386</v>
      </c>
      <c r="X3303" s="33"/>
      <c r="Y3303" s="33"/>
    </row>
    <row r="3304" spans="1:25" x14ac:dyDescent="0.2">
      <c r="A3304" s="93" t="s">
        <v>1774</v>
      </c>
      <c r="B3304" s="94" t="str">
        <f>IFERROR(VLOOKUP($A3304,HeadJournal!$A$1:$NTR$890,COLUMN(HeadJournal!B$1),0),"")</f>
        <v>720000216299</v>
      </c>
      <c r="C3304" s="94" t="str">
        <f>IFERROR(VLOOKUP($A3304,HeadJournal!$A$1:$NTR$890,COLUMN(HeadJournal!C$1),0),"")</f>
        <v>iHerb_OA CZN6870</v>
      </c>
      <c r="D3304" s="125" t="str">
        <f>IFERROR(VLOOKUP($A3304,HeadJournal!$A$1:$NTR$890,COLUMN(HeadJournal!D$1),0),"")</f>
        <v>Доставлен</v>
      </c>
      <c r="E3304" s="95">
        <f>IFERROR(VLOOKUP($A3304,HeadJournal!$A$1:$NTR$890,COLUMN(HeadJournal!G$1),0),"")</f>
        <v>45410</v>
      </c>
      <c r="F3304" s="95" t="str">
        <f t="shared" si="262"/>
        <v>2024 04</v>
      </c>
      <c r="G3304" s="96" t="s">
        <v>5</v>
      </c>
      <c r="H3304" s="161" t="s">
        <v>2196</v>
      </c>
      <c r="I3304" s="97" t="s">
        <v>2006</v>
      </c>
      <c r="J3304" s="97" t="s">
        <v>2197</v>
      </c>
      <c r="K3304" s="29">
        <v>17.21</v>
      </c>
      <c r="L3304" s="29">
        <v>-3.4433333333333334</v>
      </c>
      <c r="M3304" s="30">
        <f>IFERROR(VLOOKUP($A3304,HeadJournal!$A$1:$J$890,COLUMN(HeadJournal!I$1),0)*($K3304+$L3304)/(SUMIF($A:$A,$A3304,$K:$K)+SUMIF($A:$A,$A3304,$L:$L)),0)</f>
        <v>-0.28285733853845629</v>
      </c>
      <c r="N3304" s="30">
        <f>IFERROR((VLOOKUP($A3304,HeadJournal!$A$1:$K$890,COLUMN(HeadJournal!K$1),0)-VLOOKUP($A3304,HeadJournal!$A$1:$K$890,COLUMN(HeadJournal!J$1),0))*($K3304+$L3304)/(SUMIF($A:$A,$A3304,$K:$K)+SUMIF($A:$A,$A3304,$L:$L)),0)</f>
        <v>2.0098222715493555E-15</v>
      </c>
      <c r="O3304" s="30">
        <f>IFERROR((VLOOKUP($A3304,HeadJournal!$A$1:$L$890,COLUMN(HeadJournal!L$1),0)*($K3304+$L3304)/(SUMIF($A:$A,$A3304,$K:$K)+SUMIF($A:$A,$A3304,$L:$L)))/VLOOKUP($A3304,HeadJournal!$A$1:$L$890,COLUMN(HeadJournal!H$1),0),0)</f>
        <v>0.85245261235769298</v>
      </c>
      <c r="P3304" s="30">
        <f>IFERROR(SUM(K3304:O3304)*VLOOKUP($A3304,HeadJournal!$A$1:$L$890,COLUMN(HeadJournal!H$1),0),0)</f>
        <v>1487.6743827477574</v>
      </c>
      <c r="Q3304" s="29">
        <v>1487.67</v>
      </c>
      <c r="R3304" s="31">
        <v>45460</v>
      </c>
      <c r="S3304" s="31" t="s">
        <v>3121</v>
      </c>
      <c r="T3304" s="95" t="str">
        <f t="shared" si="263"/>
        <v>2024 06</v>
      </c>
      <c r="U3304" s="32">
        <f t="shared" si="260"/>
        <v>-4.3827477572904172E-3</v>
      </c>
      <c r="V3304" s="22">
        <f t="shared" si="261"/>
        <v>-2.9460396765019337E-6</v>
      </c>
      <c r="X3304" s="33"/>
      <c r="Y3304" s="33"/>
    </row>
    <row r="3305" spans="1:25" x14ac:dyDescent="0.2">
      <c r="A3305" s="93" t="s">
        <v>1774</v>
      </c>
      <c r="B3305" s="94" t="str">
        <f>IFERROR(VLOOKUP($A3305,HeadJournal!$A$1:$NTR$890,COLUMN(HeadJournal!B$1),0),"")</f>
        <v>720000216299</v>
      </c>
      <c r="C3305" s="94" t="str">
        <f>IFERROR(VLOOKUP($A3305,HeadJournal!$A$1:$NTR$890,COLUMN(HeadJournal!C$1),0),"")</f>
        <v>iHerb_OA CZN6870</v>
      </c>
      <c r="D3305" s="125" t="str">
        <f>IFERROR(VLOOKUP($A3305,HeadJournal!$A$1:$NTR$890,COLUMN(HeadJournal!D$1),0),"")</f>
        <v>Доставлен</v>
      </c>
      <c r="E3305" s="95">
        <f>IFERROR(VLOOKUP($A3305,HeadJournal!$A$1:$NTR$890,COLUMN(HeadJournal!G$1),0),"")</f>
        <v>45410</v>
      </c>
      <c r="F3305" s="95" t="str">
        <f t="shared" si="262"/>
        <v>2024 04</v>
      </c>
      <c r="G3305" s="96" t="s">
        <v>5</v>
      </c>
      <c r="H3305" s="161" t="s">
        <v>2196</v>
      </c>
      <c r="I3305" s="97" t="s">
        <v>2006</v>
      </c>
      <c r="J3305" s="97" t="s">
        <v>2197</v>
      </c>
      <c r="K3305" s="29">
        <v>17.21</v>
      </c>
      <c r="L3305" s="29">
        <v>-3.4433333333333334</v>
      </c>
      <c r="M3305" s="30">
        <f>IFERROR(VLOOKUP($A3305,HeadJournal!$A$1:$J$890,COLUMN(HeadJournal!I$1),0)*($K3305+$L3305)/(SUMIF($A:$A,$A3305,$K:$K)+SUMIF($A:$A,$A3305,$L:$L)),0)</f>
        <v>-0.28285733853845629</v>
      </c>
      <c r="N3305" s="30">
        <f>IFERROR((VLOOKUP($A3305,HeadJournal!$A$1:$K$890,COLUMN(HeadJournal!K$1),0)-VLOOKUP($A3305,HeadJournal!$A$1:$K$890,COLUMN(HeadJournal!J$1),0))*($K3305+$L3305)/(SUMIF($A:$A,$A3305,$K:$K)+SUMIF($A:$A,$A3305,$L:$L)),0)</f>
        <v>2.0098222715493555E-15</v>
      </c>
      <c r="O3305" s="30">
        <f>IFERROR((VLOOKUP($A3305,HeadJournal!$A$1:$L$890,COLUMN(HeadJournal!L$1),0)*($K3305+$L3305)/(SUMIF($A:$A,$A3305,$K:$K)+SUMIF($A:$A,$A3305,$L:$L)))/VLOOKUP($A3305,HeadJournal!$A$1:$L$890,COLUMN(HeadJournal!H$1),0),0)</f>
        <v>0.85245261235769298</v>
      </c>
      <c r="P3305" s="30">
        <f>IFERROR(SUM(K3305:O3305)*VLOOKUP($A3305,HeadJournal!$A$1:$L$890,COLUMN(HeadJournal!H$1),0),0)</f>
        <v>1487.6743827477574</v>
      </c>
      <c r="Q3305" s="29">
        <v>2500</v>
      </c>
      <c r="R3305" s="31">
        <v>45510</v>
      </c>
      <c r="S3305" s="31" t="s">
        <v>3121</v>
      </c>
      <c r="T3305" s="95" t="str">
        <f t="shared" si="263"/>
        <v>2024 08</v>
      </c>
      <c r="U3305" s="32">
        <f t="shared" si="260"/>
        <v>1012.3256172522426</v>
      </c>
      <c r="V3305" s="22">
        <f t="shared" si="261"/>
        <v>0.68047526326457386</v>
      </c>
      <c r="X3305" s="33"/>
      <c r="Y3305" s="33"/>
    </row>
    <row r="3306" spans="1:25" x14ac:dyDescent="0.2">
      <c r="A3306" s="93" t="s">
        <v>1774</v>
      </c>
      <c r="B3306" s="94" t="str">
        <f>IFERROR(VLOOKUP($A3306,HeadJournal!$A$1:$NTR$890,COLUMN(HeadJournal!B$1),0),"")</f>
        <v>720000216299</v>
      </c>
      <c r="C3306" s="94" t="str">
        <f>IFERROR(VLOOKUP($A3306,HeadJournal!$A$1:$NTR$890,COLUMN(HeadJournal!C$1),0),"")</f>
        <v>iHerb_OA CZN6870</v>
      </c>
      <c r="D3306" s="125" t="str">
        <f>IFERROR(VLOOKUP($A3306,HeadJournal!$A$1:$NTR$890,COLUMN(HeadJournal!D$1),0),"")</f>
        <v>Доставлен</v>
      </c>
      <c r="E3306" s="95">
        <f>IFERROR(VLOOKUP($A3306,HeadJournal!$A$1:$NTR$890,COLUMN(HeadJournal!G$1),0),"")</f>
        <v>45410</v>
      </c>
      <c r="F3306" s="95" t="str">
        <f t="shared" si="262"/>
        <v>2024 04</v>
      </c>
      <c r="G3306" s="96" t="s">
        <v>5</v>
      </c>
      <c r="H3306" s="161" t="s">
        <v>2855</v>
      </c>
      <c r="I3306" s="97" t="s">
        <v>2856</v>
      </c>
      <c r="J3306" s="97" t="s">
        <v>2857</v>
      </c>
      <c r="K3306" s="29">
        <v>25.06</v>
      </c>
      <c r="L3306" s="29">
        <v>-5.01</v>
      </c>
      <c r="M3306" s="30">
        <f>IFERROR(VLOOKUP($A3306,HeadJournal!$A$1:$J$890,COLUMN(HeadJournal!I$1),0)*($K3306+$L3306)/(SUMIF($A:$A,$A3306,$K:$K)+SUMIF($A:$A,$A3306,$L:$L)),0)</f>
        <v>-0.4119580850626669</v>
      </c>
      <c r="N3306" s="30">
        <f>IFERROR((VLOOKUP($A3306,HeadJournal!$A$1:$K$890,COLUMN(HeadJournal!K$1),0)-VLOOKUP($A3306,HeadJournal!$A$1:$K$890,COLUMN(HeadJournal!J$1),0))*($K3306+$L3306)/(SUMIF($A:$A,$A3306,$K:$K)+SUMIF($A:$A,$A3306,$L:$L)),0)</f>
        <v>2.927138247789194E-15</v>
      </c>
      <c r="O3306" s="30">
        <f>IFERROR((VLOOKUP($A3306,HeadJournal!$A$1:$L$890,COLUMN(HeadJournal!L$1),0)*($K3306+$L3306)/(SUMIF($A:$A,$A3306,$K:$K)+SUMIF($A:$A,$A3306,$L:$L)))/VLOOKUP($A3306,HeadJournal!$A$1:$L$890,COLUMN(HeadJournal!H$1),0),0)</f>
        <v>1.2415260201771239</v>
      </c>
      <c r="P3306" s="30">
        <f>IFERROR(SUM(K3306:O3306)*VLOOKUP($A3306,HeadJournal!$A$1:$L$890,COLUMN(HeadJournal!H$1),0),0)</f>
        <v>2166.6734654304501</v>
      </c>
      <c r="Q3306" s="29">
        <v>3000</v>
      </c>
      <c r="R3306" s="31">
        <v>45438</v>
      </c>
      <c r="S3306" s="31" t="s">
        <v>3121</v>
      </c>
      <c r="T3306" s="95" t="str">
        <f t="shared" si="263"/>
        <v>2024 05</v>
      </c>
      <c r="U3306" s="32">
        <f t="shared" si="260"/>
        <v>833.32653456954995</v>
      </c>
      <c r="V3306" s="22">
        <f t="shared" si="261"/>
        <v>0.38461103985689604</v>
      </c>
      <c r="X3306" s="33"/>
      <c r="Y3306" s="33"/>
    </row>
    <row r="3307" spans="1:25" x14ac:dyDescent="0.2">
      <c r="A3307" s="93" t="s">
        <v>1774</v>
      </c>
      <c r="B3307" s="94" t="str">
        <f>IFERROR(VLOOKUP($A3307,HeadJournal!$A$1:$NTR$890,COLUMN(HeadJournal!B$1),0),"")</f>
        <v>720000216299</v>
      </c>
      <c r="C3307" s="94" t="str">
        <f>IFERROR(VLOOKUP($A3307,HeadJournal!$A$1:$NTR$890,COLUMN(HeadJournal!C$1),0),"")</f>
        <v>iHerb_OA CZN6870</v>
      </c>
      <c r="D3307" s="125" t="str">
        <f>IFERROR(VLOOKUP($A3307,HeadJournal!$A$1:$NTR$890,COLUMN(HeadJournal!D$1),0),"")</f>
        <v>Доставлен</v>
      </c>
      <c r="E3307" s="95">
        <f>IFERROR(VLOOKUP($A3307,HeadJournal!$A$1:$NTR$890,COLUMN(HeadJournal!G$1),0),"")</f>
        <v>45410</v>
      </c>
      <c r="F3307" s="95" t="str">
        <f t="shared" si="262"/>
        <v>2024 04</v>
      </c>
      <c r="G3307" s="96" t="s">
        <v>5</v>
      </c>
      <c r="H3307" s="161" t="s">
        <v>2471</v>
      </c>
      <c r="I3307" s="97" t="s">
        <v>2039</v>
      </c>
      <c r="J3307" s="97" t="s">
        <v>2472</v>
      </c>
      <c r="K3307" s="29">
        <v>21.18</v>
      </c>
      <c r="L3307" s="29">
        <v>-4.24</v>
      </c>
      <c r="M3307" s="30">
        <f>IFERROR(VLOOKUP($A3307,HeadJournal!$A$1:$J$890,COLUMN(HeadJournal!I$1),0)*($K3307+$L3307)/(SUMIF($A:$A,$A3307,$K:$K)+SUMIF($A:$A,$A3307,$L:$L)),0)</f>
        <v>-0.34805835216765973</v>
      </c>
      <c r="N3307" s="30">
        <f>IFERROR((VLOOKUP($A3307,HeadJournal!$A$1:$K$890,COLUMN(HeadJournal!K$1),0)-VLOOKUP($A3307,HeadJournal!$A$1:$K$890,COLUMN(HeadJournal!J$1),0))*($K3307+$L3307)/(SUMIF($A:$A,$A3307,$K:$K)+SUMIF($A:$A,$A3307,$L:$L)),0)</f>
        <v>2.4731033375336134E-15</v>
      </c>
      <c r="O3307" s="30">
        <f>IFERROR((VLOOKUP($A3307,HeadJournal!$A$1:$L$890,COLUMN(HeadJournal!L$1),0)*($K3307+$L3307)/(SUMIF($A:$A,$A3307,$K:$K)+SUMIF($A:$A,$A3307,$L:$L)))/VLOOKUP($A3307,HeadJournal!$A$1:$L$890,COLUMN(HeadJournal!H$1),0),0)</f>
        <v>1.0489501636808218</v>
      </c>
      <c r="P3307" s="30">
        <f>IFERROR(SUM(K3307:O3307)*VLOOKUP($A3307,HeadJournal!$A$1:$L$890,COLUMN(HeadJournal!H$1),0),0)</f>
        <v>1830.5959353811386</v>
      </c>
      <c r="Q3307" s="29">
        <v>3200</v>
      </c>
      <c r="R3307" s="31">
        <v>45668</v>
      </c>
      <c r="S3307" s="31" t="s">
        <v>3121</v>
      </c>
      <c r="T3307" s="95" t="str">
        <f t="shared" si="263"/>
        <v>2025 01</v>
      </c>
      <c r="U3307" s="32">
        <f t="shared" si="260"/>
        <v>1369.4040646188614</v>
      </c>
      <c r="V3307" s="22">
        <f t="shared" si="261"/>
        <v>0.74806462647025662</v>
      </c>
      <c r="X3307" s="33"/>
      <c r="Y3307" s="33"/>
    </row>
    <row r="3308" spans="1:25" x14ac:dyDescent="0.2">
      <c r="A3308" s="93" t="s">
        <v>1774</v>
      </c>
      <c r="B3308" s="94" t="str">
        <f>IFERROR(VLOOKUP($A3308,HeadJournal!$A$1:$NTR$890,COLUMN(HeadJournal!B$1),0),"")</f>
        <v>720000216299</v>
      </c>
      <c r="C3308" s="94" t="str">
        <f>IFERROR(VLOOKUP($A3308,HeadJournal!$A$1:$NTR$890,COLUMN(HeadJournal!C$1),0),"")</f>
        <v>iHerb_OA CZN6870</v>
      </c>
      <c r="D3308" s="125" t="str">
        <f>IFERROR(VLOOKUP($A3308,HeadJournal!$A$1:$NTR$890,COLUMN(HeadJournal!D$1),0),"")</f>
        <v>Доставлен</v>
      </c>
      <c r="E3308" s="95">
        <f>IFERROR(VLOOKUP($A3308,HeadJournal!$A$1:$NTR$890,COLUMN(HeadJournal!G$1),0),"")</f>
        <v>45410</v>
      </c>
      <c r="F3308" s="95" t="str">
        <f t="shared" si="262"/>
        <v>2024 04</v>
      </c>
      <c r="G3308" s="96" t="s">
        <v>5</v>
      </c>
      <c r="H3308" s="161" t="s">
        <v>2103</v>
      </c>
      <c r="I3308" s="97" t="s">
        <v>2039</v>
      </c>
      <c r="J3308" s="97" t="s">
        <v>2104</v>
      </c>
      <c r="K3308" s="29">
        <v>17.100000000000001</v>
      </c>
      <c r="L3308" s="29">
        <v>-3.42</v>
      </c>
      <c r="M3308" s="30">
        <f>IFERROR(VLOOKUP($A3308,HeadJournal!$A$1:$J$890,COLUMN(HeadJournal!I$1),0)*($K3308+$L3308)/(SUMIF($A:$A,$A3308,$K:$K)+SUMIF($A:$A,$A3308,$L:$L)),0)</f>
        <v>-0.28107663858639825</v>
      </c>
      <c r="N3308" s="30">
        <f>IFERROR((VLOOKUP($A3308,HeadJournal!$A$1:$K$890,COLUMN(HeadJournal!K$1),0)-VLOOKUP($A3308,HeadJournal!$A$1:$K$890,COLUMN(HeadJournal!J$1),0))*($K3308+$L3308)/(SUMIF($A:$A,$A3308,$K:$K)+SUMIF($A:$A,$A3308,$L:$L)),0)</f>
        <v>1.9971696373943235E-15</v>
      </c>
      <c r="O3308" s="30">
        <f>IFERROR((VLOOKUP($A3308,HeadJournal!$A$1:$L$890,COLUMN(HeadJournal!L$1),0)*($K3308+$L3308)/(SUMIF($A:$A,$A3308,$K:$K)+SUMIF($A:$A,$A3308,$L:$L)))/VLOOKUP($A3308,HeadJournal!$A$1:$L$890,COLUMN(HeadJournal!H$1),0),0)</f>
        <v>0.84708608259466645</v>
      </c>
      <c r="P3308" s="30">
        <f>IFERROR(SUM(K3308:O3308)*VLOOKUP($A3308,HeadJournal!$A$1:$L$890,COLUMN(HeadJournal!H$1),0),0)</f>
        <v>1478.3088781590307</v>
      </c>
      <c r="Q3308" s="29">
        <v>2200</v>
      </c>
      <c r="R3308" s="31">
        <v>45469</v>
      </c>
      <c r="S3308" s="31" t="s">
        <v>3121</v>
      </c>
      <c r="T3308" s="95" t="str">
        <f t="shared" si="263"/>
        <v>2024 06</v>
      </c>
      <c r="U3308" s="32">
        <f t="shared" si="260"/>
        <v>721.69112184096934</v>
      </c>
      <c r="V3308" s="22">
        <f t="shared" si="261"/>
        <v>0.48818696316003091</v>
      </c>
      <c r="X3308" s="33"/>
      <c r="Y3308" s="33"/>
    </row>
    <row r="3309" spans="1:25" x14ac:dyDescent="0.2">
      <c r="A3309" s="93" t="s">
        <v>1774</v>
      </c>
      <c r="B3309" s="94" t="str">
        <f>IFERROR(VLOOKUP($A3309,HeadJournal!$A$1:$NTR$890,COLUMN(HeadJournal!B$1),0),"")</f>
        <v>720000216299</v>
      </c>
      <c r="C3309" s="94" t="str">
        <f>IFERROR(VLOOKUP($A3309,HeadJournal!$A$1:$NTR$890,COLUMN(HeadJournal!C$1),0),"")</f>
        <v>iHerb_OA CZN6870</v>
      </c>
      <c r="D3309" s="125" t="str">
        <f>IFERROR(VLOOKUP($A3309,HeadJournal!$A$1:$NTR$890,COLUMN(HeadJournal!D$1),0),"")</f>
        <v>Доставлен</v>
      </c>
      <c r="E3309" s="95">
        <f>IFERROR(VLOOKUP($A3309,HeadJournal!$A$1:$NTR$890,COLUMN(HeadJournal!G$1),0),"")</f>
        <v>45410</v>
      </c>
      <c r="F3309" s="95" t="str">
        <f t="shared" si="262"/>
        <v>2024 04</v>
      </c>
      <c r="G3309" s="96" t="s">
        <v>5</v>
      </c>
      <c r="H3309" s="161" t="s">
        <v>2105</v>
      </c>
      <c r="I3309" s="97" t="s">
        <v>2039</v>
      </c>
      <c r="J3309" s="97" t="s">
        <v>2106</v>
      </c>
      <c r="K3309" s="29">
        <v>11.05</v>
      </c>
      <c r="L3309" s="29">
        <v>-2.21</v>
      </c>
      <c r="M3309" s="30">
        <f>IFERROR(VLOOKUP($A3309,HeadJournal!$A$1:$J$890,COLUMN(HeadJournal!I$1),0)*($K3309+$L3309)/(SUMIF($A:$A,$A3309,$K:$K)+SUMIF($A:$A,$A3309,$L:$L)),0)</f>
        <v>-0.18163139510992399</v>
      </c>
      <c r="N3309" s="30">
        <f>IFERROR((VLOOKUP($A3309,HeadJournal!$A$1:$K$890,COLUMN(HeadJournal!K$1),0)-VLOOKUP($A3309,HeadJournal!$A$1:$K$890,COLUMN(HeadJournal!J$1),0))*($K3309+$L3309)/(SUMIF($A:$A,$A3309,$K:$K)+SUMIF($A:$A,$A3309,$L:$L)),0)</f>
        <v>1.2905686838132907E-15</v>
      </c>
      <c r="O3309" s="30">
        <f>IFERROR((VLOOKUP($A3309,HeadJournal!$A$1:$L$890,COLUMN(HeadJournal!L$1),0)*($K3309+$L3309)/(SUMIF($A:$A,$A3309,$K:$K)+SUMIF($A:$A,$A3309,$L:$L)))/VLOOKUP($A3309,HeadJournal!$A$1:$L$890,COLUMN(HeadJournal!H$1),0),0)</f>
        <v>0.54738603582871714</v>
      </c>
      <c r="P3309" s="30">
        <f>IFERROR(SUM(K3309:O3309)*VLOOKUP($A3309,HeadJournal!$A$1:$L$890,COLUMN(HeadJournal!H$1),0),0)</f>
        <v>955.28146805013375</v>
      </c>
      <c r="Q3309" s="29">
        <v>1600</v>
      </c>
      <c r="R3309" s="31">
        <v>45469</v>
      </c>
      <c r="S3309" s="31" t="s">
        <v>3121</v>
      </c>
      <c r="T3309" s="95" t="str">
        <f t="shared" si="263"/>
        <v>2024 06</v>
      </c>
      <c r="U3309" s="32">
        <f t="shared" si="260"/>
        <v>644.71853194986625</v>
      </c>
      <c r="V3309" s="22">
        <f t="shared" si="261"/>
        <v>0.67489902558858283</v>
      </c>
      <c r="X3309" s="33"/>
      <c r="Y3309" s="33"/>
    </row>
    <row r="3310" spans="1:25" x14ac:dyDescent="0.2">
      <c r="A3310" s="93" t="s">
        <v>1774</v>
      </c>
      <c r="B3310" s="94" t="str">
        <f>IFERROR(VLOOKUP($A3310,HeadJournal!$A$1:$NTR$890,COLUMN(HeadJournal!B$1),0),"")</f>
        <v>720000216299</v>
      </c>
      <c r="C3310" s="94" t="str">
        <f>IFERROR(VLOOKUP($A3310,HeadJournal!$A$1:$NTR$890,COLUMN(HeadJournal!C$1),0),"")</f>
        <v>iHerb_OA CZN6870</v>
      </c>
      <c r="D3310" s="125" t="str">
        <f>IFERROR(VLOOKUP($A3310,HeadJournal!$A$1:$NTR$890,COLUMN(HeadJournal!D$1),0),"")</f>
        <v>Доставлен</v>
      </c>
      <c r="E3310" s="95">
        <f>IFERROR(VLOOKUP($A3310,HeadJournal!$A$1:$NTR$890,COLUMN(HeadJournal!G$1),0),"")</f>
        <v>45410</v>
      </c>
      <c r="F3310" s="95" t="str">
        <f t="shared" si="262"/>
        <v>2024 04</v>
      </c>
      <c r="G3310" s="96" t="s">
        <v>5</v>
      </c>
      <c r="H3310" s="161" t="str">
        <f>RIGHT(Journal!$J3310,9)</f>
        <v>JRW-13007</v>
      </c>
      <c r="I3310" s="97" t="str">
        <f t="shared" si="259"/>
        <v>Jarrow Formulas</v>
      </c>
      <c r="J3310" s="97" t="s">
        <v>521</v>
      </c>
      <c r="K3310" s="29">
        <v>17.07</v>
      </c>
      <c r="L3310" s="29">
        <v>-3.41</v>
      </c>
      <c r="M3310" s="30">
        <f>IFERROR(VLOOKUP($A3310,HeadJournal!$A$1:$J$890,COLUMN(HeadJournal!I$1),0)*($K3310+$L3310)/(SUMIF($A:$A,$A3310,$K:$K)+SUMIF($A:$A,$A3310,$L:$L)),0)</f>
        <v>-0.28066570782823097</v>
      </c>
      <c r="N3310" s="30">
        <f>IFERROR((VLOOKUP($A3310,HeadJournal!$A$1:$K$890,COLUMN(HeadJournal!K$1),0)-VLOOKUP($A3310,HeadJournal!$A$1:$K$890,COLUMN(HeadJournal!J$1),0))*($K3310+$L3310)/(SUMIF($A:$A,$A3310,$K:$K)+SUMIF($A:$A,$A3310,$L:$L)),0)</f>
        <v>1.994249798743162E-15</v>
      </c>
      <c r="O3310" s="30">
        <f>IFERROR((VLOOKUP($A3310,HeadJournal!$A$1:$L$890,COLUMN(HeadJournal!L$1),0)*($K3310+$L3310)/(SUMIF($A:$A,$A3310,$K:$K)+SUMIF($A:$A,$A3310,$L:$L)))/VLOOKUP($A3310,HeadJournal!$A$1:$L$890,COLUMN(HeadJournal!H$1),0),0)</f>
        <v>0.84584765264935236</v>
      </c>
      <c r="P3310" s="30">
        <f>IFERROR(SUM(K3310:O3310)*VLOOKUP($A3310,HeadJournal!$A$1:$L$890,COLUMN(HeadJournal!H$1),0),0)</f>
        <v>1476.1476078693242</v>
      </c>
      <c r="Q3310" s="29">
        <v>2500</v>
      </c>
      <c r="R3310" s="31">
        <v>45567</v>
      </c>
      <c r="S3310" s="31" t="s">
        <v>3121</v>
      </c>
      <c r="T3310" s="95" t="str">
        <f t="shared" si="263"/>
        <v>2024 10</v>
      </c>
      <c r="U3310" s="32">
        <f t="shared" si="260"/>
        <v>1023.8523921306758</v>
      </c>
      <c r="V3310" s="22">
        <f t="shared" si="261"/>
        <v>0.69359756888303825</v>
      </c>
      <c r="X3310" s="33"/>
      <c r="Y3310" s="33"/>
    </row>
    <row r="3311" spans="1:25" x14ac:dyDescent="0.2">
      <c r="A3311" s="93" t="s">
        <v>1774</v>
      </c>
      <c r="B3311" s="94" t="str">
        <f>IFERROR(VLOOKUP($A3311,HeadJournal!$A$1:$NTR$890,COLUMN(HeadJournal!B$1),0),"")</f>
        <v>720000216299</v>
      </c>
      <c r="C3311" s="94" t="str">
        <f>IFERROR(VLOOKUP($A3311,HeadJournal!$A$1:$NTR$890,COLUMN(HeadJournal!C$1),0),"")</f>
        <v>iHerb_OA CZN6870</v>
      </c>
      <c r="D3311" s="125" t="str">
        <f>IFERROR(VLOOKUP($A3311,HeadJournal!$A$1:$NTR$890,COLUMN(HeadJournal!D$1),0),"")</f>
        <v>Доставлен</v>
      </c>
      <c r="E3311" s="95">
        <f>IFERROR(VLOOKUP($A3311,HeadJournal!$A$1:$NTR$890,COLUMN(HeadJournal!G$1),0),"")</f>
        <v>45410</v>
      </c>
      <c r="F3311" s="95" t="str">
        <f t="shared" si="262"/>
        <v>2024 04</v>
      </c>
      <c r="G3311" s="96" t="s">
        <v>5</v>
      </c>
      <c r="H3311" s="161" t="s">
        <v>2018</v>
      </c>
      <c r="I3311" s="97" t="s">
        <v>2005</v>
      </c>
      <c r="J3311" s="97" t="s">
        <v>2019</v>
      </c>
      <c r="K3311" s="29">
        <v>21.9</v>
      </c>
      <c r="L3311" s="29">
        <v>-4.38</v>
      </c>
      <c r="M3311" s="30">
        <f>IFERROR(VLOOKUP($A3311,HeadJournal!$A$1:$J$890,COLUMN(HeadJournal!I$1),0)*($K3311+$L3311)/(SUMIF($A:$A,$A3311,$K:$K)+SUMIF($A:$A,$A3311,$L:$L)),0)</f>
        <v>-0.35997534415450999</v>
      </c>
      <c r="N3311" s="30">
        <f>IFERROR((VLOOKUP($A3311,HeadJournal!$A$1:$K$890,COLUMN(HeadJournal!K$1),0)-VLOOKUP($A3311,HeadJournal!$A$1:$K$890,COLUMN(HeadJournal!J$1),0))*($K3311+$L3311)/(SUMIF($A:$A,$A3311,$K:$K)+SUMIF($A:$A,$A3311,$L:$L)),0)</f>
        <v>2.5577786584172912E-15</v>
      </c>
      <c r="O3311" s="30">
        <f>IFERROR((VLOOKUP($A3311,HeadJournal!$A$1:$L$890,COLUMN(HeadJournal!L$1),0)*($K3311+$L3311)/(SUMIF($A:$A,$A3311,$K:$K)+SUMIF($A:$A,$A3311,$L:$L)))/VLOOKUP($A3311,HeadJournal!$A$1:$L$890,COLUMN(HeadJournal!H$1),0),0)</f>
        <v>1.0848646320949236</v>
      </c>
      <c r="P3311" s="30">
        <f>IFERROR(SUM(K3311:O3311)*VLOOKUP($A3311,HeadJournal!$A$1:$L$890,COLUMN(HeadJournal!H$1),0),0)</f>
        <v>1893.2727737826181</v>
      </c>
      <c r="Q3311" s="29">
        <v>2600</v>
      </c>
      <c r="R3311" s="31">
        <v>45507</v>
      </c>
      <c r="S3311" s="31" t="s">
        <v>3121</v>
      </c>
      <c r="T3311" s="95" t="str">
        <f t="shared" si="263"/>
        <v>2024 08</v>
      </c>
      <c r="U3311" s="32">
        <f t="shared" si="260"/>
        <v>706.72722621738194</v>
      </c>
      <c r="V3311" s="22">
        <f t="shared" si="261"/>
        <v>0.37328336201940598</v>
      </c>
      <c r="X3311" s="33"/>
      <c r="Y3311" s="33"/>
    </row>
    <row r="3312" spans="1:25" x14ac:dyDescent="0.2">
      <c r="A3312" s="93" t="s">
        <v>1774</v>
      </c>
      <c r="B3312" s="94" t="str">
        <f>IFERROR(VLOOKUP($A3312,HeadJournal!$A$1:$NTR$890,COLUMN(HeadJournal!B$1),0),"")</f>
        <v>720000216299</v>
      </c>
      <c r="C3312" s="94" t="str">
        <f>IFERROR(VLOOKUP($A3312,HeadJournal!$A$1:$NTR$890,COLUMN(HeadJournal!C$1),0),"")</f>
        <v>iHerb_OA CZN6870</v>
      </c>
      <c r="D3312" s="125" t="str">
        <f>IFERROR(VLOOKUP($A3312,HeadJournal!$A$1:$NTR$890,COLUMN(HeadJournal!D$1),0),"")</f>
        <v>Доставлен</v>
      </c>
      <c r="E3312" s="95">
        <f>IFERROR(VLOOKUP($A3312,HeadJournal!$A$1:$NTR$890,COLUMN(HeadJournal!G$1),0),"")</f>
        <v>45410</v>
      </c>
      <c r="F3312" s="95" t="str">
        <f t="shared" si="262"/>
        <v>2024 04</v>
      </c>
      <c r="G3312" s="96" t="s">
        <v>5</v>
      </c>
      <c r="H3312" s="161" t="s">
        <v>2022</v>
      </c>
      <c r="I3312" s="97" t="s">
        <v>2005</v>
      </c>
      <c r="J3312" s="97" t="s">
        <v>2023</v>
      </c>
      <c r="K3312" s="29">
        <v>27.38</v>
      </c>
      <c r="L3312" s="29">
        <v>-5.48</v>
      </c>
      <c r="M3312" s="30">
        <f>IFERROR(VLOOKUP($A3312,HeadJournal!$A$1:$J$890,COLUMN(HeadJournal!I$1),0)*($K3312+$L3312)/(SUMIF($A:$A,$A3312,$K:$K)+SUMIF($A:$A,$A3312,$L:$L)),0)</f>
        <v>-0.44996918019313747</v>
      </c>
      <c r="N3312" s="30">
        <f>IFERROR((VLOOKUP($A3312,HeadJournal!$A$1:$K$890,COLUMN(HeadJournal!K$1),0)-VLOOKUP($A3312,HeadJournal!$A$1:$K$890,COLUMN(HeadJournal!J$1),0))*($K3312+$L3312)/(SUMIF($A:$A,$A3312,$K:$K)+SUMIF($A:$A,$A3312,$L:$L)),0)</f>
        <v>3.1972233230216139E-15</v>
      </c>
      <c r="O3312" s="30">
        <f>IFERROR((VLOOKUP($A3312,HeadJournal!$A$1:$L$890,COLUMN(HeadJournal!L$1),0)*($K3312+$L3312)/(SUMIF($A:$A,$A3312,$K:$K)+SUMIF($A:$A,$A3312,$L:$L)))/VLOOKUP($A3312,HeadJournal!$A$1:$L$890,COLUMN(HeadJournal!H$1),0),0)</f>
        <v>1.3560807901186542</v>
      </c>
      <c r="P3312" s="30">
        <f>IFERROR(SUM(K3312:O3312)*VLOOKUP($A3312,HeadJournal!$A$1:$L$890,COLUMN(HeadJournal!H$1),0),0)</f>
        <v>2366.5909672282723</v>
      </c>
      <c r="Q3312" s="29">
        <v>3100</v>
      </c>
      <c r="R3312" s="31">
        <v>45507</v>
      </c>
      <c r="S3312" s="31" t="s">
        <v>3121</v>
      </c>
      <c r="T3312" s="95" t="str">
        <f t="shared" si="263"/>
        <v>2024 08</v>
      </c>
      <c r="U3312" s="32">
        <f t="shared" si="260"/>
        <v>733.40903277172765</v>
      </c>
      <c r="V3312" s="22">
        <f t="shared" si="261"/>
        <v>0.30990105300312581</v>
      </c>
      <c r="X3312" s="33"/>
      <c r="Y3312" s="33"/>
    </row>
    <row r="3313" spans="1:25" x14ac:dyDescent="0.2">
      <c r="A3313" s="93" t="s">
        <v>1774</v>
      </c>
      <c r="B3313" s="94" t="str">
        <f>IFERROR(VLOOKUP($A3313,HeadJournal!$A$1:$NTR$890,COLUMN(HeadJournal!B$1),0),"")</f>
        <v>720000216299</v>
      </c>
      <c r="C3313" s="94" t="str">
        <f>IFERROR(VLOOKUP($A3313,HeadJournal!$A$1:$NTR$890,COLUMN(HeadJournal!C$1),0),"")</f>
        <v>iHerb_OA CZN6870</v>
      </c>
      <c r="D3313" s="125" t="str">
        <f>IFERROR(VLOOKUP($A3313,HeadJournal!$A$1:$NTR$890,COLUMN(HeadJournal!D$1),0),"")</f>
        <v>Доставлен</v>
      </c>
      <c r="E3313" s="95">
        <f>IFERROR(VLOOKUP($A3313,HeadJournal!$A$1:$NTR$890,COLUMN(HeadJournal!G$1),0),"")</f>
        <v>45410</v>
      </c>
      <c r="F3313" s="95" t="str">
        <f t="shared" si="262"/>
        <v>2024 04</v>
      </c>
      <c r="G3313" s="96" t="s">
        <v>7</v>
      </c>
      <c r="H3313" s="161" t="str">
        <f>RIGHT(Journal!$J3313,9)</f>
        <v>YTH-01963</v>
      </c>
      <c r="I3313" s="97" t="str">
        <f t="shared" si="259"/>
        <v>Yeouth</v>
      </c>
      <c r="J3313" s="97" t="s">
        <v>1776</v>
      </c>
      <c r="K3313" s="29">
        <v>4.4800000000000004</v>
      </c>
      <c r="L3313" s="29">
        <v>-2.48</v>
      </c>
      <c r="M3313" s="30">
        <f>IFERROR(VLOOKUP($A3313,HeadJournal!$A$1:$J$890,COLUMN(HeadJournal!I$1),0)*($K3313+$L3313)/(SUMIF($A:$A,$A3313,$K:$K)+SUMIF($A:$A,$A3313,$L:$L)),0)</f>
        <v>-4.1093075816724896E-2</v>
      </c>
      <c r="N3313" s="30">
        <f>IFERROR((VLOOKUP($A3313,HeadJournal!$A$1:$K$890,COLUMN(HeadJournal!K$1),0)-VLOOKUP($A3313,HeadJournal!$A$1:$K$890,COLUMN(HeadJournal!J$1),0))*($K3313+$L3313)/(SUMIF($A:$A,$A3313,$K:$K)+SUMIF($A:$A,$A3313,$L:$L)),0)</f>
        <v>2.9198386511612921E-16</v>
      </c>
      <c r="O3313" s="30">
        <f>IFERROR((VLOOKUP($A3313,HeadJournal!$A$1:$L$890,COLUMN(HeadJournal!L$1),0)*($K3313+$L3313)/(SUMIF($A:$A,$A3313,$K:$K)+SUMIF($A:$A,$A3313,$L:$L)))/VLOOKUP($A3313,HeadJournal!$A$1:$L$890,COLUMN(HeadJournal!H$1),0),0)</f>
        <v>0.12384299453138398</v>
      </c>
      <c r="P3313" s="30">
        <f>IFERROR(SUM(K3313:O3313)*VLOOKUP($A3313,HeadJournal!$A$1:$L$890,COLUMN(HeadJournal!H$1),0),0)</f>
        <v>216.12702897061851</v>
      </c>
      <c r="Q3313" s="29"/>
      <c r="R3313" s="31"/>
      <c r="S3313" s="31"/>
      <c r="T3313" s="95" t="str">
        <f t="shared" si="263"/>
        <v/>
      </c>
      <c r="U3313" s="32">
        <f t="shared" si="260"/>
        <v>-216.12702897061851</v>
      </c>
      <c r="V3313" s="22" t="str">
        <f t="shared" si="261"/>
        <v/>
      </c>
      <c r="X3313" s="33"/>
      <c r="Y3313" s="33"/>
    </row>
    <row r="3314" spans="1:25" x14ac:dyDescent="0.2">
      <c r="A3314" s="93" t="s">
        <v>1774</v>
      </c>
      <c r="B3314" s="94" t="str">
        <f>IFERROR(VLOOKUP($A3314,HeadJournal!$A$1:$NTR$890,COLUMN(HeadJournal!B$1),0),"")</f>
        <v>720000216299</v>
      </c>
      <c r="C3314" s="94" t="str">
        <f>IFERROR(VLOOKUP($A3314,HeadJournal!$A$1:$NTR$890,COLUMN(HeadJournal!C$1),0),"")</f>
        <v>iHerb_OA CZN6870</v>
      </c>
      <c r="D3314" s="125" t="str">
        <f>IFERROR(VLOOKUP($A3314,HeadJournal!$A$1:$NTR$890,COLUMN(HeadJournal!D$1),0),"")</f>
        <v>Доставлен</v>
      </c>
      <c r="E3314" s="95">
        <f>IFERROR(VLOOKUP($A3314,HeadJournal!$A$1:$NTR$890,COLUMN(HeadJournal!G$1),0),"")</f>
        <v>45410</v>
      </c>
      <c r="F3314" s="95" t="str">
        <f t="shared" si="262"/>
        <v>2024 04</v>
      </c>
      <c r="G3314" s="96" t="s">
        <v>5</v>
      </c>
      <c r="H3314" s="161" t="s">
        <v>4093</v>
      </c>
      <c r="I3314" s="97" t="s">
        <v>2657</v>
      </c>
      <c r="J3314" s="97" t="s">
        <v>4094</v>
      </c>
      <c r="K3314" s="29">
        <v>13.13</v>
      </c>
      <c r="L3314" s="29">
        <v>-2.625</v>
      </c>
      <c r="M3314" s="30">
        <f>IFERROR(VLOOKUP($A3314,HeadJournal!$A$1:$J$890,COLUMN(HeadJournal!I$1),0)*($K3314+$L3314)/(SUMIF($A:$A,$A3314,$K:$K)+SUMIF($A:$A,$A3314,$L:$L)),0)</f>
        <v>-0.21584138072734749</v>
      </c>
      <c r="N3314" s="30">
        <f>IFERROR((VLOOKUP($A3314,HeadJournal!$A$1:$K$890,COLUMN(HeadJournal!K$1),0)-VLOOKUP($A3314,HeadJournal!$A$1:$K$890,COLUMN(HeadJournal!J$1),0))*($K3314+$L3314)/(SUMIF($A:$A,$A3314,$K:$K)+SUMIF($A:$A,$A3314,$L:$L)),0)</f>
        <v>1.5336452515224685E-15</v>
      </c>
      <c r="O3314" s="30">
        <f>IFERROR((VLOOKUP($A3314,HeadJournal!$A$1:$L$890,COLUMN(HeadJournal!L$1),0)*($K3314+$L3314)/(SUMIF($A:$A,$A3314,$K:$K)+SUMIF($A:$A,$A3314,$L:$L)))/VLOOKUP($A3314,HeadJournal!$A$1:$L$890,COLUMN(HeadJournal!H$1),0),0)</f>
        <v>0.65048532877609433</v>
      </c>
      <c r="P3314" s="30">
        <f>IFERROR(SUM(K3314:O3314)*VLOOKUP($A3314,HeadJournal!$A$1:$L$890,COLUMN(HeadJournal!H$1),0),0)</f>
        <v>1135.2072196681736</v>
      </c>
      <c r="Q3314" s="29">
        <v>1800</v>
      </c>
      <c r="R3314" s="31">
        <v>45551</v>
      </c>
      <c r="S3314" s="31" t="s">
        <v>3121</v>
      </c>
      <c r="T3314" s="95" t="str">
        <f t="shared" si="263"/>
        <v>2024 09</v>
      </c>
      <c r="U3314" s="32">
        <f t="shared" si="260"/>
        <v>664.79278033182641</v>
      </c>
      <c r="V3314" s="22">
        <f t="shared" si="261"/>
        <v>0.5856135944291726</v>
      </c>
      <c r="X3314" s="33"/>
      <c r="Y3314" s="33"/>
    </row>
    <row r="3315" spans="1:25" x14ac:dyDescent="0.2">
      <c r="A3315" s="93" t="s">
        <v>1774</v>
      </c>
      <c r="B3315" s="94" t="str">
        <f>IFERROR(VLOOKUP($A3315,HeadJournal!$A$1:$NTR$890,COLUMN(HeadJournal!B$1),0),"")</f>
        <v>720000216299</v>
      </c>
      <c r="C3315" s="94" t="str">
        <f>IFERROR(VLOOKUP($A3315,HeadJournal!$A$1:$NTR$890,COLUMN(HeadJournal!C$1),0),"")</f>
        <v>iHerb_OA CZN6870</v>
      </c>
      <c r="D3315" s="125" t="str">
        <f>IFERROR(VLOOKUP($A3315,HeadJournal!$A$1:$NTR$890,COLUMN(HeadJournal!D$1),0),"")</f>
        <v>Доставлен</v>
      </c>
      <c r="E3315" s="95">
        <f>IFERROR(VLOOKUP($A3315,HeadJournal!$A$1:$NTR$890,COLUMN(HeadJournal!G$1),0),"")</f>
        <v>45410</v>
      </c>
      <c r="F3315" s="95" t="str">
        <f t="shared" si="262"/>
        <v>2024 04</v>
      </c>
      <c r="G3315" s="96" t="s">
        <v>5</v>
      </c>
      <c r="H3315" s="161" t="s">
        <v>4093</v>
      </c>
      <c r="I3315" s="97" t="s">
        <v>2657</v>
      </c>
      <c r="J3315" s="97" t="s">
        <v>4094</v>
      </c>
      <c r="K3315" s="29">
        <v>13.13</v>
      </c>
      <c r="L3315" s="29">
        <v>-2.625</v>
      </c>
      <c r="M3315" s="30">
        <f>IFERROR(VLOOKUP($A3315,HeadJournal!$A$1:$J$890,COLUMN(HeadJournal!I$1),0)*($K3315+$L3315)/(SUMIF($A:$A,$A3315,$K:$K)+SUMIF($A:$A,$A3315,$L:$L)),0)</f>
        <v>-0.21584138072734749</v>
      </c>
      <c r="N3315" s="30">
        <f>IFERROR((VLOOKUP($A3315,HeadJournal!$A$1:$K$890,COLUMN(HeadJournal!K$1),0)-VLOOKUP($A3315,HeadJournal!$A$1:$K$890,COLUMN(HeadJournal!J$1),0))*($K3315+$L3315)/(SUMIF($A:$A,$A3315,$K:$K)+SUMIF($A:$A,$A3315,$L:$L)),0)</f>
        <v>1.5336452515224685E-15</v>
      </c>
      <c r="O3315" s="30">
        <f>IFERROR((VLOOKUP($A3315,HeadJournal!$A$1:$L$890,COLUMN(HeadJournal!L$1),0)*($K3315+$L3315)/(SUMIF($A:$A,$A3315,$K:$K)+SUMIF($A:$A,$A3315,$L:$L)))/VLOOKUP($A3315,HeadJournal!$A$1:$L$890,COLUMN(HeadJournal!H$1),0),0)</f>
        <v>0.65048532877609433</v>
      </c>
      <c r="P3315" s="30">
        <f>IFERROR(SUM(K3315:O3315)*VLOOKUP($A3315,HeadJournal!$A$1:$L$890,COLUMN(HeadJournal!H$1),0),0)</f>
        <v>1135.2072196681736</v>
      </c>
      <c r="Q3315" s="29">
        <v>1700</v>
      </c>
      <c r="R3315" s="31">
        <v>45820</v>
      </c>
      <c r="S3315" s="31" t="s">
        <v>3121</v>
      </c>
      <c r="T3315" s="95" t="str">
        <f t="shared" si="263"/>
        <v>2025 06</v>
      </c>
      <c r="U3315" s="32">
        <f t="shared" si="260"/>
        <v>564.79278033182641</v>
      </c>
      <c r="V3315" s="22">
        <f t="shared" si="261"/>
        <v>0.49752395029421853</v>
      </c>
      <c r="X3315" s="33"/>
      <c r="Y3315" s="33"/>
    </row>
    <row r="3316" spans="1:25" x14ac:dyDescent="0.2">
      <c r="A3316" s="93" t="s">
        <v>1774</v>
      </c>
      <c r="B3316" s="94" t="str">
        <f>IFERROR(VLOOKUP($A3316,HeadJournal!$A$1:$NTR$890,COLUMN(HeadJournal!B$1),0),"")</f>
        <v>720000216299</v>
      </c>
      <c r="C3316" s="94" t="str">
        <f>IFERROR(VLOOKUP($A3316,HeadJournal!$A$1:$NTR$890,COLUMN(HeadJournal!C$1),0),"")</f>
        <v>iHerb_OA CZN6870</v>
      </c>
      <c r="D3316" s="125" t="str">
        <f>IFERROR(VLOOKUP($A3316,HeadJournal!$A$1:$NTR$890,COLUMN(HeadJournal!D$1),0),"")</f>
        <v>Доставлен</v>
      </c>
      <c r="E3316" s="95">
        <f>IFERROR(VLOOKUP($A3316,HeadJournal!$A$1:$NTR$890,COLUMN(HeadJournal!G$1),0),"")</f>
        <v>45410</v>
      </c>
      <c r="F3316" s="95" t="str">
        <f t="shared" si="262"/>
        <v>2024 04</v>
      </c>
      <c r="G3316" s="96" t="s">
        <v>5</v>
      </c>
      <c r="H3316" s="161" t="s">
        <v>2225</v>
      </c>
      <c r="I3316" s="97" t="s">
        <v>2226</v>
      </c>
      <c r="J3316" s="97" t="s">
        <v>2227</v>
      </c>
      <c r="K3316" s="29">
        <v>22.23</v>
      </c>
      <c r="L3316" s="29">
        <v>-4.45</v>
      </c>
      <c r="M3316" s="30">
        <f>IFERROR(VLOOKUP($A3316,HeadJournal!$A$1:$J$890,COLUMN(HeadJournal!I$1),0)*($K3316+$L3316)/(SUMIF($A:$A,$A3316,$K:$K)+SUMIF($A:$A,$A3316,$L:$L)),0)</f>
        <v>-0.36531744401068428</v>
      </c>
      <c r="N3316" s="30">
        <f>IFERROR((VLOOKUP($A3316,HeadJournal!$A$1:$K$890,COLUMN(HeadJournal!K$1),0)-VLOOKUP($A3316,HeadJournal!$A$1:$K$890,COLUMN(HeadJournal!J$1),0))*($K3316+$L3316)/(SUMIF($A:$A,$A3316,$K:$K)+SUMIF($A:$A,$A3316,$L:$L)),0)</f>
        <v>2.5957365608823883E-15</v>
      </c>
      <c r="O3316" s="30">
        <f>IFERROR((VLOOKUP($A3316,HeadJournal!$A$1:$L$890,COLUMN(HeadJournal!L$1),0)*($K3316+$L3316)/(SUMIF($A:$A,$A3316,$K:$K)+SUMIF($A:$A,$A3316,$L:$L)))/VLOOKUP($A3316,HeadJournal!$A$1:$L$890,COLUMN(HeadJournal!H$1),0),0)</f>
        <v>1.1009642213840034</v>
      </c>
      <c r="P3316" s="30">
        <f>IFERROR(SUM(K3316:O3316)*VLOOKUP($A3316,HeadJournal!$A$1:$L$890,COLUMN(HeadJournal!H$1),0),0)</f>
        <v>1921.3692875487986</v>
      </c>
      <c r="Q3316" s="29">
        <v>2700</v>
      </c>
      <c r="R3316" s="31">
        <v>45474</v>
      </c>
      <c r="S3316" s="31" t="s">
        <v>3121</v>
      </c>
      <c r="T3316" s="95" t="str">
        <f t="shared" si="263"/>
        <v>2024 07</v>
      </c>
      <c r="U3316" s="32">
        <f t="shared" si="260"/>
        <v>778.63071245120136</v>
      </c>
      <c r="V3316" s="22">
        <f t="shared" si="261"/>
        <v>0.40524781857242309</v>
      </c>
      <c r="X3316" s="33"/>
      <c r="Y3316" s="33"/>
    </row>
    <row r="3317" spans="1:25" x14ac:dyDescent="0.2">
      <c r="A3317" s="93" t="s">
        <v>1777</v>
      </c>
      <c r="B3317" s="94" t="str">
        <f>IFERROR(VLOOKUP($A3317,HeadJournal!$A$1:$NTR$890,COLUMN(HeadJournal!B$1),0),"")</f>
        <v>720000225185</v>
      </c>
      <c r="C3317" s="94" t="str">
        <f>IFERROR(VLOOKUP($A3317,HeadJournal!$A$1:$NTR$890,COLUMN(HeadJournal!C$1),0),"")</f>
        <v>iHerb_OA CZN6870</v>
      </c>
      <c r="D3317" s="125" t="str">
        <f>IFERROR(VLOOKUP($A3317,HeadJournal!$A$1:$NTR$890,COLUMN(HeadJournal!D$1),0),"")</f>
        <v>Доставлен</v>
      </c>
      <c r="E3317" s="95">
        <f>IFERROR(VLOOKUP($A3317,HeadJournal!$A$1:$NTR$890,COLUMN(HeadJournal!G$1),0),"")</f>
        <v>45418</v>
      </c>
      <c r="F3317" s="95" t="str">
        <f t="shared" si="262"/>
        <v>2024 05</v>
      </c>
      <c r="G3317" s="96" t="s">
        <v>7</v>
      </c>
      <c r="H3317" s="161" t="str">
        <f>RIGHT(Journal!$J3317,9)</f>
        <v>ARH-18660</v>
      </c>
      <c r="I3317" s="97" t="str">
        <f t="shared" si="259"/>
        <v>Arm &amp; Hammer</v>
      </c>
      <c r="J3317" s="97" t="s">
        <v>1779</v>
      </c>
      <c r="K3317" s="29">
        <v>5.63</v>
      </c>
      <c r="L3317" s="29">
        <v>-1.41</v>
      </c>
      <c r="M3317" s="30">
        <f>IFERROR(VLOOKUP($A3317,HeadJournal!$A$1:$J$890,COLUMN(HeadJournal!I$1),0)*($K3317+$L3317)/(SUMIF($A:$A,$A3317,$K:$K)+SUMIF($A:$A,$A3317,$L:$L)),0)</f>
        <v>0</v>
      </c>
      <c r="N3317" s="30">
        <f>IFERROR((VLOOKUP($A3317,HeadJournal!$A$1:$K$890,COLUMN(HeadJournal!K$1),0)-VLOOKUP($A3317,HeadJournal!$A$1:$K$890,COLUMN(HeadJournal!J$1),0))*($K3317+$L3317)/(SUMIF($A:$A,$A3317,$K:$K)+SUMIF($A:$A,$A3317,$L:$L)),0)</f>
        <v>0</v>
      </c>
      <c r="O3317" s="30">
        <f>IFERROR((VLOOKUP($A3317,HeadJournal!$A$1:$L$890,COLUMN(HeadJournal!L$1),0)*($K3317+$L3317)/(SUMIF($A:$A,$A3317,$K:$K)+SUMIF($A:$A,$A3317,$L:$L)))/VLOOKUP($A3317,HeadJournal!$A$1:$L$890,COLUMN(HeadJournal!H$1),0),0)</f>
        <v>0.28120550948407169</v>
      </c>
      <c r="P3317" s="30">
        <f>IFERROR(SUM(K3317:O3317)*VLOOKUP($A3317,HeadJournal!$A$1:$L$890,COLUMN(HeadJournal!H$1),0),0)</f>
        <v>466.27346369619164</v>
      </c>
      <c r="Q3317" s="29">
        <v>1100</v>
      </c>
      <c r="R3317" s="31">
        <v>45447</v>
      </c>
      <c r="S3317" s="31" t="s">
        <v>3121</v>
      </c>
      <c r="T3317" s="95" t="str">
        <f t="shared" si="263"/>
        <v>2024 06</v>
      </c>
      <c r="U3317" s="32">
        <f t="shared" si="260"/>
        <v>633.72653630380842</v>
      </c>
      <c r="V3317" s="22">
        <f t="shared" si="261"/>
        <v>1.3591306082061827</v>
      </c>
      <c r="X3317" s="33"/>
      <c r="Y3317" s="33"/>
    </row>
    <row r="3318" spans="1:25" x14ac:dyDescent="0.2">
      <c r="A3318" s="93" t="s">
        <v>1777</v>
      </c>
      <c r="B3318" s="94" t="str">
        <f>IFERROR(VLOOKUP($A3318,HeadJournal!$A$1:$NTR$890,COLUMN(HeadJournal!B$1),0),"")</f>
        <v>720000225185</v>
      </c>
      <c r="C3318" s="94" t="str">
        <f>IFERROR(VLOOKUP($A3318,HeadJournal!$A$1:$NTR$890,COLUMN(HeadJournal!C$1),0),"")</f>
        <v>iHerb_OA CZN6870</v>
      </c>
      <c r="D3318" s="125" t="str">
        <f>IFERROR(VLOOKUP($A3318,HeadJournal!$A$1:$NTR$890,COLUMN(HeadJournal!D$1),0),"")</f>
        <v>Доставлен</v>
      </c>
      <c r="E3318" s="95">
        <f>IFERROR(VLOOKUP($A3318,HeadJournal!$A$1:$NTR$890,COLUMN(HeadJournal!G$1),0),"")</f>
        <v>45418</v>
      </c>
      <c r="F3318" s="95" t="str">
        <f t="shared" si="262"/>
        <v>2024 05</v>
      </c>
      <c r="G3318" s="96" t="s">
        <v>7</v>
      </c>
      <c r="H3318" s="161" t="str">
        <f>RIGHT(Journal!$J3318,9)</f>
        <v>ARH-18660</v>
      </c>
      <c r="I3318" s="97" t="str">
        <f t="shared" si="259"/>
        <v>Arm &amp; Hammer</v>
      </c>
      <c r="J3318" s="97" t="s">
        <v>1779</v>
      </c>
      <c r="K3318" s="29">
        <v>5.63</v>
      </c>
      <c r="L3318" s="29">
        <v>-1.41</v>
      </c>
      <c r="M3318" s="30">
        <f>IFERROR(VLOOKUP($A3318,HeadJournal!$A$1:$J$890,COLUMN(HeadJournal!I$1),0)*($K3318+$L3318)/(SUMIF($A:$A,$A3318,$K:$K)+SUMIF($A:$A,$A3318,$L:$L)),0)</f>
        <v>0</v>
      </c>
      <c r="N3318" s="30">
        <f>IFERROR((VLOOKUP($A3318,HeadJournal!$A$1:$K$890,COLUMN(HeadJournal!K$1),0)-VLOOKUP($A3318,HeadJournal!$A$1:$K$890,COLUMN(HeadJournal!J$1),0))*($K3318+$L3318)/(SUMIF($A:$A,$A3318,$K:$K)+SUMIF($A:$A,$A3318,$L:$L)),0)</f>
        <v>0</v>
      </c>
      <c r="O3318" s="30">
        <f>IFERROR((VLOOKUP($A3318,HeadJournal!$A$1:$L$890,COLUMN(HeadJournal!L$1),0)*($K3318+$L3318)/(SUMIF($A:$A,$A3318,$K:$K)+SUMIF($A:$A,$A3318,$L:$L)))/VLOOKUP($A3318,HeadJournal!$A$1:$L$890,COLUMN(HeadJournal!H$1),0),0)</f>
        <v>0.28120550948407169</v>
      </c>
      <c r="P3318" s="30">
        <f>IFERROR(SUM(K3318:O3318)*VLOOKUP($A3318,HeadJournal!$A$1:$L$890,COLUMN(HeadJournal!H$1),0),0)</f>
        <v>466.27346369619164</v>
      </c>
      <c r="Q3318" s="29">
        <v>1100</v>
      </c>
      <c r="R3318" s="31">
        <v>45554</v>
      </c>
      <c r="S3318" s="31" t="s">
        <v>3121</v>
      </c>
      <c r="T3318" s="95" t="str">
        <f t="shared" si="263"/>
        <v>2024 09</v>
      </c>
      <c r="U3318" s="32">
        <f t="shared" si="260"/>
        <v>633.72653630380842</v>
      </c>
      <c r="V3318" s="22">
        <f t="shared" si="261"/>
        <v>1.3591306082061827</v>
      </c>
      <c r="X3318" s="33"/>
      <c r="Y3318" s="33"/>
    </row>
    <row r="3319" spans="1:25" x14ac:dyDescent="0.2">
      <c r="A3319" s="93" t="s">
        <v>1777</v>
      </c>
      <c r="B3319" s="94" t="str">
        <f>IFERROR(VLOOKUP($A3319,HeadJournal!$A$1:$NTR$890,COLUMN(HeadJournal!B$1),0),"")</f>
        <v>720000225185</v>
      </c>
      <c r="C3319" s="94" t="str">
        <f>IFERROR(VLOOKUP($A3319,HeadJournal!$A$1:$NTR$890,COLUMN(HeadJournal!C$1),0),"")</f>
        <v>iHerb_OA CZN6870</v>
      </c>
      <c r="D3319" s="125" t="str">
        <f>IFERROR(VLOOKUP($A3319,HeadJournal!$A$1:$NTR$890,COLUMN(HeadJournal!D$1),0),"")</f>
        <v>Доставлен</v>
      </c>
      <c r="E3319" s="95">
        <f>IFERROR(VLOOKUP($A3319,HeadJournal!$A$1:$NTR$890,COLUMN(HeadJournal!G$1),0),"")</f>
        <v>45418</v>
      </c>
      <c r="F3319" s="95" t="str">
        <f t="shared" si="262"/>
        <v>2024 05</v>
      </c>
      <c r="G3319" s="96" t="s">
        <v>5</v>
      </c>
      <c r="H3319" s="161" t="str">
        <f>RIGHT(Journal!$J3319,9)</f>
        <v>NOW-00481</v>
      </c>
      <c r="I3319" s="97" t="str">
        <f t="shared" ref="I3319:I3379" si="264">IFERROR(LEFT(J3319,FIND(",",J3319)-1),"")</f>
        <v>NOW Foods</v>
      </c>
      <c r="J3319" s="97" t="s">
        <v>1780</v>
      </c>
      <c r="K3319" s="29">
        <v>8.06</v>
      </c>
      <c r="L3319" s="29">
        <v>-2.02</v>
      </c>
      <c r="M3319" s="30">
        <f>IFERROR(VLOOKUP($A3319,HeadJournal!$A$1:$J$890,COLUMN(HeadJournal!I$1),0)*($K3319+$L3319)/(SUMIF($A:$A,$A3319,$K:$K)+SUMIF($A:$A,$A3319,$L:$L)),0)</f>
        <v>0</v>
      </c>
      <c r="N3319" s="30">
        <f>IFERROR((VLOOKUP($A3319,HeadJournal!$A$1:$K$890,COLUMN(HeadJournal!K$1),0)-VLOOKUP($A3319,HeadJournal!$A$1:$K$890,COLUMN(HeadJournal!J$1),0))*($K3319+$L3319)/(SUMIF($A:$A,$A3319,$K:$K)+SUMIF($A:$A,$A3319,$L:$L)),0)</f>
        <v>0</v>
      </c>
      <c r="O3319" s="30">
        <f>IFERROR((VLOOKUP($A3319,HeadJournal!$A$1:$L$890,COLUMN(HeadJournal!L$1),0)*($K3319+$L3319)/(SUMIF($A:$A,$A3319,$K:$K)+SUMIF($A:$A,$A3319,$L:$L)))/VLOOKUP($A3319,HeadJournal!$A$1:$L$890,COLUMN(HeadJournal!H$1),0),0)</f>
        <v>0.40248371499615954</v>
      </c>
      <c r="P3319" s="30">
        <f>IFERROR(SUM(K3319:O3319)*VLOOKUP($A3319,HeadJournal!$A$1:$L$890,COLUMN(HeadJournal!H$1),0),0)</f>
        <v>667.36770633293793</v>
      </c>
      <c r="Q3319" s="29">
        <v>1300</v>
      </c>
      <c r="R3319" s="31">
        <v>45447</v>
      </c>
      <c r="S3319" s="31" t="s">
        <v>3121</v>
      </c>
      <c r="T3319" s="95" t="str">
        <f t="shared" si="263"/>
        <v>2024 06</v>
      </c>
      <c r="U3319" s="32">
        <f t="shared" si="260"/>
        <v>632.63229366706207</v>
      </c>
      <c r="V3319" s="22">
        <f t="shared" si="261"/>
        <v>0.94795161297698904</v>
      </c>
      <c r="X3319" s="33"/>
      <c r="Y3319" s="33"/>
    </row>
    <row r="3320" spans="1:25" x14ac:dyDescent="0.2">
      <c r="A3320" s="93" t="s">
        <v>1777</v>
      </c>
      <c r="B3320" s="94" t="str">
        <f>IFERROR(VLOOKUP($A3320,HeadJournal!$A$1:$NTR$890,COLUMN(HeadJournal!B$1),0),"")</f>
        <v>720000225185</v>
      </c>
      <c r="C3320" s="94" t="str">
        <f>IFERROR(VLOOKUP($A3320,HeadJournal!$A$1:$NTR$890,COLUMN(HeadJournal!C$1),0),"")</f>
        <v>iHerb_OA CZN6870</v>
      </c>
      <c r="D3320" s="125" t="str">
        <f>IFERROR(VLOOKUP($A3320,HeadJournal!$A$1:$NTR$890,COLUMN(HeadJournal!D$1),0),"")</f>
        <v>Доставлен</v>
      </c>
      <c r="E3320" s="95">
        <f>IFERROR(VLOOKUP($A3320,HeadJournal!$A$1:$NTR$890,COLUMN(HeadJournal!G$1),0),"")</f>
        <v>45418</v>
      </c>
      <c r="F3320" s="95" t="str">
        <f t="shared" si="262"/>
        <v>2024 05</v>
      </c>
      <c r="G3320" s="96" t="s">
        <v>5</v>
      </c>
      <c r="H3320" s="161" t="s">
        <v>3625</v>
      </c>
      <c r="I3320" s="97" t="s">
        <v>2004</v>
      </c>
      <c r="J3320" s="97" t="s">
        <v>3667</v>
      </c>
      <c r="K3320" s="29">
        <v>24.18</v>
      </c>
      <c r="L3320" s="29">
        <v>-6.05</v>
      </c>
      <c r="M3320" s="30">
        <f>IFERROR(VLOOKUP($A3320,HeadJournal!$A$1:$J$890,COLUMN(HeadJournal!I$1),0)*($K3320+$L3320)/(SUMIF($A:$A,$A3320,$K:$K)+SUMIF($A:$A,$A3320,$L:$L)),0)</f>
        <v>0</v>
      </c>
      <c r="N3320" s="30">
        <f>IFERROR((VLOOKUP($A3320,HeadJournal!$A$1:$K$890,COLUMN(HeadJournal!K$1),0)-VLOOKUP($A3320,HeadJournal!$A$1:$K$890,COLUMN(HeadJournal!J$1),0))*($K3320+$L3320)/(SUMIF($A:$A,$A3320,$K:$K)+SUMIF($A:$A,$A3320,$L:$L)),0)</f>
        <v>0</v>
      </c>
      <c r="O3320" s="30">
        <f>IFERROR((VLOOKUP($A3320,HeadJournal!$A$1:$L$890,COLUMN(HeadJournal!L$1),0)*($K3320+$L3320)/(SUMIF($A:$A,$A3320,$K:$K)+SUMIF($A:$A,$A3320,$L:$L)))/VLOOKUP($A3320,HeadJournal!$A$1:$L$890,COLUMN(HeadJournal!H$1),0),0)</f>
        <v>1.2081175087550284</v>
      </c>
      <c r="P3320" s="30">
        <f>IFERROR(SUM(K3320:O3320)*VLOOKUP($A3320,HeadJournal!$A$1:$L$890,COLUMN(HeadJournal!H$1),0),0)</f>
        <v>2003.2080324198942</v>
      </c>
      <c r="Q3320" s="29">
        <v>3000</v>
      </c>
      <c r="R3320" s="31">
        <v>45542</v>
      </c>
      <c r="S3320" s="31" t="s">
        <v>3121</v>
      </c>
      <c r="T3320" s="95" t="str">
        <f t="shared" si="263"/>
        <v>2024 09</v>
      </c>
      <c r="U3320" s="32">
        <f t="shared" si="260"/>
        <v>996.79196758010585</v>
      </c>
      <c r="V3320" s="22">
        <f t="shared" si="261"/>
        <v>0.49759782880661263</v>
      </c>
      <c r="X3320" s="33"/>
      <c r="Y3320" s="33"/>
    </row>
    <row r="3321" spans="1:25" x14ac:dyDescent="0.2">
      <c r="A3321" s="93" t="s">
        <v>1777</v>
      </c>
      <c r="B3321" s="94" t="str">
        <f>IFERROR(VLOOKUP($A3321,HeadJournal!$A$1:$NTR$890,COLUMN(HeadJournal!B$1),0),"")</f>
        <v>720000225185</v>
      </c>
      <c r="C3321" s="94" t="str">
        <f>IFERROR(VLOOKUP($A3321,HeadJournal!$A$1:$NTR$890,COLUMN(HeadJournal!C$1),0),"")</f>
        <v>iHerb_OA CZN6870</v>
      </c>
      <c r="D3321" s="125" t="str">
        <f>IFERROR(VLOOKUP($A3321,HeadJournal!$A$1:$NTR$890,COLUMN(HeadJournal!D$1),0),"")</f>
        <v>Доставлен</v>
      </c>
      <c r="E3321" s="95">
        <f>IFERROR(VLOOKUP($A3321,HeadJournal!$A$1:$NTR$890,COLUMN(HeadJournal!G$1),0),"")</f>
        <v>45418</v>
      </c>
      <c r="F3321" s="95" t="str">
        <f t="shared" si="262"/>
        <v>2024 05</v>
      </c>
      <c r="G3321" s="96" t="s">
        <v>5</v>
      </c>
      <c r="H3321" s="161" t="s">
        <v>4046</v>
      </c>
      <c r="I3321" s="97" t="s">
        <v>2009</v>
      </c>
      <c r="J3321" s="97" t="s">
        <v>4047</v>
      </c>
      <c r="K3321" s="29">
        <v>12.1</v>
      </c>
      <c r="L3321" s="29">
        <v>-3.03</v>
      </c>
      <c r="M3321" s="30">
        <f>IFERROR(VLOOKUP($A3321,HeadJournal!$A$1:$J$890,COLUMN(HeadJournal!I$1),0)*($K3321+$L3321)/(SUMIF($A:$A,$A3321,$K:$K)+SUMIF($A:$A,$A3321,$L:$L)),0)</f>
        <v>0</v>
      </c>
      <c r="N3321" s="30">
        <f>IFERROR((VLOOKUP($A3321,HeadJournal!$A$1:$K$890,COLUMN(HeadJournal!K$1),0)-VLOOKUP($A3321,HeadJournal!$A$1:$K$890,COLUMN(HeadJournal!J$1),0))*($K3321+$L3321)/(SUMIF($A:$A,$A3321,$K:$K)+SUMIF($A:$A,$A3321,$L:$L)),0)</f>
        <v>0</v>
      </c>
      <c r="O3321" s="30">
        <f>IFERROR((VLOOKUP($A3321,HeadJournal!$A$1:$L$890,COLUMN(HeadJournal!L$1),0)*($K3321+$L3321)/(SUMIF($A:$A,$A3321,$K:$K)+SUMIF($A:$A,$A3321,$L:$L)))/VLOOKUP($A3321,HeadJournal!$A$1:$L$890,COLUMN(HeadJournal!H$1),0),0)</f>
        <v>0.60439193626078913</v>
      </c>
      <c r="P3321" s="30">
        <f>IFERROR(SUM(K3321:O3321)*VLOOKUP($A3321,HeadJournal!$A$1:$L$890,COLUMN(HeadJournal!H$1),0),0)</f>
        <v>1002.1564729204878</v>
      </c>
      <c r="Q3321" s="29">
        <v>1800</v>
      </c>
      <c r="R3321" s="31">
        <v>45832</v>
      </c>
      <c r="S3321" s="31" t="s">
        <v>3121</v>
      </c>
      <c r="T3321" s="95" t="str">
        <f t="shared" si="263"/>
        <v>2025 06</v>
      </c>
      <c r="U3321" s="32">
        <f t="shared" si="260"/>
        <v>797.84352707951223</v>
      </c>
      <c r="V3321" s="22">
        <f t="shared" si="261"/>
        <v>0.79612670140665154</v>
      </c>
      <c r="X3321" s="33"/>
      <c r="Y3321" s="33"/>
    </row>
    <row r="3322" spans="1:25" x14ac:dyDescent="0.2">
      <c r="A3322" s="93" t="s">
        <v>1777</v>
      </c>
      <c r="B3322" s="94" t="str">
        <f>IFERROR(VLOOKUP($A3322,HeadJournal!$A$1:$NTR$890,COLUMN(HeadJournal!B$1),0),"")</f>
        <v>720000225185</v>
      </c>
      <c r="C3322" s="94" t="str">
        <f>IFERROR(VLOOKUP($A3322,HeadJournal!$A$1:$NTR$890,COLUMN(HeadJournal!C$1),0),"")</f>
        <v>iHerb_OA CZN6870</v>
      </c>
      <c r="D3322" s="125" t="str">
        <f>IFERROR(VLOOKUP($A3322,HeadJournal!$A$1:$NTR$890,COLUMN(HeadJournal!D$1),0),"")</f>
        <v>Доставлен</v>
      </c>
      <c r="E3322" s="95">
        <f>IFERROR(VLOOKUP($A3322,HeadJournal!$A$1:$NTR$890,COLUMN(HeadJournal!G$1),0),"")</f>
        <v>45418</v>
      </c>
      <c r="F3322" s="95" t="str">
        <f t="shared" si="262"/>
        <v>2024 05</v>
      </c>
      <c r="G3322" s="96" t="s">
        <v>5</v>
      </c>
      <c r="H3322" s="161" t="s">
        <v>3822</v>
      </c>
      <c r="I3322" s="97" t="s">
        <v>2009</v>
      </c>
      <c r="J3322" s="97" t="s">
        <v>3823</v>
      </c>
      <c r="K3322" s="29">
        <v>10.69</v>
      </c>
      <c r="L3322" s="29">
        <v>-2.67</v>
      </c>
      <c r="M3322" s="30">
        <f>IFERROR(VLOOKUP($A3322,HeadJournal!$A$1:$J$890,COLUMN(HeadJournal!I$1),0)*($K3322+$L3322)/(SUMIF($A:$A,$A3322,$K:$K)+SUMIF($A:$A,$A3322,$L:$L)),0)</f>
        <v>0</v>
      </c>
      <c r="N3322" s="30">
        <f>IFERROR((VLOOKUP($A3322,HeadJournal!$A$1:$K$890,COLUMN(HeadJournal!K$1),0)-VLOOKUP($A3322,HeadJournal!$A$1:$K$890,COLUMN(HeadJournal!J$1),0))*($K3322+$L3322)/(SUMIF($A:$A,$A3322,$K:$K)+SUMIF($A:$A,$A3322,$L:$L)),0)</f>
        <v>0</v>
      </c>
      <c r="O3322" s="30">
        <f>IFERROR((VLOOKUP($A3322,HeadJournal!$A$1:$L$890,COLUMN(HeadJournal!L$1),0)*($K3322+$L3322)/(SUMIF($A:$A,$A3322,$K:$K)+SUMIF($A:$A,$A3322,$L:$L)))/VLOOKUP($A3322,HeadJournal!$A$1:$L$890,COLUMN(HeadJournal!H$1),0),0)</f>
        <v>0.53442374077304611</v>
      </c>
      <c r="P3322" s="30">
        <f>IFERROR(SUM(K3322:O3322)*VLOOKUP($A3322,HeadJournal!$A$1:$L$890,COLUMN(HeadJournal!H$1),0),0)</f>
        <v>886.1405637069804</v>
      </c>
      <c r="Q3322" s="29">
        <v>1600</v>
      </c>
      <c r="R3322" s="31">
        <v>45447</v>
      </c>
      <c r="S3322" s="31" t="s">
        <v>3121</v>
      </c>
      <c r="T3322" s="95" t="str">
        <f t="shared" si="263"/>
        <v>2024 06</v>
      </c>
      <c r="U3322" s="32">
        <f t="shared" si="260"/>
        <v>713.8594362930196</v>
      </c>
      <c r="V3322" s="22">
        <f t="shared" si="261"/>
        <v>0.80558261920291807</v>
      </c>
      <c r="X3322" s="33"/>
      <c r="Y3322" s="33"/>
    </row>
    <row r="3323" spans="1:25" x14ac:dyDescent="0.2">
      <c r="A3323" s="93" t="s">
        <v>1777</v>
      </c>
      <c r="B3323" s="94" t="str">
        <f>IFERROR(VLOOKUP($A3323,HeadJournal!$A$1:$NTR$890,COLUMN(HeadJournal!B$1),0),"")</f>
        <v>720000225185</v>
      </c>
      <c r="C3323" s="94" t="str">
        <f>IFERROR(VLOOKUP($A3323,HeadJournal!$A$1:$NTR$890,COLUMN(HeadJournal!C$1),0),"")</f>
        <v>iHerb_OA CZN6870</v>
      </c>
      <c r="D3323" s="125" t="str">
        <f>IFERROR(VLOOKUP($A3323,HeadJournal!$A$1:$NTR$890,COLUMN(HeadJournal!D$1),0),"")</f>
        <v>Доставлен</v>
      </c>
      <c r="E3323" s="95">
        <f>IFERROR(VLOOKUP($A3323,HeadJournal!$A$1:$NTR$890,COLUMN(HeadJournal!G$1),0),"")</f>
        <v>45418</v>
      </c>
      <c r="F3323" s="95" t="str">
        <f t="shared" si="262"/>
        <v>2024 05</v>
      </c>
      <c r="G3323" s="96" t="s">
        <v>5</v>
      </c>
      <c r="H3323" s="161" t="s">
        <v>2124</v>
      </c>
      <c r="I3323" s="97" t="s">
        <v>2125</v>
      </c>
      <c r="J3323" s="97" t="s">
        <v>2126</v>
      </c>
      <c r="K3323" s="29">
        <v>13.66</v>
      </c>
      <c r="L3323" s="29">
        <v>-3.4166666666666665</v>
      </c>
      <c r="M3323" s="30">
        <f>IFERROR(VLOOKUP($A3323,HeadJournal!$A$1:$J$890,COLUMN(HeadJournal!I$1),0)*($K3323+$L3323)/(SUMIF($A:$A,$A3323,$K:$K)+SUMIF($A:$A,$A3323,$L:$L)),0)</f>
        <v>0</v>
      </c>
      <c r="N3323" s="30">
        <f>IFERROR((VLOOKUP($A3323,HeadJournal!$A$1:$K$890,COLUMN(HeadJournal!K$1),0)-VLOOKUP($A3323,HeadJournal!$A$1:$K$890,COLUMN(HeadJournal!J$1),0))*($K3323+$L3323)/(SUMIF($A:$A,$A3323,$K:$K)+SUMIF($A:$A,$A3323,$L:$L)),0)</f>
        <v>0</v>
      </c>
      <c r="O3323" s="30">
        <f>IFERROR((VLOOKUP($A3323,HeadJournal!$A$1:$L$890,COLUMN(HeadJournal!L$1),0)*($K3323+$L3323)/(SUMIF($A:$A,$A3323,$K:$K)+SUMIF($A:$A,$A3323,$L:$L)))/VLOOKUP($A3323,HeadJournal!$A$1:$L$890,COLUMN(HeadJournal!H$1),0),0)</f>
        <v>0.68257861820264798</v>
      </c>
      <c r="P3323" s="30">
        <f>IFERROR(SUM(K3323:O3323)*VLOOKUP($A3323,HeadJournal!$A$1:$L$890,COLUMN(HeadJournal!H$1),0),0)</f>
        <v>1131.7996476606611</v>
      </c>
      <c r="Q3323" s="29">
        <v>1900</v>
      </c>
      <c r="R3323" s="31">
        <v>45507</v>
      </c>
      <c r="S3323" s="31" t="s">
        <v>3121</v>
      </c>
      <c r="T3323" s="95" t="str">
        <f t="shared" si="263"/>
        <v>2024 08</v>
      </c>
      <c r="U3323" s="32">
        <f t="shared" si="260"/>
        <v>768.20035233933891</v>
      </c>
      <c r="V3323" s="22">
        <f t="shared" si="261"/>
        <v>0.67874234978527104</v>
      </c>
      <c r="X3323" s="33"/>
      <c r="Y3323" s="33"/>
    </row>
    <row r="3324" spans="1:25" x14ac:dyDescent="0.2">
      <c r="A3324" s="93" t="s">
        <v>1777</v>
      </c>
      <c r="B3324" s="94" t="str">
        <f>IFERROR(VLOOKUP($A3324,HeadJournal!$A$1:$NTR$890,COLUMN(HeadJournal!B$1),0),"")</f>
        <v>720000225185</v>
      </c>
      <c r="C3324" s="94" t="str">
        <f>IFERROR(VLOOKUP($A3324,HeadJournal!$A$1:$NTR$890,COLUMN(HeadJournal!C$1),0),"")</f>
        <v>iHerb_OA CZN6870</v>
      </c>
      <c r="D3324" s="125" t="str">
        <f>IFERROR(VLOOKUP($A3324,HeadJournal!$A$1:$NTR$890,COLUMN(HeadJournal!D$1),0),"")</f>
        <v>Доставлен</v>
      </c>
      <c r="E3324" s="95">
        <f>IFERROR(VLOOKUP($A3324,HeadJournal!$A$1:$NTR$890,COLUMN(HeadJournal!G$1),0),"")</f>
        <v>45418</v>
      </c>
      <c r="F3324" s="95" t="str">
        <f t="shared" si="262"/>
        <v>2024 05</v>
      </c>
      <c r="G3324" s="96" t="s">
        <v>5</v>
      </c>
      <c r="H3324" s="161" t="s">
        <v>2124</v>
      </c>
      <c r="I3324" s="97" t="s">
        <v>2125</v>
      </c>
      <c r="J3324" s="97" t="s">
        <v>2126</v>
      </c>
      <c r="K3324" s="29">
        <v>13.66</v>
      </c>
      <c r="L3324" s="29">
        <v>-3.4166666666666665</v>
      </c>
      <c r="M3324" s="30">
        <f>IFERROR(VLOOKUP($A3324,HeadJournal!$A$1:$J$890,COLUMN(HeadJournal!I$1),0)*($K3324+$L3324)/(SUMIF($A:$A,$A3324,$K:$K)+SUMIF($A:$A,$A3324,$L:$L)),0)</f>
        <v>0</v>
      </c>
      <c r="N3324" s="30">
        <f>IFERROR((VLOOKUP($A3324,HeadJournal!$A$1:$K$890,COLUMN(HeadJournal!K$1),0)-VLOOKUP($A3324,HeadJournal!$A$1:$K$890,COLUMN(HeadJournal!J$1),0))*($K3324+$L3324)/(SUMIF($A:$A,$A3324,$K:$K)+SUMIF($A:$A,$A3324,$L:$L)),0)</f>
        <v>0</v>
      </c>
      <c r="O3324" s="30">
        <f>IFERROR((VLOOKUP($A3324,HeadJournal!$A$1:$L$890,COLUMN(HeadJournal!L$1),0)*($K3324+$L3324)/(SUMIF($A:$A,$A3324,$K:$K)+SUMIF($A:$A,$A3324,$L:$L)))/VLOOKUP($A3324,HeadJournal!$A$1:$L$890,COLUMN(HeadJournal!H$1),0),0)</f>
        <v>0.68257861820264798</v>
      </c>
      <c r="P3324" s="30">
        <f>IFERROR(SUM(K3324:O3324)*VLOOKUP($A3324,HeadJournal!$A$1:$L$890,COLUMN(HeadJournal!H$1),0),0)</f>
        <v>1131.7996476606611</v>
      </c>
      <c r="Q3324" s="29">
        <v>2000</v>
      </c>
      <c r="R3324" s="31">
        <v>45570</v>
      </c>
      <c r="S3324" s="31" t="s">
        <v>3121</v>
      </c>
      <c r="T3324" s="95" t="str">
        <f t="shared" si="263"/>
        <v>2024 10</v>
      </c>
      <c r="U3324" s="32">
        <f t="shared" si="260"/>
        <v>868.20035233933891</v>
      </c>
      <c r="V3324" s="22">
        <f t="shared" si="261"/>
        <v>0.76709721030028521</v>
      </c>
      <c r="X3324" s="33"/>
      <c r="Y3324" s="33"/>
    </row>
    <row r="3325" spans="1:25" x14ac:dyDescent="0.2">
      <c r="A3325" s="93" t="s">
        <v>1777</v>
      </c>
      <c r="B3325" s="94" t="str">
        <f>IFERROR(VLOOKUP($A3325,HeadJournal!$A$1:$NTR$890,COLUMN(HeadJournal!B$1),0),"")</f>
        <v>720000225185</v>
      </c>
      <c r="C3325" s="94" t="str">
        <f>IFERROR(VLOOKUP($A3325,HeadJournal!$A$1:$NTR$890,COLUMN(HeadJournal!C$1),0),"")</f>
        <v>iHerb_OA CZN6870</v>
      </c>
      <c r="D3325" s="125" t="str">
        <f>IFERROR(VLOOKUP($A3325,HeadJournal!$A$1:$NTR$890,COLUMN(HeadJournal!D$1),0),"")</f>
        <v>Доставлен</v>
      </c>
      <c r="E3325" s="95">
        <f>IFERROR(VLOOKUP($A3325,HeadJournal!$A$1:$NTR$890,COLUMN(HeadJournal!G$1),0),"")</f>
        <v>45418</v>
      </c>
      <c r="F3325" s="95" t="str">
        <f t="shared" si="262"/>
        <v>2024 05</v>
      </c>
      <c r="G3325" s="96" t="s">
        <v>5</v>
      </c>
      <c r="H3325" s="161" t="s">
        <v>2124</v>
      </c>
      <c r="I3325" s="97" t="s">
        <v>2125</v>
      </c>
      <c r="J3325" s="97" t="s">
        <v>2126</v>
      </c>
      <c r="K3325" s="29">
        <v>13.66</v>
      </c>
      <c r="L3325" s="29">
        <v>-3.4166666666666665</v>
      </c>
      <c r="M3325" s="30">
        <f>IFERROR(VLOOKUP($A3325,HeadJournal!$A$1:$J$890,COLUMN(HeadJournal!I$1),0)*($K3325+$L3325)/(SUMIF($A:$A,$A3325,$K:$K)+SUMIF($A:$A,$A3325,$L:$L)),0)</f>
        <v>0</v>
      </c>
      <c r="N3325" s="30">
        <f>IFERROR((VLOOKUP($A3325,HeadJournal!$A$1:$K$890,COLUMN(HeadJournal!K$1),0)-VLOOKUP($A3325,HeadJournal!$A$1:$K$890,COLUMN(HeadJournal!J$1),0))*($K3325+$L3325)/(SUMIF($A:$A,$A3325,$K:$K)+SUMIF($A:$A,$A3325,$L:$L)),0)</f>
        <v>0</v>
      </c>
      <c r="O3325" s="30">
        <f>IFERROR((VLOOKUP($A3325,HeadJournal!$A$1:$L$890,COLUMN(HeadJournal!L$1),0)*($K3325+$L3325)/(SUMIF($A:$A,$A3325,$K:$K)+SUMIF($A:$A,$A3325,$L:$L)))/VLOOKUP($A3325,HeadJournal!$A$1:$L$890,COLUMN(HeadJournal!H$1),0),0)</f>
        <v>0.68257861820264798</v>
      </c>
      <c r="P3325" s="30">
        <f>IFERROR(SUM(K3325:O3325)*VLOOKUP($A3325,HeadJournal!$A$1:$L$890,COLUMN(HeadJournal!H$1),0),0)</f>
        <v>1131.7996476606611</v>
      </c>
      <c r="Q3325" s="29">
        <v>2000</v>
      </c>
      <c r="R3325" s="31">
        <v>46020</v>
      </c>
      <c r="S3325" s="31"/>
      <c r="T3325" s="95" t="str">
        <f t="shared" si="263"/>
        <v>2025 12</v>
      </c>
      <c r="U3325" s="32">
        <f t="shared" si="260"/>
        <v>868.20035233933891</v>
      </c>
      <c r="V3325" s="22">
        <f t="shared" si="261"/>
        <v>0.76709721030028521</v>
      </c>
      <c r="X3325" s="33"/>
      <c r="Y3325" s="33"/>
    </row>
    <row r="3326" spans="1:25" x14ac:dyDescent="0.2">
      <c r="A3326" s="93" t="s">
        <v>1777</v>
      </c>
      <c r="B3326" s="94" t="str">
        <f>IFERROR(VLOOKUP($A3326,HeadJournal!$A$1:$NTR$890,COLUMN(HeadJournal!B$1),0),"")</f>
        <v>720000225185</v>
      </c>
      <c r="C3326" s="94" t="str">
        <f>IFERROR(VLOOKUP($A3326,HeadJournal!$A$1:$NTR$890,COLUMN(HeadJournal!C$1),0),"")</f>
        <v>iHerb_OA CZN6870</v>
      </c>
      <c r="D3326" s="125" t="str">
        <f>IFERROR(VLOOKUP($A3326,HeadJournal!$A$1:$NTR$890,COLUMN(HeadJournal!D$1),0),"")</f>
        <v>Доставлен</v>
      </c>
      <c r="E3326" s="95">
        <f>IFERROR(VLOOKUP($A3326,HeadJournal!$A$1:$NTR$890,COLUMN(HeadJournal!G$1),0),"")</f>
        <v>45418</v>
      </c>
      <c r="F3326" s="95" t="str">
        <f t="shared" si="262"/>
        <v>2024 05</v>
      </c>
      <c r="G3326" s="96" t="s">
        <v>5</v>
      </c>
      <c r="H3326" s="161" t="str">
        <f>RIGHT(Journal!$J3326,9)</f>
        <v>FOA-66045</v>
      </c>
      <c r="I3326" s="97" t="str">
        <f t="shared" si="264"/>
        <v>Force Factor</v>
      </c>
      <c r="J3326" s="97" t="s">
        <v>1742</v>
      </c>
      <c r="K3326" s="29">
        <v>6.34</v>
      </c>
      <c r="L3326" s="29">
        <v>-3.82</v>
      </c>
      <c r="M3326" s="30">
        <f>IFERROR(VLOOKUP($A3326,HeadJournal!$A$1:$J$890,COLUMN(HeadJournal!I$1),0)*($K3326+$L3326)/(SUMIF($A:$A,$A3326,$K:$K)+SUMIF($A:$A,$A3326,$L:$L)),0)</f>
        <v>0</v>
      </c>
      <c r="N3326" s="30">
        <f>IFERROR((VLOOKUP($A3326,HeadJournal!$A$1:$K$890,COLUMN(HeadJournal!K$1),0)-VLOOKUP($A3326,HeadJournal!$A$1:$K$890,COLUMN(HeadJournal!J$1),0))*($K3326+$L3326)/(SUMIF($A:$A,$A3326,$K:$K)+SUMIF($A:$A,$A3326,$L:$L)),0)</f>
        <v>0</v>
      </c>
      <c r="O3326" s="30">
        <f>IFERROR((VLOOKUP($A3326,HeadJournal!$A$1:$L$890,COLUMN(HeadJournal!L$1),0)*($K3326+$L3326)/(SUMIF($A:$A,$A3326,$K:$K)+SUMIF($A:$A,$A3326,$L:$L)))/VLOOKUP($A3326,HeadJournal!$A$1:$L$890,COLUMN(HeadJournal!H$1),0),0)</f>
        <v>0.16792366917058307</v>
      </c>
      <c r="P3326" s="30">
        <f>IFERROR(SUM(K3326:O3326)*VLOOKUP($A3326,HeadJournal!$A$1:$L$890,COLUMN(HeadJournal!H$1),0),0)</f>
        <v>278.43818211241773</v>
      </c>
      <c r="Q3326" s="29">
        <v>1100</v>
      </c>
      <c r="R3326" s="31">
        <v>45585</v>
      </c>
      <c r="S3326" s="31" t="s">
        <v>3121</v>
      </c>
      <c r="T3326" s="95" t="str">
        <f t="shared" si="263"/>
        <v>2024 10</v>
      </c>
      <c r="U3326" s="32">
        <f t="shared" si="260"/>
        <v>821.56181788758227</v>
      </c>
      <c r="V3326" s="22">
        <f t="shared" si="261"/>
        <v>2.9506076058055917</v>
      </c>
      <c r="X3326" s="33"/>
      <c r="Y3326" s="33"/>
    </row>
    <row r="3327" spans="1:25" x14ac:dyDescent="0.2">
      <c r="A3327" s="93" t="s">
        <v>1777</v>
      </c>
      <c r="B3327" s="94" t="str">
        <f>IFERROR(VLOOKUP($A3327,HeadJournal!$A$1:$NTR$890,COLUMN(HeadJournal!B$1),0),"")</f>
        <v>720000225185</v>
      </c>
      <c r="C3327" s="94" t="str">
        <f>IFERROR(VLOOKUP($A3327,HeadJournal!$A$1:$NTR$890,COLUMN(HeadJournal!C$1),0),"")</f>
        <v>iHerb_OA CZN6870</v>
      </c>
      <c r="D3327" s="125" t="str">
        <f>IFERROR(VLOOKUP($A3327,HeadJournal!$A$1:$NTR$890,COLUMN(HeadJournal!D$1),0),"")</f>
        <v>Доставлен</v>
      </c>
      <c r="E3327" s="95">
        <f>IFERROR(VLOOKUP($A3327,HeadJournal!$A$1:$NTR$890,COLUMN(HeadJournal!G$1),0),"")</f>
        <v>45418</v>
      </c>
      <c r="F3327" s="95" t="str">
        <f t="shared" si="262"/>
        <v>2024 05</v>
      </c>
      <c r="G3327" s="96" t="s">
        <v>5</v>
      </c>
      <c r="H3327" s="161" t="s">
        <v>2624</v>
      </c>
      <c r="I3327" s="97" t="s">
        <v>2005</v>
      </c>
      <c r="J3327" s="97" t="s">
        <v>2625</v>
      </c>
      <c r="K3327" s="29">
        <v>20.399999999999999</v>
      </c>
      <c r="L3327" s="29">
        <v>-5.0999999999999996</v>
      </c>
      <c r="M3327" s="30">
        <f>IFERROR(VLOOKUP($A3327,HeadJournal!$A$1:$J$890,COLUMN(HeadJournal!I$1),0)*($K3327+$L3327)/(SUMIF($A:$A,$A3327,$K:$K)+SUMIF($A:$A,$A3327,$L:$L)),0)</f>
        <v>0</v>
      </c>
      <c r="N3327" s="30">
        <f>IFERROR((VLOOKUP($A3327,HeadJournal!$A$1:$K$890,COLUMN(HeadJournal!K$1),0)-VLOOKUP($A3327,HeadJournal!$A$1:$K$890,COLUMN(HeadJournal!J$1),0))*($K3327+$L3327)/(SUMIF($A:$A,$A3327,$K:$K)+SUMIF($A:$A,$A3327,$L:$L)),0)</f>
        <v>0</v>
      </c>
      <c r="O3327" s="30">
        <f>IFERROR((VLOOKUP($A3327,HeadJournal!$A$1:$L$890,COLUMN(HeadJournal!L$1),0)*($K3327+$L3327)/(SUMIF($A:$A,$A3327,$K:$K)+SUMIF($A:$A,$A3327,$L:$L)))/VLOOKUP($A3327,HeadJournal!$A$1:$L$890,COLUMN(HeadJournal!H$1),0),0)</f>
        <v>1.0195365628213973</v>
      </c>
      <c r="P3327" s="30">
        <f>IFERROR(SUM(K3327:O3327)*VLOOKUP($A3327,HeadJournal!$A$1:$L$890,COLUMN(HeadJournal!H$1),0),0)</f>
        <v>1690.5175342539651</v>
      </c>
      <c r="Q3327" s="29">
        <v>3000</v>
      </c>
      <c r="R3327" s="31">
        <v>45614</v>
      </c>
      <c r="S3327" s="31" t="s">
        <v>3121</v>
      </c>
      <c r="T3327" s="95" t="str">
        <f t="shared" si="263"/>
        <v>2024 11</v>
      </c>
      <c r="U3327" s="32">
        <f t="shared" si="260"/>
        <v>1309.4824657460349</v>
      </c>
      <c r="V3327" s="22">
        <f t="shared" si="261"/>
        <v>0.77460448603031906</v>
      </c>
      <c r="X3327" s="33"/>
      <c r="Y3327" s="33"/>
    </row>
    <row r="3328" spans="1:25" x14ac:dyDescent="0.2">
      <c r="A3328" s="93" t="s">
        <v>1777</v>
      </c>
      <c r="B3328" s="94" t="str">
        <f>IFERROR(VLOOKUP($A3328,HeadJournal!$A$1:$NTR$890,COLUMN(HeadJournal!B$1),0),"")</f>
        <v>720000225185</v>
      </c>
      <c r="C3328" s="94" t="str">
        <f>IFERROR(VLOOKUP($A3328,HeadJournal!$A$1:$NTR$890,COLUMN(HeadJournal!C$1),0),"")</f>
        <v>iHerb_OA CZN6870</v>
      </c>
      <c r="D3328" s="125" t="str">
        <f>IFERROR(VLOOKUP($A3328,HeadJournal!$A$1:$NTR$890,COLUMN(HeadJournal!D$1),0),"")</f>
        <v>Доставлен</v>
      </c>
      <c r="E3328" s="95">
        <f>IFERROR(VLOOKUP($A3328,HeadJournal!$A$1:$NTR$890,COLUMN(HeadJournal!G$1),0),"")</f>
        <v>45418</v>
      </c>
      <c r="F3328" s="95" t="str">
        <f t="shared" si="262"/>
        <v>2024 05</v>
      </c>
      <c r="G3328" s="96" t="s">
        <v>5</v>
      </c>
      <c r="H3328" s="161" t="s">
        <v>2624</v>
      </c>
      <c r="I3328" s="97" t="s">
        <v>2005</v>
      </c>
      <c r="J3328" s="97" t="s">
        <v>2625</v>
      </c>
      <c r="K3328" s="29">
        <v>20.399999999999999</v>
      </c>
      <c r="L3328" s="29">
        <v>-5.0999999999999996</v>
      </c>
      <c r="M3328" s="30">
        <f>IFERROR(VLOOKUP($A3328,HeadJournal!$A$1:$J$890,COLUMN(HeadJournal!I$1),0)*($K3328+$L3328)/(SUMIF($A:$A,$A3328,$K:$K)+SUMIF($A:$A,$A3328,$L:$L)),0)</f>
        <v>0</v>
      </c>
      <c r="N3328" s="30">
        <f>IFERROR((VLOOKUP($A3328,HeadJournal!$A$1:$K$890,COLUMN(HeadJournal!K$1),0)-VLOOKUP($A3328,HeadJournal!$A$1:$K$890,COLUMN(HeadJournal!J$1),0))*($K3328+$L3328)/(SUMIF($A:$A,$A3328,$K:$K)+SUMIF($A:$A,$A3328,$L:$L)),0)</f>
        <v>0</v>
      </c>
      <c r="O3328" s="30">
        <f>IFERROR((VLOOKUP($A3328,HeadJournal!$A$1:$L$890,COLUMN(HeadJournal!L$1),0)*($K3328+$L3328)/(SUMIF($A:$A,$A3328,$K:$K)+SUMIF($A:$A,$A3328,$L:$L)))/VLOOKUP($A3328,HeadJournal!$A$1:$L$890,COLUMN(HeadJournal!H$1),0),0)</f>
        <v>1.0195365628213973</v>
      </c>
      <c r="P3328" s="30">
        <f>IFERROR(SUM(K3328:O3328)*VLOOKUP($A3328,HeadJournal!$A$1:$L$890,COLUMN(HeadJournal!H$1),0),0)</f>
        <v>1690.5175342539651</v>
      </c>
      <c r="Q3328" s="29">
        <v>3000</v>
      </c>
      <c r="R3328" s="31">
        <v>45637</v>
      </c>
      <c r="S3328" s="31" t="s">
        <v>3121</v>
      </c>
      <c r="T3328" s="95" t="str">
        <f t="shared" si="263"/>
        <v>2024 12</v>
      </c>
      <c r="U3328" s="32">
        <f t="shared" si="260"/>
        <v>1309.4824657460349</v>
      </c>
      <c r="V3328" s="22">
        <f t="shared" si="261"/>
        <v>0.77460448603031906</v>
      </c>
      <c r="X3328" s="33"/>
      <c r="Y3328" s="33"/>
    </row>
    <row r="3329" spans="1:25" x14ac:dyDescent="0.2">
      <c r="A3329" s="93" t="s">
        <v>1777</v>
      </c>
      <c r="B3329" s="94" t="str">
        <f>IFERROR(VLOOKUP($A3329,HeadJournal!$A$1:$NTR$890,COLUMN(HeadJournal!B$1),0),"")</f>
        <v>720000225185</v>
      </c>
      <c r="C3329" s="94" t="str">
        <f>IFERROR(VLOOKUP($A3329,HeadJournal!$A$1:$NTR$890,COLUMN(HeadJournal!C$1),0),"")</f>
        <v>iHerb_OA CZN6870</v>
      </c>
      <c r="D3329" s="125" t="str">
        <f>IFERROR(VLOOKUP($A3329,HeadJournal!$A$1:$NTR$890,COLUMN(HeadJournal!D$1),0),"")</f>
        <v>Доставлен</v>
      </c>
      <c r="E3329" s="95">
        <f>IFERROR(VLOOKUP($A3329,HeadJournal!$A$1:$NTR$890,COLUMN(HeadJournal!G$1),0),"")</f>
        <v>45418</v>
      </c>
      <c r="F3329" s="95" t="str">
        <f t="shared" si="262"/>
        <v>2024 05</v>
      </c>
      <c r="G3329" s="96" t="s">
        <v>5</v>
      </c>
      <c r="H3329" s="161" t="s">
        <v>2089</v>
      </c>
      <c r="I3329" s="97" t="s">
        <v>2005</v>
      </c>
      <c r="J3329" s="97" t="s">
        <v>3781</v>
      </c>
      <c r="K3329" s="29">
        <v>23.03</v>
      </c>
      <c r="L3329" s="29">
        <v>-5.76</v>
      </c>
      <c r="M3329" s="30">
        <f>IFERROR(VLOOKUP($A3329,HeadJournal!$A$1:$J$890,COLUMN(HeadJournal!I$1),0)*($K3329+$L3329)/(SUMIF($A:$A,$A3329,$K:$K)+SUMIF($A:$A,$A3329,$L:$L)),0)</f>
        <v>0</v>
      </c>
      <c r="N3329" s="30">
        <f>IFERROR((VLOOKUP($A3329,HeadJournal!$A$1:$K$890,COLUMN(HeadJournal!K$1),0)-VLOOKUP($A3329,HeadJournal!$A$1:$K$890,COLUMN(HeadJournal!J$1),0))*($K3329+$L3329)/(SUMIF($A:$A,$A3329,$K:$K)+SUMIF($A:$A,$A3329,$L:$L)),0)</f>
        <v>0</v>
      </c>
      <c r="O3329" s="30">
        <f>IFERROR((VLOOKUP($A3329,HeadJournal!$A$1:$L$890,COLUMN(HeadJournal!L$1),0)*($K3329+$L3329)/(SUMIF($A:$A,$A3329,$K:$K)+SUMIF($A:$A,$A3329,$L:$L)))/VLOOKUP($A3329,HeadJournal!$A$1:$L$890,COLUMN(HeadJournal!H$1),0),0)</f>
        <v>1.1508102248317345</v>
      </c>
      <c r="P3329" s="30">
        <f>IFERROR(SUM(K3329:O3329)*VLOOKUP($A3329,HeadJournal!$A$1:$L$890,COLUMN(HeadJournal!H$1),0),0)</f>
        <v>1908.1854782069267</v>
      </c>
      <c r="Q3329" s="29">
        <v>2900</v>
      </c>
      <c r="R3329" s="31">
        <v>45480</v>
      </c>
      <c r="S3329" s="31" t="s">
        <v>3121</v>
      </c>
      <c r="T3329" s="95" t="str">
        <f t="shared" si="263"/>
        <v>2024 07</v>
      </c>
      <c r="U3329" s="32">
        <f t="shared" ref="U3329:U3392" si="265">Q3329-P3329</f>
        <v>991.81452179307325</v>
      </c>
      <c r="V3329" s="22">
        <f t="shared" ref="V3329:V3392" si="266">IF(Q3329&lt;&gt;0,IFERROR(U3329/P3329,""),"")</f>
        <v>0.51976840465480123</v>
      </c>
      <c r="X3329" s="33"/>
      <c r="Y3329" s="33"/>
    </row>
    <row r="3330" spans="1:25" x14ac:dyDescent="0.2">
      <c r="A3330" s="93" t="s">
        <v>1777</v>
      </c>
      <c r="B3330" s="94" t="str">
        <f>IFERROR(VLOOKUP($A3330,HeadJournal!$A$1:$NTR$890,COLUMN(HeadJournal!B$1),0),"")</f>
        <v>720000225185</v>
      </c>
      <c r="C3330" s="94" t="str">
        <f>IFERROR(VLOOKUP($A3330,HeadJournal!$A$1:$NTR$890,COLUMN(HeadJournal!C$1),0),"")</f>
        <v>iHerb_OA CZN6870</v>
      </c>
      <c r="D3330" s="125" t="str">
        <f>IFERROR(VLOOKUP($A3330,HeadJournal!$A$1:$NTR$890,COLUMN(HeadJournal!D$1),0),"")</f>
        <v>Доставлен</v>
      </c>
      <c r="E3330" s="95">
        <f>IFERROR(VLOOKUP($A3330,HeadJournal!$A$1:$NTR$890,COLUMN(HeadJournal!G$1),0),"")</f>
        <v>45418</v>
      </c>
      <c r="F3330" s="95" t="str">
        <f t="shared" si="262"/>
        <v>2024 05</v>
      </c>
      <c r="G3330" s="96" t="s">
        <v>5</v>
      </c>
      <c r="H3330" s="161" t="s">
        <v>2089</v>
      </c>
      <c r="I3330" s="97" t="s">
        <v>2005</v>
      </c>
      <c r="J3330" s="97" t="s">
        <v>3781</v>
      </c>
      <c r="K3330" s="29">
        <v>23.03</v>
      </c>
      <c r="L3330" s="29">
        <v>-5.76</v>
      </c>
      <c r="M3330" s="30">
        <f>IFERROR(VLOOKUP($A3330,HeadJournal!$A$1:$J$890,COLUMN(HeadJournal!I$1),0)*($K3330+$L3330)/(SUMIF($A:$A,$A3330,$K:$K)+SUMIF($A:$A,$A3330,$L:$L)),0)</f>
        <v>0</v>
      </c>
      <c r="N3330" s="30">
        <f>IFERROR((VLOOKUP($A3330,HeadJournal!$A$1:$K$890,COLUMN(HeadJournal!K$1),0)-VLOOKUP($A3330,HeadJournal!$A$1:$K$890,COLUMN(HeadJournal!J$1),0))*($K3330+$L3330)/(SUMIF($A:$A,$A3330,$K:$K)+SUMIF($A:$A,$A3330,$L:$L)),0)</f>
        <v>0</v>
      </c>
      <c r="O3330" s="30">
        <f>IFERROR((VLOOKUP($A3330,HeadJournal!$A$1:$L$890,COLUMN(HeadJournal!L$1),0)*($K3330+$L3330)/(SUMIF($A:$A,$A3330,$K:$K)+SUMIF($A:$A,$A3330,$L:$L)))/VLOOKUP($A3330,HeadJournal!$A$1:$L$890,COLUMN(HeadJournal!H$1),0),0)</f>
        <v>1.1508102248317345</v>
      </c>
      <c r="P3330" s="30">
        <f>IFERROR(SUM(K3330:O3330)*VLOOKUP($A3330,HeadJournal!$A$1:$L$890,COLUMN(HeadJournal!H$1),0),0)</f>
        <v>1908.1854782069267</v>
      </c>
      <c r="Q3330" s="29">
        <v>3000</v>
      </c>
      <c r="R3330" s="31">
        <v>45598</v>
      </c>
      <c r="S3330" s="31" t="s">
        <v>3121</v>
      </c>
      <c r="T3330" s="95" t="str">
        <f t="shared" si="263"/>
        <v>2024 11</v>
      </c>
      <c r="U3330" s="32">
        <f t="shared" si="265"/>
        <v>1091.8145217930733</v>
      </c>
      <c r="V3330" s="22">
        <f t="shared" si="266"/>
        <v>0.57217421171186333</v>
      </c>
      <c r="X3330" s="33"/>
      <c r="Y3330" s="33"/>
    </row>
    <row r="3331" spans="1:25" x14ac:dyDescent="0.2">
      <c r="A3331" s="93" t="s">
        <v>1777</v>
      </c>
      <c r="B3331" s="94" t="str">
        <f>IFERROR(VLOOKUP($A3331,HeadJournal!$A$1:$NTR$890,COLUMN(HeadJournal!B$1),0),"")</f>
        <v>720000225185</v>
      </c>
      <c r="C3331" s="94" t="str">
        <f>IFERROR(VLOOKUP($A3331,HeadJournal!$A$1:$NTR$890,COLUMN(HeadJournal!C$1),0),"")</f>
        <v>iHerb_OA CZN6870</v>
      </c>
      <c r="D3331" s="125" t="str">
        <f>IFERROR(VLOOKUP($A3331,HeadJournal!$A$1:$NTR$890,COLUMN(HeadJournal!D$1),0),"")</f>
        <v>Доставлен</v>
      </c>
      <c r="E3331" s="95">
        <f>IFERROR(VLOOKUP($A3331,HeadJournal!$A$1:$NTR$890,COLUMN(HeadJournal!G$1),0),"")</f>
        <v>45418</v>
      </c>
      <c r="F3331" s="95" t="str">
        <f t="shared" si="262"/>
        <v>2024 05</v>
      </c>
      <c r="G3331" s="96" t="s">
        <v>5</v>
      </c>
      <c r="H3331" s="161" t="s">
        <v>3101</v>
      </c>
      <c r="I3331" s="97" t="s">
        <v>2102</v>
      </c>
      <c r="J3331" s="97" t="s">
        <v>3102</v>
      </c>
      <c r="K3331" s="29">
        <v>12.59</v>
      </c>
      <c r="L3331" s="29">
        <v>-3.15</v>
      </c>
      <c r="M3331" s="30">
        <f>IFERROR(VLOOKUP($A3331,HeadJournal!$A$1:$J$890,COLUMN(HeadJournal!I$1),0)*($K3331+$L3331)/(SUMIF($A:$A,$A3331,$K:$K)+SUMIF($A:$A,$A3331,$L:$L)),0)</f>
        <v>0</v>
      </c>
      <c r="N3331" s="30">
        <f>IFERROR((VLOOKUP($A3331,HeadJournal!$A$1:$K$890,COLUMN(HeadJournal!K$1),0)-VLOOKUP($A3331,HeadJournal!$A$1:$K$890,COLUMN(HeadJournal!J$1),0))*($K3331+$L3331)/(SUMIF($A:$A,$A3331,$K:$K)+SUMIF($A:$A,$A3331,$L:$L)),0)</f>
        <v>0</v>
      </c>
      <c r="O3331" s="30">
        <f>IFERROR((VLOOKUP($A3331,HeadJournal!$A$1:$L$890,COLUMN(HeadJournal!L$1),0)*($K3331+$L3331)/(SUMIF($A:$A,$A3331,$K:$K)+SUMIF($A:$A,$A3331,$L:$L)))/VLOOKUP($A3331,HeadJournal!$A$1:$L$890,COLUMN(HeadJournal!H$1),0),0)</f>
        <v>0.62904739562313661</v>
      </c>
      <c r="P3331" s="30">
        <f>IFERROR(SUM(K3331:O3331)*VLOOKUP($A3331,HeadJournal!$A$1:$L$890,COLUMN(HeadJournal!H$1),0),0)</f>
        <v>1043.0382695004855</v>
      </c>
      <c r="Q3331" s="29">
        <v>1700</v>
      </c>
      <c r="R3331" s="31">
        <v>45764</v>
      </c>
      <c r="S3331" s="31" t="s">
        <v>3121</v>
      </c>
      <c r="T3331" s="95" t="str">
        <f t="shared" si="263"/>
        <v>2025 04</v>
      </c>
      <c r="U3331" s="32">
        <f t="shared" si="265"/>
        <v>656.96173049951449</v>
      </c>
      <c r="V3331" s="22">
        <f t="shared" si="266"/>
        <v>0.62985390825030385</v>
      </c>
      <c r="X3331" s="33"/>
      <c r="Y3331" s="33"/>
    </row>
    <row r="3332" spans="1:25" x14ac:dyDescent="0.2">
      <c r="A3332" s="93" t="s">
        <v>1777</v>
      </c>
      <c r="B3332" s="94" t="str">
        <f>IFERROR(VLOOKUP($A3332,HeadJournal!$A$1:$NTR$890,COLUMN(HeadJournal!B$1),0),"")</f>
        <v>720000225185</v>
      </c>
      <c r="C3332" s="94" t="str">
        <f>IFERROR(VLOOKUP($A3332,HeadJournal!$A$1:$NTR$890,COLUMN(HeadJournal!C$1),0),"")</f>
        <v>iHerb_OA CZN6870</v>
      </c>
      <c r="D3332" s="125" t="str">
        <f>IFERROR(VLOOKUP($A3332,HeadJournal!$A$1:$NTR$890,COLUMN(HeadJournal!D$1),0),"")</f>
        <v>Доставлен</v>
      </c>
      <c r="E3332" s="95">
        <f>IFERROR(VLOOKUP($A3332,HeadJournal!$A$1:$NTR$890,COLUMN(HeadJournal!G$1),0),"")</f>
        <v>45418</v>
      </c>
      <c r="F3332" s="95" t="str">
        <f t="shared" ref="F3332:F3395" si="267">IFERROR(TEXT(E3332, "ГГГГ ММ"),"")</f>
        <v>2024 05</v>
      </c>
      <c r="G3332" s="96" t="s">
        <v>5</v>
      </c>
      <c r="H3332" s="161" t="s">
        <v>2127</v>
      </c>
      <c r="I3332" s="97" t="s">
        <v>2125</v>
      </c>
      <c r="J3332" s="97" t="s">
        <v>2128</v>
      </c>
      <c r="K3332" s="29">
        <v>9.35</v>
      </c>
      <c r="L3332" s="29">
        <v>-2.34</v>
      </c>
      <c r="M3332" s="30">
        <f>IFERROR(VLOOKUP($A3332,HeadJournal!$A$1:$J$890,COLUMN(HeadJournal!I$1),0)*($K3332+$L3332)/(SUMIF($A:$A,$A3332,$K:$K)+SUMIF($A:$A,$A3332,$L:$L)),0)</f>
        <v>0</v>
      </c>
      <c r="N3332" s="30">
        <f>IFERROR((VLOOKUP($A3332,HeadJournal!$A$1:$K$890,COLUMN(HeadJournal!K$1),0)-VLOOKUP($A3332,HeadJournal!$A$1:$K$890,COLUMN(HeadJournal!J$1),0))*($K3332+$L3332)/(SUMIF($A:$A,$A3332,$K:$K)+SUMIF($A:$A,$A3332,$L:$L)),0)</f>
        <v>0</v>
      </c>
      <c r="O3332" s="30">
        <f>IFERROR((VLOOKUP($A3332,HeadJournal!$A$1:$L$890,COLUMN(HeadJournal!L$1),0)*($K3332+$L3332)/(SUMIF($A:$A,$A3332,$K:$K)+SUMIF($A:$A,$A3332,$L:$L)))/VLOOKUP($A3332,HeadJournal!$A$1:$L$890,COLUMN(HeadJournal!H$1),0),0)</f>
        <v>0.467121000351503</v>
      </c>
      <c r="P3332" s="30">
        <f>IFERROR(SUM(K3332:O3332)*VLOOKUP($A3332,HeadJournal!$A$1:$L$890,COLUMN(HeadJournal!H$1),0),0)</f>
        <v>774.54430817779701</v>
      </c>
      <c r="Q3332" s="29">
        <v>1800</v>
      </c>
      <c r="R3332" s="31">
        <v>45630</v>
      </c>
      <c r="S3332" s="31" t="s">
        <v>3121</v>
      </c>
      <c r="T3332" s="95" t="str">
        <f t="shared" ref="T3332:T3395" si="268">IF(R3332="","",TEXT(R3332,"ГГГГ ММ"))</f>
        <v>2024 12</v>
      </c>
      <c r="U3332" s="32">
        <f t="shared" si="265"/>
        <v>1025.4556918222029</v>
      </c>
      <c r="V3332" s="22">
        <f t="shared" si="266"/>
        <v>1.3239471015347117</v>
      </c>
      <c r="X3332" s="33"/>
      <c r="Y3332" s="33"/>
    </row>
    <row r="3333" spans="1:25" x14ac:dyDescent="0.2">
      <c r="A3333" s="93" t="s">
        <v>1777</v>
      </c>
      <c r="B3333" s="94" t="str">
        <f>IFERROR(VLOOKUP($A3333,HeadJournal!$A$1:$NTR$890,COLUMN(HeadJournal!B$1),0),"")</f>
        <v>720000225185</v>
      </c>
      <c r="C3333" s="94" t="str">
        <f>IFERROR(VLOOKUP($A3333,HeadJournal!$A$1:$NTR$890,COLUMN(HeadJournal!C$1),0),"")</f>
        <v>iHerb_OA CZN6870</v>
      </c>
      <c r="D3333" s="125" t="str">
        <f>IFERROR(VLOOKUP($A3333,HeadJournal!$A$1:$NTR$890,COLUMN(HeadJournal!D$1),0),"")</f>
        <v>Доставлен</v>
      </c>
      <c r="E3333" s="95">
        <f>IFERROR(VLOOKUP($A3333,HeadJournal!$A$1:$NTR$890,COLUMN(HeadJournal!G$1),0),"")</f>
        <v>45418</v>
      </c>
      <c r="F3333" s="95" t="str">
        <f t="shared" si="267"/>
        <v>2024 05</v>
      </c>
      <c r="G3333" s="96" t="s">
        <v>5</v>
      </c>
      <c r="H3333" s="161" t="s">
        <v>2127</v>
      </c>
      <c r="I3333" s="97" t="s">
        <v>2125</v>
      </c>
      <c r="J3333" s="97" t="s">
        <v>2128</v>
      </c>
      <c r="K3333" s="29">
        <v>9.35</v>
      </c>
      <c r="L3333" s="29">
        <v>-2.34</v>
      </c>
      <c r="M3333" s="30">
        <f>IFERROR(VLOOKUP($A3333,HeadJournal!$A$1:$J$890,COLUMN(HeadJournal!I$1),0)*($K3333+$L3333)/(SUMIF($A:$A,$A3333,$K:$K)+SUMIF($A:$A,$A3333,$L:$L)),0)</f>
        <v>0</v>
      </c>
      <c r="N3333" s="30">
        <f>IFERROR((VLOOKUP($A3333,HeadJournal!$A$1:$K$890,COLUMN(HeadJournal!K$1),0)-VLOOKUP($A3333,HeadJournal!$A$1:$K$890,COLUMN(HeadJournal!J$1),0))*($K3333+$L3333)/(SUMIF($A:$A,$A3333,$K:$K)+SUMIF($A:$A,$A3333,$L:$L)),0)</f>
        <v>0</v>
      </c>
      <c r="O3333" s="30">
        <f>IFERROR((VLOOKUP($A3333,HeadJournal!$A$1:$L$890,COLUMN(HeadJournal!L$1),0)*($K3333+$L3333)/(SUMIF($A:$A,$A3333,$K:$K)+SUMIF($A:$A,$A3333,$L:$L)))/VLOOKUP($A3333,HeadJournal!$A$1:$L$890,COLUMN(HeadJournal!H$1),0),0)</f>
        <v>0.467121000351503</v>
      </c>
      <c r="P3333" s="30">
        <f>IFERROR(SUM(K3333:O3333)*VLOOKUP($A3333,HeadJournal!$A$1:$L$890,COLUMN(HeadJournal!H$1),0),0)</f>
        <v>774.54430817779701</v>
      </c>
      <c r="Q3333" s="29">
        <v>1800</v>
      </c>
      <c r="R3333" s="31">
        <v>45716</v>
      </c>
      <c r="S3333" s="31" t="s">
        <v>3121</v>
      </c>
      <c r="T3333" s="95" t="str">
        <f t="shared" si="268"/>
        <v>2025 02</v>
      </c>
      <c r="U3333" s="32">
        <f t="shared" si="265"/>
        <v>1025.4556918222029</v>
      </c>
      <c r="V3333" s="22">
        <f t="shared" si="266"/>
        <v>1.3239471015347117</v>
      </c>
      <c r="X3333" s="33"/>
      <c r="Y3333" s="33"/>
    </row>
    <row r="3334" spans="1:25" x14ac:dyDescent="0.2">
      <c r="A3334" s="93" t="s">
        <v>1777</v>
      </c>
      <c r="B3334" s="94" t="str">
        <f>IFERROR(VLOOKUP($A3334,HeadJournal!$A$1:$NTR$890,COLUMN(HeadJournal!B$1),0),"")</f>
        <v>720000225185</v>
      </c>
      <c r="C3334" s="94" t="str">
        <f>IFERROR(VLOOKUP($A3334,HeadJournal!$A$1:$NTR$890,COLUMN(HeadJournal!C$1),0),"")</f>
        <v>iHerb_OA CZN6870</v>
      </c>
      <c r="D3334" s="125" t="str">
        <f>IFERROR(VLOOKUP($A3334,HeadJournal!$A$1:$NTR$890,COLUMN(HeadJournal!D$1),0),"")</f>
        <v>Доставлен</v>
      </c>
      <c r="E3334" s="95">
        <f>IFERROR(VLOOKUP($A3334,HeadJournal!$A$1:$NTR$890,COLUMN(HeadJournal!G$1),0),"")</f>
        <v>45418</v>
      </c>
      <c r="F3334" s="95" t="str">
        <f t="shared" si="267"/>
        <v>2024 05</v>
      </c>
      <c r="G3334" s="96" t="s">
        <v>5</v>
      </c>
      <c r="H3334" s="161" t="str">
        <f>RIGHT(Journal!$J3334,9)</f>
        <v>NBC-01050</v>
      </c>
      <c r="I3334" s="97" t="str">
        <f t="shared" si="264"/>
        <v>NutriBiotic</v>
      </c>
      <c r="J3334" s="97" t="s">
        <v>1045</v>
      </c>
      <c r="K3334" s="29">
        <v>9.2200000000000006</v>
      </c>
      <c r="L3334" s="29">
        <v>-2.3050000000000002</v>
      </c>
      <c r="M3334" s="30">
        <f>IFERROR(VLOOKUP($A3334,HeadJournal!$A$1:$J$890,COLUMN(HeadJournal!I$1),0)*($K3334+$L3334)/(SUMIF($A:$A,$A3334,$K:$K)+SUMIF($A:$A,$A3334,$L:$L)),0)</f>
        <v>0</v>
      </c>
      <c r="N3334" s="30">
        <f>IFERROR((VLOOKUP($A3334,HeadJournal!$A$1:$K$890,COLUMN(HeadJournal!K$1),0)-VLOOKUP($A3334,HeadJournal!$A$1:$K$890,COLUMN(HeadJournal!J$1),0))*($K3334+$L3334)/(SUMIF($A:$A,$A3334,$K:$K)+SUMIF($A:$A,$A3334,$L:$L)),0)</f>
        <v>0</v>
      </c>
      <c r="O3334" s="30">
        <f>IFERROR((VLOOKUP($A3334,HeadJournal!$A$1:$L$890,COLUMN(HeadJournal!L$1),0)*($K3334+$L3334)/(SUMIF($A:$A,$A3334,$K:$K)+SUMIF($A:$A,$A3334,$L:$L)))/VLOOKUP($A3334,HeadJournal!$A$1:$L$890,COLUMN(HeadJournal!H$1),0),0)</f>
        <v>0.46079054456927865</v>
      </c>
      <c r="P3334" s="30">
        <f>IFERROR(SUM(K3334:O3334)*VLOOKUP($A3334,HeadJournal!$A$1:$L$890,COLUMN(HeadJournal!H$1),0),0)</f>
        <v>764.04763067752742</v>
      </c>
      <c r="Q3334" s="29">
        <v>1500</v>
      </c>
      <c r="R3334" s="31">
        <v>45630</v>
      </c>
      <c r="S3334" s="31" t="s">
        <v>3121</v>
      </c>
      <c r="T3334" s="95" t="str">
        <f t="shared" si="268"/>
        <v>2024 12</v>
      </c>
      <c r="U3334" s="32">
        <f t="shared" si="265"/>
        <v>735.95236932247258</v>
      </c>
      <c r="V3334" s="22">
        <f t="shared" si="266"/>
        <v>0.96322839018538531</v>
      </c>
      <c r="X3334" s="33"/>
      <c r="Y3334" s="33"/>
    </row>
    <row r="3335" spans="1:25" x14ac:dyDescent="0.2">
      <c r="A3335" s="93" t="s">
        <v>1777</v>
      </c>
      <c r="B3335" s="94" t="str">
        <f>IFERROR(VLOOKUP($A3335,HeadJournal!$A$1:$NTR$890,COLUMN(HeadJournal!B$1),0),"")</f>
        <v>720000225185</v>
      </c>
      <c r="C3335" s="94" t="str">
        <f>IFERROR(VLOOKUP($A3335,HeadJournal!$A$1:$NTR$890,COLUMN(HeadJournal!C$1),0),"")</f>
        <v>iHerb_OA CZN6870</v>
      </c>
      <c r="D3335" s="125" t="str">
        <f>IFERROR(VLOOKUP($A3335,HeadJournal!$A$1:$NTR$890,COLUMN(HeadJournal!D$1),0),"")</f>
        <v>Доставлен</v>
      </c>
      <c r="E3335" s="95">
        <f>IFERROR(VLOOKUP($A3335,HeadJournal!$A$1:$NTR$890,COLUMN(HeadJournal!G$1),0),"")</f>
        <v>45418</v>
      </c>
      <c r="F3335" s="95" t="str">
        <f t="shared" si="267"/>
        <v>2024 05</v>
      </c>
      <c r="G3335" s="96" t="s">
        <v>5</v>
      </c>
      <c r="H3335" s="161" t="str">
        <f>RIGHT(Journal!$J3335,9)</f>
        <v>NBC-01050</v>
      </c>
      <c r="I3335" s="97" t="str">
        <f t="shared" si="264"/>
        <v>NutriBiotic</v>
      </c>
      <c r="J3335" s="97" t="s">
        <v>1045</v>
      </c>
      <c r="K3335" s="29">
        <v>9.2200000000000006</v>
      </c>
      <c r="L3335" s="29">
        <v>-2.3050000000000002</v>
      </c>
      <c r="M3335" s="30">
        <f>IFERROR(VLOOKUP($A3335,HeadJournal!$A$1:$J$890,COLUMN(HeadJournal!I$1),0)*($K3335+$L3335)/(SUMIF($A:$A,$A3335,$K:$K)+SUMIF($A:$A,$A3335,$L:$L)),0)</f>
        <v>0</v>
      </c>
      <c r="N3335" s="30">
        <f>IFERROR((VLOOKUP($A3335,HeadJournal!$A$1:$K$890,COLUMN(HeadJournal!K$1),0)-VLOOKUP($A3335,HeadJournal!$A$1:$K$890,COLUMN(HeadJournal!J$1),0))*($K3335+$L3335)/(SUMIF($A:$A,$A3335,$K:$K)+SUMIF($A:$A,$A3335,$L:$L)),0)</f>
        <v>0</v>
      </c>
      <c r="O3335" s="30">
        <f>IFERROR((VLOOKUP($A3335,HeadJournal!$A$1:$L$890,COLUMN(HeadJournal!L$1),0)*($K3335+$L3335)/(SUMIF($A:$A,$A3335,$K:$K)+SUMIF($A:$A,$A3335,$L:$L)))/VLOOKUP($A3335,HeadJournal!$A$1:$L$890,COLUMN(HeadJournal!H$1),0),0)</f>
        <v>0.46079054456927865</v>
      </c>
      <c r="P3335" s="30">
        <f>IFERROR(SUM(K3335:O3335)*VLOOKUP($A3335,HeadJournal!$A$1:$L$890,COLUMN(HeadJournal!H$1),0),0)</f>
        <v>764.04763067752742</v>
      </c>
      <c r="Q3335" s="29">
        <v>1500</v>
      </c>
      <c r="R3335" s="31">
        <v>46053</v>
      </c>
      <c r="S3335" s="31" t="s">
        <v>3252</v>
      </c>
      <c r="T3335" s="95" t="str">
        <f t="shared" si="268"/>
        <v>2026 01</v>
      </c>
      <c r="U3335" s="32">
        <f t="shared" si="265"/>
        <v>735.95236932247258</v>
      </c>
      <c r="V3335" s="22">
        <f t="shared" si="266"/>
        <v>0.96322839018538531</v>
      </c>
      <c r="X3335" s="33"/>
      <c r="Y3335" s="33"/>
    </row>
    <row r="3336" spans="1:25" x14ac:dyDescent="0.2">
      <c r="A3336" s="93" t="s">
        <v>1784</v>
      </c>
      <c r="B3336" s="94" t="str">
        <f>IFERROR(VLOOKUP($A3336,HeadJournal!$A$1:$NTR$890,COLUMN(HeadJournal!B$1),0),"")</f>
        <v>1495175557</v>
      </c>
      <c r="C3336" s="94" t="str">
        <f>IFERROR(VLOOKUP($A3336,HeadJournal!$A$1:$NTR$890,COLUMN(HeadJournal!C$1),0),"")</f>
        <v>essens_OA</v>
      </c>
      <c r="D3336" s="125" t="str">
        <f>IFERROR(VLOOKUP($A3336,HeadJournal!$A$1:$NTR$890,COLUMN(HeadJournal!D$1),0),"")</f>
        <v>Доставлен</v>
      </c>
      <c r="E3336" s="95">
        <f>IFERROR(VLOOKUP($A3336,HeadJournal!$A$1:$NTR$890,COLUMN(HeadJournal!G$1),0),"")</f>
        <v>45406</v>
      </c>
      <c r="F3336" s="95" t="str">
        <f t="shared" si="267"/>
        <v>2024 04</v>
      </c>
      <c r="G3336" s="96" t="s">
        <v>8</v>
      </c>
      <c r="H3336" s="161" t="s">
        <v>5298</v>
      </c>
      <c r="I3336" s="97" t="s">
        <v>2243</v>
      </c>
      <c r="J3336" s="97" t="s">
        <v>5357</v>
      </c>
      <c r="K3336" s="29">
        <v>1241.92</v>
      </c>
      <c r="L3336" s="29">
        <v>0</v>
      </c>
      <c r="M3336" s="30">
        <f>IFERROR(VLOOKUP($A3336,HeadJournal!$A$1:$J$890,COLUMN(HeadJournal!I$1),0)*($K3336+$L3336)/(SUMIF($A:$A,$A3336,$K:$K)+SUMIF($A:$A,$A3336,$L:$L)),0)</f>
        <v>0</v>
      </c>
      <c r="N3336" s="30">
        <f>IFERROR((VLOOKUP($A3336,HeadJournal!$A$1:$K$890,COLUMN(HeadJournal!K$1),0)-VLOOKUP($A3336,HeadJournal!$A$1:$K$890,COLUMN(HeadJournal!J$1),0))*($K3336+$L3336)/(SUMIF($A:$A,$A3336,$K:$K)+SUMIF($A:$A,$A3336,$L:$L)),0)</f>
        <v>-163.43843967031827</v>
      </c>
      <c r="O3336" s="30">
        <f>IFERROR((VLOOKUP($A3336,HeadJournal!$A$1:$L$890,COLUMN(HeadJournal!L$1),0)*($K3336+$L3336)/(SUMIF($A:$A,$A3336,$K:$K)+SUMIF($A:$A,$A3336,$L:$L)))/VLOOKUP($A3336,HeadJournal!$A$1:$L$890,COLUMN(HeadJournal!H$1),0),0)</f>
        <v>53.298576451364745</v>
      </c>
      <c r="P3336" s="30">
        <f>IFERROR(SUM(K3336:O3336)*VLOOKUP($A3336,HeadJournal!$A$1:$L$890,COLUMN(HeadJournal!H$1),0),0)</f>
        <v>1131.7801367810466</v>
      </c>
      <c r="Q3336" s="29">
        <v>2200</v>
      </c>
      <c r="R3336" s="31">
        <v>45588</v>
      </c>
      <c r="S3336" s="31" t="s">
        <v>3121</v>
      </c>
      <c r="T3336" s="95" t="str">
        <f t="shared" si="268"/>
        <v>2024 10</v>
      </c>
      <c r="U3336" s="32">
        <f t="shared" si="265"/>
        <v>1068.2198632189534</v>
      </c>
      <c r="V3336" s="22">
        <f t="shared" si="266"/>
        <v>0.94384044082725449</v>
      </c>
      <c r="X3336" s="33"/>
      <c r="Y3336" s="33"/>
    </row>
    <row r="3337" spans="1:25" x14ac:dyDescent="0.2">
      <c r="A3337" s="93" t="s">
        <v>1784</v>
      </c>
      <c r="B3337" s="94" t="str">
        <f>IFERROR(VLOOKUP($A3337,HeadJournal!$A$1:$NTR$890,COLUMN(HeadJournal!B$1),0),"")</f>
        <v>1495175557</v>
      </c>
      <c r="C3337" s="94" t="str">
        <f>IFERROR(VLOOKUP($A3337,HeadJournal!$A$1:$NTR$890,COLUMN(HeadJournal!C$1),0),"")</f>
        <v>essens_OA</v>
      </c>
      <c r="D3337" s="125" t="str">
        <f>IFERROR(VLOOKUP($A3337,HeadJournal!$A$1:$NTR$890,COLUMN(HeadJournal!D$1),0),"")</f>
        <v>Доставлен</v>
      </c>
      <c r="E3337" s="95">
        <f>IFERROR(VLOOKUP($A3337,HeadJournal!$A$1:$NTR$890,COLUMN(HeadJournal!G$1),0),"")</f>
        <v>45406</v>
      </c>
      <c r="F3337" s="95" t="str">
        <f t="shared" si="267"/>
        <v>2024 04</v>
      </c>
      <c r="G3337" s="96" t="s">
        <v>8</v>
      </c>
      <c r="H3337" s="161" t="s">
        <v>5299</v>
      </c>
      <c r="I3337" s="97" t="s">
        <v>2243</v>
      </c>
      <c r="J3337" s="97" t="s">
        <v>5358</v>
      </c>
      <c r="K3337" s="29">
        <v>1241.92</v>
      </c>
      <c r="L3337" s="29">
        <v>0</v>
      </c>
      <c r="M3337" s="30">
        <f>IFERROR(VLOOKUP($A3337,HeadJournal!$A$1:$J$890,COLUMN(HeadJournal!I$1),0)*($K3337+$L3337)/(SUMIF($A:$A,$A3337,$K:$K)+SUMIF($A:$A,$A3337,$L:$L)),0)</f>
        <v>0</v>
      </c>
      <c r="N3337" s="30">
        <f>IFERROR((VLOOKUP($A3337,HeadJournal!$A$1:$K$890,COLUMN(HeadJournal!K$1),0)-VLOOKUP($A3337,HeadJournal!$A$1:$K$890,COLUMN(HeadJournal!J$1),0))*($K3337+$L3337)/(SUMIF($A:$A,$A3337,$K:$K)+SUMIF($A:$A,$A3337,$L:$L)),0)</f>
        <v>-163.43843967031827</v>
      </c>
      <c r="O3337" s="30">
        <f>IFERROR((VLOOKUP($A3337,HeadJournal!$A$1:$L$890,COLUMN(HeadJournal!L$1),0)*($K3337+$L3337)/(SUMIF($A:$A,$A3337,$K:$K)+SUMIF($A:$A,$A3337,$L:$L)))/VLOOKUP($A3337,HeadJournal!$A$1:$L$890,COLUMN(HeadJournal!H$1),0),0)</f>
        <v>53.298576451364745</v>
      </c>
      <c r="P3337" s="30">
        <f>IFERROR(SUM(K3337:O3337)*VLOOKUP($A3337,HeadJournal!$A$1:$L$890,COLUMN(HeadJournal!H$1),0),0)</f>
        <v>1131.7801367810466</v>
      </c>
      <c r="Q3337" s="29"/>
      <c r="R3337" s="31"/>
      <c r="S3337" s="31"/>
      <c r="T3337" s="95" t="str">
        <f t="shared" si="268"/>
        <v/>
      </c>
      <c r="U3337" s="32">
        <f t="shared" si="265"/>
        <v>-1131.7801367810466</v>
      </c>
      <c r="V3337" s="22" t="str">
        <f t="shared" si="266"/>
        <v/>
      </c>
      <c r="X3337" s="33"/>
      <c r="Y3337" s="33"/>
    </row>
    <row r="3338" spans="1:25" x14ac:dyDescent="0.2">
      <c r="A3338" s="93" t="s">
        <v>1784</v>
      </c>
      <c r="B3338" s="94" t="str">
        <f>IFERROR(VLOOKUP($A3338,HeadJournal!$A$1:$NTR$890,COLUMN(HeadJournal!B$1),0),"")</f>
        <v>1495175557</v>
      </c>
      <c r="C3338" s="94" t="str">
        <f>IFERROR(VLOOKUP($A3338,HeadJournal!$A$1:$NTR$890,COLUMN(HeadJournal!C$1),0),"")</f>
        <v>essens_OA</v>
      </c>
      <c r="D3338" s="125" t="str">
        <f>IFERROR(VLOOKUP($A3338,HeadJournal!$A$1:$NTR$890,COLUMN(HeadJournal!D$1),0),"")</f>
        <v>Доставлен</v>
      </c>
      <c r="E3338" s="95">
        <f>IFERROR(VLOOKUP($A3338,HeadJournal!$A$1:$NTR$890,COLUMN(HeadJournal!G$1),0),"")</f>
        <v>45406</v>
      </c>
      <c r="F3338" s="95" t="str">
        <f t="shared" si="267"/>
        <v>2024 04</v>
      </c>
      <c r="G3338" s="96" t="s">
        <v>8</v>
      </c>
      <c r="H3338" s="161" t="s">
        <v>5291</v>
      </c>
      <c r="I3338" s="97" t="s">
        <v>2243</v>
      </c>
      <c r="J3338" s="97" t="s">
        <v>5346</v>
      </c>
      <c r="K3338" s="29">
        <v>1241.92</v>
      </c>
      <c r="L3338" s="29">
        <v>0</v>
      </c>
      <c r="M3338" s="30">
        <f>IFERROR(VLOOKUP($A3338,HeadJournal!$A$1:$J$890,COLUMN(HeadJournal!I$1),0)*($K3338+$L3338)/(SUMIF($A:$A,$A3338,$K:$K)+SUMIF($A:$A,$A3338,$L:$L)),0)</f>
        <v>0</v>
      </c>
      <c r="N3338" s="30">
        <f>IFERROR((VLOOKUP($A3338,HeadJournal!$A$1:$K$890,COLUMN(HeadJournal!K$1),0)-VLOOKUP($A3338,HeadJournal!$A$1:$K$890,COLUMN(HeadJournal!J$1),0))*($K3338+$L3338)/(SUMIF($A:$A,$A3338,$K:$K)+SUMIF($A:$A,$A3338,$L:$L)),0)</f>
        <v>-163.43843967031827</v>
      </c>
      <c r="O3338" s="30">
        <f>IFERROR((VLOOKUP($A3338,HeadJournal!$A$1:$L$890,COLUMN(HeadJournal!L$1),0)*($K3338+$L3338)/(SUMIF($A:$A,$A3338,$K:$K)+SUMIF($A:$A,$A3338,$L:$L)))/VLOOKUP($A3338,HeadJournal!$A$1:$L$890,COLUMN(HeadJournal!H$1),0),0)</f>
        <v>53.298576451364745</v>
      </c>
      <c r="P3338" s="30">
        <f>IFERROR(SUM(K3338:O3338)*VLOOKUP($A3338,HeadJournal!$A$1:$L$890,COLUMN(HeadJournal!H$1),0),0)</f>
        <v>1131.7801367810466</v>
      </c>
      <c r="Q3338" s="29">
        <v>2200</v>
      </c>
      <c r="R3338" s="31">
        <v>45423</v>
      </c>
      <c r="S3338" s="31" t="s">
        <v>3121</v>
      </c>
      <c r="T3338" s="95" t="str">
        <f t="shared" si="268"/>
        <v>2024 05</v>
      </c>
      <c r="U3338" s="32">
        <f t="shared" si="265"/>
        <v>1068.2198632189534</v>
      </c>
      <c r="V3338" s="22">
        <f t="shared" si="266"/>
        <v>0.94384044082725449</v>
      </c>
      <c r="X3338" s="33"/>
      <c r="Y3338" s="33"/>
    </row>
    <row r="3339" spans="1:25" x14ac:dyDescent="0.2">
      <c r="A3339" s="93" t="s">
        <v>1784</v>
      </c>
      <c r="B3339" s="94" t="str">
        <f>IFERROR(VLOOKUP($A3339,HeadJournal!$A$1:$NTR$890,COLUMN(HeadJournal!B$1),0),"")</f>
        <v>1495175557</v>
      </c>
      <c r="C3339" s="94" t="str">
        <f>IFERROR(VLOOKUP($A3339,HeadJournal!$A$1:$NTR$890,COLUMN(HeadJournal!C$1),0),"")</f>
        <v>essens_OA</v>
      </c>
      <c r="D3339" s="125" t="str">
        <f>IFERROR(VLOOKUP($A3339,HeadJournal!$A$1:$NTR$890,COLUMN(HeadJournal!D$1),0),"")</f>
        <v>Доставлен</v>
      </c>
      <c r="E3339" s="95">
        <f>IFERROR(VLOOKUP($A3339,HeadJournal!$A$1:$NTR$890,COLUMN(HeadJournal!G$1),0),"")</f>
        <v>45406</v>
      </c>
      <c r="F3339" s="95" t="str">
        <f t="shared" si="267"/>
        <v>2024 04</v>
      </c>
      <c r="G3339" s="96" t="s">
        <v>8</v>
      </c>
      <c r="H3339" s="161" t="s">
        <v>5291</v>
      </c>
      <c r="I3339" s="97" t="s">
        <v>2243</v>
      </c>
      <c r="J3339" s="97" t="s">
        <v>5346</v>
      </c>
      <c r="K3339" s="29">
        <v>1241.92</v>
      </c>
      <c r="L3339" s="29">
        <v>0</v>
      </c>
      <c r="M3339" s="30">
        <f>IFERROR(VLOOKUP($A3339,HeadJournal!$A$1:$J$890,COLUMN(HeadJournal!I$1),0)*($K3339+$L3339)/(SUMIF($A:$A,$A3339,$K:$K)+SUMIF($A:$A,$A3339,$L:$L)),0)</f>
        <v>0</v>
      </c>
      <c r="N3339" s="30">
        <f>IFERROR((VLOOKUP($A3339,HeadJournal!$A$1:$K$890,COLUMN(HeadJournal!K$1),0)-VLOOKUP($A3339,HeadJournal!$A$1:$K$890,COLUMN(HeadJournal!J$1),0))*($K3339+$L3339)/(SUMIF($A:$A,$A3339,$K:$K)+SUMIF($A:$A,$A3339,$L:$L)),0)</f>
        <v>-163.43843967031827</v>
      </c>
      <c r="O3339" s="30">
        <f>IFERROR((VLOOKUP($A3339,HeadJournal!$A$1:$L$890,COLUMN(HeadJournal!L$1),0)*($K3339+$L3339)/(SUMIF($A:$A,$A3339,$K:$K)+SUMIF($A:$A,$A3339,$L:$L)))/VLOOKUP($A3339,HeadJournal!$A$1:$L$890,COLUMN(HeadJournal!H$1),0),0)</f>
        <v>53.298576451364745</v>
      </c>
      <c r="P3339" s="30">
        <f>IFERROR(SUM(K3339:O3339)*VLOOKUP($A3339,HeadJournal!$A$1:$L$890,COLUMN(HeadJournal!H$1),0),0)</f>
        <v>1131.7801367810466</v>
      </c>
      <c r="Q3339" s="29"/>
      <c r="R3339" s="31"/>
      <c r="S3339" s="31"/>
      <c r="T3339" s="95" t="str">
        <f t="shared" si="268"/>
        <v/>
      </c>
      <c r="U3339" s="32">
        <f t="shared" si="265"/>
        <v>-1131.7801367810466</v>
      </c>
      <c r="V3339" s="22" t="str">
        <f t="shared" si="266"/>
        <v/>
      </c>
      <c r="X3339" s="33"/>
      <c r="Y3339" s="33"/>
    </row>
    <row r="3340" spans="1:25" x14ac:dyDescent="0.2">
      <c r="A3340" s="93" t="s">
        <v>1784</v>
      </c>
      <c r="B3340" s="94" t="str">
        <f>IFERROR(VLOOKUP($A3340,HeadJournal!$A$1:$NTR$890,COLUMN(HeadJournal!B$1),0),"")</f>
        <v>1495175557</v>
      </c>
      <c r="C3340" s="94" t="str">
        <f>IFERROR(VLOOKUP($A3340,HeadJournal!$A$1:$NTR$890,COLUMN(HeadJournal!C$1),0),"")</f>
        <v>essens_OA</v>
      </c>
      <c r="D3340" s="125" t="str">
        <f>IFERROR(VLOOKUP($A3340,HeadJournal!$A$1:$NTR$890,COLUMN(HeadJournal!D$1),0),"")</f>
        <v>Доставлен</v>
      </c>
      <c r="E3340" s="95">
        <f>IFERROR(VLOOKUP($A3340,HeadJournal!$A$1:$NTR$890,COLUMN(HeadJournal!G$1),0),"")</f>
        <v>45406</v>
      </c>
      <c r="F3340" s="95" t="str">
        <f t="shared" si="267"/>
        <v>2024 04</v>
      </c>
      <c r="G3340" s="96" t="s">
        <v>8</v>
      </c>
      <c r="H3340" s="161" t="s">
        <v>5300</v>
      </c>
      <c r="I3340" s="97" t="s">
        <v>2243</v>
      </c>
      <c r="J3340" s="97" t="s">
        <v>5359</v>
      </c>
      <c r="K3340" s="29">
        <v>1241.92</v>
      </c>
      <c r="L3340" s="29">
        <v>0</v>
      </c>
      <c r="M3340" s="30">
        <f>IFERROR(VLOOKUP($A3340,HeadJournal!$A$1:$J$890,COLUMN(HeadJournal!I$1),0)*($K3340+$L3340)/(SUMIF($A:$A,$A3340,$K:$K)+SUMIF($A:$A,$A3340,$L:$L)),0)</f>
        <v>0</v>
      </c>
      <c r="N3340" s="30">
        <f>IFERROR((VLOOKUP($A3340,HeadJournal!$A$1:$K$890,COLUMN(HeadJournal!K$1),0)-VLOOKUP($A3340,HeadJournal!$A$1:$K$890,COLUMN(HeadJournal!J$1),0))*($K3340+$L3340)/(SUMIF($A:$A,$A3340,$K:$K)+SUMIF($A:$A,$A3340,$L:$L)),0)</f>
        <v>-163.43843967031827</v>
      </c>
      <c r="O3340" s="30">
        <f>IFERROR((VLOOKUP($A3340,HeadJournal!$A$1:$L$890,COLUMN(HeadJournal!L$1),0)*($K3340+$L3340)/(SUMIF($A:$A,$A3340,$K:$K)+SUMIF($A:$A,$A3340,$L:$L)))/VLOOKUP($A3340,HeadJournal!$A$1:$L$890,COLUMN(HeadJournal!H$1),0),0)</f>
        <v>53.298576451364745</v>
      </c>
      <c r="P3340" s="30">
        <f>IFERROR(SUM(K3340:O3340)*VLOOKUP($A3340,HeadJournal!$A$1:$L$890,COLUMN(HeadJournal!H$1),0),0)</f>
        <v>1131.7801367810466</v>
      </c>
      <c r="Q3340" s="29"/>
      <c r="R3340" s="31"/>
      <c r="S3340" s="31"/>
      <c r="T3340" s="95" t="str">
        <f t="shared" si="268"/>
        <v/>
      </c>
      <c r="U3340" s="32">
        <f t="shared" si="265"/>
        <v>-1131.7801367810466</v>
      </c>
      <c r="V3340" s="22" t="str">
        <f t="shared" si="266"/>
        <v/>
      </c>
      <c r="X3340" s="33"/>
      <c r="Y3340" s="33"/>
    </row>
    <row r="3341" spans="1:25" x14ac:dyDescent="0.2">
      <c r="A3341" s="93" t="s">
        <v>1784</v>
      </c>
      <c r="B3341" s="94" t="str">
        <f>IFERROR(VLOOKUP($A3341,HeadJournal!$A$1:$NTR$890,COLUMN(HeadJournal!B$1),0),"")</f>
        <v>1495175557</v>
      </c>
      <c r="C3341" s="94" t="str">
        <f>IFERROR(VLOOKUP($A3341,HeadJournal!$A$1:$NTR$890,COLUMN(HeadJournal!C$1),0),"")</f>
        <v>essens_OA</v>
      </c>
      <c r="D3341" s="125" t="str">
        <f>IFERROR(VLOOKUP($A3341,HeadJournal!$A$1:$NTR$890,COLUMN(HeadJournal!D$1),0),"")</f>
        <v>Доставлен</v>
      </c>
      <c r="E3341" s="95">
        <f>IFERROR(VLOOKUP($A3341,HeadJournal!$A$1:$NTR$890,COLUMN(HeadJournal!G$1),0),"")</f>
        <v>45406</v>
      </c>
      <c r="F3341" s="95" t="str">
        <f t="shared" si="267"/>
        <v>2024 04</v>
      </c>
      <c r="G3341" s="96" t="s">
        <v>8</v>
      </c>
      <c r="H3341" s="161" t="s">
        <v>5301</v>
      </c>
      <c r="I3341" s="97" t="s">
        <v>2243</v>
      </c>
      <c r="J3341" s="97" t="s">
        <v>5360</v>
      </c>
      <c r="K3341" s="29">
        <v>1241.92</v>
      </c>
      <c r="L3341" s="29">
        <v>0</v>
      </c>
      <c r="M3341" s="30">
        <f>IFERROR(VLOOKUP($A3341,HeadJournal!$A$1:$J$890,COLUMN(HeadJournal!I$1),0)*($K3341+$L3341)/(SUMIF($A:$A,$A3341,$K:$K)+SUMIF($A:$A,$A3341,$L:$L)),0)</f>
        <v>0</v>
      </c>
      <c r="N3341" s="30">
        <f>IFERROR((VLOOKUP($A3341,HeadJournal!$A$1:$K$890,COLUMN(HeadJournal!K$1),0)-VLOOKUP($A3341,HeadJournal!$A$1:$K$890,COLUMN(HeadJournal!J$1),0))*($K3341+$L3341)/(SUMIF($A:$A,$A3341,$K:$K)+SUMIF($A:$A,$A3341,$L:$L)),0)</f>
        <v>-163.43843967031827</v>
      </c>
      <c r="O3341" s="30">
        <f>IFERROR((VLOOKUP($A3341,HeadJournal!$A$1:$L$890,COLUMN(HeadJournal!L$1),0)*($K3341+$L3341)/(SUMIF($A:$A,$A3341,$K:$K)+SUMIF($A:$A,$A3341,$L:$L)))/VLOOKUP($A3341,HeadJournal!$A$1:$L$890,COLUMN(HeadJournal!H$1),0),0)</f>
        <v>53.298576451364745</v>
      </c>
      <c r="P3341" s="30">
        <f>IFERROR(SUM(K3341:O3341)*VLOOKUP($A3341,HeadJournal!$A$1:$L$890,COLUMN(HeadJournal!H$1),0),0)</f>
        <v>1131.7801367810466</v>
      </c>
      <c r="Q3341" s="29"/>
      <c r="R3341" s="31"/>
      <c r="S3341" s="31"/>
      <c r="T3341" s="95" t="str">
        <f t="shared" si="268"/>
        <v/>
      </c>
      <c r="U3341" s="32">
        <f t="shared" si="265"/>
        <v>-1131.7801367810466</v>
      </c>
      <c r="V3341" s="22" t="str">
        <f t="shared" si="266"/>
        <v/>
      </c>
      <c r="X3341" s="33"/>
      <c r="Y3341" s="33"/>
    </row>
    <row r="3342" spans="1:25" x14ac:dyDescent="0.2">
      <c r="A3342" s="93" t="s">
        <v>1784</v>
      </c>
      <c r="B3342" s="94" t="str">
        <f>IFERROR(VLOOKUP($A3342,HeadJournal!$A$1:$NTR$890,COLUMN(HeadJournal!B$1),0),"")</f>
        <v>1495175557</v>
      </c>
      <c r="C3342" s="94" t="str">
        <f>IFERROR(VLOOKUP($A3342,HeadJournal!$A$1:$NTR$890,COLUMN(HeadJournal!C$1),0),"")</f>
        <v>essens_OA</v>
      </c>
      <c r="D3342" s="125" t="str">
        <f>IFERROR(VLOOKUP($A3342,HeadJournal!$A$1:$NTR$890,COLUMN(HeadJournal!D$1),0),"")</f>
        <v>Доставлен</v>
      </c>
      <c r="E3342" s="95">
        <f>IFERROR(VLOOKUP($A3342,HeadJournal!$A$1:$NTR$890,COLUMN(HeadJournal!G$1),0),"")</f>
        <v>45406</v>
      </c>
      <c r="F3342" s="95" t="str">
        <f t="shared" si="267"/>
        <v>2024 04</v>
      </c>
      <c r="G3342" s="96" t="s">
        <v>8</v>
      </c>
      <c r="H3342" s="161" t="s">
        <v>5302</v>
      </c>
      <c r="I3342" s="97" t="s">
        <v>2243</v>
      </c>
      <c r="J3342" s="97" t="s">
        <v>5361</v>
      </c>
      <c r="K3342" s="29">
        <v>1985.46</v>
      </c>
      <c r="L3342" s="29">
        <v>0</v>
      </c>
      <c r="M3342" s="30">
        <f>IFERROR(VLOOKUP($A3342,HeadJournal!$A$1:$J$890,COLUMN(HeadJournal!I$1),0)*($K3342+$L3342)/(SUMIF($A:$A,$A3342,$K:$K)+SUMIF($A:$A,$A3342,$L:$L)),0)</f>
        <v>0</v>
      </c>
      <c r="N3342" s="30">
        <f>IFERROR((VLOOKUP($A3342,HeadJournal!$A$1:$K$890,COLUMN(HeadJournal!K$1),0)-VLOOKUP($A3342,HeadJournal!$A$1:$K$890,COLUMN(HeadJournal!J$1),0))*($K3342+$L3342)/(SUMIF($A:$A,$A3342,$K:$K)+SUMIF($A:$A,$A3342,$L:$L)),0)</f>
        <v>-261.28936197809048</v>
      </c>
      <c r="O3342" s="30">
        <f>IFERROR((VLOOKUP($A3342,HeadJournal!$A$1:$L$890,COLUMN(HeadJournal!L$1),0)*($K3342+$L3342)/(SUMIF($A:$A,$A3342,$K:$K)+SUMIF($A:$A,$A3342,$L:$L)))/VLOOKUP($A3342,HeadJournal!$A$1:$L$890,COLUMN(HeadJournal!H$1),0),0)</f>
        <v>85.208541291811585</v>
      </c>
      <c r="P3342" s="30">
        <f>IFERROR(SUM(K3342:O3342)*VLOOKUP($A3342,HeadJournal!$A$1:$L$890,COLUMN(HeadJournal!H$1),0),0)</f>
        <v>1809.3791793137211</v>
      </c>
      <c r="Q3342" s="29"/>
      <c r="R3342" s="31"/>
      <c r="S3342" s="31"/>
      <c r="T3342" s="95" t="str">
        <f t="shared" si="268"/>
        <v/>
      </c>
      <c r="U3342" s="32">
        <f t="shared" si="265"/>
        <v>-1809.3791793137211</v>
      </c>
      <c r="V3342" s="22" t="str">
        <f t="shared" si="266"/>
        <v/>
      </c>
      <c r="X3342" s="33"/>
      <c r="Y3342" s="33"/>
    </row>
    <row r="3343" spans="1:25" x14ac:dyDescent="0.2">
      <c r="A3343" s="93" t="s">
        <v>1790</v>
      </c>
      <c r="B3343" s="94" t="str">
        <f>IFERROR(VLOOKUP($A3343,HeadJournal!$A$1:$NTR$890,COLUMN(HeadJournal!B$1),0),"")</f>
        <v>1495175587</v>
      </c>
      <c r="C3343" s="94" t="str">
        <f>IFERROR(VLOOKUP($A3343,HeadJournal!$A$1:$NTR$890,COLUMN(HeadJournal!C$1),0),"")</f>
        <v>essens_AV</v>
      </c>
      <c r="D3343" s="125" t="str">
        <f>IFERROR(VLOOKUP($A3343,HeadJournal!$A$1:$NTR$890,COLUMN(HeadJournal!D$1),0),"")</f>
        <v>Доставлен</v>
      </c>
      <c r="E3343" s="95">
        <f>IFERROR(VLOOKUP($A3343,HeadJournal!$A$1:$NTR$890,COLUMN(HeadJournal!G$1),0),"")</f>
        <v>45406</v>
      </c>
      <c r="F3343" s="95" t="str">
        <f t="shared" si="267"/>
        <v>2024 04</v>
      </c>
      <c r="G3343" s="96" t="s">
        <v>8</v>
      </c>
      <c r="H3343" s="161" t="s">
        <v>5303</v>
      </c>
      <c r="I3343" s="97" t="s">
        <v>2243</v>
      </c>
      <c r="J3343" s="97" t="s">
        <v>5362</v>
      </c>
      <c r="K3343" s="29">
        <v>1382.23</v>
      </c>
      <c r="L3343" s="29"/>
      <c r="M3343" s="30">
        <f>IFERROR(VLOOKUP($A3343,HeadJournal!$A$1:$J$890,COLUMN(HeadJournal!I$1),0)*($K3343+$L3343)/(SUMIF($A:$A,$A3343,$K:$K)+SUMIF($A:$A,$A3343,$L:$L)),0)</f>
        <v>0</v>
      </c>
      <c r="N3343" s="30">
        <f>IFERROR((VLOOKUP($A3343,HeadJournal!$A$1:$K$890,COLUMN(HeadJournal!K$1),0)-VLOOKUP($A3343,HeadJournal!$A$1:$K$890,COLUMN(HeadJournal!J$1),0))*($K3343+$L3343)/(SUMIF($A:$A,$A3343,$K:$K)+SUMIF($A:$A,$A3343,$L:$L)),0)</f>
        <v>-226.71132001072687</v>
      </c>
      <c r="O3343" s="30">
        <f>IFERROR((VLOOKUP($A3343,HeadJournal!$A$1:$L$890,COLUMN(HeadJournal!L$1),0)*($K3343+$L3343)/(SUMIF($A:$A,$A3343,$K:$K)+SUMIF($A:$A,$A3343,$L:$L)))/VLOOKUP($A3343,HeadJournal!$A$1:$L$890,COLUMN(HeadJournal!H$1),0),0)</f>
        <v>92.506445733380176</v>
      </c>
      <c r="P3343" s="30">
        <f>IFERROR(SUM(K3343:O3343)*VLOOKUP($A3343,HeadJournal!$A$1:$L$890,COLUMN(HeadJournal!H$1),0),0)</f>
        <v>1248.0251257226532</v>
      </c>
      <c r="Q3343" s="29"/>
      <c r="R3343" s="31"/>
      <c r="S3343" s="31"/>
      <c r="T3343" s="95" t="str">
        <f t="shared" si="268"/>
        <v/>
      </c>
      <c r="U3343" s="32">
        <f t="shared" si="265"/>
        <v>-1248.0251257226532</v>
      </c>
      <c r="V3343" s="22" t="str">
        <f t="shared" si="266"/>
        <v/>
      </c>
      <c r="X3343" s="33"/>
      <c r="Y3343" s="33"/>
    </row>
    <row r="3344" spans="1:25" x14ac:dyDescent="0.2">
      <c r="A3344" s="93" t="s">
        <v>1790</v>
      </c>
      <c r="B3344" s="94" t="str">
        <f>IFERROR(VLOOKUP($A3344,HeadJournal!$A$1:$NTR$890,COLUMN(HeadJournal!B$1),0),"")</f>
        <v>1495175587</v>
      </c>
      <c r="C3344" s="94" t="str">
        <f>IFERROR(VLOOKUP($A3344,HeadJournal!$A$1:$NTR$890,COLUMN(HeadJournal!C$1),0),"")</f>
        <v>essens_AV</v>
      </c>
      <c r="D3344" s="125" t="str">
        <f>IFERROR(VLOOKUP($A3344,HeadJournal!$A$1:$NTR$890,COLUMN(HeadJournal!D$1),0),"")</f>
        <v>Доставлен</v>
      </c>
      <c r="E3344" s="95">
        <f>IFERROR(VLOOKUP($A3344,HeadJournal!$A$1:$NTR$890,COLUMN(HeadJournal!G$1),0),"")</f>
        <v>45406</v>
      </c>
      <c r="F3344" s="95" t="str">
        <f t="shared" si="267"/>
        <v>2024 04</v>
      </c>
      <c r="G3344" s="96" t="s">
        <v>8</v>
      </c>
      <c r="H3344" s="161" t="s">
        <v>5304</v>
      </c>
      <c r="I3344" s="97" t="s">
        <v>2243</v>
      </c>
      <c r="J3344" s="97" t="s">
        <v>5363</v>
      </c>
      <c r="K3344" s="29">
        <v>1382.23</v>
      </c>
      <c r="L3344" s="29"/>
      <c r="M3344" s="30">
        <f>IFERROR(VLOOKUP($A3344,HeadJournal!$A$1:$J$890,COLUMN(HeadJournal!I$1),0)*($K3344+$L3344)/(SUMIF($A:$A,$A3344,$K:$K)+SUMIF($A:$A,$A3344,$L:$L)),0)</f>
        <v>0</v>
      </c>
      <c r="N3344" s="30">
        <f>IFERROR((VLOOKUP($A3344,HeadJournal!$A$1:$K$890,COLUMN(HeadJournal!K$1),0)-VLOOKUP($A3344,HeadJournal!$A$1:$K$890,COLUMN(HeadJournal!J$1),0))*($K3344+$L3344)/(SUMIF($A:$A,$A3344,$K:$K)+SUMIF($A:$A,$A3344,$L:$L)),0)</f>
        <v>-226.71132001072687</v>
      </c>
      <c r="O3344" s="30">
        <f>IFERROR((VLOOKUP($A3344,HeadJournal!$A$1:$L$890,COLUMN(HeadJournal!L$1),0)*($K3344+$L3344)/(SUMIF($A:$A,$A3344,$K:$K)+SUMIF($A:$A,$A3344,$L:$L)))/VLOOKUP($A3344,HeadJournal!$A$1:$L$890,COLUMN(HeadJournal!H$1),0),0)</f>
        <v>92.506445733380176</v>
      </c>
      <c r="P3344" s="30">
        <f>IFERROR(SUM(K3344:O3344)*VLOOKUP($A3344,HeadJournal!$A$1:$L$890,COLUMN(HeadJournal!H$1),0),0)</f>
        <v>1248.0251257226532</v>
      </c>
      <c r="Q3344" s="29"/>
      <c r="R3344" s="31"/>
      <c r="S3344" s="31"/>
      <c r="T3344" s="95" t="str">
        <f t="shared" si="268"/>
        <v/>
      </c>
      <c r="U3344" s="32">
        <f t="shared" si="265"/>
        <v>-1248.0251257226532</v>
      </c>
      <c r="V3344" s="22" t="str">
        <f t="shared" si="266"/>
        <v/>
      </c>
      <c r="X3344" s="33"/>
      <c r="Y3344" s="33"/>
    </row>
    <row r="3345" spans="1:25" x14ac:dyDescent="0.2">
      <c r="A3345" s="93" t="s">
        <v>1790</v>
      </c>
      <c r="B3345" s="94" t="str">
        <f>IFERROR(VLOOKUP($A3345,HeadJournal!$A$1:$NTR$890,COLUMN(HeadJournal!B$1),0),"")</f>
        <v>1495175587</v>
      </c>
      <c r="C3345" s="94" t="str">
        <f>IFERROR(VLOOKUP($A3345,HeadJournal!$A$1:$NTR$890,COLUMN(HeadJournal!C$1),0),"")</f>
        <v>essens_AV</v>
      </c>
      <c r="D3345" s="125" t="str">
        <f>IFERROR(VLOOKUP($A3345,HeadJournal!$A$1:$NTR$890,COLUMN(HeadJournal!D$1),0),"")</f>
        <v>Доставлен</v>
      </c>
      <c r="E3345" s="95">
        <f>IFERROR(VLOOKUP($A3345,HeadJournal!$A$1:$NTR$890,COLUMN(HeadJournal!G$1),0),"")</f>
        <v>45406</v>
      </c>
      <c r="F3345" s="95" t="str">
        <f t="shared" si="267"/>
        <v>2024 04</v>
      </c>
      <c r="G3345" s="96" t="s">
        <v>8</v>
      </c>
      <c r="H3345" s="161" t="s">
        <v>5305</v>
      </c>
      <c r="I3345" s="97" t="s">
        <v>2243</v>
      </c>
      <c r="J3345" s="97" t="s">
        <v>5364</v>
      </c>
      <c r="K3345" s="29">
        <v>1382.23</v>
      </c>
      <c r="L3345" s="29"/>
      <c r="M3345" s="30">
        <f>IFERROR(VLOOKUP($A3345,HeadJournal!$A$1:$J$890,COLUMN(HeadJournal!I$1),0)*($K3345+$L3345)/(SUMIF($A:$A,$A3345,$K:$K)+SUMIF($A:$A,$A3345,$L:$L)),0)</f>
        <v>0</v>
      </c>
      <c r="N3345" s="30">
        <f>IFERROR((VLOOKUP($A3345,HeadJournal!$A$1:$K$890,COLUMN(HeadJournal!K$1),0)-VLOOKUP($A3345,HeadJournal!$A$1:$K$890,COLUMN(HeadJournal!J$1),0))*($K3345+$L3345)/(SUMIF($A:$A,$A3345,$K:$K)+SUMIF($A:$A,$A3345,$L:$L)),0)</f>
        <v>-226.71132001072687</v>
      </c>
      <c r="O3345" s="30">
        <f>IFERROR((VLOOKUP($A3345,HeadJournal!$A$1:$L$890,COLUMN(HeadJournal!L$1),0)*($K3345+$L3345)/(SUMIF($A:$A,$A3345,$K:$K)+SUMIF($A:$A,$A3345,$L:$L)))/VLOOKUP($A3345,HeadJournal!$A$1:$L$890,COLUMN(HeadJournal!H$1),0),0)</f>
        <v>92.506445733380176</v>
      </c>
      <c r="P3345" s="30">
        <f>IFERROR(SUM(K3345:O3345)*VLOOKUP($A3345,HeadJournal!$A$1:$L$890,COLUMN(HeadJournal!H$1),0),0)</f>
        <v>1248.0251257226532</v>
      </c>
      <c r="Q3345" s="29"/>
      <c r="R3345" s="31"/>
      <c r="S3345" s="31"/>
      <c r="T3345" s="95" t="str">
        <f t="shared" si="268"/>
        <v/>
      </c>
      <c r="U3345" s="32">
        <f t="shared" si="265"/>
        <v>-1248.0251257226532</v>
      </c>
      <c r="V3345" s="22" t="str">
        <f t="shared" si="266"/>
        <v/>
      </c>
      <c r="X3345" s="33"/>
      <c r="Y3345" s="33"/>
    </row>
    <row r="3346" spans="1:25" x14ac:dyDescent="0.2">
      <c r="A3346" s="93" t="s">
        <v>1790</v>
      </c>
      <c r="B3346" s="94" t="str">
        <f>IFERROR(VLOOKUP($A3346,HeadJournal!$A$1:$NTR$890,COLUMN(HeadJournal!B$1),0),"")</f>
        <v>1495175587</v>
      </c>
      <c r="C3346" s="94" t="str">
        <f>IFERROR(VLOOKUP($A3346,HeadJournal!$A$1:$NTR$890,COLUMN(HeadJournal!C$1),0),"")</f>
        <v>essens_AV</v>
      </c>
      <c r="D3346" s="125" t="str">
        <f>IFERROR(VLOOKUP($A3346,HeadJournal!$A$1:$NTR$890,COLUMN(HeadJournal!D$1),0),"")</f>
        <v>Доставлен</v>
      </c>
      <c r="E3346" s="95">
        <f>IFERROR(VLOOKUP($A3346,HeadJournal!$A$1:$NTR$890,COLUMN(HeadJournal!G$1),0),"")</f>
        <v>45406</v>
      </c>
      <c r="F3346" s="95" t="str">
        <f t="shared" si="267"/>
        <v>2024 04</v>
      </c>
      <c r="G3346" s="96" t="s">
        <v>8</v>
      </c>
      <c r="H3346" s="161" t="s">
        <v>5305</v>
      </c>
      <c r="I3346" s="97" t="s">
        <v>2243</v>
      </c>
      <c r="J3346" s="97" t="s">
        <v>5364</v>
      </c>
      <c r="K3346" s="29">
        <v>1382.23</v>
      </c>
      <c r="L3346" s="29"/>
      <c r="M3346" s="30">
        <f>IFERROR(VLOOKUP($A3346,HeadJournal!$A$1:$J$890,COLUMN(HeadJournal!I$1),0)*($K3346+$L3346)/(SUMIF($A:$A,$A3346,$K:$K)+SUMIF($A:$A,$A3346,$L:$L)),0)</f>
        <v>0</v>
      </c>
      <c r="N3346" s="30">
        <f>IFERROR((VLOOKUP($A3346,HeadJournal!$A$1:$K$890,COLUMN(HeadJournal!K$1),0)-VLOOKUP($A3346,HeadJournal!$A$1:$K$890,COLUMN(HeadJournal!J$1),0))*($K3346+$L3346)/(SUMIF($A:$A,$A3346,$K:$K)+SUMIF($A:$A,$A3346,$L:$L)),0)</f>
        <v>-226.71132001072687</v>
      </c>
      <c r="O3346" s="30">
        <f>IFERROR((VLOOKUP($A3346,HeadJournal!$A$1:$L$890,COLUMN(HeadJournal!L$1),0)*($K3346+$L3346)/(SUMIF($A:$A,$A3346,$K:$K)+SUMIF($A:$A,$A3346,$L:$L)))/VLOOKUP($A3346,HeadJournal!$A$1:$L$890,COLUMN(HeadJournal!H$1),0),0)</f>
        <v>92.506445733380176</v>
      </c>
      <c r="P3346" s="30">
        <f>IFERROR(SUM(K3346:O3346)*VLOOKUP($A3346,HeadJournal!$A$1:$L$890,COLUMN(HeadJournal!H$1),0),0)</f>
        <v>1248.0251257226532</v>
      </c>
      <c r="Q3346" s="29">
        <v>2550</v>
      </c>
      <c r="R3346" s="31">
        <v>45423</v>
      </c>
      <c r="S3346" s="31" t="s">
        <v>3121</v>
      </c>
      <c r="T3346" s="95" t="str">
        <f t="shared" si="268"/>
        <v>2024 05</v>
      </c>
      <c r="U3346" s="32">
        <f t="shared" si="265"/>
        <v>1301.9748742773468</v>
      </c>
      <c r="V3346" s="22">
        <f t="shared" si="266"/>
        <v>1.0432280948858739</v>
      </c>
      <c r="X3346" s="33"/>
      <c r="Y3346" s="33"/>
    </row>
    <row r="3347" spans="1:25" x14ac:dyDescent="0.2">
      <c r="A3347" s="93" t="s">
        <v>1790</v>
      </c>
      <c r="B3347" s="94" t="str">
        <f>IFERROR(VLOOKUP($A3347,HeadJournal!$A$1:$NTR$890,COLUMN(HeadJournal!B$1),0),"")</f>
        <v>1495175587</v>
      </c>
      <c r="C3347" s="94" t="str">
        <f>IFERROR(VLOOKUP($A3347,HeadJournal!$A$1:$NTR$890,COLUMN(HeadJournal!C$1),0),"")</f>
        <v>essens_AV</v>
      </c>
      <c r="D3347" s="125" t="str">
        <f>IFERROR(VLOOKUP($A3347,HeadJournal!$A$1:$NTR$890,COLUMN(HeadJournal!D$1),0),"")</f>
        <v>Доставлен</v>
      </c>
      <c r="E3347" s="95">
        <f>IFERROR(VLOOKUP($A3347,HeadJournal!$A$1:$NTR$890,COLUMN(HeadJournal!G$1),0),"")</f>
        <v>45406</v>
      </c>
      <c r="F3347" s="95" t="str">
        <f t="shared" si="267"/>
        <v>2024 04</v>
      </c>
      <c r="G3347" s="96" t="s">
        <v>8</v>
      </c>
      <c r="H3347" s="161" t="s">
        <v>5306</v>
      </c>
      <c r="I3347" s="97" t="s">
        <v>2243</v>
      </c>
      <c r="J3347" s="97" t="s">
        <v>5365</v>
      </c>
      <c r="K3347" s="29">
        <v>1382.23</v>
      </c>
      <c r="L3347" s="29"/>
      <c r="M3347" s="30">
        <f>IFERROR(VLOOKUP($A3347,HeadJournal!$A$1:$J$890,COLUMN(HeadJournal!I$1),0)*($K3347+$L3347)/(SUMIF($A:$A,$A3347,$K:$K)+SUMIF($A:$A,$A3347,$L:$L)),0)</f>
        <v>0</v>
      </c>
      <c r="N3347" s="30">
        <f>IFERROR((VLOOKUP($A3347,HeadJournal!$A$1:$K$890,COLUMN(HeadJournal!K$1),0)-VLOOKUP($A3347,HeadJournal!$A$1:$K$890,COLUMN(HeadJournal!J$1),0))*($K3347+$L3347)/(SUMIF($A:$A,$A3347,$K:$K)+SUMIF($A:$A,$A3347,$L:$L)),0)</f>
        <v>-226.71132001072687</v>
      </c>
      <c r="O3347" s="30">
        <f>IFERROR((VLOOKUP($A3347,HeadJournal!$A$1:$L$890,COLUMN(HeadJournal!L$1),0)*($K3347+$L3347)/(SUMIF($A:$A,$A3347,$K:$K)+SUMIF($A:$A,$A3347,$L:$L)))/VLOOKUP($A3347,HeadJournal!$A$1:$L$890,COLUMN(HeadJournal!H$1),0),0)</f>
        <v>92.506445733380176</v>
      </c>
      <c r="P3347" s="30">
        <f>IFERROR(SUM(K3347:O3347)*VLOOKUP($A3347,HeadJournal!$A$1:$L$890,COLUMN(HeadJournal!H$1),0),0)</f>
        <v>1248.0251257226532</v>
      </c>
      <c r="Q3347" s="29"/>
      <c r="R3347" s="31"/>
      <c r="S3347" s="31"/>
      <c r="T3347" s="95" t="str">
        <f t="shared" si="268"/>
        <v/>
      </c>
      <c r="U3347" s="32">
        <f t="shared" si="265"/>
        <v>-1248.0251257226532</v>
      </c>
      <c r="V3347" s="22" t="str">
        <f t="shared" si="266"/>
        <v/>
      </c>
      <c r="X3347" s="33"/>
      <c r="Y3347" s="33"/>
    </row>
    <row r="3348" spans="1:25" x14ac:dyDescent="0.2">
      <c r="A3348" s="93" t="s">
        <v>1790</v>
      </c>
      <c r="B3348" s="94" t="str">
        <f>IFERROR(VLOOKUP($A3348,HeadJournal!$A$1:$NTR$890,COLUMN(HeadJournal!B$1),0),"")</f>
        <v>1495175587</v>
      </c>
      <c r="C3348" s="94" t="str">
        <f>IFERROR(VLOOKUP($A3348,HeadJournal!$A$1:$NTR$890,COLUMN(HeadJournal!C$1),0),"")</f>
        <v>essens_AV</v>
      </c>
      <c r="D3348" s="125" t="str">
        <f>IFERROR(VLOOKUP($A3348,HeadJournal!$A$1:$NTR$890,COLUMN(HeadJournal!D$1),0),"")</f>
        <v>Доставлен</v>
      </c>
      <c r="E3348" s="95">
        <f>IFERROR(VLOOKUP($A3348,HeadJournal!$A$1:$NTR$890,COLUMN(HeadJournal!G$1),0),"")</f>
        <v>45406</v>
      </c>
      <c r="F3348" s="95" t="str">
        <f t="shared" si="267"/>
        <v>2024 04</v>
      </c>
      <c r="G3348" s="96" t="s">
        <v>8</v>
      </c>
      <c r="H3348" s="161" t="s">
        <v>5307</v>
      </c>
      <c r="I3348" s="97" t="s">
        <v>2243</v>
      </c>
      <c r="J3348" s="97" t="s">
        <v>2517</v>
      </c>
      <c r="K3348" s="29">
        <v>1382.23</v>
      </c>
      <c r="L3348" s="29"/>
      <c r="M3348" s="30">
        <f>IFERROR(VLOOKUP($A3348,HeadJournal!$A$1:$J$890,COLUMN(HeadJournal!I$1),0)*($K3348+$L3348)/(SUMIF($A:$A,$A3348,$K:$K)+SUMIF($A:$A,$A3348,$L:$L)),0)</f>
        <v>0</v>
      </c>
      <c r="N3348" s="30">
        <f>IFERROR((VLOOKUP($A3348,HeadJournal!$A$1:$K$890,COLUMN(HeadJournal!K$1),0)-VLOOKUP($A3348,HeadJournal!$A$1:$K$890,COLUMN(HeadJournal!J$1),0))*($K3348+$L3348)/(SUMIF($A:$A,$A3348,$K:$K)+SUMIF($A:$A,$A3348,$L:$L)),0)</f>
        <v>-226.71132001072687</v>
      </c>
      <c r="O3348" s="30">
        <f>IFERROR((VLOOKUP($A3348,HeadJournal!$A$1:$L$890,COLUMN(HeadJournal!L$1),0)*($K3348+$L3348)/(SUMIF($A:$A,$A3348,$K:$K)+SUMIF($A:$A,$A3348,$L:$L)))/VLOOKUP($A3348,HeadJournal!$A$1:$L$890,COLUMN(HeadJournal!H$1),0),0)</f>
        <v>92.506445733380176</v>
      </c>
      <c r="P3348" s="30">
        <f>IFERROR(SUM(K3348:O3348)*VLOOKUP($A3348,HeadJournal!$A$1:$L$890,COLUMN(HeadJournal!H$1),0),0)</f>
        <v>1248.0251257226532</v>
      </c>
      <c r="Q3348" s="29">
        <v>2500</v>
      </c>
      <c r="R3348" s="31">
        <v>45588</v>
      </c>
      <c r="S3348" s="31" t="s">
        <v>3121</v>
      </c>
      <c r="T3348" s="95" t="str">
        <f t="shared" si="268"/>
        <v>2024 10</v>
      </c>
      <c r="U3348" s="32">
        <f t="shared" si="265"/>
        <v>1251.9748742773468</v>
      </c>
      <c r="V3348" s="22">
        <f t="shared" si="266"/>
        <v>1.0031647989077195</v>
      </c>
      <c r="X3348" s="33"/>
      <c r="Y3348" s="33"/>
    </row>
    <row r="3349" spans="1:25" x14ac:dyDescent="0.2">
      <c r="A3349" s="93" t="s">
        <v>1790</v>
      </c>
      <c r="B3349" s="94" t="str">
        <f>IFERROR(VLOOKUP($A3349,HeadJournal!$A$1:$NTR$890,COLUMN(HeadJournal!B$1),0),"")</f>
        <v>1495175587</v>
      </c>
      <c r="C3349" s="94" t="str">
        <f>IFERROR(VLOOKUP($A3349,HeadJournal!$A$1:$NTR$890,COLUMN(HeadJournal!C$1),0),"")</f>
        <v>essens_AV</v>
      </c>
      <c r="D3349" s="125" t="str">
        <f>IFERROR(VLOOKUP($A3349,HeadJournal!$A$1:$NTR$890,COLUMN(HeadJournal!D$1),0),"")</f>
        <v>Доставлен</v>
      </c>
      <c r="E3349" s="95">
        <f>IFERROR(VLOOKUP($A3349,HeadJournal!$A$1:$NTR$890,COLUMN(HeadJournal!G$1),0),"")</f>
        <v>45406</v>
      </c>
      <c r="F3349" s="95" t="str">
        <f t="shared" si="267"/>
        <v>2024 04</v>
      </c>
      <c r="G3349" s="96" t="s">
        <v>8</v>
      </c>
      <c r="H3349" s="161" t="s">
        <v>5308</v>
      </c>
      <c r="I3349" s="97" t="s">
        <v>2243</v>
      </c>
      <c r="J3349" s="97" t="s">
        <v>5366</v>
      </c>
      <c r="K3349" s="29">
        <v>133.9</v>
      </c>
      <c r="L3349" s="29"/>
      <c r="M3349" s="30">
        <f>IFERROR(VLOOKUP($A3349,HeadJournal!$A$1:$J$890,COLUMN(HeadJournal!I$1),0)*($K3349+$L3349)/(SUMIF($A:$A,$A3349,$K:$K)+SUMIF($A:$A,$A3349,$L:$L)),0)</f>
        <v>0</v>
      </c>
      <c r="N3349" s="30">
        <f>IFERROR((VLOOKUP($A3349,HeadJournal!$A$1:$K$890,COLUMN(HeadJournal!K$1),0)-VLOOKUP($A3349,HeadJournal!$A$1:$K$890,COLUMN(HeadJournal!J$1),0))*($K3349+$L3349)/(SUMIF($A:$A,$A3349,$K:$K)+SUMIF($A:$A,$A3349,$L:$L)),0)</f>
        <v>-21.962079935637579</v>
      </c>
      <c r="O3349" s="30">
        <f>IFERROR((VLOOKUP($A3349,HeadJournal!$A$1:$L$890,COLUMN(HeadJournal!L$1),0)*($K3349+$L3349)/(SUMIF($A:$A,$A3349,$K:$K)+SUMIF($A:$A,$A3349,$L:$L)))/VLOOKUP($A3349,HeadJournal!$A$1:$L$890,COLUMN(HeadJournal!H$1),0),0)</f>
        <v>8.9613255997190091</v>
      </c>
      <c r="P3349" s="30">
        <f>IFERROR(SUM(K3349:O3349)*VLOOKUP($A3349,HeadJournal!$A$1:$L$890,COLUMN(HeadJournal!H$1),0),0)</f>
        <v>120.89924566408143</v>
      </c>
      <c r="Q3349" s="29"/>
      <c r="R3349" s="31"/>
      <c r="S3349" s="31"/>
      <c r="T3349" s="95" t="str">
        <f t="shared" si="268"/>
        <v/>
      </c>
      <c r="U3349" s="32">
        <f t="shared" si="265"/>
        <v>-120.89924566408143</v>
      </c>
      <c r="V3349" s="22" t="str">
        <f t="shared" si="266"/>
        <v/>
      </c>
      <c r="X3349" s="33"/>
      <c r="Y3349" s="33"/>
    </row>
    <row r="3350" spans="1:25" x14ac:dyDescent="0.2">
      <c r="A3350" s="93" t="s">
        <v>1796</v>
      </c>
      <c r="B3350" s="94">
        <f>IFERROR(VLOOKUP($A3350,HeadJournal!$A$1:$NTR$890,COLUMN(HeadJournal!B$1),0),"")</f>
        <v>0</v>
      </c>
      <c r="C3350" s="94" t="str">
        <f>IFERROR(VLOOKUP($A3350,HeadJournal!$A$1:$NTR$890,COLUMN(HeadJournal!C$1),0),"")</f>
        <v>CoralClub_OA</v>
      </c>
      <c r="D3350" s="125" t="str">
        <f>IFERROR(VLOOKUP($A3350,HeadJournal!$A$1:$NTR$890,COLUMN(HeadJournal!D$1),0),"")</f>
        <v>Доставлен</v>
      </c>
      <c r="E3350" s="95">
        <f>IFERROR(VLOOKUP($A3350,HeadJournal!$A$1:$NTR$890,COLUMN(HeadJournal!G$1),0),"")</f>
        <v>45378</v>
      </c>
      <c r="F3350" s="95" t="str">
        <f t="shared" si="267"/>
        <v>2024 03</v>
      </c>
      <c r="G3350" s="96" t="s">
        <v>5</v>
      </c>
      <c r="H3350" s="160" t="str">
        <f>RIGHT(Journal!$J3350,9)</f>
        <v>000002153</v>
      </c>
      <c r="I3350" s="96" t="str">
        <f t="shared" si="264"/>
        <v>CoralClub</v>
      </c>
      <c r="J3350" s="97" t="s">
        <v>262</v>
      </c>
      <c r="K3350" s="29">
        <v>1320</v>
      </c>
      <c r="L3350" s="29"/>
      <c r="M3350" s="30">
        <f>IFERROR(VLOOKUP($A3350,HeadJournal!$A$1:$J$890,COLUMN(HeadJournal!I$1),0)*($K3350+$L3350)/(SUMIF($A:$A,$A3350,$K:$K)+SUMIF($A:$A,$A3350,$L:$L)),0)</f>
        <v>0</v>
      </c>
      <c r="N3350" s="30">
        <f>IFERROR((VLOOKUP($A3350,HeadJournal!$A$1:$K$890,COLUMN(HeadJournal!K$1),0)-VLOOKUP($A3350,HeadJournal!$A$1:$K$890,COLUMN(HeadJournal!J$1),0))*($K3350+$L3350)/(SUMIF($A:$A,$A3350,$K:$K)+SUMIF($A:$A,$A3350,$L:$L)),0)</f>
        <v>0</v>
      </c>
      <c r="O3350" s="30">
        <f>IFERROR((VLOOKUP($A3350,HeadJournal!$A$1:$L$890,COLUMN(HeadJournal!L$1),0)*($K3350+$L3350)/(SUMIF($A:$A,$A3350,$K:$K)+SUMIF($A:$A,$A3350,$L:$L)))/VLOOKUP($A3350,HeadJournal!$A$1:$L$890,COLUMN(HeadJournal!H$1),0),0)</f>
        <v>0</v>
      </c>
      <c r="P3350" s="30">
        <f>IFERROR(SUM(K3350:O3350)*VLOOKUP($A3350,HeadJournal!$A$1:$L$890,COLUMN(HeadJournal!H$1),0),0)</f>
        <v>1320</v>
      </c>
      <c r="Q3350" s="29">
        <v>1625</v>
      </c>
      <c r="R3350" s="31">
        <v>45423</v>
      </c>
      <c r="S3350" s="31" t="s">
        <v>3121</v>
      </c>
      <c r="T3350" s="95" t="str">
        <f t="shared" si="268"/>
        <v>2024 05</v>
      </c>
      <c r="U3350" s="32">
        <f t="shared" si="265"/>
        <v>305</v>
      </c>
      <c r="V3350" s="22">
        <f t="shared" si="266"/>
        <v>0.23106060606060605</v>
      </c>
      <c r="X3350" s="33"/>
      <c r="Y3350" s="33"/>
    </row>
    <row r="3351" spans="1:25" x14ac:dyDescent="0.2">
      <c r="A3351" s="93" t="s">
        <v>1796</v>
      </c>
      <c r="B3351" s="94">
        <f>IFERROR(VLOOKUP($A3351,HeadJournal!$A$1:$NTR$890,COLUMN(HeadJournal!B$1),0),"")</f>
        <v>0</v>
      </c>
      <c r="C3351" s="94" t="str">
        <f>IFERROR(VLOOKUP($A3351,HeadJournal!$A$1:$NTR$890,COLUMN(HeadJournal!C$1),0),"")</f>
        <v>CoralClub_OA</v>
      </c>
      <c r="D3351" s="125" t="str">
        <f>IFERROR(VLOOKUP($A3351,HeadJournal!$A$1:$NTR$890,COLUMN(HeadJournal!D$1),0),"")</f>
        <v>Доставлен</v>
      </c>
      <c r="E3351" s="95">
        <f>IFERROR(VLOOKUP($A3351,HeadJournal!$A$1:$NTR$890,COLUMN(HeadJournal!G$1),0),"")</f>
        <v>45378</v>
      </c>
      <c r="F3351" s="95" t="str">
        <f t="shared" si="267"/>
        <v>2024 03</v>
      </c>
      <c r="G3351" s="96" t="s">
        <v>5</v>
      </c>
      <c r="H3351" s="160" t="str">
        <f>RIGHT(Journal!$J3351,9)</f>
        <v>000002153</v>
      </c>
      <c r="I3351" s="96" t="str">
        <f t="shared" si="264"/>
        <v>CoralClub</v>
      </c>
      <c r="J3351" s="97" t="s">
        <v>262</v>
      </c>
      <c r="K3351" s="29">
        <v>1320</v>
      </c>
      <c r="L3351" s="29"/>
      <c r="M3351" s="30">
        <f>IFERROR(VLOOKUP($A3351,HeadJournal!$A$1:$J$890,COLUMN(HeadJournal!I$1),0)*($K3351+$L3351)/(SUMIF($A:$A,$A3351,$K:$K)+SUMIF($A:$A,$A3351,$L:$L)),0)</f>
        <v>0</v>
      </c>
      <c r="N3351" s="30">
        <f>IFERROR((VLOOKUP($A3351,HeadJournal!$A$1:$K$890,COLUMN(HeadJournal!K$1),0)-VLOOKUP($A3351,HeadJournal!$A$1:$K$890,COLUMN(HeadJournal!J$1),0))*($K3351+$L3351)/(SUMIF($A:$A,$A3351,$K:$K)+SUMIF($A:$A,$A3351,$L:$L)),0)</f>
        <v>0</v>
      </c>
      <c r="O3351" s="30">
        <f>IFERROR((VLOOKUP($A3351,HeadJournal!$A$1:$L$890,COLUMN(HeadJournal!L$1),0)*($K3351+$L3351)/(SUMIF($A:$A,$A3351,$K:$K)+SUMIF($A:$A,$A3351,$L:$L)))/VLOOKUP($A3351,HeadJournal!$A$1:$L$890,COLUMN(HeadJournal!H$1),0),0)</f>
        <v>0</v>
      </c>
      <c r="P3351" s="30">
        <f>IFERROR(SUM(K3351:O3351)*VLOOKUP($A3351,HeadJournal!$A$1:$L$890,COLUMN(HeadJournal!H$1),0),0)</f>
        <v>1320</v>
      </c>
      <c r="Q3351" s="29">
        <v>1625</v>
      </c>
      <c r="R3351" s="31">
        <v>45423</v>
      </c>
      <c r="S3351" s="31" t="s">
        <v>3121</v>
      </c>
      <c r="T3351" s="95" t="str">
        <f t="shared" si="268"/>
        <v>2024 05</v>
      </c>
      <c r="U3351" s="32">
        <f t="shared" si="265"/>
        <v>305</v>
      </c>
      <c r="V3351" s="22">
        <f t="shared" si="266"/>
        <v>0.23106060606060605</v>
      </c>
      <c r="X3351" s="33"/>
      <c r="Y3351" s="33"/>
    </row>
    <row r="3352" spans="1:25" x14ac:dyDescent="0.2">
      <c r="A3352" s="93" t="s">
        <v>1796</v>
      </c>
      <c r="B3352" s="94">
        <f>IFERROR(VLOOKUP($A3352,HeadJournal!$A$1:$NTR$890,COLUMN(HeadJournal!B$1),0),"")</f>
        <v>0</v>
      </c>
      <c r="C3352" s="94" t="str">
        <f>IFERROR(VLOOKUP($A3352,HeadJournal!$A$1:$NTR$890,COLUMN(HeadJournal!C$1),0),"")</f>
        <v>CoralClub_OA</v>
      </c>
      <c r="D3352" s="125" t="str">
        <f>IFERROR(VLOOKUP($A3352,HeadJournal!$A$1:$NTR$890,COLUMN(HeadJournal!D$1),0),"")</f>
        <v>Доставлен</v>
      </c>
      <c r="E3352" s="95">
        <f>IFERROR(VLOOKUP($A3352,HeadJournal!$A$1:$NTR$890,COLUMN(HeadJournal!G$1),0),"")</f>
        <v>45378</v>
      </c>
      <c r="F3352" s="95" t="str">
        <f t="shared" si="267"/>
        <v>2024 03</v>
      </c>
      <c r="G3352" s="96" t="s">
        <v>5</v>
      </c>
      <c r="H3352" s="160" t="str">
        <f>RIGHT(Journal!$J3352,9)</f>
        <v>000002153</v>
      </c>
      <c r="I3352" s="96" t="str">
        <f t="shared" si="264"/>
        <v>CoralClub</v>
      </c>
      <c r="J3352" s="97" t="s">
        <v>262</v>
      </c>
      <c r="K3352" s="29">
        <v>1320</v>
      </c>
      <c r="L3352" s="29"/>
      <c r="M3352" s="30">
        <f>IFERROR(VLOOKUP($A3352,HeadJournal!$A$1:$J$890,COLUMN(HeadJournal!I$1),0)*($K3352+$L3352)/(SUMIF($A:$A,$A3352,$K:$K)+SUMIF($A:$A,$A3352,$L:$L)),0)</f>
        <v>0</v>
      </c>
      <c r="N3352" s="30">
        <f>IFERROR((VLOOKUP($A3352,HeadJournal!$A$1:$K$890,COLUMN(HeadJournal!K$1),0)-VLOOKUP($A3352,HeadJournal!$A$1:$K$890,COLUMN(HeadJournal!J$1),0))*($K3352+$L3352)/(SUMIF($A:$A,$A3352,$K:$K)+SUMIF($A:$A,$A3352,$L:$L)),0)</f>
        <v>0</v>
      </c>
      <c r="O3352" s="30">
        <f>IFERROR((VLOOKUP($A3352,HeadJournal!$A$1:$L$890,COLUMN(HeadJournal!L$1),0)*($K3352+$L3352)/(SUMIF($A:$A,$A3352,$K:$K)+SUMIF($A:$A,$A3352,$L:$L)))/VLOOKUP($A3352,HeadJournal!$A$1:$L$890,COLUMN(HeadJournal!H$1),0),0)</f>
        <v>0</v>
      </c>
      <c r="P3352" s="30">
        <f>IFERROR(SUM(K3352:O3352)*VLOOKUP($A3352,HeadJournal!$A$1:$L$890,COLUMN(HeadJournal!H$1),0),0)</f>
        <v>1320</v>
      </c>
      <c r="Q3352" s="29">
        <v>1625</v>
      </c>
      <c r="R3352" s="31">
        <v>45423</v>
      </c>
      <c r="S3352" s="31" t="s">
        <v>3121</v>
      </c>
      <c r="T3352" s="95" t="str">
        <f t="shared" si="268"/>
        <v>2024 05</v>
      </c>
      <c r="U3352" s="32">
        <f t="shared" si="265"/>
        <v>305</v>
      </c>
      <c r="V3352" s="22">
        <f t="shared" si="266"/>
        <v>0.23106060606060605</v>
      </c>
      <c r="X3352" s="33"/>
      <c r="Y3352" s="33"/>
    </row>
    <row r="3353" spans="1:25" x14ac:dyDescent="0.2">
      <c r="A3353" s="93" t="s">
        <v>1796</v>
      </c>
      <c r="B3353" s="94">
        <f>IFERROR(VLOOKUP($A3353,HeadJournal!$A$1:$NTR$890,COLUMN(HeadJournal!B$1),0),"")</f>
        <v>0</v>
      </c>
      <c r="C3353" s="94" t="str">
        <f>IFERROR(VLOOKUP($A3353,HeadJournal!$A$1:$NTR$890,COLUMN(HeadJournal!C$1),0),"")</f>
        <v>CoralClub_OA</v>
      </c>
      <c r="D3353" s="125" t="str">
        <f>IFERROR(VLOOKUP($A3353,HeadJournal!$A$1:$NTR$890,COLUMN(HeadJournal!D$1),0),"")</f>
        <v>Доставлен</v>
      </c>
      <c r="E3353" s="95">
        <f>IFERROR(VLOOKUP($A3353,HeadJournal!$A$1:$NTR$890,COLUMN(HeadJournal!G$1),0),"")</f>
        <v>45378</v>
      </c>
      <c r="F3353" s="95" t="str">
        <f t="shared" si="267"/>
        <v>2024 03</v>
      </c>
      <c r="G3353" s="96" t="s">
        <v>5</v>
      </c>
      <c r="H3353" s="160" t="str">
        <f>RIGHT(Journal!$J3353,9)</f>
        <v>000002153</v>
      </c>
      <c r="I3353" s="96" t="str">
        <f t="shared" si="264"/>
        <v>CoralClub</v>
      </c>
      <c r="J3353" s="97" t="s">
        <v>262</v>
      </c>
      <c r="K3353" s="29">
        <v>1320</v>
      </c>
      <c r="L3353" s="29"/>
      <c r="M3353" s="30">
        <f>IFERROR(VLOOKUP($A3353,HeadJournal!$A$1:$J$890,COLUMN(HeadJournal!I$1),0)*($K3353+$L3353)/(SUMIF($A:$A,$A3353,$K:$K)+SUMIF($A:$A,$A3353,$L:$L)),0)</f>
        <v>0</v>
      </c>
      <c r="N3353" s="30">
        <f>IFERROR((VLOOKUP($A3353,HeadJournal!$A$1:$K$890,COLUMN(HeadJournal!K$1),0)-VLOOKUP($A3353,HeadJournal!$A$1:$K$890,COLUMN(HeadJournal!J$1),0))*($K3353+$L3353)/(SUMIF($A:$A,$A3353,$K:$K)+SUMIF($A:$A,$A3353,$L:$L)),0)</f>
        <v>0</v>
      </c>
      <c r="O3353" s="30">
        <f>IFERROR((VLOOKUP($A3353,HeadJournal!$A$1:$L$890,COLUMN(HeadJournal!L$1),0)*($K3353+$L3353)/(SUMIF($A:$A,$A3353,$K:$K)+SUMIF($A:$A,$A3353,$L:$L)))/VLOOKUP($A3353,HeadJournal!$A$1:$L$890,COLUMN(HeadJournal!H$1),0),0)</f>
        <v>0</v>
      </c>
      <c r="P3353" s="30">
        <f>IFERROR(SUM(K3353:O3353)*VLOOKUP($A3353,HeadJournal!$A$1:$L$890,COLUMN(HeadJournal!H$1),0),0)</f>
        <v>1320</v>
      </c>
      <c r="Q3353" s="29">
        <v>1625</v>
      </c>
      <c r="R3353" s="31">
        <v>45423</v>
      </c>
      <c r="S3353" s="31" t="s">
        <v>3121</v>
      </c>
      <c r="T3353" s="95" t="str">
        <f t="shared" si="268"/>
        <v>2024 05</v>
      </c>
      <c r="U3353" s="32">
        <f t="shared" si="265"/>
        <v>305</v>
      </c>
      <c r="V3353" s="22">
        <f t="shared" si="266"/>
        <v>0.23106060606060605</v>
      </c>
      <c r="X3353" s="33"/>
      <c r="Y3353" s="33"/>
    </row>
    <row r="3354" spans="1:25" x14ac:dyDescent="0.2">
      <c r="A3354" s="93" t="s">
        <v>1796</v>
      </c>
      <c r="B3354" s="94">
        <f>IFERROR(VLOOKUP($A3354,HeadJournal!$A$1:$NTR$890,COLUMN(HeadJournal!B$1),0),"")</f>
        <v>0</v>
      </c>
      <c r="C3354" s="94" t="str">
        <f>IFERROR(VLOOKUP($A3354,HeadJournal!$A$1:$NTR$890,COLUMN(HeadJournal!C$1),0),"")</f>
        <v>CoralClub_OA</v>
      </c>
      <c r="D3354" s="125" t="str">
        <f>IFERROR(VLOOKUP($A3354,HeadJournal!$A$1:$NTR$890,COLUMN(HeadJournal!D$1),0),"")</f>
        <v>Доставлен</v>
      </c>
      <c r="E3354" s="95">
        <f>IFERROR(VLOOKUP($A3354,HeadJournal!$A$1:$NTR$890,COLUMN(HeadJournal!G$1),0),"")</f>
        <v>45378</v>
      </c>
      <c r="F3354" s="95" t="str">
        <f t="shared" si="267"/>
        <v>2024 03</v>
      </c>
      <c r="G3354" s="96" t="s">
        <v>5</v>
      </c>
      <c r="H3354" s="160" t="str">
        <f>RIGHT(Journal!$J3354,9)</f>
        <v>000002153</v>
      </c>
      <c r="I3354" s="96" t="str">
        <f t="shared" si="264"/>
        <v>CoralClub</v>
      </c>
      <c r="J3354" s="97" t="s">
        <v>262</v>
      </c>
      <c r="K3354" s="29">
        <v>1320</v>
      </c>
      <c r="L3354" s="29"/>
      <c r="M3354" s="30">
        <f>IFERROR(VLOOKUP($A3354,HeadJournal!$A$1:$J$890,COLUMN(HeadJournal!I$1),0)*($K3354+$L3354)/(SUMIF($A:$A,$A3354,$K:$K)+SUMIF($A:$A,$A3354,$L:$L)),0)</f>
        <v>0</v>
      </c>
      <c r="N3354" s="30">
        <f>IFERROR((VLOOKUP($A3354,HeadJournal!$A$1:$K$890,COLUMN(HeadJournal!K$1),0)-VLOOKUP($A3354,HeadJournal!$A$1:$K$890,COLUMN(HeadJournal!J$1),0))*($K3354+$L3354)/(SUMIF($A:$A,$A3354,$K:$K)+SUMIF($A:$A,$A3354,$L:$L)),0)</f>
        <v>0</v>
      </c>
      <c r="O3354" s="30">
        <f>IFERROR((VLOOKUP($A3354,HeadJournal!$A$1:$L$890,COLUMN(HeadJournal!L$1),0)*($K3354+$L3354)/(SUMIF($A:$A,$A3354,$K:$K)+SUMIF($A:$A,$A3354,$L:$L)))/VLOOKUP($A3354,HeadJournal!$A$1:$L$890,COLUMN(HeadJournal!H$1),0),0)</f>
        <v>0</v>
      </c>
      <c r="P3354" s="30">
        <f>IFERROR(SUM(K3354:O3354)*VLOOKUP($A3354,HeadJournal!$A$1:$L$890,COLUMN(HeadJournal!H$1),0),0)</f>
        <v>1320</v>
      </c>
      <c r="Q3354" s="29">
        <v>1500</v>
      </c>
      <c r="R3354" s="31">
        <v>45704</v>
      </c>
      <c r="S3354" s="31" t="s">
        <v>3121</v>
      </c>
      <c r="T3354" s="95" t="str">
        <f t="shared" si="268"/>
        <v>2025 02</v>
      </c>
      <c r="U3354" s="32">
        <f t="shared" si="265"/>
        <v>180</v>
      </c>
      <c r="V3354" s="22">
        <f t="shared" si="266"/>
        <v>0.13636363636363635</v>
      </c>
      <c r="X3354" s="33"/>
      <c r="Y3354" s="33"/>
    </row>
    <row r="3355" spans="1:25" x14ac:dyDescent="0.2">
      <c r="A3355" s="93" t="s">
        <v>1797</v>
      </c>
      <c r="B3355" s="94">
        <f>IFERROR(VLOOKUP($A3355,HeadJournal!$A$1:$NTR$890,COLUMN(HeadJournal!B$1),0),"")</f>
        <v>0</v>
      </c>
      <c r="C3355" s="94" t="str">
        <f>IFERROR(VLOOKUP($A3355,HeadJournal!$A$1:$NTR$890,COLUMN(HeadJournal!C$1),0),"")</f>
        <v>WBRS</v>
      </c>
      <c r="D3355" s="125" t="str">
        <f>IFERROR(VLOOKUP($A3355,HeadJournal!$A$1:$NTR$890,COLUMN(HeadJournal!D$1),0),"")</f>
        <v>Доставлен</v>
      </c>
      <c r="E3355" s="95">
        <f>IFERROR(VLOOKUP($A3355,HeadJournal!$A$1:$NTR$890,COLUMN(HeadJournal!G$1),0),"")</f>
        <v>45415</v>
      </c>
      <c r="F3355" s="95" t="str">
        <f t="shared" si="267"/>
        <v>2024 05</v>
      </c>
      <c r="G3355" s="96" t="s">
        <v>7</v>
      </c>
      <c r="H3355" s="160" t="str">
        <f>RIGHT(Journal!$J3355,9)</f>
        <v>199224842</v>
      </c>
      <c r="I3355" s="96" t="str">
        <f t="shared" si="264"/>
        <v>Lady choice</v>
      </c>
      <c r="J3355" s="97" t="s">
        <v>1798</v>
      </c>
      <c r="K3355" s="29">
        <v>246</v>
      </c>
      <c r="L3355" s="29"/>
      <c r="M3355" s="30">
        <f>IFERROR(VLOOKUP($A3355,HeadJournal!$A$1:$J$890,COLUMN(HeadJournal!I$1),0)*($K3355+$L3355)/(SUMIF($A:$A,$A3355,$K:$K)+SUMIF($A:$A,$A3355,$L:$L)),0)</f>
        <v>0</v>
      </c>
      <c r="N3355" s="30">
        <f>IFERROR((VLOOKUP($A3355,HeadJournal!$A$1:$K$890,COLUMN(HeadJournal!K$1),0)-VLOOKUP($A3355,HeadJournal!$A$1:$K$890,COLUMN(HeadJournal!J$1),0))*($K3355+$L3355)/(SUMIF($A:$A,$A3355,$K:$K)+SUMIF($A:$A,$A3355,$L:$L)),0)</f>
        <v>0</v>
      </c>
      <c r="O3355" s="30">
        <f>IFERROR((VLOOKUP($A3355,HeadJournal!$A$1:$L$890,COLUMN(HeadJournal!L$1),0)*($K3355+$L3355)/(SUMIF($A:$A,$A3355,$K:$K)+SUMIF($A:$A,$A3355,$L:$L)))/VLOOKUP($A3355,HeadJournal!$A$1:$L$890,COLUMN(HeadJournal!H$1),0),0)</f>
        <v>0</v>
      </c>
      <c r="P3355" s="30">
        <f>IFERROR(SUM(K3355:O3355)*VLOOKUP($A3355,HeadJournal!$A$1:$L$890,COLUMN(HeadJournal!H$1),0),0)</f>
        <v>246</v>
      </c>
      <c r="Q3355" s="29">
        <v>350</v>
      </c>
      <c r="R3355" s="31">
        <v>45423</v>
      </c>
      <c r="S3355" s="31" t="s">
        <v>3121</v>
      </c>
      <c r="T3355" s="95" t="str">
        <f t="shared" si="268"/>
        <v>2024 05</v>
      </c>
      <c r="U3355" s="32">
        <f t="shared" si="265"/>
        <v>104</v>
      </c>
      <c r="V3355" s="22">
        <f t="shared" si="266"/>
        <v>0.42276422764227645</v>
      </c>
      <c r="X3355" s="33"/>
      <c r="Y3355" s="33"/>
    </row>
    <row r="3356" spans="1:25" x14ac:dyDescent="0.2">
      <c r="A3356" s="93" t="s">
        <v>1797</v>
      </c>
      <c r="B3356" s="94">
        <f>IFERROR(VLOOKUP($A3356,HeadJournal!$A$1:$NTR$890,COLUMN(HeadJournal!B$1),0),"")</f>
        <v>0</v>
      </c>
      <c r="C3356" s="94" t="str">
        <f>IFERROR(VLOOKUP($A3356,HeadJournal!$A$1:$NTR$890,COLUMN(HeadJournal!C$1),0),"")</f>
        <v>WBRS</v>
      </c>
      <c r="D3356" s="125" t="str">
        <f>IFERROR(VLOOKUP($A3356,HeadJournal!$A$1:$NTR$890,COLUMN(HeadJournal!D$1),0),"")</f>
        <v>Доставлен</v>
      </c>
      <c r="E3356" s="95">
        <f>IFERROR(VLOOKUP($A3356,HeadJournal!$A$1:$NTR$890,COLUMN(HeadJournal!G$1),0),"")</f>
        <v>45415</v>
      </c>
      <c r="F3356" s="95" t="str">
        <f t="shared" si="267"/>
        <v>2024 05</v>
      </c>
      <c r="G3356" s="96" t="s">
        <v>7</v>
      </c>
      <c r="H3356" s="160" t="str">
        <f>RIGHT(Journal!$J3356,9)</f>
        <v>199224842</v>
      </c>
      <c r="I3356" s="96" t="str">
        <f t="shared" si="264"/>
        <v>Lady choice</v>
      </c>
      <c r="J3356" s="97" t="s">
        <v>1798</v>
      </c>
      <c r="K3356" s="29">
        <v>246</v>
      </c>
      <c r="L3356" s="29"/>
      <c r="M3356" s="30">
        <f>IFERROR(VLOOKUP($A3356,HeadJournal!$A$1:$J$890,COLUMN(HeadJournal!I$1),0)*($K3356+$L3356)/(SUMIF($A:$A,$A3356,$K:$K)+SUMIF($A:$A,$A3356,$L:$L)),0)</f>
        <v>0</v>
      </c>
      <c r="N3356" s="30">
        <f>IFERROR((VLOOKUP($A3356,HeadJournal!$A$1:$K$890,COLUMN(HeadJournal!K$1),0)-VLOOKUP($A3356,HeadJournal!$A$1:$K$890,COLUMN(HeadJournal!J$1),0))*($K3356+$L3356)/(SUMIF($A:$A,$A3356,$K:$K)+SUMIF($A:$A,$A3356,$L:$L)),0)</f>
        <v>0</v>
      </c>
      <c r="O3356" s="30">
        <f>IFERROR((VLOOKUP($A3356,HeadJournal!$A$1:$L$890,COLUMN(HeadJournal!L$1),0)*($K3356+$L3356)/(SUMIF($A:$A,$A3356,$K:$K)+SUMIF($A:$A,$A3356,$L:$L)))/VLOOKUP($A3356,HeadJournal!$A$1:$L$890,COLUMN(HeadJournal!H$1),0),0)</f>
        <v>0</v>
      </c>
      <c r="P3356" s="30">
        <f>IFERROR(SUM(K3356:O3356)*VLOOKUP($A3356,HeadJournal!$A$1:$L$890,COLUMN(HeadJournal!H$1),0),0)</f>
        <v>246</v>
      </c>
      <c r="Q3356" s="29">
        <v>350</v>
      </c>
      <c r="R3356" s="31">
        <v>45423</v>
      </c>
      <c r="S3356" s="31" t="s">
        <v>3121</v>
      </c>
      <c r="T3356" s="95" t="str">
        <f t="shared" si="268"/>
        <v>2024 05</v>
      </c>
      <c r="U3356" s="32">
        <f t="shared" si="265"/>
        <v>104</v>
      </c>
      <c r="V3356" s="22">
        <f t="shared" si="266"/>
        <v>0.42276422764227645</v>
      </c>
      <c r="X3356" s="33"/>
      <c r="Y3356" s="33"/>
    </row>
    <row r="3357" spans="1:25" x14ac:dyDescent="0.2">
      <c r="A3357" s="93" t="s">
        <v>1797</v>
      </c>
      <c r="B3357" s="94">
        <f>IFERROR(VLOOKUP($A3357,HeadJournal!$A$1:$NTR$890,COLUMN(HeadJournal!B$1),0),"")</f>
        <v>0</v>
      </c>
      <c r="C3357" s="94" t="str">
        <f>IFERROR(VLOOKUP($A3357,HeadJournal!$A$1:$NTR$890,COLUMN(HeadJournal!C$1),0),"")</f>
        <v>WBRS</v>
      </c>
      <c r="D3357" s="125" t="str">
        <f>IFERROR(VLOOKUP($A3357,HeadJournal!$A$1:$NTR$890,COLUMN(HeadJournal!D$1),0),"")</f>
        <v>Доставлен</v>
      </c>
      <c r="E3357" s="95">
        <f>IFERROR(VLOOKUP($A3357,HeadJournal!$A$1:$NTR$890,COLUMN(HeadJournal!G$1),0),"")</f>
        <v>45415</v>
      </c>
      <c r="F3357" s="95" t="str">
        <f t="shared" si="267"/>
        <v>2024 05</v>
      </c>
      <c r="G3357" s="96" t="s">
        <v>7</v>
      </c>
      <c r="H3357" s="160" t="str">
        <f>RIGHT(Journal!$J3357,9)</f>
        <v>199224842</v>
      </c>
      <c r="I3357" s="96" t="str">
        <f t="shared" si="264"/>
        <v>Lady choice</v>
      </c>
      <c r="J3357" s="97" t="s">
        <v>1798</v>
      </c>
      <c r="K3357" s="29">
        <v>246</v>
      </c>
      <c r="L3357" s="29"/>
      <c r="M3357" s="30">
        <f>IFERROR(VLOOKUP($A3357,HeadJournal!$A$1:$J$890,COLUMN(HeadJournal!I$1),0)*($K3357+$L3357)/(SUMIF($A:$A,$A3357,$K:$K)+SUMIF($A:$A,$A3357,$L:$L)),0)</f>
        <v>0</v>
      </c>
      <c r="N3357" s="30">
        <f>IFERROR((VLOOKUP($A3357,HeadJournal!$A$1:$K$890,COLUMN(HeadJournal!K$1),0)-VLOOKUP($A3357,HeadJournal!$A$1:$K$890,COLUMN(HeadJournal!J$1),0))*($K3357+$L3357)/(SUMIF($A:$A,$A3357,$K:$K)+SUMIF($A:$A,$A3357,$L:$L)),0)</f>
        <v>0</v>
      </c>
      <c r="O3357" s="30">
        <f>IFERROR((VLOOKUP($A3357,HeadJournal!$A$1:$L$890,COLUMN(HeadJournal!L$1),0)*($K3357+$L3357)/(SUMIF($A:$A,$A3357,$K:$K)+SUMIF($A:$A,$A3357,$L:$L)))/VLOOKUP($A3357,HeadJournal!$A$1:$L$890,COLUMN(HeadJournal!H$1),0),0)</f>
        <v>0</v>
      </c>
      <c r="P3357" s="30">
        <f>IFERROR(SUM(K3357:O3357)*VLOOKUP($A3357,HeadJournal!$A$1:$L$890,COLUMN(HeadJournal!H$1),0),0)</f>
        <v>246</v>
      </c>
      <c r="Q3357" s="29"/>
      <c r="R3357" s="31"/>
      <c r="S3357" s="31"/>
      <c r="T3357" s="95" t="str">
        <f t="shared" si="268"/>
        <v/>
      </c>
      <c r="U3357" s="32">
        <f t="shared" si="265"/>
        <v>-246</v>
      </c>
      <c r="V3357" s="22" t="str">
        <f t="shared" si="266"/>
        <v/>
      </c>
      <c r="X3357" s="33"/>
      <c r="Y3357" s="33"/>
    </row>
    <row r="3358" spans="1:25" x14ac:dyDescent="0.2">
      <c r="A3358" s="93" t="s">
        <v>1799</v>
      </c>
      <c r="B3358" s="94">
        <f>IFERROR(VLOOKUP($A3358,HeadJournal!$A$1:$NTR$890,COLUMN(HeadJournal!B$1),0),"")</f>
        <v>0</v>
      </c>
      <c r="C3358" s="94" t="str">
        <f>IFERROR(VLOOKUP($A3358,HeadJournal!$A$1:$NTR$890,COLUMN(HeadJournal!C$1),0),"")</f>
        <v>WBRS</v>
      </c>
      <c r="D3358" s="125" t="str">
        <f>IFERROR(VLOOKUP($A3358,HeadJournal!$A$1:$NTR$890,COLUMN(HeadJournal!D$1),0),"")</f>
        <v>Доставлен</v>
      </c>
      <c r="E3358" s="95">
        <f>IFERROR(VLOOKUP($A3358,HeadJournal!$A$1:$NTR$890,COLUMN(HeadJournal!G$1),0),"")</f>
        <v>45429</v>
      </c>
      <c r="F3358" s="95" t="str">
        <f t="shared" si="267"/>
        <v>2024 05</v>
      </c>
      <c r="G3358" s="96" t="s">
        <v>5</v>
      </c>
      <c r="H3358" s="161" t="s">
        <v>4046</v>
      </c>
      <c r="I3358" s="97" t="s">
        <v>2009</v>
      </c>
      <c r="J3358" s="97" t="s">
        <v>4047</v>
      </c>
      <c r="K3358" s="29">
        <v>1207</v>
      </c>
      <c r="L3358" s="29"/>
      <c r="M3358" s="30">
        <f>IFERROR(VLOOKUP($A3358,HeadJournal!$A$1:$J$890,COLUMN(HeadJournal!I$1),0)*($K3358+$L3358)/(SUMIF($A:$A,$A3358,$K:$K)+SUMIF($A:$A,$A3358,$L:$L)),0)</f>
        <v>0</v>
      </c>
      <c r="N3358" s="30">
        <f>IFERROR((VLOOKUP($A3358,HeadJournal!$A$1:$K$890,COLUMN(HeadJournal!K$1),0)-VLOOKUP($A3358,HeadJournal!$A$1:$K$890,COLUMN(HeadJournal!J$1),0))*($K3358+$L3358)/(SUMIF($A:$A,$A3358,$K:$K)+SUMIF($A:$A,$A3358,$L:$L)),0)</f>
        <v>0</v>
      </c>
      <c r="O3358" s="30">
        <f>IFERROR((VLOOKUP($A3358,HeadJournal!$A$1:$L$890,COLUMN(HeadJournal!L$1),0)*($K3358+$L3358)/(SUMIF($A:$A,$A3358,$K:$K)+SUMIF($A:$A,$A3358,$L:$L)))/VLOOKUP($A3358,HeadJournal!$A$1:$L$890,COLUMN(HeadJournal!H$1),0),0)</f>
        <v>0</v>
      </c>
      <c r="P3358" s="30">
        <f>IFERROR(SUM(K3358:O3358)*VLOOKUP($A3358,HeadJournal!$A$1:$L$890,COLUMN(HeadJournal!H$1),0),0)</f>
        <v>1207</v>
      </c>
      <c r="Q3358" s="29">
        <v>1800</v>
      </c>
      <c r="R3358" s="31">
        <v>45430</v>
      </c>
      <c r="S3358" s="31" t="s">
        <v>3121</v>
      </c>
      <c r="T3358" s="95" t="str">
        <f t="shared" si="268"/>
        <v>2024 05</v>
      </c>
      <c r="U3358" s="32">
        <f t="shared" si="265"/>
        <v>593</v>
      </c>
      <c r="V3358" s="22">
        <f t="shared" si="266"/>
        <v>0.49130074565037285</v>
      </c>
      <c r="X3358" s="33"/>
      <c r="Y3358" s="33"/>
    </row>
    <row r="3359" spans="1:25" x14ac:dyDescent="0.2">
      <c r="A3359" s="93" t="s">
        <v>1800</v>
      </c>
      <c r="B3359" s="94">
        <f>IFERROR(VLOOKUP($A3359,HeadJournal!$A$1:$NTR$890,COLUMN(HeadJournal!B$1),0),"")</f>
        <v>0</v>
      </c>
      <c r="C3359" s="94" t="str">
        <f>IFERROR(VLOOKUP($A3359,HeadJournal!$A$1:$NTR$890,COLUMN(HeadJournal!C$1),0),"")</f>
        <v>OZON_OA</v>
      </c>
      <c r="D3359" s="125" t="str">
        <f>IFERROR(VLOOKUP($A3359,HeadJournal!$A$1:$NTR$890,COLUMN(HeadJournal!D$1),0),"")</f>
        <v>Доставлен</v>
      </c>
      <c r="E3359" s="95">
        <f>IFERROR(VLOOKUP($A3359,HeadJournal!$A$1:$NTR$890,COLUMN(HeadJournal!G$1),0),"")</f>
        <v>45411</v>
      </c>
      <c r="F3359" s="95" t="str">
        <f t="shared" si="267"/>
        <v>2024 04</v>
      </c>
      <c r="G3359" s="96" t="s">
        <v>5</v>
      </c>
      <c r="H3359" s="160" t="str">
        <f>RIGHT(Journal!$J3359,9)</f>
        <v>SOL-03540</v>
      </c>
      <c r="I3359" s="96" t="str">
        <f t="shared" si="264"/>
        <v>Solgar</v>
      </c>
      <c r="J3359" s="97" t="s">
        <v>1801</v>
      </c>
      <c r="K3359" s="29">
        <v>1110</v>
      </c>
      <c r="L3359" s="29"/>
      <c r="M3359" s="30">
        <f>IFERROR(VLOOKUP($A3359,HeadJournal!$A$1:$J$890,COLUMN(HeadJournal!I$1),0)*($K3359+$L3359)/(SUMIF($A:$A,$A3359,$K:$K)+SUMIF($A:$A,$A3359,$L:$L)),0)</f>
        <v>0</v>
      </c>
      <c r="N3359" s="30">
        <f>IFERROR((VLOOKUP($A3359,HeadJournal!$A$1:$K$890,COLUMN(HeadJournal!K$1),0)-VLOOKUP($A3359,HeadJournal!$A$1:$K$890,COLUMN(HeadJournal!J$1),0))*($K3359+$L3359)/(SUMIF($A:$A,$A3359,$K:$K)+SUMIF($A:$A,$A3359,$L:$L)),0)</f>
        <v>0</v>
      </c>
      <c r="O3359" s="30">
        <f>IFERROR((VLOOKUP($A3359,HeadJournal!$A$1:$L$890,COLUMN(HeadJournal!L$1),0)*($K3359+$L3359)/(SUMIF($A:$A,$A3359,$K:$K)+SUMIF($A:$A,$A3359,$L:$L)))/VLOOKUP($A3359,HeadJournal!$A$1:$L$890,COLUMN(HeadJournal!H$1),0),0)</f>
        <v>0</v>
      </c>
      <c r="P3359" s="30">
        <f>IFERROR(SUM(K3359:O3359)*VLOOKUP($A3359,HeadJournal!$A$1:$L$890,COLUMN(HeadJournal!H$1),0),0)</f>
        <v>1110</v>
      </c>
      <c r="Q3359" s="29">
        <v>1500</v>
      </c>
      <c r="R3359" s="31">
        <v>45431</v>
      </c>
      <c r="S3359" s="31" t="s">
        <v>3121</v>
      </c>
      <c r="T3359" s="95" t="str">
        <f t="shared" si="268"/>
        <v>2024 05</v>
      </c>
      <c r="U3359" s="32">
        <f t="shared" si="265"/>
        <v>390</v>
      </c>
      <c r="V3359" s="22">
        <f t="shared" si="266"/>
        <v>0.35135135135135137</v>
      </c>
      <c r="X3359" s="33"/>
      <c r="Y3359" s="33"/>
    </row>
    <row r="3360" spans="1:25" x14ac:dyDescent="0.2">
      <c r="A3360" s="93" t="s">
        <v>1800</v>
      </c>
      <c r="B3360" s="94">
        <f>IFERROR(VLOOKUP($A3360,HeadJournal!$A$1:$NTR$890,COLUMN(HeadJournal!B$1),0),"")</f>
        <v>0</v>
      </c>
      <c r="C3360" s="94" t="str">
        <f>IFERROR(VLOOKUP($A3360,HeadJournal!$A$1:$NTR$890,COLUMN(HeadJournal!C$1),0),"")</f>
        <v>OZON_OA</v>
      </c>
      <c r="D3360" s="125" t="str">
        <f>IFERROR(VLOOKUP($A3360,HeadJournal!$A$1:$NTR$890,COLUMN(HeadJournal!D$1),0),"")</f>
        <v>Доставлен</v>
      </c>
      <c r="E3360" s="95">
        <f>IFERROR(VLOOKUP($A3360,HeadJournal!$A$1:$NTR$890,COLUMN(HeadJournal!G$1),0),"")</f>
        <v>45411</v>
      </c>
      <c r="F3360" s="95" t="str">
        <f t="shared" si="267"/>
        <v>2024 04</v>
      </c>
      <c r="G3360" s="96" t="s">
        <v>5</v>
      </c>
      <c r="H3360" s="160" t="s">
        <v>3733</v>
      </c>
      <c r="I3360" s="96" t="str">
        <f t="shared" si="264"/>
        <v>Cloma Pharma</v>
      </c>
      <c r="J3360" s="97" t="s">
        <v>526</v>
      </c>
      <c r="K3360" s="29">
        <v>1953</v>
      </c>
      <c r="L3360" s="29"/>
      <c r="M3360" s="30">
        <f>IFERROR(VLOOKUP($A3360,HeadJournal!$A$1:$J$890,COLUMN(HeadJournal!I$1),0)*($K3360+$L3360)/(SUMIF($A:$A,$A3360,$K:$K)+SUMIF($A:$A,$A3360,$L:$L)),0)</f>
        <v>0</v>
      </c>
      <c r="N3360" s="30">
        <f>IFERROR((VLOOKUP($A3360,HeadJournal!$A$1:$K$890,COLUMN(HeadJournal!K$1),0)-VLOOKUP($A3360,HeadJournal!$A$1:$K$890,COLUMN(HeadJournal!J$1),0))*($K3360+$L3360)/(SUMIF($A:$A,$A3360,$K:$K)+SUMIF($A:$A,$A3360,$L:$L)),0)</f>
        <v>0</v>
      </c>
      <c r="O3360" s="30">
        <f>IFERROR((VLOOKUP($A3360,HeadJournal!$A$1:$L$890,COLUMN(HeadJournal!L$1),0)*($K3360+$L3360)/(SUMIF($A:$A,$A3360,$K:$K)+SUMIF($A:$A,$A3360,$L:$L)))/VLOOKUP($A3360,HeadJournal!$A$1:$L$890,COLUMN(HeadJournal!H$1),0),0)</f>
        <v>0</v>
      </c>
      <c r="P3360" s="30">
        <f>IFERROR(SUM(K3360:O3360)*VLOOKUP($A3360,HeadJournal!$A$1:$L$890,COLUMN(HeadJournal!H$1),0),0)</f>
        <v>1953</v>
      </c>
      <c r="Q3360" s="29">
        <v>4000</v>
      </c>
      <c r="R3360" s="31">
        <v>45465</v>
      </c>
      <c r="S3360" s="31" t="s">
        <v>3121</v>
      </c>
      <c r="T3360" s="95" t="str">
        <f t="shared" si="268"/>
        <v>2024 06</v>
      </c>
      <c r="U3360" s="32">
        <f t="shared" si="265"/>
        <v>2047</v>
      </c>
      <c r="V3360" s="22">
        <f t="shared" si="266"/>
        <v>1.0481310803891448</v>
      </c>
      <c r="X3360" s="33"/>
      <c r="Y3360" s="33"/>
    </row>
    <row r="3361" spans="1:25" x14ac:dyDescent="0.2">
      <c r="A3361" s="93" t="s">
        <v>1802</v>
      </c>
      <c r="B3361" s="94" t="str">
        <f>IFERROR(VLOOKUP($A3361,HeadJournal!$A$1:$NTR$890,COLUMN(HeadJournal!B$1),0),"")</f>
        <v>722500168396</v>
      </c>
      <c r="C3361" s="94" t="str">
        <f>IFERROR(VLOOKUP($A3361,HeadJournal!$A$1:$NTR$890,COLUMN(HeadJournal!C$1),0),"")</f>
        <v>iHerb_MH DLE7202</v>
      </c>
      <c r="D3361" s="125" t="str">
        <f>IFERROR(VLOOKUP($A3361,HeadJournal!$A$1:$NTR$890,COLUMN(HeadJournal!D$1),0),"")</f>
        <v>Доставлен</v>
      </c>
      <c r="E3361" s="95">
        <f>IFERROR(VLOOKUP($A3361,HeadJournal!$A$1:$NTR$890,COLUMN(HeadJournal!G$1),0),"")</f>
        <v>45420</v>
      </c>
      <c r="F3361" s="95" t="str">
        <f t="shared" si="267"/>
        <v>2024 05</v>
      </c>
      <c r="G3361" s="96" t="s">
        <v>5</v>
      </c>
      <c r="H3361" s="160" t="str">
        <f>RIGHT(Journal!$J3361,9)</f>
        <v>NRB-51365</v>
      </c>
      <c r="I3361" s="127" t="str">
        <f t="shared" si="264"/>
        <v>NutraBio</v>
      </c>
      <c r="J3361" s="97" t="s">
        <v>1806</v>
      </c>
      <c r="K3361" s="29">
        <v>10.029999999999999</v>
      </c>
      <c r="L3361" s="29">
        <v>-2.5099999999999998</v>
      </c>
      <c r="M3361" s="30">
        <f>IFERROR(VLOOKUP($A3361,HeadJournal!$A$1:$J$890,COLUMN(HeadJournal!I$1),0)*($K3361+$L3361)/(SUMIF($A:$A,$A3361,$K:$K)+SUMIF($A:$A,$A3361,$L:$L)),0)</f>
        <v>-0.23692168765363969</v>
      </c>
      <c r="N3361" s="30">
        <f>IFERROR((VLOOKUP($A3361,HeadJournal!$A$1:$K$890,COLUMN(HeadJournal!K$1),0)-VLOOKUP($A3361,HeadJournal!$A$1:$K$890,COLUMN(HeadJournal!J$1),0))*($K3361+$L3361)/(SUMIF($A:$A,$A3361,$K:$K)+SUMIF($A:$A,$A3361,$L:$L)),0)</f>
        <v>0</v>
      </c>
      <c r="O3361" s="30">
        <f>IFERROR((VLOOKUP($A3361,HeadJournal!$A$1:$L$890,COLUMN(HeadJournal!L$1),0)*($K3361+$L3361)/(SUMIF($A:$A,$A3361,$K:$K)+SUMIF($A:$A,$A3361,$L:$L)))/VLOOKUP($A3361,HeadJournal!$A$1:$L$890,COLUMN(HeadJournal!H$1),0),0)</f>
        <v>0.46469062944390965</v>
      </c>
      <c r="P3361" s="30">
        <f>IFERROR(SUM(K3361:O3361)*VLOOKUP($A3361,HeadJournal!$A$1:$L$890,COLUMN(HeadJournal!H$1),0),0)</f>
        <v>804.90389605177324</v>
      </c>
      <c r="Q3361" s="29">
        <v>1500</v>
      </c>
      <c r="R3361" s="31">
        <v>45447</v>
      </c>
      <c r="S3361" s="31" t="s">
        <v>3121</v>
      </c>
      <c r="T3361" s="95" t="str">
        <f t="shared" si="268"/>
        <v>2024 06</v>
      </c>
      <c r="U3361" s="32">
        <f t="shared" si="265"/>
        <v>695.09610394822676</v>
      </c>
      <c r="V3361" s="22">
        <f t="shared" si="266"/>
        <v>0.86357651808846081</v>
      </c>
      <c r="X3361" s="33"/>
      <c r="Y3361" s="33"/>
    </row>
    <row r="3362" spans="1:25" x14ac:dyDescent="0.2">
      <c r="A3362" s="93" t="s">
        <v>1802</v>
      </c>
      <c r="B3362" s="94" t="str">
        <f>IFERROR(VLOOKUP($A3362,HeadJournal!$A$1:$NTR$890,COLUMN(HeadJournal!B$1),0),"")</f>
        <v>722500168396</v>
      </c>
      <c r="C3362" s="94" t="str">
        <f>IFERROR(VLOOKUP($A3362,HeadJournal!$A$1:$NTR$890,COLUMN(HeadJournal!C$1),0),"")</f>
        <v>iHerb_MH DLE7202</v>
      </c>
      <c r="D3362" s="125" t="str">
        <f>IFERROR(VLOOKUP($A3362,HeadJournal!$A$1:$NTR$890,COLUMN(HeadJournal!D$1),0),"")</f>
        <v>Доставлен</v>
      </c>
      <c r="E3362" s="95">
        <f>IFERROR(VLOOKUP($A3362,HeadJournal!$A$1:$NTR$890,COLUMN(HeadJournal!G$1),0),"")</f>
        <v>45420</v>
      </c>
      <c r="F3362" s="95" t="str">
        <f t="shared" si="267"/>
        <v>2024 05</v>
      </c>
      <c r="G3362" s="96" t="s">
        <v>5</v>
      </c>
      <c r="H3362" s="161" t="s">
        <v>2223</v>
      </c>
      <c r="I3362" s="97" t="s">
        <v>2008</v>
      </c>
      <c r="J3362" s="97" t="s">
        <v>2224</v>
      </c>
      <c r="K3362" s="29">
        <v>12.17</v>
      </c>
      <c r="L3362" s="29">
        <v>-3.0433333333333334</v>
      </c>
      <c r="M3362" s="30">
        <f>IFERROR(VLOOKUP($A3362,HeadJournal!$A$1:$J$890,COLUMN(HeadJournal!I$1),0)*($K3362+$L3362)/(SUMIF($A:$A,$A3362,$K:$K)+SUMIF($A:$A,$A3362,$L:$L)),0)</f>
        <v>-0.28754059432431983</v>
      </c>
      <c r="N3362" s="30">
        <f>IFERROR((VLOOKUP($A3362,HeadJournal!$A$1:$K$890,COLUMN(HeadJournal!K$1),0)-VLOOKUP($A3362,HeadJournal!$A$1:$K$890,COLUMN(HeadJournal!J$1),0))*($K3362+$L3362)/(SUMIF($A:$A,$A3362,$K:$K)+SUMIF($A:$A,$A3362,$L:$L)),0)</f>
        <v>0</v>
      </c>
      <c r="O3362" s="30">
        <f>IFERROR((VLOOKUP($A3362,HeadJournal!$A$1:$L$890,COLUMN(HeadJournal!L$1),0)*($K3362+$L3362)/(SUMIF($A:$A,$A3362,$K:$K)+SUMIF($A:$A,$A3362,$L:$L)))/VLOOKUP($A3362,HeadJournal!$A$1:$L$890,COLUMN(HeadJournal!H$1),0),0)</f>
        <v>0.56397293591197906</v>
      </c>
      <c r="P3362" s="30">
        <f>IFERROR(SUM(K3362:O3362)*VLOOKUP($A3362,HeadJournal!$A$1:$L$890,COLUMN(HeadJournal!H$1),0),0)</f>
        <v>976.87361143162923</v>
      </c>
      <c r="Q3362" s="29">
        <v>1800</v>
      </c>
      <c r="R3362" s="31">
        <v>45536</v>
      </c>
      <c r="S3362" s="31" t="s">
        <v>3121</v>
      </c>
      <c r="T3362" s="95" t="str">
        <f t="shared" si="268"/>
        <v>2024 09</v>
      </c>
      <c r="U3362" s="32">
        <f t="shared" si="265"/>
        <v>823.12638856837077</v>
      </c>
      <c r="V3362" s="22">
        <f t="shared" si="266"/>
        <v>0.84261298384553696</v>
      </c>
      <c r="X3362" s="33"/>
      <c r="Y3362" s="33"/>
    </row>
    <row r="3363" spans="1:25" x14ac:dyDescent="0.2">
      <c r="A3363" s="93" t="s">
        <v>1802</v>
      </c>
      <c r="B3363" s="94" t="str">
        <f>IFERROR(VLOOKUP($A3363,HeadJournal!$A$1:$NTR$890,COLUMN(HeadJournal!B$1),0),"")</f>
        <v>722500168396</v>
      </c>
      <c r="C3363" s="94" t="str">
        <f>IFERROR(VLOOKUP($A3363,HeadJournal!$A$1:$NTR$890,COLUMN(HeadJournal!C$1),0),"")</f>
        <v>iHerb_MH DLE7202</v>
      </c>
      <c r="D3363" s="125" t="str">
        <f>IFERROR(VLOOKUP($A3363,HeadJournal!$A$1:$NTR$890,COLUMN(HeadJournal!D$1),0),"")</f>
        <v>Доставлен</v>
      </c>
      <c r="E3363" s="95">
        <f>IFERROR(VLOOKUP($A3363,HeadJournal!$A$1:$NTR$890,COLUMN(HeadJournal!G$1),0),"")</f>
        <v>45420</v>
      </c>
      <c r="F3363" s="95" t="str">
        <f t="shared" si="267"/>
        <v>2024 05</v>
      </c>
      <c r="G3363" s="96" t="s">
        <v>5</v>
      </c>
      <c r="H3363" s="161" t="s">
        <v>2223</v>
      </c>
      <c r="I3363" s="97" t="s">
        <v>2008</v>
      </c>
      <c r="J3363" s="97" t="s">
        <v>2224</v>
      </c>
      <c r="K3363" s="29">
        <v>12.17</v>
      </c>
      <c r="L3363" s="29">
        <v>-3.0433333333333334</v>
      </c>
      <c r="M3363" s="30">
        <f>IFERROR(VLOOKUP($A3363,HeadJournal!$A$1:$J$890,COLUMN(HeadJournal!I$1),0)*($K3363+$L3363)/(SUMIF($A:$A,$A3363,$K:$K)+SUMIF($A:$A,$A3363,$L:$L)),0)</f>
        <v>-0.28754059432431983</v>
      </c>
      <c r="N3363" s="30">
        <f>IFERROR((VLOOKUP($A3363,HeadJournal!$A$1:$K$890,COLUMN(HeadJournal!K$1),0)-VLOOKUP($A3363,HeadJournal!$A$1:$K$890,COLUMN(HeadJournal!J$1),0))*($K3363+$L3363)/(SUMIF($A:$A,$A3363,$K:$K)+SUMIF($A:$A,$A3363,$L:$L)),0)</f>
        <v>0</v>
      </c>
      <c r="O3363" s="30">
        <f>IFERROR((VLOOKUP($A3363,HeadJournal!$A$1:$L$890,COLUMN(HeadJournal!L$1),0)*($K3363+$L3363)/(SUMIF($A:$A,$A3363,$K:$K)+SUMIF($A:$A,$A3363,$L:$L)))/VLOOKUP($A3363,HeadJournal!$A$1:$L$890,COLUMN(HeadJournal!H$1),0),0)</f>
        <v>0.56397293591197906</v>
      </c>
      <c r="P3363" s="30">
        <f>IFERROR(SUM(K3363:O3363)*VLOOKUP($A3363,HeadJournal!$A$1:$L$890,COLUMN(HeadJournal!H$1),0),0)</f>
        <v>976.87361143162923</v>
      </c>
      <c r="Q3363" s="29">
        <v>1800</v>
      </c>
      <c r="R3363" s="31">
        <v>45612</v>
      </c>
      <c r="S3363" s="31" t="s">
        <v>3121</v>
      </c>
      <c r="T3363" s="95" t="str">
        <f t="shared" si="268"/>
        <v>2024 11</v>
      </c>
      <c r="U3363" s="32">
        <f t="shared" si="265"/>
        <v>823.12638856837077</v>
      </c>
      <c r="V3363" s="22">
        <f t="shared" si="266"/>
        <v>0.84261298384553696</v>
      </c>
      <c r="X3363" s="33"/>
      <c r="Y3363" s="33"/>
    </row>
    <row r="3364" spans="1:25" x14ac:dyDescent="0.2">
      <c r="A3364" s="93" t="s">
        <v>1802</v>
      </c>
      <c r="B3364" s="94" t="str">
        <f>IFERROR(VLOOKUP($A3364,HeadJournal!$A$1:$NTR$890,COLUMN(HeadJournal!B$1),0),"")</f>
        <v>722500168396</v>
      </c>
      <c r="C3364" s="94" t="str">
        <f>IFERROR(VLOOKUP($A3364,HeadJournal!$A$1:$NTR$890,COLUMN(HeadJournal!C$1),0),"")</f>
        <v>iHerb_MH DLE7202</v>
      </c>
      <c r="D3364" s="125" t="str">
        <f>IFERROR(VLOOKUP($A3364,HeadJournal!$A$1:$NTR$890,COLUMN(HeadJournal!D$1),0),"")</f>
        <v>Доставлен</v>
      </c>
      <c r="E3364" s="95">
        <f>IFERROR(VLOOKUP($A3364,HeadJournal!$A$1:$NTR$890,COLUMN(HeadJournal!G$1),0),"")</f>
        <v>45420</v>
      </c>
      <c r="F3364" s="95" t="str">
        <f t="shared" si="267"/>
        <v>2024 05</v>
      </c>
      <c r="G3364" s="96" t="s">
        <v>5</v>
      </c>
      <c r="H3364" s="161" t="s">
        <v>2223</v>
      </c>
      <c r="I3364" s="97" t="s">
        <v>2008</v>
      </c>
      <c r="J3364" s="97" t="s">
        <v>2224</v>
      </c>
      <c r="K3364" s="29">
        <v>12.17</v>
      </c>
      <c r="L3364" s="29">
        <v>-3.0433333333333334</v>
      </c>
      <c r="M3364" s="30">
        <f>IFERROR(VLOOKUP($A3364,HeadJournal!$A$1:$J$890,COLUMN(HeadJournal!I$1),0)*($K3364+$L3364)/(SUMIF($A:$A,$A3364,$K:$K)+SUMIF($A:$A,$A3364,$L:$L)),0)</f>
        <v>-0.28754059432431983</v>
      </c>
      <c r="N3364" s="30">
        <f>IFERROR((VLOOKUP($A3364,HeadJournal!$A$1:$K$890,COLUMN(HeadJournal!K$1),0)-VLOOKUP($A3364,HeadJournal!$A$1:$K$890,COLUMN(HeadJournal!J$1),0))*($K3364+$L3364)/(SUMIF($A:$A,$A3364,$K:$K)+SUMIF($A:$A,$A3364,$L:$L)),0)</f>
        <v>0</v>
      </c>
      <c r="O3364" s="30">
        <f>IFERROR((VLOOKUP($A3364,HeadJournal!$A$1:$L$890,COLUMN(HeadJournal!L$1),0)*($K3364+$L3364)/(SUMIF($A:$A,$A3364,$K:$K)+SUMIF($A:$A,$A3364,$L:$L)))/VLOOKUP($A3364,HeadJournal!$A$1:$L$890,COLUMN(HeadJournal!H$1),0),0)</f>
        <v>0.56397293591197906</v>
      </c>
      <c r="P3364" s="30">
        <f>IFERROR(SUM(K3364:O3364)*VLOOKUP($A3364,HeadJournal!$A$1:$L$890,COLUMN(HeadJournal!H$1),0),0)</f>
        <v>976.87361143162923</v>
      </c>
      <c r="Q3364" s="29">
        <v>1800</v>
      </c>
      <c r="R3364" s="31">
        <v>45612</v>
      </c>
      <c r="S3364" s="31" t="s">
        <v>3121</v>
      </c>
      <c r="T3364" s="95" t="str">
        <f t="shared" si="268"/>
        <v>2024 11</v>
      </c>
      <c r="U3364" s="32">
        <f t="shared" si="265"/>
        <v>823.12638856837077</v>
      </c>
      <c r="V3364" s="22">
        <f t="shared" si="266"/>
        <v>0.84261298384553696</v>
      </c>
      <c r="X3364" s="33"/>
      <c r="Y3364" s="33"/>
    </row>
    <row r="3365" spans="1:25" x14ac:dyDescent="0.2">
      <c r="A3365" s="93" t="s">
        <v>1802</v>
      </c>
      <c r="B3365" s="94" t="str">
        <f>IFERROR(VLOOKUP($A3365,HeadJournal!$A$1:$NTR$890,COLUMN(HeadJournal!B$1),0),"")</f>
        <v>722500168396</v>
      </c>
      <c r="C3365" s="94" t="str">
        <f>IFERROR(VLOOKUP($A3365,HeadJournal!$A$1:$NTR$890,COLUMN(HeadJournal!C$1),0),"")</f>
        <v>iHerb_MH DLE7202</v>
      </c>
      <c r="D3365" s="125" t="str">
        <f>IFERROR(VLOOKUP($A3365,HeadJournal!$A$1:$NTR$890,COLUMN(HeadJournal!D$1),0),"")</f>
        <v>Доставлен</v>
      </c>
      <c r="E3365" s="95">
        <f>IFERROR(VLOOKUP($A3365,HeadJournal!$A$1:$NTR$890,COLUMN(HeadJournal!G$1),0),"")</f>
        <v>45420</v>
      </c>
      <c r="F3365" s="95" t="str">
        <f t="shared" si="267"/>
        <v>2024 05</v>
      </c>
      <c r="G3365" s="96" t="s">
        <v>5</v>
      </c>
      <c r="H3365" s="160" t="str">
        <f>RIGHT(Journal!$J3365,9)</f>
        <v>BTZ-43046</v>
      </c>
      <c r="I3365" s="127" t="str">
        <f t="shared" si="264"/>
        <v>BioSchwartz</v>
      </c>
      <c r="J3365" s="97" t="s">
        <v>1807</v>
      </c>
      <c r="K3365" s="29">
        <v>26.91</v>
      </c>
      <c r="L3365" s="29">
        <v>-6.73</v>
      </c>
      <c r="M3365" s="30">
        <f>IFERROR(VLOOKUP($A3365,HeadJournal!$A$1:$J$890,COLUMN(HeadJournal!I$1),0)*($K3365+$L3365)/(SUMIF($A:$A,$A3365,$K:$K)+SUMIF($A:$A,$A3365,$L:$L)),0)</f>
        <v>-0.63578186926202773</v>
      </c>
      <c r="N3365" s="30">
        <f>IFERROR((VLOOKUP($A3365,HeadJournal!$A$1:$K$890,COLUMN(HeadJournal!K$1),0)-VLOOKUP($A3365,HeadJournal!$A$1:$K$890,COLUMN(HeadJournal!J$1),0))*($K3365+$L3365)/(SUMIF($A:$A,$A3365,$K:$K)+SUMIF($A:$A,$A3365,$L:$L)),0)</f>
        <v>0</v>
      </c>
      <c r="O3365" s="30">
        <f>IFERROR((VLOOKUP($A3365,HeadJournal!$A$1:$L$890,COLUMN(HeadJournal!L$1),0)*($K3365+$L3365)/(SUMIF($A:$A,$A3365,$K:$K)+SUMIF($A:$A,$A3365,$L:$L)))/VLOOKUP($A3365,HeadJournal!$A$1:$L$890,COLUMN(HeadJournal!H$1),0),0)</f>
        <v>1.2470022476300662</v>
      </c>
      <c r="P3365" s="30">
        <f>IFERROR(SUM(K3365:O3365)*VLOOKUP($A3365,HeadJournal!$A$1:$L$890,COLUMN(HeadJournal!H$1),0),0)</f>
        <v>2159.9681678623383</v>
      </c>
      <c r="Q3365" s="29">
        <v>3100</v>
      </c>
      <c r="R3365" s="31">
        <v>45764</v>
      </c>
      <c r="S3365" s="31" t="s">
        <v>3121</v>
      </c>
      <c r="T3365" s="95" t="str">
        <f t="shared" si="268"/>
        <v>2025 04</v>
      </c>
      <c r="U3365" s="32">
        <f t="shared" si="265"/>
        <v>940.0318321376617</v>
      </c>
      <c r="V3365" s="22">
        <f t="shared" si="266"/>
        <v>0.43520633596558306</v>
      </c>
      <c r="X3365" s="33"/>
      <c r="Y3365" s="33"/>
    </row>
    <row r="3366" spans="1:25" x14ac:dyDescent="0.2">
      <c r="A3366" s="93" t="s">
        <v>1802</v>
      </c>
      <c r="B3366" s="94" t="str">
        <f>IFERROR(VLOOKUP($A3366,HeadJournal!$A$1:$NTR$890,COLUMN(HeadJournal!B$1),0),"")</f>
        <v>722500168396</v>
      </c>
      <c r="C3366" s="94" t="str">
        <f>IFERROR(VLOOKUP($A3366,HeadJournal!$A$1:$NTR$890,COLUMN(HeadJournal!C$1),0),"")</f>
        <v>iHerb_MH DLE7202</v>
      </c>
      <c r="D3366" s="125" t="str">
        <f>IFERROR(VLOOKUP($A3366,HeadJournal!$A$1:$NTR$890,COLUMN(HeadJournal!D$1),0),"")</f>
        <v>Доставлен</v>
      </c>
      <c r="E3366" s="95">
        <f>IFERROR(VLOOKUP($A3366,HeadJournal!$A$1:$NTR$890,COLUMN(HeadJournal!G$1),0),"")</f>
        <v>45420</v>
      </c>
      <c r="F3366" s="95" t="str">
        <f t="shared" si="267"/>
        <v>2024 05</v>
      </c>
      <c r="G3366" s="96" t="s">
        <v>5</v>
      </c>
      <c r="H3366" s="160" t="str">
        <f>RIGHT(Journal!$J3366,9)</f>
        <v>BTZ-43032</v>
      </c>
      <c r="I3366" s="127" t="str">
        <f t="shared" si="264"/>
        <v>BioSchwartz</v>
      </c>
      <c r="J3366" s="97" t="s">
        <v>1808</v>
      </c>
      <c r="K3366" s="29">
        <v>23.18</v>
      </c>
      <c r="L3366" s="29">
        <v>-5.8</v>
      </c>
      <c r="M3366" s="30">
        <f>IFERROR(VLOOKUP($A3366,HeadJournal!$A$1:$J$890,COLUMN(HeadJournal!I$1),0)*($K3366+$L3366)/(SUMIF($A:$A,$A3366,$K:$K)+SUMIF($A:$A,$A3366,$L:$L)),0)</f>
        <v>-0.54756634726333209</v>
      </c>
      <c r="N3366" s="30">
        <f>IFERROR((VLOOKUP($A3366,HeadJournal!$A$1:$K$890,COLUMN(HeadJournal!K$1),0)-VLOOKUP($A3366,HeadJournal!$A$1:$K$890,COLUMN(HeadJournal!J$1),0))*($K3366+$L3366)/(SUMIF($A:$A,$A3366,$K:$K)+SUMIF($A:$A,$A3366,$L:$L)),0)</f>
        <v>0</v>
      </c>
      <c r="O3366" s="30">
        <f>IFERROR((VLOOKUP($A3366,HeadJournal!$A$1:$L$890,COLUMN(HeadJournal!L$1),0)*($K3366+$L3366)/(SUMIF($A:$A,$A3366,$K:$K)+SUMIF($A:$A,$A3366,$L:$L)))/VLOOKUP($A3366,HeadJournal!$A$1:$L$890,COLUMN(HeadJournal!H$1),0),0)</f>
        <v>1.0739791409222275</v>
      </c>
      <c r="P3366" s="30">
        <f>IFERROR(SUM(K3366:O3366)*VLOOKUP($A3366,HeadJournal!$A$1:$L$890,COLUMN(HeadJournal!H$1),0),0)</f>
        <v>1860.269908694125</v>
      </c>
      <c r="Q3366" s="29">
        <v>2800</v>
      </c>
      <c r="R3366" s="31">
        <v>45640</v>
      </c>
      <c r="S3366" s="31" t="s">
        <v>3121</v>
      </c>
      <c r="T3366" s="95" t="str">
        <f t="shared" si="268"/>
        <v>2024 12</v>
      </c>
      <c r="U3366" s="32">
        <f t="shared" si="265"/>
        <v>939.73009130587502</v>
      </c>
      <c r="V3366" s="22">
        <f t="shared" si="266"/>
        <v>0.50515792730612308</v>
      </c>
      <c r="X3366" s="33"/>
      <c r="Y3366" s="33"/>
    </row>
    <row r="3367" spans="1:25" x14ac:dyDescent="0.2">
      <c r="A3367" s="93" t="s">
        <v>1802</v>
      </c>
      <c r="B3367" s="94" t="str">
        <f>IFERROR(VLOOKUP($A3367,HeadJournal!$A$1:$NTR$890,COLUMN(HeadJournal!B$1),0),"")</f>
        <v>722500168396</v>
      </c>
      <c r="C3367" s="94" t="str">
        <f>IFERROR(VLOOKUP($A3367,HeadJournal!$A$1:$NTR$890,COLUMN(HeadJournal!C$1),0),"")</f>
        <v>iHerb_MH DLE7202</v>
      </c>
      <c r="D3367" s="125" t="str">
        <f>IFERROR(VLOOKUP($A3367,HeadJournal!$A$1:$NTR$890,COLUMN(HeadJournal!D$1),0),"")</f>
        <v>Доставлен</v>
      </c>
      <c r="E3367" s="95">
        <f>IFERROR(VLOOKUP($A3367,HeadJournal!$A$1:$NTR$890,COLUMN(HeadJournal!G$1),0),"")</f>
        <v>45420</v>
      </c>
      <c r="F3367" s="95" t="str">
        <f t="shared" si="267"/>
        <v>2024 05</v>
      </c>
      <c r="G3367" s="96" t="s">
        <v>5</v>
      </c>
      <c r="H3367" s="160" t="str">
        <f>RIGHT(Journal!$J3367,9)</f>
        <v>NOW-04620</v>
      </c>
      <c r="I3367" s="127" t="str">
        <f t="shared" si="264"/>
        <v>NOW Foods</v>
      </c>
      <c r="J3367" s="97" t="s">
        <v>277</v>
      </c>
      <c r="K3367" s="29">
        <v>7.38</v>
      </c>
      <c r="L3367" s="29">
        <v>-1.8466666666666667</v>
      </c>
      <c r="M3367" s="30">
        <f>IFERROR(VLOOKUP($A3367,HeadJournal!$A$1:$J$890,COLUMN(HeadJournal!I$1),0)*($K3367+$L3367)/(SUMIF($A:$A,$A3367,$K:$K)+SUMIF($A:$A,$A3367,$L:$L)),0)</f>
        <v>-0.17433067442599373</v>
      </c>
      <c r="N3367" s="30">
        <f>IFERROR((VLOOKUP($A3367,HeadJournal!$A$1:$K$890,COLUMN(HeadJournal!K$1),0)-VLOOKUP($A3367,HeadJournal!$A$1:$K$890,COLUMN(HeadJournal!J$1),0))*($K3367+$L3367)/(SUMIF($A:$A,$A3367,$K:$K)+SUMIF($A:$A,$A3367,$L:$L)),0)</f>
        <v>0</v>
      </c>
      <c r="O3367" s="30">
        <f>IFERROR((VLOOKUP($A3367,HeadJournal!$A$1:$L$890,COLUMN(HeadJournal!L$1),0)*($K3367+$L3367)/(SUMIF($A:$A,$A3367,$K:$K)+SUMIF($A:$A,$A3367,$L:$L)))/VLOOKUP($A3367,HeadJournal!$A$1:$L$890,COLUMN(HeadJournal!H$1),0),0)</f>
        <v>0.34192661563691934</v>
      </c>
      <c r="P3367" s="30">
        <f>IFERROR(SUM(K3367:O3367)*VLOOKUP($A3367,HeadJournal!$A$1:$L$890,COLUMN(HeadJournal!H$1),0),0)</f>
        <v>592.26084549908853</v>
      </c>
      <c r="Q3367" s="29">
        <v>1200</v>
      </c>
      <c r="R3367" s="31">
        <v>45710</v>
      </c>
      <c r="S3367" s="31" t="s">
        <v>3121</v>
      </c>
      <c r="T3367" s="95" t="str">
        <f t="shared" si="268"/>
        <v>2025 02</v>
      </c>
      <c r="U3367" s="32">
        <f t="shared" si="265"/>
        <v>607.73915450091147</v>
      </c>
      <c r="V3367" s="22">
        <f t="shared" si="266"/>
        <v>1.0261342770156949</v>
      </c>
      <c r="X3367" s="33"/>
      <c r="Y3367" s="33"/>
    </row>
    <row r="3368" spans="1:25" x14ac:dyDescent="0.2">
      <c r="A3368" s="93" t="s">
        <v>1802</v>
      </c>
      <c r="B3368" s="94" t="str">
        <f>IFERROR(VLOOKUP($A3368,HeadJournal!$A$1:$NTR$890,COLUMN(HeadJournal!B$1),0),"")</f>
        <v>722500168396</v>
      </c>
      <c r="C3368" s="94" t="str">
        <f>IFERROR(VLOOKUP($A3368,HeadJournal!$A$1:$NTR$890,COLUMN(HeadJournal!C$1),0),"")</f>
        <v>iHerb_MH DLE7202</v>
      </c>
      <c r="D3368" s="125" t="str">
        <f>IFERROR(VLOOKUP($A3368,HeadJournal!$A$1:$NTR$890,COLUMN(HeadJournal!D$1),0),"")</f>
        <v>Доставлен</v>
      </c>
      <c r="E3368" s="95">
        <f>IFERROR(VLOOKUP($A3368,HeadJournal!$A$1:$NTR$890,COLUMN(HeadJournal!G$1),0),"")</f>
        <v>45420</v>
      </c>
      <c r="F3368" s="95" t="str">
        <f t="shared" si="267"/>
        <v>2024 05</v>
      </c>
      <c r="G3368" s="96" t="s">
        <v>5</v>
      </c>
      <c r="H3368" s="160" t="str">
        <f>RIGHT(Journal!$J3368,9)</f>
        <v>NOW-04620</v>
      </c>
      <c r="I3368" s="127" t="str">
        <f t="shared" si="264"/>
        <v>NOW Foods</v>
      </c>
      <c r="J3368" s="97" t="s">
        <v>277</v>
      </c>
      <c r="K3368" s="29">
        <v>7.38</v>
      </c>
      <c r="L3368" s="29">
        <v>-1.8466666666666667</v>
      </c>
      <c r="M3368" s="30">
        <f>IFERROR(VLOOKUP($A3368,HeadJournal!$A$1:$J$890,COLUMN(HeadJournal!I$1),0)*($K3368+$L3368)/(SUMIF($A:$A,$A3368,$K:$K)+SUMIF($A:$A,$A3368,$L:$L)),0)</f>
        <v>-0.17433067442599373</v>
      </c>
      <c r="N3368" s="30">
        <f>IFERROR((VLOOKUP($A3368,HeadJournal!$A$1:$K$890,COLUMN(HeadJournal!K$1),0)-VLOOKUP($A3368,HeadJournal!$A$1:$K$890,COLUMN(HeadJournal!J$1),0))*($K3368+$L3368)/(SUMIF($A:$A,$A3368,$K:$K)+SUMIF($A:$A,$A3368,$L:$L)),0)</f>
        <v>0</v>
      </c>
      <c r="O3368" s="30">
        <f>IFERROR((VLOOKUP($A3368,HeadJournal!$A$1:$L$890,COLUMN(HeadJournal!L$1),0)*($K3368+$L3368)/(SUMIF($A:$A,$A3368,$K:$K)+SUMIF($A:$A,$A3368,$L:$L)))/VLOOKUP($A3368,HeadJournal!$A$1:$L$890,COLUMN(HeadJournal!H$1),0),0)</f>
        <v>0.34192661563691934</v>
      </c>
      <c r="P3368" s="30">
        <f>IFERROR(SUM(K3368:O3368)*VLOOKUP($A3368,HeadJournal!$A$1:$L$890,COLUMN(HeadJournal!H$1),0),0)</f>
        <v>592.26084549908853</v>
      </c>
      <c r="Q3368" s="29">
        <v>592.26</v>
      </c>
      <c r="R3368" s="31"/>
      <c r="S3368" s="31"/>
      <c r="T3368" s="95" t="str">
        <f t="shared" si="268"/>
        <v/>
      </c>
      <c r="U3368" s="32">
        <f t="shared" si="265"/>
        <v>-8.4549908854114619E-4</v>
      </c>
      <c r="V3368" s="22">
        <f t="shared" si="266"/>
        <v>-1.427578903732287E-6</v>
      </c>
      <c r="X3368" s="33"/>
      <c r="Y3368" s="33"/>
    </row>
    <row r="3369" spans="1:25" x14ac:dyDescent="0.2">
      <c r="A3369" s="93" t="s">
        <v>1802</v>
      </c>
      <c r="B3369" s="94" t="str">
        <f>IFERROR(VLOOKUP($A3369,HeadJournal!$A$1:$NTR$890,COLUMN(HeadJournal!B$1),0),"")</f>
        <v>722500168396</v>
      </c>
      <c r="C3369" s="94" t="str">
        <f>IFERROR(VLOOKUP($A3369,HeadJournal!$A$1:$NTR$890,COLUMN(HeadJournal!C$1),0),"")</f>
        <v>iHerb_MH DLE7202</v>
      </c>
      <c r="D3369" s="125" t="str">
        <f>IFERROR(VLOOKUP($A3369,HeadJournal!$A$1:$NTR$890,COLUMN(HeadJournal!D$1),0),"")</f>
        <v>Доставлен</v>
      </c>
      <c r="E3369" s="95">
        <f>IFERROR(VLOOKUP($A3369,HeadJournal!$A$1:$NTR$890,COLUMN(HeadJournal!G$1),0),"")</f>
        <v>45420</v>
      </c>
      <c r="F3369" s="95" t="str">
        <f t="shared" si="267"/>
        <v>2024 05</v>
      </c>
      <c r="G3369" s="96" t="s">
        <v>5</v>
      </c>
      <c r="H3369" s="160" t="str">
        <f>RIGHT(Journal!$J3369,9)</f>
        <v>NOW-04620</v>
      </c>
      <c r="I3369" s="127" t="str">
        <f t="shared" si="264"/>
        <v>NOW Foods</v>
      </c>
      <c r="J3369" s="97" t="s">
        <v>277</v>
      </c>
      <c r="K3369" s="29">
        <v>7.38</v>
      </c>
      <c r="L3369" s="29">
        <v>-1.8466666666666667</v>
      </c>
      <c r="M3369" s="30">
        <f>IFERROR(VLOOKUP($A3369,HeadJournal!$A$1:$J$890,COLUMN(HeadJournal!I$1),0)*($K3369+$L3369)/(SUMIF($A:$A,$A3369,$K:$K)+SUMIF($A:$A,$A3369,$L:$L)),0)</f>
        <v>-0.17433067442599373</v>
      </c>
      <c r="N3369" s="30">
        <f>IFERROR((VLOOKUP($A3369,HeadJournal!$A$1:$K$890,COLUMN(HeadJournal!K$1),0)-VLOOKUP($A3369,HeadJournal!$A$1:$K$890,COLUMN(HeadJournal!J$1),0))*($K3369+$L3369)/(SUMIF($A:$A,$A3369,$K:$K)+SUMIF($A:$A,$A3369,$L:$L)),0)</f>
        <v>0</v>
      </c>
      <c r="O3369" s="30">
        <f>IFERROR((VLOOKUP($A3369,HeadJournal!$A$1:$L$890,COLUMN(HeadJournal!L$1),0)*($K3369+$L3369)/(SUMIF($A:$A,$A3369,$K:$K)+SUMIF($A:$A,$A3369,$L:$L)))/VLOOKUP($A3369,HeadJournal!$A$1:$L$890,COLUMN(HeadJournal!H$1),0),0)</f>
        <v>0.34192661563691934</v>
      </c>
      <c r="P3369" s="30">
        <f>IFERROR(SUM(K3369:O3369)*VLOOKUP($A3369,HeadJournal!$A$1:$L$890,COLUMN(HeadJournal!H$1),0),0)</f>
        <v>592.26084549908853</v>
      </c>
      <c r="Q3369" s="29">
        <v>1300</v>
      </c>
      <c r="R3369" s="31">
        <v>45881</v>
      </c>
      <c r="S3369" s="31" t="s">
        <v>3475</v>
      </c>
      <c r="T3369" s="95" t="str">
        <f t="shared" si="268"/>
        <v>2025 08</v>
      </c>
      <c r="U3369" s="32">
        <f t="shared" si="265"/>
        <v>707.73915450091147</v>
      </c>
      <c r="V3369" s="22">
        <f t="shared" si="266"/>
        <v>1.1949788001003363</v>
      </c>
      <c r="X3369" s="33"/>
      <c r="Y3369" s="33"/>
    </row>
    <row r="3370" spans="1:25" x14ac:dyDescent="0.2">
      <c r="A3370" s="93" t="s">
        <v>1802</v>
      </c>
      <c r="B3370" s="94" t="str">
        <f>IFERROR(VLOOKUP($A3370,HeadJournal!$A$1:$NTR$890,COLUMN(HeadJournal!B$1),0),"")</f>
        <v>722500168396</v>
      </c>
      <c r="C3370" s="94" t="str">
        <f>IFERROR(VLOOKUP($A3370,HeadJournal!$A$1:$NTR$890,COLUMN(HeadJournal!C$1),0),"")</f>
        <v>iHerb_MH DLE7202</v>
      </c>
      <c r="D3370" s="125" t="str">
        <f>IFERROR(VLOOKUP($A3370,HeadJournal!$A$1:$NTR$890,COLUMN(HeadJournal!D$1),0),"")</f>
        <v>Доставлен</v>
      </c>
      <c r="E3370" s="95">
        <f>IFERROR(VLOOKUP($A3370,HeadJournal!$A$1:$NTR$890,COLUMN(HeadJournal!G$1),0),"")</f>
        <v>45420</v>
      </c>
      <c r="F3370" s="95" t="str">
        <f t="shared" si="267"/>
        <v>2024 05</v>
      </c>
      <c r="G3370" s="96" t="s">
        <v>5</v>
      </c>
      <c r="H3370" s="160" t="str">
        <f>RIGHT(Journal!$J3370,9)</f>
        <v>VBH-80024</v>
      </c>
      <c r="I3370" s="127" t="str">
        <f t="shared" si="264"/>
        <v>Vibrant Health</v>
      </c>
      <c r="J3370" s="97" t="s">
        <v>1809</v>
      </c>
      <c r="K3370" s="29">
        <v>14.42</v>
      </c>
      <c r="L3370" s="29">
        <v>-4.33</v>
      </c>
      <c r="M3370" s="30">
        <f>IFERROR(VLOOKUP($A3370,HeadJournal!$A$1:$J$890,COLUMN(HeadJournal!I$1),0)*($K3370+$L3370)/(SUMIF($A:$A,$A3370,$K:$K)+SUMIF($A:$A,$A3370,$L:$L)),0)</f>
        <v>-0.31789093463101387</v>
      </c>
      <c r="N3370" s="30">
        <f>IFERROR((VLOOKUP($A3370,HeadJournal!$A$1:$K$890,COLUMN(HeadJournal!K$1),0)-VLOOKUP($A3370,HeadJournal!$A$1:$K$890,COLUMN(HeadJournal!J$1),0))*($K3370+$L3370)/(SUMIF($A:$A,$A3370,$K:$K)+SUMIF($A:$A,$A3370,$L:$L)),0)</f>
        <v>0</v>
      </c>
      <c r="O3370" s="30">
        <f>IFERROR((VLOOKUP($A3370,HeadJournal!$A$1:$L$890,COLUMN(HeadJournal!L$1),0)*($K3370+$L3370)/(SUMIF($A:$A,$A3370,$K:$K)+SUMIF($A:$A,$A3370,$L:$L)))/VLOOKUP($A3370,HeadJournal!$A$1:$L$890,COLUMN(HeadJournal!H$1),0),0)</f>
        <v>0.62350112381503309</v>
      </c>
      <c r="P3370" s="30">
        <f>IFERROR(SUM(K3370:O3370)*VLOOKUP($A3370,HeadJournal!$A$1:$L$890,COLUMN(HeadJournal!H$1),0),0)</f>
        <v>1079.9840839311692</v>
      </c>
      <c r="Q3370" s="29"/>
      <c r="R3370" s="31"/>
      <c r="S3370" s="31"/>
      <c r="T3370" s="95" t="str">
        <f t="shared" si="268"/>
        <v/>
      </c>
      <c r="U3370" s="32">
        <f t="shared" si="265"/>
        <v>-1079.9840839311692</v>
      </c>
      <c r="V3370" s="22" t="str">
        <f t="shared" si="266"/>
        <v/>
      </c>
      <c r="X3370" s="33"/>
      <c r="Y3370" s="33"/>
    </row>
    <row r="3371" spans="1:25" x14ac:dyDescent="0.2">
      <c r="A3371" s="93" t="s">
        <v>1802</v>
      </c>
      <c r="B3371" s="94" t="str">
        <f>IFERROR(VLOOKUP($A3371,HeadJournal!$A$1:$NTR$890,COLUMN(HeadJournal!B$1),0),"")</f>
        <v>722500168396</v>
      </c>
      <c r="C3371" s="94" t="str">
        <f>IFERROR(VLOOKUP($A3371,HeadJournal!$A$1:$NTR$890,COLUMN(HeadJournal!C$1),0),"")</f>
        <v>iHerb_MH DLE7202</v>
      </c>
      <c r="D3371" s="125" t="str">
        <f>IFERROR(VLOOKUP($A3371,HeadJournal!$A$1:$NTR$890,COLUMN(HeadJournal!D$1),0),"")</f>
        <v>Доставлен</v>
      </c>
      <c r="E3371" s="95">
        <f>IFERROR(VLOOKUP($A3371,HeadJournal!$A$1:$NTR$890,COLUMN(HeadJournal!G$1),0),"")</f>
        <v>45420</v>
      </c>
      <c r="F3371" s="95" t="str">
        <f t="shared" si="267"/>
        <v>2024 05</v>
      </c>
      <c r="G3371" s="96" t="s">
        <v>5</v>
      </c>
      <c r="H3371" s="160" t="str">
        <f>RIGHT(Journal!$J3371,9)</f>
        <v>NOW-04592</v>
      </c>
      <c r="I3371" s="127" t="str">
        <f t="shared" si="264"/>
        <v>NOW Foods</v>
      </c>
      <c r="J3371" s="97" t="s">
        <v>1810</v>
      </c>
      <c r="K3371" s="29">
        <v>15.61</v>
      </c>
      <c r="L3371" s="29">
        <v>-3.9049999999999998</v>
      </c>
      <c r="M3371" s="30">
        <f>IFERROR(VLOOKUP($A3371,HeadJournal!$A$1:$J$890,COLUMN(HeadJournal!I$1),0)*($K3371+$L3371)/(SUMIF($A:$A,$A3371,$K:$K)+SUMIF($A:$A,$A3371,$L:$L)),0)</f>
        <v>-0.36877238749811869</v>
      </c>
      <c r="N3371" s="30">
        <f>IFERROR((VLOOKUP($A3371,HeadJournal!$A$1:$K$890,COLUMN(HeadJournal!K$1),0)-VLOOKUP($A3371,HeadJournal!$A$1:$K$890,COLUMN(HeadJournal!J$1),0))*($K3371+$L3371)/(SUMIF($A:$A,$A3371,$K:$K)+SUMIF($A:$A,$A3371,$L:$L)),0)</f>
        <v>0</v>
      </c>
      <c r="O3371" s="30">
        <f>IFERROR((VLOOKUP($A3371,HeadJournal!$A$1:$L$890,COLUMN(HeadJournal!L$1),0)*($K3371+$L3371)/(SUMIF($A:$A,$A3371,$K:$K)+SUMIF($A:$A,$A3371,$L:$L)))/VLOOKUP($A3371,HeadJournal!$A$1:$L$890,COLUMN(HeadJournal!H$1),0),0)</f>
        <v>0.72329838000544711</v>
      </c>
      <c r="P3371" s="30">
        <f>IFERROR(SUM(K3371:O3371)*VLOOKUP($A3371,HeadJournal!$A$1:$L$890,COLUMN(HeadJournal!H$1),0),0)</f>
        <v>1252.8457584156924</v>
      </c>
      <c r="Q3371" s="29">
        <v>2300</v>
      </c>
      <c r="R3371" s="31">
        <v>45688</v>
      </c>
      <c r="S3371" s="31" t="s">
        <v>3121</v>
      </c>
      <c r="T3371" s="95" t="str">
        <f t="shared" si="268"/>
        <v>2025 01</v>
      </c>
      <c r="U3371" s="32">
        <f t="shared" si="265"/>
        <v>1047.1542415843076</v>
      </c>
      <c r="V3371" s="22">
        <f t="shared" si="266"/>
        <v>0.83582055855662907</v>
      </c>
      <c r="X3371" s="33"/>
      <c r="Y3371" s="33"/>
    </row>
    <row r="3372" spans="1:25" x14ac:dyDescent="0.2">
      <c r="A3372" s="93" t="s">
        <v>1802</v>
      </c>
      <c r="B3372" s="94" t="str">
        <f>IFERROR(VLOOKUP($A3372,HeadJournal!$A$1:$NTR$890,COLUMN(HeadJournal!B$1),0),"")</f>
        <v>722500168396</v>
      </c>
      <c r="C3372" s="94" t="str">
        <f>IFERROR(VLOOKUP($A3372,HeadJournal!$A$1:$NTR$890,COLUMN(HeadJournal!C$1),0),"")</f>
        <v>iHerb_MH DLE7202</v>
      </c>
      <c r="D3372" s="125" t="str">
        <f>IFERROR(VLOOKUP($A3372,HeadJournal!$A$1:$NTR$890,COLUMN(HeadJournal!D$1),0),"")</f>
        <v>Доставлен</v>
      </c>
      <c r="E3372" s="95">
        <f>IFERROR(VLOOKUP($A3372,HeadJournal!$A$1:$NTR$890,COLUMN(HeadJournal!G$1),0),"")</f>
        <v>45420</v>
      </c>
      <c r="F3372" s="95" t="str">
        <f t="shared" si="267"/>
        <v>2024 05</v>
      </c>
      <c r="G3372" s="96" t="s">
        <v>5</v>
      </c>
      <c r="H3372" s="160" t="str">
        <f>RIGHT(Journal!$J3372,9)</f>
        <v>NOW-04592</v>
      </c>
      <c r="I3372" s="127" t="str">
        <f t="shared" si="264"/>
        <v>NOW Foods</v>
      </c>
      <c r="J3372" s="97" t="s">
        <v>1810</v>
      </c>
      <c r="K3372" s="29">
        <v>15.61</v>
      </c>
      <c r="L3372" s="29">
        <v>-3.9049999999999998</v>
      </c>
      <c r="M3372" s="30">
        <f>IFERROR(VLOOKUP($A3372,HeadJournal!$A$1:$J$890,COLUMN(HeadJournal!I$1),0)*($K3372+$L3372)/(SUMIF($A:$A,$A3372,$K:$K)+SUMIF($A:$A,$A3372,$L:$L)),0)</f>
        <v>-0.36877238749811869</v>
      </c>
      <c r="N3372" s="30">
        <f>IFERROR((VLOOKUP($A3372,HeadJournal!$A$1:$K$890,COLUMN(HeadJournal!K$1),0)-VLOOKUP($A3372,HeadJournal!$A$1:$K$890,COLUMN(HeadJournal!J$1),0))*($K3372+$L3372)/(SUMIF($A:$A,$A3372,$K:$K)+SUMIF($A:$A,$A3372,$L:$L)),0)</f>
        <v>0</v>
      </c>
      <c r="O3372" s="30">
        <f>IFERROR((VLOOKUP($A3372,HeadJournal!$A$1:$L$890,COLUMN(HeadJournal!L$1),0)*($K3372+$L3372)/(SUMIF($A:$A,$A3372,$K:$K)+SUMIF($A:$A,$A3372,$L:$L)))/VLOOKUP($A3372,HeadJournal!$A$1:$L$890,COLUMN(HeadJournal!H$1),0),0)</f>
        <v>0.72329838000544711</v>
      </c>
      <c r="P3372" s="30">
        <f>IFERROR(SUM(K3372:O3372)*VLOOKUP($A3372,HeadJournal!$A$1:$L$890,COLUMN(HeadJournal!H$1),0),0)</f>
        <v>1252.8457584156924</v>
      </c>
      <c r="Q3372" s="29">
        <v>2000</v>
      </c>
      <c r="R3372" s="31">
        <v>45764</v>
      </c>
      <c r="S3372" s="31" t="s">
        <v>3121</v>
      </c>
      <c r="T3372" s="95" t="str">
        <f t="shared" si="268"/>
        <v>2025 04</v>
      </c>
      <c r="U3372" s="32">
        <f t="shared" si="265"/>
        <v>747.15424158430756</v>
      </c>
      <c r="V3372" s="22">
        <f t="shared" si="266"/>
        <v>0.59636570309272086</v>
      </c>
      <c r="X3372" s="33"/>
      <c r="Y3372" s="33"/>
    </row>
    <row r="3373" spans="1:25" x14ac:dyDescent="0.2">
      <c r="A3373" s="93" t="s">
        <v>1802</v>
      </c>
      <c r="B3373" s="94" t="str">
        <f>IFERROR(VLOOKUP($A3373,HeadJournal!$A$1:$NTR$890,COLUMN(HeadJournal!B$1),0),"")</f>
        <v>722500168396</v>
      </c>
      <c r="C3373" s="94" t="str">
        <f>IFERROR(VLOOKUP($A3373,HeadJournal!$A$1:$NTR$890,COLUMN(HeadJournal!C$1),0),"")</f>
        <v>iHerb_MH DLE7202</v>
      </c>
      <c r="D3373" s="125" t="str">
        <f>IFERROR(VLOOKUP($A3373,HeadJournal!$A$1:$NTR$890,COLUMN(HeadJournal!D$1),0),"")</f>
        <v>Доставлен</v>
      </c>
      <c r="E3373" s="95">
        <f>IFERROR(VLOOKUP($A3373,HeadJournal!$A$1:$NTR$890,COLUMN(HeadJournal!G$1),0),"")</f>
        <v>45420</v>
      </c>
      <c r="F3373" s="95" t="str">
        <f t="shared" si="267"/>
        <v>2024 05</v>
      </c>
      <c r="G3373" s="96" t="s">
        <v>5</v>
      </c>
      <c r="H3373" s="161" t="s">
        <v>2804</v>
      </c>
      <c r="I3373" s="97" t="s">
        <v>2005</v>
      </c>
      <c r="J3373" s="97" t="s">
        <v>2805</v>
      </c>
      <c r="K3373" s="29">
        <v>10.3</v>
      </c>
      <c r="L3373" s="29">
        <v>-2.58</v>
      </c>
      <c r="M3373" s="30">
        <f>IFERROR(VLOOKUP($A3373,HeadJournal!$A$1:$J$890,COLUMN(HeadJournal!I$1),0)*($K3373+$L3373)/(SUMIF($A:$A,$A3373,$K:$K)+SUMIF($A:$A,$A3373,$L:$L)),0)</f>
        <v>-0.24322279636783226</v>
      </c>
      <c r="N3373" s="30">
        <f>IFERROR((VLOOKUP($A3373,HeadJournal!$A$1:$K$890,COLUMN(HeadJournal!K$1),0)-VLOOKUP($A3373,HeadJournal!$A$1:$K$890,COLUMN(HeadJournal!J$1),0))*($K3373+$L3373)/(SUMIF($A:$A,$A3373,$K:$K)+SUMIF($A:$A,$A3373,$L:$L)),0)</f>
        <v>0</v>
      </c>
      <c r="O3373" s="30">
        <f>IFERROR((VLOOKUP($A3373,HeadJournal!$A$1:$L$890,COLUMN(HeadJournal!L$1),0)*($K3373+$L3373)/(SUMIF($A:$A,$A3373,$K:$K)+SUMIF($A:$A,$A3373,$L:$L)))/VLOOKUP($A3373,HeadJournal!$A$1:$L$890,COLUMN(HeadJournal!H$1),0),0)</f>
        <v>0.47704942278018397</v>
      </c>
      <c r="P3373" s="30">
        <f>IFERROR(SUM(K3373:O3373)*VLOOKUP($A3373,HeadJournal!$A$1:$L$890,COLUMN(HeadJournal!H$1),0),0)</f>
        <v>826.31091456378863</v>
      </c>
      <c r="Q3373" s="29">
        <v>1600</v>
      </c>
      <c r="R3373" s="31">
        <v>45585</v>
      </c>
      <c r="S3373" s="31" t="s">
        <v>3121</v>
      </c>
      <c r="T3373" s="95" t="str">
        <f t="shared" si="268"/>
        <v>2024 10</v>
      </c>
      <c r="U3373" s="32">
        <f t="shared" si="265"/>
        <v>773.68908543621137</v>
      </c>
      <c r="V3373" s="22">
        <f t="shared" si="266"/>
        <v>0.93631715592749198</v>
      </c>
      <c r="X3373" s="33"/>
      <c r="Y3373" s="33"/>
    </row>
    <row r="3374" spans="1:25" x14ac:dyDescent="0.2">
      <c r="A3374" s="93" t="s">
        <v>1802</v>
      </c>
      <c r="B3374" s="94" t="str">
        <f>IFERROR(VLOOKUP($A3374,HeadJournal!$A$1:$NTR$890,COLUMN(HeadJournal!B$1),0),"")</f>
        <v>722500168396</v>
      </c>
      <c r="C3374" s="94" t="str">
        <f>IFERROR(VLOOKUP($A3374,HeadJournal!$A$1:$NTR$890,COLUMN(HeadJournal!C$1),0),"")</f>
        <v>iHerb_MH DLE7202</v>
      </c>
      <c r="D3374" s="125" t="str">
        <f>IFERROR(VLOOKUP($A3374,HeadJournal!$A$1:$NTR$890,COLUMN(HeadJournal!D$1),0),"")</f>
        <v>Доставлен</v>
      </c>
      <c r="E3374" s="95">
        <f>IFERROR(VLOOKUP($A3374,HeadJournal!$A$1:$NTR$890,COLUMN(HeadJournal!G$1),0),"")</f>
        <v>45420</v>
      </c>
      <c r="F3374" s="95" t="str">
        <f t="shared" si="267"/>
        <v>2024 05</v>
      </c>
      <c r="G3374" s="96" t="s">
        <v>5</v>
      </c>
      <c r="H3374" s="161" t="s">
        <v>2027</v>
      </c>
      <c r="I3374" s="97" t="s">
        <v>2005</v>
      </c>
      <c r="J3374" s="97" t="s">
        <v>4110</v>
      </c>
      <c r="K3374" s="29">
        <v>7.93</v>
      </c>
      <c r="L3374" s="29">
        <v>-2.2799999999999998</v>
      </c>
      <c r="M3374" s="30">
        <f>IFERROR(VLOOKUP($A3374,HeadJournal!$A$1:$J$890,COLUMN(HeadJournal!I$1),0)*($K3374+$L3374)/(SUMIF($A:$A,$A3374,$K:$K)+SUMIF($A:$A,$A3374,$L:$L)),0)</f>
        <v>-0.17800632117593942</v>
      </c>
      <c r="N3374" s="30">
        <f>IFERROR((VLOOKUP($A3374,HeadJournal!$A$1:$K$890,COLUMN(HeadJournal!K$1),0)-VLOOKUP($A3374,HeadJournal!$A$1:$K$890,COLUMN(HeadJournal!J$1),0))*($K3374+$L3374)/(SUMIF($A:$A,$A3374,$K:$K)+SUMIF($A:$A,$A3374,$L:$L)),0)</f>
        <v>0</v>
      </c>
      <c r="O3374" s="30">
        <f>IFERROR((VLOOKUP($A3374,HeadJournal!$A$1:$L$890,COLUMN(HeadJournal!L$1),0)*($K3374+$L3374)/(SUMIF($A:$A,$A3374,$K:$K)+SUMIF($A:$A,$A3374,$L:$L)))/VLOOKUP($A3374,HeadJournal!$A$1:$L$890,COLUMN(HeadJournal!H$1),0),0)</f>
        <v>0.34913591174974595</v>
      </c>
      <c r="P3374" s="30">
        <f>IFERROR(SUM(K3374:O3374)*VLOOKUP($A3374,HeadJournal!$A$1:$L$890,COLUMN(HeadJournal!H$1),0),0)</f>
        <v>604.74827296443084</v>
      </c>
      <c r="Q3374" s="29">
        <v>1200</v>
      </c>
      <c r="R3374" s="31">
        <v>45567</v>
      </c>
      <c r="S3374" s="31" t="s">
        <v>3121</v>
      </c>
      <c r="T3374" s="95" t="str">
        <f t="shared" si="268"/>
        <v>2024 10</v>
      </c>
      <c r="U3374" s="32">
        <f t="shared" si="265"/>
        <v>595.25172703556916</v>
      </c>
      <c r="V3374" s="22">
        <f t="shared" si="266"/>
        <v>0.98429669607436776</v>
      </c>
      <c r="X3374" s="33"/>
      <c r="Y3374" s="33"/>
    </row>
    <row r="3375" spans="1:25" x14ac:dyDescent="0.2">
      <c r="A3375" s="93" t="s">
        <v>1802</v>
      </c>
      <c r="B3375" s="94" t="str">
        <f>IFERROR(VLOOKUP($A3375,HeadJournal!$A$1:$NTR$890,COLUMN(HeadJournal!B$1),0),"")</f>
        <v>722500168396</v>
      </c>
      <c r="C3375" s="94" t="str">
        <f>IFERROR(VLOOKUP($A3375,HeadJournal!$A$1:$NTR$890,COLUMN(HeadJournal!C$1),0),"")</f>
        <v>iHerb_MH DLE7202</v>
      </c>
      <c r="D3375" s="125" t="str">
        <f>IFERROR(VLOOKUP($A3375,HeadJournal!$A$1:$NTR$890,COLUMN(HeadJournal!D$1),0),"")</f>
        <v>Доставлен</v>
      </c>
      <c r="E3375" s="95">
        <f>IFERROR(VLOOKUP($A3375,HeadJournal!$A$1:$NTR$890,COLUMN(HeadJournal!G$1),0),"")</f>
        <v>45420</v>
      </c>
      <c r="F3375" s="95" t="str">
        <f t="shared" si="267"/>
        <v>2024 05</v>
      </c>
      <c r="G3375" s="96" t="s">
        <v>5</v>
      </c>
      <c r="H3375" s="161" t="s">
        <v>2027</v>
      </c>
      <c r="I3375" s="97" t="s">
        <v>2005</v>
      </c>
      <c r="J3375" s="97" t="s">
        <v>4110</v>
      </c>
      <c r="K3375" s="29">
        <v>7.93</v>
      </c>
      <c r="L3375" s="29">
        <v>-2.2799999999999998</v>
      </c>
      <c r="M3375" s="30">
        <f>IFERROR(VLOOKUP($A3375,HeadJournal!$A$1:$J$890,COLUMN(HeadJournal!I$1),0)*($K3375+$L3375)/(SUMIF($A:$A,$A3375,$K:$K)+SUMIF($A:$A,$A3375,$L:$L)),0)</f>
        <v>-0.17800632117593942</v>
      </c>
      <c r="N3375" s="30">
        <f>IFERROR((VLOOKUP($A3375,HeadJournal!$A$1:$K$890,COLUMN(HeadJournal!K$1),0)-VLOOKUP($A3375,HeadJournal!$A$1:$K$890,COLUMN(HeadJournal!J$1),0))*($K3375+$L3375)/(SUMIF($A:$A,$A3375,$K:$K)+SUMIF($A:$A,$A3375,$L:$L)),0)</f>
        <v>0</v>
      </c>
      <c r="O3375" s="30">
        <f>IFERROR((VLOOKUP($A3375,HeadJournal!$A$1:$L$890,COLUMN(HeadJournal!L$1),0)*($K3375+$L3375)/(SUMIF($A:$A,$A3375,$K:$K)+SUMIF($A:$A,$A3375,$L:$L)))/VLOOKUP($A3375,HeadJournal!$A$1:$L$890,COLUMN(HeadJournal!H$1),0),0)</f>
        <v>0.34913591174974595</v>
      </c>
      <c r="P3375" s="30">
        <f>IFERROR(SUM(K3375:O3375)*VLOOKUP($A3375,HeadJournal!$A$1:$L$890,COLUMN(HeadJournal!H$1),0),0)</f>
        <v>604.74827296443084</v>
      </c>
      <c r="Q3375" s="29">
        <v>1200</v>
      </c>
      <c r="R3375" s="31">
        <v>45568</v>
      </c>
      <c r="S3375" s="31" t="s">
        <v>3121</v>
      </c>
      <c r="T3375" s="95" t="str">
        <f t="shared" si="268"/>
        <v>2024 10</v>
      </c>
      <c r="U3375" s="32">
        <f t="shared" si="265"/>
        <v>595.25172703556916</v>
      </c>
      <c r="V3375" s="22">
        <f t="shared" si="266"/>
        <v>0.98429669607436776</v>
      </c>
      <c r="X3375" s="33"/>
      <c r="Y3375" s="33"/>
    </row>
    <row r="3376" spans="1:25" x14ac:dyDescent="0.2">
      <c r="A3376" s="93" t="s">
        <v>1802</v>
      </c>
      <c r="B3376" s="94" t="str">
        <f>IFERROR(VLOOKUP($A3376,HeadJournal!$A$1:$NTR$890,COLUMN(HeadJournal!B$1),0),"")</f>
        <v>722500168396</v>
      </c>
      <c r="C3376" s="94" t="str">
        <f>IFERROR(VLOOKUP($A3376,HeadJournal!$A$1:$NTR$890,COLUMN(HeadJournal!C$1),0),"")</f>
        <v>iHerb_MH DLE7202</v>
      </c>
      <c r="D3376" s="125" t="str">
        <f>IFERROR(VLOOKUP($A3376,HeadJournal!$A$1:$NTR$890,COLUMN(HeadJournal!D$1),0),"")</f>
        <v>Доставлен</v>
      </c>
      <c r="E3376" s="95">
        <f>IFERROR(VLOOKUP($A3376,HeadJournal!$A$1:$NTR$890,COLUMN(HeadJournal!G$1),0),"")</f>
        <v>45420</v>
      </c>
      <c r="F3376" s="95" t="str">
        <f t="shared" si="267"/>
        <v>2024 05</v>
      </c>
      <c r="G3376" s="96" t="s">
        <v>5</v>
      </c>
      <c r="H3376" s="161" t="s">
        <v>4025</v>
      </c>
      <c r="I3376" s="97" t="s">
        <v>3562</v>
      </c>
      <c r="J3376" s="97" t="s">
        <v>4026</v>
      </c>
      <c r="K3376" s="29">
        <v>29.88</v>
      </c>
      <c r="L3376" s="29">
        <v>-7.47</v>
      </c>
      <c r="M3376" s="30">
        <f>IFERROR(VLOOKUP($A3376,HeadJournal!$A$1:$J$890,COLUMN(HeadJournal!I$1),0)*($K3376+$L3376)/(SUMIF($A:$A,$A3376,$K:$K)+SUMIF($A:$A,$A3376,$L:$L)),0)</f>
        <v>-0.70603923142527469</v>
      </c>
      <c r="N3376" s="30">
        <f>IFERROR((VLOOKUP($A3376,HeadJournal!$A$1:$K$890,COLUMN(HeadJournal!K$1),0)-VLOOKUP($A3376,HeadJournal!$A$1:$K$890,COLUMN(HeadJournal!J$1),0))*($K3376+$L3376)/(SUMIF($A:$A,$A3376,$K:$K)+SUMIF($A:$A,$A3376,$L:$L)),0)</f>
        <v>0</v>
      </c>
      <c r="O3376" s="30">
        <f>IFERROR((VLOOKUP($A3376,HeadJournal!$A$1:$L$890,COLUMN(HeadJournal!L$1),0)*($K3376+$L3376)/(SUMIF($A:$A,$A3376,$K:$K)+SUMIF($A:$A,$A3376,$L:$L)))/VLOOKUP($A3376,HeadJournal!$A$1:$L$890,COLUMN(HeadJournal!H$1),0),0)</f>
        <v>1.3848027933295235</v>
      </c>
      <c r="P3376" s="30">
        <f>IFERROR(SUM(K3376:O3376)*VLOOKUP($A3376,HeadJournal!$A$1:$L$890,COLUMN(HeadJournal!H$1),0),0)</f>
        <v>2398.6564242713084</v>
      </c>
      <c r="Q3376" s="29">
        <v>2398.66</v>
      </c>
      <c r="R3376" s="31"/>
      <c r="S3376" s="31"/>
      <c r="T3376" s="95" t="str">
        <f t="shared" si="268"/>
        <v/>
      </c>
      <c r="U3376" s="32">
        <f t="shared" si="265"/>
        <v>3.5757286914304132E-3</v>
      </c>
      <c r="V3376" s="22">
        <f t="shared" si="266"/>
        <v>1.4907214952707074E-6</v>
      </c>
      <c r="X3376" s="33"/>
      <c r="Y3376" s="33"/>
    </row>
    <row r="3377" spans="1:25" x14ac:dyDescent="0.2">
      <c r="A3377" s="93" t="s">
        <v>1802</v>
      </c>
      <c r="B3377" s="94" t="str">
        <f>IFERROR(VLOOKUP($A3377,HeadJournal!$A$1:$NTR$890,COLUMN(HeadJournal!B$1),0),"")</f>
        <v>722500168396</v>
      </c>
      <c r="C3377" s="94" t="str">
        <f>IFERROR(VLOOKUP($A3377,HeadJournal!$A$1:$NTR$890,COLUMN(HeadJournal!C$1),0),"")</f>
        <v>iHerb_MH DLE7202</v>
      </c>
      <c r="D3377" s="125" t="str">
        <f>IFERROR(VLOOKUP($A3377,HeadJournal!$A$1:$NTR$890,COLUMN(HeadJournal!D$1),0),"")</f>
        <v>Доставлен</v>
      </c>
      <c r="E3377" s="95">
        <f>IFERROR(VLOOKUP($A3377,HeadJournal!$A$1:$NTR$890,COLUMN(HeadJournal!G$1),0),"")</f>
        <v>45420</v>
      </c>
      <c r="F3377" s="95" t="str">
        <f t="shared" si="267"/>
        <v>2024 05</v>
      </c>
      <c r="G3377" s="96" t="s">
        <v>5</v>
      </c>
      <c r="H3377" s="160" t="str">
        <f>RIGHT(Journal!$J3377,9)</f>
        <v>CGN-01737</v>
      </c>
      <c r="I3377" s="127" t="str">
        <f t="shared" si="264"/>
        <v>California Gold Nutrition</v>
      </c>
      <c r="J3377" s="97" t="s">
        <v>1811</v>
      </c>
      <c r="K3377" s="29">
        <v>50.48</v>
      </c>
      <c r="L3377" s="29">
        <v>-15.14</v>
      </c>
      <c r="M3377" s="30">
        <f>IFERROR(VLOOKUP($A3377,HeadJournal!$A$1:$J$890,COLUMN(HeadJournal!I$1),0)*($K3377+$L3377)/(SUMIF($A:$A,$A3377,$K:$K)+SUMIF($A:$A,$A3377,$L:$L)),0)</f>
        <v>-1.1134059097978226</v>
      </c>
      <c r="N3377" s="30">
        <f>IFERROR((VLOOKUP($A3377,HeadJournal!$A$1:$K$890,COLUMN(HeadJournal!K$1),0)-VLOOKUP($A3377,HeadJournal!$A$1:$K$890,COLUMN(HeadJournal!J$1),0))*($K3377+$L3377)/(SUMIF($A:$A,$A3377,$K:$K)+SUMIF($A:$A,$A3377,$L:$L)),0)</f>
        <v>0</v>
      </c>
      <c r="O3377" s="30">
        <f>IFERROR((VLOOKUP($A3377,HeadJournal!$A$1:$L$890,COLUMN(HeadJournal!L$1),0)*($K3377+$L3377)/(SUMIF($A:$A,$A3377,$K:$K)+SUMIF($A:$A,$A3377,$L:$L)))/VLOOKUP($A3377,HeadJournal!$A$1:$L$890,COLUMN(HeadJournal!H$1),0),0)</f>
        <v>2.1837987825196499</v>
      </c>
      <c r="P3377" s="30">
        <f>IFERROR(SUM(K3377:O3377)*VLOOKUP($A3377,HeadJournal!$A$1:$L$890,COLUMN(HeadJournal!H$1),0),0)</f>
        <v>3782.6201710730943</v>
      </c>
      <c r="Q3377" s="29">
        <v>5400</v>
      </c>
      <c r="R3377" s="31">
        <v>45808</v>
      </c>
      <c r="S3377" s="31" t="s">
        <v>3509</v>
      </c>
      <c r="T3377" s="95" t="str">
        <f t="shared" si="268"/>
        <v>2025 05</v>
      </c>
      <c r="U3377" s="32">
        <f t="shared" si="265"/>
        <v>1617.3798289269057</v>
      </c>
      <c r="V3377" s="22">
        <f t="shared" si="266"/>
        <v>0.42758187599577835</v>
      </c>
      <c r="X3377" s="33"/>
      <c r="Y3377" s="33"/>
    </row>
    <row r="3378" spans="1:25" x14ac:dyDescent="0.2">
      <c r="A3378" s="93" t="s">
        <v>1803</v>
      </c>
      <c r="B3378" s="94" t="str">
        <f>IFERROR(VLOOKUP($A3378,HeadJournal!$A$1:$NTR$890,COLUMN(HeadJournal!B$1),0),"")</f>
        <v>720000233302</v>
      </c>
      <c r="C3378" s="94" t="str">
        <f>IFERROR(VLOOKUP($A3378,HeadJournal!$A$1:$NTR$890,COLUMN(HeadJournal!C$1),0),"")</f>
        <v>iHerb_AV CYG0792</v>
      </c>
      <c r="D3378" s="125" t="str">
        <f>IFERROR(VLOOKUP($A3378,HeadJournal!$A$1:$NTR$890,COLUMN(HeadJournal!D$1),0),"")</f>
        <v>Доставлен</v>
      </c>
      <c r="E3378" s="95">
        <f>IFERROR(VLOOKUP($A3378,HeadJournal!$A$1:$NTR$890,COLUMN(HeadJournal!G$1),0),"")</f>
        <v>45427</v>
      </c>
      <c r="F3378" s="95" t="str">
        <f t="shared" si="267"/>
        <v>2024 05</v>
      </c>
      <c r="G3378" s="96" t="s">
        <v>5</v>
      </c>
      <c r="H3378" s="160" t="str">
        <f>RIGHT(Journal!$J3378,9)</f>
        <v>CGN-00954</v>
      </c>
      <c r="I3378" s="96" t="str">
        <f t="shared" si="264"/>
        <v>California Gold Nutrition</v>
      </c>
      <c r="J3378" s="97" t="s">
        <v>1812</v>
      </c>
      <c r="K3378" s="29">
        <v>28.17</v>
      </c>
      <c r="L3378" s="29">
        <v>-8.4499999999999993</v>
      </c>
      <c r="M3378" s="30">
        <f>IFERROR(VLOOKUP($A3378,HeadJournal!$A$1:$J$890,COLUMN(HeadJournal!I$1),0)*($K3378+$L3378)/(SUMIF($A:$A,$A3378,$K:$K)+SUMIF($A:$A,$A3378,$L:$L)),0)</f>
        <v>-2.2919067145053815</v>
      </c>
      <c r="N3378" s="30">
        <f>IFERROR((VLOOKUP($A3378,HeadJournal!$A$1:$K$890,COLUMN(HeadJournal!K$1),0)-VLOOKUP($A3378,HeadJournal!$A$1:$K$890,COLUMN(HeadJournal!J$1),0))*($K3378+$L3378)/(SUMIF($A:$A,$A3378,$K:$K)+SUMIF($A:$A,$A3378,$L:$L)),0)</f>
        <v>-7.1819081236233592E-15</v>
      </c>
      <c r="O3378" s="30">
        <f>IFERROR((VLOOKUP($A3378,HeadJournal!$A$1:$L$890,COLUMN(HeadJournal!L$1),0)*($K3378+$L3378)/(SUMIF($A:$A,$A3378,$K:$K)+SUMIF($A:$A,$A3378,$L:$L)))/VLOOKUP($A3378,HeadJournal!$A$1:$L$890,COLUMN(HeadJournal!H$1),0),0)</f>
        <v>1.096915238425515</v>
      </c>
      <c r="P3378" s="30">
        <f>IFERROR(SUM(K3378:O3378)*VLOOKUP($A3378,HeadJournal!$A$1:$L$890,COLUMN(HeadJournal!H$1),0),0)</f>
        <v>1941.5696950281892</v>
      </c>
      <c r="Q3378" s="29">
        <v>3100</v>
      </c>
      <c r="R3378" s="31">
        <v>45474</v>
      </c>
      <c r="S3378" s="31" t="s">
        <v>3121</v>
      </c>
      <c r="T3378" s="95" t="str">
        <f t="shared" si="268"/>
        <v>2024 07</v>
      </c>
      <c r="U3378" s="32">
        <f t="shared" si="265"/>
        <v>1158.4303049718108</v>
      </c>
      <c r="V3378" s="22">
        <f t="shared" si="266"/>
        <v>0.59664626407088195</v>
      </c>
      <c r="X3378" s="33"/>
      <c r="Y3378" s="33"/>
    </row>
    <row r="3379" spans="1:25" x14ac:dyDescent="0.2">
      <c r="A3379" s="93" t="s">
        <v>1803</v>
      </c>
      <c r="B3379" s="94" t="str">
        <f>IFERROR(VLOOKUP($A3379,HeadJournal!$A$1:$NTR$890,COLUMN(HeadJournal!B$1),0),"")</f>
        <v>720000233302</v>
      </c>
      <c r="C3379" s="94" t="str">
        <f>IFERROR(VLOOKUP($A3379,HeadJournal!$A$1:$NTR$890,COLUMN(HeadJournal!C$1),0),"")</f>
        <v>iHerb_AV CYG0792</v>
      </c>
      <c r="D3379" s="125" t="str">
        <f>IFERROR(VLOOKUP($A3379,HeadJournal!$A$1:$NTR$890,COLUMN(HeadJournal!D$1),0),"")</f>
        <v>Доставлен</v>
      </c>
      <c r="E3379" s="95">
        <f>IFERROR(VLOOKUP($A3379,HeadJournal!$A$1:$NTR$890,COLUMN(HeadJournal!G$1),0),"")</f>
        <v>45427</v>
      </c>
      <c r="F3379" s="95" t="str">
        <f t="shared" si="267"/>
        <v>2024 05</v>
      </c>
      <c r="G3379" s="96" t="s">
        <v>5</v>
      </c>
      <c r="H3379" s="160" t="str">
        <f>RIGHT(Journal!$J3379,9)</f>
        <v>CGN-00912</v>
      </c>
      <c r="I3379" s="96" t="str">
        <f t="shared" si="264"/>
        <v>California Gold Nutrition</v>
      </c>
      <c r="J3379" s="97" t="s">
        <v>1813</v>
      </c>
      <c r="K3379" s="29">
        <v>28.3</v>
      </c>
      <c r="L3379" s="29">
        <v>-8.49</v>
      </c>
      <c r="M3379" s="30">
        <f>IFERROR(VLOOKUP($A3379,HeadJournal!$A$1:$J$890,COLUMN(HeadJournal!I$1),0)*($K3379+$L3379)/(SUMIF($A:$A,$A3379,$K:$K)+SUMIF($A:$A,$A3379,$L:$L)),0)</f>
        <v>-2.3023667350076882</v>
      </c>
      <c r="N3379" s="30">
        <f>IFERROR((VLOOKUP($A3379,HeadJournal!$A$1:$K$890,COLUMN(HeadJournal!K$1),0)-VLOOKUP($A3379,HeadJournal!$A$1:$K$890,COLUMN(HeadJournal!J$1),0))*($K3379+$L3379)/(SUMIF($A:$A,$A3379,$K:$K)+SUMIF($A:$A,$A3379,$L:$L)),0)</f>
        <v>-7.2146855947757991E-15</v>
      </c>
      <c r="O3379" s="30">
        <f>IFERROR((VLOOKUP($A3379,HeadJournal!$A$1:$L$890,COLUMN(HeadJournal!L$1),0)*($K3379+$L3379)/(SUMIF($A:$A,$A3379,$K:$K)+SUMIF($A:$A,$A3379,$L:$L)))/VLOOKUP($A3379,HeadJournal!$A$1:$L$890,COLUMN(HeadJournal!H$1),0),0)</f>
        <v>1.1019214438747185</v>
      </c>
      <c r="P3379" s="30">
        <f>IFERROR(SUM(K3379:O3379)*VLOOKUP($A3379,HeadJournal!$A$1:$L$890,COLUMN(HeadJournal!H$1),0),0)</f>
        <v>1950.4308143259855</v>
      </c>
      <c r="Q3379" s="29"/>
      <c r="R3379" s="31"/>
      <c r="S3379" s="31"/>
      <c r="T3379" s="95" t="str">
        <f t="shared" si="268"/>
        <v/>
      </c>
      <c r="U3379" s="32">
        <f t="shared" si="265"/>
        <v>-1950.4308143259855</v>
      </c>
      <c r="V3379" s="22" t="str">
        <f t="shared" si="266"/>
        <v/>
      </c>
      <c r="X3379" s="33"/>
      <c r="Y3379" s="33"/>
    </row>
    <row r="3380" spans="1:25" x14ac:dyDescent="0.2">
      <c r="A3380" s="93" t="s">
        <v>1803</v>
      </c>
      <c r="B3380" s="94" t="str">
        <f>IFERROR(VLOOKUP($A3380,HeadJournal!$A$1:$NTR$890,COLUMN(HeadJournal!B$1),0),"")</f>
        <v>720000233302</v>
      </c>
      <c r="C3380" s="94" t="str">
        <f>IFERROR(VLOOKUP($A3380,HeadJournal!$A$1:$NTR$890,COLUMN(HeadJournal!C$1),0),"")</f>
        <v>iHerb_AV CYG0792</v>
      </c>
      <c r="D3380" s="125" t="str">
        <f>IFERROR(VLOOKUP($A3380,HeadJournal!$A$1:$NTR$890,COLUMN(HeadJournal!D$1),0),"")</f>
        <v>Доставлен</v>
      </c>
      <c r="E3380" s="95">
        <f>IFERROR(VLOOKUP($A3380,HeadJournal!$A$1:$NTR$890,COLUMN(HeadJournal!G$1),0),"")</f>
        <v>45427</v>
      </c>
      <c r="F3380" s="95" t="str">
        <f t="shared" si="267"/>
        <v>2024 05</v>
      </c>
      <c r="G3380" s="96" t="s">
        <v>5</v>
      </c>
      <c r="H3380" s="161" t="s">
        <v>2041</v>
      </c>
      <c r="I3380" s="97" t="s">
        <v>2042</v>
      </c>
      <c r="J3380" s="97" t="s">
        <v>2043</v>
      </c>
      <c r="K3380" s="29">
        <v>13.62</v>
      </c>
      <c r="L3380" s="29">
        <v>-2.72</v>
      </c>
      <c r="M3380" s="30">
        <f>IFERROR(VLOOKUP($A3380,HeadJournal!$A$1:$J$890,COLUMN(HeadJournal!I$1),0)*($K3380+$L3380)/(SUMIF($A:$A,$A3380,$K:$K)+SUMIF($A:$A,$A3380,$L:$L)),0)</f>
        <v>-1.2668247052793433</v>
      </c>
      <c r="N3380" s="30">
        <f>IFERROR((VLOOKUP($A3380,HeadJournal!$A$1:$K$890,COLUMN(HeadJournal!K$1),0)-VLOOKUP($A3380,HeadJournal!$A$1:$K$890,COLUMN(HeadJournal!J$1),0))*($K3380+$L3380)/(SUMIF($A:$A,$A3380,$K:$K)+SUMIF($A:$A,$A3380,$L:$L)),0)</f>
        <v>-3.9697159506843101E-15</v>
      </c>
      <c r="O3380" s="30">
        <f>IFERROR((VLOOKUP($A3380,HeadJournal!$A$1:$L$890,COLUMN(HeadJournal!L$1),0)*($K3380+$L3380)/(SUMIF($A:$A,$A3380,$K:$K)+SUMIF($A:$A,$A3380,$L:$L)))/VLOOKUP($A3380,HeadJournal!$A$1:$L$890,COLUMN(HeadJournal!H$1),0),0)</f>
        <v>0.60630710440355517</v>
      </c>
      <c r="P3380" s="30">
        <f>IFERROR(SUM(K3380:O3380)*VLOOKUP($A3380,HeadJournal!$A$1:$L$890,COLUMN(HeadJournal!H$1),0),0)</f>
        <v>1073.1800038441813</v>
      </c>
      <c r="Q3380" s="29">
        <v>1800</v>
      </c>
      <c r="R3380" s="31">
        <v>45509</v>
      </c>
      <c r="S3380" s="31" t="s">
        <v>3121</v>
      </c>
      <c r="T3380" s="95" t="str">
        <f t="shared" si="268"/>
        <v>2024 08</v>
      </c>
      <c r="U3380" s="32">
        <f t="shared" si="265"/>
        <v>726.81999615581867</v>
      </c>
      <c r="V3380" s="22">
        <f t="shared" si="266"/>
        <v>0.67725823585262046</v>
      </c>
      <c r="X3380" s="33"/>
      <c r="Y3380" s="33"/>
    </row>
    <row r="3381" spans="1:25" x14ac:dyDescent="0.2">
      <c r="A3381" s="93" t="s">
        <v>1803</v>
      </c>
      <c r="B3381" s="94" t="str">
        <f>IFERROR(VLOOKUP($A3381,HeadJournal!$A$1:$NTR$890,COLUMN(HeadJournal!B$1),0),"")</f>
        <v>720000233302</v>
      </c>
      <c r="C3381" s="94" t="str">
        <f>IFERROR(VLOOKUP($A3381,HeadJournal!$A$1:$NTR$890,COLUMN(HeadJournal!C$1),0),"")</f>
        <v>iHerb_AV CYG0792</v>
      </c>
      <c r="D3381" s="125" t="str">
        <f>IFERROR(VLOOKUP($A3381,HeadJournal!$A$1:$NTR$890,COLUMN(HeadJournal!D$1),0),"")</f>
        <v>Доставлен</v>
      </c>
      <c r="E3381" s="95">
        <f>IFERROR(VLOOKUP($A3381,HeadJournal!$A$1:$NTR$890,COLUMN(HeadJournal!G$1),0),"")</f>
        <v>45427</v>
      </c>
      <c r="F3381" s="95" t="str">
        <f t="shared" si="267"/>
        <v>2024 05</v>
      </c>
      <c r="G3381" s="96" t="s">
        <v>5</v>
      </c>
      <c r="H3381" s="175" t="s">
        <v>3650</v>
      </c>
      <c r="I3381" s="176" t="s">
        <v>2042</v>
      </c>
      <c r="J3381" s="97" t="s">
        <v>3699</v>
      </c>
      <c r="K3381" s="29">
        <v>14.34</v>
      </c>
      <c r="L3381" s="29">
        <v>-2.87</v>
      </c>
      <c r="M3381" s="30">
        <f>IFERROR(VLOOKUP($A3381,HeadJournal!$A$1:$J$890,COLUMN(HeadJournal!I$1),0)*($K3381+$L3381)/(SUMIF($A:$A,$A3381,$K:$K)+SUMIF($A:$A,$A3381,$L:$L)),0)</f>
        <v>-1.3330715017939514</v>
      </c>
      <c r="N3381" s="30">
        <f>IFERROR((VLOOKUP($A3381,HeadJournal!$A$1:$K$890,COLUMN(HeadJournal!K$1),0)-VLOOKUP($A3381,HeadJournal!$A$1:$K$890,COLUMN(HeadJournal!J$1),0))*($K3381+$L3381)/(SUMIF($A:$A,$A3381,$K:$K)+SUMIF($A:$A,$A3381,$L:$L)),0)</f>
        <v>-4.1773066013164257E-15</v>
      </c>
      <c r="O3381" s="30">
        <f>IFERROR((VLOOKUP($A3381,HeadJournal!$A$1:$L$890,COLUMN(HeadJournal!L$1),0)*($K3381+$L3381)/(SUMIF($A:$A,$A3381,$K:$K)+SUMIF($A:$A,$A3381,$L:$L)))/VLOOKUP($A3381,HeadJournal!$A$1:$L$890,COLUMN(HeadJournal!H$1),0),0)</f>
        <v>0.63801307224851178</v>
      </c>
      <c r="P3381" s="30">
        <f>IFERROR(SUM(K3381:O3381)*VLOOKUP($A3381,HeadJournal!$A$1:$L$890,COLUMN(HeadJournal!H$1),0),0)</f>
        <v>1129.3004260635562</v>
      </c>
      <c r="Q3381" s="29">
        <v>1900</v>
      </c>
      <c r="R3381" s="31">
        <v>45901</v>
      </c>
      <c r="S3381" s="31" t="s">
        <v>3206</v>
      </c>
      <c r="T3381" s="95" t="str">
        <f t="shared" si="268"/>
        <v>2025 09</v>
      </c>
      <c r="U3381" s="32">
        <f t="shared" si="265"/>
        <v>770.69957393644381</v>
      </c>
      <c r="V3381" s="22">
        <f t="shared" si="266"/>
        <v>0.68245752516263503</v>
      </c>
      <c r="X3381" s="33"/>
      <c r="Y3381" s="33"/>
    </row>
    <row r="3382" spans="1:25" x14ac:dyDescent="0.2">
      <c r="A3382" s="93" t="s">
        <v>1803</v>
      </c>
      <c r="B3382" s="94" t="str">
        <f>IFERROR(VLOOKUP($A3382,HeadJournal!$A$1:$NTR$890,COLUMN(HeadJournal!B$1),0),"")</f>
        <v>720000233302</v>
      </c>
      <c r="C3382" s="94" t="str">
        <f>IFERROR(VLOOKUP($A3382,HeadJournal!$A$1:$NTR$890,COLUMN(HeadJournal!C$1),0),"")</f>
        <v>iHerb_AV CYG0792</v>
      </c>
      <c r="D3382" s="125" t="str">
        <f>IFERROR(VLOOKUP($A3382,HeadJournal!$A$1:$NTR$890,COLUMN(HeadJournal!D$1),0),"")</f>
        <v>Доставлен</v>
      </c>
      <c r="E3382" s="95">
        <f>IFERROR(VLOOKUP($A3382,HeadJournal!$A$1:$NTR$890,COLUMN(HeadJournal!G$1),0),"")</f>
        <v>45427</v>
      </c>
      <c r="F3382" s="95" t="str">
        <f t="shared" si="267"/>
        <v>2024 05</v>
      </c>
      <c r="G3382" s="96" t="s">
        <v>5</v>
      </c>
      <c r="H3382" s="161" t="s">
        <v>2094</v>
      </c>
      <c r="I3382" s="97" t="s">
        <v>2042</v>
      </c>
      <c r="J3382" s="97" t="s">
        <v>2095</v>
      </c>
      <c r="K3382" s="29">
        <v>17.64</v>
      </c>
      <c r="L3382" s="29">
        <v>-3.53</v>
      </c>
      <c r="M3382" s="30">
        <f>IFERROR(VLOOKUP($A3382,HeadJournal!$A$1:$J$890,COLUMN(HeadJournal!I$1),0)*($K3382+$L3382)/(SUMIF($A:$A,$A3382,$K:$K)+SUMIF($A:$A,$A3382,$L:$L)),0)</f>
        <v>-1.6398987698616092</v>
      </c>
      <c r="N3382" s="30">
        <f>IFERROR((VLOOKUP($A3382,HeadJournal!$A$1:$K$890,COLUMN(HeadJournal!K$1),0)-VLOOKUP($A3382,HeadJournal!$A$1:$K$890,COLUMN(HeadJournal!J$1),0))*($K3382+$L3382)/(SUMIF($A:$A,$A3382,$K:$K)+SUMIF($A:$A,$A3382,$L:$L)),0)</f>
        <v>-5.1387790884546448E-15</v>
      </c>
      <c r="O3382" s="30">
        <f>IFERROR((VLOOKUP($A3382,HeadJournal!$A$1:$L$890,COLUMN(HeadJournal!L$1),0)*($K3382+$L3382)/(SUMIF($A:$A,$A3382,$K:$K)+SUMIF($A:$A,$A3382,$L:$L)))/VLOOKUP($A3382,HeadJournal!$A$1:$L$890,COLUMN(HeadJournal!H$1),0),0)</f>
        <v>0.78486176542515285</v>
      </c>
      <c r="P3382" s="30">
        <f>IFERROR(SUM(K3382:O3382)*VLOOKUP($A3382,HeadJournal!$A$1:$L$890,COLUMN(HeadJournal!H$1),0),0)</f>
        <v>1389.2265921322387</v>
      </c>
      <c r="Q3382" s="29">
        <v>2300</v>
      </c>
      <c r="R3382" s="31">
        <v>45467</v>
      </c>
      <c r="S3382" s="31" t="s">
        <v>3121</v>
      </c>
      <c r="T3382" s="95" t="str">
        <f t="shared" si="268"/>
        <v>2024 06</v>
      </c>
      <c r="U3382" s="32">
        <f t="shared" si="265"/>
        <v>910.77340786776131</v>
      </c>
      <c r="V3382" s="22">
        <f t="shared" si="266"/>
        <v>0.65559744754804261</v>
      </c>
      <c r="X3382" s="33"/>
      <c r="Y3382" s="33"/>
    </row>
    <row r="3383" spans="1:25" x14ac:dyDescent="0.2">
      <c r="A3383" s="93" t="s">
        <v>1803</v>
      </c>
      <c r="B3383" s="94" t="str">
        <f>IFERROR(VLOOKUP($A3383,HeadJournal!$A$1:$NTR$890,COLUMN(HeadJournal!B$1),0),"")</f>
        <v>720000233302</v>
      </c>
      <c r="C3383" s="94" t="str">
        <f>IFERROR(VLOOKUP($A3383,HeadJournal!$A$1:$NTR$890,COLUMN(HeadJournal!C$1),0),"")</f>
        <v>iHerb_AV CYG0792</v>
      </c>
      <c r="D3383" s="125" t="str">
        <f>IFERROR(VLOOKUP($A3383,HeadJournal!$A$1:$NTR$890,COLUMN(HeadJournal!D$1),0),"")</f>
        <v>Доставлен</v>
      </c>
      <c r="E3383" s="95">
        <f>IFERROR(VLOOKUP($A3383,HeadJournal!$A$1:$NTR$890,COLUMN(HeadJournal!G$1),0),"")</f>
        <v>45427</v>
      </c>
      <c r="F3383" s="95" t="str">
        <f t="shared" si="267"/>
        <v>2024 05</v>
      </c>
      <c r="G3383" s="96" t="s">
        <v>5</v>
      </c>
      <c r="H3383" s="161" t="s">
        <v>2819</v>
      </c>
      <c r="I3383" s="97" t="s">
        <v>2042</v>
      </c>
      <c r="J3383" s="97" t="s">
        <v>2820</v>
      </c>
      <c r="K3383" s="29">
        <v>11.61</v>
      </c>
      <c r="L3383" s="29">
        <v>-2.3199999999999998</v>
      </c>
      <c r="M3383" s="30">
        <f>IFERROR(VLOOKUP($A3383,HeadJournal!$A$1:$J$890,COLUMN(HeadJournal!I$1),0)*($K3383+$L3383)/(SUMIF($A:$A,$A3383,$K:$K)+SUMIF($A:$A,$A3383,$L:$L)),0)</f>
        <v>-1.0797065607380827</v>
      </c>
      <c r="N3383" s="30">
        <f>IFERROR((VLOOKUP($A3383,HeadJournal!$A$1:$K$890,COLUMN(HeadJournal!K$1),0)-VLOOKUP($A3383,HeadJournal!$A$1:$K$890,COLUMN(HeadJournal!J$1),0))*($K3383+$L3383)/(SUMIF($A:$A,$A3383,$K:$K)+SUMIF($A:$A,$A3383,$L:$L)),0)</f>
        <v>-3.3833634111795636E-15</v>
      </c>
      <c r="O3383" s="30">
        <f>IFERROR((VLOOKUP($A3383,HeadJournal!$A$1:$L$890,COLUMN(HeadJournal!L$1),0)*($K3383+$L3383)/(SUMIF($A:$A,$A3383,$K:$K)+SUMIF($A:$A,$A3383,$L:$L)))/VLOOKUP($A3383,HeadJournal!$A$1:$L$890,COLUMN(HeadJournal!H$1),0),0)</f>
        <v>0.51675165136780077</v>
      </c>
      <c r="P3383" s="30">
        <f>IFERROR(SUM(K3383:O3383)*VLOOKUP($A3383,HeadJournal!$A$1:$L$890,COLUMN(HeadJournal!H$1),0),0)</f>
        <v>914.66442529471965</v>
      </c>
      <c r="Q3383" s="29">
        <v>1700</v>
      </c>
      <c r="R3383" s="31">
        <v>45547</v>
      </c>
      <c r="S3383" s="31" t="s">
        <v>3121</v>
      </c>
      <c r="T3383" s="95" t="str">
        <f t="shared" si="268"/>
        <v>2024 09</v>
      </c>
      <c r="U3383" s="32">
        <f t="shared" si="265"/>
        <v>785.33557470528035</v>
      </c>
      <c r="V3383" s="22">
        <f t="shared" si="266"/>
        <v>0.85860513756423018</v>
      </c>
      <c r="X3383" s="33"/>
      <c r="Y3383" s="33"/>
    </row>
    <row r="3384" spans="1:25" x14ac:dyDescent="0.2">
      <c r="A3384" s="93" t="s">
        <v>1803</v>
      </c>
      <c r="B3384" s="94" t="str">
        <f>IFERROR(VLOOKUP($A3384,HeadJournal!$A$1:$NTR$890,COLUMN(HeadJournal!B$1),0),"")</f>
        <v>720000233302</v>
      </c>
      <c r="C3384" s="94" t="str">
        <f>IFERROR(VLOOKUP($A3384,HeadJournal!$A$1:$NTR$890,COLUMN(HeadJournal!C$1),0),"")</f>
        <v>iHerb_AV CYG0792</v>
      </c>
      <c r="D3384" s="125" t="str">
        <f>IFERROR(VLOOKUP($A3384,HeadJournal!$A$1:$NTR$890,COLUMN(HeadJournal!D$1),0),"")</f>
        <v>Доставлен</v>
      </c>
      <c r="E3384" s="95">
        <f>IFERROR(VLOOKUP($A3384,HeadJournal!$A$1:$NTR$890,COLUMN(HeadJournal!G$1),0),"")</f>
        <v>45427</v>
      </c>
      <c r="F3384" s="95" t="str">
        <f t="shared" si="267"/>
        <v>2024 05</v>
      </c>
      <c r="G3384" s="96" t="s">
        <v>5</v>
      </c>
      <c r="H3384" s="175" t="s">
        <v>3647</v>
      </c>
      <c r="I3384" s="176" t="s">
        <v>2042</v>
      </c>
      <c r="J3384" s="97" t="s">
        <v>3696</v>
      </c>
      <c r="K3384" s="29">
        <v>17.489999999999998</v>
      </c>
      <c r="L3384" s="29">
        <v>-3.5</v>
      </c>
      <c r="M3384" s="30">
        <f>IFERROR(VLOOKUP($A3384,HeadJournal!$A$1:$J$890,COLUMN(HeadJournal!I$1),0)*($K3384+$L3384)/(SUMIF($A:$A,$A3384,$K:$K)+SUMIF($A:$A,$A3384,$L:$L)),0)</f>
        <v>-1.6259520758585335</v>
      </c>
      <c r="N3384" s="30">
        <f>IFERROR((VLOOKUP($A3384,HeadJournal!$A$1:$K$890,COLUMN(HeadJournal!K$1),0)-VLOOKUP($A3384,HeadJournal!$A$1:$K$890,COLUMN(HeadJournal!J$1),0))*($K3384+$L3384)/(SUMIF($A:$A,$A3384,$K:$K)+SUMIF($A:$A,$A3384,$L:$L)),0)</f>
        <v>-5.0950757935847251E-15</v>
      </c>
      <c r="O3384" s="30">
        <f>IFERROR((VLOOKUP($A3384,HeadJournal!$A$1:$L$890,COLUMN(HeadJournal!L$1),0)*($K3384+$L3384)/(SUMIF($A:$A,$A3384,$K:$K)+SUMIF($A:$A,$A3384,$L:$L)))/VLOOKUP($A3384,HeadJournal!$A$1:$L$890,COLUMN(HeadJournal!H$1),0),0)</f>
        <v>0.77818682482621448</v>
      </c>
      <c r="P3384" s="30">
        <f>IFERROR(SUM(K3384:O3384)*VLOOKUP($A3384,HeadJournal!$A$1:$L$890,COLUMN(HeadJournal!H$1),0),0)</f>
        <v>1377.4117664018438</v>
      </c>
      <c r="Q3384" s="29">
        <v>2400</v>
      </c>
      <c r="R3384" s="31">
        <v>45547</v>
      </c>
      <c r="S3384" s="31" t="s">
        <v>3121</v>
      </c>
      <c r="T3384" s="95" t="str">
        <f t="shared" si="268"/>
        <v>2024 09</v>
      </c>
      <c r="U3384" s="32">
        <f t="shared" si="265"/>
        <v>1022.5882335981562</v>
      </c>
      <c r="V3384" s="22">
        <f t="shared" si="266"/>
        <v>0.74239835795030373</v>
      </c>
      <c r="X3384" s="33"/>
      <c r="Y3384" s="33"/>
    </row>
    <row r="3385" spans="1:25" x14ac:dyDescent="0.2">
      <c r="A3385" s="93" t="s">
        <v>1803</v>
      </c>
      <c r="B3385" s="94" t="str">
        <f>IFERROR(VLOOKUP($A3385,HeadJournal!$A$1:$NTR$890,COLUMN(HeadJournal!B$1),0),"")</f>
        <v>720000233302</v>
      </c>
      <c r="C3385" s="94" t="str">
        <f>IFERROR(VLOOKUP($A3385,HeadJournal!$A$1:$NTR$890,COLUMN(HeadJournal!C$1),0),"")</f>
        <v>iHerb_AV CYG0792</v>
      </c>
      <c r="D3385" s="125" t="str">
        <f>IFERROR(VLOOKUP($A3385,HeadJournal!$A$1:$NTR$890,COLUMN(HeadJournal!D$1),0),"")</f>
        <v>Доставлен</v>
      </c>
      <c r="E3385" s="95">
        <f>IFERROR(VLOOKUP($A3385,HeadJournal!$A$1:$NTR$890,COLUMN(HeadJournal!G$1),0),"")</f>
        <v>45427</v>
      </c>
      <c r="F3385" s="95" t="str">
        <f t="shared" si="267"/>
        <v>2024 05</v>
      </c>
      <c r="G3385" s="96" t="s">
        <v>5</v>
      </c>
      <c r="H3385" s="175" t="s">
        <v>3647</v>
      </c>
      <c r="I3385" s="176" t="s">
        <v>2042</v>
      </c>
      <c r="J3385" s="97" t="s">
        <v>3696</v>
      </c>
      <c r="K3385" s="29">
        <v>17.489999999999998</v>
      </c>
      <c r="L3385" s="29">
        <v>-3.5</v>
      </c>
      <c r="M3385" s="30">
        <f>IFERROR(VLOOKUP($A3385,HeadJournal!$A$1:$J$890,COLUMN(HeadJournal!I$1),0)*($K3385+$L3385)/(SUMIF($A:$A,$A3385,$K:$K)+SUMIF($A:$A,$A3385,$L:$L)),0)</f>
        <v>-1.6259520758585335</v>
      </c>
      <c r="N3385" s="30">
        <f>IFERROR((VLOOKUP($A3385,HeadJournal!$A$1:$K$890,COLUMN(HeadJournal!K$1),0)-VLOOKUP($A3385,HeadJournal!$A$1:$K$890,COLUMN(HeadJournal!J$1),0))*($K3385+$L3385)/(SUMIF($A:$A,$A3385,$K:$K)+SUMIF($A:$A,$A3385,$L:$L)),0)</f>
        <v>-5.0950757935847251E-15</v>
      </c>
      <c r="O3385" s="30">
        <f>IFERROR((VLOOKUP($A3385,HeadJournal!$A$1:$L$890,COLUMN(HeadJournal!L$1),0)*($K3385+$L3385)/(SUMIF($A:$A,$A3385,$K:$K)+SUMIF($A:$A,$A3385,$L:$L)))/VLOOKUP($A3385,HeadJournal!$A$1:$L$890,COLUMN(HeadJournal!H$1),0),0)</f>
        <v>0.77818682482621448</v>
      </c>
      <c r="P3385" s="30">
        <f>IFERROR(SUM(K3385:O3385)*VLOOKUP($A3385,HeadJournal!$A$1:$L$890,COLUMN(HeadJournal!H$1),0),0)</f>
        <v>1377.4117664018438</v>
      </c>
      <c r="Q3385" s="29">
        <v>2500</v>
      </c>
      <c r="R3385" s="31">
        <v>45643</v>
      </c>
      <c r="S3385" s="31" t="s">
        <v>3121</v>
      </c>
      <c r="T3385" s="95" t="str">
        <f t="shared" si="268"/>
        <v>2024 12</v>
      </c>
      <c r="U3385" s="32">
        <f t="shared" si="265"/>
        <v>1122.5882335981562</v>
      </c>
      <c r="V3385" s="22">
        <f t="shared" si="266"/>
        <v>0.81499828953156639</v>
      </c>
      <c r="X3385" s="33"/>
      <c r="Y3385" s="33"/>
    </row>
    <row r="3386" spans="1:25" x14ac:dyDescent="0.2">
      <c r="A3386" s="93" t="s">
        <v>1803</v>
      </c>
      <c r="B3386" s="94" t="str">
        <f>IFERROR(VLOOKUP($A3386,HeadJournal!$A$1:$NTR$890,COLUMN(HeadJournal!B$1),0),"")</f>
        <v>720000233302</v>
      </c>
      <c r="C3386" s="94" t="str">
        <f>IFERROR(VLOOKUP($A3386,HeadJournal!$A$1:$NTR$890,COLUMN(HeadJournal!C$1),0),"")</f>
        <v>iHerb_AV CYG0792</v>
      </c>
      <c r="D3386" s="125" t="str">
        <f>IFERROR(VLOOKUP($A3386,HeadJournal!$A$1:$NTR$890,COLUMN(HeadJournal!D$1),0),"")</f>
        <v>Доставлен</v>
      </c>
      <c r="E3386" s="95">
        <f>IFERROR(VLOOKUP($A3386,HeadJournal!$A$1:$NTR$890,COLUMN(HeadJournal!G$1),0),"")</f>
        <v>45427</v>
      </c>
      <c r="F3386" s="95" t="str">
        <f t="shared" si="267"/>
        <v>2024 05</v>
      </c>
      <c r="G3386" s="96" t="s">
        <v>5</v>
      </c>
      <c r="H3386" s="160" t="str">
        <f>RIGHT(Journal!$J3386,9)</f>
        <v>BTZ-75130</v>
      </c>
      <c r="I3386" s="96" t="str">
        <f t="shared" ref="I3386:I3441" si="269">IFERROR(LEFT(J3386,FIND(",",J3386)-1),"")</f>
        <v>BioSchwartz</v>
      </c>
      <c r="J3386" s="97" t="s">
        <v>1814</v>
      </c>
      <c r="K3386" s="29">
        <v>25.56</v>
      </c>
      <c r="L3386" s="29">
        <v>-12.98</v>
      </c>
      <c r="M3386" s="30">
        <f>IFERROR(VLOOKUP($A3386,HeadJournal!$A$1:$J$890,COLUMN(HeadJournal!I$1),0)*($K3386+$L3386)/(SUMIF($A:$A,$A3386,$K:$K)+SUMIF($A:$A,$A3386,$L:$L)),0)</f>
        <v>-1.4620784213223983</v>
      </c>
      <c r="N3386" s="30">
        <f>IFERROR((VLOOKUP($A3386,HeadJournal!$A$1:$K$890,COLUMN(HeadJournal!K$1),0)-VLOOKUP($A3386,HeadJournal!$A$1:$K$890,COLUMN(HeadJournal!J$1),0))*($K3386+$L3386)/(SUMIF($A:$A,$A3386,$K:$K)+SUMIF($A:$A,$A3386,$L:$L)),0)</f>
        <v>-4.5815620788631764E-15</v>
      </c>
      <c r="O3386" s="30">
        <f>IFERROR((VLOOKUP($A3386,HeadJournal!$A$1:$L$890,COLUMN(HeadJournal!L$1),0)*($K3386+$L3386)/(SUMIF($A:$A,$A3386,$K:$K)+SUMIF($A:$A,$A3386,$L:$L)))/VLOOKUP($A3386,HeadJournal!$A$1:$L$890,COLUMN(HeadJournal!H$1),0),0)</f>
        <v>0.69975627278869035</v>
      </c>
      <c r="P3386" s="30">
        <f>IFERROR(SUM(K3386:O3386)*VLOOKUP($A3386,HeadJournal!$A$1:$L$890,COLUMN(HeadJournal!H$1),0),0)</f>
        <v>1238.5875640697063</v>
      </c>
      <c r="Q3386" s="29">
        <v>2800</v>
      </c>
      <c r="R3386" s="31">
        <v>45525</v>
      </c>
      <c r="S3386" s="31" t="s">
        <v>3121</v>
      </c>
      <c r="T3386" s="95" t="str">
        <f t="shared" si="268"/>
        <v>2024 08</v>
      </c>
      <c r="U3386" s="32">
        <f t="shared" si="265"/>
        <v>1561.4124359302937</v>
      </c>
      <c r="V3386" s="22">
        <f t="shared" si="266"/>
        <v>1.2606395229739438</v>
      </c>
      <c r="X3386" s="33"/>
      <c r="Y3386" s="33"/>
    </row>
    <row r="3387" spans="1:25" x14ac:dyDescent="0.2">
      <c r="A3387" s="93" t="s">
        <v>1803</v>
      </c>
      <c r="B3387" s="94" t="str">
        <f>IFERROR(VLOOKUP($A3387,HeadJournal!$A$1:$NTR$890,COLUMN(HeadJournal!B$1),0),"")</f>
        <v>720000233302</v>
      </c>
      <c r="C3387" s="94" t="str">
        <f>IFERROR(VLOOKUP($A3387,HeadJournal!$A$1:$NTR$890,COLUMN(HeadJournal!C$1),0),"")</f>
        <v>iHerb_AV CYG0792</v>
      </c>
      <c r="D3387" s="125" t="str">
        <f>IFERROR(VLOOKUP($A3387,HeadJournal!$A$1:$NTR$890,COLUMN(HeadJournal!D$1),0),"")</f>
        <v>Доставлен</v>
      </c>
      <c r="E3387" s="95">
        <f>IFERROR(VLOOKUP($A3387,HeadJournal!$A$1:$NTR$890,COLUMN(HeadJournal!G$1),0),"")</f>
        <v>45427</v>
      </c>
      <c r="F3387" s="95" t="str">
        <f t="shared" si="267"/>
        <v>2024 05</v>
      </c>
      <c r="G3387" s="96" t="s">
        <v>5</v>
      </c>
      <c r="H3387" s="160" t="str">
        <f>RIGHT(Journal!$J3387,9)</f>
        <v>CGN-02189</v>
      </c>
      <c r="I3387" s="96" t="str">
        <f t="shared" si="269"/>
        <v>California Gold Nutrition</v>
      </c>
      <c r="J3387" s="97" t="s">
        <v>1588</v>
      </c>
      <c r="K3387" s="29">
        <v>26.88</v>
      </c>
      <c r="L3387" s="29">
        <v>-20.16</v>
      </c>
      <c r="M3387" s="30">
        <f>IFERROR(VLOOKUP($A3387,HeadJournal!$A$1:$J$890,COLUMN(HeadJournal!I$1),0)*($K3387+$L3387)/(SUMIF($A:$A,$A3387,$K:$K)+SUMIF($A:$A,$A3387,$L:$L)),0)</f>
        <v>-0.7810148641722191</v>
      </c>
      <c r="N3387" s="30">
        <f>IFERROR((VLOOKUP($A3387,HeadJournal!$A$1:$K$890,COLUMN(HeadJournal!K$1),0)-VLOOKUP($A3387,HeadJournal!$A$1:$K$890,COLUMN(HeadJournal!J$1),0))*($K3387+$L3387)/(SUMIF($A:$A,$A3387,$K:$K)+SUMIF($A:$A,$A3387,$L:$L)),0)</f>
        <v>-2.4473845127154647E-15</v>
      </c>
      <c r="O3387" s="30">
        <f>IFERROR((VLOOKUP($A3387,HeadJournal!$A$1:$L$890,COLUMN(HeadJournal!L$1),0)*($K3387+$L3387)/(SUMIF($A:$A,$A3387,$K:$K)+SUMIF($A:$A,$A3387,$L:$L)))/VLOOKUP($A3387,HeadJournal!$A$1:$L$890,COLUMN(HeadJournal!H$1),0),0)</f>
        <v>0.37379667354054047</v>
      </c>
      <c r="P3387" s="30">
        <f>IFERROR(SUM(K3387:O3387)*VLOOKUP($A3387,HeadJournal!$A$1:$L$890,COLUMN(HeadJournal!H$1),0),0)</f>
        <v>661.63024090210081</v>
      </c>
      <c r="Q3387" s="29">
        <v>1300</v>
      </c>
      <c r="R3387" s="31">
        <v>45505</v>
      </c>
      <c r="S3387" s="31" t="s">
        <v>3121</v>
      </c>
      <c r="T3387" s="95" t="str">
        <f t="shared" si="268"/>
        <v>2024 08</v>
      </c>
      <c r="U3387" s="32">
        <f t="shared" si="265"/>
        <v>638.36975909789919</v>
      </c>
      <c r="V3387" s="22">
        <f t="shared" si="266"/>
        <v>0.96484368403039278</v>
      </c>
      <c r="X3387" s="33"/>
      <c r="Y3387" s="33"/>
    </row>
    <row r="3388" spans="1:25" x14ac:dyDescent="0.2">
      <c r="A3388" s="93" t="s">
        <v>1803</v>
      </c>
      <c r="B3388" s="94" t="str">
        <f>IFERROR(VLOOKUP($A3388,HeadJournal!$A$1:$NTR$890,COLUMN(HeadJournal!B$1),0),"")</f>
        <v>720000233302</v>
      </c>
      <c r="C3388" s="94" t="str">
        <f>IFERROR(VLOOKUP($A3388,HeadJournal!$A$1:$NTR$890,COLUMN(HeadJournal!C$1),0),"")</f>
        <v>iHerb_AV CYG0792</v>
      </c>
      <c r="D3388" s="125" t="str">
        <f>IFERROR(VLOOKUP($A3388,HeadJournal!$A$1:$NTR$890,COLUMN(HeadJournal!D$1),0),"")</f>
        <v>Доставлен</v>
      </c>
      <c r="E3388" s="95">
        <f>IFERROR(VLOOKUP($A3388,HeadJournal!$A$1:$NTR$890,COLUMN(HeadJournal!G$1),0),"")</f>
        <v>45427</v>
      </c>
      <c r="F3388" s="95" t="str">
        <f t="shared" si="267"/>
        <v>2024 05</v>
      </c>
      <c r="G3388" s="96" t="s">
        <v>5</v>
      </c>
      <c r="H3388" s="160" t="str">
        <f>RIGHT(Journal!$J3388,9)</f>
        <v>CGN-00963</v>
      </c>
      <c r="I3388" s="96" t="str">
        <f t="shared" si="269"/>
        <v>California Gold Nutrition</v>
      </c>
      <c r="J3388" s="97" t="s">
        <v>1127</v>
      </c>
      <c r="K3388" s="29">
        <v>11.68</v>
      </c>
      <c r="L3388" s="29">
        <v>-3.5049999999999999</v>
      </c>
      <c r="M3388" s="30">
        <f>IFERROR(VLOOKUP($A3388,HeadJournal!$A$1:$J$890,COLUMN(HeadJournal!I$1),0)*($K3388+$L3388)/(SUMIF($A:$A,$A3388,$K:$K)+SUMIF($A:$A,$A3388,$L:$L)),0)</f>
        <v>-0.95011852895950788</v>
      </c>
      <c r="N3388" s="30">
        <f>IFERROR((VLOOKUP($A3388,HeadJournal!$A$1:$K$890,COLUMN(HeadJournal!K$1),0)-VLOOKUP($A3388,HeadJournal!$A$1:$K$890,COLUMN(HeadJournal!J$1),0))*($K3388+$L3388)/(SUMIF($A:$A,$A3388,$K:$K)+SUMIF($A:$A,$A3388,$L:$L)),0)</f>
        <v>-2.9772869630132334E-15</v>
      </c>
      <c r="O3388" s="30">
        <f>IFERROR((VLOOKUP($A3388,HeadJournal!$A$1:$L$890,COLUMN(HeadJournal!L$1),0)*($K3388+$L3388)/(SUMIF($A:$A,$A3388,$K:$K)+SUMIF($A:$A,$A3388,$L:$L)))/VLOOKUP($A3388,HeadJournal!$A$1:$L$890,COLUMN(HeadJournal!H$1),0),0)</f>
        <v>0.45473032830266652</v>
      </c>
      <c r="P3388" s="30">
        <f>IFERROR(SUM(K3388:O3388)*VLOOKUP($A3388,HeadJournal!$A$1:$L$890,COLUMN(HeadJournal!H$1),0),0)</f>
        <v>804.88500288313628</v>
      </c>
      <c r="Q3388" s="29">
        <v>1200</v>
      </c>
      <c r="R3388" s="31">
        <v>45923</v>
      </c>
      <c r="S3388" s="31" t="s">
        <v>3252</v>
      </c>
      <c r="T3388" s="95" t="str">
        <f t="shared" si="268"/>
        <v>2025 09</v>
      </c>
      <c r="U3388" s="32">
        <f t="shared" si="265"/>
        <v>395.11499711686372</v>
      </c>
      <c r="V3388" s="22">
        <f t="shared" si="266"/>
        <v>0.49089620964677322</v>
      </c>
      <c r="X3388" s="33"/>
      <c r="Y3388" s="33"/>
    </row>
    <row r="3389" spans="1:25" x14ac:dyDescent="0.2">
      <c r="A3389" s="93" t="s">
        <v>1803</v>
      </c>
      <c r="B3389" s="94" t="str">
        <f>IFERROR(VLOOKUP($A3389,HeadJournal!$A$1:$NTR$890,COLUMN(HeadJournal!B$1),0),"")</f>
        <v>720000233302</v>
      </c>
      <c r="C3389" s="94" t="str">
        <f>IFERROR(VLOOKUP($A3389,HeadJournal!$A$1:$NTR$890,COLUMN(HeadJournal!C$1),0),"")</f>
        <v>iHerb_AV CYG0792</v>
      </c>
      <c r="D3389" s="125" t="str">
        <f>IFERROR(VLOOKUP($A3389,HeadJournal!$A$1:$NTR$890,COLUMN(HeadJournal!D$1),0),"")</f>
        <v>Доставлен</v>
      </c>
      <c r="E3389" s="95">
        <f>IFERROR(VLOOKUP($A3389,HeadJournal!$A$1:$NTR$890,COLUMN(HeadJournal!G$1),0),"")</f>
        <v>45427</v>
      </c>
      <c r="F3389" s="95" t="str">
        <f t="shared" si="267"/>
        <v>2024 05</v>
      </c>
      <c r="G3389" s="96" t="s">
        <v>5</v>
      </c>
      <c r="H3389" s="160" t="str">
        <f>RIGHT(Journal!$J3389,9)</f>
        <v>CGN-00963</v>
      </c>
      <c r="I3389" s="96" t="str">
        <f t="shared" si="269"/>
        <v>California Gold Nutrition</v>
      </c>
      <c r="J3389" s="97" t="s">
        <v>1127</v>
      </c>
      <c r="K3389" s="29">
        <v>11.68</v>
      </c>
      <c r="L3389" s="29">
        <v>-3.5049999999999999</v>
      </c>
      <c r="M3389" s="30">
        <f>IFERROR(VLOOKUP($A3389,HeadJournal!$A$1:$J$890,COLUMN(HeadJournal!I$1),0)*($K3389+$L3389)/(SUMIF($A:$A,$A3389,$K:$K)+SUMIF($A:$A,$A3389,$L:$L)),0)</f>
        <v>-0.95011852895950788</v>
      </c>
      <c r="N3389" s="30">
        <f>IFERROR((VLOOKUP($A3389,HeadJournal!$A$1:$K$890,COLUMN(HeadJournal!K$1),0)-VLOOKUP($A3389,HeadJournal!$A$1:$K$890,COLUMN(HeadJournal!J$1),0))*($K3389+$L3389)/(SUMIF($A:$A,$A3389,$K:$K)+SUMIF($A:$A,$A3389,$L:$L)),0)</f>
        <v>-2.9772869630132334E-15</v>
      </c>
      <c r="O3389" s="30">
        <f>IFERROR((VLOOKUP($A3389,HeadJournal!$A$1:$L$890,COLUMN(HeadJournal!L$1),0)*($K3389+$L3389)/(SUMIF($A:$A,$A3389,$K:$K)+SUMIF($A:$A,$A3389,$L:$L)))/VLOOKUP($A3389,HeadJournal!$A$1:$L$890,COLUMN(HeadJournal!H$1),0),0)</f>
        <v>0.45473032830266652</v>
      </c>
      <c r="P3389" s="30">
        <f>IFERROR(SUM(K3389:O3389)*VLOOKUP($A3389,HeadJournal!$A$1:$L$890,COLUMN(HeadJournal!H$1),0),0)</f>
        <v>804.88500288313628</v>
      </c>
      <c r="Q3389" s="29">
        <v>1200</v>
      </c>
      <c r="R3389" s="31">
        <v>45945</v>
      </c>
      <c r="S3389" s="31"/>
      <c r="T3389" s="95" t="str">
        <f t="shared" si="268"/>
        <v>2025 10</v>
      </c>
      <c r="U3389" s="32">
        <f t="shared" si="265"/>
        <v>395.11499711686372</v>
      </c>
      <c r="V3389" s="22">
        <f t="shared" si="266"/>
        <v>0.49089620964677322</v>
      </c>
      <c r="X3389" s="33"/>
      <c r="Y3389" s="33"/>
    </row>
    <row r="3390" spans="1:25" x14ac:dyDescent="0.2">
      <c r="A3390" s="93" t="s">
        <v>1803</v>
      </c>
      <c r="B3390" s="94" t="str">
        <f>IFERROR(VLOOKUP($A3390,HeadJournal!$A$1:$NTR$890,COLUMN(HeadJournal!B$1),0),"")</f>
        <v>720000233302</v>
      </c>
      <c r="C3390" s="94" t="str">
        <f>IFERROR(VLOOKUP($A3390,HeadJournal!$A$1:$NTR$890,COLUMN(HeadJournal!C$1),0),"")</f>
        <v>iHerb_AV CYG0792</v>
      </c>
      <c r="D3390" s="125" t="str">
        <f>IFERROR(VLOOKUP($A3390,HeadJournal!$A$1:$NTR$890,COLUMN(HeadJournal!D$1),0),"")</f>
        <v>Доставлен</v>
      </c>
      <c r="E3390" s="95">
        <f>IFERROR(VLOOKUP($A3390,HeadJournal!$A$1:$NTR$890,COLUMN(HeadJournal!G$1),0),"")</f>
        <v>45427</v>
      </c>
      <c r="F3390" s="95" t="str">
        <f t="shared" si="267"/>
        <v>2024 05</v>
      </c>
      <c r="G3390" s="96" t="s">
        <v>5</v>
      </c>
      <c r="H3390" s="97" t="s">
        <v>3629</v>
      </c>
      <c r="I3390" s="97" t="s">
        <v>2052</v>
      </c>
      <c r="J3390" s="97" t="s">
        <v>3672</v>
      </c>
      <c r="K3390" s="29">
        <v>10.220000000000001</v>
      </c>
      <c r="L3390" s="29">
        <v>-3.07</v>
      </c>
      <c r="M3390" s="30">
        <f>IFERROR(VLOOKUP($A3390,HeadJournal!$A$1:$J$890,COLUMN(HeadJournal!I$1),0)*($K3390+$L3390)/(SUMIF($A:$A,$A3390,$K:$K)+SUMIF($A:$A,$A3390,$L:$L)),0)</f>
        <v>-0.83099051768323928</v>
      </c>
      <c r="N3390" s="30">
        <f>IFERROR((VLOOKUP($A3390,HeadJournal!$A$1:$K$890,COLUMN(HeadJournal!K$1),0)-VLOOKUP($A3390,HeadJournal!$A$1:$K$890,COLUMN(HeadJournal!J$1),0))*($K3390+$L3390)/(SUMIF($A:$A,$A3390,$K:$K)+SUMIF($A:$A,$A3390,$L:$L)),0)</f>
        <v>-2.6039879859993415E-15</v>
      </c>
      <c r="O3390" s="30">
        <f>IFERROR((VLOOKUP($A3390,HeadJournal!$A$1:$L$890,COLUMN(HeadJournal!L$1),0)*($K3390+$L3390)/(SUMIF($A:$A,$A3390,$K:$K)+SUMIF($A:$A,$A3390,$L:$L)))/VLOOKUP($A3390,HeadJournal!$A$1:$L$890,COLUMN(HeadJournal!H$1),0),0)</f>
        <v>0.39771521068673588</v>
      </c>
      <c r="P3390" s="30">
        <f>IFERROR(SUM(K3390:O3390)*VLOOKUP($A3390,HeadJournal!$A$1:$L$890,COLUMN(HeadJournal!H$1),0),0)</f>
        <v>703.96669976934845</v>
      </c>
      <c r="Q3390" s="29">
        <v>1450</v>
      </c>
      <c r="R3390" s="31">
        <v>45460</v>
      </c>
      <c r="S3390" s="31" t="s">
        <v>3121</v>
      </c>
      <c r="T3390" s="95" t="str">
        <f t="shared" si="268"/>
        <v>2024 06</v>
      </c>
      <c r="U3390" s="32">
        <f t="shared" si="265"/>
        <v>746.03330023065155</v>
      </c>
      <c r="V3390" s="22">
        <f t="shared" si="266"/>
        <v>1.0597565204079766</v>
      </c>
      <c r="X3390" s="33"/>
      <c r="Y3390" s="33"/>
    </row>
    <row r="3391" spans="1:25" x14ac:dyDescent="0.2">
      <c r="A3391" s="93" t="s">
        <v>1815</v>
      </c>
      <c r="B3391" s="94" t="str">
        <f>IFERROR(VLOOKUP($A3391,HeadJournal!$A$1:$NTR$890,COLUMN(HeadJournal!B$1),0),"")</f>
        <v>720000237274</v>
      </c>
      <c r="C3391" s="94" t="str">
        <f>IFERROR(VLOOKUP($A3391,HeadJournal!$A$1:$NTR$890,COLUMN(HeadJournal!C$1),0),"")</f>
        <v>iHerb_OA CZN6870</v>
      </c>
      <c r="D3391" s="125" t="str">
        <f>IFERROR(VLOOKUP($A3391,HeadJournal!$A$1:$NTR$890,COLUMN(HeadJournal!D$1),0),"")</f>
        <v>Доставлен</v>
      </c>
      <c r="E3391" s="95">
        <f>IFERROR(VLOOKUP($A3391,HeadJournal!$A$1:$NTR$890,COLUMN(HeadJournal!G$1),0),"")</f>
        <v>45429</v>
      </c>
      <c r="F3391" s="95" t="str">
        <f t="shared" si="267"/>
        <v>2024 05</v>
      </c>
      <c r="G3391" s="96" t="s">
        <v>5</v>
      </c>
      <c r="H3391" s="160" t="str">
        <f>RIGHT(Journal!$J3391,9)</f>
        <v>SNS-01819</v>
      </c>
      <c r="I3391" s="96" t="str">
        <f t="shared" si="269"/>
        <v>Source Naturals</v>
      </c>
      <c r="J3391" s="97" t="s">
        <v>945</v>
      </c>
      <c r="K3391" s="29">
        <v>11.15</v>
      </c>
      <c r="L3391" s="29">
        <v>-2.4550000000000001</v>
      </c>
      <c r="M3391" s="30">
        <f>IFERROR(VLOOKUP($A3391,HeadJournal!$A$1:$J$890,COLUMN(HeadJournal!I$1),0)*($K3391+$L3391)/(SUMIF($A:$A,$A3391,$K:$K)+SUMIF($A:$A,$A3391,$L:$L)),0)</f>
        <v>-1.0157672787671865</v>
      </c>
      <c r="N3391" s="30">
        <f>IFERROR((VLOOKUP($A3391,HeadJournal!$A$1:$K$890,COLUMN(HeadJournal!K$1),0)-VLOOKUP($A3391,HeadJournal!$A$1:$K$890,COLUMN(HeadJournal!J$1),0))*($K3391+$L3391)/(SUMIF($A:$A,$A3391,$K:$K)+SUMIF($A:$A,$A3391,$L:$L)),0)</f>
        <v>-1.1401991487374865E-15</v>
      </c>
      <c r="O3391" s="30">
        <f>IFERROR((VLOOKUP($A3391,HeadJournal!$A$1:$L$890,COLUMN(HeadJournal!L$1),0)*($K3391+$L3391)/(SUMIF($A:$A,$A3391,$K:$K)+SUMIF($A:$A,$A3391,$L:$L)))/VLOOKUP($A3391,HeadJournal!$A$1:$L$890,COLUMN(HeadJournal!H$1),0),0)</f>
        <v>0.69658469563320169</v>
      </c>
      <c r="P3391" s="30">
        <f>IFERROR(SUM(K3391:O3391)*VLOOKUP($A3391,HeadJournal!$A$1:$L$890,COLUMN(HeadJournal!H$1),0),0)</f>
        <v>877.85294385576071</v>
      </c>
      <c r="Q3391" s="29">
        <v>1600</v>
      </c>
      <c r="R3391" s="31">
        <v>45488</v>
      </c>
      <c r="S3391" s="31" t="s">
        <v>3121</v>
      </c>
      <c r="T3391" s="95" t="str">
        <f t="shared" si="268"/>
        <v>2024 07</v>
      </c>
      <c r="U3391" s="32">
        <f t="shared" si="265"/>
        <v>722.14705614423929</v>
      </c>
      <c r="V3391" s="22">
        <f t="shared" si="266"/>
        <v>0.82262873434402317</v>
      </c>
      <c r="X3391" s="33"/>
      <c r="Y3391" s="33"/>
    </row>
    <row r="3392" spans="1:25" x14ac:dyDescent="0.2">
      <c r="A3392" s="93" t="s">
        <v>1815</v>
      </c>
      <c r="B3392" s="94" t="str">
        <f>IFERROR(VLOOKUP($A3392,HeadJournal!$A$1:$NTR$890,COLUMN(HeadJournal!B$1),0),"")</f>
        <v>720000237274</v>
      </c>
      <c r="C3392" s="94" t="str">
        <f>IFERROR(VLOOKUP($A3392,HeadJournal!$A$1:$NTR$890,COLUMN(HeadJournal!C$1),0),"")</f>
        <v>iHerb_OA CZN6870</v>
      </c>
      <c r="D3392" s="125" t="str">
        <f>IFERROR(VLOOKUP($A3392,HeadJournal!$A$1:$NTR$890,COLUMN(HeadJournal!D$1),0),"")</f>
        <v>Доставлен</v>
      </c>
      <c r="E3392" s="95">
        <f>IFERROR(VLOOKUP($A3392,HeadJournal!$A$1:$NTR$890,COLUMN(HeadJournal!G$1),0),"")</f>
        <v>45429</v>
      </c>
      <c r="F3392" s="95" t="str">
        <f t="shared" si="267"/>
        <v>2024 05</v>
      </c>
      <c r="G3392" s="96" t="s">
        <v>5</v>
      </c>
      <c r="H3392" s="160" t="str">
        <f>RIGHT(Journal!$J3392,9)</f>
        <v>SNS-01819</v>
      </c>
      <c r="I3392" s="96" t="str">
        <f t="shared" si="269"/>
        <v>Source Naturals</v>
      </c>
      <c r="J3392" s="97" t="s">
        <v>945</v>
      </c>
      <c r="K3392" s="29">
        <v>11.15</v>
      </c>
      <c r="L3392" s="29">
        <v>-2.4550000000000001</v>
      </c>
      <c r="M3392" s="30">
        <f>IFERROR(VLOOKUP($A3392,HeadJournal!$A$1:$J$890,COLUMN(HeadJournal!I$1),0)*($K3392+$L3392)/(SUMIF($A:$A,$A3392,$K:$K)+SUMIF($A:$A,$A3392,$L:$L)),0)</f>
        <v>-1.0157672787671865</v>
      </c>
      <c r="N3392" s="30">
        <f>IFERROR((VLOOKUP($A3392,HeadJournal!$A$1:$K$890,COLUMN(HeadJournal!K$1),0)-VLOOKUP($A3392,HeadJournal!$A$1:$K$890,COLUMN(HeadJournal!J$1),0))*($K3392+$L3392)/(SUMIF($A:$A,$A3392,$K:$K)+SUMIF($A:$A,$A3392,$L:$L)),0)</f>
        <v>-1.1401991487374865E-15</v>
      </c>
      <c r="O3392" s="30">
        <f>IFERROR((VLOOKUP($A3392,HeadJournal!$A$1:$L$890,COLUMN(HeadJournal!L$1),0)*($K3392+$L3392)/(SUMIF($A:$A,$A3392,$K:$K)+SUMIF($A:$A,$A3392,$L:$L)))/VLOOKUP($A3392,HeadJournal!$A$1:$L$890,COLUMN(HeadJournal!H$1),0),0)</f>
        <v>0.69658469563320169</v>
      </c>
      <c r="P3392" s="30">
        <f>IFERROR(SUM(K3392:O3392)*VLOOKUP($A3392,HeadJournal!$A$1:$L$890,COLUMN(HeadJournal!H$1),0),0)</f>
        <v>877.85294385576071</v>
      </c>
      <c r="Q3392" s="29">
        <v>1600</v>
      </c>
      <c r="R3392" s="31">
        <v>45575</v>
      </c>
      <c r="S3392" s="31" t="s">
        <v>3121</v>
      </c>
      <c r="T3392" s="95" t="str">
        <f t="shared" si="268"/>
        <v>2024 10</v>
      </c>
      <c r="U3392" s="32">
        <f t="shared" si="265"/>
        <v>722.14705614423929</v>
      </c>
      <c r="V3392" s="22">
        <f t="shared" si="266"/>
        <v>0.82262873434402317</v>
      </c>
      <c r="X3392" s="33"/>
      <c r="Y3392" s="33"/>
    </row>
    <row r="3393" spans="1:25" x14ac:dyDescent="0.2">
      <c r="A3393" s="93" t="s">
        <v>1815</v>
      </c>
      <c r="B3393" s="94" t="str">
        <f>IFERROR(VLOOKUP($A3393,HeadJournal!$A$1:$NTR$890,COLUMN(HeadJournal!B$1),0),"")</f>
        <v>720000237274</v>
      </c>
      <c r="C3393" s="94" t="str">
        <f>IFERROR(VLOOKUP($A3393,HeadJournal!$A$1:$NTR$890,COLUMN(HeadJournal!C$1),0),"")</f>
        <v>iHerb_OA CZN6870</v>
      </c>
      <c r="D3393" s="125" t="str">
        <f>IFERROR(VLOOKUP($A3393,HeadJournal!$A$1:$NTR$890,COLUMN(HeadJournal!D$1),0),"")</f>
        <v>Доставлен</v>
      </c>
      <c r="E3393" s="95">
        <f>IFERROR(VLOOKUP($A3393,HeadJournal!$A$1:$NTR$890,COLUMN(HeadJournal!G$1),0),"")</f>
        <v>45429</v>
      </c>
      <c r="F3393" s="95" t="str">
        <f t="shared" si="267"/>
        <v>2024 05</v>
      </c>
      <c r="G3393" s="96" t="s">
        <v>5</v>
      </c>
      <c r="H3393" s="160" t="str">
        <f>RIGHT(Journal!$J3393,9)</f>
        <v>CAL-71512</v>
      </c>
      <c r="I3393" s="96" t="str">
        <f t="shared" si="269"/>
        <v>KAL</v>
      </c>
      <c r="J3393" s="97" t="s">
        <v>1817</v>
      </c>
      <c r="K3393" s="29">
        <v>13.25</v>
      </c>
      <c r="L3393" s="29">
        <v>-2.92</v>
      </c>
      <c r="M3393" s="30">
        <f>IFERROR(VLOOKUP($A3393,HeadJournal!$A$1:$J$890,COLUMN(HeadJournal!I$1),0)*($K3393+$L3393)/(SUMIF($A:$A,$A3393,$K:$K)+SUMIF($A:$A,$A3393,$L:$L)),0)</f>
        <v>-1.2067712466549785</v>
      </c>
      <c r="N3393" s="30">
        <f>IFERROR((VLOOKUP($A3393,HeadJournal!$A$1:$K$890,COLUMN(HeadJournal!K$1),0)-VLOOKUP($A3393,HeadJournal!$A$1:$K$890,COLUMN(HeadJournal!J$1),0))*($K3393+$L3393)/(SUMIF($A:$A,$A3393,$K:$K)+SUMIF($A:$A,$A3393,$L:$L)),0)</f>
        <v>-1.3546011738307345E-15</v>
      </c>
      <c r="O3393" s="30">
        <f>IFERROR((VLOOKUP($A3393,HeadJournal!$A$1:$L$890,COLUMN(HeadJournal!L$1),0)*($K3393+$L3393)/(SUMIF($A:$A,$A3393,$K:$K)+SUMIF($A:$A,$A3393,$L:$L)))/VLOOKUP($A3393,HeadJournal!$A$1:$L$890,COLUMN(HeadJournal!H$1),0),0)</f>
        <v>0.82756985691673079</v>
      </c>
      <c r="P3393" s="30">
        <f>IFERROR(SUM(K3393:O3393)*VLOOKUP($A3393,HeadJournal!$A$1:$L$890,COLUMN(HeadJournal!H$1),0),0)</f>
        <v>1042.923623925245</v>
      </c>
      <c r="Q3393" s="29">
        <v>2000</v>
      </c>
      <c r="R3393" s="31">
        <v>45458</v>
      </c>
      <c r="S3393" s="31" t="s">
        <v>3121</v>
      </c>
      <c r="T3393" s="95" t="str">
        <f t="shared" si="268"/>
        <v>2024 06</v>
      </c>
      <c r="U3393" s="32">
        <f t="shared" ref="U3393:U3456" si="270">Q3393-P3393</f>
        <v>957.07637607475499</v>
      </c>
      <c r="V3393" s="22">
        <f t="shared" ref="V3393:V3456" si="271">IF(Q3393&lt;&gt;0,IFERROR(U3393/P3393,""),"")</f>
        <v>0.91768596867392138</v>
      </c>
      <c r="X3393" s="33"/>
      <c r="Y3393" s="33"/>
    </row>
    <row r="3394" spans="1:25" x14ac:dyDescent="0.2">
      <c r="A3394" s="93" t="s">
        <v>1815</v>
      </c>
      <c r="B3394" s="94" t="str">
        <f>IFERROR(VLOOKUP($A3394,HeadJournal!$A$1:$NTR$890,COLUMN(HeadJournal!B$1),0),"")</f>
        <v>720000237274</v>
      </c>
      <c r="C3394" s="94" t="str">
        <f>IFERROR(VLOOKUP($A3394,HeadJournal!$A$1:$NTR$890,COLUMN(HeadJournal!C$1),0),"")</f>
        <v>iHerb_OA CZN6870</v>
      </c>
      <c r="D3394" s="125" t="str">
        <f>IFERROR(VLOOKUP($A3394,HeadJournal!$A$1:$NTR$890,COLUMN(HeadJournal!D$1),0),"")</f>
        <v>Доставлен</v>
      </c>
      <c r="E3394" s="95">
        <f>IFERROR(VLOOKUP($A3394,HeadJournal!$A$1:$NTR$890,COLUMN(HeadJournal!G$1),0),"")</f>
        <v>45429</v>
      </c>
      <c r="F3394" s="95" t="str">
        <f t="shared" si="267"/>
        <v>2024 05</v>
      </c>
      <c r="G3394" s="96" t="s">
        <v>5</v>
      </c>
      <c r="H3394" s="161" t="s">
        <v>2089</v>
      </c>
      <c r="I3394" s="97" t="s">
        <v>2005</v>
      </c>
      <c r="J3394" s="97" t="s">
        <v>3781</v>
      </c>
      <c r="K3394" s="29">
        <v>23.03</v>
      </c>
      <c r="L3394" s="29">
        <v>-5.0650000000000004</v>
      </c>
      <c r="M3394" s="30">
        <f>IFERROR(VLOOKUP($A3394,HeadJournal!$A$1:$J$890,COLUMN(HeadJournal!I$1),0)*($K3394+$L3394)/(SUMIF($A:$A,$A3394,$K:$K)+SUMIF($A:$A,$A3394,$L:$L)),0)</f>
        <v>-2.0987072067915475</v>
      </c>
      <c r="N3394" s="30">
        <f>IFERROR((VLOOKUP($A3394,HeadJournal!$A$1:$K$890,COLUMN(HeadJournal!K$1),0)-VLOOKUP($A3394,HeadJournal!$A$1:$K$890,COLUMN(HeadJournal!J$1),0))*($K3394+$L3394)/(SUMIF($A:$A,$A3394,$K:$K)+SUMIF($A:$A,$A3394,$L:$L)),0)</f>
        <v>-2.3557996212845249E-15</v>
      </c>
      <c r="O3394" s="30">
        <f>IFERROR((VLOOKUP($A3394,HeadJournal!$A$1:$L$890,COLUMN(HeadJournal!L$1),0)*($K3394+$L3394)/(SUMIF($A:$A,$A3394,$K:$K)+SUMIF($A:$A,$A3394,$L:$L)))/VLOOKUP($A3394,HeadJournal!$A$1:$L$890,COLUMN(HeadJournal!H$1),0),0)</f>
        <v>1.4392345091489902</v>
      </c>
      <c r="P3394" s="30">
        <f>IFERROR(SUM(K3394:O3394)*VLOOKUP($A3394,HeadJournal!$A$1:$L$890,COLUMN(HeadJournal!H$1),0),0)</f>
        <v>1813.7582675524714</v>
      </c>
      <c r="Q3394" s="29">
        <v>3000</v>
      </c>
      <c r="R3394" s="31">
        <v>45695</v>
      </c>
      <c r="S3394" s="31" t="s">
        <v>3121</v>
      </c>
      <c r="T3394" s="95" t="str">
        <f t="shared" si="268"/>
        <v>2025 02</v>
      </c>
      <c r="U3394" s="32">
        <f t="shared" si="270"/>
        <v>1186.2417324475286</v>
      </c>
      <c r="V3394" s="22">
        <f t="shared" si="271"/>
        <v>0.65402416279445641</v>
      </c>
      <c r="X3394" s="33"/>
      <c r="Y3394" s="33"/>
    </row>
    <row r="3395" spans="1:25" x14ac:dyDescent="0.2">
      <c r="A3395" s="93" t="s">
        <v>1815</v>
      </c>
      <c r="B3395" s="94" t="str">
        <f>IFERROR(VLOOKUP($A3395,HeadJournal!$A$1:$NTR$890,COLUMN(HeadJournal!B$1),0),"")</f>
        <v>720000237274</v>
      </c>
      <c r="C3395" s="94" t="str">
        <f>IFERROR(VLOOKUP($A3395,HeadJournal!$A$1:$NTR$890,COLUMN(HeadJournal!C$1),0),"")</f>
        <v>iHerb_OA CZN6870</v>
      </c>
      <c r="D3395" s="125" t="str">
        <f>IFERROR(VLOOKUP($A3395,HeadJournal!$A$1:$NTR$890,COLUMN(HeadJournal!D$1),0),"")</f>
        <v>Доставлен</v>
      </c>
      <c r="E3395" s="95">
        <f>IFERROR(VLOOKUP($A3395,HeadJournal!$A$1:$NTR$890,COLUMN(HeadJournal!G$1),0),"")</f>
        <v>45429</v>
      </c>
      <c r="F3395" s="95" t="str">
        <f t="shared" si="267"/>
        <v>2024 05</v>
      </c>
      <c r="G3395" s="96" t="s">
        <v>5</v>
      </c>
      <c r="H3395" s="161" t="s">
        <v>2089</v>
      </c>
      <c r="I3395" s="97" t="s">
        <v>2005</v>
      </c>
      <c r="J3395" s="97" t="s">
        <v>3781</v>
      </c>
      <c r="K3395" s="29">
        <v>23.03</v>
      </c>
      <c r="L3395" s="29">
        <v>-5.0650000000000004</v>
      </c>
      <c r="M3395" s="30">
        <f>IFERROR(VLOOKUP($A3395,HeadJournal!$A$1:$J$890,COLUMN(HeadJournal!I$1),0)*($K3395+$L3395)/(SUMIF($A:$A,$A3395,$K:$K)+SUMIF($A:$A,$A3395,$L:$L)),0)</f>
        <v>-2.0987072067915475</v>
      </c>
      <c r="N3395" s="30">
        <f>IFERROR((VLOOKUP($A3395,HeadJournal!$A$1:$K$890,COLUMN(HeadJournal!K$1),0)-VLOOKUP($A3395,HeadJournal!$A$1:$K$890,COLUMN(HeadJournal!J$1),0))*($K3395+$L3395)/(SUMIF($A:$A,$A3395,$K:$K)+SUMIF($A:$A,$A3395,$L:$L)),0)</f>
        <v>-2.3557996212845249E-15</v>
      </c>
      <c r="O3395" s="30">
        <f>IFERROR((VLOOKUP($A3395,HeadJournal!$A$1:$L$890,COLUMN(HeadJournal!L$1),0)*($K3395+$L3395)/(SUMIF($A:$A,$A3395,$K:$K)+SUMIF($A:$A,$A3395,$L:$L)))/VLOOKUP($A3395,HeadJournal!$A$1:$L$890,COLUMN(HeadJournal!H$1),0),0)</f>
        <v>1.4392345091489902</v>
      </c>
      <c r="P3395" s="30">
        <f>IFERROR(SUM(K3395:O3395)*VLOOKUP($A3395,HeadJournal!$A$1:$L$890,COLUMN(HeadJournal!H$1),0),0)</f>
        <v>1813.7582675524714</v>
      </c>
      <c r="Q3395" s="29">
        <v>3000</v>
      </c>
      <c r="R3395" s="31">
        <v>45695</v>
      </c>
      <c r="S3395" s="31" t="s">
        <v>3121</v>
      </c>
      <c r="T3395" s="95" t="str">
        <f t="shared" si="268"/>
        <v>2025 02</v>
      </c>
      <c r="U3395" s="32">
        <f t="shared" si="270"/>
        <v>1186.2417324475286</v>
      </c>
      <c r="V3395" s="22">
        <f t="shared" si="271"/>
        <v>0.65402416279445641</v>
      </c>
      <c r="X3395" s="33"/>
      <c r="Y3395" s="33"/>
    </row>
    <row r="3396" spans="1:25" x14ac:dyDescent="0.2">
      <c r="A3396" s="93" t="s">
        <v>1815</v>
      </c>
      <c r="B3396" s="94" t="str">
        <f>IFERROR(VLOOKUP($A3396,HeadJournal!$A$1:$NTR$890,COLUMN(HeadJournal!B$1),0),"")</f>
        <v>720000237274</v>
      </c>
      <c r="C3396" s="94" t="str">
        <f>IFERROR(VLOOKUP($A3396,HeadJournal!$A$1:$NTR$890,COLUMN(HeadJournal!C$1),0),"")</f>
        <v>iHerb_OA CZN6870</v>
      </c>
      <c r="D3396" s="125" t="str">
        <f>IFERROR(VLOOKUP($A3396,HeadJournal!$A$1:$NTR$890,COLUMN(HeadJournal!D$1),0),"")</f>
        <v>Доставлен</v>
      </c>
      <c r="E3396" s="95">
        <f>IFERROR(VLOOKUP($A3396,HeadJournal!$A$1:$NTR$890,COLUMN(HeadJournal!G$1),0),"")</f>
        <v>45429</v>
      </c>
      <c r="F3396" s="95" t="str">
        <f t="shared" ref="F3396:F3459" si="272">IFERROR(TEXT(E3396, "ГГГГ ММ"),"")</f>
        <v>2024 05</v>
      </c>
      <c r="G3396" s="96" t="s">
        <v>5</v>
      </c>
      <c r="H3396" s="161" t="s">
        <v>2624</v>
      </c>
      <c r="I3396" s="97" t="s">
        <v>2005</v>
      </c>
      <c r="J3396" s="97" t="s">
        <v>2625</v>
      </c>
      <c r="K3396" s="29">
        <v>20.399999999999999</v>
      </c>
      <c r="L3396" s="29">
        <v>-4.49</v>
      </c>
      <c r="M3396" s="30">
        <f>IFERROR(VLOOKUP($A3396,HeadJournal!$A$1:$J$890,COLUMN(HeadJournal!I$1),0)*($K3396+$L3396)/(SUMIF($A:$A,$A3396,$K:$K)+SUMIF($A:$A,$A3396,$L:$L)),0)</f>
        <v>-1.8586379994463409</v>
      </c>
      <c r="N3396" s="30">
        <f>IFERROR((VLOOKUP($A3396,HeadJournal!$A$1:$K$890,COLUMN(HeadJournal!K$1),0)-VLOOKUP($A3396,HeadJournal!$A$1:$K$890,COLUMN(HeadJournal!J$1),0))*($K3396+$L3396)/(SUMIF($A:$A,$A3396,$K:$K)+SUMIF($A:$A,$A3396,$L:$L)),0)</f>
        <v>-2.0863218466260392E-15</v>
      </c>
      <c r="O3396" s="30">
        <f>IFERROR((VLOOKUP($A3396,HeadJournal!$A$1:$L$890,COLUMN(HeadJournal!L$1),0)*($K3396+$L3396)/(SUMIF($A:$A,$A3396,$K:$K)+SUMIF($A:$A,$A3396,$L:$L)))/VLOOKUP($A3396,HeadJournal!$A$1:$L$890,COLUMN(HeadJournal!H$1),0),0)</f>
        <v>1.2746017834990497</v>
      </c>
      <c r="P3396" s="30">
        <f>IFERROR(SUM(K3396:O3396)*VLOOKUP($A3396,HeadJournal!$A$1:$L$890,COLUMN(HeadJournal!H$1),0),0)</f>
        <v>1606.2841100339449</v>
      </c>
      <c r="Q3396" s="29">
        <v>3000</v>
      </c>
      <c r="R3396" s="31">
        <v>45637</v>
      </c>
      <c r="S3396" s="31" t="s">
        <v>3121</v>
      </c>
      <c r="T3396" s="95" t="str">
        <f t="shared" ref="T3396:T3459" si="273">IF(R3396="","",TEXT(R3396,"ГГГГ ММ"))</f>
        <v>2024 12</v>
      </c>
      <c r="U3396" s="32">
        <f t="shared" si="270"/>
        <v>1393.7158899660551</v>
      </c>
      <c r="V3396" s="22">
        <f t="shared" si="271"/>
        <v>0.86766461876822176</v>
      </c>
      <c r="X3396" s="33"/>
      <c r="Y3396" s="33"/>
    </row>
    <row r="3397" spans="1:25" x14ac:dyDescent="0.2">
      <c r="A3397" s="93" t="s">
        <v>1815</v>
      </c>
      <c r="B3397" s="94" t="str">
        <f>IFERROR(VLOOKUP($A3397,HeadJournal!$A$1:$NTR$890,COLUMN(HeadJournal!B$1),0),"")</f>
        <v>720000237274</v>
      </c>
      <c r="C3397" s="94" t="str">
        <f>IFERROR(VLOOKUP($A3397,HeadJournal!$A$1:$NTR$890,COLUMN(HeadJournal!C$1),0),"")</f>
        <v>iHerb_OA CZN6870</v>
      </c>
      <c r="D3397" s="125" t="str">
        <f>IFERROR(VLOOKUP($A3397,HeadJournal!$A$1:$NTR$890,COLUMN(HeadJournal!D$1),0),"")</f>
        <v>Доставлен</v>
      </c>
      <c r="E3397" s="95">
        <f>IFERROR(VLOOKUP($A3397,HeadJournal!$A$1:$NTR$890,COLUMN(HeadJournal!G$1),0),"")</f>
        <v>45429</v>
      </c>
      <c r="F3397" s="95" t="str">
        <f t="shared" si="272"/>
        <v>2024 05</v>
      </c>
      <c r="G3397" s="96" t="s">
        <v>5</v>
      </c>
      <c r="H3397" s="160" t="str">
        <f>RIGHT(Journal!$J3397,9)</f>
        <v>NOW-03317</v>
      </c>
      <c r="I3397" s="96" t="str">
        <f t="shared" si="269"/>
        <v>NOW Foods</v>
      </c>
      <c r="J3397" s="97" t="s">
        <v>1818</v>
      </c>
      <c r="K3397" s="29">
        <v>13.17</v>
      </c>
      <c r="L3397" s="29">
        <v>-2.9</v>
      </c>
      <c r="M3397" s="30">
        <f>IFERROR(VLOOKUP($A3397,HeadJournal!$A$1:$J$890,COLUMN(HeadJournal!I$1),0)*($K3397+$L3397)/(SUMIF($A:$A,$A3397,$K:$K)+SUMIF($A:$A,$A3397,$L:$L)),0)</f>
        <v>-1.1997619267324906</v>
      </c>
      <c r="N3397" s="30">
        <f>IFERROR((VLOOKUP($A3397,HeadJournal!$A$1:$K$890,COLUMN(HeadJournal!K$1),0)-VLOOKUP($A3397,HeadJournal!$A$1:$K$890,COLUMN(HeadJournal!J$1),0))*($K3397+$L3397)/(SUMIF($A:$A,$A3397,$K:$K)+SUMIF($A:$A,$A3397,$L:$L)),0)</f>
        <v>-1.346733209607129E-15</v>
      </c>
      <c r="O3397" s="30">
        <f>IFERROR((VLOOKUP($A3397,HeadJournal!$A$1:$L$890,COLUMN(HeadJournal!L$1),0)*($K3397+$L3397)/(SUMIF($A:$A,$A3397,$K:$K)+SUMIF($A:$A,$A3397,$L:$L)))/VLOOKUP($A3397,HeadJournal!$A$1:$L$890,COLUMN(HeadJournal!H$1),0),0)</f>
        <v>0.82276306200724336</v>
      </c>
      <c r="P3397" s="30">
        <f>IFERROR(SUM(K3397:O3397)*VLOOKUP($A3397,HeadJournal!$A$1:$L$890,COLUMN(HeadJournal!H$1),0),0)</f>
        <v>1036.8659842896677</v>
      </c>
      <c r="Q3397" s="29">
        <v>1900</v>
      </c>
      <c r="R3397" s="31">
        <v>45535</v>
      </c>
      <c r="S3397" s="31" t="s">
        <v>3121</v>
      </c>
      <c r="T3397" s="95" t="str">
        <f t="shared" si="273"/>
        <v>2024 08</v>
      </c>
      <c r="U3397" s="32">
        <f t="shared" si="270"/>
        <v>863.13401571033228</v>
      </c>
      <c r="V3397" s="22">
        <f t="shared" si="271"/>
        <v>0.83244510745681843</v>
      </c>
      <c r="X3397" s="33"/>
      <c r="Y3397" s="33"/>
    </row>
    <row r="3398" spans="1:25" x14ac:dyDescent="0.2">
      <c r="A3398" s="93" t="s">
        <v>1815</v>
      </c>
      <c r="B3398" s="94" t="str">
        <f>IFERROR(VLOOKUP($A3398,HeadJournal!$A$1:$NTR$890,COLUMN(HeadJournal!B$1),0),"")</f>
        <v>720000237274</v>
      </c>
      <c r="C3398" s="94" t="str">
        <f>IFERROR(VLOOKUP($A3398,HeadJournal!$A$1:$NTR$890,COLUMN(HeadJournal!C$1),0),"")</f>
        <v>iHerb_OA CZN6870</v>
      </c>
      <c r="D3398" s="125" t="str">
        <f>IFERROR(VLOOKUP($A3398,HeadJournal!$A$1:$NTR$890,COLUMN(HeadJournal!D$1),0),"")</f>
        <v>Доставлен</v>
      </c>
      <c r="E3398" s="95">
        <f>IFERROR(VLOOKUP($A3398,HeadJournal!$A$1:$NTR$890,COLUMN(HeadJournal!G$1),0),"")</f>
        <v>45429</v>
      </c>
      <c r="F3398" s="95" t="str">
        <f t="shared" si="272"/>
        <v>2024 05</v>
      </c>
      <c r="G3398" s="96" t="s">
        <v>5</v>
      </c>
      <c r="H3398" s="161" t="s">
        <v>3645</v>
      </c>
      <c r="I3398" s="97" t="s">
        <v>2102</v>
      </c>
      <c r="J3398" s="97" t="s">
        <v>3775</v>
      </c>
      <c r="K3398" s="29">
        <v>13.54</v>
      </c>
      <c r="L3398" s="29">
        <v>-2.98</v>
      </c>
      <c r="M3398" s="30">
        <f>IFERROR(VLOOKUP($A3398,HeadJournal!$A$1:$J$890,COLUMN(HeadJournal!I$1),0)*($K3398+$L3398)/(SUMIF($A:$A,$A3398,$K:$K)+SUMIF($A:$A,$A3398,$L:$L)),0)</f>
        <v>-1.2336403063578478</v>
      </c>
      <c r="N3398" s="30">
        <f>IFERROR((VLOOKUP($A3398,HeadJournal!$A$1:$K$890,COLUMN(HeadJournal!K$1),0)-VLOOKUP($A3398,HeadJournal!$A$1:$K$890,COLUMN(HeadJournal!J$1),0))*($K3398+$L3398)/(SUMIF($A:$A,$A3398,$K:$K)+SUMIF($A:$A,$A3398,$L:$L)),0)</f>
        <v>-1.384761703354555E-15</v>
      </c>
      <c r="O3398" s="30">
        <f>IFERROR((VLOOKUP($A3398,HeadJournal!$A$1:$L$890,COLUMN(HeadJournal!L$1),0)*($K3398+$L3398)/(SUMIF($A:$A,$A3398,$K:$K)+SUMIF($A:$A,$A3398,$L:$L)))/VLOOKUP($A3398,HeadJournal!$A$1:$L$890,COLUMN(HeadJournal!H$1),0),0)</f>
        <v>0.84599590406976533</v>
      </c>
      <c r="P3398" s="30">
        <f>IFERROR(SUM(K3398:O3398)*VLOOKUP($A3398,HeadJournal!$A$1:$L$890,COLUMN(HeadJournal!H$1),0),0)</f>
        <v>1066.1445758616251</v>
      </c>
      <c r="Q3398" s="29">
        <v>1900</v>
      </c>
      <c r="R3398" s="31">
        <v>45766</v>
      </c>
      <c r="S3398" s="31" t="s">
        <v>3121</v>
      </c>
      <c r="T3398" s="95" t="str">
        <f t="shared" si="273"/>
        <v>2025 04</v>
      </c>
      <c r="U3398" s="32">
        <f t="shared" si="270"/>
        <v>833.85542413837493</v>
      </c>
      <c r="V3398" s="22">
        <f t="shared" si="271"/>
        <v>0.78212227780128107</v>
      </c>
      <c r="X3398" s="33"/>
      <c r="Y3398" s="33"/>
    </row>
    <row r="3399" spans="1:25" x14ac:dyDescent="0.2">
      <c r="A3399" s="93" t="s">
        <v>1815</v>
      </c>
      <c r="B3399" s="94" t="str">
        <f>IFERROR(VLOOKUP($A3399,HeadJournal!$A$1:$NTR$890,COLUMN(HeadJournal!B$1),0),"")</f>
        <v>720000237274</v>
      </c>
      <c r="C3399" s="94" t="str">
        <f>IFERROR(VLOOKUP($A3399,HeadJournal!$A$1:$NTR$890,COLUMN(HeadJournal!C$1),0),"")</f>
        <v>iHerb_OA CZN6870</v>
      </c>
      <c r="D3399" s="125" t="str">
        <f>IFERROR(VLOOKUP($A3399,HeadJournal!$A$1:$NTR$890,COLUMN(HeadJournal!D$1),0),"")</f>
        <v>Доставлен</v>
      </c>
      <c r="E3399" s="95">
        <f>IFERROR(VLOOKUP($A3399,HeadJournal!$A$1:$NTR$890,COLUMN(HeadJournal!G$1),0),"")</f>
        <v>45429</v>
      </c>
      <c r="F3399" s="95" t="str">
        <f t="shared" si="272"/>
        <v>2024 05</v>
      </c>
      <c r="G3399" s="96" t="s">
        <v>5</v>
      </c>
      <c r="H3399" s="160" t="str">
        <f>RIGHT(Journal!$J3399,9)</f>
        <v>BRA-09004</v>
      </c>
      <c r="I3399" s="96" t="str">
        <f t="shared" si="269"/>
        <v>Bragg</v>
      </c>
      <c r="J3399" s="97" t="s">
        <v>1819</v>
      </c>
      <c r="K3399" s="29">
        <v>24.64</v>
      </c>
      <c r="L3399" s="29">
        <v>-16.66</v>
      </c>
      <c r="M3399" s="30">
        <f>IFERROR(VLOOKUP($A3399,HeadJournal!$A$1:$J$890,COLUMN(HeadJournal!I$1),0)*($K3399+$L3399)/(SUMIF($A:$A,$A3399,$K:$K)+SUMIF($A:$A,$A3399,$L:$L)),0)</f>
        <v>-0.93223954969087386</v>
      </c>
      <c r="N3399" s="30">
        <f>IFERROR((VLOOKUP($A3399,HeadJournal!$A$1:$K$890,COLUMN(HeadJournal!K$1),0)-VLOOKUP($A3399,HeadJournal!$A$1:$K$890,COLUMN(HeadJournal!J$1),0))*($K3399+$L3399)/(SUMIF($A:$A,$A3399,$K:$K)+SUMIF($A:$A,$A3399,$L:$L)),0)</f>
        <v>-1.046439241739522E-15</v>
      </c>
      <c r="O3399" s="30">
        <f>IFERROR((VLOOKUP($A3399,HeadJournal!$A$1:$L$890,COLUMN(HeadJournal!L$1),0)*($K3399+$L3399)/(SUMIF($A:$A,$A3399,$K:$K)+SUMIF($A:$A,$A3399,$L:$L)))/VLOOKUP($A3399,HeadJournal!$A$1:$L$890,COLUMN(HeadJournal!H$1),0),0)</f>
        <v>0.63930372296181137</v>
      </c>
      <c r="P3399" s="30">
        <f>IFERROR(SUM(K3399:O3399)*VLOOKUP($A3399,HeadJournal!$A$1:$L$890,COLUMN(HeadJournal!H$1),0),0)</f>
        <v>805.66607153179643</v>
      </c>
      <c r="Q3399" s="29"/>
      <c r="R3399" s="31"/>
      <c r="S3399" s="31"/>
      <c r="T3399" s="95" t="str">
        <f t="shared" si="273"/>
        <v/>
      </c>
      <c r="U3399" s="32">
        <f t="shared" si="270"/>
        <v>-805.66607153179643</v>
      </c>
      <c r="V3399" s="22" t="str">
        <f t="shared" si="271"/>
        <v/>
      </c>
      <c r="X3399" s="33"/>
      <c r="Y3399" s="33"/>
    </row>
    <row r="3400" spans="1:25" x14ac:dyDescent="0.2">
      <c r="A3400" s="93" t="s">
        <v>1820</v>
      </c>
      <c r="B3400" s="94" t="str">
        <f>IFERROR(VLOOKUP($A3400,HeadJournal!$A$1:$NTR$890,COLUMN(HeadJournal!B$1),0),"")</f>
        <v>722500174453</v>
      </c>
      <c r="C3400" s="94" t="str">
        <f>IFERROR(VLOOKUP($A3400,HeadJournal!$A$1:$NTR$890,COLUMN(HeadJournal!C$1),0),"")</f>
        <v>iHerb_VP DFD1605</v>
      </c>
      <c r="D3400" s="125" t="str">
        <f>IFERROR(VLOOKUP($A3400,HeadJournal!$A$1:$NTR$890,COLUMN(HeadJournal!D$1),0),"")</f>
        <v>Доставлен</v>
      </c>
      <c r="E3400" s="95">
        <f>IFERROR(VLOOKUP($A3400,HeadJournal!$A$1:$NTR$890,COLUMN(HeadJournal!G$1),0),"")</f>
        <v>45427</v>
      </c>
      <c r="F3400" s="95" t="str">
        <f t="shared" si="272"/>
        <v>2024 05</v>
      </c>
      <c r="G3400" s="96" t="s">
        <v>5</v>
      </c>
      <c r="H3400" s="160" t="str">
        <f>RIGHT(Journal!$J3400,9)</f>
        <v>NFS-20727</v>
      </c>
      <c r="I3400" s="96" t="str">
        <f t="shared" si="269"/>
        <v>Natural Factors</v>
      </c>
      <c r="J3400" s="97" t="s">
        <v>1822</v>
      </c>
      <c r="K3400" s="29">
        <v>21.13</v>
      </c>
      <c r="L3400" s="29">
        <v>-4.6500000000000004</v>
      </c>
      <c r="M3400" s="30">
        <f>IFERROR(VLOOKUP($A3400,HeadJournal!$A$1:$J$890,COLUMN(HeadJournal!I$1),0)*($K3400+$L3400)/(SUMIF($A:$A,$A3400,$K:$K)+SUMIF($A:$A,$A3400,$L:$L)),0)</f>
        <v>-0.83662034689116527</v>
      </c>
      <c r="N3400" s="30">
        <f>IFERROR((VLOOKUP($A3400,HeadJournal!$A$1:$K$890,COLUMN(HeadJournal!K$1),0)-VLOOKUP($A3400,HeadJournal!$A$1:$K$890,COLUMN(HeadJournal!J$1),0))*($K3400+$L3400)/(SUMIF($A:$A,$A3400,$K:$K)+SUMIF($A:$A,$A3400,$L:$L)),0)</f>
        <v>-2.3754425976927575E-15</v>
      </c>
      <c r="O3400" s="30">
        <f>IFERROR((VLOOKUP($A3400,HeadJournal!$A$1:$L$890,COLUMN(HeadJournal!L$1),0)*($K3400+$L3400)/(SUMIF($A:$A,$A3400,$K:$K)+SUMIF($A:$A,$A3400,$L:$L)))/VLOOKUP($A3400,HeadJournal!$A$1:$L$890,COLUMN(HeadJournal!H$1),0),0)</f>
        <v>0.73083998902040681</v>
      </c>
      <c r="P3400" s="30">
        <f>IFERROR(SUM(K3400:O3400)*VLOOKUP($A3400,HeadJournal!$A$1:$L$890,COLUMN(HeadJournal!H$1),0),0)</f>
        <v>1703.8864063292417</v>
      </c>
      <c r="Q3400" s="29">
        <v>2600</v>
      </c>
      <c r="R3400" s="31">
        <v>45460</v>
      </c>
      <c r="S3400" s="31" t="s">
        <v>3121</v>
      </c>
      <c r="T3400" s="95" t="str">
        <f t="shared" si="273"/>
        <v>2024 06</v>
      </c>
      <c r="U3400" s="32">
        <f t="shared" si="270"/>
        <v>896.11359367075829</v>
      </c>
      <c r="V3400" s="22">
        <f t="shared" si="271"/>
        <v>0.52592331879758092</v>
      </c>
      <c r="X3400" s="33"/>
      <c r="Y3400" s="33"/>
    </row>
    <row r="3401" spans="1:25" x14ac:dyDescent="0.2">
      <c r="A3401" s="93" t="s">
        <v>1820</v>
      </c>
      <c r="B3401" s="94" t="str">
        <f>IFERROR(VLOOKUP($A3401,HeadJournal!$A$1:$NTR$890,COLUMN(HeadJournal!B$1),0),"")</f>
        <v>722500174453</v>
      </c>
      <c r="C3401" s="94" t="str">
        <f>IFERROR(VLOOKUP($A3401,HeadJournal!$A$1:$NTR$890,COLUMN(HeadJournal!C$1),0),"")</f>
        <v>iHerb_VP DFD1605</v>
      </c>
      <c r="D3401" s="125" t="str">
        <f>IFERROR(VLOOKUP($A3401,HeadJournal!$A$1:$NTR$890,COLUMN(HeadJournal!D$1),0),"")</f>
        <v>Доставлен</v>
      </c>
      <c r="E3401" s="95">
        <f>IFERROR(VLOOKUP($A3401,HeadJournal!$A$1:$NTR$890,COLUMN(HeadJournal!G$1),0),"")</f>
        <v>45427</v>
      </c>
      <c r="F3401" s="95" t="str">
        <f t="shared" si="272"/>
        <v>2024 05</v>
      </c>
      <c r="G3401" s="96" t="s">
        <v>5</v>
      </c>
      <c r="H3401" s="160" t="str">
        <f>RIGHT(Journal!$J3401,9)</f>
        <v>SWV-01125</v>
      </c>
      <c r="I3401" s="96" t="str">
        <f t="shared" si="269"/>
        <v>Swanson</v>
      </c>
      <c r="J3401" s="97" t="s">
        <v>1823</v>
      </c>
      <c r="K3401" s="29">
        <v>30.26</v>
      </c>
      <c r="L3401" s="29">
        <v>-9.08</v>
      </c>
      <c r="M3401" s="30">
        <f>IFERROR(VLOOKUP($A3401,HeadJournal!$A$1:$J$890,COLUMN(HeadJournal!I$1),0)*($K3401+$L3401)/(SUMIF($A:$A,$A3401,$K:$K)+SUMIF($A:$A,$A3401,$L:$L)),0)</f>
        <v>-1.0752195963079418</v>
      </c>
      <c r="N3401" s="30">
        <f>IFERROR((VLOOKUP($A3401,HeadJournal!$A$1:$K$890,COLUMN(HeadJournal!K$1),0)-VLOOKUP($A3401,HeadJournal!$A$1:$K$890,COLUMN(HeadJournal!J$1),0))*($K3401+$L3401)/(SUMIF($A:$A,$A3401,$K:$K)+SUMIF($A:$A,$A3401,$L:$L)),0)</f>
        <v>-3.0529049890250372E-15</v>
      </c>
      <c r="O3401" s="30">
        <f>IFERROR((VLOOKUP($A3401,HeadJournal!$A$1:$L$890,COLUMN(HeadJournal!L$1),0)*($K3401+$L3401)/(SUMIF($A:$A,$A3401,$K:$K)+SUMIF($A:$A,$A3401,$L:$L)))/VLOOKUP($A3401,HeadJournal!$A$1:$L$890,COLUMN(HeadJournal!H$1),0),0)</f>
        <v>0.93927129656870278</v>
      </c>
      <c r="P3401" s="30">
        <f>IFERROR(SUM(K3401:O3401)*VLOOKUP($A3401,HeadJournal!$A$1:$L$890,COLUMN(HeadJournal!H$1),0),0)</f>
        <v>2189.82488386246</v>
      </c>
      <c r="Q3401" s="29">
        <v>3530</v>
      </c>
      <c r="R3401" s="31">
        <v>45460</v>
      </c>
      <c r="S3401" s="31" t="s">
        <v>3121</v>
      </c>
      <c r="T3401" s="95" t="str">
        <f t="shared" si="273"/>
        <v>2024 06</v>
      </c>
      <c r="U3401" s="32">
        <f t="shared" si="270"/>
        <v>1340.17511613754</v>
      </c>
      <c r="V3401" s="22">
        <f t="shared" si="271"/>
        <v>0.61200104447334192</v>
      </c>
      <c r="X3401" s="33"/>
      <c r="Y3401" s="33"/>
    </row>
    <row r="3402" spans="1:25" x14ac:dyDescent="0.2">
      <c r="A3402" s="93" t="s">
        <v>1820</v>
      </c>
      <c r="B3402" s="94" t="str">
        <f>IFERROR(VLOOKUP($A3402,HeadJournal!$A$1:$NTR$890,COLUMN(HeadJournal!B$1),0),"")</f>
        <v>722500174453</v>
      </c>
      <c r="C3402" s="94" t="str">
        <f>IFERROR(VLOOKUP($A3402,HeadJournal!$A$1:$NTR$890,COLUMN(HeadJournal!C$1),0),"")</f>
        <v>iHerb_VP DFD1605</v>
      </c>
      <c r="D3402" s="125" t="str">
        <f>IFERROR(VLOOKUP($A3402,HeadJournal!$A$1:$NTR$890,COLUMN(HeadJournal!D$1),0),"")</f>
        <v>Доставлен</v>
      </c>
      <c r="E3402" s="95">
        <f>IFERROR(VLOOKUP($A3402,HeadJournal!$A$1:$NTR$890,COLUMN(HeadJournal!G$1),0),"")</f>
        <v>45427</v>
      </c>
      <c r="F3402" s="95" t="str">
        <f t="shared" si="272"/>
        <v>2024 05</v>
      </c>
      <c r="G3402" s="96" t="s">
        <v>5</v>
      </c>
      <c r="H3402" s="161" t="s">
        <v>2639</v>
      </c>
      <c r="I3402" s="97" t="s">
        <v>2005</v>
      </c>
      <c r="J3402" s="97" t="s">
        <v>2640</v>
      </c>
      <c r="K3402" s="29">
        <v>19.010000000000002</v>
      </c>
      <c r="L3402" s="29">
        <v>-4.18</v>
      </c>
      <c r="M3402" s="30">
        <f>IFERROR(VLOOKUP($A3402,HeadJournal!$A$1:$J$890,COLUMN(HeadJournal!I$1),0)*($K3402+$L3402)/(SUMIF($A:$A,$A3402,$K:$K)+SUMIF($A:$A,$A3402,$L:$L)),0)</f>
        <v>-0.75285678060655248</v>
      </c>
      <c r="N3402" s="30">
        <f>IFERROR((VLOOKUP($A3402,HeadJournal!$A$1:$K$890,COLUMN(HeadJournal!K$1),0)-VLOOKUP($A3402,HeadJournal!$A$1:$K$890,COLUMN(HeadJournal!J$1),0))*($K3402+$L3402)/(SUMIF($A:$A,$A3402,$K:$K)+SUMIF($A:$A,$A3402,$L:$L)),0)</f>
        <v>-2.1376100560548305E-15</v>
      </c>
      <c r="O3402" s="30">
        <f>IFERROR((VLOOKUP($A3402,HeadJournal!$A$1:$L$890,COLUMN(HeadJournal!L$1),0)*($K3402+$L3402)/(SUMIF($A:$A,$A3402,$K:$K)+SUMIF($A:$A,$A3402,$L:$L)))/VLOOKUP($A3402,HeadJournal!$A$1:$L$890,COLUMN(HeadJournal!H$1),0),0)</f>
        <v>0.65766729594494155</v>
      </c>
      <c r="P3402" s="30">
        <f>IFERROR(SUM(K3402:O3402)*VLOOKUP($A3402,HeadJournal!$A$1:$L$890,COLUMN(HeadJournal!H$1),0),0)</f>
        <v>1533.2909833654528</v>
      </c>
      <c r="Q3402" s="29">
        <v>2370</v>
      </c>
      <c r="R3402" s="31">
        <v>45460</v>
      </c>
      <c r="S3402" s="31" t="s">
        <v>3121</v>
      </c>
      <c r="T3402" s="95" t="str">
        <f t="shared" si="273"/>
        <v>2024 06</v>
      </c>
      <c r="U3402" s="32">
        <f t="shared" si="270"/>
        <v>836.7090166345472</v>
      </c>
      <c r="V3402" s="22">
        <f t="shared" si="271"/>
        <v>0.54569486530080347</v>
      </c>
      <c r="X3402" s="33"/>
      <c r="Y3402" s="33"/>
    </row>
    <row r="3403" spans="1:25" x14ac:dyDescent="0.2">
      <c r="A3403" s="93" t="s">
        <v>1820</v>
      </c>
      <c r="B3403" s="94" t="str">
        <f>IFERROR(VLOOKUP($A3403,HeadJournal!$A$1:$NTR$890,COLUMN(HeadJournal!B$1),0),"")</f>
        <v>722500174453</v>
      </c>
      <c r="C3403" s="94" t="str">
        <f>IFERROR(VLOOKUP($A3403,HeadJournal!$A$1:$NTR$890,COLUMN(HeadJournal!C$1),0),"")</f>
        <v>iHerb_VP DFD1605</v>
      </c>
      <c r="D3403" s="125" t="str">
        <f>IFERROR(VLOOKUP($A3403,HeadJournal!$A$1:$NTR$890,COLUMN(HeadJournal!D$1),0),"")</f>
        <v>Доставлен</v>
      </c>
      <c r="E3403" s="95">
        <f>IFERROR(VLOOKUP($A3403,HeadJournal!$A$1:$NTR$890,COLUMN(HeadJournal!G$1),0),"")</f>
        <v>45427</v>
      </c>
      <c r="F3403" s="95" t="str">
        <f t="shared" si="272"/>
        <v>2024 05</v>
      </c>
      <c r="G3403" s="96" t="s">
        <v>5</v>
      </c>
      <c r="H3403" s="161" t="s">
        <v>2639</v>
      </c>
      <c r="I3403" s="97" t="s">
        <v>2005</v>
      </c>
      <c r="J3403" s="97" t="s">
        <v>2640</v>
      </c>
      <c r="K3403" s="29">
        <v>19.010000000000002</v>
      </c>
      <c r="L3403" s="29">
        <v>-4.18</v>
      </c>
      <c r="M3403" s="30">
        <f>IFERROR(VLOOKUP($A3403,HeadJournal!$A$1:$J$890,COLUMN(HeadJournal!I$1),0)*($K3403+$L3403)/(SUMIF($A:$A,$A3403,$K:$K)+SUMIF($A:$A,$A3403,$L:$L)),0)</f>
        <v>-0.75285678060655248</v>
      </c>
      <c r="N3403" s="30">
        <f>IFERROR((VLOOKUP($A3403,HeadJournal!$A$1:$K$890,COLUMN(HeadJournal!K$1),0)-VLOOKUP($A3403,HeadJournal!$A$1:$K$890,COLUMN(HeadJournal!J$1),0))*($K3403+$L3403)/(SUMIF($A:$A,$A3403,$K:$K)+SUMIF($A:$A,$A3403,$L:$L)),0)</f>
        <v>-2.1376100560548305E-15</v>
      </c>
      <c r="O3403" s="30">
        <f>IFERROR((VLOOKUP($A3403,HeadJournal!$A$1:$L$890,COLUMN(HeadJournal!L$1),0)*($K3403+$L3403)/(SUMIF($A:$A,$A3403,$K:$K)+SUMIF($A:$A,$A3403,$L:$L)))/VLOOKUP($A3403,HeadJournal!$A$1:$L$890,COLUMN(HeadJournal!H$1),0),0)</f>
        <v>0.65766729594494155</v>
      </c>
      <c r="P3403" s="30">
        <f>IFERROR(SUM(K3403:O3403)*VLOOKUP($A3403,HeadJournal!$A$1:$L$890,COLUMN(HeadJournal!H$1),0),0)</f>
        <v>1533.2909833654528</v>
      </c>
      <c r="Q3403" s="29">
        <v>2500</v>
      </c>
      <c r="R3403" s="31">
        <v>45486</v>
      </c>
      <c r="S3403" s="31" t="s">
        <v>3121</v>
      </c>
      <c r="T3403" s="95" t="str">
        <f t="shared" si="273"/>
        <v>2024 07</v>
      </c>
      <c r="U3403" s="32">
        <f t="shared" si="270"/>
        <v>966.7090166345472</v>
      </c>
      <c r="V3403" s="22">
        <f t="shared" si="271"/>
        <v>0.63047981571814704</v>
      </c>
      <c r="X3403" s="33"/>
      <c r="Y3403" s="33"/>
    </row>
    <row r="3404" spans="1:25" x14ac:dyDescent="0.2">
      <c r="A3404" s="93" t="s">
        <v>1820</v>
      </c>
      <c r="B3404" s="94" t="str">
        <f>IFERROR(VLOOKUP($A3404,HeadJournal!$A$1:$NTR$890,COLUMN(HeadJournal!B$1),0),"")</f>
        <v>722500174453</v>
      </c>
      <c r="C3404" s="94" t="str">
        <f>IFERROR(VLOOKUP($A3404,HeadJournal!$A$1:$NTR$890,COLUMN(HeadJournal!C$1),0),"")</f>
        <v>iHerb_VP DFD1605</v>
      </c>
      <c r="D3404" s="125" t="str">
        <f>IFERROR(VLOOKUP($A3404,HeadJournal!$A$1:$NTR$890,COLUMN(HeadJournal!D$1),0),"")</f>
        <v>Доставлен</v>
      </c>
      <c r="E3404" s="95">
        <f>IFERROR(VLOOKUP($A3404,HeadJournal!$A$1:$NTR$890,COLUMN(HeadJournal!G$1),0),"")</f>
        <v>45427</v>
      </c>
      <c r="F3404" s="95" t="str">
        <f t="shared" si="272"/>
        <v>2024 05</v>
      </c>
      <c r="G3404" s="96" t="s">
        <v>5</v>
      </c>
      <c r="H3404" s="161" t="s">
        <v>2493</v>
      </c>
      <c r="I3404" s="97" t="s">
        <v>2009</v>
      </c>
      <c r="J3404" s="97" t="s">
        <v>2494</v>
      </c>
      <c r="K3404" s="29">
        <v>20.87</v>
      </c>
      <c r="L3404" s="29">
        <v>-4.59</v>
      </c>
      <c r="M3404" s="30">
        <f>IFERROR(VLOOKUP($A3404,HeadJournal!$A$1:$J$890,COLUMN(HeadJournal!I$1),0)*($K3404+$L3404)/(SUMIF($A:$A,$A3404,$K:$K)+SUMIF($A:$A,$A3404,$L:$L)),0)</f>
        <v>-0.82646718734151536</v>
      </c>
      <c r="N3404" s="30">
        <f>IFERROR((VLOOKUP($A3404,HeadJournal!$A$1:$K$890,COLUMN(HeadJournal!K$1),0)-VLOOKUP($A3404,HeadJournal!$A$1:$K$890,COLUMN(HeadJournal!J$1),0))*($K3404+$L3404)/(SUMIF($A:$A,$A3404,$K:$K)+SUMIF($A:$A,$A3404,$L:$L)),0)</f>
        <v>-2.346614410827555E-15</v>
      </c>
      <c r="O3404" s="30">
        <f>IFERROR((VLOOKUP($A3404,HeadJournal!$A$1:$L$890,COLUMN(HeadJournal!L$1),0)*($K3404+$L3404)/(SUMIF($A:$A,$A3404,$K:$K)+SUMIF($A:$A,$A3404,$L:$L)))/VLOOKUP($A3404,HeadJournal!$A$1:$L$890,COLUMN(HeadJournal!H$1),0),0)</f>
        <v>0.72197057167792633</v>
      </c>
      <c r="P3404" s="30">
        <f>IFERROR(SUM(K3404:O3404)*VLOOKUP($A3404,HeadJournal!$A$1:$L$890,COLUMN(HeadJournal!H$1),0),0)</f>
        <v>1683.2081732427221</v>
      </c>
      <c r="Q3404" s="29">
        <v>2500</v>
      </c>
      <c r="R3404" s="31">
        <v>45507</v>
      </c>
      <c r="S3404" s="31" t="s">
        <v>3121</v>
      </c>
      <c r="T3404" s="95" t="str">
        <f t="shared" si="273"/>
        <v>2024 08</v>
      </c>
      <c r="U3404" s="32">
        <f t="shared" si="270"/>
        <v>816.79182675727793</v>
      </c>
      <c r="V3404" s="22">
        <f t="shared" si="271"/>
        <v>0.48525894761057276</v>
      </c>
      <c r="X3404" s="33"/>
      <c r="Y3404" s="33"/>
    </row>
    <row r="3405" spans="1:25" x14ac:dyDescent="0.2">
      <c r="A3405" s="93" t="s">
        <v>1820</v>
      </c>
      <c r="B3405" s="94" t="str">
        <f>IFERROR(VLOOKUP($A3405,HeadJournal!$A$1:$NTR$890,COLUMN(HeadJournal!B$1),0),"")</f>
        <v>722500174453</v>
      </c>
      <c r="C3405" s="94" t="str">
        <f>IFERROR(VLOOKUP($A3405,HeadJournal!$A$1:$NTR$890,COLUMN(HeadJournal!C$1),0),"")</f>
        <v>iHerb_VP DFD1605</v>
      </c>
      <c r="D3405" s="125" t="str">
        <f>IFERROR(VLOOKUP($A3405,HeadJournal!$A$1:$NTR$890,COLUMN(HeadJournal!D$1),0),"")</f>
        <v>Доставлен</v>
      </c>
      <c r="E3405" s="95">
        <f>IFERROR(VLOOKUP($A3405,HeadJournal!$A$1:$NTR$890,COLUMN(HeadJournal!G$1),0),"")</f>
        <v>45427</v>
      </c>
      <c r="F3405" s="95" t="str">
        <f t="shared" si="272"/>
        <v>2024 05</v>
      </c>
      <c r="G3405" s="96" t="s">
        <v>5</v>
      </c>
      <c r="H3405" s="160" t="str">
        <f>RIGHT(Journal!$J3405,9)</f>
        <v>NWY-13901</v>
      </c>
      <c r="I3405" s="96" t="str">
        <f t="shared" si="269"/>
        <v>Nature's Way</v>
      </c>
      <c r="J3405" s="97" t="s">
        <v>1824</v>
      </c>
      <c r="K3405" s="29">
        <v>23.91</v>
      </c>
      <c r="L3405" s="29">
        <v>-5.26</v>
      </c>
      <c r="M3405" s="30">
        <f>IFERROR(VLOOKUP($A3405,HeadJournal!$A$1:$J$890,COLUMN(HeadJournal!I$1),0)*($K3405+$L3405)/(SUMIF($A:$A,$A3405,$K:$K)+SUMIF($A:$A,$A3405,$L:$L)),0)</f>
        <v>-0.94678212800486861</v>
      </c>
      <c r="N3405" s="30">
        <f>IFERROR((VLOOKUP($A3405,HeadJournal!$A$1:$K$890,COLUMN(HeadJournal!K$1),0)-VLOOKUP($A3405,HeadJournal!$A$1:$K$890,COLUMN(HeadJournal!J$1),0))*($K3405+$L3405)/(SUMIF($A:$A,$A3405,$K:$K)+SUMIF($A:$A,$A3405,$L:$L)),0)</f>
        <v>-2.6882284251802143E-15</v>
      </c>
      <c r="O3405" s="30">
        <f>IFERROR((VLOOKUP($A3405,HeadJournal!$A$1:$L$890,COLUMN(HeadJournal!L$1),0)*($K3405+$L3405)/(SUMIF($A:$A,$A3405,$K:$K)+SUMIF($A:$A,$A3405,$L:$L)))/VLOOKUP($A3405,HeadJournal!$A$1:$L$890,COLUMN(HeadJournal!H$1),0),0)</f>
        <v>0.82707316718632218</v>
      </c>
      <c r="P3405" s="30">
        <f>IFERROR(SUM(K3405:O3405)*VLOOKUP($A3405,HeadJournal!$A$1:$L$890,COLUMN(HeadJournal!H$1),0),0)</f>
        <v>1928.2452353179831</v>
      </c>
      <c r="Q3405" s="29">
        <v>2800</v>
      </c>
      <c r="R3405" s="31">
        <v>45525</v>
      </c>
      <c r="S3405" s="31" t="s">
        <v>3121</v>
      </c>
      <c r="T3405" s="95" t="str">
        <f t="shared" si="273"/>
        <v>2024 08</v>
      </c>
      <c r="U3405" s="32">
        <f t="shared" si="270"/>
        <v>871.75476468201691</v>
      </c>
      <c r="V3405" s="22">
        <f t="shared" si="271"/>
        <v>0.45209745561137488</v>
      </c>
      <c r="X3405" s="33"/>
      <c r="Y3405" s="33"/>
    </row>
    <row r="3406" spans="1:25" x14ac:dyDescent="0.2">
      <c r="A3406" s="93" t="s">
        <v>1820</v>
      </c>
      <c r="B3406" s="94" t="str">
        <f>IFERROR(VLOOKUP($A3406,HeadJournal!$A$1:$NTR$890,COLUMN(HeadJournal!B$1),0),"")</f>
        <v>722500174453</v>
      </c>
      <c r="C3406" s="94" t="str">
        <f>IFERROR(VLOOKUP($A3406,HeadJournal!$A$1:$NTR$890,COLUMN(HeadJournal!C$1),0),"")</f>
        <v>iHerb_VP DFD1605</v>
      </c>
      <c r="D3406" s="125" t="str">
        <f>IFERROR(VLOOKUP($A3406,HeadJournal!$A$1:$NTR$890,COLUMN(HeadJournal!D$1),0),"")</f>
        <v>Доставлен</v>
      </c>
      <c r="E3406" s="95">
        <f>IFERROR(VLOOKUP($A3406,HeadJournal!$A$1:$NTR$890,COLUMN(HeadJournal!G$1),0),"")</f>
        <v>45427</v>
      </c>
      <c r="F3406" s="95" t="str">
        <f t="shared" si="272"/>
        <v>2024 05</v>
      </c>
      <c r="G3406" s="96" t="s">
        <v>5</v>
      </c>
      <c r="H3406" s="161" t="s">
        <v>2659</v>
      </c>
      <c r="I3406" s="97" t="s">
        <v>2218</v>
      </c>
      <c r="J3406" s="97" t="s">
        <v>2660</v>
      </c>
      <c r="K3406" s="29">
        <v>11</v>
      </c>
      <c r="L3406" s="29">
        <v>-2.42</v>
      </c>
      <c r="M3406" s="30">
        <f>IFERROR(VLOOKUP($A3406,HeadJournal!$A$1:$J$890,COLUMN(HeadJournal!I$1),0)*($K3406+$L3406)/(SUMIF($A:$A,$A3406,$K:$K)+SUMIF($A:$A,$A3406,$L:$L)),0)</f>
        <v>-0.43557054467998785</v>
      </c>
      <c r="N3406" s="30">
        <f>IFERROR((VLOOKUP($A3406,HeadJournal!$A$1:$K$890,COLUMN(HeadJournal!K$1),0)-VLOOKUP($A3406,HeadJournal!$A$1:$K$890,COLUMN(HeadJournal!J$1),0))*($K3406+$L3406)/(SUMIF($A:$A,$A3406,$K:$K)+SUMIF($A:$A,$A3406,$L:$L)),0)</f>
        <v>-1.2367292165172247E-15</v>
      </c>
      <c r="O3406" s="30">
        <f>IFERROR((VLOOKUP($A3406,HeadJournal!$A$1:$L$890,COLUMN(HeadJournal!L$1),0)*($K3406+$L3406)/(SUMIF($A:$A,$A3406,$K:$K)+SUMIF($A:$A,$A3406,$L:$L)))/VLOOKUP($A3406,HeadJournal!$A$1:$L$890,COLUMN(HeadJournal!H$1),0),0)</f>
        <v>0.38049800399242062</v>
      </c>
      <c r="P3406" s="30">
        <f>IFERROR(SUM(K3406:O3406)*VLOOKUP($A3406,HeadJournal!$A$1:$L$890,COLUMN(HeadJournal!H$1),0),0)</f>
        <v>887.09619941170467</v>
      </c>
      <c r="Q3406" s="29">
        <v>1700</v>
      </c>
      <c r="R3406" s="31">
        <v>45494</v>
      </c>
      <c r="S3406" s="31" t="s">
        <v>3121</v>
      </c>
      <c r="T3406" s="95" t="str">
        <f t="shared" si="273"/>
        <v>2024 07</v>
      </c>
      <c r="U3406" s="32">
        <f t="shared" si="270"/>
        <v>812.90380058829533</v>
      </c>
      <c r="V3406" s="22">
        <f t="shared" si="271"/>
        <v>0.9163648780452317</v>
      </c>
      <c r="X3406" s="33"/>
      <c r="Y3406" s="33"/>
    </row>
    <row r="3407" spans="1:25" x14ac:dyDescent="0.2">
      <c r="A3407" s="93" t="s">
        <v>1820</v>
      </c>
      <c r="B3407" s="94" t="str">
        <f>IFERROR(VLOOKUP($A3407,HeadJournal!$A$1:$NTR$890,COLUMN(HeadJournal!B$1),0),"")</f>
        <v>722500174453</v>
      </c>
      <c r="C3407" s="94" t="str">
        <f>IFERROR(VLOOKUP($A3407,HeadJournal!$A$1:$NTR$890,COLUMN(HeadJournal!C$1),0),"")</f>
        <v>iHerb_VP DFD1605</v>
      </c>
      <c r="D3407" s="125" t="str">
        <f>IFERROR(VLOOKUP($A3407,HeadJournal!$A$1:$NTR$890,COLUMN(HeadJournal!D$1),0),"")</f>
        <v>Доставлен</v>
      </c>
      <c r="E3407" s="95">
        <f>IFERROR(VLOOKUP($A3407,HeadJournal!$A$1:$NTR$890,COLUMN(HeadJournal!G$1),0),"")</f>
        <v>45427</v>
      </c>
      <c r="F3407" s="95" t="str">
        <f t="shared" si="272"/>
        <v>2024 05</v>
      </c>
      <c r="G3407" s="96" t="s">
        <v>5</v>
      </c>
      <c r="H3407" s="175" t="s">
        <v>3631</v>
      </c>
      <c r="I3407" s="176" t="s">
        <v>2207</v>
      </c>
      <c r="J3407" s="97" t="s">
        <v>3674</v>
      </c>
      <c r="K3407" s="29">
        <v>25.02</v>
      </c>
      <c r="L3407" s="29">
        <v>-5.5</v>
      </c>
      <c r="M3407" s="30">
        <f>IFERROR(VLOOKUP($A3407,HeadJournal!$A$1:$J$890,COLUMN(HeadJournal!I$1),0)*($K3407+$L3407)/(SUMIF($A:$A,$A3407,$K:$K)+SUMIF($A:$A,$A3407,$L:$L)),0)</f>
        <v>-0.99094837204584629</v>
      </c>
      <c r="N3407" s="30">
        <f>IFERROR((VLOOKUP($A3407,HeadJournal!$A$1:$K$890,COLUMN(HeadJournal!K$1),0)-VLOOKUP($A3407,HeadJournal!$A$1:$K$890,COLUMN(HeadJournal!J$1),0))*($K3407+$L3407)/(SUMIF($A:$A,$A3407,$K:$K)+SUMIF($A:$A,$A3407,$L:$L)),0)</f>
        <v>-2.8136310380438491E-15</v>
      </c>
      <c r="O3407" s="30">
        <f>IFERROR((VLOOKUP($A3407,HeadJournal!$A$1:$L$890,COLUMN(HeadJournal!L$1),0)*($K3407+$L3407)/(SUMIF($A:$A,$A3407,$K:$K)+SUMIF($A:$A,$A3407,$L:$L)))/VLOOKUP($A3407,HeadJournal!$A$1:$L$890,COLUMN(HeadJournal!H$1),0),0)</f>
        <v>0.86565513262611304</v>
      </c>
      <c r="P3407" s="30">
        <f>IFERROR(SUM(K3407:O3407)*VLOOKUP($A3407,HeadJournal!$A$1:$L$890,COLUMN(HeadJournal!H$1),0),0)</f>
        <v>2018.1955492443449</v>
      </c>
      <c r="Q3407" s="29">
        <v>3400</v>
      </c>
      <c r="R3407" s="31">
        <v>45670</v>
      </c>
      <c r="S3407" s="31" t="s">
        <v>3121</v>
      </c>
      <c r="T3407" s="95" t="str">
        <f t="shared" si="273"/>
        <v>2025 01</v>
      </c>
      <c r="U3407" s="32">
        <f t="shared" si="270"/>
        <v>1381.8044507556551</v>
      </c>
      <c r="V3407" s="22">
        <f t="shared" si="271"/>
        <v>0.68467322270779551</v>
      </c>
      <c r="X3407" s="33"/>
      <c r="Y3407" s="33"/>
    </row>
    <row r="3408" spans="1:25" x14ac:dyDescent="0.2">
      <c r="A3408" s="93" t="s">
        <v>1820</v>
      </c>
      <c r="B3408" s="94" t="str">
        <f>IFERROR(VLOOKUP($A3408,HeadJournal!$A$1:$NTR$890,COLUMN(HeadJournal!B$1),0),"")</f>
        <v>722500174453</v>
      </c>
      <c r="C3408" s="94" t="str">
        <f>IFERROR(VLOOKUP($A3408,HeadJournal!$A$1:$NTR$890,COLUMN(HeadJournal!C$1),0),"")</f>
        <v>iHerb_VP DFD1605</v>
      </c>
      <c r="D3408" s="125" t="str">
        <f>IFERROR(VLOOKUP($A3408,HeadJournal!$A$1:$NTR$890,COLUMN(HeadJournal!D$1),0),"")</f>
        <v>Доставлен</v>
      </c>
      <c r="E3408" s="95">
        <f>IFERROR(VLOOKUP($A3408,HeadJournal!$A$1:$NTR$890,COLUMN(HeadJournal!G$1),0),"")</f>
        <v>45427</v>
      </c>
      <c r="F3408" s="95" t="str">
        <f t="shared" si="272"/>
        <v>2024 05</v>
      </c>
      <c r="G3408" s="96" t="s">
        <v>5</v>
      </c>
      <c r="H3408" s="160" t="str">
        <f>RIGHT(Journal!$J3408,9)</f>
        <v>NOR-01817</v>
      </c>
      <c r="I3408" s="96" t="str">
        <f t="shared" si="269"/>
        <v>Nordic Naturals</v>
      </c>
      <c r="J3408" s="97" t="s">
        <v>523</v>
      </c>
      <c r="K3408" s="29">
        <v>11.79</v>
      </c>
      <c r="L3408" s="29">
        <v>-2.59</v>
      </c>
      <c r="M3408" s="30">
        <f>IFERROR(VLOOKUP($A3408,HeadJournal!$A$1:$J$890,COLUMN(HeadJournal!I$1),0)*($K3408+$L3408)/(SUMIF($A:$A,$A3408,$K:$K)+SUMIF($A:$A,$A3408,$L:$L)),0)</f>
        <v>-0.46704533928390296</v>
      </c>
      <c r="N3408" s="30">
        <f>IFERROR((VLOOKUP($A3408,HeadJournal!$A$1:$K$890,COLUMN(HeadJournal!K$1),0)-VLOOKUP($A3408,HeadJournal!$A$1:$K$890,COLUMN(HeadJournal!J$1),0))*($K3408+$L3408)/(SUMIF($A:$A,$A3408,$K:$K)+SUMIF($A:$A,$A3408,$L:$L)),0)</f>
        <v>-1.3260965957993551E-15</v>
      </c>
      <c r="O3408" s="30">
        <f>IFERROR((VLOOKUP($A3408,HeadJournal!$A$1:$L$890,COLUMN(HeadJournal!L$1),0)*($K3408+$L3408)/(SUMIF($A:$A,$A3408,$K:$K)+SUMIF($A:$A,$A3408,$L:$L)))/VLOOKUP($A3408,HeadJournal!$A$1:$L$890,COLUMN(HeadJournal!H$1),0),0)</f>
        <v>0.40799319775411075</v>
      </c>
      <c r="P3408" s="30">
        <f>IFERROR(SUM(K3408:O3408)*VLOOKUP($A3408,HeadJournal!$A$1:$L$890,COLUMN(HeadJournal!H$1),0),0)</f>
        <v>951.19872197991663</v>
      </c>
      <c r="Q3408" s="29">
        <v>1600</v>
      </c>
      <c r="R3408" s="31">
        <v>45585</v>
      </c>
      <c r="S3408" s="31" t="s">
        <v>3121</v>
      </c>
      <c r="T3408" s="95" t="str">
        <f t="shared" si="273"/>
        <v>2024 10</v>
      </c>
      <c r="U3408" s="32">
        <f t="shared" si="270"/>
        <v>648.80127802008337</v>
      </c>
      <c r="V3408" s="22">
        <f t="shared" si="271"/>
        <v>0.68208804640696519</v>
      </c>
      <c r="X3408" s="33"/>
      <c r="Y3408" s="33"/>
    </row>
    <row r="3409" spans="1:25" x14ac:dyDescent="0.2">
      <c r="A3409" s="93" t="s">
        <v>1820</v>
      </c>
      <c r="B3409" s="94" t="str">
        <f>IFERROR(VLOOKUP($A3409,HeadJournal!$A$1:$NTR$890,COLUMN(HeadJournal!B$1),0),"")</f>
        <v>722500174453</v>
      </c>
      <c r="C3409" s="94" t="str">
        <f>IFERROR(VLOOKUP($A3409,HeadJournal!$A$1:$NTR$890,COLUMN(HeadJournal!C$1),0),"")</f>
        <v>iHerb_VP DFD1605</v>
      </c>
      <c r="D3409" s="125" t="str">
        <f>IFERROR(VLOOKUP($A3409,HeadJournal!$A$1:$NTR$890,COLUMN(HeadJournal!D$1),0),"")</f>
        <v>Доставлен</v>
      </c>
      <c r="E3409" s="95">
        <f>IFERROR(VLOOKUP($A3409,HeadJournal!$A$1:$NTR$890,COLUMN(HeadJournal!G$1),0),"")</f>
        <v>45427</v>
      </c>
      <c r="F3409" s="95" t="str">
        <f t="shared" si="272"/>
        <v>2024 05</v>
      </c>
      <c r="G3409" s="96" t="s">
        <v>5</v>
      </c>
      <c r="H3409" s="160" t="str">
        <f>RIGHT(Journal!$J3409,9)</f>
        <v>NOW-01665</v>
      </c>
      <c r="I3409" s="96" t="str">
        <f t="shared" si="269"/>
        <v>NOW Foods</v>
      </c>
      <c r="J3409" s="97" t="s">
        <v>1205</v>
      </c>
      <c r="K3409" s="29">
        <v>36.299999999999997</v>
      </c>
      <c r="L3409" s="29">
        <v>-7.9850000000000003</v>
      </c>
      <c r="M3409" s="30">
        <f>IFERROR(VLOOKUP($A3409,HeadJournal!$A$1:$J$890,COLUMN(HeadJournal!I$1),0)*($K3409+$L3409)/(SUMIF($A:$A,$A3409,$K:$K)+SUMIF($A:$A,$A3409,$L:$L)),0)</f>
        <v>-1.4374335632417079</v>
      </c>
      <c r="N3409" s="30">
        <f>IFERROR((VLOOKUP($A3409,HeadJournal!$A$1:$K$890,COLUMN(HeadJournal!K$1),0)-VLOOKUP($A3409,HeadJournal!$A$1:$K$890,COLUMN(HeadJournal!J$1),0))*($K3409+$L3409)/(SUMIF($A:$A,$A3409,$K:$K)+SUMIF($A:$A,$A3409,$L:$L)),0)</f>
        <v>-4.0813505554411672E-15</v>
      </c>
      <c r="O3409" s="30">
        <f>IFERROR((VLOOKUP($A3409,HeadJournal!$A$1:$L$890,COLUMN(HeadJournal!L$1),0)*($K3409+$L3409)/(SUMIF($A:$A,$A3409,$K:$K)+SUMIF($A:$A,$A3409,$L:$L)))/VLOOKUP($A3409,HeadJournal!$A$1:$L$890,COLUMN(HeadJournal!H$1),0),0)</f>
        <v>1.2556877602617003</v>
      </c>
      <c r="P3409" s="30">
        <f>IFERROR(SUM(K3409:O3409)*VLOOKUP($A3409,HeadJournal!$A$1:$L$890,COLUMN(HeadJournal!H$1),0),0)</f>
        <v>2927.5208492240586</v>
      </c>
      <c r="Q3409" s="29">
        <v>4200</v>
      </c>
      <c r="R3409" s="31">
        <v>45535</v>
      </c>
      <c r="S3409" s="31" t="s">
        <v>3121</v>
      </c>
      <c r="T3409" s="95" t="str">
        <f t="shared" si="273"/>
        <v>2024 08</v>
      </c>
      <c r="U3409" s="32">
        <f t="shared" si="270"/>
        <v>1272.4791507759414</v>
      </c>
      <c r="V3409" s="22">
        <f t="shared" si="271"/>
        <v>0.43466100373400002</v>
      </c>
      <c r="X3409" s="33"/>
      <c r="Y3409" s="33"/>
    </row>
    <row r="3410" spans="1:25" x14ac:dyDescent="0.2">
      <c r="A3410" s="93" t="s">
        <v>1820</v>
      </c>
      <c r="B3410" s="94" t="str">
        <f>IFERROR(VLOOKUP($A3410,HeadJournal!$A$1:$NTR$890,COLUMN(HeadJournal!B$1),0),"")</f>
        <v>722500174453</v>
      </c>
      <c r="C3410" s="94" t="str">
        <f>IFERROR(VLOOKUP($A3410,HeadJournal!$A$1:$NTR$890,COLUMN(HeadJournal!C$1),0),"")</f>
        <v>iHerb_VP DFD1605</v>
      </c>
      <c r="D3410" s="125" t="str">
        <f>IFERROR(VLOOKUP($A3410,HeadJournal!$A$1:$NTR$890,COLUMN(HeadJournal!D$1),0),"")</f>
        <v>Доставлен</v>
      </c>
      <c r="E3410" s="95">
        <f>IFERROR(VLOOKUP($A3410,HeadJournal!$A$1:$NTR$890,COLUMN(HeadJournal!G$1),0),"")</f>
        <v>45427</v>
      </c>
      <c r="F3410" s="95" t="str">
        <f t="shared" si="272"/>
        <v>2024 05</v>
      </c>
      <c r="G3410" s="96" t="s">
        <v>5</v>
      </c>
      <c r="H3410" s="160" t="str">
        <f>RIGHT(Journal!$J3410,9)</f>
        <v>NOW-01665</v>
      </c>
      <c r="I3410" s="96" t="str">
        <f t="shared" si="269"/>
        <v>NOW Foods</v>
      </c>
      <c r="J3410" s="97" t="s">
        <v>1205</v>
      </c>
      <c r="K3410" s="29">
        <v>36.299999999999997</v>
      </c>
      <c r="L3410" s="29">
        <v>-7.9850000000000003</v>
      </c>
      <c r="M3410" s="30">
        <f>IFERROR(VLOOKUP($A3410,HeadJournal!$A$1:$J$890,COLUMN(HeadJournal!I$1),0)*($K3410+$L3410)/(SUMIF($A:$A,$A3410,$K:$K)+SUMIF($A:$A,$A3410,$L:$L)),0)</f>
        <v>-1.4374335632417079</v>
      </c>
      <c r="N3410" s="30">
        <f>IFERROR((VLOOKUP($A3410,HeadJournal!$A$1:$K$890,COLUMN(HeadJournal!K$1),0)-VLOOKUP($A3410,HeadJournal!$A$1:$K$890,COLUMN(HeadJournal!J$1),0))*($K3410+$L3410)/(SUMIF($A:$A,$A3410,$K:$K)+SUMIF($A:$A,$A3410,$L:$L)),0)</f>
        <v>-4.0813505554411672E-15</v>
      </c>
      <c r="O3410" s="30">
        <f>IFERROR((VLOOKUP($A3410,HeadJournal!$A$1:$L$890,COLUMN(HeadJournal!L$1),0)*($K3410+$L3410)/(SUMIF($A:$A,$A3410,$K:$K)+SUMIF($A:$A,$A3410,$L:$L)))/VLOOKUP($A3410,HeadJournal!$A$1:$L$890,COLUMN(HeadJournal!H$1),0),0)</f>
        <v>1.2556877602617003</v>
      </c>
      <c r="P3410" s="30">
        <f>IFERROR(SUM(K3410:O3410)*VLOOKUP($A3410,HeadJournal!$A$1:$L$890,COLUMN(HeadJournal!H$1),0),0)</f>
        <v>2927.5208492240586</v>
      </c>
      <c r="Q3410" s="29">
        <v>4300</v>
      </c>
      <c r="R3410" s="31">
        <v>45608</v>
      </c>
      <c r="S3410" s="31" t="s">
        <v>3121</v>
      </c>
      <c r="T3410" s="95" t="str">
        <f t="shared" si="273"/>
        <v>2024 11</v>
      </c>
      <c r="U3410" s="32">
        <f t="shared" si="270"/>
        <v>1372.4791507759414</v>
      </c>
      <c r="V3410" s="22">
        <f t="shared" si="271"/>
        <v>0.46881959906100001</v>
      </c>
      <c r="X3410" s="33"/>
      <c r="Y3410" s="33"/>
    </row>
    <row r="3411" spans="1:25" x14ac:dyDescent="0.2">
      <c r="A3411" s="93" t="s">
        <v>1820</v>
      </c>
      <c r="B3411" s="94" t="str">
        <f>IFERROR(VLOOKUP($A3411,HeadJournal!$A$1:$NTR$890,COLUMN(HeadJournal!B$1),0),"")</f>
        <v>722500174453</v>
      </c>
      <c r="C3411" s="94" t="str">
        <f>IFERROR(VLOOKUP($A3411,HeadJournal!$A$1:$NTR$890,COLUMN(HeadJournal!C$1),0),"")</f>
        <v>iHerb_VP DFD1605</v>
      </c>
      <c r="D3411" s="125" t="str">
        <f>IFERROR(VLOOKUP($A3411,HeadJournal!$A$1:$NTR$890,COLUMN(HeadJournal!D$1),0),"")</f>
        <v>Доставлен</v>
      </c>
      <c r="E3411" s="95">
        <f>IFERROR(VLOOKUP($A3411,HeadJournal!$A$1:$NTR$890,COLUMN(HeadJournal!G$1),0),"")</f>
        <v>45427</v>
      </c>
      <c r="F3411" s="95" t="str">
        <f t="shared" si="272"/>
        <v>2024 05</v>
      </c>
      <c r="G3411" s="96" t="s">
        <v>7</v>
      </c>
      <c r="H3411" s="175" t="s">
        <v>3635</v>
      </c>
      <c r="I3411" s="176" t="s">
        <v>2556</v>
      </c>
      <c r="J3411" s="97" t="s">
        <v>3679</v>
      </c>
      <c r="K3411" s="29">
        <v>18.829999999999998</v>
      </c>
      <c r="L3411" s="29">
        <v>-17.829999999999998</v>
      </c>
      <c r="M3411" s="30">
        <f>IFERROR(VLOOKUP($A3411,HeadJournal!$A$1:$J$890,COLUMN(HeadJournal!I$1),0)*($K3411+$L3411)/(SUMIF($A:$A,$A3411,$K:$K)+SUMIF($A:$A,$A3411,$L:$L)),0)</f>
        <v>-5.0765797748250324E-2</v>
      </c>
      <c r="N3411" s="30">
        <f>IFERROR((VLOOKUP($A3411,HeadJournal!$A$1:$K$890,COLUMN(HeadJournal!K$1),0)-VLOOKUP($A3411,HeadJournal!$A$1:$K$890,COLUMN(HeadJournal!J$1),0))*($K3411+$L3411)/(SUMIF($A:$A,$A3411,$K:$K)+SUMIF($A:$A,$A3411,$L:$L)),0)</f>
        <v>-1.4414093432601688E-16</v>
      </c>
      <c r="O3411" s="30">
        <f>IFERROR((VLOOKUP($A3411,HeadJournal!$A$1:$L$890,COLUMN(HeadJournal!L$1),0)*($K3411+$L3411)/(SUMIF($A:$A,$A3411,$K:$K)+SUMIF($A:$A,$A3411,$L:$L)))/VLOOKUP($A3411,HeadJournal!$A$1:$L$890,COLUMN(HeadJournal!H$1),0),0)</f>
        <v>4.4347086712403339E-2</v>
      </c>
      <c r="P3411" s="30">
        <f>IFERROR(SUM(K3411:O3411)*VLOOKUP($A3411,HeadJournal!$A$1:$L$890,COLUMN(HeadJournal!H$1),0),0)</f>
        <v>103.39116543259964</v>
      </c>
      <c r="Q3411" s="29"/>
      <c r="R3411" s="31"/>
      <c r="S3411" s="31"/>
      <c r="T3411" s="95" t="str">
        <f t="shared" si="273"/>
        <v/>
      </c>
      <c r="U3411" s="32">
        <f t="shared" si="270"/>
        <v>-103.39116543259964</v>
      </c>
      <c r="V3411" s="22" t="str">
        <f t="shared" si="271"/>
        <v/>
      </c>
      <c r="X3411" s="33"/>
      <c r="Y3411" s="33"/>
    </row>
    <row r="3412" spans="1:25" x14ac:dyDescent="0.2">
      <c r="A3412" s="93" t="s">
        <v>1825</v>
      </c>
      <c r="B3412" s="94">
        <f>IFERROR(VLOOKUP($A3412,HeadJournal!$A$1:$NTR$890,COLUMN(HeadJournal!B$1),0),"")</f>
        <v>0</v>
      </c>
      <c r="C3412" s="94" t="str">
        <f>IFERROR(VLOOKUP($A3412,HeadJournal!$A$1:$NTR$890,COLUMN(HeadJournal!C$1),0),"")</f>
        <v>WBRS</v>
      </c>
      <c r="D3412" s="125" t="str">
        <f>IFERROR(VLOOKUP($A3412,HeadJournal!$A$1:$NTR$890,COLUMN(HeadJournal!D$1),0),"")</f>
        <v>Доставлен</v>
      </c>
      <c r="E3412" s="95">
        <f>IFERROR(VLOOKUP($A3412,HeadJournal!$A$1:$NTR$890,COLUMN(HeadJournal!G$1),0),"")</f>
        <v>45436</v>
      </c>
      <c r="F3412" s="95" t="str">
        <f t="shared" si="272"/>
        <v>2024 05</v>
      </c>
      <c r="G3412" s="96" t="s">
        <v>6</v>
      </c>
      <c r="H3412" s="160" t="str">
        <f>RIGHT(Journal!$J3412,9)</f>
        <v>137163976</v>
      </c>
      <c r="I3412" s="96" t="str">
        <f t="shared" si="269"/>
        <v>Samyun Wan</v>
      </c>
      <c r="J3412" s="97" t="s">
        <v>352</v>
      </c>
      <c r="K3412" s="29">
        <v>410</v>
      </c>
      <c r="L3412" s="29">
        <v>0</v>
      </c>
      <c r="M3412" s="30">
        <f>IFERROR(VLOOKUP($A3412,HeadJournal!$A$1:$J$890,COLUMN(HeadJournal!I$1),0)*($K3412+$L3412)/(SUMIF($A:$A,$A3412,$K:$K)+SUMIF($A:$A,$A3412,$L:$L)),0)</f>
        <v>0</v>
      </c>
      <c r="N3412" s="30">
        <f>IFERROR((VLOOKUP($A3412,HeadJournal!$A$1:$K$890,COLUMN(HeadJournal!K$1),0)-VLOOKUP($A3412,HeadJournal!$A$1:$K$890,COLUMN(HeadJournal!J$1),0))*($K3412+$L3412)/(SUMIF($A:$A,$A3412,$K:$K)+SUMIF($A:$A,$A3412,$L:$L)),0)</f>
        <v>0</v>
      </c>
      <c r="O3412" s="30">
        <f>IFERROR((VLOOKUP($A3412,HeadJournal!$A$1:$L$890,COLUMN(HeadJournal!L$1),0)*($K3412+$L3412)/(SUMIF($A:$A,$A3412,$K:$K)+SUMIF($A:$A,$A3412,$L:$L)))/VLOOKUP($A3412,HeadJournal!$A$1:$L$890,COLUMN(HeadJournal!H$1),0),0)</f>
        <v>0</v>
      </c>
      <c r="P3412" s="30">
        <f>IFERROR(SUM(K3412:O3412)*VLOOKUP($A3412,HeadJournal!$A$1:$L$890,COLUMN(HeadJournal!H$1),0),0)</f>
        <v>410</v>
      </c>
      <c r="Q3412" s="29">
        <v>800</v>
      </c>
      <c r="R3412" s="31">
        <v>45436</v>
      </c>
      <c r="S3412" s="31" t="s">
        <v>3121</v>
      </c>
      <c r="T3412" s="95" t="str">
        <f t="shared" si="273"/>
        <v>2024 05</v>
      </c>
      <c r="U3412" s="32">
        <f t="shared" si="270"/>
        <v>390</v>
      </c>
      <c r="V3412" s="22">
        <f t="shared" si="271"/>
        <v>0.95121951219512191</v>
      </c>
      <c r="X3412" s="33"/>
      <c r="Y3412" s="33"/>
    </row>
    <row r="3413" spans="1:25" x14ac:dyDescent="0.2">
      <c r="A3413" s="93" t="s">
        <v>1825</v>
      </c>
      <c r="B3413" s="94">
        <f>IFERROR(VLOOKUP($A3413,HeadJournal!$A$1:$NTR$890,COLUMN(HeadJournal!B$1),0),"")</f>
        <v>0</v>
      </c>
      <c r="C3413" s="94" t="str">
        <f>IFERROR(VLOOKUP($A3413,HeadJournal!$A$1:$NTR$890,COLUMN(HeadJournal!C$1),0),"")</f>
        <v>WBRS</v>
      </c>
      <c r="D3413" s="125" t="str">
        <f>IFERROR(VLOOKUP($A3413,HeadJournal!$A$1:$NTR$890,COLUMN(HeadJournal!D$1),0),"")</f>
        <v>Доставлен</v>
      </c>
      <c r="E3413" s="95">
        <f>IFERROR(VLOOKUP($A3413,HeadJournal!$A$1:$NTR$890,COLUMN(HeadJournal!G$1),0),"")</f>
        <v>45436</v>
      </c>
      <c r="F3413" s="95" t="str">
        <f t="shared" si="272"/>
        <v>2024 05</v>
      </c>
      <c r="G3413" s="96" t="s">
        <v>6</v>
      </c>
      <c r="H3413" s="160" t="str">
        <f>RIGHT(Journal!$J3413,9)</f>
        <v>137163976</v>
      </c>
      <c r="I3413" s="96" t="str">
        <f t="shared" si="269"/>
        <v>Samyun Wan</v>
      </c>
      <c r="J3413" s="97" t="s">
        <v>352</v>
      </c>
      <c r="K3413" s="29">
        <v>410</v>
      </c>
      <c r="L3413" s="29">
        <v>0</v>
      </c>
      <c r="M3413" s="30">
        <f>IFERROR(VLOOKUP($A3413,HeadJournal!$A$1:$J$890,COLUMN(HeadJournal!I$1),0)*($K3413+$L3413)/(SUMIF($A:$A,$A3413,$K:$K)+SUMIF($A:$A,$A3413,$L:$L)),0)</f>
        <v>0</v>
      </c>
      <c r="N3413" s="30">
        <f>IFERROR((VLOOKUP($A3413,HeadJournal!$A$1:$K$890,COLUMN(HeadJournal!K$1),0)-VLOOKUP($A3413,HeadJournal!$A$1:$K$890,COLUMN(HeadJournal!J$1),0))*($K3413+$L3413)/(SUMIF($A:$A,$A3413,$K:$K)+SUMIF($A:$A,$A3413,$L:$L)),0)</f>
        <v>0</v>
      </c>
      <c r="O3413" s="30">
        <f>IFERROR((VLOOKUP($A3413,HeadJournal!$A$1:$L$890,COLUMN(HeadJournal!L$1),0)*($K3413+$L3413)/(SUMIF($A:$A,$A3413,$K:$K)+SUMIF($A:$A,$A3413,$L:$L)))/VLOOKUP($A3413,HeadJournal!$A$1:$L$890,COLUMN(HeadJournal!H$1),0),0)</f>
        <v>0</v>
      </c>
      <c r="P3413" s="30">
        <f>IFERROR(SUM(K3413:O3413)*VLOOKUP($A3413,HeadJournal!$A$1:$L$890,COLUMN(HeadJournal!H$1),0),0)</f>
        <v>410</v>
      </c>
      <c r="Q3413" s="29">
        <v>800</v>
      </c>
      <c r="R3413" s="31">
        <v>45436</v>
      </c>
      <c r="S3413" s="31" t="s">
        <v>3121</v>
      </c>
      <c r="T3413" s="95" t="str">
        <f t="shared" si="273"/>
        <v>2024 05</v>
      </c>
      <c r="U3413" s="32">
        <f t="shared" si="270"/>
        <v>390</v>
      </c>
      <c r="V3413" s="22">
        <f t="shared" si="271"/>
        <v>0.95121951219512191</v>
      </c>
      <c r="X3413" s="33"/>
      <c r="Y3413" s="33"/>
    </row>
    <row r="3414" spans="1:25" x14ac:dyDescent="0.2">
      <c r="A3414" s="93" t="s">
        <v>1825</v>
      </c>
      <c r="B3414" s="94">
        <f>IFERROR(VLOOKUP($A3414,HeadJournal!$A$1:$NTR$890,COLUMN(HeadJournal!B$1),0),"")</f>
        <v>0</v>
      </c>
      <c r="C3414" s="94" t="str">
        <f>IFERROR(VLOOKUP($A3414,HeadJournal!$A$1:$NTR$890,COLUMN(HeadJournal!C$1),0),"")</f>
        <v>WBRS</v>
      </c>
      <c r="D3414" s="125" t="str">
        <f>IFERROR(VLOOKUP($A3414,HeadJournal!$A$1:$NTR$890,COLUMN(HeadJournal!D$1),0),"")</f>
        <v>Доставлен</v>
      </c>
      <c r="E3414" s="95">
        <f>IFERROR(VLOOKUP($A3414,HeadJournal!$A$1:$NTR$890,COLUMN(HeadJournal!G$1),0),"")</f>
        <v>45436</v>
      </c>
      <c r="F3414" s="95" t="str">
        <f t="shared" si="272"/>
        <v>2024 05</v>
      </c>
      <c r="G3414" s="96" t="s">
        <v>6</v>
      </c>
      <c r="H3414" s="160" t="str">
        <f>RIGHT(Journal!$J3414,9)</f>
        <v>137163976</v>
      </c>
      <c r="I3414" s="96" t="str">
        <f t="shared" si="269"/>
        <v>Samyun Wan</v>
      </c>
      <c r="J3414" s="97" t="s">
        <v>352</v>
      </c>
      <c r="K3414" s="29">
        <v>410</v>
      </c>
      <c r="L3414" s="29">
        <v>0</v>
      </c>
      <c r="M3414" s="30">
        <f>IFERROR(VLOOKUP($A3414,HeadJournal!$A$1:$J$890,COLUMN(HeadJournal!I$1),0)*($K3414+$L3414)/(SUMIF($A:$A,$A3414,$K:$K)+SUMIF($A:$A,$A3414,$L:$L)),0)</f>
        <v>0</v>
      </c>
      <c r="N3414" s="30">
        <f>IFERROR((VLOOKUP($A3414,HeadJournal!$A$1:$K$890,COLUMN(HeadJournal!K$1),0)-VLOOKUP($A3414,HeadJournal!$A$1:$K$890,COLUMN(HeadJournal!J$1),0))*($K3414+$L3414)/(SUMIF($A:$A,$A3414,$K:$K)+SUMIF($A:$A,$A3414,$L:$L)),0)</f>
        <v>0</v>
      </c>
      <c r="O3414" s="30">
        <f>IFERROR((VLOOKUP($A3414,HeadJournal!$A$1:$L$890,COLUMN(HeadJournal!L$1),0)*($K3414+$L3414)/(SUMIF($A:$A,$A3414,$K:$K)+SUMIF($A:$A,$A3414,$L:$L)))/VLOOKUP($A3414,HeadJournal!$A$1:$L$890,COLUMN(HeadJournal!H$1),0),0)</f>
        <v>0</v>
      </c>
      <c r="P3414" s="30">
        <f>IFERROR(SUM(K3414:O3414)*VLOOKUP($A3414,HeadJournal!$A$1:$L$890,COLUMN(HeadJournal!H$1),0),0)</f>
        <v>410</v>
      </c>
      <c r="Q3414" s="29"/>
      <c r="R3414" s="31"/>
      <c r="S3414" s="31"/>
      <c r="T3414" s="95" t="str">
        <f t="shared" si="273"/>
        <v/>
      </c>
      <c r="U3414" s="32">
        <f t="shared" si="270"/>
        <v>-410</v>
      </c>
      <c r="V3414" s="22" t="str">
        <f t="shared" si="271"/>
        <v/>
      </c>
      <c r="X3414" s="33"/>
      <c r="Y3414" s="33"/>
    </row>
    <row r="3415" spans="1:25" x14ac:dyDescent="0.2">
      <c r="A3415" s="93" t="s">
        <v>1826</v>
      </c>
      <c r="B3415" s="94" t="str">
        <f>IFERROR(VLOOKUP($A3415,HeadJournal!$A$1:$NTR$890,COLUMN(HeadJournal!B$1),0),"")</f>
        <v>720000248019</v>
      </c>
      <c r="C3415" s="94" t="str">
        <f>IFERROR(VLOOKUP($A3415,HeadJournal!$A$1:$NTR$890,COLUMN(HeadJournal!C$1),0),"")</f>
        <v>iHerb_VP DFD1605</v>
      </c>
      <c r="D3415" s="125" t="str">
        <f>IFERROR(VLOOKUP($A3415,HeadJournal!$A$1:$NTR$890,COLUMN(HeadJournal!D$1),0),"")</f>
        <v>Доставлен</v>
      </c>
      <c r="E3415" s="95">
        <f>IFERROR(VLOOKUP($A3415,HeadJournal!$A$1:$NTR$890,COLUMN(HeadJournal!G$1),0),"")</f>
        <v>45439</v>
      </c>
      <c r="F3415" s="95" t="str">
        <f t="shared" si="272"/>
        <v>2024 05</v>
      </c>
      <c r="G3415" s="96" t="s">
        <v>5</v>
      </c>
      <c r="H3415" s="161" t="s">
        <v>3542</v>
      </c>
      <c r="I3415" s="97" t="s">
        <v>2039</v>
      </c>
      <c r="J3415" s="97" t="s">
        <v>3543</v>
      </c>
      <c r="K3415" s="29">
        <v>15.85</v>
      </c>
      <c r="L3415" s="29">
        <v>-3.17</v>
      </c>
      <c r="M3415" s="30">
        <f>IFERROR(VLOOKUP($A3415,HeadJournal!$A$1:$J$890,COLUMN(HeadJournal!I$1),0)*($K3415+$L3415)/(SUMIF($A:$A,$A3415,$K:$K)+SUMIF($A:$A,$A3415,$L:$L)),0)</f>
        <v>-0.67412658227848088</v>
      </c>
      <c r="N3415" s="30">
        <f>IFERROR((VLOOKUP($A3415,HeadJournal!$A$1:$K$890,COLUMN(HeadJournal!K$1),0)-VLOOKUP($A3415,HeadJournal!$A$1:$K$890,COLUMN(HeadJournal!J$1),0))*($K3415+$L3415)/(SUMIF($A:$A,$A3415,$K:$K)+SUMIF($A:$A,$A3415,$L:$L)),0)</f>
        <v>-2.027495221251886E-15</v>
      </c>
      <c r="O3415" s="30">
        <f>IFERROR((VLOOKUP($A3415,HeadJournal!$A$1:$L$890,COLUMN(HeadJournal!L$1),0)*($K3415+$L3415)/(SUMIF($A:$A,$A3415,$K:$K)+SUMIF($A:$A,$A3415,$L:$L)))/VLOOKUP($A3415,HeadJournal!$A$1:$L$890,COLUMN(HeadJournal!H$1),0),0)</f>
        <v>0.86751700875861937</v>
      </c>
      <c r="P3415" s="30">
        <f>IFERROR(SUM(K3415:O3415)*VLOOKUP($A3415,HeadJournal!$A$1:$L$890,COLUMN(HeadJournal!H$1),0),0)</f>
        <v>1326.0188766994838</v>
      </c>
      <c r="Q3415" s="29">
        <v>2100</v>
      </c>
      <c r="R3415" s="31">
        <v>45465</v>
      </c>
      <c r="S3415" s="31" t="s">
        <v>3121</v>
      </c>
      <c r="T3415" s="95" t="str">
        <f t="shared" si="273"/>
        <v>2024 06</v>
      </c>
      <c r="U3415" s="32">
        <f t="shared" si="270"/>
        <v>773.98112330051617</v>
      </c>
      <c r="V3415" s="22">
        <f t="shared" si="271"/>
        <v>0.58368786214189305</v>
      </c>
      <c r="X3415" s="33"/>
      <c r="Y3415" s="33"/>
    </row>
    <row r="3416" spans="1:25" x14ac:dyDescent="0.2">
      <c r="A3416" s="93" t="s">
        <v>1826</v>
      </c>
      <c r="B3416" s="94" t="str">
        <f>IFERROR(VLOOKUP($A3416,HeadJournal!$A$1:$NTR$890,COLUMN(HeadJournal!B$1),0),"")</f>
        <v>720000248019</v>
      </c>
      <c r="C3416" s="94" t="str">
        <f>IFERROR(VLOOKUP($A3416,HeadJournal!$A$1:$NTR$890,COLUMN(HeadJournal!C$1),0),"")</f>
        <v>iHerb_VP DFD1605</v>
      </c>
      <c r="D3416" s="125" t="str">
        <f>IFERROR(VLOOKUP($A3416,HeadJournal!$A$1:$NTR$890,COLUMN(HeadJournal!D$1),0),"")</f>
        <v>Доставлен</v>
      </c>
      <c r="E3416" s="95">
        <f>IFERROR(VLOOKUP($A3416,HeadJournal!$A$1:$NTR$890,COLUMN(HeadJournal!G$1),0),"")</f>
        <v>45439</v>
      </c>
      <c r="F3416" s="95" t="str">
        <f t="shared" si="272"/>
        <v>2024 05</v>
      </c>
      <c r="G3416" s="96" t="s">
        <v>5</v>
      </c>
      <c r="H3416" s="161" t="s">
        <v>2426</v>
      </c>
      <c r="I3416" s="97" t="s">
        <v>2125</v>
      </c>
      <c r="J3416" s="97" t="s">
        <v>2427</v>
      </c>
      <c r="K3416" s="29">
        <v>13.72</v>
      </c>
      <c r="L3416" s="29">
        <v>-2.7433333333333336</v>
      </c>
      <c r="M3416" s="30">
        <f>IFERROR(VLOOKUP($A3416,HeadJournal!$A$1:$J$890,COLUMN(HeadJournal!I$1),0)*($K3416+$L3416)/(SUMIF($A:$A,$A3416,$K:$K)+SUMIF($A:$A,$A3416,$L:$L)),0)</f>
        <v>-0.58356962025316439</v>
      </c>
      <c r="N3416" s="30">
        <f>IFERROR((VLOOKUP($A3416,HeadJournal!$A$1:$K$890,COLUMN(HeadJournal!K$1),0)-VLOOKUP($A3416,HeadJournal!$A$1:$K$890,COLUMN(HeadJournal!J$1),0))*($K3416+$L3416)/(SUMIF($A:$A,$A3416,$K:$K)+SUMIF($A:$A,$A3416,$L:$L)),0)</f>
        <v>-1.7551371618250422E-15</v>
      </c>
      <c r="O3416" s="30">
        <f>IFERROR((VLOOKUP($A3416,HeadJournal!$A$1:$L$890,COLUMN(HeadJournal!L$1),0)*($K3416+$L3416)/(SUMIF($A:$A,$A3416,$K:$K)+SUMIF($A:$A,$A3416,$L:$L)))/VLOOKUP($A3416,HeadJournal!$A$1:$L$890,COLUMN(HeadJournal!H$1),0),0)</f>
        <v>0.75098146946428335</v>
      </c>
      <c r="P3416" s="30">
        <f>IFERROR(SUM(K3416:O3416)*VLOOKUP($A3416,HeadJournal!$A$1:$L$890,COLUMN(HeadJournal!H$1),0),0)</f>
        <v>1147.8917352711358</v>
      </c>
      <c r="Q3416" s="29">
        <v>1900</v>
      </c>
      <c r="R3416" s="31">
        <v>45465</v>
      </c>
      <c r="S3416" s="31" t="s">
        <v>3121</v>
      </c>
      <c r="T3416" s="95" t="str">
        <f t="shared" si="273"/>
        <v>2024 06</v>
      </c>
      <c r="U3416" s="32">
        <f t="shared" si="270"/>
        <v>752.10826472886424</v>
      </c>
      <c r="V3416" s="22">
        <f t="shared" si="271"/>
        <v>0.65520836296570584</v>
      </c>
      <c r="X3416" s="33"/>
      <c r="Y3416" s="33"/>
    </row>
    <row r="3417" spans="1:25" x14ac:dyDescent="0.2">
      <c r="A3417" s="93" t="s">
        <v>1826</v>
      </c>
      <c r="B3417" s="94" t="str">
        <f>IFERROR(VLOOKUP($A3417,HeadJournal!$A$1:$NTR$890,COLUMN(HeadJournal!B$1),0),"")</f>
        <v>720000248019</v>
      </c>
      <c r="C3417" s="94" t="str">
        <f>IFERROR(VLOOKUP($A3417,HeadJournal!$A$1:$NTR$890,COLUMN(HeadJournal!C$1),0),"")</f>
        <v>iHerb_VP DFD1605</v>
      </c>
      <c r="D3417" s="125" t="str">
        <f>IFERROR(VLOOKUP($A3417,HeadJournal!$A$1:$NTR$890,COLUMN(HeadJournal!D$1),0),"")</f>
        <v>Доставлен</v>
      </c>
      <c r="E3417" s="95">
        <f>IFERROR(VLOOKUP($A3417,HeadJournal!$A$1:$NTR$890,COLUMN(HeadJournal!G$1),0),"")</f>
        <v>45439</v>
      </c>
      <c r="F3417" s="95" t="str">
        <f t="shared" si="272"/>
        <v>2024 05</v>
      </c>
      <c r="G3417" s="96" t="s">
        <v>5</v>
      </c>
      <c r="H3417" s="161" t="s">
        <v>2426</v>
      </c>
      <c r="I3417" s="97" t="s">
        <v>2125</v>
      </c>
      <c r="J3417" s="97" t="s">
        <v>2427</v>
      </c>
      <c r="K3417" s="29">
        <v>13.72</v>
      </c>
      <c r="L3417" s="29">
        <v>-2.7433333333333336</v>
      </c>
      <c r="M3417" s="30">
        <f>IFERROR(VLOOKUP($A3417,HeadJournal!$A$1:$J$890,COLUMN(HeadJournal!I$1),0)*($K3417+$L3417)/(SUMIF($A:$A,$A3417,$K:$K)+SUMIF($A:$A,$A3417,$L:$L)),0)</f>
        <v>-0.58356962025316439</v>
      </c>
      <c r="N3417" s="30">
        <f>IFERROR((VLOOKUP($A3417,HeadJournal!$A$1:$K$890,COLUMN(HeadJournal!K$1),0)-VLOOKUP($A3417,HeadJournal!$A$1:$K$890,COLUMN(HeadJournal!J$1),0))*($K3417+$L3417)/(SUMIF($A:$A,$A3417,$K:$K)+SUMIF($A:$A,$A3417,$L:$L)),0)</f>
        <v>-1.7551371618250422E-15</v>
      </c>
      <c r="O3417" s="30">
        <f>IFERROR((VLOOKUP($A3417,HeadJournal!$A$1:$L$890,COLUMN(HeadJournal!L$1),0)*($K3417+$L3417)/(SUMIF($A:$A,$A3417,$K:$K)+SUMIF($A:$A,$A3417,$L:$L)))/VLOOKUP($A3417,HeadJournal!$A$1:$L$890,COLUMN(HeadJournal!H$1),0),0)</f>
        <v>0.75098146946428335</v>
      </c>
      <c r="P3417" s="30">
        <f>IFERROR(SUM(K3417:O3417)*VLOOKUP($A3417,HeadJournal!$A$1:$L$890,COLUMN(HeadJournal!H$1),0),0)</f>
        <v>1147.8917352711358</v>
      </c>
      <c r="Q3417" s="29">
        <v>1900</v>
      </c>
      <c r="R3417" s="31">
        <v>45467</v>
      </c>
      <c r="S3417" s="31" t="s">
        <v>3121</v>
      </c>
      <c r="T3417" s="95" t="str">
        <f t="shared" si="273"/>
        <v>2024 06</v>
      </c>
      <c r="U3417" s="32">
        <f t="shared" si="270"/>
        <v>752.10826472886424</v>
      </c>
      <c r="V3417" s="22">
        <f t="shared" si="271"/>
        <v>0.65520836296570584</v>
      </c>
      <c r="X3417" s="33"/>
      <c r="Y3417" s="33"/>
    </row>
    <row r="3418" spans="1:25" x14ac:dyDescent="0.2">
      <c r="A3418" s="93" t="s">
        <v>1826</v>
      </c>
      <c r="B3418" s="94" t="str">
        <f>IFERROR(VLOOKUP($A3418,HeadJournal!$A$1:$NTR$890,COLUMN(HeadJournal!B$1),0),"")</f>
        <v>720000248019</v>
      </c>
      <c r="C3418" s="94" t="str">
        <f>IFERROR(VLOOKUP($A3418,HeadJournal!$A$1:$NTR$890,COLUMN(HeadJournal!C$1),0),"")</f>
        <v>iHerb_VP DFD1605</v>
      </c>
      <c r="D3418" s="125" t="str">
        <f>IFERROR(VLOOKUP($A3418,HeadJournal!$A$1:$NTR$890,COLUMN(HeadJournal!D$1),0),"")</f>
        <v>Доставлен</v>
      </c>
      <c r="E3418" s="95">
        <f>IFERROR(VLOOKUP($A3418,HeadJournal!$A$1:$NTR$890,COLUMN(HeadJournal!G$1),0),"")</f>
        <v>45439</v>
      </c>
      <c r="F3418" s="95" t="str">
        <f t="shared" si="272"/>
        <v>2024 05</v>
      </c>
      <c r="G3418" s="96" t="s">
        <v>5</v>
      </c>
      <c r="H3418" s="161" t="s">
        <v>2426</v>
      </c>
      <c r="I3418" s="97" t="s">
        <v>2125</v>
      </c>
      <c r="J3418" s="97" t="s">
        <v>2427</v>
      </c>
      <c r="K3418" s="29">
        <v>13.72</v>
      </c>
      <c r="L3418" s="29">
        <v>-2.7433333333333336</v>
      </c>
      <c r="M3418" s="30">
        <f>IFERROR(VLOOKUP($A3418,HeadJournal!$A$1:$J$890,COLUMN(HeadJournal!I$1),0)*($K3418+$L3418)/(SUMIF($A:$A,$A3418,$K:$K)+SUMIF($A:$A,$A3418,$L:$L)),0)</f>
        <v>-0.58356962025316439</v>
      </c>
      <c r="N3418" s="30">
        <f>IFERROR((VLOOKUP($A3418,HeadJournal!$A$1:$K$890,COLUMN(HeadJournal!K$1),0)-VLOOKUP($A3418,HeadJournal!$A$1:$K$890,COLUMN(HeadJournal!J$1),0))*($K3418+$L3418)/(SUMIF($A:$A,$A3418,$K:$K)+SUMIF($A:$A,$A3418,$L:$L)),0)</f>
        <v>-1.7551371618250422E-15</v>
      </c>
      <c r="O3418" s="30">
        <f>IFERROR((VLOOKUP($A3418,HeadJournal!$A$1:$L$890,COLUMN(HeadJournal!L$1),0)*($K3418+$L3418)/(SUMIF($A:$A,$A3418,$K:$K)+SUMIF($A:$A,$A3418,$L:$L)))/VLOOKUP($A3418,HeadJournal!$A$1:$L$890,COLUMN(HeadJournal!H$1),0),0)</f>
        <v>0.75098146946428335</v>
      </c>
      <c r="P3418" s="30">
        <f>IFERROR(SUM(K3418:O3418)*VLOOKUP($A3418,HeadJournal!$A$1:$L$890,COLUMN(HeadJournal!H$1),0),0)</f>
        <v>1147.8917352711358</v>
      </c>
      <c r="Q3418" s="29">
        <v>2000</v>
      </c>
      <c r="R3418" s="31">
        <v>45480</v>
      </c>
      <c r="S3418" s="31" t="s">
        <v>3121</v>
      </c>
      <c r="T3418" s="95" t="str">
        <f t="shared" si="273"/>
        <v>2024 07</v>
      </c>
      <c r="U3418" s="32">
        <f t="shared" si="270"/>
        <v>852.10826472886424</v>
      </c>
      <c r="V3418" s="22">
        <f t="shared" si="271"/>
        <v>0.74232459259547978</v>
      </c>
      <c r="X3418" s="33"/>
      <c r="Y3418" s="33"/>
    </row>
    <row r="3419" spans="1:25" x14ac:dyDescent="0.2">
      <c r="A3419" s="93" t="s">
        <v>1826</v>
      </c>
      <c r="B3419" s="94" t="str">
        <f>IFERROR(VLOOKUP($A3419,HeadJournal!$A$1:$NTR$890,COLUMN(HeadJournal!B$1),0),"")</f>
        <v>720000248019</v>
      </c>
      <c r="C3419" s="94" t="str">
        <f>IFERROR(VLOOKUP($A3419,HeadJournal!$A$1:$NTR$890,COLUMN(HeadJournal!C$1),0),"")</f>
        <v>iHerb_VP DFD1605</v>
      </c>
      <c r="D3419" s="125" t="str">
        <f>IFERROR(VLOOKUP($A3419,HeadJournal!$A$1:$NTR$890,COLUMN(HeadJournal!D$1),0),"")</f>
        <v>Доставлен</v>
      </c>
      <c r="E3419" s="95">
        <f>IFERROR(VLOOKUP($A3419,HeadJournal!$A$1:$NTR$890,COLUMN(HeadJournal!G$1),0),"")</f>
        <v>45439</v>
      </c>
      <c r="F3419" s="95" t="str">
        <f t="shared" si="272"/>
        <v>2024 05</v>
      </c>
      <c r="G3419" s="96" t="s">
        <v>5</v>
      </c>
      <c r="H3419" s="161" t="s">
        <v>2189</v>
      </c>
      <c r="I3419" s="97" t="s">
        <v>2005</v>
      </c>
      <c r="J3419" s="97" t="s">
        <v>4154</v>
      </c>
      <c r="K3419" s="29">
        <v>28.99</v>
      </c>
      <c r="L3419" s="29">
        <v>-6.9580000000000002</v>
      </c>
      <c r="M3419" s="30">
        <f>IFERROR(VLOOKUP($A3419,HeadJournal!$A$1:$J$890,COLUMN(HeadJournal!I$1),0)*($K3419+$L3419)/(SUMIF($A:$A,$A3419,$K:$K)+SUMIF($A:$A,$A3419,$L:$L)),0)</f>
        <v>-1.1713215189873414</v>
      </c>
      <c r="N3419" s="30">
        <f>IFERROR((VLOOKUP($A3419,HeadJournal!$A$1:$K$890,COLUMN(HeadJournal!K$1),0)-VLOOKUP($A3419,HeadJournal!$A$1:$K$890,COLUMN(HeadJournal!J$1),0))*($K3419+$L3419)/(SUMIF($A:$A,$A3419,$K:$K)+SUMIF($A:$A,$A3419,$L:$L)),0)</f>
        <v>-3.5228528954748855E-15</v>
      </c>
      <c r="O3419" s="30">
        <f>IFERROR((VLOOKUP($A3419,HeadJournal!$A$1:$L$890,COLUMN(HeadJournal!L$1),0)*($K3419+$L3419)/(SUMIF($A:$A,$A3419,$K:$K)+SUMIF($A:$A,$A3419,$L:$L)))/VLOOKUP($A3419,HeadJournal!$A$1:$L$890,COLUMN(HeadJournal!H$1),0),0)</f>
        <v>1.5073450108020425</v>
      </c>
      <c r="P3419" s="30">
        <f>IFERROR(SUM(K3419:O3419)*VLOOKUP($A3419,HeadJournal!$A$1:$L$890,COLUMN(HeadJournal!H$1),0),0)</f>
        <v>2304.010086075948</v>
      </c>
      <c r="Q3419" s="29">
        <v>3600</v>
      </c>
      <c r="R3419" s="31">
        <v>45480</v>
      </c>
      <c r="S3419" s="31" t="s">
        <v>3121</v>
      </c>
      <c r="T3419" s="95" t="str">
        <f t="shared" si="273"/>
        <v>2024 07</v>
      </c>
      <c r="U3419" s="32">
        <f t="shared" si="270"/>
        <v>1295.989913924052</v>
      </c>
      <c r="V3419" s="22">
        <f t="shared" si="271"/>
        <v>0.56249315997192717</v>
      </c>
      <c r="X3419" s="33"/>
      <c r="Y3419" s="33"/>
    </row>
    <row r="3420" spans="1:25" x14ac:dyDescent="0.2">
      <c r="A3420" s="93" t="s">
        <v>1826</v>
      </c>
      <c r="B3420" s="94" t="str">
        <f>IFERROR(VLOOKUP($A3420,HeadJournal!$A$1:$NTR$890,COLUMN(HeadJournal!B$1),0),"")</f>
        <v>720000248019</v>
      </c>
      <c r="C3420" s="94" t="str">
        <f>IFERROR(VLOOKUP($A3420,HeadJournal!$A$1:$NTR$890,COLUMN(HeadJournal!C$1),0),"")</f>
        <v>iHerb_VP DFD1605</v>
      </c>
      <c r="D3420" s="125" t="str">
        <f>IFERROR(VLOOKUP($A3420,HeadJournal!$A$1:$NTR$890,COLUMN(HeadJournal!D$1),0),"")</f>
        <v>Доставлен</v>
      </c>
      <c r="E3420" s="95">
        <f>IFERROR(VLOOKUP($A3420,HeadJournal!$A$1:$NTR$890,COLUMN(HeadJournal!G$1),0),"")</f>
        <v>45439</v>
      </c>
      <c r="F3420" s="95" t="str">
        <f t="shared" si="272"/>
        <v>2024 05</v>
      </c>
      <c r="G3420" s="96" t="s">
        <v>5</v>
      </c>
      <c r="H3420" s="161" t="s">
        <v>2189</v>
      </c>
      <c r="I3420" s="97" t="s">
        <v>2005</v>
      </c>
      <c r="J3420" s="97" t="s">
        <v>4154</v>
      </c>
      <c r="K3420" s="29">
        <v>28.99</v>
      </c>
      <c r="L3420" s="29">
        <v>-6.9580000000000002</v>
      </c>
      <c r="M3420" s="30">
        <f>IFERROR(VLOOKUP($A3420,HeadJournal!$A$1:$J$890,COLUMN(HeadJournal!I$1),0)*($K3420+$L3420)/(SUMIF($A:$A,$A3420,$K:$K)+SUMIF($A:$A,$A3420,$L:$L)),0)</f>
        <v>-1.1713215189873414</v>
      </c>
      <c r="N3420" s="30">
        <f>IFERROR((VLOOKUP($A3420,HeadJournal!$A$1:$K$890,COLUMN(HeadJournal!K$1),0)-VLOOKUP($A3420,HeadJournal!$A$1:$K$890,COLUMN(HeadJournal!J$1),0))*($K3420+$L3420)/(SUMIF($A:$A,$A3420,$K:$K)+SUMIF($A:$A,$A3420,$L:$L)),0)</f>
        <v>-3.5228528954748855E-15</v>
      </c>
      <c r="O3420" s="30">
        <f>IFERROR((VLOOKUP($A3420,HeadJournal!$A$1:$L$890,COLUMN(HeadJournal!L$1),0)*($K3420+$L3420)/(SUMIF($A:$A,$A3420,$K:$K)+SUMIF($A:$A,$A3420,$L:$L)))/VLOOKUP($A3420,HeadJournal!$A$1:$L$890,COLUMN(HeadJournal!H$1),0),0)</f>
        <v>1.5073450108020425</v>
      </c>
      <c r="P3420" s="30">
        <f>IFERROR(SUM(K3420:O3420)*VLOOKUP($A3420,HeadJournal!$A$1:$L$890,COLUMN(HeadJournal!H$1),0),0)</f>
        <v>2304.010086075948</v>
      </c>
      <c r="Q3420" s="29">
        <v>3600</v>
      </c>
      <c r="R3420" s="31">
        <v>45514</v>
      </c>
      <c r="S3420" s="31" t="s">
        <v>3121</v>
      </c>
      <c r="T3420" s="95" t="str">
        <f t="shared" si="273"/>
        <v>2024 08</v>
      </c>
      <c r="U3420" s="32">
        <f t="shared" si="270"/>
        <v>1295.989913924052</v>
      </c>
      <c r="V3420" s="22">
        <f t="shared" si="271"/>
        <v>0.56249315997192717</v>
      </c>
      <c r="X3420" s="33"/>
      <c r="Y3420" s="33"/>
    </row>
    <row r="3421" spans="1:25" x14ac:dyDescent="0.2">
      <c r="A3421" s="93" t="s">
        <v>1826</v>
      </c>
      <c r="B3421" s="94" t="str">
        <f>IFERROR(VLOOKUP($A3421,HeadJournal!$A$1:$NTR$890,COLUMN(HeadJournal!B$1),0),"")</f>
        <v>720000248019</v>
      </c>
      <c r="C3421" s="94" t="str">
        <f>IFERROR(VLOOKUP($A3421,HeadJournal!$A$1:$NTR$890,COLUMN(HeadJournal!C$1),0),"")</f>
        <v>iHerb_VP DFD1605</v>
      </c>
      <c r="D3421" s="125" t="str">
        <f>IFERROR(VLOOKUP($A3421,HeadJournal!$A$1:$NTR$890,COLUMN(HeadJournal!D$1),0),"")</f>
        <v>Доставлен</v>
      </c>
      <c r="E3421" s="95">
        <f>IFERROR(VLOOKUP($A3421,HeadJournal!$A$1:$NTR$890,COLUMN(HeadJournal!G$1),0),"")</f>
        <v>45439</v>
      </c>
      <c r="F3421" s="95" t="str">
        <f t="shared" si="272"/>
        <v>2024 05</v>
      </c>
      <c r="G3421" s="96" t="s">
        <v>5</v>
      </c>
      <c r="H3421" s="161" t="s">
        <v>2189</v>
      </c>
      <c r="I3421" s="97" t="s">
        <v>2005</v>
      </c>
      <c r="J3421" s="97" t="s">
        <v>4154</v>
      </c>
      <c r="K3421" s="29">
        <v>28.99</v>
      </c>
      <c r="L3421" s="29">
        <v>-6.9580000000000002</v>
      </c>
      <c r="M3421" s="30">
        <f>IFERROR(VLOOKUP($A3421,HeadJournal!$A$1:$J$890,COLUMN(HeadJournal!I$1),0)*($K3421+$L3421)/(SUMIF($A:$A,$A3421,$K:$K)+SUMIF($A:$A,$A3421,$L:$L)),0)</f>
        <v>-1.1713215189873414</v>
      </c>
      <c r="N3421" s="30">
        <f>IFERROR((VLOOKUP($A3421,HeadJournal!$A$1:$K$890,COLUMN(HeadJournal!K$1),0)-VLOOKUP($A3421,HeadJournal!$A$1:$K$890,COLUMN(HeadJournal!J$1),0))*($K3421+$L3421)/(SUMIF($A:$A,$A3421,$K:$K)+SUMIF($A:$A,$A3421,$L:$L)),0)</f>
        <v>-3.5228528954748855E-15</v>
      </c>
      <c r="O3421" s="30">
        <f>IFERROR((VLOOKUP($A3421,HeadJournal!$A$1:$L$890,COLUMN(HeadJournal!L$1),0)*($K3421+$L3421)/(SUMIF($A:$A,$A3421,$K:$K)+SUMIF($A:$A,$A3421,$L:$L)))/VLOOKUP($A3421,HeadJournal!$A$1:$L$890,COLUMN(HeadJournal!H$1),0),0)</f>
        <v>1.5073450108020425</v>
      </c>
      <c r="P3421" s="30">
        <f>IFERROR(SUM(K3421:O3421)*VLOOKUP($A3421,HeadJournal!$A$1:$L$890,COLUMN(HeadJournal!H$1),0),0)</f>
        <v>2304.010086075948</v>
      </c>
      <c r="Q3421" s="29">
        <v>3600</v>
      </c>
      <c r="R3421" s="31">
        <v>45561</v>
      </c>
      <c r="S3421" s="31" t="s">
        <v>3121</v>
      </c>
      <c r="T3421" s="95" t="str">
        <f t="shared" si="273"/>
        <v>2024 09</v>
      </c>
      <c r="U3421" s="32">
        <f t="shared" si="270"/>
        <v>1295.989913924052</v>
      </c>
      <c r="V3421" s="22">
        <f t="shared" si="271"/>
        <v>0.56249315997192717</v>
      </c>
      <c r="X3421" s="33"/>
      <c r="Y3421" s="33"/>
    </row>
    <row r="3422" spans="1:25" x14ac:dyDescent="0.2">
      <c r="A3422" s="93" t="s">
        <v>1826</v>
      </c>
      <c r="B3422" s="94" t="str">
        <f>IFERROR(VLOOKUP($A3422,HeadJournal!$A$1:$NTR$890,COLUMN(HeadJournal!B$1),0),"")</f>
        <v>720000248019</v>
      </c>
      <c r="C3422" s="94" t="str">
        <f>IFERROR(VLOOKUP($A3422,HeadJournal!$A$1:$NTR$890,COLUMN(HeadJournal!C$1),0),"")</f>
        <v>iHerb_VP DFD1605</v>
      </c>
      <c r="D3422" s="125" t="str">
        <f>IFERROR(VLOOKUP($A3422,HeadJournal!$A$1:$NTR$890,COLUMN(HeadJournal!D$1),0),"")</f>
        <v>Доставлен</v>
      </c>
      <c r="E3422" s="95">
        <f>IFERROR(VLOOKUP($A3422,HeadJournal!$A$1:$NTR$890,COLUMN(HeadJournal!G$1),0),"")</f>
        <v>45439</v>
      </c>
      <c r="F3422" s="95" t="str">
        <f t="shared" si="272"/>
        <v>2024 05</v>
      </c>
      <c r="G3422" s="96" t="s">
        <v>5</v>
      </c>
      <c r="H3422" s="161" t="s">
        <v>2189</v>
      </c>
      <c r="I3422" s="97" t="s">
        <v>2005</v>
      </c>
      <c r="J3422" s="97" t="s">
        <v>4154</v>
      </c>
      <c r="K3422" s="29">
        <v>28.99</v>
      </c>
      <c r="L3422" s="29">
        <v>-6.9580000000000002</v>
      </c>
      <c r="M3422" s="30">
        <f>IFERROR(VLOOKUP($A3422,HeadJournal!$A$1:$J$890,COLUMN(HeadJournal!I$1),0)*($K3422+$L3422)/(SUMIF($A:$A,$A3422,$K:$K)+SUMIF($A:$A,$A3422,$L:$L)),0)</f>
        <v>-1.1713215189873414</v>
      </c>
      <c r="N3422" s="30">
        <f>IFERROR((VLOOKUP($A3422,HeadJournal!$A$1:$K$890,COLUMN(HeadJournal!K$1),0)-VLOOKUP($A3422,HeadJournal!$A$1:$K$890,COLUMN(HeadJournal!J$1),0))*($K3422+$L3422)/(SUMIF($A:$A,$A3422,$K:$K)+SUMIF($A:$A,$A3422,$L:$L)),0)</f>
        <v>-3.5228528954748855E-15</v>
      </c>
      <c r="O3422" s="30">
        <f>IFERROR((VLOOKUP($A3422,HeadJournal!$A$1:$L$890,COLUMN(HeadJournal!L$1),0)*($K3422+$L3422)/(SUMIF($A:$A,$A3422,$K:$K)+SUMIF($A:$A,$A3422,$L:$L)))/VLOOKUP($A3422,HeadJournal!$A$1:$L$890,COLUMN(HeadJournal!H$1),0),0)</f>
        <v>1.5073450108020425</v>
      </c>
      <c r="P3422" s="30">
        <f>IFERROR(SUM(K3422:O3422)*VLOOKUP($A3422,HeadJournal!$A$1:$L$890,COLUMN(HeadJournal!H$1),0),0)</f>
        <v>2304.010086075948</v>
      </c>
      <c r="Q3422" s="29">
        <v>3600</v>
      </c>
      <c r="R3422" s="31">
        <v>45564</v>
      </c>
      <c r="S3422" s="31" t="s">
        <v>3121</v>
      </c>
      <c r="T3422" s="95" t="str">
        <f t="shared" si="273"/>
        <v>2024 09</v>
      </c>
      <c r="U3422" s="32">
        <f t="shared" si="270"/>
        <v>1295.989913924052</v>
      </c>
      <c r="V3422" s="22">
        <f t="shared" si="271"/>
        <v>0.56249315997192717</v>
      </c>
      <c r="X3422" s="33"/>
      <c r="Y3422" s="33"/>
    </row>
    <row r="3423" spans="1:25" x14ac:dyDescent="0.2">
      <c r="A3423" s="93" t="s">
        <v>1826</v>
      </c>
      <c r="B3423" s="94" t="str">
        <f>IFERROR(VLOOKUP($A3423,HeadJournal!$A$1:$NTR$890,COLUMN(HeadJournal!B$1),0),"")</f>
        <v>720000248019</v>
      </c>
      <c r="C3423" s="94" t="str">
        <f>IFERROR(VLOOKUP($A3423,HeadJournal!$A$1:$NTR$890,COLUMN(HeadJournal!C$1),0),"")</f>
        <v>iHerb_VP DFD1605</v>
      </c>
      <c r="D3423" s="125" t="str">
        <f>IFERROR(VLOOKUP($A3423,HeadJournal!$A$1:$NTR$890,COLUMN(HeadJournal!D$1),0),"")</f>
        <v>Доставлен</v>
      </c>
      <c r="E3423" s="95">
        <f>IFERROR(VLOOKUP($A3423,HeadJournal!$A$1:$NTR$890,COLUMN(HeadJournal!G$1),0),"")</f>
        <v>45439</v>
      </c>
      <c r="F3423" s="95" t="str">
        <f t="shared" si="272"/>
        <v>2024 05</v>
      </c>
      <c r="G3423" s="96" t="s">
        <v>5</v>
      </c>
      <c r="H3423" s="161" t="s">
        <v>2189</v>
      </c>
      <c r="I3423" s="97" t="s">
        <v>2005</v>
      </c>
      <c r="J3423" s="97" t="s">
        <v>4154</v>
      </c>
      <c r="K3423" s="29">
        <v>28.99</v>
      </c>
      <c r="L3423" s="29">
        <v>-6.9580000000000002</v>
      </c>
      <c r="M3423" s="30">
        <f>IFERROR(VLOOKUP($A3423,HeadJournal!$A$1:$J$890,COLUMN(HeadJournal!I$1),0)*($K3423+$L3423)/(SUMIF($A:$A,$A3423,$K:$K)+SUMIF($A:$A,$A3423,$L:$L)),0)</f>
        <v>-1.1713215189873414</v>
      </c>
      <c r="N3423" s="30">
        <f>IFERROR((VLOOKUP($A3423,HeadJournal!$A$1:$K$890,COLUMN(HeadJournal!K$1),0)-VLOOKUP($A3423,HeadJournal!$A$1:$K$890,COLUMN(HeadJournal!J$1),0))*($K3423+$L3423)/(SUMIF($A:$A,$A3423,$K:$K)+SUMIF($A:$A,$A3423,$L:$L)),0)</f>
        <v>-3.5228528954748855E-15</v>
      </c>
      <c r="O3423" s="30">
        <f>IFERROR((VLOOKUP($A3423,HeadJournal!$A$1:$L$890,COLUMN(HeadJournal!L$1),0)*($K3423+$L3423)/(SUMIF($A:$A,$A3423,$K:$K)+SUMIF($A:$A,$A3423,$L:$L)))/VLOOKUP($A3423,HeadJournal!$A$1:$L$890,COLUMN(HeadJournal!H$1),0),0)</f>
        <v>1.5073450108020425</v>
      </c>
      <c r="P3423" s="30">
        <f>IFERROR(SUM(K3423:O3423)*VLOOKUP($A3423,HeadJournal!$A$1:$L$890,COLUMN(HeadJournal!H$1),0),0)</f>
        <v>2304.010086075948</v>
      </c>
      <c r="Q3423" s="29">
        <v>3600</v>
      </c>
      <c r="R3423" s="31">
        <v>45597</v>
      </c>
      <c r="S3423" s="31" t="s">
        <v>3121</v>
      </c>
      <c r="T3423" s="95" t="str">
        <f t="shared" si="273"/>
        <v>2024 11</v>
      </c>
      <c r="U3423" s="32">
        <f t="shared" si="270"/>
        <v>1295.989913924052</v>
      </c>
      <c r="V3423" s="22">
        <f t="shared" si="271"/>
        <v>0.56249315997192717</v>
      </c>
      <c r="X3423" s="33"/>
      <c r="Y3423" s="33"/>
    </row>
    <row r="3424" spans="1:25" x14ac:dyDescent="0.2">
      <c r="A3424" s="93" t="s">
        <v>1826</v>
      </c>
      <c r="B3424" s="94" t="str">
        <f>IFERROR(VLOOKUP($A3424,HeadJournal!$A$1:$NTR$890,COLUMN(HeadJournal!B$1),0),"")</f>
        <v>720000248019</v>
      </c>
      <c r="C3424" s="94" t="str">
        <f>IFERROR(VLOOKUP($A3424,HeadJournal!$A$1:$NTR$890,COLUMN(HeadJournal!C$1),0),"")</f>
        <v>iHerb_VP DFD1605</v>
      </c>
      <c r="D3424" s="125" t="str">
        <f>IFERROR(VLOOKUP($A3424,HeadJournal!$A$1:$NTR$890,COLUMN(HeadJournal!D$1),0),"")</f>
        <v>Доставлен</v>
      </c>
      <c r="E3424" s="95">
        <f>IFERROR(VLOOKUP($A3424,HeadJournal!$A$1:$NTR$890,COLUMN(HeadJournal!G$1),0),"")</f>
        <v>45439</v>
      </c>
      <c r="F3424" s="95" t="str">
        <f t="shared" si="272"/>
        <v>2024 05</v>
      </c>
      <c r="G3424" s="96" t="s">
        <v>5</v>
      </c>
      <c r="H3424" s="175" t="s">
        <v>3648</v>
      </c>
      <c r="I3424" s="176" t="s">
        <v>2042</v>
      </c>
      <c r="J3424" s="97" t="s">
        <v>3697</v>
      </c>
      <c r="K3424" s="29">
        <v>17.489999999999998</v>
      </c>
      <c r="L3424" s="29">
        <v>-3.5</v>
      </c>
      <c r="M3424" s="30">
        <f>IFERROR(VLOOKUP($A3424,HeadJournal!$A$1:$J$890,COLUMN(HeadJournal!I$1),0)*($K3424+$L3424)/(SUMIF($A:$A,$A3424,$K:$K)+SUMIF($A:$A,$A3424,$L:$L)),0)</f>
        <v>-0.74377215189873391</v>
      </c>
      <c r="N3424" s="30">
        <f>IFERROR((VLOOKUP($A3424,HeadJournal!$A$1:$K$890,COLUMN(HeadJournal!K$1),0)-VLOOKUP($A3424,HeadJournal!$A$1:$K$890,COLUMN(HeadJournal!J$1),0))*($K3424+$L3424)/(SUMIF($A:$A,$A3424,$K:$K)+SUMIF($A:$A,$A3424,$L:$L)),0)</f>
        <v>-2.2369604215547229E-15</v>
      </c>
      <c r="O3424" s="30">
        <f>IFERROR((VLOOKUP($A3424,HeadJournal!$A$1:$L$890,COLUMN(HeadJournal!L$1),0)*($K3424+$L3424)/(SUMIF($A:$A,$A3424,$K:$K)+SUMIF($A:$A,$A3424,$L:$L)))/VLOOKUP($A3424,HeadJournal!$A$1:$L$890,COLUMN(HeadJournal!H$1),0),0)</f>
        <v>0.95714218868557432</v>
      </c>
      <c r="P3424" s="30">
        <f>IFERROR(SUM(K3424:O3424)*VLOOKUP($A3424,HeadJournal!$A$1:$L$890,COLUMN(HeadJournal!H$1),0),0)</f>
        <v>1463.0129404594463</v>
      </c>
      <c r="Q3424" s="29">
        <v>2400</v>
      </c>
      <c r="R3424" s="31">
        <v>45758</v>
      </c>
      <c r="S3424" s="31" t="s">
        <v>3121</v>
      </c>
      <c r="T3424" s="95" t="str">
        <f t="shared" si="273"/>
        <v>2025 04</v>
      </c>
      <c r="U3424" s="32">
        <f t="shared" si="270"/>
        <v>936.98705954055367</v>
      </c>
      <c r="V3424" s="22">
        <f t="shared" si="271"/>
        <v>0.64045028832506512</v>
      </c>
      <c r="X3424" s="33"/>
      <c r="Y3424" s="33"/>
    </row>
    <row r="3425" spans="1:25" x14ac:dyDescent="0.2">
      <c r="A3425" s="93" t="s">
        <v>1826</v>
      </c>
      <c r="B3425" s="94" t="str">
        <f>IFERROR(VLOOKUP($A3425,HeadJournal!$A$1:$NTR$890,COLUMN(HeadJournal!B$1),0),"")</f>
        <v>720000248019</v>
      </c>
      <c r="C3425" s="94" t="str">
        <f>IFERROR(VLOOKUP($A3425,HeadJournal!$A$1:$NTR$890,COLUMN(HeadJournal!C$1),0),"")</f>
        <v>iHerb_VP DFD1605</v>
      </c>
      <c r="D3425" s="125" t="str">
        <f>IFERROR(VLOOKUP($A3425,HeadJournal!$A$1:$NTR$890,COLUMN(HeadJournal!D$1),0),"")</f>
        <v>Доставлен</v>
      </c>
      <c r="E3425" s="95">
        <f>IFERROR(VLOOKUP($A3425,HeadJournal!$A$1:$NTR$890,COLUMN(HeadJournal!G$1),0),"")</f>
        <v>45439</v>
      </c>
      <c r="F3425" s="95" t="str">
        <f t="shared" si="272"/>
        <v>2024 05</v>
      </c>
      <c r="G3425" s="96" t="s">
        <v>5</v>
      </c>
      <c r="H3425" s="160" t="str">
        <f>RIGHT(Journal!$J3425,9)</f>
        <v>SRE-01349</v>
      </c>
      <c r="I3425" s="127" t="str">
        <f t="shared" si="269"/>
        <v>Sports Research</v>
      </c>
      <c r="J3425" s="97" t="s">
        <v>1828</v>
      </c>
      <c r="K3425" s="29">
        <v>21.96</v>
      </c>
      <c r="L3425" s="29">
        <v>-13.97</v>
      </c>
      <c r="M3425" s="30">
        <f>IFERROR(VLOOKUP($A3425,HeadJournal!$A$1:$J$890,COLUMN(HeadJournal!I$1),0)*($K3425+$L3425)/(SUMIF($A:$A,$A3425,$K:$K)+SUMIF($A:$A,$A3425,$L:$L)),0)</f>
        <v>-0.4247848101265822</v>
      </c>
      <c r="N3425" s="30">
        <f>IFERROR((VLOOKUP($A3425,HeadJournal!$A$1:$K$890,COLUMN(HeadJournal!K$1),0)-VLOOKUP($A3425,HeadJournal!$A$1:$K$890,COLUMN(HeadJournal!J$1),0))*($K3425+$L3425)/(SUMIF($A:$A,$A3425,$K:$K)+SUMIF($A:$A,$A3425,$L:$L)),0)</f>
        <v>-1.2775778247478368E-15</v>
      </c>
      <c r="O3425" s="30">
        <f>IFERROR((VLOOKUP($A3425,HeadJournal!$A$1:$L$890,COLUMN(HeadJournal!L$1),0)*($K3425+$L3425)/(SUMIF($A:$A,$A3425,$K:$K)+SUMIF($A:$A,$A3425,$L:$L)))/VLOOKUP($A3425,HeadJournal!$A$1:$L$890,COLUMN(HeadJournal!H$1),0),0)</f>
        <v>0.54664518138654328</v>
      </c>
      <c r="P3425" s="30">
        <f>IFERROR(SUM(K3425:O3425)*VLOOKUP($A3425,HeadJournal!$A$1:$L$890,COLUMN(HeadJournal!H$1),0),0)</f>
        <v>835.55921331458012</v>
      </c>
      <c r="Q3425" s="29">
        <v>835.56</v>
      </c>
      <c r="R3425" s="31"/>
      <c r="S3425" s="31"/>
      <c r="T3425" s="95" t="str">
        <f t="shared" si="273"/>
        <v/>
      </c>
      <c r="U3425" s="32">
        <f t="shared" si="270"/>
        <v>7.8668541982551687E-4</v>
      </c>
      <c r="V3425" s="22">
        <f t="shared" si="271"/>
        <v>9.415076840632446E-7</v>
      </c>
      <c r="X3425" s="33"/>
      <c r="Y3425" s="33"/>
    </row>
    <row r="3426" spans="1:25" x14ac:dyDescent="0.2">
      <c r="A3426" s="93" t="s">
        <v>1831</v>
      </c>
      <c r="B3426" s="94" t="str">
        <f>IFERROR(VLOOKUP($A3426,HeadJournal!$A$1:$NTR$890,COLUMN(HeadJournal!B$1),0),"")</f>
        <v>720000242369</v>
      </c>
      <c r="C3426" s="94" t="str">
        <f>IFERROR(VLOOKUP($A3426,HeadJournal!$A$1:$NTR$890,COLUMN(HeadJournal!C$1),0),"")</f>
        <v>iHerb_MH DLE7202</v>
      </c>
      <c r="D3426" s="125" t="str">
        <f>IFERROR(VLOOKUP($A3426,HeadJournal!$A$1:$NTR$890,COLUMN(HeadJournal!D$1),0),"")</f>
        <v>Доставлен</v>
      </c>
      <c r="E3426" s="95">
        <f>IFERROR(VLOOKUP($A3426,HeadJournal!$A$1:$NTR$890,COLUMN(HeadJournal!G$1),0),"")</f>
        <v>45433</v>
      </c>
      <c r="F3426" s="95" t="str">
        <f t="shared" si="272"/>
        <v>2024 05</v>
      </c>
      <c r="G3426" s="96" t="s">
        <v>5</v>
      </c>
      <c r="H3426" s="160" t="str">
        <f>RIGHT(Journal!$J3426,9)</f>
        <v>SMS-55697</v>
      </c>
      <c r="I3426" s="127" t="str">
        <f t="shared" si="269"/>
        <v>The Smurfs</v>
      </c>
      <c r="J3426" s="97" t="s">
        <v>602</v>
      </c>
      <c r="K3426" s="29">
        <v>12.6</v>
      </c>
      <c r="L3426" s="29">
        <v>-2.52</v>
      </c>
      <c r="M3426" s="30">
        <f>IFERROR(VLOOKUP($A3426,HeadJournal!$A$1:$J$890,COLUMN(HeadJournal!I$1),0)*($K3426+$L3426)/(SUMIF($A:$A,$A3426,$K:$K)+SUMIF($A:$A,$A3426,$L:$L)),0)</f>
        <v>-0.44237577803565786</v>
      </c>
      <c r="N3426" s="30">
        <f>IFERROR((VLOOKUP($A3426,HeadJournal!$A$1:$K$890,COLUMN(HeadJournal!K$1),0)-VLOOKUP($A3426,HeadJournal!$A$1:$K$890,COLUMN(HeadJournal!J$1),0))*($K3426+$L3426)/(SUMIF($A:$A,$A3426,$K:$K)+SUMIF($A:$A,$A3426,$L:$L)),0)</f>
        <v>1.5111869978820153E-15</v>
      </c>
      <c r="O3426" s="30">
        <f>IFERROR((VLOOKUP($A3426,HeadJournal!$A$1:$L$890,COLUMN(HeadJournal!L$1),0)*($K3426+$L3426)/(SUMIF($A:$A,$A3426,$K:$K)+SUMIF($A:$A,$A3426,$L:$L)))/VLOOKUP($A3426,HeadJournal!$A$1:$L$890,COLUMN(HeadJournal!H$1),0),0)</f>
        <v>0.64037274568803026</v>
      </c>
      <c r="P3426" s="30">
        <f>IFERROR(SUM(K3426:O3426)*VLOOKUP($A3426,HeadJournal!$A$1:$L$890,COLUMN(HeadJournal!H$1),0),0)</f>
        <v>1068.9780272180612</v>
      </c>
      <c r="Q3426" s="29">
        <v>1800</v>
      </c>
      <c r="R3426" s="31">
        <v>45496</v>
      </c>
      <c r="S3426" s="31" t="s">
        <v>3121</v>
      </c>
      <c r="T3426" s="95" t="str">
        <f t="shared" si="273"/>
        <v>2024 07</v>
      </c>
      <c r="U3426" s="32">
        <f t="shared" si="270"/>
        <v>731.02197278193876</v>
      </c>
      <c r="V3426" s="22">
        <f t="shared" si="271"/>
        <v>0.68385126183030265</v>
      </c>
      <c r="X3426" s="33"/>
      <c r="Y3426" s="33"/>
    </row>
    <row r="3427" spans="1:25" x14ac:dyDescent="0.2">
      <c r="A3427" s="93" t="s">
        <v>1831</v>
      </c>
      <c r="B3427" s="94" t="str">
        <f>IFERROR(VLOOKUP($A3427,HeadJournal!$A$1:$NTR$890,COLUMN(HeadJournal!B$1),0),"")</f>
        <v>720000242369</v>
      </c>
      <c r="C3427" s="94" t="str">
        <f>IFERROR(VLOOKUP($A3427,HeadJournal!$A$1:$NTR$890,COLUMN(HeadJournal!C$1),0),"")</f>
        <v>iHerb_MH DLE7202</v>
      </c>
      <c r="D3427" s="125" t="str">
        <f>IFERROR(VLOOKUP($A3427,HeadJournal!$A$1:$NTR$890,COLUMN(HeadJournal!D$1),0),"")</f>
        <v>Доставлен</v>
      </c>
      <c r="E3427" s="95">
        <f>IFERROR(VLOOKUP($A3427,HeadJournal!$A$1:$NTR$890,COLUMN(HeadJournal!G$1),0),"")</f>
        <v>45433</v>
      </c>
      <c r="F3427" s="95" t="str">
        <f t="shared" si="272"/>
        <v>2024 05</v>
      </c>
      <c r="G3427" s="96" t="s">
        <v>5</v>
      </c>
      <c r="H3427" s="161" t="s">
        <v>3992</v>
      </c>
      <c r="I3427" s="97" t="s">
        <v>2666</v>
      </c>
      <c r="J3427" s="97" t="s">
        <v>3993</v>
      </c>
      <c r="K3427" s="29">
        <v>27.54</v>
      </c>
      <c r="L3427" s="29">
        <v>-5.51</v>
      </c>
      <c r="M3427" s="30">
        <f>IFERROR(VLOOKUP($A3427,HeadJournal!$A$1:$J$890,COLUMN(HeadJournal!I$1),0)*($K3427+$L3427)/(SUMIF($A:$A,$A3427,$K:$K)+SUMIF($A:$A,$A3427,$L:$L)),0)</f>
        <v>-0.96681928473467693</v>
      </c>
      <c r="N3427" s="30">
        <f>IFERROR((VLOOKUP($A3427,HeadJournal!$A$1:$K$890,COLUMN(HeadJournal!K$1),0)-VLOOKUP($A3427,HeadJournal!$A$1:$K$890,COLUMN(HeadJournal!J$1),0))*($K3427+$L3427)/(SUMIF($A:$A,$A3427,$K:$K)+SUMIF($A:$A,$A3427,$L:$L)),0)</f>
        <v>3.3027231709663491E-15</v>
      </c>
      <c r="O3427" s="30">
        <f>IFERROR((VLOOKUP($A3427,HeadJournal!$A$1:$L$890,COLUMN(HeadJournal!L$1),0)*($K3427+$L3427)/(SUMIF($A:$A,$A3427,$K:$K)+SUMIF($A:$A,$A3427,$L:$L)))/VLOOKUP($A3427,HeadJournal!$A$1:$L$890,COLUMN(HeadJournal!H$1),0),0)</f>
        <v>1.3995448003479474</v>
      </c>
      <c r="P3427" s="30">
        <f>IFERROR(SUM(K3427:O3427)*VLOOKUP($A3427,HeadJournal!$A$1:$L$890,COLUMN(HeadJournal!H$1),0),0)</f>
        <v>2336.2684463902669</v>
      </c>
      <c r="Q3427" s="29">
        <v>3500</v>
      </c>
      <c r="R3427" s="31">
        <v>45802</v>
      </c>
      <c r="S3427" s="31" t="s">
        <v>3121</v>
      </c>
      <c r="T3427" s="95" t="str">
        <f t="shared" si="273"/>
        <v>2025 05</v>
      </c>
      <c r="U3427" s="32">
        <f t="shared" si="270"/>
        <v>1163.7315536097331</v>
      </c>
      <c r="V3427" s="22">
        <f t="shared" si="271"/>
        <v>0.49811551211411387</v>
      </c>
      <c r="X3427" s="33"/>
      <c r="Y3427" s="33"/>
    </row>
    <row r="3428" spans="1:25" x14ac:dyDescent="0.2">
      <c r="A3428" s="93" t="s">
        <v>1831</v>
      </c>
      <c r="B3428" s="94" t="str">
        <f>IFERROR(VLOOKUP($A3428,HeadJournal!$A$1:$NTR$890,COLUMN(HeadJournal!B$1),0),"")</f>
        <v>720000242369</v>
      </c>
      <c r="C3428" s="94" t="str">
        <f>IFERROR(VLOOKUP($A3428,HeadJournal!$A$1:$NTR$890,COLUMN(HeadJournal!C$1),0),"")</f>
        <v>iHerb_MH DLE7202</v>
      </c>
      <c r="D3428" s="125" t="str">
        <f>IFERROR(VLOOKUP($A3428,HeadJournal!$A$1:$NTR$890,COLUMN(HeadJournal!D$1),0),"")</f>
        <v>Доставлен</v>
      </c>
      <c r="E3428" s="95">
        <f>IFERROR(VLOOKUP($A3428,HeadJournal!$A$1:$NTR$890,COLUMN(HeadJournal!G$1),0),"")</f>
        <v>45433</v>
      </c>
      <c r="F3428" s="95" t="str">
        <f t="shared" si="272"/>
        <v>2024 05</v>
      </c>
      <c r="G3428" s="96" t="s">
        <v>5</v>
      </c>
      <c r="H3428" s="160" t="str">
        <f>RIGHT(Journal!$J3428,9)</f>
        <v>CRO-89110</v>
      </c>
      <c r="I3428" s="127" t="str">
        <f t="shared" si="269"/>
        <v>Christopher's Original Formulas</v>
      </c>
      <c r="J3428" s="97" t="s">
        <v>1833</v>
      </c>
      <c r="K3428" s="29">
        <v>20.55</v>
      </c>
      <c r="L3428" s="29">
        <v>-4.1100000000000003</v>
      </c>
      <c r="M3428" s="30">
        <f>IFERROR(VLOOKUP($A3428,HeadJournal!$A$1:$J$890,COLUMN(HeadJournal!I$1),0)*($K3428+$L3428)/(SUMIF($A:$A,$A3428,$K:$K)+SUMIF($A:$A,$A3428,$L:$L)),0)</f>
        <v>-0.72149382846291832</v>
      </c>
      <c r="N3428" s="30">
        <f>IFERROR((VLOOKUP($A3428,HeadJournal!$A$1:$K$890,COLUMN(HeadJournal!K$1),0)-VLOOKUP($A3428,HeadJournal!$A$1:$K$890,COLUMN(HeadJournal!J$1),0))*($K3428+$L3428)/(SUMIF($A:$A,$A3428,$K:$K)+SUMIF($A:$A,$A3428,$L:$L)),0)</f>
        <v>2.4646740322599539E-15</v>
      </c>
      <c r="O3428" s="30">
        <f>IFERROR((VLOOKUP($A3428,HeadJournal!$A$1:$L$890,COLUMN(HeadJournal!L$1),0)*($K3428+$L3428)/(SUMIF($A:$A,$A3428,$K:$K)+SUMIF($A:$A,$A3428,$L:$L)))/VLOOKUP($A3428,HeadJournal!$A$1:$L$890,COLUMN(HeadJournal!H$1),0),0)</f>
        <v>1.0444174542769065</v>
      </c>
      <c r="P3428" s="30">
        <f>IFERROR(SUM(K3428:O3428)*VLOOKUP($A3428,HeadJournal!$A$1:$L$890,COLUMN(HeadJournal!H$1),0),0)</f>
        <v>1743.4522586770759</v>
      </c>
      <c r="Q3428" s="29">
        <v>2400</v>
      </c>
      <c r="R3428" s="31">
        <v>45553</v>
      </c>
      <c r="S3428" s="31" t="s">
        <v>3121</v>
      </c>
      <c r="T3428" s="95" t="str">
        <f t="shared" si="273"/>
        <v>2024 09</v>
      </c>
      <c r="U3428" s="32">
        <f t="shared" si="270"/>
        <v>656.54774132292414</v>
      </c>
      <c r="V3428" s="22">
        <f t="shared" si="271"/>
        <v>0.3765791337590797</v>
      </c>
      <c r="X3428" s="33"/>
      <c r="Y3428" s="33"/>
    </row>
    <row r="3429" spans="1:25" x14ac:dyDescent="0.2">
      <c r="A3429" s="93" t="s">
        <v>1831</v>
      </c>
      <c r="B3429" s="94" t="str">
        <f>IFERROR(VLOOKUP($A3429,HeadJournal!$A$1:$NTR$890,COLUMN(HeadJournal!B$1),0),"")</f>
        <v>720000242369</v>
      </c>
      <c r="C3429" s="94" t="str">
        <f>IFERROR(VLOOKUP($A3429,HeadJournal!$A$1:$NTR$890,COLUMN(HeadJournal!C$1),0),"")</f>
        <v>iHerb_MH DLE7202</v>
      </c>
      <c r="D3429" s="125" t="str">
        <f>IFERROR(VLOOKUP($A3429,HeadJournal!$A$1:$NTR$890,COLUMN(HeadJournal!D$1),0),"")</f>
        <v>Доставлен</v>
      </c>
      <c r="E3429" s="95">
        <f>IFERROR(VLOOKUP($A3429,HeadJournal!$A$1:$NTR$890,COLUMN(HeadJournal!G$1),0),"")</f>
        <v>45433</v>
      </c>
      <c r="F3429" s="95" t="str">
        <f t="shared" si="272"/>
        <v>2024 05</v>
      </c>
      <c r="G3429" s="96" t="s">
        <v>5</v>
      </c>
      <c r="H3429" s="160" t="str">
        <f>RIGHT(Journal!$J3429,9)</f>
        <v>CRO-49803</v>
      </c>
      <c r="I3429" s="127" t="str">
        <f t="shared" si="269"/>
        <v>Christopher's Original Formulas</v>
      </c>
      <c r="J3429" s="97" t="s">
        <v>1829</v>
      </c>
      <c r="K3429" s="29">
        <v>16.62</v>
      </c>
      <c r="L3429" s="29">
        <v>-3.32</v>
      </c>
      <c r="M3429" s="30">
        <f>IFERROR(VLOOKUP($A3429,HeadJournal!$A$1:$J$890,COLUMN(HeadJournal!I$1),0)*($K3429+$L3429)/(SUMIF($A:$A,$A3429,$K:$K)+SUMIF($A:$A,$A3429,$L:$L)),0)</f>
        <v>-0.58369026268593749</v>
      </c>
      <c r="N3429" s="30">
        <f>IFERROR((VLOOKUP($A3429,HeadJournal!$A$1:$K$890,COLUMN(HeadJournal!K$1),0)-VLOOKUP($A3429,HeadJournal!$A$1:$K$890,COLUMN(HeadJournal!J$1),0))*($K3429+$L3429)/(SUMIF($A:$A,$A3429,$K:$K)+SUMIF($A:$A,$A3429,$L:$L)),0)</f>
        <v>1.9939272888721038E-15</v>
      </c>
      <c r="O3429" s="30">
        <f>IFERROR((VLOOKUP($A3429,HeadJournal!$A$1:$L$890,COLUMN(HeadJournal!L$1),0)*($K3429+$L3429)/(SUMIF($A:$A,$A3429,$K:$K)+SUMIF($A:$A,$A3429,$L:$L)))/VLOOKUP($A3429,HeadJournal!$A$1:$L$890,COLUMN(HeadJournal!H$1),0),0)</f>
        <v>0.84493626167170666</v>
      </c>
      <c r="P3429" s="30">
        <f>IFERROR(SUM(K3429:O3429)*VLOOKUP($A3429,HeadJournal!$A$1:$L$890,COLUMN(HeadJournal!H$1),0),0)</f>
        <v>1410.457119246053</v>
      </c>
      <c r="Q3429" s="29"/>
      <c r="R3429" s="31"/>
      <c r="S3429" s="31"/>
      <c r="T3429" s="95" t="str">
        <f t="shared" si="273"/>
        <v/>
      </c>
      <c r="U3429" s="32">
        <f t="shared" si="270"/>
        <v>-1410.457119246053</v>
      </c>
      <c r="V3429" s="22" t="str">
        <f t="shared" si="271"/>
        <v/>
      </c>
      <c r="X3429" s="33"/>
      <c r="Y3429" s="33"/>
    </row>
    <row r="3430" spans="1:25" x14ac:dyDescent="0.2">
      <c r="A3430" s="93" t="s">
        <v>1831</v>
      </c>
      <c r="B3430" s="94" t="str">
        <f>IFERROR(VLOOKUP($A3430,HeadJournal!$A$1:$NTR$890,COLUMN(HeadJournal!B$1),0),"")</f>
        <v>720000242369</v>
      </c>
      <c r="C3430" s="94" t="str">
        <f>IFERROR(VLOOKUP($A3430,HeadJournal!$A$1:$NTR$890,COLUMN(HeadJournal!C$1),0),"")</f>
        <v>iHerb_MH DLE7202</v>
      </c>
      <c r="D3430" s="125" t="str">
        <f>IFERROR(VLOOKUP($A3430,HeadJournal!$A$1:$NTR$890,COLUMN(HeadJournal!D$1),0),"")</f>
        <v>Доставлен</v>
      </c>
      <c r="E3430" s="95">
        <f>IFERROR(VLOOKUP($A3430,HeadJournal!$A$1:$NTR$890,COLUMN(HeadJournal!G$1),0),"")</f>
        <v>45433</v>
      </c>
      <c r="F3430" s="95" t="str">
        <f t="shared" si="272"/>
        <v>2024 05</v>
      </c>
      <c r="G3430" s="96" t="s">
        <v>5</v>
      </c>
      <c r="H3430" s="160" t="str">
        <f>RIGHT(Journal!$J3430,9)</f>
        <v>CRO-89101</v>
      </c>
      <c r="I3430" s="127" t="str">
        <f t="shared" si="269"/>
        <v>Christopher's Original Formulas</v>
      </c>
      <c r="J3430" s="97" t="s">
        <v>1834</v>
      </c>
      <c r="K3430" s="29">
        <v>21.04</v>
      </c>
      <c r="L3430" s="29">
        <v>-4.21</v>
      </c>
      <c r="M3430" s="30">
        <f>IFERROR(VLOOKUP($A3430,HeadJournal!$A$1:$J$890,COLUMN(HeadJournal!I$1),0)*($K3430+$L3430)/(SUMIF($A:$A,$A3430,$K:$K)+SUMIF($A:$A,$A3430,$L:$L)),0)</f>
        <v>-0.73860955797025019</v>
      </c>
      <c r="N3430" s="30">
        <f>IFERROR((VLOOKUP($A3430,HeadJournal!$A$1:$K$890,COLUMN(HeadJournal!K$1),0)-VLOOKUP($A3430,HeadJournal!$A$1:$K$890,COLUMN(HeadJournal!J$1),0))*($K3430+$L3430)/(SUMIF($A:$A,$A3430,$K:$K)+SUMIF($A:$A,$A3430,$L:$L)),0)</f>
        <v>2.5231425768208647E-15</v>
      </c>
      <c r="O3430" s="30">
        <f>IFERROR((VLOOKUP($A3430,HeadJournal!$A$1:$L$890,COLUMN(HeadJournal!L$1),0)*($K3430+$L3430)/(SUMIF($A:$A,$A3430,$K:$K)+SUMIF($A:$A,$A3430,$L:$L)))/VLOOKUP($A3430,HeadJournal!$A$1:$L$890,COLUMN(HeadJournal!H$1),0),0)</f>
        <v>1.0691937807469791</v>
      </c>
      <c r="P3430" s="30">
        <f>IFERROR(SUM(K3430:O3430)*VLOOKUP($A3430,HeadJournal!$A$1:$L$890,COLUMN(HeadJournal!H$1),0),0)</f>
        <v>1784.8115275872985</v>
      </c>
      <c r="Q3430" s="29">
        <v>2600</v>
      </c>
      <c r="R3430" s="31">
        <v>45525</v>
      </c>
      <c r="S3430" s="31" t="s">
        <v>3121</v>
      </c>
      <c r="T3430" s="95" t="str">
        <f t="shared" si="273"/>
        <v>2024 08</v>
      </c>
      <c r="U3430" s="32">
        <f t="shared" si="270"/>
        <v>815.18847241270146</v>
      </c>
      <c r="V3430" s="22">
        <f t="shared" si="271"/>
        <v>0.4567364451722643</v>
      </c>
      <c r="X3430" s="33"/>
      <c r="Y3430" s="33"/>
    </row>
    <row r="3431" spans="1:25" x14ac:dyDescent="0.2">
      <c r="A3431" s="93" t="s">
        <v>1831</v>
      </c>
      <c r="B3431" s="94" t="str">
        <f>IFERROR(VLOOKUP($A3431,HeadJournal!$A$1:$NTR$890,COLUMN(HeadJournal!B$1),0),"")</f>
        <v>720000242369</v>
      </c>
      <c r="C3431" s="94" t="str">
        <f>IFERROR(VLOOKUP($A3431,HeadJournal!$A$1:$NTR$890,COLUMN(HeadJournal!C$1),0),"")</f>
        <v>iHerb_MH DLE7202</v>
      </c>
      <c r="D3431" s="125" t="str">
        <f>IFERROR(VLOOKUP($A3431,HeadJournal!$A$1:$NTR$890,COLUMN(HeadJournal!D$1),0),"")</f>
        <v>Доставлен</v>
      </c>
      <c r="E3431" s="95">
        <f>IFERROR(VLOOKUP($A3431,HeadJournal!$A$1:$NTR$890,COLUMN(HeadJournal!G$1),0),"")</f>
        <v>45433</v>
      </c>
      <c r="F3431" s="95" t="str">
        <f t="shared" si="272"/>
        <v>2024 05</v>
      </c>
      <c r="G3431" s="96" t="s">
        <v>5</v>
      </c>
      <c r="H3431" s="160" t="str">
        <f>RIGHT(Journal!$J3431,9)</f>
        <v>CRO-89145</v>
      </c>
      <c r="I3431" s="127" t="str">
        <f t="shared" si="269"/>
        <v>Christopher's Original Formulas</v>
      </c>
      <c r="J3431" s="97" t="s">
        <v>1835</v>
      </c>
      <c r="K3431" s="29">
        <v>20.38</v>
      </c>
      <c r="L3431" s="29">
        <v>-4.08</v>
      </c>
      <c r="M3431" s="30">
        <f>IFERROR(VLOOKUP($A3431,HeadJournal!$A$1:$J$890,COLUMN(HeadJournal!I$1),0)*($K3431+$L3431)/(SUMIF($A:$A,$A3431,$K:$K)+SUMIF($A:$A,$A3431,$L:$L)),0)</f>
        <v>-0.71534972043464506</v>
      </c>
      <c r="N3431" s="30">
        <f>IFERROR((VLOOKUP($A3431,HeadJournal!$A$1:$K$890,COLUMN(HeadJournal!K$1),0)-VLOOKUP($A3431,HeadJournal!$A$1:$K$890,COLUMN(HeadJournal!J$1),0))*($K3431+$L3431)/(SUMIF($A:$A,$A3431,$K:$K)+SUMIF($A:$A,$A3431,$L:$L)),0)</f>
        <v>2.4436853239560362E-15</v>
      </c>
      <c r="O3431" s="30">
        <f>IFERROR((VLOOKUP($A3431,HeadJournal!$A$1:$L$890,COLUMN(HeadJournal!L$1),0)*($K3431+$L3431)/(SUMIF($A:$A,$A3431,$K:$K)+SUMIF($A:$A,$A3431,$L:$L)))/VLOOKUP($A3431,HeadJournal!$A$1:$L$890,COLUMN(HeadJournal!H$1),0),0)</f>
        <v>1.0355233883645725</v>
      </c>
      <c r="P3431" s="30">
        <f>IFERROR(SUM(K3431:O3431)*VLOOKUP($A3431,HeadJournal!$A$1:$L$890,COLUMN(HeadJournal!H$1),0),0)</f>
        <v>1728.6053416323803</v>
      </c>
      <c r="Q3431" s="29">
        <v>2300</v>
      </c>
      <c r="R3431" s="31">
        <v>45545</v>
      </c>
      <c r="S3431" s="31" t="s">
        <v>3121</v>
      </c>
      <c r="T3431" s="95" t="str">
        <f t="shared" si="273"/>
        <v>2024 09</v>
      </c>
      <c r="U3431" s="32">
        <f t="shared" si="270"/>
        <v>571.39465836761974</v>
      </c>
      <c r="V3431" s="22">
        <f t="shared" si="271"/>
        <v>0.33055240812112296</v>
      </c>
      <c r="X3431" s="33"/>
      <c r="Y3431" s="33"/>
    </row>
    <row r="3432" spans="1:25" x14ac:dyDescent="0.2">
      <c r="A3432" s="93" t="s">
        <v>1831</v>
      </c>
      <c r="B3432" s="94" t="str">
        <f>IFERROR(VLOOKUP($A3432,HeadJournal!$A$1:$NTR$890,COLUMN(HeadJournal!B$1),0),"")</f>
        <v>720000242369</v>
      </c>
      <c r="C3432" s="94" t="str">
        <f>IFERROR(VLOOKUP($A3432,HeadJournal!$A$1:$NTR$890,COLUMN(HeadJournal!C$1),0),"")</f>
        <v>iHerb_MH DLE7202</v>
      </c>
      <c r="D3432" s="125" t="str">
        <f>IFERROR(VLOOKUP($A3432,HeadJournal!$A$1:$NTR$890,COLUMN(HeadJournal!D$1),0),"")</f>
        <v>Доставлен</v>
      </c>
      <c r="E3432" s="95">
        <f>IFERROR(VLOOKUP($A3432,HeadJournal!$A$1:$NTR$890,COLUMN(HeadJournal!G$1),0),"")</f>
        <v>45433</v>
      </c>
      <c r="F3432" s="95" t="str">
        <f t="shared" si="272"/>
        <v>2024 05</v>
      </c>
      <c r="G3432" s="96" t="s">
        <v>5</v>
      </c>
      <c r="H3432" s="175" t="s">
        <v>3647</v>
      </c>
      <c r="I3432" s="176" t="s">
        <v>2042</v>
      </c>
      <c r="J3432" s="97" t="s">
        <v>3696</v>
      </c>
      <c r="K3432" s="29">
        <v>17.489999999999998</v>
      </c>
      <c r="L3432" s="29">
        <v>-3.4966666666666666</v>
      </c>
      <c r="M3432" s="30">
        <f>IFERROR(VLOOKUP($A3432,HeadJournal!$A$1:$J$890,COLUMN(HeadJournal!I$1),0)*($K3432+$L3432)/(SUMIF($A:$A,$A3432,$K:$K)+SUMIF($A:$A,$A3432,$L:$L)),0)</f>
        <v>-0.61411822625452772</v>
      </c>
      <c r="N3432" s="30">
        <f>IFERROR((VLOOKUP($A3432,HeadJournal!$A$1:$K$890,COLUMN(HeadJournal!K$1),0)-VLOOKUP($A3432,HeadJournal!$A$1:$K$890,COLUMN(HeadJournal!J$1),0))*($K3432+$L3432)/(SUMIF($A:$A,$A3432,$K:$K)+SUMIF($A:$A,$A3432,$L:$L)),0)</f>
        <v>2.0978713680915014E-15</v>
      </c>
      <c r="O3432" s="30">
        <f>IFERROR((VLOOKUP($A3432,HeadJournal!$A$1:$L$890,COLUMN(HeadJournal!L$1),0)*($K3432+$L3432)/(SUMIF($A:$A,$A3432,$K:$K)+SUMIF($A:$A,$A3432,$L:$L)))/VLOOKUP($A3432,HeadJournal!$A$1:$L$890,COLUMN(HeadJournal!H$1),0),0)</f>
        <v>0.88898306428516882</v>
      </c>
      <c r="P3432" s="30">
        <f>IFERROR(SUM(K3432:O3432)*VLOOKUP($A3432,HeadJournal!$A$1:$L$890,COLUMN(HeadJournal!H$1),0),0)</f>
        <v>1483.984708419782</v>
      </c>
      <c r="Q3432" s="29">
        <v>2500</v>
      </c>
      <c r="R3432" s="31">
        <v>45780</v>
      </c>
      <c r="S3432" s="31" t="s">
        <v>3121</v>
      </c>
      <c r="T3432" s="95" t="str">
        <f t="shared" si="273"/>
        <v>2025 05</v>
      </c>
      <c r="U3432" s="32">
        <f t="shared" si="270"/>
        <v>1016.015291580218</v>
      </c>
      <c r="V3432" s="22">
        <f t="shared" si="271"/>
        <v>0.68465347777209895</v>
      </c>
      <c r="X3432" s="33"/>
      <c r="Y3432" s="33"/>
    </row>
    <row r="3433" spans="1:25" x14ac:dyDescent="0.2">
      <c r="A3433" s="93" t="s">
        <v>1831</v>
      </c>
      <c r="B3433" s="94" t="str">
        <f>IFERROR(VLOOKUP($A3433,HeadJournal!$A$1:$NTR$890,COLUMN(HeadJournal!B$1),0),"")</f>
        <v>720000242369</v>
      </c>
      <c r="C3433" s="94" t="str">
        <f>IFERROR(VLOOKUP($A3433,HeadJournal!$A$1:$NTR$890,COLUMN(HeadJournal!C$1),0),"")</f>
        <v>iHerb_MH DLE7202</v>
      </c>
      <c r="D3433" s="125" t="str">
        <f>IFERROR(VLOOKUP($A3433,HeadJournal!$A$1:$NTR$890,COLUMN(HeadJournal!D$1),0),"")</f>
        <v>Доставлен</v>
      </c>
      <c r="E3433" s="95">
        <f>IFERROR(VLOOKUP($A3433,HeadJournal!$A$1:$NTR$890,COLUMN(HeadJournal!G$1),0),"")</f>
        <v>45433</v>
      </c>
      <c r="F3433" s="95" t="str">
        <f t="shared" si="272"/>
        <v>2024 05</v>
      </c>
      <c r="G3433" s="96" t="s">
        <v>5</v>
      </c>
      <c r="H3433" s="175" t="s">
        <v>3647</v>
      </c>
      <c r="I3433" s="176" t="s">
        <v>2042</v>
      </c>
      <c r="J3433" s="97" t="s">
        <v>3696</v>
      </c>
      <c r="K3433" s="29">
        <v>17.489999999999998</v>
      </c>
      <c r="L3433" s="29">
        <v>-3.4966666666666666</v>
      </c>
      <c r="M3433" s="30">
        <f>IFERROR(VLOOKUP($A3433,HeadJournal!$A$1:$J$890,COLUMN(HeadJournal!I$1),0)*($K3433+$L3433)/(SUMIF($A:$A,$A3433,$K:$K)+SUMIF($A:$A,$A3433,$L:$L)),0)</f>
        <v>-0.61411822625452772</v>
      </c>
      <c r="N3433" s="30">
        <f>IFERROR((VLOOKUP($A3433,HeadJournal!$A$1:$K$890,COLUMN(HeadJournal!K$1),0)-VLOOKUP($A3433,HeadJournal!$A$1:$K$890,COLUMN(HeadJournal!J$1),0))*($K3433+$L3433)/(SUMIF($A:$A,$A3433,$K:$K)+SUMIF($A:$A,$A3433,$L:$L)),0)</f>
        <v>2.0978713680915014E-15</v>
      </c>
      <c r="O3433" s="30">
        <f>IFERROR((VLOOKUP($A3433,HeadJournal!$A$1:$L$890,COLUMN(HeadJournal!L$1),0)*($K3433+$L3433)/(SUMIF($A:$A,$A3433,$K:$K)+SUMIF($A:$A,$A3433,$L:$L)))/VLOOKUP($A3433,HeadJournal!$A$1:$L$890,COLUMN(HeadJournal!H$1),0),0)</f>
        <v>0.88898306428516882</v>
      </c>
      <c r="P3433" s="30">
        <f>IFERROR(SUM(K3433:O3433)*VLOOKUP($A3433,HeadJournal!$A$1:$L$890,COLUMN(HeadJournal!H$1),0),0)</f>
        <v>1483.984708419782</v>
      </c>
      <c r="Q3433" s="29">
        <v>2400</v>
      </c>
      <c r="R3433" s="31">
        <v>45882</v>
      </c>
      <c r="S3433" s="31" t="s">
        <v>3509</v>
      </c>
      <c r="T3433" s="95" t="str">
        <f t="shared" si="273"/>
        <v>2025 08</v>
      </c>
      <c r="U3433" s="32">
        <f t="shared" si="270"/>
        <v>916.01529158021799</v>
      </c>
      <c r="V3433" s="22">
        <f t="shared" si="271"/>
        <v>0.61726733866121497</v>
      </c>
      <c r="X3433" s="33"/>
      <c r="Y3433" s="33"/>
    </row>
    <row r="3434" spans="1:25" x14ac:dyDescent="0.2">
      <c r="A3434" s="93" t="s">
        <v>1831</v>
      </c>
      <c r="B3434" s="94" t="str">
        <f>IFERROR(VLOOKUP($A3434,HeadJournal!$A$1:$NTR$890,COLUMN(HeadJournal!B$1),0),"")</f>
        <v>720000242369</v>
      </c>
      <c r="C3434" s="94" t="str">
        <f>IFERROR(VLOOKUP($A3434,HeadJournal!$A$1:$NTR$890,COLUMN(HeadJournal!C$1),0),"")</f>
        <v>iHerb_MH DLE7202</v>
      </c>
      <c r="D3434" s="125" t="str">
        <f>IFERROR(VLOOKUP($A3434,HeadJournal!$A$1:$NTR$890,COLUMN(HeadJournal!D$1),0),"")</f>
        <v>Доставлен</v>
      </c>
      <c r="E3434" s="95">
        <f>IFERROR(VLOOKUP($A3434,HeadJournal!$A$1:$NTR$890,COLUMN(HeadJournal!G$1),0),"")</f>
        <v>45433</v>
      </c>
      <c r="F3434" s="95" t="str">
        <f t="shared" si="272"/>
        <v>2024 05</v>
      </c>
      <c r="G3434" s="96" t="s">
        <v>5</v>
      </c>
      <c r="H3434" s="175" t="s">
        <v>3647</v>
      </c>
      <c r="I3434" s="176" t="s">
        <v>2042</v>
      </c>
      <c r="J3434" s="97" t="s">
        <v>3696</v>
      </c>
      <c r="K3434" s="29">
        <v>17.489999999999998</v>
      </c>
      <c r="L3434" s="29">
        <v>-3.4966666666666666</v>
      </c>
      <c r="M3434" s="30">
        <f>IFERROR(VLOOKUP($A3434,HeadJournal!$A$1:$J$890,COLUMN(HeadJournal!I$1),0)*($K3434+$L3434)/(SUMIF($A:$A,$A3434,$K:$K)+SUMIF($A:$A,$A3434,$L:$L)),0)</f>
        <v>-0.61411822625452772</v>
      </c>
      <c r="N3434" s="30">
        <f>IFERROR((VLOOKUP($A3434,HeadJournal!$A$1:$K$890,COLUMN(HeadJournal!K$1),0)-VLOOKUP($A3434,HeadJournal!$A$1:$K$890,COLUMN(HeadJournal!J$1),0))*($K3434+$L3434)/(SUMIF($A:$A,$A3434,$K:$K)+SUMIF($A:$A,$A3434,$L:$L)),0)</f>
        <v>2.0978713680915014E-15</v>
      </c>
      <c r="O3434" s="30">
        <f>IFERROR((VLOOKUP($A3434,HeadJournal!$A$1:$L$890,COLUMN(HeadJournal!L$1),0)*($K3434+$L3434)/(SUMIF($A:$A,$A3434,$K:$K)+SUMIF($A:$A,$A3434,$L:$L)))/VLOOKUP($A3434,HeadJournal!$A$1:$L$890,COLUMN(HeadJournal!H$1),0),0)</f>
        <v>0.88898306428516882</v>
      </c>
      <c r="P3434" s="30">
        <f>IFERROR(SUM(K3434:O3434)*VLOOKUP($A3434,HeadJournal!$A$1:$L$890,COLUMN(HeadJournal!H$1),0),0)</f>
        <v>1483.984708419782</v>
      </c>
      <c r="Q3434" s="29"/>
      <c r="R3434" s="31"/>
      <c r="S3434" s="31"/>
      <c r="T3434" s="95" t="str">
        <f t="shared" si="273"/>
        <v/>
      </c>
      <c r="U3434" s="32">
        <f t="shared" si="270"/>
        <v>-1483.984708419782</v>
      </c>
      <c r="V3434" s="22" t="str">
        <f t="shared" si="271"/>
        <v/>
      </c>
      <c r="X3434" s="33"/>
      <c r="Y3434" s="33"/>
    </row>
    <row r="3435" spans="1:25" x14ac:dyDescent="0.2">
      <c r="A3435" s="93" t="s">
        <v>1831</v>
      </c>
      <c r="B3435" s="94" t="str">
        <f>IFERROR(VLOOKUP($A3435,HeadJournal!$A$1:$NTR$890,COLUMN(HeadJournal!B$1),0),"")</f>
        <v>720000242369</v>
      </c>
      <c r="C3435" s="94" t="str">
        <f>IFERROR(VLOOKUP($A3435,HeadJournal!$A$1:$NTR$890,COLUMN(HeadJournal!C$1),0),"")</f>
        <v>iHerb_MH DLE7202</v>
      </c>
      <c r="D3435" s="125" t="str">
        <f>IFERROR(VLOOKUP($A3435,HeadJournal!$A$1:$NTR$890,COLUMN(HeadJournal!D$1),0),"")</f>
        <v>Доставлен</v>
      </c>
      <c r="E3435" s="95">
        <f>IFERROR(VLOOKUP($A3435,HeadJournal!$A$1:$NTR$890,COLUMN(HeadJournal!G$1),0),"")</f>
        <v>45433</v>
      </c>
      <c r="F3435" s="95" t="str">
        <f t="shared" si="272"/>
        <v>2024 05</v>
      </c>
      <c r="G3435" s="96" t="s">
        <v>7</v>
      </c>
      <c r="H3435" s="160" t="str">
        <f>RIGHT(Journal!$J3435,9)</f>
        <v>ARH-19724</v>
      </c>
      <c r="I3435" s="127" t="str">
        <f t="shared" si="269"/>
        <v>Arm &amp; Hammer</v>
      </c>
      <c r="J3435" s="97" t="s">
        <v>667</v>
      </c>
      <c r="K3435" s="29">
        <v>4.7300000000000004</v>
      </c>
      <c r="L3435" s="29">
        <v>-0.95</v>
      </c>
      <c r="M3435" s="30">
        <f>IFERROR(VLOOKUP($A3435,HeadJournal!$A$1:$J$890,COLUMN(HeadJournal!I$1),0)*($K3435+$L3435)/(SUMIF($A:$A,$A3435,$K:$K)+SUMIF($A:$A,$A3435,$L:$L)),0)</f>
        <v>-0.16589091676337173</v>
      </c>
      <c r="N3435" s="30">
        <f>IFERROR((VLOOKUP($A3435,HeadJournal!$A$1:$K$890,COLUMN(HeadJournal!K$1),0)-VLOOKUP($A3435,HeadJournal!$A$1:$K$890,COLUMN(HeadJournal!J$1),0))*($K3435+$L3435)/(SUMIF($A:$A,$A3435,$K:$K)+SUMIF($A:$A,$A3435,$L:$L)),0)</f>
        <v>5.6669512420575582E-16</v>
      </c>
      <c r="O3435" s="30">
        <f>IFERROR((VLOOKUP($A3435,HeadJournal!$A$1:$L$890,COLUMN(HeadJournal!L$1),0)*($K3435+$L3435)/(SUMIF($A:$A,$A3435,$K:$K)+SUMIF($A:$A,$A3435,$L:$L)))/VLOOKUP($A3435,HeadJournal!$A$1:$L$890,COLUMN(HeadJournal!H$1),0),0)</f>
        <v>0.24013977963301134</v>
      </c>
      <c r="P3435" s="30">
        <f>IFERROR(SUM(K3435:O3435)*VLOOKUP($A3435,HeadJournal!$A$1:$L$890,COLUMN(HeadJournal!H$1),0),0)</f>
        <v>400.86676020677299</v>
      </c>
      <c r="Q3435" s="29"/>
      <c r="R3435" s="31"/>
      <c r="S3435" s="31"/>
      <c r="T3435" s="95" t="str">
        <f t="shared" si="273"/>
        <v/>
      </c>
      <c r="U3435" s="32">
        <f t="shared" si="270"/>
        <v>-400.86676020677299</v>
      </c>
      <c r="V3435" s="22" t="str">
        <f t="shared" si="271"/>
        <v/>
      </c>
      <c r="X3435" s="33"/>
      <c r="Y3435" s="33"/>
    </row>
    <row r="3436" spans="1:25" x14ac:dyDescent="0.2">
      <c r="A3436" s="93" t="s">
        <v>1831</v>
      </c>
      <c r="B3436" s="94" t="str">
        <f>IFERROR(VLOOKUP($A3436,HeadJournal!$A$1:$NTR$890,COLUMN(HeadJournal!B$1),0),"")</f>
        <v>720000242369</v>
      </c>
      <c r="C3436" s="94" t="str">
        <f>IFERROR(VLOOKUP($A3436,HeadJournal!$A$1:$NTR$890,COLUMN(HeadJournal!C$1),0),"")</f>
        <v>iHerb_MH DLE7202</v>
      </c>
      <c r="D3436" s="125" t="str">
        <f>IFERROR(VLOOKUP($A3436,HeadJournal!$A$1:$NTR$890,COLUMN(HeadJournal!D$1),0),"")</f>
        <v>Доставлен</v>
      </c>
      <c r="E3436" s="95">
        <f>IFERROR(VLOOKUP($A3436,HeadJournal!$A$1:$NTR$890,COLUMN(HeadJournal!G$1),0),"")</f>
        <v>45433</v>
      </c>
      <c r="F3436" s="95" t="str">
        <f t="shared" si="272"/>
        <v>2024 05</v>
      </c>
      <c r="G3436" s="96" t="s">
        <v>7</v>
      </c>
      <c r="H3436" s="160" t="str">
        <f>RIGHT(Journal!$J3436,9)</f>
        <v>ARH-19744</v>
      </c>
      <c r="I3436" s="127" t="str">
        <f t="shared" si="269"/>
        <v>Arm &amp; Hammer</v>
      </c>
      <c r="J3436" s="97" t="s">
        <v>81</v>
      </c>
      <c r="K3436" s="29">
        <v>4.7300000000000004</v>
      </c>
      <c r="L3436" s="29">
        <v>-0.95</v>
      </c>
      <c r="M3436" s="30">
        <f>IFERROR(VLOOKUP($A3436,HeadJournal!$A$1:$J$890,COLUMN(HeadJournal!I$1),0)*($K3436+$L3436)/(SUMIF($A:$A,$A3436,$K:$K)+SUMIF($A:$A,$A3436,$L:$L)),0)</f>
        <v>-0.16589091676337173</v>
      </c>
      <c r="N3436" s="30">
        <f>IFERROR((VLOOKUP($A3436,HeadJournal!$A$1:$K$890,COLUMN(HeadJournal!K$1),0)-VLOOKUP($A3436,HeadJournal!$A$1:$K$890,COLUMN(HeadJournal!J$1),0))*($K3436+$L3436)/(SUMIF($A:$A,$A3436,$K:$K)+SUMIF($A:$A,$A3436,$L:$L)),0)</f>
        <v>5.6669512420575582E-16</v>
      </c>
      <c r="O3436" s="30">
        <f>IFERROR((VLOOKUP($A3436,HeadJournal!$A$1:$L$890,COLUMN(HeadJournal!L$1),0)*($K3436+$L3436)/(SUMIF($A:$A,$A3436,$K:$K)+SUMIF($A:$A,$A3436,$L:$L)))/VLOOKUP($A3436,HeadJournal!$A$1:$L$890,COLUMN(HeadJournal!H$1),0),0)</f>
        <v>0.24013977963301134</v>
      </c>
      <c r="P3436" s="30">
        <f>IFERROR(SUM(K3436:O3436)*VLOOKUP($A3436,HeadJournal!$A$1:$L$890,COLUMN(HeadJournal!H$1),0),0)</f>
        <v>400.86676020677299</v>
      </c>
      <c r="Q3436" s="29"/>
      <c r="R3436" s="31"/>
      <c r="S3436" s="31"/>
      <c r="T3436" s="95" t="str">
        <f t="shared" si="273"/>
        <v/>
      </c>
      <c r="U3436" s="32">
        <f t="shared" si="270"/>
        <v>-400.86676020677299</v>
      </c>
      <c r="V3436" s="22" t="str">
        <f t="shared" si="271"/>
        <v/>
      </c>
      <c r="X3436" s="33"/>
      <c r="Y3436" s="33"/>
    </row>
    <row r="3437" spans="1:25" x14ac:dyDescent="0.2">
      <c r="A3437" s="93" t="s">
        <v>1831</v>
      </c>
      <c r="B3437" s="94" t="str">
        <f>IFERROR(VLOOKUP($A3437,HeadJournal!$A$1:$NTR$890,COLUMN(HeadJournal!B$1),0),"")</f>
        <v>720000242369</v>
      </c>
      <c r="C3437" s="94" t="str">
        <f>IFERROR(VLOOKUP($A3437,HeadJournal!$A$1:$NTR$890,COLUMN(HeadJournal!C$1),0),"")</f>
        <v>iHerb_MH DLE7202</v>
      </c>
      <c r="D3437" s="125" t="str">
        <f>IFERROR(VLOOKUP($A3437,HeadJournal!$A$1:$NTR$890,COLUMN(HeadJournal!D$1),0),"")</f>
        <v>Доставлен</v>
      </c>
      <c r="E3437" s="95">
        <f>IFERROR(VLOOKUP($A3437,HeadJournal!$A$1:$NTR$890,COLUMN(HeadJournal!G$1),0),"")</f>
        <v>45433</v>
      </c>
      <c r="F3437" s="95" t="str">
        <f t="shared" si="272"/>
        <v>2024 05</v>
      </c>
      <c r="G3437" s="96" t="s">
        <v>7</v>
      </c>
      <c r="H3437" s="160" t="str">
        <f>RIGHT(Journal!$J3437,9)</f>
        <v>FMN-42380</v>
      </c>
      <c r="I3437" s="127" t="str">
        <f t="shared" si="269"/>
        <v>Freeman Beauty</v>
      </c>
      <c r="J3437" s="97" t="s">
        <v>1830</v>
      </c>
      <c r="K3437" s="29">
        <v>6.05</v>
      </c>
      <c r="L3437" s="29">
        <v>-1.21</v>
      </c>
      <c r="M3437" s="30">
        <f>IFERROR(VLOOKUP($A3437,HeadJournal!$A$1:$J$890,COLUMN(HeadJournal!I$1),0)*($K3437+$L3437)/(SUMIF($A:$A,$A3437,$K:$K)+SUMIF($A:$A,$A3437,$L:$L)),0)</f>
        <v>-0.21241059183458175</v>
      </c>
      <c r="N3437" s="30">
        <f>IFERROR((VLOOKUP($A3437,HeadJournal!$A$1:$K$890,COLUMN(HeadJournal!K$1),0)-VLOOKUP($A3437,HeadJournal!$A$1:$K$890,COLUMN(HeadJournal!J$1),0))*($K3437+$L3437)/(SUMIF($A:$A,$A3437,$K:$K)+SUMIF($A:$A,$A3437,$L:$L)),0)</f>
        <v>7.2560962993541205E-16</v>
      </c>
      <c r="O3437" s="30">
        <f>IFERROR((VLOOKUP($A3437,HeadJournal!$A$1:$L$890,COLUMN(HeadJournal!L$1),0)*($K3437+$L3437)/(SUMIF($A:$A,$A3437,$K:$K)+SUMIF($A:$A,$A3437,$L:$L)))/VLOOKUP($A3437,HeadJournal!$A$1:$L$890,COLUMN(HeadJournal!H$1),0),0)</f>
        <v>0.30748056439782406</v>
      </c>
      <c r="P3437" s="30">
        <f>IFERROR(SUM(K3437:O3437)*VLOOKUP($A3437,HeadJournal!$A$1:$L$890,COLUMN(HeadJournal!H$1),0),0)</f>
        <v>513.27913211660882</v>
      </c>
      <c r="Q3437" s="29">
        <v>1000</v>
      </c>
      <c r="R3437" s="31">
        <v>45890</v>
      </c>
      <c r="S3437" s="31"/>
      <c r="T3437" s="95" t="str">
        <f t="shared" si="273"/>
        <v>2025 08</v>
      </c>
      <c r="U3437" s="32">
        <f t="shared" si="270"/>
        <v>486.72086788339118</v>
      </c>
      <c r="V3437" s="22">
        <f t="shared" si="271"/>
        <v>0.94825765831605247</v>
      </c>
      <c r="X3437" s="33"/>
      <c r="Y3437" s="33"/>
    </row>
    <row r="3438" spans="1:25" x14ac:dyDescent="0.2">
      <c r="A3438" s="93" t="s">
        <v>1831</v>
      </c>
      <c r="B3438" s="94" t="str">
        <f>IFERROR(VLOOKUP($A3438,HeadJournal!$A$1:$NTR$890,COLUMN(HeadJournal!B$1),0),"")</f>
        <v>720000242369</v>
      </c>
      <c r="C3438" s="94" t="str">
        <f>IFERROR(VLOOKUP($A3438,HeadJournal!$A$1:$NTR$890,COLUMN(HeadJournal!C$1),0),"")</f>
        <v>iHerb_MH DLE7202</v>
      </c>
      <c r="D3438" s="125" t="str">
        <f>IFERROR(VLOOKUP($A3438,HeadJournal!$A$1:$NTR$890,COLUMN(HeadJournal!D$1),0),"")</f>
        <v>Доставлен</v>
      </c>
      <c r="E3438" s="95">
        <f>IFERROR(VLOOKUP($A3438,HeadJournal!$A$1:$NTR$890,COLUMN(HeadJournal!G$1),0),"")</f>
        <v>45433</v>
      </c>
      <c r="F3438" s="95" t="str">
        <f t="shared" si="272"/>
        <v>2024 05</v>
      </c>
      <c r="G3438" s="96" t="s">
        <v>7</v>
      </c>
      <c r="H3438" s="160" t="str">
        <f>RIGHT(Journal!$J3438,9)</f>
        <v>FSY-77289</v>
      </c>
      <c r="I3438" s="127" t="str">
        <f t="shared" si="269"/>
        <v>Farm Stay</v>
      </c>
      <c r="J3438" s="97" t="s">
        <v>3603</v>
      </c>
      <c r="K3438" s="29">
        <v>12.98</v>
      </c>
      <c r="L3438" s="29">
        <v>-3.02</v>
      </c>
      <c r="M3438" s="30">
        <f>IFERROR(VLOOKUP($A3438,HeadJournal!$A$1:$J$890,COLUMN(HeadJournal!I$1),0)*($K3438+$L3438)/(SUMIF($A:$A,$A3438,$K:$K)+SUMIF($A:$A,$A3438,$L:$L)),0)</f>
        <v>-0.43710939972570961</v>
      </c>
      <c r="N3438" s="30">
        <f>IFERROR((VLOOKUP($A3438,HeadJournal!$A$1:$K$890,COLUMN(HeadJournal!K$1),0)-VLOOKUP($A3438,HeadJournal!$A$1:$K$890,COLUMN(HeadJournal!J$1),0))*($K3438+$L3438)/(SUMIF($A:$A,$A3438,$K:$K)+SUMIF($A:$A,$A3438,$L:$L)),0)</f>
        <v>1.4931966764786581E-15</v>
      </c>
      <c r="O3438" s="30">
        <f>IFERROR((VLOOKUP($A3438,HeadJournal!$A$1:$L$890,COLUMN(HeadJournal!L$1),0)*($K3438+$L3438)/(SUMIF($A:$A,$A3438,$K:$K)+SUMIF($A:$A,$A3438,$L:$L)))/VLOOKUP($A3438,HeadJournal!$A$1:$L$890,COLUMN(HeadJournal!H$1),0),0)</f>
        <v>0.63274926062031556</v>
      </c>
      <c r="P3438" s="30">
        <f>IFERROR(SUM(K3438:O3438)*VLOOKUP($A3438,HeadJournal!$A$1:$L$890,COLUMN(HeadJournal!H$1),0),0)</f>
        <v>1056.2520983226082</v>
      </c>
      <c r="Q3438" s="29"/>
      <c r="R3438" s="31"/>
      <c r="S3438" s="31"/>
      <c r="T3438" s="95" t="str">
        <f t="shared" si="273"/>
        <v/>
      </c>
      <c r="U3438" s="32">
        <f t="shared" si="270"/>
        <v>-1056.2520983226082</v>
      </c>
      <c r="V3438" s="22" t="str">
        <f t="shared" si="271"/>
        <v/>
      </c>
      <c r="X3438" s="33"/>
      <c r="Y3438" s="33"/>
    </row>
    <row r="3439" spans="1:25" x14ac:dyDescent="0.2">
      <c r="A3439" s="93" t="s">
        <v>1831</v>
      </c>
      <c r="B3439" s="94" t="str">
        <f>IFERROR(VLOOKUP($A3439,HeadJournal!$A$1:$NTR$890,COLUMN(HeadJournal!B$1),0),"")</f>
        <v>720000242369</v>
      </c>
      <c r="C3439" s="94" t="str">
        <f>IFERROR(VLOOKUP($A3439,HeadJournal!$A$1:$NTR$890,COLUMN(HeadJournal!C$1),0),"")</f>
        <v>iHerb_MH DLE7202</v>
      </c>
      <c r="D3439" s="125" t="str">
        <f>IFERROR(VLOOKUP($A3439,HeadJournal!$A$1:$NTR$890,COLUMN(HeadJournal!D$1),0),"")</f>
        <v>Доставлен</v>
      </c>
      <c r="E3439" s="95">
        <f>IFERROR(VLOOKUP($A3439,HeadJournal!$A$1:$NTR$890,COLUMN(HeadJournal!G$1),0),"")</f>
        <v>45433</v>
      </c>
      <c r="F3439" s="95" t="str">
        <f t="shared" si="272"/>
        <v>2024 05</v>
      </c>
      <c r="G3439" s="96" t="s">
        <v>5</v>
      </c>
      <c r="H3439" s="160" t="str">
        <f>RIGHT(Journal!$J3439,9)</f>
        <v>CGN-02190</v>
      </c>
      <c r="I3439" s="127" t="str">
        <f t="shared" si="269"/>
        <v>California Gold Nutrition</v>
      </c>
      <c r="J3439" s="97" t="s">
        <v>1836</v>
      </c>
      <c r="K3439" s="29">
        <v>26.88</v>
      </c>
      <c r="L3439" s="29">
        <v>-25.88</v>
      </c>
      <c r="M3439" s="30">
        <f>IFERROR(VLOOKUP($A3439,HeadJournal!$A$1:$J$890,COLUMN(HeadJournal!I$1),0)*($K3439+$L3439)/(SUMIF($A:$A,$A3439,$K:$K)+SUMIF($A:$A,$A3439,$L:$L)),0)</f>
        <v>-4.3886485916235903E-2</v>
      </c>
      <c r="N3439" s="30">
        <f>IFERROR((VLOOKUP($A3439,HeadJournal!$A$1:$K$890,COLUMN(HeadJournal!K$1),0)-VLOOKUP($A3439,HeadJournal!$A$1:$K$890,COLUMN(HeadJournal!J$1),0))*($K3439+$L3439)/(SUMIF($A:$A,$A3439,$K:$K)+SUMIF($A:$A,$A3439,$L:$L)),0)</f>
        <v>1.4991934502797771E-16</v>
      </c>
      <c r="O3439" s="30">
        <f>IFERROR((VLOOKUP($A3439,HeadJournal!$A$1:$L$890,COLUMN(HeadJournal!L$1),0)*($K3439+$L3439)/(SUMIF($A:$A,$A3439,$K:$K)+SUMIF($A:$A,$A3439,$L:$L)))/VLOOKUP($A3439,HeadJournal!$A$1:$L$890,COLUMN(HeadJournal!H$1),0),0)</f>
        <v>6.3529042230955374E-2</v>
      </c>
      <c r="P3439" s="30">
        <f>IFERROR(SUM(K3439:O3439)*VLOOKUP($A3439,HeadJournal!$A$1:$L$890,COLUMN(HeadJournal!H$1),0),0)</f>
        <v>106.04940746210924</v>
      </c>
      <c r="Q3439" s="29">
        <v>1000</v>
      </c>
      <c r="R3439" s="31">
        <v>45528</v>
      </c>
      <c r="S3439" s="31" t="s">
        <v>3121</v>
      </c>
      <c r="T3439" s="95" t="str">
        <f t="shared" si="273"/>
        <v>2024 08</v>
      </c>
      <c r="U3439" s="32">
        <f t="shared" si="270"/>
        <v>893.95059253789077</v>
      </c>
      <c r="V3439" s="22">
        <f t="shared" si="271"/>
        <v>8.429567066249696</v>
      </c>
      <c r="X3439" s="33"/>
      <c r="Y3439" s="33"/>
    </row>
    <row r="3440" spans="1:25" x14ac:dyDescent="0.2">
      <c r="A3440" s="93" t="s">
        <v>1831</v>
      </c>
      <c r="B3440" s="94" t="str">
        <f>IFERROR(VLOOKUP($A3440,HeadJournal!$A$1:$NTR$890,COLUMN(HeadJournal!B$1),0),"")</f>
        <v>720000242369</v>
      </c>
      <c r="C3440" s="94" t="str">
        <f>IFERROR(VLOOKUP($A3440,HeadJournal!$A$1:$NTR$890,COLUMN(HeadJournal!C$1),0),"")</f>
        <v>iHerb_MH DLE7202</v>
      </c>
      <c r="D3440" s="125" t="str">
        <f>IFERROR(VLOOKUP($A3440,HeadJournal!$A$1:$NTR$890,COLUMN(HeadJournal!D$1),0),"")</f>
        <v>Доставлен</v>
      </c>
      <c r="E3440" s="95">
        <f>IFERROR(VLOOKUP($A3440,HeadJournal!$A$1:$NTR$890,COLUMN(HeadJournal!G$1),0),"")</f>
        <v>45433</v>
      </c>
      <c r="F3440" s="95" t="str">
        <f t="shared" si="272"/>
        <v>2024 05</v>
      </c>
      <c r="G3440" s="96" t="s">
        <v>5</v>
      </c>
      <c r="H3440" s="161" t="s">
        <v>3822</v>
      </c>
      <c r="I3440" s="97" t="s">
        <v>2009</v>
      </c>
      <c r="J3440" s="97" t="s">
        <v>3823</v>
      </c>
      <c r="K3440" s="29">
        <v>10.69</v>
      </c>
      <c r="L3440" s="29">
        <v>-2.14</v>
      </c>
      <c r="M3440" s="30">
        <f>IFERROR(VLOOKUP($A3440,HeadJournal!$A$1:$J$890,COLUMN(HeadJournal!I$1),0)*($K3440+$L3440)/(SUMIF($A:$A,$A3440,$K:$K)+SUMIF($A:$A,$A3440,$L:$L)),0)</f>
        <v>-0.3752294545838169</v>
      </c>
      <c r="N3440" s="30">
        <f>IFERROR((VLOOKUP($A3440,HeadJournal!$A$1:$K$890,COLUMN(HeadJournal!K$1),0)-VLOOKUP($A3440,HeadJournal!$A$1:$K$890,COLUMN(HeadJournal!J$1),0))*($K3440+$L3440)/(SUMIF($A:$A,$A3440,$K:$K)+SUMIF($A:$A,$A3440,$L:$L)),0)</f>
        <v>1.2818103999892093E-15</v>
      </c>
      <c r="O3440" s="30">
        <f>IFERROR((VLOOKUP($A3440,HeadJournal!$A$1:$L$890,COLUMN(HeadJournal!L$1),0)*($K3440+$L3440)/(SUMIF($A:$A,$A3440,$K:$K)+SUMIF($A:$A,$A3440,$L:$L)))/VLOOKUP($A3440,HeadJournal!$A$1:$L$890,COLUMN(HeadJournal!H$1),0),0)</f>
        <v>0.54317331107466849</v>
      </c>
      <c r="P3440" s="30">
        <f>IFERROR(SUM(K3440:O3440)*VLOOKUP($A3440,HeadJournal!$A$1:$L$890,COLUMN(HeadJournal!H$1),0),0)</f>
        <v>906.72243380103396</v>
      </c>
      <c r="Q3440" s="29">
        <v>1600</v>
      </c>
      <c r="R3440" s="31">
        <v>45533</v>
      </c>
      <c r="S3440" s="31" t="s">
        <v>3121</v>
      </c>
      <c r="T3440" s="95" t="str">
        <f t="shared" si="273"/>
        <v>2024 08</v>
      </c>
      <c r="U3440" s="32">
        <f t="shared" si="270"/>
        <v>693.27756619896604</v>
      </c>
      <c r="V3440" s="22">
        <f t="shared" si="271"/>
        <v>0.76459734573093729</v>
      </c>
      <c r="X3440" s="33"/>
      <c r="Y3440" s="33"/>
    </row>
    <row r="3441" spans="1:25" x14ac:dyDescent="0.2">
      <c r="A3441" s="93" t="s">
        <v>1831</v>
      </c>
      <c r="B3441" s="94" t="str">
        <f>IFERROR(VLOOKUP($A3441,HeadJournal!$A$1:$NTR$890,COLUMN(HeadJournal!B$1),0),"")</f>
        <v>720000242369</v>
      </c>
      <c r="C3441" s="94" t="str">
        <f>IFERROR(VLOOKUP($A3441,HeadJournal!$A$1:$NTR$890,COLUMN(HeadJournal!C$1),0),"")</f>
        <v>iHerb_MH DLE7202</v>
      </c>
      <c r="D3441" s="125" t="str">
        <f>IFERROR(VLOOKUP($A3441,HeadJournal!$A$1:$NTR$890,COLUMN(HeadJournal!D$1),0),"")</f>
        <v>Доставлен</v>
      </c>
      <c r="E3441" s="95">
        <f>IFERROR(VLOOKUP($A3441,HeadJournal!$A$1:$NTR$890,COLUMN(HeadJournal!G$1),0),"")</f>
        <v>45433</v>
      </c>
      <c r="F3441" s="95" t="str">
        <f t="shared" si="272"/>
        <v>2024 05</v>
      </c>
      <c r="G3441" s="96" t="s">
        <v>5</v>
      </c>
      <c r="H3441" s="160" t="str">
        <f>RIGHT(Journal!$J3441,9)</f>
        <v>ECL-10234</v>
      </c>
      <c r="I3441" s="127" t="str">
        <f t="shared" si="269"/>
        <v>Eclectic Herb</v>
      </c>
      <c r="J3441" s="97" t="s">
        <v>3602</v>
      </c>
      <c r="K3441" s="29">
        <v>25.89</v>
      </c>
      <c r="L3441" s="29">
        <v>-5.18</v>
      </c>
      <c r="M3441" s="30">
        <f>IFERROR(VLOOKUP($A3441,HeadJournal!$A$1:$J$890,COLUMN(HeadJournal!I$1),0)*($K3441+$L3441)/(SUMIF($A:$A,$A3441,$K:$K)+SUMIF($A:$A,$A3441,$L:$L)),0)</f>
        <v>-0.90888912332524563</v>
      </c>
      <c r="N3441" s="30">
        <f>IFERROR((VLOOKUP($A3441,HeadJournal!$A$1:$K$890,COLUMN(HeadJournal!K$1),0)-VLOOKUP($A3441,HeadJournal!$A$1:$K$890,COLUMN(HeadJournal!J$1),0))*($K3441+$L3441)/(SUMIF($A:$A,$A3441,$K:$K)+SUMIF($A:$A,$A3441,$L:$L)),0)</f>
        <v>3.1048296355294184E-15</v>
      </c>
      <c r="O3441" s="30">
        <f>IFERROR((VLOOKUP($A3441,HeadJournal!$A$1:$L$890,COLUMN(HeadJournal!L$1),0)*($K3441+$L3441)/(SUMIF($A:$A,$A3441,$K:$K)+SUMIF($A:$A,$A3441,$L:$L)))/VLOOKUP($A3441,HeadJournal!$A$1:$L$890,COLUMN(HeadJournal!H$1),0),0)</f>
        <v>1.3156864646030861</v>
      </c>
      <c r="P3441" s="30">
        <f>IFERROR(SUM(K3441:O3441)*VLOOKUP($A3441,HeadJournal!$A$1:$L$890,COLUMN(HeadJournal!H$1),0),0)</f>
        <v>2196.2832285402828</v>
      </c>
      <c r="Q3441" s="29"/>
      <c r="R3441" s="31"/>
      <c r="S3441" s="31"/>
      <c r="T3441" s="95" t="str">
        <f t="shared" si="273"/>
        <v/>
      </c>
      <c r="U3441" s="32">
        <f t="shared" si="270"/>
        <v>-2196.2832285402828</v>
      </c>
      <c r="V3441" s="22" t="str">
        <f t="shared" si="271"/>
        <v/>
      </c>
      <c r="X3441" s="33"/>
      <c r="Y3441" s="33"/>
    </row>
    <row r="3442" spans="1:25" x14ac:dyDescent="0.2">
      <c r="A3442" s="93" t="s">
        <v>1839</v>
      </c>
      <c r="B3442" s="94" t="str">
        <f>IFERROR(VLOOKUP($A3442,HeadJournal!$A$1:$NTR$890,COLUMN(HeadJournal!B$1),0),"")</f>
        <v>720000250552</v>
      </c>
      <c r="C3442" s="94" t="str">
        <f>IFERROR(VLOOKUP($A3442,HeadJournal!$A$1:$NTR$890,COLUMN(HeadJournal!C$1),0),"")</f>
        <v>iHerb_OA CZN6870</v>
      </c>
      <c r="D3442" s="125" t="str">
        <f>IFERROR(VLOOKUP($A3442,HeadJournal!$A$1:$NTR$890,COLUMN(HeadJournal!D$1),0),"")</f>
        <v>Доставлен</v>
      </c>
      <c r="E3442" s="95">
        <f>IFERROR(VLOOKUP($A3442,HeadJournal!$A$1:$NTR$890,COLUMN(HeadJournal!G$1),0),"")</f>
        <v>45441</v>
      </c>
      <c r="F3442" s="95" t="str">
        <f t="shared" si="272"/>
        <v>2024 05</v>
      </c>
      <c r="G3442" s="96" t="s">
        <v>5</v>
      </c>
      <c r="H3442" s="161" t="s">
        <v>2623</v>
      </c>
      <c r="I3442" s="97" t="s">
        <v>2052</v>
      </c>
      <c r="J3442" s="97" t="s">
        <v>3915</v>
      </c>
      <c r="K3442" s="29">
        <v>6.24</v>
      </c>
      <c r="L3442" s="29">
        <v>-3.12</v>
      </c>
      <c r="M3442" s="30">
        <f>IFERROR(VLOOKUP($A3442,HeadJournal!$A$1:$J$890,COLUMN(HeadJournal!I$1),0)*($K3442+$L3442)/(SUMIF($A:$A,$A3442,$K:$K)+SUMIF($A:$A,$A3442,$L:$L)),0)</f>
        <v>-0.30622994652406427</v>
      </c>
      <c r="N3442" s="30">
        <f>IFERROR((VLOOKUP($A3442,HeadJournal!$A$1:$K$890,COLUMN(HeadJournal!K$1),0)-VLOOKUP($A3442,HeadJournal!$A$1:$K$890,COLUMN(HeadJournal!J$1),0))*($K3442+$L3442)/(SUMIF($A:$A,$A3442,$K:$K)+SUMIF($A:$A,$A3442,$L:$L)),0)</f>
        <v>9.8792038127072773E-16</v>
      </c>
      <c r="O3442" s="30">
        <f>IFERROR((VLOOKUP($A3442,HeadJournal!$A$1:$L$890,COLUMN(HeadJournal!L$1),0)*($K3442+$L3442)/(SUMIF($A:$A,$A3442,$K:$K)+SUMIF($A:$A,$A3442,$L:$L)))/VLOOKUP($A3442,HeadJournal!$A$1:$L$890,COLUMN(HeadJournal!H$1),0),0)</f>
        <v>0.42072191976114631</v>
      </c>
      <c r="P3442" s="30">
        <f>IFERROR(SUM(K3442:O3442)*VLOOKUP($A3442,HeadJournal!$A$1:$L$890,COLUMN(HeadJournal!H$1),0),0)</f>
        <v>334.74015151515169</v>
      </c>
      <c r="Q3442" s="29">
        <v>850</v>
      </c>
      <c r="R3442" s="31">
        <v>45468</v>
      </c>
      <c r="S3442" s="31" t="s">
        <v>3121</v>
      </c>
      <c r="T3442" s="95" t="str">
        <f t="shared" si="273"/>
        <v>2024 06</v>
      </c>
      <c r="U3442" s="32">
        <f t="shared" si="270"/>
        <v>515.25984848484836</v>
      </c>
      <c r="V3442" s="22">
        <f t="shared" si="271"/>
        <v>1.5392830712198731</v>
      </c>
      <c r="X3442" s="33"/>
      <c r="Y3442" s="33"/>
    </row>
    <row r="3443" spans="1:25" x14ac:dyDescent="0.2">
      <c r="A3443" s="93" t="s">
        <v>1839</v>
      </c>
      <c r="B3443" s="94" t="str">
        <f>IFERROR(VLOOKUP($A3443,HeadJournal!$A$1:$NTR$890,COLUMN(HeadJournal!B$1),0),"")</f>
        <v>720000250552</v>
      </c>
      <c r="C3443" s="94" t="str">
        <f>IFERROR(VLOOKUP($A3443,HeadJournal!$A$1:$NTR$890,COLUMN(HeadJournal!C$1),0),"")</f>
        <v>iHerb_OA CZN6870</v>
      </c>
      <c r="D3443" s="125" t="str">
        <f>IFERROR(VLOOKUP($A3443,HeadJournal!$A$1:$NTR$890,COLUMN(HeadJournal!D$1),0),"")</f>
        <v>Доставлен</v>
      </c>
      <c r="E3443" s="95">
        <f>IFERROR(VLOOKUP($A3443,HeadJournal!$A$1:$NTR$890,COLUMN(HeadJournal!G$1),0),"")</f>
        <v>45441</v>
      </c>
      <c r="F3443" s="95" t="str">
        <f t="shared" si="272"/>
        <v>2024 05</v>
      </c>
      <c r="G3443" s="96" t="s">
        <v>5</v>
      </c>
      <c r="H3443" s="161" t="s">
        <v>2623</v>
      </c>
      <c r="I3443" s="97" t="s">
        <v>2052</v>
      </c>
      <c r="J3443" s="97" t="s">
        <v>3915</v>
      </c>
      <c r="K3443" s="29">
        <v>6.24</v>
      </c>
      <c r="L3443" s="29">
        <v>-3.12</v>
      </c>
      <c r="M3443" s="30">
        <f>IFERROR(VLOOKUP($A3443,HeadJournal!$A$1:$J$890,COLUMN(HeadJournal!I$1),0)*($K3443+$L3443)/(SUMIF($A:$A,$A3443,$K:$K)+SUMIF($A:$A,$A3443,$L:$L)),0)</f>
        <v>-0.30622994652406427</v>
      </c>
      <c r="N3443" s="30">
        <f>IFERROR((VLOOKUP($A3443,HeadJournal!$A$1:$K$890,COLUMN(HeadJournal!K$1),0)-VLOOKUP($A3443,HeadJournal!$A$1:$K$890,COLUMN(HeadJournal!J$1),0))*($K3443+$L3443)/(SUMIF($A:$A,$A3443,$K:$K)+SUMIF($A:$A,$A3443,$L:$L)),0)</f>
        <v>9.8792038127072773E-16</v>
      </c>
      <c r="O3443" s="30">
        <f>IFERROR((VLOOKUP($A3443,HeadJournal!$A$1:$L$890,COLUMN(HeadJournal!L$1),0)*($K3443+$L3443)/(SUMIF($A:$A,$A3443,$K:$K)+SUMIF($A:$A,$A3443,$L:$L)))/VLOOKUP($A3443,HeadJournal!$A$1:$L$890,COLUMN(HeadJournal!H$1),0),0)</f>
        <v>0.42072191976114631</v>
      </c>
      <c r="P3443" s="30">
        <f>IFERROR(SUM(K3443:O3443)*VLOOKUP($A3443,HeadJournal!$A$1:$L$890,COLUMN(HeadJournal!H$1),0),0)</f>
        <v>334.74015151515169</v>
      </c>
      <c r="Q3443" s="29">
        <v>850</v>
      </c>
      <c r="R3443" s="31">
        <v>45468</v>
      </c>
      <c r="S3443" s="31" t="s">
        <v>3121</v>
      </c>
      <c r="T3443" s="95" t="str">
        <f t="shared" si="273"/>
        <v>2024 06</v>
      </c>
      <c r="U3443" s="32">
        <f t="shared" si="270"/>
        <v>515.25984848484836</v>
      </c>
      <c r="V3443" s="22">
        <f t="shared" si="271"/>
        <v>1.5392830712198731</v>
      </c>
      <c r="X3443" s="33"/>
      <c r="Y3443" s="33"/>
    </row>
    <row r="3444" spans="1:25" x14ac:dyDescent="0.2">
      <c r="A3444" s="93" t="s">
        <v>1839</v>
      </c>
      <c r="B3444" s="94" t="str">
        <f>IFERROR(VLOOKUP($A3444,HeadJournal!$A$1:$NTR$890,COLUMN(HeadJournal!B$1),0),"")</f>
        <v>720000250552</v>
      </c>
      <c r="C3444" s="94" t="str">
        <f>IFERROR(VLOOKUP($A3444,HeadJournal!$A$1:$NTR$890,COLUMN(HeadJournal!C$1),0),"")</f>
        <v>iHerb_OA CZN6870</v>
      </c>
      <c r="D3444" s="125" t="str">
        <f>IFERROR(VLOOKUP($A3444,HeadJournal!$A$1:$NTR$890,COLUMN(HeadJournal!D$1),0),"")</f>
        <v>Доставлен</v>
      </c>
      <c r="E3444" s="95">
        <f>IFERROR(VLOOKUP($A3444,HeadJournal!$A$1:$NTR$890,COLUMN(HeadJournal!G$1),0),"")</f>
        <v>45441</v>
      </c>
      <c r="F3444" s="95" t="str">
        <f t="shared" si="272"/>
        <v>2024 05</v>
      </c>
      <c r="G3444" s="96" t="s">
        <v>5</v>
      </c>
      <c r="H3444" s="161" t="s">
        <v>2623</v>
      </c>
      <c r="I3444" s="97" t="s">
        <v>2052</v>
      </c>
      <c r="J3444" s="97" t="s">
        <v>3915</v>
      </c>
      <c r="K3444" s="29">
        <v>6.24</v>
      </c>
      <c r="L3444" s="29">
        <v>-3.12</v>
      </c>
      <c r="M3444" s="30">
        <f>IFERROR(VLOOKUP($A3444,HeadJournal!$A$1:$J$890,COLUMN(HeadJournal!I$1),0)*($K3444+$L3444)/(SUMIF($A:$A,$A3444,$K:$K)+SUMIF($A:$A,$A3444,$L:$L)),0)</f>
        <v>-0.30622994652406427</v>
      </c>
      <c r="N3444" s="30">
        <f>IFERROR((VLOOKUP($A3444,HeadJournal!$A$1:$K$890,COLUMN(HeadJournal!K$1),0)-VLOOKUP($A3444,HeadJournal!$A$1:$K$890,COLUMN(HeadJournal!J$1),0))*($K3444+$L3444)/(SUMIF($A:$A,$A3444,$K:$K)+SUMIF($A:$A,$A3444,$L:$L)),0)</f>
        <v>9.8792038127072773E-16</v>
      </c>
      <c r="O3444" s="30">
        <f>IFERROR((VLOOKUP($A3444,HeadJournal!$A$1:$L$890,COLUMN(HeadJournal!L$1),0)*($K3444+$L3444)/(SUMIF($A:$A,$A3444,$K:$K)+SUMIF($A:$A,$A3444,$L:$L)))/VLOOKUP($A3444,HeadJournal!$A$1:$L$890,COLUMN(HeadJournal!H$1),0),0)</f>
        <v>0.42072191976114631</v>
      </c>
      <c r="P3444" s="30">
        <f>IFERROR(SUM(K3444:O3444)*VLOOKUP($A3444,HeadJournal!$A$1:$L$890,COLUMN(HeadJournal!H$1),0),0)</f>
        <v>334.74015151515169</v>
      </c>
      <c r="Q3444" s="29">
        <v>1000</v>
      </c>
      <c r="R3444" s="31">
        <v>45535</v>
      </c>
      <c r="S3444" s="31" t="s">
        <v>3121</v>
      </c>
      <c r="T3444" s="95" t="str">
        <f t="shared" si="273"/>
        <v>2024 08</v>
      </c>
      <c r="U3444" s="32">
        <f t="shared" si="270"/>
        <v>665.25984848484836</v>
      </c>
      <c r="V3444" s="22">
        <f t="shared" si="271"/>
        <v>1.9873918484939683</v>
      </c>
      <c r="X3444" s="33"/>
      <c r="Y3444" s="33"/>
    </row>
    <row r="3445" spans="1:25" x14ac:dyDescent="0.2">
      <c r="A3445" s="93" t="s">
        <v>1839</v>
      </c>
      <c r="B3445" s="94" t="str">
        <f>IFERROR(VLOOKUP($A3445,HeadJournal!$A$1:$NTR$890,COLUMN(HeadJournal!B$1),0),"")</f>
        <v>720000250552</v>
      </c>
      <c r="C3445" s="94" t="str">
        <f>IFERROR(VLOOKUP($A3445,HeadJournal!$A$1:$NTR$890,COLUMN(HeadJournal!C$1),0),"")</f>
        <v>iHerb_OA CZN6870</v>
      </c>
      <c r="D3445" s="125" t="str">
        <f>IFERROR(VLOOKUP($A3445,HeadJournal!$A$1:$NTR$890,COLUMN(HeadJournal!D$1),0),"")</f>
        <v>Доставлен</v>
      </c>
      <c r="E3445" s="95">
        <f>IFERROR(VLOOKUP($A3445,HeadJournal!$A$1:$NTR$890,COLUMN(HeadJournal!G$1),0),"")</f>
        <v>45441</v>
      </c>
      <c r="F3445" s="95" t="str">
        <f t="shared" si="272"/>
        <v>2024 05</v>
      </c>
      <c r="G3445" s="96" t="s">
        <v>5</v>
      </c>
      <c r="H3445" s="161" t="s">
        <v>2623</v>
      </c>
      <c r="I3445" s="97" t="s">
        <v>2052</v>
      </c>
      <c r="J3445" s="97" t="s">
        <v>3915</v>
      </c>
      <c r="K3445" s="29">
        <v>6.24</v>
      </c>
      <c r="L3445" s="29">
        <v>-3.12</v>
      </c>
      <c r="M3445" s="30">
        <f>IFERROR(VLOOKUP($A3445,HeadJournal!$A$1:$J$890,COLUMN(HeadJournal!I$1),0)*($K3445+$L3445)/(SUMIF($A:$A,$A3445,$K:$K)+SUMIF($A:$A,$A3445,$L:$L)),0)</f>
        <v>-0.30622994652406427</v>
      </c>
      <c r="N3445" s="30">
        <f>IFERROR((VLOOKUP($A3445,HeadJournal!$A$1:$K$890,COLUMN(HeadJournal!K$1),0)-VLOOKUP($A3445,HeadJournal!$A$1:$K$890,COLUMN(HeadJournal!J$1),0))*($K3445+$L3445)/(SUMIF($A:$A,$A3445,$K:$K)+SUMIF($A:$A,$A3445,$L:$L)),0)</f>
        <v>9.8792038127072773E-16</v>
      </c>
      <c r="O3445" s="30">
        <f>IFERROR((VLOOKUP($A3445,HeadJournal!$A$1:$L$890,COLUMN(HeadJournal!L$1),0)*($K3445+$L3445)/(SUMIF($A:$A,$A3445,$K:$K)+SUMIF($A:$A,$A3445,$L:$L)))/VLOOKUP($A3445,HeadJournal!$A$1:$L$890,COLUMN(HeadJournal!H$1),0),0)</f>
        <v>0.42072191976114631</v>
      </c>
      <c r="P3445" s="30">
        <f>IFERROR(SUM(K3445:O3445)*VLOOKUP($A3445,HeadJournal!$A$1:$L$890,COLUMN(HeadJournal!H$1),0),0)</f>
        <v>334.74015151515169</v>
      </c>
      <c r="Q3445" s="29">
        <v>900</v>
      </c>
      <c r="R3445" s="31">
        <v>45581</v>
      </c>
      <c r="S3445" s="31" t="s">
        <v>3121</v>
      </c>
      <c r="T3445" s="95" t="str">
        <f t="shared" si="273"/>
        <v>2024 10</v>
      </c>
      <c r="U3445" s="32">
        <f t="shared" si="270"/>
        <v>565.25984848484836</v>
      </c>
      <c r="V3445" s="22">
        <f t="shared" si="271"/>
        <v>1.6886526636445716</v>
      </c>
      <c r="X3445" s="33"/>
      <c r="Y3445" s="33"/>
    </row>
    <row r="3446" spans="1:25" x14ac:dyDescent="0.2">
      <c r="A3446" s="93" t="s">
        <v>1839</v>
      </c>
      <c r="B3446" s="94" t="str">
        <f>IFERROR(VLOOKUP($A3446,HeadJournal!$A$1:$NTR$890,COLUMN(HeadJournal!B$1),0),"")</f>
        <v>720000250552</v>
      </c>
      <c r="C3446" s="94" t="str">
        <f>IFERROR(VLOOKUP($A3446,HeadJournal!$A$1:$NTR$890,COLUMN(HeadJournal!C$1),0),"")</f>
        <v>iHerb_OA CZN6870</v>
      </c>
      <c r="D3446" s="125" t="str">
        <f>IFERROR(VLOOKUP($A3446,HeadJournal!$A$1:$NTR$890,COLUMN(HeadJournal!D$1),0),"")</f>
        <v>Доставлен</v>
      </c>
      <c r="E3446" s="95">
        <f>IFERROR(VLOOKUP($A3446,HeadJournal!$A$1:$NTR$890,COLUMN(HeadJournal!G$1),0),"")</f>
        <v>45441</v>
      </c>
      <c r="F3446" s="95" t="str">
        <f t="shared" si="272"/>
        <v>2024 05</v>
      </c>
      <c r="G3446" s="96" t="s">
        <v>5</v>
      </c>
      <c r="H3446" s="161" t="s">
        <v>2493</v>
      </c>
      <c r="I3446" s="97" t="s">
        <v>2009</v>
      </c>
      <c r="J3446" s="97" t="s">
        <v>2494</v>
      </c>
      <c r="K3446" s="29">
        <v>20.87</v>
      </c>
      <c r="L3446" s="29">
        <v>-4.17</v>
      </c>
      <c r="M3446" s="30">
        <f>IFERROR(VLOOKUP($A3446,HeadJournal!$A$1:$J$890,COLUMN(HeadJournal!I$1),0)*($K3446+$L3446)/(SUMIF($A:$A,$A3446,$K:$K)+SUMIF($A:$A,$A3446,$L:$L)),0)</f>
        <v>-1.6391154188948316</v>
      </c>
      <c r="N3446" s="30">
        <f>IFERROR((VLOOKUP($A3446,HeadJournal!$A$1:$K$890,COLUMN(HeadJournal!K$1),0)-VLOOKUP($A3446,HeadJournal!$A$1:$K$890,COLUMN(HeadJournal!J$1),0))*($K3446+$L3446)/(SUMIF($A:$A,$A3446,$K:$K)+SUMIF($A:$A,$A3446,$L:$L)),0)</f>
        <v>5.2879071689811397E-15</v>
      </c>
      <c r="O3446" s="30">
        <f>IFERROR((VLOOKUP($A3446,HeadJournal!$A$1:$L$890,COLUMN(HeadJournal!L$1),0)*($K3446+$L3446)/(SUMIF($A:$A,$A3446,$K:$K)+SUMIF($A:$A,$A3446,$L:$L)))/VLOOKUP($A3446,HeadJournal!$A$1:$L$890,COLUMN(HeadJournal!H$1),0),0)</f>
        <v>2.2519410448753669</v>
      </c>
      <c r="P3446" s="30">
        <f>IFERROR(SUM(K3446:O3446)*VLOOKUP($A3446,HeadJournal!$A$1:$L$890,COLUMN(HeadJournal!H$1),0),0)</f>
        <v>1791.71811868687</v>
      </c>
      <c r="Q3446" s="29">
        <v>2500</v>
      </c>
      <c r="R3446" s="31">
        <v>45548</v>
      </c>
      <c r="S3446" s="31" t="s">
        <v>3121</v>
      </c>
      <c r="T3446" s="95" t="str">
        <f t="shared" si="273"/>
        <v>2024 09</v>
      </c>
      <c r="U3446" s="32">
        <f t="shared" si="270"/>
        <v>708.28188131313004</v>
      </c>
      <c r="V3446" s="22">
        <f t="shared" si="271"/>
        <v>0.39530876756005673</v>
      </c>
      <c r="X3446" s="33"/>
      <c r="Y3446" s="33"/>
    </row>
    <row r="3447" spans="1:25" x14ac:dyDescent="0.2">
      <c r="A3447" s="93" t="s">
        <v>1839</v>
      </c>
      <c r="B3447" s="94" t="str">
        <f>IFERROR(VLOOKUP($A3447,HeadJournal!$A$1:$NTR$890,COLUMN(HeadJournal!B$1),0),"")</f>
        <v>720000250552</v>
      </c>
      <c r="C3447" s="94" t="str">
        <f>IFERROR(VLOOKUP($A3447,HeadJournal!$A$1:$NTR$890,COLUMN(HeadJournal!C$1),0),"")</f>
        <v>iHerb_OA CZN6870</v>
      </c>
      <c r="D3447" s="125" t="str">
        <f>IFERROR(VLOOKUP($A3447,HeadJournal!$A$1:$NTR$890,COLUMN(HeadJournal!D$1),0),"")</f>
        <v>Доставлен</v>
      </c>
      <c r="E3447" s="95">
        <f>IFERROR(VLOOKUP($A3447,HeadJournal!$A$1:$NTR$890,COLUMN(HeadJournal!G$1),0),"")</f>
        <v>45441</v>
      </c>
      <c r="F3447" s="95" t="str">
        <f t="shared" si="272"/>
        <v>2024 05</v>
      </c>
      <c r="G3447" s="96" t="s">
        <v>7</v>
      </c>
      <c r="H3447" s="160" t="str">
        <f>RIGHT(Journal!$J3447,9)</f>
        <v>MLI-01686</v>
      </c>
      <c r="I3447" s="127" t="str">
        <f t="shared" ref="I3447:I3510" si="274">IFERROR(LEFT(J3447,FIND(",",J3447)-1),"")</f>
        <v>Madre Labs</v>
      </c>
      <c r="J3447" s="97" t="s">
        <v>1837</v>
      </c>
      <c r="K3447" s="29">
        <v>18.93</v>
      </c>
      <c r="L3447" s="29">
        <v>-16.43</v>
      </c>
      <c r="M3447" s="30">
        <f>IFERROR(VLOOKUP($A3447,HeadJournal!$A$1:$J$890,COLUMN(HeadJournal!I$1),0)*($K3447+$L3447)/(SUMIF($A:$A,$A3447,$K:$K)+SUMIF($A:$A,$A3447,$L:$L)),0)</f>
        <v>-0.24537655971479511</v>
      </c>
      <c r="N3447" s="30">
        <f>IFERROR((VLOOKUP($A3447,HeadJournal!$A$1:$K$890,COLUMN(HeadJournal!K$1),0)-VLOOKUP($A3447,HeadJournal!$A$1:$K$890,COLUMN(HeadJournal!J$1),0))*($K3447+$L3447)/(SUMIF($A:$A,$A3447,$K:$K)+SUMIF($A:$A,$A3447,$L:$L)),0)</f>
        <v>7.9160286960795493E-16</v>
      </c>
      <c r="O3447" s="30">
        <f>IFERROR((VLOOKUP($A3447,HeadJournal!$A$1:$L$890,COLUMN(HeadJournal!L$1),0)*($K3447+$L3447)/(SUMIF($A:$A,$A3447,$K:$K)+SUMIF($A:$A,$A3447,$L:$L)))/VLOOKUP($A3447,HeadJournal!$A$1:$L$890,COLUMN(HeadJournal!H$1),0),0)</f>
        <v>0.33711692288553391</v>
      </c>
      <c r="P3447" s="30">
        <f>IFERROR(SUM(K3447:O3447)*VLOOKUP($A3447,HeadJournal!$A$1:$L$890,COLUMN(HeadJournal!H$1),0),0)</f>
        <v>268.22127525252534</v>
      </c>
      <c r="Q3447" s="29"/>
      <c r="R3447" s="31"/>
      <c r="S3447" s="31"/>
      <c r="T3447" s="95" t="str">
        <f t="shared" si="273"/>
        <v/>
      </c>
      <c r="U3447" s="32">
        <f t="shared" si="270"/>
        <v>-268.22127525252534</v>
      </c>
      <c r="V3447" s="22" t="str">
        <f t="shared" si="271"/>
        <v/>
      </c>
      <c r="X3447" s="33"/>
      <c r="Y3447" s="33"/>
    </row>
    <row r="3448" spans="1:25" x14ac:dyDescent="0.2">
      <c r="A3448" s="93" t="s">
        <v>1839</v>
      </c>
      <c r="B3448" s="94" t="str">
        <f>IFERROR(VLOOKUP($A3448,HeadJournal!$A$1:$NTR$890,COLUMN(HeadJournal!B$1),0),"")</f>
        <v>720000250552</v>
      </c>
      <c r="C3448" s="94" t="str">
        <f>IFERROR(VLOOKUP($A3448,HeadJournal!$A$1:$NTR$890,COLUMN(HeadJournal!C$1),0),"")</f>
        <v>iHerb_OA CZN6870</v>
      </c>
      <c r="D3448" s="125" t="str">
        <f>IFERROR(VLOOKUP($A3448,HeadJournal!$A$1:$NTR$890,COLUMN(HeadJournal!D$1),0),"")</f>
        <v>Доставлен</v>
      </c>
      <c r="E3448" s="95">
        <f>IFERROR(VLOOKUP($A3448,HeadJournal!$A$1:$NTR$890,COLUMN(HeadJournal!G$1),0),"")</f>
        <v>45441</v>
      </c>
      <c r="F3448" s="95" t="str">
        <f t="shared" si="272"/>
        <v>2024 05</v>
      </c>
      <c r="G3448" s="96" t="s">
        <v>7</v>
      </c>
      <c r="H3448" s="160" t="str">
        <f>RIGHT(Journal!$J3448,9)</f>
        <v>MLI-01688</v>
      </c>
      <c r="I3448" s="127" t="str">
        <f t="shared" si="274"/>
        <v>Madre Labs</v>
      </c>
      <c r="J3448" s="97" t="s">
        <v>1838</v>
      </c>
      <c r="K3448" s="29">
        <v>18.760000000000002</v>
      </c>
      <c r="L3448" s="29">
        <v>-16.260000000000002</v>
      </c>
      <c r="M3448" s="30">
        <f>IFERROR(VLOOKUP($A3448,HeadJournal!$A$1:$J$890,COLUMN(HeadJournal!I$1),0)*($K3448+$L3448)/(SUMIF($A:$A,$A3448,$K:$K)+SUMIF($A:$A,$A3448,$L:$L)),0)</f>
        <v>-0.24537655971479511</v>
      </c>
      <c r="N3448" s="30">
        <f>IFERROR((VLOOKUP($A3448,HeadJournal!$A$1:$K$890,COLUMN(HeadJournal!K$1),0)-VLOOKUP($A3448,HeadJournal!$A$1:$K$890,COLUMN(HeadJournal!J$1),0))*($K3448+$L3448)/(SUMIF($A:$A,$A3448,$K:$K)+SUMIF($A:$A,$A3448,$L:$L)),0)</f>
        <v>7.9160286960795493E-16</v>
      </c>
      <c r="O3448" s="30">
        <f>IFERROR((VLOOKUP($A3448,HeadJournal!$A$1:$L$890,COLUMN(HeadJournal!L$1),0)*($K3448+$L3448)/(SUMIF($A:$A,$A3448,$K:$K)+SUMIF($A:$A,$A3448,$L:$L)))/VLOOKUP($A3448,HeadJournal!$A$1:$L$890,COLUMN(HeadJournal!H$1),0),0)</f>
        <v>0.33711692288553391</v>
      </c>
      <c r="P3448" s="30">
        <f>IFERROR(SUM(K3448:O3448)*VLOOKUP($A3448,HeadJournal!$A$1:$L$890,COLUMN(HeadJournal!H$1),0),0)</f>
        <v>268.22127525252534</v>
      </c>
      <c r="Q3448" s="29"/>
      <c r="R3448" s="31"/>
      <c r="S3448" s="31"/>
      <c r="T3448" s="95" t="str">
        <f t="shared" si="273"/>
        <v/>
      </c>
      <c r="U3448" s="32">
        <f t="shared" si="270"/>
        <v>-268.22127525252534</v>
      </c>
      <c r="V3448" s="22" t="str">
        <f t="shared" si="271"/>
        <v/>
      </c>
      <c r="X3448" s="33"/>
      <c r="Y3448" s="33"/>
    </row>
    <row r="3449" spans="1:25" x14ac:dyDescent="0.2">
      <c r="A3449" s="93" t="s">
        <v>1839</v>
      </c>
      <c r="B3449" s="94" t="str">
        <f>IFERROR(VLOOKUP($A3449,HeadJournal!$A$1:$NTR$890,COLUMN(HeadJournal!B$1),0),"")</f>
        <v>720000250552</v>
      </c>
      <c r="C3449" s="94" t="str">
        <f>IFERROR(VLOOKUP($A3449,HeadJournal!$A$1:$NTR$890,COLUMN(HeadJournal!C$1),0),"")</f>
        <v>iHerb_OA CZN6870</v>
      </c>
      <c r="D3449" s="125" t="str">
        <f>IFERROR(VLOOKUP($A3449,HeadJournal!$A$1:$NTR$890,COLUMN(HeadJournal!D$1),0),"")</f>
        <v>Доставлен</v>
      </c>
      <c r="E3449" s="95">
        <f>IFERROR(VLOOKUP($A3449,HeadJournal!$A$1:$NTR$890,COLUMN(HeadJournal!G$1),0),"")</f>
        <v>45441</v>
      </c>
      <c r="F3449" s="95" t="str">
        <f t="shared" si="272"/>
        <v>2024 05</v>
      </c>
      <c r="G3449" s="96" t="s">
        <v>5</v>
      </c>
      <c r="H3449" s="160" t="str">
        <f>RIGHT(Journal!$J3449,9)</f>
        <v>CGN-01176</v>
      </c>
      <c r="I3449" s="127" t="str">
        <f t="shared" si="274"/>
        <v>California Gold Nutrition</v>
      </c>
      <c r="J3449" s="97" t="s">
        <v>1841</v>
      </c>
      <c r="K3449" s="29">
        <v>36.96</v>
      </c>
      <c r="L3449" s="29">
        <v>-11.09</v>
      </c>
      <c r="M3449" s="30">
        <f>IFERROR(VLOOKUP($A3449,HeadJournal!$A$1:$J$890,COLUMN(HeadJournal!I$1),0)*($K3449+$L3449)/(SUMIF($A:$A,$A3449,$K:$K)+SUMIF($A:$A,$A3449,$L:$L)),0)</f>
        <v>-2.5391566399286996</v>
      </c>
      <c r="N3449" s="30">
        <f>IFERROR((VLOOKUP($A3449,HeadJournal!$A$1:$K$890,COLUMN(HeadJournal!K$1),0)-VLOOKUP($A3449,HeadJournal!$A$1:$K$890,COLUMN(HeadJournal!J$1),0))*($K3449+$L3449)/(SUMIF($A:$A,$A3449,$K:$K)+SUMIF($A:$A,$A3449,$L:$L)),0)</f>
        <v>8.1915064947031188E-15</v>
      </c>
      <c r="O3449" s="30">
        <f>IFERROR((VLOOKUP($A3449,HeadJournal!$A$1:$L$890,COLUMN(HeadJournal!L$1),0)*($K3449+$L3449)/(SUMIF($A:$A,$A3449,$K:$K)+SUMIF($A:$A,$A3449,$L:$L)))/VLOOKUP($A3449,HeadJournal!$A$1:$L$890,COLUMN(HeadJournal!H$1),0),0)</f>
        <v>3.4884859180195051</v>
      </c>
      <c r="P3449" s="30">
        <f>IFERROR(SUM(K3449:O3449)*VLOOKUP($A3449,HeadJournal!$A$1:$L$890,COLUMN(HeadJournal!H$1),0),0)</f>
        <v>2775.5537563131329</v>
      </c>
      <c r="Q3449" s="29">
        <v>4100</v>
      </c>
      <c r="R3449" s="31">
        <v>45727</v>
      </c>
      <c r="S3449" s="31" t="s">
        <v>3121</v>
      </c>
      <c r="T3449" s="95" t="str">
        <f t="shared" si="273"/>
        <v>2025 03</v>
      </c>
      <c r="U3449" s="32">
        <f t="shared" si="270"/>
        <v>1324.4462436868671</v>
      </c>
      <c r="V3449" s="22">
        <f t="shared" si="271"/>
        <v>0.47718270297390181</v>
      </c>
      <c r="X3449" s="33"/>
      <c r="Y3449" s="33"/>
    </row>
    <row r="3450" spans="1:25" x14ac:dyDescent="0.2">
      <c r="A3450" s="93" t="s">
        <v>1839</v>
      </c>
      <c r="B3450" s="94" t="str">
        <f>IFERROR(VLOOKUP($A3450,HeadJournal!$A$1:$NTR$890,COLUMN(HeadJournal!B$1),0),"")</f>
        <v>720000250552</v>
      </c>
      <c r="C3450" s="94" t="str">
        <f>IFERROR(VLOOKUP($A3450,HeadJournal!$A$1:$NTR$890,COLUMN(HeadJournal!C$1),0),"")</f>
        <v>iHerb_OA CZN6870</v>
      </c>
      <c r="D3450" s="125" t="str">
        <f>IFERROR(VLOOKUP($A3450,HeadJournal!$A$1:$NTR$890,COLUMN(HeadJournal!D$1),0),"")</f>
        <v>Доставлен</v>
      </c>
      <c r="E3450" s="95">
        <f>IFERROR(VLOOKUP($A3450,HeadJournal!$A$1:$NTR$890,COLUMN(HeadJournal!G$1),0),"")</f>
        <v>45441</v>
      </c>
      <c r="F3450" s="95" t="str">
        <f t="shared" si="272"/>
        <v>2024 05</v>
      </c>
      <c r="G3450" s="96" t="s">
        <v>5</v>
      </c>
      <c r="H3450" s="161" t="s">
        <v>4046</v>
      </c>
      <c r="I3450" s="97" t="s">
        <v>2009</v>
      </c>
      <c r="J3450" s="97" t="s">
        <v>4047</v>
      </c>
      <c r="K3450" s="29">
        <v>12.1</v>
      </c>
      <c r="L3450" s="29">
        <v>-2.42</v>
      </c>
      <c r="M3450" s="30">
        <f>IFERROR(VLOOKUP($A3450,HeadJournal!$A$1:$J$890,COLUMN(HeadJournal!I$1),0)*($K3450+$L3450)/(SUMIF($A:$A,$A3450,$K:$K)+SUMIF($A:$A,$A3450,$L:$L)),0)</f>
        <v>-0.95009803921568647</v>
      </c>
      <c r="N3450" s="30">
        <f>IFERROR((VLOOKUP($A3450,HeadJournal!$A$1:$K$890,COLUMN(HeadJournal!K$1),0)-VLOOKUP($A3450,HeadJournal!$A$1:$K$890,COLUMN(HeadJournal!J$1),0))*($K3450+$L3450)/(SUMIF($A:$A,$A3450,$K:$K)+SUMIF($A:$A,$A3450,$L:$L)),0)</f>
        <v>3.0650863111220014E-15</v>
      </c>
      <c r="O3450" s="30">
        <f>IFERROR((VLOOKUP($A3450,HeadJournal!$A$1:$L$890,COLUMN(HeadJournal!L$1),0)*($K3450+$L3450)/(SUMIF($A:$A,$A3450,$K:$K)+SUMIF($A:$A,$A3450,$L:$L)))/VLOOKUP($A3450,HeadJournal!$A$1:$L$890,COLUMN(HeadJournal!H$1),0),0)</f>
        <v>1.3053167254127873</v>
      </c>
      <c r="P3450" s="30">
        <f>IFERROR(SUM(K3450:O3450)*VLOOKUP($A3450,HeadJournal!$A$1:$L$890,COLUMN(HeadJournal!H$1),0),0)</f>
        <v>1038.5527777777781</v>
      </c>
      <c r="Q3450" s="29">
        <v>1700</v>
      </c>
      <c r="R3450" s="31">
        <v>45843</v>
      </c>
      <c r="S3450" s="31" t="s">
        <v>3206</v>
      </c>
      <c r="T3450" s="95" t="str">
        <f t="shared" si="273"/>
        <v>2025 07</v>
      </c>
      <c r="U3450" s="32">
        <f t="shared" si="270"/>
        <v>661.44722222222185</v>
      </c>
      <c r="V3450" s="22">
        <f t="shared" si="271"/>
        <v>0.63689321946405064</v>
      </c>
      <c r="X3450" s="33"/>
      <c r="Y3450" s="33"/>
    </row>
    <row r="3451" spans="1:25" x14ac:dyDescent="0.2">
      <c r="A3451" s="93" t="s">
        <v>1839</v>
      </c>
      <c r="B3451" s="94" t="str">
        <f>IFERROR(VLOOKUP($A3451,HeadJournal!$A$1:$NTR$890,COLUMN(HeadJournal!B$1),0),"")</f>
        <v>720000250552</v>
      </c>
      <c r="C3451" s="94" t="str">
        <f>IFERROR(VLOOKUP($A3451,HeadJournal!$A$1:$NTR$890,COLUMN(HeadJournal!C$1),0),"")</f>
        <v>iHerb_OA CZN6870</v>
      </c>
      <c r="D3451" s="125" t="str">
        <f>IFERROR(VLOOKUP($A3451,HeadJournal!$A$1:$NTR$890,COLUMN(HeadJournal!D$1),0),"")</f>
        <v>Доставлен</v>
      </c>
      <c r="E3451" s="95">
        <f>IFERROR(VLOOKUP($A3451,HeadJournal!$A$1:$NTR$890,COLUMN(HeadJournal!G$1),0),"")</f>
        <v>45441</v>
      </c>
      <c r="F3451" s="95" t="str">
        <f t="shared" si="272"/>
        <v>2024 05</v>
      </c>
      <c r="G3451" s="96" t="s">
        <v>5</v>
      </c>
      <c r="H3451" s="161" t="s">
        <v>3822</v>
      </c>
      <c r="I3451" s="97" t="s">
        <v>2009</v>
      </c>
      <c r="J3451" s="97" t="s">
        <v>3823</v>
      </c>
      <c r="K3451" s="29">
        <v>10.69</v>
      </c>
      <c r="L3451" s="29">
        <v>-2.14</v>
      </c>
      <c r="M3451" s="30">
        <f>IFERROR(VLOOKUP($A3451,HeadJournal!$A$1:$J$890,COLUMN(HeadJournal!I$1),0)*($K3451+$L3451)/(SUMIF($A:$A,$A3451,$K:$K)+SUMIF($A:$A,$A3451,$L:$L)),0)</f>
        <v>-0.83918783422459908</v>
      </c>
      <c r="N3451" s="30">
        <f>IFERROR((VLOOKUP($A3451,HeadJournal!$A$1:$K$890,COLUMN(HeadJournal!K$1),0)-VLOOKUP($A3451,HeadJournal!$A$1:$K$890,COLUMN(HeadJournal!J$1),0))*($K3451+$L3451)/(SUMIF($A:$A,$A3451,$K:$K)+SUMIF($A:$A,$A3451,$L:$L)),0)</f>
        <v>2.7072818140592054E-15</v>
      </c>
      <c r="O3451" s="30">
        <f>IFERROR((VLOOKUP($A3451,HeadJournal!$A$1:$L$890,COLUMN(HeadJournal!L$1),0)*($K3451+$L3451)/(SUMIF($A:$A,$A3451,$K:$K)+SUMIF($A:$A,$A3451,$L:$L)))/VLOOKUP($A3451,HeadJournal!$A$1:$L$890,COLUMN(HeadJournal!H$1),0),0)</f>
        <v>1.1529398762685259</v>
      </c>
      <c r="P3451" s="30">
        <f>IFERROR(SUM(K3451:O3451)*VLOOKUP($A3451,HeadJournal!$A$1:$L$890,COLUMN(HeadJournal!H$1),0),0)</f>
        <v>917.3167613636366</v>
      </c>
      <c r="Q3451" s="29">
        <v>1600</v>
      </c>
      <c r="R3451" s="31">
        <v>45562</v>
      </c>
      <c r="S3451" s="31" t="s">
        <v>3206</v>
      </c>
      <c r="T3451" s="95" t="str">
        <f t="shared" si="273"/>
        <v>2024 09</v>
      </c>
      <c r="U3451" s="32">
        <f t="shared" si="270"/>
        <v>682.6832386363634</v>
      </c>
      <c r="V3451" s="22">
        <f t="shared" si="271"/>
        <v>0.74421755645402254</v>
      </c>
      <c r="X3451" s="33"/>
      <c r="Y3451" s="33"/>
    </row>
    <row r="3452" spans="1:25" x14ac:dyDescent="0.2">
      <c r="A3452" s="93" t="s">
        <v>1839</v>
      </c>
      <c r="B3452" s="94" t="str">
        <f>IFERROR(VLOOKUP($A3452,HeadJournal!$A$1:$NTR$890,COLUMN(HeadJournal!B$1),0),"")</f>
        <v>720000250552</v>
      </c>
      <c r="C3452" s="94" t="str">
        <f>IFERROR(VLOOKUP($A3452,HeadJournal!$A$1:$NTR$890,COLUMN(HeadJournal!C$1),0),"")</f>
        <v>iHerb_OA CZN6870</v>
      </c>
      <c r="D3452" s="125" t="str">
        <f>IFERROR(VLOOKUP($A3452,HeadJournal!$A$1:$NTR$890,COLUMN(HeadJournal!D$1),0),"")</f>
        <v>Доставлен</v>
      </c>
      <c r="E3452" s="95">
        <f>IFERROR(VLOOKUP($A3452,HeadJournal!$A$1:$NTR$890,COLUMN(HeadJournal!G$1),0),"")</f>
        <v>45441</v>
      </c>
      <c r="F3452" s="95" t="str">
        <f t="shared" si="272"/>
        <v>2024 05</v>
      </c>
      <c r="G3452" s="96" t="s">
        <v>5</v>
      </c>
      <c r="H3452" s="160" t="str">
        <f>RIGHT(Journal!$J3452,9)</f>
        <v>SOR-04271</v>
      </c>
      <c r="I3452" s="127" t="str">
        <f t="shared" si="274"/>
        <v>Solaray</v>
      </c>
      <c r="J3452" s="97" t="s">
        <v>1842</v>
      </c>
      <c r="K3452" s="29">
        <v>11.85</v>
      </c>
      <c r="L3452" s="29">
        <v>-2.37</v>
      </c>
      <c r="M3452" s="30">
        <f>IFERROR(VLOOKUP($A3452,HeadJournal!$A$1:$J$890,COLUMN(HeadJournal!I$1),0)*($K3452+$L3452)/(SUMIF($A:$A,$A3452,$K:$K)+SUMIF($A:$A,$A3452,$L:$L)),0)</f>
        <v>-0.93046791443850307</v>
      </c>
      <c r="N3452" s="30">
        <f>IFERROR((VLOOKUP($A3452,HeadJournal!$A$1:$K$890,COLUMN(HeadJournal!K$1),0)-VLOOKUP($A3452,HeadJournal!$A$1:$K$890,COLUMN(HeadJournal!J$1),0))*($K3452+$L3452)/(SUMIF($A:$A,$A3452,$K:$K)+SUMIF($A:$A,$A3452,$L:$L)),0)</f>
        <v>3.0017580815533654E-15</v>
      </c>
      <c r="O3452" s="30">
        <f>IFERROR((VLOOKUP($A3452,HeadJournal!$A$1:$L$890,COLUMN(HeadJournal!L$1),0)*($K3452+$L3452)/(SUMIF($A:$A,$A3452,$K:$K)+SUMIF($A:$A,$A3452,$L:$L)))/VLOOKUP($A3452,HeadJournal!$A$1:$L$890,COLUMN(HeadJournal!H$1),0),0)</f>
        <v>1.2783473715819449</v>
      </c>
      <c r="P3452" s="30">
        <f>IFERROR(SUM(K3452:O3452)*VLOOKUP($A3452,HeadJournal!$A$1:$L$890,COLUMN(HeadJournal!H$1),0),0)</f>
        <v>1017.0950757575764</v>
      </c>
      <c r="Q3452" s="29">
        <v>1017.1</v>
      </c>
      <c r="R3452" s="31"/>
      <c r="S3452" s="31"/>
      <c r="T3452" s="95" t="str">
        <f t="shared" si="273"/>
        <v/>
      </c>
      <c r="U3452" s="32">
        <f t="shared" si="270"/>
        <v>4.9242424236126681E-3</v>
      </c>
      <c r="V3452" s="22">
        <f t="shared" si="271"/>
        <v>4.8414770073927254E-6</v>
      </c>
      <c r="X3452" s="33"/>
      <c r="Y3452" s="33"/>
    </row>
    <row r="3453" spans="1:25" x14ac:dyDescent="0.2">
      <c r="A3453" s="93" t="s">
        <v>1839</v>
      </c>
      <c r="B3453" s="94" t="str">
        <f>IFERROR(VLOOKUP($A3453,HeadJournal!$A$1:$NTR$890,COLUMN(HeadJournal!B$1),0),"")</f>
        <v>720000250552</v>
      </c>
      <c r="C3453" s="94" t="str">
        <f>IFERROR(VLOOKUP($A3453,HeadJournal!$A$1:$NTR$890,COLUMN(HeadJournal!C$1),0),"")</f>
        <v>iHerb_OA CZN6870</v>
      </c>
      <c r="D3453" s="125" t="str">
        <f>IFERROR(VLOOKUP($A3453,HeadJournal!$A$1:$NTR$890,COLUMN(HeadJournal!D$1),0),"")</f>
        <v>Доставлен</v>
      </c>
      <c r="E3453" s="95">
        <f>IFERROR(VLOOKUP($A3453,HeadJournal!$A$1:$NTR$890,COLUMN(HeadJournal!G$1),0),"")</f>
        <v>45441</v>
      </c>
      <c r="F3453" s="95" t="str">
        <f t="shared" si="272"/>
        <v>2024 05</v>
      </c>
      <c r="G3453" s="96" t="s">
        <v>7</v>
      </c>
      <c r="H3453" s="175" t="s">
        <v>3635</v>
      </c>
      <c r="I3453" s="176" t="s">
        <v>2556</v>
      </c>
      <c r="J3453" s="97" t="s">
        <v>3679</v>
      </c>
      <c r="K3453" s="29">
        <v>18.829999999999998</v>
      </c>
      <c r="L3453" s="29">
        <v>-16.829999999999998</v>
      </c>
      <c r="M3453" s="30">
        <f>IFERROR(VLOOKUP($A3453,HeadJournal!$A$1:$J$890,COLUMN(HeadJournal!I$1),0)*($K3453+$L3453)/(SUMIF($A:$A,$A3453,$K:$K)+SUMIF($A:$A,$A3453,$L:$L)),0)</f>
        <v>-0.19630124777183608</v>
      </c>
      <c r="N3453" s="30">
        <f>IFERROR((VLOOKUP($A3453,HeadJournal!$A$1:$K$890,COLUMN(HeadJournal!K$1),0)-VLOOKUP($A3453,HeadJournal!$A$1:$K$890,COLUMN(HeadJournal!J$1),0))*($K3453+$L3453)/(SUMIF($A:$A,$A3453,$K:$K)+SUMIF($A:$A,$A3453,$L:$L)),0)</f>
        <v>6.33282295686364E-16</v>
      </c>
      <c r="O3453" s="30">
        <f>IFERROR((VLOOKUP($A3453,HeadJournal!$A$1:$L$890,COLUMN(HeadJournal!L$1),0)*($K3453+$L3453)/(SUMIF($A:$A,$A3453,$K:$K)+SUMIF($A:$A,$A3453,$L:$L)))/VLOOKUP($A3453,HeadJournal!$A$1:$L$890,COLUMN(HeadJournal!H$1),0),0)</f>
        <v>0.26969353830842713</v>
      </c>
      <c r="P3453" s="30">
        <f>IFERROR(SUM(K3453:O3453)*VLOOKUP($A3453,HeadJournal!$A$1:$L$890,COLUMN(HeadJournal!H$1),0),0)</f>
        <v>214.57702020202032</v>
      </c>
      <c r="Q3453" s="29"/>
      <c r="R3453" s="31"/>
      <c r="S3453" s="31"/>
      <c r="T3453" s="95" t="str">
        <f t="shared" si="273"/>
        <v/>
      </c>
      <c r="U3453" s="32">
        <f t="shared" si="270"/>
        <v>-214.57702020202032</v>
      </c>
      <c r="V3453" s="22" t="str">
        <f t="shared" si="271"/>
        <v/>
      </c>
      <c r="X3453" s="33"/>
      <c r="Y3453" s="33"/>
    </row>
    <row r="3454" spans="1:25" x14ac:dyDescent="0.2">
      <c r="A3454" s="93" t="s">
        <v>1848</v>
      </c>
      <c r="B3454" s="94" t="str">
        <f>IFERROR(VLOOKUP($A3454,HeadJournal!$A$1:$NTR$890,COLUMN(HeadJournal!B$1),0),"")</f>
        <v>720000264382</v>
      </c>
      <c r="C3454" s="94" t="str">
        <f>IFERROR(VLOOKUP($A3454,HeadJournal!$A$1:$NTR$890,COLUMN(HeadJournal!C$1),0),"")</f>
        <v>iHerb_VP DFD1605</v>
      </c>
      <c r="D3454" s="125" t="str">
        <f>IFERROR(VLOOKUP($A3454,HeadJournal!$A$1:$NTR$890,COLUMN(HeadJournal!D$1),0),"")</f>
        <v>Доставлен</v>
      </c>
      <c r="E3454" s="95">
        <f>IFERROR(VLOOKUP($A3454,HeadJournal!$A$1:$NTR$890,COLUMN(HeadJournal!G$1),0),"")</f>
        <v>45455</v>
      </c>
      <c r="F3454" s="95" t="str">
        <f t="shared" si="272"/>
        <v>2024 06</v>
      </c>
      <c r="G3454" s="96" t="s">
        <v>5</v>
      </c>
      <c r="H3454" s="161" t="s">
        <v>2546</v>
      </c>
      <c r="I3454" s="97" t="s">
        <v>2039</v>
      </c>
      <c r="J3454" s="97" t="s">
        <v>2547</v>
      </c>
      <c r="K3454" s="29">
        <v>10.76</v>
      </c>
      <c r="L3454" s="29">
        <v>-2.1533333333333333</v>
      </c>
      <c r="M3454" s="30">
        <f>IFERROR(VLOOKUP($A3454,HeadJournal!$A$1:$J$890,COLUMN(HeadJournal!I$1),0)*($K3454+$L3454)/(SUMIF($A:$A,$A3454,$K:$K)+SUMIF($A:$A,$A3454,$L:$L)),0)</f>
        <v>0</v>
      </c>
      <c r="N3454" s="30">
        <f>IFERROR((VLOOKUP($A3454,HeadJournal!$A$1:$K$890,COLUMN(HeadJournal!K$1),0)-VLOOKUP($A3454,HeadJournal!$A$1:$K$890,COLUMN(HeadJournal!J$1),0))*($K3454+$L3454)/(SUMIF($A:$A,$A3454,$K:$K)+SUMIF($A:$A,$A3454,$L:$L)),0)</f>
        <v>0</v>
      </c>
      <c r="O3454" s="30">
        <f>IFERROR((VLOOKUP($A3454,HeadJournal!$A$1:$L$890,COLUMN(HeadJournal!L$1),0)*($K3454+$L3454)/(SUMIF($A:$A,$A3454,$K:$K)+SUMIF($A:$A,$A3454,$L:$L)))/VLOOKUP($A3454,HeadJournal!$A$1:$L$890,COLUMN(HeadJournal!H$1),0),0)</f>
        <v>0.5869468306974458</v>
      </c>
      <c r="P3454" s="30">
        <f>IFERROR(SUM(K3454:O3454)*VLOOKUP($A3454,HeadJournal!$A$1:$L$890,COLUMN(HeadJournal!H$1),0),0)</f>
        <v>936.32966737482286</v>
      </c>
      <c r="Q3454" s="29">
        <v>1500</v>
      </c>
      <c r="R3454" s="31">
        <v>45530</v>
      </c>
      <c r="S3454" s="31" t="s">
        <v>3121</v>
      </c>
      <c r="T3454" s="95" t="str">
        <f t="shared" si="273"/>
        <v>2024 08</v>
      </c>
      <c r="U3454" s="32">
        <f t="shared" si="270"/>
        <v>563.67033262517714</v>
      </c>
      <c r="V3454" s="22">
        <f t="shared" si="271"/>
        <v>0.60199986422040153</v>
      </c>
      <c r="X3454" s="33"/>
      <c r="Y3454" s="33"/>
    </row>
    <row r="3455" spans="1:25" x14ac:dyDescent="0.2">
      <c r="A3455" s="93" t="s">
        <v>1848</v>
      </c>
      <c r="B3455" s="94" t="str">
        <f>IFERROR(VLOOKUP($A3455,HeadJournal!$A$1:$NTR$890,COLUMN(HeadJournal!B$1),0),"")</f>
        <v>720000264382</v>
      </c>
      <c r="C3455" s="94" t="str">
        <f>IFERROR(VLOOKUP($A3455,HeadJournal!$A$1:$NTR$890,COLUMN(HeadJournal!C$1),0),"")</f>
        <v>iHerb_VP DFD1605</v>
      </c>
      <c r="D3455" s="125" t="str">
        <f>IFERROR(VLOOKUP($A3455,HeadJournal!$A$1:$NTR$890,COLUMN(HeadJournal!D$1),0),"")</f>
        <v>Доставлен</v>
      </c>
      <c r="E3455" s="95">
        <f>IFERROR(VLOOKUP($A3455,HeadJournal!$A$1:$NTR$890,COLUMN(HeadJournal!G$1),0),"")</f>
        <v>45455</v>
      </c>
      <c r="F3455" s="95" t="str">
        <f t="shared" si="272"/>
        <v>2024 06</v>
      </c>
      <c r="G3455" s="96" t="s">
        <v>5</v>
      </c>
      <c r="H3455" s="161" t="s">
        <v>2546</v>
      </c>
      <c r="I3455" s="97" t="s">
        <v>2039</v>
      </c>
      <c r="J3455" s="97" t="s">
        <v>2547</v>
      </c>
      <c r="K3455" s="29">
        <v>10.76</v>
      </c>
      <c r="L3455" s="29">
        <v>-2.1533333333333333</v>
      </c>
      <c r="M3455" s="30">
        <f>IFERROR(VLOOKUP($A3455,HeadJournal!$A$1:$J$890,COLUMN(HeadJournal!I$1),0)*($K3455+$L3455)/(SUMIF($A:$A,$A3455,$K:$K)+SUMIF($A:$A,$A3455,$L:$L)),0)</f>
        <v>0</v>
      </c>
      <c r="N3455" s="30">
        <f>IFERROR((VLOOKUP($A3455,HeadJournal!$A$1:$K$890,COLUMN(HeadJournal!K$1),0)-VLOOKUP($A3455,HeadJournal!$A$1:$K$890,COLUMN(HeadJournal!J$1),0))*($K3455+$L3455)/(SUMIF($A:$A,$A3455,$K:$K)+SUMIF($A:$A,$A3455,$L:$L)),0)</f>
        <v>0</v>
      </c>
      <c r="O3455" s="30">
        <f>IFERROR((VLOOKUP($A3455,HeadJournal!$A$1:$L$890,COLUMN(HeadJournal!L$1),0)*($K3455+$L3455)/(SUMIF($A:$A,$A3455,$K:$K)+SUMIF($A:$A,$A3455,$L:$L)))/VLOOKUP($A3455,HeadJournal!$A$1:$L$890,COLUMN(HeadJournal!H$1),0),0)</f>
        <v>0.5869468306974458</v>
      </c>
      <c r="P3455" s="30">
        <f>IFERROR(SUM(K3455:O3455)*VLOOKUP($A3455,HeadJournal!$A$1:$L$890,COLUMN(HeadJournal!H$1),0),0)</f>
        <v>936.32966737482286</v>
      </c>
      <c r="Q3455" s="29">
        <v>1500</v>
      </c>
      <c r="R3455" s="31">
        <v>45530</v>
      </c>
      <c r="S3455" s="31" t="s">
        <v>3121</v>
      </c>
      <c r="T3455" s="95" t="str">
        <f t="shared" si="273"/>
        <v>2024 08</v>
      </c>
      <c r="U3455" s="32">
        <f t="shared" si="270"/>
        <v>563.67033262517714</v>
      </c>
      <c r="V3455" s="22">
        <f t="shared" si="271"/>
        <v>0.60199986422040153</v>
      </c>
      <c r="X3455" s="33"/>
      <c r="Y3455" s="33"/>
    </row>
    <row r="3456" spans="1:25" x14ac:dyDescent="0.2">
      <c r="A3456" s="93" t="s">
        <v>1848</v>
      </c>
      <c r="B3456" s="94" t="str">
        <f>IFERROR(VLOOKUP($A3456,HeadJournal!$A$1:$NTR$890,COLUMN(HeadJournal!B$1),0),"")</f>
        <v>720000264382</v>
      </c>
      <c r="C3456" s="94" t="str">
        <f>IFERROR(VLOOKUP($A3456,HeadJournal!$A$1:$NTR$890,COLUMN(HeadJournal!C$1),0),"")</f>
        <v>iHerb_VP DFD1605</v>
      </c>
      <c r="D3456" s="125" t="str">
        <f>IFERROR(VLOOKUP($A3456,HeadJournal!$A$1:$NTR$890,COLUMN(HeadJournal!D$1),0),"")</f>
        <v>Доставлен</v>
      </c>
      <c r="E3456" s="95">
        <f>IFERROR(VLOOKUP($A3456,HeadJournal!$A$1:$NTR$890,COLUMN(HeadJournal!G$1),0),"")</f>
        <v>45455</v>
      </c>
      <c r="F3456" s="95" t="str">
        <f t="shared" si="272"/>
        <v>2024 06</v>
      </c>
      <c r="G3456" s="96" t="s">
        <v>5</v>
      </c>
      <c r="H3456" s="161" t="s">
        <v>2546</v>
      </c>
      <c r="I3456" s="97" t="s">
        <v>2039</v>
      </c>
      <c r="J3456" s="97" t="s">
        <v>2547</v>
      </c>
      <c r="K3456" s="29">
        <v>10.76</v>
      </c>
      <c r="L3456" s="29">
        <v>-2.1533333333333333</v>
      </c>
      <c r="M3456" s="30">
        <f>IFERROR(VLOOKUP($A3456,HeadJournal!$A$1:$J$890,COLUMN(HeadJournal!I$1),0)*($K3456+$L3456)/(SUMIF($A:$A,$A3456,$K:$K)+SUMIF($A:$A,$A3456,$L:$L)),0)</f>
        <v>0</v>
      </c>
      <c r="N3456" s="30">
        <f>IFERROR((VLOOKUP($A3456,HeadJournal!$A$1:$K$890,COLUMN(HeadJournal!K$1),0)-VLOOKUP($A3456,HeadJournal!$A$1:$K$890,COLUMN(HeadJournal!J$1),0))*($K3456+$L3456)/(SUMIF($A:$A,$A3456,$K:$K)+SUMIF($A:$A,$A3456,$L:$L)),0)</f>
        <v>0</v>
      </c>
      <c r="O3456" s="30">
        <f>IFERROR((VLOOKUP($A3456,HeadJournal!$A$1:$L$890,COLUMN(HeadJournal!L$1),0)*($K3456+$L3456)/(SUMIF($A:$A,$A3456,$K:$K)+SUMIF($A:$A,$A3456,$L:$L)))/VLOOKUP($A3456,HeadJournal!$A$1:$L$890,COLUMN(HeadJournal!H$1),0),0)</f>
        <v>0.5869468306974458</v>
      </c>
      <c r="P3456" s="30">
        <f>IFERROR(SUM(K3456:O3456)*VLOOKUP($A3456,HeadJournal!$A$1:$L$890,COLUMN(HeadJournal!H$1),0),0)</f>
        <v>936.32966737482286</v>
      </c>
      <c r="Q3456" s="29">
        <v>1500</v>
      </c>
      <c r="R3456" s="31">
        <v>45530</v>
      </c>
      <c r="S3456" s="31" t="s">
        <v>3121</v>
      </c>
      <c r="T3456" s="95" t="str">
        <f t="shared" si="273"/>
        <v>2024 08</v>
      </c>
      <c r="U3456" s="32">
        <f t="shared" si="270"/>
        <v>563.67033262517714</v>
      </c>
      <c r="V3456" s="22">
        <f t="shared" si="271"/>
        <v>0.60199986422040153</v>
      </c>
      <c r="X3456" s="33"/>
      <c r="Y3456" s="33"/>
    </row>
    <row r="3457" spans="1:25" x14ac:dyDescent="0.2">
      <c r="A3457" s="93" t="s">
        <v>1848</v>
      </c>
      <c r="B3457" s="94" t="str">
        <f>IFERROR(VLOOKUP($A3457,HeadJournal!$A$1:$NTR$890,COLUMN(HeadJournal!B$1),0),"")</f>
        <v>720000264382</v>
      </c>
      <c r="C3457" s="94" t="str">
        <f>IFERROR(VLOOKUP($A3457,HeadJournal!$A$1:$NTR$890,COLUMN(HeadJournal!C$1),0),"")</f>
        <v>iHerb_VP DFD1605</v>
      </c>
      <c r="D3457" s="125" t="str">
        <f>IFERROR(VLOOKUP($A3457,HeadJournal!$A$1:$NTR$890,COLUMN(HeadJournal!D$1),0),"")</f>
        <v>Доставлен</v>
      </c>
      <c r="E3457" s="95">
        <f>IFERROR(VLOOKUP($A3457,HeadJournal!$A$1:$NTR$890,COLUMN(HeadJournal!G$1),0),"")</f>
        <v>45455</v>
      </c>
      <c r="F3457" s="95" t="str">
        <f t="shared" si="272"/>
        <v>2024 06</v>
      </c>
      <c r="G3457" s="96" t="s">
        <v>5</v>
      </c>
      <c r="H3457" s="160" t="str">
        <f>RIGHT(Journal!$J3457,9)</f>
        <v>ADN-00240</v>
      </c>
      <c r="I3457" s="127" t="str">
        <f t="shared" si="274"/>
        <v>Andalou Naturals</v>
      </c>
      <c r="J3457" s="97" t="s">
        <v>1846</v>
      </c>
      <c r="K3457" s="29">
        <v>15.97</v>
      </c>
      <c r="L3457" s="29">
        <v>-3.19</v>
      </c>
      <c r="M3457" s="30">
        <f>IFERROR(VLOOKUP($A3457,HeadJournal!$A$1:$J$890,COLUMN(HeadJournal!I$1),0)*($K3457+$L3457)/(SUMIF($A:$A,$A3457,$K:$K)+SUMIF($A:$A,$A3457,$L:$L)),0)</f>
        <v>0</v>
      </c>
      <c r="N3457" s="30">
        <f>IFERROR((VLOOKUP($A3457,HeadJournal!$A$1:$K$890,COLUMN(HeadJournal!K$1),0)-VLOOKUP($A3457,HeadJournal!$A$1:$K$890,COLUMN(HeadJournal!J$1),0))*($K3457+$L3457)/(SUMIF($A:$A,$A3457,$K:$K)+SUMIF($A:$A,$A3457,$L:$L)),0)</f>
        <v>0</v>
      </c>
      <c r="O3457" s="30">
        <f>IFERROR((VLOOKUP($A3457,HeadJournal!$A$1:$L$890,COLUMN(HeadJournal!L$1),0)*($K3457+$L3457)/(SUMIF($A:$A,$A3457,$K:$K)+SUMIF($A:$A,$A3457,$L:$L)))/VLOOKUP($A3457,HeadJournal!$A$1:$L$890,COLUMN(HeadJournal!H$1),0),0)</f>
        <v>0.87155466649651714</v>
      </c>
      <c r="P3457" s="30">
        <f>IFERROR(SUM(K3457:O3457)*VLOOKUP($A3457,HeadJournal!$A$1:$L$890,COLUMN(HeadJournal!H$1),0),0)</f>
        <v>1390.3516439640091</v>
      </c>
      <c r="Q3457" s="29">
        <v>2000</v>
      </c>
      <c r="R3457" s="31">
        <v>45571</v>
      </c>
      <c r="S3457" s="31" t="s">
        <v>3121</v>
      </c>
      <c r="T3457" s="95" t="str">
        <f t="shared" si="273"/>
        <v>2024 10</v>
      </c>
      <c r="U3457" s="32">
        <f t="shared" ref="U3457:U3520" si="275">Q3457-P3457</f>
        <v>609.6483560359909</v>
      </c>
      <c r="V3457" s="22">
        <f t="shared" ref="V3457:V3520" si="276">IF(Q3457&lt;&gt;0,IFERROR(U3457/P3457,""),"")</f>
        <v>0.43848501109966131</v>
      </c>
      <c r="X3457" s="33"/>
      <c r="Y3457" s="33"/>
    </row>
    <row r="3458" spans="1:25" x14ac:dyDescent="0.2">
      <c r="A3458" s="93" t="s">
        <v>1848</v>
      </c>
      <c r="B3458" s="94" t="str">
        <f>IFERROR(VLOOKUP($A3458,HeadJournal!$A$1:$NTR$890,COLUMN(HeadJournal!B$1),0),"")</f>
        <v>720000264382</v>
      </c>
      <c r="C3458" s="94" t="str">
        <f>IFERROR(VLOOKUP($A3458,HeadJournal!$A$1:$NTR$890,COLUMN(HeadJournal!C$1),0),"")</f>
        <v>iHerb_VP DFD1605</v>
      </c>
      <c r="D3458" s="125" t="str">
        <f>IFERROR(VLOOKUP($A3458,HeadJournal!$A$1:$NTR$890,COLUMN(HeadJournal!D$1),0),"")</f>
        <v>Доставлен</v>
      </c>
      <c r="E3458" s="95">
        <f>IFERROR(VLOOKUP($A3458,HeadJournal!$A$1:$NTR$890,COLUMN(HeadJournal!G$1),0),"")</f>
        <v>45455</v>
      </c>
      <c r="F3458" s="95" t="str">
        <f t="shared" si="272"/>
        <v>2024 06</v>
      </c>
      <c r="G3458" s="96" t="s">
        <v>7</v>
      </c>
      <c r="H3458" s="160" t="str">
        <f>RIGHT(Journal!$J3458,9)</f>
        <v>MBN-02251</v>
      </c>
      <c r="I3458" s="127" t="str">
        <f t="shared" si="274"/>
        <v>Mild By Nature</v>
      </c>
      <c r="J3458" s="97" t="s">
        <v>1847</v>
      </c>
      <c r="K3458" s="29">
        <v>16.829999999999998</v>
      </c>
      <c r="L3458" s="29">
        <v>-3.37</v>
      </c>
      <c r="M3458" s="30">
        <f>IFERROR(VLOOKUP($A3458,HeadJournal!$A$1:$J$890,COLUMN(HeadJournal!I$1),0)*($K3458+$L3458)/(SUMIF($A:$A,$A3458,$K:$K)+SUMIF($A:$A,$A3458,$L:$L)),0)</f>
        <v>0</v>
      </c>
      <c r="N3458" s="30">
        <f>IFERROR((VLOOKUP($A3458,HeadJournal!$A$1:$K$890,COLUMN(HeadJournal!K$1),0)-VLOOKUP($A3458,HeadJournal!$A$1:$K$890,COLUMN(HeadJournal!J$1),0))*($K3458+$L3458)/(SUMIF($A:$A,$A3458,$K:$K)+SUMIF($A:$A,$A3458,$L:$L)),0)</f>
        <v>0</v>
      </c>
      <c r="O3458" s="30">
        <f>IFERROR((VLOOKUP($A3458,HeadJournal!$A$1:$L$890,COLUMN(HeadJournal!L$1),0)*($K3458+$L3458)/(SUMIF($A:$A,$A3458,$K:$K)+SUMIF($A:$A,$A3458,$L:$L)))/VLOOKUP($A3458,HeadJournal!$A$1:$L$890,COLUMN(HeadJournal!H$1),0),0)</f>
        <v>0.91792846721777133</v>
      </c>
      <c r="P3458" s="30">
        <f>IFERROR(SUM(K3458:O3458)*VLOOKUP($A3458,HeadJournal!$A$1:$L$890,COLUMN(HeadJournal!H$1),0),0)</f>
        <v>1464.3296657085725</v>
      </c>
      <c r="Q3458" s="29"/>
      <c r="R3458" s="31"/>
      <c r="S3458" s="31"/>
      <c r="T3458" s="95" t="str">
        <f t="shared" si="273"/>
        <v/>
      </c>
      <c r="U3458" s="32">
        <f t="shared" si="275"/>
        <v>-1464.3296657085725</v>
      </c>
      <c r="V3458" s="22" t="str">
        <f t="shared" si="276"/>
        <v/>
      </c>
      <c r="X3458" s="33"/>
      <c r="Y3458" s="33"/>
    </row>
    <row r="3459" spans="1:25" x14ac:dyDescent="0.2">
      <c r="A3459" s="93" t="s">
        <v>1848</v>
      </c>
      <c r="B3459" s="94" t="str">
        <f>IFERROR(VLOOKUP($A3459,HeadJournal!$A$1:$NTR$890,COLUMN(HeadJournal!B$1),0),"")</f>
        <v>720000264382</v>
      </c>
      <c r="C3459" s="94" t="str">
        <f>IFERROR(VLOOKUP($A3459,HeadJournal!$A$1:$NTR$890,COLUMN(HeadJournal!C$1),0),"")</f>
        <v>iHerb_VP DFD1605</v>
      </c>
      <c r="D3459" s="125" t="str">
        <f>IFERROR(VLOOKUP($A3459,HeadJournal!$A$1:$NTR$890,COLUMN(HeadJournal!D$1),0),"")</f>
        <v>Доставлен</v>
      </c>
      <c r="E3459" s="95">
        <f>IFERROR(VLOOKUP($A3459,HeadJournal!$A$1:$NTR$890,COLUMN(HeadJournal!G$1),0),"")</f>
        <v>45455</v>
      </c>
      <c r="F3459" s="95" t="str">
        <f t="shared" si="272"/>
        <v>2024 06</v>
      </c>
      <c r="G3459" s="96" t="s">
        <v>7</v>
      </c>
      <c r="H3459" s="160" t="str">
        <f>RIGHT(Journal!$J3459,9)</f>
        <v>LBP-00003</v>
      </c>
      <c r="I3459" s="127" t="str">
        <f t="shared" si="274"/>
        <v>Love Beauty and Planet</v>
      </c>
      <c r="J3459" s="97" t="s">
        <v>1850</v>
      </c>
      <c r="K3459" s="29">
        <v>12.06</v>
      </c>
      <c r="L3459" s="29">
        <v>-2.41</v>
      </c>
      <c r="M3459" s="30">
        <f>IFERROR(VLOOKUP($A3459,HeadJournal!$A$1:$J$890,COLUMN(HeadJournal!I$1),0)*($K3459+$L3459)/(SUMIF($A:$A,$A3459,$K:$K)+SUMIF($A:$A,$A3459,$L:$L)),0)</f>
        <v>0</v>
      </c>
      <c r="N3459" s="30">
        <f>IFERROR((VLOOKUP($A3459,HeadJournal!$A$1:$K$890,COLUMN(HeadJournal!K$1),0)-VLOOKUP($A3459,HeadJournal!$A$1:$K$890,COLUMN(HeadJournal!J$1),0))*($K3459+$L3459)/(SUMIF($A:$A,$A3459,$K:$K)+SUMIF($A:$A,$A3459,$L:$L)),0)</f>
        <v>0</v>
      </c>
      <c r="O3459" s="30">
        <f>IFERROR((VLOOKUP($A3459,HeadJournal!$A$1:$L$890,COLUMN(HeadJournal!L$1),0)*($K3459+$L3459)/(SUMIF($A:$A,$A3459,$K:$K)+SUMIF($A:$A,$A3459,$L:$L)))/VLOOKUP($A3459,HeadJournal!$A$1:$L$890,COLUMN(HeadJournal!H$1),0),0)</f>
        <v>0.6580987896472138</v>
      </c>
      <c r="P3459" s="30">
        <f>IFERROR(SUM(K3459:O3459)*VLOOKUP($A3459,HeadJournal!$A$1:$L$890,COLUMN(HeadJournal!H$1),0),0)</f>
        <v>1049.8351615221195</v>
      </c>
      <c r="Q3459" s="29">
        <v>1500</v>
      </c>
      <c r="R3459" s="31">
        <v>45833</v>
      </c>
      <c r="S3459" s="31" t="s">
        <v>3231</v>
      </c>
      <c r="T3459" s="95" t="str">
        <f t="shared" si="273"/>
        <v>2025 06</v>
      </c>
      <c r="U3459" s="32">
        <f t="shared" si="275"/>
        <v>450.16483847788049</v>
      </c>
      <c r="V3459" s="22">
        <f t="shared" si="276"/>
        <v>0.42879573382282427</v>
      </c>
      <c r="X3459" s="33"/>
      <c r="Y3459" s="33"/>
    </row>
    <row r="3460" spans="1:25" x14ac:dyDescent="0.2">
      <c r="A3460" s="93" t="s">
        <v>1848</v>
      </c>
      <c r="B3460" s="94" t="str">
        <f>IFERROR(VLOOKUP($A3460,HeadJournal!$A$1:$NTR$890,COLUMN(HeadJournal!B$1),0),"")</f>
        <v>720000264382</v>
      </c>
      <c r="C3460" s="94" t="str">
        <f>IFERROR(VLOOKUP($A3460,HeadJournal!$A$1:$NTR$890,COLUMN(HeadJournal!C$1),0),"")</f>
        <v>iHerb_VP DFD1605</v>
      </c>
      <c r="D3460" s="125" t="str">
        <f>IFERROR(VLOOKUP($A3460,HeadJournal!$A$1:$NTR$890,COLUMN(HeadJournal!D$1),0),"")</f>
        <v>Доставлен</v>
      </c>
      <c r="E3460" s="95">
        <f>IFERROR(VLOOKUP($A3460,HeadJournal!$A$1:$NTR$890,COLUMN(HeadJournal!G$1),0),"")</f>
        <v>45455</v>
      </c>
      <c r="F3460" s="95" t="str">
        <f t="shared" ref="F3460:F3523" si="277">IFERROR(TEXT(E3460, "ГГГГ ММ"),"")</f>
        <v>2024 06</v>
      </c>
      <c r="G3460" s="96" t="s">
        <v>5</v>
      </c>
      <c r="H3460" s="161" t="s">
        <v>2196</v>
      </c>
      <c r="I3460" s="97" t="s">
        <v>2006</v>
      </c>
      <c r="J3460" s="97" t="s">
        <v>2197</v>
      </c>
      <c r="K3460" s="29">
        <v>17.21</v>
      </c>
      <c r="L3460" s="29">
        <v>-3.44</v>
      </c>
      <c r="M3460" s="30">
        <f>IFERROR(VLOOKUP($A3460,HeadJournal!$A$1:$J$890,COLUMN(HeadJournal!I$1),0)*($K3460+$L3460)/(SUMIF($A:$A,$A3460,$K:$K)+SUMIF($A:$A,$A3460,$L:$L)),0)</f>
        <v>0</v>
      </c>
      <c r="N3460" s="30">
        <f>IFERROR((VLOOKUP($A3460,HeadJournal!$A$1:$K$890,COLUMN(HeadJournal!K$1),0)-VLOOKUP($A3460,HeadJournal!$A$1:$K$890,COLUMN(HeadJournal!J$1),0))*($K3460+$L3460)/(SUMIF($A:$A,$A3460,$K:$K)+SUMIF($A:$A,$A3460,$L:$L)),0)</f>
        <v>0</v>
      </c>
      <c r="O3460" s="30">
        <f>IFERROR((VLOOKUP($A3460,HeadJournal!$A$1:$L$890,COLUMN(HeadJournal!L$1),0)*($K3460+$L3460)/(SUMIF($A:$A,$A3460,$K:$K)+SUMIF($A:$A,$A3460,$L:$L)))/VLOOKUP($A3460,HeadJournal!$A$1:$L$890,COLUMN(HeadJournal!H$1),0),0)</f>
        <v>0.93906946460540242</v>
      </c>
      <c r="P3460" s="30">
        <f>IFERROR(SUM(K3460:O3460)*VLOOKUP($A3460,HeadJournal!$A$1:$L$890,COLUMN(HeadJournal!H$1),0),0)</f>
        <v>1498.0549403274183</v>
      </c>
      <c r="Q3460" s="29">
        <v>2500</v>
      </c>
      <c r="R3460" s="31">
        <v>45528</v>
      </c>
      <c r="S3460" s="31" t="s">
        <v>3121</v>
      </c>
      <c r="T3460" s="95" t="str">
        <f t="shared" ref="T3460:T3523" si="278">IF(R3460="","",TEXT(R3460,"ГГГГ ММ"))</f>
        <v>2024 08</v>
      </c>
      <c r="U3460" s="32">
        <f t="shared" si="275"/>
        <v>1001.9450596725817</v>
      </c>
      <c r="V3460" s="22">
        <f t="shared" si="276"/>
        <v>0.66883065013195997</v>
      </c>
      <c r="X3460" s="33"/>
      <c r="Y3460" s="33"/>
    </row>
    <row r="3461" spans="1:25" x14ac:dyDescent="0.2">
      <c r="A3461" s="93" t="s">
        <v>1848</v>
      </c>
      <c r="B3461" s="94" t="str">
        <f>IFERROR(VLOOKUP($A3461,HeadJournal!$A$1:$NTR$890,COLUMN(HeadJournal!B$1),0),"")</f>
        <v>720000264382</v>
      </c>
      <c r="C3461" s="94" t="str">
        <f>IFERROR(VLOOKUP($A3461,HeadJournal!$A$1:$NTR$890,COLUMN(HeadJournal!C$1),0),"")</f>
        <v>iHerb_VP DFD1605</v>
      </c>
      <c r="D3461" s="125" t="str">
        <f>IFERROR(VLOOKUP($A3461,HeadJournal!$A$1:$NTR$890,COLUMN(HeadJournal!D$1),0),"")</f>
        <v>Доставлен</v>
      </c>
      <c r="E3461" s="95">
        <f>IFERROR(VLOOKUP($A3461,HeadJournal!$A$1:$NTR$890,COLUMN(HeadJournal!G$1),0),"")</f>
        <v>45455</v>
      </c>
      <c r="F3461" s="95" t="str">
        <f t="shared" si="277"/>
        <v>2024 06</v>
      </c>
      <c r="G3461" s="96" t="s">
        <v>5</v>
      </c>
      <c r="H3461" s="161" t="s">
        <v>2196</v>
      </c>
      <c r="I3461" s="97" t="s">
        <v>2006</v>
      </c>
      <c r="J3461" s="97" t="s">
        <v>2197</v>
      </c>
      <c r="K3461" s="29">
        <v>17.21</v>
      </c>
      <c r="L3461" s="29">
        <v>-3.44</v>
      </c>
      <c r="M3461" s="30">
        <f>IFERROR(VLOOKUP($A3461,HeadJournal!$A$1:$J$890,COLUMN(HeadJournal!I$1),0)*($K3461+$L3461)/(SUMIF($A:$A,$A3461,$K:$K)+SUMIF($A:$A,$A3461,$L:$L)),0)</f>
        <v>0</v>
      </c>
      <c r="N3461" s="30">
        <f>IFERROR((VLOOKUP($A3461,HeadJournal!$A$1:$K$890,COLUMN(HeadJournal!K$1),0)-VLOOKUP($A3461,HeadJournal!$A$1:$K$890,COLUMN(HeadJournal!J$1),0))*($K3461+$L3461)/(SUMIF($A:$A,$A3461,$K:$K)+SUMIF($A:$A,$A3461,$L:$L)),0)</f>
        <v>0</v>
      </c>
      <c r="O3461" s="30">
        <f>IFERROR((VLOOKUP($A3461,HeadJournal!$A$1:$L$890,COLUMN(HeadJournal!L$1),0)*($K3461+$L3461)/(SUMIF($A:$A,$A3461,$K:$K)+SUMIF($A:$A,$A3461,$L:$L)))/VLOOKUP($A3461,HeadJournal!$A$1:$L$890,COLUMN(HeadJournal!H$1),0),0)</f>
        <v>0.93906946460540242</v>
      </c>
      <c r="P3461" s="30">
        <f>IFERROR(SUM(K3461:O3461)*VLOOKUP($A3461,HeadJournal!$A$1:$L$890,COLUMN(HeadJournal!H$1),0),0)</f>
        <v>1498.0549403274183</v>
      </c>
      <c r="Q3461" s="29">
        <v>2500</v>
      </c>
      <c r="R3461" s="31">
        <v>45585</v>
      </c>
      <c r="S3461" s="31" t="s">
        <v>3121</v>
      </c>
      <c r="T3461" s="95" t="str">
        <f t="shared" si="278"/>
        <v>2024 10</v>
      </c>
      <c r="U3461" s="32">
        <f t="shared" si="275"/>
        <v>1001.9450596725817</v>
      </c>
      <c r="V3461" s="22">
        <f t="shared" si="276"/>
        <v>0.66883065013195997</v>
      </c>
      <c r="X3461" s="33"/>
      <c r="Y3461" s="33"/>
    </row>
    <row r="3462" spans="1:25" x14ac:dyDescent="0.2">
      <c r="A3462" s="93" t="s">
        <v>1848</v>
      </c>
      <c r="B3462" s="94" t="str">
        <f>IFERROR(VLOOKUP($A3462,HeadJournal!$A$1:$NTR$890,COLUMN(HeadJournal!B$1),0),"")</f>
        <v>720000264382</v>
      </c>
      <c r="C3462" s="94" t="str">
        <f>IFERROR(VLOOKUP($A3462,HeadJournal!$A$1:$NTR$890,COLUMN(HeadJournal!C$1),0),"")</f>
        <v>iHerb_VP DFD1605</v>
      </c>
      <c r="D3462" s="125" t="str">
        <f>IFERROR(VLOOKUP($A3462,HeadJournal!$A$1:$NTR$890,COLUMN(HeadJournal!D$1),0),"")</f>
        <v>Доставлен</v>
      </c>
      <c r="E3462" s="95">
        <f>IFERROR(VLOOKUP($A3462,HeadJournal!$A$1:$NTR$890,COLUMN(HeadJournal!G$1),0),"")</f>
        <v>45455</v>
      </c>
      <c r="F3462" s="95" t="str">
        <f t="shared" si="277"/>
        <v>2024 06</v>
      </c>
      <c r="G3462" s="96" t="s">
        <v>5</v>
      </c>
      <c r="H3462" s="160" t="str">
        <f>RIGHT(Journal!$J3462,9)</f>
        <v>NOW-01294</v>
      </c>
      <c r="I3462" s="127" t="str">
        <f t="shared" si="274"/>
        <v>NOW Foods</v>
      </c>
      <c r="J3462" s="97" t="s">
        <v>59</v>
      </c>
      <c r="K3462" s="29">
        <v>15.56</v>
      </c>
      <c r="L3462" s="29">
        <v>-3.11</v>
      </c>
      <c r="M3462" s="30">
        <f>IFERROR(VLOOKUP($A3462,HeadJournal!$A$1:$J$890,COLUMN(HeadJournal!I$1),0)*($K3462+$L3462)/(SUMIF($A:$A,$A3462,$K:$K)+SUMIF($A:$A,$A3462,$L:$L)),0)</f>
        <v>0</v>
      </c>
      <c r="N3462" s="30">
        <f>IFERROR((VLOOKUP($A3462,HeadJournal!$A$1:$K$890,COLUMN(HeadJournal!K$1),0)-VLOOKUP($A3462,HeadJournal!$A$1:$K$890,COLUMN(HeadJournal!J$1),0))*($K3462+$L3462)/(SUMIF($A:$A,$A3462,$K:$K)+SUMIF($A:$A,$A3462,$L:$L)),0)</f>
        <v>0</v>
      </c>
      <c r="O3462" s="30">
        <f>IFERROR((VLOOKUP($A3462,HeadJournal!$A$1:$L$890,COLUMN(HeadJournal!L$1),0)*($K3462+$L3462)/(SUMIF($A:$A,$A3462,$K:$K)+SUMIF($A:$A,$A3462,$L:$L)))/VLOOKUP($A3462,HeadJournal!$A$1:$L$890,COLUMN(HeadJournal!H$1),0),0)</f>
        <v>0.84904973379355553</v>
      </c>
      <c r="P3462" s="30">
        <f>IFERROR(SUM(K3462:O3462)*VLOOKUP($A3462,HeadJournal!$A$1:$L$890,COLUMN(HeadJournal!H$1),0),0)</f>
        <v>1354.4505451762061</v>
      </c>
      <c r="Q3462" s="29">
        <v>2100</v>
      </c>
      <c r="R3462" s="31">
        <v>45518</v>
      </c>
      <c r="S3462" s="31" t="s">
        <v>3121</v>
      </c>
      <c r="T3462" s="95" t="str">
        <f t="shared" si="278"/>
        <v>2024 08</v>
      </c>
      <c r="U3462" s="32">
        <f t="shared" si="275"/>
        <v>745.54945482379389</v>
      </c>
      <c r="V3462" s="22">
        <f t="shared" si="276"/>
        <v>0.55044420593946619</v>
      </c>
      <c r="X3462" s="33"/>
      <c r="Y3462" s="33"/>
    </row>
    <row r="3463" spans="1:25" x14ac:dyDescent="0.2">
      <c r="A3463" s="93" t="s">
        <v>1848</v>
      </c>
      <c r="B3463" s="94" t="str">
        <f>IFERROR(VLOOKUP($A3463,HeadJournal!$A$1:$NTR$890,COLUMN(HeadJournal!B$1),0),"")</f>
        <v>720000264382</v>
      </c>
      <c r="C3463" s="94" t="str">
        <f>IFERROR(VLOOKUP($A3463,HeadJournal!$A$1:$NTR$890,COLUMN(HeadJournal!C$1),0),"")</f>
        <v>iHerb_VP DFD1605</v>
      </c>
      <c r="D3463" s="125" t="str">
        <f>IFERROR(VLOOKUP($A3463,HeadJournal!$A$1:$NTR$890,COLUMN(HeadJournal!D$1),0),"")</f>
        <v>Доставлен</v>
      </c>
      <c r="E3463" s="95">
        <f>IFERROR(VLOOKUP($A3463,HeadJournal!$A$1:$NTR$890,COLUMN(HeadJournal!G$1),0),"")</f>
        <v>45455</v>
      </c>
      <c r="F3463" s="95" t="str">
        <f t="shared" si="277"/>
        <v>2024 06</v>
      </c>
      <c r="G3463" s="96" t="s">
        <v>5</v>
      </c>
      <c r="H3463" s="160" t="str">
        <f>RIGHT(Journal!$J3463,9)</f>
        <v>NOW-01294</v>
      </c>
      <c r="I3463" s="127" t="str">
        <f t="shared" si="274"/>
        <v>NOW Foods</v>
      </c>
      <c r="J3463" s="97" t="s">
        <v>59</v>
      </c>
      <c r="K3463" s="29">
        <v>15.56</v>
      </c>
      <c r="L3463" s="29">
        <v>-3.11</v>
      </c>
      <c r="M3463" s="30">
        <f>IFERROR(VLOOKUP($A3463,HeadJournal!$A$1:$J$890,COLUMN(HeadJournal!I$1),0)*($K3463+$L3463)/(SUMIF($A:$A,$A3463,$K:$K)+SUMIF($A:$A,$A3463,$L:$L)),0)</f>
        <v>0</v>
      </c>
      <c r="N3463" s="30">
        <f>IFERROR((VLOOKUP($A3463,HeadJournal!$A$1:$K$890,COLUMN(HeadJournal!K$1),0)-VLOOKUP($A3463,HeadJournal!$A$1:$K$890,COLUMN(HeadJournal!J$1),0))*($K3463+$L3463)/(SUMIF($A:$A,$A3463,$K:$K)+SUMIF($A:$A,$A3463,$L:$L)),0)</f>
        <v>0</v>
      </c>
      <c r="O3463" s="30">
        <f>IFERROR((VLOOKUP($A3463,HeadJournal!$A$1:$L$890,COLUMN(HeadJournal!L$1),0)*($K3463+$L3463)/(SUMIF($A:$A,$A3463,$K:$K)+SUMIF($A:$A,$A3463,$L:$L)))/VLOOKUP($A3463,HeadJournal!$A$1:$L$890,COLUMN(HeadJournal!H$1),0),0)</f>
        <v>0.84904973379355553</v>
      </c>
      <c r="P3463" s="30">
        <f>IFERROR(SUM(K3463:O3463)*VLOOKUP($A3463,HeadJournal!$A$1:$L$890,COLUMN(HeadJournal!H$1),0),0)</f>
        <v>1354.4505451762061</v>
      </c>
      <c r="Q3463" s="29">
        <v>2000</v>
      </c>
      <c r="R3463" s="31">
        <v>45614</v>
      </c>
      <c r="S3463" s="31" t="s">
        <v>3121</v>
      </c>
      <c r="T3463" s="95" t="str">
        <f t="shared" si="278"/>
        <v>2024 11</v>
      </c>
      <c r="U3463" s="32">
        <f t="shared" si="275"/>
        <v>645.54945482379389</v>
      </c>
      <c r="V3463" s="22">
        <f t="shared" si="276"/>
        <v>0.47661352946615831</v>
      </c>
      <c r="X3463" s="33"/>
      <c r="Y3463" s="33"/>
    </row>
    <row r="3464" spans="1:25" x14ac:dyDescent="0.2">
      <c r="A3464" s="93" t="s">
        <v>1848</v>
      </c>
      <c r="B3464" s="94" t="str">
        <f>IFERROR(VLOOKUP($A3464,HeadJournal!$A$1:$NTR$890,COLUMN(HeadJournal!B$1),0),"")</f>
        <v>720000264382</v>
      </c>
      <c r="C3464" s="94" t="str">
        <f>IFERROR(VLOOKUP($A3464,HeadJournal!$A$1:$NTR$890,COLUMN(HeadJournal!C$1),0),"")</f>
        <v>iHerb_VP DFD1605</v>
      </c>
      <c r="D3464" s="125" t="str">
        <f>IFERROR(VLOOKUP($A3464,HeadJournal!$A$1:$NTR$890,COLUMN(HeadJournal!D$1),0),"")</f>
        <v>Доставлен</v>
      </c>
      <c r="E3464" s="95">
        <f>IFERROR(VLOOKUP($A3464,HeadJournal!$A$1:$NTR$890,COLUMN(HeadJournal!G$1),0),"")</f>
        <v>45455</v>
      </c>
      <c r="F3464" s="95" t="str">
        <f t="shared" si="277"/>
        <v>2024 06</v>
      </c>
      <c r="G3464" s="96" t="s">
        <v>5</v>
      </c>
      <c r="H3464" s="161" t="s">
        <v>2217</v>
      </c>
      <c r="I3464" s="97" t="s">
        <v>2218</v>
      </c>
      <c r="J3464" s="97" t="s">
        <v>2219</v>
      </c>
      <c r="K3464" s="29">
        <v>28.34</v>
      </c>
      <c r="L3464" s="29">
        <v>-5.67</v>
      </c>
      <c r="M3464" s="30">
        <f>IFERROR(VLOOKUP($A3464,HeadJournal!$A$1:$J$890,COLUMN(HeadJournal!I$1),0)*($K3464+$L3464)/(SUMIF($A:$A,$A3464,$K:$K)+SUMIF($A:$A,$A3464,$L:$L)),0)</f>
        <v>0</v>
      </c>
      <c r="N3464" s="30">
        <f>IFERROR((VLOOKUP($A3464,HeadJournal!$A$1:$K$890,COLUMN(HeadJournal!K$1),0)-VLOOKUP($A3464,HeadJournal!$A$1:$K$890,COLUMN(HeadJournal!J$1),0))*($K3464+$L3464)/(SUMIF($A:$A,$A3464,$K:$K)+SUMIF($A:$A,$A3464,$L:$L)),0)</f>
        <v>0</v>
      </c>
      <c r="O3464" s="30">
        <f>IFERROR((VLOOKUP($A3464,HeadJournal!$A$1:$L$890,COLUMN(HeadJournal!L$1),0)*($K3464+$L3464)/(SUMIF($A:$A,$A3464,$K:$K)+SUMIF($A:$A,$A3464,$L:$L)))/VLOOKUP($A3464,HeadJournal!$A$1:$L$890,COLUMN(HeadJournal!H$1),0),0)</f>
        <v>1.546020679927703</v>
      </c>
      <c r="P3464" s="30">
        <f>IFERROR(SUM(K3464:O3464)*VLOOKUP($A3464,HeadJournal!$A$1:$L$890,COLUMN(HeadJournal!H$1),0),0)</f>
        <v>2466.2966955136217</v>
      </c>
      <c r="Q3464" s="29">
        <v>3400</v>
      </c>
      <c r="R3464" s="31">
        <v>45507</v>
      </c>
      <c r="S3464" s="31" t="s">
        <v>3121</v>
      </c>
      <c r="T3464" s="95" t="str">
        <f t="shared" si="278"/>
        <v>2024 08</v>
      </c>
      <c r="U3464" s="32">
        <f t="shared" si="275"/>
        <v>933.70330448637833</v>
      </c>
      <c r="V3464" s="22">
        <f t="shared" si="276"/>
        <v>0.37858515002872711</v>
      </c>
      <c r="X3464" s="33"/>
      <c r="Y3464" s="33"/>
    </row>
    <row r="3465" spans="1:25" x14ac:dyDescent="0.2">
      <c r="A3465" s="93" t="s">
        <v>1848</v>
      </c>
      <c r="B3465" s="94" t="str">
        <f>IFERROR(VLOOKUP($A3465,HeadJournal!$A$1:$NTR$890,COLUMN(HeadJournal!B$1),0),"")</f>
        <v>720000264382</v>
      </c>
      <c r="C3465" s="94" t="str">
        <f>IFERROR(VLOOKUP($A3465,HeadJournal!$A$1:$NTR$890,COLUMN(HeadJournal!C$1),0),"")</f>
        <v>iHerb_VP DFD1605</v>
      </c>
      <c r="D3465" s="125" t="str">
        <f>IFERROR(VLOOKUP($A3465,HeadJournal!$A$1:$NTR$890,COLUMN(HeadJournal!D$1),0),"")</f>
        <v>Доставлен</v>
      </c>
      <c r="E3465" s="95">
        <f>IFERROR(VLOOKUP($A3465,HeadJournal!$A$1:$NTR$890,COLUMN(HeadJournal!G$1),0),"")</f>
        <v>45455</v>
      </c>
      <c r="F3465" s="95" t="str">
        <f t="shared" si="277"/>
        <v>2024 06</v>
      </c>
      <c r="G3465" s="96" t="s">
        <v>5</v>
      </c>
      <c r="H3465" s="160" t="str">
        <f>RIGHT(Journal!$J3465,9)</f>
        <v>NOW-00426</v>
      </c>
      <c r="I3465" s="127" t="str">
        <f t="shared" si="274"/>
        <v>NOW Foods</v>
      </c>
      <c r="J3465" s="97" t="s">
        <v>1694</v>
      </c>
      <c r="K3465" s="29">
        <v>14.51</v>
      </c>
      <c r="L3465" s="29">
        <v>-2.9</v>
      </c>
      <c r="M3465" s="30">
        <f>IFERROR(VLOOKUP($A3465,HeadJournal!$A$1:$J$890,COLUMN(HeadJournal!I$1),0)*($K3465+$L3465)/(SUMIF($A:$A,$A3465,$K:$K)+SUMIF($A:$A,$A3465,$L:$L)),0)</f>
        <v>0</v>
      </c>
      <c r="N3465" s="30">
        <f>IFERROR((VLOOKUP($A3465,HeadJournal!$A$1:$K$890,COLUMN(HeadJournal!K$1),0)-VLOOKUP($A3465,HeadJournal!$A$1:$K$890,COLUMN(HeadJournal!J$1),0))*($K3465+$L3465)/(SUMIF($A:$A,$A3465,$K:$K)+SUMIF($A:$A,$A3465,$L:$L)),0)</f>
        <v>0</v>
      </c>
      <c r="O3465" s="30">
        <f>IFERROR((VLOOKUP($A3465,HeadJournal!$A$1:$L$890,COLUMN(HeadJournal!L$1),0)*($K3465+$L3465)/(SUMIF($A:$A,$A3465,$K:$K)+SUMIF($A:$A,$A3465,$L:$L)))/VLOOKUP($A3465,HeadJournal!$A$1:$L$890,COLUMN(HeadJournal!H$1),0),0)</f>
        <v>0.79176445054965283</v>
      </c>
      <c r="P3465" s="30">
        <f>IFERROR(SUM(K3465:O3465)*VLOOKUP($A3465,HeadJournal!$A$1:$L$890,COLUMN(HeadJournal!H$1),0),0)</f>
        <v>1263.06593007998</v>
      </c>
      <c r="Q3465" s="29">
        <v>1900</v>
      </c>
      <c r="R3465" s="31">
        <v>45535</v>
      </c>
      <c r="S3465" s="31" t="s">
        <v>3121</v>
      </c>
      <c r="T3465" s="95" t="str">
        <f t="shared" si="278"/>
        <v>2024 08</v>
      </c>
      <c r="U3465" s="32">
        <f t="shared" si="275"/>
        <v>636.93406992001997</v>
      </c>
      <c r="V3465" s="22">
        <f t="shared" si="276"/>
        <v>0.50427618602592494</v>
      </c>
      <c r="X3465" s="33"/>
      <c r="Y3465" s="33"/>
    </row>
    <row r="3466" spans="1:25" x14ac:dyDescent="0.2">
      <c r="A3466" s="93" t="s">
        <v>1848</v>
      </c>
      <c r="B3466" s="94" t="str">
        <f>IFERROR(VLOOKUP($A3466,HeadJournal!$A$1:$NTR$890,COLUMN(HeadJournal!B$1),0),"")</f>
        <v>720000264382</v>
      </c>
      <c r="C3466" s="94" t="str">
        <f>IFERROR(VLOOKUP($A3466,HeadJournal!$A$1:$NTR$890,COLUMN(HeadJournal!C$1),0),"")</f>
        <v>iHerb_VP DFD1605</v>
      </c>
      <c r="D3466" s="125" t="str">
        <f>IFERROR(VLOOKUP($A3466,HeadJournal!$A$1:$NTR$890,COLUMN(HeadJournal!D$1),0),"")</f>
        <v>Доставлен</v>
      </c>
      <c r="E3466" s="95">
        <f>IFERROR(VLOOKUP($A3466,HeadJournal!$A$1:$NTR$890,COLUMN(HeadJournal!G$1),0),"")</f>
        <v>45455</v>
      </c>
      <c r="F3466" s="95" t="str">
        <f t="shared" si="277"/>
        <v>2024 06</v>
      </c>
      <c r="G3466" s="96" t="s">
        <v>5</v>
      </c>
      <c r="H3466" s="160" t="str">
        <f>RIGHT(Journal!$J3466,9)</f>
        <v>NOW-00426</v>
      </c>
      <c r="I3466" s="127" t="str">
        <f t="shared" si="274"/>
        <v>NOW Foods</v>
      </c>
      <c r="J3466" s="97" t="s">
        <v>1694</v>
      </c>
      <c r="K3466" s="29">
        <v>14.51</v>
      </c>
      <c r="L3466" s="29">
        <v>-2.9</v>
      </c>
      <c r="M3466" s="30">
        <f>IFERROR(VLOOKUP($A3466,HeadJournal!$A$1:$J$890,COLUMN(HeadJournal!I$1),0)*($K3466+$L3466)/(SUMIF($A:$A,$A3466,$K:$K)+SUMIF($A:$A,$A3466,$L:$L)),0)</f>
        <v>0</v>
      </c>
      <c r="N3466" s="30">
        <f>IFERROR((VLOOKUP($A3466,HeadJournal!$A$1:$K$890,COLUMN(HeadJournal!K$1),0)-VLOOKUP($A3466,HeadJournal!$A$1:$K$890,COLUMN(HeadJournal!J$1),0))*($K3466+$L3466)/(SUMIF($A:$A,$A3466,$K:$K)+SUMIF($A:$A,$A3466,$L:$L)),0)</f>
        <v>0</v>
      </c>
      <c r="O3466" s="30">
        <f>IFERROR((VLOOKUP($A3466,HeadJournal!$A$1:$L$890,COLUMN(HeadJournal!L$1),0)*($K3466+$L3466)/(SUMIF($A:$A,$A3466,$K:$K)+SUMIF($A:$A,$A3466,$L:$L)))/VLOOKUP($A3466,HeadJournal!$A$1:$L$890,COLUMN(HeadJournal!H$1),0),0)</f>
        <v>0.79176445054965283</v>
      </c>
      <c r="P3466" s="30">
        <f>IFERROR(SUM(K3466:O3466)*VLOOKUP($A3466,HeadJournal!$A$1:$L$890,COLUMN(HeadJournal!H$1),0),0)</f>
        <v>1263.06593007998</v>
      </c>
      <c r="Q3466" s="29">
        <v>2000</v>
      </c>
      <c r="R3466" s="31">
        <v>45577</v>
      </c>
      <c r="S3466" s="31" t="s">
        <v>3121</v>
      </c>
      <c r="T3466" s="95" t="str">
        <f t="shared" si="278"/>
        <v>2024 10</v>
      </c>
      <c r="U3466" s="32">
        <f t="shared" si="275"/>
        <v>736.93406992001997</v>
      </c>
      <c r="V3466" s="22">
        <f t="shared" si="276"/>
        <v>0.58344861686939475</v>
      </c>
      <c r="X3466" s="33"/>
      <c r="Y3466" s="33"/>
    </row>
    <row r="3467" spans="1:25" x14ac:dyDescent="0.2">
      <c r="A3467" s="93" t="s">
        <v>1851</v>
      </c>
      <c r="B3467" s="94" t="str">
        <f>IFERROR(VLOOKUP($A3467,HeadJournal!$A$1:$NTR$890,COLUMN(HeadJournal!B$1),0),"")</f>
        <v>720000262320</v>
      </c>
      <c r="C3467" s="94" t="str">
        <f>IFERROR(VLOOKUP($A3467,HeadJournal!$A$1:$NTR$890,COLUMN(HeadJournal!C$1),0),"")</f>
        <v>iHerb_AV CYG0792</v>
      </c>
      <c r="D3467" s="125" t="str">
        <f>IFERROR(VLOOKUP($A3467,HeadJournal!$A$1:$NTR$890,COLUMN(HeadJournal!D$1),0),"")</f>
        <v>Доставлен</v>
      </c>
      <c r="E3467" s="95">
        <f>IFERROR(VLOOKUP($A3467,HeadJournal!$A$1:$NTR$890,COLUMN(HeadJournal!G$1),0),"")</f>
        <v>45454</v>
      </c>
      <c r="F3467" s="95" t="str">
        <f t="shared" si="277"/>
        <v>2024 06</v>
      </c>
      <c r="G3467" s="96" t="s">
        <v>5</v>
      </c>
      <c r="H3467" s="160" t="str">
        <f>RIGHT(Journal!$J3467,9)</f>
        <v>FOA-66052</v>
      </c>
      <c r="I3467" s="127" t="str">
        <f t="shared" si="274"/>
        <v>Force Factor</v>
      </c>
      <c r="J3467" s="97" t="s">
        <v>1745</v>
      </c>
      <c r="K3467" s="29">
        <v>6.34</v>
      </c>
      <c r="L3467" s="29">
        <v>-1.27</v>
      </c>
      <c r="M3467" s="30">
        <f>IFERROR(VLOOKUP($A3467,HeadJournal!$A$1:$J$890,COLUMN(HeadJournal!I$1),0)*($K3467+$L3467)/(SUMIF($A:$A,$A3467,$K:$K)+SUMIF($A:$A,$A3467,$L:$L)),0)</f>
        <v>-0.53124664159054269</v>
      </c>
      <c r="N3467" s="30">
        <f>IFERROR((VLOOKUP($A3467,HeadJournal!$A$1:$K$890,COLUMN(HeadJournal!K$1),0)-VLOOKUP($A3467,HeadJournal!$A$1:$K$890,COLUMN(HeadJournal!J$1),0))*($K3467+$L3467)/(SUMIF($A:$A,$A3467,$K:$K)+SUMIF($A:$A,$A3467,$L:$L)),0)</f>
        <v>-7.7430449657253254E-16</v>
      </c>
      <c r="O3467" s="30">
        <f>IFERROR((VLOOKUP($A3467,HeadJournal!$A$1:$L$890,COLUMN(HeadJournal!L$1),0)*($K3467+$L3467)/(SUMIF($A:$A,$A3467,$K:$K)+SUMIF($A:$A,$A3467,$L:$L)))/VLOOKUP($A3467,HeadJournal!$A$1:$L$890,COLUMN(HeadJournal!H$1),0),0)</f>
        <v>0.29422872647409237</v>
      </c>
      <c r="P3467" s="30">
        <f>IFERROR(SUM(K3467:O3467)*VLOOKUP($A3467,HeadJournal!$A$1:$L$890,COLUMN(HeadJournal!H$1),0),0)</f>
        <v>497.42380252552374</v>
      </c>
      <c r="Q3467" s="29">
        <v>1100</v>
      </c>
      <c r="R3467" s="31">
        <v>45790</v>
      </c>
      <c r="S3467" s="31" t="s">
        <v>3121</v>
      </c>
      <c r="T3467" s="95" t="str">
        <f t="shared" si="278"/>
        <v>2025 05</v>
      </c>
      <c r="U3467" s="32">
        <f t="shared" si="275"/>
        <v>602.5761974744762</v>
      </c>
      <c r="V3467" s="22">
        <f t="shared" si="276"/>
        <v>1.211393975147695</v>
      </c>
      <c r="X3467" s="33"/>
      <c r="Y3467" s="33"/>
    </row>
    <row r="3468" spans="1:25" x14ac:dyDescent="0.2">
      <c r="A3468" s="93" t="s">
        <v>1851</v>
      </c>
      <c r="B3468" s="94" t="str">
        <f>IFERROR(VLOOKUP($A3468,HeadJournal!$A$1:$NTR$890,COLUMN(HeadJournal!B$1),0),"")</f>
        <v>720000262320</v>
      </c>
      <c r="C3468" s="94" t="str">
        <f>IFERROR(VLOOKUP($A3468,HeadJournal!$A$1:$NTR$890,COLUMN(HeadJournal!C$1),0),"")</f>
        <v>iHerb_AV CYG0792</v>
      </c>
      <c r="D3468" s="125" t="str">
        <f>IFERROR(VLOOKUP($A3468,HeadJournal!$A$1:$NTR$890,COLUMN(HeadJournal!D$1),0),"")</f>
        <v>Доставлен</v>
      </c>
      <c r="E3468" s="95">
        <f>IFERROR(VLOOKUP($A3468,HeadJournal!$A$1:$NTR$890,COLUMN(HeadJournal!G$1),0),"")</f>
        <v>45454</v>
      </c>
      <c r="F3468" s="95" t="str">
        <f t="shared" si="277"/>
        <v>2024 06</v>
      </c>
      <c r="G3468" s="96" t="s">
        <v>5</v>
      </c>
      <c r="H3468" s="160" t="str">
        <f>RIGHT(Journal!$J3468,9)</f>
        <v>RHS-20001</v>
      </c>
      <c r="I3468" s="127" t="str">
        <f t="shared" si="274"/>
        <v>Real Health</v>
      </c>
      <c r="J3468" s="97" t="s">
        <v>684</v>
      </c>
      <c r="K3468" s="29">
        <v>22.34</v>
      </c>
      <c r="L3468" s="29">
        <v>-4.47</v>
      </c>
      <c r="M3468" s="30">
        <f>IFERROR(VLOOKUP($A3468,HeadJournal!$A$1:$J$890,COLUMN(HeadJournal!I$1),0)*($K3468+$L3468)/(SUMIF($A:$A,$A3468,$K:$K)+SUMIF($A:$A,$A3468,$L:$L)),0)</f>
        <v>-1.8724610424502954</v>
      </c>
      <c r="N3468" s="30">
        <f>IFERROR((VLOOKUP($A3468,HeadJournal!$A$1:$K$890,COLUMN(HeadJournal!K$1),0)-VLOOKUP($A3468,HeadJournal!$A$1:$K$890,COLUMN(HeadJournal!J$1),0))*($K3468+$L3468)/(SUMIF($A:$A,$A3468,$K:$K)+SUMIF($A:$A,$A3468,$L:$L)),0)</f>
        <v>-2.7291560855524964E-15</v>
      </c>
      <c r="O3468" s="30">
        <f>IFERROR((VLOOKUP($A3468,HeadJournal!$A$1:$L$890,COLUMN(HeadJournal!L$1),0)*($K3468+$L3468)/(SUMIF($A:$A,$A3468,$K:$K)+SUMIF($A:$A,$A3468,$L:$L)))/VLOOKUP($A3468,HeadJournal!$A$1:$L$890,COLUMN(HeadJournal!H$1),0),0)</f>
        <v>1.0370547025822545</v>
      </c>
      <c r="P3468" s="30">
        <f>IFERROR(SUM(K3468:O3468)*VLOOKUP($A3468,HeadJournal!$A$1:$L$890,COLUMN(HeadJournal!H$1),0),0)</f>
        <v>1753.247209296077</v>
      </c>
      <c r="Q3468" s="29">
        <v>2600</v>
      </c>
      <c r="R3468" s="31">
        <v>45514</v>
      </c>
      <c r="S3468" s="31" t="s">
        <v>3121</v>
      </c>
      <c r="T3468" s="95" t="str">
        <f t="shared" si="278"/>
        <v>2024 08</v>
      </c>
      <c r="U3468" s="32">
        <f t="shared" si="275"/>
        <v>846.75279070392298</v>
      </c>
      <c r="V3468" s="22">
        <f t="shared" si="276"/>
        <v>0.48296257721915409</v>
      </c>
      <c r="X3468" s="33"/>
      <c r="Y3468" s="33"/>
    </row>
    <row r="3469" spans="1:25" x14ac:dyDescent="0.2">
      <c r="A3469" s="93" t="s">
        <v>1851</v>
      </c>
      <c r="B3469" s="94" t="str">
        <f>IFERROR(VLOOKUP($A3469,HeadJournal!$A$1:$NTR$890,COLUMN(HeadJournal!B$1),0),"")</f>
        <v>720000262320</v>
      </c>
      <c r="C3469" s="94" t="str">
        <f>IFERROR(VLOOKUP($A3469,HeadJournal!$A$1:$NTR$890,COLUMN(HeadJournal!C$1),0),"")</f>
        <v>iHerb_AV CYG0792</v>
      </c>
      <c r="D3469" s="125" t="str">
        <f>IFERROR(VLOOKUP($A3469,HeadJournal!$A$1:$NTR$890,COLUMN(HeadJournal!D$1),0),"")</f>
        <v>Доставлен</v>
      </c>
      <c r="E3469" s="95">
        <f>IFERROR(VLOOKUP($A3469,HeadJournal!$A$1:$NTR$890,COLUMN(HeadJournal!G$1),0),"")</f>
        <v>45454</v>
      </c>
      <c r="F3469" s="95" t="str">
        <f t="shared" si="277"/>
        <v>2024 06</v>
      </c>
      <c r="G3469" s="96" t="s">
        <v>5</v>
      </c>
      <c r="H3469" s="160" t="str">
        <f>RIGHT(Journal!$J3469,9)</f>
        <v>CVR-03504</v>
      </c>
      <c r="I3469" s="127" t="str">
        <f t="shared" si="274"/>
        <v>Cardiovascular Research</v>
      </c>
      <c r="J3469" s="97" t="s">
        <v>1684</v>
      </c>
      <c r="K3469" s="29">
        <v>17.84</v>
      </c>
      <c r="L3469" s="29">
        <v>-3.57</v>
      </c>
      <c r="M3469" s="30">
        <f>IFERROR(VLOOKUP($A3469,HeadJournal!$A$1:$J$890,COLUMN(HeadJournal!I$1),0)*($K3469+$L3469)/(SUMIF($A:$A,$A3469,$K:$K)+SUMIF($A:$A,$A3469,$L:$L)),0)</f>
        <v>-1.4952444922084898</v>
      </c>
      <c r="N3469" s="30">
        <f>IFERROR((VLOOKUP($A3469,HeadJournal!$A$1:$K$890,COLUMN(HeadJournal!K$1),0)-VLOOKUP($A3469,HeadJournal!$A$1:$K$890,COLUMN(HeadJournal!J$1),0))*($K3469+$L3469)/(SUMIF($A:$A,$A3469,$K:$K)+SUMIF($A:$A,$A3469,$L:$L)),0)</f>
        <v>-2.1793540761518815E-15</v>
      </c>
      <c r="O3469" s="30">
        <f>IFERROR((VLOOKUP($A3469,HeadJournal!$A$1:$L$890,COLUMN(HeadJournal!L$1),0)*($K3469+$L3469)/(SUMIF($A:$A,$A3469,$K:$K)+SUMIF($A:$A,$A3469,$L:$L)))/VLOOKUP($A3469,HeadJournal!$A$1:$L$890,COLUMN(HeadJournal!H$1),0),0)</f>
        <v>0.82813489680183383</v>
      </c>
      <c r="P3469" s="30">
        <f>IFERROR(SUM(K3469:O3469)*VLOOKUP($A3469,HeadJournal!$A$1:$L$890,COLUMN(HeadJournal!H$1),0),0)</f>
        <v>1400.0468761418588</v>
      </c>
      <c r="Q3469" s="29">
        <v>2300</v>
      </c>
      <c r="R3469" s="31">
        <v>45480</v>
      </c>
      <c r="S3469" s="31" t="s">
        <v>3121</v>
      </c>
      <c r="T3469" s="95" t="str">
        <f t="shared" si="278"/>
        <v>2024 07</v>
      </c>
      <c r="U3469" s="32">
        <f t="shared" si="275"/>
        <v>899.95312385814123</v>
      </c>
      <c r="V3469" s="22">
        <f t="shared" si="276"/>
        <v>0.64280213698141497</v>
      </c>
      <c r="X3469" s="33"/>
      <c r="Y3469" s="33"/>
    </row>
    <row r="3470" spans="1:25" x14ac:dyDescent="0.2">
      <c r="A3470" s="93" t="s">
        <v>1851</v>
      </c>
      <c r="B3470" s="94" t="str">
        <f>IFERROR(VLOOKUP($A3470,HeadJournal!$A$1:$NTR$890,COLUMN(HeadJournal!B$1),0),"")</f>
        <v>720000262320</v>
      </c>
      <c r="C3470" s="94" t="str">
        <f>IFERROR(VLOOKUP($A3470,HeadJournal!$A$1:$NTR$890,COLUMN(HeadJournal!C$1),0),"")</f>
        <v>iHerb_AV CYG0792</v>
      </c>
      <c r="D3470" s="125" t="str">
        <f>IFERROR(VLOOKUP($A3470,HeadJournal!$A$1:$NTR$890,COLUMN(HeadJournal!D$1),0),"")</f>
        <v>Доставлен</v>
      </c>
      <c r="E3470" s="95">
        <f>IFERROR(VLOOKUP($A3470,HeadJournal!$A$1:$NTR$890,COLUMN(HeadJournal!G$1),0),"")</f>
        <v>45454</v>
      </c>
      <c r="F3470" s="95" t="str">
        <f t="shared" si="277"/>
        <v>2024 06</v>
      </c>
      <c r="G3470" s="96" t="s">
        <v>5</v>
      </c>
      <c r="H3470" s="161" t="s">
        <v>2089</v>
      </c>
      <c r="I3470" s="97" t="s">
        <v>2005</v>
      </c>
      <c r="J3470" s="97" t="s">
        <v>3781</v>
      </c>
      <c r="K3470" s="29">
        <v>23.03</v>
      </c>
      <c r="L3470" s="29">
        <v>-4.6050000000000004</v>
      </c>
      <c r="M3470" s="30">
        <f>IFERROR(VLOOKUP($A3470,HeadJournal!$A$1:$J$890,COLUMN(HeadJournal!I$1),0)*($K3470+$L3470)/(SUMIF($A:$A,$A3470,$K:$K)+SUMIF($A:$A,$A3470,$L:$L)),0)</f>
        <v>-1.9306152606125737</v>
      </c>
      <c r="N3470" s="30">
        <f>IFERROR((VLOOKUP($A3470,HeadJournal!$A$1:$K$890,COLUMN(HeadJournal!K$1),0)-VLOOKUP($A3470,HeadJournal!$A$1:$K$890,COLUMN(HeadJournal!J$1),0))*($K3470+$L3470)/(SUMIF($A:$A,$A3470,$K:$K)+SUMIF($A:$A,$A3470,$L:$L)),0)</f>
        <v>-2.8139172286684244E-15</v>
      </c>
      <c r="O3470" s="30">
        <f>IFERROR((VLOOKUP($A3470,HeadJournal!$A$1:$L$890,COLUMN(HeadJournal!L$1),0)*($K3470+$L3470)/(SUMIF($A:$A,$A3470,$K:$K)+SUMIF($A:$A,$A3470,$L:$L)))/VLOOKUP($A3470,HeadJournal!$A$1:$L$890,COLUMN(HeadJournal!H$1),0),0)</f>
        <v>1.0692631726400694</v>
      </c>
      <c r="P3470" s="30">
        <f>IFERROR(SUM(K3470:O3470)*VLOOKUP($A3470,HeadJournal!$A$1:$L$890,COLUMN(HeadJournal!H$1),0),0)</f>
        <v>1807.698927324019</v>
      </c>
      <c r="Q3470" s="29">
        <v>2900</v>
      </c>
      <c r="R3470" s="31">
        <v>45703</v>
      </c>
      <c r="S3470" s="31" t="s">
        <v>3121</v>
      </c>
      <c r="T3470" s="95" t="str">
        <f t="shared" si="278"/>
        <v>2025 02</v>
      </c>
      <c r="U3470" s="32">
        <f t="shared" si="275"/>
        <v>1092.301072675981</v>
      </c>
      <c r="V3470" s="22">
        <f t="shared" si="276"/>
        <v>0.60424944450951301</v>
      </c>
      <c r="X3470" s="33"/>
      <c r="Y3470" s="33"/>
    </row>
    <row r="3471" spans="1:25" x14ac:dyDescent="0.2">
      <c r="A3471" s="93" t="s">
        <v>1851</v>
      </c>
      <c r="B3471" s="94" t="str">
        <f>IFERROR(VLOOKUP($A3471,HeadJournal!$A$1:$NTR$890,COLUMN(HeadJournal!B$1),0),"")</f>
        <v>720000262320</v>
      </c>
      <c r="C3471" s="94" t="str">
        <f>IFERROR(VLOOKUP($A3471,HeadJournal!$A$1:$NTR$890,COLUMN(HeadJournal!C$1),0),"")</f>
        <v>iHerb_AV CYG0792</v>
      </c>
      <c r="D3471" s="125" t="str">
        <f>IFERROR(VLOOKUP($A3471,HeadJournal!$A$1:$NTR$890,COLUMN(HeadJournal!D$1),0),"")</f>
        <v>Доставлен</v>
      </c>
      <c r="E3471" s="95">
        <f>IFERROR(VLOOKUP($A3471,HeadJournal!$A$1:$NTR$890,COLUMN(HeadJournal!G$1),0),"")</f>
        <v>45454</v>
      </c>
      <c r="F3471" s="95" t="str">
        <f t="shared" si="277"/>
        <v>2024 06</v>
      </c>
      <c r="G3471" s="96" t="s">
        <v>5</v>
      </c>
      <c r="H3471" s="161" t="s">
        <v>2089</v>
      </c>
      <c r="I3471" s="97" t="s">
        <v>2005</v>
      </c>
      <c r="J3471" s="97" t="s">
        <v>3781</v>
      </c>
      <c r="K3471" s="29">
        <v>23.03</v>
      </c>
      <c r="L3471" s="29">
        <v>-4.6050000000000004</v>
      </c>
      <c r="M3471" s="30">
        <f>IFERROR(VLOOKUP($A3471,HeadJournal!$A$1:$J$890,COLUMN(HeadJournal!I$1),0)*($K3471+$L3471)/(SUMIF($A:$A,$A3471,$K:$K)+SUMIF($A:$A,$A3471,$L:$L)),0)</f>
        <v>-1.9306152606125737</v>
      </c>
      <c r="N3471" s="30">
        <f>IFERROR((VLOOKUP($A3471,HeadJournal!$A$1:$K$890,COLUMN(HeadJournal!K$1),0)-VLOOKUP($A3471,HeadJournal!$A$1:$K$890,COLUMN(HeadJournal!J$1),0))*($K3471+$L3471)/(SUMIF($A:$A,$A3471,$K:$K)+SUMIF($A:$A,$A3471,$L:$L)),0)</f>
        <v>-2.8139172286684244E-15</v>
      </c>
      <c r="O3471" s="30">
        <f>IFERROR((VLOOKUP($A3471,HeadJournal!$A$1:$L$890,COLUMN(HeadJournal!L$1),0)*($K3471+$L3471)/(SUMIF($A:$A,$A3471,$K:$K)+SUMIF($A:$A,$A3471,$L:$L)))/VLOOKUP($A3471,HeadJournal!$A$1:$L$890,COLUMN(HeadJournal!H$1),0),0)</f>
        <v>1.0692631726400694</v>
      </c>
      <c r="P3471" s="30">
        <f>IFERROR(SUM(K3471:O3471)*VLOOKUP($A3471,HeadJournal!$A$1:$L$890,COLUMN(HeadJournal!H$1),0),0)</f>
        <v>1807.698927324019</v>
      </c>
      <c r="Q3471" s="29">
        <v>3000</v>
      </c>
      <c r="R3471" s="31">
        <v>45707</v>
      </c>
      <c r="S3471" s="31" t="s">
        <v>3121</v>
      </c>
      <c r="T3471" s="95" t="str">
        <f t="shared" si="278"/>
        <v>2025 02</v>
      </c>
      <c r="U3471" s="32">
        <f t="shared" si="275"/>
        <v>1192.301072675981</v>
      </c>
      <c r="V3471" s="22">
        <f t="shared" si="276"/>
        <v>0.65956839087190999</v>
      </c>
      <c r="X3471" s="33"/>
      <c r="Y3471" s="33"/>
    </row>
    <row r="3472" spans="1:25" x14ac:dyDescent="0.2">
      <c r="A3472" s="93" t="s">
        <v>1851</v>
      </c>
      <c r="B3472" s="94" t="str">
        <f>IFERROR(VLOOKUP($A3472,HeadJournal!$A$1:$NTR$890,COLUMN(HeadJournal!B$1),0),"")</f>
        <v>720000262320</v>
      </c>
      <c r="C3472" s="94" t="str">
        <f>IFERROR(VLOOKUP($A3472,HeadJournal!$A$1:$NTR$890,COLUMN(HeadJournal!C$1),0),"")</f>
        <v>iHerb_AV CYG0792</v>
      </c>
      <c r="D3472" s="125" t="str">
        <f>IFERROR(VLOOKUP($A3472,HeadJournal!$A$1:$NTR$890,COLUMN(HeadJournal!D$1),0),"")</f>
        <v>Доставлен</v>
      </c>
      <c r="E3472" s="95">
        <f>IFERROR(VLOOKUP($A3472,HeadJournal!$A$1:$NTR$890,COLUMN(HeadJournal!G$1),0),"")</f>
        <v>45454</v>
      </c>
      <c r="F3472" s="95" t="str">
        <f t="shared" si="277"/>
        <v>2024 06</v>
      </c>
      <c r="G3472" s="96" t="s">
        <v>5</v>
      </c>
      <c r="H3472" s="160" t="str">
        <f>RIGHT(Journal!$J3472,9)</f>
        <v>NOW-01294</v>
      </c>
      <c r="I3472" s="127" t="str">
        <f t="shared" si="274"/>
        <v>NOW Foods</v>
      </c>
      <c r="J3472" s="97" t="s">
        <v>59</v>
      </c>
      <c r="K3472" s="29">
        <v>15.56</v>
      </c>
      <c r="L3472" s="29">
        <v>-3.11</v>
      </c>
      <c r="M3472" s="30">
        <f>IFERROR(VLOOKUP($A3472,HeadJournal!$A$1:$J$890,COLUMN(HeadJournal!I$1),0)*($K3472+$L3472)/(SUMIF($A:$A,$A3472,$K:$K)+SUMIF($A:$A,$A3472,$L:$L)),0)</f>
        <v>-1.304540569586244</v>
      </c>
      <c r="N3472" s="30">
        <f>IFERROR((VLOOKUP($A3472,HeadJournal!$A$1:$K$890,COLUMN(HeadJournal!K$1),0)-VLOOKUP($A3472,HeadJournal!$A$1:$K$890,COLUMN(HeadJournal!J$1),0))*($K3472+$L3472)/(SUMIF($A:$A,$A3472,$K:$K)+SUMIF($A:$A,$A3472,$L:$L)),0)</f>
        <v>-1.9013986158437932E-15</v>
      </c>
      <c r="O3472" s="30">
        <f>IFERROR((VLOOKUP($A3472,HeadJournal!$A$1:$L$890,COLUMN(HeadJournal!L$1),0)*($K3472+$L3472)/(SUMIF($A:$A,$A3472,$K:$K)+SUMIF($A:$A,$A3472,$L:$L)))/VLOOKUP($A3472,HeadJournal!$A$1:$L$890,COLUMN(HeadJournal!H$1),0),0)</f>
        <v>0.72251432832395468</v>
      </c>
      <c r="P3472" s="30">
        <f>IFERROR(SUM(K3472:O3472)*VLOOKUP($A3472,HeadJournal!$A$1:$L$890,COLUMN(HeadJournal!H$1),0),0)</f>
        <v>1221.484485491671</v>
      </c>
      <c r="Q3472" s="29">
        <v>1900</v>
      </c>
      <c r="R3472" s="31">
        <v>45755</v>
      </c>
      <c r="S3472" s="31" t="s">
        <v>3121</v>
      </c>
      <c r="T3472" s="95" t="str">
        <f t="shared" si="278"/>
        <v>2025 04</v>
      </c>
      <c r="U3472" s="32">
        <f t="shared" si="275"/>
        <v>678.51551450832903</v>
      </c>
      <c r="V3472" s="22">
        <f t="shared" si="276"/>
        <v>0.55548434922217904</v>
      </c>
      <c r="X3472" s="33"/>
      <c r="Y3472" s="33"/>
    </row>
    <row r="3473" spans="1:25" x14ac:dyDescent="0.2">
      <c r="A3473" s="93" t="s">
        <v>1851</v>
      </c>
      <c r="B3473" s="94" t="str">
        <f>IFERROR(VLOOKUP($A3473,HeadJournal!$A$1:$NTR$890,COLUMN(HeadJournal!B$1),0),"")</f>
        <v>720000262320</v>
      </c>
      <c r="C3473" s="94" t="str">
        <f>IFERROR(VLOOKUP($A3473,HeadJournal!$A$1:$NTR$890,COLUMN(HeadJournal!C$1),0),"")</f>
        <v>iHerb_AV CYG0792</v>
      </c>
      <c r="D3473" s="125" t="str">
        <f>IFERROR(VLOOKUP($A3473,HeadJournal!$A$1:$NTR$890,COLUMN(HeadJournal!D$1),0),"")</f>
        <v>Доставлен</v>
      </c>
      <c r="E3473" s="95">
        <f>IFERROR(VLOOKUP($A3473,HeadJournal!$A$1:$NTR$890,COLUMN(HeadJournal!G$1),0),"")</f>
        <v>45454</v>
      </c>
      <c r="F3473" s="95" t="str">
        <f t="shared" si="277"/>
        <v>2024 06</v>
      </c>
      <c r="G3473" s="96" t="s">
        <v>5</v>
      </c>
      <c r="H3473" s="160" t="str">
        <f>RIGHT(Journal!$J3473,9)</f>
        <v>NOW-01294</v>
      </c>
      <c r="I3473" s="127" t="str">
        <f t="shared" si="274"/>
        <v>NOW Foods</v>
      </c>
      <c r="J3473" s="97" t="s">
        <v>59</v>
      </c>
      <c r="K3473" s="29">
        <v>15.56</v>
      </c>
      <c r="L3473" s="29">
        <v>-3.11</v>
      </c>
      <c r="M3473" s="30">
        <f>IFERROR(VLOOKUP($A3473,HeadJournal!$A$1:$J$890,COLUMN(HeadJournal!I$1),0)*($K3473+$L3473)/(SUMIF($A:$A,$A3473,$K:$K)+SUMIF($A:$A,$A3473,$L:$L)),0)</f>
        <v>-1.304540569586244</v>
      </c>
      <c r="N3473" s="30">
        <f>IFERROR((VLOOKUP($A3473,HeadJournal!$A$1:$K$890,COLUMN(HeadJournal!K$1),0)-VLOOKUP($A3473,HeadJournal!$A$1:$K$890,COLUMN(HeadJournal!J$1),0))*($K3473+$L3473)/(SUMIF($A:$A,$A3473,$K:$K)+SUMIF($A:$A,$A3473,$L:$L)),0)</f>
        <v>-1.9013986158437932E-15</v>
      </c>
      <c r="O3473" s="30">
        <f>IFERROR((VLOOKUP($A3473,HeadJournal!$A$1:$L$890,COLUMN(HeadJournal!L$1),0)*($K3473+$L3473)/(SUMIF($A:$A,$A3473,$K:$K)+SUMIF($A:$A,$A3473,$L:$L)))/VLOOKUP($A3473,HeadJournal!$A$1:$L$890,COLUMN(HeadJournal!H$1),0),0)</f>
        <v>0.72251432832395468</v>
      </c>
      <c r="P3473" s="30">
        <f>IFERROR(SUM(K3473:O3473)*VLOOKUP($A3473,HeadJournal!$A$1:$L$890,COLUMN(HeadJournal!H$1),0),0)</f>
        <v>1221.484485491671</v>
      </c>
      <c r="Q3473" s="29">
        <v>2000</v>
      </c>
      <c r="R3473" s="31">
        <v>45893</v>
      </c>
      <c r="S3473" s="31"/>
      <c r="T3473" s="95" t="str">
        <f t="shared" si="278"/>
        <v>2025 08</v>
      </c>
      <c r="U3473" s="32">
        <f t="shared" si="275"/>
        <v>778.51551450832903</v>
      </c>
      <c r="V3473" s="22">
        <f t="shared" si="276"/>
        <v>0.6373519465496621</v>
      </c>
      <c r="X3473" s="33"/>
      <c r="Y3473" s="33"/>
    </row>
    <row r="3474" spans="1:25" x14ac:dyDescent="0.2">
      <c r="A3474" s="93" t="s">
        <v>1851</v>
      </c>
      <c r="B3474" s="94" t="str">
        <f>IFERROR(VLOOKUP($A3474,HeadJournal!$A$1:$NTR$890,COLUMN(HeadJournal!B$1),0),"")</f>
        <v>720000262320</v>
      </c>
      <c r="C3474" s="94" t="str">
        <f>IFERROR(VLOOKUP($A3474,HeadJournal!$A$1:$NTR$890,COLUMN(HeadJournal!C$1),0),"")</f>
        <v>iHerb_AV CYG0792</v>
      </c>
      <c r="D3474" s="125" t="str">
        <f>IFERROR(VLOOKUP($A3474,HeadJournal!$A$1:$NTR$890,COLUMN(HeadJournal!D$1),0),"")</f>
        <v>Доставлен</v>
      </c>
      <c r="E3474" s="95">
        <f>IFERROR(VLOOKUP($A3474,HeadJournal!$A$1:$NTR$890,COLUMN(HeadJournal!G$1),0),"")</f>
        <v>45454</v>
      </c>
      <c r="F3474" s="95" t="str">
        <f t="shared" si="277"/>
        <v>2024 06</v>
      </c>
      <c r="G3474" s="96" t="s">
        <v>5</v>
      </c>
      <c r="H3474" s="160" t="str">
        <f>RIGHT(Journal!$J3474,9)</f>
        <v>CGN-02188</v>
      </c>
      <c r="I3474" s="127" t="str">
        <f t="shared" si="274"/>
        <v>California Gold Nutrition</v>
      </c>
      <c r="J3474" s="97" t="s">
        <v>1589</v>
      </c>
      <c r="K3474" s="29">
        <v>26.88</v>
      </c>
      <c r="L3474" s="29">
        <v>-25.88</v>
      </c>
      <c r="M3474" s="30">
        <f>IFERROR(VLOOKUP($A3474,HeadJournal!$A$1:$J$890,COLUMN(HeadJournal!I$1),0)*($K3474+$L3474)/(SUMIF($A:$A,$A3474,$K:$K)+SUMIF($A:$A,$A3474,$L:$L)),0)</f>
        <v>-0.10478237506716817</v>
      </c>
      <c r="N3474" s="30">
        <f>IFERROR((VLOOKUP($A3474,HeadJournal!$A$1:$K$890,COLUMN(HeadJournal!K$1),0)-VLOOKUP($A3474,HeadJournal!$A$1:$K$890,COLUMN(HeadJournal!J$1),0))*($K3474+$L3474)/(SUMIF($A:$A,$A3474,$K:$K)+SUMIF($A:$A,$A3474,$L:$L)),0)</f>
        <v>-1.5272278038905968E-16</v>
      </c>
      <c r="O3474" s="30">
        <f>IFERROR((VLOOKUP($A3474,HeadJournal!$A$1:$L$890,COLUMN(HeadJournal!L$1),0)*($K3474+$L3474)/(SUMIF($A:$A,$A3474,$K:$K)+SUMIF($A:$A,$A3474,$L:$L)))/VLOOKUP($A3474,HeadJournal!$A$1:$L$890,COLUMN(HeadJournal!H$1),0),0)</f>
        <v>5.8033279383450175E-2</v>
      </c>
      <c r="P3474" s="30">
        <f>IFERROR(SUM(K3474:O3474)*VLOOKUP($A3474,HeadJournal!$A$1:$L$890,COLUMN(HeadJournal!H$1),0),0)</f>
        <v>98.111203653949474</v>
      </c>
      <c r="Q3474" s="29">
        <v>98.11</v>
      </c>
      <c r="R3474" s="31">
        <v>45455</v>
      </c>
      <c r="S3474" s="31" t="s">
        <v>3121</v>
      </c>
      <c r="T3474" s="95" t="str">
        <f t="shared" si="278"/>
        <v>2024 06</v>
      </c>
      <c r="U3474" s="32">
        <f t="shared" si="275"/>
        <v>-1.2036539494744147E-3</v>
      </c>
      <c r="V3474" s="22">
        <f t="shared" si="276"/>
        <v>-1.2268261978722158E-5</v>
      </c>
      <c r="X3474" s="33"/>
      <c r="Y3474" s="33"/>
    </row>
    <row r="3475" spans="1:25" x14ac:dyDescent="0.2">
      <c r="A3475" s="93" t="s">
        <v>1851</v>
      </c>
      <c r="B3475" s="94" t="str">
        <f>IFERROR(VLOOKUP($A3475,HeadJournal!$A$1:$NTR$890,COLUMN(HeadJournal!B$1),0),"")</f>
        <v>720000262320</v>
      </c>
      <c r="C3475" s="94" t="str">
        <f>IFERROR(VLOOKUP($A3475,HeadJournal!$A$1:$NTR$890,COLUMN(HeadJournal!C$1),0),"")</f>
        <v>iHerb_AV CYG0792</v>
      </c>
      <c r="D3475" s="125" t="str">
        <f>IFERROR(VLOOKUP($A3475,HeadJournal!$A$1:$NTR$890,COLUMN(HeadJournal!D$1),0),"")</f>
        <v>Доставлен</v>
      </c>
      <c r="E3475" s="95">
        <f>IFERROR(VLOOKUP($A3475,HeadJournal!$A$1:$NTR$890,COLUMN(HeadJournal!G$1),0),"")</f>
        <v>45454</v>
      </c>
      <c r="F3475" s="95" t="str">
        <f t="shared" si="277"/>
        <v>2024 06</v>
      </c>
      <c r="G3475" s="96" t="s">
        <v>7</v>
      </c>
      <c r="H3475" s="161" t="s">
        <v>2724</v>
      </c>
      <c r="I3475" s="97" t="s">
        <v>2725</v>
      </c>
      <c r="J3475" s="97" t="s">
        <v>2726</v>
      </c>
      <c r="K3475" s="29">
        <v>25.7</v>
      </c>
      <c r="L3475" s="29">
        <v>-5.14</v>
      </c>
      <c r="M3475" s="30">
        <f>IFERROR(VLOOKUP($A3475,HeadJournal!$A$1:$J$890,COLUMN(HeadJournal!I$1),0)*($K3475+$L3475)/(SUMIF($A:$A,$A3475,$K:$K)+SUMIF($A:$A,$A3475,$L:$L)),0)</f>
        <v>-2.1543256313809773</v>
      </c>
      <c r="N3475" s="30">
        <f>IFERROR((VLOOKUP($A3475,HeadJournal!$A$1:$K$890,COLUMN(HeadJournal!K$1),0)-VLOOKUP($A3475,HeadJournal!$A$1:$K$890,COLUMN(HeadJournal!J$1),0))*($K3475+$L3475)/(SUMIF($A:$A,$A3475,$K:$K)+SUMIF($A:$A,$A3475,$L:$L)),0)</f>
        <v>-3.1399803647990666E-15</v>
      </c>
      <c r="O3475" s="30">
        <f>IFERROR((VLOOKUP($A3475,HeadJournal!$A$1:$L$890,COLUMN(HeadJournal!L$1),0)*($K3475+$L3475)/(SUMIF($A:$A,$A3475,$K:$K)+SUMIF($A:$A,$A3475,$L:$L)))/VLOOKUP($A3475,HeadJournal!$A$1:$L$890,COLUMN(HeadJournal!H$1),0),0)</f>
        <v>1.1931642241237355</v>
      </c>
      <c r="P3475" s="30">
        <f>IFERROR(SUM(K3475:O3475)*VLOOKUP($A3475,HeadJournal!$A$1:$L$890,COLUMN(HeadJournal!H$1),0),0)</f>
        <v>2017.1663471252007</v>
      </c>
      <c r="Q3475" s="29">
        <v>3000</v>
      </c>
      <c r="R3475" s="31">
        <v>45480</v>
      </c>
      <c r="S3475" s="31" t="s">
        <v>3121</v>
      </c>
      <c r="T3475" s="95" t="str">
        <f t="shared" si="278"/>
        <v>2024 07</v>
      </c>
      <c r="U3475" s="32">
        <f t="shared" si="275"/>
        <v>982.83365287479933</v>
      </c>
      <c r="V3475" s="22">
        <f t="shared" si="276"/>
        <v>0.48723480553574655</v>
      </c>
      <c r="X3475" s="33"/>
      <c r="Y3475" s="33"/>
    </row>
    <row r="3476" spans="1:25" x14ac:dyDescent="0.2">
      <c r="A3476" s="93" t="s">
        <v>1851</v>
      </c>
      <c r="B3476" s="94" t="str">
        <f>IFERROR(VLOOKUP($A3476,HeadJournal!$A$1:$NTR$890,COLUMN(HeadJournal!B$1),0),"")</f>
        <v>720000262320</v>
      </c>
      <c r="C3476" s="94" t="str">
        <f>IFERROR(VLOOKUP($A3476,HeadJournal!$A$1:$NTR$890,COLUMN(HeadJournal!C$1),0),"")</f>
        <v>iHerb_AV CYG0792</v>
      </c>
      <c r="D3476" s="125" t="str">
        <f>IFERROR(VLOOKUP($A3476,HeadJournal!$A$1:$NTR$890,COLUMN(HeadJournal!D$1),0),"")</f>
        <v>Доставлен</v>
      </c>
      <c r="E3476" s="95">
        <f>IFERROR(VLOOKUP($A3476,HeadJournal!$A$1:$NTR$890,COLUMN(HeadJournal!G$1),0),"")</f>
        <v>45454</v>
      </c>
      <c r="F3476" s="95" t="str">
        <f t="shared" si="277"/>
        <v>2024 06</v>
      </c>
      <c r="G3476" s="96" t="s">
        <v>7</v>
      </c>
      <c r="H3476" s="161" t="s">
        <v>2724</v>
      </c>
      <c r="I3476" s="97" t="s">
        <v>2725</v>
      </c>
      <c r="J3476" s="97" t="s">
        <v>2726</v>
      </c>
      <c r="K3476" s="29">
        <v>25.7</v>
      </c>
      <c r="L3476" s="29">
        <v>-5.14</v>
      </c>
      <c r="M3476" s="30">
        <f>IFERROR(VLOOKUP($A3476,HeadJournal!$A$1:$J$890,COLUMN(HeadJournal!I$1),0)*($K3476+$L3476)/(SUMIF($A:$A,$A3476,$K:$K)+SUMIF($A:$A,$A3476,$L:$L)),0)</f>
        <v>-2.1543256313809773</v>
      </c>
      <c r="N3476" s="30">
        <f>IFERROR((VLOOKUP($A3476,HeadJournal!$A$1:$K$890,COLUMN(HeadJournal!K$1),0)-VLOOKUP($A3476,HeadJournal!$A$1:$K$890,COLUMN(HeadJournal!J$1),0))*($K3476+$L3476)/(SUMIF($A:$A,$A3476,$K:$K)+SUMIF($A:$A,$A3476,$L:$L)),0)</f>
        <v>-3.1399803647990666E-15</v>
      </c>
      <c r="O3476" s="30">
        <f>IFERROR((VLOOKUP($A3476,HeadJournal!$A$1:$L$890,COLUMN(HeadJournal!L$1),0)*($K3476+$L3476)/(SUMIF($A:$A,$A3476,$K:$K)+SUMIF($A:$A,$A3476,$L:$L)))/VLOOKUP($A3476,HeadJournal!$A$1:$L$890,COLUMN(HeadJournal!H$1),0),0)</f>
        <v>1.1931642241237355</v>
      </c>
      <c r="P3476" s="30">
        <f>IFERROR(SUM(K3476:O3476)*VLOOKUP($A3476,HeadJournal!$A$1:$L$890,COLUMN(HeadJournal!H$1),0),0)</f>
        <v>2017.1663471252007</v>
      </c>
      <c r="Q3476" s="29">
        <v>3000</v>
      </c>
      <c r="R3476" s="31">
        <v>45480</v>
      </c>
      <c r="S3476" s="31" t="s">
        <v>3121</v>
      </c>
      <c r="T3476" s="95" t="str">
        <f t="shared" si="278"/>
        <v>2024 07</v>
      </c>
      <c r="U3476" s="32">
        <f t="shared" si="275"/>
        <v>982.83365287479933</v>
      </c>
      <c r="V3476" s="22">
        <f t="shared" si="276"/>
        <v>0.48723480553574655</v>
      </c>
      <c r="X3476" s="33"/>
      <c r="Y3476" s="33"/>
    </row>
    <row r="3477" spans="1:25" x14ac:dyDescent="0.2">
      <c r="A3477" s="93" t="s">
        <v>1851</v>
      </c>
      <c r="B3477" s="94" t="str">
        <f>IFERROR(VLOOKUP($A3477,HeadJournal!$A$1:$NTR$890,COLUMN(HeadJournal!B$1),0),"")</f>
        <v>720000262320</v>
      </c>
      <c r="C3477" s="94" t="str">
        <f>IFERROR(VLOOKUP($A3477,HeadJournal!$A$1:$NTR$890,COLUMN(HeadJournal!C$1),0),"")</f>
        <v>iHerb_AV CYG0792</v>
      </c>
      <c r="D3477" s="125" t="str">
        <f>IFERROR(VLOOKUP($A3477,HeadJournal!$A$1:$NTR$890,COLUMN(HeadJournal!D$1),0),"")</f>
        <v>Доставлен</v>
      </c>
      <c r="E3477" s="95">
        <f>IFERROR(VLOOKUP($A3477,HeadJournal!$A$1:$NTR$890,COLUMN(HeadJournal!G$1),0),"")</f>
        <v>45454</v>
      </c>
      <c r="F3477" s="95" t="str">
        <f t="shared" si="277"/>
        <v>2024 06</v>
      </c>
      <c r="G3477" s="96" t="s">
        <v>5</v>
      </c>
      <c r="H3477" s="161" t="s">
        <v>2650</v>
      </c>
      <c r="I3477" s="97" t="s">
        <v>2005</v>
      </c>
      <c r="J3477" s="97" t="s">
        <v>2651</v>
      </c>
      <c r="K3477" s="29">
        <v>12.71</v>
      </c>
      <c r="L3477" s="29">
        <v>-2.54</v>
      </c>
      <c r="M3477" s="30">
        <f>IFERROR(VLOOKUP($A3477,HeadJournal!$A$1:$J$890,COLUMN(HeadJournal!I$1),0)*($K3477+$L3477)/(SUMIF($A:$A,$A3477,$K:$K)+SUMIF($A:$A,$A3477,$L:$L)),0)</f>
        <v>-1.0656367544331005</v>
      </c>
      <c r="N3477" s="30">
        <f>IFERROR((VLOOKUP($A3477,HeadJournal!$A$1:$K$890,COLUMN(HeadJournal!K$1),0)-VLOOKUP($A3477,HeadJournal!$A$1:$K$890,COLUMN(HeadJournal!J$1),0))*($K3477+$L3477)/(SUMIF($A:$A,$A3477,$K:$K)+SUMIF($A:$A,$A3477,$L:$L)),0)</f>
        <v>-1.5531906765567371E-15</v>
      </c>
      <c r="O3477" s="30">
        <f>IFERROR((VLOOKUP($A3477,HeadJournal!$A$1:$L$890,COLUMN(HeadJournal!L$1),0)*($K3477+$L3477)/(SUMIF($A:$A,$A3477,$K:$K)+SUMIF($A:$A,$A3477,$L:$L)))/VLOOKUP($A3477,HeadJournal!$A$1:$L$890,COLUMN(HeadJournal!H$1),0),0)</f>
        <v>0.59019845132968829</v>
      </c>
      <c r="P3477" s="30">
        <f>IFERROR(SUM(K3477:O3477)*VLOOKUP($A3477,HeadJournal!$A$1:$L$890,COLUMN(HeadJournal!H$1),0),0)</f>
        <v>997.79094116066631</v>
      </c>
      <c r="Q3477" s="29">
        <v>1800</v>
      </c>
      <c r="R3477" s="31">
        <v>45588</v>
      </c>
      <c r="S3477" s="31" t="s">
        <v>3121</v>
      </c>
      <c r="T3477" s="95" t="str">
        <f t="shared" si="278"/>
        <v>2024 10</v>
      </c>
      <c r="U3477" s="32">
        <f t="shared" si="275"/>
        <v>802.20905883933369</v>
      </c>
      <c r="V3477" s="22">
        <f t="shared" si="276"/>
        <v>0.8039851092516187</v>
      </c>
      <c r="X3477" s="33"/>
      <c r="Y3477" s="33"/>
    </row>
    <row r="3478" spans="1:25" x14ac:dyDescent="0.2">
      <c r="A3478" s="93" t="s">
        <v>1851</v>
      </c>
      <c r="B3478" s="94" t="str">
        <f>IFERROR(VLOOKUP($A3478,HeadJournal!$A$1:$NTR$890,COLUMN(HeadJournal!B$1),0),"")</f>
        <v>720000262320</v>
      </c>
      <c r="C3478" s="94" t="str">
        <f>IFERROR(VLOOKUP($A3478,HeadJournal!$A$1:$NTR$890,COLUMN(HeadJournal!C$1),0),"")</f>
        <v>iHerb_AV CYG0792</v>
      </c>
      <c r="D3478" s="125" t="str">
        <f>IFERROR(VLOOKUP($A3478,HeadJournal!$A$1:$NTR$890,COLUMN(HeadJournal!D$1),0),"")</f>
        <v>Доставлен</v>
      </c>
      <c r="E3478" s="95">
        <f>IFERROR(VLOOKUP($A3478,HeadJournal!$A$1:$NTR$890,COLUMN(HeadJournal!G$1),0),"")</f>
        <v>45454</v>
      </c>
      <c r="F3478" s="95" t="str">
        <f t="shared" si="277"/>
        <v>2024 06</v>
      </c>
      <c r="G3478" s="96" t="s">
        <v>5</v>
      </c>
      <c r="H3478" s="161" t="s">
        <v>2650</v>
      </c>
      <c r="I3478" s="97" t="s">
        <v>2005</v>
      </c>
      <c r="J3478" s="97" t="s">
        <v>2651</v>
      </c>
      <c r="K3478" s="29">
        <v>12.71</v>
      </c>
      <c r="L3478" s="29">
        <v>-2.54</v>
      </c>
      <c r="M3478" s="30">
        <f>IFERROR(VLOOKUP($A3478,HeadJournal!$A$1:$J$890,COLUMN(HeadJournal!I$1),0)*($K3478+$L3478)/(SUMIF($A:$A,$A3478,$K:$K)+SUMIF($A:$A,$A3478,$L:$L)),0)</f>
        <v>-1.0656367544331005</v>
      </c>
      <c r="N3478" s="30">
        <f>IFERROR((VLOOKUP($A3478,HeadJournal!$A$1:$K$890,COLUMN(HeadJournal!K$1),0)-VLOOKUP($A3478,HeadJournal!$A$1:$K$890,COLUMN(HeadJournal!J$1),0))*($K3478+$L3478)/(SUMIF($A:$A,$A3478,$K:$K)+SUMIF($A:$A,$A3478,$L:$L)),0)</f>
        <v>-1.5531906765567371E-15</v>
      </c>
      <c r="O3478" s="30">
        <f>IFERROR((VLOOKUP($A3478,HeadJournal!$A$1:$L$890,COLUMN(HeadJournal!L$1),0)*($K3478+$L3478)/(SUMIF($A:$A,$A3478,$K:$K)+SUMIF($A:$A,$A3478,$L:$L)))/VLOOKUP($A3478,HeadJournal!$A$1:$L$890,COLUMN(HeadJournal!H$1),0),0)</f>
        <v>0.59019845132968829</v>
      </c>
      <c r="P3478" s="30">
        <f>IFERROR(SUM(K3478:O3478)*VLOOKUP($A3478,HeadJournal!$A$1:$L$890,COLUMN(HeadJournal!H$1),0),0)</f>
        <v>997.79094116066631</v>
      </c>
      <c r="Q3478" s="29">
        <v>1700</v>
      </c>
      <c r="R3478" s="31">
        <v>45682</v>
      </c>
      <c r="S3478" s="31" t="s">
        <v>3121</v>
      </c>
      <c r="T3478" s="95" t="str">
        <f t="shared" si="278"/>
        <v>2025 01</v>
      </c>
      <c r="U3478" s="32">
        <f t="shared" si="275"/>
        <v>702.20905883933369</v>
      </c>
      <c r="V3478" s="22">
        <f t="shared" si="276"/>
        <v>0.7037637142931954</v>
      </c>
      <c r="X3478" s="33"/>
      <c r="Y3478" s="33"/>
    </row>
    <row r="3479" spans="1:25" x14ac:dyDescent="0.2">
      <c r="A3479" s="93" t="s">
        <v>1851</v>
      </c>
      <c r="B3479" s="94" t="str">
        <f>IFERROR(VLOOKUP($A3479,HeadJournal!$A$1:$NTR$890,COLUMN(HeadJournal!B$1),0),"")</f>
        <v>720000262320</v>
      </c>
      <c r="C3479" s="94" t="str">
        <f>IFERROR(VLOOKUP($A3479,HeadJournal!$A$1:$NTR$890,COLUMN(HeadJournal!C$1),0),"")</f>
        <v>iHerb_AV CYG0792</v>
      </c>
      <c r="D3479" s="125" t="str">
        <f>IFERROR(VLOOKUP($A3479,HeadJournal!$A$1:$NTR$890,COLUMN(HeadJournal!D$1),0),"")</f>
        <v>Доставлен</v>
      </c>
      <c r="E3479" s="95">
        <f>IFERROR(VLOOKUP($A3479,HeadJournal!$A$1:$NTR$890,COLUMN(HeadJournal!G$1),0),"")</f>
        <v>45454</v>
      </c>
      <c r="F3479" s="95" t="str">
        <f t="shared" si="277"/>
        <v>2024 06</v>
      </c>
      <c r="G3479" s="96" t="s">
        <v>5</v>
      </c>
      <c r="H3479" s="161" t="s">
        <v>2481</v>
      </c>
      <c r="I3479" s="97" t="s">
        <v>2005</v>
      </c>
      <c r="J3479" s="97" t="s">
        <v>2482</v>
      </c>
      <c r="K3479" s="29">
        <v>11.07</v>
      </c>
      <c r="L3479" s="29">
        <v>-2.21</v>
      </c>
      <c r="M3479" s="30">
        <f>IFERROR(VLOOKUP($A3479,HeadJournal!$A$1:$J$890,COLUMN(HeadJournal!I$1),0)*($K3479+$L3479)/(SUMIF($A:$A,$A3479,$K:$K)+SUMIF($A:$A,$A3479,$L:$L)),0)</f>
        <v>-0.92837184309510989</v>
      </c>
      <c r="N3479" s="30">
        <f>IFERROR((VLOOKUP($A3479,HeadJournal!$A$1:$K$890,COLUMN(HeadJournal!K$1),0)-VLOOKUP($A3479,HeadJournal!$A$1:$K$890,COLUMN(HeadJournal!J$1),0))*($K3479+$L3479)/(SUMIF($A:$A,$A3479,$K:$K)+SUMIF($A:$A,$A3479,$L:$L)),0)</f>
        <v>-1.3531238342470686E-15</v>
      </c>
      <c r="O3479" s="30">
        <f>IFERROR((VLOOKUP($A3479,HeadJournal!$A$1:$L$890,COLUMN(HeadJournal!L$1),0)*($K3479+$L3479)/(SUMIF($A:$A,$A3479,$K:$K)+SUMIF($A:$A,$A3479,$L:$L)))/VLOOKUP($A3479,HeadJournal!$A$1:$L$890,COLUMN(HeadJournal!H$1),0),0)</f>
        <v>0.5141748553373684</v>
      </c>
      <c r="P3479" s="30">
        <f>IFERROR(SUM(K3479:O3479)*VLOOKUP($A3479,HeadJournal!$A$1:$L$890,COLUMN(HeadJournal!H$1),0),0)</f>
        <v>869.26526437399218</v>
      </c>
      <c r="Q3479" s="29">
        <v>1700</v>
      </c>
      <c r="R3479" s="31">
        <v>45520</v>
      </c>
      <c r="S3479" s="31" t="s">
        <v>3121</v>
      </c>
      <c r="T3479" s="95" t="str">
        <f t="shared" si="278"/>
        <v>2024 08</v>
      </c>
      <c r="U3479" s="32">
        <f t="shared" si="275"/>
        <v>830.73473562600782</v>
      </c>
      <c r="V3479" s="22">
        <f t="shared" si="276"/>
        <v>0.95567460207243826</v>
      </c>
      <c r="X3479" s="33"/>
      <c r="Y3479" s="33"/>
    </row>
    <row r="3480" spans="1:25" x14ac:dyDescent="0.2">
      <c r="A3480" s="93" t="s">
        <v>1851</v>
      </c>
      <c r="B3480" s="94" t="str">
        <f>IFERROR(VLOOKUP($A3480,HeadJournal!$A$1:$NTR$890,COLUMN(HeadJournal!B$1),0),"")</f>
        <v>720000262320</v>
      </c>
      <c r="C3480" s="94" t="str">
        <f>IFERROR(VLOOKUP($A3480,HeadJournal!$A$1:$NTR$890,COLUMN(HeadJournal!C$1),0),"")</f>
        <v>iHerb_AV CYG0792</v>
      </c>
      <c r="D3480" s="125" t="str">
        <f>IFERROR(VLOOKUP($A3480,HeadJournal!$A$1:$NTR$890,COLUMN(HeadJournal!D$1),0),"")</f>
        <v>Доставлен</v>
      </c>
      <c r="E3480" s="95">
        <f>IFERROR(VLOOKUP($A3480,HeadJournal!$A$1:$NTR$890,COLUMN(HeadJournal!G$1),0),"")</f>
        <v>45454</v>
      </c>
      <c r="F3480" s="95" t="str">
        <f t="shared" si="277"/>
        <v>2024 06</v>
      </c>
      <c r="G3480" s="96" t="s">
        <v>5</v>
      </c>
      <c r="H3480" s="161" t="s">
        <v>2073</v>
      </c>
      <c r="I3480" s="97" t="s">
        <v>2005</v>
      </c>
      <c r="J3480" s="97" t="s">
        <v>2074</v>
      </c>
      <c r="K3480" s="29">
        <v>19.78</v>
      </c>
      <c r="L3480" s="29">
        <v>-3.96</v>
      </c>
      <c r="M3480" s="30">
        <f>IFERROR(VLOOKUP($A3480,HeadJournal!$A$1:$J$890,COLUMN(HeadJournal!I$1),0)*($K3480+$L3480)/(SUMIF($A:$A,$A3480,$K:$K)+SUMIF($A:$A,$A3480,$L:$L)),0)</f>
        <v>-1.6576571735626007</v>
      </c>
      <c r="N3480" s="30">
        <f>IFERROR((VLOOKUP($A3480,HeadJournal!$A$1:$K$890,COLUMN(HeadJournal!K$1),0)-VLOOKUP($A3480,HeadJournal!$A$1:$K$890,COLUMN(HeadJournal!J$1),0))*($K3480+$L3480)/(SUMIF($A:$A,$A3480,$K:$K)+SUMIF($A:$A,$A3480,$L:$L)),0)</f>
        <v>-2.4160743857549239E-15</v>
      </c>
      <c r="O3480" s="30">
        <f>IFERROR((VLOOKUP($A3480,HeadJournal!$A$1:$L$890,COLUMN(HeadJournal!L$1),0)*($K3480+$L3480)/(SUMIF($A:$A,$A3480,$K:$K)+SUMIF($A:$A,$A3480,$L:$L)))/VLOOKUP($A3480,HeadJournal!$A$1:$L$890,COLUMN(HeadJournal!H$1),0),0)</f>
        <v>0.91808647984618175</v>
      </c>
      <c r="P3480" s="30">
        <f>IFERROR(SUM(K3480:O3480)*VLOOKUP($A3480,HeadJournal!$A$1:$L$890,COLUMN(HeadJournal!H$1),0),0)</f>
        <v>1552.1192418054804</v>
      </c>
      <c r="Q3480" s="29">
        <v>2400</v>
      </c>
      <c r="R3480" s="31">
        <v>45507</v>
      </c>
      <c r="S3480" s="31" t="s">
        <v>3121</v>
      </c>
      <c r="T3480" s="95" t="str">
        <f t="shared" si="278"/>
        <v>2024 08</v>
      </c>
      <c r="U3480" s="32">
        <f t="shared" si="275"/>
        <v>847.88075819451956</v>
      </c>
      <c r="V3480" s="22">
        <f t="shared" si="276"/>
        <v>0.54627295078710214</v>
      </c>
      <c r="X3480" s="33"/>
      <c r="Y3480" s="33"/>
    </row>
    <row r="3481" spans="1:25" x14ac:dyDescent="0.2">
      <c r="A3481" s="93" t="s">
        <v>1853</v>
      </c>
      <c r="B3481" s="94" t="str">
        <f>IFERROR(VLOOKUP($A3481,HeadJournal!$A$1:$NTR$890,COLUMN(HeadJournal!B$1),0),"")</f>
        <v>720000252407</v>
      </c>
      <c r="C3481" s="94" t="str">
        <f>IFERROR(VLOOKUP($A3481,HeadJournal!$A$1:$NTR$890,COLUMN(HeadJournal!C$1),0),"")</f>
        <v>iHerb_OA CZN6870</v>
      </c>
      <c r="D3481" s="125" t="str">
        <f>IFERROR(VLOOKUP($A3481,HeadJournal!$A$1:$NTR$890,COLUMN(HeadJournal!D$1),0),"")</f>
        <v>Доставлен</v>
      </c>
      <c r="E3481" s="95">
        <f>IFERROR(VLOOKUP($A3481,HeadJournal!$A$1:$NTR$890,COLUMN(HeadJournal!G$1),0),"")</f>
        <v>45445</v>
      </c>
      <c r="F3481" s="95" t="str">
        <f t="shared" si="277"/>
        <v>2024 06</v>
      </c>
      <c r="G3481" s="96" t="s">
        <v>5</v>
      </c>
      <c r="H3481" s="160" t="str">
        <f>RIGHT(Journal!$J3481,9)</f>
        <v>CGN-02435</v>
      </c>
      <c r="I3481" s="127" t="str">
        <f t="shared" si="274"/>
        <v>California Gold Nutrition</v>
      </c>
      <c r="J3481" s="97" t="s">
        <v>1855</v>
      </c>
      <c r="K3481" s="29">
        <v>50.14</v>
      </c>
      <c r="L3481" s="29">
        <v>-30.08</v>
      </c>
      <c r="M3481" s="30">
        <f>IFERROR(VLOOKUP($A3481,HeadJournal!$A$1:$J$890,COLUMN(HeadJournal!I$1),0)*($K3481+$L3481)/(SUMIF($A:$A,$A3481,$K:$K)+SUMIF($A:$A,$A3481,$L:$L)),0)</f>
        <v>-0.77662273476112031</v>
      </c>
      <c r="N3481" s="30">
        <f>IFERROR((VLOOKUP($A3481,HeadJournal!$A$1:$K$890,COLUMN(HeadJournal!K$1),0)-VLOOKUP($A3481,HeadJournal!$A$1:$K$890,COLUMN(HeadJournal!J$1),0))*($K3481+$L3481)/(SUMIF($A:$A,$A3481,$K:$K)+SUMIF($A:$A,$A3481,$L:$L)),0)</f>
        <v>3.1309142843157853E-15</v>
      </c>
      <c r="O3481" s="30">
        <f>IFERROR((VLOOKUP($A3481,HeadJournal!$A$1:$L$890,COLUMN(HeadJournal!L$1),0)*($K3481+$L3481)/(SUMIF($A:$A,$A3481,$K:$K)+SUMIF($A:$A,$A3481,$L:$L)))/VLOOKUP($A3481,HeadJournal!$A$1:$L$890,COLUMN(HeadJournal!H$1),0),0)</f>
        <v>1.1904008789049649</v>
      </c>
      <c r="P3481" s="30">
        <f>IFERROR(SUM(K3481:O3481)*VLOOKUP($A3481,HeadJournal!$A$1:$L$890,COLUMN(HeadJournal!H$1),0),0)</f>
        <v>2106.0108319604619</v>
      </c>
      <c r="Q3481" s="29">
        <v>2106.0100000000002</v>
      </c>
      <c r="R3481" s="31">
        <v>45446</v>
      </c>
      <c r="S3481" s="31" t="s">
        <v>3121</v>
      </c>
      <c r="T3481" s="95" t="str">
        <f t="shared" si="278"/>
        <v>2024 06</v>
      </c>
      <c r="U3481" s="32">
        <f t="shared" si="275"/>
        <v>-8.3196046170996851E-4</v>
      </c>
      <c r="V3481" s="22">
        <f t="shared" si="276"/>
        <v>-3.9504092243224878E-7</v>
      </c>
      <c r="X3481" s="33"/>
      <c r="Y3481" s="33"/>
    </row>
    <row r="3482" spans="1:25" x14ac:dyDescent="0.2">
      <c r="A3482" s="93" t="s">
        <v>1853</v>
      </c>
      <c r="B3482" s="94" t="str">
        <f>IFERROR(VLOOKUP($A3482,HeadJournal!$A$1:$NTR$890,COLUMN(HeadJournal!B$1),0),"")</f>
        <v>720000252407</v>
      </c>
      <c r="C3482" s="94" t="str">
        <f>IFERROR(VLOOKUP($A3482,HeadJournal!$A$1:$NTR$890,COLUMN(HeadJournal!C$1),0),"")</f>
        <v>iHerb_OA CZN6870</v>
      </c>
      <c r="D3482" s="125" t="str">
        <f>IFERROR(VLOOKUP($A3482,HeadJournal!$A$1:$NTR$890,COLUMN(HeadJournal!D$1),0),"")</f>
        <v>Доставлен</v>
      </c>
      <c r="E3482" s="95">
        <f>IFERROR(VLOOKUP($A3482,HeadJournal!$A$1:$NTR$890,COLUMN(HeadJournal!G$1),0),"")</f>
        <v>45445</v>
      </c>
      <c r="F3482" s="95" t="str">
        <f t="shared" si="277"/>
        <v>2024 06</v>
      </c>
      <c r="G3482" s="96" t="s">
        <v>5</v>
      </c>
      <c r="H3482" s="161" t="s">
        <v>2058</v>
      </c>
      <c r="I3482" s="97" t="s">
        <v>2007</v>
      </c>
      <c r="J3482" s="97" t="s">
        <v>2059</v>
      </c>
      <c r="K3482" s="29">
        <v>29.7</v>
      </c>
      <c r="L3482" s="29">
        <v>-17.82</v>
      </c>
      <c r="M3482" s="30">
        <f>IFERROR(VLOOKUP($A3482,HeadJournal!$A$1:$J$890,COLUMN(HeadJournal!I$1),0)*($K3482+$L3482)/(SUMIF($A:$A,$A3482,$K:$K)+SUMIF($A:$A,$A3482,$L:$L)),0)</f>
        <v>-0.45993410214168035</v>
      </c>
      <c r="N3482" s="30">
        <f>IFERROR((VLOOKUP($A3482,HeadJournal!$A$1:$K$890,COLUMN(HeadJournal!K$1),0)-VLOOKUP($A3482,HeadJournal!$A$1:$K$890,COLUMN(HeadJournal!J$1),0))*($K3482+$L3482)/(SUMIF($A:$A,$A3482,$K:$K)+SUMIF($A:$A,$A3482,$L:$L)),0)</f>
        <v>1.854200483433276E-15</v>
      </c>
      <c r="O3482" s="30">
        <f>IFERROR((VLOOKUP($A3482,HeadJournal!$A$1:$L$890,COLUMN(HeadJournal!L$1),0)*($K3482+$L3482)/(SUMIF($A:$A,$A3482,$K:$K)+SUMIF($A:$A,$A3482,$L:$L)))/VLOOKUP($A3482,HeadJournal!$A$1:$L$890,COLUMN(HeadJournal!H$1),0),0)</f>
        <v>0.70498317255189336</v>
      </c>
      <c r="P3482" s="30">
        <f>IFERROR(SUM(K3482:O3482)*VLOOKUP($A3482,HeadJournal!$A$1:$L$890,COLUMN(HeadJournal!H$1),0),0)</f>
        <v>1247.2287479406921</v>
      </c>
      <c r="Q3482" s="29">
        <v>3100</v>
      </c>
      <c r="R3482" s="31">
        <v>45538</v>
      </c>
      <c r="S3482" s="31" t="s">
        <v>3121</v>
      </c>
      <c r="T3482" s="95" t="str">
        <f t="shared" si="278"/>
        <v>2024 09</v>
      </c>
      <c r="U3482" s="32">
        <f t="shared" si="275"/>
        <v>1852.7712520593079</v>
      </c>
      <c r="V3482" s="22">
        <f t="shared" si="276"/>
        <v>1.4855103806085541</v>
      </c>
      <c r="X3482" s="33"/>
      <c r="Y3482" s="33"/>
    </row>
    <row r="3483" spans="1:25" x14ac:dyDescent="0.2">
      <c r="A3483" s="93" t="s">
        <v>1853</v>
      </c>
      <c r="B3483" s="94" t="str">
        <f>IFERROR(VLOOKUP($A3483,HeadJournal!$A$1:$NTR$890,COLUMN(HeadJournal!B$1),0),"")</f>
        <v>720000252407</v>
      </c>
      <c r="C3483" s="94" t="str">
        <f>IFERROR(VLOOKUP($A3483,HeadJournal!$A$1:$NTR$890,COLUMN(HeadJournal!C$1),0),"")</f>
        <v>iHerb_OA CZN6870</v>
      </c>
      <c r="D3483" s="125" t="str">
        <f>IFERROR(VLOOKUP($A3483,HeadJournal!$A$1:$NTR$890,COLUMN(HeadJournal!D$1),0),"")</f>
        <v>Доставлен</v>
      </c>
      <c r="E3483" s="95">
        <f>IFERROR(VLOOKUP($A3483,HeadJournal!$A$1:$NTR$890,COLUMN(HeadJournal!G$1),0),"")</f>
        <v>45445</v>
      </c>
      <c r="F3483" s="95" t="str">
        <f t="shared" si="277"/>
        <v>2024 06</v>
      </c>
      <c r="G3483" s="96" t="s">
        <v>5</v>
      </c>
      <c r="H3483" s="161" t="s">
        <v>2058</v>
      </c>
      <c r="I3483" s="97" t="s">
        <v>2007</v>
      </c>
      <c r="J3483" s="97" t="s">
        <v>2059</v>
      </c>
      <c r="K3483" s="29">
        <v>29.7</v>
      </c>
      <c r="L3483" s="29">
        <v>-17.82</v>
      </c>
      <c r="M3483" s="30">
        <f>IFERROR(VLOOKUP($A3483,HeadJournal!$A$1:$J$890,COLUMN(HeadJournal!I$1),0)*($K3483+$L3483)/(SUMIF($A:$A,$A3483,$K:$K)+SUMIF($A:$A,$A3483,$L:$L)),0)</f>
        <v>-0.45993410214168035</v>
      </c>
      <c r="N3483" s="30">
        <f>IFERROR((VLOOKUP($A3483,HeadJournal!$A$1:$K$890,COLUMN(HeadJournal!K$1),0)-VLOOKUP($A3483,HeadJournal!$A$1:$K$890,COLUMN(HeadJournal!J$1),0))*($K3483+$L3483)/(SUMIF($A:$A,$A3483,$K:$K)+SUMIF($A:$A,$A3483,$L:$L)),0)</f>
        <v>1.854200483433276E-15</v>
      </c>
      <c r="O3483" s="30">
        <f>IFERROR((VLOOKUP($A3483,HeadJournal!$A$1:$L$890,COLUMN(HeadJournal!L$1),0)*($K3483+$L3483)/(SUMIF($A:$A,$A3483,$K:$K)+SUMIF($A:$A,$A3483,$L:$L)))/VLOOKUP($A3483,HeadJournal!$A$1:$L$890,COLUMN(HeadJournal!H$1),0),0)</f>
        <v>0.70498317255189336</v>
      </c>
      <c r="P3483" s="30">
        <f>IFERROR(SUM(K3483:O3483)*VLOOKUP($A3483,HeadJournal!$A$1:$L$890,COLUMN(HeadJournal!H$1),0),0)</f>
        <v>1247.2287479406921</v>
      </c>
      <c r="Q3483" s="29">
        <v>3100</v>
      </c>
      <c r="R3483" s="31">
        <v>45538</v>
      </c>
      <c r="S3483" s="31" t="s">
        <v>3121</v>
      </c>
      <c r="T3483" s="95" t="str">
        <f t="shared" si="278"/>
        <v>2024 09</v>
      </c>
      <c r="U3483" s="32">
        <f t="shared" si="275"/>
        <v>1852.7712520593079</v>
      </c>
      <c r="V3483" s="22">
        <f t="shared" si="276"/>
        <v>1.4855103806085541</v>
      </c>
      <c r="X3483" s="33"/>
      <c r="Y3483" s="33"/>
    </row>
    <row r="3484" spans="1:25" x14ac:dyDescent="0.2">
      <c r="A3484" s="93" t="s">
        <v>1853</v>
      </c>
      <c r="B3484" s="94" t="str">
        <f>IFERROR(VLOOKUP($A3484,HeadJournal!$A$1:$NTR$890,COLUMN(HeadJournal!B$1),0),"")</f>
        <v>720000252407</v>
      </c>
      <c r="C3484" s="94" t="str">
        <f>IFERROR(VLOOKUP($A3484,HeadJournal!$A$1:$NTR$890,COLUMN(HeadJournal!C$1),0),"")</f>
        <v>iHerb_OA CZN6870</v>
      </c>
      <c r="D3484" s="125" t="str">
        <f>IFERROR(VLOOKUP($A3484,HeadJournal!$A$1:$NTR$890,COLUMN(HeadJournal!D$1),0),"")</f>
        <v>Доставлен</v>
      </c>
      <c r="E3484" s="95">
        <f>IFERROR(VLOOKUP($A3484,HeadJournal!$A$1:$NTR$890,COLUMN(HeadJournal!G$1),0),"")</f>
        <v>45445</v>
      </c>
      <c r="F3484" s="95" t="str">
        <f t="shared" si="277"/>
        <v>2024 06</v>
      </c>
      <c r="G3484" s="96" t="s">
        <v>5</v>
      </c>
      <c r="H3484" s="160" t="str">
        <f>RIGHT(Journal!$J3484,9)</f>
        <v>SPN-02337</v>
      </c>
      <c r="I3484" s="127" t="str">
        <f t="shared" si="274"/>
        <v>Super Nutrition</v>
      </c>
      <c r="J3484" s="97" t="s">
        <v>1856</v>
      </c>
      <c r="K3484" s="29">
        <v>28.73</v>
      </c>
      <c r="L3484" s="29">
        <v>-17.239999999999998</v>
      </c>
      <c r="M3484" s="30">
        <f>IFERROR(VLOOKUP($A3484,HeadJournal!$A$1:$J$890,COLUMN(HeadJournal!I$1),0)*($K3484+$L3484)/(SUMIF($A:$A,$A3484,$K:$K)+SUMIF($A:$A,$A3484,$L:$L)),0)</f>
        <v>-0.44483525535420104</v>
      </c>
      <c r="N3484" s="30">
        <f>IFERROR((VLOOKUP($A3484,HeadJournal!$A$1:$K$890,COLUMN(HeadJournal!K$1),0)-VLOOKUP($A3484,HeadJournal!$A$1:$K$890,COLUMN(HeadJournal!J$1),0))*($K3484+$L3484)/(SUMIF($A:$A,$A3484,$K:$K)+SUMIF($A:$A,$A3484,$L:$L)),0)</f>
        <v>1.7933302655427902E-15</v>
      </c>
      <c r="O3484" s="30">
        <f>IFERROR((VLOOKUP($A3484,HeadJournal!$A$1:$L$890,COLUMN(HeadJournal!L$1),0)*($K3484+$L3484)/(SUMIF($A:$A,$A3484,$K:$K)+SUMIF($A:$A,$A3484,$L:$L)))/VLOOKUP($A3484,HeadJournal!$A$1:$L$890,COLUMN(HeadJournal!H$1),0),0)</f>
        <v>0.68183978557417979</v>
      </c>
      <c r="P3484" s="30">
        <f>IFERROR(SUM(K3484:O3484)*VLOOKUP($A3484,HeadJournal!$A$1:$L$890,COLUMN(HeadJournal!H$1),0),0)</f>
        <v>1206.2843698517304</v>
      </c>
      <c r="Q3484" s="29"/>
      <c r="R3484" s="31"/>
      <c r="S3484" s="31"/>
      <c r="T3484" s="95" t="str">
        <f t="shared" si="278"/>
        <v/>
      </c>
      <c r="U3484" s="32">
        <f t="shared" si="275"/>
        <v>-1206.2843698517304</v>
      </c>
      <c r="V3484" s="22" t="str">
        <f t="shared" si="276"/>
        <v/>
      </c>
      <c r="X3484" s="33"/>
      <c r="Y3484" s="33"/>
    </row>
    <row r="3485" spans="1:25" x14ac:dyDescent="0.2">
      <c r="A3485" s="93" t="s">
        <v>1853</v>
      </c>
      <c r="B3485" s="94" t="str">
        <f>IFERROR(VLOOKUP($A3485,HeadJournal!$A$1:$NTR$890,COLUMN(HeadJournal!B$1),0),"")</f>
        <v>720000252407</v>
      </c>
      <c r="C3485" s="94" t="str">
        <f>IFERROR(VLOOKUP($A3485,HeadJournal!$A$1:$NTR$890,COLUMN(HeadJournal!C$1),0),"")</f>
        <v>iHerb_OA CZN6870</v>
      </c>
      <c r="D3485" s="125" t="str">
        <f>IFERROR(VLOOKUP($A3485,HeadJournal!$A$1:$NTR$890,COLUMN(HeadJournal!D$1),0),"")</f>
        <v>Доставлен</v>
      </c>
      <c r="E3485" s="95">
        <f>IFERROR(VLOOKUP($A3485,HeadJournal!$A$1:$NTR$890,COLUMN(HeadJournal!G$1),0),"")</f>
        <v>45445</v>
      </c>
      <c r="F3485" s="95" t="str">
        <f t="shared" si="277"/>
        <v>2024 06</v>
      </c>
      <c r="G3485" s="96" t="s">
        <v>5</v>
      </c>
      <c r="H3485" s="161" t="s">
        <v>2880</v>
      </c>
      <c r="I3485" s="97" t="s">
        <v>2052</v>
      </c>
      <c r="J3485" s="97" t="s">
        <v>2881</v>
      </c>
      <c r="K3485" s="29">
        <v>23.82</v>
      </c>
      <c r="L3485" s="29">
        <v>-14.29</v>
      </c>
      <c r="M3485" s="30">
        <f>IFERROR(VLOOKUP($A3485,HeadJournal!$A$1:$J$890,COLUMN(HeadJournal!I$1),0)*($K3485+$L3485)/(SUMIF($A:$A,$A3485,$K:$K)+SUMIF($A:$A,$A3485,$L:$L)),0)</f>
        <v>-0.36895387149917636</v>
      </c>
      <c r="N3485" s="30">
        <f>IFERROR((VLOOKUP($A3485,HeadJournal!$A$1:$K$890,COLUMN(HeadJournal!K$1),0)-VLOOKUP($A3485,HeadJournal!$A$1:$K$890,COLUMN(HeadJournal!J$1),0))*($K3485+$L3485)/(SUMIF($A:$A,$A3485,$K:$K)+SUMIF($A:$A,$A3485,$L:$L)),0)</f>
        <v>1.4874184012726536E-15</v>
      </c>
      <c r="O3485" s="30">
        <f>IFERROR((VLOOKUP($A3485,HeadJournal!$A$1:$L$890,COLUMN(HeadJournal!L$1),0)*($K3485+$L3485)/(SUMIF($A:$A,$A3485,$K:$K)+SUMIF($A:$A,$A3485,$L:$L)))/VLOOKUP($A3485,HeadJournal!$A$1:$L$890,COLUMN(HeadJournal!H$1),0),0)</f>
        <v>0.56552943050669569</v>
      </c>
      <c r="P3485" s="30">
        <f>IFERROR(SUM(K3485:O3485)*VLOOKUP($A3485,HeadJournal!$A$1:$L$890,COLUMN(HeadJournal!H$1),0),0)</f>
        <v>1000.5126235584847</v>
      </c>
      <c r="Q3485" s="29">
        <v>2900</v>
      </c>
      <c r="R3485" s="31">
        <v>45582</v>
      </c>
      <c r="S3485" s="31" t="s">
        <v>3121</v>
      </c>
      <c r="T3485" s="95" t="str">
        <f t="shared" si="278"/>
        <v>2024 10</v>
      </c>
      <c r="U3485" s="32">
        <f t="shared" si="275"/>
        <v>1899.4873764415152</v>
      </c>
      <c r="V3485" s="22">
        <f t="shared" si="276"/>
        <v>1.898514153360386</v>
      </c>
      <c r="X3485" s="33"/>
      <c r="Y3485" s="33"/>
    </row>
    <row r="3486" spans="1:25" x14ac:dyDescent="0.2">
      <c r="A3486" s="93" t="s">
        <v>1853</v>
      </c>
      <c r="B3486" s="94" t="str">
        <f>IFERROR(VLOOKUP($A3486,HeadJournal!$A$1:$NTR$890,COLUMN(HeadJournal!B$1),0),"")</f>
        <v>720000252407</v>
      </c>
      <c r="C3486" s="94" t="str">
        <f>IFERROR(VLOOKUP($A3486,HeadJournal!$A$1:$NTR$890,COLUMN(HeadJournal!C$1),0),"")</f>
        <v>iHerb_OA CZN6870</v>
      </c>
      <c r="D3486" s="125" t="str">
        <f>IFERROR(VLOOKUP($A3486,HeadJournal!$A$1:$NTR$890,COLUMN(HeadJournal!D$1),0),"")</f>
        <v>Доставлен</v>
      </c>
      <c r="E3486" s="95">
        <f>IFERROR(VLOOKUP($A3486,HeadJournal!$A$1:$NTR$890,COLUMN(HeadJournal!G$1),0),"")</f>
        <v>45445</v>
      </c>
      <c r="F3486" s="95" t="str">
        <f t="shared" si="277"/>
        <v>2024 06</v>
      </c>
      <c r="G3486" s="96" t="s">
        <v>5</v>
      </c>
      <c r="H3486" s="161" t="s">
        <v>2880</v>
      </c>
      <c r="I3486" s="97" t="s">
        <v>2052</v>
      </c>
      <c r="J3486" s="97" t="s">
        <v>2881</v>
      </c>
      <c r="K3486" s="29">
        <v>23.82</v>
      </c>
      <c r="L3486" s="29">
        <v>-14.29</v>
      </c>
      <c r="M3486" s="30">
        <f>IFERROR(VLOOKUP($A3486,HeadJournal!$A$1:$J$890,COLUMN(HeadJournal!I$1),0)*($K3486+$L3486)/(SUMIF($A:$A,$A3486,$K:$K)+SUMIF($A:$A,$A3486,$L:$L)),0)</f>
        <v>-0.36895387149917636</v>
      </c>
      <c r="N3486" s="30">
        <f>IFERROR((VLOOKUP($A3486,HeadJournal!$A$1:$K$890,COLUMN(HeadJournal!K$1),0)-VLOOKUP($A3486,HeadJournal!$A$1:$K$890,COLUMN(HeadJournal!J$1),0))*($K3486+$L3486)/(SUMIF($A:$A,$A3486,$K:$K)+SUMIF($A:$A,$A3486,$L:$L)),0)</f>
        <v>1.4874184012726536E-15</v>
      </c>
      <c r="O3486" s="30">
        <f>IFERROR((VLOOKUP($A3486,HeadJournal!$A$1:$L$890,COLUMN(HeadJournal!L$1),0)*($K3486+$L3486)/(SUMIF($A:$A,$A3486,$K:$K)+SUMIF($A:$A,$A3486,$L:$L)))/VLOOKUP($A3486,HeadJournal!$A$1:$L$890,COLUMN(HeadJournal!H$1),0),0)</f>
        <v>0.56552943050669569</v>
      </c>
      <c r="P3486" s="30">
        <f>IFERROR(SUM(K3486:O3486)*VLOOKUP($A3486,HeadJournal!$A$1:$L$890,COLUMN(HeadJournal!H$1),0),0)</f>
        <v>1000.5126235584847</v>
      </c>
      <c r="Q3486" s="29">
        <v>2900</v>
      </c>
      <c r="R3486" s="31">
        <v>45602</v>
      </c>
      <c r="S3486" s="31" t="s">
        <v>3121</v>
      </c>
      <c r="T3486" s="95" t="str">
        <f t="shared" si="278"/>
        <v>2024 11</v>
      </c>
      <c r="U3486" s="32">
        <f t="shared" si="275"/>
        <v>1899.4873764415152</v>
      </c>
      <c r="V3486" s="22">
        <f t="shared" si="276"/>
        <v>1.898514153360386</v>
      </c>
      <c r="X3486" s="33"/>
      <c r="Y3486" s="33"/>
    </row>
    <row r="3487" spans="1:25" x14ac:dyDescent="0.2">
      <c r="A3487" s="93" t="s">
        <v>1853</v>
      </c>
      <c r="B3487" s="94" t="str">
        <f>IFERROR(VLOOKUP($A3487,HeadJournal!$A$1:$NTR$890,COLUMN(HeadJournal!B$1),0),"")</f>
        <v>720000252407</v>
      </c>
      <c r="C3487" s="94" t="str">
        <f>IFERROR(VLOOKUP($A3487,HeadJournal!$A$1:$NTR$890,COLUMN(HeadJournal!C$1),0),"")</f>
        <v>iHerb_OA CZN6870</v>
      </c>
      <c r="D3487" s="125" t="str">
        <f>IFERROR(VLOOKUP($A3487,HeadJournal!$A$1:$NTR$890,COLUMN(HeadJournal!D$1),0),"")</f>
        <v>Доставлен</v>
      </c>
      <c r="E3487" s="95">
        <f>IFERROR(VLOOKUP($A3487,HeadJournal!$A$1:$NTR$890,COLUMN(HeadJournal!G$1),0),"")</f>
        <v>45445</v>
      </c>
      <c r="F3487" s="95" t="str">
        <f t="shared" si="277"/>
        <v>2024 06</v>
      </c>
      <c r="G3487" s="96" t="s">
        <v>5</v>
      </c>
      <c r="H3487" s="160" t="str">
        <f>RIGHT(Journal!$J3487,9)</f>
        <v>CGN-01883</v>
      </c>
      <c r="I3487" s="127" t="str">
        <f t="shared" si="274"/>
        <v>California Gold Nutrition</v>
      </c>
      <c r="J3487" s="97" t="s">
        <v>1857</v>
      </c>
      <c r="K3487" s="29">
        <v>7.63</v>
      </c>
      <c r="L3487" s="29">
        <v>-4.58</v>
      </c>
      <c r="M3487" s="30">
        <f>IFERROR(VLOOKUP($A3487,HeadJournal!$A$1:$J$890,COLUMN(HeadJournal!I$1),0)*($K3487+$L3487)/(SUMIF($A:$A,$A3487,$K:$K)+SUMIF($A:$A,$A3487,$L:$L)),0)</f>
        <v>-0.1180807248764415</v>
      </c>
      <c r="N3487" s="30">
        <f>IFERROR((VLOOKUP($A3487,HeadJournal!$A$1:$K$890,COLUMN(HeadJournal!K$1),0)-VLOOKUP($A3487,HeadJournal!$A$1:$K$890,COLUMN(HeadJournal!J$1),0))*($K3487+$L3487)/(SUMIF($A:$A,$A3487,$K:$K)+SUMIF($A:$A,$A3487,$L:$L)),0)</f>
        <v>4.760363193999573E-16</v>
      </c>
      <c r="O3487" s="30">
        <f>IFERROR((VLOOKUP($A3487,HeadJournal!$A$1:$L$890,COLUMN(HeadJournal!L$1),0)*($K3487+$L3487)/(SUMIF($A:$A,$A3487,$K:$K)+SUMIF($A:$A,$A3487,$L:$L)))/VLOOKUP($A3487,HeadJournal!$A$1:$L$890,COLUMN(HeadJournal!H$1),0),0)</f>
        <v>0.18099315456929921</v>
      </c>
      <c r="P3487" s="30">
        <f>IFERROR(SUM(K3487:O3487)*VLOOKUP($A3487,HeadJournal!$A$1:$L$890,COLUMN(HeadJournal!H$1),0),0)</f>
        <v>320.20603377265246</v>
      </c>
      <c r="Q3487" s="29">
        <v>320.20999999999998</v>
      </c>
      <c r="R3487" s="31">
        <v>45446</v>
      </c>
      <c r="S3487" s="31" t="s">
        <v>3121</v>
      </c>
      <c r="T3487" s="95" t="str">
        <f t="shared" si="278"/>
        <v>2024 06</v>
      </c>
      <c r="U3487" s="32">
        <f t="shared" si="275"/>
        <v>3.9662273475187249E-3</v>
      </c>
      <c r="V3487" s="22">
        <f t="shared" si="276"/>
        <v>1.2386485353785562E-5</v>
      </c>
      <c r="X3487" s="33"/>
      <c r="Y3487" s="33"/>
    </row>
    <row r="3488" spans="1:25" x14ac:dyDescent="0.2">
      <c r="A3488" s="93" t="s">
        <v>1853</v>
      </c>
      <c r="B3488" s="94" t="str">
        <f>IFERROR(VLOOKUP($A3488,HeadJournal!$A$1:$NTR$890,COLUMN(HeadJournal!B$1),0),"")</f>
        <v>720000252407</v>
      </c>
      <c r="C3488" s="94" t="str">
        <f>IFERROR(VLOOKUP($A3488,HeadJournal!$A$1:$NTR$890,COLUMN(HeadJournal!C$1),0),"")</f>
        <v>iHerb_OA CZN6870</v>
      </c>
      <c r="D3488" s="125" t="str">
        <f>IFERROR(VLOOKUP($A3488,HeadJournal!$A$1:$NTR$890,COLUMN(HeadJournal!D$1),0),"")</f>
        <v>Доставлен</v>
      </c>
      <c r="E3488" s="95">
        <f>IFERROR(VLOOKUP($A3488,HeadJournal!$A$1:$NTR$890,COLUMN(HeadJournal!G$1),0),"")</f>
        <v>45445</v>
      </c>
      <c r="F3488" s="95" t="str">
        <f t="shared" si="277"/>
        <v>2024 06</v>
      </c>
      <c r="G3488" s="96" t="s">
        <v>5</v>
      </c>
      <c r="H3488" s="160" t="str">
        <f>RIGHT(Journal!$J3488,9)</f>
        <v>CGN-01883</v>
      </c>
      <c r="I3488" s="127" t="str">
        <f t="shared" si="274"/>
        <v>California Gold Nutrition</v>
      </c>
      <c r="J3488" s="97" t="s">
        <v>1857</v>
      </c>
      <c r="K3488" s="29">
        <v>7.63</v>
      </c>
      <c r="L3488" s="29">
        <v>-4.58</v>
      </c>
      <c r="M3488" s="30">
        <f>IFERROR(VLOOKUP($A3488,HeadJournal!$A$1:$J$890,COLUMN(HeadJournal!I$1),0)*($K3488+$L3488)/(SUMIF($A:$A,$A3488,$K:$K)+SUMIF($A:$A,$A3488,$L:$L)),0)</f>
        <v>-0.1180807248764415</v>
      </c>
      <c r="N3488" s="30">
        <f>IFERROR((VLOOKUP($A3488,HeadJournal!$A$1:$K$890,COLUMN(HeadJournal!K$1),0)-VLOOKUP($A3488,HeadJournal!$A$1:$K$890,COLUMN(HeadJournal!J$1),0))*($K3488+$L3488)/(SUMIF($A:$A,$A3488,$K:$K)+SUMIF($A:$A,$A3488,$L:$L)),0)</f>
        <v>4.760363193999573E-16</v>
      </c>
      <c r="O3488" s="30">
        <f>IFERROR((VLOOKUP($A3488,HeadJournal!$A$1:$L$890,COLUMN(HeadJournal!L$1),0)*($K3488+$L3488)/(SUMIF($A:$A,$A3488,$K:$K)+SUMIF($A:$A,$A3488,$L:$L)))/VLOOKUP($A3488,HeadJournal!$A$1:$L$890,COLUMN(HeadJournal!H$1),0),0)</f>
        <v>0.18099315456929921</v>
      </c>
      <c r="P3488" s="30">
        <f>IFERROR(SUM(K3488:O3488)*VLOOKUP($A3488,HeadJournal!$A$1:$L$890,COLUMN(HeadJournal!H$1),0),0)</f>
        <v>320.20603377265246</v>
      </c>
      <c r="Q3488" s="29">
        <v>1100</v>
      </c>
      <c r="R3488" s="31">
        <v>45708</v>
      </c>
      <c r="S3488" s="31" t="s">
        <v>3121</v>
      </c>
      <c r="T3488" s="95" t="str">
        <f t="shared" si="278"/>
        <v>2025 02</v>
      </c>
      <c r="U3488" s="32">
        <f t="shared" si="275"/>
        <v>779.79396622734748</v>
      </c>
      <c r="V3488" s="22">
        <f t="shared" si="276"/>
        <v>2.4352881706813938</v>
      </c>
      <c r="X3488" s="33"/>
      <c r="Y3488" s="33"/>
    </row>
    <row r="3489" spans="1:25" x14ac:dyDescent="0.2">
      <c r="A3489" s="93" t="s">
        <v>1853</v>
      </c>
      <c r="B3489" s="94" t="str">
        <f>IFERROR(VLOOKUP($A3489,HeadJournal!$A$1:$NTR$890,COLUMN(HeadJournal!B$1),0),"")</f>
        <v>720000252407</v>
      </c>
      <c r="C3489" s="94" t="str">
        <f>IFERROR(VLOOKUP($A3489,HeadJournal!$A$1:$NTR$890,COLUMN(HeadJournal!C$1),0),"")</f>
        <v>iHerb_OA CZN6870</v>
      </c>
      <c r="D3489" s="125" t="str">
        <f>IFERROR(VLOOKUP($A3489,HeadJournal!$A$1:$NTR$890,COLUMN(HeadJournal!D$1),0),"")</f>
        <v>Доставлен</v>
      </c>
      <c r="E3489" s="95">
        <f>IFERROR(VLOOKUP($A3489,HeadJournal!$A$1:$NTR$890,COLUMN(HeadJournal!G$1),0),"")</f>
        <v>45445</v>
      </c>
      <c r="F3489" s="95" t="str">
        <f t="shared" si="277"/>
        <v>2024 06</v>
      </c>
      <c r="G3489" s="96" t="s">
        <v>7</v>
      </c>
      <c r="H3489" s="160" t="str">
        <f>RIGHT(Journal!$J3489,9)</f>
        <v>IDE-01992</v>
      </c>
      <c r="I3489" s="127" t="str">
        <f t="shared" si="274"/>
        <v>Idealove</v>
      </c>
      <c r="J3489" s="97" t="s">
        <v>1858</v>
      </c>
      <c r="K3489" s="29">
        <v>18.649999999999999</v>
      </c>
      <c r="L3489" s="29">
        <v>-11.19</v>
      </c>
      <c r="M3489" s="30">
        <f>IFERROR(VLOOKUP($A3489,HeadJournal!$A$1:$J$890,COLUMN(HeadJournal!I$1),0)*($K3489+$L3489)/(SUMIF($A:$A,$A3489,$K:$K)+SUMIF($A:$A,$A3489,$L:$L)),0)</f>
        <v>-0.28881383855024706</v>
      </c>
      <c r="N3489" s="30">
        <f>IFERROR((VLOOKUP($A3489,HeadJournal!$A$1:$K$890,COLUMN(HeadJournal!K$1),0)-VLOOKUP($A3489,HeadJournal!$A$1:$K$890,COLUMN(HeadJournal!J$1),0))*($K3489+$L3489)/(SUMIF($A:$A,$A3489,$K:$K)+SUMIF($A:$A,$A3489,$L:$L)),0)</f>
        <v>1.1643380140077643E-15</v>
      </c>
      <c r="O3489" s="30">
        <f>IFERROR((VLOOKUP($A3489,HeadJournal!$A$1:$L$890,COLUMN(HeadJournal!L$1),0)*($K3489+$L3489)/(SUMIF($A:$A,$A3489,$K:$K)+SUMIF($A:$A,$A3489,$L:$L)))/VLOOKUP($A3489,HeadJournal!$A$1:$L$890,COLUMN(HeadJournal!H$1),0),0)</f>
        <v>0.44269145347113831</v>
      </c>
      <c r="P3489" s="30">
        <f>IFERROR(SUM(K3489:O3489)*VLOOKUP($A3489,HeadJournal!$A$1:$L$890,COLUMN(HeadJournal!H$1),0),0)</f>
        <v>783.19246293245476</v>
      </c>
      <c r="Q3489" s="29"/>
      <c r="R3489" s="31"/>
      <c r="S3489" s="31"/>
      <c r="T3489" s="95" t="str">
        <f t="shared" si="278"/>
        <v/>
      </c>
      <c r="U3489" s="32">
        <f t="shared" si="275"/>
        <v>-783.19246293245476</v>
      </c>
      <c r="V3489" s="22" t="str">
        <f t="shared" si="276"/>
        <v/>
      </c>
      <c r="X3489" s="33"/>
      <c r="Y3489" s="33"/>
    </row>
    <row r="3490" spans="1:25" x14ac:dyDescent="0.2">
      <c r="A3490" s="93" t="s">
        <v>1853</v>
      </c>
      <c r="B3490" s="94" t="str">
        <f>IFERROR(VLOOKUP($A3490,HeadJournal!$A$1:$NTR$890,COLUMN(HeadJournal!B$1),0),"")</f>
        <v>720000252407</v>
      </c>
      <c r="C3490" s="94" t="str">
        <f>IFERROR(VLOOKUP($A3490,HeadJournal!$A$1:$NTR$890,COLUMN(HeadJournal!C$1),0),"")</f>
        <v>iHerb_OA CZN6870</v>
      </c>
      <c r="D3490" s="125" t="str">
        <f>IFERROR(VLOOKUP($A3490,HeadJournal!$A$1:$NTR$890,COLUMN(HeadJournal!D$1),0),"")</f>
        <v>Доставлен</v>
      </c>
      <c r="E3490" s="95">
        <f>IFERROR(VLOOKUP($A3490,HeadJournal!$A$1:$NTR$890,COLUMN(HeadJournal!G$1),0),"")</f>
        <v>45445</v>
      </c>
      <c r="F3490" s="95" t="str">
        <f t="shared" si="277"/>
        <v>2024 06</v>
      </c>
      <c r="G3490" s="96" t="s">
        <v>5</v>
      </c>
      <c r="H3490" s="161" t="s">
        <v>2060</v>
      </c>
      <c r="I3490" s="97" t="s">
        <v>2007</v>
      </c>
      <c r="J3490" s="97" t="s">
        <v>2061</v>
      </c>
      <c r="K3490" s="29">
        <v>31.91</v>
      </c>
      <c r="L3490" s="29">
        <v>-19.145</v>
      </c>
      <c r="M3490" s="30">
        <f>IFERROR(VLOOKUP($A3490,HeadJournal!$A$1:$J$890,COLUMN(HeadJournal!I$1),0)*($K3490+$L3490)/(SUMIF($A:$A,$A3490,$K:$K)+SUMIF($A:$A,$A3490,$L:$L)),0)</f>
        <v>-0.49419686985172984</v>
      </c>
      <c r="N3490" s="30">
        <f>IFERROR((VLOOKUP($A3490,HeadJournal!$A$1:$K$890,COLUMN(HeadJournal!K$1),0)-VLOOKUP($A3490,HeadJournal!$A$1:$K$890,COLUMN(HeadJournal!J$1),0))*($K3490+$L3490)/(SUMIF($A:$A,$A3490,$K:$K)+SUMIF($A:$A,$A3490,$L:$L)),0)</f>
        <v>1.9923290548001491E-15</v>
      </c>
      <c r="O3490" s="30">
        <f>IFERROR((VLOOKUP($A3490,HeadJournal!$A$1:$L$890,COLUMN(HeadJournal!L$1),0)*($K3490+$L3490)/(SUMIF($A:$A,$A3490,$K:$K)+SUMIF($A:$A,$A3490,$L:$L)))/VLOOKUP($A3490,HeadJournal!$A$1:$L$890,COLUMN(HeadJournal!H$1),0),0)</f>
        <v>0.75750085838593606</v>
      </c>
      <c r="P3490" s="30">
        <f>IFERROR(SUM(K3490:O3490)*VLOOKUP($A3490,HeadJournal!$A$1:$L$890,COLUMN(HeadJournal!H$1),0),0)</f>
        <v>1340.1409905271832</v>
      </c>
      <c r="Q3490" s="29">
        <v>3400</v>
      </c>
      <c r="R3490" s="31">
        <v>45489</v>
      </c>
      <c r="S3490" s="31" t="s">
        <v>3121</v>
      </c>
      <c r="T3490" s="95" t="str">
        <f t="shared" si="278"/>
        <v>2024 07</v>
      </c>
      <c r="U3490" s="32">
        <f t="shared" si="275"/>
        <v>2059.859009472817</v>
      </c>
      <c r="V3490" s="22">
        <f t="shared" si="276"/>
        <v>1.5370464928936409</v>
      </c>
      <c r="X3490" s="33"/>
      <c r="Y3490" s="33"/>
    </row>
    <row r="3491" spans="1:25" x14ac:dyDescent="0.2">
      <c r="A3491" s="93" t="s">
        <v>1853</v>
      </c>
      <c r="B3491" s="94" t="str">
        <f>IFERROR(VLOOKUP($A3491,HeadJournal!$A$1:$NTR$890,COLUMN(HeadJournal!B$1),0),"")</f>
        <v>720000252407</v>
      </c>
      <c r="C3491" s="94" t="str">
        <f>IFERROR(VLOOKUP($A3491,HeadJournal!$A$1:$NTR$890,COLUMN(HeadJournal!C$1),0),"")</f>
        <v>iHerb_OA CZN6870</v>
      </c>
      <c r="D3491" s="125" t="str">
        <f>IFERROR(VLOOKUP($A3491,HeadJournal!$A$1:$NTR$890,COLUMN(HeadJournal!D$1),0),"")</f>
        <v>Доставлен</v>
      </c>
      <c r="E3491" s="95">
        <f>IFERROR(VLOOKUP($A3491,HeadJournal!$A$1:$NTR$890,COLUMN(HeadJournal!G$1),0),"")</f>
        <v>45445</v>
      </c>
      <c r="F3491" s="95" t="str">
        <f t="shared" si="277"/>
        <v>2024 06</v>
      </c>
      <c r="G3491" s="96" t="s">
        <v>5</v>
      </c>
      <c r="H3491" s="161" t="s">
        <v>2060</v>
      </c>
      <c r="I3491" s="97" t="s">
        <v>2007</v>
      </c>
      <c r="J3491" s="97" t="s">
        <v>2061</v>
      </c>
      <c r="K3491" s="29">
        <v>31.91</v>
      </c>
      <c r="L3491" s="29">
        <v>-19.145</v>
      </c>
      <c r="M3491" s="30">
        <f>IFERROR(VLOOKUP($A3491,HeadJournal!$A$1:$J$890,COLUMN(HeadJournal!I$1),0)*($K3491+$L3491)/(SUMIF($A:$A,$A3491,$K:$K)+SUMIF($A:$A,$A3491,$L:$L)),0)</f>
        <v>-0.49419686985172984</v>
      </c>
      <c r="N3491" s="30">
        <f>IFERROR((VLOOKUP($A3491,HeadJournal!$A$1:$K$890,COLUMN(HeadJournal!K$1),0)-VLOOKUP($A3491,HeadJournal!$A$1:$K$890,COLUMN(HeadJournal!J$1),0))*($K3491+$L3491)/(SUMIF($A:$A,$A3491,$K:$K)+SUMIF($A:$A,$A3491,$L:$L)),0)</f>
        <v>1.9923290548001491E-15</v>
      </c>
      <c r="O3491" s="30">
        <f>IFERROR((VLOOKUP($A3491,HeadJournal!$A$1:$L$890,COLUMN(HeadJournal!L$1),0)*($K3491+$L3491)/(SUMIF($A:$A,$A3491,$K:$K)+SUMIF($A:$A,$A3491,$L:$L)))/VLOOKUP($A3491,HeadJournal!$A$1:$L$890,COLUMN(HeadJournal!H$1),0),0)</f>
        <v>0.75750085838593606</v>
      </c>
      <c r="P3491" s="30">
        <f>IFERROR(SUM(K3491:O3491)*VLOOKUP($A3491,HeadJournal!$A$1:$L$890,COLUMN(HeadJournal!H$1),0),0)</f>
        <v>1340.1409905271832</v>
      </c>
      <c r="Q3491" s="29">
        <v>3400</v>
      </c>
      <c r="R3491" s="31">
        <v>45489</v>
      </c>
      <c r="S3491" s="31" t="s">
        <v>3121</v>
      </c>
      <c r="T3491" s="95" t="str">
        <f t="shared" si="278"/>
        <v>2024 07</v>
      </c>
      <c r="U3491" s="32">
        <f t="shared" si="275"/>
        <v>2059.859009472817</v>
      </c>
      <c r="V3491" s="22">
        <f t="shared" si="276"/>
        <v>1.5370464928936409</v>
      </c>
      <c r="X3491" s="33"/>
      <c r="Y3491" s="33"/>
    </row>
    <row r="3492" spans="1:25" x14ac:dyDescent="0.2">
      <c r="A3492" s="93" t="s">
        <v>1853</v>
      </c>
      <c r="B3492" s="94" t="str">
        <f>IFERROR(VLOOKUP($A3492,HeadJournal!$A$1:$NTR$890,COLUMN(HeadJournal!B$1),0),"")</f>
        <v>720000252407</v>
      </c>
      <c r="C3492" s="94" t="str">
        <f>IFERROR(VLOOKUP($A3492,HeadJournal!$A$1:$NTR$890,COLUMN(HeadJournal!C$1),0),"")</f>
        <v>iHerb_OA CZN6870</v>
      </c>
      <c r="D3492" s="125" t="str">
        <f>IFERROR(VLOOKUP($A3492,HeadJournal!$A$1:$NTR$890,COLUMN(HeadJournal!D$1),0),"")</f>
        <v>Доставлен</v>
      </c>
      <c r="E3492" s="95">
        <f>IFERROR(VLOOKUP($A3492,HeadJournal!$A$1:$NTR$890,COLUMN(HeadJournal!G$1),0),"")</f>
        <v>45445</v>
      </c>
      <c r="F3492" s="95" t="str">
        <f t="shared" si="277"/>
        <v>2024 06</v>
      </c>
      <c r="G3492" s="96" t="s">
        <v>5</v>
      </c>
      <c r="H3492" s="160" t="str">
        <f>RIGHT(Journal!$J3492,9)</f>
        <v>CGN-02190</v>
      </c>
      <c r="I3492" s="127" t="str">
        <f t="shared" si="274"/>
        <v>California Gold Nutrition</v>
      </c>
      <c r="J3492" s="97" t="s">
        <v>1836</v>
      </c>
      <c r="K3492" s="29">
        <v>26.88</v>
      </c>
      <c r="L3492" s="29">
        <v>-25.88</v>
      </c>
      <c r="M3492" s="30">
        <f>IFERROR(VLOOKUP($A3492,HeadJournal!$A$1:$J$890,COLUMN(HeadJournal!I$1),0)*($K3492+$L3492)/(SUMIF($A:$A,$A3492,$K:$K)+SUMIF($A:$A,$A3492,$L:$L)),0)</f>
        <v>-3.8714991762767707E-2</v>
      </c>
      <c r="N3492" s="30">
        <f>IFERROR((VLOOKUP($A3492,HeadJournal!$A$1:$K$890,COLUMN(HeadJournal!K$1),0)-VLOOKUP($A3492,HeadJournal!$A$1:$K$890,COLUMN(HeadJournal!J$1),0))*($K3492+$L3492)/(SUMIF($A:$A,$A3492,$K:$K)+SUMIF($A:$A,$A3492,$L:$L)),0)</f>
        <v>1.560774817704778E-16</v>
      </c>
      <c r="O3492" s="30">
        <f>IFERROR((VLOOKUP($A3492,HeadJournal!$A$1:$L$890,COLUMN(HeadJournal!L$1),0)*($K3492+$L3492)/(SUMIF($A:$A,$A3492,$K:$K)+SUMIF($A:$A,$A3492,$L:$L)))/VLOOKUP($A3492,HeadJournal!$A$1:$L$890,COLUMN(HeadJournal!H$1),0),0)</f>
        <v>5.9342017891573506E-2</v>
      </c>
      <c r="P3492" s="30">
        <f>IFERROR(SUM(K3492:O3492)*VLOOKUP($A3492,HeadJournal!$A$1:$L$890,COLUMN(HeadJournal!H$1),0),0)</f>
        <v>104.98558484349262</v>
      </c>
      <c r="Q3492" s="29">
        <v>1000</v>
      </c>
      <c r="R3492" s="31">
        <v>45539</v>
      </c>
      <c r="S3492" s="31" t="s">
        <v>3121</v>
      </c>
      <c r="T3492" s="95" t="str">
        <f t="shared" si="278"/>
        <v>2024 09</v>
      </c>
      <c r="U3492" s="32">
        <f t="shared" si="275"/>
        <v>895.01441515650743</v>
      </c>
      <c r="V3492" s="22">
        <f t="shared" si="276"/>
        <v>8.525117200525683</v>
      </c>
      <c r="X3492" s="33"/>
      <c r="Y3492" s="33"/>
    </row>
    <row r="3493" spans="1:25" x14ac:dyDescent="0.2">
      <c r="A3493" s="93" t="s">
        <v>1853</v>
      </c>
      <c r="B3493" s="94" t="str">
        <f>IFERROR(VLOOKUP($A3493,HeadJournal!$A$1:$NTR$890,COLUMN(HeadJournal!B$1),0),"")</f>
        <v>720000252407</v>
      </c>
      <c r="C3493" s="94" t="str">
        <f>IFERROR(VLOOKUP($A3493,HeadJournal!$A$1:$NTR$890,COLUMN(HeadJournal!C$1),0),"")</f>
        <v>iHerb_OA CZN6870</v>
      </c>
      <c r="D3493" s="125" t="str">
        <f>IFERROR(VLOOKUP($A3493,HeadJournal!$A$1:$NTR$890,COLUMN(HeadJournal!D$1),0),"")</f>
        <v>Доставлен</v>
      </c>
      <c r="E3493" s="95">
        <f>IFERROR(VLOOKUP($A3493,HeadJournal!$A$1:$NTR$890,COLUMN(HeadJournal!G$1),0),"")</f>
        <v>45445</v>
      </c>
      <c r="F3493" s="95" t="str">
        <f t="shared" si="277"/>
        <v>2024 06</v>
      </c>
      <c r="G3493" s="96" t="s">
        <v>5</v>
      </c>
      <c r="H3493" s="161" t="s">
        <v>3927</v>
      </c>
      <c r="I3493" s="97" t="s">
        <v>2750</v>
      </c>
      <c r="J3493" s="97" t="s">
        <v>3928</v>
      </c>
      <c r="K3493" s="29">
        <v>18.28</v>
      </c>
      <c r="L3493" s="29">
        <v>-3.66</v>
      </c>
      <c r="M3493" s="30">
        <f>IFERROR(VLOOKUP($A3493,HeadJournal!$A$1:$J$890,COLUMN(HeadJournal!I$1),0)*($K3493+$L3493)/(SUMIF($A:$A,$A3493,$K:$K)+SUMIF($A:$A,$A3493,$L:$L)),0)</f>
        <v>-0.56601317957166397</v>
      </c>
      <c r="N3493" s="30">
        <f>IFERROR((VLOOKUP($A3493,HeadJournal!$A$1:$K$890,COLUMN(HeadJournal!K$1),0)-VLOOKUP($A3493,HeadJournal!$A$1:$K$890,COLUMN(HeadJournal!J$1),0))*($K3493+$L3493)/(SUMIF($A:$A,$A3493,$K:$K)+SUMIF($A:$A,$A3493,$L:$L)),0)</f>
        <v>2.2818527834843857E-15</v>
      </c>
      <c r="O3493" s="30">
        <f>IFERROR((VLOOKUP($A3493,HeadJournal!$A$1:$L$890,COLUMN(HeadJournal!L$1),0)*($K3493+$L3493)/(SUMIF($A:$A,$A3493,$K:$K)+SUMIF($A:$A,$A3493,$L:$L)))/VLOOKUP($A3493,HeadJournal!$A$1:$L$890,COLUMN(HeadJournal!H$1),0),0)</f>
        <v>0.86758030157480481</v>
      </c>
      <c r="P3493" s="30">
        <f>IFERROR(SUM(K3493:O3493)*VLOOKUP($A3493,HeadJournal!$A$1:$L$890,COLUMN(HeadJournal!H$1),0),0)</f>
        <v>1534.8892504118621</v>
      </c>
      <c r="Q3493" s="29">
        <v>2500</v>
      </c>
      <c r="R3493" s="31">
        <v>45723</v>
      </c>
      <c r="S3493" s="31" t="s">
        <v>3121</v>
      </c>
      <c r="T3493" s="95" t="str">
        <f t="shared" si="278"/>
        <v>2025 03</v>
      </c>
      <c r="U3493" s="32">
        <f t="shared" si="275"/>
        <v>965.11074958813788</v>
      </c>
      <c r="V3493" s="22">
        <f t="shared" si="276"/>
        <v>0.62878201103380349</v>
      </c>
      <c r="X3493" s="33"/>
      <c r="Y3493" s="33"/>
    </row>
    <row r="3494" spans="1:25" x14ac:dyDescent="0.2">
      <c r="A3494" s="93" t="s">
        <v>1853</v>
      </c>
      <c r="B3494" s="94" t="str">
        <f>IFERROR(VLOOKUP($A3494,HeadJournal!$A$1:$NTR$890,COLUMN(HeadJournal!B$1),0),"")</f>
        <v>720000252407</v>
      </c>
      <c r="C3494" s="94" t="str">
        <f>IFERROR(VLOOKUP($A3494,HeadJournal!$A$1:$NTR$890,COLUMN(HeadJournal!C$1),0),"")</f>
        <v>iHerb_OA CZN6870</v>
      </c>
      <c r="D3494" s="125" t="str">
        <f>IFERROR(VLOOKUP($A3494,HeadJournal!$A$1:$NTR$890,COLUMN(HeadJournal!D$1),0),"")</f>
        <v>Доставлен</v>
      </c>
      <c r="E3494" s="95">
        <f>IFERROR(VLOOKUP($A3494,HeadJournal!$A$1:$NTR$890,COLUMN(HeadJournal!G$1),0),"")</f>
        <v>45445</v>
      </c>
      <c r="F3494" s="95" t="str">
        <f t="shared" si="277"/>
        <v>2024 06</v>
      </c>
      <c r="G3494" s="96" t="s">
        <v>5</v>
      </c>
      <c r="H3494" s="160" t="str">
        <f>RIGHT(Journal!$J3494,9)</f>
        <v>ZAH-00038</v>
      </c>
      <c r="I3494" s="127" t="str">
        <f t="shared" si="274"/>
        <v>Zahler</v>
      </c>
      <c r="J3494" s="97" t="s">
        <v>1859</v>
      </c>
      <c r="K3494" s="29">
        <v>14.42</v>
      </c>
      <c r="L3494" s="29">
        <v>-2.88</v>
      </c>
      <c r="M3494" s="30">
        <f>IFERROR(VLOOKUP($A3494,HeadJournal!$A$1:$J$890,COLUMN(HeadJournal!I$1),0)*($K3494+$L3494)/(SUMIF($A:$A,$A3494,$K:$K)+SUMIF($A:$A,$A3494,$L:$L)),0)</f>
        <v>-0.44677100494233929</v>
      </c>
      <c r="N3494" s="30">
        <f>IFERROR((VLOOKUP($A3494,HeadJournal!$A$1:$K$890,COLUMN(HeadJournal!K$1),0)-VLOOKUP($A3494,HeadJournal!$A$1:$K$890,COLUMN(HeadJournal!J$1),0))*($K3494+$L3494)/(SUMIF($A:$A,$A3494,$K:$K)+SUMIF($A:$A,$A3494,$L:$L)),0)</f>
        <v>1.8011341396313138E-15</v>
      </c>
      <c r="O3494" s="30">
        <f>IFERROR((VLOOKUP($A3494,HeadJournal!$A$1:$L$890,COLUMN(HeadJournal!L$1),0)*($K3494+$L3494)/(SUMIF($A:$A,$A3494,$K:$K)+SUMIF($A:$A,$A3494,$L:$L)))/VLOOKUP($A3494,HeadJournal!$A$1:$L$890,COLUMN(HeadJournal!H$1),0),0)</f>
        <v>0.68480688646875831</v>
      </c>
      <c r="P3494" s="30">
        <f>IFERROR(SUM(K3494:O3494)*VLOOKUP($A3494,HeadJournal!$A$1:$L$890,COLUMN(HeadJournal!H$1),0),0)</f>
        <v>1211.5336490939046</v>
      </c>
      <c r="Q3494" s="29">
        <v>1800</v>
      </c>
      <c r="R3494" s="31">
        <v>45630</v>
      </c>
      <c r="S3494" s="31" t="s">
        <v>3121</v>
      </c>
      <c r="T3494" s="95" t="str">
        <f t="shared" si="278"/>
        <v>2024 12</v>
      </c>
      <c r="U3494" s="32">
        <f t="shared" si="275"/>
        <v>588.46635090609539</v>
      </c>
      <c r="V3494" s="22">
        <f t="shared" si="276"/>
        <v>0.48572018725703919</v>
      </c>
      <c r="X3494" s="33"/>
      <c r="Y3494" s="33"/>
    </row>
    <row r="3495" spans="1:25" x14ac:dyDescent="0.2">
      <c r="A3495" s="93" t="s">
        <v>1853</v>
      </c>
      <c r="B3495" s="94" t="str">
        <f>IFERROR(VLOOKUP($A3495,HeadJournal!$A$1:$NTR$890,COLUMN(HeadJournal!B$1),0),"")</f>
        <v>720000252407</v>
      </c>
      <c r="C3495" s="94" t="str">
        <f>IFERROR(VLOOKUP($A3495,HeadJournal!$A$1:$NTR$890,COLUMN(HeadJournal!C$1),0),"")</f>
        <v>iHerb_OA CZN6870</v>
      </c>
      <c r="D3495" s="125" t="str">
        <f>IFERROR(VLOOKUP($A3495,HeadJournal!$A$1:$NTR$890,COLUMN(HeadJournal!D$1),0),"")</f>
        <v>Доставлен</v>
      </c>
      <c r="E3495" s="95">
        <f>IFERROR(VLOOKUP($A3495,HeadJournal!$A$1:$NTR$890,COLUMN(HeadJournal!G$1),0),"")</f>
        <v>45445</v>
      </c>
      <c r="F3495" s="95" t="str">
        <f t="shared" si="277"/>
        <v>2024 06</v>
      </c>
      <c r="G3495" s="96" t="s">
        <v>5</v>
      </c>
      <c r="H3495" s="160" t="str">
        <f>RIGHT(Journal!$J3495,9)</f>
        <v>SOR-04710</v>
      </c>
      <c r="I3495" s="127" t="str">
        <f t="shared" si="274"/>
        <v>Solaray</v>
      </c>
      <c r="J3495" s="97" t="s">
        <v>884</v>
      </c>
      <c r="K3495" s="29">
        <v>6.85</v>
      </c>
      <c r="L3495" s="29">
        <v>-2.0550000000000002</v>
      </c>
      <c r="M3495" s="30">
        <f>IFERROR(VLOOKUP($A3495,HeadJournal!$A$1:$J$890,COLUMN(HeadJournal!I$1),0)*($K3495+$L3495)/(SUMIF($A:$A,$A3495,$K:$K)+SUMIF($A:$A,$A3495,$L:$L)),0)</f>
        <v>-0.18563838550247116</v>
      </c>
      <c r="N3495" s="30">
        <f>IFERROR((VLOOKUP($A3495,HeadJournal!$A$1:$K$890,COLUMN(HeadJournal!K$1),0)-VLOOKUP($A3495,HeadJournal!$A$1:$K$890,COLUMN(HeadJournal!J$1),0))*($K3495+$L3495)/(SUMIF($A:$A,$A3495,$K:$K)+SUMIF($A:$A,$A3495,$L:$L)),0)</f>
        <v>7.4839152508944109E-16</v>
      </c>
      <c r="O3495" s="30">
        <f>IFERROR((VLOOKUP($A3495,HeadJournal!$A$1:$L$890,COLUMN(HeadJournal!L$1),0)*($K3495+$L3495)/(SUMIF($A:$A,$A3495,$K:$K)+SUMIF($A:$A,$A3495,$L:$L)))/VLOOKUP($A3495,HeadJournal!$A$1:$L$890,COLUMN(HeadJournal!H$1),0),0)</f>
        <v>0.28454497579009497</v>
      </c>
      <c r="P3495" s="30">
        <f>IFERROR(SUM(K3495:O3495)*VLOOKUP($A3495,HeadJournal!$A$1:$L$890,COLUMN(HeadJournal!H$1),0),0)</f>
        <v>503.40587932454719</v>
      </c>
      <c r="Q3495" s="29">
        <v>800</v>
      </c>
      <c r="R3495" s="31">
        <v>45679</v>
      </c>
      <c r="S3495" s="31" t="s">
        <v>3121</v>
      </c>
      <c r="T3495" s="95" t="str">
        <f t="shared" si="278"/>
        <v>2025 01</v>
      </c>
      <c r="U3495" s="32">
        <f t="shared" si="275"/>
        <v>296.59412067545281</v>
      </c>
      <c r="V3495" s="22">
        <f t="shared" si="276"/>
        <v>0.58917492396674565</v>
      </c>
      <c r="X3495" s="33"/>
      <c r="Y3495" s="33"/>
    </row>
    <row r="3496" spans="1:25" x14ac:dyDescent="0.2">
      <c r="A3496" s="93" t="s">
        <v>1853</v>
      </c>
      <c r="B3496" s="94" t="str">
        <f>IFERROR(VLOOKUP($A3496,HeadJournal!$A$1:$NTR$890,COLUMN(HeadJournal!B$1),0),"")</f>
        <v>720000252407</v>
      </c>
      <c r="C3496" s="94" t="str">
        <f>IFERROR(VLOOKUP($A3496,HeadJournal!$A$1:$NTR$890,COLUMN(HeadJournal!C$1),0),"")</f>
        <v>iHerb_OA CZN6870</v>
      </c>
      <c r="D3496" s="125" t="str">
        <f>IFERROR(VLOOKUP($A3496,HeadJournal!$A$1:$NTR$890,COLUMN(HeadJournal!D$1),0),"")</f>
        <v>Доставлен</v>
      </c>
      <c r="E3496" s="95">
        <f>IFERROR(VLOOKUP($A3496,HeadJournal!$A$1:$NTR$890,COLUMN(HeadJournal!G$1),0),"")</f>
        <v>45445</v>
      </c>
      <c r="F3496" s="95" t="str">
        <f t="shared" si="277"/>
        <v>2024 06</v>
      </c>
      <c r="G3496" s="96" t="s">
        <v>5</v>
      </c>
      <c r="H3496" s="160" t="str">
        <f>RIGHT(Journal!$J3496,9)</f>
        <v>SOR-04710</v>
      </c>
      <c r="I3496" s="127" t="str">
        <f t="shared" si="274"/>
        <v>Solaray</v>
      </c>
      <c r="J3496" s="97" t="s">
        <v>884</v>
      </c>
      <c r="K3496" s="29">
        <v>6.85</v>
      </c>
      <c r="L3496" s="29">
        <v>-2.0550000000000002</v>
      </c>
      <c r="M3496" s="30">
        <f>IFERROR(VLOOKUP($A3496,HeadJournal!$A$1:$J$890,COLUMN(HeadJournal!I$1),0)*($K3496+$L3496)/(SUMIF($A:$A,$A3496,$K:$K)+SUMIF($A:$A,$A3496,$L:$L)),0)</f>
        <v>-0.18563838550247116</v>
      </c>
      <c r="N3496" s="30">
        <f>IFERROR((VLOOKUP($A3496,HeadJournal!$A$1:$K$890,COLUMN(HeadJournal!K$1),0)-VLOOKUP($A3496,HeadJournal!$A$1:$K$890,COLUMN(HeadJournal!J$1),0))*($K3496+$L3496)/(SUMIF($A:$A,$A3496,$K:$K)+SUMIF($A:$A,$A3496,$L:$L)),0)</f>
        <v>7.4839152508944109E-16</v>
      </c>
      <c r="O3496" s="30">
        <f>IFERROR((VLOOKUP($A3496,HeadJournal!$A$1:$L$890,COLUMN(HeadJournal!L$1),0)*($K3496+$L3496)/(SUMIF($A:$A,$A3496,$K:$K)+SUMIF($A:$A,$A3496,$L:$L)))/VLOOKUP($A3496,HeadJournal!$A$1:$L$890,COLUMN(HeadJournal!H$1),0),0)</f>
        <v>0.28454497579009497</v>
      </c>
      <c r="P3496" s="30">
        <f>IFERROR(SUM(K3496:O3496)*VLOOKUP($A3496,HeadJournal!$A$1:$L$890,COLUMN(HeadJournal!H$1),0),0)</f>
        <v>503.40587932454719</v>
      </c>
      <c r="Q3496" s="29">
        <v>800</v>
      </c>
      <c r="R3496" s="31">
        <v>45679</v>
      </c>
      <c r="S3496" s="31" t="s">
        <v>3121</v>
      </c>
      <c r="T3496" s="95" t="str">
        <f t="shared" si="278"/>
        <v>2025 01</v>
      </c>
      <c r="U3496" s="32">
        <f t="shared" si="275"/>
        <v>296.59412067545281</v>
      </c>
      <c r="V3496" s="22">
        <f t="shared" si="276"/>
        <v>0.58917492396674565</v>
      </c>
      <c r="X3496" s="33"/>
      <c r="Y3496" s="33"/>
    </row>
    <row r="3497" spans="1:25" x14ac:dyDescent="0.2">
      <c r="A3497" s="93" t="s">
        <v>1853</v>
      </c>
      <c r="B3497" s="94" t="str">
        <f>IFERROR(VLOOKUP($A3497,HeadJournal!$A$1:$NTR$890,COLUMN(HeadJournal!B$1),0),"")</f>
        <v>720000252407</v>
      </c>
      <c r="C3497" s="94" t="str">
        <f>IFERROR(VLOOKUP($A3497,HeadJournal!$A$1:$NTR$890,COLUMN(HeadJournal!C$1),0),"")</f>
        <v>iHerb_OA CZN6870</v>
      </c>
      <c r="D3497" s="125" t="str">
        <f>IFERROR(VLOOKUP($A3497,HeadJournal!$A$1:$NTR$890,COLUMN(HeadJournal!D$1),0),"")</f>
        <v>Доставлен</v>
      </c>
      <c r="E3497" s="95">
        <f>IFERROR(VLOOKUP($A3497,HeadJournal!$A$1:$NTR$890,COLUMN(HeadJournal!G$1),0),"")</f>
        <v>45445</v>
      </c>
      <c r="F3497" s="95" t="str">
        <f t="shared" si="277"/>
        <v>2024 06</v>
      </c>
      <c r="G3497" s="96" t="s">
        <v>7</v>
      </c>
      <c r="H3497" s="160" t="str">
        <f>RIGHT(Journal!$J3497,9)</f>
        <v>MLI-01688</v>
      </c>
      <c r="I3497" s="127" t="str">
        <f t="shared" si="274"/>
        <v>Madre Labs</v>
      </c>
      <c r="J3497" s="97" t="s">
        <v>1838</v>
      </c>
      <c r="K3497" s="29">
        <v>18.760000000000002</v>
      </c>
      <c r="L3497" s="29">
        <v>-16.260000000000002</v>
      </c>
      <c r="M3497" s="30">
        <f>IFERROR(VLOOKUP($A3497,HeadJournal!$A$1:$J$890,COLUMN(HeadJournal!I$1),0)*($K3497+$L3497)/(SUMIF($A:$A,$A3497,$K:$K)+SUMIF($A:$A,$A3497,$L:$L)),0)</f>
        <v>-9.6787479406919272E-2</v>
      </c>
      <c r="N3497" s="30">
        <f>IFERROR((VLOOKUP($A3497,HeadJournal!$A$1:$K$890,COLUMN(HeadJournal!K$1),0)-VLOOKUP($A3497,HeadJournal!$A$1:$K$890,COLUMN(HeadJournal!J$1),0))*($K3497+$L3497)/(SUMIF($A:$A,$A3497,$K:$K)+SUMIF($A:$A,$A3497,$L:$L)),0)</f>
        <v>3.9019370442619452E-16</v>
      </c>
      <c r="O3497" s="30">
        <f>IFERROR((VLOOKUP($A3497,HeadJournal!$A$1:$L$890,COLUMN(HeadJournal!L$1),0)*($K3497+$L3497)/(SUMIF($A:$A,$A3497,$K:$K)+SUMIF($A:$A,$A3497,$L:$L)))/VLOOKUP($A3497,HeadJournal!$A$1:$L$890,COLUMN(HeadJournal!H$1),0),0)</f>
        <v>0.14835504472893379</v>
      </c>
      <c r="P3497" s="30">
        <f>IFERROR(SUM(K3497:O3497)*VLOOKUP($A3497,HeadJournal!$A$1:$L$890,COLUMN(HeadJournal!H$1),0),0)</f>
        <v>262.46396210873155</v>
      </c>
      <c r="Q3497" s="29"/>
      <c r="R3497" s="31"/>
      <c r="S3497" s="31"/>
      <c r="T3497" s="95" t="str">
        <f t="shared" si="278"/>
        <v/>
      </c>
      <c r="U3497" s="32">
        <f t="shared" si="275"/>
        <v>-262.46396210873155</v>
      </c>
      <c r="V3497" s="22" t="str">
        <f t="shared" si="276"/>
        <v/>
      </c>
      <c r="X3497" s="33"/>
      <c r="Y3497" s="33"/>
    </row>
    <row r="3498" spans="1:25" x14ac:dyDescent="0.2">
      <c r="A3498" s="93" t="s">
        <v>1853</v>
      </c>
      <c r="B3498" s="94" t="str">
        <f>IFERROR(VLOOKUP($A3498,HeadJournal!$A$1:$NTR$890,COLUMN(HeadJournal!B$1),0),"")</f>
        <v>720000252407</v>
      </c>
      <c r="C3498" s="94" t="str">
        <f>IFERROR(VLOOKUP($A3498,HeadJournal!$A$1:$NTR$890,COLUMN(HeadJournal!C$1),0),"")</f>
        <v>iHerb_OA CZN6870</v>
      </c>
      <c r="D3498" s="125" t="str">
        <f>IFERROR(VLOOKUP($A3498,HeadJournal!$A$1:$NTR$890,COLUMN(HeadJournal!D$1),0),"")</f>
        <v>Доставлен</v>
      </c>
      <c r="E3498" s="95">
        <f>IFERROR(VLOOKUP($A3498,HeadJournal!$A$1:$NTR$890,COLUMN(HeadJournal!G$1),0),"")</f>
        <v>45445</v>
      </c>
      <c r="F3498" s="95" t="str">
        <f t="shared" si="277"/>
        <v>2024 06</v>
      </c>
      <c r="G3498" s="96" t="s">
        <v>7</v>
      </c>
      <c r="H3498" s="160" t="str">
        <f>RIGHT(Journal!$J3498,9)</f>
        <v>ALB-00394</v>
      </c>
      <c r="I3498" s="127" t="str">
        <f t="shared" si="274"/>
        <v>Alba Botanica</v>
      </c>
      <c r="J3498" s="97" t="s">
        <v>1860</v>
      </c>
      <c r="K3498" s="29">
        <v>3.71</v>
      </c>
      <c r="L3498" s="29">
        <v>-1.3</v>
      </c>
      <c r="M3498" s="30">
        <f>IFERROR(VLOOKUP($A3498,HeadJournal!$A$1:$J$890,COLUMN(HeadJournal!I$1),0)*($K3498+$L3498)/(SUMIF($A:$A,$A3498,$K:$K)+SUMIF($A:$A,$A3498,$L:$L)),0)</f>
        <v>-9.3303130148270186E-2</v>
      </c>
      <c r="N3498" s="30">
        <f>IFERROR((VLOOKUP($A3498,HeadJournal!$A$1:$K$890,COLUMN(HeadJournal!K$1),0)-VLOOKUP($A3498,HeadJournal!$A$1:$K$890,COLUMN(HeadJournal!J$1),0))*($K3498+$L3498)/(SUMIF($A:$A,$A3498,$K:$K)+SUMIF($A:$A,$A3498,$L:$L)),0)</f>
        <v>3.7614673106685155E-16</v>
      </c>
      <c r="O3498" s="30">
        <f>IFERROR((VLOOKUP($A3498,HeadJournal!$A$1:$L$890,COLUMN(HeadJournal!L$1),0)*($K3498+$L3498)/(SUMIF($A:$A,$A3498,$K:$K)+SUMIF($A:$A,$A3498,$L:$L)))/VLOOKUP($A3498,HeadJournal!$A$1:$L$890,COLUMN(HeadJournal!H$1),0),0)</f>
        <v>0.1430142631186922</v>
      </c>
      <c r="P3498" s="30">
        <f>IFERROR(SUM(K3498:O3498)*VLOOKUP($A3498,HeadJournal!$A$1:$L$890,COLUMN(HeadJournal!H$1),0),0)</f>
        <v>253.01525947281723</v>
      </c>
      <c r="Q3498" s="29"/>
      <c r="R3498" s="31"/>
      <c r="S3498" s="31"/>
      <c r="T3498" s="95" t="str">
        <f t="shared" si="278"/>
        <v/>
      </c>
      <c r="U3498" s="32">
        <f t="shared" si="275"/>
        <v>-253.01525947281723</v>
      </c>
      <c r="V3498" s="22" t="str">
        <f t="shared" si="276"/>
        <v/>
      </c>
      <c r="X3498" s="33"/>
      <c r="Y3498" s="33"/>
    </row>
    <row r="3499" spans="1:25" x14ac:dyDescent="0.2">
      <c r="A3499" s="93" t="s">
        <v>1853</v>
      </c>
      <c r="B3499" s="94" t="str">
        <f>IFERROR(VLOOKUP($A3499,HeadJournal!$A$1:$NTR$890,COLUMN(HeadJournal!B$1),0),"")</f>
        <v>720000252407</v>
      </c>
      <c r="C3499" s="94" t="str">
        <f>IFERROR(VLOOKUP($A3499,HeadJournal!$A$1:$NTR$890,COLUMN(HeadJournal!C$1),0),"")</f>
        <v>iHerb_OA CZN6870</v>
      </c>
      <c r="D3499" s="125" t="str">
        <f>IFERROR(VLOOKUP($A3499,HeadJournal!$A$1:$NTR$890,COLUMN(HeadJournal!D$1),0),"")</f>
        <v>Доставлен</v>
      </c>
      <c r="E3499" s="95">
        <f>IFERROR(VLOOKUP($A3499,HeadJournal!$A$1:$NTR$890,COLUMN(HeadJournal!G$1),0),"")</f>
        <v>45445</v>
      </c>
      <c r="F3499" s="95" t="str">
        <f t="shared" si="277"/>
        <v>2024 06</v>
      </c>
      <c r="G3499" s="96" t="s">
        <v>5</v>
      </c>
      <c r="H3499" s="160" t="str">
        <f>RIGHT(Journal!$J3499,9)</f>
        <v>MAV-18361</v>
      </c>
      <c r="I3499" s="127" t="str">
        <f t="shared" si="274"/>
        <v>Mason Natural</v>
      </c>
      <c r="J3499" s="97" t="s">
        <v>1861</v>
      </c>
      <c r="K3499" s="29">
        <v>11.88</v>
      </c>
      <c r="L3499" s="29">
        <v>-2.38</v>
      </c>
      <c r="M3499" s="30">
        <f>IFERROR(VLOOKUP($A3499,HeadJournal!$A$1:$J$890,COLUMN(HeadJournal!I$1),0)*($K3499+$L3499)/(SUMIF($A:$A,$A3499,$K:$K)+SUMIF($A:$A,$A3499,$L:$L)),0)</f>
        <v>-0.36779242174629323</v>
      </c>
      <c r="N3499" s="30">
        <f>IFERROR((VLOOKUP($A3499,HeadJournal!$A$1:$K$890,COLUMN(HeadJournal!K$1),0)-VLOOKUP($A3499,HeadJournal!$A$1:$K$890,COLUMN(HeadJournal!J$1),0))*($K3499+$L3499)/(SUMIF($A:$A,$A3499,$K:$K)+SUMIF($A:$A,$A3499,$L:$L)),0)</f>
        <v>1.4827360768195391E-15</v>
      </c>
      <c r="O3499" s="30">
        <f>IFERROR((VLOOKUP($A3499,HeadJournal!$A$1:$L$890,COLUMN(HeadJournal!L$1),0)*($K3499+$L3499)/(SUMIF($A:$A,$A3499,$K:$K)+SUMIF($A:$A,$A3499,$L:$L)))/VLOOKUP($A3499,HeadJournal!$A$1:$L$890,COLUMN(HeadJournal!H$1),0),0)</f>
        <v>0.56374916996994828</v>
      </c>
      <c r="P3499" s="30">
        <f>IFERROR(SUM(K3499:O3499)*VLOOKUP($A3499,HeadJournal!$A$1:$L$890,COLUMN(HeadJournal!H$1),0),0)</f>
        <v>997.36305601317997</v>
      </c>
      <c r="Q3499" s="29"/>
      <c r="R3499" s="31"/>
      <c r="S3499" s="31"/>
      <c r="T3499" s="95" t="str">
        <f t="shared" si="278"/>
        <v/>
      </c>
      <c r="U3499" s="32">
        <f t="shared" si="275"/>
        <v>-997.36305601317997</v>
      </c>
      <c r="V3499" s="22" t="str">
        <f t="shared" si="276"/>
        <v/>
      </c>
      <c r="X3499" s="33"/>
      <c r="Y3499" s="33"/>
    </row>
    <row r="3500" spans="1:25" x14ac:dyDescent="0.2">
      <c r="A3500" s="93" t="s">
        <v>1853</v>
      </c>
      <c r="B3500" s="94" t="str">
        <f>IFERROR(VLOOKUP($A3500,HeadJournal!$A$1:$NTR$890,COLUMN(HeadJournal!B$1),0),"")</f>
        <v>720000252407</v>
      </c>
      <c r="C3500" s="94" t="str">
        <f>IFERROR(VLOOKUP($A3500,HeadJournal!$A$1:$NTR$890,COLUMN(HeadJournal!C$1),0),"")</f>
        <v>iHerb_OA CZN6870</v>
      </c>
      <c r="D3500" s="125" t="str">
        <f>IFERROR(VLOOKUP($A3500,HeadJournal!$A$1:$NTR$890,COLUMN(HeadJournal!D$1),0),"")</f>
        <v>Доставлен</v>
      </c>
      <c r="E3500" s="95">
        <f>IFERROR(VLOOKUP($A3500,HeadJournal!$A$1:$NTR$890,COLUMN(HeadJournal!G$1),0),"")</f>
        <v>45445</v>
      </c>
      <c r="F3500" s="95" t="str">
        <f t="shared" si="277"/>
        <v>2024 06</v>
      </c>
      <c r="G3500" s="96" t="s">
        <v>5</v>
      </c>
      <c r="H3500" s="160" t="str">
        <f>RIGHT(Journal!$J3500,9)</f>
        <v>NCS-67068</v>
      </c>
      <c r="I3500" s="127" t="str">
        <f t="shared" si="274"/>
        <v>Nutricost</v>
      </c>
      <c r="J3500" s="97" t="s">
        <v>1645</v>
      </c>
      <c r="K3500" s="29">
        <v>16.22</v>
      </c>
      <c r="L3500" s="29">
        <v>-3.24</v>
      </c>
      <c r="M3500" s="30">
        <f>IFERROR(VLOOKUP($A3500,HeadJournal!$A$1:$J$890,COLUMN(HeadJournal!I$1),0)*($K3500+$L3500)/(SUMIF($A:$A,$A3500,$K:$K)+SUMIF($A:$A,$A3500,$L:$L)),0)</f>
        <v>-0.50252059308072483</v>
      </c>
      <c r="N3500" s="30">
        <f>IFERROR((VLOOKUP($A3500,HeadJournal!$A$1:$K$890,COLUMN(HeadJournal!K$1),0)-VLOOKUP($A3500,HeadJournal!$A$1:$K$890,COLUMN(HeadJournal!J$1),0))*($K3500+$L3500)/(SUMIF($A:$A,$A3500,$K:$K)+SUMIF($A:$A,$A3500,$L:$L)),0)</f>
        <v>2.0258857133808017E-15</v>
      </c>
      <c r="O3500" s="30">
        <f>IFERROR((VLOOKUP($A3500,HeadJournal!$A$1:$L$890,COLUMN(HeadJournal!L$1),0)*($K3500+$L3500)/(SUMIF($A:$A,$A3500,$K:$K)+SUMIF($A:$A,$A3500,$L:$L)))/VLOOKUP($A3500,HeadJournal!$A$1:$L$890,COLUMN(HeadJournal!H$1),0),0)</f>
        <v>0.77025939223262418</v>
      </c>
      <c r="P3500" s="30">
        <f>IFERROR(SUM(K3500:O3500)*VLOOKUP($A3500,HeadJournal!$A$1:$L$890,COLUMN(HeadJournal!H$1),0),0)</f>
        <v>1362.7128912685341</v>
      </c>
      <c r="Q3500" s="29">
        <v>2200</v>
      </c>
      <c r="R3500" s="31">
        <v>45539</v>
      </c>
      <c r="S3500" s="31" t="s">
        <v>3121</v>
      </c>
      <c r="T3500" s="95" t="str">
        <f t="shared" si="278"/>
        <v>2024 09</v>
      </c>
      <c r="U3500" s="32">
        <f t="shared" si="275"/>
        <v>837.28710873146588</v>
      </c>
      <c r="V3500" s="22">
        <f t="shared" si="276"/>
        <v>0.61442664415689552</v>
      </c>
      <c r="X3500" s="33"/>
      <c r="Y3500" s="33"/>
    </row>
    <row r="3501" spans="1:25" x14ac:dyDescent="0.2">
      <c r="A3501" s="93" t="s">
        <v>1853</v>
      </c>
      <c r="B3501" s="94" t="str">
        <f>IFERROR(VLOOKUP($A3501,HeadJournal!$A$1:$NTR$890,COLUMN(HeadJournal!B$1),0),"")</f>
        <v>720000252407</v>
      </c>
      <c r="C3501" s="94" t="str">
        <f>IFERROR(VLOOKUP($A3501,HeadJournal!$A$1:$NTR$890,COLUMN(HeadJournal!C$1),0),"")</f>
        <v>iHerb_OA CZN6870</v>
      </c>
      <c r="D3501" s="125" t="str">
        <f>IFERROR(VLOOKUP($A3501,HeadJournal!$A$1:$NTR$890,COLUMN(HeadJournal!D$1),0),"")</f>
        <v>Доставлен</v>
      </c>
      <c r="E3501" s="95">
        <f>IFERROR(VLOOKUP($A3501,HeadJournal!$A$1:$NTR$890,COLUMN(HeadJournal!G$1),0),"")</f>
        <v>45445</v>
      </c>
      <c r="F3501" s="95" t="str">
        <f t="shared" si="277"/>
        <v>2024 06</v>
      </c>
      <c r="G3501" s="96" t="s">
        <v>7</v>
      </c>
      <c r="H3501" s="161" t="s">
        <v>2778</v>
      </c>
      <c r="I3501" s="97" t="s">
        <v>2779</v>
      </c>
      <c r="J3501" s="97" t="s">
        <v>2780</v>
      </c>
      <c r="K3501" s="29">
        <v>10.99</v>
      </c>
      <c r="L3501" s="29">
        <v>-8.99</v>
      </c>
      <c r="M3501" s="30">
        <f>IFERROR(VLOOKUP($A3501,HeadJournal!$A$1:$J$890,COLUMN(HeadJournal!I$1),0)*($K3501+$L3501)/(SUMIF($A:$A,$A3501,$K:$K)+SUMIF($A:$A,$A3501,$L:$L)),0)</f>
        <v>-7.7429983525535415E-2</v>
      </c>
      <c r="N3501" s="30">
        <f>IFERROR((VLOOKUP($A3501,HeadJournal!$A$1:$K$890,COLUMN(HeadJournal!K$1),0)-VLOOKUP($A3501,HeadJournal!$A$1:$K$890,COLUMN(HeadJournal!J$1),0))*($K3501+$L3501)/(SUMIF($A:$A,$A3501,$K:$K)+SUMIF($A:$A,$A3501,$L:$L)),0)</f>
        <v>3.121549635409556E-16</v>
      </c>
      <c r="O3501" s="30">
        <f>IFERROR((VLOOKUP($A3501,HeadJournal!$A$1:$L$890,COLUMN(HeadJournal!L$1),0)*($K3501+$L3501)/(SUMIF($A:$A,$A3501,$K:$K)+SUMIF($A:$A,$A3501,$L:$L)))/VLOOKUP($A3501,HeadJournal!$A$1:$L$890,COLUMN(HeadJournal!H$1),0),0)</f>
        <v>0.11868403578314701</v>
      </c>
      <c r="P3501" s="30">
        <f>IFERROR(SUM(K3501:O3501)*VLOOKUP($A3501,HeadJournal!$A$1:$L$890,COLUMN(HeadJournal!H$1),0),0)</f>
        <v>209.97116968698523</v>
      </c>
      <c r="Q3501" s="29"/>
      <c r="R3501" s="31"/>
      <c r="S3501" s="31"/>
      <c r="T3501" s="95" t="str">
        <f t="shared" si="278"/>
        <v/>
      </c>
      <c r="U3501" s="32">
        <f t="shared" si="275"/>
        <v>-209.97116968698523</v>
      </c>
      <c r="V3501" s="22" t="str">
        <f t="shared" si="276"/>
        <v/>
      </c>
      <c r="X3501" s="33"/>
      <c r="Y3501" s="33"/>
    </row>
    <row r="3502" spans="1:25" x14ac:dyDescent="0.2">
      <c r="A3502" s="93" t="s">
        <v>1853</v>
      </c>
      <c r="B3502" s="94" t="str">
        <f>IFERROR(VLOOKUP($A3502,HeadJournal!$A$1:$NTR$890,COLUMN(HeadJournal!B$1),0),"")</f>
        <v>720000252407</v>
      </c>
      <c r="C3502" s="94" t="str">
        <f>IFERROR(VLOOKUP($A3502,HeadJournal!$A$1:$NTR$890,COLUMN(HeadJournal!C$1),0),"")</f>
        <v>iHerb_OA CZN6870</v>
      </c>
      <c r="D3502" s="125" t="str">
        <f>IFERROR(VLOOKUP($A3502,HeadJournal!$A$1:$NTR$890,COLUMN(HeadJournal!D$1),0),"")</f>
        <v>Доставлен</v>
      </c>
      <c r="E3502" s="95">
        <f>IFERROR(VLOOKUP($A3502,HeadJournal!$A$1:$NTR$890,COLUMN(HeadJournal!G$1),0),"")</f>
        <v>45445</v>
      </c>
      <c r="F3502" s="95" t="str">
        <f t="shared" si="277"/>
        <v>2024 06</v>
      </c>
      <c r="G3502" s="96" t="s">
        <v>7</v>
      </c>
      <c r="H3502" s="160" t="str">
        <f>RIGHT(Journal!$J3502,9)</f>
        <v>MLI-01686</v>
      </c>
      <c r="I3502" s="127" t="str">
        <f t="shared" si="274"/>
        <v>Madre Labs</v>
      </c>
      <c r="J3502" s="97" t="s">
        <v>1837</v>
      </c>
      <c r="K3502" s="29">
        <v>18.93</v>
      </c>
      <c r="L3502" s="29">
        <v>-16.43</v>
      </c>
      <c r="M3502" s="30">
        <f>IFERROR(VLOOKUP($A3502,HeadJournal!$A$1:$J$890,COLUMN(HeadJournal!I$1),0)*($K3502+$L3502)/(SUMIF($A:$A,$A3502,$K:$K)+SUMIF($A:$A,$A3502,$L:$L)),0)</f>
        <v>-9.6787479406919272E-2</v>
      </c>
      <c r="N3502" s="30">
        <f>IFERROR((VLOOKUP($A3502,HeadJournal!$A$1:$K$890,COLUMN(HeadJournal!K$1),0)-VLOOKUP($A3502,HeadJournal!$A$1:$K$890,COLUMN(HeadJournal!J$1),0))*($K3502+$L3502)/(SUMIF($A:$A,$A3502,$K:$K)+SUMIF($A:$A,$A3502,$L:$L)),0)</f>
        <v>3.9019370442619452E-16</v>
      </c>
      <c r="O3502" s="30">
        <f>IFERROR((VLOOKUP($A3502,HeadJournal!$A$1:$L$890,COLUMN(HeadJournal!L$1),0)*($K3502+$L3502)/(SUMIF($A:$A,$A3502,$K:$K)+SUMIF($A:$A,$A3502,$L:$L)))/VLOOKUP($A3502,HeadJournal!$A$1:$L$890,COLUMN(HeadJournal!H$1),0),0)</f>
        <v>0.14835504472893379</v>
      </c>
      <c r="P3502" s="30">
        <f>IFERROR(SUM(K3502:O3502)*VLOOKUP($A3502,HeadJournal!$A$1:$L$890,COLUMN(HeadJournal!H$1),0),0)</f>
        <v>262.46396210873155</v>
      </c>
      <c r="Q3502" s="29"/>
      <c r="R3502" s="31"/>
      <c r="S3502" s="31"/>
      <c r="T3502" s="95" t="str">
        <f t="shared" si="278"/>
        <v/>
      </c>
      <c r="U3502" s="32">
        <f t="shared" si="275"/>
        <v>-262.46396210873155</v>
      </c>
      <c r="V3502" s="22" t="str">
        <f t="shared" si="276"/>
        <v/>
      </c>
      <c r="X3502" s="33"/>
      <c r="Y3502" s="33"/>
    </row>
    <row r="3503" spans="1:25" x14ac:dyDescent="0.2">
      <c r="A3503" s="93" t="s">
        <v>1862</v>
      </c>
      <c r="B3503" s="94" t="str">
        <f>IFERROR(VLOOKUP($A3503,HeadJournal!$A$1:$NTR$890,COLUMN(HeadJournal!B$1),0),"")</f>
        <v>720000260354</v>
      </c>
      <c r="C3503" s="94" t="str">
        <f>IFERROR(VLOOKUP($A3503,HeadJournal!$A$1:$NTR$890,COLUMN(HeadJournal!C$1),0),"")</f>
        <v>iHerb_OA CZN6870</v>
      </c>
      <c r="D3503" s="125" t="str">
        <f>IFERROR(VLOOKUP($A3503,HeadJournal!$A$1:$NTR$890,COLUMN(HeadJournal!D$1),0),"")</f>
        <v>Доставлен</v>
      </c>
      <c r="E3503" s="95">
        <f>IFERROR(VLOOKUP($A3503,HeadJournal!$A$1:$NTR$890,COLUMN(HeadJournal!G$1),0),"")</f>
        <v>45453</v>
      </c>
      <c r="F3503" s="95" t="str">
        <f t="shared" si="277"/>
        <v>2024 06</v>
      </c>
      <c r="G3503" s="96" t="s">
        <v>5</v>
      </c>
      <c r="H3503" s="160" t="str">
        <f>RIGHT(Journal!$J3503,9)</f>
        <v>NOW-00892</v>
      </c>
      <c r="I3503" s="127" t="str">
        <f t="shared" si="274"/>
        <v>NOW Foods</v>
      </c>
      <c r="J3503" s="97" t="s">
        <v>1864</v>
      </c>
      <c r="K3503" s="29">
        <v>15.03</v>
      </c>
      <c r="L3503" s="29">
        <v>-3.0049999999999999</v>
      </c>
      <c r="M3503" s="30">
        <f>IFERROR(VLOOKUP($A3503,HeadJournal!$A$1:$J$890,COLUMN(HeadJournal!I$1),0)*($K3503+$L3503)/(SUMIF($A:$A,$A3503,$K:$K)+SUMIF($A:$A,$A3503,$L:$L)),0)</f>
        <v>-0.7088446475195822</v>
      </c>
      <c r="N3503" s="30">
        <f>IFERROR((VLOOKUP($A3503,HeadJournal!$A$1:$K$890,COLUMN(HeadJournal!K$1),0)-VLOOKUP($A3503,HeadJournal!$A$1:$K$890,COLUMN(HeadJournal!J$1),0))*($K3503+$L3503)/(SUMIF($A:$A,$A3503,$K:$K)+SUMIF($A:$A,$A3503,$L:$L)),0)</f>
        <v>0</v>
      </c>
      <c r="O3503" s="30">
        <f>IFERROR((VLOOKUP($A3503,HeadJournal!$A$1:$L$890,COLUMN(HeadJournal!L$1),0)*($K3503+$L3503)/(SUMIF($A:$A,$A3503,$K:$K)+SUMIF($A:$A,$A3503,$L:$L)))/VLOOKUP($A3503,HeadJournal!$A$1:$L$890,COLUMN(HeadJournal!H$1),0),0)</f>
        <v>0.65522224872691337</v>
      </c>
      <c r="P3503" s="30">
        <f>IFERROR(SUM(K3503:O3503)*VLOOKUP($A3503,HeadJournal!$A$1:$L$890,COLUMN(HeadJournal!H$1),0),0)</f>
        <v>1226.2339180809399</v>
      </c>
      <c r="Q3503" s="29">
        <v>1900</v>
      </c>
      <c r="R3503" s="31">
        <v>45480</v>
      </c>
      <c r="S3503" s="31" t="s">
        <v>3121</v>
      </c>
      <c r="T3503" s="95" t="str">
        <f t="shared" si="278"/>
        <v>2024 07</v>
      </c>
      <c r="U3503" s="32">
        <f t="shared" si="275"/>
        <v>673.76608191906007</v>
      </c>
      <c r="V3503" s="22">
        <f t="shared" si="276"/>
        <v>0.54945966832617565</v>
      </c>
      <c r="X3503" s="33"/>
      <c r="Y3503" s="33"/>
    </row>
    <row r="3504" spans="1:25" x14ac:dyDescent="0.2">
      <c r="A3504" s="93" t="s">
        <v>1862</v>
      </c>
      <c r="B3504" s="94" t="str">
        <f>IFERROR(VLOOKUP($A3504,HeadJournal!$A$1:$NTR$890,COLUMN(HeadJournal!B$1),0),"")</f>
        <v>720000260354</v>
      </c>
      <c r="C3504" s="94" t="str">
        <f>IFERROR(VLOOKUP($A3504,HeadJournal!$A$1:$NTR$890,COLUMN(HeadJournal!C$1),0),"")</f>
        <v>iHerb_OA CZN6870</v>
      </c>
      <c r="D3504" s="125" t="str">
        <f>IFERROR(VLOOKUP($A3504,HeadJournal!$A$1:$NTR$890,COLUMN(HeadJournal!D$1),0),"")</f>
        <v>Доставлен</v>
      </c>
      <c r="E3504" s="95">
        <f>IFERROR(VLOOKUP($A3504,HeadJournal!$A$1:$NTR$890,COLUMN(HeadJournal!G$1),0),"")</f>
        <v>45453</v>
      </c>
      <c r="F3504" s="95" t="str">
        <f t="shared" si="277"/>
        <v>2024 06</v>
      </c>
      <c r="G3504" s="96" t="s">
        <v>5</v>
      </c>
      <c r="H3504" s="160" t="str">
        <f>RIGHT(Journal!$J3504,9)</f>
        <v>NOW-00892</v>
      </c>
      <c r="I3504" s="127" t="str">
        <f t="shared" si="274"/>
        <v>NOW Foods</v>
      </c>
      <c r="J3504" s="97" t="s">
        <v>1864</v>
      </c>
      <c r="K3504" s="29">
        <v>15.03</v>
      </c>
      <c r="L3504" s="29">
        <v>-3.0049999999999999</v>
      </c>
      <c r="M3504" s="30">
        <f>IFERROR(VLOOKUP($A3504,HeadJournal!$A$1:$J$890,COLUMN(HeadJournal!I$1),0)*($K3504+$L3504)/(SUMIF($A:$A,$A3504,$K:$K)+SUMIF($A:$A,$A3504,$L:$L)),0)</f>
        <v>-0.7088446475195822</v>
      </c>
      <c r="N3504" s="30">
        <f>IFERROR((VLOOKUP($A3504,HeadJournal!$A$1:$K$890,COLUMN(HeadJournal!K$1),0)-VLOOKUP($A3504,HeadJournal!$A$1:$K$890,COLUMN(HeadJournal!J$1),0))*($K3504+$L3504)/(SUMIF($A:$A,$A3504,$K:$K)+SUMIF($A:$A,$A3504,$L:$L)),0)</f>
        <v>0</v>
      </c>
      <c r="O3504" s="30">
        <f>IFERROR((VLOOKUP($A3504,HeadJournal!$A$1:$L$890,COLUMN(HeadJournal!L$1),0)*($K3504+$L3504)/(SUMIF($A:$A,$A3504,$K:$K)+SUMIF($A:$A,$A3504,$L:$L)))/VLOOKUP($A3504,HeadJournal!$A$1:$L$890,COLUMN(HeadJournal!H$1),0),0)</f>
        <v>0.65522224872691337</v>
      </c>
      <c r="P3504" s="30">
        <f>IFERROR(SUM(K3504:O3504)*VLOOKUP($A3504,HeadJournal!$A$1:$L$890,COLUMN(HeadJournal!H$1),0),0)</f>
        <v>1226.2339180809399</v>
      </c>
      <c r="Q3504" s="29">
        <v>1900</v>
      </c>
      <c r="R3504" s="31">
        <v>45480</v>
      </c>
      <c r="S3504" s="31" t="s">
        <v>3121</v>
      </c>
      <c r="T3504" s="95" t="str">
        <f t="shared" si="278"/>
        <v>2024 07</v>
      </c>
      <c r="U3504" s="32">
        <f t="shared" si="275"/>
        <v>673.76608191906007</v>
      </c>
      <c r="V3504" s="22">
        <f t="shared" si="276"/>
        <v>0.54945966832617565</v>
      </c>
      <c r="X3504" s="33"/>
      <c r="Y3504" s="33"/>
    </row>
    <row r="3505" spans="1:25" x14ac:dyDescent="0.2">
      <c r="A3505" s="93" t="s">
        <v>1862</v>
      </c>
      <c r="B3505" s="94" t="str">
        <f>IFERROR(VLOOKUP($A3505,HeadJournal!$A$1:$NTR$890,COLUMN(HeadJournal!B$1),0),"")</f>
        <v>720000260354</v>
      </c>
      <c r="C3505" s="94" t="str">
        <f>IFERROR(VLOOKUP($A3505,HeadJournal!$A$1:$NTR$890,COLUMN(HeadJournal!C$1),0),"")</f>
        <v>iHerb_OA CZN6870</v>
      </c>
      <c r="D3505" s="125" t="str">
        <f>IFERROR(VLOOKUP($A3505,HeadJournal!$A$1:$NTR$890,COLUMN(HeadJournal!D$1),0),"")</f>
        <v>Доставлен</v>
      </c>
      <c r="E3505" s="95">
        <f>IFERROR(VLOOKUP($A3505,HeadJournal!$A$1:$NTR$890,COLUMN(HeadJournal!G$1),0),"")</f>
        <v>45453</v>
      </c>
      <c r="F3505" s="95" t="str">
        <f t="shared" si="277"/>
        <v>2024 06</v>
      </c>
      <c r="G3505" s="96" t="s">
        <v>5</v>
      </c>
      <c r="H3505" s="161" t="s">
        <v>2481</v>
      </c>
      <c r="I3505" s="97" t="s">
        <v>2005</v>
      </c>
      <c r="J3505" s="97" t="s">
        <v>2482</v>
      </c>
      <c r="K3505" s="29">
        <v>11.07</v>
      </c>
      <c r="L3505" s="29">
        <v>-2.21</v>
      </c>
      <c r="M3505" s="30">
        <f>IFERROR(VLOOKUP($A3505,HeadJournal!$A$1:$J$890,COLUMN(HeadJournal!I$1),0)*($K3505+$L3505)/(SUMIF($A:$A,$A3505,$K:$K)+SUMIF($A:$A,$A3505,$L:$L)),0)</f>
        <v>-0.52227555734083142</v>
      </c>
      <c r="N3505" s="30">
        <f>IFERROR((VLOOKUP($A3505,HeadJournal!$A$1:$K$890,COLUMN(HeadJournal!K$1),0)-VLOOKUP($A3505,HeadJournal!$A$1:$K$890,COLUMN(HeadJournal!J$1),0))*($K3505+$L3505)/(SUMIF($A:$A,$A3505,$K:$K)+SUMIF($A:$A,$A3505,$L:$L)),0)</f>
        <v>0</v>
      </c>
      <c r="O3505" s="30">
        <f>IFERROR((VLOOKUP($A3505,HeadJournal!$A$1:$L$890,COLUMN(HeadJournal!L$1),0)*($K3505+$L3505)/(SUMIF($A:$A,$A3505,$K:$K)+SUMIF($A:$A,$A3505,$L:$L)))/VLOOKUP($A3505,HeadJournal!$A$1:$L$890,COLUMN(HeadJournal!H$1),0),0)</f>
        <v>0.48276666309525584</v>
      </c>
      <c r="P3505" s="30">
        <f>IFERROR(SUM(K3505:O3505)*VLOOKUP($A3505,HeadJournal!$A$1:$L$890,COLUMN(HeadJournal!H$1),0),0)</f>
        <v>903.48711136774466</v>
      </c>
      <c r="Q3505" s="29">
        <v>1700</v>
      </c>
      <c r="R3505" s="31">
        <v>45586</v>
      </c>
      <c r="S3505" s="31" t="s">
        <v>3121</v>
      </c>
      <c r="T3505" s="95" t="str">
        <f t="shared" si="278"/>
        <v>2024 10</v>
      </c>
      <c r="U3505" s="32">
        <f t="shared" si="275"/>
        <v>796.51288863225534</v>
      </c>
      <c r="V3505" s="22">
        <f t="shared" si="276"/>
        <v>0.88159850717344901</v>
      </c>
      <c r="X3505" s="33"/>
      <c r="Y3505" s="33"/>
    </row>
    <row r="3506" spans="1:25" x14ac:dyDescent="0.2">
      <c r="A3506" s="93" t="s">
        <v>1862</v>
      </c>
      <c r="B3506" s="94" t="str">
        <f>IFERROR(VLOOKUP($A3506,HeadJournal!$A$1:$NTR$890,COLUMN(HeadJournal!B$1),0),"")</f>
        <v>720000260354</v>
      </c>
      <c r="C3506" s="94" t="str">
        <f>IFERROR(VLOOKUP($A3506,HeadJournal!$A$1:$NTR$890,COLUMN(HeadJournal!C$1),0),"")</f>
        <v>iHerb_OA CZN6870</v>
      </c>
      <c r="D3506" s="125" t="str">
        <f>IFERROR(VLOOKUP($A3506,HeadJournal!$A$1:$NTR$890,COLUMN(HeadJournal!D$1),0),"")</f>
        <v>Доставлен</v>
      </c>
      <c r="E3506" s="95">
        <f>IFERROR(VLOOKUP($A3506,HeadJournal!$A$1:$NTR$890,COLUMN(HeadJournal!G$1),0),"")</f>
        <v>45453</v>
      </c>
      <c r="F3506" s="95" t="str">
        <f t="shared" si="277"/>
        <v>2024 06</v>
      </c>
      <c r="G3506" s="96" t="s">
        <v>5</v>
      </c>
      <c r="H3506" s="161" t="s">
        <v>2016</v>
      </c>
      <c r="I3506" s="97" t="s">
        <v>2005</v>
      </c>
      <c r="J3506" s="97" t="s">
        <v>2017</v>
      </c>
      <c r="K3506" s="29">
        <v>36.799999999999997</v>
      </c>
      <c r="L3506" s="29">
        <v>-7.3599999999999994</v>
      </c>
      <c r="M3506" s="30">
        <f>IFERROR(VLOOKUP($A3506,HeadJournal!$A$1:$J$890,COLUMN(HeadJournal!I$1),0)*($K3506+$L3506)/(SUMIF($A:$A,$A3506,$K:$K)+SUMIF($A:$A,$A3506,$L:$L)),0)</f>
        <v>-1.7354167503514761</v>
      </c>
      <c r="N3506" s="30">
        <f>IFERROR((VLOOKUP($A3506,HeadJournal!$A$1:$K$890,COLUMN(HeadJournal!K$1),0)-VLOOKUP($A3506,HeadJournal!$A$1:$K$890,COLUMN(HeadJournal!J$1),0))*($K3506+$L3506)/(SUMIF($A:$A,$A3506,$K:$K)+SUMIF($A:$A,$A3506,$L:$L)),0)</f>
        <v>0</v>
      </c>
      <c r="O3506" s="30">
        <f>IFERROR((VLOOKUP($A3506,HeadJournal!$A$1:$L$890,COLUMN(HeadJournal!L$1),0)*($K3506+$L3506)/(SUMIF($A:$A,$A3506,$K:$K)+SUMIF($A:$A,$A3506,$L:$L)))/VLOOKUP($A3506,HeadJournal!$A$1:$L$890,COLUMN(HeadJournal!H$1),0),0)</f>
        <v>1.6041366322262227</v>
      </c>
      <c r="P3506" s="30">
        <f>IFERROR(SUM(K3506:O3506)*VLOOKUP($A3506,HeadJournal!$A$1:$L$890,COLUMN(HeadJournal!H$1),0),0)</f>
        <v>3002.1061578630247</v>
      </c>
      <c r="Q3506" s="29">
        <v>4300</v>
      </c>
      <c r="R3506" s="31">
        <v>45632</v>
      </c>
      <c r="S3506" s="31" t="s">
        <v>3121</v>
      </c>
      <c r="T3506" s="95" t="str">
        <f t="shared" si="278"/>
        <v>2024 12</v>
      </c>
      <c r="U3506" s="32">
        <f t="shared" si="275"/>
        <v>1297.8938421369753</v>
      </c>
      <c r="V3506" s="22">
        <f t="shared" si="276"/>
        <v>0.43232776387256372</v>
      </c>
      <c r="X3506" s="33"/>
      <c r="Y3506" s="33"/>
    </row>
    <row r="3507" spans="1:25" x14ac:dyDescent="0.2">
      <c r="A3507" s="93" t="s">
        <v>1862</v>
      </c>
      <c r="B3507" s="94" t="str">
        <f>IFERROR(VLOOKUP($A3507,HeadJournal!$A$1:$NTR$890,COLUMN(HeadJournal!B$1),0),"")</f>
        <v>720000260354</v>
      </c>
      <c r="C3507" s="94" t="str">
        <f>IFERROR(VLOOKUP($A3507,HeadJournal!$A$1:$NTR$890,COLUMN(HeadJournal!C$1),0),"")</f>
        <v>iHerb_OA CZN6870</v>
      </c>
      <c r="D3507" s="125" t="str">
        <f>IFERROR(VLOOKUP($A3507,HeadJournal!$A$1:$NTR$890,COLUMN(HeadJournal!D$1),0),"")</f>
        <v>Доставлен</v>
      </c>
      <c r="E3507" s="95">
        <f>IFERROR(VLOOKUP($A3507,HeadJournal!$A$1:$NTR$890,COLUMN(HeadJournal!G$1),0),"")</f>
        <v>45453</v>
      </c>
      <c r="F3507" s="95" t="str">
        <f t="shared" si="277"/>
        <v>2024 06</v>
      </c>
      <c r="G3507" s="96" t="s">
        <v>5</v>
      </c>
      <c r="H3507" s="161" t="s">
        <v>2016</v>
      </c>
      <c r="I3507" s="97" t="s">
        <v>2005</v>
      </c>
      <c r="J3507" s="97" t="s">
        <v>2017</v>
      </c>
      <c r="K3507" s="29">
        <v>36.799999999999997</v>
      </c>
      <c r="L3507" s="29">
        <v>-7.3599999999999994</v>
      </c>
      <c r="M3507" s="30">
        <f>IFERROR(VLOOKUP($A3507,HeadJournal!$A$1:$J$890,COLUMN(HeadJournal!I$1),0)*($K3507+$L3507)/(SUMIF($A:$A,$A3507,$K:$K)+SUMIF($A:$A,$A3507,$L:$L)),0)</f>
        <v>-1.7354167503514761</v>
      </c>
      <c r="N3507" s="30">
        <f>IFERROR((VLOOKUP($A3507,HeadJournal!$A$1:$K$890,COLUMN(HeadJournal!K$1),0)-VLOOKUP($A3507,HeadJournal!$A$1:$K$890,COLUMN(HeadJournal!J$1),0))*($K3507+$L3507)/(SUMIF($A:$A,$A3507,$K:$K)+SUMIF($A:$A,$A3507,$L:$L)),0)</f>
        <v>0</v>
      </c>
      <c r="O3507" s="30">
        <f>IFERROR((VLOOKUP($A3507,HeadJournal!$A$1:$L$890,COLUMN(HeadJournal!L$1),0)*($K3507+$L3507)/(SUMIF($A:$A,$A3507,$K:$K)+SUMIF($A:$A,$A3507,$L:$L)))/VLOOKUP($A3507,HeadJournal!$A$1:$L$890,COLUMN(HeadJournal!H$1),0),0)</f>
        <v>1.6041366322262227</v>
      </c>
      <c r="P3507" s="30">
        <f>IFERROR(SUM(K3507:O3507)*VLOOKUP($A3507,HeadJournal!$A$1:$L$890,COLUMN(HeadJournal!H$1),0),0)</f>
        <v>3002.1061578630247</v>
      </c>
      <c r="Q3507" s="29">
        <v>4600</v>
      </c>
      <c r="R3507" s="31">
        <v>45642</v>
      </c>
      <c r="S3507" s="31" t="s">
        <v>3121</v>
      </c>
      <c r="T3507" s="95" t="str">
        <f t="shared" si="278"/>
        <v>2024 12</v>
      </c>
      <c r="U3507" s="32">
        <f t="shared" si="275"/>
        <v>1597.8938421369753</v>
      </c>
      <c r="V3507" s="22">
        <f t="shared" si="276"/>
        <v>0.53225760786367282</v>
      </c>
      <c r="X3507" s="33"/>
      <c r="Y3507" s="33"/>
    </row>
    <row r="3508" spans="1:25" x14ac:dyDescent="0.2">
      <c r="A3508" s="93" t="s">
        <v>1862</v>
      </c>
      <c r="B3508" s="94" t="str">
        <f>IFERROR(VLOOKUP($A3508,HeadJournal!$A$1:$NTR$890,COLUMN(HeadJournal!B$1),0),"")</f>
        <v>720000260354</v>
      </c>
      <c r="C3508" s="94" t="str">
        <f>IFERROR(VLOOKUP($A3508,HeadJournal!$A$1:$NTR$890,COLUMN(HeadJournal!C$1),0),"")</f>
        <v>iHerb_OA CZN6870</v>
      </c>
      <c r="D3508" s="125" t="str">
        <f>IFERROR(VLOOKUP($A3508,HeadJournal!$A$1:$NTR$890,COLUMN(HeadJournal!D$1),0),"")</f>
        <v>Доставлен</v>
      </c>
      <c r="E3508" s="95">
        <f>IFERROR(VLOOKUP($A3508,HeadJournal!$A$1:$NTR$890,COLUMN(HeadJournal!G$1),0),"")</f>
        <v>45453</v>
      </c>
      <c r="F3508" s="95" t="str">
        <f t="shared" si="277"/>
        <v>2024 06</v>
      </c>
      <c r="G3508" s="96" t="s">
        <v>5</v>
      </c>
      <c r="H3508" s="161" t="s">
        <v>2016</v>
      </c>
      <c r="I3508" s="97" t="s">
        <v>2005</v>
      </c>
      <c r="J3508" s="97" t="s">
        <v>2017</v>
      </c>
      <c r="K3508" s="29">
        <v>36.799999999999997</v>
      </c>
      <c r="L3508" s="29">
        <v>-7.3599999999999994</v>
      </c>
      <c r="M3508" s="30">
        <f>IFERROR(VLOOKUP($A3508,HeadJournal!$A$1:$J$890,COLUMN(HeadJournal!I$1),0)*($K3508+$L3508)/(SUMIF($A:$A,$A3508,$K:$K)+SUMIF($A:$A,$A3508,$L:$L)),0)</f>
        <v>-1.7354167503514761</v>
      </c>
      <c r="N3508" s="30">
        <f>IFERROR((VLOOKUP($A3508,HeadJournal!$A$1:$K$890,COLUMN(HeadJournal!K$1),0)-VLOOKUP($A3508,HeadJournal!$A$1:$K$890,COLUMN(HeadJournal!J$1),0))*($K3508+$L3508)/(SUMIF($A:$A,$A3508,$K:$K)+SUMIF($A:$A,$A3508,$L:$L)),0)</f>
        <v>0</v>
      </c>
      <c r="O3508" s="30">
        <f>IFERROR((VLOOKUP($A3508,HeadJournal!$A$1:$L$890,COLUMN(HeadJournal!L$1),0)*($K3508+$L3508)/(SUMIF($A:$A,$A3508,$K:$K)+SUMIF($A:$A,$A3508,$L:$L)))/VLOOKUP($A3508,HeadJournal!$A$1:$L$890,COLUMN(HeadJournal!H$1),0),0)</f>
        <v>1.6041366322262227</v>
      </c>
      <c r="P3508" s="30">
        <f>IFERROR(SUM(K3508:O3508)*VLOOKUP($A3508,HeadJournal!$A$1:$L$890,COLUMN(HeadJournal!H$1),0),0)</f>
        <v>3002.1061578630247</v>
      </c>
      <c r="Q3508" s="29">
        <v>4800</v>
      </c>
      <c r="R3508" s="31">
        <v>45682</v>
      </c>
      <c r="S3508" s="31" t="s">
        <v>3121</v>
      </c>
      <c r="T3508" s="95" t="str">
        <f t="shared" si="278"/>
        <v>2025 01</v>
      </c>
      <c r="U3508" s="32">
        <f t="shared" si="275"/>
        <v>1797.8938421369753</v>
      </c>
      <c r="V3508" s="22">
        <f t="shared" si="276"/>
        <v>0.59887750385774552</v>
      </c>
      <c r="X3508" s="33"/>
      <c r="Y3508" s="33"/>
    </row>
    <row r="3509" spans="1:25" x14ac:dyDescent="0.2">
      <c r="A3509" s="93" t="s">
        <v>1862</v>
      </c>
      <c r="B3509" s="94" t="str">
        <f>IFERROR(VLOOKUP($A3509,HeadJournal!$A$1:$NTR$890,COLUMN(HeadJournal!B$1),0),"")</f>
        <v>720000260354</v>
      </c>
      <c r="C3509" s="94" t="str">
        <f>IFERROR(VLOOKUP($A3509,HeadJournal!$A$1:$NTR$890,COLUMN(HeadJournal!C$1),0),"")</f>
        <v>iHerb_OA CZN6870</v>
      </c>
      <c r="D3509" s="125" t="str">
        <f>IFERROR(VLOOKUP($A3509,HeadJournal!$A$1:$NTR$890,COLUMN(HeadJournal!D$1),0),"")</f>
        <v>Доставлен</v>
      </c>
      <c r="E3509" s="95">
        <f>IFERROR(VLOOKUP($A3509,HeadJournal!$A$1:$NTR$890,COLUMN(HeadJournal!G$1),0),"")</f>
        <v>45453</v>
      </c>
      <c r="F3509" s="95" t="str">
        <f t="shared" si="277"/>
        <v>2024 06</v>
      </c>
      <c r="G3509" s="96" t="s">
        <v>5</v>
      </c>
      <c r="H3509" s="160" t="str">
        <f>RIGHT(Journal!$J3509,9)</f>
        <v>NOW-03092</v>
      </c>
      <c r="I3509" s="127" t="str">
        <f t="shared" si="274"/>
        <v>NOW Foods</v>
      </c>
      <c r="J3509" s="97" t="s">
        <v>1865</v>
      </c>
      <c r="K3509" s="29">
        <v>15.02</v>
      </c>
      <c r="L3509" s="29">
        <v>-3</v>
      </c>
      <c r="M3509" s="30">
        <f>IFERROR(VLOOKUP($A3509,HeadJournal!$A$1:$J$890,COLUMN(HeadJournal!I$1),0)*($K3509+$L3509)/(SUMIF($A:$A,$A3509,$K:$K)+SUMIF($A:$A,$A3509,$L:$L)),0)</f>
        <v>-0.70854990962040576</v>
      </c>
      <c r="N3509" s="30">
        <f>IFERROR((VLOOKUP($A3509,HeadJournal!$A$1:$K$890,COLUMN(HeadJournal!K$1),0)-VLOOKUP($A3509,HeadJournal!$A$1:$K$890,COLUMN(HeadJournal!J$1),0))*($K3509+$L3509)/(SUMIF($A:$A,$A3509,$K:$K)+SUMIF($A:$A,$A3509,$L:$L)),0)</f>
        <v>0</v>
      </c>
      <c r="O3509" s="30">
        <f>IFERROR((VLOOKUP($A3509,HeadJournal!$A$1:$L$890,COLUMN(HeadJournal!L$1),0)*($K3509+$L3509)/(SUMIF($A:$A,$A3509,$K:$K)+SUMIF($A:$A,$A3509,$L:$L)))/VLOOKUP($A3509,HeadJournal!$A$1:$L$890,COLUMN(HeadJournal!H$1),0),0)</f>
        <v>0.65494980704345107</v>
      </c>
      <c r="P3509" s="30">
        <f>IFERROR(SUM(K3509:O3509)*VLOOKUP($A3509,HeadJournal!$A$1:$L$890,COLUMN(HeadJournal!H$1),0),0)</f>
        <v>1225.7240495079334</v>
      </c>
      <c r="Q3509" s="29">
        <v>2000</v>
      </c>
      <c r="R3509" s="31">
        <v>45756</v>
      </c>
      <c r="S3509" s="31" t="s">
        <v>3121</v>
      </c>
      <c r="T3509" s="95" t="str">
        <f t="shared" si="278"/>
        <v>2025 04</v>
      </c>
      <c r="U3509" s="32">
        <f t="shared" si="275"/>
        <v>774.27595049206661</v>
      </c>
      <c r="V3509" s="22">
        <f t="shared" si="276"/>
        <v>0.63168863399792108</v>
      </c>
      <c r="X3509" s="33"/>
      <c r="Y3509" s="33"/>
    </row>
    <row r="3510" spans="1:25" x14ac:dyDescent="0.2">
      <c r="A3510" s="93" t="s">
        <v>1862</v>
      </c>
      <c r="B3510" s="94" t="str">
        <f>IFERROR(VLOOKUP($A3510,HeadJournal!$A$1:$NTR$890,COLUMN(HeadJournal!B$1),0),"")</f>
        <v>720000260354</v>
      </c>
      <c r="C3510" s="94" t="str">
        <f>IFERROR(VLOOKUP($A3510,HeadJournal!$A$1:$NTR$890,COLUMN(HeadJournal!C$1),0),"")</f>
        <v>iHerb_OA CZN6870</v>
      </c>
      <c r="D3510" s="125" t="str">
        <f>IFERROR(VLOOKUP($A3510,HeadJournal!$A$1:$NTR$890,COLUMN(HeadJournal!D$1),0),"")</f>
        <v>Доставлен</v>
      </c>
      <c r="E3510" s="95">
        <f>IFERROR(VLOOKUP($A3510,HeadJournal!$A$1:$NTR$890,COLUMN(HeadJournal!G$1),0),"")</f>
        <v>45453</v>
      </c>
      <c r="F3510" s="95" t="str">
        <f t="shared" si="277"/>
        <v>2024 06</v>
      </c>
      <c r="G3510" s="96" t="s">
        <v>5</v>
      </c>
      <c r="H3510" s="160" t="str">
        <f>RIGHT(Journal!$J3510,9)</f>
        <v>NOW-00106</v>
      </c>
      <c r="I3510" s="127" t="str">
        <f t="shared" si="274"/>
        <v>NOW Foods</v>
      </c>
      <c r="J3510" s="97" t="s">
        <v>775</v>
      </c>
      <c r="K3510" s="29">
        <v>20.54</v>
      </c>
      <c r="L3510" s="29">
        <v>-4.1100000000000003</v>
      </c>
      <c r="M3510" s="30">
        <f>IFERROR(VLOOKUP($A3510,HeadJournal!$A$1:$J$890,COLUMN(HeadJournal!I$1),0)*($K3510+$L3510)/(SUMIF($A:$A,$A3510,$K:$K)+SUMIF($A:$A,$A3510,$L:$L)),0)</f>
        <v>-0.96850873669411541</v>
      </c>
      <c r="N3510" s="30">
        <f>IFERROR((VLOOKUP($A3510,HeadJournal!$A$1:$K$890,COLUMN(HeadJournal!K$1),0)-VLOOKUP($A3510,HeadJournal!$A$1:$K$890,COLUMN(HeadJournal!J$1),0))*($K3510+$L3510)/(SUMIF($A:$A,$A3510,$K:$K)+SUMIF($A:$A,$A3510,$L:$L)),0)</f>
        <v>0</v>
      </c>
      <c r="O3510" s="30">
        <f>IFERROR((VLOOKUP($A3510,HeadJournal!$A$1:$L$890,COLUMN(HeadJournal!L$1),0)*($K3510+$L3510)/(SUMIF($A:$A,$A3510,$K:$K)+SUMIF($A:$A,$A3510,$L:$L)))/VLOOKUP($A3510,HeadJournal!$A$1:$L$890,COLUMN(HeadJournal!H$1),0),0)</f>
        <v>0.89524337185722969</v>
      </c>
      <c r="P3510" s="30">
        <f>IFERROR(SUM(K3510:O3510)*VLOOKUP($A3510,HeadJournal!$A$1:$L$890,COLUMN(HeadJournal!H$1),0),0)</f>
        <v>1675.4281308997793</v>
      </c>
      <c r="Q3510" s="29">
        <v>2500</v>
      </c>
      <c r="R3510" s="31">
        <v>45481</v>
      </c>
      <c r="S3510" s="31" t="s">
        <v>3121</v>
      </c>
      <c r="T3510" s="95" t="str">
        <f t="shared" si="278"/>
        <v>2024 07</v>
      </c>
      <c r="U3510" s="32">
        <f t="shared" si="275"/>
        <v>824.57186910022074</v>
      </c>
      <c r="V3510" s="22">
        <f t="shared" si="276"/>
        <v>0.49215591757874394</v>
      </c>
      <c r="X3510" s="33"/>
      <c r="Y3510" s="33"/>
    </row>
    <row r="3511" spans="1:25" x14ac:dyDescent="0.2">
      <c r="A3511" s="93" t="s">
        <v>1862</v>
      </c>
      <c r="B3511" s="94" t="str">
        <f>IFERROR(VLOOKUP($A3511,HeadJournal!$A$1:$NTR$890,COLUMN(HeadJournal!B$1),0),"")</f>
        <v>720000260354</v>
      </c>
      <c r="C3511" s="94" t="str">
        <f>IFERROR(VLOOKUP($A3511,HeadJournal!$A$1:$NTR$890,COLUMN(HeadJournal!C$1),0),"")</f>
        <v>iHerb_OA CZN6870</v>
      </c>
      <c r="D3511" s="125" t="str">
        <f>IFERROR(VLOOKUP($A3511,HeadJournal!$A$1:$NTR$890,COLUMN(HeadJournal!D$1),0),"")</f>
        <v>Доставлен</v>
      </c>
      <c r="E3511" s="95">
        <f>IFERROR(VLOOKUP($A3511,HeadJournal!$A$1:$NTR$890,COLUMN(HeadJournal!G$1),0),"")</f>
        <v>45453</v>
      </c>
      <c r="F3511" s="95" t="str">
        <f t="shared" si="277"/>
        <v>2024 06</v>
      </c>
      <c r="G3511" s="96" t="s">
        <v>5</v>
      </c>
      <c r="H3511" s="160" t="str">
        <f>RIGHT(Journal!$J3511,9)</f>
        <v>NOW-00106</v>
      </c>
      <c r="I3511" s="127" t="str">
        <f t="shared" ref="I3511:I3574" si="279">IFERROR(LEFT(J3511,FIND(",",J3511)-1),"")</f>
        <v>NOW Foods</v>
      </c>
      <c r="J3511" s="97" t="s">
        <v>775</v>
      </c>
      <c r="K3511" s="29">
        <v>20.54</v>
      </c>
      <c r="L3511" s="29">
        <v>-4.1100000000000003</v>
      </c>
      <c r="M3511" s="30">
        <f>IFERROR(VLOOKUP($A3511,HeadJournal!$A$1:$J$890,COLUMN(HeadJournal!I$1),0)*($K3511+$L3511)/(SUMIF($A:$A,$A3511,$K:$K)+SUMIF($A:$A,$A3511,$L:$L)),0)</f>
        <v>-0.96850873669411541</v>
      </c>
      <c r="N3511" s="30">
        <f>IFERROR((VLOOKUP($A3511,HeadJournal!$A$1:$K$890,COLUMN(HeadJournal!K$1),0)-VLOOKUP($A3511,HeadJournal!$A$1:$K$890,COLUMN(HeadJournal!J$1),0))*($K3511+$L3511)/(SUMIF($A:$A,$A3511,$K:$K)+SUMIF($A:$A,$A3511,$L:$L)),0)</f>
        <v>0</v>
      </c>
      <c r="O3511" s="30">
        <f>IFERROR((VLOOKUP($A3511,HeadJournal!$A$1:$L$890,COLUMN(HeadJournal!L$1),0)*($K3511+$L3511)/(SUMIF($A:$A,$A3511,$K:$K)+SUMIF($A:$A,$A3511,$L:$L)))/VLOOKUP($A3511,HeadJournal!$A$1:$L$890,COLUMN(HeadJournal!H$1),0),0)</f>
        <v>0.89524337185722969</v>
      </c>
      <c r="P3511" s="30">
        <f>IFERROR(SUM(K3511:O3511)*VLOOKUP($A3511,HeadJournal!$A$1:$L$890,COLUMN(HeadJournal!H$1),0),0)</f>
        <v>1675.4281308997793</v>
      </c>
      <c r="Q3511" s="29">
        <v>2500</v>
      </c>
      <c r="R3511" s="31">
        <v>45481</v>
      </c>
      <c r="S3511" s="31" t="s">
        <v>3121</v>
      </c>
      <c r="T3511" s="95" t="str">
        <f t="shared" si="278"/>
        <v>2024 07</v>
      </c>
      <c r="U3511" s="32">
        <f t="shared" si="275"/>
        <v>824.57186910022074</v>
      </c>
      <c r="V3511" s="22">
        <f t="shared" si="276"/>
        <v>0.49215591757874394</v>
      </c>
      <c r="X3511" s="33"/>
      <c r="Y3511" s="33"/>
    </row>
    <row r="3512" spans="1:25" x14ac:dyDescent="0.2">
      <c r="A3512" s="93" t="s">
        <v>1862</v>
      </c>
      <c r="B3512" s="94" t="str">
        <f>IFERROR(VLOOKUP($A3512,HeadJournal!$A$1:$NTR$890,COLUMN(HeadJournal!B$1),0),"")</f>
        <v>720000260354</v>
      </c>
      <c r="C3512" s="94" t="str">
        <f>IFERROR(VLOOKUP($A3512,HeadJournal!$A$1:$NTR$890,COLUMN(HeadJournal!C$1),0),"")</f>
        <v>iHerb_OA CZN6870</v>
      </c>
      <c r="D3512" s="125" t="str">
        <f>IFERROR(VLOOKUP($A3512,HeadJournal!$A$1:$NTR$890,COLUMN(HeadJournal!D$1),0),"")</f>
        <v>Доставлен</v>
      </c>
      <c r="E3512" s="95">
        <f>IFERROR(VLOOKUP($A3512,HeadJournal!$A$1:$NTR$890,COLUMN(HeadJournal!G$1),0),"")</f>
        <v>45453</v>
      </c>
      <c r="F3512" s="95" t="str">
        <f t="shared" si="277"/>
        <v>2024 06</v>
      </c>
      <c r="G3512" s="96" t="s">
        <v>5</v>
      </c>
      <c r="H3512" s="161" t="s">
        <v>2639</v>
      </c>
      <c r="I3512" s="97" t="s">
        <v>2005</v>
      </c>
      <c r="J3512" s="97" t="s">
        <v>2640</v>
      </c>
      <c r="K3512" s="29">
        <v>20.03</v>
      </c>
      <c r="L3512" s="29">
        <v>-4.0049999999999999</v>
      </c>
      <c r="M3512" s="30">
        <f>IFERROR(VLOOKUP($A3512,HeadJournal!$A$1:$J$890,COLUMN(HeadJournal!I$1),0)*($K3512+$L3512)/(SUMIF($A:$A,$A3512,$K:$K)+SUMIF($A:$A,$A3512,$L:$L)),0)</f>
        <v>-0.94463496686081561</v>
      </c>
      <c r="N3512" s="30">
        <f>IFERROR((VLOOKUP($A3512,HeadJournal!$A$1:$K$890,COLUMN(HeadJournal!K$1),0)-VLOOKUP($A3512,HeadJournal!$A$1:$K$890,COLUMN(HeadJournal!J$1),0))*($K3512+$L3512)/(SUMIF($A:$A,$A3512,$K:$K)+SUMIF($A:$A,$A3512,$L:$L)),0)</f>
        <v>0</v>
      </c>
      <c r="O3512" s="30">
        <f>IFERROR((VLOOKUP($A3512,HeadJournal!$A$1:$L$890,COLUMN(HeadJournal!L$1),0)*($K3512+$L3512)/(SUMIF($A:$A,$A3512,$K:$K)+SUMIF($A:$A,$A3512,$L:$L)))/VLOOKUP($A3512,HeadJournal!$A$1:$L$890,COLUMN(HeadJournal!H$1),0),0)</f>
        <v>0.87317559549678081</v>
      </c>
      <c r="P3512" s="30">
        <f>IFERROR(SUM(K3512:O3512)*VLOOKUP($A3512,HeadJournal!$A$1:$L$890,COLUMN(HeadJournal!H$1),0),0)</f>
        <v>1634.1287764862425</v>
      </c>
      <c r="Q3512" s="29">
        <v>2500</v>
      </c>
      <c r="R3512" s="31">
        <v>45481</v>
      </c>
      <c r="S3512" s="31" t="s">
        <v>3121</v>
      </c>
      <c r="T3512" s="95" t="str">
        <f t="shared" si="278"/>
        <v>2024 07</v>
      </c>
      <c r="U3512" s="32">
        <f t="shared" si="275"/>
        <v>865.87122351375751</v>
      </c>
      <c r="V3512" s="22">
        <f t="shared" si="276"/>
        <v>0.52986719037870589</v>
      </c>
      <c r="X3512" s="33"/>
      <c r="Y3512" s="33"/>
    </row>
    <row r="3513" spans="1:25" x14ac:dyDescent="0.2">
      <c r="A3513" s="93" t="s">
        <v>1862</v>
      </c>
      <c r="B3513" s="94" t="str">
        <f>IFERROR(VLOOKUP($A3513,HeadJournal!$A$1:$NTR$890,COLUMN(HeadJournal!B$1),0),"")</f>
        <v>720000260354</v>
      </c>
      <c r="C3513" s="94" t="str">
        <f>IFERROR(VLOOKUP($A3513,HeadJournal!$A$1:$NTR$890,COLUMN(HeadJournal!C$1),0),"")</f>
        <v>iHerb_OA CZN6870</v>
      </c>
      <c r="D3513" s="125" t="str">
        <f>IFERROR(VLOOKUP($A3513,HeadJournal!$A$1:$NTR$890,COLUMN(HeadJournal!D$1),0),"")</f>
        <v>Доставлен</v>
      </c>
      <c r="E3513" s="95">
        <f>IFERROR(VLOOKUP($A3513,HeadJournal!$A$1:$NTR$890,COLUMN(HeadJournal!G$1),0),"")</f>
        <v>45453</v>
      </c>
      <c r="F3513" s="95" t="str">
        <f t="shared" si="277"/>
        <v>2024 06</v>
      </c>
      <c r="G3513" s="96" t="s">
        <v>5</v>
      </c>
      <c r="H3513" s="161" t="s">
        <v>2639</v>
      </c>
      <c r="I3513" s="97" t="s">
        <v>2005</v>
      </c>
      <c r="J3513" s="97" t="s">
        <v>2640</v>
      </c>
      <c r="K3513" s="29">
        <v>20.03</v>
      </c>
      <c r="L3513" s="29">
        <v>-4.0049999999999999</v>
      </c>
      <c r="M3513" s="30">
        <f>IFERROR(VLOOKUP($A3513,HeadJournal!$A$1:$J$890,COLUMN(HeadJournal!I$1),0)*($K3513+$L3513)/(SUMIF($A:$A,$A3513,$K:$K)+SUMIF($A:$A,$A3513,$L:$L)),0)</f>
        <v>-0.94463496686081561</v>
      </c>
      <c r="N3513" s="30">
        <f>IFERROR((VLOOKUP($A3513,HeadJournal!$A$1:$K$890,COLUMN(HeadJournal!K$1),0)-VLOOKUP($A3513,HeadJournal!$A$1:$K$890,COLUMN(HeadJournal!J$1),0))*($K3513+$L3513)/(SUMIF($A:$A,$A3513,$K:$K)+SUMIF($A:$A,$A3513,$L:$L)),0)</f>
        <v>0</v>
      </c>
      <c r="O3513" s="30">
        <f>IFERROR((VLOOKUP($A3513,HeadJournal!$A$1:$L$890,COLUMN(HeadJournal!L$1),0)*($K3513+$L3513)/(SUMIF($A:$A,$A3513,$K:$K)+SUMIF($A:$A,$A3513,$L:$L)))/VLOOKUP($A3513,HeadJournal!$A$1:$L$890,COLUMN(HeadJournal!H$1),0),0)</f>
        <v>0.87317559549678081</v>
      </c>
      <c r="P3513" s="30">
        <f>IFERROR(SUM(K3513:O3513)*VLOOKUP($A3513,HeadJournal!$A$1:$L$890,COLUMN(HeadJournal!H$1),0),0)</f>
        <v>1634.1287764862425</v>
      </c>
      <c r="Q3513" s="29">
        <v>2500</v>
      </c>
      <c r="R3513" s="31">
        <v>45481</v>
      </c>
      <c r="S3513" s="31" t="s">
        <v>3121</v>
      </c>
      <c r="T3513" s="95" t="str">
        <f t="shared" si="278"/>
        <v>2024 07</v>
      </c>
      <c r="U3513" s="32">
        <f t="shared" si="275"/>
        <v>865.87122351375751</v>
      </c>
      <c r="V3513" s="22">
        <f t="shared" si="276"/>
        <v>0.52986719037870589</v>
      </c>
      <c r="X3513" s="33"/>
      <c r="Y3513" s="33"/>
    </row>
    <row r="3514" spans="1:25" x14ac:dyDescent="0.2">
      <c r="A3514" s="93" t="s">
        <v>1862</v>
      </c>
      <c r="B3514" s="94" t="str">
        <f>IFERROR(VLOOKUP($A3514,HeadJournal!$A$1:$NTR$890,COLUMN(HeadJournal!B$1),0),"")</f>
        <v>720000260354</v>
      </c>
      <c r="C3514" s="94" t="str">
        <f>IFERROR(VLOOKUP($A3514,HeadJournal!$A$1:$NTR$890,COLUMN(HeadJournal!C$1),0),"")</f>
        <v>iHerb_OA CZN6870</v>
      </c>
      <c r="D3514" s="125" t="str">
        <f>IFERROR(VLOOKUP($A3514,HeadJournal!$A$1:$NTR$890,COLUMN(HeadJournal!D$1),0),"")</f>
        <v>Доставлен</v>
      </c>
      <c r="E3514" s="95">
        <f>IFERROR(VLOOKUP($A3514,HeadJournal!$A$1:$NTR$890,COLUMN(HeadJournal!G$1),0),"")</f>
        <v>45453</v>
      </c>
      <c r="F3514" s="95" t="str">
        <f t="shared" si="277"/>
        <v>2024 06</v>
      </c>
      <c r="G3514" s="96" t="s">
        <v>5</v>
      </c>
      <c r="H3514" s="160" t="str">
        <f>RIGHT(Journal!$J3514,9)</f>
        <v>CGN-02188</v>
      </c>
      <c r="I3514" s="127" t="str">
        <f t="shared" si="279"/>
        <v>California Gold Nutrition</v>
      </c>
      <c r="J3514" s="97" t="s">
        <v>1589</v>
      </c>
      <c r="K3514" s="29">
        <v>26.88</v>
      </c>
      <c r="L3514" s="29">
        <v>-25.88</v>
      </c>
      <c r="M3514" s="30">
        <f>IFERROR(VLOOKUP($A3514,HeadJournal!$A$1:$J$890,COLUMN(HeadJournal!I$1),0)*($K3514+$L3514)/(SUMIF($A:$A,$A3514,$K:$K)+SUMIF($A:$A,$A3514,$L:$L)),0)</f>
        <v>-5.8947579835308295E-2</v>
      </c>
      <c r="N3514" s="30">
        <f>IFERROR((VLOOKUP($A3514,HeadJournal!$A$1:$K$890,COLUMN(HeadJournal!K$1),0)-VLOOKUP($A3514,HeadJournal!$A$1:$K$890,COLUMN(HeadJournal!J$1),0))*($K3514+$L3514)/(SUMIF($A:$A,$A3514,$K:$K)+SUMIF($A:$A,$A3514,$L:$L)),0)</f>
        <v>0</v>
      </c>
      <c r="O3514" s="30">
        <f>IFERROR((VLOOKUP($A3514,HeadJournal!$A$1:$L$890,COLUMN(HeadJournal!L$1),0)*($K3514+$L3514)/(SUMIF($A:$A,$A3514,$K:$K)+SUMIF($A:$A,$A3514,$L:$L)))/VLOOKUP($A3514,HeadJournal!$A$1:$L$890,COLUMN(HeadJournal!H$1),0),0)</f>
        <v>5.4488336692466811E-2</v>
      </c>
      <c r="P3514" s="30">
        <f>IFERROR(SUM(K3514:O3514)*VLOOKUP($A3514,HeadJournal!$A$1:$L$890,COLUMN(HeadJournal!H$1),0),0)</f>
        <v>101.97371460132558</v>
      </c>
      <c r="Q3514" s="29"/>
      <c r="R3514" s="31"/>
      <c r="S3514" s="31"/>
      <c r="T3514" s="95" t="str">
        <f t="shared" si="278"/>
        <v/>
      </c>
      <c r="U3514" s="32">
        <f t="shared" si="275"/>
        <v>-101.97371460132558</v>
      </c>
      <c r="V3514" s="22" t="str">
        <f t="shared" si="276"/>
        <v/>
      </c>
      <c r="X3514" s="33"/>
      <c r="Y3514" s="33"/>
    </row>
    <row r="3515" spans="1:25" x14ac:dyDescent="0.2">
      <c r="A3515" s="93" t="s">
        <v>5544</v>
      </c>
      <c r="B3515" s="94">
        <f>IFERROR(VLOOKUP($A3515,HeadJournal!$A$1:$NTR$890,COLUMN(HeadJournal!B$1),0),"")</f>
        <v>0</v>
      </c>
      <c r="C3515" s="94" t="str">
        <f>IFERROR(VLOOKUP($A3515,HeadJournal!$A$1:$NTR$890,COLUMN(HeadJournal!C$1),0),"")</f>
        <v>OZON_AV</v>
      </c>
      <c r="D3515" s="125" t="str">
        <f>IFERROR(VLOOKUP($A3515,HeadJournal!$A$1:$NTR$890,COLUMN(HeadJournal!D$1),0),"")</f>
        <v>Доставлен</v>
      </c>
      <c r="E3515" s="95">
        <f>IFERROR(VLOOKUP($A3515,HeadJournal!$A$1:$NTR$890,COLUMN(HeadJournal!G$1),0),"")</f>
        <v>45458</v>
      </c>
      <c r="F3515" s="95" t="str">
        <f t="shared" si="277"/>
        <v>2024 06</v>
      </c>
      <c r="G3515" s="96" t="s">
        <v>6</v>
      </c>
      <c r="H3515" s="160" t="str">
        <f>RIGHT(Journal!$J3515,9)</f>
        <v>222137992</v>
      </c>
      <c r="I3515" s="96" t="str">
        <f t="shared" si="279"/>
        <v>Scitec Nutrition</v>
      </c>
      <c r="J3515" s="97" t="s">
        <v>1867</v>
      </c>
      <c r="K3515" s="29">
        <v>2212</v>
      </c>
      <c r="L3515" s="29"/>
      <c r="M3515" s="30">
        <f>IFERROR(VLOOKUP($A3515,HeadJournal!$A$1:$J$890,COLUMN(HeadJournal!I$1),0)*($K3515+$L3515)/(SUMIF($A:$A,$A3515,$K:$K)+SUMIF($A:$A,$A3515,$L:$L)),0)</f>
        <v>0</v>
      </c>
      <c r="N3515" s="30">
        <f>IFERROR((VLOOKUP($A3515,HeadJournal!$A$1:$K$890,COLUMN(HeadJournal!K$1),0)-VLOOKUP($A3515,HeadJournal!$A$1:$K$890,COLUMN(HeadJournal!J$1),0))*($K3515+$L3515)/(SUMIF($A:$A,$A3515,$K:$K)+SUMIF($A:$A,$A3515,$L:$L)),0)</f>
        <v>0</v>
      </c>
      <c r="O3515" s="30">
        <f>IFERROR((VLOOKUP($A3515,HeadJournal!$A$1:$L$890,COLUMN(HeadJournal!L$1),0)*($K3515+$L3515)/(SUMIF($A:$A,$A3515,$K:$K)+SUMIF($A:$A,$A3515,$L:$L)))/VLOOKUP($A3515,HeadJournal!$A$1:$L$890,COLUMN(HeadJournal!H$1),0),0)</f>
        <v>0</v>
      </c>
      <c r="P3515" s="30">
        <f>IFERROR(SUM(K3515:O3515)*VLOOKUP($A3515,HeadJournal!$A$1:$L$890,COLUMN(HeadJournal!H$1),0),0)</f>
        <v>2212</v>
      </c>
      <c r="Q3515" s="29">
        <v>3200</v>
      </c>
      <c r="R3515" s="31">
        <v>45465</v>
      </c>
      <c r="S3515" s="31" t="s">
        <v>3121</v>
      </c>
      <c r="T3515" s="95" t="str">
        <f t="shared" si="278"/>
        <v>2024 06</v>
      </c>
      <c r="U3515" s="32">
        <f t="shared" si="275"/>
        <v>988</v>
      </c>
      <c r="V3515" s="22">
        <f t="shared" si="276"/>
        <v>0.44665461121157324</v>
      </c>
      <c r="X3515" s="33"/>
      <c r="Y3515" s="33"/>
    </row>
    <row r="3516" spans="1:25" x14ac:dyDescent="0.2">
      <c r="A3516" s="93" t="s">
        <v>5544</v>
      </c>
      <c r="B3516" s="94">
        <f>IFERROR(VLOOKUP($A3516,HeadJournal!$A$1:$NTR$890,COLUMN(HeadJournal!B$1),0),"")</f>
        <v>0</v>
      </c>
      <c r="C3516" s="94" t="str">
        <f>IFERROR(VLOOKUP($A3516,HeadJournal!$A$1:$NTR$890,COLUMN(HeadJournal!C$1),0),"")</f>
        <v>OZON_AV</v>
      </c>
      <c r="D3516" s="125" t="str">
        <f>IFERROR(VLOOKUP($A3516,HeadJournal!$A$1:$NTR$890,COLUMN(HeadJournal!D$1),0),"")</f>
        <v>Доставлен</v>
      </c>
      <c r="E3516" s="95">
        <f>IFERROR(VLOOKUP($A3516,HeadJournal!$A$1:$NTR$890,COLUMN(HeadJournal!G$1),0),"")</f>
        <v>45458</v>
      </c>
      <c r="F3516" s="95" t="str">
        <f t="shared" si="277"/>
        <v>2024 06</v>
      </c>
      <c r="G3516" s="96" t="s">
        <v>6</v>
      </c>
      <c r="H3516" s="160" t="str">
        <f>RIGHT(Journal!$J3516,9)</f>
        <v>222313138</v>
      </c>
      <c r="I3516" s="96" t="str">
        <f t="shared" si="279"/>
        <v>Scitec Nutrition</v>
      </c>
      <c r="J3516" s="97" t="s">
        <v>1868</v>
      </c>
      <c r="K3516" s="29">
        <v>2212</v>
      </c>
      <c r="L3516" s="29"/>
      <c r="M3516" s="30">
        <f>IFERROR(VLOOKUP($A3516,HeadJournal!$A$1:$J$890,COLUMN(HeadJournal!I$1),0)*($K3516+$L3516)/(SUMIF($A:$A,$A3516,$K:$K)+SUMIF($A:$A,$A3516,$L:$L)),0)</f>
        <v>0</v>
      </c>
      <c r="N3516" s="30">
        <f>IFERROR((VLOOKUP($A3516,HeadJournal!$A$1:$K$890,COLUMN(HeadJournal!K$1),0)-VLOOKUP($A3516,HeadJournal!$A$1:$K$890,COLUMN(HeadJournal!J$1),0))*($K3516+$L3516)/(SUMIF($A:$A,$A3516,$K:$K)+SUMIF($A:$A,$A3516,$L:$L)),0)</f>
        <v>0</v>
      </c>
      <c r="O3516" s="30">
        <f>IFERROR((VLOOKUP($A3516,HeadJournal!$A$1:$L$890,COLUMN(HeadJournal!L$1),0)*($K3516+$L3516)/(SUMIF($A:$A,$A3516,$K:$K)+SUMIF($A:$A,$A3516,$L:$L)))/VLOOKUP($A3516,HeadJournal!$A$1:$L$890,COLUMN(HeadJournal!H$1),0),0)</f>
        <v>0</v>
      </c>
      <c r="P3516" s="30">
        <f>IFERROR(SUM(K3516:O3516)*VLOOKUP($A3516,HeadJournal!$A$1:$L$890,COLUMN(HeadJournal!H$1),0),0)</f>
        <v>2212</v>
      </c>
      <c r="Q3516" s="29">
        <v>3200</v>
      </c>
      <c r="R3516" s="31">
        <v>45465</v>
      </c>
      <c r="S3516" s="31" t="s">
        <v>3121</v>
      </c>
      <c r="T3516" s="95" t="str">
        <f t="shared" si="278"/>
        <v>2024 06</v>
      </c>
      <c r="U3516" s="32">
        <f t="shared" si="275"/>
        <v>988</v>
      </c>
      <c r="V3516" s="22">
        <f t="shared" si="276"/>
        <v>0.44665461121157324</v>
      </c>
      <c r="X3516" s="33"/>
      <c r="Y3516" s="33"/>
    </row>
    <row r="3517" spans="1:25" x14ac:dyDescent="0.2">
      <c r="A3517" s="93" t="s">
        <v>5544</v>
      </c>
      <c r="B3517" s="94">
        <f>IFERROR(VLOOKUP($A3517,HeadJournal!$A$1:$NTR$890,COLUMN(HeadJournal!B$1),0),"")</f>
        <v>0</v>
      </c>
      <c r="C3517" s="94" t="str">
        <f>IFERROR(VLOOKUP($A3517,HeadJournal!$A$1:$NTR$890,COLUMN(HeadJournal!C$1),0),"")</f>
        <v>OZON_AV</v>
      </c>
      <c r="D3517" s="125" t="str">
        <f>IFERROR(VLOOKUP($A3517,HeadJournal!$A$1:$NTR$890,COLUMN(HeadJournal!D$1),0),"")</f>
        <v>Доставлен</v>
      </c>
      <c r="E3517" s="95">
        <f>IFERROR(VLOOKUP($A3517,HeadJournal!$A$1:$NTR$890,COLUMN(HeadJournal!G$1),0),"")</f>
        <v>45458</v>
      </c>
      <c r="F3517" s="95" t="str">
        <f t="shared" si="277"/>
        <v>2024 06</v>
      </c>
      <c r="G3517" s="96" t="s">
        <v>6</v>
      </c>
      <c r="H3517" s="160" t="str">
        <f>RIGHT(Journal!$J3517,9)</f>
        <v>334134910</v>
      </c>
      <c r="I3517" s="96" t="str">
        <f t="shared" si="279"/>
        <v>Scitec Nutrition</v>
      </c>
      <c r="J3517" s="97" t="s">
        <v>1869</v>
      </c>
      <c r="K3517" s="29">
        <v>2212</v>
      </c>
      <c r="L3517" s="29"/>
      <c r="M3517" s="30">
        <f>IFERROR(VLOOKUP($A3517,HeadJournal!$A$1:$J$890,COLUMN(HeadJournal!I$1),0)*($K3517+$L3517)/(SUMIF($A:$A,$A3517,$K:$K)+SUMIF($A:$A,$A3517,$L:$L)),0)</f>
        <v>0</v>
      </c>
      <c r="N3517" s="30">
        <f>IFERROR((VLOOKUP($A3517,HeadJournal!$A$1:$K$890,COLUMN(HeadJournal!K$1),0)-VLOOKUP($A3517,HeadJournal!$A$1:$K$890,COLUMN(HeadJournal!J$1),0))*($K3517+$L3517)/(SUMIF($A:$A,$A3517,$K:$K)+SUMIF($A:$A,$A3517,$L:$L)),0)</f>
        <v>0</v>
      </c>
      <c r="O3517" s="30">
        <f>IFERROR((VLOOKUP($A3517,HeadJournal!$A$1:$L$890,COLUMN(HeadJournal!L$1),0)*($K3517+$L3517)/(SUMIF($A:$A,$A3517,$K:$K)+SUMIF($A:$A,$A3517,$L:$L)))/VLOOKUP($A3517,HeadJournal!$A$1:$L$890,COLUMN(HeadJournal!H$1),0),0)</f>
        <v>0</v>
      </c>
      <c r="P3517" s="30">
        <f>IFERROR(SUM(K3517:O3517)*VLOOKUP($A3517,HeadJournal!$A$1:$L$890,COLUMN(HeadJournal!H$1),0),0)</f>
        <v>2212</v>
      </c>
      <c r="Q3517" s="29">
        <v>3200</v>
      </c>
      <c r="R3517" s="31">
        <v>45509</v>
      </c>
      <c r="S3517" s="31" t="s">
        <v>3121</v>
      </c>
      <c r="T3517" s="95" t="str">
        <f t="shared" si="278"/>
        <v>2024 08</v>
      </c>
      <c r="U3517" s="32">
        <f t="shared" si="275"/>
        <v>988</v>
      </c>
      <c r="V3517" s="22">
        <f t="shared" si="276"/>
        <v>0.44665461121157324</v>
      </c>
      <c r="X3517" s="33"/>
      <c r="Y3517" s="33"/>
    </row>
    <row r="3518" spans="1:25" x14ac:dyDescent="0.2">
      <c r="A3518" s="93" t="s">
        <v>5634</v>
      </c>
      <c r="B3518" s="94">
        <f>IFERROR(VLOOKUP($A3518,HeadJournal!$A$1:$NTR$890,COLUMN(HeadJournal!B$1),0),"")</f>
        <v>0</v>
      </c>
      <c r="C3518" s="94" t="str">
        <f>IFERROR(VLOOKUP($A3518,HeadJournal!$A$1:$NTR$890,COLUMN(HeadJournal!C$1),0),"")</f>
        <v>OZON_AV</v>
      </c>
      <c r="D3518" s="125" t="str">
        <f>IFERROR(VLOOKUP($A3518,HeadJournal!$A$1:$NTR$890,COLUMN(HeadJournal!D$1),0),"")</f>
        <v>Доставлен</v>
      </c>
      <c r="E3518" s="95">
        <f>IFERROR(VLOOKUP($A3518,HeadJournal!$A$1:$NTR$890,COLUMN(HeadJournal!G$1),0),"")</f>
        <v>45459</v>
      </c>
      <c r="F3518" s="95" t="str">
        <f t="shared" si="277"/>
        <v>2024 06</v>
      </c>
      <c r="G3518" s="96" t="s">
        <v>6</v>
      </c>
      <c r="H3518" s="160" t="str">
        <f>RIGHT(Journal!$J3518,9)</f>
        <v>222313138</v>
      </c>
      <c r="I3518" s="96" t="str">
        <f t="shared" si="279"/>
        <v>Scitec Nutrition</v>
      </c>
      <c r="J3518" s="97" t="s">
        <v>1868</v>
      </c>
      <c r="K3518" s="29">
        <v>2200</v>
      </c>
      <c r="L3518" s="29"/>
      <c r="M3518" s="30">
        <f>IFERROR(VLOOKUP($A3518,HeadJournal!$A$1:$J$890,COLUMN(HeadJournal!I$1),0)*($K3518+$L3518)/(SUMIF($A:$A,$A3518,$K:$K)+SUMIF($A:$A,$A3518,$L:$L)),0)</f>
        <v>0</v>
      </c>
      <c r="N3518" s="30">
        <f>IFERROR((VLOOKUP($A3518,HeadJournal!$A$1:$K$890,COLUMN(HeadJournal!K$1),0)-VLOOKUP($A3518,HeadJournal!$A$1:$K$890,COLUMN(HeadJournal!J$1),0))*($K3518+$L3518)/(SUMIF($A:$A,$A3518,$K:$K)+SUMIF($A:$A,$A3518,$L:$L)),0)</f>
        <v>0</v>
      </c>
      <c r="O3518" s="30">
        <f>IFERROR((VLOOKUP($A3518,HeadJournal!$A$1:$L$890,COLUMN(HeadJournal!L$1),0)*($K3518+$L3518)/(SUMIF($A:$A,$A3518,$K:$K)+SUMIF($A:$A,$A3518,$L:$L)))/VLOOKUP($A3518,HeadJournal!$A$1:$L$890,COLUMN(HeadJournal!H$1),0),0)</f>
        <v>0</v>
      </c>
      <c r="P3518" s="30">
        <f>IFERROR(SUM(K3518:O3518)*VLOOKUP($A3518,HeadJournal!$A$1:$L$890,COLUMN(HeadJournal!H$1),0),0)</f>
        <v>2200</v>
      </c>
      <c r="Q3518" s="29">
        <v>3200</v>
      </c>
      <c r="R3518" s="31">
        <v>45465</v>
      </c>
      <c r="S3518" s="31" t="s">
        <v>3121</v>
      </c>
      <c r="T3518" s="95" t="str">
        <f t="shared" si="278"/>
        <v>2024 06</v>
      </c>
      <c r="U3518" s="32">
        <f t="shared" si="275"/>
        <v>1000</v>
      </c>
      <c r="V3518" s="22">
        <f t="shared" si="276"/>
        <v>0.45454545454545453</v>
      </c>
      <c r="X3518" s="33"/>
      <c r="Y3518" s="33"/>
    </row>
    <row r="3519" spans="1:25" x14ac:dyDescent="0.2">
      <c r="A3519" s="93" t="s">
        <v>1871</v>
      </c>
      <c r="B3519" s="94">
        <f>IFERROR(VLOOKUP($A3519,HeadJournal!$A$1:$NTR$890,COLUMN(HeadJournal!B$1),0),"")</f>
        <v>0</v>
      </c>
      <c r="C3519" s="94" t="str">
        <f>IFERROR(VLOOKUP($A3519,HeadJournal!$A$1:$NTR$890,COLUMN(HeadJournal!C$1),0),"")</f>
        <v>OZON_AV</v>
      </c>
      <c r="D3519" s="125" t="str">
        <f>IFERROR(VLOOKUP($A3519,HeadJournal!$A$1:$NTR$890,COLUMN(HeadJournal!D$1),0),"")</f>
        <v>Доставлен</v>
      </c>
      <c r="E3519" s="95">
        <f>IFERROR(VLOOKUP($A3519,HeadJournal!$A$1:$NTR$890,COLUMN(HeadJournal!G$1),0),"")</f>
        <v>45447</v>
      </c>
      <c r="F3519" s="95" t="str">
        <f t="shared" si="277"/>
        <v>2024 06</v>
      </c>
      <c r="G3519" s="96" t="s">
        <v>6</v>
      </c>
      <c r="H3519" s="160" t="s">
        <v>3617</v>
      </c>
      <c r="I3519" s="96" t="str">
        <f t="shared" si="279"/>
        <v>Kulak</v>
      </c>
      <c r="J3519" s="97" t="s">
        <v>1872</v>
      </c>
      <c r="K3519" s="29">
        <v>11753</v>
      </c>
      <c r="L3519" s="29"/>
      <c r="M3519" s="30">
        <f>IFERROR(VLOOKUP($A3519,HeadJournal!$A$1:$J$890,COLUMN(HeadJournal!I$1),0)*($K3519+$L3519)/(SUMIF($A:$A,$A3519,$K:$K)+SUMIF($A:$A,$A3519,$L:$L)),0)</f>
        <v>0</v>
      </c>
      <c r="N3519" s="30">
        <f>IFERROR((VLOOKUP($A3519,HeadJournal!$A$1:$K$890,COLUMN(HeadJournal!K$1),0)-VLOOKUP($A3519,HeadJournal!$A$1:$K$890,COLUMN(HeadJournal!J$1),0))*($K3519+$L3519)/(SUMIF($A:$A,$A3519,$K:$K)+SUMIF($A:$A,$A3519,$L:$L)),0)</f>
        <v>0</v>
      </c>
      <c r="O3519" s="30">
        <f>IFERROR((VLOOKUP($A3519,HeadJournal!$A$1:$L$890,COLUMN(HeadJournal!L$1),0)*($K3519+$L3519)/(SUMIF($A:$A,$A3519,$K:$K)+SUMIF($A:$A,$A3519,$L:$L)))/VLOOKUP($A3519,HeadJournal!$A$1:$L$890,COLUMN(HeadJournal!H$1),0),0)</f>
        <v>541</v>
      </c>
      <c r="P3519" s="30">
        <f>IFERROR(SUM(K3519:O3519)*VLOOKUP($A3519,HeadJournal!$A$1:$L$890,COLUMN(HeadJournal!H$1),0),0)</f>
        <v>12294</v>
      </c>
      <c r="Q3519" s="29">
        <v>15850</v>
      </c>
      <c r="R3519" s="31">
        <v>45465</v>
      </c>
      <c r="S3519" s="31" t="s">
        <v>3121</v>
      </c>
      <c r="T3519" s="95" t="str">
        <f t="shared" si="278"/>
        <v>2024 06</v>
      </c>
      <c r="U3519" s="32">
        <f t="shared" si="275"/>
        <v>3556</v>
      </c>
      <c r="V3519" s="22">
        <f t="shared" si="276"/>
        <v>0.28924678705059381</v>
      </c>
      <c r="X3519" s="33"/>
      <c r="Y3519" s="33"/>
    </row>
    <row r="3520" spans="1:25" x14ac:dyDescent="0.2">
      <c r="A3520" s="93" t="s">
        <v>1873</v>
      </c>
      <c r="B3520" s="94">
        <f>IFERROR(VLOOKUP($A3520,HeadJournal!$A$1:$NTR$890,COLUMN(HeadJournal!B$1),0),"")</f>
        <v>0</v>
      </c>
      <c r="C3520" s="94" t="str">
        <f>IFERROR(VLOOKUP($A3520,HeadJournal!$A$1:$NTR$890,COLUMN(HeadJournal!C$1),0),"")</f>
        <v>OZON_OA</v>
      </c>
      <c r="D3520" s="125" t="str">
        <f>IFERROR(VLOOKUP($A3520,HeadJournal!$A$1:$NTR$890,COLUMN(HeadJournal!D$1),0),"")</f>
        <v>Доставлен</v>
      </c>
      <c r="E3520" s="95">
        <f>IFERROR(VLOOKUP($A3520,HeadJournal!$A$1:$NTR$890,COLUMN(HeadJournal!G$1),0),"")</f>
        <v>45460</v>
      </c>
      <c r="F3520" s="95" t="str">
        <f t="shared" si="277"/>
        <v>2024 06</v>
      </c>
      <c r="G3520" s="96" t="s">
        <v>5</v>
      </c>
      <c r="H3520" s="161" t="s">
        <v>2790</v>
      </c>
      <c r="I3520" s="97" t="s">
        <v>2666</v>
      </c>
      <c r="J3520" s="97" t="s">
        <v>4139</v>
      </c>
      <c r="K3520" s="29">
        <v>944</v>
      </c>
      <c r="L3520" s="29">
        <v>0</v>
      </c>
      <c r="M3520" s="30">
        <f>IFERROR(VLOOKUP($A3520,HeadJournal!$A$1:$J$890,COLUMN(HeadJournal!I$1),0)*($K3520+$L3520)/(SUMIF($A:$A,$A3520,$K:$K)+SUMIF($A:$A,$A3520,$L:$L)),0)</f>
        <v>0</v>
      </c>
      <c r="N3520" s="30">
        <f>IFERROR((VLOOKUP($A3520,HeadJournal!$A$1:$K$890,COLUMN(HeadJournal!K$1),0)-VLOOKUP($A3520,HeadJournal!$A$1:$K$890,COLUMN(HeadJournal!J$1),0))*($K3520+$L3520)/(SUMIF($A:$A,$A3520,$K:$K)+SUMIF($A:$A,$A3520,$L:$L)),0)</f>
        <v>0</v>
      </c>
      <c r="O3520" s="30">
        <f>IFERROR((VLOOKUP($A3520,HeadJournal!$A$1:$L$890,COLUMN(HeadJournal!L$1),0)*($K3520+$L3520)/(SUMIF($A:$A,$A3520,$K:$K)+SUMIF($A:$A,$A3520,$L:$L)))/VLOOKUP($A3520,HeadJournal!$A$1:$L$890,COLUMN(HeadJournal!H$1),0),0)</f>
        <v>0</v>
      </c>
      <c r="P3520" s="30">
        <f>IFERROR(SUM(K3520:O3520)*VLOOKUP($A3520,HeadJournal!$A$1:$L$890,COLUMN(HeadJournal!H$1),0),0)</f>
        <v>944</v>
      </c>
      <c r="Q3520" s="29">
        <v>1600</v>
      </c>
      <c r="R3520" s="31">
        <v>45507</v>
      </c>
      <c r="S3520" s="31" t="s">
        <v>3121</v>
      </c>
      <c r="T3520" s="95" t="str">
        <f t="shared" si="278"/>
        <v>2024 08</v>
      </c>
      <c r="U3520" s="32">
        <f t="shared" si="275"/>
        <v>656</v>
      </c>
      <c r="V3520" s="22">
        <f t="shared" si="276"/>
        <v>0.69491525423728817</v>
      </c>
      <c r="X3520" s="33"/>
      <c r="Y3520" s="33"/>
    </row>
    <row r="3521" spans="1:25" x14ac:dyDescent="0.2">
      <c r="A3521" s="93" t="s">
        <v>1874</v>
      </c>
      <c r="B3521" s="94">
        <f>IFERROR(VLOOKUP($A3521,HeadJournal!$A$1:$NTR$890,COLUMN(HeadJournal!B$1),0),"")</f>
        <v>0</v>
      </c>
      <c r="C3521" s="94" t="str">
        <f>IFERROR(VLOOKUP($A3521,HeadJournal!$A$1:$NTR$890,COLUMN(HeadJournal!C$1),0),"")</f>
        <v>OZON_OA</v>
      </c>
      <c r="D3521" s="125" t="str">
        <f>IFERROR(VLOOKUP($A3521,HeadJournal!$A$1:$NTR$890,COLUMN(HeadJournal!D$1),0),"")</f>
        <v>Доставлен</v>
      </c>
      <c r="E3521" s="95">
        <f>IFERROR(VLOOKUP($A3521,HeadJournal!$A$1:$NTR$890,COLUMN(HeadJournal!G$1),0),"")</f>
        <v>45457</v>
      </c>
      <c r="F3521" s="95" t="str">
        <f t="shared" si="277"/>
        <v>2024 06</v>
      </c>
      <c r="G3521" s="96" t="s">
        <v>6</v>
      </c>
      <c r="H3521" s="160" t="str">
        <f>RIGHT(Journal!$J3521,9)</f>
        <v>670139565</v>
      </c>
      <c r="I3521" s="96" t="str">
        <f t="shared" si="279"/>
        <v>Tree of Life</v>
      </c>
      <c r="J3521" s="97" t="s">
        <v>1875</v>
      </c>
      <c r="K3521" s="29">
        <v>1938</v>
      </c>
      <c r="L3521" s="29"/>
      <c r="M3521" s="30">
        <f>IFERROR(VLOOKUP($A3521,HeadJournal!$A$1:$J$890,COLUMN(HeadJournal!I$1),0)*($K3521+$L3521)/(SUMIF($A:$A,$A3521,$K:$K)+SUMIF($A:$A,$A3521,$L:$L)),0)</f>
        <v>0</v>
      </c>
      <c r="N3521" s="30">
        <f>IFERROR((VLOOKUP($A3521,HeadJournal!$A$1:$K$890,COLUMN(HeadJournal!K$1),0)-VLOOKUP($A3521,HeadJournal!$A$1:$K$890,COLUMN(HeadJournal!J$1),0))*($K3521+$L3521)/(SUMIF($A:$A,$A3521,$K:$K)+SUMIF($A:$A,$A3521,$L:$L)),0)</f>
        <v>0</v>
      </c>
      <c r="O3521" s="30">
        <f>IFERROR((VLOOKUP($A3521,HeadJournal!$A$1:$L$890,COLUMN(HeadJournal!L$1),0)*($K3521+$L3521)/(SUMIF($A:$A,$A3521,$K:$K)+SUMIF($A:$A,$A3521,$L:$L)))/VLOOKUP($A3521,HeadJournal!$A$1:$L$890,COLUMN(HeadJournal!H$1),0),0)</f>
        <v>0</v>
      </c>
      <c r="P3521" s="30">
        <f>IFERROR(SUM(K3521:O3521)*VLOOKUP($A3521,HeadJournal!$A$1:$L$890,COLUMN(HeadJournal!H$1),0),0)</f>
        <v>1938</v>
      </c>
      <c r="Q3521" s="29">
        <v>2500</v>
      </c>
      <c r="R3521" s="31">
        <v>45480</v>
      </c>
      <c r="S3521" s="31" t="s">
        <v>3121</v>
      </c>
      <c r="T3521" s="95" t="str">
        <f t="shared" si="278"/>
        <v>2024 07</v>
      </c>
      <c r="U3521" s="32">
        <f t="shared" ref="U3521:U3584" si="280">Q3521-P3521</f>
        <v>562</v>
      </c>
      <c r="V3521" s="22">
        <f t="shared" ref="V3521:V3584" si="281">IF(Q3521&lt;&gt;0,IFERROR(U3521/P3521,""),"")</f>
        <v>0.28998968008255932</v>
      </c>
      <c r="X3521" s="33"/>
      <c r="Y3521" s="33"/>
    </row>
    <row r="3522" spans="1:25" x14ac:dyDescent="0.2">
      <c r="A3522" s="93" t="s">
        <v>1874</v>
      </c>
      <c r="B3522" s="94">
        <f>IFERROR(VLOOKUP($A3522,HeadJournal!$A$1:$NTR$890,COLUMN(HeadJournal!B$1),0),"")</f>
        <v>0</v>
      </c>
      <c r="C3522" s="94" t="str">
        <f>IFERROR(VLOOKUP($A3522,HeadJournal!$A$1:$NTR$890,COLUMN(HeadJournal!C$1),0),"")</f>
        <v>OZON_OA</v>
      </c>
      <c r="D3522" s="125" t="str">
        <f>IFERROR(VLOOKUP($A3522,HeadJournal!$A$1:$NTR$890,COLUMN(HeadJournal!D$1),0),"")</f>
        <v>Доставлен</v>
      </c>
      <c r="E3522" s="95">
        <f>IFERROR(VLOOKUP($A3522,HeadJournal!$A$1:$NTR$890,COLUMN(HeadJournal!G$1),0),"")</f>
        <v>45457</v>
      </c>
      <c r="F3522" s="95" t="str">
        <f t="shared" si="277"/>
        <v>2024 06</v>
      </c>
      <c r="G3522" s="96" t="s">
        <v>6</v>
      </c>
      <c r="H3522" s="160" t="str">
        <f>RIGHT(Journal!$J3522,9)</f>
        <v>672307287</v>
      </c>
      <c r="I3522" s="96" t="str">
        <f t="shared" si="279"/>
        <v>Tree of Life</v>
      </c>
      <c r="J3522" s="97" t="s">
        <v>1876</v>
      </c>
      <c r="K3522" s="29">
        <v>1985</v>
      </c>
      <c r="L3522" s="29"/>
      <c r="M3522" s="30">
        <f>IFERROR(VLOOKUP($A3522,HeadJournal!$A$1:$J$890,COLUMN(HeadJournal!I$1),0)*($K3522+$L3522)/(SUMIF($A:$A,$A3522,$K:$K)+SUMIF($A:$A,$A3522,$L:$L)),0)</f>
        <v>0</v>
      </c>
      <c r="N3522" s="30">
        <f>IFERROR((VLOOKUP($A3522,HeadJournal!$A$1:$K$890,COLUMN(HeadJournal!K$1),0)-VLOOKUP($A3522,HeadJournal!$A$1:$K$890,COLUMN(HeadJournal!J$1),0))*($K3522+$L3522)/(SUMIF($A:$A,$A3522,$K:$K)+SUMIF($A:$A,$A3522,$L:$L)),0)</f>
        <v>0</v>
      </c>
      <c r="O3522" s="30">
        <f>IFERROR((VLOOKUP($A3522,HeadJournal!$A$1:$L$890,COLUMN(HeadJournal!L$1),0)*($K3522+$L3522)/(SUMIF($A:$A,$A3522,$K:$K)+SUMIF($A:$A,$A3522,$L:$L)))/VLOOKUP($A3522,HeadJournal!$A$1:$L$890,COLUMN(HeadJournal!H$1),0),0)</f>
        <v>0</v>
      </c>
      <c r="P3522" s="30">
        <f>IFERROR(SUM(K3522:O3522)*VLOOKUP($A3522,HeadJournal!$A$1:$L$890,COLUMN(HeadJournal!H$1),0),0)</f>
        <v>1985</v>
      </c>
      <c r="Q3522" s="29">
        <v>2500</v>
      </c>
      <c r="R3522" s="31">
        <v>45480</v>
      </c>
      <c r="S3522" s="31" t="s">
        <v>3121</v>
      </c>
      <c r="T3522" s="95" t="str">
        <f t="shared" si="278"/>
        <v>2024 07</v>
      </c>
      <c r="U3522" s="32">
        <f t="shared" si="280"/>
        <v>515</v>
      </c>
      <c r="V3522" s="22">
        <f t="shared" si="281"/>
        <v>0.25944584382871538</v>
      </c>
      <c r="X3522" s="33"/>
      <c r="Y3522" s="33"/>
    </row>
    <row r="3523" spans="1:25" x14ac:dyDescent="0.2">
      <c r="A3523" s="93" t="s">
        <v>1877</v>
      </c>
      <c r="B3523" s="94">
        <f>IFERROR(VLOOKUP($A3523,HeadJournal!$A$1:$NTR$890,COLUMN(HeadJournal!B$1),0),"")</f>
        <v>0</v>
      </c>
      <c r="C3523" s="94" t="str">
        <f>IFERROR(VLOOKUP($A3523,HeadJournal!$A$1:$NTR$890,COLUMN(HeadJournal!C$1),0),"")</f>
        <v>OZON_OA</v>
      </c>
      <c r="D3523" s="125" t="str">
        <f>IFERROR(VLOOKUP($A3523,HeadJournal!$A$1:$NTR$890,COLUMN(HeadJournal!D$1),0),"")</f>
        <v>Доставлен</v>
      </c>
      <c r="E3523" s="95">
        <f>IFERROR(VLOOKUP($A3523,HeadJournal!$A$1:$NTR$890,COLUMN(HeadJournal!G$1),0),"")</f>
        <v>45456</v>
      </c>
      <c r="F3523" s="95" t="str">
        <f t="shared" si="277"/>
        <v>2024 06</v>
      </c>
      <c r="G3523" s="96" t="s">
        <v>6</v>
      </c>
      <c r="H3523" s="160" t="str">
        <f>RIGHT(Journal!$J3523,9)</f>
        <v>334134910</v>
      </c>
      <c r="I3523" s="96" t="str">
        <f t="shared" si="279"/>
        <v>Scitec Nutrition</v>
      </c>
      <c r="J3523" s="97" t="s">
        <v>1869</v>
      </c>
      <c r="K3523" s="29">
        <v>2432</v>
      </c>
      <c r="L3523" s="29"/>
      <c r="M3523" s="30">
        <f>IFERROR(VLOOKUP($A3523,HeadJournal!$A$1:$J$890,COLUMN(HeadJournal!I$1),0)*($K3523+$L3523)/(SUMIF($A:$A,$A3523,$K:$K)+SUMIF($A:$A,$A3523,$L:$L)),0)</f>
        <v>0</v>
      </c>
      <c r="N3523" s="30">
        <f>IFERROR((VLOOKUP($A3523,HeadJournal!$A$1:$K$890,COLUMN(HeadJournal!K$1),0)-VLOOKUP($A3523,HeadJournal!$A$1:$K$890,COLUMN(HeadJournal!J$1),0))*($K3523+$L3523)/(SUMIF($A:$A,$A3523,$K:$K)+SUMIF($A:$A,$A3523,$L:$L)),0)</f>
        <v>0</v>
      </c>
      <c r="O3523" s="30">
        <f>IFERROR((VLOOKUP($A3523,HeadJournal!$A$1:$L$890,COLUMN(HeadJournal!L$1),0)*($K3523+$L3523)/(SUMIF($A:$A,$A3523,$K:$K)+SUMIF($A:$A,$A3523,$L:$L)))/VLOOKUP($A3523,HeadJournal!$A$1:$L$890,COLUMN(HeadJournal!H$1),0),0)</f>
        <v>0</v>
      </c>
      <c r="P3523" s="30">
        <f>IFERROR(SUM(K3523:O3523)*VLOOKUP($A3523,HeadJournal!$A$1:$L$890,COLUMN(HeadJournal!H$1),0),0)</f>
        <v>2432</v>
      </c>
      <c r="Q3523" s="29">
        <v>3200</v>
      </c>
      <c r="R3523" s="31">
        <v>45509</v>
      </c>
      <c r="S3523" s="31" t="s">
        <v>3121</v>
      </c>
      <c r="T3523" s="95" t="str">
        <f t="shared" si="278"/>
        <v>2024 08</v>
      </c>
      <c r="U3523" s="32">
        <f t="shared" si="280"/>
        <v>768</v>
      </c>
      <c r="V3523" s="22">
        <f t="shared" si="281"/>
        <v>0.31578947368421051</v>
      </c>
      <c r="X3523" s="33"/>
      <c r="Y3523" s="33"/>
    </row>
    <row r="3524" spans="1:25" x14ac:dyDescent="0.2">
      <c r="A3524" s="93" t="s">
        <v>1877</v>
      </c>
      <c r="B3524" s="94">
        <f>IFERROR(VLOOKUP($A3524,HeadJournal!$A$1:$NTR$890,COLUMN(HeadJournal!B$1),0),"")</f>
        <v>0</v>
      </c>
      <c r="C3524" s="94" t="str">
        <f>IFERROR(VLOOKUP($A3524,HeadJournal!$A$1:$NTR$890,COLUMN(HeadJournal!C$1),0),"")</f>
        <v>OZON_OA</v>
      </c>
      <c r="D3524" s="125" t="str">
        <f>IFERROR(VLOOKUP($A3524,HeadJournal!$A$1:$NTR$890,COLUMN(HeadJournal!D$1),0),"")</f>
        <v>Доставлен</v>
      </c>
      <c r="E3524" s="95">
        <f>IFERROR(VLOOKUP($A3524,HeadJournal!$A$1:$NTR$890,COLUMN(HeadJournal!G$1),0),"")</f>
        <v>45456</v>
      </c>
      <c r="F3524" s="95" t="str">
        <f t="shared" ref="F3524:F3587" si="282">IFERROR(TEXT(E3524, "ГГГГ ММ"),"")</f>
        <v>2024 06</v>
      </c>
      <c r="G3524" s="96" t="s">
        <v>6</v>
      </c>
      <c r="H3524" s="160" t="str">
        <f>RIGHT(Journal!$J3524,9)</f>
        <v>708751425</v>
      </c>
      <c r="I3524" s="96" t="str">
        <f t="shared" si="279"/>
        <v>Scitec Nutrition</v>
      </c>
      <c r="J3524" s="97" t="s">
        <v>1878</v>
      </c>
      <c r="K3524" s="29">
        <v>2432</v>
      </c>
      <c r="L3524" s="29"/>
      <c r="M3524" s="30">
        <f>IFERROR(VLOOKUP($A3524,HeadJournal!$A$1:$J$890,COLUMN(HeadJournal!I$1),0)*($K3524+$L3524)/(SUMIF($A:$A,$A3524,$K:$K)+SUMIF($A:$A,$A3524,$L:$L)),0)</f>
        <v>0</v>
      </c>
      <c r="N3524" s="30">
        <f>IFERROR((VLOOKUP($A3524,HeadJournal!$A$1:$K$890,COLUMN(HeadJournal!K$1),0)-VLOOKUP($A3524,HeadJournal!$A$1:$K$890,COLUMN(HeadJournal!J$1),0))*($K3524+$L3524)/(SUMIF($A:$A,$A3524,$K:$K)+SUMIF($A:$A,$A3524,$L:$L)),0)</f>
        <v>0</v>
      </c>
      <c r="O3524" s="30">
        <f>IFERROR((VLOOKUP($A3524,HeadJournal!$A$1:$L$890,COLUMN(HeadJournal!L$1),0)*($K3524+$L3524)/(SUMIF($A:$A,$A3524,$K:$K)+SUMIF($A:$A,$A3524,$L:$L)))/VLOOKUP($A3524,HeadJournal!$A$1:$L$890,COLUMN(HeadJournal!H$1),0),0)</f>
        <v>0</v>
      </c>
      <c r="P3524" s="30">
        <f>IFERROR(SUM(K3524:O3524)*VLOOKUP($A3524,HeadJournal!$A$1:$L$890,COLUMN(HeadJournal!H$1),0),0)</f>
        <v>2432</v>
      </c>
      <c r="Q3524" s="29">
        <v>3200</v>
      </c>
      <c r="R3524" s="31">
        <v>45465</v>
      </c>
      <c r="S3524" s="31" t="s">
        <v>3121</v>
      </c>
      <c r="T3524" s="95" t="str">
        <f t="shared" ref="T3524:T3587" si="283">IF(R3524="","",TEXT(R3524,"ГГГГ ММ"))</f>
        <v>2024 06</v>
      </c>
      <c r="U3524" s="32">
        <f t="shared" si="280"/>
        <v>768</v>
      </c>
      <c r="V3524" s="22">
        <f t="shared" si="281"/>
        <v>0.31578947368421051</v>
      </c>
      <c r="X3524" s="33"/>
      <c r="Y3524" s="33"/>
    </row>
    <row r="3525" spans="1:25" x14ac:dyDescent="0.2">
      <c r="A3525" s="93" t="s">
        <v>1879</v>
      </c>
      <c r="B3525" s="94">
        <f>IFERROR(VLOOKUP($A3525,HeadJournal!$A$1:$NTR$890,COLUMN(HeadJournal!B$1),0),"")</f>
        <v>0</v>
      </c>
      <c r="C3525" s="94" t="str">
        <f>IFERROR(VLOOKUP($A3525,HeadJournal!$A$1:$NTR$890,COLUMN(HeadJournal!C$1),0),"")</f>
        <v>OZON_OA</v>
      </c>
      <c r="D3525" s="125" t="str">
        <f>IFERROR(VLOOKUP($A3525,HeadJournal!$A$1:$NTR$890,COLUMN(HeadJournal!D$1),0),"")</f>
        <v>Доставлен</v>
      </c>
      <c r="E3525" s="95">
        <f>IFERROR(VLOOKUP($A3525,HeadJournal!$A$1:$NTR$890,COLUMN(HeadJournal!G$1),0),"")</f>
        <v>45452</v>
      </c>
      <c r="F3525" s="95" t="str">
        <f t="shared" si="282"/>
        <v>2024 06</v>
      </c>
      <c r="G3525" s="96" t="s">
        <v>5</v>
      </c>
      <c r="H3525" s="160" t="str">
        <f>RIGHT(Journal!$J3525,9)</f>
        <v>573681702</v>
      </c>
      <c r="I3525" s="96" t="str">
        <f t="shared" si="279"/>
        <v>Huatuo Zaizao Wan</v>
      </c>
      <c r="J3525" s="97" t="s">
        <v>1880</v>
      </c>
      <c r="K3525" s="29">
        <v>629</v>
      </c>
      <c r="L3525" s="29"/>
      <c r="M3525" s="30">
        <f>IFERROR(VLOOKUP($A3525,HeadJournal!$A$1:$J$890,COLUMN(HeadJournal!I$1),0)*($K3525+$L3525)/(SUMIF($A:$A,$A3525,$K:$K)+SUMIF($A:$A,$A3525,$L:$L)),0)</f>
        <v>0</v>
      </c>
      <c r="N3525" s="30">
        <f>IFERROR((VLOOKUP($A3525,HeadJournal!$A$1:$K$890,COLUMN(HeadJournal!K$1),0)-VLOOKUP($A3525,HeadJournal!$A$1:$K$890,COLUMN(HeadJournal!J$1),0))*($K3525+$L3525)/(SUMIF($A:$A,$A3525,$K:$K)+SUMIF($A:$A,$A3525,$L:$L)),0)</f>
        <v>0</v>
      </c>
      <c r="O3525" s="30">
        <f>IFERROR((VLOOKUP($A3525,HeadJournal!$A$1:$L$890,COLUMN(HeadJournal!L$1),0)*($K3525+$L3525)/(SUMIF($A:$A,$A3525,$K:$K)+SUMIF($A:$A,$A3525,$L:$L)))/VLOOKUP($A3525,HeadJournal!$A$1:$L$890,COLUMN(HeadJournal!H$1),0),0)</f>
        <v>0</v>
      </c>
      <c r="P3525" s="30">
        <f>IFERROR(SUM(K3525:O3525)*VLOOKUP($A3525,HeadJournal!$A$1:$L$890,COLUMN(HeadJournal!H$1),0),0)</f>
        <v>629</v>
      </c>
      <c r="Q3525" s="29">
        <v>900</v>
      </c>
      <c r="R3525" s="31">
        <v>45487</v>
      </c>
      <c r="S3525" s="31" t="s">
        <v>3121</v>
      </c>
      <c r="T3525" s="95" t="str">
        <f t="shared" si="283"/>
        <v>2024 07</v>
      </c>
      <c r="U3525" s="32">
        <f t="shared" si="280"/>
        <v>271</v>
      </c>
      <c r="V3525" s="22">
        <f t="shared" si="281"/>
        <v>0.43084260731319557</v>
      </c>
      <c r="X3525" s="33"/>
      <c r="Y3525" s="33"/>
    </row>
    <row r="3526" spans="1:25" x14ac:dyDescent="0.2">
      <c r="A3526" s="93" t="s">
        <v>1879</v>
      </c>
      <c r="B3526" s="94">
        <f>IFERROR(VLOOKUP($A3526,HeadJournal!$A$1:$NTR$890,COLUMN(HeadJournal!B$1),0),"")</f>
        <v>0</v>
      </c>
      <c r="C3526" s="94" t="str">
        <f>IFERROR(VLOOKUP($A3526,HeadJournal!$A$1:$NTR$890,COLUMN(HeadJournal!C$1),0),"")</f>
        <v>OZON_OA</v>
      </c>
      <c r="D3526" s="125" t="str">
        <f>IFERROR(VLOOKUP($A3526,HeadJournal!$A$1:$NTR$890,COLUMN(HeadJournal!D$1),0),"")</f>
        <v>Доставлен</v>
      </c>
      <c r="E3526" s="95">
        <f>IFERROR(VLOOKUP($A3526,HeadJournal!$A$1:$NTR$890,COLUMN(HeadJournal!G$1),0),"")</f>
        <v>45452</v>
      </c>
      <c r="F3526" s="95" t="str">
        <f t="shared" si="282"/>
        <v>2024 06</v>
      </c>
      <c r="G3526" s="96" t="s">
        <v>5</v>
      </c>
      <c r="H3526" s="161" t="s">
        <v>2073</v>
      </c>
      <c r="I3526" s="97" t="s">
        <v>2005</v>
      </c>
      <c r="J3526" s="97" t="s">
        <v>2074</v>
      </c>
      <c r="K3526" s="29">
        <v>1285</v>
      </c>
      <c r="L3526" s="29"/>
      <c r="M3526" s="30">
        <f>IFERROR(VLOOKUP($A3526,HeadJournal!$A$1:$J$890,COLUMN(HeadJournal!I$1),0)*($K3526+$L3526)/(SUMIF($A:$A,$A3526,$K:$K)+SUMIF($A:$A,$A3526,$L:$L)),0)</f>
        <v>0</v>
      </c>
      <c r="N3526" s="30">
        <f>IFERROR((VLOOKUP($A3526,HeadJournal!$A$1:$K$890,COLUMN(HeadJournal!K$1),0)-VLOOKUP($A3526,HeadJournal!$A$1:$K$890,COLUMN(HeadJournal!J$1),0))*($K3526+$L3526)/(SUMIF($A:$A,$A3526,$K:$K)+SUMIF($A:$A,$A3526,$L:$L)),0)</f>
        <v>0</v>
      </c>
      <c r="O3526" s="30">
        <f>IFERROR((VLOOKUP($A3526,HeadJournal!$A$1:$L$890,COLUMN(HeadJournal!L$1),0)*($K3526+$L3526)/(SUMIF($A:$A,$A3526,$K:$K)+SUMIF($A:$A,$A3526,$L:$L)))/VLOOKUP($A3526,HeadJournal!$A$1:$L$890,COLUMN(HeadJournal!H$1),0),0)</f>
        <v>0</v>
      </c>
      <c r="P3526" s="30">
        <f>IFERROR(SUM(K3526:O3526)*VLOOKUP($A3526,HeadJournal!$A$1:$L$890,COLUMN(HeadJournal!H$1),0),0)</f>
        <v>1285</v>
      </c>
      <c r="Q3526" s="29">
        <v>2400</v>
      </c>
      <c r="R3526" s="31">
        <v>45507</v>
      </c>
      <c r="S3526" s="31" t="s">
        <v>3121</v>
      </c>
      <c r="T3526" s="95" t="str">
        <f t="shared" si="283"/>
        <v>2024 08</v>
      </c>
      <c r="U3526" s="32">
        <f t="shared" si="280"/>
        <v>1115</v>
      </c>
      <c r="V3526" s="22">
        <f t="shared" si="281"/>
        <v>0.86770428015564205</v>
      </c>
      <c r="X3526" s="33"/>
      <c r="Y3526" s="33"/>
    </row>
    <row r="3527" spans="1:25" x14ac:dyDescent="0.2">
      <c r="A3527" s="93" t="s">
        <v>1881</v>
      </c>
      <c r="B3527" s="94">
        <f>IFERROR(VLOOKUP($A3527,HeadJournal!$A$1:$NTR$890,COLUMN(HeadJournal!B$1),0),"")</f>
        <v>0</v>
      </c>
      <c r="C3527" s="94" t="str">
        <f>IFERROR(VLOOKUP($A3527,HeadJournal!$A$1:$NTR$890,COLUMN(HeadJournal!C$1),0),"")</f>
        <v>OZON_OA</v>
      </c>
      <c r="D3527" s="125" t="str">
        <f>IFERROR(VLOOKUP($A3527,HeadJournal!$A$1:$NTR$890,COLUMN(HeadJournal!D$1),0),"")</f>
        <v>Доставлен</v>
      </c>
      <c r="E3527" s="95">
        <f>IFERROR(VLOOKUP($A3527,HeadJournal!$A$1:$NTR$890,COLUMN(HeadJournal!G$1),0),"")</f>
        <v>45454</v>
      </c>
      <c r="F3527" s="95" t="str">
        <f t="shared" si="282"/>
        <v>2024 06</v>
      </c>
      <c r="G3527" s="96" t="s">
        <v>7</v>
      </c>
      <c r="H3527" s="160" t="str">
        <f>RIGHT(Journal!$J3527,9)</f>
        <v>000000040</v>
      </c>
      <c r="I3527" s="96" t="str">
        <f t="shared" si="279"/>
        <v>Forever</v>
      </c>
      <c r="J3527" s="97" t="s">
        <v>299</v>
      </c>
      <c r="K3527" s="29">
        <v>1261</v>
      </c>
      <c r="L3527" s="29"/>
      <c r="M3527" s="30">
        <f>IFERROR(VLOOKUP($A3527,HeadJournal!$A$1:$J$890,COLUMN(HeadJournal!I$1),0)*($K3527+$L3527)/(SUMIF($A:$A,$A3527,$K:$K)+SUMIF($A:$A,$A3527,$L:$L)),0)</f>
        <v>0</v>
      </c>
      <c r="N3527" s="30">
        <f>IFERROR((VLOOKUP($A3527,HeadJournal!$A$1:$K$890,COLUMN(HeadJournal!K$1),0)-VLOOKUP($A3527,HeadJournal!$A$1:$K$890,COLUMN(HeadJournal!J$1),0))*($K3527+$L3527)/(SUMIF($A:$A,$A3527,$K:$K)+SUMIF($A:$A,$A3527,$L:$L)),0)</f>
        <v>0</v>
      </c>
      <c r="O3527" s="30">
        <f>IFERROR((VLOOKUP($A3527,HeadJournal!$A$1:$L$890,COLUMN(HeadJournal!L$1),0)*($K3527+$L3527)/(SUMIF($A:$A,$A3527,$K:$K)+SUMIF($A:$A,$A3527,$L:$L)))/VLOOKUP($A3527,HeadJournal!$A$1:$L$890,COLUMN(HeadJournal!H$1),0),0)</f>
        <v>0</v>
      </c>
      <c r="P3527" s="30">
        <f>IFERROR(SUM(K3527:O3527)*VLOOKUP($A3527,HeadJournal!$A$1:$L$890,COLUMN(HeadJournal!H$1),0),0)</f>
        <v>1261</v>
      </c>
      <c r="Q3527" s="29">
        <v>2100</v>
      </c>
      <c r="R3527" s="31">
        <v>45472</v>
      </c>
      <c r="S3527" s="31" t="s">
        <v>3121</v>
      </c>
      <c r="T3527" s="95" t="str">
        <f t="shared" si="283"/>
        <v>2024 06</v>
      </c>
      <c r="U3527" s="32">
        <f t="shared" si="280"/>
        <v>839</v>
      </c>
      <c r="V3527" s="22">
        <f t="shared" si="281"/>
        <v>0.66534496431403645</v>
      </c>
      <c r="X3527" s="33"/>
      <c r="Y3527" s="33"/>
    </row>
    <row r="3528" spans="1:25" x14ac:dyDescent="0.2">
      <c r="A3528" s="93" t="s">
        <v>1881</v>
      </c>
      <c r="B3528" s="94">
        <f>IFERROR(VLOOKUP($A3528,HeadJournal!$A$1:$NTR$890,COLUMN(HeadJournal!B$1),0),"")</f>
        <v>0</v>
      </c>
      <c r="C3528" s="94" t="str">
        <f>IFERROR(VLOOKUP($A3528,HeadJournal!$A$1:$NTR$890,COLUMN(HeadJournal!C$1),0),"")</f>
        <v>OZON_OA</v>
      </c>
      <c r="D3528" s="125" t="str">
        <f>IFERROR(VLOOKUP($A3528,HeadJournal!$A$1:$NTR$890,COLUMN(HeadJournal!D$1),0),"")</f>
        <v>Доставлен</v>
      </c>
      <c r="E3528" s="95">
        <f>IFERROR(VLOOKUP($A3528,HeadJournal!$A$1:$NTR$890,COLUMN(HeadJournal!G$1),0),"")</f>
        <v>45454</v>
      </c>
      <c r="F3528" s="95" t="str">
        <f t="shared" si="282"/>
        <v>2024 06</v>
      </c>
      <c r="G3528" s="96" t="s">
        <v>7</v>
      </c>
      <c r="H3528" s="160" t="str">
        <f>RIGHT(Journal!$J3528,9)</f>
        <v>000000040</v>
      </c>
      <c r="I3528" s="96" t="str">
        <f t="shared" si="279"/>
        <v>Forever</v>
      </c>
      <c r="J3528" s="97" t="s">
        <v>299</v>
      </c>
      <c r="K3528" s="29">
        <v>1261</v>
      </c>
      <c r="L3528" s="29"/>
      <c r="M3528" s="30">
        <f>IFERROR(VLOOKUP($A3528,HeadJournal!$A$1:$J$890,COLUMN(HeadJournal!I$1),0)*($K3528+$L3528)/(SUMIF($A:$A,$A3528,$K:$K)+SUMIF($A:$A,$A3528,$L:$L)),0)</f>
        <v>0</v>
      </c>
      <c r="N3528" s="30">
        <f>IFERROR((VLOOKUP($A3528,HeadJournal!$A$1:$K$890,COLUMN(HeadJournal!K$1),0)-VLOOKUP($A3528,HeadJournal!$A$1:$K$890,COLUMN(HeadJournal!J$1),0))*($K3528+$L3528)/(SUMIF($A:$A,$A3528,$K:$K)+SUMIF($A:$A,$A3528,$L:$L)),0)</f>
        <v>0</v>
      </c>
      <c r="O3528" s="30">
        <f>IFERROR((VLOOKUP($A3528,HeadJournal!$A$1:$L$890,COLUMN(HeadJournal!L$1),0)*($K3528+$L3528)/(SUMIF($A:$A,$A3528,$K:$K)+SUMIF($A:$A,$A3528,$L:$L)))/VLOOKUP($A3528,HeadJournal!$A$1:$L$890,COLUMN(HeadJournal!H$1),0),0)</f>
        <v>0</v>
      </c>
      <c r="P3528" s="30">
        <f>IFERROR(SUM(K3528:O3528)*VLOOKUP($A3528,HeadJournal!$A$1:$L$890,COLUMN(HeadJournal!H$1),0),0)</f>
        <v>1261</v>
      </c>
      <c r="Q3528" s="29">
        <v>2100</v>
      </c>
      <c r="R3528" s="31">
        <v>45472</v>
      </c>
      <c r="S3528" s="31" t="s">
        <v>3121</v>
      </c>
      <c r="T3528" s="95" t="str">
        <f t="shared" si="283"/>
        <v>2024 06</v>
      </c>
      <c r="U3528" s="32">
        <f t="shared" si="280"/>
        <v>839</v>
      </c>
      <c r="V3528" s="22">
        <f t="shared" si="281"/>
        <v>0.66534496431403645</v>
      </c>
      <c r="X3528" s="33"/>
      <c r="Y3528" s="33"/>
    </row>
    <row r="3529" spans="1:25" x14ac:dyDescent="0.2">
      <c r="A3529" s="93" t="s">
        <v>1882</v>
      </c>
      <c r="B3529" s="94">
        <f>IFERROR(VLOOKUP($A3529,HeadJournal!$A$1:$NTR$890,COLUMN(HeadJournal!B$1),0),"")</f>
        <v>0</v>
      </c>
      <c r="C3529" s="94" t="str">
        <f>IFERROR(VLOOKUP($A3529,HeadJournal!$A$1:$NTR$890,COLUMN(HeadJournal!C$1),0),"")</f>
        <v>OZON_OA</v>
      </c>
      <c r="D3529" s="125" t="str">
        <f>IFERROR(VLOOKUP($A3529,HeadJournal!$A$1:$NTR$890,COLUMN(HeadJournal!D$1),0),"")</f>
        <v>Доставлен</v>
      </c>
      <c r="E3529" s="95">
        <f>IFERROR(VLOOKUP($A3529,HeadJournal!$A$1:$NTR$890,COLUMN(HeadJournal!G$1),0),"")</f>
        <v>45458</v>
      </c>
      <c r="F3529" s="95" t="str">
        <f t="shared" si="282"/>
        <v>2024 06</v>
      </c>
      <c r="G3529" s="96" t="s">
        <v>5</v>
      </c>
      <c r="H3529" s="160" t="str">
        <f>RIGHT(Journal!$J3529,9)</f>
        <v>553821063</v>
      </c>
      <c r="I3529" s="96" t="str">
        <f t="shared" si="279"/>
        <v>Dabur</v>
      </c>
      <c r="J3529" s="97" t="s">
        <v>1883</v>
      </c>
      <c r="K3529" s="29">
        <v>1379</v>
      </c>
      <c r="L3529" s="29"/>
      <c r="M3529" s="30">
        <f>IFERROR(VLOOKUP($A3529,HeadJournal!$A$1:$J$890,COLUMN(HeadJournal!I$1),0)*($K3529+$L3529)/(SUMIF($A:$A,$A3529,$K:$K)+SUMIF($A:$A,$A3529,$L:$L)),0)</f>
        <v>0</v>
      </c>
      <c r="N3529" s="30">
        <f>IFERROR((VLOOKUP($A3529,HeadJournal!$A$1:$K$890,COLUMN(HeadJournal!K$1),0)-VLOOKUP($A3529,HeadJournal!$A$1:$K$890,COLUMN(HeadJournal!J$1),0))*($K3529+$L3529)/(SUMIF($A:$A,$A3529,$K:$K)+SUMIF($A:$A,$A3529,$L:$L)),0)</f>
        <v>0</v>
      </c>
      <c r="O3529" s="30">
        <f>IFERROR((VLOOKUP($A3529,HeadJournal!$A$1:$L$890,COLUMN(HeadJournal!L$1),0)*($K3529+$L3529)/(SUMIF($A:$A,$A3529,$K:$K)+SUMIF($A:$A,$A3529,$L:$L)))/VLOOKUP($A3529,HeadJournal!$A$1:$L$890,COLUMN(HeadJournal!H$1),0),0)</f>
        <v>0</v>
      </c>
      <c r="P3529" s="30">
        <f>IFERROR(SUM(K3529:O3529)*VLOOKUP($A3529,HeadJournal!$A$1:$L$890,COLUMN(HeadJournal!H$1),0),0)</f>
        <v>1379</v>
      </c>
      <c r="Q3529" s="29">
        <v>1800</v>
      </c>
      <c r="R3529" s="31">
        <v>45472</v>
      </c>
      <c r="S3529" s="31" t="s">
        <v>3121</v>
      </c>
      <c r="T3529" s="95" t="str">
        <f t="shared" si="283"/>
        <v>2024 06</v>
      </c>
      <c r="U3529" s="32">
        <f t="shared" si="280"/>
        <v>421</v>
      </c>
      <c r="V3529" s="22">
        <f t="shared" si="281"/>
        <v>0.30529369108049309</v>
      </c>
      <c r="X3529" s="33"/>
      <c r="Y3529" s="33"/>
    </row>
    <row r="3530" spans="1:25" x14ac:dyDescent="0.2">
      <c r="A3530" s="93" t="s">
        <v>1877</v>
      </c>
      <c r="B3530" s="94">
        <f>IFERROR(VLOOKUP($A3530,HeadJournal!$A$1:$NTR$890,COLUMN(HeadJournal!B$1),0),"")</f>
        <v>0</v>
      </c>
      <c r="C3530" s="94" t="str">
        <f>IFERROR(VLOOKUP($A3530,HeadJournal!$A$1:$NTR$890,COLUMN(HeadJournal!C$1),0),"")</f>
        <v>OZON_OA</v>
      </c>
      <c r="D3530" s="125" t="str">
        <f>IFERROR(VLOOKUP($A3530,HeadJournal!$A$1:$NTR$890,COLUMN(HeadJournal!D$1),0),"")</f>
        <v>Доставлен</v>
      </c>
      <c r="E3530" s="95">
        <f>IFERROR(VLOOKUP($A3530,HeadJournal!$A$1:$NTR$890,COLUMN(HeadJournal!G$1),0),"")</f>
        <v>45456</v>
      </c>
      <c r="F3530" s="95" t="str">
        <f t="shared" si="282"/>
        <v>2024 06</v>
      </c>
      <c r="G3530" s="96" t="s">
        <v>6</v>
      </c>
      <c r="H3530" s="160" t="str">
        <f>RIGHT(Journal!$J3530,9)</f>
        <v>425941426</v>
      </c>
      <c r="I3530" s="96" t="str">
        <f t="shared" si="279"/>
        <v>VitaMeal</v>
      </c>
      <c r="J3530" s="97" t="s">
        <v>923</v>
      </c>
      <c r="K3530" s="29">
        <v>541</v>
      </c>
      <c r="L3530" s="29"/>
      <c r="M3530" s="30">
        <f>IFERROR(VLOOKUP($A3530,HeadJournal!$A$1:$J$890,COLUMN(HeadJournal!I$1),0)*($K3530+$L3530)/(SUMIF($A:$A,$A3530,$K:$K)+SUMIF($A:$A,$A3530,$L:$L)),0)</f>
        <v>0</v>
      </c>
      <c r="N3530" s="30">
        <f>IFERROR((VLOOKUP($A3530,HeadJournal!$A$1:$K$890,COLUMN(HeadJournal!K$1),0)-VLOOKUP($A3530,HeadJournal!$A$1:$K$890,COLUMN(HeadJournal!J$1),0))*($K3530+$L3530)/(SUMIF($A:$A,$A3530,$K:$K)+SUMIF($A:$A,$A3530,$L:$L)),0)</f>
        <v>0</v>
      </c>
      <c r="O3530" s="30">
        <f>IFERROR((VLOOKUP($A3530,HeadJournal!$A$1:$L$890,COLUMN(HeadJournal!L$1),0)*($K3530+$L3530)/(SUMIF($A:$A,$A3530,$K:$K)+SUMIF($A:$A,$A3530,$L:$L)))/VLOOKUP($A3530,HeadJournal!$A$1:$L$890,COLUMN(HeadJournal!H$1),0),0)</f>
        <v>0</v>
      </c>
      <c r="P3530" s="30">
        <f>IFERROR(SUM(K3530:O3530)*VLOOKUP($A3530,HeadJournal!$A$1:$L$890,COLUMN(HeadJournal!H$1),0),0)</f>
        <v>541</v>
      </c>
      <c r="Q3530" s="29">
        <v>1200</v>
      </c>
      <c r="R3530" s="31">
        <v>45465</v>
      </c>
      <c r="S3530" s="31" t="s">
        <v>3121</v>
      </c>
      <c r="T3530" s="95" t="str">
        <f t="shared" si="283"/>
        <v>2024 06</v>
      </c>
      <c r="U3530" s="32">
        <f t="shared" si="280"/>
        <v>659</v>
      </c>
      <c r="V3530" s="22">
        <f t="shared" si="281"/>
        <v>1.2181146025878005</v>
      </c>
      <c r="X3530" s="33"/>
      <c r="Y3530" s="33"/>
    </row>
    <row r="3531" spans="1:25" x14ac:dyDescent="0.2">
      <c r="A3531" s="93" t="s">
        <v>1884</v>
      </c>
      <c r="B3531" s="94">
        <f>IFERROR(VLOOKUP($A3531,HeadJournal!$A$1:$NTR$890,COLUMN(HeadJournal!B$1),0),"")</f>
        <v>0</v>
      </c>
      <c r="C3531" s="94" t="str">
        <f>IFERROR(VLOOKUP($A3531,HeadJournal!$A$1:$NTR$890,COLUMN(HeadJournal!C$1),0),"")</f>
        <v>WBRS</v>
      </c>
      <c r="D3531" s="125" t="str">
        <f>IFERROR(VLOOKUP($A3531,HeadJournal!$A$1:$NTR$890,COLUMN(HeadJournal!D$1),0),"")</f>
        <v>Доставлен</v>
      </c>
      <c r="E3531" s="95">
        <f>IFERROR(VLOOKUP($A3531,HeadJournal!$A$1:$NTR$890,COLUMN(HeadJournal!G$1),0),"")</f>
        <v>45464</v>
      </c>
      <c r="F3531" s="95" t="str">
        <f t="shared" si="282"/>
        <v>2024 06</v>
      </c>
      <c r="G3531" s="96" t="s">
        <v>6</v>
      </c>
      <c r="H3531" s="160" t="str">
        <f>RIGHT(Journal!$J3531,9)</f>
        <v>999025023</v>
      </c>
      <c r="I3531" s="96" t="str">
        <f t="shared" si="279"/>
        <v>Maxler</v>
      </c>
      <c r="J3531" s="97" t="s">
        <v>1035</v>
      </c>
      <c r="K3531" s="29">
        <v>1140</v>
      </c>
      <c r="L3531" s="29">
        <v>0</v>
      </c>
      <c r="M3531" s="30">
        <f>IFERROR(VLOOKUP($A3531,HeadJournal!$A$1:$J$890,COLUMN(HeadJournal!I$1),0)*($K3531+$L3531)/(SUMIF($A:$A,$A3531,$K:$K)+SUMIF($A:$A,$A3531,$L:$L)),0)</f>
        <v>0</v>
      </c>
      <c r="N3531" s="30">
        <f>IFERROR((VLOOKUP($A3531,HeadJournal!$A$1:$K$890,COLUMN(HeadJournal!K$1),0)-VLOOKUP($A3531,HeadJournal!$A$1:$K$890,COLUMN(HeadJournal!J$1),0))*($K3531+$L3531)/(SUMIF($A:$A,$A3531,$K:$K)+SUMIF($A:$A,$A3531,$L:$L)),0)</f>
        <v>0</v>
      </c>
      <c r="O3531" s="30">
        <f>IFERROR((VLOOKUP($A3531,HeadJournal!$A$1:$L$890,COLUMN(HeadJournal!L$1),0)*($K3531+$L3531)/(SUMIF($A:$A,$A3531,$K:$K)+SUMIF($A:$A,$A3531,$L:$L)))/VLOOKUP($A3531,HeadJournal!$A$1:$L$890,COLUMN(HeadJournal!H$1),0),0)</f>
        <v>0</v>
      </c>
      <c r="P3531" s="30">
        <f>IFERROR(SUM(K3531:O3531)*VLOOKUP($A3531,HeadJournal!$A$1:$L$890,COLUMN(HeadJournal!H$1),0),0)</f>
        <v>1140</v>
      </c>
      <c r="Q3531" s="29">
        <v>1600</v>
      </c>
      <c r="R3531" s="31">
        <v>45465</v>
      </c>
      <c r="S3531" s="31" t="s">
        <v>3121</v>
      </c>
      <c r="T3531" s="95" t="str">
        <f t="shared" si="283"/>
        <v>2024 06</v>
      </c>
      <c r="U3531" s="32">
        <f t="shared" si="280"/>
        <v>460</v>
      </c>
      <c r="V3531" s="22">
        <f t="shared" si="281"/>
        <v>0.40350877192982454</v>
      </c>
      <c r="X3531" s="33"/>
      <c r="Y3531" s="33"/>
    </row>
    <row r="3532" spans="1:25" x14ac:dyDescent="0.2">
      <c r="A3532" s="93" t="s">
        <v>1885</v>
      </c>
      <c r="B3532" s="94">
        <f>IFERROR(VLOOKUP($A3532,HeadJournal!$A$1:$NTR$890,COLUMN(HeadJournal!B$1),0),"")</f>
        <v>0</v>
      </c>
      <c r="C3532" s="94" t="str">
        <f>IFERROR(VLOOKUP($A3532,HeadJournal!$A$1:$NTR$890,COLUMN(HeadJournal!C$1),0),"")</f>
        <v>WBRS</v>
      </c>
      <c r="D3532" s="125" t="str">
        <f>IFERROR(VLOOKUP($A3532,HeadJournal!$A$1:$NTR$890,COLUMN(HeadJournal!D$1),0),"")</f>
        <v>Доставлен</v>
      </c>
      <c r="E3532" s="95">
        <f>IFERROR(VLOOKUP($A3532,HeadJournal!$A$1:$NTR$890,COLUMN(HeadJournal!G$1),0),"")</f>
        <v>45450</v>
      </c>
      <c r="F3532" s="95" t="str">
        <f t="shared" si="282"/>
        <v>2024 06</v>
      </c>
      <c r="G3532" s="96" t="s">
        <v>6</v>
      </c>
      <c r="H3532" s="160" t="str">
        <f>RIGHT(Journal!$J3532,9)</f>
        <v>108438397</v>
      </c>
      <c r="I3532" s="96" t="str">
        <f t="shared" si="279"/>
        <v>Red ginseng</v>
      </c>
      <c r="J3532" s="97" t="s">
        <v>860</v>
      </c>
      <c r="K3532" s="29">
        <v>1178</v>
      </c>
      <c r="L3532" s="29"/>
      <c r="M3532" s="30">
        <f>IFERROR(VLOOKUP($A3532,HeadJournal!$A$1:$J$890,COLUMN(HeadJournal!I$1),0)*($K3532+$L3532)/(SUMIF($A:$A,$A3532,$K:$K)+SUMIF($A:$A,$A3532,$L:$L)),0)</f>
        <v>0</v>
      </c>
      <c r="N3532" s="30">
        <f>IFERROR((VLOOKUP($A3532,HeadJournal!$A$1:$K$890,COLUMN(HeadJournal!K$1),0)-VLOOKUP($A3532,HeadJournal!$A$1:$K$890,COLUMN(HeadJournal!J$1),0))*($K3532+$L3532)/(SUMIF($A:$A,$A3532,$K:$K)+SUMIF($A:$A,$A3532,$L:$L)),0)</f>
        <v>0</v>
      </c>
      <c r="O3532" s="30">
        <f>IFERROR((VLOOKUP($A3532,HeadJournal!$A$1:$L$890,COLUMN(HeadJournal!L$1),0)*($K3532+$L3532)/(SUMIF($A:$A,$A3532,$K:$K)+SUMIF($A:$A,$A3532,$L:$L)))/VLOOKUP($A3532,HeadJournal!$A$1:$L$890,COLUMN(HeadJournal!H$1),0),0)</f>
        <v>0</v>
      </c>
      <c r="P3532" s="30">
        <f>IFERROR(SUM(K3532:O3532)*VLOOKUP($A3532,HeadJournal!$A$1:$L$890,COLUMN(HeadJournal!H$1),0),0)</f>
        <v>1178</v>
      </c>
      <c r="Q3532" s="29">
        <v>1600</v>
      </c>
      <c r="R3532" s="31">
        <v>45466</v>
      </c>
      <c r="S3532" s="31" t="s">
        <v>3121</v>
      </c>
      <c r="T3532" s="95" t="str">
        <f t="shared" si="283"/>
        <v>2024 06</v>
      </c>
      <c r="U3532" s="32">
        <f t="shared" si="280"/>
        <v>422</v>
      </c>
      <c r="V3532" s="22">
        <f t="shared" si="281"/>
        <v>0.35823429541595925</v>
      </c>
      <c r="X3532" s="33"/>
      <c r="Y3532" s="33"/>
    </row>
    <row r="3533" spans="1:25" x14ac:dyDescent="0.2">
      <c r="A3533" s="93" t="s">
        <v>1888</v>
      </c>
      <c r="B3533" s="94" t="str">
        <f>IFERROR(VLOOKUP($A3533,HeadJournal!$A$1:$NTR$890,COLUMN(HeadJournal!B$1),0),"")</f>
        <v>720000277361</v>
      </c>
      <c r="C3533" s="94" t="str">
        <f>IFERROR(VLOOKUP($A3533,HeadJournal!$A$1:$NTR$890,COLUMN(HeadJournal!C$1),0),"")</f>
        <v>iHerb_OA CZN6870</v>
      </c>
      <c r="D3533" s="125" t="s">
        <v>714</v>
      </c>
      <c r="E3533" s="95">
        <f>IFERROR(VLOOKUP($A3533,HeadJournal!$A$1:$NTR$890,COLUMN(HeadJournal!G$1),0),"")</f>
        <v>45469</v>
      </c>
      <c r="F3533" s="95" t="str">
        <f t="shared" si="282"/>
        <v>2024 06</v>
      </c>
      <c r="G3533" s="96" t="s">
        <v>5</v>
      </c>
      <c r="H3533" s="161" t="s">
        <v>2988</v>
      </c>
      <c r="I3533" s="97" t="s">
        <v>2750</v>
      </c>
      <c r="J3533" s="97" t="s">
        <v>2989</v>
      </c>
      <c r="K3533" s="29">
        <v>23.17</v>
      </c>
      <c r="L3533" s="29">
        <v>-4.63</v>
      </c>
      <c r="M3533" s="30">
        <f>IFERROR(VLOOKUP($A3533,HeadJournal!$A$1:$J$890,COLUMN(HeadJournal!I$1),0)*($K3533+$L3533)/(SUMIF($A:$A,$A3533,$K:$K)+SUMIF($A:$A,$A3533,$L:$L)),0)</f>
        <v>-2.0575853801481161</v>
      </c>
      <c r="N3533" s="30">
        <f>IFERROR((VLOOKUP($A3533,HeadJournal!$A$1:$K$890,COLUMN(HeadJournal!K$1),0)-VLOOKUP($A3533,HeadJournal!$A$1:$K$890,COLUMN(HeadJournal!J$1),0))*($K3533+$L3533)/(SUMIF($A:$A,$A3533,$K:$K)+SUMIF($A:$A,$A3533,$L:$L)),0)</f>
        <v>-5.6149874030549331E-15</v>
      </c>
      <c r="O3533" s="30">
        <f>IFERROR((VLOOKUP($A3533,HeadJournal!$A$1:$L$890,COLUMN(HeadJournal!L$1),0)*($K3533+$L3533)/(SUMIF($A:$A,$A3533,$K:$K)+SUMIF($A:$A,$A3533,$L:$L)))/VLOOKUP($A3533,HeadJournal!$A$1:$L$890,COLUMN(HeadJournal!H$1),0),0)</f>
        <v>1.1532616087146035</v>
      </c>
      <c r="P3533" s="30">
        <f>IFERROR(SUM(K3533:O3533)*VLOOKUP($A3533,HeadJournal!$A$1:$L$890,COLUMN(HeadJournal!H$1),0),0)</f>
        <v>1790.4079679258343</v>
      </c>
      <c r="Q3533" s="29">
        <v>3100</v>
      </c>
      <c r="R3533" s="31">
        <v>45644</v>
      </c>
      <c r="S3533" s="31" t="s">
        <v>3121</v>
      </c>
      <c r="T3533" s="95" t="str">
        <f t="shared" si="283"/>
        <v>2024 12</v>
      </c>
      <c r="U3533" s="32">
        <f t="shared" si="280"/>
        <v>1309.5920320741657</v>
      </c>
      <c r="V3533" s="22">
        <f t="shared" si="281"/>
        <v>0.73144895215770955</v>
      </c>
      <c r="X3533" s="33"/>
      <c r="Y3533" s="33"/>
    </row>
    <row r="3534" spans="1:25" x14ac:dyDescent="0.2">
      <c r="A3534" s="93" t="s">
        <v>1888</v>
      </c>
      <c r="B3534" s="94" t="str">
        <f>IFERROR(VLOOKUP($A3534,HeadJournal!$A$1:$NTR$890,COLUMN(HeadJournal!B$1),0),"")</f>
        <v>720000277361</v>
      </c>
      <c r="C3534" s="94" t="str">
        <f>IFERROR(VLOOKUP($A3534,HeadJournal!$A$1:$NTR$890,COLUMN(HeadJournal!C$1),0),"")</f>
        <v>iHerb_OA CZN6870</v>
      </c>
      <c r="D3534" s="125" t="s">
        <v>714</v>
      </c>
      <c r="E3534" s="95">
        <f>IFERROR(VLOOKUP($A3534,HeadJournal!$A$1:$NTR$890,COLUMN(HeadJournal!G$1),0),"")</f>
        <v>45469</v>
      </c>
      <c r="F3534" s="95" t="str">
        <f t="shared" si="282"/>
        <v>2024 06</v>
      </c>
      <c r="G3534" s="96" t="s">
        <v>5</v>
      </c>
      <c r="H3534" s="161" t="s">
        <v>3661</v>
      </c>
      <c r="I3534" s="97" t="s">
        <v>2009</v>
      </c>
      <c r="J3534" s="97" t="s">
        <v>3774</v>
      </c>
      <c r="K3534" s="29">
        <v>27.79</v>
      </c>
      <c r="L3534" s="29">
        <v>-5.56</v>
      </c>
      <c r="M3534" s="30">
        <f>IFERROR(VLOOKUP($A3534,HeadJournal!$A$1:$J$890,COLUMN(HeadJournal!I$1),0)*($K3534+$L3534)/(SUMIF($A:$A,$A3534,$K:$K)+SUMIF($A:$A,$A3534,$L:$L)),0)</f>
        <v>-2.4671048004688574</v>
      </c>
      <c r="N3534" s="30">
        <f>IFERROR((VLOOKUP($A3534,HeadJournal!$A$1:$K$890,COLUMN(HeadJournal!K$1),0)-VLOOKUP($A3534,HeadJournal!$A$1:$K$890,COLUMN(HeadJournal!J$1),0))*($K3534+$L3534)/(SUMIF($A:$A,$A3534,$K:$K)+SUMIF($A:$A,$A3534,$L:$L)),0)</f>
        <v>-6.7325334395852831E-15</v>
      </c>
      <c r="O3534" s="30">
        <f>IFERROR((VLOOKUP($A3534,HeadJournal!$A$1:$L$890,COLUMN(HeadJournal!L$1),0)*($K3534+$L3534)/(SUMIF($A:$A,$A3534,$K:$K)+SUMIF($A:$A,$A3534,$L:$L)))/VLOOKUP($A3534,HeadJournal!$A$1:$L$890,COLUMN(HeadJournal!H$1),0),0)</f>
        <v>1.3827942589927527</v>
      </c>
      <c r="P3534" s="30">
        <f>IFERROR(SUM(K3534:O3534)*VLOOKUP($A3534,HeadJournal!$A$1:$L$890,COLUMN(HeadJournal!H$1),0),0)</f>
        <v>2146.7513013479661</v>
      </c>
      <c r="Q3534" s="29">
        <v>3300</v>
      </c>
      <c r="R3534" s="31">
        <v>45560</v>
      </c>
      <c r="S3534" s="31" t="s">
        <v>3121</v>
      </c>
      <c r="T3534" s="95" t="str">
        <f t="shared" si="283"/>
        <v>2024 09</v>
      </c>
      <c r="U3534" s="32">
        <f t="shared" si="280"/>
        <v>1153.2486986520339</v>
      </c>
      <c r="V3534" s="22">
        <f t="shared" si="281"/>
        <v>0.53720647469872163</v>
      </c>
      <c r="X3534" s="33"/>
      <c r="Y3534" s="33"/>
    </row>
    <row r="3535" spans="1:25" x14ac:dyDescent="0.2">
      <c r="A3535" s="93" t="s">
        <v>1888</v>
      </c>
      <c r="B3535" s="94" t="str">
        <f>IFERROR(VLOOKUP($A3535,HeadJournal!$A$1:$NTR$890,COLUMN(HeadJournal!B$1),0),"")</f>
        <v>720000277361</v>
      </c>
      <c r="C3535" s="94" t="str">
        <f>IFERROR(VLOOKUP($A3535,HeadJournal!$A$1:$NTR$890,COLUMN(HeadJournal!C$1),0),"")</f>
        <v>iHerb_OA CZN6870</v>
      </c>
      <c r="D3535" s="125" t="s">
        <v>714</v>
      </c>
      <c r="E3535" s="95">
        <f>IFERROR(VLOOKUP($A3535,HeadJournal!$A$1:$NTR$890,COLUMN(HeadJournal!G$1),0),"")</f>
        <v>45469</v>
      </c>
      <c r="F3535" s="95" t="str">
        <f t="shared" si="282"/>
        <v>2024 06</v>
      </c>
      <c r="G3535" s="96" t="s">
        <v>5</v>
      </c>
      <c r="H3535" s="160" t="str">
        <f>RIGHT(Journal!$J3535,9)</f>
        <v>LEX-16611</v>
      </c>
      <c r="I3535" s="127" t="str">
        <f t="shared" si="279"/>
        <v>Life Extension</v>
      </c>
      <c r="J3535" s="97" t="s">
        <v>1890</v>
      </c>
      <c r="K3535" s="29">
        <v>7.19</v>
      </c>
      <c r="L3535" s="29">
        <v>-1.44</v>
      </c>
      <c r="M3535" s="30">
        <f>IFERROR(VLOOKUP($A3535,HeadJournal!$A$1:$J$890,COLUMN(HeadJournal!I$1),0)*($K3535+$L3535)/(SUMIF($A:$A,$A3535,$K:$K)+SUMIF($A:$A,$A3535,$L:$L)),0)</f>
        <v>-0.63814001811497656</v>
      </c>
      <c r="N3535" s="30">
        <f>IFERROR((VLOOKUP($A3535,HeadJournal!$A$1:$K$890,COLUMN(HeadJournal!K$1),0)-VLOOKUP($A3535,HeadJournal!$A$1:$K$890,COLUMN(HeadJournal!J$1),0))*($K3535+$L3535)/(SUMIF($A:$A,$A3535,$K:$K)+SUMIF($A:$A,$A3535,$L:$L)),0)</f>
        <v>-1.7414335257586765E-15</v>
      </c>
      <c r="O3535" s="30">
        <f>IFERROR((VLOOKUP($A3535,HeadJournal!$A$1:$L$890,COLUMN(HeadJournal!L$1),0)*($K3535+$L3535)/(SUMIF($A:$A,$A3535,$K:$K)+SUMIF($A:$A,$A3535,$L:$L)))/VLOOKUP($A3535,HeadJournal!$A$1:$L$890,COLUMN(HeadJournal!H$1),0),0)</f>
        <v>0.35767282902421627</v>
      </c>
      <c r="P3535" s="30">
        <f>IFERROR(SUM(K3535:O3535)*VLOOKUP($A3535,HeadJournal!$A$1:$L$890,COLUMN(HeadJournal!H$1),0),0)</f>
        <v>555.27755208055805</v>
      </c>
      <c r="Q3535" s="29">
        <v>1200</v>
      </c>
      <c r="R3535" s="31">
        <v>45521</v>
      </c>
      <c r="S3535" s="31" t="s">
        <v>3121</v>
      </c>
      <c r="T3535" s="95" t="str">
        <f t="shared" si="283"/>
        <v>2024 08</v>
      </c>
      <c r="U3535" s="32">
        <f t="shared" si="280"/>
        <v>644.72244791944195</v>
      </c>
      <c r="V3535" s="22">
        <f t="shared" si="281"/>
        <v>1.1610814186594518</v>
      </c>
      <c r="X3535" s="33"/>
      <c r="Y3535" s="33"/>
    </row>
    <row r="3536" spans="1:25" x14ac:dyDescent="0.2">
      <c r="A3536" s="93" t="s">
        <v>1888</v>
      </c>
      <c r="B3536" s="94" t="str">
        <f>IFERROR(VLOOKUP($A3536,HeadJournal!$A$1:$NTR$890,COLUMN(HeadJournal!B$1),0),"")</f>
        <v>720000277361</v>
      </c>
      <c r="C3536" s="94" t="str">
        <f>IFERROR(VLOOKUP($A3536,HeadJournal!$A$1:$NTR$890,COLUMN(HeadJournal!C$1),0),"")</f>
        <v>iHerb_OA CZN6870</v>
      </c>
      <c r="D3536" s="125" t="s">
        <v>714</v>
      </c>
      <c r="E3536" s="95">
        <f>IFERROR(VLOOKUP($A3536,HeadJournal!$A$1:$NTR$890,COLUMN(HeadJournal!G$1),0),"")</f>
        <v>45469</v>
      </c>
      <c r="F3536" s="95" t="str">
        <f t="shared" si="282"/>
        <v>2024 06</v>
      </c>
      <c r="G3536" s="96" t="s">
        <v>5</v>
      </c>
      <c r="H3536" s="161" t="s">
        <v>4039</v>
      </c>
      <c r="I3536" s="97" t="s">
        <v>2239</v>
      </c>
      <c r="J3536" s="97" t="s">
        <v>4040</v>
      </c>
      <c r="K3536" s="29">
        <v>20.79</v>
      </c>
      <c r="L3536" s="29">
        <v>-4.16</v>
      </c>
      <c r="M3536" s="30">
        <f>IFERROR(VLOOKUP($A3536,HeadJournal!$A$1:$J$890,COLUMN(HeadJournal!I$1),0)*($K3536+$L3536)/(SUMIF($A:$A,$A3536,$K:$K)+SUMIF($A:$A,$A3536,$L:$L)),0)</f>
        <v>-1.8456119132612276</v>
      </c>
      <c r="N3536" s="30">
        <f>IFERROR((VLOOKUP($A3536,HeadJournal!$A$1:$K$890,COLUMN(HeadJournal!K$1),0)-VLOOKUP($A3536,HeadJournal!$A$1:$K$890,COLUMN(HeadJournal!J$1),0))*($K3536+$L3536)/(SUMIF($A:$A,$A3536,$K:$K)+SUMIF($A:$A,$A3536,$L:$L)),0)</f>
        <v>-5.0365286144985717E-15</v>
      </c>
      <c r="O3536" s="30">
        <f>IFERROR((VLOOKUP($A3536,HeadJournal!$A$1:$L$890,COLUMN(HeadJournal!L$1),0)*($K3536+$L3536)/(SUMIF($A:$A,$A3536,$K:$K)+SUMIF($A:$A,$A3536,$L:$L)))/VLOOKUP($A3536,HeadJournal!$A$1:$L$890,COLUMN(HeadJournal!H$1),0),0)</f>
        <v>1.0344520255082985</v>
      </c>
      <c r="P3536" s="30">
        <f>IFERROR(SUM(K3536:O3536)*VLOOKUP($A3536,HeadJournal!$A$1:$L$890,COLUMN(HeadJournal!H$1),0),0)</f>
        <v>1605.959250626031</v>
      </c>
      <c r="Q3536" s="29">
        <v>2300</v>
      </c>
      <c r="R3536" s="31">
        <v>45804</v>
      </c>
      <c r="S3536" s="31" t="s">
        <v>3121</v>
      </c>
      <c r="T3536" s="95" t="str">
        <f t="shared" si="283"/>
        <v>2025 05</v>
      </c>
      <c r="U3536" s="32">
        <f t="shared" si="280"/>
        <v>694.04074937396899</v>
      </c>
      <c r="V3536" s="22">
        <f t="shared" si="281"/>
        <v>0.43216585296508597</v>
      </c>
      <c r="X3536" s="33"/>
      <c r="Y3536" s="33"/>
    </row>
    <row r="3537" spans="1:25" x14ac:dyDescent="0.2">
      <c r="A3537" s="93" t="s">
        <v>1888</v>
      </c>
      <c r="B3537" s="94" t="str">
        <f>IFERROR(VLOOKUP($A3537,HeadJournal!$A$1:$NTR$890,COLUMN(HeadJournal!B$1),0),"")</f>
        <v>720000277361</v>
      </c>
      <c r="C3537" s="94" t="str">
        <f>IFERROR(VLOOKUP($A3537,HeadJournal!$A$1:$NTR$890,COLUMN(HeadJournal!C$1),0),"")</f>
        <v>iHerb_OA CZN6870</v>
      </c>
      <c r="D3537" s="125" t="s">
        <v>714</v>
      </c>
      <c r="E3537" s="95">
        <f>IFERROR(VLOOKUP($A3537,HeadJournal!$A$1:$NTR$890,COLUMN(HeadJournal!G$1),0),"")</f>
        <v>45469</v>
      </c>
      <c r="F3537" s="95" t="str">
        <f t="shared" si="282"/>
        <v>2024 06</v>
      </c>
      <c r="G3537" s="96" t="s">
        <v>5</v>
      </c>
      <c r="H3537" s="161" t="s">
        <v>2804</v>
      </c>
      <c r="I3537" s="97" t="s">
        <v>2005</v>
      </c>
      <c r="J3537" s="97" t="s">
        <v>2805</v>
      </c>
      <c r="K3537" s="29">
        <v>10.87</v>
      </c>
      <c r="L3537" s="29">
        <v>-2.17</v>
      </c>
      <c r="M3537" s="30">
        <f>IFERROR(VLOOKUP($A3537,HeadJournal!$A$1:$J$890,COLUMN(HeadJournal!I$1),0)*($K3537+$L3537)/(SUMIF($A:$A,$A3537,$K:$K)+SUMIF($A:$A,$A3537,$L:$L)),0)</f>
        <v>-0.96553359262613847</v>
      </c>
      <c r="N3537" s="30">
        <f>IFERROR((VLOOKUP($A3537,HeadJournal!$A$1:$K$890,COLUMN(HeadJournal!K$1),0)-VLOOKUP($A3537,HeadJournal!$A$1:$K$890,COLUMN(HeadJournal!J$1),0))*($K3537+$L3537)/(SUMIF($A:$A,$A3537,$K:$K)+SUMIF($A:$A,$A3537,$L:$L)),0)</f>
        <v>-2.6348646389739972E-15</v>
      </c>
      <c r="O3537" s="30">
        <f>IFERROR((VLOOKUP($A3537,HeadJournal!$A$1:$L$890,COLUMN(HeadJournal!L$1),0)*($K3537+$L3537)/(SUMIF($A:$A,$A3537,$K:$K)+SUMIF($A:$A,$A3537,$L:$L)))/VLOOKUP($A3537,HeadJournal!$A$1:$L$890,COLUMN(HeadJournal!H$1),0),0)</f>
        <v>0.54117454130620546</v>
      </c>
      <c r="P3537" s="30">
        <f>IFERROR(SUM(K3537:O3537)*VLOOKUP($A3537,HeadJournal!$A$1:$L$890,COLUMN(HeadJournal!H$1),0),0)</f>
        <v>840.15907880014856</v>
      </c>
      <c r="Q3537" s="29">
        <v>1800</v>
      </c>
      <c r="R3537" s="31">
        <v>45652</v>
      </c>
      <c r="S3537" s="31" t="s">
        <v>3121</v>
      </c>
      <c r="T3537" s="95" t="str">
        <f t="shared" si="283"/>
        <v>2024 12</v>
      </c>
      <c r="U3537" s="32">
        <f t="shared" si="280"/>
        <v>959.84092119985144</v>
      </c>
      <c r="V3537" s="22">
        <f t="shared" si="281"/>
        <v>1.1424514064296292</v>
      </c>
      <c r="X3537" s="33"/>
      <c r="Y3537" s="33"/>
    </row>
    <row r="3538" spans="1:25" x14ac:dyDescent="0.2">
      <c r="A3538" s="93" t="s">
        <v>1888</v>
      </c>
      <c r="B3538" s="94" t="str">
        <f>IFERROR(VLOOKUP($A3538,HeadJournal!$A$1:$NTR$890,COLUMN(HeadJournal!B$1),0),"")</f>
        <v>720000277361</v>
      </c>
      <c r="C3538" s="94" t="str">
        <f>IFERROR(VLOOKUP($A3538,HeadJournal!$A$1:$NTR$890,COLUMN(HeadJournal!C$1),0),"")</f>
        <v>iHerb_OA CZN6870</v>
      </c>
      <c r="D3538" s="125" t="s">
        <v>714</v>
      </c>
      <c r="E3538" s="95">
        <f>IFERROR(VLOOKUP($A3538,HeadJournal!$A$1:$NTR$890,COLUMN(HeadJournal!G$1),0),"")</f>
        <v>45469</v>
      </c>
      <c r="F3538" s="95" t="str">
        <f t="shared" si="282"/>
        <v>2024 06</v>
      </c>
      <c r="G3538" s="96" t="s">
        <v>5</v>
      </c>
      <c r="H3538" s="161" t="s">
        <v>2094</v>
      </c>
      <c r="I3538" s="97" t="s">
        <v>2042</v>
      </c>
      <c r="J3538" s="97" t="s">
        <v>2095</v>
      </c>
      <c r="K3538" s="29">
        <v>17.64</v>
      </c>
      <c r="L3538" s="29">
        <v>-3.53</v>
      </c>
      <c r="M3538" s="30">
        <f>IFERROR(VLOOKUP($A3538,HeadJournal!$A$1:$J$890,COLUMN(HeadJournal!I$1),0)*($K3538+$L3538)/(SUMIF($A:$A,$A3538,$K:$K)+SUMIF($A:$A,$A3538,$L:$L)),0)</f>
        <v>-1.5659401140177946</v>
      </c>
      <c r="N3538" s="30">
        <f>IFERROR((VLOOKUP($A3538,HeadJournal!$A$1:$K$890,COLUMN(HeadJournal!K$1),0)-VLOOKUP($A3538,HeadJournal!$A$1:$K$890,COLUMN(HeadJournal!J$1),0))*($K3538+$L3538)/(SUMIF($A:$A,$A3538,$K:$K)+SUMIF($A:$A,$A3538,$L:$L)),0)</f>
        <v>-4.2733264432095526E-15</v>
      </c>
      <c r="O3538" s="30">
        <f>IFERROR((VLOOKUP($A3538,HeadJournal!$A$1:$L$890,COLUMN(HeadJournal!L$1),0)*($K3538+$L3538)/(SUMIF($A:$A,$A3538,$K:$K)+SUMIF($A:$A,$A3538,$L:$L)))/VLOOKUP($A3538,HeadJournal!$A$1:$L$890,COLUMN(HeadJournal!H$1),0),0)</f>
        <v>0.87769802044029421</v>
      </c>
      <c r="P3538" s="30">
        <f>IFERROR(SUM(K3538:O3538)*VLOOKUP($A3538,HeadJournal!$A$1:$L$890,COLUMN(HeadJournal!H$1),0),0)</f>
        <v>1362.6028278011609</v>
      </c>
      <c r="Q3538" s="29">
        <v>2200</v>
      </c>
      <c r="R3538" s="31">
        <v>45547</v>
      </c>
      <c r="S3538" s="31" t="s">
        <v>3121</v>
      </c>
      <c r="T3538" s="95" t="str">
        <f t="shared" si="283"/>
        <v>2024 09</v>
      </c>
      <c r="U3538" s="32">
        <f t="shared" si="280"/>
        <v>837.39717219883914</v>
      </c>
      <c r="V3538" s="22">
        <f t="shared" si="281"/>
        <v>0.6145570485496139</v>
      </c>
      <c r="X3538" s="33"/>
      <c r="Y3538" s="33"/>
    </row>
    <row r="3539" spans="1:25" x14ac:dyDescent="0.2">
      <c r="A3539" s="93" t="s">
        <v>1888</v>
      </c>
      <c r="B3539" s="94" t="str">
        <f>IFERROR(VLOOKUP($A3539,HeadJournal!$A$1:$NTR$890,COLUMN(HeadJournal!B$1),0),"")</f>
        <v>720000277361</v>
      </c>
      <c r="C3539" s="94" t="str">
        <f>IFERROR(VLOOKUP($A3539,HeadJournal!$A$1:$NTR$890,COLUMN(HeadJournal!C$1),0),"")</f>
        <v>iHerb_OA CZN6870</v>
      </c>
      <c r="D3539" s="125" t="s">
        <v>714</v>
      </c>
      <c r="E3539" s="95">
        <f>IFERROR(VLOOKUP($A3539,HeadJournal!$A$1:$NTR$890,COLUMN(HeadJournal!G$1),0),"")</f>
        <v>45469</v>
      </c>
      <c r="F3539" s="95" t="str">
        <f t="shared" si="282"/>
        <v>2024 06</v>
      </c>
      <c r="G3539" s="96" t="s">
        <v>5</v>
      </c>
      <c r="H3539" s="175" t="s">
        <v>3649</v>
      </c>
      <c r="I3539" s="176" t="s">
        <v>2042</v>
      </c>
      <c r="J3539" s="97" t="s">
        <v>3698</v>
      </c>
      <c r="K3539" s="29">
        <v>11.72</v>
      </c>
      <c r="L3539" s="29">
        <v>-2.34</v>
      </c>
      <c r="M3539" s="30">
        <f>IFERROR(VLOOKUP($A3539,HeadJournal!$A$1:$J$890,COLUMN(HeadJournal!I$1),0)*($K3539+$L3539)/(SUMIF($A:$A,$A3539,$K:$K)+SUMIF($A:$A,$A3539,$L:$L)),0)</f>
        <v>-1.0410005860727793</v>
      </c>
      <c r="N3539" s="30">
        <f>IFERROR((VLOOKUP($A3539,HeadJournal!$A$1:$K$890,COLUMN(HeadJournal!K$1),0)-VLOOKUP($A3539,HeadJournal!$A$1:$K$890,COLUMN(HeadJournal!J$1),0))*($K3539+$L3539)/(SUMIF($A:$A,$A3539,$K:$K)+SUMIF($A:$A,$A3539,$L:$L)),0)</f>
        <v>-2.8408080820202413E-15</v>
      </c>
      <c r="O3539" s="30">
        <f>IFERROR((VLOOKUP($A3539,HeadJournal!$A$1:$L$890,COLUMN(HeadJournal!L$1),0)*($K3539+$L3539)/(SUMIF($A:$A,$A3539,$K:$K)+SUMIF($A:$A,$A3539,$L:$L)))/VLOOKUP($A3539,HeadJournal!$A$1:$L$890,COLUMN(HeadJournal!H$1),0),0)</f>
        <v>0.58347324108646059</v>
      </c>
      <c r="P3539" s="30">
        <f>IFERROR(SUM(K3539:O3539)*VLOOKUP($A3539,HeadJournal!$A$1:$L$890,COLUMN(HeadJournal!H$1),0),0)</f>
        <v>905.82668495924065</v>
      </c>
      <c r="Q3539" s="29"/>
      <c r="R3539" s="31"/>
      <c r="S3539" s="31"/>
      <c r="T3539" s="95" t="str">
        <f t="shared" si="283"/>
        <v/>
      </c>
      <c r="U3539" s="32">
        <f t="shared" si="280"/>
        <v>-905.82668495924065</v>
      </c>
      <c r="V3539" s="22" t="str">
        <f t="shared" si="281"/>
        <v/>
      </c>
      <c r="X3539" s="33"/>
      <c r="Y3539" s="33"/>
    </row>
    <row r="3540" spans="1:25" x14ac:dyDescent="0.2">
      <c r="A3540" s="93" t="s">
        <v>1888</v>
      </c>
      <c r="B3540" s="94" t="str">
        <f>IFERROR(VLOOKUP($A3540,HeadJournal!$A$1:$NTR$890,COLUMN(HeadJournal!B$1),0),"")</f>
        <v>720000277361</v>
      </c>
      <c r="C3540" s="94" t="str">
        <f>IFERROR(VLOOKUP($A3540,HeadJournal!$A$1:$NTR$890,COLUMN(HeadJournal!C$1),0),"")</f>
        <v>iHerb_OA CZN6870</v>
      </c>
      <c r="D3540" s="125" t="s">
        <v>714</v>
      </c>
      <c r="E3540" s="95">
        <f>IFERROR(VLOOKUP($A3540,HeadJournal!$A$1:$NTR$890,COLUMN(HeadJournal!G$1),0),"")</f>
        <v>45469</v>
      </c>
      <c r="F3540" s="95" t="str">
        <f t="shared" si="282"/>
        <v>2024 06</v>
      </c>
      <c r="G3540" s="96" t="s">
        <v>5</v>
      </c>
      <c r="H3540" s="161" t="s">
        <v>2475</v>
      </c>
      <c r="I3540" s="97" t="s">
        <v>2005</v>
      </c>
      <c r="J3540" s="97" t="s">
        <v>3755</v>
      </c>
      <c r="K3540" s="29">
        <v>13.25</v>
      </c>
      <c r="L3540" s="29">
        <v>-2.65</v>
      </c>
      <c r="M3540" s="30">
        <f>IFERROR(VLOOKUP($A3540,HeadJournal!$A$1:$J$890,COLUMN(HeadJournal!I$1),0)*($K3540+$L3540)/(SUMIF($A:$A,$A3540,$K:$K)+SUMIF($A:$A,$A3540,$L:$L)),0)</f>
        <v>-1.1763972507858698</v>
      </c>
      <c r="N3540" s="30">
        <f>IFERROR((VLOOKUP($A3540,HeadJournal!$A$1:$K$890,COLUMN(HeadJournal!K$1),0)-VLOOKUP($A3540,HeadJournal!$A$1:$K$890,COLUMN(HeadJournal!J$1),0))*($K3540+$L3540)/(SUMIF($A:$A,$A3540,$K:$K)+SUMIF($A:$A,$A3540,$L:$L)),0)</f>
        <v>-3.2102948474855602E-15</v>
      </c>
      <c r="O3540" s="30">
        <f>IFERROR((VLOOKUP($A3540,HeadJournal!$A$1:$L$890,COLUMN(HeadJournal!L$1),0)*($K3540+$L3540)/(SUMIF($A:$A,$A3540,$K:$K)+SUMIF($A:$A,$A3540,$L:$L)))/VLOOKUP($A3540,HeadJournal!$A$1:$L$890,COLUMN(HeadJournal!H$1),0),0)</f>
        <v>0.65936208480985947</v>
      </c>
      <c r="P3540" s="30">
        <f>IFERROR(SUM(K3540:O3540)*VLOOKUP($A3540,HeadJournal!$A$1:$L$890,COLUMN(HeadJournal!H$1),0),0)</f>
        <v>1023.6420960093765</v>
      </c>
      <c r="Q3540" s="29">
        <v>1800</v>
      </c>
      <c r="R3540" s="31">
        <v>45586</v>
      </c>
      <c r="S3540" s="31" t="s">
        <v>3121</v>
      </c>
      <c r="T3540" s="95" t="str">
        <f t="shared" si="283"/>
        <v>2024 10</v>
      </c>
      <c r="U3540" s="32">
        <f t="shared" si="280"/>
        <v>776.35790399062353</v>
      </c>
      <c r="V3540" s="22">
        <f t="shared" si="281"/>
        <v>0.75842709772997863</v>
      </c>
      <c r="X3540" s="33"/>
      <c r="Y3540" s="33"/>
    </row>
    <row r="3541" spans="1:25" x14ac:dyDescent="0.2">
      <c r="A3541" s="93" t="s">
        <v>1888</v>
      </c>
      <c r="B3541" s="94" t="str">
        <f>IFERROR(VLOOKUP($A3541,HeadJournal!$A$1:$NTR$890,COLUMN(HeadJournal!B$1),0),"")</f>
        <v>720000277361</v>
      </c>
      <c r="C3541" s="94" t="str">
        <f>IFERROR(VLOOKUP($A3541,HeadJournal!$A$1:$NTR$890,COLUMN(HeadJournal!C$1),0),"")</f>
        <v>iHerb_OA CZN6870</v>
      </c>
      <c r="D3541" s="125" t="s">
        <v>714</v>
      </c>
      <c r="E3541" s="95">
        <f>IFERROR(VLOOKUP($A3541,HeadJournal!$A$1:$NTR$890,COLUMN(HeadJournal!G$1),0),"")</f>
        <v>45469</v>
      </c>
      <c r="F3541" s="95" t="str">
        <f t="shared" si="282"/>
        <v>2024 06</v>
      </c>
      <c r="G3541" s="96" t="s">
        <v>5</v>
      </c>
      <c r="H3541" s="161" t="s">
        <v>2475</v>
      </c>
      <c r="I3541" s="97" t="s">
        <v>2005</v>
      </c>
      <c r="J3541" s="97" t="s">
        <v>3755</v>
      </c>
      <c r="K3541" s="29">
        <v>10.72</v>
      </c>
      <c r="L3541" s="29">
        <v>-2.14</v>
      </c>
      <c r="M3541" s="30">
        <f>IFERROR(VLOOKUP($A3541,HeadJournal!$A$1:$J$890,COLUMN(HeadJournal!I$1),0)*($K3541+$L3541)/(SUMIF($A:$A,$A3541,$K:$K)+SUMIF($A:$A,$A3541,$L:$L)),0)</f>
        <v>-0.95221588790026068</v>
      </c>
      <c r="N3541" s="30">
        <f>IFERROR((VLOOKUP($A3541,HeadJournal!$A$1:$K$890,COLUMN(HeadJournal!K$1),0)-VLOOKUP($A3541,HeadJournal!$A$1:$K$890,COLUMN(HeadJournal!J$1),0))*($K3541+$L3541)/(SUMIF($A:$A,$A3541,$K:$K)+SUMIF($A:$A,$A3541,$L:$L)),0)</f>
        <v>-2.5985216784364252E-15</v>
      </c>
      <c r="O3541" s="30">
        <f>IFERROR((VLOOKUP($A3541,HeadJournal!$A$1:$L$890,COLUMN(HeadJournal!L$1),0)*($K3541+$L3541)/(SUMIF($A:$A,$A3541,$K:$K)+SUMIF($A:$A,$A3541,$L:$L)))/VLOOKUP($A3541,HeadJournal!$A$1:$L$890,COLUMN(HeadJournal!H$1),0),0)</f>
        <v>0.53371006487439576</v>
      </c>
      <c r="P3541" s="30">
        <f>IFERROR(SUM(K3541:O3541)*VLOOKUP($A3541,HeadJournal!$A$1:$L$890,COLUMN(HeadJournal!H$1),0),0)</f>
        <v>828.57067771325001</v>
      </c>
      <c r="Q3541" s="29">
        <v>1700</v>
      </c>
      <c r="R3541" s="31">
        <v>45628</v>
      </c>
      <c r="S3541" s="31" t="s">
        <v>3121</v>
      </c>
      <c r="T3541" s="95" t="str">
        <f t="shared" si="283"/>
        <v>2024 12</v>
      </c>
      <c r="U3541" s="32">
        <f t="shared" si="280"/>
        <v>871.42932228674999</v>
      </c>
      <c r="V3541" s="22">
        <f t="shared" si="281"/>
        <v>1.0517259972218476</v>
      </c>
      <c r="X3541" s="33"/>
      <c r="Y3541" s="33"/>
    </row>
    <row r="3542" spans="1:25" x14ac:dyDescent="0.2">
      <c r="A3542" s="93" t="s">
        <v>1888</v>
      </c>
      <c r="B3542" s="94" t="str">
        <f>IFERROR(VLOOKUP($A3542,HeadJournal!$A$1:$NTR$890,COLUMN(HeadJournal!B$1),0),"")</f>
        <v>720000277361</v>
      </c>
      <c r="C3542" s="94" t="str">
        <f>IFERROR(VLOOKUP($A3542,HeadJournal!$A$1:$NTR$890,COLUMN(HeadJournal!C$1),0),"")</f>
        <v>iHerb_OA CZN6870</v>
      </c>
      <c r="D3542" s="125" t="s">
        <v>714</v>
      </c>
      <c r="E3542" s="95">
        <f>IFERROR(VLOOKUP($A3542,HeadJournal!$A$1:$NTR$890,COLUMN(HeadJournal!G$1),0),"")</f>
        <v>45469</v>
      </c>
      <c r="F3542" s="95" t="str">
        <f t="shared" si="282"/>
        <v>2024 06</v>
      </c>
      <c r="G3542" s="96" t="s">
        <v>7</v>
      </c>
      <c r="H3542" s="160" t="str">
        <f>RIGHT(Journal!$J3542,9)</f>
        <v>KLM-99980</v>
      </c>
      <c r="I3542" s="127" t="str">
        <f t="shared" si="279"/>
        <v>Kleem Organics</v>
      </c>
      <c r="J3542" s="97" t="s">
        <v>1886</v>
      </c>
      <c r="K3542" s="29">
        <v>25.27</v>
      </c>
      <c r="L3542" s="29">
        <v>-16.27</v>
      </c>
      <c r="M3542" s="30">
        <f>IFERROR(VLOOKUP($A3542,HeadJournal!$A$1:$J$890,COLUMN(HeadJournal!I$1),0)*($K3542+$L3542)/(SUMIF($A:$A,$A3542,$K:$K)+SUMIF($A:$A,$A3542,$L:$L)),0)</f>
        <v>-0.99882785444083289</v>
      </c>
      <c r="N3542" s="30">
        <f>IFERROR((VLOOKUP($A3542,HeadJournal!$A$1:$K$890,COLUMN(HeadJournal!K$1),0)-VLOOKUP($A3542,HeadJournal!$A$1:$K$890,COLUMN(HeadJournal!J$1),0))*($K3542+$L3542)/(SUMIF($A:$A,$A3542,$K:$K)+SUMIF($A:$A,$A3542,$L:$L)),0)</f>
        <v>-2.7257220403179284E-15</v>
      </c>
      <c r="O3542" s="30">
        <f>IFERROR((VLOOKUP($A3542,HeadJournal!$A$1:$L$890,COLUMN(HeadJournal!L$1),0)*($K3542+$L3542)/(SUMIF($A:$A,$A3542,$K:$K)+SUMIF($A:$A,$A3542,$L:$L)))/VLOOKUP($A3542,HeadJournal!$A$1:$L$890,COLUMN(HeadJournal!H$1),0),0)</f>
        <v>0.55983573238572981</v>
      </c>
      <c r="P3542" s="30">
        <f>IFERROR(SUM(K3542:O3542)*VLOOKUP($A3542,HeadJournal!$A$1:$L$890,COLUMN(HeadJournal!H$1),0),0)</f>
        <v>869.13008151739507</v>
      </c>
      <c r="Q3542" s="29"/>
      <c r="R3542" s="31"/>
      <c r="S3542" s="31"/>
      <c r="T3542" s="95" t="str">
        <f t="shared" si="283"/>
        <v/>
      </c>
      <c r="U3542" s="32">
        <f t="shared" si="280"/>
        <v>-869.13008151739507</v>
      </c>
      <c r="V3542" s="22" t="str">
        <f t="shared" si="281"/>
        <v/>
      </c>
      <c r="X3542" s="33"/>
      <c r="Y3542" s="33"/>
    </row>
    <row r="3543" spans="1:25" x14ac:dyDescent="0.2">
      <c r="A3543" s="93" t="s">
        <v>1888</v>
      </c>
      <c r="B3543" s="94" t="str">
        <f>IFERROR(VLOOKUP($A3543,HeadJournal!$A$1:$NTR$890,COLUMN(HeadJournal!B$1),0),"")</f>
        <v>720000277361</v>
      </c>
      <c r="C3543" s="94" t="str">
        <f>IFERROR(VLOOKUP($A3543,HeadJournal!$A$1:$NTR$890,COLUMN(HeadJournal!C$1),0),"")</f>
        <v>iHerb_OA CZN6870</v>
      </c>
      <c r="D3543" s="125" t="s">
        <v>714</v>
      </c>
      <c r="E3543" s="95">
        <f>IFERROR(VLOOKUP($A3543,HeadJournal!$A$1:$NTR$890,COLUMN(HeadJournal!G$1),0),"")</f>
        <v>45469</v>
      </c>
      <c r="F3543" s="95" t="str">
        <f t="shared" si="282"/>
        <v>2024 06</v>
      </c>
      <c r="G3543" s="96" t="s">
        <v>5</v>
      </c>
      <c r="H3543" s="161" t="s">
        <v>2623</v>
      </c>
      <c r="I3543" s="97" t="s">
        <v>2052</v>
      </c>
      <c r="J3543" s="97" t="s">
        <v>3915</v>
      </c>
      <c r="K3543" s="29">
        <v>6.24</v>
      </c>
      <c r="L3543" s="29">
        <v>-3.12</v>
      </c>
      <c r="M3543" s="30">
        <f>IFERROR(VLOOKUP($A3543,HeadJournal!$A$1:$J$890,COLUMN(HeadJournal!I$1),0)*($K3543+$L3543)/(SUMIF($A:$A,$A3543,$K:$K)+SUMIF($A:$A,$A3543,$L:$L)),0)</f>
        <v>-0.3462603228728221</v>
      </c>
      <c r="N3543" s="30">
        <f>IFERROR((VLOOKUP($A3543,HeadJournal!$A$1:$K$890,COLUMN(HeadJournal!K$1),0)-VLOOKUP($A3543,HeadJournal!$A$1:$K$890,COLUMN(HeadJournal!J$1),0))*($K3543+$L3543)/(SUMIF($A:$A,$A3543,$K:$K)+SUMIF($A:$A,$A3543,$L:$L)),0)</f>
        <v>-9.4491697397688185E-16</v>
      </c>
      <c r="O3543" s="30">
        <f>IFERROR((VLOOKUP($A3543,HeadJournal!$A$1:$L$890,COLUMN(HeadJournal!L$1),0)*($K3543+$L3543)/(SUMIF($A:$A,$A3543,$K:$K)+SUMIF($A:$A,$A3543,$L:$L)))/VLOOKUP($A3543,HeadJournal!$A$1:$L$890,COLUMN(HeadJournal!H$1),0),0)</f>
        <v>0.194076387227053</v>
      </c>
      <c r="P3543" s="30">
        <f>IFERROR(SUM(K3543:O3543)*VLOOKUP($A3543,HeadJournal!$A$1:$L$890,COLUMN(HeadJournal!H$1),0),0)</f>
        <v>301.29842825936362</v>
      </c>
      <c r="Q3543" s="29">
        <v>1000</v>
      </c>
      <c r="R3543" s="31">
        <v>45622</v>
      </c>
      <c r="S3543" s="31" t="s">
        <v>3121</v>
      </c>
      <c r="T3543" s="95" t="str">
        <f t="shared" si="283"/>
        <v>2024 11</v>
      </c>
      <c r="U3543" s="32">
        <f t="shared" si="280"/>
        <v>698.70157174063638</v>
      </c>
      <c r="V3543" s="22">
        <f t="shared" si="281"/>
        <v>2.318968524917695</v>
      </c>
      <c r="X3543" s="33"/>
      <c r="Y3543" s="33"/>
    </row>
    <row r="3544" spans="1:25" x14ac:dyDescent="0.2">
      <c r="A3544" s="93" t="s">
        <v>1888</v>
      </c>
      <c r="B3544" s="94" t="str">
        <f>IFERROR(VLOOKUP($A3544,HeadJournal!$A$1:$NTR$890,COLUMN(HeadJournal!B$1),0),"")</f>
        <v>720000277361</v>
      </c>
      <c r="C3544" s="94" t="str">
        <f>IFERROR(VLOOKUP($A3544,HeadJournal!$A$1:$NTR$890,COLUMN(HeadJournal!C$1),0),"")</f>
        <v>iHerb_OA CZN6870</v>
      </c>
      <c r="D3544" s="125" t="s">
        <v>714</v>
      </c>
      <c r="E3544" s="95">
        <f>IFERROR(VLOOKUP($A3544,HeadJournal!$A$1:$NTR$890,COLUMN(HeadJournal!G$1),0),"")</f>
        <v>45469</v>
      </c>
      <c r="F3544" s="95" t="str">
        <f t="shared" si="282"/>
        <v>2024 06</v>
      </c>
      <c r="G3544" s="96" t="s">
        <v>5</v>
      </c>
      <c r="H3544" s="160" t="str">
        <f>RIGHT(Journal!$J3544,9)</f>
        <v>KLM-99983</v>
      </c>
      <c r="I3544" s="127" t="str">
        <f t="shared" si="279"/>
        <v>Kleem Organics</v>
      </c>
      <c r="J3544" s="97" t="s">
        <v>1887</v>
      </c>
      <c r="K3544" s="29">
        <v>22.18</v>
      </c>
      <c r="L3544" s="29">
        <v>-6.65</v>
      </c>
      <c r="M3544" s="30">
        <f>IFERROR(VLOOKUP($A3544,HeadJournal!$A$1:$J$890,COLUMN(HeadJournal!I$1),0)*($K3544+$L3544)/(SUMIF($A:$A,$A3544,$K:$K)+SUMIF($A:$A,$A3544,$L:$L)),0)</f>
        <v>-1.7235329532740151</v>
      </c>
      <c r="N3544" s="30">
        <f>IFERROR((VLOOKUP($A3544,HeadJournal!$A$1:$K$890,COLUMN(HeadJournal!K$1),0)-VLOOKUP($A3544,HeadJournal!$A$1:$K$890,COLUMN(HeadJournal!J$1),0))*($K3544+$L3544)/(SUMIF($A:$A,$A3544,$K:$K)+SUMIF($A:$A,$A3544,$L:$L)),0)</f>
        <v>-4.7033848095708252E-15</v>
      </c>
      <c r="O3544" s="30">
        <f>IFERROR((VLOOKUP($A3544,HeadJournal!$A$1:$L$890,COLUMN(HeadJournal!L$1),0)*($K3544+$L3544)/(SUMIF($A:$A,$A3544,$K:$K)+SUMIF($A:$A,$A3544,$L:$L)))/VLOOKUP($A3544,HeadJournal!$A$1:$L$890,COLUMN(HeadJournal!H$1),0),0)</f>
        <v>0.96602765821670911</v>
      </c>
      <c r="P3544" s="30">
        <f>IFERROR(SUM(K3544:O3544)*VLOOKUP($A3544,HeadJournal!$A$1:$L$890,COLUMN(HeadJournal!H$1),0),0)</f>
        <v>1499.7322406627939</v>
      </c>
      <c r="Q3544" s="29">
        <v>2200</v>
      </c>
      <c r="R3544" s="31">
        <v>45912</v>
      </c>
      <c r="S3544" s="31" t="s">
        <v>3231</v>
      </c>
      <c r="T3544" s="95" t="str">
        <f t="shared" si="283"/>
        <v>2025 09</v>
      </c>
      <c r="U3544" s="32">
        <f t="shared" si="280"/>
        <v>700.26775933720614</v>
      </c>
      <c r="V3544" s="22">
        <f t="shared" si="281"/>
        <v>0.46692852253928263</v>
      </c>
      <c r="X3544" s="33"/>
      <c r="Y3544" s="33"/>
    </row>
    <row r="3545" spans="1:25" x14ac:dyDescent="0.2">
      <c r="A3545" s="93" t="s">
        <v>1888</v>
      </c>
      <c r="B3545" s="94" t="str">
        <f>IFERROR(VLOOKUP($A3545,HeadJournal!$A$1:$NTR$890,COLUMN(HeadJournal!B$1),0),"")</f>
        <v>720000277361</v>
      </c>
      <c r="C3545" s="94" t="str">
        <f>IFERROR(VLOOKUP($A3545,HeadJournal!$A$1:$NTR$890,COLUMN(HeadJournal!C$1),0),"")</f>
        <v>iHerb_OA CZN6870</v>
      </c>
      <c r="D3545" s="125" t="s">
        <v>714</v>
      </c>
      <c r="E3545" s="95">
        <f>IFERROR(VLOOKUP($A3545,HeadJournal!$A$1:$NTR$890,COLUMN(HeadJournal!G$1),0),"")</f>
        <v>45469</v>
      </c>
      <c r="F3545" s="95" t="str">
        <f t="shared" si="282"/>
        <v>2024 06</v>
      </c>
      <c r="G3545" s="96" t="s">
        <v>5</v>
      </c>
      <c r="H3545" s="161" t="s">
        <v>2118</v>
      </c>
      <c r="I3545" s="97" t="s">
        <v>2005</v>
      </c>
      <c r="J3545" s="97" t="s">
        <v>2119</v>
      </c>
      <c r="K3545" s="29">
        <v>14.38</v>
      </c>
      <c r="L3545" s="29">
        <v>-2.875</v>
      </c>
      <c r="M3545" s="30">
        <f>IFERROR(VLOOKUP($A3545,HeadJournal!$A$1:$J$890,COLUMN(HeadJournal!I$1),0)*($K3545+$L3545)/(SUMIF($A:$A,$A3545,$K:$K)+SUMIF($A:$A,$A3545,$L:$L)),0)</f>
        <v>-1.2768349405935315</v>
      </c>
      <c r="N3545" s="30">
        <f>IFERROR((VLOOKUP($A3545,HeadJournal!$A$1:$K$890,COLUMN(HeadJournal!K$1),0)-VLOOKUP($A3545,HeadJournal!$A$1:$K$890,COLUMN(HeadJournal!J$1),0))*($K3545+$L3545)/(SUMIF($A:$A,$A3545,$K:$K)+SUMIF($A:$A,$A3545,$L:$L)),0)</f>
        <v>-3.4843813415397521E-15</v>
      </c>
      <c r="O3545" s="30">
        <f>IFERROR((VLOOKUP($A3545,HeadJournal!$A$1:$L$890,COLUMN(HeadJournal!L$1),0)*($K3545+$L3545)/(SUMIF($A:$A,$A3545,$K:$K)+SUMIF($A:$A,$A3545,$L:$L)))/VLOOKUP($A3545,HeadJournal!$A$1:$L$890,COLUMN(HeadJournal!H$1),0),0)</f>
        <v>0.71565667789975795</v>
      </c>
      <c r="P3545" s="30">
        <f>IFERROR(SUM(K3545:O3545)*VLOOKUP($A3545,HeadJournal!$A$1:$L$890,COLUMN(HeadJournal!H$1),0),0)</f>
        <v>1111.0379542064036</v>
      </c>
      <c r="Q3545" s="29">
        <v>2000</v>
      </c>
      <c r="R3545" s="31">
        <v>45542</v>
      </c>
      <c r="S3545" s="31" t="s">
        <v>3121</v>
      </c>
      <c r="T3545" s="95" t="str">
        <f t="shared" si="283"/>
        <v>2024 09</v>
      </c>
      <c r="U3545" s="32">
        <f t="shared" si="280"/>
        <v>888.96204579359642</v>
      </c>
      <c r="V3545" s="22">
        <f t="shared" si="281"/>
        <v>0.80011852198925792</v>
      </c>
      <c r="X3545" s="33"/>
      <c r="Y3545" s="33"/>
    </row>
    <row r="3546" spans="1:25" x14ac:dyDescent="0.2">
      <c r="A3546" s="93" t="s">
        <v>1888</v>
      </c>
      <c r="B3546" s="94" t="str">
        <f>IFERROR(VLOOKUP($A3546,HeadJournal!$A$1:$NTR$890,COLUMN(HeadJournal!B$1),0),"")</f>
        <v>720000277361</v>
      </c>
      <c r="C3546" s="94" t="str">
        <f>IFERROR(VLOOKUP($A3546,HeadJournal!$A$1:$NTR$890,COLUMN(HeadJournal!C$1),0),"")</f>
        <v>iHerb_OA CZN6870</v>
      </c>
      <c r="D3546" s="125" t="s">
        <v>714</v>
      </c>
      <c r="E3546" s="95">
        <f>IFERROR(VLOOKUP($A3546,HeadJournal!$A$1:$NTR$890,COLUMN(HeadJournal!G$1),0),"")</f>
        <v>45469</v>
      </c>
      <c r="F3546" s="95" t="str">
        <f t="shared" si="282"/>
        <v>2024 06</v>
      </c>
      <c r="G3546" s="96" t="s">
        <v>5</v>
      </c>
      <c r="H3546" s="161" t="s">
        <v>2118</v>
      </c>
      <c r="I3546" s="97" t="s">
        <v>2005</v>
      </c>
      <c r="J3546" s="97" t="s">
        <v>2119</v>
      </c>
      <c r="K3546" s="29">
        <v>14.38</v>
      </c>
      <c r="L3546" s="29">
        <v>-2.875</v>
      </c>
      <c r="M3546" s="30">
        <f>IFERROR(VLOOKUP($A3546,HeadJournal!$A$1:$J$890,COLUMN(HeadJournal!I$1),0)*($K3546+$L3546)/(SUMIF($A:$A,$A3546,$K:$K)+SUMIF($A:$A,$A3546,$L:$L)),0)</f>
        <v>-1.2768349405935315</v>
      </c>
      <c r="N3546" s="30">
        <f>IFERROR((VLOOKUP($A3546,HeadJournal!$A$1:$K$890,COLUMN(HeadJournal!K$1),0)-VLOOKUP($A3546,HeadJournal!$A$1:$K$890,COLUMN(HeadJournal!J$1),0))*($K3546+$L3546)/(SUMIF($A:$A,$A3546,$K:$K)+SUMIF($A:$A,$A3546,$L:$L)),0)</f>
        <v>-3.4843813415397521E-15</v>
      </c>
      <c r="O3546" s="30">
        <f>IFERROR((VLOOKUP($A3546,HeadJournal!$A$1:$L$890,COLUMN(HeadJournal!L$1),0)*($K3546+$L3546)/(SUMIF($A:$A,$A3546,$K:$K)+SUMIF($A:$A,$A3546,$L:$L)))/VLOOKUP($A3546,HeadJournal!$A$1:$L$890,COLUMN(HeadJournal!H$1),0),0)</f>
        <v>0.71565667789975795</v>
      </c>
      <c r="P3546" s="30">
        <f>IFERROR(SUM(K3546:O3546)*VLOOKUP($A3546,HeadJournal!$A$1:$L$890,COLUMN(HeadJournal!H$1),0),0)</f>
        <v>1111.0379542064036</v>
      </c>
      <c r="Q3546" s="29">
        <v>2100</v>
      </c>
      <c r="R3546" s="31">
        <v>45567</v>
      </c>
      <c r="S3546" s="31" t="s">
        <v>3121</v>
      </c>
      <c r="T3546" s="95" t="str">
        <f t="shared" si="283"/>
        <v>2024 10</v>
      </c>
      <c r="U3546" s="32">
        <f t="shared" si="280"/>
        <v>988.96204579359642</v>
      </c>
      <c r="V3546" s="22">
        <f t="shared" si="281"/>
        <v>0.89012444808872082</v>
      </c>
      <c r="X3546" s="33"/>
      <c r="Y3546" s="33"/>
    </row>
    <row r="3547" spans="1:25" x14ac:dyDescent="0.2">
      <c r="A3547" s="93" t="s">
        <v>1888</v>
      </c>
      <c r="B3547" s="94" t="str">
        <f>IFERROR(VLOOKUP($A3547,HeadJournal!$A$1:$NTR$890,COLUMN(HeadJournal!B$1),0),"")</f>
        <v>720000277361</v>
      </c>
      <c r="C3547" s="94" t="str">
        <f>IFERROR(VLOOKUP($A3547,HeadJournal!$A$1:$NTR$890,COLUMN(HeadJournal!C$1),0),"")</f>
        <v>iHerb_OA CZN6870</v>
      </c>
      <c r="D3547" s="125" t="s">
        <v>714</v>
      </c>
      <c r="E3547" s="95">
        <f>IFERROR(VLOOKUP($A3547,HeadJournal!$A$1:$NTR$890,COLUMN(HeadJournal!G$1),0),"")</f>
        <v>45469</v>
      </c>
      <c r="F3547" s="95" t="str">
        <f t="shared" si="282"/>
        <v>2024 06</v>
      </c>
      <c r="G3547" s="96" t="s">
        <v>5</v>
      </c>
      <c r="H3547" s="161" t="s">
        <v>2103</v>
      </c>
      <c r="I3547" s="97" t="s">
        <v>2039</v>
      </c>
      <c r="J3547" s="97" t="s">
        <v>2104</v>
      </c>
      <c r="K3547" s="29">
        <v>17.09</v>
      </c>
      <c r="L3547" s="29">
        <v>-3.42</v>
      </c>
      <c r="M3547" s="30">
        <f>IFERROR(VLOOKUP($A3547,HeadJournal!$A$1:$J$890,COLUMN(HeadJournal!I$1),0)*($K3547+$L3547)/(SUMIF($A:$A,$A3547,$K:$K)+SUMIF($A:$A,$A3547,$L:$L)),0)</f>
        <v>-1.5171085300229095</v>
      </c>
      <c r="N3547" s="30">
        <f>IFERROR((VLOOKUP($A3547,HeadJournal!$A$1:$K$890,COLUMN(HeadJournal!K$1),0)-VLOOKUP($A3547,HeadJournal!$A$1:$K$890,COLUMN(HeadJournal!J$1),0))*($K3547+$L3547)/(SUMIF($A:$A,$A3547,$K:$K)+SUMIF($A:$A,$A3547,$L:$L)),0)</f>
        <v>-4.1400689212384537E-15</v>
      </c>
      <c r="O3547" s="30">
        <f>IFERROR((VLOOKUP($A3547,HeadJournal!$A$1:$L$890,COLUMN(HeadJournal!L$1),0)*($K3547+$L3547)/(SUMIF($A:$A,$A3547,$K:$K)+SUMIF($A:$A,$A3547,$L:$L)))/VLOOKUP($A3547,HeadJournal!$A$1:$L$890,COLUMN(HeadJournal!H$1),0),0)</f>
        <v>0.85032827352365847</v>
      </c>
      <c r="P3547" s="30">
        <f>IFERROR(SUM(K3547:O3547)*VLOOKUP($A3547,HeadJournal!$A$1:$L$890,COLUMN(HeadJournal!H$1),0),0)</f>
        <v>1320.1120238158658</v>
      </c>
      <c r="Q3547" s="29">
        <v>2300</v>
      </c>
      <c r="R3547" s="31">
        <v>45517</v>
      </c>
      <c r="S3547" s="31" t="s">
        <v>3121</v>
      </c>
      <c r="T3547" s="95" t="str">
        <f t="shared" si="283"/>
        <v>2024 08</v>
      </c>
      <c r="U3547" s="32">
        <f t="shared" si="280"/>
        <v>979.88797618413423</v>
      </c>
      <c r="V3547" s="22">
        <f t="shared" si="281"/>
        <v>0.74227638147837427</v>
      </c>
      <c r="X3547" s="33"/>
      <c r="Y3547" s="33"/>
    </row>
    <row r="3548" spans="1:25" x14ac:dyDescent="0.2">
      <c r="A3548" s="93" t="s">
        <v>1888</v>
      </c>
      <c r="B3548" s="94" t="str">
        <f>IFERROR(VLOOKUP($A3548,HeadJournal!$A$1:$NTR$890,COLUMN(HeadJournal!B$1),0),"")</f>
        <v>720000277361</v>
      </c>
      <c r="C3548" s="94" t="str">
        <f>IFERROR(VLOOKUP($A3548,HeadJournal!$A$1:$NTR$890,COLUMN(HeadJournal!C$1),0),"")</f>
        <v>iHerb_OA CZN6870</v>
      </c>
      <c r="D3548" s="125" t="s">
        <v>714</v>
      </c>
      <c r="E3548" s="95">
        <f>IFERROR(VLOOKUP($A3548,HeadJournal!$A$1:$NTR$890,COLUMN(HeadJournal!G$1),0),"")</f>
        <v>45469</v>
      </c>
      <c r="F3548" s="95" t="str">
        <f t="shared" si="282"/>
        <v>2024 06</v>
      </c>
      <c r="G3548" s="96" t="s">
        <v>5</v>
      </c>
      <c r="H3548" s="161" t="s">
        <v>2105</v>
      </c>
      <c r="I3548" s="97" t="s">
        <v>2039</v>
      </c>
      <c r="J3548" s="97" t="s">
        <v>2106</v>
      </c>
      <c r="K3548" s="29">
        <v>11.05</v>
      </c>
      <c r="L3548" s="29">
        <v>-2.21</v>
      </c>
      <c r="M3548" s="30">
        <f>IFERROR(VLOOKUP($A3548,HeadJournal!$A$1:$J$890,COLUMN(HeadJournal!I$1),0)*($K3548+$L3548)/(SUMIF($A:$A,$A3548,$K:$K)+SUMIF($A:$A,$A3548,$L:$L)),0)</f>
        <v>-0.98107091480632924</v>
      </c>
      <c r="N3548" s="30">
        <f>IFERROR((VLOOKUP($A3548,HeadJournal!$A$1:$K$890,COLUMN(HeadJournal!K$1),0)-VLOOKUP($A3548,HeadJournal!$A$1:$K$890,COLUMN(HeadJournal!J$1),0))*($K3548+$L3548)/(SUMIF($A:$A,$A3548,$K:$K)+SUMIF($A:$A,$A3548,$L:$L)),0)</f>
        <v>-2.6772647596011653E-15</v>
      </c>
      <c r="O3548" s="30">
        <f>IFERROR((VLOOKUP($A3548,HeadJournal!$A$1:$L$890,COLUMN(HeadJournal!L$1),0)*($K3548+$L3548)/(SUMIF($A:$A,$A3548,$K:$K)+SUMIF($A:$A,$A3548,$L:$L)))/VLOOKUP($A3548,HeadJournal!$A$1:$L$890,COLUMN(HeadJournal!H$1),0),0)</f>
        <v>0.54988309714331685</v>
      </c>
      <c r="P3548" s="30">
        <f>IFERROR(SUM(K3548:O3548)*VLOOKUP($A3548,HeadJournal!$A$1:$L$890,COLUMN(HeadJournal!H$1),0),0)</f>
        <v>853.67888006819692</v>
      </c>
      <c r="Q3548" s="29">
        <v>1600</v>
      </c>
      <c r="R3548" s="31">
        <v>45517</v>
      </c>
      <c r="S3548" s="31" t="s">
        <v>3121</v>
      </c>
      <c r="T3548" s="95" t="str">
        <f t="shared" si="283"/>
        <v>2024 08</v>
      </c>
      <c r="U3548" s="32">
        <f t="shared" si="280"/>
        <v>746.32111993180308</v>
      </c>
      <c r="V3548" s="22">
        <f t="shared" si="281"/>
        <v>0.87424104936528657</v>
      </c>
      <c r="X3548" s="33"/>
      <c r="Y3548" s="33"/>
    </row>
    <row r="3549" spans="1:25" x14ac:dyDescent="0.2">
      <c r="A3549" s="93" t="s">
        <v>1891</v>
      </c>
      <c r="B3549" s="94" t="str">
        <f>IFERROR(VLOOKUP($A3549,HeadJournal!$A$1:$NTR$890,COLUMN(HeadJournal!B$1),0),"")</f>
        <v>720000282915</v>
      </c>
      <c r="C3549" s="94" t="str">
        <f>IFERROR(VLOOKUP($A3549,HeadJournal!$A$1:$NTR$890,COLUMN(HeadJournal!C$1),0),"")</f>
        <v>iHerb_AV CYG0792</v>
      </c>
      <c r="D3549" s="125" t="str">
        <f>IFERROR(VLOOKUP($A3549,HeadJournal!$A$1:$NTR$890,COLUMN(HeadJournal!D$1),0),"")</f>
        <v>Доставлен</v>
      </c>
      <c r="E3549" s="95">
        <f>IFERROR(VLOOKUP($A3549,HeadJournal!$A$1:$NTR$890,COLUMN(HeadJournal!G$1),0),"")</f>
        <v>45475</v>
      </c>
      <c r="F3549" s="95" t="str">
        <f t="shared" si="282"/>
        <v>2024 07</v>
      </c>
      <c r="G3549" s="96" t="s">
        <v>5</v>
      </c>
      <c r="H3549" s="161" t="s">
        <v>2162</v>
      </c>
      <c r="I3549" s="97" t="s">
        <v>2163</v>
      </c>
      <c r="J3549" s="97" t="s">
        <v>2164</v>
      </c>
      <c r="K3549" s="29">
        <v>19.21</v>
      </c>
      <c r="L3549" s="29">
        <v>-1.92</v>
      </c>
      <c r="M3549" s="30">
        <f>IFERROR(VLOOKUP($A3549,HeadJournal!$A$1:$J$890,COLUMN(HeadJournal!I$1),0)*($K3549+$L3549)/(SUMIF($A:$A,$A3549,$K:$K)+SUMIF($A:$A,$A3549,$L:$L)),0)</f>
        <v>-1.9823766135155652</v>
      </c>
      <c r="N3549" s="30">
        <f>IFERROR((VLOOKUP($A3549,HeadJournal!$A$1:$K$890,COLUMN(HeadJournal!K$1),0)-VLOOKUP($A3549,HeadJournal!$A$1:$K$890,COLUMN(HeadJournal!J$1),0))*($K3549+$L3549)/(SUMIF($A:$A,$A3549,$K:$K)+SUMIF($A:$A,$A3549,$L:$L)),0)</f>
        <v>-2.4875290106387503E-15</v>
      </c>
      <c r="O3549" s="30">
        <f>IFERROR((VLOOKUP($A3549,HeadJournal!$A$1:$L$890,COLUMN(HeadJournal!L$1),0)*($K3549+$L3549)/(SUMIF($A:$A,$A3549,$K:$K)+SUMIF($A:$A,$A3549,$L:$L)))/VLOOKUP($A3549,HeadJournal!$A$1:$L$890,COLUMN(HeadJournal!H$1),0),0)</f>
        <v>1.0458965853630824</v>
      </c>
      <c r="P3549" s="30">
        <f>IFERROR(SUM(K3549:O3549)*VLOOKUP($A3549,HeadJournal!$A$1:$L$890,COLUMN(HeadJournal!H$1),0),0)</f>
        <v>1622.0326208554791</v>
      </c>
      <c r="Q3549" s="29">
        <v>2400</v>
      </c>
      <c r="R3549" s="31">
        <v>45507</v>
      </c>
      <c r="S3549" s="31" t="s">
        <v>3121</v>
      </c>
      <c r="T3549" s="95" t="str">
        <f t="shared" si="283"/>
        <v>2024 08</v>
      </c>
      <c r="U3549" s="32">
        <f t="shared" si="280"/>
        <v>777.96737914452092</v>
      </c>
      <c r="V3549" s="22">
        <f t="shared" si="281"/>
        <v>0.47962498974540463</v>
      </c>
      <c r="X3549" s="33"/>
      <c r="Y3549" s="33"/>
    </row>
    <row r="3550" spans="1:25" x14ac:dyDescent="0.2">
      <c r="A3550" s="93" t="s">
        <v>1891</v>
      </c>
      <c r="B3550" s="94" t="str">
        <f>IFERROR(VLOOKUP($A3550,HeadJournal!$A$1:$NTR$890,COLUMN(HeadJournal!B$1),0),"")</f>
        <v>720000282915</v>
      </c>
      <c r="C3550" s="94" t="str">
        <f>IFERROR(VLOOKUP($A3550,HeadJournal!$A$1:$NTR$890,COLUMN(HeadJournal!C$1),0),"")</f>
        <v>iHerb_AV CYG0792</v>
      </c>
      <c r="D3550" s="125" t="str">
        <f>IFERROR(VLOOKUP($A3550,HeadJournal!$A$1:$NTR$890,COLUMN(HeadJournal!D$1),0),"")</f>
        <v>Доставлен</v>
      </c>
      <c r="E3550" s="95">
        <f>IFERROR(VLOOKUP($A3550,HeadJournal!$A$1:$NTR$890,COLUMN(HeadJournal!G$1),0),"")</f>
        <v>45475</v>
      </c>
      <c r="F3550" s="95" t="str">
        <f t="shared" si="282"/>
        <v>2024 07</v>
      </c>
      <c r="G3550" s="96" t="s">
        <v>5</v>
      </c>
      <c r="H3550" s="161" t="s">
        <v>2162</v>
      </c>
      <c r="I3550" s="97" t="s">
        <v>2163</v>
      </c>
      <c r="J3550" s="97" t="s">
        <v>2164</v>
      </c>
      <c r="K3550" s="29">
        <v>19.21</v>
      </c>
      <c r="L3550" s="29">
        <v>-1.92</v>
      </c>
      <c r="M3550" s="30">
        <f>IFERROR(VLOOKUP($A3550,HeadJournal!$A$1:$J$890,COLUMN(HeadJournal!I$1),0)*($K3550+$L3550)/(SUMIF($A:$A,$A3550,$K:$K)+SUMIF($A:$A,$A3550,$L:$L)),0)</f>
        <v>-1.9823766135155652</v>
      </c>
      <c r="N3550" s="30">
        <f>IFERROR((VLOOKUP($A3550,HeadJournal!$A$1:$K$890,COLUMN(HeadJournal!K$1),0)-VLOOKUP($A3550,HeadJournal!$A$1:$K$890,COLUMN(HeadJournal!J$1),0))*($K3550+$L3550)/(SUMIF($A:$A,$A3550,$K:$K)+SUMIF($A:$A,$A3550,$L:$L)),0)</f>
        <v>-2.4875290106387503E-15</v>
      </c>
      <c r="O3550" s="30">
        <f>IFERROR((VLOOKUP($A3550,HeadJournal!$A$1:$L$890,COLUMN(HeadJournal!L$1),0)*($K3550+$L3550)/(SUMIF($A:$A,$A3550,$K:$K)+SUMIF($A:$A,$A3550,$L:$L)))/VLOOKUP($A3550,HeadJournal!$A$1:$L$890,COLUMN(HeadJournal!H$1),0),0)</f>
        <v>1.0458965853630824</v>
      </c>
      <c r="P3550" s="30">
        <f>IFERROR(SUM(K3550:O3550)*VLOOKUP($A3550,HeadJournal!$A$1:$L$890,COLUMN(HeadJournal!H$1),0),0)</f>
        <v>1622.0326208554791</v>
      </c>
      <c r="Q3550" s="29">
        <v>2400</v>
      </c>
      <c r="R3550" s="31">
        <v>45507</v>
      </c>
      <c r="S3550" s="31" t="s">
        <v>3121</v>
      </c>
      <c r="T3550" s="95" t="str">
        <f t="shared" si="283"/>
        <v>2024 08</v>
      </c>
      <c r="U3550" s="32">
        <f t="shared" si="280"/>
        <v>777.96737914452092</v>
      </c>
      <c r="V3550" s="22">
        <f t="shared" si="281"/>
        <v>0.47962498974540463</v>
      </c>
      <c r="X3550" s="33"/>
      <c r="Y3550" s="33"/>
    </row>
    <row r="3551" spans="1:25" x14ac:dyDescent="0.2">
      <c r="A3551" s="93" t="s">
        <v>1891</v>
      </c>
      <c r="B3551" s="94" t="str">
        <f>IFERROR(VLOOKUP($A3551,HeadJournal!$A$1:$NTR$890,COLUMN(HeadJournal!B$1),0),"")</f>
        <v>720000282915</v>
      </c>
      <c r="C3551" s="94" t="str">
        <f>IFERROR(VLOOKUP($A3551,HeadJournal!$A$1:$NTR$890,COLUMN(HeadJournal!C$1),0),"")</f>
        <v>iHerb_AV CYG0792</v>
      </c>
      <c r="D3551" s="125" t="s">
        <v>714</v>
      </c>
      <c r="E3551" s="95">
        <f>IFERROR(VLOOKUP($A3551,HeadJournal!$A$1:$NTR$890,COLUMN(HeadJournal!G$1),0),"")</f>
        <v>45475</v>
      </c>
      <c r="F3551" s="95" t="str">
        <f t="shared" si="282"/>
        <v>2024 07</v>
      </c>
      <c r="G3551" s="96" t="s">
        <v>5</v>
      </c>
      <c r="H3551" s="161" t="s">
        <v>2200</v>
      </c>
      <c r="I3551" s="97" t="s">
        <v>2005</v>
      </c>
      <c r="J3551" s="97" t="s">
        <v>2201</v>
      </c>
      <c r="K3551" s="29">
        <v>11.07</v>
      </c>
      <c r="L3551" s="29">
        <v>-1.1100000000000001</v>
      </c>
      <c r="M3551" s="30">
        <f>IFERROR(VLOOKUP($A3551,HeadJournal!$A$1:$J$890,COLUMN(HeadJournal!I$1),0)*($K3551+$L3551)/(SUMIF($A:$A,$A3551,$K:$K)+SUMIF($A:$A,$A3551,$L:$L)),0)</f>
        <v>-1.1419589977220954</v>
      </c>
      <c r="N3551" s="30">
        <f>IFERROR((VLOOKUP($A3551,HeadJournal!$A$1:$K$890,COLUMN(HeadJournal!K$1),0)-VLOOKUP($A3551,HeadJournal!$A$1:$K$890,COLUMN(HeadJournal!J$1),0))*($K3551+$L3551)/(SUMIF($A:$A,$A3551,$K:$K)+SUMIF($A:$A,$A3551,$L:$L)),0)</f>
        <v>-1.4329548262557524E-15</v>
      </c>
      <c r="O3551" s="30">
        <f>IFERROR((VLOOKUP($A3551,HeadJournal!$A$1:$L$890,COLUMN(HeadJournal!L$1),0)*($K3551+$L3551)/(SUMIF($A:$A,$A3551,$K:$K)+SUMIF($A:$A,$A3551,$L:$L)))/VLOOKUP($A3551,HeadJournal!$A$1:$L$890,COLUMN(HeadJournal!H$1),0),0)</f>
        <v>0.60249450492864665</v>
      </c>
      <c r="P3551" s="30">
        <f>IFERROR(SUM(K3551:O3551)*VLOOKUP($A3551,HeadJournal!$A$1:$L$890,COLUMN(HeadJournal!H$1),0),0)</f>
        <v>934.38085041761553</v>
      </c>
      <c r="Q3551" s="29">
        <v>1600</v>
      </c>
      <c r="R3551" s="31">
        <v>45507</v>
      </c>
      <c r="S3551" s="31" t="s">
        <v>3121</v>
      </c>
      <c r="T3551" s="95" t="str">
        <f t="shared" si="283"/>
        <v>2024 08</v>
      </c>
      <c r="U3551" s="32">
        <f t="shared" si="280"/>
        <v>665.61914958238447</v>
      </c>
      <c r="V3551" s="22">
        <f t="shared" si="281"/>
        <v>0.71236386028768706</v>
      </c>
      <c r="X3551" s="33"/>
      <c r="Y3551" s="33"/>
    </row>
    <row r="3552" spans="1:25" x14ac:dyDescent="0.2">
      <c r="A3552" s="93" t="s">
        <v>1891</v>
      </c>
      <c r="B3552" s="94" t="str">
        <f>IFERROR(VLOOKUP($A3552,HeadJournal!$A$1:$NTR$890,COLUMN(HeadJournal!B$1),0),"")</f>
        <v>720000282915</v>
      </c>
      <c r="C3552" s="94" t="str">
        <f>IFERROR(VLOOKUP($A3552,HeadJournal!$A$1:$NTR$890,COLUMN(HeadJournal!C$1),0),"")</f>
        <v>iHerb_AV CYG0792</v>
      </c>
      <c r="D3552" s="125" t="s">
        <v>714</v>
      </c>
      <c r="E3552" s="95">
        <f>IFERROR(VLOOKUP($A3552,HeadJournal!$A$1:$NTR$890,COLUMN(HeadJournal!G$1),0),"")</f>
        <v>45475</v>
      </c>
      <c r="F3552" s="95" t="str">
        <f t="shared" si="282"/>
        <v>2024 07</v>
      </c>
      <c r="G3552" s="96" t="s">
        <v>5</v>
      </c>
      <c r="H3552" s="161" t="s">
        <v>2836</v>
      </c>
      <c r="I3552" s="97" t="s">
        <v>2005</v>
      </c>
      <c r="J3552" s="97" t="s">
        <v>2837</v>
      </c>
      <c r="K3552" s="29">
        <v>10.65</v>
      </c>
      <c r="L3552" s="29">
        <v>-1.07</v>
      </c>
      <c r="M3552" s="30">
        <f>IFERROR(VLOOKUP($A3552,HeadJournal!$A$1:$J$890,COLUMN(HeadJournal!I$1),0)*($K3552+$L3552)/(SUMIF($A:$A,$A3552,$K:$K)+SUMIF($A:$A,$A3552,$L:$L)),0)</f>
        <v>-1.0983902809415336</v>
      </c>
      <c r="N3552" s="30">
        <f>IFERROR((VLOOKUP($A3552,HeadJournal!$A$1:$K$890,COLUMN(HeadJournal!K$1),0)-VLOOKUP($A3552,HeadJournal!$A$1:$K$890,COLUMN(HeadJournal!J$1),0))*($K3552+$L3552)/(SUMIF($A:$A,$A3552,$K:$K)+SUMIF($A:$A,$A3552,$L:$L)),0)</f>
        <v>-1.3782838589889666E-15</v>
      </c>
      <c r="O3552" s="30">
        <f>IFERROR((VLOOKUP($A3552,HeadJournal!$A$1:$L$890,COLUMN(HeadJournal!L$1),0)*($K3552+$L3552)/(SUMIF($A:$A,$A3552,$K:$K)+SUMIF($A:$A,$A3552,$L:$L)))/VLOOKUP($A3552,HeadJournal!$A$1:$L$890,COLUMN(HeadJournal!H$1),0),0)</f>
        <v>0.57950776678879867</v>
      </c>
      <c r="P3552" s="30">
        <f>IFERROR(SUM(K3552:O3552)*VLOOKUP($A3552,HeadJournal!$A$1:$L$890,COLUMN(HeadJournal!H$1),0),0)</f>
        <v>898.73178182738525</v>
      </c>
      <c r="Q3552" s="29">
        <v>1500</v>
      </c>
      <c r="R3552" s="31">
        <v>45521</v>
      </c>
      <c r="S3552" s="31" t="s">
        <v>3121</v>
      </c>
      <c r="T3552" s="95" t="str">
        <f t="shared" si="283"/>
        <v>2024 08</v>
      </c>
      <c r="U3552" s="32">
        <f t="shared" si="280"/>
        <v>601.26821817261475</v>
      </c>
      <c r="V3552" s="22">
        <f t="shared" si="281"/>
        <v>0.66901853292654245</v>
      </c>
      <c r="X3552" s="33"/>
      <c r="Y3552" s="33"/>
    </row>
    <row r="3553" spans="1:25" x14ac:dyDescent="0.2">
      <c r="A3553" s="93" t="s">
        <v>1891</v>
      </c>
      <c r="B3553" s="94" t="str">
        <f>IFERROR(VLOOKUP($A3553,HeadJournal!$A$1:$NTR$890,COLUMN(HeadJournal!B$1),0),"")</f>
        <v>720000282915</v>
      </c>
      <c r="C3553" s="94" t="str">
        <f>IFERROR(VLOOKUP($A3553,HeadJournal!$A$1:$NTR$890,COLUMN(HeadJournal!C$1),0),"")</f>
        <v>iHerb_AV CYG0792</v>
      </c>
      <c r="D3553" s="125" t="s">
        <v>714</v>
      </c>
      <c r="E3553" s="95">
        <f>IFERROR(VLOOKUP($A3553,HeadJournal!$A$1:$NTR$890,COLUMN(HeadJournal!G$1),0),"")</f>
        <v>45475</v>
      </c>
      <c r="F3553" s="95" t="str">
        <f t="shared" si="282"/>
        <v>2024 07</v>
      </c>
      <c r="G3553" s="96" t="s">
        <v>5</v>
      </c>
      <c r="H3553" s="161" t="s">
        <v>2051</v>
      </c>
      <c r="I3553" s="97" t="s">
        <v>2052</v>
      </c>
      <c r="J3553" s="97" t="s">
        <v>3097</v>
      </c>
      <c r="K3553" s="29">
        <v>21.04</v>
      </c>
      <c r="L3553" s="29">
        <v>-12.54</v>
      </c>
      <c r="M3553" s="30">
        <f>IFERROR(VLOOKUP($A3553,HeadJournal!$A$1:$J$890,COLUMN(HeadJournal!I$1),0)*($K3553+$L3553)/(SUMIF($A:$A,$A3553,$K:$K)+SUMIF($A:$A,$A3553,$L:$L)),0)</f>
        <v>-0.97456340167046285</v>
      </c>
      <c r="N3553" s="30">
        <f>IFERROR((VLOOKUP($A3553,HeadJournal!$A$1:$K$890,COLUMN(HeadJournal!K$1),0)-VLOOKUP($A3553,HeadJournal!$A$1:$K$890,COLUMN(HeadJournal!J$1),0))*($K3553+$L3553)/(SUMIF($A:$A,$A3553,$K:$K)+SUMIF($A:$A,$A3553,$L:$L)),0)</f>
        <v>-1.2229032151781017E-15</v>
      </c>
      <c r="O3553" s="30">
        <f>IFERROR((VLOOKUP($A3553,HeadJournal!$A$1:$L$890,COLUMN(HeadJournal!L$1),0)*($K3553+$L3553)/(SUMIF($A:$A,$A3553,$K:$K)+SUMIF($A:$A,$A3553,$L:$L)))/VLOOKUP($A3553,HeadJournal!$A$1:$L$890,COLUMN(HeadJournal!H$1),0),0)</f>
        <v>0.51417703733870446</v>
      </c>
      <c r="P3553" s="30">
        <f>IFERROR(SUM(K3553:O3553)*VLOOKUP($A3553,HeadJournal!$A$1:$L$890,COLUMN(HeadJournal!H$1),0),0)</f>
        <v>797.41337636041487</v>
      </c>
      <c r="Q3553" s="29">
        <v>2200</v>
      </c>
      <c r="R3553" s="31">
        <v>45507</v>
      </c>
      <c r="S3553" s="31" t="s">
        <v>3121</v>
      </c>
      <c r="T3553" s="95" t="str">
        <f t="shared" si="283"/>
        <v>2024 08</v>
      </c>
      <c r="U3553" s="32">
        <f t="shared" si="280"/>
        <v>1402.586623639585</v>
      </c>
      <c r="V3553" s="22">
        <f t="shared" si="281"/>
        <v>1.7589203607811614</v>
      </c>
      <c r="X3553" s="33"/>
      <c r="Y3553" s="33"/>
    </row>
    <row r="3554" spans="1:25" x14ac:dyDescent="0.2">
      <c r="A3554" s="93" t="s">
        <v>1891</v>
      </c>
      <c r="B3554" s="94" t="str">
        <f>IFERROR(VLOOKUP($A3554,HeadJournal!$A$1:$NTR$890,COLUMN(HeadJournal!B$1),0),"")</f>
        <v>720000282915</v>
      </c>
      <c r="C3554" s="94" t="str">
        <f>IFERROR(VLOOKUP($A3554,HeadJournal!$A$1:$NTR$890,COLUMN(HeadJournal!C$1),0),"")</f>
        <v>iHerb_AV CYG0792</v>
      </c>
      <c r="D3554" s="125" t="s">
        <v>714</v>
      </c>
      <c r="E3554" s="95">
        <f>IFERROR(VLOOKUP($A3554,HeadJournal!$A$1:$NTR$890,COLUMN(HeadJournal!G$1),0),"")</f>
        <v>45475</v>
      </c>
      <c r="F3554" s="95" t="str">
        <f t="shared" si="282"/>
        <v>2024 07</v>
      </c>
      <c r="G3554" s="96" t="s">
        <v>5</v>
      </c>
      <c r="H3554" s="160" t="str">
        <f>RIGHT(Journal!$J3554,9)</f>
        <v>NRT-05315</v>
      </c>
      <c r="I3554" s="127" t="str">
        <f t="shared" si="279"/>
        <v>Nature's Bounty</v>
      </c>
      <c r="J3554" s="97" t="s">
        <v>1893</v>
      </c>
      <c r="K3554" s="29">
        <v>28.44</v>
      </c>
      <c r="L3554" s="29">
        <v>-4.2699999999999996</v>
      </c>
      <c r="M3554" s="30">
        <f>IFERROR(VLOOKUP($A3554,HeadJournal!$A$1:$J$890,COLUMN(HeadJournal!I$1),0)*($K3554+$L3554)/(SUMIF($A:$A,$A3554,$K:$K)+SUMIF($A:$A,$A3554,$L:$L)),0)</f>
        <v>-2.7711996962794228</v>
      </c>
      <c r="N3554" s="30">
        <f>IFERROR((VLOOKUP($A3554,HeadJournal!$A$1:$K$890,COLUMN(HeadJournal!K$1),0)-VLOOKUP($A3554,HeadJournal!$A$1:$K$890,COLUMN(HeadJournal!J$1),0))*($K3554+$L3554)/(SUMIF($A:$A,$A3554,$K:$K)+SUMIF($A:$A,$A3554,$L:$L)),0)</f>
        <v>-3.4773612601005556E-15</v>
      </c>
      <c r="O3554" s="30">
        <f>IFERROR((VLOOKUP($A3554,HeadJournal!$A$1:$L$890,COLUMN(HeadJournal!L$1),0)*($K3554+$L3554)/(SUMIF($A:$A,$A3554,$K:$K)+SUMIF($A:$A,$A3554,$L:$L)))/VLOOKUP($A3554,HeadJournal!$A$1:$L$890,COLUMN(HeadJournal!H$1),0),0)</f>
        <v>1.4620775285266456</v>
      </c>
      <c r="P3554" s="30">
        <f>IFERROR(SUM(K3554:O3554)*VLOOKUP($A3554,HeadJournal!$A$1:$L$890,COLUMN(HeadJournal!H$1),0),0)</f>
        <v>2267.4683890154383</v>
      </c>
      <c r="Q3554" s="29">
        <v>3100</v>
      </c>
      <c r="R3554" s="31">
        <v>45507</v>
      </c>
      <c r="S3554" s="31" t="s">
        <v>3121</v>
      </c>
      <c r="T3554" s="95" t="str">
        <f t="shared" si="283"/>
        <v>2024 08</v>
      </c>
      <c r="U3554" s="32">
        <f t="shared" si="280"/>
        <v>832.53161098456167</v>
      </c>
      <c r="V3554" s="22">
        <f t="shared" si="281"/>
        <v>0.36716349167983631</v>
      </c>
      <c r="X3554" s="33"/>
      <c r="Y3554" s="33"/>
    </row>
    <row r="3555" spans="1:25" x14ac:dyDescent="0.2">
      <c r="A3555" s="93" t="s">
        <v>1891</v>
      </c>
      <c r="B3555" s="94" t="str">
        <f>IFERROR(VLOOKUP($A3555,HeadJournal!$A$1:$NTR$890,COLUMN(HeadJournal!B$1),0),"")</f>
        <v>720000282915</v>
      </c>
      <c r="C3555" s="94" t="str">
        <f>IFERROR(VLOOKUP($A3555,HeadJournal!$A$1:$NTR$890,COLUMN(HeadJournal!C$1),0),"")</f>
        <v>iHerb_AV CYG0792</v>
      </c>
      <c r="D3555" s="125" t="s">
        <v>714</v>
      </c>
      <c r="E3555" s="95">
        <f>IFERROR(VLOOKUP($A3555,HeadJournal!$A$1:$NTR$890,COLUMN(HeadJournal!G$1),0),"")</f>
        <v>45475</v>
      </c>
      <c r="F3555" s="95" t="str">
        <f t="shared" si="282"/>
        <v>2024 07</v>
      </c>
      <c r="G3555" s="96" t="s">
        <v>5</v>
      </c>
      <c r="H3555" s="160" t="str">
        <f>RIGHT(Journal!$J3555,9)</f>
        <v>CGN-01864</v>
      </c>
      <c r="I3555" s="127" t="str">
        <f t="shared" si="279"/>
        <v>California Gold Nutrition</v>
      </c>
      <c r="J3555" s="97" t="s">
        <v>1195</v>
      </c>
      <c r="K3555" s="29">
        <v>53.87</v>
      </c>
      <c r="L3555" s="29">
        <v>-16.16</v>
      </c>
      <c r="M3555" s="30">
        <f>IFERROR(VLOOKUP($A3555,HeadJournal!$A$1:$J$890,COLUMN(HeadJournal!I$1),0)*($K3555+$L3555)/(SUMIF($A:$A,$A3555,$K:$K)+SUMIF($A:$A,$A3555,$L:$L)),0)</f>
        <v>-4.3236218678815472</v>
      </c>
      <c r="N3555" s="30">
        <f>IFERROR((VLOOKUP($A3555,HeadJournal!$A$1:$K$890,COLUMN(HeadJournal!K$1),0)-VLOOKUP($A3555,HeadJournal!$A$1:$K$890,COLUMN(HeadJournal!J$1),0))*($K3555+$L3555)/(SUMIF($A:$A,$A3555,$K:$K)+SUMIF($A:$A,$A3555,$L:$L)),0)</f>
        <v>-5.4253741463960251E-15</v>
      </c>
      <c r="O3555" s="30">
        <f>IFERROR((VLOOKUP($A3555,HeadJournal!$A$1:$L$890,COLUMN(HeadJournal!L$1),0)*($K3555+$L3555)/(SUMIF($A:$A,$A3555,$K:$K)+SUMIF($A:$A,$A3555,$L:$L)))/VLOOKUP($A3555,HeadJournal!$A$1:$L$890,COLUMN(HeadJournal!H$1),0),0)</f>
        <v>2.2811313032991225</v>
      </c>
      <c r="P3555" s="30">
        <f>IFERROR(SUM(K3555:O3555)*VLOOKUP($A3555,HeadJournal!$A$1:$L$890,COLUMN(HeadJournal!H$1),0),0)</f>
        <v>3537.7009908883806</v>
      </c>
      <c r="Q3555" s="29">
        <v>5300</v>
      </c>
      <c r="R3555" s="31">
        <v>45560</v>
      </c>
      <c r="S3555" s="31" t="s">
        <v>3121</v>
      </c>
      <c r="T3555" s="95" t="str">
        <f t="shared" si="283"/>
        <v>2024 09</v>
      </c>
      <c r="U3555" s="32">
        <f t="shared" si="280"/>
        <v>1762.2990091116194</v>
      </c>
      <c r="V3555" s="22">
        <f t="shared" si="281"/>
        <v>0.49814809494939094</v>
      </c>
      <c r="X3555" s="33"/>
      <c r="Y3555" s="33"/>
    </row>
    <row r="3556" spans="1:25" x14ac:dyDescent="0.2">
      <c r="A3556" s="93" t="s">
        <v>1891</v>
      </c>
      <c r="B3556" s="94" t="str">
        <f>IFERROR(VLOOKUP($A3556,HeadJournal!$A$1:$NTR$890,COLUMN(HeadJournal!B$1),0),"")</f>
        <v>720000282915</v>
      </c>
      <c r="C3556" s="94" t="str">
        <f>IFERROR(VLOOKUP($A3556,HeadJournal!$A$1:$NTR$890,COLUMN(HeadJournal!C$1),0),"")</f>
        <v>iHerb_AV CYG0792</v>
      </c>
      <c r="D3556" s="125" t="s">
        <v>714</v>
      </c>
      <c r="E3556" s="95">
        <f>IFERROR(VLOOKUP($A3556,HeadJournal!$A$1:$NTR$890,COLUMN(HeadJournal!G$1),0),"")</f>
        <v>45475</v>
      </c>
      <c r="F3556" s="95" t="str">
        <f t="shared" si="282"/>
        <v>2024 07</v>
      </c>
      <c r="G3556" s="96" t="s">
        <v>5</v>
      </c>
      <c r="H3556" s="161" t="s">
        <v>2546</v>
      </c>
      <c r="I3556" s="97" t="s">
        <v>2039</v>
      </c>
      <c r="J3556" s="97" t="s">
        <v>2547</v>
      </c>
      <c r="K3556" s="29">
        <v>10.76</v>
      </c>
      <c r="L3556" s="29">
        <v>-2.15</v>
      </c>
      <c r="M3556" s="30">
        <f>IFERROR(VLOOKUP($A3556,HeadJournal!$A$1:$J$890,COLUMN(HeadJournal!I$1),0)*($K3556+$L3556)/(SUMIF($A:$A,$A3556,$K:$K)+SUMIF($A:$A,$A3556,$L:$L)),0)</f>
        <v>-0.9871753986332571</v>
      </c>
      <c r="N3556" s="30">
        <f>IFERROR((VLOOKUP($A3556,HeadJournal!$A$1:$K$890,COLUMN(HeadJournal!K$1),0)-VLOOKUP($A3556,HeadJournal!$A$1:$K$890,COLUMN(HeadJournal!J$1),0))*($K3556+$L3556)/(SUMIF($A:$A,$A3556,$K:$K)+SUMIF($A:$A,$A3556,$L:$L)),0)</f>
        <v>-1.2387290214921713E-15</v>
      </c>
      <c r="O3556" s="30">
        <f>IFERROR((VLOOKUP($A3556,HeadJournal!$A$1:$L$890,COLUMN(HeadJournal!L$1),0)*($K3556+$L3556)/(SUMIF($A:$A,$A3556,$K:$K)+SUMIF($A:$A,$A3556,$L:$L)))/VLOOKUP($A3556,HeadJournal!$A$1:$L$890,COLUMN(HeadJournal!H$1),0),0)</f>
        <v>0.52083109311602882</v>
      </c>
      <c r="P3556" s="30">
        <f>IFERROR(SUM(K3556:O3556)*VLOOKUP($A3556,HeadJournal!$A$1:$L$890,COLUMN(HeadJournal!H$1),0),0)</f>
        <v>807.73284358390265</v>
      </c>
      <c r="Q3556" s="29">
        <v>1700</v>
      </c>
      <c r="R3556" s="31">
        <v>45573</v>
      </c>
      <c r="S3556" s="31" t="s">
        <v>3121</v>
      </c>
      <c r="T3556" s="95" t="str">
        <f t="shared" si="283"/>
        <v>2024 10</v>
      </c>
      <c r="U3556" s="32">
        <f t="shared" si="280"/>
        <v>892.26715641609735</v>
      </c>
      <c r="V3556" s="22">
        <f t="shared" si="281"/>
        <v>1.1046562777577755</v>
      </c>
      <c r="X3556" s="33"/>
      <c r="Y3556" s="33"/>
    </row>
    <row r="3557" spans="1:25" x14ac:dyDescent="0.2">
      <c r="A3557" s="93" t="s">
        <v>1891</v>
      </c>
      <c r="B3557" s="94" t="str">
        <f>IFERROR(VLOOKUP($A3557,HeadJournal!$A$1:$NTR$890,COLUMN(HeadJournal!B$1),0),"")</f>
        <v>720000282915</v>
      </c>
      <c r="C3557" s="94" t="str">
        <f>IFERROR(VLOOKUP($A3557,HeadJournal!$A$1:$NTR$890,COLUMN(HeadJournal!C$1),0),"")</f>
        <v>iHerb_AV CYG0792</v>
      </c>
      <c r="D3557" s="125" t="s">
        <v>714</v>
      </c>
      <c r="E3557" s="95">
        <f>IFERROR(VLOOKUP($A3557,HeadJournal!$A$1:$NTR$890,COLUMN(HeadJournal!G$1),0),"")</f>
        <v>45475</v>
      </c>
      <c r="F3557" s="95" t="str">
        <f t="shared" si="282"/>
        <v>2024 07</v>
      </c>
      <c r="G3557" s="96" t="s">
        <v>5</v>
      </c>
      <c r="H3557" s="161" t="s">
        <v>2537</v>
      </c>
      <c r="I3557" s="97" t="s">
        <v>2491</v>
      </c>
      <c r="J3557" s="97" t="s">
        <v>2538</v>
      </c>
      <c r="K3557" s="29">
        <v>48.52</v>
      </c>
      <c r="L3557" s="29">
        <v>-14.56</v>
      </c>
      <c r="M3557" s="30">
        <f>IFERROR(VLOOKUP($A3557,HeadJournal!$A$1:$J$890,COLUMN(HeadJournal!I$1),0)*($K3557+$L3557)/(SUMIF($A:$A,$A3557,$K:$K)+SUMIF($A:$A,$A3557,$L:$L)),0)</f>
        <v>-3.8936674259681086</v>
      </c>
      <c r="N3557" s="30">
        <f>IFERROR((VLOOKUP($A3557,HeadJournal!$A$1:$K$890,COLUMN(HeadJournal!K$1),0)-VLOOKUP($A3557,HeadJournal!$A$1:$K$890,COLUMN(HeadJournal!J$1),0))*($K3557+$L3557)/(SUMIF($A:$A,$A3557,$K:$K)+SUMIF($A:$A,$A3557,$L:$L)),0)</f>
        <v>-4.8858580220527459E-15</v>
      </c>
      <c r="O3557" s="30">
        <f>IFERROR((VLOOKUP($A3557,HeadJournal!$A$1:$L$890,COLUMN(HeadJournal!L$1),0)*($K3557+$L3557)/(SUMIF($A:$A,$A3557,$K:$K)+SUMIF($A:$A,$A3557,$L:$L)))/VLOOKUP($A3557,HeadJournal!$A$1:$L$890,COLUMN(HeadJournal!H$1),0),0)</f>
        <v>2.0542884927085181</v>
      </c>
      <c r="P3557" s="30">
        <f>IFERROR(SUM(K3557:O3557)*VLOOKUP($A3557,HeadJournal!$A$1:$L$890,COLUMN(HeadJournal!H$1),0),0)</f>
        <v>3185.9009719058458</v>
      </c>
      <c r="Q3557" s="29"/>
      <c r="R3557" s="31"/>
      <c r="S3557" s="31"/>
      <c r="T3557" s="95" t="str">
        <f t="shared" si="283"/>
        <v/>
      </c>
      <c r="U3557" s="32">
        <f t="shared" si="280"/>
        <v>-3185.9009719058458</v>
      </c>
      <c r="V3557" s="22" t="str">
        <f t="shared" si="281"/>
        <v/>
      </c>
      <c r="X3557" s="33"/>
      <c r="Y3557" s="33"/>
    </row>
    <row r="3558" spans="1:25" x14ac:dyDescent="0.2">
      <c r="A3558" s="93" t="s">
        <v>1891</v>
      </c>
      <c r="B3558" s="94" t="str">
        <f>IFERROR(VLOOKUP($A3558,HeadJournal!$A$1:$NTR$890,COLUMN(HeadJournal!B$1),0),"")</f>
        <v>720000282915</v>
      </c>
      <c r="C3558" s="94" t="str">
        <f>IFERROR(VLOOKUP($A3558,HeadJournal!$A$1:$NTR$890,COLUMN(HeadJournal!C$1),0),"")</f>
        <v>iHerb_AV CYG0792</v>
      </c>
      <c r="D3558" s="125" t="s">
        <v>714</v>
      </c>
      <c r="E3558" s="95">
        <f>IFERROR(VLOOKUP($A3558,HeadJournal!$A$1:$NTR$890,COLUMN(HeadJournal!G$1),0),"")</f>
        <v>45475</v>
      </c>
      <c r="F3558" s="95" t="str">
        <f t="shared" si="282"/>
        <v>2024 07</v>
      </c>
      <c r="G3558" s="96" t="s">
        <v>5</v>
      </c>
      <c r="H3558" s="161" t="s">
        <v>2565</v>
      </c>
      <c r="I3558" s="97" t="s">
        <v>2052</v>
      </c>
      <c r="J3558" s="97" t="s">
        <v>3829</v>
      </c>
      <c r="K3558" s="29">
        <v>31.02</v>
      </c>
      <c r="L3558" s="29">
        <v>-9.31</v>
      </c>
      <c r="M3558" s="30">
        <f>IFERROR(VLOOKUP($A3558,HeadJournal!$A$1:$J$890,COLUMN(HeadJournal!I$1),0)*($K3558+$L3558)/(SUMIF($A:$A,$A3558,$K:$K)+SUMIF($A:$A,$A3558,$L:$L)),0)</f>
        <v>-2.489149582384206</v>
      </c>
      <c r="N3558" s="30">
        <f>IFERROR((VLOOKUP($A3558,HeadJournal!$A$1:$K$890,COLUMN(HeadJournal!K$1),0)-VLOOKUP($A3558,HeadJournal!$A$1:$K$890,COLUMN(HeadJournal!J$1),0))*($K3558+$L3558)/(SUMIF($A:$A,$A3558,$K:$K)+SUMIF($A:$A,$A3558,$L:$L)),0)</f>
        <v>-3.1234386825313639E-15</v>
      </c>
      <c r="O3558" s="30">
        <f>IFERROR((VLOOKUP($A3558,HeadJournal!$A$1:$L$890,COLUMN(HeadJournal!L$1),0)*($K3558+$L3558)/(SUMIF($A:$A,$A3558,$K:$K)+SUMIF($A:$A,$A3558,$L:$L)))/VLOOKUP($A3558,HeadJournal!$A$1:$L$890,COLUMN(HeadJournal!H$1),0),0)</f>
        <v>1.3132686447792088</v>
      </c>
      <c r="P3558" s="30">
        <f>IFERROR(SUM(K3558:O3558)*VLOOKUP($A3558,HeadJournal!$A$1:$L$890,COLUMN(HeadJournal!H$1),0),0)</f>
        <v>2036.6875765628949</v>
      </c>
      <c r="Q3558" s="29">
        <v>3400</v>
      </c>
      <c r="R3558" s="31">
        <v>45530</v>
      </c>
      <c r="S3558" s="31" t="s">
        <v>3121</v>
      </c>
      <c r="T3558" s="95" t="str">
        <f t="shared" si="283"/>
        <v>2024 08</v>
      </c>
      <c r="U3558" s="32">
        <f t="shared" si="280"/>
        <v>1363.3124234371051</v>
      </c>
      <c r="V3558" s="22">
        <f t="shared" si="281"/>
        <v>0.66937729631455067</v>
      </c>
      <c r="X3558" s="33"/>
      <c r="Y3558" s="33"/>
    </row>
    <row r="3559" spans="1:25" x14ac:dyDescent="0.2">
      <c r="A3559" s="93" t="s">
        <v>1891</v>
      </c>
      <c r="B3559" s="94" t="str">
        <f>IFERROR(VLOOKUP($A3559,HeadJournal!$A$1:$NTR$890,COLUMN(HeadJournal!B$1),0),"")</f>
        <v>720000282915</v>
      </c>
      <c r="C3559" s="94" t="str">
        <f>IFERROR(VLOOKUP($A3559,HeadJournal!$A$1:$NTR$890,COLUMN(HeadJournal!C$1),0),"")</f>
        <v>iHerb_AV CYG0792</v>
      </c>
      <c r="D3559" s="125" t="s">
        <v>714</v>
      </c>
      <c r="E3559" s="95">
        <f>IFERROR(VLOOKUP($A3559,HeadJournal!$A$1:$NTR$890,COLUMN(HeadJournal!G$1),0),"")</f>
        <v>45475</v>
      </c>
      <c r="F3559" s="95" t="str">
        <f t="shared" si="282"/>
        <v>2024 07</v>
      </c>
      <c r="G3559" s="96" t="s">
        <v>5</v>
      </c>
      <c r="H3559" s="160" t="str">
        <f>RIGHT(Journal!$J3559,9)</f>
        <v>LEX-15351</v>
      </c>
      <c r="I3559" s="127" t="str">
        <f t="shared" si="279"/>
        <v>Life Extension</v>
      </c>
      <c r="J3559" s="97" t="s">
        <v>1894</v>
      </c>
      <c r="K3559" s="29">
        <v>9.74</v>
      </c>
      <c r="L3559" s="29">
        <v>-0.97</v>
      </c>
      <c r="M3559" s="30">
        <f>IFERROR(VLOOKUP($A3559,HeadJournal!$A$1:$J$890,COLUMN(HeadJournal!I$1),0)*($K3559+$L3559)/(SUMIF($A:$A,$A3559,$K:$K)+SUMIF($A:$A,$A3559,$L:$L)),0)</f>
        <v>-1.0055201214882306</v>
      </c>
      <c r="N3559" s="30">
        <f>IFERROR((VLOOKUP($A3559,HeadJournal!$A$1:$K$890,COLUMN(HeadJournal!K$1),0)-VLOOKUP($A3559,HeadJournal!$A$1:$K$890,COLUMN(HeadJournal!J$1),0))*($K3559+$L3559)/(SUMIF($A:$A,$A3559,$K:$K)+SUMIF($A:$A,$A3559,$L:$L)),0)</f>
        <v>-1.2617483761308178E-15</v>
      </c>
      <c r="O3559" s="30">
        <f>IFERROR((VLOOKUP($A3559,HeadJournal!$A$1:$L$890,COLUMN(HeadJournal!L$1),0)*($K3559+$L3559)/(SUMIF($A:$A,$A3559,$K:$K)+SUMIF($A:$A,$A3559,$L:$L)))/VLOOKUP($A3559,HeadJournal!$A$1:$L$890,COLUMN(HeadJournal!H$1),0),0)</f>
        <v>0.53050971970122796</v>
      </c>
      <c r="P3559" s="30">
        <f>IFERROR(SUM(K3559:O3559)*VLOOKUP($A3559,HeadJournal!$A$1:$L$890,COLUMN(HeadJournal!H$1),0),0)</f>
        <v>822.74297772715749</v>
      </c>
      <c r="Q3559" s="29">
        <v>1500</v>
      </c>
      <c r="R3559" s="31">
        <v>45507</v>
      </c>
      <c r="S3559" s="31" t="s">
        <v>3121</v>
      </c>
      <c r="T3559" s="95" t="str">
        <f t="shared" si="283"/>
        <v>2024 08</v>
      </c>
      <c r="U3559" s="32">
        <f t="shared" si="280"/>
        <v>677.25702227284251</v>
      </c>
      <c r="V3559" s="22">
        <f t="shared" si="281"/>
        <v>0.82316961749558459</v>
      </c>
      <c r="X3559" s="33"/>
      <c r="Y3559" s="33"/>
    </row>
    <row r="3560" spans="1:25" x14ac:dyDescent="0.2">
      <c r="A3560" s="93" t="s">
        <v>1895</v>
      </c>
      <c r="B3560" s="94" t="str">
        <f>IFERROR(VLOOKUP($A3560,HeadJournal!$A$1:$NTR$890,COLUMN(HeadJournal!B$1),0),"")</f>
        <v>720000288230</v>
      </c>
      <c r="C3560" s="94" t="str">
        <f>IFERROR(VLOOKUP($A3560,HeadJournal!$A$1:$NTR$890,COLUMN(HeadJournal!C$1),0),"")</f>
        <v>iHerb_MH DLE7202</v>
      </c>
      <c r="D3560" s="125" t="str">
        <f>IFERROR(VLOOKUP($A3560,HeadJournal!$A$1:$NTR$890,COLUMN(HeadJournal!D$1),0),"")</f>
        <v>Доставлен</v>
      </c>
      <c r="E3560" s="95">
        <f>IFERROR(VLOOKUP($A3560,HeadJournal!$A$1:$NTR$890,COLUMN(HeadJournal!G$1),0),"")</f>
        <v>45481</v>
      </c>
      <c r="F3560" s="95" t="str">
        <f t="shared" si="282"/>
        <v>2024 07</v>
      </c>
      <c r="G3560" s="96" t="s">
        <v>7</v>
      </c>
      <c r="H3560" s="160" t="str">
        <f>RIGHT(Journal!$J3560,9)</f>
        <v>MSH-53332</v>
      </c>
      <c r="I3560" s="127" t="str">
        <f t="shared" si="279"/>
        <v>Missha</v>
      </c>
      <c r="J3560" s="97" t="s">
        <v>1897</v>
      </c>
      <c r="K3560" s="29">
        <v>8.84</v>
      </c>
      <c r="L3560" s="29">
        <v>-0.88</v>
      </c>
      <c r="M3560" s="30">
        <f>IFERROR(VLOOKUP($A3560,HeadJournal!$A$1:$J$890,COLUMN(HeadJournal!I$1),0)*($K3560+$L3560)/(SUMIF($A:$A,$A3560,$K:$K)+SUMIF($A:$A,$A3560,$L:$L)),0)</f>
        <v>-1.0345275386370709</v>
      </c>
      <c r="N3560" s="30">
        <f>IFERROR((VLOOKUP($A3560,HeadJournal!$A$1:$K$890,COLUMN(HeadJournal!K$1),0)-VLOOKUP($A3560,HeadJournal!$A$1:$K$890,COLUMN(HeadJournal!J$1),0))*($K3560+$L3560)/(SUMIF($A:$A,$A3560,$K:$K)+SUMIF($A:$A,$A3560,$L:$L)),0)</f>
        <v>0</v>
      </c>
      <c r="O3560" s="30">
        <f>IFERROR((VLOOKUP($A3560,HeadJournal!$A$1:$L$890,COLUMN(HeadJournal!L$1),0)*($K3560+$L3560)/(SUMIF($A:$A,$A3560,$K:$K)+SUMIF($A:$A,$A3560,$L:$L)))/VLOOKUP($A3560,HeadJournal!$A$1:$L$890,COLUMN(HeadJournal!H$1),0),0)</f>
        <v>0.36643169418152621</v>
      </c>
      <c r="P3560" s="30">
        <f>IFERROR(SUM(K3560:O3560)*VLOOKUP($A3560,HeadJournal!$A$1:$L$890,COLUMN(HeadJournal!H$1),0),0)</f>
        <v>730.31575770148334</v>
      </c>
      <c r="Q3560" s="29">
        <v>730.32</v>
      </c>
      <c r="R3560" s="31">
        <v>45482</v>
      </c>
      <c r="S3560" s="31" t="s">
        <v>3121</v>
      </c>
      <c r="T3560" s="95" t="str">
        <f t="shared" si="283"/>
        <v>2024 07</v>
      </c>
      <c r="U3560" s="32">
        <f t="shared" si="280"/>
        <v>4.2422985167149818E-3</v>
      </c>
      <c r="V3560" s="22">
        <f t="shared" si="281"/>
        <v>5.8088552410079885E-6</v>
      </c>
      <c r="X3560" s="33"/>
      <c r="Y3560" s="33"/>
    </row>
    <row r="3561" spans="1:25" x14ac:dyDescent="0.2">
      <c r="A3561" s="93" t="s">
        <v>1895</v>
      </c>
      <c r="B3561" s="94" t="str">
        <f>IFERROR(VLOOKUP($A3561,HeadJournal!$A$1:$NTR$890,COLUMN(HeadJournal!B$1),0),"")</f>
        <v>720000288230</v>
      </c>
      <c r="C3561" s="94" t="str">
        <f>IFERROR(VLOOKUP($A3561,HeadJournal!$A$1:$NTR$890,COLUMN(HeadJournal!C$1),0),"")</f>
        <v>iHerb_MH DLE7202</v>
      </c>
      <c r="D3561" s="125" t="str">
        <f>IFERROR(VLOOKUP($A3561,HeadJournal!$A$1:$NTR$890,COLUMN(HeadJournal!D$1),0),"")</f>
        <v>Доставлен</v>
      </c>
      <c r="E3561" s="95">
        <f>IFERROR(VLOOKUP($A3561,HeadJournal!$A$1:$NTR$890,COLUMN(HeadJournal!G$1),0),"")</f>
        <v>45481</v>
      </c>
      <c r="F3561" s="95" t="str">
        <f t="shared" si="282"/>
        <v>2024 07</v>
      </c>
      <c r="G3561" s="96" t="s">
        <v>5</v>
      </c>
      <c r="H3561" s="161" t="s">
        <v>2617</v>
      </c>
      <c r="I3561" s="97" t="s">
        <v>2618</v>
      </c>
      <c r="J3561" s="97" t="s">
        <v>2619</v>
      </c>
      <c r="K3561" s="29">
        <v>13.43</v>
      </c>
      <c r="L3561" s="29">
        <v>-1.345</v>
      </c>
      <c r="M3561" s="30">
        <f>IFERROR(VLOOKUP($A3561,HeadJournal!$A$1:$J$890,COLUMN(HeadJournal!I$1),0)*($K3561+$L3561)/(SUMIF($A:$A,$A3561,$K:$K)+SUMIF($A:$A,$A3561,$L:$L)),0)</f>
        <v>-1.5706363447775125</v>
      </c>
      <c r="N3561" s="30">
        <f>IFERROR((VLOOKUP($A3561,HeadJournal!$A$1:$K$890,COLUMN(HeadJournal!K$1),0)-VLOOKUP($A3561,HeadJournal!$A$1:$K$890,COLUMN(HeadJournal!J$1),0))*($K3561+$L3561)/(SUMIF($A:$A,$A3561,$K:$K)+SUMIF($A:$A,$A3561,$L:$L)),0)</f>
        <v>0</v>
      </c>
      <c r="O3561" s="30">
        <f>IFERROR((VLOOKUP($A3561,HeadJournal!$A$1:$L$890,COLUMN(HeadJournal!L$1),0)*($K3561+$L3561)/(SUMIF($A:$A,$A3561,$K:$K)+SUMIF($A:$A,$A3561,$L:$L)))/VLOOKUP($A3561,HeadJournal!$A$1:$L$890,COLUMN(HeadJournal!H$1),0),0)</f>
        <v>0.55632249047534466</v>
      </c>
      <c r="P3561" s="30">
        <f>IFERROR(SUM(K3561:O3561)*VLOOKUP($A3561,HeadJournal!$A$1:$L$890,COLUMN(HeadJournal!H$1),0),0)</f>
        <v>1108.7771271133702</v>
      </c>
      <c r="Q3561" s="29">
        <v>2500</v>
      </c>
      <c r="R3561" s="31">
        <v>45523</v>
      </c>
      <c r="S3561" s="31" t="s">
        <v>3121</v>
      </c>
      <c r="T3561" s="95" t="str">
        <f t="shared" si="283"/>
        <v>2024 08</v>
      </c>
      <c r="U3561" s="32">
        <f t="shared" si="280"/>
        <v>1391.2228728866298</v>
      </c>
      <c r="V3561" s="22">
        <f t="shared" si="281"/>
        <v>1.2547362665286836</v>
      </c>
      <c r="X3561" s="33"/>
      <c r="Y3561" s="33"/>
    </row>
    <row r="3562" spans="1:25" x14ac:dyDescent="0.2">
      <c r="A3562" s="93" t="s">
        <v>1895</v>
      </c>
      <c r="B3562" s="94" t="str">
        <f>IFERROR(VLOOKUP($A3562,HeadJournal!$A$1:$NTR$890,COLUMN(HeadJournal!B$1),0),"")</f>
        <v>720000288230</v>
      </c>
      <c r="C3562" s="94" t="str">
        <f>IFERROR(VLOOKUP($A3562,HeadJournal!$A$1:$NTR$890,COLUMN(HeadJournal!C$1),0),"")</f>
        <v>iHerb_MH DLE7202</v>
      </c>
      <c r="D3562" s="125" t="str">
        <f>IFERROR(VLOOKUP($A3562,HeadJournal!$A$1:$NTR$890,COLUMN(HeadJournal!D$1),0),"")</f>
        <v>Доставлен</v>
      </c>
      <c r="E3562" s="95">
        <f>IFERROR(VLOOKUP($A3562,HeadJournal!$A$1:$NTR$890,COLUMN(HeadJournal!G$1),0),"")</f>
        <v>45481</v>
      </c>
      <c r="F3562" s="95" t="str">
        <f t="shared" si="282"/>
        <v>2024 07</v>
      </c>
      <c r="G3562" s="96" t="s">
        <v>5</v>
      </c>
      <c r="H3562" s="161" t="s">
        <v>2617</v>
      </c>
      <c r="I3562" s="97" t="s">
        <v>2618</v>
      </c>
      <c r="J3562" s="97" t="s">
        <v>2619</v>
      </c>
      <c r="K3562" s="29">
        <v>13.43</v>
      </c>
      <c r="L3562" s="29">
        <v>-1.345</v>
      </c>
      <c r="M3562" s="30">
        <f>IFERROR(VLOOKUP($A3562,HeadJournal!$A$1:$J$890,COLUMN(HeadJournal!I$1),0)*($K3562+$L3562)/(SUMIF($A:$A,$A3562,$K:$K)+SUMIF($A:$A,$A3562,$L:$L)),0)</f>
        <v>-1.5706363447775125</v>
      </c>
      <c r="N3562" s="30">
        <f>IFERROR((VLOOKUP($A3562,HeadJournal!$A$1:$K$890,COLUMN(HeadJournal!K$1),0)-VLOOKUP($A3562,HeadJournal!$A$1:$K$890,COLUMN(HeadJournal!J$1),0))*($K3562+$L3562)/(SUMIF($A:$A,$A3562,$K:$K)+SUMIF($A:$A,$A3562,$L:$L)),0)</f>
        <v>0</v>
      </c>
      <c r="O3562" s="30">
        <f>IFERROR((VLOOKUP($A3562,HeadJournal!$A$1:$L$890,COLUMN(HeadJournal!L$1),0)*($K3562+$L3562)/(SUMIF($A:$A,$A3562,$K:$K)+SUMIF($A:$A,$A3562,$L:$L)))/VLOOKUP($A3562,HeadJournal!$A$1:$L$890,COLUMN(HeadJournal!H$1),0),0)</f>
        <v>0.55632249047534466</v>
      </c>
      <c r="P3562" s="30">
        <f>IFERROR(SUM(K3562:O3562)*VLOOKUP($A3562,HeadJournal!$A$1:$L$890,COLUMN(HeadJournal!H$1),0),0)</f>
        <v>1108.7771271133702</v>
      </c>
      <c r="Q3562" s="29">
        <v>2500</v>
      </c>
      <c r="R3562" s="31">
        <v>45523</v>
      </c>
      <c r="S3562" s="31" t="s">
        <v>3121</v>
      </c>
      <c r="T3562" s="95" t="str">
        <f t="shared" si="283"/>
        <v>2024 08</v>
      </c>
      <c r="U3562" s="32">
        <f t="shared" si="280"/>
        <v>1391.2228728866298</v>
      </c>
      <c r="V3562" s="22">
        <f t="shared" si="281"/>
        <v>1.2547362665286836</v>
      </c>
      <c r="X3562" s="33"/>
      <c r="Y3562" s="33"/>
    </row>
    <row r="3563" spans="1:25" x14ac:dyDescent="0.2">
      <c r="A3563" s="93" t="s">
        <v>1895</v>
      </c>
      <c r="B3563" s="94" t="str">
        <f>IFERROR(VLOOKUP($A3563,HeadJournal!$A$1:$NTR$890,COLUMN(HeadJournal!B$1),0),"")</f>
        <v>720000288230</v>
      </c>
      <c r="C3563" s="94" t="str">
        <f>IFERROR(VLOOKUP($A3563,HeadJournal!$A$1:$NTR$890,COLUMN(HeadJournal!C$1),0),"")</f>
        <v>iHerb_MH DLE7202</v>
      </c>
      <c r="D3563" s="125" t="str">
        <f>IFERROR(VLOOKUP($A3563,HeadJournal!$A$1:$NTR$890,COLUMN(HeadJournal!D$1),0),"")</f>
        <v>Доставлен</v>
      </c>
      <c r="E3563" s="95">
        <f>IFERROR(VLOOKUP($A3563,HeadJournal!$A$1:$NTR$890,COLUMN(HeadJournal!G$1),0),"")</f>
        <v>45481</v>
      </c>
      <c r="F3563" s="95" t="str">
        <f t="shared" si="282"/>
        <v>2024 07</v>
      </c>
      <c r="G3563" s="96" t="s">
        <v>5</v>
      </c>
      <c r="H3563" s="160" t="str">
        <f>RIGHT(Journal!$J3563,9)</f>
        <v>NOW-01299</v>
      </c>
      <c r="I3563" s="127" t="str">
        <f t="shared" si="279"/>
        <v>NOW Foods</v>
      </c>
      <c r="J3563" s="97" t="s">
        <v>1898</v>
      </c>
      <c r="K3563" s="29">
        <v>19.13</v>
      </c>
      <c r="L3563" s="29">
        <v>-1.91</v>
      </c>
      <c r="M3563" s="30">
        <f>IFERROR(VLOOKUP($A3563,HeadJournal!$A$1:$J$890,COLUMN(HeadJournal!I$1),0)*($K3563+$L3563)/(SUMIF($A:$A,$A3563,$K:$K)+SUMIF($A:$A,$A3563,$L:$L)),0)</f>
        <v>-2.2380105798153718</v>
      </c>
      <c r="N3563" s="30">
        <f>IFERROR((VLOOKUP($A3563,HeadJournal!$A$1:$K$890,COLUMN(HeadJournal!K$1),0)-VLOOKUP($A3563,HeadJournal!$A$1:$K$890,COLUMN(HeadJournal!J$1),0))*($K3563+$L3563)/(SUMIF($A:$A,$A3563,$K:$K)+SUMIF($A:$A,$A3563,$L:$L)),0)</f>
        <v>0</v>
      </c>
      <c r="O3563" s="30">
        <f>IFERROR((VLOOKUP($A3563,HeadJournal!$A$1:$L$890,COLUMN(HeadJournal!L$1),0)*($K3563+$L3563)/(SUMIF($A:$A,$A3563,$K:$K)+SUMIF($A:$A,$A3563,$L:$L)))/VLOOKUP($A3563,HeadJournal!$A$1:$L$890,COLUMN(HeadJournal!H$1),0),0)</f>
        <v>0.79270776052837688</v>
      </c>
      <c r="P3563" s="30">
        <f>IFERROR(SUM(K3563:O3563)*VLOOKUP($A3563,HeadJournal!$A$1:$L$890,COLUMN(HeadJournal!H$1),0),0)</f>
        <v>1579.9041893994399</v>
      </c>
      <c r="Q3563" s="29">
        <v>2400</v>
      </c>
      <c r="R3563" s="31">
        <v>45518</v>
      </c>
      <c r="S3563" s="31" t="s">
        <v>3121</v>
      </c>
      <c r="T3563" s="95" t="str">
        <f t="shared" si="283"/>
        <v>2024 08</v>
      </c>
      <c r="U3563" s="32">
        <f t="shared" si="280"/>
        <v>820.09581060056007</v>
      </c>
      <c r="V3563" s="22">
        <f t="shared" si="281"/>
        <v>0.51907945817416845</v>
      </c>
      <c r="X3563" s="33"/>
      <c r="Y3563" s="33"/>
    </row>
    <row r="3564" spans="1:25" x14ac:dyDescent="0.2">
      <c r="A3564" s="93" t="s">
        <v>1895</v>
      </c>
      <c r="B3564" s="94" t="str">
        <f>IFERROR(VLOOKUP($A3564,HeadJournal!$A$1:$NTR$890,COLUMN(HeadJournal!B$1),0),"")</f>
        <v>720000288230</v>
      </c>
      <c r="C3564" s="94" t="str">
        <f>IFERROR(VLOOKUP($A3564,HeadJournal!$A$1:$NTR$890,COLUMN(HeadJournal!C$1),0),"")</f>
        <v>iHerb_MH DLE7202</v>
      </c>
      <c r="D3564" s="125" t="str">
        <f>IFERROR(VLOOKUP($A3564,HeadJournal!$A$1:$NTR$890,COLUMN(HeadJournal!D$1),0),"")</f>
        <v>Доставлен</v>
      </c>
      <c r="E3564" s="95">
        <f>IFERROR(VLOOKUP($A3564,HeadJournal!$A$1:$NTR$890,COLUMN(HeadJournal!G$1),0),"")</f>
        <v>45481</v>
      </c>
      <c r="F3564" s="95" t="str">
        <f t="shared" si="282"/>
        <v>2024 07</v>
      </c>
      <c r="G3564" s="96" t="s">
        <v>5</v>
      </c>
      <c r="H3564" s="161" t="s">
        <v>2473</v>
      </c>
      <c r="I3564" s="97" t="s">
        <v>2005</v>
      </c>
      <c r="J3564" s="97" t="s">
        <v>2474</v>
      </c>
      <c r="K3564" s="29">
        <v>24.11</v>
      </c>
      <c r="L3564" s="29">
        <v>-2.41</v>
      </c>
      <c r="M3564" s="30">
        <f>IFERROR(VLOOKUP($A3564,HeadJournal!$A$1:$J$890,COLUMN(HeadJournal!I$1),0)*($K3564+$L3564)/(SUMIF($A:$A,$A3564,$K:$K)+SUMIF($A:$A,$A3564,$L:$L)),0)</f>
        <v>-2.8202572347266877</v>
      </c>
      <c r="N3564" s="30">
        <f>IFERROR((VLOOKUP($A3564,HeadJournal!$A$1:$K$890,COLUMN(HeadJournal!K$1),0)-VLOOKUP($A3564,HeadJournal!$A$1:$K$890,COLUMN(HeadJournal!J$1),0))*($K3564+$L3564)/(SUMIF($A:$A,$A3564,$K:$K)+SUMIF($A:$A,$A3564,$L:$L)),0)</f>
        <v>0</v>
      </c>
      <c r="O3564" s="30">
        <f>IFERROR((VLOOKUP($A3564,HeadJournal!$A$1:$L$890,COLUMN(HeadJournal!L$1),0)*($K3564+$L3564)/(SUMIF($A:$A,$A3564,$K:$K)+SUMIF($A:$A,$A3564,$L:$L)))/VLOOKUP($A3564,HeadJournal!$A$1:$L$890,COLUMN(HeadJournal!H$1),0),0)</f>
        <v>0.9989406738365727</v>
      </c>
      <c r="P3564" s="30">
        <f>IFERROR(SUM(K3564:O3564)*VLOOKUP($A3564,HeadJournal!$A$1:$L$890,COLUMN(HeadJournal!H$1),0),0)</f>
        <v>1990.9361736334408</v>
      </c>
      <c r="Q3564" s="29">
        <v>2900</v>
      </c>
      <c r="R3564" s="31">
        <v>45518</v>
      </c>
      <c r="S3564" s="31" t="s">
        <v>3121</v>
      </c>
      <c r="T3564" s="95" t="str">
        <f t="shared" si="283"/>
        <v>2024 08</v>
      </c>
      <c r="U3564" s="32">
        <f t="shared" si="280"/>
        <v>909.06382636655917</v>
      </c>
      <c r="V3564" s="22">
        <f t="shared" si="281"/>
        <v>0.45660119013635969</v>
      </c>
      <c r="X3564" s="33"/>
      <c r="Y3564" s="33"/>
    </row>
    <row r="3565" spans="1:25" x14ac:dyDescent="0.2">
      <c r="A3565" s="93" t="s">
        <v>1895</v>
      </c>
      <c r="B3565" s="94" t="str">
        <f>IFERROR(VLOOKUP($A3565,HeadJournal!$A$1:$NTR$890,COLUMN(HeadJournal!B$1),0),"")</f>
        <v>720000288230</v>
      </c>
      <c r="C3565" s="94" t="str">
        <f>IFERROR(VLOOKUP($A3565,HeadJournal!$A$1:$NTR$890,COLUMN(HeadJournal!C$1),0),"")</f>
        <v>iHerb_MH DLE7202</v>
      </c>
      <c r="D3565" s="125" t="str">
        <f>IFERROR(VLOOKUP($A3565,HeadJournal!$A$1:$NTR$890,COLUMN(HeadJournal!D$1),0),"")</f>
        <v>Доставлен</v>
      </c>
      <c r="E3565" s="95">
        <f>IFERROR(VLOOKUP($A3565,HeadJournal!$A$1:$NTR$890,COLUMN(HeadJournal!G$1),0),"")</f>
        <v>45481</v>
      </c>
      <c r="F3565" s="95" t="str">
        <f t="shared" si="282"/>
        <v>2024 07</v>
      </c>
      <c r="G3565" s="96" t="s">
        <v>5</v>
      </c>
      <c r="H3565" s="161" t="s">
        <v>4158</v>
      </c>
      <c r="I3565" s="97" t="s">
        <v>2005</v>
      </c>
      <c r="J3565" s="97" t="s">
        <v>4159</v>
      </c>
      <c r="K3565" s="29">
        <v>9.68</v>
      </c>
      <c r="L3565" s="29">
        <v>-1.94</v>
      </c>
      <c r="M3565" s="30">
        <f>IFERROR(VLOOKUP($A3565,HeadJournal!$A$1:$J$890,COLUMN(HeadJournal!I$1),0)*($K3565+$L3565)/(SUMIF($A:$A,$A3565,$K:$K)+SUMIF($A:$A,$A3565,$L:$L)),0)</f>
        <v>-1.0059350689762472</v>
      </c>
      <c r="N3565" s="30">
        <f>IFERROR((VLOOKUP($A3565,HeadJournal!$A$1:$K$890,COLUMN(HeadJournal!K$1),0)-VLOOKUP($A3565,HeadJournal!$A$1:$K$890,COLUMN(HeadJournal!J$1),0))*($K3565+$L3565)/(SUMIF($A:$A,$A3565,$K:$K)+SUMIF($A:$A,$A3565,$L:$L)),0)</f>
        <v>0</v>
      </c>
      <c r="O3565" s="30">
        <f>IFERROR((VLOOKUP($A3565,HeadJournal!$A$1:$L$890,COLUMN(HeadJournal!L$1),0)*($K3565+$L3565)/(SUMIF($A:$A,$A3565,$K:$K)+SUMIF($A:$A,$A3565,$L:$L)))/VLOOKUP($A3565,HeadJournal!$A$1:$L$890,COLUMN(HeadJournal!H$1),0),0)</f>
        <v>0.35630418504585593</v>
      </c>
      <c r="P3565" s="30">
        <f>IFERROR(SUM(K3565:O3565)*VLOOKUP($A3565,HeadJournal!$A$1:$L$890,COLUMN(HeadJournal!H$1),0),0)</f>
        <v>710.13115133284941</v>
      </c>
      <c r="Q3565" s="29">
        <v>1500</v>
      </c>
      <c r="R3565" s="31">
        <v>45518</v>
      </c>
      <c r="S3565" s="31" t="s">
        <v>3121</v>
      </c>
      <c r="T3565" s="95" t="str">
        <f t="shared" si="283"/>
        <v>2024 08</v>
      </c>
      <c r="U3565" s="32">
        <f t="shared" si="280"/>
        <v>789.86884866715059</v>
      </c>
      <c r="V3565" s="22">
        <f t="shared" si="281"/>
        <v>1.1122858744960575</v>
      </c>
      <c r="X3565" s="33"/>
      <c r="Y3565" s="33"/>
    </row>
    <row r="3566" spans="1:25" x14ac:dyDescent="0.2">
      <c r="A3566" s="93" t="s">
        <v>1895</v>
      </c>
      <c r="B3566" s="94" t="str">
        <f>IFERROR(VLOOKUP($A3566,HeadJournal!$A$1:$NTR$890,COLUMN(HeadJournal!B$1),0),"")</f>
        <v>720000288230</v>
      </c>
      <c r="C3566" s="94" t="str">
        <f>IFERROR(VLOOKUP($A3566,HeadJournal!$A$1:$NTR$890,COLUMN(HeadJournal!C$1),0),"")</f>
        <v>iHerb_MH DLE7202</v>
      </c>
      <c r="D3566" s="125" t="str">
        <f>IFERROR(VLOOKUP($A3566,HeadJournal!$A$1:$NTR$890,COLUMN(HeadJournal!D$1),0),"")</f>
        <v>Доставлен</v>
      </c>
      <c r="E3566" s="95">
        <f>IFERROR(VLOOKUP($A3566,HeadJournal!$A$1:$NTR$890,COLUMN(HeadJournal!G$1),0),"")</f>
        <v>45481</v>
      </c>
      <c r="F3566" s="95" t="str">
        <f t="shared" si="282"/>
        <v>2024 07</v>
      </c>
      <c r="G3566" s="96" t="s">
        <v>5</v>
      </c>
      <c r="H3566" s="160" t="str">
        <f>RIGHT(Journal!$J3566,9)</f>
        <v>NOW-01446</v>
      </c>
      <c r="I3566" s="127" t="str">
        <f t="shared" si="279"/>
        <v>NOW Foods</v>
      </c>
      <c r="J3566" s="97" t="s">
        <v>1899</v>
      </c>
      <c r="K3566" s="29">
        <v>14.66</v>
      </c>
      <c r="L3566" s="29">
        <v>-1.47</v>
      </c>
      <c r="M3566" s="30">
        <f>IFERROR(VLOOKUP($A3566,HeadJournal!$A$1:$J$890,COLUMN(HeadJournal!I$1),0)*($K3566+$L3566)/(SUMIF($A:$A,$A3566,$K:$K)+SUMIF($A:$A,$A3566,$L:$L)),0)</f>
        <v>-1.7142485219375581</v>
      </c>
      <c r="N3566" s="30">
        <f>IFERROR((VLOOKUP($A3566,HeadJournal!$A$1:$K$890,COLUMN(HeadJournal!K$1),0)-VLOOKUP($A3566,HeadJournal!$A$1:$K$890,COLUMN(HeadJournal!J$1),0))*($K3566+$L3566)/(SUMIF($A:$A,$A3566,$K:$K)+SUMIF($A:$A,$A3566,$L:$L)),0)</f>
        <v>0</v>
      </c>
      <c r="O3566" s="30">
        <f>IFERROR((VLOOKUP($A3566,HeadJournal!$A$1:$L$890,COLUMN(HeadJournal!L$1),0)*($K3566+$L3566)/(SUMIF($A:$A,$A3566,$K:$K)+SUMIF($A:$A,$A3566,$L:$L)))/VLOOKUP($A3566,HeadJournal!$A$1:$L$890,COLUMN(HeadJournal!H$1),0),0)</f>
        <v>0.60719020681587066</v>
      </c>
      <c r="P3566" s="30">
        <f>IFERROR(SUM(K3566:O3566)*VLOOKUP($A3566,HeadJournal!$A$1:$L$890,COLUMN(HeadJournal!H$1),0),0)</f>
        <v>1210.1589000103725</v>
      </c>
      <c r="Q3566" s="29">
        <v>2000</v>
      </c>
      <c r="R3566" s="31">
        <v>45518</v>
      </c>
      <c r="S3566" s="31" t="s">
        <v>3121</v>
      </c>
      <c r="T3566" s="95" t="str">
        <f t="shared" si="283"/>
        <v>2024 08</v>
      </c>
      <c r="U3566" s="32">
        <f t="shared" si="280"/>
        <v>789.84109998962754</v>
      </c>
      <c r="V3566" s="22">
        <f t="shared" si="281"/>
        <v>0.65267552879448942</v>
      </c>
      <c r="X3566" s="33"/>
      <c r="Y3566" s="33"/>
    </row>
    <row r="3567" spans="1:25" x14ac:dyDescent="0.2">
      <c r="A3567" s="93" t="s">
        <v>1895</v>
      </c>
      <c r="B3567" s="94" t="str">
        <f>IFERROR(VLOOKUP($A3567,HeadJournal!$A$1:$NTR$890,COLUMN(HeadJournal!B$1),0),"")</f>
        <v>720000288230</v>
      </c>
      <c r="C3567" s="94" t="str">
        <f>IFERROR(VLOOKUP($A3567,HeadJournal!$A$1:$NTR$890,COLUMN(HeadJournal!C$1),0),"")</f>
        <v>iHerb_MH DLE7202</v>
      </c>
      <c r="D3567" s="125" t="str">
        <f>IFERROR(VLOOKUP($A3567,HeadJournal!$A$1:$NTR$890,COLUMN(HeadJournal!D$1),0),"")</f>
        <v>Доставлен</v>
      </c>
      <c r="E3567" s="95">
        <f>IFERROR(VLOOKUP($A3567,HeadJournal!$A$1:$NTR$890,COLUMN(HeadJournal!G$1),0),"")</f>
        <v>45481</v>
      </c>
      <c r="F3567" s="95" t="str">
        <f t="shared" si="282"/>
        <v>2024 07</v>
      </c>
      <c r="G3567" s="96" t="s">
        <v>5</v>
      </c>
      <c r="H3567" s="161" t="s">
        <v>2665</v>
      </c>
      <c r="I3567" s="97" t="s">
        <v>2666</v>
      </c>
      <c r="J3567" s="97" t="s">
        <v>3930</v>
      </c>
      <c r="K3567" s="29">
        <v>9.5500000000000007</v>
      </c>
      <c r="L3567" s="29">
        <v>-1.91</v>
      </c>
      <c r="M3567" s="30">
        <f>IFERROR(VLOOKUP($A3567,HeadJournal!$A$1:$J$890,COLUMN(HeadJournal!I$1),0)*($K3567+$L3567)/(SUMIF($A:$A,$A3567,$K:$K)+SUMIF($A:$A,$A3567,$L:$L)),0)</f>
        <v>-0.99293849185769123</v>
      </c>
      <c r="N3567" s="30">
        <f>IFERROR((VLOOKUP($A3567,HeadJournal!$A$1:$K$890,COLUMN(HeadJournal!K$1),0)-VLOOKUP($A3567,HeadJournal!$A$1:$K$890,COLUMN(HeadJournal!J$1),0))*($K3567+$L3567)/(SUMIF($A:$A,$A3567,$K:$K)+SUMIF($A:$A,$A3567,$L:$L)),0)</f>
        <v>0</v>
      </c>
      <c r="O3567" s="30">
        <f>IFERROR((VLOOKUP($A3567,HeadJournal!$A$1:$L$890,COLUMN(HeadJournal!L$1),0)*($K3567+$L3567)/(SUMIF($A:$A,$A3567,$K:$K)+SUMIF($A:$A,$A3567,$L:$L)))/VLOOKUP($A3567,HeadJournal!$A$1:$L$890,COLUMN(HeadJournal!H$1),0),0)</f>
        <v>0.35170077180236942</v>
      </c>
      <c r="P3567" s="30">
        <f>IFERROR(SUM(K3567:O3567)*VLOOKUP($A3567,HeadJournal!$A$1:$L$890,COLUMN(HeadJournal!H$1),0),0)</f>
        <v>700.95633025619759</v>
      </c>
      <c r="Q3567" s="29">
        <v>1700</v>
      </c>
      <c r="R3567" s="31">
        <v>45640</v>
      </c>
      <c r="S3567" s="31" t="s">
        <v>3121</v>
      </c>
      <c r="T3567" s="95" t="str">
        <f t="shared" si="283"/>
        <v>2024 12</v>
      </c>
      <c r="U3567" s="32">
        <f t="shared" si="280"/>
        <v>999.04366974380241</v>
      </c>
      <c r="V3567" s="22">
        <f t="shared" si="281"/>
        <v>1.4252580747486148</v>
      </c>
      <c r="X3567" s="33"/>
      <c r="Y3567" s="33"/>
    </row>
    <row r="3568" spans="1:25" x14ac:dyDescent="0.2">
      <c r="A3568" s="93" t="s">
        <v>1895</v>
      </c>
      <c r="B3568" s="94" t="str">
        <f>IFERROR(VLOOKUP($A3568,HeadJournal!$A$1:$NTR$890,COLUMN(HeadJournal!B$1),0),"")</f>
        <v>720000288230</v>
      </c>
      <c r="C3568" s="94" t="str">
        <f>IFERROR(VLOOKUP($A3568,HeadJournal!$A$1:$NTR$890,COLUMN(HeadJournal!C$1),0),"")</f>
        <v>iHerb_MH DLE7202</v>
      </c>
      <c r="D3568" s="125" t="str">
        <f>IFERROR(VLOOKUP($A3568,HeadJournal!$A$1:$NTR$890,COLUMN(HeadJournal!D$1),0),"")</f>
        <v>Доставлен</v>
      </c>
      <c r="E3568" s="95">
        <f>IFERROR(VLOOKUP($A3568,HeadJournal!$A$1:$NTR$890,COLUMN(HeadJournal!G$1),0),"")</f>
        <v>45481</v>
      </c>
      <c r="F3568" s="95" t="str">
        <f t="shared" si="282"/>
        <v>2024 07</v>
      </c>
      <c r="G3568" s="96" t="s">
        <v>5</v>
      </c>
      <c r="H3568" s="161" t="s">
        <v>3585</v>
      </c>
      <c r="I3568" s="97" t="s">
        <v>2052</v>
      </c>
      <c r="J3568" s="97" t="s">
        <v>3586</v>
      </c>
      <c r="K3568" s="29">
        <v>44.43</v>
      </c>
      <c r="L3568" s="29">
        <v>-13.33</v>
      </c>
      <c r="M3568" s="30">
        <f>IFERROR(VLOOKUP($A3568,HeadJournal!$A$1:$J$890,COLUMN(HeadJournal!I$1),0)*($K3568+$L3568)/(SUMIF($A:$A,$A3568,$K:$K)+SUMIF($A:$A,$A3568,$L:$L)),0)</f>
        <v>-4.0419354838709678</v>
      </c>
      <c r="N3568" s="30">
        <f>IFERROR((VLOOKUP($A3568,HeadJournal!$A$1:$K$890,COLUMN(HeadJournal!K$1),0)-VLOOKUP($A3568,HeadJournal!$A$1:$K$890,COLUMN(HeadJournal!J$1),0))*($K3568+$L3568)/(SUMIF($A:$A,$A3568,$K:$K)+SUMIF($A:$A,$A3568,$L:$L)),0)</f>
        <v>0</v>
      </c>
      <c r="O3568" s="30">
        <f>IFERROR((VLOOKUP($A3568,HeadJournal!$A$1:$L$890,COLUMN(HeadJournal!L$1),0)*($K3568+$L3568)/(SUMIF($A:$A,$A3568,$K:$K)+SUMIF($A:$A,$A3568,$L:$L)))/VLOOKUP($A3568,HeadJournal!$A$1:$L$890,COLUMN(HeadJournal!H$1),0),0)</f>
        <v>1.4316615187243049</v>
      </c>
      <c r="P3568" s="30">
        <f>IFERROR(SUM(K3568:O3568)*VLOOKUP($A3568,HeadJournal!$A$1:$L$890,COLUMN(HeadJournal!H$1),0),0)</f>
        <v>2853.36935483871</v>
      </c>
      <c r="Q3568" s="29">
        <v>4200</v>
      </c>
      <c r="R3568" s="31">
        <v>45532</v>
      </c>
      <c r="S3568" s="31" t="s">
        <v>3121</v>
      </c>
      <c r="T3568" s="95" t="str">
        <f t="shared" si="283"/>
        <v>2024 08</v>
      </c>
      <c r="U3568" s="32">
        <f t="shared" si="280"/>
        <v>1346.63064516129</v>
      </c>
      <c r="V3568" s="22">
        <f t="shared" si="281"/>
        <v>0.47194403447197947</v>
      </c>
      <c r="X3568" s="33"/>
      <c r="Y3568" s="33"/>
    </row>
    <row r="3569" spans="1:25" x14ac:dyDescent="0.2">
      <c r="A3569" s="93" t="s">
        <v>1895</v>
      </c>
      <c r="B3569" s="94" t="str">
        <f>IFERROR(VLOOKUP($A3569,HeadJournal!$A$1:$NTR$890,COLUMN(HeadJournal!B$1),0),"")</f>
        <v>720000288230</v>
      </c>
      <c r="C3569" s="94" t="str">
        <f>IFERROR(VLOOKUP($A3569,HeadJournal!$A$1:$NTR$890,COLUMN(HeadJournal!C$1),0),"")</f>
        <v>iHerb_MH DLE7202</v>
      </c>
      <c r="D3569" s="125" t="str">
        <f>IFERROR(VLOOKUP($A3569,HeadJournal!$A$1:$NTR$890,COLUMN(HeadJournal!D$1),0),"")</f>
        <v>Доставлен</v>
      </c>
      <c r="E3569" s="95">
        <f>IFERROR(VLOOKUP($A3569,HeadJournal!$A$1:$NTR$890,COLUMN(HeadJournal!G$1),0),"")</f>
        <v>45481</v>
      </c>
      <c r="F3569" s="95" t="str">
        <f t="shared" si="282"/>
        <v>2024 07</v>
      </c>
      <c r="G3569" s="96" t="s">
        <v>5</v>
      </c>
      <c r="H3569" s="161" t="s">
        <v>3011</v>
      </c>
      <c r="I3569" s="97" t="s">
        <v>2052</v>
      </c>
      <c r="J3569" s="97" t="s">
        <v>3012</v>
      </c>
      <c r="K3569" s="29">
        <v>6.1</v>
      </c>
      <c r="L3569" s="29">
        <v>-1.83</v>
      </c>
      <c r="M3569" s="30">
        <f>IFERROR(VLOOKUP($A3569,HeadJournal!$A$1:$J$890,COLUMN(HeadJournal!I$1),0)*($K3569+$L3569)/(SUMIF($A:$A,$A3569,$K:$K)+SUMIF($A:$A,$A3569,$L:$L)),0)</f>
        <v>-0.55495384296234818</v>
      </c>
      <c r="N3569" s="30">
        <f>IFERROR((VLOOKUP($A3569,HeadJournal!$A$1:$K$890,COLUMN(HeadJournal!K$1),0)-VLOOKUP($A3569,HeadJournal!$A$1:$K$890,COLUMN(HeadJournal!J$1),0))*($K3569+$L3569)/(SUMIF($A:$A,$A3569,$K:$K)+SUMIF($A:$A,$A3569,$L:$L)),0)</f>
        <v>0</v>
      </c>
      <c r="O3569" s="30">
        <f>IFERROR((VLOOKUP($A3569,HeadJournal!$A$1:$L$890,COLUMN(HeadJournal!L$1),0)*($K3569+$L3569)/(SUMIF($A:$A,$A3569,$K:$K)+SUMIF($A:$A,$A3569,$L:$L)))/VLOOKUP($A3569,HeadJournal!$A$1:$L$890,COLUMN(HeadJournal!H$1),0),0)</f>
        <v>0.196565745496874</v>
      </c>
      <c r="P3569" s="30">
        <f>IFERROR(SUM(K3569:O3569)*VLOOKUP($A3569,HeadJournal!$A$1:$L$890,COLUMN(HeadJournal!H$1),0),0)</f>
        <v>391.76485997303183</v>
      </c>
      <c r="Q3569" s="29">
        <v>800</v>
      </c>
      <c r="R3569" s="31">
        <v>45535</v>
      </c>
      <c r="S3569" s="31" t="s">
        <v>3121</v>
      </c>
      <c r="T3569" s="95" t="str">
        <f t="shared" si="283"/>
        <v>2024 08</v>
      </c>
      <c r="U3569" s="32">
        <f t="shared" si="280"/>
        <v>408.23514002696817</v>
      </c>
      <c r="V3569" s="22">
        <f t="shared" si="281"/>
        <v>1.042041238857079</v>
      </c>
      <c r="X3569" s="33"/>
      <c r="Y3569" s="33"/>
    </row>
    <row r="3570" spans="1:25" x14ac:dyDescent="0.2">
      <c r="A3570" s="93" t="s">
        <v>1895</v>
      </c>
      <c r="B3570" s="94" t="str">
        <f>IFERROR(VLOOKUP($A3570,HeadJournal!$A$1:$NTR$890,COLUMN(HeadJournal!B$1),0),"")</f>
        <v>720000288230</v>
      </c>
      <c r="C3570" s="94" t="str">
        <f>IFERROR(VLOOKUP($A3570,HeadJournal!$A$1:$NTR$890,COLUMN(HeadJournal!C$1),0),"")</f>
        <v>iHerb_MH DLE7202</v>
      </c>
      <c r="D3570" s="125" t="str">
        <f>IFERROR(VLOOKUP($A3570,HeadJournal!$A$1:$NTR$890,COLUMN(HeadJournal!D$1),0),"")</f>
        <v>Доставлен</v>
      </c>
      <c r="E3570" s="95">
        <f>IFERROR(VLOOKUP($A3570,HeadJournal!$A$1:$NTR$890,COLUMN(HeadJournal!G$1),0),"")</f>
        <v>45481</v>
      </c>
      <c r="F3570" s="95" t="str">
        <f t="shared" si="282"/>
        <v>2024 07</v>
      </c>
      <c r="G3570" s="96" t="s">
        <v>5</v>
      </c>
      <c r="H3570" s="160" t="str">
        <f>RIGHT(Journal!$J3570,9)</f>
        <v>CGN-00963</v>
      </c>
      <c r="I3570" s="127" t="str">
        <f t="shared" si="279"/>
        <v>California Gold Nutrition</v>
      </c>
      <c r="J3570" s="97" t="s">
        <v>1127</v>
      </c>
      <c r="K3570" s="29">
        <v>11.68</v>
      </c>
      <c r="L3570" s="29">
        <v>-3.5</v>
      </c>
      <c r="M3570" s="30">
        <f>IFERROR(VLOOKUP($A3570,HeadJournal!$A$1:$J$890,COLUMN(HeadJournal!I$1),0)*($K3570+$L3570)/(SUMIF($A:$A,$A3570,$K:$K)+SUMIF($A:$A,$A3570,$L:$L)),0)</f>
        <v>-1.0631200082978944</v>
      </c>
      <c r="N3570" s="30">
        <f>IFERROR((VLOOKUP($A3570,HeadJournal!$A$1:$K$890,COLUMN(HeadJournal!K$1),0)-VLOOKUP($A3570,HeadJournal!$A$1:$K$890,COLUMN(HeadJournal!J$1),0))*($K3570+$L3570)/(SUMIF($A:$A,$A3570,$K:$K)+SUMIF($A:$A,$A3570,$L:$L)),0)</f>
        <v>0</v>
      </c>
      <c r="O3570" s="30">
        <f>IFERROR((VLOOKUP($A3570,HeadJournal!$A$1:$L$890,COLUMN(HeadJournal!L$1),0)*($K3570+$L3570)/(SUMIF($A:$A,$A3570,$K:$K)+SUMIF($A:$A,$A3570,$L:$L)))/VLOOKUP($A3570,HeadJournal!$A$1:$L$890,COLUMN(HeadJournal!H$1),0),0)</f>
        <v>0.37655920331719656</v>
      </c>
      <c r="P3570" s="30">
        <f>IFERROR(SUM(K3570:O3570)*VLOOKUP($A3570,HeadJournal!$A$1:$L$890,COLUMN(HeadJournal!H$1),0),0)</f>
        <v>750.50036407011726</v>
      </c>
      <c r="Q3570" s="29">
        <v>1700</v>
      </c>
      <c r="R3570" s="31">
        <v>45990</v>
      </c>
      <c r="S3570" s="31"/>
      <c r="T3570" s="95" t="str">
        <f t="shared" si="283"/>
        <v>2025 11</v>
      </c>
      <c r="U3570" s="32">
        <f t="shared" si="280"/>
        <v>949.49963592988274</v>
      </c>
      <c r="V3570" s="22">
        <f t="shared" si="281"/>
        <v>1.2651554634571416</v>
      </c>
      <c r="X3570" s="33"/>
      <c r="Y3570" s="33"/>
    </row>
    <row r="3571" spans="1:25" x14ac:dyDescent="0.2">
      <c r="A3571" s="93" t="s">
        <v>1895</v>
      </c>
      <c r="B3571" s="94" t="str">
        <f>IFERROR(VLOOKUP($A3571,HeadJournal!$A$1:$NTR$890,COLUMN(HeadJournal!B$1),0),"")</f>
        <v>720000288230</v>
      </c>
      <c r="C3571" s="94" t="str">
        <f>IFERROR(VLOOKUP($A3571,HeadJournal!$A$1:$NTR$890,COLUMN(HeadJournal!C$1),0),"")</f>
        <v>iHerb_MH DLE7202</v>
      </c>
      <c r="D3571" s="125" t="str">
        <f>IFERROR(VLOOKUP($A3571,HeadJournal!$A$1:$NTR$890,COLUMN(HeadJournal!D$1),0),"")</f>
        <v>Доставлен</v>
      </c>
      <c r="E3571" s="95">
        <f>IFERROR(VLOOKUP($A3571,HeadJournal!$A$1:$NTR$890,COLUMN(HeadJournal!G$1),0),"")</f>
        <v>45481</v>
      </c>
      <c r="F3571" s="95" t="str">
        <f t="shared" si="282"/>
        <v>2024 07</v>
      </c>
      <c r="G3571" s="96" t="s">
        <v>5</v>
      </c>
      <c r="H3571" s="161" t="s">
        <v>2661</v>
      </c>
      <c r="I3571" s="97" t="s">
        <v>2005</v>
      </c>
      <c r="J3571" s="97" t="s">
        <v>2662</v>
      </c>
      <c r="K3571" s="29">
        <v>11.3</v>
      </c>
      <c r="L3571" s="29">
        <v>-1.1299999999999999</v>
      </c>
      <c r="M3571" s="30">
        <f>IFERROR(VLOOKUP($A3571,HeadJournal!$A$1:$J$890,COLUMN(HeadJournal!I$1),0)*($K3571+$L3571)/(SUMIF($A:$A,$A3571,$K:$K)+SUMIF($A:$A,$A3571,$L:$L)),0)</f>
        <v>-1.3217518929571623</v>
      </c>
      <c r="N3571" s="30">
        <f>IFERROR((VLOOKUP($A3571,HeadJournal!$A$1:$K$890,COLUMN(HeadJournal!K$1),0)-VLOOKUP($A3571,HeadJournal!$A$1:$K$890,COLUMN(HeadJournal!J$1),0))*($K3571+$L3571)/(SUMIF($A:$A,$A3571,$K:$K)+SUMIF($A:$A,$A3571,$L:$L)),0)</f>
        <v>0</v>
      </c>
      <c r="O3571" s="30">
        <f>IFERROR((VLOOKUP($A3571,HeadJournal!$A$1:$L$890,COLUMN(HeadJournal!L$1),0)*($K3571+$L3571)/(SUMIF($A:$A,$A3571,$K:$K)+SUMIF($A:$A,$A3571,$L:$L)))/VLOOKUP($A3571,HeadJournal!$A$1:$L$890,COLUMN(HeadJournal!H$1),0),0)</f>
        <v>0.46816712686257816</v>
      </c>
      <c r="P3571" s="30">
        <f>IFERROR(SUM(K3571:O3571)*VLOOKUP($A3571,HeadJournal!$A$1:$L$890,COLUMN(HeadJournal!H$1),0),0)</f>
        <v>933.07930349548815</v>
      </c>
      <c r="Q3571" s="29">
        <v>1600</v>
      </c>
      <c r="R3571" s="31">
        <v>45518</v>
      </c>
      <c r="S3571" s="31" t="s">
        <v>3121</v>
      </c>
      <c r="T3571" s="95" t="str">
        <f t="shared" si="283"/>
        <v>2024 08</v>
      </c>
      <c r="U3571" s="32">
        <f t="shared" si="280"/>
        <v>666.92069650451185</v>
      </c>
      <c r="V3571" s="22">
        <f t="shared" si="281"/>
        <v>0.71475242672954298</v>
      </c>
      <c r="X3571" s="33"/>
      <c r="Y3571" s="33"/>
    </row>
    <row r="3572" spans="1:25" x14ac:dyDescent="0.2">
      <c r="A3572" s="93" t="s">
        <v>1895</v>
      </c>
      <c r="B3572" s="94" t="str">
        <f>IFERROR(VLOOKUP($A3572,HeadJournal!$A$1:$NTR$890,COLUMN(HeadJournal!B$1),0),"")</f>
        <v>720000288230</v>
      </c>
      <c r="C3572" s="94" t="str">
        <f>IFERROR(VLOOKUP($A3572,HeadJournal!$A$1:$NTR$890,COLUMN(HeadJournal!C$1),0),"")</f>
        <v>iHerb_MH DLE7202</v>
      </c>
      <c r="D3572" s="125" t="str">
        <f>IFERROR(VLOOKUP($A3572,HeadJournal!$A$1:$NTR$890,COLUMN(HeadJournal!D$1),0),"")</f>
        <v>Доставлен</v>
      </c>
      <c r="E3572" s="95">
        <f>IFERROR(VLOOKUP($A3572,HeadJournal!$A$1:$NTR$890,COLUMN(HeadJournal!G$1),0),"")</f>
        <v>45481</v>
      </c>
      <c r="F3572" s="95" t="str">
        <f t="shared" si="282"/>
        <v>2024 07</v>
      </c>
      <c r="G3572" s="96" t="s">
        <v>5</v>
      </c>
      <c r="H3572" s="161" t="s">
        <v>2898</v>
      </c>
      <c r="I3572" s="97" t="s">
        <v>2491</v>
      </c>
      <c r="J3572" s="97" t="s">
        <v>3581</v>
      </c>
      <c r="K3572" s="29">
        <v>7.8</v>
      </c>
      <c r="L3572" s="29">
        <v>-2.34</v>
      </c>
      <c r="M3572" s="30">
        <f>IFERROR(VLOOKUP($A3572,HeadJournal!$A$1:$J$890,COLUMN(HeadJournal!I$1),0)*($K3572+$L3572)/(SUMIF($A:$A,$A3572,$K:$K)+SUMIF($A:$A,$A3572,$L:$L)),0)</f>
        <v>-0.70961311067316668</v>
      </c>
      <c r="N3572" s="30">
        <f>IFERROR((VLOOKUP($A3572,HeadJournal!$A$1:$K$890,COLUMN(HeadJournal!K$1),0)-VLOOKUP($A3572,HeadJournal!$A$1:$K$890,COLUMN(HeadJournal!J$1),0))*($K3572+$L3572)/(SUMIF($A:$A,$A3572,$K:$K)+SUMIF($A:$A,$A3572,$L:$L)),0)</f>
        <v>0</v>
      </c>
      <c r="O3572" s="30">
        <f>IFERROR((VLOOKUP($A3572,HeadJournal!$A$1:$L$890,COLUMN(HeadJournal!L$1),0)*($K3572+$L3572)/(SUMIF($A:$A,$A3572,$K:$K)+SUMIF($A:$A,$A3572,$L:$L)))/VLOOKUP($A3572,HeadJournal!$A$1:$L$890,COLUMN(HeadJournal!H$1),0),0)</f>
        <v>0.25134636309436342</v>
      </c>
      <c r="P3572" s="30">
        <f>IFERROR(SUM(K3572:O3572)*VLOOKUP($A3572,HeadJournal!$A$1:$L$890,COLUMN(HeadJournal!H$1),0),0)</f>
        <v>500.9452307851883</v>
      </c>
      <c r="Q3572" s="29">
        <v>1400</v>
      </c>
      <c r="R3572" s="31">
        <v>45780</v>
      </c>
      <c r="S3572" s="31" t="s">
        <v>3121</v>
      </c>
      <c r="T3572" s="95" t="str">
        <f t="shared" si="283"/>
        <v>2025 05</v>
      </c>
      <c r="U3572" s="32">
        <f t="shared" si="280"/>
        <v>899.0547692148117</v>
      </c>
      <c r="V3572" s="22">
        <f t="shared" si="281"/>
        <v>1.7947166954870917</v>
      </c>
      <c r="X3572" s="33"/>
      <c r="Y3572" s="33"/>
    </row>
    <row r="3573" spans="1:25" x14ac:dyDescent="0.2">
      <c r="A3573" s="93" t="s">
        <v>1895</v>
      </c>
      <c r="B3573" s="94" t="str">
        <f>IFERROR(VLOOKUP($A3573,HeadJournal!$A$1:$NTR$890,COLUMN(HeadJournal!B$1),0),"")</f>
        <v>720000288230</v>
      </c>
      <c r="C3573" s="94" t="str">
        <f>IFERROR(VLOOKUP($A3573,HeadJournal!$A$1:$NTR$890,COLUMN(HeadJournal!C$1),0),"")</f>
        <v>iHerb_MH DLE7202</v>
      </c>
      <c r="D3573" s="125" t="str">
        <f>IFERROR(VLOOKUP($A3573,HeadJournal!$A$1:$NTR$890,COLUMN(HeadJournal!D$1),0),"")</f>
        <v>Доставлен</v>
      </c>
      <c r="E3573" s="95">
        <f>IFERROR(VLOOKUP($A3573,HeadJournal!$A$1:$NTR$890,COLUMN(HeadJournal!G$1),0),"")</f>
        <v>45481</v>
      </c>
      <c r="F3573" s="95" t="str">
        <f t="shared" si="282"/>
        <v>2024 07</v>
      </c>
      <c r="G3573" s="96" t="s">
        <v>5</v>
      </c>
      <c r="H3573" s="161" t="s">
        <v>2615</v>
      </c>
      <c r="I3573" s="97" t="s">
        <v>2052</v>
      </c>
      <c r="J3573" s="97" t="s">
        <v>2616</v>
      </c>
      <c r="K3573" s="29">
        <v>48.6</v>
      </c>
      <c r="L3573" s="29">
        <v>-14.58</v>
      </c>
      <c r="M3573" s="30">
        <f>IFERROR(VLOOKUP($A3573,HeadJournal!$A$1:$J$890,COLUMN(HeadJournal!I$1),0)*($K3573+$L3573)/(SUMIF($A:$A,$A3573,$K:$K)+SUMIF($A:$A,$A3573,$L:$L)),0)</f>
        <v>-4.4214355357328081</v>
      </c>
      <c r="N3573" s="30">
        <f>IFERROR((VLOOKUP($A3573,HeadJournal!$A$1:$K$890,COLUMN(HeadJournal!K$1),0)-VLOOKUP($A3573,HeadJournal!$A$1:$K$890,COLUMN(HeadJournal!J$1),0))*($K3573+$L3573)/(SUMIF($A:$A,$A3573,$K:$K)+SUMIF($A:$A,$A3573,$L:$L)),0)</f>
        <v>0</v>
      </c>
      <c r="O3573" s="30">
        <f>IFERROR((VLOOKUP($A3573,HeadJournal!$A$1:$L$890,COLUMN(HeadJournal!L$1),0)*($K3573+$L3573)/(SUMIF($A:$A,$A3573,$K:$K)+SUMIF($A:$A,$A3573,$L:$L)))/VLOOKUP($A3573,HeadJournal!$A$1:$L$890,COLUMN(HeadJournal!H$1),0),0)</f>
        <v>1.566081185434111</v>
      </c>
      <c r="P3573" s="30">
        <f>IFERROR(SUM(K3573:O3573)*VLOOKUP($A3573,HeadJournal!$A$1:$L$890,COLUMN(HeadJournal!H$1),0),0)</f>
        <v>3121.2741302769427</v>
      </c>
      <c r="Q3573" s="29">
        <v>3121.27</v>
      </c>
      <c r="R3573" s="31">
        <v>45482</v>
      </c>
      <c r="S3573" s="31" t="s">
        <v>3121</v>
      </c>
      <c r="T3573" s="95" t="str">
        <f t="shared" si="283"/>
        <v>2024 07</v>
      </c>
      <c r="U3573" s="32">
        <f t="shared" si="280"/>
        <v>-4.130276942760247E-3</v>
      </c>
      <c r="V3573" s="22">
        <f t="shared" si="281"/>
        <v>-1.323266323420871E-6</v>
      </c>
      <c r="X3573" s="33"/>
      <c r="Y3573" s="33"/>
    </row>
    <row r="3574" spans="1:25" x14ac:dyDescent="0.2">
      <c r="A3574" s="93" t="s">
        <v>1900</v>
      </c>
      <c r="B3574" s="94">
        <f>IFERROR(VLOOKUP($A3574,HeadJournal!$A$1:$NTR$890,COLUMN(HeadJournal!B$1),0),"")</f>
        <v>0</v>
      </c>
      <c r="C3574" s="94" t="str">
        <f>IFERROR(VLOOKUP($A3574,HeadJournal!$A$1:$NTR$890,COLUMN(HeadJournal!C$1),0),"")</f>
        <v>OZON_OA</v>
      </c>
      <c r="D3574" s="125" t="str">
        <f>IFERROR(VLOOKUP($A3574,HeadJournal!$A$1:$NTR$890,COLUMN(HeadJournal!D$1),0),"")</f>
        <v>Доставлен</v>
      </c>
      <c r="E3574" s="95">
        <f>IFERROR(VLOOKUP($A3574,HeadJournal!$A$1:$NTR$890,COLUMN(HeadJournal!G$1),0),"")</f>
        <v>45475</v>
      </c>
      <c r="F3574" s="95" t="str">
        <f t="shared" si="282"/>
        <v>2024 07</v>
      </c>
      <c r="G3574" s="96" t="s">
        <v>5</v>
      </c>
      <c r="H3574" s="160" t="str">
        <f>RIGHT(Journal!$J3574,9)</f>
        <v>753291308</v>
      </c>
      <c r="I3574" s="96" t="str">
        <f t="shared" si="279"/>
        <v>VitaLine</v>
      </c>
      <c r="J3574" s="97" t="s">
        <v>1901</v>
      </c>
      <c r="K3574" s="29">
        <v>3920</v>
      </c>
      <c r="L3574" s="29">
        <v>0</v>
      </c>
      <c r="M3574" s="30">
        <f>IFERROR(VLOOKUP($A3574,HeadJournal!$A$1:$J$890,COLUMN(HeadJournal!I$1),0)*($K3574+$L3574)/(SUMIF($A:$A,$A3574,$K:$K)+SUMIF($A:$A,$A3574,$L:$L)),0)</f>
        <v>0</v>
      </c>
      <c r="N3574" s="30">
        <f>IFERROR((VLOOKUP($A3574,HeadJournal!$A$1:$K$890,COLUMN(HeadJournal!K$1),0)-VLOOKUP($A3574,HeadJournal!$A$1:$K$890,COLUMN(HeadJournal!J$1),0))*($K3574+$L3574)/(SUMIF($A:$A,$A3574,$K:$K)+SUMIF($A:$A,$A3574,$L:$L)),0)</f>
        <v>0</v>
      </c>
      <c r="O3574" s="30">
        <f>IFERROR((VLOOKUP($A3574,HeadJournal!$A$1:$L$890,COLUMN(HeadJournal!L$1),0)*($K3574+$L3574)/(SUMIF($A:$A,$A3574,$K:$K)+SUMIF($A:$A,$A3574,$L:$L)))/VLOOKUP($A3574,HeadJournal!$A$1:$L$890,COLUMN(HeadJournal!H$1),0),0)</f>
        <v>0</v>
      </c>
      <c r="P3574" s="30">
        <f>IFERROR(SUM(K3574:O3574)*VLOOKUP($A3574,HeadJournal!$A$1:$L$890,COLUMN(HeadJournal!H$1),0),0)</f>
        <v>3920</v>
      </c>
      <c r="Q3574" s="29">
        <v>4500</v>
      </c>
      <c r="R3574" s="31">
        <v>45494</v>
      </c>
      <c r="S3574" s="31" t="s">
        <v>3121</v>
      </c>
      <c r="T3574" s="95" t="str">
        <f t="shared" si="283"/>
        <v>2024 07</v>
      </c>
      <c r="U3574" s="32">
        <f t="shared" si="280"/>
        <v>580</v>
      </c>
      <c r="V3574" s="22">
        <f t="shared" si="281"/>
        <v>0.14795918367346939</v>
      </c>
      <c r="X3574" s="33"/>
      <c r="Y3574" s="33"/>
    </row>
    <row r="3575" spans="1:25" x14ac:dyDescent="0.2">
      <c r="A3575" s="93" t="s">
        <v>1900</v>
      </c>
      <c r="B3575" s="94">
        <f>IFERROR(VLOOKUP($A3575,HeadJournal!$A$1:$NTR$890,COLUMN(HeadJournal!B$1),0),"")</f>
        <v>0</v>
      </c>
      <c r="C3575" s="94" t="str">
        <f>IFERROR(VLOOKUP($A3575,HeadJournal!$A$1:$NTR$890,COLUMN(HeadJournal!C$1),0),"")</f>
        <v>OZON_OA</v>
      </c>
      <c r="D3575" s="125" t="str">
        <f>IFERROR(VLOOKUP($A3575,HeadJournal!$A$1:$NTR$890,COLUMN(HeadJournal!D$1),0),"")</f>
        <v>Доставлен</v>
      </c>
      <c r="E3575" s="95">
        <f>IFERROR(VLOOKUP($A3575,HeadJournal!$A$1:$NTR$890,COLUMN(HeadJournal!G$1),0),"")</f>
        <v>45475</v>
      </c>
      <c r="F3575" s="95" t="str">
        <f t="shared" si="282"/>
        <v>2024 07</v>
      </c>
      <c r="G3575" s="96" t="s">
        <v>7</v>
      </c>
      <c r="H3575" s="160" t="str">
        <f>RIGHT(Journal!$J3575,9)</f>
        <v>000000040</v>
      </c>
      <c r="I3575" s="96" t="str">
        <f t="shared" ref="I3575:I3636" si="284">IFERROR(LEFT(J3575,FIND(",",J3575)-1),"")</f>
        <v>Forever</v>
      </c>
      <c r="J3575" s="97" t="s">
        <v>299</v>
      </c>
      <c r="K3575" s="29">
        <v>1476</v>
      </c>
      <c r="L3575" s="29">
        <v>0</v>
      </c>
      <c r="M3575" s="30">
        <f>IFERROR(VLOOKUP($A3575,HeadJournal!$A$1:$J$890,COLUMN(HeadJournal!I$1),0)*($K3575+$L3575)/(SUMIF($A:$A,$A3575,$K:$K)+SUMIF($A:$A,$A3575,$L:$L)),0)</f>
        <v>0</v>
      </c>
      <c r="N3575" s="30">
        <f>IFERROR((VLOOKUP($A3575,HeadJournal!$A$1:$K$890,COLUMN(HeadJournal!K$1),0)-VLOOKUP($A3575,HeadJournal!$A$1:$K$890,COLUMN(HeadJournal!J$1),0))*($K3575+$L3575)/(SUMIF($A:$A,$A3575,$K:$K)+SUMIF($A:$A,$A3575,$L:$L)),0)</f>
        <v>0</v>
      </c>
      <c r="O3575" s="30">
        <f>IFERROR((VLOOKUP($A3575,HeadJournal!$A$1:$L$890,COLUMN(HeadJournal!L$1),0)*($K3575+$L3575)/(SUMIF($A:$A,$A3575,$K:$K)+SUMIF($A:$A,$A3575,$L:$L)))/VLOOKUP($A3575,HeadJournal!$A$1:$L$890,COLUMN(HeadJournal!H$1),0),0)</f>
        <v>0</v>
      </c>
      <c r="P3575" s="30">
        <f>IFERROR(SUM(K3575:O3575)*VLOOKUP($A3575,HeadJournal!$A$1:$L$890,COLUMN(HeadJournal!H$1),0),0)</f>
        <v>1476</v>
      </c>
      <c r="Q3575" s="29">
        <v>2200</v>
      </c>
      <c r="R3575" s="31">
        <v>45528</v>
      </c>
      <c r="S3575" s="31" t="s">
        <v>3121</v>
      </c>
      <c r="T3575" s="95" t="str">
        <f t="shared" si="283"/>
        <v>2024 08</v>
      </c>
      <c r="U3575" s="32">
        <f t="shared" si="280"/>
        <v>724</v>
      </c>
      <c r="V3575" s="22">
        <f t="shared" si="281"/>
        <v>0.49051490514905149</v>
      </c>
      <c r="X3575" s="33"/>
      <c r="Y3575" s="33"/>
    </row>
    <row r="3576" spans="1:25" x14ac:dyDescent="0.2">
      <c r="A3576" s="93" t="s">
        <v>1902</v>
      </c>
      <c r="B3576" s="94">
        <f>IFERROR(VLOOKUP($A3576,HeadJournal!$A$1:$NTR$890,COLUMN(HeadJournal!B$1),0),"")</f>
        <v>0</v>
      </c>
      <c r="C3576" s="94" t="str">
        <f>IFERROR(VLOOKUP($A3576,HeadJournal!$A$1:$NTR$890,COLUMN(HeadJournal!C$1),0),"")</f>
        <v>OZON_OA</v>
      </c>
      <c r="D3576" s="125" t="str">
        <f>IFERROR(VLOOKUP($A3576,HeadJournal!$A$1:$NTR$890,COLUMN(HeadJournal!D$1),0),"")</f>
        <v>Доставлен</v>
      </c>
      <c r="E3576" s="95">
        <f>IFERROR(VLOOKUP($A3576,HeadJournal!$A$1:$NTR$890,COLUMN(HeadJournal!G$1),0),"")</f>
        <v>45474</v>
      </c>
      <c r="F3576" s="95" t="str">
        <f t="shared" si="282"/>
        <v>2024 07</v>
      </c>
      <c r="G3576" s="96" t="s">
        <v>5</v>
      </c>
      <c r="H3576" s="160" t="str">
        <f>RIGHT(Journal!$J3576,9)</f>
        <v>753291308</v>
      </c>
      <c r="I3576" s="96" t="str">
        <f t="shared" si="284"/>
        <v>VitaLine</v>
      </c>
      <c r="J3576" s="97" t="s">
        <v>1901</v>
      </c>
      <c r="K3576" s="29">
        <v>3920</v>
      </c>
      <c r="L3576" s="29">
        <v>0</v>
      </c>
      <c r="M3576" s="30">
        <f>IFERROR(VLOOKUP($A3576,HeadJournal!$A$1:$J$890,COLUMN(HeadJournal!I$1),0)*($K3576+$L3576)/(SUMIF($A:$A,$A3576,$K:$K)+SUMIF($A:$A,$A3576,$L:$L)),0)</f>
        <v>0</v>
      </c>
      <c r="N3576" s="30">
        <f>IFERROR((VLOOKUP($A3576,HeadJournal!$A$1:$K$890,COLUMN(HeadJournal!K$1),0)-VLOOKUP($A3576,HeadJournal!$A$1:$K$890,COLUMN(HeadJournal!J$1),0))*($K3576+$L3576)/(SUMIF($A:$A,$A3576,$K:$K)+SUMIF($A:$A,$A3576,$L:$L)),0)</f>
        <v>7.3358420389915209E-13</v>
      </c>
      <c r="O3576" s="30">
        <f>IFERROR((VLOOKUP($A3576,HeadJournal!$A$1:$L$890,COLUMN(HeadJournal!L$1),0)*($K3576+$L3576)/(SUMIF($A:$A,$A3576,$K:$K)+SUMIF($A:$A,$A3576,$L:$L)))/VLOOKUP($A3576,HeadJournal!$A$1:$L$890,COLUMN(HeadJournal!H$1),0),0)</f>
        <v>0</v>
      </c>
      <c r="P3576" s="30">
        <f>IFERROR(SUM(K3576:O3576)*VLOOKUP($A3576,HeadJournal!$A$1:$L$890,COLUMN(HeadJournal!H$1),0),0)</f>
        <v>3920.0000000000009</v>
      </c>
      <c r="Q3576" s="29">
        <v>4500</v>
      </c>
      <c r="R3576" s="31">
        <v>45494</v>
      </c>
      <c r="S3576" s="31" t="s">
        <v>3121</v>
      </c>
      <c r="T3576" s="95" t="str">
        <f t="shared" si="283"/>
        <v>2024 07</v>
      </c>
      <c r="U3576" s="32">
        <f t="shared" si="280"/>
        <v>579.99999999999909</v>
      </c>
      <c r="V3576" s="22">
        <f t="shared" si="281"/>
        <v>0.14795918367346911</v>
      </c>
      <c r="X3576" s="33"/>
      <c r="Y3576" s="33"/>
    </row>
    <row r="3577" spans="1:25" x14ac:dyDescent="0.2">
      <c r="A3577" s="93" t="s">
        <v>1902</v>
      </c>
      <c r="B3577" s="94">
        <f>IFERROR(VLOOKUP($A3577,HeadJournal!$A$1:$NTR$890,COLUMN(HeadJournal!B$1),0),"")</f>
        <v>0</v>
      </c>
      <c r="C3577" s="94" t="str">
        <f>IFERROR(VLOOKUP($A3577,HeadJournal!$A$1:$NTR$890,COLUMN(HeadJournal!C$1),0),"")</f>
        <v>OZON_OA</v>
      </c>
      <c r="D3577" s="125" t="str">
        <f>IFERROR(VLOOKUP($A3577,HeadJournal!$A$1:$NTR$890,COLUMN(HeadJournal!D$1),0),"")</f>
        <v>Доставлен</v>
      </c>
      <c r="E3577" s="95">
        <f>IFERROR(VLOOKUP($A3577,HeadJournal!$A$1:$NTR$890,COLUMN(HeadJournal!G$1),0),"")</f>
        <v>45474</v>
      </c>
      <c r="F3577" s="95" t="str">
        <f t="shared" si="282"/>
        <v>2024 07</v>
      </c>
      <c r="G3577" s="96" t="s">
        <v>6</v>
      </c>
      <c r="H3577" s="160" t="str">
        <f>RIGHT(Journal!$J3577,9)</f>
        <v>161791352</v>
      </c>
      <c r="I3577" s="96" t="str">
        <f t="shared" si="284"/>
        <v>Tree of Life</v>
      </c>
      <c r="J3577" s="97" t="s">
        <v>1903</v>
      </c>
      <c r="K3577" s="29">
        <v>313.33333333333331</v>
      </c>
      <c r="L3577" s="29">
        <v>0</v>
      </c>
      <c r="M3577" s="30">
        <f>IFERROR(VLOOKUP($A3577,HeadJournal!$A$1:$J$890,COLUMN(HeadJournal!I$1),0)*($K3577+$L3577)/(SUMIF($A:$A,$A3577,$K:$K)+SUMIF($A:$A,$A3577,$L:$L)),0)</f>
        <v>0</v>
      </c>
      <c r="N3577" s="30">
        <f>IFERROR((VLOOKUP($A3577,HeadJournal!$A$1:$K$890,COLUMN(HeadJournal!K$1),0)-VLOOKUP($A3577,HeadJournal!$A$1:$K$890,COLUMN(HeadJournal!J$1),0))*($K3577+$L3577)/(SUMIF($A:$A,$A3577,$K:$K)+SUMIF($A:$A,$A3577,$L:$L)),0)</f>
        <v>5.8636832624592088E-14</v>
      </c>
      <c r="O3577" s="30">
        <f>IFERROR((VLOOKUP($A3577,HeadJournal!$A$1:$L$890,COLUMN(HeadJournal!L$1),0)*($K3577+$L3577)/(SUMIF($A:$A,$A3577,$K:$K)+SUMIF($A:$A,$A3577,$L:$L)))/VLOOKUP($A3577,HeadJournal!$A$1:$L$890,COLUMN(HeadJournal!H$1),0),0)</f>
        <v>0</v>
      </c>
      <c r="P3577" s="30">
        <f>IFERROR(SUM(K3577:O3577)*VLOOKUP($A3577,HeadJournal!$A$1:$L$890,COLUMN(HeadJournal!H$1),0),0)</f>
        <v>313.33333333333337</v>
      </c>
      <c r="Q3577" s="29">
        <v>1200</v>
      </c>
      <c r="R3577" s="31">
        <v>45849</v>
      </c>
      <c r="S3577" s="31"/>
      <c r="T3577" s="95" t="str">
        <f t="shared" si="283"/>
        <v>2025 07</v>
      </c>
      <c r="U3577" s="32">
        <f t="shared" si="280"/>
        <v>886.66666666666663</v>
      </c>
      <c r="V3577" s="22">
        <f t="shared" si="281"/>
        <v>2.8297872340425529</v>
      </c>
      <c r="X3577" s="33"/>
      <c r="Y3577" s="33"/>
    </row>
    <row r="3578" spans="1:25" x14ac:dyDescent="0.2">
      <c r="A3578" s="93" t="s">
        <v>1902</v>
      </c>
      <c r="B3578" s="94">
        <f>IFERROR(VLOOKUP($A3578,HeadJournal!$A$1:$NTR$890,COLUMN(HeadJournal!B$1),0),"")</f>
        <v>0</v>
      </c>
      <c r="C3578" s="94" t="str">
        <f>IFERROR(VLOOKUP($A3578,HeadJournal!$A$1:$NTR$890,COLUMN(HeadJournal!C$1),0),"")</f>
        <v>OZON_OA</v>
      </c>
      <c r="D3578" s="125" t="str">
        <f>IFERROR(VLOOKUP($A3578,HeadJournal!$A$1:$NTR$890,COLUMN(HeadJournal!D$1),0),"")</f>
        <v>Доставлен</v>
      </c>
      <c r="E3578" s="95">
        <f>IFERROR(VLOOKUP($A3578,HeadJournal!$A$1:$NTR$890,COLUMN(HeadJournal!G$1),0),"")</f>
        <v>45474</v>
      </c>
      <c r="F3578" s="95" t="str">
        <f t="shared" si="282"/>
        <v>2024 07</v>
      </c>
      <c r="G3578" s="96" t="s">
        <v>6</v>
      </c>
      <c r="H3578" s="160" t="str">
        <f>RIGHT(Journal!$J3578,9)</f>
        <v>159214945</v>
      </c>
      <c r="I3578" s="96" t="str">
        <f t="shared" si="284"/>
        <v>Tree of Life</v>
      </c>
      <c r="J3578" s="97" t="s">
        <v>1904</v>
      </c>
      <c r="K3578" s="29">
        <v>313.33333333333331</v>
      </c>
      <c r="L3578" s="29">
        <v>0</v>
      </c>
      <c r="M3578" s="30">
        <f>IFERROR(VLOOKUP($A3578,HeadJournal!$A$1:$J$890,COLUMN(HeadJournal!I$1),0)*($K3578+$L3578)/(SUMIF($A:$A,$A3578,$K:$K)+SUMIF($A:$A,$A3578,$L:$L)),0)</f>
        <v>0</v>
      </c>
      <c r="N3578" s="30">
        <f>IFERROR((VLOOKUP($A3578,HeadJournal!$A$1:$K$890,COLUMN(HeadJournal!K$1),0)-VLOOKUP($A3578,HeadJournal!$A$1:$K$890,COLUMN(HeadJournal!J$1),0))*($K3578+$L3578)/(SUMIF($A:$A,$A3578,$K:$K)+SUMIF($A:$A,$A3578,$L:$L)),0)</f>
        <v>5.8636832624592088E-14</v>
      </c>
      <c r="O3578" s="30">
        <f>IFERROR((VLOOKUP($A3578,HeadJournal!$A$1:$L$890,COLUMN(HeadJournal!L$1),0)*($K3578+$L3578)/(SUMIF($A:$A,$A3578,$K:$K)+SUMIF($A:$A,$A3578,$L:$L)))/VLOOKUP($A3578,HeadJournal!$A$1:$L$890,COLUMN(HeadJournal!H$1),0),0)</f>
        <v>0</v>
      </c>
      <c r="P3578" s="30">
        <f>IFERROR(SUM(K3578:O3578)*VLOOKUP($A3578,HeadJournal!$A$1:$L$890,COLUMN(HeadJournal!H$1),0),0)</f>
        <v>313.33333333333337</v>
      </c>
      <c r="Q3578" s="29">
        <v>1200</v>
      </c>
      <c r="R3578" s="31">
        <v>45849</v>
      </c>
      <c r="S3578" s="31"/>
      <c r="T3578" s="95" t="str">
        <f t="shared" si="283"/>
        <v>2025 07</v>
      </c>
      <c r="U3578" s="32">
        <f t="shared" si="280"/>
        <v>886.66666666666663</v>
      </c>
      <c r="V3578" s="22">
        <f t="shared" si="281"/>
        <v>2.8297872340425529</v>
      </c>
      <c r="X3578" s="33"/>
      <c r="Y3578" s="33"/>
    </row>
    <row r="3579" spans="1:25" x14ac:dyDescent="0.2">
      <c r="A3579" s="93" t="s">
        <v>1902</v>
      </c>
      <c r="B3579" s="94">
        <f>IFERROR(VLOOKUP($A3579,HeadJournal!$A$1:$NTR$890,COLUMN(HeadJournal!B$1),0),"")</f>
        <v>0</v>
      </c>
      <c r="C3579" s="94" t="str">
        <f>IFERROR(VLOOKUP($A3579,HeadJournal!$A$1:$NTR$890,COLUMN(HeadJournal!C$1),0),"")</f>
        <v>OZON_OA</v>
      </c>
      <c r="D3579" s="125" t="str">
        <f>IFERROR(VLOOKUP($A3579,HeadJournal!$A$1:$NTR$890,COLUMN(HeadJournal!D$1),0),"")</f>
        <v>Доставлен</v>
      </c>
      <c r="E3579" s="95">
        <f>IFERROR(VLOOKUP($A3579,HeadJournal!$A$1:$NTR$890,COLUMN(HeadJournal!G$1),0),"")</f>
        <v>45474</v>
      </c>
      <c r="F3579" s="95" t="str">
        <f t="shared" si="282"/>
        <v>2024 07</v>
      </c>
      <c r="G3579" s="96" t="s">
        <v>6</v>
      </c>
      <c r="H3579" s="160" t="str">
        <f>RIGHT(Journal!$J3579,9)</f>
        <v>265181116</v>
      </c>
      <c r="I3579" s="96" t="str">
        <f t="shared" si="284"/>
        <v>Tree of Life</v>
      </c>
      <c r="J3579" s="97" t="s">
        <v>1905</v>
      </c>
      <c r="K3579" s="29">
        <v>313.33333333333331</v>
      </c>
      <c r="L3579" s="29">
        <v>0</v>
      </c>
      <c r="M3579" s="30">
        <f>IFERROR(VLOOKUP($A3579,HeadJournal!$A$1:$J$890,COLUMN(HeadJournal!I$1),0)*($K3579+$L3579)/(SUMIF($A:$A,$A3579,$K:$K)+SUMIF($A:$A,$A3579,$L:$L)),0)</f>
        <v>0</v>
      </c>
      <c r="N3579" s="30">
        <f>IFERROR((VLOOKUP($A3579,HeadJournal!$A$1:$K$890,COLUMN(HeadJournal!K$1),0)-VLOOKUP($A3579,HeadJournal!$A$1:$K$890,COLUMN(HeadJournal!J$1),0))*($K3579+$L3579)/(SUMIF($A:$A,$A3579,$K:$K)+SUMIF($A:$A,$A3579,$L:$L)),0)</f>
        <v>5.8636832624592088E-14</v>
      </c>
      <c r="O3579" s="30">
        <f>IFERROR((VLOOKUP($A3579,HeadJournal!$A$1:$L$890,COLUMN(HeadJournal!L$1),0)*($K3579+$L3579)/(SUMIF($A:$A,$A3579,$K:$K)+SUMIF($A:$A,$A3579,$L:$L)))/VLOOKUP($A3579,HeadJournal!$A$1:$L$890,COLUMN(HeadJournal!H$1),0),0)</f>
        <v>0</v>
      </c>
      <c r="P3579" s="30">
        <f>IFERROR(SUM(K3579:O3579)*VLOOKUP($A3579,HeadJournal!$A$1:$L$890,COLUMN(HeadJournal!H$1),0),0)</f>
        <v>313.33333333333337</v>
      </c>
      <c r="Q3579" s="29">
        <v>600</v>
      </c>
      <c r="R3579" s="31">
        <v>45487</v>
      </c>
      <c r="S3579" s="31" t="s">
        <v>3121</v>
      </c>
      <c r="T3579" s="95" t="str">
        <f t="shared" si="283"/>
        <v>2024 07</v>
      </c>
      <c r="U3579" s="32">
        <f t="shared" si="280"/>
        <v>286.66666666666663</v>
      </c>
      <c r="V3579" s="22">
        <f t="shared" si="281"/>
        <v>0.91489361702127636</v>
      </c>
      <c r="X3579" s="33"/>
      <c r="Y3579" s="33"/>
    </row>
    <row r="3580" spans="1:25" x14ac:dyDescent="0.2">
      <c r="A3580" s="93" t="s">
        <v>1909</v>
      </c>
      <c r="B3580" s="94" t="str">
        <f>IFERROR(VLOOKUP($A3580,HeadJournal!$A$1:$NTR$890,COLUMN(HeadJournal!B$1),0),"")</f>
        <v>720000297403</v>
      </c>
      <c r="C3580" s="94" t="str">
        <f>IFERROR(VLOOKUP($A3580,HeadJournal!$A$1:$NTR$890,COLUMN(HeadJournal!C$1),0),"")</f>
        <v>iHerb_AV CYG0792</v>
      </c>
      <c r="D3580" s="125" t="str">
        <f>IFERROR(VLOOKUP($A3580,HeadJournal!$A$1:$NTR$890,COLUMN(HeadJournal!D$1),0),"")</f>
        <v>Доставлен</v>
      </c>
      <c r="E3580" s="95">
        <f>IFERROR(VLOOKUP($A3580,HeadJournal!$A$1:$NTR$890,COLUMN(HeadJournal!G$1),0),"")</f>
        <v>45489</v>
      </c>
      <c r="F3580" s="95" t="str">
        <f t="shared" si="282"/>
        <v>2024 07</v>
      </c>
      <c r="G3580" s="96" t="s">
        <v>5</v>
      </c>
      <c r="H3580" s="160" t="str">
        <f>RIGHT(Journal!$J3580,9)</f>
        <v>NOW-04603</v>
      </c>
      <c r="I3580" s="127" t="str">
        <f t="shared" si="284"/>
        <v>NOW Foods</v>
      </c>
      <c r="J3580" s="97" t="s">
        <v>153</v>
      </c>
      <c r="K3580" s="29">
        <v>12.85</v>
      </c>
      <c r="L3580" s="29">
        <v>-2.31</v>
      </c>
      <c r="M3580" s="30">
        <f>IFERROR(VLOOKUP($A3580,HeadJournal!$A$1:$J$890,COLUMN(HeadJournal!I$1),0)*($K3580+$L3580)/(SUMIF($A:$A,$A3580,$K:$K)+SUMIF($A:$A,$A3580,$L:$L)),0)</f>
        <v>-0.59732435033686238</v>
      </c>
      <c r="N3580" s="30">
        <f>IFERROR((VLOOKUP($A3580,HeadJournal!$A$1:$K$890,COLUMN(HeadJournal!K$1),0)-VLOOKUP($A3580,HeadJournal!$A$1:$K$890,COLUMN(HeadJournal!J$1),0))*($K3580+$L3580)/(SUMIF($A:$A,$A3580,$K:$K)+SUMIF($A:$A,$A3580,$L:$L)),0)</f>
        <v>0</v>
      </c>
      <c r="O3580" s="30">
        <f>IFERROR((VLOOKUP($A3580,HeadJournal!$A$1:$L$890,COLUMN(HeadJournal!L$1),0)*($K3580+$L3580)/(SUMIF($A:$A,$A3580,$K:$K)+SUMIF($A:$A,$A3580,$L:$L)))/VLOOKUP($A3580,HeadJournal!$A$1:$L$890,COLUMN(HeadJournal!H$1),0),0)</f>
        <v>0.54602042193625622</v>
      </c>
      <c r="P3580" s="30">
        <f>IFERROR(SUM(K3580:O3580)*VLOOKUP($A3580,HeadJournal!$A$1:$L$890,COLUMN(HeadJournal!H$1),0),0)</f>
        <v>1019.0383253128008</v>
      </c>
      <c r="Q3580" s="29">
        <v>1800</v>
      </c>
      <c r="R3580" s="31">
        <v>45535</v>
      </c>
      <c r="S3580" s="31" t="s">
        <v>3121</v>
      </c>
      <c r="T3580" s="95" t="str">
        <f t="shared" si="283"/>
        <v>2024 08</v>
      </c>
      <c r="U3580" s="32">
        <f t="shared" si="280"/>
        <v>780.96167468719921</v>
      </c>
      <c r="V3580" s="22">
        <f t="shared" si="281"/>
        <v>0.76637124952830171</v>
      </c>
      <c r="X3580" s="33"/>
      <c r="Y3580" s="33"/>
    </row>
    <row r="3581" spans="1:25" x14ac:dyDescent="0.2">
      <c r="A3581" s="93" t="s">
        <v>1909</v>
      </c>
      <c r="B3581" s="94" t="str">
        <f>IFERROR(VLOOKUP($A3581,HeadJournal!$A$1:$NTR$890,COLUMN(HeadJournal!B$1),0),"")</f>
        <v>720000297403</v>
      </c>
      <c r="C3581" s="94" t="str">
        <f>IFERROR(VLOOKUP($A3581,HeadJournal!$A$1:$NTR$890,COLUMN(HeadJournal!C$1),0),"")</f>
        <v>iHerb_AV CYG0792</v>
      </c>
      <c r="D3581" s="125" t="str">
        <f>IFERROR(VLOOKUP($A3581,HeadJournal!$A$1:$NTR$890,COLUMN(HeadJournal!D$1),0),"")</f>
        <v>Доставлен</v>
      </c>
      <c r="E3581" s="95">
        <f>IFERROR(VLOOKUP($A3581,HeadJournal!$A$1:$NTR$890,COLUMN(HeadJournal!G$1),0),"")</f>
        <v>45489</v>
      </c>
      <c r="F3581" s="95" t="str">
        <f t="shared" si="282"/>
        <v>2024 07</v>
      </c>
      <c r="G3581" s="96" t="s">
        <v>5</v>
      </c>
      <c r="H3581" s="161" t="s">
        <v>3824</v>
      </c>
      <c r="I3581" s="97" t="s">
        <v>3825</v>
      </c>
      <c r="J3581" s="97" t="s">
        <v>3826</v>
      </c>
      <c r="K3581" s="29">
        <v>8.67</v>
      </c>
      <c r="L3581" s="29">
        <v>-1.56</v>
      </c>
      <c r="M3581" s="30">
        <f>IFERROR(VLOOKUP($A3581,HeadJournal!$A$1:$J$890,COLUMN(HeadJournal!I$1),0)*($K3581+$L3581)/(SUMIF($A:$A,$A3581,$K:$K)+SUMIF($A:$A,$A3581,$L:$L)),0)</f>
        <v>-0.40293891184962916</v>
      </c>
      <c r="N3581" s="30">
        <f>IFERROR((VLOOKUP($A3581,HeadJournal!$A$1:$K$890,COLUMN(HeadJournal!K$1),0)-VLOOKUP($A3581,HeadJournal!$A$1:$K$890,COLUMN(HeadJournal!J$1),0))*($K3581+$L3581)/(SUMIF($A:$A,$A3581,$K:$K)+SUMIF($A:$A,$A3581,$L:$L)),0)</f>
        <v>0</v>
      </c>
      <c r="O3581" s="30">
        <f>IFERROR((VLOOKUP($A3581,HeadJournal!$A$1:$L$890,COLUMN(HeadJournal!L$1),0)*($K3581+$L3581)/(SUMIF($A:$A,$A3581,$K:$K)+SUMIF($A:$A,$A3581,$L:$L)))/VLOOKUP($A3581,HeadJournal!$A$1:$L$890,COLUMN(HeadJournal!H$1),0),0)</f>
        <v>0.36833066413347071</v>
      </c>
      <c r="P3581" s="30">
        <f>IFERROR(SUM(K3581:O3581)*VLOOKUP($A3581,HeadJournal!$A$1:$L$890,COLUMN(HeadJournal!H$1),0),0)</f>
        <v>687.41579629734463</v>
      </c>
      <c r="Q3581" s="29">
        <v>1200</v>
      </c>
      <c r="R3581" s="31">
        <v>45551</v>
      </c>
      <c r="S3581" s="31" t="s">
        <v>3121</v>
      </c>
      <c r="T3581" s="95" t="str">
        <f t="shared" si="283"/>
        <v>2024 09</v>
      </c>
      <c r="U3581" s="32">
        <f t="shared" si="280"/>
        <v>512.58420370265537</v>
      </c>
      <c r="V3581" s="22">
        <f t="shared" si="281"/>
        <v>0.74566835162009415</v>
      </c>
      <c r="X3581" s="33"/>
      <c r="Y3581" s="33"/>
    </row>
    <row r="3582" spans="1:25" x14ac:dyDescent="0.2">
      <c r="A3582" s="93" t="s">
        <v>1909</v>
      </c>
      <c r="B3582" s="94" t="str">
        <f>IFERROR(VLOOKUP($A3582,HeadJournal!$A$1:$NTR$890,COLUMN(HeadJournal!B$1),0),"")</f>
        <v>720000297403</v>
      </c>
      <c r="C3582" s="94" t="str">
        <f>IFERROR(VLOOKUP($A3582,HeadJournal!$A$1:$NTR$890,COLUMN(HeadJournal!C$1),0),"")</f>
        <v>iHerb_AV CYG0792</v>
      </c>
      <c r="D3582" s="125" t="str">
        <f>IFERROR(VLOOKUP($A3582,HeadJournal!$A$1:$NTR$890,COLUMN(HeadJournal!D$1),0),"")</f>
        <v>Доставлен</v>
      </c>
      <c r="E3582" s="95">
        <f>IFERROR(VLOOKUP($A3582,HeadJournal!$A$1:$NTR$890,COLUMN(HeadJournal!G$1),0),"")</f>
        <v>45489</v>
      </c>
      <c r="F3582" s="95" t="str">
        <f t="shared" si="282"/>
        <v>2024 07</v>
      </c>
      <c r="G3582" s="96" t="s">
        <v>5</v>
      </c>
      <c r="H3582" s="161" t="s">
        <v>3824</v>
      </c>
      <c r="I3582" s="97" t="s">
        <v>3825</v>
      </c>
      <c r="J3582" s="97" t="s">
        <v>3826</v>
      </c>
      <c r="K3582" s="29">
        <v>8.67</v>
      </c>
      <c r="L3582" s="29">
        <v>-1.56</v>
      </c>
      <c r="M3582" s="30">
        <f>IFERROR(VLOOKUP($A3582,HeadJournal!$A$1:$J$890,COLUMN(HeadJournal!I$1),0)*($K3582+$L3582)/(SUMIF($A:$A,$A3582,$K:$K)+SUMIF($A:$A,$A3582,$L:$L)),0)</f>
        <v>-0.40293891184962916</v>
      </c>
      <c r="N3582" s="30">
        <f>IFERROR((VLOOKUP($A3582,HeadJournal!$A$1:$K$890,COLUMN(HeadJournal!K$1),0)-VLOOKUP($A3582,HeadJournal!$A$1:$K$890,COLUMN(HeadJournal!J$1),0))*($K3582+$L3582)/(SUMIF($A:$A,$A3582,$K:$K)+SUMIF($A:$A,$A3582,$L:$L)),0)</f>
        <v>0</v>
      </c>
      <c r="O3582" s="30">
        <f>IFERROR((VLOOKUP($A3582,HeadJournal!$A$1:$L$890,COLUMN(HeadJournal!L$1),0)*($K3582+$L3582)/(SUMIF($A:$A,$A3582,$K:$K)+SUMIF($A:$A,$A3582,$L:$L)))/VLOOKUP($A3582,HeadJournal!$A$1:$L$890,COLUMN(HeadJournal!H$1),0),0)</f>
        <v>0.36833066413347071</v>
      </c>
      <c r="P3582" s="30">
        <f>IFERROR(SUM(K3582:O3582)*VLOOKUP($A3582,HeadJournal!$A$1:$L$890,COLUMN(HeadJournal!H$1),0),0)</f>
        <v>687.41579629734463</v>
      </c>
      <c r="Q3582" s="29">
        <v>1200</v>
      </c>
      <c r="R3582" s="31">
        <v>45551</v>
      </c>
      <c r="S3582" s="31" t="s">
        <v>3121</v>
      </c>
      <c r="T3582" s="95" t="str">
        <f t="shared" si="283"/>
        <v>2024 09</v>
      </c>
      <c r="U3582" s="32">
        <f t="shared" si="280"/>
        <v>512.58420370265537</v>
      </c>
      <c r="V3582" s="22">
        <f t="shared" si="281"/>
        <v>0.74566835162009415</v>
      </c>
      <c r="X3582" s="33"/>
      <c r="Y3582" s="33"/>
    </row>
    <row r="3583" spans="1:25" x14ac:dyDescent="0.2">
      <c r="A3583" s="93" t="s">
        <v>1909</v>
      </c>
      <c r="B3583" s="94" t="str">
        <f>IFERROR(VLOOKUP($A3583,HeadJournal!$A$1:$NTR$890,COLUMN(HeadJournal!B$1),0),"")</f>
        <v>720000297403</v>
      </c>
      <c r="C3583" s="94" t="str">
        <f>IFERROR(VLOOKUP($A3583,HeadJournal!$A$1:$NTR$890,COLUMN(HeadJournal!C$1),0),"")</f>
        <v>iHerb_AV CYG0792</v>
      </c>
      <c r="D3583" s="125" t="str">
        <f>IFERROR(VLOOKUP($A3583,HeadJournal!$A$1:$NTR$890,COLUMN(HeadJournal!D$1),0),"")</f>
        <v>Доставлен</v>
      </c>
      <c r="E3583" s="95">
        <f>IFERROR(VLOOKUP($A3583,HeadJournal!$A$1:$NTR$890,COLUMN(HeadJournal!G$1),0),"")</f>
        <v>45489</v>
      </c>
      <c r="F3583" s="95" t="str">
        <f t="shared" si="282"/>
        <v>2024 07</v>
      </c>
      <c r="G3583" s="96" t="s">
        <v>5</v>
      </c>
      <c r="H3583" s="160" t="str">
        <f>RIGHT(Journal!$J3583,9)</f>
        <v>NOW-00892</v>
      </c>
      <c r="I3583" s="127" t="str">
        <f t="shared" si="284"/>
        <v>NOW Foods</v>
      </c>
      <c r="J3583" s="97" t="s">
        <v>1864</v>
      </c>
      <c r="K3583" s="29">
        <v>15.03</v>
      </c>
      <c r="L3583" s="29">
        <v>-2.7050000000000001</v>
      </c>
      <c r="M3583" s="30">
        <f>IFERROR(VLOOKUP($A3583,HeadJournal!$A$1:$J$890,COLUMN(HeadJournal!I$1),0)*($K3583+$L3583)/(SUMIF($A:$A,$A3583,$K:$K)+SUMIF($A:$A,$A3583,$L:$L)),0)</f>
        <v>-0.69848411934552446</v>
      </c>
      <c r="N3583" s="30">
        <f>IFERROR((VLOOKUP($A3583,HeadJournal!$A$1:$K$890,COLUMN(HeadJournal!K$1),0)-VLOOKUP($A3583,HeadJournal!$A$1:$K$890,COLUMN(HeadJournal!J$1),0))*($K3583+$L3583)/(SUMIF($A:$A,$A3583,$K:$K)+SUMIF($A:$A,$A3583,$L:$L)),0)</f>
        <v>0</v>
      </c>
      <c r="O3583" s="30">
        <f>IFERROR((VLOOKUP($A3583,HeadJournal!$A$1:$L$890,COLUMN(HeadJournal!L$1),0)*($K3583+$L3583)/(SUMIF($A:$A,$A3583,$K:$K)+SUMIF($A:$A,$A3583,$L:$L)))/VLOOKUP($A3583,HeadJournal!$A$1:$L$890,COLUMN(HeadJournal!H$1),0),0)</f>
        <v>0.63849162242546098</v>
      </c>
      <c r="P3583" s="30">
        <f>IFERROR(SUM(K3583:O3583)*VLOOKUP($A3583,HeadJournal!$A$1:$L$890,COLUMN(HeadJournal!H$1),0),0)</f>
        <v>1191.6173965351297</v>
      </c>
      <c r="Q3583" s="29">
        <v>2000</v>
      </c>
      <c r="R3583" s="31">
        <v>45518</v>
      </c>
      <c r="S3583" s="31" t="s">
        <v>3121</v>
      </c>
      <c r="T3583" s="95" t="str">
        <f t="shared" si="283"/>
        <v>2024 08</v>
      </c>
      <c r="U3583" s="32">
        <f t="shared" si="280"/>
        <v>808.38260346487027</v>
      </c>
      <c r="V3583" s="22">
        <f t="shared" si="281"/>
        <v>0.67839107234873153</v>
      </c>
      <c r="X3583" s="33"/>
      <c r="Y3583" s="33"/>
    </row>
    <row r="3584" spans="1:25" x14ac:dyDescent="0.2">
      <c r="A3584" s="93" t="s">
        <v>1909</v>
      </c>
      <c r="B3584" s="94" t="str">
        <f>IFERROR(VLOOKUP($A3584,HeadJournal!$A$1:$NTR$890,COLUMN(HeadJournal!B$1),0),"")</f>
        <v>720000297403</v>
      </c>
      <c r="C3584" s="94" t="str">
        <f>IFERROR(VLOOKUP($A3584,HeadJournal!$A$1:$NTR$890,COLUMN(HeadJournal!C$1),0),"")</f>
        <v>iHerb_AV CYG0792</v>
      </c>
      <c r="D3584" s="125" t="str">
        <f>IFERROR(VLOOKUP($A3584,HeadJournal!$A$1:$NTR$890,COLUMN(HeadJournal!D$1),0),"")</f>
        <v>Доставлен</v>
      </c>
      <c r="E3584" s="95">
        <f>IFERROR(VLOOKUP($A3584,HeadJournal!$A$1:$NTR$890,COLUMN(HeadJournal!G$1),0),"")</f>
        <v>45489</v>
      </c>
      <c r="F3584" s="95" t="str">
        <f t="shared" si="282"/>
        <v>2024 07</v>
      </c>
      <c r="G3584" s="96" t="s">
        <v>5</v>
      </c>
      <c r="H3584" s="160" t="str">
        <f>RIGHT(Journal!$J3584,9)</f>
        <v>NOW-00892</v>
      </c>
      <c r="I3584" s="127" t="str">
        <f t="shared" si="284"/>
        <v>NOW Foods</v>
      </c>
      <c r="J3584" s="97" t="s">
        <v>1864</v>
      </c>
      <c r="K3584" s="29">
        <v>15.03</v>
      </c>
      <c r="L3584" s="29">
        <v>-2.7050000000000001</v>
      </c>
      <c r="M3584" s="30">
        <f>IFERROR(VLOOKUP($A3584,HeadJournal!$A$1:$J$890,COLUMN(HeadJournal!I$1),0)*($K3584+$L3584)/(SUMIF($A:$A,$A3584,$K:$K)+SUMIF($A:$A,$A3584,$L:$L)),0)</f>
        <v>-0.69848411934552446</v>
      </c>
      <c r="N3584" s="30">
        <f>IFERROR((VLOOKUP($A3584,HeadJournal!$A$1:$K$890,COLUMN(HeadJournal!K$1),0)-VLOOKUP($A3584,HeadJournal!$A$1:$K$890,COLUMN(HeadJournal!J$1),0))*($K3584+$L3584)/(SUMIF($A:$A,$A3584,$K:$K)+SUMIF($A:$A,$A3584,$L:$L)),0)</f>
        <v>0</v>
      </c>
      <c r="O3584" s="30">
        <f>IFERROR((VLOOKUP($A3584,HeadJournal!$A$1:$L$890,COLUMN(HeadJournal!L$1),0)*($K3584+$L3584)/(SUMIF($A:$A,$A3584,$K:$K)+SUMIF($A:$A,$A3584,$L:$L)))/VLOOKUP($A3584,HeadJournal!$A$1:$L$890,COLUMN(HeadJournal!H$1),0),0)</f>
        <v>0.63849162242546098</v>
      </c>
      <c r="P3584" s="30">
        <f>IFERROR(SUM(K3584:O3584)*VLOOKUP($A3584,HeadJournal!$A$1:$L$890,COLUMN(HeadJournal!H$1),0),0)</f>
        <v>1191.6173965351297</v>
      </c>
      <c r="Q3584" s="29">
        <v>1900</v>
      </c>
      <c r="R3584" s="31">
        <v>45518</v>
      </c>
      <c r="S3584" s="31" t="s">
        <v>3121</v>
      </c>
      <c r="T3584" s="95" t="str">
        <f t="shared" si="283"/>
        <v>2024 08</v>
      </c>
      <c r="U3584" s="32">
        <f t="shared" si="280"/>
        <v>708.38260346487027</v>
      </c>
      <c r="V3584" s="22">
        <f t="shared" si="281"/>
        <v>0.59447151873129489</v>
      </c>
      <c r="X3584" s="33"/>
      <c r="Y3584" s="33"/>
    </row>
    <row r="3585" spans="1:25" x14ac:dyDescent="0.2">
      <c r="A3585" s="93" t="s">
        <v>1909</v>
      </c>
      <c r="B3585" s="94" t="str">
        <f>IFERROR(VLOOKUP($A3585,HeadJournal!$A$1:$NTR$890,COLUMN(HeadJournal!B$1),0),"")</f>
        <v>720000297403</v>
      </c>
      <c r="C3585" s="94" t="str">
        <f>IFERROR(VLOOKUP($A3585,HeadJournal!$A$1:$NTR$890,COLUMN(HeadJournal!C$1),0),"")</f>
        <v>iHerb_AV CYG0792</v>
      </c>
      <c r="D3585" s="125" t="str">
        <f>IFERROR(VLOOKUP($A3585,HeadJournal!$A$1:$NTR$890,COLUMN(HeadJournal!D$1),0),"")</f>
        <v>Доставлен</v>
      </c>
      <c r="E3585" s="95">
        <f>IFERROR(VLOOKUP($A3585,HeadJournal!$A$1:$NTR$890,COLUMN(HeadJournal!G$1),0),"")</f>
        <v>45489</v>
      </c>
      <c r="F3585" s="95" t="str">
        <f t="shared" si="282"/>
        <v>2024 07</v>
      </c>
      <c r="G3585" s="96" t="s">
        <v>5</v>
      </c>
      <c r="H3585" s="161" t="s">
        <v>2174</v>
      </c>
      <c r="I3585" s="97" t="s">
        <v>2005</v>
      </c>
      <c r="J3585" s="97" t="s">
        <v>2175</v>
      </c>
      <c r="K3585" s="29">
        <v>6.17</v>
      </c>
      <c r="L3585" s="29">
        <v>-1.1100000000000001</v>
      </c>
      <c r="M3585" s="30">
        <f>IFERROR(VLOOKUP($A3585,HeadJournal!$A$1:$J$890,COLUMN(HeadJournal!I$1),0)*($K3585+$L3585)/(SUMIF($A:$A,$A3585,$K:$K)+SUMIF($A:$A,$A3585,$L:$L)),0)</f>
        <v>-0.28676102587329444</v>
      </c>
      <c r="N3585" s="30">
        <f>IFERROR((VLOOKUP($A3585,HeadJournal!$A$1:$K$890,COLUMN(HeadJournal!K$1),0)-VLOOKUP($A3585,HeadJournal!$A$1:$K$890,COLUMN(HeadJournal!J$1),0))*($K3585+$L3585)/(SUMIF($A:$A,$A3585,$K:$K)+SUMIF($A:$A,$A3585,$L:$L)),0)</f>
        <v>0</v>
      </c>
      <c r="O3585" s="30">
        <f>IFERROR((VLOOKUP($A3585,HeadJournal!$A$1:$L$890,COLUMN(HeadJournal!L$1),0)*($K3585+$L3585)/(SUMIF($A:$A,$A3585,$K:$K)+SUMIF($A:$A,$A3585,$L:$L)))/VLOOKUP($A3585,HeadJournal!$A$1:$L$890,COLUMN(HeadJournal!H$1),0),0)</f>
        <v>0.26213124620469225</v>
      </c>
      <c r="P3585" s="30">
        <f>IFERROR(SUM(K3585:O3585)*VLOOKUP($A3585,HeadJournal!$A$1:$L$890,COLUMN(HeadJournal!H$1),0),0)</f>
        <v>489.21574251259693</v>
      </c>
      <c r="Q3585" s="29">
        <v>1200</v>
      </c>
      <c r="R3585" s="31">
        <v>45682</v>
      </c>
      <c r="S3585" s="31" t="s">
        <v>3121</v>
      </c>
      <c r="T3585" s="95" t="str">
        <f t="shared" si="283"/>
        <v>2025 01</v>
      </c>
      <c r="U3585" s="32">
        <f t="shared" ref="U3585:U3648" si="285">Q3585-P3585</f>
        <v>710.78425748740301</v>
      </c>
      <c r="V3585" s="22">
        <f t="shared" ref="V3585:V3648" si="286">IF(Q3585&lt;&gt;0,IFERROR(U3585/P3585,""),"")</f>
        <v>1.4529055296479976</v>
      </c>
      <c r="X3585" s="33"/>
      <c r="Y3585" s="33"/>
    </row>
    <row r="3586" spans="1:25" x14ac:dyDescent="0.2">
      <c r="A3586" s="93" t="s">
        <v>1909</v>
      </c>
      <c r="B3586" s="94" t="str">
        <f>IFERROR(VLOOKUP($A3586,HeadJournal!$A$1:$NTR$890,COLUMN(HeadJournal!B$1),0),"")</f>
        <v>720000297403</v>
      </c>
      <c r="C3586" s="94" t="str">
        <f>IFERROR(VLOOKUP($A3586,HeadJournal!$A$1:$NTR$890,COLUMN(HeadJournal!C$1),0),"")</f>
        <v>iHerb_AV CYG0792</v>
      </c>
      <c r="D3586" s="125" t="str">
        <f>IFERROR(VLOOKUP($A3586,HeadJournal!$A$1:$NTR$890,COLUMN(HeadJournal!D$1),0),"")</f>
        <v>Доставлен</v>
      </c>
      <c r="E3586" s="95">
        <f>IFERROR(VLOOKUP($A3586,HeadJournal!$A$1:$NTR$890,COLUMN(HeadJournal!G$1),0),"")</f>
        <v>45489</v>
      </c>
      <c r="F3586" s="95" t="str">
        <f t="shared" si="282"/>
        <v>2024 07</v>
      </c>
      <c r="G3586" s="96" t="s">
        <v>5</v>
      </c>
      <c r="H3586" s="161" t="s">
        <v>2174</v>
      </c>
      <c r="I3586" s="97" t="s">
        <v>2005</v>
      </c>
      <c r="J3586" s="97" t="s">
        <v>2175</v>
      </c>
      <c r="K3586" s="29">
        <v>6.17</v>
      </c>
      <c r="L3586" s="29">
        <v>-1.1100000000000001</v>
      </c>
      <c r="M3586" s="30">
        <f>IFERROR(VLOOKUP($A3586,HeadJournal!$A$1:$J$890,COLUMN(HeadJournal!I$1),0)*($K3586+$L3586)/(SUMIF($A:$A,$A3586,$K:$K)+SUMIF($A:$A,$A3586,$L:$L)),0)</f>
        <v>-0.28676102587329444</v>
      </c>
      <c r="N3586" s="30">
        <f>IFERROR((VLOOKUP($A3586,HeadJournal!$A$1:$K$890,COLUMN(HeadJournal!K$1),0)-VLOOKUP($A3586,HeadJournal!$A$1:$K$890,COLUMN(HeadJournal!J$1),0))*($K3586+$L3586)/(SUMIF($A:$A,$A3586,$K:$K)+SUMIF($A:$A,$A3586,$L:$L)),0)</f>
        <v>0</v>
      </c>
      <c r="O3586" s="30">
        <f>IFERROR((VLOOKUP($A3586,HeadJournal!$A$1:$L$890,COLUMN(HeadJournal!L$1),0)*($K3586+$L3586)/(SUMIF($A:$A,$A3586,$K:$K)+SUMIF($A:$A,$A3586,$L:$L)))/VLOOKUP($A3586,HeadJournal!$A$1:$L$890,COLUMN(HeadJournal!H$1),0),0)</f>
        <v>0.26213124620469225</v>
      </c>
      <c r="P3586" s="30">
        <f>IFERROR(SUM(K3586:O3586)*VLOOKUP($A3586,HeadJournal!$A$1:$L$890,COLUMN(HeadJournal!H$1),0),0)</f>
        <v>489.21574251259693</v>
      </c>
      <c r="Q3586" s="29">
        <v>1100</v>
      </c>
      <c r="R3586" s="31">
        <v>45729</v>
      </c>
      <c r="S3586" s="31" t="s">
        <v>3121</v>
      </c>
      <c r="T3586" s="95" t="str">
        <f t="shared" si="283"/>
        <v>2025 03</v>
      </c>
      <c r="U3586" s="32">
        <f t="shared" si="285"/>
        <v>610.78425748740301</v>
      </c>
      <c r="V3586" s="22">
        <f t="shared" si="286"/>
        <v>1.2484967355106644</v>
      </c>
      <c r="X3586" s="33"/>
      <c r="Y3586" s="33"/>
    </row>
    <row r="3587" spans="1:25" x14ac:dyDescent="0.2">
      <c r="A3587" s="93" t="s">
        <v>1909</v>
      </c>
      <c r="B3587" s="94" t="str">
        <f>IFERROR(VLOOKUP($A3587,HeadJournal!$A$1:$NTR$890,COLUMN(HeadJournal!B$1),0),"")</f>
        <v>720000297403</v>
      </c>
      <c r="C3587" s="94" t="str">
        <f>IFERROR(VLOOKUP($A3587,HeadJournal!$A$1:$NTR$890,COLUMN(HeadJournal!C$1),0),"")</f>
        <v>iHerb_AV CYG0792</v>
      </c>
      <c r="D3587" s="125" t="str">
        <f>IFERROR(VLOOKUP($A3587,HeadJournal!$A$1:$NTR$890,COLUMN(HeadJournal!D$1),0),"")</f>
        <v>Доставлен</v>
      </c>
      <c r="E3587" s="95">
        <f>IFERROR(VLOOKUP($A3587,HeadJournal!$A$1:$NTR$890,COLUMN(HeadJournal!G$1),0),"")</f>
        <v>45489</v>
      </c>
      <c r="F3587" s="95" t="str">
        <f t="shared" si="282"/>
        <v>2024 07</v>
      </c>
      <c r="G3587" s="96" t="s">
        <v>5</v>
      </c>
      <c r="H3587" s="160" t="str">
        <f>RIGHT(Journal!$J3587,9)</f>
        <v>NCS-93770</v>
      </c>
      <c r="I3587" s="127" t="str">
        <f t="shared" si="284"/>
        <v>Nutricost</v>
      </c>
      <c r="J3587" s="97" t="s">
        <v>1912</v>
      </c>
      <c r="K3587" s="29">
        <v>45.88</v>
      </c>
      <c r="L3587" s="29">
        <v>-8.26</v>
      </c>
      <c r="M3587" s="30">
        <f>IFERROR(VLOOKUP($A3587,HeadJournal!$A$1:$J$890,COLUMN(HeadJournal!I$1),0)*($K3587+$L3587)/(SUMIF($A:$A,$A3587,$K:$K)+SUMIF($A:$A,$A3587,$L:$L)),0)</f>
        <v>-2.1320058880144939</v>
      </c>
      <c r="N3587" s="30">
        <f>IFERROR((VLOOKUP($A3587,HeadJournal!$A$1:$K$890,COLUMN(HeadJournal!K$1),0)-VLOOKUP($A3587,HeadJournal!$A$1:$K$890,COLUMN(HeadJournal!J$1),0))*($K3587+$L3587)/(SUMIF($A:$A,$A3587,$K:$K)+SUMIF($A:$A,$A3587,$L:$L)),0)</f>
        <v>0</v>
      </c>
      <c r="O3587" s="30">
        <f>IFERROR((VLOOKUP($A3587,HeadJournal!$A$1:$L$890,COLUMN(HeadJournal!L$1),0)*($K3587+$L3587)/(SUMIF($A:$A,$A3587,$K:$K)+SUMIF($A:$A,$A3587,$L:$L)))/VLOOKUP($A3587,HeadJournal!$A$1:$L$890,COLUMN(HeadJournal!H$1),0),0)</f>
        <v>1.9488888304783649</v>
      </c>
      <c r="P3587" s="30">
        <f>IFERROR(SUM(K3587:O3587)*VLOOKUP($A3587,HeadJournal!$A$1:$L$890,COLUMN(HeadJournal!H$1),0),0)</f>
        <v>3637.2126943327862</v>
      </c>
      <c r="Q3587" s="29">
        <v>5100</v>
      </c>
      <c r="R3587" s="31">
        <v>45518</v>
      </c>
      <c r="S3587" s="31" t="s">
        <v>3121</v>
      </c>
      <c r="T3587" s="95" t="str">
        <f t="shared" si="283"/>
        <v>2024 08</v>
      </c>
      <c r="U3587" s="32">
        <f t="shared" si="285"/>
        <v>1462.7873056672138</v>
      </c>
      <c r="V3587" s="22">
        <f t="shared" si="286"/>
        <v>0.40217260539819732</v>
      </c>
      <c r="X3587" s="33"/>
      <c r="Y3587" s="33"/>
    </row>
    <row r="3588" spans="1:25" x14ac:dyDescent="0.2">
      <c r="A3588" s="93" t="s">
        <v>1909</v>
      </c>
      <c r="B3588" s="94" t="str">
        <f>IFERROR(VLOOKUP($A3588,HeadJournal!$A$1:$NTR$890,COLUMN(HeadJournal!B$1),0),"")</f>
        <v>720000297403</v>
      </c>
      <c r="C3588" s="94" t="str">
        <f>IFERROR(VLOOKUP($A3588,HeadJournal!$A$1:$NTR$890,COLUMN(HeadJournal!C$1),0),"")</f>
        <v>iHerb_AV CYG0792</v>
      </c>
      <c r="D3588" s="125" t="str">
        <f>IFERROR(VLOOKUP($A3588,HeadJournal!$A$1:$NTR$890,COLUMN(HeadJournal!D$1),0),"")</f>
        <v>Доставлен</v>
      </c>
      <c r="E3588" s="95">
        <f>IFERROR(VLOOKUP($A3588,HeadJournal!$A$1:$NTR$890,COLUMN(HeadJournal!G$1),0),"")</f>
        <v>45489</v>
      </c>
      <c r="F3588" s="95" t="str">
        <f t="shared" ref="F3588:F3651" si="287">IFERROR(TEXT(E3588, "ГГГГ ММ"),"")</f>
        <v>2024 07</v>
      </c>
      <c r="G3588" s="96" t="s">
        <v>5</v>
      </c>
      <c r="H3588" s="161" t="s">
        <v>2841</v>
      </c>
      <c r="I3588" s="97" t="s">
        <v>2839</v>
      </c>
      <c r="J3588" s="97" t="s">
        <v>2842</v>
      </c>
      <c r="K3588" s="29">
        <v>18.55</v>
      </c>
      <c r="L3588" s="29">
        <v>0</v>
      </c>
      <c r="M3588" s="30">
        <f>IFERROR(VLOOKUP($A3588,HeadJournal!$A$1:$J$890,COLUMN(HeadJournal!I$1),0)*($K3588+$L3588)/(SUMIF($A:$A,$A3588,$K:$K)+SUMIF($A:$A,$A3588,$L:$L)),0)</f>
        <v>-1.0512681877370775</v>
      </c>
      <c r="N3588" s="30">
        <f>IFERROR((VLOOKUP($A3588,HeadJournal!$A$1:$K$890,COLUMN(HeadJournal!K$1),0)-VLOOKUP($A3588,HeadJournal!$A$1:$K$890,COLUMN(HeadJournal!J$1),0))*($K3588+$L3588)/(SUMIF($A:$A,$A3588,$K:$K)+SUMIF($A:$A,$A3588,$L:$L)),0)</f>
        <v>0</v>
      </c>
      <c r="O3588" s="30">
        <f>IFERROR((VLOOKUP($A3588,HeadJournal!$A$1:$L$890,COLUMN(HeadJournal!L$1),0)*($K3588+$L3588)/(SUMIF($A:$A,$A3588,$K:$K)+SUMIF($A:$A,$A3588,$L:$L)))/VLOOKUP($A3588,HeadJournal!$A$1:$L$890,COLUMN(HeadJournal!H$1),0),0)</f>
        <v>0.96097522077016639</v>
      </c>
      <c r="P3588" s="30">
        <f>IFERROR(SUM(K3588:O3588)*VLOOKUP($A3588,HeadJournal!$A$1:$L$890,COLUMN(HeadJournal!H$1),0),0)</f>
        <v>1793.4687793693031</v>
      </c>
      <c r="Q3588" s="29">
        <v>2500</v>
      </c>
      <c r="R3588" s="31">
        <v>45518</v>
      </c>
      <c r="S3588" s="31" t="s">
        <v>3121</v>
      </c>
      <c r="T3588" s="95" t="str">
        <f t="shared" ref="T3588:T3651" si="288">IF(R3588="","",TEXT(R3588,"ГГГГ ММ"))</f>
        <v>2024 08</v>
      </c>
      <c r="U3588" s="32">
        <f t="shared" si="285"/>
        <v>706.53122063069691</v>
      </c>
      <c r="V3588" s="22">
        <f t="shared" si="286"/>
        <v>0.39394676325458977</v>
      </c>
      <c r="X3588" s="33"/>
      <c r="Y3588" s="33"/>
    </row>
    <row r="3589" spans="1:25" x14ac:dyDescent="0.2">
      <c r="A3589" s="93" t="s">
        <v>1909</v>
      </c>
      <c r="B3589" s="94" t="str">
        <f>IFERROR(VLOOKUP($A3589,HeadJournal!$A$1:$NTR$890,COLUMN(HeadJournal!B$1),0),"")</f>
        <v>720000297403</v>
      </c>
      <c r="C3589" s="94" t="str">
        <f>IFERROR(VLOOKUP($A3589,HeadJournal!$A$1:$NTR$890,COLUMN(HeadJournal!C$1),0),"")</f>
        <v>iHerb_AV CYG0792</v>
      </c>
      <c r="D3589" s="125" t="str">
        <f>IFERROR(VLOOKUP($A3589,HeadJournal!$A$1:$NTR$890,COLUMN(HeadJournal!D$1),0),"")</f>
        <v>Доставлен</v>
      </c>
      <c r="E3589" s="95">
        <f>IFERROR(VLOOKUP($A3589,HeadJournal!$A$1:$NTR$890,COLUMN(HeadJournal!G$1),0),"")</f>
        <v>45489</v>
      </c>
      <c r="F3589" s="95" t="str">
        <f t="shared" si="287"/>
        <v>2024 07</v>
      </c>
      <c r="G3589" s="96" t="s">
        <v>5</v>
      </c>
      <c r="H3589" s="161" t="s">
        <v>2841</v>
      </c>
      <c r="I3589" s="97" t="s">
        <v>2839</v>
      </c>
      <c r="J3589" s="97" t="s">
        <v>2842</v>
      </c>
      <c r="K3589" s="29">
        <v>18.55</v>
      </c>
      <c r="L3589" s="29">
        <v>0</v>
      </c>
      <c r="M3589" s="30">
        <f>IFERROR(VLOOKUP($A3589,HeadJournal!$A$1:$J$890,COLUMN(HeadJournal!I$1),0)*($K3589+$L3589)/(SUMIF($A:$A,$A3589,$K:$K)+SUMIF($A:$A,$A3589,$L:$L)),0)</f>
        <v>-1.0512681877370775</v>
      </c>
      <c r="N3589" s="30">
        <f>IFERROR((VLOOKUP($A3589,HeadJournal!$A$1:$K$890,COLUMN(HeadJournal!K$1),0)-VLOOKUP($A3589,HeadJournal!$A$1:$K$890,COLUMN(HeadJournal!J$1),0))*($K3589+$L3589)/(SUMIF($A:$A,$A3589,$K:$K)+SUMIF($A:$A,$A3589,$L:$L)),0)</f>
        <v>0</v>
      </c>
      <c r="O3589" s="30">
        <f>IFERROR((VLOOKUP($A3589,HeadJournal!$A$1:$L$890,COLUMN(HeadJournal!L$1),0)*($K3589+$L3589)/(SUMIF($A:$A,$A3589,$K:$K)+SUMIF($A:$A,$A3589,$L:$L)))/VLOOKUP($A3589,HeadJournal!$A$1:$L$890,COLUMN(HeadJournal!H$1),0),0)</f>
        <v>0.96097522077016639</v>
      </c>
      <c r="P3589" s="30">
        <f>IFERROR(SUM(K3589:O3589)*VLOOKUP($A3589,HeadJournal!$A$1:$L$890,COLUMN(HeadJournal!H$1),0),0)</f>
        <v>1793.4687793693031</v>
      </c>
      <c r="Q3589" s="29">
        <v>2500</v>
      </c>
      <c r="R3589" s="31">
        <v>45518</v>
      </c>
      <c r="S3589" s="31" t="s">
        <v>3121</v>
      </c>
      <c r="T3589" s="95" t="str">
        <f t="shared" si="288"/>
        <v>2024 08</v>
      </c>
      <c r="U3589" s="32">
        <f t="shared" si="285"/>
        <v>706.53122063069691</v>
      </c>
      <c r="V3589" s="22">
        <f t="shared" si="286"/>
        <v>0.39394676325458977</v>
      </c>
      <c r="X3589" s="33"/>
      <c r="Y3589" s="33"/>
    </row>
    <row r="3590" spans="1:25" x14ac:dyDescent="0.2">
      <c r="A3590" s="93" t="s">
        <v>1909</v>
      </c>
      <c r="B3590" s="94" t="str">
        <f>IFERROR(VLOOKUP($A3590,HeadJournal!$A$1:$NTR$890,COLUMN(HeadJournal!B$1),0),"")</f>
        <v>720000297403</v>
      </c>
      <c r="C3590" s="94" t="str">
        <f>IFERROR(VLOOKUP($A3590,HeadJournal!$A$1:$NTR$890,COLUMN(HeadJournal!C$1),0),"")</f>
        <v>iHerb_AV CYG0792</v>
      </c>
      <c r="D3590" s="125" t="str">
        <f>IFERROR(VLOOKUP($A3590,HeadJournal!$A$1:$NTR$890,COLUMN(HeadJournal!D$1),0),"")</f>
        <v>Доставлен</v>
      </c>
      <c r="E3590" s="95">
        <f>IFERROR(VLOOKUP($A3590,HeadJournal!$A$1:$NTR$890,COLUMN(HeadJournal!G$1),0),"")</f>
        <v>45489</v>
      </c>
      <c r="F3590" s="95" t="str">
        <f t="shared" si="287"/>
        <v>2024 07</v>
      </c>
      <c r="G3590" s="96" t="s">
        <v>5</v>
      </c>
      <c r="H3590" s="161" t="s">
        <v>2203</v>
      </c>
      <c r="I3590" s="97" t="s">
        <v>2166</v>
      </c>
      <c r="J3590" s="97" t="s">
        <v>4099</v>
      </c>
      <c r="K3590" s="29">
        <v>9.48</v>
      </c>
      <c r="L3590" s="29">
        <v>-1.71</v>
      </c>
      <c r="M3590" s="30">
        <f>IFERROR(VLOOKUP($A3590,HeadJournal!$A$1:$J$890,COLUMN(HeadJournal!I$1),0)*($K3590+$L3590)/(SUMIF($A:$A,$A3590,$K:$K)+SUMIF($A:$A,$A3590,$L:$L)),0)</f>
        <v>-0.44034252392005896</v>
      </c>
      <c r="N3590" s="30">
        <f>IFERROR((VLOOKUP($A3590,HeadJournal!$A$1:$K$890,COLUMN(HeadJournal!K$1),0)-VLOOKUP($A3590,HeadJournal!$A$1:$K$890,COLUMN(HeadJournal!J$1),0))*($K3590+$L3590)/(SUMIF($A:$A,$A3590,$K:$K)+SUMIF($A:$A,$A3590,$L:$L)),0)</f>
        <v>0</v>
      </c>
      <c r="O3590" s="30">
        <f>IFERROR((VLOOKUP($A3590,HeadJournal!$A$1:$L$890,COLUMN(HeadJournal!L$1),0)*($K3590+$L3590)/(SUMIF($A:$A,$A3590,$K:$K)+SUMIF($A:$A,$A3590,$L:$L)))/VLOOKUP($A3590,HeadJournal!$A$1:$L$890,COLUMN(HeadJournal!H$1),0),0)</f>
        <v>0.40252169624712636</v>
      </c>
      <c r="P3590" s="30">
        <f>IFERROR(SUM(K3590:O3590)*VLOOKUP($A3590,HeadJournal!$A$1:$L$890,COLUMN(HeadJournal!H$1),0),0)</f>
        <v>751.22654532072704</v>
      </c>
      <c r="Q3590" s="29">
        <v>751.23</v>
      </c>
      <c r="R3590" s="31">
        <v>45490</v>
      </c>
      <c r="S3590" s="31" t="s">
        <v>3121</v>
      </c>
      <c r="T3590" s="95" t="str">
        <f t="shared" si="288"/>
        <v>2024 07</v>
      </c>
      <c r="U3590" s="32">
        <f t="shared" si="285"/>
        <v>3.4546792729770459E-3</v>
      </c>
      <c r="V3590" s="22">
        <f t="shared" si="286"/>
        <v>4.5987183153946091E-6</v>
      </c>
      <c r="X3590" s="33"/>
      <c r="Y3590" s="33"/>
    </row>
    <row r="3591" spans="1:25" x14ac:dyDescent="0.2">
      <c r="A3591" s="93" t="s">
        <v>1909</v>
      </c>
      <c r="B3591" s="94" t="str">
        <f>IFERROR(VLOOKUP($A3591,HeadJournal!$A$1:$NTR$890,COLUMN(HeadJournal!B$1),0),"")</f>
        <v>720000297403</v>
      </c>
      <c r="C3591" s="94" t="str">
        <f>IFERROR(VLOOKUP($A3591,HeadJournal!$A$1:$NTR$890,COLUMN(HeadJournal!C$1),0),"")</f>
        <v>iHerb_AV CYG0792</v>
      </c>
      <c r="D3591" s="125" t="str">
        <f>IFERROR(VLOOKUP($A3591,HeadJournal!$A$1:$NTR$890,COLUMN(HeadJournal!D$1),0),"")</f>
        <v>Доставлен</v>
      </c>
      <c r="E3591" s="95">
        <f>IFERROR(VLOOKUP($A3591,HeadJournal!$A$1:$NTR$890,COLUMN(HeadJournal!G$1),0),"")</f>
        <v>45489</v>
      </c>
      <c r="F3591" s="95" t="str">
        <f t="shared" si="287"/>
        <v>2024 07</v>
      </c>
      <c r="G3591" s="96" t="s">
        <v>5</v>
      </c>
      <c r="H3591" s="161" t="s">
        <v>2684</v>
      </c>
      <c r="I3591" s="97" t="s">
        <v>2166</v>
      </c>
      <c r="J3591" s="97" t="s">
        <v>2685</v>
      </c>
      <c r="K3591" s="29">
        <v>20.39</v>
      </c>
      <c r="L3591" s="29">
        <v>-3.67</v>
      </c>
      <c r="M3591" s="30">
        <f>IFERROR(VLOOKUP($A3591,HeadJournal!$A$1:$J$890,COLUMN(HeadJournal!I$1),0)*($K3591+$L3591)/(SUMIF($A:$A,$A3591,$K:$K)+SUMIF($A:$A,$A3591,$L:$L)),0)</f>
        <v>-0.94755817245088603</v>
      </c>
      <c r="N3591" s="30">
        <f>IFERROR((VLOOKUP($A3591,HeadJournal!$A$1:$K$890,COLUMN(HeadJournal!K$1),0)-VLOOKUP($A3591,HeadJournal!$A$1:$K$890,COLUMN(HeadJournal!J$1),0))*($K3591+$L3591)/(SUMIF($A:$A,$A3591,$K:$K)+SUMIF($A:$A,$A3591,$L:$L)),0)</f>
        <v>0</v>
      </c>
      <c r="O3591" s="30">
        <f>IFERROR((VLOOKUP($A3591,HeadJournal!$A$1:$L$890,COLUMN(HeadJournal!L$1),0)*($K3591+$L3591)/(SUMIF($A:$A,$A3591,$K:$K)+SUMIF($A:$A,$A3591,$L:$L)))/VLOOKUP($A3591,HeadJournal!$A$1:$L$890,COLUMN(HeadJournal!H$1),0),0)</f>
        <v>0.86617281354593967</v>
      </c>
      <c r="P3591" s="30">
        <f>IFERROR(SUM(K3591:O3591)*VLOOKUP($A3591,HeadJournal!$A$1:$L$890,COLUMN(HeadJournal!H$1),0),0)</f>
        <v>1616.5389752590158</v>
      </c>
      <c r="Q3591" s="29">
        <v>1616.54</v>
      </c>
      <c r="R3591" s="31">
        <v>45490</v>
      </c>
      <c r="S3591" s="31" t="s">
        <v>3121</v>
      </c>
      <c r="T3591" s="95" t="str">
        <f t="shared" si="288"/>
        <v>2024 07</v>
      </c>
      <c r="U3591" s="32">
        <f t="shared" si="285"/>
        <v>1.0247409841213084E-3</v>
      </c>
      <c r="V3591" s="22">
        <f t="shared" si="286"/>
        <v>6.3391047157221528E-7</v>
      </c>
      <c r="X3591" s="33"/>
      <c r="Y3591" s="33"/>
    </row>
    <row r="3592" spans="1:25" x14ac:dyDescent="0.2">
      <c r="A3592" s="93" t="s">
        <v>1909</v>
      </c>
      <c r="B3592" s="94" t="str">
        <f>IFERROR(VLOOKUP($A3592,HeadJournal!$A$1:$NTR$890,COLUMN(HeadJournal!B$1),0),"")</f>
        <v>720000297403</v>
      </c>
      <c r="C3592" s="94" t="str">
        <f>IFERROR(VLOOKUP($A3592,HeadJournal!$A$1:$NTR$890,COLUMN(HeadJournal!C$1),0),"")</f>
        <v>iHerb_AV CYG0792</v>
      </c>
      <c r="D3592" s="125" t="str">
        <f>IFERROR(VLOOKUP($A3592,HeadJournal!$A$1:$NTR$890,COLUMN(HeadJournal!D$1),0),"")</f>
        <v>Доставлен</v>
      </c>
      <c r="E3592" s="95">
        <f>IFERROR(VLOOKUP($A3592,HeadJournal!$A$1:$NTR$890,COLUMN(HeadJournal!G$1),0),"")</f>
        <v>45489</v>
      </c>
      <c r="F3592" s="95" t="str">
        <f t="shared" si="287"/>
        <v>2024 07</v>
      </c>
      <c r="G3592" s="96" t="s">
        <v>5</v>
      </c>
      <c r="H3592" s="161" t="s">
        <v>2149</v>
      </c>
      <c r="I3592" s="97" t="s">
        <v>2150</v>
      </c>
      <c r="J3592" s="97" t="s">
        <v>2151</v>
      </c>
      <c r="K3592" s="29">
        <v>24.22</v>
      </c>
      <c r="L3592" s="29">
        <v>-12.11</v>
      </c>
      <c r="M3592" s="30">
        <f>IFERROR(VLOOKUP($A3592,HeadJournal!$A$1:$J$890,COLUMN(HeadJournal!I$1),0)*($K3592+$L3592)/(SUMIF($A:$A,$A3592,$K:$K)+SUMIF($A:$A,$A3592,$L:$L)),0)</f>
        <v>-0.68629960935288459</v>
      </c>
      <c r="N3592" s="30">
        <f>IFERROR((VLOOKUP($A3592,HeadJournal!$A$1:$K$890,COLUMN(HeadJournal!K$1),0)-VLOOKUP($A3592,HeadJournal!$A$1:$K$890,COLUMN(HeadJournal!J$1),0))*($K3592+$L3592)/(SUMIF($A:$A,$A3592,$K:$K)+SUMIF($A:$A,$A3592,$L:$L)),0)</f>
        <v>0</v>
      </c>
      <c r="O3592" s="30">
        <f>IFERROR((VLOOKUP($A3592,HeadJournal!$A$1:$L$890,COLUMN(HeadJournal!L$1),0)*($K3592+$L3592)/(SUMIF($A:$A,$A3592,$K:$K)+SUMIF($A:$A,$A3592,$L:$L)))/VLOOKUP($A3592,HeadJournal!$A$1:$L$890,COLUMN(HeadJournal!H$1),0),0)</f>
        <v>0.6273536346914671</v>
      </c>
      <c r="P3592" s="30">
        <f>IFERROR(SUM(K3592:O3592)*VLOOKUP($A3592,HeadJournal!$A$1:$L$890,COLUMN(HeadJournal!H$1),0),0)</f>
        <v>1170.8305616259977</v>
      </c>
      <c r="Q3592" s="29">
        <v>2900</v>
      </c>
      <c r="R3592" s="31">
        <v>45533</v>
      </c>
      <c r="S3592" s="31" t="s">
        <v>3121</v>
      </c>
      <c r="T3592" s="95" t="str">
        <f t="shared" si="288"/>
        <v>2024 08</v>
      </c>
      <c r="U3592" s="32">
        <f t="shared" si="285"/>
        <v>1729.1694383740023</v>
      </c>
      <c r="V3592" s="22">
        <f t="shared" si="286"/>
        <v>1.476874190892838</v>
      </c>
      <c r="X3592" s="33"/>
      <c r="Y3592" s="33"/>
    </row>
    <row r="3593" spans="1:25" x14ac:dyDescent="0.2">
      <c r="A3593" s="93" t="s">
        <v>1909</v>
      </c>
      <c r="B3593" s="94" t="str">
        <f>IFERROR(VLOOKUP($A3593,HeadJournal!$A$1:$NTR$890,COLUMN(HeadJournal!B$1),0),"")</f>
        <v>720000297403</v>
      </c>
      <c r="C3593" s="94" t="str">
        <f>IFERROR(VLOOKUP($A3593,HeadJournal!$A$1:$NTR$890,COLUMN(HeadJournal!C$1),0),"")</f>
        <v>iHerb_AV CYG0792</v>
      </c>
      <c r="D3593" s="125" t="str">
        <f>IFERROR(VLOOKUP($A3593,HeadJournal!$A$1:$NTR$890,COLUMN(HeadJournal!D$1),0),"")</f>
        <v>Доставлен</v>
      </c>
      <c r="E3593" s="95">
        <f>IFERROR(VLOOKUP($A3593,HeadJournal!$A$1:$NTR$890,COLUMN(HeadJournal!G$1),0),"")</f>
        <v>45489</v>
      </c>
      <c r="F3593" s="95" t="str">
        <f t="shared" si="287"/>
        <v>2024 07</v>
      </c>
      <c r="G3593" s="96" t="s">
        <v>5</v>
      </c>
      <c r="H3593" s="161" t="s">
        <v>2495</v>
      </c>
      <c r="I3593" s="97" t="s">
        <v>2102</v>
      </c>
      <c r="J3593" s="97" t="s">
        <v>2496</v>
      </c>
      <c r="K3593" s="29">
        <v>7.05</v>
      </c>
      <c r="L3593" s="29">
        <v>-1.27</v>
      </c>
      <c r="M3593" s="30">
        <f>IFERROR(VLOOKUP($A3593,HeadJournal!$A$1:$J$890,COLUMN(HeadJournal!I$1),0)*($K3593+$L3593)/(SUMIF($A:$A,$A3593,$K:$K)+SUMIF($A:$A,$A3593,$L:$L)),0)</f>
        <v>-0.3275649663137632</v>
      </c>
      <c r="N3593" s="30">
        <f>IFERROR((VLOOKUP($A3593,HeadJournal!$A$1:$K$890,COLUMN(HeadJournal!K$1),0)-VLOOKUP($A3593,HeadJournal!$A$1:$K$890,COLUMN(HeadJournal!J$1),0))*($K3593+$L3593)/(SUMIF($A:$A,$A3593,$K:$K)+SUMIF($A:$A,$A3593,$L:$L)),0)</f>
        <v>0</v>
      </c>
      <c r="O3593" s="30">
        <f>IFERROR((VLOOKUP($A3593,HeadJournal!$A$1:$L$890,COLUMN(HeadJournal!L$1),0)*($K3593+$L3593)/(SUMIF($A:$A,$A3593,$K:$K)+SUMIF($A:$A,$A3593,$L:$L)))/VLOOKUP($A3593,HeadJournal!$A$1:$L$890,COLUMN(HeadJournal!H$1),0),0)</f>
        <v>0.2994305539650437</v>
      </c>
      <c r="P3593" s="30">
        <f>IFERROR(SUM(K3593:O3593)*VLOOKUP($A3593,HeadJournal!$A$1:$L$890,COLUMN(HeadJournal!H$1),0),0)</f>
        <v>558.82746871992299</v>
      </c>
      <c r="Q3593" s="29">
        <v>1100</v>
      </c>
      <c r="R3593" s="31">
        <v>45545</v>
      </c>
      <c r="S3593" s="31" t="s">
        <v>3121</v>
      </c>
      <c r="T3593" s="95" t="str">
        <f t="shared" si="288"/>
        <v>2024 09</v>
      </c>
      <c r="U3593" s="32">
        <f t="shared" si="285"/>
        <v>541.17253128007701</v>
      </c>
      <c r="V3593" s="22">
        <f t="shared" si="286"/>
        <v>0.96840717676193111</v>
      </c>
      <c r="X3593" s="33"/>
      <c r="Y3593" s="33"/>
    </row>
    <row r="3594" spans="1:25" x14ac:dyDescent="0.2">
      <c r="A3594" s="93" t="s">
        <v>1908</v>
      </c>
      <c r="B3594" s="94" t="str">
        <f>IFERROR(VLOOKUP($A3594,HeadJournal!$A$1:$NTR$890,COLUMN(HeadJournal!B$1),0),"")</f>
        <v>720000295321</v>
      </c>
      <c r="C3594" s="94" t="str">
        <f>IFERROR(VLOOKUP($A3594,HeadJournal!$A$1:$NTR$890,COLUMN(HeadJournal!C$1),0),"")</f>
        <v>iHerb_OA CZN6870</v>
      </c>
      <c r="D3594" s="125" t="str">
        <f>IFERROR(VLOOKUP($A3594,HeadJournal!$A$1:$NTR$890,COLUMN(HeadJournal!D$1),0),"")</f>
        <v>Доставлен</v>
      </c>
      <c r="E3594" s="95">
        <f>IFERROR(VLOOKUP($A3594,HeadJournal!$A$1:$NTR$890,COLUMN(HeadJournal!G$1),0),"")</f>
        <v>45487</v>
      </c>
      <c r="F3594" s="95" t="str">
        <f t="shared" si="287"/>
        <v>2024 07</v>
      </c>
      <c r="G3594" s="96" t="s">
        <v>5</v>
      </c>
      <c r="H3594" s="160" t="str">
        <f>RIGHT(Journal!$J3594,9)</f>
        <v>CEN-27591</v>
      </c>
      <c r="I3594" s="127" t="str">
        <f t="shared" si="284"/>
        <v>petnc NATURAL CARE</v>
      </c>
      <c r="J3594" s="97" t="s">
        <v>1914</v>
      </c>
      <c r="K3594" s="29">
        <v>11.51</v>
      </c>
      <c r="L3594" s="29">
        <v>-2.0699999999999998</v>
      </c>
      <c r="M3594" s="30">
        <f>IFERROR(VLOOKUP($A3594,HeadJournal!$A$1:$J$890,COLUMN(HeadJournal!I$1),0)*($K3594+$L3594)/(SUMIF($A:$A,$A3594,$K:$K)+SUMIF($A:$A,$A3594,$L:$L)),0)</f>
        <v>-3.0125748123083431</v>
      </c>
      <c r="N3594" s="30">
        <f>IFERROR((VLOOKUP($A3594,HeadJournal!$A$1:$K$890,COLUMN(HeadJournal!K$1),0)-VLOOKUP($A3594,HeadJournal!$A$1:$K$890,COLUMN(HeadJournal!J$1),0))*($K3594+$L3594)/(SUMIF($A:$A,$A3594,$K:$K)+SUMIF($A:$A,$A3594,$L:$L)),0)</f>
        <v>1.4185309137306432E-15</v>
      </c>
      <c r="O3594" s="30">
        <f>IFERROR((VLOOKUP($A3594,HeadJournal!$A$1:$L$890,COLUMN(HeadJournal!L$1),0)*($K3594+$L3594)/(SUMIF($A:$A,$A3594,$K:$K)+SUMIF($A:$A,$A3594,$L:$L)))/VLOOKUP($A3594,HeadJournal!$A$1:$L$890,COLUMN(HeadJournal!H$1),0),0)</f>
        <v>0.44055807744085962</v>
      </c>
      <c r="P3594" s="30">
        <f>IFERROR(SUM(K3594:O3594)*VLOOKUP($A3594,HeadJournal!$A$1:$L$890,COLUMN(HeadJournal!H$1),0),0)</f>
        <v>691.69785767156623</v>
      </c>
      <c r="Q3594" s="29">
        <v>1600</v>
      </c>
      <c r="R3594" s="31">
        <v>45518</v>
      </c>
      <c r="S3594" s="31" t="s">
        <v>3121</v>
      </c>
      <c r="T3594" s="95" t="str">
        <f t="shared" si="288"/>
        <v>2024 08</v>
      </c>
      <c r="U3594" s="32">
        <f t="shared" si="285"/>
        <v>908.30214232843377</v>
      </c>
      <c r="V3594" s="22">
        <f t="shared" si="286"/>
        <v>1.3131486996157737</v>
      </c>
      <c r="X3594" s="33"/>
      <c r="Y3594" s="33"/>
    </row>
    <row r="3595" spans="1:25" x14ac:dyDescent="0.2">
      <c r="A3595" s="93" t="s">
        <v>1908</v>
      </c>
      <c r="B3595" s="94" t="str">
        <f>IFERROR(VLOOKUP($A3595,HeadJournal!$A$1:$NTR$890,COLUMN(HeadJournal!B$1),0),"")</f>
        <v>720000295321</v>
      </c>
      <c r="C3595" s="94" t="str">
        <f>IFERROR(VLOOKUP($A3595,HeadJournal!$A$1:$NTR$890,COLUMN(HeadJournal!C$1),0),"")</f>
        <v>iHerb_OA CZN6870</v>
      </c>
      <c r="D3595" s="125" t="str">
        <f>IFERROR(VLOOKUP($A3595,HeadJournal!$A$1:$NTR$890,COLUMN(HeadJournal!D$1),0),"")</f>
        <v>Доставлен</v>
      </c>
      <c r="E3595" s="95">
        <f>IFERROR(VLOOKUP($A3595,HeadJournal!$A$1:$NTR$890,COLUMN(HeadJournal!G$1),0),"")</f>
        <v>45487</v>
      </c>
      <c r="F3595" s="95" t="str">
        <f t="shared" si="287"/>
        <v>2024 07</v>
      </c>
      <c r="G3595" s="96" t="s">
        <v>5</v>
      </c>
      <c r="H3595" s="161" t="s">
        <v>3633</v>
      </c>
      <c r="I3595" s="97" t="s">
        <v>2008</v>
      </c>
      <c r="J3595" s="97" t="s">
        <v>3784</v>
      </c>
      <c r="K3595" s="29">
        <v>17.690000000000001</v>
      </c>
      <c r="L3595" s="29">
        <v>-3.1850000000000001</v>
      </c>
      <c r="M3595" s="30">
        <f>IFERROR(VLOOKUP($A3595,HeadJournal!$A$1:$J$890,COLUMN(HeadJournal!I$1),0)*($K3595+$L3595)/(SUMIF($A:$A,$A3595,$K:$K)+SUMIF($A:$A,$A3595,$L:$L)),0)</f>
        <v>-4.6289616157343767</v>
      </c>
      <c r="N3595" s="30">
        <f>IFERROR((VLOOKUP($A3595,HeadJournal!$A$1:$K$890,COLUMN(HeadJournal!K$1),0)-VLOOKUP($A3595,HeadJournal!$A$1:$K$890,COLUMN(HeadJournal!J$1),0))*($K3595+$L3595)/(SUMIF($A:$A,$A3595,$K:$K)+SUMIF($A:$A,$A3595,$L:$L)),0)</f>
        <v>2.1796388669134514E-15</v>
      </c>
      <c r="O3595" s="30">
        <f>IFERROR((VLOOKUP($A3595,HeadJournal!$A$1:$L$890,COLUMN(HeadJournal!L$1),0)*($K3595+$L3595)/(SUMIF($A:$A,$A3595,$K:$K)+SUMIF($A:$A,$A3595,$L:$L)))/VLOOKUP($A3595,HeadJournal!$A$1:$L$890,COLUMN(HeadJournal!H$1),0),0)</f>
        <v>0.67693802047454132</v>
      </c>
      <c r="P3595" s="30">
        <f>IFERROR(SUM(K3595:O3595)*VLOOKUP($A3595,HeadJournal!$A$1:$L$890,COLUMN(HeadJournal!H$1),0),0)</f>
        <v>1062.8259984667445</v>
      </c>
      <c r="Q3595" s="29">
        <v>2200</v>
      </c>
      <c r="R3595" s="31">
        <v>45533</v>
      </c>
      <c r="S3595" s="31" t="s">
        <v>3121</v>
      </c>
      <c r="T3595" s="95" t="str">
        <f t="shared" si="288"/>
        <v>2024 08</v>
      </c>
      <c r="U3595" s="32">
        <f t="shared" si="285"/>
        <v>1137.1740015332555</v>
      </c>
      <c r="V3595" s="22">
        <f t="shared" si="286"/>
        <v>1.0699531279567558</v>
      </c>
      <c r="X3595" s="33"/>
      <c r="Y3595" s="33"/>
    </row>
    <row r="3596" spans="1:25" x14ac:dyDescent="0.2">
      <c r="A3596" s="93" t="s">
        <v>1908</v>
      </c>
      <c r="B3596" s="94" t="str">
        <f>IFERROR(VLOOKUP($A3596,HeadJournal!$A$1:$NTR$890,COLUMN(HeadJournal!B$1),0),"")</f>
        <v>720000295321</v>
      </c>
      <c r="C3596" s="94" t="str">
        <f>IFERROR(VLOOKUP($A3596,HeadJournal!$A$1:$NTR$890,COLUMN(HeadJournal!C$1),0),"")</f>
        <v>iHerb_OA CZN6870</v>
      </c>
      <c r="D3596" s="125" t="str">
        <f>IFERROR(VLOOKUP($A3596,HeadJournal!$A$1:$NTR$890,COLUMN(HeadJournal!D$1),0),"")</f>
        <v>Доставлен</v>
      </c>
      <c r="E3596" s="95">
        <f>IFERROR(VLOOKUP($A3596,HeadJournal!$A$1:$NTR$890,COLUMN(HeadJournal!G$1),0),"")</f>
        <v>45487</v>
      </c>
      <c r="F3596" s="95" t="str">
        <f t="shared" si="287"/>
        <v>2024 07</v>
      </c>
      <c r="G3596" s="96" t="s">
        <v>5</v>
      </c>
      <c r="H3596" s="161" t="s">
        <v>3633</v>
      </c>
      <c r="I3596" s="97" t="s">
        <v>2008</v>
      </c>
      <c r="J3596" s="97" t="s">
        <v>3784</v>
      </c>
      <c r="K3596" s="29">
        <v>17.690000000000001</v>
      </c>
      <c r="L3596" s="29">
        <v>-3.1850000000000001</v>
      </c>
      <c r="M3596" s="30">
        <f>IFERROR(VLOOKUP($A3596,HeadJournal!$A$1:$J$890,COLUMN(HeadJournal!I$1),0)*($K3596+$L3596)/(SUMIF($A:$A,$A3596,$K:$K)+SUMIF($A:$A,$A3596,$L:$L)),0)</f>
        <v>-4.6289616157343767</v>
      </c>
      <c r="N3596" s="30">
        <f>IFERROR((VLOOKUP($A3596,HeadJournal!$A$1:$K$890,COLUMN(HeadJournal!K$1),0)-VLOOKUP($A3596,HeadJournal!$A$1:$K$890,COLUMN(HeadJournal!J$1),0))*($K3596+$L3596)/(SUMIF($A:$A,$A3596,$K:$K)+SUMIF($A:$A,$A3596,$L:$L)),0)</f>
        <v>2.1796388669134514E-15</v>
      </c>
      <c r="O3596" s="30">
        <f>IFERROR((VLOOKUP($A3596,HeadJournal!$A$1:$L$890,COLUMN(HeadJournal!L$1),0)*($K3596+$L3596)/(SUMIF($A:$A,$A3596,$K:$K)+SUMIF($A:$A,$A3596,$L:$L)))/VLOOKUP($A3596,HeadJournal!$A$1:$L$890,COLUMN(HeadJournal!H$1),0),0)</f>
        <v>0.67693802047454132</v>
      </c>
      <c r="P3596" s="30">
        <f>IFERROR(SUM(K3596:O3596)*VLOOKUP($A3596,HeadJournal!$A$1:$L$890,COLUMN(HeadJournal!H$1),0),0)</f>
        <v>1062.8259984667445</v>
      </c>
      <c r="Q3596" s="29">
        <v>2200</v>
      </c>
      <c r="R3596" s="31">
        <v>45533</v>
      </c>
      <c r="S3596" s="31" t="s">
        <v>3121</v>
      </c>
      <c r="T3596" s="95" t="str">
        <f t="shared" si="288"/>
        <v>2024 08</v>
      </c>
      <c r="U3596" s="32">
        <f t="shared" si="285"/>
        <v>1137.1740015332555</v>
      </c>
      <c r="V3596" s="22">
        <f t="shared" si="286"/>
        <v>1.0699531279567558</v>
      </c>
      <c r="X3596" s="33"/>
      <c r="Y3596" s="33"/>
    </row>
    <row r="3597" spans="1:25" x14ac:dyDescent="0.2">
      <c r="A3597" s="93" t="s">
        <v>1908</v>
      </c>
      <c r="B3597" s="94" t="str">
        <f>IFERROR(VLOOKUP($A3597,HeadJournal!$A$1:$NTR$890,COLUMN(HeadJournal!B$1),0),"")</f>
        <v>720000295321</v>
      </c>
      <c r="C3597" s="94" t="str">
        <f>IFERROR(VLOOKUP($A3597,HeadJournal!$A$1:$NTR$890,COLUMN(HeadJournal!C$1),0),"")</f>
        <v>iHerb_OA CZN6870</v>
      </c>
      <c r="D3597" s="125" t="str">
        <f>IFERROR(VLOOKUP($A3597,HeadJournal!$A$1:$NTR$890,COLUMN(HeadJournal!D$1),0),"")</f>
        <v>Доставлен</v>
      </c>
      <c r="E3597" s="95">
        <f>IFERROR(VLOOKUP($A3597,HeadJournal!$A$1:$NTR$890,COLUMN(HeadJournal!G$1),0),"")</f>
        <v>45487</v>
      </c>
      <c r="F3597" s="95" t="str">
        <f t="shared" si="287"/>
        <v>2024 07</v>
      </c>
      <c r="G3597" s="96" t="s">
        <v>5</v>
      </c>
      <c r="H3597" s="161" t="s">
        <v>2223</v>
      </c>
      <c r="I3597" s="97" t="s">
        <v>2008</v>
      </c>
      <c r="J3597" s="97" t="s">
        <v>2224</v>
      </c>
      <c r="K3597" s="29">
        <v>12.98</v>
      </c>
      <c r="L3597" s="29">
        <v>-2.335</v>
      </c>
      <c r="M3597" s="30">
        <f>IFERROR(VLOOKUP($A3597,HeadJournal!$A$1:$J$890,COLUMN(HeadJournal!I$1),0)*($K3597+$L3597)/(SUMIF($A:$A,$A3597,$K:$K)+SUMIF($A:$A,$A3597,$L:$L)),0)</f>
        <v>-3.3971248810404995</v>
      </c>
      <c r="N3597" s="30">
        <f>IFERROR((VLOOKUP($A3597,HeadJournal!$A$1:$K$890,COLUMN(HeadJournal!K$1),0)-VLOOKUP($A3597,HeadJournal!$A$1:$K$890,COLUMN(HeadJournal!J$1),0))*($K3597+$L3597)/(SUMIF($A:$A,$A3597,$K:$K)+SUMIF($A:$A,$A3597,$L:$L)),0)</f>
        <v>1.5996039805786755E-15</v>
      </c>
      <c r="O3597" s="30">
        <f>IFERROR((VLOOKUP($A3597,HeadJournal!$A$1:$L$890,COLUMN(HeadJournal!L$1),0)*($K3597+$L3597)/(SUMIF($A:$A,$A3597,$K:$K)+SUMIF($A:$A,$A3597,$L:$L)))/VLOOKUP($A3597,HeadJournal!$A$1:$L$890,COLUMN(HeadJournal!H$1),0),0)</f>
        <v>0.49679456931757948</v>
      </c>
      <c r="P3597" s="30">
        <f>IFERROR(SUM(K3597:O3597)*VLOOKUP($A3597,HeadJournal!$A$1:$L$890,COLUMN(HeadJournal!H$1),0),0)</f>
        <v>779.9919168340914</v>
      </c>
      <c r="Q3597" s="29">
        <v>1800</v>
      </c>
      <c r="R3597" s="31">
        <v>45619</v>
      </c>
      <c r="S3597" s="31" t="s">
        <v>3121</v>
      </c>
      <c r="T3597" s="95" t="str">
        <f t="shared" si="288"/>
        <v>2024 11</v>
      </c>
      <c r="U3597" s="32">
        <f t="shared" si="285"/>
        <v>1020.0080831659086</v>
      </c>
      <c r="V3597" s="22">
        <f t="shared" si="286"/>
        <v>1.3077162226321764</v>
      </c>
      <c r="X3597" s="33"/>
      <c r="Y3597" s="33"/>
    </row>
    <row r="3598" spans="1:25" x14ac:dyDescent="0.2">
      <c r="A3598" s="93" t="s">
        <v>1908</v>
      </c>
      <c r="B3598" s="94" t="str">
        <f>IFERROR(VLOOKUP($A3598,HeadJournal!$A$1:$NTR$890,COLUMN(HeadJournal!B$1),0),"")</f>
        <v>720000295321</v>
      </c>
      <c r="C3598" s="94" t="str">
        <f>IFERROR(VLOOKUP($A3598,HeadJournal!$A$1:$NTR$890,COLUMN(HeadJournal!C$1),0),"")</f>
        <v>iHerb_OA CZN6870</v>
      </c>
      <c r="D3598" s="125" t="str">
        <f>IFERROR(VLOOKUP($A3598,HeadJournal!$A$1:$NTR$890,COLUMN(HeadJournal!D$1),0),"")</f>
        <v>Доставлен</v>
      </c>
      <c r="E3598" s="95">
        <f>IFERROR(VLOOKUP($A3598,HeadJournal!$A$1:$NTR$890,COLUMN(HeadJournal!G$1),0),"")</f>
        <v>45487</v>
      </c>
      <c r="F3598" s="95" t="str">
        <f t="shared" si="287"/>
        <v>2024 07</v>
      </c>
      <c r="G3598" s="96" t="s">
        <v>5</v>
      </c>
      <c r="H3598" s="161" t="s">
        <v>2223</v>
      </c>
      <c r="I3598" s="97" t="s">
        <v>2008</v>
      </c>
      <c r="J3598" s="97" t="s">
        <v>2224</v>
      </c>
      <c r="K3598" s="29">
        <v>12.98</v>
      </c>
      <c r="L3598" s="29">
        <v>-2.335</v>
      </c>
      <c r="M3598" s="30">
        <f>IFERROR(VLOOKUP($A3598,HeadJournal!$A$1:$J$890,COLUMN(HeadJournal!I$1),0)*($K3598+$L3598)/(SUMIF($A:$A,$A3598,$K:$K)+SUMIF($A:$A,$A3598,$L:$L)),0)</f>
        <v>-3.3971248810404995</v>
      </c>
      <c r="N3598" s="30">
        <f>IFERROR((VLOOKUP($A3598,HeadJournal!$A$1:$K$890,COLUMN(HeadJournal!K$1),0)-VLOOKUP($A3598,HeadJournal!$A$1:$K$890,COLUMN(HeadJournal!J$1),0))*($K3598+$L3598)/(SUMIF($A:$A,$A3598,$K:$K)+SUMIF($A:$A,$A3598,$L:$L)),0)</f>
        <v>1.5996039805786755E-15</v>
      </c>
      <c r="O3598" s="30">
        <f>IFERROR((VLOOKUP($A3598,HeadJournal!$A$1:$L$890,COLUMN(HeadJournal!L$1),0)*($K3598+$L3598)/(SUMIF($A:$A,$A3598,$K:$K)+SUMIF($A:$A,$A3598,$L:$L)))/VLOOKUP($A3598,HeadJournal!$A$1:$L$890,COLUMN(HeadJournal!H$1),0),0)</f>
        <v>0.49679456931757948</v>
      </c>
      <c r="P3598" s="30">
        <f>IFERROR(SUM(K3598:O3598)*VLOOKUP($A3598,HeadJournal!$A$1:$L$890,COLUMN(HeadJournal!H$1),0),0)</f>
        <v>779.9919168340914</v>
      </c>
      <c r="Q3598" s="29">
        <v>1800</v>
      </c>
      <c r="R3598" s="31">
        <v>45647</v>
      </c>
      <c r="S3598" s="31" t="s">
        <v>3121</v>
      </c>
      <c r="T3598" s="95" t="str">
        <f t="shared" si="288"/>
        <v>2024 12</v>
      </c>
      <c r="U3598" s="32">
        <f t="shared" si="285"/>
        <v>1020.0080831659086</v>
      </c>
      <c r="V3598" s="22">
        <f t="shared" si="286"/>
        <v>1.3077162226321764</v>
      </c>
      <c r="X3598" s="33"/>
      <c r="Y3598" s="33"/>
    </row>
    <row r="3599" spans="1:25" x14ac:dyDescent="0.2">
      <c r="A3599" s="93" t="s">
        <v>1908</v>
      </c>
      <c r="B3599" s="94" t="str">
        <f>IFERROR(VLOOKUP($A3599,HeadJournal!$A$1:$NTR$890,COLUMN(HeadJournal!B$1),0),"")</f>
        <v>720000295321</v>
      </c>
      <c r="C3599" s="94" t="str">
        <f>IFERROR(VLOOKUP($A3599,HeadJournal!$A$1:$NTR$890,COLUMN(HeadJournal!C$1),0),"")</f>
        <v>iHerb_OA CZN6870</v>
      </c>
      <c r="D3599" s="125" t="str">
        <f>IFERROR(VLOOKUP($A3599,HeadJournal!$A$1:$NTR$890,COLUMN(HeadJournal!D$1),0),"")</f>
        <v>Доставлен</v>
      </c>
      <c r="E3599" s="95">
        <f>IFERROR(VLOOKUP($A3599,HeadJournal!$A$1:$NTR$890,COLUMN(HeadJournal!G$1),0),"")</f>
        <v>45487</v>
      </c>
      <c r="F3599" s="95" t="str">
        <f t="shared" si="287"/>
        <v>2024 07</v>
      </c>
      <c r="G3599" s="96" t="s">
        <v>5</v>
      </c>
      <c r="H3599" s="161" t="s">
        <v>2089</v>
      </c>
      <c r="I3599" s="97" t="s">
        <v>2005</v>
      </c>
      <c r="J3599" s="97" t="s">
        <v>3781</v>
      </c>
      <c r="K3599" s="29">
        <v>23.03</v>
      </c>
      <c r="L3599" s="29">
        <v>-4.1500000000000004</v>
      </c>
      <c r="M3599" s="30">
        <f>IFERROR(VLOOKUP($A3599,HeadJournal!$A$1:$J$890,COLUMN(HeadJournal!I$1),0)*($K3599+$L3599)/(SUMIF($A:$A,$A3599,$K:$K)+SUMIF($A:$A,$A3599,$L:$L)),0)</f>
        <v>-6.0251496246166862</v>
      </c>
      <c r="N3599" s="30">
        <f>IFERROR((VLOOKUP($A3599,HeadJournal!$A$1:$K$890,COLUMN(HeadJournal!K$1),0)-VLOOKUP($A3599,HeadJournal!$A$1:$K$890,COLUMN(HeadJournal!J$1),0))*($K3599+$L3599)/(SUMIF($A:$A,$A3599,$K:$K)+SUMIF($A:$A,$A3599,$L:$L)),0)</f>
        <v>2.8370618274612867E-15</v>
      </c>
      <c r="O3599" s="30">
        <f>IFERROR((VLOOKUP($A3599,HeadJournal!$A$1:$L$890,COLUMN(HeadJournal!L$1),0)*($K3599+$L3599)/(SUMIF($A:$A,$A3599,$K:$K)+SUMIF($A:$A,$A3599,$L:$L)))/VLOOKUP($A3599,HeadJournal!$A$1:$L$890,COLUMN(HeadJournal!H$1),0),0)</f>
        <v>0.88111615488171946</v>
      </c>
      <c r="P3599" s="30">
        <f>IFERROR(SUM(K3599:O3599)*VLOOKUP($A3599,HeadJournal!$A$1:$L$890,COLUMN(HeadJournal!H$1),0),0)</f>
        <v>1383.3957153431329</v>
      </c>
      <c r="Q3599" s="29">
        <v>1383.4</v>
      </c>
      <c r="R3599" s="31">
        <v>45488</v>
      </c>
      <c r="S3599" s="31" t="s">
        <v>3121</v>
      </c>
      <c r="T3599" s="95" t="str">
        <f t="shared" si="288"/>
        <v>2024 07</v>
      </c>
      <c r="U3599" s="32">
        <f t="shared" si="285"/>
        <v>4.2846568671848217E-3</v>
      </c>
      <c r="V3599" s="22">
        <f t="shared" si="286"/>
        <v>3.0972026439463634E-6</v>
      </c>
      <c r="X3599" s="33"/>
      <c r="Y3599" s="33"/>
    </row>
    <row r="3600" spans="1:25" x14ac:dyDescent="0.2">
      <c r="A3600" s="93" t="s">
        <v>1908</v>
      </c>
      <c r="B3600" s="94" t="str">
        <f>IFERROR(VLOOKUP($A3600,HeadJournal!$A$1:$NTR$890,COLUMN(HeadJournal!B$1),0),"")</f>
        <v>720000295321</v>
      </c>
      <c r="C3600" s="94" t="str">
        <f>IFERROR(VLOOKUP($A3600,HeadJournal!$A$1:$NTR$890,COLUMN(HeadJournal!C$1),0),"")</f>
        <v>iHerb_OA CZN6870</v>
      </c>
      <c r="D3600" s="125" t="str">
        <f>IFERROR(VLOOKUP($A3600,HeadJournal!$A$1:$NTR$890,COLUMN(HeadJournal!D$1),0),"")</f>
        <v>Доставлен</v>
      </c>
      <c r="E3600" s="95">
        <f>IFERROR(VLOOKUP($A3600,HeadJournal!$A$1:$NTR$890,COLUMN(HeadJournal!G$1),0),"")</f>
        <v>45487</v>
      </c>
      <c r="F3600" s="95" t="str">
        <f t="shared" si="287"/>
        <v>2024 07</v>
      </c>
      <c r="G3600" s="96" t="s">
        <v>5</v>
      </c>
      <c r="H3600" s="161" t="s">
        <v>2075</v>
      </c>
      <c r="I3600" s="97" t="s">
        <v>2005</v>
      </c>
      <c r="J3600" s="97" t="s">
        <v>3878</v>
      </c>
      <c r="K3600" s="29">
        <v>28.4</v>
      </c>
      <c r="L3600" s="29">
        <v>-5.1100000000000003</v>
      </c>
      <c r="M3600" s="30">
        <f>IFERROR(VLOOKUP($A3600,HeadJournal!$A$1:$J$890,COLUMN(HeadJournal!I$1),0)*($K3600+$L3600)/(SUMIF($A:$A,$A3600,$K:$K)+SUMIF($A:$A,$A3600,$L:$L)),0)</f>
        <v>-7.4325071375700542</v>
      </c>
      <c r="N3600" s="30">
        <f>IFERROR((VLOOKUP($A3600,HeadJournal!$A$1:$K$890,COLUMN(HeadJournal!K$1),0)-VLOOKUP($A3600,HeadJournal!$A$1:$K$890,COLUMN(HeadJournal!J$1),0))*($K3600+$L3600)/(SUMIF($A:$A,$A3600,$K:$K)+SUMIF($A:$A,$A3600,$L:$L)),0)</f>
        <v>3.4997441716935041E-15</v>
      </c>
      <c r="O3600" s="30">
        <f>IFERROR((VLOOKUP($A3600,HeadJournal!$A$1:$L$890,COLUMN(HeadJournal!L$1),0)*($K3600+$L3600)/(SUMIF($A:$A,$A3600,$K:$K)+SUMIF($A:$A,$A3600,$L:$L)))/VLOOKUP($A3600,HeadJournal!$A$1:$L$890,COLUMN(HeadJournal!H$1),0),0)</f>
        <v>1.0869277143641547</v>
      </c>
      <c r="P3600" s="30">
        <f>IFERROR(SUM(K3600:O3600)*VLOOKUP($A3600,HeadJournal!$A$1:$L$890,COLUMN(HeadJournal!H$1),0),0)</f>
        <v>1706.5299899545314</v>
      </c>
      <c r="Q3600" s="29">
        <v>3300</v>
      </c>
      <c r="R3600" s="31">
        <v>45533</v>
      </c>
      <c r="S3600" s="31" t="s">
        <v>3121</v>
      </c>
      <c r="T3600" s="95" t="str">
        <f t="shared" si="288"/>
        <v>2024 08</v>
      </c>
      <c r="U3600" s="32">
        <f t="shared" si="285"/>
        <v>1593.4700100454686</v>
      </c>
      <c r="V3600" s="22">
        <f t="shared" si="286"/>
        <v>0.9337486123451747</v>
      </c>
      <c r="X3600" s="33"/>
      <c r="Y3600" s="33"/>
    </row>
    <row r="3601" spans="1:25" x14ac:dyDescent="0.2">
      <c r="A3601" s="93" t="s">
        <v>1908</v>
      </c>
      <c r="B3601" s="94" t="str">
        <f>IFERROR(VLOOKUP($A3601,HeadJournal!$A$1:$NTR$890,COLUMN(HeadJournal!B$1),0),"")</f>
        <v>720000295321</v>
      </c>
      <c r="C3601" s="94" t="str">
        <f>IFERROR(VLOOKUP($A3601,HeadJournal!$A$1:$NTR$890,COLUMN(HeadJournal!C$1),0),"")</f>
        <v>iHerb_OA CZN6870</v>
      </c>
      <c r="D3601" s="125" t="str">
        <f>IFERROR(VLOOKUP($A3601,HeadJournal!$A$1:$NTR$890,COLUMN(HeadJournal!D$1),0),"")</f>
        <v>Доставлен</v>
      </c>
      <c r="E3601" s="95">
        <f>IFERROR(VLOOKUP($A3601,HeadJournal!$A$1:$NTR$890,COLUMN(HeadJournal!G$1),0),"")</f>
        <v>45487</v>
      </c>
      <c r="F3601" s="95" t="str">
        <f t="shared" si="287"/>
        <v>2024 07</v>
      </c>
      <c r="G3601" s="96" t="s">
        <v>5</v>
      </c>
      <c r="H3601" s="160" t="str">
        <f>RIGHT(Journal!$J3601,9)</f>
        <v>CAR-01676</v>
      </c>
      <c r="I3601" s="127" t="str">
        <f t="shared" si="284"/>
        <v>Carlson</v>
      </c>
      <c r="J3601" s="97" t="s">
        <v>1915</v>
      </c>
      <c r="K3601" s="29">
        <v>61.76</v>
      </c>
      <c r="L3601" s="29">
        <v>-11.12</v>
      </c>
      <c r="M3601" s="30">
        <f>IFERROR(VLOOKUP($A3601,HeadJournal!$A$1:$J$890,COLUMN(HeadJournal!I$1),0)*($K3601+$L3601)/(SUMIF($A:$A,$A3601,$K:$K)+SUMIF($A:$A,$A3601,$L:$L)),0)</f>
        <v>-16.160676747382894</v>
      </c>
      <c r="N3601" s="30">
        <f>IFERROR((VLOOKUP($A3601,HeadJournal!$A$1:$K$890,COLUMN(HeadJournal!K$1),0)-VLOOKUP($A3601,HeadJournal!$A$1:$K$890,COLUMN(HeadJournal!J$1),0))*($K3601+$L3601)/(SUMIF($A:$A,$A3601,$K:$K)+SUMIF($A:$A,$A3601,$L:$L)),0)</f>
        <v>7.6095768507753989E-15</v>
      </c>
      <c r="O3601" s="30">
        <f>IFERROR((VLOOKUP($A3601,HeadJournal!$A$1:$L$890,COLUMN(HeadJournal!L$1),0)*($K3601+$L3601)/(SUMIF($A:$A,$A3601,$K:$K)+SUMIF($A:$A,$A3601,$L:$L)))/VLOOKUP($A3601,HeadJournal!$A$1:$L$890,COLUMN(HeadJournal!H$1),0),0)</f>
        <v>2.3633327374581707</v>
      </c>
      <c r="P3601" s="30">
        <f>IFERROR(SUM(K3601:O3601)*VLOOKUP($A3601,HeadJournal!$A$1:$L$890,COLUMN(HeadJournal!H$1),0),0)</f>
        <v>3710.5486771703513</v>
      </c>
      <c r="Q3601" s="29">
        <v>6400</v>
      </c>
      <c r="R3601" s="31">
        <v>45518</v>
      </c>
      <c r="S3601" s="31" t="s">
        <v>3121</v>
      </c>
      <c r="T3601" s="95" t="str">
        <f t="shared" si="288"/>
        <v>2024 08</v>
      </c>
      <c r="U3601" s="32">
        <f t="shared" si="285"/>
        <v>2689.4513228296487</v>
      </c>
      <c r="V3601" s="22">
        <f t="shared" si="286"/>
        <v>0.72481230050338885</v>
      </c>
      <c r="X3601" s="33"/>
      <c r="Y3601" s="33"/>
    </row>
    <row r="3602" spans="1:25" x14ac:dyDescent="0.2">
      <c r="A3602" s="93" t="s">
        <v>1908</v>
      </c>
      <c r="B3602" s="94" t="str">
        <f>IFERROR(VLOOKUP($A3602,HeadJournal!$A$1:$NTR$890,COLUMN(HeadJournal!B$1),0),"")</f>
        <v>720000295321</v>
      </c>
      <c r="C3602" s="94" t="str">
        <f>IFERROR(VLOOKUP($A3602,HeadJournal!$A$1:$NTR$890,COLUMN(HeadJournal!C$1),0),"")</f>
        <v>iHerb_OA CZN6870</v>
      </c>
      <c r="D3602" s="125" t="str">
        <f>IFERROR(VLOOKUP($A3602,HeadJournal!$A$1:$NTR$890,COLUMN(HeadJournal!D$1),0),"")</f>
        <v>Доставлен</v>
      </c>
      <c r="E3602" s="95">
        <f>IFERROR(VLOOKUP($A3602,HeadJournal!$A$1:$NTR$890,COLUMN(HeadJournal!G$1),0),"")</f>
        <v>45487</v>
      </c>
      <c r="F3602" s="95" t="str">
        <f t="shared" si="287"/>
        <v>2024 07</v>
      </c>
      <c r="G3602" s="96" t="s">
        <v>5</v>
      </c>
      <c r="H3602" s="161" t="s">
        <v>2479</v>
      </c>
      <c r="I3602" s="97" t="s">
        <v>2207</v>
      </c>
      <c r="J3602" s="97" t="s">
        <v>2480</v>
      </c>
      <c r="K3602" s="29">
        <v>44.62</v>
      </c>
      <c r="L3602" s="29">
        <v>-8.0299999999999994</v>
      </c>
      <c r="M3602" s="30">
        <f>IFERROR(VLOOKUP($A3602,HeadJournal!$A$1:$J$890,COLUMN(HeadJournal!I$1),0)*($K3602+$L3602)/(SUMIF($A:$A,$A3602,$K:$K)+SUMIF($A:$A,$A3602,$L:$L)),0)</f>
        <v>-11.676918684572273</v>
      </c>
      <c r="N3602" s="30">
        <f>IFERROR((VLOOKUP($A3602,HeadJournal!$A$1:$K$890,COLUMN(HeadJournal!K$1),0)-VLOOKUP($A3602,HeadJournal!$A$1:$K$890,COLUMN(HeadJournal!J$1),0))*($K3602+$L3602)/(SUMIF($A:$A,$A3602,$K:$K)+SUMIF($A:$A,$A3602,$L:$L)),0)</f>
        <v>5.4983099717589224E-15</v>
      </c>
      <c r="O3602" s="30">
        <f>IFERROR((VLOOKUP($A3602,HeadJournal!$A$1:$L$890,COLUMN(HeadJournal!L$1),0)*($K3602+$L3602)/(SUMIF($A:$A,$A3602,$K:$K)+SUMIF($A:$A,$A3602,$L:$L)))/VLOOKUP($A3602,HeadJournal!$A$1:$L$890,COLUMN(HeadJournal!H$1),0),0)</f>
        <v>1.7076292429619759</v>
      </c>
      <c r="P3602" s="30">
        <f>IFERROR(SUM(K3602:O3602)*VLOOKUP($A3602,HeadJournal!$A$1:$L$890,COLUMN(HeadJournal!H$1),0),0)</f>
        <v>2681.0619292587512</v>
      </c>
      <c r="Q3602" s="29">
        <v>4800</v>
      </c>
      <c r="R3602" s="31">
        <v>45518</v>
      </c>
      <c r="S3602" s="31" t="s">
        <v>3121</v>
      </c>
      <c r="T3602" s="95" t="str">
        <f t="shared" si="288"/>
        <v>2024 08</v>
      </c>
      <c r="U3602" s="32">
        <f t="shared" si="285"/>
        <v>2118.9380707412488</v>
      </c>
      <c r="V3602" s="22">
        <f t="shared" si="286"/>
        <v>0.7903353695850972</v>
      </c>
      <c r="X3602" s="33"/>
      <c r="Y3602" s="33"/>
    </row>
    <row r="3603" spans="1:25" x14ac:dyDescent="0.2">
      <c r="A3603" s="93" t="s">
        <v>1916</v>
      </c>
      <c r="B3603" s="94">
        <f>IFERROR(VLOOKUP($A3603,HeadJournal!$A$1:$NTR$890,COLUMN(HeadJournal!B$1),0),"")</f>
        <v>0</v>
      </c>
      <c r="C3603" s="94" t="str">
        <f>IFERROR(VLOOKUP($A3603,HeadJournal!$A$1:$NTR$890,COLUMN(HeadJournal!C$1),0),"")</f>
        <v>OZON_AV</v>
      </c>
      <c r="D3603" s="125" t="str">
        <f>IFERROR(VLOOKUP($A3603,HeadJournal!$A$1:$NTR$890,COLUMN(HeadJournal!D$1),0),"")</f>
        <v>Доставлен</v>
      </c>
      <c r="E3603" s="95">
        <f>IFERROR(VLOOKUP($A3603,HeadJournal!$A$1:$NTR$890,COLUMN(HeadJournal!G$1),0),"")</f>
        <v>45499</v>
      </c>
      <c r="F3603" s="95" t="str">
        <f t="shared" si="287"/>
        <v>2024 07</v>
      </c>
      <c r="G3603" s="96" t="s">
        <v>7</v>
      </c>
      <c r="H3603" s="160" t="str">
        <f>RIGHT(Journal!$J3603,9)</f>
        <v>000000040</v>
      </c>
      <c r="I3603" s="96" t="str">
        <f t="shared" si="284"/>
        <v>Forever</v>
      </c>
      <c r="J3603" s="97" t="s">
        <v>299</v>
      </c>
      <c r="K3603" s="29">
        <v>1275</v>
      </c>
      <c r="L3603" s="29">
        <v>0</v>
      </c>
      <c r="M3603" s="30">
        <f>IFERROR(VLOOKUP($A3603,HeadJournal!$A$1:$J$890,COLUMN(HeadJournal!I$1),0)*($K3603+$L3603)/(SUMIF($A:$A,$A3603,$K:$K)+SUMIF($A:$A,$A3603,$L:$L)),0)</f>
        <v>0</v>
      </c>
      <c r="N3603" s="30">
        <f>IFERROR((VLOOKUP($A3603,HeadJournal!$A$1:$K$890,COLUMN(HeadJournal!K$1),0)-VLOOKUP($A3603,HeadJournal!$A$1:$K$890,COLUMN(HeadJournal!J$1),0))*($K3603+$L3603)/(SUMIF($A:$A,$A3603,$K:$K)+SUMIF($A:$A,$A3603,$L:$L)),0)</f>
        <v>0</v>
      </c>
      <c r="O3603" s="30">
        <f>IFERROR((VLOOKUP($A3603,HeadJournal!$A$1:$L$890,COLUMN(HeadJournal!L$1),0)*($K3603+$L3603)/(SUMIF($A:$A,$A3603,$K:$K)+SUMIF($A:$A,$A3603,$L:$L)))/VLOOKUP($A3603,HeadJournal!$A$1:$L$890,COLUMN(HeadJournal!H$1),0),0)</f>
        <v>0</v>
      </c>
      <c r="P3603" s="30">
        <f>IFERROR(SUM(K3603:O3603)*VLOOKUP($A3603,HeadJournal!$A$1:$L$890,COLUMN(HeadJournal!H$1),0),0)</f>
        <v>1275</v>
      </c>
      <c r="Q3603" s="29">
        <v>1275</v>
      </c>
      <c r="R3603" s="31">
        <v>45500</v>
      </c>
      <c r="S3603" s="31" t="s">
        <v>3121</v>
      </c>
      <c r="T3603" s="95" t="str">
        <f t="shared" si="288"/>
        <v>2024 07</v>
      </c>
      <c r="U3603" s="32">
        <f t="shared" si="285"/>
        <v>0</v>
      </c>
      <c r="V3603" s="22">
        <f t="shared" si="286"/>
        <v>0</v>
      </c>
      <c r="X3603" s="33"/>
      <c r="Y3603" s="33"/>
    </row>
    <row r="3604" spans="1:25" x14ac:dyDescent="0.2">
      <c r="A3604" s="93" t="s">
        <v>1916</v>
      </c>
      <c r="B3604" s="94">
        <f>IFERROR(VLOOKUP($A3604,HeadJournal!$A$1:$NTR$890,COLUMN(HeadJournal!B$1),0),"")</f>
        <v>0</v>
      </c>
      <c r="C3604" s="94" t="str">
        <f>IFERROR(VLOOKUP($A3604,HeadJournal!$A$1:$NTR$890,COLUMN(HeadJournal!C$1),0),"")</f>
        <v>OZON_AV</v>
      </c>
      <c r="D3604" s="125" t="str">
        <f>IFERROR(VLOOKUP($A3604,HeadJournal!$A$1:$NTR$890,COLUMN(HeadJournal!D$1),0),"")</f>
        <v>Доставлен</v>
      </c>
      <c r="E3604" s="95">
        <f>IFERROR(VLOOKUP($A3604,HeadJournal!$A$1:$NTR$890,COLUMN(HeadJournal!G$1),0),"")</f>
        <v>45499</v>
      </c>
      <c r="F3604" s="95" t="str">
        <f t="shared" si="287"/>
        <v>2024 07</v>
      </c>
      <c r="G3604" s="96" t="s">
        <v>7</v>
      </c>
      <c r="H3604" s="160" t="str">
        <f>RIGHT(Journal!$J3604,9)</f>
        <v>000000040</v>
      </c>
      <c r="I3604" s="96" t="str">
        <f t="shared" si="284"/>
        <v>Forever</v>
      </c>
      <c r="J3604" s="97" t="s">
        <v>299</v>
      </c>
      <c r="K3604" s="29">
        <v>1275</v>
      </c>
      <c r="L3604" s="29">
        <v>0</v>
      </c>
      <c r="M3604" s="30">
        <f>IFERROR(VLOOKUP($A3604,HeadJournal!$A$1:$J$890,COLUMN(HeadJournal!I$1),0)*($K3604+$L3604)/(SUMIF($A:$A,$A3604,$K:$K)+SUMIF($A:$A,$A3604,$L:$L)),0)</f>
        <v>0</v>
      </c>
      <c r="N3604" s="30">
        <f>IFERROR((VLOOKUP($A3604,HeadJournal!$A$1:$K$890,COLUMN(HeadJournal!K$1),0)-VLOOKUP($A3604,HeadJournal!$A$1:$K$890,COLUMN(HeadJournal!J$1),0))*($K3604+$L3604)/(SUMIF($A:$A,$A3604,$K:$K)+SUMIF($A:$A,$A3604,$L:$L)),0)</f>
        <v>0</v>
      </c>
      <c r="O3604" s="30">
        <f>IFERROR((VLOOKUP($A3604,HeadJournal!$A$1:$L$890,COLUMN(HeadJournal!L$1),0)*($K3604+$L3604)/(SUMIF($A:$A,$A3604,$K:$K)+SUMIF($A:$A,$A3604,$L:$L)))/VLOOKUP($A3604,HeadJournal!$A$1:$L$890,COLUMN(HeadJournal!H$1),0),0)</f>
        <v>0</v>
      </c>
      <c r="P3604" s="30">
        <f>IFERROR(SUM(K3604:O3604)*VLOOKUP($A3604,HeadJournal!$A$1:$L$890,COLUMN(HeadJournal!H$1),0),0)</f>
        <v>1275</v>
      </c>
      <c r="Q3604" s="29">
        <v>2200</v>
      </c>
      <c r="R3604" s="31">
        <v>45540</v>
      </c>
      <c r="S3604" s="31" t="s">
        <v>3121</v>
      </c>
      <c r="T3604" s="95" t="str">
        <f t="shared" si="288"/>
        <v>2024 09</v>
      </c>
      <c r="U3604" s="32">
        <f t="shared" si="285"/>
        <v>925</v>
      </c>
      <c r="V3604" s="22">
        <f t="shared" si="286"/>
        <v>0.72549019607843135</v>
      </c>
      <c r="X3604" s="33"/>
      <c r="Y3604" s="33"/>
    </row>
    <row r="3605" spans="1:25" x14ac:dyDescent="0.2">
      <c r="A3605" s="93" t="s">
        <v>1917</v>
      </c>
      <c r="B3605" s="94">
        <f>IFERROR(VLOOKUP($A3605,HeadJournal!$A$1:$NTR$890,COLUMN(HeadJournal!B$1),0),"")</f>
        <v>0</v>
      </c>
      <c r="C3605" s="94" t="str">
        <f>IFERROR(VLOOKUP($A3605,HeadJournal!$A$1:$NTR$890,COLUMN(HeadJournal!C$1),0),"")</f>
        <v>WBRS</v>
      </c>
      <c r="D3605" s="125" t="str">
        <f>IFERROR(VLOOKUP($A3605,HeadJournal!$A$1:$NTR$890,COLUMN(HeadJournal!D$1),0),"")</f>
        <v>Доставлен</v>
      </c>
      <c r="E3605" s="95">
        <f>IFERROR(VLOOKUP($A3605,HeadJournal!$A$1:$NTR$890,COLUMN(HeadJournal!G$1),0),"")</f>
        <v>45464</v>
      </c>
      <c r="F3605" s="95" t="str">
        <f t="shared" si="287"/>
        <v>2024 06</v>
      </c>
      <c r="G3605" s="96" t="s">
        <v>6</v>
      </c>
      <c r="H3605" s="160" t="str">
        <f>RIGHT(Journal!$J3605,9)</f>
        <v>638236196</v>
      </c>
      <c r="I3605" s="96" t="str">
        <f t="shared" si="284"/>
        <v>Maxler</v>
      </c>
      <c r="J3605" s="97" t="s">
        <v>613</v>
      </c>
      <c r="K3605" s="29">
        <v>1140</v>
      </c>
      <c r="L3605" s="29">
        <v>0</v>
      </c>
      <c r="M3605" s="30">
        <f>IFERROR(VLOOKUP($A3605,HeadJournal!$A$1:$J$890,COLUMN(HeadJournal!I$1),0)*($K3605+$L3605)/(SUMIF($A:$A,$A3605,$K:$K)+SUMIF($A:$A,$A3605,$L:$L)),0)</f>
        <v>0</v>
      </c>
      <c r="N3605" s="30">
        <f>IFERROR((VLOOKUP($A3605,HeadJournal!$A$1:$K$890,COLUMN(HeadJournal!K$1),0)-VLOOKUP($A3605,HeadJournal!$A$1:$K$890,COLUMN(HeadJournal!J$1),0))*($K3605+$L3605)/(SUMIF($A:$A,$A3605,$K:$K)+SUMIF($A:$A,$A3605,$L:$L)),0)</f>
        <v>0</v>
      </c>
      <c r="O3605" s="30">
        <f>IFERROR((VLOOKUP($A3605,HeadJournal!$A$1:$L$890,COLUMN(HeadJournal!L$1),0)*($K3605+$L3605)/(SUMIF($A:$A,$A3605,$K:$K)+SUMIF($A:$A,$A3605,$L:$L)))/VLOOKUP($A3605,HeadJournal!$A$1:$L$890,COLUMN(HeadJournal!H$1),0),0)</f>
        <v>0</v>
      </c>
      <c r="P3605" s="30">
        <f>IFERROR(SUM(K3605:O3605)*VLOOKUP($A3605,HeadJournal!$A$1:$L$890,COLUMN(HeadJournal!H$1),0),0)</f>
        <v>1140</v>
      </c>
      <c r="Q3605" s="29"/>
      <c r="R3605" s="31"/>
      <c r="S3605" s="31"/>
      <c r="T3605" s="95" t="str">
        <f t="shared" si="288"/>
        <v/>
      </c>
      <c r="U3605" s="32">
        <f t="shared" si="285"/>
        <v>-1140</v>
      </c>
      <c r="V3605" s="22" t="str">
        <f t="shared" si="286"/>
        <v/>
      </c>
      <c r="X3605" s="33"/>
      <c r="Y3605" s="33"/>
    </row>
    <row r="3606" spans="1:25" x14ac:dyDescent="0.2">
      <c r="A3606" s="93" t="s">
        <v>1918</v>
      </c>
      <c r="B3606" s="94">
        <f>IFERROR(VLOOKUP($A3606,HeadJournal!$A$1:$NTR$890,COLUMN(HeadJournal!B$1),0),"")</f>
        <v>0</v>
      </c>
      <c r="C3606" s="94" t="str">
        <f>IFERROR(VLOOKUP($A3606,HeadJournal!$A$1:$NTR$890,COLUMN(HeadJournal!C$1),0),"")</f>
        <v>WBRS</v>
      </c>
      <c r="D3606" s="125" t="str">
        <f>IFERROR(VLOOKUP($A3606,HeadJournal!$A$1:$NTR$890,COLUMN(HeadJournal!D$1),0),"")</f>
        <v>Доставлен</v>
      </c>
      <c r="E3606" s="95">
        <f>IFERROR(VLOOKUP($A3606,HeadJournal!$A$1:$NTR$890,COLUMN(HeadJournal!G$1),0),"")</f>
        <v>45478</v>
      </c>
      <c r="F3606" s="95" t="str">
        <f t="shared" si="287"/>
        <v>2024 07</v>
      </c>
      <c r="G3606" s="96" t="s">
        <v>6</v>
      </c>
      <c r="H3606" s="160" t="str">
        <f>RIGHT(Journal!$J3606,9)</f>
        <v>000004736</v>
      </c>
      <c r="I3606" s="96" t="str">
        <f t="shared" si="284"/>
        <v>Universal Nutrition</v>
      </c>
      <c r="J3606" s="97" t="s">
        <v>1601</v>
      </c>
      <c r="K3606" s="29">
        <v>3125</v>
      </c>
      <c r="L3606" s="29">
        <v>0</v>
      </c>
      <c r="M3606" s="30">
        <f>IFERROR(VLOOKUP($A3606,HeadJournal!$A$1:$J$890,COLUMN(HeadJournal!I$1),0)*($K3606+$L3606)/(SUMIF($A:$A,$A3606,$K:$K)+SUMIF($A:$A,$A3606,$L:$L)),0)</f>
        <v>0</v>
      </c>
      <c r="N3606" s="30">
        <f>IFERROR((VLOOKUP($A3606,HeadJournal!$A$1:$K$890,COLUMN(HeadJournal!K$1),0)-VLOOKUP($A3606,HeadJournal!$A$1:$K$890,COLUMN(HeadJournal!J$1),0))*($K3606+$L3606)/(SUMIF($A:$A,$A3606,$K:$K)+SUMIF($A:$A,$A3606,$L:$L)),0)</f>
        <v>0</v>
      </c>
      <c r="O3606" s="30">
        <f>IFERROR((VLOOKUP($A3606,HeadJournal!$A$1:$L$890,COLUMN(HeadJournal!L$1),0)*($K3606+$L3606)/(SUMIF($A:$A,$A3606,$K:$K)+SUMIF($A:$A,$A3606,$L:$L)))/VLOOKUP($A3606,HeadJournal!$A$1:$L$890,COLUMN(HeadJournal!H$1),0),0)</f>
        <v>0</v>
      </c>
      <c r="P3606" s="30">
        <f>IFERROR(SUM(K3606:O3606)*VLOOKUP($A3606,HeadJournal!$A$1:$L$890,COLUMN(HeadJournal!H$1),0),0)</f>
        <v>3125</v>
      </c>
      <c r="Q3606" s="29">
        <v>4500</v>
      </c>
      <c r="R3606" s="31">
        <v>45528</v>
      </c>
      <c r="S3606" s="31" t="s">
        <v>3121</v>
      </c>
      <c r="T3606" s="95" t="str">
        <f t="shared" si="288"/>
        <v>2024 08</v>
      </c>
      <c r="U3606" s="32">
        <f t="shared" si="285"/>
        <v>1375</v>
      </c>
      <c r="V3606" s="22">
        <f t="shared" si="286"/>
        <v>0.44</v>
      </c>
      <c r="X3606" s="33"/>
      <c r="Y3606" s="33"/>
    </row>
    <row r="3607" spans="1:25" x14ac:dyDescent="0.2">
      <c r="A3607" s="93" t="s">
        <v>1918</v>
      </c>
      <c r="B3607" s="94">
        <f>IFERROR(VLOOKUP($A3607,HeadJournal!$A$1:$NTR$890,COLUMN(HeadJournal!B$1),0),"")</f>
        <v>0</v>
      </c>
      <c r="C3607" s="94" t="str">
        <f>IFERROR(VLOOKUP($A3607,HeadJournal!$A$1:$NTR$890,COLUMN(HeadJournal!C$1),0),"")</f>
        <v>WBRS</v>
      </c>
      <c r="D3607" s="125" t="str">
        <f>IFERROR(VLOOKUP($A3607,HeadJournal!$A$1:$NTR$890,COLUMN(HeadJournal!D$1),0),"")</f>
        <v>Доставлен</v>
      </c>
      <c r="E3607" s="95">
        <f>IFERROR(VLOOKUP($A3607,HeadJournal!$A$1:$NTR$890,COLUMN(HeadJournal!G$1),0),"")</f>
        <v>45478</v>
      </c>
      <c r="F3607" s="95" t="str">
        <f t="shared" si="287"/>
        <v>2024 07</v>
      </c>
      <c r="G3607" s="96" t="s">
        <v>6</v>
      </c>
      <c r="H3607" s="160" t="str">
        <f>RIGHT(Journal!$J3607,9)</f>
        <v>000004736</v>
      </c>
      <c r="I3607" s="96" t="str">
        <f t="shared" si="284"/>
        <v>Universal Nutrition</v>
      </c>
      <c r="J3607" s="97" t="s">
        <v>1601</v>
      </c>
      <c r="K3607" s="29">
        <v>3125</v>
      </c>
      <c r="L3607" s="29">
        <v>0</v>
      </c>
      <c r="M3607" s="30">
        <f>IFERROR(VLOOKUP($A3607,HeadJournal!$A$1:$J$890,COLUMN(HeadJournal!I$1),0)*($K3607+$L3607)/(SUMIF($A:$A,$A3607,$K:$K)+SUMIF($A:$A,$A3607,$L:$L)),0)</f>
        <v>0</v>
      </c>
      <c r="N3607" s="30">
        <f>IFERROR((VLOOKUP($A3607,HeadJournal!$A$1:$K$890,COLUMN(HeadJournal!K$1),0)-VLOOKUP($A3607,HeadJournal!$A$1:$K$890,COLUMN(HeadJournal!J$1),0))*($K3607+$L3607)/(SUMIF($A:$A,$A3607,$K:$K)+SUMIF($A:$A,$A3607,$L:$L)),0)</f>
        <v>0</v>
      </c>
      <c r="O3607" s="30">
        <f>IFERROR((VLOOKUP($A3607,HeadJournal!$A$1:$L$890,COLUMN(HeadJournal!L$1),0)*($K3607+$L3607)/(SUMIF($A:$A,$A3607,$K:$K)+SUMIF($A:$A,$A3607,$L:$L)))/VLOOKUP($A3607,HeadJournal!$A$1:$L$890,COLUMN(HeadJournal!H$1),0),0)</f>
        <v>0</v>
      </c>
      <c r="P3607" s="30">
        <f>IFERROR(SUM(K3607:O3607)*VLOOKUP($A3607,HeadJournal!$A$1:$L$890,COLUMN(HeadJournal!H$1),0),0)</f>
        <v>3125</v>
      </c>
      <c r="Q3607" s="29">
        <v>4500</v>
      </c>
      <c r="R3607" s="31">
        <v>45551</v>
      </c>
      <c r="S3607" s="31" t="s">
        <v>3121</v>
      </c>
      <c r="T3607" s="95" t="str">
        <f t="shared" si="288"/>
        <v>2024 09</v>
      </c>
      <c r="U3607" s="32">
        <f t="shared" si="285"/>
        <v>1375</v>
      </c>
      <c r="V3607" s="22">
        <f t="shared" si="286"/>
        <v>0.44</v>
      </c>
      <c r="X3607" s="33"/>
      <c r="Y3607" s="33"/>
    </row>
    <row r="3608" spans="1:25" x14ac:dyDescent="0.2">
      <c r="A3608" s="93" t="s">
        <v>1919</v>
      </c>
      <c r="B3608" s="94">
        <f>IFERROR(VLOOKUP($A3608,HeadJournal!$A$1:$NTR$890,COLUMN(HeadJournal!B$1),0),"")</f>
        <v>0</v>
      </c>
      <c r="C3608" s="94" t="str">
        <f>IFERROR(VLOOKUP($A3608,HeadJournal!$A$1:$NTR$890,COLUMN(HeadJournal!C$1),0),"")</f>
        <v>WBRS</v>
      </c>
      <c r="D3608" s="125" t="str">
        <f>IFERROR(VLOOKUP($A3608,HeadJournal!$A$1:$NTR$890,COLUMN(HeadJournal!D$1),0),"")</f>
        <v>Доставлен</v>
      </c>
      <c r="E3608" s="95">
        <f>IFERROR(VLOOKUP($A3608,HeadJournal!$A$1:$NTR$890,COLUMN(HeadJournal!G$1),0),"")</f>
        <v>45499</v>
      </c>
      <c r="F3608" s="95" t="str">
        <f t="shared" si="287"/>
        <v>2024 07</v>
      </c>
      <c r="G3608" s="96" t="s">
        <v>6</v>
      </c>
      <c r="H3608" s="160" t="str">
        <f>RIGHT(Journal!$J3608,9)</f>
        <v>176208973</v>
      </c>
      <c r="I3608" s="96" t="str">
        <f t="shared" si="284"/>
        <v>Maxler</v>
      </c>
      <c r="J3608" s="97" t="s">
        <v>481</v>
      </c>
      <c r="K3608" s="29">
        <v>1940</v>
      </c>
      <c r="L3608" s="29">
        <v>0</v>
      </c>
      <c r="M3608" s="30">
        <f>IFERROR(VLOOKUP($A3608,HeadJournal!$A$1:$J$890,COLUMN(HeadJournal!I$1),0)*($K3608+$L3608)/(SUMIF($A:$A,$A3608,$K:$K)+SUMIF($A:$A,$A3608,$L:$L)),0)</f>
        <v>0</v>
      </c>
      <c r="N3608" s="30">
        <f>IFERROR((VLOOKUP($A3608,HeadJournal!$A$1:$K$890,COLUMN(HeadJournal!K$1),0)-VLOOKUP($A3608,HeadJournal!$A$1:$K$890,COLUMN(HeadJournal!J$1),0))*($K3608+$L3608)/(SUMIF($A:$A,$A3608,$K:$K)+SUMIF($A:$A,$A3608,$L:$L)),0)</f>
        <v>0</v>
      </c>
      <c r="O3608" s="30">
        <f>IFERROR((VLOOKUP($A3608,HeadJournal!$A$1:$L$890,COLUMN(HeadJournal!L$1),0)*($K3608+$L3608)/(SUMIF($A:$A,$A3608,$K:$K)+SUMIF($A:$A,$A3608,$L:$L)))/VLOOKUP($A3608,HeadJournal!$A$1:$L$890,COLUMN(HeadJournal!H$1),0),0)</f>
        <v>0</v>
      </c>
      <c r="P3608" s="30">
        <f>IFERROR(SUM(K3608:O3608)*VLOOKUP($A3608,HeadJournal!$A$1:$L$890,COLUMN(HeadJournal!H$1),0),0)</f>
        <v>1940</v>
      </c>
      <c r="Q3608" s="29">
        <v>2600</v>
      </c>
      <c r="R3608" s="31">
        <v>45509</v>
      </c>
      <c r="S3608" s="31" t="s">
        <v>3121</v>
      </c>
      <c r="T3608" s="95" t="str">
        <f t="shared" si="288"/>
        <v>2024 08</v>
      </c>
      <c r="U3608" s="32">
        <f t="shared" si="285"/>
        <v>660</v>
      </c>
      <c r="V3608" s="22">
        <f t="shared" si="286"/>
        <v>0.34020618556701032</v>
      </c>
      <c r="X3608" s="33"/>
      <c r="Y3608" s="33"/>
    </row>
    <row r="3609" spans="1:25" x14ac:dyDescent="0.2">
      <c r="A3609" s="93" t="s">
        <v>1919</v>
      </c>
      <c r="B3609" s="94">
        <f>IFERROR(VLOOKUP($A3609,HeadJournal!$A$1:$NTR$890,COLUMN(HeadJournal!B$1),0),"")</f>
        <v>0</v>
      </c>
      <c r="C3609" s="94" t="str">
        <f>IFERROR(VLOOKUP($A3609,HeadJournal!$A$1:$NTR$890,COLUMN(HeadJournal!C$1),0),"")</f>
        <v>WBRS</v>
      </c>
      <c r="D3609" s="125" t="str">
        <f>IFERROR(VLOOKUP($A3609,HeadJournal!$A$1:$NTR$890,COLUMN(HeadJournal!D$1),0),"")</f>
        <v>Доставлен</v>
      </c>
      <c r="E3609" s="95">
        <f>IFERROR(VLOOKUP($A3609,HeadJournal!$A$1:$NTR$890,COLUMN(HeadJournal!G$1),0),"")</f>
        <v>45499</v>
      </c>
      <c r="F3609" s="95" t="str">
        <f t="shared" si="287"/>
        <v>2024 07</v>
      </c>
      <c r="G3609" s="96" t="s">
        <v>6</v>
      </c>
      <c r="H3609" s="160" t="str">
        <f>RIGHT(Journal!$J3609,9)</f>
        <v xml:space="preserve"> 17620897</v>
      </c>
      <c r="I3609" s="96" t="str">
        <f t="shared" si="284"/>
        <v>Maxler</v>
      </c>
      <c r="J3609" s="97" t="s">
        <v>2240</v>
      </c>
      <c r="K3609" s="29">
        <v>1940</v>
      </c>
      <c r="L3609" s="29">
        <v>0</v>
      </c>
      <c r="M3609" s="30">
        <f>IFERROR(VLOOKUP($A3609,HeadJournal!$A$1:$J$890,COLUMN(HeadJournal!I$1),0)*($K3609+$L3609)/(SUMIF($A:$A,$A3609,$K:$K)+SUMIF($A:$A,$A3609,$L:$L)),0)</f>
        <v>0</v>
      </c>
      <c r="N3609" s="30">
        <f>IFERROR((VLOOKUP($A3609,HeadJournal!$A$1:$K$890,COLUMN(HeadJournal!K$1),0)-VLOOKUP($A3609,HeadJournal!$A$1:$K$890,COLUMN(HeadJournal!J$1),0))*($K3609+$L3609)/(SUMIF($A:$A,$A3609,$K:$K)+SUMIF($A:$A,$A3609,$L:$L)),0)</f>
        <v>0</v>
      </c>
      <c r="O3609" s="30">
        <f>IFERROR((VLOOKUP($A3609,HeadJournal!$A$1:$L$890,COLUMN(HeadJournal!L$1),0)*($K3609+$L3609)/(SUMIF($A:$A,$A3609,$K:$K)+SUMIF($A:$A,$A3609,$L:$L)))/VLOOKUP($A3609,HeadJournal!$A$1:$L$890,COLUMN(HeadJournal!H$1),0),0)</f>
        <v>0</v>
      </c>
      <c r="P3609" s="30">
        <f>IFERROR(SUM(K3609:O3609)*VLOOKUP($A3609,HeadJournal!$A$1:$L$890,COLUMN(HeadJournal!H$1),0),0)</f>
        <v>1940</v>
      </c>
      <c r="Q3609" s="29">
        <v>2600</v>
      </c>
      <c r="R3609" s="31">
        <v>45509</v>
      </c>
      <c r="S3609" s="31" t="s">
        <v>3121</v>
      </c>
      <c r="T3609" s="95" t="str">
        <f t="shared" si="288"/>
        <v>2024 08</v>
      </c>
      <c r="U3609" s="32">
        <f t="shared" si="285"/>
        <v>660</v>
      </c>
      <c r="V3609" s="22">
        <f t="shared" si="286"/>
        <v>0.34020618556701032</v>
      </c>
      <c r="X3609" s="33"/>
      <c r="Y3609" s="33"/>
    </row>
    <row r="3610" spans="1:25" x14ac:dyDescent="0.2">
      <c r="A3610" s="93" t="s">
        <v>1920</v>
      </c>
      <c r="B3610" s="94">
        <f>IFERROR(VLOOKUP($A3610,HeadJournal!$A$1:$NTR$890,COLUMN(HeadJournal!B$1),0),"")</f>
        <v>0</v>
      </c>
      <c r="C3610" s="94" t="str">
        <f>IFERROR(VLOOKUP($A3610,HeadJournal!$A$1:$NTR$890,COLUMN(HeadJournal!C$1),0),"")</f>
        <v>WBRS</v>
      </c>
      <c r="D3610" s="125" t="str">
        <f>IFERROR(VLOOKUP($A3610,HeadJournal!$A$1:$NTR$890,COLUMN(HeadJournal!D$1),0),"")</f>
        <v>Доставлен</v>
      </c>
      <c r="E3610" s="95">
        <f>IFERROR(VLOOKUP($A3610,HeadJournal!$A$1:$NTR$890,COLUMN(HeadJournal!G$1),0),"")</f>
        <v>45506</v>
      </c>
      <c r="F3610" s="95" t="str">
        <f t="shared" si="287"/>
        <v>2024 08</v>
      </c>
      <c r="G3610" s="96" t="s">
        <v>6</v>
      </c>
      <c r="H3610" s="160" t="str">
        <f>RIGHT(Journal!$J3610,9)</f>
        <v>176044510</v>
      </c>
      <c r="I3610" s="96" t="str">
        <f t="shared" si="284"/>
        <v>Spotlife</v>
      </c>
      <c r="J3610" s="97" t="s">
        <v>1037</v>
      </c>
      <c r="K3610" s="29">
        <v>505</v>
      </c>
      <c r="L3610" s="29">
        <v>0</v>
      </c>
      <c r="M3610" s="30">
        <f>IFERROR(VLOOKUP($A3610,HeadJournal!$A$1:$J$890,COLUMN(HeadJournal!I$1),0)*($K3610+$L3610)/(SUMIF($A:$A,$A3610,$K:$K)+SUMIF($A:$A,$A3610,$L:$L)),0)</f>
        <v>0</v>
      </c>
      <c r="N3610" s="30">
        <f>IFERROR((VLOOKUP($A3610,HeadJournal!$A$1:$K$890,COLUMN(HeadJournal!K$1),0)-VLOOKUP($A3610,HeadJournal!$A$1:$K$890,COLUMN(HeadJournal!J$1),0))*($K3610+$L3610)/(SUMIF($A:$A,$A3610,$K:$K)+SUMIF($A:$A,$A3610,$L:$L)),0)</f>
        <v>0</v>
      </c>
      <c r="O3610" s="30">
        <f>IFERROR((VLOOKUP($A3610,HeadJournal!$A$1:$L$890,COLUMN(HeadJournal!L$1),0)*($K3610+$L3610)/(SUMIF($A:$A,$A3610,$K:$K)+SUMIF($A:$A,$A3610,$L:$L)))/VLOOKUP($A3610,HeadJournal!$A$1:$L$890,COLUMN(HeadJournal!H$1),0),0)</f>
        <v>0</v>
      </c>
      <c r="P3610" s="30">
        <f>IFERROR(SUM(K3610:O3610)*VLOOKUP($A3610,HeadJournal!$A$1:$L$890,COLUMN(HeadJournal!H$1),0),0)</f>
        <v>505</v>
      </c>
      <c r="Q3610" s="29">
        <v>800</v>
      </c>
      <c r="R3610" s="31">
        <v>45509</v>
      </c>
      <c r="S3610" s="31" t="s">
        <v>3121</v>
      </c>
      <c r="T3610" s="95" t="str">
        <f t="shared" si="288"/>
        <v>2024 08</v>
      </c>
      <c r="U3610" s="32">
        <f t="shared" si="285"/>
        <v>295</v>
      </c>
      <c r="V3610" s="22">
        <f t="shared" si="286"/>
        <v>0.58415841584158412</v>
      </c>
      <c r="X3610" s="33"/>
      <c r="Y3610" s="33"/>
    </row>
    <row r="3611" spans="1:25" x14ac:dyDescent="0.2">
      <c r="A3611" s="93" t="s">
        <v>1920</v>
      </c>
      <c r="B3611" s="94">
        <f>IFERROR(VLOOKUP($A3611,HeadJournal!$A$1:$NTR$890,COLUMN(HeadJournal!B$1),0),"")</f>
        <v>0</v>
      </c>
      <c r="C3611" s="94" t="str">
        <f>IFERROR(VLOOKUP($A3611,HeadJournal!$A$1:$NTR$890,COLUMN(HeadJournal!C$1),0),"")</f>
        <v>WBRS</v>
      </c>
      <c r="D3611" s="125" t="str">
        <f>IFERROR(VLOOKUP($A3611,HeadJournal!$A$1:$NTR$890,COLUMN(HeadJournal!D$1),0),"")</f>
        <v>Доставлен</v>
      </c>
      <c r="E3611" s="95">
        <f>IFERROR(VLOOKUP($A3611,HeadJournal!$A$1:$NTR$890,COLUMN(HeadJournal!G$1),0),"")</f>
        <v>45506</v>
      </c>
      <c r="F3611" s="95" t="str">
        <f t="shared" si="287"/>
        <v>2024 08</v>
      </c>
      <c r="G3611" s="96" t="s">
        <v>6</v>
      </c>
      <c r="H3611" s="160" t="str">
        <f>RIGHT(Journal!$J3611,9)</f>
        <v>176044510</v>
      </c>
      <c r="I3611" s="96" t="str">
        <f t="shared" si="284"/>
        <v>Spotlife</v>
      </c>
      <c r="J3611" s="97" t="s">
        <v>1037</v>
      </c>
      <c r="K3611" s="29">
        <v>505</v>
      </c>
      <c r="L3611" s="29">
        <v>0</v>
      </c>
      <c r="M3611" s="30">
        <f>IFERROR(VLOOKUP($A3611,HeadJournal!$A$1:$J$890,COLUMN(HeadJournal!I$1),0)*($K3611+$L3611)/(SUMIF($A:$A,$A3611,$K:$K)+SUMIF($A:$A,$A3611,$L:$L)),0)</f>
        <v>0</v>
      </c>
      <c r="N3611" s="30">
        <f>IFERROR((VLOOKUP($A3611,HeadJournal!$A$1:$K$890,COLUMN(HeadJournal!K$1),0)-VLOOKUP($A3611,HeadJournal!$A$1:$K$890,COLUMN(HeadJournal!J$1),0))*($K3611+$L3611)/(SUMIF($A:$A,$A3611,$K:$K)+SUMIF($A:$A,$A3611,$L:$L)),0)</f>
        <v>0</v>
      </c>
      <c r="O3611" s="30">
        <f>IFERROR((VLOOKUP($A3611,HeadJournal!$A$1:$L$890,COLUMN(HeadJournal!L$1),0)*($K3611+$L3611)/(SUMIF($A:$A,$A3611,$K:$K)+SUMIF($A:$A,$A3611,$L:$L)))/VLOOKUP($A3611,HeadJournal!$A$1:$L$890,COLUMN(HeadJournal!H$1),0),0)</f>
        <v>0</v>
      </c>
      <c r="P3611" s="30">
        <f>IFERROR(SUM(K3611:O3611)*VLOOKUP($A3611,HeadJournal!$A$1:$L$890,COLUMN(HeadJournal!H$1),0),0)</f>
        <v>505</v>
      </c>
      <c r="Q3611" s="29">
        <v>800</v>
      </c>
      <c r="R3611" s="31">
        <v>45551</v>
      </c>
      <c r="S3611" s="31" t="s">
        <v>3121</v>
      </c>
      <c r="T3611" s="95" t="str">
        <f t="shared" si="288"/>
        <v>2024 09</v>
      </c>
      <c r="U3611" s="32">
        <f t="shared" si="285"/>
        <v>295</v>
      </c>
      <c r="V3611" s="22">
        <f t="shared" si="286"/>
        <v>0.58415841584158412</v>
      </c>
      <c r="X3611" s="33"/>
      <c r="Y3611" s="33"/>
    </row>
    <row r="3612" spans="1:25" x14ac:dyDescent="0.2">
      <c r="A3612" s="93" t="s">
        <v>1920</v>
      </c>
      <c r="B3612" s="94">
        <f>IFERROR(VLOOKUP($A3612,HeadJournal!$A$1:$NTR$890,COLUMN(HeadJournal!B$1),0),"")</f>
        <v>0</v>
      </c>
      <c r="C3612" s="94" t="str">
        <f>IFERROR(VLOOKUP($A3612,HeadJournal!$A$1:$NTR$890,COLUMN(HeadJournal!C$1),0),"")</f>
        <v>WBRS</v>
      </c>
      <c r="D3612" s="125" t="str">
        <f>IFERROR(VLOOKUP($A3612,HeadJournal!$A$1:$NTR$890,COLUMN(HeadJournal!D$1),0),"")</f>
        <v>Доставлен</v>
      </c>
      <c r="E3612" s="95">
        <f>IFERROR(VLOOKUP($A3612,HeadJournal!$A$1:$NTR$890,COLUMN(HeadJournal!G$1),0),"")</f>
        <v>45506</v>
      </c>
      <c r="F3612" s="95" t="str">
        <f t="shared" si="287"/>
        <v>2024 08</v>
      </c>
      <c r="G3612" s="96" t="s">
        <v>6</v>
      </c>
      <c r="H3612" s="160" t="str">
        <f>RIGHT(Journal!$J3612,9)</f>
        <v>176044510</v>
      </c>
      <c r="I3612" s="96" t="str">
        <f t="shared" si="284"/>
        <v>Spotlife</v>
      </c>
      <c r="J3612" s="97" t="s">
        <v>1037</v>
      </c>
      <c r="K3612" s="29">
        <v>505</v>
      </c>
      <c r="L3612" s="29">
        <v>0</v>
      </c>
      <c r="M3612" s="30">
        <f>IFERROR(VLOOKUP($A3612,HeadJournal!$A$1:$J$890,COLUMN(HeadJournal!I$1),0)*($K3612+$L3612)/(SUMIF($A:$A,$A3612,$K:$K)+SUMIF($A:$A,$A3612,$L:$L)),0)</f>
        <v>0</v>
      </c>
      <c r="N3612" s="30">
        <f>IFERROR((VLOOKUP($A3612,HeadJournal!$A$1:$K$890,COLUMN(HeadJournal!K$1),0)-VLOOKUP($A3612,HeadJournal!$A$1:$K$890,COLUMN(HeadJournal!J$1),0))*($K3612+$L3612)/(SUMIF($A:$A,$A3612,$K:$K)+SUMIF($A:$A,$A3612,$L:$L)),0)</f>
        <v>0</v>
      </c>
      <c r="O3612" s="30">
        <f>IFERROR((VLOOKUP($A3612,HeadJournal!$A$1:$L$890,COLUMN(HeadJournal!L$1),0)*($K3612+$L3612)/(SUMIF($A:$A,$A3612,$K:$K)+SUMIF($A:$A,$A3612,$L:$L)))/VLOOKUP($A3612,HeadJournal!$A$1:$L$890,COLUMN(HeadJournal!H$1),0),0)</f>
        <v>0</v>
      </c>
      <c r="P3612" s="30">
        <f>IFERROR(SUM(K3612:O3612)*VLOOKUP($A3612,HeadJournal!$A$1:$L$890,COLUMN(HeadJournal!H$1),0),0)</f>
        <v>505</v>
      </c>
      <c r="Q3612" s="29">
        <v>800</v>
      </c>
      <c r="R3612" s="31">
        <v>45551</v>
      </c>
      <c r="S3612" s="31" t="s">
        <v>3121</v>
      </c>
      <c r="T3612" s="95" t="str">
        <f t="shared" si="288"/>
        <v>2024 09</v>
      </c>
      <c r="U3612" s="32">
        <f t="shared" si="285"/>
        <v>295</v>
      </c>
      <c r="V3612" s="22">
        <f t="shared" si="286"/>
        <v>0.58415841584158412</v>
      </c>
      <c r="X3612" s="33"/>
      <c r="Y3612" s="33"/>
    </row>
    <row r="3613" spans="1:25" x14ac:dyDescent="0.2">
      <c r="A3613" s="93" t="s">
        <v>1920</v>
      </c>
      <c r="B3613" s="94">
        <f>IFERROR(VLOOKUP($A3613,HeadJournal!$A$1:$NTR$890,COLUMN(HeadJournal!B$1),0),"")</f>
        <v>0</v>
      </c>
      <c r="C3613" s="94" t="str">
        <f>IFERROR(VLOOKUP($A3613,HeadJournal!$A$1:$NTR$890,COLUMN(HeadJournal!C$1),0),"")</f>
        <v>WBRS</v>
      </c>
      <c r="D3613" s="125" t="str">
        <f>IFERROR(VLOOKUP($A3613,HeadJournal!$A$1:$NTR$890,COLUMN(HeadJournal!D$1),0),"")</f>
        <v>Доставлен</v>
      </c>
      <c r="E3613" s="95">
        <f>IFERROR(VLOOKUP($A3613,HeadJournal!$A$1:$NTR$890,COLUMN(HeadJournal!G$1),0),"")</f>
        <v>45506</v>
      </c>
      <c r="F3613" s="95" t="str">
        <f t="shared" si="287"/>
        <v>2024 08</v>
      </c>
      <c r="G3613" s="96" t="s">
        <v>6</v>
      </c>
      <c r="H3613" s="160" t="str">
        <f>RIGHT(Journal!$J3613,9)</f>
        <v>176044512</v>
      </c>
      <c r="I3613" s="96" t="str">
        <f t="shared" si="284"/>
        <v>Spotlife</v>
      </c>
      <c r="J3613" s="97" t="s">
        <v>1038</v>
      </c>
      <c r="K3613" s="29">
        <v>493</v>
      </c>
      <c r="L3613" s="29">
        <v>0</v>
      </c>
      <c r="M3613" s="30">
        <f>IFERROR(VLOOKUP($A3613,HeadJournal!$A$1:$J$890,COLUMN(HeadJournal!I$1),0)*($K3613+$L3613)/(SUMIF($A:$A,$A3613,$K:$K)+SUMIF($A:$A,$A3613,$L:$L)),0)</f>
        <v>0</v>
      </c>
      <c r="N3613" s="30">
        <f>IFERROR((VLOOKUP($A3613,HeadJournal!$A$1:$K$890,COLUMN(HeadJournal!K$1),0)-VLOOKUP($A3613,HeadJournal!$A$1:$K$890,COLUMN(HeadJournal!J$1),0))*($K3613+$L3613)/(SUMIF($A:$A,$A3613,$K:$K)+SUMIF($A:$A,$A3613,$L:$L)),0)</f>
        <v>0</v>
      </c>
      <c r="O3613" s="30">
        <f>IFERROR((VLOOKUP($A3613,HeadJournal!$A$1:$L$890,COLUMN(HeadJournal!L$1),0)*($K3613+$L3613)/(SUMIF($A:$A,$A3613,$K:$K)+SUMIF($A:$A,$A3613,$L:$L)))/VLOOKUP($A3613,HeadJournal!$A$1:$L$890,COLUMN(HeadJournal!H$1),0),0)</f>
        <v>0</v>
      </c>
      <c r="P3613" s="30">
        <f>IFERROR(SUM(K3613:O3613)*VLOOKUP($A3613,HeadJournal!$A$1:$L$890,COLUMN(HeadJournal!H$1),0),0)</f>
        <v>493</v>
      </c>
      <c r="Q3613" s="29">
        <v>800</v>
      </c>
      <c r="R3613" s="31">
        <v>45509</v>
      </c>
      <c r="S3613" s="31" t="s">
        <v>3121</v>
      </c>
      <c r="T3613" s="95" t="str">
        <f t="shared" si="288"/>
        <v>2024 08</v>
      </c>
      <c r="U3613" s="32">
        <f t="shared" si="285"/>
        <v>307</v>
      </c>
      <c r="V3613" s="22">
        <f t="shared" si="286"/>
        <v>0.62271805273833669</v>
      </c>
      <c r="X3613" s="33"/>
      <c r="Y3613" s="33"/>
    </row>
    <row r="3614" spans="1:25" x14ac:dyDescent="0.2">
      <c r="A3614" s="93" t="s">
        <v>1920</v>
      </c>
      <c r="B3614" s="94">
        <f>IFERROR(VLOOKUP($A3614,HeadJournal!$A$1:$NTR$890,COLUMN(HeadJournal!B$1),0),"")</f>
        <v>0</v>
      </c>
      <c r="C3614" s="94" t="str">
        <f>IFERROR(VLOOKUP($A3614,HeadJournal!$A$1:$NTR$890,COLUMN(HeadJournal!C$1),0),"")</f>
        <v>WBRS</v>
      </c>
      <c r="D3614" s="125" t="str">
        <f>IFERROR(VLOOKUP($A3614,HeadJournal!$A$1:$NTR$890,COLUMN(HeadJournal!D$1),0),"")</f>
        <v>Доставлен</v>
      </c>
      <c r="E3614" s="95">
        <f>IFERROR(VLOOKUP($A3614,HeadJournal!$A$1:$NTR$890,COLUMN(HeadJournal!G$1),0),"")</f>
        <v>45506</v>
      </c>
      <c r="F3614" s="95" t="str">
        <f t="shared" si="287"/>
        <v>2024 08</v>
      </c>
      <c r="G3614" s="96" t="s">
        <v>6</v>
      </c>
      <c r="H3614" s="160" t="str">
        <f>RIGHT(Journal!$J3614,9)</f>
        <v>176044512</v>
      </c>
      <c r="I3614" s="96" t="str">
        <f t="shared" si="284"/>
        <v>Spotlife</v>
      </c>
      <c r="J3614" s="97" t="s">
        <v>1038</v>
      </c>
      <c r="K3614" s="29">
        <v>493</v>
      </c>
      <c r="L3614" s="29">
        <v>0</v>
      </c>
      <c r="M3614" s="30">
        <f>IFERROR(VLOOKUP($A3614,HeadJournal!$A$1:$J$890,COLUMN(HeadJournal!I$1),0)*($K3614+$L3614)/(SUMIF($A:$A,$A3614,$K:$K)+SUMIF($A:$A,$A3614,$L:$L)),0)</f>
        <v>0</v>
      </c>
      <c r="N3614" s="30">
        <f>IFERROR((VLOOKUP($A3614,HeadJournal!$A$1:$K$890,COLUMN(HeadJournal!K$1),0)-VLOOKUP($A3614,HeadJournal!$A$1:$K$890,COLUMN(HeadJournal!J$1),0))*($K3614+$L3614)/(SUMIF($A:$A,$A3614,$K:$K)+SUMIF($A:$A,$A3614,$L:$L)),0)</f>
        <v>0</v>
      </c>
      <c r="O3614" s="30">
        <f>IFERROR((VLOOKUP($A3614,HeadJournal!$A$1:$L$890,COLUMN(HeadJournal!L$1),0)*($K3614+$L3614)/(SUMIF($A:$A,$A3614,$K:$K)+SUMIF($A:$A,$A3614,$L:$L)))/VLOOKUP($A3614,HeadJournal!$A$1:$L$890,COLUMN(HeadJournal!H$1),0),0)</f>
        <v>0</v>
      </c>
      <c r="P3614" s="30">
        <f>IFERROR(SUM(K3614:O3614)*VLOOKUP($A3614,HeadJournal!$A$1:$L$890,COLUMN(HeadJournal!H$1),0),0)</f>
        <v>493</v>
      </c>
      <c r="Q3614" s="29">
        <v>800</v>
      </c>
      <c r="R3614" s="31">
        <v>45551</v>
      </c>
      <c r="S3614" s="31" t="s">
        <v>3121</v>
      </c>
      <c r="T3614" s="95" t="str">
        <f t="shared" si="288"/>
        <v>2024 09</v>
      </c>
      <c r="U3614" s="32">
        <f t="shared" si="285"/>
        <v>307</v>
      </c>
      <c r="V3614" s="22">
        <f t="shared" si="286"/>
        <v>0.62271805273833669</v>
      </c>
      <c r="X3614" s="33"/>
      <c r="Y3614" s="33"/>
    </row>
    <row r="3615" spans="1:25" x14ac:dyDescent="0.2">
      <c r="A3615" s="93" t="s">
        <v>1920</v>
      </c>
      <c r="B3615" s="94">
        <f>IFERROR(VLOOKUP($A3615,HeadJournal!$A$1:$NTR$890,COLUMN(HeadJournal!B$1),0),"")</f>
        <v>0</v>
      </c>
      <c r="C3615" s="94" t="str">
        <f>IFERROR(VLOOKUP($A3615,HeadJournal!$A$1:$NTR$890,COLUMN(HeadJournal!C$1),0),"")</f>
        <v>WBRS</v>
      </c>
      <c r="D3615" s="125" t="str">
        <f>IFERROR(VLOOKUP($A3615,HeadJournal!$A$1:$NTR$890,COLUMN(HeadJournal!D$1),0),"")</f>
        <v>Доставлен</v>
      </c>
      <c r="E3615" s="95">
        <f>IFERROR(VLOOKUP($A3615,HeadJournal!$A$1:$NTR$890,COLUMN(HeadJournal!G$1),0),"")</f>
        <v>45506</v>
      </c>
      <c r="F3615" s="95" t="str">
        <f t="shared" si="287"/>
        <v>2024 08</v>
      </c>
      <c r="G3615" s="96" t="s">
        <v>6</v>
      </c>
      <c r="H3615" s="160" t="str">
        <f>RIGHT(Journal!$J3615,9)</f>
        <v>176044512</v>
      </c>
      <c r="I3615" s="96" t="str">
        <f t="shared" si="284"/>
        <v>Spotlife</v>
      </c>
      <c r="J3615" s="97" t="s">
        <v>1038</v>
      </c>
      <c r="K3615" s="29">
        <v>493</v>
      </c>
      <c r="L3615" s="29">
        <v>0</v>
      </c>
      <c r="M3615" s="30">
        <f>IFERROR(VLOOKUP($A3615,HeadJournal!$A$1:$J$890,COLUMN(HeadJournal!I$1),0)*($K3615+$L3615)/(SUMIF($A:$A,$A3615,$K:$K)+SUMIF($A:$A,$A3615,$L:$L)),0)</f>
        <v>0</v>
      </c>
      <c r="N3615" s="30">
        <f>IFERROR((VLOOKUP($A3615,HeadJournal!$A$1:$K$890,COLUMN(HeadJournal!K$1),0)-VLOOKUP($A3615,HeadJournal!$A$1:$K$890,COLUMN(HeadJournal!J$1),0))*($K3615+$L3615)/(SUMIF($A:$A,$A3615,$K:$K)+SUMIF($A:$A,$A3615,$L:$L)),0)</f>
        <v>0</v>
      </c>
      <c r="O3615" s="30">
        <f>IFERROR((VLOOKUP($A3615,HeadJournal!$A$1:$L$890,COLUMN(HeadJournal!L$1),0)*($K3615+$L3615)/(SUMIF($A:$A,$A3615,$K:$K)+SUMIF($A:$A,$A3615,$L:$L)))/VLOOKUP($A3615,HeadJournal!$A$1:$L$890,COLUMN(HeadJournal!H$1),0),0)</f>
        <v>0</v>
      </c>
      <c r="P3615" s="30">
        <f>IFERROR(SUM(K3615:O3615)*VLOOKUP($A3615,HeadJournal!$A$1:$L$890,COLUMN(HeadJournal!H$1),0),0)</f>
        <v>493</v>
      </c>
      <c r="Q3615" s="29">
        <v>600</v>
      </c>
      <c r="R3615" s="31">
        <v>45742</v>
      </c>
      <c r="S3615" s="31" t="s">
        <v>3121</v>
      </c>
      <c r="T3615" s="95" t="str">
        <f t="shared" si="288"/>
        <v>2025 03</v>
      </c>
      <c r="U3615" s="32">
        <f t="shared" si="285"/>
        <v>107</v>
      </c>
      <c r="V3615" s="22">
        <f t="shared" si="286"/>
        <v>0.21703853955375255</v>
      </c>
      <c r="X3615" s="33"/>
      <c r="Y3615" s="33"/>
    </row>
    <row r="3616" spans="1:25" x14ac:dyDescent="0.2">
      <c r="A3616" s="93" t="s">
        <v>1921</v>
      </c>
      <c r="B3616" s="94">
        <f>IFERROR(VLOOKUP($A3616,HeadJournal!$A$1:$NTR$890,COLUMN(HeadJournal!B$1),0),"")</f>
        <v>0</v>
      </c>
      <c r="C3616" s="94" t="str">
        <f>IFERROR(VLOOKUP($A3616,HeadJournal!$A$1:$NTR$890,COLUMN(HeadJournal!C$1),0),"")</f>
        <v>OZON_OA</v>
      </c>
      <c r="D3616" s="125" t="str">
        <f>IFERROR(VLOOKUP($A3616,HeadJournal!$A$1:$NTR$890,COLUMN(HeadJournal!D$1),0),"")</f>
        <v>Доставлен</v>
      </c>
      <c r="E3616" s="95">
        <f>IFERROR(VLOOKUP($A3616,HeadJournal!$A$1:$NTR$890,COLUMN(HeadJournal!G$1),0),"")</f>
        <v>45498</v>
      </c>
      <c r="F3616" s="95" t="str">
        <f t="shared" si="287"/>
        <v>2024 07</v>
      </c>
      <c r="G3616" s="96" t="s">
        <v>6</v>
      </c>
      <c r="H3616" s="160" t="str">
        <f>RIGHT(Journal!$J3616,9)</f>
        <v>VPB-54130</v>
      </c>
      <c r="I3616" s="96" t="str">
        <f t="shared" si="284"/>
        <v>Vplab</v>
      </c>
      <c r="J3616" s="97" t="s">
        <v>275</v>
      </c>
      <c r="K3616" s="29">
        <v>1161</v>
      </c>
      <c r="L3616" s="29">
        <v>0</v>
      </c>
      <c r="M3616" s="30">
        <f>IFERROR(VLOOKUP($A3616,HeadJournal!$A$1:$J$890,COLUMN(HeadJournal!I$1),0)*($K3616+$L3616)/(SUMIF($A:$A,$A3616,$K:$K)+SUMIF($A:$A,$A3616,$L:$L)),0)</f>
        <v>0</v>
      </c>
      <c r="N3616" s="30">
        <f>IFERROR((VLOOKUP($A3616,HeadJournal!$A$1:$K$890,COLUMN(HeadJournal!K$1),0)-VLOOKUP($A3616,HeadJournal!$A$1:$K$890,COLUMN(HeadJournal!J$1),0))*($K3616+$L3616)/(SUMIF($A:$A,$A3616,$K:$K)+SUMIF($A:$A,$A3616,$L:$L)),0)</f>
        <v>0</v>
      </c>
      <c r="O3616" s="30">
        <f>IFERROR((VLOOKUP($A3616,HeadJournal!$A$1:$L$890,COLUMN(HeadJournal!L$1),0)*($K3616+$L3616)/(SUMIF($A:$A,$A3616,$K:$K)+SUMIF($A:$A,$A3616,$L:$L)))/VLOOKUP($A3616,HeadJournal!$A$1:$L$890,COLUMN(HeadJournal!H$1),0),0)</f>
        <v>0</v>
      </c>
      <c r="P3616" s="30">
        <f>IFERROR(SUM(K3616:O3616)*VLOOKUP($A3616,HeadJournal!$A$1:$L$890,COLUMN(HeadJournal!H$1),0),0)</f>
        <v>1161</v>
      </c>
      <c r="Q3616" s="29">
        <v>2300</v>
      </c>
      <c r="R3616" s="31">
        <v>45518</v>
      </c>
      <c r="S3616" s="31" t="s">
        <v>3121</v>
      </c>
      <c r="T3616" s="95" t="str">
        <f t="shared" si="288"/>
        <v>2024 08</v>
      </c>
      <c r="U3616" s="32">
        <f t="shared" si="285"/>
        <v>1139</v>
      </c>
      <c r="V3616" s="22">
        <f t="shared" si="286"/>
        <v>0.98105081826012064</v>
      </c>
      <c r="X3616" s="33"/>
      <c r="Y3616" s="33"/>
    </row>
    <row r="3617" spans="1:25" x14ac:dyDescent="0.2">
      <c r="A3617" s="93" t="s">
        <v>1922</v>
      </c>
      <c r="B3617" s="94">
        <f>IFERROR(VLOOKUP($A3617,HeadJournal!$A$1:$NTR$890,COLUMN(HeadJournal!B$1),0),"")</f>
        <v>0</v>
      </c>
      <c r="C3617" s="94" t="str">
        <f>IFERROR(VLOOKUP($A3617,HeadJournal!$A$1:$NTR$890,COLUMN(HeadJournal!C$1),0),"")</f>
        <v>OZON_OA</v>
      </c>
      <c r="D3617" s="125" t="str">
        <f>IFERROR(VLOOKUP($A3617,HeadJournal!$A$1:$NTR$890,COLUMN(HeadJournal!D$1),0),"")</f>
        <v>Доставлен</v>
      </c>
      <c r="E3617" s="95">
        <f>IFERROR(VLOOKUP($A3617,HeadJournal!$A$1:$NTR$890,COLUMN(HeadJournal!G$1),0),"")</f>
        <v>45490</v>
      </c>
      <c r="F3617" s="95" t="str">
        <f t="shared" si="287"/>
        <v>2024 07</v>
      </c>
      <c r="G3617" s="96" t="s">
        <v>6</v>
      </c>
      <c r="H3617" s="160" t="str">
        <f>RIGHT(Journal!$J3617,9)</f>
        <v>185549256</v>
      </c>
      <c r="I3617" s="96" t="str">
        <f t="shared" si="284"/>
        <v>Mutant Mass</v>
      </c>
      <c r="J3617" s="97" t="s">
        <v>1925</v>
      </c>
      <c r="K3617" s="29">
        <v>3023</v>
      </c>
      <c r="L3617" s="29">
        <v>0</v>
      </c>
      <c r="M3617" s="30">
        <f>IFERROR(VLOOKUP($A3617,HeadJournal!$A$1:$J$890,COLUMN(HeadJournal!I$1),0)*($K3617+$L3617)/(SUMIF($A:$A,$A3617,$K:$K)+SUMIF($A:$A,$A3617,$L:$L)),0)</f>
        <v>0</v>
      </c>
      <c r="N3617" s="30">
        <f>IFERROR((VLOOKUP($A3617,HeadJournal!$A$1:$K$890,COLUMN(HeadJournal!K$1),0)-VLOOKUP($A3617,HeadJournal!$A$1:$K$890,COLUMN(HeadJournal!J$1),0))*($K3617+$L3617)/(SUMIF($A:$A,$A3617,$K:$K)+SUMIF($A:$A,$A3617,$L:$L)),0)</f>
        <v>0</v>
      </c>
      <c r="O3617" s="30">
        <f>IFERROR((VLOOKUP($A3617,HeadJournal!$A$1:$L$890,COLUMN(HeadJournal!L$1),0)*($K3617+$L3617)/(SUMIF($A:$A,$A3617,$K:$K)+SUMIF($A:$A,$A3617,$L:$L)))/VLOOKUP($A3617,HeadJournal!$A$1:$L$890,COLUMN(HeadJournal!H$1),0),0)</f>
        <v>0</v>
      </c>
      <c r="P3617" s="30">
        <f>IFERROR(SUM(K3617:O3617)*VLOOKUP($A3617,HeadJournal!$A$1:$L$890,COLUMN(HeadJournal!H$1),0),0)</f>
        <v>3023</v>
      </c>
      <c r="Q3617" s="29">
        <v>3400</v>
      </c>
      <c r="R3617" s="31">
        <v>45641</v>
      </c>
      <c r="S3617" s="31" t="s">
        <v>3121</v>
      </c>
      <c r="T3617" s="95" t="str">
        <f t="shared" si="288"/>
        <v>2024 12</v>
      </c>
      <c r="U3617" s="32">
        <f t="shared" si="285"/>
        <v>377</v>
      </c>
      <c r="V3617" s="22">
        <f t="shared" si="286"/>
        <v>0.12471055243135958</v>
      </c>
      <c r="X3617" s="33"/>
      <c r="Y3617" s="33"/>
    </row>
    <row r="3618" spans="1:25" x14ac:dyDescent="0.2">
      <c r="A3618" s="93" t="s">
        <v>1926</v>
      </c>
      <c r="B3618" s="94">
        <f>IFERROR(VLOOKUP($A3618,HeadJournal!$A$1:$NTR$890,COLUMN(HeadJournal!B$1),0),"")</f>
        <v>0</v>
      </c>
      <c r="C3618" s="94" t="str">
        <f>IFERROR(VLOOKUP($A3618,HeadJournal!$A$1:$NTR$890,COLUMN(HeadJournal!C$1),0),"")</f>
        <v>OZON_OA</v>
      </c>
      <c r="D3618" s="125" t="str">
        <f>IFERROR(VLOOKUP($A3618,HeadJournal!$A$1:$NTR$890,COLUMN(HeadJournal!D$1),0),"")</f>
        <v>Доставлен</v>
      </c>
      <c r="E3618" s="95">
        <f>IFERROR(VLOOKUP($A3618,HeadJournal!$A$1:$NTR$890,COLUMN(HeadJournal!G$1),0),"")</f>
        <v>45501</v>
      </c>
      <c r="F3618" s="95" t="str">
        <f t="shared" si="287"/>
        <v>2024 07</v>
      </c>
      <c r="G3618" s="96" t="s">
        <v>6</v>
      </c>
      <c r="H3618" s="160" t="str">
        <f>RIGHT(Journal!$J3618,9)</f>
        <v>998396245</v>
      </c>
      <c r="I3618" s="96" t="str">
        <f t="shared" si="284"/>
        <v>Maxler</v>
      </c>
      <c r="J3618" s="97" t="s">
        <v>1927</v>
      </c>
      <c r="K3618" s="29">
        <v>2061</v>
      </c>
      <c r="L3618" s="29">
        <v>0</v>
      </c>
      <c r="M3618" s="30">
        <f>IFERROR(VLOOKUP($A3618,HeadJournal!$A$1:$J$890,COLUMN(HeadJournal!I$1),0)*($K3618+$L3618)/(SUMIF($A:$A,$A3618,$K:$K)+SUMIF($A:$A,$A3618,$L:$L)),0)</f>
        <v>0</v>
      </c>
      <c r="N3618" s="30">
        <f>IFERROR((VLOOKUP($A3618,HeadJournal!$A$1:$K$890,COLUMN(HeadJournal!K$1),0)-VLOOKUP($A3618,HeadJournal!$A$1:$K$890,COLUMN(HeadJournal!J$1),0))*($K3618+$L3618)/(SUMIF($A:$A,$A3618,$K:$K)+SUMIF($A:$A,$A3618,$L:$L)),0)</f>
        <v>0</v>
      </c>
      <c r="O3618" s="30">
        <f>IFERROR((VLOOKUP($A3618,HeadJournal!$A$1:$L$890,COLUMN(HeadJournal!L$1),0)*($K3618+$L3618)/(SUMIF($A:$A,$A3618,$K:$K)+SUMIF($A:$A,$A3618,$L:$L)))/VLOOKUP($A3618,HeadJournal!$A$1:$L$890,COLUMN(HeadJournal!H$1),0),0)</f>
        <v>0</v>
      </c>
      <c r="P3618" s="30">
        <f>IFERROR(SUM(K3618:O3618)*VLOOKUP($A3618,HeadJournal!$A$1:$L$890,COLUMN(HeadJournal!H$1),0),0)</f>
        <v>2061</v>
      </c>
      <c r="Q3618" s="29"/>
      <c r="R3618" s="31"/>
      <c r="S3618" s="31"/>
      <c r="T3618" s="95" t="str">
        <f t="shared" si="288"/>
        <v/>
      </c>
      <c r="U3618" s="32">
        <f t="shared" si="285"/>
        <v>-2061</v>
      </c>
      <c r="V3618" s="22" t="str">
        <f t="shared" si="286"/>
        <v/>
      </c>
      <c r="X3618" s="33"/>
      <c r="Y3618" s="33"/>
    </row>
    <row r="3619" spans="1:25" x14ac:dyDescent="0.2">
      <c r="A3619" s="93" t="s">
        <v>1910</v>
      </c>
      <c r="B3619" s="94" t="str">
        <f>IFERROR(VLOOKUP($A3619,HeadJournal!$A$1:$NTR$890,COLUMN(HeadJournal!B$1),0),"")</f>
        <v>722500226371</v>
      </c>
      <c r="C3619" s="94" t="str">
        <f>IFERROR(VLOOKUP($A3619,HeadJournal!$A$1:$NTR$890,COLUMN(HeadJournal!C$1),0),"")</f>
        <v>iHerb_MH DLE7202</v>
      </c>
      <c r="D3619" s="125" t="str">
        <f>IFERROR(VLOOKUP($A3619,HeadJournal!$A$1:$NTR$890,COLUMN(HeadJournal!D$1),0),"")</f>
        <v>Доставлен</v>
      </c>
      <c r="E3619" s="95">
        <f>IFERROR(VLOOKUP($A3619,HeadJournal!$A$1:$NTR$890,COLUMN(HeadJournal!G$1),0),"")</f>
        <v>45495</v>
      </c>
      <c r="F3619" s="95" t="str">
        <f t="shared" si="287"/>
        <v>2024 07</v>
      </c>
      <c r="G3619" s="96" t="s">
        <v>5</v>
      </c>
      <c r="H3619" s="161" t="s">
        <v>4027</v>
      </c>
      <c r="I3619" s="97" t="s">
        <v>2005</v>
      </c>
      <c r="J3619" s="97" t="s">
        <v>4028</v>
      </c>
      <c r="K3619" s="29">
        <v>16.399999999999999</v>
      </c>
      <c r="L3619" s="29">
        <v>-3.28</v>
      </c>
      <c r="M3619" s="30">
        <f>IFERROR(VLOOKUP($A3619,HeadJournal!$A$1:$J$890,COLUMN(HeadJournal!I$1),0)*($K3619+$L3619)/(SUMIF($A:$A,$A3619,$K:$K)+SUMIF($A:$A,$A3619,$L:$L)),0)</f>
        <v>-1.0218325547969815</v>
      </c>
      <c r="N3619" s="30">
        <f>IFERROR((VLOOKUP($A3619,HeadJournal!$A$1:$K$890,COLUMN(HeadJournal!K$1),0)-VLOOKUP($A3619,HeadJournal!$A$1:$K$890,COLUMN(HeadJournal!J$1),0))*($K3619+$L3619)/(SUMIF($A:$A,$A3619,$K:$K)+SUMIF($A:$A,$A3619,$L:$L)),0)</f>
        <v>0</v>
      </c>
      <c r="O3619" s="30">
        <f>IFERROR((VLOOKUP($A3619,HeadJournal!$A$1:$L$890,COLUMN(HeadJournal!L$1),0)*($K3619+$L3619)/(SUMIF($A:$A,$A3619,$K:$K)+SUMIF($A:$A,$A3619,$L:$L)))/VLOOKUP($A3619,HeadJournal!$A$1:$L$890,COLUMN(HeadJournal!H$1),0),0)</f>
        <v>0.92519521805047678</v>
      </c>
      <c r="P3619" s="30">
        <f>IFERROR(SUM(K3619:O3619)*VLOOKUP($A3619,HeadJournal!$A$1:$L$890,COLUMN(HeadJournal!H$1),0),0)</f>
        <v>1303.8574559827523</v>
      </c>
      <c r="Q3619" s="29">
        <v>2100</v>
      </c>
      <c r="R3619" s="31">
        <v>45535</v>
      </c>
      <c r="S3619" s="31" t="s">
        <v>3121</v>
      </c>
      <c r="T3619" s="95" t="str">
        <f t="shared" si="288"/>
        <v>2024 08</v>
      </c>
      <c r="U3619" s="32">
        <f t="shared" si="285"/>
        <v>796.1425440172477</v>
      </c>
      <c r="V3619" s="22">
        <f t="shared" si="286"/>
        <v>0.61060550780619938</v>
      </c>
      <c r="X3619" s="33"/>
      <c r="Y3619" s="33"/>
    </row>
    <row r="3620" spans="1:25" x14ac:dyDescent="0.2">
      <c r="A3620" s="93" t="s">
        <v>1910</v>
      </c>
      <c r="B3620" s="94" t="str">
        <f>IFERROR(VLOOKUP($A3620,HeadJournal!$A$1:$NTR$890,COLUMN(HeadJournal!B$1),0),"")</f>
        <v>722500226371</v>
      </c>
      <c r="C3620" s="94" t="str">
        <f>IFERROR(VLOOKUP($A3620,HeadJournal!$A$1:$NTR$890,COLUMN(HeadJournal!C$1),0),"")</f>
        <v>iHerb_MH DLE7202</v>
      </c>
      <c r="D3620" s="125" t="str">
        <f>IFERROR(VLOOKUP($A3620,HeadJournal!$A$1:$NTR$890,COLUMN(HeadJournal!D$1),0),"")</f>
        <v>Доставлен</v>
      </c>
      <c r="E3620" s="95">
        <f>IFERROR(VLOOKUP($A3620,HeadJournal!$A$1:$NTR$890,COLUMN(HeadJournal!G$1),0),"")</f>
        <v>45495</v>
      </c>
      <c r="F3620" s="95" t="str">
        <f t="shared" si="287"/>
        <v>2024 07</v>
      </c>
      <c r="G3620" s="96" t="s">
        <v>5</v>
      </c>
      <c r="H3620" s="161" t="s">
        <v>2755</v>
      </c>
      <c r="I3620" s="97" t="s">
        <v>2005</v>
      </c>
      <c r="J3620" s="97" t="s">
        <v>2756</v>
      </c>
      <c r="K3620" s="29">
        <v>17.510000000000002</v>
      </c>
      <c r="L3620" s="29">
        <v>-3.5</v>
      </c>
      <c r="M3620" s="30">
        <f>IFERROR(VLOOKUP($A3620,HeadJournal!$A$1:$J$890,COLUMN(HeadJournal!I$1),0)*($K3620+$L3620)/(SUMIF($A:$A,$A3620,$K:$K)+SUMIF($A:$A,$A3620,$L:$L)),0)</f>
        <v>-1.0911489399928136</v>
      </c>
      <c r="N3620" s="30">
        <f>IFERROR((VLOOKUP($A3620,HeadJournal!$A$1:$K$890,COLUMN(HeadJournal!K$1),0)-VLOOKUP($A3620,HeadJournal!$A$1:$K$890,COLUMN(HeadJournal!J$1),0))*($K3620+$L3620)/(SUMIF($A:$A,$A3620,$K:$K)+SUMIF($A:$A,$A3620,$L:$L)),0)</f>
        <v>0</v>
      </c>
      <c r="O3620" s="30">
        <f>IFERROR((VLOOKUP($A3620,HeadJournal!$A$1:$L$890,COLUMN(HeadJournal!L$1),0)*($K3620+$L3620)/(SUMIF($A:$A,$A3620,$K:$K)+SUMIF($A:$A,$A3620,$L:$L)))/VLOOKUP($A3620,HeadJournal!$A$1:$L$890,COLUMN(HeadJournal!H$1),0),0)</f>
        <v>0.98795617415298631</v>
      </c>
      <c r="P3620" s="30">
        <f>IFERROR(SUM(K3620:O3620)*VLOOKUP($A3620,HeadJournal!$A$1:$L$890,COLUMN(HeadJournal!H$1),0),0)</f>
        <v>1392.3051035303631</v>
      </c>
      <c r="Q3620" s="29">
        <v>2500</v>
      </c>
      <c r="R3620" s="31">
        <v>45528</v>
      </c>
      <c r="S3620" s="31" t="s">
        <v>3121</v>
      </c>
      <c r="T3620" s="95" t="str">
        <f t="shared" si="288"/>
        <v>2024 08</v>
      </c>
      <c r="U3620" s="32">
        <f t="shared" si="285"/>
        <v>1107.6948964696369</v>
      </c>
      <c r="V3620" s="22">
        <f t="shared" si="286"/>
        <v>0.79558344910245493</v>
      </c>
      <c r="X3620" s="33"/>
      <c r="Y3620" s="33"/>
    </row>
    <row r="3621" spans="1:25" x14ac:dyDescent="0.2">
      <c r="A3621" s="93" t="s">
        <v>1910</v>
      </c>
      <c r="B3621" s="94" t="str">
        <f>IFERROR(VLOOKUP($A3621,HeadJournal!$A$1:$NTR$890,COLUMN(HeadJournal!B$1),0),"")</f>
        <v>722500226371</v>
      </c>
      <c r="C3621" s="94" t="str">
        <f>IFERROR(VLOOKUP($A3621,HeadJournal!$A$1:$NTR$890,COLUMN(HeadJournal!C$1),0),"")</f>
        <v>iHerb_MH DLE7202</v>
      </c>
      <c r="D3621" s="125" t="str">
        <f>IFERROR(VLOOKUP($A3621,HeadJournal!$A$1:$NTR$890,COLUMN(HeadJournal!D$1),0),"")</f>
        <v>Доставлен</v>
      </c>
      <c r="E3621" s="95">
        <f>IFERROR(VLOOKUP($A3621,HeadJournal!$A$1:$NTR$890,COLUMN(HeadJournal!G$1),0),"")</f>
        <v>45495</v>
      </c>
      <c r="F3621" s="95" t="str">
        <f t="shared" si="287"/>
        <v>2024 07</v>
      </c>
      <c r="G3621" s="96" t="s">
        <v>5</v>
      </c>
      <c r="H3621" s="161" t="s">
        <v>2755</v>
      </c>
      <c r="I3621" s="97" t="s">
        <v>2005</v>
      </c>
      <c r="J3621" s="97" t="s">
        <v>2756</v>
      </c>
      <c r="K3621" s="29">
        <v>17.510000000000002</v>
      </c>
      <c r="L3621" s="29">
        <v>-3.5</v>
      </c>
      <c r="M3621" s="30">
        <f>IFERROR(VLOOKUP($A3621,HeadJournal!$A$1:$J$890,COLUMN(HeadJournal!I$1),0)*($K3621+$L3621)/(SUMIF($A:$A,$A3621,$K:$K)+SUMIF($A:$A,$A3621,$L:$L)),0)</f>
        <v>-1.0911489399928136</v>
      </c>
      <c r="N3621" s="30">
        <f>IFERROR((VLOOKUP($A3621,HeadJournal!$A$1:$K$890,COLUMN(HeadJournal!K$1),0)-VLOOKUP($A3621,HeadJournal!$A$1:$K$890,COLUMN(HeadJournal!J$1),0))*($K3621+$L3621)/(SUMIF($A:$A,$A3621,$K:$K)+SUMIF($A:$A,$A3621,$L:$L)),0)</f>
        <v>0</v>
      </c>
      <c r="O3621" s="30">
        <f>IFERROR((VLOOKUP($A3621,HeadJournal!$A$1:$L$890,COLUMN(HeadJournal!L$1),0)*($K3621+$L3621)/(SUMIF($A:$A,$A3621,$K:$K)+SUMIF($A:$A,$A3621,$L:$L)))/VLOOKUP($A3621,HeadJournal!$A$1:$L$890,COLUMN(HeadJournal!H$1),0),0)</f>
        <v>0.98795617415298631</v>
      </c>
      <c r="P3621" s="30">
        <f>IFERROR(SUM(K3621:O3621)*VLOOKUP($A3621,HeadJournal!$A$1:$L$890,COLUMN(HeadJournal!H$1),0),0)</f>
        <v>1392.3051035303631</v>
      </c>
      <c r="Q3621" s="29">
        <v>2500</v>
      </c>
      <c r="R3621" s="31">
        <v>45528</v>
      </c>
      <c r="S3621" s="31" t="s">
        <v>3121</v>
      </c>
      <c r="T3621" s="95" t="str">
        <f t="shared" si="288"/>
        <v>2024 08</v>
      </c>
      <c r="U3621" s="32">
        <f t="shared" si="285"/>
        <v>1107.6948964696369</v>
      </c>
      <c r="V3621" s="22">
        <f t="shared" si="286"/>
        <v>0.79558344910245493</v>
      </c>
      <c r="X3621" s="33"/>
      <c r="Y3621" s="33"/>
    </row>
    <row r="3622" spans="1:25" x14ac:dyDescent="0.2">
      <c r="A3622" s="93" t="s">
        <v>1910</v>
      </c>
      <c r="B3622" s="94" t="str">
        <f>IFERROR(VLOOKUP($A3622,HeadJournal!$A$1:$NTR$890,COLUMN(HeadJournal!B$1),0),"")</f>
        <v>722500226371</v>
      </c>
      <c r="C3622" s="94" t="str">
        <f>IFERROR(VLOOKUP($A3622,HeadJournal!$A$1:$NTR$890,COLUMN(HeadJournal!C$1),0),"")</f>
        <v>iHerb_MH DLE7202</v>
      </c>
      <c r="D3622" s="125" t="str">
        <f>IFERROR(VLOOKUP($A3622,HeadJournal!$A$1:$NTR$890,COLUMN(HeadJournal!D$1),0),"")</f>
        <v>Доставлен</v>
      </c>
      <c r="E3622" s="95">
        <f>IFERROR(VLOOKUP($A3622,HeadJournal!$A$1:$NTR$890,COLUMN(HeadJournal!G$1),0),"")</f>
        <v>45495</v>
      </c>
      <c r="F3622" s="95" t="str">
        <f t="shared" si="287"/>
        <v>2024 07</v>
      </c>
      <c r="G3622" s="96" t="s">
        <v>5</v>
      </c>
      <c r="H3622" s="161" t="s">
        <v>2659</v>
      </c>
      <c r="I3622" s="97" t="s">
        <v>2218</v>
      </c>
      <c r="J3622" s="97" t="s">
        <v>2660</v>
      </c>
      <c r="K3622" s="29">
        <v>11</v>
      </c>
      <c r="L3622" s="29">
        <v>-2.2000000000000002</v>
      </c>
      <c r="M3622" s="30">
        <f>IFERROR(VLOOKUP($A3622,HeadJournal!$A$1:$J$890,COLUMN(HeadJournal!I$1),0)*($K3622+$L3622)/(SUMIF($A:$A,$A3622,$K:$K)+SUMIF($A:$A,$A3622,$L:$L)),0)</f>
        <v>-0.68537549407114629</v>
      </c>
      <c r="N3622" s="30">
        <f>IFERROR((VLOOKUP($A3622,HeadJournal!$A$1:$K$890,COLUMN(HeadJournal!K$1),0)-VLOOKUP($A3622,HeadJournal!$A$1:$K$890,COLUMN(HeadJournal!J$1),0))*($K3622+$L3622)/(SUMIF($A:$A,$A3622,$K:$K)+SUMIF($A:$A,$A3622,$L:$L)),0)</f>
        <v>0</v>
      </c>
      <c r="O3622" s="30">
        <f>IFERROR((VLOOKUP($A3622,HeadJournal!$A$1:$L$890,COLUMN(HeadJournal!L$1),0)*($K3622+$L3622)/(SUMIF($A:$A,$A3622,$K:$K)+SUMIF($A:$A,$A3622,$L:$L)))/VLOOKUP($A3622,HeadJournal!$A$1:$L$890,COLUMN(HeadJournal!H$1),0),0)</f>
        <v>0.62055776820458808</v>
      </c>
      <c r="P3622" s="30">
        <f>IFERROR(SUM(K3622:O3622)*VLOOKUP($A3622,HeadJournal!$A$1:$L$890,COLUMN(HeadJournal!H$1),0),0)</f>
        <v>874.53853754940724</v>
      </c>
      <c r="Q3622" s="29">
        <v>1700</v>
      </c>
      <c r="R3622" s="31">
        <v>45528</v>
      </c>
      <c r="S3622" s="31" t="s">
        <v>3121</v>
      </c>
      <c r="T3622" s="95" t="str">
        <f t="shared" si="288"/>
        <v>2024 08</v>
      </c>
      <c r="U3622" s="32">
        <f t="shared" si="285"/>
        <v>825.46146245059276</v>
      </c>
      <c r="V3622" s="22">
        <f t="shared" si="286"/>
        <v>0.94388231851241677</v>
      </c>
      <c r="X3622" s="33"/>
      <c r="Y3622" s="33"/>
    </row>
    <row r="3623" spans="1:25" x14ac:dyDescent="0.2">
      <c r="A3623" s="93" t="s">
        <v>1910</v>
      </c>
      <c r="B3623" s="94" t="str">
        <f>IFERROR(VLOOKUP($A3623,HeadJournal!$A$1:$NTR$890,COLUMN(HeadJournal!B$1),0),"")</f>
        <v>722500226371</v>
      </c>
      <c r="C3623" s="94" t="str">
        <f>IFERROR(VLOOKUP($A3623,HeadJournal!$A$1:$NTR$890,COLUMN(HeadJournal!C$1),0),"")</f>
        <v>iHerb_MH DLE7202</v>
      </c>
      <c r="D3623" s="125" t="str">
        <f>IFERROR(VLOOKUP($A3623,HeadJournal!$A$1:$NTR$890,COLUMN(HeadJournal!D$1),0),"")</f>
        <v>Доставлен</v>
      </c>
      <c r="E3623" s="95">
        <f>IFERROR(VLOOKUP($A3623,HeadJournal!$A$1:$NTR$890,COLUMN(HeadJournal!G$1),0),"")</f>
        <v>45495</v>
      </c>
      <c r="F3623" s="95" t="str">
        <f t="shared" si="287"/>
        <v>2024 07</v>
      </c>
      <c r="G3623" s="96" t="s">
        <v>5</v>
      </c>
      <c r="H3623" s="161" t="s">
        <v>2788</v>
      </c>
      <c r="I3623" s="97" t="s">
        <v>2218</v>
      </c>
      <c r="J3623" s="97" t="s">
        <v>2789</v>
      </c>
      <c r="K3623" s="29">
        <v>11.04</v>
      </c>
      <c r="L3623" s="29">
        <v>-2.21</v>
      </c>
      <c r="M3623" s="30">
        <f>IFERROR(VLOOKUP($A3623,HeadJournal!$A$1:$J$890,COLUMN(HeadJournal!I$1),0)*($K3623+$L3623)/(SUMIF($A:$A,$A3623,$K:$K)+SUMIF($A:$A,$A3623,$L:$L)),0)</f>
        <v>-0.68771200143729772</v>
      </c>
      <c r="N3623" s="30">
        <f>IFERROR((VLOOKUP($A3623,HeadJournal!$A$1:$K$890,COLUMN(HeadJournal!K$1),0)-VLOOKUP($A3623,HeadJournal!$A$1:$K$890,COLUMN(HeadJournal!J$1),0))*($K3623+$L3623)/(SUMIF($A:$A,$A3623,$K:$K)+SUMIF($A:$A,$A3623,$L:$L)),0)</f>
        <v>0</v>
      </c>
      <c r="O3623" s="30">
        <f>IFERROR((VLOOKUP($A3623,HeadJournal!$A$1:$L$890,COLUMN(HeadJournal!L$1),0)*($K3623+$L3623)/(SUMIF($A:$A,$A3623,$K:$K)+SUMIF($A:$A,$A3623,$L:$L)))/VLOOKUP($A3623,HeadJournal!$A$1:$L$890,COLUMN(HeadJournal!H$1),0),0)</f>
        <v>0.62267330605074001</v>
      </c>
      <c r="P3623" s="30">
        <f>IFERROR(SUM(K3623:O3623)*VLOOKUP($A3623,HeadJournal!$A$1:$L$890,COLUMN(HeadJournal!H$1),0),0)</f>
        <v>877.51991892741614</v>
      </c>
      <c r="Q3623" s="29">
        <v>1700</v>
      </c>
      <c r="R3623" s="31">
        <v>45528</v>
      </c>
      <c r="S3623" s="31" t="s">
        <v>3121</v>
      </c>
      <c r="T3623" s="95" t="str">
        <f t="shared" si="288"/>
        <v>2024 08</v>
      </c>
      <c r="U3623" s="32">
        <f t="shared" si="285"/>
        <v>822.48008107258386</v>
      </c>
      <c r="V3623" s="22">
        <f t="shared" si="286"/>
        <v>0.93727796182438006</v>
      </c>
      <c r="X3623" s="33"/>
      <c r="Y3623" s="33"/>
    </row>
    <row r="3624" spans="1:25" x14ac:dyDescent="0.2">
      <c r="A3624" s="93" t="s">
        <v>1910</v>
      </c>
      <c r="B3624" s="94" t="str">
        <f>IFERROR(VLOOKUP($A3624,HeadJournal!$A$1:$NTR$890,COLUMN(HeadJournal!B$1),0),"")</f>
        <v>722500226371</v>
      </c>
      <c r="C3624" s="94" t="str">
        <f>IFERROR(VLOOKUP($A3624,HeadJournal!$A$1:$NTR$890,COLUMN(HeadJournal!C$1),0),"")</f>
        <v>iHerb_MH DLE7202</v>
      </c>
      <c r="D3624" s="125" t="str">
        <f>IFERROR(VLOOKUP($A3624,HeadJournal!$A$1:$NTR$890,COLUMN(HeadJournal!D$1),0),"")</f>
        <v>Доставлен</v>
      </c>
      <c r="E3624" s="95">
        <f>IFERROR(VLOOKUP($A3624,HeadJournal!$A$1:$NTR$890,COLUMN(HeadJournal!G$1),0),"")</f>
        <v>45495</v>
      </c>
      <c r="F3624" s="95" t="str">
        <f t="shared" si="287"/>
        <v>2024 07</v>
      </c>
      <c r="G3624" s="96" t="s">
        <v>7</v>
      </c>
      <c r="H3624" s="160" t="str">
        <f>RIGHT(Journal!$J3624,9)</f>
        <v>IDC-71710</v>
      </c>
      <c r="I3624" s="127" t="str">
        <f t="shared" si="284"/>
        <v>I Dew Care</v>
      </c>
      <c r="J3624" s="97" t="s">
        <v>1929</v>
      </c>
      <c r="K3624" s="29">
        <v>32.33</v>
      </c>
      <c r="L3624" s="29">
        <v>-19.84</v>
      </c>
      <c r="M3624" s="30">
        <f>IFERROR(VLOOKUP($A3624,HeadJournal!$A$1:$J$890,COLUMN(HeadJournal!I$1),0)*($K3624+$L3624)/(SUMIF($A:$A,$A3624,$K:$K)+SUMIF($A:$A,$A3624,$L:$L)),0)</f>
        <v>-0.97276590010779718</v>
      </c>
      <c r="N3624" s="30">
        <f>IFERROR((VLOOKUP($A3624,HeadJournal!$A$1:$K$890,COLUMN(HeadJournal!K$1),0)-VLOOKUP($A3624,HeadJournal!$A$1:$K$890,COLUMN(HeadJournal!J$1),0))*($K3624+$L3624)/(SUMIF($A:$A,$A3624,$K:$K)+SUMIF($A:$A,$A3624,$L:$L)),0)</f>
        <v>0</v>
      </c>
      <c r="O3624" s="30">
        <f>IFERROR((VLOOKUP($A3624,HeadJournal!$A$1:$L$890,COLUMN(HeadJournal!L$1),0)*($K3624+$L3624)/(SUMIF($A:$A,$A3624,$K:$K)+SUMIF($A:$A,$A3624,$L:$L)))/VLOOKUP($A3624,HeadJournal!$A$1:$L$890,COLUMN(HeadJournal!H$1),0),0)</f>
        <v>0.88076892328128475</v>
      </c>
      <c r="P3624" s="30">
        <f>IFERROR(SUM(K3624:O3624)*VLOOKUP($A3624,HeadJournal!$A$1:$L$890,COLUMN(HeadJournal!H$1),0),0)</f>
        <v>1241.2484470445561</v>
      </c>
      <c r="Q3624" s="29"/>
      <c r="R3624" s="31"/>
      <c r="S3624" s="31"/>
      <c r="T3624" s="95" t="str">
        <f t="shared" si="288"/>
        <v/>
      </c>
      <c r="U3624" s="32">
        <f t="shared" si="285"/>
        <v>-1241.2484470445561</v>
      </c>
      <c r="V3624" s="22" t="str">
        <f t="shared" si="286"/>
        <v/>
      </c>
      <c r="X3624" s="33"/>
      <c r="Y3624" s="33"/>
    </row>
    <row r="3625" spans="1:25" x14ac:dyDescent="0.2">
      <c r="A3625" s="93" t="s">
        <v>1910</v>
      </c>
      <c r="B3625" s="94" t="str">
        <f>IFERROR(VLOOKUP($A3625,HeadJournal!$A$1:$NTR$890,COLUMN(HeadJournal!B$1),0),"")</f>
        <v>722500226371</v>
      </c>
      <c r="C3625" s="94" t="str">
        <f>IFERROR(VLOOKUP($A3625,HeadJournal!$A$1:$NTR$890,COLUMN(HeadJournal!C$1),0),"")</f>
        <v>iHerb_MH DLE7202</v>
      </c>
      <c r="D3625" s="125" t="str">
        <f>IFERROR(VLOOKUP($A3625,HeadJournal!$A$1:$NTR$890,COLUMN(HeadJournal!D$1),0),"")</f>
        <v>Доставлен</v>
      </c>
      <c r="E3625" s="95">
        <f>IFERROR(VLOOKUP($A3625,HeadJournal!$A$1:$NTR$890,COLUMN(HeadJournal!G$1),0),"")</f>
        <v>45495</v>
      </c>
      <c r="F3625" s="95" t="str">
        <f t="shared" si="287"/>
        <v>2024 07</v>
      </c>
      <c r="G3625" s="96" t="s">
        <v>5</v>
      </c>
      <c r="H3625" s="160" t="str">
        <f>RIGHT(Journal!$J3625,9)</f>
        <v>SNS-00358</v>
      </c>
      <c r="I3625" s="127" t="str">
        <f t="shared" si="284"/>
        <v>Source Naturals</v>
      </c>
      <c r="J3625" s="97" t="s">
        <v>1930</v>
      </c>
      <c r="K3625" s="29">
        <v>15.8</v>
      </c>
      <c r="L3625" s="29">
        <v>-3.16</v>
      </c>
      <c r="M3625" s="30">
        <f>IFERROR(VLOOKUP($A3625,HeadJournal!$A$1:$J$890,COLUMN(HeadJournal!I$1),0)*($K3625+$L3625)/(SUMIF($A:$A,$A3625,$K:$K)+SUMIF($A:$A,$A3625,$L:$L)),0)</f>
        <v>-0.98444843693855555</v>
      </c>
      <c r="N3625" s="30">
        <f>IFERROR((VLOOKUP($A3625,HeadJournal!$A$1:$K$890,COLUMN(HeadJournal!K$1),0)-VLOOKUP($A3625,HeadJournal!$A$1:$K$890,COLUMN(HeadJournal!J$1),0))*($K3625+$L3625)/(SUMIF($A:$A,$A3625,$K:$K)+SUMIF($A:$A,$A3625,$L:$L)),0)</f>
        <v>0</v>
      </c>
      <c r="O3625" s="30">
        <f>IFERROR((VLOOKUP($A3625,HeadJournal!$A$1:$L$890,COLUMN(HeadJournal!L$1),0)*($K3625+$L3625)/(SUMIF($A:$A,$A3625,$K:$K)+SUMIF($A:$A,$A3625,$L:$L)))/VLOOKUP($A3625,HeadJournal!$A$1:$L$890,COLUMN(HeadJournal!H$1),0),0)</f>
        <v>0.89134661251204472</v>
      </c>
      <c r="P3625" s="30">
        <f>IFERROR(SUM(K3625:O3625)*VLOOKUP($A3625,HeadJournal!$A$1:$L$890,COLUMN(HeadJournal!H$1),0),0)</f>
        <v>1256.155353934603</v>
      </c>
      <c r="Q3625" s="29">
        <v>2100</v>
      </c>
      <c r="R3625" s="31">
        <v>45612</v>
      </c>
      <c r="S3625" s="31" t="s">
        <v>3121</v>
      </c>
      <c r="T3625" s="95" t="str">
        <f t="shared" si="288"/>
        <v>2024 11</v>
      </c>
      <c r="U3625" s="32">
        <f t="shared" si="285"/>
        <v>843.844646065397</v>
      </c>
      <c r="V3625" s="22">
        <f t="shared" si="286"/>
        <v>0.67176774227985225</v>
      </c>
      <c r="X3625" s="33"/>
      <c r="Y3625" s="33"/>
    </row>
    <row r="3626" spans="1:25" x14ac:dyDescent="0.2">
      <c r="A3626" s="93" t="s">
        <v>1910</v>
      </c>
      <c r="B3626" s="94" t="str">
        <f>IFERROR(VLOOKUP($A3626,HeadJournal!$A$1:$NTR$890,COLUMN(HeadJournal!B$1),0),"")</f>
        <v>722500226371</v>
      </c>
      <c r="C3626" s="94" t="str">
        <f>IFERROR(VLOOKUP($A3626,HeadJournal!$A$1:$NTR$890,COLUMN(HeadJournal!C$1),0),"")</f>
        <v>iHerb_MH DLE7202</v>
      </c>
      <c r="D3626" s="125" t="str">
        <f>IFERROR(VLOOKUP($A3626,HeadJournal!$A$1:$NTR$890,COLUMN(HeadJournal!D$1),0),"")</f>
        <v>Доставлен</v>
      </c>
      <c r="E3626" s="95">
        <f>IFERROR(VLOOKUP($A3626,HeadJournal!$A$1:$NTR$890,COLUMN(HeadJournal!G$1),0),"")</f>
        <v>45495</v>
      </c>
      <c r="F3626" s="95" t="str">
        <f t="shared" si="287"/>
        <v>2024 07</v>
      </c>
      <c r="G3626" s="96" t="s">
        <v>5</v>
      </c>
      <c r="H3626" s="160" t="str">
        <f>RIGHT(Journal!$J3626,9)</f>
        <v>NOW-04603</v>
      </c>
      <c r="I3626" s="127" t="str">
        <f t="shared" si="284"/>
        <v>NOW Foods</v>
      </c>
      <c r="J3626" s="97" t="s">
        <v>153</v>
      </c>
      <c r="K3626" s="29">
        <v>12.85</v>
      </c>
      <c r="L3626" s="29">
        <v>-2.57</v>
      </c>
      <c r="M3626" s="30">
        <f>IFERROR(VLOOKUP($A3626,HeadJournal!$A$1:$J$890,COLUMN(HeadJournal!I$1),0)*($K3626+$L3626)/(SUMIF($A:$A,$A3626,$K:$K)+SUMIF($A:$A,$A3626,$L:$L)),0)</f>
        <v>-0.80064319080129343</v>
      </c>
      <c r="N3626" s="30">
        <f>IFERROR((VLOOKUP($A3626,HeadJournal!$A$1:$K$890,COLUMN(HeadJournal!K$1),0)-VLOOKUP($A3626,HeadJournal!$A$1:$K$890,COLUMN(HeadJournal!J$1),0))*($K3626+$L3626)/(SUMIF($A:$A,$A3626,$K:$K)+SUMIF($A:$A,$A3626,$L:$L)),0)</f>
        <v>0</v>
      </c>
      <c r="O3626" s="30">
        <f>IFERROR((VLOOKUP($A3626,HeadJournal!$A$1:$L$890,COLUMN(HeadJournal!L$1),0)*($K3626+$L3626)/(SUMIF($A:$A,$A3626,$K:$K)+SUMIF($A:$A,$A3626,$L:$L)))/VLOOKUP($A3626,HeadJournal!$A$1:$L$890,COLUMN(HeadJournal!H$1),0),0)</f>
        <v>0.72492430194808699</v>
      </c>
      <c r="P3626" s="30">
        <f>IFERROR(SUM(K3626:O3626)*VLOOKUP($A3626,HeadJournal!$A$1:$L$890,COLUMN(HeadJournal!H$1),0),0)</f>
        <v>1021.6200188645346</v>
      </c>
      <c r="Q3626" s="29">
        <v>1800</v>
      </c>
      <c r="R3626" s="31">
        <v>45567</v>
      </c>
      <c r="S3626" s="31" t="s">
        <v>3121</v>
      </c>
      <c r="T3626" s="95" t="str">
        <f t="shared" si="288"/>
        <v>2024 10</v>
      </c>
      <c r="U3626" s="32">
        <f t="shared" si="285"/>
        <v>778.37998113546541</v>
      </c>
      <c r="V3626" s="22">
        <f t="shared" si="286"/>
        <v>0.76190752604924972</v>
      </c>
      <c r="X3626" s="33"/>
      <c r="Y3626" s="33"/>
    </row>
    <row r="3627" spans="1:25" x14ac:dyDescent="0.2">
      <c r="A3627" s="93" t="s">
        <v>1910</v>
      </c>
      <c r="B3627" s="94" t="str">
        <f>IFERROR(VLOOKUP($A3627,HeadJournal!$A$1:$NTR$890,COLUMN(HeadJournal!B$1),0),"")</f>
        <v>722500226371</v>
      </c>
      <c r="C3627" s="94" t="str">
        <f>IFERROR(VLOOKUP($A3627,HeadJournal!$A$1:$NTR$890,COLUMN(HeadJournal!C$1),0),"")</f>
        <v>iHerb_MH DLE7202</v>
      </c>
      <c r="D3627" s="125" t="str">
        <f>IFERROR(VLOOKUP($A3627,HeadJournal!$A$1:$NTR$890,COLUMN(HeadJournal!D$1),0),"")</f>
        <v>Доставлен</v>
      </c>
      <c r="E3627" s="95">
        <f>IFERROR(VLOOKUP($A3627,HeadJournal!$A$1:$NTR$890,COLUMN(HeadJournal!G$1),0),"")</f>
        <v>45495</v>
      </c>
      <c r="F3627" s="95" t="str">
        <f t="shared" si="287"/>
        <v>2024 07</v>
      </c>
      <c r="G3627" s="96" t="s">
        <v>5</v>
      </c>
      <c r="H3627" s="161" t="s">
        <v>2430</v>
      </c>
      <c r="I3627" s="97" t="s">
        <v>2221</v>
      </c>
      <c r="J3627" s="97" t="s">
        <v>4197</v>
      </c>
      <c r="K3627" s="29">
        <v>7.8</v>
      </c>
      <c r="L3627" s="29">
        <v>-1.56</v>
      </c>
      <c r="M3627" s="30">
        <f>IFERROR(VLOOKUP($A3627,HeadJournal!$A$1:$J$890,COLUMN(HeadJournal!I$1),0)*($K3627+$L3627)/(SUMIF($A:$A,$A3627,$K:$K)+SUMIF($A:$A,$A3627,$L:$L)),0)</f>
        <v>-0.48599353215954005</v>
      </c>
      <c r="N3627" s="30">
        <f>IFERROR((VLOOKUP($A3627,HeadJournal!$A$1:$K$890,COLUMN(HeadJournal!K$1),0)-VLOOKUP($A3627,HeadJournal!$A$1:$K$890,COLUMN(HeadJournal!J$1),0))*($K3627+$L3627)/(SUMIF($A:$A,$A3627,$K:$K)+SUMIF($A:$A,$A3627,$L:$L)),0)</f>
        <v>0</v>
      </c>
      <c r="O3627" s="30">
        <f>IFERROR((VLOOKUP($A3627,HeadJournal!$A$1:$L$890,COLUMN(HeadJournal!L$1),0)*($K3627+$L3627)/(SUMIF($A:$A,$A3627,$K:$K)+SUMIF($A:$A,$A3627,$L:$L)))/VLOOKUP($A3627,HeadJournal!$A$1:$L$890,COLUMN(HeadJournal!H$1),0),0)</f>
        <v>0.44003187199961702</v>
      </c>
      <c r="P3627" s="30">
        <f>IFERROR(SUM(K3627:O3627)*VLOOKUP($A3627,HeadJournal!$A$1:$L$890,COLUMN(HeadJournal!H$1),0),0)</f>
        <v>620.12732662594317</v>
      </c>
      <c r="Q3627" s="29">
        <v>1600</v>
      </c>
      <c r="R3627" s="31">
        <v>45544</v>
      </c>
      <c r="S3627" s="31" t="s">
        <v>3121</v>
      </c>
      <c r="T3627" s="95" t="str">
        <f t="shared" si="288"/>
        <v>2024 09</v>
      </c>
      <c r="U3627" s="32">
        <f t="shared" si="285"/>
        <v>979.87267337405683</v>
      </c>
      <c r="V3627" s="22">
        <f t="shared" si="286"/>
        <v>1.5801152945564512</v>
      </c>
      <c r="X3627" s="33"/>
      <c r="Y3627" s="33"/>
    </row>
    <row r="3628" spans="1:25" x14ac:dyDescent="0.2">
      <c r="A3628" s="93" t="s">
        <v>1910</v>
      </c>
      <c r="B3628" s="94" t="str">
        <f>IFERROR(VLOOKUP($A3628,HeadJournal!$A$1:$NTR$890,COLUMN(HeadJournal!B$1),0),"")</f>
        <v>722500226371</v>
      </c>
      <c r="C3628" s="94" t="str">
        <f>IFERROR(VLOOKUP($A3628,HeadJournal!$A$1:$NTR$890,COLUMN(HeadJournal!C$1),0),"")</f>
        <v>iHerb_MH DLE7202</v>
      </c>
      <c r="D3628" s="125" t="str">
        <f>IFERROR(VLOOKUP($A3628,HeadJournal!$A$1:$NTR$890,COLUMN(HeadJournal!D$1),0),"")</f>
        <v>Доставлен</v>
      </c>
      <c r="E3628" s="95">
        <f>IFERROR(VLOOKUP($A3628,HeadJournal!$A$1:$NTR$890,COLUMN(HeadJournal!G$1),0),"")</f>
        <v>45495</v>
      </c>
      <c r="F3628" s="95" t="str">
        <f t="shared" si="287"/>
        <v>2024 07</v>
      </c>
      <c r="G3628" s="96" t="s">
        <v>5</v>
      </c>
      <c r="H3628" s="161" t="s">
        <v>2431</v>
      </c>
      <c r="I3628" s="97" t="s">
        <v>2221</v>
      </c>
      <c r="J3628" s="97" t="s">
        <v>4196</v>
      </c>
      <c r="K3628" s="29">
        <v>13.63</v>
      </c>
      <c r="L3628" s="29">
        <v>-2.73</v>
      </c>
      <c r="M3628" s="30">
        <f>IFERROR(VLOOKUP($A3628,HeadJournal!$A$1:$J$890,COLUMN(HeadJournal!I$1),0)*($K3628+$L3628)/(SUMIF($A:$A,$A3628,$K:$K)+SUMIF($A:$A,$A3628,$L:$L)),0)</f>
        <v>-0.84893100970176061</v>
      </c>
      <c r="N3628" s="30">
        <f>IFERROR((VLOOKUP($A3628,HeadJournal!$A$1:$K$890,COLUMN(HeadJournal!K$1),0)-VLOOKUP($A3628,HeadJournal!$A$1:$K$890,COLUMN(HeadJournal!J$1),0))*($K3628+$L3628)/(SUMIF($A:$A,$A3628,$K:$K)+SUMIF($A:$A,$A3628,$L:$L)),0)</f>
        <v>0</v>
      </c>
      <c r="O3628" s="30">
        <f>IFERROR((VLOOKUP($A3628,HeadJournal!$A$1:$L$890,COLUMN(HeadJournal!L$1),0)*($K3628+$L3628)/(SUMIF($A:$A,$A3628,$K:$K)+SUMIF($A:$A,$A3628,$L:$L)))/VLOOKUP($A3628,HeadJournal!$A$1:$L$890,COLUMN(HeadJournal!H$1),0),0)</f>
        <v>0.76864541743522841</v>
      </c>
      <c r="P3628" s="30">
        <f>IFERROR(SUM(K3628:O3628)*VLOOKUP($A3628,HeadJournal!$A$1:$L$890,COLUMN(HeadJournal!H$1),0),0)</f>
        <v>1083.2352340100613</v>
      </c>
      <c r="Q3628" s="29">
        <v>2300</v>
      </c>
      <c r="R3628" s="31">
        <v>45533</v>
      </c>
      <c r="S3628" s="31" t="s">
        <v>3121</v>
      </c>
      <c r="T3628" s="95" t="str">
        <f t="shared" si="288"/>
        <v>2024 08</v>
      </c>
      <c r="U3628" s="32">
        <f t="shared" si="285"/>
        <v>1216.7647659899387</v>
      </c>
      <c r="V3628" s="22">
        <f t="shared" si="286"/>
        <v>1.1232691919423268</v>
      </c>
      <c r="X3628" s="33"/>
      <c r="Y3628" s="33"/>
    </row>
    <row r="3629" spans="1:25" x14ac:dyDescent="0.2">
      <c r="A3629" s="93" t="s">
        <v>1931</v>
      </c>
      <c r="B3629" s="94" t="str">
        <f>IFERROR(VLOOKUP($A3629,HeadJournal!$A$1:$NTR$890,COLUMN(HeadJournal!B$1),0),"")</f>
        <v>720000316216</v>
      </c>
      <c r="C3629" s="94" t="str">
        <f>IFERROR(VLOOKUP($A3629,HeadJournal!$A$1:$NTR$890,COLUMN(HeadJournal!C$1),0),"")</f>
        <v>iHerb_AV CYG0792</v>
      </c>
      <c r="D3629" s="125" t="str">
        <f>IFERROR(VLOOKUP($A3629,HeadJournal!$A$1:$NTR$890,COLUMN(HeadJournal!D$1),0),"")</f>
        <v>Доставлен</v>
      </c>
      <c r="E3629" s="95">
        <f>IFERROR(VLOOKUP($A3629,HeadJournal!$A$1:$NTR$890,COLUMN(HeadJournal!G$1),0),"")</f>
        <v>45504</v>
      </c>
      <c r="F3629" s="95" t="str">
        <f t="shared" si="287"/>
        <v>2024 07</v>
      </c>
      <c r="G3629" s="96" t="s">
        <v>5</v>
      </c>
      <c r="H3629" s="160" t="str">
        <f>RIGHT(Journal!$J3629,9)</f>
        <v>SNS-02622</v>
      </c>
      <c r="I3629" s="127" t="str">
        <f t="shared" si="284"/>
        <v>Source Naturals</v>
      </c>
      <c r="J3629" s="97" t="s">
        <v>1933</v>
      </c>
      <c r="K3629" s="29">
        <v>31.01</v>
      </c>
      <c r="L3629" s="29">
        <v>-3.1</v>
      </c>
      <c r="M3629" s="30">
        <f>IFERROR(VLOOKUP($A3629,HeadJournal!$A$1:$J$890,COLUMN(HeadJournal!I$1),0)*($K3629+$L3629)/(SUMIF($A:$A,$A3629,$K:$K)+SUMIF($A:$A,$A3629,$L:$L)),0)</f>
        <v>-1.4933337072349968</v>
      </c>
      <c r="N3629" s="30">
        <f>IFERROR((VLOOKUP($A3629,HeadJournal!$A$1:$K$890,COLUMN(HeadJournal!K$1),0)-VLOOKUP($A3629,HeadJournal!$A$1:$K$890,COLUMN(HeadJournal!J$1),0))*($K3629+$L3629)/(SUMIF($A:$A,$A3629,$K:$K)+SUMIF($A:$A,$A3629,$L:$L)),0)</f>
        <v>-8.8979238385033732E-15</v>
      </c>
      <c r="O3629" s="30">
        <f>IFERROR((VLOOKUP($A3629,HeadJournal!$A$1:$L$890,COLUMN(HeadJournal!L$1),0)*($K3629+$L3629)/(SUMIF($A:$A,$A3629,$K:$K)+SUMIF($A:$A,$A3629,$L:$L)))/VLOOKUP($A3629,HeadJournal!$A$1:$L$890,COLUMN(HeadJournal!H$1),0),0)</f>
        <v>1.2445018812768083</v>
      </c>
      <c r="P3629" s="30">
        <f>IFERROR(SUM(K3629:O3629)*VLOOKUP($A3629,HeadJournal!$A$1:$L$890,COLUMN(HeadJournal!H$1),0),0)</f>
        <v>2734.4071137128417</v>
      </c>
      <c r="Q3629" s="29">
        <v>3400</v>
      </c>
      <c r="R3629" s="31">
        <v>45547</v>
      </c>
      <c r="S3629" s="31" t="s">
        <v>3121</v>
      </c>
      <c r="T3629" s="95" t="str">
        <f t="shared" si="288"/>
        <v>2024 09</v>
      </c>
      <c r="U3629" s="32">
        <f t="shared" si="285"/>
        <v>665.59288628715831</v>
      </c>
      <c r="V3629" s="22">
        <f t="shared" si="286"/>
        <v>0.24341396822340797</v>
      </c>
      <c r="X3629" s="33"/>
      <c r="Y3629" s="33"/>
    </row>
    <row r="3630" spans="1:25" x14ac:dyDescent="0.2">
      <c r="A3630" s="93" t="s">
        <v>1931</v>
      </c>
      <c r="B3630" s="94" t="str">
        <f>IFERROR(VLOOKUP($A3630,HeadJournal!$A$1:$NTR$890,COLUMN(HeadJournal!B$1),0),"")</f>
        <v>720000316216</v>
      </c>
      <c r="C3630" s="94" t="str">
        <f>IFERROR(VLOOKUP($A3630,HeadJournal!$A$1:$NTR$890,COLUMN(HeadJournal!C$1),0),"")</f>
        <v>iHerb_AV CYG0792</v>
      </c>
      <c r="D3630" s="125" t="str">
        <f>IFERROR(VLOOKUP($A3630,HeadJournal!$A$1:$NTR$890,COLUMN(HeadJournal!D$1),0),"")</f>
        <v>Доставлен</v>
      </c>
      <c r="E3630" s="95">
        <f>IFERROR(VLOOKUP($A3630,HeadJournal!$A$1:$NTR$890,COLUMN(HeadJournal!G$1),0),"")</f>
        <v>45504</v>
      </c>
      <c r="F3630" s="95" t="str">
        <f t="shared" si="287"/>
        <v>2024 07</v>
      </c>
      <c r="G3630" s="96" t="s">
        <v>5</v>
      </c>
      <c r="H3630" s="161" t="s">
        <v>3011</v>
      </c>
      <c r="I3630" s="97" t="s">
        <v>2052</v>
      </c>
      <c r="J3630" s="97" t="s">
        <v>3012</v>
      </c>
      <c r="K3630" s="29">
        <v>6.1</v>
      </c>
      <c r="L3630" s="29">
        <v>-2.44</v>
      </c>
      <c r="M3630" s="30">
        <f>IFERROR(VLOOKUP($A3630,HeadJournal!$A$1:$J$890,COLUMN(HeadJournal!I$1),0)*($K3630+$L3630)/(SUMIF($A:$A,$A3630,$K:$K)+SUMIF($A:$A,$A3630,$L:$L)),0)</f>
        <v>-0.19582950084127868</v>
      </c>
      <c r="N3630" s="30">
        <f>IFERROR((VLOOKUP($A3630,HeadJournal!$A$1:$K$890,COLUMN(HeadJournal!K$1),0)-VLOOKUP($A3630,HeadJournal!$A$1:$K$890,COLUMN(HeadJournal!J$1),0))*($K3630+$L3630)/(SUMIF($A:$A,$A3630,$K:$K)+SUMIF($A:$A,$A3630,$L:$L)),0)</f>
        <v>-1.1668363041534338E-15</v>
      </c>
      <c r="O3630" s="30">
        <f>IFERROR((VLOOKUP($A3630,HeadJournal!$A$1:$L$890,COLUMN(HeadJournal!L$1),0)*($K3630+$L3630)/(SUMIF($A:$A,$A3630,$K:$K)+SUMIF($A:$A,$A3630,$L:$L)))/VLOOKUP($A3630,HeadJournal!$A$1:$L$890,COLUMN(HeadJournal!H$1),0),0)</f>
        <v>0.16319874186575128</v>
      </c>
      <c r="P3630" s="30">
        <f>IFERROR(SUM(K3630:O3630)*VLOOKUP($A3630,HeadJournal!$A$1:$L$890,COLUMN(HeadJournal!H$1),0),0)</f>
        <v>358.5786469433537</v>
      </c>
      <c r="Q3630" s="29">
        <v>1000</v>
      </c>
      <c r="R3630" s="31">
        <v>45637</v>
      </c>
      <c r="S3630" s="31" t="s">
        <v>3121</v>
      </c>
      <c r="T3630" s="95" t="str">
        <f t="shared" si="288"/>
        <v>2024 12</v>
      </c>
      <c r="U3630" s="32">
        <f t="shared" si="285"/>
        <v>641.42135305664624</v>
      </c>
      <c r="V3630" s="22">
        <f t="shared" si="286"/>
        <v>1.7887884806425032</v>
      </c>
      <c r="X3630" s="33"/>
      <c r="Y3630" s="33"/>
    </row>
    <row r="3631" spans="1:25" x14ac:dyDescent="0.2">
      <c r="A3631" s="93" t="s">
        <v>1931</v>
      </c>
      <c r="B3631" s="94" t="str">
        <f>IFERROR(VLOOKUP($A3631,HeadJournal!$A$1:$NTR$890,COLUMN(HeadJournal!B$1),0),"")</f>
        <v>720000316216</v>
      </c>
      <c r="C3631" s="94" t="str">
        <f>IFERROR(VLOOKUP($A3631,HeadJournal!$A$1:$NTR$890,COLUMN(HeadJournal!C$1),0),"")</f>
        <v>iHerb_AV CYG0792</v>
      </c>
      <c r="D3631" s="125" t="str">
        <f>IFERROR(VLOOKUP($A3631,HeadJournal!$A$1:$NTR$890,COLUMN(HeadJournal!D$1),0),"")</f>
        <v>Доставлен</v>
      </c>
      <c r="E3631" s="95">
        <f>IFERROR(VLOOKUP($A3631,HeadJournal!$A$1:$NTR$890,COLUMN(HeadJournal!G$1),0),"")</f>
        <v>45504</v>
      </c>
      <c r="F3631" s="95" t="str">
        <f t="shared" si="287"/>
        <v>2024 07</v>
      </c>
      <c r="G3631" s="96" t="s">
        <v>5</v>
      </c>
      <c r="H3631" s="161" t="s">
        <v>3011</v>
      </c>
      <c r="I3631" s="97" t="s">
        <v>2052</v>
      </c>
      <c r="J3631" s="97" t="s">
        <v>3012</v>
      </c>
      <c r="K3631" s="29">
        <v>6.1</v>
      </c>
      <c r="L3631" s="29">
        <v>-2.44</v>
      </c>
      <c r="M3631" s="30">
        <f>IFERROR(VLOOKUP($A3631,HeadJournal!$A$1:$J$890,COLUMN(HeadJournal!I$1),0)*($K3631+$L3631)/(SUMIF($A:$A,$A3631,$K:$K)+SUMIF($A:$A,$A3631,$L:$L)),0)</f>
        <v>-0.19582950084127868</v>
      </c>
      <c r="N3631" s="30">
        <f>IFERROR((VLOOKUP($A3631,HeadJournal!$A$1:$K$890,COLUMN(HeadJournal!K$1),0)-VLOOKUP($A3631,HeadJournal!$A$1:$K$890,COLUMN(HeadJournal!J$1),0))*($K3631+$L3631)/(SUMIF($A:$A,$A3631,$K:$K)+SUMIF($A:$A,$A3631,$L:$L)),0)</f>
        <v>-1.1668363041534338E-15</v>
      </c>
      <c r="O3631" s="30">
        <f>IFERROR((VLOOKUP($A3631,HeadJournal!$A$1:$L$890,COLUMN(HeadJournal!L$1),0)*($K3631+$L3631)/(SUMIF($A:$A,$A3631,$K:$K)+SUMIF($A:$A,$A3631,$L:$L)))/VLOOKUP($A3631,HeadJournal!$A$1:$L$890,COLUMN(HeadJournal!H$1),0),0)</f>
        <v>0.16319874186575128</v>
      </c>
      <c r="P3631" s="30">
        <f>IFERROR(SUM(K3631:O3631)*VLOOKUP($A3631,HeadJournal!$A$1:$L$890,COLUMN(HeadJournal!H$1),0),0)</f>
        <v>358.5786469433537</v>
      </c>
      <c r="Q3631" s="29">
        <v>1000</v>
      </c>
      <c r="R3631" s="31">
        <v>45675</v>
      </c>
      <c r="S3631" s="31" t="s">
        <v>3121</v>
      </c>
      <c r="T3631" s="95" t="str">
        <f t="shared" si="288"/>
        <v>2025 01</v>
      </c>
      <c r="U3631" s="32">
        <f t="shared" si="285"/>
        <v>641.42135305664624</v>
      </c>
      <c r="V3631" s="22">
        <f t="shared" si="286"/>
        <v>1.7887884806425032</v>
      </c>
      <c r="X3631" s="33"/>
      <c r="Y3631" s="33"/>
    </row>
    <row r="3632" spans="1:25" x14ac:dyDescent="0.2">
      <c r="A3632" s="93" t="s">
        <v>1931</v>
      </c>
      <c r="B3632" s="94" t="str">
        <f>IFERROR(VLOOKUP($A3632,HeadJournal!$A$1:$NTR$890,COLUMN(HeadJournal!B$1),0),"")</f>
        <v>720000316216</v>
      </c>
      <c r="C3632" s="94" t="str">
        <f>IFERROR(VLOOKUP($A3632,HeadJournal!$A$1:$NTR$890,COLUMN(HeadJournal!C$1),0),"")</f>
        <v>iHerb_AV CYG0792</v>
      </c>
      <c r="D3632" s="125" t="str">
        <f>IFERROR(VLOOKUP($A3632,HeadJournal!$A$1:$NTR$890,COLUMN(HeadJournal!D$1),0),"")</f>
        <v>Доставлен</v>
      </c>
      <c r="E3632" s="95">
        <f>IFERROR(VLOOKUP($A3632,HeadJournal!$A$1:$NTR$890,COLUMN(HeadJournal!G$1),0),"")</f>
        <v>45504</v>
      </c>
      <c r="F3632" s="95" t="str">
        <f t="shared" si="287"/>
        <v>2024 07</v>
      </c>
      <c r="G3632" s="96" t="s">
        <v>5</v>
      </c>
      <c r="H3632" s="161" t="s">
        <v>3011</v>
      </c>
      <c r="I3632" s="97" t="s">
        <v>2052</v>
      </c>
      <c r="J3632" s="97" t="s">
        <v>3012</v>
      </c>
      <c r="K3632" s="29">
        <v>6.1</v>
      </c>
      <c r="L3632" s="29">
        <v>-2.44</v>
      </c>
      <c r="M3632" s="30">
        <f>IFERROR(VLOOKUP($A3632,HeadJournal!$A$1:$J$890,COLUMN(HeadJournal!I$1),0)*($K3632+$L3632)/(SUMIF($A:$A,$A3632,$K:$K)+SUMIF($A:$A,$A3632,$L:$L)),0)</f>
        <v>-0.19582950084127868</v>
      </c>
      <c r="N3632" s="30">
        <f>IFERROR((VLOOKUP($A3632,HeadJournal!$A$1:$K$890,COLUMN(HeadJournal!K$1),0)-VLOOKUP($A3632,HeadJournal!$A$1:$K$890,COLUMN(HeadJournal!J$1),0))*($K3632+$L3632)/(SUMIF($A:$A,$A3632,$K:$K)+SUMIF($A:$A,$A3632,$L:$L)),0)</f>
        <v>-1.1668363041534338E-15</v>
      </c>
      <c r="O3632" s="30">
        <f>IFERROR((VLOOKUP($A3632,HeadJournal!$A$1:$L$890,COLUMN(HeadJournal!L$1),0)*($K3632+$L3632)/(SUMIF($A:$A,$A3632,$K:$K)+SUMIF($A:$A,$A3632,$L:$L)))/VLOOKUP($A3632,HeadJournal!$A$1:$L$890,COLUMN(HeadJournal!H$1),0),0)</f>
        <v>0.16319874186575128</v>
      </c>
      <c r="P3632" s="30">
        <f>IFERROR(SUM(K3632:O3632)*VLOOKUP($A3632,HeadJournal!$A$1:$L$890,COLUMN(HeadJournal!H$1),0),0)</f>
        <v>358.5786469433537</v>
      </c>
      <c r="Q3632" s="29">
        <v>1000</v>
      </c>
      <c r="R3632" s="31">
        <v>45738</v>
      </c>
      <c r="S3632" s="31" t="s">
        <v>3121</v>
      </c>
      <c r="T3632" s="95" t="str">
        <f t="shared" si="288"/>
        <v>2025 03</v>
      </c>
      <c r="U3632" s="32">
        <f t="shared" si="285"/>
        <v>641.42135305664624</v>
      </c>
      <c r="V3632" s="22">
        <f t="shared" si="286"/>
        <v>1.7887884806425032</v>
      </c>
      <c r="X3632" s="33"/>
      <c r="Y3632" s="33"/>
    </row>
    <row r="3633" spans="1:25" x14ac:dyDescent="0.2">
      <c r="A3633" s="93" t="s">
        <v>1931</v>
      </c>
      <c r="B3633" s="94" t="str">
        <f>IFERROR(VLOOKUP($A3633,HeadJournal!$A$1:$NTR$890,COLUMN(HeadJournal!B$1),0),"")</f>
        <v>720000316216</v>
      </c>
      <c r="C3633" s="94" t="str">
        <f>IFERROR(VLOOKUP($A3633,HeadJournal!$A$1:$NTR$890,COLUMN(HeadJournal!C$1),0),"")</f>
        <v>iHerb_AV CYG0792</v>
      </c>
      <c r="D3633" s="125" t="str">
        <f>IFERROR(VLOOKUP($A3633,HeadJournal!$A$1:$NTR$890,COLUMN(HeadJournal!D$1),0),"")</f>
        <v>Доставлен</v>
      </c>
      <c r="E3633" s="95">
        <f>IFERROR(VLOOKUP($A3633,HeadJournal!$A$1:$NTR$890,COLUMN(HeadJournal!G$1),0),"")</f>
        <v>45504</v>
      </c>
      <c r="F3633" s="95" t="str">
        <f t="shared" si="287"/>
        <v>2024 07</v>
      </c>
      <c r="G3633" s="96" t="s">
        <v>5</v>
      </c>
      <c r="H3633" s="160" t="str">
        <f>RIGHT(Journal!$J3633,9)</f>
        <v>CGN-00963</v>
      </c>
      <c r="I3633" s="127" t="str">
        <f t="shared" si="284"/>
        <v>California Gold Nutrition</v>
      </c>
      <c r="J3633" s="97" t="s">
        <v>1127</v>
      </c>
      <c r="K3633" s="29">
        <v>11.68</v>
      </c>
      <c r="L3633" s="29">
        <v>-4.67</v>
      </c>
      <c r="M3633" s="30">
        <f>IFERROR(VLOOKUP($A3633,HeadJournal!$A$1:$J$890,COLUMN(HeadJournal!I$1),0)*($K3633+$L3633)/(SUMIF($A:$A,$A3633,$K:$K)+SUMIF($A:$A,$A3633,$L:$L)),0)</f>
        <v>-0.37507234997195726</v>
      </c>
      <c r="N3633" s="30">
        <f>IFERROR((VLOOKUP($A3633,HeadJournal!$A$1:$K$890,COLUMN(HeadJournal!K$1),0)-VLOOKUP($A3633,HeadJournal!$A$1:$K$890,COLUMN(HeadJournal!J$1),0))*($K3633+$L3633)/(SUMIF($A:$A,$A3633,$K:$K)+SUMIF($A:$A,$A3633,$L:$L)),0)</f>
        <v>-2.234842210960539E-15</v>
      </c>
      <c r="O3633" s="30">
        <f>IFERROR((VLOOKUP($A3633,HeadJournal!$A$1:$L$890,COLUMN(HeadJournal!L$1),0)*($K3633+$L3633)/(SUMIF($A:$A,$A3633,$K:$K)+SUMIF($A:$A,$A3633,$L:$L)))/VLOOKUP($A3633,HeadJournal!$A$1:$L$890,COLUMN(HeadJournal!H$1),0),0)</f>
        <v>0.31257463947511377</v>
      </c>
      <c r="P3633" s="30">
        <f>IFERROR(SUM(K3633:O3633)*VLOOKUP($A3633,HeadJournal!$A$1:$L$890,COLUMN(HeadJournal!H$1),0),0)</f>
        <v>686.78587843522098</v>
      </c>
      <c r="Q3633" s="29">
        <v>1700</v>
      </c>
      <c r="R3633" s="31">
        <v>46034</v>
      </c>
      <c r="S3633" s="31" t="s">
        <v>3235</v>
      </c>
      <c r="T3633" s="95" t="str">
        <f t="shared" si="288"/>
        <v>2026 01</v>
      </c>
      <c r="U3633" s="32">
        <f t="shared" si="285"/>
        <v>1013.214121564779</v>
      </c>
      <c r="V3633" s="22">
        <f t="shared" si="286"/>
        <v>1.4752984203363282</v>
      </c>
      <c r="X3633" s="33"/>
      <c r="Y3633" s="33"/>
    </row>
    <row r="3634" spans="1:25" x14ac:dyDescent="0.2">
      <c r="A3634" s="93" t="s">
        <v>1931</v>
      </c>
      <c r="B3634" s="94" t="str">
        <f>IFERROR(VLOOKUP($A3634,HeadJournal!$A$1:$NTR$890,COLUMN(HeadJournal!B$1),0),"")</f>
        <v>720000316216</v>
      </c>
      <c r="C3634" s="94" t="str">
        <f>IFERROR(VLOOKUP($A3634,HeadJournal!$A$1:$NTR$890,COLUMN(HeadJournal!C$1),0),"")</f>
        <v>iHerb_AV CYG0792</v>
      </c>
      <c r="D3634" s="125" t="str">
        <f>IFERROR(VLOOKUP($A3634,HeadJournal!$A$1:$NTR$890,COLUMN(HeadJournal!D$1),0),"")</f>
        <v>Доставлен</v>
      </c>
      <c r="E3634" s="95">
        <f>IFERROR(VLOOKUP($A3634,HeadJournal!$A$1:$NTR$890,COLUMN(HeadJournal!G$1),0),"")</f>
        <v>45504</v>
      </c>
      <c r="F3634" s="95" t="str">
        <f t="shared" si="287"/>
        <v>2024 07</v>
      </c>
      <c r="G3634" s="96" t="s">
        <v>5</v>
      </c>
      <c r="H3634" s="160" t="str">
        <f>RIGHT(Journal!$J3634,9)</f>
        <v>CGN-00934</v>
      </c>
      <c r="I3634" s="127" t="str">
        <f t="shared" si="284"/>
        <v>California Gold Nutrition</v>
      </c>
      <c r="J3634" s="97" t="s">
        <v>94</v>
      </c>
      <c r="K3634" s="29">
        <v>14.77</v>
      </c>
      <c r="L3634" s="29">
        <v>-5.91</v>
      </c>
      <c r="M3634" s="30">
        <f>IFERROR(VLOOKUP($A3634,HeadJournal!$A$1:$J$890,COLUMN(HeadJournal!I$1),0)*($K3634+$L3634)/(SUMIF($A:$A,$A3634,$K:$K)+SUMIF($A:$A,$A3634,$L:$L)),0)</f>
        <v>-0.47405720695457076</v>
      </c>
      <c r="N3634" s="30">
        <f>IFERROR((VLOOKUP($A3634,HeadJournal!$A$1:$K$890,COLUMN(HeadJournal!K$1),0)-VLOOKUP($A3634,HeadJournal!$A$1:$K$890,COLUMN(HeadJournal!J$1),0))*($K3634+$L3634)/(SUMIF($A:$A,$A3634,$K:$K)+SUMIF($A:$A,$A3634,$L:$L)),0)</f>
        <v>-2.824636517704761E-15</v>
      </c>
      <c r="O3634" s="30">
        <f>IFERROR((VLOOKUP($A3634,HeadJournal!$A$1:$L$890,COLUMN(HeadJournal!L$1),0)*($K3634+$L3634)/(SUMIF($A:$A,$A3634,$K:$K)+SUMIF($A:$A,$A3634,$L:$L)))/VLOOKUP($A3634,HeadJournal!$A$1:$L$890,COLUMN(HeadJournal!H$1),0),0)</f>
        <v>0.3950658068116274</v>
      </c>
      <c r="P3634" s="30">
        <f>IFERROR(SUM(K3634:O3634)*VLOOKUP($A3634,HeadJournal!$A$1:$L$890,COLUMN(HeadJournal!H$1),0),0)</f>
        <v>868.03464806505826</v>
      </c>
      <c r="Q3634" s="29">
        <v>2200</v>
      </c>
      <c r="R3634" s="31">
        <v>45652</v>
      </c>
      <c r="S3634" s="31" t="s">
        <v>3121</v>
      </c>
      <c r="T3634" s="95" t="str">
        <f t="shared" si="288"/>
        <v>2024 12</v>
      </c>
      <c r="U3634" s="32">
        <f t="shared" si="285"/>
        <v>1331.9653519349417</v>
      </c>
      <c r="V3634" s="22">
        <f t="shared" si="286"/>
        <v>1.5344610435816526</v>
      </c>
      <c r="X3634" s="33"/>
      <c r="Y3634" s="33"/>
    </row>
    <row r="3635" spans="1:25" x14ac:dyDescent="0.2">
      <c r="A3635" s="93" t="s">
        <v>1931</v>
      </c>
      <c r="B3635" s="94" t="str">
        <f>IFERROR(VLOOKUP($A3635,HeadJournal!$A$1:$NTR$890,COLUMN(HeadJournal!B$1),0),"")</f>
        <v>720000316216</v>
      </c>
      <c r="C3635" s="94" t="str">
        <f>IFERROR(VLOOKUP($A3635,HeadJournal!$A$1:$NTR$890,COLUMN(HeadJournal!C$1),0),"")</f>
        <v>iHerb_AV CYG0792</v>
      </c>
      <c r="D3635" s="125" t="str">
        <f>IFERROR(VLOOKUP($A3635,HeadJournal!$A$1:$NTR$890,COLUMN(HeadJournal!D$1),0),"")</f>
        <v>Доставлен</v>
      </c>
      <c r="E3635" s="95">
        <f>IFERROR(VLOOKUP($A3635,HeadJournal!$A$1:$NTR$890,COLUMN(HeadJournal!G$1),0),"")</f>
        <v>45504</v>
      </c>
      <c r="F3635" s="95" t="str">
        <f t="shared" si="287"/>
        <v>2024 07</v>
      </c>
      <c r="G3635" s="96" t="s">
        <v>5</v>
      </c>
      <c r="H3635" s="160" t="str">
        <f>RIGHT(Journal!$J3635,9)</f>
        <v>CGN-01856</v>
      </c>
      <c r="I3635" s="127" t="str">
        <f t="shared" si="284"/>
        <v>California Gold Nutrition</v>
      </c>
      <c r="J3635" s="97" t="s">
        <v>309</v>
      </c>
      <c r="K3635" s="29">
        <v>15.95</v>
      </c>
      <c r="L3635" s="29">
        <v>-6.38</v>
      </c>
      <c r="M3635" s="30">
        <f>IFERROR(VLOOKUP($A3635,HeadJournal!$A$1:$J$890,COLUMN(HeadJournal!I$1),0)*($K3635+$L3635)/(SUMIF($A:$A,$A3635,$K:$K)+SUMIF($A:$A,$A3635,$L:$L)),0)</f>
        <v>-0.51204598990465489</v>
      </c>
      <c r="N3635" s="30">
        <f>IFERROR((VLOOKUP($A3635,HeadJournal!$A$1:$K$890,COLUMN(HeadJournal!K$1),0)-VLOOKUP($A3635,HeadJournal!$A$1:$K$890,COLUMN(HeadJournal!J$1),0))*($K3635+$L3635)/(SUMIF($A:$A,$A3635,$K:$K)+SUMIF($A:$A,$A3635,$L:$L)),0)</f>
        <v>-3.0509900084011922E-15</v>
      </c>
      <c r="O3635" s="30">
        <f>IFERROR((VLOOKUP($A3635,HeadJournal!$A$1:$L$890,COLUMN(HeadJournal!L$1),0)*($K3635+$L3635)/(SUMIF($A:$A,$A3635,$K:$K)+SUMIF($A:$A,$A3635,$L:$L)))/VLOOKUP($A3635,HeadJournal!$A$1:$L$890,COLUMN(HeadJournal!H$1),0),0)</f>
        <v>0.42672457914077588</v>
      </c>
      <c r="P3635" s="30">
        <f>IFERROR(SUM(K3635:O3635)*VLOOKUP($A3635,HeadJournal!$A$1:$L$890,COLUMN(HeadJournal!H$1),0),0)</f>
        <v>937.59498667975276</v>
      </c>
      <c r="Q3635" s="29">
        <v>2000</v>
      </c>
      <c r="R3635" s="31">
        <v>45533</v>
      </c>
      <c r="S3635" s="31" t="s">
        <v>3121</v>
      </c>
      <c r="T3635" s="95" t="str">
        <f t="shared" si="288"/>
        <v>2024 08</v>
      </c>
      <c r="U3635" s="32">
        <f t="shared" si="285"/>
        <v>1062.4050133202472</v>
      </c>
      <c r="V3635" s="22">
        <f t="shared" si="286"/>
        <v>1.1331172077641718</v>
      </c>
      <c r="X3635" s="33"/>
      <c r="Y3635" s="33"/>
    </row>
    <row r="3636" spans="1:25" x14ac:dyDescent="0.2">
      <c r="A3636" s="93" t="s">
        <v>1931</v>
      </c>
      <c r="B3636" s="94" t="str">
        <f>IFERROR(VLOOKUP($A3636,HeadJournal!$A$1:$NTR$890,COLUMN(HeadJournal!B$1),0),"")</f>
        <v>720000316216</v>
      </c>
      <c r="C3636" s="94" t="str">
        <f>IFERROR(VLOOKUP($A3636,HeadJournal!$A$1:$NTR$890,COLUMN(HeadJournal!C$1),0),"")</f>
        <v>iHerb_AV CYG0792</v>
      </c>
      <c r="D3636" s="125" t="str">
        <f>IFERROR(VLOOKUP($A3636,HeadJournal!$A$1:$NTR$890,COLUMN(HeadJournal!D$1),0),"")</f>
        <v>Доставлен</v>
      </c>
      <c r="E3636" s="95">
        <f>IFERROR(VLOOKUP($A3636,HeadJournal!$A$1:$NTR$890,COLUMN(HeadJournal!G$1),0),"")</f>
        <v>45504</v>
      </c>
      <c r="F3636" s="95" t="str">
        <f t="shared" si="287"/>
        <v>2024 07</v>
      </c>
      <c r="G3636" s="96" t="s">
        <v>5</v>
      </c>
      <c r="H3636" s="160" t="str">
        <f>RIGHT(Journal!$J3636,9)</f>
        <v>CGN-01856</v>
      </c>
      <c r="I3636" s="127" t="str">
        <f t="shared" si="284"/>
        <v>California Gold Nutrition</v>
      </c>
      <c r="J3636" s="97" t="s">
        <v>309</v>
      </c>
      <c r="K3636" s="29">
        <v>15.95</v>
      </c>
      <c r="L3636" s="29">
        <v>-6.38</v>
      </c>
      <c r="M3636" s="30">
        <f>IFERROR(VLOOKUP($A3636,HeadJournal!$A$1:$J$890,COLUMN(HeadJournal!I$1),0)*($K3636+$L3636)/(SUMIF($A:$A,$A3636,$K:$K)+SUMIF($A:$A,$A3636,$L:$L)),0)</f>
        <v>-0.51204598990465489</v>
      </c>
      <c r="N3636" s="30">
        <f>IFERROR((VLOOKUP($A3636,HeadJournal!$A$1:$K$890,COLUMN(HeadJournal!K$1),0)-VLOOKUP($A3636,HeadJournal!$A$1:$K$890,COLUMN(HeadJournal!J$1),0))*($K3636+$L3636)/(SUMIF($A:$A,$A3636,$K:$K)+SUMIF($A:$A,$A3636,$L:$L)),0)</f>
        <v>-3.0509900084011922E-15</v>
      </c>
      <c r="O3636" s="30">
        <f>IFERROR((VLOOKUP($A3636,HeadJournal!$A$1:$L$890,COLUMN(HeadJournal!L$1),0)*($K3636+$L3636)/(SUMIF($A:$A,$A3636,$K:$K)+SUMIF($A:$A,$A3636,$L:$L)))/VLOOKUP($A3636,HeadJournal!$A$1:$L$890,COLUMN(HeadJournal!H$1),0),0)</f>
        <v>0.42672457914077588</v>
      </c>
      <c r="P3636" s="30">
        <f>IFERROR(SUM(K3636:O3636)*VLOOKUP($A3636,HeadJournal!$A$1:$L$890,COLUMN(HeadJournal!H$1),0),0)</f>
        <v>937.59498667975276</v>
      </c>
      <c r="Q3636" s="29">
        <v>2200</v>
      </c>
      <c r="R3636" s="31">
        <v>45642</v>
      </c>
      <c r="S3636" s="31" t="s">
        <v>3121</v>
      </c>
      <c r="T3636" s="95" t="str">
        <f t="shared" si="288"/>
        <v>2024 12</v>
      </c>
      <c r="U3636" s="32">
        <f t="shared" si="285"/>
        <v>1262.4050133202472</v>
      </c>
      <c r="V3636" s="22">
        <f t="shared" si="286"/>
        <v>1.3464289285405888</v>
      </c>
      <c r="X3636" s="33"/>
      <c r="Y3636" s="33"/>
    </row>
    <row r="3637" spans="1:25" x14ac:dyDescent="0.2">
      <c r="A3637" s="93" t="s">
        <v>1931</v>
      </c>
      <c r="B3637" s="94" t="str">
        <f>IFERROR(VLOOKUP($A3637,HeadJournal!$A$1:$NTR$890,COLUMN(HeadJournal!B$1),0),"")</f>
        <v>720000316216</v>
      </c>
      <c r="C3637" s="94" t="str">
        <f>IFERROR(VLOOKUP($A3637,HeadJournal!$A$1:$NTR$890,COLUMN(HeadJournal!C$1),0),"")</f>
        <v>iHerb_AV CYG0792</v>
      </c>
      <c r="D3637" s="125" t="str">
        <f>IFERROR(VLOOKUP($A3637,HeadJournal!$A$1:$NTR$890,COLUMN(HeadJournal!D$1),0),"")</f>
        <v>Доставлен</v>
      </c>
      <c r="E3637" s="95">
        <f>IFERROR(VLOOKUP($A3637,HeadJournal!$A$1:$NTR$890,COLUMN(HeadJournal!G$1),0),"")</f>
        <v>45504</v>
      </c>
      <c r="F3637" s="95" t="str">
        <f t="shared" si="287"/>
        <v>2024 07</v>
      </c>
      <c r="G3637" s="96" t="s">
        <v>5</v>
      </c>
      <c r="H3637" s="161" t="s">
        <v>2709</v>
      </c>
      <c r="I3637" s="97" t="s">
        <v>2052</v>
      </c>
      <c r="J3637" s="97" t="s">
        <v>2710</v>
      </c>
      <c r="K3637" s="29">
        <v>13.71</v>
      </c>
      <c r="L3637" s="29">
        <v>-5.4833333333333334</v>
      </c>
      <c r="M3637" s="30">
        <f>IFERROR(VLOOKUP($A3637,HeadJournal!$A$1:$J$890,COLUMN(HeadJournal!I$1),0)*($K3637+$L3637)/(SUMIF($A:$A,$A3637,$K:$K)+SUMIF($A:$A,$A3637,$L:$L)),0)</f>
        <v>-0.44017049915872114</v>
      </c>
      <c r="N3637" s="30">
        <f>IFERROR((VLOOKUP($A3637,HeadJournal!$A$1:$K$890,COLUMN(HeadJournal!K$1),0)-VLOOKUP($A3637,HeadJournal!$A$1:$K$890,COLUMN(HeadJournal!J$1),0))*($K3637+$L3637)/(SUMIF($A:$A,$A3637,$K:$K)+SUMIF($A:$A,$A3637,$L:$L)),0)</f>
        <v>-2.6227249532337661E-15</v>
      </c>
      <c r="O3637" s="30">
        <f>IFERROR((VLOOKUP($A3637,HeadJournal!$A$1:$L$890,COLUMN(HeadJournal!L$1),0)*($K3637+$L3637)/(SUMIF($A:$A,$A3637,$K:$K)+SUMIF($A:$A,$A3637,$L:$L)))/VLOOKUP($A3637,HeadJournal!$A$1:$L$890,COLUMN(HeadJournal!H$1),0),0)</f>
        <v>0.36682558736309123</v>
      </c>
      <c r="P3637" s="30">
        <f>IFERROR(SUM(K3637:O3637)*VLOOKUP($A3637,HeadJournal!$A$1:$L$890,COLUMN(HeadJournal!H$1),0),0)</f>
        <v>805.98551972331245</v>
      </c>
      <c r="Q3637" s="29">
        <v>1900</v>
      </c>
      <c r="R3637" s="31">
        <v>45530</v>
      </c>
      <c r="S3637" s="31" t="s">
        <v>3121</v>
      </c>
      <c r="T3637" s="95" t="str">
        <f t="shared" si="288"/>
        <v>2024 08</v>
      </c>
      <c r="U3637" s="32">
        <f t="shared" si="285"/>
        <v>1094.0144802766877</v>
      </c>
      <c r="V3637" s="22">
        <f t="shared" si="286"/>
        <v>1.3573624506954578</v>
      </c>
      <c r="X3637" s="33"/>
      <c r="Y3637" s="33"/>
    </row>
    <row r="3638" spans="1:25" x14ac:dyDescent="0.2">
      <c r="A3638" s="93" t="s">
        <v>1931</v>
      </c>
      <c r="B3638" s="94" t="str">
        <f>IFERROR(VLOOKUP($A3638,HeadJournal!$A$1:$NTR$890,COLUMN(HeadJournal!B$1),0),"")</f>
        <v>720000316216</v>
      </c>
      <c r="C3638" s="94" t="str">
        <f>IFERROR(VLOOKUP($A3638,HeadJournal!$A$1:$NTR$890,COLUMN(HeadJournal!C$1),0),"")</f>
        <v>iHerb_AV CYG0792</v>
      </c>
      <c r="D3638" s="125" t="str">
        <f>IFERROR(VLOOKUP($A3638,HeadJournal!$A$1:$NTR$890,COLUMN(HeadJournal!D$1),0),"")</f>
        <v>Доставлен</v>
      </c>
      <c r="E3638" s="95">
        <f>IFERROR(VLOOKUP($A3638,HeadJournal!$A$1:$NTR$890,COLUMN(HeadJournal!G$1),0),"")</f>
        <v>45504</v>
      </c>
      <c r="F3638" s="95" t="str">
        <f t="shared" si="287"/>
        <v>2024 07</v>
      </c>
      <c r="G3638" s="96" t="s">
        <v>5</v>
      </c>
      <c r="H3638" s="161" t="s">
        <v>2709</v>
      </c>
      <c r="I3638" s="97" t="s">
        <v>2052</v>
      </c>
      <c r="J3638" s="97" t="s">
        <v>2710</v>
      </c>
      <c r="K3638" s="29">
        <v>13.71</v>
      </c>
      <c r="L3638" s="29">
        <v>-5.4833333333333334</v>
      </c>
      <c r="M3638" s="30">
        <f>IFERROR(VLOOKUP($A3638,HeadJournal!$A$1:$J$890,COLUMN(HeadJournal!I$1),0)*($K3638+$L3638)/(SUMIF($A:$A,$A3638,$K:$K)+SUMIF($A:$A,$A3638,$L:$L)),0)</f>
        <v>-0.44017049915872114</v>
      </c>
      <c r="N3638" s="30">
        <f>IFERROR((VLOOKUP($A3638,HeadJournal!$A$1:$K$890,COLUMN(HeadJournal!K$1),0)-VLOOKUP($A3638,HeadJournal!$A$1:$K$890,COLUMN(HeadJournal!J$1),0))*($K3638+$L3638)/(SUMIF($A:$A,$A3638,$K:$K)+SUMIF($A:$A,$A3638,$L:$L)),0)</f>
        <v>-2.6227249532337661E-15</v>
      </c>
      <c r="O3638" s="30">
        <f>IFERROR((VLOOKUP($A3638,HeadJournal!$A$1:$L$890,COLUMN(HeadJournal!L$1),0)*($K3638+$L3638)/(SUMIF($A:$A,$A3638,$K:$K)+SUMIF($A:$A,$A3638,$L:$L)))/VLOOKUP($A3638,HeadJournal!$A$1:$L$890,COLUMN(HeadJournal!H$1),0),0)</f>
        <v>0.36682558736309123</v>
      </c>
      <c r="P3638" s="30">
        <f>IFERROR(SUM(K3638:O3638)*VLOOKUP($A3638,HeadJournal!$A$1:$L$890,COLUMN(HeadJournal!H$1),0),0)</f>
        <v>805.98551972331245</v>
      </c>
      <c r="Q3638" s="29">
        <v>1800</v>
      </c>
      <c r="R3638" s="31">
        <v>45530</v>
      </c>
      <c r="S3638" s="31" t="s">
        <v>3121</v>
      </c>
      <c r="T3638" s="95" t="str">
        <f t="shared" si="288"/>
        <v>2024 08</v>
      </c>
      <c r="U3638" s="32">
        <f t="shared" si="285"/>
        <v>994.01448027668755</v>
      </c>
      <c r="V3638" s="22">
        <f t="shared" si="286"/>
        <v>1.2332907427641178</v>
      </c>
      <c r="X3638" s="33"/>
      <c r="Y3638" s="33"/>
    </row>
    <row r="3639" spans="1:25" x14ac:dyDescent="0.2">
      <c r="A3639" s="93" t="s">
        <v>1931</v>
      </c>
      <c r="B3639" s="94" t="str">
        <f>IFERROR(VLOOKUP($A3639,HeadJournal!$A$1:$NTR$890,COLUMN(HeadJournal!B$1),0),"")</f>
        <v>720000316216</v>
      </c>
      <c r="C3639" s="94" t="str">
        <f>IFERROR(VLOOKUP($A3639,HeadJournal!$A$1:$NTR$890,COLUMN(HeadJournal!C$1),0),"")</f>
        <v>iHerb_AV CYG0792</v>
      </c>
      <c r="D3639" s="125" t="str">
        <f>IFERROR(VLOOKUP($A3639,HeadJournal!$A$1:$NTR$890,COLUMN(HeadJournal!D$1),0),"")</f>
        <v>Доставлен</v>
      </c>
      <c r="E3639" s="95">
        <f>IFERROR(VLOOKUP($A3639,HeadJournal!$A$1:$NTR$890,COLUMN(HeadJournal!G$1),0),"")</f>
        <v>45504</v>
      </c>
      <c r="F3639" s="95" t="str">
        <f t="shared" si="287"/>
        <v>2024 07</v>
      </c>
      <c r="G3639" s="96" t="s">
        <v>5</v>
      </c>
      <c r="H3639" s="161" t="s">
        <v>2709</v>
      </c>
      <c r="I3639" s="97" t="s">
        <v>2052</v>
      </c>
      <c r="J3639" s="97" t="s">
        <v>2710</v>
      </c>
      <c r="K3639" s="29">
        <v>13.71</v>
      </c>
      <c r="L3639" s="29">
        <v>-5.4833333333333334</v>
      </c>
      <c r="M3639" s="30">
        <f>IFERROR(VLOOKUP($A3639,HeadJournal!$A$1:$J$890,COLUMN(HeadJournal!I$1),0)*($K3639+$L3639)/(SUMIF($A:$A,$A3639,$K:$K)+SUMIF($A:$A,$A3639,$L:$L)),0)</f>
        <v>-0.44017049915872114</v>
      </c>
      <c r="N3639" s="30">
        <f>IFERROR((VLOOKUP($A3639,HeadJournal!$A$1:$K$890,COLUMN(HeadJournal!K$1),0)-VLOOKUP($A3639,HeadJournal!$A$1:$K$890,COLUMN(HeadJournal!J$1),0))*($K3639+$L3639)/(SUMIF($A:$A,$A3639,$K:$K)+SUMIF($A:$A,$A3639,$L:$L)),0)</f>
        <v>-2.6227249532337661E-15</v>
      </c>
      <c r="O3639" s="30">
        <f>IFERROR((VLOOKUP($A3639,HeadJournal!$A$1:$L$890,COLUMN(HeadJournal!L$1),0)*($K3639+$L3639)/(SUMIF($A:$A,$A3639,$K:$K)+SUMIF($A:$A,$A3639,$L:$L)))/VLOOKUP($A3639,HeadJournal!$A$1:$L$890,COLUMN(HeadJournal!H$1),0),0)</f>
        <v>0.36682558736309123</v>
      </c>
      <c r="P3639" s="30">
        <f>IFERROR(SUM(K3639:O3639)*VLOOKUP($A3639,HeadJournal!$A$1:$L$890,COLUMN(HeadJournal!H$1),0),0)</f>
        <v>805.98551972331245</v>
      </c>
      <c r="Q3639" s="29">
        <v>1900</v>
      </c>
      <c r="R3639" s="31">
        <v>45794</v>
      </c>
      <c r="S3639" s="31" t="s">
        <v>3121</v>
      </c>
      <c r="T3639" s="95" t="str">
        <f t="shared" si="288"/>
        <v>2025 05</v>
      </c>
      <c r="U3639" s="32">
        <f t="shared" si="285"/>
        <v>1094.0144802766877</v>
      </c>
      <c r="V3639" s="22">
        <f t="shared" si="286"/>
        <v>1.3573624506954578</v>
      </c>
      <c r="X3639" s="33"/>
      <c r="Y3639" s="33"/>
    </row>
    <row r="3640" spans="1:25" x14ac:dyDescent="0.2">
      <c r="A3640" s="93" t="s">
        <v>1931</v>
      </c>
      <c r="B3640" s="94" t="str">
        <f>IFERROR(VLOOKUP($A3640,HeadJournal!$A$1:$NTR$890,COLUMN(HeadJournal!B$1),0),"")</f>
        <v>720000316216</v>
      </c>
      <c r="C3640" s="94" t="str">
        <f>IFERROR(VLOOKUP($A3640,HeadJournal!$A$1:$NTR$890,COLUMN(HeadJournal!C$1),0),"")</f>
        <v>iHerb_AV CYG0792</v>
      </c>
      <c r="D3640" s="125" t="str">
        <f>IFERROR(VLOOKUP($A3640,HeadJournal!$A$1:$NTR$890,COLUMN(HeadJournal!D$1),0),"")</f>
        <v>Доставлен</v>
      </c>
      <c r="E3640" s="95">
        <f>IFERROR(VLOOKUP($A3640,HeadJournal!$A$1:$NTR$890,COLUMN(HeadJournal!G$1),0),"")</f>
        <v>45504</v>
      </c>
      <c r="F3640" s="95" t="str">
        <f t="shared" si="287"/>
        <v>2024 07</v>
      </c>
      <c r="G3640" s="96" t="s">
        <v>5</v>
      </c>
      <c r="H3640" s="160" t="str">
        <f>RIGHT(Journal!$J3640,9)</f>
        <v>CGN-01796</v>
      </c>
      <c r="I3640" s="127" t="str">
        <f t="shared" ref="I3640:I3693" si="289">IFERROR(LEFT(J3640,FIND(",",J3640)-1),"")</f>
        <v>California Gold Nutrition</v>
      </c>
      <c r="J3640" s="97" t="s">
        <v>1934</v>
      </c>
      <c r="K3640" s="29">
        <v>23.61</v>
      </c>
      <c r="L3640" s="29">
        <v>-9.44</v>
      </c>
      <c r="M3640" s="30">
        <f>IFERROR(VLOOKUP($A3640,HeadJournal!$A$1:$J$890,COLUMN(HeadJournal!I$1),0)*($K3640+$L3640)/(SUMIF($A:$A,$A3640,$K:$K)+SUMIF($A:$A,$A3640,$L:$L)),0)</f>
        <v>-0.75817049915872103</v>
      </c>
      <c r="N3640" s="30">
        <f>IFERROR((VLOOKUP($A3640,HeadJournal!$A$1:$K$890,COLUMN(HeadJournal!K$1),0)-VLOOKUP($A3640,HeadJournal!$A$1:$K$890,COLUMN(HeadJournal!J$1),0))*($K3640+$L3640)/(SUMIF($A:$A,$A3640,$K:$K)+SUMIF($A:$A,$A3640,$L:$L)),0)</f>
        <v>-4.5175055819273658E-15</v>
      </c>
      <c r="O3640" s="30">
        <f>IFERROR((VLOOKUP($A3640,HeadJournal!$A$1:$L$890,COLUMN(HeadJournal!L$1),0)*($K3640+$L3640)/(SUMIF($A:$A,$A3640,$K:$K)+SUMIF($A:$A,$A3640,$L:$L)))/VLOOKUP($A3640,HeadJournal!$A$1:$L$890,COLUMN(HeadJournal!H$1),0),0)</f>
        <v>0.63183775197751235</v>
      </c>
      <c r="P3640" s="30">
        <f>IFERROR(SUM(K3640:O3640)*VLOOKUP($A3640,HeadJournal!$A$1:$L$890,COLUMN(HeadJournal!H$1),0),0)</f>
        <v>1388.2676030566452</v>
      </c>
      <c r="Q3640" s="29"/>
      <c r="R3640" s="31"/>
      <c r="S3640" s="31"/>
      <c r="T3640" s="95" t="str">
        <f t="shared" si="288"/>
        <v/>
      </c>
      <c r="U3640" s="32">
        <f t="shared" si="285"/>
        <v>-1388.2676030566452</v>
      </c>
      <c r="V3640" s="22" t="str">
        <f t="shared" si="286"/>
        <v/>
      </c>
      <c r="X3640" s="33"/>
      <c r="Y3640" s="33"/>
    </row>
    <row r="3641" spans="1:25" x14ac:dyDescent="0.2">
      <c r="A3641" s="93" t="s">
        <v>1931</v>
      </c>
      <c r="B3641" s="94" t="str">
        <f>IFERROR(VLOOKUP($A3641,HeadJournal!$A$1:$NTR$890,COLUMN(HeadJournal!B$1),0),"")</f>
        <v>720000316216</v>
      </c>
      <c r="C3641" s="94" t="str">
        <f>IFERROR(VLOOKUP($A3641,HeadJournal!$A$1:$NTR$890,COLUMN(HeadJournal!C$1),0),"")</f>
        <v>iHerb_AV CYG0792</v>
      </c>
      <c r="D3641" s="125" t="str">
        <f>IFERROR(VLOOKUP($A3641,HeadJournal!$A$1:$NTR$890,COLUMN(HeadJournal!D$1),0),"")</f>
        <v>Доставлен</v>
      </c>
      <c r="E3641" s="95">
        <f>IFERROR(VLOOKUP($A3641,HeadJournal!$A$1:$NTR$890,COLUMN(HeadJournal!G$1),0),"")</f>
        <v>45504</v>
      </c>
      <c r="F3641" s="95" t="str">
        <f t="shared" si="287"/>
        <v>2024 07</v>
      </c>
      <c r="G3641" s="96" t="s">
        <v>5</v>
      </c>
      <c r="H3641" s="160" t="str">
        <f>RIGHT(Journal!$J3641,9)</f>
        <v>CGN-01251</v>
      </c>
      <c r="I3641" s="127" t="str">
        <f t="shared" si="289"/>
        <v>California Gold Nutrition</v>
      </c>
      <c r="J3641" s="97" t="s">
        <v>1935</v>
      </c>
      <c r="K3641" s="29">
        <v>11.98</v>
      </c>
      <c r="L3641" s="29">
        <v>-5.99</v>
      </c>
      <c r="M3641" s="30">
        <f>IFERROR(VLOOKUP($A3641,HeadJournal!$A$1:$J$890,COLUMN(HeadJournal!I$1),0)*($K3641+$L3641)/(SUMIF($A:$A,$A3641,$K:$K)+SUMIF($A:$A,$A3641,$L:$L)),0)</f>
        <v>-0.32049691531127306</v>
      </c>
      <c r="N3641" s="30">
        <f>IFERROR((VLOOKUP($A3641,HeadJournal!$A$1:$K$890,COLUMN(HeadJournal!K$1),0)-VLOOKUP($A3641,HeadJournal!$A$1:$K$890,COLUMN(HeadJournal!J$1),0))*($K3641+$L3641)/(SUMIF($A:$A,$A3641,$K:$K)+SUMIF($A:$A,$A3641,$L:$L)),0)</f>
        <v>-1.9096583229177786E-15</v>
      </c>
      <c r="O3641" s="30">
        <f>IFERROR((VLOOKUP($A3641,HeadJournal!$A$1:$L$890,COLUMN(HeadJournal!L$1),0)*($K3641+$L3641)/(SUMIF($A:$A,$A3641,$K:$K)+SUMIF($A:$A,$A3641,$L:$L)))/VLOOKUP($A3641,HeadJournal!$A$1:$L$890,COLUMN(HeadJournal!H$1),0),0)</f>
        <v>0.26709302288957659</v>
      </c>
      <c r="P3641" s="30">
        <f>IFERROR(SUM(K3641:O3641)*VLOOKUP($A3641,HeadJournal!$A$1:$L$890,COLUMN(HeadJournal!H$1),0),0)</f>
        <v>586.85412436904062</v>
      </c>
      <c r="Q3641" s="29">
        <v>1400</v>
      </c>
      <c r="R3641" s="31">
        <v>45906</v>
      </c>
      <c r="S3641" s="31" t="s">
        <v>3325</v>
      </c>
      <c r="T3641" s="95" t="str">
        <f t="shared" si="288"/>
        <v>2025 09</v>
      </c>
      <c r="U3641" s="32">
        <f t="shared" si="285"/>
        <v>813.14587563095938</v>
      </c>
      <c r="V3641" s="22">
        <f t="shared" si="286"/>
        <v>1.3856013647432699</v>
      </c>
      <c r="X3641" s="33"/>
      <c r="Y3641" s="33"/>
    </row>
    <row r="3642" spans="1:25" x14ac:dyDescent="0.2">
      <c r="A3642" s="93" t="s">
        <v>1931</v>
      </c>
      <c r="B3642" s="94" t="str">
        <f>IFERROR(VLOOKUP($A3642,HeadJournal!$A$1:$NTR$890,COLUMN(HeadJournal!B$1),0),"")</f>
        <v>720000316216</v>
      </c>
      <c r="C3642" s="94" t="str">
        <f>IFERROR(VLOOKUP($A3642,HeadJournal!$A$1:$NTR$890,COLUMN(HeadJournal!C$1),0),"")</f>
        <v>iHerb_AV CYG0792</v>
      </c>
      <c r="D3642" s="125" t="str">
        <f>IFERROR(VLOOKUP($A3642,HeadJournal!$A$1:$NTR$890,COLUMN(HeadJournal!D$1),0),"")</f>
        <v>Доставлен</v>
      </c>
      <c r="E3642" s="95">
        <f>IFERROR(VLOOKUP($A3642,HeadJournal!$A$1:$NTR$890,COLUMN(HeadJournal!G$1),0),"")</f>
        <v>45504</v>
      </c>
      <c r="F3642" s="95" t="str">
        <f t="shared" si="287"/>
        <v>2024 07</v>
      </c>
      <c r="G3642" s="96" t="s">
        <v>5</v>
      </c>
      <c r="H3642" s="161" t="s">
        <v>2565</v>
      </c>
      <c r="I3642" s="97" t="s">
        <v>2052</v>
      </c>
      <c r="J3642" s="97" t="s">
        <v>3829</v>
      </c>
      <c r="K3642" s="29">
        <v>31.02</v>
      </c>
      <c r="L3642" s="29">
        <v>-9.3049999999999997</v>
      </c>
      <c r="M3642" s="30">
        <f>IFERROR(VLOOKUP($A3642,HeadJournal!$A$1:$J$890,COLUMN(HeadJournal!I$1),0)*($K3642+$L3642)/(SUMIF($A:$A,$A3642,$K:$K)+SUMIF($A:$A,$A3642,$L:$L)),0)</f>
        <v>-1.1618681996634881</v>
      </c>
      <c r="N3642" s="30">
        <f>IFERROR((VLOOKUP($A3642,HeadJournal!$A$1:$K$890,COLUMN(HeadJournal!K$1),0)-VLOOKUP($A3642,HeadJournal!$A$1:$K$890,COLUMN(HeadJournal!J$1),0))*($K3642+$L3642)/(SUMIF($A:$A,$A3642,$K:$K)+SUMIF($A:$A,$A3642,$L:$L)),0)</f>
        <v>-6.9229099302436668E-15</v>
      </c>
      <c r="O3642" s="30">
        <f>IFERROR((VLOOKUP($A3642,HeadJournal!$A$1:$L$890,COLUMN(HeadJournal!L$1),0)*($K3642+$L3642)/(SUMIF($A:$A,$A3642,$K:$K)+SUMIF($A:$A,$A3642,$L:$L)))/VLOOKUP($A3642,HeadJournal!$A$1:$L$890,COLUMN(HeadJournal!H$1),0),0)</f>
        <v>0.96826794524994242</v>
      </c>
      <c r="P3642" s="30">
        <f>IFERROR(SUM(K3642:O3642)*VLOOKUP($A3642,HeadJournal!$A$1:$L$890,COLUMN(HeadJournal!H$1),0),0)</f>
        <v>2127.4686662226572</v>
      </c>
      <c r="Q3642" s="29">
        <v>3300</v>
      </c>
      <c r="R3642" s="31">
        <v>45561</v>
      </c>
      <c r="S3642" s="31" t="s">
        <v>3121</v>
      </c>
      <c r="T3642" s="95" t="str">
        <f t="shared" si="288"/>
        <v>2024 09</v>
      </c>
      <c r="U3642" s="32">
        <f t="shared" si="285"/>
        <v>1172.5313337773428</v>
      </c>
      <c r="V3642" s="22">
        <f t="shared" si="286"/>
        <v>0.55113917887175479</v>
      </c>
      <c r="X3642" s="33"/>
      <c r="Y3642" s="33"/>
    </row>
    <row r="3643" spans="1:25" x14ac:dyDescent="0.2">
      <c r="A3643" s="93" t="s">
        <v>1931</v>
      </c>
      <c r="B3643" s="94" t="str">
        <f>IFERROR(VLOOKUP($A3643,HeadJournal!$A$1:$NTR$890,COLUMN(HeadJournal!B$1),0),"")</f>
        <v>720000316216</v>
      </c>
      <c r="C3643" s="94" t="str">
        <f>IFERROR(VLOOKUP($A3643,HeadJournal!$A$1:$NTR$890,COLUMN(HeadJournal!C$1),0),"")</f>
        <v>iHerb_AV CYG0792</v>
      </c>
      <c r="D3643" s="125" t="str">
        <f>IFERROR(VLOOKUP($A3643,HeadJournal!$A$1:$NTR$890,COLUMN(HeadJournal!D$1),0),"")</f>
        <v>Доставлен</v>
      </c>
      <c r="E3643" s="95">
        <f>IFERROR(VLOOKUP($A3643,HeadJournal!$A$1:$NTR$890,COLUMN(HeadJournal!G$1),0),"")</f>
        <v>45504</v>
      </c>
      <c r="F3643" s="95" t="str">
        <f t="shared" si="287"/>
        <v>2024 07</v>
      </c>
      <c r="G3643" s="96" t="s">
        <v>5</v>
      </c>
      <c r="H3643" s="161" t="s">
        <v>2565</v>
      </c>
      <c r="I3643" s="97" t="s">
        <v>2052</v>
      </c>
      <c r="J3643" s="97" t="s">
        <v>3829</v>
      </c>
      <c r="K3643" s="29">
        <v>31.02</v>
      </c>
      <c r="L3643" s="29">
        <v>-9.3049999999999997</v>
      </c>
      <c r="M3643" s="30">
        <f>IFERROR(VLOOKUP($A3643,HeadJournal!$A$1:$J$890,COLUMN(HeadJournal!I$1),0)*($K3643+$L3643)/(SUMIF($A:$A,$A3643,$K:$K)+SUMIF($A:$A,$A3643,$L:$L)),0)</f>
        <v>-1.1618681996634881</v>
      </c>
      <c r="N3643" s="30">
        <f>IFERROR((VLOOKUP($A3643,HeadJournal!$A$1:$K$890,COLUMN(HeadJournal!K$1),0)-VLOOKUP($A3643,HeadJournal!$A$1:$K$890,COLUMN(HeadJournal!J$1),0))*($K3643+$L3643)/(SUMIF($A:$A,$A3643,$K:$K)+SUMIF($A:$A,$A3643,$L:$L)),0)</f>
        <v>-6.9229099302436668E-15</v>
      </c>
      <c r="O3643" s="30">
        <f>IFERROR((VLOOKUP($A3643,HeadJournal!$A$1:$L$890,COLUMN(HeadJournal!L$1),0)*($K3643+$L3643)/(SUMIF($A:$A,$A3643,$K:$K)+SUMIF($A:$A,$A3643,$L:$L)))/VLOOKUP($A3643,HeadJournal!$A$1:$L$890,COLUMN(HeadJournal!H$1),0),0)</f>
        <v>0.96826794524994242</v>
      </c>
      <c r="P3643" s="30">
        <f>IFERROR(SUM(K3643:O3643)*VLOOKUP($A3643,HeadJournal!$A$1:$L$890,COLUMN(HeadJournal!H$1),0),0)</f>
        <v>2127.4686662226572</v>
      </c>
      <c r="Q3643" s="29">
        <v>3400</v>
      </c>
      <c r="R3643" s="31">
        <v>45570</v>
      </c>
      <c r="S3643" s="31" t="s">
        <v>3121</v>
      </c>
      <c r="T3643" s="95" t="str">
        <f t="shared" si="288"/>
        <v>2024 10</v>
      </c>
      <c r="U3643" s="32">
        <f t="shared" si="285"/>
        <v>1272.5313337773428</v>
      </c>
      <c r="V3643" s="22">
        <f t="shared" si="286"/>
        <v>0.59814339641332315</v>
      </c>
      <c r="X3643" s="33"/>
      <c r="Y3643" s="33"/>
    </row>
    <row r="3644" spans="1:25" x14ac:dyDescent="0.2">
      <c r="A3644" s="93" t="s">
        <v>1931</v>
      </c>
      <c r="B3644" s="94" t="str">
        <f>IFERROR(VLOOKUP($A3644,HeadJournal!$A$1:$NTR$890,COLUMN(HeadJournal!B$1),0),"")</f>
        <v>720000316216</v>
      </c>
      <c r="C3644" s="94" t="str">
        <f>IFERROR(VLOOKUP($A3644,HeadJournal!$A$1:$NTR$890,COLUMN(HeadJournal!C$1),0),"")</f>
        <v>iHerb_AV CYG0792</v>
      </c>
      <c r="D3644" s="125" t="str">
        <f>IFERROR(VLOOKUP($A3644,HeadJournal!$A$1:$NTR$890,COLUMN(HeadJournal!D$1),0),"")</f>
        <v>Доставлен</v>
      </c>
      <c r="E3644" s="95">
        <f>IFERROR(VLOOKUP($A3644,HeadJournal!$A$1:$NTR$890,COLUMN(HeadJournal!G$1),0),"")</f>
        <v>45504</v>
      </c>
      <c r="F3644" s="95" t="str">
        <f t="shared" si="287"/>
        <v>2024 07</v>
      </c>
      <c r="G3644" s="96" t="s">
        <v>7</v>
      </c>
      <c r="H3644" s="160" t="str">
        <f>RIGHT(Journal!$J3644,9)</f>
        <v>DAV-00001</v>
      </c>
      <c r="I3644" s="127" t="str">
        <f t="shared" si="289"/>
        <v>Davids Natural Toothpaste</v>
      </c>
      <c r="J3644" s="97" t="s">
        <v>1936</v>
      </c>
      <c r="K3644" s="29">
        <v>5.91</v>
      </c>
      <c r="L3644" s="29">
        <v>-1.18</v>
      </c>
      <c r="M3644" s="30">
        <f>IFERROR(VLOOKUP($A3644,HeadJournal!$A$1:$J$890,COLUMN(HeadJournal!I$1),0)*($K3644+$L3644)/(SUMIF($A:$A,$A3644,$K:$K)+SUMIF($A:$A,$A3644,$L:$L)),0)</f>
        <v>-0.25308020190689845</v>
      </c>
      <c r="N3644" s="30">
        <f>IFERROR((VLOOKUP($A3644,HeadJournal!$A$1:$K$890,COLUMN(HeadJournal!K$1),0)-VLOOKUP($A3644,HeadJournal!$A$1:$K$890,COLUMN(HeadJournal!J$1),0))*($K3644+$L3644)/(SUMIF($A:$A,$A3644,$K:$K)+SUMIF($A:$A,$A3644,$L:$L)),0)</f>
        <v>-1.5079605788649572E-15</v>
      </c>
      <c r="O3644" s="30">
        <f>IFERROR((VLOOKUP($A3644,HeadJournal!$A$1:$L$890,COLUMN(HeadJournal!L$1),0)*($K3644+$L3644)/(SUMIF($A:$A,$A3644,$K:$K)+SUMIF($A:$A,$A3644,$L:$L)))/VLOOKUP($A3644,HeadJournal!$A$1:$L$890,COLUMN(HeadJournal!H$1),0),0)</f>
        <v>0.21090984946038349</v>
      </c>
      <c r="P3644" s="30">
        <f>IFERROR(SUM(K3644:O3644)*VLOOKUP($A3644,HeadJournal!$A$1:$L$890,COLUMN(HeadJournal!H$1),0),0)</f>
        <v>463.4090164049353</v>
      </c>
      <c r="Q3644" s="29"/>
      <c r="R3644" s="31"/>
      <c r="S3644" s="31"/>
      <c r="T3644" s="95" t="str">
        <f t="shared" si="288"/>
        <v/>
      </c>
      <c r="U3644" s="32">
        <f t="shared" si="285"/>
        <v>-463.4090164049353</v>
      </c>
      <c r="V3644" s="22" t="str">
        <f t="shared" si="286"/>
        <v/>
      </c>
      <c r="X3644" s="33"/>
      <c r="Y3644" s="33"/>
    </row>
    <row r="3645" spans="1:25" x14ac:dyDescent="0.2">
      <c r="A3645" s="93" t="s">
        <v>1931</v>
      </c>
      <c r="B3645" s="94" t="str">
        <f>IFERROR(VLOOKUP($A3645,HeadJournal!$A$1:$NTR$890,COLUMN(HeadJournal!B$1),0),"")</f>
        <v>720000316216</v>
      </c>
      <c r="C3645" s="94" t="str">
        <f>IFERROR(VLOOKUP($A3645,HeadJournal!$A$1:$NTR$890,COLUMN(HeadJournal!C$1),0),"")</f>
        <v>iHerb_AV CYG0792</v>
      </c>
      <c r="D3645" s="125" t="str">
        <f>IFERROR(VLOOKUP($A3645,HeadJournal!$A$1:$NTR$890,COLUMN(HeadJournal!D$1),0),"")</f>
        <v>Доставлен</v>
      </c>
      <c r="E3645" s="95">
        <f>IFERROR(VLOOKUP($A3645,HeadJournal!$A$1:$NTR$890,COLUMN(HeadJournal!G$1),0),"")</f>
        <v>45504</v>
      </c>
      <c r="F3645" s="95" t="str">
        <f t="shared" si="287"/>
        <v>2024 07</v>
      </c>
      <c r="G3645" s="96" t="s">
        <v>5</v>
      </c>
      <c r="H3645" s="175" t="s">
        <v>3637</v>
      </c>
      <c r="I3645" s="176" t="s">
        <v>2048</v>
      </c>
      <c r="J3645" s="97" t="s">
        <v>3682</v>
      </c>
      <c r="K3645" s="29">
        <v>19</v>
      </c>
      <c r="L3645" s="29">
        <v>-7.6</v>
      </c>
      <c r="M3645" s="30">
        <f>IFERROR(VLOOKUP($A3645,HeadJournal!$A$1:$J$890,COLUMN(HeadJournal!I$1),0)*($K3645+$L3645)/(SUMIF($A:$A,$A3645,$K:$K)+SUMIF($A:$A,$A3645,$L:$L)),0)</f>
        <v>-0.60996074032529435</v>
      </c>
      <c r="N3645" s="30">
        <f>IFERROR((VLOOKUP($A3645,HeadJournal!$A$1:$K$890,COLUMN(HeadJournal!K$1),0)-VLOOKUP($A3645,HeadJournal!$A$1:$K$890,COLUMN(HeadJournal!J$1),0))*($K3645+$L3645)/(SUMIF($A:$A,$A3645,$K:$K)+SUMIF($A:$A,$A3645,$L:$L)),0)</f>
        <v>-3.6344081604779094E-15</v>
      </c>
      <c r="O3645" s="30">
        <f>IFERROR((VLOOKUP($A3645,HeadJournal!$A$1:$L$890,COLUMN(HeadJournal!L$1),0)*($K3645+$L3645)/(SUMIF($A:$A,$A3645,$K:$K)+SUMIF($A:$A,$A3645,$L:$L)))/VLOOKUP($A3645,HeadJournal!$A$1:$L$890,COLUMN(HeadJournal!H$1),0),0)</f>
        <v>0.5083239500736515</v>
      </c>
      <c r="P3645" s="30">
        <f>IFERROR(SUM(K3645:O3645)*VLOOKUP($A3645,HeadJournal!$A$1:$L$890,COLUMN(HeadJournal!H$1),0),0)</f>
        <v>1116.8843101514296</v>
      </c>
      <c r="Q3645" s="29">
        <v>2600</v>
      </c>
      <c r="R3645" s="31">
        <v>45626</v>
      </c>
      <c r="S3645" s="31" t="s">
        <v>3121</v>
      </c>
      <c r="T3645" s="95" t="str">
        <f t="shared" si="288"/>
        <v>2024 11</v>
      </c>
      <c r="U3645" s="32">
        <f t="shared" si="285"/>
        <v>1483.1156898485704</v>
      </c>
      <c r="V3645" s="22">
        <f t="shared" si="286"/>
        <v>1.3279044896310579</v>
      </c>
      <c r="X3645" s="33"/>
      <c r="Y3645" s="33"/>
    </row>
    <row r="3646" spans="1:25" x14ac:dyDescent="0.2">
      <c r="A3646" s="93" t="s">
        <v>1937</v>
      </c>
      <c r="B3646" s="94" t="str">
        <f>IFERROR(VLOOKUP($A3646,HeadJournal!$A$1:$NTR$890,COLUMN(HeadJournal!B$1),0),"")</f>
        <v>720000304255</v>
      </c>
      <c r="C3646" s="94" t="str">
        <f>IFERROR(VLOOKUP($A3646,HeadJournal!$A$1:$NTR$890,COLUMN(HeadJournal!C$1),0),"")</f>
        <v>iHerb_OA CZN6870</v>
      </c>
      <c r="D3646" s="125" t="str">
        <f>IFERROR(VLOOKUP($A3646,HeadJournal!$A$1:$NTR$890,COLUMN(HeadJournal!D$1),0),"")</f>
        <v>Доставлен</v>
      </c>
      <c r="E3646" s="95">
        <f>IFERROR(VLOOKUP($A3646,HeadJournal!$A$1:$NTR$890,COLUMN(HeadJournal!G$1),0),"")</f>
        <v>45496</v>
      </c>
      <c r="F3646" s="95" t="str">
        <f t="shared" si="287"/>
        <v>2024 07</v>
      </c>
      <c r="G3646" s="96" t="s">
        <v>5</v>
      </c>
      <c r="H3646" s="161" t="s">
        <v>2051</v>
      </c>
      <c r="I3646" s="97" t="s">
        <v>2052</v>
      </c>
      <c r="J3646" s="97" t="s">
        <v>3097</v>
      </c>
      <c r="K3646" s="29">
        <v>21.04</v>
      </c>
      <c r="L3646" s="29">
        <v>-6.3125</v>
      </c>
      <c r="M3646" s="30">
        <f>IFERROR(VLOOKUP($A3646,HeadJournal!$A$1:$J$890,COLUMN(HeadJournal!I$1),0)*($K3646+$L3646)/(SUMIF($A:$A,$A3646,$K:$K)+SUMIF($A:$A,$A3646,$L:$L)),0)</f>
        <v>0</v>
      </c>
      <c r="N3646" s="30">
        <f>IFERROR((VLOOKUP($A3646,HeadJournal!$A$1:$K$890,COLUMN(HeadJournal!K$1),0)-VLOOKUP($A3646,HeadJournal!$A$1:$K$890,COLUMN(HeadJournal!J$1),0))*($K3646+$L3646)/(SUMIF($A:$A,$A3646,$K:$K)+SUMIF($A:$A,$A3646,$L:$L)),0)</f>
        <v>0</v>
      </c>
      <c r="O3646" s="30">
        <f>IFERROR((VLOOKUP($A3646,HeadJournal!$A$1:$L$890,COLUMN(HeadJournal!L$1),0)*($K3646+$L3646)/(SUMIF($A:$A,$A3646,$K:$K)+SUMIF($A:$A,$A3646,$L:$L)))/VLOOKUP($A3646,HeadJournal!$A$1:$L$890,COLUMN(HeadJournal!H$1),0),0)</f>
        <v>1.0006383188067387</v>
      </c>
      <c r="P3646" s="30">
        <f>IFERROR(SUM(K3646:O3646)*VLOOKUP($A3646,HeadJournal!$A$1:$L$890,COLUMN(HeadJournal!H$1),0),0)</f>
        <v>1562.8548844064085</v>
      </c>
      <c r="Q3646" s="29">
        <v>2200</v>
      </c>
      <c r="R3646" s="31">
        <v>45528</v>
      </c>
      <c r="S3646" s="31" t="s">
        <v>3121</v>
      </c>
      <c r="T3646" s="95" t="str">
        <f t="shared" si="288"/>
        <v>2024 08</v>
      </c>
      <c r="U3646" s="32">
        <f t="shared" si="285"/>
        <v>637.14511559359153</v>
      </c>
      <c r="V3646" s="22">
        <f t="shared" si="286"/>
        <v>0.40768027918061445</v>
      </c>
      <c r="X3646" s="33"/>
      <c r="Y3646" s="33"/>
    </row>
    <row r="3647" spans="1:25" x14ac:dyDescent="0.2">
      <c r="A3647" s="93" t="s">
        <v>1937</v>
      </c>
      <c r="B3647" s="94" t="str">
        <f>IFERROR(VLOOKUP($A3647,HeadJournal!$A$1:$NTR$890,COLUMN(HeadJournal!B$1),0),"")</f>
        <v>720000304255</v>
      </c>
      <c r="C3647" s="94" t="str">
        <f>IFERROR(VLOOKUP($A3647,HeadJournal!$A$1:$NTR$890,COLUMN(HeadJournal!C$1),0),"")</f>
        <v>iHerb_OA CZN6870</v>
      </c>
      <c r="D3647" s="125" t="str">
        <f>IFERROR(VLOOKUP($A3647,HeadJournal!$A$1:$NTR$890,COLUMN(HeadJournal!D$1),0),"")</f>
        <v>Доставлен</v>
      </c>
      <c r="E3647" s="95">
        <f>IFERROR(VLOOKUP($A3647,HeadJournal!$A$1:$NTR$890,COLUMN(HeadJournal!G$1),0),"")</f>
        <v>45496</v>
      </c>
      <c r="F3647" s="95" t="str">
        <f t="shared" si="287"/>
        <v>2024 07</v>
      </c>
      <c r="G3647" s="96" t="s">
        <v>5</v>
      </c>
      <c r="H3647" s="161" t="s">
        <v>2051</v>
      </c>
      <c r="I3647" s="97" t="s">
        <v>2052</v>
      </c>
      <c r="J3647" s="97" t="s">
        <v>3097</v>
      </c>
      <c r="K3647" s="29">
        <v>21.04</v>
      </c>
      <c r="L3647" s="29">
        <v>-6.3125</v>
      </c>
      <c r="M3647" s="30">
        <f>IFERROR(VLOOKUP($A3647,HeadJournal!$A$1:$J$890,COLUMN(HeadJournal!I$1),0)*($K3647+$L3647)/(SUMIF($A:$A,$A3647,$K:$K)+SUMIF($A:$A,$A3647,$L:$L)),0)</f>
        <v>0</v>
      </c>
      <c r="N3647" s="30">
        <f>IFERROR((VLOOKUP($A3647,HeadJournal!$A$1:$K$890,COLUMN(HeadJournal!K$1),0)-VLOOKUP($A3647,HeadJournal!$A$1:$K$890,COLUMN(HeadJournal!J$1),0))*($K3647+$L3647)/(SUMIF($A:$A,$A3647,$K:$K)+SUMIF($A:$A,$A3647,$L:$L)),0)</f>
        <v>0</v>
      </c>
      <c r="O3647" s="30">
        <f>IFERROR((VLOOKUP($A3647,HeadJournal!$A$1:$L$890,COLUMN(HeadJournal!L$1),0)*($K3647+$L3647)/(SUMIF($A:$A,$A3647,$K:$K)+SUMIF($A:$A,$A3647,$L:$L)))/VLOOKUP($A3647,HeadJournal!$A$1:$L$890,COLUMN(HeadJournal!H$1),0),0)</f>
        <v>1.0006383188067387</v>
      </c>
      <c r="P3647" s="30">
        <f>IFERROR(SUM(K3647:O3647)*VLOOKUP($A3647,HeadJournal!$A$1:$L$890,COLUMN(HeadJournal!H$1),0),0)</f>
        <v>1562.8548844064085</v>
      </c>
      <c r="Q3647" s="29">
        <v>2300</v>
      </c>
      <c r="R3647" s="31">
        <v>45548</v>
      </c>
      <c r="S3647" s="31" t="s">
        <v>3121</v>
      </c>
      <c r="T3647" s="95" t="str">
        <f t="shared" si="288"/>
        <v>2024 09</v>
      </c>
      <c r="U3647" s="32">
        <f t="shared" si="285"/>
        <v>737.14511559359153</v>
      </c>
      <c r="V3647" s="22">
        <f t="shared" si="286"/>
        <v>0.47166574641609693</v>
      </c>
      <c r="X3647" s="33"/>
      <c r="Y3647" s="33"/>
    </row>
    <row r="3648" spans="1:25" x14ac:dyDescent="0.2">
      <c r="A3648" s="93" t="s">
        <v>1937</v>
      </c>
      <c r="B3648" s="94" t="str">
        <f>IFERROR(VLOOKUP($A3648,HeadJournal!$A$1:$NTR$890,COLUMN(HeadJournal!B$1),0),"")</f>
        <v>720000304255</v>
      </c>
      <c r="C3648" s="94" t="str">
        <f>IFERROR(VLOOKUP($A3648,HeadJournal!$A$1:$NTR$890,COLUMN(HeadJournal!C$1),0),"")</f>
        <v>iHerb_OA CZN6870</v>
      </c>
      <c r="D3648" s="125" t="str">
        <f>IFERROR(VLOOKUP($A3648,HeadJournal!$A$1:$NTR$890,COLUMN(HeadJournal!D$1),0),"")</f>
        <v>Доставлен</v>
      </c>
      <c r="E3648" s="95">
        <f>IFERROR(VLOOKUP($A3648,HeadJournal!$A$1:$NTR$890,COLUMN(HeadJournal!G$1),0),"")</f>
        <v>45496</v>
      </c>
      <c r="F3648" s="95" t="str">
        <f t="shared" si="287"/>
        <v>2024 07</v>
      </c>
      <c r="G3648" s="96" t="s">
        <v>5</v>
      </c>
      <c r="H3648" s="161" t="s">
        <v>2051</v>
      </c>
      <c r="I3648" s="97" t="s">
        <v>2052</v>
      </c>
      <c r="J3648" s="97" t="s">
        <v>3097</v>
      </c>
      <c r="K3648" s="29">
        <v>21.04</v>
      </c>
      <c r="L3648" s="29">
        <v>-6.3125</v>
      </c>
      <c r="M3648" s="30">
        <f>IFERROR(VLOOKUP($A3648,HeadJournal!$A$1:$J$890,COLUMN(HeadJournal!I$1),0)*($K3648+$L3648)/(SUMIF($A:$A,$A3648,$K:$K)+SUMIF($A:$A,$A3648,$L:$L)),0)</f>
        <v>0</v>
      </c>
      <c r="N3648" s="30">
        <f>IFERROR((VLOOKUP($A3648,HeadJournal!$A$1:$K$890,COLUMN(HeadJournal!K$1),0)-VLOOKUP($A3648,HeadJournal!$A$1:$K$890,COLUMN(HeadJournal!J$1),0))*($K3648+$L3648)/(SUMIF($A:$A,$A3648,$K:$K)+SUMIF($A:$A,$A3648,$L:$L)),0)</f>
        <v>0</v>
      </c>
      <c r="O3648" s="30">
        <f>IFERROR((VLOOKUP($A3648,HeadJournal!$A$1:$L$890,COLUMN(HeadJournal!L$1),0)*($K3648+$L3648)/(SUMIF($A:$A,$A3648,$K:$K)+SUMIF($A:$A,$A3648,$L:$L)))/VLOOKUP($A3648,HeadJournal!$A$1:$L$890,COLUMN(HeadJournal!H$1),0),0)</f>
        <v>1.0006383188067387</v>
      </c>
      <c r="P3648" s="30">
        <f>IFERROR(SUM(K3648:O3648)*VLOOKUP($A3648,HeadJournal!$A$1:$L$890,COLUMN(HeadJournal!H$1),0),0)</f>
        <v>1562.8548844064085</v>
      </c>
      <c r="Q3648" s="29">
        <v>2300</v>
      </c>
      <c r="R3648" s="31">
        <v>45548</v>
      </c>
      <c r="S3648" s="31" t="s">
        <v>3121</v>
      </c>
      <c r="T3648" s="95" t="str">
        <f t="shared" si="288"/>
        <v>2024 09</v>
      </c>
      <c r="U3648" s="32">
        <f t="shared" si="285"/>
        <v>737.14511559359153</v>
      </c>
      <c r="V3648" s="22">
        <f t="shared" si="286"/>
        <v>0.47166574641609693</v>
      </c>
      <c r="X3648" s="33"/>
      <c r="Y3648" s="33"/>
    </row>
    <row r="3649" spans="1:25" x14ac:dyDescent="0.2">
      <c r="A3649" s="93" t="s">
        <v>1937</v>
      </c>
      <c r="B3649" s="94" t="str">
        <f>IFERROR(VLOOKUP($A3649,HeadJournal!$A$1:$NTR$890,COLUMN(HeadJournal!B$1),0),"")</f>
        <v>720000304255</v>
      </c>
      <c r="C3649" s="94" t="str">
        <f>IFERROR(VLOOKUP($A3649,HeadJournal!$A$1:$NTR$890,COLUMN(HeadJournal!C$1),0),"")</f>
        <v>iHerb_OA CZN6870</v>
      </c>
      <c r="D3649" s="125" t="str">
        <f>IFERROR(VLOOKUP($A3649,HeadJournal!$A$1:$NTR$890,COLUMN(HeadJournal!D$1),0),"")</f>
        <v>Доставлен</v>
      </c>
      <c r="E3649" s="95">
        <f>IFERROR(VLOOKUP($A3649,HeadJournal!$A$1:$NTR$890,COLUMN(HeadJournal!G$1),0),"")</f>
        <v>45496</v>
      </c>
      <c r="F3649" s="95" t="str">
        <f t="shared" si="287"/>
        <v>2024 07</v>
      </c>
      <c r="G3649" s="96" t="s">
        <v>5</v>
      </c>
      <c r="H3649" s="161" t="s">
        <v>2051</v>
      </c>
      <c r="I3649" s="97" t="s">
        <v>2052</v>
      </c>
      <c r="J3649" s="97" t="s">
        <v>3097</v>
      </c>
      <c r="K3649" s="29">
        <v>21.04</v>
      </c>
      <c r="L3649" s="29">
        <v>-6.3125</v>
      </c>
      <c r="M3649" s="30">
        <f>IFERROR(VLOOKUP($A3649,HeadJournal!$A$1:$J$890,COLUMN(HeadJournal!I$1),0)*($K3649+$L3649)/(SUMIF($A:$A,$A3649,$K:$K)+SUMIF($A:$A,$A3649,$L:$L)),0)</f>
        <v>0</v>
      </c>
      <c r="N3649" s="30">
        <f>IFERROR((VLOOKUP($A3649,HeadJournal!$A$1:$K$890,COLUMN(HeadJournal!K$1),0)-VLOOKUP($A3649,HeadJournal!$A$1:$K$890,COLUMN(HeadJournal!J$1),0))*($K3649+$L3649)/(SUMIF($A:$A,$A3649,$K:$K)+SUMIF($A:$A,$A3649,$L:$L)),0)</f>
        <v>0</v>
      </c>
      <c r="O3649" s="30">
        <f>IFERROR((VLOOKUP($A3649,HeadJournal!$A$1:$L$890,COLUMN(HeadJournal!L$1),0)*($K3649+$L3649)/(SUMIF($A:$A,$A3649,$K:$K)+SUMIF($A:$A,$A3649,$L:$L)))/VLOOKUP($A3649,HeadJournal!$A$1:$L$890,COLUMN(HeadJournal!H$1),0),0)</f>
        <v>1.0006383188067387</v>
      </c>
      <c r="P3649" s="30">
        <f>IFERROR(SUM(K3649:O3649)*VLOOKUP($A3649,HeadJournal!$A$1:$L$890,COLUMN(HeadJournal!H$1),0),0)</f>
        <v>1562.8548844064085</v>
      </c>
      <c r="Q3649" s="29">
        <v>2300</v>
      </c>
      <c r="R3649" s="31">
        <v>45551</v>
      </c>
      <c r="S3649" s="31" t="s">
        <v>3121</v>
      </c>
      <c r="T3649" s="95" t="str">
        <f t="shared" si="288"/>
        <v>2024 09</v>
      </c>
      <c r="U3649" s="32">
        <f t="shared" ref="U3649:U3712" si="290">Q3649-P3649</f>
        <v>737.14511559359153</v>
      </c>
      <c r="V3649" s="22">
        <f t="shared" ref="V3649:V3712" si="291">IF(Q3649&lt;&gt;0,IFERROR(U3649/P3649,""),"")</f>
        <v>0.47166574641609693</v>
      </c>
      <c r="X3649" s="33"/>
      <c r="Y3649" s="33"/>
    </row>
    <row r="3650" spans="1:25" x14ac:dyDescent="0.2">
      <c r="A3650" s="93" t="s">
        <v>1937</v>
      </c>
      <c r="B3650" s="94" t="str">
        <f>IFERROR(VLOOKUP($A3650,HeadJournal!$A$1:$NTR$890,COLUMN(HeadJournal!B$1),0),"")</f>
        <v>720000304255</v>
      </c>
      <c r="C3650" s="94" t="str">
        <f>IFERROR(VLOOKUP($A3650,HeadJournal!$A$1:$NTR$890,COLUMN(HeadJournal!C$1),0),"")</f>
        <v>iHerb_OA CZN6870</v>
      </c>
      <c r="D3650" s="125" t="str">
        <f>IFERROR(VLOOKUP($A3650,HeadJournal!$A$1:$NTR$890,COLUMN(HeadJournal!D$1),0),"")</f>
        <v>Доставлен</v>
      </c>
      <c r="E3650" s="95">
        <f>IFERROR(VLOOKUP($A3650,HeadJournal!$A$1:$NTR$890,COLUMN(HeadJournal!G$1),0),"")</f>
        <v>45496</v>
      </c>
      <c r="F3650" s="95" t="str">
        <f t="shared" si="287"/>
        <v>2024 07</v>
      </c>
      <c r="G3650" s="96" t="s">
        <v>5</v>
      </c>
      <c r="H3650" s="160" t="str">
        <f>RIGHT(Journal!$J3650,9)</f>
        <v>CGN-01842</v>
      </c>
      <c r="I3650" s="127" t="str">
        <f t="shared" si="289"/>
        <v>California Gold Nutrition</v>
      </c>
      <c r="J3650" s="97" t="s">
        <v>143</v>
      </c>
      <c r="K3650" s="29">
        <v>8.5500000000000007</v>
      </c>
      <c r="L3650" s="29">
        <v>-2.57</v>
      </c>
      <c r="M3650" s="30">
        <f>IFERROR(VLOOKUP($A3650,HeadJournal!$A$1:$J$890,COLUMN(HeadJournal!I$1),0)*($K3650+$L3650)/(SUMIF($A:$A,$A3650,$K:$K)+SUMIF($A:$A,$A3650,$L:$L)),0)</f>
        <v>0</v>
      </c>
      <c r="N3650" s="30">
        <f>IFERROR((VLOOKUP($A3650,HeadJournal!$A$1:$K$890,COLUMN(HeadJournal!K$1),0)-VLOOKUP($A3650,HeadJournal!$A$1:$K$890,COLUMN(HeadJournal!J$1),0))*($K3650+$L3650)/(SUMIF($A:$A,$A3650,$K:$K)+SUMIF($A:$A,$A3650,$L:$L)),0)</f>
        <v>0</v>
      </c>
      <c r="O3650" s="30">
        <f>IFERROR((VLOOKUP($A3650,HeadJournal!$A$1:$L$890,COLUMN(HeadJournal!L$1),0)*($K3650+$L3650)/(SUMIF($A:$A,$A3650,$K:$K)+SUMIF($A:$A,$A3650,$L:$L)))/VLOOKUP($A3650,HeadJournal!$A$1:$L$890,COLUMN(HeadJournal!H$1),0),0)</f>
        <v>0.40630230157625513</v>
      </c>
      <c r="P3650" s="30">
        <f>IFERROR(SUM(K3650:O3650)*VLOOKUP($A3650,HeadJournal!$A$1:$L$890,COLUMN(HeadJournal!H$1),0),0)</f>
        <v>634.58646808693413</v>
      </c>
      <c r="Q3650" s="29">
        <v>1000</v>
      </c>
      <c r="R3650" s="31">
        <v>45906</v>
      </c>
      <c r="S3650" s="31" t="s">
        <v>3325</v>
      </c>
      <c r="T3650" s="95" t="str">
        <f t="shared" si="288"/>
        <v>2025 09</v>
      </c>
      <c r="U3650" s="32">
        <f t="shared" si="290"/>
        <v>365.41353191306587</v>
      </c>
      <c r="V3650" s="22">
        <f t="shared" si="291"/>
        <v>0.57582937911466248</v>
      </c>
      <c r="X3650" s="33"/>
      <c r="Y3650" s="33"/>
    </row>
    <row r="3651" spans="1:25" x14ac:dyDescent="0.2">
      <c r="A3651" s="93" t="s">
        <v>1937</v>
      </c>
      <c r="B3651" s="94" t="str">
        <f>IFERROR(VLOOKUP($A3651,HeadJournal!$A$1:$NTR$890,COLUMN(HeadJournal!B$1),0),"")</f>
        <v>720000304255</v>
      </c>
      <c r="C3651" s="94" t="str">
        <f>IFERROR(VLOOKUP($A3651,HeadJournal!$A$1:$NTR$890,COLUMN(HeadJournal!C$1),0),"")</f>
        <v>iHerb_OA CZN6870</v>
      </c>
      <c r="D3651" s="125" t="str">
        <f>IFERROR(VLOOKUP($A3651,HeadJournal!$A$1:$NTR$890,COLUMN(HeadJournal!D$1),0),"")</f>
        <v>Доставлен</v>
      </c>
      <c r="E3651" s="95">
        <f>IFERROR(VLOOKUP($A3651,HeadJournal!$A$1:$NTR$890,COLUMN(HeadJournal!G$1),0),"")</f>
        <v>45496</v>
      </c>
      <c r="F3651" s="95" t="str">
        <f t="shared" si="287"/>
        <v>2024 07</v>
      </c>
      <c r="G3651" s="96" t="s">
        <v>5</v>
      </c>
      <c r="H3651" s="160" t="str">
        <f>RIGHT(Journal!$J3651,9)</f>
        <v>CGN-01856</v>
      </c>
      <c r="I3651" s="127" t="str">
        <f t="shared" si="289"/>
        <v>California Gold Nutrition</v>
      </c>
      <c r="J3651" s="97" t="s">
        <v>309</v>
      </c>
      <c r="K3651" s="29">
        <v>15.95</v>
      </c>
      <c r="L3651" s="29">
        <v>-4.79</v>
      </c>
      <c r="M3651" s="30">
        <f>IFERROR(VLOOKUP($A3651,HeadJournal!$A$1:$J$890,COLUMN(HeadJournal!I$1),0)*($K3651+$L3651)/(SUMIF($A:$A,$A3651,$K:$K)+SUMIF($A:$A,$A3651,$L:$L)),0)</f>
        <v>0</v>
      </c>
      <c r="N3651" s="30">
        <f>IFERROR((VLOOKUP($A3651,HeadJournal!$A$1:$K$890,COLUMN(HeadJournal!K$1),0)-VLOOKUP($A3651,HeadJournal!$A$1:$K$890,COLUMN(HeadJournal!J$1),0))*($K3651+$L3651)/(SUMIF($A:$A,$A3651,$K:$K)+SUMIF($A:$A,$A3651,$L:$L)),0)</f>
        <v>0</v>
      </c>
      <c r="O3651" s="30">
        <f>IFERROR((VLOOKUP($A3651,HeadJournal!$A$1:$L$890,COLUMN(HeadJournal!L$1),0)*($K3651+$L3651)/(SUMIF($A:$A,$A3651,$K:$K)+SUMIF($A:$A,$A3651,$L:$L)))/VLOOKUP($A3651,HeadJournal!$A$1:$L$890,COLUMN(HeadJournal!H$1),0),0)</f>
        <v>0.75824978019916511</v>
      </c>
      <c r="P3651" s="30">
        <f>IFERROR(SUM(K3651:O3651)*VLOOKUP($A3651,HeadJournal!$A$1:$L$890,COLUMN(HeadJournal!H$1),0),0)</f>
        <v>1184.2784253930076</v>
      </c>
      <c r="Q3651" s="29">
        <v>2200</v>
      </c>
      <c r="R3651" s="31">
        <v>45682</v>
      </c>
      <c r="S3651" s="31" t="s">
        <v>3121</v>
      </c>
      <c r="T3651" s="95" t="str">
        <f t="shared" si="288"/>
        <v>2025 01</v>
      </c>
      <c r="U3651" s="32">
        <f t="shared" si="290"/>
        <v>1015.7215746069924</v>
      </c>
      <c r="V3651" s="22">
        <f t="shared" si="291"/>
        <v>0.85767126448319875</v>
      </c>
      <c r="X3651" s="33"/>
      <c r="Y3651" s="33"/>
    </row>
    <row r="3652" spans="1:25" x14ac:dyDescent="0.2">
      <c r="A3652" s="93" t="s">
        <v>1937</v>
      </c>
      <c r="B3652" s="94" t="str">
        <f>IFERROR(VLOOKUP($A3652,HeadJournal!$A$1:$NTR$890,COLUMN(HeadJournal!B$1),0),"")</f>
        <v>720000304255</v>
      </c>
      <c r="C3652" s="94" t="str">
        <f>IFERROR(VLOOKUP($A3652,HeadJournal!$A$1:$NTR$890,COLUMN(HeadJournal!C$1),0),"")</f>
        <v>iHerb_OA CZN6870</v>
      </c>
      <c r="D3652" s="125" t="str">
        <f>IFERROR(VLOOKUP($A3652,HeadJournal!$A$1:$NTR$890,COLUMN(HeadJournal!D$1),0),"")</f>
        <v>Доставлен</v>
      </c>
      <c r="E3652" s="95">
        <f>IFERROR(VLOOKUP($A3652,HeadJournal!$A$1:$NTR$890,COLUMN(HeadJournal!G$1),0),"")</f>
        <v>45496</v>
      </c>
      <c r="F3652" s="95" t="str">
        <f t="shared" ref="F3652:F3715" si="292">IFERROR(TEXT(E3652, "ГГГГ ММ"),"")</f>
        <v>2024 07</v>
      </c>
      <c r="G3652" s="96" t="s">
        <v>5</v>
      </c>
      <c r="H3652" s="160" t="str">
        <f>RIGHT(Journal!$J3652,9)</f>
        <v>CGN-01403</v>
      </c>
      <c r="I3652" s="127" t="str">
        <f t="shared" si="289"/>
        <v>California Gold Nutrition</v>
      </c>
      <c r="J3652" s="97" t="s">
        <v>1939</v>
      </c>
      <c r="K3652" s="29">
        <v>19.22</v>
      </c>
      <c r="L3652" s="29">
        <v>-5.7666666666666666</v>
      </c>
      <c r="M3652" s="30">
        <f>IFERROR(VLOOKUP($A3652,HeadJournal!$A$1:$J$890,COLUMN(HeadJournal!I$1),0)*($K3652+$L3652)/(SUMIF($A:$A,$A3652,$K:$K)+SUMIF($A:$A,$A3652,$L:$L)),0)</f>
        <v>0</v>
      </c>
      <c r="N3652" s="30">
        <f>IFERROR((VLOOKUP($A3652,HeadJournal!$A$1:$K$890,COLUMN(HeadJournal!K$1),0)-VLOOKUP($A3652,HeadJournal!$A$1:$K$890,COLUMN(HeadJournal!J$1),0))*($K3652+$L3652)/(SUMIF($A:$A,$A3652,$K:$K)+SUMIF($A:$A,$A3652,$L:$L)),0)</f>
        <v>0</v>
      </c>
      <c r="O3652" s="30">
        <f>IFERROR((VLOOKUP($A3652,HeadJournal!$A$1:$L$890,COLUMN(HeadJournal!L$1),0)*($K3652+$L3652)/(SUMIF($A:$A,$A3652,$K:$K)+SUMIF($A:$A,$A3652,$L:$L)))/VLOOKUP($A3652,HeadJournal!$A$1:$L$890,COLUMN(HeadJournal!H$1),0),0)</f>
        <v>0.91406693933208782</v>
      </c>
      <c r="P3652" s="30">
        <f>IFERROR(SUM(K3652:O3652)*VLOOKUP($A3652,HeadJournal!$A$1:$L$890,COLUMN(HeadJournal!H$1),0),0)</f>
        <v>1427.6426896314749</v>
      </c>
      <c r="Q3652" s="29">
        <v>2300</v>
      </c>
      <c r="R3652" s="31">
        <v>45530</v>
      </c>
      <c r="S3652" s="31" t="s">
        <v>3121</v>
      </c>
      <c r="T3652" s="95" t="str">
        <f t="shared" ref="T3652:T3715" si="293">IF(R3652="","",TEXT(R3652,"ГГГГ ММ"))</f>
        <v>2024 08</v>
      </c>
      <c r="U3652" s="32">
        <f t="shared" si="290"/>
        <v>872.35731036852508</v>
      </c>
      <c r="V3652" s="22">
        <f t="shared" si="291"/>
        <v>0.6110473696984442</v>
      </c>
      <c r="X3652" s="33"/>
      <c r="Y3652" s="33"/>
    </row>
    <row r="3653" spans="1:25" x14ac:dyDescent="0.2">
      <c r="A3653" s="93" t="s">
        <v>1937</v>
      </c>
      <c r="B3653" s="94" t="str">
        <f>IFERROR(VLOOKUP($A3653,HeadJournal!$A$1:$NTR$890,COLUMN(HeadJournal!B$1),0),"")</f>
        <v>720000304255</v>
      </c>
      <c r="C3653" s="94" t="str">
        <f>IFERROR(VLOOKUP($A3653,HeadJournal!$A$1:$NTR$890,COLUMN(HeadJournal!C$1),0),"")</f>
        <v>iHerb_OA CZN6870</v>
      </c>
      <c r="D3653" s="125" t="str">
        <f>IFERROR(VLOOKUP($A3653,HeadJournal!$A$1:$NTR$890,COLUMN(HeadJournal!D$1),0),"")</f>
        <v>Доставлен</v>
      </c>
      <c r="E3653" s="95">
        <f>IFERROR(VLOOKUP($A3653,HeadJournal!$A$1:$NTR$890,COLUMN(HeadJournal!G$1),0),"")</f>
        <v>45496</v>
      </c>
      <c r="F3653" s="95" t="str">
        <f t="shared" si="292"/>
        <v>2024 07</v>
      </c>
      <c r="G3653" s="96" t="s">
        <v>5</v>
      </c>
      <c r="H3653" s="160" t="str">
        <f>RIGHT(Journal!$J3653,9)</f>
        <v>CGN-01403</v>
      </c>
      <c r="I3653" s="127" t="str">
        <f t="shared" si="289"/>
        <v>California Gold Nutrition</v>
      </c>
      <c r="J3653" s="97" t="s">
        <v>1939</v>
      </c>
      <c r="K3653" s="29">
        <v>19.22</v>
      </c>
      <c r="L3653" s="29">
        <v>-5.7666666666666666</v>
      </c>
      <c r="M3653" s="30">
        <f>IFERROR(VLOOKUP($A3653,HeadJournal!$A$1:$J$890,COLUMN(HeadJournal!I$1),0)*($K3653+$L3653)/(SUMIF($A:$A,$A3653,$K:$K)+SUMIF($A:$A,$A3653,$L:$L)),0)</f>
        <v>0</v>
      </c>
      <c r="N3653" s="30">
        <f>IFERROR((VLOOKUP($A3653,HeadJournal!$A$1:$K$890,COLUMN(HeadJournal!K$1),0)-VLOOKUP($A3653,HeadJournal!$A$1:$K$890,COLUMN(HeadJournal!J$1),0))*($K3653+$L3653)/(SUMIF($A:$A,$A3653,$K:$K)+SUMIF($A:$A,$A3653,$L:$L)),0)</f>
        <v>0</v>
      </c>
      <c r="O3653" s="30">
        <f>IFERROR((VLOOKUP($A3653,HeadJournal!$A$1:$L$890,COLUMN(HeadJournal!L$1),0)*($K3653+$L3653)/(SUMIF($A:$A,$A3653,$K:$K)+SUMIF($A:$A,$A3653,$L:$L)))/VLOOKUP($A3653,HeadJournal!$A$1:$L$890,COLUMN(HeadJournal!H$1),0),0)</f>
        <v>0.91406693933208782</v>
      </c>
      <c r="P3653" s="30">
        <f>IFERROR(SUM(K3653:O3653)*VLOOKUP($A3653,HeadJournal!$A$1:$L$890,COLUMN(HeadJournal!H$1),0),0)</f>
        <v>1427.6426896314749</v>
      </c>
      <c r="Q3653" s="29">
        <v>2500</v>
      </c>
      <c r="R3653" s="31">
        <v>45555</v>
      </c>
      <c r="S3653" s="31" t="s">
        <v>3121</v>
      </c>
      <c r="T3653" s="95" t="str">
        <f t="shared" si="293"/>
        <v>2024 09</v>
      </c>
      <c r="U3653" s="32">
        <f t="shared" si="290"/>
        <v>1072.3573103685251</v>
      </c>
      <c r="V3653" s="22">
        <f t="shared" si="291"/>
        <v>0.75113844532439589</v>
      </c>
      <c r="X3653" s="33"/>
      <c r="Y3653" s="33"/>
    </row>
    <row r="3654" spans="1:25" x14ac:dyDescent="0.2">
      <c r="A3654" s="93" t="s">
        <v>1937</v>
      </c>
      <c r="B3654" s="94" t="str">
        <f>IFERROR(VLOOKUP($A3654,HeadJournal!$A$1:$NTR$890,COLUMN(HeadJournal!B$1),0),"")</f>
        <v>720000304255</v>
      </c>
      <c r="C3654" s="94" t="str">
        <f>IFERROR(VLOOKUP($A3654,HeadJournal!$A$1:$NTR$890,COLUMN(HeadJournal!C$1),0),"")</f>
        <v>iHerb_OA CZN6870</v>
      </c>
      <c r="D3654" s="125" t="str">
        <f>IFERROR(VLOOKUP($A3654,HeadJournal!$A$1:$NTR$890,COLUMN(HeadJournal!D$1),0),"")</f>
        <v>Доставлен</v>
      </c>
      <c r="E3654" s="95">
        <f>IFERROR(VLOOKUP($A3654,HeadJournal!$A$1:$NTR$890,COLUMN(HeadJournal!G$1),0),"")</f>
        <v>45496</v>
      </c>
      <c r="F3654" s="95" t="str">
        <f t="shared" si="292"/>
        <v>2024 07</v>
      </c>
      <c r="G3654" s="96" t="s">
        <v>5</v>
      </c>
      <c r="H3654" s="160" t="str">
        <f>RIGHT(Journal!$J3654,9)</f>
        <v>CGN-01403</v>
      </c>
      <c r="I3654" s="127" t="str">
        <f t="shared" si="289"/>
        <v>California Gold Nutrition</v>
      </c>
      <c r="J3654" s="97" t="s">
        <v>1939</v>
      </c>
      <c r="K3654" s="29">
        <v>19.22</v>
      </c>
      <c r="L3654" s="29">
        <v>-5.7666666666666666</v>
      </c>
      <c r="M3654" s="30">
        <f>IFERROR(VLOOKUP($A3654,HeadJournal!$A$1:$J$890,COLUMN(HeadJournal!I$1),0)*($K3654+$L3654)/(SUMIF($A:$A,$A3654,$K:$K)+SUMIF($A:$A,$A3654,$L:$L)),0)</f>
        <v>0</v>
      </c>
      <c r="N3654" s="30">
        <f>IFERROR((VLOOKUP($A3654,HeadJournal!$A$1:$K$890,COLUMN(HeadJournal!K$1),0)-VLOOKUP($A3654,HeadJournal!$A$1:$K$890,COLUMN(HeadJournal!J$1),0))*($K3654+$L3654)/(SUMIF($A:$A,$A3654,$K:$K)+SUMIF($A:$A,$A3654,$L:$L)),0)</f>
        <v>0</v>
      </c>
      <c r="O3654" s="30">
        <f>IFERROR((VLOOKUP($A3654,HeadJournal!$A$1:$L$890,COLUMN(HeadJournal!L$1),0)*($K3654+$L3654)/(SUMIF($A:$A,$A3654,$K:$K)+SUMIF($A:$A,$A3654,$L:$L)))/VLOOKUP($A3654,HeadJournal!$A$1:$L$890,COLUMN(HeadJournal!H$1),0),0)</f>
        <v>0.91406693933208782</v>
      </c>
      <c r="P3654" s="30">
        <f>IFERROR(SUM(K3654:O3654)*VLOOKUP($A3654,HeadJournal!$A$1:$L$890,COLUMN(HeadJournal!H$1),0),0)</f>
        <v>1427.6426896314749</v>
      </c>
      <c r="Q3654" s="29">
        <v>2000</v>
      </c>
      <c r="R3654" s="31">
        <v>45955</v>
      </c>
      <c r="S3654" s="31" t="s">
        <v>3150</v>
      </c>
      <c r="T3654" s="95" t="str">
        <f t="shared" si="293"/>
        <v>2025 10</v>
      </c>
      <c r="U3654" s="32">
        <f t="shared" si="290"/>
        <v>572.35731036852508</v>
      </c>
      <c r="V3654" s="22">
        <f t="shared" si="291"/>
        <v>0.40091075625951667</v>
      </c>
      <c r="X3654" s="33"/>
      <c r="Y3654" s="33"/>
    </row>
    <row r="3655" spans="1:25" x14ac:dyDescent="0.2">
      <c r="A3655" s="93" t="s">
        <v>1940</v>
      </c>
      <c r="B3655" s="94" t="str">
        <f>IFERROR(VLOOKUP($A3655,HeadJournal!$A$1:$NTR$890,COLUMN(HeadJournal!B$1),0),"")</f>
        <v>720000309980</v>
      </c>
      <c r="C3655" s="94" t="str">
        <f>IFERROR(VLOOKUP($A3655,HeadJournal!$A$1:$NTR$890,COLUMN(HeadJournal!C$1),0),"")</f>
        <v>iHerb_VP DFD1605</v>
      </c>
      <c r="D3655" s="125" t="str">
        <f>IFERROR(VLOOKUP($A3655,HeadJournal!$A$1:$NTR$890,COLUMN(HeadJournal!D$1),0),"")</f>
        <v>Доставлен</v>
      </c>
      <c r="E3655" s="95">
        <f>IFERROR(VLOOKUP($A3655,HeadJournal!$A$1:$NTR$890,COLUMN(HeadJournal!G$1),0),"")</f>
        <v>45499</v>
      </c>
      <c r="F3655" s="95" t="str">
        <f t="shared" si="292"/>
        <v>2024 07</v>
      </c>
      <c r="G3655" s="96" t="s">
        <v>5</v>
      </c>
      <c r="H3655" s="160" t="str">
        <f>RIGHT(Journal!$J3655,9)</f>
        <v>NCS-67176</v>
      </c>
      <c r="I3655" s="127" t="str">
        <f t="shared" si="289"/>
        <v>Nutricost</v>
      </c>
      <c r="J3655" s="97" t="s">
        <v>1942</v>
      </c>
      <c r="K3655" s="29">
        <v>18.73</v>
      </c>
      <c r="L3655" s="29">
        <v>-3.75</v>
      </c>
      <c r="M3655" s="30">
        <f>IFERROR(VLOOKUP($A3655,HeadJournal!$A$1:$J$890,COLUMN(HeadJournal!I$1),0)*($K3655+$L3655)/(SUMIF($A:$A,$A3655,$K:$K)+SUMIF($A:$A,$A3655,$L:$L)),0)</f>
        <v>0</v>
      </c>
      <c r="N3655" s="30">
        <f>IFERROR((VLOOKUP($A3655,HeadJournal!$A$1:$K$890,COLUMN(HeadJournal!K$1),0)-VLOOKUP($A3655,HeadJournal!$A$1:$K$890,COLUMN(HeadJournal!J$1),0))*($K3655+$L3655)/(SUMIF($A:$A,$A3655,$K:$K)+SUMIF($A:$A,$A3655,$L:$L)),0)</f>
        <v>0</v>
      </c>
      <c r="O3655" s="30">
        <f>IFERROR((VLOOKUP($A3655,HeadJournal!$A$1:$L$890,COLUMN(HeadJournal!L$1),0)*($K3655+$L3655)/(SUMIF($A:$A,$A3655,$K:$K)+SUMIF($A:$A,$A3655,$L:$L)))/VLOOKUP($A3655,HeadJournal!$A$1:$L$890,COLUMN(HeadJournal!H$1),0),0)</f>
        <v>0.70650781453472267</v>
      </c>
      <c r="P3655" s="30">
        <f>IFERROR(SUM(K3655:O3655)*VLOOKUP($A3655,HeadJournal!$A$1:$L$890,COLUMN(HeadJournal!H$1),0),0)</f>
        <v>1559.9280458912694</v>
      </c>
      <c r="Q3655" s="29">
        <v>2300</v>
      </c>
      <c r="R3655" s="31">
        <v>45530</v>
      </c>
      <c r="S3655" s="31" t="s">
        <v>3121</v>
      </c>
      <c r="T3655" s="95" t="str">
        <f t="shared" si="293"/>
        <v>2024 08</v>
      </c>
      <c r="U3655" s="32">
        <f t="shared" si="290"/>
        <v>740.07195410873055</v>
      </c>
      <c r="V3655" s="22">
        <f t="shared" si="291"/>
        <v>0.47442698146111495</v>
      </c>
      <c r="X3655" s="33"/>
      <c r="Y3655" s="33"/>
    </row>
    <row r="3656" spans="1:25" x14ac:dyDescent="0.2">
      <c r="A3656" s="93" t="s">
        <v>1940</v>
      </c>
      <c r="B3656" s="94" t="str">
        <f>IFERROR(VLOOKUP($A3656,HeadJournal!$A$1:$NTR$890,COLUMN(HeadJournal!B$1),0),"")</f>
        <v>720000309980</v>
      </c>
      <c r="C3656" s="94" t="str">
        <f>IFERROR(VLOOKUP($A3656,HeadJournal!$A$1:$NTR$890,COLUMN(HeadJournal!C$1),0),"")</f>
        <v>iHerb_VP DFD1605</v>
      </c>
      <c r="D3656" s="125" t="str">
        <f>IFERROR(VLOOKUP($A3656,HeadJournal!$A$1:$NTR$890,COLUMN(HeadJournal!D$1),0),"")</f>
        <v>Доставлен</v>
      </c>
      <c r="E3656" s="95">
        <f>IFERROR(VLOOKUP($A3656,HeadJournal!$A$1:$NTR$890,COLUMN(HeadJournal!G$1),0),"")</f>
        <v>45499</v>
      </c>
      <c r="F3656" s="95" t="str">
        <f t="shared" si="292"/>
        <v>2024 07</v>
      </c>
      <c r="G3656" s="96" t="s">
        <v>5</v>
      </c>
      <c r="H3656" s="161" t="s">
        <v>2546</v>
      </c>
      <c r="I3656" s="97" t="s">
        <v>2039</v>
      </c>
      <c r="J3656" s="97" t="s">
        <v>2547</v>
      </c>
      <c r="K3656" s="29">
        <v>10.76</v>
      </c>
      <c r="L3656" s="29">
        <v>-2.15</v>
      </c>
      <c r="M3656" s="30">
        <f>IFERROR(VLOOKUP($A3656,HeadJournal!$A$1:$J$890,COLUMN(HeadJournal!I$1),0)*($K3656+$L3656)/(SUMIF($A:$A,$A3656,$K:$K)+SUMIF($A:$A,$A3656,$L:$L)),0)</f>
        <v>0</v>
      </c>
      <c r="N3656" s="30">
        <f>IFERROR((VLOOKUP($A3656,HeadJournal!$A$1:$K$890,COLUMN(HeadJournal!K$1),0)-VLOOKUP($A3656,HeadJournal!$A$1:$K$890,COLUMN(HeadJournal!J$1),0))*($K3656+$L3656)/(SUMIF($A:$A,$A3656,$K:$K)+SUMIF($A:$A,$A3656,$L:$L)),0)</f>
        <v>0</v>
      </c>
      <c r="O3656" s="30">
        <f>IFERROR((VLOOKUP($A3656,HeadJournal!$A$1:$L$890,COLUMN(HeadJournal!L$1),0)*($K3656+$L3656)/(SUMIF($A:$A,$A3656,$K:$K)+SUMIF($A:$A,$A3656,$L:$L)))/VLOOKUP($A3656,HeadJournal!$A$1:$L$890,COLUMN(HeadJournal!H$1),0),0)</f>
        <v>0.40607692143818164</v>
      </c>
      <c r="P3656" s="30">
        <f>IFERROR(SUM(K3656:O3656)*VLOOKUP($A3656,HeadJournal!$A$1:$L$890,COLUMN(HeadJournal!H$1),0),0)</f>
        <v>896.594157217879</v>
      </c>
      <c r="Q3656" s="29">
        <v>1750</v>
      </c>
      <c r="R3656" s="31">
        <v>45670</v>
      </c>
      <c r="S3656" s="31" t="s">
        <v>3121</v>
      </c>
      <c r="T3656" s="95" t="str">
        <f t="shared" si="293"/>
        <v>2025 01</v>
      </c>
      <c r="U3656" s="32">
        <f t="shared" si="290"/>
        <v>853.405842782121</v>
      </c>
      <c r="V3656" s="22">
        <f t="shared" si="291"/>
        <v>0.95183069832869438</v>
      </c>
      <c r="X3656" s="33"/>
      <c r="Y3656" s="33"/>
    </row>
    <row r="3657" spans="1:25" x14ac:dyDescent="0.2">
      <c r="A3657" s="93" t="s">
        <v>1940</v>
      </c>
      <c r="B3657" s="94" t="str">
        <f>IFERROR(VLOOKUP($A3657,HeadJournal!$A$1:$NTR$890,COLUMN(HeadJournal!B$1),0),"")</f>
        <v>720000309980</v>
      </c>
      <c r="C3657" s="94" t="str">
        <f>IFERROR(VLOOKUP($A3657,HeadJournal!$A$1:$NTR$890,COLUMN(HeadJournal!C$1),0),"")</f>
        <v>iHerb_VP DFD1605</v>
      </c>
      <c r="D3657" s="125" t="str">
        <f>IFERROR(VLOOKUP($A3657,HeadJournal!$A$1:$NTR$890,COLUMN(HeadJournal!D$1),0),"")</f>
        <v>Доставлен</v>
      </c>
      <c r="E3657" s="95">
        <f>IFERROR(VLOOKUP($A3657,HeadJournal!$A$1:$NTR$890,COLUMN(HeadJournal!G$1),0),"")</f>
        <v>45499</v>
      </c>
      <c r="F3657" s="95" t="str">
        <f t="shared" si="292"/>
        <v>2024 07</v>
      </c>
      <c r="G3657" s="96" t="s">
        <v>5</v>
      </c>
      <c r="H3657" s="161" t="s">
        <v>2546</v>
      </c>
      <c r="I3657" s="97" t="s">
        <v>2039</v>
      </c>
      <c r="J3657" s="97" t="s">
        <v>2547</v>
      </c>
      <c r="K3657" s="29">
        <v>10.76</v>
      </c>
      <c r="L3657" s="29">
        <v>-2.15</v>
      </c>
      <c r="M3657" s="30">
        <f>IFERROR(VLOOKUP($A3657,HeadJournal!$A$1:$J$890,COLUMN(HeadJournal!I$1),0)*($K3657+$L3657)/(SUMIF($A:$A,$A3657,$K:$K)+SUMIF($A:$A,$A3657,$L:$L)),0)</f>
        <v>0</v>
      </c>
      <c r="N3657" s="30">
        <f>IFERROR((VLOOKUP($A3657,HeadJournal!$A$1:$K$890,COLUMN(HeadJournal!K$1),0)-VLOOKUP($A3657,HeadJournal!$A$1:$K$890,COLUMN(HeadJournal!J$1),0))*($K3657+$L3657)/(SUMIF($A:$A,$A3657,$K:$K)+SUMIF($A:$A,$A3657,$L:$L)),0)</f>
        <v>0</v>
      </c>
      <c r="O3657" s="30">
        <f>IFERROR((VLOOKUP($A3657,HeadJournal!$A$1:$L$890,COLUMN(HeadJournal!L$1),0)*($K3657+$L3657)/(SUMIF($A:$A,$A3657,$K:$K)+SUMIF($A:$A,$A3657,$L:$L)))/VLOOKUP($A3657,HeadJournal!$A$1:$L$890,COLUMN(HeadJournal!H$1),0),0)</f>
        <v>0.40607692143818164</v>
      </c>
      <c r="P3657" s="30">
        <f>IFERROR(SUM(K3657:O3657)*VLOOKUP($A3657,HeadJournal!$A$1:$L$890,COLUMN(HeadJournal!H$1),0),0)</f>
        <v>896.594157217879</v>
      </c>
      <c r="Q3657" s="29">
        <v>1750</v>
      </c>
      <c r="R3657" s="31">
        <v>45670</v>
      </c>
      <c r="S3657" s="31" t="s">
        <v>3121</v>
      </c>
      <c r="T3657" s="95" t="str">
        <f t="shared" si="293"/>
        <v>2025 01</v>
      </c>
      <c r="U3657" s="32">
        <f t="shared" si="290"/>
        <v>853.405842782121</v>
      </c>
      <c r="V3657" s="22">
        <f t="shared" si="291"/>
        <v>0.95183069832869438</v>
      </c>
      <c r="X3657" s="33"/>
      <c r="Y3657" s="33"/>
    </row>
    <row r="3658" spans="1:25" x14ac:dyDescent="0.2">
      <c r="A3658" s="93" t="s">
        <v>1940</v>
      </c>
      <c r="B3658" s="94" t="str">
        <f>IFERROR(VLOOKUP($A3658,HeadJournal!$A$1:$NTR$890,COLUMN(HeadJournal!B$1),0),"")</f>
        <v>720000309980</v>
      </c>
      <c r="C3658" s="94" t="str">
        <f>IFERROR(VLOOKUP($A3658,HeadJournal!$A$1:$NTR$890,COLUMN(HeadJournal!C$1),0),"")</f>
        <v>iHerb_VP DFD1605</v>
      </c>
      <c r="D3658" s="125" t="str">
        <f>IFERROR(VLOOKUP($A3658,HeadJournal!$A$1:$NTR$890,COLUMN(HeadJournal!D$1),0),"")</f>
        <v>Доставлен</v>
      </c>
      <c r="E3658" s="95">
        <f>IFERROR(VLOOKUP($A3658,HeadJournal!$A$1:$NTR$890,COLUMN(HeadJournal!G$1),0),"")</f>
        <v>45499</v>
      </c>
      <c r="F3658" s="95" t="str">
        <f t="shared" si="292"/>
        <v>2024 07</v>
      </c>
      <c r="G3658" s="96" t="s">
        <v>5</v>
      </c>
      <c r="H3658" s="160" t="str">
        <f>RIGHT(Journal!$J3658,9)</f>
        <v>HRM-50004</v>
      </c>
      <c r="I3658" s="127" t="str">
        <f t="shared" si="289"/>
        <v>Healths Harmony</v>
      </c>
      <c r="J3658" s="97" t="s">
        <v>979</v>
      </c>
      <c r="K3658" s="29">
        <v>16.329999999999998</v>
      </c>
      <c r="L3658" s="29">
        <v>-3.27</v>
      </c>
      <c r="M3658" s="30">
        <f>IFERROR(VLOOKUP($A3658,HeadJournal!$A$1:$J$890,COLUMN(HeadJournal!I$1),0)*($K3658+$L3658)/(SUMIF($A:$A,$A3658,$K:$K)+SUMIF($A:$A,$A3658,$L:$L)),0)</f>
        <v>0</v>
      </c>
      <c r="N3658" s="30">
        <f>IFERROR((VLOOKUP($A3658,HeadJournal!$A$1:$K$890,COLUMN(HeadJournal!K$1),0)-VLOOKUP($A3658,HeadJournal!$A$1:$K$890,COLUMN(HeadJournal!J$1),0))*($K3658+$L3658)/(SUMIF($A:$A,$A3658,$K:$K)+SUMIF($A:$A,$A3658,$L:$L)),0)</f>
        <v>0</v>
      </c>
      <c r="O3658" s="30">
        <f>IFERROR((VLOOKUP($A3658,HeadJournal!$A$1:$L$890,COLUMN(HeadJournal!L$1),0)*($K3658+$L3658)/(SUMIF($A:$A,$A3658,$K:$K)+SUMIF($A:$A,$A3658,$L:$L)))/VLOOKUP($A3658,HeadJournal!$A$1:$L$890,COLUMN(HeadJournal!H$1),0),0)</f>
        <v>0.61595407595617324</v>
      </c>
      <c r="P3658" s="30">
        <f>IFERROR(SUM(K3658:O3658)*VLOOKUP($A3658,HeadJournal!$A$1:$L$890,COLUMN(HeadJournal!H$1),0),0)</f>
        <v>1359.9906728531359</v>
      </c>
      <c r="Q3658" s="29">
        <v>2000</v>
      </c>
      <c r="R3658" s="31">
        <v>45533</v>
      </c>
      <c r="S3658" s="31" t="s">
        <v>3121</v>
      </c>
      <c r="T3658" s="95" t="str">
        <f t="shared" si="293"/>
        <v>2024 08</v>
      </c>
      <c r="U3658" s="32">
        <f t="shared" si="290"/>
        <v>640.00932714686405</v>
      </c>
      <c r="V3658" s="22">
        <f t="shared" si="291"/>
        <v>0.47059832094596876</v>
      </c>
      <c r="X3658" s="33"/>
      <c r="Y3658" s="33"/>
    </row>
    <row r="3659" spans="1:25" x14ac:dyDescent="0.2">
      <c r="A3659" s="93" t="s">
        <v>1940</v>
      </c>
      <c r="B3659" s="94" t="str">
        <f>IFERROR(VLOOKUP($A3659,HeadJournal!$A$1:$NTR$890,COLUMN(HeadJournal!B$1),0),"")</f>
        <v>720000309980</v>
      </c>
      <c r="C3659" s="94" t="str">
        <f>IFERROR(VLOOKUP($A3659,HeadJournal!$A$1:$NTR$890,COLUMN(HeadJournal!C$1),0),"")</f>
        <v>iHerb_VP DFD1605</v>
      </c>
      <c r="D3659" s="125" t="str">
        <f>IFERROR(VLOOKUP($A3659,HeadJournal!$A$1:$NTR$890,COLUMN(HeadJournal!D$1),0),"")</f>
        <v>Доставлен</v>
      </c>
      <c r="E3659" s="95">
        <f>IFERROR(VLOOKUP($A3659,HeadJournal!$A$1:$NTR$890,COLUMN(HeadJournal!G$1),0),"")</f>
        <v>45499</v>
      </c>
      <c r="F3659" s="95" t="str">
        <f t="shared" si="292"/>
        <v>2024 07</v>
      </c>
      <c r="G3659" s="96" t="s">
        <v>5</v>
      </c>
      <c r="H3659" s="160" t="str">
        <f>RIGHT(Journal!$J3659,9)</f>
        <v>NOW-01792</v>
      </c>
      <c r="I3659" s="127" t="str">
        <f t="shared" si="289"/>
        <v>NOW Foods</v>
      </c>
      <c r="J3659" s="97" t="s">
        <v>1212</v>
      </c>
      <c r="K3659" s="29">
        <v>13.11</v>
      </c>
      <c r="L3659" s="29">
        <v>-2.62</v>
      </c>
      <c r="M3659" s="30">
        <f>IFERROR(VLOOKUP($A3659,HeadJournal!$A$1:$J$890,COLUMN(HeadJournal!I$1),0)*($K3659+$L3659)/(SUMIF($A:$A,$A3659,$K:$K)+SUMIF($A:$A,$A3659,$L:$L)),0)</f>
        <v>0</v>
      </c>
      <c r="N3659" s="30">
        <f>IFERROR((VLOOKUP($A3659,HeadJournal!$A$1:$K$890,COLUMN(HeadJournal!K$1),0)-VLOOKUP($A3659,HeadJournal!$A$1:$K$890,COLUMN(HeadJournal!J$1),0))*($K3659+$L3659)/(SUMIF($A:$A,$A3659,$K:$K)+SUMIF($A:$A,$A3659,$L:$L)),0)</f>
        <v>0</v>
      </c>
      <c r="O3659" s="30">
        <f>IFERROR((VLOOKUP($A3659,HeadJournal!$A$1:$L$890,COLUMN(HeadJournal!L$1),0)*($K3659+$L3659)/(SUMIF($A:$A,$A3659,$K:$K)+SUMIF($A:$A,$A3659,$L:$L)))/VLOOKUP($A3659,HeadJournal!$A$1:$L$890,COLUMN(HeadJournal!H$1),0),0)</f>
        <v>0.49474412379634441</v>
      </c>
      <c r="P3659" s="30">
        <f>IFERROR(SUM(K3659:O3659)*VLOOKUP($A3659,HeadJournal!$A$1:$L$890,COLUMN(HeadJournal!H$1),0),0)</f>
        <v>1092.3661683177179</v>
      </c>
      <c r="Q3659" s="29">
        <v>1900</v>
      </c>
      <c r="R3659" s="31">
        <v>45536</v>
      </c>
      <c r="S3659" s="31" t="s">
        <v>3121</v>
      </c>
      <c r="T3659" s="95" t="str">
        <f t="shared" si="293"/>
        <v>2024 09</v>
      </c>
      <c r="U3659" s="32">
        <f t="shared" si="290"/>
        <v>807.63383168228211</v>
      </c>
      <c r="V3659" s="22">
        <f t="shared" si="291"/>
        <v>0.73934350505020352</v>
      </c>
      <c r="X3659" s="33"/>
      <c r="Y3659" s="33"/>
    </row>
    <row r="3660" spans="1:25" x14ac:dyDescent="0.2">
      <c r="A3660" s="93" t="s">
        <v>1940</v>
      </c>
      <c r="B3660" s="94" t="str">
        <f>IFERROR(VLOOKUP($A3660,HeadJournal!$A$1:$NTR$890,COLUMN(HeadJournal!B$1),0),"")</f>
        <v>720000309980</v>
      </c>
      <c r="C3660" s="94" t="str">
        <f>IFERROR(VLOOKUP($A3660,HeadJournal!$A$1:$NTR$890,COLUMN(HeadJournal!C$1),0),"")</f>
        <v>iHerb_VP DFD1605</v>
      </c>
      <c r="D3660" s="125" t="str">
        <f>IFERROR(VLOOKUP($A3660,HeadJournal!$A$1:$NTR$890,COLUMN(HeadJournal!D$1),0),"")</f>
        <v>Доставлен</v>
      </c>
      <c r="E3660" s="95">
        <f>IFERROR(VLOOKUP($A3660,HeadJournal!$A$1:$NTR$890,COLUMN(HeadJournal!G$1),0),"")</f>
        <v>45499</v>
      </c>
      <c r="F3660" s="95" t="str">
        <f t="shared" si="292"/>
        <v>2024 07</v>
      </c>
      <c r="G3660" s="96" t="s">
        <v>5</v>
      </c>
      <c r="H3660" s="160" t="str">
        <f>RIGHT(Journal!$J3660,9)</f>
        <v>TEO-00757</v>
      </c>
      <c r="I3660" s="127" t="str">
        <f t="shared" si="289"/>
        <v>Terra Origin</v>
      </c>
      <c r="J3660" s="97" t="s">
        <v>875</v>
      </c>
      <c r="K3660" s="29">
        <v>31.63</v>
      </c>
      <c r="L3660" s="29">
        <v>-9.49</v>
      </c>
      <c r="M3660" s="30">
        <f>IFERROR(VLOOKUP($A3660,HeadJournal!$A$1:$J$890,COLUMN(HeadJournal!I$1),0)*($K3660+$L3660)/(SUMIF($A:$A,$A3660,$K:$K)+SUMIF($A:$A,$A3660,$L:$L)),0)</f>
        <v>0</v>
      </c>
      <c r="N3660" s="30">
        <f>IFERROR((VLOOKUP($A3660,HeadJournal!$A$1:$K$890,COLUMN(HeadJournal!K$1),0)-VLOOKUP($A3660,HeadJournal!$A$1:$K$890,COLUMN(HeadJournal!J$1),0))*($K3660+$L3660)/(SUMIF($A:$A,$A3660,$K:$K)+SUMIF($A:$A,$A3660,$L:$L)),0)</f>
        <v>0</v>
      </c>
      <c r="O3660" s="30">
        <f>IFERROR((VLOOKUP($A3660,HeadJournal!$A$1:$L$890,COLUMN(HeadJournal!L$1),0)*($K3660+$L3660)/(SUMIF($A:$A,$A3660,$K:$K)+SUMIF($A:$A,$A3660,$L:$L)))/VLOOKUP($A3660,HeadJournal!$A$1:$L$890,COLUMN(HeadJournal!H$1),0),0)</f>
        <v>1.0441977979838957</v>
      </c>
      <c r="P3660" s="30">
        <f>IFERROR(SUM(K3660:O3660)*VLOOKUP($A3660,HeadJournal!$A$1:$L$890,COLUMN(HeadJournal!H$1),0),0)</f>
        <v>2305.5278328459749</v>
      </c>
      <c r="Q3660" s="29">
        <v>3500</v>
      </c>
      <c r="R3660" s="31">
        <v>45530</v>
      </c>
      <c r="S3660" s="31" t="s">
        <v>3121</v>
      </c>
      <c r="T3660" s="95" t="str">
        <f t="shared" si="293"/>
        <v>2024 08</v>
      </c>
      <c r="U3660" s="32">
        <f t="shared" si="290"/>
        <v>1194.4721671540251</v>
      </c>
      <c r="V3660" s="22">
        <f t="shared" si="291"/>
        <v>0.51809054314453984</v>
      </c>
      <c r="X3660" s="33"/>
      <c r="Y3660" s="33"/>
    </row>
    <row r="3661" spans="1:25" x14ac:dyDescent="0.2">
      <c r="A3661" s="93" t="s">
        <v>1940</v>
      </c>
      <c r="B3661" s="94" t="str">
        <f>IFERROR(VLOOKUP($A3661,HeadJournal!$A$1:$NTR$890,COLUMN(HeadJournal!B$1),0),"")</f>
        <v>720000309980</v>
      </c>
      <c r="C3661" s="94" t="str">
        <f>IFERROR(VLOOKUP($A3661,HeadJournal!$A$1:$NTR$890,COLUMN(HeadJournal!C$1),0),"")</f>
        <v>iHerb_VP DFD1605</v>
      </c>
      <c r="D3661" s="125" t="str">
        <f>IFERROR(VLOOKUP($A3661,HeadJournal!$A$1:$NTR$890,COLUMN(HeadJournal!D$1),0),"")</f>
        <v>Доставлен</v>
      </c>
      <c r="E3661" s="95">
        <f>IFERROR(VLOOKUP($A3661,HeadJournal!$A$1:$NTR$890,COLUMN(HeadJournal!G$1),0),"")</f>
        <v>45499</v>
      </c>
      <c r="F3661" s="95" t="str">
        <f t="shared" si="292"/>
        <v>2024 07</v>
      </c>
      <c r="G3661" s="96" t="s">
        <v>5</v>
      </c>
      <c r="H3661" s="161" t="s">
        <v>2426</v>
      </c>
      <c r="I3661" s="97" t="s">
        <v>2125</v>
      </c>
      <c r="J3661" s="97" t="s">
        <v>2427</v>
      </c>
      <c r="K3661" s="29">
        <v>13.72</v>
      </c>
      <c r="L3661" s="29">
        <v>-2.7450000000000001</v>
      </c>
      <c r="M3661" s="30">
        <f>IFERROR(VLOOKUP($A3661,HeadJournal!$A$1:$J$890,COLUMN(HeadJournal!I$1),0)*($K3661+$L3661)/(SUMIF($A:$A,$A3661,$K:$K)+SUMIF($A:$A,$A3661,$L:$L)),0)</f>
        <v>0</v>
      </c>
      <c r="N3661" s="30">
        <f>IFERROR((VLOOKUP($A3661,HeadJournal!$A$1:$K$890,COLUMN(HeadJournal!K$1),0)-VLOOKUP($A3661,HeadJournal!$A$1:$K$890,COLUMN(HeadJournal!J$1),0))*($K3661+$L3661)/(SUMIF($A:$A,$A3661,$K:$K)+SUMIF($A:$A,$A3661,$L:$L)),0)</f>
        <v>0</v>
      </c>
      <c r="O3661" s="30">
        <f>IFERROR((VLOOKUP($A3661,HeadJournal!$A$1:$L$890,COLUMN(HeadJournal!L$1),0)*($K3661+$L3661)/(SUMIF($A:$A,$A3661,$K:$K)+SUMIF($A:$A,$A3661,$L:$L)))/VLOOKUP($A3661,HeadJournal!$A$1:$L$890,COLUMN(HeadJournal!H$1),0),0)</f>
        <v>0.51761837546853007</v>
      </c>
      <c r="P3661" s="30">
        <f>IFERROR(SUM(K3661:O3661)*VLOOKUP($A3661,HeadJournal!$A$1:$L$890,COLUMN(HeadJournal!H$1),0),0)</f>
        <v>1142.8711818195382</v>
      </c>
      <c r="Q3661" s="29">
        <v>2000</v>
      </c>
      <c r="R3661" s="31">
        <v>45570</v>
      </c>
      <c r="S3661" s="31" t="s">
        <v>3121</v>
      </c>
      <c r="T3661" s="95" t="str">
        <f t="shared" si="293"/>
        <v>2024 10</v>
      </c>
      <c r="U3661" s="32">
        <f t="shared" si="290"/>
        <v>857.12881818046185</v>
      </c>
      <c r="V3661" s="22">
        <f t="shared" si="291"/>
        <v>0.74997850310290204</v>
      </c>
      <c r="X3661" s="33"/>
      <c r="Y3661" s="33"/>
    </row>
    <row r="3662" spans="1:25" x14ac:dyDescent="0.2">
      <c r="A3662" s="93" t="s">
        <v>1940</v>
      </c>
      <c r="B3662" s="94" t="str">
        <f>IFERROR(VLOOKUP($A3662,HeadJournal!$A$1:$NTR$890,COLUMN(HeadJournal!B$1),0),"")</f>
        <v>720000309980</v>
      </c>
      <c r="C3662" s="94" t="str">
        <f>IFERROR(VLOOKUP($A3662,HeadJournal!$A$1:$NTR$890,COLUMN(HeadJournal!C$1),0),"")</f>
        <v>iHerb_VP DFD1605</v>
      </c>
      <c r="D3662" s="125" t="str">
        <f>IFERROR(VLOOKUP($A3662,HeadJournal!$A$1:$NTR$890,COLUMN(HeadJournal!D$1),0),"")</f>
        <v>Доставлен</v>
      </c>
      <c r="E3662" s="95">
        <f>IFERROR(VLOOKUP($A3662,HeadJournal!$A$1:$NTR$890,COLUMN(HeadJournal!G$1),0),"")</f>
        <v>45499</v>
      </c>
      <c r="F3662" s="95" t="str">
        <f t="shared" si="292"/>
        <v>2024 07</v>
      </c>
      <c r="G3662" s="96" t="s">
        <v>5</v>
      </c>
      <c r="H3662" s="161" t="s">
        <v>2426</v>
      </c>
      <c r="I3662" s="97" t="s">
        <v>2125</v>
      </c>
      <c r="J3662" s="97" t="s">
        <v>2427</v>
      </c>
      <c r="K3662" s="29">
        <v>13.72</v>
      </c>
      <c r="L3662" s="29">
        <v>-2.7450000000000001</v>
      </c>
      <c r="M3662" s="30">
        <f>IFERROR(VLOOKUP($A3662,HeadJournal!$A$1:$J$890,COLUMN(HeadJournal!I$1),0)*($K3662+$L3662)/(SUMIF($A:$A,$A3662,$K:$K)+SUMIF($A:$A,$A3662,$L:$L)),0)</f>
        <v>0</v>
      </c>
      <c r="N3662" s="30">
        <f>IFERROR((VLOOKUP($A3662,HeadJournal!$A$1:$K$890,COLUMN(HeadJournal!K$1),0)-VLOOKUP($A3662,HeadJournal!$A$1:$K$890,COLUMN(HeadJournal!J$1),0))*($K3662+$L3662)/(SUMIF($A:$A,$A3662,$K:$K)+SUMIF($A:$A,$A3662,$L:$L)),0)</f>
        <v>0</v>
      </c>
      <c r="O3662" s="30">
        <f>IFERROR((VLOOKUP($A3662,HeadJournal!$A$1:$L$890,COLUMN(HeadJournal!L$1),0)*($K3662+$L3662)/(SUMIF($A:$A,$A3662,$K:$K)+SUMIF($A:$A,$A3662,$L:$L)))/VLOOKUP($A3662,HeadJournal!$A$1:$L$890,COLUMN(HeadJournal!H$1),0),0)</f>
        <v>0.51761837546853007</v>
      </c>
      <c r="P3662" s="30">
        <f>IFERROR(SUM(K3662:O3662)*VLOOKUP($A3662,HeadJournal!$A$1:$L$890,COLUMN(HeadJournal!H$1),0),0)</f>
        <v>1142.8711818195382</v>
      </c>
      <c r="Q3662" s="29">
        <v>2000</v>
      </c>
      <c r="R3662" s="31">
        <v>45570</v>
      </c>
      <c r="S3662" s="31" t="s">
        <v>3121</v>
      </c>
      <c r="T3662" s="95" t="str">
        <f t="shared" si="293"/>
        <v>2024 10</v>
      </c>
      <c r="U3662" s="32">
        <f t="shared" si="290"/>
        <v>857.12881818046185</v>
      </c>
      <c r="V3662" s="22">
        <f t="shared" si="291"/>
        <v>0.74997850310290204</v>
      </c>
      <c r="X3662" s="33"/>
      <c r="Y3662" s="33"/>
    </row>
    <row r="3663" spans="1:25" x14ac:dyDescent="0.2">
      <c r="A3663" s="93" t="s">
        <v>1940</v>
      </c>
      <c r="B3663" s="94" t="str">
        <f>IFERROR(VLOOKUP($A3663,HeadJournal!$A$1:$NTR$890,COLUMN(HeadJournal!B$1),0),"")</f>
        <v>720000309980</v>
      </c>
      <c r="C3663" s="94" t="str">
        <f>IFERROR(VLOOKUP($A3663,HeadJournal!$A$1:$NTR$890,COLUMN(HeadJournal!C$1),0),"")</f>
        <v>iHerb_VP DFD1605</v>
      </c>
      <c r="D3663" s="125" t="str">
        <f>IFERROR(VLOOKUP($A3663,HeadJournal!$A$1:$NTR$890,COLUMN(HeadJournal!D$1),0),"")</f>
        <v>Доставлен</v>
      </c>
      <c r="E3663" s="95">
        <f>IFERROR(VLOOKUP($A3663,HeadJournal!$A$1:$NTR$890,COLUMN(HeadJournal!G$1),0),"")</f>
        <v>45499</v>
      </c>
      <c r="F3663" s="95" t="str">
        <f t="shared" si="292"/>
        <v>2024 07</v>
      </c>
      <c r="G3663" s="96" t="s">
        <v>5</v>
      </c>
      <c r="H3663" s="161" t="s">
        <v>2495</v>
      </c>
      <c r="I3663" s="97" t="s">
        <v>2102</v>
      </c>
      <c r="J3663" s="97" t="s">
        <v>2496</v>
      </c>
      <c r="K3663" s="29">
        <v>7.05</v>
      </c>
      <c r="L3663" s="29">
        <v>-1.41</v>
      </c>
      <c r="M3663" s="30">
        <f>IFERROR(VLOOKUP($A3663,HeadJournal!$A$1:$J$890,COLUMN(HeadJournal!I$1),0)*($K3663+$L3663)/(SUMIF($A:$A,$A3663,$K:$K)+SUMIF($A:$A,$A3663,$L:$L)),0)</f>
        <v>0</v>
      </c>
      <c r="N3663" s="30">
        <f>IFERROR((VLOOKUP($A3663,HeadJournal!$A$1:$K$890,COLUMN(HeadJournal!K$1),0)-VLOOKUP($A3663,HeadJournal!$A$1:$K$890,COLUMN(HeadJournal!J$1),0))*($K3663+$L3663)/(SUMIF($A:$A,$A3663,$K:$K)+SUMIF($A:$A,$A3663,$L:$L)),0)</f>
        <v>0</v>
      </c>
      <c r="O3663" s="30">
        <f>IFERROR((VLOOKUP($A3663,HeadJournal!$A$1:$L$890,COLUMN(HeadJournal!L$1),0)*($K3663+$L3663)/(SUMIF($A:$A,$A3663,$K:$K)+SUMIF($A:$A,$A3663,$L:$L)))/VLOOKUP($A3663,HeadJournal!$A$1:$L$890,COLUMN(HeadJournal!H$1),0),0)</f>
        <v>0.26600160707448833</v>
      </c>
      <c r="P3663" s="30">
        <f>IFERROR(SUM(K3663:O3663)*VLOOKUP($A3663,HeadJournal!$A$1:$L$890,COLUMN(HeadJournal!H$1),0),0)</f>
        <v>587.31603329951656</v>
      </c>
      <c r="Q3663" s="29">
        <v>1200</v>
      </c>
      <c r="R3663" s="31">
        <v>45567</v>
      </c>
      <c r="S3663" s="31" t="s">
        <v>3121</v>
      </c>
      <c r="T3663" s="95" t="str">
        <f t="shared" si="293"/>
        <v>2024 10</v>
      </c>
      <c r="U3663" s="32">
        <f t="shared" si="290"/>
        <v>612.68396670048344</v>
      </c>
      <c r="V3663" s="22">
        <f t="shared" si="291"/>
        <v>1.0431929863355696</v>
      </c>
      <c r="X3663" s="33"/>
      <c r="Y3663" s="33"/>
    </row>
    <row r="3664" spans="1:25" x14ac:dyDescent="0.2">
      <c r="A3664" s="93" t="s">
        <v>1940</v>
      </c>
      <c r="B3664" s="94" t="str">
        <f>IFERROR(VLOOKUP($A3664,HeadJournal!$A$1:$NTR$890,COLUMN(HeadJournal!B$1),0),"")</f>
        <v>720000309980</v>
      </c>
      <c r="C3664" s="94" t="str">
        <f>IFERROR(VLOOKUP($A3664,HeadJournal!$A$1:$NTR$890,COLUMN(HeadJournal!C$1),0),"")</f>
        <v>iHerb_VP DFD1605</v>
      </c>
      <c r="D3664" s="125" t="str">
        <f>IFERROR(VLOOKUP($A3664,HeadJournal!$A$1:$NTR$890,COLUMN(HeadJournal!D$1),0),"")</f>
        <v>Доставлен</v>
      </c>
      <c r="E3664" s="95">
        <f>IFERROR(VLOOKUP($A3664,HeadJournal!$A$1:$NTR$890,COLUMN(HeadJournal!G$1),0),"")</f>
        <v>45499</v>
      </c>
      <c r="F3664" s="95" t="str">
        <f t="shared" si="292"/>
        <v>2024 07</v>
      </c>
      <c r="G3664" s="96" t="s">
        <v>5</v>
      </c>
      <c r="H3664" s="160" t="str">
        <f>RIGHT(Journal!$J3664,9)</f>
        <v>NOW-00892</v>
      </c>
      <c r="I3664" s="127" t="str">
        <f t="shared" si="289"/>
        <v>NOW Foods</v>
      </c>
      <c r="J3664" s="97" t="s">
        <v>1864</v>
      </c>
      <c r="K3664" s="29">
        <v>15.03</v>
      </c>
      <c r="L3664" s="29">
        <v>-3.01</v>
      </c>
      <c r="M3664" s="30">
        <f>IFERROR(VLOOKUP($A3664,HeadJournal!$A$1:$J$890,COLUMN(HeadJournal!I$1),0)*($K3664+$L3664)/(SUMIF($A:$A,$A3664,$K:$K)+SUMIF($A:$A,$A3664,$L:$L)),0)</f>
        <v>0</v>
      </c>
      <c r="N3664" s="30">
        <f>IFERROR((VLOOKUP($A3664,HeadJournal!$A$1:$K$890,COLUMN(HeadJournal!K$1),0)-VLOOKUP($A3664,HeadJournal!$A$1:$K$890,COLUMN(HeadJournal!J$1),0))*($K3664+$L3664)/(SUMIF($A:$A,$A3664,$K:$K)+SUMIF($A:$A,$A3664,$L:$L)),0)</f>
        <v>0</v>
      </c>
      <c r="O3664" s="30">
        <f>IFERROR((VLOOKUP($A3664,HeadJournal!$A$1:$L$890,COLUMN(HeadJournal!L$1),0)*($K3664+$L3664)/(SUMIF($A:$A,$A3664,$K:$K)+SUMIF($A:$A,$A3664,$L:$L)))/VLOOKUP($A3664,HeadJournal!$A$1:$L$890,COLUMN(HeadJournal!H$1),0),0)</f>
        <v>0.56690413422612584</v>
      </c>
      <c r="P3664" s="30">
        <f>IFERROR(SUM(K3664:O3664)*VLOOKUP($A3664,HeadJournal!$A$1:$L$890,COLUMN(HeadJournal!H$1),0),0)</f>
        <v>1251.6912624574804</v>
      </c>
      <c r="Q3664" s="29">
        <v>1800</v>
      </c>
      <c r="R3664" s="31">
        <v>45528</v>
      </c>
      <c r="S3664" s="31" t="s">
        <v>3121</v>
      </c>
      <c r="T3664" s="95" t="str">
        <f t="shared" si="293"/>
        <v>2024 08</v>
      </c>
      <c r="U3664" s="32">
        <f t="shared" si="290"/>
        <v>548.30873754251957</v>
      </c>
      <c r="V3664" s="22">
        <f t="shared" si="291"/>
        <v>0.43805429820290487</v>
      </c>
      <c r="X3664" s="33"/>
      <c r="Y3664" s="33"/>
    </row>
    <row r="3665" spans="1:25" x14ac:dyDescent="0.2">
      <c r="A3665" s="93" t="s">
        <v>1940</v>
      </c>
      <c r="B3665" s="94" t="str">
        <f>IFERROR(VLOOKUP($A3665,HeadJournal!$A$1:$NTR$890,COLUMN(HeadJournal!B$1),0),"")</f>
        <v>720000309980</v>
      </c>
      <c r="C3665" s="94" t="str">
        <f>IFERROR(VLOOKUP($A3665,HeadJournal!$A$1:$NTR$890,COLUMN(HeadJournal!C$1),0),"")</f>
        <v>iHerb_VP DFD1605</v>
      </c>
      <c r="D3665" s="125" t="str">
        <f>IFERROR(VLOOKUP($A3665,HeadJournal!$A$1:$NTR$890,COLUMN(HeadJournal!D$1),0),"")</f>
        <v>Доставлен</v>
      </c>
      <c r="E3665" s="95">
        <f>IFERROR(VLOOKUP($A3665,HeadJournal!$A$1:$NTR$890,COLUMN(HeadJournal!G$1),0),"")</f>
        <v>45499</v>
      </c>
      <c r="F3665" s="95" t="str">
        <f t="shared" si="292"/>
        <v>2024 07</v>
      </c>
      <c r="G3665" s="96" t="s">
        <v>5</v>
      </c>
      <c r="H3665" s="161" t="s">
        <v>2049</v>
      </c>
      <c r="I3665" s="97" t="s">
        <v>2048</v>
      </c>
      <c r="J3665" s="97" t="s">
        <v>2050</v>
      </c>
      <c r="K3665" s="29">
        <v>10.32</v>
      </c>
      <c r="L3665" s="29">
        <v>-3.0950000000000002</v>
      </c>
      <c r="M3665" s="30">
        <f>IFERROR(VLOOKUP($A3665,HeadJournal!$A$1:$J$890,COLUMN(HeadJournal!I$1),0)*($K3665+$L3665)/(SUMIF($A:$A,$A3665,$K:$K)+SUMIF($A:$A,$A3665,$L:$L)),0)</f>
        <v>0</v>
      </c>
      <c r="N3665" s="30">
        <f>IFERROR((VLOOKUP($A3665,HeadJournal!$A$1:$K$890,COLUMN(HeadJournal!K$1),0)-VLOOKUP($A3665,HeadJournal!$A$1:$K$890,COLUMN(HeadJournal!J$1),0))*($K3665+$L3665)/(SUMIF($A:$A,$A3665,$K:$K)+SUMIF($A:$A,$A3665,$L:$L)),0)</f>
        <v>0</v>
      </c>
      <c r="O3665" s="30">
        <f>IFERROR((VLOOKUP($A3665,HeadJournal!$A$1:$L$890,COLUMN(HeadJournal!L$1),0)*($K3665+$L3665)/(SUMIF($A:$A,$A3665,$K:$K)+SUMIF($A:$A,$A3665,$L:$L)))/VLOOKUP($A3665,HeadJournal!$A$1:$L$890,COLUMN(HeadJournal!H$1),0),0)</f>
        <v>0.34075560480730116</v>
      </c>
      <c r="P3665" s="30">
        <f>IFERROR(SUM(K3665:O3665)*VLOOKUP($A3665,HeadJournal!$A$1:$L$890,COLUMN(HeadJournal!H$1),0),0)</f>
        <v>752.36850010443391</v>
      </c>
      <c r="Q3665" s="29">
        <v>1800</v>
      </c>
      <c r="R3665" s="31">
        <v>45542</v>
      </c>
      <c r="S3665" s="31" t="s">
        <v>3121</v>
      </c>
      <c r="T3665" s="95" t="str">
        <f t="shared" si="293"/>
        <v>2024 09</v>
      </c>
      <c r="U3665" s="32">
        <f t="shared" si="290"/>
        <v>1047.6314998955661</v>
      </c>
      <c r="V3665" s="22">
        <f t="shared" si="291"/>
        <v>1.3924446594323761</v>
      </c>
      <c r="X3665" s="33"/>
      <c r="Y3665" s="33"/>
    </row>
    <row r="3666" spans="1:25" x14ac:dyDescent="0.2">
      <c r="A3666" s="93" t="s">
        <v>1940</v>
      </c>
      <c r="B3666" s="94" t="str">
        <f>IFERROR(VLOOKUP($A3666,HeadJournal!$A$1:$NTR$890,COLUMN(HeadJournal!B$1),0),"")</f>
        <v>720000309980</v>
      </c>
      <c r="C3666" s="94" t="str">
        <f>IFERROR(VLOOKUP($A3666,HeadJournal!$A$1:$NTR$890,COLUMN(HeadJournal!C$1),0),"")</f>
        <v>iHerb_VP DFD1605</v>
      </c>
      <c r="D3666" s="125" t="str">
        <f>IFERROR(VLOOKUP($A3666,HeadJournal!$A$1:$NTR$890,COLUMN(HeadJournal!D$1),0),"")</f>
        <v>Доставлен</v>
      </c>
      <c r="E3666" s="95">
        <f>IFERROR(VLOOKUP($A3666,HeadJournal!$A$1:$NTR$890,COLUMN(HeadJournal!G$1),0),"")</f>
        <v>45499</v>
      </c>
      <c r="F3666" s="95" t="str">
        <f t="shared" si="292"/>
        <v>2024 07</v>
      </c>
      <c r="G3666" s="96" t="s">
        <v>5</v>
      </c>
      <c r="H3666" s="161" t="s">
        <v>2049</v>
      </c>
      <c r="I3666" s="97" t="s">
        <v>2048</v>
      </c>
      <c r="J3666" s="97" t="s">
        <v>2050</v>
      </c>
      <c r="K3666" s="29">
        <v>10.32</v>
      </c>
      <c r="L3666" s="29">
        <v>-3.0950000000000002</v>
      </c>
      <c r="M3666" s="30">
        <f>IFERROR(VLOOKUP($A3666,HeadJournal!$A$1:$J$890,COLUMN(HeadJournal!I$1),0)*($K3666+$L3666)/(SUMIF($A:$A,$A3666,$K:$K)+SUMIF($A:$A,$A3666,$L:$L)),0)</f>
        <v>0</v>
      </c>
      <c r="N3666" s="30">
        <f>IFERROR((VLOOKUP($A3666,HeadJournal!$A$1:$K$890,COLUMN(HeadJournal!K$1),0)-VLOOKUP($A3666,HeadJournal!$A$1:$K$890,COLUMN(HeadJournal!J$1),0))*($K3666+$L3666)/(SUMIF($A:$A,$A3666,$K:$K)+SUMIF($A:$A,$A3666,$L:$L)),0)</f>
        <v>0</v>
      </c>
      <c r="O3666" s="30">
        <f>IFERROR((VLOOKUP($A3666,HeadJournal!$A$1:$L$890,COLUMN(HeadJournal!L$1),0)*($K3666+$L3666)/(SUMIF($A:$A,$A3666,$K:$K)+SUMIF($A:$A,$A3666,$L:$L)))/VLOOKUP($A3666,HeadJournal!$A$1:$L$890,COLUMN(HeadJournal!H$1),0),0)</f>
        <v>0.34075560480730116</v>
      </c>
      <c r="P3666" s="30">
        <f>IFERROR(SUM(K3666:O3666)*VLOOKUP($A3666,HeadJournal!$A$1:$L$890,COLUMN(HeadJournal!H$1),0),0)</f>
        <v>752.36850010443391</v>
      </c>
      <c r="Q3666" s="29">
        <v>1700</v>
      </c>
      <c r="R3666" s="31">
        <v>45560</v>
      </c>
      <c r="S3666" s="31" t="s">
        <v>3121</v>
      </c>
      <c r="T3666" s="95" t="str">
        <f t="shared" si="293"/>
        <v>2024 09</v>
      </c>
      <c r="U3666" s="32">
        <f t="shared" si="290"/>
        <v>947.63149989556609</v>
      </c>
      <c r="V3666" s="22">
        <f t="shared" si="291"/>
        <v>1.2595310672416886</v>
      </c>
      <c r="X3666" s="33"/>
      <c r="Y3666" s="33"/>
    </row>
    <row r="3667" spans="1:25" x14ac:dyDescent="0.2">
      <c r="A3667" s="93" t="s">
        <v>1940</v>
      </c>
      <c r="B3667" s="94" t="str">
        <f>IFERROR(VLOOKUP($A3667,HeadJournal!$A$1:$NTR$890,COLUMN(HeadJournal!B$1),0),"")</f>
        <v>720000309980</v>
      </c>
      <c r="C3667" s="94" t="str">
        <f>IFERROR(VLOOKUP($A3667,HeadJournal!$A$1:$NTR$890,COLUMN(HeadJournal!C$1),0),"")</f>
        <v>iHerb_VP DFD1605</v>
      </c>
      <c r="D3667" s="125" t="str">
        <f>IFERROR(VLOOKUP($A3667,HeadJournal!$A$1:$NTR$890,COLUMN(HeadJournal!D$1),0),"")</f>
        <v>Доставлен</v>
      </c>
      <c r="E3667" s="95">
        <f>IFERROR(VLOOKUP($A3667,HeadJournal!$A$1:$NTR$890,COLUMN(HeadJournal!G$1),0),"")</f>
        <v>45499</v>
      </c>
      <c r="F3667" s="95" t="str">
        <f t="shared" si="292"/>
        <v>2024 07</v>
      </c>
      <c r="G3667" s="96" t="s">
        <v>5</v>
      </c>
      <c r="H3667" s="161" t="s">
        <v>2089</v>
      </c>
      <c r="I3667" s="97" t="s">
        <v>2005</v>
      </c>
      <c r="J3667" s="97" t="s">
        <v>3781</v>
      </c>
      <c r="K3667" s="29">
        <v>23.03</v>
      </c>
      <c r="L3667" s="29">
        <v>-4.6100000000000003</v>
      </c>
      <c r="M3667" s="30">
        <f>IFERROR(VLOOKUP($A3667,HeadJournal!$A$1:$J$890,COLUMN(HeadJournal!I$1),0)*($K3667+$L3667)/(SUMIF($A:$A,$A3667,$K:$K)+SUMIF($A:$A,$A3667,$L:$L)),0)</f>
        <v>0</v>
      </c>
      <c r="N3667" s="30">
        <f>IFERROR((VLOOKUP($A3667,HeadJournal!$A$1:$K$890,COLUMN(HeadJournal!K$1),0)-VLOOKUP($A3667,HeadJournal!$A$1:$K$890,COLUMN(HeadJournal!J$1),0))*($K3667+$L3667)/(SUMIF($A:$A,$A3667,$K:$K)+SUMIF($A:$A,$A3667,$L:$L)),0)</f>
        <v>0</v>
      </c>
      <c r="O3667" s="30">
        <f>IFERROR((VLOOKUP($A3667,HeadJournal!$A$1:$L$890,COLUMN(HeadJournal!L$1),0)*($K3667+$L3667)/(SUMIF($A:$A,$A3667,$K:$K)+SUMIF($A:$A,$A3667,$L:$L)))/VLOOKUP($A3667,HeadJournal!$A$1:$L$890,COLUMN(HeadJournal!H$1),0),0)</f>
        <v>0.86874992948795682</v>
      </c>
      <c r="P3667" s="30">
        <f>IFERROR(SUM(K3667:O3667)*VLOOKUP($A3667,HeadJournal!$A$1:$L$890,COLUMN(HeadJournal!H$1),0),0)</f>
        <v>1918.1491725845917</v>
      </c>
      <c r="Q3667" s="29">
        <v>2900</v>
      </c>
      <c r="R3667" s="31">
        <v>45792</v>
      </c>
      <c r="S3667" s="31" t="s">
        <v>3121</v>
      </c>
      <c r="T3667" s="95" t="str">
        <f t="shared" si="293"/>
        <v>2025 05</v>
      </c>
      <c r="U3667" s="32">
        <f t="shared" si="290"/>
        <v>981.85082741540828</v>
      </c>
      <c r="V3667" s="22">
        <f t="shared" si="291"/>
        <v>0.51187407186502742</v>
      </c>
      <c r="X3667" s="33"/>
      <c r="Y3667" s="33"/>
    </row>
    <row r="3668" spans="1:25" x14ac:dyDescent="0.2">
      <c r="A3668" s="93" t="s">
        <v>1940</v>
      </c>
      <c r="B3668" s="94" t="str">
        <f>IFERROR(VLOOKUP($A3668,HeadJournal!$A$1:$NTR$890,COLUMN(HeadJournal!B$1),0),"")</f>
        <v>720000309980</v>
      </c>
      <c r="C3668" s="94" t="str">
        <f>IFERROR(VLOOKUP($A3668,HeadJournal!$A$1:$NTR$890,COLUMN(HeadJournal!C$1),0),"")</f>
        <v>iHerb_VP DFD1605</v>
      </c>
      <c r="D3668" s="125" t="str">
        <f>IFERROR(VLOOKUP($A3668,HeadJournal!$A$1:$NTR$890,COLUMN(HeadJournal!D$1),0),"")</f>
        <v>Доставлен</v>
      </c>
      <c r="E3668" s="95">
        <f>IFERROR(VLOOKUP($A3668,HeadJournal!$A$1:$NTR$890,COLUMN(HeadJournal!G$1),0),"")</f>
        <v>45499</v>
      </c>
      <c r="F3668" s="95" t="str">
        <f t="shared" si="292"/>
        <v>2024 07</v>
      </c>
      <c r="G3668" s="96" t="s">
        <v>5</v>
      </c>
      <c r="H3668" s="161" t="s">
        <v>2624</v>
      </c>
      <c r="I3668" s="97" t="s">
        <v>2005</v>
      </c>
      <c r="J3668" s="97" t="s">
        <v>2625</v>
      </c>
      <c r="K3668" s="29">
        <v>21.5</v>
      </c>
      <c r="L3668" s="29">
        <v>-4.3</v>
      </c>
      <c r="M3668" s="30">
        <f>IFERROR(VLOOKUP($A3668,HeadJournal!$A$1:$J$890,COLUMN(HeadJournal!I$1),0)*($K3668+$L3668)/(SUMIF($A:$A,$A3668,$K:$K)+SUMIF($A:$A,$A3668,$L:$L)),0)</f>
        <v>0</v>
      </c>
      <c r="N3668" s="30">
        <f>IFERROR((VLOOKUP($A3668,HeadJournal!$A$1:$K$890,COLUMN(HeadJournal!K$1),0)-VLOOKUP($A3668,HeadJournal!$A$1:$K$890,COLUMN(HeadJournal!J$1),0))*($K3668+$L3668)/(SUMIF($A:$A,$A3668,$K:$K)+SUMIF($A:$A,$A3668,$L:$L)),0)</f>
        <v>0</v>
      </c>
      <c r="O3668" s="30">
        <f>IFERROR((VLOOKUP($A3668,HeadJournal!$A$1:$L$890,COLUMN(HeadJournal!L$1),0)*($K3668+$L3668)/(SUMIF($A:$A,$A3668,$K:$K)+SUMIF($A:$A,$A3668,$L:$L)))/VLOOKUP($A3668,HeadJournal!$A$1:$L$890,COLUMN(HeadJournal!H$1),0),0)</f>
        <v>0.8112105747661702</v>
      </c>
      <c r="P3668" s="30">
        <f>IFERROR(SUM(K3668:O3668)*VLOOKUP($A3668,HeadJournal!$A$1:$L$890,COLUMN(HeadJournal!H$1),0),0)</f>
        <v>1791.1056334666109</v>
      </c>
      <c r="Q3668" s="29">
        <v>3100</v>
      </c>
      <c r="R3668" s="31">
        <v>45637</v>
      </c>
      <c r="S3668" s="31" t="s">
        <v>3121</v>
      </c>
      <c r="T3668" s="95" t="str">
        <f t="shared" si="293"/>
        <v>2024 12</v>
      </c>
      <c r="U3668" s="32">
        <f t="shared" si="290"/>
        <v>1308.8943665333891</v>
      </c>
      <c r="V3668" s="22">
        <f t="shared" si="291"/>
        <v>0.73077452389007236</v>
      </c>
      <c r="X3668" s="33"/>
      <c r="Y3668" s="33"/>
    </row>
    <row r="3669" spans="1:25" x14ac:dyDescent="0.2">
      <c r="A3669" s="93" t="s">
        <v>1944</v>
      </c>
      <c r="B3669" s="94">
        <f>IFERROR(VLOOKUP($A3669,HeadJournal!$A$1:$NTR$890,COLUMN(HeadJournal!B$1),0),"")</f>
        <v>0</v>
      </c>
      <c r="C3669" s="94" t="str">
        <f>IFERROR(VLOOKUP($A3669,HeadJournal!$A$1:$NTR$890,COLUMN(HeadJournal!C$1),0),"")</f>
        <v>WBRS</v>
      </c>
      <c r="D3669" s="125" t="str">
        <f>IFERROR(VLOOKUP($A3669,HeadJournal!$A$1:$NTR$890,COLUMN(HeadJournal!D$1),0),"")</f>
        <v>Доставлен</v>
      </c>
      <c r="E3669" s="95">
        <f>IFERROR(VLOOKUP($A3669,HeadJournal!$A$1:$NTR$890,COLUMN(HeadJournal!G$1),0),"")</f>
        <v>45513</v>
      </c>
      <c r="F3669" s="95" t="str">
        <f t="shared" si="292"/>
        <v>2024 08</v>
      </c>
      <c r="G3669" s="96" t="s">
        <v>6</v>
      </c>
      <c r="H3669" s="175" t="s">
        <v>1948</v>
      </c>
      <c r="I3669" s="176" t="s">
        <v>560</v>
      </c>
      <c r="J3669" s="97" t="s">
        <v>1947</v>
      </c>
      <c r="K3669" s="29">
        <v>955</v>
      </c>
      <c r="L3669" s="29">
        <v>0</v>
      </c>
      <c r="M3669" s="30">
        <f>IFERROR(VLOOKUP($A3669,HeadJournal!$A$1:$J$890,COLUMN(HeadJournal!I$1),0)*($K3669+$L3669)/(SUMIF($A:$A,$A3669,$K:$K)+SUMIF($A:$A,$A3669,$L:$L)),0)</f>
        <v>0</v>
      </c>
      <c r="N3669" s="30">
        <f>IFERROR((VLOOKUP($A3669,HeadJournal!$A$1:$K$890,COLUMN(HeadJournal!K$1),0)-VLOOKUP($A3669,HeadJournal!$A$1:$K$890,COLUMN(HeadJournal!J$1),0))*($K3669+$L3669)/(SUMIF($A:$A,$A3669,$K:$K)+SUMIF($A:$A,$A3669,$L:$L)),0)</f>
        <v>40</v>
      </c>
      <c r="O3669" s="30">
        <f>IFERROR((VLOOKUP($A3669,HeadJournal!$A$1:$L$890,COLUMN(HeadJournal!L$1),0)*($K3669+$L3669)/(SUMIF($A:$A,$A3669,$K:$K)+SUMIF($A:$A,$A3669,$L:$L)))/VLOOKUP($A3669,HeadJournal!$A$1:$L$890,COLUMN(HeadJournal!H$1),0),0)</f>
        <v>0</v>
      </c>
      <c r="P3669" s="30">
        <f>IFERROR(SUM(K3669:O3669)*VLOOKUP($A3669,HeadJournal!$A$1:$L$890,COLUMN(HeadJournal!H$1),0),0)</f>
        <v>995</v>
      </c>
      <c r="Q3669" s="29">
        <v>1700</v>
      </c>
      <c r="R3669" s="31">
        <v>45514</v>
      </c>
      <c r="S3669" s="31" t="s">
        <v>3121</v>
      </c>
      <c r="T3669" s="95" t="str">
        <f t="shared" si="293"/>
        <v>2024 08</v>
      </c>
      <c r="U3669" s="32">
        <f t="shared" si="290"/>
        <v>705</v>
      </c>
      <c r="V3669" s="22">
        <f t="shared" si="291"/>
        <v>0.70854271356783916</v>
      </c>
      <c r="X3669" s="33"/>
      <c r="Y3669" s="33"/>
    </row>
    <row r="3670" spans="1:25" x14ac:dyDescent="0.2">
      <c r="A3670" s="93" t="s">
        <v>1945</v>
      </c>
      <c r="B3670" s="94">
        <f>IFERROR(VLOOKUP($A3670,HeadJournal!$A$1:$NTR$890,COLUMN(HeadJournal!B$1),0),"")</f>
        <v>0</v>
      </c>
      <c r="C3670" s="94" t="str">
        <f>IFERROR(VLOOKUP($A3670,HeadJournal!$A$1:$NTR$890,COLUMN(HeadJournal!C$1),0),"")</f>
        <v>OZON_OA</v>
      </c>
      <c r="D3670" s="125" t="str">
        <f>IFERROR(VLOOKUP($A3670,HeadJournal!$A$1:$NTR$890,COLUMN(HeadJournal!D$1),0),"")</f>
        <v>Доставлен</v>
      </c>
      <c r="E3670" s="95">
        <f>IFERROR(VLOOKUP($A3670,HeadJournal!$A$1:$NTR$890,COLUMN(HeadJournal!G$1),0),"")</f>
        <v>45511</v>
      </c>
      <c r="F3670" s="95" t="str">
        <f t="shared" si="292"/>
        <v>2024 08</v>
      </c>
      <c r="G3670" s="96" t="s">
        <v>6</v>
      </c>
      <c r="H3670" s="175" t="s">
        <v>1949</v>
      </c>
      <c r="I3670" s="176" t="s">
        <v>560</v>
      </c>
      <c r="J3670" s="97" t="s">
        <v>3715</v>
      </c>
      <c r="K3670" s="29">
        <v>859.06</v>
      </c>
      <c r="L3670" s="29">
        <v>0</v>
      </c>
      <c r="M3670" s="30">
        <f>IFERROR(VLOOKUP($A3670,HeadJournal!$A$1:$J$890,COLUMN(HeadJournal!I$1),0)*($K3670+$L3670)/(SUMIF($A:$A,$A3670,$K:$K)+SUMIF($A:$A,$A3670,$L:$L)),0)</f>
        <v>0</v>
      </c>
      <c r="N3670" s="30">
        <f>IFERROR((VLOOKUP($A3670,HeadJournal!$A$1:$K$890,COLUMN(HeadJournal!K$1),0)-VLOOKUP($A3670,HeadJournal!$A$1:$K$890,COLUMN(HeadJournal!J$1),0))*($K3670+$L3670)/(SUMIF($A:$A,$A3670,$K:$K)+SUMIF($A:$A,$A3670,$L:$L)),0)</f>
        <v>-1.0170665432244879E-13</v>
      </c>
      <c r="O3670" s="30">
        <f>IFERROR((VLOOKUP($A3670,HeadJournal!$A$1:$L$890,COLUMN(HeadJournal!L$1),0)*($K3670+$L3670)/(SUMIF($A:$A,$A3670,$K:$K)+SUMIF($A:$A,$A3670,$L:$L)))/VLOOKUP($A3670,HeadJournal!$A$1:$L$890,COLUMN(HeadJournal!H$1),0),0)</f>
        <v>0</v>
      </c>
      <c r="P3670" s="30">
        <f>IFERROR(SUM(K3670:O3670)*VLOOKUP($A3670,HeadJournal!$A$1:$L$890,COLUMN(HeadJournal!H$1),0),0)</f>
        <v>859.05999999999983</v>
      </c>
      <c r="Q3670" s="29"/>
      <c r="R3670" s="31"/>
      <c r="S3670" s="31"/>
      <c r="T3670" s="95" t="str">
        <f t="shared" si="293"/>
        <v/>
      </c>
      <c r="U3670" s="32">
        <f t="shared" si="290"/>
        <v>-859.05999999999983</v>
      </c>
      <c r="V3670" s="22" t="str">
        <f t="shared" si="291"/>
        <v/>
      </c>
      <c r="X3670" s="33"/>
      <c r="Y3670" s="33"/>
    </row>
    <row r="3671" spans="1:25" x14ac:dyDescent="0.2">
      <c r="A3671" s="93" t="s">
        <v>1945</v>
      </c>
      <c r="B3671" s="94">
        <f>IFERROR(VLOOKUP($A3671,HeadJournal!$A$1:$NTR$890,COLUMN(HeadJournal!B$1),0),"")</f>
        <v>0</v>
      </c>
      <c r="C3671" s="94" t="str">
        <f>IFERROR(VLOOKUP($A3671,HeadJournal!$A$1:$NTR$890,COLUMN(HeadJournal!C$1),0),"")</f>
        <v>OZON_OA</v>
      </c>
      <c r="D3671" s="125" t="str">
        <f>IFERROR(VLOOKUP($A3671,HeadJournal!$A$1:$NTR$890,COLUMN(HeadJournal!D$1),0),"")</f>
        <v>Доставлен</v>
      </c>
      <c r="E3671" s="95">
        <f>IFERROR(VLOOKUP($A3671,HeadJournal!$A$1:$NTR$890,COLUMN(HeadJournal!G$1),0),"")</f>
        <v>45511</v>
      </c>
      <c r="F3671" s="95" t="str">
        <f t="shared" si="292"/>
        <v>2024 08</v>
      </c>
      <c r="G3671" s="96" t="s">
        <v>6</v>
      </c>
      <c r="H3671" s="160" t="s">
        <v>3842</v>
      </c>
      <c r="I3671" s="96" t="str">
        <f t="shared" si="289"/>
        <v>SOUL WAY</v>
      </c>
      <c r="J3671" s="97" t="s">
        <v>1946</v>
      </c>
      <c r="K3671" s="29">
        <v>829.98</v>
      </c>
      <c r="L3671" s="29">
        <v>0</v>
      </c>
      <c r="M3671" s="30">
        <f>IFERROR(VLOOKUP($A3671,HeadJournal!$A$1:$J$890,COLUMN(HeadJournal!I$1),0)*($K3671+$L3671)/(SUMIF($A:$A,$A3671,$K:$K)+SUMIF($A:$A,$A3671,$L:$L)),0)</f>
        <v>0</v>
      </c>
      <c r="N3671" s="30">
        <f>IFERROR((VLOOKUP($A3671,HeadJournal!$A$1:$K$890,COLUMN(HeadJournal!K$1),0)-VLOOKUP($A3671,HeadJournal!$A$1:$K$890,COLUMN(HeadJournal!J$1),0))*($K3671+$L3671)/(SUMIF($A:$A,$A3671,$K:$K)+SUMIF($A:$A,$A3671,$L:$L)),0)</f>
        <v>-9.8263787109801469E-14</v>
      </c>
      <c r="O3671" s="30">
        <f>IFERROR((VLOOKUP($A3671,HeadJournal!$A$1:$L$890,COLUMN(HeadJournal!L$1),0)*($K3671+$L3671)/(SUMIF($A:$A,$A3671,$K:$K)+SUMIF($A:$A,$A3671,$L:$L)))/VLOOKUP($A3671,HeadJournal!$A$1:$L$890,COLUMN(HeadJournal!H$1),0),0)</f>
        <v>0</v>
      </c>
      <c r="P3671" s="30">
        <f>IFERROR(SUM(K3671:O3671)*VLOOKUP($A3671,HeadJournal!$A$1:$L$890,COLUMN(HeadJournal!H$1),0),0)</f>
        <v>829.9799999999999</v>
      </c>
      <c r="Q3671" s="29">
        <v>1200</v>
      </c>
      <c r="R3671" s="31">
        <v>45944</v>
      </c>
      <c r="S3671" s="31" t="s">
        <v>3475</v>
      </c>
      <c r="T3671" s="95" t="str">
        <f t="shared" si="293"/>
        <v>2025 10</v>
      </c>
      <c r="U3671" s="32">
        <f t="shared" si="290"/>
        <v>370.0200000000001</v>
      </c>
      <c r="V3671" s="22">
        <f t="shared" si="291"/>
        <v>0.44581797151738611</v>
      </c>
      <c r="X3671" s="33"/>
      <c r="Y3671" s="33"/>
    </row>
    <row r="3672" spans="1:25" x14ac:dyDescent="0.2">
      <c r="A3672" s="93" t="s">
        <v>1945</v>
      </c>
      <c r="B3672" s="94">
        <f>IFERROR(VLOOKUP($A3672,HeadJournal!$A$1:$NTR$890,COLUMN(HeadJournal!B$1),0),"")</f>
        <v>0</v>
      </c>
      <c r="C3672" s="94" t="str">
        <f>IFERROR(VLOOKUP($A3672,HeadJournal!$A$1:$NTR$890,COLUMN(HeadJournal!C$1),0),"")</f>
        <v>OZON_OA</v>
      </c>
      <c r="D3672" s="125" t="str">
        <f>IFERROR(VLOOKUP($A3672,HeadJournal!$A$1:$NTR$890,COLUMN(HeadJournal!D$1),0),"")</f>
        <v>Доставлен</v>
      </c>
      <c r="E3672" s="95">
        <f>IFERROR(VLOOKUP($A3672,HeadJournal!$A$1:$NTR$890,COLUMN(HeadJournal!G$1),0),"")</f>
        <v>45511</v>
      </c>
      <c r="F3672" s="95" t="str">
        <f t="shared" si="292"/>
        <v>2024 08</v>
      </c>
      <c r="G3672" s="96" t="s">
        <v>6</v>
      </c>
      <c r="H3672" s="175" t="s">
        <v>1948</v>
      </c>
      <c r="I3672" s="176" t="s">
        <v>560</v>
      </c>
      <c r="J3672" s="97" t="s">
        <v>1947</v>
      </c>
      <c r="K3672" s="29">
        <v>717.32</v>
      </c>
      <c r="L3672" s="29">
        <v>0</v>
      </c>
      <c r="M3672" s="30">
        <f>IFERROR(VLOOKUP($A3672,HeadJournal!$A$1:$J$890,COLUMN(HeadJournal!I$1),0)*($K3672+$L3672)/(SUMIF($A:$A,$A3672,$K:$K)+SUMIF($A:$A,$A3672,$L:$L)),0)</f>
        <v>0</v>
      </c>
      <c r="N3672" s="30">
        <f>IFERROR((VLOOKUP($A3672,HeadJournal!$A$1:$K$890,COLUMN(HeadJournal!K$1),0)-VLOOKUP($A3672,HeadJournal!$A$1:$K$890,COLUMN(HeadJournal!J$1),0))*($K3672+$L3672)/(SUMIF($A:$A,$A3672,$K:$K)+SUMIF($A:$A,$A3672,$L:$L)),0)</f>
        <v>-8.4925636484737937E-14</v>
      </c>
      <c r="O3672" s="30">
        <f>IFERROR((VLOOKUP($A3672,HeadJournal!$A$1:$L$890,COLUMN(HeadJournal!L$1),0)*($K3672+$L3672)/(SUMIF($A:$A,$A3672,$K:$K)+SUMIF($A:$A,$A3672,$L:$L)))/VLOOKUP($A3672,HeadJournal!$A$1:$L$890,COLUMN(HeadJournal!H$1),0),0)</f>
        <v>0</v>
      </c>
      <c r="P3672" s="30">
        <f>IFERROR(SUM(K3672:O3672)*VLOOKUP($A3672,HeadJournal!$A$1:$L$890,COLUMN(HeadJournal!H$1),0),0)</f>
        <v>717.31999999999994</v>
      </c>
      <c r="Q3672" s="29">
        <v>1200</v>
      </c>
      <c r="R3672" s="31">
        <v>45849</v>
      </c>
      <c r="S3672" s="31"/>
      <c r="T3672" s="95" t="str">
        <f t="shared" si="293"/>
        <v>2025 07</v>
      </c>
      <c r="U3672" s="32">
        <f t="shared" si="290"/>
        <v>482.68000000000006</v>
      </c>
      <c r="V3672" s="22">
        <f t="shared" si="291"/>
        <v>0.67289354820721592</v>
      </c>
      <c r="X3672" s="33"/>
      <c r="Y3672" s="33"/>
    </row>
    <row r="3673" spans="1:25" x14ac:dyDescent="0.2">
      <c r="A3673" s="93" t="s">
        <v>1945</v>
      </c>
      <c r="B3673" s="94">
        <f>IFERROR(VLOOKUP($A3673,HeadJournal!$A$1:$NTR$890,COLUMN(HeadJournal!B$1),0),"")</f>
        <v>0</v>
      </c>
      <c r="C3673" s="94" t="str">
        <f>IFERROR(VLOOKUP($A3673,HeadJournal!$A$1:$NTR$890,COLUMN(HeadJournal!C$1),0),"")</f>
        <v>OZON_OA</v>
      </c>
      <c r="D3673" s="125" t="str">
        <f>IFERROR(VLOOKUP($A3673,HeadJournal!$A$1:$NTR$890,COLUMN(HeadJournal!D$1),0),"")</f>
        <v>Доставлен</v>
      </c>
      <c r="E3673" s="95">
        <f>IFERROR(VLOOKUP($A3673,HeadJournal!$A$1:$NTR$890,COLUMN(HeadJournal!G$1),0),"")</f>
        <v>45511</v>
      </c>
      <c r="F3673" s="95" t="str">
        <f t="shared" si="292"/>
        <v>2024 08</v>
      </c>
      <c r="G3673" s="96" t="s">
        <v>6</v>
      </c>
      <c r="H3673" s="175" t="s">
        <v>1949</v>
      </c>
      <c r="I3673" s="176" t="s">
        <v>560</v>
      </c>
      <c r="J3673" s="97" t="s">
        <v>3715</v>
      </c>
      <c r="K3673" s="29">
        <v>717.32</v>
      </c>
      <c r="L3673" s="29">
        <v>0</v>
      </c>
      <c r="M3673" s="30">
        <f>IFERROR(VLOOKUP($A3673,HeadJournal!$A$1:$J$890,COLUMN(HeadJournal!I$1),0)*($K3673+$L3673)/(SUMIF($A:$A,$A3673,$K:$K)+SUMIF($A:$A,$A3673,$L:$L)),0)</f>
        <v>0</v>
      </c>
      <c r="N3673" s="30">
        <f>IFERROR((VLOOKUP($A3673,HeadJournal!$A$1:$K$890,COLUMN(HeadJournal!K$1),0)-VLOOKUP($A3673,HeadJournal!$A$1:$K$890,COLUMN(HeadJournal!J$1),0))*($K3673+$L3673)/(SUMIF($A:$A,$A3673,$K:$K)+SUMIF($A:$A,$A3673,$L:$L)),0)</f>
        <v>-8.4925636484737937E-14</v>
      </c>
      <c r="O3673" s="30">
        <f>IFERROR((VLOOKUP($A3673,HeadJournal!$A$1:$L$890,COLUMN(HeadJournal!L$1),0)*($K3673+$L3673)/(SUMIF($A:$A,$A3673,$K:$K)+SUMIF($A:$A,$A3673,$L:$L)))/VLOOKUP($A3673,HeadJournal!$A$1:$L$890,COLUMN(HeadJournal!H$1),0),0)</f>
        <v>0</v>
      </c>
      <c r="P3673" s="30">
        <f>IFERROR(SUM(K3673:O3673)*VLOOKUP($A3673,HeadJournal!$A$1:$L$890,COLUMN(HeadJournal!H$1),0),0)</f>
        <v>717.31999999999994</v>
      </c>
      <c r="Q3673" s="29">
        <v>1200</v>
      </c>
      <c r="R3673" s="31">
        <v>45849</v>
      </c>
      <c r="S3673" s="31"/>
      <c r="T3673" s="95" t="str">
        <f t="shared" si="293"/>
        <v>2025 07</v>
      </c>
      <c r="U3673" s="32">
        <f t="shared" si="290"/>
        <v>482.68000000000006</v>
      </c>
      <c r="V3673" s="22">
        <f t="shared" si="291"/>
        <v>0.67289354820721592</v>
      </c>
      <c r="X3673" s="33"/>
      <c r="Y3673" s="33"/>
    </row>
    <row r="3674" spans="1:25" x14ac:dyDescent="0.2">
      <c r="A3674" s="93" t="s">
        <v>1945</v>
      </c>
      <c r="B3674" s="94">
        <f>IFERROR(VLOOKUP($A3674,HeadJournal!$A$1:$NTR$890,COLUMN(HeadJournal!B$1),0),"")</f>
        <v>0</v>
      </c>
      <c r="C3674" s="94" t="str">
        <f>IFERROR(VLOOKUP($A3674,HeadJournal!$A$1:$NTR$890,COLUMN(HeadJournal!C$1),0),"")</f>
        <v>OZON_OA</v>
      </c>
      <c r="D3674" s="125" t="str">
        <f>IFERROR(VLOOKUP($A3674,HeadJournal!$A$1:$NTR$890,COLUMN(HeadJournal!D$1),0),"")</f>
        <v>Доставлен</v>
      </c>
      <c r="E3674" s="95">
        <f>IFERROR(VLOOKUP($A3674,HeadJournal!$A$1:$NTR$890,COLUMN(HeadJournal!G$1),0),"")</f>
        <v>45511</v>
      </c>
      <c r="F3674" s="95" t="str">
        <f t="shared" si="292"/>
        <v>2024 08</v>
      </c>
      <c r="G3674" s="96" t="s">
        <v>6</v>
      </c>
      <c r="H3674" s="175" t="s">
        <v>1950</v>
      </c>
      <c r="I3674" s="176" t="s">
        <v>560</v>
      </c>
      <c r="J3674" s="97" t="s">
        <v>1951</v>
      </c>
      <c r="K3674" s="29">
        <v>717.32</v>
      </c>
      <c r="L3674" s="29">
        <v>0</v>
      </c>
      <c r="M3674" s="30">
        <f>IFERROR(VLOOKUP($A3674,HeadJournal!$A$1:$J$890,COLUMN(HeadJournal!I$1),0)*($K3674+$L3674)/(SUMIF($A:$A,$A3674,$K:$K)+SUMIF($A:$A,$A3674,$L:$L)),0)</f>
        <v>0</v>
      </c>
      <c r="N3674" s="30">
        <f>IFERROR((VLOOKUP($A3674,HeadJournal!$A$1:$K$890,COLUMN(HeadJournal!K$1),0)-VLOOKUP($A3674,HeadJournal!$A$1:$K$890,COLUMN(HeadJournal!J$1),0))*($K3674+$L3674)/(SUMIF($A:$A,$A3674,$K:$K)+SUMIF($A:$A,$A3674,$L:$L)),0)</f>
        <v>-8.4925636484737937E-14</v>
      </c>
      <c r="O3674" s="30">
        <f>IFERROR((VLOOKUP($A3674,HeadJournal!$A$1:$L$890,COLUMN(HeadJournal!L$1),0)*($K3674+$L3674)/(SUMIF($A:$A,$A3674,$K:$K)+SUMIF($A:$A,$A3674,$L:$L)))/VLOOKUP($A3674,HeadJournal!$A$1:$L$890,COLUMN(HeadJournal!H$1),0),0)</f>
        <v>0</v>
      </c>
      <c r="P3674" s="30">
        <f>IFERROR(SUM(K3674:O3674)*VLOOKUP($A3674,HeadJournal!$A$1:$L$890,COLUMN(HeadJournal!H$1),0),0)</f>
        <v>717.31999999999994</v>
      </c>
      <c r="Q3674" s="29">
        <v>1200</v>
      </c>
      <c r="R3674" s="31">
        <v>45950</v>
      </c>
      <c r="S3674" s="31" t="s">
        <v>4457</v>
      </c>
      <c r="T3674" s="95" t="str">
        <f t="shared" si="293"/>
        <v>2025 10</v>
      </c>
      <c r="U3674" s="32">
        <f t="shared" si="290"/>
        <v>482.68000000000006</v>
      </c>
      <c r="V3674" s="22">
        <f t="shared" si="291"/>
        <v>0.67289354820721592</v>
      </c>
      <c r="X3674" s="33"/>
      <c r="Y3674" s="33"/>
    </row>
    <row r="3675" spans="1:25" x14ac:dyDescent="0.2">
      <c r="A3675" s="93" t="s">
        <v>1956</v>
      </c>
      <c r="B3675" s="94">
        <f>IFERROR(VLOOKUP($A3675,HeadJournal!$A$1:$NTR$890,COLUMN(HeadJournal!B$1),0),"")</f>
        <v>0</v>
      </c>
      <c r="C3675" s="94" t="str">
        <f>IFERROR(VLOOKUP($A3675,HeadJournal!$A$1:$NTR$890,COLUMN(HeadJournal!C$1),0),"")</f>
        <v>YAMARKET</v>
      </c>
      <c r="D3675" s="125" t="str">
        <f>IFERROR(VLOOKUP($A3675,HeadJournal!$A$1:$NTR$890,COLUMN(HeadJournal!D$1),0),"")</f>
        <v>Доставлен</v>
      </c>
      <c r="E3675" s="95">
        <f>IFERROR(VLOOKUP($A3675,HeadJournal!$A$1:$NTR$890,COLUMN(HeadJournal!G$1),0),"")</f>
        <v>45504</v>
      </c>
      <c r="F3675" s="95" t="str">
        <f t="shared" si="292"/>
        <v>2024 07</v>
      </c>
      <c r="G3675" s="96" t="s">
        <v>6</v>
      </c>
      <c r="H3675" s="160" t="s">
        <v>1953</v>
      </c>
      <c r="I3675" s="96" t="str">
        <f t="shared" si="289"/>
        <v>Maxler</v>
      </c>
      <c r="J3675" s="97" t="s">
        <v>1952</v>
      </c>
      <c r="K3675" s="29">
        <v>2824</v>
      </c>
      <c r="L3675" s="29">
        <v>0</v>
      </c>
      <c r="M3675" s="30">
        <f>IFERROR(VLOOKUP($A3675,HeadJournal!$A$1:$J$890,COLUMN(HeadJournal!I$1),0)*($K3675+$L3675)/(SUMIF($A:$A,$A3675,$K:$K)+SUMIF($A:$A,$A3675,$L:$L)),0)</f>
        <v>0</v>
      </c>
      <c r="N3675" s="30">
        <f>IFERROR((VLOOKUP($A3675,HeadJournal!$A$1:$K$890,COLUMN(HeadJournal!K$1),0)-VLOOKUP($A3675,HeadJournal!$A$1:$K$890,COLUMN(HeadJournal!J$1),0))*($K3675+$L3675)/(SUMIF($A:$A,$A3675,$K:$K)+SUMIF($A:$A,$A3675,$L:$L)),0)</f>
        <v>0</v>
      </c>
      <c r="O3675" s="30">
        <f>IFERROR((VLOOKUP($A3675,HeadJournal!$A$1:$L$890,COLUMN(HeadJournal!L$1),0)*($K3675+$L3675)/(SUMIF($A:$A,$A3675,$K:$K)+SUMIF($A:$A,$A3675,$L:$L)))/VLOOKUP($A3675,HeadJournal!$A$1:$L$890,COLUMN(HeadJournal!H$1),0),0)</f>
        <v>0</v>
      </c>
      <c r="P3675" s="30">
        <f>IFERROR(SUM(K3675:O3675)*VLOOKUP($A3675,HeadJournal!$A$1:$L$890,COLUMN(HeadJournal!H$1),0),0)</f>
        <v>2824</v>
      </c>
      <c r="Q3675" s="29">
        <v>3600</v>
      </c>
      <c r="R3675" s="31">
        <v>45514</v>
      </c>
      <c r="S3675" s="31" t="s">
        <v>3121</v>
      </c>
      <c r="T3675" s="95" t="str">
        <f t="shared" si="293"/>
        <v>2024 08</v>
      </c>
      <c r="U3675" s="32">
        <f t="shared" si="290"/>
        <v>776</v>
      </c>
      <c r="V3675" s="22">
        <f t="shared" si="291"/>
        <v>0.27478753541076489</v>
      </c>
      <c r="X3675" s="33"/>
      <c r="Y3675" s="33"/>
    </row>
    <row r="3676" spans="1:25" x14ac:dyDescent="0.2">
      <c r="A3676" s="93" t="s">
        <v>1956</v>
      </c>
      <c r="B3676" s="94">
        <f>IFERROR(VLOOKUP($A3676,HeadJournal!$A$1:$NTR$890,COLUMN(HeadJournal!B$1),0),"")</f>
        <v>0</v>
      </c>
      <c r="C3676" s="94" t="str">
        <f>IFERROR(VLOOKUP($A3676,HeadJournal!$A$1:$NTR$890,COLUMN(HeadJournal!C$1),0),"")</f>
        <v>YAMARKET</v>
      </c>
      <c r="D3676" s="125" t="str">
        <f>IFERROR(VLOOKUP($A3676,HeadJournal!$A$1:$NTR$890,COLUMN(HeadJournal!D$1),0),"")</f>
        <v>Доставлен</v>
      </c>
      <c r="E3676" s="95">
        <f>IFERROR(VLOOKUP($A3676,HeadJournal!$A$1:$NTR$890,COLUMN(HeadJournal!G$1),0),"")</f>
        <v>45504</v>
      </c>
      <c r="F3676" s="95" t="str">
        <f t="shared" si="292"/>
        <v>2024 07</v>
      </c>
      <c r="G3676" s="96" t="s">
        <v>6</v>
      </c>
      <c r="H3676" s="160" t="s">
        <v>1953</v>
      </c>
      <c r="I3676" s="96" t="str">
        <f t="shared" si="289"/>
        <v>Maxler</v>
      </c>
      <c r="J3676" s="97" t="s">
        <v>1952</v>
      </c>
      <c r="K3676" s="29">
        <v>2824</v>
      </c>
      <c r="L3676" s="29">
        <v>0</v>
      </c>
      <c r="M3676" s="30">
        <f>IFERROR(VLOOKUP($A3676,HeadJournal!$A$1:$J$890,COLUMN(HeadJournal!I$1),0)*($K3676+$L3676)/(SUMIF($A:$A,$A3676,$K:$K)+SUMIF($A:$A,$A3676,$L:$L)),0)</f>
        <v>0</v>
      </c>
      <c r="N3676" s="30">
        <f>IFERROR((VLOOKUP($A3676,HeadJournal!$A$1:$K$890,COLUMN(HeadJournal!K$1),0)-VLOOKUP($A3676,HeadJournal!$A$1:$K$890,COLUMN(HeadJournal!J$1),0))*($K3676+$L3676)/(SUMIF($A:$A,$A3676,$K:$K)+SUMIF($A:$A,$A3676,$L:$L)),0)</f>
        <v>0</v>
      </c>
      <c r="O3676" s="30">
        <f>IFERROR((VLOOKUP($A3676,HeadJournal!$A$1:$L$890,COLUMN(HeadJournal!L$1),0)*($K3676+$L3676)/(SUMIF($A:$A,$A3676,$K:$K)+SUMIF($A:$A,$A3676,$L:$L)))/VLOOKUP($A3676,HeadJournal!$A$1:$L$890,COLUMN(HeadJournal!H$1),0),0)</f>
        <v>0</v>
      </c>
      <c r="P3676" s="30">
        <f>IFERROR(SUM(K3676:O3676)*VLOOKUP($A3676,HeadJournal!$A$1:$L$890,COLUMN(HeadJournal!H$1),0),0)</f>
        <v>2824</v>
      </c>
      <c r="Q3676" s="29">
        <v>3600</v>
      </c>
      <c r="R3676" s="31">
        <v>45514</v>
      </c>
      <c r="S3676" s="31" t="s">
        <v>3121</v>
      </c>
      <c r="T3676" s="95" t="str">
        <f t="shared" si="293"/>
        <v>2024 08</v>
      </c>
      <c r="U3676" s="32">
        <f t="shared" si="290"/>
        <v>776</v>
      </c>
      <c r="V3676" s="22">
        <f t="shared" si="291"/>
        <v>0.27478753541076489</v>
      </c>
      <c r="X3676" s="33"/>
      <c r="Y3676" s="33"/>
    </row>
    <row r="3677" spans="1:25" x14ac:dyDescent="0.2">
      <c r="A3677" s="93" t="s">
        <v>1956</v>
      </c>
      <c r="B3677" s="94">
        <f>IFERROR(VLOOKUP($A3677,HeadJournal!$A$1:$NTR$890,COLUMN(HeadJournal!B$1),0),"")</f>
        <v>0</v>
      </c>
      <c r="C3677" s="94" t="str">
        <f>IFERROR(VLOOKUP($A3677,HeadJournal!$A$1:$NTR$890,COLUMN(HeadJournal!C$1),0),"")</f>
        <v>YAMARKET</v>
      </c>
      <c r="D3677" s="125" t="str">
        <f>IFERROR(VLOOKUP($A3677,HeadJournal!$A$1:$NTR$890,COLUMN(HeadJournal!D$1),0),"")</f>
        <v>Доставлен</v>
      </c>
      <c r="E3677" s="95">
        <f>IFERROR(VLOOKUP($A3677,HeadJournal!$A$1:$NTR$890,COLUMN(HeadJournal!G$1),0),"")</f>
        <v>45504</v>
      </c>
      <c r="F3677" s="95" t="str">
        <f t="shared" si="292"/>
        <v>2024 07</v>
      </c>
      <c r="G3677" s="96" t="s">
        <v>6</v>
      </c>
      <c r="H3677" s="160" t="s">
        <v>3615</v>
      </c>
      <c r="I3677" s="96" t="str">
        <f t="shared" si="289"/>
        <v>Maxler</v>
      </c>
      <c r="J3677" s="97" t="s">
        <v>1954</v>
      </c>
      <c r="K3677" s="29">
        <v>3008</v>
      </c>
      <c r="L3677" s="29">
        <v>0</v>
      </c>
      <c r="M3677" s="30">
        <f>IFERROR(VLOOKUP($A3677,HeadJournal!$A$1:$J$890,COLUMN(HeadJournal!I$1),0)*($K3677+$L3677)/(SUMIF($A:$A,$A3677,$K:$K)+SUMIF($A:$A,$A3677,$L:$L)),0)</f>
        <v>0</v>
      </c>
      <c r="N3677" s="30">
        <f>IFERROR((VLOOKUP($A3677,HeadJournal!$A$1:$K$890,COLUMN(HeadJournal!K$1),0)-VLOOKUP($A3677,HeadJournal!$A$1:$K$890,COLUMN(HeadJournal!J$1),0))*($K3677+$L3677)/(SUMIF($A:$A,$A3677,$K:$K)+SUMIF($A:$A,$A3677,$L:$L)),0)</f>
        <v>0</v>
      </c>
      <c r="O3677" s="30">
        <f>IFERROR((VLOOKUP($A3677,HeadJournal!$A$1:$L$890,COLUMN(HeadJournal!L$1),0)*($K3677+$L3677)/(SUMIF($A:$A,$A3677,$K:$K)+SUMIF($A:$A,$A3677,$L:$L)))/VLOOKUP($A3677,HeadJournal!$A$1:$L$890,COLUMN(HeadJournal!H$1),0),0)</f>
        <v>0</v>
      </c>
      <c r="P3677" s="30">
        <f>IFERROR(SUM(K3677:O3677)*VLOOKUP($A3677,HeadJournal!$A$1:$L$890,COLUMN(HeadJournal!H$1),0),0)</f>
        <v>3008</v>
      </c>
      <c r="Q3677" s="29">
        <v>3600</v>
      </c>
      <c r="R3677" s="31">
        <v>45649</v>
      </c>
      <c r="S3677" s="31" t="s">
        <v>3121</v>
      </c>
      <c r="T3677" s="95" t="str">
        <f t="shared" si="293"/>
        <v>2024 12</v>
      </c>
      <c r="U3677" s="32">
        <f t="shared" si="290"/>
        <v>592</v>
      </c>
      <c r="V3677" s="22">
        <f t="shared" si="291"/>
        <v>0.19680851063829788</v>
      </c>
      <c r="X3677" s="33"/>
      <c r="Y3677" s="33"/>
    </row>
    <row r="3678" spans="1:25" x14ac:dyDescent="0.2">
      <c r="A3678" s="93" t="s">
        <v>1957</v>
      </c>
      <c r="B3678" s="94">
        <f>IFERROR(VLOOKUP($A3678,HeadJournal!$A$1:$NTR$890,COLUMN(HeadJournal!B$1),0),"")</f>
        <v>0</v>
      </c>
      <c r="C3678" s="94" t="str">
        <f>IFERROR(VLOOKUP($A3678,HeadJournal!$A$1:$NTR$890,COLUMN(HeadJournal!C$1),0),"")</f>
        <v>YAMARKET</v>
      </c>
      <c r="D3678" s="125" t="str">
        <f>IFERROR(VLOOKUP($A3678,HeadJournal!$A$1:$NTR$890,COLUMN(HeadJournal!D$1),0),"")</f>
        <v>Доставлен</v>
      </c>
      <c r="E3678" s="95">
        <f>IFERROR(VLOOKUP($A3678,HeadJournal!$A$1:$NTR$890,COLUMN(HeadJournal!G$1),0),"")</f>
        <v>45504</v>
      </c>
      <c r="F3678" s="95" t="str">
        <f t="shared" si="292"/>
        <v>2024 07</v>
      </c>
      <c r="G3678" s="96" t="s">
        <v>6</v>
      </c>
      <c r="H3678" s="160" t="s">
        <v>3614</v>
      </c>
      <c r="I3678" s="96" t="str">
        <f t="shared" si="289"/>
        <v>Maxler</v>
      </c>
      <c r="J3678" s="97" t="s">
        <v>1955</v>
      </c>
      <c r="K3678" s="29">
        <v>2045</v>
      </c>
      <c r="L3678" s="29">
        <v>0</v>
      </c>
      <c r="M3678" s="30">
        <f>IFERROR(VLOOKUP($A3678,HeadJournal!$A$1:$J$890,COLUMN(HeadJournal!I$1),0)*($K3678+$L3678)/(SUMIF($A:$A,$A3678,$K:$K)+SUMIF($A:$A,$A3678,$L:$L)),0)</f>
        <v>0</v>
      </c>
      <c r="N3678" s="30">
        <f>IFERROR((VLOOKUP($A3678,HeadJournal!$A$1:$K$890,COLUMN(HeadJournal!K$1),0)-VLOOKUP($A3678,HeadJournal!$A$1:$K$890,COLUMN(HeadJournal!J$1),0))*($K3678+$L3678)/(SUMIF($A:$A,$A3678,$K:$K)+SUMIF($A:$A,$A3678,$L:$L)),0)</f>
        <v>0</v>
      </c>
      <c r="O3678" s="30">
        <f>IFERROR((VLOOKUP($A3678,HeadJournal!$A$1:$L$890,COLUMN(HeadJournal!L$1),0)*($K3678+$L3678)/(SUMIF($A:$A,$A3678,$K:$K)+SUMIF($A:$A,$A3678,$L:$L)))/VLOOKUP($A3678,HeadJournal!$A$1:$L$890,COLUMN(HeadJournal!H$1),0),0)</f>
        <v>0</v>
      </c>
      <c r="P3678" s="30">
        <f>IFERROR(SUM(K3678:O3678)*VLOOKUP($A3678,HeadJournal!$A$1:$L$890,COLUMN(HeadJournal!H$1),0),0)</f>
        <v>2045</v>
      </c>
      <c r="Q3678" s="29">
        <v>2500</v>
      </c>
      <c r="R3678" s="31">
        <v>45513</v>
      </c>
      <c r="S3678" s="31" t="s">
        <v>3121</v>
      </c>
      <c r="T3678" s="95" t="str">
        <f t="shared" si="293"/>
        <v>2024 08</v>
      </c>
      <c r="U3678" s="32">
        <f t="shared" si="290"/>
        <v>455</v>
      </c>
      <c r="V3678" s="22">
        <f t="shared" si="291"/>
        <v>0.22249388753056235</v>
      </c>
      <c r="X3678" s="33"/>
      <c r="Y3678" s="33"/>
    </row>
    <row r="3679" spans="1:25" x14ac:dyDescent="0.2">
      <c r="A3679" s="93" t="s">
        <v>1958</v>
      </c>
      <c r="B3679" s="94">
        <f>IFERROR(VLOOKUP($A3679,HeadJournal!$A$1:$NTR$890,COLUMN(HeadJournal!B$1),0),"")</f>
        <v>0</v>
      </c>
      <c r="C3679" s="94" t="str">
        <f>IFERROR(VLOOKUP($A3679,HeadJournal!$A$1:$NTR$890,COLUMN(HeadJournal!C$1),0),"")</f>
        <v>YAMARKET</v>
      </c>
      <c r="D3679" s="125" t="str">
        <f>IFERROR(VLOOKUP($A3679,HeadJournal!$A$1:$NTR$890,COLUMN(HeadJournal!D$1),0),"")</f>
        <v>Доставлен</v>
      </c>
      <c r="E3679" s="95">
        <f>IFERROR(VLOOKUP($A3679,HeadJournal!$A$1:$NTR$890,COLUMN(HeadJournal!G$1),0),"")</f>
        <v>45504</v>
      </c>
      <c r="F3679" s="95" t="str">
        <f t="shared" si="292"/>
        <v>2024 07</v>
      </c>
      <c r="G3679" s="96" t="s">
        <v>6</v>
      </c>
      <c r="H3679" s="160" t="s">
        <v>1953</v>
      </c>
      <c r="I3679" s="96" t="str">
        <f t="shared" si="289"/>
        <v>Maxler</v>
      </c>
      <c r="J3679" s="97" t="s">
        <v>1952</v>
      </c>
      <c r="K3679" s="29">
        <v>2824</v>
      </c>
      <c r="L3679" s="29">
        <v>0</v>
      </c>
      <c r="M3679" s="30">
        <f>IFERROR(VLOOKUP($A3679,HeadJournal!$A$1:$J$890,COLUMN(HeadJournal!I$1),0)*($K3679+$L3679)/(SUMIF($A:$A,$A3679,$K:$K)+SUMIF($A:$A,$A3679,$L:$L)),0)</f>
        <v>0</v>
      </c>
      <c r="N3679" s="30">
        <f>IFERROR((VLOOKUP($A3679,HeadJournal!$A$1:$K$890,COLUMN(HeadJournal!K$1),0)-VLOOKUP($A3679,HeadJournal!$A$1:$K$890,COLUMN(HeadJournal!J$1),0))*($K3679+$L3679)/(SUMIF($A:$A,$A3679,$K:$K)+SUMIF($A:$A,$A3679,$L:$L)),0)</f>
        <v>0</v>
      </c>
      <c r="O3679" s="30">
        <f>IFERROR((VLOOKUP($A3679,HeadJournal!$A$1:$L$890,COLUMN(HeadJournal!L$1),0)*($K3679+$L3679)/(SUMIF($A:$A,$A3679,$K:$K)+SUMIF($A:$A,$A3679,$L:$L)))/VLOOKUP($A3679,HeadJournal!$A$1:$L$890,COLUMN(HeadJournal!H$1),0),0)</f>
        <v>0</v>
      </c>
      <c r="P3679" s="30">
        <f>IFERROR(SUM(K3679:O3679)*VLOOKUP($A3679,HeadJournal!$A$1:$L$890,COLUMN(HeadJournal!H$1),0),0)</f>
        <v>2824</v>
      </c>
      <c r="Q3679" s="29">
        <v>3600</v>
      </c>
      <c r="R3679" s="31">
        <v>45514</v>
      </c>
      <c r="S3679" s="31" t="s">
        <v>3121</v>
      </c>
      <c r="T3679" s="95" t="str">
        <f t="shared" si="293"/>
        <v>2024 08</v>
      </c>
      <c r="U3679" s="32">
        <f t="shared" si="290"/>
        <v>776</v>
      </c>
      <c r="V3679" s="22">
        <f t="shared" si="291"/>
        <v>0.27478753541076489</v>
      </c>
      <c r="X3679" s="33"/>
      <c r="Y3679" s="33"/>
    </row>
    <row r="3680" spans="1:25" x14ac:dyDescent="0.2">
      <c r="A3680" s="93" t="s">
        <v>1960</v>
      </c>
      <c r="B3680" s="94" t="str">
        <f>IFERROR(VLOOKUP($A3680,HeadJournal!$A$1:$NTR$890,COLUMN(HeadJournal!B$1),0),"")</f>
        <v>720000335875</v>
      </c>
      <c r="C3680" s="94" t="str">
        <f>IFERROR(VLOOKUP($A3680,HeadJournal!$A$1:$NTR$890,COLUMN(HeadJournal!C$1),0),"")</f>
        <v>iHerb_AV CYG0792</v>
      </c>
      <c r="D3680" s="125" t="str">
        <f>IFERROR(VLOOKUP($A3680,HeadJournal!$A$1:$NTR$890,COLUMN(HeadJournal!D$1),0),"")</f>
        <v>Доставлен</v>
      </c>
      <c r="E3680" s="95">
        <f>IFERROR(VLOOKUP($A3680,HeadJournal!$A$1:$NTR$890,COLUMN(HeadJournal!G$1),0),"")</f>
        <v>45525</v>
      </c>
      <c r="F3680" s="95" t="str">
        <f t="shared" si="292"/>
        <v>2024 08</v>
      </c>
      <c r="G3680" s="96" t="s">
        <v>5</v>
      </c>
      <c r="H3680" s="161" t="s">
        <v>2755</v>
      </c>
      <c r="I3680" s="97" t="s">
        <v>2005</v>
      </c>
      <c r="J3680" s="97" t="s">
        <v>2756</v>
      </c>
      <c r="K3680" s="29">
        <v>17.510000000000002</v>
      </c>
      <c r="L3680" s="29">
        <v>-3.5</v>
      </c>
      <c r="M3680" s="30">
        <f>IFERROR(VLOOKUP($A3680,HeadJournal!$A$1:$J$890,COLUMN(HeadJournal!I$1),0)*($K3680+$L3680)/(SUMIF($A:$A,$A3680,$K:$K)+SUMIF($A:$A,$A3680,$L:$L)),0)</f>
        <v>0</v>
      </c>
      <c r="N3680" s="30">
        <f>IFERROR((VLOOKUP($A3680,HeadJournal!$A$1:$K$890,COLUMN(HeadJournal!K$1),0)-VLOOKUP($A3680,HeadJournal!$A$1:$K$890,COLUMN(HeadJournal!J$1),0))*($K3680+$L3680)/(SUMIF($A:$A,$A3680,$K:$K)+SUMIF($A:$A,$A3680,$L:$L)),0)</f>
        <v>0</v>
      </c>
      <c r="O3680" s="30">
        <f>IFERROR((VLOOKUP($A3680,HeadJournal!$A$1:$L$890,COLUMN(HeadJournal!L$1),0)*($K3680+$L3680)/(SUMIF($A:$A,$A3680,$K:$K)+SUMIF($A:$A,$A3680,$L:$L)))/VLOOKUP($A3680,HeadJournal!$A$1:$L$890,COLUMN(HeadJournal!H$1),0),0)</f>
        <v>0.78580090037952155</v>
      </c>
      <c r="P3680" s="30">
        <f>IFERROR(SUM(K3680:O3680)*VLOOKUP($A3680,HeadJournal!$A$1:$L$890,COLUMN(HeadJournal!H$1),0),0)</f>
        <v>1477.5068585939591</v>
      </c>
      <c r="Q3680" s="29">
        <v>2400</v>
      </c>
      <c r="R3680" s="31">
        <v>45565</v>
      </c>
      <c r="S3680" s="31" t="s">
        <v>3121</v>
      </c>
      <c r="T3680" s="95" t="str">
        <f t="shared" si="293"/>
        <v>2024 09</v>
      </c>
      <c r="U3680" s="32">
        <f t="shared" si="290"/>
        <v>922.49314140604088</v>
      </c>
      <c r="V3680" s="22">
        <f t="shared" si="291"/>
        <v>0.62435794192110461</v>
      </c>
      <c r="X3680" s="33"/>
      <c r="Y3680" s="33"/>
    </row>
    <row r="3681" spans="1:25" x14ac:dyDescent="0.2">
      <c r="A3681" s="93" t="s">
        <v>1960</v>
      </c>
      <c r="B3681" s="94" t="str">
        <f>IFERROR(VLOOKUP($A3681,HeadJournal!$A$1:$NTR$890,COLUMN(HeadJournal!B$1),0),"")</f>
        <v>720000335875</v>
      </c>
      <c r="C3681" s="94" t="str">
        <f>IFERROR(VLOOKUP($A3681,HeadJournal!$A$1:$NTR$890,COLUMN(HeadJournal!C$1),0),"")</f>
        <v>iHerb_AV CYG0792</v>
      </c>
      <c r="D3681" s="125" t="str">
        <f>IFERROR(VLOOKUP($A3681,HeadJournal!$A$1:$NTR$890,COLUMN(HeadJournal!D$1),0),"")</f>
        <v>Доставлен</v>
      </c>
      <c r="E3681" s="95">
        <f>IFERROR(VLOOKUP($A3681,HeadJournal!$A$1:$NTR$890,COLUMN(HeadJournal!G$1),0),"")</f>
        <v>45525</v>
      </c>
      <c r="F3681" s="95" t="str">
        <f t="shared" si="292"/>
        <v>2024 08</v>
      </c>
      <c r="G3681" s="96" t="s">
        <v>5</v>
      </c>
      <c r="H3681" s="161" t="s">
        <v>2189</v>
      </c>
      <c r="I3681" s="97" t="s">
        <v>2005</v>
      </c>
      <c r="J3681" s="97" t="s">
        <v>4154</v>
      </c>
      <c r="K3681" s="29">
        <v>30.48</v>
      </c>
      <c r="L3681" s="29">
        <v>-6.1</v>
      </c>
      <c r="M3681" s="30">
        <f>IFERROR(VLOOKUP($A3681,HeadJournal!$A$1:$J$890,COLUMN(HeadJournal!I$1),0)*($K3681+$L3681)/(SUMIF($A:$A,$A3681,$K:$K)+SUMIF($A:$A,$A3681,$L:$L)),0)</f>
        <v>0</v>
      </c>
      <c r="N3681" s="30">
        <f>IFERROR((VLOOKUP($A3681,HeadJournal!$A$1:$K$890,COLUMN(HeadJournal!K$1),0)-VLOOKUP($A3681,HeadJournal!$A$1:$K$890,COLUMN(HeadJournal!J$1),0))*($K3681+$L3681)/(SUMIF($A:$A,$A3681,$K:$K)+SUMIF($A:$A,$A3681,$L:$L)),0)</f>
        <v>0</v>
      </c>
      <c r="O3681" s="30">
        <f>IFERROR((VLOOKUP($A3681,HeadJournal!$A$1:$L$890,COLUMN(HeadJournal!L$1),0)*($K3681+$L3681)/(SUMIF($A:$A,$A3681,$K:$K)+SUMIF($A:$A,$A3681,$L:$L)))/VLOOKUP($A3681,HeadJournal!$A$1:$L$890,COLUMN(HeadJournal!H$1),0),0)</f>
        <v>1.3674393969488032</v>
      </c>
      <c r="P3681" s="30">
        <f>IFERROR(SUM(K3681:O3681)*VLOOKUP($A3681,HeadJournal!$A$1:$L$890,COLUMN(HeadJournal!H$1),0),0)</f>
        <v>2571.1361322284597</v>
      </c>
      <c r="Q3681" s="29">
        <v>3450</v>
      </c>
      <c r="R3681" s="31">
        <v>45565</v>
      </c>
      <c r="S3681" s="31" t="s">
        <v>3121</v>
      </c>
      <c r="T3681" s="95" t="str">
        <f t="shared" si="293"/>
        <v>2024 09</v>
      </c>
      <c r="U3681" s="32">
        <f t="shared" si="290"/>
        <v>878.8638677715403</v>
      </c>
      <c r="V3681" s="22">
        <f t="shared" si="291"/>
        <v>0.34181926688176167</v>
      </c>
      <c r="X3681" s="33"/>
      <c r="Y3681" s="33"/>
    </row>
    <row r="3682" spans="1:25" x14ac:dyDescent="0.2">
      <c r="A3682" s="93" t="s">
        <v>1960</v>
      </c>
      <c r="B3682" s="94" t="str">
        <f>IFERROR(VLOOKUP($A3682,HeadJournal!$A$1:$NTR$890,COLUMN(HeadJournal!B$1),0),"")</f>
        <v>720000335875</v>
      </c>
      <c r="C3682" s="94" t="str">
        <f>IFERROR(VLOOKUP($A3682,HeadJournal!$A$1:$NTR$890,COLUMN(HeadJournal!C$1),0),"")</f>
        <v>iHerb_AV CYG0792</v>
      </c>
      <c r="D3682" s="125" t="str">
        <f>IFERROR(VLOOKUP($A3682,HeadJournal!$A$1:$NTR$890,COLUMN(HeadJournal!D$1),0),"")</f>
        <v>Доставлен</v>
      </c>
      <c r="E3682" s="95">
        <f>IFERROR(VLOOKUP($A3682,HeadJournal!$A$1:$NTR$890,COLUMN(HeadJournal!G$1),0),"")</f>
        <v>45525</v>
      </c>
      <c r="F3682" s="95" t="str">
        <f t="shared" si="292"/>
        <v>2024 08</v>
      </c>
      <c r="G3682" s="96" t="s">
        <v>5</v>
      </c>
      <c r="H3682" s="160" t="str">
        <f>RIGHT(Journal!$J3682,9)</f>
        <v>NOW-01298</v>
      </c>
      <c r="I3682" s="127" t="str">
        <f t="shared" si="289"/>
        <v>NOW Foods</v>
      </c>
      <c r="J3682" s="97" t="s">
        <v>453</v>
      </c>
      <c r="K3682" s="29">
        <v>24.32</v>
      </c>
      <c r="L3682" s="29">
        <v>-4.8600000000000003</v>
      </c>
      <c r="M3682" s="30">
        <f>IFERROR(VLOOKUP($A3682,HeadJournal!$A$1:$J$890,COLUMN(HeadJournal!I$1),0)*($K3682+$L3682)/(SUMIF($A:$A,$A3682,$K:$K)+SUMIF($A:$A,$A3682,$L:$L)),0)</f>
        <v>0</v>
      </c>
      <c r="N3682" s="30">
        <f>IFERROR((VLOOKUP($A3682,HeadJournal!$A$1:$K$890,COLUMN(HeadJournal!K$1),0)-VLOOKUP($A3682,HeadJournal!$A$1:$K$890,COLUMN(HeadJournal!J$1),0))*($K3682+$L3682)/(SUMIF($A:$A,$A3682,$K:$K)+SUMIF($A:$A,$A3682,$L:$L)),0)</f>
        <v>0</v>
      </c>
      <c r="O3682" s="30">
        <f>IFERROR((VLOOKUP($A3682,HeadJournal!$A$1:$L$890,COLUMN(HeadJournal!L$1),0)*($K3682+$L3682)/(SUMIF($A:$A,$A3682,$K:$K)+SUMIF($A:$A,$A3682,$L:$L)))/VLOOKUP($A3682,HeadJournal!$A$1:$L$890,COLUMN(HeadJournal!H$1),0),0)</f>
        <v>1.0914836203701275</v>
      </c>
      <c r="P3682" s="30">
        <f>IFERROR(SUM(K3682:O3682)*VLOOKUP($A3682,HeadJournal!$A$1:$L$890,COLUMN(HeadJournal!H$1),0),0)</f>
        <v>2052.268627283258</v>
      </c>
      <c r="Q3682" s="29">
        <v>2800</v>
      </c>
      <c r="R3682" s="31">
        <v>45565</v>
      </c>
      <c r="S3682" s="31" t="s">
        <v>3121</v>
      </c>
      <c r="T3682" s="95" t="str">
        <f t="shared" si="293"/>
        <v>2024 09</v>
      </c>
      <c r="U3682" s="32">
        <f t="shared" si="290"/>
        <v>747.73137271674204</v>
      </c>
      <c r="V3682" s="22">
        <f t="shared" si="291"/>
        <v>0.36434381093013646</v>
      </c>
      <c r="X3682" s="33"/>
      <c r="Y3682" s="33"/>
    </row>
    <row r="3683" spans="1:25" x14ac:dyDescent="0.2">
      <c r="A3683" s="93" t="s">
        <v>1960</v>
      </c>
      <c r="B3683" s="94" t="str">
        <f>IFERROR(VLOOKUP($A3683,HeadJournal!$A$1:$NTR$890,COLUMN(HeadJournal!B$1),0),"")</f>
        <v>720000335875</v>
      </c>
      <c r="C3683" s="94" t="str">
        <f>IFERROR(VLOOKUP($A3683,HeadJournal!$A$1:$NTR$890,COLUMN(HeadJournal!C$1),0),"")</f>
        <v>iHerb_AV CYG0792</v>
      </c>
      <c r="D3683" s="125" t="str">
        <f>IFERROR(VLOOKUP($A3683,HeadJournal!$A$1:$NTR$890,COLUMN(HeadJournal!D$1),0),"")</f>
        <v>Доставлен</v>
      </c>
      <c r="E3683" s="95">
        <f>IFERROR(VLOOKUP($A3683,HeadJournal!$A$1:$NTR$890,COLUMN(HeadJournal!G$1),0),"")</f>
        <v>45525</v>
      </c>
      <c r="F3683" s="95" t="str">
        <f t="shared" si="292"/>
        <v>2024 08</v>
      </c>
      <c r="G3683" s="96" t="s">
        <v>5</v>
      </c>
      <c r="H3683" s="161" t="s">
        <v>2821</v>
      </c>
      <c r="I3683" s="97" t="s">
        <v>2822</v>
      </c>
      <c r="J3683" s="97" t="s">
        <v>2823</v>
      </c>
      <c r="K3683" s="29">
        <v>16.649999999999999</v>
      </c>
      <c r="L3683" s="29">
        <v>-3.33</v>
      </c>
      <c r="M3683" s="30">
        <f>IFERROR(VLOOKUP($A3683,HeadJournal!$A$1:$J$890,COLUMN(HeadJournal!I$1),0)*($K3683+$L3683)/(SUMIF($A:$A,$A3683,$K:$K)+SUMIF($A:$A,$A3683,$L:$L)),0)</f>
        <v>0</v>
      </c>
      <c r="N3683" s="30">
        <f>IFERROR((VLOOKUP($A3683,HeadJournal!$A$1:$K$890,COLUMN(HeadJournal!K$1),0)-VLOOKUP($A3683,HeadJournal!$A$1:$K$890,COLUMN(HeadJournal!J$1),0))*($K3683+$L3683)/(SUMIF($A:$A,$A3683,$K:$K)+SUMIF($A:$A,$A3683,$L:$L)),0)</f>
        <v>0</v>
      </c>
      <c r="O3683" s="30">
        <f>IFERROR((VLOOKUP($A3683,HeadJournal!$A$1:$L$890,COLUMN(HeadJournal!L$1),0)*($K3683+$L3683)/(SUMIF($A:$A,$A3683,$K:$K)+SUMIF($A:$A,$A3683,$L:$L)))/VLOOKUP($A3683,HeadJournal!$A$1:$L$890,COLUMN(HeadJournal!H$1),0),0)</f>
        <v>0.74709978537153632</v>
      </c>
      <c r="P3683" s="30">
        <f>IFERROR(SUM(K3683:O3683)*VLOOKUP($A3683,HeadJournal!$A$1:$L$890,COLUMN(HeadJournal!H$1),0),0)</f>
        <v>1404.738854851644</v>
      </c>
      <c r="Q3683" s="29">
        <v>2200</v>
      </c>
      <c r="R3683" s="31">
        <v>45571</v>
      </c>
      <c r="S3683" s="31" t="s">
        <v>3121</v>
      </c>
      <c r="T3683" s="95" t="str">
        <f t="shared" si="293"/>
        <v>2024 10</v>
      </c>
      <c r="U3683" s="32">
        <f t="shared" si="290"/>
        <v>795.26114514835604</v>
      </c>
      <c r="V3683" s="22">
        <f t="shared" si="291"/>
        <v>0.56612739257671096</v>
      </c>
      <c r="X3683" s="33"/>
      <c r="Y3683" s="33"/>
    </row>
    <row r="3684" spans="1:25" x14ac:dyDescent="0.2">
      <c r="A3684" s="93" t="s">
        <v>1960</v>
      </c>
      <c r="B3684" s="94" t="str">
        <f>IFERROR(VLOOKUP($A3684,HeadJournal!$A$1:$NTR$890,COLUMN(HeadJournal!B$1),0),"")</f>
        <v>720000335875</v>
      </c>
      <c r="C3684" s="94" t="str">
        <f>IFERROR(VLOOKUP($A3684,HeadJournal!$A$1:$NTR$890,COLUMN(HeadJournal!C$1),0),"")</f>
        <v>iHerb_AV CYG0792</v>
      </c>
      <c r="D3684" s="125" t="str">
        <f>IFERROR(VLOOKUP($A3684,HeadJournal!$A$1:$NTR$890,COLUMN(HeadJournal!D$1),0),"")</f>
        <v>Доставлен</v>
      </c>
      <c r="E3684" s="95">
        <f>IFERROR(VLOOKUP($A3684,HeadJournal!$A$1:$NTR$890,COLUMN(HeadJournal!G$1),0),"")</f>
        <v>45525</v>
      </c>
      <c r="F3684" s="95" t="str">
        <f t="shared" si="292"/>
        <v>2024 08</v>
      </c>
      <c r="G3684" s="96" t="s">
        <v>5</v>
      </c>
      <c r="H3684" s="161" t="s">
        <v>2821</v>
      </c>
      <c r="I3684" s="97" t="s">
        <v>2822</v>
      </c>
      <c r="J3684" s="97" t="s">
        <v>2823</v>
      </c>
      <c r="K3684" s="29">
        <v>16.649999999999999</v>
      </c>
      <c r="L3684" s="29">
        <v>-3.33</v>
      </c>
      <c r="M3684" s="30">
        <f>IFERROR(VLOOKUP($A3684,HeadJournal!$A$1:$J$890,COLUMN(HeadJournal!I$1),0)*($K3684+$L3684)/(SUMIF($A:$A,$A3684,$K:$K)+SUMIF($A:$A,$A3684,$L:$L)),0)</f>
        <v>0</v>
      </c>
      <c r="N3684" s="30">
        <f>IFERROR((VLOOKUP($A3684,HeadJournal!$A$1:$K$890,COLUMN(HeadJournal!K$1),0)-VLOOKUP($A3684,HeadJournal!$A$1:$K$890,COLUMN(HeadJournal!J$1),0))*($K3684+$L3684)/(SUMIF($A:$A,$A3684,$K:$K)+SUMIF($A:$A,$A3684,$L:$L)),0)</f>
        <v>0</v>
      </c>
      <c r="O3684" s="30">
        <f>IFERROR((VLOOKUP($A3684,HeadJournal!$A$1:$L$890,COLUMN(HeadJournal!L$1),0)*($K3684+$L3684)/(SUMIF($A:$A,$A3684,$K:$K)+SUMIF($A:$A,$A3684,$L:$L)))/VLOOKUP($A3684,HeadJournal!$A$1:$L$890,COLUMN(HeadJournal!H$1),0),0)</f>
        <v>0.74709978537153632</v>
      </c>
      <c r="P3684" s="30">
        <f>IFERROR(SUM(K3684:O3684)*VLOOKUP($A3684,HeadJournal!$A$1:$L$890,COLUMN(HeadJournal!H$1),0),0)</f>
        <v>1404.738854851644</v>
      </c>
      <c r="Q3684" s="29">
        <v>2200</v>
      </c>
      <c r="R3684" s="31">
        <v>45571</v>
      </c>
      <c r="S3684" s="31" t="s">
        <v>3121</v>
      </c>
      <c r="T3684" s="95" t="str">
        <f t="shared" si="293"/>
        <v>2024 10</v>
      </c>
      <c r="U3684" s="32">
        <f t="shared" si="290"/>
        <v>795.26114514835604</v>
      </c>
      <c r="V3684" s="22">
        <f t="shared" si="291"/>
        <v>0.56612739257671096</v>
      </c>
      <c r="X3684" s="33"/>
      <c r="Y3684" s="33"/>
    </row>
    <row r="3685" spans="1:25" x14ac:dyDescent="0.2">
      <c r="A3685" s="93" t="s">
        <v>1960</v>
      </c>
      <c r="B3685" s="94" t="str">
        <f>IFERROR(VLOOKUP($A3685,HeadJournal!$A$1:$NTR$890,COLUMN(HeadJournal!B$1),0),"")</f>
        <v>720000335875</v>
      </c>
      <c r="C3685" s="94" t="str">
        <f>IFERROR(VLOOKUP($A3685,HeadJournal!$A$1:$NTR$890,COLUMN(HeadJournal!C$1),0),"")</f>
        <v>iHerb_AV CYG0792</v>
      </c>
      <c r="D3685" s="125" t="str">
        <f>IFERROR(VLOOKUP($A3685,HeadJournal!$A$1:$NTR$890,COLUMN(HeadJournal!D$1),0),"")</f>
        <v>Доставлен</v>
      </c>
      <c r="E3685" s="95">
        <f>IFERROR(VLOOKUP($A3685,HeadJournal!$A$1:$NTR$890,COLUMN(HeadJournal!G$1),0),"")</f>
        <v>45525</v>
      </c>
      <c r="F3685" s="95" t="str">
        <f t="shared" si="292"/>
        <v>2024 08</v>
      </c>
      <c r="G3685" s="96" t="s">
        <v>5</v>
      </c>
      <c r="H3685" s="161" t="s">
        <v>2821</v>
      </c>
      <c r="I3685" s="97" t="s">
        <v>2822</v>
      </c>
      <c r="J3685" s="97" t="s">
        <v>2823</v>
      </c>
      <c r="K3685" s="29">
        <v>16.649999999999999</v>
      </c>
      <c r="L3685" s="29">
        <v>-3.33</v>
      </c>
      <c r="M3685" s="30">
        <f>IFERROR(VLOOKUP($A3685,HeadJournal!$A$1:$J$890,COLUMN(HeadJournal!I$1),0)*($K3685+$L3685)/(SUMIF($A:$A,$A3685,$K:$K)+SUMIF($A:$A,$A3685,$L:$L)),0)</f>
        <v>0</v>
      </c>
      <c r="N3685" s="30">
        <f>IFERROR((VLOOKUP($A3685,HeadJournal!$A$1:$K$890,COLUMN(HeadJournal!K$1),0)-VLOOKUP($A3685,HeadJournal!$A$1:$K$890,COLUMN(HeadJournal!J$1),0))*($K3685+$L3685)/(SUMIF($A:$A,$A3685,$K:$K)+SUMIF($A:$A,$A3685,$L:$L)),0)</f>
        <v>0</v>
      </c>
      <c r="O3685" s="30">
        <f>IFERROR((VLOOKUP($A3685,HeadJournal!$A$1:$L$890,COLUMN(HeadJournal!L$1),0)*($K3685+$L3685)/(SUMIF($A:$A,$A3685,$K:$K)+SUMIF($A:$A,$A3685,$L:$L)))/VLOOKUP($A3685,HeadJournal!$A$1:$L$890,COLUMN(HeadJournal!H$1),0),0)</f>
        <v>0.74709978537153632</v>
      </c>
      <c r="P3685" s="30">
        <f>IFERROR(SUM(K3685:O3685)*VLOOKUP($A3685,HeadJournal!$A$1:$L$890,COLUMN(HeadJournal!H$1),0),0)</f>
        <v>1404.738854851644</v>
      </c>
      <c r="Q3685" s="29">
        <v>2200</v>
      </c>
      <c r="R3685" s="31">
        <v>45571</v>
      </c>
      <c r="S3685" s="31" t="s">
        <v>3121</v>
      </c>
      <c r="T3685" s="95" t="str">
        <f t="shared" si="293"/>
        <v>2024 10</v>
      </c>
      <c r="U3685" s="32">
        <f t="shared" si="290"/>
        <v>795.26114514835604</v>
      </c>
      <c r="V3685" s="22">
        <f t="shared" si="291"/>
        <v>0.56612739257671096</v>
      </c>
      <c r="X3685" s="33"/>
      <c r="Y3685" s="33"/>
    </row>
    <row r="3686" spans="1:25" x14ac:dyDescent="0.2">
      <c r="A3686" s="93" t="s">
        <v>1960</v>
      </c>
      <c r="B3686" s="94" t="str">
        <f>IFERROR(VLOOKUP($A3686,HeadJournal!$A$1:$NTR$890,COLUMN(HeadJournal!B$1),0),"")</f>
        <v>720000335875</v>
      </c>
      <c r="C3686" s="94" t="str">
        <f>IFERROR(VLOOKUP($A3686,HeadJournal!$A$1:$NTR$890,COLUMN(HeadJournal!C$1),0),"")</f>
        <v>iHerb_AV CYG0792</v>
      </c>
      <c r="D3686" s="125" t="str">
        <f>IFERROR(VLOOKUP($A3686,HeadJournal!$A$1:$NTR$890,COLUMN(HeadJournal!D$1),0),"")</f>
        <v>Доставлен</v>
      </c>
      <c r="E3686" s="95">
        <f>IFERROR(VLOOKUP($A3686,HeadJournal!$A$1:$NTR$890,COLUMN(HeadJournal!G$1),0),"")</f>
        <v>45525</v>
      </c>
      <c r="F3686" s="95" t="str">
        <f t="shared" si="292"/>
        <v>2024 08</v>
      </c>
      <c r="G3686" s="96" t="s">
        <v>5</v>
      </c>
      <c r="H3686" s="161" t="s">
        <v>4137</v>
      </c>
      <c r="I3686" s="97" t="s">
        <v>2666</v>
      </c>
      <c r="J3686" s="97" t="s">
        <v>4138</v>
      </c>
      <c r="K3686" s="29">
        <v>12.91</v>
      </c>
      <c r="L3686" s="29">
        <v>-2.58</v>
      </c>
      <c r="M3686" s="30">
        <f>IFERROR(VLOOKUP($A3686,HeadJournal!$A$1:$J$890,COLUMN(HeadJournal!I$1),0)*($K3686+$L3686)/(SUMIF($A:$A,$A3686,$K:$K)+SUMIF($A:$A,$A3686,$L:$L)),0)</f>
        <v>0</v>
      </c>
      <c r="N3686" s="30">
        <f>IFERROR((VLOOKUP($A3686,HeadJournal!$A$1:$K$890,COLUMN(HeadJournal!K$1),0)-VLOOKUP($A3686,HeadJournal!$A$1:$K$890,COLUMN(HeadJournal!J$1),0))*($K3686+$L3686)/(SUMIF($A:$A,$A3686,$K:$K)+SUMIF($A:$A,$A3686,$L:$L)),0)</f>
        <v>0</v>
      </c>
      <c r="O3686" s="30">
        <f>IFERROR((VLOOKUP($A3686,HeadJournal!$A$1:$L$890,COLUMN(HeadJournal!L$1),0)*($K3686+$L3686)/(SUMIF($A:$A,$A3686,$K:$K)+SUMIF($A:$A,$A3686,$L:$L)))/VLOOKUP($A3686,HeadJournal!$A$1:$L$890,COLUMN(HeadJournal!H$1),0),0)</f>
        <v>0.57939495367026805</v>
      </c>
      <c r="P3686" s="30">
        <f>IFERROR(SUM(K3686:O3686)*VLOOKUP($A3686,HeadJournal!$A$1:$L$890,COLUMN(HeadJournal!H$1),0),0)</f>
        <v>1089.4108386349462</v>
      </c>
      <c r="Q3686" s="29">
        <v>2000</v>
      </c>
      <c r="R3686" s="31">
        <v>45719</v>
      </c>
      <c r="S3686" s="31" t="s">
        <v>3121</v>
      </c>
      <c r="T3686" s="95" t="str">
        <f t="shared" si="293"/>
        <v>2025 03</v>
      </c>
      <c r="U3686" s="32">
        <f t="shared" si="290"/>
        <v>910.58916136505377</v>
      </c>
      <c r="V3686" s="22">
        <f t="shared" si="291"/>
        <v>0.8358546923454887</v>
      </c>
      <c r="X3686" s="33"/>
      <c r="Y3686" s="33"/>
    </row>
    <row r="3687" spans="1:25" x14ac:dyDescent="0.2">
      <c r="A3687" s="93" t="s">
        <v>1960</v>
      </c>
      <c r="B3687" s="94" t="str">
        <f>IFERROR(VLOOKUP($A3687,HeadJournal!$A$1:$NTR$890,COLUMN(HeadJournal!B$1),0),"")</f>
        <v>720000335875</v>
      </c>
      <c r="C3687" s="94" t="str">
        <f>IFERROR(VLOOKUP($A3687,HeadJournal!$A$1:$NTR$890,COLUMN(HeadJournal!C$1),0),"")</f>
        <v>iHerb_AV CYG0792</v>
      </c>
      <c r="D3687" s="125" t="str">
        <f>IFERROR(VLOOKUP($A3687,HeadJournal!$A$1:$NTR$890,COLUMN(HeadJournal!D$1),0),"")</f>
        <v>Доставлен</v>
      </c>
      <c r="E3687" s="95">
        <f>IFERROR(VLOOKUP($A3687,HeadJournal!$A$1:$NTR$890,COLUMN(HeadJournal!G$1),0),"")</f>
        <v>45525</v>
      </c>
      <c r="F3687" s="95" t="str">
        <f t="shared" si="292"/>
        <v>2024 08</v>
      </c>
      <c r="G3687" s="96" t="s">
        <v>5</v>
      </c>
      <c r="H3687" s="161" t="s">
        <v>4137</v>
      </c>
      <c r="I3687" s="97" t="s">
        <v>2666</v>
      </c>
      <c r="J3687" s="97" t="s">
        <v>4138</v>
      </c>
      <c r="K3687" s="29">
        <v>12.91</v>
      </c>
      <c r="L3687" s="29">
        <v>-2.58</v>
      </c>
      <c r="M3687" s="30">
        <f>IFERROR(VLOOKUP($A3687,HeadJournal!$A$1:$J$890,COLUMN(HeadJournal!I$1),0)*($K3687+$L3687)/(SUMIF($A:$A,$A3687,$K:$K)+SUMIF($A:$A,$A3687,$L:$L)),0)</f>
        <v>0</v>
      </c>
      <c r="N3687" s="30">
        <f>IFERROR((VLOOKUP($A3687,HeadJournal!$A$1:$K$890,COLUMN(HeadJournal!K$1),0)-VLOOKUP($A3687,HeadJournal!$A$1:$K$890,COLUMN(HeadJournal!J$1),0))*($K3687+$L3687)/(SUMIF($A:$A,$A3687,$K:$K)+SUMIF($A:$A,$A3687,$L:$L)),0)</f>
        <v>0</v>
      </c>
      <c r="O3687" s="30">
        <f>IFERROR((VLOOKUP($A3687,HeadJournal!$A$1:$L$890,COLUMN(HeadJournal!L$1),0)*($K3687+$L3687)/(SUMIF($A:$A,$A3687,$K:$K)+SUMIF($A:$A,$A3687,$L:$L)))/VLOOKUP($A3687,HeadJournal!$A$1:$L$890,COLUMN(HeadJournal!H$1),0),0)</f>
        <v>0.57939495367026805</v>
      </c>
      <c r="P3687" s="30">
        <f>IFERROR(SUM(K3687:O3687)*VLOOKUP($A3687,HeadJournal!$A$1:$L$890,COLUMN(HeadJournal!H$1),0),0)</f>
        <v>1089.4108386349462</v>
      </c>
      <c r="Q3687" s="29">
        <v>1900</v>
      </c>
      <c r="R3687" s="31">
        <v>45750</v>
      </c>
      <c r="S3687" s="31" t="s">
        <v>3121</v>
      </c>
      <c r="T3687" s="95" t="str">
        <f t="shared" si="293"/>
        <v>2025 04</v>
      </c>
      <c r="U3687" s="32">
        <f t="shared" si="290"/>
        <v>810.58916136505377</v>
      </c>
      <c r="V3687" s="22">
        <f t="shared" si="291"/>
        <v>0.74406195772821426</v>
      </c>
      <c r="X3687" s="33"/>
      <c r="Y3687" s="33"/>
    </row>
    <row r="3688" spans="1:25" x14ac:dyDescent="0.2">
      <c r="A3688" s="93" t="s">
        <v>1960</v>
      </c>
      <c r="B3688" s="94" t="str">
        <f>IFERROR(VLOOKUP($A3688,HeadJournal!$A$1:$NTR$890,COLUMN(HeadJournal!B$1),0),"")</f>
        <v>720000335875</v>
      </c>
      <c r="C3688" s="94" t="str">
        <f>IFERROR(VLOOKUP($A3688,HeadJournal!$A$1:$NTR$890,COLUMN(HeadJournal!C$1),0),"")</f>
        <v>iHerb_AV CYG0792</v>
      </c>
      <c r="D3688" s="125" t="str">
        <f>IFERROR(VLOOKUP($A3688,HeadJournal!$A$1:$NTR$890,COLUMN(HeadJournal!D$1),0),"")</f>
        <v>Доставлен</v>
      </c>
      <c r="E3688" s="95">
        <f>IFERROR(VLOOKUP($A3688,HeadJournal!$A$1:$NTR$890,COLUMN(HeadJournal!G$1),0),"")</f>
        <v>45525</v>
      </c>
      <c r="F3688" s="95" t="str">
        <f t="shared" si="292"/>
        <v>2024 08</v>
      </c>
      <c r="G3688" s="96" t="s">
        <v>5</v>
      </c>
      <c r="H3688" s="160" t="str">
        <f>RIGHT(Journal!$J3688,9)</f>
        <v>CGN-02272</v>
      </c>
      <c r="I3688" s="127" t="str">
        <f t="shared" si="289"/>
        <v>California Gold Nutrition</v>
      </c>
      <c r="J3688" s="97" t="s">
        <v>1962</v>
      </c>
      <c r="K3688" s="29">
        <v>9.44</v>
      </c>
      <c r="L3688" s="29">
        <v>-1.89</v>
      </c>
      <c r="M3688" s="30">
        <f>IFERROR(VLOOKUP($A3688,HeadJournal!$A$1:$J$890,COLUMN(HeadJournal!I$1),0)*($K3688+$L3688)/(SUMIF($A:$A,$A3688,$K:$K)+SUMIF($A:$A,$A3688,$L:$L)),0)</f>
        <v>0</v>
      </c>
      <c r="N3688" s="30">
        <f>IFERROR((VLOOKUP($A3688,HeadJournal!$A$1:$K$890,COLUMN(HeadJournal!K$1),0)-VLOOKUP($A3688,HeadJournal!$A$1:$K$890,COLUMN(HeadJournal!J$1),0))*($K3688+$L3688)/(SUMIF($A:$A,$A3688,$K:$K)+SUMIF($A:$A,$A3688,$L:$L)),0)</f>
        <v>0</v>
      </c>
      <c r="O3688" s="30">
        <f>IFERROR((VLOOKUP($A3688,HeadJournal!$A$1:$L$890,COLUMN(HeadJournal!L$1),0)*($K3688+$L3688)/(SUMIF($A:$A,$A3688,$K:$K)+SUMIF($A:$A,$A3688,$L:$L)))/VLOOKUP($A3688,HeadJournal!$A$1:$L$890,COLUMN(HeadJournal!H$1),0),0)</f>
        <v>0.42346872218882126</v>
      </c>
      <c r="P3688" s="30">
        <f>IFERROR(SUM(K3688:O3688)*VLOOKUP($A3688,HeadJournal!$A$1:$L$890,COLUMN(HeadJournal!H$1),0),0)</f>
        <v>796.22960616590933</v>
      </c>
      <c r="Q3688" s="29">
        <v>1600</v>
      </c>
      <c r="R3688" s="31">
        <v>45930</v>
      </c>
      <c r="S3688" s="31"/>
      <c r="T3688" s="95" t="str">
        <f t="shared" si="293"/>
        <v>2025 09</v>
      </c>
      <c r="U3688" s="32">
        <f t="shared" si="290"/>
        <v>803.77039383409067</v>
      </c>
      <c r="V3688" s="22">
        <f t="shared" si="291"/>
        <v>1.009470619542135</v>
      </c>
      <c r="X3688" s="33"/>
      <c r="Y3688" s="33"/>
    </row>
    <row r="3689" spans="1:25" x14ac:dyDescent="0.2">
      <c r="A3689" s="93" t="s">
        <v>1960</v>
      </c>
      <c r="B3689" s="94" t="str">
        <f>IFERROR(VLOOKUP($A3689,HeadJournal!$A$1:$NTR$890,COLUMN(HeadJournal!B$1),0),"")</f>
        <v>720000335875</v>
      </c>
      <c r="C3689" s="94" t="str">
        <f>IFERROR(VLOOKUP($A3689,HeadJournal!$A$1:$NTR$890,COLUMN(HeadJournal!C$1),0),"")</f>
        <v>iHerb_AV CYG0792</v>
      </c>
      <c r="D3689" s="125" t="str">
        <f>IFERROR(VLOOKUP($A3689,HeadJournal!$A$1:$NTR$890,COLUMN(HeadJournal!D$1),0),"")</f>
        <v>Доставлен</v>
      </c>
      <c r="E3689" s="95">
        <f>IFERROR(VLOOKUP($A3689,HeadJournal!$A$1:$NTR$890,COLUMN(HeadJournal!G$1),0),"")</f>
        <v>45525</v>
      </c>
      <c r="F3689" s="95" t="str">
        <f t="shared" si="292"/>
        <v>2024 08</v>
      </c>
      <c r="G3689" s="96" t="s">
        <v>5</v>
      </c>
      <c r="H3689" s="160" t="str">
        <f>RIGHT(Journal!$J3689,9)</f>
        <v>SMS-55697</v>
      </c>
      <c r="I3689" s="127" t="str">
        <f t="shared" si="289"/>
        <v>The Smurfs</v>
      </c>
      <c r="J3689" s="97" t="s">
        <v>602</v>
      </c>
      <c r="K3689" s="29">
        <v>12.6</v>
      </c>
      <c r="L3689" s="29">
        <v>-2.52</v>
      </c>
      <c r="M3689" s="30">
        <f>IFERROR(VLOOKUP($A3689,HeadJournal!$A$1:$J$890,COLUMN(HeadJournal!I$1),0)*($K3689+$L3689)/(SUMIF($A:$A,$A3689,$K:$K)+SUMIF($A:$A,$A3689,$L:$L)),0)</f>
        <v>0</v>
      </c>
      <c r="N3689" s="30">
        <f>IFERROR((VLOOKUP($A3689,HeadJournal!$A$1:$K$890,COLUMN(HeadJournal!K$1),0)-VLOOKUP($A3689,HeadJournal!$A$1:$K$890,COLUMN(HeadJournal!J$1),0))*($K3689+$L3689)/(SUMIF($A:$A,$A3689,$K:$K)+SUMIF($A:$A,$A3689,$L:$L)),0)</f>
        <v>0</v>
      </c>
      <c r="O3689" s="30">
        <f>IFERROR((VLOOKUP($A3689,HeadJournal!$A$1:$L$890,COLUMN(HeadJournal!L$1),0)*($K3689+$L3689)/(SUMIF($A:$A,$A3689,$K:$K)+SUMIF($A:$A,$A3689,$L:$L)))/VLOOKUP($A3689,HeadJournal!$A$1:$L$890,COLUMN(HeadJournal!H$1),0),0)</f>
        <v>0.56537281055143296</v>
      </c>
      <c r="P3689" s="30">
        <f>IFERROR(SUM(K3689:O3689)*VLOOKUP($A3689,HeadJournal!$A$1:$L$890,COLUMN(HeadJournal!H$1),0),0)</f>
        <v>1063.0456198877305</v>
      </c>
      <c r="Q3689" s="29">
        <v>1800</v>
      </c>
      <c r="R3689" s="31">
        <v>45608</v>
      </c>
      <c r="S3689" s="31" t="s">
        <v>3121</v>
      </c>
      <c r="T3689" s="95" t="str">
        <f t="shared" si="293"/>
        <v>2024 11</v>
      </c>
      <c r="U3689" s="32">
        <f t="shared" si="290"/>
        <v>736.95438011226952</v>
      </c>
      <c r="V3689" s="22">
        <f t="shared" si="291"/>
        <v>0.69324812249365197</v>
      </c>
      <c r="X3689" s="33"/>
      <c r="Y3689" s="33"/>
    </row>
    <row r="3690" spans="1:25" x14ac:dyDescent="0.2">
      <c r="A3690" s="93" t="s">
        <v>1960</v>
      </c>
      <c r="B3690" s="94" t="str">
        <f>IFERROR(VLOOKUP($A3690,HeadJournal!$A$1:$NTR$890,COLUMN(HeadJournal!B$1),0),"")</f>
        <v>720000335875</v>
      </c>
      <c r="C3690" s="94" t="str">
        <f>IFERROR(VLOOKUP($A3690,HeadJournal!$A$1:$NTR$890,COLUMN(HeadJournal!C$1),0),"")</f>
        <v>iHerb_AV CYG0792</v>
      </c>
      <c r="D3690" s="125" t="str">
        <f>IFERROR(VLOOKUP($A3690,HeadJournal!$A$1:$NTR$890,COLUMN(HeadJournal!D$1),0),"")</f>
        <v>Доставлен</v>
      </c>
      <c r="E3690" s="95">
        <f>IFERROR(VLOOKUP($A3690,HeadJournal!$A$1:$NTR$890,COLUMN(HeadJournal!G$1),0),"")</f>
        <v>45525</v>
      </c>
      <c r="F3690" s="95" t="str">
        <f t="shared" si="292"/>
        <v>2024 08</v>
      </c>
      <c r="G3690" s="96" t="s">
        <v>5</v>
      </c>
      <c r="H3690" s="161" t="s">
        <v>2577</v>
      </c>
      <c r="I3690" s="97" t="s">
        <v>2578</v>
      </c>
      <c r="J3690" s="97" t="s">
        <v>2579</v>
      </c>
      <c r="K3690" s="29">
        <v>26.89</v>
      </c>
      <c r="L3690" s="29">
        <v>-5.38</v>
      </c>
      <c r="M3690" s="30">
        <f>IFERROR(VLOOKUP($A3690,HeadJournal!$A$1:$J$890,COLUMN(HeadJournal!I$1),0)*($K3690+$L3690)/(SUMIF($A:$A,$A3690,$K:$K)+SUMIF($A:$A,$A3690,$L:$L)),0)</f>
        <v>0</v>
      </c>
      <c r="N3690" s="30">
        <f>IFERROR((VLOOKUP($A3690,HeadJournal!$A$1:$K$890,COLUMN(HeadJournal!K$1),0)-VLOOKUP($A3690,HeadJournal!$A$1:$K$890,COLUMN(HeadJournal!J$1),0))*($K3690+$L3690)/(SUMIF($A:$A,$A3690,$K:$K)+SUMIF($A:$A,$A3690,$L:$L)),0)</f>
        <v>0</v>
      </c>
      <c r="O3690" s="30">
        <f>IFERROR((VLOOKUP($A3690,HeadJournal!$A$1:$L$890,COLUMN(HeadJournal!L$1),0)*($K3690+$L3690)/(SUMIF($A:$A,$A3690,$K:$K)+SUMIF($A:$A,$A3690,$L:$L)))/VLOOKUP($A3690,HeadJournal!$A$1:$L$890,COLUMN(HeadJournal!H$1),0),0)</f>
        <v>1.2064651939445756</v>
      </c>
      <c r="P3690" s="30">
        <f>IFERROR(SUM(K3690:O3690)*VLOOKUP($A3690,HeadJournal!$A$1:$L$890,COLUMN(HeadJournal!H$1),0),0)</f>
        <v>2268.4634210104255</v>
      </c>
      <c r="Q3690" s="29">
        <v>3200</v>
      </c>
      <c r="R3690" s="31">
        <v>45564</v>
      </c>
      <c r="S3690" s="31" t="s">
        <v>3121</v>
      </c>
      <c r="T3690" s="95" t="str">
        <f t="shared" si="293"/>
        <v>2024 09</v>
      </c>
      <c r="U3690" s="32">
        <f t="shared" si="290"/>
        <v>931.53657898957454</v>
      </c>
      <c r="V3690" s="22">
        <f t="shared" si="291"/>
        <v>0.4106465065126097</v>
      </c>
      <c r="X3690" s="33"/>
      <c r="Y3690" s="33"/>
    </row>
    <row r="3691" spans="1:25" x14ac:dyDescent="0.2">
      <c r="A3691" s="93" t="s">
        <v>1960</v>
      </c>
      <c r="B3691" s="94" t="str">
        <f>IFERROR(VLOOKUP($A3691,HeadJournal!$A$1:$NTR$890,COLUMN(HeadJournal!B$1),0),"")</f>
        <v>720000335875</v>
      </c>
      <c r="C3691" s="94" t="str">
        <f>IFERROR(VLOOKUP($A3691,HeadJournal!$A$1:$NTR$890,COLUMN(HeadJournal!C$1),0),"")</f>
        <v>iHerb_AV CYG0792</v>
      </c>
      <c r="D3691" s="125" t="str">
        <f>IFERROR(VLOOKUP($A3691,HeadJournal!$A$1:$NTR$890,COLUMN(HeadJournal!D$1),0),"")</f>
        <v>Доставлен</v>
      </c>
      <c r="E3691" s="95">
        <f>IFERROR(VLOOKUP($A3691,HeadJournal!$A$1:$NTR$890,COLUMN(HeadJournal!G$1),0),"")</f>
        <v>45525</v>
      </c>
      <c r="F3691" s="95" t="str">
        <f t="shared" si="292"/>
        <v>2024 08</v>
      </c>
      <c r="G3691" s="96" t="s">
        <v>5</v>
      </c>
      <c r="H3691" s="161" t="s">
        <v>2016</v>
      </c>
      <c r="I3691" s="97" t="s">
        <v>2005</v>
      </c>
      <c r="J3691" s="97" t="s">
        <v>2017</v>
      </c>
      <c r="K3691" s="29">
        <v>36.799999999999997</v>
      </c>
      <c r="L3691" s="29">
        <v>-7.36</v>
      </c>
      <c r="M3691" s="30">
        <f>IFERROR(VLOOKUP($A3691,HeadJournal!$A$1:$J$890,COLUMN(HeadJournal!I$1),0)*($K3691+$L3691)/(SUMIF($A:$A,$A3691,$K:$K)+SUMIF($A:$A,$A3691,$L:$L)),0)</f>
        <v>0</v>
      </c>
      <c r="N3691" s="30">
        <f>IFERROR((VLOOKUP($A3691,HeadJournal!$A$1:$K$890,COLUMN(HeadJournal!K$1),0)-VLOOKUP($A3691,HeadJournal!$A$1:$K$890,COLUMN(HeadJournal!J$1),0))*($K3691+$L3691)/(SUMIF($A:$A,$A3691,$K:$K)+SUMIF($A:$A,$A3691,$L:$L)),0)</f>
        <v>0</v>
      </c>
      <c r="O3691" s="30">
        <f>IFERROR((VLOOKUP($A3691,HeadJournal!$A$1:$L$890,COLUMN(HeadJournal!L$1),0)*($K3691+$L3691)/(SUMIF($A:$A,$A3691,$K:$K)+SUMIF($A:$A,$A3691,$L:$L)))/VLOOKUP($A3691,HeadJournal!$A$1:$L$890,COLUMN(HeadJournal!H$1),0),0)</f>
        <v>1.651247573674026</v>
      </c>
      <c r="P3691" s="30">
        <f>IFERROR(SUM(K3691:O3691)*VLOOKUP($A3691,HeadJournal!$A$1:$L$890,COLUMN(HeadJournal!H$1),0),0)</f>
        <v>3104.7681596721018</v>
      </c>
      <c r="Q3691" s="29">
        <v>4500</v>
      </c>
      <c r="R3691" s="31">
        <v>45728</v>
      </c>
      <c r="S3691" s="31" t="s">
        <v>3121</v>
      </c>
      <c r="T3691" s="95" t="str">
        <f t="shared" si="293"/>
        <v>2025 03</v>
      </c>
      <c r="U3691" s="32">
        <f t="shared" si="290"/>
        <v>1395.2318403278982</v>
      </c>
      <c r="V3691" s="22">
        <f t="shared" si="291"/>
        <v>0.44938358311277266</v>
      </c>
      <c r="X3691" s="33"/>
      <c r="Y3691" s="33"/>
    </row>
    <row r="3692" spans="1:25" x14ac:dyDescent="0.2">
      <c r="A3692" s="93" t="s">
        <v>1963</v>
      </c>
      <c r="B3692" s="94" t="str">
        <f>IFERROR(VLOOKUP($A3692,HeadJournal!$A$1:$NTR$890,COLUMN(HeadJournal!B$1),0),"")</f>
        <v>722500245507</v>
      </c>
      <c r="C3692" s="94" t="str">
        <f>IFERROR(VLOOKUP($A3692,HeadJournal!$A$1:$NTR$890,COLUMN(HeadJournal!C$1),0),"")</f>
        <v>iHerb_MH DLE7202</v>
      </c>
      <c r="D3692" s="125" t="str">
        <f>IFERROR(VLOOKUP($A3692,HeadJournal!$A$1:$NTR$890,COLUMN(HeadJournal!D$1),0),"")</f>
        <v>Доставлен</v>
      </c>
      <c r="E3692" s="95">
        <f>IFERROR(VLOOKUP($A3692,HeadJournal!$A$1:$NTR$890,COLUMN(HeadJournal!G$1),0),"")</f>
        <v>45522</v>
      </c>
      <c r="F3692" s="95" t="str">
        <f t="shared" si="292"/>
        <v>2024 08</v>
      </c>
      <c r="G3692" s="96" t="s">
        <v>5</v>
      </c>
      <c r="H3692" s="160" t="str">
        <f>RIGHT(Journal!$J3692,9)</f>
        <v>SNS-01781</v>
      </c>
      <c r="I3692" s="127" t="str">
        <f t="shared" si="289"/>
        <v>Source Naturals</v>
      </c>
      <c r="J3692" s="97" t="s">
        <v>1965</v>
      </c>
      <c r="K3692" s="29">
        <v>27.73</v>
      </c>
      <c r="L3692" s="29">
        <v>-2.7749999999999999</v>
      </c>
      <c r="M3692" s="30">
        <f>IFERROR(VLOOKUP($A3692,HeadJournal!$A$1:$J$890,COLUMN(HeadJournal!I$1),0)*($K3692+$L3692)/(SUMIF($A:$A,$A3692,$K:$K)+SUMIF($A:$A,$A3692,$L:$L)),0)</f>
        <v>-1.2211581833229876</v>
      </c>
      <c r="N3692" s="30">
        <f>IFERROR((VLOOKUP($A3692,HeadJournal!$A$1:$K$890,COLUMN(HeadJournal!K$1),0)-VLOOKUP($A3692,HeadJournal!$A$1:$K$890,COLUMN(HeadJournal!J$1),0))*($K3692+$L3692)/(SUMIF($A:$A,$A3692,$K:$K)+SUMIF($A:$A,$A3692,$L:$L)),0)</f>
        <v>-3.6688586738864673E-15</v>
      </c>
      <c r="O3692" s="30">
        <f>IFERROR((VLOOKUP($A3692,HeadJournal!$A$1:$L$890,COLUMN(HeadJournal!L$1),0)*($K3692+$L3692)/(SUMIF($A:$A,$A3692,$K:$K)+SUMIF($A:$A,$A3692,$L:$L)))/VLOOKUP($A3692,HeadJournal!$A$1:$L$890,COLUMN(HeadJournal!H$1),0),0)</f>
        <v>1.1436494939336856</v>
      </c>
      <c r="P3692" s="30">
        <f>IFERROR(SUM(K3692:O3692)*VLOOKUP($A3692,HeadJournal!$A$1:$L$890,COLUMN(HeadJournal!H$1),0),0)</f>
        <v>2495.8567089971712</v>
      </c>
      <c r="Q3692" s="29">
        <v>3100</v>
      </c>
      <c r="R3692" s="31">
        <v>45549</v>
      </c>
      <c r="S3692" s="31" t="s">
        <v>3121</v>
      </c>
      <c r="T3692" s="95" t="str">
        <f t="shared" si="293"/>
        <v>2024 09</v>
      </c>
      <c r="U3692" s="32">
        <f t="shared" si="290"/>
        <v>604.14329100282885</v>
      </c>
      <c r="V3692" s="22">
        <f t="shared" si="291"/>
        <v>0.24205848389652629</v>
      </c>
      <c r="X3692" s="33"/>
      <c r="Y3692" s="33"/>
    </row>
    <row r="3693" spans="1:25" x14ac:dyDescent="0.2">
      <c r="A3693" s="93" t="s">
        <v>1963</v>
      </c>
      <c r="B3693" s="94" t="str">
        <f>IFERROR(VLOOKUP($A3693,HeadJournal!$A$1:$NTR$890,COLUMN(HeadJournal!B$1),0),"")</f>
        <v>722500245507</v>
      </c>
      <c r="C3693" s="94" t="str">
        <f>IFERROR(VLOOKUP($A3693,HeadJournal!$A$1:$NTR$890,COLUMN(HeadJournal!C$1),0),"")</f>
        <v>iHerb_MH DLE7202</v>
      </c>
      <c r="D3693" s="125" t="str">
        <f>IFERROR(VLOOKUP($A3693,HeadJournal!$A$1:$NTR$890,COLUMN(HeadJournal!D$1),0),"")</f>
        <v>Доставлен</v>
      </c>
      <c r="E3693" s="95">
        <f>IFERROR(VLOOKUP($A3693,HeadJournal!$A$1:$NTR$890,COLUMN(HeadJournal!G$1),0),"")</f>
        <v>45522</v>
      </c>
      <c r="F3693" s="95" t="str">
        <f t="shared" si="292"/>
        <v>2024 08</v>
      </c>
      <c r="G3693" s="96" t="s">
        <v>5</v>
      </c>
      <c r="H3693" s="160" t="str">
        <f>RIGHT(Journal!$J3693,9)</f>
        <v>SNS-01781</v>
      </c>
      <c r="I3693" s="127" t="str">
        <f t="shared" si="289"/>
        <v>Source Naturals</v>
      </c>
      <c r="J3693" s="97" t="s">
        <v>1965</v>
      </c>
      <c r="K3693" s="29">
        <v>27.73</v>
      </c>
      <c r="L3693" s="29">
        <v>-2.7749999999999999</v>
      </c>
      <c r="M3693" s="30">
        <f>IFERROR(VLOOKUP($A3693,HeadJournal!$A$1:$J$890,COLUMN(HeadJournal!I$1),0)*($K3693+$L3693)/(SUMIF($A:$A,$A3693,$K:$K)+SUMIF($A:$A,$A3693,$L:$L)),0)</f>
        <v>-1.2211581833229876</v>
      </c>
      <c r="N3693" s="30">
        <f>IFERROR((VLOOKUP($A3693,HeadJournal!$A$1:$K$890,COLUMN(HeadJournal!K$1),0)-VLOOKUP($A3693,HeadJournal!$A$1:$K$890,COLUMN(HeadJournal!J$1),0))*($K3693+$L3693)/(SUMIF($A:$A,$A3693,$K:$K)+SUMIF($A:$A,$A3693,$L:$L)),0)</f>
        <v>-3.6688586738864673E-15</v>
      </c>
      <c r="O3693" s="30">
        <f>IFERROR((VLOOKUP($A3693,HeadJournal!$A$1:$L$890,COLUMN(HeadJournal!L$1),0)*($K3693+$L3693)/(SUMIF($A:$A,$A3693,$K:$K)+SUMIF($A:$A,$A3693,$L:$L)))/VLOOKUP($A3693,HeadJournal!$A$1:$L$890,COLUMN(HeadJournal!H$1),0),0)</f>
        <v>1.1436494939336856</v>
      </c>
      <c r="P3693" s="30">
        <f>IFERROR(SUM(K3693:O3693)*VLOOKUP($A3693,HeadJournal!$A$1:$L$890,COLUMN(HeadJournal!H$1),0),0)</f>
        <v>2495.8567089971712</v>
      </c>
      <c r="Q3693" s="29">
        <v>3100</v>
      </c>
      <c r="R3693" s="31">
        <v>45549</v>
      </c>
      <c r="S3693" s="31" t="s">
        <v>3121</v>
      </c>
      <c r="T3693" s="95" t="str">
        <f t="shared" si="293"/>
        <v>2024 09</v>
      </c>
      <c r="U3693" s="32">
        <f t="shared" si="290"/>
        <v>604.14329100282885</v>
      </c>
      <c r="V3693" s="22">
        <f t="shared" si="291"/>
        <v>0.24205848389652629</v>
      </c>
      <c r="X3693" s="33"/>
      <c r="Y3693" s="33"/>
    </row>
    <row r="3694" spans="1:25" x14ac:dyDescent="0.2">
      <c r="A3694" s="93" t="s">
        <v>1963</v>
      </c>
      <c r="B3694" s="94" t="str">
        <f>IFERROR(VLOOKUP($A3694,HeadJournal!$A$1:$NTR$890,COLUMN(HeadJournal!B$1),0),"")</f>
        <v>722500245507</v>
      </c>
      <c r="C3694" s="94" t="str">
        <f>IFERROR(VLOOKUP($A3694,HeadJournal!$A$1:$NTR$890,COLUMN(HeadJournal!C$1),0),"")</f>
        <v>iHerb_MH DLE7202</v>
      </c>
      <c r="D3694" s="125" t="str">
        <f>IFERROR(VLOOKUP($A3694,HeadJournal!$A$1:$NTR$890,COLUMN(HeadJournal!D$1),0),"")</f>
        <v>Доставлен</v>
      </c>
      <c r="E3694" s="95">
        <f>IFERROR(VLOOKUP($A3694,HeadJournal!$A$1:$NTR$890,COLUMN(HeadJournal!G$1),0),"")</f>
        <v>45522</v>
      </c>
      <c r="F3694" s="95" t="str">
        <f t="shared" si="292"/>
        <v>2024 08</v>
      </c>
      <c r="G3694" s="96" t="s">
        <v>5</v>
      </c>
      <c r="H3694" s="161" t="s">
        <v>3040</v>
      </c>
      <c r="I3694" s="97" t="s">
        <v>2750</v>
      </c>
      <c r="J3694" s="97" t="s">
        <v>3041</v>
      </c>
      <c r="K3694" s="29">
        <v>23.57</v>
      </c>
      <c r="L3694" s="29">
        <v>-2.36</v>
      </c>
      <c r="M3694" s="30">
        <f>IFERROR(VLOOKUP($A3694,HeadJournal!$A$1:$J$890,COLUMN(HeadJournal!I$1),0)*($K3694+$L3694)/(SUMIF($A:$A,$A3694,$K:$K)+SUMIF($A:$A,$A3694,$L:$L)),0)</f>
        <v>-1.0378988206083177</v>
      </c>
      <c r="N3694" s="30">
        <f>IFERROR((VLOOKUP($A3694,HeadJournal!$A$1:$K$890,COLUMN(HeadJournal!K$1),0)-VLOOKUP($A3694,HeadJournal!$A$1:$K$890,COLUMN(HeadJournal!J$1),0))*($K3694+$L3694)/(SUMIF($A:$A,$A3694,$K:$K)+SUMIF($A:$A,$A3694,$L:$L)),0)</f>
        <v>-3.1182725895865347E-15</v>
      </c>
      <c r="O3694" s="30">
        <f>IFERROR((VLOOKUP($A3694,HeadJournal!$A$1:$L$890,COLUMN(HeadJournal!L$1),0)*($K3694+$L3694)/(SUMIF($A:$A,$A3694,$K:$K)+SUMIF($A:$A,$A3694,$L:$L)))/VLOOKUP($A3694,HeadJournal!$A$1:$L$890,COLUMN(HeadJournal!H$1),0),0)</f>
        <v>0.9720218700193739</v>
      </c>
      <c r="P3694" s="30">
        <f>IFERROR(SUM(K3694:O3694)*VLOOKUP($A3694,HeadJournal!$A$1:$L$890,COLUMN(HeadJournal!H$1),0),0)</f>
        <v>2121.303177632939</v>
      </c>
      <c r="Q3694" s="29">
        <v>2900</v>
      </c>
      <c r="R3694" s="31">
        <v>45549</v>
      </c>
      <c r="S3694" s="31" t="s">
        <v>3121</v>
      </c>
      <c r="T3694" s="95" t="str">
        <f t="shared" si="293"/>
        <v>2024 09</v>
      </c>
      <c r="U3694" s="32">
        <f t="shared" si="290"/>
        <v>778.69682236706103</v>
      </c>
      <c r="V3694" s="22">
        <f t="shared" si="291"/>
        <v>0.3670841728696092</v>
      </c>
      <c r="X3694" s="33"/>
      <c r="Y3694" s="33"/>
    </row>
    <row r="3695" spans="1:25" x14ac:dyDescent="0.2">
      <c r="A3695" s="93" t="s">
        <v>1963</v>
      </c>
      <c r="B3695" s="94" t="str">
        <f>IFERROR(VLOOKUP($A3695,HeadJournal!$A$1:$NTR$890,COLUMN(HeadJournal!B$1),0),"")</f>
        <v>722500245507</v>
      </c>
      <c r="C3695" s="94" t="str">
        <f>IFERROR(VLOOKUP($A3695,HeadJournal!$A$1:$NTR$890,COLUMN(HeadJournal!C$1),0),"")</f>
        <v>iHerb_MH DLE7202</v>
      </c>
      <c r="D3695" s="125" t="str">
        <f>IFERROR(VLOOKUP($A3695,HeadJournal!$A$1:$NTR$890,COLUMN(HeadJournal!D$1),0),"")</f>
        <v>Доставлен</v>
      </c>
      <c r="E3695" s="95">
        <f>IFERROR(VLOOKUP($A3695,HeadJournal!$A$1:$NTR$890,COLUMN(HeadJournal!G$1),0),"")</f>
        <v>45522</v>
      </c>
      <c r="F3695" s="95" t="str">
        <f t="shared" si="292"/>
        <v>2024 08</v>
      </c>
      <c r="G3695" s="96" t="s">
        <v>5</v>
      </c>
      <c r="H3695" s="161" t="s">
        <v>2659</v>
      </c>
      <c r="I3695" s="97" t="s">
        <v>2218</v>
      </c>
      <c r="J3695" s="97" t="s">
        <v>2660</v>
      </c>
      <c r="K3695" s="29">
        <v>11</v>
      </c>
      <c r="L3695" s="29">
        <v>-1.1000000000000001</v>
      </c>
      <c r="M3695" s="30">
        <f>IFERROR(VLOOKUP($A3695,HeadJournal!$A$1:$J$890,COLUMN(HeadJournal!I$1),0)*($K3695+$L3695)/(SUMIF($A:$A,$A3695,$K:$K)+SUMIF($A:$A,$A3695,$L:$L)),0)</f>
        <v>-0.48445065176908747</v>
      </c>
      <c r="N3695" s="30">
        <f>IFERROR((VLOOKUP($A3695,HeadJournal!$A$1:$K$890,COLUMN(HeadJournal!K$1),0)-VLOOKUP($A3695,HeadJournal!$A$1:$K$890,COLUMN(HeadJournal!J$1),0))*($K3695+$L3695)/(SUMIF($A:$A,$A3695,$K:$K)+SUMIF($A:$A,$A3695,$L:$L)),0)</f>
        <v>-1.4554879131026257E-15</v>
      </c>
      <c r="O3695" s="30">
        <f>IFERROR((VLOOKUP($A3695,HeadJournal!$A$1:$L$890,COLUMN(HeadJournal!L$1),0)*($K3695+$L3695)/(SUMIF($A:$A,$A3695,$K:$K)+SUMIF($A:$A,$A3695,$L:$L)))/VLOOKUP($A3695,HeadJournal!$A$1:$L$890,COLUMN(HeadJournal!H$1),0),0)</f>
        <v>0.45370186295105142</v>
      </c>
      <c r="P3695" s="30">
        <f>IFERROR(SUM(K3695:O3695)*VLOOKUP($A3695,HeadJournal!$A$1:$L$890,COLUMN(HeadJournal!H$1),0),0)</f>
        <v>990.14151148355006</v>
      </c>
      <c r="Q3695" s="29">
        <v>1700</v>
      </c>
      <c r="R3695" s="31">
        <v>45549</v>
      </c>
      <c r="S3695" s="31" t="s">
        <v>3121</v>
      </c>
      <c r="T3695" s="95" t="str">
        <f t="shared" si="293"/>
        <v>2024 09</v>
      </c>
      <c r="U3695" s="32">
        <f t="shared" si="290"/>
        <v>709.85848851644994</v>
      </c>
      <c r="V3695" s="22">
        <f t="shared" si="291"/>
        <v>0.71692629819433984</v>
      </c>
      <c r="X3695" s="33"/>
      <c r="Y3695" s="33"/>
    </row>
    <row r="3696" spans="1:25" x14ac:dyDescent="0.2">
      <c r="A3696" s="93" t="s">
        <v>1963</v>
      </c>
      <c r="B3696" s="94" t="str">
        <f>IFERROR(VLOOKUP($A3696,HeadJournal!$A$1:$NTR$890,COLUMN(HeadJournal!B$1),0),"")</f>
        <v>722500245507</v>
      </c>
      <c r="C3696" s="94" t="str">
        <f>IFERROR(VLOOKUP($A3696,HeadJournal!$A$1:$NTR$890,COLUMN(HeadJournal!C$1),0),"")</f>
        <v>iHerb_MH DLE7202</v>
      </c>
      <c r="D3696" s="125" t="str">
        <f>IFERROR(VLOOKUP($A3696,HeadJournal!$A$1:$NTR$890,COLUMN(HeadJournal!D$1),0),"")</f>
        <v>Доставлен</v>
      </c>
      <c r="E3696" s="95">
        <f>IFERROR(VLOOKUP($A3696,HeadJournal!$A$1:$NTR$890,COLUMN(HeadJournal!G$1),0),"")</f>
        <v>45522</v>
      </c>
      <c r="F3696" s="95" t="str">
        <f t="shared" si="292"/>
        <v>2024 08</v>
      </c>
      <c r="G3696" s="96" t="s">
        <v>5</v>
      </c>
      <c r="H3696" s="161" t="s">
        <v>2659</v>
      </c>
      <c r="I3696" s="97" t="s">
        <v>2218</v>
      </c>
      <c r="J3696" s="97" t="s">
        <v>2660</v>
      </c>
      <c r="K3696" s="29">
        <v>11</v>
      </c>
      <c r="L3696" s="29">
        <v>-1.1000000000000001</v>
      </c>
      <c r="M3696" s="30">
        <f>IFERROR(VLOOKUP($A3696,HeadJournal!$A$1:$J$890,COLUMN(HeadJournal!I$1),0)*($K3696+$L3696)/(SUMIF($A:$A,$A3696,$K:$K)+SUMIF($A:$A,$A3696,$L:$L)),0)</f>
        <v>-0.48445065176908747</v>
      </c>
      <c r="N3696" s="30">
        <f>IFERROR((VLOOKUP($A3696,HeadJournal!$A$1:$K$890,COLUMN(HeadJournal!K$1),0)-VLOOKUP($A3696,HeadJournal!$A$1:$K$890,COLUMN(HeadJournal!J$1),0))*($K3696+$L3696)/(SUMIF($A:$A,$A3696,$K:$K)+SUMIF($A:$A,$A3696,$L:$L)),0)</f>
        <v>-1.4554879131026257E-15</v>
      </c>
      <c r="O3696" s="30">
        <f>IFERROR((VLOOKUP($A3696,HeadJournal!$A$1:$L$890,COLUMN(HeadJournal!L$1),0)*($K3696+$L3696)/(SUMIF($A:$A,$A3696,$K:$K)+SUMIF($A:$A,$A3696,$L:$L)))/VLOOKUP($A3696,HeadJournal!$A$1:$L$890,COLUMN(HeadJournal!H$1),0),0)</f>
        <v>0.45370186295105142</v>
      </c>
      <c r="P3696" s="30">
        <f>IFERROR(SUM(K3696:O3696)*VLOOKUP($A3696,HeadJournal!$A$1:$L$890,COLUMN(HeadJournal!H$1),0),0)</f>
        <v>990.14151148355006</v>
      </c>
      <c r="Q3696" s="29">
        <v>1700</v>
      </c>
      <c r="R3696" s="31">
        <v>45549</v>
      </c>
      <c r="S3696" s="31" t="s">
        <v>3121</v>
      </c>
      <c r="T3696" s="95" t="str">
        <f t="shared" si="293"/>
        <v>2024 09</v>
      </c>
      <c r="U3696" s="32">
        <f t="shared" si="290"/>
        <v>709.85848851644994</v>
      </c>
      <c r="V3696" s="22">
        <f t="shared" si="291"/>
        <v>0.71692629819433984</v>
      </c>
      <c r="X3696" s="33"/>
      <c r="Y3696" s="33"/>
    </row>
    <row r="3697" spans="1:25" x14ac:dyDescent="0.2">
      <c r="A3697" s="93" t="s">
        <v>1963</v>
      </c>
      <c r="B3697" s="94" t="str">
        <f>IFERROR(VLOOKUP($A3697,HeadJournal!$A$1:$NTR$890,COLUMN(HeadJournal!B$1),0),"")</f>
        <v>722500245507</v>
      </c>
      <c r="C3697" s="94" t="str">
        <f>IFERROR(VLOOKUP($A3697,HeadJournal!$A$1:$NTR$890,COLUMN(HeadJournal!C$1),0),"")</f>
        <v>iHerb_MH DLE7202</v>
      </c>
      <c r="D3697" s="125" t="str">
        <f>IFERROR(VLOOKUP($A3697,HeadJournal!$A$1:$NTR$890,COLUMN(HeadJournal!D$1),0),"")</f>
        <v>Доставлен</v>
      </c>
      <c r="E3697" s="95">
        <f>IFERROR(VLOOKUP($A3697,HeadJournal!$A$1:$NTR$890,COLUMN(HeadJournal!G$1),0),"")</f>
        <v>45522</v>
      </c>
      <c r="F3697" s="95" t="str">
        <f t="shared" si="292"/>
        <v>2024 08</v>
      </c>
      <c r="G3697" s="96" t="s">
        <v>5</v>
      </c>
      <c r="H3697" s="161" t="s">
        <v>2788</v>
      </c>
      <c r="I3697" s="97" t="s">
        <v>2218</v>
      </c>
      <c r="J3697" s="97" t="s">
        <v>2789</v>
      </c>
      <c r="K3697" s="29">
        <v>11.04</v>
      </c>
      <c r="L3697" s="29">
        <v>-1.1000000000000001</v>
      </c>
      <c r="M3697" s="30">
        <f>IFERROR(VLOOKUP($A3697,HeadJournal!$A$1:$J$890,COLUMN(HeadJournal!I$1),0)*($K3697+$L3697)/(SUMIF($A:$A,$A3697,$K:$K)+SUMIF($A:$A,$A3697,$L:$L)),0)</f>
        <v>-0.48640802813987166</v>
      </c>
      <c r="N3697" s="30">
        <f>IFERROR((VLOOKUP($A3697,HeadJournal!$A$1:$K$890,COLUMN(HeadJournal!K$1),0)-VLOOKUP($A3697,HeadJournal!$A$1:$K$890,COLUMN(HeadJournal!J$1),0))*($K3697+$L3697)/(SUMIF($A:$A,$A3697,$K:$K)+SUMIF($A:$A,$A3697,$L:$L)),0)</f>
        <v>-1.4613686723474848E-15</v>
      </c>
      <c r="O3697" s="30">
        <f>IFERROR((VLOOKUP($A3697,HeadJournal!$A$1:$L$890,COLUMN(HeadJournal!L$1),0)*($K3697+$L3697)/(SUMIF($A:$A,$A3697,$K:$K)+SUMIF($A:$A,$A3697,$L:$L)))/VLOOKUP($A3697,HeadJournal!$A$1:$L$890,COLUMN(HeadJournal!H$1),0),0)</f>
        <v>0.45553500179125761</v>
      </c>
      <c r="P3697" s="30">
        <f>IFERROR(SUM(K3697:O3697)*VLOOKUP($A3697,HeadJournal!$A$1:$L$890,COLUMN(HeadJournal!H$1),0),0)</f>
        <v>994.1420832471199</v>
      </c>
      <c r="Q3697" s="29">
        <v>1600</v>
      </c>
      <c r="R3697" s="31">
        <v>45549</v>
      </c>
      <c r="S3697" s="31" t="s">
        <v>3121</v>
      </c>
      <c r="T3697" s="95" t="str">
        <f t="shared" si="293"/>
        <v>2024 09</v>
      </c>
      <c r="U3697" s="32">
        <f t="shared" si="290"/>
        <v>605.8579167528801</v>
      </c>
      <c r="V3697" s="22">
        <f t="shared" si="291"/>
        <v>0.60942789462648506</v>
      </c>
      <c r="X3697" s="33"/>
      <c r="Y3697" s="33"/>
    </row>
    <row r="3698" spans="1:25" x14ac:dyDescent="0.2">
      <c r="A3698" s="93" t="s">
        <v>1963</v>
      </c>
      <c r="B3698" s="94" t="str">
        <f>IFERROR(VLOOKUP($A3698,HeadJournal!$A$1:$NTR$890,COLUMN(HeadJournal!B$1),0),"")</f>
        <v>722500245507</v>
      </c>
      <c r="C3698" s="94" t="str">
        <f>IFERROR(VLOOKUP($A3698,HeadJournal!$A$1:$NTR$890,COLUMN(HeadJournal!C$1),0),"")</f>
        <v>iHerb_MH DLE7202</v>
      </c>
      <c r="D3698" s="125" t="str">
        <f>IFERROR(VLOOKUP($A3698,HeadJournal!$A$1:$NTR$890,COLUMN(HeadJournal!D$1),0),"")</f>
        <v>Доставлен</v>
      </c>
      <c r="E3698" s="95">
        <f>IFERROR(VLOOKUP($A3698,HeadJournal!$A$1:$NTR$890,COLUMN(HeadJournal!G$1),0),"")</f>
        <v>45522</v>
      </c>
      <c r="F3698" s="95" t="str">
        <f t="shared" si="292"/>
        <v>2024 08</v>
      </c>
      <c r="G3698" s="96" t="s">
        <v>5</v>
      </c>
      <c r="H3698" s="161" t="s">
        <v>2217</v>
      </c>
      <c r="I3698" s="97" t="s">
        <v>2218</v>
      </c>
      <c r="J3698" s="97" t="s">
        <v>2219</v>
      </c>
      <c r="K3698" s="29">
        <v>28.34</v>
      </c>
      <c r="L3698" s="29">
        <v>-2.83</v>
      </c>
      <c r="M3698" s="30">
        <f>IFERROR(VLOOKUP($A3698,HeadJournal!$A$1:$J$890,COLUMN(HeadJournal!I$1),0)*($K3698+$L3698)/(SUMIF($A:$A,$A3698,$K:$K)+SUMIF($A:$A,$A3698,$L:$L)),0)</f>
        <v>-1.2483167804676181</v>
      </c>
      <c r="N3698" s="30">
        <f>IFERROR((VLOOKUP($A3698,HeadJournal!$A$1:$K$890,COLUMN(HeadJournal!K$1),0)-VLOOKUP($A3698,HeadJournal!$A$1:$K$890,COLUMN(HeadJournal!J$1),0))*($K3698+$L3698)/(SUMIF($A:$A,$A3698,$K:$K)+SUMIF($A:$A,$A3698,$L:$L)),0)</f>
        <v>-3.7504542084088866E-15</v>
      </c>
      <c r="O3698" s="30">
        <f>IFERROR((VLOOKUP($A3698,HeadJournal!$A$1:$L$890,COLUMN(HeadJournal!L$1),0)*($K3698+$L3698)/(SUMIF($A:$A,$A3698,$K:$K)+SUMIF($A:$A,$A3698,$L:$L)))/VLOOKUP($A3698,HeadJournal!$A$1:$L$890,COLUMN(HeadJournal!H$1),0),0)</f>
        <v>1.1690842953415477</v>
      </c>
      <c r="P3698" s="30">
        <f>IFERROR(SUM(K3698:O3698)*VLOOKUP($A3698,HeadJournal!$A$1:$L$890,COLUMN(HeadJournal!H$1),0),0)</f>
        <v>2551.364642216703</v>
      </c>
      <c r="Q3698" s="29">
        <v>3300</v>
      </c>
      <c r="R3698" s="31">
        <v>45556</v>
      </c>
      <c r="S3698" s="31" t="s">
        <v>3121</v>
      </c>
      <c r="T3698" s="95" t="str">
        <f t="shared" si="293"/>
        <v>2024 09</v>
      </c>
      <c r="U3698" s="32">
        <f t="shared" si="290"/>
        <v>748.63535778329697</v>
      </c>
      <c r="V3698" s="22">
        <f t="shared" si="291"/>
        <v>0.29342546549240406</v>
      </c>
      <c r="X3698" s="33"/>
      <c r="Y3698" s="33"/>
    </row>
    <row r="3699" spans="1:25" x14ac:dyDescent="0.2">
      <c r="A3699" s="93" t="s">
        <v>1963</v>
      </c>
      <c r="B3699" s="94" t="str">
        <f>IFERROR(VLOOKUP($A3699,HeadJournal!$A$1:$NTR$890,COLUMN(HeadJournal!B$1),0),"")</f>
        <v>722500245507</v>
      </c>
      <c r="C3699" s="94" t="str">
        <f>IFERROR(VLOOKUP($A3699,HeadJournal!$A$1:$NTR$890,COLUMN(HeadJournal!C$1),0),"")</f>
        <v>iHerb_MH DLE7202</v>
      </c>
      <c r="D3699" s="125" t="str">
        <f>IFERROR(VLOOKUP($A3699,HeadJournal!$A$1:$NTR$890,COLUMN(HeadJournal!D$1),0),"")</f>
        <v>Доставлен</v>
      </c>
      <c r="E3699" s="95">
        <f>IFERROR(VLOOKUP($A3699,HeadJournal!$A$1:$NTR$890,COLUMN(HeadJournal!G$1),0),"")</f>
        <v>45522</v>
      </c>
      <c r="F3699" s="95" t="str">
        <f t="shared" si="292"/>
        <v>2024 08</v>
      </c>
      <c r="G3699" s="96" t="s">
        <v>5</v>
      </c>
      <c r="H3699" s="161" t="s">
        <v>2565</v>
      </c>
      <c r="I3699" s="97" t="s">
        <v>2052</v>
      </c>
      <c r="J3699" s="97" t="s">
        <v>3829</v>
      </c>
      <c r="K3699" s="29">
        <v>31.02</v>
      </c>
      <c r="L3699" s="29">
        <v>-9.3049999999999997</v>
      </c>
      <c r="M3699" s="30">
        <f>IFERROR(VLOOKUP($A3699,HeadJournal!$A$1:$J$890,COLUMN(HeadJournal!I$1),0)*($K3699+$L3699)/(SUMIF($A:$A,$A3699,$K:$K)+SUMIF($A:$A,$A3699,$L:$L)),0)</f>
        <v>-1.062610697289468</v>
      </c>
      <c r="N3699" s="30">
        <f>IFERROR((VLOOKUP($A3699,HeadJournal!$A$1:$K$890,COLUMN(HeadJournal!K$1),0)-VLOOKUP($A3699,HeadJournal!$A$1:$K$890,COLUMN(HeadJournal!J$1),0))*($K3699+$L3699)/(SUMIF($A:$A,$A3699,$K:$K)+SUMIF($A:$A,$A3699,$L:$L)),0)</f>
        <v>-3.1925171750528807E-15</v>
      </c>
      <c r="O3699" s="30">
        <f>IFERROR((VLOOKUP($A3699,HeadJournal!$A$1:$L$890,COLUMN(HeadJournal!L$1),0)*($K3699+$L3699)/(SUMIF($A:$A,$A3699,$K:$K)+SUMIF($A:$A,$A3699,$L:$L)))/VLOOKUP($A3699,HeadJournal!$A$1:$L$890,COLUMN(HeadJournal!H$1),0),0)</f>
        <v>0.99516524787697791</v>
      </c>
      <c r="P3699" s="30">
        <f>IFERROR(SUM(K3699:O3699)*VLOOKUP($A3699,HeadJournal!$A$1:$L$890,COLUMN(HeadJournal!H$1),0),0)</f>
        <v>2171.8103961480092</v>
      </c>
      <c r="Q3699" s="29">
        <v>3400</v>
      </c>
      <c r="R3699" s="31">
        <v>45620</v>
      </c>
      <c r="S3699" s="31" t="s">
        <v>3121</v>
      </c>
      <c r="T3699" s="95" t="str">
        <f t="shared" si="293"/>
        <v>2024 11</v>
      </c>
      <c r="U3699" s="32">
        <f t="shared" si="290"/>
        <v>1228.1896038519908</v>
      </c>
      <c r="V3699" s="22">
        <f t="shared" si="291"/>
        <v>0.56551419314980089</v>
      </c>
      <c r="X3699" s="33"/>
      <c r="Y3699" s="33"/>
    </row>
    <row r="3700" spans="1:25" x14ac:dyDescent="0.2">
      <c r="A3700" s="93" t="s">
        <v>1963</v>
      </c>
      <c r="B3700" s="94" t="str">
        <f>IFERROR(VLOOKUP($A3700,HeadJournal!$A$1:$NTR$890,COLUMN(HeadJournal!B$1),0),"")</f>
        <v>722500245507</v>
      </c>
      <c r="C3700" s="94" t="str">
        <f>IFERROR(VLOOKUP($A3700,HeadJournal!$A$1:$NTR$890,COLUMN(HeadJournal!C$1),0),"")</f>
        <v>iHerb_MH DLE7202</v>
      </c>
      <c r="D3700" s="125" t="str">
        <f>IFERROR(VLOOKUP($A3700,HeadJournal!$A$1:$NTR$890,COLUMN(HeadJournal!D$1),0),"")</f>
        <v>Доставлен</v>
      </c>
      <c r="E3700" s="95">
        <f>IFERROR(VLOOKUP($A3700,HeadJournal!$A$1:$NTR$890,COLUMN(HeadJournal!G$1),0),"")</f>
        <v>45522</v>
      </c>
      <c r="F3700" s="95" t="str">
        <f t="shared" si="292"/>
        <v>2024 08</v>
      </c>
      <c r="G3700" s="96" t="s">
        <v>5</v>
      </c>
      <c r="H3700" s="161" t="s">
        <v>2565</v>
      </c>
      <c r="I3700" s="97" t="s">
        <v>2052</v>
      </c>
      <c r="J3700" s="97" t="s">
        <v>3829</v>
      </c>
      <c r="K3700" s="29">
        <v>31.02</v>
      </c>
      <c r="L3700" s="29">
        <v>-9.3049999999999997</v>
      </c>
      <c r="M3700" s="30">
        <f>IFERROR(VLOOKUP($A3700,HeadJournal!$A$1:$J$890,COLUMN(HeadJournal!I$1),0)*($K3700+$L3700)/(SUMIF($A:$A,$A3700,$K:$K)+SUMIF($A:$A,$A3700,$L:$L)),0)</f>
        <v>-1.062610697289468</v>
      </c>
      <c r="N3700" s="30">
        <f>IFERROR((VLOOKUP($A3700,HeadJournal!$A$1:$K$890,COLUMN(HeadJournal!K$1),0)-VLOOKUP($A3700,HeadJournal!$A$1:$K$890,COLUMN(HeadJournal!J$1),0))*($K3700+$L3700)/(SUMIF($A:$A,$A3700,$K:$K)+SUMIF($A:$A,$A3700,$L:$L)),0)</f>
        <v>-3.1925171750528807E-15</v>
      </c>
      <c r="O3700" s="30">
        <f>IFERROR((VLOOKUP($A3700,HeadJournal!$A$1:$L$890,COLUMN(HeadJournal!L$1),0)*($K3700+$L3700)/(SUMIF($A:$A,$A3700,$K:$K)+SUMIF($A:$A,$A3700,$L:$L)))/VLOOKUP($A3700,HeadJournal!$A$1:$L$890,COLUMN(HeadJournal!H$1),0),0)</f>
        <v>0.99516524787697791</v>
      </c>
      <c r="P3700" s="30">
        <f>IFERROR(SUM(K3700:O3700)*VLOOKUP($A3700,HeadJournal!$A$1:$L$890,COLUMN(HeadJournal!H$1),0),0)</f>
        <v>2171.8103961480092</v>
      </c>
      <c r="Q3700" s="29">
        <v>4000</v>
      </c>
      <c r="R3700" s="31">
        <v>45661</v>
      </c>
      <c r="S3700" s="31" t="s">
        <v>3121</v>
      </c>
      <c r="T3700" s="95" t="str">
        <f t="shared" si="293"/>
        <v>2025 01</v>
      </c>
      <c r="U3700" s="32">
        <f t="shared" si="290"/>
        <v>1828.1896038519908</v>
      </c>
      <c r="V3700" s="22">
        <f t="shared" si="291"/>
        <v>0.84178140370564802</v>
      </c>
      <c r="X3700" s="33"/>
      <c r="Y3700" s="33"/>
    </row>
    <row r="3701" spans="1:25" x14ac:dyDescent="0.2">
      <c r="A3701" s="93" t="s">
        <v>1963</v>
      </c>
      <c r="B3701" s="94" t="str">
        <f>IFERROR(VLOOKUP($A3701,HeadJournal!$A$1:$NTR$890,COLUMN(HeadJournal!B$1),0),"")</f>
        <v>722500245507</v>
      </c>
      <c r="C3701" s="94" t="str">
        <f>IFERROR(VLOOKUP($A3701,HeadJournal!$A$1:$NTR$890,COLUMN(HeadJournal!C$1),0),"")</f>
        <v>iHerb_MH DLE7202</v>
      </c>
      <c r="D3701" s="125" t="str">
        <f>IFERROR(VLOOKUP($A3701,HeadJournal!$A$1:$NTR$890,COLUMN(HeadJournal!D$1),0),"")</f>
        <v>Доставлен</v>
      </c>
      <c r="E3701" s="95">
        <f>IFERROR(VLOOKUP($A3701,HeadJournal!$A$1:$NTR$890,COLUMN(HeadJournal!G$1),0),"")</f>
        <v>45522</v>
      </c>
      <c r="F3701" s="95" t="str">
        <f t="shared" si="292"/>
        <v>2024 08</v>
      </c>
      <c r="G3701" s="96" t="s">
        <v>5</v>
      </c>
      <c r="H3701" s="161" t="s">
        <v>3573</v>
      </c>
      <c r="I3701" s="97" t="s">
        <v>2052</v>
      </c>
      <c r="J3701" s="97" t="s">
        <v>3574</v>
      </c>
      <c r="K3701" s="29">
        <v>16.8</v>
      </c>
      <c r="L3701" s="29">
        <v>-5.04</v>
      </c>
      <c r="M3701" s="30">
        <f>IFERROR(VLOOKUP($A3701,HeadJournal!$A$1:$J$890,COLUMN(HeadJournal!I$1),0)*($K3701+$L3701)/(SUMIF($A:$A,$A3701,$K:$K)+SUMIF($A:$A,$A3701,$L:$L)),0)</f>
        <v>-0.5754686530105525</v>
      </c>
      <c r="N3701" s="30">
        <f>IFERROR((VLOOKUP($A3701,HeadJournal!$A$1:$K$890,COLUMN(HeadJournal!K$1),0)-VLOOKUP($A3701,HeadJournal!$A$1:$K$890,COLUMN(HeadJournal!J$1),0))*($K3701+$L3701)/(SUMIF($A:$A,$A3701,$K:$K)+SUMIF($A:$A,$A3701,$L:$L)),0)</f>
        <v>-1.7289432179885738E-15</v>
      </c>
      <c r="O3701" s="30">
        <f>IFERROR((VLOOKUP($A3701,HeadJournal!$A$1:$L$890,COLUMN(HeadJournal!L$1),0)*($K3701+$L3701)/(SUMIF($A:$A,$A3701,$K:$K)+SUMIF($A:$A,$A3701,$L:$L)))/VLOOKUP($A3701,HeadJournal!$A$1:$L$890,COLUMN(HeadJournal!H$1),0),0)</f>
        <v>0.538942819020643</v>
      </c>
      <c r="P3701" s="30">
        <f>IFERROR(SUM(K3701:O3701)*VLOOKUP($A3701,HeadJournal!$A$1:$L$890,COLUMN(HeadJournal!H$1),0),0)</f>
        <v>1176.1680984895506</v>
      </c>
      <c r="Q3701" s="29">
        <v>2400</v>
      </c>
      <c r="R3701" s="31">
        <v>45754</v>
      </c>
      <c r="S3701" s="31" t="s">
        <v>3121</v>
      </c>
      <c r="T3701" s="95" t="str">
        <f t="shared" si="293"/>
        <v>2025 04</v>
      </c>
      <c r="U3701" s="32">
        <f t="shared" si="290"/>
        <v>1223.8319015104494</v>
      </c>
      <c r="V3701" s="22">
        <f t="shared" si="291"/>
        <v>1.0405246521157214</v>
      </c>
      <c r="X3701" s="33"/>
      <c r="Y3701" s="33"/>
    </row>
    <row r="3702" spans="1:25" x14ac:dyDescent="0.2">
      <c r="A3702" s="93" t="s">
        <v>1963</v>
      </c>
      <c r="B3702" s="94" t="str">
        <f>IFERROR(VLOOKUP($A3702,HeadJournal!$A$1:$NTR$890,COLUMN(HeadJournal!B$1),0),"")</f>
        <v>722500245507</v>
      </c>
      <c r="C3702" s="94" t="str">
        <f>IFERROR(VLOOKUP($A3702,HeadJournal!$A$1:$NTR$890,COLUMN(HeadJournal!C$1),0),"")</f>
        <v>iHerb_MH DLE7202</v>
      </c>
      <c r="D3702" s="125" t="str">
        <f>IFERROR(VLOOKUP($A3702,HeadJournal!$A$1:$NTR$890,COLUMN(HeadJournal!D$1),0),"")</f>
        <v>Доставлен</v>
      </c>
      <c r="E3702" s="95">
        <f>IFERROR(VLOOKUP($A3702,HeadJournal!$A$1:$NTR$890,COLUMN(HeadJournal!G$1),0),"")</f>
        <v>45522</v>
      </c>
      <c r="F3702" s="95" t="str">
        <f t="shared" si="292"/>
        <v>2024 08</v>
      </c>
      <c r="G3702" s="96" t="s">
        <v>5</v>
      </c>
      <c r="H3702" s="161" t="s">
        <v>3573</v>
      </c>
      <c r="I3702" s="97" t="s">
        <v>2052</v>
      </c>
      <c r="J3702" s="97" t="s">
        <v>3574</v>
      </c>
      <c r="K3702" s="29">
        <v>16.8</v>
      </c>
      <c r="L3702" s="29">
        <v>-5.04</v>
      </c>
      <c r="M3702" s="30">
        <f>IFERROR(VLOOKUP($A3702,HeadJournal!$A$1:$J$890,COLUMN(HeadJournal!I$1),0)*($K3702+$L3702)/(SUMIF($A:$A,$A3702,$K:$K)+SUMIF($A:$A,$A3702,$L:$L)),0)</f>
        <v>-0.5754686530105525</v>
      </c>
      <c r="N3702" s="30">
        <f>IFERROR((VLOOKUP($A3702,HeadJournal!$A$1:$K$890,COLUMN(HeadJournal!K$1),0)-VLOOKUP($A3702,HeadJournal!$A$1:$K$890,COLUMN(HeadJournal!J$1),0))*($K3702+$L3702)/(SUMIF($A:$A,$A3702,$K:$K)+SUMIF($A:$A,$A3702,$L:$L)),0)</f>
        <v>-1.7289432179885738E-15</v>
      </c>
      <c r="O3702" s="30">
        <f>IFERROR((VLOOKUP($A3702,HeadJournal!$A$1:$L$890,COLUMN(HeadJournal!L$1),0)*($K3702+$L3702)/(SUMIF($A:$A,$A3702,$K:$K)+SUMIF($A:$A,$A3702,$L:$L)))/VLOOKUP($A3702,HeadJournal!$A$1:$L$890,COLUMN(HeadJournal!H$1),0),0)</f>
        <v>0.538942819020643</v>
      </c>
      <c r="P3702" s="30">
        <f>IFERROR(SUM(K3702:O3702)*VLOOKUP($A3702,HeadJournal!$A$1:$L$890,COLUMN(HeadJournal!H$1),0),0)</f>
        <v>1176.1680984895506</v>
      </c>
      <c r="Q3702" s="29">
        <v>2500</v>
      </c>
      <c r="R3702" s="31">
        <v>45755</v>
      </c>
      <c r="S3702" s="31" t="s">
        <v>3121</v>
      </c>
      <c r="T3702" s="95" t="str">
        <f t="shared" si="293"/>
        <v>2025 04</v>
      </c>
      <c r="U3702" s="32">
        <f t="shared" si="290"/>
        <v>1323.8319015104494</v>
      </c>
      <c r="V3702" s="22">
        <f t="shared" si="291"/>
        <v>1.1255465126205433</v>
      </c>
      <c r="X3702" s="33"/>
      <c r="Y3702" s="33"/>
    </row>
    <row r="3703" spans="1:25" x14ac:dyDescent="0.2">
      <c r="A3703" s="93" t="s">
        <v>1967</v>
      </c>
      <c r="B3703" s="94" t="str">
        <f>IFERROR(VLOOKUP($A3703,HeadJournal!$A$1:$NTR$890,COLUMN(HeadJournal!B$1),0),"")</f>
        <v>720000322434</v>
      </c>
      <c r="C3703" s="94" t="str">
        <f>IFERROR(VLOOKUP($A3703,HeadJournal!$A$1:$NTR$890,COLUMN(HeadJournal!C$1),0),"")</f>
        <v>iHerb_OA CZN6870</v>
      </c>
      <c r="D3703" s="125" t="str">
        <f>IFERROR(VLOOKUP($A3703,HeadJournal!$A$1:$NTR$890,COLUMN(HeadJournal!D$1),0),"")</f>
        <v>Доставлен</v>
      </c>
      <c r="E3703" s="95">
        <f>IFERROR(VLOOKUP($A3703,HeadJournal!$A$1:$NTR$890,COLUMN(HeadJournal!G$1),0),"")</f>
        <v>45511</v>
      </c>
      <c r="F3703" s="95" t="str">
        <f t="shared" si="292"/>
        <v>2024 08</v>
      </c>
      <c r="G3703" s="96" t="s">
        <v>5</v>
      </c>
      <c r="H3703" s="161" t="s">
        <v>2083</v>
      </c>
      <c r="I3703" s="97" t="s">
        <v>2005</v>
      </c>
      <c r="J3703" s="97" t="s">
        <v>2084</v>
      </c>
      <c r="K3703" s="29">
        <v>58.94</v>
      </c>
      <c r="L3703" s="29">
        <v>-5.89</v>
      </c>
      <c r="M3703" s="30">
        <f>IFERROR(VLOOKUP($A3703,HeadJournal!$A$1:$J$890,COLUMN(HeadJournal!I$1),0)*($K3703+$L3703)/(SUMIF($A:$A,$A3703,$K:$K)+SUMIF($A:$A,$A3703,$L:$L)),0)</f>
        <v>-4.2546793018524474</v>
      </c>
      <c r="N3703" s="30">
        <f>IFERROR((VLOOKUP($A3703,HeadJournal!$A$1:$K$890,COLUMN(HeadJournal!K$1),0)-VLOOKUP($A3703,HeadJournal!$A$1:$K$890,COLUMN(HeadJournal!J$1),0))*($K3703+$L3703)/(SUMIF($A:$A,$A3703,$K:$K)+SUMIF($A:$A,$A3703,$L:$L)),0)</f>
        <v>1.6144894370734905E-14</v>
      </c>
      <c r="O3703" s="30">
        <f>IFERROR((VLOOKUP($A3703,HeadJournal!$A$1:$L$890,COLUMN(HeadJournal!L$1),0)*($K3703+$L3703)/(SUMIF($A:$A,$A3703,$K:$K)+SUMIF($A:$A,$A3703,$L:$L)))/VLOOKUP($A3703,HeadJournal!$A$1:$L$890,COLUMN(HeadJournal!H$1),0),0)</f>
        <v>2.5633091274042705</v>
      </c>
      <c r="P3703" s="30">
        <f>IFERROR(SUM(K3703:O3703)*VLOOKUP($A3703,HeadJournal!$A$1:$L$890,COLUMN(HeadJournal!H$1),0),0)</f>
        <v>5058.1613814826733</v>
      </c>
      <c r="Q3703" s="29">
        <v>6200</v>
      </c>
      <c r="R3703" s="31">
        <v>45549</v>
      </c>
      <c r="S3703" s="31" t="s">
        <v>3121</v>
      </c>
      <c r="T3703" s="95" t="str">
        <f t="shared" si="293"/>
        <v>2024 09</v>
      </c>
      <c r="U3703" s="32">
        <f t="shared" si="290"/>
        <v>1141.8386185173267</v>
      </c>
      <c r="V3703" s="22">
        <f t="shared" si="291"/>
        <v>0.22574183233802345</v>
      </c>
      <c r="X3703" s="33"/>
      <c r="Y3703" s="33"/>
    </row>
    <row r="3704" spans="1:25" x14ac:dyDescent="0.2">
      <c r="A3704" s="93" t="s">
        <v>1967</v>
      </c>
      <c r="B3704" s="94" t="str">
        <f>IFERROR(VLOOKUP($A3704,HeadJournal!$A$1:$NTR$890,COLUMN(HeadJournal!B$1),0),"")</f>
        <v>720000322434</v>
      </c>
      <c r="C3704" s="94" t="str">
        <f>IFERROR(VLOOKUP($A3704,HeadJournal!$A$1:$NTR$890,COLUMN(HeadJournal!C$1),0),"")</f>
        <v>iHerb_OA CZN6870</v>
      </c>
      <c r="D3704" s="125" t="str">
        <f>IFERROR(VLOOKUP($A3704,HeadJournal!$A$1:$NTR$890,COLUMN(HeadJournal!D$1),0),"")</f>
        <v>Доставлен</v>
      </c>
      <c r="E3704" s="95">
        <f>IFERROR(VLOOKUP($A3704,HeadJournal!$A$1:$NTR$890,COLUMN(HeadJournal!G$1),0),"")</f>
        <v>45511</v>
      </c>
      <c r="F3704" s="95" t="str">
        <f t="shared" si="292"/>
        <v>2024 08</v>
      </c>
      <c r="G3704" s="96" t="s">
        <v>5</v>
      </c>
      <c r="H3704" s="161" t="s">
        <v>2051</v>
      </c>
      <c r="I3704" s="97" t="s">
        <v>2052</v>
      </c>
      <c r="J3704" s="97" t="s">
        <v>3097</v>
      </c>
      <c r="K3704" s="29">
        <v>21.04</v>
      </c>
      <c r="L3704" s="29">
        <v>-6.31</v>
      </c>
      <c r="M3704" s="30">
        <f>IFERROR(VLOOKUP($A3704,HeadJournal!$A$1:$J$890,COLUMN(HeadJournal!I$1),0)*($K3704+$L3704)/(SUMIF($A:$A,$A3704,$K:$K)+SUMIF($A:$A,$A3704,$L:$L)),0)</f>
        <v>-1.1813652425313206</v>
      </c>
      <c r="N3704" s="30">
        <f>IFERROR((VLOOKUP($A3704,HeadJournal!$A$1:$K$890,COLUMN(HeadJournal!K$1),0)-VLOOKUP($A3704,HeadJournal!$A$1:$K$890,COLUMN(HeadJournal!J$1),0))*($K3704+$L3704)/(SUMIF($A:$A,$A3704,$K:$K)+SUMIF($A:$A,$A3704,$L:$L)),0)</f>
        <v>4.4828330646734248E-15</v>
      </c>
      <c r="O3704" s="30">
        <f>IFERROR((VLOOKUP($A3704,HeadJournal!$A$1:$L$890,COLUMN(HeadJournal!L$1),0)*($K3704+$L3704)/(SUMIF($A:$A,$A3704,$K:$K)+SUMIF($A:$A,$A3704,$L:$L)))/VLOOKUP($A3704,HeadJournal!$A$1:$L$890,COLUMN(HeadJournal!H$1),0),0)</f>
        <v>0.71173503198237353</v>
      </c>
      <c r="P3704" s="30">
        <f>IFERROR(SUM(K3704:O3704)*VLOOKUP($A3704,HeadJournal!$A$1:$L$890,COLUMN(HeadJournal!H$1),0),0)</f>
        <v>1404.4621517293083</v>
      </c>
      <c r="Q3704" s="29">
        <v>2200</v>
      </c>
      <c r="R3704" s="31">
        <v>45553</v>
      </c>
      <c r="S3704" s="31" t="s">
        <v>3121</v>
      </c>
      <c r="T3704" s="95" t="str">
        <f t="shared" si="293"/>
        <v>2024 09</v>
      </c>
      <c r="U3704" s="32">
        <f t="shared" si="290"/>
        <v>795.53784827069171</v>
      </c>
      <c r="V3704" s="22">
        <f t="shared" si="291"/>
        <v>0.56643594652312224</v>
      </c>
      <c r="X3704" s="33"/>
      <c r="Y3704" s="33"/>
    </row>
    <row r="3705" spans="1:25" x14ac:dyDescent="0.2">
      <c r="A3705" s="93" t="s">
        <v>1967</v>
      </c>
      <c r="B3705" s="94" t="str">
        <f>IFERROR(VLOOKUP($A3705,HeadJournal!$A$1:$NTR$890,COLUMN(HeadJournal!B$1),0),"")</f>
        <v>720000322434</v>
      </c>
      <c r="C3705" s="94" t="str">
        <f>IFERROR(VLOOKUP($A3705,HeadJournal!$A$1:$NTR$890,COLUMN(HeadJournal!C$1),0),"")</f>
        <v>iHerb_OA CZN6870</v>
      </c>
      <c r="D3705" s="125" t="str">
        <f>IFERROR(VLOOKUP($A3705,HeadJournal!$A$1:$NTR$890,COLUMN(HeadJournal!D$1),0),"")</f>
        <v>Доставлен</v>
      </c>
      <c r="E3705" s="95">
        <f>IFERROR(VLOOKUP($A3705,HeadJournal!$A$1:$NTR$890,COLUMN(HeadJournal!G$1),0),"")</f>
        <v>45511</v>
      </c>
      <c r="F3705" s="95" t="str">
        <f t="shared" si="292"/>
        <v>2024 08</v>
      </c>
      <c r="G3705" s="96" t="s">
        <v>5</v>
      </c>
      <c r="H3705" s="161" t="s">
        <v>2051</v>
      </c>
      <c r="I3705" s="97" t="s">
        <v>2052</v>
      </c>
      <c r="J3705" s="97" t="s">
        <v>3097</v>
      </c>
      <c r="K3705" s="29">
        <v>21.04</v>
      </c>
      <c r="L3705" s="29">
        <v>-6.31</v>
      </c>
      <c r="M3705" s="30">
        <f>IFERROR(VLOOKUP($A3705,HeadJournal!$A$1:$J$890,COLUMN(HeadJournal!I$1),0)*($K3705+$L3705)/(SUMIF($A:$A,$A3705,$K:$K)+SUMIF($A:$A,$A3705,$L:$L)),0)</f>
        <v>-1.1813652425313206</v>
      </c>
      <c r="N3705" s="30">
        <f>IFERROR((VLOOKUP($A3705,HeadJournal!$A$1:$K$890,COLUMN(HeadJournal!K$1),0)-VLOOKUP($A3705,HeadJournal!$A$1:$K$890,COLUMN(HeadJournal!J$1),0))*($K3705+$L3705)/(SUMIF($A:$A,$A3705,$K:$K)+SUMIF($A:$A,$A3705,$L:$L)),0)</f>
        <v>4.4828330646734248E-15</v>
      </c>
      <c r="O3705" s="30">
        <f>IFERROR((VLOOKUP($A3705,HeadJournal!$A$1:$L$890,COLUMN(HeadJournal!L$1),0)*($K3705+$L3705)/(SUMIF($A:$A,$A3705,$K:$K)+SUMIF($A:$A,$A3705,$L:$L)))/VLOOKUP($A3705,HeadJournal!$A$1:$L$890,COLUMN(HeadJournal!H$1),0),0)</f>
        <v>0.71173503198237353</v>
      </c>
      <c r="P3705" s="30">
        <f>IFERROR(SUM(K3705:O3705)*VLOOKUP($A3705,HeadJournal!$A$1:$L$890,COLUMN(HeadJournal!H$1),0),0)</f>
        <v>1404.4621517293083</v>
      </c>
      <c r="Q3705" s="29">
        <v>2300</v>
      </c>
      <c r="R3705" s="31">
        <v>45555</v>
      </c>
      <c r="S3705" s="31" t="s">
        <v>3121</v>
      </c>
      <c r="T3705" s="95" t="str">
        <f t="shared" si="293"/>
        <v>2024 09</v>
      </c>
      <c r="U3705" s="32">
        <f t="shared" si="290"/>
        <v>895.53784827069171</v>
      </c>
      <c r="V3705" s="22">
        <f t="shared" si="291"/>
        <v>0.6376375804559915</v>
      </c>
      <c r="X3705" s="33"/>
      <c r="Y3705" s="33"/>
    </row>
    <row r="3706" spans="1:25" x14ac:dyDescent="0.2">
      <c r="A3706" s="93" t="s">
        <v>1967</v>
      </c>
      <c r="B3706" s="94" t="str">
        <f>IFERROR(VLOOKUP($A3706,HeadJournal!$A$1:$NTR$890,COLUMN(HeadJournal!B$1),0),"")</f>
        <v>720000322434</v>
      </c>
      <c r="C3706" s="94" t="str">
        <f>IFERROR(VLOOKUP($A3706,HeadJournal!$A$1:$NTR$890,COLUMN(HeadJournal!C$1),0),"")</f>
        <v>iHerb_OA CZN6870</v>
      </c>
      <c r="D3706" s="125" t="str">
        <f>IFERROR(VLOOKUP($A3706,HeadJournal!$A$1:$NTR$890,COLUMN(HeadJournal!D$1),0),"")</f>
        <v>Доставлен</v>
      </c>
      <c r="E3706" s="95">
        <f>IFERROR(VLOOKUP($A3706,HeadJournal!$A$1:$NTR$890,COLUMN(HeadJournal!G$1),0),"")</f>
        <v>45511</v>
      </c>
      <c r="F3706" s="95" t="str">
        <f t="shared" si="292"/>
        <v>2024 08</v>
      </c>
      <c r="G3706" s="96" t="s">
        <v>5</v>
      </c>
      <c r="H3706" s="160" t="str">
        <f>RIGHT(Journal!$J3706,9)</f>
        <v>SWV-02315</v>
      </c>
      <c r="I3706" s="127" t="str">
        <f t="shared" ref="I3706:I3763" si="294">IFERROR(LEFT(J3706,FIND(",",J3706)-1),"")</f>
        <v>Swanson</v>
      </c>
      <c r="J3706" s="97" t="s">
        <v>1969</v>
      </c>
      <c r="K3706" s="29">
        <v>12.61</v>
      </c>
      <c r="L3706" s="29">
        <v>-1.26</v>
      </c>
      <c r="M3706" s="30">
        <f>IFERROR(VLOOKUP($A3706,HeadJournal!$A$1:$J$890,COLUMN(HeadJournal!I$1),0)*($K3706+$L3706)/(SUMIF($A:$A,$A3706,$K:$K)+SUMIF($A:$A,$A3706,$L:$L)),0)</f>
        <v>-0.91028482706927949</v>
      </c>
      <c r="N3706" s="30">
        <f>IFERROR((VLOOKUP($A3706,HeadJournal!$A$1:$K$890,COLUMN(HeadJournal!K$1),0)-VLOOKUP($A3706,HeadJournal!$A$1:$K$890,COLUMN(HeadJournal!J$1),0))*($K3706+$L3706)/(SUMIF($A:$A,$A3706,$K:$K)+SUMIF($A:$A,$A3706,$L:$L)),0)</f>
        <v>3.4541856947755168E-15</v>
      </c>
      <c r="O3706" s="30">
        <f>IFERROR((VLOOKUP($A3706,HeadJournal!$A$1:$L$890,COLUMN(HeadJournal!L$1),0)*($K3706+$L3706)/(SUMIF($A:$A,$A3706,$K:$K)+SUMIF($A:$A,$A3706,$L:$L)))/VLOOKUP($A3706,HeadJournal!$A$1:$L$890,COLUMN(HeadJournal!H$1),0),0)</f>
        <v>0.54841769266802021</v>
      </c>
      <c r="P3706" s="30">
        <f>IFERROR(SUM(K3706:O3706)*VLOOKUP($A3706,HeadJournal!$A$1:$L$890,COLUMN(HeadJournal!H$1),0),0)</f>
        <v>1082.1890985830037</v>
      </c>
      <c r="Q3706" s="29">
        <v>1700</v>
      </c>
      <c r="R3706" s="31">
        <v>45549</v>
      </c>
      <c r="S3706" s="31" t="s">
        <v>3121</v>
      </c>
      <c r="T3706" s="95" t="str">
        <f t="shared" si="293"/>
        <v>2024 09</v>
      </c>
      <c r="U3706" s="32">
        <f t="shared" si="290"/>
        <v>617.81090141699633</v>
      </c>
      <c r="V3706" s="22">
        <f t="shared" si="291"/>
        <v>0.57088996943874715</v>
      </c>
      <c r="X3706" s="33"/>
      <c r="Y3706" s="33"/>
    </row>
    <row r="3707" spans="1:25" x14ac:dyDescent="0.2">
      <c r="A3707" s="93" t="s">
        <v>1967</v>
      </c>
      <c r="B3707" s="94" t="str">
        <f>IFERROR(VLOOKUP($A3707,HeadJournal!$A$1:$NTR$890,COLUMN(HeadJournal!B$1),0),"")</f>
        <v>720000322434</v>
      </c>
      <c r="C3707" s="94" t="str">
        <f>IFERROR(VLOOKUP($A3707,HeadJournal!$A$1:$NTR$890,COLUMN(HeadJournal!C$1),0),"")</f>
        <v>iHerb_OA CZN6870</v>
      </c>
      <c r="D3707" s="125" t="str">
        <f>IFERROR(VLOOKUP($A3707,HeadJournal!$A$1:$NTR$890,COLUMN(HeadJournal!D$1),0),"")</f>
        <v>Доставлен</v>
      </c>
      <c r="E3707" s="95">
        <f>IFERROR(VLOOKUP($A3707,HeadJournal!$A$1:$NTR$890,COLUMN(HeadJournal!G$1),0),"")</f>
        <v>45511</v>
      </c>
      <c r="F3707" s="95" t="str">
        <f t="shared" si="292"/>
        <v>2024 08</v>
      </c>
      <c r="G3707" s="96" t="s">
        <v>5</v>
      </c>
      <c r="H3707" s="175" t="s">
        <v>3621</v>
      </c>
      <c r="I3707" s="176" t="s">
        <v>2218</v>
      </c>
      <c r="J3707" s="97" t="s">
        <v>3663</v>
      </c>
      <c r="K3707" s="29">
        <v>8.06</v>
      </c>
      <c r="L3707" s="29">
        <v>-0.80666666666666664</v>
      </c>
      <c r="M3707" s="30">
        <f>IFERROR(VLOOKUP($A3707,HeadJournal!$A$1:$J$890,COLUMN(HeadJournal!I$1),0)*($K3707+$L3707)/(SUMIF($A:$A,$A3707,$K:$K)+SUMIF($A:$A,$A3707,$L:$L)),0)</f>
        <v>-0.58172680872327531</v>
      </c>
      <c r="N3707" s="30">
        <f>IFERROR((VLOOKUP($A3707,HeadJournal!$A$1:$K$890,COLUMN(HeadJournal!K$1),0)-VLOOKUP($A3707,HeadJournal!$A$1:$K$890,COLUMN(HeadJournal!J$1),0))*($K3707+$L3707)/(SUMIF($A:$A,$A3707,$K:$K)+SUMIF($A:$A,$A3707,$L:$L)),0)</f>
        <v>2.2074326202148388E-15</v>
      </c>
      <c r="O3707" s="30">
        <f>IFERROR((VLOOKUP($A3707,HeadJournal!$A$1:$L$890,COLUMN(HeadJournal!L$1),0)*($K3707+$L3707)/(SUMIF($A:$A,$A3707,$K:$K)+SUMIF($A:$A,$A3707,$L:$L)))/VLOOKUP($A3707,HeadJournal!$A$1:$L$890,COLUMN(HeadJournal!H$1),0),0)</f>
        <v>0.35047192342015038</v>
      </c>
      <c r="P3707" s="30">
        <f>IFERROR(SUM(K3707:O3707)*VLOOKUP($A3707,HeadJournal!$A$1:$L$890,COLUMN(HeadJournal!H$1),0),0)</f>
        <v>691.58398781692119</v>
      </c>
      <c r="Q3707" s="29">
        <v>1300</v>
      </c>
      <c r="R3707" s="31">
        <v>45548</v>
      </c>
      <c r="S3707" s="31" t="s">
        <v>3121</v>
      </c>
      <c r="T3707" s="95" t="str">
        <f t="shared" si="293"/>
        <v>2024 09</v>
      </c>
      <c r="U3707" s="32">
        <f t="shared" si="290"/>
        <v>608.41601218307881</v>
      </c>
      <c r="V3707" s="22">
        <f t="shared" si="291"/>
        <v>0.87974276863122092</v>
      </c>
      <c r="X3707" s="33"/>
      <c r="Y3707" s="33"/>
    </row>
    <row r="3708" spans="1:25" x14ac:dyDescent="0.2">
      <c r="A3708" s="93" t="s">
        <v>1967</v>
      </c>
      <c r="B3708" s="94" t="str">
        <f>IFERROR(VLOOKUP($A3708,HeadJournal!$A$1:$NTR$890,COLUMN(HeadJournal!B$1),0),"")</f>
        <v>720000322434</v>
      </c>
      <c r="C3708" s="94" t="str">
        <f>IFERROR(VLOOKUP($A3708,HeadJournal!$A$1:$NTR$890,COLUMN(HeadJournal!C$1),0),"")</f>
        <v>iHerb_OA CZN6870</v>
      </c>
      <c r="D3708" s="125" t="str">
        <f>IFERROR(VLOOKUP($A3708,HeadJournal!$A$1:$NTR$890,COLUMN(HeadJournal!D$1),0),"")</f>
        <v>Доставлен</v>
      </c>
      <c r="E3708" s="95">
        <f>IFERROR(VLOOKUP($A3708,HeadJournal!$A$1:$NTR$890,COLUMN(HeadJournal!G$1),0),"")</f>
        <v>45511</v>
      </c>
      <c r="F3708" s="95" t="str">
        <f t="shared" si="292"/>
        <v>2024 08</v>
      </c>
      <c r="G3708" s="96" t="s">
        <v>5</v>
      </c>
      <c r="H3708" s="175" t="s">
        <v>3621</v>
      </c>
      <c r="I3708" s="176" t="s">
        <v>2218</v>
      </c>
      <c r="J3708" s="97" t="s">
        <v>3663</v>
      </c>
      <c r="K3708" s="29">
        <v>8.06</v>
      </c>
      <c r="L3708" s="29">
        <v>-0.80666666666666664</v>
      </c>
      <c r="M3708" s="30">
        <f>IFERROR(VLOOKUP($A3708,HeadJournal!$A$1:$J$890,COLUMN(HeadJournal!I$1),0)*($K3708+$L3708)/(SUMIF($A:$A,$A3708,$K:$K)+SUMIF($A:$A,$A3708,$L:$L)),0)</f>
        <v>-0.58172680872327531</v>
      </c>
      <c r="N3708" s="30">
        <f>IFERROR((VLOOKUP($A3708,HeadJournal!$A$1:$K$890,COLUMN(HeadJournal!K$1),0)-VLOOKUP($A3708,HeadJournal!$A$1:$K$890,COLUMN(HeadJournal!J$1),0))*($K3708+$L3708)/(SUMIF($A:$A,$A3708,$K:$K)+SUMIF($A:$A,$A3708,$L:$L)),0)</f>
        <v>2.2074326202148388E-15</v>
      </c>
      <c r="O3708" s="30">
        <f>IFERROR((VLOOKUP($A3708,HeadJournal!$A$1:$L$890,COLUMN(HeadJournal!L$1),0)*($K3708+$L3708)/(SUMIF($A:$A,$A3708,$K:$K)+SUMIF($A:$A,$A3708,$L:$L)))/VLOOKUP($A3708,HeadJournal!$A$1:$L$890,COLUMN(HeadJournal!H$1),0),0)</f>
        <v>0.35047192342015038</v>
      </c>
      <c r="P3708" s="30">
        <f>IFERROR(SUM(K3708:O3708)*VLOOKUP($A3708,HeadJournal!$A$1:$L$890,COLUMN(HeadJournal!H$1),0),0)</f>
        <v>691.58398781692119</v>
      </c>
      <c r="Q3708" s="29">
        <v>1300</v>
      </c>
      <c r="R3708" s="31">
        <v>45548</v>
      </c>
      <c r="S3708" s="31" t="s">
        <v>3121</v>
      </c>
      <c r="T3708" s="95" t="str">
        <f t="shared" si="293"/>
        <v>2024 09</v>
      </c>
      <c r="U3708" s="32">
        <f t="shared" si="290"/>
        <v>608.41601218307881</v>
      </c>
      <c r="V3708" s="22">
        <f t="shared" si="291"/>
        <v>0.87974276863122092</v>
      </c>
      <c r="X3708" s="33"/>
      <c r="Y3708" s="33"/>
    </row>
    <row r="3709" spans="1:25" x14ac:dyDescent="0.2">
      <c r="A3709" s="93" t="s">
        <v>1967</v>
      </c>
      <c r="B3709" s="94" t="str">
        <f>IFERROR(VLOOKUP($A3709,HeadJournal!$A$1:$NTR$890,COLUMN(HeadJournal!B$1),0),"")</f>
        <v>720000322434</v>
      </c>
      <c r="C3709" s="94" t="str">
        <f>IFERROR(VLOOKUP($A3709,HeadJournal!$A$1:$NTR$890,COLUMN(HeadJournal!C$1),0),"")</f>
        <v>iHerb_OA CZN6870</v>
      </c>
      <c r="D3709" s="125" t="str">
        <f>IFERROR(VLOOKUP($A3709,HeadJournal!$A$1:$NTR$890,COLUMN(HeadJournal!D$1),0),"")</f>
        <v>Доставлен</v>
      </c>
      <c r="E3709" s="95">
        <f>IFERROR(VLOOKUP($A3709,HeadJournal!$A$1:$NTR$890,COLUMN(HeadJournal!G$1),0),"")</f>
        <v>45511</v>
      </c>
      <c r="F3709" s="95" t="str">
        <f t="shared" si="292"/>
        <v>2024 08</v>
      </c>
      <c r="G3709" s="96" t="s">
        <v>5</v>
      </c>
      <c r="H3709" s="175" t="s">
        <v>3621</v>
      </c>
      <c r="I3709" s="176" t="s">
        <v>2218</v>
      </c>
      <c r="J3709" s="97" t="s">
        <v>3663</v>
      </c>
      <c r="K3709" s="29">
        <v>8.06</v>
      </c>
      <c r="L3709" s="29">
        <v>-0.80666666666666664</v>
      </c>
      <c r="M3709" s="30">
        <f>IFERROR(VLOOKUP($A3709,HeadJournal!$A$1:$J$890,COLUMN(HeadJournal!I$1),0)*($K3709+$L3709)/(SUMIF($A:$A,$A3709,$K:$K)+SUMIF($A:$A,$A3709,$L:$L)),0)</f>
        <v>-0.58172680872327531</v>
      </c>
      <c r="N3709" s="30">
        <f>IFERROR((VLOOKUP($A3709,HeadJournal!$A$1:$K$890,COLUMN(HeadJournal!K$1),0)-VLOOKUP($A3709,HeadJournal!$A$1:$K$890,COLUMN(HeadJournal!J$1),0))*($K3709+$L3709)/(SUMIF($A:$A,$A3709,$K:$K)+SUMIF($A:$A,$A3709,$L:$L)),0)</f>
        <v>2.2074326202148388E-15</v>
      </c>
      <c r="O3709" s="30">
        <f>IFERROR((VLOOKUP($A3709,HeadJournal!$A$1:$L$890,COLUMN(HeadJournal!L$1),0)*($K3709+$L3709)/(SUMIF($A:$A,$A3709,$K:$K)+SUMIF($A:$A,$A3709,$L:$L)))/VLOOKUP($A3709,HeadJournal!$A$1:$L$890,COLUMN(HeadJournal!H$1),0),0)</f>
        <v>0.35047192342015038</v>
      </c>
      <c r="P3709" s="30">
        <f>IFERROR(SUM(K3709:O3709)*VLOOKUP($A3709,HeadJournal!$A$1:$L$890,COLUMN(HeadJournal!H$1),0),0)</f>
        <v>691.58398781692119</v>
      </c>
      <c r="Q3709" s="29">
        <v>1300</v>
      </c>
      <c r="R3709" s="31">
        <v>45548</v>
      </c>
      <c r="S3709" s="31" t="s">
        <v>3121</v>
      </c>
      <c r="T3709" s="95" t="str">
        <f t="shared" si="293"/>
        <v>2024 09</v>
      </c>
      <c r="U3709" s="32">
        <f t="shared" si="290"/>
        <v>608.41601218307881</v>
      </c>
      <c r="V3709" s="22">
        <f t="shared" si="291"/>
        <v>0.87974276863122092</v>
      </c>
      <c r="X3709" s="33"/>
      <c r="Y3709" s="33"/>
    </row>
    <row r="3710" spans="1:25" x14ac:dyDescent="0.2">
      <c r="A3710" s="93" t="s">
        <v>1967</v>
      </c>
      <c r="B3710" s="94" t="str">
        <f>IFERROR(VLOOKUP($A3710,HeadJournal!$A$1:$NTR$890,COLUMN(HeadJournal!B$1),0),"")</f>
        <v>720000322434</v>
      </c>
      <c r="C3710" s="94" t="str">
        <f>IFERROR(VLOOKUP($A3710,HeadJournal!$A$1:$NTR$890,COLUMN(HeadJournal!C$1),0),"")</f>
        <v>iHerb_OA CZN6870</v>
      </c>
      <c r="D3710" s="125" t="str">
        <f>IFERROR(VLOOKUP($A3710,HeadJournal!$A$1:$NTR$890,COLUMN(HeadJournal!D$1),0),"")</f>
        <v>Доставлен</v>
      </c>
      <c r="E3710" s="95">
        <f>IFERROR(VLOOKUP($A3710,HeadJournal!$A$1:$NTR$890,COLUMN(HeadJournal!G$1),0),"")</f>
        <v>45511</v>
      </c>
      <c r="F3710" s="95" t="str">
        <f t="shared" si="292"/>
        <v>2024 08</v>
      </c>
      <c r="G3710" s="96" t="s">
        <v>5</v>
      </c>
      <c r="H3710" s="160" t="str">
        <f>RIGHT(Journal!$J3710,9)</f>
        <v>CGN-01170</v>
      </c>
      <c r="I3710" s="127" t="str">
        <f t="shared" si="294"/>
        <v>California Gold Nutrition</v>
      </c>
      <c r="J3710" s="97" t="s">
        <v>1970</v>
      </c>
      <c r="K3710" s="29">
        <v>9.68</v>
      </c>
      <c r="L3710" s="29">
        <v>-2.9</v>
      </c>
      <c r="M3710" s="30">
        <f>IFERROR(VLOOKUP($A3710,HeadJournal!$A$1:$J$890,COLUMN(HeadJournal!I$1),0)*($K3710+$L3710)/(SUMIF($A:$A,$A3710,$K:$K)+SUMIF($A:$A,$A3710,$L:$L)),0)</f>
        <v>-0.54376485705107613</v>
      </c>
      <c r="N3710" s="30">
        <f>IFERROR((VLOOKUP($A3710,HeadJournal!$A$1:$K$890,COLUMN(HeadJournal!K$1),0)-VLOOKUP($A3710,HeadJournal!$A$1:$K$890,COLUMN(HeadJournal!J$1),0))*($K3710+$L3710)/(SUMIF($A:$A,$A3710,$K:$K)+SUMIF($A:$A,$A3710,$L:$L)),0)</f>
        <v>2.0633814106236124E-15</v>
      </c>
      <c r="O3710" s="30">
        <f>IFERROR((VLOOKUP($A3710,HeadJournal!$A$1:$L$890,COLUMN(HeadJournal!L$1),0)*($K3710+$L3710)/(SUMIF($A:$A,$A3710,$K:$K)+SUMIF($A:$A,$A3710,$L:$L)))/VLOOKUP($A3710,HeadJournal!$A$1:$L$890,COLUMN(HeadJournal!H$1),0),0)</f>
        <v>0.32760105341754864</v>
      </c>
      <c r="P3710" s="30">
        <f>IFERROR(SUM(K3710:O3710)*VLOOKUP($A3710,HeadJournal!$A$1:$L$890,COLUMN(HeadJournal!H$1),0),0)</f>
        <v>646.45304743548593</v>
      </c>
      <c r="Q3710" s="29">
        <v>1400</v>
      </c>
      <c r="R3710" s="31">
        <v>45548</v>
      </c>
      <c r="S3710" s="31" t="s">
        <v>3121</v>
      </c>
      <c r="T3710" s="95" t="str">
        <f t="shared" si="293"/>
        <v>2024 09</v>
      </c>
      <c r="U3710" s="32">
        <f t="shared" si="290"/>
        <v>753.54695256451407</v>
      </c>
      <c r="V3710" s="22">
        <f t="shared" si="291"/>
        <v>1.1656638568785087</v>
      </c>
      <c r="X3710" s="33"/>
      <c r="Y3710" s="33"/>
    </row>
    <row r="3711" spans="1:25" x14ac:dyDescent="0.2">
      <c r="A3711" s="93" t="s">
        <v>1967</v>
      </c>
      <c r="B3711" s="94" t="str">
        <f>IFERROR(VLOOKUP($A3711,HeadJournal!$A$1:$NTR$890,COLUMN(HeadJournal!B$1),0),"")</f>
        <v>720000322434</v>
      </c>
      <c r="C3711" s="94" t="str">
        <f>IFERROR(VLOOKUP($A3711,HeadJournal!$A$1:$NTR$890,COLUMN(HeadJournal!C$1),0),"")</f>
        <v>iHerb_OA CZN6870</v>
      </c>
      <c r="D3711" s="125" t="str">
        <f>IFERROR(VLOOKUP($A3711,HeadJournal!$A$1:$NTR$890,COLUMN(HeadJournal!D$1),0),"")</f>
        <v>Доставлен</v>
      </c>
      <c r="E3711" s="95">
        <f>IFERROR(VLOOKUP($A3711,HeadJournal!$A$1:$NTR$890,COLUMN(HeadJournal!G$1),0),"")</f>
        <v>45511</v>
      </c>
      <c r="F3711" s="95" t="str">
        <f t="shared" si="292"/>
        <v>2024 08</v>
      </c>
      <c r="G3711" s="96" t="s">
        <v>5</v>
      </c>
      <c r="H3711" s="161" t="s">
        <v>2468</v>
      </c>
      <c r="I3711" s="97" t="s">
        <v>2005</v>
      </c>
      <c r="J3711" s="97" t="s">
        <v>4109</v>
      </c>
      <c r="K3711" s="29">
        <v>24.66</v>
      </c>
      <c r="L3711" s="29">
        <v>-4.93</v>
      </c>
      <c r="M3711" s="30">
        <f>IFERROR(VLOOKUP($A3711,HeadJournal!$A$1:$J$890,COLUMN(HeadJournal!I$1),0)*($K3711+$L3711)/(SUMIF($A:$A,$A3711,$K:$K)+SUMIF($A:$A,$A3711,$L:$L)),0)</f>
        <v>-1.5823717742799017</v>
      </c>
      <c r="N3711" s="30">
        <f>IFERROR((VLOOKUP($A3711,HeadJournal!$A$1:$K$890,COLUMN(HeadJournal!K$1),0)-VLOOKUP($A3711,HeadJournal!$A$1:$K$890,COLUMN(HeadJournal!J$1),0))*($K3711+$L3711)/(SUMIF($A:$A,$A3711,$K:$K)+SUMIF($A:$A,$A3711,$L:$L)),0)</f>
        <v>6.0045007716229917E-15</v>
      </c>
      <c r="O3711" s="30">
        <f>IFERROR((VLOOKUP($A3711,HeadJournal!$A$1:$L$890,COLUMN(HeadJournal!L$1),0)*($K3711+$L3711)/(SUMIF($A:$A,$A3711,$K:$K)+SUMIF($A:$A,$A3711,$L:$L)))/VLOOKUP($A3711,HeadJournal!$A$1:$L$890,COLUMN(HeadJournal!H$1),0),0)</f>
        <v>0.95332872919295508</v>
      </c>
      <c r="P3711" s="30">
        <f>IFERROR(SUM(K3711:O3711)*VLOOKUP($A3711,HeadJournal!$A$1:$L$890,COLUMN(HeadJournal!H$1),0),0)</f>
        <v>1881.1974374486931</v>
      </c>
      <c r="Q3711" s="29">
        <v>3000</v>
      </c>
      <c r="R3711" s="31">
        <v>45586</v>
      </c>
      <c r="S3711" s="31" t="s">
        <v>3121</v>
      </c>
      <c r="T3711" s="95" t="str">
        <f t="shared" si="293"/>
        <v>2024 10</v>
      </c>
      <c r="U3711" s="32">
        <f t="shared" si="290"/>
        <v>1118.8025625513069</v>
      </c>
      <c r="V3711" s="22">
        <f t="shared" si="291"/>
        <v>0.59472894247009123</v>
      </c>
      <c r="X3711" s="33"/>
      <c r="Y3711" s="33"/>
    </row>
    <row r="3712" spans="1:25" x14ac:dyDescent="0.2">
      <c r="A3712" s="93" t="s">
        <v>1967</v>
      </c>
      <c r="B3712" s="94" t="str">
        <f>IFERROR(VLOOKUP($A3712,HeadJournal!$A$1:$NTR$890,COLUMN(HeadJournal!B$1),0),"")</f>
        <v>720000322434</v>
      </c>
      <c r="C3712" s="94" t="str">
        <f>IFERROR(VLOOKUP($A3712,HeadJournal!$A$1:$NTR$890,COLUMN(HeadJournal!C$1),0),"")</f>
        <v>iHerb_OA CZN6870</v>
      </c>
      <c r="D3712" s="125" t="str">
        <f>IFERROR(VLOOKUP($A3712,HeadJournal!$A$1:$NTR$890,COLUMN(HeadJournal!D$1),0),"")</f>
        <v>Доставлен</v>
      </c>
      <c r="E3712" s="95">
        <f>IFERROR(VLOOKUP($A3712,HeadJournal!$A$1:$NTR$890,COLUMN(HeadJournal!G$1),0),"")</f>
        <v>45511</v>
      </c>
      <c r="F3712" s="95" t="str">
        <f t="shared" si="292"/>
        <v>2024 08</v>
      </c>
      <c r="G3712" s="96" t="s">
        <v>5</v>
      </c>
      <c r="H3712" s="161" t="s">
        <v>2196</v>
      </c>
      <c r="I3712" s="97" t="s">
        <v>2006</v>
      </c>
      <c r="J3712" s="97" t="s">
        <v>2197</v>
      </c>
      <c r="K3712" s="29">
        <v>17.21</v>
      </c>
      <c r="L3712" s="29">
        <v>-3.44</v>
      </c>
      <c r="M3712" s="30">
        <f>IFERROR(VLOOKUP($A3712,HeadJournal!$A$1:$J$890,COLUMN(HeadJournal!I$1),0)*($K3712+$L3712)/(SUMIF($A:$A,$A3712,$K:$K)+SUMIF($A:$A,$A3712,$L:$L)),0)</f>
        <v>-1.1043719884355929</v>
      </c>
      <c r="N3712" s="30">
        <f>IFERROR((VLOOKUP($A3712,HeadJournal!$A$1:$K$890,COLUMN(HeadJournal!K$1),0)-VLOOKUP($A3712,HeadJournal!$A$1:$K$890,COLUMN(HeadJournal!J$1),0))*($K3712+$L3712)/(SUMIF($A:$A,$A3712,$K:$K)+SUMIF($A:$A,$A3712,$L:$L)),0)</f>
        <v>4.190672864939108E-15</v>
      </c>
      <c r="O3712" s="30">
        <f>IFERROR((VLOOKUP($A3712,HeadJournal!$A$1:$L$890,COLUMN(HeadJournal!L$1),0)*($K3712+$L3712)/(SUMIF($A:$A,$A3712,$K:$K)+SUMIF($A:$A,$A3712,$L:$L)))/VLOOKUP($A3712,HeadJournal!$A$1:$L$890,COLUMN(HeadJournal!H$1),0),0)</f>
        <v>0.66534904211794166</v>
      </c>
      <c r="P3712" s="30">
        <f>IFERROR(SUM(K3712:O3712)*VLOOKUP($A3712,HeadJournal!$A$1:$L$890,COLUMN(HeadJournal!H$1),0),0)</f>
        <v>1312.9289768711863</v>
      </c>
      <c r="Q3712" s="29">
        <v>2500</v>
      </c>
      <c r="R3712" s="31">
        <v>45612</v>
      </c>
      <c r="S3712" s="31" t="s">
        <v>3121</v>
      </c>
      <c r="T3712" s="95" t="str">
        <f t="shared" si="293"/>
        <v>2024 11</v>
      </c>
      <c r="U3712" s="32">
        <f t="shared" si="290"/>
        <v>1187.0710231288137</v>
      </c>
      <c r="V3712" s="22">
        <f t="shared" si="291"/>
        <v>0.90413955670145851</v>
      </c>
      <c r="X3712" s="33"/>
      <c r="Y3712" s="33"/>
    </row>
    <row r="3713" spans="1:25" x14ac:dyDescent="0.2">
      <c r="A3713" s="93" t="s">
        <v>1967</v>
      </c>
      <c r="B3713" s="94" t="str">
        <f>IFERROR(VLOOKUP($A3713,HeadJournal!$A$1:$NTR$890,COLUMN(HeadJournal!B$1),0),"")</f>
        <v>720000322434</v>
      </c>
      <c r="C3713" s="94" t="str">
        <f>IFERROR(VLOOKUP($A3713,HeadJournal!$A$1:$NTR$890,COLUMN(HeadJournal!C$1),0),"")</f>
        <v>iHerb_OA CZN6870</v>
      </c>
      <c r="D3713" s="125" t="str">
        <f>IFERROR(VLOOKUP($A3713,HeadJournal!$A$1:$NTR$890,COLUMN(HeadJournal!D$1),0),"")</f>
        <v>Доставлен</v>
      </c>
      <c r="E3713" s="95">
        <f>IFERROR(VLOOKUP($A3713,HeadJournal!$A$1:$NTR$890,COLUMN(HeadJournal!G$1),0),"")</f>
        <v>45511</v>
      </c>
      <c r="F3713" s="95" t="str">
        <f t="shared" si="292"/>
        <v>2024 08</v>
      </c>
      <c r="G3713" s="96" t="s">
        <v>5</v>
      </c>
      <c r="H3713" s="161" t="s">
        <v>2831</v>
      </c>
      <c r="I3713" s="97" t="s">
        <v>2005</v>
      </c>
      <c r="J3713" s="97" t="s">
        <v>3911</v>
      </c>
      <c r="K3713" s="29">
        <v>13.57</v>
      </c>
      <c r="L3713" s="29">
        <v>-2.71</v>
      </c>
      <c r="M3713" s="30">
        <f>IFERROR(VLOOKUP($A3713,HeadJournal!$A$1:$J$890,COLUMN(HeadJournal!I$1),0)*($K3713+$L3713)/(SUMIF($A:$A,$A3713,$K:$K)+SUMIF($A:$A,$A3713,$L:$L)),0)</f>
        <v>-0.87098618695791841</v>
      </c>
      <c r="N3713" s="30">
        <f>IFERROR((VLOOKUP($A3713,HeadJournal!$A$1:$K$890,COLUMN(HeadJournal!K$1),0)-VLOOKUP($A3713,HeadJournal!$A$1:$K$890,COLUMN(HeadJournal!J$1),0))*($K3713+$L3713)/(SUMIF($A:$A,$A3713,$K:$K)+SUMIF($A:$A,$A3713,$L:$L)),0)</f>
        <v>3.3050622594944594E-15</v>
      </c>
      <c r="O3713" s="30">
        <f>IFERROR((VLOOKUP($A3713,HeadJournal!$A$1:$L$890,COLUMN(HeadJournal!L$1),0)*($K3713+$L3713)/(SUMIF($A:$A,$A3713,$K:$K)+SUMIF($A:$A,$A3713,$L:$L)))/VLOOKUP($A3713,HeadJournal!$A$1:$L$890,COLUMN(HeadJournal!H$1),0),0)</f>
        <v>0.52474151034138328</v>
      </c>
      <c r="P3713" s="30">
        <f>IFERROR(SUM(K3713:O3713)*VLOOKUP($A3713,HeadJournal!$A$1:$L$890,COLUMN(HeadJournal!H$1),0),0)</f>
        <v>1035.4690405825042</v>
      </c>
      <c r="Q3713" s="29">
        <v>2000</v>
      </c>
      <c r="R3713" s="31">
        <v>45677</v>
      </c>
      <c r="S3713" s="31" t="s">
        <v>3121</v>
      </c>
      <c r="T3713" s="95" t="str">
        <f t="shared" si="293"/>
        <v>2025 01</v>
      </c>
      <c r="U3713" s="32">
        <f t="shared" ref="U3713:U3776" si="295">Q3713-P3713</f>
        <v>964.53095941749575</v>
      </c>
      <c r="V3713" s="22">
        <f t="shared" ref="V3713:V3776" si="296">IF(Q3713&lt;&gt;0,IFERROR(U3713/P3713,""),"")</f>
        <v>0.93149183762645171</v>
      </c>
      <c r="X3713" s="33"/>
      <c r="Y3713" s="33"/>
    </row>
    <row r="3714" spans="1:25" x14ac:dyDescent="0.2">
      <c r="A3714" s="93" t="s">
        <v>1967</v>
      </c>
      <c r="B3714" s="94" t="str">
        <f>IFERROR(VLOOKUP($A3714,HeadJournal!$A$1:$NTR$890,COLUMN(HeadJournal!B$1),0),"")</f>
        <v>720000322434</v>
      </c>
      <c r="C3714" s="94" t="str">
        <f>IFERROR(VLOOKUP($A3714,HeadJournal!$A$1:$NTR$890,COLUMN(HeadJournal!C$1),0),"")</f>
        <v>iHerb_OA CZN6870</v>
      </c>
      <c r="D3714" s="125" t="str">
        <f>IFERROR(VLOOKUP($A3714,HeadJournal!$A$1:$NTR$890,COLUMN(HeadJournal!D$1),0),"")</f>
        <v>Доставлен</v>
      </c>
      <c r="E3714" s="95">
        <f>IFERROR(VLOOKUP($A3714,HeadJournal!$A$1:$NTR$890,COLUMN(HeadJournal!G$1),0),"")</f>
        <v>45511</v>
      </c>
      <c r="F3714" s="95" t="str">
        <f t="shared" si="292"/>
        <v>2024 08</v>
      </c>
      <c r="G3714" s="96" t="s">
        <v>5</v>
      </c>
      <c r="H3714" s="161" t="s">
        <v>2680</v>
      </c>
      <c r="I3714" s="97" t="s">
        <v>2681</v>
      </c>
      <c r="J3714" s="97" t="s">
        <v>3853</v>
      </c>
      <c r="K3714" s="29">
        <v>6.47</v>
      </c>
      <c r="L3714" s="29">
        <v>-1.29</v>
      </c>
      <c r="M3714" s="30">
        <f>IFERROR(VLOOKUP($A3714,HeadJournal!$A$1:$J$890,COLUMN(HeadJournal!I$1),0)*($K3714+$L3714)/(SUMIF($A:$A,$A3714,$K:$K)+SUMIF($A:$A,$A3714,$L:$L)),0)</f>
        <v>-0.4154427668915302</v>
      </c>
      <c r="N3714" s="30">
        <f>IFERROR((VLOOKUP($A3714,HeadJournal!$A$1:$K$890,COLUMN(HeadJournal!K$1),0)-VLOOKUP($A3714,HeadJournal!$A$1:$K$890,COLUMN(HeadJournal!J$1),0))*($K3714+$L3714)/(SUMIF($A:$A,$A3714,$K:$K)+SUMIF($A:$A,$A3714,$L:$L)),0)</f>
        <v>1.5764477443997512E-15</v>
      </c>
      <c r="O3714" s="30">
        <f>IFERROR((VLOOKUP($A3714,HeadJournal!$A$1:$L$890,COLUMN(HeadJournal!L$1),0)*($K3714+$L3714)/(SUMIF($A:$A,$A3714,$K:$K)+SUMIF($A:$A,$A3714,$L:$L)))/VLOOKUP($A3714,HeadJournal!$A$1:$L$890,COLUMN(HeadJournal!H$1),0),0)</f>
        <v>0.25029107031016251</v>
      </c>
      <c r="P3714" s="30">
        <f>IFERROR(SUM(K3714:O3714)*VLOOKUP($A3714,HeadJournal!$A$1:$L$890,COLUMN(HeadJournal!H$1),0),0)</f>
        <v>493.89775600528282</v>
      </c>
      <c r="Q3714" s="29">
        <v>1100</v>
      </c>
      <c r="R3714" s="31">
        <v>45561</v>
      </c>
      <c r="S3714" s="31" t="s">
        <v>3121</v>
      </c>
      <c r="T3714" s="95" t="str">
        <f t="shared" si="293"/>
        <v>2024 09</v>
      </c>
      <c r="U3714" s="32">
        <f t="shared" si="295"/>
        <v>606.10224399471713</v>
      </c>
      <c r="V3714" s="22">
        <f t="shared" si="296"/>
        <v>1.2271816112244782</v>
      </c>
      <c r="X3714" s="33"/>
      <c r="Y3714" s="33"/>
    </row>
    <row r="3715" spans="1:25" x14ac:dyDescent="0.2">
      <c r="A3715" s="93" t="s">
        <v>1967</v>
      </c>
      <c r="B3715" s="94" t="str">
        <f>IFERROR(VLOOKUP($A3715,HeadJournal!$A$1:$NTR$890,COLUMN(HeadJournal!B$1),0),"")</f>
        <v>720000322434</v>
      </c>
      <c r="C3715" s="94" t="str">
        <f>IFERROR(VLOOKUP($A3715,HeadJournal!$A$1:$NTR$890,COLUMN(HeadJournal!C$1),0),"")</f>
        <v>iHerb_OA CZN6870</v>
      </c>
      <c r="D3715" s="125" t="str">
        <f>IFERROR(VLOOKUP($A3715,HeadJournal!$A$1:$NTR$890,COLUMN(HeadJournal!D$1),0),"")</f>
        <v>Доставлен</v>
      </c>
      <c r="E3715" s="95">
        <f>IFERROR(VLOOKUP($A3715,HeadJournal!$A$1:$NTR$890,COLUMN(HeadJournal!G$1),0),"")</f>
        <v>45511</v>
      </c>
      <c r="F3715" s="95" t="str">
        <f t="shared" si="292"/>
        <v>2024 08</v>
      </c>
      <c r="G3715" s="96" t="s">
        <v>5</v>
      </c>
      <c r="H3715" s="160" t="str">
        <f>RIGHT(Journal!$J3715,9)</f>
        <v>IDE-02281</v>
      </c>
      <c r="I3715" s="127" t="str">
        <f t="shared" si="294"/>
        <v>Idealove</v>
      </c>
      <c r="J3715" s="97" t="s">
        <v>1966</v>
      </c>
      <c r="K3715" s="29">
        <v>24.73</v>
      </c>
      <c r="L3715" s="29">
        <v>-9.89</v>
      </c>
      <c r="M3715" s="30">
        <f>IFERROR(VLOOKUP($A3715,HeadJournal!$A$1:$J$890,COLUMN(HeadJournal!I$1),0)*($K3715+$L3715)/(SUMIF($A:$A,$A3715,$K:$K)+SUMIF($A:$A,$A3715,$L:$L)),0)</f>
        <v>-1.1901873862297891</v>
      </c>
      <c r="N3715" s="30">
        <f>IFERROR((VLOOKUP($A3715,HeadJournal!$A$1:$K$890,COLUMN(HeadJournal!K$1),0)-VLOOKUP($A3715,HeadJournal!$A$1:$K$890,COLUMN(HeadJournal!J$1),0))*($K3715+$L3715)/(SUMIF($A:$A,$A3715,$K:$K)+SUMIF($A:$A,$A3715,$L:$L)),0)</f>
        <v>4.5163097542263147E-15</v>
      </c>
      <c r="O3715" s="30">
        <f>IFERROR((VLOOKUP($A3715,HeadJournal!$A$1:$L$890,COLUMN(HeadJournal!L$1),0)*($K3715+$L3715)/(SUMIF($A:$A,$A3715,$K:$K)+SUMIF($A:$A,$A3715,$L:$L)))/VLOOKUP($A3715,HeadJournal!$A$1:$L$890,COLUMN(HeadJournal!H$1),0),0)</f>
        <v>0.71705009332100611</v>
      </c>
      <c r="P3715" s="30">
        <f>IFERROR(SUM(K3715:O3715)*VLOOKUP($A3715,HeadJournal!$A$1:$L$890,COLUMN(HeadJournal!H$1),0),0)</f>
        <v>1414.9503280151346</v>
      </c>
      <c r="Q3715" s="29"/>
      <c r="R3715" s="31"/>
      <c r="S3715" s="31"/>
      <c r="T3715" s="95" t="str">
        <f t="shared" si="293"/>
        <v/>
      </c>
      <c r="U3715" s="32">
        <f t="shared" si="295"/>
        <v>-1414.9503280151346</v>
      </c>
      <c r="V3715" s="22" t="str">
        <f t="shared" si="296"/>
        <v/>
      </c>
      <c r="X3715" s="33"/>
      <c r="Y3715" s="33"/>
    </row>
    <row r="3716" spans="1:25" x14ac:dyDescent="0.2">
      <c r="A3716" s="93" t="s">
        <v>1972</v>
      </c>
      <c r="B3716" s="94" t="str">
        <f>IFERROR(VLOOKUP($A3716,HeadJournal!$A$1:$NTR$890,COLUMN(HeadJournal!B$1),0),"")</f>
        <v>720000332521</v>
      </c>
      <c r="C3716" s="94" t="str">
        <f>IFERROR(VLOOKUP($A3716,HeadJournal!$A$1:$NTR$890,COLUMN(HeadJournal!C$1),0),"")</f>
        <v>iHerb_VP DFD1605</v>
      </c>
      <c r="D3716" s="125" t="str">
        <f>IFERROR(VLOOKUP($A3716,HeadJournal!$A$1:$NTR$890,COLUMN(HeadJournal!D$1),0),"")</f>
        <v>Доставлен</v>
      </c>
      <c r="E3716" s="95">
        <f>IFERROR(VLOOKUP($A3716,HeadJournal!$A$1:$NTR$890,COLUMN(HeadJournal!G$1),0),"")</f>
        <v>45521</v>
      </c>
      <c r="F3716" s="95" t="str">
        <f t="shared" ref="F3716:F3779" si="297">IFERROR(TEXT(E3716, "ГГГГ ММ"),"")</f>
        <v>2024 08</v>
      </c>
      <c r="G3716" s="96" t="s">
        <v>5</v>
      </c>
      <c r="H3716" s="161" t="s">
        <v>2018</v>
      </c>
      <c r="I3716" s="97" t="s">
        <v>2005</v>
      </c>
      <c r="J3716" s="97" t="s">
        <v>2019</v>
      </c>
      <c r="K3716" s="29">
        <v>23.08</v>
      </c>
      <c r="L3716" s="29">
        <v>-2.31</v>
      </c>
      <c r="M3716" s="30">
        <f>IFERROR(VLOOKUP($A3716,HeadJournal!$A$1:$J$890,COLUMN(HeadJournal!I$1),0)*($K3716+$L3716)/(SUMIF($A:$A,$A3716,$K:$K)+SUMIF($A:$A,$A3716,$L:$L)),0)</f>
        <v>-2.5244070710869915</v>
      </c>
      <c r="N3716" s="30">
        <f>IFERROR((VLOOKUP($A3716,HeadJournal!$A$1:$K$890,COLUMN(HeadJournal!K$1),0)-VLOOKUP($A3716,HeadJournal!$A$1:$K$890,COLUMN(HeadJournal!J$1),0))*($K3716+$L3716)/(SUMIF($A:$A,$A3716,$K:$K)+SUMIF($A:$A,$A3716,$L:$L)),0)</f>
        <v>0</v>
      </c>
      <c r="O3716" s="30">
        <f>IFERROR((VLOOKUP($A3716,HeadJournal!$A$1:$L$890,COLUMN(HeadJournal!L$1),0)*($K3716+$L3716)/(SUMIF($A:$A,$A3716,$K:$K)+SUMIF($A:$A,$A3716,$L:$L)))/VLOOKUP($A3716,HeadJournal!$A$1:$L$890,COLUMN(HeadJournal!H$1),0),0)</f>
        <v>0.98103522220570905</v>
      </c>
      <c r="P3716" s="30">
        <f>IFERROR(SUM(K3716:O3716)*VLOOKUP($A3716,HeadJournal!$A$1:$L$890,COLUMN(HeadJournal!H$1),0),0)</f>
        <v>1944.063890351584</v>
      </c>
      <c r="Q3716" s="29">
        <v>2600</v>
      </c>
      <c r="R3716" s="31">
        <v>45549</v>
      </c>
      <c r="S3716" s="31" t="s">
        <v>3121</v>
      </c>
      <c r="T3716" s="95" t="str">
        <f t="shared" ref="T3716:T3779" si="298">IF(R3716="","",TEXT(R3716,"ГГГГ ММ"))</f>
        <v>2024 09</v>
      </c>
      <c r="U3716" s="32">
        <f t="shared" si="295"/>
        <v>655.93610964841605</v>
      </c>
      <c r="V3716" s="22">
        <f t="shared" si="296"/>
        <v>0.33740460532384559</v>
      </c>
      <c r="X3716" s="33"/>
      <c r="Y3716" s="33"/>
    </row>
    <row r="3717" spans="1:25" x14ac:dyDescent="0.2">
      <c r="A3717" s="93" t="s">
        <v>1972</v>
      </c>
      <c r="B3717" s="94" t="str">
        <f>IFERROR(VLOOKUP($A3717,HeadJournal!$A$1:$NTR$890,COLUMN(HeadJournal!B$1),0),"")</f>
        <v>720000332521</v>
      </c>
      <c r="C3717" s="94" t="str">
        <f>IFERROR(VLOOKUP($A3717,HeadJournal!$A$1:$NTR$890,COLUMN(HeadJournal!C$1),0),"")</f>
        <v>iHerb_VP DFD1605</v>
      </c>
      <c r="D3717" s="125" t="str">
        <f>IFERROR(VLOOKUP($A3717,HeadJournal!$A$1:$NTR$890,COLUMN(HeadJournal!D$1),0),"")</f>
        <v>Доставлен</v>
      </c>
      <c r="E3717" s="95">
        <f>IFERROR(VLOOKUP($A3717,HeadJournal!$A$1:$NTR$890,COLUMN(HeadJournal!G$1),0),"")</f>
        <v>45521</v>
      </c>
      <c r="F3717" s="95" t="str">
        <f t="shared" si="297"/>
        <v>2024 08</v>
      </c>
      <c r="G3717" s="96" t="s">
        <v>5</v>
      </c>
      <c r="H3717" s="161" t="s">
        <v>2473</v>
      </c>
      <c r="I3717" s="97" t="s">
        <v>2005</v>
      </c>
      <c r="J3717" s="97" t="s">
        <v>2474</v>
      </c>
      <c r="K3717" s="29">
        <v>24.11</v>
      </c>
      <c r="L3717" s="29">
        <v>-2.41</v>
      </c>
      <c r="M3717" s="30">
        <f>IFERROR(VLOOKUP($A3717,HeadJournal!$A$1:$J$890,COLUMN(HeadJournal!I$1),0)*($K3717+$L3717)/(SUMIF($A:$A,$A3717,$K:$K)+SUMIF($A:$A,$A3717,$L:$L)),0)</f>
        <v>-2.6374402235237224</v>
      </c>
      <c r="N3717" s="30">
        <f>IFERROR((VLOOKUP($A3717,HeadJournal!$A$1:$K$890,COLUMN(HeadJournal!K$1),0)-VLOOKUP($A3717,HeadJournal!$A$1:$K$890,COLUMN(HeadJournal!J$1),0))*($K3717+$L3717)/(SUMIF($A:$A,$A3717,$K:$K)+SUMIF($A:$A,$A3717,$L:$L)),0)</f>
        <v>0</v>
      </c>
      <c r="O3717" s="30">
        <f>IFERROR((VLOOKUP($A3717,HeadJournal!$A$1:$L$890,COLUMN(HeadJournal!L$1),0)*($K3717+$L3717)/(SUMIF($A:$A,$A3717,$K:$K)+SUMIF($A:$A,$A3717,$L:$L)))/VLOOKUP($A3717,HeadJournal!$A$1:$L$890,COLUMN(HeadJournal!H$1),0),0)</f>
        <v>1.0249621724537259</v>
      </c>
      <c r="P3717" s="30">
        <f>IFERROR(SUM(K3717:O3717)*VLOOKUP($A3717,HeadJournal!$A$1:$L$890,COLUMN(HeadJournal!H$1),0),0)</f>
        <v>2031.1115272329982</v>
      </c>
      <c r="Q3717" s="29">
        <v>2800</v>
      </c>
      <c r="R3717" s="31">
        <v>45551</v>
      </c>
      <c r="S3717" s="31" t="s">
        <v>3121</v>
      </c>
      <c r="T3717" s="95" t="str">
        <f t="shared" si="298"/>
        <v>2024 09</v>
      </c>
      <c r="U3717" s="32">
        <f t="shared" si="295"/>
        <v>768.88847276700176</v>
      </c>
      <c r="V3717" s="22">
        <f t="shared" si="296"/>
        <v>0.37855551625688694</v>
      </c>
      <c r="X3717" s="33"/>
      <c r="Y3717" s="33"/>
    </row>
    <row r="3718" spans="1:25" x14ac:dyDescent="0.2">
      <c r="A3718" s="93" t="s">
        <v>1972</v>
      </c>
      <c r="B3718" s="94" t="str">
        <f>IFERROR(VLOOKUP($A3718,HeadJournal!$A$1:$NTR$890,COLUMN(HeadJournal!B$1),0),"")</f>
        <v>720000332521</v>
      </c>
      <c r="C3718" s="94" t="str">
        <f>IFERROR(VLOOKUP($A3718,HeadJournal!$A$1:$NTR$890,COLUMN(HeadJournal!C$1),0),"")</f>
        <v>iHerb_VP DFD1605</v>
      </c>
      <c r="D3718" s="125" t="str">
        <f>IFERROR(VLOOKUP($A3718,HeadJournal!$A$1:$NTR$890,COLUMN(HeadJournal!D$1),0),"")</f>
        <v>Доставлен</v>
      </c>
      <c r="E3718" s="95">
        <f>IFERROR(VLOOKUP($A3718,HeadJournal!$A$1:$NTR$890,COLUMN(HeadJournal!G$1),0),"")</f>
        <v>45521</v>
      </c>
      <c r="F3718" s="95" t="str">
        <f t="shared" si="297"/>
        <v>2024 08</v>
      </c>
      <c r="G3718" s="96" t="s">
        <v>5</v>
      </c>
      <c r="H3718" s="161" t="s">
        <v>2103</v>
      </c>
      <c r="I3718" s="97" t="s">
        <v>2039</v>
      </c>
      <c r="J3718" s="97" t="s">
        <v>2104</v>
      </c>
      <c r="K3718" s="29">
        <v>17.09</v>
      </c>
      <c r="L3718" s="29">
        <v>-1.71</v>
      </c>
      <c r="M3718" s="30">
        <f>IFERROR(VLOOKUP($A3718,HeadJournal!$A$1:$J$890,COLUMN(HeadJournal!I$1),0)*($K3718+$L3718)/(SUMIF($A:$A,$A3718,$K:$K)+SUMIF($A:$A,$A3718,$L:$L)),0)</f>
        <v>-1.8693009510504539</v>
      </c>
      <c r="N3718" s="30">
        <f>IFERROR((VLOOKUP($A3718,HeadJournal!$A$1:$K$890,COLUMN(HeadJournal!K$1),0)-VLOOKUP($A3718,HeadJournal!$A$1:$K$890,COLUMN(HeadJournal!J$1),0))*($K3718+$L3718)/(SUMIF($A:$A,$A3718,$K:$K)+SUMIF($A:$A,$A3718,$L:$L)),0)</f>
        <v>0</v>
      </c>
      <c r="O3718" s="30">
        <f>IFERROR((VLOOKUP($A3718,HeadJournal!$A$1:$L$890,COLUMN(HeadJournal!L$1),0)*($K3718+$L3718)/(SUMIF($A:$A,$A3718,$K:$K)+SUMIF($A:$A,$A3718,$L:$L)))/VLOOKUP($A3718,HeadJournal!$A$1:$L$890,COLUMN(HeadJournal!H$1),0),0)</f>
        <v>0.7264478438865577</v>
      </c>
      <c r="P3718" s="30">
        <f>IFERROR(SUM(K3718:O3718)*VLOOKUP($A3718,HeadJournal!$A$1:$L$890,COLUMN(HeadJournal!H$1),0),0)</f>
        <v>1439.5619948775811</v>
      </c>
      <c r="Q3718" s="29">
        <v>2200</v>
      </c>
      <c r="R3718" s="31">
        <v>45551</v>
      </c>
      <c r="S3718" s="31" t="s">
        <v>3121</v>
      </c>
      <c r="T3718" s="95" t="str">
        <f t="shared" si="298"/>
        <v>2024 09</v>
      </c>
      <c r="U3718" s="32">
        <f t="shared" si="295"/>
        <v>760.43800512241887</v>
      </c>
      <c r="V3718" s="22">
        <f t="shared" si="296"/>
        <v>0.52824262367879871</v>
      </c>
      <c r="X3718" s="33"/>
      <c r="Y3718" s="33"/>
    </row>
    <row r="3719" spans="1:25" x14ac:dyDescent="0.2">
      <c r="A3719" s="93" t="s">
        <v>1972</v>
      </c>
      <c r="B3719" s="94" t="str">
        <f>IFERROR(VLOOKUP($A3719,HeadJournal!$A$1:$NTR$890,COLUMN(HeadJournal!B$1),0),"")</f>
        <v>720000332521</v>
      </c>
      <c r="C3719" s="94" t="str">
        <f>IFERROR(VLOOKUP($A3719,HeadJournal!$A$1:$NTR$890,COLUMN(HeadJournal!C$1),0),"")</f>
        <v>iHerb_VP DFD1605</v>
      </c>
      <c r="D3719" s="125" t="str">
        <f>IFERROR(VLOOKUP($A3719,HeadJournal!$A$1:$NTR$890,COLUMN(HeadJournal!D$1),0),"")</f>
        <v>Доставлен</v>
      </c>
      <c r="E3719" s="95">
        <f>IFERROR(VLOOKUP($A3719,HeadJournal!$A$1:$NTR$890,COLUMN(HeadJournal!G$1),0),"")</f>
        <v>45521</v>
      </c>
      <c r="F3719" s="95" t="str">
        <f t="shared" si="297"/>
        <v>2024 08</v>
      </c>
      <c r="G3719" s="96" t="s">
        <v>5</v>
      </c>
      <c r="H3719" s="161" t="s">
        <v>2105</v>
      </c>
      <c r="I3719" s="97" t="s">
        <v>2039</v>
      </c>
      <c r="J3719" s="97" t="s">
        <v>2106</v>
      </c>
      <c r="K3719" s="29">
        <v>10.35</v>
      </c>
      <c r="L3719" s="29">
        <v>-1.04</v>
      </c>
      <c r="M3719" s="30">
        <f>IFERROR(VLOOKUP($A3719,HeadJournal!$A$1:$J$890,COLUMN(HeadJournal!I$1),0)*($K3719+$L3719)/(SUMIF($A:$A,$A3719,$K:$K)+SUMIF($A:$A,$A3719,$L:$L)),0)</f>
        <v>-1.1315469346085647</v>
      </c>
      <c r="N3719" s="30">
        <f>IFERROR((VLOOKUP($A3719,HeadJournal!$A$1:$K$890,COLUMN(HeadJournal!K$1),0)-VLOOKUP($A3719,HeadJournal!$A$1:$K$890,COLUMN(HeadJournal!J$1),0))*($K3719+$L3719)/(SUMIF($A:$A,$A3719,$K:$K)+SUMIF($A:$A,$A3719,$L:$L)),0)</f>
        <v>0</v>
      </c>
      <c r="O3719" s="30">
        <f>IFERROR((VLOOKUP($A3719,HeadJournal!$A$1:$L$890,COLUMN(HeadJournal!L$1),0)*($K3719+$L3719)/(SUMIF($A:$A,$A3719,$K:$K)+SUMIF($A:$A,$A3719,$L:$L)))/VLOOKUP($A3719,HeadJournal!$A$1:$L$890,COLUMN(HeadJournal!H$1),0),0)</f>
        <v>0.439741835278534</v>
      </c>
      <c r="P3719" s="30">
        <f>IFERROR(SUM(K3719:O3719)*VLOOKUP($A3719,HeadJournal!$A$1:$L$890,COLUMN(HeadJournal!H$1),0),0)</f>
        <v>871.41236490964104</v>
      </c>
      <c r="Q3719" s="29">
        <v>1600</v>
      </c>
      <c r="R3719" s="31">
        <v>45551</v>
      </c>
      <c r="S3719" s="31" t="s">
        <v>3121</v>
      </c>
      <c r="T3719" s="95" t="str">
        <f t="shared" si="298"/>
        <v>2024 09</v>
      </c>
      <c r="U3719" s="32">
        <f t="shared" si="295"/>
        <v>728.58763509035896</v>
      </c>
      <c r="V3719" s="22">
        <f t="shared" si="296"/>
        <v>0.83609972090068752</v>
      </c>
      <c r="X3719" s="33"/>
      <c r="Y3719" s="33"/>
    </row>
    <row r="3720" spans="1:25" x14ac:dyDescent="0.2">
      <c r="A3720" s="93" t="s">
        <v>1972</v>
      </c>
      <c r="B3720" s="94" t="str">
        <f>IFERROR(VLOOKUP($A3720,HeadJournal!$A$1:$NTR$890,COLUMN(HeadJournal!B$1),0),"")</f>
        <v>720000332521</v>
      </c>
      <c r="C3720" s="94" t="str">
        <f>IFERROR(VLOOKUP($A3720,HeadJournal!$A$1:$NTR$890,COLUMN(HeadJournal!C$1),0),"")</f>
        <v>iHerb_VP DFD1605</v>
      </c>
      <c r="D3720" s="125" t="str">
        <f>IFERROR(VLOOKUP($A3720,HeadJournal!$A$1:$NTR$890,COLUMN(HeadJournal!D$1),0),"")</f>
        <v>Доставлен</v>
      </c>
      <c r="E3720" s="95">
        <f>IFERROR(VLOOKUP($A3720,HeadJournal!$A$1:$NTR$890,COLUMN(HeadJournal!G$1),0),"")</f>
        <v>45521</v>
      </c>
      <c r="F3720" s="95" t="str">
        <f t="shared" si="297"/>
        <v>2024 08</v>
      </c>
      <c r="G3720" s="96" t="s">
        <v>5</v>
      </c>
      <c r="H3720" s="161" t="s">
        <v>2073</v>
      </c>
      <c r="I3720" s="97" t="s">
        <v>2005</v>
      </c>
      <c r="J3720" s="97" t="s">
        <v>2074</v>
      </c>
      <c r="K3720" s="29">
        <v>19.78</v>
      </c>
      <c r="L3720" s="29">
        <v>-1.9766666666666666</v>
      </c>
      <c r="M3720" s="30">
        <f>IFERROR(VLOOKUP($A3720,HeadJournal!$A$1:$J$890,COLUMN(HeadJournal!I$1),0)*($K3720+$L3720)/(SUMIF($A:$A,$A3720,$K:$K)+SUMIF($A:$A,$A3720,$L:$L)),0)</f>
        <v>-2.1638353661812908</v>
      </c>
      <c r="N3720" s="30">
        <f>IFERROR((VLOOKUP($A3720,HeadJournal!$A$1:$K$890,COLUMN(HeadJournal!K$1),0)-VLOOKUP($A3720,HeadJournal!$A$1:$K$890,COLUMN(HeadJournal!J$1),0))*($K3720+$L3720)/(SUMIF($A:$A,$A3720,$K:$K)+SUMIF($A:$A,$A3720,$L:$L)),0)</f>
        <v>0</v>
      </c>
      <c r="O3720" s="30">
        <f>IFERROR((VLOOKUP($A3720,HeadJournal!$A$1:$L$890,COLUMN(HeadJournal!L$1),0)*($K3720+$L3720)/(SUMIF($A:$A,$A3720,$K:$K)+SUMIF($A:$A,$A3720,$L:$L)))/VLOOKUP($A3720,HeadJournal!$A$1:$L$890,COLUMN(HeadJournal!H$1),0),0)</f>
        <v>0.84090982535719672</v>
      </c>
      <c r="P3720" s="30">
        <f>IFERROR(SUM(K3720:O3720)*VLOOKUP($A3720,HeadJournal!$A$1:$L$890,COLUMN(HeadJournal!H$1),0),0)</f>
        <v>1666.3850486868578</v>
      </c>
      <c r="Q3720" s="29">
        <v>2400</v>
      </c>
      <c r="R3720" s="31">
        <v>45554</v>
      </c>
      <c r="S3720" s="31" t="s">
        <v>3121</v>
      </c>
      <c r="T3720" s="95" t="str">
        <f t="shared" si="298"/>
        <v>2024 09</v>
      </c>
      <c r="U3720" s="32">
        <f t="shared" si="295"/>
        <v>733.61495131314223</v>
      </c>
      <c r="V3720" s="22">
        <f t="shared" si="296"/>
        <v>0.44024335905512618</v>
      </c>
      <c r="X3720" s="33"/>
      <c r="Y3720" s="33"/>
    </row>
    <row r="3721" spans="1:25" x14ac:dyDescent="0.2">
      <c r="A3721" s="93" t="s">
        <v>1972</v>
      </c>
      <c r="B3721" s="94" t="str">
        <f>IFERROR(VLOOKUP($A3721,HeadJournal!$A$1:$NTR$890,COLUMN(HeadJournal!B$1),0),"")</f>
        <v>720000332521</v>
      </c>
      <c r="C3721" s="94" t="str">
        <f>IFERROR(VLOOKUP($A3721,HeadJournal!$A$1:$NTR$890,COLUMN(HeadJournal!C$1),0),"")</f>
        <v>iHerb_VP DFD1605</v>
      </c>
      <c r="D3721" s="125" t="str">
        <f>IFERROR(VLOOKUP($A3721,HeadJournal!$A$1:$NTR$890,COLUMN(HeadJournal!D$1),0),"")</f>
        <v>Доставлен</v>
      </c>
      <c r="E3721" s="95">
        <f>IFERROR(VLOOKUP($A3721,HeadJournal!$A$1:$NTR$890,COLUMN(HeadJournal!G$1),0),"")</f>
        <v>45521</v>
      </c>
      <c r="F3721" s="95" t="str">
        <f t="shared" si="297"/>
        <v>2024 08</v>
      </c>
      <c r="G3721" s="96" t="s">
        <v>5</v>
      </c>
      <c r="H3721" s="161" t="s">
        <v>2073</v>
      </c>
      <c r="I3721" s="97" t="s">
        <v>2005</v>
      </c>
      <c r="J3721" s="97" t="s">
        <v>2074</v>
      </c>
      <c r="K3721" s="29">
        <v>19.78</v>
      </c>
      <c r="L3721" s="29">
        <v>-1.9766666666666666</v>
      </c>
      <c r="M3721" s="30">
        <f>IFERROR(VLOOKUP($A3721,HeadJournal!$A$1:$J$890,COLUMN(HeadJournal!I$1),0)*($K3721+$L3721)/(SUMIF($A:$A,$A3721,$K:$K)+SUMIF($A:$A,$A3721,$L:$L)),0)</f>
        <v>-2.1638353661812908</v>
      </c>
      <c r="N3721" s="30">
        <f>IFERROR((VLOOKUP($A3721,HeadJournal!$A$1:$K$890,COLUMN(HeadJournal!K$1),0)-VLOOKUP($A3721,HeadJournal!$A$1:$K$890,COLUMN(HeadJournal!J$1),0))*($K3721+$L3721)/(SUMIF($A:$A,$A3721,$K:$K)+SUMIF($A:$A,$A3721,$L:$L)),0)</f>
        <v>0</v>
      </c>
      <c r="O3721" s="30">
        <f>IFERROR((VLOOKUP($A3721,HeadJournal!$A$1:$L$890,COLUMN(HeadJournal!L$1),0)*($K3721+$L3721)/(SUMIF($A:$A,$A3721,$K:$K)+SUMIF($A:$A,$A3721,$L:$L)))/VLOOKUP($A3721,HeadJournal!$A$1:$L$890,COLUMN(HeadJournal!H$1),0),0)</f>
        <v>0.84090982535719672</v>
      </c>
      <c r="P3721" s="30">
        <f>IFERROR(SUM(K3721:O3721)*VLOOKUP($A3721,HeadJournal!$A$1:$L$890,COLUMN(HeadJournal!H$1),0),0)</f>
        <v>1666.3850486868578</v>
      </c>
      <c r="Q3721" s="29">
        <v>2400</v>
      </c>
      <c r="R3721" s="31">
        <v>45577</v>
      </c>
      <c r="S3721" s="31" t="s">
        <v>3121</v>
      </c>
      <c r="T3721" s="95" t="str">
        <f t="shared" si="298"/>
        <v>2024 10</v>
      </c>
      <c r="U3721" s="32">
        <f t="shared" si="295"/>
        <v>733.61495131314223</v>
      </c>
      <c r="V3721" s="22">
        <f t="shared" si="296"/>
        <v>0.44024335905512618</v>
      </c>
      <c r="X3721" s="33"/>
      <c r="Y3721" s="33"/>
    </row>
    <row r="3722" spans="1:25" x14ac:dyDescent="0.2">
      <c r="A3722" s="93" t="s">
        <v>1972</v>
      </c>
      <c r="B3722" s="94" t="str">
        <f>IFERROR(VLOOKUP($A3722,HeadJournal!$A$1:$NTR$890,COLUMN(HeadJournal!B$1),0),"")</f>
        <v>720000332521</v>
      </c>
      <c r="C3722" s="94" t="str">
        <f>IFERROR(VLOOKUP($A3722,HeadJournal!$A$1:$NTR$890,COLUMN(HeadJournal!C$1),0),"")</f>
        <v>iHerb_VP DFD1605</v>
      </c>
      <c r="D3722" s="125" t="str">
        <f>IFERROR(VLOOKUP($A3722,HeadJournal!$A$1:$NTR$890,COLUMN(HeadJournal!D$1),0),"")</f>
        <v>Доставлен</v>
      </c>
      <c r="E3722" s="95">
        <f>IFERROR(VLOOKUP($A3722,HeadJournal!$A$1:$NTR$890,COLUMN(HeadJournal!G$1),0),"")</f>
        <v>45521</v>
      </c>
      <c r="F3722" s="95" t="str">
        <f t="shared" si="297"/>
        <v>2024 08</v>
      </c>
      <c r="G3722" s="96" t="s">
        <v>5</v>
      </c>
      <c r="H3722" s="161" t="s">
        <v>2073</v>
      </c>
      <c r="I3722" s="97" t="s">
        <v>2005</v>
      </c>
      <c r="J3722" s="97" t="s">
        <v>2074</v>
      </c>
      <c r="K3722" s="29">
        <v>19.78</v>
      </c>
      <c r="L3722" s="29">
        <v>-1.9766666666666666</v>
      </c>
      <c r="M3722" s="30">
        <f>IFERROR(VLOOKUP($A3722,HeadJournal!$A$1:$J$890,COLUMN(HeadJournal!I$1),0)*($K3722+$L3722)/(SUMIF($A:$A,$A3722,$K:$K)+SUMIF($A:$A,$A3722,$L:$L)),0)</f>
        <v>-2.1638353661812908</v>
      </c>
      <c r="N3722" s="30">
        <f>IFERROR((VLOOKUP($A3722,HeadJournal!$A$1:$K$890,COLUMN(HeadJournal!K$1),0)-VLOOKUP($A3722,HeadJournal!$A$1:$K$890,COLUMN(HeadJournal!J$1),0))*($K3722+$L3722)/(SUMIF($A:$A,$A3722,$K:$K)+SUMIF($A:$A,$A3722,$L:$L)),0)</f>
        <v>0</v>
      </c>
      <c r="O3722" s="30">
        <f>IFERROR((VLOOKUP($A3722,HeadJournal!$A$1:$L$890,COLUMN(HeadJournal!L$1),0)*($K3722+$L3722)/(SUMIF($A:$A,$A3722,$K:$K)+SUMIF($A:$A,$A3722,$L:$L)))/VLOOKUP($A3722,HeadJournal!$A$1:$L$890,COLUMN(HeadJournal!H$1),0),0)</f>
        <v>0.84090982535719672</v>
      </c>
      <c r="P3722" s="30">
        <f>IFERROR(SUM(K3722:O3722)*VLOOKUP($A3722,HeadJournal!$A$1:$L$890,COLUMN(HeadJournal!H$1),0),0)</f>
        <v>1666.3850486868578</v>
      </c>
      <c r="Q3722" s="29">
        <v>2700</v>
      </c>
      <c r="R3722" s="31">
        <v>45678</v>
      </c>
      <c r="S3722" s="31" t="s">
        <v>3121</v>
      </c>
      <c r="T3722" s="95" t="str">
        <f t="shared" si="298"/>
        <v>2025 01</v>
      </c>
      <c r="U3722" s="32">
        <f t="shared" si="295"/>
        <v>1033.6149513131422</v>
      </c>
      <c r="V3722" s="22">
        <f t="shared" si="296"/>
        <v>0.62027377893701696</v>
      </c>
      <c r="X3722" s="33"/>
      <c r="Y3722" s="33"/>
    </row>
    <row r="3723" spans="1:25" x14ac:dyDescent="0.2">
      <c r="A3723" s="93" t="s">
        <v>1972</v>
      </c>
      <c r="B3723" s="94" t="str">
        <f>IFERROR(VLOOKUP($A3723,HeadJournal!$A$1:$NTR$890,COLUMN(HeadJournal!B$1),0),"")</f>
        <v>720000332521</v>
      </c>
      <c r="C3723" s="94" t="str">
        <f>IFERROR(VLOOKUP($A3723,HeadJournal!$A$1:$NTR$890,COLUMN(HeadJournal!C$1),0),"")</f>
        <v>iHerb_VP DFD1605</v>
      </c>
      <c r="D3723" s="125" t="str">
        <f>IFERROR(VLOOKUP($A3723,HeadJournal!$A$1:$NTR$890,COLUMN(HeadJournal!D$1),0),"")</f>
        <v>Доставлен</v>
      </c>
      <c r="E3723" s="95">
        <f>IFERROR(VLOOKUP($A3723,HeadJournal!$A$1:$NTR$890,COLUMN(HeadJournal!G$1),0),"")</f>
        <v>45521</v>
      </c>
      <c r="F3723" s="95" t="str">
        <f t="shared" si="297"/>
        <v>2024 08</v>
      </c>
      <c r="G3723" s="96" t="s">
        <v>5</v>
      </c>
      <c r="H3723" s="160" t="str">
        <f>RIGHT(Journal!$J3723,9)</f>
        <v>NBC-00500</v>
      </c>
      <c r="I3723" s="127" t="str">
        <f t="shared" si="294"/>
        <v>NutriBiotic</v>
      </c>
      <c r="J3723" s="97" t="s">
        <v>1974</v>
      </c>
      <c r="K3723" s="29">
        <v>12.55</v>
      </c>
      <c r="L3723" s="29">
        <v>-3.19</v>
      </c>
      <c r="M3723" s="30">
        <f>IFERROR(VLOOKUP($A3723,HeadJournal!$A$1:$J$890,COLUMN(HeadJournal!I$1),0)*($K3723+$L3723)/(SUMIF($A:$A,$A3723,$K:$K)+SUMIF($A:$A,$A3723,$L:$L)),0)</f>
        <v>-1.1376239858148409</v>
      </c>
      <c r="N3723" s="30">
        <f>IFERROR((VLOOKUP($A3723,HeadJournal!$A$1:$K$890,COLUMN(HeadJournal!K$1),0)-VLOOKUP($A3723,HeadJournal!$A$1:$K$890,COLUMN(HeadJournal!J$1),0))*($K3723+$L3723)/(SUMIF($A:$A,$A3723,$K:$K)+SUMIF($A:$A,$A3723,$L:$L)),0)</f>
        <v>0</v>
      </c>
      <c r="O3723" s="30">
        <f>IFERROR((VLOOKUP($A3723,HeadJournal!$A$1:$L$890,COLUMN(HeadJournal!L$1),0)*($K3723+$L3723)/(SUMIF($A:$A,$A3723,$K:$K)+SUMIF($A:$A,$A3723,$L:$L)))/VLOOKUP($A3723,HeadJournal!$A$1:$L$890,COLUMN(HeadJournal!H$1),0),0)</f>
        <v>0.44210349927036297</v>
      </c>
      <c r="P3723" s="30">
        <f>IFERROR(SUM(K3723:O3723)*VLOOKUP($A3723,HeadJournal!$A$1:$L$890,COLUMN(HeadJournal!H$1),0),0)</f>
        <v>876.09234538713667</v>
      </c>
      <c r="Q3723" s="29">
        <v>1700</v>
      </c>
      <c r="R3723" s="31">
        <v>45549</v>
      </c>
      <c r="S3723" s="31" t="s">
        <v>3121</v>
      </c>
      <c r="T3723" s="95" t="str">
        <f t="shared" si="298"/>
        <v>2024 09</v>
      </c>
      <c r="U3723" s="32">
        <f t="shared" si="295"/>
        <v>823.90765461286333</v>
      </c>
      <c r="V3723" s="22">
        <f t="shared" si="296"/>
        <v>0.94043471438936788</v>
      </c>
      <c r="X3723" s="33"/>
      <c r="Y3723" s="33"/>
    </row>
    <row r="3724" spans="1:25" x14ac:dyDescent="0.2">
      <c r="A3724" s="93" t="s">
        <v>1972</v>
      </c>
      <c r="B3724" s="94" t="str">
        <f>IFERROR(VLOOKUP($A3724,HeadJournal!$A$1:$NTR$890,COLUMN(HeadJournal!B$1),0),"")</f>
        <v>720000332521</v>
      </c>
      <c r="C3724" s="94" t="str">
        <f>IFERROR(VLOOKUP($A3724,HeadJournal!$A$1:$NTR$890,COLUMN(HeadJournal!C$1),0),"")</f>
        <v>iHerb_VP DFD1605</v>
      </c>
      <c r="D3724" s="125" t="str">
        <f>IFERROR(VLOOKUP($A3724,HeadJournal!$A$1:$NTR$890,COLUMN(HeadJournal!D$1),0),"")</f>
        <v>Доставлен</v>
      </c>
      <c r="E3724" s="95">
        <f>IFERROR(VLOOKUP($A3724,HeadJournal!$A$1:$NTR$890,COLUMN(HeadJournal!G$1),0),"")</f>
        <v>45521</v>
      </c>
      <c r="F3724" s="95" t="str">
        <f t="shared" si="297"/>
        <v>2024 08</v>
      </c>
      <c r="G3724" s="96" t="s">
        <v>5</v>
      </c>
      <c r="H3724" s="160" t="str">
        <f>RIGHT(Journal!$J3724,9)</f>
        <v>HAV-75046</v>
      </c>
      <c r="I3724" s="127" t="str">
        <f t="shared" si="294"/>
        <v>Havasu Nutrition</v>
      </c>
      <c r="J3724" s="97" t="s">
        <v>1971</v>
      </c>
      <c r="K3724" s="29">
        <v>21.68</v>
      </c>
      <c r="L3724" s="29">
        <v>-8.49</v>
      </c>
      <c r="M3724" s="30">
        <f>IFERROR(VLOOKUP($A3724,HeadJournal!$A$1:$J$890,COLUMN(HeadJournal!I$1),0)*($K3724+$L3724)/(SUMIF($A:$A,$A3724,$K:$K)+SUMIF($A:$A,$A3724,$L:$L)),0)</f>
        <v>-1.6031261082155712</v>
      </c>
      <c r="N3724" s="30">
        <f>IFERROR((VLOOKUP($A3724,HeadJournal!$A$1:$K$890,COLUMN(HeadJournal!K$1),0)-VLOOKUP($A3724,HeadJournal!$A$1:$K$890,COLUMN(HeadJournal!J$1),0))*($K3724+$L3724)/(SUMIF($A:$A,$A3724,$K:$K)+SUMIF($A:$A,$A3724,$L:$L)),0)</f>
        <v>0</v>
      </c>
      <c r="O3724" s="30">
        <f>IFERROR((VLOOKUP($A3724,HeadJournal!$A$1:$L$890,COLUMN(HeadJournal!L$1),0)*($K3724+$L3724)/(SUMIF($A:$A,$A3724,$K:$K)+SUMIF($A:$A,$A3724,$L:$L)))/VLOOKUP($A3724,HeadJournal!$A$1:$L$890,COLUMN(HeadJournal!H$1),0),0)</f>
        <v>0.62300696104445363</v>
      </c>
      <c r="P3724" s="30">
        <f>IFERROR(SUM(K3724:O3724)*VLOOKUP($A3724,HeadJournal!$A$1:$L$890,COLUMN(HeadJournal!H$1),0),0)</f>
        <v>1234.5788499632831</v>
      </c>
      <c r="Q3724" s="29"/>
      <c r="R3724" s="31"/>
      <c r="S3724" s="31"/>
      <c r="T3724" s="95" t="str">
        <f t="shared" si="298"/>
        <v/>
      </c>
      <c r="U3724" s="32">
        <f t="shared" si="295"/>
        <v>-1234.5788499632831</v>
      </c>
      <c r="V3724" s="22" t="str">
        <f t="shared" si="296"/>
        <v/>
      </c>
      <c r="X3724" s="33"/>
      <c r="Y3724" s="33"/>
    </row>
    <row r="3725" spans="1:25" x14ac:dyDescent="0.2">
      <c r="A3725" s="93" t="s">
        <v>1972</v>
      </c>
      <c r="B3725" s="94" t="str">
        <f>IFERROR(VLOOKUP($A3725,HeadJournal!$A$1:$NTR$890,COLUMN(HeadJournal!B$1),0),"")</f>
        <v>720000332521</v>
      </c>
      <c r="C3725" s="94" t="str">
        <f>IFERROR(VLOOKUP($A3725,HeadJournal!$A$1:$NTR$890,COLUMN(HeadJournal!C$1),0),"")</f>
        <v>iHerb_VP DFD1605</v>
      </c>
      <c r="D3725" s="125" t="str">
        <f>IFERROR(VLOOKUP($A3725,HeadJournal!$A$1:$NTR$890,COLUMN(HeadJournal!D$1),0),"")</f>
        <v>Доставлен</v>
      </c>
      <c r="E3725" s="95">
        <f>IFERROR(VLOOKUP($A3725,HeadJournal!$A$1:$NTR$890,COLUMN(HeadJournal!G$1),0),"")</f>
        <v>45521</v>
      </c>
      <c r="F3725" s="95" t="str">
        <f t="shared" si="297"/>
        <v>2024 08</v>
      </c>
      <c r="G3725" s="96" t="s">
        <v>5</v>
      </c>
      <c r="H3725" s="161" t="s">
        <v>2051</v>
      </c>
      <c r="I3725" s="97" t="s">
        <v>2052</v>
      </c>
      <c r="J3725" s="97" t="s">
        <v>3097</v>
      </c>
      <c r="K3725" s="29">
        <v>21.04</v>
      </c>
      <c r="L3725" s="29">
        <v>-6.31</v>
      </c>
      <c r="M3725" s="30">
        <f>IFERROR(VLOOKUP($A3725,HeadJournal!$A$1:$J$890,COLUMN(HeadJournal!I$1),0)*($K3725+$L3725)/(SUMIF($A:$A,$A3725,$K:$K)+SUMIF($A:$A,$A3725,$L:$L)),0)</f>
        <v>-1.790299285368868</v>
      </c>
      <c r="N3725" s="30">
        <f>IFERROR((VLOOKUP($A3725,HeadJournal!$A$1:$K$890,COLUMN(HeadJournal!K$1),0)-VLOOKUP($A3725,HeadJournal!$A$1:$K$890,COLUMN(HeadJournal!J$1),0))*($K3725+$L3725)/(SUMIF($A:$A,$A3725,$K:$K)+SUMIF($A:$A,$A3725,$L:$L)),0)</f>
        <v>0</v>
      </c>
      <c r="O3725" s="30">
        <f>IFERROR((VLOOKUP($A3725,HeadJournal!$A$1:$L$890,COLUMN(HeadJournal!L$1),0)*($K3725+$L3725)/(SUMIF($A:$A,$A3725,$K:$K)+SUMIF($A:$A,$A3725,$L:$L)))/VLOOKUP($A3725,HeadJournal!$A$1:$L$890,COLUMN(HeadJournal!H$1),0),0)</f>
        <v>0.69574621199278275</v>
      </c>
      <c r="P3725" s="30">
        <f>IFERROR(SUM(K3725:O3725)*VLOOKUP($A3725,HeadJournal!$A$1:$L$890,COLUMN(HeadJournal!H$1),0),0)</f>
        <v>1378.7222486701412</v>
      </c>
      <c r="Q3725" s="29">
        <v>2200</v>
      </c>
      <c r="R3725" s="31">
        <v>45571</v>
      </c>
      <c r="S3725" s="31" t="s">
        <v>3121</v>
      </c>
      <c r="T3725" s="95" t="str">
        <f t="shared" si="298"/>
        <v>2024 10</v>
      </c>
      <c r="U3725" s="32">
        <f t="shared" si="295"/>
        <v>821.2777513298588</v>
      </c>
      <c r="V3725" s="22">
        <f t="shared" si="296"/>
        <v>0.59568034977460438</v>
      </c>
      <c r="X3725" s="33"/>
      <c r="Y3725" s="33"/>
    </row>
    <row r="3726" spans="1:25" x14ac:dyDescent="0.2">
      <c r="A3726" s="93" t="s">
        <v>1972</v>
      </c>
      <c r="B3726" s="94" t="str">
        <f>IFERROR(VLOOKUP($A3726,HeadJournal!$A$1:$NTR$890,COLUMN(HeadJournal!B$1),0),"")</f>
        <v>720000332521</v>
      </c>
      <c r="C3726" s="94" t="str">
        <f>IFERROR(VLOOKUP($A3726,HeadJournal!$A$1:$NTR$890,COLUMN(HeadJournal!C$1),0),"")</f>
        <v>iHerb_VP DFD1605</v>
      </c>
      <c r="D3726" s="125" t="str">
        <f>IFERROR(VLOOKUP($A3726,HeadJournal!$A$1:$NTR$890,COLUMN(HeadJournal!D$1),0),"")</f>
        <v>Доставлен</v>
      </c>
      <c r="E3726" s="95">
        <f>IFERROR(VLOOKUP($A3726,HeadJournal!$A$1:$NTR$890,COLUMN(HeadJournal!G$1),0),"")</f>
        <v>45521</v>
      </c>
      <c r="F3726" s="95" t="str">
        <f t="shared" si="297"/>
        <v>2024 08</v>
      </c>
      <c r="G3726" s="96" t="s">
        <v>5</v>
      </c>
      <c r="H3726" s="161" t="s">
        <v>2051</v>
      </c>
      <c r="I3726" s="97" t="s">
        <v>2052</v>
      </c>
      <c r="J3726" s="97" t="s">
        <v>3097</v>
      </c>
      <c r="K3726" s="29">
        <v>21.04</v>
      </c>
      <c r="L3726" s="29">
        <v>-6.31</v>
      </c>
      <c r="M3726" s="30">
        <f>IFERROR(VLOOKUP($A3726,HeadJournal!$A$1:$J$890,COLUMN(HeadJournal!I$1),0)*($K3726+$L3726)/(SUMIF($A:$A,$A3726,$K:$K)+SUMIF($A:$A,$A3726,$L:$L)),0)</f>
        <v>-1.790299285368868</v>
      </c>
      <c r="N3726" s="30">
        <f>IFERROR((VLOOKUP($A3726,HeadJournal!$A$1:$K$890,COLUMN(HeadJournal!K$1),0)-VLOOKUP($A3726,HeadJournal!$A$1:$K$890,COLUMN(HeadJournal!J$1),0))*($K3726+$L3726)/(SUMIF($A:$A,$A3726,$K:$K)+SUMIF($A:$A,$A3726,$L:$L)),0)</f>
        <v>0</v>
      </c>
      <c r="O3726" s="30">
        <f>IFERROR((VLOOKUP($A3726,HeadJournal!$A$1:$L$890,COLUMN(HeadJournal!L$1),0)*($K3726+$L3726)/(SUMIF($A:$A,$A3726,$K:$K)+SUMIF($A:$A,$A3726,$L:$L)))/VLOOKUP($A3726,HeadJournal!$A$1:$L$890,COLUMN(HeadJournal!H$1),0),0)</f>
        <v>0.69574621199278275</v>
      </c>
      <c r="P3726" s="30">
        <f>IFERROR(SUM(K3726:O3726)*VLOOKUP($A3726,HeadJournal!$A$1:$L$890,COLUMN(HeadJournal!H$1),0),0)</f>
        <v>1378.7222486701412</v>
      </c>
      <c r="Q3726" s="29">
        <v>2200</v>
      </c>
      <c r="R3726" s="31">
        <v>45571</v>
      </c>
      <c r="S3726" s="31" t="s">
        <v>3121</v>
      </c>
      <c r="T3726" s="95" t="str">
        <f t="shared" si="298"/>
        <v>2024 10</v>
      </c>
      <c r="U3726" s="32">
        <f t="shared" si="295"/>
        <v>821.2777513298588</v>
      </c>
      <c r="V3726" s="22">
        <f t="shared" si="296"/>
        <v>0.59568034977460438</v>
      </c>
      <c r="X3726" s="33"/>
      <c r="Y3726" s="33"/>
    </row>
    <row r="3727" spans="1:25" x14ac:dyDescent="0.2">
      <c r="A3727" s="93" t="s">
        <v>1972</v>
      </c>
      <c r="B3727" s="94" t="str">
        <f>IFERROR(VLOOKUP($A3727,HeadJournal!$A$1:$NTR$890,COLUMN(HeadJournal!B$1),0),"")</f>
        <v>720000332521</v>
      </c>
      <c r="C3727" s="94" t="str">
        <f>IFERROR(VLOOKUP($A3727,HeadJournal!$A$1:$NTR$890,COLUMN(HeadJournal!C$1),0),"")</f>
        <v>iHerb_VP DFD1605</v>
      </c>
      <c r="D3727" s="125" t="str">
        <f>IFERROR(VLOOKUP($A3727,HeadJournal!$A$1:$NTR$890,COLUMN(HeadJournal!D$1),0),"")</f>
        <v>Доставлен</v>
      </c>
      <c r="E3727" s="95">
        <f>IFERROR(VLOOKUP($A3727,HeadJournal!$A$1:$NTR$890,COLUMN(HeadJournal!G$1),0),"")</f>
        <v>45521</v>
      </c>
      <c r="F3727" s="95" t="str">
        <f t="shared" si="297"/>
        <v>2024 08</v>
      </c>
      <c r="G3727" s="96" t="s">
        <v>5</v>
      </c>
      <c r="H3727" s="160" t="str">
        <f>RIGHT(Journal!$J3727,9)</f>
        <v>NOW-00892</v>
      </c>
      <c r="I3727" s="127" t="str">
        <f t="shared" si="294"/>
        <v>NOW Foods</v>
      </c>
      <c r="J3727" s="97" t="s">
        <v>1864</v>
      </c>
      <c r="K3727" s="29">
        <v>15.03</v>
      </c>
      <c r="L3727" s="29">
        <v>-1.5</v>
      </c>
      <c r="M3727" s="30">
        <f>IFERROR(VLOOKUP($A3727,HeadJournal!$A$1:$J$890,COLUMN(HeadJournal!I$1),0)*($K3727+$L3727)/(SUMIF($A:$A,$A3727,$K:$K)+SUMIF($A:$A,$A3727,$L:$L)),0)</f>
        <v>-1.6444500564182474</v>
      </c>
      <c r="N3727" s="30">
        <f>IFERROR((VLOOKUP($A3727,HeadJournal!$A$1:$K$890,COLUMN(HeadJournal!K$1),0)-VLOOKUP($A3727,HeadJournal!$A$1:$K$890,COLUMN(HeadJournal!J$1),0))*($K3727+$L3727)/(SUMIF($A:$A,$A3727,$K:$K)+SUMIF($A:$A,$A3727,$L:$L)),0)</f>
        <v>0</v>
      </c>
      <c r="O3727" s="30">
        <f>IFERROR((VLOOKUP($A3727,HeadJournal!$A$1:$L$890,COLUMN(HeadJournal!L$1),0)*($K3727+$L3727)/(SUMIF($A:$A,$A3727,$K:$K)+SUMIF($A:$A,$A3727,$L:$L)))/VLOOKUP($A3727,HeadJournal!$A$1:$L$890,COLUMN(HeadJournal!H$1),0),0)</f>
        <v>0.63906627618889</v>
      </c>
      <c r="P3727" s="30">
        <f>IFERROR(SUM(K3727:O3727)*VLOOKUP($A3727,HeadJournal!$A$1:$L$890,COLUMN(HeadJournal!H$1),0),0)</f>
        <v>1266.4027172102519</v>
      </c>
      <c r="Q3727" s="29">
        <v>1900</v>
      </c>
      <c r="R3727" s="31">
        <v>45561</v>
      </c>
      <c r="S3727" s="31" t="s">
        <v>3121</v>
      </c>
      <c r="T3727" s="95" t="str">
        <f t="shared" si="298"/>
        <v>2024 09</v>
      </c>
      <c r="U3727" s="32">
        <f t="shared" si="295"/>
        <v>633.59728278974808</v>
      </c>
      <c r="V3727" s="22">
        <f t="shared" si="296"/>
        <v>0.50031263687233263</v>
      </c>
      <c r="X3727" s="33"/>
      <c r="Y3727" s="33"/>
    </row>
    <row r="3728" spans="1:25" x14ac:dyDescent="0.2">
      <c r="A3728" s="93" t="s">
        <v>1975</v>
      </c>
      <c r="B3728" s="94">
        <f>IFERROR(VLOOKUP($A3728,HeadJournal!$A$1:$NTR$890,COLUMN(HeadJournal!B$1),0),"")</f>
        <v>0</v>
      </c>
      <c r="C3728" s="94" t="str">
        <f>IFERROR(VLOOKUP($A3728,HeadJournal!$A$1:$NTR$890,COLUMN(HeadJournal!C$1),0),"")</f>
        <v>WBRS</v>
      </c>
      <c r="D3728" s="125" t="str">
        <f>IFERROR(VLOOKUP($A3728,HeadJournal!$A$1:$NTR$890,COLUMN(HeadJournal!D$1),0),"")</f>
        <v>Доставлен</v>
      </c>
      <c r="E3728" s="95">
        <f>IFERROR(VLOOKUP($A3728,HeadJournal!$A$1:$NTR$890,COLUMN(HeadJournal!G$1),0),"")</f>
        <v>45527</v>
      </c>
      <c r="F3728" s="95" t="str">
        <f t="shared" si="297"/>
        <v>2024 08</v>
      </c>
      <c r="G3728" s="96" t="s">
        <v>5</v>
      </c>
      <c r="H3728" s="160" t="str">
        <f>RIGHT(Journal!$J3728,9)</f>
        <v>180830573</v>
      </c>
      <c r="I3728" s="96" t="str">
        <f t="shared" si="294"/>
        <v>Forever</v>
      </c>
      <c r="J3728" s="97" t="s">
        <v>1976</v>
      </c>
      <c r="K3728" s="29">
        <v>1400</v>
      </c>
      <c r="L3728" s="29">
        <v>0</v>
      </c>
      <c r="M3728" s="30">
        <f>IFERROR(VLOOKUP($A3728,HeadJournal!$A$1:$J$890,COLUMN(HeadJournal!I$1),0)*($K3728+$L3728)/(SUMIF($A:$A,$A3728,$K:$K)+SUMIF($A:$A,$A3728,$L:$L)),0)</f>
        <v>0</v>
      </c>
      <c r="N3728" s="30">
        <f>IFERROR((VLOOKUP($A3728,HeadJournal!$A$1:$K$890,COLUMN(HeadJournal!K$1),0)-VLOOKUP($A3728,HeadJournal!$A$1:$K$890,COLUMN(HeadJournal!J$1),0))*($K3728+$L3728)/(SUMIF($A:$A,$A3728,$K:$K)+SUMIF($A:$A,$A3728,$L:$L)),0)</f>
        <v>0</v>
      </c>
      <c r="O3728" s="30">
        <f>IFERROR((VLOOKUP($A3728,HeadJournal!$A$1:$L$890,COLUMN(HeadJournal!L$1),0)*($K3728+$L3728)/(SUMIF($A:$A,$A3728,$K:$K)+SUMIF($A:$A,$A3728,$L:$L)))/VLOOKUP($A3728,HeadJournal!$A$1:$L$890,COLUMN(HeadJournal!H$1),0),0)</f>
        <v>0</v>
      </c>
      <c r="P3728" s="30">
        <f>IFERROR(SUM(K3728:O3728)*VLOOKUP($A3728,HeadJournal!$A$1:$L$890,COLUMN(HeadJournal!H$1),0),0)</f>
        <v>1400</v>
      </c>
      <c r="Q3728" s="29">
        <v>2200</v>
      </c>
      <c r="R3728" s="31">
        <v>45528</v>
      </c>
      <c r="S3728" s="31" t="s">
        <v>3121</v>
      </c>
      <c r="T3728" s="95" t="str">
        <f t="shared" si="298"/>
        <v>2024 08</v>
      </c>
      <c r="U3728" s="32">
        <f t="shared" si="295"/>
        <v>800</v>
      </c>
      <c r="V3728" s="22">
        <f t="shared" si="296"/>
        <v>0.5714285714285714</v>
      </c>
      <c r="X3728" s="33"/>
      <c r="Y3728" s="33"/>
    </row>
    <row r="3729" spans="1:25" x14ac:dyDescent="0.2">
      <c r="A3729" s="93" t="s">
        <v>1975</v>
      </c>
      <c r="B3729" s="94">
        <f>IFERROR(VLOOKUP($A3729,HeadJournal!$A$1:$NTR$890,COLUMN(HeadJournal!B$1),0),"")</f>
        <v>0</v>
      </c>
      <c r="C3729" s="94" t="str">
        <f>IFERROR(VLOOKUP($A3729,HeadJournal!$A$1:$NTR$890,COLUMN(HeadJournal!C$1),0),"")</f>
        <v>WBRS</v>
      </c>
      <c r="D3729" s="125" t="str">
        <f>IFERROR(VLOOKUP($A3729,HeadJournal!$A$1:$NTR$890,COLUMN(HeadJournal!D$1),0),"")</f>
        <v>Доставлен</v>
      </c>
      <c r="E3729" s="95">
        <f>IFERROR(VLOOKUP($A3729,HeadJournal!$A$1:$NTR$890,COLUMN(HeadJournal!G$1),0),"")</f>
        <v>45527</v>
      </c>
      <c r="F3729" s="95" t="str">
        <f t="shared" si="297"/>
        <v>2024 08</v>
      </c>
      <c r="G3729" s="96" t="s">
        <v>5</v>
      </c>
      <c r="H3729" s="160" t="str">
        <f>RIGHT(Journal!$J3729,9)</f>
        <v>180830573</v>
      </c>
      <c r="I3729" s="96" t="str">
        <f t="shared" si="294"/>
        <v>Forever</v>
      </c>
      <c r="J3729" s="97" t="s">
        <v>1976</v>
      </c>
      <c r="K3729" s="29">
        <v>1400</v>
      </c>
      <c r="L3729" s="29">
        <v>0</v>
      </c>
      <c r="M3729" s="30">
        <f>IFERROR(VLOOKUP($A3729,HeadJournal!$A$1:$J$890,COLUMN(HeadJournal!I$1),0)*($K3729+$L3729)/(SUMIF($A:$A,$A3729,$K:$K)+SUMIF($A:$A,$A3729,$L:$L)),0)</f>
        <v>0</v>
      </c>
      <c r="N3729" s="30">
        <f>IFERROR((VLOOKUP($A3729,HeadJournal!$A$1:$K$890,COLUMN(HeadJournal!K$1),0)-VLOOKUP($A3729,HeadJournal!$A$1:$K$890,COLUMN(HeadJournal!J$1),0))*($K3729+$L3729)/(SUMIF($A:$A,$A3729,$K:$K)+SUMIF($A:$A,$A3729,$L:$L)),0)</f>
        <v>0</v>
      </c>
      <c r="O3729" s="30">
        <f>IFERROR((VLOOKUP($A3729,HeadJournal!$A$1:$L$890,COLUMN(HeadJournal!L$1),0)*($K3729+$L3729)/(SUMIF($A:$A,$A3729,$K:$K)+SUMIF($A:$A,$A3729,$L:$L)))/VLOOKUP($A3729,HeadJournal!$A$1:$L$890,COLUMN(HeadJournal!H$1),0),0)</f>
        <v>0</v>
      </c>
      <c r="P3729" s="30">
        <f>IFERROR(SUM(K3729:O3729)*VLOOKUP($A3729,HeadJournal!$A$1:$L$890,COLUMN(HeadJournal!H$1),0),0)</f>
        <v>1400</v>
      </c>
      <c r="Q3729" s="29">
        <v>2200</v>
      </c>
      <c r="R3729" s="31">
        <v>45528</v>
      </c>
      <c r="S3729" s="31" t="s">
        <v>3121</v>
      </c>
      <c r="T3729" s="95" t="str">
        <f t="shared" si="298"/>
        <v>2024 08</v>
      </c>
      <c r="U3729" s="32">
        <f t="shared" si="295"/>
        <v>800</v>
      </c>
      <c r="V3729" s="22">
        <f t="shared" si="296"/>
        <v>0.5714285714285714</v>
      </c>
      <c r="X3729" s="33"/>
      <c r="Y3729" s="33"/>
    </row>
    <row r="3730" spans="1:25" x14ac:dyDescent="0.2">
      <c r="A3730" s="93" t="s">
        <v>1975</v>
      </c>
      <c r="B3730" s="94">
        <f>IFERROR(VLOOKUP($A3730,HeadJournal!$A$1:$NTR$890,COLUMN(HeadJournal!B$1),0),"")</f>
        <v>0</v>
      </c>
      <c r="C3730" s="94" t="str">
        <f>IFERROR(VLOOKUP($A3730,HeadJournal!$A$1:$NTR$890,COLUMN(HeadJournal!C$1),0),"")</f>
        <v>WBRS</v>
      </c>
      <c r="D3730" s="125" t="str">
        <f>IFERROR(VLOOKUP($A3730,HeadJournal!$A$1:$NTR$890,COLUMN(HeadJournal!D$1),0),"")</f>
        <v>Доставлен</v>
      </c>
      <c r="E3730" s="95">
        <f>IFERROR(VLOOKUP($A3730,HeadJournal!$A$1:$NTR$890,COLUMN(HeadJournal!G$1),0),"")</f>
        <v>45527</v>
      </c>
      <c r="F3730" s="95" t="str">
        <f t="shared" si="297"/>
        <v>2024 08</v>
      </c>
      <c r="G3730" s="96" t="s">
        <v>5</v>
      </c>
      <c r="H3730" s="160" t="str">
        <f>RIGHT(Journal!$J3730,9)</f>
        <v>180830573</v>
      </c>
      <c r="I3730" s="96" t="str">
        <f t="shared" si="294"/>
        <v>Forever</v>
      </c>
      <c r="J3730" s="97" t="s">
        <v>1976</v>
      </c>
      <c r="K3730" s="29">
        <v>1400</v>
      </c>
      <c r="L3730" s="29">
        <v>0</v>
      </c>
      <c r="M3730" s="30">
        <f>IFERROR(VLOOKUP($A3730,HeadJournal!$A$1:$J$890,COLUMN(HeadJournal!I$1),0)*($K3730+$L3730)/(SUMIF($A:$A,$A3730,$K:$K)+SUMIF($A:$A,$A3730,$L:$L)),0)</f>
        <v>0</v>
      </c>
      <c r="N3730" s="30">
        <f>IFERROR((VLOOKUP($A3730,HeadJournal!$A$1:$K$890,COLUMN(HeadJournal!K$1),0)-VLOOKUP($A3730,HeadJournal!$A$1:$K$890,COLUMN(HeadJournal!J$1),0))*($K3730+$L3730)/(SUMIF($A:$A,$A3730,$K:$K)+SUMIF($A:$A,$A3730,$L:$L)),0)</f>
        <v>0</v>
      </c>
      <c r="O3730" s="30">
        <f>IFERROR((VLOOKUP($A3730,HeadJournal!$A$1:$L$890,COLUMN(HeadJournal!L$1),0)*($K3730+$L3730)/(SUMIF($A:$A,$A3730,$K:$K)+SUMIF($A:$A,$A3730,$L:$L)))/VLOOKUP($A3730,HeadJournal!$A$1:$L$890,COLUMN(HeadJournal!H$1),0),0)</f>
        <v>0</v>
      </c>
      <c r="P3730" s="30">
        <f>IFERROR(SUM(K3730:O3730)*VLOOKUP($A3730,HeadJournal!$A$1:$L$890,COLUMN(HeadJournal!H$1),0),0)</f>
        <v>1400</v>
      </c>
      <c r="Q3730" s="29">
        <v>2200</v>
      </c>
      <c r="R3730" s="31">
        <v>45528</v>
      </c>
      <c r="S3730" s="31" t="s">
        <v>3121</v>
      </c>
      <c r="T3730" s="95" t="str">
        <f t="shared" si="298"/>
        <v>2024 08</v>
      </c>
      <c r="U3730" s="32">
        <f t="shared" si="295"/>
        <v>800</v>
      </c>
      <c r="V3730" s="22">
        <f t="shared" si="296"/>
        <v>0.5714285714285714</v>
      </c>
      <c r="X3730" s="33"/>
      <c r="Y3730" s="33"/>
    </row>
    <row r="3731" spans="1:25" x14ac:dyDescent="0.2">
      <c r="A3731" s="93" t="s">
        <v>1975</v>
      </c>
      <c r="B3731" s="94">
        <f>IFERROR(VLOOKUP($A3731,HeadJournal!$A$1:$NTR$890,COLUMN(HeadJournal!B$1),0),"")</f>
        <v>0</v>
      </c>
      <c r="C3731" s="94" t="str">
        <f>IFERROR(VLOOKUP($A3731,HeadJournal!$A$1:$NTR$890,COLUMN(HeadJournal!C$1),0),"")</f>
        <v>WBRS</v>
      </c>
      <c r="D3731" s="125" t="str">
        <f>IFERROR(VLOOKUP($A3731,HeadJournal!$A$1:$NTR$890,COLUMN(HeadJournal!D$1),0),"")</f>
        <v>Доставлен</v>
      </c>
      <c r="E3731" s="95">
        <f>IFERROR(VLOOKUP($A3731,HeadJournal!$A$1:$NTR$890,COLUMN(HeadJournal!G$1),0),"")</f>
        <v>45527</v>
      </c>
      <c r="F3731" s="95" t="str">
        <f t="shared" si="297"/>
        <v>2024 08</v>
      </c>
      <c r="G3731" s="96" t="s">
        <v>5</v>
      </c>
      <c r="H3731" s="161" t="s">
        <v>3677</v>
      </c>
      <c r="I3731" s="97" t="s">
        <v>1368</v>
      </c>
      <c r="J3731" s="97" t="s">
        <v>3678</v>
      </c>
      <c r="K3731" s="29">
        <v>2345</v>
      </c>
      <c r="L3731" s="29">
        <v>0</v>
      </c>
      <c r="M3731" s="30">
        <f>IFERROR(VLOOKUP($A3731,HeadJournal!$A$1:$J$890,COLUMN(HeadJournal!I$1),0)*($K3731+$L3731)/(SUMIF($A:$A,$A3731,$K:$K)+SUMIF($A:$A,$A3731,$L:$L)),0)</f>
        <v>0</v>
      </c>
      <c r="N3731" s="30">
        <f>IFERROR((VLOOKUP($A3731,HeadJournal!$A$1:$K$890,COLUMN(HeadJournal!K$1),0)-VLOOKUP($A3731,HeadJournal!$A$1:$K$890,COLUMN(HeadJournal!J$1),0))*($K3731+$L3731)/(SUMIF($A:$A,$A3731,$K:$K)+SUMIF($A:$A,$A3731,$L:$L)),0)</f>
        <v>0</v>
      </c>
      <c r="O3731" s="30">
        <f>IFERROR((VLOOKUP($A3731,HeadJournal!$A$1:$L$890,COLUMN(HeadJournal!L$1),0)*($K3731+$L3731)/(SUMIF($A:$A,$A3731,$K:$K)+SUMIF($A:$A,$A3731,$L:$L)))/VLOOKUP($A3731,HeadJournal!$A$1:$L$890,COLUMN(HeadJournal!H$1),0),0)</f>
        <v>0</v>
      </c>
      <c r="P3731" s="30">
        <f>IFERROR(SUM(K3731:O3731)*VLOOKUP($A3731,HeadJournal!$A$1:$L$890,COLUMN(HeadJournal!H$1),0),0)</f>
        <v>2345</v>
      </c>
      <c r="Q3731" s="29">
        <v>3300</v>
      </c>
      <c r="R3731" s="31">
        <v>45528</v>
      </c>
      <c r="S3731" s="31" t="s">
        <v>3121</v>
      </c>
      <c r="T3731" s="95" t="str">
        <f t="shared" si="298"/>
        <v>2024 08</v>
      </c>
      <c r="U3731" s="32">
        <f t="shared" si="295"/>
        <v>955</v>
      </c>
      <c r="V3731" s="22">
        <f t="shared" si="296"/>
        <v>0.40724946695095948</v>
      </c>
      <c r="X3731" s="33"/>
      <c r="Y3731" s="33"/>
    </row>
    <row r="3732" spans="1:25" x14ac:dyDescent="0.2">
      <c r="A3732" s="93" t="s">
        <v>1975</v>
      </c>
      <c r="B3732" s="94">
        <f>IFERROR(VLOOKUP($A3732,HeadJournal!$A$1:$NTR$890,COLUMN(HeadJournal!B$1),0),"")</f>
        <v>0</v>
      </c>
      <c r="C3732" s="94" t="str">
        <f>IFERROR(VLOOKUP($A3732,HeadJournal!$A$1:$NTR$890,COLUMN(HeadJournal!C$1),0),"")</f>
        <v>WBRS</v>
      </c>
      <c r="D3732" s="125" t="str">
        <f>IFERROR(VLOOKUP($A3732,HeadJournal!$A$1:$NTR$890,COLUMN(HeadJournal!D$1),0),"")</f>
        <v>Доставлен</v>
      </c>
      <c r="E3732" s="95">
        <f>IFERROR(VLOOKUP($A3732,HeadJournal!$A$1:$NTR$890,COLUMN(HeadJournal!G$1),0),"")</f>
        <v>45527</v>
      </c>
      <c r="F3732" s="95" t="str">
        <f t="shared" si="297"/>
        <v>2024 08</v>
      </c>
      <c r="G3732" s="96" t="s">
        <v>6</v>
      </c>
      <c r="H3732" s="160" t="str">
        <f>RIGHT(Journal!$J3732,9)</f>
        <v>892721541</v>
      </c>
      <c r="I3732" s="96" t="str">
        <f t="shared" si="294"/>
        <v>FatZorb</v>
      </c>
      <c r="J3732" s="97" t="s">
        <v>737</v>
      </c>
      <c r="K3732" s="29">
        <v>781</v>
      </c>
      <c r="L3732" s="29">
        <v>0</v>
      </c>
      <c r="M3732" s="30">
        <f>IFERROR(VLOOKUP($A3732,HeadJournal!$A$1:$J$890,COLUMN(HeadJournal!I$1),0)*($K3732+$L3732)/(SUMIF($A:$A,$A3732,$K:$K)+SUMIF($A:$A,$A3732,$L:$L)),0)</f>
        <v>0</v>
      </c>
      <c r="N3732" s="30">
        <f>IFERROR((VLOOKUP($A3732,HeadJournal!$A$1:$K$890,COLUMN(HeadJournal!K$1),0)-VLOOKUP($A3732,HeadJournal!$A$1:$K$890,COLUMN(HeadJournal!J$1),0))*($K3732+$L3732)/(SUMIF($A:$A,$A3732,$K:$K)+SUMIF($A:$A,$A3732,$L:$L)),0)</f>
        <v>0</v>
      </c>
      <c r="O3732" s="30">
        <f>IFERROR((VLOOKUP($A3732,HeadJournal!$A$1:$L$890,COLUMN(HeadJournal!L$1),0)*($K3732+$L3732)/(SUMIF($A:$A,$A3732,$K:$K)+SUMIF($A:$A,$A3732,$L:$L)))/VLOOKUP($A3732,HeadJournal!$A$1:$L$890,COLUMN(HeadJournal!H$1),0),0)</f>
        <v>0</v>
      </c>
      <c r="P3732" s="30">
        <f>IFERROR(SUM(K3732:O3732)*VLOOKUP($A3732,HeadJournal!$A$1:$L$890,COLUMN(HeadJournal!H$1),0),0)</f>
        <v>781</v>
      </c>
      <c r="Q3732" s="29">
        <v>2000</v>
      </c>
      <c r="R3732" s="31">
        <v>45528</v>
      </c>
      <c r="S3732" s="31" t="s">
        <v>3121</v>
      </c>
      <c r="T3732" s="95" t="str">
        <f t="shared" si="298"/>
        <v>2024 08</v>
      </c>
      <c r="U3732" s="32">
        <f t="shared" si="295"/>
        <v>1219</v>
      </c>
      <c r="V3732" s="22">
        <f t="shared" si="296"/>
        <v>1.560819462227913</v>
      </c>
      <c r="X3732" s="33"/>
      <c r="Y3732" s="33"/>
    </row>
    <row r="3733" spans="1:25" x14ac:dyDescent="0.2">
      <c r="A3733" s="93" t="s">
        <v>1977</v>
      </c>
      <c r="B3733" s="94">
        <f>IFERROR(VLOOKUP($A3733,HeadJournal!$A$1:$NTR$890,COLUMN(HeadJournal!B$1),0),"")</f>
        <v>0</v>
      </c>
      <c r="C3733" s="94" t="str">
        <f>IFERROR(VLOOKUP($A3733,HeadJournal!$A$1:$NTR$890,COLUMN(HeadJournal!C$1),0),"")</f>
        <v>WBRS</v>
      </c>
      <c r="D3733" s="125" t="str">
        <f>IFERROR(VLOOKUP($A3733,HeadJournal!$A$1:$NTR$890,COLUMN(HeadJournal!D$1),0),"")</f>
        <v>Доставлен</v>
      </c>
      <c r="E3733" s="95">
        <f>IFERROR(VLOOKUP($A3733,HeadJournal!$A$1:$NTR$890,COLUMN(HeadJournal!G$1),0),"")</f>
        <v>45534</v>
      </c>
      <c r="F3733" s="95" t="str">
        <f t="shared" si="297"/>
        <v>2024 08</v>
      </c>
      <c r="G3733" s="96" t="s">
        <v>6</v>
      </c>
      <c r="H3733" s="160" t="str">
        <f>RIGHT(Journal!$J3733,9)</f>
        <v>892721541</v>
      </c>
      <c r="I3733" s="96" t="str">
        <f t="shared" si="294"/>
        <v>FatZorb</v>
      </c>
      <c r="J3733" s="97" t="s">
        <v>737</v>
      </c>
      <c r="K3733" s="29">
        <v>781</v>
      </c>
      <c r="L3733" s="29">
        <v>0</v>
      </c>
      <c r="M3733" s="30">
        <f>IFERROR(VLOOKUP($A3733,HeadJournal!$A$1:$J$890,COLUMN(HeadJournal!I$1),0)*($K3733+$L3733)/(SUMIF($A:$A,$A3733,$K:$K)+SUMIF($A:$A,$A3733,$L:$L)),0)</f>
        <v>0</v>
      </c>
      <c r="N3733" s="30">
        <f>IFERROR((VLOOKUP($A3733,HeadJournal!$A$1:$K$890,COLUMN(HeadJournal!K$1),0)-VLOOKUP($A3733,HeadJournal!$A$1:$K$890,COLUMN(HeadJournal!J$1),0))*($K3733+$L3733)/(SUMIF($A:$A,$A3733,$K:$K)+SUMIF($A:$A,$A3733,$L:$L)),0)</f>
        <v>0</v>
      </c>
      <c r="O3733" s="30">
        <f>IFERROR((VLOOKUP($A3733,HeadJournal!$A$1:$L$890,COLUMN(HeadJournal!L$1),0)*($K3733+$L3733)/(SUMIF($A:$A,$A3733,$K:$K)+SUMIF($A:$A,$A3733,$L:$L)))/VLOOKUP($A3733,HeadJournal!$A$1:$L$890,COLUMN(HeadJournal!H$1),0),0)</f>
        <v>0</v>
      </c>
      <c r="P3733" s="30">
        <f>IFERROR(SUM(K3733:O3733)*VLOOKUP($A3733,HeadJournal!$A$1:$L$890,COLUMN(HeadJournal!H$1),0),0)</f>
        <v>781</v>
      </c>
      <c r="Q3733" s="29">
        <v>2000</v>
      </c>
      <c r="R3733" s="31">
        <v>45553</v>
      </c>
      <c r="S3733" s="31" t="s">
        <v>3121</v>
      </c>
      <c r="T3733" s="95" t="str">
        <f t="shared" si="298"/>
        <v>2024 09</v>
      </c>
      <c r="U3733" s="32">
        <f t="shared" si="295"/>
        <v>1219</v>
      </c>
      <c r="V3733" s="22">
        <f t="shared" si="296"/>
        <v>1.560819462227913</v>
      </c>
      <c r="X3733" s="33"/>
      <c r="Y3733" s="33"/>
    </row>
    <row r="3734" spans="1:25" x14ac:dyDescent="0.2">
      <c r="A3734" s="93" t="s">
        <v>1977</v>
      </c>
      <c r="B3734" s="94">
        <f>IFERROR(VLOOKUP($A3734,HeadJournal!$A$1:$NTR$890,COLUMN(HeadJournal!B$1),0),"")</f>
        <v>0</v>
      </c>
      <c r="C3734" s="94" t="str">
        <f>IFERROR(VLOOKUP($A3734,HeadJournal!$A$1:$NTR$890,COLUMN(HeadJournal!C$1),0),"")</f>
        <v>WBRS</v>
      </c>
      <c r="D3734" s="125" t="str">
        <f>IFERROR(VLOOKUP($A3734,HeadJournal!$A$1:$NTR$890,COLUMN(HeadJournal!D$1),0),"")</f>
        <v>Доставлен</v>
      </c>
      <c r="E3734" s="95">
        <f>IFERROR(VLOOKUP($A3734,HeadJournal!$A$1:$NTR$890,COLUMN(HeadJournal!G$1),0),"")</f>
        <v>45534</v>
      </c>
      <c r="F3734" s="95" t="str">
        <f t="shared" si="297"/>
        <v>2024 08</v>
      </c>
      <c r="G3734" s="96" t="s">
        <v>5</v>
      </c>
      <c r="H3734" s="160" t="str">
        <f>RIGHT(Journal!$J3734,9)</f>
        <v>000000264</v>
      </c>
      <c r="I3734" s="96" t="str">
        <f t="shared" si="294"/>
        <v>Forever</v>
      </c>
      <c r="J3734" s="97" t="s">
        <v>1978</v>
      </c>
      <c r="K3734" s="29">
        <v>2093</v>
      </c>
      <c r="L3734" s="29">
        <v>0</v>
      </c>
      <c r="M3734" s="30">
        <f>IFERROR(VLOOKUP($A3734,HeadJournal!$A$1:$J$890,COLUMN(HeadJournal!I$1),0)*($K3734+$L3734)/(SUMIF($A:$A,$A3734,$K:$K)+SUMIF($A:$A,$A3734,$L:$L)),0)</f>
        <v>0</v>
      </c>
      <c r="N3734" s="30">
        <f>IFERROR((VLOOKUP($A3734,HeadJournal!$A$1:$K$890,COLUMN(HeadJournal!K$1),0)-VLOOKUP($A3734,HeadJournal!$A$1:$K$890,COLUMN(HeadJournal!J$1),0))*($K3734+$L3734)/(SUMIF($A:$A,$A3734,$K:$K)+SUMIF($A:$A,$A3734,$L:$L)),0)</f>
        <v>0</v>
      </c>
      <c r="O3734" s="30">
        <f>IFERROR((VLOOKUP($A3734,HeadJournal!$A$1:$L$890,COLUMN(HeadJournal!L$1),0)*($K3734+$L3734)/(SUMIF($A:$A,$A3734,$K:$K)+SUMIF($A:$A,$A3734,$L:$L)))/VLOOKUP($A3734,HeadJournal!$A$1:$L$890,COLUMN(HeadJournal!H$1),0),0)</f>
        <v>0</v>
      </c>
      <c r="P3734" s="30">
        <f>IFERROR(SUM(K3734:O3734)*VLOOKUP($A3734,HeadJournal!$A$1:$L$890,COLUMN(HeadJournal!H$1),0),0)</f>
        <v>2093</v>
      </c>
      <c r="Q3734" s="29">
        <v>3500</v>
      </c>
      <c r="R3734" s="31">
        <v>45535</v>
      </c>
      <c r="S3734" s="31" t="s">
        <v>3121</v>
      </c>
      <c r="T3734" s="95" t="str">
        <f t="shared" si="298"/>
        <v>2024 08</v>
      </c>
      <c r="U3734" s="32">
        <f t="shared" si="295"/>
        <v>1407</v>
      </c>
      <c r="V3734" s="22">
        <f t="shared" si="296"/>
        <v>0.67224080267558528</v>
      </c>
      <c r="X3734" s="33"/>
      <c r="Y3734" s="33"/>
    </row>
    <row r="3735" spans="1:25" x14ac:dyDescent="0.2">
      <c r="A3735" s="93" t="s">
        <v>1977</v>
      </c>
      <c r="B3735" s="94">
        <f>IFERROR(VLOOKUP($A3735,HeadJournal!$A$1:$NTR$890,COLUMN(HeadJournal!B$1),0),"")</f>
        <v>0</v>
      </c>
      <c r="C3735" s="94" t="str">
        <f>IFERROR(VLOOKUP($A3735,HeadJournal!$A$1:$NTR$890,COLUMN(HeadJournal!C$1),0),"")</f>
        <v>WBRS</v>
      </c>
      <c r="D3735" s="125" t="str">
        <f>IFERROR(VLOOKUP($A3735,HeadJournal!$A$1:$NTR$890,COLUMN(HeadJournal!D$1),0),"")</f>
        <v>Доставлен</v>
      </c>
      <c r="E3735" s="95">
        <f>IFERROR(VLOOKUP($A3735,HeadJournal!$A$1:$NTR$890,COLUMN(HeadJournal!G$1),0),"")</f>
        <v>45534</v>
      </c>
      <c r="F3735" s="95" t="str">
        <f t="shared" si="297"/>
        <v>2024 08</v>
      </c>
      <c r="G3735" s="96" t="s">
        <v>5</v>
      </c>
      <c r="H3735" s="160" t="str">
        <f>RIGHT(Journal!$J3735,9)</f>
        <v>000000264</v>
      </c>
      <c r="I3735" s="96" t="str">
        <f t="shared" si="294"/>
        <v>Forever</v>
      </c>
      <c r="J3735" s="97" t="s">
        <v>1978</v>
      </c>
      <c r="K3735" s="29">
        <v>2093</v>
      </c>
      <c r="L3735" s="29">
        <v>0</v>
      </c>
      <c r="M3735" s="30">
        <f>IFERROR(VLOOKUP($A3735,HeadJournal!$A$1:$J$890,COLUMN(HeadJournal!I$1),0)*($K3735+$L3735)/(SUMIF($A:$A,$A3735,$K:$K)+SUMIF($A:$A,$A3735,$L:$L)),0)</f>
        <v>0</v>
      </c>
      <c r="N3735" s="30">
        <f>IFERROR((VLOOKUP($A3735,HeadJournal!$A$1:$K$890,COLUMN(HeadJournal!K$1),0)-VLOOKUP($A3735,HeadJournal!$A$1:$K$890,COLUMN(HeadJournal!J$1),0))*($K3735+$L3735)/(SUMIF($A:$A,$A3735,$K:$K)+SUMIF($A:$A,$A3735,$L:$L)),0)</f>
        <v>0</v>
      </c>
      <c r="O3735" s="30">
        <f>IFERROR((VLOOKUP($A3735,HeadJournal!$A$1:$L$890,COLUMN(HeadJournal!L$1),0)*($K3735+$L3735)/(SUMIF($A:$A,$A3735,$K:$K)+SUMIF($A:$A,$A3735,$L:$L)))/VLOOKUP($A3735,HeadJournal!$A$1:$L$890,COLUMN(HeadJournal!H$1),0),0)</f>
        <v>0</v>
      </c>
      <c r="P3735" s="30">
        <f>IFERROR(SUM(K3735:O3735)*VLOOKUP($A3735,HeadJournal!$A$1:$L$890,COLUMN(HeadJournal!H$1),0),0)</f>
        <v>2093</v>
      </c>
      <c r="Q3735" s="29">
        <v>3000</v>
      </c>
      <c r="R3735" s="31">
        <v>45549</v>
      </c>
      <c r="S3735" s="31" t="s">
        <v>3121</v>
      </c>
      <c r="T3735" s="95" t="str">
        <f t="shared" si="298"/>
        <v>2024 09</v>
      </c>
      <c r="U3735" s="32">
        <f t="shared" si="295"/>
        <v>907</v>
      </c>
      <c r="V3735" s="22">
        <f t="shared" si="296"/>
        <v>0.43334925943621594</v>
      </c>
      <c r="X3735" s="33"/>
      <c r="Y3735" s="33"/>
    </row>
    <row r="3736" spans="1:25" x14ac:dyDescent="0.2">
      <c r="A3736" s="93" t="s">
        <v>1977</v>
      </c>
      <c r="B3736" s="94">
        <f>IFERROR(VLOOKUP($A3736,HeadJournal!$A$1:$NTR$890,COLUMN(HeadJournal!B$1),0),"")</f>
        <v>0</v>
      </c>
      <c r="C3736" s="94" t="str">
        <f>IFERROR(VLOOKUP($A3736,HeadJournal!$A$1:$NTR$890,COLUMN(HeadJournal!C$1),0),"")</f>
        <v>WBRS</v>
      </c>
      <c r="D3736" s="125" t="str">
        <f>IFERROR(VLOOKUP($A3736,HeadJournal!$A$1:$NTR$890,COLUMN(HeadJournal!D$1),0),"")</f>
        <v>Доставлен</v>
      </c>
      <c r="E3736" s="95">
        <f>IFERROR(VLOOKUP($A3736,HeadJournal!$A$1:$NTR$890,COLUMN(HeadJournal!G$1),0),"")</f>
        <v>45534</v>
      </c>
      <c r="F3736" s="95" t="str">
        <f t="shared" si="297"/>
        <v>2024 08</v>
      </c>
      <c r="G3736" s="96" t="s">
        <v>5</v>
      </c>
      <c r="H3736" s="161" t="s">
        <v>4132</v>
      </c>
      <c r="I3736" s="97" t="s">
        <v>2005</v>
      </c>
      <c r="J3736" s="97" t="s">
        <v>4133</v>
      </c>
      <c r="K3736" s="29">
        <v>1211</v>
      </c>
      <c r="L3736" s="29">
        <v>0</v>
      </c>
      <c r="M3736" s="30">
        <f>IFERROR(VLOOKUP($A3736,HeadJournal!$A$1:$J$890,COLUMN(HeadJournal!I$1),0)*($K3736+$L3736)/(SUMIF($A:$A,$A3736,$K:$K)+SUMIF($A:$A,$A3736,$L:$L)),0)</f>
        <v>0</v>
      </c>
      <c r="N3736" s="30">
        <f>IFERROR((VLOOKUP($A3736,HeadJournal!$A$1:$K$890,COLUMN(HeadJournal!K$1),0)-VLOOKUP($A3736,HeadJournal!$A$1:$K$890,COLUMN(HeadJournal!J$1),0))*($K3736+$L3736)/(SUMIF($A:$A,$A3736,$K:$K)+SUMIF($A:$A,$A3736,$L:$L)),0)</f>
        <v>0</v>
      </c>
      <c r="O3736" s="30">
        <f>IFERROR((VLOOKUP($A3736,HeadJournal!$A$1:$L$890,COLUMN(HeadJournal!L$1),0)*($K3736+$L3736)/(SUMIF($A:$A,$A3736,$K:$K)+SUMIF($A:$A,$A3736,$L:$L)))/VLOOKUP($A3736,HeadJournal!$A$1:$L$890,COLUMN(HeadJournal!H$1),0),0)</f>
        <v>0</v>
      </c>
      <c r="P3736" s="30">
        <f>IFERROR(SUM(K3736:O3736)*VLOOKUP($A3736,HeadJournal!$A$1:$L$890,COLUMN(HeadJournal!H$1),0),0)</f>
        <v>1211</v>
      </c>
      <c r="Q3736" s="29">
        <v>1600</v>
      </c>
      <c r="R3736" s="31">
        <v>45545</v>
      </c>
      <c r="S3736" s="31" t="s">
        <v>3121</v>
      </c>
      <c r="T3736" s="95" t="str">
        <f t="shared" si="298"/>
        <v>2024 09</v>
      </c>
      <c r="U3736" s="32">
        <f t="shared" si="295"/>
        <v>389</v>
      </c>
      <c r="V3736" s="22">
        <f t="shared" si="296"/>
        <v>0.32122213047068537</v>
      </c>
      <c r="X3736" s="33"/>
      <c r="Y3736" s="33"/>
    </row>
    <row r="3737" spans="1:25" x14ac:dyDescent="0.2">
      <c r="A3737" s="93" t="s">
        <v>1980</v>
      </c>
      <c r="B3737" s="94" t="str">
        <f>IFERROR(VLOOKUP($A3737,HeadJournal!$A$1:$NTR$890,COLUMN(HeadJournal!B$1),0),"")</f>
        <v>720000339938</v>
      </c>
      <c r="C3737" s="94" t="str">
        <f>IFERROR(VLOOKUP($A3737,HeadJournal!$A$1:$NTR$890,COLUMN(HeadJournal!C$1),0),"")</f>
        <v>iHerb_VP DFD1605</v>
      </c>
      <c r="D3737" s="125" t="str">
        <f>IFERROR(VLOOKUP($A3737,HeadJournal!$A$1:$NTR$890,COLUMN(HeadJournal!D$1),0),"")</f>
        <v>Доставлен</v>
      </c>
      <c r="E3737" s="95">
        <f>IFERROR(VLOOKUP($A3737,HeadJournal!$A$1:$NTR$890,COLUMN(HeadJournal!G$1),0),"")</f>
        <v>45528</v>
      </c>
      <c r="F3737" s="95" t="str">
        <f t="shared" si="297"/>
        <v>2024 08</v>
      </c>
      <c r="G3737" s="96" t="s">
        <v>5</v>
      </c>
      <c r="H3737" s="175" t="s">
        <v>3622</v>
      </c>
      <c r="I3737" s="176" t="s">
        <v>2218</v>
      </c>
      <c r="J3737" s="97" t="s">
        <v>3664</v>
      </c>
      <c r="K3737" s="29">
        <v>11.6</v>
      </c>
      <c r="L3737" s="29">
        <v>-2.3199999999999998</v>
      </c>
      <c r="M3737" s="30">
        <f>IFERROR(VLOOKUP($A3737,HeadJournal!$A$1:$J$890,COLUMN(HeadJournal!I$1),0)*($K3737+$L3737)/(SUMIF($A:$A,$A3737,$K:$K)+SUMIF($A:$A,$A3737,$L:$L)),0)</f>
        <v>-0.28999999999999998</v>
      </c>
      <c r="N3737" s="30">
        <f>IFERROR((VLOOKUP($A3737,HeadJournal!$A$1:$K$890,COLUMN(HeadJournal!K$1),0)-VLOOKUP($A3737,HeadJournal!$A$1:$K$890,COLUMN(HeadJournal!J$1),0))*($K3737+$L3737)/(SUMIF($A:$A,$A3737,$K:$K)+SUMIF($A:$A,$A3737,$L:$L)),0)</f>
        <v>-1.4797658410802803E-15</v>
      </c>
      <c r="O3737" s="30">
        <f>IFERROR((VLOOKUP($A3737,HeadJournal!$A$1:$L$890,COLUMN(HeadJournal!L$1),0)*($K3737+$L3737)/(SUMIF($A:$A,$A3737,$K:$K)+SUMIF($A:$A,$A3737,$L:$L)))/VLOOKUP($A3737,HeadJournal!$A$1:$L$890,COLUMN(HeadJournal!H$1),0),0)</f>
        <v>0.54036836486741313</v>
      </c>
      <c r="P3737" s="30">
        <f>IFERROR(SUM(K3737:O3737)*VLOOKUP($A3737,HeadJournal!$A$1:$L$890,COLUMN(HeadJournal!H$1),0),0)</f>
        <v>962.02354278874895</v>
      </c>
      <c r="Q3737" s="29">
        <v>1700</v>
      </c>
      <c r="R3737" s="31">
        <v>45564</v>
      </c>
      <c r="S3737" s="31" t="s">
        <v>3121</v>
      </c>
      <c r="T3737" s="95" t="str">
        <f t="shared" si="298"/>
        <v>2024 09</v>
      </c>
      <c r="U3737" s="32">
        <f t="shared" si="295"/>
        <v>737.97645721125105</v>
      </c>
      <c r="V3737" s="22">
        <f t="shared" si="296"/>
        <v>0.76710852114073835</v>
      </c>
      <c r="X3737" s="33"/>
      <c r="Y3737" s="33"/>
    </row>
    <row r="3738" spans="1:25" x14ac:dyDescent="0.2">
      <c r="A3738" s="93" t="s">
        <v>1980</v>
      </c>
      <c r="B3738" s="94" t="str">
        <f>IFERROR(VLOOKUP($A3738,HeadJournal!$A$1:$NTR$890,COLUMN(HeadJournal!B$1),0),"")</f>
        <v>720000339938</v>
      </c>
      <c r="C3738" s="94" t="str">
        <f>IFERROR(VLOOKUP($A3738,HeadJournal!$A$1:$NTR$890,COLUMN(HeadJournal!C$1),0),"")</f>
        <v>iHerb_VP DFD1605</v>
      </c>
      <c r="D3738" s="125" t="str">
        <f>IFERROR(VLOOKUP($A3738,HeadJournal!$A$1:$NTR$890,COLUMN(HeadJournal!D$1),0),"")</f>
        <v>Доставлен</v>
      </c>
      <c r="E3738" s="95">
        <f>IFERROR(VLOOKUP($A3738,HeadJournal!$A$1:$NTR$890,COLUMN(HeadJournal!G$1),0),"")</f>
        <v>45528</v>
      </c>
      <c r="F3738" s="95" t="str">
        <f t="shared" si="297"/>
        <v>2024 08</v>
      </c>
      <c r="G3738" s="96" t="s">
        <v>5</v>
      </c>
      <c r="H3738" s="161" t="s">
        <v>2422</v>
      </c>
      <c r="I3738" s="97" t="s">
        <v>2005</v>
      </c>
      <c r="J3738" s="97" t="s">
        <v>2423</v>
      </c>
      <c r="K3738" s="29">
        <v>36.130000000000003</v>
      </c>
      <c r="L3738" s="29">
        <v>-7.23</v>
      </c>
      <c r="M3738" s="30">
        <f>IFERROR(VLOOKUP($A3738,HeadJournal!$A$1:$J$890,COLUMN(HeadJournal!I$1),0)*($K3738+$L3738)/(SUMIF($A:$A,$A3738,$K:$K)+SUMIF($A:$A,$A3738,$L:$L)),0)</f>
        <v>-0.90312500000000007</v>
      </c>
      <c r="N3738" s="30">
        <f>IFERROR((VLOOKUP($A3738,HeadJournal!$A$1:$K$890,COLUMN(HeadJournal!K$1),0)-VLOOKUP($A3738,HeadJournal!$A$1:$K$890,COLUMN(HeadJournal!J$1),0))*($K3738+$L3738)/(SUMIF($A:$A,$A3738,$K:$K)+SUMIF($A:$A,$A3738,$L:$L)),0)</f>
        <v>-4.6083225007780285E-15</v>
      </c>
      <c r="O3738" s="30">
        <f>IFERROR((VLOOKUP($A3738,HeadJournal!$A$1:$L$890,COLUMN(HeadJournal!L$1),0)*($K3738+$L3738)/(SUMIF($A:$A,$A3738,$K:$K)+SUMIF($A:$A,$A3738,$L:$L)))/VLOOKUP($A3738,HeadJournal!$A$1:$L$890,COLUMN(HeadJournal!H$1),0),0)</f>
        <v>1.6828282052444223</v>
      </c>
      <c r="P3738" s="30">
        <f>IFERROR(SUM(K3738:O3738)*VLOOKUP($A3738,HeadJournal!$A$1:$L$890,COLUMN(HeadJournal!H$1),0),0)</f>
        <v>2995.956938210652</v>
      </c>
      <c r="Q3738" s="29">
        <v>4100</v>
      </c>
      <c r="R3738" s="31">
        <v>45566</v>
      </c>
      <c r="S3738" s="31" t="s">
        <v>3121</v>
      </c>
      <c r="T3738" s="95" t="str">
        <f t="shared" si="298"/>
        <v>2024 10</v>
      </c>
      <c r="U3738" s="32">
        <f t="shared" si="295"/>
        <v>1104.043061789348</v>
      </c>
      <c r="V3738" s="22">
        <f t="shared" si="296"/>
        <v>0.36851099149934458</v>
      </c>
      <c r="X3738" s="33"/>
      <c r="Y3738" s="33"/>
    </row>
    <row r="3739" spans="1:25" x14ac:dyDescent="0.2">
      <c r="A3739" s="93" t="s">
        <v>1980</v>
      </c>
      <c r="B3739" s="94" t="str">
        <f>IFERROR(VLOOKUP($A3739,HeadJournal!$A$1:$NTR$890,COLUMN(HeadJournal!B$1),0),"")</f>
        <v>720000339938</v>
      </c>
      <c r="C3739" s="94" t="str">
        <f>IFERROR(VLOOKUP($A3739,HeadJournal!$A$1:$NTR$890,COLUMN(HeadJournal!C$1),0),"")</f>
        <v>iHerb_VP DFD1605</v>
      </c>
      <c r="D3739" s="125" t="str">
        <f>IFERROR(VLOOKUP($A3739,HeadJournal!$A$1:$NTR$890,COLUMN(HeadJournal!D$1),0),"")</f>
        <v>Доставлен</v>
      </c>
      <c r="E3739" s="95">
        <f>IFERROR(VLOOKUP($A3739,HeadJournal!$A$1:$NTR$890,COLUMN(HeadJournal!G$1),0),"")</f>
        <v>45528</v>
      </c>
      <c r="F3739" s="95" t="str">
        <f t="shared" si="297"/>
        <v>2024 08</v>
      </c>
      <c r="G3739" s="96" t="s">
        <v>5</v>
      </c>
      <c r="H3739" s="161" t="s">
        <v>2696</v>
      </c>
      <c r="I3739" s="97" t="s">
        <v>2052</v>
      </c>
      <c r="J3739" s="97" t="s">
        <v>2697</v>
      </c>
      <c r="K3739" s="29">
        <v>5.94</v>
      </c>
      <c r="L3739" s="29">
        <v>-1.19</v>
      </c>
      <c r="M3739" s="30">
        <f>IFERROR(VLOOKUP($A3739,HeadJournal!$A$1:$J$890,COLUMN(HeadJournal!I$1),0)*($K3739+$L3739)/(SUMIF($A:$A,$A3739,$K:$K)+SUMIF($A:$A,$A3739,$L:$L)),0)</f>
        <v>-0.1484375</v>
      </c>
      <c r="N3739" s="30">
        <f>IFERROR((VLOOKUP($A3739,HeadJournal!$A$1:$K$890,COLUMN(HeadJournal!K$1),0)-VLOOKUP($A3739,HeadJournal!$A$1:$K$890,COLUMN(HeadJournal!J$1),0))*($K3739+$L3739)/(SUMIF($A:$A,$A3739,$K:$K)+SUMIF($A:$A,$A3739,$L:$L)),0)</f>
        <v>-7.5742324839777281E-16</v>
      </c>
      <c r="O3739" s="30">
        <f>IFERROR((VLOOKUP($A3739,HeadJournal!$A$1:$L$890,COLUMN(HeadJournal!L$1),0)*($K3739+$L3739)/(SUMIF($A:$A,$A3739,$K:$K)+SUMIF($A:$A,$A3739,$L:$L)))/VLOOKUP($A3739,HeadJournal!$A$1:$L$890,COLUMN(HeadJournal!H$1),0),0)</f>
        <v>0.27658941089657463</v>
      </c>
      <c r="P3739" s="30">
        <f>IFERROR(SUM(K3739:O3739)*VLOOKUP($A3739,HeadJournal!$A$1:$L$890,COLUMN(HeadJournal!H$1),0),0)</f>
        <v>492.41506769898251</v>
      </c>
      <c r="Q3739" s="29">
        <v>1000</v>
      </c>
      <c r="R3739" s="31">
        <v>45571</v>
      </c>
      <c r="S3739" s="31" t="s">
        <v>3121</v>
      </c>
      <c r="T3739" s="95" t="str">
        <f t="shared" si="298"/>
        <v>2024 10</v>
      </c>
      <c r="U3739" s="32">
        <f t="shared" si="295"/>
        <v>507.58493230101749</v>
      </c>
      <c r="V3739" s="22">
        <f t="shared" si="296"/>
        <v>1.0308070682583346</v>
      </c>
      <c r="X3739" s="33"/>
      <c r="Y3739" s="33"/>
    </row>
    <row r="3740" spans="1:25" x14ac:dyDescent="0.2">
      <c r="A3740" s="93" t="s">
        <v>1980</v>
      </c>
      <c r="B3740" s="94" t="str">
        <f>IFERROR(VLOOKUP($A3740,HeadJournal!$A$1:$NTR$890,COLUMN(HeadJournal!B$1),0),"")</f>
        <v>720000339938</v>
      </c>
      <c r="C3740" s="94" t="str">
        <f>IFERROR(VLOOKUP($A3740,HeadJournal!$A$1:$NTR$890,COLUMN(HeadJournal!C$1),0),"")</f>
        <v>iHerb_VP DFD1605</v>
      </c>
      <c r="D3740" s="125" t="str">
        <f>IFERROR(VLOOKUP($A3740,HeadJournal!$A$1:$NTR$890,COLUMN(HeadJournal!D$1),0),"")</f>
        <v>Доставлен</v>
      </c>
      <c r="E3740" s="95">
        <f>IFERROR(VLOOKUP($A3740,HeadJournal!$A$1:$NTR$890,COLUMN(HeadJournal!G$1),0),"")</f>
        <v>45528</v>
      </c>
      <c r="F3740" s="95" t="str">
        <f t="shared" si="297"/>
        <v>2024 08</v>
      </c>
      <c r="G3740" s="96" t="s">
        <v>5</v>
      </c>
      <c r="H3740" s="161" t="s">
        <v>2696</v>
      </c>
      <c r="I3740" s="97" t="s">
        <v>2052</v>
      </c>
      <c r="J3740" s="97" t="s">
        <v>2697</v>
      </c>
      <c r="K3740" s="29">
        <v>5.94</v>
      </c>
      <c r="L3740" s="29">
        <v>-1.19</v>
      </c>
      <c r="M3740" s="30">
        <f>IFERROR(VLOOKUP($A3740,HeadJournal!$A$1:$J$890,COLUMN(HeadJournal!I$1),0)*($K3740+$L3740)/(SUMIF($A:$A,$A3740,$K:$K)+SUMIF($A:$A,$A3740,$L:$L)),0)</f>
        <v>-0.1484375</v>
      </c>
      <c r="N3740" s="30">
        <f>IFERROR((VLOOKUP($A3740,HeadJournal!$A$1:$K$890,COLUMN(HeadJournal!K$1),0)-VLOOKUP($A3740,HeadJournal!$A$1:$K$890,COLUMN(HeadJournal!J$1),0))*($K3740+$L3740)/(SUMIF($A:$A,$A3740,$K:$K)+SUMIF($A:$A,$A3740,$L:$L)),0)</f>
        <v>-7.5742324839777281E-16</v>
      </c>
      <c r="O3740" s="30">
        <f>IFERROR((VLOOKUP($A3740,HeadJournal!$A$1:$L$890,COLUMN(HeadJournal!L$1),0)*($K3740+$L3740)/(SUMIF($A:$A,$A3740,$K:$K)+SUMIF($A:$A,$A3740,$L:$L)))/VLOOKUP($A3740,HeadJournal!$A$1:$L$890,COLUMN(HeadJournal!H$1),0),0)</f>
        <v>0.27658941089657463</v>
      </c>
      <c r="P3740" s="30">
        <f>IFERROR(SUM(K3740:O3740)*VLOOKUP($A3740,HeadJournal!$A$1:$L$890,COLUMN(HeadJournal!H$1),0),0)</f>
        <v>492.41506769898251</v>
      </c>
      <c r="Q3740" s="29">
        <v>1000</v>
      </c>
      <c r="R3740" s="31">
        <v>45571</v>
      </c>
      <c r="S3740" s="31" t="s">
        <v>3121</v>
      </c>
      <c r="T3740" s="95" t="str">
        <f t="shared" si="298"/>
        <v>2024 10</v>
      </c>
      <c r="U3740" s="32">
        <f t="shared" si="295"/>
        <v>507.58493230101749</v>
      </c>
      <c r="V3740" s="22">
        <f t="shared" si="296"/>
        <v>1.0308070682583346</v>
      </c>
      <c r="X3740" s="33"/>
      <c r="Y3740" s="33"/>
    </row>
    <row r="3741" spans="1:25" x14ac:dyDescent="0.2">
      <c r="A3741" s="93" t="s">
        <v>1980</v>
      </c>
      <c r="B3741" s="94" t="str">
        <f>IFERROR(VLOOKUP($A3741,HeadJournal!$A$1:$NTR$890,COLUMN(HeadJournal!B$1),0),"")</f>
        <v>720000339938</v>
      </c>
      <c r="C3741" s="94" t="str">
        <f>IFERROR(VLOOKUP($A3741,HeadJournal!$A$1:$NTR$890,COLUMN(HeadJournal!C$1),0),"")</f>
        <v>iHerb_VP DFD1605</v>
      </c>
      <c r="D3741" s="125" t="str">
        <f>IFERROR(VLOOKUP($A3741,HeadJournal!$A$1:$NTR$890,COLUMN(HeadJournal!D$1),0),"")</f>
        <v>Доставлен</v>
      </c>
      <c r="E3741" s="95">
        <f>IFERROR(VLOOKUP($A3741,HeadJournal!$A$1:$NTR$890,COLUMN(HeadJournal!G$1),0),"")</f>
        <v>45528</v>
      </c>
      <c r="F3741" s="95" t="str">
        <f t="shared" si="297"/>
        <v>2024 08</v>
      </c>
      <c r="G3741" s="96" t="s">
        <v>5</v>
      </c>
      <c r="H3741" s="161" t="s">
        <v>2663</v>
      </c>
      <c r="I3741" s="97" t="s">
        <v>2005</v>
      </c>
      <c r="J3741" s="97" t="s">
        <v>2664</v>
      </c>
      <c r="K3741" s="29">
        <v>33.1</v>
      </c>
      <c r="L3741" s="29">
        <v>-6.62</v>
      </c>
      <c r="M3741" s="30">
        <f>IFERROR(VLOOKUP($A3741,HeadJournal!$A$1:$J$890,COLUMN(HeadJournal!I$1),0)*($K3741+$L3741)/(SUMIF($A:$A,$A3741,$K:$K)+SUMIF($A:$A,$A3741,$L:$L)),0)</f>
        <v>-0.82750000000000001</v>
      </c>
      <c r="N3741" s="30">
        <f>IFERROR((VLOOKUP($A3741,HeadJournal!$A$1:$K$890,COLUMN(HeadJournal!K$1),0)-VLOOKUP($A3741,HeadJournal!$A$1:$K$890,COLUMN(HeadJournal!J$1),0))*($K3741+$L3741)/(SUMIF($A:$A,$A3741,$K:$K)+SUMIF($A:$A,$A3741,$L:$L)),0)</f>
        <v>-4.2224352879101103E-15</v>
      </c>
      <c r="O3741" s="30">
        <f>IFERROR((VLOOKUP($A3741,HeadJournal!$A$1:$L$890,COLUMN(HeadJournal!L$1),0)*($K3741+$L3741)/(SUMIF($A:$A,$A3741,$K:$K)+SUMIF($A:$A,$A3741,$L:$L)))/VLOOKUP($A3741,HeadJournal!$A$1:$L$890,COLUMN(HeadJournal!H$1),0),0)</f>
        <v>1.5419131790613256</v>
      </c>
      <c r="P3741" s="30">
        <f>IFERROR(SUM(K3741:O3741)*VLOOKUP($A3741,HeadJournal!$A$1:$L$890,COLUMN(HeadJournal!H$1),0),0)</f>
        <v>2745.084419509275</v>
      </c>
      <c r="Q3741" s="29">
        <v>3900</v>
      </c>
      <c r="R3741" s="31">
        <v>45566</v>
      </c>
      <c r="S3741" s="31" t="s">
        <v>3121</v>
      </c>
      <c r="T3741" s="95" t="str">
        <f t="shared" si="298"/>
        <v>2024 10</v>
      </c>
      <c r="U3741" s="32">
        <f t="shared" si="295"/>
        <v>1154.915580490725</v>
      </c>
      <c r="V3741" s="22">
        <f t="shared" si="296"/>
        <v>0.42072133457272087</v>
      </c>
      <c r="X3741" s="33"/>
      <c r="Y3741" s="33"/>
    </row>
    <row r="3742" spans="1:25" x14ac:dyDescent="0.2">
      <c r="A3742" s="93" t="s">
        <v>1980</v>
      </c>
      <c r="B3742" s="94" t="str">
        <f>IFERROR(VLOOKUP($A3742,HeadJournal!$A$1:$NTR$890,COLUMN(HeadJournal!B$1),0),"")</f>
        <v>720000339938</v>
      </c>
      <c r="C3742" s="94" t="str">
        <f>IFERROR(VLOOKUP($A3742,HeadJournal!$A$1:$NTR$890,COLUMN(HeadJournal!C$1),0),"")</f>
        <v>iHerb_VP DFD1605</v>
      </c>
      <c r="D3742" s="125" t="str">
        <f>IFERROR(VLOOKUP($A3742,HeadJournal!$A$1:$NTR$890,COLUMN(HeadJournal!D$1),0),"")</f>
        <v>Доставлен</v>
      </c>
      <c r="E3742" s="95">
        <f>IFERROR(VLOOKUP($A3742,HeadJournal!$A$1:$NTR$890,COLUMN(HeadJournal!G$1),0),"")</f>
        <v>45528</v>
      </c>
      <c r="F3742" s="95" t="str">
        <f t="shared" si="297"/>
        <v>2024 08</v>
      </c>
      <c r="G3742" s="96" t="s">
        <v>5</v>
      </c>
      <c r="H3742" s="161" t="s">
        <v>2663</v>
      </c>
      <c r="I3742" s="97" t="s">
        <v>2005</v>
      </c>
      <c r="J3742" s="97" t="s">
        <v>2664</v>
      </c>
      <c r="K3742" s="29">
        <v>33.1</v>
      </c>
      <c r="L3742" s="29">
        <v>-6.62</v>
      </c>
      <c r="M3742" s="30">
        <f>IFERROR(VLOOKUP($A3742,HeadJournal!$A$1:$J$890,COLUMN(HeadJournal!I$1),0)*($K3742+$L3742)/(SUMIF($A:$A,$A3742,$K:$K)+SUMIF($A:$A,$A3742,$L:$L)),0)</f>
        <v>-0.82750000000000001</v>
      </c>
      <c r="N3742" s="30">
        <f>IFERROR((VLOOKUP($A3742,HeadJournal!$A$1:$K$890,COLUMN(HeadJournal!K$1),0)-VLOOKUP($A3742,HeadJournal!$A$1:$K$890,COLUMN(HeadJournal!J$1),0))*($K3742+$L3742)/(SUMIF($A:$A,$A3742,$K:$K)+SUMIF($A:$A,$A3742,$L:$L)),0)</f>
        <v>-4.2224352879101103E-15</v>
      </c>
      <c r="O3742" s="30">
        <f>IFERROR((VLOOKUP($A3742,HeadJournal!$A$1:$L$890,COLUMN(HeadJournal!L$1),0)*($K3742+$L3742)/(SUMIF($A:$A,$A3742,$K:$K)+SUMIF($A:$A,$A3742,$L:$L)))/VLOOKUP($A3742,HeadJournal!$A$1:$L$890,COLUMN(HeadJournal!H$1),0),0)</f>
        <v>1.5419131790613256</v>
      </c>
      <c r="P3742" s="30">
        <f>IFERROR(SUM(K3742:O3742)*VLOOKUP($A3742,HeadJournal!$A$1:$L$890,COLUMN(HeadJournal!H$1),0),0)</f>
        <v>2745.084419509275</v>
      </c>
      <c r="Q3742" s="29">
        <v>3900</v>
      </c>
      <c r="R3742" s="31">
        <v>45566</v>
      </c>
      <c r="S3742" s="31" t="s">
        <v>3121</v>
      </c>
      <c r="T3742" s="95" t="str">
        <f t="shared" si="298"/>
        <v>2024 10</v>
      </c>
      <c r="U3742" s="32">
        <f t="shared" si="295"/>
        <v>1154.915580490725</v>
      </c>
      <c r="V3742" s="22">
        <f t="shared" si="296"/>
        <v>0.42072133457272087</v>
      </c>
      <c r="X3742" s="33"/>
      <c r="Y3742" s="33"/>
    </row>
    <row r="3743" spans="1:25" x14ac:dyDescent="0.2">
      <c r="A3743" s="93" t="s">
        <v>1980</v>
      </c>
      <c r="B3743" s="94" t="str">
        <f>IFERROR(VLOOKUP($A3743,HeadJournal!$A$1:$NTR$890,COLUMN(HeadJournal!B$1),0),"")</f>
        <v>720000339938</v>
      </c>
      <c r="C3743" s="94" t="str">
        <f>IFERROR(VLOOKUP($A3743,HeadJournal!$A$1:$NTR$890,COLUMN(HeadJournal!C$1),0),"")</f>
        <v>iHerb_VP DFD1605</v>
      </c>
      <c r="D3743" s="125" t="str">
        <f>IFERROR(VLOOKUP($A3743,HeadJournal!$A$1:$NTR$890,COLUMN(HeadJournal!D$1),0),"")</f>
        <v>Доставлен</v>
      </c>
      <c r="E3743" s="95">
        <f>IFERROR(VLOOKUP($A3743,HeadJournal!$A$1:$NTR$890,COLUMN(HeadJournal!G$1),0),"")</f>
        <v>45528</v>
      </c>
      <c r="F3743" s="95" t="str">
        <f t="shared" si="297"/>
        <v>2024 08</v>
      </c>
      <c r="G3743" s="96" t="s">
        <v>5</v>
      </c>
      <c r="H3743" s="161" t="s">
        <v>2162</v>
      </c>
      <c r="I3743" s="97" t="s">
        <v>2163</v>
      </c>
      <c r="J3743" s="97" t="s">
        <v>2164</v>
      </c>
      <c r="K3743" s="29">
        <v>19.21</v>
      </c>
      <c r="L3743" s="29">
        <v>-3.84</v>
      </c>
      <c r="M3743" s="30">
        <f>IFERROR(VLOOKUP($A3743,HeadJournal!$A$1:$J$890,COLUMN(HeadJournal!I$1),0)*($K3743+$L3743)/(SUMIF($A:$A,$A3743,$K:$K)+SUMIF($A:$A,$A3743,$L:$L)),0)</f>
        <v>-0.48031250000000009</v>
      </c>
      <c r="N3743" s="30">
        <f>IFERROR((VLOOKUP($A3743,HeadJournal!$A$1:$K$890,COLUMN(HeadJournal!K$1),0)-VLOOKUP($A3743,HeadJournal!$A$1:$K$890,COLUMN(HeadJournal!J$1),0))*($K3743+$L3743)/(SUMIF($A:$A,$A3743,$K:$K)+SUMIF($A:$A,$A3743,$L:$L)),0)</f>
        <v>-2.4508621742892144E-15</v>
      </c>
      <c r="O3743" s="30">
        <f>IFERROR((VLOOKUP($A3743,HeadJournal!$A$1:$L$890,COLUMN(HeadJournal!L$1),0)*($K3743+$L3743)/(SUMIF($A:$A,$A3743,$K:$K)+SUMIF($A:$A,$A3743,$L:$L)))/VLOOKUP($A3743,HeadJournal!$A$1:$L$890,COLUMN(HeadJournal!H$1),0),0)</f>
        <v>0.89498510431165301</v>
      </c>
      <c r="P3743" s="30">
        <f>IFERROR(SUM(K3743:O3743)*VLOOKUP($A3743,HeadJournal!$A$1:$L$890,COLUMN(HeadJournal!H$1),0),0)</f>
        <v>1593.3514927438655</v>
      </c>
      <c r="Q3743" s="29">
        <v>2400</v>
      </c>
      <c r="R3743" s="31">
        <v>45566</v>
      </c>
      <c r="S3743" s="31" t="s">
        <v>3121</v>
      </c>
      <c r="T3743" s="95" t="str">
        <f t="shared" si="298"/>
        <v>2024 10</v>
      </c>
      <c r="U3743" s="32">
        <f t="shared" si="295"/>
        <v>806.64850725613451</v>
      </c>
      <c r="V3743" s="22">
        <f t="shared" si="296"/>
        <v>0.50625898361385913</v>
      </c>
      <c r="X3743" s="33"/>
      <c r="Y3743" s="33"/>
    </row>
    <row r="3744" spans="1:25" x14ac:dyDescent="0.2">
      <c r="A3744" s="93" t="s">
        <v>1980</v>
      </c>
      <c r="B3744" s="94" t="str">
        <f>IFERROR(VLOOKUP($A3744,HeadJournal!$A$1:$NTR$890,COLUMN(HeadJournal!B$1),0),"")</f>
        <v>720000339938</v>
      </c>
      <c r="C3744" s="94" t="str">
        <f>IFERROR(VLOOKUP($A3744,HeadJournal!$A$1:$NTR$890,COLUMN(HeadJournal!C$1),0),"")</f>
        <v>iHerb_VP DFD1605</v>
      </c>
      <c r="D3744" s="125" t="str">
        <f>IFERROR(VLOOKUP($A3744,HeadJournal!$A$1:$NTR$890,COLUMN(HeadJournal!D$1),0),"")</f>
        <v>Доставлен</v>
      </c>
      <c r="E3744" s="95">
        <f>IFERROR(VLOOKUP($A3744,HeadJournal!$A$1:$NTR$890,COLUMN(HeadJournal!G$1),0),"")</f>
        <v>45528</v>
      </c>
      <c r="F3744" s="95" t="str">
        <f t="shared" si="297"/>
        <v>2024 08</v>
      </c>
      <c r="G3744" s="96" t="s">
        <v>5</v>
      </c>
      <c r="H3744" s="160" t="str">
        <f>RIGHT(Journal!$J3744,9)</f>
        <v>BOI-05409</v>
      </c>
      <c r="I3744" s="127" t="str">
        <f t="shared" si="294"/>
        <v>Boiron</v>
      </c>
      <c r="J3744" s="97" t="s">
        <v>1979</v>
      </c>
      <c r="K3744" s="29">
        <v>16.02</v>
      </c>
      <c r="L3744" s="29">
        <v>-3.2</v>
      </c>
      <c r="M3744" s="30">
        <f>IFERROR(VLOOKUP($A3744,HeadJournal!$A$1:$J$890,COLUMN(HeadJournal!I$1),0)*($K3744+$L3744)/(SUMIF($A:$A,$A3744,$K:$K)+SUMIF($A:$A,$A3744,$L:$L)),0)</f>
        <v>-0.40062500000000001</v>
      </c>
      <c r="N3744" s="30">
        <f>IFERROR((VLOOKUP($A3744,HeadJournal!$A$1:$K$890,COLUMN(HeadJournal!K$1),0)-VLOOKUP($A3744,HeadJournal!$A$1:$K$890,COLUMN(HeadJournal!J$1),0))*($K3744+$L3744)/(SUMIF($A:$A,$A3744,$K:$K)+SUMIF($A:$A,$A3744,$L:$L)),0)</f>
        <v>-2.0442454830440944E-15</v>
      </c>
      <c r="O3744" s="30">
        <f>IFERROR((VLOOKUP($A3744,HeadJournal!$A$1:$L$890,COLUMN(HeadJournal!L$1),0)*($K3744+$L3744)/(SUMIF($A:$A,$A3744,$K:$K)+SUMIF($A:$A,$A3744,$L:$L)))/VLOOKUP($A3744,HeadJournal!$A$1:$L$890,COLUMN(HeadJournal!H$1),0),0)</f>
        <v>0.7465002626724393</v>
      </c>
      <c r="P3744" s="30">
        <f>IFERROR(SUM(K3744:O3744)*VLOOKUP($A3744,HeadJournal!$A$1:$L$890,COLUMN(HeadJournal!H$1),0),0)</f>
        <v>1329.0023511370434</v>
      </c>
      <c r="Q3744" s="29">
        <v>2100</v>
      </c>
      <c r="R3744" s="31">
        <v>45571</v>
      </c>
      <c r="S3744" s="31" t="s">
        <v>3121</v>
      </c>
      <c r="T3744" s="95" t="str">
        <f t="shared" si="298"/>
        <v>2024 10</v>
      </c>
      <c r="U3744" s="32">
        <f t="shared" si="295"/>
        <v>770.99764886295657</v>
      </c>
      <c r="V3744" s="22">
        <f t="shared" si="296"/>
        <v>0.58013264476418758</v>
      </c>
      <c r="X3744" s="33"/>
      <c r="Y3744" s="33"/>
    </row>
    <row r="3745" spans="1:25" x14ac:dyDescent="0.2">
      <c r="A3745" s="93" t="s">
        <v>1980</v>
      </c>
      <c r="B3745" s="94" t="str">
        <f>IFERROR(VLOOKUP($A3745,HeadJournal!$A$1:$NTR$890,COLUMN(HeadJournal!B$1),0),"")</f>
        <v>720000339938</v>
      </c>
      <c r="C3745" s="94" t="str">
        <f>IFERROR(VLOOKUP($A3745,HeadJournal!$A$1:$NTR$890,COLUMN(HeadJournal!C$1),0),"")</f>
        <v>iHerb_VP DFD1605</v>
      </c>
      <c r="D3745" s="125" t="str">
        <f>IFERROR(VLOOKUP($A3745,HeadJournal!$A$1:$NTR$890,COLUMN(HeadJournal!D$1),0),"")</f>
        <v>Доставлен</v>
      </c>
      <c r="E3745" s="95">
        <f>IFERROR(VLOOKUP($A3745,HeadJournal!$A$1:$NTR$890,COLUMN(HeadJournal!G$1),0),"")</f>
        <v>45528</v>
      </c>
      <c r="F3745" s="95" t="str">
        <f t="shared" si="297"/>
        <v>2024 08</v>
      </c>
      <c r="G3745" s="96" t="s">
        <v>5</v>
      </c>
      <c r="H3745" s="160" t="str">
        <f>RIGHT(Journal!$J3745,9)</f>
        <v>CAR-01676</v>
      </c>
      <c r="I3745" s="127" t="str">
        <f t="shared" si="294"/>
        <v>Carlson</v>
      </c>
      <c r="J3745" s="97" t="s">
        <v>1915</v>
      </c>
      <c r="K3745" s="29">
        <v>61.76</v>
      </c>
      <c r="L3745" s="29">
        <v>-12.35</v>
      </c>
      <c r="M3745" s="30">
        <f>IFERROR(VLOOKUP($A3745,HeadJournal!$A$1:$J$890,COLUMN(HeadJournal!I$1),0)*($K3745+$L3745)/(SUMIF($A:$A,$A3745,$K:$K)+SUMIF($A:$A,$A3745,$L:$L)),0)</f>
        <v>-1.5440625000000001</v>
      </c>
      <c r="N3745" s="30">
        <f>IFERROR((VLOOKUP($A3745,HeadJournal!$A$1:$K$890,COLUMN(HeadJournal!K$1),0)-VLOOKUP($A3745,HeadJournal!$A$1:$K$890,COLUMN(HeadJournal!J$1),0))*($K3745+$L3745)/(SUMIF($A:$A,$A3745,$K:$K)+SUMIF($A:$A,$A3745,$L:$L)),0)</f>
        <v>-7.878796358596622E-15</v>
      </c>
      <c r="O3745" s="30">
        <f>IFERROR((VLOOKUP($A3745,HeadJournal!$A$1:$L$890,COLUMN(HeadJournal!L$1),0)*($K3745+$L3745)/(SUMIF($A:$A,$A3745,$K:$K)+SUMIF($A:$A,$A3745,$L:$L)))/VLOOKUP($A3745,HeadJournal!$A$1:$L$890,COLUMN(HeadJournal!H$1),0),0)</f>
        <v>2.877112166821</v>
      </c>
      <c r="P3745" s="30">
        <f>IFERROR(SUM(K3745:O3745)*VLOOKUP($A3745,HeadJournal!$A$1:$L$890,COLUMN(HeadJournal!H$1),0),0)</f>
        <v>5122.1533673698359</v>
      </c>
      <c r="Q3745" s="29">
        <v>6500</v>
      </c>
      <c r="R3745" s="31">
        <v>45566</v>
      </c>
      <c r="S3745" s="31" t="s">
        <v>3121</v>
      </c>
      <c r="T3745" s="95" t="str">
        <f t="shared" si="298"/>
        <v>2024 10</v>
      </c>
      <c r="U3745" s="32">
        <f t="shared" si="295"/>
        <v>1377.8466326301641</v>
      </c>
      <c r="V3745" s="22">
        <f t="shared" si="296"/>
        <v>0.26899753556923889</v>
      </c>
      <c r="X3745" s="33"/>
      <c r="Y3745" s="33"/>
    </row>
    <row r="3746" spans="1:25" x14ac:dyDescent="0.2">
      <c r="A3746" s="93" t="s">
        <v>1982</v>
      </c>
      <c r="B3746" s="94" t="str">
        <f>IFERROR(VLOOKUP($A3746,HeadJournal!$A$1:$NTR$890,COLUMN(HeadJournal!B$1),0),"")</f>
        <v>720000342714</v>
      </c>
      <c r="C3746" s="94" t="str">
        <f>IFERROR(VLOOKUP($A3746,HeadJournal!$A$1:$NTR$890,COLUMN(HeadJournal!C$1),0),"")</f>
        <v>iHerb_AV CYG0792</v>
      </c>
      <c r="D3746" s="125" t="str">
        <f>IFERROR(VLOOKUP($A3746,HeadJournal!$A$1:$NTR$890,COLUMN(HeadJournal!D$1),0),"")</f>
        <v>Доставлен</v>
      </c>
      <c r="E3746" s="95">
        <f>IFERROR(VLOOKUP($A3746,HeadJournal!$A$1:$NTR$890,COLUMN(HeadJournal!G$1),0),"")</f>
        <v>45530</v>
      </c>
      <c r="F3746" s="95" t="str">
        <f t="shared" si="297"/>
        <v>2024 08</v>
      </c>
      <c r="G3746" s="96" t="s">
        <v>5</v>
      </c>
      <c r="H3746" s="160" t="str">
        <f>RIGHT(Journal!$J3746,9)</f>
        <v>CEN-27285</v>
      </c>
      <c r="I3746" s="127" t="str">
        <f t="shared" si="294"/>
        <v>21st Century</v>
      </c>
      <c r="J3746" s="97" t="s">
        <v>644</v>
      </c>
      <c r="K3746" s="29">
        <v>9.15</v>
      </c>
      <c r="L3746" s="29">
        <v>-1.83</v>
      </c>
      <c r="M3746" s="30">
        <f>IFERROR(VLOOKUP($A3746,HeadJournal!$A$1:$J$890,COLUMN(HeadJournal!I$1),0)*($K3746+$L3746)/(SUMIF($A:$A,$A3746,$K:$K)+SUMIF($A:$A,$A3746,$L:$L)),0)</f>
        <v>-0.59461499916485738</v>
      </c>
      <c r="N3746" s="30">
        <f>IFERROR((VLOOKUP($A3746,HeadJournal!$A$1:$K$890,COLUMN(HeadJournal!K$1),0)-VLOOKUP($A3746,HeadJournal!$A$1:$K$890,COLUMN(HeadJournal!J$1),0))*($K3746+$L3746)/(SUMIF($A:$A,$A3746,$K:$K)+SUMIF($A:$A,$A3746,$L:$L)),0)</f>
        <v>2.3166517791944479E-15</v>
      </c>
      <c r="O3746" s="30">
        <f>IFERROR((VLOOKUP($A3746,HeadJournal!$A$1:$L$890,COLUMN(HeadJournal!L$1),0)*($K3746+$L3746)/(SUMIF($A:$A,$A3746,$K:$K)+SUMIF($A:$A,$A3746,$L:$L)))/VLOOKUP($A3746,HeadJournal!$A$1:$L$890,COLUMN(HeadJournal!H$1),0),0)</f>
        <v>0.42082929300025274</v>
      </c>
      <c r="P3746" s="30">
        <f>IFERROR(SUM(K3746:O3746)*VLOOKUP($A3746,HeadJournal!$A$1:$L$890,COLUMN(HeadJournal!H$1),0),0)</f>
        <v>725.05970046211291</v>
      </c>
      <c r="Q3746" s="29">
        <v>1400</v>
      </c>
      <c r="R3746" s="31">
        <v>45564</v>
      </c>
      <c r="S3746" s="31" t="s">
        <v>3121</v>
      </c>
      <c r="T3746" s="95" t="str">
        <f t="shared" si="298"/>
        <v>2024 09</v>
      </c>
      <c r="U3746" s="32">
        <f t="shared" si="295"/>
        <v>674.94029953788709</v>
      </c>
      <c r="V3746" s="22">
        <f t="shared" si="296"/>
        <v>0.93087548391907249</v>
      </c>
      <c r="X3746" s="33"/>
      <c r="Y3746" s="33"/>
    </row>
    <row r="3747" spans="1:25" x14ac:dyDescent="0.2">
      <c r="A3747" s="93" t="s">
        <v>1982</v>
      </c>
      <c r="B3747" s="94" t="str">
        <f>IFERROR(VLOOKUP($A3747,HeadJournal!$A$1:$NTR$890,COLUMN(HeadJournal!B$1),0),"")</f>
        <v>720000342714</v>
      </c>
      <c r="C3747" s="94" t="str">
        <f>IFERROR(VLOOKUP($A3747,HeadJournal!$A$1:$NTR$890,COLUMN(HeadJournal!C$1),0),"")</f>
        <v>iHerb_AV CYG0792</v>
      </c>
      <c r="D3747" s="125" t="str">
        <f>IFERROR(VLOOKUP($A3747,HeadJournal!$A$1:$NTR$890,COLUMN(HeadJournal!D$1),0),"")</f>
        <v>Доставлен</v>
      </c>
      <c r="E3747" s="95">
        <f>IFERROR(VLOOKUP($A3747,HeadJournal!$A$1:$NTR$890,COLUMN(HeadJournal!G$1),0),"")</f>
        <v>45530</v>
      </c>
      <c r="F3747" s="95" t="str">
        <f t="shared" si="297"/>
        <v>2024 08</v>
      </c>
      <c r="G3747" s="96" t="s">
        <v>5</v>
      </c>
      <c r="H3747" s="160" t="str">
        <f>RIGHT(Journal!$J3747,9)</f>
        <v>HRM-50004</v>
      </c>
      <c r="I3747" s="127" t="str">
        <f t="shared" si="294"/>
        <v>Healths Harmony</v>
      </c>
      <c r="J3747" s="97" t="s">
        <v>979</v>
      </c>
      <c r="K3747" s="29">
        <v>16.329999999999998</v>
      </c>
      <c r="L3747" s="29">
        <v>-3.27</v>
      </c>
      <c r="M3747" s="30">
        <f>IFERROR(VLOOKUP($A3747,HeadJournal!$A$1:$J$890,COLUMN(HeadJournal!I$1),0)*($K3747+$L3747)/(SUMIF($A:$A,$A3747,$K:$K)+SUMIF($A:$A,$A3747,$L:$L)),0)</f>
        <v>-1.0608841378542397</v>
      </c>
      <c r="N3747" s="30">
        <f>IFERROR((VLOOKUP($A3747,HeadJournal!$A$1:$K$890,COLUMN(HeadJournal!K$1),0)-VLOOKUP($A3747,HeadJournal!$A$1:$K$890,COLUMN(HeadJournal!J$1),0))*($K3747+$L3747)/(SUMIF($A:$A,$A3747,$K:$K)+SUMIF($A:$A,$A3747,$L:$L)),0)</f>
        <v>4.1332612344644102E-15</v>
      </c>
      <c r="O3747" s="30">
        <f>IFERROR((VLOOKUP($A3747,HeadJournal!$A$1:$L$890,COLUMN(HeadJournal!L$1),0)*($K3747+$L3747)/(SUMIF($A:$A,$A3747,$K:$K)+SUMIF($A:$A,$A3747,$L:$L)))/VLOOKUP($A3747,HeadJournal!$A$1:$L$890,COLUMN(HeadJournal!H$1),0),0)</f>
        <v>0.75082384789389345</v>
      </c>
      <c r="P3747" s="30">
        <f>IFERROR(SUM(K3747:O3747)*VLOOKUP($A3747,HeadJournal!$A$1:$L$890,COLUMN(HeadJournal!H$1),0),0)</f>
        <v>1293.6174437206548</v>
      </c>
      <c r="Q3747" s="29">
        <v>1900</v>
      </c>
      <c r="R3747" s="31">
        <v>45576</v>
      </c>
      <c r="S3747" s="31" t="s">
        <v>3121</v>
      </c>
      <c r="T3747" s="95" t="str">
        <f t="shared" si="298"/>
        <v>2024 10</v>
      </c>
      <c r="U3747" s="32">
        <f t="shared" si="295"/>
        <v>606.38255627934518</v>
      </c>
      <c r="V3747" s="22">
        <f t="shared" si="296"/>
        <v>0.46874952036460643</v>
      </c>
      <c r="X3747" s="33"/>
      <c r="Y3747" s="33"/>
    </row>
    <row r="3748" spans="1:25" x14ac:dyDescent="0.2">
      <c r="A3748" s="93" t="s">
        <v>1982</v>
      </c>
      <c r="B3748" s="94" t="str">
        <f>IFERROR(VLOOKUP($A3748,HeadJournal!$A$1:$NTR$890,COLUMN(HeadJournal!B$1),0),"")</f>
        <v>720000342714</v>
      </c>
      <c r="C3748" s="94" t="str">
        <f>IFERROR(VLOOKUP($A3748,HeadJournal!$A$1:$NTR$890,COLUMN(HeadJournal!C$1),0),"")</f>
        <v>iHerb_AV CYG0792</v>
      </c>
      <c r="D3748" s="125" t="str">
        <f>IFERROR(VLOOKUP($A3748,HeadJournal!$A$1:$NTR$890,COLUMN(HeadJournal!D$1),0),"")</f>
        <v>Доставлен</v>
      </c>
      <c r="E3748" s="95">
        <f>IFERROR(VLOOKUP($A3748,HeadJournal!$A$1:$NTR$890,COLUMN(HeadJournal!G$1),0),"")</f>
        <v>45530</v>
      </c>
      <c r="F3748" s="95" t="str">
        <f t="shared" si="297"/>
        <v>2024 08</v>
      </c>
      <c r="G3748" s="96" t="s">
        <v>5</v>
      </c>
      <c r="H3748" s="160" t="str">
        <f>RIGHT(Journal!$J3748,9)</f>
        <v>NOW-00837</v>
      </c>
      <c r="I3748" s="127" t="str">
        <f t="shared" si="294"/>
        <v>NOW Foods</v>
      </c>
      <c r="J3748" s="97" t="s">
        <v>1984</v>
      </c>
      <c r="K3748" s="29">
        <v>15.05</v>
      </c>
      <c r="L3748" s="29">
        <v>-3.01</v>
      </c>
      <c r="M3748" s="30">
        <f>IFERROR(VLOOKUP($A3748,HeadJournal!$A$1:$J$890,COLUMN(HeadJournal!I$1),0)*($K3748+$L3748)/(SUMIF($A:$A,$A3748,$K:$K)+SUMIF($A:$A,$A3748,$L:$L)),0)</f>
        <v>-0.97802794944602223</v>
      </c>
      <c r="N3748" s="30">
        <f>IFERROR((VLOOKUP($A3748,HeadJournal!$A$1:$K$890,COLUMN(HeadJournal!K$1),0)-VLOOKUP($A3748,HeadJournal!$A$1:$K$890,COLUMN(HeadJournal!J$1),0))*($K3748+$L3748)/(SUMIF($A:$A,$A3748,$K:$K)+SUMIF($A:$A,$A3748,$L:$L)),0)</f>
        <v>3.8104491012979716E-15</v>
      </c>
      <c r="O3748" s="30">
        <f>IFERROR((VLOOKUP($A3748,HeadJournal!$A$1:$L$890,COLUMN(HeadJournal!L$1),0)*($K3748+$L3748)/(SUMIF($A:$A,$A3748,$K:$K)+SUMIF($A:$A,$A3748,$L:$L)))/VLOOKUP($A3748,HeadJournal!$A$1:$L$890,COLUMN(HeadJournal!H$1),0),0)</f>
        <v>0.69218370050861233</v>
      </c>
      <c r="P3748" s="30">
        <f>IFERROR(SUM(K3748:O3748)*VLOOKUP($A3748,HeadJournal!$A$1:$L$890,COLUMN(HeadJournal!H$1),0),0)</f>
        <v>1192.5845346398689</v>
      </c>
      <c r="Q3748" s="29">
        <v>1900</v>
      </c>
      <c r="R3748" s="31">
        <v>45602</v>
      </c>
      <c r="S3748" s="31" t="s">
        <v>3121</v>
      </c>
      <c r="T3748" s="95" t="str">
        <f t="shared" si="298"/>
        <v>2024 11</v>
      </c>
      <c r="U3748" s="32">
        <f t="shared" si="295"/>
        <v>707.41546536013107</v>
      </c>
      <c r="V3748" s="22">
        <f t="shared" si="296"/>
        <v>0.59317846644200622</v>
      </c>
      <c r="X3748" s="33"/>
      <c r="Y3748" s="33"/>
    </row>
    <row r="3749" spans="1:25" x14ac:dyDescent="0.2">
      <c r="A3749" s="93" t="s">
        <v>1982</v>
      </c>
      <c r="B3749" s="94" t="str">
        <f>IFERROR(VLOOKUP($A3749,HeadJournal!$A$1:$NTR$890,COLUMN(HeadJournal!B$1),0),"")</f>
        <v>720000342714</v>
      </c>
      <c r="C3749" s="94" t="str">
        <f>IFERROR(VLOOKUP($A3749,HeadJournal!$A$1:$NTR$890,COLUMN(HeadJournal!C$1),0),"")</f>
        <v>iHerb_AV CYG0792</v>
      </c>
      <c r="D3749" s="125" t="str">
        <f>IFERROR(VLOOKUP($A3749,HeadJournal!$A$1:$NTR$890,COLUMN(HeadJournal!D$1),0),"")</f>
        <v>Доставлен</v>
      </c>
      <c r="E3749" s="95">
        <f>IFERROR(VLOOKUP($A3749,HeadJournal!$A$1:$NTR$890,COLUMN(HeadJournal!G$1),0),"")</f>
        <v>45530</v>
      </c>
      <c r="F3749" s="95" t="str">
        <f t="shared" si="297"/>
        <v>2024 08</v>
      </c>
      <c r="G3749" s="96" t="s">
        <v>5</v>
      </c>
      <c r="H3749" s="161" t="s">
        <v>2206</v>
      </c>
      <c r="I3749" s="97" t="s">
        <v>2207</v>
      </c>
      <c r="J3749" s="97" t="s">
        <v>2208</v>
      </c>
      <c r="K3749" s="29">
        <v>33.24</v>
      </c>
      <c r="L3749" s="29">
        <v>-6.65</v>
      </c>
      <c r="M3749" s="30">
        <f>IFERROR(VLOOKUP($A3749,HeadJournal!$A$1:$J$890,COLUMN(HeadJournal!I$1),0)*($K3749+$L3749)/(SUMIF($A:$A,$A3749,$K:$K)+SUMIF($A:$A,$A3749,$L:$L)),0)</f>
        <v>-2.1599471076220711</v>
      </c>
      <c r="N3749" s="30">
        <f>IFERROR((VLOOKUP($A3749,HeadJournal!$A$1:$K$890,COLUMN(HeadJournal!K$1),0)-VLOOKUP($A3749,HeadJournal!$A$1:$K$890,COLUMN(HeadJournal!J$1),0))*($K3749+$L3749)/(SUMIF($A:$A,$A3749,$K:$K)+SUMIF($A:$A,$A3749,$L:$L)),0)</f>
        <v>8.4152692361721819E-15</v>
      </c>
      <c r="O3749" s="30">
        <f>IFERROR((VLOOKUP($A3749,HeadJournal!$A$1:$L$890,COLUMN(HeadJournal!L$1),0)*($K3749+$L3749)/(SUMIF($A:$A,$A3749,$K:$K)+SUMIF($A:$A,$A3749,$L:$L)))/VLOOKUP($A3749,HeadJournal!$A$1:$L$890,COLUMN(HeadJournal!H$1),0),0)</f>
        <v>1.5286681558574755</v>
      </c>
      <c r="P3749" s="30">
        <f>IFERROR(SUM(K3749:O3749)*VLOOKUP($A3749,HeadJournal!$A$1:$L$890,COLUMN(HeadJournal!H$1),0),0)</f>
        <v>2633.7892671157897</v>
      </c>
      <c r="Q3749" s="29">
        <v>3200</v>
      </c>
      <c r="R3749" s="31">
        <v>45565</v>
      </c>
      <c r="S3749" s="31" t="s">
        <v>3121</v>
      </c>
      <c r="T3749" s="95" t="str">
        <f t="shared" si="298"/>
        <v>2024 09</v>
      </c>
      <c r="U3749" s="32">
        <f t="shared" si="295"/>
        <v>566.2107328842103</v>
      </c>
      <c r="V3749" s="22">
        <f t="shared" si="296"/>
        <v>0.21497951258046413</v>
      </c>
      <c r="X3749" s="33"/>
      <c r="Y3749" s="33"/>
    </row>
    <row r="3750" spans="1:25" x14ac:dyDescent="0.2">
      <c r="A3750" s="93" t="s">
        <v>1982</v>
      </c>
      <c r="B3750" s="94" t="str">
        <f>IFERROR(VLOOKUP($A3750,HeadJournal!$A$1:$NTR$890,COLUMN(HeadJournal!B$1),0),"")</f>
        <v>720000342714</v>
      </c>
      <c r="C3750" s="94" t="str">
        <f>IFERROR(VLOOKUP($A3750,HeadJournal!$A$1:$NTR$890,COLUMN(HeadJournal!C$1),0),"")</f>
        <v>iHerb_AV CYG0792</v>
      </c>
      <c r="D3750" s="125" t="str">
        <f>IFERROR(VLOOKUP($A3750,HeadJournal!$A$1:$NTR$890,COLUMN(HeadJournal!D$1),0),"")</f>
        <v>Доставлен</v>
      </c>
      <c r="E3750" s="95">
        <f>IFERROR(VLOOKUP($A3750,HeadJournal!$A$1:$NTR$890,COLUMN(HeadJournal!G$1),0),"")</f>
        <v>45530</v>
      </c>
      <c r="F3750" s="95" t="str">
        <f t="shared" si="297"/>
        <v>2024 08</v>
      </c>
      <c r="G3750" s="96" t="s">
        <v>5</v>
      </c>
      <c r="H3750" s="161" t="s">
        <v>2176</v>
      </c>
      <c r="I3750" s="97" t="s">
        <v>2005</v>
      </c>
      <c r="J3750" s="97" t="s">
        <v>2177</v>
      </c>
      <c r="K3750" s="29">
        <v>15.2</v>
      </c>
      <c r="L3750" s="29">
        <v>-3.04</v>
      </c>
      <c r="M3750" s="30">
        <f>IFERROR(VLOOKUP($A3750,HeadJournal!$A$1:$J$890,COLUMN(HeadJournal!I$1),0)*($K3750+$L3750)/(SUMIF($A:$A,$A3750,$K:$K)+SUMIF($A:$A,$A3750,$L:$L)),0)</f>
        <v>-0.9877757363175772</v>
      </c>
      <c r="N3750" s="30">
        <f>IFERROR((VLOOKUP($A3750,HeadJournal!$A$1:$K$890,COLUMN(HeadJournal!K$1),0)-VLOOKUP($A3750,HeadJournal!$A$1:$K$890,COLUMN(HeadJournal!J$1),0))*($K3750+$L3750)/(SUMIF($A:$A,$A3750,$K:$K)+SUMIF($A:$A,$A3750,$L:$L)),0)</f>
        <v>3.8484269993175523E-15</v>
      </c>
      <c r="O3750" s="30">
        <f>IFERROR((VLOOKUP($A3750,HeadJournal!$A$1:$L$890,COLUMN(HeadJournal!L$1),0)*($K3750+$L3750)/(SUMIF($A:$A,$A3750,$K:$K)+SUMIF($A:$A,$A3750,$L:$L)))/VLOOKUP($A3750,HeadJournal!$A$1:$L$890,COLUMN(HeadJournal!H$1),0),0)</f>
        <v>0.69908254137746895</v>
      </c>
      <c r="P3750" s="30">
        <f>IFERROR(SUM(K3750:O3750)*VLOOKUP($A3750,HeadJournal!$A$1:$L$890,COLUMN(HeadJournal!H$1),0),0)</f>
        <v>1204.4707592376083</v>
      </c>
      <c r="Q3750" s="29">
        <v>2200</v>
      </c>
      <c r="R3750" s="31">
        <v>45622</v>
      </c>
      <c r="S3750" s="31" t="s">
        <v>3121</v>
      </c>
      <c r="T3750" s="95" t="str">
        <f t="shared" si="298"/>
        <v>2024 11</v>
      </c>
      <c r="U3750" s="32">
        <f t="shared" si="295"/>
        <v>995.52924076239174</v>
      </c>
      <c r="V3750" s="22">
        <f t="shared" si="296"/>
        <v>0.8265283595531453</v>
      </c>
      <c r="X3750" s="33"/>
      <c r="Y3750" s="33"/>
    </row>
    <row r="3751" spans="1:25" x14ac:dyDescent="0.2">
      <c r="A3751" s="93" t="s">
        <v>1982</v>
      </c>
      <c r="B3751" s="94" t="str">
        <f>IFERROR(VLOOKUP($A3751,HeadJournal!$A$1:$NTR$890,COLUMN(HeadJournal!B$1),0),"")</f>
        <v>720000342714</v>
      </c>
      <c r="C3751" s="94" t="str">
        <f>IFERROR(VLOOKUP($A3751,HeadJournal!$A$1:$NTR$890,COLUMN(HeadJournal!C$1),0),"")</f>
        <v>iHerb_AV CYG0792</v>
      </c>
      <c r="D3751" s="125" t="str">
        <f>IFERROR(VLOOKUP($A3751,HeadJournal!$A$1:$NTR$890,COLUMN(HeadJournal!D$1),0),"")</f>
        <v>Доставлен</v>
      </c>
      <c r="E3751" s="95">
        <f>IFERROR(VLOOKUP($A3751,HeadJournal!$A$1:$NTR$890,COLUMN(HeadJournal!G$1),0),"")</f>
        <v>45530</v>
      </c>
      <c r="F3751" s="95" t="str">
        <f t="shared" si="297"/>
        <v>2024 08</v>
      </c>
      <c r="G3751" s="96" t="s">
        <v>5</v>
      </c>
      <c r="H3751" s="161" t="s">
        <v>2174</v>
      </c>
      <c r="I3751" s="97" t="s">
        <v>2005</v>
      </c>
      <c r="J3751" s="97" t="s">
        <v>2175</v>
      </c>
      <c r="K3751" s="29">
        <v>6.17</v>
      </c>
      <c r="L3751" s="29">
        <v>-1.23</v>
      </c>
      <c r="M3751" s="30">
        <f>IFERROR(VLOOKUP($A3751,HeadJournal!$A$1:$J$890,COLUMN(HeadJournal!I$1),0)*($K3751+$L3751)/(SUMIF($A:$A,$A3751,$K:$K)+SUMIF($A:$A,$A3751,$L:$L)),0)</f>
        <v>-0.40128389287901567</v>
      </c>
      <c r="N3751" s="30">
        <f>IFERROR((VLOOKUP($A3751,HeadJournal!$A$1:$K$890,COLUMN(HeadJournal!K$1),0)-VLOOKUP($A3751,HeadJournal!$A$1:$K$890,COLUMN(HeadJournal!J$1),0))*($K3751+$L3751)/(SUMIF($A:$A,$A3751,$K:$K)+SUMIF($A:$A,$A3751,$L:$L)),0)</f>
        <v>1.5634234684727557E-15</v>
      </c>
      <c r="O3751" s="30">
        <f>IFERROR((VLOOKUP($A3751,HeadJournal!$A$1:$L$890,COLUMN(HeadJournal!L$1),0)*($K3751+$L3751)/(SUMIF($A:$A,$A3751,$K:$K)+SUMIF($A:$A,$A3751,$L:$L)))/VLOOKUP($A3751,HeadJournal!$A$1:$L$890,COLUMN(HeadJournal!H$1),0),0)</f>
        <v>0.28400228243459674</v>
      </c>
      <c r="P3751" s="30">
        <f>IFERROR(SUM(K3751:O3751)*VLOOKUP($A3751,HeadJournal!$A$1:$L$890,COLUMN(HeadJournal!H$1),0),0)</f>
        <v>489.31624594027835</v>
      </c>
      <c r="Q3751" s="29">
        <v>1000</v>
      </c>
      <c r="R3751" s="31">
        <v>45818</v>
      </c>
      <c r="S3751" s="31" t="s">
        <v>3121</v>
      </c>
      <c r="T3751" s="95" t="str">
        <f t="shared" si="298"/>
        <v>2025 06</v>
      </c>
      <c r="U3751" s="32">
        <f t="shared" si="295"/>
        <v>510.68375405972165</v>
      </c>
      <c r="V3751" s="22">
        <f t="shared" si="296"/>
        <v>1.0436680946049177</v>
      </c>
      <c r="X3751" s="33"/>
      <c r="Y3751" s="33"/>
    </row>
    <row r="3752" spans="1:25" x14ac:dyDescent="0.2">
      <c r="A3752" s="93" t="s">
        <v>1982</v>
      </c>
      <c r="B3752" s="94" t="str">
        <f>IFERROR(VLOOKUP($A3752,HeadJournal!$A$1:$NTR$890,COLUMN(HeadJournal!B$1),0),"")</f>
        <v>720000342714</v>
      </c>
      <c r="C3752" s="94" t="str">
        <f>IFERROR(VLOOKUP($A3752,HeadJournal!$A$1:$NTR$890,COLUMN(HeadJournal!C$1),0),"")</f>
        <v>iHerb_AV CYG0792</v>
      </c>
      <c r="D3752" s="125" t="str">
        <f>IFERROR(VLOOKUP($A3752,HeadJournal!$A$1:$NTR$890,COLUMN(HeadJournal!D$1),0),"")</f>
        <v>Доставлен</v>
      </c>
      <c r="E3752" s="95">
        <f>IFERROR(VLOOKUP($A3752,HeadJournal!$A$1:$NTR$890,COLUMN(HeadJournal!G$1),0),"")</f>
        <v>45530</v>
      </c>
      <c r="F3752" s="95" t="str">
        <f t="shared" si="297"/>
        <v>2024 08</v>
      </c>
      <c r="G3752" s="96" t="s">
        <v>5</v>
      </c>
      <c r="H3752" s="161" t="s">
        <v>2790</v>
      </c>
      <c r="I3752" s="97" t="s">
        <v>2666</v>
      </c>
      <c r="J3752" s="97" t="s">
        <v>4139</v>
      </c>
      <c r="K3752" s="29">
        <v>9.16</v>
      </c>
      <c r="L3752" s="29">
        <v>-1.83</v>
      </c>
      <c r="M3752" s="30">
        <f>IFERROR(VLOOKUP($A3752,HeadJournal!$A$1:$J$890,COLUMN(HeadJournal!I$1),0)*($K3752+$L3752)/(SUMIF($A:$A,$A3752,$K:$K)+SUMIF($A:$A,$A3752,$L:$L)),0)</f>
        <v>-0.59542731473748689</v>
      </c>
      <c r="N3752" s="30">
        <f>IFERROR((VLOOKUP($A3752,HeadJournal!$A$1:$K$890,COLUMN(HeadJournal!K$1),0)-VLOOKUP($A3752,HeadJournal!$A$1:$K$890,COLUMN(HeadJournal!J$1),0))*($K3752+$L3752)/(SUMIF($A:$A,$A3752,$K:$K)+SUMIF($A:$A,$A3752,$L:$L)),0)</f>
        <v>2.3198166040294129E-15</v>
      </c>
      <c r="O3752" s="30">
        <f>IFERROR((VLOOKUP($A3752,HeadJournal!$A$1:$L$890,COLUMN(HeadJournal!L$1),0)*($K3752+$L3752)/(SUMIF($A:$A,$A3752,$K:$K)+SUMIF($A:$A,$A3752,$L:$L)))/VLOOKUP($A3752,HeadJournal!$A$1:$L$890,COLUMN(HeadJournal!H$1),0),0)</f>
        <v>0.42140419640599075</v>
      </c>
      <c r="P3752" s="30">
        <f>IFERROR(SUM(K3752:O3752)*VLOOKUP($A3752,HeadJournal!$A$1:$L$890,COLUMN(HeadJournal!H$1),0),0)</f>
        <v>726.05021917859119</v>
      </c>
      <c r="Q3752" s="29">
        <v>1800</v>
      </c>
      <c r="R3752" s="31">
        <v>45637</v>
      </c>
      <c r="S3752" s="31" t="s">
        <v>3121</v>
      </c>
      <c r="T3752" s="95" t="str">
        <f t="shared" si="298"/>
        <v>2024 12</v>
      </c>
      <c r="U3752" s="32">
        <f t="shared" si="295"/>
        <v>1073.9497808214087</v>
      </c>
      <c r="V3752" s="22">
        <f t="shared" si="296"/>
        <v>1.4791673529641101</v>
      </c>
      <c r="X3752" s="33"/>
      <c r="Y3752" s="33"/>
    </row>
    <row r="3753" spans="1:25" x14ac:dyDescent="0.2">
      <c r="A3753" s="93" t="s">
        <v>1982</v>
      </c>
      <c r="B3753" s="94" t="str">
        <f>IFERROR(VLOOKUP($A3753,HeadJournal!$A$1:$NTR$890,COLUMN(HeadJournal!B$1),0),"")</f>
        <v>720000342714</v>
      </c>
      <c r="C3753" s="94" t="str">
        <f>IFERROR(VLOOKUP($A3753,HeadJournal!$A$1:$NTR$890,COLUMN(HeadJournal!C$1),0),"")</f>
        <v>iHerb_AV CYG0792</v>
      </c>
      <c r="D3753" s="125" t="str">
        <f>IFERROR(VLOOKUP($A3753,HeadJournal!$A$1:$NTR$890,COLUMN(HeadJournal!D$1),0),"")</f>
        <v>Доставлен</v>
      </c>
      <c r="E3753" s="95">
        <f>IFERROR(VLOOKUP($A3753,HeadJournal!$A$1:$NTR$890,COLUMN(HeadJournal!G$1),0),"")</f>
        <v>45530</v>
      </c>
      <c r="F3753" s="95" t="str">
        <f t="shared" si="297"/>
        <v>2024 08</v>
      </c>
      <c r="G3753" s="96" t="s">
        <v>5</v>
      </c>
      <c r="H3753" s="161" t="s">
        <v>2424</v>
      </c>
      <c r="I3753" s="97" t="s">
        <v>2005</v>
      </c>
      <c r="J3753" s="97" t="s">
        <v>2425</v>
      </c>
      <c r="K3753" s="29">
        <v>45.64</v>
      </c>
      <c r="L3753" s="29">
        <v>-9.1300000000000008</v>
      </c>
      <c r="M3753" s="30">
        <f>IFERROR(VLOOKUP($A3753,HeadJournal!$A$1:$J$890,COLUMN(HeadJournal!I$1),0)*($K3753+$L3753)/(SUMIF($A:$A,$A3753,$K:$K)+SUMIF($A:$A,$A3753,$L:$L)),0)</f>
        <v>-2.96576415567062</v>
      </c>
      <c r="N3753" s="30">
        <f>IFERROR((VLOOKUP($A3753,HeadJournal!$A$1:$K$890,COLUMN(HeadJournal!K$1),0)-VLOOKUP($A3753,HeadJournal!$A$1:$K$890,COLUMN(HeadJournal!J$1),0))*($K3753+$L3753)/(SUMIF($A:$A,$A3753,$K:$K)+SUMIF($A:$A,$A3753,$L:$L)),0)</f>
        <v>1.1554775472457553E-14</v>
      </c>
      <c r="O3753" s="30">
        <f>IFERROR((VLOOKUP($A3753,HeadJournal!$A$1:$L$890,COLUMN(HeadJournal!L$1),0)*($K3753+$L3753)/(SUMIF($A:$A,$A3753,$K:$K)+SUMIF($A:$A,$A3753,$L:$L)))/VLOOKUP($A3753,HeadJournal!$A$1:$L$890,COLUMN(HeadJournal!H$1),0),0)</f>
        <v>2.0989723343496207</v>
      </c>
      <c r="P3753" s="30">
        <f>IFERROR(SUM(K3753:O3753)*VLOOKUP($A3753,HeadJournal!$A$1:$L$890,COLUMN(HeadJournal!H$1),0),0)</f>
        <v>3616.3838338622595</v>
      </c>
      <c r="Q3753" s="29">
        <v>5100</v>
      </c>
      <c r="R3753" s="31">
        <v>45566</v>
      </c>
      <c r="S3753" s="31" t="s">
        <v>3121</v>
      </c>
      <c r="T3753" s="95" t="str">
        <f t="shared" si="298"/>
        <v>2024 10</v>
      </c>
      <c r="U3753" s="32">
        <f t="shared" si="295"/>
        <v>1483.6161661377405</v>
      </c>
      <c r="V3753" s="22">
        <f t="shared" si="296"/>
        <v>0.41024853397634348</v>
      </c>
      <c r="X3753" s="33"/>
      <c r="Y3753" s="33"/>
    </row>
    <row r="3754" spans="1:25" x14ac:dyDescent="0.2">
      <c r="A3754" s="93" t="s">
        <v>1982</v>
      </c>
      <c r="B3754" s="94" t="str">
        <f>IFERROR(VLOOKUP($A3754,HeadJournal!$A$1:$NTR$890,COLUMN(HeadJournal!B$1),0),"")</f>
        <v>720000342714</v>
      </c>
      <c r="C3754" s="94" t="str">
        <f>IFERROR(VLOOKUP($A3754,HeadJournal!$A$1:$NTR$890,COLUMN(HeadJournal!C$1),0),"")</f>
        <v>iHerb_AV CYG0792</v>
      </c>
      <c r="D3754" s="125" t="str">
        <f>IFERROR(VLOOKUP($A3754,HeadJournal!$A$1:$NTR$890,COLUMN(HeadJournal!D$1),0),"")</f>
        <v>Доставлен</v>
      </c>
      <c r="E3754" s="95">
        <f>IFERROR(VLOOKUP($A3754,HeadJournal!$A$1:$NTR$890,COLUMN(HeadJournal!G$1),0),"")</f>
        <v>45530</v>
      </c>
      <c r="F3754" s="95" t="str">
        <f t="shared" si="297"/>
        <v>2024 08</v>
      </c>
      <c r="G3754" s="96" t="s">
        <v>5</v>
      </c>
      <c r="H3754" s="160" t="str">
        <f>RIGHT(Journal!$J3754,9)</f>
        <v>SMS-55697</v>
      </c>
      <c r="I3754" s="127" t="str">
        <f t="shared" si="294"/>
        <v>The Smurfs</v>
      </c>
      <c r="J3754" s="97" t="s">
        <v>602</v>
      </c>
      <c r="K3754" s="29">
        <v>12.6</v>
      </c>
      <c r="L3754" s="29">
        <v>-2.52</v>
      </c>
      <c r="M3754" s="30">
        <f>IFERROR(VLOOKUP($A3754,HeadJournal!$A$1:$J$890,COLUMN(HeadJournal!I$1),0)*($K3754+$L3754)/(SUMIF($A:$A,$A3754,$K:$K)+SUMIF($A:$A,$A3754,$L:$L)),0)</f>
        <v>-0.81881409721062315</v>
      </c>
      <c r="N3754" s="30">
        <f>IFERROR((VLOOKUP($A3754,HeadJournal!$A$1:$K$890,COLUMN(HeadJournal!K$1),0)-VLOOKUP($A3754,HeadJournal!$A$1:$K$890,COLUMN(HeadJournal!J$1),0))*($K3754+$L3754)/(SUMIF($A:$A,$A3754,$K:$K)+SUMIF($A:$A,$A3754,$L:$L)),0)</f>
        <v>3.1901434336448135E-15</v>
      </c>
      <c r="O3754" s="30">
        <f>IFERROR((VLOOKUP($A3754,HeadJournal!$A$1:$L$890,COLUMN(HeadJournal!L$1),0)*($K3754+$L3754)/(SUMIF($A:$A,$A3754,$K:$K)+SUMIF($A:$A,$A3754,$L:$L)))/VLOOKUP($A3754,HeadJournal!$A$1:$L$890,COLUMN(HeadJournal!H$1),0),0)</f>
        <v>0.57950263298395455</v>
      </c>
      <c r="P3754" s="30">
        <f>IFERROR(SUM(K3754:O3754)*VLOOKUP($A3754,HeadJournal!$A$1:$L$890,COLUMN(HeadJournal!H$1),0),0)</f>
        <v>998.4428662101227</v>
      </c>
      <c r="Q3754" s="29">
        <v>1800</v>
      </c>
      <c r="R3754" s="31">
        <v>45782</v>
      </c>
      <c r="S3754" s="31" t="s">
        <v>3121</v>
      </c>
      <c r="T3754" s="95" t="str">
        <f t="shared" si="298"/>
        <v>2025 05</v>
      </c>
      <c r="U3754" s="32">
        <f t="shared" si="295"/>
        <v>801.5571337898773</v>
      </c>
      <c r="V3754" s="22">
        <f t="shared" si="296"/>
        <v>0.80280721202648087</v>
      </c>
      <c r="X3754" s="33"/>
      <c r="Y3754" s="33"/>
    </row>
    <row r="3755" spans="1:25" x14ac:dyDescent="0.2">
      <c r="A3755" s="93" t="s">
        <v>1982</v>
      </c>
      <c r="B3755" s="94" t="str">
        <f>IFERROR(VLOOKUP($A3755,HeadJournal!$A$1:$NTR$890,COLUMN(HeadJournal!B$1),0),"")</f>
        <v>720000342714</v>
      </c>
      <c r="C3755" s="94" t="str">
        <f>IFERROR(VLOOKUP($A3755,HeadJournal!$A$1:$NTR$890,COLUMN(HeadJournal!C$1),0),"")</f>
        <v>iHerb_AV CYG0792</v>
      </c>
      <c r="D3755" s="125" t="str">
        <f>IFERROR(VLOOKUP($A3755,HeadJournal!$A$1:$NTR$890,COLUMN(HeadJournal!D$1),0),"")</f>
        <v>Доставлен</v>
      </c>
      <c r="E3755" s="95">
        <f>IFERROR(VLOOKUP($A3755,HeadJournal!$A$1:$NTR$890,COLUMN(HeadJournal!G$1),0),"")</f>
        <v>45530</v>
      </c>
      <c r="F3755" s="95" t="str">
        <f t="shared" si="297"/>
        <v>2024 08</v>
      </c>
      <c r="G3755" s="96" t="s">
        <v>5</v>
      </c>
      <c r="H3755" s="161" t="s">
        <v>4016</v>
      </c>
      <c r="I3755" s="97" t="s">
        <v>2207</v>
      </c>
      <c r="J3755" s="97" t="s">
        <v>4017</v>
      </c>
      <c r="K3755" s="29">
        <v>49.91</v>
      </c>
      <c r="L3755" s="29">
        <v>-9.98</v>
      </c>
      <c r="M3755" s="30">
        <f>IFERROR(VLOOKUP($A3755,HeadJournal!$A$1:$J$890,COLUMN(HeadJournal!I$1),0)*($K3755+$L3755)/(SUMIF($A:$A,$A3755,$K:$K)+SUMIF($A:$A,$A3755,$L:$L)),0)</f>
        <v>-3.2435760815099384</v>
      </c>
      <c r="N3755" s="30">
        <f>IFERROR((VLOOKUP($A3755,HeadJournal!$A$1:$K$890,COLUMN(HeadJournal!K$1),0)-VLOOKUP($A3755,HeadJournal!$A$1:$K$890,COLUMN(HeadJournal!J$1),0))*($K3755+$L3755)/(SUMIF($A:$A,$A3755,$K:$K)+SUMIF($A:$A,$A3755,$L:$L)),0)</f>
        <v>1.2637145566015612E-14</v>
      </c>
      <c r="O3755" s="30">
        <f>IFERROR((VLOOKUP($A3755,HeadJournal!$A$1:$L$890,COLUMN(HeadJournal!L$1),0)*($K3755+$L3755)/(SUMIF($A:$A,$A3755,$K:$K)+SUMIF($A:$A,$A3755,$L:$L)))/VLOOKUP($A3755,HeadJournal!$A$1:$L$890,COLUMN(HeadJournal!H$1),0),0)</f>
        <v>2.2955892991120339</v>
      </c>
      <c r="P3755" s="30">
        <f>IFERROR(SUM(K3755:O3755)*VLOOKUP($A3755,HeadJournal!$A$1:$L$890,COLUMN(HeadJournal!H$1),0),0)</f>
        <v>3955.1412348978361</v>
      </c>
      <c r="Q3755" s="29">
        <v>3955.14</v>
      </c>
      <c r="R3755" s="31">
        <v>45531</v>
      </c>
      <c r="S3755" s="31" t="s">
        <v>3121</v>
      </c>
      <c r="T3755" s="95" t="str">
        <f t="shared" si="298"/>
        <v>2024 08</v>
      </c>
      <c r="U3755" s="32">
        <f t="shared" si="295"/>
        <v>-1.2348978361842455E-3</v>
      </c>
      <c r="V3755" s="22">
        <f t="shared" si="296"/>
        <v>-3.1222597698616541E-7</v>
      </c>
      <c r="X3755" s="33"/>
      <c r="Y3755" s="33"/>
    </row>
    <row r="3756" spans="1:25" x14ac:dyDescent="0.2">
      <c r="A3756" s="93" t="s">
        <v>1982</v>
      </c>
      <c r="B3756" s="94" t="str">
        <f>IFERROR(VLOOKUP($A3756,HeadJournal!$A$1:$NTR$890,COLUMN(HeadJournal!B$1),0),"")</f>
        <v>720000342714</v>
      </c>
      <c r="C3756" s="94" t="str">
        <f>IFERROR(VLOOKUP($A3756,HeadJournal!$A$1:$NTR$890,COLUMN(HeadJournal!C$1),0),"")</f>
        <v>iHerb_AV CYG0792</v>
      </c>
      <c r="D3756" s="125" t="str">
        <f>IFERROR(VLOOKUP($A3756,HeadJournal!$A$1:$NTR$890,COLUMN(HeadJournal!D$1),0),"")</f>
        <v>Доставлен</v>
      </c>
      <c r="E3756" s="95">
        <f>IFERROR(VLOOKUP($A3756,HeadJournal!$A$1:$NTR$890,COLUMN(HeadJournal!G$1),0),"")</f>
        <v>45530</v>
      </c>
      <c r="F3756" s="95" t="str">
        <f t="shared" si="297"/>
        <v>2024 08</v>
      </c>
      <c r="G3756" s="96" t="s">
        <v>5</v>
      </c>
      <c r="H3756" s="161" t="s">
        <v>2826</v>
      </c>
      <c r="I3756" s="97" t="s">
        <v>2207</v>
      </c>
      <c r="J3756" s="97" t="s">
        <v>2827</v>
      </c>
      <c r="K3756" s="29">
        <v>9.26</v>
      </c>
      <c r="L3756" s="29">
        <v>-1.85</v>
      </c>
      <c r="M3756" s="30">
        <f>IFERROR(VLOOKUP($A3756,HeadJournal!$A$1:$J$890,COLUMN(HeadJournal!I$1),0)*($K3756+$L3756)/(SUMIF($A:$A,$A3756,$K:$K)+SUMIF($A:$A,$A3756,$L:$L)),0)</f>
        <v>-0.60192583931852361</v>
      </c>
      <c r="N3756" s="30">
        <f>IFERROR((VLOOKUP($A3756,HeadJournal!$A$1:$K$890,COLUMN(HeadJournal!K$1),0)-VLOOKUP($A3756,HeadJournal!$A$1:$K$890,COLUMN(HeadJournal!J$1),0))*($K3756+$L3756)/(SUMIF($A:$A,$A3756,$K:$K)+SUMIF($A:$A,$A3756,$L:$L)),0)</f>
        <v>2.3451352027091335E-15</v>
      </c>
      <c r="O3756" s="30">
        <f>IFERROR((VLOOKUP($A3756,HeadJournal!$A$1:$L$890,COLUMN(HeadJournal!L$1),0)*($K3756+$L3756)/(SUMIF($A:$A,$A3756,$K:$K)+SUMIF($A:$A,$A3756,$L:$L)))/VLOOKUP($A3756,HeadJournal!$A$1:$L$890,COLUMN(HeadJournal!H$1),0),0)</f>
        <v>0.42600342365189514</v>
      </c>
      <c r="P3756" s="30">
        <f>IFERROR(SUM(K3756:O3756)*VLOOKUP($A3756,HeadJournal!$A$1:$L$890,COLUMN(HeadJournal!H$1),0),0)</f>
        <v>733.97436891041752</v>
      </c>
      <c r="Q3756" s="29">
        <v>1400</v>
      </c>
      <c r="R3756" s="31">
        <v>45565</v>
      </c>
      <c r="S3756" s="31" t="s">
        <v>3121</v>
      </c>
      <c r="T3756" s="95" t="str">
        <f t="shared" si="298"/>
        <v>2024 09</v>
      </c>
      <c r="U3756" s="32">
        <f t="shared" si="295"/>
        <v>666.02563108958248</v>
      </c>
      <c r="V3756" s="22">
        <f t="shared" si="296"/>
        <v>0.90742355496458993</v>
      </c>
      <c r="X3756" s="33"/>
      <c r="Y3756" s="33"/>
    </row>
    <row r="3757" spans="1:25" x14ac:dyDescent="0.2">
      <c r="A3757" s="93" t="s">
        <v>1982</v>
      </c>
      <c r="B3757" s="94" t="str">
        <f>IFERROR(VLOOKUP($A3757,HeadJournal!$A$1:$NTR$890,COLUMN(HeadJournal!B$1),0),"")</f>
        <v>720000342714</v>
      </c>
      <c r="C3757" s="94" t="str">
        <f>IFERROR(VLOOKUP($A3757,HeadJournal!$A$1:$NTR$890,COLUMN(HeadJournal!C$1),0),"")</f>
        <v>iHerb_AV CYG0792</v>
      </c>
      <c r="D3757" s="125" t="str">
        <f>IFERROR(VLOOKUP($A3757,HeadJournal!$A$1:$NTR$890,COLUMN(HeadJournal!D$1),0),"")</f>
        <v>Доставлен</v>
      </c>
      <c r="E3757" s="95">
        <f>IFERROR(VLOOKUP($A3757,HeadJournal!$A$1:$NTR$890,COLUMN(HeadJournal!G$1),0),"")</f>
        <v>45530</v>
      </c>
      <c r="F3757" s="95" t="str">
        <f t="shared" si="297"/>
        <v>2024 08</v>
      </c>
      <c r="G3757" s="96" t="s">
        <v>5</v>
      </c>
      <c r="H3757" s="160" t="str">
        <f>RIGHT(Journal!$J3757,9)</f>
        <v>MBL-10101</v>
      </c>
      <c r="I3757" s="127" t="str">
        <f t="shared" si="294"/>
        <v>Montebello</v>
      </c>
      <c r="J3757" s="97" t="s">
        <v>1985</v>
      </c>
      <c r="K3757" s="29">
        <v>8.1</v>
      </c>
      <c r="L3757" s="29">
        <v>-5.86</v>
      </c>
      <c r="M3757" s="30">
        <f>IFERROR(VLOOKUP($A3757,HeadJournal!$A$1:$J$890,COLUMN(HeadJournal!I$1),0)*($K3757+$L3757)/(SUMIF($A:$A,$A3757,$K:$K)+SUMIF($A:$A,$A3757,$L:$L)),0)</f>
        <v>-0.18195868826902731</v>
      </c>
      <c r="N3757" s="30">
        <f>IFERROR((VLOOKUP($A3757,HeadJournal!$A$1:$K$890,COLUMN(HeadJournal!K$1),0)-VLOOKUP($A3757,HeadJournal!$A$1:$K$890,COLUMN(HeadJournal!J$1),0))*($K3757+$L3757)/(SUMIF($A:$A,$A3757,$K:$K)+SUMIF($A:$A,$A3757,$L:$L)),0)</f>
        <v>7.0892076303218051E-16</v>
      </c>
      <c r="O3757" s="30">
        <f>IFERROR((VLOOKUP($A3757,HeadJournal!$A$1:$L$890,COLUMN(HeadJournal!L$1),0)*($K3757+$L3757)/(SUMIF($A:$A,$A3757,$K:$K)+SUMIF($A:$A,$A3757,$L:$L)))/VLOOKUP($A3757,HeadJournal!$A$1:$L$890,COLUMN(HeadJournal!H$1),0),0)</f>
        <v>0.12877836288532318</v>
      </c>
      <c r="P3757" s="30">
        <f>IFERROR(SUM(K3757:O3757)*VLOOKUP($A3757,HeadJournal!$A$1:$L$890,COLUMN(HeadJournal!H$1),0),0)</f>
        <v>221.87619249113828</v>
      </c>
      <c r="Q3757" s="29"/>
      <c r="R3757" s="31"/>
      <c r="S3757" s="31"/>
      <c r="T3757" s="95" t="str">
        <f t="shared" si="298"/>
        <v/>
      </c>
      <c r="U3757" s="32">
        <f t="shared" si="295"/>
        <v>-221.87619249113828</v>
      </c>
      <c r="V3757" s="22" t="str">
        <f t="shared" si="296"/>
        <v/>
      </c>
      <c r="X3757" s="33"/>
      <c r="Y3757" s="33"/>
    </row>
    <row r="3758" spans="1:25" x14ac:dyDescent="0.2">
      <c r="A3758" s="93" t="s">
        <v>1986</v>
      </c>
      <c r="B3758" s="94" t="str">
        <f>IFERROR(VLOOKUP($A3758,HeadJournal!$A$1:$NTR$890,COLUMN(HeadJournal!B$1),0),"")</f>
        <v>720000349789</v>
      </c>
      <c r="C3758" s="94" t="str">
        <f>IFERROR(VLOOKUP($A3758,HeadJournal!$A$1:$NTR$890,COLUMN(HeadJournal!C$1),0),"")</f>
        <v>iHerb_AV CYG0792</v>
      </c>
      <c r="D3758" s="125" t="str">
        <f>IFERROR(VLOOKUP($A3758,HeadJournal!$A$1:$NTR$890,COLUMN(HeadJournal!D$1),0),"")</f>
        <v>Доставлен</v>
      </c>
      <c r="E3758" s="95">
        <f>IFERROR(VLOOKUP($A3758,HeadJournal!$A$1:$NTR$890,COLUMN(HeadJournal!G$1),0),"")</f>
        <v>45534</v>
      </c>
      <c r="F3758" s="95" t="str">
        <f t="shared" si="297"/>
        <v>2024 08</v>
      </c>
      <c r="G3758" s="96" t="s">
        <v>5</v>
      </c>
      <c r="H3758" s="160" t="str">
        <f>RIGHT(Journal!$J3758,9)</f>
        <v>CLF-06237</v>
      </c>
      <c r="I3758" s="96" t="str">
        <f t="shared" si="294"/>
        <v>Country Life</v>
      </c>
      <c r="J3758" s="97" t="s">
        <v>1988</v>
      </c>
      <c r="K3758" s="29">
        <v>17.62</v>
      </c>
      <c r="L3758" s="29">
        <v>-4.93</v>
      </c>
      <c r="M3758" s="30">
        <f>IFERROR(VLOOKUP($A3758,HeadJournal!$A$1:$J$890,COLUMN(HeadJournal!I$1),0)*($K3758+$L3758)/(SUMIF($A:$A,$A3758,$K:$K)+SUMIF($A:$A,$A3758,$L:$L)),0)</f>
        <v>0</v>
      </c>
      <c r="N3758" s="30">
        <f>IFERROR((VLOOKUP($A3758,HeadJournal!$A$1:$K$890,COLUMN(HeadJournal!K$1),0)-VLOOKUP($A3758,HeadJournal!$A$1:$K$890,COLUMN(HeadJournal!J$1),0))*($K3758+$L3758)/(SUMIF($A:$A,$A3758,$K:$K)+SUMIF($A:$A,$A3758,$L:$L)),0)</f>
        <v>0</v>
      </c>
      <c r="O3758" s="30">
        <f>IFERROR((VLOOKUP($A3758,HeadJournal!$A$1:$L$890,COLUMN(HeadJournal!L$1),0)*($K3758+$L3758)/(SUMIF($A:$A,$A3758,$K:$K)+SUMIF($A:$A,$A3758,$L:$L)))/VLOOKUP($A3758,HeadJournal!$A$1:$L$890,COLUMN(HeadJournal!H$1),0),0)</f>
        <v>0.54337302324656289</v>
      </c>
      <c r="P3758" s="30">
        <f>IFERROR(SUM(K3758:O3758)*VLOOKUP($A3758,HeadJournal!$A$1:$L$890,COLUMN(HeadJournal!H$1),0),0)</f>
        <v>1339.1213238877119</v>
      </c>
      <c r="Q3758" s="29">
        <v>2200</v>
      </c>
      <c r="R3758" s="31">
        <v>45572</v>
      </c>
      <c r="S3758" s="31" t="s">
        <v>3121</v>
      </c>
      <c r="T3758" s="95" t="str">
        <f t="shared" si="298"/>
        <v>2024 10</v>
      </c>
      <c r="U3758" s="32">
        <f t="shared" si="295"/>
        <v>860.87867611228808</v>
      </c>
      <c r="V3758" s="22">
        <f t="shared" si="296"/>
        <v>0.6428683202601847</v>
      </c>
      <c r="X3758" s="33"/>
      <c r="Y3758" s="33"/>
    </row>
    <row r="3759" spans="1:25" x14ac:dyDescent="0.2">
      <c r="A3759" s="93" t="s">
        <v>1986</v>
      </c>
      <c r="B3759" s="94" t="str">
        <f>IFERROR(VLOOKUP($A3759,HeadJournal!$A$1:$NTR$890,COLUMN(HeadJournal!B$1),0),"")</f>
        <v>720000349789</v>
      </c>
      <c r="C3759" s="94" t="str">
        <f>IFERROR(VLOOKUP($A3759,HeadJournal!$A$1:$NTR$890,COLUMN(HeadJournal!C$1),0),"")</f>
        <v>iHerb_AV CYG0792</v>
      </c>
      <c r="D3759" s="125" t="str">
        <f>IFERROR(VLOOKUP($A3759,HeadJournal!$A$1:$NTR$890,COLUMN(HeadJournal!D$1),0),"")</f>
        <v>Доставлен</v>
      </c>
      <c r="E3759" s="95">
        <f>IFERROR(VLOOKUP($A3759,HeadJournal!$A$1:$NTR$890,COLUMN(HeadJournal!G$1),0),"")</f>
        <v>45534</v>
      </c>
      <c r="F3759" s="95" t="str">
        <f t="shared" si="297"/>
        <v>2024 08</v>
      </c>
      <c r="G3759" s="96" t="s">
        <v>5</v>
      </c>
      <c r="H3759" s="160" t="str">
        <f>RIGHT(Journal!$J3759,9)</f>
        <v>NRT-05315</v>
      </c>
      <c r="I3759" s="96" t="str">
        <f t="shared" si="294"/>
        <v>Nature's Bounty</v>
      </c>
      <c r="J3759" s="97" t="s">
        <v>1893</v>
      </c>
      <c r="K3759" s="29">
        <v>28.44</v>
      </c>
      <c r="L3759" s="29">
        <v>-7.9649999999999999</v>
      </c>
      <c r="M3759" s="30">
        <f>IFERROR(VLOOKUP($A3759,HeadJournal!$A$1:$J$890,COLUMN(HeadJournal!I$1),0)*($K3759+$L3759)/(SUMIF($A:$A,$A3759,$K:$K)+SUMIF($A:$A,$A3759,$L:$L)),0)</f>
        <v>0</v>
      </c>
      <c r="N3759" s="30">
        <f>IFERROR((VLOOKUP($A3759,HeadJournal!$A$1:$K$890,COLUMN(HeadJournal!K$1),0)-VLOOKUP($A3759,HeadJournal!$A$1:$K$890,COLUMN(HeadJournal!J$1),0))*($K3759+$L3759)/(SUMIF($A:$A,$A3759,$K:$K)+SUMIF($A:$A,$A3759,$L:$L)),0)</f>
        <v>0</v>
      </c>
      <c r="O3759" s="30">
        <f>IFERROR((VLOOKUP($A3759,HeadJournal!$A$1:$L$890,COLUMN(HeadJournal!L$1),0)*($K3759+$L3759)/(SUMIF($A:$A,$A3759,$K:$K)+SUMIF($A:$A,$A3759,$L:$L)))/VLOOKUP($A3759,HeadJournal!$A$1:$L$890,COLUMN(HeadJournal!H$1),0),0)</f>
        <v>0.87671888502548267</v>
      </c>
      <c r="P3759" s="30">
        <f>IFERROR(SUM(K3759:O3759)*VLOOKUP($A3759,HeadJournal!$A$1:$L$890,COLUMN(HeadJournal!H$1),0),0)</f>
        <v>2160.6390154925848</v>
      </c>
      <c r="Q3759" s="29">
        <v>3200</v>
      </c>
      <c r="R3759" s="31">
        <v>45570</v>
      </c>
      <c r="S3759" s="31" t="s">
        <v>3121</v>
      </c>
      <c r="T3759" s="95" t="str">
        <f t="shared" si="298"/>
        <v>2024 10</v>
      </c>
      <c r="U3759" s="32">
        <f t="shared" si="295"/>
        <v>1039.3609845074152</v>
      </c>
      <c r="V3759" s="22">
        <f t="shared" si="296"/>
        <v>0.48104332887391676</v>
      </c>
      <c r="X3759" s="33"/>
      <c r="Y3759" s="33"/>
    </row>
    <row r="3760" spans="1:25" x14ac:dyDescent="0.2">
      <c r="A3760" s="93" t="s">
        <v>1986</v>
      </c>
      <c r="B3760" s="94" t="str">
        <f>IFERROR(VLOOKUP($A3760,HeadJournal!$A$1:$NTR$890,COLUMN(HeadJournal!B$1),0),"")</f>
        <v>720000349789</v>
      </c>
      <c r="C3760" s="94" t="str">
        <f>IFERROR(VLOOKUP($A3760,HeadJournal!$A$1:$NTR$890,COLUMN(HeadJournal!C$1),0),"")</f>
        <v>iHerb_AV CYG0792</v>
      </c>
      <c r="D3760" s="125" t="str">
        <f>IFERROR(VLOOKUP($A3760,HeadJournal!$A$1:$NTR$890,COLUMN(HeadJournal!D$1),0),"")</f>
        <v>Доставлен</v>
      </c>
      <c r="E3760" s="95">
        <f>IFERROR(VLOOKUP($A3760,HeadJournal!$A$1:$NTR$890,COLUMN(HeadJournal!G$1),0),"")</f>
        <v>45534</v>
      </c>
      <c r="F3760" s="95" t="str">
        <f t="shared" si="297"/>
        <v>2024 08</v>
      </c>
      <c r="G3760" s="96" t="s">
        <v>5</v>
      </c>
      <c r="H3760" s="160" t="str">
        <f>RIGHT(Journal!$J3760,9)</f>
        <v>NRT-05315</v>
      </c>
      <c r="I3760" s="96" t="str">
        <f t="shared" si="294"/>
        <v>Nature's Bounty</v>
      </c>
      <c r="J3760" s="97" t="s">
        <v>1893</v>
      </c>
      <c r="K3760" s="29">
        <v>28.44</v>
      </c>
      <c r="L3760" s="29">
        <v>-7.9649999999999999</v>
      </c>
      <c r="M3760" s="30">
        <f>IFERROR(VLOOKUP($A3760,HeadJournal!$A$1:$J$890,COLUMN(HeadJournal!I$1),0)*($K3760+$L3760)/(SUMIF($A:$A,$A3760,$K:$K)+SUMIF($A:$A,$A3760,$L:$L)),0)</f>
        <v>0</v>
      </c>
      <c r="N3760" s="30">
        <f>IFERROR((VLOOKUP($A3760,HeadJournal!$A$1:$K$890,COLUMN(HeadJournal!K$1),0)-VLOOKUP($A3760,HeadJournal!$A$1:$K$890,COLUMN(HeadJournal!J$1),0))*($K3760+$L3760)/(SUMIF($A:$A,$A3760,$K:$K)+SUMIF($A:$A,$A3760,$L:$L)),0)</f>
        <v>0</v>
      </c>
      <c r="O3760" s="30">
        <f>IFERROR((VLOOKUP($A3760,HeadJournal!$A$1:$L$890,COLUMN(HeadJournal!L$1),0)*($K3760+$L3760)/(SUMIF($A:$A,$A3760,$K:$K)+SUMIF($A:$A,$A3760,$L:$L)))/VLOOKUP($A3760,HeadJournal!$A$1:$L$890,COLUMN(HeadJournal!H$1),0),0)</f>
        <v>0.87671888502548267</v>
      </c>
      <c r="P3760" s="30">
        <f>IFERROR(SUM(K3760:O3760)*VLOOKUP($A3760,HeadJournal!$A$1:$L$890,COLUMN(HeadJournal!H$1),0),0)</f>
        <v>2160.6390154925848</v>
      </c>
      <c r="Q3760" s="29">
        <v>3200</v>
      </c>
      <c r="R3760" s="31">
        <v>45572</v>
      </c>
      <c r="S3760" s="31" t="s">
        <v>3121</v>
      </c>
      <c r="T3760" s="95" t="str">
        <f t="shared" si="298"/>
        <v>2024 10</v>
      </c>
      <c r="U3760" s="32">
        <f t="shared" si="295"/>
        <v>1039.3609845074152</v>
      </c>
      <c r="V3760" s="22">
        <f t="shared" si="296"/>
        <v>0.48104332887391676</v>
      </c>
      <c r="X3760" s="33"/>
      <c r="Y3760" s="33"/>
    </row>
    <row r="3761" spans="1:25" x14ac:dyDescent="0.2">
      <c r="A3761" s="93" t="s">
        <v>1986</v>
      </c>
      <c r="B3761" s="94" t="str">
        <f>IFERROR(VLOOKUP($A3761,HeadJournal!$A$1:$NTR$890,COLUMN(HeadJournal!B$1),0),"")</f>
        <v>720000349789</v>
      </c>
      <c r="C3761" s="94" t="str">
        <f>IFERROR(VLOOKUP($A3761,HeadJournal!$A$1:$NTR$890,COLUMN(HeadJournal!C$1),0),"")</f>
        <v>iHerb_AV CYG0792</v>
      </c>
      <c r="D3761" s="125" t="str">
        <f>IFERROR(VLOOKUP($A3761,HeadJournal!$A$1:$NTR$890,COLUMN(HeadJournal!D$1),0),"")</f>
        <v>Доставлен</v>
      </c>
      <c r="E3761" s="95">
        <f>IFERROR(VLOOKUP($A3761,HeadJournal!$A$1:$NTR$890,COLUMN(HeadJournal!G$1),0),"")</f>
        <v>45534</v>
      </c>
      <c r="F3761" s="95" t="str">
        <f t="shared" si="297"/>
        <v>2024 08</v>
      </c>
      <c r="G3761" s="96" t="s">
        <v>5</v>
      </c>
      <c r="H3761" s="161" t="s">
        <v>2027</v>
      </c>
      <c r="I3761" s="97" t="s">
        <v>2005</v>
      </c>
      <c r="J3761" s="97" t="s">
        <v>4110</v>
      </c>
      <c r="K3761" s="29">
        <v>8.3699999999999992</v>
      </c>
      <c r="L3761" s="29">
        <v>-2.34</v>
      </c>
      <c r="M3761" s="30">
        <f>IFERROR(VLOOKUP($A3761,HeadJournal!$A$1:$J$890,COLUMN(HeadJournal!I$1),0)*($K3761+$L3761)/(SUMIF($A:$A,$A3761,$K:$K)+SUMIF($A:$A,$A3761,$L:$L)),0)</f>
        <v>0</v>
      </c>
      <c r="N3761" s="30">
        <f>IFERROR((VLOOKUP($A3761,HeadJournal!$A$1:$K$890,COLUMN(HeadJournal!K$1),0)-VLOOKUP($A3761,HeadJournal!$A$1:$K$890,COLUMN(HeadJournal!J$1),0))*($K3761+$L3761)/(SUMIF($A:$A,$A3761,$K:$K)+SUMIF($A:$A,$A3761,$L:$L)),0)</f>
        <v>0</v>
      </c>
      <c r="O3761" s="30">
        <f>IFERROR((VLOOKUP($A3761,HeadJournal!$A$1:$L$890,COLUMN(HeadJournal!L$1),0)*($K3761+$L3761)/(SUMIF($A:$A,$A3761,$K:$K)+SUMIF($A:$A,$A3761,$L:$L)))/VLOOKUP($A3761,HeadJournal!$A$1:$L$890,COLUMN(HeadJournal!H$1),0),0)</f>
        <v>0.25819852877673555</v>
      </c>
      <c r="P3761" s="30">
        <f>IFERROR(SUM(K3761:O3761)*VLOOKUP($A3761,HeadJournal!$A$1:$L$890,COLUMN(HeadJournal!H$1),0),0)</f>
        <v>636.32006170550835</v>
      </c>
      <c r="Q3761" s="29">
        <v>1200</v>
      </c>
      <c r="R3761" s="31">
        <v>45602</v>
      </c>
      <c r="S3761" s="31" t="s">
        <v>3121</v>
      </c>
      <c r="T3761" s="95" t="str">
        <f t="shared" si="298"/>
        <v>2024 11</v>
      </c>
      <c r="U3761" s="32">
        <f t="shared" si="295"/>
        <v>563.67993829449165</v>
      </c>
      <c r="V3761" s="22">
        <f t="shared" si="296"/>
        <v>0.88584341782919485</v>
      </c>
      <c r="X3761" s="33"/>
      <c r="Y3761" s="33"/>
    </row>
    <row r="3762" spans="1:25" x14ac:dyDescent="0.2">
      <c r="A3762" s="93" t="s">
        <v>1986</v>
      </c>
      <c r="B3762" s="94" t="str">
        <f>IFERROR(VLOOKUP($A3762,HeadJournal!$A$1:$NTR$890,COLUMN(HeadJournal!B$1),0),"")</f>
        <v>720000349789</v>
      </c>
      <c r="C3762" s="94" t="str">
        <f>IFERROR(VLOOKUP($A3762,HeadJournal!$A$1:$NTR$890,COLUMN(HeadJournal!C$1),0),"")</f>
        <v>iHerb_AV CYG0792</v>
      </c>
      <c r="D3762" s="125" t="str">
        <f>IFERROR(VLOOKUP($A3762,HeadJournal!$A$1:$NTR$890,COLUMN(HeadJournal!D$1),0),"")</f>
        <v>Доставлен</v>
      </c>
      <c r="E3762" s="95">
        <f>IFERROR(VLOOKUP($A3762,HeadJournal!$A$1:$NTR$890,COLUMN(HeadJournal!G$1),0),"")</f>
        <v>45534</v>
      </c>
      <c r="F3762" s="95" t="str">
        <f t="shared" si="297"/>
        <v>2024 08</v>
      </c>
      <c r="G3762" s="96" t="s">
        <v>5</v>
      </c>
      <c r="H3762" s="161" t="s">
        <v>2081</v>
      </c>
      <c r="I3762" s="97" t="s">
        <v>2005</v>
      </c>
      <c r="J3762" s="97" t="s">
        <v>2082</v>
      </c>
      <c r="K3762" s="29">
        <v>10.08</v>
      </c>
      <c r="L3762" s="29">
        <v>-2.82</v>
      </c>
      <c r="M3762" s="30">
        <f>IFERROR(VLOOKUP($A3762,HeadJournal!$A$1:$J$890,COLUMN(HeadJournal!I$1),0)*($K3762+$L3762)/(SUMIF($A:$A,$A3762,$K:$K)+SUMIF($A:$A,$A3762,$L:$L)),0)</f>
        <v>0</v>
      </c>
      <c r="N3762" s="30">
        <f>IFERROR((VLOOKUP($A3762,HeadJournal!$A$1:$K$890,COLUMN(HeadJournal!K$1),0)-VLOOKUP($A3762,HeadJournal!$A$1:$K$890,COLUMN(HeadJournal!J$1),0))*($K3762+$L3762)/(SUMIF($A:$A,$A3762,$K:$K)+SUMIF($A:$A,$A3762,$L:$L)),0)</f>
        <v>0</v>
      </c>
      <c r="O3762" s="30">
        <f>IFERROR((VLOOKUP($A3762,HeadJournal!$A$1:$L$890,COLUMN(HeadJournal!L$1),0)*($K3762+$L3762)/(SUMIF($A:$A,$A3762,$K:$K)+SUMIF($A:$A,$A3762,$L:$L)))/VLOOKUP($A3762,HeadJournal!$A$1:$L$890,COLUMN(HeadJournal!H$1),0),0)</f>
        <v>0.31086589036800993</v>
      </c>
      <c r="P3762" s="30">
        <f>IFERROR(SUM(K3762:O3762)*VLOOKUP($A3762,HeadJournal!$A$1:$L$890,COLUMN(HeadJournal!H$1),0),0)</f>
        <v>766.11669120762701</v>
      </c>
      <c r="Q3762" s="29">
        <v>1600</v>
      </c>
      <c r="R3762" s="31">
        <v>45758</v>
      </c>
      <c r="S3762" s="31" t="s">
        <v>3121</v>
      </c>
      <c r="T3762" s="95" t="str">
        <f t="shared" si="298"/>
        <v>2025 04</v>
      </c>
      <c r="U3762" s="32">
        <f t="shared" si="295"/>
        <v>833.88330879237299</v>
      </c>
      <c r="V3762" s="22">
        <f t="shared" si="296"/>
        <v>1.0884546941248934</v>
      </c>
      <c r="X3762" s="33"/>
      <c r="Y3762" s="33"/>
    </row>
    <row r="3763" spans="1:25" x14ac:dyDescent="0.2">
      <c r="A3763" s="93" t="s">
        <v>1986</v>
      </c>
      <c r="B3763" s="94" t="str">
        <f>IFERROR(VLOOKUP($A3763,HeadJournal!$A$1:$NTR$890,COLUMN(HeadJournal!B$1),0),"")</f>
        <v>720000349789</v>
      </c>
      <c r="C3763" s="94" t="str">
        <f>IFERROR(VLOOKUP($A3763,HeadJournal!$A$1:$NTR$890,COLUMN(HeadJournal!C$1),0),"")</f>
        <v>iHerb_AV CYG0792</v>
      </c>
      <c r="D3763" s="125" t="str">
        <f>IFERROR(VLOOKUP($A3763,HeadJournal!$A$1:$NTR$890,COLUMN(HeadJournal!D$1),0),"")</f>
        <v>Доставлен</v>
      </c>
      <c r="E3763" s="95">
        <f>IFERROR(VLOOKUP($A3763,HeadJournal!$A$1:$NTR$890,COLUMN(HeadJournal!G$1),0),"")</f>
        <v>45534</v>
      </c>
      <c r="F3763" s="95" t="str">
        <f t="shared" si="297"/>
        <v>2024 08</v>
      </c>
      <c r="G3763" s="96" t="s">
        <v>5</v>
      </c>
      <c r="H3763" s="160" t="str">
        <f>RIGHT(Journal!$J3763,9)</f>
        <v>NBC-00995</v>
      </c>
      <c r="I3763" s="96" t="str">
        <f t="shared" si="294"/>
        <v>NutriBiotic</v>
      </c>
      <c r="J3763" s="97" t="s">
        <v>985</v>
      </c>
      <c r="K3763" s="29">
        <v>14.94</v>
      </c>
      <c r="L3763" s="29">
        <v>-4.18</v>
      </c>
      <c r="M3763" s="30">
        <f>IFERROR(VLOOKUP($A3763,HeadJournal!$A$1:$J$890,COLUMN(HeadJournal!I$1),0)*($K3763+$L3763)/(SUMIF($A:$A,$A3763,$K:$K)+SUMIF($A:$A,$A3763,$L:$L)),0)</f>
        <v>0</v>
      </c>
      <c r="N3763" s="30">
        <f>IFERROR((VLOOKUP($A3763,HeadJournal!$A$1:$K$890,COLUMN(HeadJournal!K$1),0)-VLOOKUP($A3763,HeadJournal!$A$1:$K$890,COLUMN(HeadJournal!J$1),0))*($K3763+$L3763)/(SUMIF($A:$A,$A3763,$K:$K)+SUMIF($A:$A,$A3763,$L:$L)),0)</f>
        <v>0</v>
      </c>
      <c r="O3763" s="30">
        <f>IFERROR((VLOOKUP($A3763,HeadJournal!$A$1:$L$890,COLUMN(HeadJournal!L$1),0)*($K3763+$L3763)/(SUMIF($A:$A,$A3763,$K:$K)+SUMIF($A:$A,$A3763,$L:$L)))/VLOOKUP($A3763,HeadJournal!$A$1:$L$890,COLUMN(HeadJournal!H$1),0),0)</f>
        <v>0.46073236644074206</v>
      </c>
      <c r="P3763" s="30">
        <f>IFERROR(SUM(K3763:O3763)*VLOOKUP($A3763,HeadJournal!$A$1:$L$890,COLUMN(HeadJournal!H$1),0),0)</f>
        <v>1135.4566938559321</v>
      </c>
      <c r="Q3763" s="29">
        <v>2100</v>
      </c>
      <c r="R3763" s="31">
        <v>45580</v>
      </c>
      <c r="S3763" s="31" t="s">
        <v>3121</v>
      </c>
      <c r="T3763" s="95" t="str">
        <f t="shared" si="298"/>
        <v>2024 10</v>
      </c>
      <c r="U3763" s="32">
        <f t="shared" si="295"/>
        <v>964.54330614406786</v>
      </c>
      <c r="V3763" s="22">
        <f t="shared" si="296"/>
        <v>0.84947608426046239</v>
      </c>
      <c r="X3763" s="33"/>
      <c r="Y3763" s="33"/>
    </row>
    <row r="3764" spans="1:25" x14ac:dyDescent="0.2">
      <c r="A3764" s="93" t="s">
        <v>1986</v>
      </c>
      <c r="B3764" s="94" t="str">
        <f>IFERROR(VLOOKUP($A3764,HeadJournal!$A$1:$NTR$890,COLUMN(HeadJournal!B$1),0),"")</f>
        <v>720000349789</v>
      </c>
      <c r="C3764" s="94" t="str">
        <f>IFERROR(VLOOKUP($A3764,HeadJournal!$A$1:$NTR$890,COLUMN(HeadJournal!C$1),0),"")</f>
        <v>iHerb_AV CYG0792</v>
      </c>
      <c r="D3764" s="125" t="str">
        <f>IFERROR(VLOOKUP($A3764,HeadJournal!$A$1:$NTR$890,COLUMN(HeadJournal!D$1),0),"")</f>
        <v>Доставлен</v>
      </c>
      <c r="E3764" s="95">
        <f>IFERROR(VLOOKUP($A3764,HeadJournal!$A$1:$NTR$890,COLUMN(HeadJournal!G$1),0),"")</f>
        <v>45534</v>
      </c>
      <c r="F3764" s="95" t="str">
        <f t="shared" si="297"/>
        <v>2024 08</v>
      </c>
      <c r="G3764" s="96" t="s">
        <v>5</v>
      </c>
      <c r="H3764" s="161" t="s">
        <v>2831</v>
      </c>
      <c r="I3764" s="97" t="s">
        <v>2005</v>
      </c>
      <c r="J3764" s="97" t="s">
        <v>3911</v>
      </c>
      <c r="K3764" s="29">
        <v>13.57</v>
      </c>
      <c r="L3764" s="29">
        <v>-3.8</v>
      </c>
      <c r="M3764" s="30">
        <f>IFERROR(VLOOKUP($A3764,HeadJournal!$A$1:$J$890,COLUMN(HeadJournal!I$1),0)*($K3764+$L3764)/(SUMIF($A:$A,$A3764,$K:$K)+SUMIF($A:$A,$A3764,$L:$L)),0)</f>
        <v>0</v>
      </c>
      <c r="N3764" s="30">
        <f>IFERROR((VLOOKUP($A3764,HeadJournal!$A$1:$K$890,COLUMN(HeadJournal!K$1),0)-VLOOKUP($A3764,HeadJournal!$A$1:$K$890,COLUMN(HeadJournal!J$1),0))*($K3764+$L3764)/(SUMIF($A:$A,$A3764,$K:$K)+SUMIF($A:$A,$A3764,$L:$L)),0)</f>
        <v>0</v>
      </c>
      <c r="O3764" s="30">
        <f>IFERROR((VLOOKUP($A3764,HeadJournal!$A$1:$L$890,COLUMN(HeadJournal!L$1),0)*($K3764+$L3764)/(SUMIF($A:$A,$A3764,$K:$K)+SUMIF($A:$A,$A3764,$L:$L)))/VLOOKUP($A3764,HeadJournal!$A$1:$L$890,COLUMN(HeadJournal!H$1),0),0)</f>
        <v>0.41834156320874066</v>
      </c>
      <c r="P3764" s="30">
        <f>IFERROR(SUM(K3764:O3764)*VLOOKUP($A3764,HeadJournal!$A$1:$L$890,COLUMN(HeadJournal!H$1),0),0)</f>
        <v>1030.9862359639828</v>
      </c>
      <c r="Q3764" s="29">
        <v>1900</v>
      </c>
      <c r="R3764" s="31">
        <v>45835</v>
      </c>
      <c r="S3764" s="31" t="s">
        <v>3384</v>
      </c>
      <c r="T3764" s="95" t="str">
        <f t="shared" si="298"/>
        <v>2025 06</v>
      </c>
      <c r="U3764" s="32">
        <f t="shared" si="295"/>
        <v>869.01376403601716</v>
      </c>
      <c r="V3764" s="22">
        <f t="shared" si="296"/>
        <v>0.84289560201885749</v>
      </c>
      <c r="X3764" s="33"/>
      <c r="Y3764" s="33"/>
    </row>
    <row r="3765" spans="1:25" x14ac:dyDescent="0.2">
      <c r="A3765" s="93" t="s">
        <v>1986</v>
      </c>
      <c r="B3765" s="94" t="str">
        <f>IFERROR(VLOOKUP($A3765,HeadJournal!$A$1:$NTR$890,COLUMN(HeadJournal!B$1),0),"")</f>
        <v>720000349789</v>
      </c>
      <c r="C3765" s="94" t="str">
        <f>IFERROR(VLOOKUP($A3765,HeadJournal!$A$1:$NTR$890,COLUMN(HeadJournal!C$1),0),"")</f>
        <v>iHerb_AV CYG0792</v>
      </c>
      <c r="D3765" s="125" t="str">
        <f>IFERROR(VLOOKUP($A3765,HeadJournal!$A$1:$NTR$890,COLUMN(HeadJournal!D$1),0),"")</f>
        <v>Доставлен</v>
      </c>
      <c r="E3765" s="95">
        <f>IFERROR(VLOOKUP($A3765,HeadJournal!$A$1:$NTR$890,COLUMN(HeadJournal!G$1),0),"")</f>
        <v>45534</v>
      </c>
      <c r="F3765" s="95" t="str">
        <f t="shared" si="297"/>
        <v>2024 08</v>
      </c>
      <c r="G3765" s="96" t="s">
        <v>5</v>
      </c>
      <c r="H3765" s="161" t="s">
        <v>2831</v>
      </c>
      <c r="I3765" s="97" t="s">
        <v>2005</v>
      </c>
      <c r="J3765" s="97" t="s">
        <v>3911</v>
      </c>
      <c r="K3765" s="29">
        <v>13.57</v>
      </c>
      <c r="L3765" s="29">
        <v>-3.8</v>
      </c>
      <c r="M3765" s="30">
        <f>IFERROR(VLOOKUP($A3765,HeadJournal!$A$1:$J$890,COLUMN(HeadJournal!I$1),0)*($K3765+$L3765)/(SUMIF($A:$A,$A3765,$K:$K)+SUMIF($A:$A,$A3765,$L:$L)),0)</f>
        <v>0</v>
      </c>
      <c r="N3765" s="30">
        <f>IFERROR((VLOOKUP($A3765,HeadJournal!$A$1:$K$890,COLUMN(HeadJournal!K$1),0)-VLOOKUP($A3765,HeadJournal!$A$1:$K$890,COLUMN(HeadJournal!J$1),0))*($K3765+$L3765)/(SUMIF($A:$A,$A3765,$K:$K)+SUMIF($A:$A,$A3765,$L:$L)),0)</f>
        <v>0</v>
      </c>
      <c r="O3765" s="30">
        <f>IFERROR((VLOOKUP($A3765,HeadJournal!$A$1:$L$890,COLUMN(HeadJournal!L$1),0)*($K3765+$L3765)/(SUMIF($A:$A,$A3765,$K:$K)+SUMIF($A:$A,$A3765,$L:$L)))/VLOOKUP($A3765,HeadJournal!$A$1:$L$890,COLUMN(HeadJournal!H$1),0),0)</f>
        <v>0.41834156320874066</v>
      </c>
      <c r="P3765" s="30">
        <f>IFERROR(SUM(K3765:O3765)*VLOOKUP($A3765,HeadJournal!$A$1:$L$890,COLUMN(HeadJournal!H$1),0),0)</f>
        <v>1030.9862359639828</v>
      </c>
      <c r="Q3765" s="29">
        <v>1900</v>
      </c>
      <c r="R3765" s="31">
        <v>45845</v>
      </c>
      <c r="S3765" s="31" t="s">
        <v>3509</v>
      </c>
      <c r="T3765" s="95" t="str">
        <f t="shared" si="298"/>
        <v>2025 07</v>
      </c>
      <c r="U3765" s="32">
        <f t="shared" si="295"/>
        <v>869.01376403601716</v>
      </c>
      <c r="V3765" s="22">
        <f t="shared" si="296"/>
        <v>0.84289560201885749</v>
      </c>
      <c r="X3765" s="33"/>
      <c r="Y3765" s="33"/>
    </row>
    <row r="3766" spans="1:25" x14ac:dyDescent="0.2">
      <c r="A3766" s="93" t="s">
        <v>1986</v>
      </c>
      <c r="B3766" s="94" t="str">
        <f>IFERROR(VLOOKUP($A3766,HeadJournal!$A$1:$NTR$890,COLUMN(HeadJournal!B$1),0),"")</f>
        <v>720000349789</v>
      </c>
      <c r="C3766" s="94" t="str">
        <f>IFERROR(VLOOKUP($A3766,HeadJournal!$A$1:$NTR$890,COLUMN(HeadJournal!C$1),0),"")</f>
        <v>iHerb_AV CYG0792</v>
      </c>
      <c r="D3766" s="125" t="str">
        <f>IFERROR(VLOOKUP($A3766,HeadJournal!$A$1:$NTR$890,COLUMN(HeadJournal!D$1),0),"")</f>
        <v>Доставлен</v>
      </c>
      <c r="E3766" s="95">
        <f>IFERROR(VLOOKUP($A3766,HeadJournal!$A$1:$NTR$890,COLUMN(HeadJournal!G$1),0),"")</f>
        <v>45534</v>
      </c>
      <c r="F3766" s="95" t="str">
        <f t="shared" si="297"/>
        <v>2024 08</v>
      </c>
      <c r="G3766" s="96" t="s">
        <v>5</v>
      </c>
      <c r="H3766" s="161" t="s">
        <v>2022</v>
      </c>
      <c r="I3766" s="97" t="s">
        <v>2005</v>
      </c>
      <c r="J3766" s="97" t="s">
        <v>2023</v>
      </c>
      <c r="K3766" s="29">
        <v>27.38</v>
      </c>
      <c r="L3766" s="29">
        <v>-7.67</v>
      </c>
      <c r="M3766" s="30">
        <f>IFERROR(VLOOKUP($A3766,HeadJournal!$A$1:$J$890,COLUMN(HeadJournal!I$1),0)*($K3766+$L3766)/(SUMIF($A:$A,$A3766,$K:$K)+SUMIF($A:$A,$A3766,$L:$L)),0)</f>
        <v>0</v>
      </c>
      <c r="N3766" s="30">
        <f>IFERROR((VLOOKUP($A3766,HeadJournal!$A$1:$K$890,COLUMN(HeadJournal!K$1),0)-VLOOKUP($A3766,HeadJournal!$A$1:$K$890,COLUMN(HeadJournal!J$1),0))*($K3766+$L3766)/(SUMIF($A:$A,$A3766,$K:$K)+SUMIF($A:$A,$A3766,$L:$L)),0)</f>
        <v>0</v>
      </c>
      <c r="O3766" s="30">
        <f>IFERROR((VLOOKUP($A3766,HeadJournal!$A$1:$L$890,COLUMN(HeadJournal!L$1),0)*($K3766+$L3766)/(SUMIF($A:$A,$A3766,$K:$K)+SUMIF($A:$A,$A3766,$L:$L)))/VLOOKUP($A3766,HeadJournal!$A$1:$L$890,COLUMN(HeadJournal!H$1),0),0)</f>
        <v>0.84396235525529983</v>
      </c>
      <c r="P3766" s="30">
        <f>IFERROR(SUM(K3766:O3766)*VLOOKUP($A3766,HeadJournal!$A$1:$L$890,COLUMN(HeadJournal!H$1),0),0)</f>
        <v>2079.9118434851694</v>
      </c>
      <c r="Q3766" s="29">
        <v>3400</v>
      </c>
      <c r="R3766" s="31">
        <v>45595</v>
      </c>
      <c r="S3766" s="31" t="s">
        <v>3121</v>
      </c>
      <c r="T3766" s="95" t="str">
        <f t="shared" si="298"/>
        <v>2024 10</v>
      </c>
      <c r="U3766" s="32">
        <f t="shared" si="295"/>
        <v>1320.0881565148306</v>
      </c>
      <c r="V3766" s="22">
        <f t="shared" si="296"/>
        <v>0.6346846673572698</v>
      </c>
      <c r="X3766" s="33"/>
      <c r="Y3766" s="33"/>
    </row>
    <row r="3767" spans="1:25" x14ac:dyDescent="0.2">
      <c r="A3767" s="93" t="s">
        <v>1986</v>
      </c>
      <c r="B3767" s="94" t="str">
        <f>IFERROR(VLOOKUP($A3767,HeadJournal!$A$1:$NTR$890,COLUMN(HeadJournal!B$1),0),"")</f>
        <v>720000349789</v>
      </c>
      <c r="C3767" s="94" t="str">
        <f>IFERROR(VLOOKUP($A3767,HeadJournal!$A$1:$NTR$890,COLUMN(HeadJournal!C$1),0),"")</f>
        <v>iHerb_AV CYG0792</v>
      </c>
      <c r="D3767" s="125" t="str">
        <f>IFERROR(VLOOKUP($A3767,HeadJournal!$A$1:$NTR$890,COLUMN(HeadJournal!D$1),0),"")</f>
        <v>Доставлен</v>
      </c>
      <c r="E3767" s="95">
        <f>IFERROR(VLOOKUP($A3767,HeadJournal!$A$1:$NTR$890,COLUMN(HeadJournal!G$1),0),"")</f>
        <v>45534</v>
      </c>
      <c r="F3767" s="95" t="str">
        <f t="shared" si="297"/>
        <v>2024 08</v>
      </c>
      <c r="G3767" s="96" t="s">
        <v>5</v>
      </c>
      <c r="H3767" s="160" t="str">
        <f>RIGHT(Journal!$J3767,9)</f>
        <v>NOW-00837</v>
      </c>
      <c r="I3767" s="96" t="str">
        <f t="shared" ref="I3767:I3802" si="299">IFERROR(LEFT(J3767,FIND(",",J3767)-1),"")</f>
        <v>NOW Foods</v>
      </c>
      <c r="J3767" s="97" t="s">
        <v>1984</v>
      </c>
      <c r="K3767" s="29">
        <v>15.05</v>
      </c>
      <c r="L3767" s="29">
        <v>-4.21</v>
      </c>
      <c r="M3767" s="30">
        <f>IFERROR(VLOOKUP($A3767,HeadJournal!$A$1:$J$890,COLUMN(HeadJournal!I$1),0)*($K3767+$L3767)/(SUMIF($A:$A,$A3767,$K:$K)+SUMIF($A:$A,$A3767,$L:$L)),0)</f>
        <v>0</v>
      </c>
      <c r="N3767" s="30">
        <f>IFERROR((VLOOKUP($A3767,HeadJournal!$A$1:$K$890,COLUMN(HeadJournal!K$1),0)-VLOOKUP($A3767,HeadJournal!$A$1:$K$890,COLUMN(HeadJournal!J$1),0))*($K3767+$L3767)/(SUMIF($A:$A,$A3767,$K:$K)+SUMIF($A:$A,$A3767,$L:$L)),0)</f>
        <v>0</v>
      </c>
      <c r="O3767" s="30">
        <f>IFERROR((VLOOKUP($A3767,HeadJournal!$A$1:$L$890,COLUMN(HeadJournal!L$1),0)*($K3767+$L3767)/(SUMIF($A:$A,$A3767,$K:$K)+SUMIF($A:$A,$A3767,$L:$L)))/VLOOKUP($A3767,HeadJournal!$A$1:$L$890,COLUMN(HeadJournal!H$1),0),0)</f>
        <v>0.464157885893833</v>
      </c>
      <c r="P3767" s="30">
        <f>IFERROR(SUM(K3767:O3767)*VLOOKUP($A3767,HeadJournal!$A$1:$L$890,COLUMN(HeadJournal!H$1),0),0)</f>
        <v>1143.898751059322</v>
      </c>
      <c r="Q3767" s="29">
        <v>1900</v>
      </c>
      <c r="R3767" s="31">
        <v>45705</v>
      </c>
      <c r="S3767" s="31" t="s">
        <v>3121</v>
      </c>
      <c r="T3767" s="95" t="str">
        <f t="shared" si="298"/>
        <v>2025 02</v>
      </c>
      <c r="U3767" s="32">
        <f t="shared" si="295"/>
        <v>756.10124894067803</v>
      </c>
      <c r="V3767" s="22">
        <f t="shared" si="296"/>
        <v>0.66098616528821352</v>
      </c>
      <c r="X3767" s="33"/>
      <c r="Y3767" s="33"/>
    </row>
    <row r="3768" spans="1:25" x14ac:dyDescent="0.2">
      <c r="A3768" s="93" t="s">
        <v>1986</v>
      </c>
      <c r="B3768" s="94" t="str">
        <f>IFERROR(VLOOKUP($A3768,HeadJournal!$A$1:$NTR$890,COLUMN(HeadJournal!B$1),0),"")</f>
        <v>720000349789</v>
      </c>
      <c r="C3768" s="94" t="str">
        <f>IFERROR(VLOOKUP($A3768,HeadJournal!$A$1:$NTR$890,COLUMN(HeadJournal!C$1),0),"")</f>
        <v>iHerb_AV CYG0792</v>
      </c>
      <c r="D3768" s="125" t="str">
        <f>IFERROR(VLOOKUP($A3768,HeadJournal!$A$1:$NTR$890,COLUMN(HeadJournal!D$1),0),"")</f>
        <v>Доставлен</v>
      </c>
      <c r="E3768" s="95">
        <f>IFERROR(VLOOKUP($A3768,HeadJournal!$A$1:$NTR$890,COLUMN(HeadJournal!G$1),0),"")</f>
        <v>45534</v>
      </c>
      <c r="F3768" s="95" t="str">
        <f t="shared" si="297"/>
        <v>2024 08</v>
      </c>
      <c r="G3768" s="96" t="s">
        <v>5</v>
      </c>
      <c r="H3768" s="161" t="s">
        <v>3053</v>
      </c>
      <c r="I3768" s="97" t="s">
        <v>2009</v>
      </c>
      <c r="J3768" s="97" t="s">
        <v>3054</v>
      </c>
      <c r="K3768" s="29">
        <v>13.76</v>
      </c>
      <c r="L3768" s="29">
        <v>-3.85</v>
      </c>
      <c r="M3768" s="30">
        <f>IFERROR(VLOOKUP($A3768,HeadJournal!$A$1:$J$890,COLUMN(HeadJournal!I$1),0)*($K3768+$L3768)/(SUMIF($A:$A,$A3768,$K:$K)+SUMIF($A:$A,$A3768,$L:$L)),0)</f>
        <v>0</v>
      </c>
      <c r="N3768" s="30">
        <f>IFERROR((VLOOKUP($A3768,HeadJournal!$A$1:$K$890,COLUMN(HeadJournal!K$1),0)-VLOOKUP($A3768,HeadJournal!$A$1:$K$890,COLUMN(HeadJournal!J$1),0))*($K3768+$L3768)/(SUMIF($A:$A,$A3768,$K:$K)+SUMIF($A:$A,$A3768,$L:$L)),0)</f>
        <v>0</v>
      </c>
      <c r="O3768" s="30">
        <f>IFERROR((VLOOKUP($A3768,HeadJournal!$A$1:$L$890,COLUMN(HeadJournal!L$1),0)*($K3768+$L3768)/(SUMIF($A:$A,$A3768,$K:$K)+SUMIF($A:$A,$A3768,$L:$L)))/VLOOKUP($A3768,HeadJournal!$A$1:$L$890,COLUMN(HeadJournal!H$1),0),0)</f>
        <v>0.42433622225165002</v>
      </c>
      <c r="P3768" s="30">
        <f>IFERROR(SUM(K3768:O3768)*VLOOKUP($A3768,HeadJournal!$A$1:$L$890,COLUMN(HeadJournal!H$1),0),0)</f>
        <v>1045.7598360699153</v>
      </c>
      <c r="Q3768" s="29">
        <v>1900</v>
      </c>
      <c r="R3768" s="31">
        <v>45593</v>
      </c>
      <c r="S3768" s="31" t="s">
        <v>3121</v>
      </c>
      <c r="T3768" s="95" t="str">
        <f t="shared" si="298"/>
        <v>2024 10</v>
      </c>
      <c r="U3768" s="32">
        <f t="shared" si="295"/>
        <v>854.24016393008469</v>
      </c>
      <c r="V3768" s="22">
        <f t="shared" si="296"/>
        <v>0.81686074992171875</v>
      </c>
      <c r="X3768" s="33"/>
      <c r="Y3768" s="33"/>
    </row>
    <row r="3769" spans="1:25" x14ac:dyDescent="0.2">
      <c r="A3769" s="93" t="s">
        <v>1986</v>
      </c>
      <c r="B3769" s="94" t="str">
        <f>IFERROR(VLOOKUP($A3769,HeadJournal!$A$1:$NTR$890,COLUMN(HeadJournal!B$1),0),"")</f>
        <v>720000349789</v>
      </c>
      <c r="C3769" s="94" t="str">
        <f>IFERROR(VLOOKUP($A3769,HeadJournal!$A$1:$NTR$890,COLUMN(HeadJournal!C$1),0),"")</f>
        <v>iHerb_AV CYG0792</v>
      </c>
      <c r="D3769" s="125" t="str">
        <f>IFERROR(VLOOKUP($A3769,HeadJournal!$A$1:$NTR$890,COLUMN(HeadJournal!D$1),0),"")</f>
        <v>Доставлен</v>
      </c>
      <c r="E3769" s="95">
        <f>IFERROR(VLOOKUP($A3769,HeadJournal!$A$1:$NTR$890,COLUMN(HeadJournal!G$1),0),"")</f>
        <v>45534</v>
      </c>
      <c r="F3769" s="95" t="str">
        <f t="shared" si="297"/>
        <v>2024 08</v>
      </c>
      <c r="G3769" s="96" t="s">
        <v>5</v>
      </c>
      <c r="H3769" s="160" t="str">
        <f>RIGHT(Journal!$J3769,9)</f>
        <v>NOW-04007</v>
      </c>
      <c r="I3769" s="96" t="str">
        <f t="shared" si="299"/>
        <v>NOW Foods</v>
      </c>
      <c r="J3769" s="97" t="s">
        <v>1679</v>
      </c>
      <c r="K3769" s="29">
        <v>16.43</v>
      </c>
      <c r="L3769" s="29">
        <v>-4.5999999999999996</v>
      </c>
      <c r="M3769" s="30">
        <f>IFERROR(VLOOKUP($A3769,HeadJournal!$A$1:$J$890,COLUMN(HeadJournal!I$1),0)*($K3769+$L3769)/(SUMIF($A:$A,$A3769,$K:$K)+SUMIF($A:$A,$A3769,$L:$L)),0)</f>
        <v>0</v>
      </c>
      <c r="N3769" s="30">
        <f>IFERROR((VLOOKUP($A3769,HeadJournal!$A$1:$K$890,COLUMN(HeadJournal!K$1),0)-VLOOKUP($A3769,HeadJournal!$A$1:$K$890,COLUMN(HeadJournal!J$1),0))*($K3769+$L3769)/(SUMIF($A:$A,$A3769,$K:$K)+SUMIF($A:$A,$A3769,$L:$L)),0)</f>
        <v>0</v>
      </c>
      <c r="O3769" s="30">
        <f>IFERROR((VLOOKUP($A3769,HeadJournal!$A$1:$L$890,COLUMN(HeadJournal!L$1),0)*($K3769+$L3769)/(SUMIF($A:$A,$A3769,$K:$K)+SUMIF($A:$A,$A3769,$L:$L)))/VLOOKUP($A3769,HeadJournal!$A$1:$L$890,COLUMN(HeadJournal!H$1),0),0)</f>
        <v>0.50654868912583439</v>
      </c>
      <c r="P3769" s="30">
        <f>IFERROR(SUM(K3769:O3769)*VLOOKUP($A3769,HeadJournal!$A$1:$L$890,COLUMN(HeadJournal!H$1),0),0)</f>
        <v>1248.369208951271</v>
      </c>
      <c r="Q3769" s="29">
        <v>2100</v>
      </c>
      <c r="R3769" s="31">
        <v>45593</v>
      </c>
      <c r="S3769" s="31" t="s">
        <v>3121</v>
      </c>
      <c r="T3769" s="95" t="str">
        <f t="shared" si="298"/>
        <v>2024 10</v>
      </c>
      <c r="U3769" s="32">
        <f t="shared" si="295"/>
        <v>851.63079104872895</v>
      </c>
      <c r="V3769" s="22">
        <f t="shared" si="296"/>
        <v>0.68219464637722538</v>
      </c>
      <c r="X3769" s="33"/>
      <c r="Y3769" s="33"/>
    </row>
    <row r="3770" spans="1:25" x14ac:dyDescent="0.2">
      <c r="A3770" s="93" t="s">
        <v>1986</v>
      </c>
      <c r="B3770" s="94" t="str">
        <f>IFERROR(VLOOKUP($A3770,HeadJournal!$A$1:$NTR$890,COLUMN(HeadJournal!B$1),0),"")</f>
        <v>720000349789</v>
      </c>
      <c r="C3770" s="94" t="str">
        <f>IFERROR(VLOOKUP($A3770,HeadJournal!$A$1:$NTR$890,COLUMN(HeadJournal!C$1),0),"")</f>
        <v>iHerb_AV CYG0792</v>
      </c>
      <c r="D3770" s="125" t="str">
        <f>IFERROR(VLOOKUP($A3770,HeadJournal!$A$1:$NTR$890,COLUMN(HeadJournal!D$1),0),"")</f>
        <v>Доставлен</v>
      </c>
      <c r="E3770" s="95">
        <f>IFERROR(VLOOKUP($A3770,HeadJournal!$A$1:$NTR$890,COLUMN(HeadJournal!G$1),0),"")</f>
        <v>45534</v>
      </c>
      <c r="F3770" s="95" t="str">
        <f t="shared" si="297"/>
        <v>2024 08</v>
      </c>
      <c r="G3770" s="96" t="s">
        <v>5</v>
      </c>
      <c r="H3770" s="161" t="s">
        <v>2044</v>
      </c>
      <c r="I3770" s="97" t="s">
        <v>2045</v>
      </c>
      <c r="J3770" s="97" t="s">
        <v>2046</v>
      </c>
      <c r="K3770" s="29">
        <v>17.420000000000002</v>
      </c>
      <c r="L3770" s="29">
        <v>-4.88</v>
      </c>
      <c r="M3770" s="30">
        <f>IFERROR(VLOOKUP($A3770,HeadJournal!$A$1:$J$890,COLUMN(HeadJournal!I$1),0)*($K3770+$L3770)/(SUMIF($A:$A,$A3770,$K:$K)+SUMIF($A:$A,$A3770,$L:$L)),0)</f>
        <v>0</v>
      </c>
      <c r="N3770" s="30">
        <f>IFERROR((VLOOKUP($A3770,HeadJournal!$A$1:$K$890,COLUMN(HeadJournal!K$1),0)-VLOOKUP($A3770,HeadJournal!$A$1:$K$890,COLUMN(HeadJournal!J$1),0))*($K3770+$L3770)/(SUMIF($A:$A,$A3770,$K:$K)+SUMIF($A:$A,$A3770,$L:$L)),0)</f>
        <v>0</v>
      </c>
      <c r="O3770" s="30">
        <f>IFERROR((VLOOKUP($A3770,HeadJournal!$A$1:$L$890,COLUMN(HeadJournal!L$1),0)*($K3770+$L3770)/(SUMIF($A:$A,$A3770,$K:$K)+SUMIF($A:$A,$A3770,$L:$L)))/VLOOKUP($A3770,HeadJournal!$A$1:$L$890,COLUMN(HeadJournal!H$1),0),0)</f>
        <v>0.5369501742720173</v>
      </c>
      <c r="P3770" s="30">
        <f>IFERROR(SUM(K3770:O3770)*VLOOKUP($A3770,HeadJournal!$A$1:$L$890,COLUMN(HeadJournal!H$1),0),0)</f>
        <v>1323.2924666313563</v>
      </c>
      <c r="Q3770" s="29">
        <v>2300</v>
      </c>
      <c r="R3770" s="31">
        <v>45570</v>
      </c>
      <c r="S3770" s="31" t="s">
        <v>3121</v>
      </c>
      <c r="T3770" s="95" t="str">
        <f t="shared" si="298"/>
        <v>2024 10</v>
      </c>
      <c r="U3770" s="32">
        <f t="shared" si="295"/>
        <v>976.70753336864368</v>
      </c>
      <c r="V3770" s="22">
        <f t="shared" si="296"/>
        <v>0.7380889395184137</v>
      </c>
      <c r="X3770" s="33"/>
      <c r="Y3770" s="33"/>
    </row>
    <row r="3771" spans="1:25" x14ac:dyDescent="0.2">
      <c r="A3771" s="93" t="s">
        <v>1986</v>
      </c>
      <c r="B3771" s="94" t="str">
        <f>IFERROR(VLOOKUP($A3771,HeadJournal!$A$1:$NTR$890,COLUMN(HeadJournal!B$1),0),"")</f>
        <v>720000349789</v>
      </c>
      <c r="C3771" s="94" t="str">
        <f>IFERROR(VLOOKUP($A3771,HeadJournal!$A$1:$NTR$890,COLUMN(HeadJournal!C$1),0),"")</f>
        <v>iHerb_AV CYG0792</v>
      </c>
      <c r="D3771" s="125" t="str">
        <f>IFERROR(VLOOKUP($A3771,HeadJournal!$A$1:$NTR$890,COLUMN(HeadJournal!D$1),0),"")</f>
        <v>Доставлен</v>
      </c>
      <c r="E3771" s="95">
        <f>IFERROR(VLOOKUP($A3771,HeadJournal!$A$1:$NTR$890,COLUMN(HeadJournal!G$1),0),"")</f>
        <v>45534</v>
      </c>
      <c r="F3771" s="95" t="str">
        <f t="shared" si="297"/>
        <v>2024 08</v>
      </c>
      <c r="G3771" s="96" t="s">
        <v>5</v>
      </c>
      <c r="H3771" s="161" t="s">
        <v>2025</v>
      </c>
      <c r="I3771" s="97" t="s">
        <v>2008</v>
      </c>
      <c r="J3771" s="97" t="s">
        <v>2026</v>
      </c>
      <c r="K3771" s="29">
        <v>17.690000000000001</v>
      </c>
      <c r="L3771" s="29">
        <v>-4.95</v>
      </c>
      <c r="M3771" s="30">
        <f>IFERROR(VLOOKUP($A3771,HeadJournal!$A$1:$J$890,COLUMN(HeadJournal!I$1),0)*($K3771+$L3771)/(SUMIF($A:$A,$A3771,$K:$K)+SUMIF($A:$A,$A3771,$L:$L)),0)</f>
        <v>0</v>
      </c>
      <c r="N3771" s="30">
        <f>IFERROR((VLOOKUP($A3771,HeadJournal!$A$1:$K$890,COLUMN(HeadJournal!K$1),0)-VLOOKUP($A3771,HeadJournal!$A$1:$K$890,COLUMN(HeadJournal!J$1),0))*($K3771+$L3771)/(SUMIF($A:$A,$A3771,$K:$K)+SUMIF($A:$A,$A3771,$L:$L)),0)</f>
        <v>0</v>
      </c>
      <c r="O3771" s="30">
        <f>IFERROR((VLOOKUP($A3771,HeadJournal!$A$1:$L$890,COLUMN(HeadJournal!L$1),0)*($K3771+$L3771)/(SUMIF($A:$A,$A3771,$K:$K)+SUMIF($A:$A,$A3771,$L:$L)))/VLOOKUP($A3771,HeadJournal!$A$1:$L$890,COLUMN(HeadJournal!H$1),0),0)</f>
        <v>0.5455139729047449</v>
      </c>
      <c r="P3771" s="30">
        <f>IFERROR(SUM(K3771:O3771)*VLOOKUP($A3771,HeadJournal!$A$1:$L$890,COLUMN(HeadJournal!H$1),0),0)</f>
        <v>1344.3976096398305</v>
      </c>
      <c r="Q3771" s="29">
        <v>2300</v>
      </c>
      <c r="R3771" s="31">
        <v>45570</v>
      </c>
      <c r="S3771" s="31" t="s">
        <v>3121</v>
      </c>
      <c r="T3771" s="95" t="str">
        <f t="shared" si="298"/>
        <v>2024 10</v>
      </c>
      <c r="U3771" s="32">
        <f t="shared" si="295"/>
        <v>955.60239036016947</v>
      </c>
      <c r="V3771" s="22">
        <f t="shared" si="296"/>
        <v>0.7108033988666338</v>
      </c>
      <c r="X3771" s="33"/>
      <c r="Y3771" s="33"/>
    </row>
    <row r="3772" spans="1:25" x14ac:dyDescent="0.2">
      <c r="A3772" s="93" t="s">
        <v>1986</v>
      </c>
      <c r="B3772" s="94" t="str">
        <f>IFERROR(VLOOKUP($A3772,HeadJournal!$A$1:$NTR$890,COLUMN(HeadJournal!B$1),0),"")</f>
        <v>720000349789</v>
      </c>
      <c r="C3772" s="94" t="str">
        <f>IFERROR(VLOOKUP($A3772,HeadJournal!$A$1:$NTR$890,COLUMN(HeadJournal!C$1),0),"")</f>
        <v>iHerb_AV CYG0792</v>
      </c>
      <c r="D3772" s="125" t="str">
        <f>IFERROR(VLOOKUP($A3772,HeadJournal!$A$1:$NTR$890,COLUMN(HeadJournal!D$1),0),"")</f>
        <v>Доставлен</v>
      </c>
      <c r="E3772" s="95">
        <f>IFERROR(VLOOKUP($A3772,HeadJournal!$A$1:$NTR$890,COLUMN(HeadJournal!G$1),0),"")</f>
        <v>45534</v>
      </c>
      <c r="F3772" s="95" t="str">
        <f t="shared" si="297"/>
        <v>2024 08</v>
      </c>
      <c r="G3772" s="96" t="s">
        <v>5</v>
      </c>
      <c r="H3772" s="161" t="s">
        <v>2060</v>
      </c>
      <c r="I3772" s="97" t="s">
        <v>2007</v>
      </c>
      <c r="J3772" s="97" t="s">
        <v>2061</v>
      </c>
      <c r="K3772" s="29">
        <v>31.91</v>
      </c>
      <c r="L3772" s="29">
        <v>-17.91</v>
      </c>
      <c r="M3772" s="30">
        <f>IFERROR(VLOOKUP($A3772,HeadJournal!$A$1:$J$890,COLUMN(HeadJournal!I$1),0)*($K3772+$L3772)/(SUMIF($A:$A,$A3772,$K:$K)+SUMIF($A:$A,$A3772,$L:$L)),0)</f>
        <v>0</v>
      </c>
      <c r="N3772" s="30">
        <f>IFERROR((VLOOKUP($A3772,HeadJournal!$A$1:$K$890,COLUMN(HeadJournal!K$1),0)-VLOOKUP($A3772,HeadJournal!$A$1:$K$890,COLUMN(HeadJournal!J$1),0))*($K3772+$L3772)/(SUMIF($A:$A,$A3772,$K:$K)+SUMIF($A:$A,$A3772,$L:$L)),0)</f>
        <v>0</v>
      </c>
      <c r="O3772" s="30">
        <f>IFERROR((VLOOKUP($A3772,HeadJournal!$A$1:$L$890,COLUMN(HeadJournal!L$1),0)*($K3772+$L3772)/(SUMIF($A:$A,$A3772,$K:$K)+SUMIF($A:$A,$A3772,$L:$L)))/VLOOKUP($A3772,HeadJournal!$A$1:$L$890,COLUMN(HeadJournal!H$1),0),0)</f>
        <v>0.59946590429092828</v>
      </c>
      <c r="P3772" s="30">
        <f>IFERROR(SUM(K3772:O3772)*VLOOKUP($A3772,HeadJournal!$A$1:$L$890,COLUMN(HeadJournal!H$1),0),0)</f>
        <v>1477.3600105932203</v>
      </c>
      <c r="Q3772" s="29">
        <v>3400</v>
      </c>
      <c r="R3772" s="31">
        <v>45582</v>
      </c>
      <c r="S3772" s="31" t="s">
        <v>3121</v>
      </c>
      <c r="T3772" s="95" t="str">
        <f t="shared" si="298"/>
        <v>2024 10</v>
      </c>
      <c r="U3772" s="32">
        <f t="shared" si="295"/>
        <v>1922.6399894067797</v>
      </c>
      <c r="V3772" s="22">
        <f t="shared" si="296"/>
        <v>1.3014024852579849</v>
      </c>
      <c r="X3772" s="33"/>
      <c r="Y3772" s="33"/>
    </row>
    <row r="3773" spans="1:25" x14ac:dyDescent="0.2">
      <c r="A3773" s="93" t="s">
        <v>1989</v>
      </c>
      <c r="B3773" s="94">
        <f>IFERROR(VLOOKUP($A3773,HeadJournal!$A$1:$NTR$890,COLUMN(HeadJournal!B$1),0),"")</f>
        <v>0</v>
      </c>
      <c r="C3773" s="94" t="str">
        <f>IFERROR(VLOOKUP($A3773,HeadJournal!$A$1:$NTR$890,COLUMN(HeadJournal!C$1),0),"")</f>
        <v>WBRS</v>
      </c>
      <c r="D3773" s="125" t="str">
        <f>IFERROR(VLOOKUP($A3773,HeadJournal!$A$1:$NTR$890,COLUMN(HeadJournal!D$1),0),"")</f>
        <v>Доставлен</v>
      </c>
      <c r="E3773" s="95">
        <f>IFERROR(VLOOKUP($A3773,HeadJournal!$A$1:$NTR$890,COLUMN(HeadJournal!G$1),0),"")</f>
        <v>45541</v>
      </c>
      <c r="F3773" s="95" t="str">
        <f t="shared" si="297"/>
        <v>2024 09</v>
      </c>
      <c r="G3773" s="96" t="s">
        <v>5</v>
      </c>
      <c r="H3773" s="160" t="str">
        <f>RIGHT(Journal!$J3773,9)</f>
        <v>000000264</v>
      </c>
      <c r="I3773" s="96" t="str">
        <f t="shared" si="299"/>
        <v>Forever</v>
      </c>
      <c r="J3773" s="97" t="s">
        <v>1978</v>
      </c>
      <c r="K3773" s="29">
        <v>2077</v>
      </c>
      <c r="L3773" s="29">
        <v>0</v>
      </c>
      <c r="M3773" s="30">
        <f>IFERROR(VLOOKUP($A3773,HeadJournal!$A$1:$J$890,COLUMN(HeadJournal!I$1),0)*($K3773+$L3773)/(SUMIF($A:$A,$A3773,$K:$K)+SUMIF($A:$A,$A3773,$L:$L)),0)</f>
        <v>0</v>
      </c>
      <c r="N3773" s="30">
        <f>IFERROR((VLOOKUP($A3773,HeadJournal!$A$1:$K$890,COLUMN(HeadJournal!K$1),0)-VLOOKUP($A3773,HeadJournal!$A$1:$K$890,COLUMN(HeadJournal!J$1),0))*($K3773+$L3773)/(SUMIF($A:$A,$A3773,$K:$K)+SUMIF($A:$A,$A3773,$L:$L)),0)</f>
        <v>0</v>
      </c>
      <c r="O3773" s="30">
        <f>IFERROR((VLOOKUP($A3773,HeadJournal!$A$1:$L$890,COLUMN(HeadJournal!L$1),0)*($K3773+$L3773)/(SUMIF($A:$A,$A3773,$K:$K)+SUMIF($A:$A,$A3773,$L:$L)))/VLOOKUP($A3773,HeadJournal!$A$1:$L$890,COLUMN(HeadJournal!H$1),0),0)</f>
        <v>0</v>
      </c>
      <c r="P3773" s="30">
        <f>IFERROR(SUM(K3773:O3773)*VLOOKUP($A3773,HeadJournal!$A$1:$L$890,COLUMN(HeadJournal!H$1),0),0)</f>
        <v>2077</v>
      </c>
      <c r="Q3773" s="29">
        <v>3000</v>
      </c>
      <c r="R3773" s="31">
        <v>45575</v>
      </c>
      <c r="S3773" s="31" t="s">
        <v>3121</v>
      </c>
      <c r="T3773" s="95" t="str">
        <f t="shared" si="298"/>
        <v>2024 10</v>
      </c>
      <c r="U3773" s="32">
        <f t="shared" si="295"/>
        <v>923</v>
      </c>
      <c r="V3773" s="22">
        <f t="shared" si="296"/>
        <v>0.4443909484833895</v>
      </c>
      <c r="X3773" s="33"/>
      <c r="Y3773" s="33"/>
    </row>
    <row r="3774" spans="1:25" x14ac:dyDescent="0.2">
      <c r="A3774" s="93" t="s">
        <v>1989</v>
      </c>
      <c r="B3774" s="94">
        <f>IFERROR(VLOOKUP($A3774,HeadJournal!$A$1:$NTR$890,COLUMN(HeadJournal!B$1),0),"")</f>
        <v>0</v>
      </c>
      <c r="C3774" s="94" t="str">
        <f>IFERROR(VLOOKUP($A3774,HeadJournal!$A$1:$NTR$890,COLUMN(HeadJournal!C$1),0),"")</f>
        <v>WBRS</v>
      </c>
      <c r="D3774" s="125" t="str">
        <f>IFERROR(VLOOKUP($A3774,HeadJournal!$A$1:$NTR$890,COLUMN(HeadJournal!D$1),0),"")</f>
        <v>Доставлен</v>
      </c>
      <c r="E3774" s="95">
        <f>IFERROR(VLOOKUP($A3774,HeadJournal!$A$1:$NTR$890,COLUMN(HeadJournal!G$1),0),"")</f>
        <v>45541</v>
      </c>
      <c r="F3774" s="95" t="str">
        <f t="shared" si="297"/>
        <v>2024 09</v>
      </c>
      <c r="G3774" s="96" t="s">
        <v>5</v>
      </c>
      <c r="H3774" s="160" t="str">
        <f>RIGHT(Journal!$J3774,9)</f>
        <v>000000264</v>
      </c>
      <c r="I3774" s="96" t="str">
        <f t="shared" si="299"/>
        <v>Forever</v>
      </c>
      <c r="J3774" s="97" t="s">
        <v>1978</v>
      </c>
      <c r="K3774" s="29">
        <v>2077</v>
      </c>
      <c r="L3774" s="29">
        <v>0</v>
      </c>
      <c r="M3774" s="30">
        <f>IFERROR(VLOOKUP($A3774,HeadJournal!$A$1:$J$890,COLUMN(HeadJournal!I$1),0)*($K3774+$L3774)/(SUMIF($A:$A,$A3774,$K:$K)+SUMIF($A:$A,$A3774,$L:$L)),0)</f>
        <v>0</v>
      </c>
      <c r="N3774" s="30">
        <f>IFERROR((VLOOKUP($A3774,HeadJournal!$A$1:$K$890,COLUMN(HeadJournal!K$1),0)-VLOOKUP($A3774,HeadJournal!$A$1:$K$890,COLUMN(HeadJournal!J$1),0))*($K3774+$L3774)/(SUMIF($A:$A,$A3774,$K:$K)+SUMIF($A:$A,$A3774,$L:$L)),0)</f>
        <v>0</v>
      </c>
      <c r="O3774" s="30">
        <f>IFERROR((VLOOKUP($A3774,HeadJournal!$A$1:$L$890,COLUMN(HeadJournal!L$1),0)*($K3774+$L3774)/(SUMIF($A:$A,$A3774,$K:$K)+SUMIF($A:$A,$A3774,$L:$L)))/VLOOKUP($A3774,HeadJournal!$A$1:$L$890,COLUMN(HeadJournal!H$1),0),0)</f>
        <v>0</v>
      </c>
      <c r="P3774" s="30">
        <f>IFERROR(SUM(K3774:O3774)*VLOOKUP($A3774,HeadJournal!$A$1:$L$890,COLUMN(HeadJournal!H$1),0),0)</f>
        <v>2077</v>
      </c>
      <c r="Q3774" s="29">
        <v>3000</v>
      </c>
      <c r="R3774" s="31">
        <v>45662</v>
      </c>
      <c r="S3774" s="31" t="s">
        <v>3121</v>
      </c>
      <c r="T3774" s="95" t="str">
        <f t="shared" si="298"/>
        <v>2025 01</v>
      </c>
      <c r="U3774" s="32">
        <f t="shared" si="295"/>
        <v>923</v>
      </c>
      <c r="V3774" s="22">
        <f t="shared" si="296"/>
        <v>0.4443909484833895</v>
      </c>
      <c r="X3774" s="33"/>
      <c r="Y3774" s="33"/>
    </row>
    <row r="3775" spans="1:25" x14ac:dyDescent="0.2">
      <c r="A3775" s="93" t="s">
        <v>1989</v>
      </c>
      <c r="B3775" s="94">
        <f>IFERROR(VLOOKUP($A3775,HeadJournal!$A$1:$NTR$890,COLUMN(HeadJournal!B$1),0),"")</f>
        <v>0</v>
      </c>
      <c r="C3775" s="94" t="str">
        <f>IFERROR(VLOOKUP($A3775,HeadJournal!$A$1:$NTR$890,COLUMN(HeadJournal!C$1),0),"")</f>
        <v>WBRS</v>
      </c>
      <c r="D3775" s="125" t="str">
        <f>IFERROR(VLOOKUP($A3775,HeadJournal!$A$1:$NTR$890,COLUMN(HeadJournal!D$1),0),"")</f>
        <v>Доставлен</v>
      </c>
      <c r="E3775" s="95">
        <f>IFERROR(VLOOKUP($A3775,HeadJournal!$A$1:$NTR$890,COLUMN(HeadJournal!G$1),0),"")</f>
        <v>45541</v>
      </c>
      <c r="F3775" s="95" t="str">
        <f t="shared" si="297"/>
        <v>2024 09</v>
      </c>
      <c r="G3775" s="96" t="s">
        <v>5</v>
      </c>
      <c r="H3775" s="160" t="str">
        <f>RIGHT(Journal!$J3775,9)</f>
        <v>000000264</v>
      </c>
      <c r="I3775" s="96" t="str">
        <f t="shared" si="299"/>
        <v>Forever</v>
      </c>
      <c r="J3775" s="97" t="s">
        <v>1978</v>
      </c>
      <c r="K3775" s="29">
        <v>2077</v>
      </c>
      <c r="L3775" s="29">
        <v>0</v>
      </c>
      <c r="M3775" s="30">
        <f>IFERROR(VLOOKUP($A3775,HeadJournal!$A$1:$J$890,COLUMN(HeadJournal!I$1),0)*($K3775+$L3775)/(SUMIF($A:$A,$A3775,$K:$K)+SUMIF($A:$A,$A3775,$L:$L)),0)</f>
        <v>0</v>
      </c>
      <c r="N3775" s="30">
        <f>IFERROR((VLOOKUP($A3775,HeadJournal!$A$1:$K$890,COLUMN(HeadJournal!K$1),0)-VLOOKUP($A3775,HeadJournal!$A$1:$K$890,COLUMN(HeadJournal!J$1),0))*($K3775+$L3775)/(SUMIF($A:$A,$A3775,$K:$K)+SUMIF($A:$A,$A3775,$L:$L)),0)</f>
        <v>0</v>
      </c>
      <c r="O3775" s="30">
        <f>IFERROR((VLOOKUP($A3775,HeadJournal!$A$1:$L$890,COLUMN(HeadJournal!L$1),0)*($K3775+$L3775)/(SUMIF($A:$A,$A3775,$K:$K)+SUMIF($A:$A,$A3775,$L:$L)))/VLOOKUP($A3775,HeadJournal!$A$1:$L$890,COLUMN(HeadJournal!H$1),0),0)</f>
        <v>0</v>
      </c>
      <c r="P3775" s="30">
        <f>IFERROR(SUM(K3775:O3775)*VLOOKUP($A3775,HeadJournal!$A$1:$L$890,COLUMN(HeadJournal!H$1),0),0)</f>
        <v>2077</v>
      </c>
      <c r="Q3775" s="29">
        <v>2900</v>
      </c>
      <c r="R3775" s="31">
        <v>45766</v>
      </c>
      <c r="S3775" s="31" t="s">
        <v>3121</v>
      </c>
      <c r="T3775" s="95" t="str">
        <f t="shared" si="298"/>
        <v>2025 04</v>
      </c>
      <c r="U3775" s="32">
        <f t="shared" si="295"/>
        <v>823</v>
      </c>
      <c r="V3775" s="22">
        <f t="shared" si="296"/>
        <v>0.39624458353394321</v>
      </c>
      <c r="X3775" s="33"/>
      <c r="Y3775" s="33"/>
    </row>
    <row r="3776" spans="1:25" x14ac:dyDescent="0.2">
      <c r="A3776" s="93" t="s">
        <v>1989</v>
      </c>
      <c r="B3776" s="94">
        <f>IFERROR(VLOOKUP($A3776,HeadJournal!$A$1:$NTR$890,COLUMN(HeadJournal!B$1),0),"")</f>
        <v>0</v>
      </c>
      <c r="C3776" s="94" t="str">
        <f>IFERROR(VLOOKUP($A3776,HeadJournal!$A$1:$NTR$890,COLUMN(HeadJournal!C$1),0),"")</f>
        <v>WBRS</v>
      </c>
      <c r="D3776" s="125" t="str">
        <f>IFERROR(VLOOKUP($A3776,HeadJournal!$A$1:$NTR$890,COLUMN(HeadJournal!D$1),0),"")</f>
        <v>Доставлен</v>
      </c>
      <c r="E3776" s="95">
        <f>IFERROR(VLOOKUP($A3776,HeadJournal!$A$1:$NTR$890,COLUMN(HeadJournal!G$1),0),"")</f>
        <v>45541</v>
      </c>
      <c r="F3776" s="95" t="str">
        <f t="shared" si="297"/>
        <v>2024 09</v>
      </c>
      <c r="G3776" s="96" t="s">
        <v>5</v>
      </c>
      <c r="H3776" s="161" t="s">
        <v>3677</v>
      </c>
      <c r="I3776" s="97" t="s">
        <v>1368</v>
      </c>
      <c r="J3776" s="97" t="s">
        <v>3678</v>
      </c>
      <c r="K3776" s="29">
        <v>2607</v>
      </c>
      <c r="L3776" s="29">
        <v>0</v>
      </c>
      <c r="M3776" s="30">
        <f>IFERROR(VLOOKUP($A3776,HeadJournal!$A$1:$J$890,COLUMN(HeadJournal!I$1),0)*($K3776+$L3776)/(SUMIF($A:$A,$A3776,$K:$K)+SUMIF($A:$A,$A3776,$L:$L)),0)</f>
        <v>0</v>
      </c>
      <c r="N3776" s="30">
        <f>IFERROR((VLOOKUP($A3776,HeadJournal!$A$1:$K$890,COLUMN(HeadJournal!K$1),0)-VLOOKUP($A3776,HeadJournal!$A$1:$K$890,COLUMN(HeadJournal!J$1),0))*($K3776+$L3776)/(SUMIF($A:$A,$A3776,$K:$K)+SUMIF($A:$A,$A3776,$L:$L)),0)</f>
        <v>0</v>
      </c>
      <c r="O3776" s="30">
        <f>IFERROR((VLOOKUP($A3776,HeadJournal!$A$1:$L$890,COLUMN(HeadJournal!L$1),0)*($K3776+$L3776)/(SUMIF($A:$A,$A3776,$K:$K)+SUMIF($A:$A,$A3776,$L:$L)))/VLOOKUP($A3776,HeadJournal!$A$1:$L$890,COLUMN(HeadJournal!H$1),0),0)</f>
        <v>0</v>
      </c>
      <c r="P3776" s="30">
        <f>IFERROR(SUM(K3776:O3776)*VLOOKUP($A3776,HeadJournal!$A$1:$L$890,COLUMN(HeadJournal!H$1),0),0)</f>
        <v>2607</v>
      </c>
      <c r="Q3776" s="29">
        <v>3400</v>
      </c>
      <c r="R3776" s="31">
        <v>45542</v>
      </c>
      <c r="S3776" s="31" t="s">
        <v>3121</v>
      </c>
      <c r="T3776" s="95" t="str">
        <f t="shared" si="298"/>
        <v>2024 09</v>
      </c>
      <c r="U3776" s="32">
        <f t="shared" si="295"/>
        <v>793</v>
      </c>
      <c r="V3776" s="22">
        <f t="shared" si="296"/>
        <v>0.30418105101649406</v>
      </c>
      <c r="X3776" s="33"/>
      <c r="Y3776" s="33"/>
    </row>
    <row r="3777" spans="1:25" x14ac:dyDescent="0.2">
      <c r="A3777" s="93" t="s">
        <v>1989</v>
      </c>
      <c r="B3777" s="94">
        <f>IFERROR(VLOOKUP($A3777,HeadJournal!$A$1:$NTR$890,COLUMN(HeadJournal!B$1),0),"")</f>
        <v>0</v>
      </c>
      <c r="C3777" s="94" t="str">
        <f>IFERROR(VLOOKUP($A3777,HeadJournal!$A$1:$NTR$890,COLUMN(HeadJournal!C$1),0),"")</f>
        <v>WBRS</v>
      </c>
      <c r="D3777" s="125" t="str">
        <f>IFERROR(VLOOKUP($A3777,HeadJournal!$A$1:$NTR$890,COLUMN(HeadJournal!D$1),0),"")</f>
        <v>Доставлен</v>
      </c>
      <c r="E3777" s="95">
        <f>IFERROR(VLOOKUP($A3777,HeadJournal!$A$1:$NTR$890,COLUMN(HeadJournal!G$1),0),"")</f>
        <v>45541</v>
      </c>
      <c r="F3777" s="95" t="str">
        <f t="shared" si="297"/>
        <v>2024 09</v>
      </c>
      <c r="G3777" s="96" t="s">
        <v>5</v>
      </c>
      <c r="H3777" s="161" t="s">
        <v>3677</v>
      </c>
      <c r="I3777" s="97" t="s">
        <v>1368</v>
      </c>
      <c r="J3777" s="97" t="s">
        <v>3678</v>
      </c>
      <c r="K3777" s="29">
        <v>2607</v>
      </c>
      <c r="L3777" s="29">
        <v>0</v>
      </c>
      <c r="M3777" s="30">
        <f>IFERROR(VLOOKUP($A3777,HeadJournal!$A$1:$J$890,COLUMN(HeadJournal!I$1),0)*($K3777+$L3777)/(SUMIF($A:$A,$A3777,$K:$K)+SUMIF($A:$A,$A3777,$L:$L)),0)</f>
        <v>0</v>
      </c>
      <c r="N3777" s="30">
        <f>IFERROR((VLOOKUP($A3777,HeadJournal!$A$1:$K$890,COLUMN(HeadJournal!K$1),0)-VLOOKUP($A3777,HeadJournal!$A$1:$K$890,COLUMN(HeadJournal!J$1),0))*($K3777+$L3777)/(SUMIF($A:$A,$A3777,$K:$K)+SUMIF($A:$A,$A3777,$L:$L)),0)</f>
        <v>0</v>
      </c>
      <c r="O3777" s="30">
        <f>IFERROR((VLOOKUP($A3777,HeadJournal!$A$1:$L$890,COLUMN(HeadJournal!L$1),0)*($K3777+$L3777)/(SUMIF($A:$A,$A3777,$K:$K)+SUMIF($A:$A,$A3777,$L:$L)))/VLOOKUP($A3777,HeadJournal!$A$1:$L$890,COLUMN(HeadJournal!H$1),0),0)</f>
        <v>0</v>
      </c>
      <c r="P3777" s="30">
        <f>IFERROR(SUM(K3777:O3777)*VLOOKUP($A3777,HeadJournal!$A$1:$L$890,COLUMN(HeadJournal!H$1),0),0)</f>
        <v>2607</v>
      </c>
      <c r="Q3777" s="29">
        <v>3400</v>
      </c>
      <c r="R3777" s="31">
        <v>45542</v>
      </c>
      <c r="S3777" s="31" t="s">
        <v>3121</v>
      </c>
      <c r="T3777" s="95" t="str">
        <f t="shared" si="298"/>
        <v>2024 09</v>
      </c>
      <c r="U3777" s="32">
        <f t="shared" ref="U3777:U3840" si="300">Q3777-P3777</f>
        <v>793</v>
      </c>
      <c r="V3777" s="22">
        <f t="shared" ref="V3777:V3840" si="301">IF(Q3777&lt;&gt;0,IFERROR(U3777/P3777,""),"")</f>
        <v>0.30418105101649406</v>
      </c>
      <c r="X3777" s="33"/>
      <c r="Y3777" s="33"/>
    </row>
    <row r="3778" spans="1:25" x14ac:dyDescent="0.2">
      <c r="A3778" s="93" t="s">
        <v>1990</v>
      </c>
      <c r="B3778" s="94">
        <f>IFERROR(VLOOKUP($A3778,HeadJournal!$A$1:$NTR$890,COLUMN(HeadJournal!B$1),0),"")</f>
        <v>0</v>
      </c>
      <c r="C3778" s="94" t="str">
        <f>IFERROR(VLOOKUP($A3778,HeadJournal!$A$1:$NTR$890,COLUMN(HeadJournal!C$1),0),"")</f>
        <v>OZON_OA</v>
      </c>
      <c r="D3778" s="125" t="str">
        <f>IFERROR(VLOOKUP($A3778,HeadJournal!$A$1:$NTR$890,COLUMN(HeadJournal!D$1),0),"")</f>
        <v>Доставлен</v>
      </c>
      <c r="E3778" s="95">
        <f>IFERROR(VLOOKUP($A3778,HeadJournal!$A$1:$NTR$890,COLUMN(HeadJournal!G$1),0),"")</f>
        <v>45532</v>
      </c>
      <c r="F3778" s="95" t="str">
        <f t="shared" si="297"/>
        <v>2024 08</v>
      </c>
      <c r="G3778" s="96" t="s">
        <v>6</v>
      </c>
      <c r="H3778" s="160" t="str">
        <f>RIGHT(Journal!$J3778,9)</f>
        <v>176208974</v>
      </c>
      <c r="I3778" s="96" t="str">
        <f t="shared" si="299"/>
        <v>Maxler</v>
      </c>
      <c r="J3778" s="97" t="s">
        <v>3612</v>
      </c>
      <c r="K3778" s="29">
        <v>2559</v>
      </c>
      <c r="L3778" s="29">
        <v>0</v>
      </c>
      <c r="M3778" s="30">
        <f>IFERROR(VLOOKUP($A3778,HeadJournal!$A$1:$J$890,COLUMN(HeadJournal!I$1),0)*($K3778+$L3778)/(SUMIF($A:$A,$A3778,$K:$K)+SUMIF($A:$A,$A3778,$L:$L)),0)</f>
        <v>0</v>
      </c>
      <c r="N3778" s="30">
        <f>IFERROR((VLOOKUP($A3778,HeadJournal!$A$1:$K$890,COLUMN(HeadJournal!K$1),0)-VLOOKUP($A3778,HeadJournal!$A$1:$K$890,COLUMN(HeadJournal!J$1),0))*($K3778+$L3778)/(SUMIF($A:$A,$A3778,$K:$K)+SUMIF($A:$A,$A3778,$L:$L)),0)</f>
        <v>0</v>
      </c>
      <c r="O3778" s="30">
        <f>IFERROR((VLOOKUP($A3778,HeadJournal!$A$1:$L$890,COLUMN(HeadJournal!L$1),0)*($K3778+$L3778)/(SUMIF($A:$A,$A3778,$K:$K)+SUMIF($A:$A,$A3778,$L:$L)))/VLOOKUP($A3778,HeadJournal!$A$1:$L$890,COLUMN(HeadJournal!H$1),0),0)</f>
        <v>0</v>
      </c>
      <c r="P3778" s="30">
        <f>IFERROR(SUM(K3778:O3778)*VLOOKUP($A3778,HeadJournal!$A$1:$L$890,COLUMN(HeadJournal!H$1),0),0)</f>
        <v>2559</v>
      </c>
      <c r="Q3778" s="29">
        <v>3500</v>
      </c>
      <c r="R3778" s="31">
        <v>45710</v>
      </c>
      <c r="S3778" s="31" t="s">
        <v>3121</v>
      </c>
      <c r="T3778" s="95" t="str">
        <f t="shared" si="298"/>
        <v>2025 02</v>
      </c>
      <c r="U3778" s="32">
        <f t="shared" si="300"/>
        <v>941</v>
      </c>
      <c r="V3778" s="22">
        <f t="shared" si="301"/>
        <v>0.36772176631496678</v>
      </c>
      <c r="X3778" s="33"/>
      <c r="Y3778" s="33"/>
    </row>
    <row r="3779" spans="1:25" x14ac:dyDescent="0.2">
      <c r="A3779" s="93" t="s">
        <v>1991</v>
      </c>
      <c r="B3779" s="94">
        <f>IFERROR(VLOOKUP($A3779,HeadJournal!$A$1:$NTR$890,COLUMN(HeadJournal!B$1),0),"")</f>
        <v>0</v>
      </c>
      <c r="C3779" s="94" t="str">
        <f>IFERROR(VLOOKUP($A3779,HeadJournal!$A$1:$NTR$890,COLUMN(HeadJournal!C$1),0),"")</f>
        <v>OZON_OA</v>
      </c>
      <c r="D3779" s="125" t="str">
        <f>IFERROR(VLOOKUP($A3779,HeadJournal!$A$1:$NTR$890,COLUMN(HeadJournal!D$1),0),"")</f>
        <v>Доставлен</v>
      </c>
      <c r="E3779" s="95">
        <f>IFERROR(VLOOKUP($A3779,HeadJournal!$A$1:$NTR$890,COLUMN(HeadJournal!G$1),0),"")</f>
        <v>45530</v>
      </c>
      <c r="F3779" s="95" t="str">
        <f t="shared" si="297"/>
        <v>2024 08</v>
      </c>
      <c r="G3779" s="96" t="s">
        <v>5</v>
      </c>
      <c r="H3779" s="161" t="s">
        <v>2790</v>
      </c>
      <c r="I3779" s="97" t="s">
        <v>2666</v>
      </c>
      <c r="J3779" s="97" t="s">
        <v>4139</v>
      </c>
      <c r="K3779" s="29">
        <v>1009</v>
      </c>
      <c r="L3779" s="29">
        <v>0</v>
      </c>
      <c r="M3779" s="30">
        <f>IFERROR(VLOOKUP($A3779,HeadJournal!$A$1:$J$890,COLUMN(HeadJournal!I$1),0)*($K3779+$L3779)/(SUMIF($A:$A,$A3779,$K:$K)+SUMIF($A:$A,$A3779,$L:$L)),0)</f>
        <v>0</v>
      </c>
      <c r="N3779" s="30">
        <f>IFERROR((VLOOKUP($A3779,HeadJournal!$A$1:$K$890,COLUMN(HeadJournal!K$1),0)-VLOOKUP($A3779,HeadJournal!$A$1:$K$890,COLUMN(HeadJournal!J$1),0))*($K3779+$L3779)/(SUMIF($A:$A,$A3779,$K:$K)+SUMIF($A:$A,$A3779,$L:$L)),0)</f>
        <v>0</v>
      </c>
      <c r="O3779" s="30">
        <f>IFERROR((VLOOKUP($A3779,HeadJournal!$A$1:$L$890,COLUMN(HeadJournal!L$1),0)*($K3779+$L3779)/(SUMIF($A:$A,$A3779,$K:$K)+SUMIF($A:$A,$A3779,$L:$L)))/VLOOKUP($A3779,HeadJournal!$A$1:$L$890,COLUMN(HeadJournal!H$1),0),0)</f>
        <v>0</v>
      </c>
      <c r="P3779" s="30">
        <f>IFERROR(SUM(K3779:O3779)*VLOOKUP($A3779,HeadJournal!$A$1:$L$890,COLUMN(HeadJournal!H$1),0),0)</f>
        <v>1009</v>
      </c>
      <c r="Q3779" s="29">
        <v>1800</v>
      </c>
      <c r="R3779" s="31">
        <v>45670</v>
      </c>
      <c r="S3779" s="31" t="s">
        <v>3121</v>
      </c>
      <c r="T3779" s="95" t="str">
        <f t="shared" si="298"/>
        <v>2025 01</v>
      </c>
      <c r="U3779" s="32">
        <f t="shared" si="300"/>
        <v>791</v>
      </c>
      <c r="V3779" s="22">
        <f t="shared" si="301"/>
        <v>0.78394449950445988</v>
      </c>
      <c r="X3779" s="33"/>
      <c r="Y3779" s="33"/>
    </row>
    <row r="3780" spans="1:25" x14ac:dyDescent="0.2">
      <c r="A3780" s="93" t="s">
        <v>1994</v>
      </c>
      <c r="B3780" s="94">
        <f>IFERROR(VLOOKUP($A3780,HeadJournal!$A$1:$NTR$890,COLUMN(HeadJournal!B$1),0),"")</f>
        <v>0</v>
      </c>
      <c r="C3780" s="94" t="str">
        <f>IFERROR(VLOOKUP($A3780,HeadJournal!$A$1:$NTR$890,COLUMN(HeadJournal!C$1),0),"")</f>
        <v>OZON_AV</v>
      </c>
      <c r="D3780" s="125" t="str">
        <f>IFERROR(VLOOKUP($A3780,HeadJournal!$A$1:$NTR$890,COLUMN(HeadJournal!D$1),0),"")</f>
        <v>Доставлен</v>
      </c>
      <c r="E3780" s="95">
        <f>IFERROR(VLOOKUP($A3780,HeadJournal!$A$1:$NTR$890,COLUMN(HeadJournal!G$1),0),"")</f>
        <v>45545</v>
      </c>
      <c r="F3780" s="95" t="str">
        <f t="shared" ref="F3780:F3843" si="302">IFERROR(TEXT(E3780, "ГГГГ ММ"),"")</f>
        <v>2024 09</v>
      </c>
      <c r="G3780" s="96" t="s">
        <v>6</v>
      </c>
      <c r="H3780" s="160" t="str">
        <f>RIGHT(Journal!$J3780,9)</f>
        <v>156652333</v>
      </c>
      <c r="I3780" s="96" t="str">
        <f t="shared" si="299"/>
        <v>Insane Labz</v>
      </c>
      <c r="J3780" s="97" t="s">
        <v>705</v>
      </c>
      <c r="K3780" s="29">
        <v>2240</v>
      </c>
      <c r="L3780" s="29">
        <v>0</v>
      </c>
      <c r="M3780" s="30">
        <f>IFERROR(VLOOKUP($A3780,HeadJournal!$A$1:$J$890,COLUMN(HeadJournal!I$1),0)*($K3780+$L3780)/(SUMIF($A:$A,$A3780,$K:$K)+SUMIF($A:$A,$A3780,$L:$L)),0)</f>
        <v>0</v>
      </c>
      <c r="N3780" s="30">
        <f>IFERROR((VLOOKUP($A3780,HeadJournal!$A$1:$K$890,COLUMN(HeadJournal!K$1),0)-VLOOKUP($A3780,HeadJournal!$A$1:$K$890,COLUMN(HeadJournal!J$1),0))*($K3780+$L3780)/(SUMIF($A:$A,$A3780,$K:$K)+SUMIF($A:$A,$A3780,$L:$L)),0)</f>
        <v>0</v>
      </c>
      <c r="O3780" s="30">
        <f>IFERROR((VLOOKUP($A3780,HeadJournal!$A$1:$L$890,COLUMN(HeadJournal!L$1),0)*($K3780+$L3780)/(SUMIF($A:$A,$A3780,$K:$K)+SUMIF($A:$A,$A3780,$L:$L)))/VLOOKUP($A3780,HeadJournal!$A$1:$L$890,COLUMN(HeadJournal!H$1),0),0)</f>
        <v>0</v>
      </c>
      <c r="P3780" s="30">
        <f>IFERROR(SUM(K3780:O3780)*VLOOKUP($A3780,HeadJournal!$A$1:$L$890,COLUMN(HeadJournal!H$1),0),0)</f>
        <v>2240</v>
      </c>
      <c r="Q3780" s="29">
        <v>3200</v>
      </c>
      <c r="R3780" s="31">
        <v>45551</v>
      </c>
      <c r="S3780" s="31" t="s">
        <v>3121</v>
      </c>
      <c r="T3780" s="95" t="str">
        <f t="shared" ref="T3780:T3843" si="303">IF(R3780="","",TEXT(R3780,"ГГГГ ММ"))</f>
        <v>2024 09</v>
      </c>
      <c r="U3780" s="32">
        <f t="shared" si="300"/>
        <v>960</v>
      </c>
      <c r="V3780" s="22">
        <f t="shared" si="301"/>
        <v>0.42857142857142855</v>
      </c>
      <c r="X3780" s="33"/>
      <c r="Y3780" s="33"/>
    </row>
    <row r="3781" spans="1:25" x14ac:dyDescent="0.2">
      <c r="A3781" s="93" t="s">
        <v>1994</v>
      </c>
      <c r="B3781" s="94">
        <f>IFERROR(VLOOKUP($A3781,HeadJournal!$A$1:$NTR$890,COLUMN(HeadJournal!B$1),0),"")</f>
        <v>0</v>
      </c>
      <c r="C3781" s="94" t="str">
        <f>IFERROR(VLOOKUP($A3781,HeadJournal!$A$1:$NTR$890,COLUMN(HeadJournal!C$1),0),"")</f>
        <v>OZON_AV</v>
      </c>
      <c r="D3781" s="125" t="str">
        <f>IFERROR(VLOOKUP($A3781,HeadJournal!$A$1:$NTR$890,COLUMN(HeadJournal!D$1),0),"")</f>
        <v>Доставлен</v>
      </c>
      <c r="E3781" s="95">
        <f>IFERROR(VLOOKUP($A3781,HeadJournal!$A$1:$NTR$890,COLUMN(HeadJournal!G$1),0),"")</f>
        <v>45545</v>
      </c>
      <c r="F3781" s="95" t="str">
        <f t="shared" si="302"/>
        <v>2024 09</v>
      </c>
      <c r="G3781" s="96" t="s">
        <v>6</v>
      </c>
      <c r="H3781" s="160" t="str">
        <f>RIGHT(Journal!$J3781,9)</f>
        <v>156652333</v>
      </c>
      <c r="I3781" s="96" t="str">
        <f t="shared" si="299"/>
        <v>Insane Labz</v>
      </c>
      <c r="J3781" s="97" t="s">
        <v>705</v>
      </c>
      <c r="K3781" s="29">
        <v>2240</v>
      </c>
      <c r="L3781" s="29">
        <v>0</v>
      </c>
      <c r="M3781" s="30">
        <f>IFERROR(VLOOKUP($A3781,HeadJournal!$A$1:$J$890,COLUMN(HeadJournal!I$1),0)*($K3781+$L3781)/(SUMIF($A:$A,$A3781,$K:$K)+SUMIF($A:$A,$A3781,$L:$L)),0)</f>
        <v>0</v>
      </c>
      <c r="N3781" s="30">
        <f>IFERROR((VLOOKUP($A3781,HeadJournal!$A$1:$K$890,COLUMN(HeadJournal!K$1),0)-VLOOKUP($A3781,HeadJournal!$A$1:$K$890,COLUMN(HeadJournal!J$1),0))*($K3781+$L3781)/(SUMIF($A:$A,$A3781,$K:$K)+SUMIF($A:$A,$A3781,$L:$L)),0)</f>
        <v>0</v>
      </c>
      <c r="O3781" s="30">
        <f>IFERROR((VLOOKUP($A3781,HeadJournal!$A$1:$L$890,COLUMN(HeadJournal!L$1),0)*($K3781+$L3781)/(SUMIF($A:$A,$A3781,$K:$K)+SUMIF($A:$A,$A3781,$L:$L)))/VLOOKUP($A3781,HeadJournal!$A$1:$L$890,COLUMN(HeadJournal!H$1),0),0)</f>
        <v>0</v>
      </c>
      <c r="P3781" s="30">
        <f>IFERROR(SUM(K3781:O3781)*VLOOKUP($A3781,HeadJournal!$A$1:$L$890,COLUMN(HeadJournal!H$1),0),0)</f>
        <v>2240</v>
      </c>
      <c r="Q3781" s="29">
        <v>3100</v>
      </c>
      <c r="R3781" s="31">
        <v>45551</v>
      </c>
      <c r="S3781" s="31" t="s">
        <v>3121</v>
      </c>
      <c r="T3781" s="95" t="str">
        <f t="shared" si="303"/>
        <v>2024 09</v>
      </c>
      <c r="U3781" s="32">
        <f t="shared" si="300"/>
        <v>860</v>
      </c>
      <c r="V3781" s="22">
        <f t="shared" si="301"/>
        <v>0.38392857142857145</v>
      </c>
      <c r="X3781" s="33"/>
      <c r="Y3781" s="33"/>
    </row>
    <row r="3782" spans="1:25" x14ac:dyDescent="0.2">
      <c r="A3782" s="93" t="s">
        <v>1994</v>
      </c>
      <c r="B3782" s="94">
        <f>IFERROR(VLOOKUP($A3782,HeadJournal!$A$1:$NTR$890,COLUMN(HeadJournal!B$1),0),"")</f>
        <v>0</v>
      </c>
      <c r="C3782" s="94" t="str">
        <f>IFERROR(VLOOKUP($A3782,HeadJournal!$A$1:$NTR$890,COLUMN(HeadJournal!C$1),0),"")</f>
        <v>OZON_AV</v>
      </c>
      <c r="D3782" s="125" t="str">
        <f>IFERROR(VLOOKUP($A3782,HeadJournal!$A$1:$NTR$890,COLUMN(HeadJournal!D$1),0),"")</f>
        <v>Доставлен</v>
      </c>
      <c r="E3782" s="95">
        <f>IFERROR(VLOOKUP($A3782,HeadJournal!$A$1:$NTR$890,COLUMN(HeadJournal!G$1),0),"")</f>
        <v>45545</v>
      </c>
      <c r="F3782" s="95" t="str">
        <f t="shared" si="302"/>
        <v>2024 09</v>
      </c>
      <c r="G3782" s="96" t="s">
        <v>6</v>
      </c>
      <c r="H3782" s="160" t="str">
        <f>RIGHT(Journal!$J3782,9)</f>
        <v>012785778</v>
      </c>
      <c r="I3782" s="96" t="str">
        <f t="shared" si="299"/>
        <v>Insane Labz</v>
      </c>
      <c r="J3782" s="97" t="s">
        <v>1995</v>
      </c>
      <c r="K3782" s="29">
        <v>2240</v>
      </c>
      <c r="L3782" s="29">
        <v>0</v>
      </c>
      <c r="M3782" s="30">
        <f>IFERROR(VLOOKUP($A3782,HeadJournal!$A$1:$J$890,COLUMN(HeadJournal!I$1),0)*($K3782+$L3782)/(SUMIF($A:$A,$A3782,$K:$K)+SUMIF($A:$A,$A3782,$L:$L)),0)</f>
        <v>0</v>
      </c>
      <c r="N3782" s="30">
        <f>IFERROR((VLOOKUP($A3782,HeadJournal!$A$1:$K$890,COLUMN(HeadJournal!K$1),0)-VLOOKUP($A3782,HeadJournal!$A$1:$K$890,COLUMN(HeadJournal!J$1),0))*($K3782+$L3782)/(SUMIF($A:$A,$A3782,$K:$K)+SUMIF($A:$A,$A3782,$L:$L)),0)</f>
        <v>0</v>
      </c>
      <c r="O3782" s="30">
        <f>IFERROR((VLOOKUP($A3782,HeadJournal!$A$1:$L$890,COLUMN(HeadJournal!L$1),0)*($K3782+$L3782)/(SUMIF($A:$A,$A3782,$K:$K)+SUMIF($A:$A,$A3782,$L:$L)))/VLOOKUP($A3782,HeadJournal!$A$1:$L$890,COLUMN(HeadJournal!H$1),0),0)</f>
        <v>0</v>
      </c>
      <c r="P3782" s="30">
        <f>IFERROR(SUM(K3782:O3782)*VLOOKUP($A3782,HeadJournal!$A$1:$L$890,COLUMN(HeadJournal!H$1),0),0)</f>
        <v>2240</v>
      </c>
      <c r="Q3782" s="29">
        <v>3300</v>
      </c>
      <c r="R3782" s="31">
        <v>45553</v>
      </c>
      <c r="S3782" s="31" t="s">
        <v>3121</v>
      </c>
      <c r="T3782" s="95" t="str">
        <f t="shared" si="303"/>
        <v>2024 09</v>
      </c>
      <c r="U3782" s="32">
        <f t="shared" si="300"/>
        <v>1060</v>
      </c>
      <c r="V3782" s="22">
        <f t="shared" si="301"/>
        <v>0.4732142857142857</v>
      </c>
      <c r="X3782" s="33"/>
      <c r="Y3782" s="33"/>
    </row>
    <row r="3783" spans="1:25" x14ac:dyDescent="0.2">
      <c r="A3783" s="93" t="s">
        <v>1996</v>
      </c>
      <c r="B3783" s="94">
        <f>IFERROR(VLOOKUP($A3783,HeadJournal!$A$1:$NTR$890,COLUMN(HeadJournal!B$1),0),"")</f>
        <v>0</v>
      </c>
      <c r="C3783" s="94" t="str">
        <f>IFERROR(VLOOKUP($A3783,HeadJournal!$A$1:$NTR$890,COLUMN(HeadJournal!C$1),0),"")</f>
        <v>WBRS</v>
      </c>
      <c r="D3783" s="125" t="str">
        <f>IFERROR(VLOOKUP($A3783,HeadJournal!$A$1:$NTR$890,COLUMN(HeadJournal!D$1),0),"")</f>
        <v>Доставлен</v>
      </c>
      <c r="E3783" s="95">
        <f>IFERROR(VLOOKUP($A3783,HeadJournal!$A$1:$NTR$890,COLUMN(HeadJournal!G$1),0),"")</f>
        <v>45548</v>
      </c>
      <c r="F3783" s="95" t="str">
        <f t="shared" si="302"/>
        <v>2024 09</v>
      </c>
      <c r="G3783" s="96" t="s">
        <v>5</v>
      </c>
      <c r="H3783" s="160" t="str">
        <f>RIGHT(Journal!$J3783,9)</f>
        <v>000000264</v>
      </c>
      <c r="I3783" s="96" t="str">
        <f t="shared" si="299"/>
        <v>Forever</v>
      </c>
      <c r="J3783" s="97" t="s">
        <v>1978</v>
      </c>
      <c r="K3783" s="29">
        <v>2455</v>
      </c>
      <c r="L3783" s="29">
        <v>0</v>
      </c>
      <c r="M3783" s="30">
        <f>IFERROR(VLOOKUP($A3783,HeadJournal!$A$1:$J$890,COLUMN(HeadJournal!I$1),0)*($K3783+$L3783)/(SUMIF($A:$A,$A3783,$K:$K)+SUMIF($A:$A,$A3783,$L:$L)),0)</f>
        <v>0</v>
      </c>
      <c r="N3783" s="30">
        <f>IFERROR((VLOOKUP($A3783,HeadJournal!$A$1:$K$890,COLUMN(HeadJournal!K$1),0)-VLOOKUP($A3783,HeadJournal!$A$1:$K$890,COLUMN(HeadJournal!J$1),0))*($K3783+$L3783)/(SUMIF($A:$A,$A3783,$K:$K)+SUMIF($A:$A,$A3783,$L:$L)),0)</f>
        <v>0</v>
      </c>
      <c r="O3783" s="30">
        <f>IFERROR((VLOOKUP($A3783,HeadJournal!$A$1:$L$890,COLUMN(HeadJournal!L$1),0)*($K3783+$L3783)/(SUMIF($A:$A,$A3783,$K:$K)+SUMIF($A:$A,$A3783,$L:$L)))/VLOOKUP($A3783,HeadJournal!$A$1:$L$890,COLUMN(HeadJournal!H$1),0),0)</f>
        <v>0</v>
      </c>
      <c r="P3783" s="30">
        <f>IFERROR(SUM(K3783:O3783)*VLOOKUP($A3783,HeadJournal!$A$1:$L$890,COLUMN(HeadJournal!H$1),0),0)</f>
        <v>2455</v>
      </c>
      <c r="Q3783" s="29">
        <v>3400</v>
      </c>
      <c r="R3783" s="31">
        <v>45549</v>
      </c>
      <c r="S3783" s="31" t="s">
        <v>3121</v>
      </c>
      <c r="T3783" s="95" t="str">
        <f t="shared" si="303"/>
        <v>2024 09</v>
      </c>
      <c r="U3783" s="32">
        <f t="shared" si="300"/>
        <v>945</v>
      </c>
      <c r="V3783" s="22">
        <f t="shared" si="301"/>
        <v>0.38492871690427699</v>
      </c>
      <c r="X3783" s="33"/>
      <c r="Y3783" s="33"/>
    </row>
    <row r="3784" spans="1:25" x14ac:dyDescent="0.2">
      <c r="A3784" s="93" t="s">
        <v>1996</v>
      </c>
      <c r="B3784" s="94">
        <f>IFERROR(VLOOKUP($A3784,HeadJournal!$A$1:$NTR$890,COLUMN(HeadJournal!B$1),0),"")</f>
        <v>0</v>
      </c>
      <c r="C3784" s="94" t="str">
        <f>IFERROR(VLOOKUP($A3784,HeadJournal!$A$1:$NTR$890,COLUMN(HeadJournal!C$1),0),"")</f>
        <v>WBRS</v>
      </c>
      <c r="D3784" s="125" t="str">
        <f>IFERROR(VLOOKUP($A3784,HeadJournal!$A$1:$NTR$890,COLUMN(HeadJournal!D$1),0),"")</f>
        <v>Доставлен</v>
      </c>
      <c r="E3784" s="95">
        <f>IFERROR(VLOOKUP($A3784,HeadJournal!$A$1:$NTR$890,COLUMN(HeadJournal!G$1),0),"")</f>
        <v>45548</v>
      </c>
      <c r="F3784" s="95" t="str">
        <f t="shared" si="302"/>
        <v>2024 09</v>
      </c>
      <c r="G3784" s="96" t="s">
        <v>5</v>
      </c>
      <c r="H3784" s="160" t="str">
        <f>RIGHT(Journal!$J3784,9)</f>
        <v>000000264</v>
      </c>
      <c r="I3784" s="96" t="str">
        <f t="shared" si="299"/>
        <v>Forever</v>
      </c>
      <c r="J3784" s="97" t="s">
        <v>1978</v>
      </c>
      <c r="K3784" s="29">
        <v>2455</v>
      </c>
      <c r="L3784" s="29">
        <v>0</v>
      </c>
      <c r="M3784" s="30">
        <f>IFERROR(VLOOKUP($A3784,HeadJournal!$A$1:$J$890,COLUMN(HeadJournal!I$1),0)*($K3784+$L3784)/(SUMIF($A:$A,$A3784,$K:$K)+SUMIF($A:$A,$A3784,$L:$L)),0)</f>
        <v>0</v>
      </c>
      <c r="N3784" s="30">
        <f>IFERROR((VLOOKUP($A3784,HeadJournal!$A$1:$K$890,COLUMN(HeadJournal!K$1),0)-VLOOKUP($A3784,HeadJournal!$A$1:$K$890,COLUMN(HeadJournal!J$1),0))*($K3784+$L3784)/(SUMIF($A:$A,$A3784,$K:$K)+SUMIF($A:$A,$A3784,$L:$L)),0)</f>
        <v>0</v>
      </c>
      <c r="O3784" s="30">
        <f>IFERROR((VLOOKUP($A3784,HeadJournal!$A$1:$L$890,COLUMN(HeadJournal!L$1),0)*($K3784+$L3784)/(SUMIF($A:$A,$A3784,$K:$K)+SUMIF($A:$A,$A3784,$L:$L)))/VLOOKUP($A3784,HeadJournal!$A$1:$L$890,COLUMN(HeadJournal!H$1),0),0)</f>
        <v>0</v>
      </c>
      <c r="P3784" s="30">
        <f>IFERROR(SUM(K3784:O3784)*VLOOKUP($A3784,HeadJournal!$A$1:$L$890,COLUMN(HeadJournal!H$1),0),0)</f>
        <v>2455</v>
      </c>
      <c r="Q3784" s="29">
        <v>3400</v>
      </c>
      <c r="R3784" s="31">
        <v>45549</v>
      </c>
      <c r="S3784" s="31" t="s">
        <v>3121</v>
      </c>
      <c r="T3784" s="95" t="str">
        <f t="shared" si="303"/>
        <v>2024 09</v>
      </c>
      <c r="U3784" s="32">
        <f t="shared" si="300"/>
        <v>945</v>
      </c>
      <c r="V3784" s="22">
        <f t="shared" si="301"/>
        <v>0.38492871690427699</v>
      </c>
      <c r="X3784" s="33"/>
      <c r="Y3784" s="33"/>
    </row>
    <row r="3785" spans="1:25" x14ac:dyDescent="0.2">
      <c r="A3785" s="93" t="s">
        <v>1996</v>
      </c>
      <c r="B3785" s="94">
        <f>IFERROR(VLOOKUP($A3785,HeadJournal!$A$1:$NTR$890,COLUMN(HeadJournal!B$1),0),"")</f>
        <v>0</v>
      </c>
      <c r="C3785" s="94" t="str">
        <f>IFERROR(VLOOKUP($A3785,HeadJournal!$A$1:$NTR$890,COLUMN(HeadJournal!C$1),0),"")</f>
        <v>WBRS</v>
      </c>
      <c r="D3785" s="125" t="str">
        <f>IFERROR(VLOOKUP($A3785,HeadJournal!$A$1:$NTR$890,COLUMN(HeadJournal!D$1),0),"")</f>
        <v>Доставлен</v>
      </c>
      <c r="E3785" s="95">
        <f>IFERROR(VLOOKUP($A3785,HeadJournal!$A$1:$NTR$890,COLUMN(HeadJournal!G$1),0),"")</f>
        <v>45548</v>
      </c>
      <c r="F3785" s="95" t="str">
        <f t="shared" si="302"/>
        <v>2024 09</v>
      </c>
      <c r="G3785" s="96" t="s">
        <v>5</v>
      </c>
      <c r="H3785" s="161" t="s">
        <v>3677</v>
      </c>
      <c r="I3785" s="97" t="s">
        <v>1368</v>
      </c>
      <c r="J3785" s="97" t="s">
        <v>3678</v>
      </c>
      <c r="K3785" s="29">
        <v>2579</v>
      </c>
      <c r="L3785" s="29">
        <v>0</v>
      </c>
      <c r="M3785" s="30">
        <f>IFERROR(VLOOKUP($A3785,HeadJournal!$A$1:$J$890,COLUMN(HeadJournal!I$1),0)*($K3785+$L3785)/(SUMIF($A:$A,$A3785,$K:$K)+SUMIF($A:$A,$A3785,$L:$L)),0)</f>
        <v>0</v>
      </c>
      <c r="N3785" s="30">
        <f>IFERROR((VLOOKUP($A3785,HeadJournal!$A$1:$K$890,COLUMN(HeadJournal!K$1),0)-VLOOKUP($A3785,HeadJournal!$A$1:$K$890,COLUMN(HeadJournal!J$1),0))*($K3785+$L3785)/(SUMIF($A:$A,$A3785,$K:$K)+SUMIF($A:$A,$A3785,$L:$L)),0)</f>
        <v>0</v>
      </c>
      <c r="O3785" s="30">
        <f>IFERROR((VLOOKUP($A3785,HeadJournal!$A$1:$L$890,COLUMN(HeadJournal!L$1),0)*($K3785+$L3785)/(SUMIF($A:$A,$A3785,$K:$K)+SUMIF($A:$A,$A3785,$L:$L)))/VLOOKUP($A3785,HeadJournal!$A$1:$L$890,COLUMN(HeadJournal!H$1),0),0)</f>
        <v>0</v>
      </c>
      <c r="P3785" s="30">
        <f>IFERROR(SUM(K3785:O3785)*VLOOKUP($A3785,HeadJournal!$A$1:$L$890,COLUMN(HeadJournal!H$1),0),0)</f>
        <v>2579</v>
      </c>
      <c r="Q3785" s="29">
        <v>3500</v>
      </c>
      <c r="R3785" s="31">
        <v>45549</v>
      </c>
      <c r="S3785" s="31" t="s">
        <v>3121</v>
      </c>
      <c r="T3785" s="95" t="str">
        <f t="shared" si="303"/>
        <v>2024 09</v>
      </c>
      <c r="U3785" s="32">
        <f t="shared" si="300"/>
        <v>921</v>
      </c>
      <c r="V3785" s="22">
        <f t="shared" si="301"/>
        <v>0.35711516091508338</v>
      </c>
      <c r="X3785" s="33"/>
      <c r="Y3785" s="33"/>
    </row>
    <row r="3786" spans="1:25" x14ac:dyDescent="0.2">
      <c r="A3786" s="93" t="s">
        <v>1996</v>
      </c>
      <c r="B3786" s="94">
        <f>IFERROR(VLOOKUP($A3786,HeadJournal!$A$1:$NTR$890,COLUMN(HeadJournal!B$1),0),"")</f>
        <v>0</v>
      </c>
      <c r="C3786" s="94" t="str">
        <f>IFERROR(VLOOKUP($A3786,HeadJournal!$A$1:$NTR$890,COLUMN(HeadJournal!C$1),0),"")</f>
        <v>WBRS</v>
      </c>
      <c r="D3786" s="125" t="str">
        <f>IFERROR(VLOOKUP($A3786,HeadJournal!$A$1:$NTR$890,COLUMN(HeadJournal!D$1),0),"")</f>
        <v>Доставлен</v>
      </c>
      <c r="E3786" s="95">
        <f>IFERROR(VLOOKUP($A3786,HeadJournal!$A$1:$NTR$890,COLUMN(HeadJournal!G$1),0),"")</f>
        <v>45548</v>
      </c>
      <c r="F3786" s="95" t="str">
        <f t="shared" si="302"/>
        <v>2024 09</v>
      </c>
      <c r="G3786" s="96" t="s">
        <v>5</v>
      </c>
      <c r="H3786" s="161" t="s">
        <v>3677</v>
      </c>
      <c r="I3786" s="97" t="s">
        <v>1368</v>
      </c>
      <c r="J3786" s="97" t="s">
        <v>3678</v>
      </c>
      <c r="K3786" s="29">
        <v>2579</v>
      </c>
      <c r="L3786" s="29">
        <v>0</v>
      </c>
      <c r="M3786" s="30">
        <f>IFERROR(VLOOKUP($A3786,HeadJournal!$A$1:$J$890,COLUMN(HeadJournal!I$1),0)*($K3786+$L3786)/(SUMIF($A:$A,$A3786,$K:$K)+SUMIF($A:$A,$A3786,$L:$L)),0)</f>
        <v>0</v>
      </c>
      <c r="N3786" s="30">
        <f>IFERROR((VLOOKUP($A3786,HeadJournal!$A$1:$K$890,COLUMN(HeadJournal!K$1),0)-VLOOKUP($A3786,HeadJournal!$A$1:$K$890,COLUMN(HeadJournal!J$1),0))*($K3786+$L3786)/(SUMIF($A:$A,$A3786,$K:$K)+SUMIF($A:$A,$A3786,$L:$L)),0)</f>
        <v>0</v>
      </c>
      <c r="O3786" s="30">
        <f>IFERROR((VLOOKUP($A3786,HeadJournal!$A$1:$L$890,COLUMN(HeadJournal!L$1),0)*($K3786+$L3786)/(SUMIF($A:$A,$A3786,$K:$K)+SUMIF($A:$A,$A3786,$L:$L)))/VLOOKUP($A3786,HeadJournal!$A$1:$L$890,COLUMN(HeadJournal!H$1),0),0)</f>
        <v>0</v>
      </c>
      <c r="P3786" s="30">
        <f>IFERROR(SUM(K3786:O3786)*VLOOKUP($A3786,HeadJournal!$A$1:$L$890,COLUMN(HeadJournal!H$1),0),0)</f>
        <v>2579</v>
      </c>
      <c r="Q3786" s="29">
        <v>3500</v>
      </c>
      <c r="R3786" s="31">
        <v>45558</v>
      </c>
      <c r="S3786" s="31" t="s">
        <v>3121</v>
      </c>
      <c r="T3786" s="95" t="str">
        <f t="shared" si="303"/>
        <v>2024 09</v>
      </c>
      <c r="U3786" s="32">
        <f t="shared" si="300"/>
        <v>921</v>
      </c>
      <c r="V3786" s="22">
        <f t="shared" si="301"/>
        <v>0.35711516091508338</v>
      </c>
      <c r="X3786" s="33"/>
      <c r="Y3786" s="33"/>
    </row>
    <row r="3787" spans="1:25" x14ac:dyDescent="0.2">
      <c r="A3787" s="93" t="s">
        <v>1996</v>
      </c>
      <c r="B3787" s="94">
        <f>IFERROR(VLOOKUP($A3787,HeadJournal!$A$1:$NTR$890,COLUMN(HeadJournal!B$1),0),"")</f>
        <v>0</v>
      </c>
      <c r="C3787" s="94" t="str">
        <f>IFERROR(VLOOKUP($A3787,HeadJournal!$A$1:$NTR$890,COLUMN(HeadJournal!C$1),0),"")</f>
        <v>WBRS</v>
      </c>
      <c r="D3787" s="125" t="str">
        <f>IFERROR(VLOOKUP($A3787,HeadJournal!$A$1:$NTR$890,COLUMN(HeadJournal!D$1),0),"")</f>
        <v>Доставлен</v>
      </c>
      <c r="E3787" s="95">
        <f>IFERROR(VLOOKUP($A3787,HeadJournal!$A$1:$NTR$890,COLUMN(HeadJournal!G$1),0),"")</f>
        <v>45548</v>
      </c>
      <c r="F3787" s="95" t="str">
        <f t="shared" si="302"/>
        <v>2024 09</v>
      </c>
      <c r="G3787" s="96" t="s">
        <v>6</v>
      </c>
      <c r="H3787" s="160" t="str">
        <f>RIGHT(Journal!$J3787,9)</f>
        <v>238416753</v>
      </c>
      <c r="I3787" s="96" t="str">
        <f t="shared" si="299"/>
        <v>Maxler</v>
      </c>
      <c r="J3787" s="97" t="s">
        <v>1997</v>
      </c>
      <c r="K3787" s="29">
        <v>5900</v>
      </c>
      <c r="L3787" s="29">
        <v>0</v>
      </c>
      <c r="M3787" s="30">
        <f>IFERROR(VLOOKUP($A3787,HeadJournal!$A$1:$J$890,COLUMN(HeadJournal!I$1),0)*($K3787+$L3787)/(SUMIF($A:$A,$A3787,$K:$K)+SUMIF($A:$A,$A3787,$L:$L)),0)</f>
        <v>0</v>
      </c>
      <c r="N3787" s="30">
        <f>IFERROR((VLOOKUP($A3787,HeadJournal!$A$1:$K$890,COLUMN(HeadJournal!K$1),0)-VLOOKUP($A3787,HeadJournal!$A$1:$K$890,COLUMN(HeadJournal!J$1),0))*($K3787+$L3787)/(SUMIF($A:$A,$A3787,$K:$K)+SUMIF($A:$A,$A3787,$L:$L)),0)</f>
        <v>0</v>
      </c>
      <c r="O3787" s="30">
        <f>IFERROR((VLOOKUP($A3787,HeadJournal!$A$1:$L$890,COLUMN(HeadJournal!L$1),0)*($K3787+$L3787)/(SUMIF($A:$A,$A3787,$K:$K)+SUMIF($A:$A,$A3787,$L:$L)))/VLOOKUP($A3787,HeadJournal!$A$1:$L$890,COLUMN(HeadJournal!H$1),0),0)</f>
        <v>0</v>
      </c>
      <c r="P3787" s="30">
        <f>IFERROR(SUM(K3787:O3787)*VLOOKUP($A3787,HeadJournal!$A$1:$L$890,COLUMN(HeadJournal!H$1),0),0)</f>
        <v>5900</v>
      </c>
      <c r="Q3787" s="29">
        <v>6900</v>
      </c>
      <c r="R3787" s="31">
        <v>45553</v>
      </c>
      <c r="S3787" s="31" t="s">
        <v>3121</v>
      </c>
      <c r="T3787" s="95" t="str">
        <f t="shared" si="303"/>
        <v>2024 09</v>
      </c>
      <c r="U3787" s="32">
        <f t="shared" si="300"/>
        <v>1000</v>
      </c>
      <c r="V3787" s="22">
        <f t="shared" si="301"/>
        <v>0.16949152542372881</v>
      </c>
      <c r="X3787" s="33"/>
      <c r="Y3787" s="33"/>
    </row>
    <row r="3788" spans="1:25" x14ac:dyDescent="0.2">
      <c r="A3788" s="93" t="s">
        <v>1996</v>
      </c>
      <c r="B3788" s="94">
        <f>IFERROR(VLOOKUP($A3788,HeadJournal!$A$1:$NTR$890,COLUMN(HeadJournal!B$1),0),"")</f>
        <v>0</v>
      </c>
      <c r="C3788" s="94" t="str">
        <f>IFERROR(VLOOKUP($A3788,HeadJournal!$A$1:$NTR$890,COLUMN(HeadJournal!C$1),0),"")</f>
        <v>WBRS</v>
      </c>
      <c r="D3788" s="125" t="str">
        <f>IFERROR(VLOOKUP($A3788,HeadJournal!$A$1:$NTR$890,COLUMN(HeadJournal!D$1),0),"")</f>
        <v>Доставлен</v>
      </c>
      <c r="E3788" s="95">
        <f>IFERROR(VLOOKUP($A3788,HeadJournal!$A$1:$NTR$890,COLUMN(HeadJournal!G$1),0),"")</f>
        <v>45548</v>
      </c>
      <c r="F3788" s="95" t="str">
        <f t="shared" si="302"/>
        <v>2024 09</v>
      </c>
      <c r="G3788" s="96" t="s">
        <v>6</v>
      </c>
      <c r="H3788" s="160" t="str">
        <f>RIGHT(Journal!$J3788,9)</f>
        <v>238416753</v>
      </c>
      <c r="I3788" s="96" t="str">
        <f t="shared" si="299"/>
        <v>Maxler</v>
      </c>
      <c r="J3788" s="97" t="s">
        <v>1997</v>
      </c>
      <c r="K3788" s="29">
        <v>5900</v>
      </c>
      <c r="L3788" s="29">
        <v>0</v>
      </c>
      <c r="M3788" s="30">
        <f>IFERROR(VLOOKUP($A3788,HeadJournal!$A$1:$J$890,COLUMN(HeadJournal!I$1),0)*($K3788+$L3788)/(SUMIF($A:$A,$A3788,$K:$K)+SUMIF($A:$A,$A3788,$L:$L)),0)</f>
        <v>0</v>
      </c>
      <c r="N3788" s="30">
        <f>IFERROR((VLOOKUP($A3788,HeadJournal!$A$1:$K$890,COLUMN(HeadJournal!K$1),0)-VLOOKUP($A3788,HeadJournal!$A$1:$K$890,COLUMN(HeadJournal!J$1),0))*($K3788+$L3788)/(SUMIF($A:$A,$A3788,$K:$K)+SUMIF($A:$A,$A3788,$L:$L)),0)</f>
        <v>0</v>
      </c>
      <c r="O3788" s="30">
        <f>IFERROR((VLOOKUP($A3788,HeadJournal!$A$1:$L$890,COLUMN(HeadJournal!L$1),0)*($K3788+$L3788)/(SUMIF($A:$A,$A3788,$K:$K)+SUMIF($A:$A,$A3788,$L:$L)))/VLOOKUP($A3788,HeadJournal!$A$1:$L$890,COLUMN(HeadJournal!H$1),0),0)</f>
        <v>0</v>
      </c>
      <c r="P3788" s="30">
        <f>IFERROR(SUM(K3788:O3788)*VLOOKUP($A3788,HeadJournal!$A$1:$L$890,COLUMN(HeadJournal!H$1),0),0)</f>
        <v>5900</v>
      </c>
      <c r="Q3788" s="29">
        <v>6900</v>
      </c>
      <c r="R3788" s="31">
        <v>45553</v>
      </c>
      <c r="S3788" s="31" t="s">
        <v>3121</v>
      </c>
      <c r="T3788" s="95" t="str">
        <f t="shared" si="303"/>
        <v>2024 09</v>
      </c>
      <c r="U3788" s="32">
        <f t="shared" si="300"/>
        <v>1000</v>
      </c>
      <c r="V3788" s="22">
        <f t="shared" si="301"/>
        <v>0.16949152542372881</v>
      </c>
      <c r="X3788" s="33"/>
      <c r="Y3788" s="33"/>
    </row>
    <row r="3789" spans="1:25" x14ac:dyDescent="0.2">
      <c r="A3789" s="93" t="s">
        <v>1996</v>
      </c>
      <c r="B3789" s="94">
        <f>IFERROR(VLOOKUP($A3789,HeadJournal!$A$1:$NTR$890,COLUMN(HeadJournal!B$1),0),"")</f>
        <v>0</v>
      </c>
      <c r="C3789" s="94" t="str">
        <f>IFERROR(VLOOKUP($A3789,HeadJournal!$A$1:$NTR$890,COLUMN(HeadJournal!C$1),0),"")</f>
        <v>WBRS</v>
      </c>
      <c r="D3789" s="125" t="str">
        <f>IFERROR(VLOOKUP($A3789,HeadJournal!$A$1:$NTR$890,COLUMN(HeadJournal!D$1),0),"")</f>
        <v>Доставлен</v>
      </c>
      <c r="E3789" s="95">
        <f>IFERROR(VLOOKUP($A3789,HeadJournal!$A$1:$NTR$890,COLUMN(HeadJournal!G$1),0),"")</f>
        <v>45548</v>
      </c>
      <c r="F3789" s="95" t="str">
        <f t="shared" si="302"/>
        <v>2024 09</v>
      </c>
      <c r="G3789" s="96" t="s">
        <v>6</v>
      </c>
      <c r="H3789" s="160" t="str">
        <f>RIGHT(Journal!$J3789,9)</f>
        <v>238416753</v>
      </c>
      <c r="I3789" s="96" t="str">
        <f t="shared" si="299"/>
        <v>Maxler</v>
      </c>
      <c r="J3789" s="97" t="s">
        <v>1997</v>
      </c>
      <c r="K3789" s="29">
        <v>5900</v>
      </c>
      <c r="L3789" s="29">
        <v>0</v>
      </c>
      <c r="M3789" s="30">
        <f>IFERROR(VLOOKUP($A3789,HeadJournal!$A$1:$J$890,COLUMN(HeadJournal!I$1),0)*($K3789+$L3789)/(SUMIF($A:$A,$A3789,$K:$K)+SUMIF($A:$A,$A3789,$L:$L)),0)</f>
        <v>0</v>
      </c>
      <c r="N3789" s="30">
        <f>IFERROR((VLOOKUP($A3789,HeadJournal!$A$1:$K$890,COLUMN(HeadJournal!K$1),0)-VLOOKUP($A3789,HeadJournal!$A$1:$K$890,COLUMN(HeadJournal!J$1),0))*($K3789+$L3789)/(SUMIF($A:$A,$A3789,$K:$K)+SUMIF($A:$A,$A3789,$L:$L)),0)</f>
        <v>0</v>
      </c>
      <c r="O3789" s="30">
        <f>IFERROR((VLOOKUP($A3789,HeadJournal!$A$1:$L$890,COLUMN(HeadJournal!L$1),0)*($K3789+$L3789)/(SUMIF($A:$A,$A3789,$K:$K)+SUMIF($A:$A,$A3789,$L:$L)))/VLOOKUP($A3789,HeadJournal!$A$1:$L$890,COLUMN(HeadJournal!H$1),0),0)</f>
        <v>0</v>
      </c>
      <c r="P3789" s="30">
        <f>IFERROR(SUM(K3789:O3789)*VLOOKUP($A3789,HeadJournal!$A$1:$L$890,COLUMN(HeadJournal!H$1),0),0)</f>
        <v>5900</v>
      </c>
      <c r="Q3789" s="29">
        <v>6900</v>
      </c>
      <c r="R3789" s="31">
        <v>45553</v>
      </c>
      <c r="S3789" s="31" t="s">
        <v>3121</v>
      </c>
      <c r="T3789" s="95" t="str">
        <f t="shared" si="303"/>
        <v>2024 09</v>
      </c>
      <c r="U3789" s="32">
        <f t="shared" si="300"/>
        <v>1000</v>
      </c>
      <c r="V3789" s="22">
        <f t="shared" si="301"/>
        <v>0.16949152542372881</v>
      </c>
      <c r="X3789" s="33"/>
      <c r="Y3789" s="33"/>
    </row>
    <row r="3790" spans="1:25" x14ac:dyDescent="0.2">
      <c r="A3790" s="93" t="s">
        <v>1999</v>
      </c>
      <c r="B3790" s="94">
        <f>IFERROR(VLOOKUP($A3790,HeadJournal!$A$1:$NTR$890,COLUMN(HeadJournal!B$1),0),"")</f>
        <v>0</v>
      </c>
      <c r="C3790" s="94" t="str">
        <f>IFERROR(VLOOKUP($A3790,HeadJournal!$A$1:$NTR$890,COLUMN(HeadJournal!C$1),0),"")</f>
        <v>OZON_OA</v>
      </c>
      <c r="D3790" s="125" t="str">
        <f>IFERROR(VLOOKUP($A3790,HeadJournal!$A$1:$NTR$890,COLUMN(HeadJournal!D$1),0),"")</f>
        <v>Доставлен</v>
      </c>
      <c r="E3790" s="95">
        <f>IFERROR(VLOOKUP($A3790,HeadJournal!$A$1:$NTR$890,COLUMN(HeadJournal!G$1),0),"")</f>
        <v>45545</v>
      </c>
      <c r="F3790" s="95" t="str">
        <f t="shared" si="302"/>
        <v>2024 09</v>
      </c>
      <c r="G3790" s="96" t="s">
        <v>6</v>
      </c>
      <c r="H3790" s="160" t="str">
        <f>RIGHT(Journal!$J3790,9)</f>
        <v>672307287</v>
      </c>
      <c r="I3790" s="96" t="str">
        <f t="shared" si="299"/>
        <v>Tree of Life</v>
      </c>
      <c r="J3790" s="97" t="s">
        <v>1876</v>
      </c>
      <c r="K3790" s="29">
        <v>2004</v>
      </c>
      <c r="L3790" s="29">
        <v>0</v>
      </c>
      <c r="M3790" s="30">
        <f>IFERROR(VLOOKUP($A3790,HeadJournal!$A$1:$J$890,COLUMN(HeadJournal!I$1),0)*($K3790+$L3790)/(SUMIF($A:$A,$A3790,$K:$K)+SUMIF($A:$A,$A3790,$L:$L)),0)</f>
        <v>0</v>
      </c>
      <c r="N3790" s="30">
        <f>IFERROR((VLOOKUP($A3790,HeadJournal!$A$1:$K$890,COLUMN(HeadJournal!K$1),0)-VLOOKUP($A3790,HeadJournal!$A$1:$K$890,COLUMN(HeadJournal!J$1),0))*($K3790+$L3790)/(SUMIF($A:$A,$A3790,$K:$K)+SUMIF($A:$A,$A3790,$L:$L)),0)</f>
        <v>0</v>
      </c>
      <c r="O3790" s="30">
        <f>IFERROR((VLOOKUP($A3790,HeadJournal!$A$1:$L$890,COLUMN(HeadJournal!L$1),0)*($K3790+$L3790)/(SUMIF($A:$A,$A3790,$K:$K)+SUMIF($A:$A,$A3790,$L:$L)))/VLOOKUP($A3790,HeadJournal!$A$1:$L$890,COLUMN(HeadJournal!H$1),0),0)</f>
        <v>0</v>
      </c>
      <c r="P3790" s="30">
        <f>IFERROR(SUM(K3790:O3790)*VLOOKUP($A3790,HeadJournal!$A$1:$L$890,COLUMN(HeadJournal!H$1),0),0)</f>
        <v>2004</v>
      </c>
      <c r="Q3790" s="29">
        <v>2500</v>
      </c>
      <c r="R3790" s="31">
        <v>45553</v>
      </c>
      <c r="S3790" s="31" t="s">
        <v>3121</v>
      </c>
      <c r="T3790" s="95" t="str">
        <f t="shared" si="303"/>
        <v>2024 09</v>
      </c>
      <c r="U3790" s="32">
        <f t="shared" si="300"/>
        <v>496</v>
      </c>
      <c r="V3790" s="22">
        <f t="shared" si="301"/>
        <v>0.24750499001996007</v>
      </c>
      <c r="X3790" s="33"/>
      <c r="Y3790" s="33"/>
    </row>
    <row r="3791" spans="1:25" x14ac:dyDescent="0.2">
      <c r="A3791" s="93" t="s">
        <v>1999</v>
      </c>
      <c r="B3791" s="94">
        <f>IFERROR(VLOOKUP($A3791,HeadJournal!$A$1:$NTR$890,COLUMN(HeadJournal!B$1),0),"")</f>
        <v>0</v>
      </c>
      <c r="C3791" s="94" t="str">
        <f>IFERROR(VLOOKUP($A3791,HeadJournal!$A$1:$NTR$890,COLUMN(HeadJournal!C$1),0),"")</f>
        <v>OZON_OA</v>
      </c>
      <c r="D3791" s="125" t="str">
        <f>IFERROR(VLOOKUP($A3791,HeadJournal!$A$1:$NTR$890,COLUMN(HeadJournal!D$1),0),"")</f>
        <v>Доставлен</v>
      </c>
      <c r="E3791" s="95">
        <f>IFERROR(VLOOKUP($A3791,HeadJournal!$A$1:$NTR$890,COLUMN(HeadJournal!G$1),0),"")</f>
        <v>45545</v>
      </c>
      <c r="F3791" s="95" t="str">
        <f t="shared" si="302"/>
        <v>2024 09</v>
      </c>
      <c r="G3791" s="96" t="s">
        <v>6</v>
      </c>
      <c r="H3791" s="160" t="str">
        <f>RIGHT(Journal!$J3791,9)</f>
        <v>671179174</v>
      </c>
      <c r="I3791" s="96" t="str">
        <f t="shared" si="299"/>
        <v>Tree of Life</v>
      </c>
      <c r="J3791" s="97" t="s">
        <v>1998</v>
      </c>
      <c r="K3791" s="29">
        <v>2043</v>
      </c>
      <c r="L3791" s="29">
        <v>0</v>
      </c>
      <c r="M3791" s="30">
        <f>IFERROR(VLOOKUP($A3791,HeadJournal!$A$1:$J$890,COLUMN(HeadJournal!I$1),0)*($K3791+$L3791)/(SUMIF($A:$A,$A3791,$K:$K)+SUMIF($A:$A,$A3791,$L:$L)),0)</f>
        <v>0</v>
      </c>
      <c r="N3791" s="30">
        <f>IFERROR((VLOOKUP($A3791,HeadJournal!$A$1:$K$890,COLUMN(HeadJournal!K$1),0)-VLOOKUP($A3791,HeadJournal!$A$1:$K$890,COLUMN(HeadJournal!J$1),0))*($K3791+$L3791)/(SUMIF($A:$A,$A3791,$K:$K)+SUMIF($A:$A,$A3791,$L:$L)),0)</f>
        <v>0</v>
      </c>
      <c r="O3791" s="30">
        <f>IFERROR((VLOOKUP($A3791,HeadJournal!$A$1:$L$890,COLUMN(HeadJournal!L$1),0)*($K3791+$L3791)/(SUMIF($A:$A,$A3791,$K:$K)+SUMIF($A:$A,$A3791,$L:$L)))/VLOOKUP($A3791,HeadJournal!$A$1:$L$890,COLUMN(HeadJournal!H$1),0),0)</f>
        <v>0</v>
      </c>
      <c r="P3791" s="30">
        <f>IFERROR(SUM(K3791:O3791)*VLOOKUP($A3791,HeadJournal!$A$1:$L$890,COLUMN(HeadJournal!H$1),0),0)</f>
        <v>2043</v>
      </c>
      <c r="Q3791" s="29">
        <v>2400</v>
      </c>
      <c r="R3791" s="31">
        <v>45679</v>
      </c>
      <c r="S3791" s="31" t="s">
        <v>3121</v>
      </c>
      <c r="T3791" s="95" t="str">
        <f t="shared" si="303"/>
        <v>2025 01</v>
      </c>
      <c r="U3791" s="32">
        <f t="shared" si="300"/>
        <v>357</v>
      </c>
      <c r="V3791" s="22">
        <f t="shared" si="301"/>
        <v>0.17474302496328928</v>
      </c>
      <c r="X3791" s="33"/>
      <c r="Y3791" s="33"/>
    </row>
    <row r="3792" spans="1:25" x14ac:dyDescent="0.2">
      <c r="A3792" s="93" t="s">
        <v>2000</v>
      </c>
      <c r="B3792" s="94">
        <f>IFERROR(VLOOKUP($A3792,HeadJournal!$A$1:$NTR$890,COLUMN(HeadJournal!B$1),0),"")</f>
        <v>0</v>
      </c>
      <c r="C3792" s="94" t="str">
        <f>IFERROR(VLOOKUP($A3792,HeadJournal!$A$1:$NTR$890,COLUMN(HeadJournal!C$1),0),"")</f>
        <v>WBRS</v>
      </c>
      <c r="D3792" s="125" t="str">
        <f>IFERROR(VLOOKUP($A3792,HeadJournal!$A$1:$NTR$890,COLUMN(HeadJournal!D$1),0),"")</f>
        <v>Доставлен</v>
      </c>
      <c r="E3792" s="95">
        <f>IFERROR(VLOOKUP($A3792,HeadJournal!$A$1:$NTR$890,COLUMN(HeadJournal!G$1),0),"")</f>
        <v>45555</v>
      </c>
      <c r="F3792" s="95" t="str">
        <f t="shared" si="302"/>
        <v>2024 09</v>
      </c>
      <c r="G3792" s="96" t="s">
        <v>5</v>
      </c>
      <c r="H3792" s="160" t="str">
        <f>RIGHT(Journal!$J3792,9)</f>
        <v>000000264</v>
      </c>
      <c r="I3792" s="96" t="str">
        <f t="shared" si="299"/>
        <v>Forever</v>
      </c>
      <c r="J3792" s="97" t="s">
        <v>1978</v>
      </c>
      <c r="K3792" s="29">
        <v>3035</v>
      </c>
      <c r="L3792" s="29">
        <v>0</v>
      </c>
      <c r="M3792" s="30">
        <f>IFERROR(VLOOKUP($A3792,HeadJournal!$A$1:$J$890,COLUMN(HeadJournal!I$1),0)*($K3792+$L3792)/(SUMIF($A:$A,$A3792,$K:$K)+SUMIF($A:$A,$A3792,$L:$L)),0)</f>
        <v>0</v>
      </c>
      <c r="N3792" s="30">
        <f>IFERROR((VLOOKUP($A3792,HeadJournal!$A$1:$K$890,COLUMN(HeadJournal!K$1),0)-VLOOKUP($A3792,HeadJournal!$A$1:$K$890,COLUMN(HeadJournal!J$1),0))*($K3792+$L3792)/(SUMIF($A:$A,$A3792,$K:$K)+SUMIF($A:$A,$A3792,$L:$L)),0)</f>
        <v>-3.3891784884042446E-13</v>
      </c>
      <c r="O3792" s="30">
        <f>IFERROR((VLOOKUP($A3792,HeadJournal!$A$1:$L$890,COLUMN(HeadJournal!L$1),0)*($K3792+$L3792)/(SUMIF($A:$A,$A3792,$K:$K)+SUMIF($A:$A,$A3792,$L:$L)))/VLOOKUP($A3792,HeadJournal!$A$1:$L$890,COLUMN(HeadJournal!H$1),0),0)</f>
        <v>0</v>
      </c>
      <c r="P3792" s="30">
        <f>IFERROR(SUM(K3792:O3792)*VLOOKUP($A3792,HeadJournal!$A$1:$L$890,COLUMN(HeadJournal!H$1),0),0)</f>
        <v>3034.9999999999995</v>
      </c>
      <c r="Q3792" s="29">
        <v>3500</v>
      </c>
      <c r="R3792" s="31">
        <v>45985</v>
      </c>
      <c r="S3792" s="31"/>
      <c r="T3792" s="95" t="str">
        <f t="shared" si="303"/>
        <v>2025 11</v>
      </c>
      <c r="U3792" s="32">
        <f t="shared" si="300"/>
        <v>465.00000000000045</v>
      </c>
      <c r="V3792" s="22">
        <f t="shared" si="301"/>
        <v>0.15321252059308091</v>
      </c>
      <c r="X3792" s="33"/>
      <c r="Y3792" s="33"/>
    </row>
    <row r="3793" spans="1:25" x14ac:dyDescent="0.2">
      <c r="A3793" s="93" t="s">
        <v>2000</v>
      </c>
      <c r="B3793" s="94">
        <f>IFERROR(VLOOKUP($A3793,HeadJournal!$A$1:$NTR$890,COLUMN(HeadJournal!B$1),0),"")</f>
        <v>0</v>
      </c>
      <c r="C3793" s="94" t="str">
        <f>IFERROR(VLOOKUP($A3793,HeadJournal!$A$1:$NTR$890,COLUMN(HeadJournal!C$1),0),"")</f>
        <v>WBRS</v>
      </c>
      <c r="D3793" s="125" t="str">
        <f>IFERROR(VLOOKUP($A3793,HeadJournal!$A$1:$NTR$890,COLUMN(HeadJournal!D$1),0),"")</f>
        <v>Доставлен</v>
      </c>
      <c r="E3793" s="95">
        <f>IFERROR(VLOOKUP($A3793,HeadJournal!$A$1:$NTR$890,COLUMN(HeadJournal!G$1),0),"")</f>
        <v>45555</v>
      </c>
      <c r="F3793" s="95" t="str">
        <f t="shared" si="302"/>
        <v>2024 09</v>
      </c>
      <c r="G3793" s="96" t="s">
        <v>5</v>
      </c>
      <c r="H3793" s="160" t="str">
        <f>RIGHT(Journal!$J3793,9)</f>
        <v>000000264</v>
      </c>
      <c r="I3793" s="96" t="str">
        <f t="shared" si="299"/>
        <v>Forever</v>
      </c>
      <c r="J3793" s="97" t="s">
        <v>1978</v>
      </c>
      <c r="K3793" s="29">
        <v>2077</v>
      </c>
      <c r="L3793" s="29">
        <v>0</v>
      </c>
      <c r="M3793" s="30">
        <f>IFERROR(VLOOKUP($A3793,HeadJournal!$A$1:$J$890,COLUMN(HeadJournal!I$1),0)*($K3793+$L3793)/(SUMIF($A:$A,$A3793,$K:$K)+SUMIF($A:$A,$A3793,$L:$L)),0)</f>
        <v>0</v>
      </c>
      <c r="N3793" s="30">
        <f>IFERROR((VLOOKUP($A3793,HeadJournal!$A$1:$K$890,COLUMN(HeadJournal!K$1),0)-VLOOKUP($A3793,HeadJournal!$A$1:$K$890,COLUMN(HeadJournal!J$1),0))*($K3793+$L3793)/(SUMIF($A:$A,$A3793,$K:$K)+SUMIF($A:$A,$A3793,$L:$L)),0)</f>
        <v>-2.3193817859689016E-13</v>
      </c>
      <c r="O3793" s="30">
        <f>IFERROR((VLOOKUP($A3793,HeadJournal!$A$1:$L$890,COLUMN(HeadJournal!L$1),0)*($K3793+$L3793)/(SUMIF($A:$A,$A3793,$K:$K)+SUMIF($A:$A,$A3793,$L:$L)))/VLOOKUP($A3793,HeadJournal!$A$1:$L$890,COLUMN(HeadJournal!H$1),0),0)</f>
        <v>0</v>
      </c>
      <c r="P3793" s="30">
        <f>IFERROR(SUM(K3793:O3793)*VLOOKUP($A3793,HeadJournal!$A$1:$L$890,COLUMN(HeadJournal!H$1),0),0)</f>
        <v>2076.9999999999995</v>
      </c>
      <c r="Q3793" s="29">
        <v>3500</v>
      </c>
      <c r="R3793" s="31">
        <v>45556</v>
      </c>
      <c r="S3793" s="31" t="s">
        <v>3121</v>
      </c>
      <c r="T3793" s="95" t="str">
        <f t="shared" si="303"/>
        <v>2024 09</v>
      </c>
      <c r="U3793" s="32">
        <f t="shared" si="300"/>
        <v>1423.0000000000005</v>
      </c>
      <c r="V3793" s="22">
        <f t="shared" si="301"/>
        <v>0.68512277323062143</v>
      </c>
      <c r="X3793" s="33"/>
      <c r="Y3793" s="33"/>
    </row>
    <row r="3794" spans="1:25" x14ac:dyDescent="0.2">
      <c r="A3794" s="93" t="s">
        <v>2000</v>
      </c>
      <c r="B3794" s="94">
        <f>IFERROR(VLOOKUP($A3794,HeadJournal!$A$1:$NTR$890,COLUMN(HeadJournal!B$1),0),"")</f>
        <v>0</v>
      </c>
      <c r="C3794" s="94" t="str">
        <f>IFERROR(VLOOKUP($A3794,HeadJournal!$A$1:$NTR$890,COLUMN(HeadJournal!C$1),0),"")</f>
        <v>WBRS</v>
      </c>
      <c r="D3794" s="125" t="str">
        <f>IFERROR(VLOOKUP($A3794,HeadJournal!$A$1:$NTR$890,COLUMN(HeadJournal!D$1),0),"")</f>
        <v>Доставлен</v>
      </c>
      <c r="E3794" s="95">
        <f>IFERROR(VLOOKUP($A3794,HeadJournal!$A$1:$NTR$890,COLUMN(HeadJournal!G$1),0),"")</f>
        <v>45555</v>
      </c>
      <c r="F3794" s="95" t="str">
        <f t="shared" si="302"/>
        <v>2024 09</v>
      </c>
      <c r="G3794" s="96" t="s">
        <v>5</v>
      </c>
      <c r="H3794" s="160" t="str">
        <f>RIGHT(Journal!$J3794,9)</f>
        <v>000000264</v>
      </c>
      <c r="I3794" s="96" t="str">
        <f t="shared" si="299"/>
        <v>Forever</v>
      </c>
      <c r="J3794" s="97" t="s">
        <v>1978</v>
      </c>
      <c r="K3794" s="29">
        <v>3035</v>
      </c>
      <c r="L3794" s="29">
        <v>0</v>
      </c>
      <c r="M3794" s="30">
        <f>IFERROR(VLOOKUP($A3794,HeadJournal!$A$1:$J$890,COLUMN(HeadJournal!I$1),0)*($K3794+$L3794)/(SUMIF($A:$A,$A3794,$K:$K)+SUMIF($A:$A,$A3794,$L:$L)),0)</f>
        <v>0</v>
      </c>
      <c r="N3794" s="30">
        <f>IFERROR((VLOOKUP($A3794,HeadJournal!$A$1:$K$890,COLUMN(HeadJournal!K$1),0)-VLOOKUP($A3794,HeadJournal!$A$1:$K$890,COLUMN(HeadJournal!J$1),0))*($K3794+$L3794)/(SUMIF($A:$A,$A3794,$K:$K)+SUMIF($A:$A,$A3794,$L:$L)),0)</f>
        <v>-3.3891784884042446E-13</v>
      </c>
      <c r="O3794" s="30">
        <f>IFERROR((VLOOKUP($A3794,HeadJournal!$A$1:$L$890,COLUMN(HeadJournal!L$1),0)*($K3794+$L3794)/(SUMIF($A:$A,$A3794,$K:$K)+SUMIF($A:$A,$A3794,$L:$L)))/VLOOKUP($A3794,HeadJournal!$A$1:$L$890,COLUMN(HeadJournal!H$1),0),0)</f>
        <v>0</v>
      </c>
      <c r="P3794" s="30">
        <f>IFERROR(SUM(K3794:O3794)*VLOOKUP($A3794,HeadJournal!$A$1:$L$890,COLUMN(HeadJournal!H$1),0),0)</f>
        <v>3034.9999999999995</v>
      </c>
      <c r="Q3794" s="29">
        <v>3035</v>
      </c>
      <c r="R3794" s="31">
        <v>45844</v>
      </c>
      <c r="S3794" s="31"/>
      <c r="T3794" s="95" t="str">
        <f t="shared" si="303"/>
        <v>2025 07</v>
      </c>
      <c r="U3794" s="32">
        <f t="shared" si="300"/>
        <v>0</v>
      </c>
      <c r="V3794" s="22">
        <f t="shared" si="301"/>
        <v>0</v>
      </c>
      <c r="X3794" s="33"/>
      <c r="Y3794" s="33"/>
    </row>
    <row r="3795" spans="1:25" x14ac:dyDescent="0.2">
      <c r="A3795" s="93" t="s">
        <v>2000</v>
      </c>
      <c r="B3795" s="94">
        <f>IFERROR(VLOOKUP($A3795,HeadJournal!$A$1:$NTR$890,COLUMN(HeadJournal!B$1),0),"")</f>
        <v>0</v>
      </c>
      <c r="C3795" s="94" t="str">
        <f>IFERROR(VLOOKUP($A3795,HeadJournal!$A$1:$NTR$890,COLUMN(HeadJournal!C$1),0),"")</f>
        <v>WBRS</v>
      </c>
      <c r="D3795" s="125" t="str">
        <f>IFERROR(VLOOKUP($A3795,HeadJournal!$A$1:$NTR$890,COLUMN(HeadJournal!D$1),0),"")</f>
        <v>Доставлен</v>
      </c>
      <c r="E3795" s="95">
        <f>IFERROR(VLOOKUP($A3795,HeadJournal!$A$1:$NTR$890,COLUMN(HeadJournal!G$1),0),"")</f>
        <v>45555</v>
      </c>
      <c r="F3795" s="95" t="str">
        <f t="shared" si="302"/>
        <v>2024 09</v>
      </c>
      <c r="G3795" s="96" t="s">
        <v>5</v>
      </c>
      <c r="H3795" s="160" t="str">
        <f>RIGHT(Journal!$J3795,9)</f>
        <v>000000264</v>
      </c>
      <c r="I3795" s="96" t="str">
        <f t="shared" si="299"/>
        <v>Forever</v>
      </c>
      <c r="J3795" s="97" t="s">
        <v>1978</v>
      </c>
      <c r="K3795" s="29">
        <v>3035</v>
      </c>
      <c r="L3795" s="29">
        <v>0</v>
      </c>
      <c r="M3795" s="30">
        <f>IFERROR(VLOOKUP($A3795,HeadJournal!$A$1:$J$890,COLUMN(HeadJournal!I$1),0)*($K3795+$L3795)/(SUMIF($A:$A,$A3795,$K:$K)+SUMIF($A:$A,$A3795,$L:$L)),0)</f>
        <v>0</v>
      </c>
      <c r="N3795" s="30">
        <f>IFERROR((VLOOKUP($A3795,HeadJournal!$A$1:$K$890,COLUMN(HeadJournal!K$1),0)-VLOOKUP($A3795,HeadJournal!$A$1:$K$890,COLUMN(HeadJournal!J$1),0))*($K3795+$L3795)/(SUMIF($A:$A,$A3795,$K:$K)+SUMIF($A:$A,$A3795,$L:$L)),0)</f>
        <v>-3.3891784884042446E-13</v>
      </c>
      <c r="O3795" s="30">
        <f>IFERROR((VLOOKUP($A3795,HeadJournal!$A$1:$L$890,COLUMN(HeadJournal!L$1),0)*($K3795+$L3795)/(SUMIF($A:$A,$A3795,$K:$K)+SUMIF($A:$A,$A3795,$L:$L)))/VLOOKUP($A3795,HeadJournal!$A$1:$L$890,COLUMN(HeadJournal!H$1),0),0)</f>
        <v>0</v>
      </c>
      <c r="P3795" s="30">
        <f>IFERROR(SUM(K3795:O3795)*VLOOKUP($A3795,HeadJournal!$A$1:$L$890,COLUMN(HeadJournal!H$1),0),0)</f>
        <v>3034.9999999999995</v>
      </c>
      <c r="Q3795" s="29">
        <v>3035</v>
      </c>
      <c r="R3795" s="31">
        <v>45844</v>
      </c>
      <c r="S3795" s="31"/>
      <c r="T3795" s="95" t="str">
        <f t="shared" si="303"/>
        <v>2025 07</v>
      </c>
      <c r="U3795" s="32">
        <f t="shared" si="300"/>
        <v>0</v>
      </c>
      <c r="V3795" s="22">
        <f t="shared" si="301"/>
        <v>0</v>
      </c>
      <c r="X3795" s="33"/>
      <c r="Y3795" s="33"/>
    </row>
    <row r="3796" spans="1:25" x14ac:dyDescent="0.2">
      <c r="A3796" s="93" t="s">
        <v>2000</v>
      </c>
      <c r="B3796" s="94">
        <f>IFERROR(VLOOKUP($A3796,HeadJournal!$A$1:$NTR$890,COLUMN(HeadJournal!B$1),0),"")</f>
        <v>0</v>
      </c>
      <c r="C3796" s="94" t="str">
        <f>IFERROR(VLOOKUP($A3796,HeadJournal!$A$1:$NTR$890,COLUMN(HeadJournal!C$1),0),"")</f>
        <v>WBRS</v>
      </c>
      <c r="D3796" s="125" t="str">
        <f>IFERROR(VLOOKUP($A3796,HeadJournal!$A$1:$NTR$890,COLUMN(HeadJournal!D$1),0),"")</f>
        <v>Доставлен</v>
      </c>
      <c r="E3796" s="95">
        <f>IFERROR(VLOOKUP($A3796,HeadJournal!$A$1:$NTR$890,COLUMN(HeadJournal!G$1),0),"")</f>
        <v>45555</v>
      </c>
      <c r="F3796" s="95" t="str">
        <f t="shared" si="302"/>
        <v>2024 09</v>
      </c>
      <c r="G3796" s="96" t="s">
        <v>7</v>
      </c>
      <c r="H3796" s="160" t="str">
        <f>RIGHT(Journal!$J3796,9)</f>
        <v>000000040</v>
      </c>
      <c r="I3796" s="96" t="str">
        <f t="shared" si="299"/>
        <v>Forever</v>
      </c>
      <c r="J3796" s="97" t="s">
        <v>299</v>
      </c>
      <c r="K3796" s="29">
        <v>1702.3333333333333</v>
      </c>
      <c r="L3796" s="29">
        <v>0</v>
      </c>
      <c r="M3796" s="30">
        <f>IFERROR(VLOOKUP($A3796,HeadJournal!$A$1:$J$890,COLUMN(HeadJournal!I$1),0)*($K3796+$L3796)/(SUMIF($A:$A,$A3796,$K:$K)+SUMIF($A:$A,$A3796,$L:$L)),0)</f>
        <v>0</v>
      </c>
      <c r="N3796" s="30">
        <f>IFERROR((VLOOKUP($A3796,HeadJournal!$A$1:$K$890,COLUMN(HeadJournal!K$1),0)-VLOOKUP($A3796,HeadJournal!$A$1:$K$890,COLUMN(HeadJournal!J$1),0))*($K3796+$L3796)/(SUMIF($A:$A,$A3796,$K:$K)+SUMIF($A:$A,$A3796,$L:$L)),0)</f>
        <v>-1.9009922614256425E-13</v>
      </c>
      <c r="O3796" s="30">
        <f>IFERROR((VLOOKUP($A3796,HeadJournal!$A$1:$L$890,COLUMN(HeadJournal!L$1),0)*($K3796+$L3796)/(SUMIF($A:$A,$A3796,$K:$K)+SUMIF($A:$A,$A3796,$L:$L)))/VLOOKUP($A3796,HeadJournal!$A$1:$L$890,COLUMN(HeadJournal!H$1),0),0)</f>
        <v>0</v>
      </c>
      <c r="P3796" s="30">
        <f>IFERROR(SUM(K3796:O3796)*VLOOKUP($A3796,HeadJournal!$A$1:$L$890,COLUMN(HeadJournal!H$1),0),0)</f>
        <v>1702.333333333333</v>
      </c>
      <c r="Q3796" s="29">
        <v>2200</v>
      </c>
      <c r="R3796" s="31">
        <v>45556</v>
      </c>
      <c r="S3796" s="31" t="s">
        <v>3121</v>
      </c>
      <c r="T3796" s="95" t="str">
        <f t="shared" si="303"/>
        <v>2024 09</v>
      </c>
      <c r="U3796" s="32">
        <f t="shared" si="300"/>
        <v>497.66666666666697</v>
      </c>
      <c r="V3796" s="22">
        <f t="shared" si="301"/>
        <v>0.29234384178578443</v>
      </c>
      <c r="X3796" s="33"/>
      <c r="Y3796" s="33"/>
    </row>
    <row r="3797" spans="1:25" x14ac:dyDescent="0.2">
      <c r="A3797" s="93" t="s">
        <v>2000</v>
      </c>
      <c r="B3797" s="94">
        <f>IFERROR(VLOOKUP($A3797,HeadJournal!$A$1:$NTR$890,COLUMN(HeadJournal!B$1),0),"")</f>
        <v>0</v>
      </c>
      <c r="C3797" s="94" t="str">
        <f>IFERROR(VLOOKUP($A3797,HeadJournal!$A$1:$NTR$890,COLUMN(HeadJournal!C$1),0),"")</f>
        <v>WBRS</v>
      </c>
      <c r="D3797" s="125" t="str">
        <f>IFERROR(VLOOKUP($A3797,HeadJournal!$A$1:$NTR$890,COLUMN(HeadJournal!D$1),0),"")</f>
        <v>Доставлен</v>
      </c>
      <c r="E3797" s="95">
        <f>IFERROR(VLOOKUP($A3797,HeadJournal!$A$1:$NTR$890,COLUMN(HeadJournal!G$1),0),"")</f>
        <v>45555</v>
      </c>
      <c r="F3797" s="95" t="str">
        <f t="shared" si="302"/>
        <v>2024 09</v>
      </c>
      <c r="G3797" s="96" t="s">
        <v>7</v>
      </c>
      <c r="H3797" s="160" t="str">
        <f>RIGHT(Journal!$J3797,9)</f>
        <v>000000040</v>
      </c>
      <c r="I3797" s="96" t="str">
        <f t="shared" si="299"/>
        <v>Forever</v>
      </c>
      <c r="J3797" s="97" t="s">
        <v>299</v>
      </c>
      <c r="K3797" s="29">
        <v>1702.3333333333333</v>
      </c>
      <c r="L3797" s="29">
        <v>0</v>
      </c>
      <c r="M3797" s="30">
        <f>IFERROR(VLOOKUP($A3797,HeadJournal!$A$1:$J$890,COLUMN(HeadJournal!I$1),0)*($K3797+$L3797)/(SUMIF($A:$A,$A3797,$K:$K)+SUMIF($A:$A,$A3797,$L:$L)),0)</f>
        <v>0</v>
      </c>
      <c r="N3797" s="30">
        <f>IFERROR((VLOOKUP($A3797,HeadJournal!$A$1:$K$890,COLUMN(HeadJournal!K$1),0)-VLOOKUP($A3797,HeadJournal!$A$1:$K$890,COLUMN(HeadJournal!J$1),0))*($K3797+$L3797)/(SUMIF($A:$A,$A3797,$K:$K)+SUMIF($A:$A,$A3797,$L:$L)),0)</f>
        <v>-1.9009922614256425E-13</v>
      </c>
      <c r="O3797" s="30">
        <f>IFERROR((VLOOKUP($A3797,HeadJournal!$A$1:$L$890,COLUMN(HeadJournal!L$1),0)*($K3797+$L3797)/(SUMIF($A:$A,$A3797,$K:$K)+SUMIF($A:$A,$A3797,$L:$L)))/VLOOKUP($A3797,HeadJournal!$A$1:$L$890,COLUMN(HeadJournal!H$1),0),0)</f>
        <v>0</v>
      </c>
      <c r="P3797" s="30">
        <f>IFERROR(SUM(K3797:O3797)*VLOOKUP($A3797,HeadJournal!$A$1:$L$890,COLUMN(HeadJournal!H$1),0),0)</f>
        <v>1702.333333333333</v>
      </c>
      <c r="Q3797" s="29">
        <v>2200</v>
      </c>
      <c r="R3797" s="31">
        <v>45584</v>
      </c>
      <c r="S3797" s="31" t="s">
        <v>3121</v>
      </c>
      <c r="T3797" s="95" t="str">
        <f t="shared" si="303"/>
        <v>2024 10</v>
      </c>
      <c r="U3797" s="32">
        <f t="shared" si="300"/>
        <v>497.66666666666697</v>
      </c>
      <c r="V3797" s="22">
        <f t="shared" si="301"/>
        <v>0.29234384178578443</v>
      </c>
      <c r="X3797" s="33"/>
      <c r="Y3797" s="33"/>
    </row>
    <row r="3798" spans="1:25" x14ac:dyDescent="0.2">
      <c r="A3798" s="93" t="s">
        <v>2000</v>
      </c>
      <c r="B3798" s="94">
        <f>IFERROR(VLOOKUP($A3798,HeadJournal!$A$1:$NTR$890,COLUMN(HeadJournal!B$1),0),"")</f>
        <v>0</v>
      </c>
      <c r="C3798" s="94" t="str">
        <f>IFERROR(VLOOKUP($A3798,HeadJournal!$A$1:$NTR$890,COLUMN(HeadJournal!C$1),0),"")</f>
        <v>WBRS</v>
      </c>
      <c r="D3798" s="125" t="str">
        <f>IFERROR(VLOOKUP($A3798,HeadJournal!$A$1:$NTR$890,COLUMN(HeadJournal!D$1),0),"")</f>
        <v>Доставлен</v>
      </c>
      <c r="E3798" s="95">
        <f>IFERROR(VLOOKUP($A3798,HeadJournal!$A$1:$NTR$890,COLUMN(HeadJournal!G$1),0),"")</f>
        <v>45555</v>
      </c>
      <c r="F3798" s="95" t="str">
        <f t="shared" si="302"/>
        <v>2024 09</v>
      </c>
      <c r="G3798" s="96" t="s">
        <v>7</v>
      </c>
      <c r="H3798" s="160" t="str">
        <f>RIGHT(Journal!$J3798,9)</f>
        <v>000000040</v>
      </c>
      <c r="I3798" s="96" t="str">
        <f t="shared" si="299"/>
        <v>Forever</v>
      </c>
      <c r="J3798" s="97" t="s">
        <v>299</v>
      </c>
      <c r="K3798" s="29">
        <v>1702.3333333333333</v>
      </c>
      <c r="L3798" s="29">
        <v>0</v>
      </c>
      <c r="M3798" s="30">
        <f>IFERROR(VLOOKUP($A3798,HeadJournal!$A$1:$J$890,COLUMN(HeadJournal!I$1),0)*($K3798+$L3798)/(SUMIF($A:$A,$A3798,$K:$K)+SUMIF($A:$A,$A3798,$L:$L)),0)</f>
        <v>0</v>
      </c>
      <c r="N3798" s="30">
        <f>IFERROR((VLOOKUP($A3798,HeadJournal!$A$1:$K$890,COLUMN(HeadJournal!K$1),0)-VLOOKUP($A3798,HeadJournal!$A$1:$K$890,COLUMN(HeadJournal!J$1),0))*($K3798+$L3798)/(SUMIF($A:$A,$A3798,$K:$K)+SUMIF($A:$A,$A3798,$L:$L)),0)</f>
        <v>-1.9009922614256425E-13</v>
      </c>
      <c r="O3798" s="30">
        <f>IFERROR((VLOOKUP($A3798,HeadJournal!$A$1:$L$890,COLUMN(HeadJournal!L$1),0)*($K3798+$L3798)/(SUMIF($A:$A,$A3798,$K:$K)+SUMIF($A:$A,$A3798,$L:$L)))/VLOOKUP($A3798,HeadJournal!$A$1:$L$890,COLUMN(HeadJournal!H$1),0),0)</f>
        <v>0</v>
      </c>
      <c r="P3798" s="30">
        <f>IFERROR(SUM(K3798:O3798)*VLOOKUP($A3798,HeadJournal!$A$1:$L$890,COLUMN(HeadJournal!H$1),0),0)</f>
        <v>1702.333333333333</v>
      </c>
      <c r="Q3798" s="29"/>
      <c r="R3798" s="31"/>
      <c r="S3798" s="31"/>
      <c r="T3798" s="95" t="str">
        <f t="shared" si="303"/>
        <v/>
      </c>
      <c r="U3798" s="32">
        <f t="shared" si="300"/>
        <v>-1702.333333333333</v>
      </c>
      <c r="V3798" s="22" t="str">
        <f t="shared" si="301"/>
        <v/>
      </c>
      <c r="X3798" s="33"/>
      <c r="Y3798" s="33"/>
    </row>
    <row r="3799" spans="1:25" x14ac:dyDescent="0.2">
      <c r="A3799" s="93" t="s">
        <v>2001</v>
      </c>
      <c r="B3799" s="94">
        <f>IFERROR(VLOOKUP($A3799,HeadJournal!$A$1:$NTR$890,COLUMN(HeadJournal!B$1),0),"")</f>
        <v>0</v>
      </c>
      <c r="C3799" s="94" t="str">
        <f>IFERROR(VLOOKUP($A3799,HeadJournal!$A$1:$NTR$890,COLUMN(HeadJournal!C$1),0),"")</f>
        <v>OZON_OA</v>
      </c>
      <c r="D3799" s="125" t="str">
        <f>IFERROR(VLOOKUP($A3799,HeadJournal!$A$1:$NTR$890,COLUMN(HeadJournal!D$1),0),"")</f>
        <v>Доставлен</v>
      </c>
      <c r="E3799" s="95">
        <f>IFERROR(VLOOKUP($A3799,HeadJournal!$A$1:$NTR$890,COLUMN(HeadJournal!G$1),0),"")</f>
        <v>45549</v>
      </c>
      <c r="F3799" s="95" t="str">
        <f t="shared" si="302"/>
        <v>2024 09</v>
      </c>
      <c r="G3799" s="96" t="s">
        <v>5</v>
      </c>
      <c r="H3799" s="161" t="s">
        <v>3677</v>
      </c>
      <c r="I3799" s="97" t="s">
        <v>1368</v>
      </c>
      <c r="J3799" s="97" t="s">
        <v>3678</v>
      </c>
      <c r="K3799" s="29">
        <v>2769</v>
      </c>
      <c r="L3799" s="29">
        <v>0</v>
      </c>
      <c r="M3799" s="30">
        <f>IFERROR(VLOOKUP($A3799,HeadJournal!$A$1:$J$890,COLUMN(HeadJournal!I$1),0)*($K3799+$L3799)/(SUMIF($A:$A,$A3799,$K:$K)+SUMIF($A:$A,$A3799,$L:$L)),0)</f>
        <v>0</v>
      </c>
      <c r="N3799" s="30">
        <f>IFERROR((VLOOKUP($A3799,HeadJournal!$A$1:$K$890,COLUMN(HeadJournal!K$1),0)-VLOOKUP($A3799,HeadJournal!$A$1:$K$890,COLUMN(HeadJournal!J$1),0))*($K3799+$L3799)/(SUMIF($A:$A,$A3799,$K:$K)+SUMIF($A:$A,$A3799,$L:$L)),0)</f>
        <v>0</v>
      </c>
      <c r="O3799" s="30">
        <f>IFERROR((VLOOKUP($A3799,HeadJournal!$A$1:$L$890,COLUMN(HeadJournal!L$1),0)*($K3799+$L3799)/(SUMIF($A:$A,$A3799,$K:$K)+SUMIF($A:$A,$A3799,$L:$L)))/VLOOKUP($A3799,HeadJournal!$A$1:$L$890,COLUMN(HeadJournal!H$1),0),0)</f>
        <v>0</v>
      </c>
      <c r="P3799" s="30">
        <f>IFERROR(SUM(K3799:O3799)*VLOOKUP($A3799,HeadJournal!$A$1:$L$890,COLUMN(HeadJournal!H$1),0),0)</f>
        <v>2769</v>
      </c>
      <c r="Q3799" s="29">
        <v>3400</v>
      </c>
      <c r="R3799" s="31">
        <v>45566</v>
      </c>
      <c r="S3799" s="31" t="s">
        <v>3121</v>
      </c>
      <c r="T3799" s="95" t="str">
        <f t="shared" si="303"/>
        <v>2024 10</v>
      </c>
      <c r="U3799" s="32">
        <f t="shared" si="300"/>
        <v>631</v>
      </c>
      <c r="V3799" s="22">
        <f t="shared" si="301"/>
        <v>0.22788010111953774</v>
      </c>
      <c r="X3799" s="33"/>
      <c r="Y3799" s="33"/>
    </row>
    <row r="3800" spans="1:25" x14ac:dyDescent="0.2">
      <c r="A3800" s="93" t="s">
        <v>2001</v>
      </c>
      <c r="B3800" s="94">
        <f>IFERROR(VLOOKUP($A3800,HeadJournal!$A$1:$NTR$890,COLUMN(HeadJournal!B$1),0),"")</f>
        <v>0</v>
      </c>
      <c r="C3800" s="94" t="str">
        <f>IFERROR(VLOOKUP($A3800,HeadJournal!$A$1:$NTR$890,COLUMN(HeadJournal!C$1),0),"")</f>
        <v>OZON_OA</v>
      </c>
      <c r="D3800" s="125" t="str">
        <f>IFERROR(VLOOKUP($A3800,HeadJournal!$A$1:$NTR$890,COLUMN(HeadJournal!D$1),0),"")</f>
        <v>Доставлен</v>
      </c>
      <c r="E3800" s="95">
        <f>IFERROR(VLOOKUP($A3800,HeadJournal!$A$1:$NTR$890,COLUMN(HeadJournal!G$1),0),"")</f>
        <v>45549</v>
      </c>
      <c r="F3800" s="95" t="str">
        <f t="shared" si="302"/>
        <v>2024 09</v>
      </c>
      <c r="G3800" s="96" t="s">
        <v>5</v>
      </c>
      <c r="H3800" s="161" t="s">
        <v>3677</v>
      </c>
      <c r="I3800" s="97" t="s">
        <v>1368</v>
      </c>
      <c r="J3800" s="97" t="s">
        <v>3678</v>
      </c>
      <c r="K3800" s="29">
        <v>2769</v>
      </c>
      <c r="L3800" s="29">
        <v>0</v>
      </c>
      <c r="M3800" s="30">
        <f>IFERROR(VLOOKUP($A3800,HeadJournal!$A$1:$J$890,COLUMN(HeadJournal!I$1),0)*($K3800+$L3800)/(SUMIF($A:$A,$A3800,$K:$K)+SUMIF($A:$A,$A3800,$L:$L)),0)</f>
        <v>0</v>
      </c>
      <c r="N3800" s="30">
        <f>IFERROR((VLOOKUP($A3800,HeadJournal!$A$1:$K$890,COLUMN(HeadJournal!K$1),0)-VLOOKUP($A3800,HeadJournal!$A$1:$K$890,COLUMN(HeadJournal!J$1),0))*($K3800+$L3800)/(SUMIF($A:$A,$A3800,$K:$K)+SUMIF($A:$A,$A3800,$L:$L)),0)</f>
        <v>0</v>
      </c>
      <c r="O3800" s="30">
        <f>IFERROR((VLOOKUP($A3800,HeadJournal!$A$1:$L$890,COLUMN(HeadJournal!L$1),0)*($K3800+$L3800)/(SUMIF($A:$A,$A3800,$K:$K)+SUMIF($A:$A,$A3800,$L:$L)))/VLOOKUP($A3800,HeadJournal!$A$1:$L$890,COLUMN(HeadJournal!H$1),0),0)</f>
        <v>0</v>
      </c>
      <c r="P3800" s="30">
        <f>IFERROR(SUM(K3800:O3800)*VLOOKUP($A3800,HeadJournal!$A$1:$L$890,COLUMN(HeadJournal!H$1),0),0)</f>
        <v>2769</v>
      </c>
      <c r="Q3800" s="29">
        <v>3500</v>
      </c>
      <c r="R3800" s="31">
        <v>45575</v>
      </c>
      <c r="S3800" s="31" t="s">
        <v>3121</v>
      </c>
      <c r="T3800" s="95" t="str">
        <f t="shared" si="303"/>
        <v>2024 10</v>
      </c>
      <c r="U3800" s="32">
        <f t="shared" si="300"/>
        <v>731</v>
      </c>
      <c r="V3800" s="22">
        <f t="shared" si="301"/>
        <v>0.26399422174070064</v>
      </c>
      <c r="X3800" s="33"/>
      <c r="Y3800" s="33"/>
    </row>
    <row r="3801" spans="1:25" x14ac:dyDescent="0.2">
      <c r="A3801" s="93" t="s">
        <v>2003</v>
      </c>
      <c r="B3801" s="94">
        <f>IFERROR(VLOOKUP($A3801,HeadJournal!$A$1:$NTR$890,COLUMN(HeadJournal!B$1),0),"")</f>
        <v>0</v>
      </c>
      <c r="C3801" s="94" t="str">
        <f>IFERROR(VLOOKUP($A3801,HeadJournal!$A$1:$NTR$890,COLUMN(HeadJournal!C$1),0),"")</f>
        <v>OZON_OA</v>
      </c>
      <c r="D3801" s="125" t="str">
        <f>IFERROR(VLOOKUP($A3801,HeadJournal!$A$1:$NTR$890,COLUMN(HeadJournal!D$1),0),"")</f>
        <v>Доставлен</v>
      </c>
      <c r="E3801" s="95">
        <f>IFERROR(VLOOKUP($A3801,HeadJournal!$A$1:$NTR$890,COLUMN(HeadJournal!G$1),0),"")</f>
        <v>45551</v>
      </c>
      <c r="F3801" s="95" t="str">
        <f t="shared" si="302"/>
        <v>2024 09</v>
      </c>
      <c r="G3801" s="96" t="s">
        <v>6</v>
      </c>
      <c r="H3801" s="160" t="str">
        <f>RIGHT(Journal!$J3801,9)</f>
        <v>892721541</v>
      </c>
      <c r="I3801" s="96" t="str">
        <f t="shared" si="299"/>
        <v>FatZorb</v>
      </c>
      <c r="J3801" s="97" t="s">
        <v>737</v>
      </c>
      <c r="K3801" s="29">
        <v>814</v>
      </c>
      <c r="L3801" s="29">
        <v>0</v>
      </c>
      <c r="M3801" s="30">
        <f>IFERROR(VLOOKUP($A3801,HeadJournal!$A$1:$J$890,COLUMN(HeadJournal!I$1),0)*($K3801+$L3801)/(SUMIF($A:$A,$A3801,$K:$K)+SUMIF($A:$A,$A3801,$L:$L)),0)</f>
        <v>0</v>
      </c>
      <c r="N3801" s="30">
        <f>IFERROR((VLOOKUP($A3801,HeadJournal!$A$1:$K$890,COLUMN(HeadJournal!K$1),0)-VLOOKUP($A3801,HeadJournal!$A$1:$K$890,COLUMN(HeadJournal!J$1),0))*($K3801+$L3801)/(SUMIF($A:$A,$A3801,$K:$K)+SUMIF($A:$A,$A3801,$L:$L)),0)</f>
        <v>0</v>
      </c>
      <c r="O3801" s="30">
        <f>IFERROR((VLOOKUP($A3801,HeadJournal!$A$1:$L$890,COLUMN(HeadJournal!L$1),0)*($K3801+$L3801)/(SUMIF($A:$A,$A3801,$K:$K)+SUMIF($A:$A,$A3801,$L:$L)))/VLOOKUP($A3801,HeadJournal!$A$1:$L$890,COLUMN(HeadJournal!H$1),0),0)</f>
        <v>0</v>
      </c>
      <c r="P3801" s="30">
        <f>IFERROR(SUM(K3801:O3801)*VLOOKUP($A3801,HeadJournal!$A$1:$L$890,COLUMN(HeadJournal!H$1),0),0)</f>
        <v>814</v>
      </c>
      <c r="Q3801" s="29">
        <v>1900</v>
      </c>
      <c r="R3801" s="31">
        <v>45577</v>
      </c>
      <c r="S3801" s="31" t="s">
        <v>3121</v>
      </c>
      <c r="T3801" s="95" t="str">
        <f t="shared" si="303"/>
        <v>2024 10</v>
      </c>
      <c r="U3801" s="32">
        <f t="shared" si="300"/>
        <v>1086</v>
      </c>
      <c r="V3801" s="22">
        <f t="shared" si="301"/>
        <v>1.3341523341523343</v>
      </c>
      <c r="X3801" s="33"/>
      <c r="Y3801" s="33"/>
    </row>
    <row r="3802" spans="1:25" x14ac:dyDescent="0.2">
      <c r="A3802" s="93" t="s">
        <v>2002</v>
      </c>
      <c r="B3802" s="94">
        <f>IFERROR(VLOOKUP($A3802,HeadJournal!$A$1:$NTR$890,COLUMN(HeadJournal!B$1),0),"")</f>
        <v>0</v>
      </c>
      <c r="C3802" s="94" t="str">
        <f>IFERROR(VLOOKUP($A3802,HeadJournal!$A$1:$NTR$890,COLUMN(HeadJournal!C$1),0),"")</f>
        <v>OZON_OA</v>
      </c>
      <c r="D3802" s="125" t="str">
        <f>IFERROR(VLOOKUP($A3802,HeadJournal!$A$1:$NTR$890,COLUMN(HeadJournal!D$1),0),"")</f>
        <v>Доставлен</v>
      </c>
      <c r="E3802" s="95">
        <f>IFERROR(VLOOKUP($A3802,HeadJournal!$A$1:$NTR$890,COLUMN(HeadJournal!G$1),0),"")</f>
        <v>45551</v>
      </c>
      <c r="F3802" s="95" t="str">
        <f t="shared" si="302"/>
        <v>2024 09</v>
      </c>
      <c r="G3802" s="96" t="s">
        <v>6</v>
      </c>
      <c r="H3802" s="160" t="str">
        <f>RIGHT(Journal!$J3802,9)</f>
        <v>892721541</v>
      </c>
      <c r="I3802" s="96" t="str">
        <f t="shared" si="299"/>
        <v>FatZorb</v>
      </c>
      <c r="J3802" s="97" t="s">
        <v>737</v>
      </c>
      <c r="K3802" s="29">
        <v>814</v>
      </c>
      <c r="L3802" s="29">
        <v>0</v>
      </c>
      <c r="M3802" s="30">
        <f>IFERROR(VLOOKUP($A3802,HeadJournal!$A$1:$J$890,COLUMN(HeadJournal!I$1),0)*($K3802+$L3802)/(SUMIF($A:$A,$A3802,$K:$K)+SUMIF($A:$A,$A3802,$L:$L)),0)</f>
        <v>0</v>
      </c>
      <c r="N3802" s="30">
        <f>IFERROR((VLOOKUP($A3802,HeadJournal!$A$1:$K$890,COLUMN(HeadJournal!K$1),0)-VLOOKUP($A3802,HeadJournal!$A$1:$K$890,COLUMN(HeadJournal!J$1),0))*($K3802+$L3802)/(SUMIF($A:$A,$A3802,$K:$K)+SUMIF($A:$A,$A3802,$L:$L)),0)</f>
        <v>0</v>
      </c>
      <c r="O3802" s="30">
        <f>IFERROR((VLOOKUP($A3802,HeadJournal!$A$1:$L$890,COLUMN(HeadJournal!L$1),0)*($K3802+$L3802)/(SUMIF($A:$A,$A3802,$K:$K)+SUMIF($A:$A,$A3802,$L:$L)))/VLOOKUP($A3802,HeadJournal!$A$1:$L$890,COLUMN(HeadJournal!H$1),0),0)</f>
        <v>0</v>
      </c>
      <c r="P3802" s="30">
        <f>IFERROR(SUM(K3802:O3802)*VLOOKUP($A3802,HeadJournal!$A$1:$L$890,COLUMN(HeadJournal!H$1),0),0)</f>
        <v>814</v>
      </c>
      <c r="Q3802" s="29">
        <v>1900</v>
      </c>
      <c r="R3802" s="31">
        <v>45577</v>
      </c>
      <c r="S3802" s="31" t="s">
        <v>3121</v>
      </c>
      <c r="T3802" s="95" t="str">
        <f t="shared" si="303"/>
        <v>2024 10</v>
      </c>
      <c r="U3802" s="32">
        <f t="shared" si="300"/>
        <v>1086</v>
      </c>
      <c r="V3802" s="22">
        <f t="shared" si="301"/>
        <v>1.3341523341523343</v>
      </c>
      <c r="X3802" s="33"/>
      <c r="Y3802" s="33"/>
    </row>
    <row r="3803" spans="1:25" x14ac:dyDescent="0.2">
      <c r="A3803" s="93" t="s">
        <v>2032</v>
      </c>
      <c r="B3803" s="94" t="str">
        <f>IFERROR(VLOOKUP($A3803,HeadJournal!$A$1:$NTR$890,COLUMN(HeadJournal!B$1),0),"")</f>
        <v>720000361325</v>
      </c>
      <c r="C3803" s="94" t="str">
        <f>IFERROR(VLOOKUP($A3803,HeadJournal!$A$1:$NTR$890,COLUMN(HeadJournal!C$1),0),"")</f>
        <v>iHerb_OA CZN6870</v>
      </c>
      <c r="D3803" s="125" t="str">
        <f>IFERROR(VLOOKUP($A3803,HeadJournal!$A$1:$NTR$890,COLUMN(HeadJournal!D$1),0),"")</f>
        <v>Доставлен</v>
      </c>
      <c r="E3803" s="95">
        <f>IFERROR(VLOOKUP($A3803,HeadJournal!$A$1:$NTR$890,COLUMN(HeadJournal!G$1),0),"")</f>
        <v>45538</v>
      </c>
      <c r="F3803" s="95" t="str">
        <f t="shared" si="302"/>
        <v>2024 09</v>
      </c>
      <c r="G3803" s="97" t="s">
        <v>5</v>
      </c>
      <c r="H3803" s="161" t="s">
        <v>2030</v>
      </c>
      <c r="I3803" s="97" t="s">
        <v>2004</v>
      </c>
      <c r="J3803" s="97" t="s">
        <v>2031</v>
      </c>
      <c r="K3803" s="29">
        <v>21.38</v>
      </c>
      <c r="L3803" s="29">
        <v>-5.99</v>
      </c>
      <c r="M3803" s="30">
        <f>IFERROR(VLOOKUP($A3803,HeadJournal!$A$1:$J$890,COLUMN(HeadJournal!I$1),0)*($K3803+$L3803)/(SUMIF($A:$A,$A3803,$K:$K)+SUMIF($A:$A,$A3803,$L:$L)),0)</f>
        <v>-1.9783903256948323</v>
      </c>
      <c r="N3803" s="30">
        <f>IFERROR((VLOOKUP($A3803,HeadJournal!$A$1:$K$890,COLUMN(HeadJournal!K$1),0)-VLOOKUP($A3803,HeadJournal!$A$1:$K$890,COLUMN(HeadJournal!J$1),0))*($K3803+$L3803)/(SUMIF($A:$A,$A3803,$K:$K)+SUMIF($A:$A,$A3803,$L:$L)),0)</f>
        <v>0</v>
      </c>
      <c r="O3803" s="30">
        <f>IFERROR((VLOOKUP($A3803,HeadJournal!$A$1:$L$890,COLUMN(HeadJournal!L$1),0)*($K3803+$L3803)/(SUMIF($A:$A,$A3803,$K:$K)+SUMIF($A:$A,$A3803,$L:$L)))/VLOOKUP($A3803,HeadJournal!$A$1:$L$890,COLUMN(HeadJournal!H$1),0),0)</f>
        <v>0.62376450134459493</v>
      </c>
      <c r="P3803" s="30">
        <f>IFERROR(SUM(K3803:O3803)*VLOOKUP($A3803,HeadJournal!$A$1:$L$890,COLUMN(HeadJournal!H$1),0),0)</f>
        <v>1439.4036865504802</v>
      </c>
      <c r="Q3803" s="29">
        <v>2700</v>
      </c>
      <c r="R3803" s="31">
        <v>45585</v>
      </c>
      <c r="S3803" s="31" t="s">
        <v>3121</v>
      </c>
      <c r="T3803" s="95" t="str">
        <f t="shared" si="303"/>
        <v>2024 10</v>
      </c>
      <c r="U3803" s="32">
        <f t="shared" si="300"/>
        <v>1260.5963134495198</v>
      </c>
      <c r="V3803" s="22">
        <f t="shared" si="301"/>
        <v>0.87577677147022537</v>
      </c>
      <c r="X3803" s="33"/>
      <c r="Y3803" s="33"/>
    </row>
    <row r="3804" spans="1:25" x14ac:dyDescent="0.2">
      <c r="A3804" s="93" t="s">
        <v>2032</v>
      </c>
      <c r="B3804" s="94" t="str">
        <f>IFERROR(VLOOKUP($A3804,HeadJournal!$A$1:$NTR$890,COLUMN(HeadJournal!B$1),0),"")</f>
        <v>720000361325</v>
      </c>
      <c r="C3804" s="94" t="str">
        <f>IFERROR(VLOOKUP($A3804,HeadJournal!$A$1:$NTR$890,COLUMN(HeadJournal!C$1),0),"")</f>
        <v>iHerb_OA CZN6870</v>
      </c>
      <c r="D3804" s="125" t="str">
        <f>IFERROR(VLOOKUP($A3804,HeadJournal!$A$1:$NTR$890,COLUMN(HeadJournal!D$1),0),"")</f>
        <v>Доставлен</v>
      </c>
      <c r="E3804" s="95">
        <f>IFERROR(VLOOKUP($A3804,HeadJournal!$A$1:$NTR$890,COLUMN(HeadJournal!G$1),0),"")</f>
        <v>45538</v>
      </c>
      <c r="F3804" s="95" t="str">
        <f t="shared" si="302"/>
        <v>2024 09</v>
      </c>
      <c r="G3804" s="97" t="s">
        <v>5</v>
      </c>
      <c r="H3804" s="161" t="s">
        <v>2010</v>
      </c>
      <c r="I3804" s="97" t="s">
        <v>2005</v>
      </c>
      <c r="J3804" s="97" t="s">
        <v>2011</v>
      </c>
      <c r="K3804" s="29">
        <v>11.66</v>
      </c>
      <c r="L3804" s="29">
        <v>-3.26</v>
      </c>
      <c r="M3804" s="30">
        <f>IFERROR(VLOOKUP($A3804,HeadJournal!$A$1:$J$890,COLUMN(HeadJournal!I$1),0)*($K3804+$L3804)/(SUMIF($A:$A,$A3804,$K:$K)+SUMIF($A:$A,$A3804,$L:$L)),0)</f>
        <v>-1.0798231797164779</v>
      </c>
      <c r="N3804" s="30">
        <f>IFERROR((VLOOKUP($A3804,HeadJournal!$A$1:$K$890,COLUMN(HeadJournal!K$1),0)-VLOOKUP($A3804,HeadJournal!$A$1:$K$890,COLUMN(HeadJournal!J$1),0))*($K3804+$L3804)/(SUMIF($A:$A,$A3804,$K:$K)+SUMIF($A:$A,$A3804,$L:$L)),0)</f>
        <v>0</v>
      </c>
      <c r="O3804" s="30">
        <f>IFERROR((VLOOKUP($A3804,HeadJournal!$A$1:$L$890,COLUMN(HeadJournal!L$1),0)*($K3804+$L3804)/(SUMIF($A:$A,$A3804,$K:$K)+SUMIF($A:$A,$A3804,$L:$L)))/VLOOKUP($A3804,HeadJournal!$A$1:$L$890,COLUMN(HeadJournal!H$1),0),0)</f>
        <v>0.34045625804383356</v>
      </c>
      <c r="P3804" s="30">
        <f>IFERROR(SUM(K3804:O3804)*VLOOKUP($A3804,HeadJournal!$A$1:$L$890,COLUMN(HeadJournal!H$1),0),0)</f>
        <v>785.63943905289375</v>
      </c>
      <c r="Q3804" s="29">
        <v>1700</v>
      </c>
      <c r="R3804" s="31">
        <v>45626</v>
      </c>
      <c r="S3804" s="31" t="s">
        <v>3121</v>
      </c>
      <c r="T3804" s="95" t="str">
        <f t="shared" si="303"/>
        <v>2024 11</v>
      </c>
      <c r="U3804" s="32">
        <f t="shared" si="300"/>
        <v>914.36056094710625</v>
      </c>
      <c r="V3804" s="22">
        <f t="shared" si="301"/>
        <v>1.1638424899460098</v>
      </c>
      <c r="X3804" s="33"/>
      <c r="Y3804" s="33"/>
    </row>
    <row r="3805" spans="1:25" x14ac:dyDescent="0.2">
      <c r="A3805" s="93" t="s">
        <v>2032</v>
      </c>
      <c r="B3805" s="94" t="str">
        <f>IFERROR(VLOOKUP($A3805,HeadJournal!$A$1:$NTR$890,COLUMN(HeadJournal!B$1),0),"")</f>
        <v>720000361325</v>
      </c>
      <c r="C3805" s="94" t="str">
        <f>IFERROR(VLOOKUP($A3805,HeadJournal!$A$1:$NTR$890,COLUMN(HeadJournal!C$1),0),"")</f>
        <v>iHerb_OA CZN6870</v>
      </c>
      <c r="D3805" s="125" t="str">
        <f>IFERROR(VLOOKUP($A3805,HeadJournal!$A$1:$NTR$890,COLUMN(HeadJournal!D$1),0),"")</f>
        <v>Доставлен</v>
      </c>
      <c r="E3805" s="95">
        <f>IFERROR(VLOOKUP($A3805,HeadJournal!$A$1:$NTR$890,COLUMN(HeadJournal!G$1),0),"")</f>
        <v>45538</v>
      </c>
      <c r="F3805" s="95" t="str">
        <f t="shared" si="302"/>
        <v>2024 09</v>
      </c>
      <c r="G3805" s="97" t="s">
        <v>5</v>
      </c>
      <c r="H3805" s="161" t="s">
        <v>2012</v>
      </c>
      <c r="I3805" s="97" t="s">
        <v>2006</v>
      </c>
      <c r="J3805" s="97" t="s">
        <v>2013</v>
      </c>
      <c r="K3805" s="29">
        <v>18.420000000000002</v>
      </c>
      <c r="L3805" s="29">
        <v>-5.16</v>
      </c>
      <c r="M3805" s="30">
        <f>IFERROR(VLOOKUP($A3805,HeadJournal!$A$1:$J$890,COLUMN(HeadJournal!I$1),0)*($K3805+$L3805)/(SUMIF($A:$A,$A3805,$K:$K)+SUMIF($A:$A,$A3805,$L:$L)),0)</f>
        <v>-1.7045780194095832</v>
      </c>
      <c r="N3805" s="30">
        <f>IFERROR((VLOOKUP($A3805,HeadJournal!$A$1:$K$890,COLUMN(HeadJournal!K$1),0)-VLOOKUP($A3805,HeadJournal!$A$1:$K$890,COLUMN(HeadJournal!J$1),0))*($K3805+$L3805)/(SUMIF($A:$A,$A3805,$K:$K)+SUMIF($A:$A,$A3805,$L:$L)),0)</f>
        <v>0</v>
      </c>
      <c r="O3805" s="30">
        <f>IFERROR((VLOOKUP($A3805,HeadJournal!$A$1:$L$890,COLUMN(HeadJournal!L$1),0)*($K3805+$L3805)/(SUMIF($A:$A,$A3805,$K:$K)+SUMIF($A:$A,$A3805,$L:$L)))/VLOOKUP($A3805,HeadJournal!$A$1:$L$890,COLUMN(HeadJournal!H$1),0),0)</f>
        <v>0.5374345216263372</v>
      </c>
      <c r="P3805" s="30">
        <f>IFERROR(SUM(K3805:O3805)*VLOOKUP($A3805,HeadJournal!$A$1:$L$890,COLUMN(HeadJournal!H$1),0),0)</f>
        <v>1240.1879716477822</v>
      </c>
      <c r="Q3805" s="29">
        <v>2400</v>
      </c>
      <c r="R3805" s="31">
        <v>45668</v>
      </c>
      <c r="S3805" s="31" t="s">
        <v>3121</v>
      </c>
      <c r="T3805" s="95" t="str">
        <f t="shared" si="303"/>
        <v>2025 01</v>
      </c>
      <c r="U3805" s="32">
        <f t="shared" si="300"/>
        <v>1159.8120283522178</v>
      </c>
      <c r="V3805" s="22">
        <f t="shared" si="301"/>
        <v>0.93519051536294739</v>
      </c>
      <c r="X3805" s="33"/>
      <c r="Y3805" s="33"/>
    </row>
    <row r="3806" spans="1:25" x14ac:dyDescent="0.2">
      <c r="A3806" s="93" t="s">
        <v>2032</v>
      </c>
      <c r="B3806" s="94" t="str">
        <f>IFERROR(VLOOKUP($A3806,HeadJournal!$A$1:$NTR$890,COLUMN(HeadJournal!B$1),0),"")</f>
        <v>720000361325</v>
      </c>
      <c r="C3806" s="94" t="str">
        <f>IFERROR(VLOOKUP($A3806,HeadJournal!$A$1:$NTR$890,COLUMN(HeadJournal!C$1),0),"")</f>
        <v>iHerb_OA CZN6870</v>
      </c>
      <c r="D3806" s="125" t="str">
        <f>IFERROR(VLOOKUP($A3806,HeadJournal!$A$1:$NTR$890,COLUMN(HeadJournal!D$1),0),"")</f>
        <v>Доставлен</v>
      </c>
      <c r="E3806" s="95">
        <f>IFERROR(VLOOKUP($A3806,HeadJournal!$A$1:$NTR$890,COLUMN(HeadJournal!G$1),0),"")</f>
        <v>45538</v>
      </c>
      <c r="F3806" s="95" t="str">
        <f t="shared" si="302"/>
        <v>2024 09</v>
      </c>
      <c r="G3806" s="97" t="s">
        <v>5</v>
      </c>
      <c r="H3806" s="161" t="s">
        <v>2014</v>
      </c>
      <c r="I3806" s="97" t="s">
        <v>2007</v>
      </c>
      <c r="J3806" s="97" t="s">
        <v>2015</v>
      </c>
      <c r="K3806" s="29">
        <v>31.91</v>
      </c>
      <c r="L3806" s="29">
        <v>-17.91</v>
      </c>
      <c r="M3806" s="30">
        <f>IFERROR(VLOOKUP($A3806,HeadJournal!$A$1:$J$890,COLUMN(HeadJournal!I$1),0)*($K3806+$L3806)/(SUMIF($A:$A,$A3806,$K:$K)+SUMIF($A:$A,$A3806,$L:$L)),0)</f>
        <v>-1.7997052995274629</v>
      </c>
      <c r="N3806" s="30">
        <f>IFERROR((VLOOKUP($A3806,HeadJournal!$A$1:$K$890,COLUMN(HeadJournal!K$1),0)-VLOOKUP($A3806,HeadJournal!$A$1:$K$890,COLUMN(HeadJournal!J$1),0))*($K3806+$L3806)/(SUMIF($A:$A,$A3806,$K:$K)+SUMIF($A:$A,$A3806,$L:$L)),0)</f>
        <v>0</v>
      </c>
      <c r="O3806" s="30">
        <f>IFERROR((VLOOKUP($A3806,HeadJournal!$A$1:$L$890,COLUMN(HeadJournal!L$1),0)*($K3806+$L3806)/(SUMIF($A:$A,$A3806,$K:$K)+SUMIF($A:$A,$A3806,$L:$L)))/VLOOKUP($A3806,HeadJournal!$A$1:$L$890,COLUMN(HeadJournal!H$1),0),0)</f>
        <v>0.56742709673972247</v>
      </c>
      <c r="P3806" s="30">
        <f>IFERROR(SUM(K3806:O3806)*VLOOKUP($A3806,HeadJournal!$A$1:$L$890,COLUMN(HeadJournal!H$1),0),0)</f>
        <v>1309.399065088156</v>
      </c>
      <c r="Q3806" s="29">
        <v>3900</v>
      </c>
      <c r="R3806" s="31">
        <v>45635</v>
      </c>
      <c r="S3806" s="31" t="s">
        <v>3121</v>
      </c>
      <c r="T3806" s="95" t="str">
        <f t="shared" si="303"/>
        <v>2024 12</v>
      </c>
      <c r="U3806" s="32">
        <f t="shared" si="300"/>
        <v>2590.600934911844</v>
      </c>
      <c r="V3806" s="22">
        <f t="shared" si="301"/>
        <v>1.9784655449845081</v>
      </c>
      <c r="X3806" s="33"/>
      <c r="Y3806" s="33"/>
    </row>
    <row r="3807" spans="1:25" x14ac:dyDescent="0.2">
      <c r="A3807" s="93" t="s">
        <v>2032</v>
      </c>
      <c r="B3807" s="94" t="str">
        <f>IFERROR(VLOOKUP($A3807,HeadJournal!$A$1:$NTR$890,COLUMN(HeadJournal!B$1),0),"")</f>
        <v>720000361325</v>
      </c>
      <c r="C3807" s="94" t="str">
        <f>IFERROR(VLOOKUP($A3807,HeadJournal!$A$1:$NTR$890,COLUMN(HeadJournal!C$1),0),"")</f>
        <v>iHerb_OA CZN6870</v>
      </c>
      <c r="D3807" s="125" t="str">
        <f>IFERROR(VLOOKUP($A3807,HeadJournal!$A$1:$NTR$890,COLUMN(HeadJournal!D$1),0),"")</f>
        <v>Доставлен</v>
      </c>
      <c r="E3807" s="95">
        <f>IFERROR(VLOOKUP($A3807,HeadJournal!$A$1:$NTR$890,COLUMN(HeadJournal!G$1),0),"")</f>
        <v>45538</v>
      </c>
      <c r="F3807" s="95" t="str">
        <f t="shared" si="302"/>
        <v>2024 09</v>
      </c>
      <c r="G3807" s="97" t="s">
        <v>5</v>
      </c>
      <c r="H3807" s="161" t="s">
        <v>2016</v>
      </c>
      <c r="I3807" s="97" t="s">
        <v>2005</v>
      </c>
      <c r="J3807" s="97" t="s">
        <v>2017</v>
      </c>
      <c r="K3807" s="29">
        <v>36.799999999999997</v>
      </c>
      <c r="L3807" s="29">
        <v>-10.3</v>
      </c>
      <c r="M3807" s="30">
        <f>IFERROR(VLOOKUP($A3807,HeadJournal!$A$1:$J$890,COLUMN(HeadJournal!I$1),0)*($K3807+$L3807)/(SUMIF($A:$A,$A3807,$K:$K)+SUMIF($A:$A,$A3807,$L:$L)),0)</f>
        <v>-3.4065850312484116</v>
      </c>
      <c r="N3807" s="30">
        <f>IFERROR((VLOOKUP($A3807,HeadJournal!$A$1:$K$890,COLUMN(HeadJournal!K$1),0)-VLOOKUP($A3807,HeadJournal!$A$1:$K$890,COLUMN(HeadJournal!J$1),0))*($K3807+$L3807)/(SUMIF($A:$A,$A3807,$K:$K)+SUMIF($A:$A,$A3807,$L:$L)),0)</f>
        <v>0</v>
      </c>
      <c r="O3807" s="30">
        <f>IFERROR((VLOOKUP($A3807,HeadJournal!$A$1:$L$890,COLUMN(HeadJournal!L$1),0)*($K3807+$L3807)/(SUMIF($A:$A,$A3807,$K:$K)+SUMIF($A:$A,$A3807,$L:$L)))/VLOOKUP($A3807,HeadJournal!$A$1:$L$890,COLUMN(HeadJournal!H$1),0),0)</f>
        <v>1.0740584331144747</v>
      </c>
      <c r="P3807" s="30">
        <f>IFERROR(SUM(K3807:O3807)*VLOOKUP($A3807,HeadJournal!$A$1:$L$890,COLUMN(HeadJournal!H$1),0),0)</f>
        <v>2478.5053732025808</v>
      </c>
      <c r="Q3807" s="29">
        <v>4500</v>
      </c>
      <c r="R3807" s="31">
        <v>45640</v>
      </c>
      <c r="S3807" s="31" t="s">
        <v>3121</v>
      </c>
      <c r="T3807" s="95" t="str">
        <f t="shared" si="303"/>
        <v>2024 12</v>
      </c>
      <c r="U3807" s="32">
        <f t="shared" si="300"/>
        <v>2021.4946267974192</v>
      </c>
      <c r="V3807" s="22">
        <f t="shared" si="301"/>
        <v>0.81561034672495425</v>
      </c>
      <c r="X3807" s="33"/>
      <c r="Y3807" s="33"/>
    </row>
    <row r="3808" spans="1:25" x14ac:dyDescent="0.2">
      <c r="A3808" s="93" t="s">
        <v>2032</v>
      </c>
      <c r="B3808" s="94" t="str">
        <f>IFERROR(VLOOKUP($A3808,HeadJournal!$A$1:$NTR$890,COLUMN(HeadJournal!B$1),0),"")</f>
        <v>720000361325</v>
      </c>
      <c r="C3808" s="94" t="str">
        <f>IFERROR(VLOOKUP($A3808,HeadJournal!$A$1:$NTR$890,COLUMN(HeadJournal!C$1),0),"")</f>
        <v>iHerb_OA CZN6870</v>
      </c>
      <c r="D3808" s="125" t="str">
        <f>IFERROR(VLOOKUP($A3808,HeadJournal!$A$1:$NTR$890,COLUMN(HeadJournal!D$1),0),"")</f>
        <v>Доставлен</v>
      </c>
      <c r="E3808" s="95">
        <f>IFERROR(VLOOKUP($A3808,HeadJournal!$A$1:$NTR$890,COLUMN(HeadJournal!G$1),0),"")</f>
        <v>45538</v>
      </c>
      <c r="F3808" s="95" t="str">
        <f t="shared" si="302"/>
        <v>2024 09</v>
      </c>
      <c r="G3808" s="97" t="s">
        <v>5</v>
      </c>
      <c r="H3808" s="161" t="s">
        <v>2018</v>
      </c>
      <c r="I3808" s="97" t="s">
        <v>2005</v>
      </c>
      <c r="J3808" s="97" t="s">
        <v>2019</v>
      </c>
      <c r="K3808" s="29">
        <v>23.08</v>
      </c>
      <c r="L3808" s="29">
        <v>-6.46</v>
      </c>
      <c r="M3808" s="30">
        <f>IFERROR(VLOOKUP($A3808,HeadJournal!$A$1:$J$890,COLUMN(HeadJournal!I$1),0)*($K3808+$L3808)/(SUMIF($A:$A,$A3808,$K:$K)+SUMIF($A:$A,$A3808,$L:$L)),0)</f>
        <v>-2.1365072912961738</v>
      </c>
      <c r="N3808" s="30">
        <f>IFERROR((VLOOKUP($A3808,HeadJournal!$A$1:$K$890,COLUMN(HeadJournal!K$1),0)-VLOOKUP($A3808,HeadJournal!$A$1:$K$890,COLUMN(HeadJournal!J$1),0))*($K3808+$L3808)/(SUMIF($A:$A,$A3808,$K:$K)+SUMIF($A:$A,$A3808,$L:$L)),0)</f>
        <v>0</v>
      </c>
      <c r="O3808" s="30">
        <f>IFERROR((VLOOKUP($A3808,HeadJournal!$A$1:$L$890,COLUMN(HeadJournal!L$1),0)*($K3808+$L3808)/(SUMIF($A:$A,$A3808,$K:$K)+SUMIF($A:$A,$A3808,$L:$L)))/VLOOKUP($A3808,HeadJournal!$A$1:$L$890,COLUMN(HeadJournal!H$1),0),0)</f>
        <v>0.67361702484387054</v>
      </c>
      <c r="P3808" s="30">
        <f>IFERROR(SUM(K3808:O3808)*VLOOKUP($A3808,HeadJournal!$A$1:$L$890,COLUMN(HeadJournal!H$1),0),0)</f>
        <v>1554.4437472689394</v>
      </c>
      <c r="Q3808" s="29">
        <v>2700</v>
      </c>
      <c r="R3808" s="31">
        <v>45570</v>
      </c>
      <c r="S3808" s="31" t="s">
        <v>3121</v>
      </c>
      <c r="T3808" s="95" t="str">
        <f t="shared" si="303"/>
        <v>2024 10</v>
      </c>
      <c r="U3808" s="32">
        <f t="shared" si="300"/>
        <v>1145.5562527310606</v>
      </c>
      <c r="V3808" s="22">
        <f t="shared" si="301"/>
        <v>0.73695574686683341</v>
      </c>
      <c r="X3808" s="33"/>
      <c r="Y3808" s="33"/>
    </row>
    <row r="3809" spans="1:25" x14ac:dyDescent="0.2">
      <c r="A3809" s="93" t="s">
        <v>2032</v>
      </c>
      <c r="B3809" s="94" t="str">
        <f>IFERROR(VLOOKUP($A3809,HeadJournal!$A$1:$NTR$890,COLUMN(HeadJournal!B$1),0),"")</f>
        <v>720000361325</v>
      </c>
      <c r="C3809" s="94" t="str">
        <f>IFERROR(VLOOKUP($A3809,HeadJournal!$A$1:$NTR$890,COLUMN(HeadJournal!C$1),0),"")</f>
        <v>iHerb_OA CZN6870</v>
      </c>
      <c r="D3809" s="125" t="str">
        <f>IFERROR(VLOOKUP($A3809,HeadJournal!$A$1:$NTR$890,COLUMN(HeadJournal!D$1),0),"")</f>
        <v>Доставлен</v>
      </c>
      <c r="E3809" s="95">
        <f>IFERROR(VLOOKUP($A3809,HeadJournal!$A$1:$NTR$890,COLUMN(HeadJournal!G$1),0),"")</f>
        <v>45538</v>
      </c>
      <c r="F3809" s="95" t="str">
        <f t="shared" si="302"/>
        <v>2024 09</v>
      </c>
      <c r="G3809" s="97" t="s">
        <v>5</v>
      </c>
      <c r="H3809" s="161" t="s">
        <v>2018</v>
      </c>
      <c r="I3809" s="97" t="s">
        <v>2005</v>
      </c>
      <c r="J3809" s="97" t="s">
        <v>2019</v>
      </c>
      <c r="K3809" s="29">
        <v>23.08</v>
      </c>
      <c r="L3809" s="29">
        <v>-6.46</v>
      </c>
      <c r="M3809" s="30">
        <f>IFERROR(VLOOKUP($A3809,HeadJournal!$A$1:$J$890,COLUMN(HeadJournal!I$1),0)*($K3809+$L3809)/(SUMIF($A:$A,$A3809,$K:$K)+SUMIF($A:$A,$A3809,$L:$L)),0)</f>
        <v>-2.1365072912961738</v>
      </c>
      <c r="N3809" s="30">
        <f>IFERROR((VLOOKUP($A3809,HeadJournal!$A$1:$K$890,COLUMN(HeadJournal!K$1),0)-VLOOKUP($A3809,HeadJournal!$A$1:$K$890,COLUMN(HeadJournal!J$1),0))*($K3809+$L3809)/(SUMIF($A:$A,$A3809,$K:$K)+SUMIF($A:$A,$A3809,$L:$L)),0)</f>
        <v>0</v>
      </c>
      <c r="O3809" s="30">
        <f>IFERROR((VLOOKUP($A3809,HeadJournal!$A$1:$L$890,COLUMN(HeadJournal!L$1),0)*($K3809+$L3809)/(SUMIF($A:$A,$A3809,$K:$K)+SUMIF($A:$A,$A3809,$L:$L)))/VLOOKUP($A3809,HeadJournal!$A$1:$L$890,COLUMN(HeadJournal!H$1),0),0)</f>
        <v>0.67361702484387054</v>
      </c>
      <c r="P3809" s="30">
        <f>IFERROR(SUM(K3809:O3809)*VLOOKUP($A3809,HeadJournal!$A$1:$L$890,COLUMN(HeadJournal!H$1),0),0)</f>
        <v>1554.4437472689394</v>
      </c>
      <c r="Q3809" s="29">
        <v>2900</v>
      </c>
      <c r="R3809" s="31">
        <v>45573</v>
      </c>
      <c r="S3809" s="31" t="s">
        <v>3121</v>
      </c>
      <c r="T3809" s="95" t="str">
        <f t="shared" si="303"/>
        <v>2024 10</v>
      </c>
      <c r="U3809" s="32">
        <f t="shared" si="300"/>
        <v>1345.5562527310606</v>
      </c>
      <c r="V3809" s="22">
        <f t="shared" si="301"/>
        <v>0.8656191355236359</v>
      </c>
      <c r="X3809" s="33"/>
      <c r="Y3809" s="33"/>
    </row>
    <row r="3810" spans="1:25" x14ac:dyDescent="0.2">
      <c r="A3810" s="93" t="s">
        <v>2032</v>
      </c>
      <c r="B3810" s="94" t="str">
        <f>IFERROR(VLOOKUP($A3810,HeadJournal!$A$1:$NTR$890,COLUMN(HeadJournal!B$1),0),"")</f>
        <v>720000361325</v>
      </c>
      <c r="C3810" s="94" t="str">
        <f>IFERROR(VLOOKUP($A3810,HeadJournal!$A$1:$NTR$890,COLUMN(HeadJournal!C$1),0),"")</f>
        <v>iHerb_OA CZN6870</v>
      </c>
      <c r="D3810" s="125" t="str">
        <f>IFERROR(VLOOKUP($A3810,HeadJournal!$A$1:$NTR$890,COLUMN(HeadJournal!D$1),0),"")</f>
        <v>Доставлен</v>
      </c>
      <c r="E3810" s="95">
        <f>IFERROR(VLOOKUP($A3810,HeadJournal!$A$1:$NTR$890,COLUMN(HeadJournal!G$1),0),"")</f>
        <v>45538</v>
      </c>
      <c r="F3810" s="95" t="str">
        <f t="shared" si="302"/>
        <v>2024 09</v>
      </c>
      <c r="G3810" s="97" t="s">
        <v>5</v>
      </c>
      <c r="H3810" s="161" t="s">
        <v>2020</v>
      </c>
      <c r="I3810" s="97" t="s">
        <v>2004</v>
      </c>
      <c r="J3810" s="97" t="s">
        <v>2021</v>
      </c>
      <c r="K3810" s="29">
        <v>14.25</v>
      </c>
      <c r="L3810" s="29">
        <v>-3.99</v>
      </c>
      <c r="M3810" s="30">
        <f>IFERROR(VLOOKUP($A3810,HeadJournal!$A$1:$J$890,COLUMN(HeadJournal!I$1),0)*($K3810+$L3810)/(SUMIF($A:$A,$A3810,$K:$K)+SUMIF($A:$A,$A3810,$L:$L)),0)</f>
        <v>-1.3189268837965549</v>
      </c>
      <c r="N3810" s="30">
        <f>IFERROR((VLOOKUP($A3810,HeadJournal!$A$1:$K$890,COLUMN(HeadJournal!K$1),0)-VLOOKUP($A3810,HeadJournal!$A$1:$K$890,COLUMN(HeadJournal!J$1),0))*($K3810+$L3810)/(SUMIF($A:$A,$A3810,$K:$K)+SUMIF($A:$A,$A3810,$L:$L)),0)</f>
        <v>0</v>
      </c>
      <c r="O3810" s="30">
        <f>IFERROR((VLOOKUP($A3810,HeadJournal!$A$1:$L$890,COLUMN(HeadJournal!L$1),0)*($K3810+$L3810)/(SUMIF($A:$A,$A3810,$K:$K)+SUMIF($A:$A,$A3810,$L:$L)))/VLOOKUP($A3810,HeadJournal!$A$1:$L$890,COLUMN(HeadJournal!H$1),0),0)</f>
        <v>0.4158430008963967</v>
      </c>
      <c r="P3810" s="30">
        <f>IFERROR(SUM(K3810:O3810)*VLOOKUP($A3810,HeadJournal!$A$1:$L$890,COLUMN(HeadJournal!H$1),0),0)</f>
        <v>959.60245770031997</v>
      </c>
      <c r="Q3810" s="29">
        <v>2300</v>
      </c>
      <c r="R3810" s="31">
        <v>45696</v>
      </c>
      <c r="S3810" s="31" t="s">
        <v>3121</v>
      </c>
      <c r="T3810" s="95" t="str">
        <f t="shared" si="303"/>
        <v>2025 02</v>
      </c>
      <c r="U3810" s="32">
        <f t="shared" si="300"/>
        <v>1340.39754229968</v>
      </c>
      <c r="V3810" s="22">
        <f t="shared" si="301"/>
        <v>1.3968258746563995</v>
      </c>
      <c r="X3810" s="33"/>
      <c r="Y3810" s="33"/>
    </row>
    <row r="3811" spans="1:25" x14ac:dyDescent="0.2">
      <c r="A3811" s="93" t="s">
        <v>2032</v>
      </c>
      <c r="B3811" s="94" t="str">
        <f>IFERROR(VLOOKUP($A3811,HeadJournal!$A$1:$NTR$890,COLUMN(HeadJournal!B$1),0),"")</f>
        <v>720000361325</v>
      </c>
      <c r="C3811" s="94" t="str">
        <f>IFERROR(VLOOKUP($A3811,HeadJournal!$A$1:$NTR$890,COLUMN(HeadJournal!C$1),0),"")</f>
        <v>iHerb_OA CZN6870</v>
      </c>
      <c r="D3811" s="125" t="str">
        <f>IFERROR(VLOOKUP($A3811,HeadJournal!$A$1:$NTR$890,COLUMN(HeadJournal!D$1),0),"")</f>
        <v>Доставлен</v>
      </c>
      <c r="E3811" s="95">
        <f>IFERROR(VLOOKUP($A3811,HeadJournal!$A$1:$NTR$890,COLUMN(HeadJournal!G$1),0),"")</f>
        <v>45538</v>
      </c>
      <c r="F3811" s="95" t="str">
        <f t="shared" si="302"/>
        <v>2024 09</v>
      </c>
      <c r="G3811" s="97" t="s">
        <v>5</v>
      </c>
      <c r="H3811" s="161" t="s">
        <v>2022</v>
      </c>
      <c r="I3811" s="97" t="s">
        <v>2005</v>
      </c>
      <c r="J3811" s="97" t="s">
        <v>2023</v>
      </c>
      <c r="K3811" s="29">
        <v>27.38</v>
      </c>
      <c r="L3811" s="29">
        <v>-7.67</v>
      </c>
      <c r="M3811" s="30">
        <f>IFERROR(VLOOKUP($A3811,HeadJournal!$A$1:$J$890,COLUMN(HeadJournal!I$1),0)*($K3811+$L3811)/(SUMIF($A:$A,$A3811,$K:$K)+SUMIF($A:$A,$A3811,$L:$L)),0)</f>
        <v>-2.5337279609775925</v>
      </c>
      <c r="N3811" s="30">
        <f>IFERROR((VLOOKUP($A3811,HeadJournal!$A$1:$K$890,COLUMN(HeadJournal!K$1),0)-VLOOKUP($A3811,HeadJournal!$A$1:$K$890,COLUMN(HeadJournal!J$1),0))*($K3811+$L3811)/(SUMIF($A:$A,$A3811,$K:$K)+SUMIF($A:$A,$A3811,$L:$L)),0)</f>
        <v>0</v>
      </c>
      <c r="O3811" s="30">
        <f>IFERROR((VLOOKUP($A3811,HeadJournal!$A$1:$L$890,COLUMN(HeadJournal!L$1),0)*($K3811+$L3811)/(SUMIF($A:$A,$A3811,$K:$K)+SUMIF($A:$A,$A3811,$L:$L)))/VLOOKUP($A3811,HeadJournal!$A$1:$L$890,COLUMN(HeadJournal!H$1),0),0)</f>
        <v>0.79885629119570944</v>
      </c>
      <c r="P3811" s="30">
        <f>IFERROR(SUM(K3811:O3811)*VLOOKUP($A3811,HeadJournal!$A$1:$L$890,COLUMN(HeadJournal!H$1),0),0)</f>
        <v>1843.4468266348254</v>
      </c>
      <c r="Q3811" s="29">
        <v>3200</v>
      </c>
      <c r="R3811" s="31">
        <v>45605</v>
      </c>
      <c r="S3811" s="31" t="s">
        <v>3121</v>
      </c>
      <c r="T3811" s="95" t="str">
        <f t="shared" si="303"/>
        <v>2024 11</v>
      </c>
      <c r="U3811" s="32">
        <f t="shared" si="300"/>
        <v>1356.5531733651746</v>
      </c>
      <c r="V3811" s="22">
        <f t="shared" si="301"/>
        <v>0.73587865609421177</v>
      </c>
      <c r="X3811" s="33"/>
      <c r="Y3811" s="33"/>
    </row>
    <row r="3812" spans="1:25" x14ac:dyDescent="0.2">
      <c r="A3812" s="93" t="s">
        <v>2032</v>
      </c>
      <c r="B3812" s="94" t="str">
        <f>IFERROR(VLOOKUP($A3812,HeadJournal!$A$1:$NTR$890,COLUMN(HeadJournal!B$1),0),"")</f>
        <v>720000361325</v>
      </c>
      <c r="C3812" s="94" t="str">
        <f>IFERROR(VLOOKUP($A3812,HeadJournal!$A$1:$NTR$890,COLUMN(HeadJournal!C$1),0),"")</f>
        <v>iHerb_OA CZN6870</v>
      </c>
      <c r="D3812" s="125" t="str">
        <f>IFERROR(VLOOKUP($A3812,HeadJournal!$A$1:$NTR$890,COLUMN(HeadJournal!D$1),0),"")</f>
        <v>Доставлен</v>
      </c>
      <c r="E3812" s="95">
        <f>IFERROR(VLOOKUP($A3812,HeadJournal!$A$1:$NTR$890,COLUMN(HeadJournal!G$1),0),"")</f>
        <v>45538</v>
      </c>
      <c r="F3812" s="95" t="str">
        <f t="shared" si="302"/>
        <v>2024 09</v>
      </c>
      <c r="G3812" s="97" t="s">
        <v>5</v>
      </c>
      <c r="H3812" s="161" t="s">
        <v>2024</v>
      </c>
      <c r="I3812" s="97" t="s">
        <v>2005</v>
      </c>
      <c r="J3812" s="97" t="s">
        <v>4140</v>
      </c>
      <c r="K3812" s="29">
        <v>18.59</v>
      </c>
      <c r="L3812" s="29">
        <v>-5.2050000000000001</v>
      </c>
      <c r="M3812" s="30">
        <f>IFERROR(VLOOKUP($A3812,HeadJournal!$A$1:$J$890,COLUMN(HeadJournal!I$1),0)*($K3812+$L3812)/(SUMIF($A:$A,$A3812,$K:$K)+SUMIF($A:$A,$A3812,$L:$L)),0)</f>
        <v>-1.7206468167267925</v>
      </c>
      <c r="N3812" s="30">
        <f>IFERROR((VLOOKUP($A3812,HeadJournal!$A$1:$K$890,COLUMN(HeadJournal!K$1),0)-VLOOKUP($A3812,HeadJournal!$A$1:$K$890,COLUMN(HeadJournal!J$1),0))*($K3812+$L3812)/(SUMIF($A:$A,$A3812,$K:$K)+SUMIF($A:$A,$A3812,$L:$L)),0)</f>
        <v>0</v>
      </c>
      <c r="O3812" s="30">
        <f>IFERROR((VLOOKUP($A3812,HeadJournal!$A$1:$L$890,COLUMN(HeadJournal!L$1),0)*($K3812+$L3812)/(SUMIF($A:$A,$A3812,$K:$K)+SUMIF($A:$A,$A3812,$L:$L)))/VLOOKUP($A3812,HeadJournal!$A$1:$L$890,COLUMN(HeadJournal!H$1),0),0)</f>
        <v>0.54250083499008472</v>
      </c>
      <c r="P3812" s="30">
        <f>IFERROR(SUM(K3812:O3812)*VLOOKUP($A3812,HeadJournal!$A$1:$L$890,COLUMN(HeadJournal!H$1),0),0)</f>
        <v>1251.8790347289262</v>
      </c>
      <c r="Q3812" s="29">
        <v>2500</v>
      </c>
      <c r="R3812" s="31">
        <v>45663</v>
      </c>
      <c r="S3812" s="31" t="s">
        <v>3121</v>
      </c>
      <c r="T3812" s="95" t="str">
        <f t="shared" si="303"/>
        <v>2025 01</v>
      </c>
      <c r="U3812" s="32">
        <f t="shared" si="300"/>
        <v>1248.1209652710738</v>
      </c>
      <c r="V3812" s="22">
        <f t="shared" si="301"/>
        <v>0.99699805703778233</v>
      </c>
      <c r="X3812" s="33"/>
      <c r="Y3812" s="33"/>
    </row>
    <row r="3813" spans="1:25" x14ac:dyDescent="0.2">
      <c r="A3813" s="93" t="s">
        <v>2032</v>
      </c>
      <c r="B3813" s="94" t="str">
        <f>IFERROR(VLOOKUP($A3813,HeadJournal!$A$1:$NTR$890,COLUMN(HeadJournal!B$1),0),"")</f>
        <v>720000361325</v>
      </c>
      <c r="C3813" s="94" t="str">
        <f>IFERROR(VLOOKUP($A3813,HeadJournal!$A$1:$NTR$890,COLUMN(HeadJournal!C$1),0),"")</f>
        <v>iHerb_OA CZN6870</v>
      </c>
      <c r="D3813" s="125" t="str">
        <f>IFERROR(VLOOKUP($A3813,HeadJournal!$A$1:$NTR$890,COLUMN(HeadJournal!D$1),0),"")</f>
        <v>Доставлен</v>
      </c>
      <c r="E3813" s="95">
        <f>IFERROR(VLOOKUP($A3813,HeadJournal!$A$1:$NTR$890,COLUMN(HeadJournal!G$1),0),"")</f>
        <v>45538</v>
      </c>
      <c r="F3813" s="95" t="str">
        <f t="shared" si="302"/>
        <v>2024 09</v>
      </c>
      <c r="G3813" s="97" t="s">
        <v>5</v>
      </c>
      <c r="H3813" s="161" t="s">
        <v>2024</v>
      </c>
      <c r="I3813" s="97" t="s">
        <v>2005</v>
      </c>
      <c r="J3813" s="97" t="s">
        <v>4140</v>
      </c>
      <c r="K3813" s="29">
        <v>18.59</v>
      </c>
      <c r="L3813" s="29">
        <v>-5.2050000000000001</v>
      </c>
      <c r="M3813" s="30">
        <f>IFERROR(VLOOKUP($A3813,HeadJournal!$A$1:$J$890,COLUMN(HeadJournal!I$1),0)*($K3813+$L3813)/(SUMIF($A:$A,$A3813,$K:$K)+SUMIF($A:$A,$A3813,$L:$L)),0)</f>
        <v>-1.7206468167267925</v>
      </c>
      <c r="N3813" s="30">
        <f>IFERROR((VLOOKUP($A3813,HeadJournal!$A$1:$K$890,COLUMN(HeadJournal!K$1),0)-VLOOKUP($A3813,HeadJournal!$A$1:$K$890,COLUMN(HeadJournal!J$1),0))*($K3813+$L3813)/(SUMIF($A:$A,$A3813,$K:$K)+SUMIF($A:$A,$A3813,$L:$L)),0)</f>
        <v>0</v>
      </c>
      <c r="O3813" s="30">
        <f>IFERROR((VLOOKUP($A3813,HeadJournal!$A$1:$L$890,COLUMN(HeadJournal!L$1),0)*($K3813+$L3813)/(SUMIF($A:$A,$A3813,$K:$K)+SUMIF($A:$A,$A3813,$L:$L)))/VLOOKUP($A3813,HeadJournal!$A$1:$L$890,COLUMN(HeadJournal!H$1),0),0)</f>
        <v>0.54250083499008472</v>
      </c>
      <c r="P3813" s="30">
        <f>IFERROR(SUM(K3813:O3813)*VLOOKUP($A3813,HeadJournal!$A$1:$L$890,COLUMN(HeadJournal!H$1),0),0)</f>
        <v>1251.8790347289262</v>
      </c>
      <c r="Q3813" s="29">
        <v>2500</v>
      </c>
      <c r="R3813" s="31">
        <v>45699</v>
      </c>
      <c r="S3813" s="31" t="s">
        <v>3121</v>
      </c>
      <c r="T3813" s="95" t="str">
        <f t="shared" si="303"/>
        <v>2025 02</v>
      </c>
      <c r="U3813" s="32">
        <f t="shared" si="300"/>
        <v>1248.1209652710738</v>
      </c>
      <c r="V3813" s="22">
        <f t="shared" si="301"/>
        <v>0.99699805703778233</v>
      </c>
      <c r="X3813" s="33"/>
      <c r="Y3813" s="33"/>
    </row>
    <row r="3814" spans="1:25" x14ac:dyDescent="0.2">
      <c r="A3814" s="93" t="s">
        <v>2032</v>
      </c>
      <c r="B3814" s="94" t="str">
        <f>IFERROR(VLOOKUP($A3814,HeadJournal!$A$1:$NTR$890,COLUMN(HeadJournal!B$1),0),"")</f>
        <v>720000361325</v>
      </c>
      <c r="C3814" s="94" t="str">
        <f>IFERROR(VLOOKUP($A3814,HeadJournal!$A$1:$NTR$890,COLUMN(HeadJournal!C$1),0),"")</f>
        <v>iHerb_OA CZN6870</v>
      </c>
      <c r="D3814" s="125" t="str">
        <f>IFERROR(VLOOKUP($A3814,HeadJournal!$A$1:$NTR$890,COLUMN(HeadJournal!D$1),0),"")</f>
        <v>Доставлен</v>
      </c>
      <c r="E3814" s="95">
        <f>IFERROR(VLOOKUP($A3814,HeadJournal!$A$1:$NTR$890,COLUMN(HeadJournal!G$1),0),"")</f>
        <v>45538</v>
      </c>
      <c r="F3814" s="95" t="str">
        <f t="shared" si="302"/>
        <v>2024 09</v>
      </c>
      <c r="G3814" s="97" t="s">
        <v>5</v>
      </c>
      <c r="H3814" s="161" t="s">
        <v>2025</v>
      </c>
      <c r="I3814" s="97" t="s">
        <v>2008</v>
      </c>
      <c r="J3814" s="97" t="s">
        <v>2026</v>
      </c>
      <c r="K3814" s="29">
        <v>17.690000000000001</v>
      </c>
      <c r="L3814" s="29">
        <v>-4.95</v>
      </c>
      <c r="M3814" s="30">
        <f>IFERROR(VLOOKUP($A3814,HeadJournal!$A$1:$J$890,COLUMN(HeadJournal!I$1),0)*($K3814+$L3814)/(SUMIF($A:$A,$A3814,$K:$K)+SUMIF($A:$A,$A3814,$L:$L)),0)</f>
        <v>-1.6377318225699917</v>
      </c>
      <c r="N3814" s="30">
        <f>IFERROR((VLOOKUP($A3814,HeadJournal!$A$1:$K$890,COLUMN(HeadJournal!K$1),0)-VLOOKUP($A3814,HeadJournal!$A$1:$K$890,COLUMN(HeadJournal!J$1),0))*($K3814+$L3814)/(SUMIF($A:$A,$A3814,$K:$K)+SUMIF($A:$A,$A3814,$L:$L)),0)</f>
        <v>0</v>
      </c>
      <c r="O3814" s="30">
        <f>IFERROR((VLOOKUP($A3814,HeadJournal!$A$1:$L$890,COLUMN(HeadJournal!L$1),0)*($K3814+$L3814)/(SUMIF($A:$A,$A3814,$K:$K)+SUMIF($A:$A,$A3814,$L:$L)))/VLOOKUP($A3814,HeadJournal!$A$1:$L$890,COLUMN(HeadJournal!H$1),0),0)</f>
        <v>0.51635865803314762</v>
      </c>
      <c r="P3814" s="30">
        <f>IFERROR(SUM(K3814:O3814)*VLOOKUP($A3814,HeadJournal!$A$1:$L$890,COLUMN(HeadJournal!H$1),0),0)</f>
        <v>1191.5531492302223</v>
      </c>
      <c r="Q3814" s="29">
        <v>2500</v>
      </c>
      <c r="R3814" s="31">
        <v>45679</v>
      </c>
      <c r="S3814" s="31" t="s">
        <v>3121</v>
      </c>
      <c r="T3814" s="95" t="str">
        <f t="shared" si="303"/>
        <v>2025 01</v>
      </c>
      <c r="U3814" s="32">
        <f t="shared" si="300"/>
        <v>1308.4468507697777</v>
      </c>
      <c r="V3814" s="22">
        <f t="shared" si="301"/>
        <v>1.0981019618093177</v>
      </c>
      <c r="X3814" s="33"/>
      <c r="Y3814" s="33"/>
    </row>
    <row r="3815" spans="1:25" x14ac:dyDescent="0.2">
      <c r="A3815" s="93" t="s">
        <v>2032</v>
      </c>
      <c r="B3815" s="94" t="str">
        <f>IFERROR(VLOOKUP($A3815,HeadJournal!$A$1:$NTR$890,COLUMN(HeadJournal!B$1),0),"")</f>
        <v>720000361325</v>
      </c>
      <c r="C3815" s="94" t="str">
        <f>IFERROR(VLOOKUP($A3815,HeadJournal!$A$1:$NTR$890,COLUMN(HeadJournal!C$1),0),"")</f>
        <v>iHerb_OA CZN6870</v>
      </c>
      <c r="D3815" s="125" t="str">
        <f>IFERROR(VLOOKUP($A3815,HeadJournal!$A$1:$NTR$890,COLUMN(HeadJournal!D$1),0),"")</f>
        <v>Доставлен</v>
      </c>
      <c r="E3815" s="95">
        <f>IFERROR(VLOOKUP($A3815,HeadJournal!$A$1:$NTR$890,COLUMN(HeadJournal!G$1),0),"")</f>
        <v>45538</v>
      </c>
      <c r="F3815" s="95" t="str">
        <f t="shared" si="302"/>
        <v>2024 09</v>
      </c>
      <c r="G3815" s="97" t="s">
        <v>5</v>
      </c>
      <c r="H3815" s="161" t="s">
        <v>2027</v>
      </c>
      <c r="I3815" s="97" t="s">
        <v>2005</v>
      </c>
      <c r="J3815" s="97" t="s">
        <v>4110</v>
      </c>
      <c r="K3815" s="29">
        <v>8.3699999999999992</v>
      </c>
      <c r="L3815" s="29">
        <v>-2.34</v>
      </c>
      <c r="M3815" s="30">
        <f>IFERROR(VLOOKUP($A3815,HeadJournal!$A$1:$J$890,COLUMN(HeadJournal!I$1),0)*($K3815+$L3815)/(SUMIF($A:$A,$A3815,$K:$K)+SUMIF($A:$A,$A3815,$L:$L)),0)</f>
        <v>-0.77515878258218585</v>
      </c>
      <c r="N3815" s="30">
        <f>IFERROR((VLOOKUP($A3815,HeadJournal!$A$1:$K$890,COLUMN(HeadJournal!K$1),0)-VLOOKUP($A3815,HeadJournal!$A$1:$K$890,COLUMN(HeadJournal!J$1),0))*($K3815+$L3815)/(SUMIF($A:$A,$A3815,$K:$K)+SUMIF($A:$A,$A3815,$L:$L)),0)</f>
        <v>0</v>
      </c>
      <c r="O3815" s="30">
        <f>IFERROR((VLOOKUP($A3815,HeadJournal!$A$1:$L$890,COLUMN(HeadJournal!L$1),0)*($K3815+$L3815)/(SUMIF($A:$A,$A3815,$K:$K)+SUMIF($A:$A,$A3815,$L:$L)))/VLOOKUP($A3815,HeadJournal!$A$1:$L$890,COLUMN(HeadJournal!H$1),0),0)</f>
        <v>0.24439895666718048</v>
      </c>
      <c r="P3815" s="30">
        <f>IFERROR(SUM(K3815:O3815)*VLOOKUP($A3815,HeadJournal!$A$1:$L$890,COLUMN(HeadJournal!H$1),0),0)</f>
        <v>563.97688303439861</v>
      </c>
      <c r="Q3815" s="29">
        <v>1200</v>
      </c>
      <c r="R3815" s="31">
        <v>45623</v>
      </c>
      <c r="S3815" s="31" t="s">
        <v>3121</v>
      </c>
      <c r="T3815" s="95" t="str">
        <f t="shared" si="303"/>
        <v>2024 11</v>
      </c>
      <c r="U3815" s="32">
        <f t="shared" si="300"/>
        <v>636.02311696560139</v>
      </c>
      <c r="V3815" s="22">
        <f t="shared" si="301"/>
        <v>1.1277467855483156</v>
      </c>
      <c r="X3815" s="33"/>
      <c r="Y3815" s="33"/>
    </row>
    <row r="3816" spans="1:25" x14ac:dyDescent="0.2">
      <c r="A3816" s="93" t="s">
        <v>2032</v>
      </c>
      <c r="B3816" s="94" t="str">
        <f>IFERROR(VLOOKUP($A3816,HeadJournal!$A$1:$NTR$890,COLUMN(HeadJournal!B$1),0),"")</f>
        <v>720000361325</v>
      </c>
      <c r="C3816" s="94" t="str">
        <f>IFERROR(VLOOKUP($A3816,HeadJournal!$A$1:$NTR$890,COLUMN(HeadJournal!C$1),0),"")</f>
        <v>iHerb_OA CZN6870</v>
      </c>
      <c r="D3816" s="125" t="str">
        <f>IFERROR(VLOOKUP($A3816,HeadJournal!$A$1:$NTR$890,COLUMN(HeadJournal!D$1),0),"")</f>
        <v>Доставлен</v>
      </c>
      <c r="E3816" s="95">
        <f>IFERROR(VLOOKUP($A3816,HeadJournal!$A$1:$NTR$890,COLUMN(HeadJournal!G$1),0),"")</f>
        <v>45538</v>
      </c>
      <c r="F3816" s="95" t="str">
        <f t="shared" si="302"/>
        <v>2024 09</v>
      </c>
      <c r="G3816" s="97" t="s">
        <v>5</v>
      </c>
      <c r="H3816" s="161" t="s">
        <v>2028</v>
      </c>
      <c r="I3816" s="97" t="s">
        <v>2009</v>
      </c>
      <c r="J3816" s="97" t="s">
        <v>2029</v>
      </c>
      <c r="K3816" s="29">
        <v>14.6</v>
      </c>
      <c r="L3816" s="29">
        <v>-4.09</v>
      </c>
      <c r="M3816" s="30">
        <f>IFERROR(VLOOKUP($A3816,HeadJournal!$A$1:$J$890,COLUMN(HeadJournal!I$1),0)*($K3816+$L3816)/(SUMIF($A:$A,$A3816,$K:$K)+SUMIF($A:$A,$A3816,$L:$L)),0)</f>
        <v>-1.3510644784309742</v>
      </c>
      <c r="N3816" s="30">
        <f>IFERROR((VLOOKUP($A3816,HeadJournal!$A$1:$K$890,COLUMN(HeadJournal!K$1),0)-VLOOKUP($A3816,HeadJournal!$A$1:$K$890,COLUMN(HeadJournal!J$1),0))*($K3816+$L3816)/(SUMIF($A:$A,$A3816,$K:$K)+SUMIF($A:$A,$A3816,$L:$L)),0)</f>
        <v>0</v>
      </c>
      <c r="O3816" s="30">
        <f>IFERROR((VLOOKUP($A3816,HeadJournal!$A$1:$L$890,COLUMN(HeadJournal!L$1),0)*($K3816+$L3816)/(SUMIF($A:$A,$A3816,$K:$K)+SUMIF($A:$A,$A3816,$L:$L)))/VLOOKUP($A3816,HeadJournal!$A$1:$L$890,COLUMN(HeadJournal!H$1),0),0)</f>
        <v>0.42597562762389174</v>
      </c>
      <c r="P3816" s="30">
        <f>IFERROR(SUM(K3816:O3816)*VLOOKUP($A3816,HeadJournal!$A$1:$L$890,COLUMN(HeadJournal!H$1),0),0)</f>
        <v>982.98458386260859</v>
      </c>
      <c r="Q3816" s="29">
        <v>1900</v>
      </c>
      <c r="R3816" s="31">
        <v>45581</v>
      </c>
      <c r="S3816" s="31" t="s">
        <v>3121</v>
      </c>
      <c r="T3816" s="95" t="str">
        <f t="shared" si="303"/>
        <v>2024 10</v>
      </c>
      <c r="U3816" s="32">
        <f t="shared" si="300"/>
        <v>917.01541613739141</v>
      </c>
      <c r="V3816" s="22">
        <f t="shared" si="301"/>
        <v>0.93288890913630274</v>
      </c>
      <c r="X3816" s="33"/>
      <c r="Y3816" s="33"/>
    </row>
    <row r="3817" spans="1:25" x14ac:dyDescent="0.2">
      <c r="A3817" s="93" t="s">
        <v>2053</v>
      </c>
      <c r="B3817" s="94" t="str">
        <f>IFERROR(VLOOKUP($A3817,HeadJournal!$A$1:$NTR$890,COLUMN(HeadJournal!B$1),0),"")</f>
        <v>720000375908</v>
      </c>
      <c r="C3817" s="94" t="str">
        <f>IFERROR(VLOOKUP($A3817,HeadJournal!$A$1:$NTR$890,COLUMN(HeadJournal!C$1),0),"")</f>
        <v>iHerb_OA CZN6870</v>
      </c>
      <c r="D3817" s="125" t="str">
        <f>IFERROR(VLOOKUP($A3817,HeadJournal!$A$1:$NTR$890,COLUMN(HeadJournal!D$1),0),"")</f>
        <v>Доставлен</v>
      </c>
      <c r="E3817" s="95">
        <f>IFERROR(VLOOKUP($A3817,HeadJournal!$A$1:$NTR$890,COLUMN(HeadJournal!G$1),0),"")</f>
        <v>45545</v>
      </c>
      <c r="F3817" s="95" t="str">
        <f t="shared" si="302"/>
        <v>2024 09</v>
      </c>
      <c r="G3817" s="97" t="s">
        <v>5</v>
      </c>
      <c r="H3817" s="161" t="s">
        <v>2034</v>
      </c>
      <c r="I3817" s="97" t="s">
        <v>2008</v>
      </c>
      <c r="J3817" s="97" t="s">
        <v>2942</v>
      </c>
      <c r="K3817" s="29">
        <v>24.15</v>
      </c>
      <c r="L3817" s="29">
        <v>-2.4166666666666665</v>
      </c>
      <c r="M3817" s="30">
        <f>IFERROR(VLOOKUP($A3817,HeadJournal!$A$1:$J$890,COLUMN(HeadJournal!I$1),0)*($K3817+$L3817)/(SUMIF($A:$A,$A3817,$K:$K)+SUMIF($A:$A,$A3817,$L:$L)),0)</f>
        <v>0</v>
      </c>
      <c r="N3817" s="30">
        <f>IFERROR((VLOOKUP($A3817,HeadJournal!$A$1:$K$890,COLUMN(HeadJournal!K$1),0)-VLOOKUP($A3817,HeadJournal!$A$1:$K$890,COLUMN(HeadJournal!J$1),0))*($K3817+$L3817)/(SUMIF($A:$A,$A3817,$K:$K)+SUMIF($A:$A,$A3817,$L:$L)),0)</f>
        <v>0</v>
      </c>
      <c r="O3817" s="30">
        <f>IFERROR((VLOOKUP($A3817,HeadJournal!$A$1:$L$890,COLUMN(HeadJournal!L$1),0)*($K3817+$L3817)/(SUMIF($A:$A,$A3817,$K:$K)+SUMIF($A:$A,$A3817,$L:$L)))/VLOOKUP($A3817,HeadJournal!$A$1:$L$890,COLUMN(HeadJournal!H$1),0),0)</f>
        <v>1.0305759189819337</v>
      </c>
      <c r="P3817" s="30">
        <f>IFERROR(SUM(K3817:O3817)*VLOOKUP($A3817,HeadJournal!$A$1:$L$890,COLUMN(HeadJournal!H$1),0),0)</f>
        <v>2281.5208389008308</v>
      </c>
      <c r="Q3817" s="29">
        <v>3000</v>
      </c>
      <c r="R3817" s="31">
        <v>45571</v>
      </c>
      <c r="S3817" s="31" t="s">
        <v>3121</v>
      </c>
      <c r="T3817" s="95" t="str">
        <f t="shared" si="303"/>
        <v>2024 10</v>
      </c>
      <c r="U3817" s="32">
        <f t="shared" si="300"/>
        <v>718.47916109916923</v>
      </c>
      <c r="V3817" s="22">
        <f t="shared" si="301"/>
        <v>0.31491238162230034</v>
      </c>
      <c r="X3817" s="33"/>
      <c r="Y3817" s="33"/>
    </row>
    <row r="3818" spans="1:25" x14ac:dyDescent="0.2">
      <c r="A3818" s="93" t="s">
        <v>2053</v>
      </c>
      <c r="B3818" s="94" t="str">
        <f>IFERROR(VLOOKUP($A3818,HeadJournal!$A$1:$NTR$890,COLUMN(HeadJournal!B$1),0),"")</f>
        <v>720000375908</v>
      </c>
      <c r="C3818" s="94" t="str">
        <f>IFERROR(VLOOKUP($A3818,HeadJournal!$A$1:$NTR$890,COLUMN(HeadJournal!C$1),0),"")</f>
        <v>iHerb_OA CZN6870</v>
      </c>
      <c r="D3818" s="125" t="str">
        <f>IFERROR(VLOOKUP($A3818,HeadJournal!$A$1:$NTR$890,COLUMN(HeadJournal!D$1),0),"")</f>
        <v>Доставлен</v>
      </c>
      <c r="E3818" s="95">
        <f>IFERROR(VLOOKUP($A3818,HeadJournal!$A$1:$NTR$890,COLUMN(HeadJournal!G$1),0),"")</f>
        <v>45545</v>
      </c>
      <c r="F3818" s="95" t="str">
        <f t="shared" si="302"/>
        <v>2024 09</v>
      </c>
      <c r="G3818" s="97" t="s">
        <v>5</v>
      </c>
      <c r="H3818" s="161" t="s">
        <v>2034</v>
      </c>
      <c r="I3818" s="97" t="s">
        <v>2008</v>
      </c>
      <c r="J3818" s="97" t="s">
        <v>2942</v>
      </c>
      <c r="K3818" s="29">
        <v>24.15</v>
      </c>
      <c r="L3818" s="29">
        <v>-2.4166666666666665</v>
      </c>
      <c r="M3818" s="30">
        <f>IFERROR(VLOOKUP($A3818,HeadJournal!$A$1:$J$890,COLUMN(HeadJournal!I$1),0)*($K3818+$L3818)/(SUMIF($A:$A,$A3818,$K:$K)+SUMIF($A:$A,$A3818,$L:$L)),0)</f>
        <v>0</v>
      </c>
      <c r="N3818" s="30">
        <f>IFERROR((VLOOKUP($A3818,HeadJournal!$A$1:$K$890,COLUMN(HeadJournal!K$1),0)-VLOOKUP($A3818,HeadJournal!$A$1:$K$890,COLUMN(HeadJournal!J$1),0))*($K3818+$L3818)/(SUMIF($A:$A,$A3818,$K:$K)+SUMIF($A:$A,$A3818,$L:$L)),0)</f>
        <v>0</v>
      </c>
      <c r="O3818" s="30">
        <f>IFERROR((VLOOKUP($A3818,HeadJournal!$A$1:$L$890,COLUMN(HeadJournal!L$1),0)*($K3818+$L3818)/(SUMIF($A:$A,$A3818,$K:$K)+SUMIF($A:$A,$A3818,$L:$L)))/VLOOKUP($A3818,HeadJournal!$A$1:$L$890,COLUMN(HeadJournal!H$1),0),0)</f>
        <v>1.0305759189819337</v>
      </c>
      <c r="P3818" s="30">
        <f>IFERROR(SUM(K3818:O3818)*VLOOKUP($A3818,HeadJournal!$A$1:$L$890,COLUMN(HeadJournal!H$1),0),0)</f>
        <v>2281.5208389008308</v>
      </c>
      <c r="Q3818" s="29">
        <v>3000</v>
      </c>
      <c r="R3818" s="31">
        <v>45571</v>
      </c>
      <c r="S3818" s="31" t="s">
        <v>3121</v>
      </c>
      <c r="T3818" s="95" t="str">
        <f t="shared" si="303"/>
        <v>2024 10</v>
      </c>
      <c r="U3818" s="32">
        <f t="shared" si="300"/>
        <v>718.47916109916923</v>
      </c>
      <c r="V3818" s="22">
        <f t="shared" si="301"/>
        <v>0.31491238162230034</v>
      </c>
      <c r="X3818" s="33"/>
      <c r="Y3818" s="33"/>
    </row>
    <row r="3819" spans="1:25" x14ac:dyDescent="0.2">
      <c r="A3819" s="93" t="s">
        <v>2053</v>
      </c>
      <c r="B3819" s="94" t="str">
        <f>IFERROR(VLOOKUP($A3819,HeadJournal!$A$1:$NTR$890,COLUMN(HeadJournal!B$1),0),"")</f>
        <v>720000375908</v>
      </c>
      <c r="C3819" s="94" t="str">
        <f>IFERROR(VLOOKUP($A3819,HeadJournal!$A$1:$NTR$890,COLUMN(HeadJournal!C$1),0),"")</f>
        <v>iHerb_OA CZN6870</v>
      </c>
      <c r="D3819" s="125" t="str">
        <f>IFERROR(VLOOKUP($A3819,HeadJournal!$A$1:$NTR$890,COLUMN(HeadJournal!D$1),0),"")</f>
        <v>Доставлен</v>
      </c>
      <c r="E3819" s="95">
        <f>IFERROR(VLOOKUP($A3819,HeadJournal!$A$1:$NTR$890,COLUMN(HeadJournal!G$1),0),"")</f>
        <v>45545</v>
      </c>
      <c r="F3819" s="95" t="str">
        <f t="shared" si="302"/>
        <v>2024 09</v>
      </c>
      <c r="G3819" s="97" t="s">
        <v>5</v>
      </c>
      <c r="H3819" s="161" t="s">
        <v>2034</v>
      </c>
      <c r="I3819" s="97" t="s">
        <v>2008</v>
      </c>
      <c r="J3819" s="97" t="s">
        <v>2942</v>
      </c>
      <c r="K3819" s="29">
        <v>24.15</v>
      </c>
      <c r="L3819" s="29">
        <v>-2.4166666666666665</v>
      </c>
      <c r="M3819" s="30">
        <f>IFERROR(VLOOKUP($A3819,HeadJournal!$A$1:$J$890,COLUMN(HeadJournal!I$1),0)*($K3819+$L3819)/(SUMIF($A:$A,$A3819,$K:$K)+SUMIF($A:$A,$A3819,$L:$L)),0)</f>
        <v>0</v>
      </c>
      <c r="N3819" s="30">
        <f>IFERROR((VLOOKUP($A3819,HeadJournal!$A$1:$K$890,COLUMN(HeadJournal!K$1),0)-VLOOKUP($A3819,HeadJournal!$A$1:$K$890,COLUMN(HeadJournal!J$1),0))*($K3819+$L3819)/(SUMIF($A:$A,$A3819,$K:$K)+SUMIF($A:$A,$A3819,$L:$L)),0)</f>
        <v>0</v>
      </c>
      <c r="O3819" s="30">
        <f>IFERROR((VLOOKUP($A3819,HeadJournal!$A$1:$L$890,COLUMN(HeadJournal!L$1),0)*($K3819+$L3819)/(SUMIF($A:$A,$A3819,$K:$K)+SUMIF($A:$A,$A3819,$L:$L)))/VLOOKUP($A3819,HeadJournal!$A$1:$L$890,COLUMN(HeadJournal!H$1),0),0)</f>
        <v>1.0305759189819337</v>
      </c>
      <c r="P3819" s="30">
        <f>IFERROR(SUM(K3819:O3819)*VLOOKUP($A3819,HeadJournal!$A$1:$L$890,COLUMN(HeadJournal!H$1),0),0)</f>
        <v>2281.5208389008308</v>
      </c>
      <c r="Q3819" s="29">
        <v>3000</v>
      </c>
      <c r="R3819" s="31">
        <v>45571</v>
      </c>
      <c r="S3819" s="31" t="s">
        <v>3121</v>
      </c>
      <c r="T3819" s="95" t="str">
        <f t="shared" si="303"/>
        <v>2024 10</v>
      </c>
      <c r="U3819" s="32">
        <f t="shared" si="300"/>
        <v>718.47916109916923</v>
      </c>
      <c r="V3819" s="22">
        <f t="shared" si="301"/>
        <v>0.31491238162230034</v>
      </c>
      <c r="X3819" s="33"/>
      <c r="Y3819" s="33"/>
    </row>
    <row r="3820" spans="1:25" x14ac:dyDescent="0.2">
      <c r="A3820" s="93" t="s">
        <v>2053</v>
      </c>
      <c r="B3820" s="94" t="str">
        <f>IFERROR(VLOOKUP($A3820,HeadJournal!$A$1:$NTR$890,COLUMN(HeadJournal!B$1),0),"")</f>
        <v>720000375908</v>
      </c>
      <c r="C3820" s="94" t="str">
        <f>IFERROR(VLOOKUP($A3820,HeadJournal!$A$1:$NTR$890,COLUMN(HeadJournal!C$1),0),"")</f>
        <v>iHerb_OA CZN6870</v>
      </c>
      <c r="D3820" s="125" t="str">
        <f>IFERROR(VLOOKUP($A3820,HeadJournal!$A$1:$NTR$890,COLUMN(HeadJournal!D$1),0),"")</f>
        <v>Доставлен</v>
      </c>
      <c r="E3820" s="95">
        <f>IFERROR(VLOOKUP($A3820,HeadJournal!$A$1:$NTR$890,COLUMN(HeadJournal!G$1),0),"")</f>
        <v>45545</v>
      </c>
      <c r="F3820" s="95" t="str">
        <f t="shared" si="302"/>
        <v>2024 09</v>
      </c>
      <c r="G3820" s="97" t="s">
        <v>5</v>
      </c>
      <c r="H3820" s="161" t="s">
        <v>2035</v>
      </c>
      <c r="I3820" s="97" t="s">
        <v>2036</v>
      </c>
      <c r="J3820" s="97" t="s">
        <v>2037</v>
      </c>
      <c r="K3820" s="29">
        <v>18.95</v>
      </c>
      <c r="L3820" s="29">
        <v>-1.9</v>
      </c>
      <c r="M3820" s="30">
        <f>IFERROR(VLOOKUP($A3820,HeadJournal!$A$1:$J$890,COLUMN(HeadJournal!I$1),0)*($K3820+$L3820)/(SUMIF($A:$A,$A3820,$K:$K)+SUMIF($A:$A,$A3820,$L:$L)),0)</f>
        <v>0</v>
      </c>
      <c r="N3820" s="30">
        <f>IFERROR((VLOOKUP($A3820,HeadJournal!$A$1:$K$890,COLUMN(HeadJournal!K$1),0)-VLOOKUP($A3820,HeadJournal!$A$1:$K$890,COLUMN(HeadJournal!J$1),0))*($K3820+$L3820)/(SUMIF($A:$A,$A3820,$K:$K)+SUMIF($A:$A,$A3820,$L:$L)),0)</f>
        <v>0</v>
      </c>
      <c r="O3820" s="30">
        <f>IFERROR((VLOOKUP($A3820,HeadJournal!$A$1:$L$890,COLUMN(HeadJournal!L$1),0)*($K3820+$L3820)/(SUMIF($A:$A,$A3820,$K:$K)+SUMIF($A:$A,$A3820,$L:$L)))/VLOOKUP($A3820,HeadJournal!$A$1:$L$890,COLUMN(HeadJournal!H$1),0),0)</f>
        <v>0.80849629226880237</v>
      </c>
      <c r="P3820" s="30">
        <f>IFERROR(SUM(K3820:O3820)*VLOOKUP($A3820,HeadJournal!$A$1:$L$890,COLUMN(HeadJournal!H$1),0),0)</f>
        <v>1789.8740937082439</v>
      </c>
      <c r="Q3820" s="29">
        <v>2500</v>
      </c>
      <c r="R3820" s="31">
        <v>45570</v>
      </c>
      <c r="S3820" s="31" t="s">
        <v>3121</v>
      </c>
      <c r="T3820" s="95" t="str">
        <f t="shared" si="303"/>
        <v>2024 10</v>
      </c>
      <c r="U3820" s="32">
        <f t="shared" si="300"/>
        <v>710.12590629175611</v>
      </c>
      <c r="V3820" s="22">
        <f t="shared" si="301"/>
        <v>0.39674629002564316</v>
      </c>
      <c r="X3820" s="33"/>
      <c r="Y3820" s="33"/>
    </row>
    <row r="3821" spans="1:25" x14ac:dyDescent="0.2">
      <c r="A3821" s="93" t="s">
        <v>2053</v>
      </c>
      <c r="B3821" s="94" t="str">
        <f>IFERROR(VLOOKUP($A3821,HeadJournal!$A$1:$NTR$890,COLUMN(HeadJournal!B$1),0),"")</f>
        <v>720000375908</v>
      </c>
      <c r="C3821" s="94" t="str">
        <f>IFERROR(VLOOKUP($A3821,HeadJournal!$A$1:$NTR$890,COLUMN(HeadJournal!C$1),0),"")</f>
        <v>iHerb_OA CZN6870</v>
      </c>
      <c r="D3821" s="125" t="str">
        <f>IFERROR(VLOOKUP($A3821,HeadJournal!$A$1:$NTR$890,COLUMN(HeadJournal!D$1),0),"")</f>
        <v>Доставлен</v>
      </c>
      <c r="E3821" s="95">
        <f>IFERROR(VLOOKUP($A3821,HeadJournal!$A$1:$NTR$890,COLUMN(HeadJournal!G$1),0),"")</f>
        <v>45545</v>
      </c>
      <c r="F3821" s="95" t="str">
        <f t="shared" si="302"/>
        <v>2024 09</v>
      </c>
      <c r="G3821" s="97" t="s">
        <v>5</v>
      </c>
      <c r="H3821" s="161" t="s">
        <v>2038</v>
      </c>
      <c r="I3821" s="97" t="s">
        <v>2039</v>
      </c>
      <c r="J3821" s="97" t="s">
        <v>2040</v>
      </c>
      <c r="K3821" s="29">
        <v>16.059999999999999</v>
      </c>
      <c r="L3821" s="29">
        <v>-1.61</v>
      </c>
      <c r="M3821" s="30">
        <f>IFERROR(VLOOKUP($A3821,HeadJournal!$A$1:$J$890,COLUMN(HeadJournal!I$1),0)*($K3821+$L3821)/(SUMIF($A:$A,$A3821,$K:$K)+SUMIF($A:$A,$A3821,$L:$L)),0)</f>
        <v>0</v>
      </c>
      <c r="N3821" s="30">
        <f>IFERROR((VLOOKUP($A3821,HeadJournal!$A$1:$K$890,COLUMN(HeadJournal!K$1),0)-VLOOKUP($A3821,HeadJournal!$A$1:$K$890,COLUMN(HeadJournal!J$1),0))*($K3821+$L3821)/(SUMIF($A:$A,$A3821,$K:$K)+SUMIF($A:$A,$A3821,$L:$L)),0)</f>
        <v>0</v>
      </c>
      <c r="O3821" s="30">
        <f>IFERROR((VLOOKUP($A3821,HeadJournal!$A$1:$L$890,COLUMN(HeadJournal!L$1),0)*($K3821+$L3821)/(SUMIF($A:$A,$A3821,$K:$K)+SUMIF($A:$A,$A3821,$L:$L)))/VLOOKUP($A3821,HeadJournal!$A$1:$L$890,COLUMN(HeadJournal!H$1),0),0)</f>
        <v>0.68520653508998197</v>
      </c>
      <c r="P3821" s="30">
        <f>IFERROR(SUM(K3821:O3821)*VLOOKUP($A3821,HeadJournal!$A$1:$L$890,COLUMN(HeadJournal!H$1),0),0)</f>
        <v>1516.9314166618253</v>
      </c>
      <c r="Q3821" s="29">
        <v>2300</v>
      </c>
      <c r="R3821" s="31">
        <v>45570</v>
      </c>
      <c r="S3821" s="31" t="s">
        <v>3121</v>
      </c>
      <c r="T3821" s="95" t="str">
        <f t="shared" si="303"/>
        <v>2024 10</v>
      </c>
      <c r="U3821" s="32">
        <f t="shared" si="300"/>
        <v>783.06858333817468</v>
      </c>
      <c r="V3821" s="22">
        <f t="shared" si="301"/>
        <v>0.51621884466036261</v>
      </c>
      <c r="X3821" s="33"/>
      <c r="Y3821" s="33"/>
    </row>
    <row r="3822" spans="1:25" x14ac:dyDescent="0.2">
      <c r="A3822" s="93" t="s">
        <v>2053</v>
      </c>
      <c r="B3822" s="94" t="str">
        <f>IFERROR(VLOOKUP($A3822,HeadJournal!$A$1:$NTR$890,COLUMN(HeadJournal!B$1),0),"")</f>
        <v>720000375908</v>
      </c>
      <c r="C3822" s="94" t="str">
        <f>IFERROR(VLOOKUP($A3822,HeadJournal!$A$1:$NTR$890,COLUMN(HeadJournal!C$1),0),"")</f>
        <v>iHerb_OA CZN6870</v>
      </c>
      <c r="D3822" s="125" t="str">
        <f>IFERROR(VLOOKUP($A3822,HeadJournal!$A$1:$NTR$890,COLUMN(HeadJournal!D$1),0),"")</f>
        <v>Доставлен</v>
      </c>
      <c r="E3822" s="95">
        <f>IFERROR(VLOOKUP($A3822,HeadJournal!$A$1:$NTR$890,COLUMN(HeadJournal!G$1),0),"")</f>
        <v>45545</v>
      </c>
      <c r="F3822" s="95" t="str">
        <f t="shared" si="302"/>
        <v>2024 09</v>
      </c>
      <c r="G3822" s="97" t="s">
        <v>5</v>
      </c>
      <c r="H3822" s="161" t="s">
        <v>2041</v>
      </c>
      <c r="I3822" s="97" t="s">
        <v>2042</v>
      </c>
      <c r="J3822" s="97" t="s">
        <v>2043</v>
      </c>
      <c r="K3822" s="29">
        <v>13.62</v>
      </c>
      <c r="L3822" s="29">
        <v>-1.36</v>
      </c>
      <c r="M3822" s="30">
        <f>IFERROR(VLOOKUP($A3822,HeadJournal!$A$1:$J$890,COLUMN(HeadJournal!I$1),0)*($K3822+$L3822)/(SUMIF($A:$A,$A3822,$K:$K)+SUMIF($A:$A,$A3822,$L:$L)),0)</f>
        <v>0</v>
      </c>
      <c r="N3822" s="30">
        <f>IFERROR((VLOOKUP($A3822,HeadJournal!$A$1:$K$890,COLUMN(HeadJournal!K$1),0)-VLOOKUP($A3822,HeadJournal!$A$1:$K$890,COLUMN(HeadJournal!J$1),0))*($K3822+$L3822)/(SUMIF($A:$A,$A3822,$K:$K)+SUMIF($A:$A,$A3822,$L:$L)),0)</f>
        <v>0</v>
      </c>
      <c r="O3822" s="30">
        <f>IFERROR((VLOOKUP($A3822,HeadJournal!$A$1:$L$890,COLUMN(HeadJournal!L$1),0)*($K3822+$L3822)/(SUMIF($A:$A,$A3822,$K:$K)+SUMIF($A:$A,$A3822,$L:$L)))/VLOOKUP($A3822,HeadJournal!$A$1:$L$890,COLUMN(HeadJournal!H$1),0),0)</f>
        <v>0.5813586242355141</v>
      </c>
      <c r="P3822" s="30">
        <f>IFERROR(SUM(K3822:O3822)*VLOOKUP($A3822,HeadJournal!$A$1:$L$890,COLUMN(HeadJournal!H$1),0),0)</f>
        <v>1287.0297002265729</v>
      </c>
      <c r="Q3822" s="29">
        <v>1800</v>
      </c>
      <c r="R3822" s="31">
        <v>45570</v>
      </c>
      <c r="S3822" s="31" t="s">
        <v>3121</v>
      </c>
      <c r="T3822" s="95" t="str">
        <f t="shared" si="303"/>
        <v>2024 10</v>
      </c>
      <c r="U3822" s="32">
        <f t="shared" si="300"/>
        <v>512.97029977342709</v>
      </c>
      <c r="V3822" s="22">
        <f t="shared" si="301"/>
        <v>0.39856912368309927</v>
      </c>
      <c r="X3822" s="33"/>
      <c r="Y3822" s="33"/>
    </row>
    <row r="3823" spans="1:25" x14ac:dyDescent="0.2">
      <c r="A3823" s="93" t="s">
        <v>2053</v>
      </c>
      <c r="B3823" s="94" t="str">
        <f>IFERROR(VLOOKUP($A3823,HeadJournal!$A$1:$NTR$890,COLUMN(HeadJournal!B$1),0),"")</f>
        <v>720000375908</v>
      </c>
      <c r="C3823" s="94" t="str">
        <f>IFERROR(VLOOKUP($A3823,HeadJournal!$A$1:$NTR$890,COLUMN(HeadJournal!C$1),0),"")</f>
        <v>iHerb_OA CZN6870</v>
      </c>
      <c r="D3823" s="125" t="str">
        <f>IFERROR(VLOOKUP($A3823,HeadJournal!$A$1:$NTR$890,COLUMN(HeadJournal!D$1),0),"")</f>
        <v>Доставлен</v>
      </c>
      <c r="E3823" s="95">
        <f>IFERROR(VLOOKUP($A3823,HeadJournal!$A$1:$NTR$890,COLUMN(HeadJournal!G$1),0),"")</f>
        <v>45545</v>
      </c>
      <c r="F3823" s="95" t="str">
        <f t="shared" si="302"/>
        <v>2024 09</v>
      </c>
      <c r="G3823" s="97" t="s">
        <v>5</v>
      </c>
      <c r="H3823" s="161" t="s">
        <v>2044</v>
      </c>
      <c r="I3823" s="97" t="s">
        <v>2045</v>
      </c>
      <c r="J3823" s="97" t="s">
        <v>2046</v>
      </c>
      <c r="K3823" s="29">
        <v>17.420000000000002</v>
      </c>
      <c r="L3823" s="29">
        <v>-1.74</v>
      </c>
      <c r="M3823" s="30">
        <f>IFERROR(VLOOKUP($A3823,HeadJournal!$A$1:$J$890,COLUMN(HeadJournal!I$1),0)*($K3823+$L3823)/(SUMIF($A:$A,$A3823,$K:$K)+SUMIF($A:$A,$A3823,$L:$L)),0)</f>
        <v>0</v>
      </c>
      <c r="N3823" s="30">
        <f>IFERROR((VLOOKUP($A3823,HeadJournal!$A$1:$K$890,COLUMN(HeadJournal!K$1),0)-VLOOKUP($A3823,HeadJournal!$A$1:$K$890,COLUMN(HeadJournal!J$1),0))*($K3823+$L3823)/(SUMIF($A:$A,$A3823,$K:$K)+SUMIF($A:$A,$A3823,$L:$L)),0)</f>
        <v>0</v>
      </c>
      <c r="O3823" s="30">
        <f>IFERROR((VLOOKUP($A3823,HeadJournal!$A$1:$L$890,COLUMN(HeadJournal!L$1),0)*($K3823+$L3823)/(SUMIF($A:$A,$A3823,$K:$K)+SUMIF($A:$A,$A3823,$L:$L)))/VLOOKUP($A3823,HeadJournal!$A$1:$L$890,COLUMN(HeadJournal!H$1),0),0)</f>
        <v>0.74353207406303945</v>
      </c>
      <c r="P3823" s="30">
        <f>IFERROR(SUM(K3823:O3823)*VLOOKUP($A3823,HeadJournal!$A$1:$L$890,COLUMN(HeadJournal!H$1),0),0)</f>
        <v>1646.0542984953233</v>
      </c>
      <c r="Q3823" s="29">
        <v>2200</v>
      </c>
      <c r="R3823" s="31">
        <v>45576</v>
      </c>
      <c r="S3823" s="31" t="s">
        <v>3121</v>
      </c>
      <c r="T3823" s="95" t="str">
        <f t="shared" si="303"/>
        <v>2024 10</v>
      </c>
      <c r="U3823" s="32">
        <f t="shared" si="300"/>
        <v>553.94570150467666</v>
      </c>
      <c r="V3823" s="22">
        <f t="shared" si="301"/>
        <v>0.33652942190974178</v>
      </c>
      <c r="X3823" s="33"/>
      <c r="Y3823" s="33"/>
    </row>
    <row r="3824" spans="1:25" x14ac:dyDescent="0.2">
      <c r="A3824" s="93" t="s">
        <v>2053</v>
      </c>
      <c r="B3824" s="94" t="str">
        <f>IFERROR(VLOOKUP($A3824,HeadJournal!$A$1:$NTR$890,COLUMN(HeadJournal!B$1),0),"")</f>
        <v>720000375908</v>
      </c>
      <c r="C3824" s="94" t="str">
        <f>IFERROR(VLOOKUP($A3824,HeadJournal!$A$1:$NTR$890,COLUMN(HeadJournal!C$1),0),"")</f>
        <v>iHerb_OA CZN6870</v>
      </c>
      <c r="D3824" s="125" t="str">
        <f>IFERROR(VLOOKUP($A3824,HeadJournal!$A$1:$NTR$890,COLUMN(HeadJournal!D$1),0),"")</f>
        <v>Доставлен</v>
      </c>
      <c r="E3824" s="95">
        <f>IFERROR(VLOOKUP($A3824,HeadJournal!$A$1:$NTR$890,COLUMN(HeadJournal!G$1),0),"")</f>
        <v>45545</v>
      </c>
      <c r="F3824" s="95" t="str">
        <f t="shared" si="302"/>
        <v>2024 09</v>
      </c>
      <c r="G3824" s="97" t="s">
        <v>5</v>
      </c>
      <c r="H3824" s="161" t="s">
        <v>2047</v>
      </c>
      <c r="I3824" s="97" t="s">
        <v>2048</v>
      </c>
      <c r="J3824" s="97" t="s">
        <v>3828</v>
      </c>
      <c r="K3824" s="29">
        <v>36.49</v>
      </c>
      <c r="L3824" s="29">
        <v>-10.95</v>
      </c>
      <c r="M3824" s="30">
        <f>IFERROR(VLOOKUP($A3824,HeadJournal!$A$1:$J$890,COLUMN(HeadJournal!I$1),0)*($K3824+$L3824)/(SUMIF($A:$A,$A3824,$K:$K)+SUMIF($A:$A,$A3824,$L:$L)),0)</f>
        <v>0</v>
      </c>
      <c r="N3824" s="30">
        <f>IFERROR((VLOOKUP($A3824,HeadJournal!$A$1:$K$890,COLUMN(HeadJournal!K$1),0)-VLOOKUP($A3824,HeadJournal!$A$1:$K$890,COLUMN(HeadJournal!J$1),0))*($K3824+$L3824)/(SUMIF($A:$A,$A3824,$K:$K)+SUMIF($A:$A,$A3824,$L:$L)),0)</f>
        <v>0</v>
      </c>
      <c r="O3824" s="30">
        <f>IFERROR((VLOOKUP($A3824,HeadJournal!$A$1:$L$890,COLUMN(HeadJournal!L$1),0)*($K3824+$L3824)/(SUMIF($A:$A,$A3824,$K:$K)+SUMIF($A:$A,$A3824,$L:$L)))/VLOOKUP($A3824,HeadJournal!$A$1:$L$890,COLUMN(HeadJournal!H$1),0),0)</f>
        <v>1.211084768595027</v>
      </c>
      <c r="P3824" s="30">
        <f>IFERROR(SUM(K3824:O3824)*VLOOKUP($A3824,HeadJournal!$A$1:$L$890,COLUMN(HeadJournal!H$1),0),0)</f>
        <v>2681.1369122175101</v>
      </c>
      <c r="Q3824" s="29">
        <v>4200</v>
      </c>
      <c r="R3824" s="31">
        <v>45594</v>
      </c>
      <c r="S3824" s="31" t="s">
        <v>3121</v>
      </c>
      <c r="T3824" s="95" t="str">
        <f t="shared" si="303"/>
        <v>2024 10</v>
      </c>
      <c r="U3824" s="32">
        <f t="shared" si="300"/>
        <v>1518.8630877824899</v>
      </c>
      <c r="V3824" s="22">
        <f t="shared" si="301"/>
        <v>0.5664996370984543</v>
      </c>
      <c r="X3824" s="33"/>
      <c r="Y3824" s="33"/>
    </row>
    <row r="3825" spans="1:25" x14ac:dyDescent="0.2">
      <c r="A3825" s="93" t="s">
        <v>2053</v>
      </c>
      <c r="B3825" s="94" t="str">
        <f>IFERROR(VLOOKUP($A3825,HeadJournal!$A$1:$NTR$890,COLUMN(HeadJournal!B$1),0),"")</f>
        <v>720000375908</v>
      </c>
      <c r="C3825" s="94" t="str">
        <f>IFERROR(VLOOKUP($A3825,HeadJournal!$A$1:$NTR$890,COLUMN(HeadJournal!C$1),0),"")</f>
        <v>iHerb_OA CZN6870</v>
      </c>
      <c r="D3825" s="125" t="str">
        <f>IFERROR(VLOOKUP($A3825,HeadJournal!$A$1:$NTR$890,COLUMN(HeadJournal!D$1),0),"")</f>
        <v>Доставлен</v>
      </c>
      <c r="E3825" s="95">
        <f>IFERROR(VLOOKUP($A3825,HeadJournal!$A$1:$NTR$890,COLUMN(HeadJournal!G$1),0),"")</f>
        <v>45545</v>
      </c>
      <c r="F3825" s="95" t="str">
        <f t="shared" si="302"/>
        <v>2024 09</v>
      </c>
      <c r="G3825" s="97" t="s">
        <v>5</v>
      </c>
      <c r="H3825" s="161" t="s">
        <v>2049</v>
      </c>
      <c r="I3825" s="97" t="s">
        <v>2048</v>
      </c>
      <c r="J3825" s="97" t="s">
        <v>2050</v>
      </c>
      <c r="K3825" s="29">
        <v>10.32</v>
      </c>
      <c r="L3825" s="29">
        <v>-3.1</v>
      </c>
      <c r="M3825" s="30">
        <f>IFERROR(VLOOKUP($A3825,HeadJournal!$A$1:$J$890,COLUMN(HeadJournal!I$1),0)*($K3825+$L3825)/(SUMIF($A:$A,$A3825,$K:$K)+SUMIF($A:$A,$A3825,$L:$L)),0)</f>
        <v>0</v>
      </c>
      <c r="N3825" s="30">
        <f>IFERROR((VLOOKUP($A3825,HeadJournal!$A$1:$K$890,COLUMN(HeadJournal!K$1),0)-VLOOKUP($A3825,HeadJournal!$A$1:$K$890,COLUMN(HeadJournal!J$1),0))*($K3825+$L3825)/(SUMIF($A:$A,$A3825,$K:$K)+SUMIF($A:$A,$A3825,$L:$L)),0)</f>
        <v>0</v>
      </c>
      <c r="O3825" s="30">
        <f>IFERROR((VLOOKUP($A3825,HeadJournal!$A$1:$L$890,COLUMN(HeadJournal!L$1),0)*($K3825+$L3825)/(SUMIF($A:$A,$A3825,$K:$K)+SUMIF($A:$A,$A3825,$L:$L)))/VLOOKUP($A3825,HeadJournal!$A$1:$L$890,COLUMN(HeadJournal!H$1),0),0)</f>
        <v>0.34236617185810864</v>
      </c>
      <c r="P3825" s="30">
        <f>IFERROR(SUM(K3825:O3825)*VLOOKUP($A3825,HeadJournal!$A$1:$L$890,COLUMN(HeadJournal!H$1),0),0)</f>
        <v>757.94081856736193</v>
      </c>
      <c r="Q3825" s="29">
        <v>1700</v>
      </c>
      <c r="R3825" s="31">
        <v>45883</v>
      </c>
      <c r="S3825" s="31"/>
      <c r="T3825" s="95" t="str">
        <f t="shared" si="303"/>
        <v>2025 08</v>
      </c>
      <c r="U3825" s="32">
        <f t="shared" si="300"/>
        <v>942.05918143263807</v>
      </c>
      <c r="V3825" s="22">
        <f t="shared" si="301"/>
        <v>1.242919180963616</v>
      </c>
      <c r="X3825" s="33"/>
      <c r="Y3825" s="33"/>
    </row>
    <row r="3826" spans="1:25" x14ac:dyDescent="0.2">
      <c r="A3826" s="93" t="s">
        <v>2053</v>
      </c>
      <c r="B3826" s="94" t="str">
        <f>IFERROR(VLOOKUP($A3826,HeadJournal!$A$1:$NTR$890,COLUMN(HeadJournal!B$1),0),"")</f>
        <v>720000375908</v>
      </c>
      <c r="C3826" s="94" t="str">
        <f>IFERROR(VLOOKUP($A3826,HeadJournal!$A$1:$NTR$890,COLUMN(HeadJournal!C$1),0),"")</f>
        <v>iHerb_OA CZN6870</v>
      </c>
      <c r="D3826" s="125" t="str">
        <f>IFERROR(VLOOKUP($A3826,HeadJournal!$A$1:$NTR$890,COLUMN(HeadJournal!D$1),0),"")</f>
        <v>Доставлен</v>
      </c>
      <c r="E3826" s="95">
        <f>IFERROR(VLOOKUP($A3826,HeadJournal!$A$1:$NTR$890,COLUMN(HeadJournal!G$1),0),"")</f>
        <v>45545</v>
      </c>
      <c r="F3826" s="95" t="str">
        <f t="shared" si="302"/>
        <v>2024 09</v>
      </c>
      <c r="G3826" s="97" t="s">
        <v>5</v>
      </c>
      <c r="H3826" s="161" t="s">
        <v>2051</v>
      </c>
      <c r="I3826" s="97" t="s">
        <v>2052</v>
      </c>
      <c r="J3826" s="97" t="s">
        <v>3097</v>
      </c>
      <c r="K3826" s="29">
        <v>21.04</v>
      </c>
      <c r="L3826" s="29">
        <v>-6.31</v>
      </c>
      <c r="M3826" s="30">
        <f>IFERROR(VLOOKUP($A3826,HeadJournal!$A$1:$J$890,COLUMN(HeadJournal!I$1),0)*($K3826+$L3826)/(SUMIF($A:$A,$A3826,$K:$K)+SUMIF($A:$A,$A3826,$L:$L)),0)</f>
        <v>0</v>
      </c>
      <c r="N3826" s="30">
        <f>IFERROR((VLOOKUP($A3826,HeadJournal!$A$1:$K$890,COLUMN(HeadJournal!K$1),0)-VLOOKUP($A3826,HeadJournal!$A$1:$K$890,COLUMN(HeadJournal!J$1),0))*($K3826+$L3826)/(SUMIF($A:$A,$A3826,$K:$K)+SUMIF($A:$A,$A3826,$L:$L)),0)</f>
        <v>0</v>
      </c>
      <c r="O3826" s="30">
        <f>IFERROR((VLOOKUP($A3826,HeadJournal!$A$1:$L$890,COLUMN(HeadJournal!L$1),0)*($K3826+$L3826)/(SUMIF($A:$A,$A3826,$K:$K)+SUMIF($A:$A,$A3826,$L:$L)))/VLOOKUP($A3826,HeadJournal!$A$1:$L$890,COLUMN(HeadJournal!H$1),0),0)</f>
        <v>0.69848389355539342</v>
      </c>
      <c r="P3826" s="30">
        <f>IFERROR(SUM(K3826:O3826)*VLOOKUP($A3826,HeadJournal!$A$1:$L$890,COLUMN(HeadJournal!H$1),0),0)</f>
        <v>1546.3252434206704</v>
      </c>
      <c r="Q3826" s="29">
        <v>2300</v>
      </c>
      <c r="R3826" s="31">
        <v>45584</v>
      </c>
      <c r="S3826" s="31" t="s">
        <v>3121</v>
      </c>
      <c r="T3826" s="95" t="str">
        <f t="shared" si="303"/>
        <v>2024 10</v>
      </c>
      <c r="U3826" s="32">
        <f t="shared" si="300"/>
        <v>753.6747565793296</v>
      </c>
      <c r="V3826" s="22">
        <f t="shared" si="301"/>
        <v>0.48739730518277258</v>
      </c>
      <c r="X3826" s="33"/>
      <c r="Y3826" s="33"/>
    </row>
    <row r="3827" spans="1:25" x14ac:dyDescent="0.2">
      <c r="A3827" s="93" t="s">
        <v>2062</v>
      </c>
      <c r="B3827" s="94" t="str">
        <f>IFERROR(VLOOKUP($A3827,HeadJournal!$A$1:$NTR$890,COLUMN(HeadJournal!B$1),0),"")</f>
        <v>720000391840</v>
      </c>
      <c r="C3827" s="94" t="str">
        <f>IFERROR(VLOOKUP($A3827,HeadJournal!$A$1:$NTR$890,COLUMN(HeadJournal!C$1),0),"")</f>
        <v>iHerb_OA CZN6870</v>
      </c>
      <c r="D3827" s="125" t="str">
        <f>IFERROR(VLOOKUP($A3827,HeadJournal!$A$1:$NTR$890,COLUMN(HeadJournal!D$1),0),"")</f>
        <v>Доставлен</v>
      </c>
      <c r="E3827" s="95">
        <f>IFERROR(VLOOKUP($A3827,HeadJournal!$A$1:$NTR$890,COLUMN(HeadJournal!G$1),0),"")</f>
        <v>45557</v>
      </c>
      <c r="F3827" s="95" t="str">
        <f t="shared" si="302"/>
        <v>2024 09</v>
      </c>
      <c r="G3827" s="97" t="s">
        <v>5</v>
      </c>
      <c r="H3827" s="161" t="s">
        <v>2055</v>
      </c>
      <c r="I3827" s="97" t="s">
        <v>2056</v>
      </c>
      <c r="J3827" s="97" t="s">
        <v>2057</v>
      </c>
      <c r="K3827" s="29">
        <v>55.99</v>
      </c>
      <c r="L3827" s="29">
        <v>-5.6</v>
      </c>
      <c r="M3827" s="30">
        <f>IFERROR(VLOOKUP($A3827,HeadJournal!$A$1:$J$890,COLUMN(HeadJournal!I$1),0)*($K3827+$L3827)/(SUMIF($A:$A,$A3827,$K:$K)+SUMIF($A:$A,$A3827,$L:$L)),0)</f>
        <v>-3.9755062715869851</v>
      </c>
      <c r="N3827" s="30">
        <f>IFERROR((VLOOKUP($A3827,HeadJournal!$A$1:$K$890,COLUMN(HeadJournal!K$1),0)-VLOOKUP($A3827,HeadJournal!$A$1:$K$890,COLUMN(HeadJournal!J$1),0))*($K3827+$L3827)/(SUMIF($A:$A,$A3827,$K:$K)+SUMIF($A:$A,$A3827,$L:$L)),0)</f>
        <v>8.6782399454526953E-15</v>
      </c>
      <c r="O3827" s="30">
        <f>IFERROR((VLOOKUP($A3827,HeadJournal!$A$1:$L$890,COLUMN(HeadJournal!L$1),0)*($K3827+$L3827)/(SUMIF($A:$A,$A3827,$K:$K)+SUMIF($A:$A,$A3827,$L:$L)))/VLOOKUP($A3827,HeadJournal!$A$1:$L$890,COLUMN(HeadJournal!H$1),0),0)</f>
        <v>2.4757840828626403</v>
      </c>
      <c r="P3827" s="30">
        <f>IFERROR(SUM(K3827:O3827)*VLOOKUP($A3827,HeadJournal!$A$1:$L$890,COLUMN(HeadJournal!H$1),0),0)</f>
        <v>5074.0202815649691</v>
      </c>
      <c r="Q3827" s="29">
        <v>5400</v>
      </c>
      <c r="R3827" s="31">
        <v>45587</v>
      </c>
      <c r="S3827" s="31" t="s">
        <v>3121</v>
      </c>
      <c r="T3827" s="95" t="str">
        <f t="shared" si="303"/>
        <v>2024 10</v>
      </c>
      <c r="U3827" s="32">
        <f t="shared" si="300"/>
        <v>325.97971843503092</v>
      </c>
      <c r="V3827" s="22">
        <f t="shared" si="301"/>
        <v>6.4244859173974309E-2</v>
      </c>
      <c r="X3827" s="33"/>
      <c r="Y3827" s="33"/>
    </row>
    <row r="3828" spans="1:25" x14ac:dyDescent="0.2">
      <c r="A3828" s="93" t="s">
        <v>2062</v>
      </c>
      <c r="B3828" s="94" t="str">
        <f>IFERROR(VLOOKUP($A3828,HeadJournal!$A$1:$NTR$890,COLUMN(HeadJournal!B$1),0),"")</f>
        <v>720000391840</v>
      </c>
      <c r="C3828" s="94" t="str">
        <f>IFERROR(VLOOKUP($A3828,HeadJournal!$A$1:$NTR$890,COLUMN(HeadJournal!C$1),0),"")</f>
        <v>iHerb_OA CZN6870</v>
      </c>
      <c r="D3828" s="125" t="str">
        <f>IFERROR(VLOOKUP($A3828,HeadJournal!$A$1:$NTR$890,COLUMN(HeadJournal!D$1),0),"")</f>
        <v>Доставлен</v>
      </c>
      <c r="E3828" s="95">
        <f>IFERROR(VLOOKUP($A3828,HeadJournal!$A$1:$NTR$890,COLUMN(HeadJournal!G$1),0),"")</f>
        <v>45557</v>
      </c>
      <c r="F3828" s="95" t="str">
        <f t="shared" si="302"/>
        <v>2024 09</v>
      </c>
      <c r="G3828" s="97" t="s">
        <v>5</v>
      </c>
      <c r="H3828" s="161" t="s">
        <v>2055</v>
      </c>
      <c r="I3828" s="97" t="s">
        <v>2056</v>
      </c>
      <c r="J3828" s="97" t="s">
        <v>2057</v>
      </c>
      <c r="K3828" s="29">
        <v>55.99</v>
      </c>
      <c r="L3828" s="29">
        <v>-5.6</v>
      </c>
      <c r="M3828" s="30">
        <f>IFERROR(VLOOKUP($A3828,HeadJournal!$A$1:$J$890,COLUMN(HeadJournal!I$1),0)*($K3828+$L3828)/(SUMIF($A:$A,$A3828,$K:$K)+SUMIF($A:$A,$A3828,$L:$L)),0)</f>
        <v>-3.9755062715869851</v>
      </c>
      <c r="N3828" s="30">
        <f>IFERROR((VLOOKUP($A3828,HeadJournal!$A$1:$K$890,COLUMN(HeadJournal!K$1),0)-VLOOKUP($A3828,HeadJournal!$A$1:$K$890,COLUMN(HeadJournal!J$1),0))*($K3828+$L3828)/(SUMIF($A:$A,$A3828,$K:$K)+SUMIF($A:$A,$A3828,$L:$L)),0)</f>
        <v>8.6782399454526953E-15</v>
      </c>
      <c r="O3828" s="30">
        <f>IFERROR((VLOOKUP($A3828,HeadJournal!$A$1:$L$890,COLUMN(HeadJournal!L$1),0)*($K3828+$L3828)/(SUMIF($A:$A,$A3828,$K:$K)+SUMIF($A:$A,$A3828,$L:$L)))/VLOOKUP($A3828,HeadJournal!$A$1:$L$890,COLUMN(HeadJournal!H$1),0),0)</f>
        <v>2.4757840828626403</v>
      </c>
      <c r="P3828" s="30">
        <f>IFERROR(SUM(K3828:O3828)*VLOOKUP($A3828,HeadJournal!$A$1:$L$890,COLUMN(HeadJournal!H$1),0),0)</f>
        <v>5074.0202815649691</v>
      </c>
      <c r="Q3828" s="29">
        <v>5400</v>
      </c>
      <c r="R3828" s="31">
        <v>45587</v>
      </c>
      <c r="S3828" s="31" t="s">
        <v>3121</v>
      </c>
      <c r="T3828" s="95" t="str">
        <f t="shared" si="303"/>
        <v>2024 10</v>
      </c>
      <c r="U3828" s="32">
        <f t="shared" si="300"/>
        <v>325.97971843503092</v>
      </c>
      <c r="V3828" s="22">
        <f t="shared" si="301"/>
        <v>6.4244859173974309E-2</v>
      </c>
      <c r="X3828" s="33"/>
      <c r="Y3828" s="33"/>
    </row>
    <row r="3829" spans="1:25" x14ac:dyDescent="0.2">
      <c r="A3829" s="93" t="s">
        <v>2062</v>
      </c>
      <c r="B3829" s="94" t="str">
        <f>IFERROR(VLOOKUP($A3829,HeadJournal!$A$1:$NTR$890,COLUMN(HeadJournal!B$1),0),"")</f>
        <v>720000391840</v>
      </c>
      <c r="C3829" s="94" t="str">
        <f>IFERROR(VLOOKUP($A3829,HeadJournal!$A$1:$NTR$890,COLUMN(HeadJournal!C$1),0),"")</f>
        <v>iHerb_OA CZN6870</v>
      </c>
      <c r="D3829" s="125" t="str">
        <f>IFERROR(VLOOKUP($A3829,HeadJournal!$A$1:$NTR$890,COLUMN(HeadJournal!D$1),0),"")</f>
        <v>Доставлен</v>
      </c>
      <c r="E3829" s="95">
        <f>IFERROR(VLOOKUP($A3829,HeadJournal!$A$1:$NTR$890,COLUMN(HeadJournal!G$1),0),"")</f>
        <v>45557</v>
      </c>
      <c r="F3829" s="95" t="str">
        <f t="shared" si="302"/>
        <v>2024 09</v>
      </c>
      <c r="G3829" s="97" t="s">
        <v>5</v>
      </c>
      <c r="H3829" s="161" t="s">
        <v>2051</v>
      </c>
      <c r="I3829" s="97" t="s">
        <v>2052</v>
      </c>
      <c r="J3829" s="97" t="s">
        <v>3097</v>
      </c>
      <c r="K3829" s="29">
        <v>21.04</v>
      </c>
      <c r="L3829" s="29">
        <v>-6.31</v>
      </c>
      <c r="M3829" s="30">
        <f>IFERROR(VLOOKUP($A3829,HeadJournal!$A$1:$J$890,COLUMN(HeadJournal!I$1),0)*($K3829+$L3829)/(SUMIF($A:$A,$A3829,$K:$K)+SUMIF($A:$A,$A3829,$L:$L)),0)</f>
        <v>-1.1621196146155248</v>
      </c>
      <c r="N3829" s="30">
        <f>IFERROR((VLOOKUP($A3829,HeadJournal!$A$1:$K$890,COLUMN(HeadJournal!K$1),0)-VLOOKUP($A3829,HeadJournal!$A$1:$K$890,COLUMN(HeadJournal!J$1),0))*($K3829+$L3829)/(SUMIF($A:$A,$A3829,$K:$K)+SUMIF($A:$A,$A3829,$L:$L)),0)</f>
        <v>2.5368222741916689E-15</v>
      </c>
      <c r="O3829" s="30">
        <f>IFERROR((VLOOKUP($A3829,HeadJournal!$A$1:$L$890,COLUMN(HeadJournal!L$1),0)*($K3829+$L3829)/(SUMIF($A:$A,$A3829,$K:$K)+SUMIF($A:$A,$A3829,$L:$L)))/VLOOKUP($A3829,HeadJournal!$A$1:$L$890,COLUMN(HeadJournal!H$1),0),0)</f>
        <v>0.72372096726665402</v>
      </c>
      <c r="P3829" s="30">
        <f>IFERROR(SUM(K3829:O3829)*VLOOKUP($A3829,HeadJournal!$A$1:$L$890,COLUMN(HeadJournal!H$1),0),0)</f>
        <v>1483.2371253711451</v>
      </c>
      <c r="Q3829" s="29">
        <v>2300</v>
      </c>
      <c r="R3829" s="31">
        <v>45584</v>
      </c>
      <c r="S3829" s="31" t="s">
        <v>3121</v>
      </c>
      <c r="T3829" s="95" t="str">
        <f t="shared" si="303"/>
        <v>2024 10</v>
      </c>
      <c r="U3829" s="32">
        <f t="shared" si="300"/>
        <v>816.76287462885489</v>
      </c>
      <c r="V3829" s="22">
        <f t="shared" si="301"/>
        <v>0.55066237262937934</v>
      </c>
      <c r="X3829" s="33"/>
      <c r="Y3829" s="33"/>
    </row>
    <row r="3830" spans="1:25" x14ac:dyDescent="0.2">
      <c r="A3830" s="93" t="s">
        <v>2062</v>
      </c>
      <c r="B3830" s="94" t="str">
        <f>IFERROR(VLOOKUP($A3830,HeadJournal!$A$1:$NTR$890,COLUMN(HeadJournal!B$1),0),"")</f>
        <v>720000391840</v>
      </c>
      <c r="C3830" s="94" t="str">
        <f>IFERROR(VLOOKUP($A3830,HeadJournal!$A$1:$NTR$890,COLUMN(HeadJournal!C$1),0),"")</f>
        <v>iHerb_OA CZN6870</v>
      </c>
      <c r="D3830" s="125" t="str">
        <f>IFERROR(VLOOKUP($A3830,HeadJournal!$A$1:$NTR$890,COLUMN(HeadJournal!D$1),0),"")</f>
        <v>Доставлен</v>
      </c>
      <c r="E3830" s="95">
        <f>IFERROR(VLOOKUP($A3830,HeadJournal!$A$1:$NTR$890,COLUMN(HeadJournal!G$1),0),"")</f>
        <v>45557</v>
      </c>
      <c r="F3830" s="95" t="str">
        <f t="shared" si="302"/>
        <v>2024 09</v>
      </c>
      <c r="G3830" s="97" t="s">
        <v>5</v>
      </c>
      <c r="H3830" s="161" t="s">
        <v>2051</v>
      </c>
      <c r="I3830" s="97" t="s">
        <v>2052</v>
      </c>
      <c r="J3830" s="97" t="s">
        <v>3097</v>
      </c>
      <c r="K3830" s="29">
        <v>21.04</v>
      </c>
      <c r="L3830" s="29">
        <v>-6.31</v>
      </c>
      <c r="M3830" s="30">
        <f>IFERROR(VLOOKUP($A3830,HeadJournal!$A$1:$J$890,COLUMN(HeadJournal!I$1),0)*($K3830+$L3830)/(SUMIF($A:$A,$A3830,$K:$K)+SUMIF($A:$A,$A3830,$L:$L)),0)</f>
        <v>-1.1621196146155248</v>
      </c>
      <c r="N3830" s="30">
        <f>IFERROR((VLOOKUP($A3830,HeadJournal!$A$1:$K$890,COLUMN(HeadJournal!K$1),0)-VLOOKUP($A3830,HeadJournal!$A$1:$K$890,COLUMN(HeadJournal!J$1),0))*($K3830+$L3830)/(SUMIF($A:$A,$A3830,$K:$K)+SUMIF($A:$A,$A3830,$L:$L)),0)</f>
        <v>2.5368222741916689E-15</v>
      </c>
      <c r="O3830" s="30">
        <f>IFERROR((VLOOKUP($A3830,HeadJournal!$A$1:$L$890,COLUMN(HeadJournal!L$1),0)*($K3830+$L3830)/(SUMIF($A:$A,$A3830,$K:$K)+SUMIF($A:$A,$A3830,$L:$L)))/VLOOKUP($A3830,HeadJournal!$A$1:$L$890,COLUMN(HeadJournal!H$1),0),0)</f>
        <v>0.72372096726665402</v>
      </c>
      <c r="P3830" s="30">
        <f>IFERROR(SUM(K3830:O3830)*VLOOKUP($A3830,HeadJournal!$A$1:$L$890,COLUMN(HeadJournal!H$1),0),0)</f>
        <v>1483.2371253711451</v>
      </c>
      <c r="Q3830" s="29">
        <v>2400</v>
      </c>
      <c r="R3830" s="31">
        <v>45603</v>
      </c>
      <c r="S3830" s="31" t="s">
        <v>3121</v>
      </c>
      <c r="T3830" s="95" t="str">
        <f t="shared" si="303"/>
        <v>2024 11</v>
      </c>
      <c r="U3830" s="32">
        <f t="shared" si="300"/>
        <v>916.76287462885489</v>
      </c>
      <c r="V3830" s="22">
        <f t="shared" si="301"/>
        <v>0.61808247578717834</v>
      </c>
      <c r="X3830" s="33"/>
      <c r="Y3830" s="33"/>
    </row>
    <row r="3831" spans="1:25" x14ac:dyDescent="0.2">
      <c r="A3831" s="93" t="s">
        <v>2062</v>
      </c>
      <c r="B3831" s="94" t="str">
        <f>IFERROR(VLOOKUP($A3831,HeadJournal!$A$1:$NTR$890,COLUMN(HeadJournal!B$1),0),"")</f>
        <v>720000391840</v>
      </c>
      <c r="C3831" s="94" t="str">
        <f>IFERROR(VLOOKUP($A3831,HeadJournal!$A$1:$NTR$890,COLUMN(HeadJournal!C$1),0),"")</f>
        <v>iHerb_OA CZN6870</v>
      </c>
      <c r="D3831" s="125" t="str">
        <f>IFERROR(VLOOKUP($A3831,HeadJournal!$A$1:$NTR$890,COLUMN(HeadJournal!D$1),0),"")</f>
        <v>Доставлен</v>
      </c>
      <c r="E3831" s="95">
        <f>IFERROR(VLOOKUP($A3831,HeadJournal!$A$1:$NTR$890,COLUMN(HeadJournal!G$1),0),"")</f>
        <v>45557</v>
      </c>
      <c r="F3831" s="95" t="str">
        <f t="shared" si="302"/>
        <v>2024 09</v>
      </c>
      <c r="G3831" s="97" t="s">
        <v>5</v>
      </c>
      <c r="H3831" s="161" t="s">
        <v>2058</v>
      </c>
      <c r="I3831" s="97" t="s">
        <v>2007</v>
      </c>
      <c r="J3831" s="97" t="s">
        <v>2059</v>
      </c>
      <c r="K3831" s="29">
        <v>29.7</v>
      </c>
      <c r="L3831" s="29">
        <v>-8.91</v>
      </c>
      <c r="M3831" s="30">
        <f>IFERROR(VLOOKUP($A3831,HeadJournal!$A$1:$J$890,COLUMN(HeadJournal!I$1),0)*($K3831+$L3831)/(SUMIF($A:$A,$A3831,$K:$K)+SUMIF($A:$A,$A3831,$L:$L)),0)</f>
        <v>-1.6402217778585713</v>
      </c>
      <c r="N3831" s="30">
        <f>IFERROR((VLOOKUP($A3831,HeadJournal!$A$1:$K$890,COLUMN(HeadJournal!K$1),0)-VLOOKUP($A3831,HeadJournal!$A$1:$K$890,COLUMN(HeadJournal!J$1),0))*($K3831+$L3831)/(SUMIF($A:$A,$A3831,$K:$K)+SUMIF($A:$A,$A3831,$L:$L)),0)</f>
        <v>3.5804843910688925E-15</v>
      </c>
      <c r="O3831" s="30">
        <f>IFERROR((VLOOKUP($A3831,HeadJournal!$A$1:$L$890,COLUMN(HeadJournal!L$1),0)*($K3831+$L3831)/(SUMIF($A:$A,$A3831,$K:$K)+SUMIF($A:$A,$A3831,$L:$L)))/VLOOKUP($A3831,HeadJournal!$A$1:$L$890,COLUMN(HeadJournal!H$1),0),0)</f>
        <v>1.021463605531143</v>
      </c>
      <c r="P3831" s="30">
        <f>IFERROR(SUM(K3831:O3831)*VLOOKUP($A3831,HeadJournal!$A$1:$L$890,COLUMN(HeadJournal!H$1),0),0)</f>
        <v>2093.4487329576446</v>
      </c>
      <c r="Q3831" s="29">
        <v>3100</v>
      </c>
      <c r="R3831" s="31">
        <v>45584</v>
      </c>
      <c r="S3831" s="31" t="s">
        <v>3121</v>
      </c>
      <c r="T3831" s="95" t="str">
        <f t="shared" si="303"/>
        <v>2024 10</v>
      </c>
      <c r="U3831" s="32">
        <f t="shared" si="300"/>
        <v>1006.5512670423554</v>
      </c>
      <c r="V3831" s="22">
        <f t="shared" si="301"/>
        <v>0.48081008681798004</v>
      </c>
      <c r="X3831" s="33"/>
      <c r="Y3831" s="33"/>
    </row>
    <row r="3832" spans="1:25" x14ac:dyDescent="0.2">
      <c r="A3832" s="93" t="s">
        <v>2062</v>
      </c>
      <c r="B3832" s="94" t="str">
        <f>IFERROR(VLOOKUP($A3832,HeadJournal!$A$1:$NTR$890,COLUMN(HeadJournal!B$1),0),"")</f>
        <v>720000391840</v>
      </c>
      <c r="C3832" s="94" t="str">
        <f>IFERROR(VLOOKUP($A3832,HeadJournal!$A$1:$NTR$890,COLUMN(HeadJournal!C$1),0),"")</f>
        <v>iHerb_OA CZN6870</v>
      </c>
      <c r="D3832" s="125" t="str">
        <f>IFERROR(VLOOKUP($A3832,HeadJournal!$A$1:$NTR$890,COLUMN(HeadJournal!D$1),0),"")</f>
        <v>Доставлен</v>
      </c>
      <c r="E3832" s="95">
        <f>IFERROR(VLOOKUP($A3832,HeadJournal!$A$1:$NTR$890,COLUMN(HeadJournal!G$1),0),"")</f>
        <v>45557</v>
      </c>
      <c r="F3832" s="95" t="str">
        <f t="shared" si="302"/>
        <v>2024 09</v>
      </c>
      <c r="G3832" s="97" t="s">
        <v>5</v>
      </c>
      <c r="H3832" s="161" t="s">
        <v>2060</v>
      </c>
      <c r="I3832" s="97" t="s">
        <v>2007</v>
      </c>
      <c r="J3832" s="97" t="s">
        <v>2061</v>
      </c>
      <c r="K3832" s="29">
        <v>31.91</v>
      </c>
      <c r="L3832" s="29">
        <v>-17.91</v>
      </c>
      <c r="M3832" s="30">
        <f>IFERROR(VLOOKUP($A3832,HeadJournal!$A$1:$J$890,COLUMN(HeadJournal!I$1),0)*($K3832+$L3832)/(SUMIF($A:$A,$A3832,$K:$K)+SUMIF($A:$A,$A3832,$L:$L)),0)</f>
        <v>-1.1045264497364118</v>
      </c>
      <c r="N3832" s="30">
        <f>IFERROR((VLOOKUP($A3832,HeadJournal!$A$1:$K$890,COLUMN(HeadJournal!K$1),0)-VLOOKUP($A3832,HeadJournal!$A$1:$K$890,COLUMN(HeadJournal!J$1),0))*($K3832+$L3832)/(SUMIF($A:$A,$A3832,$K:$K)+SUMIF($A:$A,$A3832,$L:$L)),0)</f>
        <v>2.4111006000463925E-15</v>
      </c>
      <c r="O3832" s="30">
        <f>IFERROR((VLOOKUP($A3832,HeadJournal!$A$1:$L$890,COLUMN(HeadJournal!L$1),0)*($K3832+$L3832)/(SUMIF($A:$A,$A3832,$K:$K)+SUMIF($A:$A,$A3832,$L:$L)))/VLOOKUP($A3832,HeadJournal!$A$1:$L$890,COLUMN(HeadJournal!H$1),0),0)</f>
        <v>0.68785427981895153</v>
      </c>
      <c r="P3832" s="30">
        <f>IFERROR(SUM(K3832:O3832)*VLOOKUP($A3832,HeadJournal!$A$1:$L$890,COLUMN(HeadJournal!H$1),0),0)</f>
        <v>1409.7297865034645</v>
      </c>
      <c r="Q3832" s="29">
        <v>3600</v>
      </c>
      <c r="R3832" s="31">
        <v>45678</v>
      </c>
      <c r="S3832" s="31" t="s">
        <v>3121</v>
      </c>
      <c r="T3832" s="95" t="str">
        <f t="shared" si="303"/>
        <v>2025 01</v>
      </c>
      <c r="U3832" s="32">
        <f t="shared" si="300"/>
        <v>2190.2702134965357</v>
      </c>
      <c r="V3832" s="22">
        <f t="shared" si="301"/>
        <v>1.5536808787512648</v>
      </c>
      <c r="X3832" s="33"/>
      <c r="Y3832" s="33"/>
    </row>
    <row r="3833" spans="1:25" x14ac:dyDescent="0.2">
      <c r="A3833" s="93" t="s">
        <v>2080</v>
      </c>
      <c r="B3833" s="94" t="str">
        <f>IFERROR(VLOOKUP($A3833,HeadJournal!$A$1:$NTR$890,COLUMN(HeadJournal!B$1),0),"")</f>
        <v>720000391840</v>
      </c>
      <c r="C3833" s="94" t="str">
        <f>IFERROR(VLOOKUP($A3833,HeadJournal!$A$1:$NTR$890,COLUMN(HeadJournal!C$1),0),"")</f>
        <v>iHerb_MH DLE7202</v>
      </c>
      <c r="D3833" s="125" t="str">
        <f>IFERROR(VLOOKUP($A3833,HeadJournal!$A$1:$NTR$890,COLUMN(HeadJournal!D$1),0),"")</f>
        <v>Доставлен</v>
      </c>
      <c r="E3833" s="95">
        <f>IFERROR(VLOOKUP($A3833,HeadJournal!$A$1:$NTR$890,COLUMN(HeadJournal!G$1),0),"")</f>
        <v>45545</v>
      </c>
      <c r="F3833" s="95" t="str">
        <f t="shared" si="302"/>
        <v>2024 09</v>
      </c>
      <c r="G3833" s="97" t="s">
        <v>5</v>
      </c>
      <c r="H3833" s="161" t="s">
        <v>2064</v>
      </c>
      <c r="I3833" s="97" t="s">
        <v>2005</v>
      </c>
      <c r="J3833" s="97" t="s">
        <v>2065</v>
      </c>
      <c r="K3833" s="29">
        <v>30.2</v>
      </c>
      <c r="L3833" s="29">
        <v>-8.4600000000000009</v>
      </c>
      <c r="M3833" s="30">
        <f>IFERROR(VLOOKUP($A3833,HeadJournal!$A$1:$J$890,COLUMN(HeadJournal!I$1),0)*($K3833+$L3833)/(SUMIF($A:$A,$A3833,$K:$K)+SUMIF($A:$A,$A3833,$L:$L)),0)</f>
        <v>-1.6527196224483995</v>
      </c>
      <c r="N3833" s="30">
        <f>IFERROR((VLOOKUP($A3833,HeadJournal!$A$1:$K$890,COLUMN(HeadJournal!K$1),0)-VLOOKUP($A3833,HeadJournal!$A$1:$K$890,COLUMN(HeadJournal!J$1),0))*($K3833+$L3833)/(SUMIF($A:$A,$A3833,$K:$K)+SUMIF($A:$A,$A3833,$L:$L)),0)</f>
        <v>3.5133221300789398E-15</v>
      </c>
      <c r="O3833" s="30">
        <f>IFERROR((VLOOKUP($A3833,HeadJournal!$A$1:$L$890,COLUMN(HeadJournal!L$1),0)*($K3833+$L3833)/(SUMIF($A:$A,$A3833,$K:$K)+SUMIF($A:$A,$A3833,$L:$L)))/VLOOKUP($A3833,HeadJournal!$A$1:$L$890,COLUMN(HeadJournal!H$1),0),0)</f>
        <v>1.0015731818804023</v>
      </c>
      <c r="P3833" s="30">
        <f>IFERROR(SUM(K3833:O3833)*VLOOKUP($A3833,HeadJournal!$A$1:$L$890,COLUMN(HeadJournal!H$1),0),0)</f>
        <v>2129.2461573889814</v>
      </c>
      <c r="Q3833" s="29">
        <v>3450</v>
      </c>
      <c r="R3833" s="31">
        <v>45576</v>
      </c>
      <c r="S3833" s="31" t="s">
        <v>3121</v>
      </c>
      <c r="T3833" s="95" t="str">
        <f t="shared" si="303"/>
        <v>2024 10</v>
      </c>
      <c r="U3833" s="32">
        <f t="shared" si="300"/>
        <v>1320.7538426110186</v>
      </c>
      <c r="V3833" s="22">
        <f t="shared" si="301"/>
        <v>0.62029175820169702</v>
      </c>
      <c r="X3833" s="33"/>
      <c r="Y3833" s="33"/>
    </row>
    <row r="3834" spans="1:25" x14ac:dyDescent="0.2">
      <c r="A3834" s="93" t="s">
        <v>2080</v>
      </c>
      <c r="B3834" s="94" t="str">
        <f>IFERROR(VLOOKUP($A3834,HeadJournal!$A$1:$NTR$890,COLUMN(HeadJournal!B$1),0),"")</f>
        <v>720000391840</v>
      </c>
      <c r="C3834" s="94" t="str">
        <f>IFERROR(VLOOKUP($A3834,HeadJournal!$A$1:$NTR$890,COLUMN(HeadJournal!C$1),0),"")</f>
        <v>iHerb_MH DLE7202</v>
      </c>
      <c r="D3834" s="125" t="str">
        <f>IFERROR(VLOOKUP($A3834,HeadJournal!$A$1:$NTR$890,COLUMN(HeadJournal!D$1),0),"")</f>
        <v>Доставлен</v>
      </c>
      <c r="E3834" s="95">
        <f>IFERROR(VLOOKUP($A3834,HeadJournal!$A$1:$NTR$890,COLUMN(HeadJournal!G$1),0),"")</f>
        <v>45545</v>
      </c>
      <c r="F3834" s="95" t="str">
        <f t="shared" si="302"/>
        <v>2024 09</v>
      </c>
      <c r="G3834" s="97" t="s">
        <v>5</v>
      </c>
      <c r="H3834" s="161" t="s">
        <v>2066</v>
      </c>
      <c r="I3834" s="97" t="s">
        <v>2067</v>
      </c>
      <c r="J3834" s="97" t="s">
        <v>2068</v>
      </c>
      <c r="K3834" s="29">
        <v>20.77</v>
      </c>
      <c r="L3834" s="29">
        <v>-12.53</v>
      </c>
      <c r="M3834" s="30">
        <f>IFERROR(VLOOKUP($A3834,HeadJournal!$A$1:$J$890,COLUMN(HeadJournal!I$1),0)*($K3834+$L3834)/(SUMIF($A:$A,$A3834,$K:$K)+SUMIF($A:$A,$A3834,$L:$L)),0)</f>
        <v>-0.62642178882128852</v>
      </c>
      <c r="N3834" s="30">
        <f>IFERROR((VLOOKUP($A3834,HeadJournal!$A$1:$K$890,COLUMN(HeadJournal!K$1),0)-VLOOKUP($A3834,HeadJournal!$A$1:$K$890,COLUMN(HeadJournal!J$1),0))*($K3834+$L3834)/(SUMIF($A:$A,$A3834,$K:$K)+SUMIF($A:$A,$A3834,$L:$L)),0)</f>
        <v>1.3316363547309323E-15</v>
      </c>
      <c r="O3834" s="30">
        <f>IFERROR((VLOOKUP($A3834,HeadJournal!$A$1:$L$890,COLUMN(HeadJournal!L$1),0)*($K3834+$L3834)/(SUMIF($A:$A,$A3834,$K:$K)+SUMIF($A:$A,$A3834,$L:$L)))/VLOOKUP($A3834,HeadJournal!$A$1:$L$890,COLUMN(HeadJournal!H$1),0),0)</f>
        <v>0.37962111401538706</v>
      </c>
      <c r="P3834" s="30">
        <f>IFERROR(SUM(K3834:O3834)*VLOOKUP($A3834,HeadJournal!$A$1:$L$890,COLUMN(HeadJournal!H$1),0),0)</f>
        <v>807.03718200943888</v>
      </c>
      <c r="Q3834" s="29"/>
      <c r="R3834" s="31"/>
      <c r="S3834" s="31"/>
      <c r="T3834" s="95" t="str">
        <f t="shared" si="303"/>
        <v/>
      </c>
      <c r="U3834" s="32">
        <f t="shared" si="300"/>
        <v>-807.03718200943888</v>
      </c>
      <c r="V3834" s="22" t="str">
        <f t="shared" si="301"/>
        <v/>
      </c>
      <c r="X3834" s="33"/>
      <c r="Y3834" s="33"/>
    </row>
    <row r="3835" spans="1:25" x14ac:dyDescent="0.2">
      <c r="A3835" s="93" t="s">
        <v>2080</v>
      </c>
      <c r="B3835" s="94" t="str">
        <f>IFERROR(VLOOKUP($A3835,HeadJournal!$A$1:$NTR$890,COLUMN(HeadJournal!B$1),0),"")</f>
        <v>720000391840</v>
      </c>
      <c r="C3835" s="94" t="str">
        <f>IFERROR(VLOOKUP($A3835,HeadJournal!$A$1:$NTR$890,COLUMN(HeadJournal!C$1),0),"")</f>
        <v>iHerb_MH DLE7202</v>
      </c>
      <c r="D3835" s="125" t="str">
        <f>IFERROR(VLOOKUP($A3835,HeadJournal!$A$1:$NTR$890,COLUMN(HeadJournal!D$1),0),"")</f>
        <v>Доставлен</v>
      </c>
      <c r="E3835" s="95">
        <f>IFERROR(VLOOKUP($A3835,HeadJournal!$A$1:$NTR$890,COLUMN(HeadJournal!G$1),0),"")</f>
        <v>45545</v>
      </c>
      <c r="F3835" s="95" t="str">
        <f t="shared" si="302"/>
        <v>2024 09</v>
      </c>
      <c r="G3835" s="97" t="s">
        <v>5</v>
      </c>
      <c r="H3835" s="161" t="s">
        <v>2069</v>
      </c>
      <c r="I3835" s="97" t="s">
        <v>2005</v>
      </c>
      <c r="J3835" s="97" t="s">
        <v>2070</v>
      </c>
      <c r="K3835" s="29">
        <v>34.950000000000003</v>
      </c>
      <c r="L3835" s="29">
        <v>-9.7850000000000001</v>
      </c>
      <c r="M3835" s="30">
        <f>IFERROR(VLOOKUP($A3835,HeadJournal!$A$1:$J$890,COLUMN(HeadJournal!I$1),0)*($K3835+$L3835)/(SUMIF($A:$A,$A3835,$K:$K)+SUMIF($A:$A,$A3835,$L:$L)),0)</f>
        <v>-1.9130951839426853</v>
      </c>
      <c r="N3835" s="30">
        <f>IFERROR((VLOOKUP($A3835,HeadJournal!$A$1:$K$890,COLUMN(HeadJournal!K$1),0)-VLOOKUP($A3835,HeadJournal!$A$1:$K$890,COLUMN(HeadJournal!J$1),0))*($K3835+$L3835)/(SUMIF($A:$A,$A3835,$K:$K)+SUMIF($A:$A,$A3835,$L:$L)),0)</f>
        <v>4.0668238916024165E-15</v>
      </c>
      <c r="O3835" s="30">
        <f>IFERROR((VLOOKUP($A3835,HeadJournal!$A$1:$L$890,COLUMN(HeadJournal!L$1),0)*($K3835+$L3835)/(SUMIF($A:$A,$A3835,$K:$K)+SUMIF($A:$A,$A3835,$L:$L)))/VLOOKUP($A3835,HeadJournal!$A$1:$L$890,COLUMN(HeadJournal!H$1),0),0)</f>
        <v>1.1593647250239341</v>
      </c>
      <c r="P3835" s="30">
        <f>IFERROR(SUM(K3835:O3835)*VLOOKUP($A3835,HeadJournal!$A$1:$L$890,COLUMN(HeadJournal!H$1),0),0)</f>
        <v>2464.6954715130505</v>
      </c>
      <c r="Q3835" s="29">
        <v>3900</v>
      </c>
      <c r="R3835" s="31">
        <v>45584</v>
      </c>
      <c r="S3835" s="31" t="s">
        <v>3121</v>
      </c>
      <c r="T3835" s="95" t="str">
        <f t="shared" si="303"/>
        <v>2024 10</v>
      </c>
      <c r="U3835" s="32">
        <f t="shared" si="300"/>
        <v>1435.3045284869495</v>
      </c>
      <c r="V3835" s="22">
        <f t="shared" si="301"/>
        <v>0.58234558592580654</v>
      </c>
      <c r="X3835" s="33"/>
      <c r="Y3835" s="33"/>
    </row>
    <row r="3836" spans="1:25" x14ac:dyDescent="0.2">
      <c r="A3836" s="93" t="s">
        <v>2080</v>
      </c>
      <c r="B3836" s="94" t="str">
        <f>IFERROR(VLOOKUP($A3836,HeadJournal!$A$1:$NTR$890,COLUMN(HeadJournal!B$1),0),"")</f>
        <v>720000391840</v>
      </c>
      <c r="C3836" s="94" t="str">
        <f>IFERROR(VLOOKUP($A3836,HeadJournal!$A$1:$NTR$890,COLUMN(HeadJournal!C$1),0),"")</f>
        <v>iHerb_MH DLE7202</v>
      </c>
      <c r="D3836" s="125" t="str">
        <f>IFERROR(VLOOKUP($A3836,HeadJournal!$A$1:$NTR$890,COLUMN(HeadJournal!D$1),0),"")</f>
        <v>Доставлен</v>
      </c>
      <c r="E3836" s="95">
        <f>IFERROR(VLOOKUP($A3836,HeadJournal!$A$1:$NTR$890,COLUMN(HeadJournal!G$1),0),"")</f>
        <v>45545</v>
      </c>
      <c r="F3836" s="95" t="str">
        <f t="shared" si="302"/>
        <v>2024 09</v>
      </c>
      <c r="G3836" s="97" t="s">
        <v>5</v>
      </c>
      <c r="H3836" s="161" t="s">
        <v>2069</v>
      </c>
      <c r="I3836" s="97" t="s">
        <v>2005</v>
      </c>
      <c r="J3836" s="97" t="s">
        <v>2070</v>
      </c>
      <c r="K3836" s="29">
        <v>34.950000000000003</v>
      </c>
      <c r="L3836" s="29">
        <v>-9.7850000000000001</v>
      </c>
      <c r="M3836" s="30">
        <f>IFERROR(VLOOKUP($A3836,HeadJournal!$A$1:$J$890,COLUMN(HeadJournal!I$1),0)*($K3836+$L3836)/(SUMIF($A:$A,$A3836,$K:$K)+SUMIF($A:$A,$A3836,$L:$L)),0)</f>
        <v>-1.9130951839426853</v>
      </c>
      <c r="N3836" s="30">
        <f>IFERROR((VLOOKUP($A3836,HeadJournal!$A$1:$K$890,COLUMN(HeadJournal!K$1),0)-VLOOKUP($A3836,HeadJournal!$A$1:$K$890,COLUMN(HeadJournal!J$1),0))*($K3836+$L3836)/(SUMIF($A:$A,$A3836,$K:$K)+SUMIF($A:$A,$A3836,$L:$L)),0)</f>
        <v>4.0668238916024165E-15</v>
      </c>
      <c r="O3836" s="30">
        <f>IFERROR((VLOOKUP($A3836,HeadJournal!$A$1:$L$890,COLUMN(HeadJournal!L$1),0)*($K3836+$L3836)/(SUMIF($A:$A,$A3836,$K:$K)+SUMIF($A:$A,$A3836,$L:$L)))/VLOOKUP($A3836,HeadJournal!$A$1:$L$890,COLUMN(HeadJournal!H$1),0),0)</f>
        <v>1.1593647250239341</v>
      </c>
      <c r="P3836" s="30">
        <f>IFERROR(SUM(K3836:O3836)*VLOOKUP($A3836,HeadJournal!$A$1:$L$890,COLUMN(HeadJournal!H$1),0),0)</f>
        <v>2464.6954715130505</v>
      </c>
      <c r="Q3836" s="29">
        <v>4100</v>
      </c>
      <c r="R3836" s="31">
        <v>45790</v>
      </c>
      <c r="S3836" s="31" t="s">
        <v>3121</v>
      </c>
      <c r="T3836" s="95" t="str">
        <f t="shared" si="303"/>
        <v>2025 05</v>
      </c>
      <c r="U3836" s="32">
        <f t="shared" si="300"/>
        <v>1635.3045284869495</v>
      </c>
      <c r="V3836" s="22">
        <f t="shared" si="301"/>
        <v>0.66349151340918122</v>
      </c>
      <c r="X3836" s="33"/>
      <c r="Y3836" s="33"/>
    </row>
    <row r="3837" spans="1:25" x14ac:dyDescent="0.2">
      <c r="A3837" s="93" t="s">
        <v>2080</v>
      </c>
      <c r="B3837" s="94" t="str">
        <f>IFERROR(VLOOKUP($A3837,HeadJournal!$A$1:$NTR$890,COLUMN(HeadJournal!B$1),0),"")</f>
        <v>720000391840</v>
      </c>
      <c r="C3837" s="94" t="str">
        <f>IFERROR(VLOOKUP($A3837,HeadJournal!$A$1:$NTR$890,COLUMN(HeadJournal!C$1),0),"")</f>
        <v>iHerb_MH DLE7202</v>
      </c>
      <c r="D3837" s="125" t="str">
        <f>IFERROR(VLOOKUP($A3837,HeadJournal!$A$1:$NTR$890,COLUMN(HeadJournal!D$1),0),"")</f>
        <v>Доставлен</v>
      </c>
      <c r="E3837" s="95">
        <f>IFERROR(VLOOKUP($A3837,HeadJournal!$A$1:$NTR$890,COLUMN(HeadJournal!G$1),0),"")</f>
        <v>45545</v>
      </c>
      <c r="F3837" s="95" t="str">
        <f t="shared" si="302"/>
        <v>2024 09</v>
      </c>
      <c r="G3837" s="97" t="s">
        <v>5</v>
      </c>
      <c r="H3837" s="161" t="s">
        <v>2018</v>
      </c>
      <c r="I3837" s="97" t="s">
        <v>2005</v>
      </c>
      <c r="J3837" s="97" t="s">
        <v>2019</v>
      </c>
      <c r="K3837" s="29">
        <v>23.08</v>
      </c>
      <c r="L3837" s="29">
        <v>-6.46</v>
      </c>
      <c r="M3837" s="30">
        <f>IFERROR(VLOOKUP($A3837,HeadJournal!$A$1:$J$890,COLUMN(HeadJournal!I$1),0)*($K3837+$L3837)/(SUMIF($A:$A,$A3837,$K:$K)+SUMIF($A:$A,$A3837,$L:$L)),0)</f>
        <v>-1.2634866662875988</v>
      </c>
      <c r="N3837" s="30">
        <f>IFERROR((VLOOKUP($A3837,HeadJournal!$A$1:$K$890,COLUMN(HeadJournal!K$1),0)-VLOOKUP($A3837,HeadJournal!$A$1:$K$890,COLUMN(HeadJournal!J$1),0))*($K3837+$L3837)/(SUMIF($A:$A,$A3837,$K:$K)+SUMIF($A:$A,$A3837,$L:$L)),0)</f>
        <v>2.6858975989839915E-15</v>
      </c>
      <c r="O3837" s="30">
        <f>IFERROR((VLOOKUP($A3837,HeadJournal!$A$1:$L$890,COLUMN(HeadJournal!L$1),0)*($K3837+$L3837)/(SUMIF($A:$A,$A3837,$K:$K)+SUMIF($A:$A,$A3837,$L:$L)))/VLOOKUP($A3837,HeadJournal!$A$1:$L$890,COLUMN(HeadJournal!H$1),0),0)</f>
        <v>0.76569210132715193</v>
      </c>
      <c r="P3837" s="30">
        <f>IFERROR(SUM(K3837:O3837)*VLOOKUP($A3837,HeadJournal!$A$1:$L$890,COLUMN(HeadJournal!H$1),0),0)</f>
        <v>1627.7861608005917</v>
      </c>
      <c r="Q3837" s="29">
        <v>2900</v>
      </c>
      <c r="R3837" s="31">
        <v>45575</v>
      </c>
      <c r="S3837" s="31" t="s">
        <v>3121</v>
      </c>
      <c r="T3837" s="95" t="str">
        <f t="shared" si="303"/>
        <v>2024 10</v>
      </c>
      <c r="U3837" s="32">
        <f t="shared" si="300"/>
        <v>1272.2138391994083</v>
      </c>
      <c r="V3837" s="22">
        <f t="shared" si="301"/>
        <v>0.78156079086806907</v>
      </c>
      <c r="X3837" s="33"/>
      <c r="Y3837" s="33"/>
    </row>
    <row r="3838" spans="1:25" x14ac:dyDescent="0.2">
      <c r="A3838" s="93" t="s">
        <v>2080</v>
      </c>
      <c r="B3838" s="94" t="str">
        <f>IFERROR(VLOOKUP($A3838,HeadJournal!$A$1:$NTR$890,COLUMN(HeadJournal!B$1),0),"")</f>
        <v>720000391840</v>
      </c>
      <c r="C3838" s="94" t="str">
        <f>IFERROR(VLOOKUP($A3838,HeadJournal!$A$1:$NTR$890,COLUMN(HeadJournal!C$1),0),"")</f>
        <v>iHerb_MH DLE7202</v>
      </c>
      <c r="D3838" s="125" t="str">
        <f>IFERROR(VLOOKUP($A3838,HeadJournal!$A$1:$NTR$890,COLUMN(HeadJournal!D$1),0),"")</f>
        <v>Доставлен</v>
      </c>
      <c r="E3838" s="95">
        <f>IFERROR(VLOOKUP($A3838,HeadJournal!$A$1:$NTR$890,COLUMN(HeadJournal!G$1),0),"")</f>
        <v>45545</v>
      </c>
      <c r="F3838" s="95" t="str">
        <f t="shared" si="302"/>
        <v>2024 09</v>
      </c>
      <c r="G3838" s="97" t="s">
        <v>5</v>
      </c>
      <c r="H3838" s="161" t="s">
        <v>2071</v>
      </c>
      <c r="I3838" s="97" t="s">
        <v>2005</v>
      </c>
      <c r="J3838" s="97" t="s">
        <v>2072</v>
      </c>
      <c r="K3838" s="29">
        <v>22.44</v>
      </c>
      <c r="L3838" s="29">
        <v>-6.28</v>
      </c>
      <c r="M3838" s="30">
        <f>IFERROR(VLOOKUP($A3838,HeadJournal!$A$1:$J$890,COLUMN(HeadJournal!I$1),0)*($K3838+$L3838)/(SUMIF($A:$A,$A3838,$K:$K)+SUMIF($A:$A,$A3838,$L:$L)),0)</f>
        <v>-1.2285165178825268</v>
      </c>
      <c r="N3838" s="30">
        <f>IFERROR((VLOOKUP($A3838,HeadJournal!$A$1:$K$890,COLUMN(HeadJournal!K$1),0)-VLOOKUP($A3838,HeadJournal!$A$1:$K$890,COLUMN(HeadJournal!J$1),0))*($K3838+$L3838)/(SUMIF($A:$A,$A3838,$K:$K)+SUMIF($A:$A,$A3838,$L:$L)),0)</f>
        <v>2.6115586762684304E-15</v>
      </c>
      <c r="O3838" s="30">
        <f>IFERROR((VLOOKUP($A3838,HeadJournal!$A$1:$L$890,COLUMN(HeadJournal!L$1),0)*($K3838+$L3838)/(SUMIF($A:$A,$A3838,$K:$K)+SUMIF($A:$A,$A3838,$L:$L)))/VLOOKUP($A3838,HeadJournal!$A$1:$L$890,COLUMN(HeadJournal!H$1),0),0)</f>
        <v>0.74449966049619587</v>
      </c>
      <c r="P3838" s="30">
        <f>IFERROR(SUM(K3838:O3838)*VLOOKUP($A3838,HeadJournal!$A$1:$L$890,COLUMN(HeadJournal!H$1),0),0)</f>
        <v>1582.7331142321036</v>
      </c>
      <c r="Q3838" s="29">
        <v>3000</v>
      </c>
      <c r="R3838" s="31">
        <v>45640</v>
      </c>
      <c r="S3838" s="31" t="s">
        <v>3121</v>
      </c>
      <c r="T3838" s="95" t="str">
        <f t="shared" si="303"/>
        <v>2024 12</v>
      </c>
      <c r="U3838" s="32">
        <f t="shared" si="300"/>
        <v>1417.2668857678964</v>
      </c>
      <c r="V3838" s="22">
        <f t="shared" si="301"/>
        <v>0.89545538222691023</v>
      </c>
      <c r="X3838" s="33"/>
      <c r="Y3838" s="33"/>
    </row>
    <row r="3839" spans="1:25" x14ac:dyDescent="0.2">
      <c r="A3839" s="93" t="s">
        <v>2080</v>
      </c>
      <c r="B3839" s="94" t="str">
        <f>IFERROR(VLOOKUP($A3839,HeadJournal!$A$1:$NTR$890,COLUMN(HeadJournal!B$1),0),"")</f>
        <v>720000391840</v>
      </c>
      <c r="C3839" s="94" t="str">
        <f>IFERROR(VLOOKUP($A3839,HeadJournal!$A$1:$NTR$890,COLUMN(HeadJournal!C$1),0),"")</f>
        <v>iHerb_MH DLE7202</v>
      </c>
      <c r="D3839" s="125" t="str">
        <f>IFERROR(VLOOKUP($A3839,HeadJournal!$A$1:$NTR$890,COLUMN(HeadJournal!D$1),0),"")</f>
        <v>Доставлен</v>
      </c>
      <c r="E3839" s="95">
        <f>IFERROR(VLOOKUP($A3839,HeadJournal!$A$1:$NTR$890,COLUMN(HeadJournal!G$1),0),"")</f>
        <v>45545</v>
      </c>
      <c r="F3839" s="95" t="str">
        <f t="shared" si="302"/>
        <v>2024 09</v>
      </c>
      <c r="G3839" s="97" t="s">
        <v>5</v>
      </c>
      <c r="H3839" s="161" t="s">
        <v>2073</v>
      </c>
      <c r="I3839" s="97" t="s">
        <v>2005</v>
      </c>
      <c r="J3839" s="97" t="s">
        <v>2074</v>
      </c>
      <c r="K3839" s="29">
        <v>19.78</v>
      </c>
      <c r="L3839" s="29">
        <v>-5.54</v>
      </c>
      <c r="M3839" s="30">
        <f>IFERROR(VLOOKUP($A3839,HeadJournal!$A$1:$J$890,COLUMN(HeadJournal!I$1),0)*($K3839+$L3839)/(SUMIF($A:$A,$A3839,$K:$K)+SUMIF($A:$A,$A3839,$L:$L)),0)</f>
        <v>-1.0825541593222268</v>
      </c>
      <c r="N3839" s="30">
        <f>IFERROR((VLOOKUP($A3839,HeadJournal!$A$1:$K$890,COLUMN(HeadJournal!K$1),0)-VLOOKUP($A3839,HeadJournal!$A$1:$K$890,COLUMN(HeadJournal!J$1),0))*($K3839+$L3839)/(SUMIF($A:$A,$A3839,$K:$K)+SUMIF($A:$A,$A3839,$L:$L)),0)</f>
        <v>2.3012744771078249E-15</v>
      </c>
      <c r="O3839" s="30">
        <f>IFERROR((VLOOKUP($A3839,HeadJournal!$A$1:$L$890,COLUMN(HeadJournal!L$1),0)*($K3839+$L3839)/(SUMIF($A:$A,$A3839,$K:$K)+SUMIF($A:$A,$A3839,$L:$L)))/VLOOKUP($A3839,HeadJournal!$A$1:$L$890,COLUMN(HeadJournal!H$1),0),0)</f>
        <v>0.65604425528872723</v>
      </c>
      <c r="P3839" s="30">
        <f>IFERROR(SUM(K3839:O3839)*VLOOKUP($A3839,HeadJournal!$A$1:$L$890,COLUMN(HeadJournal!H$1),0),0)</f>
        <v>1394.6856155114579</v>
      </c>
      <c r="Q3839" s="29">
        <v>2400</v>
      </c>
      <c r="R3839" s="31">
        <v>45726</v>
      </c>
      <c r="S3839" s="31" t="s">
        <v>3121</v>
      </c>
      <c r="T3839" s="95" t="str">
        <f t="shared" si="303"/>
        <v>2025 03</v>
      </c>
      <c r="U3839" s="32">
        <f t="shared" si="300"/>
        <v>1005.3143844885421</v>
      </c>
      <c r="V3839" s="22">
        <f t="shared" si="301"/>
        <v>0.72081792004420597</v>
      </c>
      <c r="X3839" s="33"/>
      <c r="Y3839" s="33"/>
    </row>
    <row r="3840" spans="1:25" x14ac:dyDescent="0.2">
      <c r="A3840" s="93" t="s">
        <v>2080</v>
      </c>
      <c r="B3840" s="94" t="str">
        <f>IFERROR(VLOOKUP($A3840,HeadJournal!$A$1:$NTR$890,COLUMN(HeadJournal!B$1),0),"")</f>
        <v>720000391840</v>
      </c>
      <c r="C3840" s="94" t="str">
        <f>IFERROR(VLOOKUP($A3840,HeadJournal!$A$1:$NTR$890,COLUMN(HeadJournal!C$1),0),"")</f>
        <v>iHerb_MH DLE7202</v>
      </c>
      <c r="D3840" s="125" t="str">
        <f>IFERROR(VLOOKUP($A3840,HeadJournal!$A$1:$NTR$890,COLUMN(HeadJournal!D$1),0),"")</f>
        <v>Доставлен</v>
      </c>
      <c r="E3840" s="95">
        <f>IFERROR(VLOOKUP($A3840,HeadJournal!$A$1:$NTR$890,COLUMN(HeadJournal!G$1),0),"")</f>
        <v>45545</v>
      </c>
      <c r="F3840" s="95" t="str">
        <f t="shared" si="302"/>
        <v>2024 09</v>
      </c>
      <c r="G3840" s="97" t="s">
        <v>5</v>
      </c>
      <c r="H3840" s="161" t="s">
        <v>2075</v>
      </c>
      <c r="I3840" s="97" t="s">
        <v>2005</v>
      </c>
      <c r="J3840" s="97" t="s">
        <v>3878</v>
      </c>
      <c r="K3840" s="29">
        <v>28.4</v>
      </c>
      <c r="L3840" s="29">
        <v>-7.95</v>
      </c>
      <c r="M3840" s="30">
        <f>IFERROR(VLOOKUP($A3840,HeadJournal!$A$1:$J$890,COLUMN(HeadJournal!I$1),0)*($K3840+$L3840)/(SUMIF($A:$A,$A3840,$K:$K)+SUMIF($A:$A,$A3840,$L:$L)),0)</f>
        <v>-1.5546511627906978</v>
      </c>
      <c r="N3840" s="30">
        <f>IFERROR((VLOOKUP($A3840,HeadJournal!$A$1:$K$890,COLUMN(HeadJournal!K$1),0)-VLOOKUP($A3840,HeadJournal!$A$1:$K$890,COLUMN(HeadJournal!J$1),0))*($K3840+$L3840)/(SUMIF($A:$A,$A3840,$K:$K)+SUMIF($A:$A,$A3840,$L:$L)),0)</f>
        <v>3.3048499337679082E-15</v>
      </c>
      <c r="O3840" s="30">
        <f>IFERROR((VLOOKUP($A3840,HeadJournal!$A$1:$L$890,COLUMN(HeadJournal!L$1),0)*($K3840+$L3840)/(SUMIF($A:$A,$A3840,$K:$K)+SUMIF($A:$A,$A3840,$L:$L)))/VLOOKUP($A3840,HeadJournal!$A$1:$L$890,COLUMN(HeadJournal!H$1),0),0)</f>
        <v>0.94214220650663416</v>
      </c>
      <c r="P3840" s="30">
        <f>IFERROR(SUM(K3840:O3840)*VLOOKUP($A3840,HeadJournal!$A$1:$L$890,COLUMN(HeadJournal!H$1),0),0)</f>
        <v>2002.9017441860472</v>
      </c>
      <c r="Q3840" s="29">
        <v>3400</v>
      </c>
      <c r="R3840" s="31">
        <v>45587</v>
      </c>
      <c r="S3840" s="31" t="s">
        <v>3121</v>
      </c>
      <c r="T3840" s="95" t="str">
        <f t="shared" si="303"/>
        <v>2024 10</v>
      </c>
      <c r="U3840" s="32">
        <f t="shared" si="300"/>
        <v>1397.0982558139528</v>
      </c>
      <c r="V3840" s="22">
        <f t="shared" si="301"/>
        <v>0.69753709080807413</v>
      </c>
      <c r="X3840" s="33"/>
      <c r="Y3840" s="33"/>
    </row>
    <row r="3841" spans="1:25" x14ac:dyDescent="0.2">
      <c r="A3841" s="93" t="s">
        <v>2080</v>
      </c>
      <c r="B3841" s="94" t="str">
        <f>IFERROR(VLOOKUP($A3841,HeadJournal!$A$1:$NTR$890,COLUMN(HeadJournal!B$1),0),"")</f>
        <v>720000391840</v>
      </c>
      <c r="C3841" s="94" t="str">
        <f>IFERROR(VLOOKUP($A3841,HeadJournal!$A$1:$NTR$890,COLUMN(HeadJournal!C$1),0),"")</f>
        <v>iHerb_MH DLE7202</v>
      </c>
      <c r="D3841" s="125" t="str">
        <f>IFERROR(VLOOKUP($A3841,HeadJournal!$A$1:$NTR$890,COLUMN(HeadJournal!D$1),0),"")</f>
        <v>Доставлен</v>
      </c>
      <c r="E3841" s="95">
        <f>IFERROR(VLOOKUP($A3841,HeadJournal!$A$1:$NTR$890,COLUMN(HeadJournal!G$1),0),"")</f>
        <v>45545</v>
      </c>
      <c r="F3841" s="95" t="str">
        <f t="shared" si="302"/>
        <v>2024 09</v>
      </c>
      <c r="G3841" s="97" t="s">
        <v>5</v>
      </c>
      <c r="H3841" s="161" t="s">
        <v>2076</v>
      </c>
      <c r="I3841" s="97" t="s">
        <v>2005</v>
      </c>
      <c r="J3841" s="97" t="s">
        <v>2077</v>
      </c>
      <c r="K3841" s="29">
        <v>19.37</v>
      </c>
      <c r="L3841" s="29">
        <v>-5.42</v>
      </c>
      <c r="M3841" s="30">
        <f>IFERROR(VLOOKUP($A3841,HeadJournal!$A$1:$J$890,COLUMN(HeadJournal!I$1),0)*($K3841+$L3841)/(SUMIF($A:$A,$A3841,$K:$K)+SUMIF($A:$A,$A3841,$L:$L)),0)</f>
        <v>-1.0605077614146816</v>
      </c>
      <c r="N3841" s="30">
        <f>IFERROR((VLOOKUP($A3841,HeadJournal!$A$1:$K$890,COLUMN(HeadJournal!K$1),0)-VLOOKUP($A3841,HeadJournal!$A$1:$K$890,COLUMN(HeadJournal!J$1),0))*($K3841+$L3841)/(SUMIF($A:$A,$A3841,$K:$K)+SUMIF($A:$A,$A3841,$L:$L)),0)</f>
        <v>2.254408634526275E-15</v>
      </c>
      <c r="O3841" s="30">
        <f>IFERROR((VLOOKUP($A3841,HeadJournal!$A$1:$L$890,COLUMN(HeadJournal!L$1),0)*($K3841+$L3841)/(SUMIF($A:$A,$A3841,$K:$K)+SUMIF($A:$A,$A3841,$L:$L)))/VLOOKUP($A3841,HeadJournal!$A$1:$L$890,COLUMN(HeadJournal!H$1),0),0)</f>
        <v>0.64268380346051568</v>
      </c>
      <c r="P3841" s="30">
        <f>IFERROR(SUM(K3841:O3841)*VLOOKUP($A3841,HeadJournal!$A$1:$L$890,COLUMN(HeadJournal!H$1),0),0)</f>
        <v>1366.2826078921935</v>
      </c>
      <c r="Q3841" s="29">
        <v>2500</v>
      </c>
      <c r="R3841" s="31">
        <v>45594</v>
      </c>
      <c r="S3841" s="31" t="s">
        <v>3121</v>
      </c>
      <c r="T3841" s="95" t="str">
        <f t="shared" si="303"/>
        <v>2024 10</v>
      </c>
      <c r="U3841" s="32">
        <f t="shared" ref="U3841:U3904" si="304">Q3841-P3841</f>
        <v>1133.7173921078065</v>
      </c>
      <c r="V3841" s="22">
        <f t="shared" ref="V3841:V3904" si="305">IF(Q3841&lt;&gt;0,IFERROR(U3841/P3841,""),"")</f>
        <v>0.82978249562645567</v>
      </c>
      <c r="X3841" s="33"/>
      <c r="Y3841" s="33"/>
    </row>
    <row r="3842" spans="1:25" x14ac:dyDescent="0.2">
      <c r="A3842" s="93" t="s">
        <v>2080</v>
      </c>
      <c r="B3842" s="94" t="str">
        <f>IFERROR(VLOOKUP($A3842,HeadJournal!$A$1:$NTR$890,COLUMN(HeadJournal!B$1),0),"")</f>
        <v>720000391840</v>
      </c>
      <c r="C3842" s="94" t="str">
        <f>IFERROR(VLOOKUP($A3842,HeadJournal!$A$1:$NTR$890,COLUMN(HeadJournal!C$1),0),"")</f>
        <v>iHerb_MH DLE7202</v>
      </c>
      <c r="D3842" s="125" t="str">
        <f>IFERROR(VLOOKUP($A3842,HeadJournal!$A$1:$NTR$890,COLUMN(HeadJournal!D$1),0),"")</f>
        <v>Доставлен</v>
      </c>
      <c r="E3842" s="95">
        <f>IFERROR(VLOOKUP($A3842,HeadJournal!$A$1:$NTR$890,COLUMN(HeadJournal!G$1),0),"")</f>
        <v>45545</v>
      </c>
      <c r="F3842" s="95" t="str">
        <f t="shared" si="302"/>
        <v>2024 09</v>
      </c>
      <c r="G3842" s="97" t="s">
        <v>5</v>
      </c>
      <c r="H3842" s="161" t="s">
        <v>2078</v>
      </c>
      <c r="I3842" s="97" t="s">
        <v>2005</v>
      </c>
      <c r="J3842" s="97" t="s">
        <v>2079</v>
      </c>
      <c r="K3842" s="29">
        <v>19.64</v>
      </c>
      <c r="L3842" s="29">
        <v>-5.5</v>
      </c>
      <c r="M3842" s="30">
        <f>IFERROR(VLOOKUP($A3842,HeadJournal!$A$1:$J$890,COLUMN(HeadJournal!I$1),0)*($K3842+$L3842)/(SUMIF($A:$A,$A3842,$K:$K)+SUMIF($A:$A,$A3842,$L:$L)),0)</f>
        <v>-1.0749519531472111</v>
      </c>
      <c r="N3842" s="30">
        <f>IFERROR((VLOOKUP($A3842,HeadJournal!$A$1:$K$890,COLUMN(HeadJournal!K$1),0)-VLOOKUP($A3842,HeadJournal!$A$1:$K$890,COLUMN(HeadJournal!J$1),0))*($K3842+$L3842)/(SUMIF($A:$A,$A3842,$K:$K)+SUMIF($A:$A,$A3842,$L:$L)),0)</f>
        <v>2.2851138417348766E-15</v>
      </c>
      <c r="O3842" s="30">
        <f>IFERROR((VLOOKUP($A3842,HeadJournal!$A$1:$L$890,COLUMN(HeadJournal!L$1),0)*($K3842+$L3842)/(SUMIF($A:$A,$A3842,$K:$K)+SUMIF($A:$A,$A3842,$L:$L)))/VLOOKUP($A3842,HeadJournal!$A$1:$L$890,COLUMN(HeadJournal!H$1),0),0)</f>
        <v>0.65143720293417151</v>
      </c>
      <c r="P3842" s="30">
        <f>IFERROR(SUM(K3842:O3842)*VLOOKUP($A3842,HeadJournal!$A$1:$L$890,COLUMN(HeadJournal!H$1),0),0)</f>
        <v>1384.8914749530909</v>
      </c>
      <c r="Q3842" s="29">
        <v>2600</v>
      </c>
      <c r="R3842" s="31">
        <v>45619</v>
      </c>
      <c r="S3842" s="31" t="s">
        <v>3121</v>
      </c>
      <c r="T3842" s="95" t="str">
        <f t="shared" si="303"/>
        <v>2024 11</v>
      </c>
      <c r="U3842" s="32">
        <f t="shared" si="304"/>
        <v>1215.1085250469091</v>
      </c>
      <c r="V3842" s="22">
        <f t="shared" si="305"/>
        <v>0.87740342620570133</v>
      </c>
      <c r="X3842" s="33"/>
      <c r="Y3842" s="33"/>
    </row>
    <row r="3843" spans="1:25" x14ac:dyDescent="0.2">
      <c r="A3843" s="93" t="s">
        <v>2090</v>
      </c>
      <c r="B3843" s="94" t="str">
        <f>IFERROR(VLOOKUP($A3843,HeadJournal!$A$1:$NTR$890,COLUMN(HeadJournal!B$1),0),"")</f>
        <v>720000386609</v>
      </c>
      <c r="C3843" s="94" t="str">
        <f>IFERROR(VLOOKUP($A3843,HeadJournal!$A$1:$NTR$890,COLUMN(HeadJournal!C$1),0),"")</f>
        <v>iHerb_AV CYG0792</v>
      </c>
      <c r="D3843" s="125" t="str">
        <f>IFERROR(VLOOKUP($A3843,HeadJournal!$A$1:$NTR$890,COLUMN(HeadJournal!D$1),0),"")</f>
        <v>Доставлен</v>
      </c>
      <c r="E3843" s="95">
        <f>IFERROR(VLOOKUP($A3843,HeadJournal!$A$1:$NTR$890,COLUMN(HeadJournal!G$1),0),"")</f>
        <v>45551</v>
      </c>
      <c r="F3843" s="95" t="str">
        <f t="shared" si="302"/>
        <v>2024 09</v>
      </c>
      <c r="G3843" s="97" t="s">
        <v>5</v>
      </c>
      <c r="H3843" s="161" t="s">
        <v>2081</v>
      </c>
      <c r="I3843" s="97" t="s">
        <v>2005</v>
      </c>
      <c r="J3843" s="97" t="s">
        <v>2082</v>
      </c>
      <c r="K3843" s="29">
        <v>10.08</v>
      </c>
      <c r="L3843" s="29">
        <v>-2.82</v>
      </c>
      <c r="M3843" s="30">
        <f>IFERROR(VLOOKUP($A3843,HeadJournal!$A$1:$J$890,COLUMN(HeadJournal!I$1),0)*($K3843+$L3843)/(SUMIF($A:$A,$A3843,$K:$K)+SUMIF($A:$A,$A3843,$L:$L)),0)</f>
        <v>-0.45101393463389922</v>
      </c>
      <c r="N3843" s="30">
        <f>IFERROR((VLOOKUP($A3843,HeadJournal!$A$1:$K$890,COLUMN(HeadJournal!K$1),0)-VLOOKUP($A3843,HeadJournal!$A$1:$K$890,COLUMN(HeadJournal!J$1),0))*($K3843+$L3843)/(SUMIF($A:$A,$A3843,$K:$K)+SUMIF($A:$A,$A3843,$L:$L)),0)</f>
        <v>1.0455617454508899E-15</v>
      </c>
      <c r="O3843" s="30">
        <f>IFERROR((VLOOKUP($A3843,HeadJournal!$A$1:$L$890,COLUMN(HeadJournal!L$1),0)*($K3843+$L3843)/(SUMIF($A:$A,$A3843,$K:$K)+SUMIF($A:$A,$A3843,$L:$L)))/VLOOKUP($A3843,HeadJournal!$A$1:$L$890,COLUMN(HeadJournal!H$1),0),0)</f>
        <v>0.30548297730871871</v>
      </c>
      <c r="P3843" s="30">
        <f>IFERROR(SUM(K3843:O3843)*VLOOKUP($A3843,HeadJournal!$A$1:$L$890,COLUMN(HeadJournal!H$1),0),0)</f>
        <v>720.96796959716266</v>
      </c>
      <c r="Q3843" s="29">
        <v>1500</v>
      </c>
      <c r="R3843" s="31">
        <v>45584</v>
      </c>
      <c r="S3843" s="31" t="s">
        <v>3121</v>
      </c>
      <c r="T3843" s="95" t="str">
        <f t="shared" si="303"/>
        <v>2024 10</v>
      </c>
      <c r="U3843" s="32">
        <f t="shared" si="304"/>
        <v>779.03203040283734</v>
      </c>
      <c r="V3843" s="22">
        <f t="shared" si="305"/>
        <v>1.0805362557758533</v>
      </c>
      <c r="X3843" s="33"/>
      <c r="Y3843" s="33"/>
    </row>
    <row r="3844" spans="1:25" x14ac:dyDescent="0.2">
      <c r="A3844" s="93" t="s">
        <v>2090</v>
      </c>
      <c r="B3844" s="94" t="str">
        <f>IFERROR(VLOOKUP($A3844,HeadJournal!$A$1:$NTR$890,COLUMN(HeadJournal!B$1),0),"")</f>
        <v>720000386609</v>
      </c>
      <c r="C3844" s="94" t="str">
        <f>IFERROR(VLOOKUP($A3844,HeadJournal!$A$1:$NTR$890,COLUMN(HeadJournal!C$1),0),"")</f>
        <v>iHerb_AV CYG0792</v>
      </c>
      <c r="D3844" s="125" t="str">
        <f>IFERROR(VLOOKUP($A3844,HeadJournal!$A$1:$NTR$890,COLUMN(HeadJournal!D$1),0),"")</f>
        <v>Доставлен</v>
      </c>
      <c r="E3844" s="95">
        <f>IFERROR(VLOOKUP($A3844,HeadJournal!$A$1:$NTR$890,COLUMN(HeadJournal!G$1),0),"")</f>
        <v>45551</v>
      </c>
      <c r="F3844" s="95" t="str">
        <f t="shared" ref="F3844:F3907" si="306">IFERROR(TEXT(E3844, "ГГГГ ММ"),"")</f>
        <v>2024 09</v>
      </c>
      <c r="G3844" s="97" t="s">
        <v>5</v>
      </c>
      <c r="H3844" s="161" t="s">
        <v>2081</v>
      </c>
      <c r="I3844" s="97" t="s">
        <v>2005</v>
      </c>
      <c r="J3844" s="97" t="s">
        <v>2082</v>
      </c>
      <c r="K3844" s="29">
        <v>10.08</v>
      </c>
      <c r="L3844" s="29">
        <v>-2.82</v>
      </c>
      <c r="M3844" s="30">
        <f>IFERROR(VLOOKUP($A3844,HeadJournal!$A$1:$J$890,COLUMN(HeadJournal!I$1),0)*($K3844+$L3844)/(SUMIF($A:$A,$A3844,$K:$K)+SUMIF($A:$A,$A3844,$L:$L)),0)</f>
        <v>-0.45101393463389922</v>
      </c>
      <c r="N3844" s="30">
        <f>IFERROR((VLOOKUP($A3844,HeadJournal!$A$1:$K$890,COLUMN(HeadJournal!K$1),0)-VLOOKUP($A3844,HeadJournal!$A$1:$K$890,COLUMN(HeadJournal!J$1),0))*($K3844+$L3844)/(SUMIF($A:$A,$A3844,$K:$K)+SUMIF($A:$A,$A3844,$L:$L)),0)</f>
        <v>1.0455617454508899E-15</v>
      </c>
      <c r="O3844" s="30">
        <f>IFERROR((VLOOKUP($A3844,HeadJournal!$A$1:$L$890,COLUMN(HeadJournal!L$1),0)*($K3844+$L3844)/(SUMIF($A:$A,$A3844,$K:$K)+SUMIF($A:$A,$A3844,$L:$L)))/VLOOKUP($A3844,HeadJournal!$A$1:$L$890,COLUMN(HeadJournal!H$1),0),0)</f>
        <v>0.30548297730871871</v>
      </c>
      <c r="P3844" s="30">
        <f>IFERROR(SUM(K3844:O3844)*VLOOKUP($A3844,HeadJournal!$A$1:$L$890,COLUMN(HeadJournal!H$1),0),0)</f>
        <v>720.96796959716266</v>
      </c>
      <c r="Q3844" s="29">
        <v>1700</v>
      </c>
      <c r="R3844" s="31">
        <v>45808</v>
      </c>
      <c r="S3844" s="31" t="s">
        <v>3121</v>
      </c>
      <c r="T3844" s="95" t="str">
        <f t="shared" ref="T3844:T3907" si="307">IF(R3844="","",TEXT(R3844,"ГГГГ ММ"))</f>
        <v>2025 05</v>
      </c>
      <c r="U3844" s="32">
        <f t="shared" si="304"/>
        <v>979.03203040283734</v>
      </c>
      <c r="V3844" s="22">
        <f t="shared" si="305"/>
        <v>1.3579410898793003</v>
      </c>
      <c r="X3844" s="33"/>
      <c r="Y3844" s="33"/>
    </row>
    <row r="3845" spans="1:25" x14ac:dyDescent="0.2">
      <c r="A3845" s="93" t="s">
        <v>2090</v>
      </c>
      <c r="B3845" s="94" t="str">
        <f>IFERROR(VLOOKUP($A3845,HeadJournal!$A$1:$NTR$890,COLUMN(HeadJournal!B$1),0),"")</f>
        <v>720000386609</v>
      </c>
      <c r="C3845" s="94" t="str">
        <f>IFERROR(VLOOKUP($A3845,HeadJournal!$A$1:$NTR$890,COLUMN(HeadJournal!C$1),0),"")</f>
        <v>iHerb_AV CYG0792</v>
      </c>
      <c r="D3845" s="125" t="str">
        <f>IFERROR(VLOOKUP($A3845,HeadJournal!$A$1:$NTR$890,COLUMN(HeadJournal!D$1),0),"")</f>
        <v>Доставлен</v>
      </c>
      <c r="E3845" s="95">
        <f>IFERROR(VLOOKUP($A3845,HeadJournal!$A$1:$NTR$890,COLUMN(HeadJournal!G$1),0),"")</f>
        <v>45551</v>
      </c>
      <c r="F3845" s="95" t="str">
        <f t="shared" si="306"/>
        <v>2024 09</v>
      </c>
      <c r="G3845" s="97" t="s">
        <v>5</v>
      </c>
      <c r="H3845" s="161" t="s">
        <v>2083</v>
      </c>
      <c r="I3845" s="97" t="s">
        <v>2005</v>
      </c>
      <c r="J3845" s="97" t="s">
        <v>2084</v>
      </c>
      <c r="K3845" s="29">
        <v>58.94</v>
      </c>
      <c r="L3845" s="29">
        <v>-16.5</v>
      </c>
      <c r="M3845" s="30">
        <f>IFERROR(VLOOKUP($A3845,HeadJournal!$A$1:$J$890,COLUMN(HeadJournal!I$1),0)*($K3845+$L3845)/(SUMIF($A:$A,$A3845,$K:$K)+SUMIF($A:$A,$A3845,$L:$L)),0)</f>
        <v>-2.6365057005320498</v>
      </c>
      <c r="N3845" s="30">
        <f>IFERROR((VLOOKUP($A3845,HeadJournal!$A$1:$K$890,COLUMN(HeadJournal!K$1),0)-VLOOKUP($A3845,HeadJournal!$A$1:$K$890,COLUMN(HeadJournal!J$1),0))*($K3845+$L3845)/(SUMIF($A:$A,$A3845,$K:$K)+SUMIF($A:$A,$A3845,$L:$L)),0)</f>
        <v>6.1120716910379844E-15</v>
      </c>
      <c r="O3845" s="30">
        <f>IFERROR((VLOOKUP($A3845,HeadJournal!$A$1:$L$890,COLUMN(HeadJournal!L$1),0)*($K3845+$L3845)/(SUMIF($A:$A,$A3845,$K:$K)+SUMIF($A:$A,$A3845,$L:$L)))/VLOOKUP($A3845,HeadJournal!$A$1:$L$890,COLUMN(HeadJournal!H$1),0),0)</f>
        <v>1.7857710133584053</v>
      </c>
      <c r="P3845" s="30">
        <f>IFERROR(SUM(K3845:O3845)*VLOOKUP($A3845,HeadJournal!$A$1:$L$890,COLUMN(HeadJournal!H$1),0),0)</f>
        <v>4214.5841087745985</v>
      </c>
      <c r="Q3845" s="29">
        <v>6400</v>
      </c>
      <c r="R3845" s="31">
        <v>45591</v>
      </c>
      <c r="S3845" s="31" t="s">
        <v>3121</v>
      </c>
      <c r="T3845" s="95" t="str">
        <f t="shared" si="307"/>
        <v>2024 10</v>
      </c>
      <c r="U3845" s="32">
        <f t="shared" si="304"/>
        <v>2185.4158912254015</v>
      </c>
      <c r="V3845" s="22">
        <f t="shared" si="305"/>
        <v>0.51853654709973673</v>
      </c>
      <c r="X3845" s="33"/>
      <c r="Y3845" s="33"/>
    </row>
    <row r="3846" spans="1:25" x14ac:dyDescent="0.2">
      <c r="A3846" s="93" t="s">
        <v>2090</v>
      </c>
      <c r="B3846" s="94" t="str">
        <f>IFERROR(VLOOKUP($A3846,HeadJournal!$A$1:$NTR$890,COLUMN(HeadJournal!B$1),0),"")</f>
        <v>720000386609</v>
      </c>
      <c r="C3846" s="94" t="str">
        <f>IFERROR(VLOOKUP($A3846,HeadJournal!$A$1:$NTR$890,COLUMN(HeadJournal!C$1),0),"")</f>
        <v>iHerb_AV CYG0792</v>
      </c>
      <c r="D3846" s="125" t="str">
        <f>IFERROR(VLOOKUP($A3846,HeadJournal!$A$1:$NTR$890,COLUMN(HeadJournal!D$1),0),"")</f>
        <v>Доставлен</v>
      </c>
      <c r="E3846" s="95">
        <f>IFERROR(VLOOKUP($A3846,HeadJournal!$A$1:$NTR$890,COLUMN(HeadJournal!G$1),0),"")</f>
        <v>45551</v>
      </c>
      <c r="F3846" s="95" t="str">
        <f t="shared" si="306"/>
        <v>2024 09</v>
      </c>
      <c r="G3846" s="97" t="s">
        <v>5</v>
      </c>
      <c r="H3846" s="161" t="s">
        <v>2085</v>
      </c>
      <c r="I3846" s="97" t="s">
        <v>2005</v>
      </c>
      <c r="J3846" s="97" t="s">
        <v>2086</v>
      </c>
      <c r="K3846" s="29">
        <v>17.010000000000002</v>
      </c>
      <c r="L3846" s="29">
        <v>-4.7649999999999997</v>
      </c>
      <c r="M3846" s="30">
        <f>IFERROR(VLOOKUP($A3846,HeadJournal!$A$1:$J$890,COLUMN(HeadJournal!I$1),0)*($K3846+$L3846)/(SUMIF($A:$A,$A3846,$K:$K)+SUMIF($A:$A,$A3846,$L:$L)),0)</f>
        <v>-0.76069774512287835</v>
      </c>
      <c r="N3846" s="30">
        <f>IFERROR((VLOOKUP($A3846,HeadJournal!$A$1:$K$890,COLUMN(HeadJournal!K$1),0)-VLOOKUP($A3846,HeadJournal!$A$1:$K$890,COLUMN(HeadJournal!J$1),0))*($K3846+$L3846)/(SUMIF($A:$A,$A3846,$K:$K)+SUMIF($A:$A,$A3846,$L:$L)),0)</f>
        <v>1.7634853406399654E-15</v>
      </c>
      <c r="O3846" s="30">
        <f>IFERROR((VLOOKUP($A3846,HeadJournal!$A$1:$L$890,COLUMN(HeadJournal!L$1),0)*($K3846+$L3846)/(SUMIF($A:$A,$A3846,$K:$K)+SUMIF($A:$A,$A3846,$L:$L)))/VLOOKUP($A3846,HeadJournal!$A$1:$L$890,COLUMN(HeadJournal!H$1),0),0)</f>
        <v>0.51523953955168889</v>
      </c>
      <c r="P3846" s="30">
        <f>IFERROR(SUM(K3846:O3846)*VLOOKUP($A3846,HeadJournal!$A$1:$L$890,COLUMN(HeadJournal!H$1),0),0)</f>
        <v>1216.0127806773085</v>
      </c>
      <c r="Q3846" s="29">
        <v>2200</v>
      </c>
      <c r="R3846" s="31">
        <v>45587</v>
      </c>
      <c r="S3846" s="31" t="s">
        <v>3121</v>
      </c>
      <c r="T3846" s="95" t="str">
        <f t="shared" si="307"/>
        <v>2024 10</v>
      </c>
      <c r="U3846" s="32">
        <f t="shared" si="304"/>
        <v>983.98721932269154</v>
      </c>
      <c r="V3846" s="22">
        <f t="shared" si="305"/>
        <v>0.80919151094334663</v>
      </c>
      <c r="X3846" s="33"/>
      <c r="Y3846" s="33"/>
    </row>
    <row r="3847" spans="1:25" x14ac:dyDescent="0.2">
      <c r="A3847" s="93" t="s">
        <v>2090</v>
      </c>
      <c r="B3847" s="94" t="str">
        <f>IFERROR(VLOOKUP($A3847,HeadJournal!$A$1:$NTR$890,COLUMN(HeadJournal!B$1),0),"")</f>
        <v>720000386609</v>
      </c>
      <c r="C3847" s="94" t="str">
        <f>IFERROR(VLOOKUP($A3847,HeadJournal!$A$1:$NTR$890,COLUMN(HeadJournal!C$1),0),"")</f>
        <v>iHerb_AV CYG0792</v>
      </c>
      <c r="D3847" s="125" t="str">
        <f>IFERROR(VLOOKUP($A3847,HeadJournal!$A$1:$NTR$890,COLUMN(HeadJournal!D$1),0),"")</f>
        <v>Доставлен</v>
      </c>
      <c r="E3847" s="95">
        <f>IFERROR(VLOOKUP($A3847,HeadJournal!$A$1:$NTR$890,COLUMN(HeadJournal!G$1),0),"")</f>
        <v>45551</v>
      </c>
      <c r="F3847" s="95" t="str">
        <f t="shared" si="306"/>
        <v>2024 09</v>
      </c>
      <c r="G3847" s="97" t="s">
        <v>5</v>
      </c>
      <c r="H3847" s="161" t="s">
        <v>2085</v>
      </c>
      <c r="I3847" s="97" t="s">
        <v>2005</v>
      </c>
      <c r="J3847" s="97" t="s">
        <v>2086</v>
      </c>
      <c r="K3847" s="29">
        <v>17.010000000000002</v>
      </c>
      <c r="L3847" s="29">
        <v>-4.7649999999999997</v>
      </c>
      <c r="M3847" s="30">
        <f>IFERROR(VLOOKUP($A3847,HeadJournal!$A$1:$J$890,COLUMN(HeadJournal!I$1),0)*($K3847+$L3847)/(SUMIF($A:$A,$A3847,$K:$K)+SUMIF($A:$A,$A3847,$L:$L)),0)</f>
        <v>-0.76069774512287835</v>
      </c>
      <c r="N3847" s="30">
        <f>IFERROR((VLOOKUP($A3847,HeadJournal!$A$1:$K$890,COLUMN(HeadJournal!K$1),0)-VLOOKUP($A3847,HeadJournal!$A$1:$K$890,COLUMN(HeadJournal!J$1),0))*($K3847+$L3847)/(SUMIF($A:$A,$A3847,$K:$K)+SUMIF($A:$A,$A3847,$L:$L)),0)</f>
        <v>1.7634853406399654E-15</v>
      </c>
      <c r="O3847" s="30">
        <f>IFERROR((VLOOKUP($A3847,HeadJournal!$A$1:$L$890,COLUMN(HeadJournal!L$1),0)*($K3847+$L3847)/(SUMIF($A:$A,$A3847,$K:$K)+SUMIF($A:$A,$A3847,$L:$L)))/VLOOKUP($A3847,HeadJournal!$A$1:$L$890,COLUMN(HeadJournal!H$1),0),0)</f>
        <v>0.51523953955168889</v>
      </c>
      <c r="P3847" s="30">
        <f>IFERROR(SUM(K3847:O3847)*VLOOKUP($A3847,HeadJournal!$A$1:$L$890,COLUMN(HeadJournal!H$1),0),0)</f>
        <v>1216.0127806773085</v>
      </c>
      <c r="Q3847" s="29">
        <v>2200</v>
      </c>
      <c r="R3847" s="31">
        <v>45587</v>
      </c>
      <c r="S3847" s="31" t="s">
        <v>3121</v>
      </c>
      <c r="T3847" s="95" t="str">
        <f t="shared" si="307"/>
        <v>2024 10</v>
      </c>
      <c r="U3847" s="32">
        <f t="shared" si="304"/>
        <v>983.98721932269154</v>
      </c>
      <c r="V3847" s="22">
        <f t="shared" si="305"/>
        <v>0.80919151094334663</v>
      </c>
      <c r="X3847" s="33"/>
      <c r="Y3847" s="33"/>
    </row>
    <row r="3848" spans="1:25" x14ac:dyDescent="0.2">
      <c r="A3848" s="93" t="s">
        <v>2090</v>
      </c>
      <c r="B3848" s="94" t="str">
        <f>IFERROR(VLOOKUP($A3848,HeadJournal!$A$1:$NTR$890,COLUMN(HeadJournal!B$1),0),"")</f>
        <v>720000386609</v>
      </c>
      <c r="C3848" s="94" t="str">
        <f>IFERROR(VLOOKUP($A3848,HeadJournal!$A$1:$NTR$890,COLUMN(HeadJournal!C$1),0),"")</f>
        <v>iHerb_AV CYG0792</v>
      </c>
      <c r="D3848" s="125" t="str">
        <f>IFERROR(VLOOKUP($A3848,HeadJournal!$A$1:$NTR$890,COLUMN(HeadJournal!D$1),0),"")</f>
        <v>Доставлен</v>
      </c>
      <c r="E3848" s="95">
        <f>IFERROR(VLOOKUP($A3848,HeadJournal!$A$1:$NTR$890,COLUMN(HeadJournal!G$1),0),"")</f>
        <v>45551</v>
      </c>
      <c r="F3848" s="95" t="str">
        <f t="shared" si="306"/>
        <v>2024 09</v>
      </c>
      <c r="G3848" s="97" t="s">
        <v>5</v>
      </c>
      <c r="H3848" s="161" t="s">
        <v>2087</v>
      </c>
      <c r="I3848" s="97" t="s">
        <v>2005</v>
      </c>
      <c r="J3848" s="97" t="s">
        <v>2088</v>
      </c>
      <c r="K3848" s="29">
        <v>22.45</v>
      </c>
      <c r="L3848" s="29">
        <v>-6.2850000000000001</v>
      </c>
      <c r="M3848" s="30">
        <f>IFERROR(VLOOKUP($A3848,HeadJournal!$A$1:$J$890,COLUMN(HeadJournal!I$1),0)*($K3848+$L3848)/(SUMIF($A:$A,$A3848,$K:$K)+SUMIF($A:$A,$A3848,$L:$L)),0)</f>
        <v>-1.0042204205725869</v>
      </c>
      <c r="N3848" s="30">
        <f>IFERROR((VLOOKUP($A3848,HeadJournal!$A$1:$K$890,COLUMN(HeadJournal!K$1),0)-VLOOKUP($A3848,HeadJournal!$A$1:$K$890,COLUMN(HeadJournal!J$1),0))*($K3848+$L3848)/(SUMIF($A:$A,$A3848,$K:$K)+SUMIF($A:$A,$A3848,$L:$L)),0)</f>
        <v>2.3280310764757074E-15</v>
      </c>
      <c r="O3848" s="30">
        <f>IFERROR((VLOOKUP($A3848,HeadJournal!$A$1:$L$890,COLUMN(HeadJournal!L$1),0)*($K3848+$L3848)/(SUMIF($A:$A,$A3848,$K:$K)+SUMIF($A:$A,$A3848,$L:$L)))/VLOOKUP($A3848,HeadJournal!$A$1:$L$890,COLUMN(HeadJournal!H$1),0),0)</f>
        <v>0.68018351628036344</v>
      </c>
      <c r="P3848" s="30">
        <f>IFERROR(SUM(K3848:O3848)*VLOOKUP($A3848,HeadJournal!$A$1:$L$890,COLUMN(HeadJournal!H$1),0),0)</f>
        <v>1605.29576150663</v>
      </c>
      <c r="Q3848" s="29">
        <v>2500</v>
      </c>
      <c r="R3848" s="31">
        <v>45814</v>
      </c>
      <c r="S3848" s="31" t="s">
        <v>3121</v>
      </c>
      <c r="T3848" s="95" t="str">
        <f t="shared" si="307"/>
        <v>2025 06</v>
      </c>
      <c r="U3848" s="32">
        <f t="shared" si="304"/>
        <v>894.70423849336999</v>
      </c>
      <c r="V3848" s="22">
        <f t="shared" si="305"/>
        <v>0.55734541879912314</v>
      </c>
      <c r="X3848" s="33"/>
      <c r="Y3848" s="33"/>
    </row>
    <row r="3849" spans="1:25" x14ac:dyDescent="0.2">
      <c r="A3849" s="93" t="s">
        <v>2090</v>
      </c>
      <c r="B3849" s="94" t="str">
        <f>IFERROR(VLOOKUP($A3849,HeadJournal!$A$1:$NTR$890,COLUMN(HeadJournal!B$1),0),"")</f>
        <v>720000386609</v>
      </c>
      <c r="C3849" s="94" t="str">
        <f>IFERROR(VLOOKUP($A3849,HeadJournal!$A$1:$NTR$890,COLUMN(HeadJournal!C$1),0),"")</f>
        <v>iHerb_AV CYG0792</v>
      </c>
      <c r="D3849" s="125" t="str">
        <f>IFERROR(VLOOKUP($A3849,HeadJournal!$A$1:$NTR$890,COLUMN(HeadJournal!D$1),0),"")</f>
        <v>Доставлен</v>
      </c>
      <c r="E3849" s="95">
        <f>IFERROR(VLOOKUP($A3849,HeadJournal!$A$1:$NTR$890,COLUMN(HeadJournal!G$1),0),"")</f>
        <v>45551</v>
      </c>
      <c r="F3849" s="95" t="str">
        <f t="shared" si="306"/>
        <v>2024 09</v>
      </c>
      <c r="G3849" s="97" t="s">
        <v>5</v>
      </c>
      <c r="H3849" s="161" t="s">
        <v>2087</v>
      </c>
      <c r="I3849" s="97" t="s">
        <v>2005</v>
      </c>
      <c r="J3849" s="97" t="s">
        <v>2088</v>
      </c>
      <c r="K3849" s="29">
        <v>22.45</v>
      </c>
      <c r="L3849" s="29">
        <v>-6.2850000000000001</v>
      </c>
      <c r="M3849" s="30">
        <f>IFERROR(VLOOKUP($A3849,HeadJournal!$A$1:$J$890,COLUMN(HeadJournal!I$1),0)*($K3849+$L3849)/(SUMIF($A:$A,$A3849,$K:$K)+SUMIF($A:$A,$A3849,$L:$L)),0)</f>
        <v>-1.0042204205725869</v>
      </c>
      <c r="N3849" s="30">
        <f>IFERROR((VLOOKUP($A3849,HeadJournal!$A$1:$K$890,COLUMN(HeadJournal!K$1),0)-VLOOKUP($A3849,HeadJournal!$A$1:$K$890,COLUMN(HeadJournal!J$1),0))*($K3849+$L3849)/(SUMIF($A:$A,$A3849,$K:$K)+SUMIF($A:$A,$A3849,$L:$L)),0)</f>
        <v>2.3280310764757074E-15</v>
      </c>
      <c r="O3849" s="30">
        <f>IFERROR((VLOOKUP($A3849,HeadJournal!$A$1:$L$890,COLUMN(HeadJournal!L$1),0)*($K3849+$L3849)/(SUMIF($A:$A,$A3849,$K:$K)+SUMIF($A:$A,$A3849,$L:$L)))/VLOOKUP($A3849,HeadJournal!$A$1:$L$890,COLUMN(HeadJournal!H$1),0),0)</f>
        <v>0.68018351628036344</v>
      </c>
      <c r="P3849" s="30">
        <f>IFERROR(SUM(K3849:O3849)*VLOOKUP($A3849,HeadJournal!$A$1:$L$890,COLUMN(HeadJournal!H$1),0),0)</f>
        <v>1605.29576150663</v>
      </c>
      <c r="Q3849" s="29">
        <v>2600</v>
      </c>
      <c r="R3849" s="31">
        <v>46125</v>
      </c>
      <c r="S3849" s="31"/>
      <c r="T3849" s="95" t="str">
        <f t="shared" si="307"/>
        <v>2026 04</v>
      </c>
      <c r="U3849" s="32">
        <f t="shared" si="304"/>
        <v>994.70423849336999</v>
      </c>
      <c r="V3849" s="22">
        <f t="shared" si="305"/>
        <v>0.61963923555108802</v>
      </c>
      <c r="X3849" s="33"/>
      <c r="Y3849" s="33"/>
    </row>
    <row r="3850" spans="1:25" x14ac:dyDescent="0.2">
      <c r="A3850" s="93" t="s">
        <v>2090</v>
      </c>
      <c r="B3850" s="94" t="str">
        <f>IFERROR(VLOOKUP($A3850,HeadJournal!$A$1:$NTR$890,COLUMN(HeadJournal!B$1),0),"")</f>
        <v>720000386609</v>
      </c>
      <c r="C3850" s="94" t="str">
        <f>IFERROR(VLOOKUP($A3850,HeadJournal!$A$1:$NTR$890,COLUMN(HeadJournal!C$1),0),"")</f>
        <v>iHerb_AV CYG0792</v>
      </c>
      <c r="D3850" s="125" t="str">
        <f>IFERROR(VLOOKUP($A3850,HeadJournal!$A$1:$NTR$890,COLUMN(HeadJournal!D$1),0),"")</f>
        <v>Доставлен</v>
      </c>
      <c r="E3850" s="95">
        <f>IFERROR(VLOOKUP($A3850,HeadJournal!$A$1:$NTR$890,COLUMN(HeadJournal!G$1),0),"")</f>
        <v>45551</v>
      </c>
      <c r="F3850" s="95" t="str">
        <f t="shared" si="306"/>
        <v>2024 09</v>
      </c>
      <c r="G3850" s="97" t="s">
        <v>5</v>
      </c>
      <c r="H3850" s="161" t="s">
        <v>2014</v>
      </c>
      <c r="I3850" s="97" t="s">
        <v>2007</v>
      </c>
      <c r="J3850" s="97" t="s">
        <v>2015</v>
      </c>
      <c r="K3850" s="29">
        <v>31.91</v>
      </c>
      <c r="L3850" s="29">
        <v>-17.91</v>
      </c>
      <c r="M3850" s="30">
        <f>IFERROR(VLOOKUP($A3850,HeadJournal!$A$1:$J$890,COLUMN(HeadJournal!I$1),0)*($K3850+$L3850)/(SUMIF($A:$A,$A3850,$K:$K)+SUMIF($A:$A,$A3850,$L:$L)),0)</f>
        <v>-0.86972384089181665</v>
      </c>
      <c r="N3850" s="30">
        <f>IFERROR((VLOOKUP($A3850,HeadJournal!$A$1:$K$890,COLUMN(HeadJournal!K$1),0)-VLOOKUP($A3850,HeadJournal!$A$1:$K$890,COLUMN(HeadJournal!J$1),0))*($K3850+$L3850)/(SUMIF($A:$A,$A3850,$K:$K)+SUMIF($A:$A,$A3850,$L:$L)),0)</f>
        <v>2.0162347708419366E-15</v>
      </c>
      <c r="O3850" s="30">
        <f>IFERROR((VLOOKUP($A3850,HeadJournal!$A$1:$L$890,COLUMN(HeadJournal!L$1),0)*($K3850+$L3850)/(SUMIF($A:$A,$A3850,$K:$K)+SUMIF($A:$A,$A3850,$L:$L)))/VLOOKUP($A3850,HeadJournal!$A$1:$L$890,COLUMN(HeadJournal!H$1),0),0)</f>
        <v>0.58908563117383783</v>
      </c>
      <c r="P3850" s="30">
        <f>IFERROR(SUM(K3850:O3850)*VLOOKUP($A3850,HeadJournal!$A$1:$L$890,COLUMN(HeadJournal!H$1),0),0)</f>
        <v>1390.2963601047213</v>
      </c>
      <c r="Q3850" s="29">
        <v>3500</v>
      </c>
      <c r="R3850" s="31">
        <v>45755</v>
      </c>
      <c r="S3850" s="31" t="s">
        <v>3121</v>
      </c>
      <c r="T3850" s="95" t="str">
        <f t="shared" si="307"/>
        <v>2025 04</v>
      </c>
      <c r="U3850" s="32">
        <f t="shared" si="304"/>
        <v>2109.7036398952787</v>
      </c>
      <c r="V3850" s="22">
        <f t="shared" si="305"/>
        <v>1.5174488694887827</v>
      </c>
      <c r="X3850" s="33"/>
      <c r="Y3850" s="33"/>
    </row>
    <row r="3851" spans="1:25" x14ac:dyDescent="0.2">
      <c r="A3851" s="93" t="s">
        <v>2090</v>
      </c>
      <c r="B3851" s="94" t="str">
        <f>IFERROR(VLOOKUP($A3851,HeadJournal!$A$1:$NTR$890,COLUMN(HeadJournal!B$1),0),"")</f>
        <v>720000386609</v>
      </c>
      <c r="C3851" s="94" t="str">
        <f>IFERROR(VLOOKUP($A3851,HeadJournal!$A$1:$NTR$890,COLUMN(HeadJournal!C$1),0),"")</f>
        <v>iHerb_AV CYG0792</v>
      </c>
      <c r="D3851" s="125" t="str">
        <f>IFERROR(VLOOKUP($A3851,HeadJournal!$A$1:$NTR$890,COLUMN(HeadJournal!D$1),0),"")</f>
        <v>Доставлен</v>
      </c>
      <c r="E3851" s="95">
        <f>IFERROR(VLOOKUP($A3851,HeadJournal!$A$1:$NTR$890,COLUMN(HeadJournal!G$1),0),"")</f>
        <v>45551</v>
      </c>
      <c r="F3851" s="95" t="str">
        <f t="shared" si="306"/>
        <v>2024 09</v>
      </c>
      <c r="G3851" s="97" t="s">
        <v>5</v>
      </c>
      <c r="H3851" s="161" t="s">
        <v>2016</v>
      </c>
      <c r="I3851" s="97" t="s">
        <v>2005</v>
      </c>
      <c r="J3851" s="97" t="s">
        <v>2017</v>
      </c>
      <c r="K3851" s="29">
        <v>36.799999999999997</v>
      </c>
      <c r="L3851" s="29">
        <v>-10.305</v>
      </c>
      <c r="M3851" s="30">
        <f>IFERROR(VLOOKUP($A3851,HeadJournal!$A$1:$J$890,COLUMN(HeadJournal!I$1),0)*($K3851+$L3851)/(SUMIF($A:$A,$A3851,$K:$K)+SUMIF($A:$A,$A3851,$L:$L)),0)</f>
        <v>-1.6459523688877631</v>
      </c>
      <c r="N3851" s="30">
        <f>IFERROR((VLOOKUP($A3851,HeadJournal!$A$1:$K$890,COLUMN(HeadJournal!K$1),0)-VLOOKUP($A3851,HeadJournal!$A$1:$K$890,COLUMN(HeadJournal!J$1),0))*($K3851+$L3851)/(SUMIF($A:$A,$A3851,$K:$K)+SUMIF($A:$A,$A3851,$L:$L)),0)</f>
        <v>3.8157243038183649E-15</v>
      </c>
      <c r="O3851" s="30">
        <f>IFERROR((VLOOKUP($A3851,HeadJournal!$A$1:$L$890,COLUMN(HeadJournal!L$1),0)*($K3851+$L3851)/(SUMIF($A:$A,$A3851,$K:$K)+SUMIF($A:$A,$A3851,$L:$L)))/VLOOKUP($A3851,HeadJournal!$A$1:$L$890,COLUMN(HeadJournal!H$1),0),0)</f>
        <v>1.114844556996488</v>
      </c>
      <c r="P3851" s="30">
        <f>IFERROR(SUM(K3851:O3851)*VLOOKUP($A3851,HeadJournal!$A$1:$L$890,COLUMN(HeadJournal!H$1),0),0)</f>
        <v>2631.135861498185</v>
      </c>
      <c r="Q3851" s="29">
        <v>4200</v>
      </c>
      <c r="R3851" s="31">
        <v>45755</v>
      </c>
      <c r="S3851" s="31" t="s">
        <v>3121</v>
      </c>
      <c r="T3851" s="95" t="str">
        <f t="shared" si="307"/>
        <v>2025 04</v>
      </c>
      <c r="U3851" s="32">
        <f t="shared" si="304"/>
        <v>1568.864138501815</v>
      </c>
      <c r="V3851" s="22">
        <f t="shared" si="305"/>
        <v>0.59626876797175121</v>
      </c>
      <c r="X3851" s="33"/>
      <c r="Y3851" s="33"/>
    </row>
    <row r="3852" spans="1:25" x14ac:dyDescent="0.2">
      <c r="A3852" s="93" t="s">
        <v>2090</v>
      </c>
      <c r="B3852" s="94" t="str">
        <f>IFERROR(VLOOKUP($A3852,HeadJournal!$A$1:$NTR$890,COLUMN(HeadJournal!B$1),0),"")</f>
        <v>720000386609</v>
      </c>
      <c r="C3852" s="94" t="str">
        <f>IFERROR(VLOOKUP($A3852,HeadJournal!$A$1:$NTR$890,COLUMN(HeadJournal!C$1),0),"")</f>
        <v>iHerb_AV CYG0792</v>
      </c>
      <c r="D3852" s="125" t="str">
        <f>IFERROR(VLOOKUP($A3852,HeadJournal!$A$1:$NTR$890,COLUMN(HeadJournal!D$1),0),"")</f>
        <v>Доставлен</v>
      </c>
      <c r="E3852" s="95">
        <f>IFERROR(VLOOKUP($A3852,HeadJournal!$A$1:$NTR$890,COLUMN(HeadJournal!G$1),0),"")</f>
        <v>45551</v>
      </c>
      <c r="F3852" s="95" t="str">
        <f t="shared" si="306"/>
        <v>2024 09</v>
      </c>
      <c r="G3852" s="97" t="s">
        <v>5</v>
      </c>
      <c r="H3852" s="161" t="s">
        <v>2016</v>
      </c>
      <c r="I3852" s="97" t="s">
        <v>2005</v>
      </c>
      <c r="J3852" s="97" t="s">
        <v>2017</v>
      </c>
      <c r="K3852" s="29">
        <v>36.799999999999997</v>
      </c>
      <c r="L3852" s="29">
        <v>-10.305</v>
      </c>
      <c r="M3852" s="30">
        <f>IFERROR(VLOOKUP($A3852,HeadJournal!$A$1:$J$890,COLUMN(HeadJournal!I$1),0)*($K3852+$L3852)/(SUMIF($A:$A,$A3852,$K:$K)+SUMIF($A:$A,$A3852,$L:$L)),0)</f>
        <v>-1.6459523688877631</v>
      </c>
      <c r="N3852" s="30">
        <f>IFERROR((VLOOKUP($A3852,HeadJournal!$A$1:$K$890,COLUMN(HeadJournal!K$1),0)-VLOOKUP($A3852,HeadJournal!$A$1:$K$890,COLUMN(HeadJournal!J$1),0))*($K3852+$L3852)/(SUMIF($A:$A,$A3852,$K:$K)+SUMIF($A:$A,$A3852,$L:$L)),0)</f>
        <v>3.8157243038183649E-15</v>
      </c>
      <c r="O3852" s="30">
        <f>IFERROR((VLOOKUP($A3852,HeadJournal!$A$1:$L$890,COLUMN(HeadJournal!L$1),0)*($K3852+$L3852)/(SUMIF($A:$A,$A3852,$K:$K)+SUMIF($A:$A,$A3852,$L:$L)))/VLOOKUP($A3852,HeadJournal!$A$1:$L$890,COLUMN(HeadJournal!H$1),0),0)</f>
        <v>1.114844556996488</v>
      </c>
      <c r="P3852" s="30">
        <f>IFERROR(SUM(K3852:O3852)*VLOOKUP($A3852,HeadJournal!$A$1:$L$890,COLUMN(HeadJournal!H$1),0),0)</f>
        <v>2631.135861498185</v>
      </c>
      <c r="Q3852" s="29">
        <v>4400</v>
      </c>
      <c r="R3852" s="31">
        <v>45791</v>
      </c>
      <c r="S3852" s="31" t="s">
        <v>3121</v>
      </c>
      <c r="T3852" s="95" t="str">
        <f t="shared" si="307"/>
        <v>2025 05</v>
      </c>
      <c r="U3852" s="32">
        <f t="shared" si="304"/>
        <v>1768.864138501815</v>
      </c>
      <c r="V3852" s="22">
        <f t="shared" si="305"/>
        <v>0.67228156644659653</v>
      </c>
      <c r="X3852" s="33"/>
      <c r="Y3852" s="33"/>
    </row>
    <row r="3853" spans="1:25" x14ac:dyDescent="0.2">
      <c r="A3853" s="93" t="s">
        <v>2090</v>
      </c>
      <c r="B3853" s="94" t="str">
        <f>IFERROR(VLOOKUP($A3853,HeadJournal!$A$1:$NTR$890,COLUMN(HeadJournal!B$1),0),"")</f>
        <v>720000386609</v>
      </c>
      <c r="C3853" s="94" t="str">
        <f>IFERROR(VLOOKUP($A3853,HeadJournal!$A$1:$NTR$890,COLUMN(HeadJournal!C$1),0),"")</f>
        <v>iHerb_AV CYG0792</v>
      </c>
      <c r="D3853" s="125" t="str">
        <f>IFERROR(VLOOKUP($A3853,HeadJournal!$A$1:$NTR$890,COLUMN(HeadJournal!D$1),0),"")</f>
        <v>Доставлен</v>
      </c>
      <c r="E3853" s="95">
        <f>IFERROR(VLOOKUP($A3853,HeadJournal!$A$1:$NTR$890,COLUMN(HeadJournal!G$1),0),"")</f>
        <v>45551</v>
      </c>
      <c r="F3853" s="95" t="str">
        <f t="shared" si="306"/>
        <v>2024 09</v>
      </c>
      <c r="G3853" s="97" t="s">
        <v>5</v>
      </c>
      <c r="H3853" s="161" t="s">
        <v>2089</v>
      </c>
      <c r="I3853" s="97" t="s">
        <v>2005</v>
      </c>
      <c r="J3853" s="97" t="s">
        <v>3781</v>
      </c>
      <c r="K3853" s="29">
        <v>23.03</v>
      </c>
      <c r="L3853" s="29">
        <v>-6.45</v>
      </c>
      <c r="M3853" s="30">
        <f>IFERROR(VLOOKUP($A3853,HeadJournal!$A$1:$J$890,COLUMN(HeadJournal!I$1),0)*($K3853+$L3853)/(SUMIF($A:$A,$A3853,$K:$K)+SUMIF($A:$A,$A3853,$L:$L)),0)</f>
        <v>-1.0300015201418802</v>
      </c>
      <c r="N3853" s="30">
        <f>IFERROR((VLOOKUP($A3853,HeadJournal!$A$1:$K$890,COLUMN(HeadJournal!K$1),0)-VLOOKUP($A3853,HeadJournal!$A$1:$K$890,COLUMN(HeadJournal!J$1),0))*($K3853+$L3853)/(SUMIF($A:$A,$A3853,$K:$K)+SUMIF($A:$A,$A3853,$L:$L)),0)</f>
        <v>2.3877980357542364E-15</v>
      </c>
      <c r="O3853" s="30">
        <f>IFERROR((VLOOKUP($A3853,HeadJournal!$A$1:$L$890,COLUMN(HeadJournal!L$1),0)*($K3853+$L3853)/(SUMIF($A:$A,$A3853,$K:$K)+SUMIF($A:$A,$A3853,$L:$L)))/VLOOKUP($A3853,HeadJournal!$A$1:$L$890,COLUMN(HeadJournal!H$1),0),0)</f>
        <v>0.69764569749015948</v>
      </c>
      <c r="P3853" s="30">
        <f>IFERROR(SUM(K3853:O3853)*VLOOKUP($A3853,HeadJournal!$A$1:$L$890,COLUMN(HeadJournal!H$1),0),0)</f>
        <v>1646.508117895449</v>
      </c>
      <c r="Q3853" s="29">
        <v>3000</v>
      </c>
      <c r="R3853" s="31">
        <v>45811</v>
      </c>
      <c r="S3853" s="31" t="s">
        <v>3121</v>
      </c>
      <c r="T3853" s="95" t="str">
        <f t="shared" si="307"/>
        <v>2025 06</v>
      </c>
      <c r="U3853" s="32">
        <f t="shared" si="304"/>
        <v>1353.491882104551</v>
      </c>
      <c r="V3853" s="22">
        <f t="shared" si="305"/>
        <v>0.82203778250092774</v>
      </c>
      <c r="X3853" s="33"/>
      <c r="Y3853" s="33"/>
    </row>
    <row r="3854" spans="1:25" x14ac:dyDescent="0.2">
      <c r="A3854" s="93" t="s">
        <v>2099</v>
      </c>
      <c r="B3854" s="94" t="str">
        <f>IFERROR(VLOOKUP($A3854,HeadJournal!$A$1:$NTR$890,COLUMN(HeadJournal!B$1),0),"")</f>
        <v>720000383624</v>
      </c>
      <c r="C3854" s="94" t="str">
        <f>IFERROR(VLOOKUP($A3854,HeadJournal!$A$1:$NTR$890,COLUMN(HeadJournal!C$1),0),"")</f>
        <v>iHerb_VP DFD1605</v>
      </c>
      <c r="D3854" s="125" t="str">
        <f>IFERROR(VLOOKUP($A3854,HeadJournal!$A$1:$NTR$890,COLUMN(HeadJournal!D$1),0),"")</f>
        <v>Доставлен</v>
      </c>
      <c r="E3854" s="95">
        <f>IFERROR(VLOOKUP($A3854,HeadJournal!$A$1:$NTR$890,COLUMN(HeadJournal!G$1),0),"")</f>
        <v>45548</v>
      </c>
      <c r="F3854" s="95" t="str">
        <f t="shared" si="306"/>
        <v>2024 09</v>
      </c>
      <c r="G3854" s="97" t="s">
        <v>5</v>
      </c>
      <c r="H3854" s="161" t="s">
        <v>2092</v>
      </c>
      <c r="I3854" s="97" t="s">
        <v>2052</v>
      </c>
      <c r="J3854" s="97" t="s">
        <v>2093</v>
      </c>
      <c r="K3854" s="29">
        <v>71.5</v>
      </c>
      <c r="L3854" s="29">
        <v>-21.45</v>
      </c>
      <c r="M3854" s="30">
        <f>IFERROR(VLOOKUP($A3854,HeadJournal!$A$1:$J$890,COLUMN(HeadJournal!I$1),0)*($K3854+$L3854)/(SUMIF($A:$A,$A3854,$K:$K)+SUMIF($A:$A,$A3854,$L:$L)),0)</f>
        <v>0</v>
      </c>
      <c r="N3854" s="30">
        <f>IFERROR((VLOOKUP($A3854,HeadJournal!$A$1:$K$890,COLUMN(HeadJournal!K$1),0)-VLOOKUP($A3854,HeadJournal!$A$1:$K$890,COLUMN(HeadJournal!J$1),0))*($K3854+$L3854)/(SUMIF($A:$A,$A3854,$K:$K)+SUMIF($A:$A,$A3854,$L:$L)),0)</f>
        <v>-7.05888525700536E-15</v>
      </c>
      <c r="O3854" s="30">
        <f>IFERROR((VLOOKUP($A3854,HeadJournal!$A$1:$L$890,COLUMN(HeadJournal!L$1),0)*($K3854+$L3854)/(SUMIF($A:$A,$A3854,$K:$K)+SUMIF($A:$A,$A3854,$L:$L)))/VLOOKUP($A3854,HeadJournal!$A$1:$L$890,COLUMN(HeadJournal!H$1),0),0)</f>
        <v>4.1521076102448236</v>
      </c>
      <c r="P3854" s="30">
        <f>IFERROR(SUM(K3854:O3854)*VLOOKUP($A3854,HeadJournal!$A$1:$L$890,COLUMN(HeadJournal!H$1),0),0)</f>
        <v>5456.6298947367923</v>
      </c>
      <c r="Q3854" s="29">
        <v>7900</v>
      </c>
      <c r="R3854" s="31">
        <v>45584</v>
      </c>
      <c r="S3854" s="31" t="s">
        <v>3121</v>
      </c>
      <c r="T3854" s="95" t="str">
        <f t="shared" si="307"/>
        <v>2024 10</v>
      </c>
      <c r="U3854" s="32">
        <f t="shared" si="304"/>
        <v>2443.3701052632077</v>
      </c>
      <c r="V3854" s="22">
        <f t="shared" si="305"/>
        <v>0.44778006799031161</v>
      </c>
      <c r="X3854" s="33"/>
      <c r="Y3854" s="33"/>
    </row>
    <row r="3855" spans="1:25" x14ac:dyDescent="0.2">
      <c r="A3855" s="93" t="s">
        <v>2099</v>
      </c>
      <c r="B3855" s="94" t="str">
        <f>IFERROR(VLOOKUP($A3855,HeadJournal!$A$1:$NTR$890,COLUMN(HeadJournal!B$1),0),"")</f>
        <v>720000383624</v>
      </c>
      <c r="C3855" s="94" t="str">
        <f>IFERROR(VLOOKUP($A3855,HeadJournal!$A$1:$NTR$890,COLUMN(HeadJournal!C$1),0),"")</f>
        <v>iHerb_VP DFD1605</v>
      </c>
      <c r="D3855" s="125" t="str">
        <f>IFERROR(VLOOKUP($A3855,HeadJournal!$A$1:$NTR$890,COLUMN(HeadJournal!D$1),0),"")</f>
        <v>Доставлен</v>
      </c>
      <c r="E3855" s="95">
        <f>IFERROR(VLOOKUP($A3855,HeadJournal!$A$1:$NTR$890,COLUMN(HeadJournal!G$1),0),"")</f>
        <v>45548</v>
      </c>
      <c r="F3855" s="95" t="str">
        <f t="shared" si="306"/>
        <v>2024 09</v>
      </c>
      <c r="G3855" s="97" t="s">
        <v>5</v>
      </c>
      <c r="H3855" s="161" t="s">
        <v>2094</v>
      </c>
      <c r="I3855" s="97" t="s">
        <v>2042</v>
      </c>
      <c r="J3855" s="97" t="s">
        <v>2095</v>
      </c>
      <c r="K3855" s="29">
        <v>17.7</v>
      </c>
      <c r="L3855" s="29">
        <v>-1.77</v>
      </c>
      <c r="M3855" s="30">
        <f>IFERROR(VLOOKUP($A3855,HeadJournal!$A$1:$J$890,COLUMN(HeadJournal!I$1),0)*($K3855+$L3855)/(SUMIF($A:$A,$A3855,$K:$K)+SUMIF($A:$A,$A3855,$L:$L)),0)</f>
        <v>0</v>
      </c>
      <c r="N3855" s="30">
        <f>IFERROR((VLOOKUP($A3855,HeadJournal!$A$1:$K$890,COLUMN(HeadJournal!K$1),0)-VLOOKUP($A3855,HeadJournal!$A$1:$K$890,COLUMN(HeadJournal!J$1),0))*($K3855+$L3855)/(SUMIF($A:$A,$A3855,$K:$K)+SUMIF($A:$A,$A3855,$L:$L)),0)</f>
        <v>-2.2467141287531547E-15</v>
      </c>
      <c r="O3855" s="30">
        <f>IFERROR((VLOOKUP($A3855,HeadJournal!$A$1:$L$890,COLUMN(HeadJournal!L$1),0)*($K3855+$L3855)/(SUMIF($A:$A,$A3855,$K:$K)+SUMIF($A:$A,$A3855,$L:$L)))/VLOOKUP($A3855,HeadJournal!$A$1:$L$890,COLUMN(HeadJournal!H$1),0),0)</f>
        <v>1.3215399446793215</v>
      </c>
      <c r="P3855" s="30">
        <f>IFERROR(SUM(K3855:O3855)*VLOOKUP($A3855,HeadJournal!$A$1:$L$890,COLUMN(HeadJournal!H$1),0),0)</f>
        <v>1736.745538924218</v>
      </c>
      <c r="Q3855" s="29">
        <v>2400</v>
      </c>
      <c r="R3855" s="31">
        <v>45584</v>
      </c>
      <c r="S3855" s="31" t="s">
        <v>3121</v>
      </c>
      <c r="T3855" s="95" t="str">
        <f t="shared" si="307"/>
        <v>2024 10</v>
      </c>
      <c r="U3855" s="32">
        <f t="shared" si="304"/>
        <v>663.25446107578205</v>
      </c>
      <c r="V3855" s="22">
        <f t="shared" si="305"/>
        <v>0.38189501352432886</v>
      </c>
      <c r="X3855" s="33"/>
      <c r="Y3855" s="33"/>
    </row>
    <row r="3856" spans="1:25" x14ac:dyDescent="0.2">
      <c r="A3856" s="93" t="s">
        <v>2099</v>
      </c>
      <c r="B3856" s="94" t="str">
        <f>IFERROR(VLOOKUP($A3856,HeadJournal!$A$1:$NTR$890,COLUMN(HeadJournal!B$1),0),"")</f>
        <v>720000383624</v>
      </c>
      <c r="C3856" s="94" t="str">
        <f>IFERROR(VLOOKUP($A3856,HeadJournal!$A$1:$NTR$890,COLUMN(HeadJournal!C$1),0),"")</f>
        <v>iHerb_VP DFD1605</v>
      </c>
      <c r="D3856" s="125" t="str">
        <f>IFERROR(VLOOKUP($A3856,HeadJournal!$A$1:$NTR$890,COLUMN(HeadJournal!D$1),0),"")</f>
        <v>Доставлен</v>
      </c>
      <c r="E3856" s="95">
        <f>IFERROR(VLOOKUP($A3856,HeadJournal!$A$1:$NTR$890,COLUMN(HeadJournal!G$1),0),"")</f>
        <v>45548</v>
      </c>
      <c r="F3856" s="95" t="str">
        <f t="shared" si="306"/>
        <v>2024 09</v>
      </c>
      <c r="G3856" s="97" t="s">
        <v>5</v>
      </c>
      <c r="H3856" s="161" t="s">
        <v>2096</v>
      </c>
      <c r="I3856" s="97" t="s">
        <v>2097</v>
      </c>
      <c r="J3856" s="97" t="s">
        <v>2098</v>
      </c>
      <c r="K3856" s="29">
        <v>23.09</v>
      </c>
      <c r="L3856" s="29">
        <v>-2.31</v>
      </c>
      <c r="M3856" s="30">
        <f>IFERROR(VLOOKUP($A3856,HeadJournal!$A$1:$J$890,COLUMN(HeadJournal!I$1),0)*($K3856+$L3856)/(SUMIF($A:$A,$A3856,$K:$K)+SUMIF($A:$A,$A3856,$L:$L)),0)</f>
        <v>0</v>
      </c>
      <c r="N3856" s="30">
        <f>IFERROR((VLOOKUP($A3856,HeadJournal!$A$1:$K$890,COLUMN(HeadJournal!K$1),0)-VLOOKUP($A3856,HeadJournal!$A$1:$K$890,COLUMN(HeadJournal!J$1),0))*($K3856+$L3856)/(SUMIF($A:$A,$A3856,$K:$K)+SUMIF($A:$A,$A3856,$L:$L)),0)</f>
        <v>-2.9307419708405873E-15</v>
      </c>
      <c r="O3856" s="30">
        <f>IFERROR((VLOOKUP($A3856,HeadJournal!$A$1:$L$890,COLUMN(HeadJournal!L$1),0)*($K3856+$L3856)/(SUMIF($A:$A,$A3856,$K:$K)+SUMIF($A:$A,$A3856,$L:$L)))/VLOOKUP($A3856,HeadJournal!$A$1:$L$890,COLUMN(HeadJournal!H$1),0),0)</f>
        <v>1.7238920307869618</v>
      </c>
      <c r="P3856" s="30">
        <f>IFERROR(SUM(K3856:O3856)*VLOOKUP($A3856,HeadJournal!$A$1:$L$890,COLUMN(HeadJournal!H$1),0),0)</f>
        <v>2265.5098743782328</v>
      </c>
      <c r="Q3856" s="29"/>
      <c r="R3856" s="31"/>
      <c r="S3856" s="31"/>
      <c r="T3856" s="95" t="str">
        <f t="shared" si="307"/>
        <v/>
      </c>
      <c r="U3856" s="32">
        <f t="shared" si="304"/>
        <v>-2265.5098743782328</v>
      </c>
      <c r="V3856" s="22" t="str">
        <f t="shared" si="305"/>
        <v/>
      </c>
      <c r="X3856" s="33"/>
      <c r="Y3856" s="33"/>
    </row>
    <row r="3857" spans="1:25" x14ac:dyDescent="0.2">
      <c r="A3857" s="93" t="s">
        <v>2099</v>
      </c>
      <c r="B3857" s="94" t="str">
        <f>IFERROR(VLOOKUP($A3857,HeadJournal!$A$1:$NTR$890,COLUMN(HeadJournal!B$1),0),"")</f>
        <v>720000383624</v>
      </c>
      <c r="C3857" s="94" t="str">
        <f>IFERROR(VLOOKUP($A3857,HeadJournal!$A$1:$NTR$890,COLUMN(HeadJournal!C$1),0),"")</f>
        <v>iHerb_VP DFD1605</v>
      </c>
      <c r="D3857" s="125" t="str">
        <f>IFERROR(VLOOKUP($A3857,HeadJournal!$A$1:$NTR$890,COLUMN(HeadJournal!D$1),0),"")</f>
        <v>Доставлен</v>
      </c>
      <c r="E3857" s="95">
        <f>IFERROR(VLOOKUP($A3857,HeadJournal!$A$1:$NTR$890,COLUMN(HeadJournal!G$1),0),"")</f>
        <v>45548</v>
      </c>
      <c r="F3857" s="95" t="str">
        <f t="shared" si="306"/>
        <v>2024 09</v>
      </c>
      <c r="G3857" s="97" t="s">
        <v>5</v>
      </c>
      <c r="H3857" s="161" t="s">
        <v>2060</v>
      </c>
      <c r="I3857" s="97" t="s">
        <v>2007</v>
      </c>
      <c r="J3857" s="97" t="s">
        <v>2061</v>
      </c>
      <c r="K3857" s="29">
        <v>31.91</v>
      </c>
      <c r="L3857" s="29">
        <v>-17.91</v>
      </c>
      <c r="M3857" s="30">
        <f>IFERROR(VLOOKUP($A3857,HeadJournal!$A$1:$J$890,COLUMN(HeadJournal!I$1),0)*($K3857+$L3857)/(SUMIF($A:$A,$A3857,$K:$K)+SUMIF($A:$A,$A3857,$L:$L)),0)</f>
        <v>0</v>
      </c>
      <c r="N3857" s="30">
        <f>IFERROR((VLOOKUP($A3857,HeadJournal!$A$1:$K$890,COLUMN(HeadJournal!K$1),0)-VLOOKUP($A3857,HeadJournal!$A$1:$K$890,COLUMN(HeadJournal!J$1),0))*($K3857+$L3857)/(SUMIF($A:$A,$A3857,$K:$K)+SUMIF($A:$A,$A3857,$L:$L)),0)</f>
        <v>-1.9745133586028981E-15</v>
      </c>
      <c r="O3857" s="30">
        <f>IFERROR((VLOOKUP($A3857,HeadJournal!$A$1:$L$890,COLUMN(HeadJournal!L$1),0)*($K3857+$L3857)/(SUMIF($A:$A,$A3857,$K:$K)+SUMIF($A:$A,$A3857,$L:$L)))/VLOOKUP($A3857,HeadJournal!$A$1:$L$890,COLUMN(HeadJournal!H$1),0),0)</f>
        <v>1.1614287021663843</v>
      </c>
      <c r="P3857" s="30">
        <f>IFERROR(SUM(K3857:O3857)*VLOOKUP($A3857,HeadJournal!$A$1:$L$890,COLUMN(HeadJournal!H$1),0),0)</f>
        <v>1526.3300404858162</v>
      </c>
      <c r="Q3857" s="29">
        <v>3500</v>
      </c>
      <c r="R3857" s="31">
        <v>45796</v>
      </c>
      <c r="S3857" s="31" t="s">
        <v>3121</v>
      </c>
      <c r="T3857" s="95" t="str">
        <f t="shared" si="307"/>
        <v>2025 05</v>
      </c>
      <c r="U3857" s="32">
        <f t="shared" si="304"/>
        <v>1973.6699595141838</v>
      </c>
      <c r="V3857" s="22">
        <f t="shared" si="305"/>
        <v>1.2930820380669332</v>
      </c>
      <c r="X3857" s="33"/>
      <c r="Y3857" s="33"/>
    </row>
    <row r="3858" spans="1:25" x14ac:dyDescent="0.2">
      <c r="A3858" s="93" t="s">
        <v>2116</v>
      </c>
      <c r="B3858" s="94" t="str">
        <f>IFERROR(VLOOKUP($A3858,HeadJournal!$A$1:$NTR$890,COLUMN(HeadJournal!B$1),0),"")</f>
        <v>720000399898</v>
      </c>
      <c r="C3858" s="94" t="str">
        <f>IFERROR(VLOOKUP($A3858,HeadJournal!$A$1:$NTR$890,COLUMN(HeadJournal!C$1),0),"")</f>
        <v>iHerb_VP DFD1605</v>
      </c>
      <c r="D3858" s="125" t="str">
        <f>IFERROR(VLOOKUP($A3858,HeadJournal!$A$1:$NTR$890,COLUMN(HeadJournal!D$1),0),"")</f>
        <v>Доставлен</v>
      </c>
      <c r="E3858" s="95">
        <f>IFERROR(VLOOKUP($A3858,HeadJournal!$A$1:$NTR$890,COLUMN(HeadJournal!G$1),0),"")</f>
        <v>45560</v>
      </c>
      <c r="F3858" s="95" t="str">
        <f t="shared" si="306"/>
        <v>2024 09</v>
      </c>
      <c r="G3858" s="97" t="s">
        <v>5</v>
      </c>
      <c r="H3858" s="161" t="s">
        <v>2101</v>
      </c>
      <c r="I3858" s="97" t="s">
        <v>2102</v>
      </c>
      <c r="J3858" s="97" t="s">
        <v>4015</v>
      </c>
      <c r="K3858" s="29">
        <v>47.82</v>
      </c>
      <c r="L3858" s="29">
        <v>-13.39</v>
      </c>
      <c r="M3858" s="30">
        <f>IFERROR(VLOOKUP($A3858,HeadJournal!$A$1:$J$890,COLUMN(HeadJournal!I$1),0)*($K3858+$L3858)/(SUMIF($A:$A,$A3858,$K:$K)+SUMIF($A:$A,$A3858,$L:$L)),0)</f>
        <v>-1.7608614980289092</v>
      </c>
      <c r="N3858" s="30">
        <f>IFERROR((VLOOKUP($A3858,HeadJournal!$A$1:$K$890,COLUMN(HeadJournal!K$1),0)-VLOOKUP($A3858,HeadJournal!$A$1:$K$890,COLUMN(HeadJournal!J$1),0))*($K3858+$L3858)/(SUMIF($A:$A,$A3858,$K:$K)+SUMIF($A:$A,$A3858,$L:$L)),0)</f>
        <v>0</v>
      </c>
      <c r="O3858" s="30">
        <f>IFERROR((VLOOKUP($A3858,HeadJournal!$A$1:$L$890,COLUMN(HeadJournal!L$1),0)*($K3858+$L3858)/(SUMIF($A:$A,$A3858,$K:$K)+SUMIF($A:$A,$A3858,$L:$L)))/VLOOKUP($A3858,HeadJournal!$A$1:$L$890,COLUMN(HeadJournal!H$1),0),0)</f>
        <v>1.8598718923474507</v>
      </c>
      <c r="P3858" s="30">
        <f>IFERROR(SUM(K3858:O3858)*VLOOKUP($A3858,HeadJournal!$A$1:$L$890,COLUMN(HeadJournal!H$1),0),0)</f>
        <v>3573.4331461235215</v>
      </c>
      <c r="Q3858" s="29">
        <v>5325</v>
      </c>
      <c r="R3858" s="31">
        <v>45584</v>
      </c>
      <c r="S3858" s="31" t="s">
        <v>3121</v>
      </c>
      <c r="T3858" s="95" t="str">
        <f t="shared" si="307"/>
        <v>2024 10</v>
      </c>
      <c r="U3858" s="32">
        <f t="shared" si="304"/>
        <v>1751.5668538764785</v>
      </c>
      <c r="V3858" s="22">
        <f t="shared" si="305"/>
        <v>0.49016359961192701</v>
      </c>
      <c r="X3858" s="33"/>
      <c r="Y3858" s="33"/>
    </row>
    <row r="3859" spans="1:25" x14ac:dyDescent="0.2">
      <c r="A3859" s="93" t="s">
        <v>2116</v>
      </c>
      <c r="B3859" s="94" t="str">
        <f>IFERROR(VLOOKUP($A3859,HeadJournal!$A$1:$NTR$890,COLUMN(HeadJournal!B$1),0),"")</f>
        <v>720000399898</v>
      </c>
      <c r="C3859" s="94" t="str">
        <f>IFERROR(VLOOKUP($A3859,HeadJournal!$A$1:$NTR$890,COLUMN(HeadJournal!C$1),0),"")</f>
        <v>iHerb_VP DFD1605</v>
      </c>
      <c r="D3859" s="125" t="str">
        <f>IFERROR(VLOOKUP($A3859,HeadJournal!$A$1:$NTR$890,COLUMN(HeadJournal!D$1),0),"")</f>
        <v>Доставлен</v>
      </c>
      <c r="E3859" s="95">
        <f>IFERROR(VLOOKUP($A3859,HeadJournal!$A$1:$NTR$890,COLUMN(HeadJournal!G$1),0),"")</f>
        <v>45560</v>
      </c>
      <c r="F3859" s="95" t="str">
        <f t="shared" si="306"/>
        <v>2024 09</v>
      </c>
      <c r="G3859" s="97" t="s">
        <v>5</v>
      </c>
      <c r="H3859" s="161" t="s">
        <v>2101</v>
      </c>
      <c r="I3859" s="97" t="s">
        <v>2102</v>
      </c>
      <c r="J3859" s="97" t="s">
        <v>4015</v>
      </c>
      <c r="K3859" s="29">
        <v>47.82</v>
      </c>
      <c r="L3859" s="29">
        <v>-13.39</v>
      </c>
      <c r="M3859" s="30">
        <f>IFERROR(VLOOKUP($A3859,HeadJournal!$A$1:$J$890,COLUMN(HeadJournal!I$1),0)*($K3859+$L3859)/(SUMIF($A:$A,$A3859,$K:$K)+SUMIF($A:$A,$A3859,$L:$L)),0)</f>
        <v>-1.7608614980289092</v>
      </c>
      <c r="N3859" s="30">
        <f>IFERROR((VLOOKUP($A3859,HeadJournal!$A$1:$K$890,COLUMN(HeadJournal!K$1),0)-VLOOKUP($A3859,HeadJournal!$A$1:$K$890,COLUMN(HeadJournal!J$1),0))*($K3859+$L3859)/(SUMIF($A:$A,$A3859,$K:$K)+SUMIF($A:$A,$A3859,$L:$L)),0)</f>
        <v>0</v>
      </c>
      <c r="O3859" s="30">
        <f>IFERROR((VLOOKUP($A3859,HeadJournal!$A$1:$L$890,COLUMN(HeadJournal!L$1),0)*($K3859+$L3859)/(SUMIF($A:$A,$A3859,$K:$K)+SUMIF($A:$A,$A3859,$L:$L)))/VLOOKUP($A3859,HeadJournal!$A$1:$L$890,COLUMN(HeadJournal!H$1),0),0)</f>
        <v>1.8598718923474507</v>
      </c>
      <c r="P3859" s="30">
        <f>IFERROR(SUM(K3859:O3859)*VLOOKUP($A3859,HeadJournal!$A$1:$L$890,COLUMN(HeadJournal!H$1),0),0)</f>
        <v>3573.4331461235215</v>
      </c>
      <c r="Q3859" s="29">
        <v>5325</v>
      </c>
      <c r="R3859" s="31">
        <v>45584</v>
      </c>
      <c r="S3859" s="31" t="s">
        <v>3121</v>
      </c>
      <c r="T3859" s="95" t="str">
        <f t="shared" si="307"/>
        <v>2024 10</v>
      </c>
      <c r="U3859" s="32">
        <f t="shared" si="304"/>
        <v>1751.5668538764785</v>
      </c>
      <c r="V3859" s="22">
        <f t="shared" si="305"/>
        <v>0.49016359961192701</v>
      </c>
      <c r="X3859" s="33"/>
      <c r="Y3859" s="33"/>
    </row>
    <row r="3860" spans="1:25" x14ac:dyDescent="0.2">
      <c r="A3860" s="93" t="s">
        <v>2116</v>
      </c>
      <c r="B3860" s="94" t="str">
        <f>IFERROR(VLOOKUP($A3860,HeadJournal!$A$1:$NTR$890,COLUMN(HeadJournal!B$1),0),"")</f>
        <v>720000399898</v>
      </c>
      <c r="C3860" s="94" t="str">
        <f>IFERROR(VLOOKUP($A3860,HeadJournal!$A$1:$NTR$890,COLUMN(HeadJournal!C$1),0),"")</f>
        <v>iHerb_VP DFD1605</v>
      </c>
      <c r="D3860" s="125" t="str">
        <f>IFERROR(VLOOKUP($A3860,HeadJournal!$A$1:$NTR$890,COLUMN(HeadJournal!D$1),0),"")</f>
        <v>Доставлен</v>
      </c>
      <c r="E3860" s="95">
        <f>IFERROR(VLOOKUP($A3860,HeadJournal!$A$1:$NTR$890,COLUMN(HeadJournal!G$1),0),"")</f>
        <v>45560</v>
      </c>
      <c r="F3860" s="95" t="str">
        <f t="shared" si="306"/>
        <v>2024 09</v>
      </c>
      <c r="G3860" s="97" t="s">
        <v>5</v>
      </c>
      <c r="H3860" s="161" t="s">
        <v>2101</v>
      </c>
      <c r="I3860" s="97" t="s">
        <v>2102</v>
      </c>
      <c r="J3860" s="97" t="s">
        <v>4015</v>
      </c>
      <c r="K3860" s="29">
        <v>47.82</v>
      </c>
      <c r="L3860" s="29">
        <v>-13.39</v>
      </c>
      <c r="M3860" s="30">
        <f>IFERROR(VLOOKUP($A3860,HeadJournal!$A$1:$J$890,COLUMN(HeadJournal!I$1),0)*($K3860+$L3860)/(SUMIF($A:$A,$A3860,$K:$K)+SUMIF($A:$A,$A3860,$L:$L)),0)</f>
        <v>-1.7608614980289092</v>
      </c>
      <c r="N3860" s="30">
        <f>IFERROR((VLOOKUP($A3860,HeadJournal!$A$1:$K$890,COLUMN(HeadJournal!K$1),0)-VLOOKUP($A3860,HeadJournal!$A$1:$K$890,COLUMN(HeadJournal!J$1),0))*($K3860+$L3860)/(SUMIF($A:$A,$A3860,$K:$K)+SUMIF($A:$A,$A3860,$L:$L)),0)</f>
        <v>0</v>
      </c>
      <c r="O3860" s="30">
        <f>IFERROR((VLOOKUP($A3860,HeadJournal!$A$1:$L$890,COLUMN(HeadJournal!L$1),0)*($K3860+$L3860)/(SUMIF($A:$A,$A3860,$K:$K)+SUMIF($A:$A,$A3860,$L:$L)))/VLOOKUP($A3860,HeadJournal!$A$1:$L$890,COLUMN(HeadJournal!H$1),0),0)</f>
        <v>1.8598718923474507</v>
      </c>
      <c r="P3860" s="30">
        <f>IFERROR(SUM(K3860:O3860)*VLOOKUP($A3860,HeadJournal!$A$1:$L$890,COLUMN(HeadJournal!H$1),0),0)</f>
        <v>3573.4331461235215</v>
      </c>
      <c r="Q3860" s="29">
        <v>5300</v>
      </c>
      <c r="R3860" s="31">
        <v>45586</v>
      </c>
      <c r="S3860" s="31" t="s">
        <v>3121</v>
      </c>
      <c r="T3860" s="95" t="str">
        <f t="shared" si="307"/>
        <v>2024 10</v>
      </c>
      <c r="U3860" s="32">
        <f t="shared" si="304"/>
        <v>1726.5668538764785</v>
      </c>
      <c r="V3860" s="22">
        <f t="shared" si="305"/>
        <v>0.48316752637431232</v>
      </c>
      <c r="X3860" s="33"/>
      <c r="Y3860" s="33"/>
    </row>
    <row r="3861" spans="1:25" x14ac:dyDescent="0.2">
      <c r="A3861" s="93" t="s">
        <v>2116</v>
      </c>
      <c r="B3861" s="94" t="str">
        <f>IFERROR(VLOOKUP($A3861,HeadJournal!$A$1:$NTR$890,COLUMN(HeadJournal!B$1),0),"")</f>
        <v>720000399898</v>
      </c>
      <c r="C3861" s="94" t="str">
        <f>IFERROR(VLOOKUP($A3861,HeadJournal!$A$1:$NTR$890,COLUMN(HeadJournal!C$1),0),"")</f>
        <v>iHerb_VP DFD1605</v>
      </c>
      <c r="D3861" s="125" t="str">
        <f>IFERROR(VLOOKUP($A3861,HeadJournal!$A$1:$NTR$890,COLUMN(HeadJournal!D$1),0),"")</f>
        <v>Доставлен</v>
      </c>
      <c r="E3861" s="95">
        <f>IFERROR(VLOOKUP($A3861,HeadJournal!$A$1:$NTR$890,COLUMN(HeadJournal!G$1),0),"")</f>
        <v>45560</v>
      </c>
      <c r="F3861" s="95" t="str">
        <f t="shared" si="306"/>
        <v>2024 09</v>
      </c>
      <c r="G3861" s="97" t="s">
        <v>5</v>
      </c>
      <c r="H3861" s="161" t="s">
        <v>2103</v>
      </c>
      <c r="I3861" s="97" t="s">
        <v>2039</v>
      </c>
      <c r="J3861" s="97" t="s">
        <v>2104</v>
      </c>
      <c r="K3861" s="29">
        <v>20.48</v>
      </c>
      <c r="L3861" s="29">
        <v>-5.7350000000000003</v>
      </c>
      <c r="M3861" s="30">
        <f>IFERROR(VLOOKUP($A3861,HeadJournal!$A$1:$J$890,COLUMN(HeadJournal!I$1),0)*($K3861+$L3861)/(SUMIF($A:$A,$A3861,$K:$K)+SUMIF($A:$A,$A3861,$L:$L)),0)</f>
        <v>-0.75410696452036796</v>
      </c>
      <c r="N3861" s="30">
        <f>IFERROR((VLOOKUP($A3861,HeadJournal!$A$1:$K$890,COLUMN(HeadJournal!K$1),0)-VLOOKUP($A3861,HeadJournal!$A$1:$K$890,COLUMN(HeadJournal!J$1),0))*($K3861+$L3861)/(SUMIF($A:$A,$A3861,$K:$K)+SUMIF($A:$A,$A3861,$L:$L)),0)</f>
        <v>0</v>
      </c>
      <c r="O3861" s="30">
        <f>IFERROR((VLOOKUP($A3861,HeadJournal!$A$1:$L$890,COLUMN(HeadJournal!L$1),0)*($K3861+$L3861)/(SUMIF($A:$A,$A3861,$K:$K)+SUMIF($A:$A,$A3861,$L:$L)))/VLOOKUP($A3861,HeadJournal!$A$1:$L$890,COLUMN(HeadJournal!H$1),0),0)</f>
        <v>0.79650917957197676</v>
      </c>
      <c r="P3861" s="30">
        <f>IFERROR(SUM(K3861:O3861)*VLOOKUP($A3861,HeadJournal!$A$1:$L$890,COLUMN(HeadJournal!H$1),0),0)</f>
        <v>1530.3593302233905</v>
      </c>
      <c r="Q3861" s="29">
        <v>2200</v>
      </c>
      <c r="R3861" s="31">
        <v>45603</v>
      </c>
      <c r="S3861" s="31" t="s">
        <v>3121</v>
      </c>
      <c r="T3861" s="95" t="str">
        <f t="shared" si="307"/>
        <v>2024 11</v>
      </c>
      <c r="U3861" s="32">
        <f t="shared" si="304"/>
        <v>669.64066977660946</v>
      </c>
      <c r="V3861" s="22">
        <f t="shared" si="305"/>
        <v>0.43757087407626044</v>
      </c>
      <c r="X3861" s="33"/>
      <c r="Y3861" s="33"/>
    </row>
    <row r="3862" spans="1:25" x14ac:dyDescent="0.2">
      <c r="A3862" s="93" t="s">
        <v>2116</v>
      </c>
      <c r="B3862" s="94" t="str">
        <f>IFERROR(VLOOKUP($A3862,HeadJournal!$A$1:$NTR$890,COLUMN(HeadJournal!B$1),0),"")</f>
        <v>720000399898</v>
      </c>
      <c r="C3862" s="94" t="str">
        <f>IFERROR(VLOOKUP($A3862,HeadJournal!$A$1:$NTR$890,COLUMN(HeadJournal!C$1),0),"")</f>
        <v>iHerb_VP DFD1605</v>
      </c>
      <c r="D3862" s="125" t="str">
        <f>IFERROR(VLOOKUP($A3862,HeadJournal!$A$1:$NTR$890,COLUMN(HeadJournal!D$1),0),"")</f>
        <v>Доставлен</v>
      </c>
      <c r="E3862" s="95">
        <f>IFERROR(VLOOKUP($A3862,HeadJournal!$A$1:$NTR$890,COLUMN(HeadJournal!G$1),0),"")</f>
        <v>45560</v>
      </c>
      <c r="F3862" s="95" t="str">
        <f t="shared" si="306"/>
        <v>2024 09</v>
      </c>
      <c r="G3862" s="97" t="s">
        <v>5</v>
      </c>
      <c r="H3862" s="161" t="s">
        <v>2103</v>
      </c>
      <c r="I3862" s="97" t="s">
        <v>2039</v>
      </c>
      <c r="J3862" s="97" t="s">
        <v>2104</v>
      </c>
      <c r="K3862" s="29">
        <v>20.48</v>
      </c>
      <c r="L3862" s="29">
        <v>-5.7350000000000003</v>
      </c>
      <c r="M3862" s="30">
        <f>IFERROR(VLOOKUP($A3862,HeadJournal!$A$1:$J$890,COLUMN(HeadJournal!I$1),0)*($K3862+$L3862)/(SUMIF($A:$A,$A3862,$K:$K)+SUMIF($A:$A,$A3862,$L:$L)),0)</f>
        <v>-0.75410696452036796</v>
      </c>
      <c r="N3862" s="30">
        <f>IFERROR((VLOOKUP($A3862,HeadJournal!$A$1:$K$890,COLUMN(HeadJournal!K$1),0)-VLOOKUP($A3862,HeadJournal!$A$1:$K$890,COLUMN(HeadJournal!J$1),0))*($K3862+$L3862)/(SUMIF($A:$A,$A3862,$K:$K)+SUMIF($A:$A,$A3862,$L:$L)),0)</f>
        <v>0</v>
      </c>
      <c r="O3862" s="30">
        <f>IFERROR((VLOOKUP($A3862,HeadJournal!$A$1:$L$890,COLUMN(HeadJournal!L$1),0)*($K3862+$L3862)/(SUMIF($A:$A,$A3862,$K:$K)+SUMIF($A:$A,$A3862,$L:$L)))/VLOOKUP($A3862,HeadJournal!$A$1:$L$890,COLUMN(HeadJournal!H$1),0),0)</f>
        <v>0.79650917957197676</v>
      </c>
      <c r="P3862" s="30">
        <f>IFERROR(SUM(K3862:O3862)*VLOOKUP($A3862,HeadJournal!$A$1:$L$890,COLUMN(HeadJournal!H$1),0),0)</f>
        <v>1530.3593302233905</v>
      </c>
      <c r="Q3862" s="29">
        <v>2300</v>
      </c>
      <c r="R3862" s="31">
        <v>45666</v>
      </c>
      <c r="S3862" s="31" t="s">
        <v>3121</v>
      </c>
      <c r="T3862" s="95" t="str">
        <f t="shared" si="307"/>
        <v>2025 01</v>
      </c>
      <c r="U3862" s="32">
        <f t="shared" si="304"/>
        <v>769.64066977660946</v>
      </c>
      <c r="V3862" s="22">
        <f t="shared" si="305"/>
        <v>0.50291500471609041</v>
      </c>
      <c r="X3862" s="33"/>
      <c r="Y3862" s="33"/>
    </row>
    <row r="3863" spans="1:25" x14ac:dyDescent="0.2">
      <c r="A3863" s="93" t="s">
        <v>2116</v>
      </c>
      <c r="B3863" s="94" t="str">
        <f>IFERROR(VLOOKUP($A3863,HeadJournal!$A$1:$NTR$890,COLUMN(HeadJournal!B$1),0),"")</f>
        <v>720000399898</v>
      </c>
      <c r="C3863" s="94" t="str">
        <f>IFERROR(VLOOKUP($A3863,HeadJournal!$A$1:$NTR$890,COLUMN(HeadJournal!C$1),0),"")</f>
        <v>iHerb_VP DFD1605</v>
      </c>
      <c r="D3863" s="125" t="str">
        <f>IFERROR(VLOOKUP($A3863,HeadJournal!$A$1:$NTR$890,COLUMN(HeadJournal!D$1),0),"")</f>
        <v>Доставлен</v>
      </c>
      <c r="E3863" s="95">
        <f>IFERROR(VLOOKUP($A3863,HeadJournal!$A$1:$NTR$890,COLUMN(HeadJournal!G$1),0),"")</f>
        <v>45560</v>
      </c>
      <c r="F3863" s="95" t="str">
        <f t="shared" si="306"/>
        <v>2024 09</v>
      </c>
      <c r="G3863" s="97" t="s">
        <v>5</v>
      </c>
      <c r="H3863" s="161" t="s">
        <v>2105</v>
      </c>
      <c r="I3863" s="97" t="s">
        <v>2039</v>
      </c>
      <c r="J3863" s="97" t="s">
        <v>2106</v>
      </c>
      <c r="K3863" s="29">
        <v>12.6</v>
      </c>
      <c r="L3863" s="29">
        <v>-3.53</v>
      </c>
      <c r="M3863" s="30">
        <f>IFERROR(VLOOKUP($A3863,HeadJournal!$A$1:$J$890,COLUMN(HeadJournal!I$1),0)*($K3863+$L3863)/(SUMIF($A:$A,$A3863,$K:$K)+SUMIF($A:$A,$A3863,$L:$L)),0)</f>
        <v>-0.46386911957950072</v>
      </c>
      <c r="N3863" s="30">
        <f>IFERROR((VLOOKUP($A3863,HeadJournal!$A$1:$K$890,COLUMN(HeadJournal!K$1),0)-VLOOKUP($A3863,HeadJournal!$A$1:$K$890,COLUMN(HeadJournal!J$1),0))*($K3863+$L3863)/(SUMIF($A:$A,$A3863,$K:$K)+SUMIF($A:$A,$A3863,$L:$L)),0)</f>
        <v>0</v>
      </c>
      <c r="O3863" s="30">
        <f>IFERROR((VLOOKUP($A3863,HeadJournal!$A$1:$L$890,COLUMN(HeadJournal!L$1),0)*($K3863+$L3863)/(SUMIF($A:$A,$A3863,$K:$K)+SUMIF($A:$A,$A3863,$L:$L)))/VLOOKUP($A3863,HeadJournal!$A$1:$L$890,COLUMN(HeadJournal!H$1),0),0)</f>
        <v>0.4899517299910362</v>
      </c>
      <c r="P3863" s="30">
        <f>IFERROR(SUM(K3863:O3863)*VLOOKUP($A3863,HeadJournal!$A$1:$L$890,COLUMN(HeadJournal!H$1),0),0)</f>
        <v>941.36040183968464</v>
      </c>
      <c r="Q3863" s="29">
        <v>1600</v>
      </c>
      <c r="R3863" s="31">
        <v>45603</v>
      </c>
      <c r="S3863" s="31" t="s">
        <v>3121</v>
      </c>
      <c r="T3863" s="95" t="str">
        <f t="shared" si="307"/>
        <v>2024 11</v>
      </c>
      <c r="U3863" s="32">
        <f t="shared" si="304"/>
        <v>658.63959816031536</v>
      </c>
      <c r="V3863" s="22">
        <f t="shared" si="305"/>
        <v>0.69966783909026464</v>
      </c>
      <c r="X3863" s="33"/>
      <c r="Y3863" s="33"/>
    </row>
    <row r="3864" spans="1:25" x14ac:dyDescent="0.2">
      <c r="A3864" s="93" t="s">
        <v>2116</v>
      </c>
      <c r="B3864" s="94" t="str">
        <f>IFERROR(VLOOKUP($A3864,HeadJournal!$A$1:$NTR$890,COLUMN(HeadJournal!B$1),0),"")</f>
        <v>720000399898</v>
      </c>
      <c r="C3864" s="94" t="str">
        <f>IFERROR(VLOOKUP($A3864,HeadJournal!$A$1:$NTR$890,COLUMN(HeadJournal!C$1),0),"")</f>
        <v>iHerb_VP DFD1605</v>
      </c>
      <c r="D3864" s="125" t="str">
        <f>IFERROR(VLOOKUP($A3864,HeadJournal!$A$1:$NTR$890,COLUMN(HeadJournal!D$1),0),"")</f>
        <v>Доставлен</v>
      </c>
      <c r="E3864" s="95">
        <f>IFERROR(VLOOKUP($A3864,HeadJournal!$A$1:$NTR$890,COLUMN(HeadJournal!G$1),0),"")</f>
        <v>45560</v>
      </c>
      <c r="F3864" s="95" t="str">
        <f t="shared" si="306"/>
        <v>2024 09</v>
      </c>
      <c r="G3864" s="97" t="s">
        <v>5</v>
      </c>
      <c r="H3864" s="161" t="s">
        <v>2105</v>
      </c>
      <c r="I3864" s="97" t="s">
        <v>2039</v>
      </c>
      <c r="J3864" s="97" t="s">
        <v>2106</v>
      </c>
      <c r="K3864" s="29">
        <v>12.6</v>
      </c>
      <c r="L3864" s="29">
        <v>-3.53</v>
      </c>
      <c r="M3864" s="30">
        <f>IFERROR(VLOOKUP($A3864,HeadJournal!$A$1:$J$890,COLUMN(HeadJournal!I$1),0)*($K3864+$L3864)/(SUMIF($A:$A,$A3864,$K:$K)+SUMIF($A:$A,$A3864,$L:$L)),0)</f>
        <v>-0.46386911957950072</v>
      </c>
      <c r="N3864" s="30">
        <f>IFERROR((VLOOKUP($A3864,HeadJournal!$A$1:$K$890,COLUMN(HeadJournal!K$1),0)-VLOOKUP($A3864,HeadJournal!$A$1:$K$890,COLUMN(HeadJournal!J$1),0))*($K3864+$L3864)/(SUMIF($A:$A,$A3864,$K:$K)+SUMIF($A:$A,$A3864,$L:$L)),0)</f>
        <v>0</v>
      </c>
      <c r="O3864" s="30">
        <f>IFERROR((VLOOKUP($A3864,HeadJournal!$A$1:$L$890,COLUMN(HeadJournal!L$1),0)*($K3864+$L3864)/(SUMIF($A:$A,$A3864,$K:$K)+SUMIF($A:$A,$A3864,$L:$L)))/VLOOKUP($A3864,HeadJournal!$A$1:$L$890,COLUMN(HeadJournal!H$1),0),0)</f>
        <v>0.4899517299910362</v>
      </c>
      <c r="P3864" s="30">
        <f>IFERROR(SUM(K3864:O3864)*VLOOKUP($A3864,HeadJournal!$A$1:$L$890,COLUMN(HeadJournal!H$1),0),0)</f>
        <v>941.36040183968464</v>
      </c>
      <c r="Q3864" s="29">
        <v>1700</v>
      </c>
      <c r="R3864" s="31">
        <v>45666</v>
      </c>
      <c r="S3864" s="31" t="s">
        <v>3121</v>
      </c>
      <c r="T3864" s="95" t="str">
        <f t="shared" si="307"/>
        <v>2025 01</v>
      </c>
      <c r="U3864" s="32">
        <f t="shared" si="304"/>
        <v>758.63959816031536</v>
      </c>
      <c r="V3864" s="22">
        <f t="shared" si="305"/>
        <v>0.80589707903340624</v>
      </c>
      <c r="X3864" s="33"/>
      <c r="Y3864" s="33"/>
    </row>
    <row r="3865" spans="1:25" x14ac:dyDescent="0.2">
      <c r="A3865" s="93" t="s">
        <v>2116</v>
      </c>
      <c r="B3865" s="94" t="str">
        <f>IFERROR(VLOOKUP($A3865,HeadJournal!$A$1:$NTR$890,COLUMN(HeadJournal!B$1),0),"")</f>
        <v>720000399898</v>
      </c>
      <c r="C3865" s="94" t="str">
        <f>IFERROR(VLOOKUP($A3865,HeadJournal!$A$1:$NTR$890,COLUMN(HeadJournal!C$1),0),"")</f>
        <v>iHerb_VP DFD1605</v>
      </c>
      <c r="D3865" s="125" t="str">
        <f>IFERROR(VLOOKUP($A3865,HeadJournal!$A$1:$NTR$890,COLUMN(HeadJournal!D$1),0),"")</f>
        <v>Доставлен</v>
      </c>
      <c r="E3865" s="95">
        <f>IFERROR(VLOOKUP($A3865,HeadJournal!$A$1:$NTR$890,COLUMN(HeadJournal!G$1),0),"")</f>
        <v>45560</v>
      </c>
      <c r="F3865" s="95" t="str">
        <f t="shared" si="306"/>
        <v>2024 09</v>
      </c>
      <c r="G3865" s="97" t="s">
        <v>5</v>
      </c>
      <c r="H3865" s="161" t="s">
        <v>2107</v>
      </c>
      <c r="I3865" s="97" t="s">
        <v>2108</v>
      </c>
      <c r="J3865" s="97" t="s">
        <v>2109</v>
      </c>
      <c r="K3865" s="29">
        <v>24.2</v>
      </c>
      <c r="L3865" s="29">
        <v>-6.78</v>
      </c>
      <c r="M3865" s="30">
        <f>IFERROR(VLOOKUP($A3865,HeadJournal!$A$1:$J$890,COLUMN(HeadJournal!I$1),0)*($K3865+$L3865)/(SUMIF($A:$A,$A3865,$K:$K)+SUMIF($A:$A,$A3865,$L:$L)),0)</f>
        <v>-0.89091511169513793</v>
      </c>
      <c r="N3865" s="30">
        <f>IFERROR((VLOOKUP($A3865,HeadJournal!$A$1:$K$890,COLUMN(HeadJournal!K$1),0)-VLOOKUP($A3865,HeadJournal!$A$1:$K$890,COLUMN(HeadJournal!J$1),0))*($K3865+$L3865)/(SUMIF($A:$A,$A3865,$K:$K)+SUMIF($A:$A,$A3865,$L:$L)),0)</f>
        <v>0</v>
      </c>
      <c r="O3865" s="30">
        <f>IFERROR((VLOOKUP($A3865,HeadJournal!$A$1:$L$890,COLUMN(HeadJournal!L$1),0)*($K3865+$L3865)/(SUMIF($A:$A,$A3865,$K:$K)+SUMIF($A:$A,$A3865,$L:$L)))/VLOOKUP($A3865,HeadJournal!$A$1:$L$890,COLUMN(HeadJournal!H$1),0),0)</f>
        <v>0.94100982761233187</v>
      </c>
      <c r="P3865" s="30">
        <f>IFERROR(SUM(K3865:O3865)*VLOOKUP($A3865,HeadJournal!$A$1:$L$890,COLUMN(HeadJournal!H$1),0),0)</f>
        <v>1807.9931863337715</v>
      </c>
      <c r="Q3865" s="29">
        <v>3000</v>
      </c>
      <c r="R3865" s="31">
        <v>45583</v>
      </c>
      <c r="S3865" s="31" t="s">
        <v>3121</v>
      </c>
      <c r="T3865" s="95" t="str">
        <f t="shared" si="307"/>
        <v>2024 10</v>
      </c>
      <c r="U3865" s="32">
        <f t="shared" si="304"/>
        <v>1192.0068136662285</v>
      </c>
      <c r="V3865" s="22">
        <f t="shared" si="305"/>
        <v>0.65929828866411089</v>
      </c>
      <c r="X3865" s="33"/>
      <c r="Y3865" s="33"/>
    </row>
    <row r="3866" spans="1:25" x14ac:dyDescent="0.2">
      <c r="A3866" s="93" t="s">
        <v>2116</v>
      </c>
      <c r="B3866" s="94" t="str">
        <f>IFERROR(VLOOKUP($A3866,HeadJournal!$A$1:$NTR$890,COLUMN(HeadJournal!B$1),0),"")</f>
        <v>720000399898</v>
      </c>
      <c r="C3866" s="94" t="str">
        <f>IFERROR(VLOOKUP($A3866,HeadJournal!$A$1:$NTR$890,COLUMN(HeadJournal!C$1),0),"")</f>
        <v>iHerb_VP DFD1605</v>
      </c>
      <c r="D3866" s="125" t="str">
        <f>IFERROR(VLOOKUP($A3866,HeadJournal!$A$1:$NTR$890,COLUMN(HeadJournal!D$1),0),"")</f>
        <v>Доставлен</v>
      </c>
      <c r="E3866" s="95">
        <f>IFERROR(VLOOKUP($A3866,HeadJournal!$A$1:$NTR$890,COLUMN(HeadJournal!G$1),0),"")</f>
        <v>45560</v>
      </c>
      <c r="F3866" s="95" t="str">
        <f t="shared" si="306"/>
        <v>2024 09</v>
      </c>
      <c r="G3866" s="97" t="s">
        <v>5</v>
      </c>
      <c r="H3866" s="161" t="s">
        <v>2110</v>
      </c>
      <c r="I3866" s="97" t="s">
        <v>2111</v>
      </c>
      <c r="J3866" s="97" t="s">
        <v>2112</v>
      </c>
      <c r="K3866" s="29">
        <v>17.559999999999999</v>
      </c>
      <c r="L3866" s="29">
        <v>-4.92</v>
      </c>
      <c r="M3866" s="30">
        <f>IFERROR(VLOOKUP($A3866,HeadJournal!$A$1:$J$890,COLUMN(HeadJournal!I$1),0)*($K3866+$L3866)/(SUMIF($A:$A,$A3866,$K:$K)+SUMIF($A:$A,$A3866,$L:$L)),0)</f>
        <v>-0.64645045992115635</v>
      </c>
      <c r="N3866" s="30">
        <f>IFERROR((VLOOKUP($A3866,HeadJournal!$A$1:$K$890,COLUMN(HeadJournal!K$1),0)-VLOOKUP($A3866,HeadJournal!$A$1:$K$890,COLUMN(HeadJournal!J$1),0))*($K3866+$L3866)/(SUMIF($A:$A,$A3866,$K:$K)+SUMIF($A:$A,$A3866,$L:$L)),0)</f>
        <v>0</v>
      </c>
      <c r="O3866" s="30">
        <f>IFERROR((VLOOKUP($A3866,HeadJournal!$A$1:$L$890,COLUMN(HeadJournal!L$1),0)*($K3866+$L3866)/(SUMIF($A:$A,$A3866,$K:$K)+SUMIF($A:$A,$A3866,$L:$L)))/VLOOKUP($A3866,HeadJournal!$A$1:$L$890,COLUMN(HeadJournal!H$1),0),0)</f>
        <v>0.68279932382433262</v>
      </c>
      <c r="P3866" s="30">
        <f>IFERROR(SUM(K3866:O3866)*VLOOKUP($A3866,HeadJournal!$A$1:$L$890,COLUMN(HeadJournal!H$1),0),0)</f>
        <v>1311.8848378449406</v>
      </c>
      <c r="Q3866" s="29">
        <v>2200</v>
      </c>
      <c r="R3866" s="31">
        <v>45583</v>
      </c>
      <c r="S3866" s="31" t="s">
        <v>3121</v>
      </c>
      <c r="T3866" s="95" t="str">
        <f t="shared" si="307"/>
        <v>2024 10</v>
      </c>
      <c r="U3866" s="32">
        <f t="shared" si="304"/>
        <v>888.11516215505935</v>
      </c>
      <c r="V3866" s="22">
        <f t="shared" si="305"/>
        <v>0.67697646663405597</v>
      </c>
      <c r="X3866" s="33"/>
      <c r="Y3866" s="33"/>
    </row>
    <row r="3867" spans="1:25" x14ac:dyDescent="0.2">
      <c r="A3867" s="93" t="s">
        <v>2116</v>
      </c>
      <c r="B3867" s="94" t="str">
        <f>IFERROR(VLOOKUP($A3867,HeadJournal!$A$1:$NTR$890,COLUMN(HeadJournal!B$1),0),"")</f>
        <v>720000399898</v>
      </c>
      <c r="C3867" s="94" t="str">
        <f>IFERROR(VLOOKUP($A3867,HeadJournal!$A$1:$NTR$890,COLUMN(HeadJournal!C$1),0),"")</f>
        <v>iHerb_VP DFD1605</v>
      </c>
      <c r="D3867" s="125" t="str">
        <f>IFERROR(VLOOKUP($A3867,HeadJournal!$A$1:$NTR$890,COLUMN(HeadJournal!D$1),0),"")</f>
        <v>Доставлен</v>
      </c>
      <c r="E3867" s="95">
        <f>IFERROR(VLOOKUP($A3867,HeadJournal!$A$1:$NTR$890,COLUMN(HeadJournal!G$1),0),"")</f>
        <v>45560</v>
      </c>
      <c r="F3867" s="95" t="str">
        <f t="shared" si="306"/>
        <v>2024 09</v>
      </c>
      <c r="G3867" s="97" t="s">
        <v>5</v>
      </c>
      <c r="H3867" s="161" t="s">
        <v>2113</v>
      </c>
      <c r="I3867" s="97" t="s">
        <v>2114</v>
      </c>
      <c r="J3867" s="97" t="s">
        <v>2115</v>
      </c>
      <c r="K3867" s="29">
        <v>12.88</v>
      </c>
      <c r="L3867" s="29">
        <v>-3.61</v>
      </c>
      <c r="M3867" s="30">
        <f>IFERROR(VLOOKUP($A3867,HeadJournal!$A$1:$J$890,COLUMN(HeadJournal!I$1),0)*($K3867+$L3867)/(SUMIF($A:$A,$A3867,$K:$K)+SUMIF($A:$A,$A3867,$L:$L)),0)</f>
        <v>-0.47409776609724058</v>
      </c>
      <c r="N3867" s="30">
        <f>IFERROR((VLOOKUP($A3867,HeadJournal!$A$1:$K$890,COLUMN(HeadJournal!K$1),0)-VLOOKUP($A3867,HeadJournal!$A$1:$K$890,COLUMN(HeadJournal!J$1),0))*($K3867+$L3867)/(SUMIF($A:$A,$A3867,$K:$K)+SUMIF($A:$A,$A3867,$L:$L)),0)</f>
        <v>0</v>
      </c>
      <c r="O3867" s="30">
        <f>IFERROR((VLOOKUP($A3867,HeadJournal!$A$1:$L$890,COLUMN(HeadJournal!L$1),0)*($K3867+$L3867)/(SUMIF($A:$A,$A3867,$K:$K)+SUMIF($A:$A,$A3867,$L:$L)))/VLOOKUP($A3867,HeadJournal!$A$1:$L$890,COLUMN(HeadJournal!H$1),0),0)</f>
        <v>0.50075551676040864</v>
      </c>
      <c r="P3867" s="30">
        <f>IFERROR(SUM(K3867:O3867)*VLOOKUP($A3867,HeadJournal!$A$1:$L$890,COLUMN(HeadJournal!H$1),0),0)</f>
        <v>962.11807332457306</v>
      </c>
      <c r="Q3867" s="29">
        <v>1800</v>
      </c>
      <c r="R3867" s="31">
        <v>45583</v>
      </c>
      <c r="S3867" s="31" t="s">
        <v>3121</v>
      </c>
      <c r="T3867" s="95" t="str">
        <f t="shared" si="307"/>
        <v>2024 10</v>
      </c>
      <c r="U3867" s="32">
        <f t="shared" si="304"/>
        <v>837.88192667542694</v>
      </c>
      <c r="V3867" s="22">
        <f t="shared" si="305"/>
        <v>0.87087224521222073</v>
      </c>
      <c r="X3867" s="33"/>
      <c r="Y3867" s="33"/>
    </row>
    <row r="3868" spans="1:25" x14ac:dyDescent="0.2">
      <c r="A3868" s="93" t="s">
        <v>2122</v>
      </c>
      <c r="B3868" s="94" t="str">
        <f>IFERROR(VLOOKUP($A3868,HeadJournal!$A$1:$NTR$890,COLUMN(HeadJournal!B$1),0),"")</f>
        <v>722500277354</v>
      </c>
      <c r="C3868" s="94" t="str">
        <f>IFERROR(VLOOKUP($A3868,HeadJournal!$A$1:$NTR$890,COLUMN(HeadJournal!C$1),0),"")</f>
        <v>iHerb_VP DFD1605</v>
      </c>
      <c r="D3868" s="125" t="str">
        <f>IFERROR(VLOOKUP($A3868,HeadJournal!$A$1:$NTR$890,COLUMN(HeadJournal!D$1),0),"")</f>
        <v>Доставлен</v>
      </c>
      <c r="E3868" s="95">
        <f>IFERROR(VLOOKUP($A3868,HeadJournal!$A$1:$NTR$890,COLUMN(HeadJournal!G$1),0),"")</f>
        <v>45567</v>
      </c>
      <c r="F3868" s="95" t="str">
        <f t="shared" si="306"/>
        <v>2024 10</v>
      </c>
      <c r="G3868" s="97" t="s">
        <v>5</v>
      </c>
      <c r="H3868" s="161" t="s">
        <v>2027</v>
      </c>
      <c r="I3868" s="97" t="s">
        <v>2005</v>
      </c>
      <c r="J3868" s="97" t="s">
        <v>4110</v>
      </c>
      <c r="K3868" s="29">
        <v>8.3699999999999992</v>
      </c>
      <c r="L3868" s="29">
        <v>-2.3433333333333333</v>
      </c>
      <c r="M3868" s="30">
        <f>IFERROR(VLOOKUP($A3868,HeadJournal!$A$1:$J$890,COLUMN(HeadJournal!I$1),0)*($K3868+$L3868)/(SUMIF($A:$A,$A3868,$K:$K)+SUMIF($A:$A,$A3868,$L:$L)),0)</f>
        <v>0</v>
      </c>
      <c r="N3868" s="30">
        <f>IFERROR((VLOOKUP($A3868,HeadJournal!$A$1:$K$890,COLUMN(HeadJournal!K$1),0)-VLOOKUP($A3868,HeadJournal!$A$1:$K$890,COLUMN(HeadJournal!J$1),0))*($K3868+$L3868)/(SUMIF($A:$A,$A3868,$K:$K)+SUMIF($A:$A,$A3868,$L:$L)),0)</f>
        <v>0</v>
      </c>
      <c r="O3868" s="30">
        <f>IFERROR((VLOOKUP($A3868,HeadJournal!$A$1:$L$890,COLUMN(HeadJournal!L$1),0)*($K3868+$L3868)/(SUMIF($A:$A,$A3868,$K:$K)+SUMIF($A:$A,$A3868,$L:$L)))/VLOOKUP($A3868,HeadJournal!$A$1:$L$890,COLUMN(HeadJournal!H$1),0),0)</f>
        <v>0.9335645181987825</v>
      </c>
      <c r="P3868" s="30">
        <f>IFERROR(SUM(K3868:O3868)*VLOOKUP($A3868,HeadJournal!$A$1:$L$890,COLUMN(HeadJournal!H$1),0),0)</f>
        <v>720.3734698571692</v>
      </c>
      <c r="Q3868" s="29">
        <v>1200</v>
      </c>
      <c r="R3868" s="31">
        <v>45630</v>
      </c>
      <c r="S3868" s="31" t="s">
        <v>3121</v>
      </c>
      <c r="T3868" s="95" t="str">
        <f t="shared" si="307"/>
        <v>2024 12</v>
      </c>
      <c r="U3868" s="32">
        <f t="shared" si="304"/>
        <v>479.6265301428308</v>
      </c>
      <c r="V3868" s="22">
        <f t="shared" si="305"/>
        <v>0.66580260130613622</v>
      </c>
      <c r="X3868" s="33"/>
      <c r="Y3868" s="33"/>
    </row>
    <row r="3869" spans="1:25" x14ac:dyDescent="0.2">
      <c r="A3869" s="93" t="s">
        <v>2122</v>
      </c>
      <c r="B3869" s="94" t="str">
        <f>IFERROR(VLOOKUP($A3869,HeadJournal!$A$1:$NTR$890,COLUMN(HeadJournal!B$1),0),"")</f>
        <v>722500277354</v>
      </c>
      <c r="C3869" s="94" t="str">
        <f>IFERROR(VLOOKUP($A3869,HeadJournal!$A$1:$NTR$890,COLUMN(HeadJournal!C$1),0),"")</f>
        <v>iHerb_VP DFD1605</v>
      </c>
      <c r="D3869" s="125" t="str">
        <f>IFERROR(VLOOKUP($A3869,HeadJournal!$A$1:$NTR$890,COLUMN(HeadJournal!D$1),0),"")</f>
        <v>Доставлен</v>
      </c>
      <c r="E3869" s="95">
        <f>IFERROR(VLOOKUP($A3869,HeadJournal!$A$1:$NTR$890,COLUMN(HeadJournal!G$1),0),"")</f>
        <v>45567</v>
      </c>
      <c r="F3869" s="95" t="str">
        <f t="shared" si="306"/>
        <v>2024 10</v>
      </c>
      <c r="G3869" s="97" t="s">
        <v>5</v>
      </c>
      <c r="H3869" s="161" t="s">
        <v>2027</v>
      </c>
      <c r="I3869" s="97" t="s">
        <v>2005</v>
      </c>
      <c r="J3869" s="97" t="s">
        <v>4110</v>
      </c>
      <c r="K3869" s="29">
        <v>8.3699999999999992</v>
      </c>
      <c r="L3869" s="29">
        <v>-2.3433333333333333</v>
      </c>
      <c r="M3869" s="30">
        <f>IFERROR(VLOOKUP($A3869,HeadJournal!$A$1:$J$890,COLUMN(HeadJournal!I$1),0)*($K3869+$L3869)/(SUMIF($A:$A,$A3869,$K:$K)+SUMIF($A:$A,$A3869,$L:$L)),0)</f>
        <v>0</v>
      </c>
      <c r="N3869" s="30">
        <f>IFERROR((VLOOKUP($A3869,HeadJournal!$A$1:$K$890,COLUMN(HeadJournal!K$1),0)-VLOOKUP($A3869,HeadJournal!$A$1:$K$890,COLUMN(HeadJournal!J$1),0))*($K3869+$L3869)/(SUMIF($A:$A,$A3869,$K:$K)+SUMIF($A:$A,$A3869,$L:$L)),0)</f>
        <v>0</v>
      </c>
      <c r="O3869" s="30">
        <f>IFERROR((VLOOKUP($A3869,HeadJournal!$A$1:$L$890,COLUMN(HeadJournal!L$1),0)*($K3869+$L3869)/(SUMIF($A:$A,$A3869,$K:$K)+SUMIF($A:$A,$A3869,$L:$L)))/VLOOKUP($A3869,HeadJournal!$A$1:$L$890,COLUMN(HeadJournal!H$1),0),0)</f>
        <v>0.9335645181987825</v>
      </c>
      <c r="P3869" s="30">
        <f>IFERROR(SUM(K3869:O3869)*VLOOKUP($A3869,HeadJournal!$A$1:$L$890,COLUMN(HeadJournal!H$1),0),0)</f>
        <v>720.3734698571692</v>
      </c>
      <c r="Q3869" s="29">
        <v>1300</v>
      </c>
      <c r="R3869" s="31">
        <v>45643</v>
      </c>
      <c r="S3869" s="31" t="s">
        <v>3121</v>
      </c>
      <c r="T3869" s="95" t="str">
        <f t="shared" si="307"/>
        <v>2024 12</v>
      </c>
      <c r="U3869" s="32">
        <f t="shared" si="304"/>
        <v>579.6265301428308</v>
      </c>
      <c r="V3869" s="22">
        <f t="shared" si="305"/>
        <v>0.80461948474831435</v>
      </c>
      <c r="X3869" s="33"/>
      <c r="Y3869" s="33"/>
    </row>
    <row r="3870" spans="1:25" x14ac:dyDescent="0.2">
      <c r="A3870" s="93" t="s">
        <v>2122</v>
      </c>
      <c r="B3870" s="94" t="str">
        <f>IFERROR(VLOOKUP($A3870,HeadJournal!$A$1:$NTR$890,COLUMN(HeadJournal!B$1),0),"")</f>
        <v>722500277354</v>
      </c>
      <c r="C3870" s="94" t="str">
        <f>IFERROR(VLOOKUP($A3870,HeadJournal!$A$1:$NTR$890,COLUMN(HeadJournal!C$1),0),"")</f>
        <v>iHerb_VP DFD1605</v>
      </c>
      <c r="D3870" s="125" t="str">
        <f>IFERROR(VLOOKUP($A3870,HeadJournal!$A$1:$NTR$890,COLUMN(HeadJournal!D$1),0),"")</f>
        <v>Доставлен</v>
      </c>
      <c r="E3870" s="95">
        <f>IFERROR(VLOOKUP($A3870,HeadJournal!$A$1:$NTR$890,COLUMN(HeadJournal!G$1),0),"")</f>
        <v>45567</v>
      </c>
      <c r="F3870" s="95" t="str">
        <f t="shared" si="306"/>
        <v>2024 10</v>
      </c>
      <c r="G3870" s="97" t="s">
        <v>5</v>
      </c>
      <c r="H3870" s="161" t="s">
        <v>2027</v>
      </c>
      <c r="I3870" s="97" t="s">
        <v>2005</v>
      </c>
      <c r="J3870" s="97" t="s">
        <v>4110</v>
      </c>
      <c r="K3870" s="29">
        <v>8.3699999999999992</v>
      </c>
      <c r="L3870" s="29">
        <v>-2.3433333333333333</v>
      </c>
      <c r="M3870" s="30">
        <f>IFERROR(VLOOKUP($A3870,HeadJournal!$A$1:$J$890,COLUMN(HeadJournal!I$1),0)*($K3870+$L3870)/(SUMIF($A:$A,$A3870,$K:$K)+SUMIF($A:$A,$A3870,$L:$L)),0)</f>
        <v>0</v>
      </c>
      <c r="N3870" s="30">
        <f>IFERROR((VLOOKUP($A3870,HeadJournal!$A$1:$K$890,COLUMN(HeadJournal!K$1),0)-VLOOKUP($A3870,HeadJournal!$A$1:$K$890,COLUMN(HeadJournal!J$1),0))*($K3870+$L3870)/(SUMIF($A:$A,$A3870,$K:$K)+SUMIF($A:$A,$A3870,$L:$L)),0)</f>
        <v>0</v>
      </c>
      <c r="O3870" s="30">
        <f>IFERROR((VLOOKUP($A3870,HeadJournal!$A$1:$L$890,COLUMN(HeadJournal!L$1),0)*($K3870+$L3870)/(SUMIF($A:$A,$A3870,$K:$K)+SUMIF($A:$A,$A3870,$L:$L)))/VLOOKUP($A3870,HeadJournal!$A$1:$L$890,COLUMN(HeadJournal!H$1),0),0)</f>
        <v>0.9335645181987825</v>
      </c>
      <c r="P3870" s="30">
        <f>IFERROR(SUM(K3870:O3870)*VLOOKUP($A3870,HeadJournal!$A$1:$L$890,COLUMN(HeadJournal!H$1),0),0)</f>
        <v>720.3734698571692</v>
      </c>
      <c r="Q3870" s="29">
        <v>1200</v>
      </c>
      <c r="R3870" s="31">
        <v>45724</v>
      </c>
      <c r="S3870" s="31" t="s">
        <v>3121</v>
      </c>
      <c r="T3870" s="95" t="str">
        <f t="shared" si="307"/>
        <v>2025 03</v>
      </c>
      <c r="U3870" s="32">
        <f t="shared" si="304"/>
        <v>479.6265301428308</v>
      </c>
      <c r="V3870" s="22">
        <f t="shared" si="305"/>
        <v>0.66580260130613622</v>
      </c>
      <c r="X3870" s="33"/>
      <c r="Y3870" s="33"/>
    </row>
    <row r="3871" spans="1:25" x14ac:dyDescent="0.2">
      <c r="A3871" s="93" t="s">
        <v>2122</v>
      </c>
      <c r="B3871" s="94" t="str">
        <f>IFERROR(VLOOKUP($A3871,HeadJournal!$A$1:$NTR$890,COLUMN(HeadJournal!B$1),0),"")</f>
        <v>722500277354</v>
      </c>
      <c r="C3871" s="94" t="str">
        <f>IFERROR(VLOOKUP($A3871,HeadJournal!$A$1:$NTR$890,COLUMN(HeadJournal!C$1),0),"")</f>
        <v>iHerb_VP DFD1605</v>
      </c>
      <c r="D3871" s="125" t="str">
        <f>IFERROR(VLOOKUP($A3871,HeadJournal!$A$1:$NTR$890,COLUMN(HeadJournal!D$1),0),"")</f>
        <v>Доставлен</v>
      </c>
      <c r="E3871" s="95">
        <f>IFERROR(VLOOKUP($A3871,HeadJournal!$A$1:$NTR$890,COLUMN(HeadJournal!G$1),0),"")</f>
        <v>45567</v>
      </c>
      <c r="F3871" s="95" t="str">
        <f t="shared" si="306"/>
        <v>2024 10</v>
      </c>
      <c r="G3871" s="97" t="s">
        <v>5</v>
      </c>
      <c r="H3871" s="161" t="s">
        <v>2118</v>
      </c>
      <c r="I3871" s="97" t="s">
        <v>2005</v>
      </c>
      <c r="J3871" s="97" t="s">
        <v>2119</v>
      </c>
      <c r="K3871" s="29">
        <v>14.38</v>
      </c>
      <c r="L3871" s="29">
        <v>-4.0266666666666664</v>
      </c>
      <c r="M3871" s="30">
        <f>IFERROR(VLOOKUP($A3871,HeadJournal!$A$1:$J$890,COLUMN(HeadJournal!I$1),0)*($K3871+$L3871)/(SUMIF($A:$A,$A3871,$K:$K)+SUMIF($A:$A,$A3871,$L:$L)),0)</f>
        <v>0</v>
      </c>
      <c r="N3871" s="30">
        <f>IFERROR((VLOOKUP($A3871,HeadJournal!$A$1:$K$890,COLUMN(HeadJournal!K$1),0)-VLOOKUP($A3871,HeadJournal!$A$1:$K$890,COLUMN(HeadJournal!J$1),0))*($K3871+$L3871)/(SUMIF($A:$A,$A3871,$K:$K)+SUMIF($A:$A,$A3871,$L:$L)),0)</f>
        <v>0</v>
      </c>
      <c r="O3871" s="30">
        <f>IFERROR((VLOOKUP($A3871,HeadJournal!$A$1:$L$890,COLUMN(HeadJournal!L$1),0)*($K3871+$L3871)/(SUMIF($A:$A,$A3871,$K:$K)+SUMIF($A:$A,$A3871,$L:$L)))/VLOOKUP($A3871,HeadJournal!$A$1:$L$890,COLUMN(HeadJournal!H$1),0),0)</f>
        <v>1.603789487569369</v>
      </c>
      <c r="P3871" s="30">
        <f>IFERROR(SUM(K3871:O3871)*VLOOKUP($A3871,HeadJournal!$A$1:$L$890,COLUMN(HeadJournal!H$1),0),0)</f>
        <v>1237.544246336487</v>
      </c>
      <c r="Q3871" s="29">
        <v>2000</v>
      </c>
      <c r="R3871" s="31">
        <v>45637</v>
      </c>
      <c r="S3871" s="31" t="s">
        <v>3121</v>
      </c>
      <c r="T3871" s="95" t="str">
        <f t="shared" si="307"/>
        <v>2024 12</v>
      </c>
      <c r="U3871" s="32">
        <f t="shared" si="304"/>
        <v>762.45575366351295</v>
      </c>
      <c r="V3871" s="22">
        <f t="shared" si="305"/>
        <v>0.61610383299071314</v>
      </c>
      <c r="X3871" s="33"/>
      <c r="Y3871" s="33"/>
    </row>
    <row r="3872" spans="1:25" x14ac:dyDescent="0.2">
      <c r="A3872" s="93" t="s">
        <v>2122</v>
      </c>
      <c r="B3872" s="94" t="str">
        <f>IFERROR(VLOOKUP($A3872,HeadJournal!$A$1:$NTR$890,COLUMN(HeadJournal!B$1),0),"")</f>
        <v>722500277354</v>
      </c>
      <c r="C3872" s="94" t="str">
        <f>IFERROR(VLOOKUP($A3872,HeadJournal!$A$1:$NTR$890,COLUMN(HeadJournal!C$1),0),"")</f>
        <v>iHerb_VP DFD1605</v>
      </c>
      <c r="D3872" s="125" t="str">
        <f>IFERROR(VLOOKUP($A3872,HeadJournal!$A$1:$NTR$890,COLUMN(HeadJournal!D$1),0),"")</f>
        <v>Доставлен</v>
      </c>
      <c r="E3872" s="95">
        <f>IFERROR(VLOOKUP($A3872,HeadJournal!$A$1:$NTR$890,COLUMN(HeadJournal!G$1),0),"")</f>
        <v>45567</v>
      </c>
      <c r="F3872" s="95" t="str">
        <f t="shared" si="306"/>
        <v>2024 10</v>
      </c>
      <c r="G3872" s="97" t="s">
        <v>5</v>
      </c>
      <c r="H3872" s="161" t="s">
        <v>2118</v>
      </c>
      <c r="I3872" s="97" t="s">
        <v>2005</v>
      </c>
      <c r="J3872" s="97" t="s">
        <v>2119</v>
      </c>
      <c r="K3872" s="29">
        <v>14.38</v>
      </c>
      <c r="L3872" s="29">
        <v>-4.0266666666666664</v>
      </c>
      <c r="M3872" s="30">
        <f>IFERROR(VLOOKUP($A3872,HeadJournal!$A$1:$J$890,COLUMN(HeadJournal!I$1),0)*($K3872+$L3872)/(SUMIF($A:$A,$A3872,$K:$K)+SUMIF($A:$A,$A3872,$L:$L)),0)</f>
        <v>0</v>
      </c>
      <c r="N3872" s="30">
        <f>IFERROR((VLOOKUP($A3872,HeadJournal!$A$1:$K$890,COLUMN(HeadJournal!K$1),0)-VLOOKUP($A3872,HeadJournal!$A$1:$K$890,COLUMN(HeadJournal!J$1),0))*($K3872+$L3872)/(SUMIF($A:$A,$A3872,$K:$K)+SUMIF($A:$A,$A3872,$L:$L)),0)</f>
        <v>0</v>
      </c>
      <c r="O3872" s="30">
        <f>IFERROR((VLOOKUP($A3872,HeadJournal!$A$1:$L$890,COLUMN(HeadJournal!L$1),0)*($K3872+$L3872)/(SUMIF($A:$A,$A3872,$K:$K)+SUMIF($A:$A,$A3872,$L:$L)))/VLOOKUP($A3872,HeadJournal!$A$1:$L$890,COLUMN(HeadJournal!H$1),0),0)</f>
        <v>1.603789487569369</v>
      </c>
      <c r="P3872" s="30">
        <f>IFERROR(SUM(K3872:O3872)*VLOOKUP($A3872,HeadJournal!$A$1:$L$890,COLUMN(HeadJournal!H$1),0),0)</f>
        <v>1237.544246336487</v>
      </c>
      <c r="Q3872" s="29">
        <v>2000</v>
      </c>
      <c r="R3872" s="31">
        <v>45637</v>
      </c>
      <c r="S3872" s="31" t="s">
        <v>3121</v>
      </c>
      <c r="T3872" s="95" t="str">
        <f t="shared" si="307"/>
        <v>2024 12</v>
      </c>
      <c r="U3872" s="32">
        <f t="shared" si="304"/>
        <v>762.45575366351295</v>
      </c>
      <c r="V3872" s="22">
        <f t="shared" si="305"/>
        <v>0.61610383299071314</v>
      </c>
      <c r="X3872" s="33"/>
      <c r="Y3872" s="33"/>
    </row>
    <row r="3873" spans="1:25" x14ac:dyDescent="0.2">
      <c r="A3873" s="93" t="s">
        <v>2122</v>
      </c>
      <c r="B3873" s="94" t="str">
        <f>IFERROR(VLOOKUP($A3873,HeadJournal!$A$1:$NTR$890,COLUMN(HeadJournal!B$1),0),"")</f>
        <v>722500277354</v>
      </c>
      <c r="C3873" s="94" t="str">
        <f>IFERROR(VLOOKUP($A3873,HeadJournal!$A$1:$NTR$890,COLUMN(HeadJournal!C$1),0),"")</f>
        <v>iHerb_VP DFD1605</v>
      </c>
      <c r="D3873" s="125" t="str">
        <f>IFERROR(VLOOKUP($A3873,HeadJournal!$A$1:$NTR$890,COLUMN(HeadJournal!D$1),0),"")</f>
        <v>Доставлен</v>
      </c>
      <c r="E3873" s="95">
        <f>IFERROR(VLOOKUP($A3873,HeadJournal!$A$1:$NTR$890,COLUMN(HeadJournal!G$1),0),"")</f>
        <v>45567</v>
      </c>
      <c r="F3873" s="95" t="str">
        <f t="shared" si="306"/>
        <v>2024 10</v>
      </c>
      <c r="G3873" s="97" t="s">
        <v>5</v>
      </c>
      <c r="H3873" s="161" t="s">
        <v>2118</v>
      </c>
      <c r="I3873" s="97" t="s">
        <v>2005</v>
      </c>
      <c r="J3873" s="97" t="s">
        <v>2119</v>
      </c>
      <c r="K3873" s="29">
        <v>14.38</v>
      </c>
      <c r="L3873" s="29">
        <v>-4.0266666666666664</v>
      </c>
      <c r="M3873" s="30">
        <f>IFERROR(VLOOKUP($A3873,HeadJournal!$A$1:$J$890,COLUMN(HeadJournal!I$1),0)*($K3873+$L3873)/(SUMIF($A:$A,$A3873,$K:$K)+SUMIF($A:$A,$A3873,$L:$L)),0)</f>
        <v>0</v>
      </c>
      <c r="N3873" s="30">
        <f>IFERROR((VLOOKUP($A3873,HeadJournal!$A$1:$K$890,COLUMN(HeadJournal!K$1),0)-VLOOKUP($A3873,HeadJournal!$A$1:$K$890,COLUMN(HeadJournal!J$1),0))*($K3873+$L3873)/(SUMIF($A:$A,$A3873,$K:$K)+SUMIF($A:$A,$A3873,$L:$L)),0)</f>
        <v>0</v>
      </c>
      <c r="O3873" s="30">
        <f>IFERROR((VLOOKUP($A3873,HeadJournal!$A$1:$L$890,COLUMN(HeadJournal!L$1),0)*($K3873+$L3873)/(SUMIF($A:$A,$A3873,$K:$K)+SUMIF($A:$A,$A3873,$L:$L)))/VLOOKUP($A3873,HeadJournal!$A$1:$L$890,COLUMN(HeadJournal!H$1),0),0)</f>
        <v>1.603789487569369</v>
      </c>
      <c r="P3873" s="30">
        <f>IFERROR(SUM(K3873:O3873)*VLOOKUP($A3873,HeadJournal!$A$1:$L$890,COLUMN(HeadJournal!H$1),0),0)</f>
        <v>1237.544246336487</v>
      </c>
      <c r="Q3873" s="29">
        <v>2000</v>
      </c>
      <c r="R3873" s="31">
        <v>45755</v>
      </c>
      <c r="S3873" s="31" t="s">
        <v>3121</v>
      </c>
      <c r="T3873" s="95" t="str">
        <f t="shared" si="307"/>
        <v>2025 04</v>
      </c>
      <c r="U3873" s="32">
        <f t="shared" si="304"/>
        <v>762.45575366351295</v>
      </c>
      <c r="V3873" s="22">
        <f t="shared" si="305"/>
        <v>0.61610383299071314</v>
      </c>
      <c r="X3873" s="33"/>
      <c r="Y3873" s="33"/>
    </row>
    <row r="3874" spans="1:25" x14ac:dyDescent="0.2">
      <c r="A3874" s="93" t="s">
        <v>2122</v>
      </c>
      <c r="B3874" s="94" t="str">
        <f>IFERROR(VLOOKUP($A3874,HeadJournal!$A$1:$NTR$890,COLUMN(HeadJournal!B$1),0),"")</f>
        <v>722500277354</v>
      </c>
      <c r="C3874" s="94" t="str">
        <f>IFERROR(VLOOKUP($A3874,HeadJournal!$A$1:$NTR$890,COLUMN(HeadJournal!C$1),0),"")</f>
        <v>iHerb_VP DFD1605</v>
      </c>
      <c r="D3874" s="125" t="str">
        <f>IFERROR(VLOOKUP($A3874,HeadJournal!$A$1:$NTR$890,COLUMN(HeadJournal!D$1),0),"")</f>
        <v>Доставлен</v>
      </c>
      <c r="E3874" s="95">
        <f>IFERROR(VLOOKUP($A3874,HeadJournal!$A$1:$NTR$890,COLUMN(HeadJournal!G$1),0),"")</f>
        <v>45567</v>
      </c>
      <c r="F3874" s="95" t="str">
        <f t="shared" si="306"/>
        <v>2024 10</v>
      </c>
      <c r="G3874" s="97" t="s">
        <v>5</v>
      </c>
      <c r="H3874" s="161" t="s">
        <v>2120</v>
      </c>
      <c r="I3874" s="97" t="s">
        <v>2005</v>
      </c>
      <c r="J3874" s="97" t="s">
        <v>2121</v>
      </c>
      <c r="K3874" s="29">
        <v>14.94</v>
      </c>
      <c r="L3874" s="29">
        <v>-4.18</v>
      </c>
      <c r="M3874" s="30">
        <f>IFERROR(VLOOKUP($A3874,HeadJournal!$A$1:$J$890,COLUMN(HeadJournal!I$1),0)*($K3874+$L3874)/(SUMIF($A:$A,$A3874,$K:$K)+SUMIF($A:$A,$A3874,$L:$L)),0)</f>
        <v>0</v>
      </c>
      <c r="N3874" s="30">
        <f>IFERROR((VLOOKUP($A3874,HeadJournal!$A$1:$K$890,COLUMN(HeadJournal!K$1),0)-VLOOKUP($A3874,HeadJournal!$A$1:$K$890,COLUMN(HeadJournal!J$1),0))*($K3874+$L3874)/(SUMIF($A:$A,$A3874,$K:$K)+SUMIF($A:$A,$A3874,$L:$L)),0)</f>
        <v>0</v>
      </c>
      <c r="O3874" s="30">
        <f>IFERROR((VLOOKUP($A3874,HeadJournal!$A$1:$L$890,COLUMN(HeadJournal!L$1),0)*($K3874+$L3874)/(SUMIF($A:$A,$A3874,$K:$K)+SUMIF($A:$A,$A3874,$L:$L)))/VLOOKUP($A3874,HeadJournal!$A$1:$L$890,COLUMN(HeadJournal!H$1),0),0)</f>
        <v>1.6667844384655253</v>
      </c>
      <c r="P3874" s="30">
        <f>IFERROR(SUM(K3874:O3874)*VLOOKUP($A3874,HeadJournal!$A$1:$L$890,COLUMN(HeadJournal!H$1),0),0)</f>
        <v>1286.1535180856984</v>
      </c>
      <c r="Q3874" s="29"/>
      <c r="R3874" s="31"/>
      <c r="S3874" s="31"/>
      <c r="T3874" s="95" t="str">
        <f t="shared" si="307"/>
        <v/>
      </c>
      <c r="U3874" s="32">
        <f t="shared" si="304"/>
        <v>-1286.1535180856984</v>
      </c>
      <c r="V3874" s="22" t="str">
        <f t="shared" si="305"/>
        <v/>
      </c>
      <c r="X3874" s="33"/>
      <c r="Y3874" s="33"/>
    </row>
    <row r="3875" spans="1:25" x14ac:dyDescent="0.2">
      <c r="A3875" s="93" t="s">
        <v>2144</v>
      </c>
      <c r="B3875" s="94" t="str">
        <f>IFERROR(VLOOKUP($A3875,HeadJournal!$A$1:$NTR$890,COLUMN(HeadJournal!B$1),0),"")</f>
        <v>720000392740</v>
      </c>
      <c r="C3875" s="94" t="str">
        <f>IFERROR(VLOOKUP($A3875,HeadJournal!$A$1:$NTR$890,COLUMN(HeadJournal!C$1),0),"")</f>
        <v>iHerb_MH DLE7202</v>
      </c>
      <c r="D3875" s="125" t="str">
        <f>IFERROR(VLOOKUP($A3875,HeadJournal!$A$1:$NTR$890,COLUMN(HeadJournal!D$1),0),"")</f>
        <v>Доставлен</v>
      </c>
      <c r="E3875" s="95">
        <f>IFERROR(VLOOKUP($A3875,HeadJournal!$A$1:$NTR$890,COLUMN(HeadJournal!G$1),0),"")</f>
        <v>45558</v>
      </c>
      <c r="F3875" s="95" t="str">
        <f t="shared" si="306"/>
        <v>2024 09</v>
      </c>
      <c r="G3875" s="97" t="s">
        <v>5</v>
      </c>
      <c r="H3875" s="161" t="s">
        <v>2124</v>
      </c>
      <c r="I3875" s="97" t="s">
        <v>2125</v>
      </c>
      <c r="J3875" s="97" t="s">
        <v>2126</v>
      </c>
      <c r="K3875" s="29">
        <v>13.65</v>
      </c>
      <c r="L3875" s="29">
        <v>-3.8233333333333337</v>
      </c>
      <c r="M3875" s="30">
        <f>IFERROR(VLOOKUP($A3875,HeadJournal!$A$1:$J$890,COLUMN(HeadJournal!I$1),0)*($K3875+$L3875)/(SUMIF($A:$A,$A3875,$K:$K)+SUMIF($A:$A,$A3875,$L:$L)),0)</f>
        <v>-0.62295706184174982</v>
      </c>
      <c r="N3875" s="30">
        <f>IFERROR((VLOOKUP($A3875,HeadJournal!$A$1:$K$890,COLUMN(HeadJournal!K$1),0)-VLOOKUP($A3875,HeadJournal!$A$1:$K$890,COLUMN(HeadJournal!J$1),0))*($K3875+$L3875)/(SUMIF($A:$A,$A3875,$K:$K)+SUMIF($A:$A,$A3875,$L:$L)),0)</f>
        <v>-3.7711404897304438E-15</v>
      </c>
      <c r="O3875" s="30">
        <f>IFERROR((VLOOKUP($A3875,HeadJournal!$A$1:$L$890,COLUMN(HeadJournal!L$1),0)*($K3875+$L3875)/(SUMIF($A:$A,$A3875,$K:$K)+SUMIF($A:$A,$A3875,$L:$L)))/VLOOKUP($A3875,HeadJournal!$A$1:$L$890,COLUMN(HeadJournal!H$1),0),0)</f>
        <v>0.68090586958199417</v>
      </c>
      <c r="P3875" s="30">
        <f>IFERROR(SUM(K3875:O3875)*VLOOKUP($A3875,HeadJournal!$A$1:$L$890,COLUMN(HeadJournal!H$1),0),0)</f>
        <v>1024.324183544873</v>
      </c>
      <c r="Q3875" s="29"/>
      <c r="R3875" s="31"/>
      <c r="S3875" s="31"/>
      <c r="T3875" s="95" t="str">
        <f t="shared" si="307"/>
        <v/>
      </c>
      <c r="U3875" s="32">
        <f t="shared" si="304"/>
        <v>-1024.324183544873</v>
      </c>
      <c r="V3875" s="22" t="str">
        <f t="shared" si="305"/>
        <v/>
      </c>
      <c r="X3875" s="33"/>
      <c r="Y3875" s="33"/>
    </row>
    <row r="3876" spans="1:25" x14ac:dyDescent="0.2">
      <c r="A3876" s="93" t="s">
        <v>2144</v>
      </c>
      <c r="B3876" s="94" t="str">
        <f>IFERROR(VLOOKUP($A3876,HeadJournal!$A$1:$NTR$890,COLUMN(HeadJournal!B$1),0),"")</f>
        <v>720000392740</v>
      </c>
      <c r="C3876" s="94" t="str">
        <f>IFERROR(VLOOKUP($A3876,HeadJournal!$A$1:$NTR$890,COLUMN(HeadJournal!C$1),0),"")</f>
        <v>iHerb_MH DLE7202</v>
      </c>
      <c r="D3876" s="125" t="str">
        <f>IFERROR(VLOOKUP($A3876,HeadJournal!$A$1:$NTR$890,COLUMN(HeadJournal!D$1),0),"")</f>
        <v>Доставлен</v>
      </c>
      <c r="E3876" s="95">
        <f>IFERROR(VLOOKUP($A3876,HeadJournal!$A$1:$NTR$890,COLUMN(HeadJournal!G$1),0),"")</f>
        <v>45558</v>
      </c>
      <c r="F3876" s="95" t="str">
        <f t="shared" si="306"/>
        <v>2024 09</v>
      </c>
      <c r="G3876" s="97" t="s">
        <v>5</v>
      </c>
      <c r="H3876" s="161" t="s">
        <v>2124</v>
      </c>
      <c r="I3876" s="97" t="s">
        <v>2125</v>
      </c>
      <c r="J3876" s="97" t="s">
        <v>2126</v>
      </c>
      <c r="K3876" s="29">
        <v>13.65</v>
      </c>
      <c r="L3876" s="29">
        <v>-3.8233333333333337</v>
      </c>
      <c r="M3876" s="30">
        <f>IFERROR(VLOOKUP($A3876,HeadJournal!$A$1:$J$890,COLUMN(HeadJournal!I$1),0)*($K3876+$L3876)/(SUMIF($A:$A,$A3876,$K:$K)+SUMIF($A:$A,$A3876,$L:$L)),0)</f>
        <v>-0.62295706184174982</v>
      </c>
      <c r="N3876" s="30">
        <f>IFERROR((VLOOKUP($A3876,HeadJournal!$A$1:$K$890,COLUMN(HeadJournal!K$1),0)-VLOOKUP($A3876,HeadJournal!$A$1:$K$890,COLUMN(HeadJournal!J$1),0))*($K3876+$L3876)/(SUMIF($A:$A,$A3876,$K:$K)+SUMIF($A:$A,$A3876,$L:$L)),0)</f>
        <v>-3.7711404897304438E-15</v>
      </c>
      <c r="O3876" s="30">
        <f>IFERROR((VLOOKUP($A3876,HeadJournal!$A$1:$L$890,COLUMN(HeadJournal!L$1),0)*($K3876+$L3876)/(SUMIF($A:$A,$A3876,$K:$K)+SUMIF($A:$A,$A3876,$L:$L)))/VLOOKUP($A3876,HeadJournal!$A$1:$L$890,COLUMN(HeadJournal!H$1),0),0)</f>
        <v>0.68090586958199417</v>
      </c>
      <c r="P3876" s="30">
        <f>IFERROR(SUM(K3876:O3876)*VLOOKUP($A3876,HeadJournal!$A$1:$L$890,COLUMN(HeadJournal!H$1),0),0)</f>
        <v>1024.324183544873</v>
      </c>
      <c r="Q3876" s="29"/>
      <c r="R3876" s="31"/>
      <c r="S3876" s="31"/>
      <c r="T3876" s="95" t="str">
        <f t="shared" si="307"/>
        <v/>
      </c>
      <c r="U3876" s="32">
        <f t="shared" si="304"/>
        <v>-1024.324183544873</v>
      </c>
      <c r="V3876" s="22" t="str">
        <f t="shared" si="305"/>
        <v/>
      </c>
      <c r="X3876" s="33"/>
      <c r="Y3876" s="33"/>
    </row>
    <row r="3877" spans="1:25" x14ac:dyDescent="0.2">
      <c r="A3877" s="93" t="s">
        <v>2144</v>
      </c>
      <c r="B3877" s="94" t="str">
        <f>IFERROR(VLOOKUP($A3877,HeadJournal!$A$1:$NTR$890,COLUMN(HeadJournal!B$1),0),"")</f>
        <v>720000392740</v>
      </c>
      <c r="C3877" s="94" t="str">
        <f>IFERROR(VLOOKUP($A3877,HeadJournal!$A$1:$NTR$890,COLUMN(HeadJournal!C$1),0),"")</f>
        <v>iHerb_MH DLE7202</v>
      </c>
      <c r="D3877" s="125" t="str">
        <f>IFERROR(VLOOKUP($A3877,HeadJournal!$A$1:$NTR$890,COLUMN(HeadJournal!D$1),0),"")</f>
        <v>Доставлен</v>
      </c>
      <c r="E3877" s="95">
        <f>IFERROR(VLOOKUP($A3877,HeadJournal!$A$1:$NTR$890,COLUMN(HeadJournal!G$1),0),"")</f>
        <v>45558</v>
      </c>
      <c r="F3877" s="95" t="str">
        <f t="shared" si="306"/>
        <v>2024 09</v>
      </c>
      <c r="G3877" s="97" t="s">
        <v>5</v>
      </c>
      <c r="H3877" s="161" t="s">
        <v>2124</v>
      </c>
      <c r="I3877" s="97" t="s">
        <v>2125</v>
      </c>
      <c r="J3877" s="97" t="s">
        <v>2126</v>
      </c>
      <c r="K3877" s="29">
        <v>13.65</v>
      </c>
      <c r="L3877" s="29">
        <v>-3.8233333333333337</v>
      </c>
      <c r="M3877" s="30">
        <f>IFERROR(VLOOKUP($A3877,HeadJournal!$A$1:$J$890,COLUMN(HeadJournal!I$1),0)*($K3877+$L3877)/(SUMIF($A:$A,$A3877,$K:$K)+SUMIF($A:$A,$A3877,$L:$L)),0)</f>
        <v>-0.62295706184174982</v>
      </c>
      <c r="N3877" s="30">
        <f>IFERROR((VLOOKUP($A3877,HeadJournal!$A$1:$K$890,COLUMN(HeadJournal!K$1),0)-VLOOKUP($A3877,HeadJournal!$A$1:$K$890,COLUMN(HeadJournal!J$1),0))*($K3877+$L3877)/(SUMIF($A:$A,$A3877,$K:$K)+SUMIF($A:$A,$A3877,$L:$L)),0)</f>
        <v>-3.7711404897304438E-15</v>
      </c>
      <c r="O3877" s="30">
        <f>IFERROR((VLOOKUP($A3877,HeadJournal!$A$1:$L$890,COLUMN(HeadJournal!L$1),0)*($K3877+$L3877)/(SUMIF($A:$A,$A3877,$K:$K)+SUMIF($A:$A,$A3877,$L:$L)))/VLOOKUP($A3877,HeadJournal!$A$1:$L$890,COLUMN(HeadJournal!H$1),0),0)</f>
        <v>0.68090586958199417</v>
      </c>
      <c r="P3877" s="30">
        <f>IFERROR(SUM(K3877:O3877)*VLOOKUP($A3877,HeadJournal!$A$1:$L$890,COLUMN(HeadJournal!H$1),0),0)</f>
        <v>1024.324183544873</v>
      </c>
      <c r="Q3877" s="29"/>
      <c r="R3877" s="31"/>
      <c r="S3877" s="31"/>
      <c r="T3877" s="95" t="str">
        <f t="shared" si="307"/>
        <v/>
      </c>
      <c r="U3877" s="32">
        <f t="shared" si="304"/>
        <v>-1024.324183544873</v>
      </c>
      <c r="V3877" s="22" t="str">
        <f t="shared" si="305"/>
        <v/>
      </c>
      <c r="X3877" s="33"/>
      <c r="Y3877" s="33"/>
    </row>
    <row r="3878" spans="1:25" x14ac:dyDescent="0.2">
      <c r="A3878" s="93" t="s">
        <v>2144</v>
      </c>
      <c r="B3878" s="94" t="str">
        <f>IFERROR(VLOOKUP($A3878,HeadJournal!$A$1:$NTR$890,COLUMN(HeadJournal!B$1),0),"")</f>
        <v>720000392740</v>
      </c>
      <c r="C3878" s="94" t="str">
        <f>IFERROR(VLOOKUP($A3878,HeadJournal!$A$1:$NTR$890,COLUMN(HeadJournal!C$1),0),"")</f>
        <v>iHerb_MH DLE7202</v>
      </c>
      <c r="D3878" s="125" t="str">
        <f>IFERROR(VLOOKUP($A3878,HeadJournal!$A$1:$NTR$890,COLUMN(HeadJournal!D$1),0),"")</f>
        <v>Доставлен</v>
      </c>
      <c r="E3878" s="95">
        <f>IFERROR(VLOOKUP($A3878,HeadJournal!$A$1:$NTR$890,COLUMN(HeadJournal!G$1),0),"")</f>
        <v>45558</v>
      </c>
      <c r="F3878" s="95" t="str">
        <f t="shared" si="306"/>
        <v>2024 09</v>
      </c>
      <c r="G3878" s="97" t="s">
        <v>5</v>
      </c>
      <c r="H3878" s="161" t="s">
        <v>2127</v>
      </c>
      <c r="I3878" s="97" t="s">
        <v>2125</v>
      </c>
      <c r="J3878" s="97" t="s">
        <v>2128</v>
      </c>
      <c r="K3878" s="29">
        <v>9.35</v>
      </c>
      <c r="L3878" s="29">
        <v>-2.6166666666666667</v>
      </c>
      <c r="M3878" s="30">
        <f>IFERROR(VLOOKUP($A3878,HeadJournal!$A$1:$J$890,COLUMN(HeadJournal!I$1),0)*($K3878+$L3878)/(SUMIF($A:$A,$A3878,$K:$K)+SUMIF($A:$A,$A3878,$L:$L)),0)</f>
        <v>-0.42685660275452325</v>
      </c>
      <c r="N3878" s="30">
        <f>IFERROR((VLOOKUP($A3878,HeadJournal!$A$1:$K$890,COLUMN(HeadJournal!K$1),0)-VLOOKUP($A3878,HeadJournal!$A$1:$K$890,COLUMN(HeadJournal!J$1),0))*($K3878+$L3878)/(SUMIF($A:$A,$A3878,$K:$K)+SUMIF($A:$A,$A3878,$L:$L)),0)</f>
        <v>-2.5840243518505751E-15</v>
      </c>
      <c r="O3878" s="30">
        <f>IFERROR((VLOOKUP($A3878,HeadJournal!$A$1:$L$890,COLUMN(HeadJournal!L$1),0)*($K3878+$L3878)/(SUMIF($A:$A,$A3878,$K:$K)+SUMIF($A:$A,$A3878,$L:$L)))/VLOOKUP($A3878,HeadJournal!$A$1:$L$890,COLUMN(HeadJournal!H$1),0),0)</f>
        <v>0.46656372339064722</v>
      </c>
      <c r="P3878" s="30">
        <f>IFERROR(SUM(K3878:O3878)*VLOOKUP($A3878,HeadJournal!$A$1:$L$890,COLUMN(HeadJournal!H$1),0),0)</f>
        <v>701.87749347375939</v>
      </c>
      <c r="Q3878" s="29">
        <v>1800</v>
      </c>
      <c r="R3878" s="31">
        <v>45776</v>
      </c>
      <c r="S3878" s="31" t="s">
        <v>3121</v>
      </c>
      <c r="T3878" s="95" t="str">
        <f t="shared" si="307"/>
        <v>2025 04</v>
      </c>
      <c r="U3878" s="32">
        <f t="shared" si="304"/>
        <v>1098.1225065262406</v>
      </c>
      <c r="V3878" s="22">
        <f t="shared" si="305"/>
        <v>1.5645501055908917</v>
      </c>
      <c r="X3878" s="33"/>
      <c r="Y3878" s="33"/>
    </row>
    <row r="3879" spans="1:25" x14ac:dyDescent="0.2">
      <c r="A3879" s="93" t="s">
        <v>2144</v>
      </c>
      <c r="B3879" s="94" t="str">
        <f>IFERROR(VLOOKUP($A3879,HeadJournal!$A$1:$NTR$890,COLUMN(HeadJournal!B$1),0),"")</f>
        <v>720000392740</v>
      </c>
      <c r="C3879" s="94" t="str">
        <f>IFERROR(VLOOKUP($A3879,HeadJournal!$A$1:$NTR$890,COLUMN(HeadJournal!C$1),0),"")</f>
        <v>iHerb_MH DLE7202</v>
      </c>
      <c r="D3879" s="125" t="str">
        <f>IFERROR(VLOOKUP($A3879,HeadJournal!$A$1:$NTR$890,COLUMN(HeadJournal!D$1),0),"")</f>
        <v>Доставлен</v>
      </c>
      <c r="E3879" s="95">
        <f>IFERROR(VLOOKUP($A3879,HeadJournal!$A$1:$NTR$890,COLUMN(HeadJournal!G$1),0),"")</f>
        <v>45558</v>
      </c>
      <c r="F3879" s="95" t="str">
        <f t="shared" si="306"/>
        <v>2024 09</v>
      </c>
      <c r="G3879" s="97" t="s">
        <v>5</v>
      </c>
      <c r="H3879" s="161" t="s">
        <v>2127</v>
      </c>
      <c r="I3879" s="97" t="s">
        <v>2125</v>
      </c>
      <c r="J3879" s="97" t="s">
        <v>2128</v>
      </c>
      <c r="K3879" s="29">
        <v>9.35</v>
      </c>
      <c r="L3879" s="29">
        <v>-2.6166666666666667</v>
      </c>
      <c r="M3879" s="30">
        <f>IFERROR(VLOOKUP($A3879,HeadJournal!$A$1:$J$890,COLUMN(HeadJournal!I$1),0)*($K3879+$L3879)/(SUMIF($A:$A,$A3879,$K:$K)+SUMIF($A:$A,$A3879,$L:$L)),0)</f>
        <v>-0.42685660275452325</v>
      </c>
      <c r="N3879" s="30">
        <f>IFERROR((VLOOKUP($A3879,HeadJournal!$A$1:$K$890,COLUMN(HeadJournal!K$1),0)-VLOOKUP($A3879,HeadJournal!$A$1:$K$890,COLUMN(HeadJournal!J$1),0))*($K3879+$L3879)/(SUMIF($A:$A,$A3879,$K:$K)+SUMIF($A:$A,$A3879,$L:$L)),0)</f>
        <v>-2.5840243518505751E-15</v>
      </c>
      <c r="O3879" s="30">
        <f>IFERROR((VLOOKUP($A3879,HeadJournal!$A$1:$L$890,COLUMN(HeadJournal!L$1),0)*($K3879+$L3879)/(SUMIF($A:$A,$A3879,$K:$K)+SUMIF($A:$A,$A3879,$L:$L)))/VLOOKUP($A3879,HeadJournal!$A$1:$L$890,COLUMN(HeadJournal!H$1),0),0)</f>
        <v>0.46656372339064722</v>
      </c>
      <c r="P3879" s="30">
        <f>IFERROR(SUM(K3879:O3879)*VLOOKUP($A3879,HeadJournal!$A$1:$L$890,COLUMN(HeadJournal!H$1),0),0)</f>
        <v>701.87749347375939</v>
      </c>
      <c r="Q3879" s="29">
        <v>1600</v>
      </c>
      <c r="R3879" s="31">
        <v>45937</v>
      </c>
      <c r="S3879" s="31"/>
      <c r="T3879" s="95" t="str">
        <f t="shared" si="307"/>
        <v>2025 10</v>
      </c>
      <c r="U3879" s="32">
        <f t="shared" si="304"/>
        <v>898.12250652624061</v>
      </c>
      <c r="V3879" s="22">
        <f t="shared" si="305"/>
        <v>1.2796000938585703</v>
      </c>
      <c r="X3879" s="33"/>
      <c r="Y3879" s="33"/>
    </row>
    <row r="3880" spans="1:25" x14ac:dyDescent="0.2">
      <c r="A3880" s="93" t="s">
        <v>2144</v>
      </c>
      <c r="B3880" s="94" t="str">
        <f>IFERROR(VLOOKUP($A3880,HeadJournal!$A$1:$NTR$890,COLUMN(HeadJournal!B$1),0),"")</f>
        <v>720000392740</v>
      </c>
      <c r="C3880" s="94" t="str">
        <f>IFERROR(VLOOKUP($A3880,HeadJournal!$A$1:$NTR$890,COLUMN(HeadJournal!C$1),0),"")</f>
        <v>iHerb_MH DLE7202</v>
      </c>
      <c r="D3880" s="125" t="str">
        <f>IFERROR(VLOOKUP($A3880,HeadJournal!$A$1:$NTR$890,COLUMN(HeadJournal!D$1),0),"")</f>
        <v>Доставлен</v>
      </c>
      <c r="E3880" s="95">
        <f>IFERROR(VLOOKUP($A3880,HeadJournal!$A$1:$NTR$890,COLUMN(HeadJournal!G$1),0),"")</f>
        <v>45558</v>
      </c>
      <c r="F3880" s="95" t="str">
        <f t="shared" si="306"/>
        <v>2024 09</v>
      </c>
      <c r="G3880" s="97" t="s">
        <v>5</v>
      </c>
      <c r="H3880" s="161" t="s">
        <v>2127</v>
      </c>
      <c r="I3880" s="97" t="s">
        <v>2125</v>
      </c>
      <c r="J3880" s="97" t="s">
        <v>2128</v>
      </c>
      <c r="K3880" s="29">
        <v>9.35</v>
      </c>
      <c r="L3880" s="29">
        <v>-2.6166666666666667</v>
      </c>
      <c r="M3880" s="30">
        <f>IFERROR(VLOOKUP($A3880,HeadJournal!$A$1:$J$890,COLUMN(HeadJournal!I$1),0)*($K3880+$L3880)/(SUMIF($A:$A,$A3880,$K:$K)+SUMIF($A:$A,$A3880,$L:$L)),0)</f>
        <v>-0.42685660275452325</v>
      </c>
      <c r="N3880" s="30">
        <f>IFERROR((VLOOKUP($A3880,HeadJournal!$A$1:$K$890,COLUMN(HeadJournal!K$1),0)-VLOOKUP($A3880,HeadJournal!$A$1:$K$890,COLUMN(HeadJournal!J$1),0))*($K3880+$L3880)/(SUMIF($A:$A,$A3880,$K:$K)+SUMIF($A:$A,$A3880,$L:$L)),0)</f>
        <v>-2.5840243518505751E-15</v>
      </c>
      <c r="O3880" s="30">
        <f>IFERROR((VLOOKUP($A3880,HeadJournal!$A$1:$L$890,COLUMN(HeadJournal!L$1),0)*($K3880+$L3880)/(SUMIF($A:$A,$A3880,$K:$K)+SUMIF($A:$A,$A3880,$L:$L)))/VLOOKUP($A3880,HeadJournal!$A$1:$L$890,COLUMN(HeadJournal!H$1),0),0)</f>
        <v>0.46656372339064722</v>
      </c>
      <c r="P3880" s="30">
        <f>IFERROR(SUM(K3880:O3880)*VLOOKUP($A3880,HeadJournal!$A$1:$L$890,COLUMN(HeadJournal!H$1),0),0)</f>
        <v>701.87749347375939</v>
      </c>
      <c r="Q3880" s="29"/>
      <c r="R3880" s="31"/>
      <c r="S3880" s="31"/>
      <c r="T3880" s="95" t="str">
        <f t="shared" si="307"/>
        <v/>
      </c>
      <c r="U3880" s="32">
        <f t="shared" si="304"/>
        <v>-701.87749347375939</v>
      </c>
      <c r="V3880" s="22" t="str">
        <f t="shared" si="305"/>
        <v/>
      </c>
      <c r="X3880" s="33"/>
      <c r="Y3880" s="33"/>
    </row>
    <row r="3881" spans="1:25" x14ac:dyDescent="0.2">
      <c r="A3881" s="93" t="s">
        <v>2144</v>
      </c>
      <c r="B3881" s="94" t="str">
        <f>IFERROR(VLOOKUP($A3881,HeadJournal!$A$1:$NTR$890,COLUMN(HeadJournal!B$1),0),"")</f>
        <v>720000392740</v>
      </c>
      <c r="C3881" s="94" t="str">
        <f>IFERROR(VLOOKUP($A3881,HeadJournal!$A$1:$NTR$890,COLUMN(HeadJournal!C$1),0),"")</f>
        <v>iHerb_MH DLE7202</v>
      </c>
      <c r="D3881" s="125" t="str">
        <f>IFERROR(VLOOKUP($A3881,HeadJournal!$A$1:$NTR$890,COLUMN(HeadJournal!D$1),0),"")</f>
        <v>Доставлен</v>
      </c>
      <c r="E3881" s="95">
        <f>IFERROR(VLOOKUP($A3881,HeadJournal!$A$1:$NTR$890,COLUMN(HeadJournal!G$1),0),"")</f>
        <v>45558</v>
      </c>
      <c r="F3881" s="95" t="str">
        <f t="shared" si="306"/>
        <v>2024 09</v>
      </c>
      <c r="G3881" s="97" t="s">
        <v>5</v>
      </c>
      <c r="H3881" s="161" t="s">
        <v>2129</v>
      </c>
      <c r="I3881" s="97" t="s">
        <v>2125</v>
      </c>
      <c r="J3881" s="97" t="s">
        <v>2130</v>
      </c>
      <c r="K3881" s="29">
        <v>10.84</v>
      </c>
      <c r="L3881" s="29">
        <v>-3.0350000000000001</v>
      </c>
      <c r="M3881" s="30">
        <f>IFERROR(VLOOKUP($A3881,HeadJournal!$A$1:$J$890,COLUMN(HeadJournal!I$1),0)*($K3881+$L3881)/(SUMIF($A:$A,$A3881,$K:$K)+SUMIF($A:$A,$A3881,$L:$L)),0)</f>
        <v>-0.4947944234404536</v>
      </c>
      <c r="N3881" s="30">
        <f>IFERROR((VLOOKUP($A3881,HeadJournal!$A$1:$K$890,COLUMN(HeadJournal!K$1),0)-VLOOKUP($A3881,HeadJournal!$A$1:$K$890,COLUMN(HeadJournal!J$1),0))*($K3881+$L3881)/(SUMIF($A:$A,$A3881,$K:$K)+SUMIF($A:$A,$A3881,$L:$L)),0)</f>
        <v>-2.9952935741871892E-15</v>
      </c>
      <c r="O3881" s="30">
        <f>IFERROR((VLOOKUP($A3881,HeadJournal!$A$1:$L$890,COLUMN(HeadJournal!L$1),0)*($K3881+$L3881)/(SUMIF($A:$A,$A3881,$K:$K)+SUMIF($A:$A,$A3881,$L:$L)))/VLOOKUP($A3881,HeadJournal!$A$1:$L$890,COLUMN(HeadJournal!H$1),0),0)</f>
        <v>0.54082126649465367</v>
      </c>
      <c r="P3881" s="30">
        <f>IFERROR(SUM(K3881:O3881)*VLOOKUP($A3881,HeadJournal!$A$1:$L$890,COLUMN(HeadJournal!H$1),0),0)</f>
        <v>813.58720344990479</v>
      </c>
      <c r="Q3881" s="29">
        <v>1700</v>
      </c>
      <c r="R3881" s="31">
        <v>45749</v>
      </c>
      <c r="S3881" s="31" t="s">
        <v>3121</v>
      </c>
      <c r="T3881" s="95" t="str">
        <f t="shared" si="307"/>
        <v>2025 04</v>
      </c>
      <c r="U3881" s="32">
        <f t="shared" si="304"/>
        <v>886.41279655009521</v>
      </c>
      <c r="V3881" s="22">
        <f t="shared" si="305"/>
        <v>1.0895117238710041</v>
      </c>
      <c r="X3881" s="33"/>
      <c r="Y3881" s="33"/>
    </row>
    <row r="3882" spans="1:25" x14ac:dyDescent="0.2">
      <c r="A3882" s="93" t="s">
        <v>2144</v>
      </c>
      <c r="B3882" s="94" t="str">
        <f>IFERROR(VLOOKUP($A3882,HeadJournal!$A$1:$NTR$890,COLUMN(HeadJournal!B$1),0),"")</f>
        <v>720000392740</v>
      </c>
      <c r="C3882" s="94" t="str">
        <f>IFERROR(VLOOKUP($A3882,HeadJournal!$A$1:$NTR$890,COLUMN(HeadJournal!C$1),0),"")</f>
        <v>iHerb_MH DLE7202</v>
      </c>
      <c r="D3882" s="125" t="str">
        <f>IFERROR(VLOOKUP($A3882,HeadJournal!$A$1:$NTR$890,COLUMN(HeadJournal!D$1),0),"")</f>
        <v>Доставлен</v>
      </c>
      <c r="E3882" s="95">
        <f>IFERROR(VLOOKUP($A3882,HeadJournal!$A$1:$NTR$890,COLUMN(HeadJournal!G$1),0),"")</f>
        <v>45558</v>
      </c>
      <c r="F3882" s="95" t="str">
        <f t="shared" si="306"/>
        <v>2024 09</v>
      </c>
      <c r="G3882" s="97" t="s">
        <v>5</v>
      </c>
      <c r="H3882" s="161" t="s">
        <v>2129</v>
      </c>
      <c r="I3882" s="97" t="s">
        <v>2125</v>
      </c>
      <c r="J3882" s="97" t="s">
        <v>2130</v>
      </c>
      <c r="K3882" s="29">
        <v>10.84</v>
      </c>
      <c r="L3882" s="29">
        <v>-3.0350000000000001</v>
      </c>
      <c r="M3882" s="30">
        <f>IFERROR(VLOOKUP($A3882,HeadJournal!$A$1:$J$890,COLUMN(HeadJournal!I$1),0)*($K3882+$L3882)/(SUMIF($A:$A,$A3882,$K:$K)+SUMIF($A:$A,$A3882,$L:$L)),0)</f>
        <v>-0.4947944234404536</v>
      </c>
      <c r="N3882" s="30">
        <f>IFERROR((VLOOKUP($A3882,HeadJournal!$A$1:$K$890,COLUMN(HeadJournal!K$1),0)-VLOOKUP($A3882,HeadJournal!$A$1:$K$890,COLUMN(HeadJournal!J$1),0))*($K3882+$L3882)/(SUMIF($A:$A,$A3882,$K:$K)+SUMIF($A:$A,$A3882,$L:$L)),0)</f>
        <v>-2.9952935741871892E-15</v>
      </c>
      <c r="O3882" s="30">
        <f>IFERROR((VLOOKUP($A3882,HeadJournal!$A$1:$L$890,COLUMN(HeadJournal!L$1),0)*($K3882+$L3882)/(SUMIF($A:$A,$A3882,$K:$K)+SUMIF($A:$A,$A3882,$L:$L)))/VLOOKUP($A3882,HeadJournal!$A$1:$L$890,COLUMN(HeadJournal!H$1),0),0)</f>
        <v>0.54082126649465367</v>
      </c>
      <c r="P3882" s="30">
        <f>IFERROR(SUM(K3882:O3882)*VLOOKUP($A3882,HeadJournal!$A$1:$L$890,COLUMN(HeadJournal!H$1),0),0)</f>
        <v>813.58720344990479</v>
      </c>
      <c r="Q3882" s="29">
        <v>1800</v>
      </c>
      <c r="R3882" s="31">
        <v>45750</v>
      </c>
      <c r="S3882" s="31" t="s">
        <v>3121</v>
      </c>
      <c r="T3882" s="95" t="str">
        <f t="shared" si="307"/>
        <v>2025 04</v>
      </c>
      <c r="U3882" s="32">
        <f t="shared" si="304"/>
        <v>986.41279655009521</v>
      </c>
      <c r="V3882" s="22">
        <f t="shared" si="305"/>
        <v>1.2124241782163574</v>
      </c>
      <c r="X3882" s="33"/>
      <c r="Y3882" s="33"/>
    </row>
    <row r="3883" spans="1:25" x14ac:dyDescent="0.2">
      <c r="A3883" s="93" t="s">
        <v>2144</v>
      </c>
      <c r="B3883" s="94" t="str">
        <f>IFERROR(VLOOKUP($A3883,HeadJournal!$A$1:$NTR$890,COLUMN(HeadJournal!B$1),0),"")</f>
        <v>720000392740</v>
      </c>
      <c r="C3883" s="94" t="str">
        <f>IFERROR(VLOOKUP($A3883,HeadJournal!$A$1:$NTR$890,COLUMN(HeadJournal!C$1),0),"")</f>
        <v>iHerb_MH DLE7202</v>
      </c>
      <c r="D3883" s="125" t="str">
        <f>IFERROR(VLOOKUP($A3883,HeadJournal!$A$1:$NTR$890,COLUMN(HeadJournal!D$1),0),"")</f>
        <v>Доставлен</v>
      </c>
      <c r="E3883" s="95">
        <f>IFERROR(VLOOKUP($A3883,HeadJournal!$A$1:$NTR$890,COLUMN(HeadJournal!G$1),0),"")</f>
        <v>45558</v>
      </c>
      <c r="F3883" s="95" t="str">
        <f t="shared" si="306"/>
        <v>2024 09</v>
      </c>
      <c r="G3883" s="97" t="s">
        <v>7</v>
      </c>
      <c r="H3883" s="161" t="s">
        <v>2131</v>
      </c>
      <c r="I3883" s="97" t="s">
        <v>2125</v>
      </c>
      <c r="J3883" s="97" t="s">
        <v>2132</v>
      </c>
      <c r="K3883" s="29">
        <v>6.07</v>
      </c>
      <c r="L3883" s="29">
        <v>-1.7</v>
      </c>
      <c r="M3883" s="30">
        <f>IFERROR(VLOOKUP($A3883,HeadJournal!$A$1:$J$890,COLUMN(HeadJournal!I$1),0)*($K3883+$L3883)/(SUMIF($A:$A,$A3883,$K:$K)+SUMIF($A:$A,$A3883,$L:$L)),0)</f>
        <v>-0.27703416149068316</v>
      </c>
      <c r="N3883" s="30">
        <f>IFERROR((VLOOKUP($A3883,HeadJournal!$A$1:$K$890,COLUMN(HeadJournal!K$1),0)-VLOOKUP($A3883,HeadJournal!$A$1:$K$890,COLUMN(HeadJournal!J$1),0))*($K3883+$L3883)/(SUMIF($A:$A,$A3883,$K:$K)+SUMIF($A:$A,$A3883,$L:$L)),0)</f>
        <v>-1.6770573887505466E-15</v>
      </c>
      <c r="O3883" s="30">
        <f>IFERROR((VLOOKUP($A3883,HeadJournal!$A$1:$L$890,COLUMN(HeadJournal!L$1),0)*($K3883+$L3883)/(SUMIF($A:$A,$A3883,$K:$K)+SUMIF($A:$A,$A3883,$L:$L)))/VLOOKUP($A3883,HeadJournal!$A$1:$L$890,COLUMN(HeadJournal!H$1),0),0)</f>
        <v>0.30280447592333598</v>
      </c>
      <c r="P3883" s="30">
        <f>IFERROR(SUM(K3883:O3883)*VLOOKUP($A3883,HeadJournal!$A$1:$L$890,COLUMN(HeadJournal!H$1),0),0)</f>
        <v>455.52544254658352</v>
      </c>
      <c r="Q3883" s="29">
        <v>1000</v>
      </c>
      <c r="R3883" s="31">
        <v>45593</v>
      </c>
      <c r="S3883" s="31" t="s">
        <v>3121</v>
      </c>
      <c r="T3883" s="95" t="str">
        <f t="shared" si="307"/>
        <v>2024 10</v>
      </c>
      <c r="U3883" s="32">
        <f t="shared" si="304"/>
        <v>544.47455745341654</v>
      </c>
      <c r="V3883" s="22">
        <f t="shared" si="305"/>
        <v>1.1952670621635735</v>
      </c>
      <c r="X3883" s="33"/>
      <c r="Y3883" s="33"/>
    </row>
    <row r="3884" spans="1:25" x14ac:dyDescent="0.2">
      <c r="A3884" s="93" t="s">
        <v>2144</v>
      </c>
      <c r="B3884" s="94" t="str">
        <f>IFERROR(VLOOKUP($A3884,HeadJournal!$A$1:$NTR$890,COLUMN(HeadJournal!B$1),0),"")</f>
        <v>720000392740</v>
      </c>
      <c r="C3884" s="94" t="str">
        <f>IFERROR(VLOOKUP($A3884,HeadJournal!$A$1:$NTR$890,COLUMN(HeadJournal!C$1),0),"")</f>
        <v>iHerb_MH DLE7202</v>
      </c>
      <c r="D3884" s="125" t="str">
        <f>IFERROR(VLOOKUP($A3884,HeadJournal!$A$1:$NTR$890,COLUMN(HeadJournal!D$1),0),"")</f>
        <v>Доставлен</v>
      </c>
      <c r="E3884" s="95">
        <f>IFERROR(VLOOKUP($A3884,HeadJournal!$A$1:$NTR$890,COLUMN(HeadJournal!G$1),0),"")</f>
        <v>45558</v>
      </c>
      <c r="F3884" s="95" t="str">
        <f t="shared" si="306"/>
        <v>2024 09</v>
      </c>
      <c r="G3884" s="97" t="s">
        <v>7</v>
      </c>
      <c r="H3884" s="161" t="s">
        <v>2133</v>
      </c>
      <c r="I3884" s="97" t="s">
        <v>2125</v>
      </c>
      <c r="J3884" s="97" t="s">
        <v>2134</v>
      </c>
      <c r="K3884" s="29">
        <v>6.07</v>
      </c>
      <c r="L3884" s="29">
        <v>-1.7</v>
      </c>
      <c r="M3884" s="30">
        <f>IFERROR(VLOOKUP($A3884,HeadJournal!$A$1:$J$890,COLUMN(HeadJournal!I$1),0)*($K3884+$L3884)/(SUMIF($A:$A,$A3884,$K:$K)+SUMIF($A:$A,$A3884,$L:$L)),0)</f>
        <v>-0.27703416149068316</v>
      </c>
      <c r="N3884" s="30">
        <f>IFERROR((VLOOKUP($A3884,HeadJournal!$A$1:$K$890,COLUMN(HeadJournal!K$1),0)-VLOOKUP($A3884,HeadJournal!$A$1:$K$890,COLUMN(HeadJournal!J$1),0))*($K3884+$L3884)/(SUMIF($A:$A,$A3884,$K:$K)+SUMIF($A:$A,$A3884,$L:$L)),0)</f>
        <v>-1.6770573887505466E-15</v>
      </c>
      <c r="O3884" s="30">
        <f>IFERROR((VLOOKUP($A3884,HeadJournal!$A$1:$L$890,COLUMN(HeadJournal!L$1),0)*($K3884+$L3884)/(SUMIF($A:$A,$A3884,$K:$K)+SUMIF($A:$A,$A3884,$L:$L)))/VLOOKUP($A3884,HeadJournal!$A$1:$L$890,COLUMN(HeadJournal!H$1),0),0)</f>
        <v>0.30280447592333598</v>
      </c>
      <c r="P3884" s="30">
        <f>IFERROR(SUM(K3884:O3884)*VLOOKUP($A3884,HeadJournal!$A$1:$L$890,COLUMN(HeadJournal!H$1),0),0)</f>
        <v>455.52544254658352</v>
      </c>
      <c r="Q3884" s="29"/>
      <c r="R3884" s="31"/>
      <c r="S3884" s="31"/>
      <c r="T3884" s="95" t="str">
        <f t="shared" si="307"/>
        <v/>
      </c>
      <c r="U3884" s="32">
        <f t="shared" si="304"/>
        <v>-455.52544254658352</v>
      </c>
      <c r="V3884" s="22" t="str">
        <f t="shared" si="305"/>
        <v/>
      </c>
      <c r="X3884" s="33"/>
      <c r="Y3884" s="33"/>
    </row>
    <row r="3885" spans="1:25" x14ac:dyDescent="0.2">
      <c r="A3885" s="93" t="s">
        <v>2144</v>
      </c>
      <c r="B3885" s="94" t="str">
        <f>IFERROR(VLOOKUP($A3885,HeadJournal!$A$1:$NTR$890,COLUMN(HeadJournal!B$1),0),"")</f>
        <v>720000392740</v>
      </c>
      <c r="C3885" s="94" t="str">
        <f>IFERROR(VLOOKUP($A3885,HeadJournal!$A$1:$NTR$890,COLUMN(HeadJournal!C$1),0),"")</f>
        <v>iHerb_MH DLE7202</v>
      </c>
      <c r="D3885" s="125" t="str">
        <f>IFERROR(VLOOKUP($A3885,HeadJournal!$A$1:$NTR$890,COLUMN(HeadJournal!D$1),0),"")</f>
        <v>Доставлен</v>
      </c>
      <c r="E3885" s="95">
        <f>IFERROR(VLOOKUP($A3885,HeadJournal!$A$1:$NTR$890,COLUMN(HeadJournal!G$1),0),"")</f>
        <v>45558</v>
      </c>
      <c r="F3885" s="95" t="str">
        <f t="shared" si="306"/>
        <v>2024 09</v>
      </c>
      <c r="G3885" s="97" t="s">
        <v>5</v>
      </c>
      <c r="H3885" s="161" t="s">
        <v>2135</v>
      </c>
      <c r="I3885" s="97" t="s">
        <v>2125</v>
      </c>
      <c r="J3885" s="97" t="s">
        <v>2136</v>
      </c>
      <c r="K3885" s="29">
        <v>23.34</v>
      </c>
      <c r="L3885" s="29">
        <v>-6.54</v>
      </c>
      <c r="M3885" s="30">
        <f>IFERROR(VLOOKUP($A3885,HeadJournal!$A$1:$J$890,COLUMN(HeadJournal!I$1),0)*($K3885+$L3885)/(SUMIF($A:$A,$A3885,$K:$K)+SUMIF($A:$A,$A3885,$L:$L)),0)</f>
        <v>-1.0650283553875235</v>
      </c>
      <c r="N3885" s="30">
        <f>IFERROR((VLOOKUP($A3885,HeadJournal!$A$1:$K$890,COLUMN(HeadJournal!K$1),0)-VLOOKUP($A3885,HeadJournal!$A$1:$K$890,COLUMN(HeadJournal!J$1),0))*($K3885+$L3885)/(SUMIF($A:$A,$A3885,$K:$K)+SUMIF($A:$A,$A3885,$L:$L)),0)</f>
        <v>-6.4472686798648016E-15</v>
      </c>
      <c r="O3885" s="30">
        <f>IFERROR((VLOOKUP($A3885,HeadJournal!$A$1:$L$890,COLUMN(HeadJournal!L$1),0)*($K3885+$L3885)/(SUMIF($A:$A,$A3885,$K:$K)+SUMIF($A:$A,$A3885,$L:$L)))/VLOOKUP($A3885,HeadJournal!$A$1:$L$890,COLUMN(HeadJournal!H$1),0),0)</f>
        <v>1.1640995870736945</v>
      </c>
      <c r="P3885" s="30">
        <f>IFERROR(SUM(K3885:O3885)*VLOOKUP($A3885,HeadJournal!$A$1:$L$890,COLUMN(HeadJournal!H$1),0),0)</f>
        <v>1751.219092627598</v>
      </c>
      <c r="Q3885" s="29">
        <v>3100</v>
      </c>
      <c r="R3885" s="31">
        <v>45776</v>
      </c>
      <c r="S3885" s="31" t="s">
        <v>3121</v>
      </c>
      <c r="T3885" s="95" t="str">
        <f t="shared" si="307"/>
        <v>2025 04</v>
      </c>
      <c r="U3885" s="32">
        <f t="shared" si="304"/>
        <v>1348.780907372402</v>
      </c>
      <c r="V3885" s="22">
        <f t="shared" si="305"/>
        <v>0.77019541018630522</v>
      </c>
      <c r="X3885" s="33"/>
      <c r="Y3885" s="33"/>
    </row>
    <row r="3886" spans="1:25" x14ac:dyDescent="0.2">
      <c r="A3886" s="93" t="s">
        <v>2144</v>
      </c>
      <c r="B3886" s="94" t="str">
        <f>IFERROR(VLOOKUP($A3886,HeadJournal!$A$1:$NTR$890,COLUMN(HeadJournal!B$1),0),"")</f>
        <v>720000392740</v>
      </c>
      <c r="C3886" s="94" t="str">
        <f>IFERROR(VLOOKUP($A3886,HeadJournal!$A$1:$NTR$890,COLUMN(HeadJournal!C$1),0),"")</f>
        <v>iHerb_MH DLE7202</v>
      </c>
      <c r="D3886" s="125" t="str">
        <f>IFERROR(VLOOKUP($A3886,HeadJournal!$A$1:$NTR$890,COLUMN(HeadJournal!D$1),0),"")</f>
        <v>Доставлен</v>
      </c>
      <c r="E3886" s="95">
        <f>IFERROR(VLOOKUP($A3886,HeadJournal!$A$1:$NTR$890,COLUMN(HeadJournal!G$1),0),"")</f>
        <v>45558</v>
      </c>
      <c r="F3886" s="95" t="str">
        <f t="shared" si="306"/>
        <v>2024 09</v>
      </c>
      <c r="G3886" s="97" t="s">
        <v>5</v>
      </c>
      <c r="H3886" s="161" t="s">
        <v>2137</v>
      </c>
      <c r="I3886" s="97" t="s">
        <v>2125</v>
      </c>
      <c r="J3886" s="97" t="s">
        <v>2138</v>
      </c>
      <c r="K3886" s="29">
        <v>21.43</v>
      </c>
      <c r="L3886" s="29">
        <v>-6</v>
      </c>
      <c r="M3886" s="30">
        <f>IFERROR(VLOOKUP($A3886,HeadJournal!$A$1:$J$890,COLUMN(HeadJournal!I$1),0)*($K3886+$L3886)/(SUMIF($A:$A,$A3886,$K:$K)+SUMIF($A:$A,$A3886,$L:$L)),0)</f>
        <v>-0.97817782878746939</v>
      </c>
      <c r="N3886" s="30">
        <f>IFERROR((VLOOKUP($A3886,HeadJournal!$A$1:$K$890,COLUMN(HeadJournal!K$1),0)-VLOOKUP($A3886,HeadJournal!$A$1:$K$890,COLUMN(HeadJournal!J$1),0))*($K3886+$L3886)/(SUMIF($A:$A,$A3886,$K:$K)+SUMIF($A:$A,$A3886,$L:$L)),0)</f>
        <v>-5.9215092696615412E-15</v>
      </c>
      <c r="O3886" s="30">
        <f>IFERROR((VLOOKUP($A3886,HeadJournal!$A$1:$L$890,COLUMN(HeadJournal!L$1),0)*($K3886+$L3886)/(SUMIF($A:$A,$A3886,$K:$K)+SUMIF($A:$A,$A3886,$L:$L)))/VLOOKUP($A3886,HeadJournal!$A$1:$L$890,COLUMN(HeadJournal!H$1),0),0)</f>
        <v>1.069170037413518</v>
      </c>
      <c r="P3886" s="30">
        <f>IFERROR(SUM(K3886:O3886)*VLOOKUP($A3886,HeadJournal!$A$1:$L$890,COLUMN(HeadJournal!H$1),0),0)</f>
        <v>1608.4113451930855</v>
      </c>
      <c r="Q3886" s="29">
        <v>2800</v>
      </c>
      <c r="R3886" s="31">
        <v>46032</v>
      </c>
      <c r="S3886" s="31" t="s">
        <v>4987</v>
      </c>
      <c r="T3886" s="95" t="str">
        <f t="shared" si="307"/>
        <v>2026 01</v>
      </c>
      <c r="U3886" s="32">
        <f t="shared" si="304"/>
        <v>1191.5886548069145</v>
      </c>
      <c r="V3886" s="22">
        <f t="shared" si="305"/>
        <v>0.74084820302226073</v>
      </c>
      <c r="X3886" s="33"/>
      <c r="Y3886" s="33"/>
    </row>
    <row r="3887" spans="1:25" x14ac:dyDescent="0.2">
      <c r="A3887" s="93" t="s">
        <v>2144</v>
      </c>
      <c r="B3887" s="94" t="str">
        <f>IFERROR(VLOOKUP($A3887,HeadJournal!$A$1:$NTR$890,COLUMN(HeadJournal!B$1),0),"")</f>
        <v>720000392740</v>
      </c>
      <c r="C3887" s="94" t="str">
        <f>IFERROR(VLOOKUP($A3887,HeadJournal!$A$1:$NTR$890,COLUMN(HeadJournal!C$1),0),"")</f>
        <v>iHerb_MH DLE7202</v>
      </c>
      <c r="D3887" s="125" t="str">
        <f>IFERROR(VLOOKUP($A3887,HeadJournal!$A$1:$NTR$890,COLUMN(HeadJournal!D$1),0),"")</f>
        <v>Доставлен</v>
      </c>
      <c r="E3887" s="95">
        <f>IFERROR(VLOOKUP($A3887,HeadJournal!$A$1:$NTR$890,COLUMN(HeadJournal!G$1),0),"")</f>
        <v>45558</v>
      </c>
      <c r="F3887" s="95" t="str">
        <f t="shared" si="306"/>
        <v>2024 09</v>
      </c>
      <c r="G3887" s="97" t="s">
        <v>5</v>
      </c>
      <c r="H3887" s="161" t="s">
        <v>2139</v>
      </c>
      <c r="I3887" s="97" t="s">
        <v>2125</v>
      </c>
      <c r="J3887" s="97" t="s">
        <v>2140</v>
      </c>
      <c r="K3887" s="29">
        <v>55.15</v>
      </c>
      <c r="L3887" s="29">
        <v>-15.44</v>
      </c>
      <c r="M3887" s="30">
        <f>IFERROR(VLOOKUP($A3887,HeadJournal!$A$1:$J$890,COLUMN(HeadJournal!I$1),0)*($K3887+$L3887)/(SUMIF($A:$A,$A3887,$K:$K)+SUMIF($A:$A,$A3887,$L:$L)),0)</f>
        <v>-2.5173973805022949</v>
      </c>
      <c r="N3887" s="30">
        <f>IFERROR((VLOOKUP($A3887,HeadJournal!$A$1:$K$890,COLUMN(HeadJournal!K$1),0)-VLOOKUP($A3887,HeadJournal!$A$1:$K$890,COLUMN(HeadJournal!J$1),0))*($K3887+$L3887)/(SUMIF($A:$A,$A3887,$K:$K)+SUMIF($A:$A,$A3887,$L:$L)),0)</f>
        <v>-1.5239347576037578E-14</v>
      </c>
      <c r="O3887" s="30">
        <f>IFERROR((VLOOKUP($A3887,HeadJournal!$A$1:$L$890,COLUMN(HeadJournal!L$1),0)*($K3887+$L3887)/(SUMIF($A:$A,$A3887,$K:$K)+SUMIF($A:$A,$A3887,$L:$L)))/VLOOKUP($A3887,HeadJournal!$A$1:$L$890,COLUMN(HeadJournal!H$1),0),0)</f>
        <v>2.7515711073033575</v>
      </c>
      <c r="P3887" s="30">
        <f>IFERROR(SUM(K3887:O3887)*VLOOKUP($A3887,HeadJournal!$A$1:$L$890,COLUMN(HeadJournal!H$1),0),0)</f>
        <v>4139.3398909667803</v>
      </c>
      <c r="Q3887" s="29">
        <v>4139.34</v>
      </c>
      <c r="R3887" s="31"/>
      <c r="S3887" s="31"/>
      <c r="T3887" s="95" t="str">
        <f t="shared" si="307"/>
        <v/>
      </c>
      <c r="U3887" s="32">
        <f t="shared" si="304"/>
        <v>1.0903321981459158E-4</v>
      </c>
      <c r="V3887" s="22">
        <f t="shared" si="305"/>
        <v>2.6340726465234986E-8</v>
      </c>
      <c r="X3887" s="33"/>
      <c r="Y3887" s="33"/>
    </row>
    <row r="3888" spans="1:25" x14ac:dyDescent="0.2">
      <c r="A3888" s="93" t="s">
        <v>2144</v>
      </c>
      <c r="B3888" s="94" t="str">
        <f>IFERROR(VLOOKUP($A3888,HeadJournal!$A$1:$NTR$890,COLUMN(HeadJournal!B$1),0),"")</f>
        <v>720000392740</v>
      </c>
      <c r="C3888" s="94" t="str">
        <f>IFERROR(VLOOKUP($A3888,HeadJournal!$A$1:$NTR$890,COLUMN(HeadJournal!C$1),0),"")</f>
        <v>iHerb_MH DLE7202</v>
      </c>
      <c r="D3888" s="125" t="str">
        <f>IFERROR(VLOOKUP($A3888,HeadJournal!$A$1:$NTR$890,COLUMN(HeadJournal!D$1),0),"")</f>
        <v>Доставлен</v>
      </c>
      <c r="E3888" s="95">
        <f>IFERROR(VLOOKUP($A3888,HeadJournal!$A$1:$NTR$890,COLUMN(HeadJournal!G$1),0),"")</f>
        <v>45558</v>
      </c>
      <c r="F3888" s="95" t="str">
        <f t="shared" si="306"/>
        <v>2024 09</v>
      </c>
      <c r="G3888" s="97" t="s">
        <v>7</v>
      </c>
      <c r="H3888" s="161" t="s">
        <v>2141</v>
      </c>
      <c r="I3888" s="97" t="s">
        <v>2142</v>
      </c>
      <c r="J3888" s="97" t="s">
        <v>2143</v>
      </c>
      <c r="K3888" s="29">
        <v>4.8</v>
      </c>
      <c r="L3888" s="29">
        <v>-2.65</v>
      </c>
      <c r="M3888" s="30">
        <f>IFERROR(VLOOKUP($A3888,HeadJournal!$A$1:$J$890,COLUMN(HeadJournal!I$1),0)*($K3888+$L3888)/(SUMIF($A:$A,$A3888,$K:$K)+SUMIF($A:$A,$A3888,$L:$L)),0)</f>
        <v>-0.13629827167161759</v>
      </c>
      <c r="N3888" s="30">
        <f>IFERROR((VLOOKUP($A3888,HeadJournal!$A$1:$K$890,COLUMN(HeadJournal!K$1),0)-VLOOKUP($A3888,HeadJournal!$A$1:$K$890,COLUMN(HeadJournal!J$1),0))*($K3888+$L3888)/(SUMIF($A:$A,$A3888,$K:$K)+SUMIF($A:$A,$A3888,$L:$L)),0)</f>
        <v>-8.2509688462555495E-16</v>
      </c>
      <c r="O3888" s="30">
        <f>IFERROR((VLOOKUP($A3888,HeadJournal!$A$1:$L$890,COLUMN(HeadJournal!L$1),0)*($K3888+$L3888)/(SUMIF($A:$A,$A3888,$K:$K)+SUMIF($A:$A,$A3888,$L:$L)))/VLOOKUP($A3888,HeadJournal!$A$1:$L$890,COLUMN(HeadJournal!H$1),0),0)</f>
        <v>0.14897703048859778</v>
      </c>
      <c r="P3888" s="30">
        <f>IFERROR(SUM(K3888:O3888)*VLOOKUP($A3888,HeadJournal!$A$1:$L$890,COLUMN(HeadJournal!H$1),0),0)</f>
        <v>224.1143481636509</v>
      </c>
      <c r="Q3888" s="29"/>
      <c r="R3888" s="31"/>
      <c r="S3888" s="31"/>
      <c r="T3888" s="95" t="str">
        <f t="shared" si="307"/>
        <v/>
      </c>
      <c r="U3888" s="32">
        <f t="shared" si="304"/>
        <v>-224.1143481636509</v>
      </c>
      <c r="V3888" s="22" t="str">
        <f t="shared" si="305"/>
        <v/>
      </c>
      <c r="X3888" s="33"/>
      <c r="Y3888" s="33"/>
    </row>
    <row r="3889" spans="1:25" x14ac:dyDescent="0.2">
      <c r="A3889" s="93" t="s">
        <v>2172</v>
      </c>
      <c r="B3889" s="94" t="str">
        <f>IFERROR(VLOOKUP($A3889,HeadJournal!$A$1:$NTR$890,COLUMN(HeadJournal!B$1),0),"")</f>
        <v>720000415326</v>
      </c>
      <c r="C3889" s="94" t="str">
        <f>IFERROR(VLOOKUP($A3889,HeadJournal!$A$1:$NTR$890,COLUMN(HeadJournal!C$1),0),"")</f>
        <v>iHerb_MH DLE7202</v>
      </c>
      <c r="D3889" s="125" t="str">
        <f>IFERROR(VLOOKUP($A3889,HeadJournal!$A$1:$NTR$890,COLUMN(HeadJournal!D$1),0),"")</f>
        <v>Доставлен</v>
      </c>
      <c r="E3889" s="95">
        <f>IFERROR(VLOOKUP($A3889,HeadJournal!$A$1:$NTR$890,COLUMN(HeadJournal!G$1),0),"")</f>
        <v>45563</v>
      </c>
      <c r="F3889" s="95" t="str">
        <f t="shared" si="306"/>
        <v>2024 09</v>
      </c>
      <c r="G3889" s="97" t="s">
        <v>5</v>
      </c>
      <c r="H3889" s="161" t="s">
        <v>2146</v>
      </c>
      <c r="I3889" s="97" t="s">
        <v>2147</v>
      </c>
      <c r="J3889" s="97" t="s">
        <v>2148</v>
      </c>
      <c r="K3889" s="29">
        <v>29.93</v>
      </c>
      <c r="L3889" s="29">
        <v>-8.3800000000000008</v>
      </c>
      <c r="M3889" s="30">
        <f>IFERROR(VLOOKUP($A3889,HeadJournal!$A$1:$J$890,COLUMN(HeadJournal!I$1),0)*($K3889+$L3889)/(SUMIF($A:$A,$A3889,$K:$K)+SUMIF($A:$A,$A3889,$L:$L)),0)</f>
        <v>0</v>
      </c>
      <c r="N3889" s="30">
        <f>IFERROR((VLOOKUP($A3889,HeadJournal!$A$1:$K$890,COLUMN(HeadJournal!K$1),0)-VLOOKUP($A3889,HeadJournal!$A$1:$K$890,COLUMN(HeadJournal!J$1),0))*($K3889+$L3889)/(SUMIF($A:$A,$A3889,$K:$K)+SUMIF($A:$A,$A3889,$L:$L)),0)</f>
        <v>-6.2501947877463757E-15</v>
      </c>
      <c r="O3889" s="30">
        <f>IFERROR((VLOOKUP($A3889,HeadJournal!$A$1:$L$890,COLUMN(HeadJournal!L$1),0)*($K3889+$L3889)/(SUMIF($A:$A,$A3889,$K:$K)+SUMIF($A:$A,$A3889,$L:$L)))/VLOOKUP($A3889,HeadJournal!$A$1:$L$890,COLUMN(HeadJournal!H$1),0),0)</f>
        <v>1.135508813223278</v>
      </c>
      <c r="P3889" s="30">
        <f>IFERROR(SUM(K3889:O3889)*VLOOKUP($A3889,HeadJournal!$A$1:$L$890,COLUMN(HeadJournal!H$1),0),0)</f>
        <v>2336.3805410990335</v>
      </c>
      <c r="Q3889" s="29">
        <v>3300</v>
      </c>
      <c r="R3889" s="31">
        <v>46003</v>
      </c>
      <c r="S3889" s="31" t="s">
        <v>3206</v>
      </c>
      <c r="T3889" s="95" t="str">
        <f t="shared" si="307"/>
        <v>2025 12</v>
      </c>
      <c r="U3889" s="32">
        <f t="shared" si="304"/>
        <v>963.61945890096649</v>
      </c>
      <c r="V3889" s="22">
        <f t="shared" si="305"/>
        <v>0.41244114216414413</v>
      </c>
      <c r="X3889" s="33"/>
      <c r="Y3889" s="33"/>
    </row>
    <row r="3890" spans="1:25" x14ac:dyDescent="0.2">
      <c r="A3890" s="93" t="s">
        <v>2172</v>
      </c>
      <c r="B3890" s="94" t="str">
        <f>IFERROR(VLOOKUP($A3890,HeadJournal!$A$1:$NTR$890,COLUMN(HeadJournal!B$1),0),"")</f>
        <v>720000415326</v>
      </c>
      <c r="C3890" s="94" t="str">
        <f>IFERROR(VLOOKUP($A3890,HeadJournal!$A$1:$NTR$890,COLUMN(HeadJournal!C$1),0),"")</f>
        <v>iHerb_MH DLE7202</v>
      </c>
      <c r="D3890" s="125" t="str">
        <f>IFERROR(VLOOKUP($A3890,HeadJournal!$A$1:$NTR$890,COLUMN(HeadJournal!D$1),0),"")</f>
        <v>Доставлен</v>
      </c>
      <c r="E3890" s="95">
        <f>IFERROR(VLOOKUP($A3890,HeadJournal!$A$1:$NTR$890,COLUMN(HeadJournal!G$1),0),"")</f>
        <v>45563</v>
      </c>
      <c r="F3890" s="95" t="str">
        <f t="shared" si="306"/>
        <v>2024 09</v>
      </c>
      <c r="G3890" s="97" t="s">
        <v>5</v>
      </c>
      <c r="H3890" s="161" t="s">
        <v>2149</v>
      </c>
      <c r="I3890" s="97" t="s">
        <v>2150</v>
      </c>
      <c r="J3890" s="97" t="s">
        <v>2151</v>
      </c>
      <c r="K3890" s="29">
        <v>24.22</v>
      </c>
      <c r="L3890" s="29">
        <v>-6.78</v>
      </c>
      <c r="M3890" s="30">
        <f>IFERROR(VLOOKUP($A3890,HeadJournal!$A$1:$J$890,COLUMN(HeadJournal!I$1),0)*($K3890+$L3890)/(SUMIF($A:$A,$A3890,$K:$K)+SUMIF($A:$A,$A3890,$L:$L)),0)</f>
        <v>0</v>
      </c>
      <c r="N3890" s="30">
        <f>IFERROR((VLOOKUP($A3890,HeadJournal!$A$1:$K$890,COLUMN(HeadJournal!K$1),0)-VLOOKUP($A3890,HeadJournal!$A$1:$K$890,COLUMN(HeadJournal!J$1),0))*($K3890+$L3890)/(SUMIF($A:$A,$A3890,$K:$K)+SUMIF($A:$A,$A3890,$L:$L)),0)</f>
        <v>-5.0581622783432388E-15</v>
      </c>
      <c r="O3890" s="30">
        <f>IFERROR((VLOOKUP($A3890,HeadJournal!$A$1:$L$890,COLUMN(HeadJournal!L$1),0)*($K3890+$L3890)/(SUMIF($A:$A,$A3890,$K:$K)+SUMIF($A:$A,$A3890,$L:$L)))/VLOOKUP($A3890,HeadJournal!$A$1:$L$890,COLUMN(HeadJournal!H$1),0),0)</f>
        <v>0.91894541543452302</v>
      </c>
      <c r="P3890" s="30">
        <f>IFERROR(SUM(K3890:O3890)*VLOOKUP($A3890,HeadJournal!$A$1:$L$890,COLUMN(HeadJournal!H$1),0),0)</f>
        <v>1890.7877789683132</v>
      </c>
      <c r="Q3890" s="29">
        <v>3200</v>
      </c>
      <c r="R3890" s="31">
        <v>45710</v>
      </c>
      <c r="S3890" s="31" t="s">
        <v>3121</v>
      </c>
      <c r="T3890" s="95" t="str">
        <f t="shared" si="307"/>
        <v>2025 02</v>
      </c>
      <c r="U3890" s="32">
        <f t="shared" si="304"/>
        <v>1309.2122210316868</v>
      </c>
      <c r="V3890" s="22">
        <f t="shared" si="305"/>
        <v>0.69241626987140958</v>
      </c>
      <c r="X3890" s="33"/>
      <c r="Y3890" s="33"/>
    </row>
    <row r="3891" spans="1:25" x14ac:dyDescent="0.2">
      <c r="A3891" s="93" t="s">
        <v>2172</v>
      </c>
      <c r="B3891" s="94" t="str">
        <f>IFERROR(VLOOKUP($A3891,HeadJournal!$A$1:$NTR$890,COLUMN(HeadJournal!B$1),0),"")</f>
        <v>720000415326</v>
      </c>
      <c r="C3891" s="94" t="str">
        <f>IFERROR(VLOOKUP($A3891,HeadJournal!$A$1:$NTR$890,COLUMN(HeadJournal!C$1),0),"")</f>
        <v>iHerb_MH DLE7202</v>
      </c>
      <c r="D3891" s="125" t="str">
        <f>IFERROR(VLOOKUP($A3891,HeadJournal!$A$1:$NTR$890,COLUMN(HeadJournal!D$1),0),"")</f>
        <v>Доставлен</v>
      </c>
      <c r="E3891" s="95">
        <f>IFERROR(VLOOKUP($A3891,HeadJournal!$A$1:$NTR$890,COLUMN(HeadJournal!G$1),0),"")</f>
        <v>45563</v>
      </c>
      <c r="F3891" s="95" t="str">
        <f t="shared" si="306"/>
        <v>2024 09</v>
      </c>
      <c r="G3891" s="97" t="s">
        <v>7</v>
      </c>
      <c r="H3891" s="161" t="s">
        <v>2152</v>
      </c>
      <c r="I3891" s="97" t="s">
        <v>2153</v>
      </c>
      <c r="J3891" s="97" t="s">
        <v>2644</v>
      </c>
      <c r="K3891" s="29">
        <v>13.08</v>
      </c>
      <c r="L3891" s="29">
        <v>-3.66</v>
      </c>
      <c r="M3891" s="30">
        <f>IFERROR(VLOOKUP($A3891,HeadJournal!$A$1:$J$890,COLUMN(HeadJournal!I$1),0)*($K3891+$L3891)/(SUMIF($A:$A,$A3891,$K:$K)+SUMIF($A:$A,$A3891,$L:$L)),0)</f>
        <v>0</v>
      </c>
      <c r="N3891" s="30">
        <f>IFERROR((VLOOKUP($A3891,HeadJournal!$A$1:$K$890,COLUMN(HeadJournal!K$1),0)-VLOOKUP($A3891,HeadJournal!$A$1:$K$890,COLUMN(HeadJournal!J$1),0))*($K3891+$L3891)/(SUMIF($A:$A,$A3891,$K:$K)+SUMIF($A:$A,$A3891,$L:$L)),0)</f>
        <v>-2.732103707683103E-15</v>
      </c>
      <c r="O3891" s="30">
        <f>IFERROR((VLOOKUP($A3891,HeadJournal!$A$1:$L$890,COLUMN(HeadJournal!L$1),0)*($K3891+$L3891)/(SUMIF($A:$A,$A3891,$K:$K)+SUMIF($A:$A,$A3891,$L:$L)))/VLOOKUP($A3891,HeadJournal!$A$1:$L$890,COLUMN(HeadJournal!H$1),0),0)</f>
        <v>0.49635698471291323</v>
      </c>
      <c r="P3891" s="30">
        <f>IFERROR(SUM(K3891:O3891)*VLOOKUP($A3891,HeadJournal!$A$1:$L$890,COLUMN(HeadJournal!H$1),0),0)</f>
        <v>1021.2856007959581</v>
      </c>
      <c r="Q3891" s="29"/>
      <c r="R3891" s="31"/>
      <c r="S3891" s="31"/>
      <c r="T3891" s="95" t="str">
        <f t="shared" si="307"/>
        <v/>
      </c>
      <c r="U3891" s="32">
        <f t="shared" si="304"/>
        <v>-1021.2856007959581</v>
      </c>
      <c r="V3891" s="22" t="str">
        <f t="shared" si="305"/>
        <v/>
      </c>
      <c r="X3891" s="33"/>
      <c r="Y3891" s="33"/>
    </row>
    <row r="3892" spans="1:25" x14ac:dyDescent="0.2">
      <c r="A3892" s="93" t="s">
        <v>2172</v>
      </c>
      <c r="B3892" s="94" t="str">
        <f>IFERROR(VLOOKUP($A3892,HeadJournal!$A$1:$NTR$890,COLUMN(HeadJournal!B$1),0),"")</f>
        <v>720000415326</v>
      </c>
      <c r="C3892" s="94" t="str">
        <f>IFERROR(VLOOKUP($A3892,HeadJournal!$A$1:$NTR$890,COLUMN(HeadJournal!C$1),0),"")</f>
        <v>iHerb_MH DLE7202</v>
      </c>
      <c r="D3892" s="125" t="str">
        <f>IFERROR(VLOOKUP($A3892,HeadJournal!$A$1:$NTR$890,COLUMN(HeadJournal!D$1),0),"")</f>
        <v>Доставлен</v>
      </c>
      <c r="E3892" s="95">
        <f>IFERROR(VLOOKUP($A3892,HeadJournal!$A$1:$NTR$890,COLUMN(HeadJournal!G$1),0),"")</f>
        <v>45563</v>
      </c>
      <c r="F3892" s="95" t="str">
        <f t="shared" si="306"/>
        <v>2024 09</v>
      </c>
      <c r="G3892" s="97" t="s">
        <v>7</v>
      </c>
      <c r="H3892" s="161" t="s">
        <v>2152</v>
      </c>
      <c r="I3892" s="97" t="s">
        <v>2153</v>
      </c>
      <c r="J3892" s="97" t="s">
        <v>2644</v>
      </c>
      <c r="K3892" s="29">
        <v>13.08</v>
      </c>
      <c r="L3892" s="29">
        <v>-3.66</v>
      </c>
      <c r="M3892" s="30">
        <f>IFERROR(VLOOKUP($A3892,HeadJournal!$A$1:$J$890,COLUMN(HeadJournal!I$1),0)*($K3892+$L3892)/(SUMIF($A:$A,$A3892,$K:$K)+SUMIF($A:$A,$A3892,$L:$L)),0)</f>
        <v>0</v>
      </c>
      <c r="N3892" s="30">
        <f>IFERROR((VLOOKUP($A3892,HeadJournal!$A$1:$K$890,COLUMN(HeadJournal!K$1),0)-VLOOKUP($A3892,HeadJournal!$A$1:$K$890,COLUMN(HeadJournal!J$1),0))*($K3892+$L3892)/(SUMIF($A:$A,$A3892,$K:$K)+SUMIF($A:$A,$A3892,$L:$L)),0)</f>
        <v>-2.732103707683103E-15</v>
      </c>
      <c r="O3892" s="30">
        <f>IFERROR((VLOOKUP($A3892,HeadJournal!$A$1:$L$890,COLUMN(HeadJournal!L$1),0)*($K3892+$L3892)/(SUMIF($A:$A,$A3892,$K:$K)+SUMIF($A:$A,$A3892,$L:$L)))/VLOOKUP($A3892,HeadJournal!$A$1:$L$890,COLUMN(HeadJournal!H$1),0),0)</f>
        <v>0.49635698471291323</v>
      </c>
      <c r="P3892" s="30">
        <f>IFERROR(SUM(K3892:O3892)*VLOOKUP($A3892,HeadJournal!$A$1:$L$890,COLUMN(HeadJournal!H$1),0),0)</f>
        <v>1021.2856007959581</v>
      </c>
      <c r="Q3892" s="29"/>
      <c r="R3892" s="31"/>
      <c r="S3892" s="31"/>
      <c r="T3892" s="95" t="str">
        <f t="shared" si="307"/>
        <v/>
      </c>
      <c r="U3892" s="32">
        <f t="shared" si="304"/>
        <v>-1021.2856007959581</v>
      </c>
      <c r="V3892" s="22" t="str">
        <f t="shared" si="305"/>
        <v/>
      </c>
      <c r="X3892" s="33"/>
      <c r="Y3892" s="33"/>
    </row>
    <row r="3893" spans="1:25" x14ac:dyDescent="0.2">
      <c r="A3893" s="93" t="s">
        <v>2172</v>
      </c>
      <c r="B3893" s="94" t="str">
        <f>IFERROR(VLOOKUP($A3893,HeadJournal!$A$1:$NTR$890,COLUMN(HeadJournal!B$1),0),"")</f>
        <v>720000415326</v>
      </c>
      <c r="C3893" s="94" t="str">
        <f>IFERROR(VLOOKUP($A3893,HeadJournal!$A$1:$NTR$890,COLUMN(HeadJournal!C$1),0),"")</f>
        <v>iHerb_MH DLE7202</v>
      </c>
      <c r="D3893" s="125" t="str">
        <f>IFERROR(VLOOKUP($A3893,HeadJournal!$A$1:$NTR$890,COLUMN(HeadJournal!D$1),0),"")</f>
        <v>Доставлен</v>
      </c>
      <c r="E3893" s="95">
        <f>IFERROR(VLOOKUP($A3893,HeadJournal!$A$1:$NTR$890,COLUMN(HeadJournal!G$1),0),"")</f>
        <v>45563</v>
      </c>
      <c r="F3893" s="95" t="str">
        <f t="shared" si="306"/>
        <v>2024 09</v>
      </c>
      <c r="G3893" s="97" t="s">
        <v>7</v>
      </c>
      <c r="H3893" s="161" t="s">
        <v>2154</v>
      </c>
      <c r="I3893" s="97" t="s">
        <v>2153</v>
      </c>
      <c r="J3893" s="97" t="s">
        <v>2155</v>
      </c>
      <c r="K3893" s="29">
        <v>7.59</v>
      </c>
      <c r="L3893" s="29">
        <v>-2.13</v>
      </c>
      <c r="M3893" s="30">
        <f>IFERROR(VLOOKUP($A3893,HeadJournal!$A$1:$J$890,COLUMN(HeadJournal!I$1),0)*($K3893+$L3893)/(SUMIF($A:$A,$A3893,$K:$K)+SUMIF($A:$A,$A3893,$L:$L)),0)</f>
        <v>0</v>
      </c>
      <c r="N3893" s="30">
        <f>IFERROR((VLOOKUP($A3893,HeadJournal!$A$1:$K$890,COLUMN(HeadJournal!K$1),0)-VLOOKUP($A3893,HeadJournal!$A$1:$K$890,COLUMN(HeadJournal!J$1),0))*($K3893+$L3893)/(SUMIF($A:$A,$A3893,$K:$K)+SUMIF($A:$A,$A3893,$L:$L)),0)</f>
        <v>-1.5835760343895691E-15</v>
      </c>
      <c r="O3893" s="30">
        <f>IFERROR((VLOOKUP($A3893,HeadJournal!$A$1:$L$890,COLUMN(HeadJournal!L$1),0)*($K3893+$L3893)/(SUMIF($A:$A,$A3893,$K:$K)+SUMIF($A:$A,$A3893,$L:$L)))/VLOOKUP($A3893,HeadJournal!$A$1:$L$890,COLUMN(HeadJournal!H$1),0),0)</f>
        <v>0.28769736056608347</v>
      </c>
      <c r="P3893" s="30">
        <f>IFERROR(SUM(K3893:O3893)*VLOOKUP($A3893,HeadJournal!$A$1:$L$890,COLUMN(HeadJournal!H$1),0),0)</f>
        <v>591.95534823205219</v>
      </c>
      <c r="Q3893" s="29"/>
      <c r="R3893" s="31"/>
      <c r="S3893" s="31"/>
      <c r="T3893" s="95" t="str">
        <f t="shared" si="307"/>
        <v/>
      </c>
      <c r="U3893" s="32">
        <f t="shared" si="304"/>
        <v>-591.95534823205219</v>
      </c>
      <c r="V3893" s="22" t="str">
        <f t="shared" si="305"/>
        <v/>
      </c>
      <c r="X3893" s="33"/>
      <c r="Y3893" s="33"/>
    </row>
    <row r="3894" spans="1:25" x14ac:dyDescent="0.2">
      <c r="A3894" s="93" t="s">
        <v>2172</v>
      </c>
      <c r="B3894" s="94" t="str">
        <f>IFERROR(VLOOKUP($A3894,HeadJournal!$A$1:$NTR$890,COLUMN(HeadJournal!B$1),0),"")</f>
        <v>720000415326</v>
      </c>
      <c r="C3894" s="94" t="str">
        <f>IFERROR(VLOOKUP($A3894,HeadJournal!$A$1:$NTR$890,COLUMN(HeadJournal!C$1),0),"")</f>
        <v>iHerb_MH DLE7202</v>
      </c>
      <c r="D3894" s="125" t="str">
        <f>IFERROR(VLOOKUP($A3894,HeadJournal!$A$1:$NTR$890,COLUMN(HeadJournal!D$1),0),"")</f>
        <v>Доставлен</v>
      </c>
      <c r="E3894" s="95">
        <f>IFERROR(VLOOKUP($A3894,HeadJournal!$A$1:$NTR$890,COLUMN(HeadJournal!G$1),0),"")</f>
        <v>45563</v>
      </c>
      <c r="F3894" s="95" t="str">
        <f t="shared" si="306"/>
        <v>2024 09</v>
      </c>
      <c r="G3894" s="97" t="s">
        <v>7</v>
      </c>
      <c r="H3894" s="161" t="s">
        <v>2156</v>
      </c>
      <c r="I3894" s="97" t="s">
        <v>2153</v>
      </c>
      <c r="J3894" s="97" t="s">
        <v>2157</v>
      </c>
      <c r="K3894" s="29">
        <v>19.649999999999999</v>
      </c>
      <c r="L3894" s="29">
        <v>-5.5</v>
      </c>
      <c r="M3894" s="30">
        <f>IFERROR(VLOOKUP($A3894,HeadJournal!$A$1:$J$890,COLUMN(HeadJournal!I$1),0)*($K3894+$L3894)/(SUMIF($A:$A,$A3894,$K:$K)+SUMIF($A:$A,$A3894,$L:$L)),0)</f>
        <v>0</v>
      </c>
      <c r="N3894" s="30">
        <f>IFERROR((VLOOKUP($A3894,HeadJournal!$A$1:$K$890,COLUMN(HeadJournal!K$1),0)-VLOOKUP($A3894,HeadJournal!$A$1:$K$890,COLUMN(HeadJournal!J$1),0))*($K3894+$L3894)/(SUMIF($A:$A,$A3894,$K:$K)+SUMIF($A:$A,$A3894,$L:$L)),0)</f>
        <v>-4.1039562063392677E-15</v>
      </c>
      <c r="O3894" s="30">
        <f>IFERROR((VLOOKUP($A3894,HeadJournal!$A$1:$L$890,COLUMN(HeadJournal!L$1),0)*($K3894+$L3894)/(SUMIF($A:$A,$A3894,$K:$K)+SUMIF($A:$A,$A3894,$L:$L)))/VLOOKUP($A3894,HeadJournal!$A$1:$L$890,COLUMN(HeadJournal!H$1),0),0)</f>
        <v>0.74558931355495972</v>
      </c>
      <c r="P3894" s="30">
        <f>IFERROR(SUM(K3894:O3894)*VLOOKUP($A3894,HeadJournal!$A$1:$L$890,COLUMN(HeadJournal!H$1),0),0)</f>
        <v>1534.0967358028461</v>
      </c>
      <c r="Q3894" s="29"/>
      <c r="R3894" s="31"/>
      <c r="S3894" s="31"/>
      <c r="T3894" s="95" t="str">
        <f t="shared" si="307"/>
        <v/>
      </c>
      <c r="U3894" s="32">
        <f t="shared" si="304"/>
        <v>-1534.0967358028461</v>
      </c>
      <c r="V3894" s="22" t="str">
        <f t="shared" si="305"/>
        <v/>
      </c>
      <c r="X3894" s="33"/>
      <c r="Y3894" s="33"/>
    </row>
    <row r="3895" spans="1:25" x14ac:dyDescent="0.2">
      <c r="A3895" s="93" t="s">
        <v>2172</v>
      </c>
      <c r="B3895" s="94" t="str">
        <f>IFERROR(VLOOKUP($A3895,HeadJournal!$A$1:$NTR$890,COLUMN(HeadJournal!B$1),0),"")</f>
        <v>720000415326</v>
      </c>
      <c r="C3895" s="94" t="str">
        <f>IFERROR(VLOOKUP($A3895,HeadJournal!$A$1:$NTR$890,COLUMN(HeadJournal!C$1),0),"")</f>
        <v>iHerb_MH DLE7202</v>
      </c>
      <c r="D3895" s="125" t="str">
        <f>IFERROR(VLOOKUP($A3895,HeadJournal!$A$1:$NTR$890,COLUMN(HeadJournal!D$1),0),"")</f>
        <v>Доставлен</v>
      </c>
      <c r="E3895" s="95">
        <f>IFERROR(VLOOKUP($A3895,HeadJournal!$A$1:$NTR$890,COLUMN(HeadJournal!G$1),0),"")</f>
        <v>45563</v>
      </c>
      <c r="F3895" s="95" t="str">
        <f t="shared" si="306"/>
        <v>2024 09</v>
      </c>
      <c r="G3895" s="97" t="s">
        <v>5</v>
      </c>
      <c r="H3895" s="161" t="s">
        <v>2158</v>
      </c>
      <c r="I3895" s="97" t="s">
        <v>2159</v>
      </c>
      <c r="J3895" s="97" t="s">
        <v>2852</v>
      </c>
      <c r="K3895" s="29">
        <v>21.34</v>
      </c>
      <c r="L3895" s="29">
        <v>-5.98</v>
      </c>
      <c r="M3895" s="30">
        <f>IFERROR(VLOOKUP($A3895,HeadJournal!$A$1:$J$890,COLUMN(HeadJournal!I$1),0)*($K3895+$L3895)/(SUMIF($A:$A,$A3895,$K:$K)+SUMIF($A:$A,$A3895,$L:$L)),0)</f>
        <v>0</v>
      </c>
      <c r="N3895" s="30">
        <f>IFERROR((VLOOKUP($A3895,HeadJournal!$A$1:$K$890,COLUMN(HeadJournal!K$1),0)-VLOOKUP($A3895,HeadJournal!$A$1:$K$890,COLUMN(HeadJournal!J$1),0))*($K3895+$L3895)/(SUMIF($A:$A,$A3895,$K:$K)+SUMIF($A:$A,$A3895,$L:$L)),0)</f>
        <v>-4.4548952176234034E-15</v>
      </c>
      <c r="O3895" s="30">
        <f>IFERROR((VLOOKUP($A3895,HeadJournal!$A$1:$L$890,COLUMN(HeadJournal!L$1),0)*($K3895+$L3895)/(SUMIF($A:$A,$A3895,$K:$K)+SUMIF($A:$A,$A3895,$L:$L)))/VLOOKUP($A3895,HeadJournal!$A$1:$L$890,COLUMN(HeadJournal!H$1),0),0)</f>
        <v>0.8093464209331579</v>
      </c>
      <c r="P3895" s="30">
        <f>IFERROR(SUM(K3895:O3895)*VLOOKUP($A3895,HeadJournal!$A$1:$L$890,COLUMN(HeadJournal!H$1),0),0)</f>
        <v>1665.2809796418171</v>
      </c>
      <c r="Q3895" s="29">
        <v>2800</v>
      </c>
      <c r="R3895" s="31">
        <v>45626</v>
      </c>
      <c r="S3895" s="31" t="s">
        <v>3121</v>
      </c>
      <c r="T3895" s="95" t="str">
        <f t="shared" si="307"/>
        <v>2024 11</v>
      </c>
      <c r="U3895" s="32">
        <f t="shared" si="304"/>
        <v>1134.7190203581829</v>
      </c>
      <c r="V3895" s="22">
        <f t="shared" si="305"/>
        <v>0.681397934781101</v>
      </c>
      <c r="X3895" s="33"/>
      <c r="Y3895" s="33"/>
    </row>
    <row r="3896" spans="1:25" x14ac:dyDescent="0.2">
      <c r="A3896" s="93" t="s">
        <v>2172</v>
      </c>
      <c r="B3896" s="94" t="str">
        <f>IFERROR(VLOOKUP($A3896,HeadJournal!$A$1:$NTR$890,COLUMN(HeadJournal!B$1),0),"")</f>
        <v>720000415326</v>
      </c>
      <c r="C3896" s="94" t="str">
        <f>IFERROR(VLOOKUP($A3896,HeadJournal!$A$1:$NTR$890,COLUMN(HeadJournal!C$1),0),"")</f>
        <v>iHerb_MH DLE7202</v>
      </c>
      <c r="D3896" s="125" t="str">
        <f>IFERROR(VLOOKUP($A3896,HeadJournal!$A$1:$NTR$890,COLUMN(HeadJournal!D$1),0),"")</f>
        <v>Доставлен</v>
      </c>
      <c r="E3896" s="95">
        <f>IFERROR(VLOOKUP($A3896,HeadJournal!$A$1:$NTR$890,COLUMN(HeadJournal!G$1),0),"")</f>
        <v>45563</v>
      </c>
      <c r="F3896" s="95" t="str">
        <f t="shared" si="306"/>
        <v>2024 09</v>
      </c>
      <c r="G3896" s="97" t="s">
        <v>5</v>
      </c>
      <c r="H3896" s="161" t="s">
        <v>2160</v>
      </c>
      <c r="I3896" s="97" t="s">
        <v>2159</v>
      </c>
      <c r="J3896" s="97" t="s">
        <v>2161</v>
      </c>
      <c r="K3896" s="29">
        <v>22.68</v>
      </c>
      <c r="L3896" s="29">
        <v>-6.35</v>
      </c>
      <c r="M3896" s="30">
        <f>IFERROR(VLOOKUP($A3896,HeadJournal!$A$1:$J$890,COLUMN(HeadJournal!I$1),0)*($K3896+$L3896)/(SUMIF($A:$A,$A3896,$K:$K)+SUMIF($A:$A,$A3896,$L:$L)),0)</f>
        <v>0</v>
      </c>
      <c r="N3896" s="30">
        <f>IFERROR((VLOOKUP($A3896,HeadJournal!$A$1:$K$890,COLUMN(HeadJournal!K$1),0)-VLOOKUP($A3896,HeadJournal!$A$1:$K$890,COLUMN(HeadJournal!J$1),0))*($K3896+$L3896)/(SUMIF($A:$A,$A3896,$K:$K)+SUMIF($A:$A,$A3896,$L:$L)),0)</f>
        <v>-4.7362264911321723E-15</v>
      </c>
      <c r="O3896" s="30">
        <f>IFERROR((VLOOKUP($A3896,HeadJournal!$A$1:$L$890,COLUMN(HeadJournal!L$1),0)*($K3896+$L3896)/(SUMIF($A:$A,$A3896,$K:$K)+SUMIF($A:$A,$A3896,$L:$L)))/VLOOKUP($A3896,HeadJournal!$A$1:$L$890,COLUMN(HeadJournal!H$1),0),0)</f>
        <v>0.86045749048427522</v>
      </c>
      <c r="P3896" s="30">
        <f>IFERROR(SUM(K3896:O3896)*VLOOKUP($A3896,HeadJournal!$A$1:$L$890,COLUMN(HeadJournal!H$1),0),0)</f>
        <v>1770.4452081738852</v>
      </c>
      <c r="Q3896" s="29">
        <v>2900</v>
      </c>
      <c r="R3896" s="31">
        <v>45595</v>
      </c>
      <c r="S3896" s="31" t="s">
        <v>3121</v>
      </c>
      <c r="T3896" s="95" t="str">
        <f t="shared" si="307"/>
        <v>2024 10</v>
      </c>
      <c r="U3896" s="32">
        <f t="shared" si="304"/>
        <v>1129.5547918261148</v>
      </c>
      <c r="V3896" s="22">
        <f t="shared" si="305"/>
        <v>0.63800607136054044</v>
      </c>
      <c r="X3896" s="33"/>
      <c r="Y3896" s="33"/>
    </row>
    <row r="3897" spans="1:25" x14ac:dyDescent="0.2">
      <c r="A3897" s="93" t="s">
        <v>2172</v>
      </c>
      <c r="B3897" s="94" t="str">
        <f>IFERROR(VLOOKUP($A3897,HeadJournal!$A$1:$NTR$890,COLUMN(HeadJournal!B$1),0),"")</f>
        <v>720000415326</v>
      </c>
      <c r="C3897" s="94" t="str">
        <f>IFERROR(VLOOKUP($A3897,HeadJournal!$A$1:$NTR$890,COLUMN(HeadJournal!C$1),0),"")</f>
        <v>iHerb_MH DLE7202</v>
      </c>
      <c r="D3897" s="125" t="str">
        <f>IFERROR(VLOOKUP($A3897,HeadJournal!$A$1:$NTR$890,COLUMN(HeadJournal!D$1),0),"")</f>
        <v>Доставлен</v>
      </c>
      <c r="E3897" s="95">
        <f>IFERROR(VLOOKUP($A3897,HeadJournal!$A$1:$NTR$890,COLUMN(HeadJournal!G$1),0),"")</f>
        <v>45563</v>
      </c>
      <c r="F3897" s="95" t="str">
        <f t="shared" si="306"/>
        <v>2024 09</v>
      </c>
      <c r="G3897" s="97" t="s">
        <v>5</v>
      </c>
      <c r="H3897" s="161" t="s">
        <v>2162</v>
      </c>
      <c r="I3897" s="97" t="s">
        <v>2163</v>
      </c>
      <c r="J3897" s="97" t="s">
        <v>2164</v>
      </c>
      <c r="K3897" s="29">
        <v>19.21</v>
      </c>
      <c r="L3897" s="29">
        <v>-5.38</v>
      </c>
      <c r="M3897" s="30">
        <f>IFERROR(VLOOKUP($A3897,HeadJournal!$A$1:$J$890,COLUMN(HeadJournal!I$1),0)*($K3897+$L3897)/(SUMIF($A:$A,$A3897,$K:$K)+SUMIF($A:$A,$A3897,$L:$L)),0)</f>
        <v>0</v>
      </c>
      <c r="N3897" s="30">
        <f>IFERROR((VLOOKUP($A3897,HeadJournal!$A$1:$K$890,COLUMN(HeadJournal!K$1),0)-VLOOKUP($A3897,HeadJournal!$A$1:$K$890,COLUMN(HeadJournal!J$1),0))*($K3897+$L3897)/(SUMIF($A:$A,$A3897,$K:$K)+SUMIF($A:$A,$A3897,$L:$L)),0)</f>
        <v>-4.0111458893054479E-15</v>
      </c>
      <c r="O3897" s="30">
        <f>IFERROR((VLOOKUP($A3897,HeadJournal!$A$1:$L$890,COLUMN(HeadJournal!L$1),0)*($K3897+$L3897)/(SUMIF($A:$A,$A3897,$K:$K)+SUMIF($A:$A,$A3897,$L:$L)))/VLOOKUP($A3897,HeadJournal!$A$1:$L$890,COLUMN(HeadJournal!H$1),0),0)</f>
        <v>0.72872792978551915</v>
      </c>
      <c r="P3897" s="30">
        <f>IFERROR(SUM(K3897:O3897)*VLOOKUP($A3897,HeadJournal!$A$1:$L$890,COLUMN(HeadJournal!H$1),0),0)</f>
        <v>1499.4033820603083</v>
      </c>
      <c r="Q3897" s="29">
        <v>2400</v>
      </c>
      <c r="R3897" s="31">
        <v>45587</v>
      </c>
      <c r="S3897" s="31" t="s">
        <v>3121</v>
      </c>
      <c r="T3897" s="95" t="str">
        <f t="shared" si="307"/>
        <v>2024 10</v>
      </c>
      <c r="U3897" s="32">
        <f t="shared" si="304"/>
        <v>900.59661793969167</v>
      </c>
      <c r="V3897" s="22">
        <f t="shared" si="305"/>
        <v>0.60063664569183173</v>
      </c>
      <c r="X3897" s="33"/>
      <c r="Y3897" s="33"/>
    </row>
    <row r="3898" spans="1:25" x14ac:dyDescent="0.2">
      <c r="A3898" s="93" t="s">
        <v>2172</v>
      </c>
      <c r="B3898" s="94" t="str">
        <f>IFERROR(VLOOKUP($A3898,HeadJournal!$A$1:$NTR$890,COLUMN(HeadJournal!B$1),0),"")</f>
        <v>720000415326</v>
      </c>
      <c r="C3898" s="94" t="str">
        <f>IFERROR(VLOOKUP($A3898,HeadJournal!$A$1:$NTR$890,COLUMN(HeadJournal!C$1),0),"")</f>
        <v>iHerb_MH DLE7202</v>
      </c>
      <c r="D3898" s="125" t="str">
        <f>IFERROR(VLOOKUP($A3898,HeadJournal!$A$1:$NTR$890,COLUMN(HeadJournal!D$1),0),"")</f>
        <v>Доставлен</v>
      </c>
      <c r="E3898" s="95">
        <f>IFERROR(VLOOKUP($A3898,HeadJournal!$A$1:$NTR$890,COLUMN(HeadJournal!G$1),0),"")</f>
        <v>45563</v>
      </c>
      <c r="F3898" s="95" t="str">
        <f t="shared" si="306"/>
        <v>2024 09</v>
      </c>
      <c r="G3898" s="97" t="s">
        <v>5</v>
      </c>
      <c r="H3898" s="161" t="s">
        <v>2162</v>
      </c>
      <c r="I3898" s="97" t="s">
        <v>2163</v>
      </c>
      <c r="J3898" s="97" t="s">
        <v>2164</v>
      </c>
      <c r="K3898" s="29">
        <v>19.21</v>
      </c>
      <c r="L3898" s="29">
        <v>-5.38</v>
      </c>
      <c r="M3898" s="30">
        <f>IFERROR(VLOOKUP($A3898,HeadJournal!$A$1:$J$890,COLUMN(HeadJournal!I$1),0)*($K3898+$L3898)/(SUMIF($A:$A,$A3898,$K:$K)+SUMIF($A:$A,$A3898,$L:$L)),0)</f>
        <v>0</v>
      </c>
      <c r="N3898" s="30">
        <f>IFERROR((VLOOKUP($A3898,HeadJournal!$A$1:$K$890,COLUMN(HeadJournal!K$1),0)-VLOOKUP($A3898,HeadJournal!$A$1:$K$890,COLUMN(HeadJournal!J$1),0))*($K3898+$L3898)/(SUMIF($A:$A,$A3898,$K:$K)+SUMIF($A:$A,$A3898,$L:$L)),0)</f>
        <v>-4.0111458893054479E-15</v>
      </c>
      <c r="O3898" s="30">
        <f>IFERROR((VLOOKUP($A3898,HeadJournal!$A$1:$L$890,COLUMN(HeadJournal!L$1),0)*($K3898+$L3898)/(SUMIF($A:$A,$A3898,$K:$K)+SUMIF($A:$A,$A3898,$L:$L)))/VLOOKUP($A3898,HeadJournal!$A$1:$L$890,COLUMN(HeadJournal!H$1),0),0)</f>
        <v>0.72872792978551915</v>
      </c>
      <c r="P3898" s="30">
        <f>IFERROR(SUM(K3898:O3898)*VLOOKUP($A3898,HeadJournal!$A$1:$L$890,COLUMN(HeadJournal!H$1),0),0)</f>
        <v>1499.4033820603083</v>
      </c>
      <c r="Q3898" s="29">
        <v>2400</v>
      </c>
      <c r="R3898" s="31">
        <v>45587</v>
      </c>
      <c r="S3898" s="31" t="s">
        <v>3121</v>
      </c>
      <c r="T3898" s="95" t="str">
        <f t="shared" si="307"/>
        <v>2024 10</v>
      </c>
      <c r="U3898" s="32">
        <f t="shared" si="304"/>
        <v>900.59661793969167</v>
      </c>
      <c r="V3898" s="22">
        <f t="shared" si="305"/>
        <v>0.60063664569183173</v>
      </c>
      <c r="X3898" s="33"/>
      <c r="Y3898" s="33"/>
    </row>
    <row r="3899" spans="1:25" x14ac:dyDescent="0.2">
      <c r="A3899" s="93" t="s">
        <v>2172</v>
      </c>
      <c r="B3899" s="94" t="str">
        <f>IFERROR(VLOOKUP($A3899,HeadJournal!$A$1:$NTR$890,COLUMN(HeadJournal!B$1),0),"")</f>
        <v>720000415326</v>
      </c>
      <c r="C3899" s="94" t="str">
        <f>IFERROR(VLOOKUP($A3899,HeadJournal!$A$1:$NTR$890,COLUMN(HeadJournal!C$1),0),"")</f>
        <v>iHerb_MH DLE7202</v>
      </c>
      <c r="D3899" s="125" t="str">
        <f>IFERROR(VLOOKUP($A3899,HeadJournal!$A$1:$NTR$890,COLUMN(HeadJournal!D$1),0),"")</f>
        <v>Доставлен</v>
      </c>
      <c r="E3899" s="95">
        <f>IFERROR(VLOOKUP($A3899,HeadJournal!$A$1:$NTR$890,COLUMN(HeadJournal!G$1),0),"")</f>
        <v>45563</v>
      </c>
      <c r="F3899" s="95" t="str">
        <f t="shared" si="306"/>
        <v>2024 09</v>
      </c>
      <c r="G3899" s="97" t="s">
        <v>5</v>
      </c>
      <c r="H3899" s="161" t="s">
        <v>2165</v>
      </c>
      <c r="I3899" s="97" t="s">
        <v>2166</v>
      </c>
      <c r="J3899" s="97" t="s">
        <v>2167</v>
      </c>
      <c r="K3899" s="29">
        <v>25.8</v>
      </c>
      <c r="L3899" s="29">
        <v>-7.22</v>
      </c>
      <c r="M3899" s="30">
        <f>IFERROR(VLOOKUP($A3899,HeadJournal!$A$1:$J$890,COLUMN(HeadJournal!I$1),0)*($K3899+$L3899)/(SUMIF($A:$A,$A3899,$K:$K)+SUMIF($A:$A,$A3899,$L:$L)),0)</f>
        <v>0</v>
      </c>
      <c r="N3899" s="30">
        <f>IFERROR((VLOOKUP($A3899,HeadJournal!$A$1:$K$890,COLUMN(HeadJournal!K$1),0)-VLOOKUP($A3899,HeadJournal!$A$1:$K$890,COLUMN(HeadJournal!J$1),0))*($K3899+$L3899)/(SUMIF($A:$A,$A3899,$K:$K)+SUMIF($A:$A,$A3899,$L:$L)),0)</f>
        <v>-5.3887990327762268E-15</v>
      </c>
      <c r="O3899" s="30">
        <f>IFERROR((VLOOKUP($A3899,HeadJournal!$A$1:$L$890,COLUMN(HeadJournal!L$1),0)*($K3899+$L3899)/(SUMIF($A:$A,$A3899,$K:$K)+SUMIF($A:$A,$A3899,$L:$L)))/VLOOKUP($A3899,HeadJournal!$A$1:$L$890,COLUMN(HeadJournal!H$1),0),0)</f>
        <v>0.97901409511315607</v>
      </c>
      <c r="P3899" s="30">
        <f>IFERROR(SUM(K3899:O3899)*VLOOKUP($A3899,HeadJournal!$A$1:$L$890,COLUMN(HeadJournal!H$1),0),0)</f>
        <v>2014.3828516761048</v>
      </c>
      <c r="Q3899" s="29">
        <v>3400</v>
      </c>
      <c r="R3899" s="31">
        <v>45685</v>
      </c>
      <c r="S3899" s="31" t="s">
        <v>3121</v>
      </c>
      <c r="T3899" s="95" t="str">
        <f t="shared" si="307"/>
        <v>2025 01</v>
      </c>
      <c r="U3899" s="32">
        <f t="shared" si="304"/>
        <v>1385.6171483238952</v>
      </c>
      <c r="V3899" s="22">
        <f t="shared" si="305"/>
        <v>0.68786186656174453</v>
      </c>
      <c r="X3899" s="33"/>
      <c r="Y3899" s="33"/>
    </row>
    <row r="3900" spans="1:25" x14ac:dyDescent="0.2">
      <c r="A3900" s="93" t="s">
        <v>2172</v>
      </c>
      <c r="B3900" s="94" t="str">
        <f>IFERROR(VLOOKUP($A3900,HeadJournal!$A$1:$NTR$890,COLUMN(HeadJournal!B$1),0),"")</f>
        <v>720000415326</v>
      </c>
      <c r="C3900" s="94" t="str">
        <f>IFERROR(VLOOKUP($A3900,HeadJournal!$A$1:$NTR$890,COLUMN(HeadJournal!C$1),0),"")</f>
        <v>iHerb_MH DLE7202</v>
      </c>
      <c r="D3900" s="125" t="str">
        <f>IFERROR(VLOOKUP($A3900,HeadJournal!$A$1:$NTR$890,COLUMN(HeadJournal!D$1),0),"")</f>
        <v>Доставлен</v>
      </c>
      <c r="E3900" s="95">
        <f>IFERROR(VLOOKUP($A3900,HeadJournal!$A$1:$NTR$890,COLUMN(HeadJournal!G$1),0),"")</f>
        <v>45563</v>
      </c>
      <c r="F3900" s="95" t="str">
        <f t="shared" si="306"/>
        <v>2024 09</v>
      </c>
      <c r="G3900" s="97" t="s">
        <v>5</v>
      </c>
      <c r="H3900" s="161" t="s">
        <v>2168</v>
      </c>
      <c r="I3900" s="97" t="s">
        <v>2009</v>
      </c>
      <c r="J3900" s="97" t="s">
        <v>2169</v>
      </c>
      <c r="K3900" s="29">
        <v>20.87</v>
      </c>
      <c r="L3900" s="29">
        <v>-5.84</v>
      </c>
      <c r="M3900" s="30">
        <f>IFERROR(VLOOKUP($A3900,HeadJournal!$A$1:$J$890,COLUMN(HeadJournal!I$1),0)*($K3900+$L3900)/(SUMIF($A:$A,$A3900,$K:$K)+SUMIF($A:$A,$A3900,$L:$L)),0)</f>
        <v>0</v>
      </c>
      <c r="N3900" s="30">
        <f>IFERROR((VLOOKUP($A3900,HeadJournal!$A$1:$K$890,COLUMN(HeadJournal!K$1),0)-VLOOKUP($A3900,HeadJournal!$A$1:$K$890,COLUMN(HeadJournal!J$1),0))*($K3900+$L3900)/(SUMIF($A:$A,$A3900,$K:$K)+SUMIF($A:$A,$A3900,$L:$L)),0)</f>
        <v>-4.3591845781822759E-15</v>
      </c>
      <c r="O3900" s="30">
        <f>IFERROR((VLOOKUP($A3900,HeadJournal!$A$1:$L$890,COLUMN(HeadJournal!L$1),0)*($K3900+$L3900)/(SUMIF($A:$A,$A3900,$K:$K)+SUMIF($A:$A,$A3900,$L:$L)))/VLOOKUP($A3900,HeadJournal!$A$1:$L$890,COLUMN(HeadJournal!H$1),0),0)</f>
        <v>0.79195811892092216</v>
      </c>
      <c r="P3900" s="30">
        <f>IFERROR(SUM(K3900:O3900)*VLOOKUP($A3900,HeadJournal!$A$1:$L$890,COLUMN(HeadJournal!H$1),0),0)</f>
        <v>1629.5034585948254</v>
      </c>
      <c r="Q3900" s="29">
        <v>2700</v>
      </c>
      <c r="R3900" s="31">
        <v>45936</v>
      </c>
      <c r="S3900" s="31"/>
      <c r="T3900" s="95" t="str">
        <f t="shared" si="307"/>
        <v>2025 10</v>
      </c>
      <c r="U3900" s="32">
        <f t="shared" si="304"/>
        <v>1070.4965414051746</v>
      </c>
      <c r="V3900" s="22">
        <f t="shared" si="305"/>
        <v>0.65694646780823596</v>
      </c>
      <c r="X3900" s="33"/>
      <c r="Y3900" s="33"/>
    </row>
    <row r="3901" spans="1:25" x14ac:dyDescent="0.2">
      <c r="A3901" s="93" t="s">
        <v>2172</v>
      </c>
      <c r="B3901" s="94" t="str">
        <f>IFERROR(VLOOKUP($A3901,HeadJournal!$A$1:$NTR$890,COLUMN(HeadJournal!B$1),0),"")</f>
        <v>720000415326</v>
      </c>
      <c r="C3901" s="94" t="str">
        <f>IFERROR(VLOOKUP($A3901,HeadJournal!$A$1:$NTR$890,COLUMN(HeadJournal!C$1),0),"")</f>
        <v>iHerb_MH DLE7202</v>
      </c>
      <c r="D3901" s="125" t="str">
        <f>IFERROR(VLOOKUP($A3901,HeadJournal!$A$1:$NTR$890,COLUMN(HeadJournal!D$1),0),"")</f>
        <v>Доставлен</v>
      </c>
      <c r="E3901" s="95">
        <f>IFERROR(VLOOKUP($A3901,HeadJournal!$A$1:$NTR$890,COLUMN(HeadJournal!G$1),0),"")</f>
        <v>45563</v>
      </c>
      <c r="F3901" s="95" t="str">
        <f t="shared" si="306"/>
        <v>2024 09</v>
      </c>
      <c r="G3901" s="97" t="s">
        <v>5</v>
      </c>
      <c r="H3901" s="161" t="s">
        <v>2170</v>
      </c>
      <c r="I3901" s="97" t="s">
        <v>2102</v>
      </c>
      <c r="J3901" s="97" t="s">
        <v>2171</v>
      </c>
      <c r="K3901" s="29">
        <v>17.77</v>
      </c>
      <c r="L3901" s="29">
        <v>-4.9749999999999996</v>
      </c>
      <c r="M3901" s="30">
        <f>IFERROR(VLOOKUP($A3901,HeadJournal!$A$1:$J$890,COLUMN(HeadJournal!I$1),0)*($K3901+$L3901)/(SUMIF($A:$A,$A3901,$K:$K)+SUMIF($A:$A,$A3901,$L:$L)),0)</f>
        <v>0</v>
      </c>
      <c r="N3901" s="30">
        <f>IFERROR((VLOOKUP($A3901,HeadJournal!$A$1:$K$890,COLUMN(HeadJournal!K$1),0)-VLOOKUP($A3901,HeadJournal!$A$1:$K$890,COLUMN(HeadJournal!J$1),0))*($K3901+$L3901)/(SUMIF($A:$A,$A3901,$K:$K)+SUMIF($A:$A,$A3901,$L:$L)),0)</f>
        <v>-3.7109625201491825E-15</v>
      </c>
      <c r="O3901" s="30">
        <f>IFERROR((VLOOKUP($A3901,HeadJournal!$A$1:$L$890,COLUMN(HeadJournal!L$1),0)*($K3901+$L3901)/(SUMIF($A:$A,$A3901,$K:$K)+SUMIF($A:$A,$A3901,$L:$L)))/VLOOKUP($A3901,HeadJournal!$A$1:$L$890,COLUMN(HeadJournal!H$1),0),0)</f>
        <v>0.67419189165623394</v>
      </c>
      <c r="P3901" s="30">
        <f>IFERROR(SUM(K3901:O3901)*VLOOKUP($A3901,HeadJournal!$A$1:$L$890,COLUMN(HeadJournal!H$1),0),0)</f>
        <v>1387.1920660492872</v>
      </c>
      <c r="Q3901" s="29">
        <v>2400</v>
      </c>
      <c r="R3901" s="31">
        <v>46034</v>
      </c>
      <c r="S3901" s="31"/>
      <c r="T3901" s="95" t="str">
        <f t="shared" si="307"/>
        <v>2026 01</v>
      </c>
      <c r="U3901" s="32">
        <f t="shared" si="304"/>
        <v>1012.8079339507128</v>
      </c>
      <c r="V3901" s="22">
        <f t="shared" si="305"/>
        <v>0.73011370143947141</v>
      </c>
      <c r="X3901" s="33"/>
      <c r="Y3901" s="33"/>
    </row>
    <row r="3902" spans="1:25" x14ac:dyDescent="0.2">
      <c r="A3902" s="93" t="s">
        <v>2172</v>
      </c>
      <c r="B3902" s="94" t="str">
        <f>IFERROR(VLOOKUP($A3902,HeadJournal!$A$1:$NTR$890,COLUMN(HeadJournal!B$1),0),"")</f>
        <v>720000415326</v>
      </c>
      <c r="C3902" s="94" t="str">
        <f>IFERROR(VLOOKUP($A3902,HeadJournal!$A$1:$NTR$890,COLUMN(HeadJournal!C$1),0),"")</f>
        <v>iHerb_MH DLE7202</v>
      </c>
      <c r="D3902" s="125" t="str">
        <f>IFERROR(VLOOKUP($A3902,HeadJournal!$A$1:$NTR$890,COLUMN(HeadJournal!D$1),0),"")</f>
        <v>Доставлен</v>
      </c>
      <c r="E3902" s="95">
        <f>IFERROR(VLOOKUP($A3902,HeadJournal!$A$1:$NTR$890,COLUMN(HeadJournal!G$1),0),"")</f>
        <v>45563</v>
      </c>
      <c r="F3902" s="95" t="str">
        <f t="shared" si="306"/>
        <v>2024 09</v>
      </c>
      <c r="G3902" s="97" t="s">
        <v>5</v>
      </c>
      <c r="H3902" s="161" t="s">
        <v>2170</v>
      </c>
      <c r="I3902" s="97" t="s">
        <v>2102</v>
      </c>
      <c r="J3902" s="97" t="s">
        <v>2171</v>
      </c>
      <c r="K3902" s="29">
        <v>17.77</v>
      </c>
      <c r="L3902" s="29">
        <v>-4.9749999999999996</v>
      </c>
      <c r="M3902" s="30">
        <f>IFERROR(VLOOKUP($A3902,HeadJournal!$A$1:$J$890,COLUMN(HeadJournal!I$1),0)*($K3902+$L3902)/(SUMIF($A:$A,$A3902,$K:$K)+SUMIF($A:$A,$A3902,$L:$L)),0)</f>
        <v>0</v>
      </c>
      <c r="N3902" s="30">
        <f>IFERROR((VLOOKUP($A3902,HeadJournal!$A$1:$K$890,COLUMN(HeadJournal!K$1),0)-VLOOKUP($A3902,HeadJournal!$A$1:$K$890,COLUMN(HeadJournal!J$1),0))*($K3902+$L3902)/(SUMIF($A:$A,$A3902,$K:$K)+SUMIF($A:$A,$A3902,$L:$L)),0)</f>
        <v>-3.7109625201491825E-15</v>
      </c>
      <c r="O3902" s="30">
        <f>IFERROR((VLOOKUP($A3902,HeadJournal!$A$1:$L$890,COLUMN(HeadJournal!L$1),0)*($K3902+$L3902)/(SUMIF($A:$A,$A3902,$K:$K)+SUMIF($A:$A,$A3902,$L:$L)))/VLOOKUP($A3902,HeadJournal!$A$1:$L$890,COLUMN(HeadJournal!H$1),0),0)</f>
        <v>0.67419189165623394</v>
      </c>
      <c r="P3902" s="30">
        <f>IFERROR(SUM(K3902:O3902)*VLOOKUP($A3902,HeadJournal!$A$1:$L$890,COLUMN(HeadJournal!H$1),0),0)</f>
        <v>1387.1920660492872</v>
      </c>
      <c r="Q3902" s="29"/>
      <c r="R3902" s="31"/>
      <c r="S3902" s="31"/>
      <c r="T3902" s="95" t="str">
        <f t="shared" si="307"/>
        <v/>
      </c>
      <c r="U3902" s="32">
        <f t="shared" si="304"/>
        <v>-1387.1920660492872</v>
      </c>
      <c r="V3902" s="22" t="str">
        <f t="shared" si="305"/>
        <v/>
      </c>
      <c r="X3902" s="33"/>
      <c r="Y3902" s="33"/>
    </row>
    <row r="3903" spans="1:25" x14ac:dyDescent="0.2">
      <c r="A3903" s="93" t="s">
        <v>2192</v>
      </c>
      <c r="B3903" s="94" t="str">
        <f>IFERROR(VLOOKUP($A3903,HeadJournal!$A$1:$NTR$890,COLUMN(HeadJournal!B$1),0),"")</f>
        <v>720000399194</v>
      </c>
      <c r="C3903" s="94" t="str">
        <f>IFERROR(VLOOKUP($A3903,HeadJournal!$A$1:$NTR$890,COLUMN(HeadJournal!C$1),0),"")</f>
        <v>iHerb_AV CYG0792</v>
      </c>
      <c r="D3903" s="125" t="str">
        <f>IFERROR(VLOOKUP($A3903,HeadJournal!$A$1:$NTR$890,COLUMN(HeadJournal!D$1),0),"")</f>
        <v>Доставлен</v>
      </c>
      <c r="E3903" s="95">
        <f>IFERROR(VLOOKUP($A3903,HeadJournal!$A$1:$NTR$890,COLUMN(HeadJournal!G$1),0),"")</f>
        <v>45560</v>
      </c>
      <c r="F3903" s="95" t="str">
        <f t="shared" si="306"/>
        <v>2024 09</v>
      </c>
      <c r="G3903" s="97" t="s">
        <v>5</v>
      </c>
      <c r="H3903" s="161" t="s">
        <v>2174</v>
      </c>
      <c r="I3903" s="97" t="s">
        <v>2005</v>
      </c>
      <c r="J3903" s="97" t="s">
        <v>2175</v>
      </c>
      <c r="K3903" s="29">
        <v>6.17</v>
      </c>
      <c r="L3903" s="29">
        <v>-1.73</v>
      </c>
      <c r="M3903" s="30">
        <f>IFERROR(VLOOKUP($A3903,HeadJournal!$A$1:$J$890,COLUMN(HeadJournal!I$1),0)*($K3903+$L3903)/(SUMIF($A:$A,$A3903,$K:$K)+SUMIF($A:$A,$A3903,$L:$L)),0)</f>
        <v>0</v>
      </c>
      <c r="N3903" s="30">
        <f>IFERROR((VLOOKUP($A3903,HeadJournal!$A$1:$K$890,COLUMN(HeadJournal!K$1),0)-VLOOKUP($A3903,HeadJournal!$A$1:$K$890,COLUMN(HeadJournal!J$1),0))*($K3903+$L3903)/(SUMIF($A:$A,$A3903,$K:$K)+SUMIF($A:$A,$A3903,$L:$L)),0)</f>
        <v>-7.0091307415570852E-16</v>
      </c>
      <c r="O3903" s="30">
        <f>IFERROR((VLOOKUP($A3903,HeadJournal!$A$1:$L$890,COLUMN(HeadJournal!L$1),0)*($K3903+$L3903)/(SUMIF($A:$A,$A3903,$K:$K)+SUMIF($A:$A,$A3903,$L:$L)))/VLOOKUP($A3903,HeadJournal!$A$1:$L$890,COLUMN(HeadJournal!H$1),0),0)</f>
        <v>0.25465912914804395</v>
      </c>
      <c r="P3903" s="30">
        <f>IFERROR(SUM(K3903:O3903)*VLOOKUP($A3903,HeadJournal!$A$1:$L$890,COLUMN(HeadJournal!H$1),0),0)</f>
        <v>483.5384170184401</v>
      </c>
      <c r="Q3903" s="29">
        <v>1100</v>
      </c>
      <c r="R3903" s="31">
        <v>45891</v>
      </c>
      <c r="S3903" s="31" t="s">
        <v>3226</v>
      </c>
      <c r="T3903" s="95" t="str">
        <f t="shared" si="307"/>
        <v>2025 08</v>
      </c>
      <c r="U3903" s="32">
        <f t="shared" si="304"/>
        <v>616.4615829815599</v>
      </c>
      <c r="V3903" s="22">
        <f t="shared" si="305"/>
        <v>1.2748968050620282</v>
      </c>
      <c r="X3903" s="33"/>
      <c r="Y3903" s="33"/>
    </row>
    <row r="3904" spans="1:25" x14ac:dyDescent="0.2">
      <c r="A3904" s="93" t="s">
        <v>2192</v>
      </c>
      <c r="B3904" s="94" t="str">
        <f>IFERROR(VLOOKUP($A3904,HeadJournal!$A$1:$NTR$890,COLUMN(HeadJournal!B$1),0),"")</f>
        <v>720000399194</v>
      </c>
      <c r="C3904" s="94" t="str">
        <f>IFERROR(VLOOKUP($A3904,HeadJournal!$A$1:$NTR$890,COLUMN(HeadJournal!C$1),0),"")</f>
        <v>iHerb_AV CYG0792</v>
      </c>
      <c r="D3904" s="125" t="str">
        <f>IFERROR(VLOOKUP($A3904,HeadJournal!$A$1:$NTR$890,COLUMN(HeadJournal!D$1),0),"")</f>
        <v>Доставлен</v>
      </c>
      <c r="E3904" s="95">
        <f>IFERROR(VLOOKUP($A3904,HeadJournal!$A$1:$NTR$890,COLUMN(HeadJournal!G$1),0),"")</f>
        <v>45560</v>
      </c>
      <c r="F3904" s="95" t="str">
        <f t="shared" si="306"/>
        <v>2024 09</v>
      </c>
      <c r="G3904" s="97" t="s">
        <v>5</v>
      </c>
      <c r="H3904" s="161" t="s">
        <v>2174</v>
      </c>
      <c r="I3904" s="97" t="s">
        <v>2005</v>
      </c>
      <c r="J3904" s="97" t="s">
        <v>2175</v>
      </c>
      <c r="K3904" s="29">
        <v>6.17</v>
      </c>
      <c r="L3904" s="29">
        <v>-1.73</v>
      </c>
      <c r="M3904" s="30">
        <f>IFERROR(VLOOKUP($A3904,HeadJournal!$A$1:$J$890,COLUMN(HeadJournal!I$1),0)*($K3904+$L3904)/(SUMIF($A:$A,$A3904,$K:$K)+SUMIF($A:$A,$A3904,$L:$L)),0)</f>
        <v>0</v>
      </c>
      <c r="N3904" s="30">
        <f>IFERROR((VLOOKUP($A3904,HeadJournal!$A$1:$K$890,COLUMN(HeadJournal!K$1),0)-VLOOKUP($A3904,HeadJournal!$A$1:$K$890,COLUMN(HeadJournal!J$1),0))*($K3904+$L3904)/(SUMIF($A:$A,$A3904,$K:$K)+SUMIF($A:$A,$A3904,$L:$L)),0)</f>
        <v>-7.0091307415570852E-16</v>
      </c>
      <c r="O3904" s="30">
        <f>IFERROR((VLOOKUP($A3904,HeadJournal!$A$1:$L$890,COLUMN(HeadJournal!L$1),0)*($K3904+$L3904)/(SUMIF($A:$A,$A3904,$K:$K)+SUMIF($A:$A,$A3904,$L:$L)))/VLOOKUP($A3904,HeadJournal!$A$1:$L$890,COLUMN(HeadJournal!H$1),0),0)</f>
        <v>0.25465912914804395</v>
      </c>
      <c r="P3904" s="30">
        <f>IFERROR(SUM(K3904:O3904)*VLOOKUP($A3904,HeadJournal!$A$1:$L$890,COLUMN(HeadJournal!H$1),0),0)</f>
        <v>483.5384170184401</v>
      </c>
      <c r="Q3904" s="29">
        <v>1000</v>
      </c>
      <c r="R3904" s="31">
        <v>45952</v>
      </c>
      <c r="S3904" s="31" t="s">
        <v>3226</v>
      </c>
      <c r="T3904" s="95" t="str">
        <f t="shared" si="307"/>
        <v>2025 10</v>
      </c>
      <c r="U3904" s="32">
        <f t="shared" si="304"/>
        <v>516.4615829815599</v>
      </c>
      <c r="V3904" s="22">
        <f t="shared" si="305"/>
        <v>1.0680880046018437</v>
      </c>
      <c r="X3904" s="33"/>
      <c r="Y3904" s="33"/>
    </row>
    <row r="3905" spans="1:25" x14ac:dyDescent="0.2">
      <c r="A3905" s="93" t="s">
        <v>2192</v>
      </c>
      <c r="B3905" s="94" t="str">
        <f>IFERROR(VLOOKUP($A3905,HeadJournal!$A$1:$NTR$890,COLUMN(HeadJournal!B$1),0),"")</f>
        <v>720000399194</v>
      </c>
      <c r="C3905" s="94" t="str">
        <f>IFERROR(VLOOKUP($A3905,HeadJournal!$A$1:$NTR$890,COLUMN(HeadJournal!C$1),0),"")</f>
        <v>iHerb_AV CYG0792</v>
      </c>
      <c r="D3905" s="125" t="str">
        <f>IFERROR(VLOOKUP($A3905,HeadJournal!$A$1:$NTR$890,COLUMN(HeadJournal!D$1),0),"")</f>
        <v>Доставлен</v>
      </c>
      <c r="E3905" s="95">
        <f>IFERROR(VLOOKUP($A3905,HeadJournal!$A$1:$NTR$890,COLUMN(HeadJournal!G$1),0),"")</f>
        <v>45560</v>
      </c>
      <c r="F3905" s="95" t="str">
        <f t="shared" si="306"/>
        <v>2024 09</v>
      </c>
      <c r="G3905" s="97" t="s">
        <v>5</v>
      </c>
      <c r="H3905" s="161" t="s">
        <v>2176</v>
      </c>
      <c r="I3905" s="97" t="s">
        <v>2005</v>
      </c>
      <c r="J3905" s="97" t="s">
        <v>2177</v>
      </c>
      <c r="K3905" s="29">
        <v>15.2</v>
      </c>
      <c r="L3905" s="29">
        <v>-4.2549999999999999</v>
      </c>
      <c r="M3905" s="30">
        <f>IFERROR(VLOOKUP($A3905,HeadJournal!$A$1:$J$890,COLUMN(HeadJournal!I$1),0)*($K3905+$L3905)/(SUMIF($A:$A,$A3905,$K:$K)+SUMIF($A:$A,$A3905,$L:$L)),0)</f>
        <v>0</v>
      </c>
      <c r="N3905" s="30">
        <f>IFERROR((VLOOKUP($A3905,HeadJournal!$A$1:$K$890,COLUMN(HeadJournal!K$1),0)-VLOOKUP($A3905,HeadJournal!$A$1:$K$890,COLUMN(HeadJournal!J$1),0))*($K3905+$L3905)/(SUMIF($A:$A,$A3905,$K:$K)+SUMIF($A:$A,$A3905,$L:$L)),0)</f>
        <v>-1.7278138731158178E-15</v>
      </c>
      <c r="O3905" s="30">
        <f>IFERROR((VLOOKUP($A3905,HeadJournal!$A$1:$L$890,COLUMN(HeadJournal!L$1),0)*($K3905+$L3905)/(SUMIF($A:$A,$A3905,$K:$K)+SUMIF($A:$A,$A3905,$L:$L)))/VLOOKUP($A3905,HeadJournal!$A$1:$L$890,COLUMN(HeadJournal!H$1),0),0)</f>
        <v>0.62775769561381556</v>
      </c>
      <c r="P3905" s="30">
        <f>IFERROR(SUM(K3905:O3905)*VLOOKUP($A3905,HeadJournal!$A$1:$L$890,COLUMN(HeadJournal!H$1),0),0)</f>
        <v>1191.9657599700065</v>
      </c>
      <c r="Q3905" s="29">
        <v>2200</v>
      </c>
      <c r="R3905" s="31">
        <v>45677</v>
      </c>
      <c r="S3905" s="31" t="s">
        <v>3121</v>
      </c>
      <c r="T3905" s="95" t="str">
        <f t="shared" si="307"/>
        <v>2025 01</v>
      </c>
      <c r="U3905" s="32">
        <f t="shared" ref="U3905:U3968" si="308">Q3905-P3905</f>
        <v>1008.0342400299935</v>
      </c>
      <c r="V3905" s="22">
        <f t="shared" ref="V3905:V3968" si="309">IF(Q3905&lt;&gt;0,IFERROR(U3905/P3905,""),"")</f>
        <v>0.84569060109189609</v>
      </c>
      <c r="X3905" s="33"/>
      <c r="Y3905" s="33"/>
    </row>
    <row r="3906" spans="1:25" x14ac:dyDescent="0.2">
      <c r="A3906" s="93" t="s">
        <v>2192</v>
      </c>
      <c r="B3906" s="94" t="str">
        <f>IFERROR(VLOOKUP($A3906,HeadJournal!$A$1:$NTR$890,COLUMN(HeadJournal!B$1),0),"")</f>
        <v>720000399194</v>
      </c>
      <c r="C3906" s="94" t="str">
        <f>IFERROR(VLOOKUP($A3906,HeadJournal!$A$1:$NTR$890,COLUMN(HeadJournal!C$1),0),"")</f>
        <v>iHerb_AV CYG0792</v>
      </c>
      <c r="D3906" s="125" t="str">
        <f>IFERROR(VLOOKUP($A3906,HeadJournal!$A$1:$NTR$890,COLUMN(HeadJournal!D$1),0),"")</f>
        <v>Доставлен</v>
      </c>
      <c r="E3906" s="95">
        <f>IFERROR(VLOOKUP($A3906,HeadJournal!$A$1:$NTR$890,COLUMN(HeadJournal!G$1),0),"")</f>
        <v>45560</v>
      </c>
      <c r="F3906" s="95" t="str">
        <f t="shared" si="306"/>
        <v>2024 09</v>
      </c>
      <c r="G3906" s="97" t="s">
        <v>5</v>
      </c>
      <c r="H3906" s="161" t="s">
        <v>2176</v>
      </c>
      <c r="I3906" s="97" t="s">
        <v>2005</v>
      </c>
      <c r="J3906" s="97" t="s">
        <v>2177</v>
      </c>
      <c r="K3906" s="29">
        <v>15.2</v>
      </c>
      <c r="L3906" s="29">
        <v>-4.2549999999999999</v>
      </c>
      <c r="M3906" s="30">
        <f>IFERROR(VLOOKUP($A3906,HeadJournal!$A$1:$J$890,COLUMN(HeadJournal!I$1),0)*($K3906+$L3906)/(SUMIF($A:$A,$A3906,$K:$K)+SUMIF($A:$A,$A3906,$L:$L)),0)</f>
        <v>0</v>
      </c>
      <c r="N3906" s="30">
        <f>IFERROR((VLOOKUP($A3906,HeadJournal!$A$1:$K$890,COLUMN(HeadJournal!K$1),0)-VLOOKUP($A3906,HeadJournal!$A$1:$K$890,COLUMN(HeadJournal!J$1),0))*($K3906+$L3906)/(SUMIF($A:$A,$A3906,$K:$K)+SUMIF($A:$A,$A3906,$L:$L)),0)</f>
        <v>-1.7278138731158178E-15</v>
      </c>
      <c r="O3906" s="30">
        <f>IFERROR((VLOOKUP($A3906,HeadJournal!$A$1:$L$890,COLUMN(HeadJournal!L$1),0)*($K3906+$L3906)/(SUMIF($A:$A,$A3906,$K:$K)+SUMIF($A:$A,$A3906,$L:$L)))/VLOOKUP($A3906,HeadJournal!$A$1:$L$890,COLUMN(HeadJournal!H$1),0),0)</f>
        <v>0.62775769561381556</v>
      </c>
      <c r="P3906" s="30">
        <f>IFERROR(SUM(K3906:O3906)*VLOOKUP($A3906,HeadJournal!$A$1:$L$890,COLUMN(HeadJournal!H$1),0),0)</f>
        <v>1191.9657599700065</v>
      </c>
      <c r="Q3906" s="29">
        <v>1900</v>
      </c>
      <c r="R3906" s="31">
        <v>45796</v>
      </c>
      <c r="S3906" s="31" t="s">
        <v>3121</v>
      </c>
      <c r="T3906" s="95" t="str">
        <f t="shared" si="307"/>
        <v>2025 05</v>
      </c>
      <c r="U3906" s="32">
        <f t="shared" si="308"/>
        <v>708.0342400299935</v>
      </c>
      <c r="V3906" s="22">
        <f t="shared" si="309"/>
        <v>0.59400551912481936</v>
      </c>
      <c r="X3906" s="33"/>
      <c r="Y3906" s="33"/>
    </row>
    <row r="3907" spans="1:25" x14ac:dyDescent="0.2">
      <c r="A3907" s="93" t="s">
        <v>2192</v>
      </c>
      <c r="B3907" s="94" t="str">
        <f>IFERROR(VLOOKUP($A3907,HeadJournal!$A$1:$NTR$890,COLUMN(HeadJournal!B$1),0),"")</f>
        <v>720000399194</v>
      </c>
      <c r="C3907" s="94" t="str">
        <f>IFERROR(VLOOKUP($A3907,HeadJournal!$A$1:$NTR$890,COLUMN(HeadJournal!C$1),0),"")</f>
        <v>iHerb_AV CYG0792</v>
      </c>
      <c r="D3907" s="125" t="str">
        <f>IFERROR(VLOOKUP($A3907,HeadJournal!$A$1:$NTR$890,COLUMN(HeadJournal!D$1),0),"")</f>
        <v>Доставлен</v>
      </c>
      <c r="E3907" s="95">
        <f>IFERROR(VLOOKUP($A3907,HeadJournal!$A$1:$NTR$890,COLUMN(HeadJournal!G$1),0),"")</f>
        <v>45560</v>
      </c>
      <c r="F3907" s="95" t="str">
        <f t="shared" si="306"/>
        <v>2024 09</v>
      </c>
      <c r="G3907" s="97" t="s">
        <v>5</v>
      </c>
      <c r="H3907" s="161" t="s">
        <v>2178</v>
      </c>
      <c r="I3907" s="97" t="s">
        <v>2005</v>
      </c>
      <c r="J3907" s="97" t="s">
        <v>2179</v>
      </c>
      <c r="K3907" s="29">
        <v>21.09</v>
      </c>
      <c r="L3907" s="29">
        <v>-5.91</v>
      </c>
      <c r="M3907" s="30">
        <f>IFERROR(VLOOKUP($A3907,HeadJournal!$A$1:$J$890,COLUMN(HeadJournal!I$1),0)*($K3907+$L3907)/(SUMIF($A:$A,$A3907,$K:$K)+SUMIF($A:$A,$A3907,$L:$L)),0)</f>
        <v>0</v>
      </c>
      <c r="N3907" s="30">
        <f>IFERROR((VLOOKUP($A3907,HeadJournal!$A$1:$K$890,COLUMN(HeadJournal!K$1),0)-VLOOKUP($A3907,HeadJournal!$A$1:$K$890,COLUMN(HeadJournal!J$1),0))*($K3907+$L3907)/(SUMIF($A:$A,$A3907,$K:$K)+SUMIF($A:$A,$A3907,$L:$L)),0)</f>
        <v>-2.3963649697485711E-15</v>
      </c>
      <c r="O3907" s="30">
        <f>IFERROR((VLOOKUP($A3907,HeadJournal!$A$1:$L$890,COLUMN(HeadJournal!L$1),0)*($K3907+$L3907)/(SUMIF($A:$A,$A3907,$K:$K)+SUMIF($A:$A,$A3907,$L:$L)))/VLOOKUP($A3907,HeadJournal!$A$1:$L$890,COLUMN(HeadJournal!H$1),0),0)</f>
        <v>0.87065891451966382</v>
      </c>
      <c r="P3907" s="30">
        <f>IFERROR(SUM(K3907:O3907)*VLOOKUP($A3907,HeadJournal!$A$1:$L$890,COLUMN(HeadJournal!H$1),0),0)</f>
        <v>1653.1786419684511</v>
      </c>
      <c r="Q3907" s="29">
        <v>2650</v>
      </c>
      <c r="R3907" s="31">
        <v>45583</v>
      </c>
      <c r="S3907" s="31" t="s">
        <v>3121</v>
      </c>
      <c r="T3907" s="95" t="str">
        <f t="shared" si="307"/>
        <v>2024 10</v>
      </c>
      <c r="U3907" s="32">
        <f t="shared" si="308"/>
        <v>996.82135803154893</v>
      </c>
      <c r="V3907" s="22">
        <f t="shared" si="309"/>
        <v>0.60297256008862232</v>
      </c>
      <c r="X3907" s="33"/>
      <c r="Y3907" s="33"/>
    </row>
    <row r="3908" spans="1:25" x14ac:dyDescent="0.2">
      <c r="A3908" s="93" t="s">
        <v>2192</v>
      </c>
      <c r="B3908" s="94" t="str">
        <f>IFERROR(VLOOKUP($A3908,HeadJournal!$A$1:$NTR$890,COLUMN(HeadJournal!B$1),0),"")</f>
        <v>720000399194</v>
      </c>
      <c r="C3908" s="94" t="str">
        <f>IFERROR(VLOOKUP($A3908,HeadJournal!$A$1:$NTR$890,COLUMN(HeadJournal!C$1),0),"")</f>
        <v>iHerb_AV CYG0792</v>
      </c>
      <c r="D3908" s="125" t="str">
        <f>IFERROR(VLOOKUP($A3908,HeadJournal!$A$1:$NTR$890,COLUMN(HeadJournal!D$1),0),"")</f>
        <v>Доставлен</v>
      </c>
      <c r="E3908" s="95">
        <f>IFERROR(VLOOKUP($A3908,HeadJournal!$A$1:$NTR$890,COLUMN(HeadJournal!G$1),0),"")</f>
        <v>45560</v>
      </c>
      <c r="F3908" s="95" t="str">
        <f t="shared" ref="F3908:F3971" si="310">IFERROR(TEXT(E3908, "ГГГГ ММ"),"")</f>
        <v>2024 09</v>
      </c>
      <c r="G3908" s="97" t="s">
        <v>5</v>
      </c>
      <c r="H3908" s="161" t="s">
        <v>2180</v>
      </c>
      <c r="I3908" s="97" t="s">
        <v>2005</v>
      </c>
      <c r="J3908" s="97" t="s">
        <v>2181</v>
      </c>
      <c r="K3908" s="29">
        <v>11.07</v>
      </c>
      <c r="L3908" s="29">
        <v>-3.1</v>
      </c>
      <c r="M3908" s="30">
        <f>IFERROR(VLOOKUP($A3908,HeadJournal!$A$1:$J$890,COLUMN(HeadJournal!I$1),0)*($K3908+$L3908)/(SUMIF($A:$A,$A3908,$K:$K)+SUMIF($A:$A,$A3908,$L:$L)),0)</f>
        <v>0</v>
      </c>
      <c r="N3908" s="30">
        <f>IFERROR((VLOOKUP($A3908,HeadJournal!$A$1:$K$890,COLUMN(HeadJournal!K$1),0)-VLOOKUP($A3908,HeadJournal!$A$1:$K$890,COLUMN(HeadJournal!J$1),0))*($K3908+$L3908)/(SUMIF($A:$A,$A3908,$K:$K)+SUMIF($A:$A,$A3908,$L:$L)),0)</f>
        <v>-1.258170540770495E-15</v>
      </c>
      <c r="O3908" s="30">
        <f>IFERROR((VLOOKUP($A3908,HeadJournal!$A$1:$L$890,COLUMN(HeadJournal!L$1),0)*($K3908+$L3908)/(SUMIF($A:$A,$A3908,$K:$K)+SUMIF($A:$A,$A3908,$L:$L)))/VLOOKUP($A3908,HeadJournal!$A$1:$L$890,COLUMN(HeadJournal!H$1),0),0)</f>
        <v>0.45712460795268256</v>
      </c>
      <c r="P3908" s="30">
        <f>IFERROR(SUM(K3908:O3908)*VLOOKUP($A3908,HeadJournal!$A$1:$L$890,COLUMN(HeadJournal!H$1),0),0)</f>
        <v>867.97323955787601</v>
      </c>
      <c r="Q3908" s="29">
        <v>1650</v>
      </c>
      <c r="R3908" s="31">
        <v>45583</v>
      </c>
      <c r="S3908" s="31" t="s">
        <v>3121</v>
      </c>
      <c r="T3908" s="95" t="str">
        <f t="shared" ref="T3908:T3971" si="311">IF(R3908="","",TEXT(R3908,"ГГГГ ММ"))</f>
        <v>2024 10</v>
      </c>
      <c r="U3908" s="32">
        <f t="shared" si="308"/>
        <v>782.02676044212399</v>
      </c>
      <c r="V3908" s="22">
        <f t="shared" si="309"/>
        <v>0.9009802662124341</v>
      </c>
      <c r="X3908" s="33"/>
      <c r="Y3908" s="33"/>
    </row>
    <row r="3909" spans="1:25" x14ac:dyDescent="0.2">
      <c r="A3909" s="93" t="s">
        <v>2192</v>
      </c>
      <c r="B3909" s="94" t="str">
        <f>IFERROR(VLOOKUP($A3909,HeadJournal!$A$1:$NTR$890,COLUMN(HeadJournal!B$1),0),"")</f>
        <v>720000399194</v>
      </c>
      <c r="C3909" s="94" t="str">
        <f>IFERROR(VLOOKUP($A3909,HeadJournal!$A$1:$NTR$890,COLUMN(HeadJournal!C$1),0),"")</f>
        <v>iHerb_AV CYG0792</v>
      </c>
      <c r="D3909" s="125" t="str">
        <f>IFERROR(VLOOKUP($A3909,HeadJournal!$A$1:$NTR$890,COLUMN(HeadJournal!D$1),0),"")</f>
        <v>Доставлен</v>
      </c>
      <c r="E3909" s="95">
        <f>IFERROR(VLOOKUP($A3909,HeadJournal!$A$1:$NTR$890,COLUMN(HeadJournal!G$1),0),"")</f>
        <v>45560</v>
      </c>
      <c r="F3909" s="95" t="str">
        <f t="shared" si="310"/>
        <v>2024 09</v>
      </c>
      <c r="G3909" s="97" t="s">
        <v>5</v>
      </c>
      <c r="H3909" s="161" t="s">
        <v>2182</v>
      </c>
      <c r="I3909" s="97" t="s">
        <v>2005</v>
      </c>
      <c r="J3909" s="97" t="s">
        <v>2183</v>
      </c>
      <c r="K3909" s="29">
        <v>20.52</v>
      </c>
      <c r="L3909" s="29">
        <v>-5.75</v>
      </c>
      <c r="M3909" s="30">
        <f>IFERROR(VLOOKUP($A3909,HeadJournal!$A$1:$J$890,COLUMN(HeadJournal!I$1),0)*($K3909+$L3909)/(SUMIF($A:$A,$A3909,$K:$K)+SUMIF($A:$A,$A3909,$L:$L)),0)</f>
        <v>0</v>
      </c>
      <c r="N3909" s="30">
        <f>IFERROR((VLOOKUP($A3909,HeadJournal!$A$1:$K$890,COLUMN(HeadJournal!K$1),0)-VLOOKUP($A3909,HeadJournal!$A$1:$K$890,COLUMN(HeadJournal!J$1),0))*($K3909+$L3909)/(SUMIF($A:$A,$A3909,$K:$K)+SUMIF($A:$A,$A3909,$L:$L)),0)</f>
        <v>-2.3316410147026613E-15</v>
      </c>
      <c r="O3909" s="30">
        <f>IFERROR((VLOOKUP($A3909,HeadJournal!$A$1:$L$890,COLUMN(HeadJournal!L$1),0)*($K3909+$L3909)/(SUMIF($A:$A,$A3909,$K:$K)+SUMIF($A:$A,$A3909,$L:$L)))/VLOOKUP($A3909,HeadJournal!$A$1:$L$890,COLUMN(HeadJournal!H$1),0),0)</f>
        <v>0.84714309403527233</v>
      </c>
      <c r="P3909" s="30">
        <f>IFERROR(SUM(K3909:O3909)*VLOOKUP($A3909,HeadJournal!$A$1:$L$890,COLUMN(HeadJournal!H$1),0),0)</f>
        <v>1608.52757192846</v>
      </c>
      <c r="Q3909" s="29">
        <v>2600</v>
      </c>
      <c r="R3909" s="31">
        <v>45583</v>
      </c>
      <c r="S3909" s="31" t="s">
        <v>3121</v>
      </c>
      <c r="T3909" s="95" t="str">
        <f t="shared" si="311"/>
        <v>2024 10</v>
      </c>
      <c r="U3909" s="32">
        <f t="shared" si="308"/>
        <v>991.47242807153998</v>
      </c>
      <c r="V3909" s="22">
        <f t="shared" si="309"/>
        <v>0.61638509987296397</v>
      </c>
      <c r="X3909" s="33"/>
      <c r="Y3909" s="33"/>
    </row>
    <row r="3910" spans="1:25" x14ac:dyDescent="0.2">
      <c r="A3910" s="93" t="s">
        <v>2192</v>
      </c>
      <c r="B3910" s="94" t="str">
        <f>IFERROR(VLOOKUP($A3910,HeadJournal!$A$1:$NTR$890,COLUMN(HeadJournal!B$1),0),"")</f>
        <v>720000399194</v>
      </c>
      <c r="C3910" s="94" t="str">
        <f>IFERROR(VLOOKUP($A3910,HeadJournal!$A$1:$NTR$890,COLUMN(HeadJournal!C$1),0),"")</f>
        <v>iHerb_AV CYG0792</v>
      </c>
      <c r="D3910" s="125" t="str">
        <f>IFERROR(VLOOKUP($A3910,HeadJournal!$A$1:$NTR$890,COLUMN(HeadJournal!D$1),0),"")</f>
        <v>Доставлен</v>
      </c>
      <c r="E3910" s="95">
        <f>IFERROR(VLOOKUP($A3910,HeadJournal!$A$1:$NTR$890,COLUMN(HeadJournal!G$1),0),"")</f>
        <v>45560</v>
      </c>
      <c r="F3910" s="95" t="str">
        <f t="shared" si="310"/>
        <v>2024 09</v>
      </c>
      <c r="G3910" s="97" t="s">
        <v>5</v>
      </c>
      <c r="H3910" s="161" t="s">
        <v>2184</v>
      </c>
      <c r="I3910" s="97" t="s">
        <v>2005</v>
      </c>
      <c r="J3910" s="97" t="s">
        <v>2185</v>
      </c>
      <c r="K3910" s="29">
        <v>16.47</v>
      </c>
      <c r="L3910" s="29">
        <v>-4.6100000000000003</v>
      </c>
      <c r="M3910" s="30">
        <f>IFERROR(VLOOKUP($A3910,HeadJournal!$A$1:$J$890,COLUMN(HeadJournal!I$1),0)*($K3910+$L3910)/(SUMIF($A:$A,$A3910,$K:$K)+SUMIF($A:$A,$A3910,$L:$L)),0)</f>
        <v>0</v>
      </c>
      <c r="N3910" s="30">
        <f>IFERROR((VLOOKUP($A3910,HeadJournal!$A$1:$K$890,COLUMN(HeadJournal!K$1),0)-VLOOKUP($A3910,HeadJournal!$A$1:$K$890,COLUMN(HeadJournal!J$1),0))*($K3910+$L3910)/(SUMIF($A:$A,$A3910,$K:$K)+SUMIF($A:$A,$A3910,$L:$L)),0)</f>
        <v>-1.8722587971816899E-15</v>
      </c>
      <c r="O3910" s="30">
        <f>IFERROR((VLOOKUP($A3910,HeadJournal!$A$1:$L$890,COLUMN(HeadJournal!L$1),0)*($K3910+$L3910)/(SUMIF($A:$A,$A3910,$K:$K)+SUMIF($A:$A,$A3910,$L:$L)))/VLOOKUP($A3910,HeadJournal!$A$1:$L$890,COLUMN(HeadJournal!H$1),0),0)</f>
        <v>0.68023812425581109</v>
      </c>
      <c r="P3910" s="30">
        <f>IFERROR(SUM(K3910:O3910)*VLOOKUP($A3910,HeadJournal!$A$1:$L$890,COLUMN(HeadJournal!H$1),0),0)</f>
        <v>1291.613879693401</v>
      </c>
      <c r="Q3910" s="29">
        <v>2100</v>
      </c>
      <c r="R3910" s="31">
        <v>45584</v>
      </c>
      <c r="S3910" s="31" t="s">
        <v>3121</v>
      </c>
      <c r="T3910" s="95" t="str">
        <f t="shared" si="311"/>
        <v>2024 10</v>
      </c>
      <c r="U3910" s="32">
        <f t="shared" si="308"/>
        <v>808.38612030659897</v>
      </c>
      <c r="V3910" s="22">
        <f t="shared" si="309"/>
        <v>0.62587289670384383</v>
      </c>
      <c r="X3910" s="33"/>
      <c r="Y3910" s="33"/>
    </row>
    <row r="3911" spans="1:25" x14ac:dyDescent="0.2">
      <c r="A3911" s="93" t="s">
        <v>2192</v>
      </c>
      <c r="B3911" s="94" t="str">
        <f>IFERROR(VLOOKUP($A3911,HeadJournal!$A$1:$NTR$890,COLUMN(HeadJournal!B$1),0),"")</f>
        <v>720000399194</v>
      </c>
      <c r="C3911" s="94" t="str">
        <f>IFERROR(VLOOKUP($A3911,HeadJournal!$A$1:$NTR$890,COLUMN(HeadJournal!C$1),0),"")</f>
        <v>iHerb_AV CYG0792</v>
      </c>
      <c r="D3911" s="125" t="str">
        <f>IFERROR(VLOOKUP($A3911,HeadJournal!$A$1:$NTR$890,COLUMN(HeadJournal!D$1),0),"")</f>
        <v>Доставлен</v>
      </c>
      <c r="E3911" s="95">
        <f>IFERROR(VLOOKUP($A3911,HeadJournal!$A$1:$NTR$890,COLUMN(HeadJournal!G$1),0),"")</f>
        <v>45560</v>
      </c>
      <c r="F3911" s="95" t="str">
        <f t="shared" si="310"/>
        <v>2024 09</v>
      </c>
      <c r="G3911" s="97" t="s">
        <v>5</v>
      </c>
      <c r="H3911" s="161" t="s">
        <v>2184</v>
      </c>
      <c r="I3911" s="97" t="s">
        <v>2005</v>
      </c>
      <c r="J3911" s="97" t="s">
        <v>2185</v>
      </c>
      <c r="K3911" s="29">
        <v>16.47</v>
      </c>
      <c r="L3911" s="29">
        <v>-4.6100000000000003</v>
      </c>
      <c r="M3911" s="30">
        <f>IFERROR(VLOOKUP($A3911,HeadJournal!$A$1:$J$890,COLUMN(HeadJournal!I$1),0)*($K3911+$L3911)/(SUMIF($A:$A,$A3911,$K:$K)+SUMIF($A:$A,$A3911,$L:$L)),0)</f>
        <v>0</v>
      </c>
      <c r="N3911" s="30">
        <f>IFERROR((VLOOKUP($A3911,HeadJournal!$A$1:$K$890,COLUMN(HeadJournal!K$1),0)-VLOOKUP($A3911,HeadJournal!$A$1:$K$890,COLUMN(HeadJournal!J$1),0))*($K3911+$L3911)/(SUMIF($A:$A,$A3911,$K:$K)+SUMIF($A:$A,$A3911,$L:$L)),0)</f>
        <v>-1.8722587971816899E-15</v>
      </c>
      <c r="O3911" s="30">
        <f>IFERROR((VLOOKUP($A3911,HeadJournal!$A$1:$L$890,COLUMN(HeadJournal!L$1),0)*($K3911+$L3911)/(SUMIF($A:$A,$A3911,$K:$K)+SUMIF($A:$A,$A3911,$L:$L)))/VLOOKUP($A3911,HeadJournal!$A$1:$L$890,COLUMN(HeadJournal!H$1),0),0)</f>
        <v>0.68023812425581109</v>
      </c>
      <c r="P3911" s="30">
        <f>IFERROR(SUM(K3911:O3911)*VLOOKUP($A3911,HeadJournal!$A$1:$L$890,COLUMN(HeadJournal!H$1),0),0)</f>
        <v>1291.613879693401</v>
      </c>
      <c r="Q3911" s="29">
        <v>2100</v>
      </c>
      <c r="R3911" s="31">
        <v>45584</v>
      </c>
      <c r="S3911" s="31" t="s">
        <v>3121</v>
      </c>
      <c r="T3911" s="95" t="str">
        <f t="shared" si="311"/>
        <v>2024 10</v>
      </c>
      <c r="U3911" s="32">
        <f t="shared" si="308"/>
        <v>808.38612030659897</v>
      </c>
      <c r="V3911" s="22">
        <f t="shared" si="309"/>
        <v>0.62587289670384383</v>
      </c>
      <c r="X3911" s="33"/>
      <c r="Y3911" s="33"/>
    </row>
    <row r="3912" spans="1:25" x14ac:dyDescent="0.2">
      <c r="A3912" s="93" t="s">
        <v>2192</v>
      </c>
      <c r="B3912" s="94" t="str">
        <f>IFERROR(VLOOKUP($A3912,HeadJournal!$A$1:$NTR$890,COLUMN(HeadJournal!B$1),0),"")</f>
        <v>720000399194</v>
      </c>
      <c r="C3912" s="94" t="str">
        <f>IFERROR(VLOOKUP($A3912,HeadJournal!$A$1:$NTR$890,COLUMN(HeadJournal!C$1),0),"")</f>
        <v>iHerb_AV CYG0792</v>
      </c>
      <c r="D3912" s="125" t="str">
        <f>IFERROR(VLOOKUP($A3912,HeadJournal!$A$1:$NTR$890,COLUMN(HeadJournal!D$1),0),"")</f>
        <v>Доставлен</v>
      </c>
      <c r="E3912" s="95">
        <f>IFERROR(VLOOKUP($A3912,HeadJournal!$A$1:$NTR$890,COLUMN(HeadJournal!G$1),0),"")</f>
        <v>45560</v>
      </c>
      <c r="F3912" s="95" t="str">
        <f t="shared" si="310"/>
        <v>2024 09</v>
      </c>
      <c r="G3912" s="97" t="s">
        <v>5</v>
      </c>
      <c r="H3912" s="161" t="s">
        <v>2024</v>
      </c>
      <c r="I3912" s="97" t="s">
        <v>2005</v>
      </c>
      <c r="J3912" s="97" t="s">
        <v>4140</v>
      </c>
      <c r="K3912" s="29">
        <v>18.59</v>
      </c>
      <c r="L3912" s="29">
        <v>-5.2050000000000001</v>
      </c>
      <c r="M3912" s="30">
        <f>IFERROR(VLOOKUP($A3912,HeadJournal!$A$1:$J$890,COLUMN(HeadJournal!I$1),0)*($K3912+$L3912)/(SUMIF($A:$A,$A3912,$K:$K)+SUMIF($A:$A,$A3912,$L:$L)),0)</f>
        <v>0</v>
      </c>
      <c r="N3912" s="30">
        <f>IFERROR((VLOOKUP($A3912,HeadJournal!$A$1:$K$890,COLUMN(HeadJournal!K$1),0)-VLOOKUP($A3912,HeadJournal!$A$1:$K$890,COLUMN(HeadJournal!J$1),0))*($K3912+$L3912)/(SUMIF($A:$A,$A3912,$K:$K)+SUMIF($A:$A,$A3912,$L:$L)),0)</f>
        <v>-2.1130003372914774E-15</v>
      </c>
      <c r="O3912" s="30">
        <f>IFERROR((VLOOKUP($A3912,HeadJournal!$A$1:$L$890,COLUMN(HeadJournal!L$1),0)*($K3912+$L3912)/(SUMIF($A:$A,$A3912,$K:$K)+SUMIF($A:$A,$A3912,$L:$L)))/VLOOKUP($A3912,HeadJournal!$A$1:$L$890,COLUMN(HeadJournal!H$1),0),0)</f>
        <v>0.76770550532580373</v>
      </c>
      <c r="P3912" s="30">
        <f>IFERROR(SUM(K3912:O3912)*VLOOKUP($A3912,HeadJournal!$A$1:$L$890,COLUMN(HeadJournal!H$1),0),0)</f>
        <v>1457.6940792323924</v>
      </c>
      <c r="Q3912" s="29">
        <v>2400</v>
      </c>
      <c r="R3912" s="31">
        <v>45730</v>
      </c>
      <c r="S3912" s="31" t="s">
        <v>3121</v>
      </c>
      <c r="T3912" s="95" t="str">
        <f t="shared" si="311"/>
        <v>2025 03</v>
      </c>
      <c r="U3912" s="32">
        <f t="shared" si="308"/>
        <v>942.30592076760763</v>
      </c>
      <c r="V3912" s="22">
        <f t="shared" si="309"/>
        <v>0.64643599380181116</v>
      </c>
      <c r="X3912" s="33"/>
      <c r="Y3912" s="33"/>
    </row>
    <row r="3913" spans="1:25" x14ac:dyDescent="0.2">
      <c r="A3913" s="93" t="s">
        <v>2192</v>
      </c>
      <c r="B3913" s="94" t="str">
        <f>IFERROR(VLOOKUP($A3913,HeadJournal!$A$1:$NTR$890,COLUMN(HeadJournal!B$1),0),"")</f>
        <v>720000399194</v>
      </c>
      <c r="C3913" s="94" t="str">
        <f>IFERROR(VLOOKUP($A3913,HeadJournal!$A$1:$NTR$890,COLUMN(HeadJournal!C$1),0),"")</f>
        <v>iHerb_AV CYG0792</v>
      </c>
      <c r="D3913" s="125" t="str">
        <f>IFERROR(VLOOKUP($A3913,HeadJournal!$A$1:$NTR$890,COLUMN(HeadJournal!D$1),0),"")</f>
        <v>Доставлен</v>
      </c>
      <c r="E3913" s="95">
        <f>IFERROR(VLOOKUP($A3913,HeadJournal!$A$1:$NTR$890,COLUMN(HeadJournal!G$1),0),"")</f>
        <v>45560</v>
      </c>
      <c r="F3913" s="95" t="str">
        <f t="shared" si="310"/>
        <v>2024 09</v>
      </c>
      <c r="G3913" s="97" t="s">
        <v>5</v>
      </c>
      <c r="H3913" s="161" t="s">
        <v>2024</v>
      </c>
      <c r="I3913" s="97" t="s">
        <v>2005</v>
      </c>
      <c r="J3913" s="97" t="s">
        <v>4140</v>
      </c>
      <c r="K3913" s="29">
        <v>18.59</v>
      </c>
      <c r="L3913" s="29">
        <v>-5.2050000000000001</v>
      </c>
      <c r="M3913" s="30">
        <f>IFERROR(VLOOKUP($A3913,HeadJournal!$A$1:$J$890,COLUMN(HeadJournal!I$1),0)*($K3913+$L3913)/(SUMIF($A:$A,$A3913,$K:$K)+SUMIF($A:$A,$A3913,$L:$L)),0)</f>
        <v>0</v>
      </c>
      <c r="N3913" s="30">
        <f>IFERROR((VLOOKUP($A3913,HeadJournal!$A$1:$K$890,COLUMN(HeadJournal!K$1),0)-VLOOKUP($A3913,HeadJournal!$A$1:$K$890,COLUMN(HeadJournal!J$1),0))*($K3913+$L3913)/(SUMIF($A:$A,$A3913,$K:$K)+SUMIF($A:$A,$A3913,$L:$L)),0)</f>
        <v>-2.1130003372914774E-15</v>
      </c>
      <c r="O3913" s="30">
        <f>IFERROR((VLOOKUP($A3913,HeadJournal!$A$1:$L$890,COLUMN(HeadJournal!L$1),0)*($K3913+$L3913)/(SUMIF($A:$A,$A3913,$K:$K)+SUMIF($A:$A,$A3913,$L:$L)))/VLOOKUP($A3913,HeadJournal!$A$1:$L$890,COLUMN(HeadJournal!H$1),0),0)</f>
        <v>0.76770550532580373</v>
      </c>
      <c r="P3913" s="30">
        <f>IFERROR(SUM(K3913:O3913)*VLOOKUP($A3913,HeadJournal!$A$1:$L$890,COLUMN(HeadJournal!H$1),0),0)</f>
        <v>1457.6940792323924</v>
      </c>
      <c r="Q3913" s="29">
        <v>2400</v>
      </c>
      <c r="R3913" s="31">
        <v>45730</v>
      </c>
      <c r="S3913" s="31" t="s">
        <v>3121</v>
      </c>
      <c r="T3913" s="95" t="str">
        <f t="shared" si="311"/>
        <v>2025 03</v>
      </c>
      <c r="U3913" s="32">
        <f t="shared" si="308"/>
        <v>942.30592076760763</v>
      </c>
      <c r="V3913" s="22">
        <f t="shared" si="309"/>
        <v>0.64643599380181116</v>
      </c>
      <c r="X3913" s="33"/>
      <c r="Y3913" s="33"/>
    </row>
    <row r="3914" spans="1:25" x14ac:dyDescent="0.2">
      <c r="A3914" s="93" t="s">
        <v>2192</v>
      </c>
      <c r="B3914" s="94" t="str">
        <f>IFERROR(VLOOKUP($A3914,HeadJournal!$A$1:$NTR$890,COLUMN(HeadJournal!B$1),0),"")</f>
        <v>720000399194</v>
      </c>
      <c r="C3914" s="94" t="str">
        <f>IFERROR(VLOOKUP($A3914,HeadJournal!$A$1:$NTR$890,COLUMN(HeadJournal!C$1),0),"")</f>
        <v>iHerb_AV CYG0792</v>
      </c>
      <c r="D3914" s="125" t="str">
        <f>IFERROR(VLOOKUP($A3914,HeadJournal!$A$1:$NTR$890,COLUMN(HeadJournal!D$1),0),"")</f>
        <v>Доставлен</v>
      </c>
      <c r="E3914" s="95">
        <f>IFERROR(VLOOKUP($A3914,HeadJournal!$A$1:$NTR$890,COLUMN(HeadJournal!G$1),0),"")</f>
        <v>45560</v>
      </c>
      <c r="F3914" s="95" t="str">
        <f t="shared" si="310"/>
        <v>2024 09</v>
      </c>
      <c r="G3914" s="97" t="s">
        <v>5</v>
      </c>
      <c r="H3914" s="161" t="s">
        <v>2186</v>
      </c>
      <c r="I3914" s="97" t="s">
        <v>2187</v>
      </c>
      <c r="J3914" s="97" t="s">
        <v>2188</v>
      </c>
      <c r="K3914" s="29">
        <v>15</v>
      </c>
      <c r="L3914" s="29">
        <v>-8.31</v>
      </c>
      <c r="M3914" s="30">
        <f>IFERROR(VLOOKUP($A3914,HeadJournal!$A$1:$J$890,COLUMN(HeadJournal!I$1),0)*($K3914+$L3914)/(SUMIF($A:$A,$A3914,$K:$K)+SUMIF($A:$A,$A3914,$L:$L)),0)</f>
        <v>0</v>
      </c>
      <c r="N3914" s="30">
        <f>IFERROR((VLOOKUP($A3914,HeadJournal!$A$1:$K$890,COLUMN(HeadJournal!K$1),0)-VLOOKUP($A3914,HeadJournal!$A$1:$K$890,COLUMN(HeadJournal!J$1),0))*($K3914+$L3914)/(SUMIF($A:$A,$A3914,$K:$K)+SUMIF($A:$A,$A3914,$L:$L)),0)</f>
        <v>-1.0561055103832637E-15</v>
      </c>
      <c r="O3914" s="30">
        <f>IFERROR((VLOOKUP($A3914,HeadJournal!$A$1:$L$890,COLUMN(HeadJournal!L$1),0)*($K3914+$L3914)/(SUMIF($A:$A,$A3914,$K:$K)+SUMIF($A:$A,$A3914,$L:$L)))/VLOOKUP($A3914,HeadJournal!$A$1:$L$890,COLUMN(HeadJournal!H$1),0),0)</f>
        <v>0.38370936351360679</v>
      </c>
      <c r="P3914" s="30">
        <f>IFERROR(SUM(K3914:O3914)*VLOOKUP($A3914,HeadJournal!$A$1:$L$890,COLUMN(HeadJournal!H$1),0),0)</f>
        <v>728.57477699400113</v>
      </c>
      <c r="Q3914" s="29"/>
      <c r="R3914" s="31"/>
      <c r="S3914" s="31"/>
      <c r="T3914" s="95" t="str">
        <f t="shared" si="311"/>
        <v/>
      </c>
      <c r="U3914" s="32">
        <f t="shared" si="308"/>
        <v>-728.57477699400113</v>
      </c>
      <c r="V3914" s="22" t="str">
        <f t="shared" si="309"/>
        <v/>
      </c>
      <c r="X3914" s="33"/>
      <c r="Y3914" s="33"/>
    </row>
    <row r="3915" spans="1:25" x14ac:dyDescent="0.2">
      <c r="A3915" s="93" t="s">
        <v>2192</v>
      </c>
      <c r="B3915" s="94" t="str">
        <f>IFERROR(VLOOKUP($A3915,HeadJournal!$A$1:$NTR$890,COLUMN(HeadJournal!B$1),0),"")</f>
        <v>720000399194</v>
      </c>
      <c r="C3915" s="94" t="str">
        <f>IFERROR(VLOOKUP($A3915,HeadJournal!$A$1:$NTR$890,COLUMN(HeadJournal!C$1),0),"")</f>
        <v>iHerb_AV CYG0792</v>
      </c>
      <c r="D3915" s="125" t="str">
        <f>IFERROR(VLOOKUP($A3915,HeadJournal!$A$1:$NTR$890,COLUMN(HeadJournal!D$1),0),"")</f>
        <v>Доставлен</v>
      </c>
      <c r="E3915" s="95">
        <f>IFERROR(VLOOKUP($A3915,HeadJournal!$A$1:$NTR$890,COLUMN(HeadJournal!G$1),0),"")</f>
        <v>45560</v>
      </c>
      <c r="F3915" s="95" t="str">
        <f t="shared" si="310"/>
        <v>2024 09</v>
      </c>
      <c r="G3915" s="97" t="s">
        <v>5</v>
      </c>
      <c r="H3915" s="161" t="s">
        <v>2189</v>
      </c>
      <c r="I3915" s="97" t="s">
        <v>2005</v>
      </c>
      <c r="J3915" s="97" t="s">
        <v>4154</v>
      </c>
      <c r="K3915" s="29">
        <v>30.48</v>
      </c>
      <c r="L3915" s="29">
        <v>-8.5350000000000001</v>
      </c>
      <c r="M3915" s="30">
        <f>IFERROR(VLOOKUP($A3915,HeadJournal!$A$1:$J$890,COLUMN(HeadJournal!I$1),0)*($K3915+$L3915)/(SUMIF($A:$A,$A3915,$K:$K)+SUMIF($A:$A,$A3915,$L:$L)),0)</f>
        <v>0</v>
      </c>
      <c r="N3915" s="30">
        <f>IFERROR((VLOOKUP($A3915,HeadJournal!$A$1:$K$890,COLUMN(HeadJournal!K$1),0)-VLOOKUP($A3915,HeadJournal!$A$1:$K$890,COLUMN(HeadJournal!J$1),0))*($K3915+$L3915)/(SUMIF($A:$A,$A3915,$K:$K)+SUMIF($A:$A,$A3915,$L:$L)),0)</f>
        <v>-3.464310228006087E-15</v>
      </c>
      <c r="O3915" s="30">
        <f>IFERROR((VLOOKUP($A3915,HeadJournal!$A$1:$L$890,COLUMN(HeadJournal!L$1),0)*($K3915+$L3915)/(SUMIF($A:$A,$A3915,$K:$K)+SUMIF($A:$A,$A3915,$L:$L)))/VLOOKUP($A3915,HeadJournal!$A$1:$L$890,COLUMN(HeadJournal!H$1),0),0)</f>
        <v>1.2586699525121228</v>
      </c>
      <c r="P3915" s="30">
        <f>IFERROR(SUM(K3915:O3915)*VLOOKUP($A3915,HeadJournal!$A$1:$L$890,COLUMN(HeadJournal!H$1),0),0)</f>
        <v>2389.9212976283043</v>
      </c>
      <c r="Q3915" s="29">
        <v>3600</v>
      </c>
      <c r="R3915" s="31">
        <v>45608</v>
      </c>
      <c r="S3915" s="31" t="s">
        <v>3121</v>
      </c>
      <c r="T3915" s="95" t="str">
        <f t="shared" si="311"/>
        <v>2024 11</v>
      </c>
      <c r="U3915" s="32">
        <f t="shared" si="308"/>
        <v>1210.0787023716957</v>
      </c>
      <c r="V3915" s="22">
        <f t="shared" si="309"/>
        <v>0.50632575372776767</v>
      </c>
      <c r="X3915" s="33"/>
      <c r="Y3915" s="33"/>
    </row>
    <row r="3916" spans="1:25" x14ac:dyDescent="0.2">
      <c r="A3916" s="93" t="s">
        <v>2192</v>
      </c>
      <c r="B3916" s="94" t="str">
        <f>IFERROR(VLOOKUP($A3916,HeadJournal!$A$1:$NTR$890,COLUMN(HeadJournal!B$1),0),"")</f>
        <v>720000399194</v>
      </c>
      <c r="C3916" s="94" t="str">
        <f>IFERROR(VLOOKUP($A3916,HeadJournal!$A$1:$NTR$890,COLUMN(HeadJournal!C$1),0),"")</f>
        <v>iHerb_AV CYG0792</v>
      </c>
      <c r="D3916" s="125" t="str">
        <f>IFERROR(VLOOKUP($A3916,HeadJournal!$A$1:$NTR$890,COLUMN(HeadJournal!D$1),0),"")</f>
        <v>Доставлен</v>
      </c>
      <c r="E3916" s="95">
        <f>IFERROR(VLOOKUP($A3916,HeadJournal!$A$1:$NTR$890,COLUMN(HeadJournal!G$1),0),"")</f>
        <v>45560</v>
      </c>
      <c r="F3916" s="95" t="str">
        <f t="shared" si="310"/>
        <v>2024 09</v>
      </c>
      <c r="G3916" s="97" t="s">
        <v>5</v>
      </c>
      <c r="H3916" s="161" t="s">
        <v>2189</v>
      </c>
      <c r="I3916" s="97" t="s">
        <v>2005</v>
      </c>
      <c r="J3916" s="97" t="s">
        <v>4154</v>
      </c>
      <c r="K3916" s="29">
        <v>30.48</v>
      </c>
      <c r="L3916" s="29">
        <v>-8.5350000000000001</v>
      </c>
      <c r="M3916" s="30">
        <f>IFERROR(VLOOKUP($A3916,HeadJournal!$A$1:$J$890,COLUMN(HeadJournal!I$1),0)*($K3916+$L3916)/(SUMIF($A:$A,$A3916,$K:$K)+SUMIF($A:$A,$A3916,$L:$L)),0)</f>
        <v>0</v>
      </c>
      <c r="N3916" s="30">
        <f>IFERROR((VLOOKUP($A3916,HeadJournal!$A$1:$K$890,COLUMN(HeadJournal!K$1),0)-VLOOKUP($A3916,HeadJournal!$A$1:$K$890,COLUMN(HeadJournal!J$1),0))*($K3916+$L3916)/(SUMIF($A:$A,$A3916,$K:$K)+SUMIF($A:$A,$A3916,$L:$L)),0)</f>
        <v>-3.464310228006087E-15</v>
      </c>
      <c r="O3916" s="30">
        <f>IFERROR((VLOOKUP($A3916,HeadJournal!$A$1:$L$890,COLUMN(HeadJournal!L$1),0)*($K3916+$L3916)/(SUMIF($A:$A,$A3916,$K:$K)+SUMIF($A:$A,$A3916,$L:$L)))/VLOOKUP($A3916,HeadJournal!$A$1:$L$890,COLUMN(HeadJournal!H$1),0),0)</f>
        <v>1.2586699525121228</v>
      </c>
      <c r="P3916" s="30">
        <f>IFERROR(SUM(K3916:O3916)*VLOOKUP($A3916,HeadJournal!$A$1:$L$890,COLUMN(HeadJournal!H$1),0),0)</f>
        <v>2389.9212976283043</v>
      </c>
      <c r="Q3916" s="29">
        <v>3700</v>
      </c>
      <c r="R3916" s="31">
        <v>45630</v>
      </c>
      <c r="S3916" s="31" t="s">
        <v>3121</v>
      </c>
      <c r="T3916" s="95" t="str">
        <f t="shared" si="311"/>
        <v>2024 12</v>
      </c>
      <c r="U3916" s="32">
        <f t="shared" si="308"/>
        <v>1310.0787023716957</v>
      </c>
      <c r="V3916" s="22">
        <f t="shared" si="309"/>
        <v>0.54816813577576118</v>
      </c>
      <c r="X3916" s="33"/>
      <c r="Y3916" s="33"/>
    </row>
    <row r="3917" spans="1:25" x14ac:dyDescent="0.2">
      <c r="A3917" s="93" t="s">
        <v>2192</v>
      </c>
      <c r="B3917" s="94" t="str">
        <f>IFERROR(VLOOKUP($A3917,HeadJournal!$A$1:$NTR$890,COLUMN(HeadJournal!B$1),0),"")</f>
        <v>720000399194</v>
      </c>
      <c r="C3917" s="94" t="str">
        <f>IFERROR(VLOOKUP($A3917,HeadJournal!$A$1:$NTR$890,COLUMN(HeadJournal!C$1),0),"")</f>
        <v>iHerb_AV CYG0792</v>
      </c>
      <c r="D3917" s="125" t="str">
        <f>IFERROR(VLOOKUP($A3917,HeadJournal!$A$1:$NTR$890,COLUMN(HeadJournal!D$1),0),"")</f>
        <v>Доставлен</v>
      </c>
      <c r="E3917" s="95">
        <f>IFERROR(VLOOKUP($A3917,HeadJournal!$A$1:$NTR$890,COLUMN(HeadJournal!G$1),0),"")</f>
        <v>45560</v>
      </c>
      <c r="F3917" s="95" t="str">
        <f t="shared" si="310"/>
        <v>2024 09</v>
      </c>
      <c r="G3917" s="97" t="s">
        <v>5</v>
      </c>
      <c r="H3917" s="161" t="s">
        <v>2190</v>
      </c>
      <c r="I3917" s="97" t="s">
        <v>2005</v>
      </c>
      <c r="J3917" s="97" t="s">
        <v>2191</v>
      </c>
      <c r="K3917" s="29">
        <v>14.28</v>
      </c>
      <c r="L3917" s="29">
        <v>-4</v>
      </c>
      <c r="M3917" s="30">
        <f>IFERROR(VLOOKUP($A3917,HeadJournal!$A$1:$J$890,COLUMN(HeadJournal!I$1),0)*($K3917+$L3917)/(SUMIF($A:$A,$A3917,$K:$K)+SUMIF($A:$A,$A3917,$L:$L)),0)</f>
        <v>0</v>
      </c>
      <c r="N3917" s="30">
        <f>IFERROR((VLOOKUP($A3917,HeadJournal!$A$1:$K$890,COLUMN(HeadJournal!K$1),0)-VLOOKUP($A3917,HeadJournal!$A$1:$K$890,COLUMN(HeadJournal!J$1),0))*($K3917+$L3917)/(SUMIF($A:$A,$A3917,$K:$K)+SUMIF($A:$A,$A3917,$L:$L)),0)</f>
        <v>-1.6228347752974514E-15</v>
      </c>
      <c r="O3917" s="30">
        <f>IFERROR((VLOOKUP($A3917,HeadJournal!$A$1:$L$890,COLUMN(HeadJournal!L$1),0)*($K3917+$L3917)/(SUMIF($A:$A,$A3917,$K:$K)+SUMIF($A:$A,$A3917,$L:$L)))/VLOOKUP($A3917,HeadJournal!$A$1:$L$890,COLUMN(HeadJournal!H$1),0),0)</f>
        <v>0.58961618190132703</v>
      </c>
      <c r="P3917" s="30">
        <f>IFERROR(SUM(K3917:O3917)*VLOOKUP($A3917,HeadJournal!$A$1:$L$890,COLUMN(HeadJournal!H$1),0),0)</f>
        <v>1119.5439024661184</v>
      </c>
      <c r="Q3917" s="29">
        <v>2000</v>
      </c>
      <c r="R3917" s="31">
        <v>45696</v>
      </c>
      <c r="S3917" s="31" t="s">
        <v>3121</v>
      </c>
      <c r="T3917" s="95" t="str">
        <f t="shared" si="311"/>
        <v>2025 02</v>
      </c>
      <c r="U3917" s="32">
        <f t="shared" si="308"/>
        <v>880.45609753388158</v>
      </c>
      <c r="V3917" s="22">
        <f t="shared" si="309"/>
        <v>0.78644177829419915</v>
      </c>
      <c r="X3917" s="33"/>
      <c r="Y3917" s="33"/>
    </row>
    <row r="3918" spans="1:25" x14ac:dyDescent="0.2">
      <c r="A3918" s="93" t="s">
        <v>2209</v>
      </c>
      <c r="B3918" s="94" t="str">
        <f>IFERROR(VLOOKUP($A3918,HeadJournal!$A$1:$NTR$890,COLUMN(HeadJournal!B$1),0),"")</f>
        <v>720000425262</v>
      </c>
      <c r="C3918" s="94" t="str">
        <f>IFERROR(VLOOKUP($A3918,HeadJournal!$A$1:$NTR$890,COLUMN(HeadJournal!C$1),0),"")</f>
        <v>iHerb_AV CYG0792</v>
      </c>
      <c r="D3918" s="125" t="str">
        <f>IFERROR(VLOOKUP($A3918,HeadJournal!$A$1:$NTR$890,COLUMN(HeadJournal!D$1),0),"")</f>
        <v>Доставлен</v>
      </c>
      <c r="E3918" s="95">
        <f>IFERROR(VLOOKUP($A3918,HeadJournal!$A$1:$NTR$890,COLUMN(HeadJournal!G$1),0),"")</f>
        <v>45565</v>
      </c>
      <c r="F3918" s="95" t="str">
        <f t="shared" si="310"/>
        <v>2024 09</v>
      </c>
      <c r="G3918" s="97" t="s">
        <v>5</v>
      </c>
      <c r="H3918" s="161" t="s">
        <v>2194</v>
      </c>
      <c r="I3918" s="97" t="s">
        <v>2166</v>
      </c>
      <c r="J3918" s="97" t="s">
        <v>2195</v>
      </c>
      <c r="K3918" s="29">
        <v>26.77</v>
      </c>
      <c r="L3918" s="29">
        <v>-7.5</v>
      </c>
      <c r="M3918" s="30">
        <f>IFERROR(VLOOKUP($A3918,HeadJournal!$A$1:$J$890,COLUMN(HeadJournal!I$1),0)*($K3918+$L3918)/(SUMIF($A:$A,$A3918,$K:$K)+SUMIF($A:$A,$A3918,$L:$L)),0)</f>
        <v>0</v>
      </c>
      <c r="N3918" s="30">
        <f>IFERROR((VLOOKUP($A3918,HeadJournal!$A$1:$K$890,COLUMN(HeadJournal!K$1),0)-VLOOKUP($A3918,HeadJournal!$A$1:$K$890,COLUMN(HeadJournal!J$1),0))*($K3918+$L3918)/(SUMIF($A:$A,$A3918,$K:$K)+SUMIF($A:$A,$A3918,$L:$L)),0)</f>
        <v>2.9241128709230394E-15</v>
      </c>
      <c r="O3918" s="30">
        <f>IFERROR((VLOOKUP($A3918,HeadJournal!$A$1:$L$890,COLUMN(HeadJournal!L$1),0)*($K3918+$L3918)/(SUMIF($A:$A,$A3918,$K:$K)+SUMIF($A:$A,$A3918,$L:$L)))/VLOOKUP($A3918,HeadJournal!$A$1:$L$890,COLUMN(HeadJournal!H$1),0),0)</f>
        <v>0.9543388387203684</v>
      </c>
      <c r="P3918" s="30">
        <f>IFERROR(SUM(K3918:O3918)*VLOOKUP($A3918,HeadJournal!$A$1:$L$890,COLUMN(HeadJournal!H$1),0),0)</f>
        <v>2093.8410249154658</v>
      </c>
      <c r="Q3918" s="29">
        <v>3200</v>
      </c>
      <c r="R3918" s="31">
        <v>45591</v>
      </c>
      <c r="S3918" s="31" t="s">
        <v>3121</v>
      </c>
      <c r="T3918" s="95" t="str">
        <f t="shared" si="311"/>
        <v>2024 10</v>
      </c>
      <c r="U3918" s="32">
        <f t="shared" si="308"/>
        <v>1106.1589750845342</v>
      </c>
      <c r="V3918" s="22">
        <f t="shared" si="309"/>
        <v>0.52829176710261128</v>
      </c>
      <c r="X3918" s="33"/>
      <c r="Y3918" s="33"/>
    </row>
    <row r="3919" spans="1:25" x14ac:dyDescent="0.2">
      <c r="A3919" s="93" t="s">
        <v>2209</v>
      </c>
      <c r="B3919" s="94" t="str">
        <f>IFERROR(VLOOKUP($A3919,HeadJournal!$A$1:$NTR$890,COLUMN(HeadJournal!B$1),0),"")</f>
        <v>720000425262</v>
      </c>
      <c r="C3919" s="94" t="str">
        <f>IFERROR(VLOOKUP($A3919,HeadJournal!$A$1:$NTR$890,COLUMN(HeadJournal!C$1),0),"")</f>
        <v>iHerb_AV CYG0792</v>
      </c>
      <c r="D3919" s="125" t="str">
        <f>IFERROR(VLOOKUP($A3919,HeadJournal!$A$1:$NTR$890,COLUMN(HeadJournal!D$1),0),"")</f>
        <v>Доставлен</v>
      </c>
      <c r="E3919" s="95">
        <f>IFERROR(VLOOKUP($A3919,HeadJournal!$A$1:$NTR$890,COLUMN(HeadJournal!G$1),0),"")</f>
        <v>45565</v>
      </c>
      <c r="F3919" s="95" t="str">
        <f t="shared" si="310"/>
        <v>2024 09</v>
      </c>
      <c r="G3919" s="97" t="s">
        <v>5</v>
      </c>
      <c r="H3919" s="161" t="s">
        <v>2196</v>
      </c>
      <c r="I3919" s="97" t="s">
        <v>2006</v>
      </c>
      <c r="J3919" s="97" t="s">
        <v>2197</v>
      </c>
      <c r="K3919" s="29">
        <v>17.21</v>
      </c>
      <c r="L3919" s="29">
        <v>-4.82</v>
      </c>
      <c r="M3919" s="30">
        <f>IFERROR(VLOOKUP($A3919,HeadJournal!$A$1:$J$890,COLUMN(HeadJournal!I$1),0)*($K3919+$L3919)/(SUMIF($A:$A,$A3919,$K:$K)+SUMIF($A:$A,$A3919,$L:$L)),0)</f>
        <v>0</v>
      </c>
      <c r="N3919" s="30">
        <f>IFERROR((VLOOKUP($A3919,HeadJournal!$A$1:$K$890,COLUMN(HeadJournal!K$1),0)-VLOOKUP($A3919,HeadJournal!$A$1:$K$890,COLUMN(HeadJournal!J$1),0))*($K3919+$L3919)/(SUMIF($A:$A,$A3919,$K:$K)+SUMIF($A:$A,$A3919,$L:$L)),0)</f>
        <v>1.8801120119738693E-15</v>
      </c>
      <c r="O3919" s="30">
        <f>IFERROR((VLOOKUP($A3919,HeadJournal!$A$1:$L$890,COLUMN(HeadJournal!L$1),0)*($K3919+$L3919)/(SUMIF($A:$A,$A3919,$K:$K)+SUMIF($A:$A,$A3919,$L:$L)))/VLOOKUP($A3919,HeadJournal!$A$1:$L$890,COLUMN(HeadJournal!H$1),0),0)</f>
        <v>0.61360966329763178</v>
      </c>
      <c r="P3919" s="30">
        <f>IFERROR(SUM(K3919:O3919)*VLOOKUP($A3919,HeadJournal!$A$1:$L$890,COLUMN(HeadJournal!H$1),0),0)</f>
        <v>1346.2734975974377</v>
      </c>
      <c r="Q3919" s="29">
        <v>2500</v>
      </c>
      <c r="R3919" s="31">
        <v>45687</v>
      </c>
      <c r="S3919" s="31" t="s">
        <v>3121</v>
      </c>
      <c r="T3919" s="95" t="str">
        <f t="shared" si="311"/>
        <v>2025 01</v>
      </c>
      <c r="U3919" s="32">
        <f t="shared" si="308"/>
        <v>1153.7265024025623</v>
      </c>
      <c r="V3919" s="22">
        <f t="shared" si="309"/>
        <v>0.85697780165880477</v>
      </c>
      <c r="X3919" s="33"/>
      <c r="Y3919" s="33"/>
    </row>
    <row r="3920" spans="1:25" x14ac:dyDescent="0.2">
      <c r="A3920" s="93" t="s">
        <v>2209</v>
      </c>
      <c r="B3920" s="94" t="str">
        <f>IFERROR(VLOOKUP($A3920,HeadJournal!$A$1:$NTR$890,COLUMN(HeadJournal!B$1),0),"")</f>
        <v>720000425262</v>
      </c>
      <c r="C3920" s="94" t="str">
        <f>IFERROR(VLOOKUP($A3920,HeadJournal!$A$1:$NTR$890,COLUMN(HeadJournal!C$1),0),"")</f>
        <v>iHerb_AV CYG0792</v>
      </c>
      <c r="D3920" s="125" t="str">
        <f>IFERROR(VLOOKUP($A3920,HeadJournal!$A$1:$NTR$890,COLUMN(HeadJournal!D$1),0),"")</f>
        <v>Доставлен</v>
      </c>
      <c r="E3920" s="95">
        <f>IFERROR(VLOOKUP($A3920,HeadJournal!$A$1:$NTR$890,COLUMN(HeadJournal!G$1),0),"")</f>
        <v>45565</v>
      </c>
      <c r="F3920" s="95" t="str">
        <f t="shared" si="310"/>
        <v>2024 09</v>
      </c>
      <c r="G3920" s="97" t="s">
        <v>5</v>
      </c>
      <c r="H3920" s="161" t="s">
        <v>2196</v>
      </c>
      <c r="I3920" s="97" t="s">
        <v>2006</v>
      </c>
      <c r="J3920" s="97" t="s">
        <v>2197</v>
      </c>
      <c r="K3920" s="29">
        <v>17.21</v>
      </c>
      <c r="L3920" s="29">
        <v>-4.82</v>
      </c>
      <c r="M3920" s="30">
        <f>IFERROR(VLOOKUP($A3920,HeadJournal!$A$1:$J$890,COLUMN(HeadJournal!I$1),0)*($K3920+$L3920)/(SUMIF($A:$A,$A3920,$K:$K)+SUMIF($A:$A,$A3920,$L:$L)),0)</f>
        <v>0</v>
      </c>
      <c r="N3920" s="30">
        <f>IFERROR((VLOOKUP($A3920,HeadJournal!$A$1:$K$890,COLUMN(HeadJournal!K$1),0)-VLOOKUP($A3920,HeadJournal!$A$1:$K$890,COLUMN(HeadJournal!J$1),0))*($K3920+$L3920)/(SUMIF($A:$A,$A3920,$K:$K)+SUMIF($A:$A,$A3920,$L:$L)),0)</f>
        <v>1.8801120119738693E-15</v>
      </c>
      <c r="O3920" s="30">
        <f>IFERROR((VLOOKUP($A3920,HeadJournal!$A$1:$L$890,COLUMN(HeadJournal!L$1),0)*($K3920+$L3920)/(SUMIF($A:$A,$A3920,$K:$K)+SUMIF($A:$A,$A3920,$L:$L)))/VLOOKUP($A3920,HeadJournal!$A$1:$L$890,COLUMN(HeadJournal!H$1),0),0)</f>
        <v>0.61360966329763178</v>
      </c>
      <c r="P3920" s="30">
        <f>IFERROR(SUM(K3920:O3920)*VLOOKUP($A3920,HeadJournal!$A$1:$L$890,COLUMN(HeadJournal!H$1),0),0)</f>
        <v>1346.2734975974377</v>
      </c>
      <c r="Q3920" s="29">
        <v>2400</v>
      </c>
      <c r="R3920" s="31">
        <v>45712</v>
      </c>
      <c r="S3920" s="31" t="s">
        <v>3121</v>
      </c>
      <c r="T3920" s="95" t="str">
        <f t="shared" si="311"/>
        <v>2025 02</v>
      </c>
      <c r="U3920" s="32">
        <f t="shared" si="308"/>
        <v>1053.7265024025623</v>
      </c>
      <c r="V3920" s="22">
        <f t="shared" si="309"/>
        <v>0.78269868959245259</v>
      </c>
      <c r="X3920" s="33"/>
      <c r="Y3920" s="33"/>
    </row>
    <row r="3921" spans="1:25" x14ac:dyDescent="0.2">
      <c r="A3921" s="93" t="s">
        <v>2209</v>
      </c>
      <c r="B3921" s="94" t="str">
        <f>IFERROR(VLOOKUP($A3921,HeadJournal!$A$1:$NTR$890,COLUMN(HeadJournal!B$1),0),"")</f>
        <v>720000425262</v>
      </c>
      <c r="C3921" s="94" t="str">
        <f>IFERROR(VLOOKUP($A3921,HeadJournal!$A$1:$NTR$890,COLUMN(HeadJournal!C$1),0),"")</f>
        <v>iHerb_AV CYG0792</v>
      </c>
      <c r="D3921" s="125" t="str">
        <f>IFERROR(VLOOKUP($A3921,HeadJournal!$A$1:$NTR$890,COLUMN(HeadJournal!D$1),0),"")</f>
        <v>Доставлен</v>
      </c>
      <c r="E3921" s="95">
        <f>IFERROR(VLOOKUP($A3921,HeadJournal!$A$1:$NTR$890,COLUMN(HeadJournal!G$1),0),"")</f>
        <v>45565</v>
      </c>
      <c r="F3921" s="95" t="str">
        <f t="shared" si="310"/>
        <v>2024 09</v>
      </c>
      <c r="G3921" s="97" t="s">
        <v>5</v>
      </c>
      <c r="H3921" s="161" t="s">
        <v>2158</v>
      </c>
      <c r="I3921" s="97" t="s">
        <v>2159</v>
      </c>
      <c r="J3921" s="97" t="s">
        <v>2852</v>
      </c>
      <c r="K3921" s="29">
        <v>21.34</v>
      </c>
      <c r="L3921" s="29">
        <v>-5.98</v>
      </c>
      <c r="M3921" s="30">
        <f>IFERROR(VLOOKUP($A3921,HeadJournal!$A$1:$J$890,COLUMN(HeadJournal!I$1),0)*($K3921+$L3921)/(SUMIF($A:$A,$A3921,$K:$K)+SUMIF($A:$A,$A3921,$L:$L)),0)</f>
        <v>0</v>
      </c>
      <c r="N3921" s="30">
        <f>IFERROR((VLOOKUP($A3921,HeadJournal!$A$1:$K$890,COLUMN(HeadJournal!K$1),0)-VLOOKUP($A3921,HeadJournal!$A$1:$K$890,COLUMN(HeadJournal!J$1),0))*($K3921+$L3921)/(SUMIF($A:$A,$A3921,$K:$K)+SUMIF($A:$A,$A3921,$L:$L)),0)</f>
        <v>2.33079261532838E-15</v>
      </c>
      <c r="O3921" s="30">
        <f>IFERROR((VLOOKUP($A3921,HeadJournal!$A$1:$L$890,COLUMN(HeadJournal!L$1),0)*($K3921+$L3921)/(SUMIF($A:$A,$A3921,$K:$K)+SUMIF($A:$A,$A3921,$L:$L)))/VLOOKUP($A3921,HeadJournal!$A$1:$L$890,COLUMN(HeadJournal!H$1),0),0)</f>
        <v>0.7606976939670399</v>
      </c>
      <c r="P3921" s="30">
        <f>IFERROR(SUM(K3921:O3921)*VLOOKUP($A3921,HeadJournal!$A$1:$L$890,COLUMN(HeadJournal!H$1),0),0)</f>
        <v>1668.9879679658306</v>
      </c>
      <c r="Q3921" s="29">
        <v>2800</v>
      </c>
      <c r="R3921" s="31">
        <v>45644</v>
      </c>
      <c r="S3921" s="31" t="s">
        <v>3121</v>
      </c>
      <c r="T3921" s="95" t="str">
        <f t="shared" si="311"/>
        <v>2024 12</v>
      </c>
      <c r="U3921" s="32">
        <f t="shared" si="308"/>
        <v>1131.0120320341694</v>
      </c>
      <c r="V3921" s="22">
        <f t="shared" si="309"/>
        <v>0.67766338268612647</v>
      </c>
      <c r="X3921" s="33"/>
      <c r="Y3921" s="33"/>
    </row>
    <row r="3922" spans="1:25" x14ac:dyDescent="0.2">
      <c r="A3922" s="93" t="s">
        <v>2209</v>
      </c>
      <c r="B3922" s="94" t="str">
        <f>IFERROR(VLOOKUP($A3922,HeadJournal!$A$1:$NTR$890,COLUMN(HeadJournal!B$1),0),"")</f>
        <v>720000425262</v>
      </c>
      <c r="C3922" s="94" t="str">
        <f>IFERROR(VLOOKUP($A3922,HeadJournal!$A$1:$NTR$890,COLUMN(HeadJournal!C$1),0),"")</f>
        <v>iHerb_AV CYG0792</v>
      </c>
      <c r="D3922" s="125" t="str">
        <f>IFERROR(VLOOKUP($A3922,HeadJournal!$A$1:$NTR$890,COLUMN(HeadJournal!D$1),0),"")</f>
        <v>Доставлен</v>
      </c>
      <c r="E3922" s="95">
        <f>IFERROR(VLOOKUP($A3922,HeadJournal!$A$1:$NTR$890,COLUMN(HeadJournal!G$1),0),"")</f>
        <v>45565</v>
      </c>
      <c r="F3922" s="95" t="str">
        <f t="shared" si="310"/>
        <v>2024 09</v>
      </c>
      <c r="G3922" s="97" t="s">
        <v>5</v>
      </c>
      <c r="H3922" s="161" t="s">
        <v>2198</v>
      </c>
      <c r="I3922" s="97" t="s">
        <v>2009</v>
      </c>
      <c r="J3922" s="97" t="s">
        <v>2199</v>
      </c>
      <c r="K3922" s="29">
        <v>22.91</v>
      </c>
      <c r="L3922" s="29">
        <v>-6.41</v>
      </c>
      <c r="M3922" s="30">
        <f>IFERROR(VLOOKUP($A3922,HeadJournal!$A$1:$J$890,COLUMN(HeadJournal!I$1),0)*($K3922+$L3922)/(SUMIF($A:$A,$A3922,$K:$K)+SUMIF($A:$A,$A3922,$L:$L)),0)</f>
        <v>0</v>
      </c>
      <c r="N3922" s="30">
        <f>IFERROR((VLOOKUP($A3922,HeadJournal!$A$1:$K$890,COLUMN(HeadJournal!K$1),0)-VLOOKUP($A3922,HeadJournal!$A$1:$K$890,COLUMN(HeadJournal!J$1),0))*($K3922+$L3922)/(SUMIF($A:$A,$A3922,$K:$K)+SUMIF($A:$A,$A3922,$L:$L)),0)</f>
        <v>2.5037811297472833E-15</v>
      </c>
      <c r="O3922" s="30">
        <f>IFERROR((VLOOKUP($A3922,HeadJournal!$A$1:$L$890,COLUMN(HeadJournal!L$1),0)*($K3922+$L3922)/(SUMIF($A:$A,$A3922,$K:$K)+SUMIF($A:$A,$A3922,$L:$L)))/VLOOKUP($A3922,HeadJournal!$A$1:$L$890,COLUMN(HeadJournal!H$1),0),0)</f>
        <v>0.81715572594115615</v>
      </c>
      <c r="P3922" s="30">
        <f>IFERROR(SUM(K3922:O3922)*VLOOKUP($A3922,HeadJournal!$A$1:$L$890,COLUMN(HeadJournal!H$1),0),0)</f>
        <v>1792.8581687132946</v>
      </c>
      <c r="Q3922" s="29">
        <v>2900</v>
      </c>
      <c r="R3922" s="31">
        <v>45619</v>
      </c>
      <c r="S3922" s="31" t="s">
        <v>3121</v>
      </c>
      <c r="T3922" s="95" t="str">
        <f t="shared" si="311"/>
        <v>2024 11</v>
      </c>
      <c r="U3922" s="32">
        <f t="shared" si="308"/>
        <v>1107.1418312867054</v>
      </c>
      <c r="V3922" s="22">
        <f t="shared" si="309"/>
        <v>0.61752895494309135</v>
      </c>
      <c r="X3922" s="33"/>
      <c r="Y3922" s="33"/>
    </row>
    <row r="3923" spans="1:25" x14ac:dyDescent="0.2">
      <c r="A3923" s="93" t="s">
        <v>2209</v>
      </c>
      <c r="B3923" s="94" t="str">
        <f>IFERROR(VLOOKUP($A3923,HeadJournal!$A$1:$NTR$890,COLUMN(HeadJournal!B$1),0),"")</f>
        <v>720000425262</v>
      </c>
      <c r="C3923" s="94" t="str">
        <f>IFERROR(VLOOKUP($A3923,HeadJournal!$A$1:$NTR$890,COLUMN(HeadJournal!C$1),0),"")</f>
        <v>iHerb_AV CYG0792</v>
      </c>
      <c r="D3923" s="125" t="str">
        <f>IFERROR(VLOOKUP($A3923,HeadJournal!$A$1:$NTR$890,COLUMN(HeadJournal!D$1),0),"")</f>
        <v>Доставлен</v>
      </c>
      <c r="E3923" s="95">
        <f>IFERROR(VLOOKUP($A3923,HeadJournal!$A$1:$NTR$890,COLUMN(HeadJournal!G$1),0),"")</f>
        <v>45565</v>
      </c>
      <c r="F3923" s="95" t="str">
        <f t="shared" si="310"/>
        <v>2024 09</v>
      </c>
      <c r="G3923" s="97" t="s">
        <v>5</v>
      </c>
      <c r="H3923" s="161" t="s">
        <v>2200</v>
      </c>
      <c r="I3923" s="97" t="s">
        <v>2005</v>
      </c>
      <c r="J3923" s="97" t="s">
        <v>2201</v>
      </c>
      <c r="K3923" s="29">
        <v>11.07</v>
      </c>
      <c r="L3923" s="29">
        <v>-3.1</v>
      </c>
      <c r="M3923" s="30">
        <f>IFERROR(VLOOKUP($A3923,HeadJournal!$A$1:$J$890,COLUMN(HeadJournal!I$1),0)*($K3923+$L3923)/(SUMIF($A:$A,$A3923,$K:$K)+SUMIF($A:$A,$A3923,$L:$L)),0)</f>
        <v>0</v>
      </c>
      <c r="N3923" s="30">
        <f>IFERROR((VLOOKUP($A3923,HeadJournal!$A$1:$K$890,COLUMN(HeadJournal!K$1),0)-VLOOKUP($A3923,HeadJournal!$A$1:$K$890,COLUMN(HeadJournal!J$1),0))*($K3923+$L3923)/(SUMIF($A:$A,$A3923,$K:$K)+SUMIF($A:$A,$A3923,$L:$L)),0)</f>
        <v>1.2094021578233847E-15</v>
      </c>
      <c r="O3923" s="30">
        <f>IFERROR((VLOOKUP($A3923,HeadJournal!$A$1:$L$890,COLUMN(HeadJournal!L$1),0)*($K3923+$L3923)/(SUMIF($A:$A,$A3923,$K:$K)+SUMIF($A:$A,$A3923,$L:$L)))/VLOOKUP($A3923,HeadJournal!$A$1:$L$890,COLUMN(HeadJournal!H$1),0),0)</f>
        <v>0.39471097792430393</v>
      </c>
      <c r="P3923" s="30">
        <f>IFERROR(SUM(K3923:O3923)*VLOOKUP($A3923,HeadJournal!$A$1:$L$890,COLUMN(HeadJournal!H$1),0),0)</f>
        <v>866.00482452393692</v>
      </c>
      <c r="Q3923" s="29">
        <v>1700</v>
      </c>
      <c r="R3923" s="31">
        <v>45612</v>
      </c>
      <c r="S3923" s="31" t="s">
        <v>3121</v>
      </c>
      <c r="T3923" s="95" t="str">
        <f t="shared" si="311"/>
        <v>2024 11</v>
      </c>
      <c r="U3923" s="32">
        <f t="shared" si="308"/>
        <v>833.99517547606308</v>
      </c>
      <c r="V3923" s="22">
        <f t="shared" si="309"/>
        <v>0.96303756267700902</v>
      </c>
      <c r="X3923" s="33"/>
      <c r="Y3923" s="33"/>
    </row>
    <row r="3924" spans="1:25" x14ac:dyDescent="0.2">
      <c r="A3924" s="93" t="s">
        <v>2209</v>
      </c>
      <c r="B3924" s="94" t="str">
        <f>IFERROR(VLOOKUP($A3924,HeadJournal!$A$1:$NTR$890,COLUMN(HeadJournal!B$1),0),"")</f>
        <v>720000425262</v>
      </c>
      <c r="C3924" s="94" t="str">
        <f>IFERROR(VLOOKUP($A3924,HeadJournal!$A$1:$NTR$890,COLUMN(HeadJournal!C$1),0),"")</f>
        <v>iHerb_AV CYG0792</v>
      </c>
      <c r="D3924" s="125" t="str">
        <f>IFERROR(VLOOKUP($A3924,HeadJournal!$A$1:$NTR$890,COLUMN(HeadJournal!D$1),0),"")</f>
        <v>Доставлен</v>
      </c>
      <c r="E3924" s="95">
        <f>IFERROR(VLOOKUP($A3924,HeadJournal!$A$1:$NTR$890,COLUMN(HeadJournal!G$1),0),"")</f>
        <v>45565</v>
      </c>
      <c r="F3924" s="95" t="str">
        <f t="shared" si="310"/>
        <v>2024 09</v>
      </c>
      <c r="G3924" s="97" t="s">
        <v>5</v>
      </c>
      <c r="H3924" s="161" t="s">
        <v>2189</v>
      </c>
      <c r="I3924" s="97" t="s">
        <v>2005</v>
      </c>
      <c r="J3924" s="97" t="s">
        <v>4154</v>
      </c>
      <c r="K3924" s="29">
        <v>30.48</v>
      </c>
      <c r="L3924" s="29">
        <v>-8.5350000000000001</v>
      </c>
      <c r="M3924" s="30">
        <f>IFERROR(VLOOKUP($A3924,HeadJournal!$A$1:$J$890,COLUMN(HeadJournal!I$1),0)*($K3924+$L3924)/(SUMIF($A:$A,$A3924,$K:$K)+SUMIF($A:$A,$A3924,$L:$L)),0)</f>
        <v>0</v>
      </c>
      <c r="N3924" s="30">
        <f>IFERROR((VLOOKUP($A3924,HeadJournal!$A$1:$K$890,COLUMN(HeadJournal!K$1),0)-VLOOKUP($A3924,HeadJournal!$A$1:$K$890,COLUMN(HeadJournal!J$1),0))*($K3924+$L3924)/(SUMIF($A:$A,$A3924,$K:$K)+SUMIF($A:$A,$A3924,$L:$L)),0)</f>
        <v>3.3300289025638867E-15</v>
      </c>
      <c r="O3924" s="30">
        <f>IFERROR((VLOOKUP($A3924,HeadJournal!$A$1:$L$890,COLUMN(HeadJournal!L$1),0)*($K3924+$L3924)/(SUMIF($A:$A,$A3924,$K:$K)+SUMIF($A:$A,$A3924,$L:$L)))/VLOOKUP($A3924,HeadJournal!$A$1:$L$890,COLUMN(HeadJournal!H$1),0),0)</f>
        <v>1.0868171155017377</v>
      </c>
      <c r="P3924" s="30">
        <f>IFERROR(SUM(K3924:O3924)*VLOOKUP($A3924,HeadJournal!$A$1:$L$890,COLUMN(HeadJournal!H$1),0),0)</f>
        <v>2384.5013643886818</v>
      </c>
      <c r="Q3924" s="29">
        <v>4000</v>
      </c>
      <c r="R3924" s="31">
        <v>45661</v>
      </c>
      <c r="S3924" s="31" t="s">
        <v>3121</v>
      </c>
      <c r="T3924" s="95" t="str">
        <f t="shared" si="311"/>
        <v>2025 01</v>
      </c>
      <c r="U3924" s="32">
        <f t="shared" si="308"/>
        <v>1615.4986356113182</v>
      </c>
      <c r="V3924" s="22">
        <f t="shared" si="309"/>
        <v>0.67749956436929359</v>
      </c>
      <c r="X3924" s="33"/>
      <c r="Y3924" s="33"/>
    </row>
    <row r="3925" spans="1:25" x14ac:dyDescent="0.2">
      <c r="A3925" s="93" t="s">
        <v>2209</v>
      </c>
      <c r="B3925" s="94" t="str">
        <f>IFERROR(VLOOKUP($A3925,HeadJournal!$A$1:$NTR$890,COLUMN(HeadJournal!B$1),0),"")</f>
        <v>720000425262</v>
      </c>
      <c r="C3925" s="94" t="str">
        <f>IFERROR(VLOOKUP($A3925,HeadJournal!$A$1:$NTR$890,COLUMN(HeadJournal!C$1),0),"")</f>
        <v>iHerb_AV CYG0792</v>
      </c>
      <c r="D3925" s="125" t="str">
        <f>IFERROR(VLOOKUP($A3925,HeadJournal!$A$1:$NTR$890,COLUMN(HeadJournal!D$1),0),"")</f>
        <v>Доставлен</v>
      </c>
      <c r="E3925" s="95">
        <f>IFERROR(VLOOKUP($A3925,HeadJournal!$A$1:$NTR$890,COLUMN(HeadJournal!G$1),0),"")</f>
        <v>45565</v>
      </c>
      <c r="F3925" s="95" t="str">
        <f t="shared" si="310"/>
        <v>2024 09</v>
      </c>
      <c r="G3925" s="97" t="s">
        <v>5</v>
      </c>
      <c r="H3925" s="161" t="s">
        <v>2189</v>
      </c>
      <c r="I3925" s="97" t="s">
        <v>2005</v>
      </c>
      <c r="J3925" s="97" t="s">
        <v>4154</v>
      </c>
      <c r="K3925" s="29">
        <v>30.48</v>
      </c>
      <c r="L3925" s="29">
        <v>-8.5350000000000001</v>
      </c>
      <c r="M3925" s="30">
        <f>IFERROR(VLOOKUP($A3925,HeadJournal!$A$1:$J$890,COLUMN(HeadJournal!I$1),0)*($K3925+$L3925)/(SUMIF($A:$A,$A3925,$K:$K)+SUMIF($A:$A,$A3925,$L:$L)),0)</f>
        <v>0</v>
      </c>
      <c r="N3925" s="30">
        <f>IFERROR((VLOOKUP($A3925,HeadJournal!$A$1:$K$890,COLUMN(HeadJournal!K$1),0)-VLOOKUP($A3925,HeadJournal!$A$1:$K$890,COLUMN(HeadJournal!J$1),0))*($K3925+$L3925)/(SUMIF($A:$A,$A3925,$K:$K)+SUMIF($A:$A,$A3925,$L:$L)),0)</f>
        <v>3.3300289025638867E-15</v>
      </c>
      <c r="O3925" s="30">
        <f>IFERROR((VLOOKUP($A3925,HeadJournal!$A$1:$L$890,COLUMN(HeadJournal!L$1),0)*($K3925+$L3925)/(SUMIF($A:$A,$A3925,$K:$K)+SUMIF($A:$A,$A3925,$L:$L)))/VLOOKUP($A3925,HeadJournal!$A$1:$L$890,COLUMN(HeadJournal!H$1),0),0)</f>
        <v>1.0868171155017377</v>
      </c>
      <c r="P3925" s="30">
        <f>IFERROR(SUM(K3925:O3925)*VLOOKUP($A3925,HeadJournal!$A$1:$L$890,COLUMN(HeadJournal!H$1),0),0)</f>
        <v>2384.5013643886818</v>
      </c>
      <c r="Q3925" s="29">
        <v>4000</v>
      </c>
      <c r="R3925" s="31">
        <v>45675</v>
      </c>
      <c r="S3925" s="31" t="s">
        <v>3121</v>
      </c>
      <c r="T3925" s="95" t="str">
        <f t="shared" si="311"/>
        <v>2025 01</v>
      </c>
      <c r="U3925" s="32">
        <f t="shared" si="308"/>
        <v>1615.4986356113182</v>
      </c>
      <c r="V3925" s="22">
        <f t="shared" si="309"/>
        <v>0.67749956436929359</v>
      </c>
      <c r="X3925" s="33"/>
      <c r="Y3925" s="33"/>
    </row>
    <row r="3926" spans="1:25" x14ac:dyDescent="0.2">
      <c r="A3926" s="93" t="s">
        <v>2209</v>
      </c>
      <c r="B3926" s="94" t="str">
        <f>IFERROR(VLOOKUP($A3926,HeadJournal!$A$1:$NTR$890,COLUMN(HeadJournal!B$1),0),"")</f>
        <v>720000425262</v>
      </c>
      <c r="C3926" s="94" t="str">
        <f>IFERROR(VLOOKUP($A3926,HeadJournal!$A$1:$NTR$890,COLUMN(HeadJournal!C$1),0),"")</f>
        <v>iHerb_AV CYG0792</v>
      </c>
      <c r="D3926" s="125" t="str">
        <f>IFERROR(VLOOKUP($A3926,HeadJournal!$A$1:$NTR$890,COLUMN(HeadJournal!D$1),0),"")</f>
        <v>Доставлен</v>
      </c>
      <c r="E3926" s="95">
        <f>IFERROR(VLOOKUP($A3926,HeadJournal!$A$1:$NTR$890,COLUMN(HeadJournal!G$1),0),"")</f>
        <v>45565</v>
      </c>
      <c r="F3926" s="95" t="str">
        <f t="shared" si="310"/>
        <v>2024 09</v>
      </c>
      <c r="G3926" s="97" t="s">
        <v>5</v>
      </c>
      <c r="H3926" s="161" t="s">
        <v>2202</v>
      </c>
      <c r="I3926" s="97" t="s">
        <v>2005</v>
      </c>
      <c r="J3926" s="97" t="s">
        <v>3692</v>
      </c>
      <c r="K3926" s="29">
        <v>16.61</v>
      </c>
      <c r="L3926" s="29">
        <v>-4.6500000000000004</v>
      </c>
      <c r="M3926" s="30">
        <f>IFERROR(VLOOKUP($A3926,HeadJournal!$A$1:$J$890,COLUMN(HeadJournal!I$1),0)*($K3926+$L3926)/(SUMIF($A:$A,$A3926,$K:$K)+SUMIF($A:$A,$A3926,$L:$L)),0)</f>
        <v>0</v>
      </c>
      <c r="N3926" s="30">
        <f>IFERROR((VLOOKUP($A3926,HeadJournal!$A$1:$K$890,COLUMN(HeadJournal!K$1),0)-VLOOKUP($A3926,HeadJournal!$A$1:$K$890,COLUMN(HeadJournal!J$1),0))*($K3926+$L3926)/(SUMIF($A:$A,$A3926,$K:$K)+SUMIF($A:$A,$A3926,$L:$L)),0)</f>
        <v>1.8148619582895457E-15</v>
      </c>
      <c r="O3926" s="30">
        <f>IFERROR((VLOOKUP($A3926,HeadJournal!$A$1:$L$890,COLUMN(HeadJournal!L$1),0)*($K3926+$L3926)/(SUMIF($A:$A,$A3926,$K:$K)+SUMIF($A:$A,$A3926,$L:$L)))/VLOOKUP($A3926,HeadJournal!$A$1:$L$890,COLUMN(HeadJournal!H$1),0),0)</f>
        <v>0.59231408983371059</v>
      </c>
      <c r="P3926" s="30">
        <f>IFERROR(SUM(K3926:O3926)*VLOOKUP($A3926,HeadJournal!$A$1:$L$890,COLUMN(HeadJournal!H$1),0),0)</f>
        <v>1299.5505271400607</v>
      </c>
      <c r="Q3926" s="29">
        <v>2200</v>
      </c>
      <c r="R3926" s="31">
        <v>45910</v>
      </c>
      <c r="S3926" s="31" t="s">
        <v>3475</v>
      </c>
      <c r="T3926" s="95" t="str">
        <f t="shared" si="311"/>
        <v>2025 09</v>
      </c>
      <c r="U3926" s="32">
        <f t="shared" si="308"/>
        <v>900.44947285993931</v>
      </c>
      <c r="V3926" s="22">
        <f t="shared" si="309"/>
        <v>0.69289300727811731</v>
      </c>
      <c r="X3926" s="33"/>
      <c r="Y3926" s="33"/>
    </row>
    <row r="3927" spans="1:25" x14ac:dyDescent="0.2">
      <c r="A3927" s="93" t="s">
        <v>2209</v>
      </c>
      <c r="B3927" s="94" t="str">
        <f>IFERROR(VLOOKUP($A3927,HeadJournal!$A$1:$NTR$890,COLUMN(HeadJournal!B$1),0),"")</f>
        <v>720000425262</v>
      </c>
      <c r="C3927" s="94" t="str">
        <f>IFERROR(VLOOKUP($A3927,HeadJournal!$A$1:$NTR$890,COLUMN(HeadJournal!C$1),0),"")</f>
        <v>iHerb_AV CYG0792</v>
      </c>
      <c r="D3927" s="125" t="str">
        <f>IFERROR(VLOOKUP($A3927,HeadJournal!$A$1:$NTR$890,COLUMN(HeadJournal!D$1),0),"")</f>
        <v>Доставлен</v>
      </c>
      <c r="E3927" s="95">
        <f>IFERROR(VLOOKUP($A3927,HeadJournal!$A$1:$NTR$890,COLUMN(HeadJournal!G$1),0),"")</f>
        <v>45565</v>
      </c>
      <c r="F3927" s="95" t="str">
        <f t="shared" si="310"/>
        <v>2024 09</v>
      </c>
      <c r="G3927" s="97" t="s">
        <v>5</v>
      </c>
      <c r="H3927" s="161" t="s">
        <v>2203</v>
      </c>
      <c r="I3927" s="97" t="s">
        <v>2166</v>
      </c>
      <c r="J3927" s="97" t="s">
        <v>4099</v>
      </c>
      <c r="K3927" s="29">
        <v>9.48</v>
      </c>
      <c r="L3927" s="29">
        <v>-2.65</v>
      </c>
      <c r="M3927" s="30">
        <f>IFERROR(VLOOKUP($A3927,HeadJournal!$A$1:$J$890,COLUMN(HeadJournal!I$1),0)*($K3927+$L3927)/(SUMIF($A:$A,$A3927,$K:$K)+SUMIF($A:$A,$A3927,$L:$L)),0)</f>
        <v>0</v>
      </c>
      <c r="N3927" s="30">
        <f>IFERROR((VLOOKUP($A3927,HeadJournal!$A$1:$K$890,COLUMN(HeadJournal!K$1),0)-VLOOKUP($A3927,HeadJournal!$A$1:$K$890,COLUMN(HeadJournal!J$1),0))*($K3927+$L3927)/(SUMIF($A:$A,$A3927,$K:$K)+SUMIF($A:$A,$A3927,$L:$L)),0)</f>
        <v>1.0364136434044814E-15</v>
      </c>
      <c r="O3927" s="30">
        <f>IFERROR((VLOOKUP($A3927,HeadJournal!$A$1:$L$890,COLUMN(HeadJournal!L$1),0)*($K3927+$L3927)/(SUMIF($A:$A,$A3927,$K:$K)+SUMIF($A:$A,$A3927,$L:$L)))/VLOOKUP($A3927,HeadJournal!$A$1:$L$890,COLUMN(HeadJournal!H$1),0),0)</f>
        <v>0.33825294595018768</v>
      </c>
      <c r="P3927" s="30">
        <f>IFERROR(SUM(K3927:O3927)*VLOOKUP($A3927,HeadJournal!$A$1:$L$890,COLUMN(HeadJournal!H$1),0),0)</f>
        <v>742.13462377647284</v>
      </c>
      <c r="Q3927" s="29">
        <v>1400</v>
      </c>
      <c r="R3927" s="31">
        <v>45602</v>
      </c>
      <c r="S3927" s="31" t="s">
        <v>3121</v>
      </c>
      <c r="T3927" s="95" t="str">
        <f t="shared" si="311"/>
        <v>2024 11</v>
      </c>
      <c r="U3927" s="32">
        <f t="shared" si="308"/>
        <v>657.86537622352716</v>
      </c>
      <c r="V3927" s="22">
        <f t="shared" si="309"/>
        <v>0.88645018726639124</v>
      </c>
      <c r="X3927" s="33"/>
      <c r="Y3927" s="33"/>
    </row>
    <row r="3928" spans="1:25" x14ac:dyDescent="0.2">
      <c r="A3928" s="93" t="s">
        <v>2209</v>
      </c>
      <c r="B3928" s="94" t="str">
        <f>IFERROR(VLOOKUP($A3928,HeadJournal!$A$1:$NTR$890,COLUMN(HeadJournal!B$1),0),"")</f>
        <v>720000425262</v>
      </c>
      <c r="C3928" s="94" t="str">
        <f>IFERROR(VLOOKUP($A3928,HeadJournal!$A$1:$NTR$890,COLUMN(HeadJournal!C$1),0),"")</f>
        <v>iHerb_AV CYG0792</v>
      </c>
      <c r="D3928" s="125" t="str">
        <f>IFERROR(VLOOKUP($A3928,HeadJournal!$A$1:$NTR$890,COLUMN(HeadJournal!D$1),0),"")</f>
        <v>Доставлен</v>
      </c>
      <c r="E3928" s="95">
        <f>IFERROR(VLOOKUP($A3928,HeadJournal!$A$1:$NTR$890,COLUMN(HeadJournal!G$1),0),"")</f>
        <v>45565</v>
      </c>
      <c r="F3928" s="95" t="str">
        <f t="shared" si="310"/>
        <v>2024 09</v>
      </c>
      <c r="G3928" s="97" t="s">
        <v>5</v>
      </c>
      <c r="H3928" s="161" t="s">
        <v>2204</v>
      </c>
      <c r="I3928" s="97" t="s">
        <v>2005</v>
      </c>
      <c r="J3928" s="97" t="s">
        <v>2205</v>
      </c>
      <c r="K3928" s="29">
        <v>23.35</v>
      </c>
      <c r="L3928" s="29">
        <v>-6.54</v>
      </c>
      <c r="M3928" s="30">
        <f>IFERROR(VLOOKUP($A3928,HeadJournal!$A$1:$J$890,COLUMN(HeadJournal!I$1),0)*($K3928+$L3928)/(SUMIF($A:$A,$A3928,$K:$K)+SUMIF($A:$A,$A3928,$L:$L)),0)</f>
        <v>0</v>
      </c>
      <c r="N3928" s="30">
        <f>IFERROR((VLOOKUP($A3928,HeadJournal!$A$1:$K$890,COLUMN(HeadJournal!K$1),0)-VLOOKUP($A3928,HeadJournal!$A$1:$K$890,COLUMN(HeadJournal!J$1),0))*($K3928+$L3928)/(SUMIF($A:$A,$A3928,$K:$K)+SUMIF($A:$A,$A3928,$L:$L)),0)</f>
        <v>2.5508218661243539E-15</v>
      </c>
      <c r="O3928" s="30">
        <f>IFERROR((VLOOKUP($A3928,HeadJournal!$A$1:$L$890,COLUMN(HeadJournal!L$1),0)*($K3928+$L3928)/(SUMIF($A:$A,$A3928,$K:$K)+SUMIF($A:$A,$A3928,$L:$L)))/VLOOKUP($A3928,HeadJournal!$A$1:$L$890,COLUMN(HeadJournal!H$1),0),0)</f>
        <v>0.8325083486709598</v>
      </c>
      <c r="P3928" s="30">
        <f>IFERROR(SUM(K3928:O3928)*VLOOKUP($A3928,HeadJournal!$A$1:$L$890,COLUMN(HeadJournal!H$1),0),0)</f>
        <v>1826.5421706709387</v>
      </c>
      <c r="Q3928" s="29">
        <v>3100</v>
      </c>
      <c r="R3928" s="31">
        <v>45776</v>
      </c>
      <c r="S3928" s="31" t="s">
        <v>3475</v>
      </c>
      <c r="T3928" s="95" t="str">
        <f t="shared" si="311"/>
        <v>2025 04</v>
      </c>
      <c r="U3928" s="32">
        <f t="shared" si="308"/>
        <v>1273.4578293290613</v>
      </c>
      <c r="V3928" s="22">
        <f t="shared" si="309"/>
        <v>0.69719596392416472</v>
      </c>
      <c r="X3928" s="33"/>
      <c r="Y3928" s="33"/>
    </row>
    <row r="3929" spans="1:25" x14ac:dyDescent="0.2">
      <c r="A3929" s="93" t="s">
        <v>2209</v>
      </c>
      <c r="B3929" s="94" t="str">
        <f>IFERROR(VLOOKUP($A3929,HeadJournal!$A$1:$NTR$890,COLUMN(HeadJournal!B$1),0),"")</f>
        <v>720000425262</v>
      </c>
      <c r="C3929" s="94" t="str">
        <f>IFERROR(VLOOKUP($A3929,HeadJournal!$A$1:$NTR$890,COLUMN(HeadJournal!C$1),0),"")</f>
        <v>iHerb_AV CYG0792</v>
      </c>
      <c r="D3929" s="125" t="str">
        <f>IFERROR(VLOOKUP($A3929,HeadJournal!$A$1:$NTR$890,COLUMN(HeadJournal!D$1),0),"")</f>
        <v>Доставлен</v>
      </c>
      <c r="E3929" s="95">
        <f>IFERROR(VLOOKUP($A3929,HeadJournal!$A$1:$NTR$890,COLUMN(HeadJournal!G$1),0),"")</f>
        <v>45565</v>
      </c>
      <c r="F3929" s="95" t="str">
        <f t="shared" si="310"/>
        <v>2024 09</v>
      </c>
      <c r="G3929" s="97" t="s">
        <v>5</v>
      </c>
      <c r="H3929" s="161" t="s">
        <v>2206</v>
      </c>
      <c r="I3929" s="97" t="s">
        <v>2207</v>
      </c>
      <c r="J3929" s="97" t="s">
        <v>2208</v>
      </c>
      <c r="K3929" s="29">
        <v>33.24</v>
      </c>
      <c r="L3929" s="29">
        <v>-9.31</v>
      </c>
      <c r="M3929" s="30">
        <f>IFERROR(VLOOKUP($A3929,HeadJournal!$A$1:$J$890,COLUMN(HeadJournal!I$1),0)*($K3929+$L3929)/(SUMIF($A:$A,$A3929,$K:$K)+SUMIF($A:$A,$A3929,$L:$L)),0)</f>
        <v>0</v>
      </c>
      <c r="N3929" s="30">
        <f>IFERROR((VLOOKUP($A3929,HeadJournal!$A$1:$K$890,COLUMN(HeadJournal!K$1),0)-VLOOKUP($A3929,HeadJournal!$A$1:$K$890,COLUMN(HeadJournal!J$1),0))*($K3929+$L3929)/(SUMIF($A:$A,$A3929,$K:$K)+SUMIF($A:$A,$A3929,$L:$L)),0)</f>
        <v>3.6312413596880299E-15</v>
      </c>
      <c r="O3929" s="30">
        <f>IFERROR((VLOOKUP($A3929,HeadJournal!$A$1:$L$890,COLUMN(HeadJournal!L$1),0)*($K3929+$L3929)/(SUMIF($A:$A,$A3929,$K:$K)+SUMIF($A:$A,$A3929,$L:$L)))/VLOOKUP($A3929,HeadJournal!$A$1:$L$890,COLUMN(HeadJournal!H$1),0),0)</f>
        <v>1.1851234255619314</v>
      </c>
      <c r="P3929" s="30">
        <f>IFERROR(SUM(K3929:O3929)*VLOOKUP($A3929,HeadJournal!$A$1:$L$890,COLUMN(HeadJournal!H$1),0),0)</f>
        <v>2600.1876349884324</v>
      </c>
      <c r="Q3929" s="29">
        <v>3900</v>
      </c>
      <c r="R3929" s="31">
        <v>45790</v>
      </c>
      <c r="S3929" s="31" t="s">
        <v>3231</v>
      </c>
      <c r="T3929" s="95" t="str">
        <f t="shared" si="311"/>
        <v>2025 05</v>
      </c>
      <c r="U3929" s="32">
        <f t="shared" si="308"/>
        <v>1299.8123650115676</v>
      </c>
      <c r="V3929" s="22">
        <f t="shared" si="309"/>
        <v>0.49989175685675091</v>
      </c>
      <c r="X3929" s="33"/>
      <c r="Y3929" s="33"/>
    </row>
    <row r="3930" spans="1:25" x14ac:dyDescent="0.2">
      <c r="A3930" s="93" t="s">
        <v>2231</v>
      </c>
      <c r="B3930" s="94" t="str">
        <f>IFERROR(VLOOKUP($A3930,HeadJournal!$A$1:$NTR$890,COLUMN(HeadJournal!B$1),0),"")</f>
        <v>720000409068</v>
      </c>
      <c r="C3930" s="94" t="str">
        <f>IFERROR(VLOOKUP($A3930,HeadJournal!$A$1:$NTR$890,COLUMN(HeadJournal!C$1),0),"")</f>
        <v>iHerb_OA CZN6870</v>
      </c>
      <c r="D3930" s="125" t="str">
        <f>IFERROR(VLOOKUP($A3930,HeadJournal!$A$1:$NTR$890,COLUMN(HeadJournal!D$1),0),"")</f>
        <v>Доставлен</v>
      </c>
      <c r="E3930" s="95">
        <f>IFERROR(VLOOKUP($A3930,HeadJournal!$A$1:$NTR$890,COLUMN(HeadJournal!G$1),0),"")</f>
        <v>45562</v>
      </c>
      <c r="F3930" s="95" t="str">
        <f t="shared" si="310"/>
        <v>2024 09</v>
      </c>
      <c r="G3930" s="97" t="s">
        <v>5</v>
      </c>
      <c r="H3930" s="161" t="s">
        <v>2211</v>
      </c>
      <c r="I3930" s="97" t="s">
        <v>2212</v>
      </c>
      <c r="J3930" s="97" t="s">
        <v>2213</v>
      </c>
      <c r="K3930" s="29">
        <v>30.35</v>
      </c>
      <c r="L3930" s="29">
        <v>-8.5</v>
      </c>
      <c r="M3930" s="30">
        <f>IFERROR(VLOOKUP($A3930,HeadJournal!$A$1:$J$890,COLUMN(HeadJournal!I$1),0)*($K3930+$L3930)/(SUMIF($A:$A,$A3930,$K:$K)+SUMIF($A:$A,$A3930,$L:$L)),0)</f>
        <v>-1.0719014126130386</v>
      </c>
      <c r="N3930" s="30">
        <f>IFERROR((VLOOKUP($A3930,HeadJournal!$A$1:$K$890,COLUMN(HeadJournal!K$1),0)-VLOOKUP($A3930,HeadJournal!$A$1:$K$890,COLUMN(HeadJournal!J$1),0))*($K3930+$L3930)/(SUMIF($A:$A,$A3930,$K:$K)+SUMIF($A:$A,$A3930,$L:$L)),0)</f>
        <v>0</v>
      </c>
      <c r="O3930" s="30">
        <f>IFERROR((VLOOKUP($A3930,HeadJournal!$A$1:$L$890,COLUMN(HeadJournal!L$1),0)*($K3930+$L3930)/(SUMIF($A:$A,$A3930,$K:$K)+SUMIF($A:$A,$A3930,$L:$L)))/VLOOKUP($A3930,HeadJournal!$A$1:$L$890,COLUMN(HeadJournal!H$1),0),0)</f>
        <v>1.1984432824776672</v>
      </c>
      <c r="P3930" s="30">
        <f>IFERROR(SUM(K3930:O3930)*VLOOKUP($A3930,HeadJournal!$A$1:$L$890,COLUMN(HeadJournal!H$1),0),0)</f>
        <v>2274.2942511432539</v>
      </c>
      <c r="Q3930" s="29">
        <v>2265.21</v>
      </c>
      <c r="R3930" s="31">
        <v>45563</v>
      </c>
      <c r="S3930" s="31" t="s">
        <v>3121</v>
      </c>
      <c r="T3930" s="95" t="str">
        <f t="shared" si="311"/>
        <v>2024 09</v>
      </c>
      <c r="U3930" s="32">
        <f t="shared" si="308"/>
        <v>-9.0842511432538231</v>
      </c>
      <c r="V3930" s="22">
        <f t="shared" si="309"/>
        <v>-3.9943165395978581E-3</v>
      </c>
      <c r="X3930" s="33"/>
      <c r="Y3930" s="33"/>
    </row>
    <row r="3931" spans="1:25" x14ac:dyDescent="0.2">
      <c r="A3931" s="93" t="s">
        <v>2231</v>
      </c>
      <c r="B3931" s="94" t="str">
        <f>IFERROR(VLOOKUP($A3931,HeadJournal!$A$1:$NTR$890,COLUMN(HeadJournal!B$1),0),"")</f>
        <v>720000409068</v>
      </c>
      <c r="C3931" s="94" t="str">
        <f>IFERROR(VLOOKUP($A3931,HeadJournal!$A$1:$NTR$890,COLUMN(HeadJournal!C$1),0),"")</f>
        <v>iHerb_OA CZN6870</v>
      </c>
      <c r="D3931" s="125" t="str">
        <f>IFERROR(VLOOKUP($A3931,HeadJournal!$A$1:$NTR$890,COLUMN(HeadJournal!D$1),0),"")</f>
        <v>Доставлен</v>
      </c>
      <c r="E3931" s="95">
        <f>IFERROR(VLOOKUP($A3931,HeadJournal!$A$1:$NTR$890,COLUMN(HeadJournal!G$1),0),"")</f>
        <v>45562</v>
      </c>
      <c r="F3931" s="95" t="str">
        <f t="shared" si="310"/>
        <v>2024 09</v>
      </c>
      <c r="G3931" s="97" t="s">
        <v>5</v>
      </c>
      <c r="H3931" s="161" t="s">
        <v>2211</v>
      </c>
      <c r="I3931" s="97" t="s">
        <v>2212</v>
      </c>
      <c r="J3931" s="97" t="s">
        <v>2213</v>
      </c>
      <c r="K3931" s="29">
        <v>30.35</v>
      </c>
      <c r="L3931" s="29">
        <v>-8.5</v>
      </c>
      <c r="M3931" s="30">
        <f>IFERROR(VLOOKUP($A3931,HeadJournal!$A$1:$J$890,COLUMN(HeadJournal!I$1),0)*($K3931+$L3931)/(SUMIF($A:$A,$A3931,$K:$K)+SUMIF($A:$A,$A3931,$L:$L)),0)</f>
        <v>-1.0719014126130386</v>
      </c>
      <c r="N3931" s="30">
        <f>IFERROR((VLOOKUP($A3931,HeadJournal!$A$1:$K$890,COLUMN(HeadJournal!K$1),0)-VLOOKUP($A3931,HeadJournal!$A$1:$K$890,COLUMN(HeadJournal!J$1),0))*($K3931+$L3931)/(SUMIF($A:$A,$A3931,$K:$K)+SUMIF($A:$A,$A3931,$L:$L)),0)</f>
        <v>0</v>
      </c>
      <c r="O3931" s="30">
        <f>IFERROR((VLOOKUP($A3931,HeadJournal!$A$1:$L$890,COLUMN(HeadJournal!L$1),0)*($K3931+$L3931)/(SUMIF($A:$A,$A3931,$K:$K)+SUMIF($A:$A,$A3931,$L:$L)))/VLOOKUP($A3931,HeadJournal!$A$1:$L$890,COLUMN(HeadJournal!H$1),0),0)</f>
        <v>1.1984432824776672</v>
      </c>
      <c r="P3931" s="30">
        <f>IFERROR(SUM(K3931:O3931)*VLOOKUP($A3931,HeadJournal!$A$1:$L$890,COLUMN(HeadJournal!H$1),0),0)</f>
        <v>2274.2942511432539</v>
      </c>
      <c r="Q3931" s="29">
        <v>3400</v>
      </c>
      <c r="R3931" s="31">
        <v>45623</v>
      </c>
      <c r="S3931" s="31" t="s">
        <v>3121</v>
      </c>
      <c r="T3931" s="95" t="str">
        <f t="shared" si="311"/>
        <v>2024 11</v>
      </c>
      <c r="U3931" s="32">
        <f t="shared" si="308"/>
        <v>1125.7057488567461</v>
      </c>
      <c r="V3931" s="22">
        <f t="shared" si="309"/>
        <v>0.49496926279036702</v>
      </c>
      <c r="X3931" s="33"/>
      <c r="Y3931" s="33"/>
    </row>
    <row r="3932" spans="1:25" x14ac:dyDescent="0.2">
      <c r="A3932" s="93" t="s">
        <v>2231</v>
      </c>
      <c r="B3932" s="94" t="str">
        <f>IFERROR(VLOOKUP($A3932,HeadJournal!$A$1:$NTR$890,COLUMN(HeadJournal!B$1),0),"")</f>
        <v>720000409068</v>
      </c>
      <c r="C3932" s="94" t="str">
        <f>IFERROR(VLOOKUP($A3932,HeadJournal!$A$1:$NTR$890,COLUMN(HeadJournal!C$1),0),"")</f>
        <v>iHerb_OA CZN6870</v>
      </c>
      <c r="D3932" s="125" t="str">
        <f>IFERROR(VLOOKUP($A3932,HeadJournal!$A$1:$NTR$890,COLUMN(HeadJournal!D$1),0),"")</f>
        <v>Доставлен</v>
      </c>
      <c r="E3932" s="95">
        <f>IFERROR(VLOOKUP($A3932,HeadJournal!$A$1:$NTR$890,COLUMN(HeadJournal!G$1),0),"")</f>
        <v>45562</v>
      </c>
      <c r="F3932" s="95" t="str">
        <f t="shared" si="310"/>
        <v>2024 09</v>
      </c>
      <c r="G3932" s="97" t="s">
        <v>5</v>
      </c>
      <c r="H3932" s="161" t="s">
        <v>2214</v>
      </c>
      <c r="I3932" s="97" t="s">
        <v>2215</v>
      </c>
      <c r="J3932" s="97" t="s">
        <v>2216</v>
      </c>
      <c r="K3932" s="29">
        <v>23.31</v>
      </c>
      <c r="L3932" s="29">
        <v>-6.53</v>
      </c>
      <c r="M3932" s="30">
        <f>IFERROR(VLOOKUP($A3932,HeadJournal!$A$1:$J$890,COLUMN(HeadJournal!I$1),0)*($K3932+$L3932)/(SUMIF($A:$A,$A3932,$K:$K)+SUMIF($A:$A,$A3932,$L:$L)),0)</f>
        <v>-0.82318103906850293</v>
      </c>
      <c r="N3932" s="30">
        <f>IFERROR((VLOOKUP($A3932,HeadJournal!$A$1:$K$890,COLUMN(HeadJournal!K$1),0)-VLOOKUP($A3932,HeadJournal!$A$1:$K$890,COLUMN(HeadJournal!J$1),0))*($K3932+$L3932)/(SUMIF($A:$A,$A3932,$K:$K)+SUMIF($A:$A,$A3932,$L:$L)),0)</f>
        <v>0</v>
      </c>
      <c r="O3932" s="30">
        <f>IFERROR((VLOOKUP($A3932,HeadJournal!$A$1:$L$890,COLUMN(HeadJournal!L$1),0)*($K3932+$L3932)/(SUMIF($A:$A,$A3932,$K:$K)+SUMIF($A:$A,$A3932,$L:$L)))/VLOOKUP($A3932,HeadJournal!$A$1:$L$890,COLUMN(HeadJournal!H$1),0),0)</f>
        <v>0.92036056201259731</v>
      </c>
      <c r="P3932" s="30">
        <f>IFERROR(SUM(K3932:O3932)*VLOOKUP($A3932,HeadJournal!$A$1:$L$890,COLUMN(HeadJournal!H$1),0),0)</f>
        <v>1746.5747155232857</v>
      </c>
      <c r="Q3932" s="29"/>
      <c r="R3932" s="31"/>
      <c r="S3932" s="31"/>
      <c r="T3932" s="95" t="str">
        <f t="shared" si="311"/>
        <v/>
      </c>
      <c r="U3932" s="32">
        <f t="shared" si="308"/>
        <v>-1746.5747155232857</v>
      </c>
      <c r="V3932" s="22" t="str">
        <f t="shared" si="309"/>
        <v/>
      </c>
      <c r="X3932" s="33"/>
      <c r="Y3932" s="33"/>
    </row>
    <row r="3933" spans="1:25" x14ac:dyDescent="0.2">
      <c r="A3933" s="93" t="s">
        <v>2231</v>
      </c>
      <c r="B3933" s="94" t="str">
        <f>IFERROR(VLOOKUP($A3933,HeadJournal!$A$1:$NTR$890,COLUMN(HeadJournal!B$1),0),"")</f>
        <v>720000409068</v>
      </c>
      <c r="C3933" s="94" t="str">
        <f>IFERROR(VLOOKUP($A3933,HeadJournal!$A$1:$NTR$890,COLUMN(HeadJournal!C$1),0),"")</f>
        <v>iHerb_OA CZN6870</v>
      </c>
      <c r="D3933" s="125" t="str">
        <f>IFERROR(VLOOKUP($A3933,HeadJournal!$A$1:$NTR$890,COLUMN(HeadJournal!D$1),0),"")</f>
        <v>Доставлен</v>
      </c>
      <c r="E3933" s="95">
        <f>IFERROR(VLOOKUP($A3933,HeadJournal!$A$1:$NTR$890,COLUMN(HeadJournal!G$1),0),"")</f>
        <v>45562</v>
      </c>
      <c r="F3933" s="95" t="str">
        <f t="shared" si="310"/>
        <v>2024 09</v>
      </c>
      <c r="G3933" s="97" t="s">
        <v>5</v>
      </c>
      <c r="H3933" s="161" t="s">
        <v>2217</v>
      </c>
      <c r="I3933" s="97" t="s">
        <v>2218</v>
      </c>
      <c r="J3933" s="97" t="s">
        <v>2219</v>
      </c>
      <c r="K3933" s="29">
        <v>28.34</v>
      </c>
      <c r="L3933" s="29">
        <v>-7.9349999999999996</v>
      </c>
      <c r="M3933" s="30">
        <f>IFERROR(VLOOKUP($A3933,HeadJournal!$A$1:$J$890,COLUMN(HeadJournal!I$1),0)*($K3933+$L3933)/(SUMIF($A:$A,$A3933,$K:$K)+SUMIF($A:$A,$A3933,$L:$L)),0)</f>
        <v>-1.0010136532892018</v>
      </c>
      <c r="N3933" s="30">
        <f>IFERROR((VLOOKUP($A3933,HeadJournal!$A$1:$K$890,COLUMN(HeadJournal!K$1),0)-VLOOKUP($A3933,HeadJournal!$A$1:$K$890,COLUMN(HeadJournal!J$1),0))*($K3933+$L3933)/(SUMIF($A:$A,$A3933,$K:$K)+SUMIF($A:$A,$A3933,$L:$L)),0)</f>
        <v>0</v>
      </c>
      <c r="O3933" s="30">
        <f>IFERROR((VLOOKUP($A3933,HeadJournal!$A$1:$L$890,COLUMN(HeadJournal!L$1),0)*($K3933+$L3933)/(SUMIF($A:$A,$A3933,$K:$K)+SUMIF($A:$A,$A3933,$L:$L)))/VLOOKUP($A3933,HeadJournal!$A$1:$L$890,COLUMN(HeadJournal!H$1),0),0)</f>
        <v>1.1191869647119816</v>
      </c>
      <c r="P3933" s="30">
        <f>IFERROR(SUM(K3933:O3933)*VLOOKUP($A3933,HeadJournal!$A$1:$L$890,COLUMN(HeadJournal!H$1),0),0)</f>
        <v>2123.8889791568922</v>
      </c>
      <c r="Q3933" s="29">
        <v>3300</v>
      </c>
      <c r="R3933" s="31">
        <v>45592</v>
      </c>
      <c r="S3933" s="31" t="s">
        <v>3121</v>
      </c>
      <c r="T3933" s="95" t="str">
        <f t="shared" si="311"/>
        <v>2024 10</v>
      </c>
      <c r="U3933" s="32">
        <f t="shared" si="308"/>
        <v>1176.1110208431078</v>
      </c>
      <c r="V3933" s="22">
        <f t="shared" si="309"/>
        <v>0.55375353061532517</v>
      </c>
      <c r="X3933" s="33"/>
      <c r="Y3933" s="33"/>
    </row>
    <row r="3934" spans="1:25" x14ac:dyDescent="0.2">
      <c r="A3934" s="93" t="s">
        <v>2231</v>
      </c>
      <c r="B3934" s="94" t="str">
        <f>IFERROR(VLOOKUP($A3934,HeadJournal!$A$1:$NTR$890,COLUMN(HeadJournal!B$1),0),"")</f>
        <v>720000409068</v>
      </c>
      <c r="C3934" s="94" t="str">
        <f>IFERROR(VLOOKUP($A3934,HeadJournal!$A$1:$NTR$890,COLUMN(HeadJournal!C$1),0),"")</f>
        <v>iHerb_OA CZN6870</v>
      </c>
      <c r="D3934" s="125" t="str">
        <f>IFERROR(VLOOKUP($A3934,HeadJournal!$A$1:$NTR$890,COLUMN(HeadJournal!D$1),0),"")</f>
        <v>Доставлен</v>
      </c>
      <c r="E3934" s="95">
        <f>IFERROR(VLOOKUP($A3934,HeadJournal!$A$1:$NTR$890,COLUMN(HeadJournal!G$1),0),"")</f>
        <v>45562</v>
      </c>
      <c r="F3934" s="95" t="str">
        <f t="shared" si="310"/>
        <v>2024 09</v>
      </c>
      <c r="G3934" s="97" t="s">
        <v>5</v>
      </c>
      <c r="H3934" s="161" t="s">
        <v>2217</v>
      </c>
      <c r="I3934" s="97" t="s">
        <v>2218</v>
      </c>
      <c r="J3934" s="97" t="s">
        <v>2219</v>
      </c>
      <c r="K3934" s="29">
        <v>28.34</v>
      </c>
      <c r="L3934" s="29">
        <v>-7.9349999999999996</v>
      </c>
      <c r="M3934" s="30">
        <f>IFERROR(VLOOKUP($A3934,HeadJournal!$A$1:$J$890,COLUMN(HeadJournal!I$1),0)*($K3934+$L3934)/(SUMIF($A:$A,$A3934,$K:$K)+SUMIF($A:$A,$A3934,$L:$L)),0)</f>
        <v>-1.0010136532892018</v>
      </c>
      <c r="N3934" s="30">
        <f>IFERROR((VLOOKUP($A3934,HeadJournal!$A$1:$K$890,COLUMN(HeadJournal!K$1),0)-VLOOKUP($A3934,HeadJournal!$A$1:$K$890,COLUMN(HeadJournal!J$1),0))*($K3934+$L3934)/(SUMIF($A:$A,$A3934,$K:$K)+SUMIF($A:$A,$A3934,$L:$L)),0)</f>
        <v>0</v>
      </c>
      <c r="O3934" s="30">
        <f>IFERROR((VLOOKUP($A3934,HeadJournal!$A$1:$L$890,COLUMN(HeadJournal!L$1),0)*($K3934+$L3934)/(SUMIF($A:$A,$A3934,$K:$K)+SUMIF($A:$A,$A3934,$L:$L)))/VLOOKUP($A3934,HeadJournal!$A$1:$L$890,COLUMN(HeadJournal!H$1),0),0)</f>
        <v>1.1191869647119816</v>
      </c>
      <c r="P3934" s="30">
        <f>IFERROR(SUM(K3934:O3934)*VLOOKUP($A3934,HeadJournal!$A$1:$L$890,COLUMN(HeadJournal!H$1),0),0)</f>
        <v>2123.8889791568922</v>
      </c>
      <c r="Q3934" s="29">
        <v>3400</v>
      </c>
      <c r="R3934" s="31">
        <v>45637</v>
      </c>
      <c r="S3934" s="31" t="s">
        <v>3121</v>
      </c>
      <c r="T3934" s="95" t="str">
        <f t="shared" si="311"/>
        <v>2024 12</v>
      </c>
      <c r="U3934" s="32">
        <f t="shared" si="308"/>
        <v>1276.1110208431078</v>
      </c>
      <c r="V3934" s="22">
        <f t="shared" si="309"/>
        <v>0.60083697093700161</v>
      </c>
      <c r="X3934" s="33"/>
      <c r="Y3934" s="33"/>
    </row>
    <row r="3935" spans="1:25" x14ac:dyDescent="0.2">
      <c r="A3935" s="93" t="s">
        <v>2231</v>
      </c>
      <c r="B3935" s="94" t="str">
        <f>IFERROR(VLOOKUP($A3935,HeadJournal!$A$1:$NTR$890,COLUMN(HeadJournal!B$1),0),"")</f>
        <v>720000409068</v>
      </c>
      <c r="C3935" s="94" t="str">
        <f>IFERROR(VLOOKUP($A3935,HeadJournal!$A$1:$NTR$890,COLUMN(HeadJournal!C$1),0),"")</f>
        <v>iHerb_OA CZN6870</v>
      </c>
      <c r="D3935" s="125" t="str">
        <f>IFERROR(VLOOKUP($A3935,HeadJournal!$A$1:$NTR$890,COLUMN(HeadJournal!D$1),0),"")</f>
        <v>Доставлен</v>
      </c>
      <c r="E3935" s="95">
        <f>IFERROR(VLOOKUP($A3935,HeadJournal!$A$1:$NTR$890,COLUMN(HeadJournal!G$1),0),"")</f>
        <v>45562</v>
      </c>
      <c r="F3935" s="95" t="str">
        <f t="shared" si="310"/>
        <v>2024 09</v>
      </c>
      <c r="G3935" s="97" t="s">
        <v>5</v>
      </c>
      <c r="H3935" s="161" t="s">
        <v>2220</v>
      </c>
      <c r="I3935" s="97" t="s">
        <v>2221</v>
      </c>
      <c r="J3935" s="97" t="s">
        <v>2222</v>
      </c>
      <c r="K3935" s="29">
        <v>10.73</v>
      </c>
      <c r="L3935" s="29">
        <v>-3</v>
      </c>
      <c r="M3935" s="30">
        <f>IFERROR(VLOOKUP($A3935,HeadJournal!$A$1:$J$890,COLUMN(HeadJournal!I$1),0)*($K3935+$L3935)/(SUMIF($A:$A,$A3935,$K:$K)+SUMIF($A:$A,$A3935,$L:$L)),0)</f>
        <v>-0.37921271942786222</v>
      </c>
      <c r="N3935" s="30">
        <f>IFERROR((VLOOKUP($A3935,HeadJournal!$A$1:$K$890,COLUMN(HeadJournal!K$1),0)-VLOOKUP($A3935,HeadJournal!$A$1:$K$890,COLUMN(HeadJournal!J$1),0))*($K3935+$L3935)/(SUMIF($A:$A,$A3935,$K:$K)+SUMIF($A:$A,$A3935,$L:$L)),0)</f>
        <v>0</v>
      </c>
      <c r="O3935" s="30">
        <f>IFERROR((VLOOKUP($A3935,HeadJournal!$A$1:$L$890,COLUMN(HeadJournal!L$1),0)*($K3935+$L3935)/(SUMIF($A:$A,$A3935,$K:$K)+SUMIF($A:$A,$A3935,$L:$L)))/VLOOKUP($A3935,HeadJournal!$A$1:$L$890,COLUMN(HeadJournal!H$1),0),0)</f>
        <v>0.42398016354930745</v>
      </c>
      <c r="P3935" s="30">
        <f>IFERROR(SUM(K3935:O3935)*VLOOKUP($A3935,HeadJournal!$A$1:$L$890,COLUMN(HeadJournal!H$1),0),0)</f>
        <v>804.59014010697263</v>
      </c>
      <c r="Q3935" s="29">
        <v>1800</v>
      </c>
      <c r="R3935" s="31">
        <v>45628</v>
      </c>
      <c r="S3935" s="31" t="s">
        <v>3121</v>
      </c>
      <c r="T3935" s="95" t="str">
        <f t="shared" si="311"/>
        <v>2024 12</v>
      </c>
      <c r="U3935" s="32">
        <f t="shared" si="308"/>
        <v>995.40985989302737</v>
      </c>
      <c r="V3935" s="22">
        <f t="shared" si="309"/>
        <v>1.2371638804331915</v>
      </c>
      <c r="X3935" s="33"/>
      <c r="Y3935" s="33"/>
    </row>
    <row r="3936" spans="1:25" x14ac:dyDescent="0.2">
      <c r="A3936" s="93" t="s">
        <v>2231</v>
      </c>
      <c r="B3936" s="94" t="str">
        <f>IFERROR(VLOOKUP($A3936,HeadJournal!$A$1:$NTR$890,COLUMN(HeadJournal!B$1),0),"")</f>
        <v>720000409068</v>
      </c>
      <c r="C3936" s="94" t="str">
        <f>IFERROR(VLOOKUP($A3936,HeadJournal!$A$1:$NTR$890,COLUMN(HeadJournal!C$1),0),"")</f>
        <v>iHerb_OA CZN6870</v>
      </c>
      <c r="D3936" s="125" t="str">
        <f>IFERROR(VLOOKUP($A3936,HeadJournal!$A$1:$NTR$890,COLUMN(HeadJournal!D$1),0),"")</f>
        <v>Доставлен</v>
      </c>
      <c r="E3936" s="95">
        <f>IFERROR(VLOOKUP($A3936,HeadJournal!$A$1:$NTR$890,COLUMN(HeadJournal!G$1),0),"")</f>
        <v>45562</v>
      </c>
      <c r="F3936" s="95" t="str">
        <f t="shared" si="310"/>
        <v>2024 09</v>
      </c>
      <c r="G3936" s="97" t="s">
        <v>5</v>
      </c>
      <c r="H3936" s="161" t="s">
        <v>2025</v>
      </c>
      <c r="I3936" s="97" t="s">
        <v>2008</v>
      </c>
      <c r="J3936" s="97" t="s">
        <v>2026</v>
      </c>
      <c r="K3936" s="29">
        <v>17.690000000000001</v>
      </c>
      <c r="L3936" s="29">
        <v>-4.9550000000000001</v>
      </c>
      <c r="M3936" s="30">
        <f>IFERROR(VLOOKUP($A3936,HeadJournal!$A$1:$J$890,COLUMN(HeadJournal!I$1),0)*($K3936+$L3936)/(SUMIF($A:$A,$A3936,$K:$K)+SUMIF($A:$A,$A3936,$L:$L)),0)</f>
        <v>-0.62474437023464757</v>
      </c>
      <c r="N3936" s="30">
        <f>IFERROR((VLOOKUP($A3936,HeadJournal!$A$1:$K$890,COLUMN(HeadJournal!K$1),0)-VLOOKUP($A3936,HeadJournal!$A$1:$K$890,COLUMN(HeadJournal!J$1),0))*($K3936+$L3936)/(SUMIF($A:$A,$A3936,$K:$K)+SUMIF($A:$A,$A3936,$L:$L)),0)</f>
        <v>0</v>
      </c>
      <c r="O3936" s="30">
        <f>IFERROR((VLOOKUP($A3936,HeadJournal!$A$1:$L$890,COLUMN(HeadJournal!L$1),0)*($K3936+$L3936)/(SUMIF($A:$A,$A3936,$K:$K)+SUMIF($A:$A,$A3936,$L:$L)))/VLOOKUP($A3936,HeadJournal!$A$1:$L$890,COLUMN(HeadJournal!H$1),0),0)</f>
        <v>0.69849772093149154</v>
      </c>
      <c r="P3936" s="30">
        <f>IFERROR(SUM(K3936:O3936)*VLOOKUP($A3936,HeadJournal!$A$1:$L$890,COLUMN(HeadJournal!H$1),0),0)</f>
        <v>1325.5440406548896</v>
      </c>
      <c r="Q3936" s="29">
        <v>2400</v>
      </c>
      <c r="R3936" s="31">
        <v>45741</v>
      </c>
      <c r="S3936" s="31" t="s">
        <v>3121</v>
      </c>
      <c r="T3936" s="95" t="str">
        <f t="shared" si="311"/>
        <v>2025 03</v>
      </c>
      <c r="U3936" s="32">
        <f t="shared" si="308"/>
        <v>1074.4559593451104</v>
      </c>
      <c r="V3936" s="22">
        <f t="shared" si="309"/>
        <v>0.81057733759964079</v>
      </c>
      <c r="X3936" s="33"/>
      <c r="Y3936" s="33"/>
    </row>
    <row r="3937" spans="1:25" x14ac:dyDescent="0.2">
      <c r="A3937" s="93" t="s">
        <v>2231</v>
      </c>
      <c r="B3937" s="94" t="str">
        <f>IFERROR(VLOOKUP($A3937,HeadJournal!$A$1:$NTR$890,COLUMN(HeadJournal!B$1),0),"")</f>
        <v>720000409068</v>
      </c>
      <c r="C3937" s="94" t="str">
        <f>IFERROR(VLOOKUP($A3937,HeadJournal!$A$1:$NTR$890,COLUMN(HeadJournal!C$1),0),"")</f>
        <v>iHerb_OA CZN6870</v>
      </c>
      <c r="D3937" s="125" t="str">
        <f>IFERROR(VLOOKUP($A3937,HeadJournal!$A$1:$NTR$890,COLUMN(HeadJournal!D$1),0),"")</f>
        <v>Доставлен</v>
      </c>
      <c r="E3937" s="95">
        <f>IFERROR(VLOOKUP($A3937,HeadJournal!$A$1:$NTR$890,COLUMN(HeadJournal!G$1),0),"")</f>
        <v>45562</v>
      </c>
      <c r="F3937" s="95" t="str">
        <f t="shared" si="310"/>
        <v>2024 09</v>
      </c>
      <c r="G3937" s="97" t="s">
        <v>5</v>
      </c>
      <c r="H3937" s="161" t="s">
        <v>2025</v>
      </c>
      <c r="I3937" s="97" t="s">
        <v>2008</v>
      </c>
      <c r="J3937" s="97" t="s">
        <v>2026</v>
      </c>
      <c r="K3937" s="29">
        <v>17.690000000000001</v>
      </c>
      <c r="L3937" s="29">
        <v>-4.9550000000000001</v>
      </c>
      <c r="M3937" s="30">
        <f>IFERROR(VLOOKUP($A3937,HeadJournal!$A$1:$J$890,COLUMN(HeadJournal!I$1),0)*($K3937+$L3937)/(SUMIF($A:$A,$A3937,$K:$K)+SUMIF($A:$A,$A3937,$L:$L)),0)</f>
        <v>-0.62474437023464757</v>
      </c>
      <c r="N3937" s="30">
        <f>IFERROR((VLOOKUP($A3937,HeadJournal!$A$1:$K$890,COLUMN(HeadJournal!K$1),0)-VLOOKUP($A3937,HeadJournal!$A$1:$K$890,COLUMN(HeadJournal!J$1),0))*($K3937+$L3937)/(SUMIF($A:$A,$A3937,$K:$K)+SUMIF($A:$A,$A3937,$L:$L)),0)</f>
        <v>0</v>
      </c>
      <c r="O3937" s="30">
        <f>IFERROR((VLOOKUP($A3937,HeadJournal!$A$1:$L$890,COLUMN(HeadJournal!L$1),0)*($K3937+$L3937)/(SUMIF($A:$A,$A3937,$K:$K)+SUMIF($A:$A,$A3937,$L:$L)))/VLOOKUP($A3937,HeadJournal!$A$1:$L$890,COLUMN(HeadJournal!H$1),0),0)</f>
        <v>0.69849772093149154</v>
      </c>
      <c r="P3937" s="30">
        <f>IFERROR(SUM(K3937:O3937)*VLOOKUP($A3937,HeadJournal!$A$1:$L$890,COLUMN(HeadJournal!H$1),0),0)</f>
        <v>1325.5440406548896</v>
      </c>
      <c r="Q3937" s="29">
        <v>2400</v>
      </c>
      <c r="R3937" s="31">
        <v>45758</v>
      </c>
      <c r="S3937" s="31" t="s">
        <v>3121</v>
      </c>
      <c r="T3937" s="95" t="str">
        <f t="shared" si="311"/>
        <v>2025 04</v>
      </c>
      <c r="U3937" s="32">
        <f t="shared" si="308"/>
        <v>1074.4559593451104</v>
      </c>
      <c r="V3937" s="22">
        <f t="shared" si="309"/>
        <v>0.81057733759964079</v>
      </c>
      <c r="X3937" s="33"/>
      <c r="Y3937" s="33"/>
    </row>
    <row r="3938" spans="1:25" x14ac:dyDescent="0.2">
      <c r="A3938" s="93" t="s">
        <v>2231</v>
      </c>
      <c r="B3938" s="94" t="str">
        <f>IFERROR(VLOOKUP($A3938,HeadJournal!$A$1:$NTR$890,COLUMN(HeadJournal!B$1),0),"")</f>
        <v>720000409068</v>
      </c>
      <c r="C3938" s="94" t="str">
        <f>IFERROR(VLOOKUP($A3938,HeadJournal!$A$1:$NTR$890,COLUMN(HeadJournal!C$1),0),"")</f>
        <v>iHerb_OA CZN6870</v>
      </c>
      <c r="D3938" s="125" t="str">
        <f>IFERROR(VLOOKUP($A3938,HeadJournal!$A$1:$NTR$890,COLUMN(HeadJournal!D$1),0),"")</f>
        <v>Доставлен</v>
      </c>
      <c r="E3938" s="95">
        <f>IFERROR(VLOOKUP($A3938,HeadJournal!$A$1:$NTR$890,COLUMN(HeadJournal!G$1),0),"")</f>
        <v>45562</v>
      </c>
      <c r="F3938" s="95" t="str">
        <f t="shared" si="310"/>
        <v>2024 09</v>
      </c>
      <c r="G3938" s="97" t="s">
        <v>5</v>
      </c>
      <c r="H3938" s="161" t="s">
        <v>2223</v>
      </c>
      <c r="I3938" s="97" t="s">
        <v>2008</v>
      </c>
      <c r="J3938" s="97" t="s">
        <v>2224</v>
      </c>
      <c r="K3938" s="29">
        <v>12.98</v>
      </c>
      <c r="L3938" s="29">
        <v>-3.6349999999999998</v>
      </c>
      <c r="M3938" s="30">
        <f>IFERROR(VLOOKUP($A3938,HeadJournal!$A$1:$J$890,COLUMN(HeadJournal!I$1),0)*($K3938+$L3938)/(SUMIF($A:$A,$A3938,$K:$K)+SUMIF($A:$A,$A3938,$L:$L)),0)</f>
        <v>-0.45844021514273903</v>
      </c>
      <c r="N3938" s="30">
        <f>IFERROR((VLOOKUP($A3938,HeadJournal!$A$1:$K$890,COLUMN(HeadJournal!K$1),0)-VLOOKUP($A3938,HeadJournal!$A$1:$K$890,COLUMN(HeadJournal!J$1),0))*($K3938+$L3938)/(SUMIF($A:$A,$A3938,$K:$K)+SUMIF($A:$A,$A3938,$L:$L)),0)</f>
        <v>0</v>
      </c>
      <c r="O3938" s="30">
        <f>IFERROR((VLOOKUP($A3938,HeadJournal!$A$1:$L$890,COLUMN(HeadJournal!L$1),0)*($K3938+$L3938)/(SUMIF($A:$A,$A3938,$K:$K)+SUMIF($A:$A,$A3938,$L:$L)))/VLOOKUP($A3938,HeadJournal!$A$1:$L$890,COLUMN(HeadJournal!H$1),0),0)</f>
        <v>0.51256075399330903</v>
      </c>
      <c r="P3938" s="30">
        <f>IFERROR(SUM(K3938:O3938)*VLOOKUP($A3938,HeadJournal!$A$1:$L$890,COLUMN(HeadJournal!H$1),0),0)</f>
        <v>972.69014997408271</v>
      </c>
      <c r="Q3938" s="29">
        <v>1900</v>
      </c>
      <c r="R3938" s="31">
        <v>45679</v>
      </c>
      <c r="S3938" s="31" t="s">
        <v>3121</v>
      </c>
      <c r="T3938" s="95" t="str">
        <f t="shared" si="311"/>
        <v>2025 01</v>
      </c>
      <c r="U3938" s="32">
        <f t="shared" si="308"/>
        <v>927.30985002591729</v>
      </c>
      <c r="V3938" s="22">
        <f t="shared" si="309"/>
        <v>0.95334557469367343</v>
      </c>
      <c r="X3938" s="33"/>
      <c r="Y3938" s="33"/>
    </row>
    <row r="3939" spans="1:25" x14ac:dyDescent="0.2">
      <c r="A3939" s="93" t="s">
        <v>2231</v>
      </c>
      <c r="B3939" s="94" t="str">
        <f>IFERROR(VLOOKUP($A3939,HeadJournal!$A$1:$NTR$890,COLUMN(HeadJournal!B$1),0),"")</f>
        <v>720000409068</v>
      </c>
      <c r="C3939" s="94" t="str">
        <f>IFERROR(VLOOKUP($A3939,HeadJournal!$A$1:$NTR$890,COLUMN(HeadJournal!C$1),0),"")</f>
        <v>iHerb_OA CZN6870</v>
      </c>
      <c r="D3939" s="125" t="str">
        <f>IFERROR(VLOOKUP($A3939,HeadJournal!$A$1:$NTR$890,COLUMN(HeadJournal!D$1),0),"")</f>
        <v>Доставлен</v>
      </c>
      <c r="E3939" s="95">
        <f>IFERROR(VLOOKUP($A3939,HeadJournal!$A$1:$NTR$890,COLUMN(HeadJournal!G$1),0),"")</f>
        <v>45562</v>
      </c>
      <c r="F3939" s="95" t="str">
        <f t="shared" si="310"/>
        <v>2024 09</v>
      </c>
      <c r="G3939" s="97" t="s">
        <v>5</v>
      </c>
      <c r="H3939" s="161" t="s">
        <v>2223</v>
      </c>
      <c r="I3939" s="97" t="s">
        <v>2008</v>
      </c>
      <c r="J3939" s="97" t="s">
        <v>2224</v>
      </c>
      <c r="K3939" s="29">
        <v>12.98</v>
      </c>
      <c r="L3939" s="29">
        <v>-3.6349999999999998</v>
      </c>
      <c r="M3939" s="30">
        <f>IFERROR(VLOOKUP($A3939,HeadJournal!$A$1:$J$890,COLUMN(HeadJournal!I$1),0)*($K3939+$L3939)/(SUMIF($A:$A,$A3939,$K:$K)+SUMIF($A:$A,$A3939,$L:$L)),0)</f>
        <v>-0.45844021514273903</v>
      </c>
      <c r="N3939" s="30">
        <f>IFERROR((VLOOKUP($A3939,HeadJournal!$A$1:$K$890,COLUMN(HeadJournal!K$1),0)-VLOOKUP($A3939,HeadJournal!$A$1:$K$890,COLUMN(HeadJournal!J$1),0))*($K3939+$L3939)/(SUMIF($A:$A,$A3939,$K:$K)+SUMIF($A:$A,$A3939,$L:$L)),0)</f>
        <v>0</v>
      </c>
      <c r="O3939" s="30">
        <f>IFERROR((VLOOKUP($A3939,HeadJournal!$A$1:$L$890,COLUMN(HeadJournal!L$1),0)*($K3939+$L3939)/(SUMIF($A:$A,$A3939,$K:$K)+SUMIF($A:$A,$A3939,$L:$L)))/VLOOKUP($A3939,HeadJournal!$A$1:$L$890,COLUMN(HeadJournal!H$1),0),0)</f>
        <v>0.51256075399330903</v>
      </c>
      <c r="P3939" s="30">
        <f>IFERROR(SUM(K3939:O3939)*VLOOKUP($A3939,HeadJournal!$A$1:$L$890,COLUMN(HeadJournal!H$1),0),0)</f>
        <v>972.69014997408271</v>
      </c>
      <c r="Q3939" s="29">
        <v>1800</v>
      </c>
      <c r="R3939" s="31">
        <v>45685</v>
      </c>
      <c r="S3939" s="31" t="s">
        <v>3121</v>
      </c>
      <c r="T3939" s="95" t="str">
        <f t="shared" si="311"/>
        <v>2025 01</v>
      </c>
      <c r="U3939" s="32">
        <f t="shared" si="308"/>
        <v>827.30985002591729</v>
      </c>
      <c r="V3939" s="22">
        <f t="shared" si="309"/>
        <v>0.85053791286769065</v>
      </c>
      <c r="X3939" s="33"/>
      <c r="Y3939" s="33"/>
    </row>
    <row r="3940" spans="1:25" x14ac:dyDescent="0.2">
      <c r="A3940" s="93" t="s">
        <v>2231</v>
      </c>
      <c r="B3940" s="94" t="str">
        <f>IFERROR(VLOOKUP($A3940,HeadJournal!$A$1:$NTR$890,COLUMN(HeadJournal!B$1),0),"")</f>
        <v>720000409068</v>
      </c>
      <c r="C3940" s="94" t="str">
        <f>IFERROR(VLOOKUP($A3940,HeadJournal!$A$1:$NTR$890,COLUMN(HeadJournal!C$1),0),"")</f>
        <v>iHerb_OA CZN6870</v>
      </c>
      <c r="D3940" s="125" t="str">
        <f>IFERROR(VLOOKUP($A3940,HeadJournal!$A$1:$NTR$890,COLUMN(HeadJournal!D$1),0),"")</f>
        <v>Доставлен</v>
      </c>
      <c r="E3940" s="95">
        <f>IFERROR(VLOOKUP($A3940,HeadJournal!$A$1:$NTR$890,COLUMN(HeadJournal!G$1),0),"")</f>
        <v>45562</v>
      </c>
      <c r="F3940" s="95" t="str">
        <f t="shared" si="310"/>
        <v>2024 09</v>
      </c>
      <c r="G3940" s="97" t="s">
        <v>5</v>
      </c>
      <c r="H3940" s="161" t="s">
        <v>2225</v>
      </c>
      <c r="I3940" s="97" t="s">
        <v>2226</v>
      </c>
      <c r="J3940" s="97" t="s">
        <v>2227</v>
      </c>
      <c r="K3940" s="29">
        <v>22.24</v>
      </c>
      <c r="L3940" s="29">
        <v>-6.23</v>
      </c>
      <c r="M3940" s="30">
        <f>IFERROR(VLOOKUP($A3940,HeadJournal!$A$1:$J$890,COLUMN(HeadJournal!I$1),0)*($K3940+$L3940)/(SUMIF($A:$A,$A3940,$K:$K)+SUMIF($A:$A,$A3940,$L:$L)),0)</f>
        <v>-0.78540693894438196</v>
      </c>
      <c r="N3940" s="30">
        <f>IFERROR((VLOOKUP($A3940,HeadJournal!$A$1:$K$890,COLUMN(HeadJournal!K$1),0)-VLOOKUP($A3940,HeadJournal!$A$1:$K$890,COLUMN(HeadJournal!J$1),0))*($K3940+$L3940)/(SUMIF($A:$A,$A3940,$K:$K)+SUMIF($A:$A,$A3940,$L:$L)),0)</f>
        <v>0</v>
      </c>
      <c r="O3940" s="30">
        <f>IFERROR((VLOOKUP($A3940,HeadJournal!$A$1:$L$890,COLUMN(HeadJournal!L$1),0)*($K3940+$L3940)/(SUMIF($A:$A,$A3940,$K:$K)+SUMIF($A:$A,$A3940,$L:$L)))/VLOOKUP($A3940,HeadJournal!$A$1:$L$890,COLUMN(HeadJournal!H$1),0),0)</f>
        <v>0.87812709164610758</v>
      </c>
      <c r="P3940" s="30">
        <f>IFERROR(SUM(K3940:O3940)*VLOOKUP($A3940,HeadJournal!$A$1:$L$890,COLUMN(HeadJournal!H$1),0),0)</f>
        <v>1666.4279615928369</v>
      </c>
      <c r="Q3940" s="29">
        <v>2900</v>
      </c>
      <c r="R3940" s="31">
        <v>45639</v>
      </c>
      <c r="S3940" s="31" t="s">
        <v>3121</v>
      </c>
      <c r="T3940" s="95" t="str">
        <f t="shared" si="311"/>
        <v>2024 12</v>
      </c>
      <c r="U3940" s="32">
        <f t="shared" si="308"/>
        <v>1233.5720384071631</v>
      </c>
      <c r="V3940" s="22">
        <f t="shared" si="309"/>
        <v>0.74024924379453327</v>
      </c>
      <c r="X3940" s="33"/>
      <c r="Y3940" s="33"/>
    </row>
    <row r="3941" spans="1:25" x14ac:dyDescent="0.2">
      <c r="A3941" s="93" t="s">
        <v>2231</v>
      </c>
      <c r="B3941" s="94" t="str">
        <f>IFERROR(VLOOKUP($A3941,HeadJournal!$A$1:$NTR$890,COLUMN(HeadJournal!B$1),0),"")</f>
        <v>720000409068</v>
      </c>
      <c r="C3941" s="94" t="str">
        <f>IFERROR(VLOOKUP($A3941,HeadJournal!$A$1:$NTR$890,COLUMN(HeadJournal!C$1),0),"")</f>
        <v>iHerb_OA CZN6870</v>
      </c>
      <c r="D3941" s="125" t="str">
        <f>IFERROR(VLOOKUP($A3941,HeadJournal!$A$1:$NTR$890,COLUMN(HeadJournal!D$1),0),"")</f>
        <v>Доставлен</v>
      </c>
      <c r="E3941" s="95">
        <f>IFERROR(VLOOKUP($A3941,HeadJournal!$A$1:$NTR$890,COLUMN(HeadJournal!G$1),0),"")</f>
        <v>45562</v>
      </c>
      <c r="F3941" s="95" t="str">
        <f t="shared" si="310"/>
        <v>2024 09</v>
      </c>
      <c r="G3941" s="97" t="s">
        <v>7</v>
      </c>
      <c r="H3941" s="161" t="s">
        <v>2228</v>
      </c>
      <c r="I3941" s="97" t="s">
        <v>2229</v>
      </c>
      <c r="J3941" s="97" t="s">
        <v>2230</v>
      </c>
      <c r="K3941" s="29">
        <v>0</v>
      </c>
      <c r="L3941" s="29"/>
      <c r="M3941" s="30">
        <f>IFERROR(VLOOKUP($A3941,HeadJournal!$A$1:$J$890,COLUMN(HeadJournal!I$1),0)*($K3941+$L3941)/(SUMIF($A:$A,$A3941,$K:$K)+SUMIF($A:$A,$A3941,$L:$L)),0)</f>
        <v>0</v>
      </c>
      <c r="N3941" s="30">
        <f>IFERROR((VLOOKUP($A3941,HeadJournal!$A$1:$K$890,COLUMN(HeadJournal!K$1),0)-VLOOKUP($A3941,HeadJournal!$A$1:$K$890,COLUMN(HeadJournal!J$1),0))*($K3941+$L3941)/(SUMIF($A:$A,$A3941,$K:$K)+SUMIF($A:$A,$A3941,$L:$L)),0)</f>
        <v>0</v>
      </c>
      <c r="O3941" s="30">
        <f>IFERROR((VLOOKUP($A3941,HeadJournal!$A$1:$L$890,COLUMN(HeadJournal!L$1),0)*($K3941+$L3941)/(SUMIF($A:$A,$A3941,$K:$K)+SUMIF($A:$A,$A3941,$L:$L)))/VLOOKUP($A3941,HeadJournal!$A$1:$L$890,COLUMN(HeadJournal!H$1),0),0)</f>
        <v>0</v>
      </c>
      <c r="P3941" s="30">
        <f>IFERROR(SUM(K3941:O3941)*VLOOKUP($A3941,HeadJournal!$A$1:$L$890,COLUMN(HeadJournal!H$1),0),0)</f>
        <v>0</v>
      </c>
      <c r="Q3941" s="29">
        <v>1400</v>
      </c>
      <c r="R3941" s="31">
        <v>45591</v>
      </c>
      <c r="S3941" s="31" t="s">
        <v>3121</v>
      </c>
      <c r="T3941" s="95" t="str">
        <f t="shared" si="311"/>
        <v>2024 10</v>
      </c>
      <c r="U3941" s="32">
        <f t="shared" si="308"/>
        <v>1400</v>
      </c>
      <c r="V3941" s="22" t="str">
        <f t="shared" si="309"/>
        <v/>
      </c>
      <c r="X3941" s="33"/>
      <c r="Y3941" s="33"/>
    </row>
    <row r="3942" spans="1:25" x14ac:dyDescent="0.2">
      <c r="A3942" s="93" t="s">
        <v>2231</v>
      </c>
      <c r="B3942" s="94" t="str">
        <f>IFERROR(VLOOKUP($A3942,HeadJournal!$A$1:$NTR$890,COLUMN(HeadJournal!B$1),0),"")</f>
        <v>720000409068</v>
      </c>
      <c r="C3942" s="94" t="str">
        <f>IFERROR(VLOOKUP($A3942,HeadJournal!$A$1:$NTR$890,COLUMN(HeadJournal!C$1),0),"")</f>
        <v>iHerb_OA CZN6870</v>
      </c>
      <c r="D3942" s="125" t="str">
        <f>IFERROR(VLOOKUP($A3942,HeadJournal!$A$1:$NTR$890,COLUMN(HeadJournal!D$1),0),"")</f>
        <v>Доставлен</v>
      </c>
      <c r="E3942" s="95">
        <f>IFERROR(VLOOKUP($A3942,HeadJournal!$A$1:$NTR$890,COLUMN(HeadJournal!G$1),0),"")</f>
        <v>45562</v>
      </c>
      <c r="F3942" s="95" t="str">
        <f t="shared" si="310"/>
        <v>2024 09</v>
      </c>
      <c r="G3942" s="97" t="s">
        <v>7</v>
      </c>
      <c r="H3942" s="161" t="s">
        <v>2228</v>
      </c>
      <c r="I3942" s="97" t="s">
        <v>2229</v>
      </c>
      <c r="J3942" s="97" t="s">
        <v>2230</v>
      </c>
      <c r="K3942" s="29">
        <v>0</v>
      </c>
      <c r="L3942" s="29"/>
      <c r="M3942" s="30">
        <f>IFERROR(VLOOKUP($A3942,HeadJournal!$A$1:$J$890,COLUMN(HeadJournal!I$1),0)*($K3942+$L3942)/(SUMIF($A:$A,$A3942,$K:$K)+SUMIF($A:$A,$A3942,$L:$L)),0)</f>
        <v>0</v>
      </c>
      <c r="N3942" s="30">
        <f>IFERROR((VLOOKUP($A3942,HeadJournal!$A$1:$K$890,COLUMN(HeadJournal!K$1),0)-VLOOKUP($A3942,HeadJournal!$A$1:$K$890,COLUMN(HeadJournal!J$1),0))*($K3942+$L3942)/(SUMIF($A:$A,$A3942,$K:$K)+SUMIF($A:$A,$A3942,$L:$L)),0)</f>
        <v>0</v>
      </c>
      <c r="O3942" s="30">
        <f>IFERROR((VLOOKUP($A3942,HeadJournal!$A$1:$L$890,COLUMN(HeadJournal!L$1),0)*($K3942+$L3942)/(SUMIF($A:$A,$A3942,$K:$K)+SUMIF($A:$A,$A3942,$L:$L)))/VLOOKUP($A3942,HeadJournal!$A$1:$L$890,COLUMN(HeadJournal!H$1),0),0)</f>
        <v>0</v>
      </c>
      <c r="P3942" s="30">
        <f>IFERROR(SUM(K3942:O3942)*VLOOKUP($A3942,HeadJournal!$A$1:$L$890,COLUMN(HeadJournal!H$1),0),0)</f>
        <v>0</v>
      </c>
      <c r="Q3942" s="29">
        <v>1000</v>
      </c>
      <c r="R3942" s="31">
        <v>45605</v>
      </c>
      <c r="S3942" s="31" t="s">
        <v>3121</v>
      </c>
      <c r="T3942" s="95" t="str">
        <f t="shared" si="311"/>
        <v>2024 11</v>
      </c>
      <c r="U3942" s="32">
        <f t="shared" si="308"/>
        <v>1000</v>
      </c>
      <c r="V3942" s="22" t="str">
        <f t="shared" si="309"/>
        <v/>
      </c>
      <c r="X3942" s="33"/>
      <c r="Y3942" s="33"/>
    </row>
    <row r="3943" spans="1:25" x14ac:dyDescent="0.2">
      <c r="A3943" s="93" t="s">
        <v>2236</v>
      </c>
      <c r="B3943" s="94">
        <f>IFERROR(VLOOKUP($A3943,HeadJournal!$A$1:$NTR$890,COLUMN(HeadJournal!B$1),0),"")</f>
        <v>0</v>
      </c>
      <c r="C3943" s="94" t="str">
        <f>IFERROR(VLOOKUP($A3943,HeadJournal!$A$1:$NTR$890,COLUMN(HeadJournal!C$1),0),"")</f>
        <v>WBRS</v>
      </c>
      <c r="D3943" s="125" t="str">
        <f>IFERROR(VLOOKUP($A3943,HeadJournal!$A$1:$NTR$890,COLUMN(HeadJournal!D$1),0),"")</f>
        <v>Доставлен</v>
      </c>
      <c r="E3943" s="95">
        <f>IFERROR(VLOOKUP($A3943,HeadJournal!$A$1:$NTR$890,COLUMN(HeadJournal!G$1),0),"")</f>
        <v>45569</v>
      </c>
      <c r="F3943" s="95" t="str">
        <f t="shared" si="310"/>
        <v>2024 10</v>
      </c>
      <c r="G3943" s="97" t="s">
        <v>5</v>
      </c>
      <c r="H3943" s="161" t="s">
        <v>3677</v>
      </c>
      <c r="I3943" s="97" t="s">
        <v>1368</v>
      </c>
      <c r="J3943" s="97" t="s">
        <v>3678</v>
      </c>
      <c r="K3943" s="29">
        <v>2373</v>
      </c>
      <c r="L3943" s="29">
        <v>0</v>
      </c>
      <c r="M3943" s="30">
        <f>IFERROR(VLOOKUP($A3943,HeadJournal!$A$1:$J$890,COLUMN(HeadJournal!I$1),0)*($K3943+$L3943)/(SUMIF($A:$A,$A3943,$K:$K)+SUMIF($A:$A,$A3943,$L:$L)),0)</f>
        <v>0</v>
      </c>
      <c r="N3943" s="30">
        <f>IFERROR((VLOOKUP($A3943,HeadJournal!$A$1:$K$890,COLUMN(HeadJournal!K$1),0)-VLOOKUP($A3943,HeadJournal!$A$1:$K$890,COLUMN(HeadJournal!J$1),0))*($K3943+$L3943)/(SUMIF($A:$A,$A3943,$K:$K)+SUMIF($A:$A,$A3943,$L:$L)),0)</f>
        <v>0</v>
      </c>
      <c r="O3943" s="30">
        <f>IFERROR((VLOOKUP($A3943,HeadJournal!$A$1:$L$890,COLUMN(HeadJournal!L$1),0)*($K3943+$L3943)/(SUMIF($A:$A,$A3943,$K:$K)+SUMIF($A:$A,$A3943,$L:$L)))/VLOOKUP($A3943,HeadJournal!$A$1:$L$890,COLUMN(HeadJournal!H$1),0),0)</f>
        <v>0</v>
      </c>
      <c r="P3943" s="30">
        <f>IFERROR(SUM(K3943:O3943)*VLOOKUP($A3943,HeadJournal!$A$1:$L$890,COLUMN(HeadJournal!H$1),0),0)</f>
        <v>2373</v>
      </c>
      <c r="Q3943" s="29">
        <v>3400</v>
      </c>
      <c r="R3943" s="31">
        <v>45572</v>
      </c>
      <c r="S3943" s="31" t="s">
        <v>3121</v>
      </c>
      <c r="T3943" s="95" t="str">
        <f t="shared" si="311"/>
        <v>2024 10</v>
      </c>
      <c r="U3943" s="32">
        <f t="shared" si="308"/>
        <v>1027</v>
      </c>
      <c r="V3943" s="22">
        <f t="shared" si="309"/>
        <v>0.43278550358196377</v>
      </c>
      <c r="X3943" s="33"/>
      <c r="Y3943" s="33"/>
    </row>
    <row r="3944" spans="1:25" x14ac:dyDescent="0.2">
      <c r="A3944" s="93" t="s">
        <v>2236</v>
      </c>
      <c r="B3944" s="94">
        <f>IFERROR(VLOOKUP($A3944,HeadJournal!$A$1:$NTR$890,COLUMN(HeadJournal!B$1),0),"")</f>
        <v>0</v>
      </c>
      <c r="C3944" s="94" t="str">
        <f>IFERROR(VLOOKUP($A3944,HeadJournal!$A$1:$NTR$890,COLUMN(HeadJournal!C$1),0),"")</f>
        <v>WBRS</v>
      </c>
      <c r="D3944" s="125" t="str">
        <f>IFERROR(VLOOKUP($A3944,HeadJournal!$A$1:$NTR$890,COLUMN(HeadJournal!D$1),0),"")</f>
        <v>Доставлен</v>
      </c>
      <c r="E3944" s="95">
        <f>IFERROR(VLOOKUP($A3944,HeadJournal!$A$1:$NTR$890,COLUMN(HeadJournal!G$1),0),"")</f>
        <v>45569</v>
      </c>
      <c r="F3944" s="95" t="str">
        <f t="shared" si="310"/>
        <v>2024 10</v>
      </c>
      <c r="G3944" s="97" t="s">
        <v>5</v>
      </c>
      <c r="H3944" s="161" t="s">
        <v>3677</v>
      </c>
      <c r="I3944" s="97" t="s">
        <v>1368</v>
      </c>
      <c r="J3944" s="97" t="s">
        <v>3678</v>
      </c>
      <c r="K3944" s="29">
        <v>2373</v>
      </c>
      <c r="L3944" s="29">
        <v>0</v>
      </c>
      <c r="M3944" s="30">
        <f>IFERROR(VLOOKUP($A3944,HeadJournal!$A$1:$J$890,COLUMN(HeadJournal!I$1),0)*($K3944+$L3944)/(SUMIF($A:$A,$A3944,$K:$K)+SUMIF($A:$A,$A3944,$L:$L)),0)</f>
        <v>0</v>
      </c>
      <c r="N3944" s="30">
        <f>IFERROR((VLOOKUP($A3944,HeadJournal!$A$1:$K$890,COLUMN(HeadJournal!K$1),0)-VLOOKUP($A3944,HeadJournal!$A$1:$K$890,COLUMN(HeadJournal!J$1),0))*($K3944+$L3944)/(SUMIF($A:$A,$A3944,$K:$K)+SUMIF($A:$A,$A3944,$L:$L)),0)</f>
        <v>0</v>
      </c>
      <c r="O3944" s="30">
        <f>IFERROR((VLOOKUP($A3944,HeadJournal!$A$1:$L$890,COLUMN(HeadJournal!L$1),0)*($K3944+$L3944)/(SUMIF($A:$A,$A3944,$K:$K)+SUMIF($A:$A,$A3944,$L:$L)))/VLOOKUP($A3944,HeadJournal!$A$1:$L$890,COLUMN(HeadJournal!H$1),0),0)</f>
        <v>0</v>
      </c>
      <c r="P3944" s="30">
        <f>IFERROR(SUM(K3944:O3944)*VLOOKUP($A3944,HeadJournal!$A$1:$L$890,COLUMN(HeadJournal!H$1),0),0)</f>
        <v>2373</v>
      </c>
      <c r="Q3944" s="29">
        <v>4000</v>
      </c>
      <c r="R3944" s="31">
        <v>45985</v>
      </c>
      <c r="S3944" s="31"/>
      <c r="T3944" s="95" t="str">
        <f t="shared" si="311"/>
        <v>2025 11</v>
      </c>
      <c r="U3944" s="32">
        <f t="shared" si="308"/>
        <v>1627</v>
      </c>
      <c r="V3944" s="22">
        <f t="shared" si="309"/>
        <v>0.68563000421407505</v>
      </c>
      <c r="X3944" s="33"/>
      <c r="Y3944" s="33"/>
    </row>
    <row r="3945" spans="1:25" x14ac:dyDescent="0.2">
      <c r="A3945" s="93" t="s">
        <v>2237</v>
      </c>
      <c r="B3945" s="94">
        <f>IFERROR(VLOOKUP($A3945,HeadJournal!$A$1:$NTR$890,COLUMN(HeadJournal!B$1),0),"")</f>
        <v>0</v>
      </c>
      <c r="C3945" s="94" t="str">
        <f>IFERROR(VLOOKUP($A3945,HeadJournal!$A$1:$NTR$890,COLUMN(HeadJournal!C$1),0),"")</f>
        <v>OZON_OA</v>
      </c>
      <c r="D3945" s="125" t="str">
        <f>IFERROR(VLOOKUP($A3945,HeadJournal!$A$1:$NTR$890,COLUMN(HeadJournal!D$1),0),"")</f>
        <v>Доставлен</v>
      </c>
      <c r="E3945" s="95">
        <f>IFERROR(VLOOKUP($A3945,HeadJournal!$A$1:$NTR$890,COLUMN(HeadJournal!G$1),0),"")</f>
        <v>45569</v>
      </c>
      <c r="F3945" s="95" t="str">
        <f t="shared" si="310"/>
        <v>2024 10</v>
      </c>
      <c r="G3945" s="96" t="s">
        <v>6</v>
      </c>
      <c r="H3945" s="161" t="s">
        <v>2238</v>
      </c>
      <c r="I3945" s="97" t="s">
        <v>2239</v>
      </c>
      <c r="J3945" s="97" t="s">
        <v>275</v>
      </c>
      <c r="K3945" s="29">
        <v>1432</v>
      </c>
      <c r="L3945" s="29">
        <v>0</v>
      </c>
      <c r="M3945" s="30">
        <f>IFERROR(VLOOKUP($A3945,HeadJournal!$A$1:$J$890,COLUMN(HeadJournal!I$1),0)*($K3945+$L3945)/(SUMIF($A:$A,$A3945,$K:$K)+SUMIF($A:$A,$A3945,$L:$L)),0)</f>
        <v>0</v>
      </c>
      <c r="N3945" s="30">
        <f>IFERROR((VLOOKUP($A3945,HeadJournal!$A$1:$K$890,COLUMN(HeadJournal!K$1),0)-VLOOKUP($A3945,HeadJournal!$A$1:$K$890,COLUMN(HeadJournal!J$1),0))*($K3945+$L3945)/(SUMIF($A:$A,$A3945,$K:$K)+SUMIF($A:$A,$A3945,$L:$L)),0)</f>
        <v>0</v>
      </c>
      <c r="O3945" s="30">
        <f>IFERROR((VLOOKUP($A3945,HeadJournal!$A$1:$L$890,COLUMN(HeadJournal!L$1),0)*($K3945+$L3945)/(SUMIF($A:$A,$A3945,$K:$K)+SUMIF($A:$A,$A3945,$L:$L)))/VLOOKUP($A3945,HeadJournal!$A$1:$L$890,COLUMN(HeadJournal!H$1),0),0)</f>
        <v>0</v>
      </c>
      <c r="P3945" s="30">
        <f>IFERROR(SUM(K3945:O3945)*VLOOKUP($A3945,HeadJournal!$A$1:$L$890,COLUMN(HeadJournal!H$1),0),0)</f>
        <v>1432</v>
      </c>
      <c r="Q3945" s="29">
        <v>2100</v>
      </c>
      <c r="R3945" s="31">
        <v>45571</v>
      </c>
      <c r="S3945" s="31" t="s">
        <v>3121</v>
      </c>
      <c r="T3945" s="95" t="str">
        <f t="shared" si="311"/>
        <v>2024 10</v>
      </c>
      <c r="U3945" s="32">
        <f t="shared" si="308"/>
        <v>668</v>
      </c>
      <c r="V3945" s="22">
        <f t="shared" si="309"/>
        <v>0.46648044692737428</v>
      </c>
      <c r="X3945" s="33"/>
      <c r="Y3945" s="33"/>
    </row>
    <row r="3946" spans="1:25" x14ac:dyDescent="0.2">
      <c r="A3946" s="93" t="s">
        <v>2241</v>
      </c>
      <c r="B3946" s="94" t="str">
        <f>IFERROR(VLOOKUP($A3946,HeadJournal!$A$1:$NTR$890,COLUMN(HeadJournal!B$1),0),"")</f>
        <v>1495389645</v>
      </c>
      <c r="C3946" s="94" t="str">
        <f>IFERROR(VLOOKUP($A3946,HeadJournal!$A$1:$NTR$890,COLUMN(HeadJournal!C$1),0),"")</f>
        <v>essens_OA</v>
      </c>
      <c r="D3946" s="125" t="str">
        <f>IFERROR(VLOOKUP($A3946,HeadJournal!$A$1:$NTR$890,COLUMN(HeadJournal!D$1),0),"")</f>
        <v>Доставлен</v>
      </c>
      <c r="E3946" s="95">
        <f>IFERROR(VLOOKUP($A3946,HeadJournal!$A$1:$NTR$890,COLUMN(HeadJournal!G$1),0),"")</f>
        <v>45575</v>
      </c>
      <c r="F3946" s="95" t="str">
        <f t="shared" si="310"/>
        <v>2024 10</v>
      </c>
      <c r="G3946" s="97" t="s">
        <v>8</v>
      </c>
      <c r="H3946" s="161" t="s">
        <v>2242</v>
      </c>
      <c r="I3946" s="97" t="s">
        <v>2243</v>
      </c>
      <c r="J3946" s="97" t="s">
        <v>2244</v>
      </c>
      <c r="K3946" s="29">
        <v>1276.19</v>
      </c>
      <c r="L3946" s="29">
        <v>-212.69833333333335</v>
      </c>
      <c r="M3946" s="30">
        <f>IFERROR(VLOOKUP($A3946,HeadJournal!$A$1:$J$890,COLUMN(HeadJournal!I$1),0)*($K3946+$L3946)/(SUMIF($A:$A,$A3946,$K:$K)+SUMIF($A:$A,$A3946,$L:$L)),0)</f>
        <v>0</v>
      </c>
      <c r="N3946" s="30">
        <f>IFERROR((VLOOKUP($A3946,HeadJournal!$A$1:$K$890,COLUMN(HeadJournal!K$1),0)-VLOOKUP($A3946,HeadJournal!$A$1:$K$890,COLUMN(HeadJournal!J$1),0))*($K3946+$L3946)/(SUMIF($A:$A,$A3946,$K:$K)+SUMIF($A:$A,$A3946,$L:$L)),0)</f>
        <v>-1.500283131374806E-13</v>
      </c>
      <c r="O3946" s="30">
        <f>IFERROR((VLOOKUP($A3946,HeadJournal!$A$1:$L$890,COLUMN(HeadJournal!L$1),0)*($K3946+$L3946)/(SUMIF($A:$A,$A3946,$K:$K)+SUMIF($A:$A,$A3946,$L:$L)))/VLOOKUP($A3946,HeadJournal!$A$1:$L$890,COLUMN(HeadJournal!H$1),0),0)</f>
        <v>91.221704759024149</v>
      </c>
      <c r="P3946" s="30">
        <f>IFERROR(SUM(K3946:O3946)*VLOOKUP($A3946,HeadJournal!$A$1:$L$890,COLUMN(HeadJournal!H$1),0),0)</f>
        <v>1154.7133714256906</v>
      </c>
      <c r="Q3946" s="29">
        <v>2200</v>
      </c>
      <c r="R3946" s="31">
        <v>45591</v>
      </c>
      <c r="S3946" s="31" t="s">
        <v>3121</v>
      </c>
      <c r="T3946" s="95" t="str">
        <f t="shared" si="311"/>
        <v>2024 10</v>
      </c>
      <c r="U3946" s="32">
        <f t="shared" si="308"/>
        <v>1045.2866285743094</v>
      </c>
      <c r="V3946" s="22">
        <f t="shared" si="309"/>
        <v>0.9052347140344662</v>
      </c>
      <c r="X3946" s="33"/>
      <c r="Y3946" s="33"/>
    </row>
    <row r="3947" spans="1:25" x14ac:dyDescent="0.2">
      <c r="A3947" s="93" t="s">
        <v>2241</v>
      </c>
      <c r="B3947" s="94" t="str">
        <f>IFERROR(VLOOKUP($A3947,HeadJournal!$A$1:$NTR$890,COLUMN(HeadJournal!B$1),0),"")</f>
        <v>1495389645</v>
      </c>
      <c r="C3947" s="94" t="str">
        <f>IFERROR(VLOOKUP($A3947,HeadJournal!$A$1:$NTR$890,COLUMN(HeadJournal!C$1),0),"")</f>
        <v>essens_OA</v>
      </c>
      <c r="D3947" s="125" t="str">
        <f>IFERROR(VLOOKUP($A3947,HeadJournal!$A$1:$NTR$890,COLUMN(HeadJournal!D$1),0),"")</f>
        <v>Доставлен</v>
      </c>
      <c r="E3947" s="95">
        <f>IFERROR(VLOOKUP($A3947,HeadJournal!$A$1:$NTR$890,COLUMN(HeadJournal!G$1),0),"")</f>
        <v>45575</v>
      </c>
      <c r="F3947" s="95" t="str">
        <f t="shared" si="310"/>
        <v>2024 10</v>
      </c>
      <c r="G3947" s="97" t="s">
        <v>8</v>
      </c>
      <c r="H3947" s="161" t="s">
        <v>2245</v>
      </c>
      <c r="I3947" s="97" t="s">
        <v>2243</v>
      </c>
      <c r="J3947" s="97" t="s">
        <v>2252</v>
      </c>
      <c r="K3947" s="29">
        <v>1276.19</v>
      </c>
      <c r="L3947" s="29">
        <v>-212.69833333333335</v>
      </c>
      <c r="M3947" s="30">
        <f>IFERROR(VLOOKUP($A3947,HeadJournal!$A$1:$J$890,COLUMN(HeadJournal!I$1),0)*($K3947+$L3947)/(SUMIF($A:$A,$A3947,$K:$K)+SUMIF($A:$A,$A3947,$L:$L)),0)</f>
        <v>0</v>
      </c>
      <c r="N3947" s="30">
        <f>IFERROR((VLOOKUP($A3947,HeadJournal!$A$1:$K$890,COLUMN(HeadJournal!K$1),0)-VLOOKUP($A3947,HeadJournal!$A$1:$K$890,COLUMN(HeadJournal!J$1),0))*($K3947+$L3947)/(SUMIF($A:$A,$A3947,$K:$K)+SUMIF($A:$A,$A3947,$L:$L)),0)</f>
        <v>-1.500283131374806E-13</v>
      </c>
      <c r="O3947" s="30">
        <f>IFERROR((VLOOKUP($A3947,HeadJournal!$A$1:$L$890,COLUMN(HeadJournal!L$1),0)*($K3947+$L3947)/(SUMIF($A:$A,$A3947,$K:$K)+SUMIF($A:$A,$A3947,$L:$L)))/VLOOKUP($A3947,HeadJournal!$A$1:$L$890,COLUMN(HeadJournal!H$1),0),0)</f>
        <v>91.221704759024149</v>
      </c>
      <c r="P3947" s="30">
        <f>IFERROR(SUM(K3947:O3947)*VLOOKUP($A3947,HeadJournal!$A$1:$L$890,COLUMN(HeadJournal!H$1),0),0)</f>
        <v>1154.7133714256906</v>
      </c>
      <c r="Q3947" s="29">
        <v>2500</v>
      </c>
      <c r="R3947" s="31">
        <v>45727</v>
      </c>
      <c r="S3947" s="31" t="s">
        <v>3121</v>
      </c>
      <c r="T3947" s="95" t="str">
        <f t="shared" si="311"/>
        <v>2025 03</v>
      </c>
      <c r="U3947" s="32">
        <f t="shared" si="308"/>
        <v>1345.2866285743094</v>
      </c>
      <c r="V3947" s="22">
        <f t="shared" si="309"/>
        <v>1.1650394477664388</v>
      </c>
      <c r="X3947" s="33"/>
      <c r="Y3947" s="33"/>
    </row>
    <row r="3948" spans="1:25" x14ac:dyDescent="0.2">
      <c r="A3948" s="93" t="s">
        <v>2241</v>
      </c>
      <c r="B3948" s="94" t="str">
        <f>IFERROR(VLOOKUP($A3948,HeadJournal!$A$1:$NTR$890,COLUMN(HeadJournal!B$1),0),"")</f>
        <v>1495389645</v>
      </c>
      <c r="C3948" s="94" t="str">
        <f>IFERROR(VLOOKUP($A3948,HeadJournal!$A$1:$NTR$890,COLUMN(HeadJournal!C$1),0),"")</f>
        <v>essens_OA</v>
      </c>
      <c r="D3948" s="125" t="str">
        <f>IFERROR(VLOOKUP($A3948,HeadJournal!$A$1:$NTR$890,COLUMN(HeadJournal!D$1),0),"")</f>
        <v>Доставлен</v>
      </c>
      <c r="E3948" s="95">
        <f>IFERROR(VLOOKUP($A3948,HeadJournal!$A$1:$NTR$890,COLUMN(HeadJournal!G$1),0),"")</f>
        <v>45575</v>
      </c>
      <c r="F3948" s="95" t="str">
        <f t="shared" si="310"/>
        <v>2024 10</v>
      </c>
      <c r="G3948" s="97" t="s">
        <v>8</v>
      </c>
      <c r="H3948" s="161" t="s">
        <v>2246</v>
      </c>
      <c r="I3948" s="97" t="s">
        <v>2243</v>
      </c>
      <c r="J3948" s="97" t="s">
        <v>2253</v>
      </c>
      <c r="K3948" s="29">
        <v>1276.19</v>
      </c>
      <c r="L3948" s="29">
        <v>-212.69833333333335</v>
      </c>
      <c r="M3948" s="30">
        <f>IFERROR(VLOOKUP($A3948,HeadJournal!$A$1:$J$890,COLUMN(HeadJournal!I$1),0)*($K3948+$L3948)/(SUMIF($A:$A,$A3948,$K:$K)+SUMIF($A:$A,$A3948,$L:$L)),0)</f>
        <v>0</v>
      </c>
      <c r="N3948" s="30">
        <f>IFERROR((VLOOKUP($A3948,HeadJournal!$A$1:$K$890,COLUMN(HeadJournal!K$1),0)-VLOOKUP($A3948,HeadJournal!$A$1:$K$890,COLUMN(HeadJournal!J$1),0))*($K3948+$L3948)/(SUMIF($A:$A,$A3948,$K:$K)+SUMIF($A:$A,$A3948,$L:$L)),0)</f>
        <v>-1.500283131374806E-13</v>
      </c>
      <c r="O3948" s="30">
        <f>IFERROR((VLOOKUP($A3948,HeadJournal!$A$1:$L$890,COLUMN(HeadJournal!L$1),0)*($K3948+$L3948)/(SUMIF($A:$A,$A3948,$K:$K)+SUMIF($A:$A,$A3948,$L:$L)))/VLOOKUP($A3948,HeadJournal!$A$1:$L$890,COLUMN(HeadJournal!H$1),0),0)</f>
        <v>91.221704759024149</v>
      </c>
      <c r="P3948" s="30">
        <f>IFERROR(SUM(K3948:O3948)*VLOOKUP($A3948,HeadJournal!$A$1:$L$890,COLUMN(HeadJournal!H$1),0),0)</f>
        <v>1154.7133714256906</v>
      </c>
      <c r="Q3948" s="29"/>
      <c r="R3948" s="31"/>
      <c r="S3948" s="31"/>
      <c r="T3948" s="95" t="str">
        <f t="shared" si="311"/>
        <v/>
      </c>
      <c r="U3948" s="32">
        <f t="shared" si="308"/>
        <v>-1154.7133714256906</v>
      </c>
      <c r="V3948" s="22" t="str">
        <f t="shared" si="309"/>
        <v/>
      </c>
      <c r="X3948" s="33"/>
      <c r="Y3948" s="33"/>
    </row>
    <row r="3949" spans="1:25" x14ac:dyDescent="0.2">
      <c r="A3949" s="93" t="s">
        <v>2241</v>
      </c>
      <c r="B3949" s="94" t="str">
        <f>IFERROR(VLOOKUP($A3949,HeadJournal!$A$1:$NTR$890,COLUMN(HeadJournal!B$1),0),"")</f>
        <v>1495389645</v>
      </c>
      <c r="C3949" s="94" t="str">
        <f>IFERROR(VLOOKUP($A3949,HeadJournal!$A$1:$NTR$890,COLUMN(HeadJournal!C$1),0),"")</f>
        <v>essens_OA</v>
      </c>
      <c r="D3949" s="125" t="str">
        <f>IFERROR(VLOOKUP($A3949,HeadJournal!$A$1:$NTR$890,COLUMN(HeadJournal!D$1),0),"")</f>
        <v>Доставлен</v>
      </c>
      <c r="E3949" s="95">
        <f>IFERROR(VLOOKUP($A3949,HeadJournal!$A$1:$NTR$890,COLUMN(HeadJournal!G$1),0),"")</f>
        <v>45575</v>
      </c>
      <c r="F3949" s="95" t="str">
        <f t="shared" si="310"/>
        <v>2024 10</v>
      </c>
      <c r="G3949" s="97" t="s">
        <v>8</v>
      </c>
      <c r="H3949" s="161" t="s">
        <v>2247</v>
      </c>
      <c r="I3949" s="97" t="s">
        <v>2243</v>
      </c>
      <c r="J3949" s="97" t="s">
        <v>2254</v>
      </c>
      <c r="K3949" s="29">
        <v>1276.19</v>
      </c>
      <c r="L3949" s="29">
        <v>-212.69833333333335</v>
      </c>
      <c r="M3949" s="30">
        <f>IFERROR(VLOOKUP($A3949,HeadJournal!$A$1:$J$890,COLUMN(HeadJournal!I$1),0)*($K3949+$L3949)/(SUMIF($A:$A,$A3949,$K:$K)+SUMIF($A:$A,$A3949,$L:$L)),0)</f>
        <v>0</v>
      </c>
      <c r="N3949" s="30">
        <f>IFERROR((VLOOKUP($A3949,HeadJournal!$A$1:$K$890,COLUMN(HeadJournal!K$1),0)-VLOOKUP($A3949,HeadJournal!$A$1:$K$890,COLUMN(HeadJournal!J$1),0))*($K3949+$L3949)/(SUMIF($A:$A,$A3949,$K:$K)+SUMIF($A:$A,$A3949,$L:$L)),0)</f>
        <v>-1.500283131374806E-13</v>
      </c>
      <c r="O3949" s="30">
        <f>IFERROR((VLOOKUP($A3949,HeadJournal!$A$1:$L$890,COLUMN(HeadJournal!L$1),0)*($K3949+$L3949)/(SUMIF($A:$A,$A3949,$K:$K)+SUMIF($A:$A,$A3949,$L:$L)))/VLOOKUP($A3949,HeadJournal!$A$1:$L$890,COLUMN(HeadJournal!H$1),0),0)</f>
        <v>91.221704759024149</v>
      </c>
      <c r="P3949" s="30">
        <f>IFERROR(SUM(K3949:O3949)*VLOOKUP($A3949,HeadJournal!$A$1:$L$890,COLUMN(HeadJournal!H$1),0),0)</f>
        <v>1154.7133714256906</v>
      </c>
      <c r="Q3949" s="29"/>
      <c r="R3949" s="31"/>
      <c r="S3949" s="31"/>
      <c r="T3949" s="95" t="str">
        <f t="shared" si="311"/>
        <v/>
      </c>
      <c r="U3949" s="32">
        <f t="shared" si="308"/>
        <v>-1154.7133714256906</v>
      </c>
      <c r="V3949" s="22" t="str">
        <f t="shared" si="309"/>
        <v/>
      </c>
      <c r="X3949" s="33"/>
      <c r="Y3949" s="33"/>
    </row>
    <row r="3950" spans="1:25" x14ac:dyDescent="0.2">
      <c r="A3950" s="93" t="s">
        <v>2241</v>
      </c>
      <c r="B3950" s="94" t="str">
        <f>IFERROR(VLOOKUP($A3950,HeadJournal!$A$1:$NTR$890,COLUMN(HeadJournal!B$1),0),"")</f>
        <v>1495389645</v>
      </c>
      <c r="C3950" s="94" t="str">
        <f>IFERROR(VLOOKUP($A3950,HeadJournal!$A$1:$NTR$890,COLUMN(HeadJournal!C$1),0),"")</f>
        <v>essens_OA</v>
      </c>
      <c r="D3950" s="125" t="str">
        <f>IFERROR(VLOOKUP($A3950,HeadJournal!$A$1:$NTR$890,COLUMN(HeadJournal!D$1),0),"")</f>
        <v>Доставлен</v>
      </c>
      <c r="E3950" s="95">
        <f>IFERROR(VLOOKUP($A3950,HeadJournal!$A$1:$NTR$890,COLUMN(HeadJournal!G$1),0),"")</f>
        <v>45575</v>
      </c>
      <c r="F3950" s="95" t="str">
        <f t="shared" si="310"/>
        <v>2024 10</v>
      </c>
      <c r="G3950" s="97" t="s">
        <v>8</v>
      </c>
      <c r="H3950" s="161" t="s">
        <v>2248</v>
      </c>
      <c r="I3950" s="97" t="s">
        <v>2243</v>
      </c>
      <c r="J3950" s="97" t="s">
        <v>2255</v>
      </c>
      <c r="K3950" s="29">
        <v>1276.19</v>
      </c>
      <c r="L3950" s="29">
        <v>-212.69833333333335</v>
      </c>
      <c r="M3950" s="30">
        <f>IFERROR(VLOOKUP($A3950,HeadJournal!$A$1:$J$890,COLUMN(HeadJournal!I$1),0)*($K3950+$L3950)/(SUMIF($A:$A,$A3950,$K:$K)+SUMIF($A:$A,$A3950,$L:$L)),0)</f>
        <v>0</v>
      </c>
      <c r="N3950" s="30">
        <f>IFERROR((VLOOKUP($A3950,HeadJournal!$A$1:$K$890,COLUMN(HeadJournal!K$1),0)-VLOOKUP($A3950,HeadJournal!$A$1:$K$890,COLUMN(HeadJournal!J$1),0))*($K3950+$L3950)/(SUMIF($A:$A,$A3950,$K:$K)+SUMIF($A:$A,$A3950,$L:$L)),0)</f>
        <v>-1.500283131374806E-13</v>
      </c>
      <c r="O3950" s="30">
        <f>IFERROR((VLOOKUP($A3950,HeadJournal!$A$1:$L$890,COLUMN(HeadJournal!L$1),0)*($K3950+$L3950)/(SUMIF($A:$A,$A3950,$K:$K)+SUMIF($A:$A,$A3950,$L:$L)))/VLOOKUP($A3950,HeadJournal!$A$1:$L$890,COLUMN(HeadJournal!H$1),0),0)</f>
        <v>91.221704759024149</v>
      </c>
      <c r="P3950" s="30">
        <f>IFERROR(SUM(K3950:O3950)*VLOOKUP($A3950,HeadJournal!$A$1:$L$890,COLUMN(HeadJournal!H$1),0),0)</f>
        <v>1154.7133714256906</v>
      </c>
      <c r="Q3950" s="29"/>
      <c r="R3950" s="31"/>
      <c r="S3950" s="31"/>
      <c r="T3950" s="95" t="str">
        <f t="shared" si="311"/>
        <v/>
      </c>
      <c r="U3950" s="32">
        <f t="shared" si="308"/>
        <v>-1154.7133714256906</v>
      </c>
      <c r="V3950" s="22" t="str">
        <f t="shared" si="309"/>
        <v/>
      </c>
      <c r="X3950" s="33"/>
      <c r="Y3950" s="33"/>
    </row>
    <row r="3951" spans="1:25" x14ac:dyDescent="0.2">
      <c r="A3951" s="93" t="s">
        <v>2241</v>
      </c>
      <c r="B3951" s="94" t="str">
        <f>IFERROR(VLOOKUP($A3951,HeadJournal!$A$1:$NTR$890,COLUMN(HeadJournal!B$1),0),"")</f>
        <v>1495389645</v>
      </c>
      <c r="C3951" s="94" t="str">
        <f>IFERROR(VLOOKUP($A3951,HeadJournal!$A$1:$NTR$890,COLUMN(HeadJournal!C$1),0),"")</f>
        <v>essens_OA</v>
      </c>
      <c r="D3951" s="125" t="str">
        <f>IFERROR(VLOOKUP($A3951,HeadJournal!$A$1:$NTR$890,COLUMN(HeadJournal!D$1),0),"")</f>
        <v>Доставлен</v>
      </c>
      <c r="E3951" s="95">
        <f>IFERROR(VLOOKUP($A3951,HeadJournal!$A$1:$NTR$890,COLUMN(HeadJournal!G$1),0),"")</f>
        <v>45575</v>
      </c>
      <c r="F3951" s="95" t="str">
        <f t="shared" si="310"/>
        <v>2024 10</v>
      </c>
      <c r="G3951" s="97" t="s">
        <v>8</v>
      </c>
      <c r="H3951" s="161" t="s">
        <v>2249</v>
      </c>
      <c r="I3951" s="97" t="s">
        <v>2243</v>
      </c>
      <c r="J3951" s="97" t="s">
        <v>2256</v>
      </c>
      <c r="K3951" s="29">
        <v>1276.19</v>
      </c>
      <c r="L3951" s="29">
        <v>-212.69833333333335</v>
      </c>
      <c r="M3951" s="30">
        <f>IFERROR(VLOOKUP($A3951,HeadJournal!$A$1:$J$890,COLUMN(HeadJournal!I$1),0)*($K3951+$L3951)/(SUMIF($A:$A,$A3951,$K:$K)+SUMIF($A:$A,$A3951,$L:$L)),0)</f>
        <v>0</v>
      </c>
      <c r="N3951" s="30">
        <f>IFERROR((VLOOKUP($A3951,HeadJournal!$A$1:$K$890,COLUMN(HeadJournal!K$1),0)-VLOOKUP($A3951,HeadJournal!$A$1:$K$890,COLUMN(HeadJournal!J$1),0))*($K3951+$L3951)/(SUMIF($A:$A,$A3951,$K:$K)+SUMIF($A:$A,$A3951,$L:$L)),0)</f>
        <v>-1.500283131374806E-13</v>
      </c>
      <c r="O3951" s="30">
        <f>IFERROR((VLOOKUP($A3951,HeadJournal!$A$1:$L$890,COLUMN(HeadJournal!L$1),0)*($K3951+$L3951)/(SUMIF($A:$A,$A3951,$K:$K)+SUMIF($A:$A,$A3951,$L:$L)))/VLOOKUP($A3951,HeadJournal!$A$1:$L$890,COLUMN(HeadJournal!H$1),0),0)</f>
        <v>91.221704759024149</v>
      </c>
      <c r="P3951" s="30">
        <f>IFERROR(SUM(K3951:O3951)*VLOOKUP($A3951,HeadJournal!$A$1:$L$890,COLUMN(HeadJournal!H$1),0),0)</f>
        <v>1154.7133714256906</v>
      </c>
      <c r="Q3951" s="29"/>
      <c r="R3951" s="31"/>
      <c r="S3951" s="31"/>
      <c r="T3951" s="95" t="str">
        <f t="shared" si="311"/>
        <v/>
      </c>
      <c r="U3951" s="32">
        <f t="shared" si="308"/>
        <v>-1154.7133714256906</v>
      </c>
      <c r="V3951" s="22" t="str">
        <f t="shared" si="309"/>
        <v/>
      </c>
      <c r="X3951" s="33"/>
      <c r="Y3951" s="33"/>
    </row>
    <row r="3952" spans="1:25" x14ac:dyDescent="0.2">
      <c r="A3952" s="93" t="s">
        <v>2241</v>
      </c>
      <c r="B3952" s="94" t="str">
        <f>IFERROR(VLOOKUP($A3952,HeadJournal!$A$1:$NTR$890,COLUMN(HeadJournal!B$1),0),"")</f>
        <v>1495389645</v>
      </c>
      <c r="C3952" s="94" t="str">
        <f>IFERROR(VLOOKUP($A3952,HeadJournal!$A$1:$NTR$890,COLUMN(HeadJournal!C$1),0),"")</f>
        <v>essens_OA</v>
      </c>
      <c r="D3952" s="125" t="str">
        <f>IFERROR(VLOOKUP($A3952,HeadJournal!$A$1:$NTR$890,COLUMN(HeadJournal!D$1),0),"")</f>
        <v>Доставлен</v>
      </c>
      <c r="E3952" s="95">
        <f>IFERROR(VLOOKUP($A3952,HeadJournal!$A$1:$NTR$890,COLUMN(HeadJournal!G$1),0),"")</f>
        <v>45575</v>
      </c>
      <c r="F3952" s="95" t="str">
        <f t="shared" si="310"/>
        <v>2024 10</v>
      </c>
      <c r="G3952" s="97" t="s">
        <v>8</v>
      </c>
      <c r="H3952" s="161" t="s">
        <v>2250</v>
      </c>
      <c r="I3952" s="97" t="s">
        <v>2243</v>
      </c>
      <c r="J3952" s="97" t="s">
        <v>2257</v>
      </c>
      <c r="K3952" s="29">
        <v>33.049999999999997</v>
      </c>
      <c r="L3952" s="29"/>
      <c r="M3952" s="30">
        <f>IFERROR(VLOOKUP($A3952,HeadJournal!$A$1:$J$890,COLUMN(HeadJournal!I$1),0)*($K3952+$L3952)/(SUMIF($A:$A,$A3952,$K:$K)+SUMIF($A:$A,$A3952,$L:$L)),0)</f>
        <v>0</v>
      </c>
      <c r="N3952" s="30">
        <f>IFERROR((VLOOKUP($A3952,HeadJournal!$A$1:$K$890,COLUMN(HeadJournal!K$1),0)-VLOOKUP($A3952,HeadJournal!$A$1:$K$890,COLUMN(HeadJournal!J$1),0))*($K3952+$L3952)/(SUMIF($A:$A,$A3952,$K:$K)+SUMIF($A:$A,$A3952,$L:$L)),0)</f>
        <v>-4.6624114740222689E-15</v>
      </c>
      <c r="O3952" s="30">
        <f>IFERROR((VLOOKUP($A3952,HeadJournal!$A$1:$L$890,COLUMN(HeadJournal!L$1),0)*($K3952+$L3952)/(SUMIF($A:$A,$A3952,$K:$K)+SUMIF($A:$A,$A3952,$L:$L)))/VLOOKUP($A3952,HeadJournal!$A$1:$L$890,COLUMN(HeadJournal!H$1),0),0)</f>
        <v>2.8348857229275395</v>
      </c>
      <c r="P3952" s="30">
        <f>IFERROR(SUM(K3952:O3952)*VLOOKUP($A3952,HeadJournal!$A$1:$L$890,COLUMN(HeadJournal!H$1),0),0)</f>
        <v>35.884885722927528</v>
      </c>
      <c r="Q3952" s="29"/>
      <c r="R3952" s="31"/>
      <c r="S3952" s="31"/>
      <c r="T3952" s="95" t="str">
        <f t="shared" si="311"/>
        <v/>
      </c>
      <c r="U3952" s="32">
        <f t="shared" si="308"/>
        <v>-35.884885722927528</v>
      </c>
      <c r="V3952" s="22" t="str">
        <f t="shared" si="309"/>
        <v/>
      </c>
      <c r="X3952" s="33"/>
      <c r="Y3952" s="33"/>
    </row>
    <row r="3953" spans="1:25" x14ac:dyDescent="0.2">
      <c r="A3953" s="93" t="s">
        <v>2241</v>
      </c>
      <c r="B3953" s="94" t="str">
        <f>IFERROR(VLOOKUP($A3953,HeadJournal!$A$1:$NTR$890,COLUMN(HeadJournal!B$1),0),"")</f>
        <v>1495389645</v>
      </c>
      <c r="C3953" s="94" t="str">
        <f>IFERROR(VLOOKUP($A3953,HeadJournal!$A$1:$NTR$890,COLUMN(HeadJournal!C$1),0),"")</f>
        <v>essens_OA</v>
      </c>
      <c r="D3953" s="125" t="str">
        <f>IFERROR(VLOOKUP($A3953,HeadJournal!$A$1:$NTR$890,COLUMN(HeadJournal!D$1),0),"")</f>
        <v>Доставлен</v>
      </c>
      <c r="E3953" s="95">
        <f>IFERROR(VLOOKUP($A3953,HeadJournal!$A$1:$NTR$890,COLUMN(HeadJournal!G$1),0),"")</f>
        <v>45575</v>
      </c>
      <c r="F3953" s="95" t="str">
        <f t="shared" si="310"/>
        <v>2024 10</v>
      </c>
      <c r="G3953" s="97" t="s">
        <v>8</v>
      </c>
      <c r="H3953" s="161" t="s">
        <v>2251</v>
      </c>
      <c r="I3953" s="97" t="s">
        <v>2243</v>
      </c>
      <c r="J3953" s="97" t="s">
        <v>2258</v>
      </c>
      <c r="K3953" s="29">
        <v>33.049999999999997</v>
      </c>
      <c r="L3953" s="29"/>
      <c r="M3953" s="30">
        <f>IFERROR(VLOOKUP($A3953,HeadJournal!$A$1:$J$890,COLUMN(HeadJournal!I$1),0)*($K3953+$L3953)/(SUMIF($A:$A,$A3953,$K:$K)+SUMIF($A:$A,$A3953,$L:$L)),0)</f>
        <v>0</v>
      </c>
      <c r="N3953" s="30">
        <f>IFERROR((VLOOKUP($A3953,HeadJournal!$A$1:$K$890,COLUMN(HeadJournal!K$1),0)-VLOOKUP($A3953,HeadJournal!$A$1:$K$890,COLUMN(HeadJournal!J$1),0))*($K3953+$L3953)/(SUMIF($A:$A,$A3953,$K:$K)+SUMIF($A:$A,$A3953,$L:$L)),0)</f>
        <v>-4.6624114740222689E-15</v>
      </c>
      <c r="O3953" s="30">
        <f>IFERROR((VLOOKUP($A3953,HeadJournal!$A$1:$L$890,COLUMN(HeadJournal!L$1),0)*($K3953+$L3953)/(SUMIF($A:$A,$A3953,$K:$K)+SUMIF($A:$A,$A3953,$L:$L)))/VLOOKUP($A3953,HeadJournal!$A$1:$L$890,COLUMN(HeadJournal!H$1),0),0)</f>
        <v>2.8348857229275395</v>
      </c>
      <c r="P3953" s="30">
        <f>IFERROR(SUM(K3953:O3953)*VLOOKUP($A3953,HeadJournal!$A$1:$L$890,COLUMN(HeadJournal!H$1),0),0)</f>
        <v>35.884885722927528</v>
      </c>
      <c r="Q3953" s="29"/>
      <c r="R3953" s="31"/>
      <c r="S3953" s="31"/>
      <c r="T3953" s="95" t="str">
        <f t="shared" si="311"/>
        <v/>
      </c>
      <c r="U3953" s="32">
        <f t="shared" si="308"/>
        <v>-35.884885722927528</v>
      </c>
      <c r="V3953" s="22" t="str">
        <f t="shared" si="309"/>
        <v/>
      </c>
      <c r="X3953" s="33"/>
      <c r="Y3953" s="33"/>
    </row>
    <row r="3954" spans="1:25" x14ac:dyDescent="0.2">
      <c r="A3954" s="93" t="s">
        <v>2259</v>
      </c>
      <c r="B3954" s="94" t="str">
        <f>IFERROR(VLOOKUP($A3954,HeadJournal!$A$1:$NTR$890,COLUMN(HeadJournal!B$1),0),"")</f>
        <v>1495377635</v>
      </c>
      <c r="C3954" s="94" t="str">
        <f>IFERROR(VLOOKUP($A3954,HeadJournal!$A$1:$NTR$890,COLUMN(HeadJournal!C$1),0),"")</f>
        <v>essens_OA</v>
      </c>
      <c r="D3954" s="125" t="str">
        <f>IFERROR(VLOOKUP($A3954,HeadJournal!$A$1:$NTR$890,COLUMN(HeadJournal!D$1),0),"")</f>
        <v>Доставлен</v>
      </c>
      <c r="E3954" s="95">
        <f>IFERROR(VLOOKUP($A3954,HeadJournal!$A$1:$NTR$890,COLUMN(HeadJournal!G$1),0),"")</f>
        <v>45567</v>
      </c>
      <c r="F3954" s="95" t="str">
        <f t="shared" si="310"/>
        <v>2024 10</v>
      </c>
      <c r="G3954" s="97" t="s">
        <v>8</v>
      </c>
      <c r="H3954" s="161" t="s">
        <v>2260</v>
      </c>
      <c r="I3954" s="97" t="s">
        <v>2243</v>
      </c>
      <c r="J3954" s="97" t="s">
        <v>2268</v>
      </c>
      <c r="K3954" s="29">
        <v>1270.47</v>
      </c>
      <c r="L3954" s="29"/>
      <c r="M3954" s="30">
        <f>IFERROR(VLOOKUP($A3954,HeadJournal!$A$1:$J$890,COLUMN(HeadJournal!I$1),0)*($K3954+$L3954)/(SUMIF($A:$A,$A3954,$K:$K)+SUMIF($A:$A,$A3954,$L:$L)),0)</f>
        <v>0</v>
      </c>
      <c r="N3954" s="30">
        <f>IFERROR((VLOOKUP($A3954,HeadJournal!$A$1:$K$890,COLUMN(HeadJournal!K$1),0)-VLOOKUP($A3954,HeadJournal!$A$1:$K$890,COLUMN(HeadJournal!J$1),0))*($K3954+$L3954)/(SUMIF($A:$A,$A3954,$K:$K)+SUMIF($A:$A,$A3954,$L:$L)),0)</f>
        <v>-207.05405423884491</v>
      </c>
      <c r="O3954" s="30">
        <f>IFERROR((VLOOKUP($A3954,HeadJournal!$A$1:$L$890,COLUMN(HeadJournal!L$1),0)*($K3954+$L3954)/(SUMIF($A:$A,$A3954,$K:$K)+SUMIF($A:$A,$A3954,$L:$L)))/VLOOKUP($A3954,HeadJournal!$A$1:$L$890,COLUMN(HeadJournal!H$1),0),0)</f>
        <v>90.287803764213294</v>
      </c>
      <c r="P3954" s="30">
        <f>IFERROR(SUM(K3954:O3954)*VLOOKUP($A3954,HeadJournal!$A$1:$L$890,COLUMN(HeadJournal!H$1),0),0)</f>
        <v>1153.7037495253685</v>
      </c>
      <c r="Q3954" s="29">
        <v>2200</v>
      </c>
      <c r="R3954" s="31">
        <v>45589</v>
      </c>
      <c r="S3954" s="31" t="s">
        <v>3121</v>
      </c>
      <c r="T3954" s="95" t="str">
        <f t="shared" si="311"/>
        <v>2024 10</v>
      </c>
      <c r="U3954" s="32">
        <f t="shared" si="308"/>
        <v>1046.2962504746315</v>
      </c>
      <c r="V3954" s="22">
        <f t="shared" si="309"/>
        <v>0.90690201094091594</v>
      </c>
      <c r="X3954" s="33"/>
      <c r="Y3954" s="33"/>
    </row>
    <row r="3955" spans="1:25" x14ac:dyDescent="0.2">
      <c r="A3955" s="93" t="s">
        <v>2259</v>
      </c>
      <c r="B3955" s="94" t="str">
        <f>IFERROR(VLOOKUP($A3955,HeadJournal!$A$1:$NTR$890,COLUMN(HeadJournal!B$1),0),"")</f>
        <v>1495377635</v>
      </c>
      <c r="C3955" s="94" t="str">
        <f>IFERROR(VLOOKUP($A3955,HeadJournal!$A$1:$NTR$890,COLUMN(HeadJournal!C$1),0),"")</f>
        <v>essens_OA</v>
      </c>
      <c r="D3955" s="125" t="str">
        <f>IFERROR(VLOOKUP($A3955,HeadJournal!$A$1:$NTR$890,COLUMN(HeadJournal!D$1),0),"")</f>
        <v>Доставлен</v>
      </c>
      <c r="E3955" s="95">
        <f>IFERROR(VLOOKUP($A3955,HeadJournal!$A$1:$NTR$890,COLUMN(HeadJournal!G$1),0),"")</f>
        <v>45567</v>
      </c>
      <c r="F3955" s="95" t="str">
        <f t="shared" si="310"/>
        <v>2024 10</v>
      </c>
      <c r="G3955" s="97" t="s">
        <v>8</v>
      </c>
      <c r="H3955" s="161" t="s">
        <v>2261</v>
      </c>
      <c r="I3955" s="97" t="s">
        <v>2243</v>
      </c>
      <c r="J3955" s="97" t="s">
        <v>2269</v>
      </c>
      <c r="K3955" s="29">
        <v>1270.47</v>
      </c>
      <c r="L3955" s="29"/>
      <c r="M3955" s="30">
        <f>IFERROR(VLOOKUP($A3955,HeadJournal!$A$1:$J$890,COLUMN(HeadJournal!I$1),0)*($K3955+$L3955)/(SUMIF($A:$A,$A3955,$K:$K)+SUMIF($A:$A,$A3955,$L:$L)),0)</f>
        <v>0</v>
      </c>
      <c r="N3955" s="30">
        <f>IFERROR((VLOOKUP($A3955,HeadJournal!$A$1:$K$890,COLUMN(HeadJournal!K$1),0)-VLOOKUP($A3955,HeadJournal!$A$1:$K$890,COLUMN(HeadJournal!J$1),0))*($K3955+$L3955)/(SUMIF($A:$A,$A3955,$K:$K)+SUMIF($A:$A,$A3955,$L:$L)),0)</f>
        <v>-207.05405423884491</v>
      </c>
      <c r="O3955" s="30">
        <f>IFERROR((VLOOKUP($A3955,HeadJournal!$A$1:$L$890,COLUMN(HeadJournal!L$1),0)*($K3955+$L3955)/(SUMIF($A:$A,$A3955,$K:$K)+SUMIF($A:$A,$A3955,$L:$L)))/VLOOKUP($A3955,HeadJournal!$A$1:$L$890,COLUMN(HeadJournal!H$1),0),0)</f>
        <v>90.287803764213294</v>
      </c>
      <c r="P3955" s="30">
        <f>IFERROR(SUM(K3955:O3955)*VLOOKUP($A3955,HeadJournal!$A$1:$L$890,COLUMN(HeadJournal!H$1),0),0)</f>
        <v>1153.7037495253685</v>
      </c>
      <c r="Q3955" s="29">
        <v>2500</v>
      </c>
      <c r="R3955" s="31">
        <v>45723</v>
      </c>
      <c r="S3955" s="31" t="s">
        <v>3121</v>
      </c>
      <c r="T3955" s="95" t="str">
        <f t="shared" si="311"/>
        <v>2025 03</v>
      </c>
      <c r="U3955" s="32">
        <f t="shared" si="308"/>
        <v>1346.2962504746315</v>
      </c>
      <c r="V3955" s="22">
        <f t="shared" si="309"/>
        <v>1.16693410334195</v>
      </c>
      <c r="X3955" s="33"/>
      <c r="Y3955" s="33"/>
    </row>
    <row r="3956" spans="1:25" x14ac:dyDescent="0.2">
      <c r="A3956" s="93" t="s">
        <v>2259</v>
      </c>
      <c r="B3956" s="94" t="str">
        <f>IFERROR(VLOOKUP($A3956,HeadJournal!$A$1:$NTR$890,COLUMN(HeadJournal!B$1),0),"")</f>
        <v>1495377635</v>
      </c>
      <c r="C3956" s="94" t="str">
        <f>IFERROR(VLOOKUP($A3956,HeadJournal!$A$1:$NTR$890,COLUMN(HeadJournal!C$1),0),"")</f>
        <v>essens_OA</v>
      </c>
      <c r="D3956" s="125" t="str">
        <f>IFERROR(VLOOKUP($A3956,HeadJournal!$A$1:$NTR$890,COLUMN(HeadJournal!D$1),0),"")</f>
        <v>Доставлен</v>
      </c>
      <c r="E3956" s="95">
        <f>IFERROR(VLOOKUP($A3956,HeadJournal!$A$1:$NTR$890,COLUMN(HeadJournal!G$1),0),"")</f>
        <v>45567</v>
      </c>
      <c r="F3956" s="95" t="str">
        <f t="shared" si="310"/>
        <v>2024 10</v>
      </c>
      <c r="G3956" s="97" t="s">
        <v>8</v>
      </c>
      <c r="H3956" s="161" t="s">
        <v>2262</v>
      </c>
      <c r="I3956" s="97" t="s">
        <v>2243</v>
      </c>
      <c r="J3956" s="97" t="s">
        <v>2270</v>
      </c>
      <c r="K3956" s="29">
        <v>1270.47</v>
      </c>
      <c r="L3956" s="29"/>
      <c r="M3956" s="30">
        <f>IFERROR(VLOOKUP($A3956,HeadJournal!$A$1:$J$890,COLUMN(HeadJournal!I$1),0)*($K3956+$L3956)/(SUMIF($A:$A,$A3956,$K:$K)+SUMIF($A:$A,$A3956,$L:$L)),0)</f>
        <v>0</v>
      </c>
      <c r="N3956" s="30">
        <f>IFERROR((VLOOKUP($A3956,HeadJournal!$A$1:$K$890,COLUMN(HeadJournal!K$1),0)-VLOOKUP($A3956,HeadJournal!$A$1:$K$890,COLUMN(HeadJournal!J$1),0))*($K3956+$L3956)/(SUMIF($A:$A,$A3956,$K:$K)+SUMIF($A:$A,$A3956,$L:$L)),0)</f>
        <v>-207.05405423884491</v>
      </c>
      <c r="O3956" s="30">
        <f>IFERROR((VLOOKUP($A3956,HeadJournal!$A$1:$L$890,COLUMN(HeadJournal!L$1),0)*($K3956+$L3956)/(SUMIF($A:$A,$A3956,$K:$K)+SUMIF($A:$A,$A3956,$L:$L)))/VLOOKUP($A3956,HeadJournal!$A$1:$L$890,COLUMN(HeadJournal!H$1),0),0)</f>
        <v>90.287803764213294</v>
      </c>
      <c r="P3956" s="30">
        <f>IFERROR(SUM(K3956:O3956)*VLOOKUP($A3956,HeadJournal!$A$1:$L$890,COLUMN(HeadJournal!H$1),0),0)</f>
        <v>1153.7037495253685</v>
      </c>
      <c r="Q3956" s="29">
        <v>2200</v>
      </c>
      <c r="R3956" s="31">
        <v>45579</v>
      </c>
      <c r="S3956" s="31" t="s">
        <v>3121</v>
      </c>
      <c r="T3956" s="95" t="str">
        <f t="shared" si="311"/>
        <v>2024 10</v>
      </c>
      <c r="U3956" s="32">
        <f t="shared" si="308"/>
        <v>1046.2962504746315</v>
      </c>
      <c r="V3956" s="22">
        <f t="shared" si="309"/>
        <v>0.90690201094091594</v>
      </c>
      <c r="X3956" s="33"/>
      <c r="Y3956" s="33"/>
    </row>
    <row r="3957" spans="1:25" x14ac:dyDescent="0.2">
      <c r="A3957" s="93" t="s">
        <v>2259</v>
      </c>
      <c r="B3957" s="94" t="str">
        <f>IFERROR(VLOOKUP($A3957,HeadJournal!$A$1:$NTR$890,COLUMN(HeadJournal!B$1),0),"")</f>
        <v>1495377635</v>
      </c>
      <c r="C3957" s="94" t="str">
        <f>IFERROR(VLOOKUP($A3957,HeadJournal!$A$1:$NTR$890,COLUMN(HeadJournal!C$1),0),"")</f>
        <v>essens_OA</v>
      </c>
      <c r="D3957" s="125" t="str">
        <f>IFERROR(VLOOKUP($A3957,HeadJournal!$A$1:$NTR$890,COLUMN(HeadJournal!D$1),0),"")</f>
        <v>Доставлен</v>
      </c>
      <c r="E3957" s="95">
        <f>IFERROR(VLOOKUP($A3957,HeadJournal!$A$1:$NTR$890,COLUMN(HeadJournal!G$1),0),"")</f>
        <v>45567</v>
      </c>
      <c r="F3957" s="95" t="str">
        <f t="shared" si="310"/>
        <v>2024 10</v>
      </c>
      <c r="G3957" s="97" t="s">
        <v>8</v>
      </c>
      <c r="H3957" s="161" t="s">
        <v>2263</v>
      </c>
      <c r="I3957" s="97" t="s">
        <v>2243</v>
      </c>
      <c r="J3957" s="97" t="s">
        <v>2271</v>
      </c>
      <c r="K3957" s="29">
        <v>1270.47</v>
      </c>
      <c r="L3957" s="29"/>
      <c r="M3957" s="30">
        <f>IFERROR(VLOOKUP($A3957,HeadJournal!$A$1:$J$890,COLUMN(HeadJournal!I$1),0)*($K3957+$L3957)/(SUMIF($A:$A,$A3957,$K:$K)+SUMIF($A:$A,$A3957,$L:$L)),0)</f>
        <v>0</v>
      </c>
      <c r="N3957" s="30">
        <f>IFERROR((VLOOKUP($A3957,HeadJournal!$A$1:$K$890,COLUMN(HeadJournal!K$1),0)-VLOOKUP($A3957,HeadJournal!$A$1:$K$890,COLUMN(HeadJournal!J$1),0))*($K3957+$L3957)/(SUMIF($A:$A,$A3957,$K:$K)+SUMIF($A:$A,$A3957,$L:$L)),0)</f>
        <v>-207.05405423884491</v>
      </c>
      <c r="O3957" s="30">
        <f>IFERROR((VLOOKUP($A3957,HeadJournal!$A$1:$L$890,COLUMN(HeadJournal!L$1),0)*($K3957+$L3957)/(SUMIF($A:$A,$A3957,$K:$K)+SUMIF($A:$A,$A3957,$L:$L)))/VLOOKUP($A3957,HeadJournal!$A$1:$L$890,COLUMN(HeadJournal!H$1),0),0)</f>
        <v>90.287803764213294</v>
      </c>
      <c r="P3957" s="30">
        <f>IFERROR(SUM(K3957:O3957)*VLOOKUP($A3957,HeadJournal!$A$1:$L$890,COLUMN(HeadJournal!H$1),0),0)</f>
        <v>1153.7037495253685</v>
      </c>
      <c r="Q3957" s="29"/>
      <c r="R3957" s="31"/>
      <c r="S3957" s="31"/>
      <c r="T3957" s="95" t="str">
        <f t="shared" si="311"/>
        <v/>
      </c>
      <c r="U3957" s="32">
        <f t="shared" si="308"/>
        <v>-1153.7037495253685</v>
      </c>
      <c r="V3957" s="22" t="str">
        <f t="shared" si="309"/>
        <v/>
      </c>
      <c r="X3957" s="33"/>
      <c r="Y3957" s="33"/>
    </row>
    <row r="3958" spans="1:25" x14ac:dyDescent="0.2">
      <c r="A3958" s="93" t="s">
        <v>2259</v>
      </c>
      <c r="B3958" s="94" t="str">
        <f>IFERROR(VLOOKUP($A3958,HeadJournal!$A$1:$NTR$890,COLUMN(HeadJournal!B$1),0),"")</f>
        <v>1495377635</v>
      </c>
      <c r="C3958" s="94" t="str">
        <f>IFERROR(VLOOKUP($A3958,HeadJournal!$A$1:$NTR$890,COLUMN(HeadJournal!C$1),0),"")</f>
        <v>essens_OA</v>
      </c>
      <c r="D3958" s="125" t="str">
        <f>IFERROR(VLOOKUP($A3958,HeadJournal!$A$1:$NTR$890,COLUMN(HeadJournal!D$1),0),"")</f>
        <v>Доставлен</v>
      </c>
      <c r="E3958" s="95">
        <f>IFERROR(VLOOKUP($A3958,HeadJournal!$A$1:$NTR$890,COLUMN(HeadJournal!G$1),0),"")</f>
        <v>45567</v>
      </c>
      <c r="F3958" s="95" t="str">
        <f t="shared" si="310"/>
        <v>2024 10</v>
      </c>
      <c r="G3958" s="97" t="s">
        <v>8</v>
      </c>
      <c r="H3958" s="161" t="s">
        <v>2264</v>
      </c>
      <c r="I3958" s="97" t="s">
        <v>2243</v>
      </c>
      <c r="J3958" s="97" t="s">
        <v>2272</v>
      </c>
      <c r="K3958" s="29">
        <v>1270.47</v>
      </c>
      <c r="L3958" s="29"/>
      <c r="M3958" s="30">
        <f>IFERROR(VLOOKUP($A3958,HeadJournal!$A$1:$J$890,COLUMN(HeadJournal!I$1),0)*($K3958+$L3958)/(SUMIF($A:$A,$A3958,$K:$K)+SUMIF($A:$A,$A3958,$L:$L)),0)</f>
        <v>0</v>
      </c>
      <c r="N3958" s="30">
        <f>IFERROR((VLOOKUP($A3958,HeadJournal!$A$1:$K$890,COLUMN(HeadJournal!K$1),0)-VLOOKUP($A3958,HeadJournal!$A$1:$K$890,COLUMN(HeadJournal!J$1),0))*($K3958+$L3958)/(SUMIF($A:$A,$A3958,$K:$K)+SUMIF($A:$A,$A3958,$L:$L)),0)</f>
        <v>-207.05405423884491</v>
      </c>
      <c r="O3958" s="30">
        <f>IFERROR((VLOOKUP($A3958,HeadJournal!$A$1:$L$890,COLUMN(HeadJournal!L$1),0)*($K3958+$L3958)/(SUMIF($A:$A,$A3958,$K:$K)+SUMIF($A:$A,$A3958,$L:$L)))/VLOOKUP($A3958,HeadJournal!$A$1:$L$890,COLUMN(HeadJournal!H$1),0),0)</f>
        <v>90.287803764213294</v>
      </c>
      <c r="P3958" s="30">
        <f>IFERROR(SUM(K3958:O3958)*VLOOKUP($A3958,HeadJournal!$A$1:$L$890,COLUMN(HeadJournal!H$1),0),0)</f>
        <v>1153.7037495253685</v>
      </c>
      <c r="Q3958" s="29"/>
      <c r="R3958" s="31"/>
      <c r="S3958" s="31"/>
      <c r="T3958" s="95" t="str">
        <f t="shared" si="311"/>
        <v/>
      </c>
      <c r="U3958" s="32">
        <f t="shared" si="308"/>
        <v>-1153.7037495253685</v>
      </c>
      <c r="V3958" s="22" t="str">
        <f t="shared" si="309"/>
        <v/>
      </c>
      <c r="X3958" s="33"/>
      <c r="Y3958" s="33"/>
    </row>
    <row r="3959" spans="1:25" x14ac:dyDescent="0.2">
      <c r="A3959" s="93" t="s">
        <v>2259</v>
      </c>
      <c r="B3959" s="94" t="str">
        <f>IFERROR(VLOOKUP($A3959,HeadJournal!$A$1:$NTR$890,COLUMN(HeadJournal!B$1),0),"")</f>
        <v>1495377635</v>
      </c>
      <c r="C3959" s="94" t="str">
        <f>IFERROR(VLOOKUP($A3959,HeadJournal!$A$1:$NTR$890,COLUMN(HeadJournal!C$1),0),"")</f>
        <v>essens_OA</v>
      </c>
      <c r="D3959" s="125" t="str">
        <f>IFERROR(VLOOKUP($A3959,HeadJournal!$A$1:$NTR$890,COLUMN(HeadJournal!D$1),0),"")</f>
        <v>Доставлен</v>
      </c>
      <c r="E3959" s="95">
        <f>IFERROR(VLOOKUP($A3959,HeadJournal!$A$1:$NTR$890,COLUMN(HeadJournal!G$1),0),"")</f>
        <v>45567</v>
      </c>
      <c r="F3959" s="95" t="str">
        <f t="shared" si="310"/>
        <v>2024 10</v>
      </c>
      <c r="G3959" s="97" t="s">
        <v>8</v>
      </c>
      <c r="H3959" s="161" t="s">
        <v>2265</v>
      </c>
      <c r="I3959" s="97" t="s">
        <v>2243</v>
      </c>
      <c r="J3959" s="97" t="s">
        <v>2275</v>
      </c>
      <c r="K3959" s="29">
        <v>139.80000000000001</v>
      </c>
      <c r="L3959" s="29"/>
      <c r="M3959" s="30">
        <f>IFERROR(VLOOKUP($A3959,HeadJournal!$A$1:$J$890,COLUMN(HeadJournal!I$1),0)*($K3959+$L3959)/(SUMIF($A:$A,$A3959,$K:$K)+SUMIF($A:$A,$A3959,$L:$L)),0)</f>
        <v>0</v>
      </c>
      <c r="N3959" s="30">
        <f>IFERROR((VLOOKUP($A3959,HeadJournal!$A$1:$K$890,COLUMN(HeadJournal!K$1),0)-VLOOKUP($A3959,HeadJournal!$A$1:$K$890,COLUMN(HeadJournal!J$1),0))*($K3959+$L3959)/(SUMIF($A:$A,$A3959,$K:$K)+SUMIF($A:$A,$A3959,$L:$L)),0)</f>
        <v>-22.783817628586682</v>
      </c>
      <c r="O3959" s="30">
        <f>IFERROR((VLOOKUP($A3959,HeadJournal!$A$1:$L$890,COLUMN(HeadJournal!L$1),0)*($K3959+$L3959)/(SUMIF($A:$A,$A3959,$K:$K)+SUMIF($A:$A,$A3959,$L:$L)))/VLOOKUP($A3959,HeadJournal!$A$1:$L$890,COLUMN(HeadJournal!H$1),0),0)</f>
        <v>9.9350909240178993</v>
      </c>
      <c r="P3959" s="30">
        <f>IFERROR(SUM(K3959:O3959)*VLOOKUP($A3959,HeadJournal!$A$1:$L$890,COLUMN(HeadJournal!H$1),0),0)</f>
        <v>126.95127329543122</v>
      </c>
      <c r="Q3959" s="29"/>
      <c r="R3959" s="31"/>
      <c r="S3959" s="31"/>
      <c r="T3959" s="95" t="str">
        <f t="shared" si="311"/>
        <v/>
      </c>
      <c r="U3959" s="32">
        <f t="shared" si="308"/>
        <v>-126.95127329543122</v>
      </c>
      <c r="V3959" s="22" t="str">
        <f t="shared" si="309"/>
        <v/>
      </c>
      <c r="X3959" s="33"/>
      <c r="Y3959" s="33"/>
    </row>
    <row r="3960" spans="1:25" x14ac:dyDescent="0.2">
      <c r="A3960" s="93" t="s">
        <v>2259</v>
      </c>
      <c r="B3960" s="94" t="str">
        <f>IFERROR(VLOOKUP($A3960,HeadJournal!$A$1:$NTR$890,COLUMN(HeadJournal!B$1),0),"")</f>
        <v>1495377635</v>
      </c>
      <c r="C3960" s="94" t="str">
        <f>IFERROR(VLOOKUP($A3960,HeadJournal!$A$1:$NTR$890,COLUMN(HeadJournal!C$1),0),"")</f>
        <v>essens_OA</v>
      </c>
      <c r="D3960" s="125" t="str">
        <f>IFERROR(VLOOKUP($A3960,HeadJournal!$A$1:$NTR$890,COLUMN(HeadJournal!D$1),0),"")</f>
        <v>Доставлен</v>
      </c>
      <c r="E3960" s="95">
        <f>IFERROR(VLOOKUP($A3960,HeadJournal!$A$1:$NTR$890,COLUMN(HeadJournal!G$1),0),"")</f>
        <v>45567</v>
      </c>
      <c r="F3960" s="95" t="str">
        <f t="shared" si="310"/>
        <v>2024 10</v>
      </c>
      <c r="G3960" s="97" t="s">
        <v>8</v>
      </c>
      <c r="H3960" s="161" t="s">
        <v>2266</v>
      </c>
      <c r="I3960" s="97" t="s">
        <v>2243</v>
      </c>
      <c r="J3960" s="97" t="s">
        <v>2273</v>
      </c>
      <c r="K3960" s="29">
        <v>1270.47</v>
      </c>
      <c r="L3960" s="29"/>
      <c r="M3960" s="30">
        <f>IFERROR(VLOOKUP($A3960,HeadJournal!$A$1:$J$890,COLUMN(HeadJournal!I$1),0)*($K3960+$L3960)/(SUMIF($A:$A,$A3960,$K:$K)+SUMIF($A:$A,$A3960,$L:$L)),0)</f>
        <v>0</v>
      </c>
      <c r="N3960" s="30">
        <f>IFERROR((VLOOKUP($A3960,HeadJournal!$A$1:$K$890,COLUMN(HeadJournal!K$1),0)-VLOOKUP($A3960,HeadJournal!$A$1:$K$890,COLUMN(HeadJournal!J$1),0))*($K3960+$L3960)/(SUMIF($A:$A,$A3960,$K:$K)+SUMIF($A:$A,$A3960,$L:$L)),0)</f>
        <v>-207.05405423884491</v>
      </c>
      <c r="O3960" s="30">
        <f>IFERROR((VLOOKUP($A3960,HeadJournal!$A$1:$L$890,COLUMN(HeadJournal!L$1),0)*($K3960+$L3960)/(SUMIF($A:$A,$A3960,$K:$K)+SUMIF($A:$A,$A3960,$L:$L)))/VLOOKUP($A3960,HeadJournal!$A$1:$L$890,COLUMN(HeadJournal!H$1),0),0)</f>
        <v>90.287803764213294</v>
      </c>
      <c r="P3960" s="30">
        <f>IFERROR(SUM(K3960:O3960)*VLOOKUP($A3960,HeadJournal!$A$1:$L$890,COLUMN(HeadJournal!H$1),0),0)</f>
        <v>1153.7037495253685</v>
      </c>
      <c r="Q3960" s="29"/>
      <c r="R3960" s="31"/>
      <c r="S3960" s="31"/>
      <c r="T3960" s="95" t="str">
        <f t="shared" si="311"/>
        <v/>
      </c>
      <c r="U3960" s="32">
        <f t="shared" si="308"/>
        <v>-1153.7037495253685</v>
      </c>
      <c r="V3960" s="22" t="str">
        <f t="shared" si="309"/>
        <v/>
      </c>
      <c r="X3960" s="33"/>
      <c r="Y3960" s="33"/>
    </row>
    <row r="3961" spans="1:25" x14ac:dyDescent="0.2">
      <c r="A3961" s="93" t="s">
        <v>2259</v>
      </c>
      <c r="B3961" s="94" t="str">
        <f>IFERROR(VLOOKUP($A3961,HeadJournal!$A$1:$NTR$890,COLUMN(HeadJournal!B$1),0),"")</f>
        <v>1495377635</v>
      </c>
      <c r="C3961" s="94" t="str">
        <f>IFERROR(VLOOKUP($A3961,HeadJournal!$A$1:$NTR$890,COLUMN(HeadJournal!C$1),0),"")</f>
        <v>essens_OA</v>
      </c>
      <c r="D3961" s="125" t="str">
        <f>IFERROR(VLOOKUP($A3961,HeadJournal!$A$1:$NTR$890,COLUMN(HeadJournal!D$1),0),"")</f>
        <v>Доставлен</v>
      </c>
      <c r="E3961" s="95">
        <f>IFERROR(VLOOKUP($A3961,HeadJournal!$A$1:$NTR$890,COLUMN(HeadJournal!G$1),0),"")</f>
        <v>45567</v>
      </c>
      <c r="F3961" s="95" t="str">
        <f t="shared" si="310"/>
        <v>2024 10</v>
      </c>
      <c r="G3961" s="97" t="s">
        <v>8</v>
      </c>
      <c r="H3961" s="161" t="s">
        <v>2267</v>
      </c>
      <c r="I3961" s="97" t="s">
        <v>2243</v>
      </c>
      <c r="J3961" s="97" t="s">
        <v>2274</v>
      </c>
      <c r="K3961" s="29">
        <v>32.9</v>
      </c>
      <c r="L3961" s="29"/>
      <c r="M3961" s="30">
        <f>IFERROR(VLOOKUP($A3961,HeadJournal!$A$1:$J$890,COLUMN(HeadJournal!I$1),0)*($K3961+$L3961)/(SUMIF($A:$A,$A3961,$K:$K)+SUMIF($A:$A,$A3961,$L:$L)),0)</f>
        <v>0</v>
      </c>
      <c r="N3961" s="30">
        <f>IFERROR((VLOOKUP($A3961,HeadJournal!$A$1:$K$890,COLUMN(HeadJournal!K$1),0)-VLOOKUP($A3961,HeadJournal!$A$1:$K$890,COLUMN(HeadJournal!J$1),0))*($K3961+$L3961)/(SUMIF($A:$A,$A3961,$K:$K)+SUMIF($A:$A,$A3961,$L:$L)),0)</f>
        <v>-5.3618569383440748</v>
      </c>
      <c r="O3961" s="30">
        <f>IFERROR((VLOOKUP($A3961,HeadJournal!$A$1:$L$890,COLUMN(HeadJournal!L$1),0)*($K3961+$L3961)/(SUMIF($A:$A,$A3961,$K:$K)+SUMIF($A:$A,$A3961,$L:$L)))/VLOOKUP($A3961,HeadJournal!$A$1:$L$890,COLUMN(HeadJournal!H$1),0),0)</f>
        <v>2.3380864907023517</v>
      </c>
      <c r="P3961" s="30">
        <f>IFERROR(SUM(K3961:O3961)*VLOOKUP($A3961,HeadJournal!$A$1:$L$890,COLUMN(HeadJournal!H$1),0),0)</f>
        <v>29.876229552358275</v>
      </c>
      <c r="Q3961" s="29"/>
      <c r="R3961" s="31"/>
      <c r="S3961" s="31"/>
      <c r="T3961" s="95" t="str">
        <f t="shared" si="311"/>
        <v/>
      </c>
      <c r="U3961" s="32">
        <f t="shared" si="308"/>
        <v>-29.876229552358275</v>
      </c>
      <c r="V3961" s="22" t="str">
        <f t="shared" si="309"/>
        <v/>
      </c>
      <c r="X3961" s="33"/>
      <c r="Y3961" s="33"/>
    </row>
    <row r="3962" spans="1:25" x14ac:dyDescent="0.2">
      <c r="A3962" s="93" t="s">
        <v>2276</v>
      </c>
      <c r="B3962" s="94">
        <f>IFERROR(VLOOKUP($A3962,HeadJournal!$A$1:$NTR$890,COLUMN(HeadJournal!B$1),0),"")</f>
        <v>0</v>
      </c>
      <c r="C3962" s="94" t="str">
        <f>IFERROR(VLOOKUP($A3962,HeadJournal!$A$1:$NTR$890,COLUMN(HeadJournal!C$1),0),"")</f>
        <v>OZON_OA</v>
      </c>
      <c r="D3962" s="125" t="str">
        <f>IFERROR(VLOOKUP($A3962,HeadJournal!$A$1:$NTR$890,COLUMN(HeadJournal!D$1),0),"")</f>
        <v>Доставлен</v>
      </c>
      <c r="E3962" s="95">
        <f>IFERROR(VLOOKUP($A3962,HeadJournal!$A$1:$NTR$890,COLUMN(HeadJournal!G$1),0),"")</f>
        <v>45566</v>
      </c>
      <c r="F3962" s="95" t="str">
        <f t="shared" si="310"/>
        <v>2024 10</v>
      </c>
      <c r="G3962" s="97" t="s">
        <v>5</v>
      </c>
      <c r="H3962" s="161" t="s">
        <v>2277</v>
      </c>
      <c r="I3962" s="97" t="s">
        <v>2005</v>
      </c>
      <c r="J3962" s="97" t="s">
        <v>2278</v>
      </c>
      <c r="K3962" s="29">
        <v>1375</v>
      </c>
      <c r="L3962" s="29"/>
      <c r="M3962" s="30">
        <f>IFERROR(VLOOKUP($A3962,HeadJournal!$A$1:$J$890,COLUMN(HeadJournal!I$1),0)*($K3962+$L3962)/(SUMIF($A:$A,$A3962,$K:$K)+SUMIF($A:$A,$A3962,$L:$L)),0)</f>
        <v>0</v>
      </c>
      <c r="N3962" s="30">
        <f>IFERROR((VLOOKUP($A3962,HeadJournal!$A$1:$K$890,COLUMN(HeadJournal!K$1),0)-VLOOKUP($A3962,HeadJournal!$A$1:$K$890,COLUMN(HeadJournal!J$1),0))*($K3962+$L3962)/(SUMIF($A:$A,$A3962,$K:$K)+SUMIF($A:$A,$A3962,$L:$L)),0)</f>
        <v>0</v>
      </c>
      <c r="O3962" s="30">
        <f>IFERROR((VLOOKUP($A3962,HeadJournal!$A$1:$L$890,COLUMN(HeadJournal!L$1),0)*($K3962+$L3962)/(SUMIF($A:$A,$A3962,$K:$K)+SUMIF($A:$A,$A3962,$L:$L)))/VLOOKUP($A3962,HeadJournal!$A$1:$L$890,COLUMN(HeadJournal!H$1),0),0)</f>
        <v>0</v>
      </c>
      <c r="P3962" s="30">
        <f>IFERROR(SUM(K3962:O3962)*VLOOKUP($A3962,HeadJournal!$A$1:$L$890,COLUMN(HeadJournal!H$1),0),0)</f>
        <v>1375</v>
      </c>
      <c r="Q3962" s="29">
        <v>1800</v>
      </c>
      <c r="R3962" s="31">
        <v>45579</v>
      </c>
      <c r="S3962" s="31" t="s">
        <v>3121</v>
      </c>
      <c r="T3962" s="95" t="str">
        <f t="shared" si="311"/>
        <v>2024 10</v>
      </c>
      <c r="U3962" s="32">
        <f t="shared" si="308"/>
        <v>425</v>
      </c>
      <c r="V3962" s="22">
        <f t="shared" si="309"/>
        <v>0.30909090909090908</v>
      </c>
      <c r="X3962" s="33"/>
      <c r="Y3962" s="33"/>
    </row>
    <row r="3963" spans="1:25" x14ac:dyDescent="0.2">
      <c r="A3963" s="93" t="s">
        <v>2279</v>
      </c>
      <c r="B3963" s="94">
        <f>IFERROR(VLOOKUP($A3963,HeadJournal!$A$1:$NTR$890,COLUMN(HeadJournal!B$1),0),"")</f>
        <v>0</v>
      </c>
      <c r="C3963" s="94" t="str">
        <f>IFERROR(VLOOKUP($A3963,HeadJournal!$A$1:$NTR$890,COLUMN(HeadJournal!C$1),0),"")</f>
        <v>OZON_OA</v>
      </c>
      <c r="D3963" s="125" t="str">
        <f>IFERROR(VLOOKUP($A3963,HeadJournal!$A$1:$NTR$890,COLUMN(HeadJournal!D$1),0),"")</f>
        <v>Доставлен</v>
      </c>
      <c r="E3963" s="95">
        <f>IFERROR(VLOOKUP($A3963,HeadJournal!$A$1:$NTR$890,COLUMN(HeadJournal!G$1),0),"")</f>
        <v>45566</v>
      </c>
      <c r="F3963" s="95" t="str">
        <f t="shared" si="310"/>
        <v>2024 10</v>
      </c>
      <c r="G3963" s="97" t="s">
        <v>6</v>
      </c>
      <c r="H3963" s="161" t="s">
        <v>2280</v>
      </c>
      <c r="I3963" s="97" t="s">
        <v>2281</v>
      </c>
      <c r="J3963" s="97" t="s">
        <v>737</v>
      </c>
      <c r="K3963" s="29">
        <v>1081</v>
      </c>
      <c r="L3963" s="29"/>
      <c r="M3963" s="30">
        <f>IFERROR(VLOOKUP($A3963,HeadJournal!$A$1:$J$890,COLUMN(HeadJournal!I$1),0)*($K3963+$L3963)/(SUMIF($A:$A,$A3963,$K:$K)+SUMIF($A:$A,$A3963,$L:$L)),0)</f>
        <v>0</v>
      </c>
      <c r="N3963" s="30">
        <f>IFERROR((VLOOKUP($A3963,HeadJournal!$A$1:$K$890,COLUMN(HeadJournal!K$1),0)-VLOOKUP($A3963,HeadJournal!$A$1:$K$890,COLUMN(HeadJournal!J$1),0))*($K3963+$L3963)/(SUMIF($A:$A,$A3963,$K:$K)+SUMIF($A:$A,$A3963,$L:$L)),0)</f>
        <v>0</v>
      </c>
      <c r="O3963" s="30">
        <f>IFERROR((VLOOKUP($A3963,HeadJournal!$A$1:$L$890,COLUMN(HeadJournal!L$1),0)*($K3963+$L3963)/(SUMIF($A:$A,$A3963,$K:$K)+SUMIF($A:$A,$A3963,$L:$L)))/VLOOKUP($A3963,HeadJournal!$A$1:$L$890,COLUMN(HeadJournal!H$1),0),0)</f>
        <v>0</v>
      </c>
      <c r="P3963" s="30">
        <f>IFERROR(SUM(K3963:O3963)*VLOOKUP($A3963,HeadJournal!$A$1:$L$890,COLUMN(HeadJournal!H$1),0),0)</f>
        <v>1081</v>
      </c>
      <c r="Q3963" s="29">
        <v>1900</v>
      </c>
      <c r="R3963" s="31">
        <v>45587</v>
      </c>
      <c r="S3963" s="31" t="s">
        <v>3121</v>
      </c>
      <c r="T3963" s="95" t="str">
        <f t="shared" si="311"/>
        <v>2024 10</v>
      </c>
      <c r="U3963" s="32">
        <f t="shared" si="308"/>
        <v>819</v>
      </c>
      <c r="V3963" s="22">
        <f t="shared" si="309"/>
        <v>0.75763182238667903</v>
      </c>
      <c r="X3963" s="33"/>
      <c r="Y3963" s="33"/>
    </row>
    <row r="3964" spans="1:25" x14ac:dyDescent="0.2">
      <c r="A3964" s="93" t="s">
        <v>2279</v>
      </c>
      <c r="B3964" s="94">
        <f>IFERROR(VLOOKUP($A3964,HeadJournal!$A$1:$NTR$890,COLUMN(HeadJournal!B$1),0),"")</f>
        <v>0</v>
      </c>
      <c r="C3964" s="94" t="str">
        <f>IFERROR(VLOOKUP($A3964,HeadJournal!$A$1:$NTR$890,COLUMN(HeadJournal!C$1),0),"")</f>
        <v>OZON_OA</v>
      </c>
      <c r="D3964" s="125" t="str">
        <f>IFERROR(VLOOKUP($A3964,HeadJournal!$A$1:$NTR$890,COLUMN(HeadJournal!D$1),0),"")</f>
        <v>Доставлен</v>
      </c>
      <c r="E3964" s="95">
        <f>IFERROR(VLOOKUP($A3964,HeadJournal!$A$1:$NTR$890,COLUMN(HeadJournal!G$1),0),"")</f>
        <v>45566</v>
      </c>
      <c r="F3964" s="95" t="str">
        <f t="shared" si="310"/>
        <v>2024 10</v>
      </c>
      <c r="G3964" s="97" t="s">
        <v>6</v>
      </c>
      <c r="H3964" s="161" t="s">
        <v>2280</v>
      </c>
      <c r="I3964" s="97" t="s">
        <v>2281</v>
      </c>
      <c r="J3964" s="97" t="s">
        <v>737</v>
      </c>
      <c r="K3964" s="29">
        <v>1081</v>
      </c>
      <c r="L3964" s="29"/>
      <c r="M3964" s="30">
        <f>IFERROR(VLOOKUP($A3964,HeadJournal!$A$1:$J$890,COLUMN(HeadJournal!I$1),0)*($K3964+$L3964)/(SUMIF($A:$A,$A3964,$K:$K)+SUMIF($A:$A,$A3964,$L:$L)),0)</f>
        <v>0</v>
      </c>
      <c r="N3964" s="30">
        <f>IFERROR((VLOOKUP($A3964,HeadJournal!$A$1:$K$890,COLUMN(HeadJournal!K$1),0)-VLOOKUP($A3964,HeadJournal!$A$1:$K$890,COLUMN(HeadJournal!J$1),0))*($K3964+$L3964)/(SUMIF($A:$A,$A3964,$K:$K)+SUMIF($A:$A,$A3964,$L:$L)),0)</f>
        <v>0</v>
      </c>
      <c r="O3964" s="30">
        <f>IFERROR((VLOOKUP($A3964,HeadJournal!$A$1:$L$890,COLUMN(HeadJournal!L$1),0)*($K3964+$L3964)/(SUMIF($A:$A,$A3964,$K:$K)+SUMIF($A:$A,$A3964,$L:$L)))/VLOOKUP($A3964,HeadJournal!$A$1:$L$890,COLUMN(HeadJournal!H$1),0),0)</f>
        <v>0</v>
      </c>
      <c r="P3964" s="30">
        <f>IFERROR(SUM(K3964:O3964)*VLOOKUP($A3964,HeadJournal!$A$1:$L$890,COLUMN(HeadJournal!H$1),0),0)</f>
        <v>1081</v>
      </c>
      <c r="Q3964" s="29">
        <v>2000</v>
      </c>
      <c r="R3964" s="31">
        <v>45587</v>
      </c>
      <c r="S3964" s="31" t="s">
        <v>3121</v>
      </c>
      <c r="T3964" s="95" t="str">
        <f t="shared" si="311"/>
        <v>2024 10</v>
      </c>
      <c r="U3964" s="32">
        <f t="shared" si="308"/>
        <v>919</v>
      </c>
      <c r="V3964" s="22">
        <f t="shared" si="309"/>
        <v>0.85013876040703051</v>
      </c>
      <c r="X3964" s="33"/>
      <c r="Y3964" s="33"/>
    </row>
    <row r="3965" spans="1:25" x14ac:dyDescent="0.2">
      <c r="A3965" s="93" t="s">
        <v>2282</v>
      </c>
      <c r="B3965" s="94">
        <f>IFERROR(VLOOKUP($A3965,HeadJournal!$A$1:$NTR$890,COLUMN(HeadJournal!B$1),0),"")</f>
        <v>0</v>
      </c>
      <c r="C3965" s="94" t="str">
        <f>IFERROR(VLOOKUP($A3965,HeadJournal!$A$1:$NTR$890,COLUMN(HeadJournal!C$1),0),"")</f>
        <v>WBRS</v>
      </c>
      <c r="D3965" s="125" t="str">
        <f>IFERROR(VLOOKUP($A3965,HeadJournal!$A$1:$NTR$890,COLUMN(HeadJournal!D$1),0),"")</f>
        <v>Доставлен</v>
      </c>
      <c r="E3965" s="95">
        <f>IFERROR(VLOOKUP($A3965,HeadJournal!$A$1:$NTR$890,COLUMN(HeadJournal!G$1),0),"")</f>
        <v>45583</v>
      </c>
      <c r="F3965" s="95" t="str">
        <f t="shared" si="310"/>
        <v>2024 10</v>
      </c>
      <c r="G3965" s="97" t="s">
        <v>5</v>
      </c>
      <c r="H3965" s="161" t="s">
        <v>2051</v>
      </c>
      <c r="I3965" s="97" t="s">
        <v>2052</v>
      </c>
      <c r="J3965" s="97" t="s">
        <v>3097</v>
      </c>
      <c r="K3965" s="29">
        <v>1602</v>
      </c>
      <c r="L3965" s="29"/>
      <c r="M3965" s="30">
        <f>IFERROR(VLOOKUP($A3965,HeadJournal!$A$1:$J$890,COLUMN(HeadJournal!I$1),0)*($K3965+$L3965)/(SUMIF($A:$A,$A3965,$K:$K)+SUMIF($A:$A,$A3965,$L:$L)),0)</f>
        <v>0</v>
      </c>
      <c r="N3965" s="30">
        <f>IFERROR((VLOOKUP($A3965,HeadJournal!$A$1:$K$890,COLUMN(HeadJournal!K$1),0)-VLOOKUP($A3965,HeadJournal!$A$1:$K$890,COLUMN(HeadJournal!J$1),0))*($K3965+$L3965)/(SUMIF($A:$A,$A3965,$K:$K)+SUMIF($A:$A,$A3965,$L:$L)),0)</f>
        <v>0</v>
      </c>
      <c r="O3965" s="30">
        <f>IFERROR((VLOOKUP($A3965,HeadJournal!$A$1:$L$890,COLUMN(HeadJournal!L$1),0)*($K3965+$L3965)/(SUMIF($A:$A,$A3965,$K:$K)+SUMIF($A:$A,$A3965,$L:$L)))/VLOOKUP($A3965,HeadJournal!$A$1:$L$890,COLUMN(HeadJournal!H$1),0),0)</f>
        <v>0</v>
      </c>
      <c r="P3965" s="30">
        <f>IFERROR(SUM(K3965:O3965)*VLOOKUP($A3965,HeadJournal!$A$1:$L$890,COLUMN(HeadJournal!H$1),0),0)</f>
        <v>1602</v>
      </c>
      <c r="Q3965" s="29">
        <v>2300</v>
      </c>
      <c r="R3965" s="31">
        <v>45584</v>
      </c>
      <c r="S3965" s="31" t="s">
        <v>3121</v>
      </c>
      <c r="T3965" s="95" t="str">
        <f t="shared" si="311"/>
        <v>2024 10</v>
      </c>
      <c r="U3965" s="32">
        <f t="shared" si="308"/>
        <v>698</v>
      </c>
      <c r="V3965" s="22">
        <f t="shared" si="309"/>
        <v>0.43570536828963796</v>
      </c>
      <c r="X3965" s="33"/>
      <c r="Y3965" s="33"/>
    </row>
    <row r="3966" spans="1:25" x14ac:dyDescent="0.2">
      <c r="A3966" s="93" t="s">
        <v>2282</v>
      </c>
      <c r="B3966" s="94">
        <f>IFERROR(VLOOKUP($A3966,HeadJournal!$A$1:$NTR$890,COLUMN(HeadJournal!B$1),0),"")</f>
        <v>0</v>
      </c>
      <c r="C3966" s="94" t="str">
        <f>IFERROR(VLOOKUP($A3966,HeadJournal!$A$1:$NTR$890,COLUMN(HeadJournal!C$1),0),"")</f>
        <v>WBRS</v>
      </c>
      <c r="D3966" s="125" t="str">
        <f>IFERROR(VLOOKUP($A3966,HeadJournal!$A$1:$NTR$890,COLUMN(HeadJournal!D$1),0),"")</f>
        <v>Доставлен</v>
      </c>
      <c r="E3966" s="95">
        <f>IFERROR(VLOOKUP($A3966,HeadJournal!$A$1:$NTR$890,COLUMN(HeadJournal!G$1),0),"")</f>
        <v>45583</v>
      </c>
      <c r="F3966" s="95" t="str">
        <f t="shared" si="310"/>
        <v>2024 10</v>
      </c>
      <c r="G3966" s="97" t="s">
        <v>5</v>
      </c>
      <c r="H3966" s="161" t="s">
        <v>2051</v>
      </c>
      <c r="I3966" s="97" t="s">
        <v>2052</v>
      </c>
      <c r="J3966" s="97" t="s">
        <v>3097</v>
      </c>
      <c r="K3966" s="29">
        <v>1602</v>
      </c>
      <c r="L3966" s="29"/>
      <c r="M3966" s="30">
        <f>IFERROR(VLOOKUP($A3966,HeadJournal!$A$1:$J$890,COLUMN(HeadJournal!I$1),0)*($K3966+$L3966)/(SUMIF($A:$A,$A3966,$K:$K)+SUMIF($A:$A,$A3966,$L:$L)),0)</f>
        <v>0</v>
      </c>
      <c r="N3966" s="30">
        <f>IFERROR((VLOOKUP($A3966,HeadJournal!$A$1:$K$890,COLUMN(HeadJournal!K$1),0)-VLOOKUP($A3966,HeadJournal!$A$1:$K$890,COLUMN(HeadJournal!J$1),0))*($K3966+$L3966)/(SUMIF($A:$A,$A3966,$K:$K)+SUMIF($A:$A,$A3966,$L:$L)),0)</f>
        <v>0</v>
      </c>
      <c r="O3966" s="30">
        <f>IFERROR((VLOOKUP($A3966,HeadJournal!$A$1:$L$890,COLUMN(HeadJournal!L$1),0)*($K3966+$L3966)/(SUMIF($A:$A,$A3966,$K:$K)+SUMIF($A:$A,$A3966,$L:$L)))/VLOOKUP($A3966,HeadJournal!$A$1:$L$890,COLUMN(HeadJournal!H$1),0),0)</f>
        <v>0</v>
      </c>
      <c r="P3966" s="30">
        <f>IFERROR(SUM(K3966:O3966)*VLOOKUP($A3966,HeadJournal!$A$1:$L$890,COLUMN(HeadJournal!H$1),0),0)</f>
        <v>1602</v>
      </c>
      <c r="Q3966" s="29">
        <v>2300</v>
      </c>
      <c r="R3966" s="31">
        <v>45584</v>
      </c>
      <c r="S3966" s="31" t="s">
        <v>3121</v>
      </c>
      <c r="T3966" s="95" t="str">
        <f t="shared" si="311"/>
        <v>2024 10</v>
      </c>
      <c r="U3966" s="32">
        <f t="shared" si="308"/>
        <v>698</v>
      </c>
      <c r="V3966" s="22">
        <f t="shared" si="309"/>
        <v>0.43570536828963796</v>
      </c>
      <c r="X3966" s="33"/>
      <c r="Y3966" s="33"/>
    </row>
    <row r="3967" spans="1:25" x14ac:dyDescent="0.2">
      <c r="A3967" s="93" t="s">
        <v>2283</v>
      </c>
      <c r="B3967" s="94">
        <f>IFERROR(VLOOKUP($A3967,HeadJournal!$A$1:$NTR$890,COLUMN(HeadJournal!B$1),0),"")</f>
        <v>0</v>
      </c>
      <c r="C3967" s="94" t="str">
        <f>IFERROR(VLOOKUP($A3967,HeadJournal!$A$1:$NTR$890,COLUMN(HeadJournal!C$1),0),"")</f>
        <v>OZON_AV</v>
      </c>
      <c r="D3967" s="125" t="str">
        <f>IFERROR(VLOOKUP($A3967,HeadJournal!$A$1:$NTR$890,COLUMN(HeadJournal!D$1),0),"")</f>
        <v>Доставлен</v>
      </c>
      <c r="E3967" s="95">
        <f>IFERROR(VLOOKUP($A3967,HeadJournal!$A$1:$NTR$890,COLUMN(HeadJournal!G$1),0),"")</f>
        <v>45575</v>
      </c>
      <c r="F3967" s="95" t="str">
        <f t="shared" si="310"/>
        <v>2024 10</v>
      </c>
      <c r="G3967" s="97" t="s">
        <v>6</v>
      </c>
      <c r="H3967" s="161" t="s">
        <v>2287</v>
      </c>
      <c r="I3967" s="97" t="s">
        <v>2284</v>
      </c>
      <c r="J3967" s="97" t="s">
        <v>2286</v>
      </c>
      <c r="K3967" s="29">
        <v>8413</v>
      </c>
      <c r="L3967" s="29"/>
      <c r="M3967" s="30">
        <f>IFERROR(VLOOKUP($A3967,HeadJournal!$A$1:$J$890,COLUMN(HeadJournal!I$1),0)*($K3967+$L3967)/(SUMIF($A:$A,$A3967,$K:$K)+SUMIF($A:$A,$A3967,$L:$L)),0)</f>
        <v>0</v>
      </c>
      <c r="N3967" s="30">
        <f>IFERROR((VLOOKUP($A3967,HeadJournal!$A$1:$K$890,COLUMN(HeadJournal!K$1),0)-VLOOKUP($A3967,HeadJournal!$A$1:$K$890,COLUMN(HeadJournal!J$1),0))*($K3967+$L3967)/(SUMIF($A:$A,$A3967,$K:$K)+SUMIF($A:$A,$A3967,$L:$L)),0)</f>
        <v>0</v>
      </c>
      <c r="O3967" s="30">
        <f>IFERROR((VLOOKUP($A3967,HeadJournal!$A$1:$L$890,COLUMN(HeadJournal!L$1),0)*($K3967+$L3967)/(SUMIF($A:$A,$A3967,$K:$K)+SUMIF($A:$A,$A3967,$L:$L)))/VLOOKUP($A3967,HeadJournal!$A$1:$L$890,COLUMN(HeadJournal!H$1),0),0)</f>
        <v>0</v>
      </c>
      <c r="P3967" s="30">
        <f>IFERROR(SUM(K3967:O3967)*VLOOKUP($A3967,HeadJournal!$A$1:$L$890,COLUMN(HeadJournal!H$1),0),0)</f>
        <v>8413</v>
      </c>
      <c r="Q3967" s="29">
        <v>9000</v>
      </c>
      <c r="R3967" s="31">
        <v>45584</v>
      </c>
      <c r="S3967" s="31" t="s">
        <v>3121</v>
      </c>
      <c r="T3967" s="95" t="str">
        <f t="shared" si="311"/>
        <v>2024 10</v>
      </c>
      <c r="U3967" s="32">
        <f t="shared" si="308"/>
        <v>587</v>
      </c>
      <c r="V3967" s="22">
        <f t="shared" si="309"/>
        <v>6.9772970402947818E-2</v>
      </c>
      <c r="X3967" s="33"/>
      <c r="Y3967" s="33"/>
    </row>
    <row r="3968" spans="1:25" x14ac:dyDescent="0.2">
      <c r="A3968" s="93" t="s">
        <v>2283</v>
      </c>
      <c r="B3968" s="94">
        <f>IFERROR(VLOOKUP($A3968,HeadJournal!$A$1:$NTR$890,COLUMN(HeadJournal!B$1),0),"")</f>
        <v>0</v>
      </c>
      <c r="C3968" s="94" t="str">
        <f>IFERROR(VLOOKUP($A3968,HeadJournal!$A$1:$NTR$890,COLUMN(HeadJournal!C$1),0),"")</f>
        <v>OZON_AV</v>
      </c>
      <c r="D3968" s="125" t="str">
        <f>IFERROR(VLOOKUP($A3968,HeadJournal!$A$1:$NTR$890,COLUMN(HeadJournal!D$1),0),"")</f>
        <v>Доставлен</v>
      </c>
      <c r="E3968" s="95">
        <f>IFERROR(VLOOKUP($A3968,HeadJournal!$A$1:$NTR$890,COLUMN(HeadJournal!G$1),0),"")</f>
        <v>45575</v>
      </c>
      <c r="F3968" s="95" t="str">
        <f t="shared" si="310"/>
        <v>2024 10</v>
      </c>
      <c r="G3968" s="97" t="s">
        <v>6</v>
      </c>
      <c r="H3968" s="161" t="s">
        <v>2288</v>
      </c>
      <c r="I3968" s="97" t="s">
        <v>2284</v>
      </c>
      <c r="J3968" s="97" t="s">
        <v>2285</v>
      </c>
      <c r="K3968" s="29">
        <v>8413</v>
      </c>
      <c r="L3968" s="29"/>
      <c r="M3968" s="30">
        <f>IFERROR(VLOOKUP($A3968,HeadJournal!$A$1:$J$890,COLUMN(HeadJournal!I$1),0)*($K3968+$L3968)/(SUMIF($A:$A,$A3968,$K:$K)+SUMIF($A:$A,$A3968,$L:$L)),0)</f>
        <v>0</v>
      </c>
      <c r="N3968" s="30">
        <f>IFERROR((VLOOKUP($A3968,HeadJournal!$A$1:$K$890,COLUMN(HeadJournal!K$1),0)-VLOOKUP($A3968,HeadJournal!$A$1:$K$890,COLUMN(HeadJournal!J$1),0))*($K3968+$L3968)/(SUMIF($A:$A,$A3968,$K:$K)+SUMIF($A:$A,$A3968,$L:$L)),0)</f>
        <v>0</v>
      </c>
      <c r="O3968" s="30">
        <f>IFERROR((VLOOKUP($A3968,HeadJournal!$A$1:$L$890,COLUMN(HeadJournal!L$1),0)*($K3968+$L3968)/(SUMIF($A:$A,$A3968,$K:$K)+SUMIF($A:$A,$A3968,$L:$L)))/VLOOKUP($A3968,HeadJournal!$A$1:$L$890,COLUMN(HeadJournal!H$1),0),0)</f>
        <v>0</v>
      </c>
      <c r="P3968" s="30">
        <f>IFERROR(SUM(K3968:O3968)*VLOOKUP($A3968,HeadJournal!$A$1:$L$890,COLUMN(HeadJournal!H$1),0),0)</f>
        <v>8413</v>
      </c>
      <c r="Q3968" s="29">
        <v>9000</v>
      </c>
      <c r="R3968" s="31">
        <v>45584</v>
      </c>
      <c r="S3968" s="31" t="s">
        <v>3121</v>
      </c>
      <c r="T3968" s="95" t="str">
        <f t="shared" si="311"/>
        <v>2024 10</v>
      </c>
      <c r="U3968" s="32">
        <f t="shared" si="308"/>
        <v>587</v>
      </c>
      <c r="V3968" s="22">
        <f t="shared" si="309"/>
        <v>6.9772970402947818E-2</v>
      </c>
      <c r="X3968" s="33"/>
      <c r="Y3968" s="33"/>
    </row>
    <row r="3969" spans="1:25" x14ac:dyDescent="0.2">
      <c r="A3969" s="93" t="s">
        <v>2437</v>
      </c>
      <c r="B3969" s="94" t="str">
        <f>IFERROR(VLOOKUP($A3969,HeadJournal!$A$1:$NTR$890,COLUMN(HeadJournal!B$1),0),"")</f>
        <v>720000437026</v>
      </c>
      <c r="C3969" s="94" t="str">
        <f>IFERROR(VLOOKUP($A3969,HeadJournal!$A$1:$NTR$890,COLUMN(HeadJournal!C$1),0),"")</f>
        <v>iHerb_AV CYG0792</v>
      </c>
      <c r="D3969" s="125" t="str">
        <f>IFERROR(VLOOKUP($A3969,HeadJournal!$A$1:$NTR$890,COLUMN(HeadJournal!D$1),0),"")</f>
        <v>Доставлен</v>
      </c>
      <c r="E3969" s="95">
        <f>IFERROR(VLOOKUP($A3969,HeadJournal!$A$1:$NTR$890,COLUMN(HeadJournal!G$1),0),"")</f>
        <v>45577</v>
      </c>
      <c r="F3969" s="95" t="str">
        <f t="shared" si="310"/>
        <v>2024 10</v>
      </c>
      <c r="G3969" s="97" t="s">
        <v>5</v>
      </c>
      <c r="H3969" s="161" t="s">
        <v>2422</v>
      </c>
      <c r="I3969" s="97" t="s">
        <v>2005</v>
      </c>
      <c r="J3969" s="97" t="s">
        <v>2423</v>
      </c>
      <c r="K3969" s="29">
        <v>36.130000000000003</v>
      </c>
      <c r="L3969" s="29">
        <v>-7.23</v>
      </c>
      <c r="M3969" s="30">
        <f>IFERROR(VLOOKUP($A3969,HeadJournal!$A$1:$J$890,COLUMN(HeadJournal!I$1),0)*($K3969+$L3969)/(SUMIF($A:$A,$A3969,$K:$K)+SUMIF($A:$A,$A3969,$L:$L)),0)</f>
        <v>-1.6213658380795231</v>
      </c>
      <c r="N3969" s="30">
        <f>IFERROR((VLOOKUP($A3969,HeadJournal!$A$1:$K$890,COLUMN(HeadJournal!K$1),0)-VLOOKUP($A3969,HeadJournal!$A$1:$K$890,COLUMN(HeadJournal!J$1),0))*($K3969+$L3969)/(SUMIF($A:$A,$A3969,$K:$K)+SUMIF($A:$A,$A3969,$L:$L)),0)</f>
        <v>0</v>
      </c>
      <c r="O3969" s="30">
        <f>IFERROR((VLOOKUP($A3969,HeadJournal!$A$1:$L$890,COLUMN(HeadJournal!L$1),0)*($K3969+$L3969)/(SUMIF($A:$A,$A3969,$K:$K)+SUMIF($A:$A,$A3969,$L:$L)))/VLOOKUP($A3969,HeadJournal!$A$1:$L$890,COLUMN(HeadJournal!H$1),0),0)</f>
        <v>1.1377652410045549</v>
      </c>
      <c r="P3969" s="30">
        <f>IFERROR(SUM(K3969:O3969)*VLOOKUP($A3969,HeadJournal!$A$1:$L$890,COLUMN(HeadJournal!H$1),0),0)</f>
        <v>3051.6838115008604</v>
      </c>
      <c r="Q3969" s="29">
        <v>4100</v>
      </c>
      <c r="R3969" s="31">
        <v>45604</v>
      </c>
      <c r="S3969" s="31" t="s">
        <v>3121</v>
      </c>
      <c r="T3969" s="95" t="str">
        <f t="shared" si="311"/>
        <v>2024 11</v>
      </c>
      <c r="U3969" s="32">
        <f t="shared" ref="U3969:U4032" si="312">Q3969-P3969</f>
        <v>1048.3161884991396</v>
      </c>
      <c r="V3969" s="22">
        <f t="shared" ref="V3969:V4032" si="313">IF(Q3969&lt;&gt;0,IFERROR(U3969/P3969,""),"")</f>
        <v>0.34352057855678148</v>
      </c>
      <c r="X3969" s="33"/>
      <c r="Y3969" s="33"/>
    </row>
    <row r="3970" spans="1:25" x14ac:dyDescent="0.2">
      <c r="A3970" s="93" t="s">
        <v>2437</v>
      </c>
      <c r="B3970" s="94" t="str">
        <f>IFERROR(VLOOKUP($A3970,HeadJournal!$A$1:$NTR$890,COLUMN(HeadJournal!B$1),0),"")</f>
        <v>720000437026</v>
      </c>
      <c r="C3970" s="94" t="str">
        <f>IFERROR(VLOOKUP($A3970,HeadJournal!$A$1:$NTR$890,COLUMN(HeadJournal!C$1),0),"")</f>
        <v>iHerb_AV CYG0792</v>
      </c>
      <c r="D3970" s="125" t="str">
        <f>IFERROR(VLOOKUP($A3970,HeadJournal!$A$1:$NTR$890,COLUMN(HeadJournal!D$1),0),"")</f>
        <v>Доставлен</v>
      </c>
      <c r="E3970" s="95">
        <f>IFERROR(VLOOKUP($A3970,HeadJournal!$A$1:$NTR$890,COLUMN(HeadJournal!G$1),0),"")</f>
        <v>45577</v>
      </c>
      <c r="F3970" s="95" t="str">
        <f t="shared" si="310"/>
        <v>2024 10</v>
      </c>
      <c r="G3970" s="97" t="s">
        <v>5</v>
      </c>
      <c r="H3970" s="161" t="s">
        <v>2424</v>
      </c>
      <c r="I3970" s="97" t="s">
        <v>2005</v>
      </c>
      <c r="J3970" s="97" t="s">
        <v>2425</v>
      </c>
      <c r="K3970" s="29">
        <v>45.64</v>
      </c>
      <c r="L3970" s="29">
        <v>-9.1300000000000008</v>
      </c>
      <c r="M3970" s="30">
        <f>IFERROR(VLOOKUP($A3970,HeadJournal!$A$1:$J$890,COLUMN(HeadJournal!I$1),0)*($K3970+$L3970)/(SUMIF($A:$A,$A3970,$K:$K)+SUMIF($A:$A,$A3970,$L:$L)),0)</f>
        <v>-2.0483068078990789</v>
      </c>
      <c r="N3970" s="30">
        <f>IFERROR((VLOOKUP($A3970,HeadJournal!$A$1:$K$890,COLUMN(HeadJournal!K$1),0)-VLOOKUP($A3970,HeadJournal!$A$1:$K$890,COLUMN(HeadJournal!J$1),0))*($K3970+$L3970)/(SUMIF($A:$A,$A3970,$K:$K)+SUMIF($A:$A,$A3970,$L:$L)),0)</f>
        <v>0</v>
      </c>
      <c r="O3970" s="30">
        <f>IFERROR((VLOOKUP($A3970,HeadJournal!$A$1:$L$890,COLUMN(HeadJournal!L$1),0)*($K3970+$L3970)/(SUMIF($A:$A,$A3970,$K:$K)+SUMIF($A:$A,$A3970,$L:$L)))/VLOOKUP($A3970,HeadJournal!$A$1:$L$890,COLUMN(HeadJournal!H$1),0),0)</f>
        <v>1.437363631455927</v>
      </c>
      <c r="P3970" s="30">
        <f>IFERROR(SUM(K3970:O3970)*VLOOKUP($A3970,HeadJournal!$A$1:$L$890,COLUMN(HeadJournal!H$1),0),0)</f>
        <v>3855.2586836642354</v>
      </c>
      <c r="Q3970" s="29">
        <v>5000</v>
      </c>
      <c r="R3970" s="31">
        <v>45723</v>
      </c>
      <c r="S3970" s="31" t="s">
        <v>3121</v>
      </c>
      <c r="T3970" s="95" t="str">
        <f t="shared" si="311"/>
        <v>2025 03</v>
      </c>
      <c r="U3970" s="32">
        <f t="shared" si="312"/>
        <v>1144.7413163357646</v>
      </c>
      <c r="V3970" s="22">
        <f t="shared" si="313"/>
        <v>0.29692983279859803</v>
      </c>
      <c r="X3970" s="33"/>
      <c r="Y3970" s="33"/>
    </row>
    <row r="3971" spans="1:25" x14ac:dyDescent="0.2">
      <c r="A3971" s="93" t="s">
        <v>2437</v>
      </c>
      <c r="B3971" s="94" t="str">
        <f>IFERROR(VLOOKUP($A3971,HeadJournal!$A$1:$NTR$890,COLUMN(HeadJournal!B$1),0),"")</f>
        <v>720000437026</v>
      </c>
      <c r="C3971" s="94" t="str">
        <f>IFERROR(VLOOKUP($A3971,HeadJournal!$A$1:$NTR$890,COLUMN(HeadJournal!C$1),0),"")</f>
        <v>iHerb_AV CYG0792</v>
      </c>
      <c r="D3971" s="125" t="str">
        <f>IFERROR(VLOOKUP($A3971,HeadJournal!$A$1:$NTR$890,COLUMN(HeadJournal!D$1),0),"")</f>
        <v>Доставлен</v>
      </c>
      <c r="E3971" s="95">
        <f>IFERROR(VLOOKUP($A3971,HeadJournal!$A$1:$NTR$890,COLUMN(HeadJournal!G$1),0),"")</f>
        <v>45577</v>
      </c>
      <c r="F3971" s="95" t="str">
        <f t="shared" si="310"/>
        <v>2024 10</v>
      </c>
      <c r="G3971" s="97" t="s">
        <v>5</v>
      </c>
      <c r="H3971" s="161" t="s">
        <v>2426</v>
      </c>
      <c r="I3971" s="97" t="s">
        <v>2125</v>
      </c>
      <c r="J3971" s="97" t="s">
        <v>2427</v>
      </c>
      <c r="K3971" s="29">
        <v>13.72</v>
      </c>
      <c r="L3971" s="29">
        <v>-2.7433333333333336</v>
      </c>
      <c r="M3971" s="30">
        <f>IFERROR(VLOOKUP($A3971,HeadJournal!$A$1:$J$890,COLUMN(HeadJournal!I$1),0)*($K3971+$L3971)/(SUMIF($A:$A,$A3971,$K:$K)+SUMIF($A:$A,$A3971,$L:$L)),0)</f>
        <v>-0.6158198044747254</v>
      </c>
      <c r="N3971" s="30">
        <f>IFERROR((VLOOKUP($A3971,HeadJournal!$A$1:$K$890,COLUMN(HeadJournal!K$1),0)-VLOOKUP($A3971,HeadJournal!$A$1:$K$890,COLUMN(HeadJournal!J$1),0))*($K3971+$L3971)/(SUMIF($A:$A,$A3971,$K:$K)+SUMIF($A:$A,$A3971,$L:$L)),0)</f>
        <v>0</v>
      </c>
      <c r="O3971" s="30">
        <f>IFERROR((VLOOKUP($A3971,HeadJournal!$A$1:$L$890,COLUMN(HeadJournal!L$1),0)*($K3971+$L3971)/(SUMIF($A:$A,$A3971,$K:$K)+SUMIF($A:$A,$A3971,$L:$L)))/VLOOKUP($A3971,HeadJournal!$A$1:$L$890,COLUMN(HeadJournal!H$1),0),0)</f>
        <v>0.43214082337116477</v>
      </c>
      <c r="P3971" s="30">
        <f>IFERROR(SUM(K3971:O3971)*VLOOKUP($A3971,HeadJournal!$A$1:$L$890,COLUMN(HeadJournal!H$1),0),0)</f>
        <v>1159.0766771940407</v>
      </c>
      <c r="Q3971" s="29">
        <v>2100</v>
      </c>
      <c r="R3971" s="31">
        <v>45643</v>
      </c>
      <c r="S3971" s="31" t="s">
        <v>3121</v>
      </c>
      <c r="T3971" s="95" t="str">
        <f t="shared" si="311"/>
        <v>2024 12</v>
      </c>
      <c r="U3971" s="32">
        <f t="shared" si="312"/>
        <v>940.92332280595929</v>
      </c>
      <c r="V3971" s="22">
        <f t="shared" si="313"/>
        <v>0.81178695190709937</v>
      </c>
      <c r="X3971" s="33"/>
      <c r="Y3971" s="33"/>
    </row>
    <row r="3972" spans="1:25" x14ac:dyDescent="0.2">
      <c r="A3972" s="93" t="s">
        <v>2437</v>
      </c>
      <c r="B3972" s="94" t="str">
        <f>IFERROR(VLOOKUP($A3972,HeadJournal!$A$1:$NTR$890,COLUMN(HeadJournal!B$1),0),"")</f>
        <v>720000437026</v>
      </c>
      <c r="C3972" s="94" t="str">
        <f>IFERROR(VLOOKUP($A3972,HeadJournal!$A$1:$NTR$890,COLUMN(HeadJournal!C$1),0),"")</f>
        <v>iHerb_AV CYG0792</v>
      </c>
      <c r="D3972" s="125" t="str">
        <f>IFERROR(VLOOKUP($A3972,HeadJournal!$A$1:$NTR$890,COLUMN(HeadJournal!D$1),0),"")</f>
        <v>Доставлен</v>
      </c>
      <c r="E3972" s="95">
        <f>IFERROR(VLOOKUP($A3972,HeadJournal!$A$1:$NTR$890,COLUMN(HeadJournal!G$1),0),"")</f>
        <v>45577</v>
      </c>
      <c r="F3972" s="95" t="str">
        <f t="shared" ref="F3972:F4035" si="314">IFERROR(TEXT(E3972, "ГГГГ ММ"),"")</f>
        <v>2024 10</v>
      </c>
      <c r="G3972" s="97" t="s">
        <v>5</v>
      </c>
      <c r="H3972" s="161" t="s">
        <v>2426</v>
      </c>
      <c r="I3972" s="97" t="s">
        <v>2125</v>
      </c>
      <c r="J3972" s="97" t="s">
        <v>2427</v>
      </c>
      <c r="K3972" s="29">
        <v>13.72</v>
      </c>
      <c r="L3972" s="29">
        <v>-2.7433333333333336</v>
      </c>
      <c r="M3972" s="30">
        <f>IFERROR(VLOOKUP($A3972,HeadJournal!$A$1:$J$890,COLUMN(HeadJournal!I$1),0)*($K3972+$L3972)/(SUMIF($A:$A,$A3972,$K:$K)+SUMIF($A:$A,$A3972,$L:$L)),0)</f>
        <v>-0.6158198044747254</v>
      </c>
      <c r="N3972" s="30">
        <f>IFERROR((VLOOKUP($A3972,HeadJournal!$A$1:$K$890,COLUMN(HeadJournal!K$1),0)-VLOOKUP($A3972,HeadJournal!$A$1:$K$890,COLUMN(HeadJournal!J$1),0))*($K3972+$L3972)/(SUMIF($A:$A,$A3972,$K:$K)+SUMIF($A:$A,$A3972,$L:$L)),0)</f>
        <v>0</v>
      </c>
      <c r="O3972" s="30">
        <f>IFERROR((VLOOKUP($A3972,HeadJournal!$A$1:$L$890,COLUMN(HeadJournal!L$1),0)*($K3972+$L3972)/(SUMIF($A:$A,$A3972,$K:$K)+SUMIF($A:$A,$A3972,$L:$L)))/VLOOKUP($A3972,HeadJournal!$A$1:$L$890,COLUMN(HeadJournal!H$1),0),0)</f>
        <v>0.43214082337116477</v>
      </c>
      <c r="P3972" s="30">
        <f>IFERROR(SUM(K3972:O3972)*VLOOKUP($A3972,HeadJournal!$A$1:$L$890,COLUMN(HeadJournal!H$1),0),0)</f>
        <v>1159.0766771940407</v>
      </c>
      <c r="Q3972" s="29">
        <v>1700</v>
      </c>
      <c r="R3972" s="31">
        <v>45923</v>
      </c>
      <c r="S3972" s="31" t="s">
        <v>4483</v>
      </c>
      <c r="T3972" s="95" t="str">
        <f t="shared" ref="T3972:T4035" si="315">IF(R3972="","",TEXT(R3972,"ГГГГ ММ"))</f>
        <v>2025 09</v>
      </c>
      <c r="U3972" s="32">
        <f t="shared" si="312"/>
        <v>540.92332280595929</v>
      </c>
      <c r="V3972" s="22">
        <f t="shared" si="313"/>
        <v>0.46668467535336616</v>
      </c>
      <c r="X3972" s="33"/>
      <c r="Y3972" s="33"/>
    </row>
    <row r="3973" spans="1:25" x14ac:dyDescent="0.2">
      <c r="A3973" s="93" t="s">
        <v>2437</v>
      </c>
      <c r="B3973" s="94" t="str">
        <f>IFERROR(VLOOKUP($A3973,HeadJournal!$A$1:$NTR$890,COLUMN(HeadJournal!B$1),0),"")</f>
        <v>720000437026</v>
      </c>
      <c r="C3973" s="94" t="str">
        <f>IFERROR(VLOOKUP($A3973,HeadJournal!$A$1:$NTR$890,COLUMN(HeadJournal!C$1),0),"")</f>
        <v>iHerb_AV CYG0792</v>
      </c>
      <c r="D3973" s="125" t="str">
        <f>IFERROR(VLOOKUP($A3973,HeadJournal!$A$1:$NTR$890,COLUMN(HeadJournal!D$1),0),"")</f>
        <v>Доставлен</v>
      </c>
      <c r="E3973" s="95">
        <f>IFERROR(VLOOKUP($A3973,HeadJournal!$A$1:$NTR$890,COLUMN(HeadJournal!G$1),0),"")</f>
        <v>45577</v>
      </c>
      <c r="F3973" s="95" t="str">
        <f t="shared" si="314"/>
        <v>2024 10</v>
      </c>
      <c r="G3973" s="97" t="s">
        <v>5</v>
      </c>
      <c r="H3973" s="161" t="s">
        <v>2426</v>
      </c>
      <c r="I3973" s="97" t="s">
        <v>2125</v>
      </c>
      <c r="J3973" s="97" t="s">
        <v>2427</v>
      </c>
      <c r="K3973" s="29">
        <v>13.72</v>
      </c>
      <c r="L3973" s="29">
        <v>-2.7433333333333336</v>
      </c>
      <c r="M3973" s="30">
        <f>IFERROR(VLOOKUP($A3973,HeadJournal!$A$1:$J$890,COLUMN(HeadJournal!I$1),0)*($K3973+$L3973)/(SUMIF($A:$A,$A3973,$K:$K)+SUMIF($A:$A,$A3973,$L:$L)),0)</f>
        <v>-0.6158198044747254</v>
      </c>
      <c r="N3973" s="30">
        <f>IFERROR((VLOOKUP($A3973,HeadJournal!$A$1:$K$890,COLUMN(HeadJournal!K$1),0)-VLOOKUP($A3973,HeadJournal!$A$1:$K$890,COLUMN(HeadJournal!J$1),0))*($K3973+$L3973)/(SUMIF($A:$A,$A3973,$K:$K)+SUMIF($A:$A,$A3973,$L:$L)),0)</f>
        <v>0</v>
      </c>
      <c r="O3973" s="30">
        <f>IFERROR((VLOOKUP($A3973,HeadJournal!$A$1:$L$890,COLUMN(HeadJournal!L$1),0)*($K3973+$L3973)/(SUMIF($A:$A,$A3973,$K:$K)+SUMIF($A:$A,$A3973,$L:$L)))/VLOOKUP($A3973,HeadJournal!$A$1:$L$890,COLUMN(HeadJournal!H$1),0),0)</f>
        <v>0.43214082337116477</v>
      </c>
      <c r="P3973" s="30">
        <f>IFERROR(SUM(K3973:O3973)*VLOOKUP($A3973,HeadJournal!$A$1:$L$890,COLUMN(HeadJournal!H$1),0),0)</f>
        <v>1159.0766771940407</v>
      </c>
      <c r="Q3973" s="29">
        <v>1650</v>
      </c>
      <c r="R3973" s="31">
        <v>45962</v>
      </c>
      <c r="S3973" s="31" t="s">
        <v>3466</v>
      </c>
      <c r="T3973" s="95" t="str">
        <f t="shared" si="315"/>
        <v>2025 11</v>
      </c>
      <c r="U3973" s="32">
        <f t="shared" si="312"/>
        <v>490.92332280595929</v>
      </c>
      <c r="V3973" s="22">
        <f t="shared" si="313"/>
        <v>0.42354689078414953</v>
      </c>
      <c r="X3973" s="33"/>
      <c r="Y3973" s="33"/>
    </row>
    <row r="3974" spans="1:25" x14ac:dyDescent="0.2">
      <c r="A3974" s="93" t="s">
        <v>2437</v>
      </c>
      <c r="B3974" s="94" t="str">
        <f>IFERROR(VLOOKUP($A3974,HeadJournal!$A$1:$NTR$890,COLUMN(HeadJournal!B$1),0),"")</f>
        <v>720000437026</v>
      </c>
      <c r="C3974" s="94" t="str">
        <f>IFERROR(VLOOKUP($A3974,HeadJournal!$A$1:$NTR$890,COLUMN(HeadJournal!C$1),0),"")</f>
        <v>iHerb_AV CYG0792</v>
      </c>
      <c r="D3974" s="125" t="str">
        <f>IFERROR(VLOOKUP($A3974,HeadJournal!$A$1:$NTR$890,COLUMN(HeadJournal!D$1),0),"")</f>
        <v>Доставлен</v>
      </c>
      <c r="E3974" s="95">
        <f>IFERROR(VLOOKUP($A3974,HeadJournal!$A$1:$NTR$890,COLUMN(HeadJournal!G$1),0),"")</f>
        <v>45577</v>
      </c>
      <c r="F3974" s="95" t="str">
        <f t="shared" si="314"/>
        <v>2024 10</v>
      </c>
      <c r="G3974" s="97" t="s">
        <v>5</v>
      </c>
      <c r="H3974" s="161" t="s">
        <v>2428</v>
      </c>
      <c r="I3974" s="97" t="s">
        <v>2125</v>
      </c>
      <c r="J3974" s="97" t="s">
        <v>2429</v>
      </c>
      <c r="K3974" s="29">
        <v>13.23</v>
      </c>
      <c r="L3974" s="29">
        <v>-2.65</v>
      </c>
      <c r="M3974" s="30">
        <f>IFERROR(VLOOKUP($A3974,HeadJournal!$A$1:$J$890,COLUMN(HeadJournal!I$1),0)*($K3974+$L3974)/(SUMIF($A:$A,$A3974,$K:$K)+SUMIF($A:$A,$A3974,$L:$L)),0)</f>
        <v>-0.59356576355990842</v>
      </c>
      <c r="N3974" s="30">
        <f>IFERROR((VLOOKUP($A3974,HeadJournal!$A$1:$K$890,COLUMN(HeadJournal!K$1),0)-VLOOKUP($A3974,HeadJournal!$A$1:$K$890,COLUMN(HeadJournal!J$1),0))*($K3974+$L3974)/(SUMIF($A:$A,$A3974,$K:$K)+SUMIF($A:$A,$A3974,$L:$L)),0)</f>
        <v>0</v>
      </c>
      <c r="O3974" s="30">
        <f>IFERROR((VLOOKUP($A3974,HeadJournal!$A$1:$L$890,COLUMN(HeadJournal!L$1),0)*($K3974+$L3974)/(SUMIF($A:$A,$A3974,$K:$K)+SUMIF($A:$A,$A3974,$L:$L)))/VLOOKUP($A3974,HeadJournal!$A$1:$L$890,COLUMN(HeadJournal!H$1),0),0)</f>
        <v>0.41652443771031794</v>
      </c>
      <c r="P3974" s="30">
        <f>IFERROR(SUM(K3974:O3974)*VLOOKUP($A3974,HeadJournal!$A$1:$L$890,COLUMN(HeadJournal!H$1),0),0)</f>
        <v>1117.1908209577543</v>
      </c>
      <c r="Q3974" s="29">
        <v>1900</v>
      </c>
      <c r="R3974" s="31">
        <v>45638</v>
      </c>
      <c r="S3974" s="31" t="s">
        <v>3121</v>
      </c>
      <c r="T3974" s="95" t="str">
        <f t="shared" si="315"/>
        <v>2024 12</v>
      </c>
      <c r="U3974" s="32">
        <f t="shared" si="312"/>
        <v>782.80917904224566</v>
      </c>
      <c r="V3974" s="22">
        <f t="shared" si="313"/>
        <v>0.70069424520616153</v>
      </c>
      <c r="X3974" s="33"/>
      <c r="Y3974" s="33"/>
    </row>
    <row r="3975" spans="1:25" x14ac:dyDescent="0.2">
      <c r="A3975" s="93" t="s">
        <v>2437</v>
      </c>
      <c r="B3975" s="94" t="str">
        <f>IFERROR(VLOOKUP($A3975,HeadJournal!$A$1:$NTR$890,COLUMN(HeadJournal!B$1),0),"")</f>
        <v>720000437026</v>
      </c>
      <c r="C3975" s="94" t="str">
        <f>IFERROR(VLOOKUP($A3975,HeadJournal!$A$1:$NTR$890,COLUMN(HeadJournal!C$1),0),"")</f>
        <v>iHerb_AV CYG0792</v>
      </c>
      <c r="D3975" s="125" t="str">
        <f>IFERROR(VLOOKUP($A3975,HeadJournal!$A$1:$NTR$890,COLUMN(HeadJournal!D$1),0),"")</f>
        <v>Доставлен</v>
      </c>
      <c r="E3975" s="95">
        <f>IFERROR(VLOOKUP($A3975,HeadJournal!$A$1:$NTR$890,COLUMN(HeadJournal!G$1),0),"")</f>
        <v>45577</v>
      </c>
      <c r="F3975" s="95" t="str">
        <f t="shared" si="314"/>
        <v>2024 10</v>
      </c>
      <c r="G3975" s="97" t="s">
        <v>5</v>
      </c>
      <c r="H3975" s="161" t="s">
        <v>2430</v>
      </c>
      <c r="I3975" s="97" t="s">
        <v>2221</v>
      </c>
      <c r="J3975" s="97" t="s">
        <v>4197</v>
      </c>
      <c r="K3975" s="29">
        <v>7.8</v>
      </c>
      <c r="L3975" s="29">
        <v>-1.56</v>
      </c>
      <c r="M3975" s="30">
        <f>IFERROR(VLOOKUP($A3975,HeadJournal!$A$1:$J$890,COLUMN(HeadJournal!I$1),0)*($K3975+$L3975)/(SUMIF($A:$A,$A3975,$K:$K)+SUMIF($A:$A,$A3975,$L:$L)),0)</f>
        <v>-0.35008037472720493</v>
      </c>
      <c r="N3975" s="30">
        <f>IFERROR((VLOOKUP($A3975,HeadJournal!$A$1:$K$890,COLUMN(HeadJournal!K$1),0)-VLOOKUP($A3975,HeadJournal!$A$1:$K$890,COLUMN(HeadJournal!J$1),0))*($K3975+$L3975)/(SUMIF($A:$A,$A3975,$K:$K)+SUMIF($A:$A,$A3975,$L:$L)),0)</f>
        <v>0</v>
      </c>
      <c r="O3975" s="30">
        <f>IFERROR((VLOOKUP($A3975,HeadJournal!$A$1:$L$890,COLUMN(HeadJournal!L$1),0)*($K3975+$L3975)/(SUMIF($A:$A,$A3975,$K:$K)+SUMIF($A:$A,$A3975,$L:$L)))/VLOOKUP($A3975,HeadJournal!$A$1:$L$890,COLUMN(HeadJournal!H$1),0),0)</f>
        <v>0.24566280636222912</v>
      </c>
      <c r="P3975" s="30">
        <f>IFERROR(SUM(K3975:O3975)*VLOOKUP($A3975,HeadJournal!$A$1:$L$890,COLUMN(HeadJournal!H$1),0),0)</f>
        <v>658.91027625485697</v>
      </c>
      <c r="Q3975" s="29">
        <v>1700</v>
      </c>
      <c r="R3975" s="31">
        <v>45607</v>
      </c>
      <c r="S3975" s="31" t="s">
        <v>3121</v>
      </c>
      <c r="T3975" s="95" t="str">
        <f t="shared" si="315"/>
        <v>2024 11</v>
      </c>
      <c r="U3975" s="32">
        <f t="shared" si="312"/>
        <v>1041.0897237451431</v>
      </c>
      <c r="V3975" s="22">
        <f t="shared" si="313"/>
        <v>1.5800174337279036</v>
      </c>
      <c r="X3975" s="33"/>
      <c r="Y3975" s="33"/>
    </row>
    <row r="3976" spans="1:25" x14ac:dyDescent="0.2">
      <c r="A3976" s="93" t="s">
        <v>2437</v>
      </c>
      <c r="B3976" s="94" t="str">
        <f>IFERROR(VLOOKUP($A3976,HeadJournal!$A$1:$NTR$890,COLUMN(HeadJournal!B$1),0),"")</f>
        <v>720000437026</v>
      </c>
      <c r="C3976" s="94" t="str">
        <f>IFERROR(VLOOKUP($A3976,HeadJournal!$A$1:$NTR$890,COLUMN(HeadJournal!C$1),0),"")</f>
        <v>iHerb_AV CYG0792</v>
      </c>
      <c r="D3976" s="125" t="str">
        <f>IFERROR(VLOOKUP($A3976,HeadJournal!$A$1:$NTR$890,COLUMN(HeadJournal!D$1),0),"")</f>
        <v>Доставлен</v>
      </c>
      <c r="E3976" s="95">
        <f>IFERROR(VLOOKUP($A3976,HeadJournal!$A$1:$NTR$890,COLUMN(HeadJournal!G$1),0),"")</f>
        <v>45577</v>
      </c>
      <c r="F3976" s="95" t="str">
        <f t="shared" si="314"/>
        <v>2024 10</v>
      </c>
      <c r="G3976" s="97" t="s">
        <v>5</v>
      </c>
      <c r="H3976" s="161" t="s">
        <v>2431</v>
      </c>
      <c r="I3976" s="97" t="s">
        <v>2221</v>
      </c>
      <c r="J3976" s="97" t="s">
        <v>4196</v>
      </c>
      <c r="K3976" s="29">
        <v>13.63</v>
      </c>
      <c r="L3976" s="29">
        <v>-2.7250000000000001</v>
      </c>
      <c r="M3976" s="30">
        <f>IFERROR(VLOOKUP($A3976,HeadJournal!$A$1:$J$890,COLUMN(HeadJournal!I$1),0)*($K3976+$L3976)/(SUMIF($A:$A,$A3976,$K:$K)+SUMIF($A:$A,$A3976,$L:$L)),0)</f>
        <v>-0.61179911641028373</v>
      </c>
      <c r="N3976" s="30">
        <f>IFERROR((VLOOKUP($A3976,HeadJournal!$A$1:$K$890,COLUMN(HeadJournal!K$1),0)-VLOOKUP($A3976,HeadJournal!$A$1:$K$890,COLUMN(HeadJournal!J$1),0))*($K3976+$L3976)/(SUMIF($A:$A,$A3976,$K:$K)+SUMIF($A:$A,$A3976,$L:$L)),0)</f>
        <v>0</v>
      </c>
      <c r="O3976" s="30">
        <f>IFERROR((VLOOKUP($A3976,HeadJournal!$A$1:$L$890,COLUMN(HeadJournal!L$1),0)*($K3976+$L3976)/(SUMIF($A:$A,$A3976,$K:$K)+SUMIF($A:$A,$A3976,$L:$L)))/VLOOKUP($A3976,HeadJournal!$A$1:$L$890,COLUMN(HeadJournal!H$1),0),0)</f>
        <v>0.42931937554168409</v>
      </c>
      <c r="P3976" s="30">
        <f>IFERROR(SUM(K3976:O3976)*VLOOKUP($A3976,HeadJournal!$A$1:$L$890,COLUMN(HeadJournal!H$1),0),0)</f>
        <v>1151.509064512695</v>
      </c>
      <c r="Q3976" s="29">
        <v>2300</v>
      </c>
      <c r="R3976" s="31">
        <v>45605</v>
      </c>
      <c r="S3976" s="31" t="s">
        <v>3121</v>
      </c>
      <c r="T3976" s="95" t="str">
        <f t="shared" si="315"/>
        <v>2024 11</v>
      </c>
      <c r="U3976" s="32">
        <f t="shared" si="312"/>
        <v>1148.490935487305</v>
      </c>
      <c r="V3976" s="22">
        <f t="shared" si="313"/>
        <v>0.9973789793598653</v>
      </c>
      <c r="X3976" s="33"/>
      <c r="Y3976" s="33"/>
    </row>
    <row r="3977" spans="1:25" x14ac:dyDescent="0.2">
      <c r="A3977" s="93" t="s">
        <v>2437</v>
      </c>
      <c r="B3977" s="94" t="str">
        <f>IFERROR(VLOOKUP($A3977,HeadJournal!$A$1:$NTR$890,COLUMN(HeadJournal!B$1),0),"")</f>
        <v>720000437026</v>
      </c>
      <c r="C3977" s="94" t="str">
        <f>IFERROR(VLOOKUP($A3977,HeadJournal!$A$1:$NTR$890,COLUMN(HeadJournal!C$1),0),"")</f>
        <v>iHerb_AV CYG0792</v>
      </c>
      <c r="D3977" s="125" t="str">
        <f>IFERROR(VLOOKUP($A3977,HeadJournal!$A$1:$NTR$890,COLUMN(HeadJournal!D$1),0),"")</f>
        <v>Доставлен</v>
      </c>
      <c r="E3977" s="95">
        <f>IFERROR(VLOOKUP($A3977,HeadJournal!$A$1:$NTR$890,COLUMN(HeadJournal!G$1),0),"")</f>
        <v>45577</v>
      </c>
      <c r="F3977" s="95" t="str">
        <f t="shared" si="314"/>
        <v>2024 10</v>
      </c>
      <c r="G3977" s="97" t="s">
        <v>5</v>
      </c>
      <c r="H3977" s="161" t="s">
        <v>2431</v>
      </c>
      <c r="I3977" s="97" t="s">
        <v>2221</v>
      </c>
      <c r="J3977" s="97" t="s">
        <v>4196</v>
      </c>
      <c r="K3977" s="29">
        <v>13.63</v>
      </c>
      <c r="L3977" s="29">
        <v>-2.7250000000000001</v>
      </c>
      <c r="M3977" s="30">
        <f>IFERROR(VLOOKUP($A3977,HeadJournal!$A$1:$J$890,COLUMN(HeadJournal!I$1),0)*($K3977+$L3977)/(SUMIF($A:$A,$A3977,$K:$K)+SUMIF($A:$A,$A3977,$L:$L)),0)</f>
        <v>-0.61179911641028373</v>
      </c>
      <c r="N3977" s="30">
        <f>IFERROR((VLOOKUP($A3977,HeadJournal!$A$1:$K$890,COLUMN(HeadJournal!K$1),0)-VLOOKUP($A3977,HeadJournal!$A$1:$K$890,COLUMN(HeadJournal!J$1),0))*($K3977+$L3977)/(SUMIF($A:$A,$A3977,$K:$K)+SUMIF($A:$A,$A3977,$L:$L)),0)</f>
        <v>0</v>
      </c>
      <c r="O3977" s="30">
        <f>IFERROR((VLOOKUP($A3977,HeadJournal!$A$1:$L$890,COLUMN(HeadJournal!L$1),0)*($K3977+$L3977)/(SUMIF($A:$A,$A3977,$K:$K)+SUMIF($A:$A,$A3977,$L:$L)))/VLOOKUP($A3977,HeadJournal!$A$1:$L$890,COLUMN(HeadJournal!H$1),0),0)</f>
        <v>0.42931937554168409</v>
      </c>
      <c r="P3977" s="30">
        <f>IFERROR(SUM(K3977:O3977)*VLOOKUP($A3977,HeadJournal!$A$1:$L$890,COLUMN(HeadJournal!H$1),0),0)</f>
        <v>1151.509064512695</v>
      </c>
      <c r="Q3977" s="29">
        <v>2300</v>
      </c>
      <c r="R3977" s="31">
        <v>45607</v>
      </c>
      <c r="S3977" s="31" t="s">
        <v>3121</v>
      </c>
      <c r="T3977" s="95" t="str">
        <f t="shared" si="315"/>
        <v>2024 11</v>
      </c>
      <c r="U3977" s="32">
        <f t="shared" si="312"/>
        <v>1148.490935487305</v>
      </c>
      <c r="V3977" s="22">
        <f t="shared" si="313"/>
        <v>0.9973789793598653</v>
      </c>
      <c r="X3977" s="33"/>
      <c r="Y3977" s="33"/>
    </row>
    <row r="3978" spans="1:25" x14ac:dyDescent="0.2">
      <c r="A3978" s="93" t="s">
        <v>2437</v>
      </c>
      <c r="B3978" s="94" t="str">
        <f>IFERROR(VLOOKUP($A3978,HeadJournal!$A$1:$NTR$890,COLUMN(HeadJournal!B$1),0),"")</f>
        <v>720000437026</v>
      </c>
      <c r="C3978" s="94" t="str">
        <f>IFERROR(VLOOKUP($A3978,HeadJournal!$A$1:$NTR$890,COLUMN(HeadJournal!C$1),0),"")</f>
        <v>iHerb_AV CYG0792</v>
      </c>
      <c r="D3978" s="125" t="str">
        <f>IFERROR(VLOOKUP($A3978,HeadJournal!$A$1:$NTR$890,COLUMN(HeadJournal!D$1),0),"")</f>
        <v>Доставлен</v>
      </c>
      <c r="E3978" s="95">
        <f>IFERROR(VLOOKUP($A3978,HeadJournal!$A$1:$NTR$890,COLUMN(HeadJournal!G$1),0),"")</f>
        <v>45577</v>
      </c>
      <c r="F3978" s="95" t="str">
        <f t="shared" si="314"/>
        <v>2024 10</v>
      </c>
      <c r="G3978" s="97" t="s">
        <v>5</v>
      </c>
      <c r="H3978" s="161" t="s">
        <v>2018</v>
      </c>
      <c r="I3978" s="97" t="s">
        <v>2005</v>
      </c>
      <c r="J3978" s="97" t="s">
        <v>2019</v>
      </c>
      <c r="K3978" s="29">
        <v>23.08</v>
      </c>
      <c r="L3978" s="29">
        <v>-4.62</v>
      </c>
      <c r="M3978" s="30">
        <f>IFERROR(VLOOKUP($A3978,HeadJournal!$A$1:$J$890,COLUMN(HeadJournal!I$1),0)*($K3978+$L3978)/(SUMIF($A:$A,$A3978,$K:$K)+SUMIF($A:$A,$A3978,$L:$L)),0)</f>
        <v>-1.0356544419013145</v>
      </c>
      <c r="N3978" s="30">
        <f>IFERROR((VLOOKUP($A3978,HeadJournal!$A$1:$K$890,COLUMN(HeadJournal!K$1),0)-VLOOKUP($A3978,HeadJournal!$A$1:$K$890,COLUMN(HeadJournal!J$1),0))*($K3978+$L3978)/(SUMIF($A:$A,$A3978,$K:$K)+SUMIF($A:$A,$A3978,$L:$L)),0)</f>
        <v>0</v>
      </c>
      <c r="O3978" s="30">
        <f>IFERROR((VLOOKUP($A3978,HeadJournal!$A$1:$L$890,COLUMN(HeadJournal!L$1),0)*($K3978+$L3978)/(SUMIF($A:$A,$A3978,$K:$K)+SUMIF($A:$A,$A3978,$L:$L)))/VLOOKUP($A3978,HeadJournal!$A$1:$L$890,COLUMN(HeadJournal!H$1),0),0)</f>
        <v>0.72675246882159439</v>
      </c>
      <c r="P3978" s="30">
        <f>IFERROR(SUM(K3978:O3978)*VLOOKUP($A3978,HeadJournal!$A$1:$L$890,COLUMN(HeadJournal!H$1),0),0)</f>
        <v>1949.2762339206183</v>
      </c>
      <c r="Q3978" s="29">
        <v>2900</v>
      </c>
      <c r="R3978" s="31">
        <v>45605</v>
      </c>
      <c r="S3978" s="31" t="s">
        <v>3121</v>
      </c>
      <c r="T3978" s="95" t="str">
        <f t="shared" si="315"/>
        <v>2024 11</v>
      </c>
      <c r="U3978" s="32">
        <f t="shared" si="312"/>
        <v>950.72376607938168</v>
      </c>
      <c r="V3978" s="22">
        <f t="shared" si="313"/>
        <v>0.48773167678096191</v>
      </c>
      <c r="X3978" s="33"/>
      <c r="Y3978" s="33"/>
    </row>
    <row r="3979" spans="1:25" x14ac:dyDescent="0.2">
      <c r="A3979" s="93" t="s">
        <v>2437</v>
      </c>
      <c r="B3979" s="94" t="str">
        <f>IFERROR(VLOOKUP($A3979,HeadJournal!$A$1:$NTR$890,COLUMN(HeadJournal!B$1),0),"")</f>
        <v>720000437026</v>
      </c>
      <c r="C3979" s="94" t="str">
        <f>IFERROR(VLOOKUP($A3979,HeadJournal!$A$1:$NTR$890,COLUMN(HeadJournal!C$1),0),"")</f>
        <v>iHerb_AV CYG0792</v>
      </c>
      <c r="D3979" s="125" t="str">
        <f>IFERROR(VLOOKUP($A3979,HeadJournal!$A$1:$NTR$890,COLUMN(HeadJournal!D$1),0),"")</f>
        <v>Доставлен</v>
      </c>
      <c r="E3979" s="95">
        <f>IFERROR(VLOOKUP($A3979,HeadJournal!$A$1:$NTR$890,COLUMN(HeadJournal!G$1),0),"")</f>
        <v>45577</v>
      </c>
      <c r="F3979" s="95" t="str">
        <f t="shared" si="314"/>
        <v>2024 10</v>
      </c>
      <c r="G3979" s="97" t="s">
        <v>5</v>
      </c>
      <c r="H3979" s="161" t="s">
        <v>2432</v>
      </c>
      <c r="I3979" s="97" t="s">
        <v>2005</v>
      </c>
      <c r="J3979" s="97" t="s">
        <v>2433</v>
      </c>
      <c r="K3979" s="29">
        <v>19.920000000000002</v>
      </c>
      <c r="L3979" s="29">
        <v>-3.98</v>
      </c>
      <c r="M3979" s="30">
        <f>IFERROR(VLOOKUP($A3979,HeadJournal!$A$1:$J$890,COLUMN(HeadJournal!I$1),0)*($K3979+$L3979)/(SUMIF($A:$A,$A3979,$K:$K)+SUMIF($A:$A,$A3979,$L:$L)),0)</f>
        <v>-0.89427582903071268</v>
      </c>
      <c r="N3979" s="30">
        <f>IFERROR((VLOOKUP($A3979,HeadJournal!$A$1:$K$890,COLUMN(HeadJournal!K$1),0)-VLOOKUP($A3979,HeadJournal!$A$1:$K$890,COLUMN(HeadJournal!J$1),0))*($K3979+$L3979)/(SUMIF($A:$A,$A3979,$K:$K)+SUMIF($A:$A,$A3979,$L:$L)),0)</f>
        <v>0</v>
      </c>
      <c r="O3979" s="30">
        <f>IFERROR((VLOOKUP($A3979,HeadJournal!$A$1:$L$890,COLUMN(HeadJournal!L$1),0)*($K3979+$L3979)/(SUMIF($A:$A,$A3979,$K:$K)+SUMIF($A:$A,$A3979,$L:$L)))/VLOOKUP($A3979,HeadJournal!$A$1:$L$890,COLUMN(HeadJournal!H$1),0),0)</f>
        <v>0.62754248932915591</v>
      </c>
      <c r="P3979" s="30">
        <f>IFERROR(SUM(K3979:O3979)*VLOOKUP($A3979,HeadJournal!$A$1:$L$890,COLUMN(HeadJournal!H$1),0),0)</f>
        <v>1683.1778531253881</v>
      </c>
      <c r="Q3979" s="29">
        <v>2800</v>
      </c>
      <c r="R3979" s="31">
        <v>45652</v>
      </c>
      <c r="S3979" s="31" t="s">
        <v>3121</v>
      </c>
      <c r="T3979" s="95" t="str">
        <f t="shared" si="315"/>
        <v>2024 12</v>
      </c>
      <c r="U3979" s="32">
        <f t="shared" si="312"/>
        <v>1116.8221468746119</v>
      </c>
      <c r="V3979" s="22">
        <f t="shared" si="313"/>
        <v>0.66351998679215896</v>
      </c>
      <c r="X3979" s="33"/>
      <c r="Y3979" s="33"/>
    </row>
    <row r="3980" spans="1:25" x14ac:dyDescent="0.2">
      <c r="A3980" s="93" t="s">
        <v>2437</v>
      </c>
      <c r="B3980" s="94" t="str">
        <f>IFERROR(VLOOKUP($A3980,HeadJournal!$A$1:$NTR$890,COLUMN(HeadJournal!B$1),0),"")</f>
        <v>720000437026</v>
      </c>
      <c r="C3980" s="94" t="str">
        <f>IFERROR(VLOOKUP($A3980,HeadJournal!$A$1:$NTR$890,COLUMN(HeadJournal!C$1),0),"")</f>
        <v>iHerb_AV CYG0792</v>
      </c>
      <c r="D3980" s="125" t="str">
        <f>IFERROR(VLOOKUP($A3980,HeadJournal!$A$1:$NTR$890,COLUMN(HeadJournal!D$1),0),"")</f>
        <v>Доставлен</v>
      </c>
      <c r="E3980" s="95">
        <f>IFERROR(VLOOKUP($A3980,HeadJournal!$A$1:$NTR$890,COLUMN(HeadJournal!G$1),0),"")</f>
        <v>45577</v>
      </c>
      <c r="F3980" s="95" t="str">
        <f t="shared" si="314"/>
        <v>2024 10</v>
      </c>
      <c r="G3980" s="97" t="s">
        <v>7</v>
      </c>
      <c r="H3980" s="161" t="s">
        <v>2434</v>
      </c>
      <c r="I3980" s="97" t="s">
        <v>2435</v>
      </c>
      <c r="J3980" s="97" t="s">
        <v>2436</v>
      </c>
      <c r="K3980" s="29">
        <v>11.2</v>
      </c>
      <c r="L3980" s="29">
        <v>-6.2</v>
      </c>
      <c r="M3980" s="30">
        <f>IFERROR(VLOOKUP($A3980,HeadJournal!$A$1:$J$890,COLUMN(HeadJournal!I$1),0)*($K3980+$L3980)/(SUMIF($A:$A,$A3980,$K:$K)+SUMIF($A:$A,$A3980,$L:$L)),0)</f>
        <v>-0.2805131207750039</v>
      </c>
      <c r="N3980" s="30">
        <f>IFERROR((VLOOKUP($A3980,HeadJournal!$A$1:$K$890,COLUMN(HeadJournal!K$1),0)-VLOOKUP($A3980,HeadJournal!$A$1:$K$890,COLUMN(HeadJournal!J$1),0))*($K3980+$L3980)/(SUMIF($A:$A,$A3980,$K:$K)+SUMIF($A:$A,$A3980,$L:$L)),0)</f>
        <v>0</v>
      </c>
      <c r="O3980" s="30">
        <f>IFERROR((VLOOKUP($A3980,HeadJournal!$A$1:$L$890,COLUMN(HeadJournal!L$1),0)*($K3980+$L3980)/(SUMIF($A:$A,$A3980,$K:$K)+SUMIF($A:$A,$A3980,$L:$L)))/VLOOKUP($A3980,HeadJournal!$A$1:$L$890,COLUMN(HeadJournal!H$1),0),0)</f>
        <v>0.19684519740563228</v>
      </c>
      <c r="P3980" s="30">
        <f>IFERROR(SUM(K3980:O3980)*VLOOKUP($A3980,HeadJournal!$A$1:$L$890,COLUMN(HeadJournal!H$1),0),0)</f>
        <v>527.97297776831476</v>
      </c>
      <c r="Q3980" s="29"/>
      <c r="R3980" s="31"/>
      <c r="S3980" s="31"/>
      <c r="T3980" s="95" t="str">
        <f t="shared" si="315"/>
        <v/>
      </c>
      <c r="U3980" s="32">
        <f t="shared" si="312"/>
        <v>-527.97297776831476</v>
      </c>
      <c r="V3980" s="22" t="str">
        <f t="shared" si="313"/>
        <v/>
      </c>
      <c r="X3980" s="33"/>
      <c r="Y3980" s="33"/>
    </row>
    <row r="3981" spans="1:25" x14ac:dyDescent="0.2">
      <c r="A3981" s="93" t="s">
        <v>2437</v>
      </c>
      <c r="B3981" s="94" t="str">
        <f>IFERROR(VLOOKUP($A3981,HeadJournal!$A$1:$NTR$890,COLUMN(HeadJournal!B$1),0),"")</f>
        <v>720000437026</v>
      </c>
      <c r="C3981" s="94" t="str">
        <f>IFERROR(VLOOKUP($A3981,HeadJournal!$A$1:$NTR$890,COLUMN(HeadJournal!C$1),0),"")</f>
        <v>iHerb_AV CYG0792</v>
      </c>
      <c r="D3981" s="125" t="str">
        <f>IFERROR(VLOOKUP($A3981,HeadJournal!$A$1:$NTR$890,COLUMN(HeadJournal!D$1),0),"")</f>
        <v>Доставлен</v>
      </c>
      <c r="E3981" s="95">
        <f>IFERROR(VLOOKUP($A3981,HeadJournal!$A$1:$NTR$890,COLUMN(HeadJournal!G$1),0),"")</f>
        <v>45577</v>
      </c>
      <c r="F3981" s="95" t="str">
        <f t="shared" si="314"/>
        <v>2024 10</v>
      </c>
      <c r="G3981" s="97" t="s">
        <v>5</v>
      </c>
      <c r="H3981" s="161" t="s">
        <v>2118</v>
      </c>
      <c r="I3981" s="97" t="s">
        <v>2005</v>
      </c>
      <c r="J3981" s="97" t="s">
        <v>2119</v>
      </c>
      <c r="K3981" s="29">
        <v>14.38</v>
      </c>
      <c r="L3981" s="29">
        <v>-2.88</v>
      </c>
      <c r="M3981" s="30">
        <f>IFERROR(VLOOKUP($A3981,HeadJournal!$A$1:$J$890,COLUMN(HeadJournal!I$1),0)*($K3981+$L3981)/(SUMIF($A:$A,$A3981,$K:$K)+SUMIF($A:$A,$A3981,$L:$L)),0)</f>
        <v>-0.64518017778250913</v>
      </c>
      <c r="N3981" s="30">
        <f>IFERROR((VLOOKUP($A3981,HeadJournal!$A$1:$K$890,COLUMN(HeadJournal!K$1),0)-VLOOKUP($A3981,HeadJournal!$A$1:$K$890,COLUMN(HeadJournal!J$1),0))*($K3981+$L3981)/(SUMIF($A:$A,$A3981,$K:$K)+SUMIF($A:$A,$A3981,$L:$L)),0)</f>
        <v>0</v>
      </c>
      <c r="O3981" s="30">
        <f>IFERROR((VLOOKUP($A3981,HeadJournal!$A$1:$L$890,COLUMN(HeadJournal!L$1),0)*($K3981+$L3981)/(SUMIF($A:$A,$A3981,$K:$K)+SUMIF($A:$A,$A3981,$L:$L)))/VLOOKUP($A3981,HeadJournal!$A$1:$L$890,COLUMN(HeadJournal!H$1),0),0)</f>
        <v>0.45274395403295431</v>
      </c>
      <c r="P3981" s="30">
        <f>IFERROR(SUM(K3981:O3981)*VLOOKUP($A3981,HeadJournal!$A$1:$L$890,COLUMN(HeadJournal!H$1),0),0)</f>
        <v>1214.3378488671242</v>
      </c>
      <c r="Q3981" s="29">
        <v>2000</v>
      </c>
      <c r="R3981" s="31">
        <v>45808</v>
      </c>
      <c r="S3981" s="31" t="s">
        <v>3121</v>
      </c>
      <c r="T3981" s="95" t="str">
        <f t="shared" si="315"/>
        <v>2025 05</v>
      </c>
      <c r="U3981" s="32">
        <f t="shared" si="312"/>
        <v>785.66215113287581</v>
      </c>
      <c r="V3981" s="22">
        <f t="shared" si="313"/>
        <v>0.64698811114701971</v>
      </c>
      <c r="X3981" s="33"/>
      <c r="Y3981" s="33"/>
    </row>
    <row r="3982" spans="1:25" x14ac:dyDescent="0.2">
      <c r="A3982" s="93" t="s">
        <v>2444</v>
      </c>
      <c r="B3982" s="94" t="str">
        <f>IFERROR(VLOOKUP($A3982,HeadJournal!$A$1:$NTR$890,COLUMN(HeadJournal!B$1),0),"")</f>
        <v>722500291418</v>
      </c>
      <c r="C3982" s="94" t="str">
        <f>IFERROR(VLOOKUP($A3982,HeadJournal!$A$1:$NTR$890,COLUMN(HeadJournal!C$1),0),"")</f>
        <v>iHerb_AV CYG0792</v>
      </c>
      <c r="D3982" s="125" t="str">
        <f>IFERROR(VLOOKUP($A3982,HeadJournal!$A$1:$NTR$890,COLUMN(HeadJournal!D$1),0),"")</f>
        <v>Доставлен</v>
      </c>
      <c r="E3982" s="95">
        <f>IFERROR(VLOOKUP($A3982,HeadJournal!$A$1:$NTR$890,COLUMN(HeadJournal!G$1),0),"")</f>
        <v>45584</v>
      </c>
      <c r="F3982" s="95" t="str">
        <f t="shared" si="314"/>
        <v>2024 10</v>
      </c>
      <c r="G3982" s="97" t="s">
        <v>5</v>
      </c>
      <c r="H3982" s="161" t="s">
        <v>2439</v>
      </c>
      <c r="I3982" s="97" t="s">
        <v>2042</v>
      </c>
      <c r="J3982" s="97" t="s">
        <v>2440</v>
      </c>
      <c r="K3982" s="29">
        <v>39.69</v>
      </c>
      <c r="L3982" s="29">
        <v>-3.97</v>
      </c>
      <c r="M3982" s="30">
        <f>IFERROR(VLOOKUP($A3982,HeadJournal!$A$1:$J$890,COLUMN(HeadJournal!I$1),0)*($K3982+$L3982)/(SUMIF($A:$A,$A3982,$K:$K)+SUMIF($A:$A,$A3982,$L:$L)),0)</f>
        <v>-1.483451581975072</v>
      </c>
      <c r="N3982" s="30">
        <f>IFERROR((VLOOKUP($A3982,HeadJournal!$A$1:$K$890,COLUMN(HeadJournal!K$1),0)-VLOOKUP($A3982,HeadJournal!$A$1:$K$890,COLUMN(HeadJournal!J$1),0))*($K3982+$L3982)/(SUMIF($A:$A,$A3982,$K:$K)+SUMIF($A:$A,$A3982,$L:$L)),0)</f>
        <v>0</v>
      </c>
      <c r="O3982" s="30">
        <f>IFERROR((VLOOKUP($A3982,HeadJournal!$A$1:$L$890,COLUMN(HeadJournal!L$1),0)*($K3982+$L3982)/(SUMIF($A:$A,$A3982,$K:$K)+SUMIF($A:$A,$A3982,$L:$L)))/VLOOKUP($A3982,HeadJournal!$A$1:$L$890,COLUMN(HeadJournal!H$1),0),0)</f>
        <v>1.3320807834472452</v>
      </c>
      <c r="P3982" s="30">
        <f>IFERROR(SUM(K3982:O3982)*VLOOKUP($A3982,HeadJournal!$A$1:$L$890,COLUMN(HeadJournal!H$1),0),0)</f>
        <v>3822.8991882390537</v>
      </c>
      <c r="Q3982" s="29">
        <v>4700</v>
      </c>
      <c r="R3982" s="31">
        <v>45605</v>
      </c>
      <c r="S3982" s="31" t="s">
        <v>3121</v>
      </c>
      <c r="T3982" s="95" t="str">
        <f t="shared" si="315"/>
        <v>2024 11</v>
      </c>
      <c r="U3982" s="32">
        <f t="shared" si="312"/>
        <v>877.10081176094627</v>
      </c>
      <c r="V3982" s="22">
        <f t="shared" si="313"/>
        <v>0.22943341390201979</v>
      </c>
      <c r="X3982" s="33"/>
      <c r="Y3982" s="33"/>
    </row>
    <row r="3983" spans="1:25" x14ac:dyDescent="0.2">
      <c r="A3983" s="93" t="s">
        <v>2444</v>
      </c>
      <c r="B3983" s="94" t="str">
        <f>IFERROR(VLOOKUP($A3983,HeadJournal!$A$1:$NTR$890,COLUMN(HeadJournal!B$1),0),"")</f>
        <v>722500291418</v>
      </c>
      <c r="C3983" s="94" t="str">
        <f>IFERROR(VLOOKUP($A3983,HeadJournal!$A$1:$NTR$890,COLUMN(HeadJournal!C$1),0),"")</f>
        <v>iHerb_AV CYG0792</v>
      </c>
      <c r="D3983" s="125" t="str">
        <f>IFERROR(VLOOKUP($A3983,HeadJournal!$A$1:$NTR$890,COLUMN(HeadJournal!D$1),0),"")</f>
        <v>Доставлен</v>
      </c>
      <c r="E3983" s="95">
        <f>IFERROR(VLOOKUP($A3983,HeadJournal!$A$1:$NTR$890,COLUMN(HeadJournal!G$1),0),"")</f>
        <v>45584</v>
      </c>
      <c r="F3983" s="95" t="str">
        <f t="shared" si="314"/>
        <v>2024 10</v>
      </c>
      <c r="G3983" s="97" t="s">
        <v>5</v>
      </c>
      <c r="H3983" s="161" t="s">
        <v>2439</v>
      </c>
      <c r="I3983" s="97" t="s">
        <v>2042</v>
      </c>
      <c r="J3983" s="97" t="s">
        <v>2440</v>
      </c>
      <c r="K3983" s="29">
        <v>39.69</v>
      </c>
      <c r="L3983" s="29">
        <v>-3.97</v>
      </c>
      <c r="M3983" s="30">
        <f>IFERROR(VLOOKUP($A3983,HeadJournal!$A$1:$J$890,COLUMN(HeadJournal!I$1),0)*($K3983+$L3983)/(SUMIF($A:$A,$A3983,$K:$K)+SUMIF($A:$A,$A3983,$L:$L)),0)</f>
        <v>-1.483451581975072</v>
      </c>
      <c r="N3983" s="30">
        <f>IFERROR((VLOOKUP($A3983,HeadJournal!$A$1:$K$890,COLUMN(HeadJournal!K$1),0)-VLOOKUP($A3983,HeadJournal!$A$1:$K$890,COLUMN(HeadJournal!J$1),0))*($K3983+$L3983)/(SUMIF($A:$A,$A3983,$K:$K)+SUMIF($A:$A,$A3983,$L:$L)),0)</f>
        <v>0</v>
      </c>
      <c r="O3983" s="30">
        <f>IFERROR((VLOOKUP($A3983,HeadJournal!$A$1:$L$890,COLUMN(HeadJournal!L$1),0)*($K3983+$L3983)/(SUMIF($A:$A,$A3983,$K:$K)+SUMIF($A:$A,$A3983,$L:$L)))/VLOOKUP($A3983,HeadJournal!$A$1:$L$890,COLUMN(HeadJournal!H$1),0),0)</f>
        <v>1.3320807834472452</v>
      </c>
      <c r="P3983" s="30">
        <f>IFERROR(SUM(K3983:O3983)*VLOOKUP($A3983,HeadJournal!$A$1:$L$890,COLUMN(HeadJournal!H$1),0),0)</f>
        <v>3822.8991882390537</v>
      </c>
      <c r="Q3983" s="29">
        <v>4700</v>
      </c>
      <c r="R3983" s="31">
        <v>45605</v>
      </c>
      <c r="S3983" s="31" t="s">
        <v>3121</v>
      </c>
      <c r="T3983" s="95" t="str">
        <f t="shared" si="315"/>
        <v>2024 11</v>
      </c>
      <c r="U3983" s="32">
        <f t="shared" si="312"/>
        <v>877.10081176094627</v>
      </c>
      <c r="V3983" s="22">
        <f t="shared" si="313"/>
        <v>0.22943341390201979</v>
      </c>
      <c r="X3983" s="33"/>
      <c r="Y3983" s="33"/>
    </row>
    <row r="3984" spans="1:25" x14ac:dyDescent="0.2">
      <c r="A3984" s="93" t="s">
        <v>2444</v>
      </c>
      <c r="B3984" s="94" t="str">
        <f>IFERROR(VLOOKUP($A3984,HeadJournal!$A$1:$NTR$890,COLUMN(HeadJournal!B$1),0),"")</f>
        <v>722500291418</v>
      </c>
      <c r="C3984" s="94" t="str">
        <f>IFERROR(VLOOKUP($A3984,HeadJournal!$A$1:$NTR$890,COLUMN(HeadJournal!C$1),0),"")</f>
        <v>iHerb_AV CYG0792</v>
      </c>
      <c r="D3984" s="125" t="str">
        <f>IFERROR(VLOOKUP($A3984,HeadJournal!$A$1:$NTR$890,COLUMN(HeadJournal!D$1),0),"")</f>
        <v>Доставлен</v>
      </c>
      <c r="E3984" s="95">
        <f>IFERROR(VLOOKUP($A3984,HeadJournal!$A$1:$NTR$890,COLUMN(HeadJournal!G$1),0),"")</f>
        <v>45584</v>
      </c>
      <c r="F3984" s="95" t="str">
        <f t="shared" si="314"/>
        <v>2024 10</v>
      </c>
      <c r="G3984" s="97" t="s">
        <v>5</v>
      </c>
      <c r="H3984" s="161" t="s">
        <v>2439</v>
      </c>
      <c r="I3984" s="97" t="s">
        <v>2042</v>
      </c>
      <c r="J3984" s="97" t="s">
        <v>2440</v>
      </c>
      <c r="K3984" s="29">
        <v>39.69</v>
      </c>
      <c r="L3984" s="29">
        <v>-3.97</v>
      </c>
      <c r="M3984" s="30">
        <f>IFERROR(VLOOKUP($A3984,HeadJournal!$A$1:$J$890,COLUMN(HeadJournal!I$1),0)*($K3984+$L3984)/(SUMIF($A:$A,$A3984,$K:$K)+SUMIF($A:$A,$A3984,$L:$L)),0)</f>
        <v>-1.483451581975072</v>
      </c>
      <c r="N3984" s="30">
        <f>IFERROR((VLOOKUP($A3984,HeadJournal!$A$1:$K$890,COLUMN(HeadJournal!K$1),0)-VLOOKUP($A3984,HeadJournal!$A$1:$K$890,COLUMN(HeadJournal!J$1),0))*($K3984+$L3984)/(SUMIF($A:$A,$A3984,$K:$K)+SUMIF($A:$A,$A3984,$L:$L)),0)</f>
        <v>0</v>
      </c>
      <c r="O3984" s="30">
        <f>IFERROR((VLOOKUP($A3984,HeadJournal!$A$1:$L$890,COLUMN(HeadJournal!L$1),0)*($K3984+$L3984)/(SUMIF($A:$A,$A3984,$K:$K)+SUMIF($A:$A,$A3984,$L:$L)))/VLOOKUP($A3984,HeadJournal!$A$1:$L$890,COLUMN(HeadJournal!H$1),0),0)</f>
        <v>1.3320807834472452</v>
      </c>
      <c r="P3984" s="30">
        <f>IFERROR(SUM(K3984:O3984)*VLOOKUP($A3984,HeadJournal!$A$1:$L$890,COLUMN(HeadJournal!H$1),0),0)</f>
        <v>3822.8991882390537</v>
      </c>
      <c r="Q3984" s="29">
        <v>4700</v>
      </c>
      <c r="R3984" s="31">
        <v>45605</v>
      </c>
      <c r="S3984" s="31" t="s">
        <v>3121</v>
      </c>
      <c r="T3984" s="95" t="str">
        <f t="shared" si="315"/>
        <v>2024 11</v>
      </c>
      <c r="U3984" s="32">
        <f t="shared" si="312"/>
        <v>877.10081176094627</v>
      </c>
      <c r="V3984" s="22">
        <f t="shared" si="313"/>
        <v>0.22943341390201979</v>
      </c>
      <c r="X3984" s="33"/>
      <c r="Y3984" s="33"/>
    </row>
    <row r="3985" spans="1:25" x14ac:dyDescent="0.2">
      <c r="A3985" s="93" t="s">
        <v>2444</v>
      </c>
      <c r="B3985" s="94" t="str">
        <f>IFERROR(VLOOKUP($A3985,HeadJournal!$A$1:$NTR$890,COLUMN(HeadJournal!B$1),0),"")</f>
        <v>722500291418</v>
      </c>
      <c r="C3985" s="94" t="str">
        <f>IFERROR(VLOOKUP($A3985,HeadJournal!$A$1:$NTR$890,COLUMN(HeadJournal!C$1),0),"")</f>
        <v>iHerb_AV CYG0792</v>
      </c>
      <c r="D3985" s="125" t="str">
        <f>IFERROR(VLOOKUP($A3985,HeadJournal!$A$1:$NTR$890,COLUMN(HeadJournal!D$1),0),"")</f>
        <v>Доставлен</v>
      </c>
      <c r="E3985" s="95">
        <f>IFERROR(VLOOKUP($A3985,HeadJournal!$A$1:$NTR$890,COLUMN(HeadJournal!G$1),0),"")</f>
        <v>45584</v>
      </c>
      <c r="F3985" s="95" t="str">
        <f t="shared" si="314"/>
        <v>2024 10</v>
      </c>
      <c r="G3985" s="97" t="s">
        <v>5</v>
      </c>
      <c r="H3985" s="161" t="s">
        <v>2439</v>
      </c>
      <c r="I3985" s="97" t="s">
        <v>2042</v>
      </c>
      <c r="J3985" s="97" t="s">
        <v>2440</v>
      </c>
      <c r="K3985" s="29">
        <v>39.69</v>
      </c>
      <c r="L3985" s="29">
        <v>-3.97</v>
      </c>
      <c r="M3985" s="30">
        <f>IFERROR(VLOOKUP($A3985,HeadJournal!$A$1:$J$890,COLUMN(HeadJournal!I$1),0)*($K3985+$L3985)/(SUMIF($A:$A,$A3985,$K:$K)+SUMIF($A:$A,$A3985,$L:$L)),0)</f>
        <v>-1.483451581975072</v>
      </c>
      <c r="N3985" s="30">
        <f>IFERROR((VLOOKUP($A3985,HeadJournal!$A$1:$K$890,COLUMN(HeadJournal!K$1),0)-VLOOKUP($A3985,HeadJournal!$A$1:$K$890,COLUMN(HeadJournal!J$1),0))*($K3985+$L3985)/(SUMIF($A:$A,$A3985,$K:$K)+SUMIF($A:$A,$A3985,$L:$L)),0)</f>
        <v>0</v>
      </c>
      <c r="O3985" s="30">
        <f>IFERROR((VLOOKUP($A3985,HeadJournal!$A$1:$L$890,COLUMN(HeadJournal!L$1),0)*($K3985+$L3985)/(SUMIF($A:$A,$A3985,$K:$K)+SUMIF($A:$A,$A3985,$L:$L)))/VLOOKUP($A3985,HeadJournal!$A$1:$L$890,COLUMN(HeadJournal!H$1),0),0)</f>
        <v>1.3320807834472452</v>
      </c>
      <c r="P3985" s="30">
        <f>IFERROR(SUM(K3985:O3985)*VLOOKUP($A3985,HeadJournal!$A$1:$L$890,COLUMN(HeadJournal!H$1),0),0)</f>
        <v>3822.8991882390537</v>
      </c>
      <c r="Q3985" s="29">
        <v>4700</v>
      </c>
      <c r="R3985" s="31">
        <v>45605</v>
      </c>
      <c r="S3985" s="31" t="s">
        <v>3121</v>
      </c>
      <c r="T3985" s="95" t="str">
        <f t="shared" si="315"/>
        <v>2024 11</v>
      </c>
      <c r="U3985" s="32">
        <f t="shared" si="312"/>
        <v>877.10081176094627</v>
      </c>
      <c r="V3985" s="22">
        <f t="shared" si="313"/>
        <v>0.22943341390201979</v>
      </c>
      <c r="X3985" s="33"/>
      <c r="Y3985" s="33"/>
    </row>
    <row r="3986" spans="1:25" x14ac:dyDescent="0.2">
      <c r="A3986" s="93" t="s">
        <v>2444</v>
      </c>
      <c r="B3986" s="94" t="str">
        <f>IFERROR(VLOOKUP($A3986,HeadJournal!$A$1:$NTR$890,COLUMN(HeadJournal!B$1),0),"")</f>
        <v>722500291418</v>
      </c>
      <c r="C3986" s="94" t="str">
        <f>IFERROR(VLOOKUP($A3986,HeadJournal!$A$1:$NTR$890,COLUMN(HeadJournal!C$1),0),"")</f>
        <v>iHerb_AV CYG0792</v>
      </c>
      <c r="D3986" s="125" t="str">
        <f>IFERROR(VLOOKUP($A3986,HeadJournal!$A$1:$NTR$890,COLUMN(HeadJournal!D$1),0),"")</f>
        <v>Доставлен</v>
      </c>
      <c r="E3986" s="95">
        <f>IFERROR(VLOOKUP($A3986,HeadJournal!$A$1:$NTR$890,COLUMN(HeadJournal!G$1),0),"")</f>
        <v>45584</v>
      </c>
      <c r="F3986" s="95" t="str">
        <f t="shared" si="314"/>
        <v>2024 10</v>
      </c>
      <c r="G3986" s="97" t="s">
        <v>5</v>
      </c>
      <c r="H3986" s="161" t="s">
        <v>2051</v>
      </c>
      <c r="I3986" s="97" t="s">
        <v>2052</v>
      </c>
      <c r="J3986" s="97" t="s">
        <v>3097</v>
      </c>
      <c r="K3986" s="29">
        <v>21.04</v>
      </c>
      <c r="L3986" s="29">
        <v>-6.31</v>
      </c>
      <c r="M3986" s="30">
        <f>IFERROR(VLOOKUP($A3986,HeadJournal!$A$1:$J$890,COLUMN(HeadJournal!I$1),0)*($K3986+$L3986)/(SUMIF($A:$A,$A3986,$K:$K)+SUMIF($A:$A,$A3986,$L:$L)),0)</f>
        <v>-0.61173689256698804</v>
      </c>
      <c r="N3986" s="30">
        <f>IFERROR((VLOOKUP($A3986,HeadJournal!$A$1:$K$890,COLUMN(HeadJournal!K$1),0)-VLOOKUP($A3986,HeadJournal!$A$1:$K$890,COLUMN(HeadJournal!J$1),0))*($K3986+$L3986)/(SUMIF($A:$A,$A3986,$K:$K)+SUMIF($A:$A,$A3986,$L:$L)),0)</f>
        <v>0</v>
      </c>
      <c r="O3986" s="30">
        <f>IFERROR((VLOOKUP($A3986,HeadJournal!$A$1:$L$890,COLUMN(HeadJournal!L$1),0)*($K3986+$L3986)/(SUMIF($A:$A,$A3986,$K:$K)+SUMIF($A:$A,$A3986,$L:$L)))/VLOOKUP($A3986,HeadJournal!$A$1:$L$890,COLUMN(HeadJournal!H$1),0),0)</f>
        <v>0.54931550784372696</v>
      </c>
      <c r="P3986" s="30">
        <f>IFERROR(SUM(K3986:O3986)*VLOOKUP($A3986,HeadJournal!$A$1:$L$890,COLUMN(HeadJournal!H$1),0),0)</f>
        <v>1576.4643069082101</v>
      </c>
      <c r="Q3986" s="29">
        <v>2300</v>
      </c>
      <c r="R3986" s="31">
        <v>45619</v>
      </c>
      <c r="S3986" s="31" t="s">
        <v>3121</v>
      </c>
      <c r="T3986" s="95" t="str">
        <f t="shared" si="315"/>
        <v>2024 11</v>
      </c>
      <c r="U3986" s="32">
        <f t="shared" si="312"/>
        <v>723.53569309178988</v>
      </c>
      <c r="V3986" s="22">
        <f t="shared" si="313"/>
        <v>0.458961036999817</v>
      </c>
      <c r="X3986" s="33"/>
      <c r="Y3986" s="33"/>
    </row>
    <row r="3987" spans="1:25" x14ac:dyDescent="0.2">
      <c r="A3987" s="93" t="s">
        <v>2444</v>
      </c>
      <c r="B3987" s="94" t="str">
        <f>IFERROR(VLOOKUP($A3987,HeadJournal!$A$1:$NTR$890,COLUMN(HeadJournal!B$1),0),"")</f>
        <v>722500291418</v>
      </c>
      <c r="C3987" s="94" t="str">
        <f>IFERROR(VLOOKUP($A3987,HeadJournal!$A$1:$NTR$890,COLUMN(HeadJournal!C$1),0),"")</f>
        <v>iHerb_AV CYG0792</v>
      </c>
      <c r="D3987" s="125" t="str">
        <f>IFERROR(VLOOKUP($A3987,HeadJournal!$A$1:$NTR$890,COLUMN(HeadJournal!D$1),0),"")</f>
        <v>Доставлен</v>
      </c>
      <c r="E3987" s="95">
        <f>IFERROR(VLOOKUP($A3987,HeadJournal!$A$1:$NTR$890,COLUMN(HeadJournal!G$1),0),"")</f>
        <v>45584</v>
      </c>
      <c r="F3987" s="95" t="str">
        <f t="shared" si="314"/>
        <v>2024 10</v>
      </c>
      <c r="G3987" s="97" t="s">
        <v>5</v>
      </c>
      <c r="H3987" s="161" t="s">
        <v>2441</v>
      </c>
      <c r="I3987" s="97" t="s">
        <v>2442</v>
      </c>
      <c r="J3987" s="97" t="s">
        <v>2443</v>
      </c>
      <c r="K3987" s="29">
        <v>29.09</v>
      </c>
      <c r="L3987" s="29">
        <v>-5.82</v>
      </c>
      <c r="M3987" s="30">
        <f>IFERROR(VLOOKUP($A3987,HeadJournal!$A$1:$J$890,COLUMN(HeadJournal!I$1),0)*($K3987+$L3987)/(SUMIF($A:$A,$A3987,$K:$K)+SUMIF($A:$A,$A3987,$L:$L)),0)</f>
        <v>-0.96640308825755672</v>
      </c>
      <c r="N3987" s="30">
        <f>IFERROR((VLOOKUP($A3987,HeadJournal!$A$1:$K$890,COLUMN(HeadJournal!K$1),0)-VLOOKUP($A3987,HeadJournal!$A$1:$K$890,COLUMN(HeadJournal!J$1),0))*($K3987+$L3987)/(SUMIF($A:$A,$A3987,$K:$K)+SUMIF($A:$A,$A3987,$L:$L)),0)</f>
        <v>0</v>
      </c>
      <c r="O3987" s="30">
        <f>IFERROR((VLOOKUP($A3987,HeadJournal!$A$1:$L$890,COLUMN(HeadJournal!L$1),0)*($K3987+$L3987)/(SUMIF($A:$A,$A3987,$K:$K)+SUMIF($A:$A,$A3987,$L:$L)))/VLOOKUP($A3987,HeadJournal!$A$1:$L$890,COLUMN(HeadJournal!H$1),0),0)</f>
        <v>0.86779170858951293</v>
      </c>
      <c r="P3987" s="30">
        <f>IFERROR(SUM(K3987:O3987)*VLOOKUP($A3987,HeadJournal!$A$1:$L$890,COLUMN(HeadJournal!H$1),0),0)</f>
        <v>2490.4497231333366</v>
      </c>
      <c r="Q3987" s="29">
        <v>3900</v>
      </c>
      <c r="R3987" s="31">
        <v>45685</v>
      </c>
      <c r="S3987" s="31" t="s">
        <v>3121</v>
      </c>
      <c r="T3987" s="95" t="str">
        <f t="shared" si="315"/>
        <v>2025 01</v>
      </c>
      <c r="U3987" s="32">
        <f t="shared" si="312"/>
        <v>1409.5502768666634</v>
      </c>
      <c r="V3987" s="22">
        <f t="shared" si="313"/>
        <v>0.5659822255288296</v>
      </c>
      <c r="X3987" s="33"/>
      <c r="Y3987" s="33"/>
    </row>
    <row r="3988" spans="1:25" x14ac:dyDescent="0.2">
      <c r="A3988" s="93" t="s">
        <v>2444</v>
      </c>
      <c r="B3988" s="94" t="str">
        <f>IFERROR(VLOOKUP($A3988,HeadJournal!$A$1:$NTR$890,COLUMN(HeadJournal!B$1),0),"")</f>
        <v>722500291418</v>
      </c>
      <c r="C3988" s="94" t="str">
        <f>IFERROR(VLOOKUP($A3988,HeadJournal!$A$1:$NTR$890,COLUMN(HeadJournal!C$1),0),"")</f>
        <v>iHerb_AV CYG0792</v>
      </c>
      <c r="D3988" s="125" t="str">
        <f>IFERROR(VLOOKUP($A3988,HeadJournal!$A$1:$NTR$890,COLUMN(HeadJournal!D$1),0),"")</f>
        <v>Доставлен</v>
      </c>
      <c r="E3988" s="95">
        <f>IFERROR(VLOOKUP($A3988,HeadJournal!$A$1:$NTR$890,COLUMN(HeadJournal!G$1),0),"")</f>
        <v>45584</v>
      </c>
      <c r="F3988" s="95" t="str">
        <f t="shared" si="314"/>
        <v>2024 10</v>
      </c>
      <c r="G3988" s="97" t="s">
        <v>5</v>
      </c>
      <c r="H3988" s="161" t="s">
        <v>2162</v>
      </c>
      <c r="I3988" s="97" t="s">
        <v>2163</v>
      </c>
      <c r="J3988" s="97" t="s">
        <v>2164</v>
      </c>
      <c r="K3988" s="29">
        <v>19.21</v>
      </c>
      <c r="L3988" s="29">
        <v>-1.92</v>
      </c>
      <c r="M3988" s="30">
        <f>IFERROR(VLOOKUP($A3988,HeadJournal!$A$1:$J$890,COLUMN(HeadJournal!I$1),0)*($K3988+$L3988)/(SUMIF($A:$A,$A3988,$K:$K)+SUMIF($A:$A,$A3988,$L:$L)),0)</f>
        <v>-0.71805369127516772</v>
      </c>
      <c r="N3988" s="30">
        <f>IFERROR((VLOOKUP($A3988,HeadJournal!$A$1:$K$890,COLUMN(HeadJournal!K$1),0)-VLOOKUP($A3988,HeadJournal!$A$1:$K$890,COLUMN(HeadJournal!J$1),0))*($K3988+$L3988)/(SUMIF($A:$A,$A3988,$K:$K)+SUMIF($A:$A,$A3988,$L:$L)),0)</f>
        <v>0</v>
      </c>
      <c r="O3988" s="30">
        <f>IFERROR((VLOOKUP($A3988,HeadJournal!$A$1:$L$890,COLUMN(HeadJournal!L$1),0)*($K3988+$L3988)/(SUMIF($A:$A,$A3988,$K:$K)+SUMIF($A:$A,$A3988,$L:$L)))/VLOOKUP($A3988,HeadJournal!$A$1:$L$890,COLUMN(HeadJournal!H$1),0),0)</f>
        <v>0.64478378347712406</v>
      </c>
      <c r="P3988" s="30">
        <f>IFERROR(SUM(K3988:O3988)*VLOOKUP($A3988,HeadJournal!$A$1:$L$890,COLUMN(HeadJournal!H$1),0),0)</f>
        <v>1850.4458836689039</v>
      </c>
      <c r="Q3988" s="29">
        <v>2600</v>
      </c>
      <c r="R3988" s="31">
        <v>45605</v>
      </c>
      <c r="S3988" s="31" t="s">
        <v>3121</v>
      </c>
      <c r="T3988" s="95" t="str">
        <f t="shared" si="315"/>
        <v>2024 11</v>
      </c>
      <c r="U3988" s="32">
        <f t="shared" si="312"/>
        <v>749.55411633109611</v>
      </c>
      <c r="V3988" s="22">
        <f t="shared" si="313"/>
        <v>0.40506675874516529</v>
      </c>
      <c r="X3988" s="33"/>
      <c r="Y3988" s="33"/>
    </row>
    <row r="3989" spans="1:25" x14ac:dyDescent="0.2">
      <c r="A3989" s="93" t="s">
        <v>2458</v>
      </c>
      <c r="B3989" s="94" t="str">
        <f>IFERROR(VLOOKUP($A3989,HeadJournal!$A$1:$NTR$890,COLUMN(HeadJournal!B$1),0),"")</f>
        <v>720000434082</v>
      </c>
      <c r="C3989" s="94" t="str">
        <f>IFERROR(VLOOKUP($A3989,HeadJournal!$A$1:$NTR$890,COLUMN(HeadJournal!C$1),0),"")</f>
        <v>iHerb_OA CZN6870</v>
      </c>
      <c r="D3989" s="125" t="str">
        <f>IFERROR(VLOOKUP($A3989,HeadJournal!$A$1:$NTR$890,COLUMN(HeadJournal!D$1),0),"")</f>
        <v>Доставлен</v>
      </c>
      <c r="E3989" s="95">
        <f>IFERROR(VLOOKUP($A3989,HeadJournal!$A$1:$NTR$890,COLUMN(HeadJournal!G$1),0),"")</f>
        <v>45575</v>
      </c>
      <c r="F3989" s="95" t="str">
        <f t="shared" si="314"/>
        <v>2024 10</v>
      </c>
      <c r="G3989" s="97" t="s">
        <v>5</v>
      </c>
      <c r="H3989" s="161" t="s">
        <v>2446</v>
      </c>
      <c r="I3989" s="97" t="s">
        <v>2447</v>
      </c>
      <c r="J3989" s="97" t="s">
        <v>2448</v>
      </c>
      <c r="K3989" s="29">
        <v>16.25</v>
      </c>
      <c r="L3989" s="29">
        <v>-1.63</v>
      </c>
      <c r="M3989" s="30">
        <f>IFERROR(VLOOKUP($A3989,HeadJournal!$A$1:$J$890,COLUMN(HeadJournal!I$1),0)*($K3989+$L3989)/(SUMIF($A:$A,$A3989,$K:$K)+SUMIF($A:$A,$A3989,$L:$L)),0)</f>
        <v>-0.74439769018327906</v>
      </c>
      <c r="N3989" s="30">
        <f>IFERROR((VLOOKUP($A3989,HeadJournal!$A$1:$K$890,COLUMN(HeadJournal!K$1),0)-VLOOKUP($A3989,HeadJournal!$A$1:$K$890,COLUMN(HeadJournal!J$1),0))*($K3989+$L3989)/(SUMIF($A:$A,$A3989,$K:$K)+SUMIF($A:$A,$A3989,$L:$L)),0)</f>
        <v>0</v>
      </c>
      <c r="O3989" s="30">
        <f>IFERROR((VLOOKUP($A3989,HeadJournal!$A$1:$L$890,COLUMN(HeadJournal!L$1),0)*($K3989+$L3989)/(SUMIF($A:$A,$A3989,$K:$K)+SUMIF($A:$A,$A3989,$L:$L)))/VLOOKUP($A3989,HeadJournal!$A$1:$L$890,COLUMN(HeadJournal!H$1),0),0)</f>
        <v>0.54835288634657064</v>
      </c>
      <c r="P3989" s="30">
        <f>IFERROR(SUM(K3989:O3989)*VLOOKUP($A3989,HeadJournal!$A$1:$L$890,COLUMN(HeadJournal!H$1),0),0)</f>
        <v>1533.8187158758058</v>
      </c>
      <c r="Q3989" s="29">
        <v>2400</v>
      </c>
      <c r="R3989" s="31">
        <v>45605</v>
      </c>
      <c r="S3989" s="31" t="s">
        <v>3121</v>
      </c>
      <c r="T3989" s="95" t="str">
        <f t="shared" si="315"/>
        <v>2024 11</v>
      </c>
      <c r="U3989" s="32">
        <f t="shared" si="312"/>
        <v>866.18128412419424</v>
      </c>
      <c r="V3989" s="22">
        <f t="shared" si="313"/>
        <v>0.56472207253619755</v>
      </c>
      <c r="X3989" s="33"/>
      <c r="Y3989" s="33"/>
    </row>
    <row r="3990" spans="1:25" x14ac:dyDescent="0.2">
      <c r="A3990" s="93" t="s">
        <v>2458</v>
      </c>
      <c r="B3990" s="94" t="str">
        <f>IFERROR(VLOOKUP($A3990,HeadJournal!$A$1:$NTR$890,COLUMN(HeadJournal!B$1),0),"")</f>
        <v>720000434082</v>
      </c>
      <c r="C3990" s="94" t="str">
        <f>IFERROR(VLOOKUP($A3990,HeadJournal!$A$1:$NTR$890,COLUMN(HeadJournal!C$1),0),"")</f>
        <v>iHerb_OA CZN6870</v>
      </c>
      <c r="D3990" s="125" t="str">
        <f>IFERROR(VLOOKUP($A3990,HeadJournal!$A$1:$NTR$890,COLUMN(HeadJournal!D$1),0),"")</f>
        <v>Доставлен</v>
      </c>
      <c r="E3990" s="95">
        <f>IFERROR(VLOOKUP($A3990,HeadJournal!$A$1:$NTR$890,COLUMN(HeadJournal!G$1),0),"")</f>
        <v>45575</v>
      </c>
      <c r="F3990" s="95" t="str">
        <f t="shared" si="314"/>
        <v>2024 10</v>
      </c>
      <c r="G3990" s="97" t="s">
        <v>5</v>
      </c>
      <c r="H3990" s="161" t="s">
        <v>2449</v>
      </c>
      <c r="I3990" s="97" t="s">
        <v>2460</v>
      </c>
      <c r="J3990" s="97" t="s">
        <v>2461</v>
      </c>
      <c r="K3990" s="29">
        <v>27.16</v>
      </c>
      <c r="L3990" s="29">
        <v>-2.72</v>
      </c>
      <c r="M3990" s="30">
        <f>IFERROR(VLOOKUP($A3990,HeadJournal!$A$1:$J$890,COLUMN(HeadJournal!I$1),0)*($K3990+$L3990)/(SUMIF($A:$A,$A3990,$K:$K)+SUMIF($A:$A,$A3990,$L:$L)),0)</f>
        <v>-1.2443966859151396</v>
      </c>
      <c r="N3990" s="30">
        <f>IFERROR((VLOOKUP($A3990,HeadJournal!$A$1:$K$890,COLUMN(HeadJournal!K$1),0)-VLOOKUP($A3990,HeadJournal!$A$1:$K$890,COLUMN(HeadJournal!J$1),0))*($K3990+$L3990)/(SUMIF($A:$A,$A3990,$K:$K)+SUMIF($A:$A,$A3990,$L:$L)),0)</f>
        <v>0</v>
      </c>
      <c r="O3990" s="30">
        <f>IFERROR((VLOOKUP($A3990,HeadJournal!$A$1:$L$890,COLUMN(HeadJournal!L$1),0)*($K3990+$L3990)/(SUMIF($A:$A,$A3990,$K:$K)+SUMIF($A:$A,$A3990,$L:$L)))/VLOOKUP($A3990,HeadJournal!$A$1:$L$890,COLUMN(HeadJournal!H$1),0),0)</f>
        <v>0.91667199331807026</v>
      </c>
      <c r="P3990" s="30">
        <f>IFERROR(SUM(K3990:O3990)*VLOOKUP($A3990,HeadJournal!$A$1:$L$890,COLUMN(HeadJournal!H$1),0),0)</f>
        <v>2564.058099589924</v>
      </c>
      <c r="Q3990" s="29">
        <v>3100</v>
      </c>
      <c r="R3990" s="31">
        <v>45605</v>
      </c>
      <c r="S3990" s="31" t="s">
        <v>3121</v>
      </c>
      <c r="T3990" s="95" t="str">
        <f t="shared" si="315"/>
        <v>2024 11</v>
      </c>
      <c r="U3990" s="32">
        <f t="shared" si="312"/>
        <v>535.94190041007596</v>
      </c>
      <c r="V3990" s="22">
        <f t="shared" si="313"/>
        <v>0.20902096582592666</v>
      </c>
      <c r="X3990" s="33"/>
      <c r="Y3990" s="33"/>
    </row>
    <row r="3991" spans="1:25" x14ac:dyDescent="0.2">
      <c r="A3991" s="93" t="s">
        <v>2458</v>
      </c>
      <c r="B3991" s="94" t="str">
        <f>IFERROR(VLOOKUP($A3991,HeadJournal!$A$1:$NTR$890,COLUMN(HeadJournal!B$1),0),"")</f>
        <v>720000434082</v>
      </c>
      <c r="C3991" s="94" t="str">
        <f>IFERROR(VLOOKUP($A3991,HeadJournal!$A$1:$NTR$890,COLUMN(HeadJournal!C$1),0),"")</f>
        <v>iHerb_OA CZN6870</v>
      </c>
      <c r="D3991" s="125" t="str">
        <f>IFERROR(VLOOKUP($A3991,HeadJournal!$A$1:$NTR$890,COLUMN(HeadJournal!D$1),0),"")</f>
        <v>Доставлен</v>
      </c>
      <c r="E3991" s="95">
        <f>IFERROR(VLOOKUP($A3991,HeadJournal!$A$1:$NTR$890,COLUMN(HeadJournal!G$1),0),"")</f>
        <v>45575</v>
      </c>
      <c r="F3991" s="95" t="str">
        <f t="shared" si="314"/>
        <v>2024 10</v>
      </c>
      <c r="G3991" s="97" t="s">
        <v>5</v>
      </c>
      <c r="H3991" s="161" t="s">
        <v>2051</v>
      </c>
      <c r="I3991" s="97" t="s">
        <v>2052</v>
      </c>
      <c r="J3991" s="97" t="s">
        <v>3097</v>
      </c>
      <c r="K3991" s="29">
        <v>21.04</v>
      </c>
      <c r="L3991" s="29">
        <v>-6.3125</v>
      </c>
      <c r="M3991" s="30">
        <f>IFERROR(VLOOKUP($A3991,HeadJournal!$A$1:$J$890,COLUMN(HeadJournal!I$1),0)*($K3991+$L3991)/(SUMIF($A:$A,$A3991,$K:$K)+SUMIF($A:$A,$A3991,$L:$L)),0)</f>
        <v>-0.74987120261109719</v>
      </c>
      <c r="N3991" s="30">
        <f>IFERROR((VLOOKUP($A3991,HeadJournal!$A$1:$K$890,COLUMN(HeadJournal!K$1),0)-VLOOKUP($A3991,HeadJournal!$A$1:$K$890,COLUMN(HeadJournal!J$1),0))*($K3991+$L3991)/(SUMIF($A:$A,$A3991,$K:$K)+SUMIF($A:$A,$A3991,$L:$L)),0)</f>
        <v>0</v>
      </c>
      <c r="O3991" s="30">
        <f>IFERROR((VLOOKUP($A3991,HeadJournal!$A$1:$L$890,COLUMN(HeadJournal!L$1),0)*($K3991+$L3991)/(SUMIF($A:$A,$A3991,$K:$K)+SUMIF($A:$A,$A3991,$L:$L)))/VLOOKUP($A3991,HeadJournal!$A$1:$L$890,COLUMN(HeadJournal!H$1),0),0)</f>
        <v>0.55238489286382475</v>
      </c>
      <c r="P3991" s="30">
        <f>IFERROR(SUM(K3991:O3991)*VLOOKUP($A3991,HeadJournal!$A$1:$L$890,COLUMN(HeadJournal!H$1),0),0)</f>
        <v>1545.0967946690103</v>
      </c>
      <c r="Q3991" s="29">
        <v>2300</v>
      </c>
      <c r="R3991" s="31">
        <v>45619</v>
      </c>
      <c r="S3991" s="31" t="s">
        <v>3121</v>
      </c>
      <c r="T3991" s="95" t="str">
        <f t="shared" si="315"/>
        <v>2024 11</v>
      </c>
      <c r="U3991" s="32">
        <f t="shared" si="312"/>
        <v>754.90320533098975</v>
      </c>
      <c r="V3991" s="22">
        <f t="shared" si="313"/>
        <v>0.48857987922543367</v>
      </c>
      <c r="X3991" s="33"/>
      <c r="Y3991" s="33"/>
    </row>
    <row r="3992" spans="1:25" x14ac:dyDescent="0.2">
      <c r="A3992" s="93" t="s">
        <v>2458</v>
      </c>
      <c r="B3992" s="94" t="str">
        <f>IFERROR(VLOOKUP($A3992,HeadJournal!$A$1:$NTR$890,COLUMN(HeadJournal!B$1),0),"")</f>
        <v>720000434082</v>
      </c>
      <c r="C3992" s="94" t="str">
        <f>IFERROR(VLOOKUP($A3992,HeadJournal!$A$1:$NTR$890,COLUMN(HeadJournal!C$1),0),"")</f>
        <v>iHerb_OA CZN6870</v>
      </c>
      <c r="D3992" s="125" t="str">
        <f>IFERROR(VLOOKUP($A3992,HeadJournal!$A$1:$NTR$890,COLUMN(HeadJournal!D$1),0),"")</f>
        <v>Доставлен</v>
      </c>
      <c r="E3992" s="95">
        <f>IFERROR(VLOOKUP($A3992,HeadJournal!$A$1:$NTR$890,COLUMN(HeadJournal!G$1),0),"")</f>
        <v>45575</v>
      </c>
      <c r="F3992" s="95" t="str">
        <f t="shared" si="314"/>
        <v>2024 10</v>
      </c>
      <c r="G3992" s="97" t="s">
        <v>5</v>
      </c>
      <c r="H3992" s="161" t="s">
        <v>2051</v>
      </c>
      <c r="I3992" s="97" t="s">
        <v>2052</v>
      </c>
      <c r="J3992" s="97" t="s">
        <v>3097</v>
      </c>
      <c r="K3992" s="29">
        <v>21.04</v>
      </c>
      <c r="L3992" s="29">
        <v>-6.3125</v>
      </c>
      <c r="M3992" s="30">
        <f>IFERROR(VLOOKUP($A3992,HeadJournal!$A$1:$J$890,COLUMN(HeadJournal!I$1),0)*($K3992+$L3992)/(SUMIF($A:$A,$A3992,$K:$K)+SUMIF($A:$A,$A3992,$L:$L)),0)</f>
        <v>-0.74987120261109719</v>
      </c>
      <c r="N3992" s="30">
        <f>IFERROR((VLOOKUP($A3992,HeadJournal!$A$1:$K$890,COLUMN(HeadJournal!K$1),0)-VLOOKUP($A3992,HeadJournal!$A$1:$K$890,COLUMN(HeadJournal!J$1),0))*($K3992+$L3992)/(SUMIF($A:$A,$A3992,$K:$K)+SUMIF($A:$A,$A3992,$L:$L)),0)</f>
        <v>0</v>
      </c>
      <c r="O3992" s="30">
        <f>IFERROR((VLOOKUP($A3992,HeadJournal!$A$1:$L$890,COLUMN(HeadJournal!L$1),0)*($K3992+$L3992)/(SUMIF($A:$A,$A3992,$K:$K)+SUMIF($A:$A,$A3992,$L:$L)))/VLOOKUP($A3992,HeadJournal!$A$1:$L$890,COLUMN(HeadJournal!H$1),0),0)</f>
        <v>0.55238489286382475</v>
      </c>
      <c r="P3992" s="30">
        <f>IFERROR(SUM(K3992:O3992)*VLOOKUP($A3992,HeadJournal!$A$1:$L$890,COLUMN(HeadJournal!H$1),0),0)</f>
        <v>1545.0967946690103</v>
      </c>
      <c r="Q3992" s="29">
        <v>2300</v>
      </c>
      <c r="R3992" s="31">
        <v>45620</v>
      </c>
      <c r="S3992" s="31" t="s">
        <v>3121</v>
      </c>
      <c r="T3992" s="95" t="str">
        <f t="shared" si="315"/>
        <v>2024 11</v>
      </c>
      <c r="U3992" s="32">
        <f t="shared" si="312"/>
        <v>754.90320533098975</v>
      </c>
      <c r="V3992" s="22">
        <f t="shared" si="313"/>
        <v>0.48857987922543367</v>
      </c>
      <c r="X3992" s="33"/>
      <c r="Y3992" s="33"/>
    </row>
    <row r="3993" spans="1:25" x14ac:dyDescent="0.2">
      <c r="A3993" s="93" t="s">
        <v>2458</v>
      </c>
      <c r="B3993" s="94" t="str">
        <f>IFERROR(VLOOKUP($A3993,HeadJournal!$A$1:$NTR$890,COLUMN(HeadJournal!B$1),0),"")</f>
        <v>720000434082</v>
      </c>
      <c r="C3993" s="94" t="str">
        <f>IFERROR(VLOOKUP($A3993,HeadJournal!$A$1:$NTR$890,COLUMN(HeadJournal!C$1),0),"")</f>
        <v>iHerb_OA CZN6870</v>
      </c>
      <c r="D3993" s="125" t="str">
        <f>IFERROR(VLOOKUP($A3993,HeadJournal!$A$1:$NTR$890,COLUMN(HeadJournal!D$1),0),"")</f>
        <v>Доставлен</v>
      </c>
      <c r="E3993" s="95">
        <f>IFERROR(VLOOKUP($A3993,HeadJournal!$A$1:$NTR$890,COLUMN(HeadJournal!G$1),0),"")</f>
        <v>45575</v>
      </c>
      <c r="F3993" s="95" t="str">
        <f t="shared" si="314"/>
        <v>2024 10</v>
      </c>
      <c r="G3993" s="97" t="s">
        <v>5</v>
      </c>
      <c r="H3993" s="161" t="s">
        <v>2051</v>
      </c>
      <c r="I3993" s="97" t="s">
        <v>2052</v>
      </c>
      <c r="J3993" s="97" t="s">
        <v>3097</v>
      </c>
      <c r="K3993" s="29">
        <v>21.04</v>
      </c>
      <c r="L3993" s="29">
        <v>-6.3125</v>
      </c>
      <c r="M3993" s="30">
        <f>IFERROR(VLOOKUP($A3993,HeadJournal!$A$1:$J$890,COLUMN(HeadJournal!I$1),0)*($K3993+$L3993)/(SUMIF($A:$A,$A3993,$K:$K)+SUMIF($A:$A,$A3993,$L:$L)),0)</f>
        <v>-0.74987120261109719</v>
      </c>
      <c r="N3993" s="30">
        <f>IFERROR((VLOOKUP($A3993,HeadJournal!$A$1:$K$890,COLUMN(HeadJournal!K$1),0)-VLOOKUP($A3993,HeadJournal!$A$1:$K$890,COLUMN(HeadJournal!J$1),0))*($K3993+$L3993)/(SUMIF($A:$A,$A3993,$K:$K)+SUMIF($A:$A,$A3993,$L:$L)),0)</f>
        <v>0</v>
      </c>
      <c r="O3993" s="30">
        <f>IFERROR((VLOOKUP($A3993,HeadJournal!$A$1:$L$890,COLUMN(HeadJournal!L$1),0)*($K3993+$L3993)/(SUMIF($A:$A,$A3993,$K:$K)+SUMIF($A:$A,$A3993,$L:$L)))/VLOOKUP($A3993,HeadJournal!$A$1:$L$890,COLUMN(HeadJournal!H$1),0),0)</f>
        <v>0.55238489286382475</v>
      </c>
      <c r="P3993" s="30">
        <f>IFERROR(SUM(K3993:O3993)*VLOOKUP($A3993,HeadJournal!$A$1:$L$890,COLUMN(HeadJournal!H$1),0),0)</f>
        <v>1545.0967946690103</v>
      </c>
      <c r="Q3993" s="29">
        <v>2300</v>
      </c>
      <c r="R3993" s="31">
        <v>45626</v>
      </c>
      <c r="S3993" s="31" t="s">
        <v>3121</v>
      </c>
      <c r="T3993" s="95" t="str">
        <f t="shared" si="315"/>
        <v>2024 11</v>
      </c>
      <c r="U3993" s="32">
        <f t="shared" si="312"/>
        <v>754.90320533098975</v>
      </c>
      <c r="V3993" s="22">
        <f t="shared" si="313"/>
        <v>0.48857987922543367</v>
      </c>
      <c r="X3993" s="33"/>
      <c r="Y3993" s="33"/>
    </row>
    <row r="3994" spans="1:25" x14ac:dyDescent="0.2">
      <c r="A3994" s="93" t="s">
        <v>2458</v>
      </c>
      <c r="B3994" s="94" t="str">
        <f>IFERROR(VLOOKUP($A3994,HeadJournal!$A$1:$NTR$890,COLUMN(HeadJournal!B$1),0),"")</f>
        <v>720000434082</v>
      </c>
      <c r="C3994" s="94" t="str">
        <f>IFERROR(VLOOKUP($A3994,HeadJournal!$A$1:$NTR$890,COLUMN(HeadJournal!C$1),0),"")</f>
        <v>iHerb_OA CZN6870</v>
      </c>
      <c r="D3994" s="125" t="str">
        <f>IFERROR(VLOOKUP($A3994,HeadJournal!$A$1:$NTR$890,COLUMN(HeadJournal!D$1),0),"")</f>
        <v>Доставлен</v>
      </c>
      <c r="E3994" s="95">
        <f>IFERROR(VLOOKUP($A3994,HeadJournal!$A$1:$NTR$890,COLUMN(HeadJournal!G$1),0),"")</f>
        <v>45575</v>
      </c>
      <c r="F3994" s="95" t="str">
        <f t="shared" si="314"/>
        <v>2024 10</v>
      </c>
      <c r="G3994" s="97" t="s">
        <v>5</v>
      </c>
      <c r="H3994" s="161" t="s">
        <v>2051</v>
      </c>
      <c r="I3994" s="97" t="s">
        <v>2052</v>
      </c>
      <c r="J3994" s="97" t="s">
        <v>3097</v>
      </c>
      <c r="K3994" s="29">
        <v>21.04</v>
      </c>
      <c r="L3994" s="29">
        <v>-6.3125</v>
      </c>
      <c r="M3994" s="30">
        <f>IFERROR(VLOOKUP($A3994,HeadJournal!$A$1:$J$890,COLUMN(HeadJournal!I$1),0)*($K3994+$L3994)/(SUMIF($A:$A,$A3994,$K:$K)+SUMIF($A:$A,$A3994,$L:$L)),0)</f>
        <v>-0.74987120261109719</v>
      </c>
      <c r="N3994" s="30">
        <f>IFERROR((VLOOKUP($A3994,HeadJournal!$A$1:$K$890,COLUMN(HeadJournal!K$1),0)-VLOOKUP($A3994,HeadJournal!$A$1:$K$890,COLUMN(HeadJournal!J$1),0))*($K3994+$L3994)/(SUMIF($A:$A,$A3994,$K:$K)+SUMIF($A:$A,$A3994,$L:$L)),0)</f>
        <v>0</v>
      </c>
      <c r="O3994" s="30">
        <f>IFERROR((VLOOKUP($A3994,HeadJournal!$A$1:$L$890,COLUMN(HeadJournal!L$1),0)*($K3994+$L3994)/(SUMIF($A:$A,$A3994,$K:$K)+SUMIF($A:$A,$A3994,$L:$L)))/VLOOKUP($A3994,HeadJournal!$A$1:$L$890,COLUMN(HeadJournal!H$1),0),0)</f>
        <v>0.55238489286382475</v>
      </c>
      <c r="P3994" s="30">
        <f>IFERROR(SUM(K3994:O3994)*VLOOKUP($A3994,HeadJournal!$A$1:$L$890,COLUMN(HeadJournal!H$1),0),0)</f>
        <v>1545.0967946690103</v>
      </c>
      <c r="Q3994" s="29">
        <v>2400</v>
      </c>
      <c r="R3994" s="31">
        <v>45628</v>
      </c>
      <c r="S3994" s="31" t="s">
        <v>3121</v>
      </c>
      <c r="T3994" s="95" t="str">
        <f t="shared" si="315"/>
        <v>2024 12</v>
      </c>
      <c r="U3994" s="32">
        <f t="shared" si="312"/>
        <v>854.90320533098975</v>
      </c>
      <c r="V3994" s="22">
        <f t="shared" si="313"/>
        <v>0.55330074353958303</v>
      </c>
      <c r="X3994" s="33"/>
      <c r="Y3994" s="33"/>
    </row>
    <row r="3995" spans="1:25" x14ac:dyDescent="0.2">
      <c r="A3995" s="93" t="s">
        <v>2458</v>
      </c>
      <c r="B3995" s="94" t="str">
        <f>IFERROR(VLOOKUP($A3995,HeadJournal!$A$1:$NTR$890,COLUMN(HeadJournal!B$1),0),"")</f>
        <v>720000434082</v>
      </c>
      <c r="C3995" s="94" t="str">
        <f>IFERROR(VLOOKUP($A3995,HeadJournal!$A$1:$NTR$890,COLUMN(HeadJournal!C$1),0),"")</f>
        <v>iHerb_OA CZN6870</v>
      </c>
      <c r="D3995" s="125" t="str">
        <f>IFERROR(VLOOKUP($A3995,HeadJournal!$A$1:$NTR$890,COLUMN(HeadJournal!D$1),0),"")</f>
        <v>Доставлен</v>
      </c>
      <c r="E3995" s="95">
        <f>IFERROR(VLOOKUP($A3995,HeadJournal!$A$1:$NTR$890,COLUMN(HeadJournal!G$1),0),"")</f>
        <v>45575</v>
      </c>
      <c r="F3995" s="95" t="str">
        <f t="shared" si="314"/>
        <v>2024 10</v>
      </c>
      <c r="G3995" s="97" t="s">
        <v>5</v>
      </c>
      <c r="H3995" s="161" t="s">
        <v>2450</v>
      </c>
      <c r="I3995" s="97" t="s">
        <v>2451</v>
      </c>
      <c r="J3995" s="97" t="s">
        <v>2452</v>
      </c>
      <c r="K3995" s="29">
        <v>13.6</v>
      </c>
      <c r="L3995" s="29">
        <v>-1.36</v>
      </c>
      <c r="M3995" s="30">
        <f>IFERROR(VLOOKUP($A3995,HeadJournal!$A$1:$J$890,COLUMN(HeadJournal!I$1),0)*($K3995+$L3995)/(SUMIF($A:$A,$A3995,$K:$K)+SUMIF($A:$A,$A3995,$L:$L)),0)</f>
        <v>-0.62321667085111732</v>
      </c>
      <c r="N3995" s="30">
        <f>IFERROR((VLOOKUP($A3995,HeadJournal!$A$1:$K$890,COLUMN(HeadJournal!K$1),0)-VLOOKUP($A3995,HeadJournal!$A$1:$K$890,COLUMN(HeadJournal!J$1),0))*($K3995+$L3995)/(SUMIF($A:$A,$A3995,$K:$K)+SUMIF($A:$A,$A3995,$L:$L)),0)</f>
        <v>0</v>
      </c>
      <c r="O3995" s="30">
        <f>IFERROR((VLOOKUP($A3995,HeadJournal!$A$1:$L$890,COLUMN(HeadJournal!L$1),0)*($K3995+$L3995)/(SUMIF($A:$A,$A3995,$K:$K)+SUMIF($A:$A,$A3995,$L:$L)))/VLOOKUP($A3995,HeadJournal!$A$1:$L$890,COLUMN(HeadJournal!H$1),0),0)</f>
        <v>0.45908613740643128</v>
      </c>
      <c r="P3995" s="30">
        <f>IFERROR(SUM(K3995:O3995)*VLOOKUP($A3995,HeadJournal!$A$1:$L$890,COLUMN(HeadJournal!H$1),0),0)</f>
        <v>1284.1272970123025</v>
      </c>
      <c r="Q3995" s="29">
        <v>1800</v>
      </c>
      <c r="R3995" s="31">
        <v>45605</v>
      </c>
      <c r="S3995" s="31" t="s">
        <v>3121</v>
      </c>
      <c r="T3995" s="95" t="str">
        <f t="shared" si="315"/>
        <v>2024 11</v>
      </c>
      <c r="U3995" s="32">
        <f t="shared" si="312"/>
        <v>515.87270298769749</v>
      </c>
      <c r="V3995" s="22">
        <f t="shared" si="313"/>
        <v>0.40173018998034365</v>
      </c>
      <c r="X3995" s="33"/>
      <c r="Y3995" s="33"/>
    </row>
    <row r="3996" spans="1:25" x14ac:dyDescent="0.2">
      <c r="A3996" s="93" t="s">
        <v>2458</v>
      </c>
      <c r="B3996" s="94" t="str">
        <f>IFERROR(VLOOKUP($A3996,HeadJournal!$A$1:$NTR$890,COLUMN(HeadJournal!B$1),0),"")</f>
        <v>720000434082</v>
      </c>
      <c r="C3996" s="94" t="str">
        <f>IFERROR(VLOOKUP($A3996,HeadJournal!$A$1:$NTR$890,COLUMN(HeadJournal!C$1),0),"")</f>
        <v>iHerb_OA CZN6870</v>
      </c>
      <c r="D3996" s="125" t="str">
        <f>IFERROR(VLOOKUP($A3996,HeadJournal!$A$1:$NTR$890,COLUMN(HeadJournal!D$1),0),"")</f>
        <v>Доставлен</v>
      </c>
      <c r="E3996" s="95">
        <f>IFERROR(VLOOKUP($A3996,HeadJournal!$A$1:$NTR$890,COLUMN(HeadJournal!G$1),0),"")</f>
        <v>45575</v>
      </c>
      <c r="F3996" s="95" t="str">
        <f t="shared" si="314"/>
        <v>2024 10</v>
      </c>
      <c r="G3996" s="97" t="s">
        <v>5</v>
      </c>
      <c r="H3996" s="161" t="s">
        <v>2450</v>
      </c>
      <c r="I3996" s="97" t="s">
        <v>2451</v>
      </c>
      <c r="J3996" s="97" t="s">
        <v>2452</v>
      </c>
      <c r="K3996" s="29">
        <v>13.6</v>
      </c>
      <c r="L3996" s="29">
        <v>-1.36</v>
      </c>
      <c r="M3996" s="30">
        <f>IFERROR(VLOOKUP($A3996,HeadJournal!$A$1:$J$890,COLUMN(HeadJournal!I$1),0)*($K3996+$L3996)/(SUMIF($A:$A,$A3996,$K:$K)+SUMIF($A:$A,$A3996,$L:$L)),0)</f>
        <v>-0.62321667085111732</v>
      </c>
      <c r="N3996" s="30">
        <f>IFERROR((VLOOKUP($A3996,HeadJournal!$A$1:$K$890,COLUMN(HeadJournal!K$1),0)-VLOOKUP($A3996,HeadJournal!$A$1:$K$890,COLUMN(HeadJournal!J$1),0))*($K3996+$L3996)/(SUMIF($A:$A,$A3996,$K:$K)+SUMIF($A:$A,$A3996,$L:$L)),0)</f>
        <v>0</v>
      </c>
      <c r="O3996" s="30">
        <f>IFERROR((VLOOKUP($A3996,HeadJournal!$A$1:$L$890,COLUMN(HeadJournal!L$1),0)*($K3996+$L3996)/(SUMIF($A:$A,$A3996,$K:$K)+SUMIF($A:$A,$A3996,$L:$L)))/VLOOKUP($A3996,HeadJournal!$A$1:$L$890,COLUMN(HeadJournal!H$1),0),0)</f>
        <v>0.45908613740643128</v>
      </c>
      <c r="P3996" s="30">
        <f>IFERROR(SUM(K3996:O3996)*VLOOKUP($A3996,HeadJournal!$A$1:$L$890,COLUMN(HeadJournal!H$1),0),0)</f>
        <v>1284.1272970123025</v>
      </c>
      <c r="Q3996" s="29">
        <v>2000</v>
      </c>
      <c r="R3996" s="31">
        <v>45612</v>
      </c>
      <c r="S3996" s="31" t="s">
        <v>3121</v>
      </c>
      <c r="T3996" s="95" t="str">
        <f t="shared" si="315"/>
        <v>2024 11</v>
      </c>
      <c r="U3996" s="32">
        <f t="shared" si="312"/>
        <v>715.87270298769749</v>
      </c>
      <c r="V3996" s="22">
        <f t="shared" si="313"/>
        <v>0.55747798886704858</v>
      </c>
      <c r="X3996" s="33"/>
      <c r="Y3996" s="33"/>
    </row>
    <row r="3997" spans="1:25" x14ac:dyDescent="0.2">
      <c r="A3997" s="93" t="s">
        <v>2458</v>
      </c>
      <c r="B3997" s="94" t="str">
        <f>IFERROR(VLOOKUP($A3997,HeadJournal!$A$1:$NTR$890,COLUMN(HeadJournal!B$1),0),"")</f>
        <v>720000434082</v>
      </c>
      <c r="C3997" s="94" t="str">
        <f>IFERROR(VLOOKUP($A3997,HeadJournal!$A$1:$NTR$890,COLUMN(HeadJournal!C$1),0),"")</f>
        <v>iHerb_OA CZN6870</v>
      </c>
      <c r="D3997" s="125" t="str">
        <f>IFERROR(VLOOKUP($A3997,HeadJournal!$A$1:$NTR$890,COLUMN(HeadJournal!D$1),0),"")</f>
        <v>Доставлен</v>
      </c>
      <c r="E3997" s="95">
        <f>IFERROR(VLOOKUP($A3997,HeadJournal!$A$1:$NTR$890,COLUMN(HeadJournal!G$1),0),"")</f>
        <v>45575</v>
      </c>
      <c r="F3997" s="95" t="str">
        <f t="shared" si="314"/>
        <v>2024 10</v>
      </c>
      <c r="G3997" s="97" t="s">
        <v>5</v>
      </c>
      <c r="H3997" s="161" t="s">
        <v>2018</v>
      </c>
      <c r="I3997" s="97" t="s">
        <v>2005</v>
      </c>
      <c r="J3997" s="97" t="s">
        <v>2019</v>
      </c>
      <c r="K3997" s="29">
        <v>23.08</v>
      </c>
      <c r="L3997" s="29">
        <v>-2.31</v>
      </c>
      <c r="M3997" s="30">
        <f>IFERROR(VLOOKUP($A3997,HeadJournal!$A$1:$J$890,COLUMN(HeadJournal!I$1),0)*($K3997+$L3997)/(SUMIF($A:$A,$A3997,$K:$K)+SUMIF($A:$A,$A3997,$L:$L)),0)</f>
        <v>-1.0575335174491591</v>
      </c>
      <c r="N3997" s="30">
        <f>IFERROR((VLOOKUP($A3997,HeadJournal!$A$1:$K$890,COLUMN(HeadJournal!K$1),0)-VLOOKUP($A3997,HeadJournal!$A$1:$K$890,COLUMN(HeadJournal!J$1),0))*($K3997+$L3997)/(SUMIF($A:$A,$A3997,$K:$K)+SUMIF($A:$A,$A3997,$L:$L)),0)</f>
        <v>0</v>
      </c>
      <c r="O3997" s="30">
        <f>IFERROR((VLOOKUP($A3997,HeadJournal!$A$1:$L$890,COLUMN(HeadJournal!L$1),0)*($K3997+$L3997)/(SUMIF($A:$A,$A3997,$K:$K)+SUMIF($A:$A,$A3997,$L:$L)))/VLOOKUP($A3997,HeadJournal!$A$1:$L$890,COLUMN(HeadJournal!H$1),0),0)</f>
        <v>0.77902116617088046</v>
      </c>
      <c r="P3997" s="30">
        <f>IFERROR(SUM(K3997:O3997)*VLOOKUP($A3997,HeadJournal!$A$1:$L$890,COLUMN(HeadJournal!H$1),0),0)</f>
        <v>2179.0297352079674</v>
      </c>
      <c r="Q3997" s="29">
        <v>3100</v>
      </c>
      <c r="R3997" s="31">
        <v>45628</v>
      </c>
      <c r="S3997" s="31" t="s">
        <v>3121</v>
      </c>
      <c r="T3997" s="95" t="str">
        <f t="shared" si="315"/>
        <v>2024 12</v>
      </c>
      <c r="U3997" s="32">
        <f t="shared" si="312"/>
        <v>920.97026479203259</v>
      </c>
      <c r="V3997" s="22">
        <f t="shared" si="313"/>
        <v>0.42265153609945338</v>
      </c>
      <c r="X3997" s="33"/>
      <c r="Y3997" s="33"/>
    </row>
    <row r="3998" spans="1:25" x14ac:dyDescent="0.2">
      <c r="A3998" s="93" t="s">
        <v>2458</v>
      </c>
      <c r="B3998" s="94" t="str">
        <f>IFERROR(VLOOKUP($A3998,HeadJournal!$A$1:$NTR$890,COLUMN(HeadJournal!B$1),0),"")</f>
        <v>720000434082</v>
      </c>
      <c r="C3998" s="94" t="str">
        <f>IFERROR(VLOOKUP($A3998,HeadJournal!$A$1:$NTR$890,COLUMN(HeadJournal!C$1),0),"")</f>
        <v>iHerb_OA CZN6870</v>
      </c>
      <c r="D3998" s="125" t="str">
        <f>IFERROR(VLOOKUP($A3998,HeadJournal!$A$1:$NTR$890,COLUMN(HeadJournal!D$1),0),"")</f>
        <v>Доставлен</v>
      </c>
      <c r="E3998" s="95">
        <f>IFERROR(VLOOKUP($A3998,HeadJournal!$A$1:$NTR$890,COLUMN(HeadJournal!G$1),0),"")</f>
        <v>45575</v>
      </c>
      <c r="F3998" s="95" t="str">
        <f t="shared" si="314"/>
        <v>2024 10</v>
      </c>
      <c r="G3998" s="97" t="s">
        <v>5</v>
      </c>
      <c r="H3998" s="161" t="s">
        <v>2018</v>
      </c>
      <c r="I3998" s="97" t="s">
        <v>2005</v>
      </c>
      <c r="J3998" s="97" t="s">
        <v>2019</v>
      </c>
      <c r="K3998" s="29">
        <v>23.08</v>
      </c>
      <c r="L3998" s="29">
        <v>-2.31</v>
      </c>
      <c r="M3998" s="30">
        <f>IFERROR(VLOOKUP($A3998,HeadJournal!$A$1:$J$890,COLUMN(HeadJournal!I$1),0)*($K3998+$L3998)/(SUMIF($A:$A,$A3998,$K:$K)+SUMIF($A:$A,$A3998,$L:$L)),0)</f>
        <v>-1.0575335174491591</v>
      </c>
      <c r="N3998" s="30">
        <f>IFERROR((VLOOKUP($A3998,HeadJournal!$A$1:$K$890,COLUMN(HeadJournal!K$1),0)-VLOOKUP($A3998,HeadJournal!$A$1:$K$890,COLUMN(HeadJournal!J$1),0))*($K3998+$L3998)/(SUMIF($A:$A,$A3998,$K:$K)+SUMIF($A:$A,$A3998,$L:$L)),0)</f>
        <v>0</v>
      </c>
      <c r="O3998" s="30">
        <f>IFERROR((VLOOKUP($A3998,HeadJournal!$A$1:$L$890,COLUMN(HeadJournal!L$1),0)*($K3998+$L3998)/(SUMIF($A:$A,$A3998,$K:$K)+SUMIF($A:$A,$A3998,$L:$L)))/VLOOKUP($A3998,HeadJournal!$A$1:$L$890,COLUMN(HeadJournal!H$1),0),0)</f>
        <v>0.77902116617088046</v>
      </c>
      <c r="P3998" s="30">
        <f>IFERROR(SUM(K3998:O3998)*VLOOKUP($A3998,HeadJournal!$A$1:$L$890,COLUMN(HeadJournal!H$1),0),0)</f>
        <v>2179.0297352079674</v>
      </c>
      <c r="Q3998" s="29">
        <v>3200</v>
      </c>
      <c r="R3998" s="31">
        <v>45630</v>
      </c>
      <c r="S3998" s="31" t="s">
        <v>3121</v>
      </c>
      <c r="T3998" s="95" t="str">
        <f t="shared" si="315"/>
        <v>2024 12</v>
      </c>
      <c r="U3998" s="32">
        <f t="shared" si="312"/>
        <v>1020.9702647920326</v>
      </c>
      <c r="V3998" s="22">
        <f t="shared" si="313"/>
        <v>0.46854352113491965</v>
      </c>
      <c r="X3998" s="33"/>
      <c r="Y3998" s="33"/>
    </row>
    <row r="3999" spans="1:25" x14ac:dyDescent="0.2">
      <c r="A3999" s="93" t="s">
        <v>2458</v>
      </c>
      <c r="B3999" s="94" t="str">
        <f>IFERROR(VLOOKUP($A3999,HeadJournal!$A$1:$NTR$890,COLUMN(HeadJournal!B$1),0),"")</f>
        <v>720000434082</v>
      </c>
      <c r="C3999" s="94" t="str">
        <f>IFERROR(VLOOKUP($A3999,HeadJournal!$A$1:$NTR$890,COLUMN(HeadJournal!C$1),0),"")</f>
        <v>iHerb_OA CZN6870</v>
      </c>
      <c r="D3999" s="125" t="str">
        <f>IFERROR(VLOOKUP($A3999,HeadJournal!$A$1:$NTR$890,COLUMN(HeadJournal!D$1),0),"")</f>
        <v>Доставлен</v>
      </c>
      <c r="E3999" s="95">
        <f>IFERROR(VLOOKUP($A3999,HeadJournal!$A$1:$NTR$890,COLUMN(HeadJournal!G$1),0),"")</f>
        <v>45575</v>
      </c>
      <c r="F3999" s="95" t="str">
        <f t="shared" si="314"/>
        <v>2024 10</v>
      </c>
      <c r="G3999" s="97" t="s">
        <v>5</v>
      </c>
      <c r="H3999" s="161" t="s">
        <v>2453</v>
      </c>
      <c r="I3999" s="97" t="s">
        <v>2052</v>
      </c>
      <c r="J3999" s="97" t="s">
        <v>2454</v>
      </c>
      <c r="K3999" s="29">
        <v>25.24</v>
      </c>
      <c r="L3999" s="29">
        <v>-7.57</v>
      </c>
      <c r="M3999" s="30">
        <f>IFERROR(VLOOKUP($A3999,HeadJournal!$A$1:$J$890,COLUMN(HeadJournal!I$1),0)*($K3999+$L3999)/(SUMIF($A:$A,$A3999,$K:$K)+SUMIF($A:$A,$A3999,$L:$L)),0)</f>
        <v>-0.89969269394928453</v>
      </c>
      <c r="N3999" s="30">
        <f>IFERROR((VLOOKUP($A3999,HeadJournal!$A$1:$K$890,COLUMN(HeadJournal!K$1),0)-VLOOKUP($A3999,HeadJournal!$A$1:$K$890,COLUMN(HeadJournal!J$1),0))*($K3999+$L3999)/(SUMIF($A:$A,$A3999,$K:$K)+SUMIF($A:$A,$A3999,$L:$L)),0)</f>
        <v>0</v>
      </c>
      <c r="O3999" s="30">
        <f>IFERROR((VLOOKUP($A3999,HeadJournal!$A$1:$L$890,COLUMN(HeadJournal!L$1),0)*($K3999+$L3999)/(SUMIF($A:$A,$A3999,$K:$K)+SUMIF($A:$A,$A3999,$L:$L)))/VLOOKUP($A3999,HeadJournal!$A$1:$L$890,COLUMN(HeadJournal!H$1),0),0)</f>
        <v>0.66274935032448024</v>
      </c>
      <c r="P3999" s="30">
        <f>IFERROR(SUM(K3999:O3999)*VLOOKUP($A3999,HeadJournal!$A$1:$L$890,COLUMN(HeadJournal!H$1),0),0)</f>
        <v>1853.8014165202108</v>
      </c>
      <c r="Q3999" s="29">
        <v>3100</v>
      </c>
      <c r="R3999" s="31">
        <v>45730</v>
      </c>
      <c r="S3999" s="31" t="s">
        <v>3121</v>
      </c>
      <c r="T3999" s="95" t="str">
        <f t="shared" si="315"/>
        <v>2025 03</v>
      </c>
      <c r="U3999" s="32">
        <f t="shared" si="312"/>
        <v>1246.1985834797892</v>
      </c>
      <c r="V3999" s="22">
        <f t="shared" si="313"/>
        <v>0.67223952488883143</v>
      </c>
      <c r="X3999" s="33"/>
      <c r="Y3999" s="33"/>
    </row>
    <row r="4000" spans="1:25" x14ac:dyDescent="0.2">
      <c r="A4000" s="93" t="s">
        <v>2458</v>
      </c>
      <c r="B4000" s="94" t="str">
        <f>IFERROR(VLOOKUP($A4000,HeadJournal!$A$1:$NTR$890,COLUMN(HeadJournal!B$1),0),"")</f>
        <v>720000434082</v>
      </c>
      <c r="C4000" s="94" t="str">
        <f>IFERROR(VLOOKUP($A4000,HeadJournal!$A$1:$NTR$890,COLUMN(HeadJournal!C$1),0),"")</f>
        <v>iHerb_OA CZN6870</v>
      </c>
      <c r="D4000" s="125" t="str">
        <f>IFERROR(VLOOKUP($A4000,HeadJournal!$A$1:$NTR$890,COLUMN(HeadJournal!D$1),0),"")</f>
        <v>Доставлен</v>
      </c>
      <c r="E4000" s="95">
        <f>IFERROR(VLOOKUP($A4000,HeadJournal!$A$1:$NTR$890,COLUMN(HeadJournal!G$1),0),"")</f>
        <v>45575</v>
      </c>
      <c r="F4000" s="95" t="str">
        <f t="shared" si="314"/>
        <v>2024 10</v>
      </c>
      <c r="G4000" s="97" t="s">
        <v>7</v>
      </c>
      <c r="H4000" s="161" t="s">
        <v>2455</v>
      </c>
      <c r="I4000" s="97" t="s">
        <v>2456</v>
      </c>
      <c r="J4000" s="97" t="s">
        <v>2457</v>
      </c>
      <c r="K4000" s="29">
        <v>39.17</v>
      </c>
      <c r="L4000" s="29">
        <v>-21.68</v>
      </c>
      <c r="M4000" s="30">
        <f>IFERROR(VLOOKUP($A4000,HeadJournal!$A$1:$J$890,COLUMN(HeadJournal!I$1),0)*($K4000+$L4000)/(SUMIF($A:$A,$A4000,$K:$K)+SUMIF($A:$A,$A4000,$L:$L)),0)</f>
        <v>-0.89052774290735648</v>
      </c>
      <c r="N4000" s="30">
        <f>IFERROR((VLOOKUP($A4000,HeadJournal!$A$1:$K$890,COLUMN(HeadJournal!K$1),0)-VLOOKUP($A4000,HeadJournal!$A$1:$K$890,COLUMN(HeadJournal!J$1),0))*($K4000+$L4000)/(SUMIF($A:$A,$A4000,$K:$K)+SUMIF($A:$A,$A4000,$L:$L)),0)</f>
        <v>0</v>
      </c>
      <c r="O4000" s="30">
        <f>IFERROR((VLOOKUP($A4000,HeadJournal!$A$1:$L$890,COLUMN(HeadJournal!L$1),0)*($K4000+$L4000)/(SUMIF($A:$A,$A4000,$K:$K)+SUMIF($A:$A,$A4000,$L:$L)))/VLOOKUP($A4000,HeadJournal!$A$1:$L$890,COLUMN(HeadJournal!H$1),0),0)</f>
        <v>0.65599808359791523</v>
      </c>
      <c r="P4000" s="30">
        <f>IFERROR(SUM(K4000:O4000)*VLOOKUP($A4000,HeadJournal!$A$1:$L$890,COLUMN(HeadJournal!H$1),0),0)</f>
        <v>1834.917191564148</v>
      </c>
      <c r="Q4000" s="29">
        <v>1600</v>
      </c>
      <c r="R4000" s="31">
        <v>45708</v>
      </c>
      <c r="S4000" s="31" t="s">
        <v>3121</v>
      </c>
      <c r="T4000" s="95" t="str">
        <f t="shared" si="315"/>
        <v>2025 02</v>
      </c>
      <c r="U4000" s="32">
        <f t="shared" si="312"/>
        <v>-234.91719156414797</v>
      </c>
      <c r="V4000" s="22">
        <f t="shared" si="313"/>
        <v>-0.12802604534098691</v>
      </c>
      <c r="X4000" s="33"/>
      <c r="Y4000" s="33"/>
    </row>
    <row r="4001" spans="1:25" x14ac:dyDescent="0.2">
      <c r="A4001" s="93" t="s">
        <v>2476</v>
      </c>
      <c r="B4001" s="94" t="str">
        <f>IFERROR(VLOOKUP($A4001,HeadJournal!$A$1:$NTR$890,COLUMN(HeadJournal!B$1),0),"")</f>
        <v>720000447125</v>
      </c>
      <c r="C4001" s="94" t="str">
        <f>IFERROR(VLOOKUP($A4001,HeadJournal!$A$1:$NTR$890,COLUMN(HeadJournal!C$1),0),"")</f>
        <v>iHerb_OA CZN6870</v>
      </c>
      <c r="D4001" s="125" t="str">
        <f>IFERROR(VLOOKUP($A4001,HeadJournal!$A$1:$NTR$890,COLUMN(HeadJournal!D$1),0),"")</f>
        <v>Доставлен</v>
      </c>
      <c r="E4001" s="95">
        <f>IFERROR(VLOOKUP($A4001,HeadJournal!$A$1:$NTR$890,COLUMN(HeadJournal!G$1),0),"")</f>
        <v>45586</v>
      </c>
      <c r="F4001" s="95" t="str">
        <f t="shared" si="314"/>
        <v>2024 10</v>
      </c>
      <c r="G4001" s="97" t="s">
        <v>5</v>
      </c>
      <c r="H4001" s="161" t="s">
        <v>2462</v>
      </c>
      <c r="I4001" s="97" t="s">
        <v>2005</v>
      </c>
      <c r="J4001" s="97" t="s">
        <v>2463</v>
      </c>
      <c r="K4001" s="29">
        <v>7.88</v>
      </c>
      <c r="L4001" s="29">
        <v>-0.79</v>
      </c>
      <c r="M4001" s="30">
        <f>IFERROR(VLOOKUP($A4001,HeadJournal!$A$1:$J$890,COLUMN(HeadJournal!I$1),0)*($K4001+$L4001)/(SUMIF($A:$A,$A4001,$K:$K)+SUMIF($A:$A,$A4001,$L:$L)),0)</f>
        <v>-0.31747885888945487</v>
      </c>
      <c r="N4001" s="30">
        <f>IFERROR((VLOOKUP($A4001,HeadJournal!$A$1:$K$890,COLUMN(HeadJournal!K$1),0)-VLOOKUP($A4001,HeadJournal!$A$1:$K$890,COLUMN(HeadJournal!J$1),0))*($K4001+$L4001)/(SUMIF($A:$A,$A4001,$K:$K)+SUMIF($A:$A,$A4001,$L:$L)),0)</f>
        <v>-1.0265406004155088E-15</v>
      </c>
      <c r="O4001" s="30">
        <f>IFERROR((VLOOKUP($A4001,HeadJournal!$A$1:$L$890,COLUMN(HeadJournal!L$1),0)*($K4001+$L4001)/(SUMIF($A:$A,$A4001,$K:$K)+SUMIF($A:$A,$A4001,$L:$L)))/VLOOKUP($A4001,HeadJournal!$A$1:$L$890,COLUMN(HeadJournal!H$1),0),0)</f>
        <v>0.10773567641103073</v>
      </c>
      <c r="P4001" s="30">
        <f>IFERROR(SUM(K4001:O4001)*VLOOKUP($A4001,HeadJournal!$A$1:$L$890,COLUMN(HeadJournal!H$1),0),0)</f>
        <v>739.77639696892493</v>
      </c>
      <c r="Q4001" s="29">
        <v>1300</v>
      </c>
      <c r="R4001" s="31">
        <v>45619</v>
      </c>
      <c r="S4001" s="31" t="s">
        <v>3121</v>
      </c>
      <c r="T4001" s="95" t="str">
        <f t="shared" si="315"/>
        <v>2024 11</v>
      </c>
      <c r="U4001" s="32">
        <f t="shared" si="312"/>
        <v>560.22360303107507</v>
      </c>
      <c r="V4001" s="22">
        <f t="shared" si="313"/>
        <v>0.75728774982071756</v>
      </c>
      <c r="X4001" s="33"/>
      <c r="Y4001" s="33"/>
    </row>
    <row r="4002" spans="1:25" x14ac:dyDescent="0.2">
      <c r="A4002" s="93" t="s">
        <v>2476</v>
      </c>
      <c r="B4002" s="94" t="str">
        <f>IFERROR(VLOOKUP($A4002,HeadJournal!$A$1:$NTR$890,COLUMN(HeadJournal!B$1),0),"")</f>
        <v>720000447125</v>
      </c>
      <c r="C4002" s="94" t="str">
        <f>IFERROR(VLOOKUP($A4002,HeadJournal!$A$1:$NTR$890,COLUMN(HeadJournal!C$1),0),"")</f>
        <v>iHerb_OA CZN6870</v>
      </c>
      <c r="D4002" s="125" t="str">
        <f>IFERROR(VLOOKUP($A4002,HeadJournal!$A$1:$NTR$890,COLUMN(HeadJournal!D$1),0),"")</f>
        <v>Доставлен</v>
      </c>
      <c r="E4002" s="95">
        <f>IFERROR(VLOOKUP($A4002,HeadJournal!$A$1:$NTR$890,COLUMN(HeadJournal!G$1),0),"")</f>
        <v>45586</v>
      </c>
      <c r="F4002" s="95" t="str">
        <f t="shared" si="314"/>
        <v>2024 10</v>
      </c>
      <c r="G4002" s="97" t="s">
        <v>5</v>
      </c>
      <c r="H4002" s="161" t="s">
        <v>2464</v>
      </c>
      <c r="I4002" s="97" t="s">
        <v>2052</v>
      </c>
      <c r="J4002" s="97" t="s">
        <v>2465</v>
      </c>
      <c r="K4002" s="29">
        <v>27.55</v>
      </c>
      <c r="L4002" s="29">
        <v>-8.27</v>
      </c>
      <c r="M4002" s="30">
        <f>IFERROR(VLOOKUP($A4002,HeadJournal!$A$1:$J$890,COLUMN(HeadJournal!I$1),0)*($K4002+$L4002)/(SUMIF($A:$A,$A4002,$K:$K)+SUMIF($A:$A,$A4002,$L:$L)),0)</f>
        <v>-0.86332755985736109</v>
      </c>
      <c r="N4002" s="30">
        <f>IFERROR((VLOOKUP($A4002,HeadJournal!$A$1:$K$890,COLUMN(HeadJournal!K$1),0)-VLOOKUP($A4002,HeadJournal!$A$1:$K$890,COLUMN(HeadJournal!J$1),0))*($K4002+$L4002)/(SUMIF($A:$A,$A4002,$K:$K)+SUMIF($A:$A,$A4002,$L:$L)),0)</f>
        <v>-2.7914954550086054E-15</v>
      </c>
      <c r="O4002" s="30">
        <f>IFERROR((VLOOKUP($A4002,HeadJournal!$A$1:$L$890,COLUMN(HeadJournal!L$1),0)*($K4002+$L4002)/(SUMIF($A:$A,$A4002,$K:$K)+SUMIF($A:$A,$A4002,$L:$L)))/VLOOKUP($A4002,HeadJournal!$A$1:$L$890,COLUMN(HeadJournal!H$1),0),0)</f>
        <v>0.29296810172139248</v>
      </c>
      <c r="P4002" s="30">
        <f>IFERROR(SUM(K4002:O4002)*VLOOKUP($A4002,HeadJournal!$A$1:$L$890,COLUMN(HeadJournal!H$1),0),0)</f>
        <v>2011.6909638308707</v>
      </c>
      <c r="Q4002" s="29">
        <v>3400</v>
      </c>
      <c r="R4002" s="31">
        <v>45619</v>
      </c>
      <c r="S4002" s="31" t="s">
        <v>3121</v>
      </c>
      <c r="T4002" s="95" t="str">
        <f t="shared" si="315"/>
        <v>2024 11</v>
      </c>
      <c r="U4002" s="32">
        <f t="shared" si="312"/>
        <v>1388.3090361691293</v>
      </c>
      <c r="V4002" s="22">
        <f t="shared" si="313"/>
        <v>0.69012043158227798</v>
      </c>
      <c r="X4002" s="33"/>
      <c r="Y4002" s="33"/>
    </row>
    <row r="4003" spans="1:25" x14ac:dyDescent="0.2">
      <c r="A4003" s="93" t="s">
        <v>2476</v>
      </c>
      <c r="B4003" s="94" t="str">
        <f>IFERROR(VLOOKUP($A4003,HeadJournal!$A$1:$NTR$890,COLUMN(HeadJournal!B$1),0),"")</f>
        <v>720000447125</v>
      </c>
      <c r="C4003" s="94" t="str">
        <f>IFERROR(VLOOKUP($A4003,HeadJournal!$A$1:$NTR$890,COLUMN(HeadJournal!C$1),0),"")</f>
        <v>iHerb_OA CZN6870</v>
      </c>
      <c r="D4003" s="125" t="str">
        <f>IFERROR(VLOOKUP($A4003,HeadJournal!$A$1:$NTR$890,COLUMN(HeadJournal!D$1),0),"")</f>
        <v>Доставлен</v>
      </c>
      <c r="E4003" s="95">
        <f>IFERROR(VLOOKUP($A4003,HeadJournal!$A$1:$NTR$890,COLUMN(HeadJournal!G$1),0),"")</f>
        <v>45586</v>
      </c>
      <c r="F4003" s="95" t="str">
        <f t="shared" si="314"/>
        <v>2024 10</v>
      </c>
      <c r="G4003" s="97" t="s">
        <v>5</v>
      </c>
      <c r="H4003" s="161" t="s">
        <v>2466</v>
      </c>
      <c r="I4003" s="97" t="s">
        <v>2102</v>
      </c>
      <c r="J4003" s="97" t="s">
        <v>2467</v>
      </c>
      <c r="K4003" s="29">
        <v>34.380000000000003</v>
      </c>
      <c r="L4003" s="29">
        <v>-3.44</v>
      </c>
      <c r="M4003" s="30">
        <f>IFERROR(VLOOKUP($A4003,HeadJournal!$A$1:$J$890,COLUMN(HeadJournal!I$1),0)*($K4003+$L4003)/(SUMIF($A:$A,$A4003,$K:$K)+SUMIF($A:$A,$A4003,$L:$L)),0)</f>
        <v>-1.3854437086092715</v>
      </c>
      <c r="N4003" s="30">
        <f>IFERROR((VLOOKUP($A4003,HeadJournal!$A$1:$K$890,COLUMN(HeadJournal!K$1),0)-VLOOKUP($A4003,HeadJournal!$A$1:$K$890,COLUMN(HeadJournal!J$1),0))*($K4003+$L4003)/(SUMIF($A:$A,$A4003,$K:$K)+SUMIF($A:$A,$A4003,$L:$L)),0)</f>
        <v>-4.4797131420106982E-15</v>
      </c>
      <c r="O4003" s="30">
        <f>IFERROR((VLOOKUP($A4003,HeadJournal!$A$1:$L$890,COLUMN(HeadJournal!L$1),0)*($K4003+$L4003)/(SUMIF($A:$A,$A4003,$K:$K)+SUMIF($A:$A,$A4003,$L:$L)))/VLOOKUP($A4003,HeadJournal!$A$1:$L$890,COLUMN(HeadJournal!H$1),0),0)</f>
        <v>0.47014694332260809</v>
      </c>
      <c r="P4003" s="30">
        <f>IFERROR(SUM(K4003:O4003)*VLOOKUP($A4003,HeadJournal!$A$1:$L$890,COLUMN(HeadJournal!H$1),0),0)</f>
        <v>3228.3048973509926</v>
      </c>
      <c r="Q4003" s="29">
        <v>4100</v>
      </c>
      <c r="R4003" s="31">
        <v>45619</v>
      </c>
      <c r="S4003" s="31" t="s">
        <v>3121</v>
      </c>
      <c r="T4003" s="95" t="str">
        <f t="shared" si="315"/>
        <v>2024 11</v>
      </c>
      <c r="U4003" s="32">
        <f t="shared" si="312"/>
        <v>871.69510264900737</v>
      </c>
      <c r="V4003" s="22">
        <f t="shared" si="313"/>
        <v>0.27001634925012274</v>
      </c>
      <c r="X4003" s="33"/>
      <c r="Y4003" s="33"/>
    </row>
    <row r="4004" spans="1:25" x14ac:dyDescent="0.2">
      <c r="A4004" s="93" t="s">
        <v>2476</v>
      </c>
      <c r="B4004" s="94" t="str">
        <f>IFERROR(VLOOKUP($A4004,HeadJournal!$A$1:$NTR$890,COLUMN(HeadJournal!B$1),0),"")</f>
        <v>720000447125</v>
      </c>
      <c r="C4004" s="94" t="str">
        <f>IFERROR(VLOOKUP($A4004,HeadJournal!$A$1:$NTR$890,COLUMN(HeadJournal!C$1),0),"")</f>
        <v>iHerb_OA CZN6870</v>
      </c>
      <c r="D4004" s="125" t="str">
        <f>IFERROR(VLOOKUP($A4004,HeadJournal!$A$1:$NTR$890,COLUMN(HeadJournal!D$1),0),"")</f>
        <v>Доставлен</v>
      </c>
      <c r="E4004" s="95">
        <f>IFERROR(VLOOKUP($A4004,HeadJournal!$A$1:$NTR$890,COLUMN(HeadJournal!G$1),0),"")</f>
        <v>45586</v>
      </c>
      <c r="F4004" s="95" t="str">
        <f t="shared" si="314"/>
        <v>2024 10</v>
      </c>
      <c r="G4004" s="97" t="s">
        <v>5</v>
      </c>
      <c r="H4004" s="161" t="s">
        <v>2468</v>
      </c>
      <c r="I4004" s="97" t="s">
        <v>2005</v>
      </c>
      <c r="J4004" s="97" t="s">
        <v>4109</v>
      </c>
      <c r="K4004" s="29">
        <v>24.66</v>
      </c>
      <c r="L4004" s="29">
        <v>-2.4649999999999999</v>
      </c>
      <c r="M4004" s="30">
        <f>IFERROR(VLOOKUP($A4004,HeadJournal!$A$1:$J$890,COLUMN(HeadJournal!I$1),0)*($K4004+$L4004)/(SUMIF($A:$A,$A4004,$K:$K)+SUMIF($A:$A,$A4004,$L:$L)),0)</f>
        <v>-0.99385659704533857</v>
      </c>
      <c r="N4004" s="30">
        <f>IFERROR((VLOOKUP($A4004,HeadJournal!$A$1:$K$890,COLUMN(HeadJournal!K$1),0)-VLOOKUP($A4004,HeadJournal!$A$1:$K$890,COLUMN(HeadJournal!J$1),0))*($K4004+$L4004)/(SUMIF($A:$A,$A4004,$K:$K)+SUMIF($A:$A,$A4004,$L:$L)),0)</f>
        <v>-3.2135498767591286E-15</v>
      </c>
      <c r="O4004" s="30">
        <f>IFERROR((VLOOKUP($A4004,HeadJournal!$A$1:$L$890,COLUMN(HeadJournal!L$1),0)*($K4004+$L4004)/(SUMIF($A:$A,$A4004,$K:$K)+SUMIF($A:$A,$A4004,$L:$L)))/VLOOKUP($A4004,HeadJournal!$A$1:$L$890,COLUMN(HeadJournal!H$1),0),0)</f>
        <v>0.3372628121216964</v>
      </c>
      <c r="P4004" s="30">
        <f>IFERROR(SUM(K4004:O4004)*VLOOKUP($A4004,HeadJournal!$A$1:$L$890,COLUMN(HeadJournal!H$1),0),0)</f>
        <v>2315.8444472109013</v>
      </c>
      <c r="Q4004" s="29">
        <v>3100</v>
      </c>
      <c r="R4004" s="31">
        <v>45642</v>
      </c>
      <c r="S4004" s="31" t="s">
        <v>3121</v>
      </c>
      <c r="T4004" s="95" t="str">
        <f t="shared" si="315"/>
        <v>2024 12</v>
      </c>
      <c r="U4004" s="32">
        <f t="shared" si="312"/>
        <v>784.15555278909869</v>
      </c>
      <c r="V4004" s="22">
        <f t="shared" si="313"/>
        <v>0.338604587079888</v>
      </c>
      <c r="X4004" s="33"/>
      <c r="Y4004" s="33"/>
    </row>
    <row r="4005" spans="1:25" x14ac:dyDescent="0.2">
      <c r="A4005" s="93" t="s">
        <v>2476</v>
      </c>
      <c r="B4005" s="94" t="str">
        <f>IFERROR(VLOOKUP($A4005,HeadJournal!$A$1:$NTR$890,COLUMN(HeadJournal!B$1),0),"")</f>
        <v>720000447125</v>
      </c>
      <c r="C4005" s="94" t="str">
        <f>IFERROR(VLOOKUP($A4005,HeadJournal!$A$1:$NTR$890,COLUMN(HeadJournal!C$1),0),"")</f>
        <v>iHerb_OA CZN6870</v>
      </c>
      <c r="D4005" s="125" t="str">
        <f>IFERROR(VLOOKUP($A4005,HeadJournal!$A$1:$NTR$890,COLUMN(HeadJournal!D$1),0),"")</f>
        <v>Доставлен</v>
      </c>
      <c r="E4005" s="95">
        <f>IFERROR(VLOOKUP($A4005,HeadJournal!$A$1:$NTR$890,COLUMN(HeadJournal!G$1),0),"")</f>
        <v>45586</v>
      </c>
      <c r="F4005" s="95" t="str">
        <f t="shared" si="314"/>
        <v>2024 10</v>
      </c>
      <c r="G4005" s="97" t="s">
        <v>5</v>
      </c>
      <c r="H4005" s="161" t="s">
        <v>2468</v>
      </c>
      <c r="I4005" s="97" t="s">
        <v>2005</v>
      </c>
      <c r="J4005" s="97" t="s">
        <v>4109</v>
      </c>
      <c r="K4005" s="29">
        <v>24.66</v>
      </c>
      <c r="L4005" s="29">
        <v>-2.4649999999999999</v>
      </c>
      <c r="M4005" s="30">
        <f>IFERROR(VLOOKUP($A4005,HeadJournal!$A$1:$J$890,COLUMN(HeadJournal!I$1),0)*($K4005+$L4005)/(SUMIF($A:$A,$A4005,$K:$K)+SUMIF($A:$A,$A4005,$L:$L)),0)</f>
        <v>-0.99385659704533857</v>
      </c>
      <c r="N4005" s="30">
        <f>IFERROR((VLOOKUP($A4005,HeadJournal!$A$1:$K$890,COLUMN(HeadJournal!K$1),0)-VLOOKUP($A4005,HeadJournal!$A$1:$K$890,COLUMN(HeadJournal!J$1),0))*($K4005+$L4005)/(SUMIF($A:$A,$A4005,$K:$K)+SUMIF($A:$A,$A4005,$L:$L)),0)</f>
        <v>-3.2135498767591286E-15</v>
      </c>
      <c r="O4005" s="30">
        <f>IFERROR((VLOOKUP($A4005,HeadJournal!$A$1:$L$890,COLUMN(HeadJournal!L$1),0)*($K4005+$L4005)/(SUMIF($A:$A,$A4005,$K:$K)+SUMIF($A:$A,$A4005,$L:$L)))/VLOOKUP($A4005,HeadJournal!$A$1:$L$890,COLUMN(HeadJournal!H$1),0),0)</f>
        <v>0.3372628121216964</v>
      </c>
      <c r="P4005" s="30">
        <f>IFERROR(SUM(K4005:O4005)*VLOOKUP($A4005,HeadJournal!$A$1:$L$890,COLUMN(HeadJournal!H$1),0),0)</f>
        <v>2315.8444472109013</v>
      </c>
      <c r="Q4005" s="29">
        <v>3100</v>
      </c>
      <c r="R4005" s="31">
        <v>45679</v>
      </c>
      <c r="S4005" s="31" t="s">
        <v>3121</v>
      </c>
      <c r="T4005" s="95" t="str">
        <f t="shared" si="315"/>
        <v>2025 01</v>
      </c>
      <c r="U4005" s="32">
        <f t="shared" si="312"/>
        <v>784.15555278909869</v>
      </c>
      <c r="V4005" s="22">
        <f t="shared" si="313"/>
        <v>0.338604587079888</v>
      </c>
      <c r="X4005" s="33"/>
      <c r="Y4005" s="33"/>
    </row>
    <row r="4006" spans="1:25" x14ac:dyDescent="0.2">
      <c r="A4006" s="93" t="s">
        <v>2476</v>
      </c>
      <c r="B4006" s="94" t="str">
        <f>IFERROR(VLOOKUP($A4006,HeadJournal!$A$1:$NTR$890,COLUMN(HeadJournal!B$1),0),"")</f>
        <v>720000447125</v>
      </c>
      <c r="C4006" s="94" t="str">
        <f>IFERROR(VLOOKUP($A4006,HeadJournal!$A$1:$NTR$890,COLUMN(HeadJournal!C$1),0),"")</f>
        <v>iHerb_OA CZN6870</v>
      </c>
      <c r="D4006" s="125" t="str">
        <f>IFERROR(VLOOKUP($A4006,HeadJournal!$A$1:$NTR$890,COLUMN(HeadJournal!D$1),0),"")</f>
        <v>Доставлен</v>
      </c>
      <c r="E4006" s="95">
        <f>IFERROR(VLOOKUP($A4006,HeadJournal!$A$1:$NTR$890,COLUMN(HeadJournal!G$1),0),"")</f>
        <v>45586</v>
      </c>
      <c r="F4006" s="95" t="str">
        <f t="shared" si="314"/>
        <v>2024 10</v>
      </c>
      <c r="G4006" s="97" t="s">
        <v>5</v>
      </c>
      <c r="H4006" s="161" t="s">
        <v>2469</v>
      </c>
      <c r="I4006" s="97" t="s">
        <v>2005</v>
      </c>
      <c r="J4006" s="97" t="s">
        <v>2470</v>
      </c>
      <c r="K4006" s="29">
        <v>36.270000000000003</v>
      </c>
      <c r="L4006" s="29">
        <v>-3.63</v>
      </c>
      <c r="M4006" s="30">
        <f>IFERROR(VLOOKUP($A4006,HeadJournal!$A$1:$J$890,COLUMN(HeadJournal!I$1),0)*($K4006+$L4006)/(SUMIF($A:$A,$A4006,$K:$K)+SUMIF($A:$A,$A4006,$L:$L)),0)</f>
        <v>-1.4615669893020886</v>
      </c>
      <c r="N4006" s="30">
        <f>IFERROR((VLOOKUP($A4006,HeadJournal!$A$1:$K$890,COLUMN(HeadJournal!K$1),0)-VLOOKUP($A4006,HeadJournal!$A$1:$K$890,COLUMN(HeadJournal!J$1),0))*($K4006+$L4006)/(SUMIF($A:$A,$A4006,$K:$K)+SUMIF($A:$A,$A4006,$L:$L)),0)</f>
        <v>-4.7258512267365604E-15</v>
      </c>
      <c r="O4006" s="30">
        <f>IFERROR((VLOOKUP($A4006,HeadJournal!$A$1:$L$890,COLUMN(HeadJournal!L$1),0)*($K4006+$L4006)/(SUMIF($A:$A,$A4006,$K:$K)+SUMIF($A:$A,$A4006,$L:$L)))/VLOOKUP($A4006,HeadJournal!$A$1:$L$890,COLUMN(HeadJournal!H$1),0),0)</f>
        <v>0.49597919295571841</v>
      </c>
      <c r="P4006" s="30">
        <f>IFERROR(SUM(K4006:O4006)*VLOOKUP($A4006,HeadJournal!$A$1:$L$890,COLUMN(HeadJournal!H$1),0),0)</f>
        <v>3405.6842873153332</v>
      </c>
      <c r="Q4006" s="29">
        <v>4300</v>
      </c>
      <c r="R4006" s="31">
        <v>45622</v>
      </c>
      <c r="S4006" s="31" t="s">
        <v>3121</v>
      </c>
      <c r="T4006" s="95" t="str">
        <f t="shared" si="315"/>
        <v>2024 11</v>
      </c>
      <c r="U4006" s="32">
        <f t="shared" si="312"/>
        <v>894.31571268466678</v>
      </c>
      <c r="V4006" s="22">
        <f t="shared" si="313"/>
        <v>0.26259501387594764</v>
      </c>
      <c r="X4006" s="33"/>
      <c r="Y4006" s="33"/>
    </row>
    <row r="4007" spans="1:25" x14ac:dyDescent="0.2">
      <c r="A4007" s="93" t="s">
        <v>2476</v>
      </c>
      <c r="B4007" s="94" t="str">
        <f>IFERROR(VLOOKUP($A4007,HeadJournal!$A$1:$NTR$890,COLUMN(HeadJournal!B$1),0),"")</f>
        <v>720000447125</v>
      </c>
      <c r="C4007" s="94" t="str">
        <f>IFERROR(VLOOKUP($A4007,HeadJournal!$A$1:$NTR$890,COLUMN(HeadJournal!C$1),0),"")</f>
        <v>iHerb_OA CZN6870</v>
      </c>
      <c r="D4007" s="125" t="str">
        <f>IFERROR(VLOOKUP($A4007,HeadJournal!$A$1:$NTR$890,COLUMN(HeadJournal!D$1),0),"")</f>
        <v>Доставлен</v>
      </c>
      <c r="E4007" s="95">
        <f>IFERROR(VLOOKUP($A4007,HeadJournal!$A$1:$NTR$890,COLUMN(HeadJournal!G$1),0),"")</f>
        <v>45586</v>
      </c>
      <c r="F4007" s="95" t="str">
        <f t="shared" si="314"/>
        <v>2024 10</v>
      </c>
      <c r="G4007" s="97" t="s">
        <v>5</v>
      </c>
      <c r="H4007" s="161" t="s">
        <v>2471</v>
      </c>
      <c r="I4007" s="97" t="s">
        <v>2039</v>
      </c>
      <c r="J4007" s="97" t="s">
        <v>2472</v>
      </c>
      <c r="K4007" s="29">
        <v>20.85</v>
      </c>
      <c r="L4007" s="29">
        <v>-2.09</v>
      </c>
      <c r="M4007" s="30">
        <f>IFERROR(VLOOKUP($A4007,HeadJournal!$A$1:$J$890,COLUMN(HeadJournal!I$1),0)*($K4007+$L4007)/(SUMIF($A:$A,$A4007,$K:$K)+SUMIF($A:$A,$A4007,$L:$L)),0)</f>
        <v>-0.8400427916454406</v>
      </c>
      <c r="N4007" s="30">
        <f>IFERROR((VLOOKUP($A4007,HeadJournal!$A$1:$K$890,COLUMN(HeadJournal!K$1),0)-VLOOKUP($A4007,HeadJournal!$A$1:$K$890,COLUMN(HeadJournal!J$1),0))*($K4007+$L4007)/(SUMIF($A:$A,$A4007,$K:$K)+SUMIF($A:$A,$A4007,$L:$L)),0)</f>
        <v>-2.7162061585042242E-15</v>
      </c>
      <c r="O4007" s="30">
        <f>IFERROR((VLOOKUP($A4007,HeadJournal!$A$1:$L$890,COLUMN(HeadJournal!L$1),0)*($K4007+$L4007)/(SUMIF($A:$A,$A4007,$K:$K)+SUMIF($A:$A,$A4007,$L:$L)))/VLOOKUP($A4007,HeadJournal!$A$1:$L$890,COLUMN(HeadJournal!H$1),0),0)</f>
        <v>0.2850664724218529</v>
      </c>
      <c r="P4007" s="30">
        <f>IFERROR(SUM(K4007:O4007)*VLOOKUP($A4007,HeadJournal!$A$1:$L$890,COLUMN(HeadJournal!H$1),0),0)</f>
        <v>1957.4337386653078</v>
      </c>
      <c r="Q4007" s="29">
        <v>2600</v>
      </c>
      <c r="R4007" s="31">
        <v>45884</v>
      </c>
      <c r="S4007" s="31" t="s">
        <v>4457</v>
      </c>
      <c r="T4007" s="95" t="str">
        <f t="shared" si="315"/>
        <v>2025 08</v>
      </c>
      <c r="U4007" s="32">
        <f t="shared" si="312"/>
        <v>642.56626133469217</v>
      </c>
      <c r="V4007" s="22">
        <f t="shared" si="313"/>
        <v>0.32826973840393248</v>
      </c>
      <c r="X4007" s="33"/>
      <c r="Y4007" s="33"/>
    </row>
    <row r="4008" spans="1:25" x14ac:dyDescent="0.2">
      <c r="A4008" s="93" t="s">
        <v>2476</v>
      </c>
      <c r="B4008" s="94" t="str">
        <f>IFERROR(VLOOKUP($A4008,HeadJournal!$A$1:$NTR$890,COLUMN(HeadJournal!B$1),0),"")</f>
        <v>720000447125</v>
      </c>
      <c r="C4008" s="94" t="str">
        <f>IFERROR(VLOOKUP($A4008,HeadJournal!$A$1:$NTR$890,COLUMN(HeadJournal!C$1),0),"")</f>
        <v>iHerb_OA CZN6870</v>
      </c>
      <c r="D4008" s="125" t="str">
        <f>IFERROR(VLOOKUP($A4008,HeadJournal!$A$1:$NTR$890,COLUMN(HeadJournal!D$1),0),"")</f>
        <v>Доставлен</v>
      </c>
      <c r="E4008" s="95">
        <f>IFERROR(VLOOKUP($A4008,HeadJournal!$A$1:$NTR$890,COLUMN(HeadJournal!G$1),0),"")</f>
        <v>45586</v>
      </c>
      <c r="F4008" s="95" t="str">
        <f t="shared" si="314"/>
        <v>2024 10</v>
      </c>
      <c r="G4008" s="97" t="s">
        <v>5</v>
      </c>
      <c r="H4008" s="161" t="s">
        <v>2473</v>
      </c>
      <c r="I4008" s="97" t="s">
        <v>2005</v>
      </c>
      <c r="J4008" s="97" t="s">
        <v>2474</v>
      </c>
      <c r="K4008" s="29">
        <v>24.11</v>
      </c>
      <c r="L4008" s="29">
        <v>-2.41</v>
      </c>
      <c r="M4008" s="30">
        <f>IFERROR(VLOOKUP($A4008,HeadJournal!$A$1:$J$890,COLUMN(HeadJournal!I$1),0)*($K4008+$L4008)/(SUMIF($A:$A,$A4008,$K:$K)+SUMIF($A:$A,$A4008,$L:$L)),0)</f>
        <v>-0.97169128884360645</v>
      </c>
      <c r="N4008" s="30">
        <f>IFERROR((VLOOKUP($A4008,HeadJournal!$A$1:$K$890,COLUMN(HeadJournal!K$1),0)-VLOOKUP($A4008,HeadJournal!$A$1:$K$890,COLUMN(HeadJournal!J$1),0))*($K4008+$L4008)/(SUMIF($A:$A,$A4008,$K:$K)+SUMIF($A:$A,$A4008,$L:$L)),0)</f>
        <v>-3.1418802579713038E-15</v>
      </c>
      <c r="O4008" s="30">
        <f>IFERROR((VLOOKUP($A4008,HeadJournal!$A$1:$L$890,COLUMN(HeadJournal!L$1),0)*($K4008+$L4008)/(SUMIF($A:$A,$A4008,$K:$K)+SUMIF($A:$A,$A4008,$L:$L)))/VLOOKUP($A4008,HeadJournal!$A$1:$L$890,COLUMN(HeadJournal!H$1),0),0)</f>
        <v>0.32974106884617305</v>
      </c>
      <c r="P4008" s="30">
        <f>IFERROR(SUM(K4008:O4008)*VLOOKUP($A4008,HeadJournal!$A$1:$L$890,COLUMN(HeadJournal!H$1),0),0)</f>
        <v>2264.1957424859902</v>
      </c>
      <c r="Q4008" s="29">
        <v>3000</v>
      </c>
      <c r="R4008" s="31">
        <v>45622</v>
      </c>
      <c r="S4008" s="31" t="s">
        <v>3121</v>
      </c>
      <c r="T4008" s="95" t="str">
        <f t="shared" si="315"/>
        <v>2024 11</v>
      </c>
      <c r="U4008" s="32">
        <f t="shared" si="312"/>
        <v>735.80425751400981</v>
      </c>
      <c r="V4008" s="22">
        <f t="shared" si="313"/>
        <v>0.32497378371806679</v>
      </c>
      <c r="X4008" s="33"/>
      <c r="Y4008" s="33"/>
    </row>
    <row r="4009" spans="1:25" x14ac:dyDescent="0.2">
      <c r="A4009" s="93" t="s">
        <v>2476</v>
      </c>
      <c r="B4009" s="94" t="str">
        <f>IFERROR(VLOOKUP($A4009,HeadJournal!$A$1:$NTR$890,COLUMN(HeadJournal!B$1),0),"")</f>
        <v>720000447125</v>
      </c>
      <c r="C4009" s="94" t="str">
        <f>IFERROR(VLOOKUP($A4009,HeadJournal!$A$1:$NTR$890,COLUMN(HeadJournal!C$1),0),"")</f>
        <v>iHerb_OA CZN6870</v>
      </c>
      <c r="D4009" s="125" t="str">
        <f>IFERROR(VLOOKUP($A4009,HeadJournal!$A$1:$NTR$890,COLUMN(HeadJournal!D$1),0),"")</f>
        <v>Доставлен</v>
      </c>
      <c r="E4009" s="95">
        <f>IFERROR(VLOOKUP($A4009,HeadJournal!$A$1:$NTR$890,COLUMN(HeadJournal!G$1),0),"")</f>
        <v>45586</v>
      </c>
      <c r="F4009" s="95" t="str">
        <f t="shared" si="314"/>
        <v>2024 10</v>
      </c>
      <c r="G4009" s="97" t="s">
        <v>5</v>
      </c>
      <c r="H4009" s="161" t="s">
        <v>2475</v>
      </c>
      <c r="I4009" s="97" t="s">
        <v>2005</v>
      </c>
      <c r="J4009" s="97" t="s">
        <v>3755</v>
      </c>
      <c r="K4009" s="29">
        <v>13.25</v>
      </c>
      <c r="L4009" s="29">
        <v>-1.33</v>
      </c>
      <c r="M4009" s="30">
        <f>IFERROR(VLOOKUP($A4009,HeadJournal!$A$1:$J$890,COLUMN(HeadJournal!I$1),0)*($K4009+$L4009)/(SUMIF($A:$A,$A4009,$K:$K)+SUMIF($A:$A,$A4009,$L:$L)),0)</f>
        <v>-0.53375853285787056</v>
      </c>
      <c r="N4009" s="30">
        <f>IFERROR((VLOOKUP($A4009,HeadJournal!$A$1:$K$890,COLUMN(HeadJournal!K$1),0)-VLOOKUP($A4009,HeadJournal!$A$1:$K$890,COLUMN(HeadJournal!J$1),0))*($K4009+$L4009)/(SUMIF($A:$A,$A4009,$K:$K)+SUMIF($A:$A,$A4009,$L:$L)),0)</f>
        <v>-1.725862335254283E-15</v>
      </c>
      <c r="O4009" s="30">
        <f>IFERROR((VLOOKUP($A4009,HeadJournal!$A$1:$L$890,COLUMN(HeadJournal!L$1),0)*($K4009+$L4009)/(SUMIF($A:$A,$A4009,$K:$K)+SUMIF($A:$A,$A4009,$L:$L)))/VLOOKUP($A4009,HeadJournal!$A$1:$L$890,COLUMN(HeadJournal!H$1),0),0)</f>
        <v>0.1811296562509854</v>
      </c>
      <c r="P4009" s="30">
        <f>IFERROR(SUM(K4009:O4009)*VLOOKUP($A4009,HeadJournal!$A$1:$L$890,COLUMN(HeadJournal!H$1),0),0)</f>
        <v>1243.7425461029034</v>
      </c>
      <c r="Q4009" s="29">
        <v>1700</v>
      </c>
      <c r="R4009" s="31">
        <v>45773</v>
      </c>
      <c r="S4009" s="31" t="s">
        <v>3121</v>
      </c>
      <c r="T4009" s="95" t="str">
        <f t="shared" si="315"/>
        <v>2025 04</v>
      </c>
      <c r="U4009" s="32">
        <f t="shared" si="312"/>
        <v>456.25745389709664</v>
      </c>
      <c r="V4009" s="22">
        <f t="shared" si="313"/>
        <v>0.36684236245412427</v>
      </c>
      <c r="X4009" s="33"/>
      <c r="Y4009" s="33"/>
    </row>
    <row r="4010" spans="1:25" x14ac:dyDescent="0.2">
      <c r="A4010" s="93" t="s">
        <v>2476</v>
      </c>
      <c r="B4010" s="94" t="str">
        <f>IFERROR(VLOOKUP($A4010,HeadJournal!$A$1:$NTR$890,COLUMN(HeadJournal!B$1),0),"")</f>
        <v>720000447125</v>
      </c>
      <c r="C4010" s="94" t="str">
        <f>IFERROR(VLOOKUP($A4010,HeadJournal!$A$1:$NTR$890,COLUMN(HeadJournal!C$1),0),"")</f>
        <v>iHerb_OA CZN6870</v>
      </c>
      <c r="D4010" s="125" t="str">
        <f>IFERROR(VLOOKUP($A4010,HeadJournal!$A$1:$NTR$890,COLUMN(HeadJournal!D$1),0),"")</f>
        <v>Доставлен</v>
      </c>
      <c r="E4010" s="95">
        <f>IFERROR(VLOOKUP($A4010,HeadJournal!$A$1:$NTR$890,COLUMN(HeadJournal!G$1),0),"")</f>
        <v>45586</v>
      </c>
      <c r="F4010" s="95" t="str">
        <f t="shared" si="314"/>
        <v>2024 10</v>
      </c>
      <c r="G4010" s="97" t="s">
        <v>5</v>
      </c>
      <c r="H4010" s="161" t="s">
        <v>4087</v>
      </c>
      <c r="I4010" s="97" t="s">
        <v>4083</v>
      </c>
      <c r="J4010" s="97" t="s">
        <v>4088</v>
      </c>
      <c r="K4010" s="29">
        <v>15.89</v>
      </c>
      <c r="L4010" s="29">
        <v>-6.31</v>
      </c>
      <c r="M4010" s="30">
        <f>IFERROR(VLOOKUP($A4010,HeadJournal!$A$1:$J$890,COLUMN(HeadJournal!I$1),0)*($K4010+$L4010)/(SUMIF($A:$A,$A4010,$K:$K)+SUMIF($A:$A,$A4010,$L:$L)),0)</f>
        <v>-0.42897707590422823</v>
      </c>
      <c r="N4010" s="30">
        <f>IFERROR((VLOOKUP($A4010,HeadJournal!$A$1:$K$890,COLUMN(HeadJournal!K$1),0)-VLOOKUP($A4010,HeadJournal!$A$1:$K$890,COLUMN(HeadJournal!J$1),0))*($K4010+$L4010)/(SUMIF($A:$A,$A4010,$K:$K)+SUMIF($A:$A,$A4010,$L:$L)),0)</f>
        <v>-1.3870605009845667E-15</v>
      </c>
      <c r="O4010" s="30">
        <f>IFERROR((VLOOKUP($A4010,HeadJournal!$A$1:$L$890,COLUMN(HeadJournal!L$1),0)*($K4010+$L4010)/(SUMIF($A:$A,$A4010,$K:$K)+SUMIF($A:$A,$A4010,$L:$L)))/VLOOKUP($A4010,HeadJournal!$A$1:$L$890,COLUMN(HeadJournal!H$1),0),0)</f>
        <v>0.14557232440305709</v>
      </c>
      <c r="P4010" s="30">
        <f>IFERROR(SUM(K4010:O4010)*VLOOKUP($A4010,HeadJournal!$A$1:$L$890,COLUMN(HeadJournal!H$1),0),0)</f>
        <v>999.58503285787049</v>
      </c>
      <c r="Q4010" s="29">
        <v>2400</v>
      </c>
      <c r="R4010" s="31">
        <v>45884</v>
      </c>
      <c r="S4010" s="31"/>
      <c r="T4010" s="95" t="str">
        <f t="shared" si="315"/>
        <v>2025 08</v>
      </c>
      <c r="U4010" s="32">
        <f t="shared" si="312"/>
        <v>1400.4149671421296</v>
      </c>
      <c r="V4010" s="22">
        <f t="shared" si="313"/>
        <v>1.4009963345872272</v>
      </c>
      <c r="X4010" s="33"/>
      <c r="Y4010" s="33"/>
    </row>
    <row r="4011" spans="1:25" x14ac:dyDescent="0.2">
      <c r="A4011" s="93" t="s">
        <v>2486</v>
      </c>
      <c r="B4011" s="94" t="str">
        <f>IFERROR(VLOOKUP($A4011,HeadJournal!$A$1:$NTR$890,COLUMN(HeadJournal!B$1),0),"")</f>
        <v>720000451444</v>
      </c>
      <c r="C4011" s="94" t="str">
        <f>IFERROR(VLOOKUP($A4011,HeadJournal!$A$1:$NTR$890,COLUMN(HeadJournal!C$1),0),"")</f>
        <v>iHerb_VP DFD1605</v>
      </c>
      <c r="D4011" s="125" t="str">
        <f>IFERROR(VLOOKUP($A4011,HeadJournal!$A$1:$NTR$890,COLUMN(HeadJournal!D$1),0),"")</f>
        <v>Доставлен</v>
      </c>
      <c r="E4011" s="95">
        <f>IFERROR(VLOOKUP($A4011,HeadJournal!$A$1:$NTR$890,COLUMN(HeadJournal!G$1),0),"")</f>
        <v>45589</v>
      </c>
      <c r="F4011" s="95" t="str">
        <f t="shared" si="314"/>
        <v>2024 10</v>
      </c>
      <c r="G4011" s="97" t="s">
        <v>5</v>
      </c>
      <c r="H4011" s="161" t="s">
        <v>2450</v>
      </c>
      <c r="I4011" s="97" t="s">
        <v>2451</v>
      </c>
      <c r="J4011" s="97" t="s">
        <v>2452</v>
      </c>
      <c r="K4011" s="29">
        <v>13.6</v>
      </c>
      <c r="L4011" s="29">
        <v>-3.4</v>
      </c>
      <c r="M4011" s="30">
        <f>IFERROR(VLOOKUP($A4011,HeadJournal!$A$1:$J$890,COLUMN(HeadJournal!I$1),0)*($K4011+$L4011)/(SUMIF($A:$A,$A4011,$K:$K)+SUMIF($A:$A,$A4011,$L:$L)),0)</f>
        <v>-1.264645678050951</v>
      </c>
      <c r="N4011" s="30">
        <f>IFERROR((VLOOKUP($A4011,HeadJournal!$A$1:$K$890,COLUMN(HeadJournal!K$1),0)-VLOOKUP($A4011,HeadJournal!$A$1:$K$890,COLUMN(HeadJournal!J$1),0))*($K4011+$L4011)/(SUMIF($A:$A,$A4011,$K:$K)+SUMIF($A:$A,$A4011,$L:$L)),0)</f>
        <v>0</v>
      </c>
      <c r="O4011" s="30">
        <f>IFERROR((VLOOKUP($A4011,HeadJournal!$A$1:$L$890,COLUMN(HeadJournal!L$1),0)*($K4011+$L4011)/(SUMIF($A:$A,$A4011,$K:$K)+SUMIF($A:$A,$A4011,$L:$L)))/VLOOKUP($A4011,HeadJournal!$A$1:$L$890,COLUMN(HeadJournal!H$1),0),0)</f>
        <v>0.16781996120512777</v>
      </c>
      <c r="P4011" s="30">
        <f>IFERROR(SUM(K4011:O4011)*VLOOKUP($A4011,HeadJournal!$A$1:$L$890,COLUMN(HeadJournal!H$1),0),0)</f>
        <v>987.04616475692512</v>
      </c>
      <c r="Q4011" s="29">
        <v>2000</v>
      </c>
      <c r="R4011" s="31">
        <v>45682</v>
      </c>
      <c r="S4011" s="31" t="s">
        <v>3121</v>
      </c>
      <c r="T4011" s="95" t="str">
        <f t="shared" si="315"/>
        <v>2025 01</v>
      </c>
      <c r="U4011" s="32">
        <f t="shared" si="312"/>
        <v>1012.9538352430749</v>
      </c>
      <c r="V4011" s="22">
        <f t="shared" si="313"/>
        <v>1.0262476785901193</v>
      </c>
      <c r="X4011" s="33"/>
      <c r="Y4011" s="33"/>
    </row>
    <row r="4012" spans="1:25" x14ac:dyDescent="0.2">
      <c r="A4012" s="93" t="s">
        <v>2486</v>
      </c>
      <c r="B4012" s="94" t="str">
        <f>IFERROR(VLOOKUP($A4012,HeadJournal!$A$1:$NTR$890,COLUMN(HeadJournal!B$1),0),"")</f>
        <v>720000451444</v>
      </c>
      <c r="C4012" s="94" t="str">
        <f>IFERROR(VLOOKUP($A4012,HeadJournal!$A$1:$NTR$890,COLUMN(HeadJournal!C$1),0),"")</f>
        <v>iHerb_VP DFD1605</v>
      </c>
      <c r="D4012" s="125" t="str">
        <f>IFERROR(VLOOKUP($A4012,HeadJournal!$A$1:$NTR$890,COLUMN(HeadJournal!D$1),0),"")</f>
        <v>Доставлен</v>
      </c>
      <c r="E4012" s="95">
        <f>IFERROR(VLOOKUP($A4012,HeadJournal!$A$1:$NTR$890,COLUMN(HeadJournal!G$1),0),"")</f>
        <v>45589</v>
      </c>
      <c r="F4012" s="95" t="str">
        <f t="shared" si="314"/>
        <v>2024 10</v>
      </c>
      <c r="G4012" s="97" t="s">
        <v>5</v>
      </c>
      <c r="H4012" s="161" t="s">
        <v>2450</v>
      </c>
      <c r="I4012" s="97" t="s">
        <v>2451</v>
      </c>
      <c r="J4012" s="97" t="s">
        <v>2452</v>
      </c>
      <c r="K4012" s="29">
        <v>13.6</v>
      </c>
      <c r="L4012" s="29">
        <v>-3.4</v>
      </c>
      <c r="M4012" s="30">
        <f>IFERROR(VLOOKUP($A4012,HeadJournal!$A$1:$J$890,COLUMN(HeadJournal!I$1),0)*($K4012+$L4012)/(SUMIF($A:$A,$A4012,$K:$K)+SUMIF($A:$A,$A4012,$L:$L)),0)</f>
        <v>-1.264645678050951</v>
      </c>
      <c r="N4012" s="30">
        <f>IFERROR((VLOOKUP($A4012,HeadJournal!$A$1:$K$890,COLUMN(HeadJournal!K$1),0)-VLOOKUP($A4012,HeadJournal!$A$1:$K$890,COLUMN(HeadJournal!J$1),0))*($K4012+$L4012)/(SUMIF($A:$A,$A4012,$K:$K)+SUMIF($A:$A,$A4012,$L:$L)),0)</f>
        <v>0</v>
      </c>
      <c r="O4012" s="30">
        <f>IFERROR((VLOOKUP($A4012,HeadJournal!$A$1:$L$890,COLUMN(HeadJournal!L$1),0)*($K4012+$L4012)/(SUMIF($A:$A,$A4012,$K:$K)+SUMIF($A:$A,$A4012,$L:$L)))/VLOOKUP($A4012,HeadJournal!$A$1:$L$890,COLUMN(HeadJournal!H$1),0),0)</f>
        <v>0.16781996120512777</v>
      </c>
      <c r="P4012" s="30">
        <f>IFERROR(SUM(K4012:O4012)*VLOOKUP($A4012,HeadJournal!$A$1:$L$890,COLUMN(HeadJournal!H$1),0),0)</f>
        <v>987.04616475692512</v>
      </c>
      <c r="Q4012" s="29">
        <v>1900</v>
      </c>
      <c r="R4012" s="31">
        <v>45884</v>
      </c>
      <c r="S4012" s="31"/>
      <c r="T4012" s="95" t="str">
        <f t="shared" si="315"/>
        <v>2025 08</v>
      </c>
      <c r="U4012" s="32">
        <f t="shared" si="312"/>
        <v>912.95383524307488</v>
      </c>
      <c r="V4012" s="22">
        <f t="shared" si="313"/>
        <v>0.92493529466061342</v>
      </c>
      <c r="X4012" s="33"/>
      <c r="Y4012" s="33"/>
    </row>
    <row r="4013" spans="1:25" x14ac:dyDescent="0.2">
      <c r="A4013" s="93" t="s">
        <v>2486</v>
      </c>
      <c r="B4013" s="94" t="str">
        <f>IFERROR(VLOOKUP($A4013,HeadJournal!$A$1:$NTR$890,COLUMN(HeadJournal!B$1),0),"")</f>
        <v>720000451444</v>
      </c>
      <c r="C4013" s="94" t="str">
        <f>IFERROR(VLOOKUP($A4013,HeadJournal!$A$1:$NTR$890,COLUMN(HeadJournal!C$1),0),"")</f>
        <v>iHerb_VP DFD1605</v>
      </c>
      <c r="D4013" s="125" t="str">
        <f>IFERROR(VLOOKUP($A4013,HeadJournal!$A$1:$NTR$890,COLUMN(HeadJournal!D$1),0),"")</f>
        <v>Доставлен</v>
      </c>
      <c r="E4013" s="95">
        <f>IFERROR(VLOOKUP($A4013,HeadJournal!$A$1:$NTR$890,COLUMN(HeadJournal!G$1),0),"")</f>
        <v>45589</v>
      </c>
      <c r="F4013" s="95" t="str">
        <f t="shared" si="314"/>
        <v>2024 10</v>
      </c>
      <c r="G4013" s="97" t="s">
        <v>5</v>
      </c>
      <c r="H4013" s="161" t="s">
        <v>2479</v>
      </c>
      <c r="I4013" s="97" t="s">
        <v>2207</v>
      </c>
      <c r="J4013" s="97" t="s">
        <v>2480</v>
      </c>
      <c r="K4013" s="29">
        <v>44.62</v>
      </c>
      <c r="L4013" s="29">
        <v>-11.156666666666666</v>
      </c>
      <c r="M4013" s="30">
        <f>IFERROR(VLOOKUP($A4013,HeadJournal!$A$1:$J$890,COLUMN(HeadJournal!I$1),0)*($K4013+$L4013)/(SUMIF($A:$A,$A4013,$K:$K)+SUMIF($A:$A,$A4013,$L:$L)),0)</f>
        <v>-4.1489470463900311</v>
      </c>
      <c r="N4013" s="30">
        <f>IFERROR((VLOOKUP($A4013,HeadJournal!$A$1:$K$890,COLUMN(HeadJournal!K$1),0)-VLOOKUP($A4013,HeadJournal!$A$1:$K$890,COLUMN(HeadJournal!J$1),0))*($K4013+$L4013)/(SUMIF($A:$A,$A4013,$K:$K)+SUMIF($A:$A,$A4013,$L:$L)),0)</f>
        <v>0</v>
      </c>
      <c r="O4013" s="30">
        <f>IFERROR((VLOOKUP($A4013,HeadJournal!$A$1:$L$890,COLUMN(HeadJournal!L$1),0)*($K4013+$L4013)/(SUMIF($A:$A,$A4013,$K:$K)+SUMIF($A:$A,$A4013,$L:$L)))/VLOOKUP($A4013,HeadJournal!$A$1:$L$890,COLUMN(HeadJournal!H$1),0),0)</f>
        <v>0.55057012762688806</v>
      </c>
      <c r="P4013" s="30">
        <f>IFERROR(SUM(K4013:O4013)*VLOOKUP($A4013,HeadJournal!$A$1:$L$890,COLUMN(HeadJournal!H$1),0),0)</f>
        <v>3238.2210614361998</v>
      </c>
      <c r="Q4013" s="29">
        <v>5000</v>
      </c>
      <c r="R4013" s="31">
        <v>45619</v>
      </c>
      <c r="S4013" s="31" t="s">
        <v>3121</v>
      </c>
      <c r="T4013" s="95" t="str">
        <f t="shared" si="315"/>
        <v>2024 11</v>
      </c>
      <c r="U4013" s="32">
        <f t="shared" si="312"/>
        <v>1761.7789385638002</v>
      </c>
      <c r="V4013" s="22">
        <f t="shared" si="313"/>
        <v>0.54405764928921341</v>
      </c>
      <c r="X4013" s="33"/>
      <c r="Y4013" s="33"/>
    </row>
    <row r="4014" spans="1:25" x14ac:dyDescent="0.2">
      <c r="A4014" s="93" t="s">
        <v>2486</v>
      </c>
      <c r="B4014" s="94" t="str">
        <f>IFERROR(VLOOKUP($A4014,HeadJournal!$A$1:$NTR$890,COLUMN(HeadJournal!B$1),0),"")</f>
        <v>720000451444</v>
      </c>
      <c r="C4014" s="94" t="str">
        <f>IFERROR(VLOOKUP($A4014,HeadJournal!$A$1:$NTR$890,COLUMN(HeadJournal!C$1),0),"")</f>
        <v>iHerb_VP DFD1605</v>
      </c>
      <c r="D4014" s="125" t="str">
        <f>IFERROR(VLOOKUP($A4014,HeadJournal!$A$1:$NTR$890,COLUMN(HeadJournal!D$1),0),"")</f>
        <v>Доставлен</v>
      </c>
      <c r="E4014" s="95">
        <f>IFERROR(VLOOKUP($A4014,HeadJournal!$A$1:$NTR$890,COLUMN(HeadJournal!G$1),0),"")</f>
        <v>45589</v>
      </c>
      <c r="F4014" s="95" t="str">
        <f t="shared" si="314"/>
        <v>2024 10</v>
      </c>
      <c r="G4014" s="97" t="s">
        <v>5</v>
      </c>
      <c r="H4014" s="161" t="s">
        <v>2479</v>
      </c>
      <c r="I4014" s="97" t="s">
        <v>2207</v>
      </c>
      <c r="J4014" s="97" t="s">
        <v>2480</v>
      </c>
      <c r="K4014" s="29">
        <v>44.62</v>
      </c>
      <c r="L4014" s="29">
        <v>-11.156666666666666</v>
      </c>
      <c r="M4014" s="30">
        <f>IFERROR(VLOOKUP($A4014,HeadJournal!$A$1:$J$890,COLUMN(HeadJournal!I$1),0)*($K4014+$L4014)/(SUMIF($A:$A,$A4014,$K:$K)+SUMIF($A:$A,$A4014,$L:$L)),0)</f>
        <v>-4.1489470463900311</v>
      </c>
      <c r="N4014" s="30">
        <f>IFERROR((VLOOKUP($A4014,HeadJournal!$A$1:$K$890,COLUMN(HeadJournal!K$1),0)-VLOOKUP($A4014,HeadJournal!$A$1:$K$890,COLUMN(HeadJournal!J$1),0))*($K4014+$L4014)/(SUMIF($A:$A,$A4014,$K:$K)+SUMIF($A:$A,$A4014,$L:$L)),0)</f>
        <v>0</v>
      </c>
      <c r="O4014" s="30">
        <f>IFERROR((VLOOKUP($A4014,HeadJournal!$A$1:$L$890,COLUMN(HeadJournal!L$1),0)*($K4014+$L4014)/(SUMIF($A:$A,$A4014,$K:$K)+SUMIF($A:$A,$A4014,$L:$L)))/VLOOKUP($A4014,HeadJournal!$A$1:$L$890,COLUMN(HeadJournal!H$1),0),0)</f>
        <v>0.55057012762688806</v>
      </c>
      <c r="P4014" s="30">
        <f>IFERROR(SUM(K4014:O4014)*VLOOKUP($A4014,HeadJournal!$A$1:$L$890,COLUMN(HeadJournal!H$1),0),0)</f>
        <v>3238.2210614361998</v>
      </c>
      <c r="Q4014" s="29">
        <v>5000</v>
      </c>
      <c r="R4014" s="31">
        <v>45619</v>
      </c>
      <c r="S4014" s="31" t="s">
        <v>3121</v>
      </c>
      <c r="T4014" s="95" t="str">
        <f t="shared" si="315"/>
        <v>2024 11</v>
      </c>
      <c r="U4014" s="32">
        <f t="shared" si="312"/>
        <v>1761.7789385638002</v>
      </c>
      <c r="V4014" s="22">
        <f t="shared" si="313"/>
        <v>0.54405764928921341</v>
      </c>
      <c r="X4014" s="33"/>
      <c r="Y4014" s="33"/>
    </row>
    <row r="4015" spans="1:25" x14ac:dyDescent="0.2">
      <c r="A4015" s="93" t="s">
        <v>2486</v>
      </c>
      <c r="B4015" s="94" t="str">
        <f>IFERROR(VLOOKUP($A4015,HeadJournal!$A$1:$NTR$890,COLUMN(HeadJournal!B$1),0),"")</f>
        <v>720000451444</v>
      </c>
      <c r="C4015" s="94" t="str">
        <f>IFERROR(VLOOKUP($A4015,HeadJournal!$A$1:$NTR$890,COLUMN(HeadJournal!C$1),0),"")</f>
        <v>iHerb_VP DFD1605</v>
      </c>
      <c r="D4015" s="125" t="str">
        <f>IFERROR(VLOOKUP($A4015,HeadJournal!$A$1:$NTR$890,COLUMN(HeadJournal!D$1),0),"")</f>
        <v>Доставлен</v>
      </c>
      <c r="E4015" s="95">
        <f>IFERROR(VLOOKUP($A4015,HeadJournal!$A$1:$NTR$890,COLUMN(HeadJournal!G$1),0),"")</f>
        <v>45589</v>
      </c>
      <c r="F4015" s="95" t="str">
        <f t="shared" si="314"/>
        <v>2024 10</v>
      </c>
      <c r="G4015" s="97" t="s">
        <v>5</v>
      </c>
      <c r="H4015" s="161" t="s">
        <v>2479</v>
      </c>
      <c r="I4015" s="97" t="s">
        <v>2207</v>
      </c>
      <c r="J4015" s="97" t="s">
        <v>2480</v>
      </c>
      <c r="K4015" s="29">
        <v>44.62</v>
      </c>
      <c r="L4015" s="29">
        <v>-11.156666666666666</v>
      </c>
      <c r="M4015" s="30">
        <f>IFERROR(VLOOKUP($A4015,HeadJournal!$A$1:$J$890,COLUMN(HeadJournal!I$1),0)*($K4015+$L4015)/(SUMIF($A:$A,$A4015,$K:$K)+SUMIF($A:$A,$A4015,$L:$L)),0)</f>
        <v>-4.1489470463900311</v>
      </c>
      <c r="N4015" s="30">
        <f>IFERROR((VLOOKUP($A4015,HeadJournal!$A$1:$K$890,COLUMN(HeadJournal!K$1),0)-VLOOKUP($A4015,HeadJournal!$A$1:$K$890,COLUMN(HeadJournal!J$1),0))*($K4015+$L4015)/(SUMIF($A:$A,$A4015,$K:$K)+SUMIF($A:$A,$A4015,$L:$L)),0)</f>
        <v>0</v>
      </c>
      <c r="O4015" s="30">
        <f>IFERROR((VLOOKUP($A4015,HeadJournal!$A$1:$L$890,COLUMN(HeadJournal!L$1),0)*($K4015+$L4015)/(SUMIF($A:$A,$A4015,$K:$K)+SUMIF($A:$A,$A4015,$L:$L)))/VLOOKUP($A4015,HeadJournal!$A$1:$L$890,COLUMN(HeadJournal!H$1),0),0)</f>
        <v>0.55057012762688806</v>
      </c>
      <c r="P4015" s="30">
        <f>IFERROR(SUM(K4015:O4015)*VLOOKUP($A4015,HeadJournal!$A$1:$L$890,COLUMN(HeadJournal!H$1),0),0)</f>
        <v>3238.2210614361998</v>
      </c>
      <c r="Q4015" s="29">
        <v>5000</v>
      </c>
      <c r="R4015" s="31">
        <v>45619</v>
      </c>
      <c r="S4015" s="31" t="s">
        <v>3121</v>
      </c>
      <c r="T4015" s="95" t="str">
        <f t="shared" si="315"/>
        <v>2024 11</v>
      </c>
      <c r="U4015" s="32">
        <f t="shared" si="312"/>
        <v>1761.7789385638002</v>
      </c>
      <c r="V4015" s="22">
        <f t="shared" si="313"/>
        <v>0.54405764928921341</v>
      </c>
      <c r="X4015" s="33"/>
      <c r="Y4015" s="33"/>
    </row>
    <row r="4016" spans="1:25" x14ac:dyDescent="0.2">
      <c r="A4016" s="93" t="s">
        <v>2486</v>
      </c>
      <c r="B4016" s="94" t="str">
        <f>IFERROR(VLOOKUP($A4016,HeadJournal!$A$1:$NTR$890,COLUMN(HeadJournal!B$1),0),"")</f>
        <v>720000451444</v>
      </c>
      <c r="C4016" s="94" t="str">
        <f>IFERROR(VLOOKUP($A4016,HeadJournal!$A$1:$NTR$890,COLUMN(HeadJournal!C$1),0),"")</f>
        <v>iHerb_VP DFD1605</v>
      </c>
      <c r="D4016" s="125" t="str">
        <f>IFERROR(VLOOKUP($A4016,HeadJournal!$A$1:$NTR$890,COLUMN(HeadJournal!D$1),0),"")</f>
        <v>Доставлен</v>
      </c>
      <c r="E4016" s="95">
        <f>IFERROR(VLOOKUP($A4016,HeadJournal!$A$1:$NTR$890,COLUMN(HeadJournal!G$1),0),"")</f>
        <v>45589</v>
      </c>
      <c r="F4016" s="95" t="str">
        <f t="shared" si="314"/>
        <v>2024 10</v>
      </c>
      <c r="G4016" s="97" t="s">
        <v>5</v>
      </c>
      <c r="H4016" s="161" t="s">
        <v>2101</v>
      </c>
      <c r="I4016" s="97" t="s">
        <v>2102</v>
      </c>
      <c r="J4016" s="97" t="s">
        <v>4015</v>
      </c>
      <c r="K4016" s="29">
        <v>47.82</v>
      </c>
      <c r="L4016" s="29">
        <v>-11.96</v>
      </c>
      <c r="M4016" s="30">
        <f>IFERROR(VLOOKUP($A4016,HeadJournal!$A$1:$J$890,COLUMN(HeadJournal!I$1),0)*($K4016+$L4016)/(SUMIF($A:$A,$A4016,$K:$K)+SUMIF($A:$A,$A4016,$L:$L)),0)</f>
        <v>-4.4460974524418733</v>
      </c>
      <c r="N4016" s="30">
        <f>IFERROR((VLOOKUP($A4016,HeadJournal!$A$1:$K$890,COLUMN(HeadJournal!K$1),0)-VLOOKUP($A4016,HeadJournal!$A$1:$K$890,COLUMN(HeadJournal!J$1),0))*($K4016+$L4016)/(SUMIF($A:$A,$A4016,$K:$K)+SUMIF($A:$A,$A4016,$L:$L)),0)</f>
        <v>0</v>
      </c>
      <c r="O4016" s="30">
        <f>IFERROR((VLOOKUP($A4016,HeadJournal!$A$1:$L$890,COLUMN(HeadJournal!L$1),0)*($K4016+$L4016)/(SUMIF($A:$A,$A4016,$K:$K)+SUMIF($A:$A,$A4016,$L:$L)))/VLOOKUP($A4016,HeadJournal!$A$1:$L$890,COLUMN(HeadJournal!H$1),0),0)</f>
        <v>0.59000233419763548</v>
      </c>
      <c r="P4016" s="30">
        <f>IFERROR(SUM(K4016:O4016)*VLOOKUP($A4016,HeadJournal!$A$1:$L$890,COLUMN(HeadJournal!H$1),0),0)</f>
        <v>3470.1446537434649</v>
      </c>
      <c r="Q4016" s="29">
        <v>6000</v>
      </c>
      <c r="R4016" s="31">
        <v>45630</v>
      </c>
      <c r="S4016" s="31" t="s">
        <v>3121</v>
      </c>
      <c r="T4016" s="95" t="str">
        <f t="shared" si="315"/>
        <v>2024 12</v>
      </c>
      <c r="U4016" s="32">
        <f t="shared" si="312"/>
        <v>2529.8553462565351</v>
      </c>
      <c r="V4016" s="22">
        <f t="shared" si="313"/>
        <v>0.72903455005180251</v>
      </c>
      <c r="X4016" s="33"/>
      <c r="Y4016" s="33"/>
    </row>
    <row r="4017" spans="1:25" x14ac:dyDescent="0.2">
      <c r="A4017" s="93" t="s">
        <v>2486</v>
      </c>
      <c r="B4017" s="94" t="str">
        <f>IFERROR(VLOOKUP($A4017,HeadJournal!$A$1:$NTR$890,COLUMN(HeadJournal!B$1),0),"")</f>
        <v>720000451444</v>
      </c>
      <c r="C4017" s="94" t="str">
        <f>IFERROR(VLOOKUP($A4017,HeadJournal!$A$1:$NTR$890,COLUMN(HeadJournal!C$1),0),"")</f>
        <v>iHerb_VP DFD1605</v>
      </c>
      <c r="D4017" s="125" t="str">
        <f>IFERROR(VLOOKUP($A4017,HeadJournal!$A$1:$NTR$890,COLUMN(HeadJournal!D$1),0),"")</f>
        <v>Доставлен</v>
      </c>
      <c r="E4017" s="95">
        <f>IFERROR(VLOOKUP($A4017,HeadJournal!$A$1:$NTR$890,COLUMN(HeadJournal!G$1),0),"")</f>
        <v>45589</v>
      </c>
      <c r="F4017" s="95" t="str">
        <f t="shared" si="314"/>
        <v>2024 10</v>
      </c>
      <c r="G4017" s="97" t="s">
        <v>5</v>
      </c>
      <c r="H4017" s="161" t="s">
        <v>2481</v>
      </c>
      <c r="I4017" s="97" t="s">
        <v>2005</v>
      </c>
      <c r="J4017" s="97" t="s">
        <v>2482</v>
      </c>
      <c r="K4017" s="29">
        <v>11.07</v>
      </c>
      <c r="L4017" s="29">
        <v>-2.77</v>
      </c>
      <c r="M4017" s="30">
        <f>IFERROR(VLOOKUP($A4017,HeadJournal!$A$1:$J$890,COLUMN(HeadJournal!I$1),0)*($K4017+$L4017)/(SUMIF($A:$A,$A4017,$K:$K)+SUMIF($A:$A,$A4017,$L:$L)),0)</f>
        <v>-1.0290744242963623</v>
      </c>
      <c r="N4017" s="30">
        <f>IFERROR((VLOOKUP($A4017,HeadJournal!$A$1:$K$890,COLUMN(HeadJournal!K$1),0)-VLOOKUP($A4017,HeadJournal!$A$1:$K$890,COLUMN(HeadJournal!J$1),0))*($K4017+$L4017)/(SUMIF($A:$A,$A4017,$K:$K)+SUMIF($A:$A,$A4017,$L:$L)),0)</f>
        <v>0</v>
      </c>
      <c r="O4017" s="30">
        <f>IFERROR((VLOOKUP($A4017,HeadJournal!$A$1:$L$890,COLUMN(HeadJournal!L$1),0)*($K4017+$L4017)/(SUMIF($A:$A,$A4017,$K:$K)+SUMIF($A:$A,$A4017,$L:$L)))/VLOOKUP($A4017,HeadJournal!$A$1:$L$890,COLUMN(HeadJournal!H$1),0),0)</f>
        <v>0.13655938019632943</v>
      </c>
      <c r="P4017" s="30">
        <f>IFERROR(SUM(K4017:O4017)*VLOOKUP($A4017,HeadJournal!$A$1:$L$890,COLUMN(HeadJournal!H$1),0),0)</f>
        <v>803.18462426298822</v>
      </c>
      <c r="Q4017" s="29">
        <v>1750</v>
      </c>
      <c r="R4017" s="31">
        <v>45629</v>
      </c>
      <c r="S4017" s="31" t="s">
        <v>3121</v>
      </c>
      <c r="T4017" s="95" t="str">
        <f t="shared" si="315"/>
        <v>2024 12</v>
      </c>
      <c r="U4017" s="32">
        <f t="shared" si="312"/>
        <v>946.81537573701178</v>
      </c>
      <c r="V4017" s="22">
        <f t="shared" si="313"/>
        <v>1.1788265700502183</v>
      </c>
      <c r="X4017" s="33"/>
      <c r="Y4017" s="33"/>
    </row>
    <row r="4018" spans="1:25" x14ac:dyDescent="0.2">
      <c r="A4018" s="93" t="s">
        <v>2486</v>
      </c>
      <c r="B4018" s="94" t="str">
        <f>IFERROR(VLOOKUP($A4018,HeadJournal!$A$1:$NTR$890,COLUMN(HeadJournal!B$1),0),"")</f>
        <v>720000451444</v>
      </c>
      <c r="C4018" s="94" t="str">
        <f>IFERROR(VLOOKUP($A4018,HeadJournal!$A$1:$NTR$890,COLUMN(HeadJournal!C$1),0),"")</f>
        <v>iHerb_VP DFD1605</v>
      </c>
      <c r="D4018" s="125" t="str">
        <f>IFERROR(VLOOKUP($A4018,HeadJournal!$A$1:$NTR$890,COLUMN(HeadJournal!D$1),0),"")</f>
        <v>Доставлен</v>
      </c>
      <c r="E4018" s="95">
        <f>IFERROR(VLOOKUP($A4018,HeadJournal!$A$1:$NTR$890,COLUMN(HeadJournal!G$1),0),"")</f>
        <v>45589</v>
      </c>
      <c r="F4018" s="95" t="str">
        <f t="shared" si="314"/>
        <v>2024 10</v>
      </c>
      <c r="G4018" s="97" t="s">
        <v>5</v>
      </c>
      <c r="H4018" s="161" t="s">
        <v>2483</v>
      </c>
      <c r="I4018" s="97" t="s">
        <v>2484</v>
      </c>
      <c r="J4018" s="97" t="s">
        <v>2485</v>
      </c>
      <c r="K4018" s="29">
        <v>19.77</v>
      </c>
      <c r="L4018" s="29">
        <v>-4.9400000000000004</v>
      </c>
      <c r="M4018" s="30">
        <f>IFERROR(VLOOKUP($A4018,HeadJournal!$A$1:$J$890,COLUMN(HeadJournal!I$1),0)*($K4018+$L4018)/(SUMIF($A:$A,$A4018,$K:$K)+SUMIF($A:$A,$A4018,$L:$L)),0)</f>
        <v>-1.8386956279897648</v>
      </c>
      <c r="N4018" s="30">
        <f>IFERROR((VLOOKUP($A4018,HeadJournal!$A$1:$K$890,COLUMN(HeadJournal!K$1),0)-VLOOKUP($A4018,HeadJournal!$A$1:$K$890,COLUMN(HeadJournal!J$1),0))*($K4018+$L4018)/(SUMIF($A:$A,$A4018,$K:$K)+SUMIF($A:$A,$A4018,$L:$L)),0)</f>
        <v>0</v>
      </c>
      <c r="O4018" s="30">
        <f>IFERROR((VLOOKUP($A4018,HeadJournal!$A$1:$L$890,COLUMN(HeadJournal!L$1),0)*($K4018+$L4018)/(SUMIF($A:$A,$A4018,$K:$K)+SUMIF($A:$A,$A4018,$L:$L)))/VLOOKUP($A4018,HeadJournal!$A$1:$L$890,COLUMN(HeadJournal!H$1),0),0)</f>
        <v>0.24399706124235729</v>
      </c>
      <c r="P4018" s="30">
        <f>IFERROR(SUM(K4018:O4018)*VLOOKUP($A4018,HeadJournal!$A$1:$L$890,COLUMN(HeadJournal!H$1),0),0)</f>
        <v>1435.087708171098</v>
      </c>
      <c r="Q4018" s="29">
        <v>2700</v>
      </c>
      <c r="R4018" s="31">
        <v>45640</v>
      </c>
      <c r="S4018" s="31" t="s">
        <v>3121</v>
      </c>
      <c r="T4018" s="95" t="str">
        <f t="shared" si="315"/>
        <v>2024 12</v>
      </c>
      <c r="U4018" s="32">
        <f t="shared" si="312"/>
        <v>1264.912291828902</v>
      </c>
      <c r="V4018" s="22">
        <f t="shared" si="313"/>
        <v>0.88141810749736638</v>
      </c>
      <c r="X4018" s="33"/>
      <c r="Y4018" s="33"/>
    </row>
    <row r="4019" spans="1:25" x14ac:dyDescent="0.2">
      <c r="A4019" s="93" t="s">
        <v>2500</v>
      </c>
      <c r="B4019" s="94" t="str">
        <f>IFERROR(VLOOKUP($A4019,HeadJournal!$A$1:$NTR$890,COLUMN(HeadJournal!B$1),0),"")</f>
        <v>720000460806</v>
      </c>
      <c r="C4019" s="94" t="str">
        <f>IFERROR(VLOOKUP($A4019,HeadJournal!$A$1:$NTR$890,COLUMN(HeadJournal!C$1),0),"")</f>
        <v>iHerb_VP DFD1605</v>
      </c>
      <c r="D4019" s="125" t="str">
        <f>IFERROR(VLOOKUP($A4019,HeadJournal!$A$1:$NTR$890,COLUMN(HeadJournal!D$1),0),"")</f>
        <v>Доставлен</v>
      </c>
      <c r="E4019" s="95">
        <f>IFERROR(VLOOKUP($A4019,HeadJournal!$A$1:$NTR$890,COLUMN(HeadJournal!G$1),0),"")</f>
        <v>45595</v>
      </c>
      <c r="F4019" s="95" t="str">
        <f t="shared" si="314"/>
        <v>2024 10</v>
      </c>
      <c r="G4019" s="97" t="s">
        <v>5</v>
      </c>
      <c r="H4019" s="161" t="s">
        <v>2022</v>
      </c>
      <c r="I4019" s="97" t="s">
        <v>2005</v>
      </c>
      <c r="J4019" s="97" t="s">
        <v>2023</v>
      </c>
      <c r="K4019" s="29">
        <v>27.38</v>
      </c>
      <c r="L4019" s="29">
        <v>-6.8449999999999998</v>
      </c>
      <c r="M4019" s="30">
        <f>IFERROR(VLOOKUP($A4019,HeadJournal!$A$1:$J$890,COLUMN(HeadJournal!I$1),0)*($K4019+$L4019)/(SUMIF($A:$A,$A4019,$K:$K)+SUMIF($A:$A,$A4019,$L:$L)),0)</f>
        <v>-0.95977877025342717</v>
      </c>
      <c r="N4019" s="30">
        <f>IFERROR((VLOOKUP($A4019,HeadJournal!$A$1:$K$890,COLUMN(HeadJournal!K$1),0)-VLOOKUP($A4019,HeadJournal!$A$1:$K$890,COLUMN(HeadJournal!J$1),0))*($K4019+$L4019)/(SUMIF($A:$A,$A4019,$K:$K)+SUMIF($A:$A,$A4019,$L:$L)),0)</f>
        <v>-6.0619007390251983E-15</v>
      </c>
      <c r="O4019" s="30">
        <f>IFERROR((VLOOKUP($A4019,HeadJournal!$A$1:$L$890,COLUMN(HeadJournal!L$1),0)*($K4019+$L4019)/(SUMIF($A:$A,$A4019,$K:$K)+SUMIF($A:$A,$A4019,$L:$L)))/VLOOKUP($A4019,HeadJournal!$A$1:$L$890,COLUMN(HeadJournal!H$1),0),0)</f>
        <v>0.31809249756206942</v>
      </c>
      <c r="P4019" s="30">
        <f>IFERROR(SUM(K4019:O4019)*VLOOKUP($A4019,HeadJournal!$A$1:$L$890,COLUMN(HeadJournal!H$1),0),0)</f>
        <v>2139.0048244053796</v>
      </c>
      <c r="Q4019" s="29">
        <v>3500</v>
      </c>
      <c r="R4019" s="31">
        <v>45640</v>
      </c>
      <c r="S4019" s="31" t="s">
        <v>3121</v>
      </c>
      <c r="T4019" s="95" t="str">
        <f t="shared" si="315"/>
        <v>2024 12</v>
      </c>
      <c r="U4019" s="32">
        <f t="shared" si="312"/>
        <v>1360.9951755946204</v>
      </c>
      <c r="V4019" s="22">
        <f t="shared" si="313"/>
        <v>0.63627494434144738</v>
      </c>
      <c r="X4019" s="33"/>
      <c r="Y4019" s="33"/>
    </row>
    <row r="4020" spans="1:25" x14ac:dyDescent="0.2">
      <c r="A4020" s="93" t="s">
        <v>2500</v>
      </c>
      <c r="B4020" s="94" t="str">
        <f>IFERROR(VLOOKUP($A4020,HeadJournal!$A$1:$NTR$890,COLUMN(HeadJournal!B$1),0),"")</f>
        <v>720000460806</v>
      </c>
      <c r="C4020" s="94" t="str">
        <f>IFERROR(VLOOKUP($A4020,HeadJournal!$A$1:$NTR$890,COLUMN(HeadJournal!C$1),0),"")</f>
        <v>iHerb_VP DFD1605</v>
      </c>
      <c r="D4020" s="125" t="str">
        <f>IFERROR(VLOOKUP($A4020,HeadJournal!$A$1:$NTR$890,COLUMN(HeadJournal!D$1),0),"")</f>
        <v>Доставлен</v>
      </c>
      <c r="E4020" s="95">
        <f>IFERROR(VLOOKUP($A4020,HeadJournal!$A$1:$NTR$890,COLUMN(HeadJournal!G$1),0),"")</f>
        <v>45595</v>
      </c>
      <c r="F4020" s="95" t="str">
        <f t="shared" si="314"/>
        <v>2024 10</v>
      </c>
      <c r="G4020" s="97" t="s">
        <v>5</v>
      </c>
      <c r="H4020" s="161" t="s">
        <v>2022</v>
      </c>
      <c r="I4020" s="97" t="s">
        <v>2005</v>
      </c>
      <c r="J4020" s="97" t="s">
        <v>2023</v>
      </c>
      <c r="K4020" s="29">
        <v>27.38</v>
      </c>
      <c r="L4020" s="29">
        <v>-6.8449999999999998</v>
      </c>
      <c r="M4020" s="30">
        <f>IFERROR(VLOOKUP($A4020,HeadJournal!$A$1:$J$890,COLUMN(HeadJournal!I$1),0)*($K4020+$L4020)/(SUMIF($A:$A,$A4020,$K:$K)+SUMIF($A:$A,$A4020,$L:$L)),0)</f>
        <v>-0.95977877025342717</v>
      </c>
      <c r="N4020" s="30">
        <f>IFERROR((VLOOKUP($A4020,HeadJournal!$A$1:$K$890,COLUMN(HeadJournal!K$1),0)-VLOOKUP($A4020,HeadJournal!$A$1:$K$890,COLUMN(HeadJournal!J$1),0))*($K4020+$L4020)/(SUMIF($A:$A,$A4020,$K:$K)+SUMIF($A:$A,$A4020,$L:$L)),0)</f>
        <v>-6.0619007390251983E-15</v>
      </c>
      <c r="O4020" s="30">
        <f>IFERROR((VLOOKUP($A4020,HeadJournal!$A$1:$L$890,COLUMN(HeadJournal!L$1),0)*($K4020+$L4020)/(SUMIF($A:$A,$A4020,$K:$K)+SUMIF($A:$A,$A4020,$L:$L)))/VLOOKUP($A4020,HeadJournal!$A$1:$L$890,COLUMN(HeadJournal!H$1),0),0)</f>
        <v>0.31809249756206942</v>
      </c>
      <c r="P4020" s="30">
        <f>IFERROR(SUM(K4020:O4020)*VLOOKUP($A4020,HeadJournal!$A$1:$L$890,COLUMN(HeadJournal!H$1),0),0)</f>
        <v>2139.0048244053796</v>
      </c>
      <c r="Q4020" s="29">
        <v>3500</v>
      </c>
      <c r="R4020" s="31">
        <v>45640</v>
      </c>
      <c r="S4020" s="31" t="s">
        <v>3121</v>
      </c>
      <c r="T4020" s="95" t="str">
        <f t="shared" si="315"/>
        <v>2024 12</v>
      </c>
      <c r="U4020" s="32">
        <f t="shared" si="312"/>
        <v>1360.9951755946204</v>
      </c>
      <c r="V4020" s="22">
        <f t="shared" si="313"/>
        <v>0.63627494434144738</v>
      </c>
      <c r="X4020" s="33"/>
      <c r="Y4020" s="33"/>
    </row>
    <row r="4021" spans="1:25" x14ac:dyDescent="0.2">
      <c r="A4021" s="93" t="s">
        <v>2500</v>
      </c>
      <c r="B4021" s="94" t="str">
        <f>IFERROR(VLOOKUP($A4021,HeadJournal!$A$1:$NTR$890,COLUMN(HeadJournal!B$1),0),"")</f>
        <v>720000460806</v>
      </c>
      <c r="C4021" s="94" t="str">
        <f>IFERROR(VLOOKUP($A4021,HeadJournal!$A$1:$NTR$890,COLUMN(HeadJournal!C$1),0),"")</f>
        <v>iHerb_VP DFD1605</v>
      </c>
      <c r="D4021" s="125" t="str">
        <f>IFERROR(VLOOKUP($A4021,HeadJournal!$A$1:$NTR$890,COLUMN(HeadJournal!D$1),0),"")</f>
        <v>Доставлен</v>
      </c>
      <c r="E4021" s="95">
        <f>IFERROR(VLOOKUP($A4021,HeadJournal!$A$1:$NTR$890,COLUMN(HeadJournal!G$1),0),"")</f>
        <v>45595</v>
      </c>
      <c r="F4021" s="95" t="str">
        <f t="shared" si="314"/>
        <v>2024 10</v>
      </c>
      <c r="G4021" s="97" t="s">
        <v>5</v>
      </c>
      <c r="H4021" s="161" t="s">
        <v>2488</v>
      </c>
      <c r="I4021" s="97" t="s">
        <v>2005</v>
      </c>
      <c r="J4021" s="97" t="s">
        <v>2489</v>
      </c>
      <c r="K4021" s="29">
        <v>19.86</v>
      </c>
      <c r="L4021" s="29">
        <v>-4.9649999999999999</v>
      </c>
      <c r="M4021" s="30">
        <f>IFERROR(VLOOKUP($A4021,HeadJournal!$A$1:$J$890,COLUMN(HeadJournal!I$1),0)*($K4021+$L4021)/(SUMIF($A:$A,$A4021,$K:$K)+SUMIF($A:$A,$A4021,$L:$L)),0)</f>
        <v>-0.6961726215205648</v>
      </c>
      <c r="N4021" s="30">
        <f>IFERROR((VLOOKUP($A4021,HeadJournal!$A$1:$K$890,COLUMN(HeadJournal!K$1),0)-VLOOKUP($A4021,HeadJournal!$A$1:$K$890,COLUMN(HeadJournal!J$1),0))*($K4021+$L4021)/(SUMIF($A:$A,$A4021,$K:$K)+SUMIF($A:$A,$A4021,$L:$L)),0)</f>
        <v>-4.3969813249466924E-15</v>
      </c>
      <c r="O4021" s="30">
        <f>IFERROR((VLOOKUP($A4021,HeadJournal!$A$1:$L$890,COLUMN(HeadJournal!L$1),0)*($K4021+$L4021)/(SUMIF($A:$A,$A4021,$K:$K)+SUMIF($A:$A,$A4021,$L:$L)))/VLOOKUP($A4021,HeadJournal!$A$1:$L$890,COLUMN(HeadJournal!H$1),0),0)</f>
        <v>0.2307274288379364</v>
      </c>
      <c r="P4021" s="30">
        <f>IFERROR(SUM(K4021:O4021)*VLOOKUP($A4021,HeadJournal!$A$1:$L$890,COLUMN(HeadJournal!H$1),0),0)</f>
        <v>1551.5206651822803</v>
      </c>
      <c r="Q4021" s="29">
        <v>2400</v>
      </c>
      <c r="R4021" s="31">
        <v>45621</v>
      </c>
      <c r="S4021" s="31" t="s">
        <v>3121</v>
      </c>
      <c r="T4021" s="95" t="str">
        <f t="shared" si="315"/>
        <v>2024 11</v>
      </c>
      <c r="U4021" s="32">
        <f t="shared" si="312"/>
        <v>848.47933481771975</v>
      </c>
      <c r="V4021" s="22">
        <f t="shared" si="313"/>
        <v>0.54686950284225588</v>
      </c>
      <c r="X4021" s="33"/>
      <c r="Y4021" s="33"/>
    </row>
    <row r="4022" spans="1:25" x14ac:dyDescent="0.2">
      <c r="A4022" s="93" t="s">
        <v>2500</v>
      </c>
      <c r="B4022" s="94" t="str">
        <f>IFERROR(VLOOKUP($A4022,HeadJournal!$A$1:$NTR$890,COLUMN(HeadJournal!B$1),0),"")</f>
        <v>720000460806</v>
      </c>
      <c r="C4022" s="94" t="str">
        <f>IFERROR(VLOOKUP($A4022,HeadJournal!$A$1:$NTR$890,COLUMN(HeadJournal!C$1),0),"")</f>
        <v>iHerb_VP DFD1605</v>
      </c>
      <c r="D4022" s="125" t="str">
        <f>IFERROR(VLOOKUP($A4022,HeadJournal!$A$1:$NTR$890,COLUMN(HeadJournal!D$1),0),"")</f>
        <v>Доставлен</v>
      </c>
      <c r="E4022" s="95">
        <f>IFERROR(VLOOKUP($A4022,HeadJournal!$A$1:$NTR$890,COLUMN(HeadJournal!G$1),0),"")</f>
        <v>45595</v>
      </c>
      <c r="F4022" s="95" t="str">
        <f t="shared" si="314"/>
        <v>2024 10</v>
      </c>
      <c r="G4022" s="97" t="s">
        <v>5</v>
      </c>
      <c r="H4022" s="161" t="s">
        <v>2488</v>
      </c>
      <c r="I4022" s="97" t="s">
        <v>2005</v>
      </c>
      <c r="J4022" s="97" t="s">
        <v>2489</v>
      </c>
      <c r="K4022" s="29">
        <v>19.86</v>
      </c>
      <c r="L4022" s="29">
        <v>-4.9649999999999999</v>
      </c>
      <c r="M4022" s="30">
        <f>IFERROR(VLOOKUP($A4022,HeadJournal!$A$1:$J$890,COLUMN(HeadJournal!I$1),0)*($K4022+$L4022)/(SUMIF($A:$A,$A4022,$K:$K)+SUMIF($A:$A,$A4022,$L:$L)),0)</f>
        <v>-0.6961726215205648</v>
      </c>
      <c r="N4022" s="30">
        <f>IFERROR((VLOOKUP($A4022,HeadJournal!$A$1:$K$890,COLUMN(HeadJournal!K$1),0)-VLOOKUP($A4022,HeadJournal!$A$1:$K$890,COLUMN(HeadJournal!J$1),0))*($K4022+$L4022)/(SUMIF($A:$A,$A4022,$K:$K)+SUMIF($A:$A,$A4022,$L:$L)),0)</f>
        <v>-4.3969813249466924E-15</v>
      </c>
      <c r="O4022" s="30">
        <f>IFERROR((VLOOKUP($A4022,HeadJournal!$A$1:$L$890,COLUMN(HeadJournal!L$1),0)*($K4022+$L4022)/(SUMIF($A:$A,$A4022,$K:$K)+SUMIF($A:$A,$A4022,$L:$L)))/VLOOKUP($A4022,HeadJournal!$A$1:$L$890,COLUMN(HeadJournal!H$1),0),0)</f>
        <v>0.2307274288379364</v>
      </c>
      <c r="P4022" s="30">
        <f>IFERROR(SUM(K4022:O4022)*VLOOKUP($A4022,HeadJournal!$A$1:$L$890,COLUMN(HeadJournal!H$1),0),0)</f>
        <v>1551.5206651822803</v>
      </c>
      <c r="Q4022" s="29">
        <v>2600</v>
      </c>
      <c r="R4022" s="31">
        <v>45643</v>
      </c>
      <c r="S4022" s="31" t="s">
        <v>3121</v>
      </c>
      <c r="T4022" s="95" t="str">
        <f t="shared" si="315"/>
        <v>2024 12</v>
      </c>
      <c r="U4022" s="32">
        <f t="shared" si="312"/>
        <v>1048.4793348177197</v>
      </c>
      <c r="V4022" s="22">
        <f t="shared" si="313"/>
        <v>0.67577529474577724</v>
      </c>
      <c r="X4022" s="33"/>
      <c r="Y4022" s="33"/>
    </row>
    <row r="4023" spans="1:25" x14ac:dyDescent="0.2">
      <c r="A4023" s="93" t="s">
        <v>2500</v>
      </c>
      <c r="B4023" s="94" t="str">
        <f>IFERROR(VLOOKUP($A4023,HeadJournal!$A$1:$NTR$890,COLUMN(HeadJournal!B$1),0),"")</f>
        <v>720000460806</v>
      </c>
      <c r="C4023" s="94" t="str">
        <f>IFERROR(VLOOKUP($A4023,HeadJournal!$A$1:$NTR$890,COLUMN(HeadJournal!C$1),0),"")</f>
        <v>iHerb_VP DFD1605</v>
      </c>
      <c r="D4023" s="125" t="str">
        <f>IFERROR(VLOOKUP($A4023,HeadJournal!$A$1:$NTR$890,COLUMN(HeadJournal!D$1),0),"")</f>
        <v>Доставлен</v>
      </c>
      <c r="E4023" s="95">
        <f>IFERROR(VLOOKUP($A4023,HeadJournal!$A$1:$NTR$890,COLUMN(HeadJournal!G$1),0),"")</f>
        <v>45595</v>
      </c>
      <c r="F4023" s="95" t="str">
        <f t="shared" si="314"/>
        <v>2024 10</v>
      </c>
      <c r="G4023" s="97" t="s">
        <v>5</v>
      </c>
      <c r="H4023" s="161" t="s">
        <v>2490</v>
      </c>
      <c r="I4023" s="97" t="s">
        <v>2491</v>
      </c>
      <c r="J4023" s="97" t="s">
        <v>2492</v>
      </c>
      <c r="K4023" s="29">
        <v>38.81</v>
      </c>
      <c r="L4023" s="29">
        <v>-15.52</v>
      </c>
      <c r="M4023" s="30">
        <f>IFERROR(VLOOKUP($A4023,HeadJournal!$A$1:$J$890,COLUMN(HeadJournal!I$1),0)*($K4023+$L4023)/(SUMIF($A:$A,$A4023,$K:$K)+SUMIF($A:$A,$A4023,$L:$L)),0)</f>
        <v>-1.0885438304943911</v>
      </c>
      <c r="N4023" s="30">
        <f>IFERROR((VLOOKUP($A4023,HeadJournal!$A$1:$K$890,COLUMN(HeadJournal!K$1),0)-VLOOKUP($A4023,HeadJournal!$A$1:$K$890,COLUMN(HeadJournal!J$1),0))*($K4023+$L4023)/(SUMIF($A:$A,$A4023,$K:$K)+SUMIF($A:$A,$A4023,$L:$L)),0)</f>
        <v>-6.875172545015675E-15</v>
      </c>
      <c r="O4023" s="30">
        <f>IFERROR((VLOOKUP($A4023,HeadJournal!$A$1:$L$890,COLUMN(HeadJournal!L$1),0)*($K4023+$L4023)/(SUMIF($A:$A,$A4023,$K:$K)+SUMIF($A:$A,$A4023,$L:$L)))/VLOOKUP($A4023,HeadJournal!$A$1:$L$890,COLUMN(HeadJournal!H$1),0),0)</f>
        <v>0.36076816499735076</v>
      </c>
      <c r="P4023" s="30">
        <f>IFERROR(SUM(K4023:O4023)*VLOOKUP($A4023,HeadJournal!$A$1:$L$890,COLUMN(HeadJournal!H$1),0),0)</f>
        <v>2425.9762532457412</v>
      </c>
      <c r="Q4023" s="29">
        <v>4500</v>
      </c>
      <c r="R4023" s="31">
        <v>45776</v>
      </c>
      <c r="S4023" s="31" t="s">
        <v>3475</v>
      </c>
      <c r="T4023" s="95" t="str">
        <f t="shared" si="315"/>
        <v>2025 04</v>
      </c>
      <c r="U4023" s="32">
        <f t="shared" si="312"/>
        <v>2074.0237467542588</v>
      </c>
      <c r="V4023" s="22">
        <f t="shared" si="313"/>
        <v>0.8549233505395607</v>
      </c>
      <c r="X4023" s="33"/>
      <c r="Y4023" s="33"/>
    </row>
    <row r="4024" spans="1:25" x14ac:dyDescent="0.2">
      <c r="A4024" s="93" t="s">
        <v>2500</v>
      </c>
      <c r="B4024" s="94" t="str">
        <f>IFERROR(VLOOKUP($A4024,HeadJournal!$A$1:$NTR$890,COLUMN(HeadJournal!B$1),0),"")</f>
        <v>720000460806</v>
      </c>
      <c r="C4024" s="94" t="str">
        <f>IFERROR(VLOOKUP($A4024,HeadJournal!$A$1:$NTR$890,COLUMN(HeadJournal!C$1),0),"")</f>
        <v>iHerb_VP DFD1605</v>
      </c>
      <c r="D4024" s="125" t="str">
        <f>IFERROR(VLOOKUP($A4024,HeadJournal!$A$1:$NTR$890,COLUMN(HeadJournal!D$1),0),"")</f>
        <v>Доставлен</v>
      </c>
      <c r="E4024" s="95">
        <f>IFERROR(VLOOKUP($A4024,HeadJournal!$A$1:$NTR$890,COLUMN(HeadJournal!G$1),0),"")</f>
        <v>45595</v>
      </c>
      <c r="F4024" s="95" t="str">
        <f t="shared" si="314"/>
        <v>2024 10</v>
      </c>
      <c r="G4024" s="97" t="s">
        <v>5</v>
      </c>
      <c r="H4024" s="161" t="s">
        <v>2211</v>
      </c>
      <c r="I4024" s="97" t="s">
        <v>2212</v>
      </c>
      <c r="J4024" s="97" t="s">
        <v>2213</v>
      </c>
      <c r="K4024" s="29">
        <v>30.35</v>
      </c>
      <c r="L4024" s="29">
        <v>-7.59</v>
      </c>
      <c r="M4024" s="30">
        <f>IFERROR(VLOOKUP($A4024,HeadJournal!$A$1:$J$890,COLUMN(HeadJournal!I$1),0)*($K4024+$L4024)/(SUMIF($A:$A,$A4024,$K:$K)+SUMIF($A:$A,$A4024,$L:$L)),0)</f>
        <v>-1.0637723307021185</v>
      </c>
      <c r="N4024" s="30">
        <f>IFERROR((VLOOKUP($A4024,HeadJournal!$A$1:$K$890,COLUMN(HeadJournal!K$1),0)-VLOOKUP($A4024,HeadJournal!$A$1:$K$890,COLUMN(HeadJournal!J$1),0))*($K4024+$L4024)/(SUMIF($A:$A,$A4024,$K:$K)+SUMIF($A:$A,$A4024,$L:$L)),0)</f>
        <v>-6.7187173518487233E-15</v>
      </c>
      <c r="O4024" s="30">
        <f>IFERROR((VLOOKUP($A4024,HeadJournal!$A$1:$L$890,COLUMN(HeadJournal!L$1),0)*($K4024+$L4024)/(SUMIF($A:$A,$A4024,$K:$K)+SUMIF($A:$A,$A4024,$L:$L)))/VLOOKUP($A4024,HeadJournal!$A$1:$L$890,COLUMN(HeadJournal!H$1),0),0)</f>
        <v>0.35255832697894818</v>
      </c>
      <c r="P4024" s="30">
        <f>IFERROR(SUM(K4024:O4024)*VLOOKUP($A4024,HeadJournal!$A$1:$L$890,COLUMN(HeadJournal!H$1),0),0)</f>
        <v>2370.7694084960526</v>
      </c>
      <c r="Q4024" s="29">
        <v>3500</v>
      </c>
      <c r="R4024" s="31">
        <v>45755</v>
      </c>
      <c r="S4024" s="31" t="s">
        <v>3121</v>
      </c>
      <c r="T4024" s="95" t="str">
        <f t="shared" si="315"/>
        <v>2025 04</v>
      </c>
      <c r="U4024" s="32">
        <f t="shared" si="312"/>
        <v>1129.2305915039474</v>
      </c>
      <c r="V4024" s="22">
        <f t="shared" si="313"/>
        <v>0.47631397109189905</v>
      </c>
      <c r="X4024" s="33"/>
      <c r="Y4024" s="33"/>
    </row>
    <row r="4025" spans="1:25" x14ac:dyDescent="0.2">
      <c r="A4025" s="93" t="s">
        <v>2500</v>
      </c>
      <c r="B4025" s="94" t="str">
        <f>IFERROR(VLOOKUP($A4025,HeadJournal!$A$1:$NTR$890,COLUMN(HeadJournal!B$1),0),"")</f>
        <v>720000460806</v>
      </c>
      <c r="C4025" s="94" t="str">
        <f>IFERROR(VLOOKUP($A4025,HeadJournal!$A$1:$NTR$890,COLUMN(HeadJournal!C$1),0),"")</f>
        <v>iHerb_VP DFD1605</v>
      </c>
      <c r="D4025" s="125" t="str">
        <f>IFERROR(VLOOKUP($A4025,HeadJournal!$A$1:$NTR$890,COLUMN(HeadJournal!D$1),0),"")</f>
        <v>Доставлен</v>
      </c>
      <c r="E4025" s="95">
        <f>IFERROR(VLOOKUP($A4025,HeadJournal!$A$1:$NTR$890,COLUMN(HeadJournal!G$1),0),"")</f>
        <v>45595</v>
      </c>
      <c r="F4025" s="95" t="str">
        <f t="shared" si="314"/>
        <v>2024 10</v>
      </c>
      <c r="G4025" s="97" t="s">
        <v>5</v>
      </c>
      <c r="H4025" s="161" t="s">
        <v>2018</v>
      </c>
      <c r="I4025" s="97" t="s">
        <v>2005</v>
      </c>
      <c r="J4025" s="97" t="s">
        <v>2019</v>
      </c>
      <c r="K4025" s="29">
        <v>23.08</v>
      </c>
      <c r="L4025" s="29">
        <v>-5.77</v>
      </c>
      <c r="M4025" s="30">
        <f>IFERROR(VLOOKUP($A4025,HeadJournal!$A$1:$J$890,COLUMN(HeadJournal!I$1),0)*($K4025+$L4025)/(SUMIF($A:$A,$A4025,$K:$K)+SUMIF($A:$A,$A4025,$L:$L)),0)</f>
        <v>-0.80904653095139145</v>
      </c>
      <c r="N4025" s="30">
        <f>IFERROR((VLOOKUP($A4025,HeadJournal!$A$1:$K$890,COLUMN(HeadJournal!K$1),0)-VLOOKUP($A4025,HeadJournal!$A$1:$K$890,COLUMN(HeadJournal!J$1),0))*($K4025+$L4025)/(SUMIF($A:$A,$A4025,$K:$K)+SUMIF($A:$A,$A4025,$L:$L)),0)</f>
        <v>-5.1098856485281803E-15</v>
      </c>
      <c r="O4025" s="30">
        <f>IFERROR((VLOOKUP($A4025,HeadJournal!$A$1:$L$890,COLUMN(HeadJournal!L$1),0)*($K4025+$L4025)/(SUMIF($A:$A,$A4025,$K:$K)+SUMIF($A:$A,$A4025,$L:$L)))/VLOOKUP($A4025,HeadJournal!$A$1:$L$890,COLUMN(HeadJournal!H$1),0),0)</f>
        <v>0.26813640773311037</v>
      </c>
      <c r="P4025" s="30">
        <f>IFERROR(SUM(K4025:O4025)*VLOOKUP($A4025,HeadJournal!$A$1:$L$890,COLUMN(HeadJournal!H$1),0),0)</f>
        <v>1803.0763822964266</v>
      </c>
      <c r="Q4025" s="29">
        <v>3100</v>
      </c>
      <c r="R4025" s="31">
        <v>45666</v>
      </c>
      <c r="S4025" s="31" t="s">
        <v>3121</v>
      </c>
      <c r="T4025" s="95" t="str">
        <f t="shared" si="315"/>
        <v>2025 01</v>
      </c>
      <c r="U4025" s="32">
        <f t="shared" si="312"/>
        <v>1296.9236177035734</v>
      </c>
      <c r="V4025" s="22">
        <f t="shared" si="313"/>
        <v>0.71928379209969517</v>
      </c>
      <c r="X4025" s="33"/>
      <c r="Y4025" s="33"/>
    </row>
    <row r="4026" spans="1:25" x14ac:dyDescent="0.2">
      <c r="A4026" s="93" t="s">
        <v>2500</v>
      </c>
      <c r="B4026" s="94" t="str">
        <f>IFERROR(VLOOKUP($A4026,HeadJournal!$A$1:$NTR$890,COLUMN(HeadJournal!B$1),0),"")</f>
        <v>720000460806</v>
      </c>
      <c r="C4026" s="94" t="str">
        <f>IFERROR(VLOOKUP($A4026,HeadJournal!$A$1:$NTR$890,COLUMN(HeadJournal!C$1),0),"")</f>
        <v>iHerb_VP DFD1605</v>
      </c>
      <c r="D4026" s="125" t="str">
        <f>IFERROR(VLOOKUP($A4026,HeadJournal!$A$1:$NTR$890,COLUMN(HeadJournal!D$1),0),"")</f>
        <v>Доставлен</v>
      </c>
      <c r="E4026" s="95">
        <f>IFERROR(VLOOKUP($A4026,HeadJournal!$A$1:$NTR$890,COLUMN(HeadJournal!G$1),0),"")</f>
        <v>45595</v>
      </c>
      <c r="F4026" s="95" t="str">
        <f t="shared" si="314"/>
        <v>2024 10</v>
      </c>
      <c r="G4026" s="97" t="s">
        <v>5</v>
      </c>
      <c r="H4026" s="161" t="s">
        <v>2493</v>
      </c>
      <c r="I4026" s="97" t="s">
        <v>2009</v>
      </c>
      <c r="J4026" s="97" t="s">
        <v>2494</v>
      </c>
      <c r="K4026" s="29">
        <v>21.99</v>
      </c>
      <c r="L4026" s="29">
        <v>-5.5</v>
      </c>
      <c r="M4026" s="30">
        <f>IFERROR(VLOOKUP($A4026,HeadJournal!$A$1:$J$890,COLUMN(HeadJournal!I$1),0)*($K4026+$L4026)/(SUMIF($A:$A,$A4026,$K:$K)+SUMIF($A:$A,$A4026,$L:$L)),0)</f>
        <v>-0.77072081429164907</v>
      </c>
      <c r="N4026" s="30">
        <f>IFERROR((VLOOKUP($A4026,HeadJournal!$A$1:$K$890,COLUMN(HeadJournal!K$1),0)-VLOOKUP($A4026,HeadJournal!$A$1:$K$890,COLUMN(HeadJournal!J$1),0))*($K4026+$L4026)/(SUMIF($A:$A,$A4026,$K:$K)+SUMIF($A:$A,$A4026,$L:$L)),0)</f>
        <v>-4.867822896835915E-15</v>
      </c>
      <c r="O4026" s="30">
        <f>IFERROR((VLOOKUP($A4026,HeadJournal!$A$1:$L$890,COLUMN(HeadJournal!L$1),0)*($K4026+$L4026)/(SUMIF($A:$A,$A4026,$K:$K)+SUMIF($A:$A,$A4026,$L:$L)))/VLOOKUP($A4026,HeadJournal!$A$1:$L$890,COLUMN(HeadJournal!H$1),0),0)</f>
        <v>0.25543439419520453</v>
      </c>
      <c r="P4026" s="30">
        <f>IFERROR(SUM(K4026:O4026)*VLOOKUP($A4026,HeadJournal!$A$1:$L$890,COLUMN(HeadJournal!H$1),0),0)</f>
        <v>1717.6620187214367</v>
      </c>
      <c r="Q4026" s="29">
        <v>3200</v>
      </c>
      <c r="R4026" s="31">
        <v>45766</v>
      </c>
      <c r="S4026" s="31" t="s">
        <v>3121</v>
      </c>
      <c r="T4026" s="95" t="str">
        <f t="shared" si="315"/>
        <v>2025 04</v>
      </c>
      <c r="U4026" s="32">
        <f t="shared" si="312"/>
        <v>1482.3379812785633</v>
      </c>
      <c r="V4026" s="22">
        <f t="shared" si="313"/>
        <v>0.86299747279849637</v>
      </c>
      <c r="X4026" s="33"/>
      <c r="Y4026" s="33"/>
    </row>
    <row r="4027" spans="1:25" x14ac:dyDescent="0.2">
      <c r="A4027" s="93" t="s">
        <v>2500</v>
      </c>
      <c r="B4027" s="94" t="str">
        <f>IFERROR(VLOOKUP($A4027,HeadJournal!$A$1:$NTR$890,COLUMN(HeadJournal!B$1),0),"")</f>
        <v>720000460806</v>
      </c>
      <c r="C4027" s="94" t="str">
        <f>IFERROR(VLOOKUP($A4027,HeadJournal!$A$1:$NTR$890,COLUMN(HeadJournal!C$1),0),"")</f>
        <v>iHerb_VP DFD1605</v>
      </c>
      <c r="D4027" s="125" t="str">
        <f>IFERROR(VLOOKUP($A4027,HeadJournal!$A$1:$NTR$890,COLUMN(HeadJournal!D$1),0),"")</f>
        <v>Доставлен</v>
      </c>
      <c r="E4027" s="95">
        <f>IFERROR(VLOOKUP($A4027,HeadJournal!$A$1:$NTR$890,COLUMN(HeadJournal!G$1),0),"")</f>
        <v>45595</v>
      </c>
      <c r="F4027" s="95" t="str">
        <f t="shared" si="314"/>
        <v>2024 10</v>
      </c>
      <c r="G4027" s="97" t="s">
        <v>5</v>
      </c>
      <c r="H4027" s="161" t="s">
        <v>2495</v>
      </c>
      <c r="I4027" s="97" t="s">
        <v>2102</v>
      </c>
      <c r="J4027" s="97" t="s">
        <v>2496</v>
      </c>
      <c r="K4027" s="29">
        <v>7.05</v>
      </c>
      <c r="L4027" s="29">
        <v>-1.76</v>
      </c>
      <c r="M4027" s="30">
        <f>IFERROR(VLOOKUP($A4027,HeadJournal!$A$1:$J$890,COLUMN(HeadJournal!I$1),0)*($K4027+$L4027)/(SUMIF($A:$A,$A4027,$K:$K)+SUMIF($A:$A,$A4027,$L:$L)),0)</f>
        <v>-0.24724761113419186</v>
      </c>
      <c r="N4027" s="30">
        <f>IFERROR((VLOOKUP($A4027,HeadJournal!$A$1:$K$890,COLUMN(HeadJournal!K$1),0)-VLOOKUP($A4027,HeadJournal!$A$1:$K$890,COLUMN(HeadJournal!J$1),0))*($K4027+$L4027)/(SUMIF($A:$A,$A4027,$K:$K)+SUMIF($A:$A,$A4027,$L:$L)),0)</f>
        <v>-1.561599946892783E-15</v>
      </c>
      <c r="O4027" s="30">
        <f>IFERROR((VLOOKUP($A4027,HeadJournal!$A$1:$L$890,COLUMN(HeadJournal!L$1),0)*($K4027+$L4027)/(SUMIF($A:$A,$A4027,$K:$K)+SUMIF($A:$A,$A4027,$L:$L)))/VLOOKUP($A4027,HeadJournal!$A$1:$L$890,COLUMN(HeadJournal!H$1),0),0)</f>
        <v>8.1943477579904903E-2</v>
      </c>
      <c r="P4027" s="30">
        <f>IFERROR(SUM(K4027:O4027)*VLOOKUP($A4027,HeadJournal!$A$1:$L$890,COLUMN(HeadJournal!H$1),0),0)</f>
        <v>551.02680891670116</v>
      </c>
      <c r="Q4027" s="29"/>
      <c r="R4027" s="31"/>
      <c r="S4027" s="31"/>
      <c r="T4027" s="95" t="str">
        <f t="shared" si="315"/>
        <v/>
      </c>
      <c r="U4027" s="32">
        <f t="shared" si="312"/>
        <v>-551.02680891670116</v>
      </c>
      <c r="V4027" s="22" t="str">
        <f t="shared" si="313"/>
        <v/>
      </c>
      <c r="X4027" s="33"/>
      <c r="Y4027" s="33"/>
    </row>
    <row r="4028" spans="1:25" x14ac:dyDescent="0.2">
      <c r="A4028" s="93" t="s">
        <v>2500</v>
      </c>
      <c r="B4028" s="94" t="str">
        <f>IFERROR(VLOOKUP($A4028,HeadJournal!$A$1:$NTR$890,COLUMN(HeadJournal!B$1),0),"")</f>
        <v>720000460806</v>
      </c>
      <c r="C4028" s="94" t="str">
        <f>IFERROR(VLOOKUP($A4028,HeadJournal!$A$1:$NTR$890,COLUMN(HeadJournal!C$1),0),"")</f>
        <v>iHerb_VP DFD1605</v>
      </c>
      <c r="D4028" s="125" t="str">
        <f>IFERROR(VLOOKUP($A4028,HeadJournal!$A$1:$NTR$890,COLUMN(HeadJournal!D$1),0),"")</f>
        <v>Доставлен</v>
      </c>
      <c r="E4028" s="95">
        <f>IFERROR(VLOOKUP($A4028,HeadJournal!$A$1:$NTR$890,COLUMN(HeadJournal!G$1),0),"")</f>
        <v>45595</v>
      </c>
      <c r="F4028" s="95" t="str">
        <f t="shared" si="314"/>
        <v>2024 10</v>
      </c>
      <c r="G4028" s="97" t="s">
        <v>5</v>
      </c>
      <c r="H4028" s="161" t="s">
        <v>2497</v>
      </c>
      <c r="I4028" s="97" t="s">
        <v>2498</v>
      </c>
      <c r="J4028" s="97" t="s">
        <v>2499</v>
      </c>
      <c r="K4028" s="29">
        <v>26.07</v>
      </c>
      <c r="L4028" s="29">
        <v>-6.52</v>
      </c>
      <c r="M4028" s="30">
        <f>IFERROR(VLOOKUP($A4028,HeadJournal!$A$1:$J$890,COLUMN(HeadJournal!I$1),0)*($K4028+$L4028)/(SUMIF($A:$A,$A4028,$K:$K)+SUMIF($A:$A,$A4028,$L:$L)),0)</f>
        <v>-0.91374117158288304</v>
      </c>
      <c r="N4028" s="30">
        <f>IFERROR((VLOOKUP($A4028,HeadJournal!$A$1:$K$890,COLUMN(HeadJournal!K$1),0)-VLOOKUP($A4028,HeadJournal!$A$1:$K$890,COLUMN(HeadJournal!J$1),0))*($K4028+$L4028)/(SUMIF($A:$A,$A4028,$K:$K)+SUMIF($A:$A,$A4028,$L:$L)),0)</f>
        <v>-5.7711302385168069E-15</v>
      </c>
      <c r="O4028" s="30">
        <f>IFERROR((VLOOKUP($A4028,HeadJournal!$A$1:$L$890,COLUMN(HeadJournal!L$1),0)*($K4028+$L4028)/(SUMIF($A:$A,$A4028,$K:$K)+SUMIF($A:$A,$A4028,$L:$L)))/VLOOKUP($A4028,HeadJournal!$A$1:$L$890,COLUMN(HeadJournal!H$1),0),0)</f>
        <v>0.30283459105617033</v>
      </c>
      <c r="P4028" s="30">
        <f>IFERROR(SUM(K4028:O4028)*VLOOKUP($A4028,HeadJournal!$A$1:$L$890,COLUMN(HeadJournal!H$1),0),0)</f>
        <v>2036.4034242573737</v>
      </c>
      <c r="Q4028" s="29">
        <v>3400</v>
      </c>
      <c r="R4028" s="31">
        <v>45619</v>
      </c>
      <c r="S4028" s="31" t="s">
        <v>3121</v>
      </c>
      <c r="T4028" s="95" t="str">
        <f t="shared" si="315"/>
        <v>2024 11</v>
      </c>
      <c r="U4028" s="32">
        <f t="shared" si="312"/>
        <v>1363.5965757426263</v>
      </c>
      <c r="V4028" s="22">
        <f t="shared" si="313"/>
        <v>0.669610235133</v>
      </c>
      <c r="X4028" s="33"/>
      <c r="Y4028" s="33"/>
    </row>
    <row r="4029" spans="1:25" x14ac:dyDescent="0.2">
      <c r="A4029" s="93" t="s">
        <v>2500</v>
      </c>
      <c r="B4029" s="94" t="str">
        <f>IFERROR(VLOOKUP($A4029,HeadJournal!$A$1:$NTR$890,COLUMN(HeadJournal!B$1),0),"")</f>
        <v>720000460806</v>
      </c>
      <c r="C4029" s="94" t="str">
        <f>IFERROR(VLOOKUP($A4029,HeadJournal!$A$1:$NTR$890,COLUMN(HeadJournal!C$1),0),"")</f>
        <v>iHerb_VP DFD1605</v>
      </c>
      <c r="D4029" s="125" t="str">
        <f>IFERROR(VLOOKUP($A4029,HeadJournal!$A$1:$NTR$890,COLUMN(HeadJournal!D$1),0),"")</f>
        <v>Доставлен</v>
      </c>
      <c r="E4029" s="95">
        <f>IFERROR(VLOOKUP($A4029,HeadJournal!$A$1:$NTR$890,COLUMN(HeadJournal!G$1),0),"")</f>
        <v>45595</v>
      </c>
      <c r="F4029" s="95" t="str">
        <f t="shared" si="314"/>
        <v>2024 10</v>
      </c>
      <c r="G4029" s="97" t="s">
        <v>5</v>
      </c>
      <c r="H4029" s="161" t="s">
        <v>2160</v>
      </c>
      <c r="I4029" s="97" t="s">
        <v>2159</v>
      </c>
      <c r="J4029" s="97" t="s">
        <v>2161</v>
      </c>
      <c r="K4029" s="29">
        <v>22.68</v>
      </c>
      <c r="L4029" s="29">
        <v>-5.67</v>
      </c>
      <c r="M4029" s="30">
        <f>IFERROR(VLOOKUP($A4029,HeadJournal!$A$1:$J$890,COLUMN(HeadJournal!I$1),0)*($K4029+$L4029)/(SUMIF($A:$A,$A4029,$K:$K)+SUMIF($A:$A,$A4029,$L:$L)),0)</f>
        <v>-0.7950249272953881</v>
      </c>
      <c r="N4029" s="30">
        <f>IFERROR((VLOOKUP($A4029,HeadJournal!$A$1:$K$890,COLUMN(HeadJournal!K$1),0)-VLOOKUP($A4029,HeadJournal!$A$1:$K$890,COLUMN(HeadJournal!J$1),0))*($K4029+$L4029)/(SUMIF($A:$A,$A4029,$K:$K)+SUMIF($A:$A,$A4029,$L:$L)),0)</f>
        <v>-5.0213261052261315E-15</v>
      </c>
      <c r="O4029" s="30">
        <f>IFERROR((VLOOKUP($A4029,HeadJournal!$A$1:$L$890,COLUMN(HeadJournal!L$1),0)*($K4029+$L4029)/(SUMIF($A:$A,$A4029,$K:$K)+SUMIF($A:$A,$A4029,$L:$L)))/VLOOKUP($A4029,HeadJournal!$A$1:$L$890,COLUMN(HeadJournal!H$1),0),0)</f>
        <v>0.26348932960948623</v>
      </c>
      <c r="P4029" s="30">
        <f>IFERROR(SUM(K4029:O4029)*VLOOKUP($A4029,HeadJournal!$A$1:$L$890,COLUMN(HeadJournal!H$1),0),0)</f>
        <v>1771.8272248909429</v>
      </c>
      <c r="Q4029" s="29">
        <v>3200</v>
      </c>
      <c r="R4029" s="31">
        <v>45630</v>
      </c>
      <c r="S4029" s="31" t="s">
        <v>3121</v>
      </c>
      <c r="T4029" s="95" t="str">
        <f t="shared" si="315"/>
        <v>2024 12</v>
      </c>
      <c r="U4029" s="32">
        <f t="shared" si="312"/>
        <v>1428.1727751090571</v>
      </c>
      <c r="V4029" s="22">
        <f t="shared" si="313"/>
        <v>0.80604516910330348</v>
      </c>
      <c r="X4029" s="33"/>
      <c r="Y4029" s="33"/>
    </row>
    <row r="4030" spans="1:25" x14ac:dyDescent="0.2">
      <c r="A4030" s="93" t="s">
        <v>2505</v>
      </c>
      <c r="B4030" s="94" t="str">
        <f>IFERROR(VLOOKUP($A4030,HeadJournal!$A$1:$NTR$890,COLUMN(HeadJournal!B$1),0),"")</f>
        <v>722500298707</v>
      </c>
      <c r="C4030" s="94" t="str">
        <f>IFERROR(VLOOKUP($A4030,HeadJournal!$A$1:$NTR$890,COLUMN(HeadJournal!C$1),0),"")</f>
        <v>iHerb_AV CYG0792</v>
      </c>
      <c r="D4030" s="125" t="str">
        <f>IFERROR(VLOOKUP($A4030,HeadJournal!$A$1:$NTR$890,COLUMN(HeadJournal!D$1),0),"")</f>
        <v>Доставлен</v>
      </c>
      <c r="E4030" s="95">
        <f>IFERROR(VLOOKUP($A4030,HeadJournal!$A$1:$NTR$890,COLUMN(HeadJournal!G$1),0),"")</f>
        <v>45593</v>
      </c>
      <c r="F4030" s="95" t="str">
        <f t="shared" si="314"/>
        <v>2024 10</v>
      </c>
      <c r="G4030" s="97" t="s">
        <v>5</v>
      </c>
      <c r="H4030" s="161" t="s">
        <v>2502</v>
      </c>
      <c r="I4030" s="97" t="s">
        <v>2005</v>
      </c>
      <c r="J4030" s="97" t="s">
        <v>2503</v>
      </c>
      <c r="K4030" s="29">
        <v>22.94</v>
      </c>
      <c r="L4030" s="29">
        <v>-5.74</v>
      </c>
      <c r="M4030" s="30">
        <f>IFERROR(VLOOKUP($A4030,HeadJournal!$A$1:$J$890,COLUMN(HeadJournal!I$1),0)*($K4030+$L4030)/(SUMIF($A:$A,$A4030,$K:$K)+SUMIF($A:$A,$A4030,$L:$L)),0)</f>
        <v>-2.5752466242216472</v>
      </c>
      <c r="N4030" s="30">
        <f>IFERROR((VLOOKUP($A4030,HeadJournal!$A$1:$K$890,COLUMN(HeadJournal!K$1),0)-VLOOKUP($A4030,HeadJournal!$A$1:$K$890,COLUMN(HeadJournal!J$1),0))*($K4030+$L4030)/(SUMIF($A:$A,$A4030,$K:$K)+SUMIF($A:$A,$A4030,$L:$L)),0)</f>
        <v>0</v>
      </c>
      <c r="O4030" s="30">
        <f>IFERROR((VLOOKUP($A4030,HeadJournal!$A$1:$L$890,COLUMN(HeadJournal!L$1),0)*($K4030+$L4030)/(SUMIF($A:$A,$A4030,$K:$K)+SUMIF($A:$A,$A4030,$L:$L)))/VLOOKUP($A4030,HeadJournal!$A$1:$L$890,COLUMN(HeadJournal!H$1),0),0)</f>
        <v>0.35487056246533555</v>
      </c>
      <c r="P4030" s="30">
        <f>IFERROR(SUM(K4030:O4030)*VLOOKUP($A4030,HeadJournal!$A$1:$L$890,COLUMN(HeadJournal!H$1),0),0)</f>
        <v>1629.1662981879242</v>
      </c>
      <c r="Q4030" s="29">
        <v>3200</v>
      </c>
      <c r="R4030" s="31">
        <v>45700</v>
      </c>
      <c r="S4030" s="31" t="s">
        <v>3121</v>
      </c>
      <c r="T4030" s="95" t="str">
        <f t="shared" si="315"/>
        <v>2025 02</v>
      </c>
      <c r="U4030" s="32">
        <f t="shared" si="312"/>
        <v>1570.8337018120758</v>
      </c>
      <c r="V4030" s="22">
        <f t="shared" si="313"/>
        <v>0.9641948176556745</v>
      </c>
      <c r="X4030" s="33"/>
      <c r="Y4030" s="33"/>
    </row>
    <row r="4031" spans="1:25" x14ac:dyDescent="0.2">
      <c r="A4031" s="93" t="s">
        <v>2505</v>
      </c>
      <c r="B4031" s="94" t="str">
        <f>IFERROR(VLOOKUP($A4031,HeadJournal!$A$1:$NTR$890,COLUMN(HeadJournal!B$1),0),"")</f>
        <v>722500298707</v>
      </c>
      <c r="C4031" s="94" t="str">
        <f>IFERROR(VLOOKUP($A4031,HeadJournal!$A$1:$NTR$890,COLUMN(HeadJournal!C$1),0),"")</f>
        <v>iHerb_AV CYG0792</v>
      </c>
      <c r="D4031" s="125" t="str">
        <f>IFERROR(VLOOKUP($A4031,HeadJournal!$A$1:$NTR$890,COLUMN(HeadJournal!D$1),0),"")</f>
        <v>Доставлен</v>
      </c>
      <c r="E4031" s="95">
        <f>IFERROR(VLOOKUP($A4031,HeadJournal!$A$1:$NTR$890,COLUMN(HeadJournal!G$1),0),"")</f>
        <v>45593</v>
      </c>
      <c r="F4031" s="95" t="str">
        <f t="shared" si="314"/>
        <v>2024 10</v>
      </c>
      <c r="G4031" s="97" t="s">
        <v>5</v>
      </c>
      <c r="H4031" s="161" t="s">
        <v>2504</v>
      </c>
      <c r="I4031" s="97" t="s">
        <v>2036</v>
      </c>
      <c r="J4031" s="97" t="s">
        <v>3739</v>
      </c>
      <c r="K4031" s="29">
        <v>15.45</v>
      </c>
      <c r="L4031" s="29">
        <v>-3.8633333333333333</v>
      </c>
      <c r="M4031" s="30">
        <f>IFERROR(VLOOKUP($A4031,HeadJournal!$A$1:$J$890,COLUMN(HeadJournal!I$1),0)*($K4031+$L4031)/(SUMIF($A:$A,$A4031,$K:$K)+SUMIF($A:$A,$A4031,$L:$L)),0)</f>
        <v>-1.7347979197276053</v>
      </c>
      <c r="N4031" s="30">
        <f>IFERROR((VLOOKUP($A4031,HeadJournal!$A$1:$K$890,COLUMN(HeadJournal!K$1),0)-VLOOKUP($A4031,HeadJournal!$A$1:$K$890,COLUMN(HeadJournal!J$1),0))*($K4031+$L4031)/(SUMIF($A:$A,$A4031,$K:$K)+SUMIF($A:$A,$A4031,$L:$L)),0)</f>
        <v>0</v>
      </c>
      <c r="O4031" s="30">
        <f>IFERROR((VLOOKUP($A4031,HeadJournal!$A$1:$L$890,COLUMN(HeadJournal!L$1),0)*($K4031+$L4031)/(SUMIF($A:$A,$A4031,$K:$K)+SUMIF($A:$A,$A4031,$L:$L)))/VLOOKUP($A4031,HeadJournal!$A$1:$L$890,COLUMN(HeadJournal!H$1),0),0)</f>
        <v>0.2390562161103694</v>
      </c>
      <c r="P4031" s="30">
        <f>IFERROR(SUM(K4031:O4031)*VLOOKUP($A4031,HeadJournal!$A$1:$L$890,COLUMN(HeadJournal!H$1),0),0)</f>
        <v>1097.4771419576016</v>
      </c>
      <c r="Q4031" s="29">
        <v>2500</v>
      </c>
      <c r="R4031" s="31">
        <v>45619</v>
      </c>
      <c r="S4031" s="31" t="s">
        <v>3121</v>
      </c>
      <c r="T4031" s="95" t="str">
        <f t="shared" si="315"/>
        <v>2024 11</v>
      </c>
      <c r="U4031" s="32">
        <f t="shared" si="312"/>
        <v>1402.5228580423984</v>
      </c>
      <c r="V4031" s="22">
        <f t="shared" si="313"/>
        <v>1.277951771770552</v>
      </c>
      <c r="X4031" s="33"/>
      <c r="Y4031" s="33"/>
    </row>
    <row r="4032" spans="1:25" x14ac:dyDescent="0.2">
      <c r="A4032" s="93" t="s">
        <v>2505</v>
      </c>
      <c r="B4032" s="94" t="str">
        <f>IFERROR(VLOOKUP($A4032,HeadJournal!$A$1:$NTR$890,COLUMN(HeadJournal!B$1),0),"")</f>
        <v>722500298707</v>
      </c>
      <c r="C4032" s="94" t="str">
        <f>IFERROR(VLOOKUP($A4032,HeadJournal!$A$1:$NTR$890,COLUMN(HeadJournal!C$1),0),"")</f>
        <v>iHerb_AV CYG0792</v>
      </c>
      <c r="D4032" s="125" t="str">
        <f>IFERROR(VLOOKUP($A4032,HeadJournal!$A$1:$NTR$890,COLUMN(HeadJournal!D$1),0),"")</f>
        <v>Доставлен</v>
      </c>
      <c r="E4032" s="95">
        <f>IFERROR(VLOOKUP($A4032,HeadJournal!$A$1:$NTR$890,COLUMN(HeadJournal!G$1),0),"")</f>
        <v>45593</v>
      </c>
      <c r="F4032" s="95" t="str">
        <f t="shared" si="314"/>
        <v>2024 10</v>
      </c>
      <c r="G4032" s="97" t="s">
        <v>5</v>
      </c>
      <c r="H4032" s="161" t="s">
        <v>2504</v>
      </c>
      <c r="I4032" s="97" t="s">
        <v>2036</v>
      </c>
      <c r="J4032" s="97" t="s">
        <v>3739</v>
      </c>
      <c r="K4032" s="29">
        <v>15.45</v>
      </c>
      <c r="L4032" s="29">
        <v>-3.8633333333333333</v>
      </c>
      <c r="M4032" s="30">
        <f>IFERROR(VLOOKUP($A4032,HeadJournal!$A$1:$J$890,COLUMN(HeadJournal!I$1),0)*($K4032+$L4032)/(SUMIF($A:$A,$A4032,$K:$K)+SUMIF($A:$A,$A4032,$L:$L)),0)</f>
        <v>-1.7347979197276053</v>
      </c>
      <c r="N4032" s="30">
        <f>IFERROR((VLOOKUP($A4032,HeadJournal!$A$1:$K$890,COLUMN(HeadJournal!K$1),0)-VLOOKUP($A4032,HeadJournal!$A$1:$K$890,COLUMN(HeadJournal!J$1),0))*($K4032+$L4032)/(SUMIF($A:$A,$A4032,$K:$K)+SUMIF($A:$A,$A4032,$L:$L)),0)</f>
        <v>0</v>
      </c>
      <c r="O4032" s="30">
        <f>IFERROR((VLOOKUP($A4032,HeadJournal!$A$1:$L$890,COLUMN(HeadJournal!L$1),0)*($K4032+$L4032)/(SUMIF($A:$A,$A4032,$K:$K)+SUMIF($A:$A,$A4032,$L:$L)))/VLOOKUP($A4032,HeadJournal!$A$1:$L$890,COLUMN(HeadJournal!H$1),0),0)</f>
        <v>0.2390562161103694</v>
      </c>
      <c r="P4032" s="30">
        <f>IFERROR(SUM(K4032:O4032)*VLOOKUP($A4032,HeadJournal!$A$1:$L$890,COLUMN(HeadJournal!H$1),0),0)</f>
        <v>1097.4771419576016</v>
      </c>
      <c r="Q4032" s="29">
        <v>2500</v>
      </c>
      <c r="R4032" s="31">
        <v>45619</v>
      </c>
      <c r="S4032" s="31" t="s">
        <v>3121</v>
      </c>
      <c r="T4032" s="95" t="str">
        <f t="shared" si="315"/>
        <v>2024 11</v>
      </c>
      <c r="U4032" s="32">
        <f t="shared" si="312"/>
        <v>1402.5228580423984</v>
      </c>
      <c r="V4032" s="22">
        <f t="shared" si="313"/>
        <v>1.277951771770552</v>
      </c>
      <c r="X4032" s="33"/>
      <c r="Y4032" s="33"/>
    </row>
    <row r="4033" spans="1:25" x14ac:dyDescent="0.2">
      <c r="A4033" s="93" t="s">
        <v>2505</v>
      </c>
      <c r="B4033" s="94" t="str">
        <f>IFERROR(VLOOKUP($A4033,HeadJournal!$A$1:$NTR$890,COLUMN(HeadJournal!B$1),0),"")</f>
        <v>722500298707</v>
      </c>
      <c r="C4033" s="94" t="str">
        <f>IFERROR(VLOOKUP($A4033,HeadJournal!$A$1:$NTR$890,COLUMN(HeadJournal!C$1),0),"")</f>
        <v>iHerb_AV CYG0792</v>
      </c>
      <c r="D4033" s="125" t="str">
        <f>IFERROR(VLOOKUP($A4033,HeadJournal!$A$1:$NTR$890,COLUMN(HeadJournal!D$1),0),"")</f>
        <v>Доставлен</v>
      </c>
      <c r="E4033" s="95">
        <f>IFERROR(VLOOKUP($A4033,HeadJournal!$A$1:$NTR$890,COLUMN(HeadJournal!G$1),0),"")</f>
        <v>45593</v>
      </c>
      <c r="F4033" s="95" t="str">
        <f t="shared" si="314"/>
        <v>2024 10</v>
      </c>
      <c r="G4033" s="97" t="s">
        <v>5</v>
      </c>
      <c r="H4033" s="161" t="s">
        <v>2504</v>
      </c>
      <c r="I4033" s="97" t="s">
        <v>2036</v>
      </c>
      <c r="J4033" s="97" t="s">
        <v>3739</v>
      </c>
      <c r="K4033" s="29">
        <v>15.45</v>
      </c>
      <c r="L4033" s="29">
        <v>-3.8633333333333333</v>
      </c>
      <c r="M4033" s="30">
        <f>IFERROR(VLOOKUP($A4033,HeadJournal!$A$1:$J$890,COLUMN(HeadJournal!I$1),0)*($K4033+$L4033)/(SUMIF($A:$A,$A4033,$K:$K)+SUMIF($A:$A,$A4033,$L:$L)),0)</f>
        <v>-1.7347979197276053</v>
      </c>
      <c r="N4033" s="30">
        <f>IFERROR((VLOOKUP($A4033,HeadJournal!$A$1:$K$890,COLUMN(HeadJournal!K$1),0)-VLOOKUP($A4033,HeadJournal!$A$1:$K$890,COLUMN(HeadJournal!J$1),0))*($K4033+$L4033)/(SUMIF($A:$A,$A4033,$K:$K)+SUMIF($A:$A,$A4033,$L:$L)),0)</f>
        <v>0</v>
      </c>
      <c r="O4033" s="30">
        <f>IFERROR((VLOOKUP($A4033,HeadJournal!$A$1:$L$890,COLUMN(HeadJournal!L$1),0)*($K4033+$L4033)/(SUMIF($A:$A,$A4033,$K:$K)+SUMIF($A:$A,$A4033,$L:$L)))/VLOOKUP($A4033,HeadJournal!$A$1:$L$890,COLUMN(HeadJournal!H$1),0),0)</f>
        <v>0.2390562161103694</v>
      </c>
      <c r="P4033" s="30">
        <f>IFERROR(SUM(K4033:O4033)*VLOOKUP($A4033,HeadJournal!$A$1:$L$890,COLUMN(HeadJournal!H$1),0),0)</f>
        <v>1097.4771419576016</v>
      </c>
      <c r="Q4033" s="29">
        <v>2500</v>
      </c>
      <c r="R4033" s="31">
        <v>45619</v>
      </c>
      <c r="S4033" s="31" t="s">
        <v>3121</v>
      </c>
      <c r="T4033" s="95" t="str">
        <f t="shared" si="315"/>
        <v>2024 11</v>
      </c>
      <c r="U4033" s="32">
        <f t="shared" ref="U4033:U4096" si="316">Q4033-P4033</f>
        <v>1402.5228580423984</v>
      </c>
      <c r="V4033" s="22">
        <f t="shared" ref="V4033:V4096" si="317">IF(Q4033&lt;&gt;0,IFERROR(U4033/P4033,""),"")</f>
        <v>1.277951771770552</v>
      </c>
      <c r="X4033" s="33"/>
      <c r="Y4033" s="33"/>
    </row>
    <row r="4034" spans="1:25" x14ac:dyDescent="0.2">
      <c r="A4034" s="93" t="s">
        <v>2505</v>
      </c>
      <c r="B4034" s="94" t="str">
        <f>IFERROR(VLOOKUP($A4034,HeadJournal!$A$1:$NTR$890,COLUMN(HeadJournal!B$1),0),"")</f>
        <v>722500298707</v>
      </c>
      <c r="C4034" s="94" t="str">
        <f>IFERROR(VLOOKUP($A4034,HeadJournal!$A$1:$NTR$890,COLUMN(HeadJournal!C$1),0),"")</f>
        <v>iHerb_AV CYG0792</v>
      </c>
      <c r="D4034" s="125" t="str">
        <f>IFERROR(VLOOKUP($A4034,HeadJournal!$A$1:$NTR$890,COLUMN(HeadJournal!D$1),0),"")</f>
        <v>Доставлен</v>
      </c>
      <c r="E4034" s="95">
        <f>IFERROR(VLOOKUP($A4034,HeadJournal!$A$1:$NTR$890,COLUMN(HeadJournal!G$1),0),"")</f>
        <v>45593</v>
      </c>
      <c r="F4034" s="95" t="str">
        <f t="shared" si="314"/>
        <v>2024 10</v>
      </c>
      <c r="G4034" s="97" t="s">
        <v>5</v>
      </c>
      <c r="H4034" s="161" t="s">
        <v>2497</v>
      </c>
      <c r="I4034" s="97" t="s">
        <v>2498</v>
      </c>
      <c r="J4034" s="97" t="s">
        <v>2499</v>
      </c>
      <c r="K4034" s="29">
        <v>26.07</v>
      </c>
      <c r="L4034" s="29">
        <v>-6.5175000000000001</v>
      </c>
      <c r="M4034" s="30">
        <f>IFERROR(VLOOKUP($A4034,HeadJournal!$A$1:$J$890,COLUMN(HeadJournal!I$1),0)*($K4034+$L4034)/(SUMIF($A:$A,$A4034,$K:$K)+SUMIF($A:$A,$A4034,$L:$L)),0)</f>
        <v>-2.9274714895403342</v>
      </c>
      <c r="N4034" s="30">
        <f>IFERROR((VLOOKUP($A4034,HeadJournal!$A$1:$K$890,COLUMN(HeadJournal!K$1),0)-VLOOKUP($A4034,HeadJournal!$A$1:$K$890,COLUMN(HeadJournal!J$1),0))*($K4034+$L4034)/(SUMIF($A:$A,$A4034,$K:$K)+SUMIF($A:$A,$A4034,$L:$L)),0)</f>
        <v>0</v>
      </c>
      <c r="O4034" s="30">
        <f>IFERROR((VLOOKUP($A4034,HeadJournal!$A$1:$L$890,COLUMN(HeadJournal!L$1),0)*($K4034+$L4034)/(SUMIF($A:$A,$A4034,$K:$K)+SUMIF($A:$A,$A4034,$L:$L)))/VLOOKUP($A4034,HeadJournal!$A$1:$L$890,COLUMN(HeadJournal!H$1),0),0)</f>
        <v>0.40340736468624844</v>
      </c>
      <c r="P4034" s="30">
        <f>IFERROR(SUM(K4034:O4034)*VLOOKUP($A4034,HeadJournal!$A$1:$L$890,COLUMN(HeadJournal!H$1),0),0)</f>
        <v>1851.9926770534528</v>
      </c>
      <c r="Q4034" s="29">
        <v>3400</v>
      </c>
      <c r="R4034" s="31">
        <v>45619</v>
      </c>
      <c r="S4034" s="31" t="s">
        <v>3121</v>
      </c>
      <c r="T4034" s="95" t="str">
        <f t="shared" si="315"/>
        <v>2024 11</v>
      </c>
      <c r="U4034" s="32">
        <f t="shared" si="316"/>
        <v>1548.0073229465472</v>
      </c>
      <c r="V4034" s="22">
        <f t="shared" si="317"/>
        <v>0.83586039087878539</v>
      </c>
      <c r="X4034" s="33"/>
      <c r="Y4034" s="33"/>
    </row>
    <row r="4035" spans="1:25" x14ac:dyDescent="0.2">
      <c r="A4035" s="93" t="s">
        <v>2505</v>
      </c>
      <c r="B4035" s="94" t="str">
        <f>IFERROR(VLOOKUP($A4035,HeadJournal!$A$1:$NTR$890,COLUMN(HeadJournal!B$1),0),"")</f>
        <v>722500298707</v>
      </c>
      <c r="C4035" s="94" t="str">
        <f>IFERROR(VLOOKUP($A4035,HeadJournal!$A$1:$NTR$890,COLUMN(HeadJournal!C$1),0),"")</f>
        <v>iHerb_AV CYG0792</v>
      </c>
      <c r="D4035" s="125" t="str">
        <f>IFERROR(VLOOKUP($A4035,HeadJournal!$A$1:$NTR$890,COLUMN(HeadJournal!D$1),0),"")</f>
        <v>Доставлен</v>
      </c>
      <c r="E4035" s="95">
        <f>IFERROR(VLOOKUP($A4035,HeadJournal!$A$1:$NTR$890,COLUMN(HeadJournal!G$1),0),"")</f>
        <v>45593</v>
      </c>
      <c r="F4035" s="95" t="str">
        <f t="shared" si="314"/>
        <v>2024 10</v>
      </c>
      <c r="G4035" s="97" t="s">
        <v>5</v>
      </c>
      <c r="H4035" s="161" t="s">
        <v>2497</v>
      </c>
      <c r="I4035" s="97" t="s">
        <v>2498</v>
      </c>
      <c r="J4035" s="97" t="s">
        <v>2499</v>
      </c>
      <c r="K4035" s="29">
        <v>26.07</v>
      </c>
      <c r="L4035" s="29">
        <v>-6.5175000000000001</v>
      </c>
      <c r="M4035" s="30">
        <f>IFERROR(VLOOKUP($A4035,HeadJournal!$A$1:$J$890,COLUMN(HeadJournal!I$1),0)*($K4035+$L4035)/(SUMIF($A:$A,$A4035,$K:$K)+SUMIF($A:$A,$A4035,$L:$L)),0)</f>
        <v>-2.9274714895403342</v>
      </c>
      <c r="N4035" s="30">
        <f>IFERROR((VLOOKUP($A4035,HeadJournal!$A$1:$K$890,COLUMN(HeadJournal!K$1),0)-VLOOKUP($A4035,HeadJournal!$A$1:$K$890,COLUMN(HeadJournal!J$1),0))*($K4035+$L4035)/(SUMIF($A:$A,$A4035,$K:$K)+SUMIF($A:$A,$A4035,$L:$L)),0)</f>
        <v>0</v>
      </c>
      <c r="O4035" s="30">
        <f>IFERROR((VLOOKUP($A4035,HeadJournal!$A$1:$L$890,COLUMN(HeadJournal!L$1),0)*($K4035+$L4035)/(SUMIF($A:$A,$A4035,$K:$K)+SUMIF($A:$A,$A4035,$L:$L)))/VLOOKUP($A4035,HeadJournal!$A$1:$L$890,COLUMN(HeadJournal!H$1),0),0)</f>
        <v>0.40340736468624844</v>
      </c>
      <c r="P4035" s="30">
        <f>IFERROR(SUM(K4035:O4035)*VLOOKUP($A4035,HeadJournal!$A$1:$L$890,COLUMN(HeadJournal!H$1),0),0)</f>
        <v>1851.9926770534528</v>
      </c>
      <c r="Q4035" s="29">
        <v>3400</v>
      </c>
      <c r="R4035" s="31">
        <v>45619</v>
      </c>
      <c r="S4035" s="31" t="s">
        <v>3121</v>
      </c>
      <c r="T4035" s="95" t="str">
        <f t="shared" si="315"/>
        <v>2024 11</v>
      </c>
      <c r="U4035" s="32">
        <f t="shared" si="316"/>
        <v>1548.0073229465472</v>
      </c>
      <c r="V4035" s="22">
        <f t="shared" si="317"/>
        <v>0.83586039087878539</v>
      </c>
      <c r="X4035" s="33"/>
      <c r="Y4035" s="33"/>
    </row>
    <row r="4036" spans="1:25" x14ac:dyDescent="0.2">
      <c r="A4036" s="93" t="s">
        <v>2505</v>
      </c>
      <c r="B4036" s="94" t="str">
        <f>IFERROR(VLOOKUP($A4036,HeadJournal!$A$1:$NTR$890,COLUMN(HeadJournal!B$1),0),"")</f>
        <v>722500298707</v>
      </c>
      <c r="C4036" s="94" t="str">
        <f>IFERROR(VLOOKUP($A4036,HeadJournal!$A$1:$NTR$890,COLUMN(HeadJournal!C$1),0),"")</f>
        <v>iHerb_AV CYG0792</v>
      </c>
      <c r="D4036" s="125" t="str">
        <f>IFERROR(VLOOKUP($A4036,HeadJournal!$A$1:$NTR$890,COLUMN(HeadJournal!D$1),0),"")</f>
        <v>Доставлен</v>
      </c>
      <c r="E4036" s="95">
        <f>IFERROR(VLOOKUP($A4036,HeadJournal!$A$1:$NTR$890,COLUMN(HeadJournal!G$1),0),"")</f>
        <v>45593</v>
      </c>
      <c r="F4036" s="95" t="str">
        <f t="shared" ref="F4036:F4099" si="318">IFERROR(TEXT(E4036, "ГГГГ ММ"),"")</f>
        <v>2024 10</v>
      </c>
      <c r="G4036" s="97" t="s">
        <v>5</v>
      </c>
      <c r="H4036" s="161" t="s">
        <v>2497</v>
      </c>
      <c r="I4036" s="97" t="s">
        <v>2498</v>
      </c>
      <c r="J4036" s="97" t="s">
        <v>2499</v>
      </c>
      <c r="K4036" s="29">
        <v>26.07</v>
      </c>
      <c r="L4036" s="29">
        <v>-6.5175000000000001</v>
      </c>
      <c r="M4036" s="30">
        <f>IFERROR(VLOOKUP($A4036,HeadJournal!$A$1:$J$890,COLUMN(HeadJournal!I$1),0)*($K4036+$L4036)/(SUMIF($A:$A,$A4036,$K:$K)+SUMIF($A:$A,$A4036,$L:$L)),0)</f>
        <v>-2.9274714895403342</v>
      </c>
      <c r="N4036" s="30">
        <f>IFERROR((VLOOKUP($A4036,HeadJournal!$A$1:$K$890,COLUMN(HeadJournal!K$1),0)-VLOOKUP($A4036,HeadJournal!$A$1:$K$890,COLUMN(HeadJournal!J$1),0))*($K4036+$L4036)/(SUMIF($A:$A,$A4036,$K:$K)+SUMIF($A:$A,$A4036,$L:$L)),0)</f>
        <v>0</v>
      </c>
      <c r="O4036" s="30">
        <f>IFERROR((VLOOKUP($A4036,HeadJournal!$A$1:$L$890,COLUMN(HeadJournal!L$1),0)*($K4036+$L4036)/(SUMIF($A:$A,$A4036,$K:$K)+SUMIF($A:$A,$A4036,$L:$L)))/VLOOKUP($A4036,HeadJournal!$A$1:$L$890,COLUMN(HeadJournal!H$1),0),0)</f>
        <v>0.40340736468624844</v>
      </c>
      <c r="P4036" s="30">
        <f>IFERROR(SUM(K4036:O4036)*VLOOKUP($A4036,HeadJournal!$A$1:$L$890,COLUMN(HeadJournal!H$1),0),0)</f>
        <v>1851.9926770534528</v>
      </c>
      <c r="Q4036" s="29">
        <v>3400</v>
      </c>
      <c r="R4036" s="31">
        <v>45619</v>
      </c>
      <c r="S4036" s="31" t="s">
        <v>3121</v>
      </c>
      <c r="T4036" s="95" t="str">
        <f t="shared" ref="T4036:T4099" si="319">IF(R4036="","",TEXT(R4036,"ГГГГ ММ"))</f>
        <v>2024 11</v>
      </c>
      <c r="U4036" s="32">
        <f t="shared" si="316"/>
        <v>1548.0073229465472</v>
      </c>
      <c r="V4036" s="22">
        <f t="shared" si="317"/>
        <v>0.83586039087878539</v>
      </c>
      <c r="X4036" s="33"/>
      <c r="Y4036" s="33"/>
    </row>
    <row r="4037" spans="1:25" x14ac:dyDescent="0.2">
      <c r="A4037" s="93" t="s">
        <v>2505</v>
      </c>
      <c r="B4037" s="94" t="str">
        <f>IFERROR(VLOOKUP($A4037,HeadJournal!$A$1:$NTR$890,COLUMN(HeadJournal!B$1),0),"")</f>
        <v>722500298707</v>
      </c>
      <c r="C4037" s="94" t="str">
        <f>IFERROR(VLOOKUP($A4037,HeadJournal!$A$1:$NTR$890,COLUMN(HeadJournal!C$1),0),"")</f>
        <v>iHerb_AV CYG0792</v>
      </c>
      <c r="D4037" s="125" t="str">
        <f>IFERROR(VLOOKUP($A4037,HeadJournal!$A$1:$NTR$890,COLUMN(HeadJournal!D$1),0),"")</f>
        <v>Доставлен</v>
      </c>
      <c r="E4037" s="95">
        <f>IFERROR(VLOOKUP($A4037,HeadJournal!$A$1:$NTR$890,COLUMN(HeadJournal!G$1),0),"")</f>
        <v>45593</v>
      </c>
      <c r="F4037" s="95" t="str">
        <f t="shared" si="318"/>
        <v>2024 10</v>
      </c>
      <c r="G4037" s="97" t="s">
        <v>5</v>
      </c>
      <c r="H4037" s="161" t="s">
        <v>2497</v>
      </c>
      <c r="I4037" s="97" t="s">
        <v>2498</v>
      </c>
      <c r="J4037" s="97" t="s">
        <v>2499</v>
      </c>
      <c r="K4037" s="29">
        <v>26.07</v>
      </c>
      <c r="L4037" s="29">
        <v>-6.5175000000000001</v>
      </c>
      <c r="M4037" s="30">
        <f>IFERROR(VLOOKUP($A4037,HeadJournal!$A$1:$J$890,COLUMN(HeadJournal!I$1),0)*($K4037+$L4037)/(SUMIF($A:$A,$A4037,$K:$K)+SUMIF($A:$A,$A4037,$L:$L)),0)</f>
        <v>-2.9274714895403342</v>
      </c>
      <c r="N4037" s="30">
        <f>IFERROR((VLOOKUP($A4037,HeadJournal!$A$1:$K$890,COLUMN(HeadJournal!K$1),0)-VLOOKUP($A4037,HeadJournal!$A$1:$K$890,COLUMN(HeadJournal!J$1),0))*($K4037+$L4037)/(SUMIF($A:$A,$A4037,$K:$K)+SUMIF($A:$A,$A4037,$L:$L)),0)</f>
        <v>0</v>
      </c>
      <c r="O4037" s="30">
        <f>IFERROR((VLOOKUP($A4037,HeadJournal!$A$1:$L$890,COLUMN(HeadJournal!L$1),0)*($K4037+$L4037)/(SUMIF($A:$A,$A4037,$K:$K)+SUMIF($A:$A,$A4037,$L:$L)))/VLOOKUP($A4037,HeadJournal!$A$1:$L$890,COLUMN(HeadJournal!H$1),0),0)</f>
        <v>0.40340736468624844</v>
      </c>
      <c r="P4037" s="30">
        <f>IFERROR(SUM(K4037:O4037)*VLOOKUP($A4037,HeadJournal!$A$1:$L$890,COLUMN(HeadJournal!H$1),0),0)</f>
        <v>1851.9926770534528</v>
      </c>
      <c r="Q4037" s="29">
        <v>3100</v>
      </c>
      <c r="R4037" s="31">
        <v>45696</v>
      </c>
      <c r="S4037" s="31" t="s">
        <v>3121</v>
      </c>
      <c r="T4037" s="95" t="str">
        <f t="shared" si="319"/>
        <v>2025 02</v>
      </c>
      <c r="U4037" s="32">
        <f t="shared" si="316"/>
        <v>1248.0073229465472</v>
      </c>
      <c r="V4037" s="22">
        <f t="shared" si="317"/>
        <v>0.67387270933065724</v>
      </c>
      <c r="X4037" s="33"/>
      <c r="Y4037" s="33"/>
    </row>
    <row r="4038" spans="1:25" x14ac:dyDescent="0.2">
      <c r="A4038" s="93" t="s">
        <v>2505</v>
      </c>
      <c r="B4038" s="94" t="str">
        <f>IFERROR(VLOOKUP($A4038,HeadJournal!$A$1:$NTR$890,COLUMN(HeadJournal!B$1),0),"")</f>
        <v>722500298707</v>
      </c>
      <c r="C4038" s="94" t="str">
        <f>IFERROR(VLOOKUP($A4038,HeadJournal!$A$1:$NTR$890,COLUMN(HeadJournal!C$1),0),"")</f>
        <v>iHerb_AV CYG0792</v>
      </c>
      <c r="D4038" s="125" t="str">
        <f>IFERROR(VLOOKUP($A4038,HeadJournal!$A$1:$NTR$890,COLUMN(HeadJournal!D$1),0),"")</f>
        <v>Доставлен</v>
      </c>
      <c r="E4038" s="95">
        <f>IFERROR(VLOOKUP($A4038,HeadJournal!$A$1:$NTR$890,COLUMN(HeadJournal!G$1),0),"")</f>
        <v>45593</v>
      </c>
      <c r="F4038" s="95" t="str">
        <f t="shared" si="318"/>
        <v>2024 10</v>
      </c>
      <c r="G4038" s="97" t="s">
        <v>5</v>
      </c>
      <c r="H4038" s="161" t="s">
        <v>2085</v>
      </c>
      <c r="I4038" s="97" t="s">
        <v>2005</v>
      </c>
      <c r="J4038" s="97" t="s">
        <v>2086</v>
      </c>
      <c r="K4038" s="29">
        <v>17.010000000000002</v>
      </c>
      <c r="L4038" s="29">
        <v>-4.25</v>
      </c>
      <c r="M4038" s="30">
        <f>IFERROR(VLOOKUP($A4038,HeadJournal!$A$1:$J$890,COLUMN(HeadJournal!I$1),0)*($K4038+$L4038)/(SUMIF($A:$A,$A4038,$K:$K)+SUMIF($A:$A,$A4038,$L:$L)),0)</f>
        <v>-1.9104736584341986</v>
      </c>
      <c r="N4038" s="30">
        <f>IFERROR((VLOOKUP($A4038,HeadJournal!$A$1:$K$890,COLUMN(HeadJournal!K$1),0)-VLOOKUP($A4038,HeadJournal!$A$1:$K$890,COLUMN(HeadJournal!J$1),0))*($K4038+$L4038)/(SUMIF($A:$A,$A4038,$K:$K)+SUMIF($A:$A,$A4038,$L:$L)),0)</f>
        <v>0</v>
      </c>
      <c r="O4038" s="30">
        <f>IFERROR((VLOOKUP($A4038,HeadJournal!$A$1:$L$890,COLUMN(HeadJournal!L$1),0)*($K4038+$L4038)/(SUMIF($A:$A,$A4038,$K:$K)+SUMIF($A:$A,$A4038,$L:$L)))/VLOOKUP($A4038,HeadJournal!$A$1:$L$890,COLUMN(HeadJournal!H$1),0),0)</f>
        <v>0.26326444052660941</v>
      </c>
      <c r="P4038" s="30">
        <f>IFERROR(SUM(K4038:O4038)*VLOOKUP($A4038,HeadJournal!$A$1:$L$890,COLUMN(HeadJournal!H$1),0),0)</f>
        <v>1208.61406772546</v>
      </c>
      <c r="Q4038" s="29">
        <v>2300</v>
      </c>
      <c r="R4038" s="31">
        <v>45619</v>
      </c>
      <c r="S4038" s="31" t="s">
        <v>3121</v>
      </c>
      <c r="T4038" s="95" t="str">
        <f t="shared" si="319"/>
        <v>2024 11</v>
      </c>
      <c r="U4038" s="32">
        <f t="shared" si="316"/>
        <v>1091.38593227454</v>
      </c>
      <c r="V4038" s="22">
        <f t="shared" si="317"/>
        <v>0.90300614680785862</v>
      </c>
      <c r="X4038" s="33"/>
      <c r="Y4038" s="33"/>
    </row>
    <row r="4039" spans="1:25" x14ac:dyDescent="0.2">
      <c r="A4039" s="93" t="s">
        <v>2509</v>
      </c>
      <c r="B4039" s="94" t="str">
        <f>IFERROR(VLOOKUP($A4039,HeadJournal!$A$1:$NTR$890,COLUMN(HeadJournal!B$1),0),"")</f>
        <v>1495407237</v>
      </c>
      <c r="C4039" s="94" t="str">
        <f>IFERROR(VLOOKUP($A4039,HeadJournal!$A$1:$NTR$890,COLUMN(HeadJournal!C$1),0),"")</f>
        <v>essens_AV</v>
      </c>
      <c r="D4039" s="125" t="str">
        <f>IFERROR(VLOOKUP($A4039,HeadJournal!$A$1:$NTR$890,COLUMN(HeadJournal!D$1),0),"")</f>
        <v>Доставлен</v>
      </c>
      <c r="E4039" s="95">
        <f>IFERROR(VLOOKUP($A4039,HeadJournal!$A$1:$NTR$890,COLUMN(HeadJournal!G$1),0),"")</f>
        <v>45589</v>
      </c>
      <c r="F4039" s="95" t="str">
        <f t="shared" si="318"/>
        <v>2024 10</v>
      </c>
      <c r="G4039" s="97" t="s">
        <v>8</v>
      </c>
      <c r="H4039" s="161" t="s">
        <v>2511</v>
      </c>
      <c r="I4039" s="97" t="s">
        <v>2243</v>
      </c>
      <c r="J4039" s="97" t="s">
        <v>2514</v>
      </c>
      <c r="K4039" s="29">
        <v>1476.28</v>
      </c>
      <c r="L4039" s="29">
        <v>0</v>
      </c>
      <c r="M4039" s="30">
        <f>IFERROR(VLOOKUP($A4039,HeadJournal!$A$1:$J$890,COLUMN(HeadJournal!I$1),0)*($K4039+$L4039)/(SUMIF($A:$A,$A4039,$K:$K)+SUMIF($A:$A,$A4039,$L:$L)),0)</f>
        <v>0</v>
      </c>
      <c r="N4039" s="30">
        <f>IFERROR((VLOOKUP($A4039,HeadJournal!$A$1:$K$890,COLUMN(HeadJournal!K$1),0)-VLOOKUP($A4039,HeadJournal!$A$1:$K$890,COLUMN(HeadJournal!J$1),0))*($K4039+$L4039)/(SUMIF($A:$A,$A4039,$K:$K)+SUMIF($A:$A,$A4039,$L:$L)),0)</f>
        <v>-245.11548198076099</v>
      </c>
      <c r="O4039" s="30">
        <f>IFERROR((VLOOKUP($A4039,HeadJournal!$A$1:$L$890,COLUMN(HeadJournal!L$1),0)*($K4039+$L4039)/(SUMIF($A:$A,$A4039,$K:$K)+SUMIF($A:$A,$A4039,$L:$L)))/VLOOKUP($A4039,HeadJournal!$A$1:$L$890,COLUMN(HeadJournal!H$1),0),0)</f>
        <v>93.478213045742322</v>
      </c>
      <c r="P4039" s="30">
        <f>IFERROR(SUM(K4039:O4039)*VLOOKUP($A4039,HeadJournal!$A$1:$L$890,COLUMN(HeadJournal!H$1),0),0)</f>
        <v>1324.6427310649813</v>
      </c>
      <c r="Q4039" s="29"/>
      <c r="R4039" s="31"/>
      <c r="S4039" s="31"/>
      <c r="T4039" s="95" t="str">
        <f t="shared" si="319"/>
        <v/>
      </c>
      <c r="U4039" s="32">
        <f t="shared" si="316"/>
        <v>-1324.6427310649813</v>
      </c>
      <c r="V4039" s="22" t="str">
        <f t="shared" si="317"/>
        <v/>
      </c>
      <c r="X4039" s="33"/>
      <c r="Y4039" s="33"/>
    </row>
    <row r="4040" spans="1:25" x14ac:dyDescent="0.2">
      <c r="A4040" s="93" t="s">
        <v>2509</v>
      </c>
      <c r="B4040" s="94" t="str">
        <f>IFERROR(VLOOKUP($A4040,HeadJournal!$A$1:$NTR$890,COLUMN(HeadJournal!B$1),0),"")</f>
        <v>1495407237</v>
      </c>
      <c r="C4040" s="94" t="str">
        <f>IFERROR(VLOOKUP($A4040,HeadJournal!$A$1:$NTR$890,COLUMN(HeadJournal!C$1),0),"")</f>
        <v>essens_AV</v>
      </c>
      <c r="D4040" s="125" t="str">
        <f>IFERROR(VLOOKUP($A4040,HeadJournal!$A$1:$NTR$890,COLUMN(HeadJournal!D$1),0),"")</f>
        <v>Доставлен</v>
      </c>
      <c r="E4040" s="95">
        <f>IFERROR(VLOOKUP($A4040,HeadJournal!$A$1:$NTR$890,COLUMN(HeadJournal!G$1),0),"")</f>
        <v>45589</v>
      </c>
      <c r="F4040" s="95" t="str">
        <f t="shared" si="318"/>
        <v>2024 10</v>
      </c>
      <c r="G4040" s="97" t="s">
        <v>8</v>
      </c>
      <c r="H4040" s="161" t="s">
        <v>2512</v>
      </c>
      <c r="I4040" s="97" t="s">
        <v>2243</v>
      </c>
      <c r="J4040" s="97" t="s">
        <v>2513</v>
      </c>
      <c r="K4040" s="29">
        <v>1476.28</v>
      </c>
      <c r="L4040" s="29">
        <v>0</v>
      </c>
      <c r="M4040" s="30">
        <f>IFERROR(VLOOKUP($A4040,HeadJournal!$A$1:$J$890,COLUMN(HeadJournal!I$1),0)*($K4040+$L4040)/(SUMIF($A:$A,$A4040,$K:$K)+SUMIF($A:$A,$A4040,$L:$L)),0)</f>
        <v>0</v>
      </c>
      <c r="N4040" s="30">
        <f>IFERROR((VLOOKUP($A4040,HeadJournal!$A$1:$K$890,COLUMN(HeadJournal!K$1),0)-VLOOKUP($A4040,HeadJournal!$A$1:$K$890,COLUMN(HeadJournal!J$1),0))*($K4040+$L4040)/(SUMIF($A:$A,$A4040,$K:$K)+SUMIF($A:$A,$A4040,$L:$L)),0)</f>
        <v>-245.11548198076099</v>
      </c>
      <c r="O4040" s="30">
        <f>IFERROR((VLOOKUP($A4040,HeadJournal!$A$1:$L$890,COLUMN(HeadJournal!L$1),0)*($K4040+$L4040)/(SUMIF($A:$A,$A4040,$K:$K)+SUMIF($A:$A,$A4040,$L:$L)))/VLOOKUP($A4040,HeadJournal!$A$1:$L$890,COLUMN(HeadJournal!H$1),0),0)</f>
        <v>93.478213045742322</v>
      </c>
      <c r="P4040" s="30">
        <f>IFERROR(SUM(K4040:O4040)*VLOOKUP($A4040,HeadJournal!$A$1:$L$890,COLUMN(HeadJournal!H$1),0),0)</f>
        <v>1324.6427310649813</v>
      </c>
      <c r="Q4040" s="29"/>
      <c r="R4040" s="31"/>
      <c r="S4040" s="31"/>
      <c r="T4040" s="95" t="str">
        <f t="shared" si="319"/>
        <v/>
      </c>
      <c r="U4040" s="32">
        <f t="shared" si="316"/>
        <v>-1324.6427310649813</v>
      </c>
      <c r="V4040" s="22" t="str">
        <f t="shared" si="317"/>
        <v/>
      </c>
      <c r="X4040" s="33"/>
      <c r="Y4040" s="33"/>
    </row>
    <row r="4041" spans="1:25" x14ac:dyDescent="0.2">
      <c r="A4041" s="93" t="s">
        <v>2509</v>
      </c>
      <c r="B4041" s="94" t="str">
        <f>IFERROR(VLOOKUP($A4041,HeadJournal!$A$1:$NTR$890,COLUMN(HeadJournal!B$1),0),"")</f>
        <v>1495407237</v>
      </c>
      <c r="C4041" s="94" t="str">
        <f>IFERROR(VLOOKUP($A4041,HeadJournal!$A$1:$NTR$890,COLUMN(HeadJournal!C$1),0),"")</f>
        <v>essens_AV</v>
      </c>
      <c r="D4041" s="125" t="str">
        <f>IFERROR(VLOOKUP($A4041,HeadJournal!$A$1:$NTR$890,COLUMN(HeadJournal!D$1),0),"")</f>
        <v>Доставлен</v>
      </c>
      <c r="E4041" s="95">
        <f>IFERROR(VLOOKUP($A4041,HeadJournal!$A$1:$NTR$890,COLUMN(HeadJournal!G$1),0),"")</f>
        <v>45589</v>
      </c>
      <c r="F4041" s="95" t="str">
        <f t="shared" si="318"/>
        <v>2024 10</v>
      </c>
      <c r="G4041" s="97" t="s">
        <v>8</v>
      </c>
      <c r="H4041" s="161" t="s">
        <v>2519</v>
      </c>
      <c r="I4041" s="97" t="s">
        <v>2243</v>
      </c>
      <c r="J4041" s="97" t="s">
        <v>2515</v>
      </c>
      <c r="K4041" s="29">
        <v>1476.28</v>
      </c>
      <c r="L4041" s="29">
        <v>0</v>
      </c>
      <c r="M4041" s="30">
        <f>IFERROR(VLOOKUP($A4041,HeadJournal!$A$1:$J$890,COLUMN(HeadJournal!I$1),0)*($K4041+$L4041)/(SUMIF($A:$A,$A4041,$K:$K)+SUMIF($A:$A,$A4041,$L:$L)),0)</f>
        <v>0</v>
      </c>
      <c r="N4041" s="30">
        <f>IFERROR((VLOOKUP($A4041,HeadJournal!$A$1:$K$890,COLUMN(HeadJournal!K$1),0)-VLOOKUP($A4041,HeadJournal!$A$1:$K$890,COLUMN(HeadJournal!J$1),0))*($K4041+$L4041)/(SUMIF($A:$A,$A4041,$K:$K)+SUMIF($A:$A,$A4041,$L:$L)),0)</f>
        <v>-245.11548198076099</v>
      </c>
      <c r="O4041" s="30">
        <f>IFERROR((VLOOKUP($A4041,HeadJournal!$A$1:$L$890,COLUMN(HeadJournal!L$1),0)*($K4041+$L4041)/(SUMIF($A:$A,$A4041,$K:$K)+SUMIF($A:$A,$A4041,$L:$L)))/VLOOKUP($A4041,HeadJournal!$A$1:$L$890,COLUMN(HeadJournal!H$1),0),0)</f>
        <v>93.478213045742322</v>
      </c>
      <c r="P4041" s="30">
        <f>IFERROR(SUM(K4041:O4041)*VLOOKUP($A4041,HeadJournal!$A$1:$L$890,COLUMN(HeadJournal!H$1),0),0)</f>
        <v>1324.6427310649813</v>
      </c>
      <c r="Q4041" s="29"/>
      <c r="R4041" s="31"/>
      <c r="S4041" s="31"/>
      <c r="T4041" s="95" t="str">
        <f t="shared" si="319"/>
        <v/>
      </c>
      <c r="U4041" s="32">
        <f t="shared" si="316"/>
        <v>-1324.6427310649813</v>
      </c>
      <c r="V4041" s="22" t="str">
        <f t="shared" si="317"/>
        <v/>
      </c>
      <c r="X4041" s="33"/>
      <c r="Y4041" s="33"/>
    </row>
    <row r="4042" spans="1:25" x14ac:dyDescent="0.2">
      <c r="A4042" s="93" t="s">
        <v>2509</v>
      </c>
      <c r="B4042" s="94" t="str">
        <f>IFERROR(VLOOKUP($A4042,HeadJournal!$A$1:$NTR$890,COLUMN(HeadJournal!B$1),0),"")</f>
        <v>1495407237</v>
      </c>
      <c r="C4042" s="94" t="str">
        <f>IFERROR(VLOOKUP($A4042,HeadJournal!$A$1:$NTR$890,COLUMN(HeadJournal!C$1),0),"")</f>
        <v>essens_AV</v>
      </c>
      <c r="D4042" s="125" t="str">
        <f>IFERROR(VLOOKUP($A4042,HeadJournal!$A$1:$NTR$890,COLUMN(HeadJournal!D$1),0),"")</f>
        <v>Доставлен</v>
      </c>
      <c r="E4042" s="95">
        <f>IFERROR(VLOOKUP($A4042,HeadJournal!$A$1:$NTR$890,COLUMN(HeadJournal!G$1),0),"")</f>
        <v>45589</v>
      </c>
      <c r="F4042" s="95" t="str">
        <f t="shared" si="318"/>
        <v>2024 10</v>
      </c>
      <c r="G4042" s="97" t="s">
        <v>8</v>
      </c>
      <c r="H4042" s="161" t="s">
        <v>2520</v>
      </c>
      <c r="I4042" s="97" t="s">
        <v>2243</v>
      </c>
      <c r="J4042" s="97" t="s">
        <v>2516</v>
      </c>
      <c r="K4042" s="29">
        <v>1476.28</v>
      </c>
      <c r="L4042" s="29">
        <v>0</v>
      </c>
      <c r="M4042" s="30">
        <f>IFERROR(VLOOKUP($A4042,HeadJournal!$A$1:$J$890,COLUMN(HeadJournal!I$1),0)*($K4042+$L4042)/(SUMIF($A:$A,$A4042,$K:$K)+SUMIF($A:$A,$A4042,$L:$L)),0)</f>
        <v>0</v>
      </c>
      <c r="N4042" s="30">
        <f>IFERROR((VLOOKUP($A4042,HeadJournal!$A$1:$K$890,COLUMN(HeadJournal!K$1),0)-VLOOKUP($A4042,HeadJournal!$A$1:$K$890,COLUMN(HeadJournal!J$1),0))*($K4042+$L4042)/(SUMIF($A:$A,$A4042,$K:$K)+SUMIF($A:$A,$A4042,$L:$L)),0)</f>
        <v>-245.11548198076099</v>
      </c>
      <c r="O4042" s="30">
        <f>IFERROR((VLOOKUP($A4042,HeadJournal!$A$1:$L$890,COLUMN(HeadJournal!L$1),0)*($K4042+$L4042)/(SUMIF($A:$A,$A4042,$K:$K)+SUMIF($A:$A,$A4042,$L:$L)))/VLOOKUP($A4042,HeadJournal!$A$1:$L$890,COLUMN(HeadJournal!H$1),0),0)</f>
        <v>93.478213045742322</v>
      </c>
      <c r="P4042" s="30">
        <f>IFERROR(SUM(K4042:O4042)*VLOOKUP($A4042,HeadJournal!$A$1:$L$890,COLUMN(HeadJournal!H$1),0),0)</f>
        <v>1324.6427310649813</v>
      </c>
      <c r="Q4042" s="29"/>
      <c r="R4042" s="31"/>
      <c r="S4042" s="31"/>
      <c r="T4042" s="95" t="str">
        <f t="shared" si="319"/>
        <v/>
      </c>
      <c r="U4042" s="32">
        <f t="shared" si="316"/>
        <v>-1324.6427310649813</v>
      </c>
      <c r="V4042" s="22" t="str">
        <f t="shared" si="317"/>
        <v/>
      </c>
      <c r="X4042" s="33"/>
      <c r="Y4042" s="33"/>
    </row>
    <row r="4043" spans="1:25" x14ac:dyDescent="0.2">
      <c r="A4043" s="93" t="s">
        <v>2509</v>
      </c>
      <c r="B4043" s="94" t="str">
        <f>IFERROR(VLOOKUP($A4043,HeadJournal!$A$1:$NTR$890,COLUMN(HeadJournal!B$1),0),"")</f>
        <v>1495407237</v>
      </c>
      <c r="C4043" s="94" t="str">
        <f>IFERROR(VLOOKUP($A4043,HeadJournal!$A$1:$NTR$890,COLUMN(HeadJournal!C$1),0),"")</f>
        <v>essens_AV</v>
      </c>
      <c r="D4043" s="125" t="str">
        <f>IFERROR(VLOOKUP($A4043,HeadJournal!$A$1:$NTR$890,COLUMN(HeadJournal!D$1),0),"")</f>
        <v>Доставлен</v>
      </c>
      <c r="E4043" s="95">
        <f>IFERROR(VLOOKUP($A4043,HeadJournal!$A$1:$NTR$890,COLUMN(HeadJournal!G$1),0),"")</f>
        <v>45589</v>
      </c>
      <c r="F4043" s="95" t="str">
        <f t="shared" si="318"/>
        <v>2024 10</v>
      </c>
      <c r="G4043" s="97" t="s">
        <v>8</v>
      </c>
      <c r="H4043" s="161" t="s">
        <v>2521</v>
      </c>
      <c r="I4043" s="97" t="s">
        <v>2243</v>
      </c>
      <c r="J4043" s="97" t="s">
        <v>2517</v>
      </c>
      <c r="K4043" s="29">
        <v>1476.28</v>
      </c>
      <c r="L4043" s="29">
        <v>0</v>
      </c>
      <c r="M4043" s="30">
        <f>IFERROR(VLOOKUP($A4043,HeadJournal!$A$1:$J$890,COLUMN(HeadJournal!I$1),0)*($K4043+$L4043)/(SUMIF($A:$A,$A4043,$K:$K)+SUMIF($A:$A,$A4043,$L:$L)),0)</f>
        <v>0</v>
      </c>
      <c r="N4043" s="30">
        <f>IFERROR((VLOOKUP($A4043,HeadJournal!$A$1:$K$890,COLUMN(HeadJournal!K$1),0)-VLOOKUP($A4043,HeadJournal!$A$1:$K$890,COLUMN(HeadJournal!J$1),0))*($K4043+$L4043)/(SUMIF($A:$A,$A4043,$K:$K)+SUMIF($A:$A,$A4043,$L:$L)),0)</f>
        <v>-245.11548198076099</v>
      </c>
      <c r="O4043" s="30">
        <f>IFERROR((VLOOKUP($A4043,HeadJournal!$A$1:$L$890,COLUMN(HeadJournal!L$1),0)*($K4043+$L4043)/(SUMIF($A:$A,$A4043,$K:$K)+SUMIF($A:$A,$A4043,$L:$L)))/VLOOKUP($A4043,HeadJournal!$A$1:$L$890,COLUMN(HeadJournal!H$1),0),0)</f>
        <v>93.478213045742322</v>
      </c>
      <c r="P4043" s="30">
        <f>IFERROR(SUM(K4043:O4043)*VLOOKUP($A4043,HeadJournal!$A$1:$L$890,COLUMN(HeadJournal!H$1),0),0)</f>
        <v>1324.6427310649813</v>
      </c>
      <c r="Q4043" s="29">
        <v>2500</v>
      </c>
      <c r="R4043" s="31">
        <v>45603</v>
      </c>
      <c r="S4043" s="31" t="s">
        <v>3121</v>
      </c>
      <c r="T4043" s="95" t="str">
        <f t="shared" si="319"/>
        <v>2024 11</v>
      </c>
      <c r="U4043" s="32">
        <f t="shared" si="316"/>
        <v>1175.3572689350187</v>
      </c>
      <c r="V4043" s="22">
        <f t="shared" si="317"/>
        <v>0.88730133897315799</v>
      </c>
      <c r="X4043" s="33"/>
      <c r="Y4043" s="33"/>
    </row>
    <row r="4044" spans="1:25" x14ac:dyDescent="0.2">
      <c r="A4044" s="93" t="s">
        <v>2509</v>
      </c>
      <c r="B4044" s="94" t="str">
        <f>IFERROR(VLOOKUP($A4044,HeadJournal!$A$1:$NTR$890,COLUMN(HeadJournal!B$1),0),"")</f>
        <v>1495407237</v>
      </c>
      <c r="C4044" s="94" t="str">
        <f>IFERROR(VLOOKUP($A4044,HeadJournal!$A$1:$NTR$890,COLUMN(HeadJournal!C$1),0),"")</f>
        <v>essens_AV</v>
      </c>
      <c r="D4044" s="125" t="str">
        <f>IFERROR(VLOOKUP($A4044,HeadJournal!$A$1:$NTR$890,COLUMN(HeadJournal!D$1),0),"")</f>
        <v>Доставлен</v>
      </c>
      <c r="E4044" s="95">
        <f>IFERROR(VLOOKUP($A4044,HeadJournal!$A$1:$NTR$890,COLUMN(HeadJournal!G$1),0),"")</f>
        <v>45589</v>
      </c>
      <c r="F4044" s="95" t="str">
        <f t="shared" si="318"/>
        <v>2024 10</v>
      </c>
      <c r="G4044" s="97" t="s">
        <v>8</v>
      </c>
      <c r="H4044" s="161" t="s">
        <v>2521</v>
      </c>
      <c r="I4044" s="97" t="s">
        <v>2243</v>
      </c>
      <c r="J4044" s="97" t="s">
        <v>2517</v>
      </c>
      <c r="K4044" s="29">
        <v>1476.28</v>
      </c>
      <c r="L4044" s="29">
        <v>0</v>
      </c>
      <c r="M4044" s="30">
        <f>IFERROR(VLOOKUP($A4044,HeadJournal!$A$1:$J$890,COLUMN(HeadJournal!I$1),0)*($K4044+$L4044)/(SUMIF($A:$A,$A4044,$K:$K)+SUMIF($A:$A,$A4044,$L:$L)),0)</f>
        <v>0</v>
      </c>
      <c r="N4044" s="30">
        <f>IFERROR((VLOOKUP($A4044,HeadJournal!$A$1:$K$890,COLUMN(HeadJournal!K$1),0)-VLOOKUP($A4044,HeadJournal!$A$1:$K$890,COLUMN(HeadJournal!J$1),0))*($K4044+$L4044)/(SUMIF($A:$A,$A4044,$K:$K)+SUMIF($A:$A,$A4044,$L:$L)),0)</f>
        <v>-245.11548198076099</v>
      </c>
      <c r="O4044" s="30">
        <f>IFERROR((VLOOKUP($A4044,HeadJournal!$A$1:$L$890,COLUMN(HeadJournal!L$1),0)*($K4044+$L4044)/(SUMIF($A:$A,$A4044,$K:$K)+SUMIF($A:$A,$A4044,$L:$L)))/VLOOKUP($A4044,HeadJournal!$A$1:$L$890,COLUMN(HeadJournal!H$1),0),0)</f>
        <v>93.478213045742322</v>
      </c>
      <c r="P4044" s="30">
        <f>IFERROR(SUM(K4044:O4044)*VLOOKUP($A4044,HeadJournal!$A$1:$L$890,COLUMN(HeadJournal!H$1),0),0)</f>
        <v>1324.6427310649813</v>
      </c>
      <c r="Q4044" s="29"/>
      <c r="R4044" s="31"/>
      <c r="S4044" s="31"/>
      <c r="T4044" s="95" t="str">
        <f t="shared" si="319"/>
        <v/>
      </c>
      <c r="U4044" s="32">
        <f t="shared" si="316"/>
        <v>-1324.6427310649813</v>
      </c>
      <c r="V4044" s="22" t="str">
        <f t="shared" si="317"/>
        <v/>
      </c>
      <c r="X4044" s="33"/>
      <c r="Y4044" s="33"/>
    </row>
    <row r="4045" spans="1:25" x14ac:dyDescent="0.2">
      <c r="A4045" s="93" t="s">
        <v>2509</v>
      </c>
      <c r="B4045" s="94" t="str">
        <f>IFERROR(VLOOKUP($A4045,HeadJournal!$A$1:$NTR$890,COLUMN(HeadJournal!B$1),0),"")</f>
        <v>1495407237</v>
      </c>
      <c r="C4045" s="94" t="str">
        <f>IFERROR(VLOOKUP($A4045,HeadJournal!$A$1:$NTR$890,COLUMN(HeadJournal!C$1),0),"")</f>
        <v>essens_AV</v>
      </c>
      <c r="D4045" s="125" t="str">
        <f>IFERROR(VLOOKUP($A4045,HeadJournal!$A$1:$NTR$890,COLUMN(HeadJournal!D$1),0),"")</f>
        <v>Доставлен</v>
      </c>
      <c r="E4045" s="95">
        <f>IFERROR(VLOOKUP($A4045,HeadJournal!$A$1:$NTR$890,COLUMN(HeadJournal!G$1),0),"")</f>
        <v>45589</v>
      </c>
      <c r="F4045" s="95" t="str">
        <f t="shared" si="318"/>
        <v>2024 10</v>
      </c>
      <c r="G4045" s="97" t="s">
        <v>8</v>
      </c>
      <c r="H4045" s="161" t="s">
        <v>2522</v>
      </c>
      <c r="I4045" s="97" t="s">
        <v>2243</v>
      </c>
      <c r="J4045" s="97" t="s">
        <v>2518</v>
      </c>
      <c r="K4045" s="29">
        <v>33.65</v>
      </c>
      <c r="L4045" s="29">
        <v>0</v>
      </c>
      <c r="M4045" s="30">
        <f>IFERROR(VLOOKUP($A4045,HeadJournal!$A$1:$J$890,COLUMN(HeadJournal!I$1),0)*($K4045+$L4045)/(SUMIF($A:$A,$A4045,$K:$K)+SUMIF($A:$A,$A4045,$L:$L)),0)</f>
        <v>0</v>
      </c>
      <c r="N4045" s="30">
        <f>IFERROR((VLOOKUP($A4045,HeadJournal!$A$1:$K$890,COLUMN(HeadJournal!K$1),0)-VLOOKUP($A4045,HeadJournal!$A$1:$K$890,COLUMN(HeadJournal!J$1),0))*($K4045+$L4045)/(SUMIF($A:$A,$A4045,$K:$K)+SUMIF($A:$A,$A4045,$L:$L)),0)</f>
        <v>-5.5871081154337983</v>
      </c>
      <c r="O4045" s="30">
        <f>IFERROR((VLOOKUP($A4045,HeadJournal!$A$1:$L$890,COLUMN(HeadJournal!L$1),0)*($K4045+$L4045)/(SUMIF($A:$A,$A4045,$K:$K)+SUMIF($A:$A,$A4045,$L:$L)))/VLOOKUP($A4045,HeadJournal!$A$1:$L$890,COLUMN(HeadJournal!H$1),0),0)</f>
        <v>2.1307217255461222</v>
      </c>
      <c r="P4045" s="30">
        <f>IFERROR(SUM(K4045:O4045)*VLOOKUP($A4045,HeadJournal!$A$1:$L$890,COLUMN(HeadJournal!H$1),0),0)</f>
        <v>30.193613610112322</v>
      </c>
      <c r="Q4045" s="29"/>
      <c r="R4045" s="31"/>
      <c r="S4045" s="31"/>
      <c r="T4045" s="95" t="str">
        <f t="shared" si="319"/>
        <v/>
      </c>
      <c r="U4045" s="32">
        <f t="shared" si="316"/>
        <v>-30.193613610112322</v>
      </c>
      <c r="V4045" s="22" t="str">
        <f t="shared" si="317"/>
        <v/>
      </c>
      <c r="X4045" s="33"/>
      <c r="Y4045" s="33"/>
    </row>
    <row r="4046" spans="1:25" x14ac:dyDescent="0.2">
      <c r="A4046" s="93" t="s">
        <v>2523</v>
      </c>
      <c r="B4046" s="94">
        <f>IFERROR(VLOOKUP($A4046,HeadJournal!$A$1:$NTR$890,COLUMN(HeadJournal!B$1),0),"")</f>
        <v>0</v>
      </c>
      <c r="C4046" s="94" t="str">
        <f>IFERROR(VLOOKUP($A4046,HeadJournal!$A$1:$NTR$890,COLUMN(HeadJournal!C$1),0),"")</f>
        <v>OZON_OA</v>
      </c>
      <c r="D4046" s="125" t="str">
        <f>IFERROR(VLOOKUP($A4046,HeadJournal!$A$1:$NTR$890,COLUMN(HeadJournal!D$1),0),"")</f>
        <v>Доставлен</v>
      </c>
      <c r="E4046" s="95">
        <f>IFERROR(VLOOKUP($A4046,HeadJournal!$A$1:$NTR$890,COLUMN(HeadJournal!G$1),0),"")</f>
        <v>45586</v>
      </c>
      <c r="F4046" s="95" t="str">
        <f t="shared" si="318"/>
        <v>2024 10</v>
      </c>
      <c r="G4046" s="97" t="s">
        <v>6</v>
      </c>
      <c r="H4046" s="161" t="s">
        <v>2280</v>
      </c>
      <c r="I4046" s="97" t="s">
        <v>2281</v>
      </c>
      <c r="J4046" s="97" t="s">
        <v>737</v>
      </c>
      <c r="K4046" s="29">
        <v>682</v>
      </c>
      <c r="L4046" s="29">
        <v>0</v>
      </c>
      <c r="M4046" s="30">
        <f>IFERROR(VLOOKUP($A4046,HeadJournal!$A$1:$J$890,COLUMN(HeadJournal!I$1),0)*($K4046+$L4046)/(SUMIF($A:$A,$A4046,$K:$K)+SUMIF($A:$A,$A4046,$L:$L)),0)</f>
        <v>0</v>
      </c>
      <c r="N4046" s="30">
        <f>IFERROR((VLOOKUP($A4046,HeadJournal!$A$1:$K$890,COLUMN(HeadJournal!K$1),0)-VLOOKUP($A4046,HeadJournal!$A$1:$K$890,COLUMN(HeadJournal!J$1),0))*($K4046+$L4046)/(SUMIF($A:$A,$A4046,$K:$K)+SUMIF($A:$A,$A4046,$L:$L)),0)</f>
        <v>0</v>
      </c>
      <c r="O4046" s="30">
        <f>IFERROR((VLOOKUP($A4046,HeadJournal!$A$1:$L$890,COLUMN(HeadJournal!L$1),0)*($K4046+$L4046)/(SUMIF($A:$A,$A4046,$K:$K)+SUMIF($A:$A,$A4046,$L:$L)))/VLOOKUP($A4046,HeadJournal!$A$1:$L$890,COLUMN(HeadJournal!H$1),0),0)</f>
        <v>0</v>
      </c>
      <c r="P4046" s="30">
        <f>IFERROR(SUM(K4046:O4046)*VLOOKUP($A4046,HeadJournal!$A$1:$L$890,COLUMN(HeadJournal!H$1),0),0)</f>
        <v>682</v>
      </c>
      <c r="Q4046" s="29">
        <v>1900</v>
      </c>
      <c r="R4046" s="31">
        <v>45607</v>
      </c>
      <c r="S4046" s="31" t="s">
        <v>3121</v>
      </c>
      <c r="T4046" s="95" t="str">
        <f t="shared" si="319"/>
        <v>2024 11</v>
      </c>
      <c r="U4046" s="32">
        <f t="shared" si="316"/>
        <v>1218</v>
      </c>
      <c r="V4046" s="22">
        <f t="shared" si="317"/>
        <v>1.7859237536656891</v>
      </c>
      <c r="X4046" s="33"/>
      <c r="Y4046" s="33"/>
    </row>
    <row r="4047" spans="1:25" x14ac:dyDescent="0.2">
      <c r="A4047" s="93" t="s">
        <v>2523</v>
      </c>
      <c r="B4047" s="94">
        <f>IFERROR(VLOOKUP($A4047,HeadJournal!$A$1:$NTR$890,COLUMN(HeadJournal!B$1),0),"")</f>
        <v>0</v>
      </c>
      <c r="C4047" s="94" t="str">
        <f>IFERROR(VLOOKUP($A4047,HeadJournal!$A$1:$NTR$890,COLUMN(HeadJournal!C$1),0),"")</f>
        <v>OZON_OA</v>
      </c>
      <c r="D4047" s="125" t="str">
        <f>IFERROR(VLOOKUP($A4047,HeadJournal!$A$1:$NTR$890,COLUMN(HeadJournal!D$1),0),"")</f>
        <v>Доставлен</v>
      </c>
      <c r="E4047" s="95">
        <f>IFERROR(VLOOKUP($A4047,HeadJournal!$A$1:$NTR$890,COLUMN(HeadJournal!G$1),0),"")</f>
        <v>45586</v>
      </c>
      <c r="F4047" s="95" t="str">
        <f t="shared" si="318"/>
        <v>2024 10</v>
      </c>
      <c r="G4047" s="97" t="s">
        <v>6</v>
      </c>
      <c r="H4047" s="161" t="s">
        <v>2280</v>
      </c>
      <c r="I4047" s="97" t="s">
        <v>2281</v>
      </c>
      <c r="J4047" s="97" t="s">
        <v>737</v>
      </c>
      <c r="K4047" s="29">
        <v>682</v>
      </c>
      <c r="L4047" s="29">
        <v>0</v>
      </c>
      <c r="M4047" s="30">
        <f>IFERROR(VLOOKUP($A4047,HeadJournal!$A$1:$J$890,COLUMN(HeadJournal!I$1),0)*($K4047+$L4047)/(SUMIF($A:$A,$A4047,$K:$K)+SUMIF($A:$A,$A4047,$L:$L)),0)</f>
        <v>0</v>
      </c>
      <c r="N4047" s="30">
        <f>IFERROR((VLOOKUP($A4047,HeadJournal!$A$1:$K$890,COLUMN(HeadJournal!K$1),0)-VLOOKUP($A4047,HeadJournal!$A$1:$K$890,COLUMN(HeadJournal!J$1),0))*($K4047+$L4047)/(SUMIF($A:$A,$A4047,$K:$K)+SUMIF($A:$A,$A4047,$L:$L)),0)</f>
        <v>0</v>
      </c>
      <c r="O4047" s="30">
        <f>IFERROR((VLOOKUP($A4047,HeadJournal!$A$1:$L$890,COLUMN(HeadJournal!L$1),0)*($K4047+$L4047)/(SUMIF($A:$A,$A4047,$K:$K)+SUMIF($A:$A,$A4047,$L:$L)))/VLOOKUP($A4047,HeadJournal!$A$1:$L$890,COLUMN(HeadJournal!H$1),0),0)</f>
        <v>0</v>
      </c>
      <c r="P4047" s="30">
        <f>IFERROR(SUM(K4047:O4047)*VLOOKUP($A4047,HeadJournal!$A$1:$L$890,COLUMN(HeadJournal!H$1),0),0)</f>
        <v>682</v>
      </c>
      <c r="Q4047" s="29">
        <v>2000</v>
      </c>
      <c r="R4047" s="31">
        <v>45608</v>
      </c>
      <c r="S4047" s="31" t="s">
        <v>3121</v>
      </c>
      <c r="T4047" s="95" t="str">
        <f t="shared" si="319"/>
        <v>2024 11</v>
      </c>
      <c r="U4047" s="32">
        <f t="shared" si="316"/>
        <v>1318</v>
      </c>
      <c r="V4047" s="22">
        <f t="shared" si="317"/>
        <v>1.9325513196480939</v>
      </c>
      <c r="X4047" s="33"/>
      <c r="Y4047" s="33"/>
    </row>
    <row r="4048" spans="1:25" x14ac:dyDescent="0.2">
      <c r="A4048" s="93" t="s">
        <v>2524</v>
      </c>
      <c r="B4048" s="94">
        <f>IFERROR(VLOOKUP($A4048,HeadJournal!$A$1:$NTR$890,COLUMN(HeadJournal!B$1),0),"")</f>
        <v>0</v>
      </c>
      <c r="C4048" s="94" t="str">
        <f>IFERROR(VLOOKUP($A4048,HeadJournal!$A$1:$NTR$890,COLUMN(HeadJournal!C$1),0),"")</f>
        <v>Forever</v>
      </c>
      <c r="D4048" s="125" t="str">
        <f>IFERROR(VLOOKUP($A4048,HeadJournal!$A$1:$NTR$890,COLUMN(HeadJournal!D$1),0),"")</f>
        <v>Доставлен</v>
      </c>
      <c r="E4048" s="95">
        <f>IFERROR(VLOOKUP($A4048,HeadJournal!$A$1:$NTR$890,COLUMN(HeadJournal!G$1),0),"")</f>
        <v>45577</v>
      </c>
      <c r="F4048" s="95" t="str">
        <f t="shared" si="318"/>
        <v>2024 10</v>
      </c>
      <c r="G4048" s="97" t="s">
        <v>5</v>
      </c>
      <c r="H4048" s="161" t="s">
        <v>2525</v>
      </c>
      <c r="I4048" s="97" t="s">
        <v>1368</v>
      </c>
      <c r="J4048" s="97" t="s">
        <v>295</v>
      </c>
      <c r="K4048" s="29">
        <v>2202</v>
      </c>
      <c r="L4048" s="29">
        <v>0</v>
      </c>
      <c r="M4048" s="30">
        <f>IFERROR(VLOOKUP($A4048,HeadJournal!$A$1:$J$890,COLUMN(HeadJournal!I$1),0)*($K4048+$L4048)/(SUMIF($A:$A,$A4048,$K:$K)+SUMIF($A:$A,$A4048,$L:$L)),0)</f>
        <v>0</v>
      </c>
      <c r="N4048" s="30">
        <f>IFERROR((VLOOKUP($A4048,HeadJournal!$A$1:$K$890,COLUMN(HeadJournal!K$1),0)-VLOOKUP($A4048,HeadJournal!$A$1:$K$890,COLUMN(HeadJournal!J$1),0))*($K4048+$L4048)/(SUMIF($A:$A,$A4048,$K:$K)+SUMIF($A:$A,$A4048,$L:$L)),0)</f>
        <v>0</v>
      </c>
      <c r="O4048" s="30">
        <f>IFERROR((VLOOKUP($A4048,HeadJournal!$A$1:$L$890,COLUMN(HeadJournal!L$1),0)*($K4048+$L4048)/(SUMIF($A:$A,$A4048,$K:$K)+SUMIF($A:$A,$A4048,$L:$L)))/VLOOKUP($A4048,HeadJournal!$A$1:$L$890,COLUMN(HeadJournal!H$1),0),0)</f>
        <v>0</v>
      </c>
      <c r="P4048" s="30">
        <f>IFERROR(SUM(K4048:O4048)*VLOOKUP($A4048,HeadJournal!$A$1:$L$890,COLUMN(HeadJournal!H$1),0),0)</f>
        <v>2202</v>
      </c>
      <c r="Q4048" s="29">
        <v>3000</v>
      </c>
      <c r="R4048" s="31">
        <v>45608</v>
      </c>
      <c r="S4048" s="31" t="s">
        <v>3121</v>
      </c>
      <c r="T4048" s="95" t="str">
        <f t="shared" si="319"/>
        <v>2024 11</v>
      </c>
      <c r="U4048" s="32">
        <f t="shared" si="316"/>
        <v>798</v>
      </c>
      <c r="V4048" s="22">
        <f t="shared" si="317"/>
        <v>0.36239782016348776</v>
      </c>
      <c r="X4048" s="33"/>
      <c r="Y4048" s="33"/>
    </row>
    <row r="4049" spans="1:25" x14ac:dyDescent="0.2">
      <c r="A4049" s="93" t="s">
        <v>2524</v>
      </c>
      <c r="B4049" s="94">
        <f>IFERROR(VLOOKUP($A4049,HeadJournal!$A$1:$NTR$890,COLUMN(HeadJournal!B$1),0),"")</f>
        <v>0</v>
      </c>
      <c r="C4049" s="94" t="str">
        <f>IFERROR(VLOOKUP($A4049,HeadJournal!$A$1:$NTR$890,COLUMN(HeadJournal!C$1),0),"")</f>
        <v>Forever</v>
      </c>
      <c r="D4049" s="125" t="str">
        <f>IFERROR(VLOOKUP($A4049,HeadJournal!$A$1:$NTR$890,COLUMN(HeadJournal!D$1),0),"")</f>
        <v>Доставлен</v>
      </c>
      <c r="E4049" s="95">
        <f>IFERROR(VLOOKUP($A4049,HeadJournal!$A$1:$NTR$890,COLUMN(HeadJournal!G$1),0),"")</f>
        <v>45577</v>
      </c>
      <c r="F4049" s="95" t="str">
        <f t="shared" si="318"/>
        <v>2024 10</v>
      </c>
      <c r="G4049" s="97" t="s">
        <v>5</v>
      </c>
      <c r="H4049" s="161" t="s">
        <v>2525</v>
      </c>
      <c r="I4049" s="97" t="s">
        <v>1368</v>
      </c>
      <c r="J4049" s="97" t="s">
        <v>295</v>
      </c>
      <c r="K4049" s="29">
        <v>2202</v>
      </c>
      <c r="L4049" s="29">
        <v>0</v>
      </c>
      <c r="M4049" s="30">
        <f>IFERROR(VLOOKUP($A4049,HeadJournal!$A$1:$J$890,COLUMN(HeadJournal!I$1),0)*($K4049+$L4049)/(SUMIF($A:$A,$A4049,$K:$K)+SUMIF($A:$A,$A4049,$L:$L)),0)</f>
        <v>0</v>
      </c>
      <c r="N4049" s="30">
        <f>IFERROR((VLOOKUP($A4049,HeadJournal!$A$1:$K$890,COLUMN(HeadJournal!K$1),0)-VLOOKUP($A4049,HeadJournal!$A$1:$K$890,COLUMN(HeadJournal!J$1),0))*($K4049+$L4049)/(SUMIF($A:$A,$A4049,$K:$K)+SUMIF($A:$A,$A4049,$L:$L)),0)</f>
        <v>0</v>
      </c>
      <c r="O4049" s="30">
        <f>IFERROR((VLOOKUP($A4049,HeadJournal!$A$1:$L$890,COLUMN(HeadJournal!L$1),0)*($K4049+$L4049)/(SUMIF($A:$A,$A4049,$K:$K)+SUMIF($A:$A,$A4049,$L:$L)))/VLOOKUP($A4049,HeadJournal!$A$1:$L$890,COLUMN(HeadJournal!H$1),0),0)</f>
        <v>0</v>
      </c>
      <c r="P4049" s="30">
        <f>IFERROR(SUM(K4049:O4049)*VLOOKUP($A4049,HeadJournal!$A$1:$L$890,COLUMN(HeadJournal!H$1),0),0)</f>
        <v>2202</v>
      </c>
      <c r="Q4049" s="29">
        <v>3000</v>
      </c>
      <c r="R4049" s="31">
        <v>45679</v>
      </c>
      <c r="S4049" s="31" t="s">
        <v>3121</v>
      </c>
      <c r="T4049" s="95" t="str">
        <f t="shared" si="319"/>
        <v>2025 01</v>
      </c>
      <c r="U4049" s="32">
        <f t="shared" si="316"/>
        <v>798</v>
      </c>
      <c r="V4049" s="22">
        <f t="shared" si="317"/>
        <v>0.36239782016348776</v>
      </c>
      <c r="X4049" s="33"/>
      <c r="Y4049" s="33"/>
    </row>
    <row r="4050" spans="1:25" x14ac:dyDescent="0.2">
      <c r="A4050" s="93" t="s">
        <v>2524</v>
      </c>
      <c r="B4050" s="94">
        <f>IFERROR(VLOOKUP($A4050,HeadJournal!$A$1:$NTR$890,COLUMN(HeadJournal!B$1),0),"")</f>
        <v>0</v>
      </c>
      <c r="C4050" s="94" t="str">
        <f>IFERROR(VLOOKUP($A4050,HeadJournal!$A$1:$NTR$890,COLUMN(HeadJournal!C$1),0),"")</f>
        <v>Forever</v>
      </c>
      <c r="D4050" s="125" t="str">
        <f>IFERROR(VLOOKUP($A4050,HeadJournal!$A$1:$NTR$890,COLUMN(HeadJournal!D$1),0),"")</f>
        <v>Доставлен</v>
      </c>
      <c r="E4050" s="95">
        <f>IFERROR(VLOOKUP($A4050,HeadJournal!$A$1:$NTR$890,COLUMN(HeadJournal!G$1),0),"")</f>
        <v>45577</v>
      </c>
      <c r="F4050" s="95" t="str">
        <f t="shared" si="318"/>
        <v>2024 10</v>
      </c>
      <c r="G4050" s="97" t="s">
        <v>5</v>
      </c>
      <c r="H4050" s="161" t="s">
        <v>2525</v>
      </c>
      <c r="I4050" s="97" t="s">
        <v>1368</v>
      </c>
      <c r="J4050" s="97" t="s">
        <v>295</v>
      </c>
      <c r="K4050" s="29">
        <v>2202</v>
      </c>
      <c r="L4050" s="29">
        <v>0</v>
      </c>
      <c r="M4050" s="30">
        <f>IFERROR(VLOOKUP($A4050,HeadJournal!$A$1:$J$890,COLUMN(HeadJournal!I$1),0)*($K4050+$L4050)/(SUMIF($A:$A,$A4050,$K:$K)+SUMIF($A:$A,$A4050,$L:$L)),0)</f>
        <v>0</v>
      </c>
      <c r="N4050" s="30">
        <f>IFERROR((VLOOKUP($A4050,HeadJournal!$A$1:$K$890,COLUMN(HeadJournal!K$1),0)-VLOOKUP($A4050,HeadJournal!$A$1:$K$890,COLUMN(HeadJournal!J$1),0))*($K4050+$L4050)/(SUMIF($A:$A,$A4050,$K:$K)+SUMIF($A:$A,$A4050,$L:$L)),0)</f>
        <v>0</v>
      </c>
      <c r="O4050" s="30">
        <f>IFERROR((VLOOKUP($A4050,HeadJournal!$A$1:$L$890,COLUMN(HeadJournal!L$1),0)*($K4050+$L4050)/(SUMIF($A:$A,$A4050,$K:$K)+SUMIF($A:$A,$A4050,$L:$L)))/VLOOKUP($A4050,HeadJournal!$A$1:$L$890,COLUMN(HeadJournal!H$1),0),0)</f>
        <v>0</v>
      </c>
      <c r="P4050" s="30">
        <f>IFERROR(SUM(K4050:O4050)*VLOOKUP($A4050,HeadJournal!$A$1:$L$890,COLUMN(HeadJournal!H$1),0),0)</f>
        <v>2202</v>
      </c>
      <c r="Q4050" s="29">
        <v>2202</v>
      </c>
      <c r="R4050" s="31">
        <v>45578</v>
      </c>
      <c r="S4050" s="31" t="s">
        <v>3121</v>
      </c>
      <c r="T4050" s="95" t="str">
        <f t="shared" si="319"/>
        <v>2024 10</v>
      </c>
      <c r="U4050" s="32">
        <f t="shared" si="316"/>
        <v>0</v>
      </c>
      <c r="V4050" s="22">
        <f t="shared" si="317"/>
        <v>0</v>
      </c>
      <c r="X4050" s="33"/>
      <c r="Y4050" s="33"/>
    </row>
    <row r="4051" spans="1:25" x14ac:dyDescent="0.2">
      <c r="A4051" s="93" t="s">
        <v>2524</v>
      </c>
      <c r="B4051" s="94">
        <f>IFERROR(VLOOKUP($A4051,HeadJournal!$A$1:$NTR$890,COLUMN(HeadJournal!B$1),0),"")</f>
        <v>0</v>
      </c>
      <c r="C4051" s="94" t="str">
        <f>IFERROR(VLOOKUP($A4051,HeadJournal!$A$1:$NTR$890,COLUMN(HeadJournal!C$1),0),"")</f>
        <v>Forever</v>
      </c>
      <c r="D4051" s="125" t="str">
        <f>IFERROR(VLOOKUP($A4051,HeadJournal!$A$1:$NTR$890,COLUMN(HeadJournal!D$1),0),"")</f>
        <v>Доставлен</v>
      </c>
      <c r="E4051" s="95">
        <f>IFERROR(VLOOKUP($A4051,HeadJournal!$A$1:$NTR$890,COLUMN(HeadJournal!G$1),0),"")</f>
        <v>45577</v>
      </c>
      <c r="F4051" s="95" t="str">
        <f t="shared" si="318"/>
        <v>2024 10</v>
      </c>
      <c r="G4051" s="97" t="s">
        <v>5</v>
      </c>
      <c r="H4051" s="161" t="s">
        <v>2525</v>
      </c>
      <c r="I4051" s="97" t="s">
        <v>1368</v>
      </c>
      <c r="J4051" s="97" t="s">
        <v>295</v>
      </c>
      <c r="K4051" s="29">
        <v>2202</v>
      </c>
      <c r="L4051" s="29">
        <v>0</v>
      </c>
      <c r="M4051" s="30">
        <f>IFERROR(VLOOKUP($A4051,HeadJournal!$A$1:$J$890,COLUMN(HeadJournal!I$1),0)*($K4051+$L4051)/(SUMIF($A:$A,$A4051,$K:$K)+SUMIF($A:$A,$A4051,$L:$L)),0)</f>
        <v>0</v>
      </c>
      <c r="N4051" s="30">
        <f>IFERROR((VLOOKUP($A4051,HeadJournal!$A$1:$K$890,COLUMN(HeadJournal!K$1),0)-VLOOKUP($A4051,HeadJournal!$A$1:$K$890,COLUMN(HeadJournal!J$1),0))*($K4051+$L4051)/(SUMIF($A:$A,$A4051,$K:$K)+SUMIF($A:$A,$A4051,$L:$L)),0)</f>
        <v>0</v>
      </c>
      <c r="O4051" s="30">
        <f>IFERROR((VLOOKUP($A4051,HeadJournal!$A$1:$L$890,COLUMN(HeadJournal!L$1),0)*($K4051+$L4051)/(SUMIF($A:$A,$A4051,$K:$K)+SUMIF($A:$A,$A4051,$L:$L)))/VLOOKUP($A4051,HeadJournal!$A$1:$L$890,COLUMN(HeadJournal!H$1),0),0)</f>
        <v>0</v>
      </c>
      <c r="P4051" s="30">
        <f>IFERROR(SUM(K4051:O4051)*VLOOKUP($A4051,HeadJournal!$A$1:$L$890,COLUMN(HeadJournal!H$1),0),0)</f>
        <v>2202</v>
      </c>
      <c r="Q4051" s="29">
        <v>3000</v>
      </c>
      <c r="R4051" s="31">
        <v>45710</v>
      </c>
      <c r="S4051" s="31" t="s">
        <v>3121</v>
      </c>
      <c r="T4051" s="95" t="str">
        <f t="shared" si="319"/>
        <v>2025 02</v>
      </c>
      <c r="U4051" s="32">
        <f t="shared" si="316"/>
        <v>798</v>
      </c>
      <c r="V4051" s="22">
        <f t="shared" si="317"/>
        <v>0.36239782016348776</v>
      </c>
      <c r="X4051" s="33"/>
      <c r="Y4051" s="33"/>
    </row>
    <row r="4052" spans="1:25" x14ac:dyDescent="0.2">
      <c r="A4052" s="93" t="s">
        <v>2524</v>
      </c>
      <c r="B4052" s="94">
        <f>IFERROR(VLOOKUP($A4052,HeadJournal!$A$1:$NTR$890,COLUMN(HeadJournal!B$1),0),"")</f>
        <v>0</v>
      </c>
      <c r="C4052" s="94" t="str">
        <f>IFERROR(VLOOKUP($A4052,HeadJournal!$A$1:$NTR$890,COLUMN(HeadJournal!C$1),0),"")</f>
        <v>Forever</v>
      </c>
      <c r="D4052" s="125" t="str">
        <f>IFERROR(VLOOKUP($A4052,HeadJournal!$A$1:$NTR$890,COLUMN(HeadJournal!D$1),0),"")</f>
        <v>Доставлен</v>
      </c>
      <c r="E4052" s="95">
        <f>IFERROR(VLOOKUP($A4052,HeadJournal!$A$1:$NTR$890,COLUMN(HeadJournal!G$1),0),"")</f>
        <v>45577</v>
      </c>
      <c r="F4052" s="95" t="str">
        <f t="shared" si="318"/>
        <v>2024 10</v>
      </c>
      <c r="G4052" s="96" t="s">
        <v>7</v>
      </c>
      <c r="H4052" s="161" t="s">
        <v>2526</v>
      </c>
      <c r="I4052" s="97" t="s">
        <v>1368</v>
      </c>
      <c r="J4052" s="97" t="s">
        <v>296</v>
      </c>
      <c r="K4052" s="29">
        <v>649</v>
      </c>
      <c r="L4052" s="29">
        <v>0</v>
      </c>
      <c r="M4052" s="30">
        <f>IFERROR(VLOOKUP($A4052,HeadJournal!$A$1:$J$890,COLUMN(HeadJournal!I$1),0)*($K4052+$L4052)/(SUMIF($A:$A,$A4052,$K:$K)+SUMIF($A:$A,$A4052,$L:$L)),0)</f>
        <v>0</v>
      </c>
      <c r="N4052" s="30">
        <f>IFERROR((VLOOKUP($A4052,HeadJournal!$A$1:$K$890,COLUMN(HeadJournal!K$1),0)-VLOOKUP($A4052,HeadJournal!$A$1:$K$890,COLUMN(HeadJournal!J$1),0))*($K4052+$L4052)/(SUMIF($A:$A,$A4052,$K:$K)+SUMIF($A:$A,$A4052,$L:$L)),0)</f>
        <v>0</v>
      </c>
      <c r="O4052" s="30">
        <f>IFERROR((VLOOKUP($A4052,HeadJournal!$A$1:$L$890,COLUMN(HeadJournal!L$1),0)*($K4052+$L4052)/(SUMIF($A:$A,$A4052,$K:$K)+SUMIF($A:$A,$A4052,$L:$L)))/VLOOKUP($A4052,HeadJournal!$A$1:$L$890,COLUMN(HeadJournal!H$1),0),0)</f>
        <v>0</v>
      </c>
      <c r="P4052" s="30">
        <f>IFERROR(SUM(K4052:O4052)*VLOOKUP($A4052,HeadJournal!$A$1:$L$890,COLUMN(HeadJournal!H$1),0),0)</f>
        <v>649</v>
      </c>
      <c r="Q4052" s="29">
        <v>649</v>
      </c>
      <c r="R4052" s="31">
        <v>45578</v>
      </c>
      <c r="S4052" s="31" t="s">
        <v>3121</v>
      </c>
      <c r="T4052" s="95" t="str">
        <f t="shared" si="319"/>
        <v>2024 10</v>
      </c>
      <c r="U4052" s="32">
        <f t="shared" si="316"/>
        <v>0</v>
      </c>
      <c r="V4052" s="22">
        <f t="shared" si="317"/>
        <v>0</v>
      </c>
      <c r="X4052" s="33"/>
      <c r="Y4052" s="33"/>
    </row>
    <row r="4053" spans="1:25" x14ac:dyDescent="0.2">
      <c r="A4053" s="93" t="s">
        <v>2524</v>
      </c>
      <c r="B4053" s="94">
        <f>IFERROR(VLOOKUP($A4053,HeadJournal!$A$1:$NTR$890,COLUMN(HeadJournal!B$1),0),"")</f>
        <v>0</v>
      </c>
      <c r="C4053" s="94" t="str">
        <f>IFERROR(VLOOKUP($A4053,HeadJournal!$A$1:$NTR$890,COLUMN(HeadJournal!C$1),0),"")</f>
        <v>Forever</v>
      </c>
      <c r="D4053" s="125" t="str">
        <f>IFERROR(VLOOKUP($A4053,HeadJournal!$A$1:$NTR$890,COLUMN(HeadJournal!D$1),0),"")</f>
        <v>Доставлен</v>
      </c>
      <c r="E4053" s="95">
        <f>IFERROR(VLOOKUP($A4053,HeadJournal!$A$1:$NTR$890,COLUMN(HeadJournal!G$1),0),"")</f>
        <v>45577</v>
      </c>
      <c r="F4053" s="95" t="str">
        <f t="shared" si="318"/>
        <v>2024 10</v>
      </c>
      <c r="G4053" s="96" t="s">
        <v>7</v>
      </c>
      <c r="H4053" s="161" t="s">
        <v>2526</v>
      </c>
      <c r="I4053" s="97" t="s">
        <v>1368</v>
      </c>
      <c r="J4053" s="97" t="s">
        <v>296</v>
      </c>
      <c r="K4053" s="29">
        <v>649</v>
      </c>
      <c r="L4053" s="29">
        <v>0</v>
      </c>
      <c r="M4053" s="30">
        <f>IFERROR(VLOOKUP($A4053,HeadJournal!$A$1:$J$890,COLUMN(HeadJournal!I$1),0)*($K4053+$L4053)/(SUMIF($A:$A,$A4053,$K:$K)+SUMIF($A:$A,$A4053,$L:$L)),0)</f>
        <v>0</v>
      </c>
      <c r="N4053" s="30">
        <f>IFERROR((VLOOKUP($A4053,HeadJournal!$A$1:$K$890,COLUMN(HeadJournal!K$1),0)-VLOOKUP($A4053,HeadJournal!$A$1:$K$890,COLUMN(HeadJournal!J$1),0))*($K4053+$L4053)/(SUMIF($A:$A,$A4053,$K:$K)+SUMIF($A:$A,$A4053,$L:$L)),0)</f>
        <v>0</v>
      </c>
      <c r="O4053" s="30">
        <f>IFERROR((VLOOKUP($A4053,HeadJournal!$A$1:$L$890,COLUMN(HeadJournal!L$1),0)*($K4053+$L4053)/(SUMIF($A:$A,$A4053,$K:$K)+SUMIF($A:$A,$A4053,$L:$L)))/VLOOKUP($A4053,HeadJournal!$A$1:$L$890,COLUMN(HeadJournal!H$1),0),0)</f>
        <v>0</v>
      </c>
      <c r="P4053" s="30">
        <f>IFERROR(SUM(K4053:O4053)*VLOOKUP($A4053,HeadJournal!$A$1:$L$890,COLUMN(HeadJournal!H$1),0),0)</f>
        <v>649</v>
      </c>
      <c r="Q4053" s="29">
        <v>649</v>
      </c>
      <c r="R4053" s="31"/>
      <c r="S4053" s="31"/>
      <c r="T4053" s="95" t="str">
        <f t="shared" si="319"/>
        <v/>
      </c>
      <c r="U4053" s="32">
        <f t="shared" si="316"/>
        <v>0</v>
      </c>
      <c r="V4053" s="22">
        <f t="shared" si="317"/>
        <v>0</v>
      </c>
      <c r="X4053" s="33"/>
      <c r="Y4053" s="33"/>
    </row>
    <row r="4054" spans="1:25" x14ac:dyDescent="0.2">
      <c r="A4054" s="93" t="s">
        <v>2541</v>
      </c>
      <c r="B4054" s="94" t="str">
        <f>IFERROR(VLOOKUP($A4054,HeadJournal!$A$1:$NTR$890,COLUMN(HeadJournal!B$1),0),"")</f>
        <v>720000482757</v>
      </c>
      <c r="C4054" s="94" t="str">
        <f>IFERROR(VLOOKUP($A4054,HeadJournal!$A$1:$NTR$890,COLUMN(HeadJournal!C$1),0),"")</f>
        <v>iHerb_MH DLE7202</v>
      </c>
      <c r="D4054" s="125" t="str">
        <f>IFERROR(VLOOKUP($A4054,HeadJournal!$A$1:$NTR$890,COLUMN(HeadJournal!D$1),0),"")</f>
        <v>Доставлен</v>
      </c>
      <c r="E4054" s="95">
        <f>IFERROR(VLOOKUP($A4054,HeadJournal!$A$1:$NTR$890,COLUMN(HeadJournal!G$1),0),"")</f>
        <v>45608</v>
      </c>
      <c r="F4054" s="95" t="str">
        <f t="shared" si="318"/>
        <v>2024 11</v>
      </c>
      <c r="G4054" s="97" t="s">
        <v>5</v>
      </c>
      <c r="H4054" s="161" t="s">
        <v>2430</v>
      </c>
      <c r="I4054" s="97" t="s">
        <v>2221</v>
      </c>
      <c r="J4054" s="97" t="s">
        <v>4197</v>
      </c>
      <c r="K4054" s="29">
        <v>7.8</v>
      </c>
      <c r="L4054" s="29">
        <v>-1.87</v>
      </c>
      <c r="M4054" s="30">
        <f>IFERROR(VLOOKUP($A4054,HeadJournal!$A$1:$J$890,COLUMN(HeadJournal!I$1),0)*($K4054+$L4054)/(SUMIF($A:$A,$A4054,$K:$K)+SUMIF($A:$A,$A4054,$L:$L)),0)</f>
        <v>-1.2515338212820719</v>
      </c>
      <c r="N4054" s="30">
        <f>IFERROR((VLOOKUP($A4054,HeadJournal!$A$1:$K$890,COLUMN(HeadJournal!K$1),0)-VLOOKUP($A4054,HeadJournal!$A$1:$K$890,COLUMN(HeadJournal!J$1),0))*($K4054+$L4054)/(SUMIF($A:$A,$A4054,$K:$K)+SUMIF($A:$A,$A4054,$L:$L)),0)</f>
        <v>0</v>
      </c>
      <c r="O4054" s="30">
        <f>IFERROR((VLOOKUP($A4054,HeadJournal!$A$1:$L$890,COLUMN(HeadJournal!L$1),0)*($K4054+$L4054)/(SUMIF($A:$A,$A4054,$K:$K)+SUMIF($A:$A,$A4054,$L:$L)))/VLOOKUP($A4054,HeadJournal!$A$1:$L$890,COLUMN(HeadJournal!H$1),0),0)</f>
        <v>0.18385747715903702</v>
      </c>
      <c r="P4054" s="30">
        <f>IFERROR(SUM(K4054:O4054)*VLOOKUP($A4054,HeadJournal!$A$1:$L$890,COLUMN(HeadJournal!H$1),0),0)</f>
        <v>539.3981991474302</v>
      </c>
      <c r="Q4054" s="29">
        <v>1800</v>
      </c>
      <c r="R4054" s="31">
        <v>45700</v>
      </c>
      <c r="S4054" s="31" t="s">
        <v>3121</v>
      </c>
      <c r="T4054" s="95" t="str">
        <f t="shared" si="319"/>
        <v>2025 02</v>
      </c>
      <c r="U4054" s="32">
        <f t="shared" si="316"/>
        <v>1260.6018008525698</v>
      </c>
      <c r="V4054" s="22">
        <f t="shared" si="317"/>
        <v>2.337052297996304</v>
      </c>
      <c r="X4054" s="33"/>
      <c r="Y4054" s="33"/>
    </row>
    <row r="4055" spans="1:25" x14ac:dyDescent="0.2">
      <c r="A4055" s="93" t="s">
        <v>2541</v>
      </c>
      <c r="B4055" s="94" t="str">
        <f>IFERROR(VLOOKUP($A4055,HeadJournal!$A$1:$NTR$890,COLUMN(HeadJournal!B$1),0),"")</f>
        <v>720000482757</v>
      </c>
      <c r="C4055" s="94" t="str">
        <f>IFERROR(VLOOKUP($A4055,HeadJournal!$A$1:$NTR$890,COLUMN(HeadJournal!C$1),0),"")</f>
        <v>iHerb_MH DLE7202</v>
      </c>
      <c r="D4055" s="125" t="str">
        <f>IFERROR(VLOOKUP($A4055,HeadJournal!$A$1:$NTR$890,COLUMN(HeadJournal!D$1),0),"")</f>
        <v>Доставлен</v>
      </c>
      <c r="E4055" s="95">
        <f>IFERROR(VLOOKUP($A4055,HeadJournal!$A$1:$NTR$890,COLUMN(HeadJournal!G$1),0),"")</f>
        <v>45608</v>
      </c>
      <c r="F4055" s="95" t="str">
        <f t="shared" si="318"/>
        <v>2024 11</v>
      </c>
      <c r="G4055" s="97" t="s">
        <v>5</v>
      </c>
      <c r="H4055" s="161" t="s">
        <v>2431</v>
      </c>
      <c r="I4055" s="97" t="s">
        <v>2221</v>
      </c>
      <c r="J4055" s="97" t="s">
        <v>4196</v>
      </c>
      <c r="K4055" s="29">
        <v>13.63</v>
      </c>
      <c r="L4055" s="29">
        <v>-3.27</v>
      </c>
      <c r="M4055" s="30">
        <f>IFERROR(VLOOKUP($A4055,HeadJournal!$A$1:$J$890,COLUMN(HeadJournal!I$1),0)*($K4055+$L4055)/(SUMIF($A:$A,$A4055,$K:$K)+SUMIF($A:$A,$A4055,$L:$L)),0)</f>
        <v>-2.1864907906378188</v>
      </c>
      <c r="N4055" s="30">
        <f>IFERROR((VLOOKUP($A4055,HeadJournal!$A$1:$K$890,COLUMN(HeadJournal!K$1),0)-VLOOKUP($A4055,HeadJournal!$A$1:$K$890,COLUMN(HeadJournal!J$1),0))*($K4055+$L4055)/(SUMIF($A:$A,$A4055,$K:$K)+SUMIF($A:$A,$A4055,$L:$L)),0)</f>
        <v>0</v>
      </c>
      <c r="O4055" s="30">
        <f>IFERROR((VLOOKUP($A4055,HeadJournal!$A$1:$L$890,COLUMN(HeadJournal!L$1),0)*($K4055+$L4055)/(SUMIF($A:$A,$A4055,$K:$K)+SUMIF($A:$A,$A4055,$L:$L)))/VLOOKUP($A4055,HeadJournal!$A$1:$L$890,COLUMN(HeadJournal!H$1),0),0)</f>
        <v>0.32120800394057736</v>
      </c>
      <c r="P4055" s="30">
        <f>IFERROR(SUM(K4055:O4055)*VLOOKUP($A4055,HeadJournal!$A$1:$L$890,COLUMN(HeadJournal!H$1),0),0)</f>
        <v>942.35503257460005</v>
      </c>
      <c r="Q4055" s="29">
        <v>2400</v>
      </c>
      <c r="R4055" s="31">
        <v>45668</v>
      </c>
      <c r="S4055" s="31" t="s">
        <v>3121</v>
      </c>
      <c r="T4055" s="95" t="str">
        <f t="shared" si="319"/>
        <v>2025 01</v>
      </c>
      <c r="U4055" s="32">
        <f t="shared" si="316"/>
        <v>1457.6449674254</v>
      </c>
      <c r="V4055" s="22">
        <f t="shared" si="317"/>
        <v>1.5468108271709238</v>
      </c>
      <c r="X4055" s="33"/>
      <c r="Y4055" s="33"/>
    </row>
    <row r="4056" spans="1:25" x14ac:dyDescent="0.2">
      <c r="A4056" s="93" t="s">
        <v>2541</v>
      </c>
      <c r="B4056" s="94" t="str">
        <f>IFERROR(VLOOKUP($A4056,HeadJournal!$A$1:$NTR$890,COLUMN(HeadJournal!B$1),0),"")</f>
        <v>720000482757</v>
      </c>
      <c r="C4056" s="94" t="str">
        <f>IFERROR(VLOOKUP($A4056,HeadJournal!$A$1:$NTR$890,COLUMN(HeadJournal!C$1),0),"")</f>
        <v>iHerb_MH DLE7202</v>
      </c>
      <c r="D4056" s="125" t="str">
        <f>IFERROR(VLOOKUP($A4056,HeadJournal!$A$1:$NTR$890,COLUMN(HeadJournal!D$1),0),"")</f>
        <v>Доставлен</v>
      </c>
      <c r="E4056" s="95">
        <f>IFERROR(VLOOKUP($A4056,HeadJournal!$A$1:$NTR$890,COLUMN(HeadJournal!G$1),0),"")</f>
        <v>45608</v>
      </c>
      <c r="F4056" s="95" t="str">
        <f t="shared" si="318"/>
        <v>2024 11</v>
      </c>
      <c r="G4056" s="97" t="s">
        <v>5</v>
      </c>
      <c r="H4056" s="161" t="s">
        <v>2529</v>
      </c>
      <c r="I4056" s="97" t="s">
        <v>2530</v>
      </c>
      <c r="J4056" s="97" t="s">
        <v>2531</v>
      </c>
      <c r="K4056" s="29">
        <v>15.49</v>
      </c>
      <c r="L4056" s="29">
        <v>-3.72</v>
      </c>
      <c r="M4056" s="30">
        <f>IFERROR(VLOOKUP($A4056,HeadJournal!$A$1:$J$890,COLUMN(HeadJournal!I$1),0)*($K4056+$L4056)/(SUMIF($A:$A,$A4056,$K:$K)+SUMIF($A:$A,$A4056,$L:$L)),0)</f>
        <v>-2.4840730314485642</v>
      </c>
      <c r="N4056" s="30">
        <f>IFERROR((VLOOKUP($A4056,HeadJournal!$A$1:$K$890,COLUMN(HeadJournal!K$1),0)-VLOOKUP($A4056,HeadJournal!$A$1:$K$890,COLUMN(HeadJournal!J$1),0))*($K4056+$L4056)/(SUMIF($A:$A,$A4056,$K:$K)+SUMIF($A:$A,$A4056,$L:$L)),0)</f>
        <v>0</v>
      </c>
      <c r="O4056" s="30">
        <f>IFERROR((VLOOKUP($A4056,HeadJournal!$A$1:$L$890,COLUMN(HeadJournal!L$1),0)*($K4056+$L4056)/(SUMIF($A:$A,$A4056,$K:$K)+SUMIF($A:$A,$A4056,$L:$L)))/VLOOKUP($A4056,HeadJournal!$A$1:$L$890,COLUMN(HeadJournal!H$1),0),0)</f>
        <v>0.36492453729542423</v>
      </c>
      <c r="P4056" s="30">
        <f>IFERROR(SUM(K4056:O4056)*VLOOKUP($A4056,HeadJournal!$A$1:$L$890,COLUMN(HeadJournal!H$1),0),0)</f>
        <v>1070.6099163516449</v>
      </c>
      <c r="Q4056" s="29"/>
      <c r="R4056" s="31"/>
      <c r="S4056" s="31"/>
      <c r="T4056" s="95" t="str">
        <f t="shared" si="319"/>
        <v/>
      </c>
      <c r="U4056" s="32">
        <f t="shared" si="316"/>
        <v>-1070.6099163516449</v>
      </c>
      <c r="V4056" s="22" t="str">
        <f t="shared" si="317"/>
        <v/>
      </c>
      <c r="X4056" s="33"/>
      <c r="Y4056" s="33"/>
    </row>
    <row r="4057" spans="1:25" x14ac:dyDescent="0.2">
      <c r="A4057" s="93" t="s">
        <v>2541</v>
      </c>
      <c r="B4057" s="94" t="str">
        <f>IFERROR(VLOOKUP($A4057,HeadJournal!$A$1:$NTR$890,COLUMN(HeadJournal!B$1),0),"")</f>
        <v>720000482757</v>
      </c>
      <c r="C4057" s="94" t="str">
        <f>IFERROR(VLOOKUP($A4057,HeadJournal!$A$1:$NTR$890,COLUMN(HeadJournal!C$1),0),"")</f>
        <v>iHerb_MH DLE7202</v>
      </c>
      <c r="D4057" s="125" t="str">
        <f>IFERROR(VLOOKUP($A4057,HeadJournal!$A$1:$NTR$890,COLUMN(HeadJournal!D$1),0),"")</f>
        <v>Доставлен</v>
      </c>
      <c r="E4057" s="95">
        <f>IFERROR(VLOOKUP($A4057,HeadJournal!$A$1:$NTR$890,COLUMN(HeadJournal!G$1),0),"")</f>
        <v>45608</v>
      </c>
      <c r="F4057" s="95" t="str">
        <f t="shared" si="318"/>
        <v>2024 11</v>
      </c>
      <c r="G4057" s="97" t="s">
        <v>7</v>
      </c>
      <c r="H4057" s="161" t="s">
        <v>2532</v>
      </c>
      <c r="I4057" s="97" t="s">
        <v>2533</v>
      </c>
      <c r="J4057" s="97" t="s">
        <v>2534</v>
      </c>
      <c r="K4057" s="29">
        <v>4.76</v>
      </c>
      <c r="L4057" s="29">
        <v>-2.86</v>
      </c>
      <c r="M4057" s="30">
        <f>IFERROR(VLOOKUP($A4057,HeadJournal!$A$1:$J$890,COLUMN(HeadJournal!I$1),0)*($K4057+$L4057)/(SUMIF($A:$A,$A4057,$K:$K)+SUMIF($A:$A,$A4057,$L:$L)),0)</f>
        <v>-0.40099734577334512</v>
      </c>
      <c r="N4057" s="30">
        <f>IFERROR((VLOOKUP($A4057,HeadJournal!$A$1:$K$890,COLUMN(HeadJournal!K$1),0)-VLOOKUP($A4057,HeadJournal!$A$1:$K$890,COLUMN(HeadJournal!J$1),0))*($K4057+$L4057)/(SUMIF($A:$A,$A4057,$K:$K)+SUMIF($A:$A,$A4057,$L:$L)),0)</f>
        <v>0</v>
      </c>
      <c r="O4057" s="30">
        <f>IFERROR((VLOOKUP($A4057,HeadJournal!$A$1:$L$890,COLUMN(HeadJournal!L$1),0)*($K4057+$L4057)/(SUMIF($A:$A,$A4057,$K:$K)+SUMIF($A:$A,$A4057,$L:$L)))/VLOOKUP($A4057,HeadJournal!$A$1:$L$890,COLUMN(HeadJournal!H$1),0),0)</f>
        <v>5.8908803811495838E-2</v>
      </c>
      <c r="P4057" s="30">
        <f>IFERROR(SUM(K4057:O4057)*VLOOKUP($A4057,HeadJournal!$A$1:$L$890,COLUMN(HeadJournal!H$1),0),0)</f>
        <v>172.82572991233008</v>
      </c>
      <c r="Q4057" s="29"/>
      <c r="R4057" s="31"/>
      <c r="S4057" s="31"/>
      <c r="T4057" s="95" t="str">
        <f t="shared" si="319"/>
        <v/>
      </c>
      <c r="U4057" s="32">
        <f t="shared" si="316"/>
        <v>-172.82572991233008</v>
      </c>
      <c r="V4057" s="22" t="str">
        <f t="shared" si="317"/>
        <v/>
      </c>
      <c r="X4057" s="33"/>
      <c r="Y4057" s="33"/>
    </row>
    <row r="4058" spans="1:25" x14ac:dyDescent="0.2">
      <c r="A4058" s="93" t="s">
        <v>2541</v>
      </c>
      <c r="B4058" s="94" t="str">
        <f>IFERROR(VLOOKUP($A4058,HeadJournal!$A$1:$NTR$890,COLUMN(HeadJournal!B$1),0),"")</f>
        <v>720000482757</v>
      </c>
      <c r="C4058" s="94" t="str">
        <f>IFERROR(VLOOKUP($A4058,HeadJournal!$A$1:$NTR$890,COLUMN(HeadJournal!C$1),0),"")</f>
        <v>iHerb_MH DLE7202</v>
      </c>
      <c r="D4058" s="125" t="str">
        <f>IFERROR(VLOOKUP($A4058,HeadJournal!$A$1:$NTR$890,COLUMN(HeadJournal!D$1),0),"")</f>
        <v>Доставлен</v>
      </c>
      <c r="E4058" s="95">
        <f>IFERROR(VLOOKUP($A4058,HeadJournal!$A$1:$NTR$890,COLUMN(HeadJournal!G$1),0),"")</f>
        <v>45608</v>
      </c>
      <c r="F4058" s="95" t="str">
        <f t="shared" si="318"/>
        <v>2024 11</v>
      </c>
      <c r="G4058" s="97" t="s">
        <v>5</v>
      </c>
      <c r="H4058" s="161" t="s">
        <v>2203</v>
      </c>
      <c r="I4058" s="97" t="s">
        <v>2166</v>
      </c>
      <c r="J4058" s="97" t="s">
        <v>4099</v>
      </c>
      <c r="K4058" s="29">
        <v>9.48</v>
      </c>
      <c r="L4058" s="29">
        <v>-2.2799999999999998</v>
      </c>
      <c r="M4058" s="30">
        <f>IFERROR(VLOOKUP($A4058,HeadJournal!$A$1:$J$890,COLUMN(HeadJournal!I$1),0)*($K4058+$L4058)/(SUMIF($A:$A,$A4058,$K:$K)+SUMIF($A:$A,$A4058,$L:$L)),0)</f>
        <v>-1.5195688892463608</v>
      </c>
      <c r="N4058" s="30">
        <f>IFERROR((VLOOKUP($A4058,HeadJournal!$A$1:$K$890,COLUMN(HeadJournal!K$1),0)-VLOOKUP($A4058,HeadJournal!$A$1:$K$890,COLUMN(HeadJournal!J$1),0))*($K4058+$L4058)/(SUMIF($A:$A,$A4058,$K:$K)+SUMIF($A:$A,$A4058,$L:$L)),0)</f>
        <v>0</v>
      </c>
      <c r="O4058" s="30">
        <f>IFERROR((VLOOKUP($A4058,HeadJournal!$A$1:$L$890,COLUMN(HeadJournal!L$1),0)*($K4058+$L4058)/(SUMIF($A:$A,$A4058,$K:$K)+SUMIF($A:$A,$A4058,$L:$L)))/VLOOKUP($A4058,HeadJournal!$A$1:$L$890,COLUMN(HeadJournal!H$1),0),0)</f>
        <v>0.2232333618119843</v>
      </c>
      <c r="P4058" s="30">
        <f>IFERROR(SUM(K4058:O4058)*VLOOKUP($A4058,HeadJournal!$A$1:$L$890,COLUMN(HeadJournal!H$1),0),0)</f>
        <v>654.91855545725105</v>
      </c>
      <c r="Q4058" s="29">
        <v>654.91999999999996</v>
      </c>
      <c r="R4058" s="31">
        <v>45609</v>
      </c>
      <c r="S4058" s="31" t="s">
        <v>3121</v>
      </c>
      <c r="T4058" s="95" t="str">
        <f t="shared" si="319"/>
        <v>2024 11</v>
      </c>
      <c r="U4058" s="32">
        <f t="shared" si="316"/>
        <v>1.4445427489135909E-3</v>
      </c>
      <c r="V4058" s="22">
        <f t="shared" si="317"/>
        <v>2.2056830378016088E-6</v>
      </c>
      <c r="X4058" s="33"/>
      <c r="Y4058" s="33"/>
    </row>
    <row r="4059" spans="1:25" x14ac:dyDescent="0.2">
      <c r="A4059" s="93" t="s">
        <v>2541</v>
      </c>
      <c r="B4059" s="94" t="str">
        <f>IFERROR(VLOOKUP($A4059,HeadJournal!$A$1:$NTR$890,COLUMN(HeadJournal!B$1),0),"")</f>
        <v>720000482757</v>
      </c>
      <c r="C4059" s="94" t="str">
        <f>IFERROR(VLOOKUP($A4059,HeadJournal!$A$1:$NTR$890,COLUMN(HeadJournal!C$1),0),"")</f>
        <v>iHerb_MH DLE7202</v>
      </c>
      <c r="D4059" s="125" t="str">
        <f>IFERROR(VLOOKUP($A4059,HeadJournal!$A$1:$NTR$890,COLUMN(HeadJournal!D$1),0),"")</f>
        <v>Доставлен</v>
      </c>
      <c r="E4059" s="95">
        <f>IFERROR(VLOOKUP($A4059,HeadJournal!$A$1:$NTR$890,COLUMN(HeadJournal!G$1),0),"")</f>
        <v>45608</v>
      </c>
      <c r="F4059" s="95" t="str">
        <f t="shared" si="318"/>
        <v>2024 11</v>
      </c>
      <c r="G4059" s="97" t="s">
        <v>5</v>
      </c>
      <c r="H4059" s="161" t="s">
        <v>2535</v>
      </c>
      <c r="I4059" s="97" t="s">
        <v>2166</v>
      </c>
      <c r="J4059" s="97" t="s">
        <v>2536</v>
      </c>
      <c r="K4059" s="29">
        <v>32.83</v>
      </c>
      <c r="L4059" s="29">
        <v>-7.88</v>
      </c>
      <c r="M4059" s="30">
        <f>IFERROR(VLOOKUP($A4059,HeadJournal!$A$1:$J$890,COLUMN(HeadJournal!I$1),0)*($K4059+$L4059)/(SUMIF($A:$A,$A4059,$K:$K)+SUMIF($A:$A,$A4059,$L:$L)),0)</f>
        <v>-5.2657283037078741</v>
      </c>
      <c r="N4059" s="30">
        <f>IFERROR((VLOOKUP($A4059,HeadJournal!$A$1:$K$890,COLUMN(HeadJournal!K$1),0)-VLOOKUP($A4059,HeadJournal!$A$1:$K$890,COLUMN(HeadJournal!J$1),0))*($K4059+$L4059)/(SUMIF($A:$A,$A4059,$K:$K)+SUMIF($A:$A,$A4059,$L:$L)),0)</f>
        <v>0</v>
      </c>
      <c r="O4059" s="30">
        <f>IFERROR((VLOOKUP($A4059,HeadJournal!$A$1:$L$890,COLUMN(HeadJournal!L$1),0)*($K4059+$L4059)/(SUMIF($A:$A,$A4059,$K:$K)+SUMIF($A:$A,$A4059,$L:$L)))/VLOOKUP($A4059,HeadJournal!$A$1:$L$890,COLUMN(HeadJournal!H$1),0),0)</f>
        <v>0.77356560794569529</v>
      </c>
      <c r="P4059" s="30">
        <f>IFERROR(SUM(K4059:O4059)*VLOOKUP($A4059,HeadJournal!$A$1:$L$890,COLUMN(HeadJournal!H$1),0),0)</f>
        <v>2269.4747164803348</v>
      </c>
      <c r="Q4059" s="29">
        <v>2269.4699999999998</v>
      </c>
      <c r="R4059" s="31">
        <v>45609</v>
      </c>
      <c r="S4059" s="31" t="s">
        <v>3121</v>
      </c>
      <c r="T4059" s="95" t="str">
        <f t="shared" si="319"/>
        <v>2024 11</v>
      </c>
      <c r="U4059" s="32">
        <f t="shared" si="316"/>
        <v>-4.7164803349915019E-3</v>
      </c>
      <c r="V4059" s="22">
        <f t="shared" si="317"/>
        <v>-2.0782255474104424E-6</v>
      </c>
      <c r="X4059" s="33"/>
      <c r="Y4059" s="33"/>
    </row>
    <row r="4060" spans="1:25" x14ac:dyDescent="0.2">
      <c r="A4060" s="93" t="s">
        <v>2541</v>
      </c>
      <c r="B4060" s="94" t="str">
        <f>IFERROR(VLOOKUP($A4060,HeadJournal!$A$1:$NTR$890,COLUMN(HeadJournal!B$1),0),"")</f>
        <v>720000482757</v>
      </c>
      <c r="C4060" s="94" t="str">
        <f>IFERROR(VLOOKUP($A4060,HeadJournal!$A$1:$NTR$890,COLUMN(HeadJournal!C$1),0),"")</f>
        <v>iHerb_MH DLE7202</v>
      </c>
      <c r="D4060" s="125" t="str">
        <f>IFERROR(VLOOKUP($A4060,HeadJournal!$A$1:$NTR$890,COLUMN(HeadJournal!D$1),0),"")</f>
        <v>Доставлен</v>
      </c>
      <c r="E4060" s="95">
        <f>IFERROR(VLOOKUP($A4060,HeadJournal!$A$1:$NTR$890,COLUMN(HeadJournal!G$1),0),"")</f>
        <v>45608</v>
      </c>
      <c r="F4060" s="95" t="str">
        <f t="shared" si="318"/>
        <v>2024 11</v>
      </c>
      <c r="G4060" s="97" t="s">
        <v>5</v>
      </c>
      <c r="H4060" s="161" t="s">
        <v>2537</v>
      </c>
      <c r="I4060" s="97" t="s">
        <v>2491</v>
      </c>
      <c r="J4060" s="97" t="s">
        <v>2538</v>
      </c>
      <c r="K4060" s="29">
        <v>48.52</v>
      </c>
      <c r="L4060" s="29">
        <v>-14.56</v>
      </c>
      <c r="M4060" s="30">
        <f>IFERROR(VLOOKUP($A4060,HeadJournal!$A$1:$J$890,COLUMN(HeadJournal!I$1),0)*($K4060+$L4060)/(SUMIF($A:$A,$A4060,$K:$K)+SUMIF($A:$A,$A4060,$L:$L)),0)</f>
        <v>-7.1672999276119995</v>
      </c>
      <c r="N4060" s="30">
        <f>IFERROR((VLOOKUP($A4060,HeadJournal!$A$1:$K$890,COLUMN(HeadJournal!K$1),0)-VLOOKUP($A4060,HeadJournal!$A$1:$K$890,COLUMN(HeadJournal!J$1),0))*($K4060+$L4060)/(SUMIF($A:$A,$A4060,$K:$K)+SUMIF($A:$A,$A4060,$L:$L)),0)</f>
        <v>0</v>
      </c>
      <c r="O4060" s="30">
        <f>IFERROR((VLOOKUP($A4060,HeadJournal!$A$1:$L$890,COLUMN(HeadJournal!L$1),0)*($K4060+$L4060)/(SUMIF($A:$A,$A4060,$K:$K)+SUMIF($A:$A,$A4060,$L:$L)))/VLOOKUP($A4060,HeadJournal!$A$1:$L$890,COLUMN(HeadJournal!H$1),0),0)</f>
        <v>1.0529173565465257</v>
      </c>
      <c r="P4060" s="30">
        <f>IFERROR(SUM(K4060:O4060)*VLOOKUP($A4060,HeadJournal!$A$1:$L$890,COLUMN(HeadJournal!H$1),0),0)</f>
        <v>3089.0325199067001</v>
      </c>
      <c r="Q4060" s="29">
        <v>3300</v>
      </c>
      <c r="R4060" s="31">
        <v>45893</v>
      </c>
      <c r="S4060" s="31"/>
      <c r="T4060" s="95" t="str">
        <f t="shared" si="319"/>
        <v>2025 08</v>
      </c>
      <c r="U4060" s="32">
        <f t="shared" si="316"/>
        <v>210.96748009329986</v>
      </c>
      <c r="V4060" s="22">
        <f t="shared" si="317"/>
        <v>6.8295648794164152E-2</v>
      </c>
      <c r="X4060" s="33"/>
      <c r="Y4060" s="33"/>
    </row>
    <row r="4061" spans="1:25" x14ac:dyDescent="0.2">
      <c r="A4061" s="93" t="s">
        <v>2541</v>
      </c>
      <c r="B4061" s="94" t="str">
        <f>IFERROR(VLOOKUP($A4061,HeadJournal!$A$1:$NTR$890,COLUMN(HeadJournal!B$1),0),"")</f>
        <v>720000482757</v>
      </c>
      <c r="C4061" s="94" t="str">
        <f>IFERROR(VLOOKUP($A4061,HeadJournal!$A$1:$NTR$890,COLUMN(HeadJournal!C$1),0),"")</f>
        <v>iHerb_MH DLE7202</v>
      </c>
      <c r="D4061" s="125" t="str">
        <f>IFERROR(VLOOKUP($A4061,HeadJournal!$A$1:$NTR$890,COLUMN(HeadJournal!D$1),0),"")</f>
        <v>Доставлен</v>
      </c>
      <c r="E4061" s="95">
        <f>IFERROR(VLOOKUP($A4061,HeadJournal!$A$1:$NTR$890,COLUMN(HeadJournal!G$1),0),"")</f>
        <v>45608</v>
      </c>
      <c r="F4061" s="95" t="str">
        <f t="shared" si="318"/>
        <v>2024 11</v>
      </c>
      <c r="G4061" s="97" t="s">
        <v>5</v>
      </c>
      <c r="H4061" s="161" t="s">
        <v>2539</v>
      </c>
      <c r="I4061" s="97" t="s">
        <v>2005</v>
      </c>
      <c r="J4061" s="97" t="s">
        <v>2540</v>
      </c>
      <c r="K4061" s="29">
        <v>37.18</v>
      </c>
      <c r="L4061" s="29">
        <v>-8.92</v>
      </c>
      <c r="M4061" s="30">
        <f>IFERROR(VLOOKUP($A4061,HeadJournal!$A$1:$J$890,COLUMN(HeadJournal!I$1),0)*($K4061+$L4061)/(SUMIF($A:$A,$A4061,$K:$K)+SUMIF($A:$A,$A4061,$L:$L)),0)</f>
        <v>-5.9643078902919644</v>
      </c>
      <c r="N4061" s="30">
        <f>IFERROR((VLOOKUP($A4061,HeadJournal!$A$1:$K$890,COLUMN(HeadJournal!K$1),0)-VLOOKUP($A4061,HeadJournal!$A$1:$K$890,COLUMN(HeadJournal!J$1),0))*($K4061+$L4061)/(SUMIF($A:$A,$A4061,$K:$K)+SUMIF($A:$A,$A4061,$L:$L)),0)</f>
        <v>0</v>
      </c>
      <c r="O4061" s="30">
        <f>IFERROR((VLOOKUP($A4061,HeadJournal!$A$1:$L$890,COLUMN(HeadJournal!L$1),0)*($K4061+$L4061)/(SUMIF($A:$A,$A4061,$K:$K)+SUMIF($A:$A,$A4061,$L:$L)))/VLOOKUP($A4061,HeadJournal!$A$1:$L$890,COLUMN(HeadJournal!H$1),0),0)</f>
        <v>0.8761909451120381</v>
      </c>
      <c r="P4061" s="30">
        <f>IFERROR(SUM(K4061:O4061)*VLOOKUP($A4061,HeadJournal!$A$1:$L$890,COLUMN(HeadJournal!H$1),0),0)</f>
        <v>2570.55533016971</v>
      </c>
      <c r="Q4061" s="29">
        <v>4600</v>
      </c>
      <c r="R4061" s="31">
        <v>45682</v>
      </c>
      <c r="S4061" s="31" t="s">
        <v>3121</v>
      </c>
      <c r="T4061" s="95" t="str">
        <f t="shared" si="319"/>
        <v>2025 01</v>
      </c>
      <c r="U4061" s="32">
        <f t="shared" si="316"/>
        <v>2029.44466983029</v>
      </c>
      <c r="V4061" s="22">
        <f t="shared" si="317"/>
        <v>0.78949659087723445</v>
      </c>
      <c r="X4061" s="33"/>
      <c r="Y4061" s="33"/>
    </row>
    <row r="4062" spans="1:25" x14ac:dyDescent="0.2">
      <c r="A4062" s="93" t="s">
        <v>2560</v>
      </c>
      <c r="B4062" s="94" t="str">
        <f>IFERROR(VLOOKUP($A4062,HeadJournal!$A$1:$NTR$890,COLUMN(HeadJournal!B$1),0),"")</f>
        <v>720000470754</v>
      </c>
      <c r="C4062" s="94" t="str">
        <f>IFERROR(VLOOKUP($A4062,HeadJournal!$A$1:$NTR$890,COLUMN(HeadJournal!C$1),0),"")</f>
        <v>iHerb_OA CZN6870</v>
      </c>
      <c r="D4062" s="125" t="str">
        <f>IFERROR(VLOOKUP($A4062,HeadJournal!$A$1:$NTR$890,COLUMN(HeadJournal!D$1),0),"")</f>
        <v>Доставлен</v>
      </c>
      <c r="E4062" s="95">
        <f>IFERROR(VLOOKUP($A4062,HeadJournal!$A$1:$NTR$890,COLUMN(HeadJournal!G$1),0),"")</f>
        <v>45604</v>
      </c>
      <c r="F4062" s="95" t="str">
        <f t="shared" si="318"/>
        <v>2024 11</v>
      </c>
      <c r="G4062" s="97" t="s">
        <v>5</v>
      </c>
      <c r="H4062" s="161" t="s">
        <v>2543</v>
      </c>
      <c r="I4062" s="97" t="s">
        <v>2544</v>
      </c>
      <c r="J4062" s="97" t="s">
        <v>2545</v>
      </c>
      <c r="K4062" s="29">
        <v>26.72</v>
      </c>
      <c r="L4062" s="29">
        <v>-6.41</v>
      </c>
      <c r="M4062" s="30">
        <f>IFERROR(VLOOKUP($A4062,HeadJournal!$A$1:$J$890,COLUMN(HeadJournal!I$1),0)*($K4062+$L4062)/(SUMIF($A:$A,$A4062,$K:$K)+SUMIF($A:$A,$A4062,$L:$L)),0)</f>
        <v>-2.8357157120336312</v>
      </c>
      <c r="N4062" s="30">
        <f>IFERROR((VLOOKUP($A4062,HeadJournal!$A$1:$K$890,COLUMN(HeadJournal!K$1),0)-VLOOKUP($A4062,HeadJournal!$A$1:$K$890,COLUMN(HeadJournal!J$1),0))*($K4062+$L4062)/(SUMIF($A:$A,$A4062,$K:$K)+SUMIF($A:$A,$A4062,$L:$L)),0)</f>
        <v>-3.0333416633289822E-15</v>
      </c>
      <c r="O4062" s="30">
        <f>IFERROR((VLOOKUP($A4062,HeadJournal!$A$1:$L$890,COLUMN(HeadJournal!L$1),0)*($K4062+$L4062)/(SUMIF($A:$A,$A4062,$K:$K)+SUMIF($A:$A,$A4062,$L:$L)))/VLOOKUP($A4062,HeadJournal!$A$1:$L$890,COLUMN(HeadJournal!H$1),0),0)</f>
        <v>0.41535343901695476</v>
      </c>
      <c r="P4062" s="30">
        <f>IFERROR(SUM(K4062:O4062)*VLOOKUP($A4062,HeadJournal!$A$1:$L$890,COLUMN(HeadJournal!H$1),0),0)</f>
        <v>1965.7262427745654</v>
      </c>
      <c r="Q4062" s="29">
        <v>3300</v>
      </c>
      <c r="R4062" s="31">
        <v>45643</v>
      </c>
      <c r="S4062" s="31" t="s">
        <v>3121</v>
      </c>
      <c r="T4062" s="95" t="str">
        <f t="shared" si="319"/>
        <v>2024 12</v>
      </c>
      <c r="U4062" s="32">
        <f t="shared" si="316"/>
        <v>1334.2737572254346</v>
      </c>
      <c r="V4062" s="22">
        <f t="shared" si="317"/>
        <v>0.67876885814076837</v>
      </c>
      <c r="X4062" s="33"/>
      <c r="Y4062" s="33"/>
    </row>
    <row r="4063" spans="1:25" x14ac:dyDescent="0.2">
      <c r="A4063" s="93" t="s">
        <v>2560</v>
      </c>
      <c r="B4063" s="94" t="str">
        <f>IFERROR(VLOOKUP($A4063,HeadJournal!$A$1:$NTR$890,COLUMN(HeadJournal!B$1),0),"")</f>
        <v>720000470754</v>
      </c>
      <c r="C4063" s="94" t="str">
        <f>IFERROR(VLOOKUP($A4063,HeadJournal!$A$1:$NTR$890,COLUMN(HeadJournal!C$1),0),"")</f>
        <v>iHerb_OA CZN6870</v>
      </c>
      <c r="D4063" s="125" t="str">
        <f>IFERROR(VLOOKUP($A4063,HeadJournal!$A$1:$NTR$890,COLUMN(HeadJournal!D$1),0),"")</f>
        <v>Доставлен</v>
      </c>
      <c r="E4063" s="95">
        <f>IFERROR(VLOOKUP($A4063,HeadJournal!$A$1:$NTR$890,COLUMN(HeadJournal!G$1),0),"")</f>
        <v>45604</v>
      </c>
      <c r="F4063" s="95" t="str">
        <f t="shared" si="318"/>
        <v>2024 11</v>
      </c>
      <c r="G4063" s="97" t="s">
        <v>5</v>
      </c>
      <c r="H4063" s="161" t="s">
        <v>2546</v>
      </c>
      <c r="I4063" s="97" t="s">
        <v>2039</v>
      </c>
      <c r="J4063" s="97" t="s">
        <v>2547</v>
      </c>
      <c r="K4063" s="29">
        <v>10.76</v>
      </c>
      <c r="L4063" s="29">
        <v>-2.58</v>
      </c>
      <c r="M4063" s="30">
        <f>IFERROR(VLOOKUP($A4063,HeadJournal!$A$1:$J$890,COLUMN(HeadJournal!I$1),0)*($K4063+$L4063)/(SUMIF($A:$A,$A4063,$K:$K)+SUMIF($A:$A,$A4063,$L:$L)),0)</f>
        <v>-1.1421050972149238</v>
      </c>
      <c r="N4063" s="30">
        <f>IFERROR((VLOOKUP($A4063,HeadJournal!$A$1:$K$890,COLUMN(HeadJournal!K$1),0)-VLOOKUP($A4063,HeadJournal!$A$1:$K$890,COLUMN(HeadJournal!J$1),0))*($K4063+$L4063)/(SUMIF($A:$A,$A4063,$K:$K)+SUMIF($A:$A,$A4063,$L:$L)),0)</f>
        <v>-1.2217003843442184E-15</v>
      </c>
      <c r="O4063" s="30">
        <f>IFERROR((VLOOKUP($A4063,HeadJournal!$A$1:$L$890,COLUMN(HeadJournal!L$1),0)*($K4063+$L4063)/(SUMIF($A:$A,$A4063,$K:$K)+SUMIF($A:$A,$A4063,$L:$L)))/VLOOKUP($A4063,HeadJournal!$A$1:$L$890,COLUMN(HeadJournal!H$1),0),0)</f>
        <v>0.1672866140403097</v>
      </c>
      <c r="P4063" s="30">
        <f>IFERROR(SUM(K4063:O4063)*VLOOKUP($A4063,HeadJournal!$A$1:$L$890,COLUMN(HeadJournal!H$1),0),0)</f>
        <v>791.71052023121365</v>
      </c>
      <c r="Q4063" s="29">
        <v>1550</v>
      </c>
      <c r="R4063" s="31">
        <v>45643</v>
      </c>
      <c r="S4063" s="31" t="s">
        <v>3121</v>
      </c>
      <c r="T4063" s="95" t="str">
        <f t="shared" si="319"/>
        <v>2024 12</v>
      </c>
      <c r="U4063" s="32">
        <f t="shared" si="316"/>
        <v>758.28947976878635</v>
      </c>
      <c r="V4063" s="22">
        <f t="shared" si="317"/>
        <v>0.95778628727496651</v>
      </c>
      <c r="X4063" s="33"/>
      <c r="Y4063" s="33"/>
    </row>
    <row r="4064" spans="1:25" x14ac:dyDescent="0.2">
      <c r="A4064" s="93" t="s">
        <v>2560</v>
      </c>
      <c r="B4064" s="94" t="str">
        <f>IFERROR(VLOOKUP($A4064,HeadJournal!$A$1:$NTR$890,COLUMN(HeadJournal!B$1),0),"")</f>
        <v>720000470754</v>
      </c>
      <c r="C4064" s="94" t="str">
        <f>IFERROR(VLOOKUP($A4064,HeadJournal!$A$1:$NTR$890,COLUMN(HeadJournal!C$1),0),"")</f>
        <v>iHerb_OA CZN6870</v>
      </c>
      <c r="D4064" s="125" t="str">
        <f>IFERROR(VLOOKUP($A4064,HeadJournal!$A$1:$NTR$890,COLUMN(HeadJournal!D$1),0),"")</f>
        <v>Доставлен</v>
      </c>
      <c r="E4064" s="95">
        <f>IFERROR(VLOOKUP($A4064,HeadJournal!$A$1:$NTR$890,COLUMN(HeadJournal!G$1),0),"")</f>
        <v>45604</v>
      </c>
      <c r="F4064" s="95" t="str">
        <f t="shared" si="318"/>
        <v>2024 11</v>
      </c>
      <c r="G4064" s="97" t="s">
        <v>5</v>
      </c>
      <c r="H4064" s="161" t="s">
        <v>2546</v>
      </c>
      <c r="I4064" s="97" t="s">
        <v>2039</v>
      </c>
      <c r="J4064" s="97" t="s">
        <v>2547</v>
      </c>
      <c r="K4064" s="29">
        <v>10.76</v>
      </c>
      <c r="L4064" s="29">
        <v>-2.58</v>
      </c>
      <c r="M4064" s="30">
        <f>IFERROR(VLOOKUP($A4064,HeadJournal!$A$1:$J$890,COLUMN(HeadJournal!I$1),0)*($K4064+$L4064)/(SUMIF($A:$A,$A4064,$K:$K)+SUMIF($A:$A,$A4064,$L:$L)),0)</f>
        <v>-1.1421050972149238</v>
      </c>
      <c r="N4064" s="30">
        <f>IFERROR((VLOOKUP($A4064,HeadJournal!$A$1:$K$890,COLUMN(HeadJournal!K$1),0)-VLOOKUP($A4064,HeadJournal!$A$1:$K$890,COLUMN(HeadJournal!J$1),0))*($K4064+$L4064)/(SUMIF($A:$A,$A4064,$K:$K)+SUMIF($A:$A,$A4064,$L:$L)),0)</f>
        <v>-1.2217003843442184E-15</v>
      </c>
      <c r="O4064" s="30">
        <f>IFERROR((VLOOKUP($A4064,HeadJournal!$A$1:$L$890,COLUMN(HeadJournal!L$1),0)*($K4064+$L4064)/(SUMIF($A:$A,$A4064,$K:$K)+SUMIF($A:$A,$A4064,$L:$L)))/VLOOKUP($A4064,HeadJournal!$A$1:$L$890,COLUMN(HeadJournal!H$1),0),0)</f>
        <v>0.1672866140403097</v>
      </c>
      <c r="P4064" s="30">
        <f>IFERROR(SUM(K4064:O4064)*VLOOKUP($A4064,HeadJournal!$A$1:$L$890,COLUMN(HeadJournal!H$1),0),0)</f>
        <v>791.71052023121365</v>
      </c>
      <c r="Q4064" s="29">
        <v>1550</v>
      </c>
      <c r="R4064" s="31">
        <v>45643</v>
      </c>
      <c r="S4064" s="31" t="s">
        <v>3121</v>
      </c>
      <c r="T4064" s="95" t="str">
        <f t="shared" si="319"/>
        <v>2024 12</v>
      </c>
      <c r="U4064" s="32">
        <f t="shared" si="316"/>
        <v>758.28947976878635</v>
      </c>
      <c r="V4064" s="22">
        <f t="shared" si="317"/>
        <v>0.95778628727496651</v>
      </c>
      <c r="X4064" s="33"/>
      <c r="Y4064" s="33"/>
    </row>
    <row r="4065" spans="1:25" x14ac:dyDescent="0.2">
      <c r="A4065" s="93" t="s">
        <v>2560</v>
      </c>
      <c r="B4065" s="94" t="str">
        <f>IFERROR(VLOOKUP($A4065,HeadJournal!$A$1:$NTR$890,COLUMN(HeadJournal!B$1),0),"")</f>
        <v>720000470754</v>
      </c>
      <c r="C4065" s="94" t="str">
        <f>IFERROR(VLOOKUP($A4065,HeadJournal!$A$1:$NTR$890,COLUMN(HeadJournal!C$1),0),"")</f>
        <v>iHerb_OA CZN6870</v>
      </c>
      <c r="D4065" s="125" t="str">
        <f>IFERROR(VLOOKUP($A4065,HeadJournal!$A$1:$NTR$890,COLUMN(HeadJournal!D$1),0),"")</f>
        <v>Доставлен</v>
      </c>
      <c r="E4065" s="95">
        <f>IFERROR(VLOOKUP($A4065,HeadJournal!$A$1:$NTR$890,COLUMN(HeadJournal!G$1),0),"")</f>
        <v>45604</v>
      </c>
      <c r="F4065" s="95" t="str">
        <f t="shared" si="318"/>
        <v>2024 11</v>
      </c>
      <c r="G4065" s="97" t="s">
        <v>5</v>
      </c>
      <c r="H4065" s="161" t="s">
        <v>2548</v>
      </c>
      <c r="I4065" s="97" t="s">
        <v>2005</v>
      </c>
      <c r="J4065" s="97" t="s">
        <v>2549</v>
      </c>
      <c r="K4065" s="29">
        <v>12.41</v>
      </c>
      <c r="L4065" s="29">
        <v>-2.98</v>
      </c>
      <c r="M4065" s="30">
        <f>IFERROR(VLOOKUP($A4065,HeadJournal!$A$1:$J$890,COLUMN(HeadJournal!I$1),0)*($K4065+$L4065)/(SUMIF($A:$A,$A4065,$K:$K)+SUMIF($A:$A,$A4065,$L:$L)),0)</f>
        <v>-1.3166321597477666</v>
      </c>
      <c r="N4065" s="30">
        <f>IFERROR((VLOOKUP($A4065,HeadJournal!$A$1:$K$890,COLUMN(HeadJournal!K$1),0)-VLOOKUP($A4065,HeadJournal!$A$1:$K$890,COLUMN(HeadJournal!J$1),0))*($K4065+$L4065)/(SUMIF($A:$A,$A4065,$K:$K)+SUMIF($A:$A,$A4065,$L:$L)),0)</f>
        <v>-1.4083905408760366E-15</v>
      </c>
      <c r="O4065" s="30">
        <f>IFERROR((VLOOKUP($A4065,HeadJournal!$A$1:$L$890,COLUMN(HeadJournal!L$1),0)*($K4065+$L4065)/(SUMIF($A:$A,$A4065,$K:$K)+SUMIF($A:$A,$A4065,$L:$L)))/VLOOKUP($A4065,HeadJournal!$A$1:$L$890,COLUMN(HeadJournal!H$1),0),0)</f>
        <v>0.19284997193155506</v>
      </c>
      <c r="P4065" s="30">
        <f>IFERROR(SUM(K4065:O4065)*VLOOKUP($A4065,HeadJournal!$A$1:$L$890,COLUMN(HeadJournal!H$1),0),0)</f>
        <v>912.69317919075104</v>
      </c>
      <c r="Q4065" s="29">
        <v>1700</v>
      </c>
      <c r="R4065" s="31">
        <v>45643</v>
      </c>
      <c r="S4065" s="31" t="s">
        <v>3121</v>
      </c>
      <c r="T4065" s="95" t="str">
        <f t="shared" si="319"/>
        <v>2024 12</v>
      </c>
      <c r="U4065" s="32">
        <f t="shared" si="316"/>
        <v>787.30682080924896</v>
      </c>
      <c r="V4065" s="22">
        <f t="shared" si="317"/>
        <v>0.8626193761054759</v>
      </c>
      <c r="X4065" s="33"/>
      <c r="Y4065" s="33"/>
    </row>
    <row r="4066" spans="1:25" x14ac:dyDescent="0.2">
      <c r="A4066" s="93" t="s">
        <v>2560</v>
      </c>
      <c r="B4066" s="94" t="str">
        <f>IFERROR(VLOOKUP($A4066,HeadJournal!$A$1:$NTR$890,COLUMN(HeadJournal!B$1),0),"")</f>
        <v>720000470754</v>
      </c>
      <c r="C4066" s="94" t="str">
        <f>IFERROR(VLOOKUP($A4066,HeadJournal!$A$1:$NTR$890,COLUMN(HeadJournal!C$1),0),"")</f>
        <v>iHerb_OA CZN6870</v>
      </c>
      <c r="D4066" s="125" t="str">
        <f>IFERROR(VLOOKUP($A4066,HeadJournal!$A$1:$NTR$890,COLUMN(HeadJournal!D$1),0),"")</f>
        <v>Доставлен</v>
      </c>
      <c r="E4066" s="95">
        <f>IFERROR(VLOOKUP($A4066,HeadJournal!$A$1:$NTR$890,COLUMN(HeadJournal!G$1),0),"")</f>
        <v>45604</v>
      </c>
      <c r="F4066" s="95" t="str">
        <f t="shared" si="318"/>
        <v>2024 11</v>
      </c>
      <c r="G4066" s="97" t="s">
        <v>5</v>
      </c>
      <c r="H4066" s="161" t="s">
        <v>2022</v>
      </c>
      <c r="I4066" s="97" t="s">
        <v>2005</v>
      </c>
      <c r="J4066" s="97" t="s">
        <v>2023</v>
      </c>
      <c r="K4066" s="29">
        <v>27.38</v>
      </c>
      <c r="L4066" s="29">
        <v>-6.57</v>
      </c>
      <c r="M4066" s="30">
        <f>IFERROR(VLOOKUP($A4066,HeadJournal!$A$1:$J$890,COLUMN(HeadJournal!I$1),0)*($K4066+$L4066)/(SUMIF($A:$A,$A4066,$K:$K)+SUMIF($A:$A,$A4066,$L:$L)),0)</f>
        <v>-2.905526537046768</v>
      </c>
      <c r="N4066" s="30">
        <f>IFERROR((VLOOKUP($A4066,HeadJournal!$A$1:$K$890,COLUMN(HeadJournal!K$1),0)-VLOOKUP($A4066,HeadJournal!$A$1:$K$890,COLUMN(HeadJournal!J$1),0))*($K4066+$L4066)/(SUMIF($A:$A,$A4066,$K:$K)+SUMIF($A:$A,$A4066,$L:$L)),0)</f>
        <v>-3.1080177259417094E-15</v>
      </c>
      <c r="O4066" s="30">
        <f>IFERROR((VLOOKUP($A4066,HeadJournal!$A$1:$L$890,COLUMN(HeadJournal!L$1),0)*($K4066+$L4066)/(SUMIF($A:$A,$A4066,$K:$K)+SUMIF($A:$A,$A4066,$L:$L)))/VLOOKUP($A4066,HeadJournal!$A$1:$L$890,COLUMN(HeadJournal!H$1),0),0)</f>
        <v>0.42557878217345291</v>
      </c>
      <c r="P4066" s="30">
        <f>IFERROR(SUM(K4066:O4066)*VLOOKUP($A4066,HeadJournal!$A$1:$L$890,COLUMN(HeadJournal!H$1),0),0)</f>
        <v>2014.1193063583808</v>
      </c>
      <c r="Q4066" s="29">
        <v>3000</v>
      </c>
      <c r="R4066" s="31">
        <v>45741</v>
      </c>
      <c r="S4066" s="31" t="s">
        <v>3121</v>
      </c>
      <c r="T4066" s="95" t="str">
        <f t="shared" si="319"/>
        <v>2025 03</v>
      </c>
      <c r="U4066" s="32">
        <f t="shared" si="316"/>
        <v>985.88069364161925</v>
      </c>
      <c r="V4066" s="22">
        <f t="shared" si="317"/>
        <v>0.48948475421951859</v>
      </c>
      <c r="X4066" s="33"/>
      <c r="Y4066" s="33"/>
    </row>
    <row r="4067" spans="1:25" x14ac:dyDescent="0.2">
      <c r="A4067" s="93" t="s">
        <v>2560</v>
      </c>
      <c r="B4067" s="94" t="str">
        <f>IFERROR(VLOOKUP($A4067,HeadJournal!$A$1:$NTR$890,COLUMN(HeadJournal!B$1),0),"")</f>
        <v>720000470754</v>
      </c>
      <c r="C4067" s="94" t="str">
        <f>IFERROR(VLOOKUP($A4067,HeadJournal!$A$1:$NTR$890,COLUMN(HeadJournal!C$1),0),"")</f>
        <v>iHerb_OA CZN6870</v>
      </c>
      <c r="D4067" s="125" t="str">
        <f>IFERROR(VLOOKUP($A4067,HeadJournal!$A$1:$NTR$890,COLUMN(HeadJournal!D$1),0),"")</f>
        <v>Доставлен</v>
      </c>
      <c r="E4067" s="95">
        <f>IFERROR(VLOOKUP($A4067,HeadJournal!$A$1:$NTR$890,COLUMN(HeadJournal!G$1),0),"")</f>
        <v>45604</v>
      </c>
      <c r="F4067" s="95" t="str">
        <f t="shared" si="318"/>
        <v>2024 11</v>
      </c>
      <c r="G4067" s="97" t="s">
        <v>7</v>
      </c>
      <c r="H4067" s="161" t="s">
        <v>2550</v>
      </c>
      <c r="I4067" s="97" t="s">
        <v>3598</v>
      </c>
      <c r="J4067" s="97" t="s">
        <v>2551</v>
      </c>
      <c r="K4067" s="29">
        <v>13.51</v>
      </c>
      <c r="L4067" s="29">
        <v>-3.24</v>
      </c>
      <c r="M4067" s="30">
        <f>IFERROR(VLOOKUP($A4067,HeadJournal!$A$1:$J$890,COLUMN(HeadJournal!I$1),0)*($K4067+$L4067)/(SUMIF($A:$A,$A4067,$K:$K)+SUMIF($A:$A,$A4067,$L:$L)),0)</f>
        <v>-1.4339143457698369</v>
      </c>
      <c r="N4067" s="30">
        <f>IFERROR((VLOOKUP($A4067,HeadJournal!$A$1:$K$890,COLUMN(HeadJournal!K$1),0)-VLOOKUP($A4067,HeadJournal!$A$1:$K$890,COLUMN(HeadJournal!J$1),0))*($K4067+$L4067)/(SUMIF($A:$A,$A4067,$K:$K)+SUMIF($A:$A,$A4067,$L:$L)),0)</f>
        <v>-1.5338463260654185E-15</v>
      </c>
      <c r="O4067" s="30">
        <f>IFERROR((VLOOKUP($A4067,HeadJournal!$A$1:$L$890,COLUMN(HeadJournal!L$1),0)*($K4067+$L4067)/(SUMIF($A:$A,$A4067,$K:$K)+SUMIF($A:$A,$A4067,$L:$L)))/VLOOKUP($A4067,HeadJournal!$A$1:$L$890,COLUMN(HeadJournal!H$1),0),0)</f>
        <v>0.21002854843447197</v>
      </c>
      <c r="P4067" s="30">
        <f>IFERROR(SUM(K4067:O4067)*VLOOKUP($A4067,HeadJournal!$A$1:$L$890,COLUMN(HeadJournal!H$1),0),0)</f>
        <v>993.99352601156033</v>
      </c>
      <c r="Q4067" s="29">
        <v>1900</v>
      </c>
      <c r="R4067" s="31">
        <v>45644</v>
      </c>
      <c r="S4067" s="31" t="s">
        <v>3121</v>
      </c>
      <c r="T4067" s="95" t="str">
        <f t="shared" si="319"/>
        <v>2024 12</v>
      </c>
      <c r="U4067" s="32">
        <f t="shared" si="316"/>
        <v>906.00647398843967</v>
      </c>
      <c r="V4067" s="22">
        <f t="shared" si="317"/>
        <v>0.91148126248249084</v>
      </c>
      <c r="X4067" s="33"/>
      <c r="Y4067" s="33"/>
    </row>
    <row r="4068" spans="1:25" x14ac:dyDescent="0.2">
      <c r="A4068" s="93" t="s">
        <v>2560</v>
      </c>
      <c r="B4068" s="94" t="str">
        <f>IFERROR(VLOOKUP($A4068,HeadJournal!$A$1:$NTR$890,COLUMN(HeadJournal!B$1),0),"")</f>
        <v>720000470754</v>
      </c>
      <c r="C4068" s="94" t="str">
        <f>IFERROR(VLOOKUP($A4068,HeadJournal!$A$1:$NTR$890,COLUMN(HeadJournal!C$1),0),"")</f>
        <v>iHerb_OA CZN6870</v>
      </c>
      <c r="D4068" s="125" t="str">
        <f>IFERROR(VLOOKUP($A4068,HeadJournal!$A$1:$NTR$890,COLUMN(HeadJournal!D$1),0),"")</f>
        <v>Доставлен</v>
      </c>
      <c r="E4068" s="95">
        <f>IFERROR(VLOOKUP($A4068,HeadJournal!$A$1:$NTR$890,COLUMN(HeadJournal!G$1),0),"")</f>
        <v>45604</v>
      </c>
      <c r="F4068" s="95" t="str">
        <f t="shared" si="318"/>
        <v>2024 11</v>
      </c>
      <c r="G4068" s="97" t="s">
        <v>7</v>
      </c>
      <c r="H4068" s="161" t="s">
        <v>2552</v>
      </c>
      <c r="I4068" s="97" t="s">
        <v>2553</v>
      </c>
      <c r="J4068" s="97" t="s">
        <v>2554</v>
      </c>
      <c r="K4068" s="29">
        <v>6.77</v>
      </c>
      <c r="L4068" s="29">
        <v>-1.62</v>
      </c>
      <c r="M4068" s="30">
        <f>IFERROR(VLOOKUP($A4068,HeadJournal!$A$1:$J$890,COLUMN(HeadJournal!I$1),0)*($K4068+$L4068)/(SUMIF($A:$A,$A4068,$K:$K)+SUMIF($A:$A,$A4068,$L:$L)),0)</f>
        <v>-0.71905149763531262</v>
      </c>
      <c r="N4068" s="30">
        <f>IFERROR((VLOOKUP($A4068,HeadJournal!$A$1:$K$890,COLUMN(HeadJournal!K$1),0)-VLOOKUP($A4068,HeadJournal!$A$1:$K$890,COLUMN(HeadJournal!J$1),0))*($K4068+$L4068)/(SUMIF($A:$A,$A4068,$K:$K)+SUMIF($A:$A,$A4068,$L:$L)),0)</f>
        <v>-7.6916344491109097E-16</v>
      </c>
      <c r="O4068" s="30">
        <f>IFERROR((VLOOKUP($A4068,HeadJournal!$A$1:$L$890,COLUMN(HeadJournal!L$1),0)*($K4068+$L4068)/(SUMIF($A:$A,$A4068,$K:$K)+SUMIF($A:$A,$A4068,$L:$L)))/VLOOKUP($A4068,HeadJournal!$A$1:$L$890,COLUMN(HeadJournal!H$1),0),0)</f>
        <v>0.10532103451193091</v>
      </c>
      <c r="P4068" s="30">
        <f>IFERROR(SUM(K4068:O4068)*VLOOKUP($A4068,HeadJournal!$A$1:$L$890,COLUMN(HeadJournal!H$1),0),0)</f>
        <v>498.44855491329457</v>
      </c>
      <c r="Q4068" s="29">
        <v>1200</v>
      </c>
      <c r="R4068" s="31">
        <v>45644</v>
      </c>
      <c r="S4068" s="31" t="s">
        <v>3121</v>
      </c>
      <c r="T4068" s="95" t="str">
        <f t="shared" si="319"/>
        <v>2024 12</v>
      </c>
      <c r="U4068" s="32">
        <f t="shared" si="316"/>
        <v>701.55144508670537</v>
      </c>
      <c r="V4068" s="22">
        <f t="shared" si="317"/>
        <v>1.4074701153637423</v>
      </c>
      <c r="X4068" s="33"/>
      <c r="Y4068" s="33"/>
    </row>
    <row r="4069" spans="1:25" x14ac:dyDescent="0.2">
      <c r="A4069" s="93" t="s">
        <v>2560</v>
      </c>
      <c r="B4069" s="94" t="str">
        <f>IFERROR(VLOOKUP($A4069,HeadJournal!$A$1:$NTR$890,COLUMN(HeadJournal!B$1),0),"")</f>
        <v>720000470754</v>
      </c>
      <c r="C4069" s="94" t="str">
        <f>IFERROR(VLOOKUP($A4069,HeadJournal!$A$1:$NTR$890,COLUMN(HeadJournal!C$1),0),"")</f>
        <v>iHerb_OA CZN6870</v>
      </c>
      <c r="D4069" s="125" t="str">
        <f>IFERROR(VLOOKUP($A4069,HeadJournal!$A$1:$NTR$890,COLUMN(HeadJournal!D$1),0),"")</f>
        <v>Доставлен</v>
      </c>
      <c r="E4069" s="95">
        <f>IFERROR(VLOOKUP($A4069,HeadJournal!$A$1:$NTR$890,COLUMN(HeadJournal!G$1),0),"")</f>
        <v>45604</v>
      </c>
      <c r="F4069" s="95" t="str">
        <f t="shared" si="318"/>
        <v>2024 11</v>
      </c>
      <c r="G4069" s="97" t="s">
        <v>7</v>
      </c>
      <c r="H4069" s="161" t="s">
        <v>2555</v>
      </c>
      <c r="I4069" s="97" t="s">
        <v>2556</v>
      </c>
      <c r="J4069" s="97" t="s">
        <v>2557</v>
      </c>
      <c r="K4069" s="29">
        <v>21.5</v>
      </c>
      <c r="L4069" s="29">
        <v>-12.9</v>
      </c>
      <c r="M4069" s="30">
        <f>IFERROR(VLOOKUP($A4069,HeadJournal!$A$1:$J$890,COLUMN(HeadJournal!I$1),0)*($K4069+$L4069)/(SUMIF($A:$A,$A4069,$K:$K)+SUMIF($A:$A,$A4069,$L:$L)),0)</f>
        <v>-1.2007461902259589</v>
      </c>
      <c r="N4069" s="30">
        <f>IFERROR((VLOOKUP($A4069,HeadJournal!$A$1:$K$890,COLUMN(HeadJournal!K$1),0)-VLOOKUP($A4069,HeadJournal!$A$1:$K$890,COLUMN(HeadJournal!J$1),0))*($K4069+$L4069)/(SUMIF($A:$A,$A4069,$K:$K)+SUMIF($A:$A,$A4069,$L:$L)),0)</f>
        <v>-1.2844282769389092E-15</v>
      </c>
      <c r="O4069" s="30">
        <f>IFERROR((VLOOKUP($A4069,HeadJournal!$A$1:$L$890,COLUMN(HeadJournal!L$1),0)*($K4069+$L4069)/(SUMIF($A:$A,$A4069,$K:$K)+SUMIF($A:$A,$A4069,$L:$L)))/VLOOKUP($A4069,HeadJournal!$A$1:$L$890,COLUMN(HeadJournal!H$1),0),0)</f>
        <v>0.17587590229176814</v>
      </c>
      <c r="P4069" s="30">
        <f>IFERROR(SUM(K4069:O4069)*VLOOKUP($A4069,HeadJournal!$A$1:$L$890,COLUMN(HeadJournal!H$1),0),0)</f>
        <v>832.36069364161824</v>
      </c>
      <c r="Q4069" s="29"/>
      <c r="R4069" s="31"/>
      <c r="S4069" s="31"/>
      <c r="T4069" s="95" t="str">
        <f t="shared" si="319"/>
        <v/>
      </c>
      <c r="U4069" s="32">
        <f t="shared" si="316"/>
        <v>-832.36069364161824</v>
      </c>
      <c r="V4069" s="22" t="str">
        <f t="shared" si="317"/>
        <v/>
      </c>
      <c r="X4069" s="33"/>
      <c r="Y4069" s="33"/>
    </row>
    <row r="4070" spans="1:25" x14ac:dyDescent="0.2">
      <c r="A4070" s="93" t="s">
        <v>2560</v>
      </c>
      <c r="B4070" s="94" t="str">
        <f>IFERROR(VLOOKUP($A4070,HeadJournal!$A$1:$NTR$890,COLUMN(HeadJournal!B$1),0),"")</f>
        <v>720000470754</v>
      </c>
      <c r="C4070" s="94" t="str">
        <f>IFERROR(VLOOKUP($A4070,HeadJournal!$A$1:$NTR$890,COLUMN(HeadJournal!C$1),0),"")</f>
        <v>iHerb_OA CZN6870</v>
      </c>
      <c r="D4070" s="125" t="str">
        <f>IFERROR(VLOOKUP($A4070,HeadJournal!$A$1:$NTR$890,COLUMN(HeadJournal!D$1),0),"")</f>
        <v>Доставлен</v>
      </c>
      <c r="E4070" s="95">
        <f>IFERROR(VLOOKUP($A4070,HeadJournal!$A$1:$NTR$890,COLUMN(HeadJournal!G$1),0),"")</f>
        <v>45604</v>
      </c>
      <c r="F4070" s="95" t="str">
        <f t="shared" si="318"/>
        <v>2024 11</v>
      </c>
      <c r="G4070" s="97" t="s">
        <v>5</v>
      </c>
      <c r="H4070" s="161" t="s">
        <v>2558</v>
      </c>
      <c r="I4070" s="97" t="s">
        <v>2166</v>
      </c>
      <c r="J4070" s="97" t="s">
        <v>2559</v>
      </c>
      <c r="K4070" s="29">
        <v>31.54</v>
      </c>
      <c r="L4070" s="29">
        <v>-7.57</v>
      </c>
      <c r="M4070" s="30">
        <f>IFERROR(VLOOKUP($A4070,HeadJournal!$A$1:$J$890,COLUMN(HeadJournal!I$1),0)*($K4070+$L4070)/(SUMIF($A:$A,$A4070,$K:$K)+SUMIF($A:$A,$A4070,$L:$L)),0)</f>
        <v>-3.3467309511297945</v>
      </c>
      <c r="N4070" s="30">
        <f>IFERROR((VLOOKUP($A4070,HeadJournal!$A$1:$K$890,COLUMN(HeadJournal!K$1),0)-VLOOKUP($A4070,HeadJournal!$A$1:$K$890,COLUMN(HeadJournal!J$1),0))*($K4070+$L4070)/(SUMIF($A:$A,$A4070,$K:$K)+SUMIF($A:$A,$A4070,$L:$L)),0)</f>
        <v>-3.5799704416541463E-15</v>
      </c>
      <c r="O4070" s="30">
        <f>IFERROR((VLOOKUP($A4070,HeadJournal!$A$1:$L$890,COLUMN(HeadJournal!L$1),0)*($K4070+$L4070)/(SUMIF($A:$A,$A4070,$K:$K)+SUMIF($A:$A,$A4070,$L:$L)))/VLOOKUP($A4070,HeadJournal!$A$1:$L$890,COLUMN(HeadJournal!H$1),0),0)</f>
        <v>0.4902029509225212</v>
      </c>
      <c r="P4070" s="30">
        <f>IFERROR(SUM(K4070:O4070)*VLOOKUP($A4070,HeadJournal!$A$1:$L$890,COLUMN(HeadJournal!H$1),0),0)</f>
        <v>2319.9634682080919</v>
      </c>
      <c r="Q4070" s="29">
        <v>4000</v>
      </c>
      <c r="R4070" s="31">
        <v>45640</v>
      </c>
      <c r="S4070" s="31" t="s">
        <v>3121</v>
      </c>
      <c r="T4070" s="95" t="str">
        <f t="shared" si="319"/>
        <v>2024 12</v>
      </c>
      <c r="U4070" s="32">
        <f t="shared" si="316"/>
        <v>1680.0365317919081</v>
      </c>
      <c r="V4070" s="22">
        <f t="shared" si="317"/>
        <v>0.72416508053445572</v>
      </c>
      <c r="X4070" s="33"/>
      <c r="Y4070" s="33"/>
    </row>
    <row r="4071" spans="1:25" x14ac:dyDescent="0.2">
      <c r="A4071" s="93" t="s">
        <v>2560</v>
      </c>
      <c r="B4071" s="94" t="str">
        <f>IFERROR(VLOOKUP($A4071,HeadJournal!$A$1:$NTR$890,COLUMN(HeadJournal!B$1),0),"")</f>
        <v>720000470754</v>
      </c>
      <c r="C4071" s="94" t="str">
        <f>IFERROR(VLOOKUP($A4071,HeadJournal!$A$1:$NTR$890,COLUMN(HeadJournal!C$1),0),"")</f>
        <v>iHerb_OA CZN6870</v>
      </c>
      <c r="D4071" s="125" t="str">
        <f>IFERROR(VLOOKUP($A4071,HeadJournal!$A$1:$NTR$890,COLUMN(HeadJournal!D$1),0),"")</f>
        <v>Доставлен</v>
      </c>
      <c r="E4071" s="95">
        <f>IFERROR(VLOOKUP($A4071,HeadJournal!$A$1:$NTR$890,COLUMN(HeadJournal!G$1),0),"")</f>
        <v>45604</v>
      </c>
      <c r="F4071" s="95" t="str">
        <f t="shared" si="318"/>
        <v>2024 11</v>
      </c>
      <c r="G4071" s="97" t="s">
        <v>5</v>
      </c>
      <c r="H4071" s="161" t="s">
        <v>2558</v>
      </c>
      <c r="I4071" s="97" t="s">
        <v>2166</v>
      </c>
      <c r="J4071" s="97" t="s">
        <v>2559</v>
      </c>
      <c r="K4071" s="29">
        <v>31.54</v>
      </c>
      <c r="L4071" s="29">
        <v>-7.57</v>
      </c>
      <c r="M4071" s="30">
        <f>IFERROR(VLOOKUP($A4071,HeadJournal!$A$1:$J$890,COLUMN(HeadJournal!I$1),0)*($K4071+$L4071)/(SUMIF($A:$A,$A4071,$K:$K)+SUMIF($A:$A,$A4071,$L:$L)),0)</f>
        <v>-3.3467309511297945</v>
      </c>
      <c r="N4071" s="30">
        <f>IFERROR((VLOOKUP($A4071,HeadJournal!$A$1:$K$890,COLUMN(HeadJournal!K$1),0)-VLOOKUP($A4071,HeadJournal!$A$1:$K$890,COLUMN(HeadJournal!J$1),0))*($K4071+$L4071)/(SUMIF($A:$A,$A4071,$K:$K)+SUMIF($A:$A,$A4071,$L:$L)),0)</f>
        <v>-3.5799704416541463E-15</v>
      </c>
      <c r="O4071" s="30">
        <f>IFERROR((VLOOKUP($A4071,HeadJournal!$A$1:$L$890,COLUMN(HeadJournal!L$1),0)*($K4071+$L4071)/(SUMIF($A:$A,$A4071,$K:$K)+SUMIF($A:$A,$A4071,$L:$L)))/VLOOKUP($A4071,HeadJournal!$A$1:$L$890,COLUMN(HeadJournal!H$1),0),0)</f>
        <v>0.4902029509225212</v>
      </c>
      <c r="P4071" s="30">
        <f>IFERROR(SUM(K4071:O4071)*VLOOKUP($A4071,HeadJournal!$A$1:$L$890,COLUMN(HeadJournal!H$1),0),0)</f>
        <v>2319.9634682080919</v>
      </c>
      <c r="Q4071" s="29">
        <v>4000</v>
      </c>
      <c r="R4071" s="31">
        <v>45640</v>
      </c>
      <c r="S4071" s="31" t="s">
        <v>3121</v>
      </c>
      <c r="T4071" s="95" t="str">
        <f t="shared" si="319"/>
        <v>2024 12</v>
      </c>
      <c r="U4071" s="32">
        <f t="shared" si="316"/>
        <v>1680.0365317919081</v>
      </c>
      <c r="V4071" s="22">
        <f t="shared" si="317"/>
        <v>0.72416508053445572</v>
      </c>
      <c r="X4071" s="33"/>
      <c r="Y4071" s="33"/>
    </row>
    <row r="4072" spans="1:25" x14ac:dyDescent="0.2">
      <c r="A4072" s="93" t="s">
        <v>2560</v>
      </c>
      <c r="B4072" s="94" t="str">
        <f>IFERROR(VLOOKUP($A4072,HeadJournal!$A$1:$NTR$890,COLUMN(HeadJournal!B$1),0),"")</f>
        <v>720000470754</v>
      </c>
      <c r="C4072" s="94" t="str">
        <f>IFERROR(VLOOKUP($A4072,HeadJournal!$A$1:$NTR$890,COLUMN(HeadJournal!C$1),0),"")</f>
        <v>iHerb_OA CZN6870</v>
      </c>
      <c r="D4072" s="125" t="str">
        <f>IFERROR(VLOOKUP($A4072,HeadJournal!$A$1:$NTR$890,COLUMN(HeadJournal!D$1),0),"")</f>
        <v>Доставлен</v>
      </c>
      <c r="E4072" s="95">
        <f>IFERROR(VLOOKUP($A4072,HeadJournal!$A$1:$NTR$890,COLUMN(HeadJournal!G$1),0),"")</f>
        <v>45604</v>
      </c>
      <c r="F4072" s="95" t="str">
        <f t="shared" si="318"/>
        <v>2024 11</v>
      </c>
      <c r="G4072" s="97" t="s">
        <v>5</v>
      </c>
      <c r="H4072" s="161" t="s">
        <v>2558</v>
      </c>
      <c r="I4072" s="97" t="s">
        <v>2166</v>
      </c>
      <c r="J4072" s="97" t="s">
        <v>2559</v>
      </c>
      <c r="K4072" s="29">
        <v>31.54</v>
      </c>
      <c r="L4072" s="29">
        <v>-7.57</v>
      </c>
      <c r="M4072" s="30">
        <f>IFERROR(VLOOKUP($A4072,HeadJournal!$A$1:$J$890,COLUMN(HeadJournal!I$1),0)*($K4072+$L4072)/(SUMIF($A:$A,$A4072,$K:$K)+SUMIF($A:$A,$A4072,$L:$L)),0)</f>
        <v>-3.3467309511297945</v>
      </c>
      <c r="N4072" s="30">
        <f>IFERROR((VLOOKUP($A4072,HeadJournal!$A$1:$K$890,COLUMN(HeadJournal!K$1),0)-VLOOKUP($A4072,HeadJournal!$A$1:$K$890,COLUMN(HeadJournal!J$1),0))*($K4072+$L4072)/(SUMIF($A:$A,$A4072,$K:$K)+SUMIF($A:$A,$A4072,$L:$L)),0)</f>
        <v>-3.5799704416541463E-15</v>
      </c>
      <c r="O4072" s="30">
        <f>IFERROR((VLOOKUP($A4072,HeadJournal!$A$1:$L$890,COLUMN(HeadJournal!L$1),0)*($K4072+$L4072)/(SUMIF($A:$A,$A4072,$K:$K)+SUMIF($A:$A,$A4072,$L:$L)))/VLOOKUP($A4072,HeadJournal!$A$1:$L$890,COLUMN(HeadJournal!H$1),0),0)</f>
        <v>0.4902029509225212</v>
      </c>
      <c r="P4072" s="30">
        <f>IFERROR(SUM(K4072:O4072)*VLOOKUP($A4072,HeadJournal!$A$1:$L$890,COLUMN(HeadJournal!H$1),0),0)</f>
        <v>2319.9634682080919</v>
      </c>
      <c r="Q4072" s="29">
        <v>4000</v>
      </c>
      <c r="R4072" s="31">
        <v>45640</v>
      </c>
      <c r="S4072" s="31" t="s">
        <v>3121</v>
      </c>
      <c r="T4072" s="95" t="str">
        <f t="shared" si="319"/>
        <v>2024 12</v>
      </c>
      <c r="U4072" s="32">
        <f t="shared" si="316"/>
        <v>1680.0365317919081</v>
      </c>
      <c r="V4072" s="22">
        <f t="shared" si="317"/>
        <v>0.72416508053445572</v>
      </c>
      <c r="X4072" s="33"/>
      <c r="Y4072" s="33"/>
    </row>
    <row r="4073" spans="1:25" x14ac:dyDescent="0.2">
      <c r="A4073" s="93" t="s">
        <v>2560</v>
      </c>
      <c r="B4073" s="94" t="str">
        <f>IFERROR(VLOOKUP($A4073,HeadJournal!$A$1:$NTR$890,COLUMN(HeadJournal!B$1),0),"")</f>
        <v>720000470754</v>
      </c>
      <c r="C4073" s="94" t="str">
        <f>IFERROR(VLOOKUP($A4073,HeadJournal!$A$1:$NTR$890,COLUMN(HeadJournal!C$1),0),"")</f>
        <v>iHerb_OA CZN6870</v>
      </c>
      <c r="D4073" s="125" t="str">
        <f>IFERROR(VLOOKUP($A4073,HeadJournal!$A$1:$NTR$890,COLUMN(HeadJournal!D$1),0),"")</f>
        <v>Доставлен</v>
      </c>
      <c r="E4073" s="95">
        <f>IFERROR(VLOOKUP($A4073,HeadJournal!$A$1:$NTR$890,COLUMN(HeadJournal!G$1),0),"")</f>
        <v>45604</v>
      </c>
      <c r="F4073" s="95" t="str">
        <f t="shared" si="318"/>
        <v>2024 11</v>
      </c>
      <c r="G4073" s="97" t="s">
        <v>5</v>
      </c>
      <c r="H4073" s="161" t="s">
        <v>2422</v>
      </c>
      <c r="I4073" s="97" t="s">
        <v>2005</v>
      </c>
      <c r="J4073" s="97" t="s">
        <v>2423</v>
      </c>
      <c r="K4073" s="29">
        <v>36.130000000000003</v>
      </c>
      <c r="L4073" s="29">
        <v>-8.67</v>
      </c>
      <c r="M4073" s="30">
        <f>IFERROR(VLOOKUP($A4073,HeadJournal!$A$1:$J$890,COLUMN(HeadJournal!I$1),0)*($K4073+$L4073)/(SUMIF($A:$A,$A4073,$K:$K)+SUMIF($A:$A,$A4073,$L:$L)),0)</f>
        <v>-3.8340105097214923</v>
      </c>
      <c r="N4073" s="30">
        <f>IFERROR((VLOOKUP($A4073,HeadJournal!$A$1:$K$890,COLUMN(HeadJournal!K$1),0)-VLOOKUP($A4073,HeadJournal!$A$1:$K$890,COLUMN(HeadJournal!J$1),0))*($K4073+$L4073)/(SUMIF($A:$A,$A4073,$K:$K)+SUMIF($A:$A,$A4073,$L:$L)),0)</f>
        <v>-4.1012093586909827E-15</v>
      </c>
      <c r="O4073" s="30">
        <f>IFERROR((VLOOKUP($A4073,HeadJournal!$A$1:$L$890,COLUMN(HeadJournal!L$1),0)*($K4073+$L4073)/(SUMIF($A:$A,$A4073,$K:$K)+SUMIF($A:$A,$A4073,$L:$L)))/VLOOKUP($A4073,HeadJournal!$A$1:$L$890,COLUMN(HeadJournal!H$1),0),0)</f>
        <v>0.56157584615487832</v>
      </c>
      <c r="P4073" s="30">
        <f>IFERROR(SUM(K4073:O4073)*VLOOKUP($A4073,HeadJournal!$A$1:$L$890,COLUMN(HeadJournal!H$1),0),0)</f>
        <v>2657.7470520231209</v>
      </c>
      <c r="Q4073" s="29">
        <v>4400</v>
      </c>
      <c r="R4073" s="31">
        <v>45728</v>
      </c>
      <c r="S4073" s="31" t="s">
        <v>3121</v>
      </c>
      <c r="T4073" s="95" t="str">
        <f t="shared" si="319"/>
        <v>2025 03</v>
      </c>
      <c r="U4073" s="32">
        <f t="shared" si="316"/>
        <v>1742.2529479768791</v>
      </c>
      <c r="V4073" s="22">
        <f t="shared" si="317"/>
        <v>0.65553753381107038</v>
      </c>
      <c r="X4073" s="33"/>
      <c r="Y4073" s="33"/>
    </row>
    <row r="4074" spans="1:25" x14ac:dyDescent="0.2">
      <c r="A4074" s="93" t="s">
        <v>2571</v>
      </c>
      <c r="B4074" s="94" t="str">
        <f>IFERROR(VLOOKUP($A4074,HeadJournal!$A$1:$NTR$890,COLUMN(HeadJournal!B$1),0),"")</f>
        <v>720000489634</v>
      </c>
      <c r="C4074" s="94" t="str">
        <f>IFERROR(VLOOKUP($A4074,HeadJournal!$A$1:$NTR$890,COLUMN(HeadJournal!C$1),0),"")</f>
        <v>iHerb_OA CZN6870</v>
      </c>
      <c r="D4074" s="125" t="str">
        <f>IFERROR(VLOOKUP($A4074,HeadJournal!$A$1:$NTR$890,COLUMN(HeadJournal!D$1),0),"")</f>
        <v>Доставлен</v>
      </c>
      <c r="E4074" s="95">
        <f>IFERROR(VLOOKUP($A4074,HeadJournal!$A$1:$NTR$890,COLUMN(HeadJournal!G$1),0),"")</f>
        <v>45612</v>
      </c>
      <c r="F4074" s="95" t="str">
        <f t="shared" si="318"/>
        <v>2024 11</v>
      </c>
      <c r="G4074" s="97" t="s">
        <v>5</v>
      </c>
      <c r="H4074" s="161" t="s">
        <v>2562</v>
      </c>
      <c r="I4074" s="97" t="s">
        <v>2052</v>
      </c>
      <c r="J4074" s="97" t="s">
        <v>2563</v>
      </c>
      <c r="K4074" s="29">
        <v>92.57</v>
      </c>
      <c r="L4074" s="29">
        <v>-27.77</v>
      </c>
      <c r="M4074" s="30">
        <f>IFERROR(VLOOKUP($A4074,HeadJournal!$A$1:$J$890,COLUMN(HeadJournal!I$1),0)*($K4074+$L4074)/(SUMIF($A:$A,$A4074,$K:$K)+SUMIF($A:$A,$A4074,$L:$L)),0)</f>
        <v>-3.9688996151588283</v>
      </c>
      <c r="N4074" s="30">
        <f>IFERROR((VLOOKUP($A4074,HeadJournal!$A$1:$K$890,COLUMN(HeadJournal!K$1),0)-VLOOKUP($A4074,HeadJournal!$A$1:$K$890,COLUMN(HeadJournal!J$1),0))*($K4074+$L4074)/(SUMIF($A:$A,$A4074,$K:$K)+SUMIF($A:$A,$A4074,$L:$L)),0)</f>
        <v>-1.2013089629444782E-14</v>
      </c>
      <c r="O4074" s="30">
        <f>IFERROR((VLOOKUP($A4074,HeadJournal!$A$1:$L$890,COLUMN(HeadJournal!L$1),0)*($K4074+$L4074)/(SUMIF($A:$A,$A4074,$K:$K)+SUMIF($A:$A,$A4074,$L:$L)))/VLOOKUP($A4074,HeadJournal!$A$1:$L$890,COLUMN(HeadJournal!H$1),0),0)</f>
        <v>1.6585050209706917</v>
      </c>
      <c r="P4074" s="30">
        <f>IFERROR(SUM(K4074:O4074)*VLOOKUP($A4074,HeadJournal!$A$1:$L$890,COLUMN(HeadJournal!H$1),0),0)</f>
        <v>6810.2597873589439</v>
      </c>
      <c r="Q4074" s="29">
        <v>9800</v>
      </c>
      <c r="R4074" s="31">
        <v>45642</v>
      </c>
      <c r="S4074" s="31" t="s">
        <v>3121</v>
      </c>
      <c r="T4074" s="95" t="str">
        <f t="shared" si="319"/>
        <v>2024 12</v>
      </c>
      <c r="U4074" s="32">
        <f t="shared" si="316"/>
        <v>2989.7402126410561</v>
      </c>
      <c r="V4074" s="22">
        <f t="shared" si="317"/>
        <v>0.43900531051554698</v>
      </c>
      <c r="X4074" s="33"/>
      <c r="Y4074" s="33"/>
    </row>
    <row r="4075" spans="1:25" x14ac:dyDescent="0.2">
      <c r="A4075" s="93" t="s">
        <v>2571</v>
      </c>
      <c r="B4075" s="94" t="str">
        <f>IFERROR(VLOOKUP($A4075,HeadJournal!$A$1:$NTR$890,COLUMN(HeadJournal!B$1),0),"")</f>
        <v>720000489634</v>
      </c>
      <c r="C4075" s="94" t="str">
        <f>IFERROR(VLOOKUP($A4075,HeadJournal!$A$1:$NTR$890,COLUMN(HeadJournal!C$1),0),"")</f>
        <v>iHerb_OA CZN6870</v>
      </c>
      <c r="D4075" s="125" t="str">
        <f>IFERROR(VLOOKUP($A4075,HeadJournal!$A$1:$NTR$890,COLUMN(HeadJournal!D$1),0),"")</f>
        <v>Доставлен</v>
      </c>
      <c r="E4075" s="95">
        <f>IFERROR(VLOOKUP($A4075,HeadJournal!$A$1:$NTR$890,COLUMN(HeadJournal!G$1),0),"")</f>
        <v>45612</v>
      </c>
      <c r="F4075" s="95" t="str">
        <f t="shared" si="318"/>
        <v>2024 11</v>
      </c>
      <c r="G4075" s="97" t="s">
        <v>5</v>
      </c>
      <c r="H4075" s="161" t="s">
        <v>2564</v>
      </c>
      <c r="I4075" s="97" t="s">
        <v>2052</v>
      </c>
      <c r="J4075" s="97" t="s">
        <v>3859</v>
      </c>
      <c r="K4075" s="29">
        <v>36.369999999999997</v>
      </c>
      <c r="L4075" s="29">
        <v>-10.91</v>
      </c>
      <c r="M4075" s="30">
        <f>IFERROR(VLOOKUP($A4075,HeadJournal!$A$1:$J$890,COLUMN(HeadJournal!I$1),0)*($K4075+$L4075)/(SUMIF($A:$A,$A4075,$K:$K)+SUMIF($A:$A,$A4075,$L:$L)),0)</f>
        <v>-1.5593855586719718</v>
      </c>
      <c r="N4075" s="30">
        <f>IFERROR((VLOOKUP($A4075,HeadJournal!$A$1:$K$890,COLUMN(HeadJournal!K$1),0)-VLOOKUP($A4075,HeadJournal!$A$1:$K$890,COLUMN(HeadJournal!J$1),0))*($K4075+$L4075)/(SUMIF($A:$A,$A4075,$K:$K)+SUMIF($A:$A,$A4075,$L:$L)),0)</f>
        <v>-4.7199577463837061E-15</v>
      </c>
      <c r="O4075" s="30">
        <f>IFERROR((VLOOKUP($A4075,HeadJournal!$A$1:$L$890,COLUMN(HeadJournal!L$1),0)*($K4075+$L4075)/(SUMIF($A:$A,$A4075,$K:$K)+SUMIF($A:$A,$A4075,$L:$L)))/VLOOKUP($A4075,HeadJournal!$A$1:$L$890,COLUMN(HeadJournal!H$1),0),0)</f>
        <v>0.65162867027644766</v>
      </c>
      <c r="P4075" s="30">
        <f>IFERROR(SUM(K4075:O4075)*VLOOKUP($A4075,HeadJournal!$A$1:$L$890,COLUMN(HeadJournal!H$1),0),0)</f>
        <v>2675.759478181461</v>
      </c>
      <c r="Q4075" s="29">
        <v>4400</v>
      </c>
      <c r="R4075" s="31">
        <v>45644</v>
      </c>
      <c r="S4075" s="31" t="s">
        <v>3121</v>
      </c>
      <c r="T4075" s="95" t="str">
        <f t="shared" si="319"/>
        <v>2024 12</v>
      </c>
      <c r="U4075" s="32">
        <f t="shared" si="316"/>
        <v>1724.240521818539</v>
      </c>
      <c r="V4075" s="22">
        <f t="shared" si="317"/>
        <v>0.64439294184632501</v>
      </c>
      <c r="X4075" s="33"/>
      <c r="Y4075" s="33"/>
    </row>
    <row r="4076" spans="1:25" x14ac:dyDescent="0.2">
      <c r="A4076" s="93" t="s">
        <v>2571</v>
      </c>
      <c r="B4076" s="94" t="str">
        <f>IFERROR(VLOOKUP($A4076,HeadJournal!$A$1:$NTR$890,COLUMN(HeadJournal!B$1),0),"")</f>
        <v>720000489634</v>
      </c>
      <c r="C4076" s="94" t="str">
        <f>IFERROR(VLOOKUP($A4076,HeadJournal!$A$1:$NTR$890,COLUMN(HeadJournal!C$1),0),"")</f>
        <v>iHerb_OA CZN6870</v>
      </c>
      <c r="D4076" s="125" t="str">
        <f>IFERROR(VLOOKUP($A4076,HeadJournal!$A$1:$NTR$890,COLUMN(HeadJournal!D$1),0),"")</f>
        <v>Доставлен</v>
      </c>
      <c r="E4076" s="95">
        <f>IFERROR(VLOOKUP($A4076,HeadJournal!$A$1:$NTR$890,COLUMN(HeadJournal!G$1),0),"")</f>
        <v>45612</v>
      </c>
      <c r="F4076" s="95" t="str">
        <f t="shared" si="318"/>
        <v>2024 11</v>
      </c>
      <c r="G4076" s="97" t="s">
        <v>5</v>
      </c>
      <c r="H4076" s="161" t="s">
        <v>2565</v>
      </c>
      <c r="I4076" s="97" t="s">
        <v>2052</v>
      </c>
      <c r="J4076" s="97" t="s">
        <v>3829</v>
      </c>
      <c r="K4076" s="29">
        <v>31.02</v>
      </c>
      <c r="L4076" s="29">
        <v>-9.31</v>
      </c>
      <c r="M4076" s="30">
        <f>IFERROR(VLOOKUP($A4076,HeadJournal!$A$1:$J$890,COLUMN(HeadJournal!I$1),0)*($K4076+$L4076)/(SUMIF($A:$A,$A4076,$K:$K)+SUMIF($A:$A,$A4076,$L:$L)),0)</f>
        <v>-1.32970386797991</v>
      </c>
      <c r="N4076" s="30">
        <f>IFERROR((VLOOKUP($A4076,HeadJournal!$A$1:$K$890,COLUMN(HeadJournal!K$1),0)-VLOOKUP($A4076,HeadJournal!$A$1:$K$890,COLUMN(HeadJournal!J$1),0))*($K4076+$L4076)/(SUMIF($A:$A,$A4076,$K:$K)+SUMIF($A:$A,$A4076,$L:$L)),0)</f>
        <v>-4.0247558002352812E-15</v>
      </c>
      <c r="O4076" s="30">
        <f>IFERROR((VLOOKUP($A4076,HeadJournal!$A$1:$L$890,COLUMN(HeadJournal!L$1),0)*($K4076+$L4076)/(SUMIF($A:$A,$A4076,$K:$K)+SUMIF($A:$A,$A4076,$L:$L)))/VLOOKUP($A4076,HeadJournal!$A$1:$L$890,COLUMN(HeadJournal!H$1),0),0)</f>
        <v>0.55565037045175492</v>
      </c>
      <c r="P4076" s="30">
        <f>IFERROR(SUM(K4076:O4076)*VLOOKUP($A4076,HeadJournal!$A$1:$L$890,COLUMN(HeadJournal!H$1),0),0)</f>
        <v>2281.6472219685597</v>
      </c>
      <c r="Q4076" s="29">
        <v>3600</v>
      </c>
      <c r="R4076" s="31">
        <v>45712</v>
      </c>
      <c r="S4076" s="31" t="s">
        <v>3121</v>
      </c>
      <c r="T4076" s="95" t="str">
        <f t="shared" si="319"/>
        <v>2025 02</v>
      </c>
      <c r="U4076" s="32">
        <f t="shared" si="316"/>
        <v>1318.3527780314403</v>
      </c>
      <c r="V4076" s="22">
        <f t="shared" si="317"/>
        <v>0.57780745653308829</v>
      </c>
      <c r="X4076" s="33"/>
      <c r="Y4076" s="33"/>
    </row>
    <row r="4077" spans="1:25" x14ac:dyDescent="0.2">
      <c r="A4077" s="93" t="s">
        <v>2571</v>
      </c>
      <c r="B4077" s="94" t="str">
        <f>IFERROR(VLOOKUP($A4077,HeadJournal!$A$1:$NTR$890,COLUMN(HeadJournal!B$1),0),"")</f>
        <v>720000489634</v>
      </c>
      <c r="C4077" s="94" t="str">
        <f>IFERROR(VLOOKUP($A4077,HeadJournal!$A$1:$NTR$890,COLUMN(HeadJournal!C$1),0),"")</f>
        <v>iHerb_OA CZN6870</v>
      </c>
      <c r="D4077" s="125" t="str">
        <f>IFERROR(VLOOKUP($A4077,HeadJournal!$A$1:$NTR$890,COLUMN(HeadJournal!D$1),0),"")</f>
        <v>Доставлен</v>
      </c>
      <c r="E4077" s="95">
        <f>IFERROR(VLOOKUP($A4077,HeadJournal!$A$1:$NTR$890,COLUMN(HeadJournal!G$1),0),"")</f>
        <v>45612</v>
      </c>
      <c r="F4077" s="95" t="str">
        <f t="shared" si="318"/>
        <v>2024 11</v>
      </c>
      <c r="G4077" s="97" t="s">
        <v>5</v>
      </c>
      <c r="H4077" s="161" t="s">
        <v>2051</v>
      </c>
      <c r="I4077" s="97" t="s">
        <v>2052</v>
      </c>
      <c r="J4077" s="97" t="s">
        <v>3097</v>
      </c>
      <c r="K4077" s="29">
        <v>21.04</v>
      </c>
      <c r="L4077" s="29">
        <v>-6.31</v>
      </c>
      <c r="M4077" s="30">
        <f>IFERROR(VLOOKUP($A4077,HeadJournal!$A$1:$J$890,COLUMN(HeadJournal!I$1),0)*($K4077+$L4077)/(SUMIF($A:$A,$A4077,$K:$K)+SUMIF($A:$A,$A4077,$L:$L)),0)</f>
        <v>-0.90218968103841901</v>
      </c>
      <c r="N4077" s="30">
        <f>IFERROR((VLOOKUP($A4077,HeadJournal!$A$1:$K$890,COLUMN(HeadJournal!K$1),0)-VLOOKUP($A4077,HeadJournal!$A$1:$K$890,COLUMN(HeadJournal!J$1),0))*($K4077+$L4077)/(SUMIF($A:$A,$A4077,$K:$K)+SUMIF($A:$A,$A4077,$L:$L)),0)</f>
        <v>-2.7307532444710134E-15</v>
      </c>
      <c r="O4077" s="30">
        <f>IFERROR((VLOOKUP($A4077,HeadJournal!$A$1:$L$890,COLUMN(HeadJournal!L$1),0)*($K4077+$L4077)/(SUMIF($A:$A,$A4077,$K:$K)+SUMIF($A:$A,$A4077,$L:$L)))/VLOOKUP($A4077,HeadJournal!$A$1:$L$890,COLUMN(HeadJournal!H$1),0),0)</f>
        <v>0.37700276171139335</v>
      </c>
      <c r="P4077" s="30">
        <f>IFERROR(SUM(K4077:O4077)*VLOOKUP($A4077,HeadJournal!$A$1:$L$890,COLUMN(HeadJournal!H$1),0),0)</f>
        <v>1548.0729424042784</v>
      </c>
      <c r="Q4077" s="29">
        <v>2400</v>
      </c>
      <c r="R4077" s="31">
        <v>45639</v>
      </c>
      <c r="S4077" s="31" t="s">
        <v>3121</v>
      </c>
      <c r="T4077" s="95" t="str">
        <f t="shared" si="319"/>
        <v>2024 12</v>
      </c>
      <c r="U4077" s="32">
        <f t="shared" si="316"/>
        <v>851.92705759572164</v>
      </c>
      <c r="V4077" s="22">
        <f t="shared" si="317"/>
        <v>0.55031454543260239</v>
      </c>
      <c r="X4077" s="33"/>
      <c r="Y4077" s="33"/>
    </row>
    <row r="4078" spans="1:25" x14ac:dyDescent="0.2">
      <c r="A4078" s="93" t="s">
        <v>2571</v>
      </c>
      <c r="B4078" s="94" t="str">
        <f>IFERROR(VLOOKUP($A4078,HeadJournal!$A$1:$NTR$890,COLUMN(HeadJournal!B$1),0),"")</f>
        <v>720000489634</v>
      </c>
      <c r="C4078" s="94" t="str">
        <f>IFERROR(VLOOKUP($A4078,HeadJournal!$A$1:$NTR$890,COLUMN(HeadJournal!C$1),0),"")</f>
        <v>iHerb_OA CZN6870</v>
      </c>
      <c r="D4078" s="125" t="str">
        <f>IFERROR(VLOOKUP($A4078,HeadJournal!$A$1:$NTR$890,COLUMN(HeadJournal!D$1),0),"")</f>
        <v>Доставлен</v>
      </c>
      <c r="E4078" s="95">
        <f>IFERROR(VLOOKUP($A4078,HeadJournal!$A$1:$NTR$890,COLUMN(HeadJournal!G$1),0),"")</f>
        <v>45612</v>
      </c>
      <c r="F4078" s="95" t="str">
        <f t="shared" si="318"/>
        <v>2024 11</v>
      </c>
      <c r="G4078" s="97" t="s">
        <v>5</v>
      </c>
      <c r="H4078" s="161" t="s">
        <v>2051</v>
      </c>
      <c r="I4078" s="97" t="s">
        <v>2052</v>
      </c>
      <c r="J4078" s="97" t="s">
        <v>3097</v>
      </c>
      <c r="K4078" s="29">
        <v>21.04</v>
      </c>
      <c r="L4078" s="29">
        <v>-6.31</v>
      </c>
      <c r="M4078" s="30">
        <f>IFERROR(VLOOKUP($A4078,HeadJournal!$A$1:$J$890,COLUMN(HeadJournal!I$1),0)*($K4078+$L4078)/(SUMIF($A:$A,$A4078,$K:$K)+SUMIF($A:$A,$A4078,$L:$L)),0)</f>
        <v>-0.90218968103841901</v>
      </c>
      <c r="N4078" s="30">
        <f>IFERROR((VLOOKUP($A4078,HeadJournal!$A$1:$K$890,COLUMN(HeadJournal!K$1),0)-VLOOKUP($A4078,HeadJournal!$A$1:$K$890,COLUMN(HeadJournal!J$1),0))*($K4078+$L4078)/(SUMIF($A:$A,$A4078,$K:$K)+SUMIF($A:$A,$A4078,$L:$L)),0)</f>
        <v>-2.7307532444710134E-15</v>
      </c>
      <c r="O4078" s="30">
        <f>IFERROR((VLOOKUP($A4078,HeadJournal!$A$1:$L$890,COLUMN(HeadJournal!L$1),0)*($K4078+$L4078)/(SUMIF($A:$A,$A4078,$K:$K)+SUMIF($A:$A,$A4078,$L:$L)))/VLOOKUP($A4078,HeadJournal!$A$1:$L$890,COLUMN(HeadJournal!H$1),0),0)</f>
        <v>0.37700276171139335</v>
      </c>
      <c r="P4078" s="30">
        <f>IFERROR(SUM(K4078:O4078)*VLOOKUP($A4078,HeadJournal!$A$1:$L$890,COLUMN(HeadJournal!H$1),0),0)</f>
        <v>1548.0729424042784</v>
      </c>
      <c r="Q4078" s="29">
        <v>2300</v>
      </c>
      <c r="R4078" s="31">
        <v>45652</v>
      </c>
      <c r="S4078" s="31" t="s">
        <v>3121</v>
      </c>
      <c r="T4078" s="95" t="str">
        <f t="shared" si="319"/>
        <v>2024 12</v>
      </c>
      <c r="U4078" s="32">
        <f t="shared" si="316"/>
        <v>751.92705759572164</v>
      </c>
      <c r="V4078" s="22">
        <f t="shared" si="317"/>
        <v>0.48571810603957727</v>
      </c>
      <c r="X4078" s="33"/>
      <c r="Y4078" s="33"/>
    </row>
    <row r="4079" spans="1:25" x14ac:dyDescent="0.2">
      <c r="A4079" s="93" t="s">
        <v>2571</v>
      </c>
      <c r="B4079" s="94" t="str">
        <f>IFERROR(VLOOKUP($A4079,HeadJournal!$A$1:$NTR$890,COLUMN(HeadJournal!B$1),0),"")</f>
        <v>720000489634</v>
      </c>
      <c r="C4079" s="94" t="str">
        <f>IFERROR(VLOOKUP($A4079,HeadJournal!$A$1:$NTR$890,COLUMN(HeadJournal!C$1),0),"")</f>
        <v>iHerb_OA CZN6870</v>
      </c>
      <c r="D4079" s="125" t="str">
        <f>IFERROR(VLOOKUP($A4079,HeadJournal!$A$1:$NTR$890,COLUMN(HeadJournal!D$1),0),"")</f>
        <v>Доставлен</v>
      </c>
      <c r="E4079" s="95">
        <f>IFERROR(VLOOKUP($A4079,HeadJournal!$A$1:$NTR$890,COLUMN(HeadJournal!G$1),0),"")</f>
        <v>45612</v>
      </c>
      <c r="F4079" s="95" t="str">
        <f t="shared" si="318"/>
        <v>2024 11</v>
      </c>
      <c r="G4079" s="97" t="s">
        <v>7</v>
      </c>
      <c r="H4079" s="161" t="s">
        <v>2566</v>
      </c>
      <c r="I4079" s="97" t="s">
        <v>2533</v>
      </c>
      <c r="J4079" s="97" t="s">
        <v>2567</v>
      </c>
      <c r="K4079" s="29">
        <v>7.08</v>
      </c>
      <c r="L4079" s="29">
        <v>-2.12</v>
      </c>
      <c r="M4079" s="30">
        <f>IFERROR(VLOOKUP($A4079,HeadJournal!$A$1:$J$890,COLUMN(HeadJournal!I$1),0)*($K4079+$L4079)/(SUMIF($A:$A,$A4079,$K:$K)+SUMIF($A:$A,$A4079,$L:$L)),0)</f>
        <v>-0.30379231622203379</v>
      </c>
      <c r="N4079" s="30">
        <f>IFERROR((VLOOKUP($A4079,HeadJournal!$A$1:$K$890,COLUMN(HeadJournal!K$1),0)-VLOOKUP($A4079,HeadJournal!$A$1:$K$890,COLUMN(HeadJournal!J$1),0))*($K4079+$L4079)/(SUMIF($A:$A,$A4079,$K:$K)+SUMIF($A:$A,$A4079,$L:$L)),0)</f>
        <v>-9.1952044077231664E-16</v>
      </c>
      <c r="O4079" s="30">
        <f>IFERROR((VLOOKUP($A4079,HeadJournal!$A$1:$L$890,COLUMN(HeadJournal!L$1),0)*($K4079+$L4079)/(SUMIF($A:$A,$A4079,$K:$K)+SUMIF($A:$A,$A4079,$L:$L)))/VLOOKUP($A4079,HeadJournal!$A$1:$L$890,COLUMN(HeadJournal!H$1),0),0)</f>
        <v>0.12694729790146034</v>
      </c>
      <c r="P4079" s="30">
        <f>IFERROR(SUM(K4079:O4079)*VLOOKUP($A4079,HeadJournal!$A$1:$L$890,COLUMN(HeadJournal!H$1),0),0)</f>
        <v>521.27914421759817</v>
      </c>
      <c r="Q4079" s="29"/>
      <c r="R4079" s="31"/>
      <c r="S4079" s="31"/>
      <c r="T4079" s="95" t="str">
        <f t="shared" si="319"/>
        <v/>
      </c>
      <c r="U4079" s="32">
        <f t="shared" si="316"/>
        <v>-521.27914421759817</v>
      </c>
      <c r="V4079" s="22" t="str">
        <f t="shared" si="317"/>
        <v/>
      </c>
      <c r="X4079" s="33"/>
      <c r="Y4079" s="33"/>
    </row>
    <row r="4080" spans="1:25" x14ac:dyDescent="0.2">
      <c r="A4080" s="93" t="s">
        <v>2571</v>
      </c>
      <c r="B4080" s="94" t="str">
        <f>IFERROR(VLOOKUP($A4080,HeadJournal!$A$1:$NTR$890,COLUMN(HeadJournal!B$1),0),"")</f>
        <v>720000489634</v>
      </c>
      <c r="C4080" s="94" t="str">
        <f>IFERROR(VLOOKUP($A4080,HeadJournal!$A$1:$NTR$890,COLUMN(HeadJournal!C$1),0),"")</f>
        <v>iHerb_OA CZN6870</v>
      </c>
      <c r="D4080" s="125" t="str">
        <f>IFERROR(VLOOKUP($A4080,HeadJournal!$A$1:$NTR$890,COLUMN(HeadJournal!D$1),0),"")</f>
        <v>Доставлен</v>
      </c>
      <c r="E4080" s="95">
        <f>IFERROR(VLOOKUP($A4080,HeadJournal!$A$1:$NTR$890,COLUMN(HeadJournal!G$1),0),"")</f>
        <v>45612</v>
      </c>
      <c r="F4080" s="95" t="str">
        <f t="shared" si="318"/>
        <v>2024 11</v>
      </c>
      <c r="G4080" s="97" t="s">
        <v>5</v>
      </c>
      <c r="H4080" s="161" t="s">
        <v>2568</v>
      </c>
      <c r="I4080" s="97" t="s">
        <v>2569</v>
      </c>
      <c r="J4080" s="97" t="s">
        <v>2570</v>
      </c>
      <c r="K4080" s="29">
        <v>13.84</v>
      </c>
      <c r="L4080" s="29">
        <v>-6.92</v>
      </c>
      <c r="M4080" s="30">
        <f>IFERROR(VLOOKUP($A4080,HeadJournal!$A$1:$J$890,COLUMN(HeadJournal!I$1),0)*($K4080+$L4080)/(SUMIF($A:$A,$A4080,$K:$K)+SUMIF($A:$A,$A4080,$L:$L)),0)</f>
        <v>-0.42383927989041814</v>
      </c>
      <c r="N4080" s="30">
        <f>IFERROR((VLOOKUP($A4080,HeadJournal!$A$1:$K$890,COLUMN(HeadJournal!K$1),0)-VLOOKUP($A4080,HeadJournal!$A$1:$K$890,COLUMN(HeadJournal!J$1),0))*($K4080+$L4080)/(SUMIF($A:$A,$A4080,$K:$K)+SUMIF($A:$A,$A4080,$L:$L)),0)</f>
        <v>-1.2828793246258935E-15</v>
      </c>
      <c r="O4080" s="30">
        <f>IFERROR((VLOOKUP($A4080,HeadJournal!$A$1:$L$890,COLUMN(HeadJournal!L$1),0)*($K4080+$L4080)/(SUMIF($A:$A,$A4080,$K:$K)+SUMIF($A:$A,$A4080,$L:$L)))/VLOOKUP($A4080,HeadJournal!$A$1:$L$890,COLUMN(HeadJournal!H$1),0),0)</f>
        <v>0.17711195594316645</v>
      </c>
      <c r="P4080" s="30">
        <f>IFERROR(SUM(K4080:O4080)*VLOOKUP($A4080,HeadJournal!$A$1:$L$890,COLUMN(HeadJournal!H$1),0),0)</f>
        <v>727.26848346487486</v>
      </c>
      <c r="Q4080" s="29">
        <v>1600</v>
      </c>
      <c r="R4080" s="31">
        <v>45691</v>
      </c>
      <c r="S4080" s="31" t="s">
        <v>3121</v>
      </c>
      <c r="T4080" s="95" t="str">
        <f t="shared" si="319"/>
        <v>2025 02</v>
      </c>
      <c r="U4080" s="32">
        <f t="shared" si="316"/>
        <v>872.73151653512514</v>
      </c>
      <c r="V4080" s="22">
        <f t="shared" si="317"/>
        <v>1.2000128375936638</v>
      </c>
      <c r="X4080" s="33"/>
      <c r="Y4080" s="33"/>
    </row>
    <row r="4081" spans="1:25" x14ac:dyDescent="0.2">
      <c r="A4081" s="93" t="s">
        <v>2590</v>
      </c>
      <c r="B4081" s="94" t="str">
        <f>IFERROR(VLOOKUP($A4081,HeadJournal!$A$1:$NTR$890,COLUMN(HeadJournal!B$1),0),"")</f>
        <v>720000497681</v>
      </c>
      <c r="C4081" s="94" t="str">
        <f>IFERROR(VLOOKUP($A4081,HeadJournal!$A$1:$NTR$890,COLUMN(HeadJournal!C$1),0),"")</f>
        <v>iHerb_OA CZN6870</v>
      </c>
      <c r="D4081" s="125" t="str">
        <f>IFERROR(VLOOKUP($A4081,HeadJournal!$A$1:$NTR$890,COLUMN(HeadJournal!D$1),0),"")</f>
        <v>Доставлен</v>
      </c>
      <c r="E4081" s="95">
        <f>IFERROR(VLOOKUP($A4081,HeadJournal!$A$1:$NTR$890,COLUMN(HeadJournal!G$1),0),"")</f>
        <v>45621</v>
      </c>
      <c r="F4081" s="95" t="str">
        <f t="shared" si="318"/>
        <v>2024 11</v>
      </c>
      <c r="G4081" s="97" t="s">
        <v>5</v>
      </c>
      <c r="H4081" s="161" t="s">
        <v>2573</v>
      </c>
      <c r="I4081" s="97" t="s">
        <v>2006</v>
      </c>
      <c r="J4081" s="97" t="s">
        <v>2574</v>
      </c>
      <c r="K4081" s="29">
        <v>21.5</v>
      </c>
      <c r="L4081" s="29">
        <v>-4.7300000000000004</v>
      </c>
      <c r="M4081" s="30">
        <f>IFERROR(VLOOKUP($A4081,HeadJournal!$A$1:$J$890,COLUMN(HeadJournal!I$1),0)*($K4081+$L4081)/(SUMIF($A:$A,$A4081,$K:$K)+SUMIF($A:$A,$A4081,$L:$L)),0)</f>
        <v>-1.4175339820248087</v>
      </c>
      <c r="N4081" s="30">
        <f>IFERROR((VLOOKUP($A4081,HeadJournal!$A$1:$K$890,COLUMN(HeadJournal!K$1),0)-VLOOKUP($A4081,HeadJournal!$A$1:$K$890,COLUMN(HeadJournal!J$1),0))*($K4081+$L4081)/(SUMIF($A:$A,$A4081,$K:$K)+SUMIF($A:$A,$A4081,$L:$L)),0)</f>
        <v>0</v>
      </c>
      <c r="O4081" s="30">
        <f>IFERROR((VLOOKUP($A4081,HeadJournal!$A$1:$L$890,COLUMN(HeadJournal!L$1),0)*($K4081+$L4081)/(SUMIF($A:$A,$A4081,$K:$K)+SUMIF($A:$A,$A4081,$L:$L)))/VLOOKUP($A4081,HeadJournal!$A$1:$L$890,COLUMN(HeadJournal!H$1),0),0)</f>
        <v>0.96489759703430178</v>
      </c>
      <c r="P4081" s="30">
        <f>IFERROR(SUM(K4081:O4081)*VLOOKUP($A4081,HeadJournal!$A$1:$L$890,COLUMN(HeadJournal!H$1),0),0)</f>
        <v>1888.2320782886429</v>
      </c>
      <c r="Q4081" s="29">
        <v>2800</v>
      </c>
      <c r="R4081" s="31">
        <v>45761</v>
      </c>
      <c r="S4081" s="31" t="s">
        <v>3121</v>
      </c>
      <c r="T4081" s="95" t="str">
        <f t="shared" si="319"/>
        <v>2025 04</v>
      </c>
      <c r="U4081" s="32">
        <f t="shared" si="316"/>
        <v>911.76792171135708</v>
      </c>
      <c r="V4081" s="22">
        <f t="shared" si="317"/>
        <v>0.48286856906790698</v>
      </c>
      <c r="X4081" s="33"/>
      <c r="Y4081" s="33"/>
    </row>
    <row r="4082" spans="1:25" x14ac:dyDescent="0.2">
      <c r="A4082" s="93" t="s">
        <v>2590</v>
      </c>
      <c r="B4082" s="94" t="str">
        <f>IFERROR(VLOOKUP($A4082,HeadJournal!$A$1:$NTR$890,COLUMN(HeadJournal!B$1),0),"")</f>
        <v>720000497681</v>
      </c>
      <c r="C4082" s="94" t="str">
        <f>IFERROR(VLOOKUP($A4082,HeadJournal!$A$1:$NTR$890,COLUMN(HeadJournal!C$1),0),"")</f>
        <v>iHerb_OA CZN6870</v>
      </c>
      <c r="D4082" s="125" t="str">
        <f>IFERROR(VLOOKUP($A4082,HeadJournal!$A$1:$NTR$890,COLUMN(HeadJournal!D$1),0),"")</f>
        <v>Доставлен</v>
      </c>
      <c r="E4082" s="95">
        <f>IFERROR(VLOOKUP($A4082,HeadJournal!$A$1:$NTR$890,COLUMN(HeadJournal!G$1),0),"")</f>
        <v>45621</v>
      </c>
      <c r="F4082" s="95" t="str">
        <f t="shared" si="318"/>
        <v>2024 11</v>
      </c>
      <c r="G4082" s="97" t="s">
        <v>5</v>
      </c>
      <c r="H4082" s="161" t="s">
        <v>2575</v>
      </c>
      <c r="I4082" s="97" t="s">
        <v>2036</v>
      </c>
      <c r="J4082" s="97" t="s">
        <v>2576</v>
      </c>
      <c r="K4082" s="29">
        <v>12.83</v>
      </c>
      <c r="L4082" s="29">
        <v>-2.82</v>
      </c>
      <c r="M4082" s="30">
        <f>IFERROR(VLOOKUP($A4082,HeadJournal!$A$1:$J$890,COLUMN(HeadJournal!I$1),0)*($K4082+$L4082)/(SUMIF($A:$A,$A4082,$K:$K)+SUMIF($A:$A,$A4082,$L:$L)),0)</f>
        <v>-0.84612493500705643</v>
      </c>
      <c r="N4082" s="30">
        <f>IFERROR((VLOOKUP($A4082,HeadJournal!$A$1:$K$890,COLUMN(HeadJournal!K$1),0)-VLOOKUP($A4082,HeadJournal!$A$1:$K$890,COLUMN(HeadJournal!J$1),0))*($K4082+$L4082)/(SUMIF($A:$A,$A4082,$K:$K)+SUMIF($A:$A,$A4082,$L:$L)),0)</f>
        <v>0</v>
      </c>
      <c r="O4082" s="30">
        <f>IFERROR((VLOOKUP($A4082,HeadJournal!$A$1:$L$890,COLUMN(HeadJournal!L$1),0)*($K4082+$L4082)/(SUMIF($A:$A,$A4082,$K:$K)+SUMIF($A:$A,$A4082,$L:$L)))/VLOOKUP($A4082,HeadJournal!$A$1:$L$890,COLUMN(HeadJournal!H$1),0),0)</f>
        <v>0.57594662768714144</v>
      </c>
      <c r="P4082" s="30">
        <f>IFERROR(SUM(K4082:O4082)*VLOOKUP($A4082,HeadJournal!$A$1:$L$890,COLUMN(HeadJournal!H$1),0),0)</f>
        <v>1127.0842637846938</v>
      </c>
      <c r="Q4082" s="29">
        <v>1800</v>
      </c>
      <c r="R4082" s="31">
        <v>45661</v>
      </c>
      <c r="S4082" s="31" t="s">
        <v>3121</v>
      </c>
      <c r="T4082" s="95" t="str">
        <f t="shared" si="319"/>
        <v>2025 01</v>
      </c>
      <c r="U4082" s="32">
        <f t="shared" si="316"/>
        <v>672.9157362153062</v>
      </c>
      <c r="V4082" s="22">
        <f t="shared" si="317"/>
        <v>0.59704119544326528</v>
      </c>
      <c r="X4082" s="33"/>
      <c r="Y4082" s="33"/>
    </row>
    <row r="4083" spans="1:25" x14ac:dyDescent="0.2">
      <c r="A4083" s="93" t="s">
        <v>2590</v>
      </c>
      <c r="B4083" s="94" t="str">
        <f>IFERROR(VLOOKUP($A4083,HeadJournal!$A$1:$NTR$890,COLUMN(HeadJournal!B$1),0),"")</f>
        <v>720000497681</v>
      </c>
      <c r="C4083" s="94" t="str">
        <f>IFERROR(VLOOKUP($A4083,HeadJournal!$A$1:$NTR$890,COLUMN(HeadJournal!C$1),0),"")</f>
        <v>iHerb_OA CZN6870</v>
      </c>
      <c r="D4083" s="125" t="str">
        <f>IFERROR(VLOOKUP($A4083,HeadJournal!$A$1:$NTR$890,COLUMN(HeadJournal!D$1),0),"")</f>
        <v>Доставлен</v>
      </c>
      <c r="E4083" s="95">
        <f>IFERROR(VLOOKUP($A4083,HeadJournal!$A$1:$NTR$890,COLUMN(HeadJournal!G$1),0),"")</f>
        <v>45621</v>
      </c>
      <c r="F4083" s="95" t="str">
        <f t="shared" si="318"/>
        <v>2024 11</v>
      </c>
      <c r="G4083" s="97" t="s">
        <v>5</v>
      </c>
      <c r="H4083" s="161" t="s">
        <v>2577</v>
      </c>
      <c r="I4083" s="97" t="s">
        <v>2578</v>
      </c>
      <c r="J4083" s="97" t="s">
        <v>2579</v>
      </c>
      <c r="K4083" s="29">
        <v>26.89</v>
      </c>
      <c r="L4083" s="29">
        <v>-5.92</v>
      </c>
      <c r="M4083" s="30">
        <f>IFERROR(VLOOKUP($A4083,HeadJournal!$A$1:$J$890,COLUMN(HeadJournal!I$1),0)*($K4083+$L4083)/(SUMIF($A:$A,$A4083,$K:$K)+SUMIF($A:$A,$A4083,$L:$L)),0)</f>
        <v>-1.7725514372725248</v>
      </c>
      <c r="N4083" s="30">
        <f>IFERROR((VLOOKUP($A4083,HeadJournal!$A$1:$K$890,COLUMN(HeadJournal!K$1),0)-VLOOKUP($A4083,HeadJournal!$A$1:$K$890,COLUMN(HeadJournal!J$1),0))*($K4083+$L4083)/(SUMIF($A:$A,$A4083,$K:$K)+SUMIF($A:$A,$A4083,$L:$L)),0)</f>
        <v>0</v>
      </c>
      <c r="O4083" s="30">
        <f>IFERROR((VLOOKUP($A4083,HeadJournal!$A$1:$L$890,COLUMN(HeadJournal!L$1),0)*($K4083+$L4083)/(SUMIF($A:$A,$A4083,$K:$K)+SUMIF($A:$A,$A4083,$L:$L)))/VLOOKUP($A4083,HeadJournal!$A$1:$L$890,COLUMN(HeadJournal!H$1),0),0)</f>
        <v>1.2065535247352004</v>
      </c>
      <c r="P4083" s="30">
        <f>IFERROR(SUM(K4083:O4083)*VLOOKUP($A4083,HeadJournal!$A$1:$L$890,COLUMN(HeadJournal!H$1),0),0)</f>
        <v>2361.1345665899125</v>
      </c>
      <c r="Q4083" s="29">
        <v>3800</v>
      </c>
      <c r="R4083" s="31">
        <v>45661</v>
      </c>
      <c r="S4083" s="31" t="s">
        <v>3121</v>
      </c>
      <c r="T4083" s="95" t="str">
        <f t="shared" si="319"/>
        <v>2025 01</v>
      </c>
      <c r="U4083" s="32">
        <f t="shared" si="316"/>
        <v>1438.8654334100875</v>
      </c>
      <c r="V4083" s="22">
        <f t="shared" si="317"/>
        <v>0.60939577683121227</v>
      </c>
      <c r="X4083" s="33"/>
      <c r="Y4083" s="33"/>
    </row>
    <row r="4084" spans="1:25" x14ac:dyDescent="0.2">
      <c r="A4084" s="93" t="s">
        <v>2590</v>
      </c>
      <c r="B4084" s="94" t="str">
        <f>IFERROR(VLOOKUP($A4084,HeadJournal!$A$1:$NTR$890,COLUMN(HeadJournal!B$1),0),"")</f>
        <v>720000497681</v>
      </c>
      <c r="C4084" s="94" t="str">
        <f>IFERROR(VLOOKUP($A4084,HeadJournal!$A$1:$NTR$890,COLUMN(HeadJournal!C$1),0),"")</f>
        <v>iHerb_OA CZN6870</v>
      </c>
      <c r="D4084" s="125" t="str">
        <f>IFERROR(VLOOKUP($A4084,HeadJournal!$A$1:$NTR$890,COLUMN(HeadJournal!D$1),0),"")</f>
        <v>Доставлен</v>
      </c>
      <c r="E4084" s="95">
        <f>IFERROR(VLOOKUP($A4084,HeadJournal!$A$1:$NTR$890,COLUMN(HeadJournal!G$1),0),"")</f>
        <v>45621</v>
      </c>
      <c r="F4084" s="95" t="str">
        <f t="shared" si="318"/>
        <v>2024 11</v>
      </c>
      <c r="G4084" s="97" t="s">
        <v>5</v>
      </c>
      <c r="H4084" s="161" t="s">
        <v>2580</v>
      </c>
      <c r="I4084" s="97" t="s">
        <v>2581</v>
      </c>
      <c r="J4084" s="97" t="s">
        <v>2582</v>
      </c>
      <c r="K4084" s="29">
        <v>26.93</v>
      </c>
      <c r="L4084" s="29">
        <v>-5.92</v>
      </c>
      <c r="M4084" s="30">
        <f>IFERROR(VLOOKUP($A4084,HeadJournal!$A$1:$J$890,COLUMN(HeadJournal!I$1),0)*($K4084+$L4084)/(SUMIF($A:$A,$A4084,$K:$K)+SUMIF($A:$A,$A4084,$L:$L)),0)</f>
        <v>-1.7759325558939314</v>
      </c>
      <c r="N4084" s="30">
        <f>IFERROR((VLOOKUP($A4084,HeadJournal!$A$1:$K$890,COLUMN(HeadJournal!K$1),0)-VLOOKUP($A4084,HeadJournal!$A$1:$K$890,COLUMN(HeadJournal!J$1),0))*($K4084+$L4084)/(SUMIF($A:$A,$A4084,$K:$K)+SUMIF($A:$A,$A4084,$L:$L)),0)</f>
        <v>0</v>
      </c>
      <c r="O4084" s="30">
        <f>IFERROR((VLOOKUP($A4084,HeadJournal!$A$1:$L$890,COLUMN(HeadJournal!L$1),0)*($K4084+$L4084)/(SUMIF($A:$A,$A4084,$K:$K)+SUMIF($A:$A,$A4084,$L:$L)))/VLOOKUP($A4084,HeadJournal!$A$1:$L$890,COLUMN(HeadJournal!H$1),0),0)</f>
        <v>1.2088550097609232</v>
      </c>
      <c r="P4084" s="30">
        <f>IFERROR(SUM(K4084:O4084)*VLOOKUP($A4084,HeadJournal!$A$1:$L$890,COLUMN(HeadJournal!H$1),0),0)</f>
        <v>2365.6383998118299</v>
      </c>
      <c r="Q4084" s="29">
        <v>3700</v>
      </c>
      <c r="R4084" s="31">
        <v>45661</v>
      </c>
      <c r="S4084" s="31" t="s">
        <v>3121</v>
      </c>
      <c r="T4084" s="95" t="str">
        <f t="shared" si="319"/>
        <v>2025 01</v>
      </c>
      <c r="U4084" s="32">
        <f t="shared" si="316"/>
        <v>1334.3616001881701</v>
      </c>
      <c r="V4084" s="22">
        <f t="shared" si="317"/>
        <v>0.56405983276831717</v>
      </c>
      <c r="X4084" s="33"/>
      <c r="Y4084" s="33"/>
    </row>
    <row r="4085" spans="1:25" x14ac:dyDescent="0.2">
      <c r="A4085" s="93" t="s">
        <v>2590</v>
      </c>
      <c r="B4085" s="94" t="str">
        <f>IFERROR(VLOOKUP($A4085,HeadJournal!$A$1:$NTR$890,COLUMN(HeadJournal!B$1),0),"")</f>
        <v>720000497681</v>
      </c>
      <c r="C4085" s="94" t="str">
        <f>IFERROR(VLOOKUP($A4085,HeadJournal!$A$1:$NTR$890,COLUMN(HeadJournal!C$1),0),"")</f>
        <v>iHerb_OA CZN6870</v>
      </c>
      <c r="D4085" s="125" t="str">
        <f>IFERROR(VLOOKUP($A4085,HeadJournal!$A$1:$NTR$890,COLUMN(HeadJournal!D$1),0),"")</f>
        <v>Доставлен</v>
      </c>
      <c r="E4085" s="95">
        <f>IFERROR(VLOOKUP($A4085,HeadJournal!$A$1:$NTR$890,COLUMN(HeadJournal!G$1),0),"")</f>
        <v>45621</v>
      </c>
      <c r="F4085" s="95" t="str">
        <f t="shared" si="318"/>
        <v>2024 11</v>
      </c>
      <c r="G4085" s="97" t="s">
        <v>5</v>
      </c>
      <c r="H4085" s="161" t="s">
        <v>2583</v>
      </c>
      <c r="I4085" s="97" t="s">
        <v>2005</v>
      </c>
      <c r="J4085" s="97" t="s">
        <v>2584</v>
      </c>
      <c r="K4085" s="29">
        <v>22.11</v>
      </c>
      <c r="L4085" s="29">
        <v>-4.8600000000000003</v>
      </c>
      <c r="M4085" s="30">
        <f>IFERROR(VLOOKUP($A4085,HeadJournal!$A$1:$J$890,COLUMN(HeadJournal!I$1),0)*($K4085+$L4085)/(SUMIF($A:$A,$A4085,$K:$K)+SUMIF($A:$A,$A4085,$L:$L)),0)</f>
        <v>-1.4581074054816907</v>
      </c>
      <c r="N4085" s="30">
        <f>IFERROR((VLOOKUP($A4085,HeadJournal!$A$1:$K$890,COLUMN(HeadJournal!K$1),0)-VLOOKUP($A4085,HeadJournal!$A$1:$K$890,COLUMN(HeadJournal!J$1),0))*($K4085+$L4085)/(SUMIF($A:$A,$A4085,$K:$K)+SUMIF($A:$A,$A4085,$L:$L)),0)</f>
        <v>0</v>
      </c>
      <c r="O4085" s="30">
        <f>IFERROR((VLOOKUP($A4085,HeadJournal!$A$1:$L$890,COLUMN(HeadJournal!L$1),0)*($K4085+$L4085)/(SUMIF($A:$A,$A4085,$K:$K)+SUMIF($A:$A,$A4085,$L:$L)))/VLOOKUP($A4085,HeadJournal!$A$1:$L$890,COLUMN(HeadJournal!H$1),0),0)</f>
        <v>0.99251541734297599</v>
      </c>
      <c r="P4085" s="30">
        <f>IFERROR(SUM(K4085:O4085)*VLOOKUP($A4085,HeadJournal!$A$1:$L$890,COLUMN(HeadJournal!H$1),0),0)</f>
        <v>1942.2780769516451</v>
      </c>
      <c r="Q4085" s="29">
        <v>3000</v>
      </c>
      <c r="R4085" s="31">
        <v>45661</v>
      </c>
      <c r="S4085" s="31" t="s">
        <v>3121</v>
      </c>
      <c r="T4085" s="95" t="str">
        <f t="shared" si="319"/>
        <v>2025 01</v>
      </c>
      <c r="U4085" s="32">
        <f t="shared" si="316"/>
        <v>1057.7219230483549</v>
      </c>
      <c r="V4085" s="22">
        <f t="shared" si="317"/>
        <v>0.54457800641421128</v>
      </c>
      <c r="X4085" s="33"/>
      <c r="Y4085" s="33"/>
    </row>
    <row r="4086" spans="1:25" x14ac:dyDescent="0.2">
      <c r="A4086" s="93" t="s">
        <v>2590</v>
      </c>
      <c r="B4086" s="94" t="str">
        <f>IFERROR(VLOOKUP($A4086,HeadJournal!$A$1:$NTR$890,COLUMN(HeadJournal!B$1),0),"")</f>
        <v>720000497681</v>
      </c>
      <c r="C4086" s="94" t="str">
        <f>IFERROR(VLOOKUP($A4086,HeadJournal!$A$1:$NTR$890,COLUMN(HeadJournal!C$1),0),"")</f>
        <v>iHerb_OA CZN6870</v>
      </c>
      <c r="D4086" s="125" t="str">
        <f>IFERROR(VLOOKUP($A4086,HeadJournal!$A$1:$NTR$890,COLUMN(HeadJournal!D$1),0),"")</f>
        <v>Доставлен</v>
      </c>
      <c r="E4086" s="95">
        <f>IFERROR(VLOOKUP($A4086,HeadJournal!$A$1:$NTR$890,COLUMN(HeadJournal!G$1),0),"")</f>
        <v>45621</v>
      </c>
      <c r="F4086" s="95" t="str">
        <f t="shared" si="318"/>
        <v>2024 11</v>
      </c>
      <c r="G4086" s="97" t="s">
        <v>5</v>
      </c>
      <c r="H4086" s="161" t="s">
        <v>2044</v>
      </c>
      <c r="I4086" s="97" t="s">
        <v>2045</v>
      </c>
      <c r="J4086" s="97" t="s">
        <v>2046</v>
      </c>
      <c r="K4086" s="29">
        <v>17.420000000000002</v>
      </c>
      <c r="L4086" s="29">
        <v>-3.83</v>
      </c>
      <c r="M4086" s="30">
        <f>IFERROR(VLOOKUP($A4086,HeadJournal!$A$1:$J$890,COLUMN(HeadJournal!I$1),0)*($K4086+$L4086)/(SUMIF($A:$A,$A4086,$K:$K)+SUMIF($A:$A,$A4086,$L:$L)),0)</f>
        <v>-1.1487350516229669</v>
      </c>
      <c r="N4086" s="30">
        <f>IFERROR((VLOOKUP($A4086,HeadJournal!$A$1:$K$890,COLUMN(HeadJournal!K$1),0)-VLOOKUP($A4086,HeadJournal!$A$1:$K$890,COLUMN(HeadJournal!J$1),0))*($K4086+$L4086)/(SUMIF($A:$A,$A4086,$K:$K)+SUMIF($A:$A,$A4086,$L:$L)),0)</f>
        <v>0</v>
      </c>
      <c r="O4086" s="30">
        <f>IFERROR((VLOOKUP($A4086,HeadJournal!$A$1:$L$890,COLUMN(HeadJournal!L$1),0)*($K4086+$L4086)/(SUMIF($A:$A,$A4086,$K:$K)+SUMIF($A:$A,$A4086,$L:$L)))/VLOOKUP($A4086,HeadJournal!$A$1:$L$890,COLUMN(HeadJournal!H$1),0),0)</f>
        <v>0.78192953748933591</v>
      </c>
      <c r="P4086" s="30">
        <f>IFERROR(SUM(K4086:O4086)*VLOOKUP($A4086,HeadJournal!$A$1:$L$890,COLUMN(HeadJournal!H$1),0),0)</f>
        <v>1530.1773371462527</v>
      </c>
      <c r="Q4086" s="29">
        <v>2500</v>
      </c>
      <c r="R4086" s="31">
        <v>45677</v>
      </c>
      <c r="S4086" s="31" t="s">
        <v>3121</v>
      </c>
      <c r="T4086" s="95" t="str">
        <f t="shared" si="319"/>
        <v>2025 01</v>
      </c>
      <c r="U4086" s="32">
        <f t="shared" si="316"/>
        <v>969.82266285374726</v>
      </c>
      <c r="V4086" s="22">
        <f t="shared" si="317"/>
        <v>0.63379756013276556</v>
      </c>
      <c r="X4086" s="33"/>
      <c r="Y4086" s="33"/>
    </row>
    <row r="4087" spans="1:25" x14ac:dyDescent="0.2">
      <c r="A4087" s="93" t="s">
        <v>2590</v>
      </c>
      <c r="B4087" s="94" t="str">
        <f>IFERROR(VLOOKUP($A4087,HeadJournal!$A$1:$NTR$890,COLUMN(HeadJournal!B$1),0),"")</f>
        <v>720000497681</v>
      </c>
      <c r="C4087" s="94" t="str">
        <f>IFERROR(VLOOKUP($A4087,HeadJournal!$A$1:$NTR$890,COLUMN(HeadJournal!C$1),0),"")</f>
        <v>iHerb_OA CZN6870</v>
      </c>
      <c r="D4087" s="125" t="str">
        <f>IFERROR(VLOOKUP($A4087,HeadJournal!$A$1:$NTR$890,COLUMN(HeadJournal!D$1),0),"")</f>
        <v>Доставлен</v>
      </c>
      <c r="E4087" s="95">
        <f>IFERROR(VLOOKUP($A4087,HeadJournal!$A$1:$NTR$890,COLUMN(HeadJournal!G$1),0),"")</f>
        <v>45621</v>
      </c>
      <c r="F4087" s="95" t="str">
        <f t="shared" si="318"/>
        <v>2024 11</v>
      </c>
      <c r="G4087" s="97" t="s">
        <v>5</v>
      </c>
      <c r="H4087" s="161" t="s">
        <v>2196</v>
      </c>
      <c r="I4087" s="97" t="s">
        <v>2006</v>
      </c>
      <c r="J4087" s="97" t="s">
        <v>2197</v>
      </c>
      <c r="K4087" s="29">
        <v>17.21</v>
      </c>
      <c r="L4087" s="29">
        <v>-3.79</v>
      </c>
      <c r="M4087" s="30">
        <f>IFERROR(VLOOKUP($A4087,HeadJournal!$A$1:$J$890,COLUMN(HeadJournal!I$1),0)*($K4087+$L4087)/(SUMIF($A:$A,$A4087,$K:$K)+SUMIF($A:$A,$A4087,$L:$L)),0)</f>
        <v>-1.134365297481988</v>
      </c>
      <c r="N4087" s="30">
        <f>IFERROR((VLOOKUP($A4087,HeadJournal!$A$1:$K$890,COLUMN(HeadJournal!K$1),0)-VLOOKUP($A4087,HeadJournal!$A$1:$K$890,COLUMN(HeadJournal!J$1),0))*($K4087+$L4087)/(SUMIF($A:$A,$A4087,$K:$K)+SUMIF($A:$A,$A4087,$L:$L)),0)</f>
        <v>0</v>
      </c>
      <c r="O4087" s="30">
        <f>IFERROR((VLOOKUP($A4087,HeadJournal!$A$1:$L$890,COLUMN(HeadJournal!L$1),0)*($K4087+$L4087)/(SUMIF($A:$A,$A4087,$K:$K)+SUMIF($A:$A,$A4087,$L:$L)))/VLOOKUP($A4087,HeadJournal!$A$1:$L$890,COLUMN(HeadJournal!H$1),0),0)</f>
        <v>0.77214822613001377</v>
      </c>
      <c r="P4087" s="30">
        <f>IFERROR(SUM(K4087:O4087)*VLOOKUP($A4087,HeadJournal!$A$1:$L$890,COLUMN(HeadJournal!H$1),0),0)</f>
        <v>1511.0360459531062</v>
      </c>
      <c r="Q4087" s="29">
        <v>2500</v>
      </c>
      <c r="R4087" s="31">
        <v>45721</v>
      </c>
      <c r="S4087" s="31" t="s">
        <v>3121</v>
      </c>
      <c r="T4087" s="95" t="str">
        <f t="shared" si="319"/>
        <v>2025 03</v>
      </c>
      <c r="U4087" s="32">
        <f t="shared" si="316"/>
        <v>988.96395404689383</v>
      </c>
      <c r="V4087" s="22">
        <f t="shared" si="317"/>
        <v>0.65449395247423869</v>
      </c>
      <c r="X4087" s="33"/>
      <c r="Y4087" s="33"/>
    </row>
    <row r="4088" spans="1:25" x14ac:dyDescent="0.2">
      <c r="A4088" s="93" t="s">
        <v>2590</v>
      </c>
      <c r="B4088" s="94" t="str">
        <f>IFERROR(VLOOKUP($A4088,HeadJournal!$A$1:$NTR$890,COLUMN(HeadJournal!B$1),0),"")</f>
        <v>720000497681</v>
      </c>
      <c r="C4088" s="94" t="str">
        <f>IFERROR(VLOOKUP($A4088,HeadJournal!$A$1:$NTR$890,COLUMN(HeadJournal!C$1),0),"")</f>
        <v>iHerb_OA CZN6870</v>
      </c>
      <c r="D4088" s="125" t="str">
        <f>IFERROR(VLOOKUP($A4088,HeadJournal!$A$1:$NTR$890,COLUMN(HeadJournal!D$1),0),"")</f>
        <v>Доставлен</v>
      </c>
      <c r="E4088" s="95">
        <f>IFERROR(VLOOKUP($A4088,HeadJournal!$A$1:$NTR$890,COLUMN(HeadJournal!G$1),0),"")</f>
        <v>45621</v>
      </c>
      <c r="F4088" s="95" t="str">
        <f t="shared" si="318"/>
        <v>2024 11</v>
      </c>
      <c r="G4088" s="97" t="s">
        <v>5</v>
      </c>
      <c r="H4088" s="161" t="s">
        <v>2200</v>
      </c>
      <c r="I4088" s="97" t="s">
        <v>2005</v>
      </c>
      <c r="J4088" s="97" t="s">
        <v>2201</v>
      </c>
      <c r="K4088" s="29">
        <v>11.07</v>
      </c>
      <c r="L4088" s="29">
        <v>-2.44</v>
      </c>
      <c r="M4088" s="30">
        <f>IFERROR(VLOOKUP($A4088,HeadJournal!$A$1:$J$890,COLUMN(HeadJournal!I$1),0)*($K4088+$L4088)/(SUMIF($A:$A,$A4088,$K:$K)+SUMIF($A:$A,$A4088,$L:$L)),0)</f>
        <v>-0.72947634256852123</v>
      </c>
      <c r="N4088" s="30">
        <f>IFERROR((VLOOKUP($A4088,HeadJournal!$A$1:$K$890,COLUMN(HeadJournal!K$1),0)-VLOOKUP($A4088,HeadJournal!$A$1:$K$890,COLUMN(HeadJournal!J$1),0))*($K4088+$L4088)/(SUMIF($A:$A,$A4088,$K:$K)+SUMIF($A:$A,$A4088,$L:$L)),0)</f>
        <v>0</v>
      </c>
      <c r="O4088" s="30">
        <f>IFERROR((VLOOKUP($A4088,HeadJournal!$A$1:$L$890,COLUMN(HeadJournal!L$1),0)*($K4088+$L4088)/(SUMIF($A:$A,$A4088,$K:$K)+SUMIF($A:$A,$A4088,$L:$L)))/VLOOKUP($A4088,HeadJournal!$A$1:$L$890,COLUMN(HeadJournal!H$1),0),0)</f>
        <v>0.49654539429970335</v>
      </c>
      <c r="P4088" s="30">
        <f>IFERROR(SUM(K4088:O4088)*VLOOKUP($A4088,HeadJournal!$A$1:$L$890,COLUMN(HeadJournal!H$1),0),0)</f>
        <v>971.70201762856232</v>
      </c>
      <c r="Q4088" s="29">
        <v>1700</v>
      </c>
      <c r="R4088" s="31">
        <v>45712</v>
      </c>
      <c r="S4088" s="31" t="s">
        <v>3121</v>
      </c>
      <c r="T4088" s="95" t="str">
        <f t="shared" si="319"/>
        <v>2025 02</v>
      </c>
      <c r="U4088" s="32">
        <f t="shared" si="316"/>
        <v>728.29798237143768</v>
      </c>
      <c r="V4088" s="22">
        <f t="shared" si="317"/>
        <v>0.74950753333706988</v>
      </c>
      <c r="X4088" s="33"/>
      <c r="Y4088" s="33"/>
    </row>
    <row r="4089" spans="1:25" x14ac:dyDescent="0.2">
      <c r="A4089" s="93" t="s">
        <v>2590</v>
      </c>
      <c r="B4089" s="94" t="str">
        <f>IFERROR(VLOOKUP($A4089,HeadJournal!$A$1:$NTR$890,COLUMN(HeadJournal!B$1),0),"")</f>
        <v>720000497681</v>
      </c>
      <c r="C4089" s="94" t="str">
        <f>IFERROR(VLOOKUP($A4089,HeadJournal!$A$1:$NTR$890,COLUMN(HeadJournal!C$1),0),"")</f>
        <v>iHerb_OA CZN6870</v>
      </c>
      <c r="D4089" s="125" t="str">
        <f>IFERROR(VLOOKUP($A4089,HeadJournal!$A$1:$NTR$890,COLUMN(HeadJournal!D$1),0),"")</f>
        <v>Доставлен</v>
      </c>
      <c r="E4089" s="95">
        <f>IFERROR(VLOOKUP($A4089,HeadJournal!$A$1:$NTR$890,COLUMN(HeadJournal!G$1),0),"")</f>
        <v>45621</v>
      </c>
      <c r="F4089" s="95" t="str">
        <f t="shared" si="318"/>
        <v>2024 11</v>
      </c>
      <c r="G4089" s="97" t="s">
        <v>7</v>
      </c>
      <c r="H4089" s="161" t="s">
        <v>2585</v>
      </c>
      <c r="I4089" s="97" t="s">
        <v>2586</v>
      </c>
      <c r="J4089" s="97" t="s">
        <v>2587</v>
      </c>
      <c r="K4089" s="29">
        <v>9.67</v>
      </c>
      <c r="L4089" s="29">
        <v>-5.35</v>
      </c>
      <c r="M4089" s="30">
        <f>IFERROR(VLOOKUP($A4089,HeadJournal!$A$1:$J$890,COLUMN(HeadJournal!I$1),0)*($K4089+$L4089)/(SUMIF($A:$A,$A4089,$K:$K)+SUMIF($A:$A,$A4089,$L:$L)),0)</f>
        <v>-0.36516081111193649</v>
      </c>
      <c r="N4089" s="30">
        <f>IFERROR((VLOOKUP($A4089,HeadJournal!$A$1:$K$890,COLUMN(HeadJournal!K$1),0)-VLOOKUP($A4089,HeadJournal!$A$1:$K$890,COLUMN(HeadJournal!J$1),0))*($K4089+$L4089)/(SUMIF($A:$A,$A4089,$K:$K)+SUMIF($A:$A,$A4089,$L:$L)),0)</f>
        <v>0</v>
      </c>
      <c r="O4089" s="30">
        <f>IFERROR((VLOOKUP($A4089,HeadJournal!$A$1:$L$890,COLUMN(HeadJournal!L$1),0)*($K4089+$L4089)/(SUMIF($A:$A,$A4089,$K:$K)+SUMIF($A:$A,$A4089,$L:$L)))/VLOOKUP($A4089,HeadJournal!$A$1:$L$890,COLUMN(HeadJournal!H$1),0),0)</f>
        <v>0.24856038277806702</v>
      </c>
      <c r="P4089" s="30">
        <f>IFERROR(SUM(K4089:O4089)*VLOOKUP($A4089,HeadJournal!$A$1:$L$890,COLUMN(HeadJournal!H$1),0),0)</f>
        <v>486.41398796702072</v>
      </c>
      <c r="Q4089" s="29"/>
      <c r="R4089" s="31"/>
      <c r="S4089" s="31"/>
      <c r="T4089" s="95" t="str">
        <f t="shared" si="319"/>
        <v/>
      </c>
      <c r="U4089" s="32">
        <f t="shared" si="316"/>
        <v>-486.41398796702072</v>
      </c>
      <c r="V4089" s="22" t="str">
        <f t="shared" si="317"/>
        <v/>
      </c>
      <c r="X4089" s="33"/>
      <c r="Y4089" s="33"/>
    </row>
    <row r="4090" spans="1:25" x14ac:dyDescent="0.2">
      <c r="A4090" s="93" t="s">
        <v>2590</v>
      </c>
      <c r="B4090" s="94" t="str">
        <f>IFERROR(VLOOKUP($A4090,HeadJournal!$A$1:$NTR$890,COLUMN(HeadJournal!B$1),0),"")</f>
        <v>720000497681</v>
      </c>
      <c r="C4090" s="94" t="str">
        <f>IFERROR(VLOOKUP($A4090,HeadJournal!$A$1:$NTR$890,COLUMN(HeadJournal!C$1),0),"")</f>
        <v>iHerb_OA CZN6870</v>
      </c>
      <c r="D4090" s="125" t="str">
        <f>IFERROR(VLOOKUP($A4090,HeadJournal!$A$1:$NTR$890,COLUMN(HeadJournal!D$1),0),"")</f>
        <v>Доставлен</v>
      </c>
      <c r="E4090" s="95">
        <f>IFERROR(VLOOKUP($A4090,HeadJournal!$A$1:$NTR$890,COLUMN(HeadJournal!G$1),0),"")</f>
        <v>45621</v>
      </c>
      <c r="F4090" s="95" t="str">
        <f t="shared" si="318"/>
        <v>2024 11</v>
      </c>
      <c r="G4090" s="97" t="s">
        <v>5</v>
      </c>
      <c r="H4090" s="161" t="s">
        <v>2588</v>
      </c>
      <c r="I4090" s="97" t="s">
        <v>2005</v>
      </c>
      <c r="J4090" s="97" t="s">
        <v>2589</v>
      </c>
      <c r="K4090" s="29">
        <v>11.1</v>
      </c>
      <c r="L4090" s="29">
        <v>-2.44</v>
      </c>
      <c r="M4090" s="30">
        <f>IFERROR(VLOOKUP($A4090,HeadJournal!$A$1:$J$890,COLUMN(HeadJournal!I$1),0)*($K4090+$L4090)/(SUMIF($A:$A,$A4090,$K:$K)+SUMIF($A:$A,$A4090,$L:$L)),0)</f>
        <v>-0.73201218153457637</v>
      </c>
      <c r="N4090" s="30">
        <f>IFERROR((VLOOKUP($A4090,HeadJournal!$A$1:$K$890,COLUMN(HeadJournal!K$1),0)-VLOOKUP($A4090,HeadJournal!$A$1:$K$890,COLUMN(HeadJournal!J$1),0))*($K4090+$L4090)/(SUMIF($A:$A,$A4090,$K:$K)+SUMIF($A:$A,$A4090,$L:$L)),0)</f>
        <v>0</v>
      </c>
      <c r="O4090" s="30">
        <f>IFERROR((VLOOKUP($A4090,HeadJournal!$A$1:$L$890,COLUMN(HeadJournal!L$1),0)*($K4090+$L4090)/(SUMIF($A:$A,$A4090,$K:$K)+SUMIF($A:$A,$A4090,$L:$L)))/VLOOKUP($A4090,HeadJournal!$A$1:$L$890,COLUMN(HeadJournal!H$1),0),0)</f>
        <v>0.49827150806899545</v>
      </c>
      <c r="P4090" s="30">
        <f>IFERROR(SUM(K4090:O4090)*VLOOKUP($A4090,HeadJournal!$A$1:$L$890,COLUMN(HeadJournal!H$1),0),0)</f>
        <v>975.07989254499978</v>
      </c>
      <c r="Q4090" s="29">
        <v>1600</v>
      </c>
      <c r="R4090" s="31">
        <v>45717</v>
      </c>
      <c r="S4090" s="31" t="s">
        <v>3121</v>
      </c>
      <c r="T4090" s="95" t="str">
        <f t="shared" si="319"/>
        <v>2025 03</v>
      </c>
      <c r="U4090" s="32">
        <f t="shared" si="316"/>
        <v>624.92010745500022</v>
      </c>
      <c r="V4090" s="22">
        <f t="shared" si="317"/>
        <v>0.64089118464327299</v>
      </c>
      <c r="X4090" s="33"/>
      <c r="Y4090" s="33"/>
    </row>
    <row r="4091" spans="1:25" x14ac:dyDescent="0.2">
      <c r="A4091" s="93" t="s">
        <v>2592</v>
      </c>
      <c r="B4091" s="94">
        <f>IFERROR(VLOOKUP($A4091,HeadJournal!$A$1:$NTR$890,COLUMN(HeadJournal!B$1),0),"")</f>
        <v>0</v>
      </c>
      <c r="C4091" s="94" t="str">
        <f>IFERROR(VLOOKUP($A4091,HeadJournal!$A$1:$NTR$890,COLUMN(HeadJournal!C$1),0),"")</f>
        <v>OZON_OA</v>
      </c>
      <c r="D4091" s="125" t="str">
        <f>IFERROR(VLOOKUP($A4091,HeadJournal!$A$1:$NTR$890,COLUMN(HeadJournal!D$1),0),"")</f>
        <v>Доставлен</v>
      </c>
      <c r="E4091" s="95">
        <f>IFERROR(VLOOKUP($A4091,HeadJournal!$A$1:$NTR$890,COLUMN(HeadJournal!G$1),0),"")</f>
        <v>45602</v>
      </c>
      <c r="F4091" s="95" t="str">
        <f t="shared" si="318"/>
        <v>2024 11</v>
      </c>
      <c r="G4091" s="97" t="s">
        <v>6</v>
      </c>
      <c r="H4091" s="161" t="s">
        <v>2280</v>
      </c>
      <c r="I4091" s="97" t="s">
        <v>2281</v>
      </c>
      <c r="J4091" s="97" t="s">
        <v>737</v>
      </c>
      <c r="K4091" s="29">
        <v>801</v>
      </c>
      <c r="L4091" s="29">
        <v>0</v>
      </c>
      <c r="M4091" s="30">
        <f>IFERROR(VLOOKUP($A4091,HeadJournal!$A$1:$J$890,COLUMN(HeadJournal!I$1),0)*($K4091+$L4091)/(SUMIF($A:$A,$A4091,$K:$K)+SUMIF($A:$A,$A4091,$L:$L)),0)</f>
        <v>0</v>
      </c>
      <c r="N4091" s="30">
        <f>IFERROR((VLOOKUP($A4091,HeadJournal!$A$1:$K$890,COLUMN(HeadJournal!K$1),0)-VLOOKUP($A4091,HeadJournal!$A$1:$K$890,COLUMN(HeadJournal!J$1),0))*($K4091+$L4091)/(SUMIF($A:$A,$A4091,$K:$K)+SUMIF($A:$A,$A4091,$L:$L)),0)</f>
        <v>0</v>
      </c>
      <c r="O4091" s="30">
        <f>IFERROR((VLOOKUP($A4091,HeadJournal!$A$1:$L$890,COLUMN(HeadJournal!L$1),0)*($K4091+$L4091)/(SUMIF($A:$A,$A4091,$K:$K)+SUMIF($A:$A,$A4091,$L:$L)))/VLOOKUP($A4091,HeadJournal!$A$1:$L$890,COLUMN(HeadJournal!H$1),0),0)</f>
        <v>0</v>
      </c>
      <c r="P4091" s="30">
        <f>IFERROR(SUM(K4091:O4091)*VLOOKUP($A4091,HeadJournal!$A$1:$L$890,COLUMN(HeadJournal!H$1),0),0)</f>
        <v>801</v>
      </c>
      <c r="Q4091" s="29">
        <v>2000</v>
      </c>
      <c r="R4091" s="31">
        <v>45626</v>
      </c>
      <c r="S4091" s="31" t="s">
        <v>3121</v>
      </c>
      <c r="T4091" s="95" t="str">
        <f t="shared" si="319"/>
        <v>2024 11</v>
      </c>
      <c r="U4091" s="32">
        <f t="shared" si="316"/>
        <v>1199</v>
      </c>
      <c r="V4091" s="22">
        <f t="shared" si="317"/>
        <v>1.4968789013732835</v>
      </c>
      <c r="X4091" s="33"/>
      <c r="Y4091" s="33"/>
    </row>
    <row r="4092" spans="1:25" x14ac:dyDescent="0.2">
      <c r="A4092" s="93" t="s">
        <v>2592</v>
      </c>
      <c r="B4092" s="94">
        <f>IFERROR(VLOOKUP($A4092,HeadJournal!$A$1:$NTR$890,COLUMN(HeadJournal!B$1),0),"")</f>
        <v>0</v>
      </c>
      <c r="C4092" s="94" t="str">
        <f>IFERROR(VLOOKUP($A4092,HeadJournal!$A$1:$NTR$890,COLUMN(HeadJournal!C$1),0),"")</f>
        <v>OZON_OA</v>
      </c>
      <c r="D4092" s="125" t="str">
        <f>IFERROR(VLOOKUP($A4092,HeadJournal!$A$1:$NTR$890,COLUMN(HeadJournal!D$1),0),"")</f>
        <v>Доставлен</v>
      </c>
      <c r="E4092" s="95">
        <f>IFERROR(VLOOKUP($A4092,HeadJournal!$A$1:$NTR$890,COLUMN(HeadJournal!G$1),0),"")</f>
        <v>45602</v>
      </c>
      <c r="F4092" s="95" t="str">
        <f t="shared" si="318"/>
        <v>2024 11</v>
      </c>
      <c r="G4092" s="97" t="s">
        <v>6</v>
      </c>
      <c r="H4092" s="161" t="s">
        <v>2280</v>
      </c>
      <c r="I4092" s="97" t="s">
        <v>2281</v>
      </c>
      <c r="J4092" s="97" t="s">
        <v>737</v>
      </c>
      <c r="K4092" s="29">
        <v>801</v>
      </c>
      <c r="L4092" s="29">
        <v>0</v>
      </c>
      <c r="M4092" s="30">
        <f>IFERROR(VLOOKUP($A4092,HeadJournal!$A$1:$J$890,COLUMN(HeadJournal!I$1),0)*($K4092+$L4092)/(SUMIF($A:$A,$A4092,$K:$K)+SUMIF($A:$A,$A4092,$L:$L)),0)</f>
        <v>0</v>
      </c>
      <c r="N4092" s="30">
        <f>IFERROR((VLOOKUP($A4092,HeadJournal!$A$1:$K$890,COLUMN(HeadJournal!K$1),0)-VLOOKUP($A4092,HeadJournal!$A$1:$K$890,COLUMN(HeadJournal!J$1),0))*($K4092+$L4092)/(SUMIF($A:$A,$A4092,$K:$K)+SUMIF($A:$A,$A4092,$L:$L)),0)</f>
        <v>0</v>
      </c>
      <c r="O4092" s="30">
        <f>IFERROR((VLOOKUP($A4092,HeadJournal!$A$1:$L$890,COLUMN(HeadJournal!L$1),0)*($K4092+$L4092)/(SUMIF($A:$A,$A4092,$K:$K)+SUMIF($A:$A,$A4092,$L:$L)))/VLOOKUP($A4092,HeadJournal!$A$1:$L$890,COLUMN(HeadJournal!H$1),0),0)</f>
        <v>0</v>
      </c>
      <c r="P4092" s="30">
        <f>IFERROR(SUM(K4092:O4092)*VLOOKUP($A4092,HeadJournal!$A$1:$L$890,COLUMN(HeadJournal!H$1),0),0)</f>
        <v>801</v>
      </c>
      <c r="Q4092" s="29">
        <v>2000</v>
      </c>
      <c r="R4092" s="31">
        <v>45661</v>
      </c>
      <c r="S4092" s="31" t="s">
        <v>3121</v>
      </c>
      <c r="T4092" s="95" t="str">
        <f t="shared" si="319"/>
        <v>2025 01</v>
      </c>
      <c r="U4092" s="32">
        <f t="shared" si="316"/>
        <v>1199</v>
      </c>
      <c r="V4092" s="22">
        <f t="shared" si="317"/>
        <v>1.4968789013732835</v>
      </c>
      <c r="X4092" s="33"/>
      <c r="Y4092" s="33"/>
    </row>
    <row r="4093" spans="1:25" x14ac:dyDescent="0.2">
      <c r="A4093" s="93" t="s">
        <v>2593</v>
      </c>
      <c r="B4093" s="94">
        <f>IFERROR(VLOOKUP($A4093,HeadJournal!$A$1:$NTR$890,COLUMN(HeadJournal!B$1),0),"")</f>
        <v>0</v>
      </c>
      <c r="C4093" s="94" t="str">
        <f>IFERROR(VLOOKUP($A4093,HeadJournal!$A$1:$NTR$890,COLUMN(HeadJournal!C$1),0),"")</f>
        <v>OZON_OA</v>
      </c>
      <c r="D4093" s="125" t="str">
        <f>IFERROR(VLOOKUP($A4093,HeadJournal!$A$1:$NTR$890,COLUMN(HeadJournal!D$1),0),"")</f>
        <v>Доставлен</v>
      </c>
      <c r="E4093" s="95">
        <f>IFERROR(VLOOKUP($A4093,HeadJournal!$A$1:$NTR$890,COLUMN(HeadJournal!G$1),0),"")</f>
        <v>45622</v>
      </c>
      <c r="F4093" s="95" t="str">
        <f t="shared" si="318"/>
        <v>2024 11</v>
      </c>
      <c r="G4093" s="97" t="s">
        <v>5</v>
      </c>
      <c r="H4093" s="161" t="s">
        <v>2597</v>
      </c>
      <c r="I4093" s="97" t="s">
        <v>2039</v>
      </c>
      <c r="J4093" s="97" t="s">
        <v>3737</v>
      </c>
      <c r="K4093" s="29">
        <v>1065</v>
      </c>
      <c r="L4093" s="29">
        <v>0</v>
      </c>
      <c r="M4093" s="30">
        <f>IFERROR(VLOOKUP($A4093,HeadJournal!$A$1:$J$890,COLUMN(HeadJournal!I$1),0)*($K4093+$L4093)/(SUMIF($A:$A,$A4093,$K:$K)+SUMIF($A:$A,$A4093,$L:$L)),0)</f>
        <v>0</v>
      </c>
      <c r="N4093" s="30">
        <f>IFERROR((VLOOKUP($A4093,HeadJournal!$A$1:$K$890,COLUMN(HeadJournal!K$1),0)-VLOOKUP($A4093,HeadJournal!$A$1:$K$890,COLUMN(HeadJournal!J$1),0))*($K4093+$L4093)/(SUMIF($A:$A,$A4093,$K:$K)+SUMIF($A:$A,$A4093,$L:$L)),0)</f>
        <v>0</v>
      </c>
      <c r="O4093" s="30">
        <f>IFERROR((VLOOKUP($A4093,HeadJournal!$A$1:$L$890,COLUMN(HeadJournal!L$1),0)*($K4093+$L4093)/(SUMIF($A:$A,$A4093,$K:$K)+SUMIF($A:$A,$A4093,$L:$L)))/VLOOKUP($A4093,HeadJournal!$A$1:$L$890,COLUMN(HeadJournal!H$1),0),0)</f>
        <v>0</v>
      </c>
      <c r="P4093" s="30">
        <f>IFERROR(SUM(K4093:O4093)*VLOOKUP($A4093,HeadJournal!$A$1:$L$890,COLUMN(HeadJournal!H$1),0),0)</f>
        <v>1065</v>
      </c>
      <c r="Q4093" s="29">
        <v>1500</v>
      </c>
      <c r="R4093" s="31">
        <v>45633</v>
      </c>
      <c r="S4093" s="31" t="s">
        <v>3121</v>
      </c>
      <c r="T4093" s="95" t="str">
        <f t="shared" si="319"/>
        <v>2024 12</v>
      </c>
      <c r="U4093" s="32">
        <f t="shared" si="316"/>
        <v>435</v>
      </c>
      <c r="V4093" s="22">
        <f t="shared" si="317"/>
        <v>0.40845070422535212</v>
      </c>
      <c r="X4093" s="33"/>
      <c r="Y4093" s="33"/>
    </row>
    <row r="4094" spans="1:25" x14ac:dyDescent="0.2">
      <c r="A4094" s="93" t="s">
        <v>2593</v>
      </c>
      <c r="B4094" s="94">
        <f>IFERROR(VLOOKUP($A4094,HeadJournal!$A$1:$NTR$890,COLUMN(HeadJournal!B$1),0),"")</f>
        <v>0</v>
      </c>
      <c r="C4094" s="94" t="str">
        <f>IFERROR(VLOOKUP($A4094,HeadJournal!$A$1:$NTR$890,COLUMN(HeadJournal!C$1),0),"")</f>
        <v>OZON_OA</v>
      </c>
      <c r="D4094" s="125" t="str">
        <f>IFERROR(VLOOKUP($A4094,HeadJournal!$A$1:$NTR$890,COLUMN(HeadJournal!D$1),0),"")</f>
        <v>Доставлен</v>
      </c>
      <c r="E4094" s="95">
        <f>IFERROR(VLOOKUP($A4094,HeadJournal!$A$1:$NTR$890,COLUMN(HeadJournal!G$1),0),"")</f>
        <v>45622</v>
      </c>
      <c r="F4094" s="95" t="str">
        <f t="shared" si="318"/>
        <v>2024 11</v>
      </c>
      <c r="G4094" s="97" t="s">
        <v>6</v>
      </c>
      <c r="H4094" s="161" t="s">
        <v>2596</v>
      </c>
      <c r="I4094" s="97" t="s">
        <v>2594</v>
      </c>
      <c r="J4094" s="97" t="s">
        <v>2595</v>
      </c>
      <c r="K4094" s="29">
        <v>2346</v>
      </c>
      <c r="L4094" s="29">
        <v>0</v>
      </c>
      <c r="M4094" s="30">
        <f>IFERROR(VLOOKUP($A4094,HeadJournal!$A$1:$J$890,COLUMN(HeadJournal!I$1),0)*($K4094+$L4094)/(SUMIF($A:$A,$A4094,$K:$K)+SUMIF($A:$A,$A4094,$L:$L)),0)</f>
        <v>0</v>
      </c>
      <c r="N4094" s="30">
        <f>IFERROR((VLOOKUP($A4094,HeadJournal!$A$1:$K$890,COLUMN(HeadJournal!K$1),0)-VLOOKUP($A4094,HeadJournal!$A$1:$K$890,COLUMN(HeadJournal!J$1),0))*($K4094+$L4094)/(SUMIF($A:$A,$A4094,$K:$K)+SUMIF($A:$A,$A4094,$L:$L)),0)</f>
        <v>0</v>
      </c>
      <c r="O4094" s="30">
        <f>IFERROR((VLOOKUP($A4094,HeadJournal!$A$1:$L$890,COLUMN(HeadJournal!L$1),0)*($K4094+$L4094)/(SUMIF($A:$A,$A4094,$K:$K)+SUMIF($A:$A,$A4094,$L:$L)))/VLOOKUP($A4094,HeadJournal!$A$1:$L$890,COLUMN(HeadJournal!H$1),0),0)</f>
        <v>0</v>
      </c>
      <c r="P4094" s="30">
        <f>IFERROR(SUM(K4094:O4094)*VLOOKUP($A4094,HeadJournal!$A$1:$L$890,COLUMN(HeadJournal!H$1),0),0)</f>
        <v>2346</v>
      </c>
      <c r="Q4094" s="29">
        <v>3000</v>
      </c>
      <c r="R4094" s="31">
        <v>45884</v>
      </c>
      <c r="S4094" s="31" t="s">
        <v>4457</v>
      </c>
      <c r="T4094" s="95" t="str">
        <f t="shared" si="319"/>
        <v>2025 08</v>
      </c>
      <c r="U4094" s="32">
        <f t="shared" si="316"/>
        <v>654</v>
      </c>
      <c r="V4094" s="22">
        <f t="shared" si="317"/>
        <v>0.27877237851662406</v>
      </c>
      <c r="X4094" s="33"/>
      <c r="Y4094" s="33"/>
    </row>
    <row r="4095" spans="1:25" x14ac:dyDescent="0.2">
      <c r="A4095" s="93" t="s">
        <v>2598</v>
      </c>
      <c r="B4095" s="94">
        <f>IFERROR(VLOOKUP($A4095,HeadJournal!$A$1:$NTR$890,COLUMN(HeadJournal!B$1),0),"")</f>
        <v>0</v>
      </c>
      <c r="C4095" s="94" t="str">
        <f>IFERROR(VLOOKUP($A4095,HeadJournal!$A$1:$NTR$890,COLUMN(HeadJournal!C$1),0),"")</f>
        <v>WBRS</v>
      </c>
      <c r="D4095" s="125" t="str">
        <f>IFERROR(VLOOKUP($A4095,HeadJournal!$A$1:$NTR$890,COLUMN(HeadJournal!D$1),0),"")</f>
        <v>Доставлен</v>
      </c>
      <c r="E4095" s="95">
        <f>IFERROR(VLOOKUP($A4095,HeadJournal!$A$1:$NTR$890,COLUMN(HeadJournal!G$1),0),"")</f>
        <v>45590</v>
      </c>
      <c r="F4095" s="95" t="str">
        <f t="shared" si="318"/>
        <v>2024 10</v>
      </c>
      <c r="G4095" s="97" t="s">
        <v>5</v>
      </c>
      <c r="H4095" s="161" t="s">
        <v>2051</v>
      </c>
      <c r="I4095" s="97" t="s">
        <v>2052</v>
      </c>
      <c r="J4095" s="97" t="s">
        <v>3097</v>
      </c>
      <c r="K4095" s="29">
        <v>1830</v>
      </c>
      <c r="L4095" s="29">
        <v>0</v>
      </c>
      <c r="M4095" s="30">
        <f>IFERROR(VLOOKUP($A4095,HeadJournal!$A$1:$J$890,COLUMN(HeadJournal!I$1),0)*($K4095+$L4095)/(SUMIF($A:$A,$A4095,$K:$K)+SUMIF($A:$A,$A4095,$L:$L)),0)</f>
        <v>0</v>
      </c>
      <c r="N4095" s="30">
        <f>IFERROR((VLOOKUP($A4095,HeadJournal!$A$1:$K$890,COLUMN(HeadJournal!K$1),0)-VLOOKUP($A4095,HeadJournal!$A$1:$K$890,COLUMN(HeadJournal!J$1),0))*($K4095+$L4095)/(SUMIF($A:$A,$A4095,$K:$K)+SUMIF($A:$A,$A4095,$L:$L)),0)</f>
        <v>0</v>
      </c>
      <c r="O4095" s="30">
        <f>IFERROR((VLOOKUP($A4095,HeadJournal!$A$1:$L$890,COLUMN(HeadJournal!L$1),0)*($K4095+$L4095)/(SUMIF($A:$A,$A4095,$K:$K)+SUMIF($A:$A,$A4095,$L:$L)))/VLOOKUP($A4095,HeadJournal!$A$1:$L$890,COLUMN(HeadJournal!H$1),0),0)</f>
        <v>0</v>
      </c>
      <c r="P4095" s="30">
        <f>IFERROR(SUM(K4095:O4095)*VLOOKUP($A4095,HeadJournal!$A$1:$L$890,COLUMN(HeadJournal!H$1),0),0)</f>
        <v>1830</v>
      </c>
      <c r="Q4095" s="29">
        <v>2500</v>
      </c>
      <c r="R4095" s="31">
        <v>45633</v>
      </c>
      <c r="S4095" s="31" t="s">
        <v>3121</v>
      </c>
      <c r="T4095" s="95" t="str">
        <f t="shared" si="319"/>
        <v>2024 12</v>
      </c>
      <c r="U4095" s="32">
        <f t="shared" si="316"/>
        <v>670</v>
      </c>
      <c r="V4095" s="22">
        <f t="shared" si="317"/>
        <v>0.36612021857923499</v>
      </c>
      <c r="X4095" s="33"/>
      <c r="Y4095" s="33"/>
    </row>
    <row r="4096" spans="1:25" x14ac:dyDescent="0.2">
      <c r="A4096" s="93" t="s">
        <v>2599</v>
      </c>
      <c r="B4096" s="94">
        <f>IFERROR(VLOOKUP($A4096,HeadJournal!$A$1:$NTR$890,COLUMN(HeadJournal!B$1),0),"")</f>
        <v>0</v>
      </c>
      <c r="C4096" s="94" t="str">
        <f>IFERROR(VLOOKUP($A4096,HeadJournal!$A$1:$NTR$890,COLUMN(HeadJournal!C$1),0),"")</f>
        <v>CoralClub_OA</v>
      </c>
      <c r="D4096" s="125" t="str">
        <f>IFERROR(VLOOKUP($A4096,HeadJournal!$A$1:$NTR$890,COLUMN(HeadJournal!D$1),0),"")</f>
        <v>Доставлен</v>
      </c>
      <c r="E4096" s="95">
        <f>IFERROR(VLOOKUP($A4096,HeadJournal!$A$1:$NTR$890,COLUMN(HeadJournal!G$1),0),"")</f>
        <v>45588</v>
      </c>
      <c r="F4096" s="95" t="str">
        <f t="shared" si="318"/>
        <v>2024 10</v>
      </c>
      <c r="G4096" s="97" t="s">
        <v>5</v>
      </c>
      <c r="H4096" s="161" t="s">
        <v>2600</v>
      </c>
      <c r="I4096" s="97" t="s">
        <v>2601</v>
      </c>
      <c r="J4096" s="97" t="s">
        <v>250</v>
      </c>
      <c r="K4096" s="29">
        <v>1488</v>
      </c>
      <c r="L4096" s="29">
        <v>0</v>
      </c>
      <c r="M4096" s="30">
        <f>IFERROR(VLOOKUP($A4096,HeadJournal!$A$1:$J$890,COLUMN(HeadJournal!I$1),0)*($K4096+$L4096)/(SUMIF($A:$A,$A4096,$K:$K)+SUMIF($A:$A,$A4096,$L:$L)),0)</f>
        <v>0</v>
      </c>
      <c r="N4096" s="30">
        <f>IFERROR((VLOOKUP($A4096,HeadJournal!$A$1:$K$890,COLUMN(HeadJournal!K$1),0)-VLOOKUP($A4096,HeadJournal!$A$1:$K$890,COLUMN(HeadJournal!J$1),0))*($K4096+$L4096)/(SUMIF($A:$A,$A4096,$K:$K)+SUMIF($A:$A,$A4096,$L:$L)),0)</f>
        <v>0</v>
      </c>
      <c r="O4096" s="30">
        <f>IFERROR((VLOOKUP($A4096,HeadJournal!$A$1:$L$890,COLUMN(HeadJournal!L$1),0)*($K4096+$L4096)/(SUMIF($A:$A,$A4096,$K:$K)+SUMIF($A:$A,$A4096,$L:$L)))/VLOOKUP($A4096,HeadJournal!$A$1:$L$890,COLUMN(HeadJournal!H$1),0),0)</f>
        <v>62</v>
      </c>
      <c r="P4096" s="30">
        <f>IFERROR(SUM(K4096:O4096)*VLOOKUP($A4096,HeadJournal!$A$1:$L$890,COLUMN(HeadJournal!H$1),0),0)</f>
        <v>1550</v>
      </c>
      <c r="Q4096" s="29">
        <v>2000</v>
      </c>
      <c r="R4096" s="31">
        <v>45625</v>
      </c>
      <c r="S4096" s="31" t="s">
        <v>3121</v>
      </c>
      <c r="T4096" s="95" t="str">
        <f t="shared" si="319"/>
        <v>2024 11</v>
      </c>
      <c r="U4096" s="32">
        <f t="shared" si="316"/>
        <v>450</v>
      </c>
      <c r="V4096" s="22">
        <f t="shared" si="317"/>
        <v>0.29032258064516131</v>
      </c>
      <c r="X4096" s="33"/>
      <c r="Y4096" s="33"/>
    </row>
    <row r="4097" spans="1:25" x14ac:dyDescent="0.2">
      <c r="A4097" s="93" t="s">
        <v>2599</v>
      </c>
      <c r="B4097" s="94">
        <f>IFERROR(VLOOKUP($A4097,HeadJournal!$A$1:$NTR$890,COLUMN(HeadJournal!B$1),0),"")</f>
        <v>0</v>
      </c>
      <c r="C4097" s="94" t="str">
        <f>IFERROR(VLOOKUP($A4097,HeadJournal!$A$1:$NTR$890,COLUMN(HeadJournal!C$1),0),"")</f>
        <v>CoralClub_OA</v>
      </c>
      <c r="D4097" s="125" t="str">
        <f>IFERROR(VLOOKUP($A4097,HeadJournal!$A$1:$NTR$890,COLUMN(HeadJournal!D$1),0),"")</f>
        <v>Доставлен</v>
      </c>
      <c r="E4097" s="95">
        <f>IFERROR(VLOOKUP($A4097,HeadJournal!$A$1:$NTR$890,COLUMN(HeadJournal!G$1),0),"")</f>
        <v>45588</v>
      </c>
      <c r="F4097" s="95" t="str">
        <f t="shared" si="318"/>
        <v>2024 10</v>
      </c>
      <c r="G4097" s="97" t="s">
        <v>5</v>
      </c>
      <c r="H4097" s="161" t="s">
        <v>2600</v>
      </c>
      <c r="I4097" s="97" t="s">
        <v>2601</v>
      </c>
      <c r="J4097" s="97" t="s">
        <v>250</v>
      </c>
      <c r="K4097" s="29">
        <v>1488</v>
      </c>
      <c r="L4097" s="29">
        <v>0</v>
      </c>
      <c r="M4097" s="30">
        <f>IFERROR(VLOOKUP($A4097,HeadJournal!$A$1:$J$890,COLUMN(HeadJournal!I$1),0)*($K4097+$L4097)/(SUMIF($A:$A,$A4097,$K:$K)+SUMIF($A:$A,$A4097,$L:$L)),0)</f>
        <v>0</v>
      </c>
      <c r="N4097" s="30">
        <f>IFERROR((VLOOKUP($A4097,HeadJournal!$A$1:$K$890,COLUMN(HeadJournal!K$1),0)-VLOOKUP($A4097,HeadJournal!$A$1:$K$890,COLUMN(HeadJournal!J$1),0))*($K4097+$L4097)/(SUMIF($A:$A,$A4097,$K:$K)+SUMIF($A:$A,$A4097,$L:$L)),0)</f>
        <v>0</v>
      </c>
      <c r="O4097" s="30">
        <f>IFERROR((VLOOKUP($A4097,HeadJournal!$A$1:$L$890,COLUMN(HeadJournal!L$1),0)*($K4097+$L4097)/(SUMIF($A:$A,$A4097,$K:$K)+SUMIF($A:$A,$A4097,$L:$L)))/VLOOKUP($A4097,HeadJournal!$A$1:$L$890,COLUMN(HeadJournal!H$1),0),0)</f>
        <v>62</v>
      </c>
      <c r="P4097" s="30">
        <f>IFERROR(SUM(K4097:O4097)*VLOOKUP($A4097,HeadJournal!$A$1:$L$890,COLUMN(HeadJournal!H$1),0),0)</f>
        <v>1550</v>
      </c>
      <c r="Q4097" s="29">
        <v>2000</v>
      </c>
      <c r="R4097" s="31">
        <v>45625</v>
      </c>
      <c r="S4097" s="31" t="s">
        <v>3121</v>
      </c>
      <c r="T4097" s="95" t="str">
        <f t="shared" si="319"/>
        <v>2024 11</v>
      </c>
      <c r="U4097" s="32">
        <f t="shared" ref="U4097:U4160" si="320">Q4097-P4097</f>
        <v>450</v>
      </c>
      <c r="V4097" s="22">
        <f t="shared" ref="V4097:V4160" si="321">IF(Q4097&lt;&gt;0,IFERROR(U4097/P4097,""),"")</f>
        <v>0.29032258064516131</v>
      </c>
      <c r="X4097" s="33"/>
      <c r="Y4097" s="33"/>
    </row>
    <row r="4098" spans="1:25" x14ac:dyDescent="0.2">
      <c r="A4098" s="93" t="s">
        <v>2602</v>
      </c>
      <c r="B4098" s="94">
        <f>IFERROR(VLOOKUP($A4098,HeadJournal!$A$1:$NTR$890,COLUMN(HeadJournal!B$1),0),"")</f>
        <v>0</v>
      </c>
      <c r="C4098" s="94" t="str">
        <f>IFERROR(VLOOKUP($A4098,HeadJournal!$A$1:$NTR$890,COLUMN(HeadJournal!C$1),0),"")</f>
        <v>CoralClub_OA</v>
      </c>
      <c r="D4098" s="125" t="str">
        <f>IFERROR(VLOOKUP($A4098,HeadJournal!$A$1:$NTR$890,COLUMN(HeadJournal!D$1),0),"")</f>
        <v>Доставлен</v>
      </c>
      <c r="E4098" s="95">
        <f>IFERROR(VLOOKUP($A4098,HeadJournal!$A$1:$NTR$890,COLUMN(HeadJournal!G$1),0),"")</f>
        <v>45633</v>
      </c>
      <c r="F4098" s="95" t="str">
        <f t="shared" si="318"/>
        <v>2024 12</v>
      </c>
      <c r="G4098" s="97" t="s">
        <v>5</v>
      </c>
      <c r="H4098" s="161" t="s">
        <v>2600</v>
      </c>
      <c r="I4098" s="97" t="s">
        <v>2601</v>
      </c>
      <c r="J4098" s="97" t="s">
        <v>250</v>
      </c>
      <c r="K4098" s="29">
        <v>1488</v>
      </c>
      <c r="L4098" s="29"/>
      <c r="M4098" s="30">
        <f>IFERROR(VLOOKUP($A4098,HeadJournal!$A$1:$J$890,COLUMN(HeadJournal!I$1),0)*($K4098+$L4098)/(SUMIF($A:$A,$A4098,$K:$K)+SUMIF($A:$A,$A4098,$L:$L)),0)</f>
        <v>-577.5</v>
      </c>
      <c r="N4098" s="30">
        <f>IFERROR((VLOOKUP($A4098,HeadJournal!$A$1:$K$890,COLUMN(HeadJournal!K$1),0)-VLOOKUP($A4098,HeadJournal!$A$1:$K$890,COLUMN(HeadJournal!J$1),0))*($K4098+$L4098)/(SUMIF($A:$A,$A4098,$K:$K)+SUMIF($A:$A,$A4098,$L:$L)),0)</f>
        <v>39.5</v>
      </c>
      <c r="O4098" s="30">
        <f>IFERROR((VLOOKUP($A4098,HeadJournal!$A$1:$L$890,COLUMN(HeadJournal!L$1),0)*($K4098+$L4098)/(SUMIF($A:$A,$A4098,$K:$K)+SUMIF($A:$A,$A4098,$L:$L)))/VLOOKUP($A4098,HeadJournal!$A$1:$L$890,COLUMN(HeadJournal!H$1),0),0)</f>
        <v>0</v>
      </c>
      <c r="P4098" s="30">
        <f>IFERROR(SUM(K4098:O4098)*VLOOKUP($A4098,HeadJournal!$A$1:$L$890,COLUMN(HeadJournal!H$1),0),0)</f>
        <v>950</v>
      </c>
      <c r="Q4098" s="29">
        <v>2000</v>
      </c>
      <c r="R4098" s="31">
        <v>45637</v>
      </c>
      <c r="S4098" s="31" t="s">
        <v>3121</v>
      </c>
      <c r="T4098" s="95" t="str">
        <f t="shared" si="319"/>
        <v>2024 12</v>
      </c>
      <c r="U4098" s="32">
        <f t="shared" si="320"/>
        <v>1050</v>
      </c>
      <c r="V4098" s="22">
        <f t="shared" si="321"/>
        <v>1.1052631578947369</v>
      </c>
      <c r="X4098" s="33"/>
      <c r="Y4098" s="33"/>
    </row>
    <row r="4099" spans="1:25" x14ac:dyDescent="0.2">
      <c r="A4099" s="93" t="s">
        <v>2602</v>
      </c>
      <c r="B4099" s="94">
        <f>IFERROR(VLOOKUP($A4099,HeadJournal!$A$1:$NTR$890,COLUMN(HeadJournal!B$1),0),"")</f>
        <v>0</v>
      </c>
      <c r="C4099" s="94" t="str">
        <f>IFERROR(VLOOKUP($A4099,HeadJournal!$A$1:$NTR$890,COLUMN(HeadJournal!C$1),0),"")</f>
        <v>CoralClub_OA</v>
      </c>
      <c r="D4099" s="125" t="str">
        <f>IFERROR(VLOOKUP($A4099,HeadJournal!$A$1:$NTR$890,COLUMN(HeadJournal!D$1),0),"")</f>
        <v>Доставлен</v>
      </c>
      <c r="E4099" s="95">
        <f>IFERROR(VLOOKUP($A4099,HeadJournal!$A$1:$NTR$890,COLUMN(HeadJournal!G$1),0),"")</f>
        <v>45633</v>
      </c>
      <c r="F4099" s="95" t="str">
        <f t="shared" si="318"/>
        <v>2024 12</v>
      </c>
      <c r="G4099" s="97" t="s">
        <v>5</v>
      </c>
      <c r="H4099" s="161" t="s">
        <v>2600</v>
      </c>
      <c r="I4099" s="97" t="s">
        <v>2601</v>
      </c>
      <c r="J4099" s="97" t="s">
        <v>250</v>
      </c>
      <c r="K4099" s="29">
        <v>1488</v>
      </c>
      <c r="L4099" s="29"/>
      <c r="M4099" s="30">
        <f>IFERROR(VLOOKUP($A4099,HeadJournal!$A$1:$J$890,COLUMN(HeadJournal!I$1),0)*($K4099+$L4099)/(SUMIF($A:$A,$A4099,$K:$K)+SUMIF($A:$A,$A4099,$L:$L)),0)</f>
        <v>-577.5</v>
      </c>
      <c r="N4099" s="30">
        <f>IFERROR((VLOOKUP($A4099,HeadJournal!$A$1:$K$890,COLUMN(HeadJournal!K$1),0)-VLOOKUP($A4099,HeadJournal!$A$1:$K$890,COLUMN(HeadJournal!J$1),0))*($K4099+$L4099)/(SUMIF($A:$A,$A4099,$K:$K)+SUMIF($A:$A,$A4099,$L:$L)),0)</f>
        <v>39.5</v>
      </c>
      <c r="O4099" s="30">
        <f>IFERROR((VLOOKUP($A4099,HeadJournal!$A$1:$L$890,COLUMN(HeadJournal!L$1),0)*($K4099+$L4099)/(SUMIF($A:$A,$A4099,$K:$K)+SUMIF($A:$A,$A4099,$L:$L)))/VLOOKUP($A4099,HeadJournal!$A$1:$L$890,COLUMN(HeadJournal!H$1),0),0)</f>
        <v>0</v>
      </c>
      <c r="P4099" s="30">
        <f>IFERROR(SUM(K4099:O4099)*VLOOKUP($A4099,HeadJournal!$A$1:$L$890,COLUMN(HeadJournal!H$1),0),0)</f>
        <v>950</v>
      </c>
      <c r="Q4099" s="29">
        <v>2000</v>
      </c>
      <c r="R4099" s="31">
        <v>45637</v>
      </c>
      <c r="S4099" s="31" t="s">
        <v>3121</v>
      </c>
      <c r="T4099" s="95" t="str">
        <f t="shared" si="319"/>
        <v>2024 12</v>
      </c>
      <c r="U4099" s="32">
        <f t="shared" si="320"/>
        <v>1050</v>
      </c>
      <c r="V4099" s="22">
        <f t="shared" si="321"/>
        <v>1.1052631578947369</v>
      </c>
      <c r="X4099" s="33"/>
      <c r="Y4099" s="33"/>
    </row>
    <row r="4100" spans="1:25" x14ac:dyDescent="0.2">
      <c r="A4100" s="93" t="s">
        <v>2602</v>
      </c>
      <c r="B4100" s="94">
        <f>IFERROR(VLOOKUP($A4100,HeadJournal!$A$1:$NTR$890,COLUMN(HeadJournal!B$1),0),"")</f>
        <v>0</v>
      </c>
      <c r="C4100" s="94" t="str">
        <f>IFERROR(VLOOKUP($A4100,HeadJournal!$A$1:$NTR$890,COLUMN(HeadJournal!C$1),0),"")</f>
        <v>CoralClub_OA</v>
      </c>
      <c r="D4100" s="125" t="str">
        <f>IFERROR(VLOOKUP($A4100,HeadJournal!$A$1:$NTR$890,COLUMN(HeadJournal!D$1),0),"")</f>
        <v>Доставлен</v>
      </c>
      <c r="E4100" s="95">
        <f>IFERROR(VLOOKUP($A4100,HeadJournal!$A$1:$NTR$890,COLUMN(HeadJournal!G$1),0),"")</f>
        <v>45633</v>
      </c>
      <c r="F4100" s="95" t="str">
        <f t="shared" ref="F4100:F4163" si="322">IFERROR(TEXT(E4100, "ГГГГ ММ"),"")</f>
        <v>2024 12</v>
      </c>
      <c r="G4100" s="97" t="s">
        <v>5</v>
      </c>
      <c r="H4100" s="161" t="s">
        <v>2600</v>
      </c>
      <c r="I4100" s="97" t="s">
        <v>2601</v>
      </c>
      <c r="J4100" s="97" t="s">
        <v>250</v>
      </c>
      <c r="K4100" s="29">
        <v>1488</v>
      </c>
      <c r="L4100" s="29"/>
      <c r="M4100" s="30">
        <f>IFERROR(VLOOKUP($A4100,HeadJournal!$A$1:$J$890,COLUMN(HeadJournal!I$1),0)*($K4100+$L4100)/(SUMIF($A:$A,$A4100,$K:$K)+SUMIF($A:$A,$A4100,$L:$L)),0)</f>
        <v>-577.5</v>
      </c>
      <c r="N4100" s="30">
        <f>IFERROR((VLOOKUP($A4100,HeadJournal!$A$1:$K$890,COLUMN(HeadJournal!K$1),0)-VLOOKUP($A4100,HeadJournal!$A$1:$K$890,COLUMN(HeadJournal!J$1),0))*($K4100+$L4100)/(SUMIF($A:$A,$A4100,$K:$K)+SUMIF($A:$A,$A4100,$L:$L)),0)</f>
        <v>39.5</v>
      </c>
      <c r="O4100" s="30">
        <f>IFERROR((VLOOKUP($A4100,HeadJournal!$A$1:$L$890,COLUMN(HeadJournal!L$1),0)*($K4100+$L4100)/(SUMIF($A:$A,$A4100,$K:$K)+SUMIF($A:$A,$A4100,$L:$L)))/VLOOKUP($A4100,HeadJournal!$A$1:$L$890,COLUMN(HeadJournal!H$1),0),0)</f>
        <v>0</v>
      </c>
      <c r="P4100" s="30">
        <f>IFERROR(SUM(K4100:O4100)*VLOOKUP($A4100,HeadJournal!$A$1:$L$890,COLUMN(HeadJournal!H$1),0),0)</f>
        <v>950</v>
      </c>
      <c r="Q4100" s="29">
        <v>2000</v>
      </c>
      <c r="R4100" s="31">
        <v>45661</v>
      </c>
      <c r="S4100" s="31" t="s">
        <v>3121</v>
      </c>
      <c r="T4100" s="95" t="str">
        <f t="shared" ref="T4100:T4163" si="323">IF(R4100="","",TEXT(R4100,"ГГГГ ММ"))</f>
        <v>2025 01</v>
      </c>
      <c r="U4100" s="32">
        <f t="shared" si="320"/>
        <v>1050</v>
      </c>
      <c r="V4100" s="22">
        <f t="shared" si="321"/>
        <v>1.1052631578947369</v>
      </c>
      <c r="X4100" s="33"/>
      <c r="Y4100" s="33"/>
    </row>
    <row r="4101" spans="1:25" x14ac:dyDescent="0.2">
      <c r="A4101" s="93" t="s">
        <v>2602</v>
      </c>
      <c r="B4101" s="94">
        <f>IFERROR(VLOOKUP($A4101,HeadJournal!$A$1:$NTR$890,COLUMN(HeadJournal!B$1),0),"")</f>
        <v>0</v>
      </c>
      <c r="C4101" s="94" t="str">
        <f>IFERROR(VLOOKUP($A4101,HeadJournal!$A$1:$NTR$890,COLUMN(HeadJournal!C$1),0),"")</f>
        <v>CoralClub_OA</v>
      </c>
      <c r="D4101" s="125" t="str">
        <f>IFERROR(VLOOKUP($A4101,HeadJournal!$A$1:$NTR$890,COLUMN(HeadJournal!D$1),0),"")</f>
        <v>Доставлен</v>
      </c>
      <c r="E4101" s="95">
        <f>IFERROR(VLOOKUP($A4101,HeadJournal!$A$1:$NTR$890,COLUMN(HeadJournal!G$1),0),"")</f>
        <v>45633</v>
      </c>
      <c r="F4101" s="95" t="str">
        <f t="shared" si="322"/>
        <v>2024 12</v>
      </c>
      <c r="G4101" s="97" t="s">
        <v>5</v>
      </c>
      <c r="H4101" s="161" t="s">
        <v>2600</v>
      </c>
      <c r="I4101" s="97" t="s">
        <v>2601</v>
      </c>
      <c r="J4101" s="97" t="s">
        <v>250</v>
      </c>
      <c r="K4101" s="29">
        <v>1488</v>
      </c>
      <c r="L4101" s="29"/>
      <c r="M4101" s="30">
        <f>IFERROR(VLOOKUP($A4101,HeadJournal!$A$1:$J$890,COLUMN(HeadJournal!I$1),0)*($K4101+$L4101)/(SUMIF($A:$A,$A4101,$K:$K)+SUMIF($A:$A,$A4101,$L:$L)),0)</f>
        <v>-577.5</v>
      </c>
      <c r="N4101" s="30">
        <f>IFERROR((VLOOKUP($A4101,HeadJournal!$A$1:$K$890,COLUMN(HeadJournal!K$1),0)-VLOOKUP($A4101,HeadJournal!$A$1:$K$890,COLUMN(HeadJournal!J$1),0))*($K4101+$L4101)/(SUMIF($A:$A,$A4101,$K:$K)+SUMIF($A:$A,$A4101,$L:$L)),0)</f>
        <v>39.5</v>
      </c>
      <c r="O4101" s="30">
        <f>IFERROR((VLOOKUP($A4101,HeadJournal!$A$1:$L$890,COLUMN(HeadJournal!L$1),0)*($K4101+$L4101)/(SUMIF($A:$A,$A4101,$K:$K)+SUMIF($A:$A,$A4101,$L:$L)))/VLOOKUP($A4101,HeadJournal!$A$1:$L$890,COLUMN(HeadJournal!H$1),0),0)</f>
        <v>0</v>
      </c>
      <c r="P4101" s="30">
        <f>IFERROR(SUM(K4101:O4101)*VLOOKUP($A4101,HeadJournal!$A$1:$L$890,COLUMN(HeadJournal!H$1),0),0)</f>
        <v>950</v>
      </c>
      <c r="Q4101" s="29">
        <v>1900</v>
      </c>
      <c r="R4101" s="31">
        <v>45766</v>
      </c>
      <c r="S4101" s="31" t="s">
        <v>3121</v>
      </c>
      <c r="T4101" s="95" t="str">
        <f t="shared" si="323"/>
        <v>2025 04</v>
      </c>
      <c r="U4101" s="32">
        <f t="shared" si="320"/>
        <v>950</v>
      </c>
      <c r="V4101" s="22">
        <f t="shared" si="321"/>
        <v>1</v>
      </c>
      <c r="X4101" s="33"/>
      <c r="Y4101" s="33"/>
    </row>
    <row r="4102" spans="1:25" x14ac:dyDescent="0.2">
      <c r="A4102" s="93" t="s">
        <v>2603</v>
      </c>
      <c r="B4102" s="94">
        <f>IFERROR(VLOOKUP($A4102,HeadJournal!$A$1:$NTR$890,COLUMN(HeadJournal!B$1),0),"")</f>
        <v>0</v>
      </c>
      <c r="C4102" s="94" t="str">
        <f>IFERROR(VLOOKUP($A4102,HeadJournal!$A$1:$NTR$890,COLUMN(HeadJournal!C$1),0),"")</f>
        <v>OZON_OA</v>
      </c>
      <c r="D4102" s="125" t="str">
        <f>IFERROR(VLOOKUP($A4102,HeadJournal!$A$1:$NTR$890,COLUMN(HeadJournal!D$1),0),"")</f>
        <v>Доставлен</v>
      </c>
      <c r="E4102" s="95">
        <f>IFERROR(VLOOKUP($A4102,HeadJournal!$A$1:$NTR$890,COLUMN(HeadJournal!G$1),0),"")</f>
        <v>45636</v>
      </c>
      <c r="F4102" s="95" t="str">
        <f t="shared" si="322"/>
        <v>2024 12</v>
      </c>
      <c r="G4102" s="97" t="s">
        <v>7</v>
      </c>
      <c r="H4102" s="161" t="s">
        <v>2604</v>
      </c>
      <c r="I4102" s="97" t="s">
        <v>2605</v>
      </c>
      <c r="J4102" s="97" t="s">
        <v>259</v>
      </c>
      <c r="K4102" s="29">
        <v>797</v>
      </c>
      <c r="L4102" s="29"/>
      <c r="M4102" s="30">
        <f>IFERROR(VLOOKUP($A4102,HeadJournal!$A$1:$J$890,COLUMN(HeadJournal!I$1),0)*($K4102+$L4102)/(SUMIF($A:$A,$A4102,$K:$K)+SUMIF($A:$A,$A4102,$L:$L)),0)</f>
        <v>0</v>
      </c>
      <c r="N4102" s="30">
        <f>IFERROR((VLOOKUP($A4102,HeadJournal!$A$1:$K$890,COLUMN(HeadJournal!K$1),0)-VLOOKUP($A4102,HeadJournal!$A$1:$K$890,COLUMN(HeadJournal!J$1),0))*($K4102+$L4102)/(SUMIF($A:$A,$A4102,$K:$K)+SUMIF($A:$A,$A4102,$L:$L)),0)</f>
        <v>0</v>
      </c>
      <c r="O4102" s="30">
        <f>IFERROR((VLOOKUP($A4102,HeadJournal!$A$1:$L$890,COLUMN(HeadJournal!L$1),0)*($K4102+$L4102)/(SUMIF($A:$A,$A4102,$K:$K)+SUMIF($A:$A,$A4102,$L:$L)))/VLOOKUP($A4102,HeadJournal!$A$1:$L$890,COLUMN(HeadJournal!H$1),0),0)</f>
        <v>0</v>
      </c>
      <c r="P4102" s="30">
        <f>IFERROR(SUM(K4102:O4102)*VLOOKUP($A4102,HeadJournal!$A$1:$L$890,COLUMN(HeadJournal!H$1),0),0)</f>
        <v>797</v>
      </c>
      <c r="Q4102" s="29">
        <v>1100</v>
      </c>
      <c r="R4102" s="31">
        <v>45640</v>
      </c>
      <c r="S4102" s="31" t="s">
        <v>3121</v>
      </c>
      <c r="T4102" s="95" t="str">
        <f t="shared" si="323"/>
        <v>2024 12</v>
      </c>
      <c r="U4102" s="32">
        <f t="shared" si="320"/>
        <v>303</v>
      </c>
      <c r="V4102" s="22">
        <f t="shared" si="321"/>
        <v>0.38017565872020076</v>
      </c>
      <c r="X4102" s="33"/>
      <c r="Y4102" s="33"/>
    </row>
    <row r="4103" spans="1:25" x14ac:dyDescent="0.2">
      <c r="A4103" s="93" t="s">
        <v>2606</v>
      </c>
      <c r="B4103" s="94">
        <f>IFERROR(VLOOKUP($A4103,HeadJournal!$A$1:$NTR$890,COLUMN(HeadJournal!B$1),0),"")</f>
        <v>0</v>
      </c>
      <c r="C4103" s="94" t="str">
        <f>IFERROR(VLOOKUP($A4103,HeadJournal!$A$1:$NTR$890,COLUMN(HeadJournal!C$1),0),"")</f>
        <v>OZON_OA</v>
      </c>
      <c r="D4103" s="125" t="str">
        <f>IFERROR(VLOOKUP($A4103,HeadJournal!$A$1:$NTR$890,COLUMN(HeadJournal!D$1),0),"")</f>
        <v>Доставлен</v>
      </c>
      <c r="E4103" s="95">
        <f>IFERROR(VLOOKUP($A4103,HeadJournal!$A$1:$NTR$890,COLUMN(HeadJournal!G$1),0),"")</f>
        <v>45628</v>
      </c>
      <c r="F4103" s="95" t="str">
        <f t="shared" si="322"/>
        <v>2024 12</v>
      </c>
      <c r="G4103" s="96" t="s">
        <v>5</v>
      </c>
      <c r="H4103" s="161" t="s">
        <v>2607</v>
      </c>
      <c r="I4103" s="97" t="s">
        <v>2608</v>
      </c>
      <c r="J4103" s="97" t="s">
        <v>1598</v>
      </c>
      <c r="K4103" s="29">
        <v>1790</v>
      </c>
      <c r="L4103" s="29">
        <v>0</v>
      </c>
      <c r="M4103" s="30">
        <f>IFERROR(VLOOKUP($A4103,HeadJournal!$A$1:$J$890,COLUMN(HeadJournal!I$1),0)*($K4103+$L4103)/(SUMIF($A:$A,$A4103,$K:$K)+SUMIF($A:$A,$A4103,$L:$L)),0)</f>
        <v>0</v>
      </c>
      <c r="N4103" s="30">
        <f>IFERROR((VLOOKUP($A4103,HeadJournal!$A$1:$K$890,COLUMN(HeadJournal!K$1),0)-VLOOKUP($A4103,HeadJournal!$A$1:$K$890,COLUMN(HeadJournal!J$1),0))*($K4103+$L4103)/(SUMIF($A:$A,$A4103,$K:$K)+SUMIF($A:$A,$A4103,$L:$L)),0)</f>
        <v>0</v>
      </c>
      <c r="O4103" s="30">
        <f>IFERROR((VLOOKUP($A4103,HeadJournal!$A$1:$L$890,COLUMN(HeadJournal!L$1),0)*($K4103+$L4103)/(SUMIF($A:$A,$A4103,$K:$K)+SUMIF($A:$A,$A4103,$L:$L)))/VLOOKUP($A4103,HeadJournal!$A$1:$L$890,COLUMN(HeadJournal!H$1),0),0)</f>
        <v>0</v>
      </c>
      <c r="P4103" s="30">
        <f>IFERROR(SUM(K4103:O4103)*VLOOKUP($A4103,HeadJournal!$A$1:$L$890,COLUMN(HeadJournal!H$1),0),0)</f>
        <v>1790</v>
      </c>
      <c r="Q4103" s="29">
        <v>2500</v>
      </c>
      <c r="R4103" s="31">
        <v>45639</v>
      </c>
      <c r="S4103" s="31" t="s">
        <v>3121</v>
      </c>
      <c r="T4103" s="95" t="str">
        <f t="shared" si="323"/>
        <v>2024 12</v>
      </c>
      <c r="U4103" s="32">
        <f t="shared" si="320"/>
        <v>710</v>
      </c>
      <c r="V4103" s="22">
        <f t="shared" si="321"/>
        <v>0.39664804469273746</v>
      </c>
      <c r="X4103" s="33"/>
      <c r="Y4103" s="33"/>
    </row>
    <row r="4104" spans="1:25" x14ac:dyDescent="0.2">
      <c r="A4104" s="93" t="s">
        <v>2609</v>
      </c>
      <c r="B4104" s="94">
        <f>IFERROR(VLOOKUP($A4104,HeadJournal!$A$1:$NTR$890,COLUMN(HeadJournal!B$1),0),"")</f>
        <v>0</v>
      </c>
      <c r="C4104" s="94" t="str">
        <f>IFERROR(VLOOKUP($A4104,HeadJournal!$A$1:$NTR$890,COLUMN(HeadJournal!C$1),0),"")</f>
        <v>OZON_OA</v>
      </c>
      <c r="D4104" s="125" t="str">
        <f>IFERROR(VLOOKUP($A4104,HeadJournal!$A$1:$NTR$890,COLUMN(HeadJournal!D$1),0),"")</f>
        <v>Доставлен</v>
      </c>
      <c r="E4104" s="95">
        <f>IFERROR(VLOOKUP($A4104,HeadJournal!$A$1:$NTR$890,COLUMN(HeadJournal!G$1),0),"")</f>
        <v>45637</v>
      </c>
      <c r="F4104" s="95" t="str">
        <f t="shared" si="322"/>
        <v>2024 12</v>
      </c>
      <c r="G4104" s="97" t="s">
        <v>5</v>
      </c>
      <c r="H4104" s="161" t="s">
        <v>2611</v>
      </c>
      <c r="I4104" s="97" t="s">
        <v>2005</v>
      </c>
      <c r="J4104" s="97" t="s">
        <v>46</v>
      </c>
      <c r="K4104" s="29">
        <v>1517</v>
      </c>
      <c r="L4104" s="29">
        <v>0</v>
      </c>
      <c r="M4104" s="30">
        <f>IFERROR(VLOOKUP($A4104,HeadJournal!$A$1:$J$890,COLUMN(HeadJournal!I$1),0)*($K4104+$L4104)/(SUMIF($A:$A,$A4104,$K:$K)+SUMIF($A:$A,$A4104,$L:$L)),0)</f>
        <v>0</v>
      </c>
      <c r="N4104" s="30">
        <f>IFERROR((VLOOKUP($A4104,HeadJournal!$A$1:$K$890,COLUMN(HeadJournal!K$1),0)-VLOOKUP($A4104,HeadJournal!$A$1:$K$890,COLUMN(HeadJournal!J$1),0))*($K4104+$L4104)/(SUMIF($A:$A,$A4104,$K:$K)+SUMIF($A:$A,$A4104,$L:$L)),0)</f>
        <v>0</v>
      </c>
      <c r="O4104" s="30">
        <f>IFERROR((VLOOKUP($A4104,HeadJournal!$A$1:$L$890,COLUMN(HeadJournal!L$1),0)*($K4104+$L4104)/(SUMIF($A:$A,$A4104,$K:$K)+SUMIF($A:$A,$A4104,$L:$L)))/VLOOKUP($A4104,HeadJournal!$A$1:$L$890,COLUMN(HeadJournal!H$1),0),0)</f>
        <v>0</v>
      </c>
      <c r="P4104" s="30">
        <f>IFERROR(SUM(K4104:O4104)*VLOOKUP($A4104,HeadJournal!$A$1:$L$890,COLUMN(HeadJournal!H$1),0),0)</f>
        <v>1517</v>
      </c>
      <c r="Q4104" s="29">
        <v>2000</v>
      </c>
      <c r="R4104" s="31">
        <v>45647</v>
      </c>
      <c r="S4104" s="31" t="s">
        <v>3121</v>
      </c>
      <c r="T4104" s="95" t="str">
        <f t="shared" si="323"/>
        <v>2024 12</v>
      </c>
      <c r="U4104" s="32">
        <f t="shared" si="320"/>
        <v>483</v>
      </c>
      <c r="V4104" s="22">
        <f t="shared" si="321"/>
        <v>0.31839156229400134</v>
      </c>
      <c r="X4104" s="33"/>
      <c r="Y4104" s="33"/>
    </row>
    <row r="4105" spans="1:25" x14ac:dyDescent="0.2">
      <c r="A4105" s="93" t="s">
        <v>2610</v>
      </c>
      <c r="B4105" s="94">
        <f>IFERROR(VLOOKUP($A4105,HeadJournal!$A$1:$NTR$890,COLUMN(HeadJournal!B$1),0),"")</f>
        <v>0</v>
      </c>
      <c r="C4105" s="94" t="str">
        <f>IFERROR(VLOOKUP($A4105,HeadJournal!$A$1:$NTR$890,COLUMN(HeadJournal!C$1),0),"")</f>
        <v>OZON_OA</v>
      </c>
      <c r="D4105" s="125" t="str">
        <f>IFERROR(VLOOKUP($A4105,HeadJournal!$A$1:$NTR$890,COLUMN(HeadJournal!D$1),0),"")</f>
        <v>Доставлен</v>
      </c>
      <c r="E4105" s="95">
        <f>IFERROR(VLOOKUP($A4105,HeadJournal!$A$1:$NTR$890,COLUMN(HeadJournal!G$1),0),"")</f>
        <v>45638</v>
      </c>
      <c r="F4105" s="95" t="str">
        <f t="shared" si="322"/>
        <v>2024 12</v>
      </c>
      <c r="G4105" s="97" t="s">
        <v>5</v>
      </c>
      <c r="H4105" s="161" t="s">
        <v>2611</v>
      </c>
      <c r="I4105" s="97" t="s">
        <v>2005</v>
      </c>
      <c r="J4105" s="97" t="s">
        <v>46</v>
      </c>
      <c r="K4105" s="29">
        <v>1517</v>
      </c>
      <c r="L4105" s="29">
        <v>0</v>
      </c>
      <c r="M4105" s="30">
        <f>IFERROR(VLOOKUP($A4105,HeadJournal!$A$1:$J$890,COLUMN(HeadJournal!I$1),0)*($K4105+$L4105)/(SUMIF($A:$A,$A4105,$K:$K)+SUMIF($A:$A,$A4105,$L:$L)),0)</f>
        <v>0</v>
      </c>
      <c r="N4105" s="30">
        <f>IFERROR((VLOOKUP($A4105,HeadJournal!$A$1:$K$890,COLUMN(HeadJournal!K$1),0)-VLOOKUP($A4105,HeadJournal!$A$1:$K$890,COLUMN(HeadJournal!J$1),0))*($K4105+$L4105)/(SUMIF($A:$A,$A4105,$K:$K)+SUMIF($A:$A,$A4105,$L:$L)),0)</f>
        <v>0</v>
      </c>
      <c r="O4105" s="30">
        <f>IFERROR((VLOOKUP($A4105,HeadJournal!$A$1:$L$890,COLUMN(HeadJournal!L$1),0)*($K4105+$L4105)/(SUMIF($A:$A,$A4105,$K:$K)+SUMIF($A:$A,$A4105,$L:$L)))/VLOOKUP($A4105,HeadJournal!$A$1:$L$890,COLUMN(HeadJournal!H$1),0),0)</f>
        <v>0</v>
      </c>
      <c r="P4105" s="30">
        <f>IFERROR(SUM(K4105:O4105)*VLOOKUP($A4105,HeadJournal!$A$1:$L$890,COLUMN(HeadJournal!H$1),0),0)</f>
        <v>1517</v>
      </c>
      <c r="Q4105" s="29">
        <v>2000</v>
      </c>
      <c r="R4105" s="31">
        <v>45647</v>
      </c>
      <c r="S4105" s="31" t="s">
        <v>3121</v>
      </c>
      <c r="T4105" s="95" t="str">
        <f t="shared" si="323"/>
        <v>2024 12</v>
      </c>
      <c r="U4105" s="32">
        <f t="shared" si="320"/>
        <v>483</v>
      </c>
      <c r="V4105" s="22">
        <f t="shared" si="321"/>
        <v>0.31839156229400134</v>
      </c>
      <c r="X4105" s="33"/>
      <c r="Y4105" s="33"/>
    </row>
    <row r="4106" spans="1:25" x14ac:dyDescent="0.2">
      <c r="A4106" s="93" t="s">
        <v>2612</v>
      </c>
      <c r="B4106" s="94">
        <f>IFERROR(VLOOKUP($A4106,HeadJournal!$A$1:$NTR$890,COLUMN(HeadJournal!B$1),0),"")</f>
        <v>0</v>
      </c>
      <c r="C4106" s="94" t="str">
        <f>IFERROR(VLOOKUP($A4106,HeadJournal!$A$1:$NTR$890,COLUMN(HeadJournal!C$1),0),"")</f>
        <v>WBRS</v>
      </c>
      <c r="D4106" s="125" t="str">
        <f>IFERROR(VLOOKUP($A4106,HeadJournal!$A$1:$NTR$890,COLUMN(HeadJournal!D$1),0),"")</f>
        <v>Доставлен</v>
      </c>
      <c r="E4106" s="95">
        <f>IFERROR(VLOOKUP($A4106,HeadJournal!$A$1:$NTR$890,COLUMN(HeadJournal!G$1),0),"")</f>
        <v>45639</v>
      </c>
      <c r="F4106" s="95" t="str">
        <f t="shared" si="322"/>
        <v>2024 12</v>
      </c>
      <c r="G4106" s="97" t="s">
        <v>5</v>
      </c>
      <c r="H4106" s="161" t="s">
        <v>2051</v>
      </c>
      <c r="I4106" s="97" t="s">
        <v>2052</v>
      </c>
      <c r="J4106" s="97" t="s">
        <v>3097</v>
      </c>
      <c r="K4106" s="29">
        <v>1122</v>
      </c>
      <c r="L4106" s="29"/>
      <c r="M4106" s="30">
        <f>IFERROR(VLOOKUP($A4106,HeadJournal!$A$1:$J$890,COLUMN(HeadJournal!I$1),0)*($K4106+$L4106)/(SUMIF($A:$A,$A4106,$K:$K)+SUMIF($A:$A,$A4106,$L:$L)),0)</f>
        <v>0</v>
      </c>
      <c r="N4106" s="30">
        <f>IFERROR((VLOOKUP($A4106,HeadJournal!$A$1:$K$890,COLUMN(HeadJournal!K$1),0)-VLOOKUP($A4106,HeadJournal!$A$1:$K$890,COLUMN(HeadJournal!J$1),0))*($K4106+$L4106)/(SUMIF($A:$A,$A4106,$K:$K)+SUMIF($A:$A,$A4106,$L:$L)),0)</f>
        <v>0</v>
      </c>
      <c r="O4106" s="30">
        <f>IFERROR((VLOOKUP($A4106,HeadJournal!$A$1:$L$890,COLUMN(HeadJournal!L$1),0)*($K4106+$L4106)/(SUMIF($A:$A,$A4106,$K:$K)+SUMIF($A:$A,$A4106,$L:$L)))/VLOOKUP($A4106,HeadJournal!$A$1:$L$890,COLUMN(HeadJournal!H$1),0),0)</f>
        <v>0</v>
      </c>
      <c r="P4106" s="30">
        <f>IFERROR(SUM(K4106:O4106)*VLOOKUP($A4106,HeadJournal!$A$1:$L$890,COLUMN(HeadJournal!H$1),0),0)</f>
        <v>1122</v>
      </c>
      <c r="Q4106" s="29">
        <v>2300</v>
      </c>
      <c r="R4106" s="31">
        <v>45661</v>
      </c>
      <c r="S4106" s="31" t="s">
        <v>3121</v>
      </c>
      <c r="T4106" s="95" t="str">
        <f t="shared" si="323"/>
        <v>2025 01</v>
      </c>
      <c r="U4106" s="32">
        <f t="shared" si="320"/>
        <v>1178</v>
      </c>
      <c r="V4106" s="22">
        <f t="shared" si="321"/>
        <v>1.0499108734402851</v>
      </c>
      <c r="X4106" s="33"/>
      <c r="Y4106" s="33"/>
    </row>
    <row r="4107" spans="1:25" x14ac:dyDescent="0.2">
      <c r="A4107" s="93" t="s">
        <v>2612</v>
      </c>
      <c r="B4107" s="94">
        <f>IFERROR(VLOOKUP($A4107,HeadJournal!$A$1:$NTR$890,COLUMN(HeadJournal!B$1),0),"")</f>
        <v>0</v>
      </c>
      <c r="C4107" s="94" t="str">
        <f>IFERROR(VLOOKUP($A4107,HeadJournal!$A$1:$NTR$890,COLUMN(HeadJournal!C$1),0),"")</f>
        <v>WBRS</v>
      </c>
      <c r="D4107" s="125" t="str">
        <f>IFERROR(VLOOKUP($A4107,HeadJournal!$A$1:$NTR$890,COLUMN(HeadJournal!D$1),0),"")</f>
        <v>Доставлен</v>
      </c>
      <c r="E4107" s="95">
        <f>IFERROR(VLOOKUP($A4107,HeadJournal!$A$1:$NTR$890,COLUMN(HeadJournal!G$1),0),"")</f>
        <v>45639</v>
      </c>
      <c r="F4107" s="95" t="str">
        <f t="shared" si="322"/>
        <v>2024 12</v>
      </c>
      <c r="G4107" s="97" t="s">
        <v>5</v>
      </c>
      <c r="H4107" s="161" t="s">
        <v>2051</v>
      </c>
      <c r="I4107" s="97" t="s">
        <v>2052</v>
      </c>
      <c r="J4107" s="97" t="s">
        <v>3097</v>
      </c>
      <c r="K4107" s="29">
        <v>1122</v>
      </c>
      <c r="L4107" s="29"/>
      <c r="M4107" s="30">
        <f>IFERROR(VLOOKUP($A4107,HeadJournal!$A$1:$J$890,COLUMN(HeadJournal!I$1),0)*($K4107+$L4107)/(SUMIF($A:$A,$A4107,$K:$K)+SUMIF($A:$A,$A4107,$L:$L)),0)</f>
        <v>0</v>
      </c>
      <c r="N4107" s="30">
        <f>IFERROR((VLOOKUP($A4107,HeadJournal!$A$1:$K$890,COLUMN(HeadJournal!K$1),0)-VLOOKUP($A4107,HeadJournal!$A$1:$K$890,COLUMN(HeadJournal!J$1),0))*($K4107+$L4107)/(SUMIF($A:$A,$A4107,$K:$K)+SUMIF($A:$A,$A4107,$L:$L)),0)</f>
        <v>0</v>
      </c>
      <c r="O4107" s="30">
        <f>IFERROR((VLOOKUP($A4107,HeadJournal!$A$1:$L$890,COLUMN(HeadJournal!L$1),0)*($K4107+$L4107)/(SUMIF($A:$A,$A4107,$K:$K)+SUMIF($A:$A,$A4107,$L:$L)))/VLOOKUP($A4107,HeadJournal!$A$1:$L$890,COLUMN(HeadJournal!H$1),0),0)</f>
        <v>0</v>
      </c>
      <c r="P4107" s="30">
        <f>IFERROR(SUM(K4107:O4107)*VLOOKUP($A4107,HeadJournal!$A$1:$L$890,COLUMN(HeadJournal!H$1),0),0)</f>
        <v>1122</v>
      </c>
      <c r="Q4107" s="29">
        <v>2300</v>
      </c>
      <c r="R4107" s="31">
        <v>45675</v>
      </c>
      <c r="S4107" s="31" t="s">
        <v>3121</v>
      </c>
      <c r="T4107" s="95" t="str">
        <f t="shared" si="323"/>
        <v>2025 01</v>
      </c>
      <c r="U4107" s="32">
        <f t="shared" si="320"/>
        <v>1178</v>
      </c>
      <c r="V4107" s="22">
        <f t="shared" si="321"/>
        <v>1.0499108734402851</v>
      </c>
      <c r="X4107" s="33"/>
      <c r="Y4107" s="33"/>
    </row>
    <row r="4108" spans="1:25" x14ac:dyDescent="0.2">
      <c r="A4108" s="93" t="s">
        <v>2612</v>
      </c>
      <c r="B4108" s="94">
        <f>IFERROR(VLOOKUP($A4108,HeadJournal!$A$1:$NTR$890,COLUMN(HeadJournal!B$1),0),"")</f>
        <v>0</v>
      </c>
      <c r="C4108" s="94" t="str">
        <f>IFERROR(VLOOKUP($A4108,HeadJournal!$A$1:$NTR$890,COLUMN(HeadJournal!C$1),0),"")</f>
        <v>WBRS</v>
      </c>
      <c r="D4108" s="125" t="str">
        <f>IFERROR(VLOOKUP($A4108,HeadJournal!$A$1:$NTR$890,COLUMN(HeadJournal!D$1),0),"")</f>
        <v>Доставлен</v>
      </c>
      <c r="E4108" s="95">
        <f>IFERROR(VLOOKUP($A4108,HeadJournal!$A$1:$NTR$890,COLUMN(HeadJournal!G$1),0),"")</f>
        <v>45639</v>
      </c>
      <c r="F4108" s="95" t="str">
        <f t="shared" si="322"/>
        <v>2024 12</v>
      </c>
      <c r="G4108" s="97" t="s">
        <v>5</v>
      </c>
      <c r="H4108" s="161" t="s">
        <v>2051</v>
      </c>
      <c r="I4108" s="97" t="s">
        <v>2052</v>
      </c>
      <c r="J4108" s="97" t="s">
        <v>3097</v>
      </c>
      <c r="K4108" s="29">
        <v>1122</v>
      </c>
      <c r="L4108" s="29"/>
      <c r="M4108" s="30">
        <f>IFERROR(VLOOKUP($A4108,HeadJournal!$A$1:$J$890,COLUMN(HeadJournal!I$1),0)*($K4108+$L4108)/(SUMIF($A:$A,$A4108,$K:$K)+SUMIF($A:$A,$A4108,$L:$L)),0)</f>
        <v>0</v>
      </c>
      <c r="N4108" s="30">
        <f>IFERROR((VLOOKUP($A4108,HeadJournal!$A$1:$K$890,COLUMN(HeadJournal!K$1),0)-VLOOKUP($A4108,HeadJournal!$A$1:$K$890,COLUMN(HeadJournal!J$1),0))*($K4108+$L4108)/(SUMIF($A:$A,$A4108,$K:$K)+SUMIF($A:$A,$A4108,$L:$L)),0)</f>
        <v>0</v>
      </c>
      <c r="O4108" s="30">
        <f>IFERROR((VLOOKUP($A4108,HeadJournal!$A$1:$L$890,COLUMN(HeadJournal!L$1),0)*($K4108+$L4108)/(SUMIF($A:$A,$A4108,$K:$K)+SUMIF($A:$A,$A4108,$L:$L)))/VLOOKUP($A4108,HeadJournal!$A$1:$L$890,COLUMN(HeadJournal!H$1),0),0)</f>
        <v>0</v>
      </c>
      <c r="P4108" s="30">
        <f>IFERROR(SUM(K4108:O4108)*VLOOKUP($A4108,HeadJournal!$A$1:$L$890,COLUMN(HeadJournal!H$1),0),0)</f>
        <v>1122</v>
      </c>
      <c r="Q4108" s="29">
        <v>2200</v>
      </c>
      <c r="R4108" s="31">
        <v>45766</v>
      </c>
      <c r="S4108" s="31" t="s">
        <v>3121</v>
      </c>
      <c r="T4108" s="95" t="str">
        <f t="shared" si="323"/>
        <v>2025 04</v>
      </c>
      <c r="U4108" s="32">
        <f t="shared" si="320"/>
        <v>1078</v>
      </c>
      <c r="V4108" s="22">
        <f t="shared" si="321"/>
        <v>0.96078431372549022</v>
      </c>
      <c r="X4108" s="33"/>
      <c r="Y4108" s="33"/>
    </row>
    <row r="4109" spans="1:25" x14ac:dyDescent="0.2">
      <c r="A4109" s="93" t="s">
        <v>2612</v>
      </c>
      <c r="B4109" s="94">
        <f>IFERROR(VLOOKUP($A4109,HeadJournal!$A$1:$NTR$890,COLUMN(HeadJournal!B$1),0),"")</f>
        <v>0</v>
      </c>
      <c r="C4109" s="94" t="str">
        <f>IFERROR(VLOOKUP($A4109,HeadJournal!$A$1:$NTR$890,COLUMN(HeadJournal!C$1),0),"")</f>
        <v>WBRS</v>
      </c>
      <c r="D4109" s="125" t="str">
        <f>IFERROR(VLOOKUP($A4109,HeadJournal!$A$1:$NTR$890,COLUMN(HeadJournal!D$1),0),"")</f>
        <v>Доставлен</v>
      </c>
      <c r="E4109" s="95">
        <f>IFERROR(VLOOKUP($A4109,HeadJournal!$A$1:$NTR$890,COLUMN(HeadJournal!G$1),0),"")</f>
        <v>45639</v>
      </c>
      <c r="F4109" s="95" t="str">
        <f t="shared" si="322"/>
        <v>2024 12</v>
      </c>
      <c r="G4109" s="97" t="s">
        <v>5</v>
      </c>
      <c r="H4109" s="161" t="s">
        <v>2051</v>
      </c>
      <c r="I4109" s="97" t="s">
        <v>2052</v>
      </c>
      <c r="J4109" s="97" t="s">
        <v>3097</v>
      </c>
      <c r="K4109" s="29">
        <v>1122</v>
      </c>
      <c r="L4109" s="29"/>
      <c r="M4109" s="30">
        <f>IFERROR(VLOOKUP($A4109,HeadJournal!$A$1:$J$890,COLUMN(HeadJournal!I$1),0)*($K4109+$L4109)/(SUMIF($A:$A,$A4109,$K:$K)+SUMIF($A:$A,$A4109,$L:$L)),0)</f>
        <v>0</v>
      </c>
      <c r="N4109" s="30">
        <f>IFERROR((VLOOKUP($A4109,HeadJournal!$A$1:$K$890,COLUMN(HeadJournal!K$1),0)-VLOOKUP($A4109,HeadJournal!$A$1:$K$890,COLUMN(HeadJournal!J$1),0))*($K4109+$L4109)/(SUMIF($A:$A,$A4109,$K:$K)+SUMIF($A:$A,$A4109,$L:$L)),0)</f>
        <v>0</v>
      </c>
      <c r="O4109" s="30">
        <f>IFERROR((VLOOKUP($A4109,HeadJournal!$A$1:$L$890,COLUMN(HeadJournal!L$1),0)*($K4109+$L4109)/(SUMIF($A:$A,$A4109,$K:$K)+SUMIF($A:$A,$A4109,$L:$L)))/VLOOKUP($A4109,HeadJournal!$A$1:$L$890,COLUMN(HeadJournal!H$1),0),0)</f>
        <v>0</v>
      </c>
      <c r="P4109" s="30">
        <f>IFERROR(SUM(K4109:O4109)*VLOOKUP($A4109,HeadJournal!$A$1:$L$890,COLUMN(HeadJournal!H$1),0),0)</f>
        <v>1122</v>
      </c>
      <c r="Q4109" s="29"/>
      <c r="R4109" s="31"/>
      <c r="S4109" s="31"/>
      <c r="T4109" s="95" t="str">
        <f t="shared" si="323"/>
        <v/>
      </c>
      <c r="U4109" s="32">
        <f t="shared" si="320"/>
        <v>-1122</v>
      </c>
      <c r="V4109" s="22" t="str">
        <f t="shared" si="321"/>
        <v/>
      </c>
      <c r="X4109" s="33"/>
      <c r="Y4109" s="33"/>
    </row>
    <row r="4110" spans="1:25" x14ac:dyDescent="0.2">
      <c r="A4110" s="93" t="s">
        <v>2613</v>
      </c>
      <c r="B4110" s="94">
        <f>IFERROR(VLOOKUP($A4110,HeadJournal!$A$1:$NTR$890,COLUMN(HeadJournal!B$1),0),"")</f>
        <v>0</v>
      </c>
      <c r="C4110" s="94" t="str">
        <f>IFERROR(VLOOKUP($A4110,HeadJournal!$A$1:$NTR$890,COLUMN(HeadJournal!C$1),0),"")</f>
        <v>WBRS</v>
      </c>
      <c r="D4110" s="125" t="str">
        <f>IFERROR(VLOOKUP($A4110,HeadJournal!$A$1:$NTR$890,COLUMN(HeadJournal!D$1),0),"")</f>
        <v>Доставлен</v>
      </c>
      <c r="E4110" s="95">
        <f>IFERROR(VLOOKUP($A4110,HeadJournal!$A$1:$NTR$890,COLUMN(HeadJournal!G$1),0),"")</f>
        <v>45639</v>
      </c>
      <c r="F4110" s="95" t="str">
        <f t="shared" si="322"/>
        <v>2024 12</v>
      </c>
      <c r="G4110" s="97" t="s">
        <v>5</v>
      </c>
      <c r="H4110" s="161" t="s">
        <v>2614</v>
      </c>
      <c r="I4110" s="97" t="s">
        <v>2005</v>
      </c>
      <c r="J4110" s="97" t="s">
        <v>2641</v>
      </c>
      <c r="K4110" s="29">
        <v>522</v>
      </c>
      <c r="L4110" s="29">
        <v>0</v>
      </c>
      <c r="M4110" s="30">
        <f>IFERROR(VLOOKUP($A4110,HeadJournal!$A$1:$J$890,COLUMN(HeadJournal!I$1),0)*($K4110+$L4110)/(SUMIF($A:$A,$A4110,$K:$K)+SUMIF($A:$A,$A4110,$L:$L)),0)</f>
        <v>0</v>
      </c>
      <c r="N4110" s="30">
        <f>IFERROR((VLOOKUP($A4110,HeadJournal!$A$1:$K$890,COLUMN(HeadJournal!K$1),0)-VLOOKUP($A4110,HeadJournal!$A$1:$K$890,COLUMN(HeadJournal!J$1),0))*($K4110+$L4110)/(SUMIF($A:$A,$A4110,$K:$K)+SUMIF($A:$A,$A4110,$L:$L)),0)</f>
        <v>0</v>
      </c>
      <c r="O4110" s="30">
        <f>IFERROR((VLOOKUP($A4110,HeadJournal!$A$1:$L$890,COLUMN(HeadJournal!L$1),0)*($K4110+$L4110)/(SUMIF($A:$A,$A4110,$K:$K)+SUMIF($A:$A,$A4110,$L:$L)))/VLOOKUP($A4110,HeadJournal!$A$1:$L$890,COLUMN(HeadJournal!H$1),0),0)</f>
        <v>0</v>
      </c>
      <c r="P4110" s="30">
        <f>IFERROR(SUM(K4110:O4110)*VLOOKUP($A4110,HeadJournal!$A$1:$L$890,COLUMN(HeadJournal!H$1),0),0)</f>
        <v>522</v>
      </c>
      <c r="Q4110" s="29">
        <v>1100</v>
      </c>
      <c r="R4110" s="31">
        <v>45642</v>
      </c>
      <c r="S4110" s="31" t="s">
        <v>3121</v>
      </c>
      <c r="T4110" s="95" t="str">
        <f t="shared" si="323"/>
        <v>2024 12</v>
      </c>
      <c r="U4110" s="32">
        <f t="shared" si="320"/>
        <v>578</v>
      </c>
      <c r="V4110" s="22">
        <f t="shared" si="321"/>
        <v>1.1072796934865901</v>
      </c>
      <c r="X4110" s="33"/>
      <c r="Y4110" s="33"/>
    </row>
    <row r="4111" spans="1:25" x14ac:dyDescent="0.2">
      <c r="A4111" s="93" t="s">
        <v>2613</v>
      </c>
      <c r="B4111" s="94">
        <f>IFERROR(VLOOKUP($A4111,HeadJournal!$A$1:$NTR$890,COLUMN(HeadJournal!B$1),0),"")</f>
        <v>0</v>
      </c>
      <c r="C4111" s="94" t="str">
        <f>IFERROR(VLOOKUP($A4111,HeadJournal!$A$1:$NTR$890,COLUMN(HeadJournal!C$1),0),"")</f>
        <v>WBRS</v>
      </c>
      <c r="D4111" s="125" t="str">
        <f>IFERROR(VLOOKUP($A4111,HeadJournal!$A$1:$NTR$890,COLUMN(HeadJournal!D$1),0),"")</f>
        <v>Доставлен</v>
      </c>
      <c r="E4111" s="95">
        <f>IFERROR(VLOOKUP($A4111,HeadJournal!$A$1:$NTR$890,COLUMN(HeadJournal!G$1),0),"")</f>
        <v>45639</v>
      </c>
      <c r="F4111" s="95" t="str">
        <f t="shared" si="322"/>
        <v>2024 12</v>
      </c>
      <c r="G4111" s="97" t="s">
        <v>5</v>
      </c>
      <c r="H4111" s="161" t="s">
        <v>2614</v>
      </c>
      <c r="I4111" s="97" t="s">
        <v>2005</v>
      </c>
      <c r="J4111" s="97" t="s">
        <v>2641</v>
      </c>
      <c r="K4111" s="29">
        <v>522</v>
      </c>
      <c r="L4111" s="29">
        <v>0</v>
      </c>
      <c r="M4111" s="30">
        <f>IFERROR(VLOOKUP($A4111,HeadJournal!$A$1:$J$890,COLUMN(HeadJournal!I$1),0)*($K4111+$L4111)/(SUMIF($A:$A,$A4111,$K:$K)+SUMIF($A:$A,$A4111,$L:$L)),0)</f>
        <v>0</v>
      </c>
      <c r="N4111" s="30">
        <f>IFERROR((VLOOKUP($A4111,HeadJournal!$A$1:$K$890,COLUMN(HeadJournal!K$1),0)-VLOOKUP($A4111,HeadJournal!$A$1:$K$890,COLUMN(HeadJournal!J$1),0))*($K4111+$L4111)/(SUMIF($A:$A,$A4111,$K:$K)+SUMIF($A:$A,$A4111,$L:$L)),0)</f>
        <v>0</v>
      </c>
      <c r="O4111" s="30">
        <f>IFERROR((VLOOKUP($A4111,HeadJournal!$A$1:$L$890,COLUMN(HeadJournal!L$1),0)*($K4111+$L4111)/(SUMIF($A:$A,$A4111,$K:$K)+SUMIF($A:$A,$A4111,$L:$L)))/VLOOKUP($A4111,HeadJournal!$A$1:$L$890,COLUMN(HeadJournal!H$1),0),0)</f>
        <v>0</v>
      </c>
      <c r="P4111" s="30">
        <f>IFERROR(SUM(K4111:O4111)*VLOOKUP($A4111,HeadJournal!$A$1:$L$890,COLUMN(HeadJournal!H$1),0),0)</f>
        <v>522</v>
      </c>
      <c r="Q4111" s="29">
        <v>1100</v>
      </c>
      <c r="R4111" s="31">
        <v>45642</v>
      </c>
      <c r="S4111" s="31" t="s">
        <v>3121</v>
      </c>
      <c r="T4111" s="95" t="str">
        <f t="shared" si="323"/>
        <v>2024 12</v>
      </c>
      <c r="U4111" s="32">
        <f t="shared" si="320"/>
        <v>578</v>
      </c>
      <c r="V4111" s="22">
        <f t="shared" si="321"/>
        <v>1.1072796934865901</v>
      </c>
      <c r="X4111" s="33"/>
      <c r="Y4111" s="33"/>
    </row>
    <row r="4112" spans="1:25" x14ac:dyDescent="0.2">
      <c r="A4112" s="93" t="s">
        <v>2637</v>
      </c>
      <c r="B4112" s="94" t="str">
        <f>IFERROR(VLOOKUP($A4112,HeadJournal!$A$1:$NTR$890,COLUMN(HeadJournal!B$1),0),"")</f>
        <v>720000519891</v>
      </c>
      <c r="C4112" s="94" t="str">
        <f>IFERROR(VLOOKUP($A4112,HeadJournal!$A$1:$NTR$890,COLUMN(HeadJournal!C$1),0),"")</f>
        <v>iHerb_VP DFD1605</v>
      </c>
      <c r="D4112" s="125" t="str">
        <f>IFERROR(VLOOKUP($A4112,HeadJournal!$A$1:$NTR$890,COLUMN(HeadJournal!D$1),0),"")</f>
        <v>Доставлен</v>
      </c>
      <c r="E4112" s="95">
        <f>IFERROR(VLOOKUP($A4112,HeadJournal!$A$1:$NTR$890,COLUMN(HeadJournal!G$1),0),"")</f>
        <v>45633</v>
      </c>
      <c r="F4112" s="95" t="str">
        <f t="shared" si="322"/>
        <v>2024 12</v>
      </c>
      <c r="G4112" s="97" t="s">
        <v>5</v>
      </c>
      <c r="H4112" s="161" t="s">
        <v>2615</v>
      </c>
      <c r="I4112" s="97" t="s">
        <v>2052</v>
      </c>
      <c r="J4112" s="97" t="s">
        <v>2616</v>
      </c>
      <c r="K4112" s="29">
        <v>48.6</v>
      </c>
      <c r="L4112" s="29">
        <v>-24.3</v>
      </c>
      <c r="M4112" s="30">
        <f>IFERROR(VLOOKUP($A4112,HeadJournal!$A$1:$J$890,COLUMN(HeadJournal!I$1),0)*($K4112+$L4112)/(SUMIF($A:$A,$A4112,$K:$K)+SUMIF($A:$A,$A4112,$L:$L)),0)</f>
        <v>0</v>
      </c>
      <c r="N4112" s="30">
        <f>IFERROR((VLOOKUP($A4112,HeadJournal!$A$1:$K$890,COLUMN(HeadJournal!K$1),0)-VLOOKUP($A4112,HeadJournal!$A$1:$K$890,COLUMN(HeadJournal!J$1),0))*($K4112+$L4112)/(SUMIF($A:$A,$A4112,$K:$K)+SUMIF($A:$A,$A4112,$L:$L)),0)</f>
        <v>1.0682319124955936E-14</v>
      </c>
      <c r="O4112" s="30">
        <f>IFERROR((VLOOKUP($A4112,HeadJournal!$A$1:$L$890,COLUMN(HeadJournal!L$1),0)*($K4112+$L4112)/(SUMIF($A:$A,$A4112,$K:$K)+SUMIF($A:$A,$A4112,$L:$L)))/VLOOKUP($A4112,HeadJournal!$A$1:$L$890,COLUMN(HeadJournal!H$1),0),0)</f>
        <v>0.7465103582309156</v>
      </c>
      <c r="P4112" s="30">
        <f>IFERROR(SUM(K4112:O4112)*VLOOKUP($A4112,HeadJournal!$A$1:$L$890,COLUMN(HeadJournal!H$1),0),0)</f>
        <v>3008.5745308311016</v>
      </c>
      <c r="Q4112" s="29">
        <v>5600</v>
      </c>
      <c r="R4112" s="31">
        <v>45677</v>
      </c>
      <c r="S4112" s="31" t="s">
        <v>3121</v>
      </c>
      <c r="T4112" s="95" t="str">
        <f t="shared" si="323"/>
        <v>2025 01</v>
      </c>
      <c r="U4112" s="32">
        <f t="shared" si="320"/>
        <v>2591.4254691688984</v>
      </c>
      <c r="V4112" s="22">
        <f t="shared" si="321"/>
        <v>0.86134660870542967</v>
      </c>
      <c r="X4112" s="33"/>
      <c r="Y4112" s="33"/>
    </row>
    <row r="4113" spans="1:25" x14ac:dyDescent="0.2">
      <c r="A4113" s="93" t="s">
        <v>2637</v>
      </c>
      <c r="B4113" s="94" t="str">
        <f>IFERROR(VLOOKUP($A4113,HeadJournal!$A$1:$NTR$890,COLUMN(HeadJournal!B$1),0),"")</f>
        <v>720000519891</v>
      </c>
      <c r="C4113" s="94" t="str">
        <f>IFERROR(VLOOKUP($A4113,HeadJournal!$A$1:$NTR$890,COLUMN(HeadJournal!C$1),0),"")</f>
        <v>iHerb_VP DFD1605</v>
      </c>
      <c r="D4113" s="125" t="str">
        <f>IFERROR(VLOOKUP($A4113,HeadJournal!$A$1:$NTR$890,COLUMN(HeadJournal!D$1),0),"")</f>
        <v>Доставлен</v>
      </c>
      <c r="E4113" s="95">
        <f>IFERROR(VLOOKUP($A4113,HeadJournal!$A$1:$NTR$890,COLUMN(HeadJournal!G$1),0),"")</f>
        <v>45633</v>
      </c>
      <c r="F4113" s="95" t="str">
        <f t="shared" si="322"/>
        <v>2024 12</v>
      </c>
      <c r="G4113" s="97" t="s">
        <v>5</v>
      </c>
      <c r="H4113" s="161" t="s">
        <v>2615</v>
      </c>
      <c r="I4113" s="97" t="s">
        <v>2052</v>
      </c>
      <c r="J4113" s="97" t="s">
        <v>2616</v>
      </c>
      <c r="K4113" s="29">
        <v>48.6</v>
      </c>
      <c r="L4113" s="29">
        <v>-24.3</v>
      </c>
      <c r="M4113" s="30">
        <f>IFERROR(VLOOKUP($A4113,HeadJournal!$A$1:$J$890,COLUMN(HeadJournal!I$1),0)*($K4113+$L4113)/(SUMIF($A:$A,$A4113,$K:$K)+SUMIF($A:$A,$A4113,$L:$L)),0)</f>
        <v>0</v>
      </c>
      <c r="N4113" s="30">
        <f>IFERROR((VLOOKUP($A4113,HeadJournal!$A$1:$K$890,COLUMN(HeadJournal!K$1),0)-VLOOKUP($A4113,HeadJournal!$A$1:$K$890,COLUMN(HeadJournal!J$1),0))*($K4113+$L4113)/(SUMIF($A:$A,$A4113,$K:$K)+SUMIF($A:$A,$A4113,$L:$L)),0)</f>
        <v>1.0682319124955936E-14</v>
      </c>
      <c r="O4113" s="30">
        <f>IFERROR((VLOOKUP($A4113,HeadJournal!$A$1:$L$890,COLUMN(HeadJournal!L$1),0)*($K4113+$L4113)/(SUMIF($A:$A,$A4113,$K:$K)+SUMIF($A:$A,$A4113,$L:$L)))/VLOOKUP($A4113,HeadJournal!$A$1:$L$890,COLUMN(HeadJournal!H$1),0),0)</f>
        <v>0.7465103582309156</v>
      </c>
      <c r="P4113" s="30">
        <f>IFERROR(SUM(K4113:O4113)*VLOOKUP($A4113,HeadJournal!$A$1:$L$890,COLUMN(HeadJournal!H$1),0),0)</f>
        <v>3008.5745308311016</v>
      </c>
      <c r="Q4113" s="29">
        <v>3008.57</v>
      </c>
      <c r="R4113" s="31">
        <v>45634</v>
      </c>
      <c r="S4113" s="31" t="s">
        <v>3121</v>
      </c>
      <c r="T4113" s="95" t="str">
        <f t="shared" si="323"/>
        <v>2024 12</v>
      </c>
      <c r="U4113" s="32">
        <f t="shared" si="320"/>
        <v>-4.5308311014196079E-3</v>
      </c>
      <c r="V4113" s="22">
        <f t="shared" si="321"/>
        <v>-1.5059726973650846E-6</v>
      </c>
      <c r="X4113" s="33"/>
      <c r="Y4113" s="33"/>
    </row>
    <row r="4114" spans="1:25" x14ac:dyDescent="0.2">
      <c r="A4114" s="93" t="s">
        <v>2637</v>
      </c>
      <c r="B4114" s="94" t="str">
        <f>IFERROR(VLOOKUP($A4114,HeadJournal!$A$1:$NTR$890,COLUMN(HeadJournal!B$1),0),"")</f>
        <v>720000519891</v>
      </c>
      <c r="C4114" s="94" t="str">
        <f>IFERROR(VLOOKUP($A4114,HeadJournal!$A$1:$NTR$890,COLUMN(HeadJournal!C$1),0),"")</f>
        <v>iHerb_VP DFD1605</v>
      </c>
      <c r="D4114" s="125" t="str">
        <f>IFERROR(VLOOKUP($A4114,HeadJournal!$A$1:$NTR$890,COLUMN(HeadJournal!D$1),0),"")</f>
        <v>Доставлен</v>
      </c>
      <c r="E4114" s="95">
        <f>IFERROR(VLOOKUP($A4114,HeadJournal!$A$1:$NTR$890,COLUMN(HeadJournal!G$1),0),"")</f>
        <v>45633</v>
      </c>
      <c r="F4114" s="95" t="str">
        <f t="shared" si="322"/>
        <v>2024 12</v>
      </c>
      <c r="G4114" s="97" t="s">
        <v>5</v>
      </c>
      <c r="H4114" s="161" t="s">
        <v>2617</v>
      </c>
      <c r="I4114" s="97" t="s">
        <v>2618</v>
      </c>
      <c r="J4114" s="97" t="s">
        <v>2619</v>
      </c>
      <c r="K4114" s="29">
        <v>13.91</v>
      </c>
      <c r="L4114" s="29">
        <v>-2.78</v>
      </c>
      <c r="M4114" s="30">
        <f>IFERROR(VLOOKUP($A4114,HeadJournal!$A$1:$J$890,COLUMN(HeadJournal!I$1),0)*($K4114+$L4114)/(SUMIF($A:$A,$A4114,$K:$K)+SUMIF($A:$A,$A4114,$L:$L)),0)</f>
        <v>0</v>
      </c>
      <c r="N4114" s="30">
        <f>IFERROR((VLOOKUP($A4114,HeadJournal!$A$1:$K$890,COLUMN(HeadJournal!K$1),0)-VLOOKUP($A4114,HeadJournal!$A$1:$K$890,COLUMN(HeadJournal!J$1),0))*($K4114+$L4114)/(SUMIF($A:$A,$A4114,$K:$K)+SUMIF($A:$A,$A4114,$L:$L)),0)</f>
        <v>4.8927659201958662E-15</v>
      </c>
      <c r="O4114" s="30">
        <f>IFERROR((VLOOKUP($A4114,HeadJournal!$A$1:$L$890,COLUMN(HeadJournal!L$1),0)*($K4114+$L4114)/(SUMIF($A:$A,$A4114,$K:$K)+SUMIF($A:$A,$A4114,$L:$L)))/VLOOKUP($A4114,HeadJournal!$A$1:$L$890,COLUMN(HeadJournal!H$1),0),0)</f>
        <v>0.34192017642428357</v>
      </c>
      <c r="P4114" s="30">
        <f>IFERROR(SUM(K4114:O4114)*VLOOKUP($A4114,HeadJournal!$A$1:$L$890,COLUMN(HeadJournal!H$1),0),0)</f>
        <v>1378.0014209115295</v>
      </c>
      <c r="Q4114" s="29">
        <v>2500</v>
      </c>
      <c r="R4114" s="31">
        <v>45675</v>
      </c>
      <c r="S4114" s="31" t="s">
        <v>3121</v>
      </c>
      <c r="T4114" s="95" t="str">
        <f t="shared" si="323"/>
        <v>2025 01</v>
      </c>
      <c r="U4114" s="32">
        <f t="shared" si="320"/>
        <v>1121.9985790884705</v>
      </c>
      <c r="V4114" s="22">
        <f t="shared" si="321"/>
        <v>0.81422164161941391</v>
      </c>
      <c r="X4114" s="33"/>
      <c r="Y4114" s="33"/>
    </row>
    <row r="4115" spans="1:25" x14ac:dyDescent="0.2">
      <c r="A4115" s="93" t="s">
        <v>2637</v>
      </c>
      <c r="B4115" s="94" t="str">
        <f>IFERROR(VLOOKUP($A4115,HeadJournal!$A$1:$NTR$890,COLUMN(HeadJournal!B$1),0),"")</f>
        <v>720000519891</v>
      </c>
      <c r="C4115" s="94" t="str">
        <f>IFERROR(VLOOKUP($A4115,HeadJournal!$A$1:$NTR$890,COLUMN(HeadJournal!C$1),0),"")</f>
        <v>iHerb_VP DFD1605</v>
      </c>
      <c r="D4115" s="125" t="str">
        <f>IFERROR(VLOOKUP($A4115,HeadJournal!$A$1:$NTR$890,COLUMN(HeadJournal!D$1),0),"")</f>
        <v>Доставлен</v>
      </c>
      <c r="E4115" s="95">
        <f>IFERROR(VLOOKUP($A4115,HeadJournal!$A$1:$NTR$890,COLUMN(HeadJournal!G$1),0),"")</f>
        <v>45633</v>
      </c>
      <c r="F4115" s="95" t="str">
        <f t="shared" si="322"/>
        <v>2024 12</v>
      </c>
      <c r="G4115" s="97" t="s">
        <v>5</v>
      </c>
      <c r="H4115" s="161" t="s">
        <v>2617</v>
      </c>
      <c r="I4115" s="97" t="s">
        <v>2618</v>
      </c>
      <c r="J4115" s="97" t="s">
        <v>2619</v>
      </c>
      <c r="K4115" s="29">
        <v>13.91</v>
      </c>
      <c r="L4115" s="29">
        <v>-2.78</v>
      </c>
      <c r="M4115" s="30">
        <f>IFERROR(VLOOKUP($A4115,HeadJournal!$A$1:$J$890,COLUMN(HeadJournal!I$1),0)*($K4115+$L4115)/(SUMIF($A:$A,$A4115,$K:$K)+SUMIF($A:$A,$A4115,$L:$L)),0)</f>
        <v>0</v>
      </c>
      <c r="N4115" s="30">
        <f>IFERROR((VLOOKUP($A4115,HeadJournal!$A$1:$K$890,COLUMN(HeadJournal!K$1),0)-VLOOKUP($A4115,HeadJournal!$A$1:$K$890,COLUMN(HeadJournal!J$1),0))*($K4115+$L4115)/(SUMIF($A:$A,$A4115,$K:$K)+SUMIF($A:$A,$A4115,$L:$L)),0)</f>
        <v>4.8927659201958662E-15</v>
      </c>
      <c r="O4115" s="30">
        <f>IFERROR((VLOOKUP($A4115,HeadJournal!$A$1:$L$890,COLUMN(HeadJournal!L$1),0)*($K4115+$L4115)/(SUMIF($A:$A,$A4115,$K:$K)+SUMIF($A:$A,$A4115,$L:$L)))/VLOOKUP($A4115,HeadJournal!$A$1:$L$890,COLUMN(HeadJournal!H$1),0),0)</f>
        <v>0.34192017642428357</v>
      </c>
      <c r="P4115" s="30">
        <f>IFERROR(SUM(K4115:O4115)*VLOOKUP($A4115,HeadJournal!$A$1:$L$890,COLUMN(HeadJournal!H$1),0),0)</f>
        <v>1378.0014209115295</v>
      </c>
      <c r="Q4115" s="29">
        <v>2500</v>
      </c>
      <c r="R4115" s="31">
        <v>45675</v>
      </c>
      <c r="S4115" s="31" t="s">
        <v>3121</v>
      </c>
      <c r="T4115" s="95" t="str">
        <f t="shared" si="323"/>
        <v>2025 01</v>
      </c>
      <c r="U4115" s="32">
        <f t="shared" si="320"/>
        <v>1121.9985790884705</v>
      </c>
      <c r="V4115" s="22">
        <f t="shared" si="321"/>
        <v>0.81422164161941391</v>
      </c>
      <c r="X4115" s="33"/>
      <c r="Y4115" s="33"/>
    </row>
    <row r="4116" spans="1:25" x14ac:dyDescent="0.2">
      <c r="A4116" s="93" t="s">
        <v>2637</v>
      </c>
      <c r="B4116" s="94" t="str">
        <f>IFERROR(VLOOKUP($A4116,HeadJournal!$A$1:$NTR$890,COLUMN(HeadJournal!B$1),0),"")</f>
        <v>720000519891</v>
      </c>
      <c r="C4116" s="94" t="str">
        <f>IFERROR(VLOOKUP($A4116,HeadJournal!$A$1:$NTR$890,COLUMN(HeadJournal!C$1),0),"")</f>
        <v>iHerb_VP DFD1605</v>
      </c>
      <c r="D4116" s="125" t="str">
        <f>IFERROR(VLOOKUP($A4116,HeadJournal!$A$1:$NTR$890,COLUMN(HeadJournal!D$1),0),"")</f>
        <v>Доставлен</v>
      </c>
      <c r="E4116" s="95">
        <f>IFERROR(VLOOKUP($A4116,HeadJournal!$A$1:$NTR$890,COLUMN(HeadJournal!G$1),0),"")</f>
        <v>45633</v>
      </c>
      <c r="F4116" s="95" t="str">
        <f t="shared" si="322"/>
        <v>2024 12</v>
      </c>
      <c r="G4116" s="97" t="s">
        <v>5</v>
      </c>
      <c r="H4116" s="161" t="s">
        <v>2620</v>
      </c>
      <c r="I4116" s="97" t="s">
        <v>2621</v>
      </c>
      <c r="J4116" s="97" t="s">
        <v>2622</v>
      </c>
      <c r="K4116" s="29">
        <v>26.14</v>
      </c>
      <c r="L4116" s="29">
        <v>-7.84</v>
      </c>
      <c r="M4116" s="30">
        <f>IFERROR(VLOOKUP($A4116,HeadJournal!$A$1:$J$890,COLUMN(HeadJournal!I$1),0)*($K4116+$L4116)/(SUMIF($A:$A,$A4116,$K:$K)+SUMIF($A:$A,$A4116,$L:$L)),0)</f>
        <v>0</v>
      </c>
      <c r="N4116" s="30">
        <f>IFERROR((VLOOKUP($A4116,HeadJournal!$A$1:$K$890,COLUMN(HeadJournal!K$1),0)-VLOOKUP($A4116,HeadJournal!$A$1:$K$890,COLUMN(HeadJournal!J$1),0))*($K4116+$L4116)/(SUMIF($A:$A,$A4116,$K:$K)+SUMIF($A:$A,$A4116,$L:$L)),0)</f>
        <v>8.0447094644729887E-15</v>
      </c>
      <c r="O4116" s="30">
        <f>IFERROR((VLOOKUP($A4116,HeadJournal!$A$1:$L$890,COLUMN(HeadJournal!L$1),0)*($K4116+$L4116)/(SUMIF($A:$A,$A4116,$K:$K)+SUMIF($A:$A,$A4116,$L:$L)))/VLOOKUP($A4116,HeadJournal!$A$1:$L$890,COLUMN(HeadJournal!H$1),0),0)</f>
        <v>0.5621868129887142</v>
      </c>
      <c r="P4116" s="30">
        <f>IFERROR(SUM(K4116:O4116)*VLOOKUP($A4116,HeadJournal!$A$1:$L$890,COLUMN(HeadJournal!H$1),0),0)</f>
        <v>2265.716621983916</v>
      </c>
      <c r="Q4116" s="29">
        <v>3500</v>
      </c>
      <c r="R4116" s="31">
        <v>45677</v>
      </c>
      <c r="S4116" s="31" t="s">
        <v>3121</v>
      </c>
      <c r="T4116" s="95" t="str">
        <f t="shared" si="323"/>
        <v>2025 01</v>
      </c>
      <c r="U4116" s="32">
        <f t="shared" si="320"/>
        <v>1234.283378016084</v>
      </c>
      <c r="V4116" s="22">
        <f t="shared" si="321"/>
        <v>0.54476511583135045</v>
      </c>
      <c r="X4116" s="33"/>
      <c r="Y4116" s="33"/>
    </row>
    <row r="4117" spans="1:25" x14ac:dyDescent="0.2">
      <c r="A4117" s="93" t="s">
        <v>2637</v>
      </c>
      <c r="B4117" s="94" t="str">
        <f>IFERROR(VLOOKUP($A4117,HeadJournal!$A$1:$NTR$890,COLUMN(HeadJournal!B$1),0),"")</f>
        <v>720000519891</v>
      </c>
      <c r="C4117" s="94" t="str">
        <f>IFERROR(VLOOKUP($A4117,HeadJournal!$A$1:$NTR$890,COLUMN(HeadJournal!C$1),0),"")</f>
        <v>iHerb_VP DFD1605</v>
      </c>
      <c r="D4117" s="125" t="str">
        <f>IFERROR(VLOOKUP($A4117,HeadJournal!$A$1:$NTR$890,COLUMN(HeadJournal!D$1),0),"")</f>
        <v>Доставлен</v>
      </c>
      <c r="E4117" s="95">
        <f>IFERROR(VLOOKUP($A4117,HeadJournal!$A$1:$NTR$890,COLUMN(HeadJournal!G$1),0),"")</f>
        <v>45633</v>
      </c>
      <c r="F4117" s="95" t="str">
        <f t="shared" si="322"/>
        <v>2024 12</v>
      </c>
      <c r="G4117" s="97" t="s">
        <v>5</v>
      </c>
      <c r="H4117" s="161" t="s">
        <v>2623</v>
      </c>
      <c r="I4117" s="97" t="s">
        <v>2052</v>
      </c>
      <c r="J4117" s="97" t="s">
        <v>3915</v>
      </c>
      <c r="K4117" s="29">
        <v>6.24</v>
      </c>
      <c r="L4117" s="29">
        <v>-2.91</v>
      </c>
      <c r="M4117" s="30">
        <f>IFERROR(VLOOKUP($A4117,HeadJournal!$A$1:$J$890,COLUMN(HeadJournal!I$1),0)*($K4117+$L4117)/(SUMIF($A:$A,$A4117,$K:$K)+SUMIF($A:$A,$A4117,$L:$L)),0)</f>
        <v>0</v>
      </c>
      <c r="N4117" s="30">
        <f>IFERROR((VLOOKUP($A4117,HeadJournal!$A$1:$K$890,COLUMN(HeadJournal!K$1),0)-VLOOKUP($A4117,HeadJournal!$A$1:$K$890,COLUMN(HeadJournal!J$1),0))*($K4117+$L4117)/(SUMIF($A:$A,$A4117,$K:$K)+SUMIF($A:$A,$A4117,$L:$L)),0)</f>
        <v>1.4638733615680354E-15</v>
      </c>
      <c r="O4117" s="30">
        <f>IFERROR((VLOOKUP($A4117,HeadJournal!$A$1:$L$890,COLUMN(HeadJournal!L$1),0)*($K4117+$L4117)/(SUMIF($A:$A,$A4117,$K:$K)+SUMIF($A:$A,$A4117,$L:$L)))/VLOOKUP($A4117,HeadJournal!$A$1:$L$890,COLUMN(HeadJournal!H$1),0),0)</f>
        <v>0.10229956760942177</v>
      </c>
      <c r="P4117" s="30">
        <f>IFERROR(SUM(K4117:O4117)*VLOOKUP($A4117,HeadJournal!$A$1:$L$890,COLUMN(HeadJournal!H$1),0),0)</f>
        <v>412.28613941018801</v>
      </c>
      <c r="Q4117" s="29">
        <v>1000</v>
      </c>
      <c r="R4117" s="31">
        <v>45827</v>
      </c>
      <c r="S4117" s="31" t="s">
        <v>3121</v>
      </c>
      <c r="T4117" s="95" t="str">
        <f t="shared" si="323"/>
        <v>2025 06</v>
      </c>
      <c r="U4117" s="32">
        <f t="shared" si="320"/>
        <v>587.71386058981193</v>
      </c>
      <c r="V4117" s="22">
        <f t="shared" si="321"/>
        <v>1.4254999244713609</v>
      </c>
      <c r="X4117" s="33"/>
      <c r="Y4117" s="33"/>
    </row>
    <row r="4118" spans="1:25" x14ac:dyDescent="0.2">
      <c r="A4118" s="93" t="s">
        <v>2637</v>
      </c>
      <c r="B4118" s="94" t="str">
        <f>IFERROR(VLOOKUP($A4118,HeadJournal!$A$1:$NTR$890,COLUMN(HeadJournal!B$1),0),"")</f>
        <v>720000519891</v>
      </c>
      <c r="C4118" s="94" t="str">
        <f>IFERROR(VLOOKUP($A4118,HeadJournal!$A$1:$NTR$890,COLUMN(HeadJournal!C$1),0),"")</f>
        <v>iHerb_VP DFD1605</v>
      </c>
      <c r="D4118" s="125" t="str">
        <f>IFERROR(VLOOKUP($A4118,HeadJournal!$A$1:$NTR$890,COLUMN(HeadJournal!D$1),0),"")</f>
        <v>Доставлен</v>
      </c>
      <c r="E4118" s="95">
        <f>IFERROR(VLOOKUP($A4118,HeadJournal!$A$1:$NTR$890,COLUMN(HeadJournal!G$1),0),"")</f>
        <v>45633</v>
      </c>
      <c r="F4118" s="95" t="str">
        <f t="shared" si="322"/>
        <v>2024 12</v>
      </c>
      <c r="G4118" s="97" t="s">
        <v>5</v>
      </c>
      <c r="H4118" s="161" t="s">
        <v>2016</v>
      </c>
      <c r="I4118" s="97" t="s">
        <v>2005</v>
      </c>
      <c r="J4118" s="97" t="s">
        <v>2017</v>
      </c>
      <c r="K4118" s="29">
        <v>36.799999999999997</v>
      </c>
      <c r="L4118" s="29">
        <v>-9.1999999999999993</v>
      </c>
      <c r="M4118" s="30">
        <f>IFERROR(VLOOKUP($A4118,HeadJournal!$A$1:$J$890,COLUMN(HeadJournal!I$1),0)*($K4118+$L4118)/(SUMIF($A:$A,$A4118,$K:$K)+SUMIF($A:$A,$A4118,$L:$L)),0)</f>
        <v>0</v>
      </c>
      <c r="N4118" s="30">
        <f>IFERROR((VLOOKUP($A4118,HeadJournal!$A$1:$K$890,COLUMN(HeadJournal!K$1),0)-VLOOKUP($A4118,HeadJournal!$A$1:$K$890,COLUMN(HeadJournal!J$1),0))*($K4118+$L4118)/(SUMIF($A:$A,$A4118,$K:$K)+SUMIF($A:$A,$A4118,$L:$L)),0)</f>
        <v>1.2133004438221554E-14</v>
      </c>
      <c r="O4118" s="30">
        <f>IFERROR((VLOOKUP($A4118,HeadJournal!$A$1:$L$890,COLUMN(HeadJournal!L$1),0)*($K4118+$L4118)/(SUMIF($A:$A,$A4118,$K:$K)+SUMIF($A:$A,$A4118,$L:$L)))/VLOOKUP($A4118,HeadJournal!$A$1:$L$890,COLUMN(HeadJournal!H$1),0),0)</f>
        <v>0.84788830811412641</v>
      </c>
      <c r="P4118" s="30">
        <f>IFERROR(SUM(K4118:O4118)*VLOOKUP($A4118,HeadJournal!$A$1:$L$890,COLUMN(HeadJournal!H$1),0),0)</f>
        <v>3417.1463806970532</v>
      </c>
      <c r="Q4118" s="29">
        <v>4500</v>
      </c>
      <c r="R4118" s="31">
        <v>45845</v>
      </c>
      <c r="S4118" s="31" t="s">
        <v>3509</v>
      </c>
      <c r="T4118" s="95" t="str">
        <f t="shared" si="323"/>
        <v>2025 07</v>
      </c>
      <c r="U4118" s="32">
        <f t="shared" si="320"/>
        <v>1082.8536193029468</v>
      </c>
      <c r="V4118" s="22">
        <f t="shared" si="321"/>
        <v>0.31688827421026627</v>
      </c>
      <c r="X4118" s="33"/>
      <c r="Y4118" s="33"/>
    </row>
    <row r="4119" spans="1:25" x14ac:dyDescent="0.2">
      <c r="A4119" s="93" t="s">
        <v>2637</v>
      </c>
      <c r="B4119" s="94" t="str">
        <f>IFERROR(VLOOKUP($A4119,HeadJournal!$A$1:$NTR$890,COLUMN(HeadJournal!B$1),0),"")</f>
        <v>720000519891</v>
      </c>
      <c r="C4119" s="94" t="str">
        <f>IFERROR(VLOOKUP($A4119,HeadJournal!$A$1:$NTR$890,COLUMN(HeadJournal!C$1),0),"")</f>
        <v>iHerb_VP DFD1605</v>
      </c>
      <c r="D4119" s="125" t="str">
        <f>IFERROR(VLOOKUP($A4119,HeadJournal!$A$1:$NTR$890,COLUMN(HeadJournal!D$1),0),"")</f>
        <v>Доставлен</v>
      </c>
      <c r="E4119" s="95">
        <f>IFERROR(VLOOKUP($A4119,HeadJournal!$A$1:$NTR$890,COLUMN(HeadJournal!G$1),0),"")</f>
        <v>45633</v>
      </c>
      <c r="F4119" s="95" t="str">
        <f t="shared" si="322"/>
        <v>2024 12</v>
      </c>
      <c r="G4119" s="97" t="s">
        <v>5</v>
      </c>
      <c r="H4119" s="161" t="s">
        <v>2624</v>
      </c>
      <c r="I4119" s="97" t="s">
        <v>2005</v>
      </c>
      <c r="J4119" s="97" t="s">
        <v>2625</v>
      </c>
      <c r="K4119" s="29">
        <v>21.5</v>
      </c>
      <c r="L4119" s="29">
        <v>-5.38</v>
      </c>
      <c r="M4119" s="30">
        <f>IFERROR(VLOOKUP($A4119,HeadJournal!$A$1:$J$890,COLUMN(HeadJournal!I$1),0)*($K4119+$L4119)/(SUMIF($A:$A,$A4119,$K:$K)+SUMIF($A:$A,$A4119,$L:$L)),0)</f>
        <v>0</v>
      </c>
      <c r="N4119" s="30">
        <f>IFERROR((VLOOKUP($A4119,HeadJournal!$A$1:$K$890,COLUMN(HeadJournal!K$1),0)-VLOOKUP($A4119,HeadJournal!$A$1:$K$890,COLUMN(HeadJournal!J$1),0))*($K4119+$L4119)/(SUMIF($A:$A,$A4119,$K:$K)+SUMIF($A:$A,$A4119,$L:$L)),0)</f>
        <v>7.0863779544975163E-15</v>
      </c>
      <c r="O4119" s="30">
        <f>IFERROR((VLOOKUP($A4119,HeadJournal!$A$1:$L$890,COLUMN(HeadJournal!L$1),0)*($K4119+$L4119)/(SUMIF($A:$A,$A4119,$K:$K)+SUMIF($A:$A,$A4119,$L:$L)))/VLOOKUP($A4119,HeadJournal!$A$1:$L$890,COLUMN(HeadJournal!H$1),0),0)</f>
        <v>0.49521592488404775</v>
      </c>
      <c r="P4119" s="30">
        <f>IFERROR(SUM(K4119:O4119)*VLOOKUP($A4119,HeadJournal!$A$1:$L$890,COLUMN(HeadJournal!H$1),0),0)</f>
        <v>1995.8115817694386</v>
      </c>
      <c r="Q4119" s="29">
        <v>3000</v>
      </c>
      <c r="R4119" s="31">
        <v>45682</v>
      </c>
      <c r="S4119" s="31" t="s">
        <v>3121</v>
      </c>
      <c r="T4119" s="95" t="str">
        <f t="shared" si="323"/>
        <v>2025 01</v>
      </c>
      <c r="U4119" s="32">
        <f t="shared" si="320"/>
        <v>1004.1884182305614</v>
      </c>
      <c r="V4119" s="22">
        <f t="shared" si="321"/>
        <v>0.50314790604645765</v>
      </c>
      <c r="X4119" s="33"/>
      <c r="Y4119" s="33"/>
    </row>
    <row r="4120" spans="1:25" x14ac:dyDescent="0.2">
      <c r="A4120" s="93" t="s">
        <v>2637</v>
      </c>
      <c r="B4120" s="94" t="str">
        <f>IFERROR(VLOOKUP($A4120,HeadJournal!$A$1:$NTR$890,COLUMN(HeadJournal!B$1),0),"")</f>
        <v>720000519891</v>
      </c>
      <c r="C4120" s="94" t="str">
        <f>IFERROR(VLOOKUP($A4120,HeadJournal!$A$1:$NTR$890,COLUMN(HeadJournal!C$1),0),"")</f>
        <v>iHerb_VP DFD1605</v>
      </c>
      <c r="D4120" s="125" t="str">
        <f>IFERROR(VLOOKUP($A4120,HeadJournal!$A$1:$NTR$890,COLUMN(HeadJournal!D$1),0),"")</f>
        <v>Доставлен</v>
      </c>
      <c r="E4120" s="95">
        <f>IFERROR(VLOOKUP($A4120,HeadJournal!$A$1:$NTR$890,COLUMN(HeadJournal!G$1),0),"")</f>
        <v>45633</v>
      </c>
      <c r="F4120" s="95" t="str">
        <f t="shared" si="322"/>
        <v>2024 12</v>
      </c>
      <c r="G4120" s="97" t="s">
        <v>5</v>
      </c>
      <c r="H4120" s="161" t="s">
        <v>2626</v>
      </c>
      <c r="I4120" s="97" t="s">
        <v>2005</v>
      </c>
      <c r="J4120" s="97" t="s">
        <v>2627</v>
      </c>
      <c r="K4120" s="29">
        <v>25.04</v>
      </c>
      <c r="L4120" s="29">
        <v>-7.51</v>
      </c>
      <c r="M4120" s="30">
        <f>IFERROR(VLOOKUP($A4120,HeadJournal!$A$1:$J$890,COLUMN(HeadJournal!I$1),0)*($K4120+$L4120)/(SUMIF($A:$A,$A4120,$K:$K)+SUMIF($A:$A,$A4120,$L:$L)),0)</f>
        <v>0</v>
      </c>
      <c r="N4120" s="30">
        <f>IFERROR((VLOOKUP($A4120,HeadJournal!$A$1:$K$890,COLUMN(HeadJournal!K$1),0)-VLOOKUP($A4120,HeadJournal!$A$1:$K$890,COLUMN(HeadJournal!J$1),0))*($K4120+$L4120)/(SUMIF($A:$A,$A4120,$K:$K)+SUMIF($A:$A,$A4120,$L:$L)),0)</f>
        <v>7.7062162247110102E-15</v>
      </c>
      <c r="O4120" s="30">
        <f>IFERROR((VLOOKUP($A4120,HeadJournal!$A$1:$L$890,COLUMN(HeadJournal!L$1),0)*($K4120+$L4120)/(SUMIF($A:$A,$A4120,$K:$K)+SUMIF($A:$A,$A4120,$L:$L)))/VLOOKUP($A4120,HeadJournal!$A$1:$L$890,COLUMN(HeadJournal!H$1),0),0)</f>
        <v>0.5385319580159651</v>
      </c>
      <c r="P4120" s="30">
        <f>IFERROR(SUM(K4120:O4120)*VLOOKUP($A4120,HeadJournal!$A$1:$L$890,COLUMN(HeadJournal!H$1),0),0)</f>
        <v>2170.3831903485275</v>
      </c>
      <c r="Q4120" s="29">
        <v>2900</v>
      </c>
      <c r="R4120" s="31">
        <v>45936</v>
      </c>
      <c r="S4120" s="31"/>
      <c r="T4120" s="95" t="str">
        <f t="shared" si="323"/>
        <v>2025 10</v>
      </c>
      <c r="U4120" s="32">
        <f t="shared" si="320"/>
        <v>729.61680965147252</v>
      </c>
      <c r="V4120" s="22">
        <f t="shared" si="321"/>
        <v>0.3361695818950331</v>
      </c>
      <c r="X4120" s="33"/>
      <c r="Y4120" s="33"/>
    </row>
    <row r="4121" spans="1:25" x14ac:dyDescent="0.2">
      <c r="A4121" s="93" t="s">
        <v>2637</v>
      </c>
      <c r="B4121" s="94" t="str">
        <f>IFERROR(VLOOKUP($A4121,HeadJournal!$A$1:$NTR$890,COLUMN(HeadJournal!B$1),0),"")</f>
        <v>720000519891</v>
      </c>
      <c r="C4121" s="94" t="str">
        <f>IFERROR(VLOOKUP($A4121,HeadJournal!$A$1:$NTR$890,COLUMN(HeadJournal!C$1),0),"")</f>
        <v>iHerb_VP DFD1605</v>
      </c>
      <c r="D4121" s="125" t="str">
        <f>IFERROR(VLOOKUP($A4121,HeadJournal!$A$1:$NTR$890,COLUMN(HeadJournal!D$1),0),"")</f>
        <v>Доставлен</v>
      </c>
      <c r="E4121" s="95">
        <f>IFERROR(VLOOKUP($A4121,HeadJournal!$A$1:$NTR$890,COLUMN(HeadJournal!G$1),0),"")</f>
        <v>45633</v>
      </c>
      <c r="F4121" s="95" t="str">
        <f t="shared" si="322"/>
        <v>2024 12</v>
      </c>
      <c r="G4121" s="97" t="s">
        <v>5</v>
      </c>
      <c r="H4121" s="161" t="s">
        <v>2628</v>
      </c>
      <c r="I4121" s="97" t="s">
        <v>2005</v>
      </c>
      <c r="J4121" s="97" t="s">
        <v>2629</v>
      </c>
      <c r="K4121" s="29">
        <v>22.15</v>
      </c>
      <c r="L4121" s="29">
        <v>-5.54</v>
      </c>
      <c r="M4121" s="30">
        <f>IFERROR(VLOOKUP($A4121,HeadJournal!$A$1:$J$890,COLUMN(HeadJournal!I$1),0)*($K4121+$L4121)/(SUMIF($A:$A,$A4121,$K:$K)+SUMIF($A:$A,$A4121,$L:$L)),0)</f>
        <v>0</v>
      </c>
      <c r="N4121" s="30">
        <f>IFERROR((VLOOKUP($A4121,HeadJournal!$A$1:$K$890,COLUMN(HeadJournal!K$1),0)-VLOOKUP($A4121,HeadJournal!$A$1:$K$890,COLUMN(HeadJournal!J$1),0))*($K4121+$L4121)/(SUMIF($A:$A,$A4121,$K:$K)+SUMIF($A:$A,$A4121,$L:$L)),0)</f>
        <v>7.3017827434369569E-15</v>
      </c>
      <c r="O4121" s="30">
        <f>IFERROR((VLOOKUP($A4121,HeadJournal!$A$1:$L$890,COLUMN(HeadJournal!L$1),0)*($K4121+$L4121)/(SUMIF($A:$A,$A4121,$K:$K)+SUMIF($A:$A,$A4121,$L:$L)))/VLOOKUP($A4121,HeadJournal!$A$1:$L$890,COLUMN(HeadJournal!H$1),0),0)</f>
        <v>0.51026901441216088</v>
      </c>
      <c r="P4121" s="30">
        <f>IFERROR(SUM(K4121:O4121)*VLOOKUP($A4121,HeadJournal!$A$1:$L$890,COLUMN(HeadJournal!H$1),0),0)</f>
        <v>2056.4783109919586</v>
      </c>
      <c r="Q4121" s="29">
        <v>2800</v>
      </c>
      <c r="R4121" s="31">
        <v>45781</v>
      </c>
      <c r="S4121" s="31" t="s">
        <v>3475</v>
      </c>
      <c r="T4121" s="95" t="str">
        <f t="shared" si="323"/>
        <v>2025 05</v>
      </c>
      <c r="U4121" s="32">
        <f t="shared" si="320"/>
        <v>743.52168900804145</v>
      </c>
      <c r="V4121" s="22">
        <f t="shared" si="321"/>
        <v>0.36155095097958895</v>
      </c>
      <c r="X4121" s="33"/>
      <c r="Y4121" s="33"/>
    </row>
    <row r="4122" spans="1:25" x14ac:dyDescent="0.2">
      <c r="A4122" s="93" t="s">
        <v>2637</v>
      </c>
      <c r="B4122" s="94" t="str">
        <f>IFERROR(VLOOKUP($A4122,HeadJournal!$A$1:$NTR$890,COLUMN(HeadJournal!B$1),0),"")</f>
        <v>720000519891</v>
      </c>
      <c r="C4122" s="94" t="str">
        <f>IFERROR(VLOOKUP($A4122,HeadJournal!$A$1:$NTR$890,COLUMN(HeadJournal!C$1),0),"")</f>
        <v>iHerb_VP DFD1605</v>
      </c>
      <c r="D4122" s="125" t="str">
        <f>IFERROR(VLOOKUP($A4122,HeadJournal!$A$1:$NTR$890,COLUMN(HeadJournal!D$1),0),"")</f>
        <v>Доставлен</v>
      </c>
      <c r="E4122" s="95">
        <f>IFERROR(VLOOKUP($A4122,HeadJournal!$A$1:$NTR$890,COLUMN(HeadJournal!G$1),0),"")</f>
        <v>45633</v>
      </c>
      <c r="F4122" s="95" t="str">
        <f t="shared" si="322"/>
        <v>2024 12</v>
      </c>
      <c r="G4122" s="97" t="s">
        <v>5</v>
      </c>
      <c r="H4122" s="161" t="s">
        <v>2630</v>
      </c>
      <c r="I4122" s="97" t="s">
        <v>2052</v>
      </c>
      <c r="J4122" s="97" t="s">
        <v>2631</v>
      </c>
      <c r="K4122" s="29">
        <v>19.27</v>
      </c>
      <c r="L4122" s="29">
        <v>-5.78</v>
      </c>
      <c r="M4122" s="30">
        <f>IFERROR(VLOOKUP($A4122,HeadJournal!$A$1:$J$890,COLUMN(HeadJournal!I$1),0)*($K4122+$L4122)/(SUMIF($A:$A,$A4122,$K:$K)+SUMIF($A:$A,$A4122,$L:$L)),0)</f>
        <v>0</v>
      </c>
      <c r="N4122" s="30">
        <f>IFERROR((VLOOKUP($A4122,HeadJournal!$A$1:$K$890,COLUMN(HeadJournal!K$1),0)-VLOOKUP($A4122,HeadJournal!$A$1:$K$890,COLUMN(HeadJournal!J$1),0))*($K4122+$L4122)/(SUMIF($A:$A,$A4122,$K:$K)+SUMIF($A:$A,$A4122,$L:$L)),0)</f>
        <v>5.9302257199858251E-15</v>
      </c>
      <c r="O4122" s="30">
        <f>IFERROR((VLOOKUP($A4122,HeadJournal!$A$1:$L$890,COLUMN(HeadJournal!L$1),0)*($K4122+$L4122)/(SUMIF($A:$A,$A4122,$K:$K)+SUMIF($A:$A,$A4122,$L:$L)))/VLOOKUP($A4122,HeadJournal!$A$1:$L$890,COLUMN(HeadJournal!H$1),0),0)</f>
        <v>0.41442077088621609</v>
      </c>
      <c r="P4122" s="30">
        <f>IFERROR(SUM(K4122:O4122)*VLOOKUP($A4122,HeadJournal!$A$1:$L$890,COLUMN(HeadJournal!H$1),0),0)</f>
        <v>1670.1921983914222</v>
      </c>
      <c r="Q4122" s="29">
        <v>2700</v>
      </c>
      <c r="R4122" s="31">
        <v>45678</v>
      </c>
      <c r="S4122" s="31" t="s">
        <v>3121</v>
      </c>
      <c r="T4122" s="95" t="str">
        <f t="shared" si="323"/>
        <v>2025 01</v>
      </c>
      <c r="U4122" s="32">
        <f t="shared" si="320"/>
        <v>1029.8078016085778</v>
      </c>
      <c r="V4122" s="22">
        <f t="shared" si="321"/>
        <v>0.61658041667324004</v>
      </c>
      <c r="X4122" s="33"/>
      <c r="Y4122" s="33"/>
    </row>
    <row r="4123" spans="1:25" x14ac:dyDescent="0.2">
      <c r="A4123" s="93" t="s">
        <v>2637</v>
      </c>
      <c r="B4123" s="94" t="str">
        <f>IFERROR(VLOOKUP($A4123,HeadJournal!$A$1:$NTR$890,COLUMN(HeadJournal!B$1),0),"")</f>
        <v>720000519891</v>
      </c>
      <c r="C4123" s="94" t="str">
        <f>IFERROR(VLOOKUP($A4123,HeadJournal!$A$1:$NTR$890,COLUMN(HeadJournal!C$1),0),"")</f>
        <v>iHerb_VP DFD1605</v>
      </c>
      <c r="D4123" s="125" t="str">
        <f>IFERROR(VLOOKUP($A4123,HeadJournal!$A$1:$NTR$890,COLUMN(HeadJournal!D$1),0),"")</f>
        <v>Доставлен</v>
      </c>
      <c r="E4123" s="95">
        <f>IFERROR(VLOOKUP($A4123,HeadJournal!$A$1:$NTR$890,COLUMN(HeadJournal!G$1),0),"")</f>
        <v>45633</v>
      </c>
      <c r="F4123" s="95" t="str">
        <f t="shared" si="322"/>
        <v>2024 12</v>
      </c>
      <c r="G4123" s="97" t="s">
        <v>5</v>
      </c>
      <c r="H4123" s="161" t="s">
        <v>2632</v>
      </c>
      <c r="I4123" s="97" t="s">
        <v>2633</v>
      </c>
      <c r="J4123" s="97" t="s">
        <v>2634</v>
      </c>
      <c r="K4123" s="29">
        <v>7.02</v>
      </c>
      <c r="L4123" s="29">
        <v>-1.4</v>
      </c>
      <c r="M4123" s="30">
        <f>IFERROR(VLOOKUP($A4123,HeadJournal!$A$1:$J$890,COLUMN(HeadJournal!I$1),0)*($K4123+$L4123)/(SUMIF($A:$A,$A4123,$K:$K)+SUMIF($A:$A,$A4123,$L:$L)),0)</f>
        <v>0</v>
      </c>
      <c r="N4123" s="30">
        <f>IFERROR((VLOOKUP($A4123,HeadJournal!$A$1:$K$890,COLUMN(HeadJournal!K$1),0)-VLOOKUP($A4123,HeadJournal!$A$1:$K$890,COLUMN(HeadJournal!J$1),0))*($K4123+$L4123)/(SUMIF($A:$A,$A4123,$K:$K)+SUMIF($A:$A,$A4123,$L:$L)),0)</f>
        <v>2.47056104865236E-15</v>
      </c>
      <c r="O4123" s="30">
        <f>IFERROR((VLOOKUP($A4123,HeadJournal!$A$1:$L$890,COLUMN(HeadJournal!L$1),0)*($K4123+$L4123)/(SUMIF($A:$A,$A4123,$K:$K)+SUMIF($A:$A,$A4123,$L:$L)))/VLOOKUP($A4123,HeadJournal!$A$1:$L$890,COLUMN(HeadJournal!H$1),0),0)</f>
        <v>0.17264972071019527</v>
      </c>
      <c r="P4123" s="30">
        <f>IFERROR(SUM(K4123:O4123)*VLOOKUP($A4123,HeadJournal!$A$1:$L$890,COLUMN(HeadJournal!H$1),0),0)</f>
        <v>695.81024128686374</v>
      </c>
      <c r="Q4123" s="29"/>
      <c r="R4123" s="31"/>
      <c r="S4123" s="31"/>
      <c r="T4123" s="95" t="str">
        <f t="shared" si="323"/>
        <v/>
      </c>
      <c r="U4123" s="32">
        <f t="shared" si="320"/>
        <v>-695.81024128686374</v>
      </c>
      <c r="V4123" s="22" t="str">
        <f t="shared" si="321"/>
        <v/>
      </c>
      <c r="X4123" s="33"/>
      <c r="Y4123" s="33"/>
    </row>
    <row r="4124" spans="1:25" x14ac:dyDescent="0.2">
      <c r="A4124" s="93" t="s">
        <v>2637</v>
      </c>
      <c r="B4124" s="94" t="str">
        <f>IFERROR(VLOOKUP($A4124,HeadJournal!$A$1:$NTR$890,COLUMN(HeadJournal!B$1),0),"")</f>
        <v>720000519891</v>
      </c>
      <c r="C4124" s="94" t="str">
        <f>IFERROR(VLOOKUP($A4124,HeadJournal!$A$1:$NTR$890,COLUMN(HeadJournal!C$1),0),"")</f>
        <v>iHerb_VP DFD1605</v>
      </c>
      <c r="D4124" s="125" t="str">
        <f>IFERROR(VLOOKUP($A4124,HeadJournal!$A$1:$NTR$890,COLUMN(HeadJournal!D$1),0),"")</f>
        <v>Доставлен</v>
      </c>
      <c r="E4124" s="95">
        <f>IFERROR(VLOOKUP($A4124,HeadJournal!$A$1:$NTR$890,COLUMN(HeadJournal!G$1),0),"")</f>
        <v>45633</v>
      </c>
      <c r="F4124" s="95" t="str">
        <f t="shared" si="322"/>
        <v>2024 12</v>
      </c>
      <c r="G4124" s="97" t="s">
        <v>5</v>
      </c>
      <c r="H4124" s="161" t="s">
        <v>2635</v>
      </c>
      <c r="I4124" s="97" t="s">
        <v>2581</v>
      </c>
      <c r="J4124" s="97" t="s">
        <v>2636</v>
      </c>
      <c r="K4124" s="29">
        <v>11.31</v>
      </c>
      <c r="L4124" s="29">
        <v>-6.81</v>
      </c>
      <c r="M4124" s="30">
        <f>IFERROR(VLOOKUP($A4124,HeadJournal!$A$1:$J$890,COLUMN(HeadJournal!I$1),0)*($K4124+$L4124)/(SUMIF($A:$A,$A4124,$K:$K)+SUMIF($A:$A,$A4124,$L:$L)),0)</f>
        <v>0</v>
      </c>
      <c r="N4124" s="30">
        <f>IFERROR((VLOOKUP($A4124,HeadJournal!$A$1:$K$890,COLUMN(HeadJournal!K$1),0)-VLOOKUP($A4124,HeadJournal!$A$1:$K$890,COLUMN(HeadJournal!J$1),0))*($K4124+$L4124)/(SUMIF($A:$A,$A4124,$K:$K)+SUMIF($A:$A,$A4124,$L:$L)),0)</f>
        <v>1.9782072453622106E-15</v>
      </c>
      <c r="O4124" s="30">
        <f>IFERROR((VLOOKUP($A4124,HeadJournal!$A$1:$L$890,COLUMN(HeadJournal!L$1),0)*($K4124+$L4124)/(SUMIF($A:$A,$A4124,$K:$K)+SUMIF($A:$A,$A4124,$L:$L)))/VLOOKUP($A4124,HeadJournal!$A$1:$L$890,COLUMN(HeadJournal!H$1),0),0)</f>
        <v>0.13824265893165108</v>
      </c>
      <c r="P4124" s="30">
        <f>IFERROR(SUM(K4124:O4124)*VLOOKUP($A4124,HeadJournal!$A$1:$L$890,COLUMN(HeadJournal!H$1),0),0)</f>
        <v>557.14343163538933</v>
      </c>
      <c r="Q4124" s="29">
        <v>1600</v>
      </c>
      <c r="R4124" s="31">
        <v>45804</v>
      </c>
      <c r="S4124" s="31" t="s">
        <v>3121</v>
      </c>
      <c r="T4124" s="95" t="str">
        <f t="shared" si="323"/>
        <v>2025 05</v>
      </c>
      <c r="U4124" s="32">
        <f t="shared" si="320"/>
        <v>1042.8565683646107</v>
      </c>
      <c r="V4124" s="22">
        <f t="shared" si="321"/>
        <v>1.8717919105740906</v>
      </c>
      <c r="X4124" s="33"/>
      <c r="Y4124" s="33"/>
    </row>
    <row r="4125" spans="1:25" x14ac:dyDescent="0.2">
      <c r="A4125" s="93" t="s">
        <v>2652</v>
      </c>
      <c r="B4125" s="94" t="str">
        <f>IFERROR(VLOOKUP($A4125,HeadJournal!$A$1:$NTR$890,COLUMN(HeadJournal!B$1),0),"")</f>
        <v>720000501892</v>
      </c>
      <c r="C4125" s="94" t="str">
        <f>IFERROR(VLOOKUP($A4125,HeadJournal!$A$1:$NTR$890,COLUMN(HeadJournal!C$1),0),"")</f>
        <v>iHerb_MH DLE7202</v>
      </c>
      <c r="D4125" s="125" t="str">
        <f>IFERROR(VLOOKUP($A4125,HeadJournal!$A$1:$NTR$890,COLUMN(HeadJournal!D$1),0),"")</f>
        <v>Доставлен</v>
      </c>
      <c r="E4125" s="95">
        <f>IFERROR(VLOOKUP($A4125,HeadJournal!$A$1:$NTR$890,COLUMN(HeadJournal!G$1),0),"")</f>
        <v>45624</v>
      </c>
      <c r="F4125" s="95" t="str">
        <f t="shared" si="322"/>
        <v>2024 11</v>
      </c>
      <c r="G4125" s="97" t="s">
        <v>5</v>
      </c>
      <c r="H4125" s="161" t="s">
        <v>2639</v>
      </c>
      <c r="I4125" s="97" t="s">
        <v>2005</v>
      </c>
      <c r="J4125" s="97" t="s">
        <v>2640</v>
      </c>
      <c r="K4125" s="29">
        <v>20.03</v>
      </c>
      <c r="L4125" s="29">
        <v>-5.01</v>
      </c>
      <c r="M4125" s="30">
        <f>IFERROR(VLOOKUP($A4125,HeadJournal!$A$1:$J$890,COLUMN(HeadJournal!I$1),0)*($K4125+$L4125)/(SUMIF($A:$A,$A4125,$K:$K)+SUMIF($A:$A,$A4125,$L:$L)),0)</f>
        <v>-1.7487950530035332</v>
      </c>
      <c r="N4125" s="30">
        <f>IFERROR((VLOOKUP($A4125,HeadJournal!$A$1:$K$890,COLUMN(HeadJournal!K$1),0)-VLOOKUP($A4125,HeadJournal!$A$1:$K$890,COLUMN(HeadJournal!J$1),0))*($K4125+$L4125)/(SUMIF($A:$A,$A4125,$K:$K)+SUMIF($A:$A,$A4125,$L:$L)),0)</f>
        <v>-2.5140993854220738E-15</v>
      </c>
      <c r="O4125" s="30">
        <f>IFERROR((VLOOKUP($A4125,HeadJournal!$A$1:$L$890,COLUMN(HeadJournal!L$1),0)*($K4125+$L4125)/(SUMIF($A:$A,$A4125,$K:$K)+SUMIF($A:$A,$A4125,$L:$L)))/VLOOKUP($A4125,HeadJournal!$A$1:$L$890,COLUMN(HeadJournal!H$1),0),0)</f>
        <v>0.68271694733670107</v>
      </c>
      <c r="P4125" s="30">
        <f>IFERROR(SUM(K4125:O4125)*VLOOKUP($A4125,HeadJournal!$A$1:$L$890,COLUMN(HeadJournal!H$1),0),0)</f>
        <v>1620.627629760502</v>
      </c>
      <c r="Q4125" s="29">
        <v>2700</v>
      </c>
      <c r="R4125" s="31">
        <v>45677</v>
      </c>
      <c r="S4125" s="31" t="s">
        <v>3121</v>
      </c>
      <c r="T4125" s="95" t="str">
        <f t="shared" si="323"/>
        <v>2025 01</v>
      </c>
      <c r="U4125" s="32">
        <f t="shared" si="320"/>
        <v>1079.372370239498</v>
      </c>
      <c r="V4125" s="22">
        <f t="shared" si="321"/>
        <v>0.66602120710419377</v>
      </c>
      <c r="X4125" s="33"/>
      <c r="Y4125" s="33"/>
    </row>
    <row r="4126" spans="1:25" x14ac:dyDescent="0.2">
      <c r="A4126" s="93" t="s">
        <v>2652</v>
      </c>
      <c r="B4126" s="94" t="str">
        <f>IFERROR(VLOOKUP($A4126,HeadJournal!$A$1:$NTR$890,COLUMN(HeadJournal!B$1),0),"")</f>
        <v>720000501892</v>
      </c>
      <c r="C4126" s="94" t="str">
        <f>IFERROR(VLOOKUP($A4126,HeadJournal!$A$1:$NTR$890,COLUMN(HeadJournal!C$1),0),"")</f>
        <v>iHerb_MH DLE7202</v>
      </c>
      <c r="D4126" s="125" t="str">
        <f>IFERROR(VLOOKUP($A4126,HeadJournal!$A$1:$NTR$890,COLUMN(HeadJournal!D$1),0),"")</f>
        <v>Доставлен</v>
      </c>
      <c r="E4126" s="95">
        <f>IFERROR(VLOOKUP($A4126,HeadJournal!$A$1:$NTR$890,COLUMN(HeadJournal!G$1),0),"")</f>
        <v>45624</v>
      </c>
      <c r="F4126" s="95" t="str">
        <f t="shared" si="322"/>
        <v>2024 11</v>
      </c>
      <c r="G4126" s="97" t="s">
        <v>5</v>
      </c>
      <c r="H4126" s="161" t="s">
        <v>2481</v>
      </c>
      <c r="I4126" s="97" t="s">
        <v>2005</v>
      </c>
      <c r="J4126" s="97" t="s">
        <v>2482</v>
      </c>
      <c r="K4126" s="29">
        <v>11.07</v>
      </c>
      <c r="L4126" s="29">
        <v>-2.77</v>
      </c>
      <c r="M4126" s="30">
        <f>IFERROR(VLOOKUP($A4126,HeadJournal!$A$1:$J$890,COLUMN(HeadJournal!I$1),0)*($K4126+$L4126)/(SUMIF($A:$A,$A4126,$K:$K)+SUMIF($A:$A,$A4126,$L:$L)),0)</f>
        <v>-0.96637809187279133</v>
      </c>
      <c r="N4126" s="30">
        <f>IFERROR((VLOOKUP($A4126,HeadJournal!$A$1:$K$890,COLUMN(HeadJournal!K$1),0)-VLOOKUP($A4126,HeadJournal!$A$1:$K$890,COLUMN(HeadJournal!J$1),0))*($K4126+$L4126)/(SUMIF($A:$A,$A4126,$K:$K)+SUMIF($A:$A,$A4126,$L:$L)),0)</f>
        <v>-1.3892826164449542E-15</v>
      </c>
      <c r="O4126" s="30">
        <f>IFERROR((VLOOKUP($A4126,HeadJournal!$A$1:$L$890,COLUMN(HeadJournal!L$1),0)*($K4126+$L4126)/(SUMIF($A:$A,$A4126,$K:$K)+SUMIF($A:$A,$A4126,$L:$L)))/VLOOKUP($A4126,HeadJournal!$A$1:$L$890,COLUMN(HeadJournal!H$1),0),0)</f>
        <v>0.37726702149764441</v>
      </c>
      <c r="P4126" s="30">
        <f>IFERROR(SUM(K4126:O4126)*VLOOKUP($A4126,HeadJournal!$A$1:$L$890,COLUMN(HeadJournal!H$1),0),0)</f>
        <v>895.55321751079669</v>
      </c>
      <c r="Q4126" s="29">
        <v>1700</v>
      </c>
      <c r="R4126" s="31">
        <v>45852</v>
      </c>
      <c r="S4126" s="31" t="s">
        <v>3475</v>
      </c>
      <c r="T4126" s="95" t="str">
        <f t="shared" si="323"/>
        <v>2025 07</v>
      </c>
      <c r="U4126" s="32">
        <f t="shared" si="320"/>
        <v>804.44678248920331</v>
      </c>
      <c r="V4126" s="22">
        <f t="shared" si="321"/>
        <v>0.89826798314138712</v>
      </c>
      <c r="X4126" s="33"/>
      <c r="Y4126" s="33"/>
    </row>
    <row r="4127" spans="1:25" x14ac:dyDescent="0.2">
      <c r="A4127" s="93" t="s">
        <v>2652</v>
      </c>
      <c r="B4127" s="94" t="str">
        <f>IFERROR(VLOOKUP($A4127,HeadJournal!$A$1:$NTR$890,COLUMN(HeadJournal!B$1),0),"")</f>
        <v>720000501892</v>
      </c>
      <c r="C4127" s="94" t="str">
        <f>IFERROR(VLOOKUP($A4127,HeadJournal!$A$1:$NTR$890,COLUMN(HeadJournal!C$1),0),"")</f>
        <v>iHerb_MH DLE7202</v>
      </c>
      <c r="D4127" s="125" t="str">
        <f>IFERROR(VLOOKUP($A4127,HeadJournal!$A$1:$NTR$890,COLUMN(HeadJournal!D$1),0),"")</f>
        <v>Доставлен</v>
      </c>
      <c r="E4127" s="95">
        <f>IFERROR(VLOOKUP($A4127,HeadJournal!$A$1:$NTR$890,COLUMN(HeadJournal!G$1),0),"")</f>
        <v>45624</v>
      </c>
      <c r="F4127" s="95" t="str">
        <f t="shared" si="322"/>
        <v>2024 11</v>
      </c>
      <c r="G4127" s="97" t="s">
        <v>5</v>
      </c>
      <c r="H4127" s="161" t="s">
        <v>2614</v>
      </c>
      <c r="I4127" s="97" t="s">
        <v>2005</v>
      </c>
      <c r="J4127" s="97" t="s">
        <v>2641</v>
      </c>
      <c r="K4127" s="29">
        <v>5.87</v>
      </c>
      <c r="L4127" s="29">
        <v>-1.47</v>
      </c>
      <c r="M4127" s="30">
        <f>IFERROR(VLOOKUP($A4127,HeadJournal!$A$1:$J$890,COLUMN(HeadJournal!I$1),0)*($K4127+$L4127)/(SUMIF($A:$A,$A4127,$K:$K)+SUMIF($A:$A,$A4127,$L:$L)),0)</f>
        <v>-0.51229681978798569</v>
      </c>
      <c r="N4127" s="30">
        <f>IFERROR((VLOOKUP($A4127,HeadJournal!$A$1:$K$890,COLUMN(HeadJournal!K$1),0)-VLOOKUP($A4127,HeadJournal!$A$1:$K$890,COLUMN(HeadJournal!J$1),0))*($K4127+$L4127)/(SUMIF($A:$A,$A4127,$K:$K)+SUMIF($A:$A,$A4127,$L:$L)),0)</f>
        <v>-7.3648717016359021E-16</v>
      </c>
      <c r="O4127" s="30">
        <f>IFERROR((VLOOKUP($A4127,HeadJournal!$A$1:$L$890,COLUMN(HeadJournal!L$1),0)*($K4127+$L4127)/(SUMIF($A:$A,$A4127,$K:$K)+SUMIF($A:$A,$A4127,$L:$L)))/VLOOKUP($A4127,HeadJournal!$A$1:$L$890,COLUMN(HeadJournal!H$1),0),0)</f>
        <v>0.19999697525176327</v>
      </c>
      <c r="P4127" s="30">
        <f>IFERROR(SUM(K4127:O4127)*VLOOKUP($A4127,HeadJournal!$A$1:$L$890,COLUMN(HeadJournal!H$1),0),0)</f>
        <v>474.75110325873555</v>
      </c>
      <c r="Q4127" s="29">
        <v>1100</v>
      </c>
      <c r="R4127" s="31">
        <v>45663</v>
      </c>
      <c r="S4127" s="31" t="s">
        <v>3121</v>
      </c>
      <c r="T4127" s="95" t="str">
        <f t="shared" si="323"/>
        <v>2025 01</v>
      </c>
      <c r="U4127" s="32">
        <f t="shared" si="320"/>
        <v>625.24889674126439</v>
      </c>
      <c r="V4127" s="22">
        <f t="shared" si="321"/>
        <v>1.3170035676578697</v>
      </c>
      <c r="X4127" s="33"/>
      <c r="Y4127" s="33"/>
    </row>
    <row r="4128" spans="1:25" x14ac:dyDescent="0.2">
      <c r="A4128" s="93" t="s">
        <v>2652</v>
      </c>
      <c r="B4128" s="94" t="str">
        <f>IFERROR(VLOOKUP($A4128,HeadJournal!$A$1:$NTR$890,COLUMN(HeadJournal!B$1),0),"")</f>
        <v>720000501892</v>
      </c>
      <c r="C4128" s="94" t="str">
        <f>IFERROR(VLOOKUP($A4128,HeadJournal!$A$1:$NTR$890,COLUMN(HeadJournal!C$1),0),"")</f>
        <v>iHerb_MH DLE7202</v>
      </c>
      <c r="D4128" s="125" t="str">
        <f>IFERROR(VLOOKUP($A4128,HeadJournal!$A$1:$NTR$890,COLUMN(HeadJournal!D$1),0),"")</f>
        <v>Доставлен</v>
      </c>
      <c r="E4128" s="95">
        <f>IFERROR(VLOOKUP($A4128,HeadJournal!$A$1:$NTR$890,COLUMN(HeadJournal!G$1),0),"")</f>
        <v>45624</v>
      </c>
      <c r="F4128" s="95" t="str">
        <f t="shared" si="322"/>
        <v>2024 11</v>
      </c>
      <c r="G4128" s="97" t="s">
        <v>5</v>
      </c>
      <c r="H4128" s="161" t="s">
        <v>2614</v>
      </c>
      <c r="I4128" s="97" t="s">
        <v>2005</v>
      </c>
      <c r="J4128" s="97" t="s">
        <v>2641</v>
      </c>
      <c r="K4128" s="29">
        <v>5.87</v>
      </c>
      <c r="L4128" s="29">
        <v>-1.47</v>
      </c>
      <c r="M4128" s="30">
        <f>IFERROR(VLOOKUP($A4128,HeadJournal!$A$1:$J$890,COLUMN(HeadJournal!I$1),0)*($K4128+$L4128)/(SUMIF($A:$A,$A4128,$K:$K)+SUMIF($A:$A,$A4128,$L:$L)),0)</f>
        <v>-0.51229681978798569</v>
      </c>
      <c r="N4128" s="30">
        <f>IFERROR((VLOOKUP($A4128,HeadJournal!$A$1:$K$890,COLUMN(HeadJournal!K$1),0)-VLOOKUP($A4128,HeadJournal!$A$1:$K$890,COLUMN(HeadJournal!J$1),0))*($K4128+$L4128)/(SUMIF($A:$A,$A4128,$K:$K)+SUMIF($A:$A,$A4128,$L:$L)),0)</f>
        <v>-7.3648717016359021E-16</v>
      </c>
      <c r="O4128" s="30">
        <f>IFERROR((VLOOKUP($A4128,HeadJournal!$A$1:$L$890,COLUMN(HeadJournal!L$1),0)*($K4128+$L4128)/(SUMIF($A:$A,$A4128,$K:$K)+SUMIF($A:$A,$A4128,$L:$L)))/VLOOKUP($A4128,HeadJournal!$A$1:$L$890,COLUMN(HeadJournal!H$1),0),0)</f>
        <v>0.19999697525176327</v>
      </c>
      <c r="P4128" s="30">
        <f>IFERROR(SUM(K4128:O4128)*VLOOKUP($A4128,HeadJournal!$A$1:$L$890,COLUMN(HeadJournal!H$1),0),0)</f>
        <v>474.75110325873555</v>
      </c>
      <c r="Q4128" s="29">
        <v>1000</v>
      </c>
      <c r="R4128" s="31">
        <v>45666</v>
      </c>
      <c r="S4128" s="31" t="s">
        <v>3121</v>
      </c>
      <c r="T4128" s="95" t="str">
        <f t="shared" si="323"/>
        <v>2025 01</v>
      </c>
      <c r="U4128" s="32">
        <f t="shared" si="320"/>
        <v>525.24889674126439</v>
      </c>
      <c r="V4128" s="22">
        <f t="shared" si="321"/>
        <v>1.1063668796889723</v>
      </c>
      <c r="X4128" s="33"/>
      <c r="Y4128" s="33"/>
    </row>
    <row r="4129" spans="1:25" x14ac:dyDescent="0.2">
      <c r="A4129" s="93" t="s">
        <v>2652</v>
      </c>
      <c r="B4129" s="94" t="str">
        <f>IFERROR(VLOOKUP($A4129,HeadJournal!$A$1:$NTR$890,COLUMN(HeadJournal!B$1),0),"")</f>
        <v>720000501892</v>
      </c>
      <c r="C4129" s="94" t="str">
        <f>IFERROR(VLOOKUP($A4129,HeadJournal!$A$1:$NTR$890,COLUMN(HeadJournal!C$1),0),"")</f>
        <v>iHerb_MH DLE7202</v>
      </c>
      <c r="D4129" s="125" t="str">
        <f>IFERROR(VLOOKUP($A4129,HeadJournal!$A$1:$NTR$890,COLUMN(HeadJournal!D$1),0),"")</f>
        <v>Доставлен</v>
      </c>
      <c r="E4129" s="95">
        <f>IFERROR(VLOOKUP($A4129,HeadJournal!$A$1:$NTR$890,COLUMN(HeadJournal!G$1),0),"")</f>
        <v>45624</v>
      </c>
      <c r="F4129" s="95" t="str">
        <f t="shared" si="322"/>
        <v>2024 11</v>
      </c>
      <c r="G4129" s="97" t="s">
        <v>5</v>
      </c>
      <c r="H4129" s="161" t="s">
        <v>2027</v>
      </c>
      <c r="I4129" s="97" t="s">
        <v>2005</v>
      </c>
      <c r="J4129" s="97" t="s">
        <v>4110</v>
      </c>
      <c r="K4129" s="29">
        <v>8.3699999999999992</v>
      </c>
      <c r="L4129" s="29">
        <v>-2.0950000000000002</v>
      </c>
      <c r="M4129" s="30">
        <f>IFERROR(VLOOKUP($A4129,HeadJournal!$A$1:$J$890,COLUMN(HeadJournal!I$1),0)*($K4129+$L4129)/(SUMIF($A:$A,$A4129,$K:$K)+SUMIF($A:$A,$A4129,$L:$L)),0)</f>
        <v>-0.73060512367491126</v>
      </c>
      <c r="N4129" s="30">
        <f>IFERROR((VLOOKUP($A4129,HeadJournal!$A$1:$K$890,COLUMN(HeadJournal!K$1),0)-VLOOKUP($A4129,HeadJournal!$A$1:$K$890,COLUMN(HeadJournal!J$1),0))*($K4129+$L4129)/(SUMIF($A:$A,$A4129,$K:$K)+SUMIF($A:$A,$A4129,$L:$L)),0)</f>
        <v>-1.050331134721938E-15</v>
      </c>
      <c r="O4129" s="30">
        <f>IFERROR((VLOOKUP($A4129,HeadJournal!$A$1:$L$890,COLUMN(HeadJournal!L$1),0)*($K4129+$L4129)/(SUMIF($A:$A,$A4129,$K:$K)+SUMIF($A:$A,$A4129,$L:$L)))/VLOOKUP($A4129,HeadJournal!$A$1:$L$890,COLUMN(HeadJournal!H$1),0),0)</f>
        <v>0.28522295902382139</v>
      </c>
      <c r="P4129" s="30">
        <f>IFERROR(SUM(K4129:O4129)*VLOOKUP($A4129,HeadJournal!$A$1:$L$890,COLUMN(HeadJournal!H$1),0),0)</f>
        <v>677.05981203376484</v>
      </c>
      <c r="Q4129" s="29">
        <v>1200</v>
      </c>
      <c r="R4129" s="31">
        <v>45724</v>
      </c>
      <c r="S4129" s="31" t="s">
        <v>3121</v>
      </c>
      <c r="T4129" s="95" t="str">
        <f t="shared" si="323"/>
        <v>2025 03</v>
      </c>
      <c r="U4129" s="32">
        <f t="shared" si="320"/>
        <v>522.94018796623516</v>
      </c>
      <c r="V4129" s="22">
        <f t="shared" si="321"/>
        <v>0.77236926290960572</v>
      </c>
      <c r="X4129" s="33"/>
      <c r="Y4129" s="33"/>
    </row>
    <row r="4130" spans="1:25" x14ac:dyDescent="0.2">
      <c r="A4130" s="93" t="s">
        <v>2652</v>
      </c>
      <c r="B4130" s="94" t="str">
        <f>IFERROR(VLOOKUP($A4130,HeadJournal!$A$1:$NTR$890,COLUMN(HeadJournal!B$1),0),"")</f>
        <v>720000501892</v>
      </c>
      <c r="C4130" s="94" t="str">
        <f>IFERROR(VLOOKUP($A4130,HeadJournal!$A$1:$NTR$890,COLUMN(HeadJournal!C$1),0),"")</f>
        <v>iHerb_MH DLE7202</v>
      </c>
      <c r="D4130" s="125" t="str">
        <f>IFERROR(VLOOKUP($A4130,HeadJournal!$A$1:$NTR$890,COLUMN(HeadJournal!D$1),0),"")</f>
        <v>Доставлен</v>
      </c>
      <c r="E4130" s="95">
        <f>IFERROR(VLOOKUP($A4130,HeadJournal!$A$1:$NTR$890,COLUMN(HeadJournal!G$1),0),"")</f>
        <v>45624</v>
      </c>
      <c r="F4130" s="95" t="str">
        <f t="shared" si="322"/>
        <v>2024 11</v>
      </c>
      <c r="G4130" s="97" t="s">
        <v>5</v>
      </c>
      <c r="H4130" s="161" t="s">
        <v>2027</v>
      </c>
      <c r="I4130" s="97" t="s">
        <v>2005</v>
      </c>
      <c r="J4130" s="97" t="s">
        <v>4110</v>
      </c>
      <c r="K4130" s="29">
        <v>8.3699999999999992</v>
      </c>
      <c r="L4130" s="29">
        <v>-2.0950000000000002</v>
      </c>
      <c r="M4130" s="30">
        <f>IFERROR(VLOOKUP($A4130,HeadJournal!$A$1:$J$890,COLUMN(HeadJournal!I$1),0)*($K4130+$L4130)/(SUMIF($A:$A,$A4130,$K:$K)+SUMIF($A:$A,$A4130,$L:$L)),0)</f>
        <v>-0.73060512367491126</v>
      </c>
      <c r="N4130" s="30">
        <f>IFERROR((VLOOKUP($A4130,HeadJournal!$A$1:$K$890,COLUMN(HeadJournal!K$1),0)-VLOOKUP($A4130,HeadJournal!$A$1:$K$890,COLUMN(HeadJournal!J$1),0))*($K4130+$L4130)/(SUMIF($A:$A,$A4130,$K:$K)+SUMIF($A:$A,$A4130,$L:$L)),0)</f>
        <v>-1.050331134721938E-15</v>
      </c>
      <c r="O4130" s="30">
        <f>IFERROR((VLOOKUP($A4130,HeadJournal!$A$1:$L$890,COLUMN(HeadJournal!L$1),0)*($K4130+$L4130)/(SUMIF($A:$A,$A4130,$K:$K)+SUMIF($A:$A,$A4130,$L:$L)))/VLOOKUP($A4130,HeadJournal!$A$1:$L$890,COLUMN(HeadJournal!H$1),0),0)</f>
        <v>0.28522295902382139</v>
      </c>
      <c r="P4130" s="30">
        <f>IFERROR(SUM(K4130:O4130)*VLOOKUP($A4130,HeadJournal!$A$1:$L$890,COLUMN(HeadJournal!H$1),0),0)</f>
        <v>677.05981203376484</v>
      </c>
      <c r="Q4130" s="29">
        <v>1200</v>
      </c>
      <c r="R4130" s="31">
        <v>45766</v>
      </c>
      <c r="S4130" s="31" t="s">
        <v>3121</v>
      </c>
      <c r="T4130" s="95" t="str">
        <f t="shared" si="323"/>
        <v>2025 04</v>
      </c>
      <c r="U4130" s="32">
        <f t="shared" si="320"/>
        <v>522.94018796623516</v>
      </c>
      <c r="V4130" s="22">
        <f t="shared" si="321"/>
        <v>0.77236926290960572</v>
      </c>
      <c r="X4130" s="33"/>
      <c r="Y4130" s="33"/>
    </row>
    <row r="4131" spans="1:25" x14ac:dyDescent="0.2">
      <c r="A4131" s="93" t="s">
        <v>2652</v>
      </c>
      <c r="B4131" s="94" t="str">
        <f>IFERROR(VLOOKUP($A4131,HeadJournal!$A$1:$NTR$890,COLUMN(HeadJournal!B$1),0),"")</f>
        <v>720000501892</v>
      </c>
      <c r="C4131" s="94" t="str">
        <f>IFERROR(VLOOKUP($A4131,HeadJournal!$A$1:$NTR$890,COLUMN(HeadJournal!C$1),0),"")</f>
        <v>iHerb_MH DLE7202</v>
      </c>
      <c r="D4131" s="125" t="str">
        <f>IFERROR(VLOOKUP($A4131,HeadJournal!$A$1:$NTR$890,COLUMN(HeadJournal!D$1),0),"")</f>
        <v>Доставлен</v>
      </c>
      <c r="E4131" s="95">
        <f>IFERROR(VLOOKUP($A4131,HeadJournal!$A$1:$NTR$890,COLUMN(HeadJournal!G$1),0),"")</f>
        <v>45624</v>
      </c>
      <c r="F4131" s="95" t="str">
        <f t="shared" si="322"/>
        <v>2024 11</v>
      </c>
      <c r="G4131" s="97" t="s">
        <v>5</v>
      </c>
      <c r="H4131" s="161" t="s">
        <v>2223</v>
      </c>
      <c r="I4131" s="97" t="s">
        <v>2008</v>
      </c>
      <c r="J4131" s="97" t="s">
        <v>2224</v>
      </c>
      <c r="K4131" s="29">
        <v>12.96</v>
      </c>
      <c r="L4131" s="29">
        <v>-3.24</v>
      </c>
      <c r="M4131" s="30">
        <f>IFERROR(VLOOKUP($A4131,HeadJournal!$A$1:$J$890,COLUMN(HeadJournal!I$1),0)*($K4131+$L4131)/(SUMIF($A:$A,$A4131,$K:$K)+SUMIF($A:$A,$A4131,$L:$L)),0)</f>
        <v>-1.1317102473498231</v>
      </c>
      <c r="N4131" s="30">
        <f>IFERROR((VLOOKUP($A4131,HeadJournal!$A$1:$K$890,COLUMN(HeadJournal!K$1),0)-VLOOKUP($A4131,HeadJournal!$A$1:$K$890,COLUMN(HeadJournal!J$1),0))*($K4131+$L4131)/(SUMIF($A:$A,$A4131,$K:$K)+SUMIF($A:$A,$A4131,$L:$L)),0)</f>
        <v>-1.6269671122704764E-15</v>
      </c>
      <c r="O4131" s="30">
        <f>IFERROR((VLOOKUP($A4131,HeadJournal!$A$1:$L$890,COLUMN(HeadJournal!L$1),0)*($K4131+$L4131)/(SUMIF($A:$A,$A4131,$K:$K)+SUMIF($A:$A,$A4131,$L:$L)))/VLOOKUP($A4131,HeadJournal!$A$1:$L$890,COLUMN(HeadJournal!H$1),0),0)</f>
        <v>0.44181149987434976</v>
      </c>
      <c r="P4131" s="30">
        <f>IFERROR(SUM(K4131:O4131)*VLOOKUP($A4131,HeadJournal!$A$1:$L$890,COLUMN(HeadJournal!H$1),0),0)</f>
        <v>1048.7683462897523</v>
      </c>
      <c r="Q4131" s="29">
        <v>1900</v>
      </c>
      <c r="R4131" s="31">
        <v>45731</v>
      </c>
      <c r="S4131" s="31" t="s">
        <v>3121</v>
      </c>
      <c r="T4131" s="95" t="str">
        <f t="shared" si="323"/>
        <v>2025 03</v>
      </c>
      <c r="U4131" s="32">
        <f t="shared" si="320"/>
        <v>851.23165371024766</v>
      </c>
      <c r="V4131" s="22">
        <f t="shared" si="321"/>
        <v>0.81164888006170854</v>
      </c>
      <c r="X4131" s="33"/>
      <c r="Y4131" s="33"/>
    </row>
    <row r="4132" spans="1:25" x14ac:dyDescent="0.2">
      <c r="A4132" s="93" t="s">
        <v>2652</v>
      </c>
      <c r="B4132" s="94" t="str">
        <f>IFERROR(VLOOKUP($A4132,HeadJournal!$A$1:$NTR$890,COLUMN(HeadJournal!B$1),0),"")</f>
        <v>720000501892</v>
      </c>
      <c r="C4132" s="94" t="str">
        <f>IFERROR(VLOOKUP($A4132,HeadJournal!$A$1:$NTR$890,COLUMN(HeadJournal!C$1),0),"")</f>
        <v>iHerb_MH DLE7202</v>
      </c>
      <c r="D4132" s="125" t="str">
        <f>IFERROR(VLOOKUP($A4132,HeadJournal!$A$1:$NTR$890,COLUMN(HeadJournal!D$1),0),"")</f>
        <v>Доставлен</v>
      </c>
      <c r="E4132" s="95">
        <f>IFERROR(VLOOKUP($A4132,HeadJournal!$A$1:$NTR$890,COLUMN(HeadJournal!G$1),0),"")</f>
        <v>45624</v>
      </c>
      <c r="F4132" s="95" t="str">
        <f t="shared" si="322"/>
        <v>2024 11</v>
      </c>
      <c r="G4132" s="97" t="s">
        <v>5</v>
      </c>
      <c r="H4132" s="161" t="s">
        <v>2223</v>
      </c>
      <c r="I4132" s="97" t="s">
        <v>2008</v>
      </c>
      <c r="J4132" s="97" t="s">
        <v>2224</v>
      </c>
      <c r="K4132" s="29">
        <v>12.96</v>
      </c>
      <c r="L4132" s="29">
        <v>-3.24</v>
      </c>
      <c r="M4132" s="30">
        <f>IFERROR(VLOOKUP($A4132,HeadJournal!$A$1:$J$890,COLUMN(HeadJournal!I$1),0)*($K4132+$L4132)/(SUMIF($A:$A,$A4132,$K:$K)+SUMIF($A:$A,$A4132,$L:$L)),0)</f>
        <v>-1.1317102473498231</v>
      </c>
      <c r="N4132" s="30">
        <f>IFERROR((VLOOKUP($A4132,HeadJournal!$A$1:$K$890,COLUMN(HeadJournal!K$1),0)-VLOOKUP($A4132,HeadJournal!$A$1:$K$890,COLUMN(HeadJournal!J$1),0))*($K4132+$L4132)/(SUMIF($A:$A,$A4132,$K:$K)+SUMIF($A:$A,$A4132,$L:$L)),0)</f>
        <v>-1.6269671122704764E-15</v>
      </c>
      <c r="O4132" s="30">
        <f>IFERROR((VLOOKUP($A4132,HeadJournal!$A$1:$L$890,COLUMN(HeadJournal!L$1),0)*($K4132+$L4132)/(SUMIF($A:$A,$A4132,$K:$K)+SUMIF($A:$A,$A4132,$L:$L)))/VLOOKUP($A4132,HeadJournal!$A$1:$L$890,COLUMN(HeadJournal!H$1),0),0)</f>
        <v>0.44181149987434976</v>
      </c>
      <c r="P4132" s="30">
        <f>IFERROR(SUM(K4132:O4132)*VLOOKUP($A4132,HeadJournal!$A$1:$L$890,COLUMN(HeadJournal!H$1),0),0)</f>
        <v>1048.7683462897523</v>
      </c>
      <c r="Q4132" s="29">
        <v>1700</v>
      </c>
      <c r="R4132" s="31">
        <v>45741</v>
      </c>
      <c r="S4132" s="31" t="s">
        <v>3121</v>
      </c>
      <c r="T4132" s="95" t="str">
        <f t="shared" si="323"/>
        <v>2025 03</v>
      </c>
      <c r="U4132" s="32">
        <f t="shared" si="320"/>
        <v>651.23165371024766</v>
      </c>
      <c r="V4132" s="22">
        <f t="shared" si="321"/>
        <v>0.62094899794994973</v>
      </c>
      <c r="X4132" s="33"/>
      <c r="Y4132" s="33"/>
    </row>
    <row r="4133" spans="1:25" x14ac:dyDescent="0.2">
      <c r="A4133" s="93" t="s">
        <v>2652</v>
      </c>
      <c r="B4133" s="94" t="str">
        <f>IFERROR(VLOOKUP($A4133,HeadJournal!$A$1:$NTR$890,COLUMN(HeadJournal!B$1),0),"")</f>
        <v>720000501892</v>
      </c>
      <c r="C4133" s="94" t="str">
        <f>IFERROR(VLOOKUP($A4133,HeadJournal!$A$1:$NTR$890,COLUMN(HeadJournal!C$1),0),"")</f>
        <v>iHerb_MH DLE7202</v>
      </c>
      <c r="D4133" s="125" t="str">
        <f>IFERROR(VLOOKUP($A4133,HeadJournal!$A$1:$NTR$890,COLUMN(HeadJournal!D$1),0),"")</f>
        <v>Доставлен</v>
      </c>
      <c r="E4133" s="95">
        <f>IFERROR(VLOOKUP($A4133,HeadJournal!$A$1:$NTR$890,COLUMN(HeadJournal!G$1),0),"")</f>
        <v>45624</v>
      </c>
      <c r="F4133" s="95" t="str">
        <f t="shared" si="322"/>
        <v>2024 11</v>
      </c>
      <c r="G4133" s="97" t="s">
        <v>5</v>
      </c>
      <c r="H4133" s="161" t="s">
        <v>2223</v>
      </c>
      <c r="I4133" s="97" t="s">
        <v>2008</v>
      </c>
      <c r="J4133" s="97" t="s">
        <v>2224</v>
      </c>
      <c r="K4133" s="29">
        <v>12.96</v>
      </c>
      <c r="L4133" s="29">
        <v>-3.24</v>
      </c>
      <c r="M4133" s="30">
        <f>IFERROR(VLOOKUP($A4133,HeadJournal!$A$1:$J$890,COLUMN(HeadJournal!I$1),0)*($K4133+$L4133)/(SUMIF($A:$A,$A4133,$K:$K)+SUMIF($A:$A,$A4133,$L:$L)),0)</f>
        <v>-1.1317102473498231</v>
      </c>
      <c r="N4133" s="30">
        <f>IFERROR((VLOOKUP($A4133,HeadJournal!$A$1:$K$890,COLUMN(HeadJournal!K$1),0)-VLOOKUP($A4133,HeadJournal!$A$1:$K$890,COLUMN(HeadJournal!J$1),0))*($K4133+$L4133)/(SUMIF($A:$A,$A4133,$K:$K)+SUMIF($A:$A,$A4133,$L:$L)),0)</f>
        <v>-1.6269671122704764E-15</v>
      </c>
      <c r="O4133" s="30">
        <f>IFERROR((VLOOKUP($A4133,HeadJournal!$A$1:$L$890,COLUMN(HeadJournal!L$1),0)*($K4133+$L4133)/(SUMIF($A:$A,$A4133,$K:$K)+SUMIF($A:$A,$A4133,$L:$L)))/VLOOKUP($A4133,HeadJournal!$A$1:$L$890,COLUMN(HeadJournal!H$1),0),0)</f>
        <v>0.44181149987434976</v>
      </c>
      <c r="P4133" s="30">
        <f>IFERROR(SUM(K4133:O4133)*VLOOKUP($A4133,HeadJournal!$A$1:$L$890,COLUMN(HeadJournal!H$1),0),0)</f>
        <v>1048.7683462897523</v>
      </c>
      <c r="Q4133" s="29">
        <v>1800</v>
      </c>
      <c r="R4133" s="31">
        <v>45804</v>
      </c>
      <c r="S4133" s="31" t="s">
        <v>3121</v>
      </c>
      <c r="T4133" s="95" t="str">
        <f t="shared" si="323"/>
        <v>2025 05</v>
      </c>
      <c r="U4133" s="32">
        <f t="shared" si="320"/>
        <v>751.23165371024766</v>
      </c>
      <c r="V4133" s="22">
        <f t="shared" si="321"/>
        <v>0.71629893900582919</v>
      </c>
      <c r="X4133" s="33"/>
      <c r="Y4133" s="33"/>
    </row>
    <row r="4134" spans="1:25" x14ac:dyDescent="0.2">
      <c r="A4134" s="93" t="s">
        <v>2652</v>
      </c>
      <c r="B4134" s="94" t="str">
        <f>IFERROR(VLOOKUP($A4134,HeadJournal!$A$1:$NTR$890,COLUMN(HeadJournal!B$1),0),"")</f>
        <v>720000501892</v>
      </c>
      <c r="C4134" s="94" t="str">
        <f>IFERROR(VLOOKUP($A4134,HeadJournal!$A$1:$NTR$890,COLUMN(HeadJournal!C$1),0),"")</f>
        <v>iHerb_MH DLE7202</v>
      </c>
      <c r="D4134" s="125" t="str">
        <f>IFERROR(VLOOKUP($A4134,HeadJournal!$A$1:$NTR$890,COLUMN(HeadJournal!D$1),0),"")</f>
        <v>Доставлен</v>
      </c>
      <c r="E4134" s="95">
        <f>IFERROR(VLOOKUP($A4134,HeadJournal!$A$1:$NTR$890,COLUMN(HeadJournal!G$1),0),"")</f>
        <v>45624</v>
      </c>
      <c r="F4134" s="95" t="str">
        <f t="shared" si="322"/>
        <v>2024 11</v>
      </c>
      <c r="G4134" s="97" t="s">
        <v>5</v>
      </c>
      <c r="H4134" s="161" t="s">
        <v>2642</v>
      </c>
      <c r="I4134" s="97" t="s">
        <v>2212</v>
      </c>
      <c r="J4134" s="97" t="s">
        <v>2643</v>
      </c>
      <c r="K4134" s="29">
        <v>25.48</v>
      </c>
      <c r="L4134" s="29">
        <v>-6.37</v>
      </c>
      <c r="M4134" s="30">
        <f>IFERROR(VLOOKUP($A4134,HeadJournal!$A$1:$J$890,COLUMN(HeadJournal!I$1),0)*($K4134+$L4134)/(SUMIF($A:$A,$A4134,$K:$K)+SUMIF($A:$A,$A4134,$L:$L)),0)</f>
        <v>-2.2249982332155471</v>
      </c>
      <c r="N4134" s="30">
        <f>IFERROR((VLOOKUP($A4134,HeadJournal!$A$1:$K$890,COLUMN(HeadJournal!K$1),0)-VLOOKUP($A4134,HeadJournal!$A$1:$K$890,COLUMN(HeadJournal!J$1),0))*($K4134+$L4134)/(SUMIF($A:$A,$A4134,$K:$K)+SUMIF($A:$A,$A4134,$L:$L)),0)</f>
        <v>-3.1986976867786834E-15</v>
      </c>
      <c r="O4134" s="30">
        <f>IFERROR((VLOOKUP($A4134,HeadJournal!$A$1:$L$890,COLUMN(HeadJournal!L$1),0)*($K4134+$L4134)/(SUMIF($A:$A,$A4134,$K:$K)+SUMIF($A:$A,$A4134,$L:$L)))/VLOOKUP($A4134,HeadJournal!$A$1:$L$890,COLUMN(HeadJournal!H$1),0),0)</f>
        <v>0.86862322660481717</v>
      </c>
      <c r="P4134" s="30">
        <f>IFERROR(SUM(K4134:O4134)*VLOOKUP($A4134,HeadJournal!$A$1:$L$890,COLUMN(HeadJournal!H$1),0),0)</f>
        <v>2061.9303598350994</v>
      </c>
      <c r="Q4134" s="29">
        <v>3400</v>
      </c>
      <c r="R4134" s="31">
        <v>45661</v>
      </c>
      <c r="S4134" s="31" t="s">
        <v>3121</v>
      </c>
      <c r="T4134" s="95" t="str">
        <f t="shared" si="323"/>
        <v>2025 01</v>
      </c>
      <c r="U4134" s="32">
        <f t="shared" si="320"/>
        <v>1338.0696401649006</v>
      </c>
      <c r="V4134" s="22">
        <f t="shared" si="321"/>
        <v>0.64894026793024728</v>
      </c>
      <c r="X4134" s="33"/>
      <c r="Y4134" s="33"/>
    </row>
    <row r="4135" spans="1:25" x14ac:dyDescent="0.2">
      <c r="A4135" s="93" t="s">
        <v>2652</v>
      </c>
      <c r="B4135" s="94" t="str">
        <f>IFERROR(VLOOKUP($A4135,HeadJournal!$A$1:$NTR$890,COLUMN(HeadJournal!B$1),0),"")</f>
        <v>720000501892</v>
      </c>
      <c r="C4135" s="94" t="str">
        <f>IFERROR(VLOOKUP($A4135,HeadJournal!$A$1:$NTR$890,COLUMN(HeadJournal!C$1),0),"")</f>
        <v>iHerb_MH DLE7202</v>
      </c>
      <c r="D4135" s="125" t="str">
        <f>IFERROR(VLOOKUP($A4135,HeadJournal!$A$1:$NTR$890,COLUMN(HeadJournal!D$1),0),"")</f>
        <v>Доставлен</v>
      </c>
      <c r="E4135" s="95">
        <f>IFERROR(VLOOKUP($A4135,HeadJournal!$A$1:$NTR$890,COLUMN(HeadJournal!G$1),0),"")</f>
        <v>45624</v>
      </c>
      <c r="F4135" s="95" t="str">
        <f t="shared" si="322"/>
        <v>2024 11</v>
      </c>
      <c r="G4135" s="97" t="s">
        <v>5</v>
      </c>
      <c r="H4135" s="161" t="s">
        <v>2642</v>
      </c>
      <c r="I4135" s="97" t="s">
        <v>2212</v>
      </c>
      <c r="J4135" s="97" t="s">
        <v>2643</v>
      </c>
      <c r="K4135" s="29">
        <v>25.48</v>
      </c>
      <c r="L4135" s="29">
        <v>-6.37</v>
      </c>
      <c r="M4135" s="30">
        <f>IFERROR(VLOOKUP($A4135,HeadJournal!$A$1:$J$890,COLUMN(HeadJournal!I$1),0)*($K4135+$L4135)/(SUMIF($A:$A,$A4135,$K:$K)+SUMIF($A:$A,$A4135,$L:$L)),0)</f>
        <v>-2.2249982332155471</v>
      </c>
      <c r="N4135" s="30">
        <f>IFERROR((VLOOKUP($A4135,HeadJournal!$A$1:$K$890,COLUMN(HeadJournal!K$1),0)-VLOOKUP($A4135,HeadJournal!$A$1:$K$890,COLUMN(HeadJournal!J$1),0))*($K4135+$L4135)/(SUMIF($A:$A,$A4135,$K:$K)+SUMIF($A:$A,$A4135,$L:$L)),0)</f>
        <v>-3.1986976867786834E-15</v>
      </c>
      <c r="O4135" s="30">
        <f>IFERROR((VLOOKUP($A4135,HeadJournal!$A$1:$L$890,COLUMN(HeadJournal!L$1),0)*($K4135+$L4135)/(SUMIF($A:$A,$A4135,$K:$K)+SUMIF($A:$A,$A4135,$L:$L)))/VLOOKUP($A4135,HeadJournal!$A$1:$L$890,COLUMN(HeadJournal!H$1),0),0)</f>
        <v>0.86862322660481717</v>
      </c>
      <c r="P4135" s="30">
        <f>IFERROR(SUM(K4135:O4135)*VLOOKUP($A4135,HeadJournal!$A$1:$L$890,COLUMN(HeadJournal!H$1),0),0)</f>
        <v>2061.9303598350994</v>
      </c>
      <c r="Q4135" s="29">
        <v>3300</v>
      </c>
      <c r="R4135" s="31">
        <v>45732</v>
      </c>
      <c r="S4135" s="31" t="s">
        <v>3121</v>
      </c>
      <c r="T4135" s="95" t="str">
        <f t="shared" si="323"/>
        <v>2025 03</v>
      </c>
      <c r="U4135" s="32">
        <f t="shared" si="320"/>
        <v>1238.0696401649006</v>
      </c>
      <c r="V4135" s="22">
        <f t="shared" si="321"/>
        <v>0.60044202475582831</v>
      </c>
      <c r="X4135" s="33"/>
      <c r="Y4135" s="33"/>
    </row>
    <row r="4136" spans="1:25" x14ac:dyDescent="0.2">
      <c r="A4136" s="93" t="s">
        <v>2652</v>
      </c>
      <c r="B4136" s="94" t="str">
        <f>IFERROR(VLOOKUP($A4136,HeadJournal!$A$1:$NTR$890,COLUMN(HeadJournal!B$1),0),"")</f>
        <v>720000501892</v>
      </c>
      <c r="C4136" s="94" t="str">
        <f>IFERROR(VLOOKUP($A4136,HeadJournal!$A$1:$NTR$890,COLUMN(HeadJournal!C$1),0),"")</f>
        <v>iHerb_MH DLE7202</v>
      </c>
      <c r="D4136" s="125" t="str">
        <f>IFERROR(VLOOKUP($A4136,HeadJournal!$A$1:$NTR$890,COLUMN(HeadJournal!D$1),0),"")</f>
        <v>Доставлен</v>
      </c>
      <c r="E4136" s="95">
        <f>IFERROR(VLOOKUP($A4136,HeadJournal!$A$1:$NTR$890,COLUMN(HeadJournal!G$1),0),"")</f>
        <v>45624</v>
      </c>
      <c r="F4136" s="95" t="str">
        <f t="shared" si="322"/>
        <v>2024 11</v>
      </c>
      <c r="G4136" s="97" t="s">
        <v>7</v>
      </c>
      <c r="H4136" s="161" t="s">
        <v>2152</v>
      </c>
      <c r="I4136" s="97" t="s">
        <v>2153</v>
      </c>
      <c r="J4136" s="97" t="s">
        <v>2644</v>
      </c>
      <c r="K4136" s="29">
        <v>13.74</v>
      </c>
      <c r="L4136" s="29">
        <v>-3.44</v>
      </c>
      <c r="M4136" s="30">
        <f>IFERROR(VLOOKUP($A4136,HeadJournal!$A$1:$J$890,COLUMN(HeadJournal!I$1),0)*($K4136+$L4136)/(SUMIF($A:$A,$A4136,$K:$K)+SUMIF($A:$A,$A4136,$L:$L)),0)</f>
        <v>-1.1992402826855122</v>
      </c>
      <c r="N4136" s="30">
        <f>IFERROR((VLOOKUP($A4136,HeadJournal!$A$1:$K$890,COLUMN(HeadJournal!K$1),0)-VLOOKUP($A4136,HeadJournal!$A$1:$K$890,COLUMN(HeadJournal!J$1),0))*($K4136+$L4136)/(SUMIF($A:$A,$A4136,$K:$K)+SUMIF($A:$A,$A4136,$L:$L)),0)</f>
        <v>-1.7240495119738587E-15</v>
      </c>
      <c r="O4136" s="30">
        <f>IFERROR((VLOOKUP($A4136,HeadJournal!$A$1:$L$890,COLUMN(HeadJournal!L$1),0)*($K4136+$L4136)/(SUMIF($A:$A,$A4136,$K:$K)+SUMIF($A:$A,$A4136,$L:$L)))/VLOOKUP($A4136,HeadJournal!$A$1:$L$890,COLUMN(HeadJournal!H$1),0),0)</f>
        <v>0.46817473752117317</v>
      </c>
      <c r="P4136" s="30">
        <f>IFERROR(SUM(K4136:O4136)*VLOOKUP($A4136,HeadJournal!$A$1:$L$890,COLUMN(HeadJournal!H$1),0),0)</f>
        <v>1111.3491735374946</v>
      </c>
      <c r="Q4136" s="29"/>
      <c r="R4136" s="31"/>
      <c r="S4136" s="31"/>
      <c r="T4136" s="95" t="str">
        <f t="shared" si="323"/>
        <v/>
      </c>
      <c r="U4136" s="32">
        <f t="shared" si="320"/>
        <v>-1111.3491735374946</v>
      </c>
      <c r="V4136" s="22" t="str">
        <f t="shared" si="321"/>
        <v/>
      </c>
      <c r="X4136" s="33"/>
      <c r="Y4136" s="33"/>
    </row>
    <row r="4137" spans="1:25" x14ac:dyDescent="0.2">
      <c r="A4137" s="93" t="s">
        <v>2652</v>
      </c>
      <c r="B4137" s="94" t="str">
        <f>IFERROR(VLOOKUP($A4137,HeadJournal!$A$1:$NTR$890,COLUMN(HeadJournal!B$1),0),"")</f>
        <v>720000501892</v>
      </c>
      <c r="C4137" s="94" t="str">
        <f>IFERROR(VLOOKUP($A4137,HeadJournal!$A$1:$NTR$890,COLUMN(HeadJournal!C$1),0),"")</f>
        <v>iHerb_MH DLE7202</v>
      </c>
      <c r="D4137" s="125" t="str">
        <f>IFERROR(VLOOKUP($A4137,HeadJournal!$A$1:$NTR$890,COLUMN(HeadJournal!D$1),0),"")</f>
        <v>Доставлен</v>
      </c>
      <c r="E4137" s="95">
        <f>IFERROR(VLOOKUP($A4137,HeadJournal!$A$1:$NTR$890,COLUMN(HeadJournal!G$1),0),"")</f>
        <v>45624</v>
      </c>
      <c r="F4137" s="95" t="str">
        <f t="shared" si="322"/>
        <v>2024 11</v>
      </c>
      <c r="G4137" s="97" t="s">
        <v>5</v>
      </c>
      <c r="H4137" s="161" t="s">
        <v>2645</v>
      </c>
      <c r="I4137" s="97" t="s">
        <v>2646</v>
      </c>
      <c r="J4137" s="97" t="s">
        <v>2647</v>
      </c>
      <c r="K4137" s="29">
        <v>39.04</v>
      </c>
      <c r="L4137" s="29">
        <v>-9.76</v>
      </c>
      <c r="M4137" s="30">
        <f>IFERROR(VLOOKUP($A4137,HeadJournal!$A$1:$J$890,COLUMN(HeadJournal!I$1),0)*($K4137+$L4137)/(SUMIF($A:$A,$A4137,$K:$K)+SUMIF($A:$A,$A4137,$L:$L)),0)</f>
        <v>-3.409102473498232</v>
      </c>
      <c r="N4137" s="30">
        <f>IFERROR((VLOOKUP($A4137,HeadJournal!$A$1:$K$890,COLUMN(HeadJournal!K$1),0)-VLOOKUP($A4137,HeadJournal!$A$1:$K$890,COLUMN(HeadJournal!J$1),0))*($K4137+$L4137)/(SUMIF($A:$A,$A4137,$K:$K)+SUMIF($A:$A,$A4137,$L:$L)),0)</f>
        <v>-4.9009873505431635E-15</v>
      </c>
      <c r="O4137" s="30">
        <f>IFERROR((VLOOKUP($A4137,HeadJournal!$A$1:$L$890,COLUMN(HeadJournal!L$1),0)*($K4137+$L4137)/(SUMIF($A:$A,$A4137,$K:$K)+SUMIF($A:$A,$A4137,$L:$L)))/VLOOKUP($A4137,HeadJournal!$A$1:$L$890,COLUMN(HeadJournal!H$1),0),0)</f>
        <v>1.3308889625844611</v>
      </c>
      <c r="P4137" s="30">
        <f>IFERROR(SUM(K4137:O4137)*VLOOKUP($A4137,HeadJournal!$A$1:$L$890,COLUMN(HeadJournal!H$1),0),0)</f>
        <v>3159.2527962308586</v>
      </c>
      <c r="Q4137" s="29">
        <v>4900</v>
      </c>
      <c r="R4137" s="31">
        <v>45685</v>
      </c>
      <c r="S4137" s="31" t="s">
        <v>3121</v>
      </c>
      <c r="T4137" s="95" t="str">
        <f t="shared" si="323"/>
        <v>2025 01</v>
      </c>
      <c r="U4137" s="32">
        <f t="shared" si="320"/>
        <v>1740.7472037691414</v>
      </c>
      <c r="V4137" s="22">
        <f t="shared" si="321"/>
        <v>0.55099965594584166</v>
      </c>
      <c r="X4137" s="33"/>
      <c r="Y4137" s="33"/>
    </row>
    <row r="4138" spans="1:25" x14ac:dyDescent="0.2">
      <c r="A4138" s="93" t="s">
        <v>2652</v>
      </c>
      <c r="B4138" s="94" t="str">
        <f>IFERROR(VLOOKUP($A4138,HeadJournal!$A$1:$NTR$890,COLUMN(HeadJournal!B$1),0),"")</f>
        <v>720000501892</v>
      </c>
      <c r="C4138" s="94" t="str">
        <f>IFERROR(VLOOKUP($A4138,HeadJournal!$A$1:$NTR$890,COLUMN(HeadJournal!C$1),0),"")</f>
        <v>iHerb_MH DLE7202</v>
      </c>
      <c r="D4138" s="125" t="str">
        <f>IFERROR(VLOOKUP($A4138,HeadJournal!$A$1:$NTR$890,COLUMN(HeadJournal!D$1),0),"")</f>
        <v>Доставлен</v>
      </c>
      <c r="E4138" s="95">
        <f>IFERROR(VLOOKUP($A4138,HeadJournal!$A$1:$NTR$890,COLUMN(HeadJournal!G$1),0),"")</f>
        <v>45624</v>
      </c>
      <c r="F4138" s="95" t="str">
        <f t="shared" si="322"/>
        <v>2024 11</v>
      </c>
      <c r="G4138" s="97" t="s">
        <v>5</v>
      </c>
      <c r="H4138" s="161" t="s">
        <v>2648</v>
      </c>
      <c r="I4138" s="97" t="s">
        <v>2218</v>
      </c>
      <c r="J4138" s="97" t="s">
        <v>2649</v>
      </c>
      <c r="K4138" s="29">
        <v>11.52</v>
      </c>
      <c r="L4138" s="29">
        <v>-2.88</v>
      </c>
      <c r="M4138" s="30">
        <f>IFERROR(VLOOKUP($A4138,HeadJournal!$A$1:$J$890,COLUMN(HeadJournal!I$1),0)*($K4138+$L4138)/(SUMIF($A:$A,$A4138,$K:$K)+SUMIF($A:$A,$A4138,$L:$L)),0)</f>
        <v>-1.0059646643109539</v>
      </c>
      <c r="N4138" s="30">
        <f>IFERROR((VLOOKUP($A4138,HeadJournal!$A$1:$K$890,COLUMN(HeadJournal!K$1),0)-VLOOKUP($A4138,HeadJournal!$A$1:$K$890,COLUMN(HeadJournal!J$1),0))*($K4138+$L4138)/(SUMIF($A:$A,$A4138,$K:$K)+SUMIF($A:$A,$A4138,$L:$L)),0)</f>
        <v>-1.4461929886848679E-15</v>
      </c>
      <c r="O4138" s="30">
        <f>IFERROR((VLOOKUP($A4138,HeadJournal!$A$1:$L$890,COLUMN(HeadJournal!L$1),0)*($K4138+$L4138)/(SUMIF($A:$A,$A4138,$K:$K)+SUMIF($A:$A,$A4138,$L:$L)))/VLOOKUP($A4138,HeadJournal!$A$1:$L$890,COLUMN(HeadJournal!H$1),0),0)</f>
        <v>0.39272133322164426</v>
      </c>
      <c r="P4138" s="30">
        <f>IFERROR(SUM(K4138:O4138)*VLOOKUP($A4138,HeadJournal!$A$1:$L$890,COLUMN(HeadJournal!H$1),0),0)</f>
        <v>932.23853003533532</v>
      </c>
      <c r="Q4138" s="29">
        <v>1800</v>
      </c>
      <c r="R4138" s="31">
        <v>45670</v>
      </c>
      <c r="S4138" s="31" t="s">
        <v>3121</v>
      </c>
      <c r="T4138" s="95" t="str">
        <f t="shared" si="323"/>
        <v>2025 01</v>
      </c>
      <c r="U4138" s="32">
        <f t="shared" si="320"/>
        <v>867.76146996466468</v>
      </c>
      <c r="V4138" s="22">
        <f t="shared" si="321"/>
        <v>0.93083630638155801</v>
      </c>
      <c r="X4138" s="33"/>
      <c r="Y4138" s="33"/>
    </row>
    <row r="4139" spans="1:25" x14ac:dyDescent="0.2">
      <c r="A4139" s="93" t="s">
        <v>2652</v>
      </c>
      <c r="B4139" s="94" t="str">
        <f>IFERROR(VLOOKUP($A4139,HeadJournal!$A$1:$NTR$890,COLUMN(HeadJournal!B$1),0),"")</f>
        <v>720000501892</v>
      </c>
      <c r="C4139" s="94" t="str">
        <f>IFERROR(VLOOKUP($A4139,HeadJournal!$A$1:$NTR$890,COLUMN(HeadJournal!C$1),0),"")</f>
        <v>iHerb_MH DLE7202</v>
      </c>
      <c r="D4139" s="125" t="str">
        <f>IFERROR(VLOOKUP($A4139,HeadJournal!$A$1:$NTR$890,COLUMN(HeadJournal!D$1),0),"")</f>
        <v>Доставлен</v>
      </c>
      <c r="E4139" s="95">
        <f>IFERROR(VLOOKUP($A4139,HeadJournal!$A$1:$NTR$890,COLUMN(HeadJournal!G$1),0),"")</f>
        <v>45624</v>
      </c>
      <c r="F4139" s="95" t="str">
        <f t="shared" si="322"/>
        <v>2024 11</v>
      </c>
      <c r="G4139" s="97" t="s">
        <v>5</v>
      </c>
      <c r="H4139" s="161" t="s">
        <v>2650</v>
      </c>
      <c r="I4139" s="97" t="s">
        <v>2005</v>
      </c>
      <c r="J4139" s="97" t="s">
        <v>2651</v>
      </c>
      <c r="K4139" s="29">
        <v>12.71</v>
      </c>
      <c r="L4139" s="29">
        <v>-3.18</v>
      </c>
      <c r="M4139" s="30">
        <f>IFERROR(VLOOKUP($A4139,HeadJournal!$A$1:$J$890,COLUMN(HeadJournal!I$1),0)*($K4139+$L4139)/(SUMIF($A:$A,$A4139,$K:$K)+SUMIF($A:$A,$A4139,$L:$L)),0)</f>
        <v>-1.1095883392226147</v>
      </c>
      <c r="N4139" s="30">
        <f>IFERROR((VLOOKUP($A4139,HeadJournal!$A$1:$K$890,COLUMN(HeadJournal!K$1),0)-VLOOKUP($A4139,HeadJournal!$A$1:$K$890,COLUMN(HeadJournal!J$1),0))*($K4139+$L4139)/(SUMIF($A:$A,$A4139,$K:$K)+SUMIF($A:$A,$A4139,$L:$L)),0)</f>
        <v>-1.5951642571952306E-15</v>
      </c>
      <c r="O4139" s="30">
        <f>IFERROR((VLOOKUP($A4139,HeadJournal!$A$1:$L$890,COLUMN(HeadJournal!L$1),0)*($K4139+$L4139)/(SUMIF($A:$A,$A4139,$K:$K)+SUMIF($A:$A,$A4139,$L:$L)))/VLOOKUP($A4139,HeadJournal!$A$1:$L$890,COLUMN(HeadJournal!H$1),0),0)</f>
        <v>0.4331752668521146</v>
      </c>
      <c r="P4139" s="30">
        <f>IFERROR(SUM(K4139:O4139)*VLOOKUP($A4139,HeadJournal!$A$1:$L$890,COLUMN(HeadJournal!H$1),0),0)</f>
        <v>1028.2677304672159</v>
      </c>
      <c r="Q4139" s="29">
        <v>1700</v>
      </c>
      <c r="R4139" s="31">
        <v>45727</v>
      </c>
      <c r="S4139" s="31" t="s">
        <v>3121</v>
      </c>
      <c r="T4139" s="95" t="str">
        <f t="shared" si="323"/>
        <v>2025 03</v>
      </c>
      <c r="U4139" s="32">
        <f t="shared" si="320"/>
        <v>671.73226953278413</v>
      </c>
      <c r="V4139" s="22">
        <f t="shared" si="321"/>
        <v>0.65326592445682208</v>
      </c>
      <c r="X4139" s="33"/>
      <c r="Y4139" s="33"/>
    </row>
    <row r="4140" spans="1:25" x14ac:dyDescent="0.2">
      <c r="A4140" s="93" t="s">
        <v>2667</v>
      </c>
      <c r="B4140" s="94" t="str">
        <f>IFERROR(VLOOKUP($A4140,HeadJournal!$A$1:$NTR$890,COLUMN(HeadJournal!B$1),0),"")</f>
        <v>722500340867</v>
      </c>
      <c r="C4140" s="94" t="str">
        <f>IFERROR(VLOOKUP($A4140,HeadJournal!$A$1:$NTR$890,COLUMN(HeadJournal!C$1),0),"")</f>
        <v>iHerb_MH DLE7202</v>
      </c>
      <c r="D4140" s="125" t="str">
        <f>IFERROR(VLOOKUP($A4140,HeadJournal!$A$1:$NTR$890,COLUMN(HeadJournal!D$1),0),"")</f>
        <v>Доставлен</v>
      </c>
      <c r="E4140" s="95">
        <f>IFERROR(VLOOKUP($A4140,HeadJournal!$A$1:$NTR$890,COLUMN(HeadJournal!G$1),0),"")</f>
        <v>45647</v>
      </c>
      <c r="F4140" s="95" t="str">
        <f t="shared" si="322"/>
        <v>2024 12</v>
      </c>
      <c r="G4140" s="97" t="s">
        <v>5</v>
      </c>
      <c r="H4140" s="161" t="s">
        <v>2624</v>
      </c>
      <c r="I4140" s="97" t="s">
        <v>2005</v>
      </c>
      <c r="J4140" s="97" t="s">
        <v>2625</v>
      </c>
      <c r="K4140" s="29">
        <v>21.5</v>
      </c>
      <c r="L4140" s="29">
        <v>-4.3</v>
      </c>
      <c r="M4140" s="30">
        <f>IFERROR(VLOOKUP($A4140,HeadJournal!$A$1:$J$890,COLUMN(HeadJournal!I$1),0)*($K4140+$L4140)/(SUMIF($A:$A,$A4140,$K:$K)+SUMIF($A:$A,$A4140,$L:$L)),0)</f>
        <v>-1.1396955144579548</v>
      </c>
      <c r="N4140" s="30">
        <f>IFERROR((VLOOKUP($A4140,HeadJournal!$A$1:$K$890,COLUMN(HeadJournal!K$1),0)-VLOOKUP($A4140,HeadJournal!$A$1:$K$890,COLUMN(HeadJournal!J$1),0))*($K4140+$L4140)/(SUMIF($A:$A,$A4140,$K:$K)+SUMIF($A:$A,$A4140,$L:$L)),0)</f>
        <v>4.9949259446505473E-15</v>
      </c>
      <c r="O4140" s="30">
        <f>IFERROR((VLOOKUP($A4140,HeadJournal!$A$1:$L$890,COLUMN(HeadJournal!L$1),0)*($K4140+$L4140)/(SUMIF($A:$A,$A4140,$K:$K)+SUMIF($A:$A,$A4140,$L:$L)))/VLOOKUP($A4140,HeadJournal!$A$1:$L$890,COLUMN(HeadJournal!H$1),0),0)</f>
        <v>0.62779037700598717</v>
      </c>
      <c r="P4140" s="30">
        <f>IFERROR(SUM(K4140:O4140)*VLOOKUP($A4140,HeadJournal!$A$1:$L$890,COLUMN(HeadJournal!H$1),0),0)</f>
        <v>1954.7459350839558</v>
      </c>
      <c r="Q4140" s="29">
        <v>3000</v>
      </c>
      <c r="R4140" s="31">
        <v>45698</v>
      </c>
      <c r="S4140" s="31" t="s">
        <v>3121</v>
      </c>
      <c r="T4140" s="95" t="str">
        <f t="shared" si="323"/>
        <v>2025 02</v>
      </c>
      <c r="U4140" s="32">
        <f t="shared" si="320"/>
        <v>1045.2540649160442</v>
      </c>
      <c r="V4140" s="22">
        <f t="shared" si="321"/>
        <v>0.53472630184605074</v>
      </c>
      <c r="X4140" s="33"/>
      <c r="Y4140" s="33"/>
    </row>
    <row r="4141" spans="1:25" x14ac:dyDescent="0.2">
      <c r="A4141" s="93" t="s">
        <v>2667</v>
      </c>
      <c r="B4141" s="94" t="str">
        <f>IFERROR(VLOOKUP($A4141,HeadJournal!$A$1:$NTR$890,COLUMN(HeadJournal!B$1),0),"")</f>
        <v>722500340867</v>
      </c>
      <c r="C4141" s="94" t="str">
        <f>IFERROR(VLOOKUP($A4141,HeadJournal!$A$1:$NTR$890,COLUMN(HeadJournal!C$1),0),"")</f>
        <v>iHerb_MH DLE7202</v>
      </c>
      <c r="D4141" s="125" t="str">
        <f>IFERROR(VLOOKUP($A4141,HeadJournal!$A$1:$NTR$890,COLUMN(HeadJournal!D$1),0),"")</f>
        <v>Доставлен</v>
      </c>
      <c r="E4141" s="95">
        <f>IFERROR(VLOOKUP($A4141,HeadJournal!$A$1:$NTR$890,COLUMN(HeadJournal!G$1),0),"")</f>
        <v>45647</v>
      </c>
      <c r="F4141" s="95" t="str">
        <f t="shared" si="322"/>
        <v>2024 12</v>
      </c>
      <c r="G4141" s="97" t="s">
        <v>5</v>
      </c>
      <c r="H4141" s="161" t="s">
        <v>2654</v>
      </c>
      <c r="I4141" s="97" t="s">
        <v>2451</v>
      </c>
      <c r="J4141" s="97" t="s">
        <v>2655</v>
      </c>
      <c r="K4141" s="29">
        <v>15.32</v>
      </c>
      <c r="L4141" s="29">
        <v>-3.06</v>
      </c>
      <c r="M4141" s="30">
        <f>IFERROR(VLOOKUP($A4141,HeadJournal!$A$1:$J$890,COLUMN(HeadJournal!I$1),0)*($K4141+$L4141)/(SUMIF($A:$A,$A4141,$K:$K)+SUMIF($A:$A,$A4141,$L:$L)),0)</f>
        <v>-0.81236436088689101</v>
      </c>
      <c r="N4141" s="30">
        <f>IFERROR((VLOOKUP($A4141,HeadJournal!$A$1:$K$890,COLUMN(HeadJournal!K$1),0)-VLOOKUP($A4141,HeadJournal!$A$1:$K$890,COLUMN(HeadJournal!J$1),0))*($K4141+$L4141)/(SUMIF($A:$A,$A4141,$K:$K)+SUMIF($A:$A,$A4141,$L:$L)),0)</f>
        <v>3.5603367489195181E-15</v>
      </c>
      <c r="O4141" s="30">
        <f>IFERROR((VLOOKUP($A4141,HeadJournal!$A$1:$L$890,COLUMN(HeadJournal!L$1),0)*($K4141+$L4141)/(SUMIF($A:$A,$A4141,$K:$K)+SUMIF($A:$A,$A4141,$L:$L)))/VLOOKUP($A4141,HeadJournal!$A$1:$L$890,COLUMN(HeadJournal!H$1),0),0)</f>
        <v>0.44748314081938384</v>
      </c>
      <c r="P4141" s="30">
        <f>IFERROR(SUM(K4141:O4141)*VLOOKUP($A4141,HeadJournal!$A$1:$L$890,COLUMN(HeadJournal!H$1),0),0)</f>
        <v>1393.3247188447269</v>
      </c>
      <c r="Q4141" s="29">
        <v>2300</v>
      </c>
      <c r="R4141" s="31">
        <v>45756</v>
      </c>
      <c r="S4141" s="31" t="s">
        <v>3121</v>
      </c>
      <c r="T4141" s="95" t="str">
        <f t="shared" si="323"/>
        <v>2025 04</v>
      </c>
      <c r="U4141" s="32">
        <f t="shared" si="320"/>
        <v>906.67528115527307</v>
      </c>
      <c r="V4141" s="22">
        <f t="shared" si="321"/>
        <v>0.65072790921777479</v>
      </c>
      <c r="X4141" s="33"/>
      <c r="Y4141" s="33"/>
    </row>
    <row r="4142" spans="1:25" x14ac:dyDescent="0.2">
      <c r="A4142" s="93" t="s">
        <v>2667</v>
      </c>
      <c r="B4142" s="94" t="str">
        <f>IFERROR(VLOOKUP($A4142,HeadJournal!$A$1:$NTR$890,COLUMN(HeadJournal!B$1),0),"")</f>
        <v>722500340867</v>
      </c>
      <c r="C4142" s="94" t="str">
        <f>IFERROR(VLOOKUP($A4142,HeadJournal!$A$1:$NTR$890,COLUMN(HeadJournal!C$1),0),"")</f>
        <v>iHerb_MH DLE7202</v>
      </c>
      <c r="D4142" s="125" t="str">
        <f>IFERROR(VLOOKUP($A4142,HeadJournal!$A$1:$NTR$890,COLUMN(HeadJournal!D$1),0),"")</f>
        <v>Доставлен</v>
      </c>
      <c r="E4142" s="95">
        <f>IFERROR(VLOOKUP($A4142,HeadJournal!$A$1:$NTR$890,COLUMN(HeadJournal!G$1),0),"")</f>
        <v>45647</v>
      </c>
      <c r="F4142" s="95" t="str">
        <f t="shared" si="322"/>
        <v>2024 12</v>
      </c>
      <c r="G4142" s="97" t="s">
        <v>5</v>
      </c>
      <c r="H4142" s="161" t="s">
        <v>2656</v>
      </c>
      <c r="I4142" s="97" t="s">
        <v>2657</v>
      </c>
      <c r="J4142" s="97" t="s">
        <v>2658</v>
      </c>
      <c r="K4142" s="29">
        <v>12.78</v>
      </c>
      <c r="L4142" s="29">
        <v>-2.56</v>
      </c>
      <c r="M4142" s="30">
        <f>IFERROR(VLOOKUP($A4142,HeadJournal!$A$1:$J$890,COLUMN(HeadJournal!I$1),0)*($K4142+$L4142)/(SUMIF($A:$A,$A4142,$K:$K)+SUMIF($A:$A,$A4142,$L:$L)),0)</f>
        <v>-0.67719117196280787</v>
      </c>
      <c r="N4142" s="30">
        <f>IFERROR((VLOOKUP($A4142,HeadJournal!$A$1:$K$890,COLUMN(HeadJournal!K$1),0)-VLOOKUP($A4142,HeadJournal!$A$1:$K$890,COLUMN(HeadJournal!J$1),0))*($K4142+$L4142)/(SUMIF($A:$A,$A4142,$K:$K)+SUMIF($A:$A,$A4142,$L:$L)),0)</f>
        <v>2.9679152996702668E-15</v>
      </c>
      <c r="O4142" s="30">
        <f>IFERROR((VLOOKUP($A4142,HeadJournal!$A$1:$L$890,COLUMN(HeadJournal!L$1),0)*($K4142+$L4142)/(SUMIF($A:$A,$A4142,$K:$K)+SUMIF($A:$A,$A4142,$L:$L)))/VLOOKUP($A4142,HeadJournal!$A$1:$L$890,COLUMN(HeadJournal!H$1),0),0)</f>
        <v>0.37302428215123179</v>
      </c>
      <c r="P4142" s="30">
        <f>IFERROR(SUM(K4142:O4142)*VLOOKUP($A4142,HeadJournal!$A$1:$L$890,COLUMN(HeadJournal!H$1),0),0)</f>
        <v>1161.482759102211</v>
      </c>
      <c r="Q4142" s="29">
        <v>1900</v>
      </c>
      <c r="R4142" s="31">
        <v>45682</v>
      </c>
      <c r="S4142" s="31" t="s">
        <v>3121</v>
      </c>
      <c r="T4142" s="95" t="str">
        <f t="shared" si="323"/>
        <v>2025 01</v>
      </c>
      <c r="U4142" s="32">
        <f t="shared" si="320"/>
        <v>738.51724089778895</v>
      </c>
      <c r="V4142" s="22">
        <f t="shared" si="321"/>
        <v>0.63584003732318772</v>
      </c>
      <c r="X4142" s="33"/>
      <c r="Y4142" s="33"/>
    </row>
    <row r="4143" spans="1:25" x14ac:dyDescent="0.2">
      <c r="A4143" s="93" t="s">
        <v>2667</v>
      </c>
      <c r="B4143" s="94" t="str">
        <f>IFERROR(VLOOKUP($A4143,HeadJournal!$A$1:$NTR$890,COLUMN(HeadJournal!B$1),0),"")</f>
        <v>722500340867</v>
      </c>
      <c r="C4143" s="94" t="str">
        <f>IFERROR(VLOOKUP($A4143,HeadJournal!$A$1:$NTR$890,COLUMN(HeadJournal!C$1),0),"")</f>
        <v>iHerb_MH DLE7202</v>
      </c>
      <c r="D4143" s="125" t="str">
        <f>IFERROR(VLOOKUP($A4143,HeadJournal!$A$1:$NTR$890,COLUMN(HeadJournal!D$1),0),"")</f>
        <v>Доставлен</v>
      </c>
      <c r="E4143" s="95">
        <f>IFERROR(VLOOKUP($A4143,HeadJournal!$A$1:$NTR$890,COLUMN(HeadJournal!G$1),0),"")</f>
        <v>45647</v>
      </c>
      <c r="F4143" s="95" t="str">
        <f t="shared" si="322"/>
        <v>2024 12</v>
      </c>
      <c r="G4143" s="97" t="s">
        <v>5</v>
      </c>
      <c r="H4143" s="161" t="s">
        <v>2027</v>
      </c>
      <c r="I4143" s="97" t="s">
        <v>2005</v>
      </c>
      <c r="J4143" s="97" t="s">
        <v>4110</v>
      </c>
      <c r="K4143" s="29">
        <v>8.3699999999999992</v>
      </c>
      <c r="L4143" s="29">
        <v>-1.67</v>
      </c>
      <c r="M4143" s="30">
        <f>IFERROR(VLOOKUP($A4143,HeadJournal!$A$1:$J$890,COLUMN(HeadJournal!I$1),0)*($K4143+$L4143)/(SUMIF($A:$A,$A4143,$K:$K)+SUMIF($A:$A,$A4143,$L:$L)),0)</f>
        <v>-0.44395115970164517</v>
      </c>
      <c r="N4143" s="30">
        <f>IFERROR((VLOOKUP($A4143,HeadJournal!$A$1:$K$890,COLUMN(HeadJournal!K$1),0)-VLOOKUP($A4143,HeadJournal!$A$1:$K$890,COLUMN(HeadJournal!J$1),0))*($K4143+$L4143)/(SUMIF($A:$A,$A4143,$K:$K)+SUMIF($A:$A,$A4143,$L:$L)),0)</f>
        <v>1.9456978970441082E-15</v>
      </c>
      <c r="O4143" s="30">
        <f>IFERROR((VLOOKUP($A4143,HeadJournal!$A$1:$L$890,COLUMN(HeadJournal!L$1),0)*($K4143+$L4143)/(SUMIF($A:$A,$A4143,$K:$K)+SUMIF($A:$A,$A4143,$L:$L)))/VLOOKUP($A4143,HeadJournal!$A$1:$L$890,COLUMN(HeadJournal!H$1),0),0)</f>
        <v>0.2445462515081461</v>
      </c>
      <c r="P4143" s="30">
        <f>IFERROR(SUM(K4143:O4143)*VLOOKUP($A4143,HeadJournal!$A$1:$L$890,COLUMN(HeadJournal!H$1),0),0)</f>
        <v>761.44173052688984</v>
      </c>
      <c r="Q4143" s="29">
        <v>1200</v>
      </c>
      <c r="R4143" s="31">
        <v>45766</v>
      </c>
      <c r="S4143" s="31" t="s">
        <v>3121</v>
      </c>
      <c r="T4143" s="95" t="str">
        <f t="shared" si="323"/>
        <v>2025 04</v>
      </c>
      <c r="U4143" s="32">
        <f t="shared" si="320"/>
        <v>438.55826947311016</v>
      </c>
      <c r="V4143" s="22">
        <f t="shared" si="321"/>
        <v>0.57595775473146693</v>
      </c>
      <c r="X4143" s="33"/>
      <c r="Y4143" s="33"/>
    </row>
    <row r="4144" spans="1:25" x14ac:dyDescent="0.2">
      <c r="A4144" s="93" t="s">
        <v>2667</v>
      </c>
      <c r="B4144" s="94" t="str">
        <f>IFERROR(VLOOKUP($A4144,HeadJournal!$A$1:$NTR$890,COLUMN(HeadJournal!B$1),0),"")</f>
        <v>722500340867</v>
      </c>
      <c r="C4144" s="94" t="str">
        <f>IFERROR(VLOOKUP($A4144,HeadJournal!$A$1:$NTR$890,COLUMN(HeadJournal!C$1),0),"")</f>
        <v>iHerb_MH DLE7202</v>
      </c>
      <c r="D4144" s="125" t="str">
        <f>IFERROR(VLOOKUP($A4144,HeadJournal!$A$1:$NTR$890,COLUMN(HeadJournal!D$1),0),"")</f>
        <v>Доставлен</v>
      </c>
      <c r="E4144" s="95">
        <f>IFERROR(VLOOKUP($A4144,HeadJournal!$A$1:$NTR$890,COLUMN(HeadJournal!G$1),0),"")</f>
        <v>45647</v>
      </c>
      <c r="F4144" s="95" t="str">
        <f t="shared" si="322"/>
        <v>2024 12</v>
      </c>
      <c r="G4144" s="97" t="s">
        <v>5</v>
      </c>
      <c r="H4144" s="161" t="s">
        <v>2659</v>
      </c>
      <c r="I4144" s="97" t="s">
        <v>2218</v>
      </c>
      <c r="J4144" s="97" t="s">
        <v>2660</v>
      </c>
      <c r="K4144" s="29">
        <v>11</v>
      </c>
      <c r="L4144" s="29">
        <v>-2.2000000000000002</v>
      </c>
      <c r="M4144" s="30">
        <f>IFERROR(VLOOKUP($A4144,HeadJournal!$A$1:$J$890,COLUMN(HeadJournal!I$1),0)*($K4144+$L4144)/(SUMIF($A:$A,$A4144,$K:$K)+SUMIF($A:$A,$A4144,$L:$L)),0)</f>
        <v>-0.58310003065290716</v>
      </c>
      <c r="N4144" s="30">
        <f>IFERROR((VLOOKUP($A4144,HeadJournal!$A$1:$K$890,COLUMN(HeadJournal!K$1),0)-VLOOKUP($A4144,HeadJournal!$A$1:$K$890,COLUMN(HeadJournal!J$1),0))*($K4144+$L4144)/(SUMIF($A:$A,$A4144,$K:$K)+SUMIF($A:$A,$A4144,$L:$L)),0)</f>
        <v>2.5555435065653965E-15</v>
      </c>
      <c r="O4144" s="30">
        <f>IFERROR((VLOOKUP($A4144,HeadJournal!$A$1:$L$890,COLUMN(HeadJournal!L$1),0)*($K4144+$L4144)/(SUMIF($A:$A,$A4144,$K:$K)+SUMIF($A:$A,$A4144,$L:$L)))/VLOOKUP($A4144,HeadJournal!$A$1:$L$890,COLUMN(HeadJournal!H$1),0),0)</f>
        <v>0.32119507660771435</v>
      </c>
      <c r="P4144" s="30">
        <f>IFERROR(SUM(K4144:O4144)*VLOOKUP($A4144,HeadJournal!$A$1:$L$890,COLUMN(HeadJournal!H$1),0),0)</f>
        <v>1000.1025714383031</v>
      </c>
      <c r="Q4144" s="29">
        <v>1700</v>
      </c>
      <c r="R4144" s="31">
        <v>45682</v>
      </c>
      <c r="S4144" s="31" t="s">
        <v>3121</v>
      </c>
      <c r="T4144" s="95" t="str">
        <f t="shared" si="323"/>
        <v>2025 01</v>
      </c>
      <c r="U4144" s="32">
        <f t="shared" si="320"/>
        <v>699.89742856169687</v>
      </c>
      <c r="V4144" s="22">
        <f t="shared" si="321"/>
        <v>0.69982564643858025</v>
      </c>
      <c r="X4144" s="33"/>
      <c r="Y4144" s="33"/>
    </row>
    <row r="4145" spans="1:25" x14ac:dyDescent="0.2">
      <c r="A4145" s="93" t="s">
        <v>2667</v>
      </c>
      <c r="B4145" s="94" t="str">
        <f>IFERROR(VLOOKUP($A4145,HeadJournal!$A$1:$NTR$890,COLUMN(HeadJournal!B$1),0),"")</f>
        <v>722500340867</v>
      </c>
      <c r="C4145" s="94" t="str">
        <f>IFERROR(VLOOKUP($A4145,HeadJournal!$A$1:$NTR$890,COLUMN(HeadJournal!C$1),0),"")</f>
        <v>iHerb_MH DLE7202</v>
      </c>
      <c r="D4145" s="125" t="str">
        <f>IFERROR(VLOOKUP($A4145,HeadJournal!$A$1:$NTR$890,COLUMN(HeadJournal!D$1),0),"")</f>
        <v>Доставлен</v>
      </c>
      <c r="E4145" s="95">
        <f>IFERROR(VLOOKUP($A4145,HeadJournal!$A$1:$NTR$890,COLUMN(HeadJournal!G$1),0),"")</f>
        <v>45647</v>
      </c>
      <c r="F4145" s="95" t="str">
        <f t="shared" si="322"/>
        <v>2024 12</v>
      </c>
      <c r="G4145" s="97" t="s">
        <v>5</v>
      </c>
      <c r="H4145" s="161" t="s">
        <v>2659</v>
      </c>
      <c r="I4145" s="97" t="s">
        <v>2218</v>
      </c>
      <c r="J4145" s="97" t="s">
        <v>2660</v>
      </c>
      <c r="K4145" s="29">
        <v>11</v>
      </c>
      <c r="L4145" s="29">
        <v>-2.2000000000000002</v>
      </c>
      <c r="M4145" s="30">
        <f>IFERROR(VLOOKUP($A4145,HeadJournal!$A$1:$J$890,COLUMN(HeadJournal!I$1),0)*($K4145+$L4145)/(SUMIF($A:$A,$A4145,$K:$K)+SUMIF($A:$A,$A4145,$L:$L)),0)</f>
        <v>-0.58310003065290716</v>
      </c>
      <c r="N4145" s="30">
        <f>IFERROR((VLOOKUP($A4145,HeadJournal!$A$1:$K$890,COLUMN(HeadJournal!K$1),0)-VLOOKUP($A4145,HeadJournal!$A$1:$K$890,COLUMN(HeadJournal!J$1),0))*($K4145+$L4145)/(SUMIF($A:$A,$A4145,$K:$K)+SUMIF($A:$A,$A4145,$L:$L)),0)</f>
        <v>2.5555435065653965E-15</v>
      </c>
      <c r="O4145" s="30">
        <f>IFERROR((VLOOKUP($A4145,HeadJournal!$A$1:$L$890,COLUMN(HeadJournal!L$1),0)*($K4145+$L4145)/(SUMIF($A:$A,$A4145,$K:$K)+SUMIF($A:$A,$A4145,$L:$L)))/VLOOKUP($A4145,HeadJournal!$A$1:$L$890,COLUMN(HeadJournal!H$1),0),0)</f>
        <v>0.32119507660771435</v>
      </c>
      <c r="P4145" s="30">
        <f>IFERROR(SUM(K4145:O4145)*VLOOKUP($A4145,HeadJournal!$A$1:$L$890,COLUMN(HeadJournal!H$1),0),0)</f>
        <v>1000.1025714383031</v>
      </c>
      <c r="Q4145" s="29">
        <v>1700</v>
      </c>
      <c r="R4145" s="31">
        <v>45682</v>
      </c>
      <c r="S4145" s="31" t="s">
        <v>3121</v>
      </c>
      <c r="T4145" s="95" t="str">
        <f t="shared" si="323"/>
        <v>2025 01</v>
      </c>
      <c r="U4145" s="32">
        <f t="shared" si="320"/>
        <v>699.89742856169687</v>
      </c>
      <c r="V4145" s="22">
        <f t="shared" si="321"/>
        <v>0.69982564643858025</v>
      </c>
      <c r="X4145" s="33"/>
      <c r="Y4145" s="33"/>
    </row>
    <row r="4146" spans="1:25" x14ac:dyDescent="0.2">
      <c r="A4146" s="93" t="s">
        <v>2667</v>
      </c>
      <c r="B4146" s="94" t="str">
        <f>IFERROR(VLOOKUP($A4146,HeadJournal!$A$1:$NTR$890,COLUMN(HeadJournal!B$1),0),"")</f>
        <v>722500340867</v>
      </c>
      <c r="C4146" s="94" t="str">
        <f>IFERROR(VLOOKUP($A4146,HeadJournal!$A$1:$NTR$890,COLUMN(HeadJournal!C$1),0),"")</f>
        <v>iHerb_MH DLE7202</v>
      </c>
      <c r="D4146" s="125" t="str">
        <f>IFERROR(VLOOKUP($A4146,HeadJournal!$A$1:$NTR$890,COLUMN(HeadJournal!D$1),0),"")</f>
        <v>Доставлен</v>
      </c>
      <c r="E4146" s="95">
        <f>IFERROR(VLOOKUP($A4146,HeadJournal!$A$1:$NTR$890,COLUMN(HeadJournal!G$1),0),"")</f>
        <v>45647</v>
      </c>
      <c r="F4146" s="95" t="str">
        <f t="shared" si="322"/>
        <v>2024 12</v>
      </c>
      <c r="G4146" s="97" t="s">
        <v>5</v>
      </c>
      <c r="H4146" s="161" t="s">
        <v>2497</v>
      </c>
      <c r="I4146" s="97" t="s">
        <v>2498</v>
      </c>
      <c r="J4146" s="97" t="s">
        <v>2499</v>
      </c>
      <c r="K4146" s="29">
        <v>26.07</v>
      </c>
      <c r="L4146" s="29">
        <v>-5.2149999999999999</v>
      </c>
      <c r="M4146" s="30">
        <f>IFERROR(VLOOKUP($A4146,HeadJournal!$A$1:$J$890,COLUMN(HeadJournal!I$1),0)*($K4146+$L4146)/(SUMIF($A:$A,$A4146,$K:$K)+SUMIF($A:$A,$A4146,$L:$L)),0)</f>
        <v>-1.3818808112802701</v>
      </c>
      <c r="N4146" s="30">
        <f>IFERROR((VLOOKUP($A4146,HeadJournal!$A$1:$K$890,COLUMN(HeadJournal!K$1),0)-VLOOKUP($A4146,HeadJournal!$A$1:$K$890,COLUMN(HeadJournal!J$1),0))*($K4146+$L4146)/(SUMIF($A:$A,$A4146,$K:$K)+SUMIF($A:$A,$A4146,$L:$L)),0)</f>
        <v>6.0563477078887884E-15</v>
      </c>
      <c r="O4146" s="30">
        <f>IFERROR((VLOOKUP($A4146,HeadJournal!$A$1:$L$890,COLUMN(HeadJournal!L$1),0)*($K4146+$L4146)/(SUMIF($A:$A,$A4146,$K:$K)+SUMIF($A:$A,$A4146,$L:$L)))/VLOOKUP($A4146,HeadJournal!$A$1:$L$890,COLUMN(HeadJournal!H$1),0),0)</f>
        <v>0.76119583211975927</v>
      </c>
      <c r="P4146" s="30">
        <f>IFERROR(SUM(K4146:O4146)*VLOOKUP($A4146,HeadJournal!$A$1:$L$890,COLUMN(HeadJournal!H$1),0),0)</f>
        <v>2370.1294462892974</v>
      </c>
      <c r="Q4146" s="29">
        <v>2370.13</v>
      </c>
      <c r="R4146" s="31">
        <v>45648</v>
      </c>
      <c r="S4146" s="31" t="s">
        <v>3121</v>
      </c>
      <c r="T4146" s="95" t="str">
        <f t="shared" si="323"/>
        <v>2024 12</v>
      </c>
      <c r="U4146" s="32">
        <f t="shared" si="320"/>
        <v>5.5371070266119204E-4</v>
      </c>
      <c r="V4146" s="22">
        <f t="shared" si="321"/>
        <v>2.3362044783169461E-7</v>
      </c>
      <c r="X4146" s="33"/>
      <c r="Y4146" s="33"/>
    </row>
    <row r="4147" spans="1:25" x14ac:dyDescent="0.2">
      <c r="A4147" s="93" t="s">
        <v>2667</v>
      </c>
      <c r="B4147" s="94" t="str">
        <f>IFERROR(VLOOKUP($A4147,HeadJournal!$A$1:$NTR$890,COLUMN(HeadJournal!B$1),0),"")</f>
        <v>722500340867</v>
      </c>
      <c r="C4147" s="94" t="str">
        <f>IFERROR(VLOOKUP($A4147,HeadJournal!$A$1:$NTR$890,COLUMN(HeadJournal!C$1),0),"")</f>
        <v>iHerb_MH DLE7202</v>
      </c>
      <c r="D4147" s="125" t="str">
        <f>IFERROR(VLOOKUP($A4147,HeadJournal!$A$1:$NTR$890,COLUMN(HeadJournal!D$1),0),"")</f>
        <v>Доставлен</v>
      </c>
      <c r="E4147" s="95">
        <f>IFERROR(VLOOKUP($A4147,HeadJournal!$A$1:$NTR$890,COLUMN(HeadJournal!G$1),0),"")</f>
        <v>45647</v>
      </c>
      <c r="F4147" s="95" t="str">
        <f t="shared" si="322"/>
        <v>2024 12</v>
      </c>
      <c r="G4147" s="97" t="s">
        <v>5</v>
      </c>
      <c r="H4147" s="161" t="s">
        <v>2497</v>
      </c>
      <c r="I4147" s="97" t="s">
        <v>2498</v>
      </c>
      <c r="J4147" s="97" t="s">
        <v>2499</v>
      </c>
      <c r="K4147" s="29">
        <v>26.07</v>
      </c>
      <c r="L4147" s="29">
        <v>-5.2149999999999999</v>
      </c>
      <c r="M4147" s="30">
        <f>IFERROR(VLOOKUP($A4147,HeadJournal!$A$1:$J$890,COLUMN(HeadJournal!I$1),0)*($K4147+$L4147)/(SUMIF($A:$A,$A4147,$K:$K)+SUMIF($A:$A,$A4147,$L:$L)),0)</f>
        <v>-1.3818808112802701</v>
      </c>
      <c r="N4147" s="30">
        <f>IFERROR((VLOOKUP($A4147,HeadJournal!$A$1:$K$890,COLUMN(HeadJournal!K$1),0)-VLOOKUP($A4147,HeadJournal!$A$1:$K$890,COLUMN(HeadJournal!J$1),0))*($K4147+$L4147)/(SUMIF($A:$A,$A4147,$K:$K)+SUMIF($A:$A,$A4147,$L:$L)),0)</f>
        <v>6.0563477078887884E-15</v>
      </c>
      <c r="O4147" s="30">
        <f>IFERROR((VLOOKUP($A4147,HeadJournal!$A$1:$L$890,COLUMN(HeadJournal!L$1),0)*($K4147+$L4147)/(SUMIF($A:$A,$A4147,$K:$K)+SUMIF($A:$A,$A4147,$L:$L)))/VLOOKUP($A4147,HeadJournal!$A$1:$L$890,COLUMN(HeadJournal!H$1),0),0)</f>
        <v>0.76119583211975927</v>
      </c>
      <c r="P4147" s="30">
        <f>IFERROR(SUM(K4147:O4147)*VLOOKUP($A4147,HeadJournal!$A$1:$L$890,COLUMN(HeadJournal!H$1),0),0)</f>
        <v>2370.1294462892974</v>
      </c>
      <c r="Q4147" s="29">
        <v>3100</v>
      </c>
      <c r="R4147" s="31">
        <v>45744</v>
      </c>
      <c r="S4147" s="31" t="s">
        <v>3121</v>
      </c>
      <c r="T4147" s="95" t="str">
        <f t="shared" si="323"/>
        <v>2025 03</v>
      </c>
      <c r="U4147" s="32">
        <f t="shared" si="320"/>
        <v>729.87055371070255</v>
      </c>
      <c r="V4147" s="22">
        <f t="shared" si="321"/>
        <v>0.30794543937395341</v>
      </c>
      <c r="X4147" s="33"/>
      <c r="Y4147" s="33"/>
    </row>
    <row r="4148" spans="1:25" x14ac:dyDescent="0.2">
      <c r="A4148" s="93" t="s">
        <v>2667</v>
      </c>
      <c r="B4148" s="94" t="str">
        <f>IFERROR(VLOOKUP($A4148,HeadJournal!$A$1:$NTR$890,COLUMN(HeadJournal!B$1),0),"")</f>
        <v>722500340867</v>
      </c>
      <c r="C4148" s="94" t="str">
        <f>IFERROR(VLOOKUP($A4148,HeadJournal!$A$1:$NTR$890,COLUMN(HeadJournal!C$1),0),"")</f>
        <v>iHerb_MH DLE7202</v>
      </c>
      <c r="D4148" s="125" t="str">
        <f>IFERROR(VLOOKUP($A4148,HeadJournal!$A$1:$NTR$890,COLUMN(HeadJournal!D$1),0),"")</f>
        <v>Доставлен</v>
      </c>
      <c r="E4148" s="95">
        <f>IFERROR(VLOOKUP($A4148,HeadJournal!$A$1:$NTR$890,COLUMN(HeadJournal!G$1),0),"")</f>
        <v>45647</v>
      </c>
      <c r="F4148" s="95" t="str">
        <f t="shared" si="322"/>
        <v>2024 12</v>
      </c>
      <c r="G4148" s="97" t="s">
        <v>5</v>
      </c>
      <c r="H4148" s="161" t="s">
        <v>2661</v>
      </c>
      <c r="I4148" s="97" t="s">
        <v>2005</v>
      </c>
      <c r="J4148" s="97" t="s">
        <v>2662</v>
      </c>
      <c r="K4148" s="29">
        <v>11.3</v>
      </c>
      <c r="L4148" s="29">
        <v>-2.83</v>
      </c>
      <c r="M4148" s="30">
        <f>IFERROR(VLOOKUP($A4148,HeadJournal!$A$1:$J$890,COLUMN(HeadJournal!I$1),0)*($K4148+$L4148)/(SUMIF($A:$A,$A4148,$K:$K)+SUMIF($A:$A,$A4148,$L:$L)),0)</f>
        <v>-0.56123377950342312</v>
      </c>
      <c r="N4148" s="30">
        <f>IFERROR((VLOOKUP($A4148,HeadJournal!$A$1:$K$890,COLUMN(HeadJournal!K$1),0)-VLOOKUP($A4148,HeadJournal!$A$1:$K$890,COLUMN(HeadJournal!J$1),0))*($K4148+$L4148)/(SUMIF($A:$A,$A4148,$K:$K)+SUMIF($A:$A,$A4148,$L:$L)),0)</f>
        <v>2.4597106250691939E-15</v>
      </c>
      <c r="O4148" s="30">
        <f>IFERROR((VLOOKUP($A4148,HeadJournal!$A$1:$L$890,COLUMN(HeadJournal!L$1),0)*($K4148+$L4148)/(SUMIF($A:$A,$A4148,$K:$K)+SUMIF($A:$A,$A4148,$L:$L)))/VLOOKUP($A4148,HeadJournal!$A$1:$L$890,COLUMN(HeadJournal!H$1),0),0)</f>
        <v>0.30915026123492506</v>
      </c>
      <c r="P4148" s="30">
        <f>IFERROR(SUM(K4148:O4148)*VLOOKUP($A4148,HeadJournal!$A$1:$L$890,COLUMN(HeadJournal!H$1),0),0)</f>
        <v>962.59872500936683</v>
      </c>
      <c r="Q4148" s="29">
        <v>1600</v>
      </c>
      <c r="R4148" s="31">
        <v>46080</v>
      </c>
      <c r="S4148" s="31" t="s">
        <v>3497</v>
      </c>
      <c r="T4148" s="95" t="str">
        <f t="shared" si="323"/>
        <v>2026 02</v>
      </c>
      <c r="U4148" s="32">
        <f t="shared" si="320"/>
        <v>637.40127499063317</v>
      </c>
      <c r="V4148" s="22">
        <f t="shared" si="321"/>
        <v>0.66216717146018533</v>
      </c>
      <c r="X4148" s="33"/>
      <c r="Y4148" s="33"/>
    </row>
    <row r="4149" spans="1:25" x14ac:dyDescent="0.2">
      <c r="A4149" s="93" t="s">
        <v>2667</v>
      </c>
      <c r="B4149" s="94" t="str">
        <f>IFERROR(VLOOKUP($A4149,HeadJournal!$A$1:$NTR$890,COLUMN(HeadJournal!B$1),0),"")</f>
        <v>722500340867</v>
      </c>
      <c r="C4149" s="94" t="str">
        <f>IFERROR(VLOOKUP($A4149,HeadJournal!$A$1:$NTR$890,COLUMN(HeadJournal!C$1),0),"")</f>
        <v>iHerb_MH DLE7202</v>
      </c>
      <c r="D4149" s="125" t="str">
        <f>IFERROR(VLOOKUP($A4149,HeadJournal!$A$1:$NTR$890,COLUMN(HeadJournal!D$1),0),"")</f>
        <v>Доставлен</v>
      </c>
      <c r="E4149" s="95">
        <f>IFERROR(VLOOKUP($A4149,HeadJournal!$A$1:$NTR$890,COLUMN(HeadJournal!G$1),0),"")</f>
        <v>45647</v>
      </c>
      <c r="F4149" s="95" t="str">
        <f t="shared" si="322"/>
        <v>2024 12</v>
      </c>
      <c r="G4149" s="97" t="s">
        <v>5</v>
      </c>
      <c r="H4149" s="161" t="s">
        <v>2663</v>
      </c>
      <c r="I4149" s="97" t="s">
        <v>2005</v>
      </c>
      <c r="J4149" s="97" t="s">
        <v>2664</v>
      </c>
      <c r="K4149" s="29">
        <v>33.1</v>
      </c>
      <c r="L4149" s="29">
        <v>-13.64</v>
      </c>
      <c r="M4149" s="30">
        <f>IFERROR(VLOOKUP($A4149,HeadJournal!$A$1:$J$890,COLUMN(HeadJournal!I$1),0)*($K4149+$L4149)/(SUMIF($A:$A,$A4149,$K:$K)+SUMIF($A:$A,$A4149,$L:$L)),0)</f>
        <v>-1.2894462041483605</v>
      </c>
      <c r="N4149" s="30">
        <f>IFERROR((VLOOKUP($A4149,HeadJournal!$A$1:$K$890,COLUMN(HeadJournal!K$1),0)-VLOOKUP($A4149,HeadJournal!$A$1:$K$890,COLUMN(HeadJournal!J$1),0))*($K4149+$L4149)/(SUMIF($A:$A,$A4149,$K:$K)+SUMIF($A:$A,$A4149,$L:$L)),0)</f>
        <v>5.6512359815639331E-15</v>
      </c>
      <c r="O4149" s="30">
        <f>IFERROR((VLOOKUP($A4149,HeadJournal!$A$1:$L$890,COLUMN(HeadJournal!L$1),0)*($K4149+$L4149)/(SUMIF($A:$A,$A4149,$K:$K)+SUMIF($A:$A,$A4149,$L:$L)))/VLOOKUP($A4149,HeadJournal!$A$1:$L$890,COLUMN(HeadJournal!H$1),0),0)</f>
        <v>0.71027911258933196</v>
      </c>
      <c r="P4149" s="30">
        <f>IFERROR(SUM(K4149:O4149)*VLOOKUP($A4149,HeadJournal!$A$1:$L$890,COLUMN(HeadJournal!H$1),0),0)</f>
        <v>2211.5904591124295</v>
      </c>
      <c r="Q4149" s="29">
        <v>4400</v>
      </c>
      <c r="R4149" s="31">
        <v>45682</v>
      </c>
      <c r="S4149" s="31" t="s">
        <v>3121</v>
      </c>
      <c r="T4149" s="95" t="str">
        <f t="shared" si="323"/>
        <v>2025 01</v>
      </c>
      <c r="U4149" s="32">
        <f t="shared" si="320"/>
        <v>2188.4095408875705</v>
      </c>
      <c r="V4149" s="22">
        <f t="shared" si="321"/>
        <v>0.98951843994020394</v>
      </c>
      <c r="X4149" s="33"/>
      <c r="Y4149" s="33"/>
    </row>
    <row r="4150" spans="1:25" x14ac:dyDescent="0.2">
      <c r="A4150" s="93" t="s">
        <v>2667</v>
      </c>
      <c r="B4150" s="94" t="str">
        <f>IFERROR(VLOOKUP($A4150,HeadJournal!$A$1:$NTR$890,COLUMN(HeadJournal!B$1),0),"")</f>
        <v>722500340867</v>
      </c>
      <c r="C4150" s="94" t="str">
        <f>IFERROR(VLOOKUP($A4150,HeadJournal!$A$1:$NTR$890,COLUMN(HeadJournal!C$1),0),"")</f>
        <v>iHerb_MH DLE7202</v>
      </c>
      <c r="D4150" s="125" t="str">
        <f>IFERROR(VLOOKUP($A4150,HeadJournal!$A$1:$NTR$890,COLUMN(HeadJournal!D$1),0),"")</f>
        <v>Доставлен</v>
      </c>
      <c r="E4150" s="95">
        <f>IFERROR(VLOOKUP($A4150,HeadJournal!$A$1:$NTR$890,COLUMN(HeadJournal!G$1),0),"")</f>
        <v>45647</v>
      </c>
      <c r="F4150" s="95" t="str">
        <f t="shared" si="322"/>
        <v>2024 12</v>
      </c>
      <c r="G4150" s="97" t="s">
        <v>5</v>
      </c>
      <c r="H4150" s="161" t="s">
        <v>2504</v>
      </c>
      <c r="I4150" s="97" t="s">
        <v>2036</v>
      </c>
      <c r="J4150" s="97" t="s">
        <v>3739</v>
      </c>
      <c r="K4150" s="29">
        <v>15.45</v>
      </c>
      <c r="L4150" s="29">
        <v>-3.09</v>
      </c>
      <c r="M4150" s="30">
        <f>IFERROR(VLOOKUP($A4150,HeadJournal!$A$1:$J$890,COLUMN(HeadJournal!I$1),0)*($K4150+$L4150)/(SUMIF($A:$A,$A4150,$K:$K)+SUMIF($A:$A,$A4150,$L:$L)),0)</f>
        <v>-0.81899049759885589</v>
      </c>
      <c r="N4150" s="30">
        <f>IFERROR((VLOOKUP($A4150,HeadJournal!$A$1:$K$890,COLUMN(HeadJournal!K$1),0)-VLOOKUP($A4150,HeadJournal!$A$1:$K$890,COLUMN(HeadJournal!J$1),0))*($K4150+$L4150)/(SUMIF($A:$A,$A4150,$K:$K)+SUMIF($A:$A,$A4150,$L:$L)),0)</f>
        <v>3.5893770160395788E-15</v>
      </c>
      <c r="O4150" s="30">
        <f>IFERROR((VLOOKUP($A4150,HeadJournal!$A$1:$L$890,COLUMN(HeadJournal!L$1),0)*($K4150+$L4150)/(SUMIF($A:$A,$A4150,$K:$K)+SUMIF($A:$A,$A4150,$L:$L)))/VLOOKUP($A4150,HeadJournal!$A$1:$L$890,COLUMN(HeadJournal!H$1),0),0)</f>
        <v>0.45113308487174419</v>
      </c>
      <c r="P4150" s="30">
        <f>IFERROR(SUM(K4150:O4150)*VLOOKUP($A4150,HeadJournal!$A$1:$L$890,COLUMN(HeadJournal!H$1),0),0)</f>
        <v>1404.6895207928892</v>
      </c>
      <c r="Q4150" s="29">
        <v>2500</v>
      </c>
      <c r="R4150" s="31">
        <v>45682</v>
      </c>
      <c r="S4150" s="31" t="s">
        <v>3121</v>
      </c>
      <c r="T4150" s="95" t="str">
        <f t="shared" si="323"/>
        <v>2025 01</v>
      </c>
      <c r="U4150" s="32">
        <f t="shared" si="320"/>
        <v>1095.3104792071108</v>
      </c>
      <c r="V4150" s="22">
        <f t="shared" si="321"/>
        <v>0.77975272328425527</v>
      </c>
      <c r="X4150" s="33"/>
      <c r="Y4150" s="33"/>
    </row>
    <row r="4151" spans="1:25" x14ac:dyDescent="0.2">
      <c r="A4151" s="93" t="s">
        <v>2667</v>
      </c>
      <c r="B4151" s="94" t="str">
        <f>IFERROR(VLOOKUP($A4151,HeadJournal!$A$1:$NTR$890,COLUMN(HeadJournal!B$1),0),"")</f>
        <v>722500340867</v>
      </c>
      <c r="C4151" s="94" t="str">
        <f>IFERROR(VLOOKUP($A4151,HeadJournal!$A$1:$NTR$890,COLUMN(HeadJournal!C$1),0),"")</f>
        <v>iHerb_MH DLE7202</v>
      </c>
      <c r="D4151" s="125" t="str">
        <f>IFERROR(VLOOKUP($A4151,HeadJournal!$A$1:$NTR$890,COLUMN(HeadJournal!D$1),0),"")</f>
        <v>Доставлен</v>
      </c>
      <c r="E4151" s="95">
        <f>IFERROR(VLOOKUP($A4151,HeadJournal!$A$1:$NTR$890,COLUMN(HeadJournal!G$1),0),"")</f>
        <v>45647</v>
      </c>
      <c r="F4151" s="95" t="str">
        <f t="shared" si="322"/>
        <v>2024 12</v>
      </c>
      <c r="G4151" s="97" t="s">
        <v>5</v>
      </c>
      <c r="H4151" s="161" t="s">
        <v>2665</v>
      </c>
      <c r="I4151" s="97" t="s">
        <v>2666</v>
      </c>
      <c r="J4151" s="97" t="s">
        <v>3930</v>
      </c>
      <c r="K4151" s="29">
        <v>10.8</v>
      </c>
      <c r="L4151" s="29">
        <v>-2.16</v>
      </c>
      <c r="M4151" s="30">
        <f>IFERROR(VLOOKUP($A4151,HeadJournal!$A$1:$J$890,COLUMN(HeadJournal!I$1),0)*($K4151+$L4151)/(SUMIF($A:$A,$A4151,$K:$K)+SUMIF($A:$A,$A4151,$L:$L)),0)</f>
        <v>-0.57249821191376338</v>
      </c>
      <c r="N4151" s="30">
        <f>IFERROR((VLOOKUP($A4151,HeadJournal!$A$1:$K$890,COLUMN(HeadJournal!K$1),0)-VLOOKUP($A4151,HeadJournal!$A$1:$K$890,COLUMN(HeadJournal!J$1),0))*($K4151+$L4151)/(SUMIF($A:$A,$A4151,$K:$K)+SUMIF($A:$A,$A4151,$L:$L)),0)</f>
        <v>2.5090790791732981E-15</v>
      </c>
      <c r="O4151" s="30">
        <f>IFERROR((VLOOKUP($A4151,HeadJournal!$A$1:$L$890,COLUMN(HeadJournal!L$1),0)*($K4151+$L4151)/(SUMIF($A:$A,$A4151,$K:$K)+SUMIF($A:$A,$A4151,$L:$L)))/VLOOKUP($A4151,HeadJournal!$A$1:$L$890,COLUMN(HeadJournal!H$1),0),0)</f>
        <v>0.31535516612393771</v>
      </c>
      <c r="P4151" s="30">
        <f>IFERROR(SUM(K4151:O4151)*VLOOKUP($A4151,HeadJournal!$A$1:$L$890,COLUMN(HeadJournal!H$1),0),0)</f>
        <v>981.918888321243</v>
      </c>
      <c r="Q4151" s="29">
        <v>1700</v>
      </c>
      <c r="R4151" s="31">
        <v>45682</v>
      </c>
      <c r="S4151" s="31" t="s">
        <v>3121</v>
      </c>
      <c r="T4151" s="95" t="str">
        <f t="shared" si="323"/>
        <v>2025 01</v>
      </c>
      <c r="U4151" s="32">
        <f t="shared" si="320"/>
        <v>718.081111678757</v>
      </c>
      <c r="V4151" s="22">
        <f t="shared" si="321"/>
        <v>0.73130389915040594</v>
      </c>
      <c r="X4151" s="33"/>
      <c r="Y4151" s="33"/>
    </row>
    <row r="4152" spans="1:25" x14ac:dyDescent="0.2">
      <c r="A4152" s="93" t="s">
        <v>2667</v>
      </c>
      <c r="B4152" s="94" t="str">
        <f>IFERROR(VLOOKUP($A4152,HeadJournal!$A$1:$NTR$890,COLUMN(HeadJournal!B$1),0),"")</f>
        <v>722500340867</v>
      </c>
      <c r="C4152" s="94" t="str">
        <f>IFERROR(VLOOKUP($A4152,HeadJournal!$A$1:$NTR$890,COLUMN(HeadJournal!C$1),0),"")</f>
        <v>iHerb_MH DLE7202</v>
      </c>
      <c r="D4152" s="125" t="str">
        <f>IFERROR(VLOOKUP($A4152,HeadJournal!$A$1:$NTR$890,COLUMN(HeadJournal!D$1),0),"")</f>
        <v>Доставлен</v>
      </c>
      <c r="E4152" s="95">
        <f>IFERROR(VLOOKUP($A4152,HeadJournal!$A$1:$NTR$890,COLUMN(HeadJournal!G$1),0),"")</f>
        <v>45647</v>
      </c>
      <c r="F4152" s="95" t="str">
        <f t="shared" si="322"/>
        <v>2024 12</v>
      </c>
      <c r="G4152" s="97" t="s">
        <v>5</v>
      </c>
      <c r="H4152" s="161" t="s">
        <v>2558</v>
      </c>
      <c r="I4152" s="97" t="s">
        <v>2166</v>
      </c>
      <c r="J4152" s="97" t="s">
        <v>2559</v>
      </c>
      <c r="K4152" s="29">
        <v>31.54</v>
      </c>
      <c r="L4152" s="29">
        <v>-6.31</v>
      </c>
      <c r="M4152" s="30">
        <f>IFERROR(VLOOKUP($A4152,HeadJournal!$A$1:$J$890,COLUMN(HeadJournal!I$1),0)*($K4152+$L4152)/(SUMIF($A:$A,$A4152,$K:$K)+SUMIF($A:$A,$A4152,$L:$L)),0)</f>
        <v>-1.6717742924287327</v>
      </c>
      <c r="N4152" s="30">
        <f>IFERROR((VLOOKUP($A4152,HeadJournal!$A$1:$K$890,COLUMN(HeadJournal!K$1),0)-VLOOKUP($A4152,HeadJournal!$A$1:$K$890,COLUMN(HeadJournal!J$1),0))*($K4152+$L4152)/(SUMIF($A:$A,$A4152,$K:$K)+SUMIF($A:$A,$A4152,$L:$L)),0)</f>
        <v>7.3268593943914713E-15</v>
      </c>
      <c r="O4152" s="30">
        <f>IFERROR((VLOOKUP($A4152,HeadJournal!$A$1:$L$890,COLUMN(HeadJournal!L$1),0)*($K4152+$L4152)/(SUMIF($A:$A,$A4152,$K:$K)+SUMIF($A:$A,$A4152,$L:$L)))/VLOOKUP($A4152,HeadJournal!$A$1:$L$890,COLUMN(HeadJournal!H$1),0),0)</f>
        <v>0.9208808844105264</v>
      </c>
      <c r="P4152" s="30">
        <f>IFERROR(SUM(K4152:O4152)*VLOOKUP($A4152,HeadJournal!$A$1:$L$890,COLUMN(HeadJournal!H$1),0),0)</f>
        <v>2867.3395315214075</v>
      </c>
      <c r="Q4152" s="29">
        <v>4200</v>
      </c>
      <c r="R4152" s="31">
        <v>45682</v>
      </c>
      <c r="S4152" s="31" t="s">
        <v>3121</v>
      </c>
      <c r="T4152" s="95" t="str">
        <f t="shared" si="323"/>
        <v>2025 01</v>
      </c>
      <c r="U4152" s="32">
        <f t="shared" si="320"/>
        <v>1332.6604684785925</v>
      </c>
      <c r="V4152" s="22">
        <f t="shared" si="321"/>
        <v>0.46477246723951249</v>
      </c>
      <c r="X4152" s="33"/>
      <c r="Y4152" s="33"/>
    </row>
    <row r="4153" spans="1:25" x14ac:dyDescent="0.2">
      <c r="A4153" s="93" t="s">
        <v>2667</v>
      </c>
      <c r="B4153" s="94" t="str">
        <f>IFERROR(VLOOKUP($A4153,HeadJournal!$A$1:$NTR$890,COLUMN(HeadJournal!B$1),0),"")</f>
        <v>722500340867</v>
      </c>
      <c r="C4153" s="94" t="str">
        <f>IFERROR(VLOOKUP($A4153,HeadJournal!$A$1:$NTR$890,COLUMN(HeadJournal!C$1),0),"")</f>
        <v>iHerb_MH DLE7202</v>
      </c>
      <c r="D4153" s="125" t="str">
        <f>IFERROR(VLOOKUP($A4153,HeadJournal!$A$1:$NTR$890,COLUMN(HeadJournal!D$1),0),"")</f>
        <v>Доставлен</v>
      </c>
      <c r="E4153" s="95">
        <f>IFERROR(VLOOKUP($A4153,HeadJournal!$A$1:$NTR$890,COLUMN(HeadJournal!G$1),0),"")</f>
        <v>45647</v>
      </c>
      <c r="F4153" s="95" t="str">
        <f t="shared" si="322"/>
        <v>2024 12</v>
      </c>
      <c r="G4153" s="97" t="s">
        <v>5</v>
      </c>
      <c r="H4153" s="161" t="s">
        <v>2488</v>
      </c>
      <c r="I4153" s="97" t="s">
        <v>2005</v>
      </c>
      <c r="J4153" s="97" t="s">
        <v>2489</v>
      </c>
      <c r="K4153" s="29">
        <v>19.86</v>
      </c>
      <c r="L4153" s="29">
        <v>-3.97</v>
      </c>
      <c r="M4153" s="30">
        <f>IFERROR(VLOOKUP($A4153,HeadJournal!$A$1:$J$890,COLUMN(HeadJournal!I$1),0)*($K4153+$L4153)/(SUMIF($A:$A,$A4153,$K:$K)+SUMIF($A:$A,$A4153,$L:$L)),0)</f>
        <v>-1.0528931235312151</v>
      </c>
      <c r="N4153" s="30">
        <f>IFERROR((VLOOKUP($A4153,HeadJournal!$A$1:$K$890,COLUMN(HeadJournal!K$1),0)-VLOOKUP($A4153,HeadJournal!$A$1:$K$890,COLUMN(HeadJournal!J$1),0))*($K4153+$L4153)/(SUMIF($A:$A,$A4153,$K:$K)+SUMIF($A:$A,$A4153,$L:$L)),0)</f>
        <v>4.6144984453777435E-15</v>
      </c>
      <c r="O4153" s="30">
        <f>IFERROR((VLOOKUP($A4153,HeadJournal!$A$1:$L$890,COLUMN(HeadJournal!L$1),0)*($K4153+$L4153)/(SUMIF($A:$A,$A4153,$K:$K)+SUMIF($A:$A,$A4153,$L:$L)))/VLOOKUP($A4153,HeadJournal!$A$1:$L$890,COLUMN(HeadJournal!H$1),0),0)</f>
        <v>0.57997610992006599</v>
      </c>
      <c r="P4153" s="30">
        <f>IFERROR(SUM(K4153:O4153)*VLOOKUP($A4153,HeadJournal!$A$1:$L$890,COLUMN(HeadJournal!H$1),0),0)</f>
        <v>1805.867029563027</v>
      </c>
      <c r="Q4153" s="29">
        <v>2500</v>
      </c>
      <c r="R4153" s="31">
        <v>45705</v>
      </c>
      <c r="S4153" s="31" t="s">
        <v>3121</v>
      </c>
      <c r="T4153" s="95" t="str">
        <f t="shared" si="323"/>
        <v>2025 02</v>
      </c>
      <c r="U4153" s="32">
        <f t="shared" si="320"/>
        <v>694.13297043697298</v>
      </c>
      <c r="V4153" s="22">
        <f t="shared" si="321"/>
        <v>0.3843765676396092</v>
      </c>
      <c r="X4153" s="33"/>
      <c r="Y4153" s="33"/>
    </row>
    <row r="4154" spans="1:25" x14ac:dyDescent="0.2">
      <c r="A4154" s="93" t="s">
        <v>2689</v>
      </c>
      <c r="B4154" s="94" t="str">
        <f>IFERROR(VLOOKUP($A4154,HeadJournal!$A$1:$NTR$890,COLUMN(HeadJournal!B$1),0),"")</f>
        <v>722500328205</v>
      </c>
      <c r="C4154" s="94" t="str">
        <f>IFERROR(VLOOKUP($A4154,HeadJournal!$A$1:$NTR$890,COLUMN(HeadJournal!C$1),0),"")</f>
        <v>iHerb_AV CYG0792</v>
      </c>
      <c r="D4154" s="125" t="str">
        <f>IFERROR(VLOOKUP($A4154,HeadJournal!$A$1:$NTR$890,COLUMN(HeadJournal!D$1),0),"")</f>
        <v>Доставлен</v>
      </c>
      <c r="E4154" s="95">
        <f>IFERROR(VLOOKUP($A4154,HeadJournal!$A$1:$NTR$890,COLUMN(HeadJournal!G$1),0),"")</f>
        <v>45628</v>
      </c>
      <c r="F4154" s="95" t="str">
        <f t="shared" si="322"/>
        <v>2024 12</v>
      </c>
      <c r="G4154" s="97" t="s">
        <v>5</v>
      </c>
      <c r="H4154" s="161" t="s">
        <v>2642</v>
      </c>
      <c r="I4154" s="97" t="s">
        <v>2212</v>
      </c>
      <c r="J4154" s="97" t="s">
        <v>2643</v>
      </c>
      <c r="K4154" s="29">
        <v>25.48</v>
      </c>
      <c r="L4154" s="29">
        <v>-6.37</v>
      </c>
      <c r="M4154" s="30">
        <f>IFERROR(VLOOKUP($A4154,HeadJournal!$A$1:$J$890,COLUMN(HeadJournal!I$1),0)*($K4154+$L4154)/(SUMIF($A:$A,$A4154,$K:$K)+SUMIF($A:$A,$A4154,$L:$L)),0)</f>
        <v>-1.5533563218390807</v>
      </c>
      <c r="N4154" s="30">
        <f>IFERROR((VLOOKUP($A4154,HeadJournal!$A$1:$K$890,COLUMN(HeadJournal!K$1),0)-VLOOKUP($A4154,HeadJournal!$A$1:$K$890,COLUMN(HeadJournal!J$1),0))*($K4154+$L4154)/(SUMIF($A:$A,$A4154,$K:$K)+SUMIF($A:$A,$A4154,$L:$L)),0)</f>
        <v>6.4030517797232032E-15</v>
      </c>
      <c r="O4154" s="30">
        <f>IFERROR((VLOOKUP($A4154,HeadJournal!$A$1:$L$890,COLUMN(HeadJournal!L$1),0)*($K4154+$L4154)/(SUMIF($A:$A,$A4154,$K:$K)+SUMIF($A:$A,$A4154,$L:$L)))/VLOOKUP($A4154,HeadJournal!$A$1:$L$890,COLUMN(HeadJournal!H$1),0),0)</f>
        <v>0.82200418089012162</v>
      </c>
      <c r="P4154" s="30">
        <f>IFERROR(SUM(K4154:O4154)*VLOOKUP($A4154,HeadJournal!$A$1:$L$890,COLUMN(HeadJournal!H$1),0),0)</f>
        <v>2257.5726819923384</v>
      </c>
      <c r="Q4154" s="29">
        <v>3300</v>
      </c>
      <c r="R4154" s="31">
        <v>45795</v>
      </c>
      <c r="S4154" s="31" t="s">
        <v>3121</v>
      </c>
      <c r="T4154" s="95" t="str">
        <f t="shared" si="323"/>
        <v>2025 05</v>
      </c>
      <c r="U4154" s="32">
        <f t="shared" si="320"/>
        <v>1042.4273180076616</v>
      </c>
      <c r="V4154" s="22">
        <f t="shared" si="321"/>
        <v>0.46174695783778946</v>
      </c>
      <c r="X4154" s="33"/>
      <c r="Y4154" s="33"/>
    </row>
    <row r="4155" spans="1:25" x14ac:dyDescent="0.2">
      <c r="A4155" s="93" t="s">
        <v>2689</v>
      </c>
      <c r="B4155" s="94" t="str">
        <f>IFERROR(VLOOKUP($A4155,HeadJournal!$A$1:$NTR$890,COLUMN(HeadJournal!B$1),0),"")</f>
        <v>722500328205</v>
      </c>
      <c r="C4155" s="94" t="str">
        <f>IFERROR(VLOOKUP($A4155,HeadJournal!$A$1:$NTR$890,COLUMN(HeadJournal!C$1),0),"")</f>
        <v>iHerb_AV CYG0792</v>
      </c>
      <c r="D4155" s="125" t="str">
        <f>IFERROR(VLOOKUP($A4155,HeadJournal!$A$1:$NTR$890,COLUMN(HeadJournal!D$1),0),"")</f>
        <v>Доставлен</v>
      </c>
      <c r="E4155" s="95">
        <f>IFERROR(VLOOKUP($A4155,HeadJournal!$A$1:$NTR$890,COLUMN(HeadJournal!G$1),0),"")</f>
        <v>45628</v>
      </c>
      <c r="F4155" s="95" t="str">
        <f t="shared" si="322"/>
        <v>2024 12</v>
      </c>
      <c r="G4155" s="97" t="s">
        <v>5</v>
      </c>
      <c r="H4155" s="161" t="s">
        <v>2642</v>
      </c>
      <c r="I4155" s="97" t="s">
        <v>2212</v>
      </c>
      <c r="J4155" s="97" t="s">
        <v>2643</v>
      </c>
      <c r="K4155" s="29">
        <v>25.48</v>
      </c>
      <c r="L4155" s="29">
        <v>-6.37</v>
      </c>
      <c r="M4155" s="30">
        <f>IFERROR(VLOOKUP($A4155,HeadJournal!$A$1:$J$890,COLUMN(HeadJournal!I$1),0)*($K4155+$L4155)/(SUMIF($A:$A,$A4155,$K:$K)+SUMIF($A:$A,$A4155,$L:$L)),0)</f>
        <v>-1.5533563218390807</v>
      </c>
      <c r="N4155" s="30">
        <f>IFERROR((VLOOKUP($A4155,HeadJournal!$A$1:$K$890,COLUMN(HeadJournal!K$1),0)-VLOOKUP($A4155,HeadJournal!$A$1:$K$890,COLUMN(HeadJournal!J$1),0))*($K4155+$L4155)/(SUMIF($A:$A,$A4155,$K:$K)+SUMIF($A:$A,$A4155,$L:$L)),0)</f>
        <v>6.4030517797232032E-15</v>
      </c>
      <c r="O4155" s="30">
        <f>IFERROR((VLOOKUP($A4155,HeadJournal!$A$1:$L$890,COLUMN(HeadJournal!L$1),0)*($K4155+$L4155)/(SUMIF($A:$A,$A4155,$K:$K)+SUMIF($A:$A,$A4155,$L:$L)))/VLOOKUP($A4155,HeadJournal!$A$1:$L$890,COLUMN(HeadJournal!H$1),0),0)</f>
        <v>0.82200418089012162</v>
      </c>
      <c r="P4155" s="30">
        <f>IFERROR(SUM(K4155:O4155)*VLOOKUP($A4155,HeadJournal!$A$1:$L$890,COLUMN(HeadJournal!H$1),0),0)</f>
        <v>2257.5726819923384</v>
      </c>
      <c r="Q4155" s="29">
        <v>3200</v>
      </c>
      <c r="R4155" s="31">
        <v>46016</v>
      </c>
      <c r="S4155" s="31"/>
      <c r="T4155" s="95" t="str">
        <f t="shared" si="323"/>
        <v>2025 12</v>
      </c>
      <c r="U4155" s="32">
        <f t="shared" si="320"/>
        <v>942.4273180076616</v>
      </c>
      <c r="V4155" s="22">
        <f t="shared" si="321"/>
        <v>0.41745159547906857</v>
      </c>
      <c r="X4155" s="33"/>
      <c r="Y4155" s="33"/>
    </row>
    <row r="4156" spans="1:25" x14ac:dyDescent="0.2">
      <c r="A4156" s="93" t="s">
        <v>2689</v>
      </c>
      <c r="B4156" s="94" t="str">
        <f>IFERROR(VLOOKUP($A4156,HeadJournal!$A$1:$NTR$890,COLUMN(HeadJournal!B$1),0),"")</f>
        <v>722500328205</v>
      </c>
      <c r="C4156" s="94" t="str">
        <f>IFERROR(VLOOKUP($A4156,HeadJournal!$A$1:$NTR$890,COLUMN(HeadJournal!C$1),0),"")</f>
        <v>iHerb_AV CYG0792</v>
      </c>
      <c r="D4156" s="125" t="str">
        <f>IFERROR(VLOOKUP($A4156,HeadJournal!$A$1:$NTR$890,COLUMN(HeadJournal!D$1),0),"")</f>
        <v>Доставлен</v>
      </c>
      <c r="E4156" s="95">
        <f>IFERROR(VLOOKUP($A4156,HeadJournal!$A$1:$NTR$890,COLUMN(HeadJournal!G$1),0),"")</f>
        <v>45628</v>
      </c>
      <c r="F4156" s="95" t="str">
        <f t="shared" si="322"/>
        <v>2024 12</v>
      </c>
      <c r="G4156" s="97" t="s">
        <v>5</v>
      </c>
      <c r="H4156" s="161" t="s">
        <v>2669</v>
      </c>
      <c r="I4156" s="97" t="s">
        <v>2009</v>
      </c>
      <c r="J4156" s="97" t="s">
        <v>2670</v>
      </c>
      <c r="K4156" s="29">
        <v>8.39</v>
      </c>
      <c r="L4156" s="29">
        <v>-2.1</v>
      </c>
      <c r="M4156" s="30">
        <f>IFERROR(VLOOKUP($A4156,HeadJournal!$A$1:$J$890,COLUMN(HeadJournal!I$1),0)*($K4156+$L4156)/(SUMIF($A:$A,$A4156,$K:$K)+SUMIF($A:$A,$A4156,$L:$L)),0)</f>
        <v>-0.51128264073091678</v>
      </c>
      <c r="N4156" s="30">
        <f>IFERROR((VLOOKUP($A4156,HeadJournal!$A$1:$K$890,COLUMN(HeadJournal!K$1),0)-VLOOKUP($A4156,HeadJournal!$A$1:$K$890,COLUMN(HeadJournal!J$1),0))*($K4156+$L4156)/(SUMIF($A:$A,$A4156,$K:$K)+SUMIF($A:$A,$A4156,$L:$L)),0)</f>
        <v>2.1075455622427502E-15</v>
      </c>
      <c r="O4156" s="30">
        <f>IFERROR((VLOOKUP($A4156,HeadJournal!$A$1:$L$890,COLUMN(HeadJournal!L$1),0)*($K4156+$L4156)/(SUMIF($A:$A,$A4156,$K:$K)+SUMIF($A:$A,$A4156,$L:$L)))/VLOOKUP($A4156,HeadJournal!$A$1:$L$890,COLUMN(HeadJournal!H$1),0),0)</f>
        <v>0.27056024582934929</v>
      </c>
      <c r="P4156" s="30">
        <f>IFERROR(SUM(K4156:O4156)*VLOOKUP($A4156,HeadJournal!$A$1:$L$890,COLUMN(HeadJournal!H$1),0),0)</f>
        <v>743.07337361233965</v>
      </c>
      <c r="Q4156" s="29">
        <v>1300</v>
      </c>
      <c r="R4156" s="31">
        <v>45703</v>
      </c>
      <c r="S4156" s="31" t="s">
        <v>3121</v>
      </c>
      <c r="T4156" s="95" t="str">
        <f t="shared" si="323"/>
        <v>2025 02</v>
      </c>
      <c r="U4156" s="32">
        <f t="shared" si="320"/>
        <v>556.92662638766035</v>
      </c>
      <c r="V4156" s="22">
        <f t="shared" si="321"/>
        <v>0.74949075847011604</v>
      </c>
      <c r="X4156" s="33"/>
      <c r="Y4156" s="33"/>
    </row>
    <row r="4157" spans="1:25" x14ac:dyDescent="0.2">
      <c r="A4157" s="93" t="s">
        <v>2689</v>
      </c>
      <c r="B4157" s="94" t="str">
        <f>IFERROR(VLOOKUP($A4157,HeadJournal!$A$1:$NTR$890,COLUMN(HeadJournal!B$1),0),"")</f>
        <v>722500328205</v>
      </c>
      <c r="C4157" s="94" t="str">
        <f>IFERROR(VLOOKUP($A4157,HeadJournal!$A$1:$NTR$890,COLUMN(HeadJournal!C$1),0),"")</f>
        <v>iHerb_AV CYG0792</v>
      </c>
      <c r="D4157" s="125" t="str">
        <f>IFERROR(VLOOKUP($A4157,HeadJournal!$A$1:$NTR$890,COLUMN(HeadJournal!D$1),0),"")</f>
        <v>Доставлен</v>
      </c>
      <c r="E4157" s="95">
        <f>IFERROR(VLOOKUP($A4157,HeadJournal!$A$1:$NTR$890,COLUMN(HeadJournal!G$1),0),"")</f>
        <v>45628</v>
      </c>
      <c r="F4157" s="95" t="str">
        <f t="shared" si="322"/>
        <v>2024 12</v>
      </c>
      <c r="G4157" s="97" t="s">
        <v>5</v>
      </c>
      <c r="H4157" s="161" t="s">
        <v>2671</v>
      </c>
      <c r="I4157" s="97" t="s">
        <v>2569</v>
      </c>
      <c r="J4157" s="97" t="s">
        <v>2672</v>
      </c>
      <c r="K4157" s="29">
        <v>10.72</v>
      </c>
      <c r="L4157" s="29">
        <v>-2.68</v>
      </c>
      <c r="M4157" s="30">
        <f>IFERROR(VLOOKUP($A4157,HeadJournal!$A$1:$J$890,COLUMN(HeadJournal!I$1),0)*($K4157+$L4157)/(SUMIF($A:$A,$A4157,$K:$K)+SUMIF($A:$A,$A4157,$L:$L)),0)</f>
        <v>-0.65353138815207801</v>
      </c>
      <c r="N4157" s="30">
        <f>IFERROR((VLOOKUP($A4157,HeadJournal!$A$1:$K$890,COLUMN(HeadJournal!K$1),0)-VLOOKUP($A4157,HeadJournal!$A$1:$K$890,COLUMN(HeadJournal!J$1),0))*($K4157+$L4157)/(SUMIF($A:$A,$A4157,$K:$K)+SUMIF($A:$A,$A4157,$L:$L)),0)</f>
        <v>2.6939056153309556E-15</v>
      </c>
      <c r="O4157" s="30">
        <f>IFERROR((VLOOKUP($A4157,HeadJournal!$A$1:$L$890,COLUMN(HeadJournal!L$1),0)*($K4157+$L4157)/(SUMIF($A:$A,$A4157,$K:$K)+SUMIF($A:$A,$A4157,$L:$L)))/VLOOKUP($A4157,HeadJournal!$A$1:$L$890,COLUMN(HeadJournal!H$1),0),0)</f>
        <v>0.3458353539694704</v>
      </c>
      <c r="P4157" s="30">
        <f>IFERROR(SUM(K4157:O4157)*VLOOKUP($A4157,HeadJournal!$A$1:$L$890,COLUMN(HeadJournal!H$1),0),0)</f>
        <v>949.81079870321332</v>
      </c>
      <c r="Q4157" s="29">
        <v>1600</v>
      </c>
      <c r="R4157" s="31">
        <v>45954</v>
      </c>
      <c r="S4157" s="31" t="s">
        <v>3384</v>
      </c>
      <c r="T4157" s="95" t="str">
        <f t="shared" si="323"/>
        <v>2025 10</v>
      </c>
      <c r="U4157" s="32">
        <f t="shared" si="320"/>
        <v>650.18920129678668</v>
      </c>
      <c r="V4157" s="22">
        <f t="shared" si="321"/>
        <v>0.68454601925404179</v>
      </c>
      <c r="X4157" s="33"/>
      <c r="Y4157" s="33"/>
    </row>
    <row r="4158" spans="1:25" x14ac:dyDescent="0.2">
      <c r="A4158" s="93" t="s">
        <v>2689</v>
      </c>
      <c r="B4158" s="94" t="str">
        <f>IFERROR(VLOOKUP($A4158,HeadJournal!$A$1:$NTR$890,COLUMN(HeadJournal!B$1),0),"")</f>
        <v>722500328205</v>
      </c>
      <c r="C4158" s="94" t="str">
        <f>IFERROR(VLOOKUP($A4158,HeadJournal!$A$1:$NTR$890,COLUMN(HeadJournal!C$1),0),"")</f>
        <v>iHerb_AV CYG0792</v>
      </c>
      <c r="D4158" s="125" t="str">
        <f>IFERROR(VLOOKUP($A4158,HeadJournal!$A$1:$NTR$890,COLUMN(HeadJournal!D$1),0),"")</f>
        <v>Доставлен</v>
      </c>
      <c r="E4158" s="95">
        <f>IFERROR(VLOOKUP($A4158,HeadJournal!$A$1:$NTR$890,COLUMN(HeadJournal!G$1),0),"")</f>
        <v>45628</v>
      </c>
      <c r="F4158" s="95" t="str">
        <f t="shared" si="322"/>
        <v>2024 12</v>
      </c>
      <c r="G4158" s="97" t="s">
        <v>7</v>
      </c>
      <c r="H4158" s="161" t="s">
        <v>2673</v>
      </c>
      <c r="I4158" s="97" t="s">
        <v>2674</v>
      </c>
      <c r="J4158" s="97" t="s">
        <v>2675</v>
      </c>
      <c r="K4158" s="29">
        <v>10.87</v>
      </c>
      <c r="L4158" s="29">
        <v>-2.72</v>
      </c>
      <c r="M4158" s="30">
        <f>IFERROR(VLOOKUP($A4158,HeadJournal!$A$1:$J$890,COLUMN(HeadJournal!I$1),0)*($K4158+$L4158)/(SUMIF($A:$A,$A4158,$K:$K)+SUMIF($A:$A,$A4158,$L:$L)),0)</f>
        <v>-0.66247273798997941</v>
      </c>
      <c r="N4158" s="30">
        <f>IFERROR((VLOOKUP($A4158,HeadJournal!$A$1:$K$890,COLUMN(HeadJournal!K$1),0)-VLOOKUP($A4158,HeadJournal!$A$1:$K$890,COLUMN(HeadJournal!J$1),0))*($K4158+$L4158)/(SUMIF($A:$A,$A4158,$K:$K)+SUMIF($A:$A,$A4158,$L:$L)),0)</f>
        <v>2.7307625329536421E-15</v>
      </c>
      <c r="O4158" s="30">
        <f>IFERROR((VLOOKUP($A4158,HeadJournal!$A$1:$L$890,COLUMN(HeadJournal!L$1),0)*($K4158+$L4158)/(SUMIF($A:$A,$A4158,$K:$K)+SUMIF($A:$A,$A4158,$L:$L)))/VLOOKUP($A4158,HeadJournal!$A$1:$L$890,COLUMN(HeadJournal!H$1),0),0)</f>
        <v>0.35056693219542073</v>
      </c>
      <c r="P4158" s="30">
        <f>IFERROR(SUM(K4158:O4158)*VLOOKUP($A4158,HeadJournal!$A$1:$L$890,COLUMN(HeadJournal!H$1),0),0)</f>
        <v>962.80572256606786</v>
      </c>
      <c r="Q4158" s="29"/>
      <c r="R4158" s="31"/>
      <c r="S4158" s="31"/>
      <c r="T4158" s="95" t="str">
        <f t="shared" si="323"/>
        <v/>
      </c>
      <c r="U4158" s="32">
        <f t="shared" si="320"/>
        <v>-962.80572256606786</v>
      </c>
      <c r="V4158" s="22" t="str">
        <f t="shared" si="321"/>
        <v/>
      </c>
      <c r="X4158" s="33"/>
      <c r="Y4158" s="33"/>
    </row>
    <row r="4159" spans="1:25" x14ac:dyDescent="0.2">
      <c r="A4159" s="93" t="s">
        <v>2689</v>
      </c>
      <c r="B4159" s="94" t="str">
        <f>IFERROR(VLOOKUP($A4159,HeadJournal!$A$1:$NTR$890,COLUMN(HeadJournal!B$1),0),"")</f>
        <v>722500328205</v>
      </c>
      <c r="C4159" s="94" t="str">
        <f>IFERROR(VLOOKUP($A4159,HeadJournal!$A$1:$NTR$890,COLUMN(HeadJournal!C$1),0),"")</f>
        <v>iHerb_AV CYG0792</v>
      </c>
      <c r="D4159" s="125" t="str">
        <f>IFERROR(VLOOKUP($A4159,HeadJournal!$A$1:$NTR$890,COLUMN(HeadJournal!D$1),0),"")</f>
        <v>Доставлен</v>
      </c>
      <c r="E4159" s="95">
        <f>IFERROR(VLOOKUP($A4159,HeadJournal!$A$1:$NTR$890,COLUMN(HeadJournal!G$1),0),"")</f>
        <v>45628</v>
      </c>
      <c r="F4159" s="95" t="str">
        <f t="shared" si="322"/>
        <v>2024 12</v>
      </c>
      <c r="G4159" s="97" t="s">
        <v>5</v>
      </c>
      <c r="H4159" s="161" t="s">
        <v>2614</v>
      </c>
      <c r="I4159" s="97" t="s">
        <v>2005</v>
      </c>
      <c r="J4159" s="97" t="s">
        <v>2641</v>
      </c>
      <c r="K4159" s="29">
        <v>5.87</v>
      </c>
      <c r="L4159" s="29">
        <v>-1.47</v>
      </c>
      <c r="M4159" s="30">
        <f>IFERROR(VLOOKUP($A4159,HeadJournal!$A$1:$J$890,COLUMN(HeadJournal!I$1),0)*($K4159+$L4159)/(SUMIF($A:$A,$A4159,$K:$K)+SUMIF($A:$A,$A4159,$L:$L)),0)</f>
        <v>-0.35765399351606258</v>
      </c>
      <c r="N4159" s="30">
        <f>IFERROR((VLOOKUP($A4159,HeadJournal!$A$1:$K$890,COLUMN(HeadJournal!K$1),0)-VLOOKUP($A4159,HeadJournal!$A$1:$K$890,COLUMN(HeadJournal!J$1),0))*($K4159+$L4159)/(SUMIF($A:$A,$A4159,$K:$K)+SUMIF($A:$A,$A4159,$L:$L)),0)</f>
        <v>1.4742767049074881E-15</v>
      </c>
      <c r="O4159" s="30">
        <f>IFERROR((VLOOKUP($A4159,HeadJournal!$A$1:$L$890,COLUMN(HeadJournal!L$1),0)*($K4159+$L4159)/(SUMIF($A:$A,$A4159,$K:$K)+SUMIF($A:$A,$A4159,$L:$L)))/VLOOKUP($A4159,HeadJournal!$A$1:$L$890,COLUMN(HeadJournal!H$1),0),0)</f>
        <v>0.18926312903801862</v>
      </c>
      <c r="P4159" s="30">
        <f>IFERROR(SUM(K4159:O4159)*VLOOKUP($A4159,HeadJournal!$A$1:$L$890,COLUMN(HeadJournal!H$1),0),0)</f>
        <v>519.79695451419639</v>
      </c>
      <c r="Q4159" s="29">
        <v>1100</v>
      </c>
      <c r="R4159" s="31">
        <v>45724</v>
      </c>
      <c r="S4159" s="31" t="s">
        <v>3121</v>
      </c>
      <c r="T4159" s="95" t="str">
        <f t="shared" si="323"/>
        <v>2025 03</v>
      </c>
      <c r="U4159" s="32">
        <f t="shared" si="320"/>
        <v>580.20304548580361</v>
      </c>
      <c r="V4159" s="22">
        <f t="shared" si="321"/>
        <v>1.1162109366878898</v>
      </c>
      <c r="X4159" s="33"/>
      <c r="Y4159" s="33"/>
    </row>
    <row r="4160" spans="1:25" x14ac:dyDescent="0.2">
      <c r="A4160" s="93" t="s">
        <v>2689</v>
      </c>
      <c r="B4160" s="94" t="str">
        <f>IFERROR(VLOOKUP($A4160,HeadJournal!$A$1:$NTR$890,COLUMN(HeadJournal!B$1),0),"")</f>
        <v>722500328205</v>
      </c>
      <c r="C4160" s="94" t="str">
        <f>IFERROR(VLOOKUP($A4160,HeadJournal!$A$1:$NTR$890,COLUMN(HeadJournal!C$1),0),"")</f>
        <v>iHerb_AV CYG0792</v>
      </c>
      <c r="D4160" s="125" t="str">
        <f>IFERROR(VLOOKUP($A4160,HeadJournal!$A$1:$NTR$890,COLUMN(HeadJournal!D$1),0),"")</f>
        <v>Доставлен</v>
      </c>
      <c r="E4160" s="95">
        <f>IFERROR(VLOOKUP($A4160,HeadJournal!$A$1:$NTR$890,COLUMN(HeadJournal!G$1),0),"")</f>
        <v>45628</v>
      </c>
      <c r="F4160" s="95" t="str">
        <f t="shared" si="322"/>
        <v>2024 12</v>
      </c>
      <c r="G4160" s="97" t="s">
        <v>5</v>
      </c>
      <c r="H4160" s="161" t="s">
        <v>2676</v>
      </c>
      <c r="I4160" s="97" t="s">
        <v>2451</v>
      </c>
      <c r="J4160" s="97" t="s">
        <v>2677</v>
      </c>
      <c r="K4160" s="29">
        <v>18.239999999999998</v>
      </c>
      <c r="L4160" s="29">
        <v>-4.5599999999999996</v>
      </c>
      <c r="M4160" s="30">
        <f>IFERROR(VLOOKUP($A4160,HeadJournal!$A$1:$J$890,COLUMN(HeadJournal!I$1),0)*($K4160+$L4160)/(SUMIF($A:$A,$A4160,$K:$K)+SUMIF($A:$A,$A4160,$L:$L)),0)</f>
        <v>-1.1119787798408491</v>
      </c>
      <c r="N4160" s="30">
        <f>IFERROR((VLOOKUP($A4160,HeadJournal!$A$1:$K$890,COLUMN(HeadJournal!K$1),0)-VLOOKUP($A4160,HeadJournal!$A$1:$K$890,COLUMN(HeadJournal!J$1),0))*($K4160+$L4160)/(SUMIF($A:$A,$A4160,$K:$K)+SUMIF($A:$A,$A4160,$L:$L)),0)</f>
        <v>4.5836603007123713E-15</v>
      </c>
      <c r="O4160" s="30">
        <f>IFERROR((VLOOKUP($A4160,HeadJournal!$A$1:$L$890,COLUMN(HeadJournal!L$1),0)*($K4160+$L4160)/(SUMIF($A:$A,$A4160,$K:$K)+SUMIF($A:$A,$A4160,$L:$L)))/VLOOKUP($A4160,HeadJournal!$A$1:$L$890,COLUMN(HeadJournal!H$1),0),0)</f>
        <v>0.58843627391820319</v>
      </c>
      <c r="P4160" s="30">
        <f>IFERROR(SUM(K4160:O4160)*VLOOKUP($A4160,HeadJournal!$A$1:$L$890,COLUMN(HeadJournal!H$1),0),0)</f>
        <v>1616.0959858532285</v>
      </c>
      <c r="Q4160" s="29"/>
      <c r="R4160" s="31"/>
      <c r="S4160" s="31"/>
      <c r="T4160" s="95" t="str">
        <f t="shared" si="323"/>
        <v/>
      </c>
      <c r="U4160" s="32">
        <f t="shared" si="320"/>
        <v>-1616.0959858532285</v>
      </c>
      <c r="V4160" s="22" t="str">
        <f t="shared" si="321"/>
        <v/>
      </c>
      <c r="X4160" s="33"/>
      <c r="Y4160" s="33"/>
    </row>
    <row r="4161" spans="1:25" x14ac:dyDescent="0.2">
      <c r="A4161" s="93" t="s">
        <v>2689</v>
      </c>
      <c r="B4161" s="94" t="str">
        <f>IFERROR(VLOOKUP($A4161,HeadJournal!$A$1:$NTR$890,COLUMN(HeadJournal!B$1),0),"")</f>
        <v>722500328205</v>
      </c>
      <c r="C4161" s="94" t="str">
        <f>IFERROR(VLOOKUP($A4161,HeadJournal!$A$1:$NTR$890,COLUMN(HeadJournal!C$1),0),"")</f>
        <v>iHerb_AV CYG0792</v>
      </c>
      <c r="D4161" s="125" t="str">
        <f>IFERROR(VLOOKUP($A4161,HeadJournal!$A$1:$NTR$890,COLUMN(HeadJournal!D$1),0),"")</f>
        <v>Доставлен</v>
      </c>
      <c r="E4161" s="95">
        <f>IFERROR(VLOOKUP($A4161,HeadJournal!$A$1:$NTR$890,COLUMN(HeadJournal!G$1),0),"")</f>
        <v>45628</v>
      </c>
      <c r="F4161" s="95" t="str">
        <f t="shared" si="322"/>
        <v>2024 12</v>
      </c>
      <c r="G4161" s="97" t="s">
        <v>5</v>
      </c>
      <c r="H4161" s="161" t="s">
        <v>2558</v>
      </c>
      <c r="I4161" s="97" t="s">
        <v>2166</v>
      </c>
      <c r="J4161" s="97" t="s">
        <v>2559</v>
      </c>
      <c r="K4161" s="29">
        <v>31.54</v>
      </c>
      <c r="L4161" s="29">
        <v>-7.89</v>
      </c>
      <c r="M4161" s="30">
        <f>IFERROR(VLOOKUP($A4161,HeadJournal!$A$1:$J$890,COLUMN(HeadJournal!I$1),0)*($K4161+$L4161)/(SUMIF($A:$A,$A4161,$K:$K)+SUMIF($A:$A,$A4161,$L:$L)),0)</f>
        <v>-1.9223902151488363</v>
      </c>
      <c r="N4161" s="30">
        <f>IFERROR((VLOOKUP($A4161,HeadJournal!$A$1:$K$890,COLUMN(HeadJournal!K$1),0)-VLOOKUP($A4161,HeadJournal!$A$1:$K$890,COLUMN(HeadJournal!J$1),0))*($K4161+$L4161)/(SUMIF($A:$A,$A4161,$K:$K)+SUMIF($A:$A,$A4161,$L:$L)),0)</f>
        <v>7.9242372888777476E-15</v>
      </c>
      <c r="O4161" s="30">
        <f>IFERROR((VLOOKUP($A4161,HeadJournal!$A$1:$L$890,COLUMN(HeadJournal!L$1),0)*($K4161+$L4161)/(SUMIF($A:$A,$A4161,$K:$K)+SUMIF($A:$A,$A4161,$L:$L)))/VLOOKUP($A4161,HeadJournal!$A$1:$L$890,COLUMN(HeadJournal!H$1),0),0)</f>
        <v>1.0172893185793499</v>
      </c>
      <c r="P4161" s="30">
        <f>IFERROR(SUM(K4161:O4161)*VLOOKUP($A4161,HeadJournal!$A$1:$L$890,COLUMN(HeadJournal!H$1),0),0)</f>
        <v>2793.9086305138044</v>
      </c>
      <c r="Q4161" s="29">
        <v>2793.91</v>
      </c>
      <c r="R4161" s="31">
        <v>45629</v>
      </c>
      <c r="S4161" s="31" t="s">
        <v>3121</v>
      </c>
      <c r="T4161" s="95" t="str">
        <f t="shared" si="323"/>
        <v>2024 12</v>
      </c>
      <c r="U4161" s="32">
        <f t="shared" ref="U4161:U4224" si="324">Q4161-P4161</f>
        <v>1.3694861954718363E-3</v>
      </c>
      <c r="V4161" s="22">
        <f t="shared" ref="V4161:V4224" si="325">IF(Q4161&lt;&gt;0,IFERROR(U4161/P4161,""),"")</f>
        <v>4.9016856904872567E-7</v>
      </c>
      <c r="X4161" s="33"/>
      <c r="Y4161" s="33"/>
    </row>
    <row r="4162" spans="1:25" x14ac:dyDescent="0.2">
      <c r="A4162" s="93" t="s">
        <v>2689</v>
      </c>
      <c r="B4162" s="94" t="str">
        <f>IFERROR(VLOOKUP($A4162,HeadJournal!$A$1:$NTR$890,COLUMN(HeadJournal!B$1),0),"")</f>
        <v>722500328205</v>
      </c>
      <c r="C4162" s="94" t="str">
        <f>IFERROR(VLOOKUP($A4162,HeadJournal!$A$1:$NTR$890,COLUMN(HeadJournal!C$1),0),"")</f>
        <v>iHerb_AV CYG0792</v>
      </c>
      <c r="D4162" s="125" t="str">
        <f>IFERROR(VLOOKUP($A4162,HeadJournal!$A$1:$NTR$890,COLUMN(HeadJournal!D$1),0),"")</f>
        <v>Доставлен</v>
      </c>
      <c r="E4162" s="95">
        <f>IFERROR(VLOOKUP($A4162,HeadJournal!$A$1:$NTR$890,COLUMN(HeadJournal!G$1),0),"")</f>
        <v>45628</v>
      </c>
      <c r="F4162" s="95" t="str">
        <f t="shared" si="322"/>
        <v>2024 12</v>
      </c>
      <c r="G4162" s="97" t="s">
        <v>5</v>
      </c>
      <c r="H4162" s="161" t="s">
        <v>2094</v>
      </c>
      <c r="I4162" s="97" t="s">
        <v>2042</v>
      </c>
      <c r="J4162" s="97" t="s">
        <v>2095</v>
      </c>
      <c r="K4162" s="29">
        <v>17.7</v>
      </c>
      <c r="L4162" s="29">
        <v>-4.43</v>
      </c>
      <c r="M4162" s="30">
        <f>IFERROR(VLOOKUP($A4162,HeadJournal!$A$1:$J$890,COLUMN(HeadJournal!I$1),0)*($K4162+$L4162)/(SUMIF($A:$A,$A4162,$K:$K)+SUMIF($A:$A,$A4162,$L:$L)),0)</f>
        <v>-1.0786519304450342</v>
      </c>
      <c r="N4162" s="30">
        <f>IFERROR((VLOOKUP($A4162,HeadJournal!$A$1:$K$890,COLUMN(HeadJournal!K$1),0)-VLOOKUP($A4162,HeadJournal!$A$1:$K$890,COLUMN(HeadJournal!J$1),0))*($K4162+$L4162)/(SUMIF($A:$A,$A4162,$K:$K)+SUMIF($A:$A,$A4162,$L:$L)),0)</f>
        <v>4.4462845168459922E-15</v>
      </c>
      <c r="O4162" s="30">
        <f>IFERROR((VLOOKUP($A4162,HeadJournal!$A$1:$L$890,COLUMN(HeadJournal!L$1),0)*($K4162+$L4162)/(SUMIF($A:$A,$A4162,$K:$K)+SUMIF($A:$A,$A4162,$L:$L)))/VLOOKUP($A4162,HeadJournal!$A$1:$L$890,COLUMN(HeadJournal!H$1),0),0)</f>
        <v>0.57080039143966055</v>
      </c>
      <c r="P4162" s="30">
        <f>IFERROR(SUM(K4162:O4162)*VLOOKUP($A4162,HeadJournal!$A$1:$L$890,COLUMN(HeadJournal!H$1),0),0)</f>
        <v>1567.6603605462237</v>
      </c>
      <c r="Q4162" s="29">
        <v>2600</v>
      </c>
      <c r="R4162" s="31">
        <v>45679</v>
      </c>
      <c r="S4162" s="31" t="s">
        <v>3121</v>
      </c>
      <c r="T4162" s="95" t="str">
        <f t="shared" si="323"/>
        <v>2025 01</v>
      </c>
      <c r="U4162" s="32">
        <f t="shared" si="324"/>
        <v>1032.3396394537763</v>
      </c>
      <c r="V4162" s="22">
        <f t="shared" si="325"/>
        <v>0.65852251255117256</v>
      </c>
      <c r="X4162" s="33"/>
      <c r="Y4162" s="33"/>
    </row>
    <row r="4163" spans="1:25" x14ac:dyDescent="0.2">
      <c r="A4163" s="93" t="s">
        <v>2689</v>
      </c>
      <c r="B4163" s="94" t="str">
        <f>IFERROR(VLOOKUP($A4163,HeadJournal!$A$1:$NTR$890,COLUMN(HeadJournal!B$1),0),"")</f>
        <v>722500328205</v>
      </c>
      <c r="C4163" s="94" t="str">
        <f>IFERROR(VLOOKUP($A4163,HeadJournal!$A$1:$NTR$890,COLUMN(HeadJournal!C$1),0),"")</f>
        <v>iHerb_AV CYG0792</v>
      </c>
      <c r="D4163" s="125" t="str">
        <f>IFERROR(VLOOKUP($A4163,HeadJournal!$A$1:$NTR$890,COLUMN(HeadJournal!D$1),0),"")</f>
        <v>Доставлен</v>
      </c>
      <c r="E4163" s="95">
        <f>IFERROR(VLOOKUP($A4163,HeadJournal!$A$1:$NTR$890,COLUMN(HeadJournal!G$1),0),"")</f>
        <v>45628</v>
      </c>
      <c r="F4163" s="95" t="str">
        <f t="shared" si="322"/>
        <v>2024 12</v>
      </c>
      <c r="G4163" s="97" t="s">
        <v>5</v>
      </c>
      <c r="H4163" s="161" t="s">
        <v>2678</v>
      </c>
      <c r="I4163" s="97" t="s">
        <v>2005</v>
      </c>
      <c r="J4163" s="97" t="s">
        <v>2679</v>
      </c>
      <c r="K4163" s="29">
        <v>9.2200000000000006</v>
      </c>
      <c r="L4163" s="29">
        <v>-2.31</v>
      </c>
      <c r="M4163" s="30">
        <f>IFERROR(VLOOKUP($A4163,HeadJournal!$A$1:$J$890,COLUMN(HeadJournal!I$1),0)*($K4163+$L4163)/(SUMIF($A:$A,$A4163,$K:$K)+SUMIF($A:$A,$A4163,$L:$L)),0)</f>
        <v>-0.56167933981727103</v>
      </c>
      <c r="N4163" s="30">
        <f>IFERROR((VLOOKUP($A4163,HeadJournal!$A$1:$K$890,COLUMN(HeadJournal!K$1),0)-VLOOKUP($A4163,HeadJournal!$A$1:$K$890,COLUMN(HeadJournal!J$1),0))*($K4163+$L4163)/(SUMIF($A:$A,$A4163,$K:$K)+SUMIF($A:$A,$A4163,$L:$L)),0)</f>
        <v>2.315284552479714E-15</v>
      </c>
      <c r="O4163" s="30">
        <f>IFERROR((VLOOKUP($A4163,HeadJournal!$A$1:$L$890,COLUMN(HeadJournal!L$1),0)*($K4163+$L4163)/(SUMIF($A:$A,$A4163,$K:$K)+SUMIF($A:$A,$A4163,$L:$L)))/VLOOKUP($A4163,HeadJournal!$A$1:$L$890,COLUMN(HeadJournal!H$1),0),0)</f>
        <v>0.29722914128470646</v>
      </c>
      <c r="P4163" s="30">
        <f>IFERROR(SUM(K4163:O4163)*VLOOKUP($A4163,HeadJournal!$A$1:$L$890,COLUMN(HeadJournal!H$1),0),0)</f>
        <v>816.31748993024917</v>
      </c>
      <c r="Q4163" s="29">
        <v>1800</v>
      </c>
      <c r="R4163" s="31">
        <v>45721</v>
      </c>
      <c r="S4163" s="31" t="s">
        <v>3121</v>
      </c>
      <c r="T4163" s="95" t="str">
        <f t="shared" si="323"/>
        <v>2025 03</v>
      </c>
      <c r="U4163" s="32">
        <f t="shared" si="324"/>
        <v>983.68251006975083</v>
      </c>
      <c r="V4163" s="22">
        <f t="shared" si="325"/>
        <v>1.2050244202826064</v>
      </c>
      <c r="X4163" s="33"/>
      <c r="Y4163" s="33"/>
    </row>
    <row r="4164" spans="1:25" x14ac:dyDescent="0.2">
      <c r="A4164" s="93" t="s">
        <v>2689</v>
      </c>
      <c r="B4164" s="94" t="str">
        <f>IFERROR(VLOOKUP($A4164,HeadJournal!$A$1:$NTR$890,COLUMN(HeadJournal!B$1),0),"")</f>
        <v>722500328205</v>
      </c>
      <c r="C4164" s="94" t="str">
        <f>IFERROR(VLOOKUP($A4164,HeadJournal!$A$1:$NTR$890,COLUMN(HeadJournal!C$1),0),"")</f>
        <v>iHerb_AV CYG0792</v>
      </c>
      <c r="D4164" s="125" t="str">
        <f>IFERROR(VLOOKUP($A4164,HeadJournal!$A$1:$NTR$890,COLUMN(HeadJournal!D$1),0),"")</f>
        <v>Доставлен</v>
      </c>
      <c r="E4164" s="95">
        <f>IFERROR(VLOOKUP($A4164,HeadJournal!$A$1:$NTR$890,COLUMN(HeadJournal!G$1),0),"")</f>
        <v>45628</v>
      </c>
      <c r="F4164" s="95" t="str">
        <f t="shared" ref="F4164:F4227" si="326">IFERROR(TEXT(E4164, "ГГГГ ММ"),"")</f>
        <v>2024 12</v>
      </c>
      <c r="G4164" s="97" t="s">
        <v>5</v>
      </c>
      <c r="H4164" s="161" t="s">
        <v>2504</v>
      </c>
      <c r="I4164" s="97" t="s">
        <v>2036</v>
      </c>
      <c r="J4164" s="97" t="s">
        <v>3739</v>
      </c>
      <c r="K4164" s="29">
        <v>15.45</v>
      </c>
      <c r="L4164" s="29">
        <v>-3.86</v>
      </c>
      <c r="M4164" s="30">
        <f>IFERROR(VLOOKUP($A4164,HeadJournal!$A$1:$J$890,COLUMN(HeadJournal!I$1),0)*($K4164+$L4164)/(SUMIF($A:$A,$A4164,$K:$K)+SUMIF($A:$A,$A4164,$L:$L)),0)</f>
        <v>-0.94209313292071939</v>
      </c>
      <c r="N4164" s="30">
        <f>IFERROR((VLOOKUP($A4164,HeadJournal!$A$1:$K$890,COLUMN(HeadJournal!K$1),0)-VLOOKUP($A4164,HeadJournal!$A$1:$K$890,COLUMN(HeadJournal!J$1),0))*($K4164+$L4164)/(SUMIF($A:$A,$A4164,$K:$K)+SUMIF($A:$A,$A4164,$L:$L)),0)</f>
        <v>3.8833788658813152E-15</v>
      </c>
      <c r="O4164" s="30">
        <f>IFERROR((VLOOKUP($A4164,HeadJournal!$A$1:$L$890,COLUMN(HeadJournal!L$1),0)*($K4164+$L4164)/(SUMIF($A:$A,$A4164,$K:$K)+SUMIF($A:$A,$A4164,$L:$L)))/VLOOKUP($A4164,HeadJournal!$A$1:$L$890,COLUMN(HeadJournal!H$1),0),0)</f>
        <v>0.49853628762514435</v>
      </c>
      <c r="P4164" s="30">
        <f>IFERROR(SUM(K4164:O4164)*VLOOKUP($A4164,HeadJournal!$A$1:$L$890,COLUMN(HeadJournal!H$1),0),0)</f>
        <v>1369.192432458985</v>
      </c>
      <c r="Q4164" s="29">
        <v>2300</v>
      </c>
      <c r="R4164" s="31">
        <v>45749</v>
      </c>
      <c r="S4164" s="31" t="s">
        <v>3121</v>
      </c>
      <c r="T4164" s="95" t="str">
        <f t="shared" ref="T4164:T4227" si="327">IF(R4164="","",TEXT(R4164,"ГГГГ ММ"))</f>
        <v>2025 04</v>
      </c>
      <c r="U4164" s="32">
        <f t="shared" si="324"/>
        <v>930.80756754101503</v>
      </c>
      <c r="V4164" s="22">
        <f t="shared" si="325"/>
        <v>0.67982231385061209</v>
      </c>
      <c r="X4164" s="33"/>
      <c r="Y4164" s="33"/>
    </row>
    <row r="4165" spans="1:25" x14ac:dyDescent="0.2">
      <c r="A4165" s="93" t="s">
        <v>2689</v>
      </c>
      <c r="B4165" s="94" t="str">
        <f>IFERROR(VLOOKUP($A4165,HeadJournal!$A$1:$NTR$890,COLUMN(HeadJournal!B$1),0),"")</f>
        <v>722500328205</v>
      </c>
      <c r="C4165" s="94" t="str">
        <f>IFERROR(VLOOKUP($A4165,HeadJournal!$A$1:$NTR$890,COLUMN(HeadJournal!C$1),0),"")</f>
        <v>iHerb_AV CYG0792</v>
      </c>
      <c r="D4165" s="125" t="str">
        <f>IFERROR(VLOOKUP($A4165,HeadJournal!$A$1:$NTR$890,COLUMN(HeadJournal!D$1),0),"")</f>
        <v>Доставлен</v>
      </c>
      <c r="E4165" s="95">
        <f>IFERROR(VLOOKUP($A4165,HeadJournal!$A$1:$NTR$890,COLUMN(HeadJournal!G$1),0),"")</f>
        <v>45628</v>
      </c>
      <c r="F4165" s="95" t="str">
        <f t="shared" si="326"/>
        <v>2024 12</v>
      </c>
      <c r="G4165" s="97" t="s">
        <v>5</v>
      </c>
      <c r="H4165" s="161" t="s">
        <v>2680</v>
      </c>
      <c r="I4165" s="97" t="s">
        <v>2681</v>
      </c>
      <c r="J4165" s="97" t="s">
        <v>3853</v>
      </c>
      <c r="K4165" s="29">
        <v>6.47</v>
      </c>
      <c r="L4165" s="29">
        <v>-1.62</v>
      </c>
      <c r="M4165" s="30">
        <f>IFERROR(VLOOKUP($A4165,HeadJournal!$A$1:$J$890,COLUMN(HeadJournal!I$1),0)*($K4165+$L4165)/(SUMIF($A:$A,$A4165,$K:$K)+SUMIF($A:$A,$A4165,$L:$L)),0)</f>
        <v>-0.39423224285293257</v>
      </c>
      <c r="N4165" s="30">
        <f>IFERROR((VLOOKUP($A4165,HeadJournal!$A$1:$K$890,COLUMN(HeadJournal!K$1),0)-VLOOKUP($A4165,HeadJournal!$A$1:$K$890,COLUMN(HeadJournal!J$1),0))*($K4165+$L4165)/(SUMIF($A:$A,$A4165,$K:$K)+SUMIF($A:$A,$A4165,$L:$L)),0)</f>
        <v>1.6250550042730264E-15</v>
      </c>
      <c r="O4165" s="30">
        <f>IFERROR((VLOOKUP($A4165,HeadJournal!$A$1:$L$890,COLUMN(HeadJournal!L$1),0)*($K4165+$L4165)/(SUMIF($A:$A,$A4165,$K:$K)+SUMIF($A:$A,$A4165,$L:$L)))/VLOOKUP($A4165,HeadJournal!$A$1:$L$890,COLUMN(HeadJournal!H$1),0),0)</f>
        <v>0.20861958541690681</v>
      </c>
      <c r="P4165" s="30">
        <f>IFERROR(SUM(K4165:O4165)*VLOOKUP($A4165,HeadJournal!$A$1:$L$890,COLUMN(HeadJournal!H$1),0),0)</f>
        <v>572.95800668042079</v>
      </c>
      <c r="Q4165" s="29">
        <v>1100</v>
      </c>
      <c r="R4165" s="31">
        <v>45811</v>
      </c>
      <c r="S4165" s="31" t="s">
        <v>3121</v>
      </c>
      <c r="T4165" s="95" t="str">
        <f t="shared" si="327"/>
        <v>2025 06</v>
      </c>
      <c r="U4165" s="32">
        <f t="shared" si="324"/>
        <v>527.04199331957921</v>
      </c>
      <c r="V4165" s="22">
        <f t="shared" si="325"/>
        <v>0.91986146833540594</v>
      </c>
      <c r="X4165" s="33"/>
      <c r="Y4165" s="33"/>
    </row>
    <row r="4166" spans="1:25" x14ac:dyDescent="0.2">
      <c r="A4166" s="93" t="s">
        <v>2689</v>
      </c>
      <c r="B4166" s="94" t="str">
        <f>IFERROR(VLOOKUP($A4166,HeadJournal!$A$1:$NTR$890,COLUMN(HeadJournal!B$1),0),"")</f>
        <v>722500328205</v>
      </c>
      <c r="C4166" s="94" t="str">
        <f>IFERROR(VLOOKUP($A4166,HeadJournal!$A$1:$NTR$890,COLUMN(HeadJournal!C$1),0),"")</f>
        <v>iHerb_AV CYG0792</v>
      </c>
      <c r="D4166" s="125" t="str">
        <f>IFERROR(VLOOKUP($A4166,HeadJournal!$A$1:$NTR$890,COLUMN(HeadJournal!D$1),0),"")</f>
        <v>Доставлен</v>
      </c>
      <c r="E4166" s="95">
        <f>IFERROR(VLOOKUP($A4166,HeadJournal!$A$1:$NTR$890,COLUMN(HeadJournal!G$1),0),"")</f>
        <v>45628</v>
      </c>
      <c r="F4166" s="95" t="str">
        <f t="shared" si="326"/>
        <v>2024 12</v>
      </c>
      <c r="G4166" s="97" t="s">
        <v>5</v>
      </c>
      <c r="H4166" s="161" t="s">
        <v>2682</v>
      </c>
      <c r="I4166" s="97" t="s">
        <v>2102</v>
      </c>
      <c r="J4166" s="97" t="s">
        <v>2683</v>
      </c>
      <c r="K4166" s="29">
        <v>10.42</v>
      </c>
      <c r="L4166" s="29">
        <v>-2.61</v>
      </c>
      <c r="M4166" s="30">
        <f>IFERROR(VLOOKUP($A4166,HeadJournal!$A$1:$J$890,COLUMN(HeadJournal!I$1),0)*($K4166+$L4166)/(SUMIF($A:$A,$A4166,$K:$K)+SUMIF($A:$A,$A4166,$L:$L)),0)</f>
        <v>-0.63483583849101111</v>
      </c>
      <c r="N4166" s="30">
        <f>IFERROR((VLOOKUP($A4166,HeadJournal!$A$1:$K$890,COLUMN(HeadJournal!K$1),0)-VLOOKUP($A4166,HeadJournal!$A$1:$K$890,COLUMN(HeadJournal!J$1),0))*($K4166+$L4166)/(SUMIF($A:$A,$A4166,$K:$K)+SUMIF($A:$A,$A4166,$L:$L)),0)</f>
        <v>2.6168411512107914E-15</v>
      </c>
      <c r="O4166" s="30">
        <f>IFERROR((VLOOKUP($A4166,HeadJournal!$A$1:$L$890,COLUMN(HeadJournal!L$1),0)*($K4166+$L4166)/(SUMIF($A:$A,$A4166,$K:$K)+SUMIF($A:$A,$A4166,$L:$L)))/VLOOKUP($A4166,HeadJournal!$A$1:$L$890,COLUMN(HeadJournal!H$1),0),0)</f>
        <v>0.33594205404248301</v>
      </c>
      <c r="P4166" s="30">
        <f>IFERROR(SUM(K4166:O4166)*VLOOKUP($A4166,HeadJournal!$A$1:$L$890,COLUMN(HeadJournal!H$1),0),0)</f>
        <v>922.63959426269844</v>
      </c>
      <c r="Q4166" s="29">
        <v>1300</v>
      </c>
      <c r="R4166" s="31">
        <v>45755</v>
      </c>
      <c r="S4166" s="31" t="s">
        <v>3121</v>
      </c>
      <c r="T4166" s="95" t="str">
        <f t="shared" si="327"/>
        <v>2025 04</v>
      </c>
      <c r="U4166" s="32">
        <f t="shared" si="324"/>
        <v>377.36040573730156</v>
      </c>
      <c r="V4166" s="22">
        <f t="shared" si="325"/>
        <v>0.40900087974097682</v>
      </c>
      <c r="X4166" s="33"/>
      <c r="Y4166" s="33"/>
    </row>
    <row r="4167" spans="1:25" x14ac:dyDescent="0.2">
      <c r="A4167" s="93" t="s">
        <v>2689</v>
      </c>
      <c r="B4167" s="94" t="str">
        <f>IFERROR(VLOOKUP($A4167,HeadJournal!$A$1:$NTR$890,COLUMN(HeadJournal!B$1),0),"")</f>
        <v>722500328205</v>
      </c>
      <c r="C4167" s="94" t="str">
        <f>IFERROR(VLOOKUP($A4167,HeadJournal!$A$1:$NTR$890,COLUMN(HeadJournal!C$1),0),"")</f>
        <v>iHerb_AV CYG0792</v>
      </c>
      <c r="D4167" s="125" t="str">
        <f>IFERROR(VLOOKUP($A4167,HeadJournal!$A$1:$NTR$890,COLUMN(HeadJournal!D$1),0),"")</f>
        <v>Доставлен</v>
      </c>
      <c r="E4167" s="95">
        <f>IFERROR(VLOOKUP($A4167,HeadJournal!$A$1:$NTR$890,COLUMN(HeadJournal!G$1),0),"")</f>
        <v>45628</v>
      </c>
      <c r="F4167" s="95" t="str">
        <f t="shared" si="326"/>
        <v>2024 12</v>
      </c>
      <c r="G4167" s="97" t="s">
        <v>5</v>
      </c>
      <c r="H4167" s="161" t="s">
        <v>2684</v>
      </c>
      <c r="I4167" s="97" t="s">
        <v>2166</v>
      </c>
      <c r="J4167" s="97" t="s">
        <v>2685</v>
      </c>
      <c r="K4167" s="29">
        <v>20.39</v>
      </c>
      <c r="L4167" s="29">
        <v>-5.0999999999999996</v>
      </c>
      <c r="M4167" s="30">
        <f>IFERROR(VLOOKUP($A4167,HeadJournal!$A$1:$J$890,COLUMN(HeadJournal!I$1),0)*($K4167+$L4167)/(SUMIF($A:$A,$A4167,$K:$K)+SUMIF($A:$A,$A4167,$L:$L)),0)</f>
        <v>-1.2428476274683176</v>
      </c>
      <c r="N4167" s="30">
        <f>IFERROR((VLOOKUP($A4167,HeadJournal!$A$1:$K$890,COLUMN(HeadJournal!K$1),0)-VLOOKUP($A4167,HeadJournal!$A$1:$K$890,COLUMN(HeadJournal!J$1),0))*($K4167+$L4167)/(SUMIF($A:$A,$A4167,$K:$K)+SUMIF($A:$A,$A4167,$L:$L)),0)</f>
        <v>5.1231115495535208E-15</v>
      </c>
      <c r="O4167" s="30">
        <f>IFERROR((VLOOKUP($A4167,HeadJournal!$A$1:$L$890,COLUMN(HeadJournal!L$1),0)*($K4167+$L4167)/(SUMIF($A:$A,$A4167,$K:$K)+SUMIF($A:$A,$A4167,$L:$L)))/VLOOKUP($A4167,HeadJournal!$A$1:$L$890,COLUMN(HeadJournal!H$1),0),0)</f>
        <v>0.65768937340711453</v>
      </c>
      <c r="P4167" s="30">
        <f>IFERROR(SUM(K4167:O4167)*VLOOKUP($A4167,HeadJournal!$A$1:$L$890,COLUMN(HeadJournal!H$1),0),0)</f>
        <v>1806.294416936832</v>
      </c>
      <c r="Q4167" s="29">
        <v>2600</v>
      </c>
      <c r="R4167" s="31">
        <v>45705</v>
      </c>
      <c r="S4167" s="31" t="s">
        <v>3121</v>
      </c>
      <c r="T4167" s="95" t="str">
        <f t="shared" si="327"/>
        <v>2025 02</v>
      </c>
      <c r="U4167" s="32">
        <f t="shared" si="324"/>
        <v>793.70558306316798</v>
      </c>
      <c r="V4167" s="22">
        <f t="shared" si="325"/>
        <v>0.43941097067063828</v>
      </c>
      <c r="X4167" s="33"/>
      <c r="Y4167" s="33"/>
    </row>
    <row r="4168" spans="1:25" x14ac:dyDescent="0.2">
      <c r="A4168" s="93" t="s">
        <v>2689</v>
      </c>
      <c r="B4168" s="94" t="str">
        <f>IFERROR(VLOOKUP($A4168,HeadJournal!$A$1:$NTR$890,COLUMN(HeadJournal!B$1),0),"")</f>
        <v>722500328205</v>
      </c>
      <c r="C4168" s="94" t="str">
        <f>IFERROR(VLOOKUP($A4168,HeadJournal!$A$1:$NTR$890,COLUMN(HeadJournal!C$1),0),"")</f>
        <v>iHerb_AV CYG0792</v>
      </c>
      <c r="D4168" s="125" t="str">
        <f>IFERROR(VLOOKUP($A4168,HeadJournal!$A$1:$NTR$890,COLUMN(HeadJournal!D$1),0),"")</f>
        <v>Доставлен</v>
      </c>
      <c r="E4168" s="95">
        <f>IFERROR(VLOOKUP($A4168,HeadJournal!$A$1:$NTR$890,COLUMN(HeadJournal!G$1),0),"")</f>
        <v>45628</v>
      </c>
      <c r="F4168" s="95" t="str">
        <f t="shared" si="326"/>
        <v>2024 12</v>
      </c>
      <c r="G4168" s="97" t="s">
        <v>5</v>
      </c>
      <c r="H4168" s="161" t="s">
        <v>2686</v>
      </c>
      <c r="I4168" s="97" t="s">
        <v>2687</v>
      </c>
      <c r="J4168" s="97" t="s">
        <v>2688</v>
      </c>
      <c r="K4168" s="29">
        <v>16.010000000000002</v>
      </c>
      <c r="L4168" s="29">
        <v>-8.51</v>
      </c>
      <c r="M4168" s="30">
        <f>IFERROR(VLOOKUP($A4168,HeadJournal!$A$1:$J$890,COLUMN(HeadJournal!I$1),0)*($K4168+$L4168)/(SUMIF($A:$A,$A4168,$K:$K)+SUMIF($A:$A,$A4168,$L:$L)),0)</f>
        <v>-0.60963748894783398</v>
      </c>
      <c r="N4168" s="30">
        <f>IFERROR((VLOOKUP($A4168,HeadJournal!$A$1:$K$890,COLUMN(HeadJournal!K$1),0)-VLOOKUP($A4168,HeadJournal!$A$1:$K$890,COLUMN(HeadJournal!J$1),0))*($K4168+$L4168)/(SUMIF($A:$A,$A4168,$K:$K)+SUMIF($A:$A,$A4168,$L:$L)),0)</f>
        <v>2.5129716560923096E-15</v>
      </c>
      <c r="O4168" s="30">
        <f>IFERROR((VLOOKUP($A4168,HeadJournal!$A$1:$L$890,COLUMN(HeadJournal!L$1),0)*($K4168+$L4168)/(SUMIF($A:$A,$A4168,$K:$K)+SUMIF($A:$A,$A4168,$L:$L)))/VLOOKUP($A4168,HeadJournal!$A$1:$L$890,COLUMN(HeadJournal!H$1),0),0)</f>
        <v>0.32260760631480451</v>
      </c>
      <c r="P4168" s="30">
        <f>IFERROR(SUM(K4168:O4168)*VLOOKUP($A4168,HeadJournal!$A$1:$L$890,COLUMN(HeadJournal!H$1),0),0)</f>
        <v>886.01753610374374</v>
      </c>
      <c r="Q4168" s="29">
        <v>1800</v>
      </c>
      <c r="R4168" s="31">
        <v>45758</v>
      </c>
      <c r="S4168" s="31" t="s">
        <v>3121</v>
      </c>
      <c r="T4168" s="95" t="str">
        <f t="shared" si="327"/>
        <v>2025 04</v>
      </c>
      <c r="U4168" s="32">
        <f t="shared" si="324"/>
        <v>913.98246389625626</v>
      </c>
      <c r="V4168" s="22">
        <f t="shared" si="325"/>
        <v>1.0315624992203745</v>
      </c>
      <c r="X4168" s="33"/>
      <c r="Y4168" s="33"/>
    </row>
    <row r="4169" spans="1:25" x14ac:dyDescent="0.2">
      <c r="A4169" s="93" t="s">
        <v>2700</v>
      </c>
      <c r="B4169" s="94" t="str">
        <f>IFERROR(VLOOKUP($A4169,HeadJournal!$A$1:$NTR$890,COLUMN(HeadJournal!B$1),0),"")</f>
        <v>720000523646</v>
      </c>
      <c r="C4169" s="94" t="str">
        <f>IFERROR(VLOOKUP($A4169,HeadJournal!$A$1:$NTR$890,COLUMN(HeadJournal!C$1),0),"")</f>
        <v>iHerb_AV CYG0792</v>
      </c>
      <c r="D4169" s="125" t="str">
        <f>IFERROR(VLOOKUP($A4169,HeadJournal!$A$1:$NTR$890,COLUMN(HeadJournal!D$1),0),"")</f>
        <v>Доставлен</v>
      </c>
      <c r="E4169" s="95">
        <f>IFERROR(VLOOKUP($A4169,HeadJournal!$A$1:$NTR$890,COLUMN(HeadJournal!G$1),0),"")</f>
        <v>45636</v>
      </c>
      <c r="F4169" s="95" t="str">
        <f t="shared" si="326"/>
        <v>2024 12</v>
      </c>
      <c r="G4169" s="97" t="s">
        <v>5</v>
      </c>
      <c r="H4169" s="161" t="s">
        <v>2615</v>
      </c>
      <c r="I4169" s="97" t="s">
        <v>2052</v>
      </c>
      <c r="J4169" s="97" t="s">
        <v>2616</v>
      </c>
      <c r="K4169" s="29">
        <v>48.6</v>
      </c>
      <c r="L4169" s="29">
        <v>-24.3</v>
      </c>
      <c r="M4169" s="30">
        <f>IFERROR(VLOOKUP($A4169,HeadJournal!$A$1:$J$890,COLUMN(HeadJournal!I$1),0)*($K4169+$L4169)/(SUMIF($A:$A,$A4169,$K:$K)+SUMIF($A:$A,$A4169,$L:$L)),0)</f>
        <v>-1.2744979178746507</v>
      </c>
      <c r="N4169" s="30">
        <f>IFERROR((VLOOKUP($A4169,HeadJournal!$A$1:$K$890,COLUMN(HeadJournal!K$1),0)-VLOOKUP($A4169,HeadJournal!$A$1:$K$890,COLUMN(HeadJournal!J$1),0))*($K4169+$L4169)/(SUMIF($A:$A,$A4169,$K:$K)+SUMIF($A:$A,$A4169,$L:$L)),0)</f>
        <v>-3.6405436674862544E-15</v>
      </c>
      <c r="O4169" s="30">
        <f>IFERROR((VLOOKUP($A4169,HeadJournal!$A$1:$L$890,COLUMN(HeadJournal!L$1),0)*($K4169+$L4169)/(SUMIF($A:$A,$A4169,$K:$K)+SUMIF($A:$A,$A4169,$L:$L)))/VLOOKUP($A4169,HeadJournal!$A$1:$L$890,COLUMN(HeadJournal!H$1),0),0)</f>
        <v>0.79546903225942278</v>
      </c>
      <c r="P4169" s="30">
        <f>IFERROR(SUM(K4169:O4169)*VLOOKUP($A4169,HeadJournal!$A$1:$L$890,COLUMN(HeadJournal!H$1),0),0)</f>
        <v>2745.4119761741599</v>
      </c>
      <c r="Q4169" s="29">
        <v>5700</v>
      </c>
      <c r="R4169" s="31">
        <v>45710</v>
      </c>
      <c r="S4169" s="31" t="s">
        <v>3121</v>
      </c>
      <c r="T4169" s="95" t="str">
        <f t="shared" si="327"/>
        <v>2025 02</v>
      </c>
      <c r="U4169" s="32">
        <f t="shared" si="324"/>
        <v>2954.5880238258401</v>
      </c>
      <c r="V4169" s="22">
        <f t="shared" si="325"/>
        <v>1.0761911325028803</v>
      </c>
      <c r="X4169" s="33"/>
      <c r="Y4169" s="33"/>
    </row>
    <row r="4170" spans="1:25" x14ac:dyDescent="0.2">
      <c r="A4170" s="93" t="s">
        <v>2700</v>
      </c>
      <c r="B4170" s="94" t="str">
        <f>IFERROR(VLOOKUP($A4170,HeadJournal!$A$1:$NTR$890,COLUMN(HeadJournal!B$1),0),"")</f>
        <v>720000523646</v>
      </c>
      <c r="C4170" s="94" t="str">
        <f>IFERROR(VLOOKUP($A4170,HeadJournal!$A$1:$NTR$890,COLUMN(HeadJournal!C$1),0),"")</f>
        <v>iHerb_AV CYG0792</v>
      </c>
      <c r="D4170" s="125" t="str">
        <f>IFERROR(VLOOKUP($A4170,HeadJournal!$A$1:$NTR$890,COLUMN(HeadJournal!D$1),0),"")</f>
        <v>Доставлен</v>
      </c>
      <c r="E4170" s="95">
        <f>IFERROR(VLOOKUP($A4170,HeadJournal!$A$1:$NTR$890,COLUMN(HeadJournal!G$1),0),"")</f>
        <v>45636</v>
      </c>
      <c r="F4170" s="95" t="str">
        <f t="shared" si="326"/>
        <v>2024 12</v>
      </c>
      <c r="G4170" s="97" t="s">
        <v>5</v>
      </c>
      <c r="H4170" s="161" t="s">
        <v>2642</v>
      </c>
      <c r="I4170" s="97" t="s">
        <v>2212</v>
      </c>
      <c r="J4170" s="97" t="s">
        <v>2643</v>
      </c>
      <c r="K4170" s="29">
        <v>25.48</v>
      </c>
      <c r="L4170" s="29">
        <v>-5.0999999999999996</v>
      </c>
      <c r="M4170" s="30">
        <f>IFERROR(VLOOKUP($A4170,HeadJournal!$A$1:$J$890,COLUMN(HeadJournal!I$1),0)*($K4170+$L4170)/(SUMIF($A:$A,$A4170,$K:$K)+SUMIF($A:$A,$A4170,$L:$L)),0)</f>
        <v>-1.0688998998471351</v>
      </c>
      <c r="N4170" s="30">
        <f>IFERROR((VLOOKUP($A4170,HeadJournal!$A$1:$K$890,COLUMN(HeadJournal!K$1),0)-VLOOKUP($A4170,HeadJournal!$A$1:$K$890,COLUMN(HeadJournal!J$1),0))*($K4170+$L4170)/(SUMIF($A:$A,$A4170,$K:$K)+SUMIF($A:$A,$A4170,$L:$L)),0)</f>
        <v>-3.0532625491098716E-15</v>
      </c>
      <c r="O4170" s="30">
        <f>IFERROR((VLOOKUP($A4170,HeadJournal!$A$1:$L$890,COLUMN(HeadJournal!L$1),0)*($K4170+$L4170)/(SUMIF($A:$A,$A4170,$K:$K)+SUMIF($A:$A,$A4170,$L:$L)))/VLOOKUP($A4170,HeadJournal!$A$1:$L$890,COLUMN(HeadJournal!H$1),0),0)</f>
        <v>0.66714645586201815</v>
      </c>
      <c r="P4170" s="30">
        <f>IFERROR(SUM(K4170:O4170)*VLOOKUP($A4170,HeadJournal!$A$1:$L$890,COLUMN(HeadJournal!H$1),0),0)</f>
        <v>2302.5307026514147</v>
      </c>
      <c r="Q4170" s="29"/>
      <c r="R4170" s="31"/>
      <c r="S4170" s="31"/>
      <c r="T4170" s="95" t="str">
        <f t="shared" si="327"/>
        <v/>
      </c>
      <c r="U4170" s="32">
        <f t="shared" si="324"/>
        <v>-2302.5307026514147</v>
      </c>
      <c r="V4170" s="22" t="str">
        <f t="shared" si="325"/>
        <v/>
      </c>
      <c r="X4170" s="33"/>
      <c r="Y4170" s="33"/>
    </row>
    <row r="4171" spans="1:25" x14ac:dyDescent="0.2">
      <c r="A4171" s="93" t="s">
        <v>2700</v>
      </c>
      <c r="B4171" s="94" t="str">
        <f>IFERROR(VLOOKUP($A4171,HeadJournal!$A$1:$NTR$890,COLUMN(HeadJournal!B$1),0),"")</f>
        <v>720000523646</v>
      </c>
      <c r="C4171" s="94" t="str">
        <f>IFERROR(VLOOKUP($A4171,HeadJournal!$A$1:$NTR$890,COLUMN(HeadJournal!C$1),0),"")</f>
        <v>iHerb_AV CYG0792</v>
      </c>
      <c r="D4171" s="125" t="str">
        <f>IFERROR(VLOOKUP($A4171,HeadJournal!$A$1:$NTR$890,COLUMN(HeadJournal!D$1),0),"")</f>
        <v>Доставлен</v>
      </c>
      <c r="E4171" s="95">
        <f>IFERROR(VLOOKUP($A4171,HeadJournal!$A$1:$NTR$890,COLUMN(HeadJournal!G$1),0),"")</f>
        <v>45636</v>
      </c>
      <c r="F4171" s="95" t="str">
        <f t="shared" si="326"/>
        <v>2024 12</v>
      </c>
      <c r="G4171" s="97" t="s">
        <v>5</v>
      </c>
      <c r="H4171" s="161" t="s">
        <v>2047</v>
      </c>
      <c r="I4171" s="97" t="s">
        <v>2048</v>
      </c>
      <c r="J4171" s="97" t="s">
        <v>3828</v>
      </c>
      <c r="K4171" s="29">
        <v>36.49</v>
      </c>
      <c r="L4171" s="29">
        <v>-10.95</v>
      </c>
      <c r="M4171" s="30">
        <f>IFERROR(VLOOKUP($A4171,HeadJournal!$A$1:$J$890,COLUMN(HeadJournal!I$1),0)*($K4171+$L4171)/(SUMIF($A:$A,$A4171,$K:$K)+SUMIF($A:$A,$A4171,$L:$L)),0)</f>
        <v>-1.3395340256180486</v>
      </c>
      <c r="N4171" s="30">
        <f>IFERROR((VLOOKUP($A4171,HeadJournal!$A$1:$K$890,COLUMN(HeadJournal!K$1),0)-VLOOKUP($A4171,HeadJournal!$A$1:$K$890,COLUMN(HeadJournal!J$1),0))*($K4171+$L4171)/(SUMIF($A:$A,$A4171,$K:$K)+SUMIF($A:$A,$A4171,$L:$L)),0)</f>
        <v>-3.8263162661563353E-15</v>
      </c>
      <c r="O4171" s="30">
        <f>IFERROR((VLOOKUP($A4171,HeadJournal!$A$1:$L$890,COLUMN(HeadJournal!L$1),0)*($K4171+$L4171)/(SUMIF($A:$A,$A4171,$K:$K)+SUMIF($A:$A,$A4171,$L:$L)))/VLOOKUP($A4171,HeadJournal!$A$1:$L$890,COLUMN(HeadJournal!H$1),0),0)</f>
        <v>0.83606086765043874</v>
      </c>
      <c r="P4171" s="30">
        <f>IFERROR(SUM(K4171:O4171)*VLOOKUP($A4171,HeadJournal!$A$1:$L$890,COLUMN(HeadJournal!H$1),0),0)</f>
        <v>2885.507072900743</v>
      </c>
      <c r="Q4171" s="29">
        <v>4500</v>
      </c>
      <c r="R4171" s="31">
        <v>45807</v>
      </c>
      <c r="S4171" s="31" t="s">
        <v>3121</v>
      </c>
      <c r="T4171" s="95" t="str">
        <f t="shared" si="327"/>
        <v>2025 05</v>
      </c>
      <c r="U4171" s="32">
        <f t="shared" si="324"/>
        <v>1614.492927099257</v>
      </c>
      <c r="V4171" s="22">
        <f t="shared" si="325"/>
        <v>0.55951792399394096</v>
      </c>
      <c r="X4171" s="33"/>
      <c r="Y4171" s="33"/>
    </row>
    <row r="4172" spans="1:25" x14ac:dyDescent="0.2">
      <c r="A4172" s="93" t="s">
        <v>2700</v>
      </c>
      <c r="B4172" s="94" t="str">
        <f>IFERROR(VLOOKUP($A4172,HeadJournal!$A$1:$NTR$890,COLUMN(HeadJournal!B$1),0),"")</f>
        <v>720000523646</v>
      </c>
      <c r="C4172" s="94" t="str">
        <f>IFERROR(VLOOKUP($A4172,HeadJournal!$A$1:$NTR$890,COLUMN(HeadJournal!C$1),0),"")</f>
        <v>iHerb_AV CYG0792</v>
      </c>
      <c r="D4172" s="125" t="str">
        <f>IFERROR(VLOOKUP($A4172,HeadJournal!$A$1:$NTR$890,COLUMN(HeadJournal!D$1),0),"")</f>
        <v>Доставлен</v>
      </c>
      <c r="E4172" s="95">
        <f>IFERROR(VLOOKUP($A4172,HeadJournal!$A$1:$NTR$890,COLUMN(HeadJournal!G$1),0),"")</f>
        <v>45636</v>
      </c>
      <c r="F4172" s="95" t="str">
        <f t="shared" si="326"/>
        <v>2024 12</v>
      </c>
      <c r="G4172" s="97" t="s">
        <v>5</v>
      </c>
      <c r="H4172" s="161" t="s">
        <v>2691</v>
      </c>
      <c r="I4172" s="97" t="s">
        <v>2052</v>
      </c>
      <c r="J4172" s="97" t="s">
        <v>2692</v>
      </c>
      <c r="K4172" s="29">
        <v>24.7</v>
      </c>
      <c r="L4172" s="29">
        <v>-7.41</v>
      </c>
      <c r="M4172" s="30">
        <f>IFERROR(VLOOKUP($A4172,HeadJournal!$A$1:$J$890,COLUMN(HeadJournal!I$1),0)*($K4172+$L4172)/(SUMIF($A:$A,$A4172,$K:$K)+SUMIF($A:$A,$A4172,$L:$L)),0)</f>
        <v>-0.90683411522850654</v>
      </c>
      <c r="N4172" s="30">
        <f>IFERROR((VLOOKUP($A4172,HeadJournal!$A$1:$K$890,COLUMN(HeadJournal!K$1),0)-VLOOKUP($A4172,HeadJournal!$A$1:$K$890,COLUMN(HeadJournal!J$1),0))*($K4172+$L4172)/(SUMIF($A:$A,$A4172,$K:$K)+SUMIF($A:$A,$A4172,$L:$L)),0)</f>
        <v>-2.5903292185529768E-15</v>
      </c>
      <c r="O4172" s="30">
        <f>IFERROR((VLOOKUP($A4172,HeadJournal!$A$1:$L$890,COLUMN(HeadJournal!L$1),0)*($K4172+$L4172)/(SUMIF($A:$A,$A4172,$K:$K)+SUMIF($A:$A,$A4172,$L:$L)))/VLOOKUP($A4172,HeadJournal!$A$1:$L$890,COLUMN(HeadJournal!H$1),0),0)</f>
        <v>0.56599422089569629</v>
      </c>
      <c r="P4172" s="30">
        <f>IFERROR(SUM(K4172:O4172)*VLOOKUP($A4172,HeadJournal!$A$1:$L$890,COLUMN(HeadJournal!H$1),0),0)</f>
        <v>1953.4227600021079</v>
      </c>
      <c r="Q4172" s="29">
        <v>2800</v>
      </c>
      <c r="R4172" s="31">
        <v>45792</v>
      </c>
      <c r="S4172" s="31" t="s">
        <v>3121</v>
      </c>
      <c r="T4172" s="95" t="str">
        <f t="shared" si="327"/>
        <v>2025 05</v>
      </c>
      <c r="U4172" s="32">
        <f t="shared" si="324"/>
        <v>846.57723999789209</v>
      </c>
      <c r="V4172" s="22">
        <f t="shared" si="325"/>
        <v>0.43338147652020731</v>
      </c>
      <c r="X4172" s="33"/>
      <c r="Y4172" s="33"/>
    </row>
    <row r="4173" spans="1:25" x14ac:dyDescent="0.2">
      <c r="A4173" s="93" t="s">
        <v>2700</v>
      </c>
      <c r="B4173" s="94" t="str">
        <f>IFERROR(VLOOKUP($A4173,HeadJournal!$A$1:$NTR$890,COLUMN(HeadJournal!B$1),0),"")</f>
        <v>720000523646</v>
      </c>
      <c r="C4173" s="94" t="str">
        <f>IFERROR(VLOOKUP($A4173,HeadJournal!$A$1:$NTR$890,COLUMN(HeadJournal!C$1),0),"")</f>
        <v>iHerb_AV CYG0792</v>
      </c>
      <c r="D4173" s="125" t="str">
        <f>IFERROR(VLOOKUP($A4173,HeadJournal!$A$1:$NTR$890,COLUMN(HeadJournal!D$1),0),"")</f>
        <v>Доставлен</v>
      </c>
      <c r="E4173" s="95">
        <f>IFERROR(VLOOKUP($A4173,HeadJournal!$A$1:$NTR$890,COLUMN(HeadJournal!G$1),0),"")</f>
        <v>45636</v>
      </c>
      <c r="F4173" s="95" t="str">
        <f t="shared" si="326"/>
        <v>2024 12</v>
      </c>
      <c r="G4173" s="97" t="s">
        <v>5</v>
      </c>
      <c r="H4173" s="161" t="s">
        <v>2693</v>
      </c>
      <c r="I4173" s="97" t="s">
        <v>2694</v>
      </c>
      <c r="J4173" s="97" t="s">
        <v>2695</v>
      </c>
      <c r="K4173" s="29">
        <v>16.77</v>
      </c>
      <c r="L4173" s="29">
        <v>-3.35</v>
      </c>
      <c r="M4173" s="30">
        <f>IFERROR(VLOOKUP($A4173,HeadJournal!$A$1:$J$890,COLUMN(HeadJournal!I$1),0)*($K4173+$L4173)/(SUMIF($A:$A,$A4173,$K:$K)+SUMIF($A:$A,$A4173,$L:$L)),0)</f>
        <v>-0.70385852090032153</v>
      </c>
      <c r="N4173" s="30">
        <f>IFERROR((VLOOKUP($A4173,HeadJournal!$A$1:$K$890,COLUMN(HeadJournal!K$1),0)-VLOOKUP($A4173,HeadJournal!$A$1:$K$890,COLUMN(HeadJournal!J$1),0))*($K4173+$L4173)/(SUMIF($A:$A,$A4173,$K:$K)+SUMIF($A:$A,$A4173,$L:$L)),0)</f>
        <v>-2.0105389307681292E-15</v>
      </c>
      <c r="O4173" s="30">
        <f>IFERROR((VLOOKUP($A4173,HeadJournal!$A$1:$L$890,COLUMN(HeadJournal!L$1),0)*($K4173+$L4173)/(SUMIF($A:$A,$A4173,$K:$K)+SUMIF($A:$A,$A4173,$L:$L)))/VLOOKUP($A4173,HeadJournal!$A$1:$L$890,COLUMN(HeadJournal!H$1),0),0)</f>
        <v>0.43930841205438081</v>
      </c>
      <c r="P4173" s="30">
        <f>IFERROR(SUM(K4173:O4173)*VLOOKUP($A4173,HeadJournal!$A$1:$L$890,COLUMN(HeadJournal!H$1),0),0)</f>
        <v>1516.1904823151119</v>
      </c>
      <c r="Q4173" s="29">
        <v>2300</v>
      </c>
      <c r="R4173" s="31">
        <v>45723</v>
      </c>
      <c r="S4173" s="31" t="s">
        <v>3121</v>
      </c>
      <c r="T4173" s="95" t="str">
        <f t="shared" si="327"/>
        <v>2025 03</v>
      </c>
      <c r="U4173" s="32">
        <f t="shared" si="324"/>
        <v>783.80951768488808</v>
      </c>
      <c r="V4173" s="22">
        <f t="shared" si="325"/>
        <v>0.51695979286723148</v>
      </c>
      <c r="X4173" s="33"/>
      <c r="Y4173" s="33"/>
    </row>
    <row r="4174" spans="1:25" x14ac:dyDescent="0.2">
      <c r="A4174" s="93" t="s">
        <v>2700</v>
      </c>
      <c r="B4174" s="94" t="str">
        <f>IFERROR(VLOOKUP($A4174,HeadJournal!$A$1:$NTR$890,COLUMN(HeadJournal!B$1),0),"")</f>
        <v>720000523646</v>
      </c>
      <c r="C4174" s="94" t="str">
        <f>IFERROR(VLOOKUP($A4174,HeadJournal!$A$1:$NTR$890,COLUMN(HeadJournal!C$1),0),"")</f>
        <v>iHerb_AV CYG0792</v>
      </c>
      <c r="D4174" s="125" t="str">
        <f>IFERROR(VLOOKUP($A4174,HeadJournal!$A$1:$NTR$890,COLUMN(HeadJournal!D$1),0),"")</f>
        <v>Доставлен</v>
      </c>
      <c r="E4174" s="95">
        <f>IFERROR(VLOOKUP($A4174,HeadJournal!$A$1:$NTR$890,COLUMN(HeadJournal!G$1),0),"")</f>
        <v>45636</v>
      </c>
      <c r="F4174" s="95" t="str">
        <f t="shared" si="326"/>
        <v>2024 12</v>
      </c>
      <c r="G4174" s="97" t="s">
        <v>5</v>
      </c>
      <c r="H4174" s="161" t="s">
        <v>2696</v>
      </c>
      <c r="I4174" s="97" t="s">
        <v>2052</v>
      </c>
      <c r="J4174" s="97" t="s">
        <v>2697</v>
      </c>
      <c r="K4174" s="29">
        <v>5.94</v>
      </c>
      <c r="L4174" s="29">
        <v>-1.78</v>
      </c>
      <c r="M4174" s="30">
        <f>IFERROR(VLOOKUP($A4174,HeadJournal!$A$1:$J$890,COLUMN(HeadJournal!I$1),0)*($K4174+$L4174)/(SUMIF($A:$A,$A4174,$K:$K)+SUMIF($A:$A,$A4174,$L:$L)),0)</f>
        <v>-0.21818565178430233</v>
      </c>
      <c r="N4174" s="30">
        <f>IFERROR((VLOOKUP($A4174,HeadJournal!$A$1:$K$890,COLUMN(HeadJournal!K$1),0)-VLOOKUP($A4174,HeadJournal!$A$1:$K$890,COLUMN(HeadJournal!J$1),0))*($K4174+$L4174)/(SUMIF($A:$A,$A4174,$K:$K)+SUMIF($A:$A,$A4174,$L:$L)),0)</f>
        <v>-6.2323710521575393E-16</v>
      </c>
      <c r="O4174" s="30">
        <f>IFERROR((VLOOKUP($A4174,HeadJournal!$A$1:$L$890,COLUMN(HeadJournal!L$1),0)*($K4174+$L4174)/(SUMIF($A:$A,$A4174,$K:$K)+SUMIF($A:$A,$A4174,$L:$L)))/VLOOKUP($A4174,HeadJournal!$A$1:$L$890,COLUMN(HeadJournal!H$1),0),0)</f>
        <v>0.13617906066663368</v>
      </c>
      <c r="P4174" s="30">
        <f>IFERROR(SUM(K4174:O4174)*VLOOKUP($A4174,HeadJournal!$A$1:$L$890,COLUMN(HeadJournal!H$1),0),0)</f>
        <v>469.99645353434175</v>
      </c>
      <c r="Q4174" s="29"/>
      <c r="R4174" s="31"/>
      <c r="S4174" s="31"/>
      <c r="T4174" s="95" t="str">
        <f t="shared" si="327"/>
        <v/>
      </c>
      <c r="U4174" s="32">
        <f t="shared" si="324"/>
        <v>-469.99645353434175</v>
      </c>
      <c r="V4174" s="22" t="str">
        <f t="shared" si="325"/>
        <v/>
      </c>
      <c r="X4174" s="33"/>
      <c r="Y4174" s="33"/>
    </row>
    <row r="4175" spans="1:25" x14ac:dyDescent="0.2">
      <c r="A4175" s="93" t="s">
        <v>2700</v>
      </c>
      <c r="B4175" s="94" t="str">
        <f>IFERROR(VLOOKUP($A4175,HeadJournal!$A$1:$NTR$890,COLUMN(HeadJournal!B$1),0),"")</f>
        <v>720000523646</v>
      </c>
      <c r="C4175" s="94" t="str">
        <f>IFERROR(VLOOKUP($A4175,HeadJournal!$A$1:$NTR$890,COLUMN(HeadJournal!C$1),0),"")</f>
        <v>iHerb_AV CYG0792</v>
      </c>
      <c r="D4175" s="125" t="str">
        <f>IFERROR(VLOOKUP($A4175,HeadJournal!$A$1:$NTR$890,COLUMN(HeadJournal!D$1),0),"")</f>
        <v>Доставлен</v>
      </c>
      <c r="E4175" s="95">
        <f>IFERROR(VLOOKUP($A4175,HeadJournal!$A$1:$NTR$890,COLUMN(HeadJournal!G$1),0),"")</f>
        <v>45636</v>
      </c>
      <c r="F4175" s="95" t="str">
        <f t="shared" si="326"/>
        <v>2024 12</v>
      </c>
      <c r="G4175" s="97" t="s">
        <v>5</v>
      </c>
      <c r="H4175" s="161" t="s">
        <v>2698</v>
      </c>
      <c r="I4175" s="97" t="s">
        <v>2005</v>
      </c>
      <c r="J4175" s="97" t="s">
        <v>2699</v>
      </c>
      <c r="K4175" s="29">
        <v>50.33</v>
      </c>
      <c r="L4175" s="29">
        <v>-12.58</v>
      </c>
      <c r="M4175" s="30">
        <f>IFERROR(VLOOKUP($A4175,HeadJournal!$A$1:$J$890,COLUMN(HeadJournal!I$1),0)*($K4175+$L4175)/(SUMIF($A:$A,$A4175,$K:$K)+SUMIF($A:$A,$A4175,$L:$L)),0)</f>
        <v>-1.9799298929945703</v>
      </c>
      <c r="N4175" s="30">
        <f>IFERROR((VLOOKUP($A4175,HeadJournal!$A$1:$K$890,COLUMN(HeadJournal!K$1),0)-VLOOKUP($A4175,HeadJournal!$A$1:$K$890,COLUMN(HeadJournal!J$1),0))*($K4175+$L4175)/(SUMIF($A:$A,$A4175,$K:$K)+SUMIF($A:$A,$A4175,$L:$L)),0)</f>
        <v>-5.6555770966093047E-15</v>
      </c>
      <c r="O4175" s="30">
        <f>IFERROR((VLOOKUP($A4175,HeadJournal!$A$1:$L$890,COLUMN(HeadJournal!L$1),0)*($K4175+$L4175)/(SUMIF($A:$A,$A4175,$K:$K)+SUMIF($A:$A,$A4175,$L:$L)))/VLOOKUP($A4175,HeadJournal!$A$1:$L$890,COLUMN(HeadJournal!H$1),0),0)</f>
        <v>1.2357595048474572</v>
      </c>
      <c r="P4175" s="30">
        <f>IFERROR(SUM(K4175:O4175)*VLOOKUP($A4175,HeadJournal!$A$1:$L$890,COLUMN(HeadJournal!H$1),0),0)</f>
        <v>4264.9918559907219</v>
      </c>
      <c r="Q4175" s="29">
        <v>5900</v>
      </c>
      <c r="R4175" s="31">
        <v>46117</v>
      </c>
      <c r="S4175" s="31" t="s">
        <v>4610</v>
      </c>
      <c r="T4175" s="95" t="str">
        <f t="shared" si="327"/>
        <v>2026 04</v>
      </c>
      <c r="U4175" s="32">
        <f t="shared" si="324"/>
        <v>1635.0081440092781</v>
      </c>
      <c r="V4175" s="22">
        <f t="shared" si="325"/>
        <v>0.38335551373039595</v>
      </c>
      <c r="X4175" s="33"/>
      <c r="Y4175" s="33"/>
    </row>
    <row r="4176" spans="1:25" x14ac:dyDescent="0.2">
      <c r="A4176" s="93" t="s">
        <v>2700</v>
      </c>
      <c r="B4176" s="94" t="str">
        <f>IFERROR(VLOOKUP($A4176,HeadJournal!$A$1:$NTR$890,COLUMN(HeadJournal!B$1),0),"")</f>
        <v>720000523646</v>
      </c>
      <c r="C4176" s="94" t="str">
        <f>IFERROR(VLOOKUP($A4176,HeadJournal!$A$1:$NTR$890,COLUMN(HeadJournal!C$1),0),"")</f>
        <v>iHerb_AV CYG0792</v>
      </c>
      <c r="D4176" s="125" t="str">
        <f>IFERROR(VLOOKUP($A4176,HeadJournal!$A$1:$NTR$890,COLUMN(HeadJournal!D$1),0),"")</f>
        <v>Доставлен</v>
      </c>
      <c r="E4176" s="95">
        <f>IFERROR(VLOOKUP($A4176,HeadJournal!$A$1:$NTR$890,COLUMN(HeadJournal!G$1),0),"")</f>
        <v>45636</v>
      </c>
      <c r="F4176" s="95" t="str">
        <f t="shared" si="326"/>
        <v>2024 12</v>
      </c>
      <c r="G4176" s="97" t="s">
        <v>5</v>
      </c>
      <c r="H4176" s="161" t="s">
        <v>2630</v>
      </c>
      <c r="I4176" s="97" t="s">
        <v>2052</v>
      </c>
      <c r="J4176" s="97" t="s">
        <v>2631</v>
      </c>
      <c r="K4176" s="29">
        <v>19.27</v>
      </c>
      <c r="L4176" s="29">
        <v>-5.78</v>
      </c>
      <c r="M4176" s="30">
        <f>IFERROR(VLOOKUP($A4176,HeadJournal!$A$1:$J$890,COLUMN(HeadJournal!I$1),0)*($K4176+$L4176)/(SUMIF($A:$A,$A4176,$K:$K)+SUMIF($A:$A,$A4176,$L:$L)),0)</f>
        <v>-0.70752991407938415</v>
      </c>
      <c r="N4176" s="30">
        <f>IFERROR((VLOOKUP($A4176,HeadJournal!$A$1:$K$890,COLUMN(HeadJournal!K$1),0)-VLOOKUP($A4176,HeadJournal!$A$1:$K$890,COLUMN(HeadJournal!J$1),0))*($K4176+$L4176)/(SUMIF($A:$A,$A4176,$K:$K)+SUMIF($A:$A,$A4176,$L:$L)),0)</f>
        <v>-2.0210260935962784E-15</v>
      </c>
      <c r="O4176" s="30">
        <f>IFERROR((VLOOKUP($A4176,HeadJournal!$A$1:$L$890,COLUMN(HeadJournal!L$1),0)*($K4176+$L4176)/(SUMIF($A:$A,$A4176,$K:$K)+SUMIF($A:$A,$A4176,$L:$L)))/VLOOKUP($A4176,HeadJournal!$A$1:$L$890,COLUMN(HeadJournal!H$1),0),0)</f>
        <v>0.44159988663290589</v>
      </c>
      <c r="P4176" s="30">
        <f>IFERROR(SUM(K4176:O4176)*VLOOKUP($A4176,HeadJournal!$A$1:$L$890,COLUMN(HeadJournal!H$1),0),0)</f>
        <v>1524.099076485161</v>
      </c>
      <c r="Q4176" s="29">
        <v>2700</v>
      </c>
      <c r="R4176" s="31">
        <v>45690</v>
      </c>
      <c r="S4176" s="31" t="s">
        <v>3121</v>
      </c>
      <c r="T4176" s="95" t="str">
        <f t="shared" si="327"/>
        <v>2025 02</v>
      </c>
      <c r="U4176" s="32">
        <f t="shared" si="324"/>
        <v>1175.900923514839</v>
      </c>
      <c r="V4176" s="22">
        <f t="shared" si="325"/>
        <v>0.77153837414997462</v>
      </c>
      <c r="X4176" s="33"/>
      <c r="Y4176" s="33"/>
    </row>
    <row r="4177" spans="1:25" x14ac:dyDescent="0.2">
      <c r="A4177" s="93" t="s">
        <v>2700</v>
      </c>
      <c r="B4177" s="94" t="str">
        <f>IFERROR(VLOOKUP($A4177,HeadJournal!$A$1:$NTR$890,COLUMN(HeadJournal!B$1),0),"")</f>
        <v>720000523646</v>
      </c>
      <c r="C4177" s="94" t="str">
        <f>IFERROR(VLOOKUP($A4177,HeadJournal!$A$1:$NTR$890,COLUMN(HeadJournal!C$1),0),"")</f>
        <v>iHerb_AV CYG0792</v>
      </c>
      <c r="D4177" s="125" t="str">
        <f>IFERROR(VLOOKUP($A4177,HeadJournal!$A$1:$NTR$890,COLUMN(HeadJournal!D$1),0),"")</f>
        <v>Доставлен</v>
      </c>
      <c r="E4177" s="95">
        <f>IFERROR(VLOOKUP($A4177,HeadJournal!$A$1:$NTR$890,COLUMN(HeadJournal!G$1),0),"")</f>
        <v>45636</v>
      </c>
      <c r="F4177" s="95" t="str">
        <f t="shared" si="326"/>
        <v>2024 12</v>
      </c>
      <c r="G4177" s="97" t="s">
        <v>5</v>
      </c>
      <c r="H4177" s="161" t="s">
        <v>2058</v>
      </c>
      <c r="I4177" s="97" t="s">
        <v>2007</v>
      </c>
      <c r="J4177" s="97" t="s">
        <v>2059</v>
      </c>
      <c r="K4177" s="29">
        <v>29.7</v>
      </c>
      <c r="L4177" s="29">
        <v>-13.01</v>
      </c>
      <c r="M4177" s="30">
        <f>IFERROR(VLOOKUP($A4177,HeadJournal!$A$1:$J$890,COLUMN(HeadJournal!I$1),0)*($K4177+$L4177)/(SUMIF($A:$A,$A4177,$K:$K)+SUMIF($A:$A,$A4177,$L:$L)),0)</f>
        <v>-0.87536503083653971</v>
      </c>
      <c r="N4177" s="30">
        <f>IFERROR((VLOOKUP($A4177,HeadJournal!$A$1:$K$890,COLUMN(HeadJournal!K$1),0)-VLOOKUP($A4177,HeadJournal!$A$1:$K$890,COLUMN(HeadJournal!J$1),0))*($K4177+$L4177)/(SUMIF($A:$A,$A4177,$K:$K)+SUMIF($A:$A,$A4177,$L:$L)),0)</f>
        <v>-2.5004392514545504E-15</v>
      </c>
      <c r="O4177" s="30">
        <f>IFERROR((VLOOKUP($A4177,HeadJournal!$A$1:$L$890,COLUMN(HeadJournal!L$1),0)*($K4177+$L4177)/(SUMIF($A:$A,$A4177,$K:$K)+SUMIF($A:$A,$A4177,$L:$L)))/VLOOKUP($A4177,HeadJournal!$A$1:$L$890,COLUMN(HeadJournal!H$1),0),0)</f>
        <v>0.54635301022262406</v>
      </c>
      <c r="P4177" s="30">
        <f>IFERROR(SUM(K4177:O4177)*VLOOKUP($A4177,HeadJournal!$A$1:$L$890,COLUMN(HeadJournal!H$1),0),0)</f>
        <v>1885.6348099731163</v>
      </c>
      <c r="Q4177" s="29">
        <v>3500</v>
      </c>
      <c r="R4177" s="31">
        <v>45714</v>
      </c>
      <c r="S4177" s="31" t="s">
        <v>3121</v>
      </c>
      <c r="T4177" s="95" t="str">
        <f t="shared" si="327"/>
        <v>2025 02</v>
      </c>
      <c r="U4177" s="32">
        <f t="shared" si="324"/>
        <v>1614.3651900268837</v>
      </c>
      <c r="V4177" s="22">
        <f t="shared" si="325"/>
        <v>0.85613883530814749</v>
      </c>
      <c r="X4177" s="33"/>
      <c r="Y4177" s="33"/>
    </row>
    <row r="4178" spans="1:25" x14ac:dyDescent="0.2">
      <c r="A4178" s="93" t="s">
        <v>2700</v>
      </c>
      <c r="B4178" s="94" t="str">
        <f>IFERROR(VLOOKUP($A4178,HeadJournal!$A$1:$NTR$890,COLUMN(HeadJournal!B$1),0),"")</f>
        <v>720000523646</v>
      </c>
      <c r="C4178" s="94" t="str">
        <f>IFERROR(VLOOKUP($A4178,HeadJournal!$A$1:$NTR$890,COLUMN(HeadJournal!C$1),0),"")</f>
        <v>iHerb_AV CYG0792</v>
      </c>
      <c r="D4178" s="125" t="str">
        <f>IFERROR(VLOOKUP($A4178,HeadJournal!$A$1:$NTR$890,COLUMN(HeadJournal!D$1),0),"")</f>
        <v>Доставлен</v>
      </c>
      <c r="E4178" s="95">
        <f>IFERROR(VLOOKUP($A4178,HeadJournal!$A$1:$NTR$890,COLUMN(HeadJournal!G$1),0),"")</f>
        <v>45636</v>
      </c>
      <c r="F4178" s="95" t="str">
        <f t="shared" si="326"/>
        <v>2024 12</v>
      </c>
      <c r="G4178" s="97" t="s">
        <v>5</v>
      </c>
      <c r="H4178" s="161" t="s">
        <v>2058</v>
      </c>
      <c r="I4178" s="97" t="s">
        <v>2007</v>
      </c>
      <c r="J4178" s="97" t="s">
        <v>2059</v>
      </c>
      <c r="K4178" s="29">
        <v>29.7</v>
      </c>
      <c r="L4178" s="29">
        <v>-13.01</v>
      </c>
      <c r="M4178" s="30">
        <f>IFERROR(VLOOKUP($A4178,HeadJournal!$A$1:$J$890,COLUMN(HeadJournal!I$1),0)*($K4178+$L4178)/(SUMIF($A:$A,$A4178,$K:$K)+SUMIF($A:$A,$A4178,$L:$L)),0)</f>
        <v>-0.87536503083653971</v>
      </c>
      <c r="N4178" s="30">
        <f>IFERROR((VLOOKUP($A4178,HeadJournal!$A$1:$K$890,COLUMN(HeadJournal!K$1),0)-VLOOKUP($A4178,HeadJournal!$A$1:$K$890,COLUMN(HeadJournal!J$1),0))*($K4178+$L4178)/(SUMIF($A:$A,$A4178,$K:$K)+SUMIF($A:$A,$A4178,$L:$L)),0)</f>
        <v>-2.5004392514545504E-15</v>
      </c>
      <c r="O4178" s="30">
        <f>IFERROR((VLOOKUP($A4178,HeadJournal!$A$1:$L$890,COLUMN(HeadJournal!L$1),0)*($K4178+$L4178)/(SUMIF($A:$A,$A4178,$K:$K)+SUMIF($A:$A,$A4178,$L:$L)))/VLOOKUP($A4178,HeadJournal!$A$1:$L$890,COLUMN(HeadJournal!H$1),0),0)</f>
        <v>0.54635301022262406</v>
      </c>
      <c r="P4178" s="30">
        <f>IFERROR(SUM(K4178:O4178)*VLOOKUP($A4178,HeadJournal!$A$1:$L$890,COLUMN(HeadJournal!H$1),0),0)</f>
        <v>1885.6348099731163</v>
      </c>
      <c r="Q4178" s="29">
        <v>3500</v>
      </c>
      <c r="R4178" s="31">
        <v>45783</v>
      </c>
      <c r="S4178" s="31" t="s">
        <v>3475</v>
      </c>
      <c r="T4178" s="95" t="str">
        <f t="shared" si="327"/>
        <v>2025 05</v>
      </c>
      <c r="U4178" s="32">
        <f t="shared" si="324"/>
        <v>1614.3651900268837</v>
      </c>
      <c r="V4178" s="22">
        <f t="shared" si="325"/>
        <v>0.85613883530814749</v>
      </c>
      <c r="X4178" s="33"/>
      <c r="Y4178" s="33"/>
    </row>
    <row r="4179" spans="1:25" x14ac:dyDescent="0.2">
      <c r="A4179" s="93" t="s">
        <v>2721</v>
      </c>
      <c r="B4179" s="94" t="str">
        <f>IFERROR(VLOOKUP($A4179,HeadJournal!$A$1:$NTR$890,COLUMN(HeadJournal!B$1),0),"")</f>
        <v>720000523646</v>
      </c>
      <c r="C4179" s="94" t="str">
        <f>IFERROR(VLOOKUP($A4179,HeadJournal!$A$1:$NTR$890,COLUMN(HeadJournal!C$1),0),"")</f>
        <v>iHerb_AV CYG0792</v>
      </c>
      <c r="D4179" s="125" t="str">
        <f>IFERROR(VLOOKUP($A4179,HeadJournal!$A$1:$NTR$890,COLUMN(HeadJournal!D$1),0),"")</f>
        <v>Доставлен</v>
      </c>
      <c r="E4179" s="95">
        <f>IFERROR(VLOOKUP($A4179,HeadJournal!$A$1:$NTR$890,COLUMN(HeadJournal!G$1),0),"")</f>
        <v>45643</v>
      </c>
      <c r="F4179" s="95" t="str">
        <f t="shared" si="326"/>
        <v>2024 12</v>
      </c>
      <c r="G4179" s="97" t="s">
        <v>5</v>
      </c>
      <c r="H4179" s="161" t="s">
        <v>2562</v>
      </c>
      <c r="I4179" s="97" t="s">
        <v>2052</v>
      </c>
      <c r="J4179" s="97" t="s">
        <v>2563</v>
      </c>
      <c r="K4179" s="29">
        <v>92.57</v>
      </c>
      <c r="L4179" s="29">
        <v>-27.77</v>
      </c>
      <c r="M4179" s="30">
        <f>IFERROR(VLOOKUP($A4179,HeadJournal!$A$1:$J$890,COLUMN(HeadJournal!I$1),0)*($K4179+$L4179)/(SUMIF($A:$A,$A4179,$K:$K)+SUMIF($A:$A,$A4179,$L:$L)),0)</f>
        <v>-7.7059818545286793</v>
      </c>
      <c r="N4179" s="30">
        <f>IFERROR((VLOOKUP($A4179,HeadJournal!$A$1:$K$890,COLUMN(HeadJournal!K$1),0)-VLOOKUP($A4179,HeadJournal!$A$1:$K$890,COLUMN(HeadJournal!J$1),0))*($K4179+$L4179)/(SUMIF($A:$A,$A4179,$K:$K)+SUMIF($A:$A,$A4179,$L:$L)),0)</f>
        <v>0</v>
      </c>
      <c r="O4179" s="30">
        <f>IFERROR((VLOOKUP($A4179,HeadJournal!$A$1:$L$890,COLUMN(HeadJournal!L$1),0)*($K4179+$L4179)/(SUMIF($A:$A,$A4179,$K:$K)+SUMIF($A:$A,$A4179,$L:$L)))/VLOOKUP($A4179,HeadJournal!$A$1:$L$890,COLUMN(HeadJournal!H$1),0),0)</f>
        <v>2.359261685668169</v>
      </c>
      <c r="P4179" s="30">
        <f>IFERROR(SUM(K4179:O4179)*VLOOKUP($A4179,HeadJournal!$A$1:$L$890,COLUMN(HeadJournal!H$1),0),0)</f>
        <v>7004.692111333231</v>
      </c>
      <c r="Q4179" s="29">
        <v>10200</v>
      </c>
      <c r="R4179" s="31">
        <v>45682</v>
      </c>
      <c r="S4179" s="31" t="s">
        <v>3121</v>
      </c>
      <c r="T4179" s="95" t="str">
        <f t="shared" si="327"/>
        <v>2025 01</v>
      </c>
      <c r="U4179" s="32">
        <f t="shared" si="324"/>
        <v>3195.307888666769</v>
      </c>
      <c r="V4179" s="22">
        <f t="shared" si="325"/>
        <v>0.45616678618849293</v>
      </c>
      <c r="X4179" s="33"/>
      <c r="Y4179" s="33"/>
    </row>
    <row r="4180" spans="1:25" x14ac:dyDescent="0.2">
      <c r="A4180" s="93" t="s">
        <v>2721</v>
      </c>
      <c r="B4180" s="94" t="str">
        <f>IFERROR(VLOOKUP($A4180,HeadJournal!$A$1:$NTR$890,COLUMN(HeadJournal!B$1),0),"")</f>
        <v>720000523646</v>
      </c>
      <c r="C4180" s="94" t="str">
        <f>IFERROR(VLOOKUP($A4180,HeadJournal!$A$1:$NTR$890,COLUMN(HeadJournal!C$1),0),"")</f>
        <v>iHerb_AV CYG0792</v>
      </c>
      <c r="D4180" s="125" t="str">
        <f>IFERROR(VLOOKUP($A4180,HeadJournal!$A$1:$NTR$890,COLUMN(HeadJournal!D$1),0),"")</f>
        <v>Доставлен</v>
      </c>
      <c r="E4180" s="95">
        <f>IFERROR(VLOOKUP($A4180,HeadJournal!$A$1:$NTR$890,COLUMN(HeadJournal!G$1),0),"")</f>
        <v>45643</v>
      </c>
      <c r="F4180" s="95" t="str">
        <f t="shared" si="326"/>
        <v>2024 12</v>
      </c>
      <c r="G4180" s="97" t="s">
        <v>5</v>
      </c>
      <c r="H4180" s="161" t="s">
        <v>2162</v>
      </c>
      <c r="I4180" s="97" t="s">
        <v>2163</v>
      </c>
      <c r="J4180" s="97" t="s">
        <v>2164</v>
      </c>
      <c r="K4180" s="29">
        <v>19.21</v>
      </c>
      <c r="L4180" s="29">
        <v>-1.92</v>
      </c>
      <c r="M4180" s="30">
        <f>IFERROR(VLOOKUP($A4180,HeadJournal!$A$1:$J$890,COLUMN(HeadJournal!I$1),0)*($K4180+$L4180)/(SUMIF($A:$A,$A4180,$K:$K)+SUMIF($A:$A,$A4180,$L:$L)),0)</f>
        <v>-2.0561176892716184</v>
      </c>
      <c r="N4180" s="30">
        <f>IFERROR((VLOOKUP($A4180,HeadJournal!$A$1:$K$890,COLUMN(HeadJournal!K$1),0)-VLOOKUP($A4180,HeadJournal!$A$1:$K$890,COLUMN(HeadJournal!J$1),0))*($K4180+$L4180)/(SUMIF($A:$A,$A4180,$K:$K)+SUMIF($A:$A,$A4180,$L:$L)),0)</f>
        <v>0</v>
      </c>
      <c r="O4180" s="30">
        <f>IFERROR((VLOOKUP($A4180,HeadJournal!$A$1:$L$890,COLUMN(HeadJournal!L$1),0)*($K4180+$L4180)/(SUMIF($A:$A,$A4180,$K:$K)+SUMIF($A:$A,$A4180,$L:$L)))/VLOOKUP($A4180,HeadJournal!$A$1:$L$890,COLUMN(HeadJournal!H$1),0),0)</f>
        <v>0.62950053310497922</v>
      </c>
      <c r="P4180" s="30">
        <f>IFERROR(SUM(K4180:O4180)*VLOOKUP($A4180,HeadJournal!$A$1:$L$890,COLUMN(HeadJournal!H$1),0),0)</f>
        <v>1868.9988673603639</v>
      </c>
      <c r="Q4180" s="29">
        <v>2700</v>
      </c>
      <c r="R4180" s="31">
        <v>45682</v>
      </c>
      <c r="S4180" s="31" t="s">
        <v>3121</v>
      </c>
      <c r="T4180" s="95" t="str">
        <f t="shared" si="327"/>
        <v>2025 01</v>
      </c>
      <c r="U4180" s="32">
        <f t="shared" si="324"/>
        <v>831.00113263963613</v>
      </c>
      <c r="V4180" s="22">
        <f t="shared" si="325"/>
        <v>0.4446236683991579</v>
      </c>
      <c r="X4180" s="33"/>
      <c r="Y4180" s="33"/>
    </row>
    <row r="4181" spans="1:25" x14ac:dyDescent="0.2">
      <c r="A4181" s="93" t="s">
        <v>2721</v>
      </c>
      <c r="B4181" s="94" t="str">
        <f>IFERROR(VLOOKUP($A4181,HeadJournal!$A$1:$NTR$890,COLUMN(HeadJournal!B$1),0),"")</f>
        <v>720000523646</v>
      </c>
      <c r="C4181" s="94" t="str">
        <f>IFERROR(VLOOKUP($A4181,HeadJournal!$A$1:$NTR$890,COLUMN(HeadJournal!C$1),0),"")</f>
        <v>iHerb_AV CYG0792</v>
      </c>
      <c r="D4181" s="125" t="str">
        <f>IFERROR(VLOOKUP($A4181,HeadJournal!$A$1:$NTR$890,COLUMN(HeadJournal!D$1),0),"")</f>
        <v>Доставлен</v>
      </c>
      <c r="E4181" s="95">
        <f>IFERROR(VLOOKUP($A4181,HeadJournal!$A$1:$NTR$890,COLUMN(HeadJournal!G$1),0),"")</f>
        <v>45643</v>
      </c>
      <c r="F4181" s="95" t="str">
        <f t="shared" si="326"/>
        <v>2024 12</v>
      </c>
      <c r="G4181" s="97" t="s">
        <v>5</v>
      </c>
      <c r="H4181" s="161" t="s">
        <v>2702</v>
      </c>
      <c r="I4181" s="97" t="s">
        <v>2703</v>
      </c>
      <c r="J4181" s="97" t="s">
        <v>2704</v>
      </c>
      <c r="K4181" s="29">
        <v>6.72</v>
      </c>
      <c r="L4181" s="29">
        <v>-0.67</v>
      </c>
      <c r="M4181" s="30">
        <f>IFERROR(VLOOKUP($A4181,HeadJournal!$A$1:$J$890,COLUMN(HeadJournal!I$1),0)*($K4181+$L4181)/(SUMIF($A:$A,$A4181,$K:$K)+SUMIF($A:$A,$A4181,$L:$L)),0)</f>
        <v>-0.7194628120354708</v>
      </c>
      <c r="N4181" s="30">
        <f>IFERROR((VLOOKUP($A4181,HeadJournal!$A$1:$K$890,COLUMN(HeadJournal!K$1),0)-VLOOKUP($A4181,HeadJournal!$A$1:$K$890,COLUMN(HeadJournal!J$1),0))*($K4181+$L4181)/(SUMIF($A:$A,$A4181,$K:$K)+SUMIF($A:$A,$A4181,$L:$L)),0)</f>
        <v>0</v>
      </c>
      <c r="O4181" s="30">
        <f>IFERROR((VLOOKUP($A4181,HeadJournal!$A$1:$L$890,COLUMN(HeadJournal!L$1),0)*($K4181+$L4181)/(SUMIF($A:$A,$A4181,$K:$K)+SUMIF($A:$A,$A4181,$L:$L)))/VLOOKUP($A4181,HeadJournal!$A$1:$L$890,COLUMN(HeadJournal!H$1),0),0)</f>
        <v>0.2202705740477226</v>
      </c>
      <c r="P4181" s="30">
        <f>IFERROR(SUM(K4181:O4181)*VLOOKUP($A4181,HeadJournal!$A$1:$L$890,COLUMN(HeadJournal!H$1),0),0)</f>
        <v>653.98745792540205</v>
      </c>
      <c r="Q4181" s="29">
        <v>1200</v>
      </c>
      <c r="R4181" s="31">
        <v>45688</v>
      </c>
      <c r="S4181" s="31" t="s">
        <v>3121</v>
      </c>
      <c r="T4181" s="95" t="str">
        <f t="shared" si="327"/>
        <v>2025 01</v>
      </c>
      <c r="U4181" s="32">
        <f t="shared" si="324"/>
        <v>546.01254207459795</v>
      </c>
      <c r="V4181" s="22">
        <f t="shared" si="325"/>
        <v>0.83489757404014253</v>
      </c>
      <c r="X4181" s="33"/>
      <c r="Y4181" s="33"/>
    </row>
    <row r="4182" spans="1:25" x14ac:dyDescent="0.2">
      <c r="A4182" s="93" t="s">
        <v>2721</v>
      </c>
      <c r="B4182" s="94" t="str">
        <f>IFERROR(VLOOKUP($A4182,HeadJournal!$A$1:$NTR$890,COLUMN(HeadJournal!B$1),0),"")</f>
        <v>720000523646</v>
      </c>
      <c r="C4182" s="94" t="str">
        <f>IFERROR(VLOOKUP($A4182,HeadJournal!$A$1:$NTR$890,COLUMN(HeadJournal!C$1),0),"")</f>
        <v>iHerb_AV CYG0792</v>
      </c>
      <c r="D4182" s="125" t="str">
        <f>IFERROR(VLOOKUP($A4182,HeadJournal!$A$1:$NTR$890,COLUMN(HeadJournal!D$1),0),"")</f>
        <v>Доставлен</v>
      </c>
      <c r="E4182" s="95">
        <f>IFERROR(VLOOKUP($A4182,HeadJournal!$A$1:$NTR$890,COLUMN(HeadJournal!G$1),0),"")</f>
        <v>45643</v>
      </c>
      <c r="F4182" s="95" t="str">
        <f t="shared" si="326"/>
        <v>2024 12</v>
      </c>
      <c r="G4182" s="97" t="s">
        <v>5</v>
      </c>
      <c r="H4182" s="161" t="s">
        <v>2702</v>
      </c>
      <c r="I4182" s="97" t="s">
        <v>2703</v>
      </c>
      <c r="J4182" s="97" t="s">
        <v>2704</v>
      </c>
      <c r="K4182" s="29">
        <v>6.72</v>
      </c>
      <c r="L4182" s="29">
        <v>-0.67</v>
      </c>
      <c r="M4182" s="30">
        <f>IFERROR(VLOOKUP($A4182,HeadJournal!$A$1:$J$890,COLUMN(HeadJournal!I$1),0)*($K4182+$L4182)/(SUMIF($A:$A,$A4182,$K:$K)+SUMIF($A:$A,$A4182,$L:$L)),0)</f>
        <v>-0.7194628120354708</v>
      </c>
      <c r="N4182" s="30">
        <f>IFERROR((VLOOKUP($A4182,HeadJournal!$A$1:$K$890,COLUMN(HeadJournal!K$1),0)-VLOOKUP($A4182,HeadJournal!$A$1:$K$890,COLUMN(HeadJournal!J$1),0))*($K4182+$L4182)/(SUMIF($A:$A,$A4182,$K:$K)+SUMIF($A:$A,$A4182,$L:$L)),0)</f>
        <v>0</v>
      </c>
      <c r="O4182" s="30">
        <f>IFERROR((VLOOKUP($A4182,HeadJournal!$A$1:$L$890,COLUMN(HeadJournal!L$1),0)*($K4182+$L4182)/(SUMIF($A:$A,$A4182,$K:$K)+SUMIF($A:$A,$A4182,$L:$L)))/VLOOKUP($A4182,HeadJournal!$A$1:$L$890,COLUMN(HeadJournal!H$1),0),0)</f>
        <v>0.2202705740477226</v>
      </c>
      <c r="P4182" s="30">
        <f>IFERROR(SUM(K4182:O4182)*VLOOKUP($A4182,HeadJournal!$A$1:$L$890,COLUMN(HeadJournal!H$1),0),0)</f>
        <v>653.98745792540205</v>
      </c>
      <c r="Q4182" s="29">
        <v>1200</v>
      </c>
      <c r="R4182" s="31">
        <v>45688</v>
      </c>
      <c r="S4182" s="31" t="s">
        <v>3121</v>
      </c>
      <c r="T4182" s="95" t="str">
        <f t="shared" si="327"/>
        <v>2025 01</v>
      </c>
      <c r="U4182" s="32">
        <f t="shared" si="324"/>
        <v>546.01254207459795</v>
      </c>
      <c r="V4182" s="22">
        <f t="shared" si="325"/>
        <v>0.83489757404014253</v>
      </c>
      <c r="X4182" s="33"/>
      <c r="Y4182" s="33"/>
    </row>
    <row r="4183" spans="1:25" x14ac:dyDescent="0.2">
      <c r="A4183" s="93" t="s">
        <v>2721</v>
      </c>
      <c r="B4183" s="94" t="str">
        <f>IFERROR(VLOOKUP($A4183,HeadJournal!$A$1:$NTR$890,COLUMN(HeadJournal!B$1),0),"")</f>
        <v>720000523646</v>
      </c>
      <c r="C4183" s="94" t="str">
        <f>IFERROR(VLOOKUP($A4183,HeadJournal!$A$1:$NTR$890,COLUMN(HeadJournal!C$1),0),"")</f>
        <v>iHerb_AV CYG0792</v>
      </c>
      <c r="D4183" s="125" t="str">
        <f>IFERROR(VLOOKUP($A4183,HeadJournal!$A$1:$NTR$890,COLUMN(HeadJournal!D$1),0),"")</f>
        <v>Доставлен</v>
      </c>
      <c r="E4183" s="95">
        <f>IFERROR(VLOOKUP($A4183,HeadJournal!$A$1:$NTR$890,COLUMN(HeadJournal!G$1),0),"")</f>
        <v>45643</v>
      </c>
      <c r="F4183" s="95" t="str">
        <f t="shared" si="326"/>
        <v>2024 12</v>
      </c>
      <c r="G4183" s="97" t="s">
        <v>5</v>
      </c>
      <c r="H4183" s="161" t="s">
        <v>2705</v>
      </c>
      <c r="I4183" s="97" t="s">
        <v>2581</v>
      </c>
      <c r="J4183" s="97" t="s">
        <v>2706</v>
      </c>
      <c r="K4183" s="29">
        <v>25.29</v>
      </c>
      <c r="L4183" s="29">
        <v>-15.29</v>
      </c>
      <c r="M4183" s="30">
        <f>IFERROR(VLOOKUP($A4183,HeadJournal!$A$1:$J$890,COLUMN(HeadJournal!I$1),0)*($K4183+$L4183)/(SUMIF($A:$A,$A4183,$K:$K)+SUMIF($A:$A,$A4183,$L:$L)),0)</f>
        <v>-1.189194730637142</v>
      </c>
      <c r="N4183" s="30">
        <f>IFERROR((VLOOKUP($A4183,HeadJournal!$A$1:$K$890,COLUMN(HeadJournal!K$1),0)-VLOOKUP($A4183,HeadJournal!$A$1:$K$890,COLUMN(HeadJournal!J$1),0))*($K4183+$L4183)/(SUMIF($A:$A,$A4183,$K:$K)+SUMIF($A:$A,$A4183,$L:$L)),0)</f>
        <v>0</v>
      </c>
      <c r="O4183" s="30">
        <f>IFERROR((VLOOKUP($A4183,HeadJournal!$A$1:$L$890,COLUMN(HeadJournal!L$1),0)*($K4183+$L4183)/(SUMIF($A:$A,$A4183,$K:$K)+SUMIF($A:$A,$A4183,$L:$L)))/VLOOKUP($A4183,HeadJournal!$A$1:$L$890,COLUMN(HeadJournal!H$1),0),0)</f>
        <v>0.36408359346731006</v>
      </c>
      <c r="P4183" s="30">
        <f>IFERROR(SUM(K4183:O4183)*VLOOKUP($A4183,HeadJournal!$A$1:$L$890,COLUMN(HeadJournal!H$1),0),0)</f>
        <v>1080.9710048353752</v>
      </c>
      <c r="Q4183" s="29">
        <v>3200</v>
      </c>
      <c r="R4183" s="31">
        <v>45698</v>
      </c>
      <c r="S4183" s="31" t="s">
        <v>3121</v>
      </c>
      <c r="T4183" s="95" t="str">
        <f t="shared" si="327"/>
        <v>2025 02</v>
      </c>
      <c r="U4183" s="32">
        <f t="shared" si="324"/>
        <v>2119.0289951646246</v>
      </c>
      <c r="V4183" s="22">
        <f t="shared" si="325"/>
        <v>1.9603014194514299</v>
      </c>
      <c r="X4183" s="33"/>
      <c r="Y4183" s="33"/>
    </row>
    <row r="4184" spans="1:25" x14ac:dyDescent="0.2">
      <c r="A4184" s="93" t="s">
        <v>2721</v>
      </c>
      <c r="B4184" s="94" t="str">
        <f>IFERROR(VLOOKUP($A4184,HeadJournal!$A$1:$NTR$890,COLUMN(HeadJournal!B$1),0),"")</f>
        <v>720000523646</v>
      </c>
      <c r="C4184" s="94" t="str">
        <f>IFERROR(VLOOKUP($A4184,HeadJournal!$A$1:$NTR$890,COLUMN(HeadJournal!C$1),0),"")</f>
        <v>iHerb_AV CYG0792</v>
      </c>
      <c r="D4184" s="125" t="str">
        <f>IFERROR(VLOOKUP($A4184,HeadJournal!$A$1:$NTR$890,COLUMN(HeadJournal!D$1),0),"")</f>
        <v>Доставлен</v>
      </c>
      <c r="E4184" s="95">
        <f>IFERROR(VLOOKUP($A4184,HeadJournal!$A$1:$NTR$890,COLUMN(HeadJournal!G$1),0),"")</f>
        <v>45643</v>
      </c>
      <c r="F4184" s="95" t="str">
        <f t="shared" si="326"/>
        <v>2024 12</v>
      </c>
      <c r="G4184" s="97" t="s">
        <v>5</v>
      </c>
      <c r="H4184" s="161" t="s">
        <v>2707</v>
      </c>
      <c r="I4184" s="97" t="s">
        <v>2581</v>
      </c>
      <c r="J4184" s="97" t="s">
        <v>2708</v>
      </c>
      <c r="K4184" s="29">
        <v>30.72</v>
      </c>
      <c r="L4184" s="29">
        <v>-13.01</v>
      </c>
      <c r="M4184" s="30">
        <f>IFERROR(VLOOKUP($A4184,HeadJournal!$A$1:$J$890,COLUMN(HeadJournal!I$1),0)*($K4184+$L4184)/(SUMIF($A:$A,$A4184,$K:$K)+SUMIF($A:$A,$A4184,$L:$L)),0)</f>
        <v>-2.1060638679583787</v>
      </c>
      <c r="N4184" s="30">
        <f>IFERROR((VLOOKUP($A4184,HeadJournal!$A$1:$K$890,COLUMN(HeadJournal!K$1),0)-VLOOKUP($A4184,HeadJournal!$A$1:$K$890,COLUMN(HeadJournal!J$1),0))*($K4184+$L4184)/(SUMIF($A:$A,$A4184,$K:$K)+SUMIF($A:$A,$A4184,$L:$L)),0)</f>
        <v>0</v>
      </c>
      <c r="O4184" s="30">
        <f>IFERROR((VLOOKUP($A4184,HeadJournal!$A$1:$L$890,COLUMN(HeadJournal!L$1),0)*($K4184+$L4184)/(SUMIF($A:$A,$A4184,$K:$K)+SUMIF($A:$A,$A4184,$L:$L)))/VLOOKUP($A4184,HeadJournal!$A$1:$L$890,COLUMN(HeadJournal!H$1),0),0)</f>
        <v>0.64479204403060619</v>
      </c>
      <c r="P4184" s="30">
        <f>IFERROR(SUM(K4184:O4184)*VLOOKUP($A4184,HeadJournal!$A$1:$L$890,COLUMN(HeadJournal!H$1),0),0)</f>
        <v>1914.3996495634497</v>
      </c>
      <c r="Q4184" s="29">
        <v>3700</v>
      </c>
      <c r="R4184" s="31">
        <v>45755</v>
      </c>
      <c r="S4184" s="31" t="s">
        <v>3121</v>
      </c>
      <c r="T4184" s="95" t="str">
        <f t="shared" si="327"/>
        <v>2025 04</v>
      </c>
      <c r="U4184" s="32">
        <f t="shared" si="324"/>
        <v>1785.6003504365503</v>
      </c>
      <c r="V4184" s="22">
        <f t="shared" si="325"/>
        <v>0.93272078839114392</v>
      </c>
      <c r="X4184" s="33"/>
      <c r="Y4184" s="33"/>
    </row>
    <row r="4185" spans="1:25" x14ac:dyDescent="0.2">
      <c r="A4185" s="93" t="s">
        <v>2721</v>
      </c>
      <c r="B4185" s="94" t="str">
        <f>IFERROR(VLOOKUP($A4185,HeadJournal!$A$1:$NTR$890,COLUMN(HeadJournal!B$1),0),"")</f>
        <v>720000523646</v>
      </c>
      <c r="C4185" s="94" t="str">
        <f>IFERROR(VLOOKUP($A4185,HeadJournal!$A$1:$NTR$890,COLUMN(HeadJournal!C$1),0),"")</f>
        <v>iHerb_AV CYG0792</v>
      </c>
      <c r="D4185" s="125" t="str">
        <f>IFERROR(VLOOKUP($A4185,HeadJournal!$A$1:$NTR$890,COLUMN(HeadJournal!D$1),0),"")</f>
        <v>Доставлен</v>
      </c>
      <c r="E4185" s="95">
        <f>IFERROR(VLOOKUP($A4185,HeadJournal!$A$1:$NTR$890,COLUMN(HeadJournal!G$1),0),"")</f>
        <v>45643</v>
      </c>
      <c r="F4185" s="95" t="str">
        <f t="shared" si="326"/>
        <v>2024 12</v>
      </c>
      <c r="G4185" s="97" t="s">
        <v>5</v>
      </c>
      <c r="H4185" s="161" t="s">
        <v>2709</v>
      </c>
      <c r="I4185" s="97" t="s">
        <v>2052</v>
      </c>
      <c r="J4185" s="97" t="s">
        <v>2710</v>
      </c>
      <c r="K4185" s="29">
        <v>13.66</v>
      </c>
      <c r="L4185" s="29">
        <v>-6.83</v>
      </c>
      <c r="M4185" s="30">
        <f>IFERROR(VLOOKUP($A4185,HeadJournal!$A$1:$J$890,COLUMN(HeadJournal!I$1),0)*($K4185+$L4185)/(SUMIF($A:$A,$A4185,$K:$K)+SUMIF($A:$A,$A4185,$L:$L)),0)</f>
        <v>-0.81222000102516789</v>
      </c>
      <c r="N4185" s="30">
        <f>IFERROR((VLOOKUP($A4185,HeadJournal!$A$1:$K$890,COLUMN(HeadJournal!K$1),0)-VLOOKUP($A4185,HeadJournal!$A$1:$K$890,COLUMN(HeadJournal!J$1),0))*($K4185+$L4185)/(SUMIF($A:$A,$A4185,$K:$K)+SUMIF($A:$A,$A4185,$L:$L)),0)</f>
        <v>0</v>
      </c>
      <c r="O4185" s="30">
        <f>IFERROR((VLOOKUP($A4185,HeadJournal!$A$1:$L$890,COLUMN(HeadJournal!L$1),0)*($K4185+$L4185)/(SUMIF($A:$A,$A4185,$K:$K)+SUMIF($A:$A,$A4185,$L:$L)))/VLOOKUP($A4185,HeadJournal!$A$1:$L$890,COLUMN(HeadJournal!H$1),0),0)</f>
        <v>0.24866909433817277</v>
      </c>
      <c r="P4185" s="30">
        <f>IFERROR(SUM(K4185:O4185)*VLOOKUP($A4185,HeadJournal!$A$1:$L$890,COLUMN(HeadJournal!H$1),0),0)</f>
        <v>738.30319630256133</v>
      </c>
      <c r="Q4185" s="29">
        <v>1900</v>
      </c>
      <c r="R4185" s="31">
        <v>45824</v>
      </c>
      <c r="S4185" s="31" t="s">
        <v>3121</v>
      </c>
      <c r="T4185" s="95" t="str">
        <f t="shared" si="327"/>
        <v>2025 06</v>
      </c>
      <c r="U4185" s="32">
        <f t="shared" si="324"/>
        <v>1161.6968036974386</v>
      </c>
      <c r="V4185" s="22">
        <f t="shared" si="325"/>
        <v>1.5734684740838747</v>
      </c>
      <c r="X4185" s="33"/>
      <c r="Y4185" s="33"/>
    </row>
    <row r="4186" spans="1:25" x14ac:dyDescent="0.2">
      <c r="A4186" s="93" t="s">
        <v>2721</v>
      </c>
      <c r="B4186" s="94" t="str">
        <f>IFERROR(VLOOKUP($A4186,HeadJournal!$A$1:$NTR$890,COLUMN(HeadJournal!B$1),0),"")</f>
        <v>720000523646</v>
      </c>
      <c r="C4186" s="94" t="str">
        <f>IFERROR(VLOOKUP($A4186,HeadJournal!$A$1:$NTR$890,COLUMN(HeadJournal!C$1),0),"")</f>
        <v>iHerb_AV CYG0792</v>
      </c>
      <c r="D4186" s="125" t="str">
        <f>IFERROR(VLOOKUP($A4186,HeadJournal!$A$1:$NTR$890,COLUMN(HeadJournal!D$1),0),"")</f>
        <v>Доставлен</v>
      </c>
      <c r="E4186" s="95">
        <f>IFERROR(VLOOKUP($A4186,HeadJournal!$A$1:$NTR$890,COLUMN(HeadJournal!G$1),0),"")</f>
        <v>45643</v>
      </c>
      <c r="F4186" s="95" t="str">
        <f t="shared" si="326"/>
        <v>2024 12</v>
      </c>
      <c r="G4186" s="97" t="s">
        <v>5</v>
      </c>
      <c r="H4186" s="161" t="s">
        <v>2711</v>
      </c>
      <c r="I4186" s="97" t="s">
        <v>2052</v>
      </c>
      <c r="J4186" s="97" t="s">
        <v>2712</v>
      </c>
      <c r="K4186" s="29">
        <v>31.01</v>
      </c>
      <c r="L4186" s="29">
        <v>-15.505000000000001</v>
      </c>
      <c r="M4186" s="30">
        <f>IFERROR(VLOOKUP($A4186,HeadJournal!$A$1:$J$890,COLUMN(HeadJournal!I$1),0)*($K4186+$L4186)/(SUMIF($A:$A,$A4186,$K:$K)+SUMIF($A:$A,$A4186,$L:$L)),0)</f>
        <v>-1.8438464298528887</v>
      </c>
      <c r="N4186" s="30">
        <f>IFERROR((VLOOKUP($A4186,HeadJournal!$A$1:$K$890,COLUMN(HeadJournal!K$1),0)-VLOOKUP($A4186,HeadJournal!$A$1:$K$890,COLUMN(HeadJournal!J$1),0))*($K4186+$L4186)/(SUMIF($A:$A,$A4186,$K:$K)+SUMIF($A:$A,$A4186,$L:$L)),0)</f>
        <v>0</v>
      </c>
      <c r="O4186" s="30">
        <f>IFERROR((VLOOKUP($A4186,HeadJournal!$A$1:$L$890,COLUMN(HeadJournal!L$1),0)*($K4186+$L4186)/(SUMIF($A:$A,$A4186,$K:$K)+SUMIF($A:$A,$A4186,$L:$L)))/VLOOKUP($A4186,HeadJournal!$A$1:$L$890,COLUMN(HeadJournal!H$1),0),0)</f>
        <v>0.56451161167106434</v>
      </c>
      <c r="P4186" s="30">
        <f>IFERROR(SUM(K4186:O4186)*VLOOKUP($A4186,HeadJournal!$A$1:$L$890,COLUMN(HeadJournal!H$1),0),0)</f>
        <v>1676.0455429972494</v>
      </c>
      <c r="Q4186" s="29"/>
      <c r="R4186" s="31"/>
      <c r="S4186" s="31"/>
      <c r="T4186" s="95" t="str">
        <f t="shared" si="327"/>
        <v/>
      </c>
      <c r="U4186" s="32">
        <f t="shared" si="324"/>
        <v>-1676.0455429972494</v>
      </c>
      <c r="V4186" s="22" t="str">
        <f t="shared" si="325"/>
        <v/>
      </c>
      <c r="X4186" s="33"/>
      <c r="Y4186" s="33"/>
    </row>
    <row r="4187" spans="1:25" x14ac:dyDescent="0.2">
      <c r="A4187" s="93" t="s">
        <v>2721</v>
      </c>
      <c r="B4187" s="94" t="str">
        <f>IFERROR(VLOOKUP($A4187,HeadJournal!$A$1:$NTR$890,COLUMN(HeadJournal!B$1),0),"")</f>
        <v>720000523646</v>
      </c>
      <c r="C4187" s="94" t="str">
        <f>IFERROR(VLOOKUP($A4187,HeadJournal!$A$1:$NTR$890,COLUMN(HeadJournal!C$1),0),"")</f>
        <v>iHerb_AV CYG0792</v>
      </c>
      <c r="D4187" s="125" t="str">
        <f>IFERROR(VLOOKUP($A4187,HeadJournal!$A$1:$NTR$890,COLUMN(HeadJournal!D$1),0),"")</f>
        <v>Доставлен</v>
      </c>
      <c r="E4187" s="95">
        <f>IFERROR(VLOOKUP($A4187,HeadJournal!$A$1:$NTR$890,COLUMN(HeadJournal!G$1),0),"")</f>
        <v>45643</v>
      </c>
      <c r="F4187" s="95" t="str">
        <f t="shared" si="326"/>
        <v>2024 12</v>
      </c>
      <c r="G4187" s="97" t="s">
        <v>5</v>
      </c>
      <c r="H4187" s="161" t="s">
        <v>2711</v>
      </c>
      <c r="I4187" s="97" t="s">
        <v>2052</v>
      </c>
      <c r="J4187" s="97" t="s">
        <v>2712</v>
      </c>
      <c r="K4187" s="29">
        <v>31.01</v>
      </c>
      <c r="L4187" s="29">
        <v>-15.505000000000001</v>
      </c>
      <c r="M4187" s="30">
        <f>IFERROR(VLOOKUP($A4187,HeadJournal!$A$1:$J$890,COLUMN(HeadJournal!I$1),0)*($K4187+$L4187)/(SUMIF($A:$A,$A4187,$K:$K)+SUMIF($A:$A,$A4187,$L:$L)),0)</f>
        <v>-1.8438464298528887</v>
      </c>
      <c r="N4187" s="30">
        <f>IFERROR((VLOOKUP($A4187,HeadJournal!$A$1:$K$890,COLUMN(HeadJournal!K$1),0)-VLOOKUP($A4187,HeadJournal!$A$1:$K$890,COLUMN(HeadJournal!J$1),0))*($K4187+$L4187)/(SUMIF($A:$A,$A4187,$K:$K)+SUMIF($A:$A,$A4187,$L:$L)),0)</f>
        <v>0</v>
      </c>
      <c r="O4187" s="30">
        <f>IFERROR((VLOOKUP($A4187,HeadJournal!$A$1:$L$890,COLUMN(HeadJournal!L$1),0)*($K4187+$L4187)/(SUMIF($A:$A,$A4187,$K:$K)+SUMIF($A:$A,$A4187,$L:$L)))/VLOOKUP($A4187,HeadJournal!$A$1:$L$890,COLUMN(HeadJournal!H$1),0),0)</f>
        <v>0.56451161167106434</v>
      </c>
      <c r="P4187" s="30">
        <f>IFERROR(SUM(K4187:O4187)*VLOOKUP($A4187,HeadJournal!$A$1:$L$890,COLUMN(HeadJournal!H$1),0),0)</f>
        <v>1676.0455429972494</v>
      </c>
      <c r="Q4187" s="29"/>
      <c r="R4187" s="31"/>
      <c r="S4187" s="31"/>
      <c r="T4187" s="95" t="str">
        <f t="shared" si="327"/>
        <v/>
      </c>
      <c r="U4187" s="32">
        <f t="shared" si="324"/>
        <v>-1676.0455429972494</v>
      </c>
      <c r="V4187" s="22" t="str">
        <f t="shared" si="325"/>
        <v/>
      </c>
      <c r="X4187" s="33"/>
      <c r="Y4187" s="33"/>
    </row>
    <row r="4188" spans="1:25" x14ac:dyDescent="0.2">
      <c r="A4188" s="93" t="s">
        <v>2721</v>
      </c>
      <c r="B4188" s="94" t="str">
        <f>IFERROR(VLOOKUP($A4188,HeadJournal!$A$1:$NTR$890,COLUMN(HeadJournal!B$1),0),"")</f>
        <v>720000523646</v>
      </c>
      <c r="C4188" s="94" t="str">
        <f>IFERROR(VLOOKUP($A4188,HeadJournal!$A$1:$NTR$890,COLUMN(HeadJournal!C$1),0),"")</f>
        <v>iHerb_AV CYG0792</v>
      </c>
      <c r="D4188" s="125" t="str">
        <f>IFERROR(VLOOKUP($A4188,HeadJournal!$A$1:$NTR$890,COLUMN(HeadJournal!D$1),0),"")</f>
        <v>Доставлен</v>
      </c>
      <c r="E4188" s="95">
        <f>IFERROR(VLOOKUP($A4188,HeadJournal!$A$1:$NTR$890,COLUMN(HeadJournal!G$1),0),"")</f>
        <v>45643</v>
      </c>
      <c r="F4188" s="95" t="str">
        <f t="shared" si="326"/>
        <v>2024 12</v>
      </c>
      <c r="G4188" s="97" t="s">
        <v>5</v>
      </c>
      <c r="H4188" s="161" t="s">
        <v>2713</v>
      </c>
      <c r="I4188" s="97" t="s">
        <v>2048</v>
      </c>
      <c r="J4188" s="97" t="s">
        <v>2714</v>
      </c>
      <c r="K4188" s="29">
        <v>38.71</v>
      </c>
      <c r="L4188" s="29">
        <v>-19.36</v>
      </c>
      <c r="M4188" s="30">
        <f>IFERROR(VLOOKUP($A4188,HeadJournal!$A$1:$J$890,COLUMN(HeadJournal!I$1),0)*($K4188+$L4188)/(SUMIF($A:$A,$A4188,$K:$K)+SUMIF($A:$A,$A4188,$L:$L)),0)</f>
        <v>-2.30109180378287</v>
      </c>
      <c r="N4188" s="30">
        <f>IFERROR((VLOOKUP($A4188,HeadJournal!$A$1:$K$890,COLUMN(HeadJournal!K$1),0)-VLOOKUP($A4188,HeadJournal!$A$1:$K$890,COLUMN(HeadJournal!J$1),0))*($K4188+$L4188)/(SUMIF($A:$A,$A4188,$K:$K)+SUMIF($A:$A,$A4188,$L:$L)),0)</f>
        <v>0</v>
      </c>
      <c r="O4188" s="30">
        <f>IFERROR((VLOOKUP($A4188,HeadJournal!$A$1:$L$890,COLUMN(HeadJournal!L$1),0)*($K4188+$L4188)/(SUMIF($A:$A,$A4188,$K:$K)+SUMIF($A:$A,$A4188,$L:$L)))/VLOOKUP($A4188,HeadJournal!$A$1:$L$890,COLUMN(HeadJournal!H$1),0),0)</f>
        <v>0.70450175335924503</v>
      </c>
      <c r="P4188" s="30">
        <f>IFERROR(SUM(K4188:O4188)*VLOOKUP($A4188,HeadJournal!$A$1:$L$890,COLUMN(HeadJournal!H$1),0),0)</f>
        <v>2091.6788943564511</v>
      </c>
      <c r="Q4188" s="29">
        <v>3900</v>
      </c>
      <c r="R4188" s="31">
        <v>46066</v>
      </c>
      <c r="S4188" s="31" t="s">
        <v>4872</v>
      </c>
      <c r="T4188" s="95" t="str">
        <f t="shared" si="327"/>
        <v>2026 02</v>
      </c>
      <c r="U4188" s="32">
        <f t="shared" si="324"/>
        <v>1808.3211056435489</v>
      </c>
      <c r="V4188" s="22">
        <f t="shared" si="325"/>
        <v>0.86453093279402082</v>
      </c>
      <c r="X4188" s="33"/>
      <c r="Y4188" s="33"/>
    </row>
    <row r="4189" spans="1:25" x14ac:dyDescent="0.2">
      <c r="A4189" s="93" t="s">
        <v>2721</v>
      </c>
      <c r="B4189" s="94" t="str">
        <f>IFERROR(VLOOKUP($A4189,HeadJournal!$A$1:$NTR$890,COLUMN(HeadJournal!B$1),0),"")</f>
        <v>720000523646</v>
      </c>
      <c r="C4189" s="94" t="str">
        <f>IFERROR(VLOOKUP($A4189,HeadJournal!$A$1:$NTR$890,COLUMN(HeadJournal!C$1),0),"")</f>
        <v>iHerb_AV CYG0792</v>
      </c>
      <c r="D4189" s="125" t="str">
        <f>IFERROR(VLOOKUP($A4189,HeadJournal!$A$1:$NTR$890,COLUMN(HeadJournal!D$1),0),"")</f>
        <v>Доставлен</v>
      </c>
      <c r="E4189" s="95">
        <f>IFERROR(VLOOKUP($A4189,HeadJournal!$A$1:$NTR$890,COLUMN(HeadJournal!G$1),0),"")</f>
        <v>45643</v>
      </c>
      <c r="F4189" s="95" t="str">
        <f t="shared" si="326"/>
        <v>2024 12</v>
      </c>
      <c r="G4189" s="97" t="s">
        <v>7</v>
      </c>
      <c r="H4189" s="161" t="s">
        <v>2715</v>
      </c>
      <c r="I4189" s="97" t="s">
        <v>2716</v>
      </c>
      <c r="J4189" s="97" t="s">
        <v>2717</v>
      </c>
      <c r="K4189" s="29">
        <v>3.69</v>
      </c>
      <c r="L4189" s="29">
        <v>-1.58</v>
      </c>
      <c r="M4189" s="30">
        <f>IFERROR(VLOOKUP($A4189,HeadJournal!$A$1:$J$890,COLUMN(HeadJournal!I$1),0)*($K4189+$L4189)/(SUMIF($A:$A,$A4189,$K:$K)+SUMIF($A:$A,$A4189,$L:$L)),0)</f>
        <v>-0.25092008816443695</v>
      </c>
      <c r="N4189" s="30">
        <f>IFERROR((VLOOKUP($A4189,HeadJournal!$A$1:$K$890,COLUMN(HeadJournal!K$1),0)-VLOOKUP($A4189,HeadJournal!$A$1:$K$890,COLUMN(HeadJournal!J$1),0))*($K4189+$L4189)/(SUMIF($A:$A,$A4189,$K:$K)+SUMIF($A:$A,$A4189,$L:$L)),0)</f>
        <v>0</v>
      </c>
      <c r="O4189" s="30">
        <f>IFERROR((VLOOKUP($A4189,HeadJournal!$A$1:$L$890,COLUMN(HeadJournal!L$1),0)*($K4189+$L4189)/(SUMIF($A:$A,$A4189,$K:$K)+SUMIF($A:$A,$A4189,$L:$L)))/VLOOKUP($A4189,HeadJournal!$A$1:$L$890,COLUMN(HeadJournal!H$1),0),0)</f>
        <v>7.6821638221602442E-2</v>
      </c>
      <c r="P4189" s="30">
        <f>IFERROR(SUM(K4189:O4189)*VLOOKUP($A4189,HeadJournal!$A$1:$L$890,COLUMN(HeadJournal!H$1),0),0)</f>
        <v>228.08488202026419</v>
      </c>
      <c r="Q4189" s="29"/>
      <c r="R4189" s="31"/>
      <c r="S4189" s="31"/>
      <c r="T4189" s="95" t="str">
        <f t="shared" si="327"/>
        <v/>
      </c>
      <c r="U4189" s="32">
        <f t="shared" si="324"/>
        <v>-228.08488202026419</v>
      </c>
      <c r="V4189" s="22" t="str">
        <f t="shared" si="325"/>
        <v/>
      </c>
      <c r="X4189" s="33"/>
      <c r="Y4189" s="33"/>
    </row>
    <row r="4190" spans="1:25" x14ac:dyDescent="0.2">
      <c r="A4190" s="93" t="s">
        <v>2721</v>
      </c>
      <c r="B4190" s="94" t="str">
        <f>IFERROR(VLOOKUP($A4190,HeadJournal!$A$1:$NTR$890,COLUMN(HeadJournal!B$1),0),"")</f>
        <v>720000523646</v>
      </c>
      <c r="C4190" s="94" t="str">
        <f>IFERROR(VLOOKUP($A4190,HeadJournal!$A$1:$NTR$890,COLUMN(HeadJournal!C$1),0),"")</f>
        <v>iHerb_AV CYG0792</v>
      </c>
      <c r="D4190" s="125" t="str">
        <f>IFERROR(VLOOKUP($A4190,HeadJournal!$A$1:$NTR$890,COLUMN(HeadJournal!D$1),0),"")</f>
        <v>Доставлен</v>
      </c>
      <c r="E4190" s="95">
        <f>IFERROR(VLOOKUP($A4190,HeadJournal!$A$1:$NTR$890,COLUMN(HeadJournal!G$1),0),"")</f>
        <v>45643</v>
      </c>
      <c r="F4190" s="95" t="str">
        <f t="shared" si="326"/>
        <v>2024 12</v>
      </c>
      <c r="G4190" s="97" t="s">
        <v>7</v>
      </c>
      <c r="H4190" s="161" t="s">
        <v>2718</v>
      </c>
      <c r="I4190" s="97" t="s">
        <v>2719</v>
      </c>
      <c r="J4190" s="97" t="s">
        <v>2720</v>
      </c>
      <c r="K4190" s="29">
        <v>15.43</v>
      </c>
      <c r="L4190" s="29">
        <v>-1.54</v>
      </c>
      <c r="M4190" s="30">
        <f>IFERROR(VLOOKUP($A4190,HeadJournal!$A$1:$J$890,COLUMN(HeadJournal!I$1),0)*($K4190+$L4190)/(SUMIF($A:$A,$A4190,$K:$K)+SUMIF($A:$A,$A4190,$L:$L)),0)</f>
        <v>-1.6517914808549901</v>
      </c>
      <c r="N4190" s="30">
        <f>IFERROR((VLOOKUP($A4190,HeadJournal!$A$1:$K$890,COLUMN(HeadJournal!K$1),0)-VLOOKUP($A4190,HeadJournal!$A$1:$K$890,COLUMN(HeadJournal!J$1),0))*($K4190+$L4190)/(SUMIF($A:$A,$A4190,$K:$K)+SUMIF($A:$A,$A4190,$L:$L)),0)</f>
        <v>0</v>
      </c>
      <c r="O4190" s="30">
        <f>IFERROR((VLOOKUP($A4190,HeadJournal!$A$1:$L$890,COLUMN(HeadJournal!L$1),0)*($K4190+$L4190)/(SUMIF($A:$A,$A4190,$K:$K)+SUMIF($A:$A,$A4190,$L:$L)))/VLOOKUP($A4190,HeadJournal!$A$1:$L$890,COLUMN(HeadJournal!H$1),0),0)</f>
        <v>0.50571211132609384</v>
      </c>
      <c r="P4190" s="30">
        <f>IFERROR(SUM(K4190:O4190)*VLOOKUP($A4190,HeadJournal!$A$1:$L$890,COLUMN(HeadJournal!H$1),0),0)</f>
        <v>1501.4687257163364</v>
      </c>
      <c r="Q4190" s="29">
        <v>1501.47</v>
      </c>
      <c r="R4190" s="31">
        <v>45644</v>
      </c>
      <c r="S4190" s="31" t="s">
        <v>3121</v>
      </c>
      <c r="T4190" s="95" t="str">
        <f t="shared" si="327"/>
        <v>2024 12</v>
      </c>
      <c r="U4190" s="32">
        <f t="shared" si="324"/>
        <v>1.2742836636334687E-3</v>
      </c>
      <c r="V4190" s="22">
        <f t="shared" si="325"/>
        <v>8.4869144578787025E-7</v>
      </c>
      <c r="X4190" s="33"/>
      <c r="Y4190" s="33"/>
    </row>
    <row r="4191" spans="1:25" x14ac:dyDescent="0.2">
      <c r="A4191" s="93" t="s">
        <v>2737</v>
      </c>
      <c r="B4191" s="94" t="str">
        <f>IFERROR(VLOOKUP($A4191,HeadJournal!$A$1:$NTR$890,COLUMN(HeadJournal!B$1),0),"")</f>
        <v>720000515302</v>
      </c>
      <c r="C4191" s="94" t="str">
        <f>IFERROR(VLOOKUP($A4191,HeadJournal!$A$1:$NTR$890,COLUMN(HeadJournal!C$1),0),"")</f>
        <v>iHerb_OA CZN6870</v>
      </c>
      <c r="D4191" s="125" t="str">
        <f>IFERROR(VLOOKUP($A4191,HeadJournal!$A$1:$NTR$890,COLUMN(HeadJournal!D$1),0),"")</f>
        <v>Доставлен</v>
      </c>
      <c r="E4191" s="95">
        <f>IFERROR(VLOOKUP($A4191,HeadJournal!$A$1:$NTR$890,COLUMN(HeadJournal!G$1),0),"")</f>
        <v>45630</v>
      </c>
      <c r="F4191" s="95" t="str">
        <f t="shared" si="326"/>
        <v>2024 12</v>
      </c>
      <c r="G4191" s="97" t="s">
        <v>5</v>
      </c>
      <c r="H4191" s="161" t="s">
        <v>2722</v>
      </c>
      <c r="I4191" s="97" t="s">
        <v>2102</v>
      </c>
      <c r="J4191" s="97" t="s">
        <v>2723</v>
      </c>
      <c r="K4191" s="29">
        <v>11.97</v>
      </c>
      <c r="L4191" s="29">
        <v>-2.99</v>
      </c>
      <c r="M4191" s="30">
        <f>IFERROR(VLOOKUP($A4191,HeadJournal!$A$1:$J$890,COLUMN(HeadJournal!I$1),0)*($K4191+$L4191)/(SUMIF($A:$A,$A4191,$K:$K)+SUMIF($A:$A,$A4191,$L:$L)),0)</f>
        <v>-0.49892765560649643</v>
      </c>
      <c r="N4191" s="30">
        <f>IFERROR((VLOOKUP($A4191,HeadJournal!$A$1:$K$890,COLUMN(HeadJournal!K$1),0)-VLOOKUP($A4191,HeadJournal!$A$1:$K$890,COLUMN(HeadJournal!J$1),0))*($K4191+$L4191)/(SUMIF($A:$A,$A4191,$K:$K)+SUMIF($A:$A,$A4191,$L:$L)),0)</f>
        <v>2.9749042351973122E-15</v>
      </c>
      <c r="O4191" s="30">
        <f>IFERROR((VLOOKUP($A4191,HeadJournal!$A$1:$L$890,COLUMN(HeadJournal!L$1),0)*($K4191+$L4191)/(SUMIF($A:$A,$A4191,$K:$K)+SUMIF($A:$A,$A4191,$L:$L)))/VLOOKUP($A4191,HeadJournal!$A$1:$L$890,COLUMN(HeadJournal!H$1),0),0)</f>
        <v>0.40776774691306</v>
      </c>
      <c r="P4191" s="30">
        <f>IFERROR(SUM(K4191:O4191)*VLOOKUP($A4191,HeadJournal!$A$1:$L$890,COLUMN(HeadJournal!H$1),0),0)</f>
        <v>1088.7271334214008</v>
      </c>
      <c r="Q4191" s="29">
        <v>1088.73</v>
      </c>
      <c r="R4191" s="31">
        <v>45631</v>
      </c>
      <c r="S4191" s="31" t="s">
        <v>3121</v>
      </c>
      <c r="T4191" s="95" t="str">
        <f t="shared" si="327"/>
        <v>2024 12</v>
      </c>
      <c r="U4191" s="32">
        <f t="shared" si="324"/>
        <v>2.8665785991961457E-3</v>
      </c>
      <c r="V4191" s="22">
        <f t="shared" si="325"/>
        <v>2.6329633121089974E-6</v>
      </c>
      <c r="X4191" s="33"/>
      <c r="Y4191" s="33"/>
    </row>
    <row r="4192" spans="1:25" x14ac:dyDescent="0.2">
      <c r="A4192" s="93" t="s">
        <v>2737</v>
      </c>
      <c r="B4192" s="94" t="str">
        <f>IFERROR(VLOOKUP($A4192,HeadJournal!$A$1:$NTR$890,COLUMN(HeadJournal!B$1),0),"")</f>
        <v>720000515302</v>
      </c>
      <c r="C4192" s="94" t="str">
        <f>IFERROR(VLOOKUP($A4192,HeadJournal!$A$1:$NTR$890,COLUMN(HeadJournal!C$1),0),"")</f>
        <v>iHerb_OA CZN6870</v>
      </c>
      <c r="D4192" s="125" t="str">
        <f>IFERROR(VLOOKUP($A4192,HeadJournal!$A$1:$NTR$890,COLUMN(HeadJournal!D$1),0),"")</f>
        <v>Доставлен</v>
      </c>
      <c r="E4192" s="95">
        <f>IFERROR(VLOOKUP($A4192,HeadJournal!$A$1:$NTR$890,COLUMN(HeadJournal!G$1),0),"")</f>
        <v>45630</v>
      </c>
      <c r="F4192" s="95" t="str">
        <f t="shared" si="326"/>
        <v>2024 12</v>
      </c>
      <c r="G4192" s="97" t="s">
        <v>7</v>
      </c>
      <c r="H4192" s="161" t="s">
        <v>2724</v>
      </c>
      <c r="I4192" s="97" t="s">
        <v>2725</v>
      </c>
      <c r="J4192" s="97" t="s">
        <v>2726</v>
      </c>
      <c r="K4192" s="29">
        <v>25.7</v>
      </c>
      <c r="L4192" s="29">
        <v>-6.43</v>
      </c>
      <c r="M4192" s="30">
        <f>IFERROR(VLOOKUP($A4192,HeadJournal!$A$1:$J$890,COLUMN(HeadJournal!I$1),0)*($K4192+$L4192)/(SUMIF($A:$A,$A4192,$K:$K)+SUMIF($A:$A,$A4192,$L:$L)),0)</f>
        <v>-1.0706387442691743</v>
      </c>
      <c r="N4192" s="30">
        <f>IFERROR((VLOOKUP($A4192,HeadJournal!$A$1:$K$890,COLUMN(HeadJournal!K$1),0)-VLOOKUP($A4192,HeadJournal!$A$1:$K$890,COLUMN(HeadJournal!J$1),0))*($K4192+$L4192)/(SUMIF($A:$A,$A4192,$K:$K)+SUMIF($A:$A,$A4192,$L:$L)),0)</f>
        <v>6.3837867051505795E-15</v>
      </c>
      <c r="O4192" s="30">
        <f>IFERROR((VLOOKUP($A4192,HeadJournal!$A$1:$L$890,COLUMN(HeadJournal!L$1),0)*($K4192+$L4192)/(SUMIF($A:$A,$A4192,$K:$K)+SUMIF($A:$A,$A4192,$L:$L)))/VLOOKUP($A4192,HeadJournal!$A$1:$L$890,COLUMN(HeadJournal!H$1),0),0)</f>
        <v>0.87502054376555305</v>
      </c>
      <c r="P4192" s="30">
        <f>IFERROR(SUM(K4192:O4192)*VLOOKUP($A4192,HeadJournal!$A$1:$L$890,COLUMN(HeadJournal!H$1),0),0)</f>
        <v>2336.2774900924719</v>
      </c>
      <c r="Q4192" s="29">
        <v>3600</v>
      </c>
      <c r="R4192" s="31">
        <v>45675</v>
      </c>
      <c r="S4192" s="31" t="s">
        <v>3121</v>
      </c>
      <c r="T4192" s="95" t="str">
        <f t="shared" si="327"/>
        <v>2025 01</v>
      </c>
      <c r="U4192" s="32">
        <f t="shared" si="324"/>
        <v>1263.7225099075281</v>
      </c>
      <c r="V4192" s="22">
        <f t="shared" si="325"/>
        <v>0.54091284758194924</v>
      </c>
      <c r="X4192" s="33"/>
      <c r="Y4192" s="33"/>
    </row>
    <row r="4193" spans="1:25" x14ac:dyDescent="0.2">
      <c r="A4193" s="93" t="s">
        <v>2737</v>
      </c>
      <c r="B4193" s="94" t="str">
        <f>IFERROR(VLOOKUP($A4193,HeadJournal!$A$1:$NTR$890,COLUMN(HeadJournal!B$1),0),"")</f>
        <v>720000515302</v>
      </c>
      <c r="C4193" s="94" t="str">
        <f>IFERROR(VLOOKUP($A4193,HeadJournal!$A$1:$NTR$890,COLUMN(HeadJournal!C$1),0),"")</f>
        <v>iHerb_OA CZN6870</v>
      </c>
      <c r="D4193" s="125" t="str">
        <f>IFERROR(VLOOKUP($A4193,HeadJournal!$A$1:$NTR$890,COLUMN(HeadJournal!D$1),0),"")</f>
        <v>Доставлен</v>
      </c>
      <c r="E4193" s="95">
        <f>IFERROR(VLOOKUP($A4193,HeadJournal!$A$1:$NTR$890,COLUMN(HeadJournal!G$1),0),"")</f>
        <v>45630</v>
      </c>
      <c r="F4193" s="95" t="str">
        <f t="shared" si="326"/>
        <v>2024 12</v>
      </c>
      <c r="G4193" s="97" t="s">
        <v>5</v>
      </c>
      <c r="H4193" s="161" t="s">
        <v>2727</v>
      </c>
      <c r="I4193" s="97" t="s">
        <v>2221</v>
      </c>
      <c r="J4193" s="97" t="s">
        <v>2728</v>
      </c>
      <c r="K4193" s="29">
        <v>17.309999999999999</v>
      </c>
      <c r="L4193" s="29">
        <v>-4.33</v>
      </c>
      <c r="M4193" s="30">
        <f>IFERROR(VLOOKUP($A4193,HeadJournal!$A$1:$J$890,COLUMN(HeadJournal!I$1),0)*($K4193+$L4193)/(SUMIF($A:$A,$A4193,$K:$K)+SUMIF($A:$A,$A4193,$L:$L)),0)</f>
        <v>-0.7211671458543788</v>
      </c>
      <c r="N4193" s="30">
        <f>IFERROR((VLOOKUP($A4193,HeadJournal!$A$1:$K$890,COLUMN(HeadJournal!K$1),0)-VLOOKUP($A4193,HeadJournal!$A$1:$K$890,COLUMN(HeadJournal!J$1),0))*($K4193+$L4193)/(SUMIF($A:$A,$A4193,$K:$K)+SUMIF($A:$A,$A4193,$L:$L)),0)</f>
        <v>4.3000286161315263E-15</v>
      </c>
      <c r="O4193" s="30">
        <f>IFERROR((VLOOKUP($A4193,HeadJournal!$A$1:$L$890,COLUMN(HeadJournal!L$1),0)*($K4193+$L4193)/(SUMIF($A:$A,$A4193,$K:$K)+SUMIF($A:$A,$A4193,$L:$L)))/VLOOKUP($A4193,HeadJournal!$A$1:$L$890,COLUMN(HeadJournal!H$1),0),0)</f>
        <v>0.58940148718613783</v>
      </c>
      <c r="P4193" s="30">
        <f>IFERROR(SUM(K4193:O4193)*VLOOKUP($A4193,HeadJournal!$A$1:$L$890,COLUMN(HeadJournal!H$1),0),0)</f>
        <v>1573.6835402906215</v>
      </c>
      <c r="Q4193" s="29">
        <v>2400</v>
      </c>
      <c r="R4193" s="31">
        <v>45685</v>
      </c>
      <c r="S4193" s="31" t="s">
        <v>3121</v>
      </c>
      <c r="T4193" s="95" t="str">
        <f t="shared" si="327"/>
        <v>2025 01</v>
      </c>
      <c r="U4193" s="32">
        <f t="shared" si="324"/>
        <v>826.31645970937848</v>
      </c>
      <c r="V4193" s="22">
        <f t="shared" si="325"/>
        <v>0.52508426157699895</v>
      </c>
      <c r="X4193" s="33"/>
      <c r="Y4193" s="33"/>
    </row>
    <row r="4194" spans="1:25" x14ac:dyDescent="0.2">
      <c r="A4194" s="93" t="s">
        <v>2737</v>
      </c>
      <c r="B4194" s="94" t="str">
        <f>IFERROR(VLOOKUP($A4194,HeadJournal!$A$1:$NTR$890,COLUMN(HeadJournal!B$1),0),"")</f>
        <v>720000515302</v>
      </c>
      <c r="C4194" s="94" t="str">
        <f>IFERROR(VLOOKUP($A4194,HeadJournal!$A$1:$NTR$890,COLUMN(HeadJournal!C$1),0),"")</f>
        <v>iHerb_OA CZN6870</v>
      </c>
      <c r="D4194" s="125" t="str">
        <f>IFERROR(VLOOKUP($A4194,HeadJournal!$A$1:$NTR$890,COLUMN(HeadJournal!D$1),0),"")</f>
        <v>Доставлен</v>
      </c>
      <c r="E4194" s="95">
        <f>IFERROR(VLOOKUP($A4194,HeadJournal!$A$1:$NTR$890,COLUMN(HeadJournal!G$1),0),"")</f>
        <v>45630</v>
      </c>
      <c r="F4194" s="95" t="str">
        <f t="shared" si="326"/>
        <v>2024 12</v>
      </c>
      <c r="G4194" s="97" t="s">
        <v>5</v>
      </c>
      <c r="H4194" s="161" t="s">
        <v>2727</v>
      </c>
      <c r="I4194" s="97" t="s">
        <v>2221</v>
      </c>
      <c r="J4194" s="97" t="s">
        <v>2728</v>
      </c>
      <c r="K4194" s="29">
        <v>17.309999999999999</v>
      </c>
      <c r="L4194" s="29">
        <v>-4.33</v>
      </c>
      <c r="M4194" s="30">
        <f>IFERROR(VLOOKUP($A4194,HeadJournal!$A$1:$J$890,COLUMN(HeadJournal!I$1),0)*($K4194+$L4194)/(SUMIF($A:$A,$A4194,$K:$K)+SUMIF($A:$A,$A4194,$L:$L)),0)</f>
        <v>-0.7211671458543788</v>
      </c>
      <c r="N4194" s="30">
        <f>IFERROR((VLOOKUP($A4194,HeadJournal!$A$1:$K$890,COLUMN(HeadJournal!K$1),0)-VLOOKUP($A4194,HeadJournal!$A$1:$K$890,COLUMN(HeadJournal!J$1),0))*($K4194+$L4194)/(SUMIF($A:$A,$A4194,$K:$K)+SUMIF($A:$A,$A4194,$L:$L)),0)</f>
        <v>4.3000286161315263E-15</v>
      </c>
      <c r="O4194" s="30">
        <f>IFERROR((VLOOKUP($A4194,HeadJournal!$A$1:$L$890,COLUMN(HeadJournal!L$1),0)*($K4194+$L4194)/(SUMIF($A:$A,$A4194,$K:$K)+SUMIF($A:$A,$A4194,$L:$L)))/VLOOKUP($A4194,HeadJournal!$A$1:$L$890,COLUMN(HeadJournal!H$1),0),0)</f>
        <v>0.58940148718613783</v>
      </c>
      <c r="P4194" s="30">
        <f>IFERROR(SUM(K4194:O4194)*VLOOKUP($A4194,HeadJournal!$A$1:$L$890,COLUMN(HeadJournal!H$1),0),0)</f>
        <v>1573.6835402906215</v>
      </c>
      <c r="Q4194" s="29">
        <v>2300</v>
      </c>
      <c r="R4194" s="31">
        <v>45899</v>
      </c>
      <c r="S4194" s="31" t="s">
        <v>3475</v>
      </c>
      <c r="T4194" s="95" t="str">
        <f t="shared" si="327"/>
        <v>2025 08</v>
      </c>
      <c r="U4194" s="32">
        <f t="shared" si="324"/>
        <v>726.31645970937848</v>
      </c>
      <c r="V4194" s="22">
        <f t="shared" si="325"/>
        <v>0.46153908401129068</v>
      </c>
      <c r="X4194" s="33"/>
      <c r="Y4194" s="33"/>
    </row>
    <row r="4195" spans="1:25" x14ac:dyDescent="0.2">
      <c r="A4195" s="93" t="s">
        <v>2737</v>
      </c>
      <c r="B4195" s="94" t="str">
        <f>IFERROR(VLOOKUP($A4195,HeadJournal!$A$1:$NTR$890,COLUMN(HeadJournal!B$1),0),"")</f>
        <v>720000515302</v>
      </c>
      <c r="C4195" s="94" t="str">
        <f>IFERROR(VLOOKUP($A4195,HeadJournal!$A$1:$NTR$890,COLUMN(HeadJournal!C$1),0),"")</f>
        <v>iHerb_OA CZN6870</v>
      </c>
      <c r="D4195" s="125" t="str">
        <f>IFERROR(VLOOKUP($A4195,HeadJournal!$A$1:$NTR$890,COLUMN(HeadJournal!D$1),0),"")</f>
        <v>Доставлен</v>
      </c>
      <c r="E4195" s="95">
        <f>IFERROR(VLOOKUP($A4195,HeadJournal!$A$1:$NTR$890,COLUMN(HeadJournal!G$1),0),"")</f>
        <v>45630</v>
      </c>
      <c r="F4195" s="95" t="str">
        <f t="shared" si="326"/>
        <v>2024 12</v>
      </c>
      <c r="G4195" s="97" t="s">
        <v>5</v>
      </c>
      <c r="H4195" s="161" t="s">
        <v>2729</v>
      </c>
      <c r="I4195" s="97" t="s">
        <v>2005</v>
      </c>
      <c r="J4195" s="97" t="s">
        <v>2730</v>
      </c>
      <c r="K4195" s="29">
        <v>31.65</v>
      </c>
      <c r="L4195" s="29">
        <v>-7.91</v>
      </c>
      <c r="M4195" s="30">
        <f>IFERROR(VLOOKUP($A4195,HeadJournal!$A$1:$J$890,COLUMN(HeadJournal!I$1),0)*($K4195+$L4195)/(SUMIF($A:$A,$A4195,$K:$K)+SUMIF($A:$A,$A4195,$L:$L)),0)</f>
        <v>-1.318991374621183</v>
      </c>
      <c r="N4195" s="30">
        <f>IFERROR((VLOOKUP($A4195,HeadJournal!$A$1:$K$890,COLUMN(HeadJournal!K$1),0)-VLOOKUP($A4195,HeadJournal!$A$1:$K$890,COLUMN(HeadJournal!J$1),0))*($K4195+$L4195)/(SUMIF($A:$A,$A4195,$K:$K)+SUMIF($A:$A,$A4195,$L:$L)),0)</f>
        <v>7.864613200844564E-15</v>
      </c>
      <c r="O4195" s="30">
        <f>IFERROR((VLOOKUP($A4195,HeadJournal!$A$1:$L$890,COLUMN(HeadJournal!L$1),0)*($K4195+$L4195)/(SUMIF($A:$A,$A4195,$K:$K)+SUMIF($A:$A,$A4195,$L:$L)))/VLOOKUP($A4195,HeadJournal!$A$1:$L$890,COLUMN(HeadJournal!H$1),0),0)</f>
        <v>1.0779962485207177</v>
      </c>
      <c r="P4195" s="30">
        <f>IFERROR(SUM(K4195:O4195)*VLOOKUP($A4195,HeadJournal!$A$1:$L$890,COLUMN(HeadJournal!H$1),0),0)</f>
        <v>2878.2162747688258</v>
      </c>
      <c r="Q4195" s="29">
        <v>4300</v>
      </c>
      <c r="R4195" s="31">
        <v>45692</v>
      </c>
      <c r="S4195" s="31" t="s">
        <v>3121</v>
      </c>
      <c r="T4195" s="95" t="str">
        <f t="shared" si="327"/>
        <v>2025 02</v>
      </c>
      <c r="U4195" s="32">
        <f t="shared" si="324"/>
        <v>1421.7837252311742</v>
      </c>
      <c r="V4195" s="22">
        <f t="shared" si="325"/>
        <v>0.49398085115941121</v>
      </c>
      <c r="X4195" s="33"/>
      <c r="Y4195" s="33"/>
    </row>
    <row r="4196" spans="1:25" x14ac:dyDescent="0.2">
      <c r="A4196" s="93" t="s">
        <v>2737</v>
      </c>
      <c r="B4196" s="94" t="str">
        <f>IFERROR(VLOOKUP($A4196,HeadJournal!$A$1:$NTR$890,COLUMN(HeadJournal!B$1),0),"")</f>
        <v>720000515302</v>
      </c>
      <c r="C4196" s="94" t="str">
        <f>IFERROR(VLOOKUP($A4196,HeadJournal!$A$1:$NTR$890,COLUMN(HeadJournal!C$1),0),"")</f>
        <v>iHerb_OA CZN6870</v>
      </c>
      <c r="D4196" s="125" t="str">
        <f>IFERROR(VLOOKUP($A4196,HeadJournal!$A$1:$NTR$890,COLUMN(HeadJournal!D$1),0),"")</f>
        <v>Доставлен</v>
      </c>
      <c r="E4196" s="95">
        <f>IFERROR(VLOOKUP($A4196,HeadJournal!$A$1:$NTR$890,COLUMN(HeadJournal!G$1),0),"")</f>
        <v>45630</v>
      </c>
      <c r="F4196" s="95" t="str">
        <f t="shared" si="326"/>
        <v>2024 12</v>
      </c>
      <c r="G4196" s="97" t="s">
        <v>5</v>
      </c>
      <c r="H4196" s="161" t="s">
        <v>2731</v>
      </c>
      <c r="I4196" s="97" t="s">
        <v>2005</v>
      </c>
      <c r="J4196" s="97" t="s">
        <v>2732</v>
      </c>
      <c r="K4196" s="29">
        <v>21.23</v>
      </c>
      <c r="L4196" s="29">
        <v>-5.31</v>
      </c>
      <c r="M4196" s="30">
        <f>IFERROR(VLOOKUP($A4196,HeadJournal!$A$1:$J$890,COLUMN(HeadJournal!I$1),0)*($K4196+$L4196)/(SUMIF($A:$A,$A4196,$K:$K)+SUMIF($A:$A,$A4196,$L:$L)),0)</f>
        <v>-0.88451317118657269</v>
      </c>
      <c r="N4196" s="30">
        <f>IFERROR((VLOOKUP($A4196,HeadJournal!$A$1:$K$890,COLUMN(HeadJournal!K$1),0)-VLOOKUP($A4196,HeadJournal!$A$1:$K$890,COLUMN(HeadJournal!J$1),0))*($K4196+$L4196)/(SUMIF($A:$A,$A4196,$K:$K)+SUMIF($A:$A,$A4196,$L:$L)),0)</f>
        <v>5.273995036118175E-15</v>
      </c>
      <c r="O4196" s="30">
        <f>IFERROR((VLOOKUP($A4196,HeadJournal!$A$1:$L$890,COLUMN(HeadJournal!L$1),0)*($K4196+$L4196)/(SUMIF($A:$A,$A4196,$K:$K)+SUMIF($A:$A,$A4196,$L:$L)))/VLOOKUP($A4196,HeadJournal!$A$1:$L$890,COLUMN(HeadJournal!H$1),0),0)</f>
        <v>0.72290228628685038</v>
      </c>
      <c r="P4196" s="30">
        <f>IFERROR(SUM(K4196:O4196)*VLOOKUP($A4196,HeadJournal!$A$1:$L$890,COLUMN(HeadJournal!H$1),0),0)</f>
        <v>1930.1264993394993</v>
      </c>
      <c r="Q4196" s="29">
        <v>2900</v>
      </c>
      <c r="R4196" s="31">
        <v>45934</v>
      </c>
      <c r="S4196" s="31"/>
      <c r="T4196" s="95" t="str">
        <f t="shared" si="327"/>
        <v>2025 10</v>
      </c>
      <c r="U4196" s="32">
        <f t="shared" si="324"/>
        <v>969.87350066050067</v>
      </c>
      <c r="V4196" s="22">
        <f t="shared" si="325"/>
        <v>0.50249219467863748</v>
      </c>
      <c r="X4196" s="33"/>
      <c r="Y4196" s="33"/>
    </row>
    <row r="4197" spans="1:25" x14ac:dyDescent="0.2">
      <c r="A4197" s="93" t="s">
        <v>2737</v>
      </c>
      <c r="B4197" s="94" t="str">
        <f>IFERROR(VLOOKUP($A4197,HeadJournal!$A$1:$NTR$890,COLUMN(HeadJournal!B$1),0),"")</f>
        <v>720000515302</v>
      </c>
      <c r="C4197" s="94" t="str">
        <f>IFERROR(VLOOKUP($A4197,HeadJournal!$A$1:$NTR$890,COLUMN(HeadJournal!C$1),0),"")</f>
        <v>iHerb_OA CZN6870</v>
      </c>
      <c r="D4197" s="125" t="str">
        <f>IFERROR(VLOOKUP($A4197,HeadJournal!$A$1:$NTR$890,COLUMN(HeadJournal!D$1),0),"")</f>
        <v>Доставлен</v>
      </c>
      <c r="E4197" s="95">
        <f>IFERROR(VLOOKUP($A4197,HeadJournal!$A$1:$NTR$890,COLUMN(HeadJournal!G$1),0),"")</f>
        <v>45630</v>
      </c>
      <c r="F4197" s="95" t="str">
        <f t="shared" si="326"/>
        <v>2024 12</v>
      </c>
      <c r="G4197" s="97" t="s">
        <v>5</v>
      </c>
      <c r="H4197" s="161" t="s">
        <v>2733</v>
      </c>
      <c r="I4197" s="97" t="s">
        <v>2569</v>
      </c>
      <c r="J4197" s="97" t="s">
        <v>2734</v>
      </c>
      <c r="K4197" s="29">
        <v>19.68</v>
      </c>
      <c r="L4197" s="29">
        <v>-9.84</v>
      </c>
      <c r="M4197" s="30">
        <f>IFERROR(VLOOKUP($A4197,HeadJournal!$A$1:$J$890,COLUMN(HeadJournal!I$1),0)*($K4197+$L4197)/(SUMIF($A:$A,$A4197,$K:$K)+SUMIF($A:$A,$A4197,$L:$L)),0)</f>
        <v>-0.54670914600979115</v>
      </c>
      <c r="N4197" s="30">
        <f>IFERROR((VLOOKUP($A4197,HeadJournal!$A$1:$K$890,COLUMN(HeadJournal!K$1),0)-VLOOKUP($A4197,HeadJournal!$A$1:$K$890,COLUMN(HeadJournal!J$1),0))*($K4197+$L4197)/(SUMIF($A:$A,$A4197,$K:$K)+SUMIF($A:$A,$A4197,$L:$L)),0)</f>
        <v>3.259805977098168E-15</v>
      </c>
      <c r="O4197" s="30">
        <f>IFERROR((VLOOKUP($A4197,HeadJournal!$A$1:$L$890,COLUMN(HeadJournal!L$1),0)*($K4197+$L4197)/(SUMIF($A:$A,$A4197,$K:$K)+SUMIF($A:$A,$A4197,$L:$L)))/VLOOKUP($A4197,HeadJournal!$A$1:$L$890,COLUMN(HeadJournal!H$1),0),0)</f>
        <v>0.44681900107177175</v>
      </c>
      <c r="P4197" s="30">
        <f>IFERROR(SUM(K4197:O4197)*VLOOKUP($A4197,HeadJournal!$A$1:$L$890,COLUMN(HeadJournal!H$1),0),0)</f>
        <v>1192.9927608982834</v>
      </c>
      <c r="Q4197" s="29">
        <v>2500</v>
      </c>
      <c r="R4197" s="31">
        <v>45709</v>
      </c>
      <c r="S4197" s="31" t="s">
        <v>3121</v>
      </c>
      <c r="T4197" s="95" t="str">
        <f t="shared" si="327"/>
        <v>2025 02</v>
      </c>
      <c r="U4197" s="32">
        <f t="shared" si="324"/>
        <v>1307.0072391017166</v>
      </c>
      <c r="V4197" s="22">
        <f t="shared" si="325"/>
        <v>1.0955701341536925</v>
      </c>
      <c r="X4197" s="33"/>
      <c r="Y4197" s="33"/>
    </row>
    <row r="4198" spans="1:25" x14ac:dyDescent="0.2">
      <c r="A4198" s="93" t="s">
        <v>2737</v>
      </c>
      <c r="B4198" s="94" t="str">
        <f>IFERROR(VLOOKUP($A4198,HeadJournal!$A$1:$NTR$890,COLUMN(HeadJournal!B$1),0),"")</f>
        <v>720000515302</v>
      </c>
      <c r="C4198" s="94" t="str">
        <f>IFERROR(VLOOKUP($A4198,HeadJournal!$A$1:$NTR$890,COLUMN(HeadJournal!C$1),0),"")</f>
        <v>iHerb_OA CZN6870</v>
      </c>
      <c r="D4198" s="125" t="str">
        <f>IFERROR(VLOOKUP($A4198,HeadJournal!$A$1:$NTR$890,COLUMN(HeadJournal!D$1),0),"")</f>
        <v>Доставлен</v>
      </c>
      <c r="E4198" s="95">
        <f>IFERROR(VLOOKUP($A4198,HeadJournal!$A$1:$NTR$890,COLUMN(HeadJournal!G$1),0),"")</f>
        <v>45630</v>
      </c>
      <c r="F4198" s="95" t="str">
        <f t="shared" si="326"/>
        <v>2024 12</v>
      </c>
      <c r="G4198" s="97" t="s">
        <v>5</v>
      </c>
      <c r="H4198" s="161" t="s">
        <v>2085</v>
      </c>
      <c r="I4198" s="97" t="s">
        <v>2005</v>
      </c>
      <c r="J4198" s="97" t="s">
        <v>2086</v>
      </c>
      <c r="K4198" s="29">
        <v>17.010000000000002</v>
      </c>
      <c r="L4198" s="29">
        <v>-4.25</v>
      </c>
      <c r="M4198" s="30">
        <f>IFERROR(VLOOKUP($A4198,HeadJournal!$A$1:$J$890,COLUMN(HeadJournal!I$1),0)*($K4198+$L4198)/(SUMIF($A:$A,$A4198,$K:$K)+SUMIF($A:$A,$A4198,$L:$L)),0)</f>
        <v>-0.70894397389074548</v>
      </c>
      <c r="N4198" s="30">
        <f>IFERROR((VLOOKUP($A4198,HeadJournal!$A$1:$K$890,COLUMN(HeadJournal!K$1),0)-VLOOKUP($A4198,HeadJournal!$A$1:$K$890,COLUMN(HeadJournal!J$1),0))*($K4198+$L4198)/(SUMIF($A:$A,$A4198,$K:$K)+SUMIF($A:$A,$A4198,$L:$L)),0)</f>
        <v>4.2271467751801449E-15</v>
      </c>
      <c r="O4198" s="30">
        <f>IFERROR((VLOOKUP($A4198,HeadJournal!$A$1:$L$890,COLUMN(HeadJournal!L$1),0)*($K4198+$L4198)/(SUMIF($A:$A,$A4198,$K:$K)+SUMIF($A:$A,$A4198,$L:$L)))/VLOOKUP($A4198,HeadJournal!$A$1:$L$890,COLUMN(HeadJournal!H$1),0),0)</f>
        <v>0.57941163147111874</v>
      </c>
      <c r="P4198" s="30">
        <f>IFERROR(SUM(K4198:O4198)*VLOOKUP($A4198,HeadJournal!$A$1:$L$890,COLUMN(HeadJournal!H$1),0),0)</f>
        <v>1547.0109379128148</v>
      </c>
      <c r="Q4198" s="29">
        <v>2500</v>
      </c>
      <c r="R4198" s="31">
        <v>45839</v>
      </c>
      <c r="S4198" s="31" t="s">
        <v>3466</v>
      </c>
      <c r="T4198" s="95" t="str">
        <f t="shared" si="327"/>
        <v>2025 07</v>
      </c>
      <c r="U4198" s="32">
        <f t="shared" si="324"/>
        <v>952.98906208718518</v>
      </c>
      <c r="V4198" s="22">
        <f t="shared" si="325"/>
        <v>0.61601960188654659</v>
      </c>
      <c r="X4198" s="33"/>
      <c r="Y4198" s="33"/>
    </row>
    <row r="4199" spans="1:25" x14ac:dyDescent="0.2">
      <c r="A4199" s="93" t="s">
        <v>2737</v>
      </c>
      <c r="B4199" s="94" t="str">
        <f>IFERROR(VLOOKUP($A4199,HeadJournal!$A$1:$NTR$890,COLUMN(HeadJournal!B$1),0),"")</f>
        <v>720000515302</v>
      </c>
      <c r="C4199" s="94" t="str">
        <f>IFERROR(VLOOKUP($A4199,HeadJournal!$A$1:$NTR$890,COLUMN(HeadJournal!C$1),0),"")</f>
        <v>iHerb_OA CZN6870</v>
      </c>
      <c r="D4199" s="125" t="str">
        <f>IFERROR(VLOOKUP($A4199,HeadJournal!$A$1:$NTR$890,COLUMN(HeadJournal!D$1),0),"")</f>
        <v>Доставлен</v>
      </c>
      <c r="E4199" s="95">
        <f>IFERROR(VLOOKUP($A4199,HeadJournal!$A$1:$NTR$890,COLUMN(HeadJournal!G$1),0),"")</f>
        <v>45630</v>
      </c>
      <c r="F4199" s="95" t="str">
        <f t="shared" si="326"/>
        <v>2024 12</v>
      </c>
      <c r="G4199" s="97" t="s">
        <v>5</v>
      </c>
      <c r="H4199" s="161" t="s">
        <v>2735</v>
      </c>
      <c r="I4199" s="97" t="s">
        <v>2009</v>
      </c>
      <c r="J4199" s="97" t="s">
        <v>2736</v>
      </c>
      <c r="K4199" s="29">
        <v>16.29</v>
      </c>
      <c r="L4199" s="29">
        <v>-4.07</v>
      </c>
      <c r="M4199" s="30">
        <f>IFERROR(VLOOKUP($A4199,HeadJournal!$A$1:$J$890,COLUMN(HeadJournal!I$1),0)*($K4199+$L4199)/(SUMIF($A:$A,$A4199,$K:$K)+SUMIF($A:$A,$A4199,$L:$L)),0)</f>
        <v>-0.67894164270728119</v>
      </c>
      <c r="N4199" s="30">
        <f>IFERROR((VLOOKUP($A4199,HeadJournal!$A$1:$K$890,COLUMN(HeadJournal!K$1),0)-VLOOKUP($A4199,HeadJournal!$A$1:$K$890,COLUMN(HeadJournal!J$1),0))*($K4199+$L4199)/(SUMIF($A:$A,$A4199,$K:$K)+SUMIF($A:$A,$A4199,$L:$L)),0)</f>
        <v>4.0482549837540251E-15</v>
      </c>
      <c r="O4199" s="30">
        <f>IFERROR((VLOOKUP($A4199,HeadJournal!$A$1:$L$890,COLUMN(HeadJournal!L$1),0)*($K4199+$L4199)/(SUMIF($A:$A,$A4199,$K:$K)+SUMIF($A:$A,$A4199,$L:$L)))/VLOOKUP($A4199,HeadJournal!$A$1:$L$890,COLUMN(HeadJournal!H$1),0),0)</f>
        <v>0.55489107653425307</v>
      </c>
      <c r="P4199" s="30">
        <f>IFERROR(SUM(K4199:O4199)*VLOOKUP($A4199,HeadJournal!$A$1:$L$890,COLUMN(HeadJournal!H$1),0),0)</f>
        <v>1481.5418229854695</v>
      </c>
      <c r="Q4199" s="29">
        <v>2500</v>
      </c>
      <c r="R4199" s="31">
        <v>45773</v>
      </c>
      <c r="S4199" s="31" t="s">
        <v>3235</v>
      </c>
      <c r="T4199" s="95" t="str">
        <f t="shared" si="327"/>
        <v>2025 04</v>
      </c>
      <c r="U4199" s="32">
        <f t="shared" si="324"/>
        <v>1018.4581770145305</v>
      </c>
      <c r="V4199" s="22">
        <f t="shared" si="325"/>
        <v>0.68743127005501969</v>
      </c>
      <c r="X4199" s="33"/>
      <c r="Y4199" s="33"/>
    </row>
    <row r="4200" spans="1:25" x14ac:dyDescent="0.2">
      <c r="A4200" s="93" t="s">
        <v>2757</v>
      </c>
      <c r="B4200" s="94" t="str">
        <f>IFERROR(VLOOKUP($A4200,HeadJournal!$A$1:$NTR$890,COLUMN(HeadJournal!B$1),0),"")</f>
        <v>722500331942</v>
      </c>
      <c r="C4200" s="94" t="str">
        <f>IFERROR(VLOOKUP($A4200,HeadJournal!$A$1:$NTR$890,COLUMN(HeadJournal!C$1),0),"")</f>
        <v>iHerb_OA CZN6870</v>
      </c>
      <c r="D4200" s="125" t="str">
        <f>IFERROR(VLOOKUP($A4200,HeadJournal!$A$1:$NTR$890,COLUMN(HeadJournal!D$1),0),"")</f>
        <v>Доставлен</v>
      </c>
      <c r="E4200" s="95">
        <f>IFERROR(VLOOKUP($A4200,HeadJournal!$A$1:$NTR$890,COLUMN(HeadJournal!G$1),0),"")</f>
        <v>45637</v>
      </c>
      <c r="F4200" s="95" t="str">
        <f t="shared" si="326"/>
        <v>2024 12</v>
      </c>
      <c r="G4200" s="97" t="s">
        <v>5</v>
      </c>
      <c r="H4200" s="161" t="s">
        <v>2739</v>
      </c>
      <c r="I4200" s="97" t="s">
        <v>2052</v>
      </c>
      <c r="J4200" s="97" t="s">
        <v>2740</v>
      </c>
      <c r="K4200" s="29">
        <v>36.799999999999997</v>
      </c>
      <c r="L4200" s="29">
        <v>-11.04</v>
      </c>
      <c r="M4200" s="30">
        <f>IFERROR(VLOOKUP($A4200,HeadJournal!$A$1:$J$890,COLUMN(HeadJournal!I$1),0)*($K4200+$L4200)/(SUMIF($A:$A,$A4200,$K:$K)+SUMIF($A:$A,$A4200,$L:$L)),0)</f>
        <v>-2.2050998081609374</v>
      </c>
      <c r="N4200" s="30">
        <f>IFERROR((VLOOKUP($A4200,HeadJournal!$A$1:$K$890,COLUMN(HeadJournal!K$1),0)-VLOOKUP($A4200,HeadJournal!$A$1:$K$890,COLUMN(HeadJournal!J$1),0))*($K4200+$L4200)/(SUMIF($A:$A,$A4200,$K:$K)+SUMIF($A:$A,$A4200,$L:$L)),0)</f>
        <v>0</v>
      </c>
      <c r="O4200" s="30">
        <f>IFERROR((VLOOKUP($A4200,HeadJournal!$A$1:$L$890,COLUMN(HeadJournal!L$1),0)*($K4200+$L4200)/(SUMIF($A:$A,$A4200,$K:$K)+SUMIF($A:$A,$A4200,$L:$L)))/VLOOKUP($A4200,HeadJournal!$A$1:$L$890,COLUMN(HeadJournal!H$1),0),0)</f>
        <v>0.82651446805175288</v>
      </c>
      <c r="P4200" s="30">
        <f>IFERROR(SUM(K4200:O4200)*VLOOKUP($A4200,HeadJournal!$A$1:$L$890,COLUMN(HeadJournal!H$1),0),0)</f>
        <v>2819.9727235962041</v>
      </c>
      <c r="Q4200" s="29">
        <v>4300</v>
      </c>
      <c r="R4200" s="31">
        <v>45675</v>
      </c>
      <c r="S4200" s="31" t="s">
        <v>3121</v>
      </c>
      <c r="T4200" s="95" t="str">
        <f t="shared" si="327"/>
        <v>2025 01</v>
      </c>
      <c r="U4200" s="32">
        <f t="shared" si="324"/>
        <v>1480.0272764037959</v>
      </c>
      <c r="V4200" s="22">
        <f t="shared" si="325"/>
        <v>0.52483744400065446</v>
      </c>
      <c r="X4200" s="33"/>
      <c r="Y4200" s="33"/>
    </row>
    <row r="4201" spans="1:25" x14ac:dyDescent="0.2">
      <c r="A4201" s="93" t="s">
        <v>2757</v>
      </c>
      <c r="B4201" s="94" t="str">
        <f>IFERROR(VLOOKUP($A4201,HeadJournal!$A$1:$NTR$890,COLUMN(HeadJournal!B$1),0),"")</f>
        <v>722500331942</v>
      </c>
      <c r="C4201" s="94" t="str">
        <f>IFERROR(VLOOKUP($A4201,HeadJournal!$A$1:$NTR$890,COLUMN(HeadJournal!C$1),0),"")</f>
        <v>iHerb_OA CZN6870</v>
      </c>
      <c r="D4201" s="125" t="str">
        <f>IFERROR(VLOOKUP($A4201,HeadJournal!$A$1:$NTR$890,COLUMN(HeadJournal!D$1),0),"")</f>
        <v>Доставлен</v>
      </c>
      <c r="E4201" s="95">
        <f>IFERROR(VLOOKUP($A4201,HeadJournal!$A$1:$NTR$890,COLUMN(HeadJournal!G$1),0),"")</f>
        <v>45637</v>
      </c>
      <c r="F4201" s="95" t="str">
        <f t="shared" si="326"/>
        <v>2024 12</v>
      </c>
      <c r="G4201" s="97" t="s">
        <v>5</v>
      </c>
      <c r="H4201" s="161" t="s">
        <v>2741</v>
      </c>
      <c r="I4201" s="97" t="s">
        <v>2207</v>
      </c>
      <c r="J4201" s="97" t="s">
        <v>2742</v>
      </c>
      <c r="K4201" s="29">
        <v>35.26</v>
      </c>
      <c r="L4201" s="29">
        <v>-10.58</v>
      </c>
      <c r="M4201" s="30">
        <f>IFERROR(VLOOKUP($A4201,HeadJournal!$A$1:$J$890,COLUMN(HeadJournal!I$1),0)*($K4201+$L4201)/(SUMIF($A:$A,$A4201,$K:$K)+SUMIF($A:$A,$A4201,$L:$L)),0)</f>
        <v>-2.1126499714833828</v>
      </c>
      <c r="N4201" s="30">
        <f>IFERROR((VLOOKUP($A4201,HeadJournal!$A$1:$K$890,COLUMN(HeadJournal!K$1),0)-VLOOKUP($A4201,HeadJournal!$A$1:$K$890,COLUMN(HeadJournal!J$1),0))*($K4201+$L4201)/(SUMIF($A:$A,$A4201,$K:$K)+SUMIF($A:$A,$A4201,$L:$L)),0)</f>
        <v>0</v>
      </c>
      <c r="O4201" s="30">
        <f>IFERROR((VLOOKUP($A4201,HeadJournal!$A$1:$L$890,COLUMN(HeadJournal!L$1),0)*($K4201+$L4201)/(SUMIF($A:$A,$A4201,$K:$K)+SUMIF($A:$A,$A4201,$L:$L)))/VLOOKUP($A4201,HeadJournal!$A$1:$L$890,COLUMN(HeadJournal!H$1),0),0)</f>
        <v>0.79186246395641535</v>
      </c>
      <c r="P4201" s="30">
        <f>IFERROR(SUM(K4201:O4201)*VLOOKUP($A4201,HeadJournal!$A$1:$L$890,COLUMN(HeadJournal!H$1),0),0)</f>
        <v>2701.7440535075439</v>
      </c>
      <c r="Q4201" s="29">
        <v>4400</v>
      </c>
      <c r="R4201" s="31">
        <v>45691</v>
      </c>
      <c r="S4201" s="31" t="s">
        <v>3121</v>
      </c>
      <c r="T4201" s="95" t="str">
        <f t="shared" si="327"/>
        <v>2025 02</v>
      </c>
      <c r="U4201" s="32">
        <f t="shared" si="324"/>
        <v>1698.2559464924561</v>
      </c>
      <c r="V4201" s="22">
        <f t="shared" si="325"/>
        <v>0.6285776568241882</v>
      </c>
      <c r="X4201" s="33"/>
      <c r="Y4201" s="33"/>
    </row>
    <row r="4202" spans="1:25" x14ac:dyDescent="0.2">
      <c r="A4202" s="93" t="s">
        <v>2757</v>
      </c>
      <c r="B4202" s="94" t="str">
        <f>IFERROR(VLOOKUP($A4202,HeadJournal!$A$1:$NTR$890,COLUMN(HeadJournal!B$1),0),"")</f>
        <v>722500331942</v>
      </c>
      <c r="C4202" s="94" t="str">
        <f>IFERROR(VLOOKUP($A4202,HeadJournal!$A$1:$NTR$890,COLUMN(HeadJournal!C$1),0),"")</f>
        <v>iHerb_OA CZN6870</v>
      </c>
      <c r="D4202" s="125" t="str">
        <f>IFERROR(VLOOKUP($A4202,HeadJournal!$A$1:$NTR$890,COLUMN(HeadJournal!D$1),0),"")</f>
        <v>Доставлен</v>
      </c>
      <c r="E4202" s="95">
        <f>IFERROR(VLOOKUP($A4202,HeadJournal!$A$1:$NTR$890,COLUMN(HeadJournal!G$1),0),"")</f>
        <v>45637</v>
      </c>
      <c r="F4202" s="95" t="str">
        <f t="shared" si="326"/>
        <v>2024 12</v>
      </c>
      <c r="G4202" s="97" t="s">
        <v>5</v>
      </c>
      <c r="H4202" s="161" t="s">
        <v>2565</v>
      </c>
      <c r="I4202" s="97" t="s">
        <v>2052</v>
      </c>
      <c r="J4202" s="97" t="s">
        <v>3829</v>
      </c>
      <c r="K4202" s="29">
        <v>31.02</v>
      </c>
      <c r="L4202" s="29">
        <v>-9.31</v>
      </c>
      <c r="M4202" s="30">
        <f>IFERROR(VLOOKUP($A4202,HeadJournal!$A$1:$J$890,COLUMN(HeadJournal!I$1),0)*($K4202+$L4202)/(SUMIF($A:$A,$A4202,$K:$K)+SUMIF($A:$A,$A4202,$L:$L)),0)</f>
        <v>-1.858412920620107</v>
      </c>
      <c r="N4202" s="30">
        <f>IFERROR((VLOOKUP($A4202,HeadJournal!$A$1:$K$890,COLUMN(HeadJournal!K$1),0)-VLOOKUP($A4202,HeadJournal!$A$1:$K$890,COLUMN(HeadJournal!J$1),0))*($K4202+$L4202)/(SUMIF($A:$A,$A4202,$K:$K)+SUMIF($A:$A,$A4202,$L:$L)),0)</f>
        <v>0</v>
      </c>
      <c r="O4202" s="30">
        <f>IFERROR((VLOOKUP($A4202,HeadJournal!$A$1:$L$890,COLUMN(HeadJournal!L$1),0)*($K4202+$L4202)/(SUMIF($A:$A,$A4202,$K:$K)+SUMIF($A:$A,$A4202,$L:$L)))/VLOOKUP($A4202,HeadJournal!$A$1:$L$890,COLUMN(HeadJournal!H$1),0),0)</f>
        <v>0.69656945269423742</v>
      </c>
      <c r="P4202" s="30">
        <f>IFERROR(SUM(K4202:O4202)*VLOOKUP($A4202,HeadJournal!$A$1:$L$890,COLUMN(HeadJournal!H$1),0),0)</f>
        <v>2376.6152107637267</v>
      </c>
      <c r="Q4202" s="29">
        <v>3500</v>
      </c>
      <c r="R4202" s="31">
        <v>45790</v>
      </c>
      <c r="S4202" s="31" t="s">
        <v>3121</v>
      </c>
      <c r="T4202" s="95" t="str">
        <f t="shared" si="327"/>
        <v>2025 05</v>
      </c>
      <c r="U4202" s="32">
        <f t="shared" si="324"/>
        <v>1123.3847892362733</v>
      </c>
      <c r="V4202" s="22">
        <f t="shared" si="325"/>
        <v>0.47268265563076695</v>
      </c>
      <c r="X4202" s="33"/>
      <c r="Y4202" s="33"/>
    </row>
    <row r="4203" spans="1:25" x14ac:dyDescent="0.2">
      <c r="A4203" s="93" t="s">
        <v>2757</v>
      </c>
      <c r="B4203" s="94" t="str">
        <f>IFERROR(VLOOKUP($A4203,HeadJournal!$A$1:$NTR$890,COLUMN(HeadJournal!B$1),0),"")</f>
        <v>722500331942</v>
      </c>
      <c r="C4203" s="94" t="str">
        <f>IFERROR(VLOOKUP($A4203,HeadJournal!$A$1:$NTR$890,COLUMN(HeadJournal!C$1),0),"")</f>
        <v>iHerb_OA CZN6870</v>
      </c>
      <c r="D4203" s="125" t="str">
        <f>IFERROR(VLOOKUP($A4203,HeadJournal!$A$1:$NTR$890,COLUMN(HeadJournal!D$1),0),"")</f>
        <v>Доставлен</v>
      </c>
      <c r="E4203" s="95">
        <f>IFERROR(VLOOKUP($A4203,HeadJournal!$A$1:$NTR$890,COLUMN(HeadJournal!G$1),0),"")</f>
        <v>45637</v>
      </c>
      <c r="F4203" s="95" t="str">
        <f t="shared" si="326"/>
        <v>2024 12</v>
      </c>
      <c r="G4203" s="97" t="s">
        <v>5</v>
      </c>
      <c r="H4203" s="161" t="s">
        <v>2743</v>
      </c>
      <c r="I4203" s="97" t="s">
        <v>2052</v>
      </c>
      <c r="J4203" s="97" t="s">
        <v>2744</v>
      </c>
      <c r="K4203" s="29">
        <v>20.8</v>
      </c>
      <c r="L4203" s="29">
        <v>-6.24</v>
      </c>
      <c r="M4203" s="30">
        <f>IFERROR(VLOOKUP($A4203,HeadJournal!$A$1:$J$890,COLUMN(HeadJournal!I$1),0)*($K4203+$L4203)/(SUMIF($A:$A,$A4203,$K:$K)+SUMIF($A:$A,$A4203,$L:$L)),0)</f>
        <v>-1.2463607611344432</v>
      </c>
      <c r="N4203" s="30">
        <f>IFERROR((VLOOKUP($A4203,HeadJournal!$A$1:$K$890,COLUMN(HeadJournal!K$1),0)-VLOOKUP($A4203,HeadJournal!$A$1:$K$890,COLUMN(HeadJournal!J$1),0))*($K4203+$L4203)/(SUMIF($A:$A,$A4203,$K:$K)+SUMIF($A:$A,$A4203,$L:$L)),0)</f>
        <v>0</v>
      </c>
      <c r="O4203" s="30">
        <f>IFERROR((VLOOKUP($A4203,HeadJournal!$A$1:$L$890,COLUMN(HeadJournal!L$1),0)*($K4203+$L4203)/(SUMIF($A:$A,$A4203,$K:$K)+SUMIF($A:$A,$A4203,$L:$L)))/VLOOKUP($A4203,HeadJournal!$A$1:$L$890,COLUMN(HeadJournal!H$1),0),0)</f>
        <v>0.46716035150751245</v>
      </c>
      <c r="P4203" s="30">
        <f>IFERROR(SUM(K4203:O4203)*VLOOKUP($A4203,HeadJournal!$A$1:$L$890,COLUMN(HeadJournal!H$1),0),0)</f>
        <v>1593.8976263804634</v>
      </c>
      <c r="Q4203" s="29">
        <v>2200</v>
      </c>
      <c r="R4203" s="31">
        <v>45848</v>
      </c>
      <c r="S4203" s="31" t="s">
        <v>3155</v>
      </c>
      <c r="T4203" s="95" t="str">
        <f t="shared" si="327"/>
        <v>2025 07</v>
      </c>
      <c r="U4203" s="32">
        <f t="shared" si="324"/>
        <v>606.10237361953659</v>
      </c>
      <c r="V4203" s="22">
        <f t="shared" si="325"/>
        <v>0.38026430530291783</v>
      </c>
      <c r="X4203" s="33"/>
      <c r="Y4203" s="33"/>
    </row>
    <row r="4204" spans="1:25" x14ac:dyDescent="0.2">
      <c r="A4204" s="93" t="s">
        <v>2757</v>
      </c>
      <c r="B4204" s="94" t="str">
        <f>IFERROR(VLOOKUP($A4204,HeadJournal!$A$1:$NTR$890,COLUMN(HeadJournal!B$1),0),"")</f>
        <v>722500331942</v>
      </c>
      <c r="C4204" s="94" t="str">
        <f>IFERROR(VLOOKUP($A4204,HeadJournal!$A$1:$NTR$890,COLUMN(HeadJournal!C$1),0),"")</f>
        <v>iHerb_OA CZN6870</v>
      </c>
      <c r="D4204" s="125" t="str">
        <f>IFERROR(VLOOKUP($A4204,HeadJournal!$A$1:$NTR$890,COLUMN(HeadJournal!D$1),0),"")</f>
        <v>Доставлен</v>
      </c>
      <c r="E4204" s="95">
        <f>IFERROR(VLOOKUP($A4204,HeadJournal!$A$1:$NTR$890,COLUMN(HeadJournal!G$1),0),"")</f>
        <v>45637</v>
      </c>
      <c r="F4204" s="95" t="str">
        <f t="shared" si="326"/>
        <v>2024 12</v>
      </c>
      <c r="G4204" s="97" t="s">
        <v>5</v>
      </c>
      <c r="H4204" s="161" t="s">
        <v>2745</v>
      </c>
      <c r="I4204" s="97" t="s">
        <v>2052</v>
      </c>
      <c r="J4204" s="97" t="s">
        <v>2746</v>
      </c>
      <c r="K4204" s="29">
        <v>27.96</v>
      </c>
      <c r="L4204" s="29">
        <v>-8.39</v>
      </c>
      <c r="M4204" s="30">
        <f>IFERROR(VLOOKUP($A4204,HeadJournal!$A$1:$J$890,COLUMN(HeadJournal!I$1),0)*($K4204+$L4204)/(SUMIF($A:$A,$A4204,$K:$K)+SUMIF($A:$A,$A4204,$L:$L)),0)</f>
        <v>-1.6752252812775446</v>
      </c>
      <c r="N4204" s="30">
        <f>IFERROR((VLOOKUP($A4204,HeadJournal!$A$1:$K$890,COLUMN(HeadJournal!K$1),0)-VLOOKUP($A4204,HeadJournal!$A$1:$K$890,COLUMN(HeadJournal!J$1),0))*($K4204+$L4204)/(SUMIF($A:$A,$A4204,$K:$K)+SUMIF($A:$A,$A4204,$L:$L)),0)</f>
        <v>0</v>
      </c>
      <c r="O4204" s="30">
        <f>IFERROR((VLOOKUP($A4204,HeadJournal!$A$1:$L$890,COLUMN(HeadJournal!L$1),0)*($K4204+$L4204)/(SUMIF($A:$A,$A4204,$K:$K)+SUMIF($A:$A,$A4204,$L:$L)))/VLOOKUP($A4204,HeadJournal!$A$1:$L$890,COLUMN(HeadJournal!H$1),0),0)</f>
        <v>0.62790714828310579</v>
      </c>
      <c r="P4204" s="30">
        <f>IFERROR(SUM(K4204:O4204)*VLOOKUP($A4204,HeadJournal!$A$1:$L$890,COLUMN(HeadJournal!H$1),0),0)</f>
        <v>2142.3472904028622</v>
      </c>
      <c r="Q4204" s="29">
        <v>3100</v>
      </c>
      <c r="R4204" s="31">
        <v>45749</v>
      </c>
      <c r="S4204" s="31" t="s">
        <v>3121</v>
      </c>
      <c r="T4204" s="95" t="str">
        <f t="shared" si="327"/>
        <v>2025 04</v>
      </c>
      <c r="U4204" s="32">
        <f t="shared" si="324"/>
        <v>957.6527095971378</v>
      </c>
      <c r="V4204" s="22">
        <f t="shared" si="325"/>
        <v>0.44701095564064869</v>
      </c>
      <c r="X4204" s="33"/>
      <c r="Y4204" s="33"/>
    </row>
    <row r="4205" spans="1:25" x14ac:dyDescent="0.2">
      <c r="A4205" s="93" t="s">
        <v>2757</v>
      </c>
      <c r="B4205" s="94" t="str">
        <f>IFERROR(VLOOKUP($A4205,HeadJournal!$A$1:$NTR$890,COLUMN(HeadJournal!B$1),0),"")</f>
        <v>722500331942</v>
      </c>
      <c r="C4205" s="94" t="str">
        <f>IFERROR(VLOOKUP($A4205,HeadJournal!$A$1:$NTR$890,COLUMN(HeadJournal!C$1),0),"")</f>
        <v>iHerb_OA CZN6870</v>
      </c>
      <c r="D4205" s="125" t="str">
        <f>IFERROR(VLOOKUP($A4205,HeadJournal!$A$1:$NTR$890,COLUMN(HeadJournal!D$1),0),"")</f>
        <v>Доставлен</v>
      </c>
      <c r="E4205" s="95">
        <f>IFERROR(VLOOKUP($A4205,HeadJournal!$A$1:$NTR$890,COLUMN(HeadJournal!G$1),0),"")</f>
        <v>45637</v>
      </c>
      <c r="F4205" s="95" t="str">
        <f t="shared" si="326"/>
        <v>2024 12</v>
      </c>
      <c r="G4205" s="97" t="s">
        <v>5</v>
      </c>
      <c r="H4205" s="161" t="s">
        <v>2747</v>
      </c>
      <c r="I4205" s="97" t="s">
        <v>2052</v>
      </c>
      <c r="J4205" s="97" t="s">
        <v>2748</v>
      </c>
      <c r="K4205" s="29">
        <v>14.71</v>
      </c>
      <c r="L4205" s="29">
        <v>-4.41</v>
      </c>
      <c r="M4205" s="30">
        <f>IFERROR(VLOOKUP($A4205,HeadJournal!$A$1:$J$890,COLUMN(HeadJournal!I$1),0)*($K4205+$L4205)/(SUMIF($A:$A,$A4205,$K:$K)+SUMIF($A:$A,$A4205,$L:$L)),0)</f>
        <v>-0.88169751646186567</v>
      </c>
      <c r="N4205" s="30">
        <f>IFERROR((VLOOKUP($A4205,HeadJournal!$A$1:$K$890,COLUMN(HeadJournal!K$1),0)-VLOOKUP($A4205,HeadJournal!$A$1:$K$890,COLUMN(HeadJournal!J$1),0))*($K4205+$L4205)/(SUMIF($A:$A,$A4205,$K:$K)+SUMIF($A:$A,$A4205,$L:$L)),0)</f>
        <v>0</v>
      </c>
      <c r="O4205" s="30">
        <f>IFERROR((VLOOKUP($A4205,HeadJournal!$A$1:$L$890,COLUMN(HeadJournal!L$1),0)*($K4205+$L4205)/(SUMIF($A:$A,$A4205,$K:$K)+SUMIF($A:$A,$A4205,$L:$L)))/VLOOKUP($A4205,HeadJournal!$A$1:$L$890,COLUMN(HeadJournal!H$1),0),0)</f>
        <v>0.33047744646479249</v>
      </c>
      <c r="P4205" s="30">
        <f>IFERROR(SUM(K4205:O4205)*VLOOKUP($A4205,HeadJournal!$A$1:$L$890,COLUMN(HeadJournal!H$1),0),0)</f>
        <v>1127.5512054751905</v>
      </c>
      <c r="Q4205" s="29">
        <v>1900</v>
      </c>
      <c r="R4205" s="31">
        <v>45679</v>
      </c>
      <c r="S4205" s="31" t="s">
        <v>3121</v>
      </c>
      <c r="T4205" s="95" t="str">
        <f t="shared" si="327"/>
        <v>2025 01</v>
      </c>
      <c r="U4205" s="32">
        <f t="shared" si="324"/>
        <v>772.4487945248095</v>
      </c>
      <c r="V4205" s="22">
        <f t="shared" si="325"/>
        <v>0.68506759672991691</v>
      </c>
      <c r="X4205" s="33"/>
      <c r="Y4205" s="33"/>
    </row>
    <row r="4206" spans="1:25" x14ac:dyDescent="0.2">
      <c r="A4206" s="93" t="s">
        <v>2757</v>
      </c>
      <c r="B4206" s="94" t="str">
        <f>IFERROR(VLOOKUP($A4206,HeadJournal!$A$1:$NTR$890,COLUMN(HeadJournal!B$1),0),"")</f>
        <v>722500331942</v>
      </c>
      <c r="C4206" s="94" t="str">
        <f>IFERROR(VLOOKUP($A4206,HeadJournal!$A$1:$NTR$890,COLUMN(HeadJournal!C$1),0),"")</f>
        <v>iHerb_OA CZN6870</v>
      </c>
      <c r="D4206" s="125" t="str">
        <f>IFERROR(VLOOKUP($A4206,HeadJournal!$A$1:$NTR$890,COLUMN(HeadJournal!D$1),0),"")</f>
        <v>Доставлен</v>
      </c>
      <c r="E4206" s="95">
        <f>IFERROR(VLOOKUP($A4206,HeadJournal!$A$1:$NTR$890,COLUMN(HeadJournal!G$1),0),"")</f>
        <v>45637</v>
      </c>
      <c r="F4206" s="95" t="str">
        <f t="shared" si="326"/>
        <v>2024 12</v>
      </c>
      <c r="G4206" s="97" t="s">
        <v>5</v>
      </c>
      <c r="H4206" s="161" t="s">
        <v>2058</v>
      </c>
      <c r="I4206" s="97" t="s">
        <v>2007</v>
      </c>
      <c r="J4206" s="97" t="s">
        <v>2059</v>
      </c>
      <c r="K4206" s="29">
        <v>29.7</v>
      </c>
      <c r="L4206" s="29">
        <v>-13.01</v>
      </c>
      <c r="M4206" s="30">
        <f>IFERROR(VLOOKUP($A4206,HeadJournal!$A$1:$J$890,COLUMN(HeadJournal!I$1),0)*($K4206+$L4206)/(SUMIF($A:$A,$A4206,$K:$K)+SUMIF($A:$A,$A4206,$L:$L)),0)</f>
        <v>-1.4286923834707315</v>
      </c>
      <c r="N4206" s="30">
        <f>IFERROR((VLOOKUP($A4206,HeadJournal!$A$1:$K$890,COLUMN(HeadJournal!K$1),0)-VLOOKUP($A4206,HeadJournal!$A$1:$K$890,COLUMN(HeadJournal!J$1),0))*($K4206+$L4206)/(SUMIF($A:$A,$A4206,$K:$K)+SUMIF($A:$A,$A4206,$L:$L)),0)</f>
        <v>0</v>
      </c>
      <c r="O4206" s="30">
        <f>IFERROR((VLOOKUP($A4206,HeadJournal!$A$1:$L$890,COLUMN(HeadJournal!L$1),0)*($K4206+$L4206)/(SUMIF($A:$A,$A4206,$K:$K)+SUMIF($A:$A,$A4206,$L:$L)))/VLOOKUP($A4206,HeadJournal!$A$1:$L$890,COLUMN(HeadJournal!H$1),0),0)</f>
        <v>0.53550180402887237</v>
      </c>
      <c r="P4206" s="30">
        <f>IFERROR(SUM(K4206:O4206)*VLOOKUP($A4206,HeadJournal!$A$1:$L$890,COLUMN(HeadJournal!H$1),0),0)</f>
        <v>1827.0708368330995</v>
      </c>
      <c r="Q4206" s="29">
        <v>3400</v>
      </c>
      <c r="R4206" s="31">
        <v>46069</v>
      </c>
      <c r="S4206" s="31"/>
      <c r="T4206" s="95" t="str">
        <f t="shared" si="327"/>
        <v>2026 02</v>
      </c>
      <c r="U4206" s="32">
        <f t="shared" si="324"/>
        <v>1572.9291631669005</v>
      </c>
      <c r="V4206" s="22">
        <f t="shared" si="325"/>
        <v>0.86090212347392714</v>
      </c>
      <c r="X4206" s="33"/>
      <c r="Y4206" s="33"/>
    </row>
    <row r="4207" spans="1:25" x14ac:dyDescent="0.2">
      <c r="A4207" s="93" t="s">
        <v>2757</v>
      </c>
      <c r="B4207" s="94" t="str">
        <f>IFERROR(VLOOKUP($A4207,HeadJournal!$A$1:$NTR$890,COLUMN(HeadJournal!B$1),0),"")</f>
        <v>722500331942</v>
      </c>
      <c r="C4207" s="94" t="str">
        <f>IFERROR(VLOOKUP($A4207,HeadJournal!$A$1:$NTR$890,COLUMN(HeadJournal!C$1),0),"")</f>
        <v>iHerb_OA CZN6870</v>
      </c>
      <c r="D4207" s="125" t="str">
        <f>IFERROR(VLOOKUP($A4207,HeadJournal!$A$1:$NTR$890,COLUMN(HeadJournal!D$1),0),"")</f>
        <v>Доставлен</v>
      </c>
      <c r="E4207" s="95">
        <f>IFERROR(VLOOKUP($A4207,HeadJournal!$A$1:$NTR$890,COLUMN(HeadJournal!G$1),0),"")</f>
        <v>45637</v>
      </c>
      <c r="F4207" s="95" t="str">
        <f t="shared" si="326"/>
        <v>2024 12</v>
      </c>
      <c r="G4207" s="97" t="s">
        <v>5</v>
      </c>
      <c r="H4207" s="161" t="s">
        <v>2749</v>
      </c>
      <c r="I4207" s="97" t="s">
        <v>2750</v>
      </c>
      <c r="J4207" s="97" t="s">
        <v>2751</v>
      </c>
      <c r="K4207" s="29">
        <v>11.19</v>
      </c>
      <c r="L4207" s="29">
        <v>-2.8</v>
      </c>
      <c r="M4207" s="30">
        <f>IFERROR(VLOOKUP($A4207,HeadJournal!$A$1:$J$890,COLUMN(HeadJournal!I$1),0)*($K4207+$L4207)/(SUMIF($A:$A,$A4207,$K:$K)+SUMIF($A:$A,$A4207,$L:$L)),0)</f>
        <v>-0.71819826826359734</v>
      </c>
      <c r="N4207" s="30">
        <f>IFERROR((VLOOKUP($A4207,HeadJournal!$A$1:$K$890,COLUMN(HeadJournal!K$1),0)-VLOOKUP($A4207,HeadJournal!$A$1:$K$890,COLUMN(HeadJournal!J$1),0))*($K4207+$L4207)/(SUMIF($A:$A,$A4207,$K:$K)+SUMIF($A:$A,$A4207,$L:$L)),0)</f>
        <v>0</v>
      </c>
      <c r="O4207" s="30">
        <f>IFERROR((VLOOKUP($A4207,HeadJournal!$A$1:$L$890,COLUMN(HeadJournal!L$1),0)*($K4207+$L4207)/(SUMIF($A:$A,$A4207,$K:$K)+SUMIF($A:$A,$A4207,$L:$L)))/VLOOKUP($A4207,HeadJournal!$A$1:$L$890,COLUMN(HeadJournal!H$1),0),0)</f>
        <v>0.26919473551840867</v>
      </c>
      <c r="P4207" s="30">
        <f>IFERROR(SUM(K4207:O4207)*VLOOKUP($A4207,HeadJournal!$A$1:$L$890,COLUMN(HeadJournal!H$1),0),0)</f>
        <v>918.46161300357755</v>
      </c>
      <c r="Q4207" s="29">
        <v>2000</v>
      </c>
      <c r="R4207" s="31">
        <v>45684</v>
      </c>
      <c r="S4207" s="31" t="s">
        <v>3121</v>
      </c>
      <c r="T4207" s="95" t="str">
        <f t="shared" si="327"/>
        <v>2025 01</v>
      </c>
      <c r="U4207" s="32">
        <f t="shared" si="324"/>
        <v>1081.5383869964226</v>
      </c>
      <c r="V4207" s="22">
        <f t="shared" si="325"/>
        <v>1.1775542621313775</v>
      </c>
      <c r="X4207" s="33"/>
      <c r="Y4207" s="33"/>
    </row>
    <row r="4208" spans="1:25" x14ac:dyDescent="0.2">
      <c r="A4208" s="93" t="s">
        <v>2757</v>
      </c>
      <c r="B4208" s="94" t="str">
        <f>IFERROR(VLOOKUP($A4208,HeadJournal!$A$1:$NTR$890,COLUMN(HeadJournal!B$1),0),"")</f>
        <v>722500331942</v>
      </c>
      <c r="C4208" s="94" t="str">
        <f>IFERROR(VLOOKUP($A4208,HeadJournal!$A$1:$NTR$890,COLUMN(HeadJournal!C$1),0),"")</f>
        <v>iHerb_OA CZN6870</v>
      </c>
      <c r="D4208" s="125" t="str">
        <f>IFERROR(VLOOKUP($A4208,HeadJournal!$A$1:$NTR$890,COLUMN(HeadJournal!D$1),0),"")</f>
        <v>Доставлен</v>
      </c>
      <c r="E4208" s="95">
        <f>IFERROR(VLOOKUP($A4208,HeadJournal!$A$1:$NTR$890,COLUMN(HeadJournal!G$1),0),"")</f>
        <v>45637</v>
      </c>
      <c r="F4208" s="95" t="str">
        <f t="shared" si="326"/>
        <v>2024 12</v>
      </c>
      <c r="G4208" s="97" t="s">
        <v>5</v>
      </c>
      <c r="H4208" s="161" t="s">
        <v>2615</v>
      </c>
      <c r="I4208" s="97" t="s">
        <v>2052</v>
      </c>
      <c r="J4208" s="97" t="s">
        <v>2616</v>
      </c>
      <c r="K4208" s="29">
        <v>48.6</v>
      </c>
      <c r="L4208" s="29">
        <v>-24.3</v>
      </c>
      <c r="M4208" s="30">
        <f>IFERROR(VLOOKUP($A4208,HeadJournal!$A$1:$J$890,COLUMN(HeadJournal!I$1),0)*($K4208+$L4208)/(SUMIF($A:$A,$A4208,$K:$K)+SUMIF($A:$A,$A4208,$L:$L)),0)</f>
        <v>-2.0801213252449839</v>
      </c>
      <c r="N4208" s="30">
        <f>IFERROR((VLOOKUP($A4208,HeadJournal!$A$1:$K$890,COLUMN(HeadJournal!K$1),0)-VLOOKUP($A4208,HeadJournal!$A$1:$K$890,COLUMN(HeadJournal!J$1),0))*($K4208+$L4208)/(SUMIF($A:$A,$A4208,$K:$K)+SUMIF($A:$A,$A4208,$L:$L)),0)</f>
        <v>0</v>
      </c>
      <c r="O4208" s="30">
        <f>IFERROR((VLOOKUP($A4208,HeadJournal!$A$1:$L$890,COLUMN(HeadJournal!L$1),0)*($K4208+$L4208)/(SUMIF($A:$A,$A4208,$K:$K)+SUMIF($A:$A,$A4208,$L:$L)))/VLOOKUP($A4208,HeadJournal!$A$1:$L$890,COLUMN(HeadJournal!H$1),0),0)</f>
        <v>0.77967009214509297</v>
      </c>
      <c r="P4208" s="30">
        <f>IFERROR(SUM(K4208:O4208)*VLOOKUP($A4208,HeadJournal!$A$1:$L$890,COLUMN(HeadJournal!H$1),0),0)</f>
        <v>2660.1450769948669</v>
      </c>
      <c r="Q4208" s="29">
        <v>2660.15</v>
      </c>
      <c r="R4208" s="31"/>
      <c r="S4208" s="31"/>
      <c r="T4208" s="95" t="str">
        <f t="shared" si="327"/>
        <v/>
      </c>
      <c r="U4208" s="32">
        <f t="shared" si="324"/>
        <v>4.923005133150582E-3</v>
      </c>
      <c r="V4208" s="22">
        <f t="shared" si="325"/>
        <v>1.8506528744334652E-6</v>
      </c>
      <c r="X4208" s="33"/>
      <c r="Y4208" s="33"/>
    </row>
    <row r="4209" spans="1:25" x14ac:dyDescent="0.2">
      <c r="A4209" s="93" t="s">
        <v>2757</v>
      </c>
      <c r="B4209" s="94" t="str">
        <f>IFERROR(VLOOKUP($A4209,HeadJournal!$A$1:$NTR$890,COLUMN(HeadJournal!B$1),0),"")</f>
        <v>722500331942</v>
      </c>
      <c r="C4209" s="94" t="str">
        <f>IFERROR(VLOOKUP($A4209,HeadJournal!$A$1:$NTR$890,COLUMN(HeadJournal!C$1),0),"")</f>
        <v>iHerb_OA CZN6870</v>
      </c>
      <c r="D4209" s="125" t="str">
        <f>IFERROR(VLOOKUP($A4209,HeadJournal!$A$1:$NTR$890,COLUMN(HeadJournal!D$1),0),"")</f>
        <v>Доставлен</v>
      </c>
      <c r="E4209" s="95">
        <f>IFERROR(VLOOKUP($A4209,HeadJournal!$A$1:$NTR$890,COLUMN(HeadJournal!G$1),0),"")</f>
        <v>45637</v>
      </c>
      <c r="F4209" s="95" t="str">
        <f t="shared" si="326"/>
        <v>2024 12</v>
      </c>
      <c r="G4209" s="97" t="s">
        <v>5</v>
      </c>
      <c r="H4209" s="161" t="s">
        <v>2752</v>
      </c>
      <c r="I4209" s="97" t="s">
        <v>2753</v>
      </c>
      <c r="J4209" s="97" t="s">
        <v>2754</v>
      </c>
      <c r="K4209" s="29">
        <v>12.39</v>
      </c>
      <c r="L4209" s="29">
        <v>-1.24</v>
      </c>
      <c r="M4209" s="30">
        <f>IFERROR(VLOOKUP($A4209,HeadJournal!$A$1:$J$890,COLUMN(HeadJournal!I$1),0)*($K4209+$L4209)/(SUMIF($A:$A,$A4209,$K:$K)+SUMIF($A:$A,$A4209,$L:$L)),0)</f>
        <v>-0.95445896199512636</v>
      </c>
      <c r="N4209" s="30">
        <f>IFERROR((VLOOKUP($A4209,HeadJournal!$A$1:$K$890,COLUMN(HeadJournal!K$1),0)-VLOOKUP($A4209,HeadJournal!$A$1:$K$890,COLUMN(HeadJournal!J$1),0))*($K4209+$L4209)/(SUMIF($A:$A,$A4209,$K:$K)+SUMIF($A:$A,$A4209,$L:$L)),0)</f>
        <v>0</v>
      </c>
      <c r="O4209" s="30">
        <f>IFERROR((VLOOKUP($A4209,HeadJournal!$A$1:$L$890,COLUMN(HeadJournal!L$1),0)*($K4209+$L4209)/(SUMIF($A:$A,$A4209,$K:$K)+SUMIF($A:$A,$A4209,$L:$L)))/VLOOKUP($A4209,HeadJournal!$A$1:$L$890,COLUMN(HeadJournal!H$1),0),0)</f>
        <v>0.35774985709538215</v>
      </c>
      <c r="P4209" s="30">
        <f>IFERROR(SUM(K4209:O4209)*VLOOKUP($A4209,HeadJournal!$A$1:$L$890,COLUMN(HeadJournal!H$1),0),0)</f>
        <v>1220.6015476745995</v>
      </c>
      <c r="Q4209" s="29">
        <v>1800</v>
      </c>
      <c r="R4209" s="31">
        <v>45695</v>
      </c>
      <c r="S4209" s="31" t="s">
        <v>3121</v>
      </c>
      <c r="T4209" s="95" t="str">
        <f t="shared" si="327"/>
        <v>2025 02</v>
      </c>
      <c r="U4209" s="32">
        <f t="shared" si="324"/>
        <v>579.39845232540051</v>
      </c>
      <c r="V4209" s="22">
        <f t="shared" si="325"/>
        <v>0.47468271151157226</v>
      </c>
      <c r="X4209" s="33"/>
      <c r="Y4209" s="33"/>
    </row>
    <row r="4210" spans="1:25" x14ac:dyDescent="0.2">
      <c r="A4210" s="93" t="s">
        <v>2757</v>
      </c>
      <c r="B4210" s="94" t="str">
        <f>IFERROR(VLOOKUP($A4210,HeadJournal!$A$1:$NTR$890,COLUMN(HeadJournal!B$1),0),"")</f>
        <v>722500331942</v>
      </c>
      <c r="C4210" s="94" t="str">
        <f>IFERROR(VLOOKUP($A4210,HeadJournal!$A$1:$NTR$890,COLUMN(HeadJournal!C$1),0),"")</f>
        <v>iHerb_OA CZN6870</v>
      </c>
      <c r="D4210" s="125" t="str">
        <f>IFERROR(VLOOKUP($A4210,HeadJournal!$A$1:$NTR$890,COLUMN(HeadJournal!D$1),0),"")</f>
        <v>Доставлен</v>
      </c>
      <c r="E4210" s="95">
        <f>IFERROR(VLOOKUP($A4210,HeadJournal!$A$1:$NTR$890,COLUMN(HeadJournal!G$1),0),"")</f>
        <v>45637</v>
      </c>
      <c r="F4210" s="95" t="str">
        <f t="shared" si="326"/>
        <v>2024 12</v>
      </c>
      <c r="G4210" s="97" t="s">
        <v>5</v>
      </c>
      <c r="H4210" s="161" t="s">
        <v>2755</v>
      </c>
      <c r="I4210" s="97" t="s">
        <v>2005</v>
      </c>
      <c r="J4210" s="97" t="s">
        <v>2756</v>
      </c>
      <c r="K4210" s="29">
        <v>17.510000000000002</v>
      </c>
      <c r="L4210" s="29">
        <v>-1.75</v>
      </c>
      <c r="M4210" s="30">
        <f>IFERROR(VLOOKUP($A4210,HeadJournal!$A$1:$J$890,COLUMN(HeadJournal!I$1),0)*($K4210+$L4210)/(SUMIF($A:$A,$A4210,$K:$K)+SUMIF($A:$A,$A4210,$L:$L)),0)</f>
        <v>-1.3490828018872816</v>
      </c>
      <c r="N4210" s="30">
        <f>IFERROR((VLOOKUP($A4210,HeadJournal!$A$1:$K$890,COLUMN(HeadJournal!K$1),0)-VLOOKUP($A4210,HeadJournal!$A$1:$K$890,COLUMN(HeadJournal!J$1),0))*($K4210+$L4210)/(SUMIF($A:$A,$A4210,$K:$K)+SUMIF($A:$A,$A4210,$L:$L)),0)</f>
        <v>0</v>
      </c>
      <c r="O4210" s="30">
        <f>IFERROR((VLOOKUP($A4210,HeadJournal!$A$1:$L$890,COLUMN(HeadJournal!L$1),0)*($K4210+$L4210)/(SUMIF($A:$A,$A4210,$K:$K)+SUMIF($A:$A,$A4210,$L:$L)))/VLOOKUP($A4210,HeadJournal!$A$1:$L$890,COLUMN(HeadJournal!H$1),0),0)</f>
        <v>0.50566257828010963</v>
      </c>
      <c r="P4210" s="30">
        <f>IFERROR(SUM(K4210:O4210)*VLOOKUP($A4210,HeadJournal!$A$1:$L$890,COLUMN(HeadJournal!H$1),0),0)</f>
        <v>1725.2628153678645</v>
      </c>
      <c r="Q4210" s="29">
        <v>2500</v>
      </c>
      <c r="R4210" s="31">
        <v>45675</v>
      </c>
      <c r="S4210" s="31" t="s">
        <v>3121</v>
      </c>
      <c r="T4210" s="95" t="str">
        <f t="shared" si="327"/>
        <v>2025 01</v>
      </c>
      <c r="U4210" s="32">
        <f t="shared" si="324"/>
        <v>774.7371846321355</v>
      </c>
      <c r="V4210" s="22">
        <f t="shared" si="325"/>
        <v>0.44905458909281842</v>
      </c>
      <c r="X4210" s="33"/>
      <c r="Y4210" s="33"/>
    </row>
    <row r="4211" spans="1:25" x14ac:dyDescent="0.2">
      <c r="A4211" s="93" t="s">
        <v>2762</v>
      </c>
      <c r="B4211" s="94">
        <f>IFERROR(VLOOKUP($A4211,HeadJournal!$A$1:$NTR$890,COLUMN(HeadJournal!B$1),0),"")</f>
        <v>0</v>
      </c>
      <c r="C4211" s="94" t="str">
        <f>IFERROR(VLOOKUP($A4211,HeadJournal!$A$1:$NTR$890,COLUMN(HeadJournal!C$1),0),"")</f>
        <v>OZON_AV</v>
      </c>
      <c r="D4211" s="125" t="str">
        <f>IFERROR(VLOOKUP($A4211,HeadJournal!$A$1:$NTR$890,COLUMN(HeadJournal!D$1),0),"")</f>
        <v>Доставлен</v>
      </c>
      <c r="E4211" s="95">
        <f>IFERROR(VLOOKUP($A4211,HeadJournal!$A$1:$NTR$890,COLUMN(HeadJournal!G$1),0),"")</f>
        <v>45637</v>
      </c>
      <c r="F4211" s="95" t="str">
        <f t="shared" si="326"/>
        <v>2024 12</v>
      </c>
      <c r="G4211" s="97" t="s">
        <v>5</v>
      </c>
      <c r="H4211" s="161" t="s">
        <v>2624</v>
      </c>
      <c r="I4211" s="97" t="s">
        <v>2005</v>
      </c>
      <c r="J4211" s="97" t="s">
        <v>2625</v>
      </c>
      <c r="K4211" s="29">
        <v>2105</v>
      </c>
      <c r="L4211" s="29">
        <v>0</v>
      </c>
      <c r="M4211" s="30">
        <f>IFERROR(VLOOKUP($A4211,HeadJournal!$A$1:$J$890,COLUMN(HeadJournal!I$1),0)*($K4211+$L4211)/(SUMIF($A:$A,$A4211,$K:$K)+SUMIF($A:$A,$A4211,$L:$L)),0)</f>
        <v>0</v>
      </c>
      <c r="N4211" s="30">
        <f>IFERROR((VLOOKUP($A4211,HeadJournal!$A$1:$K$890,COLUMN(HeadJournal!K$1),0)-VLOOKUP($A4211,HeadJournal!$A$1:$K$890,COLUMN(HeadJournal!J$1),0))*($K4211+$L4211)/(SUMIF($A:$A,$A4211,$K:$K)+SUMIF($A:$A,$A4211,$L:$L)),0)</f>
        <v>0</v>
      </c>
      <c r="O4211" s="30">
        <f>IFERROR((VLOOKUP($A4211,HeadJournal!$A$1:$L$890,COLUMN(HeadJournal!L$1),0)*($K4211+$L4211)/(SUMIF($A:$A,$A4211,$K:$K)+SUMIF($A:$A,$A4211,$L:$L)))/VLOOKUP($A4211,HeadJournal!$A$1:$L$890,COLUMN(HeadJournal!H$1),0),0)</f>
        <v>0</v>
      </c>
      <c r="P4211" s="30">
        <f>IFERROR(SUM(K4211:O4211)*VLOOKUP($A4211,HeadJournal!$A$1:$L$890,COLUMN(HeadJournal!H$1),0),0)</f>
        <v>2105</v>
      </c>
      <c r="Q4211" s="29">
        <v>2900</v>
      </c>
      <c r="R4211" s="31">
        <v>45708</v>
      </c>
      <c r="S4211" s="31" t="s">
        <v>3121</v>
      </c>
      <c r="T4211" s="95" t="str">
        <f t="shared" si="327"/>
        <v>2025 02</v>
      </c>
      <c r="U4211" s="32">
        <f t="shared" si="324"/>
        <v>795</v>
      </c>
      <c r="V4211" s="22">
        <f t="shared" si="325"/>
        <v>0.37767220902612825</v>
      </c>
      <c r="X4211" s="33"/>
      <c r="Y4211" s="33"/>
    </row>
    <row r="4212" spans="1:25" x14ac:dyDescent="0.2">
      <c r="A4212" s="93" t="s">
        <v>2762</v>
      </c>
      <c r="B4212" s="94">
        <f>IFERROR(VLOOKUP($A4212,HeadJournal!$A$1:$NTR$890,COLUMN(HeadJournal!B$1),0),"")</f>
        <v>0</v>
      </c>
      <c r="C4212" s="94" t="str">
        <f>IFERROR(VLOOKUP($A4212,HeadJournal!$A$1:$NTR$890,COLUMN(HeadJournal!C$1),0),"")</f>
        <v>OZON_AV</v>
      </c>
      <c r="D4212" s="125" t="str">
        <f>IFERROR(VLOOKUP($A4212,HeadJournal!$A$1:$NTR$890,COLUMN(HeadJournal!D$1),0),"")</f>
        <v>Доставлен</v>
      </c>
      <c r="E4212" s="95">
        <f>IFERROR(VLOOKUP($A4212,HeadJournal!$A$1:$NTR$890,COLUMN(HeadJournal!G$1),0),"")</f>
        <v>45637</v>
      </c>
      <c r="F4212" s="95" t="str">
        <f t="shared" si="326"/>
        <v>2024 12</v>
      </c>
      <c r="G4212" s="97" t="s">
        <v>5</v>
      </c>
      <c r="H4212" s="161" t="s">
        <v>2624</v>
      </c>
      <c r="I4212" s="97" t="s">
        <v>2005</v>
      </c>
      <c r="J4212" s="97" t="s">
        <v>2625</v>
      </c>
      <c r="K4212" s="29">
        <v>2105</v>
      </c>
      <c r="L4212" s="29">
        <v>0</v>
      </c>
      <c r="M4212" s="30">
        <f>IFERROR(VLOOKUP($A4212,HeadJournal!$A$1:$J$890,COLUMN(HeadJournal!I$1),0)*($K4212+$L4212)/(SUMIF($A:$A,$A4212,$K:$K)+SUMIF($A:$A,$A4212,$L:$L)),0)</f>
        <v>0</v>
      </c>
      <c r="N4212" s="30">
        <f>IFERROR((VLOOKUP($A4212,HeadJournal!$A$1:$K$890,COLUMN(HeadJournal!K$1),0)-VLOOKUP($A4212,HeadJournal!$A$1:$K$890,COLUMN(HeadJournal!J$1),0))*($K4212+$L4212)/(SUMIF($A:$A,$A4212,$K:$K)+SUMIF($A:$A,$A4212,$L:$L)),0)</f>
        <v>0</v>
      </c>
      <c r="O4212" s="30">
        <f>IFERROR((VLOOKUP($A4212,HeadJournal!$A$1:$L$890,COLUMN(HeadJournal!L$1),0)*($K4212+$L4212)/(SUMIF($A:$A,$A4212,$K:$K)+SUMIF($A:$A,$A4212,$L:$L)))/VLOOKUP($A4212,HeadJournal!$A$1:$L$890,COLUMN(HeadJournal!H$1),0),0)</f>
        <v>0</v>
      </c>
      <c r="P4212" s="30">
        <f>IFERROR(SUM(K4212:O4212)*VLOOKUP($A4212,HeadJournal!$A$1:$L$890,COLUMN(HeadJournal!H$1),0),0)</f>
        <v>2105</v>
      </c>
      <c r="Q4212" s="29">
        <v>2900</v>
      </c>
      <c r="R4212" s="31">
        <v>45756</v>
      </c>
      <c r="S4212" s="31" t="s">
        <v>3121</v>
      </c>
      <c r="T4212" s="95" t="str">
        <f t="shared" si="327"/>
        <v>2025 04</v>
      </c>
      <c r="U4212" s="32">
        <f t="shared" si="324"/>
        <v>795</v>
      </c>
      <c r="V4212" s="22">
        <f t="shared" si="325"/>
        <v>0.37767220902612825</v>
      </c>
      <c r="X4212" s="33"/>
      <c r="Y4212" s="33"/>
    </row>
    <row r="4213" spans="1:25" x14ac:dyDescent="0.2">
      <c r="A4213" s="93" t="s">
        <v>2763</v>
      </c>
      <c r="B4213" s="94" t="str">
        <f>IFERROR(VLOOKUP($A4213,HeadJournal!$A$1:$NTR$890,COLUMN(HeadJournal!B$1),0),"")</f>
        <v>1495467476</v>
      </c>
      <c r="C4213" s="94" t="str">
        <f>IFERROR(VLOOKUP($A4213,HeadJournal!$A$1:$NTR$890,COLUMN(HeadJournal!C$1),0),"")</f>
        <v>essens_OA</v>
      </c>
      <c r="D4213" s="125" t="str">
        <f>IFERROR(VLOOKUP($A4213,HeadJournal!$A$1:$NTR$890,COLUMN(HeadJournal!D$1),0),"")</f>
        <v>Доставлен</v>
      </c>
      <c r="E4213" s="95">
        <f>IFERROR(VLOOKUP($A4213,HeadJournal!$A$1:$NTR$890,COLUMN(HeadJournal!G$1),0),"")</f>
        <v>45636</v>
      </c>
      <c r="F4213" s="95" t="str">
        <f t="shared" si="326"/>
        <v>2024 12</v>
      </c>
      <c r="G4213" s="97" t="s">
        <v>8</v>
      </c>
      <c r="H4213" s="161" t="s">
        <v>2764</v>
      </c>
      <c r="I4213" s="97" t="s">
        <v>2243</v>
      </c>
      <c r="J4213" s="97" t="s">
        <v>2768</v>
      </c>
      <c r="K4213" s="29">
        <v>1265</v>
      </c>
      <c r="L4213" s="29">
        <v>0</v>
      </c>
      <c r="M4213" s="30">
        <f>IFERROR(VLOOKUP($A4213,HeadJournal!$A$1:$J$890,COLUMN(HeadJournal!I$1),0)*($K4213+$L4213)/(SUMIF($A:$A,$A4213,$K:$K)+SUMIF($A:$A,$A4213,$L:$L)),0)</f>
        <v>0</v>
      </c>
      <c r="N4213" s="30">
        <f>IFERROR((VLOOKUP($A4213,HeadJournal!$A$1:$K$890,COLUMN(HeadJournal!K$1),0)-VLOOKUP($A4213,HeadJournal!$A$1:$K$890,COLUMN(HeadJournal!J$1),0))*($K4213+$L4213)/(SUMIF($A:$A,$A4213,$K:$K)+SUMIF($A:$A,$A4213,$L:$L)),0)</f>
        <v>-210.83333333333334</v>
      </c>
      <c r="O4213" s="30">
        <f>IFERROR((VLOOKUP($A4213,HeadJournal!$A$1:$L$890,COLUMN(HeadJournal!L$1),0)*($K4213+$L4213)/(SUMIF($A:$A,$A4213,$K:$K)+SUMIF($A:$A,$A4213,$L:$L)))/VLOOKUP($A4213,HeadJournal!$A$1:$L$890,COLUMN(HeadJournal!H$1),0),0)</f>
        <v>102.83333333333333</v>
      </c>
      <c r="P4213" s="30">
        <f>IFERROR(SUM(K4213:O4213)*VLOOKUP($A4213,HeadJournal!$A$1:$L$890,COLUMN(HeadJournal!H$1),0),0)</f>
        <v>1157</v>
      </c>
      <c r="Q4213" s="29"/>
      <c r="R4213" s="31"/>
      <c r="S4213" s="31"/>
      <c r="T4213" s="95" t="str">
        <f t="shared" si="327"/>
        <v/>
      </c>
      <c r="U4213" s="32">
        <f t="shared" si="324"/>
        <v>-1157</v>
      </c>
      <c r="V4213" s="22" t="str">
        <f t="shared" si="325"/>
        <v/>
      </c>
      <c r="X4213" s="33"/>
      <c r="Y4213" s="33"/>
    </row>
    <row r="4214" spans="1:25" x14ac:dyDescent="0.2">
      <c r="A4214" s="93" t="s">
        <v>2763</v>
      </c>
      <c r="B4214" s="94" t="str">
        <f>IFERROR(VLOOKUP($A4214,HeadJournal!$A$1:$NTR$890,COLUMN(HeadJournal!B$1),0),"")</f>
        <v>1495467476</v>
      </c>
      <c r="C4214" s="94" t="str">
        <f>IFERROR(VLOOKUP($A4214,HeadJournal!$A$1:$NTR$890,COLUMN(HeadJournal!C$1),0),"")</f>
        <v>essens_OA</v>
      </c>
      <c r="D4214" s="125" t="str">
        <f>IFERROR(VLOOKUP($A4214,HeadJournal!$A$1:$NTR$890,COLUMN(HeadJournal!D$1),0),"")</f>
        <v>Доставлен</v>
      </c>
      <c r="E4214" s="95">
        <f>IFERROR(VLOOKUP($A4214,HeadJournal!$A$1:$NTR$890,COLUMN(HeadJournal!G$1),0),"")</f>
        <v>45636</v>
      </c>
      <c r="F4214" s="95" t="str">
        <f t="shared" si="326"/>
        <v>2024 12</v>
      </c>
      <c r="G4214" s="97" t="s">
        <v>8</v>
      </c>
      <c r="H4214" s="161" t="s">
        <v>2242</v>
      </c>
      <c r="I4214" s="97" t="s">
        <v>2243</v>
      </c>
      <c r="J4214" s="97" t="s">
        <v>2244</v>
      </c>
      <c r="K4214" s="29">
        <v>1265</v>
      </c>
      <c r="L4214" s="29">
        <v>0</v>
      </c>
      <c r="M4214" s="30">
        <f>IFERROR(VLOOKUP($A4214,HeadJournal!$A$1:$J$890,COLUMN(HeadJournal!I$1),0)*($K4214+$L4214)/(SUMIF($A:$A,$A4214,$K:$K)+SUMIF($A:$A,$A4214,$L:$L)),0)</f>
        <v>0</v>
      </c>
      <c r="N4214" s="30">
        <f>IFERROR((VLOOKUP($A4214,HeadJournal!$A$1:$K$890,COLUMN(HeadJournal!K$1),0)-VLOOKUP($A4214,HeadJournal!$A$1:$K$890,COLUMN(HeadJournal!J$1),0))*($K4214+$L4214)/(SUMIF($A:$A,$A4214,$K:$K)+SUMIF($A:$A,$A4214,$L:$L)),0)</f>
        <v>-210.83333333333334</v>
      </c>
      <c r="O4214" s="30">
        <f>IFERROR((VLOOKUP($A4214,HeadJournal!$A$1:$L$890,COLUMN(HeadJournal!L$1),0)*($K4214+$L4214)/(SUMIF($A:$A,$A4214,$K:$K)+SUMIF($A:$A,$A4214,$L:$L)))/VLOOKUP($A4214,HeadJournal!$A$1:$L$890,COLUMN(HeadJournal!H$1),0),0)</f>
        <v>102.83333333333333</v>
      </c>
      <c r="P4214" s="30">
        <f>IFERROR(SUM(K4214:O4214)*VLOOKUP($A4214,HeadJournal!$A$1:$L$890,COLUMN(HeadJournal!H$1),0),0)</f>
        <v>1157</v>
      </c>
      <c r="Q4214" s="29">
        <v>2200</v>
      </c>
      <c r="R4214" s="31">
        <v>45654</v>
      </c>
      <c r="S4214" s="31" t="s">
        <v>3121</v>
      </c>
      <c r="T4214" s="95" t="str">
        <f t="shared" si="327"/>
        <v>2024 12</v>
      </c>
      <c r="U4214" s="32">
        <f t="shared" si="324"/>
        <v>1043</v>
      </c>
      <c r="V4214" s="22">
        <f t="shared" si="325"/>
        <v>0.90146931719965429</v>
      </c>
      <c r="X4214" s="33"/>
      <c r="Y4214" s="33"/>
    </row>
    <row r="4215" spans="1:25" x14ac:dyDescent="0.2">
      <c r="A4215" s="93" t="s">
        <v>2763</v>
      </c>
      <c r="B4215" s="94" t="str">
        <f>IFERROR(VLOOKUP($A4215,HeadJournal!$A$1:$NTR$890,COLUMN(HeadJournal!B$1),0),"")</f>
        <v>1495467476</v>
      </c>
      <c r="C4215" s="94" t="str">
        <f>IFERROR(VLOOKUP($A4215,HeadJournal!$A$1:$NTR$890,COLUMN(HeadJournal!C$1),0),"")</f>
        <v>essens_OA</v>
      </c>
      <c r="D4215" s="125" t="str">
        <f>IFERROR(VLOOKUP($A4215,HeadJournal!$A$1:$NTR$890,COLUMN(HeadJournal!D$1),0),"")</f>
        <v>Доставлен</v>
      </c>
      <c r="E4215" s="95">
        <f>IFERROR(VLOOKUP($A4215,HeadJournal!$A$1:$NTR$890,COLUMN(HeadJournal!G$1),0),"")</f>
        <v>45636</v>
      </c>
      <c r="F4215" s="95" t="str">
        <f t="shared" si="326"/>
        <v>2024 12</v>
      </c>
      <c r="G4215" s="97" t="s">
        <v>8</v>
      </c>
      <c r="H4215" s="161" t="s">
        <v>2262</v>
      </c>
      <c r="I4215" s="97" t="s">
        <v>2243</v>
      </c>
      <c r="J4215" s="97" t="s">
        <v>2270</v>
      </c>
      <c r="K4215" s="29">
        <v>1265</v>
      </c>
      <c r="L4215" s="29">
        <v>0</v>
      </c>
      <c r="M4215" s="30">
        <f>IFERROR(VLOOKUP($A4215,HeadJournal!$A$1:$J$890,COLUMN(HeadJournal!I$1),0)*($K4215+$L4215)/(SUMIF($A:$A,$A4215,$K:$K)+SUMIF($A:$A,$A4215,$L:$L)),0)</f>
        <v>0</v>
      </c>
      <c r="N4215" s="30">
        <f>IFERROR((VLOOKUP($A4215,HeadJournal!$A$1:$K$890,COLUMN(HeadJournal!K$1),0)-VLOOKUP($A4215,HeadJournal!$A$1:$K$890,COLUMN(HeadJournal!J$1),0))*($K4215+$L4215)/(SUMIF($A:$A,$A4215,$K:$K)+SUMIF($A:$A,$A4215,$L:$L)),0)</f>
        <v>-210.83333333333334</v>
      </c>
      <c r="O4215" s="30">
        <f>IFERROR((VLOOKUP($A4215,HeadJournal!$A$1:$L$890,COLUMN(HeadJournal!L$1),0)*($K4215+$L4215)/(SUMIF($A:$A,$A4215,$K:$K)+SUMIF($A:$A,$A4215,$L:$L)))/VLOOKUP($A4215,HeadJournal!$A$1:$L$890,COLUMN(HeadJournal!H$1),0),0)</f>
        <v>102.83333333333333</v>
      </c>
      <c r="P4215" s="30">
        <f>IFERROR(SUM(K4215:O4215)*VLOOKUP($A4215,HeadJournal!$A$1:$L$890,COLUMN(HeadJournal!H$1),0),0)</f>
        <v>1157</v>
      </c>
      <c r="Q4215" s="29">
        <v>2200</v>
      </c>
      <c r="R4215" s="31">
        <v>45654</v>
      </c>
      <c r="S4215" s="31" t="s">
        <v>3121</v>
      </c>
      <c r="T4215" s="95" t="str">
        <f t="shared" si="327"/>
        <v>2024 12</v>
      </c>
      <c r="U4215" s="32">
        <f t="shared" si="324"/>
        <v>1043</v>
      </c>
      <c r="V4215" s="22">
        <f t="shared" si="325"/>
        <v>0.90146931719965429</v>
      </c>
      <c r="X4215" s="33"/>
      <c r="Y4215" s="33"/>
    </row>
    <row r="4216" spans="1:25" x14ac:dyDescent="0.2">
      <c r="A4216" s="93" t="s">
        <v>2763</v>
      </c>
      <c r="B4216" s="94" t="str">
        <f>IFERROR(VLOOKUP($A4216,HeadJournal!$A$1:$NTR$890,COLUMN(HeadJournal!B$1),0),"")</f>
        <v>1495467476</v>
      </c>
      <c r="C4216" s="94" t="str">
        <f>IFERROR(VLOOKUP($A4216,HeadJournal!$A$1:$NTR$890,COLUMN(HeadJournal!C$1),0),"")</f>
        <v>essens_OA</v>
      </c>
      <c r="D4216" s="125" t="str">
        <f>IFERROR(VLOOKUP($A4216,HeadJournal!$A$1:$NTR$890,COLUMN(HeadJournal!D$1),0),"")</f>
        <v>Доставлен</v>
      </c>
      <c r="E4216" s="95">
        <f>IFERROR(VLOOKUP($A4216,HeadJournal!$A$1:$NTR$890,COLUMN(HeadJournal!G$1),0),"")</f>
        <v>45636</v>
      </c>
      <c r="F4216" s="95" t="str">
        <f t="shared" si="326"/>
        <v>2024 12</v>
      </c>
      <c r="G4216" s="97" t="s">
        <v>8</v>
      </c>
      <c r="H4216" s="161" t="s">
        <v>2765</v>
      </c>
      <c r="I4216" s="97" t="s">
        <v>2243</v>
      </c>
      <c r="J4216" s="97" t="s">
        <v>3957</v>
      </c>
      <c r="K4216" s="29">
        <v>1265</v>
      </c>
      <c r="L4216" s="29">
        <v>0</v>
      </c>
      <c r="M4216" s="30">
        <f>IFERROR(VLOOKUP($A4216,HeadJournal!$A$1:$J$890,COLUMN(HeadJournal!I$1),0)*($K4216+$L4216)/(SUMIF($A:$A,$A4216,$K:$K)+SUMIF($A:$A,$A4216,$L:$L)),0)</f>
        <v>0</v>
      </c>
      <c r="N4216" s="30">
        <f>IFERROR((VLOOKUP($A4216,HeadJournal!$A$1:$K$890,COLUMN(HeadJournal!K$1),0)-VLOOKUP($A4216,HeadJournal!$A$1:$K$890,COLUMN(HeadJournal!J$1),0))*($K4216+$L4216)/(SUMIF($A:$A,$A4216,$K:$K)+SUMIF($A:$A,$A4216,$L:$L)),0)</f>
        <v>-210.83333333333334</v>
      </c>
      <c r="O4216" s="30">
        <f>IFERROR((VLOOKUP($A4216,HeadJournal!$A$1:$L$890,COLUMN(HeadJournal!L$1),0)*($K4216+$L4216)/(SUMIF($A:$A,$A4216,$K:$K)+SUMIF($A:$A,$A4216,$L:$L)))/VLOOKUP($A4216,HeadJournal!$A$1:$L$890,COLUMN(HeadJournal!H$1),0),0)</f>
        <v>102.83333333333333</v>
      </c>
      <c r="P4216" s="30">
        <f>IFERROR(SUM(K4216:O4216)*VLOOKUP($A4216,HeadJournal!$A$1:$L$890,COLUMN(HeadJournal!H$1),0),0)</f>
        <v>1157</v>
      </c>
      <c r="Q4216" s="29"/>
      <c r="R4216" s="31"/>
      <c r="S4216" s="31"/>
      <c r="T4216" s="95" t="str">
        <f t="shared" si="327"/>
        <v/>
      </c>
      <c r="U4216" s="32">
        <f t="shared" si="324"/>
        <v>-1157</v>
      </c>
      <c r="V4216" s="22" t="str">
        <f t="shared" si="325"/>
        <v/>
      </c>
      <c r="X4216" s="33"/>
      <c r="Y4216" s="33"/>
    </row>
    <row r="4217" spans="1:25" x14ac:dyDescent="0.2">
      <c r="A4217" s="93" t="s">
        <v>2763</v>
      </c>
      <c r="B4217" s="94" t="str">
        <f>IFERROR(VLOOKUP($A4217,HeadJournal!$A$1:$NTR$890,COLUMN(HeadJournal!B$1),0),"")</f>
        <v>1495467476</v>
      </c>
      <c r="C4217" s="94" t="str">
        <f>IFERROR(VLOOKUP($A4217,HeadJournal!$A$1:$NTR$890,COLUMN(HeadJournal!C$1),0),"")</f>
        <v>essens_OA</v>
      </c>
      <c r="D4217" s="125" t="str">
        <f>IFERROR(VLOOKUP($A4217,HeadJournal!$A$1:$NTR$890,COLUMN(HeadJournal!D$1),0),"")</f>
        <v>Доставлен</v>
      </c>
      <c r="E4217" s="95">
        <f>IFERROR(VLOOKUP($A4217,HeadJournal!$A$1:$NTR$890,COLUMN(HeadJournal!G$1),0),"")</f>
        <v>45636</v>
      </c>
      <c r="F4217" s="95" t="str">
        <f t="shared" si="326"/>
        <v>2024 12</v>
      </c>
      <c r="G4217" s="97" t="s">
        <v>8</v>
      </c>
      <c r="H4217" s="161" t="s">
        <v>2766</v>
      </c>
      <c r="I4217" s="97" t="s">
        <v>2243</v>
      </c>
      <c r="J4217" s="97" t="s">
        <v>3958</v>
      </c>
      <c r="K4217" s="29">
        <v>1265</v>
      </c>
      <c r="L4217" s="29">
        <v>0</v>
      </c>
      <c r="M4217" s="30">
        <f>IFERROR(VLOOKUP($A4217,HeadJournal!$A$1:$J$890,COLUMN(HeadJournal!I$1),0)*($K4217+$L4217)/(SUMIF($A:$A,$A4217,$K:$K)+SUMIF($A:$A,$A4217,$L:$L)),0)</f>
        <v>0</v>
      </c>
      <c r="N4217" s="30">
        <f>IFERROR((VLOOKUP($A4217,HeadJournal!$A$1:$K$890,COLUMN(HeadJournal!K$1),0)-VLOOKUP($A4217,HeadJournal!$A$1:$K$890,COLUMN(HeadJournal!J$1),0))*($K4217+$L4217)/(SUMIF($A:$A,$A4217,$K:$K)+SUMIF($A:$A,$A4217,$L:$L)),0)</f>
        <v>-210.83333333333334</v>
      </c>
      <c r="O4217" s="30">
        <f>IFERROR((VLOOKUP($A4217,HeadJournal!$A$1:$L$890,COLUMN(HeadJournal!L$1),0)*($K4217+$L4217)/(SUMIF($A:$A,$A4217,$K:$K)+SUMIF($A:$A,$A4217,$L:$L)))/VLOOKUP($A4217,HeadJournal!$A$1:$L$890,COLUMN(HeadJournal!H$1),0),0)</f>
        <v>102.83333333333333</v>
      </c>
      <c r="P4217" s="30">
        <f>IFERROR(SUM(K4217:O4217)*VLOOKUP($A4217,HeadJournal!$A$1:$L$890,COLUMN(HeadJournal!H$1),0),0)</f>
        <v>1157</v>
      </c>
      <c r="Q4217" s="29"/>
      <c r="R4217" s="31"/>
      <c r="S4217" s="31"/>
      <c r="T4217" s="95" t="str">
        <f t="shared" si="327"/>
        <v/>
      </c>
      <c r="U4217" s="32">
        <f t="shared" si="324"/>
        <v>-1157</v>
      </c>
      <c r="V4217" s="22" t="str">
        <f t="shared" si="325"/>
        <v/>
      </c>
      <c r="X4217" s="33"/>
      <c r="Y4217" s="33"/>
    </row>
    <row r="4218" spans="1:25" x14ac:dyDescent="0.2">
      <c r="A4218" s="93" t="s">
        <v>2763</v>
      </c>
      <c r="B4218" s="94" t="str">
        <f>IFERROR(VLOOKUP($A4218,HeadJournal!$A$1:$NTR$890,COLUMN(HeadJournal!B$1),0),"")</f>
        <v>1495467476</v>
      </c>
      <c r="C4218" s="94" t="str">
        <f>IFERROR(VLOOKUP($A4218,HeadJournal!$A$1:$NTR$890,COLUMN(HeadJournal!C$1),0),"")</f>
        <v>essens_OA</v>
      </c>
      <c r="D4218" s="125" t="str">
        <f>IFERROR(VLOOKUP($A4218,HeadJournal!$A$1:$NTR$890,COLUMN(HeadJournal!D$1),0),"")</f>
        <v>Доставлен</v>
      </c>
      <c r="E4218" s="95">
        <f>IFERROR(VLOOKUP($A4218,HeadJournal!$A$1:$NTR$890,COLUMN(HeadJournal!G$1),0),"")</f>
        <v>45636</v>
      </c>
      <c r="F4218" s="95" t="str">
        <f t="shared" si="326"/>
        <v>2024 12</v>
      </c>
      <c r="G4218" s="97" t="s">
        <v>8</v>
      </c>
      <c r="H4218" s="161" t="s">
        <v>2767</v>
      </c>
      <c r="I4218" s="97" t="s">
        <v>2243</v>
      </c>
      <c r="J4218" s="97" t="s">
        <v>3959</v>
      </c>
      <c r="K4218" s="29">
        <v>1265</v>
      </c>
      <c r="L4218" s="29">
        <v>0</v>
      </c>
      <c r="M4218" s="30">
        <f>IFERROR(VLOOKUP($A4218,HeadJournal!$A$1:$J$890,COLUMN(HeadJournal!I$1),0)*($K4218+$L4218)/(SUMIF($A:$A,$A4218,$K:$K)+SUMIF($A:$A,$A4218,$L:$L)),0)</f>
        <v>0</v>
      </c>
      <c r="N4218" s="30">
        <f>IFERROR((VLOOKUP($A4218,HeadJournal!$A$1:$K$890,COLUMN(HeadJournal!K$1),0)-VLOOKUP($A4218,HeadJournal!$A$1:$K$890,COLUMN(HeadJournal!J$1),0))*($K4218+$L4218)/(SUMIF($A:$A,$A4218,$K:$K)+SUMIF($A:$A,$A4218,$L:$L)),0)</f>
        <v>-210.83333333333334</v>
      </c>
      <c r="O4218" s="30">
        <f>IFERROR((VLOOKUP($A4218,HeadJournal!$A$1:$L$890,COLUMN(HeadJournal!L$1),0)*($K4218+$L4218)/(SUMIF($A:$A,$A4218,$K:$K)+SUMIF($A:$A,$A4218,$L:$L)))/VLOOKUP($A4218,HeadJournal!$A$1:$L$890,COLUMN(HeadJournal!H$1),0),0)</f>
        <v>102.83333333333333</v>
      </c>
      <c r="P4218" s="30">
        <f>IFERROR(SUM(K4218:O4218)*VLOOKUP($A4218,HeadJournal!$A$1:$L$890,COLUMN(HeadJournal!H$1),0),0)</f>
        <v>1157</v>
      </c>
      <c r="Q4218" s="29"/>
      <c r="R4218" s="31"/>
      <c r="S4218" s="31"/>
      <c r="T4218" s="95" t="str">
        <f t="shared" si="327"/>
        <v/>
      </c>
      <c r="U4218" s="32">
        <f t="shared" si="324"/>
        <v>-1157</v>
      </c>
      <c r="V4218" s="22" t="str">
        <f t="shared" si="325"/>
        <v/>
      </c>
      <c r="X4218" s="33"/>
      <c r="Y4218" s="33"/>
    </row>
    <row r="4219" spans="1:25" x14ac:dyDescent="0.2">
      <c r="A4219" s="93" t="s">
        <v>2770</v>
      </c>
      <c r="B4219" s="94">
        <f>IFERROR(VLOOKUP($A4219,HeadJournal!$A$1:$NTR$890,COLUMN(HeadJournal!B$1),0),"")</f>
        <v>0</v>
      </c>
      <c r="C4219" s="94" t="str">
        <f>IFERROR(VLOOKUP($A4219,HeadJournal!$A$1:$NTR$890,COLUMN(HeadJournal!C$1),0),"")</f>
        <v>YAMARKET</v>
      </c>
      <c r="D4219" s="125" t="str">
        <f>IFERROR(VLOOKUP($A4219,HeadJournal!$A$1:$NTR$890,COLUMN(HeadJournal!D$1),0),"")</f>
        <v>Доставлен</v>
      </c>
      <c r="E4219" s="95">
        <f>IFERROR(VLOOKUP($A4219,HeadJournal!$A$1:$NTR$890,COLUMN(HeadJournal!G$1),0),"")</f>
        <v>45625</v>
      </c>
      <c r="F4219" s="95" t="str">
        <f t="shared" si="326"/>
        <v>2024 11</v>
      </c>
      <c r="G4219" s="97" t="s">
        <v>5</v>
      </c>
      <c r="H4219" s="161" t="s">
        <v>2771</v>
      </c>
      <c r="I4219" s="97" t="s">
        <v>2052</v>
      </c>
      <c r="J4219" s="97" t="s">
        <v>3858</v>
      </c>
      <c r="K4219" s="29">
        <v>765</v>
      </c>
      <c r="L4219" s="29">
        <v>0</v>
      </c>
      <c r="M4219" s="30">
        <f>IFERROR(VLOOKUP($A4219,HeadJournal!$A$1:$J$890,COLUMN(HeadJournal!I$1),0)*($K4219+$L4219)/(SUMIF($A:$A,$A4219,$K:$K)+SUMIF($A:$A,$A4219,$L:$L)),0)</f>
        <v>0</v>
      </c>
      <c r="N4219" s="30">
        <f>IFERROR((VLOOKUP($A4219,HeadJournal!$A$1:$K$890,COLUMN(HeadJournal!K$1),0)-VLOOKUP($A4219,HeadJournal!$A$1:$K$890,COLUMN(HeadJournal!J$1),0))*($K4219+$L4219)/(SUMIF($A:$A,$A4219,$K:$K)+SUMIF($A:$A,$A4219,$L:$L)),0)</f>
        <v>10</v>
      </c>
      <c r="O4219" s="30">
        <f>IFERROR((VLOOKUP($A4219,HeadJournal!$A$1:$L$890,COLUMN(HeadJournal!L$1),0)*($K4219+$L4219)/(SUMIF($A:$A,$A4219,$K:$K)+SUMIF($A:$A,$A4219,$L:$L)))/VLOOKUP($A4219,HeadJournal!$A$1:$L$890,COLUMN(HeadJournal!H$1),0),0)</f>
        <v>0</v>
      </c>
      <c r="P4219" s="30">
        <f>IFERROR(SUM(K4219:O4219)*VLOOKUP($A4219,HeadJournal!$A$1:$L$890,COLUMN(HeadJournal!H$1),0),0)</f>
        <v>775</v>
      </c>
      <c r="Q4219" s="29">
        <v>1300</v>
      </c>
      <c r="R4219" s="31">
        <v>45654</v>
      </c>
      <c r="S4219" s="31" t="s">
        <v>3121</v>
      </c>
      <c r="T4219" s="95" t="str">
        <f t="shared" si="327"/>
        <v>2024 12</v>
      </c>
      <c r="U4219" s="32">
        <f t="shared" si="324"/>
        <v>525</v>
      </c>
      <c r="V4219" s="22">
        <f t="shared" si="325"/>
        <v>0.67741935483870963</v>
      </c>
      <c r="X4219" s="33"/>
      <c r="Y4219" s="33"/>
    </row>
    <row r="4220" spans="1:25" x14ac:dyDescent="0.2">
      <c r="A4220" s="93" t="s">
        <v>2770</v>
      </c>
      <c r="B4220" s="94">
        <f>IFERROR(VLOOKUP($A4220,HeadJournal!$A$1:$NTR$890,COLUMN(HeadJournal!B$1),0),"")</f>
        <v>0</v>
      </c>
      <c r="C4220" s="94" t="str">
        <f>IFERROR(VLOOKUP($A4220,HeadJournal!$A$1:$NTR$890,COLUMN(HeadJournal!C$1),0),"")</f>
        <v>YAMARKET</v>
      </c>
      <c r="D4220" s="125" t="str">
        <f>IFERROR(VLOOKUP($A4220,HeadJournal!$A$1:$NTR$890,COLUMN(HeadJournal!D$1),0),"")</f>
        <v>Доставлен</v>
      </c>
      <c r="E4220" s="95">
        <f>IFERROR(VLOOKUP($A4220,HeadJournal!$A$1:$NTR$890,COLUMN(HeadJournal!G$1),0),"")</f>
        <v>45625</v>
      </c>
      <c r="F4220" s="95" t="str">
        <f t="shared" si="326"/>
        <v>2024 11</v>
      </c>
      <c r="G4220" s="97" t="s">
        <v>5</v>
      </c>
      <c r="H4220" s="161" t="s">
        <v>2771</v>
      </c>
      <c r="I4220" s="97" t="s">
        <v>2052</v>
      </c>
      <c r="J4220" s="97" t="s">
        <v>3858</v>
      </c>
      <c r="K4220" s="29">
        <v>765</v>
      </c>
      <c r="L4220" s="29">
        <v>0</v>
      </c>
      <c r="M4220" s="30">
        <f>IFERROR(VLOOKUP($A4220,HeadJournal!$A$1:$J$890,COLUMN(HeadJournal!I$1),0)*($K4220+$L4220)/(SUMIF($A:$A,$A4220,$K:$K)+SUMIF($A:$A,$A4220,$L:$L)),0)</f>
        <v>0</v>
      </c>
      <c r="N4220" s="30">
        <f>IFERROR((VLOOKUP($A4220,HeadJournal!$A$1:$K$890,COLUMN(HeadJournal!K$1),0)-VLOOKUP($A4220,HeadJournal!$A$1:$K$890,COLUMN(HeadJournal!J$1),0))*($K4220+$L4220)/(SUMIF($A:$A,$A4220,$K:$K)+SUMIF($A:$A,$A4220,$L:$L)),0)</f>
        <v>10</v>
      </c>
      <c r="O4220" s="30">
        <f>IFERROR((VLOOKUP($A4220,HeadJournal!$A$1:$L$890,COLUMN(HeadJournal!L$1),0)*($K4220+$L4220)/(SUMIF($A:$A,$A4220,$K:$K)+SUMIF($A:$A,$A4220,$L:$L)))/VLOOKUP($A4220,HeadJournal!$A$1:$L$890,COLUMN(HeadJournal!H$1),0),0)</f>
        <v>0</v>
      </c>
      <c r="P4220" s="30">
        <f>IFERROR(SUM(K4220:O4220)*VLOOKUP($A4220,HeadJournal!$A$1:$L$890,COLUMN(HeadJournal!H$1),0),0)</f>
        <v>775</v>
      </c>
      <c r="Q4220" s="29">
        <v>1900</v>
      </c>
      <c r="R4220" s="31">
        <v>45665</v>
      </c>
      <c r="S4220" s="31" t="s">
        <v>3121</v>
      </c>
      <c r="T4220" s="95" t="str">
        <f t="shared" si="327"/>
        <v>2025 01</v>
      </c>
      <c r="U4220" s="32">
        <f t="shared" si="324"/>
        <v>1125</v>
      </c>
      <c r="V4220" s="22">
        <f t="shared" si="325"/>
        <v>1.4516129032258065</v>
      </c>
      <c r="X4220" s="33"/>
      <c r="Y4220" s="33"/>
    </row>
    <row r="4221" spans="1:25" x14ac:dyDescent="0.2">
      <c r="A4221" s="93" t="s">
        <v>2786</v>
      </c>
      <c r="B4221" s="94" t="str">
        <f>IFERROR(VLOOKUP($A4221,HeadJournal!$A$1:$NTR$890,COLUMN(HeadJournal!B$1),0),"")</f>
        <v>720000539796</v>
      </c>
      <c r="C4221" s="94" t="str">
        <f>IFERROR(VLOOKUP($A4221,HeadJournal!$A$1:$NTR$890,COLUMN(HeadJournal!C$1),0),"")</f>
        <v>iHerb_OA CZN6870</v>
      </c>
      <c r="D4221" s="125" t="str">
        <f>IFERROR(VLOOKUP($A4221,HeadJournal!$A$1:$NTR$890,COLUMN(HeadJournal!D$1),0),"")</f>
        <v>Доставлен</v>
      </c>
      <c r="E4221" s="95">
        <f>IFERROR(VLOOKUP($A4221,HeadJournal!$A$1:$NTR$890,COLUMN(HeadJournal!G$1),0),"")</f>
        <v>45659</v>
      </c>
      <c r="F4221" s="95" t="str">
        <f t="shared" si="326"/>
        <v>2025 01</v>
      </c>
      <c r="G4221" s="97" t="s">
        <v>5</v>
      </c>
      <c r="H4221" s="161" t="s">
        <v>2722</v>
      </c>
      <c r="I4221" s="97" t="s">
        <v>2102</v>
      </c>
      <c r="J4221" s="97" t="s">
        <v>2723</v>
      </c>
      <c r="K4221" s="29">
        <v>11.97</v>
      </c>
      <c r="L4221" s="29">
        <v>-2.3933333333333331</v>
      </c>
      <c r="M4221" s="30">
        <f>IFERROR(VLOOKUP($A4221,HeadJournal!$A$1:$J$890,COLUMN(HeadJournal!I$1),0)*($K4221+$L4221)/(SUMIF($A:$A,$A4221,$K:$K)+SUMIF($A:$A,$A4221,$L:$L)),0)</f>
        <v>-0.58748952007034327</v>
      </c>
      <c r="N4221" s="30">
        <f>IFERROR((VLOOKUP($A4221,HeadJournal!$A$1:$K$890,COLUMN(HeadJournal!K$1),0)-VLOOKUP($A4221,HeadJournal!$A$1:$K$890,COLUMN(HeadJournal!J$1),0))*($K4221+$L4221)/(SUMIF($A:$A,$A4221,$K:$K)+SUMIF($A:$A,$A4221,$L:$L)),0)</f>
        <v>-3.3394912865693598E-15</v>
      </c>
      <c r="O4221" s="30">
        <f>IFERROR((VLOOKUP($A4221,HeadJournal!$A$1:$L$890,COLUMN(HeadJournal!L$1),0)*($K4221+$L4221)/(SUMIF($A:$A,$A4221,$K:$K)+SUMIF($A:$A,$A4221,$L:$L)))/VLOOKUP($A4221,HeadJournal!$A$1:$L$890,COLUMN(HeadJournal!H$1),0),0)</f>
        <v>0.43073209568917464</v>
      </c>
      <c r="P4221" s="30">
        <f>IFERROR(SUM(K4221:O4221)*VLOOKUP($A4221,HeadJournal!$A$1:$L$890,COLUMN(HeadJournal!H$1),0),0)</f>
        <v>1151.6884097771772</v>
      </c>
      <c r="Q4221" s="29">
        <v>1800</v>
      </c>
      <c r="R4221" s="31">
        <v>45705</v>
      </c>
      <c r="S4221" s="31" t="s">
        <v>3121</v>
      </c>
      <c r="T4221" s="95" t="str">
        <f t="shared" si="327"/>
        <v>2025 02</v>
      </c>
      <c r="U4221" s="32">
        <f t="shared" si="324"/>
        <v>648.31159022282282</v>
      </c>
      <c r="V4221" s="22">
        <f t="shared" si="325"/>
        <v>0.56292273562799411</v>
      </c>
      <c r="X4221" s="33"/>
      <c r="Y4221" s="33"/>
    </row>
    <row r="4222" spans="1:25" x14ac:dyDescent="0.2">
      <c r="A4222" s="93" t="s">
        <v>2786</v>
      </c>
      <c r="B4222" s="94" t="str">
        <f>IFERROR(VLOOKUP($A4222,HeadJournal!$A$1:$NTR$890,COLUMN(HeadJournal!B$1),0),"")</f>
        <v>720000539796</v>
      </c>
      <c r="C4222" s="94" t="str">
        <f>IFERROR(VLOOKUP($A4222,HeadJournal!$A$1:$NTR$890,COLUMN(HeadJournal!C$1),0),"")</f>
        <v>iHerb_OA CZN6870</v>
      </c>
      <c r="D4222" s="125" t="str">
        <f>IFERROR(VLOOKUP($A4222,HeadJournal!$A$1:$NTR$890,COLUMN(HeadJournal!D$1),0),"")</f>
        <v>Доставлен</v>
      </c>
      <c r="E4222" s="95">
        <f>IFERROR(VLOOKUP($A4222,HeadJournal!$A$1:$NTR$890,COLUMN(HeadJournal!G$1),0),"")</f>
        <v>45659</v>
      </c>
      <c r="F4222" s="95" t="str">
        <f t="shared" si="326"/>
        <v>2025 01</v>
      </c>
      <c r="G4222" s="97" t="s">
        <v>5</v>
      </c>
      <c r="H4222" s="161" t="s">
        <v>2722</v>
      </c>
      <c r="I4222" s="97" t="s">
        <v>2102</v>
      </c>
      <c r="J4222" s="97" t="s">
        <v>2723</v>
      </c>
      <c r="K4222" s="29">
        <v>11.97</v>
      </c>
      <c r="L4222" s="29">
        <v>-2.3933333333333331</v>
      </c>
      <c r="M4222" s="30">
        <f>IFERROR(VLOOKUP($A4222,HeadJournal!$A$1:$J$890,COLUMN(HeadJournal!I$1),0)*($K4222+$L4222)/(SUMIF($A:$A,$A4222,$K:$K)+SUMIF($A:$A,$A4222,$L:$L)),0)</f>
        <v>-0.58748952007034327</v>
      </c>
      <c r="N4222" s="30">
        <f>IFERROR((VLOOKUP($A4222,HeadJournal!$A$1:$K$890,COLUMN(HeadJournal!K$1),0)-VLOOKUP($A4222,HeadJournal!$A$1:$K$890,COLUMN(HeadJournal!J$1),0))*($K4222+$L4222)/(SUMIF($A:$A,$A4222,$K:$K)+SUMIF($A:$A,$A4222,$L:$L)),0)</f>
        <v>-3.3394912865693598E-15</v>
      </c>
      <c r="O4222" s="30">
        <f>IFERROR((VLOOKUP($A4222,HeadJournal!$A$1:$L$890,COLUMN(HeadJournal!L$1),0)*($K4222+$L4222)/(SUMIF($A:$A,$A4222,$K:$K)+SUMIF($A:$A,$A4222,$L:$L)))/VLOOKUP($A4222,HeadJournal!$A$1:$L$890,COLUMN(HeadJournal!H$1),0),0)</f>
        <v>0.43073209568917464</v>
      </c>
      <c r="P4222" s="30">
        <f>IFERROR(SUM(K4222:O4222)*VLOOKUP($A4222,HeadJournal!$A$1:$L$890,COLUMN(HeadJournal!H$1),0),0)</f>
        <v>1151.6884097771772</v>
      </c>
      <c r="Q4222" s="29"/>
      <c r="R4222" s="31"/>
      <c r="S4222" s="31"/>
      <c r="T4222" s="95" t="str">
        <f t="shared" si="327"/>
        <v/>
      </c>
      <c r="U4222" s="32">
        <f t="shared" si="324"/>
        <v>-1151.6884097771772</v>
      </c>
      <c r="V4222" s="22" t="str">
        <f t="shared" si="325"/>
        <v/>
      </c>
      <c r="X4222" s="33"/>
      <c r="Y4222" s="33"/>
    </row>
    <row r="4223" spans="1:25" x14ac:dyDescent="0.2">
      <c r="A4223" s="93" t="s">
        <v>2786</v>
      </c>
      <c r="B4223" s="94" t="str">
        <f>IFERROR(VLOOKUP($A4223,HeadJournal!$A$1:$NTR$890,COLUMN(HeadJournal!B$1),0),"")</f>
        <v>720000539796</v>
      </c>
      <c r="C4223" s="94" t="str">
        <f>IFERROR(VLOOKUP($A4223,HeadJournal!$A$1:$NTR$890,COLUMN(HeadJournal!C$1),0),"")</f>
        <v>iHerb_OA CZN6870</v>
      </c>
      <c r="D4223" s="125" t="str">
        <f>IFERROR(VLOOKUP($A4223,HeadJournal!$A$1:$NTR$890,COLUMN(HeadJournal!D$1),0),"")</f>
        <v>Доставлен</v>
      </c>
      <c r="E4223" s="95">
        <f>IFERROR(VLOOKUP($A4223,HeadJournal!$A$1:$NTR$890,COLUMN(HeadJournal!G$1),0),"")</f>
        <v>45659</v>
      </c>
      <c r="F4223" s="95" t="str">
        <f t="shared" si="326"/>
        <v>2025 01</v>
      </c>
      <c r="G4223" s="97" t="s">
        <v>5</v>
      </c>
      <c r="H4223" s="161" t="s">
        <v>2722</v>
      </c>
      <c r="I4223" s="97" t="s">
        <v>2102</v>
      </c>
      <c r="J4223" s="97" t="s">
        <v>2723</v>
      </c>
      <c r="K4223" s="29">
        <v>11.97</v>
      </c>
      <c r="L4223" s="29">
        <v>-2.3933333333333331</v>
      </c>
      <c r="M4223" s="30">
        <f>IFERROR(VLOOKUP($A4223,HeadJournal!$A$1:$J$890,COLUMN(HeadJournal!I$1),0)*($K4223+$L4223)/(SUMIF($A:$A,$A4223,$K:$K)+SUMIF($A:$A,$A4223,$L:$L)),0)</f>
        <v>-0.58748952007034327</v>
      </c>
      <c r="N4223" s="30">
        <f>IFERROR((VLOOKUP($A4223,HeadJournal!$A$1:$K$890,COLUMN(HeadJournal!K$1),0)-VLOOKUP($A4223,HeadJournal!$A$1:$K$890,COLUMN(HeadJournal!J$1),0))*($K4223+$L4223)/(SUMIF($A:$A,$A4223,$K:$K)+SUMIF($A:$A,$A4223,$L:$L)),0)</f>
        <v>-3.3394912865693598E-15</v>
      </c>
      <c r="O4223" s="30">
        <f>IFERROR((VLOOKUP($A4223,HeadJournal!$A$1:$L$890,COLUMN(HeadJournal!L$1),0)*($K4223+$L4223)/(SUMIF($A:$A,$A4223,$K:$K)+SUMIF($A:$A,$A4223,$L:$L)))/VLOOKUP($A4223,HeadJournal!$A$1:$L$890,COLUMN(HeadJournal!H$1),0),0)</f>
        <v>0.43073209568917464</v>
      </c>
      <c r="P4223" s="30">
        <f>IFERROR(SUM(K4223:O4223)*VLOOKUP($A4223,HeadJournal!$A$1:$L$890,COLUMN(HeadJournal!H$1),0),0)</f>
        <v>1151.6884097771772</v>
      </c>
      <c r="Q4223" s="29"/>
      <c r="R4223" s="31"/>
      <c r="S4223" s="31"/>
      <c r="T4223" s="95" t="str">
        <f t="shared" si="327"/>
        <v/>
      </c>
      <c r="U4223" s="32">
        <f t="shared" si="324"/>
        <v>-1151.6884097771772</v>
      </c>
      <c r="V4223" s="22" t="str">
        <f t="shared" si="325"/>
        <v/>
      </c>
      <c r="X4223" s="33"/>
      <c r="Y4223" s="33"/>
    </row>
    <row r="4224" spans="1:25" x14ac:dyDescent="0.2">
      <c r="A4224" s="93" t="s">
        <v>2786</v>
      </c>
      <c r="B4224" s="94" t="str">
        <f>IFERROR(VLOOKUP($A4224,HeadJournal!$A$1:$NTR$890,COLUMN(HeadJournal!B$1),0),"")</f>
        <v>720000539796</v>
      </c>
      <c r="C4224" s="94" t="str">
        <f>IFERROR(VLOOKUP($A4224,HeadJournal!$A$1:$NTR$890,COLUMN(HeadJournal!C$1),0),"")</f>
        <v>iHerb_OA CZN6870</v>
      </c>
      <c r="D4224" s="125" t="str">
        <f>IFERROR(VLOOKUP($A4224,HeadJournal!$A$1:$NTR$890,COLUMN(HeadJournal!D$1),0),"")</f>
        <v>Доставлен</v>
      </c>
      <c r="E4224" s="95">
        <f>IFERROR(VLOOKUP($A4224,HeadJournal!$A$1:$NTR$890,COLUMN(HeadJournal!G$1),0),"")</f>
        <v>45659</v>
      </c>
      <c r="F4224" s="95" t="str">
        <f t="shared" si="326"/>
        <v>2025 01</v>
      </c>
      <c r="G4224" s="97" t="s">
        <v>5</v>
      </c>
      <c r="H4224" s="161" t="s">
        <v>2189</v>
      </c>
      <c r="I4224" s="97" t="s">
        <v>2005</v>
      </c>
      <c r="J4224" s="97" t="s">
        <v>4154</v>
      </c>
      <c r="K4224" s="29">
        <v>30.55</v>
      </c>
      <c r="L4224" s="29">
        <v>-6.1099999999999994</v>
      </c>
      <c r="M4224" s="30">
        <f>IFERROR(VLOOKUP($A4224,HeadJournal!$A$1:$J$890,COLUMN(HeadJournal!I$1),0)*($K4224+$L4224)/(SUMIF($A:$A,$A4224,$K:$K)+SUMIF($A:$A,$A4224,$L:$L)),0)</f>
        <v>-1.4992945218084777</v>
      </c>
      <c r="N4224" s="30">
        <f>IFERROR((VLOOKUP($A4224,HeadJournal!$A$1:$K$890,COLUMN(HeadJournal!K$1),0)-VLOOKUP($A4224,HeadJournal!$A$1:$K$890,COLUMN(HeadJournal!J$1),0))*($K4224+$L4224)/(SUMIF($A:$A,$A4224,$K:$K)+SUMIF($A:$A,$A4224,$L:$L)),0)</f>
        <v>-8.5225026498874156E-15</v>
      </c>
      <c r="O4224" s="30">
        <f>IFERROR((VLOOKUP($A4224,HeadJournal!$A$1:$L$890,COLUMN(HeadJournal!L$1),0)*($K4224+$L4224)/(SUMIF($A:$A,$A4224,$K:$K)+SUMIF($A:$A,$A4224,$L:$L)))/VLOOKUP($A4224,HeadJournal!$A$1:$L$890,COLUMN(HeadJournal!H$1),0),0)</f>
        <v>1.0992439003108347</v>
      </c>
      <c r="P4224" s="30">
        <f>IFERROR(SUM(K4224:O4224)*VLOOKUP($A4224,HeadJournal!$A$1:$L$890,COLUMN(HeadJournal!H$1),0),0)</f>
        <v>2939.1505118295386</v>
      </c>
      <c r="Q4224" s="29">
        <v>4000</v>
      </c>
      <c r="R4224" s="31">
        <v>45704</v>
      </c>
      <c r="S4224" s="31" t="s">
        <v>3121</v>
      </c>
      <c r="T4224" s="95" t="str">
        <f t="shared" si="327"/>
        <v>2025 02</v>
      </c>
      <c r="U4224" s="32">
        <f t="shared" si="324"/>
        <v>1060.8494881704614</v>
      </c>
      <c r="V4224" s="22">
        <f t="shared" si="325"/>
        <v>0.36093744906929331</v>
      </c>
      <c r="X4224" s="33"/>
      <c r="Y4224" s="33"/>
    </row>
    <row r="4225" spans="1:25" x14ac:dyDescent="0.2">
      <c r="A4225" s="93" t="s">
        <v>2786</v>
      </c>
      <c r="B4225" s="94" t="str">
        <f>IFERROR(VLOOKUP($A4225,HeadJournal!$A$1:$NTR$890,COLUMN(HeadJournal!B$1),0),"")</f>
        <v>720000539796</v>
      </c>
      <c r="C4225" s="94" t="str">
        <f>IFERROR(VLOOKUP($A4225,HeadJournal!$A$1:$NTR$890,COLUMN(HeadJournal!C$1),0),"")</f>
        <v>iHerb_OA CZN6870</v>
      </c>
      <c r="D4225" s="125" t="str">
        <f>IFERROR(VLOOKUP($A4225,HeadJournal!$A$1:$NTR$890,COLUMN(HeadJournal!D$1),0),"")</f>
        <v>Доставлен</v>
      </c>
      <c r="E4225" s="95">
        <f>IFERROR(VLOOKUP($A4225,HeadJournal!$A$1:$NTR$890,COLUMN(HeadJournal!G$1),0),"")</f>
        <v>45659</v>
      </c>
      <c r="F4225" s="95" t="str">
        <f t="shared" si="326"/>
        <v>2025 01</v>
      </c>
      <c r="G4225" s="97" t="s">
        <v>5</v>
      </c>
      <c r="H4225" s="161" t="s">
        <v>2189</v>
      </c>
      <c r="I4225" s="97" t="s">
        <v>2005</v>
      </c>
      <c r="J4225" s="97" t="s">
        <v>4154</v>
      </c>
      <c r="K4225" s="29">
        <v>30.55</v>
      </c>
      <c r="L4225" s="29">
        <v>-6.1099999999999994</v>
      </c>
      <c r="M4225" s="30">
        <f>IFERROR(VLOOKUP($A4225,HeadJournal!$A$1:$J$890,COLUMN(HeadJournal!I$1),0)*($K4225+$L4225)/(SUMIF($A:$A,$A4225,$K:$K)+SUMIF($A:$A,$A4225,$L:$L)),0)</f>
        <v>-1.4992945218084777</v>
      </c>
      <c r="N4225" s="30">
        <f>IFERROR((VLOOKUP($A4225,HeadJournal!$A$1:$K$890,COLUMN(HeadJournal!K$1),0)-VLOOKUP($A4225,HeadJournal!$A$1:$K$890,COLUMN(HeadJournal!J$1),0))*($K4225+$L4225)/(SUMIF($A:$A,$A4225,$K:$K)+SUMIF($A:$A,$A4225,$L:$L)),0)</f>
        <v>-8.5225026498874156E-15</v>
      </c>
      <c r="O4225" s="30">
        <f>IFERROR((VLOOKUP($A4225,HeadJournal!$A$1:$L$890,COLUMN(HeadJournal!L$1),0)*($K4225+$L4225)/(SUMIF($A:$A,$A4225,$K:$K)+SUMIF($A:$A,$A4225,$L:$L)))/VLOOKUP($A4225,HeadJournal!$A$1:$L$890,COLUMN(HeadJournal!H$1),0),0)</f>
        <v>1.0992439003108347</v>
      </c>
      <c r="P4225" s="30">
        <f>IFERROR(SUM(K4225:O4225)*VLOOKUP($A4225,HeadJournal!$A$1:$L$890,COLUMN(HeadJournal!H$1),0),0)</f>
        <v>2939.1505118295386</v>
      </c>
      <c r="Q4225" s="29">
        <v>3900</v>
      </c>
      <c r="R4225" s="31">
        <v>45776</v>
      </c>
      <c r="S4225" s="31" t="s">
        <v>3211</v>
      </c>
      <c r="T4225" s="95" t="str">
        <f t="shared" si="327"/>
        <v>2025 04</v>
      </c>
      <c r="U4225" s="32">
        <f t="shared" ref="U4225:U4288" si="328">Q4225-P4225</f>
        <v>960.84948817046143</v>
      </c>
      <c r="V4225" s="22">
        <f t="shared" ref="V4225:V4288" si="329">IF(Q4225&lt;&gt;0,IFERROR(U4225/P4225,""),"")</f>
        <v>0.326914012842561</v>
      </c>
      <c r="X4225" s="33"/>
      <c r="Y4225" s="33"/>
    </row>
    <row r="4226" spans="1:25" x14ac:dyDescent="0.2">
      <c r="A4226" s="93" t="s">
        <v>2786</v>
      </c>
      <c r="B4226" s="94" t="str">
        <f>IFERROR(VLOOKUP($A4226,HeadJournal!$A$1:$NTR$890,COLUMN(HeadJournal!B$1),0),"")</f>
        <v>720000539796</v>
      </c>
      <c r="C4226" s="94" t="str">
        <f>IFERROR(VLOOKUP($A4226,HeadJournal!$A$1:$NTR$890,COLUMN(HeadJournal!C$1),0),"")</f>
        <v>iHerb_OA CZN6870</v>
      </c>
      <c r="D4226" s="125" t="str">
        <f>IFERROR(VLOOKUP($A4226,HeadJournal!$A$1:$NTR$890,COLUMN(HeadJournal!D$1),0),"")</f>
        <v>Доставлен</v>
      </c>
      <c r="E4226" s="95">
        <f>IFERROR(VLOOKUP($A4226,HeadJournal!$A$1:$NTR$890,COLUMN(HeadJournal!G$1),0),"")</f>
        <v>45659</v>
      </c>
      <c r="F4226" s="95" t="str">
        <f t="shared" si="326"/>
        <v>2025 01</v>
      </c>
      <c r="G4226" s="97" t="s">
        <v>5</v>
      </c>
      <c r="H4226" s="161" t="s">
        <v>2189</v>
      </c>
      <c r="I4226" s="97" t="s">
        <v>2005</v>
      </c>
      <c r="J4226" s="97" t="s">
        <v>4154</v>
      </c>
      <c r="K4226" s="29">
        <v>30.55</v>
      </c>
      <c r="L4226" s="29">
        <v>-6.1099999999999994</v>
      </c>
      <c r="M4226" s="30">
        <f>IFERROR(VLOOKUP($A4226,HeadJournal!$A$1:$J$890,COLUMN(HeadJournal!I$1),0)*($K4226+$L4226)/(SUMIF($A:$A,$A4226,$K:$K)+SUMIF($A:$A,$A4226,$L:$L)),0)</f>
        <v>-1.4992945218084777</v>
      </c>
      <c r="N4226" s="30">
        <f>IFERROR((VLOOKUP($A4226,HeadJournal!$A$1:$K$890,COLUMN(HeadJournal!K$1),0)-VLOOKUP($A4226,HeadJournal!$A$1:$K$890,COLUMN(HeadJournal!J$1),0))*($K4226+$L4226)/(SUMIF($A:$A,$A4226,$K:$K)+SUMIF($A:$A,$A4226,$L:$L)),0)</f>
        <v>-8.5225026498874156E-15</v>
      </c>
      <c r="O4226" s="30">
        <f>IFERROR((VLOOKUP($A4226,HeadJournal!$A$1:$L$890,COLUMN(HeadJournal!L$1),0)*($K4226+$L4226)/(SUMIF($A:$A,$A4226,$K:$K)+SUMIF($A:$A,$A4226,$L:$L)))/VLOOKUP($A4226,HeadJournal!$A$1:$L$890,COLUMN(HeadJournal!H$1),0),0)</f>
        <v>1.0992439003108347</v>
      </c>
      <c r="P4226" s="30">
        <f>IFERROR(SUM(K4226:O4226)*VLOOKUP($A4226,HeadJournal!$A$1:$L$890,COLUMN(HeadJournal!H$1),0),0)</f>
        <v>2939.1505118295386</v>
      </c>
      <c r="Q4226" s="29">
        <v>3600</v>
      </c>
      <c r="R4226" s="31">
        <v>45890</v>
      </c>
      <c r="S4226" s="31"/>
      <c r="T4226" s="95" t="str">
        <f t="shared" si="327"/>
        <v>2025 08</v>
      </c>
      <c r="U4226" s="32">
        <f t="shared" si="328"/>
        <v>660.84948817046143</v>
      </c>
      <c r="V4226" s="22">
        <f t="shared" si="329"/>
        <v>0.22484370416236396</v>
      </c>
      <c r="X4226" s="33"/>
      <c r="Y4226" s="33"/>
    </row>
    <row r="4227" spans="1:25" x14ac:dyDescent="0.2">
      <c r="A4227" s="93" t="s">
        <v>2786</v>
      </c>
      <c r="B4227" s="94" t="str">
        <f>IFERROR(VLOOKUP($A4227,HeadJournal!$A$1:$NTR$890,COLUMN(HeadJournal!B$1),0),"")</f>
        <v>720000539796</v>
      </c>
      <c r="C4227" s="94" t="str">
        <f>IFERROR(VLOOKUP($A4227,HeadJournal!$A$1:$NTR$890,COLUMN(HeadJournal!C$1),0),"")</f>
        <v>iHerb_OA CZN6870</v>
      </c>
      <c r="D4227" s="125" t="str">
        <f>IFERROR(VLOOKUP($A4227,HeadJournal!$A$1:$NTR$890,COLUMN(HeadJournal!D$1),0),"")</f>
        <v>Доставлен</v>
      </c>
      <c r="E4227" s="95">
        <f>IFERROR(VLOOKUP($A4227,HeadJournal!$A$1:$NTR$890,COLUMN(HeadJournal!G$1),0),"")</f>
        <v>45659</v>
      </c>
      <c r="F4227" s="95" t="str">
        <f t="shared" si="326"/>
        <v>2025 01</v>
      </c>
      <c r="G4227" s="97" t="s">
        <v>5</v>
      </c>
      <c r="H4227" s="161" t="s">
        <v>2027</v>
      </c>
      <c r="I4227" s="97" t="s">
        <v>2005</v>
      </c>
      <c r="J4227" s="97" t="s">
        <v>4110</v>
      </c>
      <c r="K4227" s="29">
        <v>8.3699999999999992</v>
      </c>
      <c r="L4227" s="29">
        <v>-1.67</v>
      </c>
      <c r="M4227" s="30">
        <f>IFERROR(VLOOKUP($A4227,HeadJournal!$A$1:$J$890,COLUMN(HeadJournal!I$1),0)*($K4227+$L4227)/(SUMIF($A:$A,$A4227,$K:$K)+SUMIF($A:$A,$A4227,$L:$L)),0)</f>
        <v>-0.41101772897368249</v>
      </c>
      <c r="N4227" s="30">
        <f>IFERROR((VLOOKUP($A4227,HeadJournal!$A$1:$K$890,COLUMN(HeadJournal!K$1),0)-VLOOKUP($A4227,HeadJournal!$A$1:$K$890,COLUMN(HeadJournal!J$1),0))*($K4227+$L4227)/(SUMIF($A:$A,$A4227,$K:$K)+SUMIF($A:$A,$A4227,$L:$L)),0)</f>
        <v>-2.3363652927269097E-15</v>
      </c>
      <c r="O4227" s="30">
        <f>IFERROR((VLOOKUP($A4227,HeadJournal!$A$1:$L$890,COLUMN(HeadJournal!L$1),0)*($K4227+$L4227)/(SUMIF($A:$A,$A4227,$K:$K)+SUMIF($A:$A,$A4227,$L:$L)))/VLOOKUP($A4227,HeadJournal!$A$1:$L$890,COLUMN(HeadJournal!H$1),0),0)</f>
        <v>0.30134755041254474</v>
      </c>
      <c r="P4227" s="30">
        <f>IFERROR(SUM(K4227:O4227)*VLOOKUP($A4227,HeadJournal!$A$1:$L$890,COLUMN(HeadJournal!H$1),0),0)</f>
        <v>805.74093409402212</v>
      </c>
      <c r="Q4227" s="29">
        <v>1100</v>
      </c>
      <c r="R4227" s="31">
        <v>45808</v>
      </c>
      <c r="S4227" s="31" t="s">
        <v>3121</v>
      </c>
      <c r="T4227" s="95" t="str">
        <f t="shared" si="327"/>
        <v>2025 05</v>
      </c>
      <c r="U4227" s="32">
        <f t="shared" si="328"/>
        <v>294.25906590597788</v>
      </c>
      <c r="V4227" s="22">
        <f t="shared" si="329"/>
        <v>0.36520307390966028</v>
      </c>
      <c r="X4227" s="33"/>
      <c r="Y4227" s="33"/>
    </row>
    <row r="4228" spans="1:25" x14ac:dyDescent="0.2">
      <c r="A4228" s="93" t="s">
        <v>2786</v>
      </c>
      <c r="B4228" s="94" t="str">
        <f>IFERROR(VLOOKUP($A4228,HeadJournal!$A$1:$NTR$890,COLUMN(HeadJournal!B$1),0),"")</f>
        <v>720000539796</v>
      </c>
      <c r="C4228" s="94" t="str">
        <f>IFERROR(VLOOKUP($A4228,HeadJournal!$A$1:$NTR$890,COLUMN(HeadJournal!C$1),0),"")</f>
        <v>iHerb_OA CZN6870</v>
      </c>
      <c r="D4228" s="125" t="str">
        <f>IFERROR(VLOOKUP($A4228,HeadJournal!$A$1:$NTR$890,COLUMN(HeadJournal!D$1),0),"")</f>
        <v>Доставлен</v>
      </c>
      <c r="E4228" s="95">
        <f>IFERROR(VLOOKUP($A4228,HeadJournal!$A$1:$NTR$890,COLUMN(HeadJournal!G$1),0),"")</f>
        <v>45659</v>
      </c>
      <c r="F4228" s="95" t="str">
        <f t="shared" ref="F4228:F4291" si="330">IFERROR(TEXT(E4228, "ГГГГ ММ"),"")</f>
        <v>2025 01</v>
      </c>
      <c r="G4228" s="97" t="s">
        <v>5</v>
      </c>
      <c r="H4228" s="161" t="s">
        <v>2614</v>
      </c>
      <c r="I4228" s="97" t="s">
        <v>2005</v>
      </c>
      <c r="J4228" s="97" t="s">
        <v>2641</v>
      </c>
      <c r="K4228" s="29">
        <v>5.87</v>
      </c>
      <c r="L4228" s="29">
        <v>-1.17</v>
      </c>
      <c r="M4228" s="30">
        <f>IFERROR(VLOOKUP($A4228,HeadJournal!$A$1:$J$890,COLUMN(HeadJournal!I$1),0)*($K4228+$L4228)/(SUMIF($A:$A,$A4228,$K:$K)+SUMIF($A:$A,$A4228,$L:$L)),0)</f>
        <v>-0.28832586957855338</v>
      </c>
      <c r="N4228" s="30">
        <f>IFERROR((VLOOKUP($A4228,HeadJournal!$A$1:$K$890,COLUMN(HeadJournal!K$1),0)-VLOOKUP($A4228,HeadJournal!$A$1:$K$890,COLUMN(HeadJournal!J$1),0))*($K4228+$L4228)/(SUMIF($A:$A,$A4228,$K:$K)+SUMIF($A:$A,$A4228,$L:$L)),0)</f>
        <v>-1.6389428172860414E-15</v>
      </c>
      <c r="O4228" s="30">
        <f>IFERROR((VLOOKUP($A4228,HeadJournal!$A$1:$L$890,COLUMN(HeadJournal!L$1),0)*($K4228+$L4228)/(SUMIF($A:$A,$A4228,$K:$K)+SUMIF($A:$A,$A4228,$L:$L)))/VLOOKUP($A4228,HeadJournal!$A$1:$L$890,COLUMN(HeadJournal!H$1),0),0)</f>
        <v>0.21139305775208361</v>
      </c>
      <c r="P4228" s="30">
        <f>IFERROR(SUM(K4228:O4228)*VLOOKUP($A4228,HeadJournal!$A$1:$L$890,COLUMN(HeadJournal!H$1),0),0)</f>
        <v>565.22125227491108</v>
      </c>
      <c r="Q4228" s="29">
        <v>1000</v>
      </c>
      <c r="R4228" s="31">
        <v>45773</v>
      </c>
      <c r="S4228" s="31" t="s">
        <v>3491</v>
      </c>
      <c r="T4228" s="95" t="str">
        <f t="shared" ref="T4228:T4291" si="331">IF(R4228="","",TEXT(R4228,"ГГГГ ММ"))</f>
        <v>2025 04</v>
      </c>
      <c r="U4228" s="32">
        <f t="shared" si="328"/>
        <v>434.77874772508892</v>
      </c>
      <c r="V4228" s="22">
        <f t="shared" si="329"/>
        <v>0.76921868379008185</v>
      </c>
      <c r="X4228" s="33"/>
      <c r="Y4228" s="33"/>
    </row>
    <row r="4229" spans="1:25" x14ac:dyDescent="0.2">
      <c r="A4229" s="93" t="s">
        <v>2786</v>
      </c>
      <c r="B4229" s="94" t="str">
        <f>IFERROR(VLOOKUP($A4229,HeadJournal!$A$1:$NTR$890,COLUMN(HeadJournal!B$1),0),"")</f>
        <v>720000539796</v>
      </c>
      <c r="C4229" s="94" t="str">
        <f>IFERROR(VLOOKUP($A4229,HeadJournal!$A$1:$NTR$890,COLUMN(HeadJournal!C$1),0),"")</f>
        <v>iHerb_OA CZN6870</v>
      </c>
      <c r="D4229" s="125" t="str">
        <f>IFERROR(VLOOKUP($A4229,HeadJournal!$A$1:$NTR$890,COLUMN(HeadJournal!D$1),0),"")</f>
        <v>Доставлен</v>
      </c>
      <c r="E4229" s="95">
        <f>IFERROR(VLOOKUP($A4229,HeadJournal!$A$1:$NTR$890,COLUMN(HeadJournal!G$1),0),"")</f>
        <v>45659</v>
      </c>
      <c r="F4229" s="95" t="str">
        <f t="shared" si="330"/>
        <v>2025 01</v>
      </c>
      <c r="G4229" s="97" t="s">
        <v>5</v>
      </c>
      <c r="H4229" s="161" t="s">
        <v>2773</v>
      </c>
      <c r="I4229" s="97" t="s">
        <v>2005</v>
      </c>
      <c r="J4229" s="97" t="s">
        <v>2774</v>
      </c>
      <c r="K4229" s="29">
        <v>14.8</v>
      </c>
      <c r="L4229" s="29">
        <v>-2.96</v>
      </c>
      <c r="M4229" s="30">
        <f>IFERROR(VLOOKUP($A4229,HeadJournal!$A$1:$J$890,COLUMN(HeadJournal!I$1),0)*($K4229+$L4229)/(SUMIF($A:$A,$A4229,$K:$K)+SUMIF($A:$A,$A4229,$L:$L)),0)</f>
        <v>-0.72633580761916428</v>
      </c>
      <c r="N4229" s="30">
        <f>IFERROR((VLOOKUP($A4229,HeadJournal!$A$1:$K$890,COLUMN(HeadJournal!K$1),0)-VLOOKUP($A4229,HeadJournal!$A$1:$K$890,COLUMN(HeadJournal!J$1),0))*($K4229+$L4229)/(SUMIF($A:$A,$A4229,$K:$K)+SUMIF($A:$A,$A4229,$L:$L)),0)</f>
        <v>-4.1287410546099421E-15</v>
      </c>
      <c r="O4229" s="30">
        <f>IFERROR((VLOOKUP($A4229,HeadJournal!$A$1:$L$890,COLUMN(HeadJournal!L$1),0)*($K4229+$L4229)/(SUMIF($A:$A,$A4229,$K:$K)+SUMIF($A:$A,$A4229,$L:$L)))/VLOOKUP($A4229,HeadJournal!$A$1:$L$890,COLUMN(HeadJournal!H$1),0),0)</f>
        <v>0.53253059654992985</v>
      </c>
      <c r="P4229" s="30">
        <f>IFERROR(SUM(K4229:O4229)*VLOOKUP($A4229,HeadJournal!$A$1:$L$890,COLUMN(HeadJournal!H$1),0),0)</f>
        <v>1423.8765163691378</v>
      </c>
      <c r="Q4229" s="29">
        <v>1900</v>
      </c>
      <c r="R4229" s="31">
        <v>45790</v>
      </c>
      <c r="S4229" s="31" t="s">
        <v>3121</v>
      </c>
      <c r="T4229" s="95" t="str">
        <f t="shared" si="331"/>
        <v>2025 05</v>
      </c>
      <c r="U4229" s="32">
        <f t="shared" si="328"/>
        <v>476.12348363086221</v>
      </c>
      <c r="V4229" s="22">
        <f t="shared" si="329"/>
        <v>0.33438537552748565</v>
      </c>
      <c r="X4229" s="33"/>
      <c r="Y4229" s="33"/>
    </row>
    <row r="4230" spans="1:25" x14ac:dyDescent="0.2">
      <c r="A4230" s="93" t="s">
        <v>2786</v>
      </c>
      <c r="B4230" s="94" t="str">
        <f>IFERROR(VLOOKUP($A4230,HeadJournal!$A$1:$NTR$890,COLUMN(HeadJournal!B$1),0),"")</f>
        <v>720000539796</v>
      </c>
      <c r="C4230" s="94" t="str">
        <f>IFERROR(VLOOKUP($A4230,HeadJournal!$A$1:$NTR$890,COLUMN(HeadJournal!C$1),0),"")</f>
        <v>iHerb_OA CZN6870</v>
      </c>
      <c r="D4230" s="125" t="str">
        <f>IFERROR(VLOOKUP($A4230,HeadJournal!$A$1:$NTR$890,COLUMN(HeadJournal!D$1),0),"")</f>
        <v>Доставлен</v>
      </c>
      <c r="E4230" s="95">
        <f>IFERROR(VLOOKUP($A4230,HeadJournal!$A$1:$NTR$890,COLUMN(HeadJournal!G$1),0),"")</f>
        <v>45659</v>
      </c>
      <c r="F4230" s="95" t="str">
        <f t="shared" si="330"/>
        <v>2025 01</v>
      </c>
      <c r="G4230" s="97" t="s">
        <v>7</v>
      </c>
      <c r="H4230" s="161" t="s">
        <v>2775</v>
      </c>
      <c r="I4230" s="97" t="s">
        <v>2776</v>
      </c>
      <c r="J4230" s="97" t="s">
        <v>2777</v>
      </c>
      <c r="K4230" s="29">
        <v>17.86</v>
      </c>
      <c r="L4230" s="29">
        <v>-13.27</v>
      </c>
      <c r="M4230" s="30">
        <f>IFERROR(VLOOKUP($A4230,HeadJournal!$A$1:$J$890,COLUMN(HeadJournal!I$1),0)*($K4230+$L4230)/(SUMIF($A:$A,$A4230,$K:$K)+SUMIF($A:$A,$A4230,$L:$L)),0)</f>
        <v>-0.28157781731182124</v>
      </c>
      <c r="N4230" s="30">
        <f>IFERROR((VLOOKUP($A4230,HeadJournal!$A$1:$K$890,COLUMN(HeadJournal!K$1),0)-VLOOKUP($A4230,HeadJournal!$A$1:$K$890,COLUMN(HeadJournal!J$1),0))*($K4230+$L4230)/(SUMIF($A:$A,$A4230,$K:$K)+SUMIF($A:$A,$A4230,$L:$L)),0)</f>
        <v>-1.6005845811367936E-15</v>
      </c>
      <c r="O4230" s="30">
        <f>IFERROR((VLOOKUP($A4230,HeadJournal!$A$1:$L$890,COLUMN(HeadJournal!L$1),0)*($K4230+$L4230)/(SUMIF($A:$A,$A4230,$K:$K)+SUMIF($A:$A,$A4230,$L:$L)))/VLOOKUP($A4230,HeadJournal!$A$1:$L$890,COLUMN(HeadJournal!H$1),0),0)</f>
        <v>0.20644556065575823</v>
      </c>
      <c r="P4230" s="30">
        <f>IFERROR(SUM(K4230:O4230)*VLOOKUP($A4230,HeadJournal!$A$1:$L$890,COLUMN(HeadJournal!H$1),0),0)</f>
        <v>551.99266977485991</v>
      </c>
      <c r="Q4230" s="29"/>
      <c r="R4230" s="31"/>
      <c r="S4230" s="31"/>
      <c r="T4230" s="95" t="str">
        <f t="shared" si="331"/>
        <v/>
      </c>
      <c r="U4230" s="32">
        <f t="shared" si="328"/>
        <v>-551.99266977485991</v>
      </c>
      <c r="V4230" s="22" t="str">
        <f t="shared" si="329"/>
        <v/>
      </c>
      <c r="X4230" s="33"/>
      <c r="Y4230" s="33"/>
    </row>
    <row r="4231" spans="1:25" x14ac:dyDescent="0.2">
      <c r="A4231" s="93" t="s">
        <v>2786</v>
      </c>
      <c r="B4231" s="94" t="str">
        <f>IFERROR(VLOOKUP($A4231,HeadJournal!$A$1:$NTR$890,COLUMN(HeadJournal!B$1),0),"")</f>
        <v>720000539796</v>
      </c>
      <c r="C4231" s="94" t="str">
        <f>IFERROR(VLOOKUP($A4231,HeadJournal!$A$1:$NTR$890,COLUMN(HeadJournal!C$1),0),"")</f>
        <v>iHerb_OA CZN6870</v>
      </c>
      <c r="D4231" s="125" t="str">
        <f>IFERROR(VLOOKUP($A4231,HeadJournal!$A$1:$NTR$890,COLUMN(HeadJournal!D$1),0),"")</f>
        <v>Доставлен</v>
      </c>
      <c r="E4231" s="95">
        <f>IFERROR(VLOOKUP($A4231,HeadJournal!$A$1:$NTR$890,COLUMN(HeadJournal!G$1),0),"")</f>
        <v>45659</v>
      </c>
      <c r="F4231" s="95" t="str">
        <f t="shared" si="330"/>
        <v>2025 01</v>
      </c>
      <c r="G4231" s="97" t="s">
        <v>7</v>
      </c>
      <c r="H4231" s="161" t="s">
        <v>2778</v>
      </c>
      <c r="I4231" s="97" t="s">
        <v>2779</v>
      </c>
      <c r="J4231" s="97" t="s">
        <v>2780</v>
      </c>
      <c r="K4231" s="29">
        <v>10.99</v>
      </c>
      <c r="L4231" s="29">
        <v>-8.24</v>
      </c>
      <c r="M4231" s="30">
        <f>IFERROR(VLOOKUP($A4231,HeadJournal!$A$1:$J$890,COLUMN(HeadJournal!I$1),0)*($K4231+$L4231)/(SUMIF($A:$A,$A4231,$K:$K)+SUMIF($A:$A,$A4231,$L:$L)),0)</f>
        <v>-0.16870130666830252</v>
      </c>
      <c r="N4231" s="30">
        <f>IFERROR((VLOOKUP($A4231,HeadJournal!$A$1:$K$890,COLUMN(HeadJournal!K$1),0)-VLOOKUP($A4231,HeadJournal!$A$1:$K$890,COLUMN(HeadJournal!J$1),0))*($K4231+$L4231)/(SUMIF($A:$A,$A4231,$K:$K)+SUMIF($A:$A,$A4231,$L:$L)),0)</f>
        <v>-9.589559037311944E-16</v>
      </c>
      <c r="O4231" s="30">
        <f>IFERROR((VLOOKUP($A4231,HeadJournal!$A$1:$L$890,COLUMN(HeadJournal!L$1),0)*($K4231+$L4231)/(SUMIF($A:$A,$A4231,$K:$K)+SUMIF($A:$A,$A4231,$L:$L)))/VLOOKUP($A4231,HeadJournal!$A$1:$L$890,COLUMN(HeadJournal!H$1),0),0)</f>
        <v>0.12368742740813404</v>
      </c>
      <c r="P4231" s="30">
        <f>IFERROR(SUM(K4231:O4231)*VLOOKUP($A4231,HeadJournal!$A$1:$L$890,COLUMN(HeadJournal!H$1),0),0)</f>
        <v>330.71456250127778</v>
      </c>
      <c r="Q4231" s="29"/>
      <c r="R4231" s="31"/>
      <c r="S4231" s="31"/>
      <c r="T4231" s="95" t="str">
        <f t="shared" si="331"/>
        <v/>
      </c>
      <c r="U4231" s="32">
        <f t="shared" si="328"/>
        <v>-330.71456250127778</v>
      </c>
      <c r="V4231" s="22" t="str">
        <f t="shared" si="329"/>
        <v/>
      </c>
      <c r="X4231" s="33"/>
      <c r="Y4231" s="33"/>
    </row>
    <row r="4232" spans="1:25" x14ac:dyDescent="0.2">
      <c r="A4232" s="93" t="s">
        <v>2786</v>
      </c>
      <c r="B4232" s="94" t="str">
        <f>IFERROR(VLOOKUP($A4232,HeadJournal!$A$1:$NTR$890,COLUMN(HeadJournal!B$1),0),"")</f>
        <v>720000539796</v>
      </c>
      <c r="C4232" s="94" t="str">
        <f>IFERROR(VLOOKUP($A4232,HeadJournal!$A$1:$NTR$890,COLUMN(HeadJournal!C$1),0),"")</f>
        <v>iHerb_OA CZN6870</v>
      </c>
      <c r="D4232" s="125" t="str">
        <f>IFERROR(VLOOKUP($A4232,HeadJournal!$A$1:$NTR$890,COLUMN(HeadJournal!D$1),0),"")</f>
        <v>Доставлен</v>
      </c>
      <c r="E4232" s="95">
        <f>IFERROR(VLOOKUP($A4232,HeadJournal!$A$1:$NTR$890,COLUMN(HeadJournal!G$1),0),"")</f>
        <v>45659</v>
      </c>
      <c r="F4232" s="95" t="str">
        <f t="shared" si="330"/>
        <v>2025 01</v>
      </c>
      <c r="G4232" s="97" t="s">
        <v>5</v>
      </c>
      <c r="H4232" s="161" t="s">
        <v>2781</v>
      </c>
      <c r="I4232" s="97" t="s">
        <v>2782</v>
      </c>
      <c r="J4232" s="97" t="s">
        <v>2783</v>
      </c>
      <c r="K4232" s="29">
        <v>14.22</v>
      </c>
      <c r="L4232" s="29">
        <v>-2.84</v>
      </c>
      <c r="M4232" s="30">
        <f>IFERROR(VLOOKUP($A4232,HeadJournal!$A$1:$J$890,COLUMN(HeadJournal!I$1),0)*($K4232+$L4232)/(SUMIF($A:$A,$A4232,$K:$K)+SUMIF($A:$A,$A4232,$L:$L)),0)</f>
        <v>-0.69811667995828464</v>
      </c>
      <c r="N4232" s="30">
        <f>IFERROR((VLOOKUP($A4232,HeadJournal!$A$1:$K$890,COLUMN(HeadJournal!K$1),0)-VLOOKUP($A4232,HeadJournal!$A$1:$K$890,COLUMN(HeadJournal!J$1),0))*($K4232+$L4232)/(SUMIF($A:$A,$A4232,$K:$K)+SUMIF($A:$A,$A4232,$L:$L)),0)</f>
        <v>-3.9683338852585425E-15</v>
      </c>
      <c r="O4232" s="30">
        <f>IFERROR((VLOOKUP($A4232,HeadJournal!$A$1:$L$890,COLUMN(HeadJournal!L$1),0)*($K4232+$L4232)/(SUMIF($A:$A,$A4232,$K:$K)+SUMIF($A:$A,$A4232,$L:$L)))/VLOOKUP($A4232,HeadJournal!$A$1:$L$890,COLUMN(HeadJournal!H$1),0),0)</f>
        <v>0.51184106323802381</v>
      </c>
      <c r="P4232" s="30">
        <f>IFERROR(SUM(K4232:O4232)*VLOOKUP($A4232,HeadJournal!$A$1:$L$890,COLUMN(HeadJournal!H$1),0),0)</f>
        <v>1368.5569895507424</v>
      </c>
      <c r="Q4232" s="29"/>
      <c r="R4232" s="31"/>
      <c r="S4232" s="31"/>
      <c r="T4232" s="95" t="str">
        <f t="shared" si="331"/>
        <v/>
      </c>
      <c r="U4232" s="32">
        <f t="shared" si="328"/>
        <v>-1368.5569895507424</v>
      </c>
      <c r="V4232" s="22" t="str">
        <f t="shared" si="329"/>
        <v/>
      </c>
      <c r="X4232" s="33"/>
      <c r="Y4232" s="33"/>
    </row>
    <row r="4233" spans="1:25" x14ac:dyDescent="0.2">
      <c r="A4233" s="93" t="s">
        <v>2786</v>
      </c>
      <c r="B4233" s="94" t="str">
        <f>IFERROR(VLOOKUP($A4233,HeadJournal!$A$1:$NTR$890,COLUMN(HeadJournal!B$1),0),"")</f>
        <v>720000539796</v>
      </c>
      <c r="C4233" s="94" t="str">
        <f>IFERROR(VLOOKUP($A4233,HeadJournal!$A$1:$NTR$890,COLUMN(HeadJournal!C$1),0),"")</f>
        <v>iHerb_OA CZN6870</v>
      </c>
      <c r="D4233" s="125" t="str">
        <f>IFERROR(VLOOKUP($A4233,HeadJournal!$A$1:$NTR$890,COLUMN(HeadJournal!D$1),0),"")</f>
        <v>Доставлен</v>
      </c>
      <c r="E4233" s="95">
        <f>IFERROR(VLOOKUP($A4233,HeadJournal!$A$1:$NTR$890,COLUMN(HeadJournal!G$1),0),"")</f>
        <v>45659</v>
      </c>
      <c r="F4233" s="95" t="str">
        <f t="shared" si="330"/>
        <v>2025 01</v>
      </c>
      <c r="G4233" s="97" t="s">
        <v>5</v>
      </c>
      <c r="H4233" s="161" t="s">
        <v>2784</v>
      </c>
      <c r="I4233" s="97" t="s">
        <v>2491</v>
      </c>
      <c r="J4233" s="97" t="s">
        <v>2785</v>
      </c>
      <c r="K4233" s="29">
        <v>38.01</v>
      </c>
      <c r="L4233" s="29">
        <v>-19.010000000000002</v>
      </c>
      <c r="M4233" s="30">
        <f>IFERROR(VLOOKUP($A4233,HeadJournal!$A$1:$J$890,COLUMN(HeadJournal!I$1),0)*($K4233+$L4233)/(SUMIF($A:$A,$A4233,$K:$K)+SUMIF($A:$A,$A4233,$L:$L)),0)</f>
        <v>-1.1655726642537263</v>
      </c>
      <c r="N4233" s="30">
        <f>IFERROR((VLOOKUP($A4233,HeadJournal!$A$1:$K$890,COLUMN(HeadJournal!K$1),0)-VLOOKUP($A4233,HeadJournal!$A$1:$K$890,COLUMN(HeadJournal!J$1),0))*($K4233+$L4233)/(SUMIF($A:$A,$A4233,$K:$K)+SUMIF($A:$A,$A4233,$L:$L)),0)</f>
        <v>-6.6255135166882507E-15</v>
      </c>
      <c r="O4233" s="30">
        <f>IFERROR((VLOOKUP($A4233,HeadJournal!$A$1:$L$890,COLUMN(HeadJournal!L$1),0)*($K4233+$L4233)/(SUMIF($A:$A,$A4233,$K:$K)+SUMIF($A:$A,$A4233,$L:$L)))/VLOOKUP($A4233,HeadJournal!$A$1:$L$890,COLUMN(HeadJournal!H$1),0),0)</f>
        <v>0.85456768027438046</v>
      </c>
      <c r="P4233" s="30">
        <f>IFERROR(SUM(K4233:O4233)*VLOOKUP($A4233,HeadJournal!$A$1:$L$890,COLUMN(HeadJournal!H$1),0),0)</f>
        <v>2284.9369772815553</v>
      </c>
      <c r="Q4233" s="29"/>
      <c r="R4233" s="31"/>
      <c r="S4233" s="31"/>
      <c r="T4233" s="95" t="str">
        <f t="shared" si="331"/>
        <v/>
      </c>
      <c r="U4233" s="32">
        <f t="shared" si="328"/>
        <v>-2284.9369772815553</v>
      </c>
      <c r="V4233" s="22" t="str">
        <f t="shared" si="329"/>
        <v/>
      </c>
      <c r="X4233" s="33"/>
      <c r="Y4233" s="33"/>
    </row>
    <row r="4234" spans="1:25" x14ac:dyDescent="0.2">
      <c r="A4234" s="93" t="s">
        <v>2802</v>
      </c>
      <c r="B4234" s="94" t="str">
        <f>IFERROR(VLOOKUP($A4234,HeadJournal!$A$1:$NTR$890,COLUMN(HeadJournal!B$1),0),"")</f>
        <v>720000549498</v>
      </c>
      <c r="C4234" s="94" t="str">
        <f>IFERROR(VLOOKUP($A4234,HeadJournal!$A$1:$NTR$890,COLUMN(HeadJournal!C$1),0),"")</f>
        <v>iHerb_OA CZN6870</v>
      </c>
      <c r="D4234" s="125" t="str">
        <f>IFERROR(VLOOKUP($A4234,HeadJournal!$A$1:$NTR$890,COLUMN(HeadJournal!D$1),0),"")</f>
        <v>Доставлен</v>
      </c>
      <c r="E4234" s="95">
        <f>IFERROR(VLOOKUP($A4234,HeadJournal!$A$1:$NTR$890,COLUMN(HeadJournal!G$1),0),"")</f>
        <v>45670</v>
      </c>
      <c r="F4234" s="95" t="str">
        <f t="shared" si="330"/>
        <v>2025 01</v>
      </c>
      <c r="G4234" s="97" t="s">
        <v>5</v>
      </c>
      <c r="H4234" s="161" t="s">
        <v>2788</v>
      </c>
      <c r="I4234" s="97" t="s">
        <v>2218</v>
      </c>
      <c r="J4234" s="97" t="s">
        <v>2789</v>
      </c>
      <c r="K4234" s="29">
        <v>11.04</v>
      </c>
      <c r="L4234" s="29">
        <v>-2.21</v>
      </c>
      <c r="M4234" s="30">
        <f>IFERROR(VLOOKUP($A4234,HeadJournal!$A$1:$J$890,COLUMN(HeadJournal!I$1),0)*($K4234+$L4234)/(SUMIF($A:$A,$A4234,$K:$K)+SUMIF($A:$A,$A4234,$L:$L)),0)</f>
        <v>-0.72628318111413748</v>
      </c>
      <c r="N4234" s="30">
        <f>IFERROR((VLOOKUP($A4234,HeadJournal!$A$1:$K$890,COLUMN(HeadJournal!K$1),0)-VLOOKUP($A4234,HeadJournal!$A$1:$K$890,COLUMN(HeadJournal!J$1),0))*($K4234+$L4234)/(SUMIF($A:$A,$A4234,$K:$K)+SUMIF($A:$A,$A4234,$L:$L)),0)</f>
        <v>0</v>
      </c>
      <c r="O4234" s="30">
        <f>IFERROR((VLOOKUP($A4234,HeadJournal!$A$1:$L$890,COLUMN(HeadJournal!L$1),0)*($K4234+$L4234)/(SUMIF($A:$A,$A4234,$K:$K)+SUMIF($A:$A,$A4234,$L:$L)))/VLOOKUP($A4234,HeadJournal!$A$1:$L$890,COLUMN(HeadJournal!H$1),0),0)</f>
        <v>0.4677193105512969</v>
      </c>
      <c r="P4234" s="30">
        <f>IFERROR(SUM(K4234:O4234)*VLOOKUP($A4234,HeadJournal!$A$1:$L$890,COLUMN(HeadJournal!H$1),0),0)</f>
        <v>1006.8841029749503</v>
      </c>
      <c r="Q4234" s="29">
        <v>1700</v>
      </c>
      <c r="R4234" s="31">
        <v>45710</v>
      </c>
      <c r="S4234" s="31" t="s">
        <v>3121</v>
      </c>
      <c r="T4234" s="95" t="str">
        <f t="shared" si="331"/>
        <v>2025 02</v>
      </c>
      <c r="U4234" s="32">
        <f t="shared" si="328"/>
        <v>693.11589702504966</v>
      </c>
      <c r="V4234" s="22">
        <f t="shared" si="329"/>
        <v>0.68837703860569666</v>
      </c>
      <c r="X4234" s="33"/>
      <c r="Y4234" s="33"/>
    </row>
    <row r="4235" spans="1:25" x14ac:dyDescent="0.2">
      <c r="A4235" s="93" t="s">
        <v>2802</v>
      </c>
      <c r="B4235" s="94" t="str">
        <f>IFERROR(VLOOKUP($A4235,HeadJournal!$A$1:$NTR$890,COLUMN(HeadJournal!B$1),0),"")</f>
        <v>720000549498</v>
      </c>
      <c r="C4235" s="94" t="str">
        <f>IFERROR(VLOOKUP($A4235,HeadJournal!$A$1:$NTR$890,COLUMN(HeadJournal!C$1),0),"")</f>
        <v>iHerb_OA CZN6870</v>
      </c>
      <c r="D4235" s="125" t="str">
        <f>IFERROR(VLOOKUP($A4235,HeadJournal!$A$1:$NTR$890,COLUMN(HeadJournal!D$1),0),"")</f>
        <v>Доставлен</v>
      </c>
      <c r="E4235" s="95">
        <f>IFERROR(VLOOKUP($A4235,HeadJournal!$A$1:$NTR$890,COLUMN(HeadJournal!G$1),0),"")</f>
        <v>45670</v>
      </c>
      <c r="F4235" s="95" t="str">
        <f t="shared" si="330"/>
        <v>2025 01</v>
      </c>
      <c r="G4235" s="97" t="s">
        <v>5</v>
      </c>
      <c r="H4235" s="161" t="s">
        <v>2162</v>
      </c>
      <c r="I4235" s="97" t="s">
        <v>2163</v>
      </c>
      <c r="J4235" s="97" t="s">
        <v>2164</v>
      </c>
      <c r="K4235" s="29">
        <v>20.329999999999998</v>
      </c>
      <c r="L4235" s="29">
        <v>-4.0650000000000004</v>
      </c>
      <c r="M4235" s="30">
        <f>IFERROR(VLOOKUP($A4235,HeadJournal!$A$1:$J$890,COLUMN(HeadJournal!I$1),0)*($K4235+$L4235)/(SUMIF($A:$A,$A4235,$K:$K)+SUMIF($A:$A,$A4235,$L:$L)),0)</f>
        <v>-1.3378251348608661</v>
      </c>
      <c r="N4235" s="30">
        <f>IFERROR((VLOOKUP($A4235,HeadJournal!$A$1:$K$890,COLUMN(HeadJournal!K$1),0)-VLOOKUP($A4235,HeadJournal!$A$1:$K$890,COLUMN(HeadJournal!J$1),0))*($K4235+$L4235)/(SUMIF($A:$A,$A4235,$K:$K)+SUMIF($A:$A,$A4235,$L:$L)),0)</f>
        <v>0</v>
      </c>
      <c r="O4235" s="30">
        <f>IFERROR((VLOOKUP($A4235,HeadJournal!$A$1:$L$890,COLUMN(HeadJournal!L$1),0)*($K4235+$L4235)/(SUMIF($A:$A,$A4235,$K:$K)+SUMIF($A:$A,$A4235,$L:$L)))/VLOOKUP($A4235,HeadJournal!$A$1:$L$890,COLUMN(HeadJournal!H$1),0),0)</f>
        <v>0.86154638574369669</v>
      </c>
      <c r="P4235" s="30">
        <f>IFERROR(SUM(K4235:O4235)*VLOOKUP($A4235,HeadJournal!$A$1:$L$890,COLUMN(HeadJournal!H$1),0),0)</f>
        <v>1854.6964818672216</v>
      </c>
      <c r="Q4235" s="29">
        <v>2900</v>
      </c>
      <c r="R4235" s="31">
        <v>45710</v>
      </c>
      <c r="S4235" s="31" t="s">
        <v>3121</v>
      </c>
      <c r="T4235" s="95" t="str">
        <f t="shared" si="331"/>
        <v>2025 02</v>
      </c>
      <c r="U4235" s="32">
        <f t="shared" si="328"/>
        <v>1045.3035181327784</v>
      </c>
      <c r="V4235" s="22">
        <f t="shared" si="329"/>
        <v>0.56359815654603274</v>
      </c>
      <c r="X4235" s="33"/>
      <c r="Y4235" s="33"/>
    </row>
    <row r="4236" spans="1:25" x14ac:dyDescent="0.2">
      <c r="A4236" s="93" t="s">
        <v>2802</v>
      </c>
      <c r="B4236" s="94" t="str">
        <f>IFERROR(VLOOKUP($A4236,HeadJournal!$A$1:$NTR$890,COLUMN(HeadJournal!B$1),0),"")</f>
        <v>720000549498</v>
      </c>
      <c r="C4236" s="94" t="str">
        <f>IFERROR(VLOOKUP($A4236,HeadJournal!$A$1:$NTR$890,COLUMN(HeadJournal!C$1),0),"")</f>
        <v>iHerb_OA CZN6870</v>
      </c>
      <c r="D4236" s="125" t="str">
        <f>IFERROR(VLOOKUP($A4236,HeadJournal!$A$1:$NTR$890,COLUMN(HeadJournal!D$1),0),"")</f>
        <v>Доставлен</v>
      </c>
      <c r="E4236" s="95">
        <f>IFERROR(VLOOKUP($A4236,HeadJournal!$A$1:$NTR$890,COLUMN(HeadJournal!G$1),0),"")</f>
        <v>45670</v>
      </c>
      <c r="F4236" s="95" t="str">
        <f t="shared" si="330"/>
        <v>2025 01</v>
      </c>
      <c r="G4236" s="97" t="s">
        <v>5</v>
      </c>
      <c r="H4236" s="161" t="s">
        <v>2162</v>
      </c>
      <c r="I4236" s="97" t="s">
        <v>2163</v>
      </c>
      <c r="J4236" s="97" t="s">
        <v>2164</v>
      </c>
      <c r="K4236" s="29">
        <v>20.329999999999998</v>
      </c>
      <c r="L4236" s="29">
        <v>-4.0650000000000004</v>
      </c>
      <c r="M4236" s="30">
        <f>IFERROR(VLOOKUP($A4236,HeadJournal!$A$1:$J$890,COLUMN(HeadJournal!I$1),0)*($K4236+$L4236)/(SUMIF($A:$A,$A4236,$K:$K)+SUMIF($A:$A,$A4236,$L:$L)),0)</f>
        <v>-1.3378251348608661</v>
      </c>
      <c r="N4236" s="30">
        <f>IFERROR((VLOOKUP($A4236,HeadJournal!$A$1:$K$890,COLUMN(HeadJournal!K$1),0)-VLOOKUP($A4236,HeadJournal!$A$1:$K$890,COLUMN(HeadJournal!J$1),0))*($K4236+$L4236)/(SUMIF($A:$A,$A4236,$K:$K)+SUMIF($A:$A,$A4236,$L:$L)),0)</f>
        <v>0</v>
      </c>
      <c r="O4236" s="30">
        <f>IFERROR((VLOOKUP($A4236,HeadJournal!$A$1:$L$890,COLUMN(HeadJournal!L$1),0)*($K4236+$L4236)/(SUMIF($A:$A,$A4236,$K:$K)+SUMIF($A:$A,$A4236,$L:$L)))/VLOOKUP($A4236,HeadJournal!$A$1:$L$890,COLUMN(HeadJournal!H$1),0),0)</f>
        <v>0.86154638574369669</v>
      </c>
      <c r="P4236" s="30">
        <f>IFERROR(SUM(K4236:O4236)*VLOOKUP($A4236,HeadJournal!$A$1:$L$890,COLUMN(HeadJournal!H$1),0),0)</f>
        <v>1854.6964818672216</v>
      </c>
      <c r="Q4236" s="29">
        <v>2900</v>
      </c>
      <c r="R4236" s="31">
        <v>45710</v>
      </c>
      <c r="S4236" s="31" t="s">
        <v>3121</v>
      </c>
      <c r="T4236" s="95" t="str">
        <f t="shared" si="331"/>
        <v>2025 02</v>
      </c>
      <c r="U4236" s="32">
        <f t="shared" si="328"/>
        <v>1045.3035181327784</v>
      </c>
      <c r="V4236" s="22">
        <f t="shared" si="329"/>
        <v>0.56359815654603274</v>
      </c>
      <c r="X4236" s="33"/>
      <c r="Y4236" s="33"/>
    </row>
    <row r="4237" spans="1:25" x14ac:dyDescent="0.2">
      <c r="A4237" s="93" t="s">
        <v>2802</v>
      </c>
      <c r="B4237" s="94" t="str">
        <f>IFERROR(VLOOKUP($A4237,HeadJournal!$A$1:$NTR$890,COLUMN(HeadJournal!B$1),0),"")</f>
        <v>720000549498</v>
      </c>
      <c r="C4237" s="94" t="str">
        <f>IFERROR(VLOOKUP($A4237,HeadJournal!$A$1:$NTR$890,COLUMN(HeadJournal!C$1),0),"")</f>
        <v>iHerb_OA CZN6870</v>
      </c>
      <c r="D4237" s="125" t="str">
        <f>IFERROR(VLOOKUP($A4237,HeadJournal!$A$1:$NTR$890,COLUMN(HeadJournal!D$1),0),"")</f>
        <v>Доставлен</v>
      </c>
      <c r="E4237" s="95">
        <f>IFERROR(VLOOKUP($A4237,HeadJournal!$A$1:$NTR$890,COLUMN(HeadJournal!G$1),0),"")</f>
        <v>45670</v>
      </c>
      <c r="F4237" s="95" t="str">
        <f t="shared" si="330"/>
        <v>2025 01</v>
      </c>
      <c r="G4237" s="97" t="s">
        <v>5</v>
      </c>
      <c r="H4237" s="161" t="s">
        <v>2546</v>
      </c>
      <c r="I4237" s="97" t="s">
        <v>2039</v>
      </c>
      <c r="J4237" s="97" t="s">
        <v>2547</v>
      </c>
      <c r="K4237" s="29">
        <v>10.76</v>
      </c>
      <c r="L4237" s="29">
        <v>-2.15</v>
      </c>
      <c r="M4237" s="30">
        <f>IFERROR(VLOOKUP($A4237,HeadJournal!$A$1:$J$890,COLUMN(HeadJournal!I$1),0)*($K4237+$L4237)/(SUMIF($A:$A,$A4237,$K:$K)+SUMIF($A:$A,$A4237,$L:$L)),0)</f>
        <v>-0.70818779041820212</v>
      </c>
      <c r="N4237" s="30">
        <f>IFERROR((VLOOKUP($A4237,HeadJournal!$A$1:$K$890,COLUMN(HeadJournal!K$1),0)-VLOOKUP($A4237,HeadJournal!$A$1:$K$890,COLUMN(HeadJournal!J$1),0))*($K4237+$L4237)/(SUMIF($A:$A,$A4237,$K:$K)+SUMIF($A:$A,$A4237,$L:$L)),0)</f>
        <v>0</v>
      </c>
      <c r="O4237" s="30">
        <f>IFERROR((VLOOKUP($A4237,HeadJournal!$A$1:$L$890,COLUMN(HeadJournal!L$1),0)*($K4237+$L4237)/(SUMIF($A:$A,$A4237,$K:$K)+SUMIF($A:$A,$A4237,$L:$L)))/VLOOKUP($A4237,HeadJournal!$A$1:$L$890,COLUMN(HeadJournal!H$1),0),0)</f>
        <v>0.45606605479577195</v>
      </c>
      <c r="P4237" s="30">
        <f>IFERROR(SUM(K4237:O4237)*VLOOKUP($A4237,HeadJournal!$A$1:$L$890,COLUMN(HeadJournal!H$1),0),0)</f>
        <v>981.79752283287905</v>
      </c>
      <c r="Q4237" s="29">
        <v>1600</v>
      </c>
      <c r="R4237" s="31">
        <v>45764</v>
      </c>
      <c r="S4237" s="31" t="s">
        <v>3121</v>
      </c>
      <c r="T4237" s="95" t="str">
        <f t="shared" si="331"/>
        <v>2025 04</v>
      </c>
      <c r="U4237" s="32">
        <f t="shared" si="328"/>
        <v>618.20247716712095</v>
      </c>
      <c r="V4237" s="22">
        <f t="shared" si="329"/>
        <v>0.62966392029932938</v>
      </c>
      <c r="X4237" s="33"/>
      <c r="Y4237" s="33"/>
    </row>
    <row r="4238" spans="1:25" x14ac:dyDescent="0.2">
      <c r="A4238" s="93" t="s">
        <v>2802</v>
      </c>
      <c r="B4238" s="94" t="str">
        <f>IFERROR(VLOOKUP($A4238,HeadJournal!$A$1:$NTR$890,COLUMN(HeadJournal!B$1),0),"")</f>
        <v>720000549498</v>
      </c>
      <c r="C4238" s="94" t="str">
        <f>IFERROR(VLOOKUP($A4238,HeadJournal!$A$1:$NTR$890,COLUMN(HeadJournal!C$1),0),"")</f>
        <v>iHerb_OA CZN6870</v>
      </c>
      <c r="D4238" s="125" t="str">
        <f>IFERROR(VLOOKUP($A4238,HeadJournal!$A$1:$NTR$890,COLUMN(HeadJournal!D$1),0),"")</f>
        <v>Доставлен</v>
      </c>
      <c r="E4238" s="95">
        <f>IFERROR(VLOOKUP($A4238,HeadJournal!$A$1:$NTR$890,COLUMN(HeadJournal!G$1),0),"")</f>
        <v>45670</v>
      </c>
      <c r="F4238" s="95" t="str">
        <f t="shared" si="330"/>
        <v>2025 01</v>
      </c>
      <c r="G4238" s="97" t="s">
        <v>5</v>
      </c>
      <c r="H4238" s="161" t="s">
        <v>2546</v>
      </c>
      <c r="I4238" s="97" t="s">
        <v>2039</v>
      </c>
      <c r="J4238" s="97" t="s">
        <v>2547</v>
      </c>
      <c r="K4238" s="29">
        <v>10.76</v>
      </c>
      <c r="L4238" s="29">
        <v>-2.15</v>
      </c>
      <c r="M4238" s="30">
        <f>IFERROR(VLOOKUP($A4238,HeadJournal!$A$1:$J$890,COLUMN(HeadJournal!I$1),0)*($K4238+$L4238)/(SUMIF($A:$A,$A4238,$K:$K)+SUMIF($A:$A,$A4238,$L:$L)),0)</f>
        <v>-0.70818779041820212</v>
      </c>
      <c r="N4238" s="30">
        <f>IFERROR((VLOOKUP($A4238,HeadJournal!$A$1:$K$890,COLUMN(HeadJournal!K$1),0)-VLOOKUP($A4238,HeadJournal!$A$1:$K$890,COLUMN(HeadJournal!J$1),0))*($K4238+$L4238)/(SUMIF($A:$A,$A4238,$K:$K)+SUMIF($A:$A,$A4238,$L:$L)),0)</f>
        <v>0</v>
      </c>
      <c r="O4238" s="30">
        <f>IFERROR((VLOOKUP($A4238,HeadJournal!$A$1:$L$890,COLUMN(HeadJournal!L$1),0)*($K4238+$L4238)/(SUMIF($A:$A,$A4238,$K:$K)+SUMIF($A:$A,$A4238,$L:$L)))/VLOOKUP($A4238,HeadJournal!$A$1:$L$890,COLUMN(HeadJournal!H$1),0),0)</f>
        <v>0.45606605479577195</v>
      </c>
      <c r="P4238" s="30">
        <f>IFERROR(SUM(K4238:O4238)*VLOOKUP($A4238,HeadJournal!$A$1:$L$890,COLUMN(HeadJournal!H$1),0),0)</f>
        <v>981.79752283287905</v>
      </c>
      <c r="Q4238" s="29">
        <v>1450</v>
      </c>
      <c r="R4238" s="31">
        <v>45764</v>
      </c>
      <c r="S4238" s="31" t="s">
        <v>3121</v>
      </c>
      <c r="T4238" s="95" t="str">
        <f t="shared" si="331"/>
        <v>2025 04</v>
      </c>
      <c r="U4238" s="32">
        <f t="shared" si="328"/>
        <v>468.20247716712095</v>
      </c>
      <c r="V4238" s="22">
        <f t="shared" si="329"/>
        <v>0.47688292777126723</v>
      </c>
      <c r="X4238" s="33"/>
      <c r="Y4238" s="33"/>
    </row>
    <row r="4239" spans="1:25" x14ac:dyDescent="0.2">
      <c r="A4239" s="93" t="s">
        <v>2802</v>
      </c>
      <c r="B4239" s="94" t="str">
        <f>IFERROR(VLOOKUP($A4239,HeadJournal!$A$1:$NTR$890,COLUMN(HeadJournal!B$1),0),"")</f>
        <v>720000549498</v>
      </c>
      <c r="C4239" s="94" t="str">
        <f>IFERROR(VLOOKUP($A4239,HeadJournal!$A$1:$NTR$890,COLUMN(HeadJournal!C$1),0),"")</f>
        <v>iHerb_OA CZN6870</v>
      </c>
      <c r="D4239" s="125" t="str">
        <f>IFERROR(VLOOKUP($A4239,HeadJournal!$A$1:$NTR$890,COLUMN(HeadJournal!D$1),0),"")</f>
        <v>Доставлен</v>
      </c>
      <c r="E4239" s="95">
        <f>IFERROR(VLOOKUP($A4239,HeadJournal!$A$1:$NTR$890,COLUMN(HeadJournal!G$1),0),"")</f>
        <v>45670</v>
      </c>
      <c r="F4239" s="95" t="str">
        <f t="shared" si="330"/>
        <v>2025 01</v>
      </c>
      <c r="G4239" s="97" t="s">
        <v>5</v>
      </c>
      <c r="H4239" s="161" t="s">
        <v>2702</v>
      </c>
      <c r="I4239" s="97" t="s">
        <v>2703</v>
      </c>
      <c r="J4239" s="97" t="s">
        <v>2704</v>
      </c>
      <c r="K4239" s="29">
        <v>6.72</v>
      </c>
      <c r="L4239" s="29">
        <v>0</v>
      </c>
      <c r="M4239" s="30">
        <f>IFERROR(VLOOKUP($A4239,HeadJournal!$A$1:$J$890,COLUMN(HeadJournal!I$1),0)*($K4239+$L4239)/(SUMIF($A:$A,$A4239,$K:$K)+SUMIF($A:$A,$A4239,$L:$L)),0)</f>
        <v>-0.55273193398493825</v>
      </c>
      <c r="N4239" s="30">
        <f>IFERROR((VLOOKUP($A4239,HeadJournal!$A$1:$K$890,COLUMN(HeadJournal!K$1),0)-VLOOKUP($A4239,HeadJournal!$A$1:$K$890,COLUMN(HeadJournal!J$1),0))*($K4239+$L4239)/(SUMIF($A:$A,$A4239,$K:$K)+SUMIF($A:$A,$A4239,$L:$L)),0)</f>
        <v>0</v>
      </c>
      <c r="O4239" s="30">
        <f>IFERROR((VLOOKUP($A4239,HeadJournal!$A$1:$L$890,COLUMN(HeadJournal!L$1),0)*($K4239+$L4239)/(SUMIF($A:$A,$A4239,$K:$K)+SUMIF($A:$A,$A4239,$L:$L)))/VLOOKUP($A4239,HeadJournal!$A$1:$L$890,COLUMN(HeadJournal!H$1),0),0)</f>
        <v>0.35595399398694394</v>
      </c>
      <c r="P4239" s="30">
        <f>IFERROR(SUM(K4239:O4239)*VLOOKUP($A4239,HeadJournal!$A$1:$L$890,COLUMN(HeadJournal!H$1),0),0)</f>
        <v>766.28099343053987</v>
      </c>
      <c r="Q4239" s="29">
        <v>1300</v>
      </c>
      <c r="R4239" s="31">
        <v>45716</v>
      </c>
      <c r="S4239" s="31" t="s">
        <v>3121</v>
      </c>
      <c r="T4239" s="95" t="str">
        <f t="shared" si="331"/>
        <v>2025 02</v>
      </c>
      <c r="U4239" s="32">
        <f t="shared" si="328"/>
        <v>533.71900656946013</v>
      </c>
      <c r="V4239" s="22">
        <f t="shared" si="329"/>
        <v>0.69650560453035626</v>
      </c>
      <c r="X4239" s="33"/>
      <c r="Y4239" s="33"/>
    </row>
    <row r="4240" spans="1:25" x14ac:dyDescent="0.2">
      <c r="A4240" s="93" t="s">
        <v>2802</v>
      </c>
      <c r="B4240" s="94" t="str">
        <f>IFERROR(VLOOKUP($A4240,HeadJournal!$A$1:$NTR$890,COLUMN(HeadJournal!B$1),0),"")</f>
        <v>720000549498</v>
      </c>
      <c r="C4240" s="94" t="str">
        <f>IFERROR(VLOOKUP($A4240,HeadJournal!$A$1:$NTR$890,COLUMN(HeadJournal!C$1),0),"")</f>
        <v>iHerb_OA CZN6870</v>
      </c>
      <c r="D4240" s="125" t="str">
        <f>IFERROR(VLOOKUP($A4240,HeadJournal!$A$1:$NTR$890,COLUMN(HeadJournal!D$1),0),"")</f>
        <v>Доставлен</v>
      </c>
      <c r="E4240" s="95">
        <f>IFERROR(VLOOKUP($A4240,HeadJournal!$A$1:$NTR$890,COLUMN(HeadJournal!G$1),0),"")</f>
        <v>45670</v>
      </c>
      <c r="F4240" s="95" t="str">
        <f t="shared" si="330"/>
        <v>2025 01</v>
      </c>
      <c r="G4240" s="97" t="s">
        <v>5</v>
      </c>
      <c r="H4240" s="161" t="s">
        <v>2702</v>
      </c>
      <c r="I4240" s="97" t="s">
        <v>2703</v>
      </c>
      <c r="J4240" s="97" t="s">
        <v>2704</v>
      </c>
      <c r="K4240" s="29">
        <v>6.72</v>
      </c>
      <c r="L4240" s="29">
        <v>0</v>
      </c>
      <c r="M4240" s="30">
        <f>IFERROR(VLOOKUP($A4240,HeadJournal!$A$1:$J$890,COLUMN(HeadJournal!I$1),0)*($K4240+$L4240)/(SUMIF($A:$A,$A4240,$K:$K)+SUMIF($A:$A,$A4240,$L:$L)),0)</f>
        <v>-0.55273193398493825</v>
      </c>
      <c r="N4240" s="30">
        <f>IFERROR((VLOOKUP($A4240,HeadJournal!$A$1:$K$890,COLUMN(HeadJournal!K$1),0)-VLOOKUP($A4240,HeadJournal!$A$1:$K$890,COLUMN(HeadJournal!J$1),0))*($K4240+$L4240)/(SUMIF($A:$A,$A4240,$K:$K)+SUMIF($A:$A,$A4240,$L:$L)),0)</f>
        <v>0</v>
      </c>
      <c r="O4240" s="30">
        <f>IFERROR((VLOOKUP($A4240,HeadJournal!$A$1:$L$890,COLUMN(HeadJournal!L$1),0)*($K4240+$L4240)/(SUMIF($A:$A,$A4240,$K:$K)+SUMIF($A:$A,$A4240,$L:$L)))/VLOOKUP($A4240,HeadJournal!$A$1:$L$890,COLUMN(HeadJournal!H$1),0),0)</f>
        <v>0.35595399398694394</v>
      </c>
      <c r="P4240" s="30">
        <f>IFERROR(SUM(K4240:O4240)*VLOOKUP($A4240,HeadJournal!$A$1:$L$890,COLUMN(HeadJournal!H$1),0),0)</f>
        <v>766.28099343053987</v>
      </c>
      <c r="Q4240" s="29">
        <v>1300</v>
      </c>
      <c r="R4240" s="31">
        <v>45716</v>
      </c>
      <c r="S4240" s="31" t="s">
        <v>3121</v>
      </c>
      <c r="T4240" s="95" t="str">
        <f t="shared" si="331"/>
        <v>2025 02</v>
      </c>
      <c r="U4240" s="32">
        <f t="shared" si="328"/>
        <v>533.71900656946013</v>
      </c>
      <c r="V4240" s="22">
        <f t="shared" si="329"/>
        <v>0.69650560453035626</v>
      </c>
      <c r="X4240" s="33"/>
      <c r="Y4240" s="33"/>
    </row>
    <row r="4241" spans="1:25" x14ac:dyDescent="0.2">
      <c r="A4241" s="93" t="s">
        <v>2802</v>
      </c>
      <c r="B4241" s="94" t="str">
        <f>IFERROR(VLOOKUP($A4241,HeadJournal!$A$1:$NTR$890,COLUMN(HeadJournal!B$1),0),"")</f>
        <v>720000549498</v>
      </c>
      <c r="C4241" s="94" t="str">
        <f>IFERROR(VLOOKUP($A4241,HeadJournal!$A$1:$NTR$890,COLUMN(HeadJournal!C$1),0),"")</f>
        <v>iHerb_OA CZN6870</v>
      </c>
      <c r="D4241" s="125" t="str">
        <f>IFERROR(VLOOKUP($A4241,HeadJournal!$A$1:$NTR$890,COLUMN(HeadJournal!D$1),0),"")</f>
        <v>Доставлен</v>
      </c>
      <c r="E4241" s="95">
        <f>IFERROR(VLOOKUP($A4241,HeadJournal!$A$1:$NTR$890,COLUMN(HeadJournal!G$1),0),"")</f>
        <v>45670</v>
      </c>
      <c r="F4241" s="95" t="str">
        <f t="shared" si="330"/>
        <v>2025 01</v>
      </c>
      <c r="G4241" s="97" t="s">
        <v>5</v>
      </c>
      <c r="H4241" s="161" t="s">
        <v>2702</v>
      </c>
      <c r="I4241" s="97" t="s">
        <v>2703</v>
      </c>
      <c r="J4241" s="97" t="s">
        <v>2704</v>
      </c>
      <c r="K4241" s="29">
        <v>6.72</v>
      </c>
      <c r="L4241" s="29">
        <v>0</v>
      </c>
      <c r="M4241" s="30">
        <f>IFERROR(VLOOKUP($A4241,HeadJournal!$A$1:$J$890,COLUMN(HeadJournal!I$1),0)*($K4241+$L4241)/(SUMIF($A:$A,$A4241,$K:$K)+SUMIF($A:$A,$A4241,$L:$L)),0)</f>
        <v>-0.55273193398493825</v>
      </c>
      <c r="N4241" s="30">
        <f>IFERROR((VLOOKUP($A4241,HeadJournal!$A$1:$K$890,COLUMN(HeadJournal!K$1),0)-VLOOKUP($A4241,HeadJournal!$A$1:$K$890,COLUMN(HeadJournal!J$1),0))*($K4241+$L4241)/(SUMIF($A:$A,$A4241,$K:$K)+SUMIF($A:$A,$A4241,$L:$L)),0)</f>
        <v>0</v>
      </c>
      <c r="O4241" s="30">
        <f>IFERROR((VLOOKUP($A4241,HeadJournal!$A$1:$L$890,COLUMN(HeadJournal!L$1),0)*($K4241+$L4241)/(SUMIF($A:$A,$A4241,$K:$K)+SUMIF($A:$A,$A4241,$L:$L)))/VLOOKUP($A4241,HeadJournal!$A$1:$L$890,COLUMN(HeadJournal!H$1),0),0)</f>
        <v>0.35595399398694394</v>
      </c>
      <c r="P4241" s="30">
        <f>IFERROR(SUM(K4241:O4241)*VLOOKUP($A4241,HeadJournal!$A$1:$L$890,COLUMN(HeadJournal!H$1),0),0)</f>
        <v>766.28099343053987</v>
      </c>
      <c r="Q4241" s="29">
        <v>1300</v>
      </c>
      <c r="R4241" s="31">
        <v>45716</v>
      </c>
      <c r="S4241" s="31" t="s">
        <v>3121</v>
      </c>
      <c r="T4241" s="95" t="str">
        <f t="shared" si="331"/>
        <v>2025 02</v>
      </c>
      <c r="U4241" s="32">
        <f t="shared" si="328"/>
        <v>533.71900656946013</v>
      </c>
      <c r="V4241" s="22">
        <f t="shared" si="329"/>
        <v>0.69650560453035626</v>
      </c>
      <c r="X4241" s="33"/>
      <c r="Y4241" s="33"/>
    </row>
    <row r="4242" spans="1:25" x14ac:dyDescent="0.2">
      <c r="A4242" s="93" t="s">
        <v>2802</v>
      </c>
      <c r="B4242" s="94" t="str">
        <f>IFERROR(VLOOKUP($A4242,HeadJournal!$A$1:$NTR$890,COLUMN(HeadJournal!B$1),0),"")</f>
        <v>720000549498</v>
      </c>
      <c r="C4242" s="94" t="str">
        <f>IFERROR(VLOOKUP($A4242,HeadJournal!$A$1:$NTR$890,COLUMN(HeadJournal!C$1),0),"")</f>
        <v>iHerb_OA CZN6870</v>
      </c>
      <c r="D4242" s="125" t="str">
        <f>IFERROR(VLOOKUP($A4242,HeadJournal!$A$1:$NTR$890,COLUMN(HeadJournal!D$1),0),"")</f>
        <v>Доставлен</v>
      </c>
      <c r="E4242" s="95">
        <f>IFERROR(VLOOKUP($A4242,HeadJournal!$A$1:$NTR$890,COLUMN(HeadJournal!G$1),0),"")</f>
        <v>45670</v>
      </c>
      <c r="F4242" s="95" t="str">
        <f t="shared" si="330"/>
        <v>2025 01</v>
      </c>
      <c r="G4242" s="97" t="s">
        <v>5</v>
      </c>
      <c r="H4242" s="161" t="s">
        <v>2790</v>
      </c>
      <c r="I4242" s="97" t="s">
        <v>2666</v>
      </c>
      <c r="J4242" s="97" t="s">
        <v>4139</v>
      </c>
      <c r="K4242" s="29">
        <v>10.75</v>
      </c>
      <c r="L4242" s="29">
        <v>-2.15</v>
      </c>
      <c r="M4242" s="30">
        <f>IFERROR(VLOOKUP($A4242,HeadJournal!$A$1:$J$890,COLUMN(HeadJournal!I$1),0)*($K4242+$L4242)/(SUMIF($A:$A,$A4242,$K:$K)+SUMIF($A:$A,$A4242,$L:$L)),0)</f>
        <v>-0.70736527265929594</v>
      </c>
      <c r="N4242" s="30">
        <f>IFERROR((VLOOKUP($A4242,HeadJournal!$A$1:$K$890,COLUMN(HeadJournal!K$1),0)-VLOOKUP($A4242,HeadJournal!$A$1:$K$890,COLUMN(HeadJournal!J$1),0))*($K4242+$L4242)/(SUMIF($A:$A,$A4242,$K:$K)+SUMIF($A:$A,$A4242,$L:$L)),0)</f>
        <v>0</v>
      </c>
      <c r="O4242" s="30">
        <f>IFERROR((VLOOKUP($A4242,HeadJournal!$A$1:$L$890,COLUMN(HeadJournal!L$1),0)*($K4242+$L4242)/(SUMIF($A:$A,$A4242,$K:$K)+SUMIF($A:$A,$A4242,$L:$L)))/VLOOKUP($A4242,HeadJournal!$A$1:$L$890,COLUMN(HeadJournal!H$1),0),0)</f>
        <v>0.45553636135233905</v>
      </c>
      <c r="P4242" s="30">
        <f>IFERROR(SUM(K4242:O4242)*VLOOKUP($A4242,HeadJournal!$A$1:$L$890,COLUMN(HeadJournal!H$1),0),0)</f>
        <v>980.65722373551239</v>
      </c>
      <c r="Q4242" s="29">
        <v>1700</v>
      </c>
      <c r="R4242" s="31">
        <v>45708</v>
      </c>
      <c r="S4242" s="31" t="s">
        <v>3121</v>
      </c>
      <c r="T4242" s="95" t="str">
        <f t="shared" si="331"/>
        <v>2025 02</v>
      </c>
      <c r="U4242" s="32">
        <f t="shared" si="328"/>
        <v>719.34277626448761</v>
      </c>
      <c r="V4242" s="22">
        <f t="shared" si="329"/>
        <v>0.73353130824282553</v>
      </c>
      <c r="X4242" s="33"/>
      <c r="Y4242" s="33"/>
    </row>
    <row r="4243" spans="1:25" x14ac:dyDescent="0.2">
      <c r="A4243" s="93" t="s">
        <v>2802</v>
      </c>
      <c r="B4243" s="94" t="str">
        <f>IFERROR(VLOOKUP($A4243,HeadJournal!$A$1:$NTR$890,COLUMN(HeadJournal!B$1),0),"")</f>
        <v>720000549498</v>
      </c>
      <c r="C4243" s="94" t="str">
        <f>IFERROR(VLOOKUP($A4243,HeadJournal!$A$1:$NTR$890,COLUMN(HeadJournal!C$1),0),"")</f>
        <v>iHerb_OA CZN6870</v>
      </c>
      <c r="D4243" s="125" t="str">
        <f>IFERROR(VLOOKUP($A4243,HeadJournal!$A$1:$NTR$890,COLUMN(HeadJournal!D$1),0),"")</f>
        <v>Доставлен</v>
      </c>
      <c r="E4243" s="95">
        <f>IFERROR(VLOOKUP($A4243,HeadJournal!$A$1:$NTR$890,COLUMN(HeadJournal!G$1),0),"")</f>
        <v>45670</v>
      </c>
      <c r="F4243" s="95" t="str">
        <f t="shared" si="330"/>
        <v>2025 01</v>
      </c>
      <c r="G4243" s="97" t="s">
        <v>5</v>
      </c>
      <c r="H4243" s="161" t="s">
        <v>2791</v>
      </c>
      <c r="I4243" s="97" t="s">
        <v>2008</v>
      </c>
      <c r="J4243" s="97" t="s">
        <v>2792</v>
      </c>
      <c r="K4243" s="29">
        <v>27.38</v>
      </c>
      <c r="L4243" s="29">
        <v>-5.48</v>
      </c>
      <c r="M4243" s="30">
        <f>IFERROR(VLOOKUP($A4243,HeadJournal!$A$1:$J$890,COLUMN(HeadJournal!I$1),0)*($K4243+$L4243)/(SUMIF($A:$A,$A4243,$K:$K)+SUMIF($A:$A,$A4243,$L:$L)),0)</f>
        <v>-1.8013138920044862</v>
      </c>
      <c r="N4243" s="30">
        <f>IFERROR((VLOOKUP($A4243,HeadJournal!$A$1:$K$890,COLUMN(HeadJournal!K$1),0)-VLOOKUP($A4243,HeadJournal!$A$1:$K$890,COLUMN(HeadJournal!J$1),0))*($K4243+$L4243)/(SUMIF($A:$A,$A4243,$K:$K)+SUMIF($A:$A,$A4243,$L:$L)),0)</f>
        <v>0</v>
      </c>
      <c r="O4243" s="30">
        <f>IFERROR((VLOOKUP($A4243,HeadJournal!$A$1:$L$890,COLUMN(HeadJournal!L$1),0)*($K4243+$L4243)/(SUMIF($A:$A,$A4243,$K:$K)+SUMIF($A:$A,$A4243,$L:$L)))/VLOOKUP($A4243,HeadJournal!$A$1:$L$890,COLUMN(HeadJournal!H$1),0),0)</f>
        <v>1.1600286411181657</v>
      </c>
      <c r="P4243" s="30">
        <f>IFERROR(SUM(K4243:O4243)*VLOOKUP($A4243,HeadJournal!$A$1:$L$890,COLUMN(HeadJournal!H$1),0),0)</f>
        <v>2497.2550232334561</v>
      </c>
      <c r="Q4243" s="29">
        <v>3600</v>
      </c>
      <c r="R4243" s="31">
        <v>45708</v>
      </c>
      <c r="S4243" s="31" t="s">
        <v>3121</v>
      </c>
      <c r="T4243" s="95" t="str">
        <f t="shared" si="331"/>
        <v>2025 02</v>
      </c>
      <c r="U4243" s="32">
        <f t="shared" si="328"/>
        <v>1102.7449767665439</v>
      </c>
      <c r="V4243" s="22">
        <f t="shared" si="329"/>
        <v>0.44158284456615293</v>
      </c>
      <c r="X4243" s="33"/>
      <c r="Y4243" s="33"/>
    </row>
    <row r="4244" spans="1:25" x14ac:dyDescent="0.2">
      <c r="A4244" s="93" t="s">
        <v>2802</v>
      </c>
      <c r="B4244" s="94" t="str">
        <f>IFERROR(VLOOKUP($A4244,HeadJournal!$A$1:$NTR$890,COLUMN(HeadJournal!B$1),0),"")</f>
        <v>720000549498</v>
      </c>
      <c r="C4244" s="94" t="str">
        <f>IFERROR(VLOOKUP($A4244,HeadJournal!$A$1:$NTR$890,COLUMN(HeadJournal!C$1),0),"")</f>
        <v>iHerb_OA CZN6870</v>
      </c>
      <c r="D4244" s="125" t="str">
        <f>IFERROR(VLOOKUP($A4244,HeadJournal!$A$1:$NTR$890,COLUMN(HeadJournal!D$1),0),"")</f>
        <v>Доставлен</v>
      </c>
      <c r="E4244" s="95">
        <f>IFERROR(VLOOKUP($A4244,HeadJournal!$A$1:$NTR$890,COLUMN(HeadJournal!G$1),0),"")</f>
        <v>45670</v>
      </c>
      <c r="F4244" s="95" t="str">
        <f t="shared" si="330"/>
        <v>2025 01</v>
      </c>
      <c r="G4244" s="97" t="s">
        <v>5</v>
      </c>
      <c r="H4244" s="161" t="s">
        <v>2648</v>
      </c>
      <c r="I4244" s="97" t="s">
        <v>2218</v>
      </c>
      <c r="J4244" s="97" t="s">
        <v>2649</v>
      </c>
      <c r="K4244" s="29">
        <v>11.52</v>
      </c>
      <c r="L4244" s="29">
        <v>-2.3050000000000002</v>
      </c>
      <c r="M4244" s="30">
        <f>IFERROR(VLOOKUP($A4244,HeadJournal!$A$1:$J$890,COLUMN(HeadJournal!I$1),0)*($K4244+$L4244)/(SUMIF($A:$A,$A4244,$K:$K)+SUMIF($A:$A,$A4244,$L:$L)),0)</f>
        <v>-0.75795011483202468</v>
      </c>
      <c r="N4244" s="30">
        <f>IFERROR((VLOOKUP($A4244,HeadJournal!$A$1:$K$890,COLUMN(HeadJournal!K$1),0)-VLOOKUP($A4244,HeadJournal!$A$1:$K$890,COLUMN(HeadJournal!J$1),0))*($K4244+$L4244)/(SUMIF($A:$A,$A4244,$K:$K)+SUMIF($A:$A,$A4244,$L:$L)),0)</f>
        <v>0</v>
      </c>
      <c r="O4244" s="30">
        <f>IFERROR((VLOOKUP($A4244,HeadJournal!$A$1:$L$890,COLUMN(HeadJournal!L$1),0)*($K4244+$L4244)/(SUMIF($A:$A,$A4244,$K:$K)+SUMIF($A:$A,$A4244,$L:$L)))/VLOOKUP($A4244,HeadJournal!$A$1:$L$890,COLUMN(HeadJournal!H$1),0),0)</f>
        <v>0.48811250812346563</v>
      </c>
      <c r="P4244" s="30">
        <f>IFERROR(SUM(K4244:O4244)*VLOOKUP($A4244,HeadJournal!$A$1:$L$890,COLUMN(HeadJournal!H$1),0),0)</f>
        <v>1050.7856182235753</v>
      </c>
      <c r="Q4244" s="29">
        <v>1800</v>
      </c>
      <c r="R4244" s="31">
        <v>45708</v>
      </c>
      <c r="S4244" s="31" t="s">
        <v>3121</v>
      </c>
      <c r="T4244" s="95" t="str">
        <f t="shared" si="331"/>
        <v>2025 02</v>
      </c>
      <c r="U4244" s="32">
        <f t="shared" si="328"/>
        <v>749.21438177642472</v>
      </c>
      <c r="V4244" s="22">
        <f t="shared" si="329"/>
        <v>0.71300403125332334</v>
      </c>
      <c r="X4244" s="33"/>
      <c r="Y4244" s="33"/>
    </row>
    <row r="4245" spans="1:25" x14ac:dyDescent="0.2">
      <c r="A4245" s="93" t="s">
        <v>2802</v>
      </c>
      <c r="B4245" s="94" t="str">
        <f>IFERROR(VLOOKUP($A4245,HeadJournal!$A$1:$NTR$890,COLUMN(HeadJournal!B$1),0),"")</f>
        <v>720000549498</v>
      </c>
      <c r="C4245" s="94" t="str">
        <f>IFERROR(VLOOKUP($A4245,HeadJournal!$A$1:$NTR$890,COLUMN(HeadJournal!C$1),0),"")</f>
        <v>iHerb_OA CZN6870</v>
      </c>
      <c r="D4245" s="125" t="str">
        <f>IFERROR(VLOOKUP($A4245,HeadJournal!$A$1:$NTR$890,COLUMN(HeadJournal!D$1),0),"")</f>
        <v>Доставлен</v>
      </c>
      <c r="E4245" s="95">
        <f>IFERROR(VLOOKUP($A4245,HeadJournal!$A$1:$NTR$890,COLUMN(HeadJournal!G$1),0),"")</f>
        <v>45670</v>
      </c>
      <c r="F4245" s="95" t="str">
        <f t="shared" si="330"/>
        <v>2025 01</v>
      </c>
      <c r="G4245" s="97" t="s">
        <v>5</v>
      </c>
      <c r="H4245" s="161" t="s">
        <v>2648</v>
      </c>
      <c r="I4245" s="97" t="s">
        <v>2218</v>
      </c>
      <c r="J4245" s="97" t="s">
        <v>2649</v>
      </c>
      <c r="K4245" s="29">
        <v>11.52</v>
      </c>
      <c r="L4245" s="29">
        <v>-2.3050000000000002</v>
      </c>
      <c r="M4245" s="30">
        <f>IFERROR(VLOOKUP($A4245,HeadJournal!$A$1:$J$890,COLUMN(HeadJournal!I$1),0)*($K4245+$L4245)/(SUMIF($A:$A,$A4245,$K:$K)+SUMIF($A:$A,$A4245,$L:$L)),0)</f>
        <v>-0.75795011483202468</v>
      </c>
      <c r="N4245" s="30">
        <f>IFERROR((VLOOKUP($A4245,HeadJournal!$A$1:$K$890,COLUMN(HeadJournal!K$1),0)-VLOOKUP($A4245,HeadJournal!$A$1:$K$890,COLUMN(HeadJournal!J$1),0))*($K4245+$L4245)/(SUMIF($A:$A,$A4245,$K:$K)+SUMIF($A:$A,$A4245,$L:$L)),0)</f>
        <v>0</v>
      </c>
      <c r="O4245" s="30">
        <f>IFERROR((VLOOKUP($A4245,HeadJournal!$A$1:$L$890,COLUMN(HeadJournal!L$1),0)*($K4245+$L4245)/(SUMIF($A:$A,$A4245,$K:$K)+SUMIF($A:$A,$A4245,$L:$L)))/VLOOKUP($A4245,HeadJournal!$A$1:$L$890,COLUMN(HeadJournal!H$1),0),0)</f>
        <v>0.48811250812346563</v>
      </c>
      <c r="P4245" s="30">
        <f>IFERROR(SUM(K4245:O4245)*VLOOKUP($A4245,HeadJournal!$A$1:$L$890,COLUMN(HeadJournal!H$1),0),0)</f>
        <v>1050.7856182235753</v>
      </c>
      <c r="Q4245" s="29"/>
      <c r="R4245" s="31"/>
      <c r="S4245" s="31"/>
      <c r="T4245" s="95" t="str">
        <f t="shared" si="331"/>
        <v/>
      </c>
      <c r="U4245" s="32">
        <f t="shared" si="328"/>
        <v>-1050.7856182235753</v>
      </c>
      <c r="V4245" s="22" t="str">
        <f t="shared" si="329"/>
        <v/>
      </c>
      <c r="X4245" s="33"/>
      <c r="Y4245" s="33"/>
    </row>
    <row r="4246" spans="1:25" x14ac:dyDescent="0.2">
      <c r="A4246" s="93" t="s">
        <v>2802</v>
      </c>
      <c r="B4246" s="94" t="str">
        <f>IFERROR(VLOOKUP($A4246,HeadJournal!$A$1:$NTR$890,COLUMN(HeadJournal!B$1),0),"")</f>
        <v>720000549498</v>
      </c>
      <c r="C4246" s="94" t="str">
        <f>IFERROR(VLOOKUP($A4246,HeadJournal!$A$1:$NTR$890,COLUMN(HeadJournal!C$1),0),"")</f>
        <v>iHerb_OA CZN6870</v>
      </c>
      <c r="D4246" s="125" t="str">
        <f>IFERROR(VLOOKUP($A4246,HeadJournal!$A$1:$NTR$890,COLUMN(HeadJournal!D$1),0),"")</f>
        <v>Доставлен</v>
      </c>
      <c r="E4246" s="95">
        <f>IFERROR(VLOOKUP($A4246,HeadJournal!$A$1:$NTR$890,COLUMN(HeadJournal!G$1),0),"")</f>
        <v>45670</v>
      </c>
      <c r="F4246" s="95" t="str">
        <f t="shared" si="330"/>
        <v>2025 01</v>
      </c>
      <c r="G4246" s="97" t="s">
        <v>5</v>
      </c>
      <c r="H4246" s="161" t="s">
        <v>2793</v>
      </c>
      <c r="I4246" s="97" t="s">
        <v>2218</v>
      </c>
      <c r="J4246" s="97" t="s">
        <v>2794</v>
      </c>
      <c r="K4246" s="29">
        <v>8.8699999999999992</v>
      </c>
      <c r="L4246" s="29">
        <v>-1.77</v>
      </c>
      <c r="M4246" s="30">
        <f>IFERROR(VLOOKUP($A4246,HeadJournal!$A$1:$J$890,COLUMN(HeadJournal!I$1),0)*($K4246+$L4246)/(SUMIF($A:$A,$A4246,$K:$K)+SUMIF($A:$A,$A4246,$L:$L)),0)</f>
        <v>-0.58398760882337231</v>
      </c>
      <c r="N4246" s="30">
        <f>IFERROR((VLOOKUP($A4246,HeadJournal!$A$1:$K$890,COLUMN(HeadJournal!K$1),0)-VLOOKUP($A4246,HeadJournal!$A$1:$K$890,COLUMN(HeadJournal!J$1),0))*($K4246+$L4246)/(SUMIF($A:$A,$A4246,$K:$K)+SUMIF($A:$A,$A4246,$L:$L)),0)</f>
        <v>0</v>
      </c>
      <c r="O4246" s="30">
        <f>IFERROR((VLOOKUP($A4246,HeadJournal!$A$1:$L$890,COLUMN(HeadJournal!L$1),0)*($K4246+$L4246)/(SUMIF($A:$A,$A4246,$K:$K)+SUMIF($A:$A,$A4246,$L:$L)))/VLOOKUP($A4246,HeadJournal!$A$1:$L$890,COLUMN(HeadJournal!H$1),0),0)</f>
        <v>0.37608234483739622</v>
      </c>
      <c r="P4246" s="30">
        <f>IFERROR(SUM(K4246:O4246)*VLOOKUP($A4246,HeadJournal!$A$1:$L$890,COLUMN(HeadJournal!H$1),0),0)</f>
        <v>809.61235913048108</v>
      </c>
      <c r="Q4246" s="29">
        <v>1800</v>
      </c>
      <c r="R4246" s="31">
        <v>45743</v>
      </c>
      <c r="S4246" s="31" t="s">
        <v>3121</v>
      </c>
      <c r="T4246" s="95" t="str">
        <f t="shared" si="331"/>
        <v>2025 03</v>
      </c>
      <c r="U4246" s="32">
        <f t="shared" si="328"/>
        <v>990.38764086951892</v>
      </c>
      <c r="V4246" s="22">
        <f t="shared" si="329"/>
        <v>1.2232862180280812</v>
      </c>
      <c r="X4246" s="33"/>
      <c r="Y4246" s="33"/>
    </row>
    <row r="4247" spans="1:25" x14ac:dyDescent="0.2">
      <c r="A4247" s="93" t="s">
        <v>2802</v>
      </c>
      <c r="B4247" s="94" t="str">
        <f>IFERROR(VLOOKUP($A4247,HeadJournal!$A$1:$NTR$890,COLUMN(HeadJournal!B$1),0),"")</f>
        <v>720000549498</v>
      </c>
      <c r="C4247" s="94" t="str">
        <f>IFERROR(VLOOKUP($A4247,HeadJournal!$A$1:$NTR$890,COLUMN(HeadJournal!C$1),0),"")</f>
        <v>iHerb_OA CZN6870</v>
      </c>
      <c r="D4247" s="125" t="str">
        <f>IFERROR(VLOOKUP($A4247,HeadJournal!$A$1:$NTR$890,COLUMN(HeadJournal!D$1),0),"")</f>
        <v>Доставлен</v>
      </c>
      <c r="E4247" s="95">
        <f>IFERROR(VLOOKUP($A4247,HeadJournal!$A$1:$NTR$890,COLUMN(HeadJournal!G$1),0),"")</f>
        <v>45670</v>
      </c>
      <c r="F4247" s="95" t="str">
        <f t="shared" si="330"/>
        <v>2025 01</v>
      </c>
      <c r="G4247" s="97" t="s">
        <v>5</v>
      </c>
      <c r="H4247" s="161" t="s">
        <v>2795</v>
      </c>
      <c r="I4247" s="97" t="s">
        <v>2796</v>
      </c>
      <c r="J4247" s="97" t="s">
        <v>2797</v>
      </c>
      <c r="K4247" s="29">
        <v>17.5</v>
      </c>
      <c r="L4247" s="29">
        <v>-3.5</v>
      </c>
      <c r="M4247" s="30">
        <f>IFERROR(VLOOKUP($A4247,HeadJournal!$A$1:$J$890,COLUMN(HeadJournal!I$1),0)*($K4247+$L4247)/(SUMIF($A:$A,$A4247,$K:$K)+SUMIF($A:$A,$A4247,$L:$L)),0)</f>
        <v>-1.1515248624686214</v>
      </c>
      <c r="N4247" s="30">
        <f>IFERROR((VLOOKUP($A4247,HeadJournal!$A$1:$K$890,COLUMN(HeadJournal!K$1),0)-VLOOKUP($A4247,HeadJournal!$A$1:$K$890,COLUMN(HeadJournal!J$1),0))*($K4247+$L4247)/(SUMIF($A:$A,$A4247,$K:$K)+SUMIF($A:$A,$A4247,$L:$L)),0)</f>
        <v>0</v>
      </c>
      <c r="O4247" s="30">
        <f>IFERROR((VLOOKUP($A4247,HeadJournal!$A$1:$L$890,COLUMN(HeadJournal!L$1),0)*($K4247+$L4247)/(SUMIF($A:$A,$A4247,$K:$K)+SUMIF($A:$A,$A4247,$L:$L)))/VLOOKUP($A4247,HeadJournal!$A$1:$L$890,COLUMN(HeadJournal!H$1),0),0)</f>
        <v>0.74157082080613335</v>
      </c>
      <c r="P4247" s="30">
        <f>IFERROR(SUM(K4247:O4247)*VLOOKUP($A4247,HeadJournal!$A$1:$L$890,COLUMN(HeadJournal!H$1),0),0)</f>
        <v>1596.418736313625</v>
      </c>
      <c r="Q4247" s="29">
        <v>2300</v>
      </c>
      <c r="R4247" s="31">
        <v>45743</v>
      </c>
      <c r="S4247" s="31" t="s">
        <v>3121</v>
      </c>
      <c r="T4247" s="95" t="str">
        <f t="shared" si="331"/>
        <v>2025 03</v>
      </c>
      <c r="U4247" s="32">
        <f t="shared" si="328"/>
        <v>703.581263686375</v>
      </c>
      <c r="V4247" s="22">
        <f t="shared" si="329"/>
        <v>0.44072475953962537</v>
      </c>
      <c r="X4247" s="33"/>
      <c r="Y4247" s="33"/>
    </row>
    <row r="4248" spans="1:25" x14ac:dyDescent="0.2">
      <c r="A4248" s="93" t="s">
        <v>2802</v>
      </c>
      <c r="B4248" s="94" t="str">
        <f>IFERROR(VLOOKUP($A4248,HeadJournal!$A$1:$NTR$890,COLUMN(HeadJournal!B$1),0),"")</f>
        <v>720000549498</v>
      </c>
      <c r="C4248" s="94" t="str">
        <f>IFERROR(VLOOKUP($A4248,HeadJournal!$A$1:$NTR$890,COLUMN(HeadJournal!C$1),0),"")</f>
        <v>iHerb_OA CZN6870</v>
      </c>
      <c r="D4248" s="125" t="str">
        <f>IFERROR(VLOOKUP($A4248,HeadJournal!$A$1:$NTR$890,COLUMN(HeadJournal!D$1),0),"")</f>
        <v>Доставлен</v>
      </c>
      <c r="E4248" s="95">
        <f>IFERROR(VLOOKUP($A4248,HeadJournal!$A$1:$NTR$890,COLUMN(HeadJournal!G$1),0),"")</f>
        <v>45670</v>
      </c>
      <c r="F4248" s="95" t="str">
        <f t="shared" si="330"/>
        <v>2025 01</v>
      </c>
      <c r="G4248" s="97" t="s">
        <v>5</v>
      </c>
      <c r="H4248" s="161" t="s">
        <v>2798</v>
      </c>
      <c r="I4248" s="97" t="s">
        <v>2009</v>
      </c>
      <c r="J4248" s="97" t="s">
        <v>2799</v>
      </c>
      <c r="K4248" s="29">
        <v>23.06</v>
      </c>
      <c r="L4248" s="29">
        <v>-4.6100000000000003</v>
      </c>
      <c r="M4248" s="30">
        <f>IFERROR(VLOOKUP($A4248,HeadJournal!$A$1:$J$890,COLUMN(HeadJournal!I$1),0)*($K4248+$L4248)/(SUMIF($A:$A,$A4248,$K:$K)+SUMIF($A:$A,$A4248,$L:$L)),0)</f>
        <v>-1.5175452651818617</v>
      </c>
      <c r="N4248" s="30">
        <f>IFERROR((VLOOKUP($A4248,HeadJournal!$A$1:$K$890,COLUMN(HeadJournal!K$1),0)-VLOOKUP($A4248,HeadJournal!$A$1:$K$890,COLUMN(HeadJournal!J$1),0))*($K4248+$L4248)/(SUMIF($A:$A,$A4248,$K:$K)+SUMIF($A:$A,$A4248,$L:$L)),0)</f>
        <v>0</v>
      </c>
      <c r="O4248" s="30">
        <f>IFERROR((VLOOKUP($A4248,HeadJournal!$A$1:$L$890,COLUMN(HeadJournal!L$1),0)*($K4248+$L4248)/(SUMIF($A:$A,$A4248,$K:$K)+SUMIF($A:$A,$A4248,$L:$L)))/VLOOKUP($A4248,HeadJournal!$A$1:$L$890,COLUMN(HeadJournal!H$1),0),0)</f>
        <v>0.97728440313379705</v>
      </c>
      <c r="P4248" s="30">
        <f>IFERROR(SUM(K4248:O4248)*VLOOKUP($A4248,HeadJournal!$A$1:$L$890,COLUMN(HeadJournal!H$1),0),0)</f>
        <v>2103.8518346418841</v>
      </c>
      <c r="Q4248" s="29">
        <v>2900</v>
      </c>
      <c r="R4248" s="31">
        <v>45740</v>
      </c>
      <c r="S4248" s="31" t="s">
        <v>3121</v>
      </c>
      <c r="T4248" s="95" t="str">
        <f t="shared" si="331"/>
        <v>2025 03</v>
      </c>
      <c r="U4248" s="32">
        <f t="shared" si="328"/>
        <v>796.14816535811588</v>
      </c>
      <c r="V4248" s="22">
        <f t="shared" si="329"/>
        <v>0.37842406591984912</v>
      </c>
      <c r="X4248" s="33"/>
      <c r="Y4248" s="33"/>
    </row>
    <row r="4249" spans="1:25" x14ac:dyDescent="0.2">
      <c r="A4249" s="93" t="s">
        <v>2802</v>
      </c>
      <c r="B4249" s="94" t="str">
        <f>IFERROR(VLOOKUP($A4249,HeadJournal!$A$1:$NTR$890,COLUMN(HeadJournal!B$1),0),"")</f>
        <v>720000549498</v>
      </c>
      <c r="C4249" s="94" t="str">
        <f>IFERROR(VLOOKUP($A4249,HeadJournal!$A$1:$NTR$890,COLUMN(HeadJournal!C$1),0),"")</f>
        <v>iHerb_OA CZN6870</v>
      </c>
      <c r="D4249" s="125" t="str">
        <f>IFERROR(VLOOKUP($A4249,HeadJournal!$A$1:$NTR$890,COLUMN(HeadJournal!D$1),0),"")</f>
        <v>Доставлен</v>
      </c>
      <c r="E4249" s="95">
        <f>IFERROR(VLOOKUP($A4249,HeadJournal!$A$1:$NTR$890,COLUMN(HeadJournal!G$1),0),"")</f>
        <v>45670</v>
      </c>
      <c r="F4249" s="95" t="str">
        <f t="shared" si="330"/>
        <v>2025 01</v>
      </c>
      <c r="G4249" s="97" t="s">
        <v>5</v>
      </c>
      <c r="H4249" s="161" t="s">
        <v>2800</v>
      </c>
      <c r="I4249" s="97" t="s">
        <v>2207</v>
      </c>
      <c r="J4249" s="97" t="s">
        <v>2801</v>
      </c>
      <c r="K4249" s="29">
        <v>25.01</v>
      </c>
      <c r="L4249" s="29">
        <v>-5</v>
      </c>
      <c r="M4249" s="30">
        <f>IFERROR(VLOOKUP($A4249,HeadJournal!$A$1:$J$890,COLUMN(HeadJournal!I$1),0)*($K4249+$L4249)/(SUMIF($A:$A,$A4249,$K:$K)+SUMIF($A:$A,$A4249,$L:$L)),0)</f>
        <v>-1.6458580355712227</v>
      </c>
      <c r="N4249" s="30">
        <f>IFERROR((VLOOKUP($A4249,HeadJournal!$A$1:$K$890,COLUMN(HeadJournal!K$1),0)-VLOOKUP($A4249,HeadJournal!$A$1:$K$890,COLUMN(HeadJournal!J$1),0))*($K4249+$L4249)/(SUMIF($A:$A,$A4249,$K:$K)+SUMIF($A:$A,$A4249,$L:$L)),0)</f>
        <v>0</v>
      </c>
      <c r="O4249" s="30">
        <f>IFERROR((VLOOKUP($A4249,HeadJournal!$A$1:$L$890,COLUMN(HeadJournal!L$1),0)*($K4249+$L4249)/(SUMIF($A:$A,$A4249,$K:$K)+SUMIF($A:$A,$A4249,$L:$L)))/VLOOKUP($A4249,HeadJournal!$A$1:$L$890,COLUMN(HeadJournal!H$1),0),0)</f>
        <v>1.0599165803093378</v>
      </c>
      <c r="P4249" s="30">
        <f>IFERROR(SUM(K4249:O4249)*VLOOKUP($A4249,HeadJournal!$A$1:$L$890,COLUMN(HeadJournal!H$1),0),0)</f>
        <v>2281.7384938311166</v>
      </c>
      <c r="Q4249" s="29">
        <v>3000</v>
      </c>
      <c r="R4249" s="31">
        <v>45714</v>
      </c>
      <c r="S4249" s="31" t="s">
        <v>3121</v>
      </c>
      <c r="T4249" s="95" t="str">
        <f t="shared" si="331"/>
        <v>2025 02</v>
      </c>
      <c r="U4249" s="32">
        <f t="shared" si="328"/>
        <v>718.26150616888344</v>
      </c>
      <c r="V4249" s="22">
        <f t="shared" si="329"/>
        <v>0.31478695219051939</v>
      </c>
      <c r="X4249" s="33"/>
      <c r="Y4249" s="33"/>
    </row>
    <row r="4250" spans="1:25" x14ac:dyDescent="0.2">
      <c r="A4250" s="93" t="s">
        <v>2817</v>
      </c>
      <c r="B4250" s="94" t="str">
        <f>IFERROR(VLOOKUP($A4250,HeadJournal!$A$1:$NTR$890,COLUMN(HeadJournal!B$1),0),"")</f>
        <v>720000537389</v>
      </c>
      <c r="C4250" s="94" t="str">
        <f>IFERROR(VLOOKUP($A4250,HeadJournal!$A$1:$NTR$890,COLUMN(HeadJournal!C$1),0),"")</f>
        <v>iHerb_MH DLE7202</v>
      </c>
      <c r="D4250" s="125" t="str">
        <f>IFERROR(VLOOKUP($A4250,HeadJournal!$A$1:$NTR$890,COLUMN(HeadJournal!D$1),0),"")</f>
        <v>Доставлен</v>
      </c>
      <c r="E4250" s="95">
        <f>IFERROR(VLOOKUP($A4250,HeadJournal!$A$1:$NTR$890,COLUMN(HeadJournal!G$1),0),"")</f>
        <v>45656</v>
      </c>
      <c r="F4250" s="95" t="str">
        <f t="shared" si="330"/>
        <v>2024 12</v>
      </c>
      <c r="G4250" s="97" t="s">
        <v>5</v>
      </c>
      <c r="H4250" s="161" t="s">
        <v>2804</v>
      </c>
      <c r="I4250" s="97" t="s">
        <v>2005</v>
      </c>
      <c r="J4250" s="97" t="s">
        <v>2805</v>
      </c>
      <c r="K4250" s="29">
        <v>10.87</v>
      </c>
      <c r="L4250" s="29">
        <v>-2.1749999999999998</v>
      </c>
      <c r="M4250" s="30">
        <f>IFERROR(VLOOKUP($A4250,HeadJournal!$A$1:$J$890,COLUMN(HeadJournal!I$1),0)*($K4250+$L4250)/(SUMIF($A:$A,$A4250,$K:$K)+SUMIF($A:$A,$A4250,$L:$L)),0)</f>
        <v>-0.27641199533750133</v>
      </c>
      <c r="N4250" s="30">
        <f>IFERROR((VLOOKUP($A4250,HeadJournal!$A$1:$K$890,COLUMN(HeadJournal!K$1),0)-VLOOKUP($A4250,HeadJournal!$A$1:$K$890,COLUMN(HeadJournal!J$1),0))*($K4250+$L4250)/(SUMIF($A:$A,$A4250,$K:$K)+SUMIF($A:$A,$A4250,$L:$L)),0)</f>
        <v>0</v>
      </c>
      <c r="O4250" s="30">
        <f>IFERROR((VLOOKUP($A4250,HeadJournal!$A$1:$L$890,COLUMN(HeadJournal!L$1),0)*($K4250+$L4250)/(SUMIF($A:$A,$A4250,$K:$K)+SUMIF($A:$A,$A4250,$L:$L)))/VLOOKUP($A4250,HeadJournal!$A$1:$L$890,COLUMN(HeadJournal!H$1),0),0)</f>
        <v>0.35402623981685793</v>
      </c>
      <c r="P4250" s="30">
        <f>IFERROR(SUM(K4250:O4250)*VLOOKUP($A4250,HeadJournal!$A$1:$L$890,COLUMN(HeadJournal!H$1),0),0)</f>
        <v>1023.2802779838225</v>
      </c>
      <c r="Q4250" s="29">
        <v>1700</v>
      </c>
      <c r="R4250" s="31">
        <v>45708</v>
      </c>
      <c r="S4250" s="31" t="s">
        <v>3121</v>
      </c>
      <c r="T4250" s="95" t="str">
        <f t="shared" si="331"/>
        <v>2025 02</v>
      </c>
      <c r="U4250" s="32">
        <f t="shared" si="328"/>
        <v>676.71972201617746</v>
      </c>
      <c r="V4250" s="22">
        <f t="shared" si="329"/>
        <v>0.66132391738217</v>
      </c>
      <c r="X4250" s="33"/>
      <c r="Y4250" s="33"/>
    </row>
    <row r="4251" spans="1:25" x14ac:dyDescent="0.2">
      <c r="A4251" s="93" t="s">
        <v>2817</v>
      </c>
      <c r="B4251" s="94" t="str">
        <f>IFERROR(VLOOKUP($A4251,HeadJournal!$A$1:$NTR$890,COLUMN(HeadJournal!B$1),0),"")</f>
        <v>720000537389</v>
      </c>
      <c r="C4251" s="94" t="str">
        <f>IFERROR(VLOOKUP($A4251,HeadJournal!$A$1:$NTR$890,COLUMN(HeadJournal!C$1),0),"")</f>
        <v>iHerb_MH DLE7202</v>
      </c>
      <c r="D4251" s="125" t="str">
        <f>IFERROR(VLOOKUP($A4251,HeadJournal!$A$1:$NTR$890,COLUMN(HeadJournal!D$1),0),"")</f>
        <v>Доставлен</v>
      </c>
      <c r="E4251" s="95">
        <f>IFERROR(VLOOKUP($A4251,HeadJournal!$A$1:$NTR$890,COLUMN(HeadJournal!G$1),0),"")</f>
        <v>45656</v>
      </c>
      <c r="F4251" s="95" t="str">
        <f t="shared" si="330"/>
        <v>2024 12</v>
      </c>
      <c r="G4251" s="97" t="s">
        <v>5</v>
      </c>
      <c r="H4251" s="161" t="s">
        <v>2804</v>
      </c>
      <c r="I4251" s="97" t="s">
        <v>2005</v>
      </c>
      <c r="J4251" s="97" t="s">
        <v>2805</v>
      </c>
      <c r="K4251" s="29">
        <v>10.87</v>
      </c>
      <c r="L4251" s="29">
        <v>-2.1749999999999998</v>
      </c>
      <c r="M4251" s="30">
        <f>IFERROR(VLOOKUP($A4251,HeadJournal!$A$1:$J$890,COLUMN(HeadJournal!I$1),0)*($K4251+$L4251)/(SUMIF($A:$A,$A4251,$K:$K)+SUMIF($A:$A,$A4251,$L:$L)),0)</f>
        <v>-0.27641199533750133</v>
      </c>
      <c r="N4251" s="30">
        <f>IFERROR((VLOOKUP($A4251,HeadJournal!$A$1:$K$890,COLUMN(HeadJournal!K$1),0)-VLOOKUP($A4251,HeadJournal!$A$1:$K$890,COLUMN(HeadJournal!J$1),0))*($K4251+$L4251)/(SUMIF($A:$A,$A4251,$K:$K)+SUMIF($A:$A,$A4251,$L:$L)),0)</f>
        <v>0</v>
      </c>
      <c r="O4251" s="30">
        <f>IFERROR((VLOOKUP($A4251,HeadJournal!$A$1:$L$890,COLUMN(HeadJournal!L$1),0)*($K4251+$L4251)/(SUMIF($A:$A,$A4251,$K:$K)+SUMIF($A:$A,$A4251,$L:$L)))/VLOOKUP($A4251,HeadJournal!$A$1:$L$890,COLUMN(HeadJournal!H$1),0),0)</f>
        <v>0.35402623981685793</v>
      </c>
      <c r="P4251" s="30">
        <f>IFERROR(SUM(K4251:O4251)*VLOOKUP($A4251,HeadJournal!$A$1:$L$890,COLUMN(HeadJournal!H$1),0),0)</f>
        <v>1023.2802779838225</v>
      </c>
      <c r="Q4251" s="29">
        <v>1600</v>
      </c>
      <c r="R4251" s="31">
        <v>45893</v>
      </c>
      <c r="S4251" s="31"/>
      <c r="T4251" s="95" t="str">
        <f t="shared" si="331"/>
        <v>2025 08</v>
      </c>
      <c r="U4251" s="32">
        <f t="shared" si="328"/>
        <v>576.71972201617746</v>
      </c>
      <c r="V4251" s="22">
        <f t="shared" si="329"/>
        <v>0.56359898106557182</v>
      </c>
      <c r="X4251" s="33"/>
      <c r="Y4251" s="33"/>
    </row>
    <row r="4252" spans="1:25" x14ac:dyDescent="0.2">
      <c r="A4252" s="93" t="s">
        <v>2817</v>
      </c>
      <c r="B4252" s="94" t="str">
        <f>IFERROR(VLOOKUP($A4252,HeadJournal!$A$1:$NTR$890,COLUMN(HeadJournal!B$1),0),"")</f>
        <v>720000537389</v>
      </c>
      <c r="C4252" s="94" t="str">
        <f>IFERROR(VLOOKUP($A4252,HeadJournal!$A$1:$NTR$890,COLUMN(HeadJournal!C$1),0),"")</f>
        <v>iHerb_MH DLE7202</v>
      </c>
      <c r="D4252" s="125" t="str">
        <f>IFERROR(VLOOKUP($A4252,HeadJournal!$A$1:$NTR$890,COLUMN(HeadJournal!D$1),0),"")</f>
        <v>Доставлен</v>
      </c>
      <c r="E4252" s="95">
        <f>IFERROR(VLOOKUP($A4252,HeadJournal!$A$1:$NTR$890,COLUMN(HeadJournal!G$1),0),"")</f>
        <v>45656</v>
      </c>
      <c r="F4252" s="95" t="str">
        <f t="shared" si="330"/>
        <v>2024 12</v>
      </c>
      <c r="G4252" s="97" t="s">
        <v>5</v>
      </c>
      <c r="H4252" s="161" t="s">
        <v>2028</v>
      </c>
      <c r="I4252" s="97" t="s">
        <v>2009</v>
      </c>
      <c r="J4252" s="97" t="s">
        <v>2029</v>
      </c>
      <c r="K4252" s="29">
        <v>14.6</v>
      </c>
      <c r="L4252" s="29">
        <v>-2.92</v>
      </c>
      <c r="M4252" s="30">
        <f>IFERROR(VLOOKUP($A4252,HeadJournal!$A$1:$J$890,COLUMN(HeadJournal!I$1),0)*($K4252+$L4252)/(SUMIF($A:$A,$A4252,$K:$K)+SUMIF($A:$A,$A4252,$L:$L)),0)</f>
        <v>-0.37130443997032953</v>
      </c>
      <c r="N4252" s="30">
        <f>IFERROR((VLOOKUP($A4252,HeadJournal!$A$1:$K$890,COLUMN(HeadJournal!K$1),0)-VLOOKUP($A4252,HeadJournal!$A$1:$K$890,COLUMN(HeadJournal!J$1),0))*($K4252+$L4252)/(SUMIF($A:$A,$A4252,$K:$K)+SUMIF($A:$A,$A4252,$L:$L)),0)</f>
        <v>0</v>
      </c>
      <c r="O4252" s="30">
        <f>IFERROR((VLOOKUP($A4252,HeadJournal!$A$1:$L$890,COLUMN(HeadJournal!L$1),0)*($K4252+$L4252)/(SUMIF($A:$A,$A4252,$K:$K)+SUMIF($A:$A,$A4252,$L:$L)))/VLOOKUP($A4252,HeadJournal!$A$1:$L$890,COLUMN(HeadJournal!H$1),0),0)</f>
        <v>0.4755637126004485</v>
      </c>
      <c r="P4252" s="30">
        <f>IFERROR(SUM(K4252:O4252)*VLOOKUP($A4252,HeadJournal!$A$1:$L$890,COLUMN(HeadJournal!H$1),0),0)</f>
        <v>1374.5731623750487</v>
      </c>
      <c r="Q4252" s="29">
        <v>1800</v>
      </c>
      <c r="R4252" s="31">
        <v>45710</v>
      </c>
      <c r="S4252" s="31" t="s">
        <v>3121</v>
      </c>
      <c r="T4252" s="95" t="str">
        <f t="shared" si="331"/>
        <v>2025 02</v>
      </c>
      <c r="U4252" s="32">
        <f t="shared" si="328"/>
        <v>425.4268376249513</v>
      </c>
      <c r="V4252" s="22">
        <f t="shared" si="329"/>
        <v>0.30949741292044425</v>
      </c>
      <c r="X4252" s="33"/>
      <c r="Y4252" s="33"/>
    </row>
    <row r="4253" spans="1:25" x14ac:dyDescent="0.2">
      <c r="A4253" s="93" t="s">
        <v>2817</v>
      </c>
      <c r="B4253" s="94" t="str">
        <f>IFERROR(VLOOKUP($A4253,HeadJournal!$A$1:$NTR$890,COLUMN(HeadJournal!B$1),0),"")</f>
        <v>720000537389</v>
      </c>
      <c r="C4253" s="94" t="str">
        <f>IFERROR(VLOOKUP($A4253,HeadJournal!$A$1:$NTR$890,COLUMN(HeadJournal!C$1),0),"")</f>
        <v>iHerb_MH DLE7202</v>
      </c>
      <c r="D4253" s="125" t="str">
        <f>IFERROR(VLOOKUP($A4253,HeadJournal!$A$1:$NTR$890,COLUMN(HeadJournal!D$1),0),"")</f>
        <v>Доставлен</v>
      </c>
      <c r="E4253" s="95">
        <f>IFERROR(VLOOKUP($A4253,HeadJournal!$A$1:$NTR$890,COLUMN(HeadJournal!G$1),0),"")</f>
        <v>45656</v>
      </c>
      <c r="F4253" s="95" t="str">
        <f t="shared" si="330"/>
        <v>2024 12</v>
      </c>
      <c r="G4253" s="97" t="s">
        <v>5</v>
      </c>
      <c r="H4253" s="161" t="s">
        <v>2028</v>
      </c>
      <c r="I4253" s="97" t="s">
        <v>2009</v>
      </c>
      <c r="J4253" s="97" t="s">
        <v>2029</v>
      </c>
      <c r="K4253" s="29">
        <v>14.6</v>
      </c>
      <c r="L4253" s="29">
        <v>-2.92</v>
      </c>
      <c r="M4253" s="30">
        <f>IFERROR(VLOOKUP($A4253,HeadJournal!$A$1:$J$890,COLUMN(HeadJournal!I$1),0)*($K4253+$L4253)/(SUMIF($A:$A,$A4253,$K:$K)+SUMIF($A:$A,$A4253,$L:$L)),0)</f>
        <v>-0.37130443997032953</v>
      </c>
      <c r="N4253" s="30">
        <f>IFERROR((VLOOKUP($A4253,HeadJournal!$A$1:$K$890,COLUMN(HeadJournal!K$1),0)-VLOOKUP($A4253,HeadJournal!$A$1:$K$890,COLUMN(HeadJournal!J$1),0))*($K4253+$L4253)/(SUMIF($A:$A,$A4253,$K:$K)+SUMIF($A:$A,$A4253,$L:$L)),0)</f>
        <v>0</v>
      </c>
      <c r="O4253" s="30">
        <f>IFERROR((VLOOKUP($A4253,HeadJournal!$A$1:$L$890,COLUMN(HeadJournal!L$1),0)*($K4253+$L4253)/(SUMIF($A:$A,$A4253,$K:$K)+SUMIF($A:$A,$A4253,$L:$L)))/VLOOKUP($A4253,HeadJournal!$A$1:$L$890,COLUMN(HeadJournal!H$1),0),0)</f>
        <v>0.4755637126004485</v>
      </c>
      <c r="P4253" s="30">
        <f>IFERROR(SUM(K4253:O4253)*VLOOKUP($A4253,HeadJournal!$A$1:$L$890,COLUMN(HeadJournal!H$1),0),0)</f>
        <v>1374.5731623750487</v>
      </c>
      <c r="Q4253" s="29">
        <v>2000</v>
      </c>
      <c r="R4253" s="31">
        <v>45761</v>
      </c>
      <c r="S4253" s="31" t="s">
        <v>3121</v>
      </c>
      <c r="T4253" s="95" t="str">
        <f t="shared" si="331"/>
        <v>2025 04</v>
      </c>
      <c r="U4253" s="32">
        <f t="shared" si="328"/>
        <v>625.4268376249513</v>
      </c>
      <c r="V4253" s="22">
        <f t="shared" si="329"/>
        <v>0.45499712546716026</v>
      </c>
      <c r="X4253" s="33"/>
      <c r="Y4253" s="33"/>
    </row>
    <row r="4254" spans="1:25" x14ac:dyDescent="0.2">
      <c r="A4254" s="93" t="s">
        <v>2817</v>
      </c>
      <c r="B4254" s="94" t="str">
        <f>IFERROR(VLOOKUP($A4254,HeadJournal!$A$1:$NTR$890,COLUMN(HeadJournal!B$1),0),"")</f>
        <v>720000537389</v>
      </c>
      <c r="C4254" s="94" t="str">
        <f>IFERROR(VLOOKUP($A4254,HeadJournal!$A$1:$NTR$890,COLUMN(HeadJournal!C$1),0),"")</f>
        <v>iHerb_MH DLE7202</v>
      </c>
      <c r="D4254" s="125" t="str">
        <f>IFERROR(VLOOKUP($A4254,HeadJournal!$A$1:$NTR$890,COLUMN(HeadJournal!D$1),0),"")</f>
        <v>Доставлен</v>
      </c>
      <c r="E4254" s="95">
        <f>IFERROR(VLOOKUP($A4254,HeadJournal!$A$1:$NTR$890,COLUMN(HeadJournal!G$1),0),"")</f>
        <v>45656</v>
      </c>
      <c r="F4254" s="95" t="str">
        <f t="shared" si="330"/>
        <v>2024 12</v>
      </c>
      <c r="G4254" s="97" t="s">
        <v>5</v>
      </c>
      <c r="H4254" s="161" t="s">
        <v>2806</v>
      </c>
      <c r="I4254" s="97" t="s">
        <v>2009</v>
      </c>
      <c r="J4254" s="97" t="s">
        <v>2807</v>
      </c>
      <c r="K4254" s="29">
        <v>25.29</v>
      </c>
      <c r="L4254" s="29">
        <v>-5.0599999999999996</v>
      </c>
      <c r="M4254" s="30">
        <f>IFERROR(VLOOKUP($A4254,HeadJournal!$A$1:$J$890,COLUMN(HeadJournal!I$1),0)*($K4254+$L4254)/(SUMIF($A:$A,$A4254,$K:$K)+SUMIF($A:$A,$A4254,$L:$L)),0)</f>
        <v>-0.64310691957189781</v>
      </c>
      <c r="N4254" s="30">
        <f>IFERROR((VLOOKUP($A4254,HeadJournal!$A$1:$K$890,COLUMN(HeadJournal!K$1),0)-VLOOKUP($A4254,HeadJournal!$A$1:$K$890,COLUMN(HeadJournal!J$1),0))*($K4254+$L4254)/(SUMIF($A:$A,$A4254,$K:$K)+SUMIF($A:$A,$A4254,$L:$L)),0)</f>
        <v>0</v>
      </c>
      <c r="O4254" s="30">
        <f>IFERROR((VLOOKUP($A4254,HeadJournal!$A$1:$L$890,COLUMN(HeadJournal!L$1),0)*($K4254+$L4254)/(SUMIF($A:$A,$A4254,$K:$K)+SUMIF($A:$A,$A4254,$L:$L)))/VLOOKUP($A4254,HeadJournal!$A$1:$L$890,COLUMN(HeadJournal!H$1),0),0)</f>
        <v>0.82368612208108516</v>
      </c>
      <c r="P4254" s="30">
        <f>IFERROR(SUM(K4254:O4254)*VLOOKUP($A4254,HeadJournal!$A$1:$L$890,COLUMN(HeadJournal!H$1),0),0)</f>
        <v>2380.7889618876056</v>
      </c>
      <c r="Q4254" s="29">
        <v>3000</v>
      </c>
      <c r="R4254" s="31">
        <v>45792</v>
      </c>
      <c r="S4254" s="31" t="s">
        <v>3121</v>
      </c>
      <c r="T4254" s="95" t="str">
        <f t="shared" si="331"/>
        <v>2025 05</v>
      </c>
      <c r="U4254" s="32">
        <f t="shared" si="328"/>
        <v>619.21103811239436</v>
      </c>
      <c r="V4254" s="22">
        <f t="shared" si="329"/>
        <v>0.26008648730522238</v>
      </c>
      <c r="X4254" s="33"/>
      <c r="Y4254" s="33"/>
    </row>
    <row r="4255" spans="1:25" x14ac:dyDescent="0.2">
      <c r="A4255" s="93" t="s">
        <v>2817</v>
      </c>
      <c r="B4255" s="94" t="str">
        <f>IFERROR(VLOOKUP($A4255,HeadJournal!$A$1:$NTR$890,COLUMN(HeadJournal!B$1),0),"")</f>
        <v>720000537389</v>
      </c>
      <c r="C4255" s="94" t="str">
        <f>IFERROR(VLOOKUP($A4255,HeadJournal!$A$1:$NTR$890,COLUMN(HeadJournal!C$1),0),"")</f>
        <v>iHerb_MH DLE7202</v>
      </c>
      <c r="D4255" s="125" t="str">
        <f>IFERROR(VLOOKUP($A4255,HeadJournal!$A$1:$NTR$890,COLUMN(HeadJournal!D$1),0),"")</f>
        <v>Доставлен</v>
      </c>
      <c r="E4255" s="95">
        <f>IFERROR(VLOOKUP($A4255,HeadJournal!$A$1:$NTR$890,COLUMN(HeadJournal!G$1),0),"")</f>
        <v>45656</v>
      </c>
      <c r="F4255" s="95" t="str">
        <f t="shared" si="330"/>
        <v>2024 12</v>
      </c>
      <c r="G4255" s="97" t="s">
        <v>5</v>
      </c>
      <c r="H4255" s="161" t="s">
        <v>2806</v>
      </c>
      <c r="I4255" s="97" t="s">
        <v>2009</v>
      </c>
      <c r="J4255" s="97" t="s">
        <v>2807</v>
      </c>
      <c r="K4255" s="29">
        <v>25.29</v>
      </c>
      <c r="L4255" s="29">
        <v>-5.0599999999999996</v>
      </c>
      <c r="M4255" s="30">
        <f>IFERROR(VLOOKUP($A4255,HeadJournal!$A$1:$J$890,COLUMN(HeadJournal!I$1),0)*($K4255+$L4255)/(SUMIF($A:$A,$A4255,$K:$K)+SUMIF($A:$A,$A4255,$L:$L)),0)</f>
        <v>-0.64310691957189781</v>
      </c>
      <c r="N4255" s="30">
        <f>IFERROR((VLOOKUP($A4255,HeadJournal!$A$1:$K$890,COLUMN(HeadJournal!K$1),0)-VLOOKUP($A4255,HeadJournal!$A$1:$K$890,COLUMN(HeadJournal!J$1),0))*($K4255+$L4255)/(SUMIF($A:$A,$A4255,$K:$K)+SUMIF($A:$A,$A4255,$L:$L)),0)</f>
        <v>0</v>
      </c>
      <c r="O4255" s="30">
        <f>IFERROR((VLOOKUP($A4255,HeadJournal!$A$1:$L$890,COLUMN(HeadJournal!L$1),0)*($K4255+$L4255)/(SUMIF($A:$A,$A4255,$K:$K)+SUMIF($A:$A,$A4255,$L:$L)))/VLOOKUP($A4255,HeadJournal!$A$1:$L$890,COLUMN(HeadJournal!H$1),0),0)</f>
        <v>0.82368612208108516</v>
      </c>
      <c r="P4255" s="30">
        <f>IFERROR(SUM(K4255:O4255)*VLOOKUP($A4255,HeadJournal!$A$1:$L$890,COLUMN(HeadJournal!H$1),0),0)</f>
        <v>2380.7889618876056</v>
      </c>
      <c r="Q4255" s="29">
        <v>3200</v>
      </c>
      <c r="R4255" s="31">
        <v>45846</v>
      </c>
      <c r="S4255" s="31"/>
      <c r="T4255" s="95" t="str">
        <f t="shared" si="331"/>
        <v>2025 07</v>
      </c>
      <c r="U4255" s="32">
        <f t="shared" si="328"/>
        <v>819.21103811239436</v>
      </c>
      <c r="V4255" s="22">
        <f t="shared" si="329"/>
        <v>0.34409225312557057</v>
      </c>
      <c r="X4255" s="33"/>
      <c r="Y4255" s="33"/>
    </row>
    <row r="4256" spans="1:25" x14ac:dyDescent="0.2">
      <c r="A4256" s="93" t="s">
        <v>2817</v>
      </c>
      <c r="B4256" s="94" t="str">
        <f>IFERROR(VLOOKUP($A4256,HeadJournal!$A$1:$NTR$890,COLUMN(HeadJournal!B$1),0),"")</f>
        <v>720000537389</v>
      </c>
      <c r="C4256" s="94" t="str">
        <f>IFERROR(VLOOKUP($A4256,HeadJournal!$A$1:$NTR$890,COLUMN(HeadJournal!C$1),0),"")</f>
        <v>iHerb_MH DLE7202</v>
      </c>
      <c r="D4256" s="125" t="str">
        <f>IFERROR(VLOOKUP($A4256,HeadJournal!$A$1:$NTR$890,COLUMN(HeadJournal!D$1),0),"")</f>
        <v>Доставлен</v>
      </c>
      <c r="E4256" s="95">
        <f>IFERROR(VLOOKUP($A4256,HeadJournal!$A$1:$NTR$890,COLUMN(HeadJournal!G$1),0),"")</f>
        <v>45656</v>
      </c>
      <c r="F4256" s="95" t="str">
        <f t="shared" si="330"/>
        <v>2024 12</v>
      </c>
      <c r="G4256" s="97" t="s">
        <v>5</v>
      </c>
      <c r="H4256" s="161" t="s">
        <v>2432</v>
      </c>
      <c r="I4256" s="97" t="s">
        <v>2005</v>
      </c>
      <c r="J4256" s="97" t="s">
        <v>2433</v>
      </c>
      <c r="K4256" s="29">
        <v>19.920000000000002</v>
      </c>
      <c r="L4256" s="29">
        <v>-3.98</v>
      </c>
      <c r="M4256" s="30">
        <f>IFERROR(VLOOKUP($A4256,HeadJournal!$A$1:$J$890,COLUMN(HeadJournal!I$1),0)*($K4256+$L4256)/(SUMIF($A:$A,$A4256,$K:$K)+SUMIF($A:$A,$A4256,$L:$L)),0)</f>
        <v>-0.50672883331567242</v>
      </c>
      <c r="N4256" s="30">
        <f>IFERROR((VLOOKUP($A4256,HeadJournal!$A$1:$K$890,COLUMN(HeadJournal!K$1),0)-VLOOKUP($A4256,HeadJournal!$A$1:$K$890,COLUMN(HeadJournal!J$1),0))*($K4256+$L4256)/(SUMIF($A:$A,$A4256,$K:$K)+SUMIF($A:$A,$A4256,$L:$L)),0)</f>
        <v>0</v>
      </c>
      <c r="O4256" s="30">
        <f>IFERROR((VLOOKUP($A4256,HeadJournal!$A$1:$L$890,COLUMN(HeadJournal!L$1),0)*($K4256+$L4256)/(SUMIF($A:$A,$A4256,$K:$K)+SUMIF($A:$A,$A4256,$L:$L)))/VLOOKUP($A4256,HeadJournal!$A$1:$L$890,COLUMN(HeadJournal!H$1),0),0)</f>
        <v>0.64901417627150271</v>
      </c>
      <c r="P4256" s="30">
        <f>IFERROR(SUM(K4256:O4256)*VLOOKUP($A4256,HeadJournal!$A$1:$L$890,COLUMN(HeadJournal!H$1),0),0)</f>
        <v>1875.9157712549893</v>
      </c>
      <c r="Q4256" s="29">
        <v>2700</v>
      </c>
      <c r="R4256" s="31">
        <v>45723</v>
      </c>
      <c r="S4256" s="31" t="s">
        <v>3121</v>
      </c>
      <c r="T4256" s="95" t="str">
        <f t="shared" si="331"/>
        <v>2025 03</v>
      </c>
      <c r="U4256" s="32">
        <f t="shared" si="328"/>
        <v>824.08422874501071</v>
      </c>
      <c r="V4256" s="22">
        <f t="shared" si="329"/>
        <v>0.43929703101418976</v>
      </c>
      <c r="X4256" s="33"/>
      <c r="Y4256" s="33"/>
    </row>
    <row r="4257" spans="1:25" x14ac:dyDescent="0.2">
      <c r="A4257" s="93" t="s">
        <v>2817</v>
      </c>
      <c r="B4257" s="94" t="str">
        <f>IFERROR(VLOOKUP($A4257,HeadJournal!$A$1:$NTR$890,COLUMN(HeadJournal!B$1),0),"")</f>
        <v>720000537389</v>
      </c>
      <c r="C4257" s="94" t="str">
        <f>IFERROR(VLOOKUP($A4257,HeadJournal!$A$1:$NTR$890,COLUMN(HeadJournal!C$1),0),"")</f>
        <v>iHerb_MH DLE7202</v>
      </c>
      <c r="D4257" s="125" t="str">
        <f>IFERROR(VLOOKUP($A4257,HeadJournal!$A$1:$NTR$890,COLUMN(HeadJournal!D$1),0),"")</f>
        <v>Доставлен</v>
      </c>
      <c r="E4257" s="95">
        <f>IFERROR(VLOOKUP($A4257,HeadJournal!$A$1:$NTR$890,COLUMN(HeadJournal!G$1),0),"")</f>
        <v>45656</v>
      </c>
      <c r="F4257" s="95" t="str">
        <f t="shared" si="330"/>
        <v>2024 12</v>
      </c>
      <c r="G4257" s="97" t="s">
        <v>5</v>
      </c>
      <c r="H4257" s="161" t="s">
        <v>2808</v>
      </c>
      <c r="I4257" s="97" t="s">
        <v>2005</v>
      </c>
      <c r="J4257" s="97" t="s">
        <v>2809</v>
      </c>
      <c r="K4257" s="29">
        <v>21.92</v>
      </c>
      <c r="L4257" s="29">
        <v>-4.38</v>
      </c>
      <c r="M4257" s="30">
        <f>IFERROR(VLOOKUP($A4257,HeadJournal!$A$1:$J$890,COLUMN(HeadJournal!I$1),0)*($K4257+$L4257)/(SUMIF($A:$A,$A4257,$K:$K)+SUMIF($A:$A,$A4257,$L:$L)),0)</f>
        <v>-0.55759245522941614</v>
      </c>
      <c r="N4257" s="30">
        <f>IFERROR((VLOOKUP($A4257,HeadJournal!$A$1:$K$890,COLUMN(HeadJournal!K$1),0)-VLOOKUP($A4257,HeadJournal!$A$1:$K$890,COLUMN(HeadJournal!J$1),0))*($K4257+$L4257)/(SUMIF($A:$A,$A4257,$K:$K)+SUMIF($A:$A,$A4257,$L:$L)),0)</f>
        <v>0</v>
      </c>
      <c r="O4257" s="30">
        <f>IFERROR((VLOOKUP($A4257,HeadJournal!$A$1:$L$890,COLUMN(HeadJournal!L$1),0)*($K4257+$L4257)/(SUMIF($A:$A,$A4257,$K:$K)+SUMIF($A:$A,$A4257,$L:$L)))/VLOOKUP($A4257,HeadJournal!$A$1:$L$890,COLUMN(HeadJournal!H$1),0),0)</f>
        <v>0.71415989032635863</v>
      </c>
      <c r="P4257" s="30">
        <f>IFERROR(SUM(K4257:O4257)*VLOOKUP($A4257,HeadJournal!$A$1:$L$890,COLUMN(HeadJournal!H$1),0),0)</f>
        <v>2064.2134647310236</v>
      </c>
      <c r="Q4257" s="29">
        <v>2900</v>
      </c>
      <c r="R4257" s="31">
        <v>45695</v>
      </c>
      <c r="S4257" s="31" t="s">
        <v>3121</v>
      </c>
      <c r="T4257" s="95" t="str">
        <f t="shared" si="331"/>
        <v>2025 02</v>
      </c>
      <c r="U4257" s="32">
        <f t="shared" si="328"/>
        <v>835.78653526897642</v>
      </c>
      <c r="V4257" s="22">
        <f t="shared" si="329"/>
        <v>0.40489346162553164</v>
      </c>
      <c r="X4257" s="33"/>
      <c r="Y4257" s="33"/>
    </row>
    <row r="4258" spans="1:25" x14ac:dyDescent="0.2">
      <c r="A4258" s="93" t="s">
        <v>2817</v>
      </c>
      <c r="B4258" s="94" t="str">
        <f>IFERROR(VLOOKUP($A4258,HeadJournal!$A$1:$NTR$890,COLUMN(HeadJournal!B$1),0),"")</f>
        <v>720000537389</v>
      </c>
      <c r="C4258" s="94" t="str">
        <f>IFERROR(VLOOKUP($A4258,HeadJournal!$A$1:$NTR$890,COLUMN(HeadJournal!C$1),0),"")</f>
        <v>iHerb_MH DLE7202</v>
      </c>
      <c r="D4258" s="125" t="str">
        <f>IFERROR(VLOOKUP($A4258,HeadJournal!$A$1:$NTR$890,COLUMN(HeadJournal!D$1),0),"")</f>
        <v>Доставлен</v>
      </c>
      <c r="E4258" s="95">
        <f>IFERROR(VLOOKUP($A4258,HeadJournal!$A$1:$NTR$890,COLUMN(HeadJournal!G$1),0),"")</f>
        <v>45656</v>
      </c>
      <c r="F4258" s="95" t="str">
        <f t="shared" si="330"/>
        <v>2024 12</v>
      </c>
      <c r="G4258" s="97" t="s">
        <v>5</v>
      </c>
      <c r="H4258" s="161" t="s">
        <v>2810</v>
      </c>
      <c r="I4258" s="97" t="s">
        <v>2569</v>
      </c>
      <c r="J4258" s="97" t="s">
        <v>2811</v>
      </c>
      <c r="K4258" s="29">
        <v>16</v>
      </c>
      <c r="L4258" s="29">
        <v>-3.2</v>
      </c>
      <c r="M4258" s="30">
        <f>IFERROR(VLOOKUP($A4258,HeadJournal!$A$1:$J$890,COLUMN(HeadJournal!I$1),0)*($K4258+$L4258)/(SUMIF($A:$A,$A4258,$K:$K)+SUMIF($A:$A,$A4258,$L:$L)),0)</f>
        <v>-0.40690897530995024</v>
      </c>
      <c r="N4258" s="30">
        <f>IFERROR((VLOOKUP($A4258,HeadJournal!$A$1:$K$890,COLUMN(HeadJournal!K$1),0)-VLOOKUP($A4258,HeadJournal!$A$1:$K$890,COLUMN(HeadJournal!J$1),0))*($K4258+$L4258)/(SUMIF($A:$A,$A4258,$K:$K)+SUMIF($A:$A,$A4258,$L:$L)),0)</f>
        <v>0</v>
      </c>
      <c r="O4258" s="30">
        <f>IFERROR((VLOOKUP($A4258,HeadJournal!$A$1:$L$890,COLUMN(HeadJournal!L$1),0)*($K4258+$L4258)/(SUMIF($A:$A,$A4258,$K:$K)+SUMIF($A:$A,$A4258,$L:$L)))/VLOOKUP($A4258,HeadJournal!$A$1:$L$890,COLUMN(HeadJournal!H$1),0),0)</f>
        <v>0.52116571243884768</v>
      </c>
      <c r="P4258" s="30">
        <f>IFERROR(SUM(K4258:O4258)*VLOOKUP($A4258,HeadJournal!$A$1:$L$890,COLUMN(HeadJournal!H$1),0),0)</f>
        <v>1506.3815478082724</v>
      </c>
      <c r="Q4258" s="29">
        <v>2300</v>
      </c>
      <c r="R4258" s="31">
        <v>45695</v>
      </c>
      <c r="S4258" s="31" t="s">
        <v>3121</v>
      </c>
      <c r="T4258" s="95" t="str">
        <f t="shared" si="331"/>
        <v>2025 02</v>
      </c>
      <c r="U4258" s="32">
        <f t="shared" si="328"/>
        <v>793.61845219172756</v>
      </c>
      <c r="V4258" s="22">
        <f t="shared" si="329"/>
        <v>0.52683760853710138</v>
      </c>
      <c r="X4258" s="33"/>
      <c r="Y4258" s="33"/>
    </row>
    <row r="4259" spans="1:25" x14ac:dyDescent="0.2">
      <c r="A4259" s="93" t="s">
        <v>2817</v>
      </c>
      <c r="B4259" s="94" t="str">
        <f>IFERROR(VLOOKUP($A4259,HeadJournal!$A$1:$NTR$890,COLUMN(HeadJournal!B$1),0),"")</f>
        <v>720000537389</v>
      </c>
      <c r="C4259" s="94" t="str">
        <f>IFERROR(VLOOKUP($A4259,HeadJournal!$A$1:$NTR$890,COLUMN(HeadJournal!C$1),0),"")</f>
        <v>iHerb_MH DLE7202</v>
      </c>
      <c r="D4259" s="125" t="str">
        <f>IFERROR(VLOOKUP($A4259,HeadJournal!$A$1:$NTR$890,COLUMN(HeadJournal!D$1),0),"")</f>
        <v>Доставлен</v>
      </c>
      <c r="E4259" s="95">
        <f>IFERROR(VLOOKUP($A4259,HeadJournal!$A$1:$NTR$890,COLUMN(HeadJournal!G$1),0),"")</f>
        <v>45656</v>
      </c>
      <c r="F4259" s="95" t="str">
        <f t="shared" si="330"/>
        <v>2024 12</v>
      </c>
      <c r="G4259" s="97" t="s">
        <v>5</v>
      </c>
      <c r="H4259" s="161" t="s">
        <v>2223</v>
      </c>
      <c r="I4259" s="97" t="s">
        <v>2008</v>
      </c>
      <c r="J4259" s="97" t="s">
        <v>2224</v>
      </c>
      <c r="K4259" s="29">
        <v>12.96</v>
      </c>
      <c r="L4259" s="29">
        <v>-2.59</v>
      </c>
      <c r="M4259" s="30">
        <f>IFERROR(VLOOKUP($A4259,HeadJournal!$A$1:$J$890,COLUMN(HeadJournal!I$1),0)*($K4259+$L4259)/(SUMIF($A:$A,$A4259,$K:$K)+SUMIF($A:$A,$A4259,$L:$L)),0)</f>
        <v>-0.32965984952845184</v>
      </c>
      <c r="N4259" s="30">
        <f>IFERROR((VLOOKUP($A4259,HeadJournal!$A$1:$K$890,COLUMN(HeadJournal!K$1),0)-VLOOKUP($A4259,HeadJournal!$A$1:$K$890,COLUMN(HeadJournal!J$1),0))*($K4259+$L4259)/(SUMIF($A:$A,$A4259,$K:$K)+SUMIF($A:$A,$A4259,$L:$L)),0)</f>
        <v>0</v>
      </c>
      <c r="O4259" s="30">
        <f>IFERROR((VLOOKUP($A4259,HeadJournal!$A$1:$L$890,COLUMN(HeadJournal!L$1),0)*($K4259+$L4259)/(SUMIF($A:$A,$A4259,$K:$K)+SUMIF($A:$A,$A4259,$L:$L)))/VLOOKUP($A4259,HeadJournal!$A$1:$L$890,COLUMN(HeadJournal!H$1),0),0)</f>
        <v>0.42222565921803529</v>
      </c>
      <c r="P4259" s="30">
        <f>IFERROR(SUM(K4259:O4259)*VLOOKUP($A4259,HeadJournal!$A$1:$L$890,COLUMN(HeadJournal!H$1),0),0)</f>
        <v>1220.4044258415458</v>
      </c>
      <c r="Q4259" s="29">
        <v>1800</v>
      </c>
      <c r="R4259" s="31">
        <v>45959</v>
      </c>
      <c r="S4259" s="31"/>
      <c r="T4259" s="95" t="str">
        <f t="shared" si="331"/>
        <v>2025 10</v>
      </c>
      <c r="U4259" s="32">
        <f t="shared" si="328"/>
        <v>579.59557415845416</v>
      </c>
      <c r="V4259" s="22">
        <f t="shared" si="329"/>
        <v>0.47492090481299792</v>
      </c>
      <c r="X4259" s="33"/>
      <c r="Y4259" s="33"/>
    </row>
    <row r="4260" spans="1:25" x14ac:dyDescent="0.2">
      <c r="A4260" s="93" t="s">
        <v>2817</v>
      </c>
      <c r="B4260" s="94" t="str">
        <f>IFERROR(VLOOKUP($A4260,HeadJournal!$A$1:$NTR$890,COLUMN(HeadJournal!B$1),0),"")</f>
        <v>720000537389</v>
      </c>
      <c r="C4260" s="94" t="str">
        <f>IFERROR(VLOOKUP($A4260,HeadJournal!$A$1:$NTR$890,COLUMN(HeadJournal!C$1),0),"")</f>
        <v>iHerb_MH DLE7202</v>
      </c>
      <c r="D4260" s="125" t="str">
        <f>IFERROR(VLOOKUP($A4260,HeadJournal!$A$1:$NTR$890,COLUMN(HeadJournal!D$1),0),"")</f>
        <v>Доставлен</v>
      </c>
      <c r="E4260" s="95">
        <f>IFERROR(VLOOKUP($A4260,HeadJournal!$A$1:$NTR$890,COLUMN(HeadJournal!G$1),0),"")</f>
        <v>45656</v>
      </c>
      <c r="F4260" s="95" t="str">
        <f t="shared" si="330"/>
        <v>2024 12</v>
      </c>
      <c r="G4260" s="97" t="s">
        <v>7</v>
      </c>
      <c r="H4260" s="161" t="s">
        <v>2812</v>
      </c>
      <c r="I4260" s="97" t="s">
        <v>2813</v>
      </c>
      <c r="J4260" s="97" t="s">
        <v>2814</v>
      </c>
      <c r="K4260" s="29">
        <v>21.5</v>
      </c>
      <c r="L4260" s="29">
        <v>-4.3</v>
      </c>
      <c r="M4260" s="30">
        <f>IFERROR(VLOOKUP($A4260,HeadJournal!$A$1:$J$890,COLUMN(HeadJournal!I$1),0)*($K4260+$L4260)/(SUMIF($A:$A,$A4260,$K:$K)+SUMIF($A:$A,$A4260,$L:$L)),0)</f>
        <v>-0.54678393557274552</v>
      </c>
      <c r="N4260" s="30">
        <f>IFERROR((VLOOKUP($A4260,HeadJournal!$A$1:$K$890,COLUMN(HeadJournal!K$1),0)-VLOOKUP($A4260,HeadJournal!$A$1:$K$890,COLUMN(HeadJournal!J$1),0))*($K4260+$L4260)/(SUMIF($A:$A,$A4260,$K:$K)+SUMIF($A:$A,$A4260,$L:$L)),0)</f>
        <v>0</v>
      </c>
      <c r="O4260" s="30">
        <f>IFERROR((VLOOKUP($A4260,HeadJournal!$A$1:$L$890,COLUMN(HeadJournal!L$1),0)*($K4260+$L4260)/(SUMIF($A:$A,$A4260,$K:$K)+SUMIF($A:$A,$A4260,$L:$L)))/VLOOKUP($A4260,HeadJournal!$A$1:$L$890,COLUMN(HeadJournal!H$1),0),0)</f>
        <v>0.70031642608970157</v>
      </c>
      <c r="P4260" s="30">
        <f>IFERROR(SUM(K4260:O4260)*VLOOKUP($A4260,HeadJournal!$A$1:$L$890,COLUMN(HeadJournal!H$1),0),0)</f>
        <v>2024.2002048673662</v>
      </c>
      <c r="Q4260" s="29"/>
      <c r="R4260" s="31"/>
      <c r="S4260" s="31"/>
      <c r="T4260" s="95" t="str">
        <f t="shared" si="331"/>
        <v/>
      </c>
      <c r="U4260" s="32">
        <f t="shared" si="328"/>
        <v>-2024.2002048673662</v>
      </c>
      <c r="V4260" s="22" t="str">
        <f t="shared" si="329"/>
        <v/>
      </c>
      <c r="X4260" s="33"/>
      <c r="Y4260" s="33"/>
    </row>
    <row r="4261" spans="1:25" x14ac:dyDescent="0.2">
      <c r="A4261" s="93" t="s">
        <v>2817</v>
      </c>
      <c r="B4261" s="94" t="str">
        <f>IFERROR(VLOOKUP($A4261,HeadJournal!$A$1:$NTR$890,COLUMN(HeadJournal!B$1),0),"")</f>
        <v>720000537389</v>
      </c>
      <c r="C4261" s="94" t="str">
        <f>IFERROR(VLOOKUP($A4261,HeadJournal!$A$1:$NTR$890,COLUMN(HeadJournal!C$1),0),"")</f>
        <v>iHerb_MH DLE7202</v>
      </c>
      <c r="D4261" s="125" t="str">
        <f>IFERROR(VLOOKUP($A4261,HeadJournal!$A$1:$NTR$890,COLUMN(HeadJournal!D$1),0),"")</f>
        <v>Доставлен</v>
      </c>
      <c r="E4261" s="95">
        <f>IFERROR(VLOOKUP($A4261,HeadJournal!$A$1:$NTR$890,COLUMN(HeadJournal!G$1),0),"")</f>
        <v>45656</v>
      </c>
      <c r="F4261" s="95" t="str">
        <f t="shared" si="330"/>
        <v>2024 12</v>
      </c>
      <c r="G4261" s="97" t="s">
        <v>5</v>
      </c>
      <c r="H4261" s="161" t="s">
        <v>2815</v>
      </c>
      <c r="I4261" s="97" t="s">
        <v>2005</v>
      </c>
      <c r="J4261" s="97" t="s">
        <v>2816</v>
      </c>
      <c r="K4261" s="29">
        <v>20.6</v>
      </c>
      <c r="L4261" s="29">
        <v>-4.12</v>
      </c>
      <c r="M4261" s="30">
        <f>IFERROR(VLOOKUP($A4261,HeadJournal!$A$1:$J$890,COLUMN(HeadJournal!I$1),0)*($K4261+$L4261)/(SUMIF($A:$A,$A4261,$K:$K)+SUMIF($A:$A,$A4261,$L:$L)),0)</f>
        <v>-0.52389530571156084</v>
      </c>
      <c r="N4261" s="30">
        <f>IFERROR((VLOOKUP($A4261,HeadJournal!$A$1:$K$890,COLUMN(HeadJournal!K$1),0)-VLOOKUP($A4261,HeadJournal!$A$1:$K$890,COLUMN(HeadJournal!J$1),0))*($K4261+$L4261)/(SUMIF($A:$A,$A4261,$K:$K)+SUMIF($A:$A,$A4261,$L:$L)),0)</f>
        <v>0</v>
      </c>
      <c r="O4261" s="30">
        <f>IFERROR((VLOOKUP($A4261,HeadJournal!$A$1:$L$890,COLUMN(HeadJournal!L$1),0)*($K4261+$L4261)/(SUMIF($A:$A,$A4261,$K:$K)+SUMIF($A:$A,$A4261,$L:$L)))/VLOOKUP($A4261,HeadJournal!$A$1:$L$890,COLUMN(HeadJournal!H$1),0),0)</f>
        <v>0.67100085476501636</v>
      </c>
      <c r="P4261" s="30">
        <f>IFERROR(SUM(K4261:O4261)*VLOOKUP($A4261,HeadJournal!$A$1:$L$890,COLUMN(HeadJournal!H$1),0),0)</f>
        <v>1939.4662428031509</v>
      </c>
      <c r="Q4261" s="29">
        <v>2800</v>
      </c>
      <c r="R4261" s="31">
        <v>45696</v>
      </c>
      <c r="S4261" s="31" t="s">
        <v>3121</v>
      </c>
      <c r="T4261" s="95" t="str">
        <f t="shared" si="331"/>
        <v>2025 02</v>
      </c>
      <c r="U4261" s="32">
        <f t="shared" si="328"/>
        <v>860.53375719684914</v>
      </c>
      <c r="V4261" s="22">
        <f t="shared" si="329"/>
        <v>0.44369617691984253</v>
      </c>
      <c r="X4261" s="33"/>
      <c r="Y4261" s="33"/>
    </row>
    <row r="4262" spans="1:25" x14ac:dyDescent="0.2">
      <c r="A4262" s="93" t="s">
        <v>2817</v>
      </c>
      <c r="B4262" s="94" t="str">
        <f>IFERROR(VLOOKUP($A4262,HeadJournal!$A$1:$NTR$890,COLUMN(HeadJournal!B$1),0),"")</f>
        <v>720000537389</v>
      </c>
      <c r="C4262" s="94" t="str">
        <f>IFERROR(VLOOKUP($A4262,HeadJournal!$A$1:$NTR$890,COLUMN(HeadJournal!C$1),0),"")</f>
        <v>iHerb_MH DLE7202</v>
      </c>
      <c r="D4262" s="125" t="str">
        <f>IFERROR(VLOOKUP($A4262,HeadJournal!$A$1:$NTR$890,COLUMN(HeadJournal!D$1),0),"")</f>
        <v>Доставлен</v>
      </c>
      <c r="E4262" s="95">
        <f>IFERROR(VLOOKUP($A4262,HeadJournal!$A$1:$NTR$890,COLUMN(HeadJournal!G$1),0),"")</f>
        <v>45656</v>
      </c>
      <c r="F4262" s="95" t="str">
        <f t="shared" si="330"/>
        <v>2024 12</v>
      </c>
      <c r="G4262" s="97" t="s">
        <v>5</v>
      </c>
      <c r="H4262" s="161" t="s">
        <v>2624</v>
      </c>
      <c r="I4262" s="97" t="s">
        <v>2005</v>
      </c>
      <c r="J4262" s="97" t="s">
        <v>2625</v>
      </c>
      <c r="K4262" s="29">
        <v>21.5</v>
      </c>
      <c r="L4262" s="29">
        <v>-4.3</v>
      </c>
      <c r="M4262" s="30">
        <f>IFERROR(VLOOKUP($A4262,HeadJournal!$A$1:$J$890,COLUMN(HeadJournal!I$1),0)*($K4262+$L4262)/(SUMIF($A:$A,$A4262,$K:$K)+SUMIF($A:$A,$A4262,$L:$L)),0)</f>
        <v>-0.54678393557274552</v>
      </c>
      <c r="N4262" s="30">
        <f>IFERROR((VLOOKUP($A4262,HeadJournal!$A$1:$K$890,COLUMN(HeadJournal!K$1),0)-VLOOKUP($A4262,HeadJournal!$A$1:$K$890,COLUMN(HeadJournal!J$1),0))*($K4262+$L4262)/(SUMIF($A:$A,$A4262,$K:$K)+SUMIF($A:$A,$A4262,$L:$L)),0)</f>
        <v>0</v>
      </c>
      <c r="O4262" s="30">
        <f>IFERROR((VLOOKUP($A4262,HeadJournal!$A$1:$L$890,COLUMN(HeadJournal!L$1),0)*($K4262+$L4262)/(SUMIF($A:$A,$A4262,$K:$K)+SUMIF($A:$A,$A4262,$L:$L)))/VLOOKUP($A4262,HeadJournal!$A$1:$L$890,COLUMN(HeadJournal!H$1),0),0)</f>
        <v>0.70031642608970157</v>
      </c>
      <c r="P4262" s="30">
        <f>IFERROR(SUM(K4262:O4262)*VLOOKUP($A4262,HeadJournal!$A$1:$L$890,COLUMN(HeadJournal!H$1),0),0)</f>
        <v>2024.2002048673662</v>
      </c>
      <c r="Q4262" s="29">
        <v>2900</v>
      </c>
      <c r="R4262" s="31">
        <v>45821</v>
      </c>
      <c r="S4262" s="31" t="s">
        <v>3121</v>
      </c>
      <c r="T4262" s="95" t="str">
        <f t="shared" si="331"/>
        <v>2025 06</v>
      </c>
      <c r="U4262" s="32">
        <f t="shared" si="328"/>
        <v>875.79979513263379</v>
      </c>
      <c r="V4262" s="22">
        <f t="shared" si="329"/>
        <v>0.43266461144836199</v>
      </c>
      <c r="X4262" s="33"/>
      <c r="Y4262" s="33"/>
    </row>
    <row r="4263" spans="1:25" x14ac:dyDescent="0.2">
      <c r="A4263" s="93" t="s">
        <v>2834</v>
      </c>
      <c r="B4263" s="94" t="str">
        <f>IFERROR(VLOOKUP($A4263,HeadJournal!$A$1:$NTR$890,COLUMN(HeadJournal!B$1),0),"")</f>
        <v>720000543584</v>
      </c>
      <c r="C4263" s="94" t="str">
        <f>IFERROR(VLOOKUP($A4263,HeadJournal!$A$1:$NTR$890,COLUMN(HeadJournal!C$1),0),"")</f>
        <v>iHerb_AV CYG0792</v>
      </c>
      <c r="D4263" s="125" t="str">
        <f>IFERROR(VLOOKUP($A4263,HeadJournal!$A$1:$NTR$890,COLUMN(HeadJournal!D$1),0),"")</f>
        <v>Доставлен</v>
      </c>
      <c r="E4263" s="95">
        <f>IFERROR(VLOOKUP($A4263,HeadJournal!$A$1:$NTR$890,COLUMN(HeadJournal!G$1),0),"")</f>
        <v>45665</v>
      </c>
      <c r="F4263" s="95" t="str">
        <f t="shared" si="330"/>
        <v>2025 01</v>
      </c>
      <c r="G4263" s="97" t="s">
        <v>5</v>
      </c>
      <c r="H4263" s="161" t="s">
        <v>2819</v>
      </c>
      <c r="I4263" s="97" t="s">
        <v>2042</v>
      </c>
      <c r="J4263" s="97" t="s">
        <v>2820</v>
      </c>
      <c r="K4263" s="29">
        <v>11.59</v>
      </c>
      <c r="L4263" s="29">
        <v>-2.3199999999999998</v>
      </c>
      <c r="M4263" s="30">
        <f>IFERROR(VLOOKUP($A4263,HeadJournal!$A$1:$J$890,COLUMN(HeadJournal!I$1),0)*($K4263+$L4263)/(SUMIF($A:$A,$A4263,$K:$K)+SUMIF($A:$A,$A4263,$L:$L)),0)</f>
        <v>0</v>
      </c>
      <c r="N4263" s="30">
        <f>IFERROR((VLOOKUP($A4263,HeadJournal!$A$1:$K$890,COLUMN(HeadJournal!K$1),0)-VLOOKUP($A4263,HeadJournal!$A$1:$K$890,COLUMN(HeadJournal!J$1),0))*($K4263+$L4263)/(SUMIF($A:$A,$A4263,$K:$K)+SUMIF($A:$A,$A4263,$L:$L)),0)</f>
        <v>0</v>
      </c>
      <c r="O4263" s="30">
        <f>IFERROR((VLOOKUP($A4263,HeadJournal!$A$1:$L$890,COLUMN(HeadJournal!L$1),0)*($K4263+$L4263)/(SUMIF($A:$A,$A4263,$K:$K)+SUMIF($A:$A,$A4263,$L:$L)))/VLOOKUP($A4263,HeadJournal!$A$1:$L$890,COLUMN(HeadJournal!H$1),0),0)</f>
        <v>0.5077945001683315</v>
      </c>
      <c r="P4263" s="30">
        <f>IFERROR(SUM(K4263:O4263)*VLOOKUP($A4263,HeadJournal!$A$1:$L$890,COLUMN(HeadJournal!H$1),0),0)</f>
        <v>1223.306260368257</v>
      </c>
      <c r="Q4263" s="29">
        <v>1900</v>
      </c>
      <c r="R4263" s="31">
        <v>45716</v>
      </c>
      <c r="S4263" s="31" t="s">
        <v>3121</v>
      </c>
      <c r="T4263" s="95" t="str">
        <f t="shared" si="331"/>
        <v>2025 02</v>
      </c>
      <c r="U4263" s="32">
        <f t="shared" si="328"/>
        <v>676.69373963174303</v>
      </c>
      <c r="V4263" s="22">
        <f t="shared" si="329"/>
        <v>0.55316788735147571</v>
      </c>
      <c r="X4263" s="33"/>
      <c r="Y4263" s="33"/>
    </row>
    <row r="4264" spans="1:25" x14ac:dyDescent="0.2">
      <c r="A4264" s="93" t="s">
        <v>2834</v>
      </c>
      <c r="B4264" s="94" t="str">
        <f>IFERROR(VLOOKUP($A4264,HeadJournal!$A$1:$NTR$890,COLUMN(HeadJournal!B$1),0),"")</f>
        <v>720000543584</v>
      </c>
      <c r="C4264" s="94" t="str">
        <f>IFERROR(VLOOKUP($A4264,HeadJournal!$A$1:$NTR$890,COLUMN(HeadJournal!C$1),0),"")</f>
        <v>iHerb_AV CYG0792</v>
      </c>
      <c r="D4264" s="125" t="str">
        <f>IFERROR(VLOOKUP($A4264,HeadJournal!$A$1:$NTR$890,COLUMN(HeadJournal!D$1),0),"")</f>
        <v>Доставлен</v>
      </c>
      <c r="E4264" s="95">
        <f>IFERROR(VLOOKUP($A4264,HeadJournal!$A$1:$NTR$890,COLUMN(HeadJournal!G$1),0),"")</f>
        <v>45665</v>
      </c>
      <c r="F4264" s="95" t="str">
        <f t="shared" si="330"/>
        <v>2025 01</v>
      </c>
      <c r="G4264" s="97" t="s">
        <v>5</v>
      </c>
      <c r="H4264" s="161" t="s">
        <v>2821</v>
      </c>
      <c r="I4264" s="97" t="s">
        <v>2822</v>
      </c>
      <c r="J4264" s="97" t="s">
        <v>2823</v>
      </c>
      <c r="K4264" s="29">
        <v>16.649999999999999</v>
      </c>
      <c r="L4264" s="29">
        <v>-3.33</v>
      </c>
      <c r="M4264" s="30">
        <f>IFERROR(VLOOKUP($A4264,HeadJournal!$A$1:$J$890,COLUMN(HeadJournal!I$1),0)*($K4264+$L4264)/(SUMIF($A:$A,$A4264,$K:$K)+SUMIF($A:$A,$A4264,$L:$L)),0)</f>
        <v>0</v>
      </c>
      <c r="N4264" s="30">
        <f>IFERROR((VLOOKUP($A4264,HeadJournal!$A$1:$K$890,COLUMN(HeadJournal!K$1),0)-VLOOKUP($A4264,HeadJournal!$A$1:$K$890,COLUMN(HeadJournal!J$1),0))*($K4264+$L4264)/(SUMIF($A:$A,$A4264,$K:$K)+SUMIF($A:$A,$A4264,$L:$L)),0)</f>
        <v>0</v>
      </c>
      <c r="O4264" s="30">
        <f>IFERROR((VLOOKUP($A4264,HeadJournal!$A$1:$L$890,COLUMN(HeadJournal!L$1),0)*($K4264+$L4264)/(SUMIF($A:$A,$A4264,$K:$K)+SUMIF($A:$A,$A4264,$L:$L)))/VLOOKUP($A4264,HeadJournal!$A$1:$L$890,COLUMN(HeadJournal!H$1),0),0)</f>
        <v>0.72964646626129182</v>
      </c>
      <c r="P4264" s="30">
        <f>IFERROR(SUM(K4264:O4264)*VLOOKUP($A4264,HeadJournal!$A$1:$L$890,COLUMN(HeadJournal!H$1),0),0)</f>
        <v>1757.7604517912816</v>
      </c>
      <c r="Q4264" s="29">
        <v>2150</v>
      </c>
      <c r="R4264" s="31">
        <v>45962</v>
      </c>
      <c r="S4264" s="31" t="s">
        <v>4865</v>
      </c>
      <c r="T4264" s="95" t="str">
        <f t="shared" si="331"/>
        <v>2025 11</v>
      </c>
      <c r="U4264" s="32">
        <f t="shared" si="328"/>
        <v>392.23954820871836</v>
      </c>
      <c r="V4264" s="22">
        <f t="shared" si="329"/>
        <v>0.22314732807249058</v>
      </c>
      <c r="X4264" s="33"/>
      <c r="Y4264" s="33"/>
    </row>
    <row r="4265" spans="1:25" x14ac:dyDescent="0.2">
      <c r="A4265" s="93" t="s">
        <v>2834</v>
      </c>
      <c r="B4265" s="94" t="str">
        <f>IFERROR(VLOOKUP($A4265,HeadJournal!$A$1:$NTR$890,COLUMN(HeadJournal!B$1),0),"")</f>
        <v>720000543584</v>
      </c>
      <c r="C4265" s="94" t="str">
        <f>IFERROR(VLOOKUP($A4265,HeadJournal!$A$1:$NTR$890,COLUMN(HeadJournal!C$1),0),"")</f>
        <v>iHerb_AV CYG0792</v>
      </c>
      <c r="D4265" s="125" t="str">
        <f>IFERROR(VLOOKUP($A4265,HeadJournal!$A$1:$NTR$890,COLUMN(HeadJournal!D$1),0),"")</f>
        <v>Доставлен</v>
      </c>
      <c r="E4265" s="95">
        <f>IFERROR(VLOOKUP($A4265,HeadJournal!$A$1:$NTR$890,COLUMN(HeadJournal!G$1),0),"")</f>
        <v>45665</v>
      </c>
      <c r="F4265" s="95" t="str">
        <f t="shared" si="330"/>
        <v>2025 01</v>
      </c>
      <c r="G4265" s="97" t="s">
        <v>5</v>
      </c>
      <c r="H4265" s="161" t="s">
        <v>2214</v>
      </c>
      <c r="I4265" s="97" t="s">
        <v>2215</v>
      </c>
      <c r="J4265" s="97" t="s">
        <v>2216</v>
      </c>
      <c r="K4265" s="29">
        <v>23.31</v>
      </c>
      <c r="L4265" s="29">
        <v>-4.66</v>
      </c>
      <c r="M4265" s="30">
        <f>IFERROR(VLOOKUP($A4265,HeadJournal!$A$1:$J$890,COLUMN(HeadJournal!I$1),0)*($K4265+$L4265)/(SUMIF($A:$A,$A4265,$K:$K)+SUMIF($A:$A,$A4265,$L:$L)),0)</f>
        <v>0</v>
      </c>
      <c r="N4265" s="30">
        <f>IFERROR((VLOOKUP($A4265,HeadJournal!$A$1:$K$890,COLUMN(HeadJournal!K$1),0)-VLOOKUP($A4265,HeadJournal!$A$1:$K$890,COLUMN(HeadJournal!J$1),0))*($K4265+$L4265)/(SUMIF($A:$A,$A4265,$K:$K)+SUMIF($A:$A,$A4265,$L:$L)),0)</f>
        <v>0</v>
      </c>
      <c r="O4265" s="30">
        <f>IFERROR((VLOOKUP($A4265,HeadJournal!$A$1:$L$890,COLUMN(HeadJournal!L$1),0)*($K4265+$L4265)/(SUMIF($A:$A,$A4265,$K:$K)+SUMIF($A:$A,$A4265,$L:$L)))/VLOOKUP($A4265,HeadJournal!$A$1:$L$890,COLUMN(HeadJournal!H$1),0),0)</f>
        <v>1.0216146092922742</v>
      </c>
      <c r="P4265" s="30">
        <f>IFERROR(SUM(K4265:O4265)*VLOOKUP($A4265,HeadJournal!$A$1:$L$890,COLUMN(HeadJournal!H$1),0),0)</f>
        <v>2461.1285605035587</v>
      </c>
      <c r="Q4265" s="29">
        <v>3200</v>
      </c>
      <c r="R4265" s="31">
        <v>45682</v>
      </c>
      <c r="S4265" s="31" t="s">
        <v>3121</v>
      </c>
      <c r="T4265" s="95" t="str">
        <f t="shared" si="331"/>
        <v>2025 01</v>
      </c>
      <c r="U4265" s="32">
        <f t="shared" si="328"/>
        <v>738.87143949644133</v>
      </c>
      <c r="V4265" s="22">
        <f t="shared" si="329"/>
        <v>0.30021651503863933</v>
      </c>
      <c r="X4265" s="33"/>
      <c r="Y4265" s="33"/>
    </row>
    <row r="4266" spans="1:25" x14ac:dyDescent="0.2">
      <c r="A4266" s="93" t="s">
        <v>2834</v>
      </c>
      <c r="B4266" s="94" t="str">
        <f>IFERROR(VLOOKUP($A4266,HeadJournal!$A$1:$NTR$890,COLUMN(HeadJournal!B$1),0),"")</f>
        <v>720000543584</v>
      </c>
      <c r="C4266" s="94" t="str">
        <f>IFERROR(VLOOKUP($A4266,HeadJournal!$A$1:$NTR$890,COLUMN(HeadJournal!C$1),0),"")</f>
        <v>iHerb_AV CYG0792</v>
      </c>
      <c r="D4266" s="125" t="str">
        <f>IFERROR(VLOOKUP($A4266,HeadJournal!$A$1:$NTR$890,COLUMN(HeadJournal!D$1),0),"")</f>
        <v>Доставлен</v>
      </c>
      <c r="E4266" s="95">
        <f>IFERROR(VLOOKUP($A4266,HeadJournal!$A$1:$NTR$890,COLUMN(HeadJournal!G$1),0),"")</f>
        <v>45665</v>
      </c>
      <c r="F4266" s="95" t="str">
        <f t="shared" si="330"/>
        <v>2025 01</v>
      </c>
      <c r="G4266" s="97" t="s">
        <v>5</v>
      </c>
      <c r="H4266" s="161" t="s">
        <v>2214</v>
      </c>
      <c r="I4266" s="97" t="s">
        <v>2215</v>
      </c>
      <c r="J4266" s="97" t="s">
        <v>2216</v>
      </c>
      <c r="K4266" s="29">
        <v>23.31</v>
      </c>
      <c r="L4266" s="29">
        <v>-4.66</v>
      </c>
      <c r="M4266" s="30">
        <f>IFERROR(VLOOKUP($A4266,HeadJournal!$A$1:$J$890,COLUMN(HeadJournal!I$1),0)*($K4266+$L4266)/(SUMIF($A:$A,$A4266,$K:$K)+SUMIF($A:$A,$A4266,$L:$L)),0)</f>
        <v>0</v>
      </c>
      <c r="N4266" s="30">
        <f>IFERROR((VLOOKUP($A4266,HeadJournal!$A$1:$K$890,COLUMN(HeadJournal!K$1),0)-VLOOKUP($A4266,HeadJournal!$A$1:$K$890,COLUMN(HeadJournal!J$1),0))*($K4266+$L4266)/(SUMIF($A:$A,$A4266,$K:$K)+SUMIF($A:$A,$A4266,$L:$L)),0)</f>
        <v>0</v>
      </c>
      <c r="O4266" s="30">
        <f>IFERROR((VLOOKUP($A4266,HeadJournal!$A$1:$L$890,COLUMN(HeadJournal!L$1),0)*($K4266+$L4266)/(SUMIF($A:$A,$A4266,$K:$K)+SUMIF($A:$A,$A4266,$L:$L)))/VLOOKUP($A4266,HeadJournal!$A$1:$L$890,COLUMN(HeadJournal!H$1),0),0)</f>
        <v>1.0216146092922742</v>
      </c>
      <c r="P4266" s="30">
        <f>IFERROR(SUM(K4266:O4266)*VLOOKUP($A4266,HeadJournal!$A$1:$L$890,COLUMN(HeadJournal!H$1),0),0)</f>
        <v>2461.1285605035587</v>
      </c>
      <c r="Q4266" s="29"/>
      <c r="R4266" s="31"/>
      <c r="S4266" s="31"/>
      <c r="T4266" s="95" t="str">
        <f t="shared" si="331"/>
        <v/>
      </c>
      <c r="U4266" s="32">
        <f t="shared" si="328"/>
        <v>-2461.1285605035587</v>
      </c>
      <c r="V4266" s="22" t="str">
        <f t="shared" si="329"/>
        <v/>
      </c>
      <c r="X4266" s="33"/>
      <c r="Y4266" s="33"/>
    </row>
    <row r="4267" spans="1:25" x14ac:dyDescent="0.2">
      <c r="A4267" s="93" t="s">
        <v>2834</v>
      </c>
      <c r="B4267" s="94" t="str">
        <f>IFERROR(VLOOKUP($A4267,HeadJournal!$A$1:$NTR$890,COLUMN(HeadJournal!B$1),0),"")</f>
        <v>720000543584</v>
      </c>
      <c r="C4267" s="94" t="str">
        <f>IFERROR(VLOOKUP($A4267,HeadJournal!$A$1:$NTR$890,COLUMN(HeadJournal!C$1),0),"")</f>
        <v>iHerb_AV CYG0792</v>
      </c>
      <c r="D4267" s="125" t="str">
        <f>IFERROR(VLOOKUP($A4267,HeadJournal!$A$1:$NTR$890,COLUMN(HeadJournal!D$1),0),"")</f>
        <v>Доставлен</v>
      </c>
      <c r="E4267" s="95">
        <f>IFERROR(VLOOKUP($A4267,HeadJournal!$A$1:$NTR$890,COLUMN(HeadJournal!G$1),0),"")</f>
        <v>45665</v>
      </c>
      <c r="F4267" s="95" t="str">
        <f t="shared" si="330"/>
        <v>2025 01</v>
      </c>
      <c r="G4267" s="97" t="s">
        <v>5</v>
      </c>
      <c r="H4267" s="161" t="s">
        <v>2824</v>
      </c>
      <c r="I4267" s="97" t="s">
        <v>2052</v>
      </c>
      <c r="J4267" s="97" t="s">
        <v>2825</v>
      </c>
      <c r="K4267" s="29">
        <v>7.9</v>
      </c>
      <c r="L4267" s="29">
        <v>-1.98</v>
      </c>
      <c r="M4267" s="30">
        <f>IFERROR(VLOOKUP($A4267,HeadJournal!$A$1:$J$890,COLUMN(HeadJournal!I$1),0)*($K4267+$L4267)/(SUMIF($A:$A,$A4267,$K:$K)+SUMIF($A:$A,$A4267,$L:$L)),0)</f>
        <v>0</v>
      </c>
      <c r="N4267" s="30">
        <f>IFERROR((VLOOKUP($A4267,HeadJournal!$A$1:$K$890,COLUMN(HeadJournal!K$1),0)-VLOOKUP($A4267,HeadJournal!$A$1:$K$890,COLUMN(HeadJournal!J$1),0))*($K4267+$L4267)/(SUMIF($A:$A,$A4267,$K:$K)+SUMIF($A:$A,$A4267,$L:$L)),0)</f>
        <v>0</v>
      </c>
      <c r="O4267" s="30">
        <f>IFERROR((VLOOKUP($A4267,HeadJournal!$A$1:$L$890,COLUMN(HeadJournal!L$1),0)*($K4267+$L4267)/(SUMIF($A:$A,$A4267,$K:$K)+SUMIF($A:$A,$A4267,$L:$L)))/VLOOKUP($A4267,HeadJournal!$A$1:$L$890,COLUMN(HeadJournal!H$1),0),0)</f>
        <v>0.32428731833835195</v>
      </c>
      <c r="P4267" s="30">
        <f>IFERROR(SUM(K4267:O4267)*VLOOKUP($A4267,HeadJournal!$A$1:$L$890,COLUMN(HeadJournal!H$1),0),0)</f>
        <v>781.22686746279192</v>
      </c>
      <c r="Q4267" s="29">
        <v>1300</v>
      </c>
      <c r="R4267" s="31">
        <v>45716</v>
      </c>
      <c r="S4267" s="31" t="s">
        <v>3121</v>
      </c>
      <c r="T4267" s="95" t="str">
        <f t="shared" si="331"/>
        <v>2025 02</v>
      </c>
      <c r="U4267" s="32">
        <f t="shared" si="328"/>
        <v>518.77313253720808</v>
      </c>
      <c r="V4267" s="22">
        <f t="shared" si="329"/>
        <v>0.66404927191257423</v>
      </c>
      <c r="X4267" s="33"/>
      <c r="Y4267" s="33"/>
    </row>
    <row r="4268" spans="1:25" x14ac:dyDescent="0.2">
      <c r="A4268" s="93" t="s">
        <v>2834</v>
      </c>
      <c r="B4268" s="94" t="str">
        <f>IFERROR(VLOOKUP($A4268,HeadJournal!$A$1:$NTR$890,COLUMN(HeadJournal!B$1),0),"")</f>
        <v>720000543584</v>
      </c>
      <c r="C4268" s="94" t="str">
        <f>IFERROR(VLOOKUP($A4268,HeadJournal!$A$1:$NTR$890,COLUMN(HeadJournal!C$1),0),"")</f>
        <v>iHerb_AV CYG0792</v>
      </c>
      <c r="D4268" s="125" t="str">
        <f>IFERROR(VLOOKUP($A4268,HeadJournal!$A$1:$NTR$890,COLUMN(HeadJournal!D$1),0),"")</f>
        <v>Доставлен</v>
      </c>
      <c r="E4268" s="95">
        <f>IFERROR(VLOOKUP($A4268,HeadJournal!$A$1:$NTR$890,COLUMN(HeadJournal!G$1),0),"")</f>
        <v>45665</v>
      </c>
      <c r="F4268" s="95" t="str">
        <f t="shared" si="330"/>
        <v>2025 01</v>
      </c>
      <c r="G4268" s="97" t="s">
        <v>5</v>
      </c>
      <c r="H4268" s="161" t="s">
        <v>2826</v>
      </c>
      <c r="I4268" s="97" t="s">
        <v>2207</v>
      </c>
      <c r="J4268" s="97" t="s">
        <v>2827</v>
      </c>
      <c r="K4268" s="29">
        <v>9.26</v>
      </c>
      <c r="L4268" s="29">
        <v>-1.8533333333333333</v>
      </c>
      <c r="M4268" s="30">
        <f>IFERROR(VLOOKUP($A4268,HeadJournal!$A$1:$J$890,COLUMN(HeadJournal!I$1),0)*($K4268+$L4268)/(SUMIF($A:$A,$A4268,$K:$K)+SUMIF($A:$A,$A4268,$L:$L)),0)</f>
        <v>0</v>
      </c>
      <c r="N4268" s="30">
        <f>IFERROR((VLOOKUP($A4268,HeadJournal!$A$1:$K$890,COLUMN(HeadJournal!K$1),0)-VLOOKUP($A4268,HeadJournal!$A$1:$K$890,COLUMN(HeadJournal!J$1),0))*($K4268+$L4268)/(SUMIF($A:$A,$A4268,$K:$K)+SUMIF($A:$A,$A4268,$L:$L)),0)</f>
        <v>0</v>
      </c>
      <c r="O4268" s="30">
        <f>IFERROR((VLOOKUP($A4268,HeadJournal!$A$1:$L$890,COLUMN(HeadJournal!L$1),0)*($K4268+$L4268)/(SUMIF($A:$A,$A4268,$K:$K)+SUMIF($A:$A,$A4268,$L:$L)))/VLOOKUP($A4268,HeadJournal!$A$1:$L$890,COLUMN(HeadJournal!H$1),0),0)</f>
        <v>0.40572433634449212</v>
      </c>
      <c r="P4268" s="30">
        <f>IFERROR(SUM(K4268:O4268)*VLOOKUP($A4268,HeadJournal!$A$1:$L$890,COLUMN(HeadJournal!H$1),0),0)</f>
        <v>977.41334431437133</v>
      </c>
      <c r="Q4268" s="29">
        <v>1350</v>
      </c>
      <c r="R4268" s="31">
        <v>45707</v>
      </c>
      <c r="S4268" s="31" t="s">
        <v>3121</v>
      </c>
      <c r="T4268" s="95" t="str">
        <f t="shared" si="331"/>
        <v>2025 02</v>
      </c>
      <c r="U4268" s="32">
        <f t="shared" si="328"/>
        <v>372.58665568562867</v>
      </c>
      <c r="V4268" s="22">
        <f t="shared" si="329"/>
        <v>0.38119661231655066</v>
      </c>
      <c r="X4268" s="33"/>
      <c r="Y4268" s="33"/>
    </row>
    <row r="4269" spans="1:25" x14ac:dyDescent="0.2">
      <c r="A4269" s="93" t="s">
        <v>2834</v>
      </c>
      <c r="B4269" s="94" t="str">
        <f>IFERROR(VLOOKUP($A4269,HeadJournal!$A$1:$NTR$890,COLUMN(HeadJournal!B$1),0),"")</f>
        <v>720000543584</v>
      </c>
      <c r="C4269" s="94" t="str">
        <f>IFERROR(VLOOKUP($A4269,HeadJournal!$A$1:$NTR$890,COLUMN(HeadJournal!C$1),0),"")</f>
        <v>iHerb_AV CYG0792</v>
      </c>
      <c r="D4269" s="125" t="str">
        <f>IFERROR(VLOOKUP($A4269,HeadJournal!$A$1:$NTR$890,COLUMN(HeadJournal!D$1),0),"")</f>
        <v>Доставлен</v>
      </c>
      <c r="E4269" s="95">
        <f>IFERROR(VLOOKUP($A4269,HeadJournal!$A$1:$NTR$890,COLUMN(HeadJournal!G$1),0),"")</f>
        <v>45665</v>
      </c>
      <c r="F4269" s="95" t="str">
        <f t="shared" si="330"/>
        <v>2025 01</v>
      </c>
      <c r="G4269" s="97" t="s">
        <v>5</v>
      </c>
      <c r="H4269" s="161" t="s">
        <v>2826</v>
      </c>
      <c r="I4269" s="97" t="s">
        <v>2207</v>
      </c>
      <c r="J4269" s="97" t="s">
        <v>2827</v>
      </c>
      <c r="K4269" s="29">
        <v>9.26</v>
      </c>
      <c r="L4269" s="29">
        <v>-1.8533333333333333</v>
      </c>
      <c r="M4269" s="30">
        <f>IFERROR(VLOOKUP($A4269,HeadJournal!$A$1:$J$890,COLUMN(HeadJournal!I$1),0)*($K4269+$L4269)/(SUMIF($A:$A,$A4269,$K:$K)+SUMIF($A:$A,$A4269,$L:$L)),0)</f>
        <v>0</v>
      </c>
      <c r="N4269" s="30">
        <f>IFERROR((VLOOKUP($A4269,HeadJournal!$A$1:$K$890,COLUMN(HeadJournal!K$1),0)-VLOOKUP($A4269,HeadJournal!$A$1:$K$890,COLUMN(HeadJournal!J$1),0))*($K4269+$L4269)/(SUMIF($A:$A,$A4269,$K:$K)+SUMIF($A:$A,$A4269,$L:$L)),0)</f>
        <v>0</v>
      </c>
      <c r="O4269" s="30">
        <f>IFERROR((VLOOKUP($A4269,HeadJournal!$A$1:$L$890,COLUMN(HeadJournal!L$1),0)*($K4269+$L4269)/(SUMIF($A:$A,$A4269,$K:$K)+SUMIF($A:$A,$A4269,$L:$L)))/VLOOKUP($A4269,HeadJournal!$A$1:$L$890,COLUMN(HeadJournal!H$1),0),0)</f>
        <v>0.40572433634449212</v>
      </c>
      <c r="P4269" s="30">
        <f>IFERROR(SUM(K4269:O4269)*VLOOKUP($A4269,HeadJournal!$A$1:$L$890,COLUMN(HeadJournal!H$1),0),0)</f>
        <v>977.41334431437133</v>
      </c>
      <c r="Q4269" s="29">
        <v>1350</v>
      </c>
      <c r="R4269" s="31">
        <v>45707</v>
      </c>
      <c r="S4269" s="31" t="s">
        <v>3121</v>
      </c>
      <c r="T4269" s="95" t="str">
        <f t="shared" si="331"/>
        <v>2025 02</v>
      </c>
      <c r="U4269" s="32">
        <f t="shared" si="328"/>
        <v>372.58665568562867</v>
      </c>
      <c r="V4269" s="22">
        <f t="shared" si="329"/>
        <v>0.38119661231655066</v>
      </c>
      <c r="X4269" s="33"/>
      <c r="Y4269" s="33"/>
    </row>
    <row r="4270" spans="1:25" x14ac:dyDescent="0.2">
      <c r="A4270" s="93" t="s">
        <v>2834</v>
      </c>
      <c r="B4270" s="94" t="str">
        <f>IFERROR(VLOOKUP($A4270,HeadJournal!$A$1:$NTR$890,COLUMN(HeadJournal!B$1),0),"")</f>
        <v>720000543584</v>
      </c>
      <c r="C4270" s="94" t="str">
        <f>IFERROR(VLOOKUP($A4270,HeadJournal!$A$1:$NTR$890,COLUMN(HeadJournal!C$1),0),"")</f>
        <v>iHerb_AV CYG0792</v>
      </c>
      <c r="D4270" s="125" t="str">
        <f>IFERROR(VLOOKUP($A4270,HeadJournal!$A$1:$NTR$890,COLUMN(HeadJournal!D$1),0),"")</f>
        <v>Доставлен</v>
      </c>
      <c r="E4270" s="95">
        <f>IFERROR(VLOOKUP($A4270,HeadJournal!$A$1:$NTR$890,COLUMN(HeadJournal!G$1),0),"")</f>
        <v>45665</v>
      </c>
      <c r="F4270" s="95" t="str">
        <f t="shared" si="330"/>
        <v>2025 01</v>
      </c>
      <c r="G4270" s="97" t="s">
        <v>5</v>
      </c>
      <c r="H4270" s="161" t="s">
        <v>2826</v>
      </c>
      <c r="I4270" s="97" t="s">
        <v>2207</v>
      </c>
      <c r="J4270" s="97" t="s">
        <v>2827</v>
      </c>
      <c r="K4270" s="29">
        <v>9.26</v>
      </c>
      <c r="L4270" s="29">
        <v>-1.8533333333333333</v>
      </c>
      <c r="M4270" s="30">
        <f>IFERROR(VLOOKUP($A4270,HeadJournal!$A$1:$J$890,COLUMN(HeadJournal!I$1),0)*($K4270+$L4270)/(SUMIF($A:$A,$A4270,$K:$K)+SUMIF($A:$A,$A4270,$L:$L)),0)</f>
        <v>0</v>
      </c>
      <c r="N4270" s="30">
        <f>IFERROR((VLOOKUP($A4270,HeadJournal!$A$1:$K$890,COLUMN(HeadJournal!K$1),0)-VLOOKUP($A4270,HeadJournal!$A$1:$K$890,COLUMN(HeadJournal!J$1),0))*($K4270+$L4270)/(SUMIF($A:$A,$A4270,$K:$K)+SUMIF($A:$A,$A4270,$L:$L)),0)</f>
        <v>0</v>
      </c>
      <c r="O4270" s="30">
        <f>IFERROR((VLOOKUP($A4270,HeadJournal!$A$1:$L$890,COLUMN(HeadJournal!L$1),0)*($K4270+$L4270)/(SUMIF($A:$A,$A4270,$K:$K)+SUMIF($A:$A,$A4270,$L:$L)))/VLOOKUP($A4270,HeadJournal!$A$1:$L$890,COLUMN(HeadJournal!H$1),0),0)</f>
        <v>0.40572433634449212</v>
      </c>
      <c r="P4270" s="30">
        <f>IFERROR(SUM(K4270:O4270)*VLOOKUP($A4270,HeadJournal!$A$1:$L$890,COLUMN(HeadJournal!H$1),0),0)</f>
        <v>977.41334431437133</v>
      </c>
      <c r="Q4270" s="29">
        <v>1600</v>
      </c>
      <c r="R4270" s="31">
        <v>45708</v>
      </c>
      <c r="S4270" s="31" t="s">
        <v>3121</v>
      </c>
      <c r="T4270" s="95" t="str">
        <f t="shared" si="331"/>
        <v>2025 02</v>
      </c>
      <c r="U4270" s="32">
        <f t="shared" si="328"/>
        <v>622.58665568562867</v>
      </c>
      <c r="V4270" s="22">
        <f t="shared" si="329"/>
        <v>0.63697376274554152</v>
      </c>
      <c r="X4270" s="33"/>
      <c r="Y4270" s="33"/>
    </row>
    <row r="4271" spans="1:25" x14ac:dyDescent="0.2">
      <c r="A4271" s="93" t="s">
        <v>2834</v>
      </c>
      <c r="B4271" s="94" t="str">
        <f>IFERROR(VLOOKUP($A4271,HeadJournal!$A$1:$NTR$890,COLUMN(HeadJournal!B$1),0),"")</f>
        <v>720000543584</v>
      </c>
      <c r="C4271" s="94" t="str">
        <f>IFERROR(VLOOKUP($A4271,HeadJournal!$A$1:$NTR$890,COLUMN(HeadJournal!C$1),0),"")</f>
        <v>iHerb_AV CYG0792</v>
      </c>
      <c r="D4271" s="125" t="str">
        <f>IFERROR(VLOOKUP($A4271,HeadJournal!$A$1:$NTR$890,COLUMN(HeadJournal!D$1),0),"")</f>
        <v>Доставлен</v>
      </c>
      <c r="E4271" s="95">
        <f>IFERROR(VLOOKUP($A4271,HeadJournal!$A$1:$NTR$890,COLUMN(HeadJournal!G$1),0),"")</f>
        <v>45665</v>
      </c>
      <c r="F4271" s="95" t="str">
        <f t="shared" si="330"/>
        <v>2025 01</v>
      </c>
      <c r="G4271" s="97" t="s">
        <v>5</v>
      </c>
      <c r="H4271" s="161" t="s">
        <v>2828</v>
      </c>
      <c r="I4271" s="97" t="s">
        <v>2829</v>
      </c>
      <c r="J4271" s="97" t="s">
        <v>2830</v>
      </c>
      <c r="K4271" s="29">
        <v>11.89</v>
      </c>
      <c r="L4271" s="29">
        <v>-2.38</v>
      </c>
      <c r="M4271" s="30">
        <f>IFERROR(VLOOKUP($A4271,HeadJournal!$A$1:$J$890,COLUMN(HeadJournal!I$1),0)*($K4271+$L4271)/(SUMIF($A:$A,$A4271,$K:$K)+SUMIF($A:$A,$A4271,$L:$L)),0)</f>
        <v>0</v>
      </c>
      <c r="N4271" s="30">
        <f>IFERROR((VLOOKUP($A4271,HeadJournal!$A$1:$K$890,COLUMN(HeadJournal!K$1),0)-VLOOKUP($A4271,HeadJournal!$A$1:$K$890,COLUMN(HeadJournal!J$1),0))*($K4271+$L4271)/(SUMIF($A:$A,$A4271,$K:$K)+SUMIF($A:$A,$A4271,$L:$L)),0)</f>
        <v>0</v>
      </c>
      <c r="O4271" s="30">
        <f>IFERROR((VLOOKUP($A4271,HeadJournal!$A$1:$L$890,COLUMN(HeadJournal!L$1),0)*($K4271+$L4271)/(SUMIF($A:$A,$A4271,$K:$K)+SUMIF($A:$A,$A4271,$L:$L)))/VLOOKUP($A4271,HeadJournal!$A$1:$L$890,COLUMN(HeadJournal!H$1),0),0)</f>
        <v>0.52094128334421064</v>
      </c>
      <c r="P4271" s="30">
        <f>IFERROR(SUM(K4271:O4271)*VLOOKUP($A4271,HeadJournal!$A$1:$L$890,COLUMN(HeadJournal!H$1),0),0)</f>
        <v>1254.977619859992</v>
      </c>
      <c r="Q4271" s="29">
        <v>1700</v>
      </c>
      <c r="R4271" s="31">
        <v>45749</v>
      </c>
      <c r="S4271" s="31" t="s">
        <v>3121</v>
      </c>
      <c r="T4271" s="95" t="str">
        <f t="shared" si="331"/>
        <v>2025 04</v>
      </c>
      <c r="U4271" s="32">
        <f t="shared" si="328"/>
        <v>445.02238014000795</v>
      </c>
      <c r="V4271" s="22">
        <f t="shared" si="329"/>
        <v>0.35460582969571647</v>
      </c>
      <c r="X4271" s="33"/>
      <c r="Y4271" s="33"/>
    </row>
    <row r="4272" spans="1:25" x14ac:dyDescent="0.2">
      <c r="A4272" s="93" t="s">
        <v>2834</v>
      </c>
      <c r="B4272" s="94" t="str">
        <f>IFERROR(VLOOKUP($A4272,HeadJournal!$A$1:$NTR$890,COLUMN(HeadJournal!B$1),0),"")</f>
        <v>720000543584</v>
      </c>
      <c r="C4272" s="94" t="str">
        <f>IFERROR(VLOOKUP($A4272,HeadJournal!$A$1:$NTR$890,COLUMN(HeadJournal!C$1),0),"")</f>
        <v>iHerb_AV CYG0792</v>
      </c>
      <c r="D4272" s="125" t="str">
        <f>IFERROR(VLOOKUP($A4272,HeadJournal!$A$1:$NTR$890,COLUMN(HeadJournal!D$1),0),"")</f>
        <v>Доставлен</v>
      </c>
      <c r="E4272" s="95">
        <f>IFERROR(VLOOKUP($A4272,HeadJournal!$A$1:$NTR$890,COLUMN(HeadJournal!G$1),0),"")</f>
        <v>45665</v>
      </c>
      <c r="F4272" s="95" t="str">
        <f t="shared" si="330"/>
        <v>2025 01</v>
      </c>
      <c r="G4272" s="97" t="s">
        <v>5</v>
      </c>
      <c r="H4272" s="161" t="s">
        <v>2469</v>
      </c>
      <c r="I4272" s="97" t="s">
        <v>2005</v>
      </c>
      <c r="J4272" s="97" t="s">
        <v>2470</v>
      </c>
      <c r="K4272" s="29">
        <v>36.270000000000003</v>
      </c>
      <c r="L4272" s="29">
        <v>-7.25</v>
      </c>
      <c r="M4272" s="30">
        <f>IFERROR(VLOOKUP($A4272,HeadJournal!$A$1:$J$890,COLUMN(HeadJournal!I$1),0)*($K4272+$L4272)/(SUMIF($A:$A,$A4272,$K:$K)+SUMIF($A:$A,$A4272,$L:$L)),0)</f>
        <v>0</v>
      </c>
      <c r="N4272" s="30">
        <f>IFERROR((VLOOKUP($A4272,HeadJournal!$A$1:$K$890,COLUMN(HeadJournal!K$1),0)-VLOOKUP($A4272,HeadJournal!$A$1:$K$890,COLUMN(HeadJournal!J$1),0))*($K4272+$L4272)/(SUMIF($A:$A,$A4272,$K:$K)+SUMIF($A:$A,$A4272,$L:$L)),0)</f>
        <v>0</v>
      </c>
      <c r="O4272" s="30">
        <f>IFERROR((VLOOKUP($A4272,HeadJournal!$A$1:$L$890,COLUMN(HeadJournal!L$1),0)*($K4272+$L4272)/(SUMIF($A:$A,$A4272,$K:$K)+SUMIF($A:$A,$A4272,$L:$L)))/VLOOKUP($A4272,HeadJournal!$A$1:$L$890,COLUMN(HeadJournal!H$1),0),0)</f>
        <v>1.5896651990167183</v>
      </c>
      <c r="P4272" s="30">
        <f>IFERROR(SUM(K4272:O4272)*VLOOKUP($A4272,HeadJournal!$A$1:$L$890,COLUMN(HeadJournal!H$1),0),0)</f>
        <v>3829.5952185422675</v>
      </c>
      <c r="Q4272" s="29">
        <v>4900</v>
      </c>
      <c r="R4272" s="31">
        <v>45708</v>
      </c>
      <c r="S4272" s="31" t="s">
        <v>3121</v>
      </c>
      <c r="T4272" s="95" t="str">
        <f t="shared" si="331"/>
        <v>2025 02</v>
      </c>
      <c r="U4272" s="32">
        <f t="shared" si="328"/>
        <v>1070.4047814577325</v>
      </c>
      <c r="V4272" s="22">
        <f t="shared" si="329"/>
        <v>0.27950859565392427</v>
      </c>
      <c r="X4272" s="33"/>
      <c r="Y4272" s="33"/>
    </row>
    <row r="4273" spans="1:25" x14ac:dyDescent="0.2">
      <c r="A4273" s="93" t="s">
        <v>2834</v>
      </c>
      <c r="B4273" s="94" t="str">
        <f>IFERROR(VLOOKUP($A4273,HeadJournal!$A$1:$NTR$890,COLUMN(HeadJournal!B$1),0),"")</f>
        <v>720000543584</v>
      </c>
      <c r="C4273" s="94" t="str">
        <f>IFERROR(VLOOKUP($A4273,HeadJournal!$A$1:$NTR$890,COLUMN(HeadJournal!C$1),0),"")</f>
        <v>iHerb_AV CYG0792</v>
      </c>
      <c r="D4273" s="125" t="str">
        <f>IFERROR(VLOOKUP($A4273,HeadJournal!$A$1:$NTR$890,COLUMN(HeadJournal!D$1),0),"")</f>
        <v>Доставлен</v>
      </c>
      <c r="E4273" s="95">
        <f>IFERROR(VLOOKUP($A4273,HeadJournal!$A$1:$NTR$890,COLUMN(HeadJournal!G$1),0),"")</f>
        <v>45665</v>
      </c>
      <c r="F4273" s="95" t="str">
        <f t="shared" si="330"/>
        <v>2025 01</v>
      </c>
      <c r="G4273" s="97" t="s">
        <v>5</v>
      </c>
      <c r="H4273" s="161" t="s">
        <v>2831</v>
      </c>
      <c r="I4273" s="97" t="s">
        <v>2005</v>
      </c>
      <c r="J4273" s="97" t="s">
        <v>3911</v>
      </c>
      <c r="K4273" s="29">
        <v>13.57</v>
      </c>
      <c r="L4273" s="29">
        <v>-2.71</v>
      </c>
      <c r="M4273" s="30">
        <f>IFERROR(VLOOKUP($A4273,HeadJournal!$A$1:$J$890,COLUMN(HeadJournal!I$1),0)*($K4273+$L4273)/(SUMIF($A:$A,$A4273,$K:$K)+SUMIF($A:$A,$A4273,$L:$L)),0)</f>
        <v>0</v>
      </c>
      <c r="N4273" s="30">
        <f>IFERROR((VLOOKUP($A4273,HeadJournal!$A$1:$K$890,COLUMN(HeadJournal!K$1),0)-VLOOKUP($A4273,HeadJournal!$A$1:$K$890,COLUMN(HeadJournal!J$1),0))*($K4273+$L4273)/(SUMIF($A:$A,$A4273,$K:$K)+SUMIF($A:$A,$A4273,$L:$L)),0)</f>
        <v>0</v>
      </c>
      <c r="O4273" s="30">
        <f>IFERROR((VLOOKUP($A4273,HeadJournal!$A$1:$L$890,COLUMN(HeadJournal!L$1),0)*($K4273+$L4273)/(SUMIF($A:$A,$A4273,$K:$K)+SUMIF($A:$A,$A4273,$L:$L)))/VLOOKUP($A4273,HeadJournal!$A$1:$L$890,COLUMN(HeadJournal!H$1),0),0)</f>
        <v>0.59489193870853074</v>
      </c>
      <c r="P4273" s="30">
        <f>IFERROR(SUM(K4273:O4273)*VLOOKUP($A4273,HeadJournal!$A$1:$L$890,COLUMN(HeadJournal!H$1),0),0)</f>
        <v>1433.129017001</v>
      </c>
      <c r="Q4273" s="29">
        <v>2100</v>
      </c>
      <c r="R4273" s="31">
        <v>45708</v>
      </c>
      <c r="S4273" s="31" t="s">
        <v>3121</v>
      </c>
      <c r="T4273" s="95" t="str">
        <f t="shared" si="331"/>
        <v>2025 02</v>
      </c>
      <c r="U4273" s="32">
        <f t="shared" si="328"/>
        <v>666.87098299900003</v>
      </c>
      <c r="V4273" s="22">
        <f t="shared" si="329"/>
        <v>0.46532515571731997</v>
      </c>
      <c r="X4273" s="33"/>
      <c r="Y4273" s="33"/>
    </row>
    <row r="4274" spans="1:25" x14ac:dyDescent="0.2">
      <c r="A4274" s="93" t="s">
        <v>2834</v>
      </c>
      <c r="B4274" s="94" t="str">
        <f>IFERROR(VLOOKUP($A4274,HeadJournal!$A$1:$NTR$890,COLUMN(HeadJournal!B$1),0),"")</f>
        <v>720000543584</v>
      </c>
      <c r="C4274" s="94" t="str">
        <f>IFERROR(VLOOKUP($A4274,HeadJournal!$A$1:$NTR$890,COLUMN(HeadJournal!C$1),0),"")</f>
        <v>iHerb_AV CYG0792</v>
      </c>
      <c r="D4274" s="125" t="str">
        <f>IFERROR(VLOOKUP($A4274,HeadJournal!$A$1:$NTR$890,COLUMN(HeadJournal!D$1),0),"")</f>
        <v>Доставлен</v>
      </c>
      <c r="E4274" s="95">
        <f>IFERROR(VLOOKUP($A4274,HeadJournal!$A$1:$NTR$890,COLUMN(HeadJournal!G$1),0),"")</f>
        <v>45665</v>
      </c>
      <c r="F4274" s="95" t="str">
        <f t="shared" si="330"/>
        <v>2025 01</v>
      </c>
      <c r="G4274" s="97" t="s">
        <v>5</v>
      </c>
      <c r="H4274" s="161" t="s">
        <v>2488</v>
      </c>
      <c r="I4274" s="97" t="s">
        <v>2005</v>
      </c>
      <c r="J4274" s="97" t="s">
        <v>2489</v>
      </c>
      <c r="K4274" s="29">
        <v>21.31</v>
      </c>
      <c r="L4274" s="29">
        <v>-4.26</v>
      </c>
      <c r="M4274" s="30">
        <f>IFERROR(VLOOKUP($A4274,HeadJournal!$A$1:$J$890,COLUMN(HeadJournal!I$1),0)*($K4274+$L4274)/(SUMIF($A:$A,$A4274,$K:$K)+SUMIF($A:$A,$A4274,$L:$L)),0)</f>
        <v>0</v>
      </c>
      <c r="N4274" s="30">
        <f>IFERROR((VLOOKUP($A4274,HeadJournal!$A$1:$K$890,COLUMN(HeadJournal!K$1),0)-VLOOKUP($A4274,HeadJournal!$A$1:$K$890,COLUMN(HeadJournal!J$1),0))*($K4274+$L4274)/(SUMIF($A:$A,$A4274,$K:$K)+SUMIF($A:$A,$A4274,$L:$L)),0)</f>
        <v>0</v>
      </c>
      <c r="O4274" s="30">
        <f>IFERROR((VLOOKUP($A4274,HeadJournal!$A$1:$L$890,COLUMN(HeadJournal!L$1),0)*($K4274+$L4274)/(SUMIF($A:$A,$A4274,$K:$K)+SUMIF($A:$A,$A4274,$L:$L)))/VLOOKUP($A4274,HeadJournal!$A$1:$L$890,COLUMN(HeadJournal!H$1),0),0)</f>
        <v>0.9339693881197465</v>
      </c>
      <c r="P4274" s="30">
        <f>IFERROR(SUM(K4274:O4274)*VLOOKUP($A4274,HeadJournal!$A$1:$L$890,COLUMN(HeadJournal!H$1),0),0)</f>
        <v>2249.9861638919929</v>
      </c>
      <c r="Q4274" s="29">
        <v>2500</v>
      </c>
      <c r="R4274" s="31">
        <v>45708</v>
      </c>
      <c r="S4274" s="31" t="s">
        <v>3121</v>
      </c>
      <c r="T4274" s="95" t="str">
        <f t="shared" si="331"/>
        <v>2025 02</v>
      </c>
      <c r="U4274" s="32">
        <f t="shared" si="328"/>
        <v>250.01383610800713</v>
      </c>
      <c r="V4274" s="22">
        <f t="shared" si="329"/>
        <v>0.11111794379905736</v>
      </c>
      <c r="X4274" s="33"/>
      <c r="Y4274" s="33"/>
    </row>
    <row r="4275" spans="1:25" x14ac:dyDescent="0.2">
      <c r="A4275" s="93" t="s">
        <v>2834</v>
      </c>
      <c r="B4275" s="94" t="str">
        <f>IFERROR(VLOOKUP($A4275,HeadJournal!$A$1:$NTR$890,COLUMN(HeadJournal!B$1),0),"")</f>
        <v>720000543584</v>
      </c>
      <c r="C4275" s="94" t="str">
        <f>IFERROR(VLOOKUP($A4275,HeadJournal!$A$1:$NTR$890,COLUMN(HeadJournal!C$1),0),"")</f>
        <v>iHerb_AV CYG0792</v>
      </c>
      <c r="D4275" s="125" t="str">
        <f>IFERROR(VLOOKUP($A4275,HeadJournal!$A$1:$NTR$890,COLUMN(HeadJournal!D$1),0),"")</f>
        <v>Доставлен</v>
      </c>
      <c r="E4275" s="95">
        <f>IFERROR(VLOOKUP($A4275,HeadJournal!$A$1:$NTR$890,COLUMN(HeadJournal!G$1),0),"")</f>
        <v>45665</v>
      </c>
      <c r="F4275" s="95" t="str">
        <f t="shared" si="330"/>
        <v>2025 01</v>
      </c>
      <c r="G4275" s="97" t="s">
        <v>5</v>
      </c>
      <c r="H4275" s="161" t="s">
        <v>2832</v>
      </c>
      <c r="I4275" s="97" t="s">
        <v>2005</v>
      </c>
      <c r="J4275" s="97" t="s">
        <v>2833</v>
      </c>
      <c r="K4275" s="29">
        <v>19.399999999999999</v>
      </c>
      <c r="L4275" s="29">
        <v>-3.88</v>
      </c>
      <c r="M4275" s="30">
        <f>IFERROR(VLOOKUP($A4275,HeadJournal!$A$1:$J$890,COLUMN(HeadJournal!I$1),0)*($K4275+$L4275)/(SUMIF($A:$A,$A4275,$K:$K)+SUMIF($A:$A,$A4275,$L:$L)),0)</f>
        <v>0</v>
      </c>
      <c r="N4275" s="30">
        <f>IFERROR((VLOOKUP($A4275,HeadJournal!$A$1:$K$890,COLUMN(HeadJournal!K$1),0)-VLOOKUP($A4275,HeadJournal!$A$1:$K$890,COLUMN(HeadJournal!J$1),0))*($K4275+$L4275)/(SUMIF($A:$A,$A4275,$K:$K)+SUMIF($A:$A,$A4275,$L:$L)),0)</f>
        <v>0</v>
      </c>
      <c r="O4275" s="30">
        <f>IFERROR((VLOOKUP($A4275,HeadJournal!$A$1:$L$890,COLUMN(HeadJournal!L$1),0)*($K4275+$L4275)/(SUMIF($A:$A,$A4275,$K:$K)+SUMIF($A:$A,$A4275,$L:$L)))/VLOOKUP($A4275,HeadJournal!$A$1:$L$890,COLUMN(HeadJournal!H$1),0),0)</f>
        <v>0.85015864537351726</v>
      </c>
      <c r="P4275" s="30">
        <f>IFERROR(SUM(K4275:O4275)*VLOOKUP($A4275,HeadJournal!$A$1:$L$890,COLUMN(HeadJournal!H$1),0),0)</f>
        <v>2048.0812471321842</v>
      </c>
      <c r="Q4275" s="29">
        <v>2200</v>
      </c>
      <c r="R4275" s="31">
        <v>45839</v>
      </c>
      <c r="S4275" s="31"/>
      <c r="T4275" s="95" t="str">
        <f t="shared" si="331"/>
        <v>2025 07</v>
      </c>
      <c r="U4275" s="32">
        <f t="shared" si="328"/>
        <v>151.91875286781578</v>
      </c>
      <c r="V4275" s="22">
        <f t="shared" si="329"/>
        <v>7.4176135873779067E-2</v>
      </c>
      <c r="X4275" s="33"/>
      <c r="Y4275" s="33"/>
    </row>
    <row r="4276" spans="1:25" x14ac:dyDescent="0.2">
      <c r="A4276" s="93" t="s">
        <v>2849</v>
      </c>
      <c r="B4276" s="94" t="str">
        <f>IFERROR(VLOOKUP($A4276,HeadJournal!$A$1:$NTR$890,COLUMN(HeadJournal!B$1),0),"")</f>
        <v>722500364314</v>
      </c>
      <c r="C4276" s="94" t="str">
        <f>IFERROR(VLOOKUP($A4276,HeadJournal!$A$1:$NTR$890,COLUMN(HeadJournal!C$1),0),"")</f>
        <v>iHerb_AV CYG0792</v>
      </c>
      <c r="D4276" s="125" t="str">
        <f>IFERROR(VLOOKUP($A4276,HeadJournal!$A$1:$NTR$890,COLUMN(HeadJournal!D$1),0),"")</f>
        <v>Доставлен</v>
      </c>
      <c r="E4276" s="95">
        <f>IFERROR(VLOOKUP($A4276,HeadJournal!$A$1:$NTR$890,COLUMN(HeadJournal!G$1),0),"")</f>
        <v>45675</v>
      </c>
      <c r="F4276" s="95" t="str">
        <f t="shared" si="330"/>
        <v>2025 01</v>
      </c>
      <c r="G4276" s="97" t="s">
        <v>5</v>
      </c>
      <c r="H4276" s="161" t="s">
        <v>2836</v>
      </c>
      <c r="I4276" s="97" t="s">
        <v>2005</v>
      </c>
      <c r="J4276" s="97" t="s">
        <v>2837</v>
      </c>
      <c r="K4276" s="29">
        <v>10.65</v>
      </c>
      <c r="L4276" s="29">
        <v>-1.07</v>
      </c>
      <c r="M4276" s="30">
        <f>IFERROR(VLOOKUP($A4276,HeadJournal!$A$1:$J$890,COLUMN(HeadJournal!I$1),0)*($K4276+$L4276)/(SUMIF($A:$A,$A4276,$K:$K)+SUMIF($A:$A,$A4276,$L:$L)),0)</f>
        <v>-0.8013650826234221</v>
      </c>
      <c r="N4276" s="30">
        <f>IFERROR((VLOOKUP($A4276,HeadJournal!$A$1:$K$890,COLUMN(HeadJournal!K$1),0)-VLOOKUP($A4276,HeadJournal!$A$1:$K$890,COLUMN(HeadJournal!J$1),0))*($K4276+$L4276)/(SUMIF($A:$A,$A4276,$K:$K)+SUMIF($A:$A,$A4276,$L:$L)),0)</f>
        <v>2.7946215369318531E-15</v>
      </c>
      <c r="O4276" s="30">
        <f>IFERROR((VLOOKUP($A4276,HeadJournal!$A$1:$L$890,COLUMN(HeadJournal!L$1),0)*($K4276+$L4276)/(SUMIF($A:$A,$A4276,$K:$K)+SUMIF($A:$A,$A4276,$L:$L)))/VLOOKUP($A4276,HeadJournal!$A$1:$L$890,COLUMN(HeadJournal!H$1),0),0)</f>
        <v>0.48752524973036548</v>
      </c>
      <c r="P4276" s="30">
        <f>IFERROR(SUM(K4276:O4276)*VLOOKUP($A4276,HeadJournal!$A$1:$L$890,COLUMN(HeadJournal!H$1),0),0)</f>
        <v>1088.6077594170181</v>
      </c>
      <c r="Q4276" s="29">
        <v>1700</v>
      </c>
      <c r="R4276" s="31">
        <v>45707</v>
      </c>
      <c r="S4276" s="31" t="s">
        <v>3121</v>
      </c>
      <c r="T4276" s="95" t="str">
        <f t="shared" si="331"/>
        <v>2025 02</v>
      </c>
      <c r="U4276" s="32">
        <f t="shared" si="328"/>
        <v>611.39224058298191</v>
      </c>
      <c r="V4276" s="22">
        <f t="shared" si="329"/>
        <v>0.5616276710267073</v>
      </c>
      <c r="X4276" s="33"/>
      <c r="Y4276" s="33"/>
    </row>
    <row r="4277" spans="1:25" x14ac:dyDescent="0.2">
      <c r="A4277" s="93" t="s">
        <v>2849</v>
      </c>
      <c r="B4277" s="94" t="str">
        <f>IFERROR(VLOOKUP($A4277,HeadJournal!$A$1:$NTR$890,COLUMN(HeadJournal!B$1),0),"")</f>
        <v>722500364314</v>
      </c>
      <c r="C4277" s="94" t="str">
        <f>IFERROR(VLOOKUP($A4277,HeadJournal!$A$1:$NTR$890,COLUMN(HeadJournal!C$1),0),"")</f>
        <v>iHerb_AV CYG0792</v>
      </c>
      <c r="D4277" s="125" t="str">
        <f>IFERROR(VLOOKUP($A4277,HeadJournal!$A$1:$NTR$890,COLUMN(HeadJournal!D$1),0),"")</f>
        <v>Доставлен</v>
      </c>
      <c r="E4277" s="95">
        <f>IFERROR(VLOOKUP($A4277,HeadJournal!$A$1:$NTR$890,COLUMN(HeadJournal!G$1),0),"")</f>
        <v>45675</v>
      </c>
      <c r="F4277" s="95" t="str">
        <f t="shared" si="330"/>
        <v>2025 01</v>
      </c>
      <c r="G4277" s="97" t="s">
        <v>5</v>
      </c>
      <c r="H4277" s="161" t="s">
        <v>2838</v>
      </c>
      <c r="I4277" s="97" t="s">
        <v>2839</v>
      </c>
      <c r="J4277" s="97" t="s">
        <v>2840</v>
      </c>
      <c r="K4277" s="29">
        <v>27.22</v>
      </c>
      <c r="L4277" s="29">
        <v>0</v>
      </c>
      <c r="M4277" s="30">
        <f>IFERROR(VLOOKUP($A4277,HeadJournal!$A$1:$J$890,COLUMN(HeadJournal!I$1),0)*($K4277+$L4277)/(SUMIF($A:$A,$A4277,$K:$K)+SUMIF($A:$A,$A4277,$L:$L)),0)</f>
        <v>-2.2769475520886795</v>
      </c>
      <c r="N4277" s="30">
        <f>IFERROR((VLOOKUP($A4277,HeadJournal!$A$1:$K$890,COLUMN(HeadJournal!K$1),0)-VLOOKUP($A4277,HeadJournal!$A$1:$K$890,COLUMN(HeadJournal!J$1),0))*($K4277+$L4277)/(SUMIF($A:$A,$A4277,$K:$K)+SUMIF($A:$A,$A4277,$L:$L)),0)</f>
        <v>7.9404591059796491E-15</v>
      </c>
      <c r="O4277" s="30">
        <f>IFERROR((VLOOKUP($A4277,HeadJournal!$A$1:$L$890,COLUMN(HeadJournal!L$1),0)*($K4277+$L4277)/(SUMIF($A:$A,$A4277,$K:$K)+SUMIF($A:$A,$A4277,$L:$L)))/VLOOKUP($A4277,HeadJournal!$A$1:$L$890,COLUMN(HeadJournal!H$1),0),0)</f>
        <v>1.3852230999645665</v>
      </c>
      <c r="P4277" s="30">
        <f>IFERROR(SUM(K4277:O4277)*VLOOKUP($A4277,HeadJournal!$A$1:$L$890,COLUMN(HeadJournal!H$1),0),0)</f>
        <v>3093.1005439802948</v>
      </c>
      <c r="Q4277" s="29">
        <v>3850</v>
      </c>
      <c r="R4277" s="31">
        <v>45708</v>
      </c>
      <c r="S4277" s="31" t="s">
        <v>3121</v>
      </c>
      <c r="T4277" s="95" t="str">
        <f t="shared" si="331"/>
        <v>2025 02</v>
      </c>
      <c r="U4277" s="32">
        <f t="shared" si="328"/>
        <v>756.89945601970521</v>
      </c>
      <c r="V4277" s="22">
        <f t="shared" si="329"/>
        <v>0.24470573951847818</v>
      </c>
      <c r="X4277" s="33"/>
      <c r="Y4277" s="33"/>
    </row>
    <row r="4278" spans="1:25" x14ac:dyDescent="0.2">
      <c r="A4278" s="93" t="s">
        <v>2849</v>
      </c>
      <c r="B4278" s="94" t="str">
        <f>IFERROR(VLOOKUP($A4278,HeadJournal!$A$1:$NTR$890,COLUMN(HeadJournal!B$1),0),"")</f>
        <v>722500364314</v>
      </c>
      <c r="C4278" s="94" t="str">
        <f>IFERROR(VLOOKUP($A4278,HeadJournal!$A$1:$NTR$890,COLUMN(HeadJournal!C$1),0),"")</f>
        <v>iHerb_AV CYG0792</v>
      </c>
      <c r="D4278" s="125" t="str">
        <f>IFERROR(VLOOKUP($A4278,HeadJournal!$A$1:$NTR$890,COLUMN(HeadJournal!D$1),0),"")</f>
        <v>Доставлен</v>
      </c>
      <c r="E4278" s="95">
        <f>IFERROR(VLOOKUP($A4278,HeadJournal!$A$1:$NTR$890,COLUMN(HeadJournal!G$1),0),"")</f>
        <v>45675</v>
      </c>
      <c r="F4278" s="95" t="str">
        <f t="shared" si="330"/>
        <v>2025 01</v>
      </c>
      <c r="G4278" s="97" t="s">
        <v>5</v>
      </c>
      <c r="H4278" s="161" t="s">
        <v>2841</v>
      </c>
      <c r="I4278" s="97" t="s">
        <v>2839</v>
      </c>
      <c r="J4278" s="97" t="s">
        <v>2842</v>
      </c>
      <c r="K4278" s="29">
        <v>18.55</v>
      </c>
      <c r="L4278" s="29">
        <v>0</v>
      </c>
      <c r="M4278" s="30">
        <f>IFERROR(VLOOKUP($A4278,HeadJournal!$A$1:$J$890,COLUMN(HeadJournal!I$1),0)*($K4278+$L4278)/(SUMIF($A:$A,$A4278,$K:$K)+SUMIF($A:$A,$A4278,$L:$L)),0)</f>
        <v>-1.551703787334497</v>
      </c>
      <c r="N4278" s="30">
        <f>IFERROR((VLOOKUP($A4278,HeadJournal!$A$1:$K$890,COLUMN(HeadJournal!K$1),0)-VLOOKUP($A4278,HeadJournal!$A$1:$K$890,COLUMN(HeadJournal!J$1),0))*($K4278+$L4278)/(SUMIF($A:$A,$A4278,$K:$K)+SUMIF($A:$A,$A4278,$L:$L)),0)</f>
        <v>5.4112974436415325E-15</v>
      </c>
      <c r="O4278" s="30">
        <f>IFERROR((VLOOKUP($A4278,HeadJournal!$A$1:$L$890,COLUMN(HeadJournal!L$1),0)*($K4278+$L4278)/(SUMIF($A:$A,$A4278,$K:$K)+SUMIF($A:$A,$A4278,$L:$L)))/VLOOKUP($A4278,HeadJournal!$A$1:$L$890,COLUMN(HeadJournal!H$1),0),0)</f>
        <v>0.944007659968505</v>
      </c>
      <c r="P4278" s="30">
        <f>IFERROR(SUM(K4278:O4278)*VLOOKUP($A4278,HeadJournal!$A$1:$L$890,COLUMN(HeadJournal!H$1),0),0)</f>
        <v>2107.8991583701131</v>
      </c>
      <c r="Q4278" s="29">
        <v>2600</v>
      </c>
      <c r="R4278" s="31">
        <v>45708</v>
      </c>
      <c r="S4278" s="31" t="s">
        <v>3121</v>
      </c>
      <c r="T4278" s="95" t="str">
        <f t="shared" si="331"/>
        <v>2025 02</v>
      </c>
      <c r="U4278" s="32">
        <f t="shared" si="328"/>
        <v>492.10084162988687</v>
      </c>
      <c r="V4278" s="22">
        <f t="shared" si="329"/>
        <v>0.23345558997727059</v>
      </c>
      <c r="X4278" s="33"/>
      <c r="Y4278" s="33"/>
    </row>
    <row r="4279" spans="1:25" x14ac:dyDescent="0.2">
      <c r="A4279" s="93" t="s">
        <v>2849</v>
      </c>
      <c r="B4279" s="94" t="str">
        <f>IFERROR(VLOOKUP($A4279,HeadJournal!$A$1:$NTR$890,COLUMN(HeadJournal!B$1),0),"")</f>
        <v>722500364314</v>
      </c>
      <c r="C4279" s="94" t="str">
        <f>IFERROR(VLOOKUP($A4279,HeadJournal!$A$1:$NTR$890,COLUMN(HeadJournal!C$1),0),"")</f>
        <v>iHerb_AV CYG0792</v>
      </c>
      <c r="D4279" s="125" t="str">
        <f>IFERROR(VLOOKUP($A4279,HeadJournal!$A$1:$NTR$890,COLUMN(HeadJournal!D$1),0),"")</f>
        <v>Доставлен</v>
      </c>
      <c r="E4279" s="95">
        <f>IFERROR(VLOOKUP($A4279,HeadJournal!$A$1:$NTR$890,COLUMN(HeadJournal!G$1),0),"")</f>
        <v>45675</v>
      </c>
      <c r="F4279" s="95" t="str">
        <f t="shared" si="330"/>
        <v>2025 01</v>
      </c>
      <c r="G4279" s="97" t="s">
        <v>5</v>
      </c>
      <c r="H4279" s="161" t="s">
        <v>2051</v>
      </c>
      <c r="I4279" s="97" t="s">
        <v>2052</v>
      </c>
      <c r="J4279" s="97" t="s">
        <v>3097</v>
      </c>
      <c r="K4279" s="29">
        <v>21.04</v>
      </c>
      <c r="L4279" s="29">
        <v>-6.3119999999999994</v>
      </c>
      <c r="M4279" s="30">
        <f>IFERROR(VLOOKUP($A4279,HeadJournal!$A$1:$J$890,COLUMN(HeadJournal!I$1),0)*($K4279+$L4279)/(SUMIF($A:$A,$A4279,$K:$K)+SUMIF($A:$A,$A4279,$L:$L)),0)</f>
        <v>-1.2319942522836913</v>
      </c>
      <c r="N4279" s="30">
        <f>IFERROR((VLOOKUP($A4279,HeadJournal!$A$1:$K$890,COLUMN(HeadJournal!K$1),0)-VLOOKUP($A4279,HeadJournal!$A$1:$K$890,COLUMN(HeadJournal!J$1),0))*($K4279+$L4279)/(SUMIF($A:$A,$A4279,$K:$K)+SUMIF($A:$A,$A4279,$L:$L)),0)</f>
        <v>4.2963659703478427E-15</v>
      </c>
      <c r="O4279" s="30">
        <f>IFERROR((VLOOKUP($A4279,HeadJournal!$A$1:$L$890,COLUMN(HeadJournal!L$1),0)*($K4279+$L4279)/(SUMIF($A:$A,$A4279,$K:$K)+SUMIF($A:$A,$A4279,$L:$L)))/VLOOKUP($A4279,HeadJournal!$A$1:$L$890,COLUMN(HeadJournal!H$1),0),0)</f>
        <v>0.74950645908442814</v>
      </c>
      <c r="P4279" s="30">
        <f>IFERROR(SUM(K4279:O4279)*VLOOKUP($A4279,HeadJournal!$A$1:$L$890,COLUMN(HeadJournal!H$1),0),0)</f>
        <v>1673.5923883814025</v>
      </c>
      <c r="Q4279" s="29">
        <v>2400</v>
      </c>
      <c r="R4279" s="31">
        <v>45708</v>
      </c>
      <c r="S4279" s="31" t="s">
        <v>3121</v>
      </c>
      <c r="T4279" s="95" t="str">
        <f t="shared" si="331"/>
        <v>2025 02</v>
      </c>
      <c r="U4279" s="32">
        <f t="shared" si="328"/>
        <v>726.40761161859746</v>
      </c>
      <c r="V4279" s="22">
        <f t="shared" si="329"/>
        <v>0.43404093891771045</v>
      </c>
      <c r="X4279" s="33"/>
      <c r="Y4279" s="33"/>
    </row>
    <row r="4280" spans="1:25" x14ac:dyDescent="0.2">
      <c r="A4280" s="93" t="s">
        <v>2849</v>
      </c>
      <c r="B4280" s="94" t="str">
        <f>IFERROR(VLOOKUP($A4280,HeadJournal!$A$1:$NTR$890,COLUMN(HeadJournal!B$1),0),"")</f>
        <v>722500364314</v>
      </c>
      <c r="C4280" s="94" t="str">
        <f>IFERROR(VLOOKUP($A4280,HeadJournal!$A$1:$NTR$890,COLUMN(HeadJournal!C$1),0),"")</f>
        <v>iHerb_AV CYG0792</v>
      </c>
      <c r="D4280" s="125" t="str">
        <f>IFERROR(VLOOKUP($A4280,HeadJournal!$A$1:$NTR$890,COLUMN(HeadJournal!D$1),0),"")</f>
        <v>Доставлен</v>
      </c>
      <c r="E4280" s="95">
        <f>IFERROR(VLOOKUP($A4280,HeadJournal!$A$1:$NTR$890,COLUMN(HeadJournal!G$1),0),"")</f>
        <v>45675</v>
      </c>
      <c r="F4280" s="95" t="str">
        <f t="shared" si="330"/>
        <v>2025 01</v>
      </c>
      <c r="G4280" s="97" t="s">
        <v>5</v>
      </c>
      <c r="H4280" s="161" t="s">
        <v>2051</v>
      </c>
      <c r="I4280" s="97" t="s">
        <v>2052</v>
      </c>
      <c r="J4280" s="97" t="s">
        <v>3097</v>
      </c>
      <c r="K4280" s="29">
        <v>21.04</v>
      </c>
      <c r="L4280" s="29">
        <v>-6.3119999999999994</v>
      </c>
      <c r="M4280" s="30">
        <f>IFERROR(VLOOKUP($A4280,HeadJournal!$A$1:$J$890,COLUMN(HeadJournal!I$1),0)*($K4280+$L4280)/(SUMIF($A:$A,$A4280,$K:$K)+SUMIF($A:$A,$A4280,$L:$L)),0)</f>
        <v>-1.2319942522836913</v>
      </c>
      <c r="N4280" s="30">
        <f>IFERROR((VLOOKUP($A4280,HeadJournal!$A$1:$K$890,COLUMN(HeadJournal!K$1),0)-VLOOKUP($A4280,HeadJournal!$A$1:$K$890,COLUMN(HeadJournal!J$1),0))*($K4280+$L4280)/(SUMIF($A:$A,$A4280,$K:$K)+SUMIF($A:$A,$A4280,$L:$L)),0)</f>
        <v>4.2963659703478427E-15</v>
      </c>
      <c r="O4280" s="30">
        <f>IFERROR((VLOOKUP($A4280,HeadJournal!$A$1:$L$890,COLUMN(HeadJournal!L$1),0)*($K4280+$L4280)/(SUMIF($A:$A,$A4280,$K:$K)+SUMIF($A:$A,$A4280,$L:$L)))/VLOOKUP($A4280,HeadJournal!$A$1:$L$890,COLUMN(HeadJournal!H$1),0),0)</f>
        <v>0.74950645908442814</v>
      </c>
      <c r="P4280" s="30">
        <f>IFERROR(SUM(K4280:O4280)*VLOOKUP($A4280,HeadJournal!$A$1:$L$890,COLUMN(HeadJournal!H$1),0),0)</f>
        <v>1673.5923883814025</v>
      </c>
      <c r="Q4280" s="29">
        <v>2300</v>
      </c>
      <c r="R4280" s="31">
        <v>45708</v>
      </c>
      <c r="S4280" s="31" t="s">
        <v>3121</v>
      </c>
      <c r="T4280" s="95" t="str">
        <f t="shared" si="331"/>
        <v>2025 02</v>
      </c>
      <c r="U4280" s="32">
        <f t="shared" si="328"/>
        <v>626.40761161859746</v>
      </c>
      <c r="V4280" s="22">
        <f t="shared" si="329"/>
        <v>0.37428923312947249</v>
      </c>
      <c r="X4280" s="33"/>
      <c r="Y4280" s="33"/>
    </row>
    <row r="4281" spans="1:25" x14ac:dyDescent="0.2">
      <c r="A4281" s="93" t="s">
        <v>2849</v>
      </c>
      <c r="B4281" s="94" t="str">
        <f>IFERROR(VLOOKUP($A4281,HeadJournal!$A$1:$NTR$890,COLUMN(HeadJournal!B$1),0),"")</f>
        <v>722500364314</v>
      </c>
      <c r="C4281" s="94" t="str">
        <f>IFERROR(VLOOKUP($A4281,HeadJournal!$A$1:$NTR$890,COLUMN(HeadJournal!C$1),0),"")</f>
        <v>iHerb_AV CYG0792</v>
      </c>
      <c r="D4281" s="125" t="str">
        <f>IFERROR(VLOOKUP($A4281,HeadJournal!$A$1:$NTR$890,COLUMN(HeadJournal!D$1),0),"")</f>
        <v>Доставлен</v>
      </c>
      <c r="E4281" s="95">
        <f>IFERROR(VLOOKUP($A4281,HeadJournal!$A$1:$NTR$890,COLUMN(HeadJournal!G$1),0),"")</f>
        <v>45675</v>
      </c>
      <c r="F4281" s="95" t="str">
        <f t="shared" si="330"/>
        <v>2025 01</v>
      </c>
      <c r="G4281" s="97" t="s">
        <v>5</v>
      </c>
      <c r="H4281" s="161" t="s">
        <v>2051</v>
      </c>
      <c r="I4281" s="97" t="s">
        <v>2052</v>
      </c>
      <c r="J4281" s="97" t="s">
        <v>3097</v>
      </c>
      <c r="K4281" s="29">
        <v>21.04</v>
      </c>
      <c r="L4281" s="29">
        <v>-6.3119999999999994</v>
      </c>
      <c r="M4281" s="30">
        <f>IFERROR(VLOOKUP($A4281,HeadJournal!$A$1:$J$890,COLUMN(HeadJournal!I$1),0)*($K4281+$L4281)/(SUMIF($A:$A,$A4281,$K:$K)+SUMIF($A:$A,$A4281,$L:$L)),0)</f>
        <v>-1.2319942522836913</v>
      </c>
      <c r="N4281" s="30">
        <f>IFERROR((VLOOKUP($A4281,HeadJournal!$A$1:$K$890,COLUMN(HeadJournal!K$1),0)-VLOOKUP($A4281,HeadJournal!$A$1:$K$890,COLUMN(HeadJournal!J$1),0))*($K4281+$L4281)/(SUMIF($A:$A,$A4281,$K:$K)+SUMIF($A:$A,$A4281,$L:$L)),0)</f>
        <v>4.2963659703478427E-15</v>
      </c>
      <c r="O4281" s="30">
        <f>IFERROR((VLOOKUP($A4281,HeadJournal!$A$1:$L$890,COLUMN(HeadJournal!L$1),0)*($K4281+$L4281)/(SUMIF($A:$A,$A4281,$K:$K)+SUMIF($A:$A,$A4281,$L:$L)))/VLOOKUP($A4281,HeadJournal!$A$1:$L$890,COLUMN(HeadJournal!H$1),0),0)</f>
        <v>0.74950645908442814</v>
      </c>
      <c r="P4281" s="30">
        <f>IFERROR(SUM(K4281:O4281)*VLOOKUP($A4281,HeadJournal!$A$1:$L$890,COLUMN(HeadJournal!H$1),0),0)</f>
        <v>1673.5923883814025</v>
      </c>
      <c r="Q4281" s="29">
        <v>2300</v>
      </c>
      <c r="R4281" s="31">
        <v>45708</v>
      </c>
      <c r="S4281" s="31" t="s">
        <v>3121</v>
      </c>
      <c r="T4281" s="95" t="str">
        <f t="shared" si="331"/>
        <v>2025 02</v>
      </c>
      <c r="U4281" s="32">
        <f t="shared" si="328"/>
        <v>626.40761161859746</v>
      </c>
      <c r="V4281" s="22">
        <f t="shared" si="329"/>
        <v>0.37428923312947249</v>
      </c>
      <c r="X4281" s="33"/>
      <c r="Y4281" s="33"/>
    </row>
    <row r="4282" spans="1:25" x14ac:dyDescent="0.2">
      <c r="A4282" s="93" t="s">
        <v>2849</v>
      </c>
      <c r="B4282" s="94" t="str">
        <f>IFERROR(VLOOKUP($A4282,HeadJournal!$A$1:$NTR$890,COLUMN(HeadJournal!B$1),0),"")</f>
        <v>722500364314</v>
      </c>
      <c r="C4282" s="94" t="str">
        <f>IFERROR(VLOOKUP($A4282,HeadJournal!$A$1:$NTR$890,COLUMN(HeadJournal!C$1),0),"")</f>
        <v>iHerb_AV CYG0792</v>
      </c>
      <c r="D4282" s="125" t="str">
        <f>IFERROR(VLOOKUP($A4282,HeadJournal!$A$1:$NTR$890,COLUMN(HeadJournal!D$1),0),"")</f>
        <v>Доставлен</v>
      </c>
      <c r="E4282" s="95">
        <f>IFERROR(VLOOKUP($A4282,HeadJournal!$A$1:$NTR$890,COLUMN(HeadJournal!G$1),0),"")</f>
        <v>45675</v>
      </c>
      <c r="F4282" s="95" t="str">
        <f t="shared" si="330"/>
        <v>2025 01</v>
      </c>
      <c r="G4282" s="97" t="s">
        <v>5</v>
      </c>
      <c r="H4282" s="161" t="s">
        <v>2051</v>
      </c>
      <c r="I4282" s="97" t="s">
        <v>2052</v>
      </c>
      <c r="J4282" s="97" t="s">
        <v>3097</v>
      </c>
      <c r="K4282" s="29">
        <v>21.04</v>
      </c>
      <c r="L4282" s="29">
        <v>-6.3119999999999994</v>
      </c>
      <c r="M4282" s="30">
        <f>IFERROR(VLOOKUP($A4282,HeadJournal!$A$1:$J$890,COLUMN(HeadJournal!I$1),0)*($K4282+$L4282)/(SUMIF($A:$A,$A4282,$K:$K)+SUMIF($A:$A,$A4282,$L:$L)),0)</f>
        <v>-1.2319942522836913</v>
      </c>
      <c r="N4282" s="30">
        <f>IFERROR((VLOOKUP($A4282,HeadJournal!$A$1:$K$890,COLUMN(HeadJournal!K$1),0)-VLOOKUP($A4282,HeadJournal!$A$1:$K$890,COLUMN(HeadJournal!J$1),0))*($K4282+$L4282)/(SUMIF($A:$A,$A4282,$K:$K)+SUMIF($A:$A,$A4282,$L:$L)),0)</f>
        <v>4.2963659703478427E-15</v>
      </c>
      <c r="O4282" s="30">
        <f>IFERROR((VLOOKUP($A4282,HeadJournal!$A$1:$L$890,COLUMN(HeadJournal!L$1),0)*($K4282+$L4282)/(SUMIF($A:$A,$A4282,$K:$K)+SUMIF($A:$A,$A4282,$L:$L)))/VLOOKUP($A4282,HeadJournal!$A$1:$L$890,COLUMN(HeadJournal!H$1),0),0)</f>
        <v>0.74950645908442814</v>
      </c>
      <c r="P4282" s="30">
        <f>IFERROR(SUM(K4282:O4282)*VLOOKUP($A4282,HeadJournal!$A$1:$L$890,COLUMN(HeadJournal!H$1),0),0)</f>
        <v>1673.5923883814025</v>
      </c>
      <c r="Q4282" s="29">
        <v>2300</v>
      </c>
      <c r="R4282" s="31">
        <v>45710</v>
      </c>
      <c r="S4282" s="31" t="s">
        <v>3121</v>
      </c>
      <c r="T4282" s="95" t="str">
        <f t="shared" si="331"/>
        <v>2025 02</v>
      </c>
      <c r="U4282" s="32">
        <f t="shared" si="328"/>
        <v>626.40761161859746</v>
      </c>
      <c r="V4282" s="22">
        <f t="shared" si="329"/>
        <v>0.37428923312947249</v>
      </c>
      <c r="X4282" s="33"/>
      <c r="Y4282" s="33"/>
    </row>
    <row r="4283" spans="1:25" x14ac:dyDescent="0.2">
      <c r="A4283" s="93" t="s">
        <v>2849</v>
      </c>
      <c r="B4283" s="94" t="str">
        <f>IFERROR(VLOOKUP($A4283,HeadJournal!$A$1:$NTR$890,COLUMN(HeadJournal!B$1),0),"")</f>
        <v>722500364314</v>
      </c>
      <c r="C4283" s="94" t="str">
        <f>IFERROR(VLOOKUP($A4283,HeadJournal!$A$1:$NTR$890,COLUMN(HeadJournal!C$1),0),"")</f>
        <v>iHerb_AV CYG0792</v>
      </c>
      <c r="D4283" s="125" t="str">
        <f>IFERROR(VLOOKUP($A4283,HeadJournal!$A$1:$NTR$890,COLUMN(HeadJournal!D$1),0),"")</f>
        <v>Доставлен</v>
      </c>
      <c r="E4283" s="95">
        <f>IFERROR(VLOOKUP($A4283,HeadJournal!$A$1:$NTR$890,COLUMN(HeadJournal!G$1),0),"")</f>
        <v>45675</v>
      </c>
      <c r="F4283" s="95" t="str">
        <f t="shared" si="330"/>
        <v>2025 01</v>
      </c>
      <c r="G4283" s="97" t="s">
        <v>5</v>
      </c>
      <c r="H4283" s="161" t="s">
        <v>2051</v>
      </c>
      <c r="I4283" s="97" t="s">
        <v>2052</v>
      </c>
      <c r="J4283" s="97" t="s">
        <v>3097</v>
      </c>
      <c r="K4283" s="29">
        <v>21.04</v>
      </c>
      <c r="L4283" s="29">
        <v>-6.3119999999999994</v>
      </c>
      <c r="M4283" s="30">
        <f>IFERROR(VLOOKUP($A4283,HeadJournal!$A$1:$J$890,COLUMN(HeadJournal!I$1),0)*($K4283+$L4283)/(SUMIF($A:$A,$A4283,$K:$K)+SUMIF($A:$A,$A4283,$L:$L)),0)</f>
        <v>-1.2319942522836913</v>
      </c>
      <c r="N4283" s="30">
        <f>IFERROR((VLOOKUP($A4283,HeadJournal!$A$1:$K$890,COLUMN(HeadJournal!K$1),0)-VLOOKUP($A4283,HeadJournal!$A$1:$K$890,COLUMN(HeadJournal!J$1),0))*($K4283+$L4283)/(SUMIF($A:$A,$A4283,$K:$K)+SUMIF($A:$A,$A4283,$L:$L)),0)</f>
        <v>4.2963659703478427E-15</v>
      </c>
      <c r="O4283" s="30">
        <f>IFERROR((VLOOKUP($A4283,HeadJournal!$A$1:$L$890,COLUMN(HeadJournal!L$1),0)*($K4283+$L4283)/(SUMIF($A:$A,$A4283,$K:$K)+SUMIF($A:$A,$A4283,$L:$L)))/VLOOKUP($A4283,HeadJournal!$A$1:$L$890,COLUMN(HeadJournal!H$1),0),0)</f>
        <v>0.74950645908442814</v>
      </c>
      <c r="P4283" s="30">
        <f>IFERROR(SUM(K4283:O4283)*VLOOKUP($A4283,HeadJournal!$A$1:$L$890,COLUMN(HeadJournal!H$1),0),0)</f>
        <v>1673.5923883814025</v>
      </c>
      <c r="Q4283" s="29">
        <v>2300</v>
      </c>
      <c r="R4283" s="31">
        <v>45738</v>
      </c>
      <c r="S4283" s="31" t="s">
        <v>3121</v>
      </c>
      <c r="T4283" s="95" t="str">
        <f t="shared" si="331"/>
        <v>2025 03</v>
      </c>
      <c r="U4283" s="32">
        <f t="shared" si="328"/>
        <v>626.40761161859746</v>
      </c>
      <c r="V4283" s="22">
        <f t="shared" si="329"/>
        <v>0.37428923312947249</v>
      </c>
      <c r="X4283" s="33"/>
      <c r="Y4283" s="33"/>
    </row>
    <row r="4284" spans="1:25" x14ac:dyDescent="0.2">
      <c r="A4284" s="93" t="s">
        <v>2849</v>
      </c>
      <c r="B4284" s="94" t="str">
        <f>IFERROR(VLOOKUP($A4284,HeadJournal!$A$1:$NTR$890,COLUMN(HeadJournal!B$1),0),"")</f>
        <v>722500364314</v>
      </c>
      <c r="C4284" s="94" t="str">
        <f>IFERROR(VLOOKUP($A4284,HeadJournal!$A$1:$NTR$890,COLUMN(HeadJournal!C$1),0),"")</f>
        <v>iHerb_AV CYG0792</v>
      </c>
      <c r="D4284" s="125" t="str">
        <f>IFERROR(VLOOKUP($A4284,HeadJournal!$A$1:$NTR$890,COLUMN(HeadJournal!D$1),0),"")</f>
        <v>Доставлен</v>
      </c>
      <c r="E4284" s="95">
        <f>IFERROR(VLOOKUP($A4284,HeadJournal!$A$1:$NTR$890,COLUMN(HeadJournal!G$1),0),"")</f>
        <v>45675</v>
      </c>
      <c r="F4284" s="95" t="str">
        <f t="shared" si="330"/>
        <v>2025 01</v>
      </c>
      <c r="G4284" s="97" t="s">
        <v>5</v>
      </c>
      <c r="H4284" s="161" t="s">
        <v>2771</v>
      </c>
      <c r="I4284" s="97" t="s">
        <v>2052</v>
      </c>
      <c r="J4284" s="97" t="s">
        <v>3858</v>
      </c>
      <c r="K4284" s="29">
        <v>14.73</v>
      </c>
      <c r="L4284" s="29">
        <v>-4.42</v>
      </c>
      <c r="M4284" s="30">
        <f>IFERROR(VLOOKUP($A4284,HeadJournal!$A$1:$J$890,COLUMN(HeadJournal!I$1),0)*($K4284+$L4284)/(SUMIF($A:$A,$A4284,$K:$K)+SUMIF($A:$A,$A4284,$L:$L)),0)</f>
        <v>-0.86242943651852644</v>
      </c>
      <c r="N4284" s="30">
        <f>IFERROR((VLOOKUP($A4284,HeadJournal!$A$1:$K$890,COLUMN(HeadJournal!K$1),0)-VLOOKUP($A4284,HeadJournal!$A$1:$K$890,COLUMN(HeadJournal!J$1),0))*($K4284+$L4284)/(SUMIF($A:$A,$A4284,$K:$K)+SUMIF($A:$A,$A4284,$L:$L)),0)</f>
        <v>3.0075728649026522E-15</v>
      </c>
      <c r="O4284" s="30">
        <f>IFERROR((VLOOKUP($A4284,HeadJournal!$A$1:$L$890,COLUMN(HeadJournal!L$1),0)*($K4284+$L4284)/(SUMIF($A:$A,$A4284,$K:$K)+SUMIF($A:$A,$A4284,$L:$L)))/VLOOKUP($A4284,HeadJournal!$A$1:$L$890,COLUMN(HeadJournal!H$1),0),0)</f>
        <v>0.52467487731942253</v>
      </c>
      <c r="P4284" s="30">
        <f>IFERROR(SUM(K4284:O4284)*VLOOKUP($A4284,HeadJournal!$A$1:$L$890,COLUMN(HeadJournal!H$1),0),0)</f>
        <v>1171.5601252181061</v>
      </c>
      <c r="Q4284" s="29">
        <v>1800</v>
      </c>
      <c r="R4284" s="31">
        <v>45771</v>
      </c>
      <c r="S4284" s="31" t="s">
        <v>3270</v>
      </c>
      <c r="T4284" s="95" t="str">
        <f t="shared" si="331"/>
        <v>2025 04</v>
      </c>
      <c r="U4284" s="32">
        <f t="shared" si="328"/>
        <v>628.43987478189388</v>
      </c>
      <c r="V4284" s="22">
        <f t="shared" si="329"/>
        <v>0.53641282359699549</v>
      </c>
      <c r="X4284" s="33"/>
      <c r="Y4284" s="33"/>
    </row>
    <row r="4285" spans="1:25" x14ac:dyDescent="0.2">
      <c r="A4285" s="93" t="s">
        <v>2849</v>
      </c>
      <c r="B4285" s="94" t="str">
        <f>IFERROR(VLOOKUP($A4285,HeadJournal!$A$1:$NTR$890,COLUMN(HeadJournal!B$1),0),"")</f>
        <v>722500364314</v>
      </c>
      <c r="C4285" s="94" t="str">
        <f>IFERROR(VLOOKUP($A4285,HeadJournal!$A$1:$NTR$890,COLUMN(HeadJournal!C$1),0),"")</f>
        <v>iHerb_AV CYG0792</v>
      </c>
      <c r="D4285" s="125" t="str">
        <f>IFERROR(VLOOKUP($A4285,HeadJournal!$A$1:$NTR$890,COLUMN(HeadJournal!D$1),0),"")</f>
        <v>Доставлен</v>
      </c>
      <c r="E4285" s="95">
        <f>IFERROR(VLOOKUP($A4285,HeadJournal!$A$1:$NTR$890,COLUMN(HeadJournal!G$1),0),"")</f>
        <v>45675</v>
      </c>
      <c r="F4285" s="95" t="str">
        <f t="shared" si="330"/>
        <v>2025 01</v>
      </c>
      <c r="G4285" s="97" t="s">
        <v>5</v>
      </c>
      <c r="H4285" s="161" t="s">
        <v>2843</v>
      </c>
      <c r="I4285" s="97" t="s">
        <v>2839</v>
      </c>
      <c r="J4285" s="97" t="s">
        <v>2844</v>
      </c>
      <c r="K4285" s="29">
        <v>18.2</v>
      </c>
      <c r="L4285" s="29">
        <v>0</v>
      </c>
      <c r="M4285" s="30">
        <f>IFERROR(VLOOKUP($A4285,HeadJournal!$A$1:$J$890,COLUMN(HeadJournal!I$1),0)*($K4285+$L4285)/(SUMIF($A:$A,$A4285,$K:$K)+SUMIF($A:$A,$A4285,$L:$L)),0)</f>
        <v>-1.5224263573847896</v>
      </c>
      <c r="N4285" s="30">
        <f>IFERROR((VLOOKUP($A4285,HeadJournal!$A$1:$K$890,COLUMN(HeadJournal!K$1),0)-VLOOKUP($A4285,HeadJournal!$A$1:$K$890,COLUMN(HeadJournal!J$1),0))*($K4285+$L4285)/(SUMIF($A:$A,$A4285,$K:$K)+SUMIF($A:$A,$A4285,$L:$L)),0)</f>
        <v>5.3091974918747106E-15</v>
      </c>
      <c r="O4285" s="30">
        <f>IFERROR((VLOOKUP($A4285,HeadJournal!$A$1:$L$890,COLUMN(HeadJournal!L$1),0)*($K4285+$L4285)/(SUMIF($A:$A,$A4285,$K:$K)+SUMIF($A:$A,$A4285,$L:$L)))/VLOOKUP($A4285,HeadJournal!$A$1:$L$890,COLUMN(HeadJournal!H$1),0),0)</f>
        <v>0.92619619468608039</v>
      </c>
      <c r="P4285" s="30">
        <f>IFERROR(SUM(K4285:O4285)*VLOOKUP($A4285,HeadJournal!$A$1:$L$890,COLUMN(HeadJournal!H$1),0),0)</f>
        <v>2068.127476136714</v>
      </c>
      <c r="Q4285" s="29">
        <v>2900</v>
      </c>
      <c r="R4285" s="31">
        <v>45714</v>
      </c>
      <c r="S4285" s="31" t="s">
        <v>3121</v>
      </c>
      <c r="T4285" s="95" t="str">
        <f t="shared" si="331"/>
        <v>2025 02</v>
      </c>
      <c r="U4285" s="32">
        <f t="shared" si="328"/>
        <v>831.87252386328601</v>
      </c>
      <c r="V4285" s="22">
        <f t="shared" si="329"/>
        <v>0.40223464629812544</v>
      </c>
      <c r="X4285" s="33"/>
      <c r="Y4285" s="33"/>
    </row>
    <row r="4286" spans="1:25" x14ac:dyDescent="0.2">
      <c r="A4286" s="93" t="s">
        <v>2849</v>
      </c>
      <c r="B4286" s="94" t="str">
        <f>IFERROR(VLOOKUP($A4286,HeadJournal!$A$1:$NTR$890,COLUMN(HeadJournal!B$1),0),"")</f>
        <v>722500364314</v>
      </c>
      <c r="C4286" s="94" t="str">
        <f>IFERROR(VLOOKUP($A4286,HeadJournal!$A$1:$NTR$890,COLUMN(HeadJournal!C$1),0),"")</f>
        <v>iHerb_AV CYG0792</v>
      </c>
      <c r="D4286" s="125" t="str">
        <f>IFERROR(VLOOKUP($A4286,HeadJournal!$A$1:$NTR$890,COLUMN(HeadJournal!D$1),0),"")</f>
        <v>Доставлен</v>
      </c>
      <c r="E4286" s="95">
        <f>IFERROR(VLOOKUP($A4286,HeadJournal!$A$1:$NTR$890,COLUMN(HeadJournal!G$1),0),"")</f>
        <v>45675</v>
      </c>
      <c r="F4286" s="95" t="str">
        <f t="shared" si="330"/>
        <v>2025 01</v>
      </c>
      <c r="G4286" s="97" t="s">
        <v>5</v>
      </c>
      <c r="H4286" s="161" t="s">
        <v>2845</v>
      </c>
      <c r="I4286" s="97" t="s">
        <v>2839</v>
      </c>
      <c r="J4286" s="97" t="s">
        <v>2846</v>
      </c>
      <c r="K4286" s="29">
        <v>23.48</v>
      </c>
      <c r="L4286" s="29">
        <v>0</v>
      </c>
      <c r="M4286" s="30">
        <f>IFERROR(VLOOKUP($A4286,HeadJournal!$A$1:$J$890,COLUMN(HeadJournal!I$1),0)*($K4286+$L4286)/(SUMIF($A:$A,$A4286,$K:$K)+SUMIF($A:$A,$A4286,$L:$L)),0)</f>
        <v>-1.9640973006260911</v>
      </c>
      <c r="N4286" s="30">
        <f>IFERROR((VLOOKUP($A4286,HeadJournal!$A$1:$K$890,COLUMN(HeadJournal!K$1),0)-VLOOKUP($A4286,HeadJournal!$A$1:$K$890,COLUMN(HeadJournal!J$1),0))*($K4286+$L4286)/(SUMIF($A:$A,$A4286,$K:$K)+SUMIF($A:$A,$A4286,$L:$L)),0)</f>
        <v>6.8494481928141868E-15</v>
      </c>
      <c r="O4286" s="30">
        <f>IFERROR((VLOOKUP($A4286,HeadJournal!$A$1:$L$890,COLUMN(HeadJournal!L$1),0)*($K4286+$L4286)/(SUMIF($A:$A,$A4286,$K:$K)+SUMIF($A:$A,$A4286,$L:$L)))/VLOOKUP($A4286,HeadJournal!$A$1:$L$890,COLUMN(HeadJournal!H$1),0),0)</f>
        <v>1.1948948709466578</v>
      </c>
      <c r="P4286" s="30">
        <f>IFERROR(SUM(K4286:O4286)*VLOOKUP($A4286,HeadJournal!$A$1:$L$890,COLUMN(HeadJournal!H$1),0),0)</f>
        <v>2668.1117109719812</v>
      </c>
      <c r="Q4286" s="29">
        <v>3100</v>
      </c>
      <c r="R4286" s="31">
        <v>45743</v>
      </c>
      <c r="S4286" s="31" t="s">
        <v>3121</v>
      </c>
      <c r="T4286" s="95" t="str">
        <f t="shared" si="331"/>
        <v>2025 03</v>
      </c>
      <c r="U4286" s="32">
        <f t="shared" si="328"/>
        <v>431.88828902801879</v>
      </c>
      <c r="V4286" s="22">
        <f t="shared" si="329"/>
        <v>0.16187039217735144</v>
      </c>
      <c r="X4286" s="33"/>
      <c r="Y4286" s="33"/>
    </row>
    <row r="4287" spans="1:25" x14ac:dyDescent="0.2">
      <c r="A4287" s="93" t="s">
        <v>2849</v>
      </c>
      <c r="B4287" s="94" t="str">
        <f>IFERROR(VLOOKUP($A4287,HeadJournal!$A$1:$NTR$890,COLUMN(HeadJournal!B$1),0),"")</f>
        <v>722500364314</v>
      </c>
      <c r="C4287" s="94" t="str">
        <f>IFERROR(VLOOKUP($A4287,HeadJournal!$A$1:$NTR$890,COLUMN(HeadJournal!C$1),0),"")</f>
        <v>iHerb_AV CYG0792</v>
      </c>
      <c r="D4287" s="125" t="str">
        <f>IFERROR(VLOOKUP($A4287,HeadJournal!$A$1:$NTR$890,COLUMN(HeadJournal!D$1),0),"")</f>
        <v>Доставлен</v>
      </c>
      <c r="E4287" s="95">
        <f>IFERROR(VLOOKUP($A4287,HeadJournal!$A$1:$NTR$890,COLUMN(HeadJournal!G$1),0),"")</f>
        <v>45675</v>
      </c>
      <c r="F4287" s="95" t="str">
        <f t="shared" si="330"/>
        <v>2025 01</v>
      </c>
      <c r="G4287" s="97" t="s">
        <v>5</v>
      </c>
      <c r="H4287" s="161" t="s">
        <v>2847</v>
      </c>
      <c r="I4287" s="97" t="s">
        <v>2839</v>
      </c>
      <c r="J4287" s="97" t="s">
        <v>2848</v>
      </c>
      <c r="K4287" s="29">
        <v>13.88</v>
      </c>
      <c r="L4287" s="29">
        <v>0</v>
      </c>
      <c r="M4287" s="30">
        <f>IFERROR(VLOOKUP($A4287,HeadJournal!$A$1:$J$890,COLUMN(HeadJournal!I$1),0)*($K4287+$L4287)/(SUMIF($A:$A,$A4287,$K:$K)+SUMIF($A:$A,$A4287,$L:$L)),0)</f>
        <v>-1.1610592220055429</v>
      </c>
      <c r="N4287" s="30">
        <f>IFERROR((VLOOKUP($A4287,HeadJournal!$A$1:$K$890,COLUMN(HeadJournal!K$1),0)-VLOOKUP($A4287,HeadJournal!$A$1:$K$890,COLUMN(HeadJournal!J$1),0))*($K4287+$L4287)/(SUMIF($A:$A,$A4287,$K:$K)+SUMIF($A:$A,$A4287,$L:$L)),0)</f>
        <v>4.04899237292423E-15</v>
      </c>
      <c r="O4287" s="30">
        <f>IFERROR((VLOOKUP($A4287,HeadJournal!$A$1:$L$890,COLUMN(HeadJournal!L$1),0)*($K4287+$L4287)/(SUMIF($A:$A,$A4287,$K:$K)+SUMIF($A:$A,$A4287,$L:$L)))/VLOOKUP($A4287,HeadJournal!$A$1:$L$890,COLUMN(HeadJournal!H$1),0),0)</f>
        <v>0.70635182320015377</v>
      </c>
      <c r="P4287" s="30">
        <f>IFERROR(SUM(K4287:O4287)*VLOOKUP($A4287,HeadJournal!$A$1:$L$890,COLUMN(HeadJournal!H$1),0),0)</f>
        <v>1577.231283998769</v>
      </c>
      <c r="Q4287" s="29"/>
      <c r="R4287" s="31"/>
      <c r="S4287" s="31"/>
      <c r="T4287" s="95" t="str">
        <f t="shared" si="331"/>
        <v/>
      </c>
      <c r="U4287" s="32">
        <f t="shared" si="328"/>
        <v>-1577.231283998769</v>
      </c>
      <c r="V4287" s="22" t="str">
        <f t="shared" si="329"/>
        <v/>
      </c>
      <c r="X4287" s="33"/>
      <c r="Y4287" s="33"/>
    </row>
    <row r="4288" spans="1:25" x14ac:dyDescent="0.2">
      <c r="A4288" s="93" t="s">
        <v>2861</v>
      </c>
      <c r="B4288" s="94" t="str">
        <f>IFERROR(VLOOKUP($A4288,HeadJournal!$A$1:$NTR$890,COLUMN(HeadJournal!B$1),0),"")</f>
        <v>720000534912</v>
      </c>
      <c r="C4288" s="94" t="str">
        <f>IFERROR(VLOOKUP($A4288,HeadJournal!$A$1:$NTR$890,COLUMN(HeadJournal!C$1),0),"")</f>
        <v>iHerb_VP DFD1605</v>
      </c>
      <c r="D4288" s="125" t="str">
        <f>IFERROR(VLOOKUP($A4288,HeadJournal!$A$1:$NTR$890,COLUMN(HeadJournal!D$1),0),"")</f>
        <v>Доставлен</v>
      </c>
      <c r="E4288" s="95">
        <f>IFERROR(VLOOKUP($A4288,HeadJournal!$A$1:$NTR$890,COLUMN(HeadJournal!G$1),0),"")</f>
        <v>45652</v>
      </c>
      <c r="F4288" s="95" t="str">
        <f t="shared" si="330"/>
        <v>2024 12</v>
      </c>
      <c r="G4288" s="97" t="s">
        <v>5</v>
      </c>
      <c r="H4288" s="161" t="s">
        <v>2851</v>
      </c>
      <c r="I4288" s="97" t="s">
        <v>2102</v>
      </c>
      <c r="J4288" s="97" t="s">
        <v>4165</v>
      </c>
      <c r="K4288" s="29">
        <v>6.39</v>
      </c>
      <c r="L4288" s="29">
        <v>-1.28</v>
      </c>
      <c r="M4288" s="30">
        <f>IFERROR(VLOOKUP($A4288,HeadJournal!$A$1:$J$890,COLUMN(HeadJournal!I$1),0)*($K4288+$L4288)/(SUMIF($A:$A,$A4288,$K:$K)+SUMIF($A:$A,$A4288,$L:$L)),0)</f>
        <v>-0.3879728078215704</v>
      </c>
      <c r="N4288" s="30">
        <f>IFERROR((VLOOKUP($A4288,HeadJournal!$A$1:$K$890,COLUMN(HeadJournal!K$1),0)-VLOOKUP($A4288,HeadJournal!$A$1:$K$890,COLUMN(HeadJournal!J$1),0))*($K4288+$L4288)/(SUMIF($A:$A,$A4288,$K:$K)+SUMIF($A:$A,$A4288,$L:$L)),0)</f>
        <v>7.3956072507060029E-16</v>
      </c>
      <c r="O4288" s="30">
        <f>IFERROR((VLOOKUP($A4288,HeadJournal!$A$1:$L$890,COLUMN(HeadJournal!L$1),0)*($K4288+$L4288)/(SUMIF($A:$A,$A4288,$K:$K)+SUMIF($A:$A,$A4288,$L:$L)))/VLOOKUP($A4288,HeadJournal!$A$1:$L$890,COLUMN(HeadJournal!H$1),0),0)</f>
        <v>0.18664799684224551</v>
      </c>
      <c r="P4288" s="30">
        <f>IFERROR(SUM(K4288:O4288)*VLOOKUP($A4288,HeadJournal!$A$1:$L$890,COLUMN(HeadJournal!H$1),0),0)</f>
        <v>572.68255898428231</v>
      </c>
      <c r="Q4288" s="29">
        <v>1200</v>
      </c>
      <c r="R4288" s="31">
        <v>45533</v>
      </c>
      <c r="S4288" s="31"/>
      <c r="T4288" s="95" t="str">
        <f t="shared" si="331"/>
        <v>2024 08</v>
      </c>
      <c r="U4288" s="32">
        <f t="shared" si="328"/>
        <v>627.31744101571769</v>
      </c>
      <c r="V4288" s="22">
        <f t="shared" si="329"/>
        <v>1.0954016866313103</v>
      </c>
      <c r="X4288" s="33"/>
      <c r="Y4288" s="33"/>
    </row>
    <row r="4289" spans="1:25" x14ac:dyDescent="0.2">
      <c r="A4289" s="93" t="s">
        <v>2861</v>
      </c>
      <c r="B4289" s="94" t="str">
        <f>IFERROR(VLOOKUP($A4289,HeadJournal!$A$1:$NTR$890,COLUMN(HeadJournal!B$1),0),"")</f>
        <v>720000534912</v>
      </c>
      <c r="C4289" s="94" t="str">
        <f>IFERROR(VLOOKUP($A4289,HeadJournal!$A$1:$NTR$890,COLUMN(HeadJournal!C$1),0),"")</f>
        <v>iHerb_VP DFD1605</v>
      </c>
      <c r="D4289" s="125" t="str">
        <f>IFERROR(VLOOKUP($A4289,HeadJournal!$A$1:$NTR$890,COLUMN(HeadJournal!D$1),0),"")</f>
        <v>Доставлен</v>
      </c>
      <c r="E4289" s="95">
        <f>IFERROR(VLOOKUP($A4289,HeadJournal!$A$1:$NTR$890,COLUMN(HeadJournal!G$1),0),"")</f>
        <v>45652</v>
      </c>
      <c r="F4289" s="95" t="str">
        <f t="shared" si="330"/>
        <v>2024 12</v>
      </c>
      <c r="G4289" s="97" t="s">
        <v>5</v>
      </c>
      <c r="H4289" s="161" t="s">
        <v>2217</v>
      </c>
      <c r="I4289" s="97" t="s">
        <v>2218</v>
      </c>
      <c r="J4289" s="97" t="s">
        <v>2219</v>
      </c>
      <c r="K4289" s="29">
        <v>28.34</v>
      </c>
      <c r="L4289" s="29">
        <v>-5.67</v>
      </c>
      <c r="M4289" s="30">
        <f>IFERROR(VLOOKUP($A4289,HeadJournal!$A$1:$J$890,COLUMN(HeadJournal!I$1),0)*($K4289+$L4289)/(SUMIF($A:$A,$A4289,$K:$K)+SUMIF($A:$A,$A4289,$L:$L)),0)</f>
        <v>-1.7212022609227011</v>
      </c>
      <c r="N4289" s="30">
        <f>IFERROR((VLOOKUP($A4289,HeadJournal!$A$1:$K$890,COLUMN(HeadJournal!K$1),0)-VLOOKUP($A4289,HeadJournal!$A$1:$K$890,COLUMN(HeadJournal!J$1),0))*($K4289+$L4289)/(SUMIF($A:$A,$A4289,$K:$K)+SUMIF($A:$A,$A4289,$L:$L)),0)</f>
        <v>3.2809866217907067E-15</v>
      </c>
      <c r="O4289" s="30">
        <f>IFERROR((VLOOKUP($A4289,HeadJournal!$A$1:$L$890,COLUMN(HeadJournal!L$1),0)*($K4289+$L4289)/(SUMIF($A:$A,$A4289,$K:$K)+SUMIF($A:$A,$A4289,$L:$L)))/VLOOKUP($A4289,HeadJournal!$A$1:$L$890,COLUMN(HeadJournal!H$1),0),0)</f>
        <v>0.82804502708683114</v>
      </c>
      <c r="P4289" s="30">
        <f>IFERROR(SUM(K4289:O4289)*VLOOKUP($A4289,HeadJournal!$A$1:$L$890,COLUMN(HeadJournal!H$1),0),0)</f>
        <v>2540.6484563940667</v>
      </c>
      <c r="Q4289" s="29">
        <v>3500</v>
      </c>
      <c r="R4289" s="31">
        <v>45703</v>
      </c>
      <c r="S4289" s="31" t="s">
        <v>3121</v>
      </c>
      <c r="T4289" s="95" t="str">
        <f t="shared" si="331"/>
        <v>2025 02</v>
      </c>
      <c r="U4289" s="32">
        <f t="shared" ref="U4289:U4352" si="332">Q4289-P4289</f>
        <v>959.35154360593333</v>
      </c>
      <c r="V4289" s="22">
        <f t="shared" ref="V4289:V4352" si="333">IF(Q4289&lt;&gt;0,IFERROR(U4289/P4289,""),"")</f>
        <v>0.3776010573960073</v>
      </c>
      <c r="X4289" s="33"/>
      <c r="Y4289" s="33"/>
    </row>
    <row r="4290" spans="1:25" x14ac:dyDescent="0.2">
      <c r="A4290" s="93" t="s">
        <v>2861</v>
      </c>
      <c r="B4290" s="94" t="str">
        <f>IFERROR(VLOOKUP($A4290,HeadJournal!$A$1:$NTR$890,COLUMN(HeadJournal!B$1),0),"")</f>
        <v>720000534912</v>
      </c>
      <c r="C4290" s="94" t="str">
        <f>IFERROR(VLOOKUP($A4290,HeadJournal!$A$1:$NTR$890,COLUMN(HeadJournal!C$1),0),"")</f>
        <v>iHerb_VP DFD1605</v>
      </c>
      <c r="D4290" s="125" t="str">
        <f>IFERROR(VLOOKUP($A4290,HeadJournal!$A$1:$NTR$890,COLUMN(HeadJournal!D$1),0),"")</f>
        <v>Доставлен</v>
      </c>
      <c r="E4290" s="95">
        <f>IFERROR(VLOOKUP($A4290,HeadJournal!$A$1:$NTR$890,COLUMN(HeadJournal!G$1),0),"")</f>
        <v>45652</v>
      </c>
      <c r="F4290" s="95" t="str">
        <f t="shared" si="330"/>
        <v>2024 12</v>
      </c>
      <c r="G4290" s="97" t="s">
        <v>5</v>
      </c>
      <c r="H4290" s="161" t="s">
        <v>2158</v>
      </c>
      <c r="I4290" s="97" t="s">
        <v>2159</v>
      </c>
      <c r="J4290" s="97" t="s">
        <v>2852</v>
      </c>
      <c r="K4290" s="29">
        <v>21.34</v>
      </c>
      <c r="L4290" s="29">
        <v>-4.2699999999999996</v>
      </c>
      <c r="M4290" s="30">
        <f>IFERROR(VLOOKUP($A4290,HeadJournal!$A$1:$J$890,COLUMN(HeadJournal!I$1),0)*($K4290+$L4290)/(SUMIF($A:$A,$A4290,$K:$K)+SUMIF($A:$A,$A4290,$L:$L)),0)</f>
        <v>-1.2960265811182403</v>
      </c>
      <c r="N4290" s="30">
        <f>IFERROR((VLOOKUP($A4290,HeadJournal!$A$1:$K$890,COLUMN(HeadJournal!K$1),0)-VLOOKUP($A4290,HeadJournal!$A$1:$K$890,COLUMN(HeadJournal!J$1),0))*($K4290+$L4290)/(SUMIF($A:$A,$A4290,$K:$K)+SUMIF($A:$A,$A4290,$L:$L)),0)</f>
        <v>2.4705091148640214E-15</v>
      </c>
      <c r="O4290" s="30">
        <f>IFERROR((VLOOKUP($A4290,HeadJournal!$A$1:$L$890,COLUMN(HeadJournal!L$1),0)*($K4290+$L4290)/(SUMIF($A:$A,$A4290,$K:$K)+SUMIF($A:$A,$A4290,$L:$L)))/VLOOKUP($A4290,HeadJournal!$A$1:$L$890,COLUMN(HeadJournal!H$1),0),0)</f>
        <v>0.62349927712272635</v>
      </c>
      <c r="P4290" s="30">
        <f>IFERROR(SUM(K4290:O4290)*VLOOKUP($A4290,HeadJournal!$A$1:$L$890,COLUMN(HeadJournal!H$1),0),0)</f>
        <v>1913.0511314797845</v>
      </c>
      <c r="Q4290" s="29">
        <v>2700</v>
      </c>
      <c r="R4290" s="31">
        <v>45724</v>
      </c>
      <c r="S4290" s="31" t="s">
        <v>3121</v>
      </c>
      <c r="T4290" s="95" t="str">
        <f t="shared" si="331"/>
        <v>2025 03</v>
      </c>
      <c r="U4290" s="32">
        <f t="shared" si="332"/>
        <v>786.94886852021546</v>
      </c>
      <c r="V4290" s="22">
        <f t="shared" si="333"/>
        <v>0.41135799016072</v>
      </c>
      <c r="X4290" s="33"/>
      <c r="Y4290" s="33"/>
    </row>
    <row r="4291" spans="1:25" x14ac:dyDescent="0.2">
      <c r="A4291" s="93" t="s">
        <v>2861</v>
      </c>
      <c r="B4291" s="94" t="str">
        <f>IFERROR(VLOOKUP($A4291,HeadJournal!$A$1:$NTR$890,COLUMN(HeadJournal!B$1),0),"")</f>
        <v>720000534912</v>
      </c>
      <c r="C4291" s="94" t="str">
        <f>IFERROR(VLOOKUP($A4291,HeadJournal!$A$1:$NTR$890,COLUMN(HeadJournal!C$1),0),"")</f>
        <v>iHerb_VP DFD1605</v>
      </c>
      <c r="D4291" s="125" t="str">
        <f>IFERROR(VLOOKUP($A4291,HeadJournal!$A$1:$NTR$890,COLUMN(HeadJournal!D$1),0),"")</f>
        <v>Доставлен</v>
      </c>
      <c r="E4291" s="95">
        <f>IFERROR(VLOOKUP($A4291,HeadJournal!$A$1:$NTR$890,COLUMN(HeadJournal!G$1),0),"")</f>
        <v>45652</v>
      </c>
      <c r="F4291" s="95" t="str">
        <f t="shared" si="330"/>
        <v>2024 12</v>
      </c>
      <c r="G4291" s="97" t="s">
        <v>5</v>
      </c>
      <c r="H4291" s="161" t="s">
        <v>2665</v>
      </c>
      <c r="I4291" s="97" t="s">
        <v>2666</v>
      </c>
      <c r="J4291" s="97" t="s">
        <v>3930</v>
      </c>
      <c r="K4291" s="29">
        <v>10.8</v>
      </c>
      <c r="L4291" s="29">
        <v>-2.16</v>
      </c>
      <c r="M4291" s="30">
        <f>IFERROR(VLOOKUP($A4291,HeadJournal!$A$1:$J$890,COLUMN(HeadJournal!I$1),0)*($K4291+$L4291)/(SUMIF($A:$A,$A4291,$K:$K)+SUMIF($A:$A,$A4291,$L:$L)),0)</f>
        <v>-0.65598533455545394</v>
      </c>
      <c r="N4291" s="30">
        <f>IFERROR((VLOOKUP($A4291,HeadJournal!$A$1:$K$890,COLUMN(HeadJournal!K$1),0)-VLOOKUP($A4291,HeadJournal!$A$1:$K$890,COLUMN(HeadJournal!J$1),0))*($K4291+$L4291)/(SUMIF($A:$A,$A4291,$K:$K)+SUMIF($A:$A,$A4291,$L:$L)),0)</f>
        <v>1.2504510106868861E-15</v>
      </c>
      <c r="O4291" s="30">
        <f>IFERROR((VLOOKUP($A4291,HeadJournal!$A$1:$L$890,COLUMN(HeadJournal!L$1),0)*($K4291+$L4291)/(SUMIF($A:$A,$A4291,$K:$K)+SUMIF($A:$A,$A4291,$L:$L)))/VLOOKUP($A4291,HeadJournal!$A$1:$L$890,COLUMN(HeadJournal!H$1),0),0)</f>
        <v>0.31558487137319019</v>
      </c>
      <c r="P4291" s="30">
        <f>IFERROR(SUM(K4291:O4291)*VLOOKUP($A4291,HeadJournal!$A$1:$L$890,COLUMN(HeadJournal!H$1),0),0)</f>
        <v>968.29301558203508</v>
      </c>
      <c r="Q4291" s="29">
        <v>1700</v>
      </c>
      <c r="R4291" s="31">
        <v>45682</v>
      </c>
      <c r="S4291" s="31" t="s">
        <v>3121</v>
      </c>
      <c r="T4291" s="95" t="str">
        <f t="shared" si="331"/>
        <v>2025 01</v>
      </c>
      <c r="U4291" s="32">
        <f t="shared" si="332"/>
        <v>731.70698441796492</v>
      </c>
      <c r="V4291" s="22">
        <f t="shared" si="333"/>
        <v>0.75566690314102936</v>
      </c>
      <c r="X4291" s="33"/>
      <c r="Y4291" s="33"/>
    </row>
    <row r="4292" spans="1:25" x14ac:dyDescent="0.2">
      <c r="A4292" s="93" t="s">
        <v>2861</v>
      </c>
      <c r="B4292" s="94" t="str">
        <f>IFERROR(VLOOKUP($A4292,HeadJournal!$A$1:$NTR$890,COLUMN(HeadJournal!B$1),0),"")</f>
        <v>720000534912</v>
      </c>
      <c r="C4292" s="94" t="str">
        <f>IFERROR(VLOOKUP($A4292,HeadJournal!$A$1:$NTR$890,COLUMN(HeadJournal!C$1),0),"")</f>
        <v>iHerb_VP DFD1605</v>
      </c>
      <c r="D4292" s="125" t="str">
        <f>IFERROR(VLOOKUP($A4292,HeadJournal!$A$1:$NTR$890,COLUMN(HeadJournal!D$1),0),"")</f>
        <v>Доставлен</v>
      </c>
      <c r="E4292" s="95">
        <f>IFERROR(VLOOKUP($A4292,HeadJournal!$A$1:$NTR$890,COLUMN(HeadJournal!G$1),0),"")</f>
        <v>45652</v>
      </c>
      <c r="F4292" s="95" t="str">
        <f t="shared" ref="F4292:F4355" si="334">IFERROR(TEXT(E4292, "ГГГГ ММ"),"")</f>
        <v>2024 12</v>
      </c>
      <c r="G4292" s="97" t="s">
        <v>5</v>
      </c>
      <c r="H4292" s="161" t="s">
        <v>2162</v>
      </c>
      <c r="I4292" s="97" t="s">
        <v>2163</v>
      </c>
      <c r="J4292" s="97" t="s">
        <v>2164</v>
      </c>
      <c r="K4292" s="29">
        <v>19.21</v>
      </c>
      <c r="L4292" s="29">
        <v>-3.84</v>
      </c>
      <c r="M4292" s="30">
        <f>IFERROR(VLOOKUP($A4292,HeadJournal!$A$1:$J$890,COLUMN(HeadJournal!I$1),0)*($K4292+$L4292)/(SUMIF($A:$A,$A4292,$K:$K)+SUMIF($A:$A,$A4292,$L:$L)),0)</f>
        <v>-1.166955392606172</v>
      </c>
      <c r="N4292" s="30">
        <f>IFERROR((VLOOKUP($A4292,HeadJournal!$A$1:$K$890,COLUMN(HeadJournal!K$1),0)-VLOOKUP($A4292,HeadJournal!$A$1:$K$890,COLUMN(HeadJournal!J$1),0))*($K4292+$L4292)/(SUMIF($A:$A,$A4292,$K:$K)+SUMIF($A:$A,$A4292,$L:$L)),0)</f>
        <v>2.2244713002612776E-15</v>
      </c>
      <c r="O4292" s="30">
        <f>IFERROR((VLOOKUP($A4292,HeadJournal!$A$1:$L$890,COLUMN(HeadJournal!L$1),0)*($K4292+$L4292)/(SUMIF($A:$A,$A4292,$K:$K)+SUMIF($A:$A,$A4292,$L:$L)))/VLOOKUP($A4292,HeadJournal!$A$1:$L$890,COLUMN(HeadJournal!H$1),0),0)</f>
        <v>0.56140503159790889</v>
      </c>
      <c r="P4292" s="30">
        <f>IFERROR(SUM(K4292:O4292)*VLOOKUP($A4292,HeadJournal!$A$1:$L$890,COLUMN(HeadJournal!H$1),0),0)</f>
        <v>1722.5305149879491</v>
      </c>
      <c r="Q4292" s="29">
        <v>2700</v>
      </c>
      <c r="R4292" s="31">
        <v>45682</v>
      </c>
      <c r="S4292" s="31" t="s">
        <v>3121</v>
      </c>
      <c r="T4292" s="95" t="str">
        <f t="shared" ref="T4292:T4355" si="335">IF(R4292="","",TEXT(R4292,"ГГГГ ММ"))</f>
        <v>2025 01</v>
      </c>
      <c r="U4292" s="32">
        <f t="shared" si="332"/>
        <v>977.46948501205088</v>
      </c>
      <c r="V4292" s="22">
        <f t="shared" si="333"/>
        <v>0.56746134626177536</v>
      </c>
      <c r="X4292" s="33"/>
      <c r="Y4292" s="33"/>
    </row>
    <row r="4293" spans="1:25" x14ac:dyDescent="0.2">
      <c r="A4293" s="93" t="s">
        <v>2861</v>
      </c>
      <c r="B4293" s="94" t="str">
        <f>IFERROR(VLOOKUP($A4293,HeadJournal!$A$1:$NTR$890,COLUMN(HeadJournal!B$1),0),"")</f>
        <v>720000534912</v>
      </c>
      <c r="C4293" s="94" t="str">
        <f>IFERROR(VLOOKUP($A4293,HeadJournal!$A$1:$NTR$890,COLUMN(HeadJournal!C$1),0),"")</f>
        <v>iHerb_VP DFD1605</v>
      </c>
      <c r="D4293" s="125" t="str">
        <f>IFERROR(VLOOKUP($A4293,HeadJournal!$A$1:$NTR$890,COLUMN(HeadJournal!D$1),0),"")</f>
        <v>Доставлен</v>
      </c>
      <c r="E4293" s="95">
        <f>IFERROR(VLOOKUP($A4293,HeadJournal!$A$1:$NTR$890,COLUMN(HeadJournal!G$1),0),"")</f>
        <v>45652</v>
      </c>
      <c r="F4293" s="95" t="str">
        <f t="shared" si="334"/>
        <v>2024 12</v>
      </c>
      <c r="G4293" s="97" t="s">
        <v>5</v>
      </c>
      <c r="H4293" s="161" t="s">
        <v>2853</v>
      </c>
      <c r="I4293" s="97" t="s">
        <v>2159</v>
      </c>
      <c r="J4293" s="97" t="s">
        <v>2854</v>
      </c>
      <c r="K4293" s="29">
        <v>58.14</v>
      </c>
      <c r="L4293" s="29">
        <v>-11.63</v>
      </c>
      <c r="M4293" s="30">
        <f>IFERROR(VLOOKUP($A4293,HeadJournal!$A$1:$J$890,COLUMN(HeadJournal!I$1),0)*($K4293+$L4293)/(SUMIF($A:$A,$A4293,$K:$K)+SUMIF($A:$A,$A4293,$L:$L)),0)</f>
        <v>-3.5312358692331203</v>
      </c>
      <c r="N4293" s="30">
        <f>IFERROR((VLOOKUP($A4293,HeadJournal!$A$1:$K$890,COLUMN(HeadJournal!K$1),0)-VLOOKUP($A4293,HeadJournal!$A$1:$K$890,COLUMN(HeadJournal!J$1),0))*($K4293+$L4293)/(SUMIF($A:$A,$A4293,$K:$K)+SUMIF($A:$A,$A4293,$L:$L)),0)</f>
        <v>6.7313051512785954E-15</v>
      </c>
      <c r="O4293" s="30">
        <f>IFERROR((VLOOKUP($A4293,HeadJournal!$A$1:$L$890,COLUMN(HeadJournal!L$1),0)*($K4293+$L4293)/(SUMIF($A:$A,$A4293,$K:$K)+SUMIF($A:$A,$A4293,$L:$L)))/VLOOKUP($A4293,HeadJournal!$A$1:$L$890,COLUMN(HeadJournal!H$1),0),0)</f>
        <v>1.6988255055054482</v>
      </c>
      <c r="P4293" s="30">
        <f>IFERROR(SUM(K4293:O4293)*VLOOKUP($A4293,HeadJournal!$A$1:$L$890,COLUMN(HeadJournal!H$1),0),0)</f>
        <v>5212.4199253148663</v>
      </c>
      <c r="Q4293" s="29"/>
      <c r="R4293" s="31"/>
      <c r="S4293" s="31"/>
      <c r="T4293" s="95" t="str">
        <f t="shared" si="335"/>
        <v/>
      </c>
      <c r="U4293" s="32">
        <f t="shared" si="332"/>
        <v>-5212.4199253148663</v>
      </c>
      <c r="V4293" s="22" t="str">
        <f t="shared" si="333"/>
        <v/>
      </c>
      <c r="X4293" s="33"/>
      <c r="Y4293" s="33"/>
    </row>
    <row r="4294" spans="1:25" x14ac:dyDescent="0.2">
      <c r="A4294" s="93" t="s">
        <v>2861</v>
      </c>
      <c r="B4294" s="94" t="str">
        <f>IFERROR(VLOOKUP($A4294,HeadJournal!$A$1:$NTR$890,COLUMN(HeadJournal!B$1),0),"")</f>
        <v>720000534912</v>
      </c>
      <c r="C4294" s="94" t="str">
        <f>IFERROR(VLOOKUP($A4294,HeadJournal!$A$1:$NTR$890,COLUMN(HeadJournal!C$1),0),"")</f>
        <v>iHerb_VP DFD1605</v>
      </c>
      <c r="D4294" s="125" t="str">
        <f>IFERROR(VLOOKUP($A4294,HeadJournal!$A$1:$NTR$890,COLUMN(HeadJournal!D$1),0),"")</f>
        <v>Доставлен</v>
      </c>
      <c r="E4294" s="95">
        <f>IFERROR(VLOOKUP($A4294,HeadJournal!$A$1:$NTR$890,COLUMN(HeadJournal!G$1),0),"")</f>
        <v>45652</v>
      </c>
      <c r="F4294" s="95" t="str">
        <f t="shared" si="334"/>
        <v>2024 12</v>
      </c>
      <c r="G4294" s="97" t="s">
        <v>5</v>
      </c>
      <c r="H4294" s="161" t="s">
        <v>2101</v>
      </c>
      <c r="I4294" s="97" t="s">
        <v>2102</v>
      </c>
      <c r="J4294" s="97" t="s">
        <v>4015</v>
      </c>
      <c r="K4294" s="29">
        <v>47.82</v>
      </c>
      <c r="L4294" s="29">
        <v>-9.56</v>
      </c>
      <c r="M4294" s="30">
        <f>IFERROR(VLOOKUP($A4294,HeadJournal!$A$1:$J$890,COLUMN(HeadJournal!I$1),0)*($K4294+$L4294)/(SUMIF($A:$A,$A4294,$K:$K)+SUMIF($A:$A,$A4294,$L:$L)),0)</f>
        <v>-2.9048609838069055</v>
      </c>
      <c r="N4294" s="30">
        <f>IFERROR((VLOOKUP($A4294,HeadJournal!$A$1:$K$890,COLUMN(HeadJournal!K$1),0)-VLOOKUP($A4294,HeadJournal!$A$1:$K$890,COLUMN(HeadJournal!J$1),0))*($K4294+$L4294)/(SUMIF($A:$A,$A4294,$K:$K)+SUMIF($A:$A,$A4294,$L:$L)),0)</f>
        <v>5.5372981098241036E-15</v>
      </c>
      <c r="O4294" s="30">
        <f>IFERROR((VLOOKUP($A4294,HeadJournal!$A$1:$L$890,COLUMN(HeadJournal!L$1),0)*($K4294+$L4294)/(SUMIF($A:$A,$A4294,$K:$K)+SUMIF($A:$A,$A4294,$L:$L)))/VLOOKUP($A4294,HeadJournal!$A$1:$L$890,COLUMN(HeadJournal!H$1),0),0)</f>
        <v>1.397485784576187</v>
      </c>
      <c r="P4294" s="30">
        <f>IFERROR(SUM(K4294:O4294)*VLOOKUP($A4294,HeadJournal!$A$1:$L$890,COLUMN(HeadJournal!H$1),0),0)</f>
        <v>4287.8345805750769</v>
      </c>
      <c r="Q4294" s="29">
        <v>5800</v>
      </c>
      <c r="R4294" s="31">
        <v>45685</v>
      </c>
      <c r="S4294" s="31" t="s">
        <v>3121</v>
      </c>
      <c r="T4294" s="95" t="str">
        <f t="shared" si="335"/>
        <v>2025 01</v>
      </c>
      <c r="U4294" s="32">
        <f t="shared" si="332"/>
        <v>1512.1654194249231</v>
      </c>
      <c r="V4294" s="22">
        <f t="shared" si="333"/>
        <v>0.35266412241633494</v>
      </c>
      <c r="X4294" s="33"/>
      <c r="Y4294" s="33"/>
    </row>
    <row r="4295" spans="1:25" x14ac:dyDescent="0.2">
      <c r="A4295" s="93" t="s">
        <v>2861</v>
      </c>
      <c r="B4295" s="94" t="str">
        <f>IFERROR(VLOOKUP($A4295,HeadJournal!$A$1:$NTR$890,COLUMN(HeadJournal!B$1),0),"")</f>
        <v>720000534912</v>
      </c>
      <c r="C4295" s="94" t="str">
        <f>IFERROR(VLOOKUP($A4295,HeadJournal!$A$1:$NTR$890,COLUMN(HeadJournal!C$1),0),"")</f>
        <v>iHerb_VP DFD1605</v>
      </c>
      <c r="D4295" s="125" t="str">
        <f>IFERROR(VLOOKUP($A4295,HeadJournal!$A$1:$NTR$890,COLUMN(HeadJournal!D$1),0),"")</f>
        <v>Доставлен</v>
      </c>
      <c r="E4295" s="95">
        <f>IFERROR(VLOOKUP($A4295,HeadJournal!$A$1:$NTR$890,COLUMN(HeadJournal!G$1),0),"")</f>
        <v>45652</v>
      </c>
      <c r="F4295" s="95" t="str">
        <f t="shared" si="334"/>
        <v>2024 12</v>
      </c>
      <c r="G4295" s="97" t="s">
        <v>5</v>
      </c>
      <c r="H4295" s="161" t="s">
        <v>2855</v>
      </c>
      <c r="I4295" s="97" t="s">
        <v>2856</v>
      </c>
      <c r="J4295" s="97" t="s">
        <v>2857</v>
      </c>
      <c r="K4295" s="29">
        <v>25.06</v>
      </c>
      <c r="L4295" s="29">
        <v>-5.01</v>
      </c>
      <c r="M4295" s="30">
        <f>IFERROR(VLOOKUP($A4295,HeadJournal!$A$1:$J$890,COLUMN(HeadJournal!I$1),0)*($K4295+$L4295)/(SUMIF($A:$A,$A4295,$K:$K)+SUMIF($A:$A,$A4295,$L:$L)),0)</f>
        <v>-1.5222807821570425</v>
      </c>
      <c r="N4295" s="30">
        <f>IFERROR((VLOOKUP($A4295,HeadJournal!$A$1:$K$890,COLUMN(HeadJournal!K$1),0)-VLOOKUP($A4295,HeadJournal!$A$1:$K$890,COLUMN(HeadJournal!J$1),0))*($K4295+$L4295)/(SUMIF($A:$A,$A4295,$K:$K)+SUMIF($A:$A,$A4295,$L:$L)),0)</f>
        <v>2.9017989310500071E-15</v>
      </c>
      <c r="O4295" s="30">
        <f>IFERROR((VLOOKUP($A4295,HeadJournal!$A$1:$L$890,COLUMN(HeadJournal!L$1),0)*($K4295+$L4295)/(SUMIF($A:$A,$A4295,$K:$K)+SUMIF($A:$A,$A4295,$L:$L)))/VLOOKUP($A4295,HeadJournal!$A$1:$L$890,COLUMN(HeadJournal!H$1),0),0)</f>
        <v>0.73234683692505353</v>
      </c>
      <c r="P4295" s="30">
        <f>IFERROR(SUM(K4295:O4295)*VLOOKUP($A4295,HeadJournal!$A$1:$L$890,COLUMN(HeadJournal!H$1),0),0)</f>
        <v>2247.0225650948842</v>
      </c>
      <c r="Q4295" s="29">
        <v>3400</v>
      </c>
      <c r="R4295" s="31">
        <v>45710</v>
      </c>
      <c r="S4295" s="31" t="s">
        <v>3121</v>
      </c>
      <c r="T4295" s="95" t="str">
        <f t="shared" si="335"/>
        <v>2025 02</v>
      </c>
      <c r="U4295" s="32">
        <f t="shared" si="332"/>
        <v>1152.9774349051158</v>
      </c>
      <c r="V4295" s="22">
        <f t="shared" si="333"/>
        <v>0.51311342076194477</v>
      </c>
      <c r="X4295" s="33"/>
      <c r="Y4295" s="33"/>
    </row>
    <row r="4296" spans="1:25" x14ac:dyDescent="0.2">
      <c r="A4296" s="93" t="s">
        <v>2861</v>
      </c>
      <c r="B4296" s="94" t="str">
        <f>IFERROR(VLOOKUP($A4296,HeadJournal!$A$1:$NTR$890,COLUMN(HeadJournal!B$1),0),"")</f>
        <v>720000534912</v>
      </c>
      <c r="C4296" s="94" t="str">
        <f>IFERROR(VLOOKUP($A4296,HeadJournal!$A$1:$NTR$890,COLUMN(HeadJournal!C$1),0),"")</f>
        <v>iHerb_VP DFD1605</v>
      </c>
      <c r="D4296" s="125" t="str">
        <f>IFERROR(VLOOKUP($A4296,HeadJournal!$A$1:$NTR$890,COLUMN(HeadJournal!D$1),0),"")</f>
        <v>Доставлен</v>
      </c>
      <c r="E4296" s="95">
        <f>IFERROR(VLOOKUP($A4296,HeadJournal!$A$1:$NTR$890,COLUMN(HeadJournal!G$1),0),"")</f>
        <v>45652</v>
      </c>
      <c r="F4296" s="95" t="str">
        <f t="shared" si="334"/>
        <v>2024 12</v>
      </c>
      <c r="G4296" s="97" t="s">
        <v>5</v>
      </c>
      <c r="H4296" s="161" t="s">
        <v>2858</v>
      </c>
      <c r="I4296" s="97" t="s">
        <v>2859</v>
      </c>
      <c r="J4296" s="97" t="s">
        <v>2860</v>
      </c>
      <c r="K4296" s="29">
        <v>28.37</v>
      </c>
      <c r="L4296" s="29">
        <v>-5.67</v>
      </c>
      <c r="M4296" s="30">
        <f>IFERROR(VLOOKUP($A4296,HeadJournal!$A$1:$J$890,COLUMN(HeadJournal!I$1),0)*($K4296+$L4296)/(SUMIF($A:$A,$A4296,$K:$K)+SUMIF($A:$A,$A4296,$L:$L)),0)</f>
        <v>-1.7234799877787967</v>
      </c>
      <c r="N4296" s="30">
        <f>IFERROR((VLOOKUP($A4296,HeadJournal!$A$1:$K$890,COLUMN(HeadJournal!K$1),0)-VLOOKUP($A4296,HeadJournal!$A$1:$K$890,COLUMN(HeadJournal!J$1),0))*($K4296+$L4296)/(SUMIF($A:$A,$A4296,$K:$K)+SUMIF($A:$A,$A4296,$L:$L)),0)</f>
        <v>3.2853284655778141E-15</v>
      </c>
      <c r="O4296" s="30">
        <f>IFERROR((VLOOKUP($A4296,HeadJournal!$A$1:$L$890,COLUMN(HeadJournal!L$1),0)*($K4296+$L4296)/(SUMIF($A:$A,$A4296,$K:$K)+SUMIF($A:$A,$A4296,$L:$L)))/VLOOKUP($A4296,HeadJournal!$A$1:$L$890,COLUMN(HeadJournal!H$1),0),0)</f>
        <v>0.82914080789021039</v>
      </c>
      <c r="P4296" s="30">
        <f>IFERROR(SUM(K4296:O4296)*VLOOKUP($A4296,HeadJournal!$A$1:$L$890,COLUMN(HeadJournal!H$1),0),0)</f>
        <v>2544.0105849203933</v>
      </c>
      <c r="Q4296" s="29">
        <v>3200</v>
      </c>
      <c r="R4296" s="31">
        <v>46092</v>
      </c>
      <c r="S4296" s="31"/>
      <c r="T4296" s="95" t="str">
        <f t="shared" si="335"/>
        <v>2026 03</v>
      </c>
      <c r="U4296" s="32">
        <f t="shared" si="332"/>
        <v>655.98941507960672</v>
      </c>
      <c r="V4296" s="22">
        <f t="shared" si="333"/>
        <v>0.25785640160775269</v>
      </c>
      <c r="X4296" s="33"/>
      <c r="Y4296" s="33"/>
    </row>
    <row r="4297" spans="1:25" x14ac:dyDescent="0.2">
      <c r="A4297" s="93" t="s">
        <v>2872</v>
      </c>
      <c r="B4297" s="94" t="str">
        <f>IFERROR(VLOOKUP($A4297,HeadJournal!$A$1:$NTR$890,COLUMN(HeadJournal!B$1),0),"")</f>
        <v>720000541466</v>
      </c>
      <c r="C4297" s="94" t="str">
        <f>IFERROR(VLOOKUP($A4297,HeadJournal!$A$1:$NTR$890,COLUMN(HeadJournal!C$1),0),"")</f>
        <v>iHerb_VP DFD1605</v>
      </c>
      <c r="D4297" s="125" t="str">
        <f>IFERROR(VLOOKUP($A4297,HeadJournal!$A$1:$NTR$890,COLUMN(HeadJournal!D$1),0),"")</f>
        <v>Доставлен</v>
      </c>
      <c r="E4297" s="95">
        <f>IFERROR(VLOOKUP($A4297,HeadJournal!$A$1:$NTR$890,COLUMN(HeadJournal!G$1),0),"")</f>
        <v>45662</v>
      </c>
      <c r="F4297" s="95" t="str">
        <f t="shared" si="334"/>
        <v>2025 01</v>
      </c>
      <c r="G4297" s="97" t="s">
        <v>5</v>
      </c>
      <c r="H4297" s="161" t="s">
        <v>2617</v>
      </c>
      <c r="I4297" s="97" t="s">
        <v>2618</v>
      </c>
      <c r="J4297" s="97" t="s">
        <v>2619</v>
      </c>
      <c r="K4297" s="29">
        <v>13.91</v>
      </c>
      <c r="L4297" s="29">
        <v>-2.78</v>
      </c>
      <c r="M4297" s="30">
        <f>IFERROR(VLOOKUP($A4297,HeadJournal!$A$1:$J$890,COLUMN(HeadJournal!I$1),0)*($K4297+$L4297)/(SUMIF($A:$A,$A4297,$K:$K)+SUMIF($A:$A,$A4297,$L:$L)),0)</f>
        <v>0</v>
      </c>
      <c r="N4297" s="30">
        <f>IFERROR((VLOOKUP($A4297,HeadJournal!$A$1:$K$890,COLUMN(HeadJournal!K$1),0)-VLOOKUP($A4297,HeadJournal!$A$1:$K$890,COLUMN(HeadJournal!J$1),0))*($K4297+$L4297)/(SUMIF($A:$A,$A4297,$K:$K)+SUMIF($A:$A,$A4297,$L:$L)),0)</f>
        <v>1.6291580880692006E-15</v>
      </c>
      <c r="O4297" s="30">
        <f>IFERROR((VLOOKUP($A4297,HeadJournal!$A$1:$L$890,COLUMN(HeadJournal!L$1),0)*($K4297+$L4297)/(SUMIF($A:$A,$A4297,$K:$K)+SUMIF($A:$A,$A4297,$L:$L)))/VLOOKUP($A4297,HeadJournal!$A$1:$L$890,COLUMN(HeadJournal!H$1),0),0)</f>
        <v>0.41065645539442319</v>
      </c>
      <c r="P4297" s="30">
        <f>IFERROR(SUM(K4297:O4297)*VLOOKUP($A4297,HeadJournal!$A$1:$L$890,COLUMN(HeadJournal!H$1),0),0)</f>
        <v>1443.977016016893</v>
      </c>
      <c r="Q4297" s="29">
        <v>2500</v>
      </c>
      <c r="R4297" s="31">
        <v>45696</v>
      </c>
      <c r="S4297" s="31" t="s">
        <v>3121</v>
      </c>
      <c r="T4297" s="95" t="str">
        <f t="shared" si="335"/>
        <v>2025 02</v>
      </c>
      <c r="U4297" s="32">
        <f t="shared" si="332"/>
        <v>1056.022983983107</v>
      </c>
      <c r="V4297" s="22">
        <f t="shared" si="333"/>
        <v>0.7313294964320628</v>
      </c>
      <c r="X4297" s="33"/>
      <c r="Y4297" s="33"/>
    </row>
    <row r="4298" spans="1:25" x14ac:dyDescent="0.2">
      <c r="A4298" s="93" t="s">
        <v>2872</v>
      </c>
      <c r="B4298" s="94" t="str">
        <f>IFERROR(VLOOKUP($A4298,HeadJournal!$A$1:$NTR$890,COLUMN(HeadJournal!B$1),0),"")</f>
        <v>720000541466</v>
      </c>
      <c r="C4298" s="94" t="str">
        <f>IFERROR(VLOOKUP($A4298,HeadJournal!$A$1:$NTR$890,COLUMN(HeadJournal!C$1),0),"")</f>
        <v>iHerb_VP DFD1605</v>
      </c>
      <c r="D4298" s="125" t="str">
        <f>IFERROR(VLOOKUP($A4298,HeadJournal!$A$1:$NTR$890,COLUMN(HeadJournal!D$1),0),"")</f>
        <v>Доставлен</v>
      </c>
      <c r="E4298" s="95">
        <f>IFERROR(VLOOKUP($A4298,HeadJournal!$A$1:$NTR$890,COLUMN(HeadJournal!G$1),0),"")</f>
        <v>45662</v>
      </c>
      <c r="F4298" s="95" t="str">
        <f t="shared" si="334"/>
        <v>2025 01</v>
      </c>
      <c r="G4298" s="97" t="s">
        <v>5</v>
      </c>
      <c r="H4298" s="161" t="s">
        <v>2617</v>
      </c>
      <c r="I4298" s="97" t="s">
        <v>2618</v>
      </c>
      <c r="J4298" s="97" t="s">
        <v>2619</v>
      </c>
      <c r="K4298" s="29">
        <v>13.91</v>
      </c>
      <c r="L4298" s="29">
        <v>-2.78</v>
      </c>
      <c r="M4298" s="30">
        <f>IFERROR(VLOOKUP($A4298,HeadJournal!$A$1:$J$890,COLUMN(HeadJournal!I$1),0)*($K4298+$L4298)/(SUMIF($A:$A,$A4298,$K:$K)+SUMIF($A:$A,$A4298,$L:$L)),0)</f>
        <v>0</v>
      </c>
      <c r="N4298" s="30">
        <f>IFERROR((VLOOKUP($A4298,HeadJournal!$A$1:$K$890,COLUMN(HeadJournal!K$1),0)-VLOOKUP($A4298,HeadJournal!$A$1:$K$890,COLUMN(HeadJournal!J$1),0))*($K4298+$L4298)/(SUMIF($A:$A,$A4298,$K:$K)+SUMIF($A:$A,$A4298,$L:$L)),0)</f>
        <v>1.6291580880692006E-15</v>
      </c>
      <c r="O4298" s="30">
        <f>IFERROR((VLOOKUP($A4298,HeadJournal!$A$1:$L$890,COLUMN(HeadJournal!L$1),0)*($K4298+$L4298)/(SUMIF($A:$A,$A4298,$K:$K)+SUMIF($A:$A,$A4298,$L:$L)))/VLOOKUP($A4298,HeadJournal!$A$1:$L$890,COLUMN(HeadJournal!H$1),0),0)</f>
        <v>0.41065645539442319</v>
      </c>
      <c r="P4298" s="30">
        <f>IFERROR(SUM(K4298:O4298)*VLOOKUP($A4298,HeadJournal!$A$1:$L$890,COLUMN(HeadJournal!H$1),0),0)</f>
        <v>1443.977016016893</v>
      </c>
      <c r="Q4298" s="29">
        <v>2500</v>
      </c>
      <c r="R4298" s="31">
        <v>45696</v>
      </c>
      <c r="S4298" s="31" t="s">
        <v>3121</v>
      </c>
      <c r="T4298" s="95" t="str">
        <f t="shared" si="335"/>
        <v>2025 02</v>
      </c>
      <c r="U4298" s="32">
        <f t="shared" si="332"/>
        <v>1056.022983983107</v>
      </c>
      <c r="V4298" s="22">
        <f t="shared" si="333"/>
        <v>0.7313294964320628</v>
      </c>
      <c r="X4298" s="33"/>
      <c r="Y4298" s="33"/>
    </row>
    <row r="4299" spans="1:25" x14ac:dyDescent="0.2">
      <c r="A4299" s="93" t="s">
        <v>2872</v>
      </c>
      <c r="B4299" s="94" t="str">
        <f>IFERROR(VLOOKUP($A4299,HeadJournal!$A$1:$NTR$890,COLUMN(HeadJournal!B$1),0),"")</f>
        <v>720000541466</v>
      </c>
      <c r="C4299" s="94" t="str">
        <f>IFERROR(VLOOKUP($A4299,HeadJournal!$A$1:$NTR$890,COLUMN(HeadJournal!C$1),0),"")</f>
        <v>iHerb_VP DFD1605</v>
      </c>
      <c r="D4299" s="125" t="str">
        <f>IFERROR(VLOOKUP($A4299,HeadJournal!$A$1:$NTR$890,COLUMN(HeadJournal!D$1),0),"")</f>
        <v>Доставлен</v>
      </c>
      <c r="E4299" s="95">
        <f>IFERROR(VLOOKUP($A4299,HeadJournal!$A$1:$NTR$890,COLUMN(HeadJournal!G$1),0),"")</f>
        <v>45662</v>
      </c>
      <c r="F4299" s="95" t="str">
        <f t="shared" si="334"/>
        <v>2025 01</v>
      </c>
      <c r="G4299" s="97" t="s">
        <v>5</v>
      </c>
      <c r="H4299" s="161" t="s">
        <v>2863</v>
      </c>
      <c r="I4299" s="97" t="s">
        <v>2864</v>
      </c>
      <c r="J4299" s="97" t="s">
        <v>2865</v>
      </c>
      <c r="K4299" s="29">
        <v>17.41</v>
      </c>
      <c r="L4299" s="29">
        <v>-3.48</v>
      </c>
      <c r="M4299" s="30">
        <f>IFERROR(VLOOKUP($A4299,HeadJournal!$A$1:$J$890,COLUMN(HeadJournal!I$1),0)*($K4299+$L4299)/(SUMIF($A:$A,$A4299,$K:$K)+SUMIF($A:$A,$A4299,$L:$L)),0)</f>
        <v>0</v>
      </c>
      <c r="N4299" s="30">
        <f>IFERROR((VLOOKUP($A4299,HeadJournal!$A$1:$K$890,COLUMN(HeadJournal!K$1),0)-VLOOKUP($A4299,HeadJournal!$A$1:$K$890,COLUMN(HeadJournal!J$1),0))*($K4299+$L4299)/(SUMIF($A:$A,$A4299,$K:$K)+SUMIF($A:$A,$A4299,$L:$L)),0)</f>
        <v>2.039009179407364E-15</v>
      </c>
      <c r="O4299" s="30">
        <f>IFERROR((VLOOKUP($A4299,HeadJournal!$A$1:$L$890,COLUMN(HeadJournal!L$1),0)*($K4299+$L4299)/(SUMIF($A:$A,$A4299,$K:$K)+SUMIF($A:$A,$A4299,$L:$L)))/VLOOKUP($A4299,HeadJournal!$A$1:$L$890,COLUMN(HeadJournal!H$1),0),0)</f>
        <v>0.51396625549364916</v>
      </c>
      <c r="P4299" s="30">
        <f>IFERROR(SUM(K4299:O4299)*VLOOKUP($A4299,HeadJournal!$A$1:$L$890,COLUMN(HeadJournal!H$1),0),0)</f>
        <v>1807.2416741343502</v>
      </c>
      <c r="Q4299" s="29">
        <v>2400</v>
      </c>
      <c r="R4299" s="31">
        <v>45709</v>
      </c>
      <c r="S4299" s="31" t="s">
        <v>3121</v>
      </c>
      <c r="T4299" s="95" t="str">
        <f t="shared" si="335"/>
        <v>2025 02</v>
      </c>
      <c r="U4299" s="32">
        <f t="shared" si="332"/>
        <v>592.75832586564979</v>
      </c>
      <c r="V4299" s="22">
        <f t="shared" si="333"/>
        <v>0.3279906248009552</v>
      </c>
      <c r="X4299" s="33"/>
      <c r="Y4299" s="33"/>
    </row>
    <row r="4300" spans="1:25" x14ac:dyDescent="0.2">
      <c r="A4300" s="93" t="s">
        <v>2872</v>
      </c>
      <c r="B4300" s="94" t="str">
        <f>IFERROR(VLOOKUP($A4300,HeadJournal!$A$1:$NTR$890,COLUMN(HeadJournal!B$1),0),"")</f>
        <v>720000541466</v>
      </c>
      <c r="C4300" s="94" t="str">
        <f>IFERROR(VLOOKUP($A4300,HeadJournal!$A$1:$NTR$890,COLUMN(HeadJournal!C$1),0),"")</f>
        <v>iHerb_VP DFD1605</v>
      </c>
      <c r="D4300" s="125" t="str">
        <f>IFERROR(VLOOKUP($A4300,HeadJournal!$A$1:$NTR$890,COLUMN(HeadJournal!D$1),0),"")</f>
        <v>Доставлен</v>
      </c>
      <c r="E4300" s="95">
        <f>IFERROR(VLOOKUP($A4300,HeadJournal!$A$1:$NTR$890,COLUMN(HeadJournal!G$1),0),"")</f>
        <v>45662</v>
      </c>
      <c r="F4300" s="95" t="str">
        <f t="shared" si="334"/>
        <v>2025 01</v>
      </c>
      <c r="G4300" s="97" t="s">
        <v>5</v>
      </c>
      <c r="H4300" s="161" t="s">
        <v>2504</v>
      </c>
      <c r="I4300" s="97" t="s">
        <v>2036</v>
      </c>
      <c r="J4300" s="97" t="s">
        <v>3739</v>
      </c>
      <c r="K4300" s="29">
        <v>15.45</v>
      </c>
      <c r="L4300" s="29">
        <v>-3.09</v>
      </c>
      <c r="M4300" s="30">
        <f>IFERROR(VLOOKUP($A4300,HeadJournal!$A$1:$J$890,COLUMN(HeadJournal!I$1),0)*($K4300+$L4300)/(SUMIF($A:$A,$A4300,$K:$K)+SUMIF($A:$A,$A4300,$L:$L)),0)</f>
        <v>0</v>
      </c>
      <c r="N4300" s="30">
        <f>IFERROR((VLOOKUP($A4300,HeadJournal!$A$1:$K$890,COLUMN(HeadJournal!K$1),0)-VLOOKUP($A4300,HeadJournal!$A$1:$K$890,COLUMN(HeadJournal!J$1),0))*($K4300+$L4300)/(SUMIF($A:$A,$A4300,$K:$K)+SUMIF($A:$A,$A4300,$L:$L)),0)</f>
        <v>1.8091998174784652E-15</v>
      </c>
      <c r="O4300" s="30">
        <f>IFERROR((VLOOKUP($A4300,HeadJournal!$A$1:$L$890,COLUMN(HeadJournal!L$1),0)*($K4300+$L4300)/(SUMIF($A:$A,$A4300,$K:$K)+SUMIF($A:$A,$A4300,$L:$L)))/VLOOKUP($A4300,HeadJournal!$A$1:$L$890,COLUMN(HeadJournal!H$1),0),0)</f>
        <v>0.4560389747237259</v>
      </c>
      <c r="P4300" s="30">
        <f>IFERROR(SUM(K4300:O4300)*VLOOKUP($A4300,HeadJournal!$A$1:$L$890,COLUMN(HeadJournal!H$1),0),0)</f>
        <v>1603.5539908327758</v>
      </c>
      <c r="Q4300" s="29">
        <v>1603.55</v>
      </c>
      <c r="R4300" s="31">
        <v>45663</v>
      </c>
      <c r="S4300" s="31" t="s">
        <v>3121</v>
      </c>
      <c r="T4300" s="95" t="str">
        <f t="shared" si="335"/>
        <v>2025 01</v>
      </c>
      <c r="U4300" s="32">
        <f t="shared" si="332"/>
        <v>-3.9908327757984807E-3</v>
      </c>
      <c r="V4300" s="22">
        <f t="shared" si="333"/>
        <v>-2.4887423801214929E-6</v>
      </c>
      <c r="X4300" s="33"/>
      <c r="Y4300" s="33"/>
    </row>
    <row r="4301" spans="1:25" x14ac:dyDescent="0.2">
      <c r="A4301" s="93" t="s">
        <v>2872</v>
      </c>
      <c r="B4301" s="94" t="str">
        <f>IFERROR(VLOOKUP($A4301,HeadJournal!$A$1:$NTR$890,COLUMN(HeadJournal!B$1),0),"")</f>
        <v>720000541466</v>
      </c>
      <c r="C4301" s="94" t="str">
        <f>IFERROR(VLOOKUP($A4301,HeadJournal!$A$1:$NTR$890,COLUMN(HeadJournal!C$1),0),"")</f>
        <v>iHerb_VP DFD1605</v>
      </c>
      <c r="D4301" s="125" t="str">
        <f>IFERROR(VLOOKUP($A4301,HeadJournal!$A$1:$NTR$890,COLUMN(HeadJournal!D$1),0),"")</f>
        <v>Доставлен</v>
      </c>
      <c r="E4301" s="95">
        <f>IFERROR(VLOOKUP($A4301,HeadJournal!$A$1:$NTR$890,COLUMN(HeadJournal!G$1),0),"")</f>
        <v>45662</v>
      </c>
      <c r="F4301" s="95" t="str">
        <f t="shared" si="334"/>
        <v>2025 01</v>
      </c>
      <c r="G4301" s="97" t="s">
        <v>5</v>
      </c>
      <c r="H4301" s="161" t="s">
        <v>2821</v>
      </c>
      <c r="I4301" s="97" t="s">
        <v>2822</v>
      </c>
      <c r="J4301" s="97" t="s">
        <v>2823</v>
      </c>
      <c r="K4301" s="29">
        <v>16.649999999999999</v>
      </c>
      <c r="L4301" s="29">
        <v>-1.67</v>
      </c>
      <c r="M4301" s="30">
        <f>IFERROR(VLOOKUP($A4301,HeadJournal!$A$1:$J$890,COLUMN(HeadJournal!I$1),0)*($K4301+$L4301)/(SUMIF($A:$A,$A4301,$K:$K)+SUMIF($A:$A,$A4301,$L:$L)),0)</f>
        <v>0</v>
      </c>
      <c r="N4301" s="30">
        <f>IFERROR((VLOOKUP($A4301,HeadJournal!$A$1:$K$890,COLUMN(HeadJournal!K$1),0)-VLOOKUP($A4301,HeadJournal!$A$1:$K$890,COLUMN(HeadJournal!J$1),0))*($K4301+$L4301)/(SUMIF($A:$A,$A4301,$K:$K)+SUMIF($A:$A,$A4301,$L:$L)),0)</f>
        <v>2.1927033386591752E-15</v>
      </c>
      <c r="O4301" s="30">
        <f>IFERROR((VLOOKUP($A4301,HeadJournal!$A$1:$L$890,COLUMN(HeadJournal!L$1),0)*($K4301+$L4301)/(SUMIF($A:$A,$A4301,$K:$K)+SUMIF($A:$A,$A4301,$L:$L)))/VLOOKUP($A4301,HeadJournal!$A$1:$L$890,COLUMN(HeadJournal!H$1),0),0)</f>
        <v>0.5527074305308588</v>
      </c>
      <c r="P4301" s="30">
        <f>IFERROR(SUM(K4301:O4301)*VLOOKUP($A4301,HeadJournal!$A$1:$L$890,COLUMN(HeadJournal!H$1),0),0)</f>
        <v>1943.4659209283964</v>
      </c>
      <c r="Q4301" s="29">
        <v>2500</v>
      </c>
      <c r="R4301" s="31">
        <v>45707</v>
      </c>
      <c r="S4301" s="31" t="s">
        <v>3121</v>
      </c>
      <c r="T4301" s="95" t="str">
        <f t="shared" si="335"/>
        <v>2025 02</v>
      </c>
      <c r="U4301" s="32">
        <f t="shared" si="332"/>
        <v>556.53407907160363</v>
      </c>
      <c r="V4301" s="22">
        <f t="shared" si="333"/>
        <v>0.28636163519952362</v>
      </c>
      <c r="X4301" s="33"/>
      <c r="Y4301" s="33"/>
    </row>
    <row r="4302" spans="1:25" x14ac:dyDescent="0.2">
      <c r="A4302" s="93" t="s">
        <v>2872</v>
      </c>
      <c r="B4302" s="94" t="str">
        <f>IFERROR(VLOOKUP($A4302,HeadJournal!$A$1:$NTR$890,COLUMN(HeadJournal!B$1),0),"")</f>
        <v>720000541466</v>
      </c>
      <c r="C4302" s="94" t="str">
        <f>IFERROR(VLOOKUP($A4302,HeadJournal!$A$1:$NTR$890,COLUMN(HeadJournal!C$1),0),"")</f>
        <v>iHerb_VP DFD1605</v>
      </c>
      <c r="D4302" s="125" t="str">
        <f>IFERROR(VLOOKUP($A4302,HeadJournal!$A$1:$NTR$890,COLUMN(HeadJournal!D$1),0),"")</f>
        <v>Доставлен</v>
      </c>
      <c r="E4302" s="95">
        <f>IFERROR(VLOOKUP($A4302,HeadJournal!$A$1:$NTR$890,COLUMN(HeadJournal!G$1),0),"")</f>
        <v>45662</v>
      </c>
      <c r="F4302" s="95" t="str">
        <f t="shared" si="334"/>
        <v>2025 01</v>
      </c>
      <c r="G4302" s="97" t="s">
        <v>5</v>
      </c>
      <c r="H4302" s="161" t="s">
        <v>2051</v>
      </c>
      <c r="I4302" s="97" t="s">
        <v>2052</v>
      </c>
      <c r="J4302" s="97" t="s">
        <v>3097</v>
      </c>
      <c r="K4302" s="29">
        <v>21.04</v>
      </c>
      <c r="L4302" s="29">
        <v>-6.3133333333333335</v>
      </c>
      <c r="M4302" s="30">
        <f>IFERROR(VLOOKUP($A4302,HeadJournal!$A$1:$J$890,COLUMN(HeadJournal!I$1),0)*($K4302+$L4302)/(SUMIF($A:$A,$A4302,$K:$K)+SUMIF($A:$A,$A4302,$L:$L)),0)</f>
        <v>0</v>
      </c>
      <c r="N4302" s="30">
        <f>IFERROR((VLOOKUP($A4302,HeadJournal!$A$1:$K$890,COLUMN(HeadJournal!K$1),0)-VLOOKUP($A4302,HeadJournal!$A$1:$K$890,COLUMN(HeadJournal!J$1),0))*($K4302+$L4302)/(SUMIF($A:$A,$A4302,$K:$K)+SUMIF($A:$A,$A4302,$L:$L)),0)</f>
        <v>2.1556215732523893E-15</v>
      </c>
      <c r="O4302" s="30">
        <f>IFERROR((VLOOKUP($A4302,HeadJournal!$A$1:$L$890,COLUMN(HeadJournal!L$1),0)*($K4302+$L4302)/(SUMIF($A:$A,$A4302,$K:$K)+SUMIF($A:$A,$A4302,$L:$L)))/VLOOKUP($A4302,HeadJournal!$A$1:$L$890,COLUMN(HeadJournal!H$1),0),0)</f>
        <v>0.54336035337902411</v>
      </c>
      <c r="P4302" s="30">
        <f>IFERROR(SUM(K4302:O4302)*VLOOKUP($A4302,HeadJournal!$A$1:$L$890,COLUMN(HeadJournal!H$1),0),0)</f>
        <v>1910.5991185272933</v>
      </c>
      <c r="Q4302" s="29">
        <v>2300</v>
      </c>
      <c r="R4302" s="31">
        <v>45698</v>
      </c>
      <c r="S4302" s="31" t="s">
        <v>3121</v>
      </c>
      <c r="T4302" s="95" t="str">
        <f t="shared" si="335"/>
        <v>2025 02</v>
      </c>
      <c r="U4302" s="32">
        <f t="shared" si="332"/>
        <v>389.40088147270671</v>
      </c>
      <c r="V4302" s="22">
        <f t="shared" si="333"/>
        <v>0.20381087675412535</v>
      </c>
      <c r="X4302" s="33"/>
      <c r="Y4302" s="33"/>
    </row>
    <row r="4303" spans="1:25" x14ac:dyDescent="0.2">
      <c r="A4303" s="93" t="s">
        <v>2872</v>
      </c>
      <c r="B4303" s="94" t="str">
        <f>IFERROR(VLOOKUP($A4303,HeadJournal!$A$1:$NTR$890,COLUMN(HeadJournal!B$1),0),"")</f>
        <v>720000541466</v>
      </c>
      <c r="C4303" s="94" t="str">
        <f>IFERROR(VLOOKUP($A4303,HeadJournal!$A$1:$NTR$890,COLUMN(HeadJournal!C$1),0),"")</f>
        <v>iHerb_VP DFD1605</v>
      </c>
      <c r="D4303" s="125" t="str">
        <f>IFERROR(VLOOKUP($A4303,HeadJournal!$A$1:$NTR$890,COLUMN(HeadJournal!D$1),0),"")</f>
        <v>Доставлен</v>
      </c>
      <c r="E4303" s="95">
        <f>IFERROR(VLOOKUP($A4303,HeadJournal!$A$1:$NTR$890,COLUMN(HeadJournal!G$1),0),"")</f>
        <v>45662</v>
      </c>
      <c r="F4303" s="95" t="str">
        <f t="shared" si="334"/>
        <v>2025 01</v>
      </c>
      <c r="G4303" s="97" t="s">
        <v>5</v>
      </c>
      <c r="H4303" s="161" t="s">
        <v>2051</v>
      </c>
      <c r="I4303" s="97" t="s">
        <v>2052</v>
      </c>
      <c r="J4303" s="97" t="s">
        <v>3097</v>
      </c>
      <c r="K4303" s="29">
        <v>21.04</v>
      </c>
      <c r="L4303" s="29">
        <v>-6.3133333333333335</v>
      </c>
      <c r="M4303" s="30">
        <f>IFERROR(VLOOKUP($A4303,HeadJournal!$A$1:$J$890,COLUMN(HeadJournal!I$1),0)*($K4303+$L4303)/(SUMIF($A:$A,$A4303,$K:$K)+SUMIF($A:$A,$A4303,$L:$L)),0)</f>
        <v>0</v>
      </c>
      <c r="N4303" s="30">
        <f>IFERROR((VLOOKUP($A4303,HeadJournal!$A$1:$K$890,COLUMN(HeadJournal!K$1),0)-VLOOKUP($A4303,HeadJournal!$A$1:$K$890,COLUMN(HeadJournal!J$1),0))*($K4303+$L4303)/(SUMIF($A:$A,$A4303,$K:$K)+SUMIF($A:$A,$A4303,$L:$L)),0)</f>
        <v>2.1556215732523893E-15</v>
      </c>
      <c r="O4303" s="30">
        <f>IFERROR((VLOOKUP($A4303,HeadJournal!$A$1:$L$890,COLUMN(HeadJournal!L$1),0)*($K4303+$L4303)/(SUMIF($A:$A,$A4303,$K:$K)+SUMIF($A:$A,$A4303,$L:$L)))/VLOOKUP($A4303,HeadJournal!$A$1:$L$890,COLUMN(HeadJournal!H$1),0),0)</f>
        <v>0.54336035337902411</v>
      </c>
      <c r="P4303" s="30">
        <f>IFERROR(SUM(K4303:O4303)*VLOOKUP($A4303,HeadJournal!$A$1:$L$890,COLUMN(HeadJournal!H$1),0),0)</f>
        <v>1910.5991185272933</v>
      </c>
      <c r="Q4303" s="29">
        <v>2300</v>
      </c>
      <c r="R4303" s="31">
        <v>45696</v>
      </c>
      <c r="S4303" s="31" t="s">
        <v>3121</v>
      </c>
      <c r="T4303" s="95" t="str">
        <f t="shared" si="335"/>
        <v>2025 02</v>
      </c>
      <c r="U4303" s="32">
        <f t="shared" si="332"/>
        <v>389.40088147270671</v>
      </c>
      <c r="V4303" s="22">
        <f t="shared" si="333"/>
        <v>0.20381087675412535</v>
      </c>
      <c r="X4303" s="33"/>
      <c r="Y4303" s="33"/>
    </row>
    <row r="4304" spans="1:25" x14ac:dyDescent="0.2">
      <c r="A4304" s="93" t="s">
        <v>2872</v>
      </c>
      <c r="B4304" s="94" t="str">
        <f>IFERROR(VLOOKUP($A4304,HeadJournal!$A$1:$NTR$890,COLUMN(HeadJournal!B$1),0),"")</f>
        <v>720000541466</v>
      </c>
      <c r="C4304" s="94" t="str">
        <f>IFERROR(VLOOKUP($A4304,HeadJournal!$A$1:$NTR$890,COLUMN(HeadJournal!C$1),0),"")</f>
        <v>iHerb_VP DFD1605</v>
      </c>
      <c r="D4304" s="125" t="str">
        <f>IFERROR(VLOOKUP($A4304,HeadJournal!$A$1:$NTR$890,COLUMN(HeadJournal!D$1),0),"")</f>
        <v>Доставлен</v>
      </c>
      <c r="E4304" s="95">
        <f>IFERROR(VLOOKUP($A4304,HeadJournal!$A$1:$NTR$890,COLUMN(HeadJournal!G$1),0),"")</f>
        <v>45662</v>
      </c>
      <c r="F4304" s="95" t="str">
        <f t="shared" si="334"/>
        <v>2025 01</v>
      </c>
      <c r="G4304" s="97" t="s">
        <v>5</v>
      </c>
      <c r="H4304" s="161" t="s">
        <v>2051</v>
      </c>
      <c r="I4304" s="97" t="s">
        <v>2052</v>
      </c>
      <c r="J4304" s="97" t="s">
        <v>3097</v>
      </c>
      <c r="K4304" s="29">
        <v>21.04</v>
      </c>
      <c r="L4304" s="29">
        <v>-6.3133333333333335</v>
      </c>
      <c r="M4304" s="30">
        <f>IFERROR(VLOOKUP($A4304,HeadJournal!$A$1:$J$890,COLUMN(HeadJournal!I$1),0)*($K4304+$L4304)/(SUMIF($A:$A,$A4304,$K:$K)+SUMIF($A:$A,$A4304,$L:$L)),0)</f>
        <v>0</v>
      </c>
      <c r="N4304" s="30">
        <f>IFERROR((VLOOKUP($A4304,HeadJournal!$A$1:$K$890,COLUMN(HeadJournal!K$1),0)-VLOOKUP($A4304,HeadJournal!$A$1:$K$890,COLUMN(HeadJournal!J$1),0))*($K4304+$L4304)/(SUMIF($A:$A,$A4304,$K:$K)+SUMIF($A:$A,$A4304,$L:$L)),0)</f>
        <v>2.1556215732523893E-15</v>
      </c>
      <c r="O4304" s="30">
        <f>IFERROR((VLOOKUP($A4304,HeadJournal!$A$1:$L$890,COLUMN(HeadJournal!L$1),0)*($K4304+$L4304)/(SUMIF($A:$A,$A4304,$K:$K)+SUMIF($A:$A,$A4304,$L:$L)))/VLOOKUP($A4304,HeadJournal!$A$1:$L$890,COLUMN(HeadJournal!H$1),0),0)</f>
        <v>0.54336035337902411</v>
      </c>
      <c r="P4304" s="30">
        <f>IFERROR(SUM(K4304:O4304)*VLOOKUP($A4304,HeadJournal!$A$1:$L$890,COLUMN(HeadJournal!H$1),0),0)</f>
        <v>1910.5991185272933</v>
      </c>
      <c r="Q4304" s="29">
        <v>2300</v>
      </c>
      <c r="R4304" s="31">
        <v>45696</v>
      </c>
      <c r="S4304" s="31" t="s">
        <v>3121</v>
      </c>
      <c r="T4304" s="95" t="str">
        <f t="shared" si="335"/>
        <v>2025 02</v>
      </c>
      <c r="U4304" s="32">
        <f t="shared" si="332"/>
        <v>389.40088147270671</v>
      </c>
      <c r="V4304" s="22">
        <f t="shared" si="333"/>
        <v>0.20381087675412535</v>
      </c>
      <c r="X4304" s="33"/>
      <c r="Y4304" s="33"/>
    </row>
    <row r="4305" spans="1:25" x14ac:dyDescent="0.2">
      <c r="A4305" s="93" t="s">
        <v>2872</v>
      </c>
      <c r="B4305" s="94" t="str">
        <f>IFERROR(VLOOKUP($A4305,HeadJournal!$A$1:$NTR$890,COLUMN(HeadJournal!B$1),0),"")</f>
        <v>720000541466</v>
      </c>
      <c r="C4305" s="94" t="str">
        <f>IFERROR(VLOOKUP($A4305,HeadJournal!$A$1:$NTR$890,COLUMN(HeadJournal!C$1),0),"")</f>
        <v>iHerb_VP DFD1605</v>
      </c>
      <c r="D4305" s="125" t="str">
        <f>IFERROR(VLOOKUP($A4305,HeadJournal!$A$1:$NTR$890,COLUMN(HeadJournal!D$1),0),"")</f>
        <v>Доставлен</v>
      </c>
      <c r="E4305" s="95">
        <f>IFERROR(VLOOKUP($A4305,HeadJournal!$A$1:$NTR$890,COLUMN(HeadJournal!G$1),0),"")</f>
        <v>45662</v>
      </c>
      <c r="F4305" s="95" t="str">
        <f t="shared" si="334"/>
        <v>2025 01</v>
      </c>
      <c r="G4305" s="97" t="s">
        <v>5</v>
      </c>
      <c r="H4305" s="161" t="s">
        <v>2815</v>
      </c>
      <c r="I4305" s="97" t="s">
        <v>2005</v>
      </c>
      <c r="J4305" s="97" t="s">
        <v>2816</v>
      </c>
      <c r="K4305" s="29">
        <v>20.6</v>
      </c>
      <c r="L4305" s="29">
        <v>-2.06</v>
      </c>
      <c r="M4305" s="30">
        <f>IFERROR(VLOOKUP($A4305,HeadJournal!$A$1:$J$890,COLUMN(HeadJournal!I$1),0)*($K4305+$L4305)/(SUMIF($A:$A,$A4305,$K:$K)+SUMIF($A:$A,$A4305,$L:$L)),0)</f>
        <v>0</v>
      </c>
      <c r="N4305" s="30">
        <f>IFERROR((VLOOKUP($A4305,HeadJournal!$A$1:$K$890,COLUMN(HeadJournal!K$1),0)-VLOOKUP($A4305,HeadJournal!$A$1:$K$890,COLUMN(HeadJournal!J$1),0))*($K4305+$L4305)/(SUMIF($A:$A,$A4305,$K:$K)+SUMIF($A:$A,$A4305,$L:$L)),0)</f>
        <v>2.7137997262176984E-15</v>
      </c>
      <c r="O4305" s="30">
        <f>IFERROR((VLOOKUP($A4305,HeadJournal!$A$1:$L$890,COLUMN(HeadJournal!L$1),0)*($K4305+$L4305)/(SUMIF($A:$A,$A4305,$K:$K)+SUMIF($A:$A,$A4305,$L:$L)))/VLOOKUP($A4305,HeadJournal!$A$1:$L$890,COLUMN(HeadJournal!H$1),0),0)</f>
        <v>0.68405846208558918</v>
      </c>
      <c r="P4305" s="30">
        <f>IFERROR(SUM(K4305:O4305)*VLOOKUP($A4305,HeadJournal!$A$1:$L$890,COLUMN(HeadJournal!H$1),0),0)</f>
        <v>2405.3309862491642</v>
      </c>
      <c r="Q4305" s="29">
        <v>2900</v>
      </c>
      <c r="R4305" s="31">
        <v>45741</v>
      </c>
      <c r="S4305" s="31" t="s">
        <v>3121</v>
      </c>
      <c r="T4305" s="95" t="str">
        <f t="shared" si="335"/>
        <v>2025 03</v>
      </c>
      <c r="U4305" s="32">
        <f t="shared" si="332"/>
        <v>494.6690137508358</v>
      </c>
      <c r="V4305" s="22">
        <f t="shared" si="333"/>
        <v>0.20565527845388754</v>
      </c>
      <c r="X4305" s="33"/>
      <c r="Y4305" s="33"/>
    </row>
    <row r="4306" spans="1:25" x14ac:dyDescent="0.2">
      <c r="A4306" s="93" t="s">
        <v>2872</v>
      </c>
      <c r="B4306" s="94" t="str">
        <f>IFERROR(VLOOKUP($A4306,HeadJournal!$A$1:$NTR$890,COLUMN(HeadJournal!B$1),0),"")</f>
        <v>720000541466</v>
      </c>
      <c r="C4306" s="94" t="str">
        <f>IFERROR(VLOOKUP($A4306,HeadJournal!$A$1:$NTR$890,COLUMN(HeadJournal!C$1),0),"")</f>
        <v>iHerb_VP DFD1605</v>
      </c>
      <c r="D4306" s="125" t="str">
        <f>IFERROR(VLOOKUP($A4306,HeadJournal!$A$1:$NTR$890,COLUMN(HeadJournal!D$1),0),"")</f>
        <v>Доставлен</v>
      </c>
      <c r="E4306" s="95">
        <f>IFERROR(VLOOKUP($A4306,HeadJournal!$A$1:$NTR$890,COLUMN(HeadJournal!G$1),0),"")</f>
        <v>45662</v>
      </c>
      <c r="F4306" s="95" t="str">
        <f t="shared" si="334"/>
        <v>2025 01</v>
      </c>
      <c r="G4306" s="97" t="s">
        <v>5</v>
      </c>
      <c r="H4306" s="161" t="s">
        <v>2049</v>
      </c>
      <c r="I4306" s="97" t="s">
        <v>2048</v>
      </c>
      <c r="J4306" s="97" t="s">
        <v>2050</v>
      </c>
      <c r="K4306" s="29">
        <v>10.32</v>
      </c>
      <c r="L4306" s="29">
        <v>-3.0950000000000002</v>
      </c>
      <c r="M4306" s="30">
        <f>IFERROR(VLOOKUP($A4306,HeadJournal!$A$1:$J$890,COLUMN(HeadJournal!I$1),0)*($K4306+$L4306)/(SUMIF($A:$A,$A4306,$K:$K)+SUMIF($A:$A,$A4306,$L:$L)),0)</f>
        <v>0</v>
      </c>
      <c r="N4306" s="30">
        <f>IFERROR((VLOOKUP($A4306,HeadJournal!$A$1:$K$890,COLUMN(HeadJournal!K$1),0)-VLOOKUP($A4306,HeadJournal!$A$1:$K$890,COLUMN(HeadJournal!J$1),0))*($K4306+$L4306)/(SUMIF($A:$A,$A4306,$K:$K)+SUMIF($A:$A,$A4306,$L:$L)),0)</f>
        <v>1.0575621910422258E-15</v>
      </c>
      <c r="O4306" s="30">
        <f>IFERROR((VLOOKUP($A4306,HeadJournal!$A$1:$L$890,COLUMN(HeadJournal!L$1),0)*($K4306+$L4306)/(SUMIF($A:$A,$A4306,$K:$K)+SUMIF($A:$A,$A4306,$L:$L)))/VLOOKUP($A4306,HeadJournal!$A$1:$L$890,COLUMN(HeadJournal!H$1),0),0)</f>
        <v>0.26657618061318122</v>
      </c>
      <c r="P4306" s="30">
        <f>IFERROR(SUM(K4306:O4306)*VLOOKUP($A4306,HeadJournal!$A$1:$L$890,COLUMN(HeadJournal!H$1),0),0)</f>
        <v>937.3525553209389</v>
      </c>
      <c r="Q4306" s="29">
        <v>937.35</v>
      </c>
      <c r="R4306" s="31"/>
      <c r="S4306" s="31"/>
      <c r="T4306" s="95" t="str">
        <f t="shared" si="335"/>
        <v/>
      </c>
      <c r="U4306" s="32">
        <f t="shared" si="332"/>
        <v>-2.5553209388817777E-3</v>
      </c>
      <c r="V4306" s="22">
        <f t="shared" si="333"/>
        <v>-2.7261044143703912E-6</v>
      </c>
      <c r="X4306" s="33"/>
      <c r="Y4306" s="33"/>
    </row>
    <row r="4307" spans="1:25" x14ac:dyDescent="0.2">
      <c r="A4307" s="93" t="s">
        <v>2872</v>
      </c>
      <c r="B4307" s="94" t="str">
        <f>IFERROR(VLOOKUP($A4307,HeadJournal!$A$1:$NTR$890,COLUMN(HeadJournal!B$1),0),"")</f>
        <v>720000541466</v>
      </c>
      <c r="C4307" s="94" t="str">
        <f>IFERROR(VLOOKUP($A4307,HeadJournal!$A$1:$NTR$890,COLUMN(HeadJournal!C$1),0),"")</f>
        <v>iHerb_VP DFD1605</v>
      </c>
      <c r="D4307" s="125" t="str">
        <f>IFERROR(VLOOKUP($A4307,HeadJournal!$A$1:$NTR$890,COLUMN(HeadJournal!D$1),0),"")</f>
        <v>Доставлен</v>
      </c>
      <c r="E4307" s="95">
        <f>IFERROR(VLOOKUP($A4307,HeadJournal!$A$1:$NTR$890,COLUMN(HeadJournal!G$1),0),"")</f>
        <v>45662</v>
      </c>
      <c r="F4307" s="95" t="str">
        <f t="shared" si="334"/>
        <v>2025 01</v>
      </c>
      <c r="G4307" s="97" t="s">
        <v>5</v>
      </c>
      <c r="H4307" s="161" t="s">
        <v>2049</v>
      </c>
      <c r="I4307" s="97" t="s">
        <v>2048</v>
      </c>
      <c r="J4307" s="97" t="s">
        <v>2050</v>
      </c>
      <c r="K4307" s="29">
        <v>10.32</v>
      </c>
      <c r="L4307" s="29">
        <v>-3.0950000000000002</v>
      </c>
      <c r="M4307" s="30">
        <f>IFERROR(VLOOKUP($A4307,HeadJournal!$A$1:$J$890,COLUMN(HeadJournal!I$1),0)*($K4307+$L4307)/(SUMIF($A:$A,$A4307,$K:$K)+SUMIF($A:$A,$A4307,$L:$L)),0)</f>
        <v>0</v>
      </c>
      <c r="N4307" s="30">
        <f>IFERROR((VLOOKUP($A4307,HeadJournal!$A$1:$K$890,COLUMN(HeadJournal!K$1),0)-VLOOKUP($A4307,HeadJournal!$A$1:$K$890,COLUMN(HeadJournal!J$1),0))*($K4307+$L4307)/(SUMIF($A:$A,$A4307,$K:$K)+SUMIF($A:$A,$A4307,$L:$L)),0)</f>
        <v>1.0575621910422258E-15</v>
      </c>
      <c r="O4307" s="30">
        <f>IFERROR((VLOOKUP($A4307,HeadJournal!$A$1:$L$890,COLUMN(HeadJournal!L$1),0)*($K4307+$L4307)/(SUMIF($A:$A,$A4307,$K:$K)+SUMIF($A:$A,$A4307,$L:$L)))/VLOOKUP($A4307,HeadJournal!$A$1:$L$890,COLUMN(HeadJournal!H$1),0),0)</f>
        <v>0.26657618061318122</v>
      </c>
      <c r="P4307" s="30">
        <f>IFERROR(SUM(K4307:O4307)*VLOOKUP($A4307,HeadJournal!$A$1:$L$890,COLUMN(HeadJournal!H$1),0),0)</f>
        <v>937.3525553209389</v>
      </c>
      <c r="Q4307" s="29"/>
      <c r="R4307" s="31"/>
      <c r="S4307" s="31"/>
      <c r="T4307" s="95" t="str">
        <f t="shared" si="335"/>
        <v/>
      </c>
      <c r="U4307" s="32">
        <f t="shared" si="332"/>
        <v>-937.3525553209389</v>
      </c>
      <c r="V4307" s="22" t="str">
        <f t="shared" si="333"/>
        <v/>
      </c>
      <c r="X4307" s="33"/>
      <c r="Y4307" s="33"/>
    </row>
    <row r="4308" spans="1:25" x14ac:dyDescent="0.2">
      <c r="A4308" s="93" t="s">
        <v>2872</v>
      </c>
      <c r="B4308" s="94" t="str">
        <f>IFERROR(VLOOKUP($A4308,HeadJournal!$A$1:$NTR$890,COLUMN(HeadJournal!B$1),0),"")</f>
        <v>720000541466</v>
      </c>
      <c r="C4308" s="94" t="str">
        <f>IFERROR(VLOOKUP($A4308,HeadJournal!$A$1:$NTR$890,COLUMN(HeadJournal!C$1),0),"")</f>
        <v>iHerb_VP DFD1605</v>
      </c>
      <c r="D4308" s="125" t="str">
        <f>IFERROR(VLOOKUP($A4308,HeadJournal!$A$1:$NTR$890,COLUMN(HeadJournal!D$1),0),"")</f>
        <v>Доставлен</v>
      </c>
      <c r="E4308" s="95">
        <f>IFERROR(VLOOKUP($A4308,HeadJournal!$A$1:$NTR$890,COLUMN(HeadJournal!G$1),0),"")</f>
        <v>45662</v>
      </c>
      <c r="F4308" s="95" t="str">
        <f t="shared" si="334"/>
        <v>2025 01</v>
      </c>
      <c r="G4308" s="97" t="s">
        <v>5</v>
      </c>
      <c r="H4308" s="161" t="s">
        <v>2866</v>
      </c>
      <c r="I4308" s="97" t="s">
        <v>2618</v>
      </c>
      <c r="J4308" s="97" t="s">
        <v>2867</v>
      </c>
      <c r="K4308" s="29">
        <v>24.83</v>
      </c>
      <c r="L4308" s="29">
        <v>-4.97</v>
      </c>
      <c r="M4308" s="30">
        <f>IFERROR(VLOOKUP($A4308,HeadJournal!$A$1:$J$890,COLUMN(HeadJournal!I$1),0)*($K4308+$L4308)/(SUMIF($A:$A,$A4308,$K:$K)+SUMIF($A:$A,$A4308,$L:$L)),0)</f>
        <v>0</v>
      </c>
      <c r="N4308" s="30">
        <f>IFERROR((VLOOKUP($A4308,HeadJournal!$A$1:$K$890,COLUMN(HeadJournal!K$1),0)-VLOOKUP($A4308,HeadJournal!$A$1:$K$890,COLUMN(HeadJournal!J$1),0))*($K4308+$L4308)/(SUMIF($A:$A,$A4308,$K:$K)+SUMIF($A:$A,$A4308,$L:$L)),0)</f>
        <v>2.9070152407056894E-15</v>
      </c>
      <c r="O4308" s="30">
        <f>IFERROR((VLOOKUP($A4308,HeadJournal!$A$1:$L$890,COLUMN(HeadJournal!L$1),0)*($K4308+$L4308)/(SUMIF($A:$A,$A4308,$K:$K)+SUMIF($A:$A,$A4308,$L:$L)))/VLOOKUP($A4308,HeadJournal!$A$1:$L$890,COLUMN(HeadJournal!H$1),0),0)</f>
        <v>0.73276165356093836</v>
      </c>
      <c r="P4308" s="30">
        <f>IFERROR(SUM(K4308:O4308)*VLOOKUP($A4308,HeadJournal!$A$1:$L$890,COLUMN(HeadJournal!H$1),0),0)</f>
        <v>2576.5843250759654</v>
      </c>
      <c r="Q4308" s="29">
        <v>3300</v>
      </c>
      <c r="R4308" s="31">
        <v>45710</v>
      </c>
      <c r="S4308" s="31" t="s">
        <v>3121</v>
      </c>
      <c r="T4308" s="95" t="str">
        <f t="shared" si="335"/>
        <v>2025 02</v>
      </c>
      <c r="U4308" s="32">
        <f t="shared" si="332"/>
        <v>723.41567492403465</v>
      </c>
      <c r="V4308" s="22">
        <f t="shared" si="333"/>
        <v>0.28076537914306615</v>
      </c>
      <c r="X4308" s="33"/>
      <c r="Y4308" s="33"/>
    </row>
    <row r="4309" spans="1:25" x14ac:dyDescent="0.2">
      <c r="A4309" s="93" t="s">
        <v>2872</v>
      </c>
      <c r="B4309" s="94" t="str">
        <f>IFERROR(VLOOKUP($A4309,HeadJournal!$A$1:$NTR$890,COLUMN(HeadJournal!B$1),0),"")</f>
        <v>720000541466</v>
      </c>
      <c r="C4309" s="94" t="str">
        <f>IFERROR(VLOOKUP($A4309,HeadJournal!$A$1:$NTR$890,COLUMN(HeadJournal!C$1),0),"")</f>
        <v>iHerb_VP DFD1605</v>
      </c>
      <c r="D4309" s="125" t="str">
        <f>IFERROR(VLOOKUP($A4309,HeadJournal!$A$1:$NTR$890,COLUMN(HeadJournal!D$1),0),"")</f>
        <v>Доставлен</v>
      </c>
      <c r="E4309" s="95">
        <f>IFERROR(VLOOKUP($A4309,HeadJournal!$A$1:$NTR$890,COLUMN(HeadJournal!G$1),0),"")</f>
        <v>45662</v>
      </c>
      <c r="F4309" s="95" t="str">
        <f t="shared" si="334"/>
        <v>2025 01</v>
      </c>
      <c r="G4309" s="97" t="s">
        <v>5</v>
      </c>
      <c r="H4309" s="161" t="s">
        <v>2868</v>
      </c>
      <c r="I4309" s="97" t="s">
        <v>2618</v>
      </c>
      <c r="J4309" s="97" t="s">
        <v>2869</v>
      </c>
      <c r="K4309" s="29">
        <v>8.5</v>
      </c>
      <c r="L4309" s="29">
        <v>-1.7</v>
      </c>
      <c r="M4309" s="30">
        <f>IFERROR(VLOOKUP($A4309,HeadJournal!$A$1:$J$890,COLUMN(HeadJournal!I$1),0)*($K4309+$L4309)/(SUMIF($A:$A,$A4309,$K:$K)+SUMIF($A:$A,$A4309,$L:$L)),0)</f>
        <v>0</v>
      </c>
      <c r="N4309" s="30">
        <f>IFERROR((VLOOKUP($A4309,HeadJournal!$A$1:$K$890,COLUMN(HeadJournal!K$1),0)-VLOOKUP($A4309,HeadJournal!$A$1:$K$890,COLUMN(HeadJournal!J$1),0))*($K4309+$L4309)/(SUMIF($A:$A,$A4309,$K:$K)+SUMIF($A:$A,$A4309,$L:$L)),0)</f>
        <v>9.9535265039268313E-16</v>
      </c>
      <c r="O4309" s="30">
        <f>IFERROR((VLOOKUP($A4309,HeadJournal!$A$1:$L$890,COLUMN(HeadJournal!L$1),0)*($K4309+$L4309)/(SUMIF($A:$A,$A4309,$K:$K)+SUMIF($A:$A,$A4309,$L:$L)))/VLOOKUP($A4309,HeadJournal!$A$1:$L$890,COLUMN(HeadJournal!H$1),0),0)</f>
        <v>0.25089522881240589</v>
      </c>
      <c r="P4309" s="30">
        <f>IFERROR(SUM(K4309:O4309)*VLOOKUP($A4309,HeadJournal!$A$1:$L$890,COLUMN(HeadJournal!H$1),0),0)</f>
        <v>882.21416971382496</v>
      </c>
      <c r="Q4309" s="29">
        <v>1300</v>
      </c>
      <c r="R4309" s="31">
        <v>45710</v>
      </c>
      <c r="S4309" s="31" t="s">
        <v>3121</v>
      </c>
      <c r="T4309" s="95" t="str">
        <f t="shared" si="335"/>
        <v>2025 02</v>
      </c>
      <c r="U4309" s="32">
        <f t="shared" si="332"/>
        <v>417.78583028617504</v>
      </c>
      <c r="V4309" s="22">
        <f t="shared" si="333"/>
        <v>0.47356508728679519</v>
      </c>
      <c r="X4309" s="33"/>
      <c r="Y4309" s="33"/>
    </row>
    <row r="4310" spans="1:25" x14ac:dyDescent="0.2">
      <c r="A4310" s="93" t="s">
        <v>2872</v>
      </c>
      <c r="B4310" s="94" t="str">
        <f>IFERROR(VLOOKUP($A4310,HeadJournal!$A$1:$NTR$890,COLUMN(HeadJournal!B$1),0),"")</f>
        <v>720000541466</v>
      </c>
      <c r="C4310" s="94" t="str">
        <f>IFERROR(VLOOKUP($A4310,HeadJournal!$A$1:$NTR$890,COLUMN(HeadJournal!C$1),0),"")</f>
        <v>iHerb_VP DFD1605</v>
      </c>
      <c r="D4310" s="125" t="str">
        <f>IFERROR(VLOOKUP($A4310,HeadJournal!$A$1:$NTR$890,COLUMN(HeadJournal!D$1),0),"")</f>
        <v>Доставлен</v>
      </c>
      <c r="E4310" s="95">
        <f>IFERROR(VLOOKUP($A4310,HeadJournal!$A$1:$NTR$890,COLUMN(HeadJournal!G$1),0),"")</f>
        <v>45662</v>
      </c>
      <c r="F4310" s="95" t="str">
        <f t="shared" si="334"/>
        <v>2025 01</v>
      </c>
      <c r="G4310" s="97" t="s">
        <v>5</v>
      </c>
      <c r="H4310" s="161" t="s">
        <v>2870</v>
      </c>
      <c r="I4310" s="97" t="s">
        <v>2618</v>
      </c>
      <c r="J4310" s="97" t="s">
        <v>2871</v>
      </c>
      <c r="K4310" s="29">
        <v>10.25</v>
      </c>
      <c r="L4310" s="29">
        <v>-2.0499999999999998</v>
      </c>
      <c r="M4310" s="30">
        <f>IFERROR(VLOOKUP($A4310,HeadJournal!$A$1:$J$890,COLUMN(HeadJournal!I$1),0)*($K4310+$L4310)/(SUMIF($A:$A,$A4310,$K:$K)+SUMIF($A:$A,$A4310,$L:$L)),0)</f>
        <v>0</v>
      </c>
      <c r="N4310" s="30">
        <f>IFERROR((VLOOKUP($A4310,HeadJournal!$A$1:$K$890,COLUMN(HeadJournal!K$1),0)-VLOOKUP($A4310,HeadJournal!$A$1:$K$890,COLUMN(HeadJournal!J$1),0))*($K4310+$L4310)/(SUMIF($A:$A,$A4310,$K:$K)+SUMIF($A:$A,$A4310,$L:$L)),0)</f>
        <v>1.2002781960617649E-15</v>
      </c>
      <c r="O4310" s="30">
        <f>IFERROR((VLOOKUP($A4310,HeadJournal!$A$1:$L$890,COLUMN(HeadJournal!L$1),0)*($K4310+$L4310)/(SUMIF($A:$A,$A4310,$K:$K)+SUMIF($A:$A,$A4310,$L:$L)))/VLOOKUP($A4310,HeadJournal!$A$1:$L$890,COLUMN(HeadJournal!H$1),0),0)</f>
        <v>0.30255012886201887</v>
      </c>
      <c r="P4310" s="30">
        <f>IFERROR(SUM(K4310:O4310)*VLOOKUP($A4310,HeadJournal!$A$1:$L$890,COLUMN(HeadJournal!H$1),0),0)</f>
        <v>1063.8464987725536</v>
      </c>
      <c r="Q4310" s="29">
        <v>1600</v>
      </c>
      <c r="R4310" s="31">
        <v>45710</v>
      </c>
      <c r="S4310" s="31" t="s">
        <v>3121</v>
      </c>
      <c r="T4310" s="95" t="str">
        <f t="shared" si="335"/>
        <v>2025 02</v>
      </c>
      <c r="U4310" s="32">
        <f t="shared" si="332"/>
        <v>536.15350122744644</v>
      </c>
      <c r="V4310" s="22">
        <f t="shared" si="333"/>
        <v>0.5039763742664477</v>
      </c>
      <c r="X4310" s="33"/>
      <c r="Y4310" s="33"/>
    </row>
    <row r="4311" spans="1:25" x14ac:dyDescent="0.2">
      <c r="A4311" s="93" t="s">
        <v>2872</v>
      </c>
      <c r="B4311" s="94" t="str">
        <f>IFERROR(VLOOKUP($A4311,HeadJournal!$A$1:$NTR$890,COLUMN(HeadJournal!B$1),0),"")</f>
        <v>720000541466</v>
      </c>
      <c r="C4311" s="94" t="str">
        <f>IFERROR(VLOOKUP($A4311,HeadJournal!$A$1:$NTR$890,COLUMN(HeadJournal!C$1),0),"")</f>
        <v>iHerb_VP DFD1605</v>
      </c>
      <c r="D4311" s="125" t="str">
        <f>IFERROR(VLOOKUP($A4311,HeadJournal!$A$1:$NTR$890,COLUMN(HeadJournal!D$1),0),"")</f>
        <v>Доставлен</v>
      </c>
      <c r="E4311" s="95">
        <f>IFERROR(VLOOKUP($A4311,HeadJournal!$A$1:$NTR$890,COLUMN(HeadJournal!G$1),0),"")</f>
        <v>45662</v>
      </c>
      <c r="F4311" s="95" t="str">
        <f t="shared" si="334"/>
        <v>2025 01</v>
      </c>
      <c r="G4311" s="97" t="s">
        <v>5</v>
      </c>
      <c r="H4311" s="161" t="s">
        <v>2565</v>
      </c>
      <c r="I4311" s="97" t="s">
        <v>2052</v>
      </c>
      <c r="J4311" s="97" t="s">
        <v>3829</v>
      </c>
      <c r="K4311" s="29">
        <v>31.02</v>
      </c>
      <c r="L4311" s="29">
        <v>-12.41</v>
      </c>
      <c r="M4311" s="30">
        <f>IFERROR(VLOOKUP($A4311,HeadJournal!$A$1:$J$890,COLUMN(HeadJournal!I$1),0)*($K4311+$L4311)/(SUMIF($A:$A,$A4311,$K:$K)+SUMIF($A:$A,$A4311,$L:$L)),0)</f>
        <v>0</v>
      </c>
      <c r="N4311" s="30">
        <f>IFERROR((VLOOKUP($A4311,HeadJournal!$A$1:$K$890,COLUMN(HeadJournal!K$1),0)-VLOOKUP($A4311,HeadJournal!$A$1:$K$890,COLUMN(HeadJournal!J$1),0))*($K4311+$L4311)/(SUMIF($A:$A,$A4311,$K:$K)+SUMIF($A:$A,$A4311,$L:$L)),0)</f>
        <v>2.7240460035011521E-15</v>
      </c>
      <c r="O4311" s="30">
        <f>IFERROR((VLOOKUP($A4311,HeadJournal!$A$1:$L$890,COLUMN(HeadJournal!L$1),0)*($K4311+$L4311)/(SUMIF($A:$A,$A4311,$K:$K)+SUMIF($A:$A,$A4311,$L:$L)))/VLOOKUP($A4311,HeadJournal!$A$1:$L$890,COLUMN(HeadJournal!H$1),0),0)</f>
        <v>0.68664120708806964</v>
      </c>
      <c r="P4311" s="30">
        <f>IFERROR(SUM(K4311:O4311)*VLOOKUP($A4311,HeadJournal!$A$1:$L$890,COLUMN(HeadJournal!H$1),0),0)</f>
        <v>2414.4126027021002</v>
      </c>
      <c r="Q4311" s="29">
        <v>3600</v>
      </c>
      <c r="R4311" s="31">
        <v>45849</v>
      </c>
      <c r="S4311" s="31" t="s">
        <v>3226</v>
      </c>
      <c r="T4311" s="95" t="str">
        <f t="shared" si="335"/>
        <v>2025 07</v>
      </c>
      <c r="U4311" s="32">
        <f t="shared" si="332"/>
        <v>1185.5873972978998</v>
      </c>
      <c r="V4311" s="22">
        <f t="shared" si="333"/>
        <v>0.49104589496055667</v>
      </c>
      <c r="X4311" s="33"/>
      <c r="Y4311" s="33"/>
    </row>
    <row r="4312" spans="1:25" x14ac:dyDescent="0.2">
      <c r="A4312" s="93" t="s">
        <v>2882</v>
      </c>
      <c r="B4312" s="94" t="str">
        <f>IFERROR(VLOOKUP($A4312,HeadJournal!$A$1:$NTR$890,COLUMN(HeadJournal!B$1),0),"")</f>
        <v>720000565805</v>
      </c>
      <c r="C4312" s="94" t="str">
        <f>IFERROR(VLOOKUP($A4312,HeadJournal!$A$1:$NTR$890,COLUMN(HeadJournal!C$1),0),"")</f>
        <v>iHerb_OA CZN6870</v>
      </c>
      <c r="D4312" s="125" t="str">
        <f>IFERROR(VLOOKUP($A4312,HeadJournal!$A$1:$NTR$890,COLUMN(HeadJournal!D$1),0),"")</f>
        <v>Доставлен</v>
      </c>
      <c r="E4312" s="95">
        <f>IFERROR(VLOOKUP($A4312,HeadJournal!$A$1:$NTR$890,COLUMN(HeadJournal!G$1),0),"")</f>
        <v>45687</v>
      </c>
      <c r="F4312" s="95" t="str">
        <f t="shared" si="334"/>
        <v>2025 01</v>
      </c>
      <c r="G4312" s="97" t="s">
        <v>5</v>
      </c>
      <c r="H4312" s="161" t="s">
        <v>2876</v>
      </c>
      <c r="I4312" s="97" t="s">
        <v>2207</v>
      </c>
      <c r="J4312" s="97" t="s">
        <v>2877</v>
      </c>
      <c r="K4312" s="29">
        <v>49.91</v>
      </c>
      <c r="L4312" s="29">
        <v>-4.99</v>
      </c>
      <c r="M4312" s="30">
        <f>IFERROR(VLOOKUP($A4312,HeadJournal!$A$1:$J$890,COLUMN(HeadJournal!I$1),0)*($K4312+$L4312)/(SUMIF($A:$A,$A4312,$K:$K)+SUMIF($A:$A,$A4312,$L:$L)),0)</f>
        <v>-5.9266840567612684</v>
      </c>
      <c r="N4312" s="30">
        <f>IFERROR((VLOOKUP($A4312,HeadJournal!$A$1:$K$890,COLUMN(HeadJournal!K$1),0)-VLOOKUP($A4312,HeadJournal!$A$1:$K$890,COLUMN(HeadJournal!J$1),0))*($K4312+$L4312)/(SUMIF($A:$A,$A4312,$K:$K)+SUMIF($A:$A,$A4312,$L:$L)),0)</f>
        <v>0</v>
      </c>
      <c r="O4312" s="30">
        <f>IFERROR((VLOOKUP($A4312,HeadJournal!$A$1:$L$890,COLUMN(HeadJournal!L$1),0)*($K4312+$L4312)/(SUMIF($A:$A,$A4312,$K:$K)+SUMIF($A:$A,$A4312,$L:$L)))/VLOOKUP($A4312,HeadJournal!$A$1:$L$890,COLUMN(HeadJournal!H$1),0),0)</f>
        <v>1.5353929251267426</v>
      </c>
      <c r="P4312" s="30">
        <f>IFERROR(SUM(K4312:O4312)*VLOOKUP($A4312,HeadJournal!$A$1:$L$890,COLUMN(HeadJournal!H$1),0),0)</f>
        <v>4577.600628130217</v>
      </c>
      <c r="Q4312" s="29">
        <v>6000</v>
      </c>
      <c r="R4312" s="31">
        <v>45844</v>
      </c>
      <c r="S4312" s="31"/>
      <c r="T4312" s="95" t="str">
        <f t="shared" si="335"/>
        <v>2025 07</v>
      </c>
      <c r="U4312" s="32">
        <f t="shared" si="332"/>
        <v>1422.399371869783</v>
      </c>
      <c r="V4312" s="22">
        <f t="shared" si="333"/>
        <v>0.3107303339502514</v>
      </c>
      <c r="X4312" s="33"/>
      <c r="Y4312" s="33"/>
    </row>
    <row r="4313" spans="1:25" x14ac:dyDescent="0.2">
      <c r="A4313" s="93" t="s">
        <v>2882</v>
      </c>
      <c r="B4313" s="94" t="str">
        <f>IFERROR(VLOOKUP($A4313,HeadJournal!$A$1:$NTR$890,COLUMN(HeadJournal!B$1),0),"")</f>
        <v>720000565805</v>
      </c>
      <c r="C4313" s="94" t="str">
        <f>IFERROR(VLOOKUP($A4313,HeadJournal!$A$1:$NTR$890,COLUMN(HeadJournal!C$1),0),"")</f>
        <v>iHerb_OA CZN6870</v>
      </c>
      <c r="D4313" s="125" t="str">
        <f>IFERROR(VLOOKUP($A4313,HeadJournal!$A$1:$NTR$890,COLUMN(HeadJournal!D$1),0),"")</f>
        <v>Доставлен</v>
      </c>
      <c r="E4313" s="95">
        <f>IFERROR(VLOOKUP($A4313,HeadJournal!$A$1:$NTR$890,COLUMN(HeadJournal!G$1),0),"")</f>
        <v>45687</v>
      </c>
      <c r="F4313" s="95" t="str">
        <f t="shared" si="334"/>
        <v>2025 01</v>
      </c>
      <c r="G4313" s="97" t="s">
        <v>5</v>
      </c>
      <c r="H4313" s="161" t="s">
        <v>2702</v>
      </c>
      <c r="I4313" s="97" t="s">
        <v>2703</v>
      </c>
      <c r="J4313" s="97" t="s">
        <v>2704</v>
      </c>
      <c r="K4313" s="29">
        <v>6.72</v>
      </c>
      <c r="L4313" s="29">
        <v>-0.67</v>
      </c>
      <c r="M4313" s="30">
        <f>IFERROR(VLOOKUP($A4313,HeadJournal!$A$1:$J$890,COLUMN(HeadJournal!I$1),0)*($K4313+$L4313)/(SUMIF($A:$A,$A4313,$K:$K)+SUMIF($A:$A,$A4313,$L:$L)),0)</f>
        <v>-0.79822881886477459</v>
      </c>
      <c r="N4313" s="30">
        <f>IFERROR((VLOOKUP($A4313,HeadJournal!$A$1:$K$890,COLUMN(HeadJournal!K$1),0)-VLOOKUP($A4313,HeadJournal!$A$1:$K$890,COLUMN(HeadJournal!J$1),0))*($K4313+$L4313)/(SUMIF($A:$A,$A4313,$K:$K)+SUMIF($A:$A,$A4313,$L:$L)),0)</f>
        <v>0</v>
      </c>
      <c r="O4313" s="30">
        <f>IFERROR((VLOOKUP($A4313,HeadJournal!$A$1:$L$890,COLUMN(HeadJournal!L$1),0)*($K4313+$L4313)/(SUMIF($A:$A,$A4313,$K:$K)+SUMIF($A:$A,$A4313,$L:$L)))/VLOOKUP($A4313,HeadJournal!$A$1:$L$890,COLUMN(HeadJournal!H$1),0),0)</f>
        <v>0.20679268025415837</v>
      </c>
      <c r="P4313" s="30">
        <f>IFERROR(SUM(K4313:O4313)*VLOOKUP($A4313,HeadJournal!$A$1:$L$890,COLUMN(HeadJournal!H$1),0),0)</f>
        <v>616.52902493739566</v>
      </c>
      <c r="Q4313" s="29">
        <v>1100</v>
      </c>
      <c r="R4313" s="31">
        <v>45808</v>
      </c>
      <c r="S4313" s="31" t="s">
        <v>3475</v>
      </c>
      <c r="T4313" s="95" t="str">
        <f t="shared" si="335"/>
        <v>2025 05</v>
      </c>
      <c r="U4313" s="32">
        <f t="shared" si="332"/>
        <v>483.47097506260434</v>
      </c>
      <c r="V4313" s="22">
        <f t="shared" si="333"/>
        <v>0.78418201821349376</v>
      </c>
      <c r="X4313" s="33"/>
      <c r="Y4313" s="33"/>
    </row>
    <row r="4314" spans="1:25" x14ac:dyDescent="0.2">
      <c r="A4314" s="93" t="s">
        <v>2882</v>
      </c>
      <c r="B4314" s="94" t="str">
        <f>IFERROR(VLOOKUP($A4314,HeadJournal!$A$1:$NTR$890,COLUMN(HeadJournal!B$1),0),"")</f>
        <v>720000565805</v>
      </c>
      <c r="C4314" s="94" t="str">
        <f>IFERROR(VLOOKUP($A4314,HeadJournal!$A$1:$NTR$890,COLUMN(HeadJournal!C$1),0),"")</f>
        <v>iHerb_OA CZN6870</v>
      </c>
      <c r="D4314" s="125" t="str">
        <f>IFERROR(VLOOKUP($A4314,HeadJournal!$A$1:$NTR$890,COLUMN(HeadJournal!D$1),0),"")</f>
        <v>Доставлен</v>
      </c>
      <c r="E4314" s="95">
        <f>IFERROR(VLOOKUP($A4314,HeadJournal!$A$1:$NTR$890,COLUMN(HeadJournal!G$1),0),"")</f>
        <v>45687</v>
      </c>
      <c r="F4314" s="95" t="str">
        <f t="shared" si="334"/>
        <v>2025 01</v>
      </c>
      <c r="G4314" s="97" t="s">
        <v>5</v>
      </c>
      <c r="H4314" s="161" t="s">
        <v>2841</v>
      </c>
      <c r="I4314" s="97" t="s">
        <v>2839</v>
      </c>
      <c r="J4314" s="97" t="s">
        <v>2842</v>
      </c>
      <c r="K4314" s="29">
        <v>18.55</v>
      </c>
      <c r="L4314" s="29">
        <v>0</v>
      </c>
      <c r="M4314" s="30">
        <f>IFERROR(VLOOKUP($A4314,HeadJournal!$A$1:$J$890,COLUMN(HeadJournal!I$1),0)*($K4314+$L4314)/(SUMIF($A:$A,$A4314,$K:$K)+SUMIF($A:$A,$A4314,$L:$L)),0)</f>
        <v>-2.4474619156928217</v>
      </c>
      <c r="N4314" s="30">
        <f>IFERROR((VLOOKUP($A4314,HeadJournal!$A$1:$K$890,COLUMN(HeadJournal!K$1),0)-VLOOKUP($A4314,HeadJournal!$A$1:$K$890,COLUMN(HeadJournal!J$1),0))*($K4314+$L4314)/(SUMIF($A:$A,$A4314,$K:$K)+SUMIF($A:$A,$A4314,$L:$L)),0)</f>
        <v>0</v>
      </c>
      <c r="O4314" s="30">
        <f>IFERROR((VLOOKUP($A4314,HeadJournal!$A$1:$L$890,COLUMN(HeadJournal!L$1),0)*($K4314+$L4314)/(SUMIF($A:$A,$A4314,$K:$K)+SUMIF($A:$A,$A4314,$L:$L)))/VLOOKUP($A4314,HeadJournal!$A$1:$L$890,COLUMN(HeadJournal!H$1),0),0)</f>
        <v>0.63405028408506414</v>
      </c>
      <c r="P4314" s="30">
        <f>IFERROR(SUM(K4314:O4314)*VLOOKUP($A4314,HeadJournal!$A$1:$L$890,COLUMN(HeadJournal!H$1),0),0)</f>
        <v>1890.3493243948246</v>
      </c>
      <c r="Q4314" s="29">
        <v>2600</v>
      </c>
      <c r="R4314" s="31">
        <v>45723</v>
      </c>
      <c r="S4314" s="31" t="s">
        <v>3121</v>
      </c>
      <c r="T4314" s="95" t="str">
        <f t="shared" si="335"/>
        <v>2025 03</v>
      </c>
      <c r="U4314" s="32">
        <f t="shared" si="332"/>
        <v>709.65067560517537</v>
      </c>
      <c r="V4314" s="22">
        <f t="shared" si="333"/>
        <v>0.37540716228856935</v>
      </c>
      <c r="X4314" s="33"/>
      <c r="Y4314" s="33"/>
    </row>
    <row r="4315" spans="1:25" x14ac:dyDescent="0.2">
      <c r="A4315" s="93" t="s">
        <v>2882</v>
      </c>
      <c r="B4315" s="94" t="str">
        <f>IFERROR(VLOOKUP($A4315,HeadJournal!$A$1:$NTR$890,COLUMN(HeadJournal!B$1),0),"")</f>
        <v>720000565805</v>
      </c>
      <c r="C4315" s="94" t="str">
        <f>IFERROR(VLOOKUP($A4315,HeadJournal!$A$1:$NTR$890,COLUMN(HeadJournal!C$1),0),"")</f>
        <v>iHerb_OA CZN6870</v>
      </c>
      <c r="D4315" s="125" t="str">
        <f>IFERROR(VLOOKUP($A4315,HeadJournal!$A$1:$NTR$890,COLUMN(HeadJournal!D$1),0),"")</f>
        <v>Доставлен</v>
      </c>
      <c r="E4315" s="95">
        <f>IFERROR(VLOOKUP($A4315,HeadJournal!$A$1:$NTR$890,COLUMN(HeadJournal!G$1),0),"")</f>
        <v>45687</v>
      </c>
      <c r="F4315" s="95" t="str">
        <f t="shared" si="334"/>
        <v>2025 01</v>
      </c>
      <c r="G4315" s="97" t="s">
        <v>5</v>
      </c>
      <c r="H4315" s="161" t="s">
        <v>2878</v>
      </c>
      <c r="I4315" s="97" t="s">
        <v>2005</v>
      </c>
      <c r="J4315" s="97" t="s">
        <v>2879</v>
      </c>
      <c r="K4315" s="29">
        <v>9.34</v>
      </c>
      <c r="L4315" s="29">
        <v>-0.93</v>
      </c>
      <c r="M4315" s="30">
        <f>IFERROR(VLOOKUP($A4315,HeadJournal!$A$1:$J$890,COLUMN(HeadJournal!I$1),0)*($K4315+$L4315)/(SUMIF($A:$A,$A4315,$K:$K)+SUMIF($A:$A,$A4315,$L:$L)),0)</f>
        <v>-1.1096040275459098</v>
      </c>
      <c r="N4315" s="30">
        <f>IFERROR((VLOOKUP($A4315,HeadJournal!$A$1:$K$890,COLUMN(HeadJournal!K$1),0)-VLOOKUP($A4315,HeadJournal!$A$1:$K$890,COLUMN(HeadJournal!J$1),0))*($K4315+$L4315)/(SUMIF($A:$A,$A4315,$K:$K)+SUMIF($A:$A,$A4315,$L:$L)),0)</f>
        <v>0</v>
      </c>
      <c r="O4315" s="30">
        <f>IFERROR((VLOOKUP($A4315,HeadJournal!$A$1:$L$890,COLUMN(HeadJournal!L$1),0)*($K4315+$L4315)/(SUMIF($A:$A,$A4315,$K:$K)+SUMIF($A:$A,$A4315,$L:$L)))/VLOOKUP($A4315,HeadJournal!$A$1:$L$890,COLUMN(HeadJournal!H$1),0),0)</f>
        <v>0.28745891585743338</v>
      </c>
      <c r="P4315" s="30">
        <f>IFERROR(SUM(K4315:O4315)*VLOOKUP($A4315,HeadJournal!$A$1:$L$890,COLUMN(HeadJournal!H$1),0),0)</f>
        <v>857.02629747495837</v>
      </c>
      <c r="Q4315" s="29">
        <v>1500</v>
      </c>
      <c r="R4315" s="31">
        <v>45730</v>
      </c>
      <c r="S4315" s="31" t="s">
        <v>3121</v>
      </c>
      <c r="T4315" s="95" t="str">
        <f t="shared" si="335"/>
        <v>2025 03</v>
      </c>
      <c r="U4315" s="32">
        <f t="shared" si="332"/>
        <v>642.97370252504163</v>
      </c>
      <c r="V4315" s="22">
        <f t="shared" si="333"/>
        <v>0.75023800835449717</v>
      </c>
      <c r="X4315" s="33"/>
      <c r="Y4315" s="33"/>
    </row>
    <row r="4316" spans="1:25" x14ac:dyDescent="0.2">
      <c r="A4316" s="93" t="s">
        <v>2882</v>
      </c>
      <c r="B4316" s="94" t="str">
        <f>IFERROR(VLOOKUP($A4316,HeadJournal!$A$1:$NTR$890,COLUMN(HeadJournal!B$1),0),"")</f>
        <v>720000565805</v>
      </c>
      <c r="C4316" s="94" t="str">
        <f>IFERROR(VLOOKUP($A4316,HeadJournal!$A$1:$NTR$890,COLUMN(HeadJournal!C$1),0),"")</f>
        <v>iHerb_OA CZN6870</v>
      </c>
      <c r="D4316" s="125" t="str">
        <f>IFERROR(VLOOKUP($A4316,HeadJournal!$A$1:$NTR$890,COLUMN(HeadJournal!D$1),0),"")</f>
        <v>Доставлен</v>
      </c>
      <c r="E4316" s="95">
        <f>IFERROR(VLOOKUP($A4316,HeadJournal!$A$1:$NTR$890,COLUMN(HeadJournal!G$1),0),"")</f>
        <v>45687</v>
      </c>
      <c r="F4316" s="95" t="str">
        <f t="shared" si="334"/>
        <v>2025 01</v>
      </c>
      <c r="G4316" s="97" t="s">
        <v>5</v>
      </c>
      <c r="H4316" s="161" t="s">
        <v>2051</v>
      </c>
      <c r="I4316" s="97" t="s">
        <v>2052</v>
      </c>
      <c r="J4316" s="97" t="s">
        <v>3097</v>
      </c>
      <c r="K4316" s="29">
        <v>21.04</v>
      </c>
      <c r="L4316" s="29">
        <v>-6.3125</v>
      </c>
      <c r="M4316" s="30">
        <f>IFERROR(VLOOKUP($A4316,HeadJournal!$A$1:$J$890,COLUMN(HeadJournal!I$1),0)*($K4316+$L4316)/(SUMIF($A:$A,$A4316,$K:$K)+SUMIF($A:$A,$A4316,$L:$L)),0)</f>
        <v>-1.9431264346828048</v>
      </c>
      <c r="N4316" s="30">
        <f>IFERROR((VLOOKUP($A4316,HeadJournal!$A$1:$K$890,COLUMN(HeadJournal!K$1),0)-VLOOKUP($A4316,HeadJournal!$A$1:$K$890,COLUMN(HeadJournal!J$1),0))*($K4316+$L4316)/(SUMIF($A:$A,$A4316,$K:$K)+SUMIF($A:$A,$A4316,$L:$L)),0)</f>
        <v>0</v>
      </c>
      <c r="O4316" s="30">
        <f>IFERROR((VLOOKUP($A4316,HeadJournal!$A$1:$L$890,COLUMN(HeadJournal!L$1),0)*($K4316+$L4316)/(SUMIF($A:$A,$A4316,$K:$K)+SUMIF($A:$A,$A4316,$L:$L)))/VLOOKUP($A4316,HeadJournal!$A$1:$L$890,COLUMN(HeadJournal!H$1),0),0)</f>
        <v>0.50339490883357307</v>
      </c>
      <c r="P4316" s="30">
        <f>IFERROR(SUM(K4316:O4316)*VLOOKUP($A4316,HeadJournal!$A$1:$L$890,COLUMN(HeadJournal!H$1),0),0)</f>
        <v>1500.8150768207429</v>
      </c>
      <c r="Q4316" s="29">
        <v>2300</v>
      </c>
      <c r="R4316" s="31">
        <v>45747</v>
      </c>
      <c r="S4316" s="31" t="s">
        <v>3121</v>
      </c>
      <c r="T4316" s="95" t="str">
        <f t="shared" si="335"/>
        <v>2025 03</v>
      </c>
      <c r="U4316" s="32">
        <f t="shared" si="332"/>
        <v>799.18492317925711</v>
      </c>
      <c r="V4316" s="22">
        <f t="shared" si="333"/>
        <v>0.53250059619084678</v>
      </c>
      <c r="X4316" s="33"/>
      <c r="Y4316" s="33"/>
    </row>
    <row r="4317" spans="1:25" x14ac:dyDescent="0.2">
      <c r="A4317" s="93" t="s">
        <v>2882</v>
      </c>
      <c r="B4317" s="94" t="str">
        <f>IFERROR(VLOOKUP($A4317,HeadJournal!$A$1:$NTR$890,COLUMN(HeadJournal!B$1),0),"")</f>
        <v>720000565805</v>
      </c>
      <c r="C4317" s="94" t="str">
        <f>IFERROR(VLOOKUP($A4317,HeadJournal!$A$1:$NTR$890,COLUMN(HeadJournal!C$1),0),"")</f>
        <v>iHerb_OA CZN6870</v>
      </c>
      <c r="D4317" s="125" t="str">
        <f>IFERROR(VLOOKUP($A4317,HeadJournal!$A$1:$NTR$890,COLUMN(HeadJournal!D$1),0),"")</f>
        <v>Доставлен</v>
      </c>
      <c r="E4317" s="95">
        <f>IFERROR(VLOOKUP($A4317,HeadJournal!$A$1:$NTR$890,COLUMN(HeadJournal!G$1),0),"")</f>
        <v>45687</v>
      </c>
      <c r="F4317" s="95" t="str">
        <f t="shared" si="334"/>
        <v>2025 01</v>
      </c>
      <c r="G4317" s="97" t="s">
        <v>5</v>
      </c>
      <c r="H4317" s="161" t="s">
        <v>2051</v>
      </c>
      <c r="I4317" s="97" t="s">
        <v>2052</v>
      </c>
      <c r="J4317" s="97" t="s">
        <v>3097</v>
      </c>
      <c r="K4317" s="29">
        <v>21.04</v>
      </c>
      <c r="L4317" s="29">
        <v>-6.3125</v>
      </c>
      <c r="M4317" s="30">
        <f>IFERROR(VLOOKUP($A4317,HeadJournal!$A$1:$J$890,COLUMN(HeadJournal!I$1),0)*($K4317+$L4317)/(SUMIF($A:$A,$A4317,$K:$K)+SUMIF($A:$A,$A4317,$L:$L)),0)</f>
        <v>-1.9431264346828048</v>
      </c>
      <c r="N4317" s="30">
        <f>IFERROR((VLOOKUP($A4317,HeadJournal!$A$1:$K$890,COLUMN(HeadJournal!K$1),0)-VLOOKUP($A4317,HeadJournal!$A$1:$K$890,COLUMN(HeadJournal!J$1),0))*($K4317+$L4317)/(SUMIF($A:$A,$A4317,$K:$K)+SUMIF($A:$A,$A4317,$L:$L)),0)</f>
        <v>0</v>
      </c>
      <c r="O4317" s="30">
        <f>IFERROR((VLOOKUP($A4317,HeadJournal!$A$1:$L$890,COLUMN(HeadJournal!L$1),0)*($K4317+$L4317)/(SUMIF($A:$A,$A4317,$K:$K)+SUMIF($A:$A,$A4317,$L:$L)))/VLOOKUP($A4317,HeadJournal!$A$1:$L$890,COLUMN(HeadJournal!H$1),0),0)</f>
        <v>0.50339490883357307</v>
      </c>
      <c r="P4317" s="30">
        <f>IFERROR(SUM(K4317:O4317)*VLOOKUP($A4317,HeadJournal!$A$1:$L$890,COLUMN(HeadJournal!H$1),0),0)</f>
        <v>1500.8150768207429</v>
      </c>
      <c r="Q4317" s="29">
        <v>2200</v>
      </c>
      <c r="R4317" s="31">
        <v>45750</v>
      </c>
      <c r="S4317" s="31" t="s">
        <v>3121</v>
      </c>
      <c r="T4317" s="95" t="str">
        <f t="shared" si="335"/>
        <v>2025 04</v>
      </c>
      <c r="U4317" s="32">
        <f t="shared" si="332"/>
        <v>699.18492317925711</v>
      </c>
      <c r="V4317" s="22">
        <f t="shared" si="333"/>
        <v>0.46587013548689693</v>
      </c>
      <c r="X4317" s="33"/>
      <c r="Y4317" s="33"/>
    </row>
    <row r="4318" spans="1:25" x14ac:dyDescent="0.2">
      <c r="A4318" s="93" t="s">
        <v>2882</v>
      </c>
      <c r="B4318" s="94" t="str">
        <f>IFERROR(VLOOKUP($A4318,HeadJournal!$A$1:$NTR$890,COLUMN(HeadJournal!B$1),0),"")</f>
        <v>720000565805</v>
      </c>
      <c r="C4318" s="94" t="str">
        <f>IFERROR(VLOOKUP($A4318,HeadJournal!$A$1:$NTR$890,COLUMN(HeadJournal!C$1),0),"")</f>
        <v>iHerb_OA CZN6870</v>
      </c>
      <c r="D4318" s="125" t="str">
        <f>IFERROR(VLOOKUP($A4318,HeadJournal!$A$1:$NTR$890,COLUMN(HeadJournal!D$1),0),"")</f>
        <v>Доставлен</v>
      </c>
      <c r="E4318" s="95">
        <f>IFERROR(VLOOKUP($A4318,HeadJournal!$A$1:$NTR$890,COLUMN(HeadJournal!G$1),0),"")</f>
        <v>45687</v>
      </c>
      <c r="F4318" s="95" t="str">
        <f t="shared" si="334"/>
        <v>2025 01</v>
      </c>
      <c r="G4318" s="97" t="s">
        <v>5</v>
      </c>
      <c r="H4318" s="161" t="s">
        <v>2051</v>
      </c>
      <c r="I4318" s="97" t="s">
        <v>2052</v>
      </c>
      <c r="J4318" s="97" t="s">
        <v>3097</v>
      </c>
      <c r="K4318" s="29">
        <v>21.04</v>
      </c>
      <c r="L4318" s="29">
        <v>-6.3125</v>
      </c>
      <c r="M4318" s="30">
        <f>IFERROR(VLOOKUP($A4318,HeadJournal!$A$1:$J$890,COLUMN(HeadJournal!I$1),0)*($K4318+$L4318)/(SUMIF($A:$A,$A4318,$K:$K)+SUMIF($A:$A,$A4318,$L:$L)),0)</f>
        <v>-1.9431264346828048</v>
      </c>
      <c r="N4318" s="30">
        <f>IFERROR((VLOOKUP($A4318,HeadJournal!$A$1:$K$890,COLUMN(HeadJournal!K$1),0)-VLOOKUP($A4318,HeadJournal!$A$1:$K$890,COLUMN(HeadJournal!J$1),0))*($K4318+$L4318)/(SUMIF($A:$A,$A4318,$K:$K)+SUMIF($A:$A,$A4318,$L:$L)),0)</f>
        <v>0</v>
      </c>
      <c r="O4318" s="30">
        <f>IFERROR((VLOOKUP($A4318,HeadJournal!$A$1:$L$890,COLUMN(HeadJournal!L$1),0)*($K4318+$L4318)/(SUMIF($A:$A,$A4318,$K:$K)+SUMIF($A:$A,$A4318,$L:$L)))/VLOOKUP($A4318,HeadJournal!$A$1:$L$890,COLUMN(HeadJournal!H$1),0),0)</f>
        <v>0.50339490883357307</v>
      </c>
      <c r="P4318" s="30">
        <f>IFERROR(SUM(K4318:O4318)*VLOOKUP($A4318,HeadJournal!$A$1:$L$890,COLUMN(HeadJournal!H$1),0),0)</f>
        <v>1500.8150768207429</v>
      </c>
      <c r="Q4318" s="29">
        <v>2300</v>
      </c>
      <c r="R4318" s="31">
        <v>45774</v>
      </c>
      <c r="S4318" s="31" t="s">
        <v>3121</v>
      </c>
      <c r="T4318" s="95" t="str">
        <f t="shared" si="335"/>
        <v>2025 04</v>
      </c>
      <c r="U4318" s="32">
        <f t="shared" si="332"/>
        <v>799.18492317925711</v>
      </c>
      <c r="V4318" s="22">
        <f t="shared" si="333"/>
        <v>0.53250059619084678</v>
      </c>
      <c r="X4318" s="33"/>
      <c r="Y4318" s="33"/>
    </row>
    <row r="4319" spans="1:25" x14ac:dyDescent="0.2">
      <c r="A4319" s="93" t="s">
        <v>2882</v>
      </c>
      <c r="B4319" s="94" t="str">
        <f>IFERROR(VLOOKUP($A4319,HeadJournal!$A$1:$NTR$890,COLUMN(HeadJournal!B$1),0),"")</f>
        <v>720000565805</v>
      </c>
      <c r="C4319" s="94" t="str">
        <f>IFERROR(VLOOKUP($A4319,HeadJournal!$A$1:$NTR$890,COLUMN(HeadJournal!C$1),0),"")</f>
        <v>iHerb_OA CZN6870</v>
      </c>
      <c r="D4319" s="125" t="str">
        <f>IFERROR(VLOOKUP($A4319,HeadJournal!$A$1:$NTR$890,COLUMN(HeadJournal!D$1),0),"")</f>
        <v>Доставлен</v>
      </c>
      <c r="E4319" s="95">
        <f>IFERROR(VLOOKUP($A4319,HeadJournal!$A$1:$NTR$890,COLUMN(HeadJournal!G$1),0),"")</f>
        <v>45687</v>
      </c>
      <c r="F4319" s="95" t="str">
        <f t="shared" si="334"/>
        <v>2025 01</v>
      </c>
      <c r="G4319" s="97" t="s">
        <v>5</v>
      </c>
      <c r="H4319" s="161" t="s">
        <v>2051</v>
      </c>
      <c r="I4319" s="97" t="s">
        <v>2052</v>
      </c>
      <c r="J4319" s="97" t="s">
        <v>3097</v>
      </c>
      <c r="K4319" s="29">
        <v>21.04</v>
      </c>
      <c r="L4319" s="29">
        <v>-6.3125</v>
      </c>
      <c r="M4319" s="30">
        <f>IFERROR(VLOOKUP($A4319,HeadJournal!$A$1:$J$890,COLUMN(HeadJournal!I$1),0)*($K4319+$L4319)/(SUMIF($A:$A,$A4319,$K:$K)+SUMIF($A:$A,$A4319,$L:$L)),0)</f>
        <v>-1.9431264346828048</v>
      </c>
      <c r="N4319" s="30">
        <f>IFERROR((VLOOKUP($A4319,HeadJournal!$A$1:$K$890,COLUMN(HeadJournal!K$1),0)-VLOOKUP($A4319,HeadJournal!$A$1:$K$890,COLUMN(HeadJournal!J$1),0))*($K4319+$L4319)/(SUMIF($A:$A,$A4319,$K:$K)+SUMIF($A:$A,$A4319,$L:$L)),0)</f>
        <v>0</v>
      </c>
      <c r="O4319" s="30">
        <f>IFERROR((VLOOKUP($A4319,HeadJournal!$A$1:$L$890,COLUMN(HeadJournal!L$1),0)*($K4319+$L4319)/(SUMIF($A:$A,$A4319,$K:$K)+SUMIF($A:$A,$A4319,$L:$L)))/VLOOKUP($A4319,HeadJournal!$A$1:$L$890,COLUMN(HeadJournal!H$1),0),0)</f>
        <v>0.50339490883357307</v>
      </c>
      <c r="P4319" s="30">
        <f>IFERROR(SUM(K4319:O4319)*VLOOKUP($A4319,HeadJournal!$A$1:$L$890,COLUMN(HeadJournal!H$1),0),0)</f>
        <v>1500.8150768207429</v>
      </c>
      <c r="Q4319" s="29"/>
      <c r="R4319" s="31"/>
      <c r="S4319" s="31"/>
      <c r="T4319" s="95" t="str">
        <f t="shared" si="335"/>
        <v/>
      </c>
      <c r="U4319" s="32">
        <f t="shared" si="332"/>
        <v>-1500.8150768207429</v>
      </c>
      <c r="V4319" s="22" t="str">
        <f t="shared" si="333"/>
        <v/>
      </c>
      <c r="X4319" s="33"/>
      <c r="Y4319" s="33"/>
    </row>
    <row r="4320" spans="1:25" x14ac:dyDescent="0.2">
      <c r="A4320" s="93" t="s">
        <v>2882</v>
      </c>
      <c r="B4320" s="94" t="str">
        <f>IFERROR(VLOOKUP($A4320,HeadJournal!$A$1:$NTR$890,COLUMN(HeadJournal!B$1),0),"")</f>
        <v>720000565805</v>
      </c>
      <c r="C4320" s="94" t="str">
        <f>IFERROR(VLOOKUP($A4320,HeadJournal!$A$1:$NTR$890,COLUMN(HeadJournal!C$1),0),"")</f>
        <v>iHerb_OA CZN6870</v>
      </c>
      <c r="D4320" s="125" t="str">
        <f>IFERROR(VLOOKUP($A4320,HeadJournal!$A$1:$NTR$890,COLUMN(HeadJournal!D$1),0),"")</f>
        <v>Доставлен</v>
      </c>
      <c r="E4320" s="95">
        <f>IFERROR(VLOOKUP($A4320,HeadJournal!$A$1:$NTR$890,COLUMN(HeadJournal!G$1),0),"")</f>
        <v>45687</v>
      </c>
      <c r="F4320" s="95" t="str">
        <f t="shared" si="334"/>
        <v>2025 01</v>
      </c>
      <c r="G4320" s="97" t="s">
        <v>5</v>
      </c>
      <c r="H4320" s="161" t="s">
        <v>2624</v>
      </c>
      <c r="I4320" s="97" t="s">
        <v>2005</v>
      </c>
      <c r="J4320" s="97" t="s">
        <v>2625</v>
      </c>
      <c r="K4320" s="29">
        <v>24.4</v>
      </c>
      <c r="L4320" s="29">
        <v>-3.66</v>
      </c>
      <c r="M4320" s="30">
        <f>IFERROR(VLOOKUP($A4320,HeadJournal!$A$1:$J$890,COLUMN(HeadJournal!I$1),0)*($K4320+$L4320)/(SUMIF($A:$A,$A4320,$K:$K)+SUMIF($A:$A,$A4320,$L:$L)),0)</f>
        <v>-2.7364075542570951</v>
      </c>
      <c r="N4320" s="30">
        <f>IFERROR((VLOOKUP($A4320,HeadJournal!$A$1:$K$890,COLUMN(HeadJournal!K$1),0)-VLOOKUP($A4320,HeadJournal!$A$1:$K$890,COLUMN(HeadJournal!J$1),0))*($K4320+$L4320)/(SUMIF($A:$A,$A4320,$K:$K)+SUMIF($A:$A,$A4320,$L:$L)),0)</f>
        <v>0</v>
      </c>
      <c r="O4320" s="30">
        <f>IFERROR((VLOOKUP($A4320,HeadJournal!$A$1:$L$890,COLUMN(HeadJournal!L$1),0)*($K4320+$L4320)/(SUMIF($A:$A,$A4320,$K:$K)+SUMIF($A:$A,$A4320,$L:$L)))/VLOOKUP($A4320,HeadJournal!$A$1:$L$890,COLUMN(HeadJournal!H$1),0),0)</f>
        <v>0.70890581627623872</v>
      </c>
      <c r="P4320" s="30">
        <f>IFERROR(SUM(K4320:O4320)*VLOOKUP($A4320,HeadJournal!$A$1:$L$890,COLUMN(HeadJournal!H$1),0),0)</f>
        <v>2113.5226408597664</v>
      </c>
      <c r="Q4320" s="29">
        <v>2900</v>
      </c>
      <c r="R4320" s="31">
        <v>45842</v>
      </c>
      <c r="S4320" s="31"/>
      <c r="T4320" s="95" t="str">
        <f t="shared" si="335"/>
        <v>2025 07</v>
      </c>
      <c r="U4320" s="32">
        <f t="shared" si="332"/>
        <v>786.4773591402336</v>
      </c>
      <c r="V4320" s="22">
        <f t="shared" si="333"/>
        <v>0.37211683657209371</v>
      </c>
      <c r="X4320" s="33"/>
      <c r="Y4320" s="33"/>
    </row>
    <row r="4321" spans="1:25" x14ac:dyDescent="0.2">
      <c r="A4321" s="93" t="s">
        <v>2882</v>
      </c>
      <c r="B4321" s="94" t="str">
        <f>IFERROR(VLOOKUP($A4321,HeadJournal!$A$1:$NTR$890,COLUMN(HeadJournal!B$1),0),"")</f>
        <v>720000565805</v>
      </c>
      <c r="C4321" s="94" t="str">
        <f>IFERROR(VLOOKUP($A4321,HeadJournal!$A$1:$NTR$890,COLUMN(HeadJournal!C$1),0),"")</f>
        <v>iHerb_OA CZN6870</v>
      </c>
      <c r="D4321" s="125" t="str">
        <f>IFERROR(VLOOKUP($A4321,HeadJournal!$A$1:$NTR$890,COLUMN(HeadJournal!D$1),0),"")</f>
        <v>Доставлен</v>
      </c>
      <c r="E4321" s="95">
        <f>IFERROR(VLOOKUP($A4321,HeadJournal!$A$1:$NTR$890,COLUMN(HeadJournal!G$1),0),"")</f>
        <v>45687</v>
      </c>
      <c r="F4321" s="95" t="str">
        <f t="shared" si="334"/>
        <v>2025 01</v>
      </c>
      <c r="G4321" s="97" t="s">
        <v>5</v>
      </c>
      <c r="H4321" s="161" t="s">
        <v>2880</v>
      </c>
      <c r="I4321" s="97" t="s">
        <v>2052</v>
      </c>
      <c r="J4321" s="97" t="s">
        <v>2881</v>
      </c>
      <c r="K4321" s="29">
        <v>23.82</v>
      </c>
      <c r="L4321" s="29">
        <v>-7.15</v>
      </c>
      <c r="M4321" s="30">
        <f>IFERROR(VLOOKUP($A4321,HeadJournal!$A$1:$J$890,COLUMN(HeadJournal!I$1),0)*($K4321+$L4321)/(SUMIF($A:$A,$A4321,$K:$K)+SUMIF($A:$A,$A4321,$L:$L)),0)</f>
        <v>-2.1994172579298836</v>
      </c>
      <c r="N4321" s="30">
        <f>IFERROR((VLOOKUP($A4321,HeadJournal!$A$1:$K$890,COLUMN(HeadJournal!K$1),0)-VLOOKUP($A4321,HeadJournal!$A$1:$K$890,COLUMN(HeadJournal!J$1),0))*($K4321+$L4321)/(SUMIF($A:$A,$A4321,$K:$K)+SUMIF($A:$A,$A4321,$L:$L)),0)</f>
        <v>0</v>
      </c>
      <c r="O4321" s="30">
        <f>IFERROR((VLOOKUP($A4321,HeadJournal!$A$1:$L$890,COLUMN(HeadJournal!L$1),0)*($K4321+$L4321)/(SUMIF($A:$A,$A4321,$K:$K)+SUMIF($A:$A,$A4321,$L:$L)))/VLOOKUP($A4321,HeadJournal!$A$1:$L$890,COLUMN(HeadJournal!H$1),0),0)</f>
        <v>0.569790740468896</v>
      </c>
      <c r="P4321" s="30">
        <f>IFERROR(SUM(K4321:O4321)*VLOOKUP($A4321,HeadJournal!$A$1:$L$890,COLUMN(HeadJournal!H$1),0),0)</f>
        <v>1698.7667513564277</v>
      </c>
      <c r="Q4321" s="29">
        <v>2900</v>
      </c>
      <c r="R4321" s="31">
        <v>45726</v>
      </c>
      <c r="S4321" s="31" t="s">
        <v>3121</v>
      </c>
      <c r="T4321" s="95" t="str">
        <f t="shared" si="335"/>
        <v>2025 03</v>
      </c>
      <c r="U4321" s="32">
        <f t="shared" si="332"/>
        <v>1201.2332486435723</v>
      </c>
      <c r="V4321" s="22">
        <f t="shared" si="333"/>
        <v>0.7071207672768578</v>
      </c>
      <c r="X4321" s="33"/>
      <c r="Y4321" s="33"/>
    </row>
    <row r="4322" spans="1:25" x14ac:dyDescent="0.2">
      <c r="A4322" s="93" t="s">
        <v>2882</v>
      </c>
      <c r="B4322" s="94" t="str">
        <f>IFERROR(VLOOKUP($A4322,HeadJournal!$A$1:$NTR$890,COLUMN(HeadJournal!B$1),0),"")</f>
        <v>720000565805</v>
      </c>
      <c r="C4322" s="94" t="str">
        <f>IFERROR(VLOOKUP($A4322,HeadJournal!$A$1:$NTR$890,COLUMN(HeadJournal!C$1),0),"")</f>
        <v>iHerb_OA CZN6870</v>
      </c>
      <c r="D4322" s="125" t="str">
        <f>IFERROR(VLOOKUP($A4322,HeadJournal!$A$1:$NTR$890,COLUMN(HeadJournal!D$1),0),"")</f>
        <v>Доставлен</v>
      </c>
      <c r="E4322" s="95">
        <f>IFERROR(VLOOKUP($A4322,HeadJournal!$A$1:$NTR$890,COLUMN(HeadJournal!G$1),0),"")</f>
        <v>45687</v>
      </c>
      <c r="F4322" s="95" t="str">
        <f t="shared" si="334"/>
        <v>2025 01</v>
      </c>
      <c r="G4322" s="97" t="s">
        <v>5</v>
      </c>
      <c r="H4322" s="161" t="s">
        <v>2076</v>
      </c>
      <c r="I4322" s="97" t="s">
        <v>2005</v>
      </c>
      <c r="J4322" s="97" t="s">
        <v>2077</v>
      </c>
      <c r="K4322" s="29">
        <v>19.37</v>
      </c>
      <c r="L4322" s="29">
        <v>-1.94</v>
      </c>
      <c r="M4322" s="30">
        <f>IFERROR(VLOOKUP($A4322,HeadJournal!$A$1:$J$890,COLUMN(HeadJournal!I$1),0)*($K4322+$L4322)/(SUMIF($A:$A,$A4322,$K:$K)+SUMIF($A:$A,$A4322,$L:$L)),0)</f>
        <v>-2.2996906302170284</v>
      </c>
      <c r="N4322" s="30">
        <f>IFERROR((VLOOKUP($A4322,HeadJournal!$A$1:$K$890,COLUMN(HeadJournal!K$1),0)-VLOOKUP($A4322,HeadJournal!$A$1:$K$890,COLUMN(HeadJournal!J$1),0))*($K4322+$L4322)/(SUMIF($A:$A,$A4322,$K:$K)+SUMIF($A:$A,$A4322,$L:$L)),0)</f>
        <v>0</v>
      </c>
      <c r="O4322" s="30">
        <f>IFERROR((VLOOKUP($A4322,HeadJournal!$A$1:$L$890,COLUMN(HeadJournal!L$1),0)*($K4322+$L4322)/(SUMIF($A:$A,$A4322,$K:$K)+SUMIF($A:$A,$A4322,$L:$L)))/VLOOKUP($A4322,HeadJournal!$A$1:$L$890,COLUMN(HeadJournal!H$1),0),0)</f>
        <v>0.59576800278181485</v>
      </c>
      <c r="P4322" s="30">
        <f>IFERROR(SUM(K4322:O4322)*VLOOKUP($A4322,HeadJournal!$A$1:$L$890,COLUMN(HeadJournal!H$1),0),0)</f>
        <v>1776.2150255634392</v>
      </c>
      <c r="Q4322" s="29">
        <v>2500</v>
      </c>
      <c r="R4322" s="31">
        <v>45749</v>
      </c>
      <c r="S4322" s="31" t="s">
        <v>3121</v>
      </c>
      <c r="T4322" s="95" t="str">
        <f t="shared" si="335"/>
        <v>2025 04</v>
      </c>
      <c r="U4322" s="32">
        <f t="shared" si="332"/>
        <v>723.78497443656079</v>
      </c>
      <c r="V4322" s="22">
        <f t="shared" si="333"/>
        <v>0.40748724902097172</v>
      </c>
      <c r="X4322" s="33"/>
      <c r="Y4322" s="33"/>
    </row>
    <row r="4323" spans="1:25" x14ac:dyDescent="0.2">
      <c r="A4323" s="93" t="s">
        <v>2893</v>
      </c>
      <c r="B4323" s="94" t="str">
        <f>IFERROR(VLOOKUP($A4323,HeadJournal!$A$1:$NTR$890,COLUMN(HeadJournal!B$1),0),"")</f>
        <v>720000569982</v>
      </c>
      <c r="C4323" s="94" t="str">
        <f>IFERROR(VLOOKUP($A4323,HeadJournal!$A$1:$NTR$890,COLUMN(HeadJournal!C$1),0),"")</f>
        <v>iHerb_OA CZN6870</v>
      </c>
      <c r="D4323" s="125" t="str">
        <f>IFERROR(VLOOKUP($A4323,HeadJournal!$A$1:$NTR$890,COLUMN(HeadJournal!D$1),0),"")</f>
        <v>Доставлен</v>
      </c>
      <c r="E4323" s="95">
        <f>IFERROR(VLOOKUP($A4323,HeadJournal!$A$1:$NTR$890,COLUMN(HeadJournal!G$1),0),"")</f>
        <v>45693</v>
      </c>
      <c r="F4323" s="95" t="str">
        <f t="shared" si="334"/>
        <v>2025 02</v>
      </c>
      <c r="G4323" s="97" t="s">
        <v>5</v>
      </c>
      <c r="H4323" s="161" t="s">
        <v>2884</v>
      </c>
      <c r="I4323" s="97" t="s">
        <v>2839</v>
      </c>
      <c r="J4323" s="97" t="s">
        <v>2885</v>
      </c>
      <c r="K4323" s="29">
        <v>39.979999999999997</v>
      </c>
      <c r="L4323" s="29">
        <v>-10</v>
      </c>
      <c r="M4323" s="30">
        <f>IFERROR(VLOOKUP($A4323,HeadJournal!$A$1:$J$890,COLUMN(HeadJournal!I$1),0)*($K4323+$L4323)/(SUMIF($A:$A,$A4323,$K:$K)+SUMIF($A:$A,$A4323,$L:$L)),0)</f>
        <v>-1.4951504879301487</v>
      </c>
      <c r="N4323" s="30">
        <f>IFERROR((VLOOKUP($A4323,HeadJournal!$A$1:$K$890,COLUMN(HeadJournal!K$1),0)-VLOOKUP($A4323,HeadJournal!$A$1:$K$890,COLUMN(HeadJournal!J$1),0))*($K4323+$L4323)/(SUMIF($A:$A,$A4323,$K:$K)+SUMIF($A:$A,$A4323,$L:$L)),0)</f>
        <v>0</v>
      </c>
      <c r="O4323" s="30">
        <f>IFERROR((VLOOKUP($A4323,HeadJournal!$A$1:$L$890,COLUMN(HeadJournal!L$1),0)*($K4323+$L4323)/(SUMIF($A:$A,$A4323,$K:$K)+SUMIF($A:$A,$A4323,$L:$L)))/VLOOKUP($A4323,HeadJournal!$A$1:$L$890,COLUMN(HeadJournal!H$1),0),0)</f>
        <v>1.0178313556878791</v>
      </c>
      <c r="P4323" s="30">
        <f>IFERROR(SUM(K4323:O4323)*VLOOKUP($A4323,HeadJournal!$A$1:$L$890,COLUMN(HeadJournal!H$1),0),0)</f>
        <v>3302.8059054956329</v>
      </c>
      <c r="Q4323" s="29">
        <v>4500</v>
      </c>
      <c r="R4323" s="31">
        <v>45755</v>
      </c>
      <c r="S4323" s="31" t="s">
        <v>3121</v>
      </c>
      <c r="T4323" s="95" t="str">
        <f t="shared" si="335"/>
        <v>2025 04</v>
      </c>
      <c r="U4323" s="32">
        <f t="shared" si="332"/>
        <v>1197.1940945043671</v>
      </c>
      <c r="V4323" s="22">
        <f t="shared" si="333"/>
        <v>0.36247788358144861</v>
      </c>
      <c r="X4323" s="33"/>
      <c r="Y4323" s="33"/>
    </row>
    <row r="4324" spans="1:25" x14ac:dyDescent="0.2">
      <c r="A4324" s="93" t="s">
        <v>2893</v>
      </c>
      <c r="B4324" s="94" t="str">
        <f>IFERROR(VLOOKUP($A4324,HeadJournal!$A$1:$NTR$890,COLUMN(HeadJournal!B$1),0),"")</f>
        <v>720000569982</v>
      </c>
      <c r="C4324" s="94" t="str">
        <f>IFERROR(VLOOKUP($A4324,HeadJournal!$A$1:$NTR$890,COLUMN(HeadJournal!C$1),0),"")</f>
        <v>iHerb_OA CZN6870</v>
      </c>
      <c r="D4324" s="125" t="str">
        <f>IFERROR(VLOOKUP($A4324,HeadJournal!$A$1:$NTR$890,COLUMN(HeadJournal!D$1),0),"")</f>
        <v>Доставлен</v>
      </c>
      <c r="E4324" s="95">
        <f>IFERROR(VLOOKUP($A4324,HeadJournal!$A$1:$NTR$890,COLUMN(HeadJournal!G$1),0),"")</f>
        <v>45693</v>
      </c>
      <c r="F4324" s="95" t="str">
        <f t="shared" si="334"/>
        <v>2025 02</v>
      </c>
      <c r="G4324" s="97" t="s">
        <v>5</v>
      </c>
      <c r="H4324" s="161" t="s">
        <v>2886</v>
      </c>
      <c r="I4324" s="97" t="s">
        <v>2839</v>
      </c>
      <c r="J4324" s="97" t="s">
        <v>2887</v>
      </c>
      <c r="K4324" s="29">
        <v>16.05</v>
      </c>
      <c r="L4324" s="29">
        <v>-4.01</v>
      </c>
      <c r="M4324" s="30">
        <f>IFERROR(VLOOKUP($A4324,HeadJournal!$A$1:$J$890,COLUMN(HeadJournal!I$1),0)*($K4324+$L4324)/(SUMIF($A:$A,$A4324,$K:$K)+SUMIF($A:$A,$A4324,$L:$L)),0)</f>
        <v>-0.60045403184386237</v>
      </c>
      <c r="N4324" s="30">
        <f>IFERROR((VLOOKUP($A4324,HeadJournal!$A$1:$K$890,COLUMN(HeadJournal!K$1),0)-VLOOKUP($A4324,HeadJournal!$A$1:$K$890,COLUMN(HeadJournal!J$1),0))*($K4324+$L4324)/(SUMIF($A:$A,$A4324,$K:$K)+SUMIF($A:$A,$A4324,$L:$L)),0)</f>
        <v>0</v>
      </c>
      <c r="O4324" s="30">
        <f>IFERROR((VLOOKUP($A4324,HeadJournal!$A$1:$L$890,COLUMN(HeadJournal!L$1),0)*($K4324+$L4324)/(SUMIF($A:$A,$A4324,$K:$K)+SUMIF($A:$A,$A4324,$L:$L)))/VLOOKUP($A4324,HeadJournal!$A$1:$L$890,COLUMN(HeadJournal!H$1),0),0)</f>
        <v>0.4087621588553057</v>
      </c>
      <c r="P4324" s="30">
        <f>IFERROR(SUM(K4324:O4324)*VLOOKUP($A4324,HeadJournal!$A$1:$L$890,COLUMN(HeadJournal!H$1),0),0)</f>
        <v>1326.4103769902413</v>
      </c>
      <c r="Q4324" s="29">
        <v>1326.41</v>
      </c>
      <c r="R4324" s="31">
        <v>45663</v>
      </c>
      <c r="S4324" s="31" t="s">
        <v>3121</v>
      </c>
      <c r="T4324" s="95" t="str">
        <f t="shared" si="335"/>
        <v>2025 01</v>
      </c>
      <c r="U4324" s="32">
        <f t="shared" si="332"/>
        <v>-3.7699024119319802E-4</v>
      </c>
      <c r="V4324" s="22">
        <f t="shared" si="333"/>
        <v>-2.842184046001109E-7</v>
      </c>
      <c r="X4324" s="33"/>
      <c r="Y4324" s="33"/>
    </row>
    <row r="4325" spans="1:25" x14ac:dyDescent="0.2">
      <c r="A4325" s="93" t="s">
        <v>2893</v>
      </c>
      <c r="B4325" s="94" t="str">
        <f>IFERROR(VLOOKUP($A4325,HeadJournal!$A$1:$NTR$890,COLUMN(HeadJournal!B$1),0),"")</f>
        <v>720000569982</v>
      </c>
      <c r="C4325" s="94" t="str">
        <f>IFERROR(VLOOKUP($A4325,HeadJournal!$A$1:$NTR$890,COLUMN(HeadJournal!C$1),0),"")</f>
        <v>iHerb_OA CZN6870</v>
      </c>
      <c r="D4325" s="125" t="str">
        <f>IFERROR(VLOOKUP($A4325,HeadJournal!$A$1:$NTR$890,COLUMN(HeadJournal!D$1),0),"")</f>
        <v>Доставлен</v>
      </c>
      <c r="E4325" s="95">
        <f>IFERROR(VLOOKUP($A4325,HeadJournal!$A$1:$NTR$890,COLUMN(HeadJournal!G$1),0),"")</f>
        <v>45693</v>
      </c>
      <c r="F4325" s="95" t="str">
        <f t="shared" si="334"/>
        <v>2025 02</v>
      </c>
      <c r="G4325" s="97" t="s">
        <v>5</v>
      </c>
      <c r="H4325" s="161" t="s">
        <v>2888</v>
      </c>
      <c r="I4325" s="97" t="s">
        <v>2839</v>
      </c>
      <c r="J4325" s="97" t="s">
        <v>3819</v>
      </c>
      <c r="K4325" s="29">
        <v>38.6</v>
      </c>
      <c r="L4325" s="29">
        <v>-9.65</v>
      </c>
      <c r="M4325" s="30">
        <f>IFERROR(VLOOKUP($A4325,HeadJournal!$A$1:$J$890,COLUMN(HeadJournal!I$1),0)*($K4325+$L4325)/(SUMIF($A:$A,$A4325,$K:$K)+SUMIF($A:$A,$A4325,$L:$L)),0)</f>
        <v>-1.4437827426810479</v>
      </c>
      <c r="N4325" s="30">
        <f>IFERROR((VLOOKUP($A4325,HeadJournal!$A$1:$K$890,COLUMN(HeadJournal!K$1),0)-VLOOKUP($A4325,HeadJournal!$A$1:$K$890,COLUMN(HeadJournal!J$1),0))*($K4325+$L4325)/(SUMIF($A:$A,$A4325,$K:$K)+SUMIF($A:$A,$A4325,$L:$L)),0)</f>
        <v>0</v>
      </c>
      <c r="O4325" s="30">
        <f>IFERROR((VLOOKUP($A4325,HeadJournal!$A$1:$L$890,COLUMN(HeadJournal!L$1),0)*($K4325+$L4325)/(SUMIF($A:$A,$A4325,$K:$K)+SUMIF($A:$A,$A4325,$L:$L)))/VLOOKUP($A4325,HeadJournal!$A$1:$L$890,COLUMN(HeadJournal!H$1),0),0)</f>
        <v>0.98286249990540731</v>
      </c>
      <c r="P4325" s="30">
        <f>IFERROR(SUM(K4325:O4325)*VLOOKUP($A4325,HeadJournal!$A$1:$L$890,COLUMN(HeadJournal!H$1),0),0)</f>
        <v>3189.3339214175653</v>
      </c>
      <c r="Q4325" s="29">
        <v>4000</v>
      </c>
      <c r="R4325" s="31">
        <v>45821</v>
      </c>
      <c r="S4325" s="31" t="s">
        <v>3121</v>
      </c>
      <c r="T4325" s="95" t="str">
        <f t="shared" si="335"/>
        <v>2025 06</v>
      </c>
      <c r="U4325" s="32">
        <f t="shared" si="332"/>
        <v>810.66607858243469</v>
      </c>
      <c r="V4325" s="22">
        <f t="shared" si="333"/>
        <v>0.25418037074716759</v>
      </c>
      <c r="X4325" s="33"/>
      <c r="Y4325" s="33"/>
    </row>
    <row r="4326" spans="1:25" x14ac:dyDescent="0.2">
      <c r="A4326" s="93" t="s">
        <v>2893</v>
      </c>
      <c r="B4326" s="94" t="str">
        <f>IFERROR(VLOOKUP($A4326,HeadJournal!$A$1:$NTR$890,COLUMN(HeadJournal!B$1),0),"")</f>
        <v>720000569982</v>
      </c>
      <c r="C4326" s="94" t="str">
        <f>IFERROR(VLOOKUP($A4326,HeadJournal!$A$1:$NTR$890,COLUMN(HeadJournal!C$1),0),"")</f>
        <v>iHerb_OA CZN6870</v>
      </c>
      <c r="D4326" s="125" t="str">
        <f>IFERROR(VLOOKUP($A4326,HeadJournal!$A$1:$NTR$890,COLUMN(HeadJournal!D$1),0),"")</f>
        <v>Доставлен</v>
      </c>
      <c r="E4326" s="95">
        <f>IFERROR(VLOOKUP($A4326,HeadJournal!$A$1:$NTR$890,COLUMN(HeadJournal!G$1),0),"")</f>
        <v>45693</v>
      </c>
      <c r="F4326" s="95" t="str">
        <f t="shared" si="334"/>
        <v>2025 02</v>
      </c>
      <c r="G4326" s="97" t="s">
        <v>5</v>
      </c>
      <c r="H4326" s="161" t="s">
        <v>2889</v>
      </c>
      <c r="I4326" s="97" t="s">
        <v>2839</v>
      </c>
      <c r="J4326" s="97" t="s">
        <v>2890</v>
      </c>
      <c r="K4326" s="29">
        <v>17.39</v>
      </c>
      <c r="L4326" s="29">
        <v>-4.3499999999999996</v>
      </c>
      <c r="M4326" s="30">
        <f>IFERROR(VLOOKUP($A4326,HeadJournal!$A$1:$J$890,COLUMN(HeadJournal!I$1),0)*($K4326+$L4326)/(SUMIF($A:$A,$A4326,$K:$K)+SUMIF($A:$A,$A4326,$L:$L)),0)</f>
        <v>-0.65032562917308689</v>
      </c>
      <c r="N4326" s="30">
        <f>IFERROR((VLOOKUP($A4326,HeadJournal!$A$1:$K$890,COLUMN(HeadJournal!K$1),0)-VLOOKUP($A4326,HeadJournal!$A$1:$K$890,COLUMN(HeadJournal!J$1),0))*($K4326+$L4326)/(SUMIF($A:$A,$A4326,$K:$K)+SUMIF($A:$A,$A4326,$L:$L)),0)</f>
        <v>0</v>
      </c>
      <c r="O4326" s="30">
        <f>IFERROR((VLOOKUP($A4326,HeadJournal!$A$1:$L$890,COLUMN(HeadJournal!L$1),0)*($K4326+$L4326)/(SUMIF($A:$A,$A4326,$K:$K)+SUMIF($A:$A,$A4326,$L:$L)))/VLOOKUP($A4326,HeadJournal!$A$1:$L$890,COLUMN(HeadJournal!H$1),0),0)</f>
        <v>0.44271250427518166</v>
      </c>
      <c r="P4326" s="30">
        <f>IFERROR(SUM(K4326:O4326)*VLOOKUP($A4326,HeadJournal!$A$1:$L$890,COLUMN(HeadJournal!H$1),0),0)</f>
        <v>1436.5773518233177</v>
      </c>
      <c r="Q4326" s="29">
        <v>2200</v>
      </c>
      <c r="R4326" s="31">
        <v>45761</v>
      </c>
      <c r="S4326" s="31" t="s">
        <v>3121</v>
      </c>
      <c r="T4326" s="95" t="str">
        <f t="shared" si="335"/>
        <v>2025 04</v>
      </c>
      <c r="U4326" s="32">
        <f t="shared" si="332"/>
        <v>763.42264817668229</v>
      </c>
      <c r="V4326" s="22">
        <f t="shared" si="333"/>
        <v>0.53141771113663938</v>
      </c>
      <c r="X4326" s="33"/>
      <c r="Y4326" s="33"/>
    </row>
    <row r="4327" spans="1:25" x14ac:dyDescent="0.2">
      <c r="A4327" s="93" t="s">
        <v>2893</v>
      </c>
      <c r="B4327" s="94" t="str">
        <f>IFERROR(VLOOKUP($A4327,HeadJournal!$A$1:$NTR$890,COLUMN(HeadJournal!B$1),0),"")</f>
        <v>720000569982</v>
      </c>
      <c r="C4327" s="94" t="str">
        <f>IFERROR(VLOOKUP($A4327,HeadJournal!$A$1:$NTR$890,COLUMN(HeadJournal!C$1),0),"")</f>
        <v>iHerb_OA CZN6870</v>
      </c>
      <c r="D4327" s="125" t="str">
        <f>IFERROR(VLOOKUP($A4327,HeadJournal!$A$1:$NTR$890,COLUMN(HeadJournal!D$1),0),"")</f>
        <v>Доставлен</v>
      </c>
      <c r="E4327" s="95">
        <f>IFERROR(VLOOKUP($A4327,HeadJournal!$A$1:$NTR$890,COLUMN(HeadJournal!G$1),0),"")</f>
        <v>45693</v>
      </c>
      <c r="F4327" s="95" t="str">
        <f t="shared" si="334"/>
        <v>2025 02</v>
      </c>
      <c r="G4327" s="97" t="s">
        <v>5</v>
      </c>
      <c r="H4327" s="161" t="s">
        <v>2891</v>
      </c>
      <c r="I4327" s="97" t="s">
        <v>2839</v>
      </c>
      <c r="J4327" s="97" t="s">
        <v>2892</v>
      </c>
      <c r="K4327" s="29">
        <v>50.47</v>
      </c>
      <c r="L4327" s="29">
        <v>-12.62</v>
      </c>
      <c r="M4327" s="30">
        <f>IFERROR(VLOOKUP($A4327,HeadJournal!$A$1:$J$890,COLUMN(HeadJournal!I$1),0)*($K4327+$L4327)/(SUMIF($A:$A,$A4327,$K:$K)+SUMIF($A:$A,$A4327,$L:$L)),0)</f>
        <v>-1.8876399589111454</v>
      </c>
      <c r="N4327" s="30">
        <f>IFERROR((VLOOKUP($A4327,HeadJournal!$A$1:$K$890,COLUMN(HeadJournal!K$1),0)-VLOOKUP($A4327,HeadJournal!$A$1:$K$890,COLUMN(HeadJournal!J$1),0))*($K4327+$L4327)/(SUMIF($A:$A,$A4327,$K:$K)+SUMIF($A:$A,$A4327,$L:$L)),0)</f>
        <v>0</v>
      </c>
      <c r="O4327" s="30">
        <f>IFERROR((VLOOKUP($A4327,HeadJournal!$A$1:$L$890,COLUMN(HeadJournal!L$1),0)*($K4327+$L4327)/(SUMIF($A:$A,$A4327,$K:$K)+SUMIF($A:$A,$A4327,$L:$L)))/VLOOKUP($A4327,HeadJournal!$A$1:$L$890,COLUMN(HeadJournal!H$1),0),0)</f>
        <v>1.2850205741423024</v>
      </c>
      <c r="P4327" s="30">
        <f>IFERROR(SUM(K4327:O4327)*VLOOKUP($A4327,HeadJournal!$A$1:$L$890,COLUMN(HeadJournal!H$1),0),0)</f>
        <v>4169.8199974319459</v>
      </c>
      <c r="Q4327" s="29">
        <v>5500</v>
      </c>
      <c r="R4327" s="31">
        <v>45747</v>
      </c>
      <c r="S4327" s="31" t="s">
        <v>3121</v>
      </c>
      <c r="T4327" s="95" t="str">
        <f t="shared" si="335"/>
        <v>2025 03</v>
      </c>
      <c r="U4327" s="32">
        <f t="shared" si="332"/>
        <v>1330.1800025680541</v>
      </c>
      <c r="V4327" s="22">
        <f t="shared" si="333"/>
        <v>0.31900178026563925</v>
      </c>
      <c r="X4327" s="33"/>
      <c r="Y4327" s="33"/>
    </row>
    <row r="4328" spans="1:25" x14ac:dyDescent="0.2">
      <c r="A4328" s="93" t="s">
        <v>2893</v>
      </c>
      <c r="B4328" s="94" t="str">
        <f>IFERROR(VLOOKUP($A4328,HeadJournal!$A$1:$NTR$890,COLUMN(HeadJournal!B$1),0),"")</f>
        <v>720000569982</v>
      </c>
      <c r="C4328" s="94" t="str">
        <f>IFERROR(VLOOKUP($A4328,HeadJournal!$A$1:$NTR$890,COLUMN(HeadJournal!C$1),0),"")</f>
        <v>iHerb_OA CZN6870</v>
      </c>
      <c r="D4328" s="125" t="str">
        <f>IFERROR(VLOOKUP($A4328,HeadJournal!$A$1:$NTR$890,COLUMN(HeadJournal!D$1),0),"")</f>
        <v>Доставлен</v>
      </c>
      <c r="E4328" s="95">
        <f>IFERROR(VLOOKUP($A4328,HeadJournal!$A$1:$NTR$890,COLUMN(HeadJournal!G$1),0),"")</f>
        <v>45693</v>
      </c>
      <c r="F4328" s="95" t="str">
        <f t="shared" si="334"/>
        <v>2025 02</v>
      </c>
      <c r="G4328" s="97" t="s">
        <v>5</v>
      </c>
      <c r="H4328" s="161" t="s">
        <v>2841</v>
      </c>
      <c r="I4328" s="97" t="s">
        <v>2839</v>
      </c>
      <c r="J4328" s="97" t="s">
        <v>2842</v>
      </c>
      <c r="K4328" s="29">
        <v>18.73</v>
      </c>
      <c r="L4328" s="29">
        <v>-4.68</v>
      </c>
      <c r="M4328" s="30">
        <f>IFERROR(VLOOKUP($A4328,HeadJournal!$A$1:$J$890,COLUMN(HeadJournal!I$1),0)*($K4328+$L4328)/(SUMIF($A:$A,$A4328,$K:$K)+SUMIF($A:$A,$A4328,$L:$L)),0)</f>
        <v>-0.70069594247560363</v>
      </c>
      <c r="N4328" s="30">
        <f>IFERROR((VLOOKUP($A4328,HeadJournal!$A$1:$K$890,COLUMN(HeadJournal!K$1),0)-VLOOKUP($A4328,HeadJournal!$A$1:$K$890,COLUMN(HeadJournal!J$1),0))*($K4328+$L4328)/(SUMIF($A:$A,$A4328,$K:$K)+SUMIF($A:$A,$A4328,$L:$L)),0)</f>
        <v>0</v>
      </c>
      <c r="O4328" s="30">
        <f>IFERROR((VLOOKUP($A4328,HeadJournal!$A$1:$L$890,COLUMN(HeadJournal!L$1),0)*($K4328+$L4328)/(SUMIF($A:$A,$A4328,$K:$K)+SUMIF($A:$A,$A4328,$L:$L)))/VLOOKUP($A4328,HeadJournal!$A$1:$L$890,COLUMN(HeadJournal!H$1),0),0)</f>
        <v>0.47700235314925626</v>
      </c>
      <c r="P4328" s="30">
        <f>IFERROR(SUM(K4328:O4328)*VLOOKUP($A4328,HeadJournal!$A$1:$L$890,COLUMN(HeadJournal!H$1),0),0)</f>
        <v>1547.8459964047252</v>
      </c>
      <c r="Q4328" s="29">
        <v>2300</v>
      </c>
      <c r="R4328" s="31">
        <v>45796</v>
      </c>
      <c r="S4328" s="31" t="s">
        <v>3121</v>
      </c>
      <c r="T4328" s="95" t="str">
        <f t="shared" si="335"/>
        <v>2025 05</v>
      </c>
      <c r="U4328" s="32">
        <f t="shared" si="332"/>
        <v>752.15400359527484</v>
      </c>
      <c r="V4328" s="22">
        <f t="shared" si="333"/>
        <v>0.48593594281494934</v>
      </c>
      <c r="X4328" s="33"/>
      <c r="Y4328" s="33"/>
    </row>
    <row r="4329" spans="1:25" x14ac:dyDescent="0.2">
      <c r="A4329" s="93" t="s">
        <v>2893</v>
      </c>
      <c r="B4329" s="94" t="str">
        <f>IFERROR(VLOOKUP($A4329,HeadJournal!$A$1:$NTR$890,COLUMN(HeadJournal!B$1),0),"")</f>
        <v>720000569982</v>
      </c>
      <c r="C4329" s="94" t="str">
        <f>IFERROR(VLOOKUP($A4329,HeadJournal!$A$1:$NTR$890,COLUMN(HeadJournal!C$1),0),"")</f>
        <v>iHerb_OA CZN6870</v>
      </c>
      <c r="D4329" s="125" t="str">
        <f>IFERROR(VLOOKUP($A4329,HeadJournal!$A$1:$NTR$890,COLUMN(HeadJournal!D$1),0),"")</f>
        <v>Доставлен</v>
      </c>
      <c r="E4329" s="95">
        <f>IFERROR(VLOOKUP($A4329,HeadJournal!$A$1:$NTR$890,COLUMN(HeadJournal!G$1),0),"")</f>
        <v>45693</v>
      </c>
      <c r="F4329" s="95" t="str">
        <f t="shared" si="334"/>
        <v>2025 02</v>
      </c>
      <c r="G4329" s="97" t="s">
        <v>5</v>
      </c>
      <c r="H4329" s="161" t="s">
        <v>2847</v>
      </c>
      <c r="I4329" s="97" t="s">
        <v>2839</v>
      </c>
      <c r="J4329" s="97" t="s">
        <v>2848</v>
      </c>
      <c r="K4329" s="29">
        <v>14.23</v>
      </c>
      <c r="L4329" s="29">
        <v>-3.56</v>
      </c>
      <c r="M4329" s="30">
        <f>IFERROR(VLOOKUP($A4329,HeadJournal!$A$1:$J$890,COLUMN(HeadJournal!I$1),0)*($K4329+$L4329)/(SUMIF($A:$A,$A4329,$K:$K)+SUMIF($A:$A,$A4329,$L:$L)),0)</f>
        <v>-0.53212994350282483</v>
      </c>
      <c r="N4329" s="30">
        <f>IFERROR((VLOOKUP($A4329,HeadJournal!$A$1:$K$890,COLUMN(HeadJournal!K$1),0)-VLOOKUP($A4329,HeadJournal!$A$1:$K$890,COLUMN(HeadJournal!J$1),0))*($K4329+$L4329)/(SUMIF($A:$A,$A4329,$K:$K)+SUMIF($A:$A,$A4329,$L:$L)),0)</f>
        <v>0</v>
      </c>
      <c r="O4329" s="30">
        <f>IFERROR((VLOOKUP($A4329,HeadJournal!$A$1:$L$890,COLUMN(HeadJournal!L$1),0)*($K4329+$L4329)/(SUMIF($A:$A,$A4329,$K:$K)+SUMIF($A:$A,$A4329,$L:$L)))/VLOOKUP($A4329,HeadJournal!$A$1:$L$890,COLUMN(HeadJournal!H$1),0),0)</f>
        <v>0.36225018563007577</v>
      </c>
      <c r="P4329" s="30">
        <f>IFERROR(SUM(K4329:O4329)*VLOOKUP($A4329,HeadJournal!$A$1:$L$890,COLUMN(HeadJournal!H$1),0),0)</f>
        <v>1175.4816214689263</v>
      </c>
      <c r="Q4329" s="29">
        <v>1900</v>
      </c>
      <c r="R4329" s="31">
        <v>45796</v>
      </c>
      <c r="S4329" s="31" t="s">
        <v>3121</v>
      </c>
      <c r="T4329" s="95" t="str">
        <f t="shared" si="335"/>
        <v>2025 05</v>
      </c>
      <c r="U4329" s="32">
        <f t="shared" si="332"/>
        <v>724.51837853107372</v>
      </c>
      <c r="V4329" s="22">
        <f t="shared" si="333"/>
        <v>0.6163587463202429</v>
      </c>
      <c r="X4329" s="33"/>
      <c r="Y4329" s="33"/>
    </row>
    <row r="4330" spans="1:25" x14ac:dyDescent="0.2">
      <c r="A4330" s="93" t="s">
        <v>2893</v>
      </c>
      <c r="B4330" s="94" t="str">
        <f>IFERROR(VLOOKUP($A4330,HeadJournal!$A$1:$NTR$890,COLUMN(HeadJournal!B$1),0),"")</f>
        <v>720000569982</v>
      </c>
      <c r="C4330" s="94" t="str">
        <f>IFERROR(VLOOKUP($A4330,HeadJournal!$A$1:$NTR$890,COLUMN(HeadJournal!C$1),0),"")</f>
        <v>iHerb_OA CZN6870</v>
      </c>
      <c r="D4330" s="125" t="str">
        <f>IFERROR(VLOOKUP($A4330,HeadJournal!$A$1:$NTR$890,COLUMN(HeadJournal!D$1),0),"")</f>
        <v>Доставлен</v>
      </c>
      <c r="E4330" s="95">
        <f>IFERROR(VLOOKUP($A4330,HeadJournal!$A$1:$NTR$890,COLUMN(HeadJournal!G$1),0),"")</f>
        <v>45693</v>
      </c>
      <c r="F4330" s="95" t="str">
        <f t="shared" si="334"/>
        <v>2025 02</v>
      </c>
      <c r="G4330" s="97" t="s">
        <v>5</v>
      </c>
      <c r="H4330" s="161" t="s">
        <v>2845</v>
      </c>
      <c r="I4330" s="97" t="s">
        <v>2839</v>
      </c>
      <c r="J4330" s="97" t="s">
        <v>2846</v>
      </c>
      <c r="K4330" s="29">
        <v>24.07</v>
      </c>
      <c r="L4330" s="29">
        <v>-6.02</v>
      </c>
      <c r="M4330" s="30">
        <f>IFERROR(VLOOKUP($A4330,HeadJournal!$A$1:$J$890,COLUMN(HeadJournal!I$1),0)*($K4330+$L4330)/(SUMIF($A:$A,$A4330,$K:$K)+SUMIF($A:$A,$A4330,$L:$L)),0)</f>
        <v>-0.9001823317925014</v>
      </c>
      <c r="N4330" s="30">
        <f>IFERROR((VLOOKUP($A4330,HeadJournal!$A$1:$K$890,COLUMN(HeadJournal!K$1),0)-VLOOKUP($A4330,HeadJournal!$A$1:$K$890,COLUMN(HeadJournal!J$1),0))*($K4330+$L4330)/(SUMIF($A:$A,$A4330,$K:$K)+SUMIF($A:$A,$A4330,$L:$L)),0)</f>
        <v>0</v>
      </c>
      <c r="O4330" s="30">
        <f>IFERROR((VLOOKUP($A4330,HeadJournal!$A$1:$L$890,COLUMN(HeadJournal!L$1),0)*($K4330+$L4330)/(SUMIF($A:$A,$A4330,$K:$K)+SUMIF($A:$A,$A4330,$L:$L)))/VLOOKUP($A4330,HeadJournal!$A$1:$L$890,COLUMN(HeadJournal!H$1),0),0)</f>
        <v>0.61280373482875994</v>
      </c>
      <c r="P4330" s="30">
        <f>IFERROR(SUM(K4330:O4330)*VLOOKUP($A4330,HeadJournal!$A$1:$L$890,COLUMN(HeadJournal!H$1),0),0)</f>
        <v>1988.5138957370311</v>
      </c>
      <c r="Q4330" s="29">
        <v>3200</v>
      </c>
      <c r="R4330" s="31">
        <v>45755</v>
      </c>
      <c r="S4330" s="31" t="s">
        <v>3121</v>
      </c>
      <c r="T4330" s="95" t="str">
        <f t="shared" si="335"/>
        <v>2025 04</v>
      </c>
      <c r="U4330" s="32">
        <f t="shared" si="332"/>
        <v>1211.4861042629689</v>
      </c>
      <c r="V4330" s="22">
        <f t="shared" si="333"/>
        <v>0.60924196047115808</v>
      </c>
      <c r="X4330" s="33"/>
      <c r="Y4330" s="33"/>
    </row>
    <row r="4331" spans="1:25" x14ac:dyDescent="0.2">
      <c r="A4331" s="93" t="s">
        <v>2893</v>
      </c>
      <c r="B4331" s="94" t="str">
        <f>IFERROR(VLOOKUP($A4331,HeadJournal!$A$1:$NTR$890,COLUMN(HeadJournal!B$1),0),"")</f>
        <v>720000569982</v>
      </c>
      <c r="C4331" s="94" t="str">
        <f>IFERROR(VLOOKUP($A4331,HeadJournal!$A$1:$NTR$890,COLUMN(HeadJournal!C$1),0),"")</f>
        <v>iHerb_OA CZN6870</v>
      </c>
      <c r="D4331" s="125" t="str">
        <f>IFERROR(VLOOKUP($A4331,HeadJournal!$A$1:$NTR$890,COLUMN(HeadJournal!D$1),0),"")</f>
        <v>Доставлен</v>
      </c>
      <c r="E4331" s="95">
        <f>IFERROR(VLOOKUP($A4331,HeadJournal!$A$1:$NTR$890,COLUMN(HeadJournal!G$1),0),"")</f>
        <v>45693</v>
      </c>
      <c r="F4331" s="95" t="str">
        <f t="shared" si="334"/>
        <v>2025 02</v>
      </c>
      <c r="G4331" s="97" t="s">
        <v>5</v>
      </c>
      <c r="H4331" s="161" t="s">
        <v>2016</v>
      </c>
      <c r="I4331" s="97" t="s">
        <v>2005</v>
      </c>
      <c r="J4331" s="97" t="s">
        <v>2017</v>
      </c>
      <c r="K4331" s="29">
        <v>40.090000000000003</v>
      </c>
      <c r="L4331" s="29">
        <v>-10.02</v>
      </c>
      <c r="M4331" s="30">
        <f>IFERROR(VLOOKUP($A4331,HeadJournal!$A$1:$J$890,COLUMN(HeadJournal!I$1),0)*($K4331+$L4331)/(SUMIF($A:$A,$A4331,$K:$K)+SUMIF($A:$A,$A4331,$L:$L)),0)</f>
        <v>-1.4996389316897791</v>
      </c>
      <c r="N4331" s="30">
        <f>IFERROR((VLOOKUP($A4331,HeadJournal!$A$1:$K$890,COLUMN(HeadJournal!K$1),0)-VLOOKUP($A4331,HeadJournal!$A$1:$K$890,COLUMN(HeadJournal!J$1),0))*($K4331+$L4331)/(SUMIF($A:$A,$A4331,$K:$K)+SUMIF($A:$A,$A4331,$L:$L)),0)</f>
        <v>0</v>
      </c>
      <c r="O4331" s="30">
        <f>IFERROR((VLOOKUP($A4331,HeadJournal!$A$1:$L$890,COLUMN(HeadJournal!L$1),0)*($K4331+$L4331)/(SUMIF($A:$A,$A4331,$K:$K)+SUMIF($A:$A,$A4331,$L:$L)))/VLOOKUP($A4331,HeadJournal!$A$1:$L$890,COLUMN(HeadJournal!H$1),0),0)</f>
        <v>1.0208868867756682</v>
      </c>
      <c r="P4331" s="30">
        <f>IFERROR(SUM(K4331:O4331)*VLOOKUP($A4331,HeadJournal!$A$1:$L$890,COLUMN(HeadJournal!H$1),0),0)</f>
        <v>3312.7209332306106</v>
      </c>
      <c r="Q4331" s="29">
        <v>4500</v>
      </c>
      <c r="R4331" s="31">
        <v>45853</v>
      </c>
      <c r="S4331" s="31"/>
      <c r="T4331" s="95" t="str">
        <f t="shared" si="335"/>
        <v>2025 07</v>
      </c>
      <c r="U4331" s="32">
        <f t="shared" si="332"/>
        <v>1187.2790667693894</v>
      </c>
      <c r="V4331" s="22">
        <f t="shared" si="333"/>
        <v>0.35839996507388827</v>
      </c>
      <c r="X4331" s="33"/>
      <c r="Y4331" s="33"/>
    </row>
    <row r="4332" spans="1:25" x14ac:dyDescent="0.2">
      <c r="A4332" s="93" t="s">
        <v>2901</v>
      </c>
      <c r="B4332" s="94" t="str">
        <f>IFERROR(VLOOKUP($A4332,HeadJournal!$A$1:$NTR$890,COLUMN(HeadJournal!B$1),0),"")</f>
        <v>720000584737</v>
      </c>
      <c r="C4332" s="94" t="str">
        <f>IFERROR(VLOOKUP($A4332,HeadJournal!$A$1:$NTR$890,COLUMN(HeadJournal!C$1),0),"")</f>
        <v>iHerb_OA CZN6870</v>
      </c>
      <c r="D4332" s="125" t="str">
        <f>IFERROR(VLOOKUP($A4332,HeadJournal!$A$1:$NTR$890,COLUMN(HeadJournal!D$1),0),"")</f>
        <v>Доставлен</v>
      </c>
      <c r="E4332" s="95">
        <f>IFERROR(VLOOKUP($A4332,HeadJournal!$A$1:$NTR$890,COLUMN(HeadJournal!G$1),0),"")</f>
        <v>45701</v>
      </c>
      <c r="F4332" s="95" t="str">
        <f t="shared" si="334"/>
        <v>2025 02</v>
      </c>
      <c r="G4332" s="97" t="s">
        <v>5</v>
      </c>
      <c r="H4332" s="161" t="s">
        <v>2895</v>
      </c>
      <c r="I4332" s="97" t="s">
        <v>2666</v>
      </c>
      <c r="J4332" s="97" t="s">
        <v>3854</v>
      </c>
      <c r="K4332" s="29">
        <v>13.29</v>
      </c>
      <c r="L4332" s="29">
        <v>-2.66</v>
      </c>
      <c r="M4332" s="30">
        <f>IFERROR(VLOOKUP($A4332,HeadJournal!$A$1:$J$890,COLUMN(HeadJournal!I$1),0)*($K4332+$L4332)/(SUMIF($A:$A,$A4332,$K:$K)+SUMIF($A:$A,$A4332,$L:$L)),0)</f>
        <v>-0.56866385549751397</v>
      </c>
      <c r="N4332" s="30">
        <f>IFERROR((VLOOKUP($A4332,HeadJournal!$A$1:$K$890,COLUMN(HeadJournal!K$1),0)-VLOOKUP($A4332,HeadJournal!$A$1:$K$890,COLUMN(HeadJournal!J$1),0))*($K4332+$L4332)/(SUMIF($A:$A,$A4332,$K:$K)+SUMIF($A:$A,$A4332,$L:$L)),0)</f>
        <v>0</v>
      </c>
      <c r="O4332" s="30">
        <f>IFERROR((VLOOKUP($A4332,HeadJournal!$A$1:$L$890,COLUMN(HeadJournal!L$1),0)*($K4332+$L4332)/(SUMIF($A:$A,$A4332,$K:$K)+SUMIF($A:$A,$A4332,$L:$L)))/VLOOKUP($A4332,HeadJournal!$A$1:$L$890,COLUMN(HeadJournal!H$1),0),0)</f>
        <v>0.56027644454361902</v>
      </c>
      <c r="P4332" s="30">
        <f>IFERROR(SUM(K4332:O4332)*VLOOKUP($A4332,HeadJournal!$A$1:$L$890,COLUMN(HeadJournal!H$1),0),0)</f>
        <v>1181.6404516751631</v>
      </c>
      <c r="Q4332" s="29">
        <v>2000</v>
      </c>
      <c r="R4332" s="31">
        <v>45730</v>
      </c>
      <c r="S4332" s="31" t="s">
        <v>3121</v>
      </c>
      <c r="T4332" s="95" t="str">
        <f t="shared" si="335"/>
        <v>2025 03</v>
      </c>
      <c r="U4332" s="32">
        <f t="shared" si="332"/>
        <v>818.35954832483685</v>
      </c>
      <c r="V4332" s="22">
        <f t="shared" si="333"/>
        <v>0.69256223173866649</v>
      </c>
      <c r="X4332" s="33"/>
      <c r="Y4332" s="33"/>
    </row>
    <row r="4333" spans="1:25" x14ac:dyDescent="0.2">
      <c r="A4333" s="93" t="s">
        <v>2901</v>
      </c>
      <c r="B4333" s="94" t="str">
        <f>IFERROR(VLOOKUP($A4333,HeadJournal!$A$1:$NTR$890,COLUMN(HeadJournal!B$1),0),"")</f>
        <v>720000584737</v>
      </c>
      <c r="C4333" s="94" t="str">
        <f>IFERROR(VLOOKUP($A4333,HeadJournal!$A$1:$NTR$890,COLUMN(HeadJournal!C$1),0),"")</f>
        <v>iHerb_OA CZN6870</v>
      </c>
      <c r="D4333" s="125" t="str">
        <f>IFERROR(VLOOKUP($A4333,HeadJournal!$A$1:$NTR$890,COLUMN(HeadJournal!D$1),0),"")</f>
        <v>Доставлен</v>
      </c>
      <c r="E4333" s="95">
        <f>IFERROR(VLOOKUP($A4333,HeadJournal!$A$1:$NTR$890,COLUMN(HeadJournal!G$1),0),"")</f>
        <v>45701</v>
      </c>
      <c r="F4333" s="95" t="str">
        <f t="shared" si="334"/>
        <v>2025 02</v>
      </c>
      <c r="G4333" s="97" t="s">
        <v>5</v>
      </c>
      <c r="H4333" s="161" t="s">
        <v>2896</v>
      </c>
      <c r="I4333" s="97" t="s">
        <v>2666</v>
      </c>
      <c r="J4333" s="97" t="s">
        <v>2897</v>
      </c>
      <c r="K4333" s="29">
        <v>13.29</v>
      </c>
      <c r="L4333" s="29">
        <v>-2.66</v>
      </c>
      <c r="M4333" s="30">
        <f>IFERROR(VLOOKUP($A4333,HeadJournal!$A$1:$J$890,COLUMN(HeadJournal!I$1),0)*($K4333+$L4333)/(SUMIF($A:$A,$A4333,$K:$K)+SUMIF($A:$A,$A4333,$L:$L)),0)</f>
        <v>-0.56866385549751397</v>
      </c>
      <c r="N4333" s="30">
        <f>IFERROR((VLOOKUP($A4333,HeadJournal!$A$1:$K$890,COLUMN(HeadJournal!K$1),0)-VLOOKUP($A4333,HeadJournal!$A$1:$K$890,COLUMN(HeadJournal!J$1),0))*($K4333+$L4333)/(SUMIF($A:$A,$A4333,$K:$K)+SUMIF($A:$A,$A4333,$L:$L)),0)</f>
        <v>0</v>
      </c>
      <c r="O4333" s="30">
        <f>IFERROR((VLOOKUP($A4333,HeadJournal!$A$1:$L$890,COLUMN(HeadJournal!L$1),0)*($K4333+$L4333)/(SUMIF($A:$A,$A4333,$K:$K)+SUMIF($A:$A,$A4333,$L:$L)))/VLOOKUP($A4333,HeadJournal!$A$1:$L$890,COLUMN(HeadJournal!H$1),0),0)</f>
        <v>0.56027644454361902</v>
      </c>
      <c r="P4333" s="30">
        <f>IFERROR(SUM(K4333:O4333)*VLOOKUP($A4333,HeadJournal!$A$1:$L$890,COLUMN(HeadJournal!H$1),0),0)</f>
        <v>1181.6404516751631</v>
      </c>
      <c r="Q4333" s="29">
        <v>1700</v>
      </c>
      <c r="R4333" s="31">
        <v>45866</v>
      </c>
      <c r="S4333" s="31"/>
      <c r="T4333" s="95" t="str">
        <f t="shared" si="335"/>
        <v>2025 07</v>
      </c>
      <c r="U4333" s="32">
        <f t="shared" si="332"/>
        <v>518.35954832483685</v>
      </c>
      <c r="V4333" s="22">
        <f t="shared" si="333"/>
        <v>0.43867789697786647</v>
      </c>
      <c r="X4333" s="33"/>
      <c r="Y4333" s="33"/>
    </row>
    <row r="4334" spans="1:25" x14ac:dyDescent="0.2">
      <c r="A4334" s="93" t="s">
        <v>2901</v>
      </c>
      <c r="B4334" s="94" t="str">
        <f>IFERROR(VLOOKUP($A4334,HeadJournal!$A$1:$NTR$890,COLUMN(HeadJournal!B$1),0),"")</f>
        <v>720000584737</v>
      </c>
      <c r="C4334" s="94" t="str">
        <f>IFERROR(VLOOKUP($A4334,HeadJournal!$A$1:$NTR$890,COLUMN(HeadJournal!C$1),0),"")</f>
        <v>iHerb_OA CZN6870</v>
      </c>
      <c r="D4334" s="125" t="str">
        <f>IFERROR(VLOOKUP($A4334,HeadJournal!$A$1:$NTR$890,COLUMN(HeadJournal!D$1),0),"")</f>
        <v>Доставлен</v>
      </c>
      <c r="E4334" s="95">
        <f>IFERROR(VLOOKUP($A4334,HeadJournal!$A$1:$NTR$890,COLUMN(HeadJournal!G$1),0),"")</f>
        <v>45701</v>
      </c>
      <c r="F4334" s="95" t="str">
        <f t="shared" si="334"/>
        <v>2025 02</v>
      </c>
      <c r="G4334" s="97" t="s">
        <v>5</v>
      </c>
      <c r="H4334" s="161" t="s">
        <v>2898</v>
      </c>
      <c r="I4334" s="97" t="s">
        <v>2491</v>
      </c>
      <c r="J4334" s="97" t="s">
        <v>3581</v>
      </c>
      <c r="K4334" s="29">
        <v>7.34</v>
      </c>
      <c r="L4334" s="29">
        <v>-1.8366666666666667</v>
      </c>
      <c r="M4334" s="30">
        <f>IFERROR(VLOOKUP($A4334,HeadJournal!$A$1:$J$890,COLUMN(HeadJournal!I$1),0)*($K4334+$L4334)/(SUMIF($A:$A,$A4334,$K:$K)+SUMIF($A:$A,$A4334,$L:$L)),0)</f>
        <v>-0.29440703211865649</v>
      </c>
      <c r="N4334" s="30">
        <f>IFERROR((VLOOKUP($A4334,HeadJournal!$A$1:$K$890,COLUMN(HeadJournal!K$1),0)-VLOOKUP($A4334,HeadJournal!$A$1:$K$890,COLUMN(HeadJournal!J$1),0))*($K4334+$L4334)/(SUMIF($A:$A,$A4334,$K:$K)+SUMIF($A:$A,$A4334,$L:$L)),0)</f>
        <v>0</v>
      </c>
      <c r="O4334" s="30">
        <f>IFERROR((VLOOKUP($A4334,HeadJournal!$A$1:$L$890,COLUMN(HeadJournal!L$1),0)*($K4334+$L4334)/(SUMIF($A:$A,$A4334,$K:$K)+SUMIF($A:$A,$A4334,$L:$L)))/VLOOKUP($A4334,HeadJournal!$A$1:$L$890,COLUMN(HeadJournal!H$1),0),0)</f>
        <v>0.29006472560097685</v>
      </c>
      <c r="P4334" s="30">
        <f>IFERROR(SUM(K4334:O4334)*VLOOKUP($A4334,HeadJournal!$A$1:$L$890,COLUMN(HeadJournal!H$1),0),0)</f>
        <v>611.75553017111758</v>
      </c>
      <c r="Q4334" s="29">
        <v>1400</v>
      </c>
      <c r="R4334" s="31">
        <v>45786</v>
      </c>
      <c r="S4334" s="31" t="s">
        <v>3252</v>
      </c>
      <c r="T4334" s="95" t="str">
        <f t="shared" si="335"/>
        <v>2025 05</v>
      </c>
      <c r="U4334" s="32">
        <f t="shared" si="332"/>
        <v>788.24446982888242</v>
      </c>
      <c r="V4334" s="22">
        <f t="shared" si="333"/>
        <v>1.2884958630588892</v>
      </c>
      <c r="X4334" s="33"/>
      <c r="Y4334" s="33"/>
    </row>
    <row r="4335" spans="1:25" x14ac:dyDescent="0.2">
      <c r="A4335" s="93" t="s">
        <v>2901</v>
      </c>
      <c r="B4335" s="94" t="str">
        <f>IFERROR(VLOOKUP($A4335,HeadJournal!$A$1:$NTR$890,COLUMN(HeadJournal!B$1),0),"")</f>
        <v>720000584737</v>
      </c>
      <c r="C4335" s="94" t="str">
        <f>IFERROR(VLOOKUP($A4335,HeadJournal!$A$1:$NTR$890,COLUMN(HeadJournal!C$1),0),"")</f>
        <v>iHerb_OA CZN6870</v>
      </c>
      <c r="D4335" s="125" t="str">
        <f>IFERROR(VLOOKUP($A4335,HeadJournal!$A$1:$NTR$890,COLUMN(HeadJournal!D$1),0),"")</f>
        <v>Доставлен</v>
      </c>
      <c r="E4335" s="95">
        <f>IFERROR(VLOOKUP($A4335,HeadJournal!$A$1:$NTR$890,COLUMN(HeadJournal!G$1),0),"")</f>
        <v>45701</v>
      </c>
      <c r="F4335" s="95" t="str">
        <f t="shared" si="334"/>
        <v>2025 02</v>
      </c>
      <c r="G4335" s="97" t="s">
        <v>5</v>
      </c>
      <c r="H4335" s="161" t="s">
        <v>2898</v>
      </c>
      <c r="I4335" s="97" t="s">
        <v>2491</v>
      </c>
      <c r="J4335" s="97" t="s">
        <v>3581</v>
      </c>
      <c r="K4335" s="29">
        <v>7.34</v>
      </c>
      <c r="L4335" s="29">
        <v>-1.8366666666666667</v>
      </c>
      <c r="M4335" s="30">
        <f>IFERROR(VLOOKUP($A4335,HeadJournal!$A$1:$J$890,COLUMN(HeadJournal!I$1),0)*($K4335+$L4335)/(SUMIF($A:$A,$A4335,$K:$K)+SUMIF($A:$A,$A4335,$L:$L)),0)</f>
        <v>-0.29440703211865649</v>
      </c>
      <c r="N4335" s="30">
        <f>IFERROR((VLOOKUP($A4335,HeadJournal!$A$1:$K$890,COLUMN(HeadJournal!K$1),0)-VLOOKUP($A4335,HeadJournal!$A$1:$K$890,COLUMN(HeadJournal!J$1),0))*($K4335+$L4335)/(SUMIF($A:$A,$A4335,$K:$K)+SUMIF($A:$A,$A4335,$L:$L)),0)</f>
        <v>0</v>
      </c>
      <c r="O4335" s="30">
        <f>IFERROR((VLOOKUP($A4335,HeadJournal!$A$1:$L$890,COLUMN(HeadJournal!L$1),0)*($K4335+$L4335)/(SUMIF($A:$A,$A4335,$K:$K)+SUMIF($A:$A,$A4335,$L:$L)))/VLOOKUP($A4335,HeadJournal!$A$1:$L$890,COLUMN(HeadJournal!H$1),0),0)</f>
        <v>0.29006472560097685</v>
      </c>
      <c r="P4335" s="30">
        <f>IFERROR(SUM(K4335:O4335)*VLOOKUP($A4335,HeadJournal!$A$1:$L$890,COLUMN(HeadJournal!H$1),0),0)</f>
        <v>611.75553017111758</v>
      </c>
      <c r="Q4335" s="29">
        <v>1400</v>
      </c>
      <c r="R4335" s="31">
        <v>45922</v>
      </c>
      <c r="S4335" s="31"/>
      <c r="T4335" s="95" t="str">
        <f t="shared" si="335"/>
        <v>2025 09</v>
      </c>
      <c r="U4335" s="32">
        <f t="shared" si="332"/>
        <v>788.24446982888242</v>
      </c>
      <c r="V4335" s="22">
        <f t="shared" si="333"/>
        <v>1.2884958630588892</v>
      </c>
      <c r="X4335" s="33"/>
      <c r="Y4335" s="33"/>
    </row>
    <row r="4336" spans="1:25" x14ac:dyDescent="0.2">
      <c r="A4336" s="93" t="s">
        <v>2901</v>
      </c>
      <c r="B4336" s="94" t="str">
        <f>IFERROR(VLOOKUP($A4336,HeadJournal!$A$1:$NTR$890,COLUMN(HeadJournal!B$1),0),"")</f>
        <v>720000584737</v>
      </c>
      <c r="C4336" s="94" t="str">
        <f>IFERROR(VLOOKUP($A4336,HeadJournal!$A$1:$NTR$890,COLUMN(HeadJournal!C$1),0),"")</f>
        <v>iHerb_OA CZN6870</v>
      </c>
      <c r="D4336" s="125" t="str">
        <f>IFERROR(VLOOKUP($A4336,HeadJournal!$A$1:$NTR$890,COLUMN(HeadJournal!D$1),0),"")</f>
        <v>Доставлен</v>
      </c>
      <c r="E4336" s="95">
        <f>IFERROR(VLOOKUP($A4336,HeadJournal!$A$1:$NTR$890,COLUMN(HeadJournal!G$1),0),"")</f>
        <v>45701</v>
      </c>
      <c r="F4336" s="95" t="str">
        <f t="shared" si="334"/>
        <v>2025 02</v>
      </c>
      <c r="G4336" s="97" t="s">
        <v>5</v>
      </c>
      <c r="H4336" s="161" t="s">
        <v>2898</v>
      </c>
      <c r="I4336" s="97" t="s">
        <v>2491</v>
      </c>
      <c r="J4336" s="97" t="s">
        <v>3581</v>
      </c>
      <c r="K4336" s="29">
        <v>7.34</v>
      </c>
      <c r="L4336" s="29">
        <v>-1.8366666666666667</v>
      </c>
      <c r="M4336" s="30">
        <f>IFERROR(VLOOKUP($A4336,HeadJournal!$A$1:$J$890,COLUMN(HeadJournal!I$1),0)*($K4336+$L4336)/(SUMIF($A:$A,$A4336,$K:$K)+SUMIF($A:$A,$A4336,$L:$L)),0)</f>
        <v>-0.29440703211865649</v>
      </c>
      <c r="N4336" s="30">
        <f>IFERROR((VLOOKUP($A4336,HeadJournal!$A$1:$K$890,COLUMN(HeadJournal!K$1),0)-VLOOKUP($A4336,HeadJournal!$A$1:$K$890,COLUMN(HeadJournal!J$1),0))*($K4336+$L4336)/(SUMIF($A:$A,$A4336,$K:$K)+SUMIF($A:$A,$A4336,$L:$L)),0)</f>
        <v>0</v>
      </c>
      <c r="O4336" s="30">
        <f>IFERROR((VLOOKUP($A4336,HeadJournal!$A$1:$L$890,COLUMN(HeadJournal!L$1),0)*($K4336+$L4336)/(SUMIF($A:$A,$A4336,$K:$K)+SUMIF($A:$A,$A4336,$L:$L)))/VLOOKUP($A4336,HeadJournal!$A$1:$L$890,COLUMN(HeadJournal!H$1),0),0)</f>
        <v>0.29006472560097685</v>
      </c>
      <c r="P4336" s="30">
        <f>IFERROR(SUM(K4336:O4336)*VLOOKUP($A4336,HeadJournal!$A$1:$L$890,COLUMN(HeadJournal!H$1),0),0)</f>
        <v>611.75553017111758</v>
      </c>
      <c r="Q4336" s="29">
        <v>1300</v>
      </c>
      <c r="R4336" s="31">
        <v>46065</v>
      </c>
      <c r="S4336" s="31" t="s">
        <v>4996</v>
      </c>
      <c r="T4336" s="95" t="str">
        <f t="shared" si="335"/>
        <v>2026 02</v>
      </c>
      <c r="U4336" s="32">
        <f t="shared" si="332"/>
        <v>688.24446982888242</v>
      </c>
      <c r="V4336" s="22">
        <f t="shared" si="333"/>
        <v>1.125031872840397</v>
      </c>
      <c r="X4336" s="33"/>
      <c r="Y4336" s="33"/>
    </row>
    <row r="4337" spans="1:25" x14ac:dyDescent="0.2">
      <c r="A4337" s="93" t="s">
        <v>2901</v>
      </c>
      <c r="B4337" s="94" t="str">
        <f>IFERROR(VLOOKUP($A4337,HeadJournal!$A$1:$NTR$890,COLUMN(HeadJournal!B$1),0),"")</f>
        <v>720000584737</v>
      </c>
      <c r="C4337" s="94" t="str">
        <f>IFERROR(VLOOKUP($A4337,HeadJournal!$A$1:$NTR$890,COLUMN(HeadJournal!C$1),0),"")</f>
        <v>iHerb_OA CZN6870</v>
      </c>
      <c r="D4337" s="125" t="str">
        <f>IFERROR(VLOOKUP($A4337,HeadJournal!$A$1:$NTR$890,COLUMN(HeadJournal!D$1),0),"")</f>
        <v>Доставлен</v>
      </c>
      <c r="E4337" s="95">
        <f>IFERROR(VLOOKUP($A4337,HeadJournal!$A$1:$NTR$890,COLUMN(HeadJournal!G$1),0),"")</f>
        <v>45701</v>
      </c>
      <c r="F4337" s="95" t="str">
        <f t="shared" si="334"/>
        <v>2025 02</v>
      </c>
      <c r="G4337" s="97" t="s">
        <v>5</v>
      </c>
      <c r="H4337" s="161" t="s">
        <v>2663</v>
      </c>
      <c r="I4337" s="97" t="s">
        <v>2005</v>
      </c>
      <c r="J4337" s="97" t="s">
        <v>2664</v>
      </c>
      <c r="K4337" s="29">
        <v>33.340000000000003</v>
      </c>
      <c r="L4337" s="29">
        <v>-6.67</v>
      </c>
      <c r="M4337" s="30">
        <f>IFERROR(VLOOKUP($A4337,HeadJournal!$A$1:$J$890,COLUMN(HeadJournal!I$1),0)*($K4337+$L4337)/(SUMIF($A:$A,$A4337,$K:$K)+SUMIF($A:$A,$A4337,$L:$L)),0)</f>
        <v>-1.4267417710365664</v>
      </c>
      <c r="N4337" s="30">
        <f>IFERROR((VLOOKUP($A4337,HeadJournal!$A$1:$K$890,COLUMN(HeadJournal!K$1),0)-VLOOKUP($A4337,HeadJournal!$A$1:$K$890,COLUMN(HeadJournal!J$1),0))*($K4337+$L4337)/(SUMIF($A:$A,$A4337,$K:$K)+SUMIF($A:$A,$A4337,$L:$L)),0)</f>
        <v>0</v>
      </c>
      <c r="O4337" s="30">
        <f>IFERROR((VLOOKUP($A4337,HeadJournal!$A$1:$L$890,COLUMN(HeadJournal!L$1),0)*($K4337+$L4337)/(SUMIF($A:$A,$A4337,$K:$K)+SUMIF($A:$A,$A4337,$L:$L)))/VLOOKUP($A4337,HeadJournal!$A$1:$L$890,COLUMN(HeadJournal!H$1),0),0)</f>
        <v>1.4056982856047342</v>
      </c>
      <c r="P4337" s="30">
        <f>IFERROR(SUM(K4337:O4337)*VLOOKUP($A4337,HeadJournal!$A$1:$L$890,COLUMN(HeadJournal!H$1),0),0)</f>
        <v>2964.6614154446474</v>
      </c>
      <c r="Q4337" s="29">
        <v>4200</v>
      </c>
      <c r="R4337" s="31">
        <v>45729</v>
      </c>
      <c r="S4337" s="31" t="s">
        <v>3121</v>
      </c>
      <c r="T4337" s="95" t="str">
        <f t="shared" si="335"/>
        <v>2025 03</v>
      </c>
      <c r="U4337" s="32">
        <f t="shared" si="332"/>
        <v>1235.3385845553526</v>
      </c>
      <c r="V4337" s="22">
        <f t="shared" si="333"/>
        <v>0.41668791522693099</v>
      </c>
      <c r="X4337" s="33"/>
      <c r="Y4337" s="33"/>
    </row>
    <row r="4338" spans="1:25" x14ac:dyDescent="0.2">
      <c r="A4338" s="93" t="s">
        <v>2901</v>
      </c>
      <c r="B4338" s="94" t="str">
        <f>IFERROR(VLOOKUP($A4338,HeadJournal!$A$1:$NTR$890,COLUMN(HeadJournal!B$1),0),"")</f>
        <v>720000584737</v>
      </c>
      <c r="C4338" s="94" t="str">
        <f>IFERROR(VLOOKUP($A4338,HeadJournal!$A$1:$NTR$890,COLUMN(HeadJournal!C$1),0),"")</f>
        <v>iHerb_OA CZN6870</v>
      </c>
      <c r="D4338" s="125" t="str">
        <f>IFERROR(VLOOKUP($A4338,HeadJournal!$A$1:$NTR$890,COLUMN(HeadJournal!D$1),0),"")</f>
        <v>Доставлен</v>
      </c>
      <c r="E4338" s="95">
        <f>IFERROR(VLOOKUP($A4338,HeadJournal!$A$1:$NTR$890,COLUMN(HeadJournal!G$1),0),"")</f>
        <v>45701</v>
      </c>
      <c r="F4338" s="95" t="str">
        <f t="shared" si="334"/>
        <v>2025 02</v>
      </c>
      <c r="G4338" s="97" t="s">
        <v>5</v>
      </c>
      <c r="H4338" s="161" t="s">
        <v>2663</v>
      </c>
      <c r="I4338" s="97" t="s">
        <v>2005</v>
      </c>
      <c r="J4338" s="97" t="s">
        <v>2664</v>
      </c>
      <c r="K4338" s="29">
        <v>33.340000000000003</v>
      </c>
      <c r="L4338" s="29">
        <v>-6.67</v>
      </c>
      <c r="M4338" s="30">
        <f>IFERROR(VLOOKUP($A4338,HeadJournal!$A$1:$J$890,COLUMN(HeadJournal!I$1),0)*($K4338+$L4338)/(SUMIF($A:$A,$A4338,$K:$K)+SUMIF($A:$A,$A4338,$L:$L)),0)</f>
        <v>-1.4267417710365664</v>
      </c>
      <c r="N4338" s="30">
        <f>IFERROR((VLOOKUP($A4338,HeadJournal!$A$1:$K$890,COLUMN(HeadJournal!K$1),0)-VLOOKUP($A4338,HeadJournal!$A$1:$K$890,COLUMN(HeadJournal!J$1),0))*($K4338+$L4338)/(SUMIF($A:$A,$A4338,$K:$K)+SUMIF($A:$A,$A4338,$L:$L)),0)</f>
        <v>0</v>
      </c>
      <c r="O4338" s="30">
        <f>IFERROR((VLOOKUP($A4338,HeadJournal!$A$1:$L$890,COLUMN(HeadJournal!L$1),0)*($K4338+$L4338)/(SUMIF($A:$A,$A4338,$K:$K)+SUMIF($A:$A,$A4338,$L:$L)))/VLOOKUP($A4338,HeadJournal!$A$1:$L$890,COLUMN(HeadJournal!H$1),0),0)</f>
        <v>1.4056982856047342</v>
      </c>
      <c r="P4338" s="30">
        <f>IFERROR(SUM(K4338:O4338)*VLOOKUP($A4338,HeadJournal!$A$1:$L$890,COLUMN(HeadJournal!H$1),0),0)</f>
        <v>2964.6614154446474</v>
      </c>
      <c r="Q4338" s="29">
        <v>4200</v>
      </c>
      <c r="R4338" s="31">
        <v>45729</v>
      </c>
      <c r="S4338" s="31" t="s">
        <v>3121</v>
      </c>
      <c r="T4338" s="95" t="str">
        <f t="shared" si="335"/>
        <v>2025 03</v>
      </c>
      <c r="U4338" s="32">
        <f t="shared" si="332"/>
        <v>1235.3385845553526</v>
      </c>
      <c r="V4338" s="22">
        <f t="shared" si="333"/>
        <v>0.41668791522693099</v>
      </c>
      <c r="X4338" s="33"/>
      <c r="Y4338" s="33"/>
    </row>
    <row r="4339" spans="1:25" x14ac:dyDescent="0.2">
      <c r="A4339" s="93" t="s">
        <v>2901</v>
      </c>
      <c r="B4339" s="94" t="str">
        <f>IFERROR(VLOOKUP($A4339,HeadJournal!$A$1:$NTR$890,COLUMN(HeadJournal!B$1),0),"")</f>
        <v>720000584737</v>
      </c>
      <c r="C4339" s="94" t="str">
        <f>IFERROR(VLOOKUP($A4339,HeadJournal!$A$1:$NTR$890,COLUMN(HeadJournal!C$1),0),"")</f>
        <v>iHerb_OA CZN6870</v>
      </c>
      <c r="D4339" s="125" t="str">
        <f>IFERROR(VLOOKUP($A4339,HeadJournal!$A$1:$NTR$890,COLUMN(HeadJournal!D$1),0),"")</f>
        <v>Доставлен</v>
      </c>
      <c r="E4339" s="95">
        <f>IFERROR(VLOOKUP($A4339,HeadJournal!$A$1:$NTR$890,COLUMN(HeadJournal!G$1),0),"")</f>
        <v>45701</v>
      </c>
      <c r="F4339" s="95" t="str">
        <f t="shared" si="334"/>
        <v>2025 02</v>
      </c>
      <c r="G4339" s="97" t="s">
        <v>5</v>
      </c>
      <c r="H4339" s="161" t="s">
        <v>2624</v>
      </c>
      <c r="I4339" s="97" t="s">
        <v>2005</v>
      </c>
      <c r="J4339" s="97" t="s">
        <v>2625</v>
      </c>
      <c r="K4339" s="29">
        <v>23.95</v>
      </c>
      <c r="L4339" s="29">
        <v>-4.79</v>
      </c>
      <c r="M4339" s="30">
        <f>IFERROR(VLOOKUP($A4339,HeadJournal!$A$1:$J$890,COLUMN(HeadJournal!I$1),0)*($K4339+$L4339)/(SUMIF($A:$A,$A4339,$K:$K)+SUMIF($A:$A,$A4339,$L:$L)),0)</f>
        <v>-1.0249858392598654</v>
      </c>
      <c r="N4339" s="30">
        <f>IFERROR((VLOOKUP($A4339,HeadJournal!$A$1:$K$890,COLUMN(HeadJournal!K$1),0)-VLOOKUP($A4339,HeadJournal!$A$1:$K$890,COLUMN(HeadJournal!J$1),0))*($K4339+$L4339)/(SUMIF($A:$A,$A4339,$K:$K)+SUMIF($A:$A,$A4339,$L:$L)),0)</f>
        <v>0</v>
      </c>
      <c r="O4339" s="30">
        <f>IFERROR((VLOOKUP($A4339,HeadJournal!$A$1:$L$890,COLUMN(HeadJournal!L$1),0)*($K4339+$L4339)/(SUMIF($A:$A,$A4339,$K:$K)+SUMIF($A:$A,$A4339,$L:$L)))/VLOOKUP($A4339,HeadJournal!$A$1:$L$890,COLUMN(HeadJournal!H$1),0),0)</f>
        <v>1.0098679847089127</v>
      </c>
      <c r="P4339" s="30">
        <f>IFERROR(SUM(K4339:O4339)*VLOOKUP($A4339,HeadJournal!$A$1:$L$890,COLUMN(HeadJournal!H$1),0),0)</f>
        <v>2129.8429966224012</v>
      </c>
      <c r="Q4339" s="29">
        <v>3000</v>
      </c>
      <c r="R4339" s="31">
        <v>45849</v>
      </c>
      <c r="S4339" s="31"/>
      <c r="T4339" s="95" t="str">
        <f t="shared" si="335"/>
        <v>2025 07</v>
      </c>
      <c r="U4339" s="32">
        <f t="shared" si="332"/>
        <v>870.15700337759881</v>
      </c>
      <c r="V4339" s="22">
        <f t="shared" si="333"/>
        <v>0.40855452949232979</v>
      </c>
      <c r="X4339" s="33"/>
      <c r="Y4339" s="33"/>
    </row>
    <row r="4340" spans="1:25" x14ac:dyDescent="0.2">
      <c r="A4340" s="93" t="s">
        <v>2901</v>
      </c>
      <c r="B4340" s="94" t="str">
        <f>IFERROR(VLOOKUP($A4340,HeadJournal!$A$1:$NTR$890,COLUMN(HeadJournal!B$1),0),"")</f>
        <v>720000584737</v>
      </c>
      <c r="C4340" s="94" t="str">
        <f>IFERROR(VLOOKUP($A4340,HeadJournal!$A$1:$NTR$890,COLUMN(HeadJournal!C$1),0),"")</f>
        <v>iHerb_OA CZN6870</v>
      </c>
      <c r="D4340" s="125" t="str">
        <f>IFERROR(VLOOKUP($A4340,HeadJournal!$A$1:$NTR$890,COLUMN(HeadJournal!D$1),0),"")</f>
        <v>Доставлен</v>
      </c>
      <c r="E4340" s="95">
        <f>IFERROR(VLOOKUP($A4340,HeadJournal!$A$1:$NTR$890,COLUMN(HeadJournal!G$1),0),"")</f>
        <v>45701</v>
      </c>
      <c r="F4340" s="95" t="str">
        <f t="shared" si="334"/>
        <v>2025 02</v>
      </c>
      <c r="G4340" s="97" t="s">
        <v>5</v>
      </c>
      <c r="H4340" s="161" t="s">
        <v>2624</v>
      </c>
      <c r="I4340" s="97" t="s">
        <v>2005</v>
      </c>
      <c r="J4340" s="97" t="s">
        <v>2625</v>
      </c>
      <c r="K4340" s="29">
        <v>23.95</v>
      </c>
      <c r="L4340" s="29">
        <v>-4.79</v>
      </c>
      <c r="M4340" s="30">
        <f>IFERROR(VLOOKUP($A4340,HeadJournal!$A$1:$J$890,COLUMN(HeadJournal!I$1),0)*($K4340+$L4340)/(SUMIF($A:$A,$A4340,$K:$K)+SUMIF($A:$A,$A4340,$L:$L)),0)</f>
        <v>-1.0249858392598654</v>
      </c>
      <c r="N4340" s="30">
        <f>IFERROR((VLOOKUP($A4340,HeadJournal!$A$1:$K$890,COLUMN(HeadJournal!K$1),0)-VLOOKUP($A4340,HeadJournal!$A$1:$K$890,COLUMN(HeadJournal!J$1),0))*($K4340+$L4340)/(SUMIF($A:$A,$A4340,$K:$K)+SUMIF($A:$A,$A4340,$L:$L)),0)</f>
        <v>0</v>
      </c>
      <c r="O4340" s="30">
        <f>IFERROR((VLOOKUP($A4340,HeadJournal!$A$1:$L$890,COLUMN(HeadJournal!L$1),0)*($K4340+$L4340)/(SUMIF($A:$A,$A4340,$K:$K)+SUMIF($A:$A,$A4340,$L:$L)))/VLOOKUP($A4340,HeadJournal!$A$1:$L$890,COLUMN(HeadJournal!H$1),0),0)</f>
        <v>1.0098679847089127</v>
      </c>
      <c r="P4340" s="30">
        <f>IFERROR(SUM(K4340:O4340)*VLOOKUP($A4340,HeadJournal!$A$1:$L$890,COLUMN(HeadJournal!H$1),0),0)</f>
        <v>2129.8429966224012</v>
      </c>
      <c r="Q4340" s="29">
        <v>2900</v>
      </c>
      <c r="R4340" s="31">
        <v>45899</v>
      </c>
      <c r="S4340" s="31" t="s">
        <v>3384</v>
      </c>
      <c r="T4340" s="95" t="str">
        <f t="shared" si="335"/>
        <v>2025 08</v>
      </c>
      <c r="U4340" s="32">
        <f t="shared" si="332"/>
        <v>770.15700337759881</v>
      </c>
      <c r="V4340" s="22">
        <f t="shared" si="333"/>
        <v>0.36160271184258547</v>
      </c>
      <c r="X4340" s="33"/>
      <c r="Y4340" s="33"/>
    </row>
    <row r="4341" spans="1:25" x14ac:dyDescent="0.2">
      <c r="A4341" s="93" t="s">
        <v>2901</v>
      </c>
      <c r="B4341" s="94" t="str">
        <f>IFERROR(VLOOKUP($A4341,HeadJournal!$A$1:$NTR$890,COLUMN(HeadJournal!B$1),0),"")</f>
        <v>720000584737</v>
      </c>
      <c r="C4341" s="94" t="str">
        <f>IFERROR(VLOOKUP($A4341,HeadJournal!$A$1:$NTR$890,COLUMN(HeadJournal!C$1),0),"")</f>
        <v>iHerb_OA CZN6870</v>
      </c>
      <c r="D4341" s="125" t="str">
        <f>IFERROR(VLOOKUP($A4341,HeadJournal!$A$1:$NTR$890,COLUMN(HeadJournal!D$1),0),"")</f>
        <v>Доставлен</v>
      </c>
      <c r="E4341" s="95">
        <f>IFERROR(VLOOKUP($A4341,HeadJournal!$A$1:$NTR$890,COLUMN(HeadJournal!G$1),0),"")</f>
        <v>45701</v>
      </c>
      <c r="F4341" s="95" t="str">
        <f t="shared" si="334"/>
        <v>2025 02</v>
      </c>
      <c r="G4341" s="97" t="s">
        <v>5</v>
      </c>
      <c r="H4341" s="161" t="s">
        <v>2431</v>
      </c>
      <c r="I4341" s="97" t="s">
        <v>2221</v>
      </c>
      <c r="J4341" s="97" t="s">
        <v>4196</v>
      </c>
      <c r="K4341" s="29">
        <v>13.53</v>
      </c>
      <c r="L4341" s="29">
        <v>-2.7050000000000001</v>
      </c>
      <c r="M4341" s="30">
        <f>IFERROR(VLOOKUP($A4341,HeadJournal!$A$1:$J$890,COLUMN(HeadJournal!I$1),0)*($K4341+$L4341)/(SUMIF($A:$A,$A4341,$K:$K)+SUMIF($A:$A,$A4341,$L:$L)),0)</f>
        <v>-0.57909560073006483</v>
      </c>
      <c r="N4341" s="30">
        <f>IFERROR((VLOOKUP($A4341,HeadJournal!$A$1:$K$890,COLUMN(HeadJournal!K$1),0)-VLOOKUP($A4341,HeadJournal!$A$1:$K$890,COLUMN(HeadJournal!J$1),0))*($K4341+$L4341)/(SUMIF($A:$A,$A4341,$K:$K)+SUMIF($A:$A,$A4341,$L:$L)),0)</f>
        <v>0</v>
      </c>
      <c r="O4341" s="30">
        <f>IFERROR((VLOOKUP($A4341,HeadJournal!$A$1:$L$890,COLUMN(HeadJournal!L$1),0)*($K4341+$L4341)/(SUMIF($A:$A,$A4341,$K:$K)+SUMIF($A:$A,$A4341,$L:$L)))/VLOOKUP($A4341,HeadJournal!$A$1:$L$890,COLUMN(HeadJournal!H$1),0),0)</f>
        <v>0.57055432852160648</v>
      </c>
      <c r="P4341" s="30">
        <f>IFERROR(SUM(K4341:O4341)*VLOOKUP($A4341,HeadJournal!$A$1:$L$890,COLUMN(HeadJournal!H$1),0),0)</f>
        <v>1203.3168287284702</v>
      </c>
      <c r="Q4341" s="29">
        <v>2300</v>
      </c>
      <c r="R4341" s="31">
        <v>45729</v>
      </c>
      <c r="S4341" s="31" t="s">
        <v>3121</v>
      </c>
      <c r="T4341" s="95" t="str">
        <f t="shared" si="335"/>
        <v>2025 03</v>
      </c>
      <c r="U4341" s="32">
        <f t="shared" si="332"/>
        <v>1096.6831712715298</v>
      </c>
      <c r="V4341" s="22">
        <f t="shared" si="333"/>
        <v>0.91138355675652027</v>
      </c>
      <c r="X4341" s="33"/>
      <c r="Y4341" s="33"/>
    </row>
    <row r="4342" spans="1:25" x14ac:dyDescent="0.2">
      <c r="A4342" s="93" t="s">
        <v>2901</v>
      </c>
      <c r="B4342" s="94" t="str">
        <f>IFERROR(VLOOKUP($A4342,HeadJournal!$A$1:$NTR$890,COLUMN(HeadJournal!B$1),0),"")</f>
        <v>720000584737</v>
      </c>
      <c r="C4342" s="94" t="str">
        <f>IFERROR(VLOOKUP($A4342,HeadJournal!$A$1:$NTR$890,COLUMN(HeadJournal!C$1),0),"")</f>
        <v>iHerb_OA CZN6870</v>
      </c>
      <c r="D4342" s="125" t="str">
        <f>IFERROR(VLOOKUP($A4342,HeadJournal!$A$1:$NTR$890,COLUMN(HeadJournal!D$1),0),"")</f>
        <v>Доставлен</v>
      </c>
      <c r="E4342" s="95">
        <f>IFERROR(VLOOKUP($A4342,HeadJournal!$A$1:$NTR$890,COLUMN(HeadJournal!G$1),0),"")</f>
        <v>45701</v>
      </c>
      <c r="F4342" s="95" t="str">
        <f t="shared" si="334"/>
        <v>2025 02</v>
      </c>
      <c r="G4342" s="97" t="s">
        <v>5</v>
      </c>
      <c r="H4342" s="161" t="s">
        <v>2431</v>
      </c>
      <c r="I4342" s="97" t="s">
        <v>2221</v>
      </c>
      <c r="J4342" s="97" t="s">
        <v>4196</v>
      </c>
      <c r="K4342" s="29">
        <v>13.53</v>
      </c>
      <c r="L4342" s="29">
        <v>-2.7050000000000001</v>
      </c>
      <c r="M4342" s="30">
        <f>IFERROR(VLOOKUP($A4342,HeadJournal!$A$1:$J$890,COLUMN(HeadJournal!I$1),0)*($K4342+$L4342)/(SUMIF($A:$A,$A4342,$K:$K)+SUMIF($A:$A,$A4342,$L:$L)),0)</f>
        <v>-0.57909560073006483</v>
      </c>
      <c r="N4342" s="30">
        <f>IFERROR((VLOOKUP($A4342,HeadJournal!$A$1:$K$890,COLUMN(HeadJournal!K$1),0)-VLOOKUP($A4342,HeadJournal!$A$1:$K$890,COLUMN(HeadJournal!J$1),0))*($K4342+$L4342)/(SUMIF($A:$A,$A4342,$K:$K)+SUMIF($A:$A,$A4342,$L:$L)),0)</f>
        <v>0</v>
      </c>
      <c r="O4342" s="30">
        <f>IFERROR((VLOOKUP($A4342,HeadJournal!$A$1:$L$890,COLUMN(HeadJournal!L$1),0)*($K4342+$L4342)/(SUMIF($A:$A,$A4342,$K:$K)+SUMIF($A:$A,$A4342,$L:$L)))/VLOOKUP($A4342,HeadJournal!$A$1:$L$890,COLUMN(HeadJournal!H$1),0),0)</f>
        <v>0.57055432852160648</v>
      </c>
      <c r="P4342" s="30">
        <f>IFERROR(SUM(K4342:O4342)*VLOOKUP($A4342,HeadJournal!$A$1:$L$890,COLUMN(HeadJournal!H$1),0),0)</f>
        <v>1203.3168287284702</v>
      </c>
      <c r="Q4342" s="29">
        <v>2300</v>
      </c>
      <c r="R4342" s="31">
        <v>45897</v>
      </c>
      <c r="S4342" s="31"/>
      <c r="T4342" s="95" t="str">
        <f t="shared" si="335"/>
        <v>2025 08</v>
      </c>
      <c r="U4342" s="32">
        <f t="shared" si="332"/>
        <v>1096.6831712715298</v>
      </c>
      <c r="V4342" s="22">
        <f t="shared" si="333"/>
        <v>0.91138355675652027</v>
      </c>
      <c r="X4342" s="33"/>
      <c r="Y4342" s="33"/>
    </row>
    <row r="4343" spans="1:25" x14ac:dyDescent="0.2">
      <c r="A4343" s="93" t="s">
        <v>2901</v>
      </c>
      <c r="B4343" s="94" t="str">
        <f>IFERROR(VLOOKUP($A4343,HeadJournal!$A$1:$NTR$890,COLUMN(HeadJournal!B$1),0),"")</f>
        <v>720000584737</v>
      </c>
      <c r="C4343" s="94" t="str">
        <f>IFERROR(VLOOKUP($A4343,HeadJournal!$A$1:$NTR$890,COLUMN(HeadJournal!C$1),0),"")</f>
        <v>iHerb_OA CZN6870</v>
      </c>
      <c r="D4343" s="125" t="str">
        <f>IFERROR(VLOOKUP($A4343,HeadJournal!$A$1:$NTR$890,COLUMN(HeadJournal!D$1),0),"")</f>
        <v>Доставлен</v>
      </c>
      <c r="E4343" s="95">
        <f>IFERROR(VLOOKUP($A4343,HeadJournal!$A$1:$NTR$890,COLUMN(HeadJournal!G$1),0),"")</f>
        <v>45701</v>
      </c>
      <c r="F4343" s="95" t="str">
        <f t="shared" si="334"/>
        <v>2025 02</v>
      </c>
      <c r="G4343" s="97" t="s">
        <v>5</v>
      </c>
      <c r="H4343" s="161" t="s">
        <v>2899</v>
      </c>
      <c r="I4343" s="97" t="s">
        <v>2042</v>
      </c>
      <c r="J4343" s="97" t="s">
        <v>2900</v>
      </c>
      <c r="K4343" s="29">
        <v>9.76</v>
      </c>
      <c r="L4343" s="29">
        <v>-1.95</v>
      </c>
      <c r="M4343" s="30">
        <f>IFERROR(VLOOKUP($A4343,HeadJournal!$A$1:$J$890,COLUMN(HeadJournal!I$1),0)*($K4343+$L4343)/(SUMIF($A:$A,$A4343,$K:$K)+SUMIF($A:$A,$A4343,$L:$L)),0)</f>
        <v>-0.41780477059600979</v>
      </c>
      <c r="N4343" s="30">
        <f>IFERROR((VLOOKUP($A4343,HeadJournal!$A$1:$K$890,COLUMN(HeadJournal!K$1),0)-VLOOKUP($A4343,HeadJournal!$A$1:$K$890,COLUMN(HeadJournal!J$1),0))*($K4343+$L4343)/(SUMIF($A:$A,$A4343,$K:$K)+SUMIF($A:$A,$A4343,$L:$L)),0)</f>
        <v>0</v>
      </c>
      <c r="O4343" s="30">
        <f>IFERROR((VLOOKUP($A4343,HeadJournal!$A$1:$L$890,COLUMN(HeadJournal!L$1),0)*($K4343+$L4343)/(SUMIF($A:$A,$A4343,$K:$K)+SUMIF($A:$A,$A4343,$L:$L)))/VLOOKUP($A4343,HeadJournal!$A$1:$L$890,COLUMN(HeadJournal!H$1),0),0)</f>
        <v>0.41164243009272483</v>
      </c>
      <c r="P4343" s="30">
        <f>IFERROR(SUM(K4343:O4343)*VLOOKUP($A4343,HeadJournal!$A$1:$L$890,COLUMN(HeadJournal!H$1),0),0)</f>
        <v>868.16669121194957</v>
      </c>
      <c r="Q4343" s="29">
        <v>1500</v>
      </c>
      <c r="R4343" s="31">
        <v>45910</v>
      </c>
      <c r="S4343" s="31" t="s">
        <v>3475</v>
      </c>
      <c r="T4343" s="95" t="str">
        <f t="shared" si="335"/>
        <v>2025 09</v>
      </c>
      <c r="U4343" s="32">
        <f t="shared" si="332"/>
        <v>631.83330878805043</v>
      </c>
      <c r="V4343" s="22">
        <f t="shared" si="333"/>
        <v>0.72777879545922131</v>
      </c>
      <c r="X4343" s="33"/>
      <c r="Y4343" s="33"/>
    </row>
    <row r="4344" spans="1:25" x14ac:dyDescent="0.2">
      <c r="A4344" s="93" t="s">
        <v>2905</v>
      </c>
      <c r="B4344" s="94" t="str">
        <f>IFERROR(VLOOKUP($A4344,HeadJournal!$A$1:$NTR$890,COLUMN(HeadJournal!B$1),0),"")</f>
        <v>720000571649</v>
      </c>
      <c r="C4344" s="94" t="str">
        <f>IFERROR(VLOOKUP($A4344,HeadJournal!$A$1:$NTR$890,COLUMN(HeadJournal!C$1),0),"")</f>
        <v>iHerb_MH DLE7202</v>
      </c>
      <c r="D4344" s="125" t="str">
        <f>IFERROR(VLOOKUP($A4344,HeadJournal!$A$1:$NTR$890,COLUMN(HeadJournal!D$1),0),"")</f>
        <v>Доставлен</v>
      </c>
      <c r="E4344" s="95">
        <f>IFERROR(VLOOKUP($A4344,HeadJournal!$A$1:$NTR$890,COLUMN(HeadJournal!G$1),0),"")</f>
        <v>45693</v>
      </c>
      <c r="F4344" s="95" t="str">
        <f t="shared" si="334"/>
        <v>2025 02</v>
      </c>
      <c r="G4344" s="97" t="s">
        <v>5</v>
      </c>
      <c r="H4344" s="161" t="s">
        <v>2076</v>
      </c>
      <c r="I4344" s="97" t="s">
        <v>2005</v>
      </c>
      <c r="J4344" s="97" t="s">
        <v>2077</v>
      </c>
      <c r="K4344" s="29">
        <v>18.829999999999998</v>
      </c>
      <c r="L4344" s="29">
        <v>-4.71</v>
      </c>
      <c r="M4344" s="30">
        <f>IFERROR(VLOOKUP($A4344,HeadJournal!$A$1:$J$890,COLUMN(HeadJournal!I$1),0)*($K4344+$L4344)/(SUMIF($A:$A,$A4344,$K:$K)+SUMIF($A:$A,$A4344,$L:$L)),0)</f>
        <v>-0.71687726191707146</v>
      </c>
      <c r="N4344" s="30">
        <f>IFERROR((VLOOKUP($A4344,HeadJournal!$A$1:$K$890,COLUMN(HeadJournal!K$1),0)-VLOOKUP($A4344,HeadJournal!$A$1:$K$890,COLUMN(HeadJournal!J$1),0))*($K4344+$L4344)/(SUMIF($A:$A,$A4344,$K:$K)+SUMIF($A:$A,$A4344,$L:$L)),0)</f>
        <v>-2.0748347490295959E-15</v>
      </c>
      <c r="O4344" s="30">
        <f>IFERROR((VLOOKUP($A4344,HeadJournal!$A$1:$L$890,COLUMN(HeadJournal!L$1),0)*($K4344+$L4344)/(SUMIF($A:$A,$A4344,$K:$K)+SUMIF($A:$A,$A4344,$L:$L)))/VLOOKUP($A4344,HeadJournal!$A$1:$L$890,COLUMN(HeadJournal!H$1),0),0)</f>
        <v>0.60743268166145081</v>
      </c>
      <c r="P4344" s="30">
        <f>IFERROR(SUM(K4344:O4344)*VLOOKUP($A4344,HeadJournal!$A$1:$L$890,COLUMN(HeadJournal!H$1),0),0)</f>
        <v>1568.7403708682309</v>
      </c>
      <c r="Q4344" s="29">
        <v>2500</v>
      </c>
      <c r="R4344" s="31">
        <v>45782</v>
      </c>
      <c r="S4344" s="31" t="s">
        <v>3121</v>
      </c>
      <c r="T4344" s="95" t="str">
        <f t="shared" si="335"/>
        <v>2025 05</v>
      </c>
      <c r="U4344" s="32">
        <f t="shared" si="332"/>
        <v>931.25962913176909</v>
      </c>
      <c r="V4344" s="22">
        <f t="shared" si="333"/>
        <v>0.59363527988787368</v>
      </c>
      <c r="X4344" s="33"/>
      <c r="Y4344" s="33"/>
    </row>
    <row r="4345" spans="1:25" x14ac:dyDescent="0.2">
      <c r="A4345" s="93" t="s">
        <v>2905</v>
      </c>
      <c r="B4345" s="94" t="str">
        <f>IFERROR(VLOOKUP($A4345,HeadJournal!$A$1:$NTR$890,COLUMN(HeadJournal!B$1),0),"")</f>
        <v>720000571649</v>
      </c>
      <c r="C4345" s="94" t="str">
        <f>IFERROR(VLOOKUP($A4345,HeadJournal!$A$1:$NTR$890,COLUMN(HeadJournal!C$1),0),"")</f>
        <v>iHerb_MH DLE7202</v>
      </c>
      <c r="D4345" s="125" t="str">
        <f>IFERROR(VLOOKUP($A4345,HeadJournal!$A$1:$NTR$890,COLUMN(HeadJournal!D$1),0),"")</f>
        <v>Доставлен</v>
      </c>
      <c r="E4345" s="95">
        <f>IFERROR(VLOOKUP($A4345,HeadJournal!$A$1:$NTR$890,COLUMN(HeadJournal!G$1),0),"")</f>
        <v>45693</v>
      </c>
      <c r="F4345" s="95" t="str">
        <f t="shared" si="334"/>
        <v>2025 02</v>
      </c>
      <c r="G4345" s="97" t="s">
        <v>5</v>
      </c>
      <c r="H4345" s="161" t="s">
        <v>2800</v>
      </c>
      <c r="I4345" s="97" t="s">
        <v>2207</v>
      </c>
      <c r="J4345" s="97" t="s">
        <v>2801</v>
      </c>
      <c r="K4345" s="29">
        <v>25.6</v>
      </c>
      <c r="L4345" s="29">
        <v>-6.4</v>
      </c>
      <c r="M4345" s="30">
        <f>IFERROR(VLOOKUP($A4345,HeadJournal!$A$1:$J$890,COLUMN(HeadJournal!I$1),0)*($K4345+$L4345)/(SUMIF($A:$A,$A4345,$K:$K)+SUMIF($A:$A,$A4345,$L:$L)),0)</f>
        <v>-0.97479061110536669</v>
      </c>
      <c r="N4345" s="30">
        <f>IFERROR((VLOOKUP($A4345,HeadJournal!$A$1:$K$890,COLUMN(HeadJournal!K$1),0)-VLOOKUP($A4345,HeadJournal!$A$1:$K$890,COLUMN(HeadJournal!J$1),0))*($K4345+$L4345)/(SUMIF($A:$A,$A4345,$K:$K)+SUMIF($A:$A,$A4345,$L:$L)),0)</f>
        <v>-2.8213050411733894E-15</v>
      </c>
      <c r="O4345" s="30">
        <f>IFERROR((VLOOKUP($A4345,HeadJournal!$A$1:$L$890,COLUMN(HeadJournal!L$1),0)*($K4345+$L4345)/(SUMIF($A:$A,$A4345,$K:$K)+SUMIF($A:$A,$A4345,$L:$L)))/VLOOKUP($A4345,HeadJournal!$A$1:$L$890,COLUMN(HeadJournal!H$1),0),0)</f>
        <v>0.82597078526202983</v>
      </c>
      <c r="P4345" s="30">
        <f>IFERROR(SUM(K4345:O4345)*VLOOKUP($A4345,HeadJournal!$A$1:$L$890,COLUMN(HeadJournal!H$1),0),0)</f>
        <v>2133.1313824837139</v>
      </c>
      <c r="Q4345" s="29">
        <v>3100</v>
      </c>
      <c r="R4345" s="31">
        <v>45782</v>
      </c>
      <c r="S4345" s="31" t="s">
        <v>3121</v>
      </c>
      <c r="T4345" s="95" t="str">
        <f t="shared" si="335"/>
        <v>2025 05</v>
      </c>
      <c r="U4345" s="32">
        <f t="shared" si="332"/>
        <v>966.86861751628612</v>
      </c>
      <c r="V4345" s="22">
        <f t="shared" si="333"/>
        <v>0.45326257231774986</v>
      </c>
      <c r="X4345" s="33"/>
      <c r="Y4345" s="33"/>
    </row>
    <row r="4346" spans="1:25" x14ac:dyDescent="0.2">
      <c r="A4346" s="93" t="s">
        <v>2905</v>
      </c>
      <c r="B4346" s="94" t="str">
        <f>IFERROR(VLOOKUP($A4346,HeadJournal!$A$1:$NTR$890,COLUMN(HeadJournal!B$1),0),"")</f>
        <v>720000571649</v>
      </c>
      <c r="C4346" s="94" t="str">
        <f>IFERROR(VLOOKUP($A4346,HeadJournal!$A$1:$NTR$890,COLUMN(HeadJournal!C$1),0),"")</f>
        <v>iHerb_MH DLE7202</v>
      </c>
      <c r="D4346" s="125" t="str">
        <f>IFERROR(VLOOKUP($A4346,HeadJournal!$A$1:$NTR$890,COLUMN(HeadJournal!D$1),0),"")</f>
        <v>Доставлен</v>
      </c>
      <c r="E4346" s="95">
        <f>IFERROR(VLOOKUP($A4346,HeadJournal!$A$1:$NTR$890,COLUMN(HeadJournal!G$1),0),"")</f>
        <v>45693</v>
      </c>
      <c r="F4346" s="95" t="str">
        <f t="shared" si="334"/>
        <v>2025 02</v>
      </c>
      <c r="G4346" s="97" t="s">
        <v>5</v>
      </c>
      <c r="H4346" s="161" t="s">
        <v>2800</v>
      </c>
      <c r="I4346" s="97" t="s">
        <v>2207</v>
      </c>
      <c r="J4346" s="97" t="s">
        <v>2801</v>
      </c>
      <c r="K4346" s="29">
        <v>25.6</v>
      </c>
      <c r="L4346" s="29">
        <v>-6.4</v>
      </c>
      <c r="M4346" s="30">
        <f>IFERROR(VLOOKUP($A4346,HeadJournal!$A$1:$J$890,COLUMN(HeadJournal!I$1),0)*($K4346+$L4346)/(SUMIF($A:$A,$A4346,$K:$K)+SUMIF($A:$A,$A4346,$L:$L)),0)</f>
        <v>-0.97479061110536669</v>
      </c>
      <c r="N4346" s="30">
        <f>IFERROR((VLOOKUP($A4346,HeadJournal!$A$1:$K$890,COLUMN(HeadJournal!K$1),0)-VLOOKUP($A4346,HeadJournal!$A$1:$K$890,COLUMN(HeadJournal!J$1),0))*($K4346+$L4346)/(SUMIF($A:$A,$A4346,$K:$K)+SUMIF($A:$A,$A4346,$L:$L)),0)</f>
        <v>-2.8213050411733894E-15</v>
      </c>
      <c r="O4346" s="30">
        <f>IFERROR((VLOOKUP($A4346,HeadJournal!$A$1:$L$890,COLUMN(HeadJournal!L$1),0)*($K4346+$L4346)/(SUMIF($A:$A,$A4346,$K:$K)+SUMIF($A:$A,$A4346,$L:$L)))/VLOOKUP($A4346,HeadJournal!$A$1:$L$890,COLUMN(HeadJournal!H$1),0),0)</f>
        <v>0.82597078526202983</v>
      </c>
      <c r="P4346" s="30">
        <f>IFERROR(SUM(K4346:O4346)*VLOOKUP($A4346,HeadJournal!$A$1:$L$890,COLUMN(HeadJournal!H$1),0),0)</f>
        <v>2133.1313824837139</v>
      </c>
      <c r="Q4346" s="29">
        <v>3200</v>
      </c>
      <c r="R4346" s="31">
        <v>45821</v>
      </c>
      <c r="S4346" s="31" t="s">
        <v>3121</v>
      </c>
      <c r="T4346" s="95" t="str">
        <f t="shared" si="335"/>
        <v>2025 06</v>
      </c>
      <c r="U4346" s="32">
        <f t="shared" si="332"/>
        <v>1066.8686175162861</v>
      </c>
      <c r="V4346" s="22">
        <f t="shared" si="333"/>
        <v>0.50014201013445148</v>
      </c>
      <c r="X4346" s="33"/>
      <c r="Y4346" s="33"/>
    </row>
    <row r="4347" spans="1:25" x14ac:dyDescent="0.2">
      <c r="A4347" s="93" t="s">
        <v>2905</v>
      </c>
      <c r="B4347" s="94" t="str">
        <f>IFERROR(VLOOKUP($A4347,HeadJournal!$A$1:$NTR$890,COLUMN(HeadJournal!B$1),0),"")</f>
        <v>720000571649</v>
      </c>
      <c r="C4347" s="94" t="str">
        <f>IFERROR(VLOOKUP($A4347,HeadJournal!$A$1:$NTR$890,COLUMN(HeadJournal!C$1),0),"")</f>
        <v>iHerb_MH DLE7202</v>
      </c>
      <c r="D4347" s="125" t="str">
        <f>IFERROR(VLOOKUP($A4347,HeadJournal!$A$1:$NTR$890,COLUMN(HeadJournal!D$1),0),"")</f>
        <v>Доставлен</v>
      </c>
      <c r="E4347" s="95">
        <f>IFERROR(VLOOKUP($A4347,HeadJournal!$A$1:$NTR$890,COLUMN(HeadJournal!G$1),0),"")</f>
        <v>45693</v>
      </c>
      <c r="F4347" s="95" t="str">
        <f t="shared" si="334"/>
        <v>2025 02</v>
      </c>
      <c r="G4347" s="97" t="s">
        <v>5</v>
      </c>
      <c r="H4347" s="161" t="s">
        <v>2120</v>
      </c>
      <c r="I4347" s="97" t="s">
        <v>2005</v>
      </c>
      <c r="J4347" s="97" t="s">
        <v>2121</v>
      </c>
      <c r="K4347" s="29">
        <v>13.76</v>
      </c>
      <c r="L4347" s="29">
        <v>-3.44</v>
      </c>
      <c r="M4347" s="30">
        <f>IFERROR(VLOOKUP($A4347,HeadJournal!$A$1:$J$890,COLUMN(HeadJournal!I$1),0)*($K4347+$L4347)/(SUMIF($A:$A,$A4347,$K:$K)+SUMIF($A:$A,$A4347,$L:$L)),0)</f>
        <v>-0.52394995346913453</v>
      </c>
      <c r="N4347" s="30">
        <f>IFERROR((VLOOKUP($A4347,HeadJournal!$A$1:$K$890,COLUMN(HeadJournal!K$1),0)-VLOOKUP($A4347,HeadJournal!$A$1:$K$890,COLUMN(HeadJournal!J$1),0))*($K4347+$L4347)/(SUMIF($A:$A,$A4347,$K:$K)+SUMIF($A:$A,$A4347,$L:$L)),0)</f>
        <v>-1.5164514596306967E-15</v>
      </c>
      <c r="O4347" s="30">
        <f>IFERROR((VLOOKUP($A4347,HeadJournal!$A$1:$L$890,COLUMN(HeadJournal!L$1),0)*($K4347+$L4347)/(SUMIF($A:$A,$A4347,$K:$K)+SUMIF($A:$A,$A4347,$L:$L)))/VLOOKUP($A4347,HeadJournal!$A$1:$L$890,COLUMN(HeadJournal!H$1),0),0)</f>
        <v>0.44395929707834086</v>
      </c>
      <c r="P4347" s="30">
        <f>IFERROR(SUM(K4347:O4347)*VLOOKUP($A4347,HeadJournal!$A$1:$L$890,COLUMN(HeadJournal!H$1),0),0)</f>
        <v>1146.5581180849961</v>
      </c>
      <c r="Q4347" s="29">
        <v>2000</v>
      </c>
      <c r="R4347" s="31">
        <v>45742</v>
      </c>
      <c r="S4347" s="31" t="s">
        <v>3121</v>
      </c>
      <c r="T4347" s="95" t="str">
        <f t="shared" si="335"/>
        <v>2025 03</v>
      </c>
      <c r="U4347" s="32">
        <f t="shared" si="332"/>
        <v>853.44188191500393</v>
      </c>
      <c r="V4347" s="22">
        <f t="shared" si="333"/>
        <v>0.74435117457494382</v>
      </c>
      <c r="X4347" s="33"/>
      <c r="Y4347" s="33"/>
    </row>
    <row r="4348" spans="1:25" x14ac:dyDescent="0.2">
      <c r="A4348" s="93" t="s">
        <v>2905</v>
      </c>
      <c r="B4348" s="94" t="str">
        <f>IFERROR(VLOOKUP($A4348,HeadJournal!$A$1:$NTR$890,COLUMN(HeadJournal!B$1),0),"")</f>
        <v>720000571649</v>
      </c>
      <c r="C4348" s="94" t="str">
        <f>IFERROR(VLOOKUP($A4348,HeadJournal!$A$1:$NTR$890,COLUMN(HeadJournal!C$1),0),"")</f>
        <v>iHerb_MH DLE7202</v>
      </c>
      <c r="D4348" s="125" t="str">
        <f>IFERROR(VLOOKUP($A4348,HeadJournal!$A$1:$NTR$890,COLUMN(HeadJournal!D$1),0),"")</f>
        <v>Доставлен</v>
      </c>
      <c r="E4348" s="95">
        <f>IFERROR(VLOOKUP($A4348,HeadJournal!$A$1:$NTR$890,COLUMN(HeadJournal!G$1),0),"")</f>
        <v>45693</v>
      </c>
      <c r="F4348" s="95" t="str">
        <f t="shared" si="334"/>
        <v>2025 02</v>
      </c>
      <c r="G4348" s="97" t="s">
        <v>5</v>
      </c>
      <c r="H4348" s="161" t="s">
        <v>2120</v>
      </c>
      <c r="I4348" s="97" t="s">
        <v>2005</v>
      </c>
      <c r="J4348" s="97" t="s">
        <v>2121</v>
      </c>
      <c r="K4348" s="29">
        <v>13.76</v>
      </c>
      <c r="L4348" s="29">
        <v>-3.44</v>
      </c>
      <c r="M4348" s="30">
        <f>IFERROR(VLOOKUP($A4348,HeadJournal!$A$1:$J$890,COLUMN(HeadJournal!I$1),0)*($K4348+$L4348)/(SUMIF($A:$A,$A4348,$K:$K)+SUMIF($A:$A,$A4348,$L:$L)),0)</f>
        <v>-0.52394995346913453</v>
      </c>
      <c r="N4348" s="30">
        <f>IFERROR((VLOOKUP($A4348,HeadJournal!$A$1:$K$890,COLUMN(HeadJournal!K$1),0)-VLOOKUP($A4348,HeadJournal!$A$1:$K$890,COLUMN(HeadJournal!J$1),0))*($K4348+$L4348)/(SUMIF($A:$A,$A4348,$K:$K)+SUMIF($A:$A,$A4348,$L:$L)),0)</f>
        <v>-1.5164514596306967E-15</v>
      </c>
      <c r="O4348" s="30">
        <f>IFERROR((VLOOKUP($A4348,HeadJournal!$A$1:$L$890,COLUMN(HeadJournal!L$1),0)*($K4348+$L4348)/(SUMIF($A:$A,$A4348,$K:$K)+SUMIF($A:$A,$A4348,$L:$L)))/VLOOKUP($A4348,HeadJournal!$A$1:$L$890,COLUMN(HeadJournal!H$1),0),0)</f>
        <v>0.44395929707834086</v>
      </c>
      <c r="P4348" s="30">
        <f>IFERROR(SUM(K4348:O4348)*VLOOKUP($A4348,HeadJournal!$A$1:$L$890,COLUMN(HeadJournal!H$1),0),0)</f>
        <v>1146.5581180849961</v>
      </c>
      <c r="Q4348" s="29">
        <v>2000</v>
      </c>
      <c r="R4348" s="31">
        <v>45755</v>
      </c>
      <c r="S4348" s="31" t="s">
        <v>3121</v>
      </c>
      <c r="T4348" s="95" t="str">
        <f t="shared" si="335"/>
        <v>2025 04</v>
      </c>
      <c r="U4348" s="32">
        <f t="shared" si="332"/>
        <v>853.44188191500393</v>
      </c>
      <c r="V4348" s="22">
        <f t="shared" si="333"/>
        <v>0.74435117457494382</v>
      </c>
      <c r="X4348" s="33"/>
      <c r="Y4348" s="33"/>
    </row>
    <row r="4349" spans="1:25" x14ac:dyDescent="0.2">
      <c r="A4349" s="93" t="s">
        <v>2905</v>
      </c>
      <c r="B4349" s="94" t="str">
        <f>IFERROR(VLOOKUP($A4349,HeadJournal!$A$1:$NTR$890,COLUMN(HeadJournal!B$1),0),"")</f>
        <v>720000571649</v>
      </c>
      <c r="C4349" s="94" t="str">
        <f>IFERROR(VLOOKUP($A4349,HeadJournal!$A$1:$NTR$890,COLUMN(HeadJournal!C$1),0),"")</f>
        <v>iHerb_MH DLE7202</v>
      </c>
      <c r="D4349" s="125" t="str">
        <f>IFERROR(VLOOKUP($A4349,HeadJournal!$A$1:$NTR$890,COLUMN(HeadJournal!D$1),0),"")</f>
        <v>Доставлен</v>
      </c>
      <c r="E4349" s="95">
        <f>IFERROR(VLOOKUP($A4349,HeadJournal!$A$1:$NTR$890,COLUMN(HeadJournal!G$1),0),"")</f>
        <v>45693</v>
      </c>
      <c r="F4349" s="95" t="str">
        <f t="shared" si="334"/>
        <v>2025 02</v>
      </c>
      <c r="G4349" s="97" t="s">
        <v>5</v>
      </c>
      <c r="H4349" s="161" t="s">
        <v>2103</v>
      </c>
      <c r="I4349" s="97" t="s">
        <v>2039</v>
      </c>
      <c r="J4349" s="97" t="s">
        <v>2104</v>
      </c>
      <c r="K4349" s="29">
        <v>20.48</v>
      </c>
      <c r="L4349" s="29">
        <v>-5.12</v>
      </c>
      <c r="M4349" s="30">
        <f>IFERROR(VLOOKUP($A4349,HeadJournal!$A$1:$J$890,COLUMN(HeadJournal!I$1),0)*($K4349+$L4349)/(SUMIF($A:$A,$A4349,$K:$K)+SUMIF($A:$A,$A4349,$L:$L)),0)</f>
        <v>-0.77983248888429313</v>
      </c>
      <c r="N4349" s="30">
        <f>IFERROR((VLOOKUP($A4349,HeadJournal!$A$1:$K$890,COLUMN(HeadJournal!K$1),0)-VLOOKUP($A4349,HeadJournal!$A$1:$K$890,COLUMN(HeadJournal!J$1),0))*($K4349+$L4349)/(SUMIF($A:$A,$A4349,$K:$K)+SUMIF($A:$A,$A4349,$L:$L)),0)</f>
        <v>-2.2570440329387109E-15</v>
      </c>
      <c r="O4349" s="30">
        <f>IFERROR((VLOOKUP($A4349,HeadJournal!$A$1:$L$890,COLUMN(HeadJournal!L$1),0)*($K4349+$L4349)/(SUMIF($A:$A,$A4349,$K:$K)+SUMIF($A:$A,$A4349,$L:$L)))/VLOOKUP($A4349,HeadJournal!$A$1:$L$890,COLUMN(HeadJournal!H$1),0),0)</f>
        <v>0.66077662820962368</v>
      </c>
      <c r="P4349" s="30">
        <f>IFERROR(SUM(K4349:O4349)*VLOOKUP($A4349,HeadJournal!$A$1:$L$890,COLUMN(HeadJournal!H$1),0),0)</f>
        <v>1706.5051059869709</v>
      </c>
      <c r="Q4349" s="29">
        <v>2300</v>
      </c>
      <c r="R4349" s="31">
        <v>45734</v>
      </c>
      <c r="S4349" s="31" t="s">
        <v>3121</v>
      </c>
      <c r="T4349" s="95" t="str">
        <f t="shared" si="335"/>
        <v>2025 03</v>
      </c>
      <c r="U4349" s="32">
        <f t="shared" si="332"/>
        <v>593.49489401302912</v>
      </c>
      <c r="V4349" s="22">
        <f t="shared" si="333"/>
        <v>0.34778383723017142</v>
      </c>
      <c r="X4349" s="33"/>
      <c r="Y4349" s="33"/>
    </row>
    <row r="4350" spans="1:25" x14ac:dyDescent="0.2">
      <c r="A4350" s="93" t="s">
        <v>2905</v>
      </c>
      <c r="B4350" s="94" t="str">
        <f>IFERROR(VLOOKUP($A4350,HeadJournal!$A$1:$NTR$890,COLUMN(HeadJournal!B$1),0),"")</f>
        <v>720000571649</v>
      </c>
      <c r="C4350" s="94" t="str">
        <f>IFERROR(VLOOKUP($A4350,HeadJournal!$A$1:$NTR$890,COLUMN(HeadJournal!C$1),0),"")</f>
        <v>iHerb_MH DLE7202</v>
      </c>
      <c r="D4350" s="125" t="str">
        <f>IFERROR(VLOOKUP($A4350,HeadJournal!$A$1:$NTR$890,COLUMN(HeadJournal!D$1),0),"")</f>
        <v>Доставлен</v>
      </c>
      <c r="E4350" s="95">
        <f>IFERROR(VLOOKUP($A4350,HeadJournal!$A$1:$NTR$890,COLUMN(HeadJournal!G$1),0),"")</f>
        <v>45693</v>
      </c>
      <c r="F4350" s="95" t="str">
        <f t="shared" si="334"/>
        <v>2025 02</v>
      </c>
      <c r="G4350" s="97" t="s">
        <v>5</v>
      </c>
      <c r="H4350" s="161" t="s">
        <v>2105</v>
      </c>
      <c r="I4350" s="97" t="s">
        <v>2039</v>
      </c>
      <c r="J4350" s="97" t="s">
        <v>2106</v>
      </c>
      <c r="K4350" s="29">
        <v>12.6</v>
      </c>
      <c r="L4350" s="29">
        <v>-3.15</v>
      </c>
      <c r="M4350" s="30">
        <f>IFERROR(VLOOKUP($A4350,HeadJournal!$A$1:$J$890,COLUMN(HeadJournal!I$1),0)*($K4350+$L4350)/(SUMIF($A:$A,$A4350,$K:$K)+SUMIF($A:$A,$A4350,$L:$L)),0)</f>
        <v>-0.47977975390342253</v>
      </c>
      <c r="N4350" s="30">
        <f>IFERROR((VLOOKUP($A4350,HeadJournal!$A$1:$K$890,COLUMN(HeadJournal!K$1),0)-VLOOKUP($A4350,HeadJournal!$A$1:$K$890,COLUMN(HeadJournal!J$1),0))*($K4350+$L4350)/(SUMIF($A:$A,$A4350,$K:$K)+SUMIF($A:$A,$A4350,$L:$L)),0)</f>
        <v>-1.3886110749525272E-15</v>
      </c>
      <c r="O4350" s="30">
        <f>IFERROR((VLOOKUP($A4350,HeadJournal!$A$1:$L$890,COLUMN(HeadJournal!L$1),0)*($K4350+$L4350)/(SUMIF($A:$A,$A4350,$K:$K)+SUMIF($A:$A,$A4350,$L:$L)))/VLOOKUP($A4350,HeadJournal!$A$1:$L$890,COLUMN(HeadJournal!H$1),0),0)</f>
        <v>0.40653249587115514</v>
      </c>
      <c r="P4350" s="30">
        <f>IFERROR(SUM(K4350:O4350)*VLOOKUP($A4350,HeadJournal!$A$1:$L$890,COLUMN(HeadJournal!H$1),0),0)</f>
        <v>1049.9006023162028</v>
      </c>
      <c r="Q4350" s="29">
        <v>1700</v>
      </c>
      <c r="R4350" s="31">
        <v>45734</v>
      </c>
      <c r="S4350" s="31" t="s">
        <v>3121</v>
      </c>
      <c r="T4350" s="95" t="str">
        <f t="shared" si="335"/>
        <v>2025 03</v>
      </c>
      <c r="U4350" s="32">
        <f t="shared" si="332"/>
        <v>650.09939768379718</v>
      </c>
      <c r="V4350" s="22">
        <f t="shared" si="333"/>
        <v>0.61920089982766202</v>
      </c>
      <c r="X4350" s="33"/>
      <c r="Y4350" s="33"/>
    </row>
    <row r="4351" spans="1:25" x14ac:dyDescent="0.2">
      <c r="A4351" s="93" t="s">
        <v>2905</v>
      </c>
      <c r="B4351" s="94" t="str">
        <f>IFERROR(VLOOKUP($A4351,HeadJournal!$A$1:$NTR$890,COLUMN(HeadJournal!B$1),0),"")</f>
        <v>720000571649</v>
      </c>
      <c r="C4351" s="94" t="str">
        <f>IFERROR(VLOOKUP($A4351,HeadJournal!$A$1:$NTR$890,COLUMN(HeadJournal!C$1),0),"")</f>
        <v>iHerb_MH DLE7202</v>
      </c>
      <c r="D4351" s="125" t="str">
        <f>IFERROR(VLOOKUP($A4351,HeadJournal!$A$1:$NTR$890,COLUMN(HeadJournal!D$1),0),"")</f>
        <v>Доставлен</v>
      </c>
      <c r="E4351" s="95">
        <f>IFERROR(VLOOKUP($A4351,HeadJournal!$A$1:$NTR$890,COLUMN(HeadJournal!G$1),0),"")</f>
        <v>45693</v>
      </c>
      <c r="F4351" s="95" t="str">
        <f t="shared" si="334"/>
        <v>2025 02</v>
      </c>
      <c r="G4351" s="97" t="s">
        <v>5</v>
      </c>
      <c r="H4351" s="161" t="s">
        <v>2101</v>
      </c>
      <c r="I4351" s="97" t="s">
        <v>2102</v>
      </c>
      <c r="J4351" s="97" t="s">
        <v>4015</v>
      </c>
      <c r="K4351" s="29">
        <v>49.42</v>
      </c>
      <c r="L4351" s="29">
        <v>-12.36</v>
      </c>
      <c r="M4351" s="30">
        <f>IFERROR(VLOOKUP($A4351,HeadJournal!$A$1:$J$890,COLUMN(HeadJournal!I$1),0)*($K4351+$L4351)/(SUMIF($A:$A,$A4351,$K:$K)+SUMIF($A:$A,$A4351,$L:$L)),0)</f>
        <v>-1.881548960810671</v>
      </c>
      <c r="N4351" s="30">
        <f>IFERROR((VLOOKUP($A4351,HeadJournal!$A$1:$K$890,COLUMN(HeadJournal!K$1),0)-VLOOKUP($A4351,HeadJournal!$A$1:$K$890,COLUMN(HeadJournal!J$1),0))*($K4351+$L4351)/(SUMIF($A:$A,$A4351,$K:$K)+SUMIF($A:$A,$A4351,$L:$L)),0)</f>
        <v>-5.445706501348219E-15</v>
      </c>
      <c r="O4351" s="30">
        <f>IFERROR((VLOOKUP($A4351,HeadJournal!$A$1:$L$890,COLUMN(HeadJournal!L$1),0)*($K4351+$L4351)/(SUMIF($A:$A,$A4351,$K:$K)+SUMIF($A:$A,$A4351,$L:$L)))/VLOOKUP($A4351,HeadJournal!$A$1:$L$890,COLUMN(HeadJournal!H$1),0),0)</f>
        <v>1.5942956928026468</v>
      </c>
      <c r="P4351" s="30">
        <f>IFERROR(SUM(K4351:O4351)*VLOOKUP($A4351,HeadJournal!$A$1:$L$890,COLUMN(HeadJournal!H$1),0),0)</f>
        <v>4117.3879705649188</v>
      </c>
      <c r="Q4351" s="29">
        <v>5500</v>
      </c>
      <c r="R4351" s="31">
        <v>45731</v>
      </c>
      <c r="S4351" s="31" t="s">
        <v>3121</v>
      </c>
      <c r="T4351" s="95" t="str">
        <f t="shared" si="335"/>
        <v>2025 03</v>
      </c>
      <c r="U4351" s="32">
        <f t="shared" si="332"/>
        <v>1382.6120294350812</v>
      </c>
      <c r="V4351" s="22">
        <f t="shared" si="333"/>
        <v>0.33579833606143811</v>
      </c>
      <c r="X4351" s="33"/>
      <c r="Y4351" s="33"/>
    </row>
    <row r="4352" spans="1:25" x14ac:dyDescent="0.2">
      <c r="A4352" s="93" t="s">
        <v>2905</v>
      </c>
      <c r="B4352" s="94" t="str">
        <f>IFERROR(VLOOKUP($A4352,HeadJournal!$A$1:$NTR$890,COLUMN(HeadJournal!B$1),0),"")</f>
        <v>720000571649</v>
      </c>
      <c r="C4352" s="94" t="str">
        <f>IFERROR(VLOOKUP($A4352,HeadJournal!$A$1:$NTR$890,COLUMN(HeadJournal!C$1),0),"")</f>
        <v>iHerb_MH DLE7202</v>
      </c>
      <c r="D4352" s="125" t="str">
        <f>IFERROR(VLOOKUP($A4352,HeadJournal!$A$1:$NTR$890,COLUMN(HeadJournal!D$1),0),"")</f>
        <v>Доставлен</v>
      </c>
      <c r="E4352" s="95">
        <f>IFERROR(VLOOKUP($A4352,HeadJournal!$A$1:$NTR$890,COLUMN(HeadJournal!G$1),0),"")</f>
        <v>45693</v>
      </c>
      <c r="F4352" s="95" t="str">
        <f t="shared" si="334"/>
        <v>2025 02</v>
      </c>
      <c r="G4352" s="97" t="s">
        <v>5</v>
      </c>
      <c r="H4352" s="161" t="s">
        <v>2847</v>
      </c>
      <c r="I4352" s="97" t="s">
        <v>2839</v>
      </c>
      <c r="J4352" s="97" t="s">
        <v>2848</v>
      </c>
      <c r="K4352" s="29">
        <v>14.23</v>
      </c>
      <c r="L4352" s="29">
        <v>-3.56</v>
      </c>
      <c r="M4352" s="30">
        <f>IFERROR(VLOOKUP($A4352,HeadJournal!$A$1:$J$890,COLUMN(HeadJournal!I$1),0)*($K4352+$L4352)/(SUMIF($A:$A,$A4352,$K:$K)+SUMIF($A:$A,$A4352,$L:$L)),0)</f>
        <v>-0.541719573984076</v>
      </c>
      <c r="N4352" s="30">
        <f>IFERROR((VLOOKUP($A4352,HeadJournal!$A$1:$K$890,COLUMN(HeadJournal!K$1),0)-VLOOKUP($A4352,HeadJournal!$A$1:$K$890,COLUMN(HeadJournal!J$1),0))*($K4352+$L4352)/(SUMIF($A:$A,$A4352,$K:$K)+SUMIF($A:$A,$A4352,$L:$L)),0)</f>
        <v>-1.5678814994437531E-15</v>
      </c>
      <c r="O4352" s="30">
        <f>IFERROR((VLOOKUP($A4352,HeadJournal!$A$1:$L$890,COLUMN(HeadJournal!L$1),0)*($K4352+$L4352)/(SUMIF($A:$A,$A4352,$K:$K)+SUMIF($A:$A,$A4352,$L:$L)))/VLOOKUP($A4352,HeadJournal!$A$1:$L$890,COLUMN(HeadJournal!H$1),0),0)</f>
        <v>0.45901605618468</v>
      </c>
      <c r="P4352" s="30">
        <f>IFERROR(SUM(K4352:O4352)*VLOOKUP($A4352,HeadJournal!$A$1:$L$890,COLUMN(HeadJournal!H$1),0),0)</f>
        <v>1185.4433255781887</v>
      </c>
      <c r="Q4352" s="29">
        <v>2000</v>
      </c>
      <c r="R4352" s="31">
        <v>45985</v>
      </c>
      <c r="S4352" s="31"/>
      <c r="T4352" s="95" t="str">
        <f t="shared" si="335"/>
        <v>2025 11</v>
      </c>
      <c r="U4352" s="32">
        <f t="shared" si="332"/>
        <v>814.55667442181129</v>
      </c>
      <c r="V4352" s="22">
        <f t="shared" si="333"/>
        <v>0.68713253248485673</v>
      </c>
      <c r="X4352" s="33"/>
      <c r="Y4352" s="33"/>
    </row>
    <row r="4353" spans="1:25" x14ac:dyDescent="0.2">
      <c r="A4353" s="93" t="s">
        <v>2905</v>
      </c>
      <c r="B4353" s="94" t="str">
        <f>IFERROR(VLOOKUP($A4353,HeadJournal!$A$1:$NTR$890,COLUMN(HeadJournal!B$1),0),"")</f>
        <v>720000571649</v>
      </c>
      <c r="C4353" s="94" t="str">
        <f>IFERROR(VLOOKUP($A4353,HeadJournal!$A$1:$NTR$890,COLUMN(HeadJournal!C$1),0),"")</f>
        <v>iHerb_MH DLE7202</v>
      </c>
      <c r="D4353" s="125" t="str">
        <f>IFERROR(VLOOKUP($A4353,HeadJournal!$A$1:$NTR$890,COLUMN(HeadJournal!D$1),0),"")</f>
        <v>Доставлен</v>
      </c>
      <c r="E4353" s="95">
        <f>IFERROR(VLOOKUP($A4353,HeadJournal!$A$1:$NTR$890,COLUMN(HeadJournal!G$1),0),"")</f>
        <v>45693</v>
      </c>
      <c r="F4353" s="95" t="str">
        <f t="shared" si="334"/>
        <v>2025 02</v>
      </c>
      <c r="G4353" s="97" t="s">
        <v>5</v>
      </c>
      <c r="H4353" s="161" t="s">
        <v>2845</v>
      </c>
      <c r="I4353" s="97" t="s">
        <v>2839</v>
      </c>
      <c r="J4353" s="97" t="s">
        <v>2846</v>
      </c>
      <c r="K4353" s="29">
        <v>24.07</v>
      </c>
      <c r="L4353" s="29">
        <v>-6.02</v>
      </c>
      <c r="M4353" s="30">
        <f>IFERROR(VLOOKUP($A4353,HeadJournal!$A$1:$J$890,COLUMN(HeadJournal!I$1),0)*($K4353+$L4353)/(SUMIF($A:$A,$A4353,$K:$K)+SUMIF($A:$A,$A4353,$L:$L)),0)</f>
        <v>-0.91640471512770127</v>
      </c>
      <c r="N4353" s="30">
        <f>IFERROR((VLOOKUP($A4353,HeadJournal!$A$1:$K$890,COLUMN(HeadJournal!K$1),0)-VLOOKUP($A4353,HeadJournal!$A$1:$K$890,COLUMN(HeadJournal!J$1),0))*($K4353+$L4353)/(SUMIF($A:$A,$A4353,$K:$K)+SUMIF($A:$A,$A4353,$L:$L)),0)</f>
        <v>-2.6523206246447747E-15</v>
      </c>
      <c r="O4353" s="30">
        <f>IFERROR((VLOOKUP($A4353,HeadJournal!$A$1:$L$890,COLUMN(HeadJournal!L$1),0)*($K4353+$L4353)/(SUMIF($A:$A,$A4353,$K:$K)+SUMIF($A:$A,$A4353,$L:$L)))/VLOOKUP($A4353,HeadJournal!$A$1:$L$890,COLUMN(HeadJournal!H$1),0),0)</f>
        <v>0.77649857676977263</v>
      </c>
      <c r="P4353" s="30">
        <f>IFERROR(SUM(K4353:O4353)*VLOOKUP($A4353,HeadJournal!$A$1:$L$890,COLUMN(HeadJournal!H$1),0),0)</f>
        <v>2005.3657007203662</v>
      </c>
      <c r="Q4353" s="29">
        <v>3200</v>
      </c>
      <c r="R4353" s="31">
        <v>45789</v>
      </c>
      <c r="S4353" s="31" t="s">
        <v>3220</v>
      </c>
      <c r="T4353" s="95" t="str">
        <f t="shared" si="335"/>
        <v>2025 05</v>
      </c>
      <c r="U4353" s="32">
        <f t="shared" ref="U4353:U4418" si="336">Q4353-P4353</f>
        <v>1194.6342992796338</v>
      </c>
      <c r="V4353" s="22">
        <f t="shared" ref="V4353:V4418" si="337">IF(Q4353&lt;&gt;0,IFERROR(U4353/P4353,""),"")</f>
        <v>0.59571892490756073</v>
      </c>
      <c r="X4353" s="33"/>
      <c r="Y4353" s="33"/>
    </row>
    <row r="4354" spans="1:25" x14ac:dyDescent="0.2">
      <c r="A4354" s="93" t="s">
        <v>2905</v>
      </c>
      <c r="B4354" s="94" t="str">
        <f>IFERROR(VLOOKUP($A4354,HeadJournal!$A$1:$NTR$890,COLUMN(HeadJournal!B$1),0),"")</f>
        <v>720000571649</v>
      </c>
      <c r="C4354" s="94" t="str">
        <f>IFERROR(VLOOKUP($A4354,HeadJournal!$A$1:$NTR$890,COLUMN(HeadJournal!C$1),0),"")</f>
        <v>iHerb_MH DLE7202</v>
      </c>
      <c r="D4354" s="125" t="str">
        <f>IFERROR(VLOOKUP($A4354,HeadJournal!$A$1:$NTR$890,COLUMN(HeadJournal!D$1),0),"")</f>
        <v>Доставлен</v>
      </c>
      <c r="E4354" s="95">
        <f>IFERROR(VLOOKUP($A4354,HeadJournal!$A$1:$NTR$890,COLUMN(HeadJournal!G$1),0),"")</f>
        <v>45693</v>
      </c>
      <c r="F4354" s="95" t="str">
        <f t="shared" si="334"/>
        <v>2025 02</v>
      </c>
      <c r="G4354" s="97" t="s">
        <v>5</v>
      </c>
      <c r="H4354" s="161" t="s">
        <v>2903</v>
      </c>
      <c r="I4354" s="97" t="s">
        <v>2839</v>
      </c>
      <c r="J4354" s="97" t="s">
        <v>2904</v>
      </c>
      <c r="K4354" s="29">
        <v>20.83</v>
      </c>
      <c r="L4354" s="29">
        <v>-5.21</v>
      </c>
      <c r="M4354" s="30">
        <f>IFERROR(VLOOKUP($A4354,HeadJournal!$A$1:$J$890,COLUMN(HeadJournal!I$1),0)*($K4354+$L4354)/(SUMIF($A:$A,$A4354,$K:$K)+SUMIF($A:$A,$A4354,$L:$L)),0)</f>
        <v>-0.79303277840967834</v>
      </c>
      <c r="N4354" s="30">
        <f>IFERROR((VLOOKUP($A4354,HeadJournal!$A$1:$K$890,COLUMN(HeadJournal!K$1),0)-VLOOKUP($A4354,HeadJournal!$A$1:$K$890,COLUMN(HeadJournal!J$1),0))*($K4354+$L4354)/(SUMIF($A:$A,$A4354,$K:$K)+SUMIF($A:$A,$A4354,$L:$L)),0)</f>
        <v>-2.2952492053712672E-15</v>
      </c>
      <c r="O4354" s="30">
        <f>IFERROR((VLOOKUP($A4354,HeadJournal!$A$1:$L$890,COLUMN(HeadJournal!L$1),0)*($K4354+$L4354)/(SUMIF($A:$A,$A4354,$K:$K)+SUMIF($A:$A,$A4354,$L:$L)))/VLOOKUP($A4354,HeadJournal!$A$1:$L$890,COLUMN(HeadJournal!H$1),0),0)</f>
        <v>0.67196164926004676</v>
      </c>
      <c r="P4354" s="30">
        <f>IFERROR(SUM(K4354:O4354)*VLOOKUP($A4354,HeadJournal!$A$1:$L$890,COLUMN(HeadJournal!H$1),0),0)</f>
        <v>1735.391260124771</v>
      </c>
      <c r="Q4354" s="29">
        <v>2800</v>
      </c>
      <c r="R4354" s="31">
        <v>45774</v>
      </c>
      <c r="S4354" s="31" t="s">
        <v>3121</v>
      </c>
      <c r="T4354" s="95" t="str">
        <f t="shared" si="335"/>
        <v>2025 04</v>
      </c>
      <c r="U4354" s="32">
        <f t="shared" si="336"/>
        <v>1064.608739875229</v>
      </c>
      <c r="V4354" s="22">
        <f t="shared" si="337"/>
        <v>0.61346899937636312</v>
      </c>
      <c r="X4354" s="33"/>
      <c r="Y4354" s="33"/>
    </row>
    <row r="4355" spans="1:25" x14ac:dyDescent="0.2">
      <c r="A4355" s="93" t="s">
        <v>2905</v>
      </c>
      <c r="B4355" s="94" t="str">
        <f>IFERROR(VLOOKUP($A4355,HeadJournal!$A$1:$NTR$890,COLUMN(HeadJournal!B$1),0),"")</f>
        <v>720000571649</v>
      </c>
      <c r="C4355" s="94" t="str">
        <f>IFERROR(VLOOKUP($A4355,HeadJournal!$A$1:$NTR$890,COLUMN(HeadJournal!C$1),0),"")</f>
        <v>iHerb_MH DLE7202</v>
      </c>
      <c r="D4355" s="125" t="str">
        <f>IFERROR(VLOOKUP($A4355,HeadJournal!$A$1:$NTR$890,COLUMN(HeadJournal!D$1),0),"")</f>
        <v>Доставлен</v>
      </c>
      <c r="E4355" s="95">
        <f>IFERROR(VLOOKUP($A4355,HeadJournal!$A$1:$NTR$890,COLUMN(HeadJournal!G$1),0),"")</f>
        <v>45693</v>
      </c>
      <c r="F4355" s="95" t="str">
        <f t="shared" si="334"/>
        <v>2025 02</v>
      </c>
      <c r="G4355" s="97" t="s">
        <v>5</v>
      </c>
      <c r="H4355" s="161" t="s">
        <v>2841</v>
      </c>
      <c r="I4355" s="97" t="s">
        <v>2839</v>
      </c>
      <c r="J4355" s="97" t="s">
        <v>2842</v>
      </c>
      <c r="K4355" s="29">
        <v>18.73</v>
      </c>
      <c r="L4355" s="29">
        <v>-4.68</v>
      </c>
      <c r="M4355" s="30">
        <f>IFERROR(VLOOKUP($A4355,HeadJournal!$A$1:$J$890,COLUMN(HeadJournal!I$1),0)*($K4355+$L4355)/(SUMIF($A:$A,$A4355,$K:$K)+SUMIF($A:$A,$A4355,$L:$L)),0)</f>
        <v>-0.7133233378140833</v>
      </c>
      <c r="N4355" s="30">
        <f>IFERROR((VLOOKUP($A4355,HeadJournal!$A$1:$K$890,COLUMN(HeadJournal!K$1),0)-VLOOKUP($A4355,HeadJournal!$A$1:$K$890,COLUMN(HeadJournal!J$1),0))*($K4355+$L4355)/(SUMIF($A:$A,$A4355,$K:$K)+SUMIF($A:$A,$A4355,$L:$L)),0)</f>
        <v>-2.0645487410669851E-15</v>
      </c>
      <c r="O4355" s="30">
        <f>IFERROR((VLOOKUP($A4355,HeadJournal!$A$1:$L$890,COLUMN(HeadJournal!L$1),0)*($K4355+$L4355)/(SUMIF($A:$A,$A4355,$K:$K)+SUMIF($A:$A,$A4355,$L:$L)))/VLOOKUP($A4355,HeadJournal!$A$1:$L$890,COLUMN(HeadJournal!H$1),0),0)</f>
        <v>0.60442132984018304</v>
      </c>
      <c r="P4355" s="30">
        <f>IFERROR(SUM(K4355:O4355)*VLOOKUP($A4355,HeadJournal!$A$1:$L$890,COLUMN(HeadJournal!H$1),0),0)</f>
        <v>1560.9633293695927</v>
      </c>
      <c r="Q4355" s="29">
        <v>2500</v>
      </c>
      <c r="R4355" s="31">
        <v>45836</v>
      </c>
      <c r="S4355" s="31"/>
      <c r="T4355" s="95" t="str">
        <f t="shared" si="335"/>
        <v>2025 06</v>
      </c>
      <c r="U4355" s="32">
        <f t="shared" si="336"/>
        <v>939.03667063040734</v>
      </c>
      <c r="V4355" s="22">
        <f t="shared" si="337"/>
        <v>0.60157509978767065</v>
      </c>
      <c r="X4355" s="33"/>
      <c r="Y4355" s="33"/>
    </row>
    <row r="4356" spans="1:25" x14ac:dyDescent="0.2">
      <c r="A4356" s="93" t="s">
        <v>2921</v>
      </c>
      <c r="B4356" s="94" t="str">
        <f>IFERROR(VLOOKUP($A4356,HeadJournal!$A$1:$NTR$890,COLUMN(HeadJournal!B$1),0),"")</f>
        <v>720000561431</v>
      </c>
      <c r="C4356" s="94" t="str">
        <f>IFERROR(VLOOKUP($A4356,HeadJournal!$A$1:$NTR$890,COLUMN(HeadJournal!C$1),0),"")</f>
        <v>iHerb_VP DFD1605</v>
      </c>
      <c r="D4356" s="125" t="str">
        <f>IFERROR(VLOOKUP($A4356,HeadJournal!$A$1:$NTR$890,COLUMN(HeadJournal!D$1),0),"")</f>
        <v>Доставлен</v>
      </c>
      <c r="E4356" s="95">
        <f>IFERROR(VLOOKUP($A4356,HeadJournal!$A$1:$NTR$890,COLUMN(HeadJournal!G$1),0),"")</f>
        <v>45683</v>
      </c>
      <c r="F4356" s="95" t="str">
        <f t="shared" ref="F4356:F4419" si="338">IFERROR(TEXT(E4356, "ГГГГ ММ"),"")</f>
        <v>2025 01</v>
      </c>
      <c r="G4356" s="97" t="s">
        <v>5</v>
      </c>
      <c r="H4356" s="161" t="s">
        <v>2791</v>
      </c>
      <c r="I4356" s="97" t="s">
        <v>2008</v>
      </c>
      <c r="J4356" s="97" t="s">
        <v>2792</v>
      </c>
      <c r="K4356" s="29">
        <v>27.38</v>
      </c>
      <c r="L4356" s="29">
        <v>-5.48</v>
      </c>
      <c r="M4356" s="30">
        <f>IFERROR(VLOOKUP($A4356,HeadJournal!$A$1:$J$890,COLUMN(HeadJournal!I$1),0)*($K4356+$L4356)/(SUMIF($A:$A,$A4356,$K:$K)+SUMIF($A:$A,$A4356,$L:$L)),0)</f>
        <v>-1.3682259093809823</v>
      </c>
      <c r="N4356" s="30">
        <f>IFERROR((VLOOKUP($A4356,HeadJournal!$A$1:$K$890,COLUMN(HeadJournal!K$1),0)-VLOOKUP($A4356,HeadJournal!$A$1:$K$890,COLUMN(HeadJournal!J$1),0))*($K4356+$L4356)/(SUMIF($A:$A,$A4356,$K:$K)+SUMIF($A:$A,$A4356,$L:$L)),0)</f>
        <v>-3.9721470103755438E-15</v>
      </c>
      <c r="O4356" s="30">
        <f>IFERROR((VLOOKUP($A4356,HeadJournal!$A$1:$L$890,COLUMN(HeadJournal!L$1),0)*($K4356+$L4356)/(SUMIF($A:$A,$A4356,$K:$K)+SUMIF($A:$A,$A4356,$L:$L)))/VLOOKUP($A4356,HeadJournal!$A$1:$L$890,COLUMN(HeadJournal!H$1),0),0)</f>
        <v>0.90548498261906973</v>
      </c>
      <c r="P4356" s="30">
        <f>IFERROR(SUM(K4356:O4356)*VLOOKUP($A4356,HeadJournal!$A$1:$L$890,COLUMN(HeadJournal!H$1),0),0)</f>
        <v>2448.470312699425</v>
      </c>
      <c r="Q4356" s="29">
        <v>3000</v>
      </c>
      <c r="R4356" s="31">
        <v>45902</v>
      </c>
      <c r="S4356" s="31"/>
      <c r="T4356" s="95" t="str">
        <f t="shared" ref="T4356:T4419" si="339">IF(R4356="","",TEXT(R4356,"ГГГГ ММ"))</f>
        <v>2025 09</v>
      </c>
      <c r="U4356" s="32">
        <f t="shared" si="336"/>
        <v>551.52968730057501</v>
      </c>
      <c r="V4356" s="22">
        <f t="shared" si="337"/>
        <v>0.22525479865529452</v>
      </c>
      <c r="X4356" s="33"/>
      <c r="Y4356" s="33"/>
    </row>
    <row r="4357" spans="1:25" x14ac:dyDescent="0.2">
      <c r="A4357" s="93" t="s">
        <v>2921</v>
      </c>
      <c r="B4357" s="94" t="str">
        <f>IFERROR(VLOOKUP($A4357,HeadJournal!$A$1:$NTR$890,COLUMN(HeadJournal!B$1),0),"")</f>
        <v>720000561431</v>
      </c>
      <c r="C4357" s="94" t="str">
        <f>IFERROR(VLOOKUP($A4357,HeadJournal!$A$1:$NTR$890,COLUMN(HeadJournal!C$1),0),"")</f>
        <v>iHerb_VP DFD1605</v>
      </c>
      <c r="D4357" s="125" t="str">
        <f>IFERROR(VLOOKUP($A4357,HeadJournal!$A$1:$NTR$890,COLUMN(HeadJournal!D$1),0),"")</f>
        <v>Доставлен</v>
      </c>
      <c r="E4357" s="95">
        <f>IFERROR(VLOOKUP($A4357,HeadJournal!$A$1:$NTR$890,COLUMN(HeadJournal!G$1),0),"")</f>
        <v>45683</v>
      </c>
      <c r="F4357" s="95" t="str">
        <f t="shared" si="338"/>
        <v>2025 01</v>
      </c>
      <c r="G4357" s="97" t="s">
        <v>5</v>
      </c>
      <c r="H4357" s="161" t="s">
        <v>2468</v>
      </c>
      <c r="I4357" s="97" t="s">
        <v>2005</v>
      </c>
      <c r="J4357" s="97" t="s">
        <v>4109</v>
      </c>
      <c r="K4357" s="29">
        <v>24.66</v>
      </c>
      <c r="L4357" s="29">
        <v>-4.93</v>
      </c>
      <c r="M4357" s="30">
        <f>IFERROR(VLOOKUP($A4357,HeadJournal!$A$1:$J$890,COLUMN(HeadJournal!I$1),0)*($K4357+$L4357)/(SUMIF($A:$A,$A4357,$K:$K)+SUMIF($A:$A,$A4357,$L:$L)),0)</f>
        <v>-1.2326528398213146</v>
      </c>
      <c r="N4357" s="30">
        <f>IFERROR((VLOOKUP($A4357,HeadJournal!$A$1:$K$890,COLUMN(HeadJournal!K$1),0)-VLOOKUP($A4357,HeadJournal!$A$1:$K$890,COLUMN(HeadJournal!J$1),0))*($K4357+$L4357)/(SUMIF($A:$A,$A4357,$K:$K)+SUMIF($A:$A,$A4357,$L:$L)),0)</f>
        <v>-3.5785598408543138E-15</v>
      </c>
      <c r="O4357" s="30">
        <f>IFERROR((VLOOKUP($A4357,HeadJournal!$A$1:$L$890,COLUMN(HeadJournal!L$1),0)*($K4357+$L4357)/(SUMIF($A:$A,$A4357,$K:$K)+SUMIF($A:$A,$A4357,$L:$L)))/VLOOKUP($A4357,HeadJournal!$A$1:$L$890,COLUMN(HeadJournal!H$1),0),0)</f>
        <v>0.81576341128192909</v>
      </c>
      <c r="P4357" s="30">
        <f>IFERROR(SUM(K4357:O4357)*VLOOKUP($A4357,HeadJournal!$A$1:$L$890,COLUMN(HeadJournal!H$1),0),0)</f>
        <v>2205.859327377153</v>
      </c>
      <c r="Q4357" s="29">
        <v>3000</v>
      </c>
      <c r="R4357" s="31">
        <v>45733</v>
      </c>
      <c r="S4357" s="31" t="s">
        <v>3121</v>
      </c>
      <c r="T4357" s="95" t="str">
        <f t="shared" si="339"/>
        <v>2025 03</v>
      </c>
      <c r="U4357" s="32">
        <f t="shared" si="336"/>
        <v>794.14067262284698</v>
      </c>
      <c r="V4357" s="22">
        <f t="shared" si="337"/>
        <v>0.36001419617592256</v>
      </c>
      <c r="X4357" s="33"/>
      <c r="Y4357" s="33"/>
    </row>
    <row r="4358" spans="1:25" x14ac:dyDescent="0.2">
      <c r="A4358" s="93" t="s">
        <v>2921</v>
      </c>
      <c r="B4358" s="94" t="str">
        <f>IFERROR(VLOOKUP($A4358,HeadJournal!$A$1:$NTR$890,COLUMN(HeadJournal!B$1),0),"")</f>
        <v>720000561431</v>
      </c>
      <c r="C4358" s="94" t="str">
        <f>IFERROR(VLOOKUP($A4358,HeadJournal!$A$1:$NTR$890,COLUMN(HeadJournal!C$1),0),"")</f>
        <v>iHerb_VP DFD1605</v>
      </c>
      <c r="D4358" s="125" t="str">
        <f>IFERROR(VLOOKUP($A4358,HeadJournal!$A$1:$NTR$890,COLUMN(HeadJournal!D$1),0),"")</f>
        <v>Доставлен</v>
      </c>
      <c r="E4358" s="95">
        <f>IFERROR(VLOOKUP($A4358,HeadJournal!$A$1:$NTR$890,COLUMN(HeadJournal!G$1),0),"")</f>
        <v>45683</v>
      </c>
      <c r="F4358" s="95" t="str">
        <f t="shared" si="338"/>
        <v>2025 01</v>
      </c>
      <c r="G4358" s="97" t="s">
        <v>5</v>
      </c>
      <c r="H4358" s="161" t="s">
        <v>2907</v>
      </c>
      <c r="I4358" s="97" t="s">
        <v>2005</v>
      </c>
      <c r="J4358" s="97" t="s">
        <v>2908</v>
      </c>
      <c r="K4358" s="29">
        <v>19.510000000000002</v>
      </c>
      <c r="L4358" s="29">
        <v>-3.9</v>
      </c>
      <c r="M4358" s="30">
        <f>IFERROR(VLOOKUP($A4358,HeadJournal!$A$1:$J$890,COLUMN(HeadJournal!I$1),0)*($K4358+$L4358)/(SUMIF($A:$A,$A4358,$K:$K)+SUMIF($A:$A,$A4358,$L:$L)),0)</f>
        <v>-0.97525143586470953</v>
      </c>
      <c r="N4358" s="30">
        <f>IFERROR((VLOOKUP($A4358,HeadJournal!$A$1:$K$890,COLUMN(HeadJournal!K$1),0)-VLOOKUP($A4358,HeadJournal!$A$1:$K$890,COLUMN(HeadJournal!J$1),0))*($K4358+$L4358)/(SUMIF($A:$A,$A4358,$K:$K)+SUMIF($A:$A,$A4358,$L:$L)),0)</f>
        <v>-2.8312883484914264E-15</v>
      </c>
      <c r="O4358" s="30">
        <f>IFERROR((VLOOKUP($A4358,HeadJournal!$A$1:$L$890,COLUMN(HeadJournal!L$1),0)*($K4358+$L4358)/(SUMIF($A:$A,$A4358,$K:$K)+SUMIF($A:$A,$A4358,$L:$L)))/VLOOKUP($A4358,HeadJournal!$A$1:$L$890,COLUMN(HeadJournal!H$1),0),0)</f>
        <v>0.64541646478007675</v>
      </c>
      <c r="P4358" s="30">
        <f>IFERROR(SUM(K4358:O4358)*VLOOKUP($A4358,HeadJournal!$A$1:$L$890,COLUMN(HeadJournal!H$1),0),0)</f>
        <v>1745.2338621569875</v>
      </c>
      <c r="Q4358" s="29">
        <v>2650</v>
      </c>
      <c r="R4358" s="31">
        <v>45726</v>
      </c>
      <c r="S4358" s="31" t="s">
        <v>3121</v>
      </c>
      <c r="T4358" s="95" t="str">
        <f t="shared" si="339"/>
        <v>2025 03</v>
      </c>
      <c r="U4358" s="32">
        <f t="shared" si="336"/>
        <v>904.76613784301253</v>
      </c>
      <c r="V4358" s="22">
        <f t="shared" si="337"/>
        <v>0.51842114541874895</v>
      </c>
      <c r="X4358" s="33"/>
      <c r="Y4358" s="33"/>
    </row>
    <row r="4359" spans="1:25" x14ac:dyDescent="0.2">
      <c r="A4359" s="93" t="s">
        <v>2921</v>
      </c>
      <c r="B4359" s="94" t="str">
        <f>IFERROR(VLOOKUP($A4359,HeadJournal!$A$1:$NTR$890,COLUMN(HeadJournal!B$1),0),"")</f>
        <v>720000561431</v>
      </c>
      <c r="C4359" s="94" t="str">
        <f>IFERROR(VLOOKUP($A4359,HeadJournal!$A$1:$NTR$890,COLUMN(HeadJournal!C$1),0),"")</f>
        <v>iHerb_VP DFD1605</v>
      </c>
      <c r="D4359" s="125" t="str">
        <f>IFERROR(VLOOKUP($A4359,HeadJournal!$A$1:$NTR$890,COLUMN(HeadJournal!D$1),0),"")</f>
        <v>Доставлен</v>
      </c>
      <c r="E4359" s="95">
        <f>IFERROR(VLOOKUP($A4359,HeadJournal!$A$1:$NTR$890,COLUMN(HeadJournal!G$1),0),"")</f>
        <v>45683</v>
      </c>
      <c r="F4359" s="95" t="str">
        <f t="shared" si="338"/>
        <v>2025 01</v>
      </c>
      <c r="G4359" s="97" t="s">
        <v>5</v>
      </c>
      <c r="H4359" s="161" t="s">
        <v>2909</v>
      </c>
      <c r="I4359" s="97" t="s">
        <v>2045</v>
      </c>
      <c r="J4359" s="97" t="s">
        <v>4102</v>
      </c>
      <c r="K4359" s="29">
        <v>16.63</v>
      </c>
      <c r="L4359" s="29">
        <v>-3.33</v>
      </c>
      <c r="M4359" s="30">
        <f>IFERROR(VLOOKUP($A4359,HeadJournal!$A$1:$J$890,COLUMN(HeadJournal!I$1),0)*($K4359+$L4359)/(SUMIF($A:$A,$A4359,$K:$K)+SUMIF($A:$A,$A4359,$L:$L)),0)</f>
        <v>-0.83093171665603027</v>
      </c>
      <c r="N4359" s="30">
        <f>IFERROR((VLOOKUP($A4359,HeadJournal!$A$1:$K$890,COLUMN(HeadJournal!K$1),0)-VLOOKUP($A4359,HeadJournal!$A$1:$K$890,COLUMN(HeadJournal!J$1),0))*($K4359+$L4359)/(SUMIF($A:$A,$A4359,$K:$K)+SUMIF($A:$A,$A4359,$L:$L)),0)</f>
        <v>-2.4123084583559238E-15</v>
      </c>
      <c r="O4359" s="30">
        <f>IFERROR((VLOOKUP($A4359,HeadJournal!$A$1:$L$890,COLUMN(HeadJournal!L$1),0)*($K4359+$L4359)/(SUMIF($A:$A,$A4359,$K:$K)+SUMIF($A:$A,$A4359,$L:$L)))/VLOOKUP($A4359,HeadJournal!$A$1:$L$890,COLUMN(HeadJournal!H$1),0),0)</f>
        <v>0.5499064049695721</v>
      </c>
      <c r="P4359" s="30">
        <f>IFERROR(SUM(K4359:O4359)*VLOOKUP($A4359,HeadJournal!$A$1:$L$890,COLUMN(HeadJournal!H$1),0),0)</f>
        <v>1486.9705552010207</v>
      </c>
      <c r="Q4359" s="29">
        <v>2500</v>
      </c>
      <c r="R4359" s="31">
        <v>45866</v>
      </c>
      <c r="S4359" s="31"/>
      <c r="T4359" s="95" t="str">
        <f t="shared" si="339"/>
        <v>2025 07</v>
      </c>
      <c r="U4359" s="32">
        <f t="shared" si="336"/>
        <v>1013.0294447989793</v>
      </c>
      <c r="V4359" s="22">
        <f t="shared" si="337"/>
        <v>0.68127068236534771</v>
      </c>
      <c r="X4359" s="33"/>
      <c r="Y4359" s="33"/>
    </row>
    <row r="4360" spans="1:25" x14ac:dyDescent="0.2">
      <c r="A4360" s="93" t="s">
        <v>2921</v>
      </c>
      <c r="B4360" s="94" t="str">
        <f>IFERROR(VLOOKUP($A4360,HeadJournal!$A$1:$NTR$890,COLUMN(HeadJournal!B$1),0),"")</f>
        <v>720000561431</v>
      </c>
      <c r="C4360" s="94" t="str">
        <f>IFERROR(VLOOKUP($A4360,HeadJournal!$A$1:$NTR$890,COLUMN(HeadJournal!C$1),0),"")</f>
        <v>iHerb_VP DFD1605</v>
      </c>
      <c r="D4360" s="125" t="str">
        <f>IFERROR(VLOOKUP($A4360,HeadJournal!$A$1:$NTR$890,COLUMN(HeadJournal!D$1),0),"")</f>
        <v>Доставлен</v>
      </c>
      <c r="E4360" s="95">
        <f>IFERROR(VLOOKUP($A4360,HeadJournal!$A$1:$NTR$890,COLUMN(HeadJournal!G$1),0),"")</f>
        <v>45683</v>
      </c>
      <c r="F4360" s="95" t="str">
        <f t="shared" si="338"/>
        <v>2025 01</v>
      </c>
      <c r="G4360" s="97" t="s">
        <v>5</v>
      </c>
      <c r="H4360" s="161" t="s">
        <v>2910</v>
      </c>
      <c r="I4360" s="97" t="s">
        <v>2666</v>
      </c>
      <c r="J4360" s="97" t="s">
        <v>2911</v>
      </c>
      <c r="K4360" s="29">
        <v>26.12</v>
      </c>
      <c r="L4360" s="29">
        <v>-5.22</v>
      </c>
      <c r="M4360" s="30">
        <f>IFERROR(VLOOKUP($A4360,HeadJournal!$A$1:$J$890,COLUMN(HeadJournal!I$1),0)*($K4360+$L4360)/(SUMIF($A:$A,$A4360,$K:$K)+SUMIF($A:$A,$A4360,$L:$L)),0)</f>
        <v>-1.3057498404594765</v>
      </c>
      <c r="N4360" s="30">
        <f>IFERROR((VLOOKUP($A4360,HeadJournal!$A$1:$K$890,COLUMN(HeadJournal!K$1),0)-VLOOKUP($A4360,HeadJournal!$A$1:$K$890,COLUMN(HeadJournal!J$1),0))*($K4360+$L4360)/(SUMIF($A:$A,$A4360,$K:$K)+SUMIF($A:$A,$A4360,$L:$L)),0)</f>
        <v>-3.790770434559309E-15</v>
      </c>
      <c r="O4360" s="30">
        <f>IFERROR((VLOOKUP($A4360,HeadJournal!$A$1:$L$890,COLUMN(HeadJournal!L$1),0)*($K4360+$L4360)/(SUMIF($A:$A,$A4360,$K:$K)+SUMIF($A:$A,$A4360,$L:$L)))/VLOOKUP($A4360,HeadJournal!$A$1:$L$890,COLUMN(HeadJournal!H$1),0),0)</f>
        <v>0.86413863638075616</v>
      </c>
      <c r="P4360" s="30">
        <f>IFERROR(SUM(K4360:O4360)*VLOOKUP($A4360,HeadJournal!$A$1:$L$890,COLUMN(HeadJournal!H$1),0),0)</f>
        <v>2336.66801531589</v>
      </c>
      <c r="Q4360" s="29">
        <v>2900</v>
      </c>
      <c r="R4360" s="31">
        <v>45874</v>
      </c>
      <c r="S4360" s="31"/>
      <c r="T4360" s="95" t="str">
        <f t="shared" si="339"/>
        <v>2025 08</v>
      </c>
      <c r="U4360" s="32">
        <f t="shared" si="336"/>
        <v>563.33198468411001</v>
      </c>
      <c r="V4360" s="22">
        <f t="shared" si="337"/>
        <v>0.24108344916423832</v>
      </c>
      <c r="X4360" s="33"/>
      <c r="Y4360" s="33"/>
    </row>
    <row r="4361" spans="1:25" x14ac:dyDescent="0.2">
      <c r="A4361" s="93" t="s">
        <v>2921</v>
      </c>
      <c r="B4361" s="94" t="str">
        <f>IFERROR(VLOOKUP($A4361,HeadJournal!$A$1:$NTR$890,COLUMN(HeadJournal!B$1),0),"")</f>
        <v>720000561431</v>
      </c>
      <c r="C4361" s="94" t="str">
        <f>IFERROR(VLOOKUP($A4361,HeadJournal!$A$1:$NTR$890,COLUMN(HeadJournal!C$1),0),"")</f>
        <v>iHerb_VP DFD1605</v>
      </c>
      <c r="D4361" s="125" t="str">
        <f>IFERROR(VLOOKUP($A4361,HeadJournal!$A$1:$NTR$890,COLUMN(HeadJournal!D$1),0),"")</f>
        <v>Доставлен</v>
      </c>
      <c r="E4361" s="95">
        <f>IFERROR(VLOOKUP($A4361,HeadJournal!$A$1:$NTR$890,COLUMN(HeadJournal!G$1),0),"")</f>
        <v>45683</v>
      </c>
      <c r="F4361" s="95" t="str">
        <f t="shared" si="338"/>
        <v>2025 01</v>
      </c>
      <c r="G4361" s="97" t="s">
        <v>5</v>
      </c>
      <c r="H4361" s="161" t="s">
        <v>2450</v>
      </c>
      <c r="I4361" s="97" t="s">
        <v>2451</v>
      </c>
      <c r="J4361" s="97" t="s">
        <v>2452</v>
      </c>
      <c r="K4361" s="29">
        <v>13.6</v>
      </c>
      <c r="L4361" s="29">
        <v>-2.72</v>
      </c>
      <c r="M4361" s="30">
        <f>IFERROR(VLOOKUP($A4361,HeadJournal!$A$1:$J$890,COLUMN(HeadJournal!I$1),0)*($K4361+$L4361)/(SUMIF($A:$A,$A4361,$K:$K)+SUMIF($A:$A,$A4361,$L:$L)),0)</f>
        <v>-0.67973962986598579</v>
      </c>
      <c r="N4361" s="30">
        <f>IFERROR((VLOOKUP($A4361,HeadJournal!$A$1:$K$890,COLUMN(HeadJournal!K$1),0)-VLOOKUP($A4361,HeadJournal!$A$1:$K$890,COLUMN(HeadJournal!J$1),0))*($K4361+$L4361)/(SUMIF($A:$A,$A4361,$K:$K)+SUMIF($A:$A,$A4361,$L:$L)),0)</f>
        <v>-1.9733771448806353E-15</v>
      </c>
      <c r="O4361" s="30">
        <f>IFERROR((VLOOKUP($A4361,HeadJournal!$A$1:$L$890,COLUMN(HeadJournal!L$1),0)*($K4361+$L4361)/(SUMIF($A:$A,$A4361,$K:$K)+SUMIF($A:$A,$A4361,$L:$L)))/VLOOKUP($A4361,HeadJournal!$A$1:$L$890,COLUMN(HeadJournal!H$1),0),0)</f>
        <v>0.44984824707285287</v>
      </c>
      <c r="P4361" s="30">
        <f>IFERROR(SUM(K4361:O4361)*VLOOKUP($A4361,HeadJournal!$A$1:$L$890,COLUMN(HeadJournal!H$1),0),0)</f>
        <v>1216.4089955328648</v>
      </c>
      <c r="Q4361" s="29"/>
      <c r="R4361" s="31"/>
      <c r="S4361" s="31"/>
      <c r="T4361" s="95" t="str">
        <f t="shared" si="339"/>
        <v/>
      </c>
      <c r="U4361" s="32">
        <f t="shared" si="336"/>
        <v>-1216.4089955328648</v>
      </c>
      <c r="V4361" s="22" t="str">
        <f t="shared" si="337"/>
        <v/>
      </c>
      <c r="X4361" s="33"/>
      <c r="Y4361" s="33"/>
    </row>
    <row r="4362" spans="1:25" x14ac:dyDescent="0.2">
      <c r="A4362" s="93" t="s">
        <v>2921</v>
      </c>
      <c r="B4362" s="94" t="str">
        <f>IFERROR(VLOOKUP($A4362,HeadJournal!$A$1:$NTR$890,COLUMN(HeadJournal!B$1),0),"")</f>
        <v>720000561431</v>
      </c>
      <c r="C4362" s="94" t="str">
        <f>IFERROR(VLOOKUP($A4362,HeadJournal!$A$1:$NTR$890,COLUMN(HeadJournal!C$1),0),"")</f>
        <v>iHerb_VP DFD1605</v>
      </c>
      <c r="D4362" s="125" t="str">
        <f>IFERROR(VLOOKUP($A4362,HeadJournal!$A$1:$NTR$890,COLUMN(HeadJournal!D$1),0),"")</f>
        <v>Доставлен</v>
      </c>
      <c r="E4362" s="95">
        <f>IFERROR(VLOOKUP($A4362,HeadJournal!$A$1:$NTR$890,COLUMN(HeadJournal!G$1),0),"")</f>
        <v>45683</v>
      </c>
      <c r="F4362" s="95" t="str">
        <f t="shared" si="338"/>
        <v>2025 01</v>
      </c>
      <c r="G4362" s="97" t="s">
        <v>5</v>
      </c>
      <c r="H4362" s="161" t="s">
        <v>2450</v>
      </c>
      <c r="I4362" s="97" t="s">
        <v>2451</v>
      </c>
      <c r="J4362" s="97" t="s">
        <v>2452</v>
      </c>
      <c r="K4362" s="29">
        <v>13.6</v>
      </c>
      <c r="L4362" s="29">
        <v>-2.72</v>
      </c>
      <c r="M4362" s="30">
        <f>IFERROR(VLOOKUP($A4362,HeadJournal!$A$1:$J$890,COLUMN(HeadJournal!I$1),0)*($K4362+$L4362)/(SUMIF($A:$A,$A4362,$K:$K)+SUMIF($A:$A,$A4362,$L:$L)),0)</f>
        <v>-0.67973962986598579</v>
      </c>
      <c r="N4362" s="30">
        <f>IFERROR((VLOOKUP($A4362,HeadJournal!$A$1:$K$890,COLUMN(HeadJournal!K$1),0)-VLOOKUP($A4362,HeadJournal!$A$1:$K$890,COLUMN(HeadJournal!J$1),0))*($K4362+$L4362)/(SUMIF($A:$A,$A4362,$K:$K)+SUMIF($A:$A,$A4362,$L:$L)),0)</f>
        <v>-1.9733771448806353E-15</v>
      </c>
      <c r="O4362" s="30">
        <f>IFERROR((VLOOKUP($A4362,HeadJournal!$A$1:$L$890,COLUMN(HeadJournal!L$1),0)*($K4362+$L4362)/(SUMIF($A:$A,$A4362,$K:$K)+SUMIF($A:$A,$A4362,$L:$L)))/VLOOKUP($A4362,HeadJournal!$A$1:$L$890,COLUMN(HeadJournal!H$1),0),0)</f>
        <v>0.44984824707285287</v>
      </c>
      <c r="P4362" s="30">
        <f>IFERROR(SUM(K4362:O4362)*VLOOKUP($A4362,HeadJournal!$A$1:$L$890,COLUMN(HeadJournal!H$1),0),0)</f>
        <v>1216.4089955328648</v>
      </c>
      <c r="Q4362" s="29">
        <v>2000</v>
      </c>
      <c r="R4362" s="31">
        <v>46040</v>
      </c>
      <c r="S4362" s="31" t="s">
        <v>4992</v>
      </c>
      <c r="T4362" s="95" t="str">
        <f t="shared" si="339"/>
        <v>2026 01</v>
      </c>
      <c r="U4362" s="32">
        <f t="shared" si="336"/>
        <v>783.59100446713524</v>
      </c>
      <c r="V4362" s="22">
        <f t="shared" si="337"/>
        <v>0.64418382907787719</v>
      </c>
      <c r="X4362" s="33"/>
      <c r="Y4362" s="33"/>
    </row>
    <row r="4363" spans="1:25" x14ac:dyDescent="0.2">
      <c r="A4363" s="93" t="s">
        <v>2921</v>
      </c>
      <c r="B4363" s="94" t="str">
        <f>IFERROR(VLOOKUP($A4363,HeadJournal!$A$1:$NTR$890,COLUMN(HeadJournal!B$1),0),"")</f>
        <v>720000561431</v>
      </c>
      <c r="C4363" s="94" t="str">
        <f>IFERROR(VLOOKUP($A4363,HeadJournal!$A$1:$NTR$890,COLUMN(HeadJournal!C$1),0),"")</f>
        <v>iHerb_VP DFD1605</v>
      </c>
      <c r="D4363" s="125" t="str">
        <f>IFERROR(VLOOKUP($A4363,HeadJournal!$A$1:$NTR$890,COLUMN(HeadJournal!D$1),0),"")</f>
        <v>Доставлен</v>
      </c>
      <c r="E4363" s="95">
        <f>IFERROR(VLOOKUP($A4363,HeadJournal!$A$1:$NTR$890,COLUMN(HeadJournal!G$1),0),"")</f>
        <v>45683</v>
      </c>
      <c r="F4363" s="95" t="str">
        <f t="shared" si="338"/>
        <v>2025 01</v>
      </c>
      <c r="G4363" s="97" t="s">
        <v>5</v>
      </c>
      <c r="H4363" s="161" t="s">
        <v>2912</v>
      </c>
      <c r="I4363" s="97" t="s">
        <v>2006</v>
      </c>
      <c r="J4363" s="97" t="s">
        <v>2913</v>
      </c>
      <c r="K4363" s="29">
        <v>17.7</v>
      </c>
      <c r="L4363" s="29">
        <v>-3.54</v>
      </c>
      <c r="M4363" s="30">
        <f>IFERROR(VLOOKUP($A4363,HeadJournal!$A$1:$J$890,COLUMN(HeadJournal!I$1),0)*($K4363+$L4363)/(SUMIF($A:$A,$A4363,$K:$K)+SUMIF($A:$A,$A4363,$L:$L)),0)</f>
        <v>-0.88466113592852569</v>
      </c>
      <c r="N4363" s="30">
        <f>IFERROR((VLOOKUP($A4363,HeadJournal!$A$1:$K$890,COLUMN(HeadJournal!K$1),0)-VLOOKUP($A4363,HeadJournal!$A$1:$K$890,COLUMN(HeadJournal!J$1),0))*($K4363+$L4363)/(SUMIF($A:$A,$A4363,$K:$K)+SUMIF($A:$A,$A4363,$L:$L)),0)</f>
        <v>-2.5682923135578859E-15</v>
      </c>
      <c r="O4363" s="30">
        <f>IFERROR((VLOOKUP($A4363,HeadJournal!$A$1:$L$890,COLUMN(HeadJournal!L$1),0)*($K4363+$L4363)/(SUMIF($A:$A,$A4363,$K:$K)+SUMIF($A:$A,$A4363,$L:$L)))/VLOOKUP($A4363,HeadJournal!$A$1:$L$890,COLUMN(HeadJournal!H$1),0),0)</f>
        <v>0.58546426273452179</v>
      </c>
      <c r="P4363" s="30">
        <f>IFERROR(SUM(K4363:O4363)*VLOOKUP($A4363,HeadJournal!$A$1:$L$890,COLUMN(HeadJournal!H$1),0),0)</f>
        <v>1583.1205309508614</v>
      </c>
      <c r="Q4363" s="29">
        <v>2200</v>
      </c>
      <c r="R4363" s="31">
        <v>45813</v>
      </c>
      <c r="S4363" s="31" t="s">
        <v>3121</v>
      </c>
      <c r="T4363" s="95" t="str">
        <f t="shared" si="339"/>
        <v>2025 06</v>
      </c>
      <c r="U4363" s="32">
        <f t="shared" si="336"/>
        <v>616.87946904913861</v>
      </c>
      <c r="V4363" s="22">
        <f t="shared" si="337"/>
        <v>0.38966045666695104</v>
      </c>
      <c r="X4363" s="33"/>
      <c r="Y4363" s="33"/>
    </row>
    <row r="4364" spans="1:25" x14ac:dyDescent="0.2">
      <c r="A4364" s="93" t="s">
        <v>2921</v>
      </c>
      <c r="B4364" s="94" t="str">
        <f>IFERROR(VLOOKUP($A4364,HeadJournal!$A$1:$NTR$890,COLUMN(HeadJournal!B$1),0),"")</f>
        <v>720000561431</v>
      </c>
      <c r="C4364" s="94" t="str">
        <f>IFERROR(VLOOKUP($A4364,HeadJournal!$A$1:$NTR$890,COLUMN(HeadJournal!C$1),0),"")</f>
        <v>iHerb_VP DFD1605</v>
      </c>
      <c r="D4364" s="125" t="str">
        <f>IFERROR(VLOOKUP($A4364,HeadJournal!$A$1:$NTR$890,COLUMN(HeadJournal!D$1),0),"")</f>
        <v>Доставлен</v>
      </c>
      <c r="E4364" s="95">
        <f>IFERROR(VLOOKUP($A4364,HeadJournal!$A$1:$NTR$890,COLUMN(HeadJournal!G$1),0),"")</f>
        <v>45683</v>
      </c>
      <c r="F4364" s="95" t="str">
        <f t="shared" si="338"/>
        <v>2025 01</v>
      </c>
      <c r="G4364" s="97" t="s">
        <v>7</v>
      </c>
      <c r="H4364" s="161" t="s">
        <v>2914</v>
      </c>
      <c r="I4364" s="97" t="s">
        <v>2915</v>
      </c>
      <c r="J4364" s="97" t="s">
        <v>2916</v>
      </c>
      <c r="K4364" s="29">
        <v>12.33</v>
      </c>
      <c r="L4364" s="29">
        <v>-2.4700000000000002</v>
      </c>
      <c r="M4364" s="30">
        <f>IFERROR(VLOOKUP($A4364,HeadJournal!$A$1:$J$890,COLUMN(HeadJournal!I$1),0)*($K4364+$L4364)/(SUMIF($A:$A,$A4364,$K:$K)+SUMIF($A:$A,$A4364,$L:$L)),0)</f>
        <v>-0.61601403956604961</v>
      </c>
      <c r="N4364" s="30">
        <f>IFERROR((VLOOKUP($A4364,HeadJournal!$A$1:$K$890,COLUMN(HeadJournal!K$1),0)-VLOOKUP($A4364,HeadJournal!$A$1:$K$890,COLUMN(HeadJournal!J$1),0))*($K4364+$L4364)/(SUMIF($A:$A,$A4364,$K:$K)+SUMIF($A:$A,$A4364,$L:$L)),0)</f>
        <v>-1.7883730375480757E-15</v>
      </c>
      <c r="O4364" s="30">
        <f>IFERROR((VLOOKUP($A4364,HeadJournal!$A$1:$L$890,COLUMN(HeadJournal!L$1),0)*($K4364+$L4364)/(SUMIF($A:$A,$A4364,$K:$K)+SUMIF($A:$A,$A4364,$L:$L)))/VLOOKUP($A4364,HeadJournal!$A$1:$L$890,COLUMN(HeadJournal!H$1),0),0)</f>
        <v>0.40767497390977292</v>
      </c>
      <c r="P4364" s="30">
        <f>IFERROR(SUM(K4364:O4364)*VLOOKUP($A4364,HeadJournal!$A$1:$L$890,COLUMN(HeadJournal!H$1),0),0)</f>
        <v>1102.3706522016589</v>
      </c>
      <c r="Q4364" s="29"/>
      <c r="R4364" s="31"/>
      <c r="S4364" s="31"/>
      <c r="T4364" s="95" t="str">
        <f t="shared" si="339"/>
        <v/>
      </c>
      <c r="U4364" s="32">
        <f t="shared" si="336"/>
        <v>-1102.3706522016589</v>
      </c>
      <c r="V4364" s="22" t="str">
        <f t="shared" si="337"/>
        <v/>
      </c>
      <c r="X4364" s="33"/>
      <c r="Y4364" s="33"/>
    </row>
    <row r="4365" spans="1:25" x14ac:dyDescent="0.2">
      <c r="A4365" s="93" t="s">
        <v>2921</v>
      </c>
      <c r="B4365" s="94" t="str">
        <f>IFERROR(VLOOKUP($A4365,HeadJournal!$A$1:$NTR$890,COLUMN(HeadJournal!B$1),0),"")</f>
        <v>720000561431</v>
      </c>
      <c r="C4365" s="94" t="str">
        <f>IFERROR(VLOOKUP($A4365,HeadJournal!$A$1:$NTR$890,COLUMN(HeadJournal!C$1),0),"")</f>
        <v>iHerb_VP DFD1605</v>
      </c>
      <c r="D4365" s="125" t="str">
        <f>IFERROR(VLOOKUP($A4365,HeadJournal!$A$1:$NTR$890,COLUMN(HeadJournal!D$1),0),"")</f>
        <v>Доставлен</v>
      </c>
      <c r="E4365" s="95">
        <f>IFERROR(VLOOKUP($A4365,HeadJournal!$A$1:$NTR$890,COLUMN(HeadJournal!G$1),0),"")</f>
        <v>45683</v>
      </c>
      <c r="F4365" s="95" t="str">
        <f t="shared" si="338"/>
        <v>2025 01</v>
      </c>
      <c r="G4365" s="97" t="s">
        <v>5</v>
      </c>
      <c r="H4365" s="161" t="s">
        <v>2917</v>
      </c>
      <c r="I4365" s="97" t="s">
        <v>2163</v>
      </c>
      <c r="J4365" s="97" t="s">
        <v>2918</v>
      </c>
      <c r="K4365" s="29">
        <v>23.1</v>
      </c>
      <c r="L4365" s="29">
        <v>-4.62</v>
      </c>
      <c r="M4365" s="30">
        <f>IFERROR(VLOOKUP($A4365,HeadJournal!$A$1:$J$890,COLUMN(HeadJournal!I$1),0)*($K4365+$L4365)/(SUMIF($A:$A,$A4365,$K:$K)+SUMIF($A:$A,$A4365,$L:$L)),0)</f>
        <v>-1.1545577536694318</v>
      </c>
      <c r="N4365" s="30">
        <f>IFERROR((VLOOKUP($A4365,HeadJournal!$A$1:$K$890,COLUMN(HeadJournal!K$1),0)-VLOOKUP($A4365,HeadJournal!$A$1:$K$890,COLUMN(HeadJournal!J$1),0))*($K4365+$L4365)/(SUMIF($A:$A,$A4365,$K:$K)+SUMIF($A:$A,$A4365,$L:$L)),0)</f>
        <v>-3.3518391210840205E-15</v>
      </c>
      <c r="O4365" s="30">
        <f>IFERROR((VLOOKUP($A4365,HeadJournal!$A$1:$L$890,COLUMN(HeadJournal!L$1),0)*($K4365+$L4365)/(SUMIF($A:$A,$A4365,$K:$K)+SUMIF($A:$A,$A4365,$L:$L)))/VLOOKUP($A4365,HeadJournal!$A$1:$L$890,COLUMN(HeadJournal!H$1),0),0)</f>
        <v>0.76408047848403704</v>
      </c>
      <c r="P4365" s="30">
        <f>IFERROR(SUM(K4365:O4365)*VLOOKUP($A4365,HeadJournal!$A$1:$L$890,COLUMN(HeadJournal!H$1),0),0)</f>
        <v>2066.106455647734</v>
      </c>
      <c r="Q4365" s="29">
        <v>2700</v>
      </c>
      <c r="R4365" s="31">
        <v>45773</v>
      </c>
      <c r="S4365" s="31" t="s">
        <v>3121</v>
      </c>
      <c r="T4365" s="95" t="str">
        <f t="shared" si="339"/>
        <v>2025 04</v>
      </c>
      <c r="U4365" s="32">
        <f t="shared" si="336"/>
        <v>633.89354435226596</v>
      </c>
      <c r="V4365" s="22">
        <f t="shared" si="337"/>
        <v>0.30680584856579296</v>
      </c>
      <c r="X4365" s="33"/>
      <c r="Y4365" s="33"/>
    </row>
    <row r="4366" spans="1:25" x14ac:dyDescent="0.2">
      <c r="A4366" s="93" t="s">
        <v>2921</v>
      </c>
      <c r="B4366" s="94" t="str">
        <f>IFERROR(VLOOKUP($A4366,HeadJournal!$A$1:$NTR$890,COLUMN(HeadJournal!B$1),0),"")</f>
        <v>720000561431</v>
      </c>
      <c r="C4366" s="94" t="str">
        <f>IFERROR(VLOOKUP($A4366,HeadJournal!$A$1:$NTR$890,COLUMN(HeadJournal!C$1),0),"")</f>
        <v>iHerb_VP DFD1605</v>
      </c>
      <c r="D4366" s="125" t="str">
        <f>IFERROR(VLOOKUP($A4366,HeadJournal!$A$1:$NTR$890,COLUMN(HeadJournal!D$1),0),"")</f>
        <v>Доставлен</v>
      </c>
      <c r="E4366" s="95">
        <f>IFERROR(VLOOKUP($A4366,HeadJournal!$A$1:$NTR$890,COLUMN(HeadJournal!G$1),0),"")</f>
        <v>45683</v>
      </c>
      <c r="F4366" s="95" t="str">
        <f t="shared" si="338"/>
        <v>2025 01</v>
      </c>
      <c r="G4366" s="97" t="s">
        <v>5</v>
      </c>
      <c r="H4366" s="161" t="s">
        <v>2919</v>
      </c>
      <c r="I4366" s="97" t="s">
        <v>2052</v>
      </c>
      <c r="J4366" s="97" t="s">
        <v>2920</v>
      </c>
      <c r="K4366" s="29">
        <v>9.65</v>
      </c>
      <c r="L4366" s="29">
        <v>-8.65</v>
      </c>
      <c r="M4366" s="30">
        <f>IFERROR(VLOOKUP($A4366,HeadJournal!$A$1:$J$890,COLUMN(HeadJournal!I$1),0)*($K4366+$L4366)/(SUMIF($A:$A,$A4366,$K:$K)+SUMIF($A:$A,$A4366,$L:$L)),0)</f>
        <v>-6.2476068921506048E-2</v>
      </c>
      <c r="N4366" s="30">
        <f>IFERROR((VLOOKUP($A4366,HeadJournal!$A$1:$K$890,COLUMN(HeadJournal!K$1),0)-VLOOKUP($A4366,HeadJournal!$A$1:$K$890,COLUMN(HeadJournal!J$1),0))*($K4366+$L4366)/(SUMIF($A:$A,$A4366,$K:$K)+SUMIF($A:$A,$A4366,$L:$L)),0)</f>
        <v>-1.8137657581623487E-16</v>
      </c>
      <c r="O4366" s="30">
        <f>IFERROR((VLOOKUP($A4366,HeadJournal!$A$1:$L$890,COLUMN(HeadJournal!L$1),0)*($K4366+$L4366)/(SUMIF($A:$A,$A4366,$K:$K)+SUMIF($A:$A,$A4366,$L:$L)))/VLOOKUP($A4366,HeadJournal!$A$1:$L$890,COLUMN(HeadJournal!H$1),0),0)</f>
        <v>4.1346346238313687E-2</v>
      </c>
      <c r="P4366" s="30">
        <f>IFERROR(SUM(K4366:O4366)*VLOOKUP($A4366,HeadJournal!$A$1:$L$890,COLUMN(HeadJournal!H$1),0),0)</f>
        <v>111.80229738353539</v>
      </c>
      <c r="Q4366" s="29">
        <v>111.8</v>
      </c>
      <c r="R4366" s="31">
        <v>45684</v>
      </c>
      <c r="S4366" s="31" t="s">
        <v>3121</v>
      </c>
      <c r="T4366" s="95" t="str">
        <f t="shared" si="339"/>
        <v>2025 01</v>
      </c>
      <c r="U4366" s="32">
        <f t="shared" si="336"/>
        <v>-2.2973835353923278E-3</v>
      </c>
      <c r="V4366" s="22">
        <f t="shared" si="337"/>
        <v>-2.0548625467965141E-5</v>
      </c>
      <c r="X4366" s="33"/>
      <c r="Y4366" s="33"/>
    </row>
    <row r="4367" spans="1:25" x14ac:dyDescent="0.2">
      <c r="A4367" s="93" t="s">
        <v>2923</v>
      </c>
      <c r="B4367" s="94">
        <f>IFERROR(VLOOKUP($A4367,HeadJournal!$A$1:$NTR$890,COLUMN(HeadJournal!B$1),0),"")</f>
        <v>0</v>
      </c>
      <c r="C4367" s="94" t="str">
        <f>IFERROR(VLOOKUP($A4367,HeadJournal!$A$1:$NTR$890,COLUMN(HeadJournal!C$1),0),"")</f>
        <v>WBRS</v>
      </c>
      <c r="D4367" s="125" t="str">
        <f>IFERROR(VLOOKUP($A4367,HeadJournal!$A$1:$NTR$890,COLUMN(HeadJournal!D$1),0),"")</f>
        <v>Доставлен</v>
      </c>
      <c r="E4367" s="95">
        <f>IFERROR(VLOOKUP($A4367,HeadJournal!$A$1:$NTR$890,COLUMN(HeadJournal!G$1),0),"")</f>
        <v>45695</v>
      </c>
      <c r="F4367" s="95" t="str">
        <f t="shared" si="338"/>
        <v>2025 02</v>
      </c>
      <c r="G4367" s="97" t="s">
        <v>5</v>
      </c>
      <c r="H4367" s="161" t="s">
        <v>3841</v>
      </c>
      <c r="I4367" s="97" t="s">
        <v>2925</v>
      </c>
      <c r="J4367" s="97" t="s">
        <v>2927</v>
      </c>
      <c r="K4367" s="29">
        <v>311</v>
      </c>
      <c r="L4367" s="29">
        <v>0</v>
      </c>
      <c r="M4367" s="30">
        <f>IFERROR(VLOOKUP($A4367,HeadJournal!$A$1:$J$890,COLUMN(HeadJournal!I$1),0)*($K4367+$L4367)/(SUMIF($A:$A,$A4367,$K:$K)+SUMIF($A:$A,$A4367,$L:$L)),0)</f>
        <v>0</v>
      </c>
      <c r="N4367" s="30">
        <f>IFERROR((VLOOKUP($A4367,HeadJournal!$A$1:$K$890,COLUMN(HeadJournal!K$1),0)-VLOOKUP($A4367,HeadJournal!$A$1:$K$890,COLUMN(HeadJournal!J$1),0))*($K4367+$L4367)/(SUMIF($A:$A,$A4367,$K:$K)+SUMIF($A:$A,$A4367,$L:$L)),0)</f>
        <v>0</v>
      </c>
      <c r="O4367" s="30">
        <f>IFERROR((VLOOKUP($A4367,HeadJournal!$A$1:$L$890,COLUMN(HeadJournal!L$1),0)*($K4367+$L4367)/(SUMIF($A:$A,$A4367,$K:$K)+SUMIF($A:$A,$A4367,$L:$L)))/VLOOKUP($A4367,HeadJournal!$A$1:$L$890,COLUMN(HeadJournal!H$1),0),0)</f>
        <v>0</v>
      </c>
      <c r="P4367" s="30">
        <f>IFERROR(SUM(K4367:O4367)*VLOOKUP($A4367,HeadJournal!$A$1:$L$890,COLUMN(HeadJournal!H$1),0),0)</f>
        <v>311</v>
      </c>
      <c r="Q4367" s="29">
        <v>500</v>
      </c>
      <c r="R4367" s="31">
        <v>45710</v>
      </c>
      <c r="S4367" s="31" t="s">
        <v>3121</v>
      </c>
      <c r="T4367" s="95" t="str">
        <f t="shared" si="339"/>
        <v>2025 02</v>
      </c>
      <c r="U4367" s="32">
        <f t="shared" si="336"/>
        <v>189</v>
      </c>
      <c r="V4367" s="22">
        <f t="shared" si="337"/>
        <v>0.60771704180064312</v>
      </c>
      <c r="X4367" s="33"/>
      <c r="Y4367" s="33"/>
    </row>
    <row r="4368" spans="1:25" x14ac:dyDescent="0.2">
      <c r="A4368" s="93" t="s">
        <v>2924</v>
      </c>
      <c r="B4368" s="94">
        <f>IFERROR(VLOOKUP($A4368,HeadJournal!$A$1:$NTR$890,COLUMN(HeadJournal!B$1),0),"")</f>
        <v>0</v>
      </c>
      <c r="C4368" s="94" t="str">
        <f>IFERROR(VLOOKUP($A4368,HeadJournal!$A$1:$NTR$890,COLUMN(HeadJournal!C$1),0),"")</f>
        <v>WBRS</v>
      </c>
      <c r="D4368" s="125" t="str">
        <f>IFERROR(VLOOKUP($A4368,HeadJournal!$A$1:$NTR$890,COLUMN(HeadJournal!D$1),0),"")</f>
        <v>Доставлен</v>
      </c>
      <c r="E4368" s="95">
        <f>IFERROR(VLOOKUP($A4368,HeadJournal!$A$1:$NTR$890,COLUMN(HeadJournal!G$1),0),"")</f>
        <v>45702</v>
      </c>
      <c r="F4368" s="95" t="str">
        <f t="shared" si="338"/>
        <v>2025 02</v>
      </c>
      <c r="G4368" s="97" t="s">
        <v>5</v>
      </c>
      <c r="H4368" s="161" t="s">
        <v>3840</v>
      </c>
      <c r="I4368" s="97" t="s">
        <v>2925</v>
      </c>
      <c r="J4368" s="97" t="s">
        <v>2926</v>
      </c>
      <c r="K4368" s="29">
        <v>354</v>
      </c>
      <c r="L4368" s="29">
        <v>0</v>
      </c>
      <c r="M4368" s="30">
        <f>IFERROR(VLOOKUP($A4368,HeadJournal!$A$1:$J$890,COLUMN(HeadJournal!I$1),0)*($K4368+$L4368)/(SUMIF($A:$A,$A4368,$K:$K)+SUMIF($A:$A,$A4368,$L:$L)),0)</f>
        <v>0</v>
      </c>
      <c r="N4368" s="30">
        <f>IFERROR((VLOOKUP($A4368,HeadJournal!$A$1:$K$890,COLUMN(HeadJournal!K$1),0)-VLOOKUP($A4368,HeadJournal!$A$1:$K$890,COLUMN(HeadJournal!J$1),0))*($K4368+$L4368)/(SUMIF($A:$A,$A4368,$K:$K)+SUMIF($A:$A,$A4368,$L:$L)),0)</f>
        <v>0</v>
      </c>
      <c r="O4368" s="30">
        <f>IFERROR((VLOOKUP($A4368,HeadJournal!$A$1:$L$890,COLUMN(HeadJournal!L$1),0)*($K4368+$L4368)/(SUMIF($A:$A,$A4368,$K:$K)+SUMIF($A:$A,$A4368,$L:$L)))/VLOOKUP($A4368,HeadJournal!$A$1:$L$890,COLUMN(HeadJournal!H$1),0),0)</f>
        <v>0</v>
      </c>
      <c r="P4368" s="30">
        <f>IFERROR(SUM(K4368:O4368)*VLOOKUP($A4368,HeadJournal!$A$1:$L$890,COLUMN(HeadJournal!H$1),0),0)</f>
        <v>354</v>
      </c>
      <c r="Q4368" s="29">
        <v>500</v>
      </c>
      <c r="R4368" s="31">
        <v>45710</v>
      </c>
      <c r="S4368" s="31" t="s">
        <v>3121</v>
      </c>
      <c r="T4368" s="95" t="str">
        <f t="shared" si="339"/>
        <v>2025 02</v>
      </c>
      <c r="U4368" s="32">
        <f t="shared" si="336"/>
        <v>146</v>
      </c>
      <c r="V4368" s="22">
        <f t="shared" si="337"/>
        <v>0.41242937853107342</v>
      </c>
      <c r="X4368" s="33"/>
      <c r="Y4368" s="33"/>
    </row>
    <row r="4369" spans="1:25" x14ac:dyDescent="0.2">
      <c r="A4369" s="93" t="s">
        <v>2924</v>
      </c>
      <c r="B4369" s="94">
        <f>IFERROR(VLOOKUP($A4369,HeadJournal!$A$1:$NTR$890,COLUMN(HeadJournal!B$1),0),"")</f>
        <v>0</v>
      </c>
      <c r="C4369" s="94" t="str">
        <f>IFERROR(VLOOKUP($A4369,HeadJournal!$A$1:$NTR$890,COLUMN(HeadJournal!C$1),0),"")</f>
        <v>WBRS</v>
      </c>
      <c r="D4369" s="125" t="str">
        <f>IFERROR(VLOOKUP($A4369,HeadJournal!$A$1:$NTR$890,COLUMN(HeadJournal!D$1),0),"")</f>
        <v>Доставлен</v>
      </c>
      <c r="E4369" s="95">
        <f>IFERROR(VLOOKUP($A4369,HeadJournal!$A$1:$NTR$890,COLUMN(HeadJournal!G$1),0),"")</f>
        <v>45702</v>
      </c>
      <c r="F4369" s="95" t="str">
        <f t="shared" si="338"/>
        <v>2025 02</v>
      </c>
      <c r="G4369" s="97" t="s">
        <v>7</v>
      </c>
      <c r="H4369" s="161" t="s">
        <v>3597</v>
      </c>
      <c r="I4369" s="97" t="s">
        <v>3595</v>
      </c>
      <c r="J4369" s="97" t="s">
        <v>3596</v>
      </c>
      <c r="K4369" s="29">
        <v>1312</v>
      </c>
      <c r="L4369" s="29">
        <v>0</v>
      </c>
      <c r="M4369" s="30">
        <f>IFERROR(VLOOKUP($A4369,HeadJournal!$A$1:$J$890,COLUMN(HeadJournal!I$1),0)*($K4369+$L4369)/(SUMIF($A:$A,$A4369,$K:$K)+SUMIF($A:$A,$A4369,$L:$L)),0)</f>
        <v>0</v>
      </c>
      <c r="N4369" s="30">
        <f>IFERROR((VLOOKUP($A4369,HeadJournal!$A$1:$K$890,COLUMN(HeadJournal!K$1),0)-VLOOKUP($A4369,HeadJournal!$A$1:$K$890,COLUMN(HeadJournal!J$1),0))*($K4369+$L4369)/(SUMIF($A:$A,$A4369,$K:$K)+SUMIF($A:$A,$A4369,$L:$L)),0)</f>
        <v>0</v>
      </c>
      <c r="O4369" s="30">
        <f>IFERROR((VLOOKUP($A4369,HeadJournal!$A$1:$L$890,COLUMN(HeadJournal!L$1),0)*($K4369+$L4369)/(SUMIF($A:$A,$A4369,$K:$K)+SUMIF($A:$A,$A4369,$L:$L)))/VLOOKUP($A4369,HeadJournal!$A$1:$L$890,COLUMN(HeadJournal!H$1),0),0)</f>
        <v>0</v>
      </c>
      <c r="P4369" s="30">
        <f>IFERROR(SUM(K4369:O4369)*VLOOKUP($A4369,HeadJournal!$A$1:$L$890,COLUMN(HeadJournal!H$1),0),0)</f>
        <v>1312</v>
      </c>
      <c r="Q4369" s="29">
        <v>2000</v>
      </c>
      <c r="R4369" s="31">
        <v>45721</v>
      </c>
      <c r="S4369" s="31" t="s">
        <v>3121</v>
      </c>
      <c r="T4369" s="95" t="str">
        <f t="shared" si="339"/>
        <v>2025 03</v>
      </c>
      <c r="U4369" s="32">
        <f t="shared" ref="U4369" si="340">Q4369-P4369</f>
        <v>688</v>
      </c>
      <c r="V4369" s="22">
        <f t="shared" ref="V4369" si="341">IF(Q4369&lt;&gt;0,IFERROR(U4369/P4369,""),"")</f>
        <v>0.52439024390243905</v>
      </c>
      <c r="X4369" s="33"/>
      <c r="Y4369" s="33"/>
    </row>
    <row r="4370" spans="1:25" x14ac:dyDescent="0.2">
      <c r="A4370" s="93" t="s">
        <v>2924</v>
      </c>
      <c r="B4370" s="94">
        <f>IFERROR(VLOOKUP($A4370,HeadJournal!$A$1:$NTR$890,COLUMN(HeadJournal!B$1),0),"")</f>
        <v>0</v>
      </c>
      <c r="C4370" s="94" t="str">
        <f>IFERROR(VLOOKUP($A4370,HeadJournal!$A$1:$NTR$890,COLUMN(HeadJournal!C$1),0),"")</f>
        <v>WBRS</v>
      </c>
      <c r="D4370" s="125" t="str">
        <f>IFERROR(VLOOKUP($A4370,HeadJournal!$A$1:$NTR$890,COLUMN(HeadJournal!D$1),0),"")</f>
        <v>Доставлен</v>
      </c>
      <c r="E4370" s="95">
        <f>IFERROR(VLOOKUP($A4370,HeadJournal!$A$1:$NTR$890,COLUMN(HeadJournal!G$1),0),"")</f>
        <v>45702</v>
      </c>
      <c r="F4370" s="95" t="str">
        <f t="shared" si="338"/>
        <v>2025 02</v>
      </c>
      <c r="G4370" s="97" t="s">
        <v>7</v>
      </c>
      <c r="H4370" s="161" t="s">
        <v>3597</v>
      </c>
      <c r="I4370" s="97" t="s">
        <v>3595</v>
      </c>
      <c r="J4370" s="97" t="s">
        <v>3596</v>
      </c>
      <c r="K4370" s="29">
        <v>1312</v>
      </c>
      <c r="L4370" s="29">
        <v>0</v>
      </c>
      <c r="M4370" s="30">
        <f>IFERROR(VLOOKUP($A4370,HeadJournal!$A$1:$J$890,COLUMN(HeadJournal!I$1),0)*($K4370+$L4370)/(SUMIF($A:$A,$A4370,$K:$K)+SUMIF($A:$A,$A4370,$L:$L)),0)</f>
        <v>0</v>
      </c>
      <c r="N4370" s="30">
        <f>IFERROR((VLOOKUP($A4370,HeadJournal!$A$1:$K$890,COLUMN(HeadJournal!K$1),0)-VLOOKUP($A4370,HeadJournal!$A$1:$K$890,COLUMN(HeadJournal!J$1),0))*($K4370+$L4370)/(SUMIF($A:$A,$A4370,$K:$K)+SUMIF($A:$A,$A4370,$L:$L)),0)</f>
        <v>0</v>
      </c>
      <c r="O4370" s="30">
        <f>IFERROR((VLOOKUP($A4370,HeadJournal!$A$1:$L$890,COLUMN(HeadJournal!L$1),0)*($K4370+$L4370)/(SUMIF($A:$A,$A4370,$K:$K)+SUMIF($A:$A,$A4370,$L:$L)))/VLOOKUP($A4370,HeadJournal!$A$1:$L$890,COLUMN(HeadJournal!H$1),0),0)</f>
        <v>0</v>
      </c>
      <c r="P4370" s="30">
        <f>IFERROR(SUM(K4370:O4370)*VLOOKUP($A4370,HeadJournal!$A$1:$L$890,COLUMN(HeadJournal!H$1),0),0)</f>
        <v>1312</v>
      </c>
      <c r="Q4370" s="29">
        <v>2000</v>
      </c>
      <c r="R4370" s="31">
        <v>45789</v>
      </c>
      <c r="S4370" s="31" t="s">
        <v>3121</v>
      </c>
      <c r="T4370" s="95" t="str">
        <f t="shared" si="339"/>
        <v>2025 05</v>
      </c>
      <c r="U4370" s="32">
        <f t="shared" si="336"/>
        <v>688</v>
      </c>
      <c r="V4370" s="22">
        <f t="shared" si="337"/>
        <v>0.52439024390243905</v>
      </c>
      <c r="X4370" s="33"/>
      <c r="Y4370" s="33"/>
    </row>
    <row r="4371" spans="1:25" x14ac:dyDescent="0.2">
      <c r="A4371" s="93" t="s">
        <v>2928</v>
      </c>
      <c r="B4371" s="94">
        <f>IFERROR(VLOOKUP($A4371,HeadJournal!$A$1:$NTR$890,COLUMN(HeadJournal!B$1),0),"")</f>
        <v>0</v>
      </c>
      <c r="C4371" s="94" t="str">
        <f>IFERROR(VLOOKUP($A4371,HeadJournal!$A$1:$NTR$890,COLUMN(HeadJournal!C$1),0),"")</f>
        <v>OZON_OA</v>
      </c>
      <c r="D4371" s="125" t="str">
        <f>IFERROR(VLOOKUP($A4371,HeadJournal!$A$1:$NTR$890,COLUMN(HeadJournal!D$1),0),"")</f>
        <v>Доставлен</v>
      </c>
      <c r="E4371" s="95">
        <f>IFERROR(VLOOKUP($A4371,HeadJournal!$A$1:$NTR$890,COLUMN(HeadJournal!G$1),0),"")</f>
        <v>45653</v>
      </c>
      <c r="F4371" s="95" t="str">
        <f t="shared" si="338"/>
        <v>2024 12</v>
      </c>
      <c r="G4371" s="97" t="s">
        <v>5</v>
      </c>
      <c r="H4371" s="161" t="s">
        <v>2929</v>
      </c>
      <c r="I4371" s="97" t="s">
        <v>2930</v>
      </c>
      <c r="J4371" s="97" t="s">
        <v>2931</v>
      </c>
      <c r="K4371" s="29">
        <v>647</v>
      </c>
      <c r="L4371" s="29">
        <v>0</v>
      </c>
      <c r="M4371" s="30">
        <f>IFERROR(VLOOKUP($A4371,HeadJournal!$A$1:$J$890,COLUMN(HeadJournal!I$1),0)*($K4371+$L4371)/(SUMIF($A:$A,$A4371,$K:$K)+SUMIF($A:$A,$A4371,$L:$L)),0)</f>
        <v>0</v>
      </c>
      <c r="N4371" s="30">
        <f>IFERROR((VLOOKUP($A4371,HeadJournal!$A$1:$K$890,COLUMN(HeadJournal!K$1),0)-VLOOKUP($A4371,HeadJournal!$A$1:$K$890,COLUMN(HeadJournal!J$1),0))*($K4371+$L4371)/(SUMIF($A:$A,$A4371,$K:$K)+SUMIF($A:$A,$A4371,$L:$L)),0)</f>
        <v>0</v>
      </c>
      <c r="O4371" s="30">
        <f>IFERROR((VLOOKUP($A4371,HeadJournal!$A$1:$L$890,COLUMN(HeadJournal!L$1),0)*($K4371+$L4371)/(SUMIF($A:$A,$A4371,$K:$K)+SUMIF($A:$A,$A4371,$L:$L)))/VLOOKUP($A4371,HeadJournal!$A$1:$L$890,COLUMN(HeadJournal!H$1),0),0)</f>
        <v>0</v>
      </c>
      <c r="P4371" s="30">
        <f>IFERROR(SUM(K4371:O4371)*VLOOKUP($A4371,HeadJournal!$A$1:$L$890,COLUMN(HeadJournal!H$1),0),0)</f>
        <v>647</v>
      </c>
      <c r="Q4371" s="29">
        <v>750</v>
      </c>
      <c r="R4371" s="31">
        <v>45682</v>
      </c>
      <c r="S4371" s="31" t="s">
        <v>3121</v>
      </c>
      <c r="T4371" s="95" t="str">
        <f t="shared" si="339"/>
        <v>2025 01</v>
      </c>
      <c r="U4371" s="32">
        <f t="shared" si="336"/>
        <v>103</v>
      </c>
      <c r="V4371" s="22">
        <f t="shared" si="337"/>
        <v>0.15919629057187018</v>
      </c>
      <c r="X4371" s="33"/>
      <c r="Y4371" s="33"/>
    </row>
    <row r="4372" spans="1:25" x14ac:dyDescent="0.2">
      <c r="A4372" s="93" t="s">
        <v>2932</v>
      </c>
      <c r="B4372" s="94">
        <f>IFERROR(VLOOKUP($A4372,HeadJournal!$A$1:$NTR$890,COLUMN(HeadJournal!B$1),0),"")</f>
        <v>0</v>
      </c>
      <c r="C4372" s="94" t="str">
        <f>IFERROR(VLOOKUP($A4372,HeadJournal!$A$1:$NTR$890,COLUMN(HeadJournal!C$1),0),"")</f>
        <v>OZON_OA</v>
      </c>
      <c r="D4372" s="125" t="str">
        <f>IFERROR(VLOOKUP($A4372,HeadJournal!$A$1:$NTR$890,COLUMN(HeadJournal!D$1),0),"")</f>
        <v>Доставлен</v>
      </c>
      <c r="E4372" s="95">
        <f>IFERROR(VLOOKUP($A4372,HeadJournal!$A$1:$NTR$890,COLUMN(HeadJournal!G$1),0),"")</f>
        <v>45659</v>
      </c>
      <c r="F4372" s="95" t="str">
        <f t="shared" si="338"/>
        <v>2025 01</v>
      </c>
      <c r="G4372" s="97" t="s">
        <v>6</v>
      </c>
      <c r="H4372" s="161" t="s">
        <v>2280</v>
      </c>
      <c r="I4372" s="97" t="s">
        <v>2281</v>
      </c>
      <c r="J4372" s="97" t="s">
        <v>737</v>
      </c>
      <c r="K4372" s="29">
        <v>896</v>
      </c>
      <c r="L4372" s="29">
        <v>0</v>
      </c>
      <c r="M4372" s="30">
        <f>IFERROR(VLOOKUP($A4372,HeadJournal!$A$1:$J$890,COLUMN(HeadJournal!I$1),0)*($K4372+$L4372)/(SUMIF($A:$A,$A4372,$K:$K)+SUMIF($A:$A,$A4372,$L:$L)),0)</f>
        <v>0</v>
      </c>
      <c r="N4372" s="30">
        <f>IFERROR((VLOOKUP($A4372,HeadJournal!$A$1:$K$890,COLUMN(HeadJournal!K$1),0)-VLOOKUP($A4372,HeadJournal!$A$1:$K$890,COLUMN(HeadJournal!J$1),0))*($K4372+$L4372)/(SUMIF($A:$A,$A4372,$K:$K)+SUMIF($A:$A,$A4372,$L:$L)),0)</f>
        <v>0</v>
      </c>
      <c r="O4372" s="30">
        <f>IFERROR((VLOOKUP($A4372,HeadJournal!$A$1:$L$890,COLUMN(HeadJournal!L$1),0)*($K4372+$L4372)/(SUMIF($A:$A,$A4372,$K:$K)+SUMIF($A:$A,$A4372,$L:$L)))/VLOOKUP($A4372,HeadJournal!$A$1:$L$890,COLUMN(HeadJournal!H$1),0),0)</f>
        <v>0</v>
      </c>
      <c r="P4372" s="30">
        <f>IFERROR(SUM(K4372:O4372)*VLOOKUP($A4372,HeadJournal!$A$1:$L$890,COLUMN(HeadJournal!H$1),0),0)</f>
        <v>896</v>
      </c>
      <c r="Q4372" s="29">
        <v>1900</v>
      </c>
      <c r="R4372" s="31">
        <v>45713</v>
      </c>
      <c r="S4372" s="31" t="s">
        <v>3121</v>
      </c>
      <c r="T4372" s="95" t="str">
        <f t="shared" si="339"/>
        <v>2025 02</v>
      </c>
      <c r="U4372" s="32">
        <f t="shared" si="336"/>
        <v>1004</v>
      </c>
      <c r="V4372" s="22">
        <f t="shared" si="337"/>
        <v>1.1205357142857142</v>
      </c>
      <c r="X4372" s="33"/>
      <c r="Y4372" s="33"/>
    </row>
    <row r="4373" spans="1:25" x14ac:dyDescent="0.2">
      <c r="A4373" s="93" t="s">
        <v>2932</v>
      </c>
      <c r="B4373" s="94">
        <f>IFERROR(VLOOKUP($A4373,HeadJournal!$A$1:$NTR$890,COLUMN(HeadJournal!B$1),0),"")</f>
        <v>0</v>
      </c>
      <c r="C4373" s="94" t="str">
        <f>IFERROR(VLOOKUP($A4373,HeadJournal!$A$1:$NTR$890,COLUMN(HeadJournal!C$1),0),"")</f>
        <v>OZON_OA</v>
      </c>
      <c r="D4373" s="125" t="str">
        <f>IFERROR(VLOOKUP($A4373,HeadJournal!$A$1:$NTR$890,COLUMN(HeadJournal!D$1),0),"")</f>
        <v>Доставлен</v>
      </c>
      <c r="E4373" s="95">
        <f>IFERROR(VLOOKUP($A4373,HeadJournal!$A$1:$NTR$890,COLUMN(HeadJournal!G$1),0),"")</f>
        <v>45659</v>
      </c>
      <c r="F4373" s="95" t="str">
        <f t="shared" si="338"/>
        <v>2025 01</v>
      </c>
      <c r="G4373" s="97" t="s">
        <v>6</v>
      </c>
      <c r="H4373" s="161" t="s">
        <v>2280</v>
      </c>
      <c r="I4373" s="97" t="s">
        <v>2281</v>
      </c>
      <c r="J4373" s="97" t="s">
        <v>737</v>
      </c>
      <c r="K4373" s="29">
        <v>896</v>
      </c>
      <c r="L4373" s="29">
        <v>0</v>
      </c>
      <c r="M4373" s="30">
        <f>IFERROR(VLOOKUP($A4373,HeadJournal!$A$1:$J$890,COLUMN(HeadJournal!I$1),0)*($K4373+$L4373)/(SUMIF($A:$A,$A4373,$K:$K)+SUMIF($A:$A,$A4373,$L:$L)),0)</f>
        <v>0</v>
      </c>
      <c r="N4373" s="30">
        <f>IFERROR((VLOOKUP($A4373,HeadJournal!$A$1:$K$890,COLUMN(HeadJournal!K$1),0)-VLOOKUP($A4373,HeadJournal!$A$1:$K$890,COLUMN(HeadJournal!J$1),0))*($K4373+$L4373)/(SUMIF($A:$A,$A4373,$K:$K)+SUMIF($A:$A,$A4373,$L:$L)),0)</f>
        <v>0</v>
      </c>
      <c r="O4373" s="30">
        <f>IFERROR((VLOOKUP($A4373,HeadJournal!$A$1:$L$890,COLUMN(HeadJournal!L$1),0)*($K4373+$L4373)/(SUMIF($A:$A,$A4373,$K:$K)+SUMIF($A:$A,$A4373,$L:$L)))/VLOOKUP($A4373,HeadJournal!$A$1:$L$890,COLUMN(HeadJournal!H$1),0),0)</f>
        <v>0</v>
      </c>
      <c r="P4373" s="30">
        <f>IFERROR(SUM(K4373:O4373)*VLOOKUP($A4373,HeadJournal!$A$1:$L$890,COLUMN(HeadJournal!H$1),0),0)</f>
        <v>896</v>
      </c>
      <c r="Q4373" s="29">
        <v>2000</v>
      </c>
      <c r="R4373" s="31">
        <v>45731</v>
      </c>
      <c r="S4373" s="31" t="s">
        <v>3121</v>
      </c>
      <c r="T4373" s="95" t="str">
        <f t="shared" si="339"/>
        <v>2025 03</v>
      </c>
      <c r="U4373" s="32">
        <f t="shared" si="336"/>
        <v>1104</v>
      </c>
      <c r="V4373" s="22">
        <f t="shared" si="337"/>
        <v>1.2321428571428572</v>
      </c>
      <c r="X4373" s="33"/>
      <c r="Y4373" s="33"/>
    </row>
    <row r="4374" spans="1:25" x14ac:dyDescent="0.2">
      <c r="A4374" s="93" t="s">
        <v>2933</v>
      </c>
      <c r="B4374" s="94">
        <f>IFERROR(VLOOKUP($A4374,HeadJournal!$A$1:$NTR$890,COLUMN(HeadJournal!B$1),0),"")</f>
        <v>0</v>
      </c>
      <c r="C4374" s="94" t="str">
        <f>IFERROR(VLOOKUP($A4374,HeadJournal!$A$1:$NTR$890,COLUMN(HeadJournal!C$1),0),"")</f>
        <v>OZON_OA</v>
      </c>
      <c r="D4374" s="125" t="str">
        <f>IFERROR(VLOOKUP($A4374,HeadJournal!$A$1:$NTR$890,COLUMN(HeadJournal!D$1),0),"")</f>
        <v>Доставлен</v>
      </c>
      <c r="E4374" s="95">
        <f>IFERROR(VLOOKUP($A4374,HeadJournal!$A$1:$NTR$890,COLUMN(HeadJournal!G$1),0),"")</f>
        <v>45665</v>
      </c>
      <c r="F4374" s="95" t="str">
        <f t="shared" si="338"/>
        <v>2025 01</v>
      </c>
      <c r="G4374" s="96" t="s">
        <v>6</v>
      </c>
      <c r="H4374" s="161" t="s">
        <v>2935</v>
      </c>
      <c r="I4374" s="97" t="s">
        <v>2934</v>
      </c>
      <c r="J4374" s="97" t="s">
        <v>1262</v>
      </c>
      <c r="K4374" s="29">
        <v>952</v>
      </c>
      <c r="L4374" s="29">
        <v>0</v>
      </c>
      <c r="M4374" s="30">
        <f>IFERROR(VLOOKUP($A4374,HeadJournal!$A$1:$J$890,COLUMN(HeadJournal!I$1),0)*($K4374+$L4374)/(SUMIF($A:$A,$A4374,$K:$K)+SUMIF($A:$A,$A4374,$L:$L)),0)</f>
        <v>0</v>
      </c>
      <c r="N4374" s="30">
        <f>IFERROR((VLOOKUP($A4374,HeadJournal!$A$1:$K$890,COLUMN(HeadJournal!K$1),0)-VLOOKUP($A4374,HeadJournal!$A$1:$K$890,COLUMN(HeadJournal!J$1),0))*($K4374+$L4374)/(SUMIF($A:$A,$A4374,$K:$K)+SUMIF($A:$A,$A4374,$L:$L)),0)</f>
        <v>0</v>
      </c>
      <c r="O4374" s="30">
        <f>IFERROR((VLOOKUP($A4374,HeadJournal!$A$1:$L$890,COLUMN(HeadJournal!L$1),0)*($K4374+$L4374)/(SUMIF($A:$A,$A4374,$K:$K)+SUMIF($A:$A,$A4374,$L:$L)))/VLOOKUP($A4374,HeadJournal!$A$1:$L$890,COLUMN(HeadJournal!H$1),0),0)</f>
        <v>0</v>
      </c>
      <c r="P4374" s="30">
        <f>IFERROR(SUM(K4374:O4374)*VLOOKUP($A4374,HeadJournal!$A$1:$L$890,COLUMN(HeadJournal!H$1),0),0)</f>
        <v>952</v>
      </c>
      <c r="Q4374" s="29">
        <v>2000</v>
      </c>
      <c r="R4374" s="31">
        <v>45710</v>
      </c>
      <c r="S4374" s="31" t="s">
        <v>3121</v>
      </c>
      <c r="T4374" s="95" t="str">
        <f t="shared" si="339"/>
        <v>2025 02</v>
      </c>
      <c r="U4374" s="32">
        <f t="shared" si="336"/>
        <v>1048</v>
      </c>
      <c r="V4374" s="22">
        <f t="shared" si="337"/>
        <v>1.1008403361344539</v>
      </c>
      <c r="X4374" s="33"/>
      <c r="Y4374" s="33"/>
    </row>
    <row r="4375" spans="1:25" x14ac:dyDescent="0.2">
      <c r="A4375" s="93" t="s">
        <v>2933</v>
      </c>
      <c r="B4375" s="94">
        <f>IFERROR(VLOOKUP($A4375,HeadJournal!$A$1:$NTR$890,COLUMN(HeadJournal!B$1),0),"")</f>
        <v>0</v>
      </c>
      <c r="C4375" s="94" t="str">
        <f>IFERROR(VLOOKUP($A4375,HeadJournal!$A$1:$NTR$890,COLUMN(HeadJournal!C$1),0),"")</f>
        <v>OZON_OA</v>
      </c>
      <c r="D4375" s="125" t="str">
        <f>IFERROR(VLOOKUP($A4375,HeadJournal!$A$1:$NTR$890,COLUMN(HeadJournal!D$1),0),"")</f>
        <v>Доставлен</v>
      </c>
      <c r="E4375" s="95">
        <f>IFERROR(VLOOKUP($A4375,HeadJournal!$A$1:$NTR$890,COLUMN(HeadJournal!G$1),0),"")</f>
        <v>45665</v>
      </c>
      <c r="F4375" s="95" t="str">
        <f t="shared" si="338"/>
        <v>2025 01</v>
      </c>
      <c r="G4375" s="97" t="s">
        <v>5</v>
      </c>
      <c r="H4375" s="161" t="s">
        <v>3709</v>
      </c>
      <c r="I4375" s="97" t="s">
        <v>2936</v>
      </c>
      <c r="J4375" s="97" t="s">
        <v>3708</v>
      </c>
      <c r="K4375" s="29">
        <v>1802</v>
      </c>
      <c r="L4375" s="29">
        <v>0</v>
      </c>
      <c r="M4375" s="30">
        <f>IFERROR(VLOOKUP($A4375,HeadJournal!$A$1:$J$890,COLUMN(HeadJournal!I$1),0)*($K4375+$L4375)/(SUMIF($A:$A,$A4375,$K:$K)+SUMIF($A:$A,$A4375,$L:$L)),0)</f>
        <v>0</v>
      </c>
      <c r="N4375" s="30">
        <f>IFERROR((VLOOKUP($A4375,HeadJournal!$A$1:$K$890,COLUMN(HeadJournal!K$1),0)-VLOOKUP($A4375,HeadJournal!$A$1:$K$890,COLUMN(HeadJournal!J$1),0))*($K4375+$L4375)/(SUMIF($A:$A,$A4375,$K:$K)+SUMIF($A:$A,$A4375,$L:$L)),0)</f>
        <v>0</v>
      </c>
      <c r="O4375" s="30">
        <f>IFERROR((VLOOKUP($A4375,HeadJournal!$A$1:$L$890,COLUMN(HeadJournal!L$1),0)*($K4375+$L4375)/(SUMIF($A:$A,$A4375,$K:$K)+SUMIF($A:$A,$A4375,$L:$L)))/VLOOKUP($A4375,HeadJournal!$A$1:$L$890,COLUMN(HeadJournal!H$1),0),0)</f>
        <v>0</v>
      </c>
      <c r="P4375" s="30">
        <f>IFERROR(SUM(K4375:O4375)*VLOOKUP($A4375,HeadJournal!$A$1:$L$890,COLUMN(HeadJournal!H$1),0),0)</f>
        <v>1802</v>
      </c>
      <c r="Q4375" s="29"/>
      <c r="R4375" s="31"/>
      <c r="S4375" s="31"/>
      <c r="T4375" s="95" t="str">
        <f t="shared" si="339"/>
        <v/>
      </c>
      <c r="U4375" s="32">
        <f t="shared" si="336"/>
        <v>-1802</v>
      </c>
      <c r="V4375" s="22" t="str">
        <f t="shared" si="337"/>
        <v/>
      </c>
      <c r="X4375" s="33"/>
      <c r="Y4375" s="33"/>
    </row>
    <row r="4376" spans="1:25" x14ac:dyDescent="0.2">
      <c r="A4376" s="93" t="s">
        <v>2937</v>
      </c>
      <c r="B4376" s="94" t="str">
        <f>IFERROR(VLOOKUP($A4376,HeadJournal!$A$1:$NTR$890,COLUMN(HeadJournal!B$1),0),"")</f>
        <v>720000589736</v>
      </c>
      <c r="C4376" s="94" t="str">
        <f>IFERROR(VLOOKUP($A4376,HeadJournal!$A$1:$NTR$890,COLUMN(HeadJournal!C$1),0),"")</f>
        <v>iHerb_AV CYG0792</v>
      </c>
      <c r="D4376" s="125" t="str">
        <f>IFERROR(VLOOKUP($A4376,HeadJournal!$A$1:$NTR$890,COLUMN(HeadJournal!D$1),0),"")</f>
        <v>Доставлен</v>
      </c>
      <c r="E4376" s="95">
        <f>IFERROR(VLOOKUP($A4376,HeadJournal!$A$1:$NTR$890,COLUMN(HeadJournal!G$1),0),"")</f>
        <v>45704</v>
      </c>
      <c r="F4376" s="95" t="str">
        <f t="shared" si="338"/>
        <v>2025 02</v>
      </c>
      <c r="G4376" s="97" t="s">
        <v>5</v>
      </c>
      <c r="H4376" s="161" t="s">
        <v>2562</v>
      </c>
      <c r="I4376" s="97" t="s">
        <v>2052</v>
      </c>
      <c r="J4376" s="97" t="s">
        <v>2563</v>
      </c>
      <c r="K4376" s="29">
        <v>91.56</v>
      </c>
      <c r="L4376" s="29">
        <v>-27.47</v>
      </c>
      <c r="M4376" s="30">
        <f>IFERROR(VLOOKUP($A4376,HeadJournal!$A$1:$J$890,COLUMN(HeadJournal!I$1),0)*($K4376+$L4376)/(SUMIF($A:$A,$A4376,$K:$K)+SUMIF($A:$A,$A4376,$L:$L)),0)</f>
        <v>-6.1815023305844381</v>
      </c>
      <c r="N4376" s="30">
        <f>IFERROR((VLOOKUP($A4376,HeadJournal!$A$1:$K$890,COLUMN(HeadJournal!K$1),0)-VLOOKUP($A4376,HeadJournal!$A$1:$K$890,COLUMN(HeadJournal!J$1),0))*($K4376+$L4376)/(SUMIF($A:$A,$A4376,$K:$K)+SUMIF($A:$A,$A4376,$L:$L)),0)</f>
        <v>-9.330263573193632E-15</v>
      </c>
      <c r="O4376" s="30">
        <f>IFERROR((VLOOKUP($A4376,HeadJournal!$A$1:$L$890,COLUMN(HeadJournal!L$1),0)*($K4376+$L4376)/(SUMIF($A:$A,$A4376,$K:$K)+SUMIF($A:$A,$A4376,$L:$L)))/VLOOKUP($A4376,HeadJournal!$A$1:$L$890,COLUMN(HeadJournal!H$1),0),0)</f>
        <v>2.9581287459694208</v>
      </c>
      <c r="P4376" s="30">
        <f>IFERROR(SUM(K4376:O4376)*VLOOKUP($A4376,HeadJournal!$A$1:$L$890,COLUMN(HeadJournal!H$1),0),0)</f>
        <v>6293.1261028871913</v>
      </c>
      <c r="Q4376" s="29">
        <v>10500</v>
      </c>
      <c r="R4376" s="31">
        <v>45729</v>
      </c>
      <c r="S4376" s="31" t="s">
        <v>3121</v>
      </c>
      <c r="T4376" s="95" t="str">
        <f t="shared" si="339"/>
        <v>2025 03</v>
      </c>
      <c r="U4376" s="32">
        <f t="shared" si="336"/>
        <v>4206.8738971128087</v>
      </c>
      <c r="V4376" s="22">
        <f t="shared" si="337"/>
        <v>0.66848714427997213</v>
      </c>
      <c r="X4376" s="33"/>
      <c r="Y4376" s="33"/>
    </row>
    <row r="4377" spans="1:25" x14ac:dyDescent="0.2">
      <c r="A4377" s="93" t="s">
        <v>2937</v>
      </c>
      <c r="B4377" s="94" t="str">
        <f>IFERROR(VLOOKUP($A4377,HeadJournal!$A$1:$NTR$890,COLUMN(HeadJournal!B$1),0),"")</f>
        <v>720000589736</v>
      </c>
      <c r="C4377" s="94" t="str">
        <f>IFERROR(VLOOKUP($A4377,HeadJournal!$A$1:$NTR$890,COLUMN(HeadJournal!C$1),0),"")</f>
        <v>iHerb_AV CYG0792</v>
      </c>
      <c r="D4377" s="125" t="str">
        <f>IFERROR(VLOOKUP($A4377,HeadJournal!$A$1:$NTR$890,COLUMN(HeadJournal!D$1),0),"")</f>
        <v>Доставлен</v>
      </c>
      <c r="E4377" s="95">
        <f>IFERROR(VLOOKUP($A4377,HeadJournal!$A$1:$NTR$890,COLUMN(HeadJournal!G$1),0),"")</f>
        <v>45704</v>
      </c>
      <c r="F4377" s="95" t="str">
        <f t="shared" si="338"/>
        <v>2025 02</v>
      </c>
      <c r="G4377" s="97" t="s">
        <v>5</v>
      </c>
      <c r="H4377" s="161" t="s">
        <v>2203</v>
      </c>
      <c r="I4377" s="97" t="s">
        <v>2166</v>
      </c>
      <c r="J4377" s="97" t="s">
        <v>4099</v>
      </c>
      <c r="K4377" s="29">
        <v>9.14</v>
      </c>
      <c r="L4377" s="29">
        <v>-0.91</v>
      </c>
      <c r="M4377" s="30">
        <f>IFERROR(VLOOKUP($A4377,HeadJournal!$A$1:$J$890,COLUMN(HeadJournal!I$1),0)*($K4377+$L4377)/(SUMIF($A:$A,$A4377,$K:$K)+SUMIF($A:$A,$A4377,$L:$L)),0)</f>
        <v>-0.79378630333452849</v>
      </c>
      <c r="N4377" s="30">
        <f>IFERROR((VLOOKUP($A4377,HeadJournal!$A$1:$K$890,COLUMN(HeadJournal!K$1),0)-VLOOKUP($A4377,HeadJournal!$A$1:$K$890,COLUMN(HeadJournal!J$1),0))*($K4377+$L4377)/(SUMIF($A:$A,$A4377,$K:$K)+SUMIF($A:$A,$A4377,$L:$L)),0)</f>
        <v>-1.198128712862905E-15</v>
      </c>
      <c r="O4377" s="30">
        <f>IFERROR((VLOOKUP($A4377,HeadJournal!$A$1:$L$890,COLUMN(HeadJournal!L$1),0)*($K4377+$L4377)/(SUMIF($A:$A,$A4377,$K:$K)+SUMIF($A:$A,$A4377,$L:$L)))/VLOOKUP($A4377,HeadJournal!$A$1:$L$890,COLUMN(HeadJournal!H$1),0),0)</f>
        <v>0.37986268652408067</v>
      </c>
      <c r="P4377" s="30">
        <f>IFERROR(SUM(K4377:O4377)*VLOOKUP($A4377,HeadJournal!$A$1:$L$890,COLUMN(HeadJournal!H$1),0),0)</f>
        <v>808.12026566955194</v>
      </c>
      <c r="Q4377" s="29">
        <v>1500</v>
      </c>
      <c r="R4377" s="31">
        <v>45729</v>
      </c>
      <c r="S4377" s="31" t="s">
        <v>3121</v>
      </c>
      <c r="T4377" s="95" t="str">
        <f t="shared" si="339"/>
        <v>2025 03</v>
      </c>
      <c r="U4377" s="32">
        <f t="shared" si="336"/>
        <v>691.87973433044806</v>
      </c>
      <c r="V4377" s="22">
        <f t="shared" si="337"/>
        <v>0.8561593660285266</v>
      </c>
      <c r="X4377" s="33"/>
      <c r="Y4377" s="33"/>
    </row>
    <row r="4378" spans="1:25" x14ac:dyDescent="0.2">
      <c r="A4378" s="93" t="s">
        <v>2937</v>
      </c>
      <c r="B4378" s="94" t="str">
        <f>IFERROR(VLOOKUP($A4378,HeadJournal!$A$1:$NTR$890,COLUMN(HeadJournal!B$1),0),"")</f>
        <v>720000589736</v>
      </c>
      <c r="C4378" s="94" t="str">
        <f>IFERROR(VLOOKUP($A4378,HeadJournal!$A$1:$NTR$890,COLUMN(HeadJournal!C$1),0),"")</f>
        <v>iHerb_AV CYG0792</v>
      </c>
      <c r="D4378" s="125" t="str">
        <f>IFERROR(VLOOKUP($A4378,HeadJournal!$A$1:$NTR$890,COLUMN(HeadJournal!D$1),0),"")</f>
        <v>Доставлен</v>
      </c>
      <c r="E4378" s="95">
        <f>IFERROR(VLOOKUP($A4378,HeadJournal!$A$1:$NTR$890,COLUMN(HeadJournal!G$1),0),"")</f>
        <v>45704</v>
      </c>
      <c r="F4378" s="95" t="str">
        <f t="shared" si="338"/>
        <v>2025 02</v>
      </c>
      <c r="G4378" s="97" t="s">
        <v>5</v>
      </c>
      <c r="H4378" s="161" t="s">
        <v>2558</v>
      </c>
      <c r="I4378" s="97" t="s">
        <v>2166</v>
      </c>
      <c r="J4378" s="97" t="s">
        <v>2559</v>
      </c>
      <c r="K4378" s="29">
        <v>32.29</v>
      </c>
      <c r="L4378" s="29">
        <v>-3.23</v>
      </c>
      <c r="M4378" s="30">
        <f>IFERROR(VLOOKUP($A4378,HeadJournal!$A$1:$J$890,COLUMN(HeadJournal!I$1),0)*($K4378+$L4378)/(SUMIF($A:$A,$A4378,$K:$K)+SUMIF($A:$A,$A4378,$L:$L)),0)</f>
        <v>-2.8028468985299386</v>
      </c>
      <c r="N4378" s="30">
        <f>IFERROR((VLOOKUP($A4378,HeadJournal!$A$1:$K$890,COLUMN(HeadJournal!K$1),0)-VLOOKUP($A4378,HeadJournal!$A$1:$K$890,COLUMN(HeadJournal!J$1),0))*($K4378+$L4378)/(SUMIF($A:$A,$A4378,$K:$K)+SUMIF($A:$A,$A4378,$L:$L)),0)</f>
        <v>-4.2305735596349962E-15</v>
      </c>
      <c r="O4378" s="30">
        <f>IFERROR((VLOOKUP($A4378,HeadJournal!$A$1:$L$890,COLUMN(HeadJournal!L$1),0)*($K4378+$L4378)/(SUMIF($A:$A,$A4378,$K:$K)+SUMIF($A:$A,$A4378,$L:$L)))/VLOOKUP($A4378,HeadJournal!$A$1:$L$890,COLUMN(HeadJournal!H$1),0),0)</f>
        <v>1.3412891458553804</v>
      </c>
      <c r="P4378" s="30">
        <f>IFERROR(SUM(K4378:O4378)*VLOOKUP($A4378,HeadJournal!$A$1:$L$890,COLUMN(HeadJournal!H$1),0),0)</f>
        <v>2853.4598931175183</v>
      </c>
      <c r="Q4378" s="29">
        <v>3800</v>
      </c>
      <c r="R4378" s="31">
        <v>45729</v>
      </c>
      <c r="S4378" s="31" t="s">
        <v>3121</v>
      </c>
      <c r="T4378" s="95" t="str">
        <f t="shared" si="339"/>
        <v>2025 03</v>
      </c>
      <c r="U4378" s="32">
        <f t="shared" si="336"/>
        <v>946.54010688248172</v>
      </c>
      <c r="V4378" s="22">
        <f t="shared" si="337"/>
        <v>0.33171663255737899</v>
      </c>
      <c r="X4378" s="33"/>
      <c r="Y4378" s="33"/>
    </row>
    <row r="4379" spans="1:25" x14ac:dyDescent="0.2">
      <c r="A4379" s="93" t="s">
        <v>2937</v>
      </c>
      <c r="B4379" s="94" t="str">
        <f>IFERROR(VLOOKUP($A4379,HeadJournal!$A$1:$NTR$890,COLUMN(HeadJournal!B$1),0),"")</f>
        <v>720000589736</v>
      </c>
      <c r="C4379" s="94" t="str">
        <f>IFERROR(VLOOKUP($A4379,HeadJournal!$A$1:$NTR$890,COLUMN(HeadJournal!C$1),0),"")</f>
        <v>iHerb_AV CYG0792</v>
      </c>
      <c r="D4379" s="125" t="str">
        <f>IFERROR(VLOOKUP($A4379,HeadJournal!$A$1:$NTR$890,COLUMN(HeadJournal!D$1),0),"")</f>
        <v>Доставлен</v>
      </c>
      <c r="E4379" s="95">
        <f>IFERROR(VLOOKUP($A4379,HeadJournal!$A$1:$NTR$890,COLUMN(HeadJournal!G$1),0),"")</f>
        <v>45704</v>
      </c>
      <c r="F4379" s="95" t="str">
        <f t="shared" si="338"/>
        <v>2025 02</v>
      </c>
      <c r="G4379" s="97" t="s">
        <v>5</v>
      </c>
      <c r="H4379" s="161" t="s">
        <v>2184</v>
      </c>
      <c r="I4379" s="97" t="s">
        <v>2005</v>
      </c>
      <c r="J4379" s="97" t="s">
        <v>2185</v>
      </c>
      <c r="K4379" s="29">
        <v>17.38</v>
      </c>
      <c r="L4379" s="29">
        <v>-1.7383333333333333</v>
      </c>
      <c r="M4379" s="30">
        <f>IFERROR(VLOOKUP($A4379,HeadJournal!$A$1:$J$890,COLUMN(HeadJournal!I$1),0)*($K4379+$L4379)/(SUMIF($A:$A,$A4379,$K:$K)+SUMIF($A:$A,$A4379,$L:$L)),0)</f>
        <v>-1.5086440779251817</v>
      </c>
      <c r="N4379" s="30">
        <f>IFERROR((VLOOKUP($A4379,HeadJournal!$A$1:$K$890,COLUMN(HeadJournal!K$1),0)-VLOOKUP($A4379,HeadJournal!$A$1:$K$890,COLUMN(HeadJournal!J$1),0))*($K4379+$L4379)/(SUMIF($A:$A,$A4379,$K:$K)+SUMIF($A:$A,$A4379,$L:$L)),0)</f>
        <v>-2.2771239307854119E-15</v>
      </c>
      <c r="O4379" s="30">
        <f>IFERROR((VLOOKUP($A4379,HeadJournal!$A$1:$L$890,COLUMN(HeadJournal!L$1),0)*($K4379+$L4379)/(SUMIF($A:$A,$A4379,$K:$K)+SUMIF($A:$A,$A4379,$L:$L)))/VLOOKUP($A4379,HeadJournal!$A$1:$L$890,COLUMN(HeadJournal!H$1),0),0)</f>
        <v>0.72195449838568182</v>
      </c>
      <c r="P4379" s="30">
        <f>IFERROR(SUM(K4379:O4379)*VLOOKUP($A4379,HeadJournal!$A$1:$L$890,COLUMN(HeadJournal!H$1),0),0)</f>
        <v>1535.8867341653997</v>
      </c>
      <c r="Q4379" s="29">
        <v>2180</v>
      </c>
      <c r="R4379" s="31">
        <v>45731</v>
      </c>
      <c r="S4379" s="31" t="s">
        <v>3121</v>
      </c>
      <c r="T4379" s="95" t="str">
        <f t="shared" si="339"/>
        <v>2025 03</v>
      </c>
      <c r="U4379" s="32">
        <f t="shared" si="336"/>
        <v>644.11326583460027</v>
      </c>
      <c r="V4379" s="22">
        <f t="shared" si="337"/>
        <v>0.41937549918654071</v>
      </c>
      <c r="X4379" s="33"/>
      <c r="Y4379" s="33"/>
    </row>
    <row r="4380" spans="1:25" x14ac:dyDescent="0.2">
      <c r="A4380" s="93" t="s">
        <v>2937</v>
      </c>
      <c r="B4380" s="94" t="str">
        <f>IFERROR(VLOOKUP($A4380,HeadJournal!$A$1:$NTR$890,COLUMN(HeadJournal!B$1),0),"")</f>
        <v>720000589736</v>
      </c>
      <c r="C4380" s="94" t="str">
        <f>IFERROR(VLOOKUP($A4380,HeadJournal!$A$1:$NTR$890,COLUMN(HeadJournal!C$1),0),"")</f>
        <v>iHerb_AV CYG0792</v>
      </c>
      <c r="D4380" s="125" t="str">
        <f>IFERROR(VLOOKUP($A4380,HeadJournal!$A$1:$NTR$890,COLUMN(HeadJournal!D$1),0),"")</f>
        <v>Доставлен</v>
      </c>
      <c r="E4380" s="95">
        <f>IFERROR(VLOOKUP($A4380,HeadJournal!$A$1:$NTR$890,COLUMN(HeadJournal!G$1),0),"")</f>
        <v>45704</v>
      </c>
      <c r="F4380" s="95" t="str">
        <f t="shared" si="338"/>
        <v>2025 02</v>
      </c>
      <c r="G4380" s="97" t="s">
        <v>5</v>
      </c>
      <c r="H4380" s="161" t="s">
        <v>2184</v>
      </c>
      <c r="I4380" s="97" t="s">
        <v>2005</v>
      </c>
      <c r="J4380" s="97" t="s">
        <v>2185</v>
      </c>
      <c r="K4380" s="29">
        <v>17.38</v>
      </c>
      <c r="L4380" s="29">
        <v>-1.7383333333333333</v>
      </c>
      <c r="M4380" s="30">
        <f>IFERROR(VLOOKUP($A4380,HeadJournal!$A$1:$J$890,COLUMN(HeadJournal!I$1),0)*($K4380+$L4380)/(SUMIF($A:$A,$A4380,$K:$K)+SUMIF($A:$A,$A4380,$L:$L)),0)</f>
        <v>-1.5086440779251817</v>
      </c>
      <c r="N4380" s="30">
        <f>IFERROR((VLOOKUP($A4380,HeadJournal!$A$1:$K$890,COLUMN(HeadJournal!K$1),0)-VLOOKUP($A4380,HeadJournal!$A$1:$K$890,COLUMN(HeadJournal!J$1),0))*($K4380+$L4380)/(SUMIF($A:$A,$A4380,$K:$K)+SUMIF($A:$A,$A4380,$L:$L)),0)</f>
        <v>-2.2771239307854119E-15</v>
      </c>
      <c r="O4380" s="30">
        <f>IFERROR((VLOOKUP($A4380,HeadJournal!$A$1:$L$890,COLUMN(HeadJournal!L$1),0)*($K4380+$L4380)/(SUMIF($A:$A,$A4380,$K:$K)+SUMIF($A:$A,$A4380,$L:$L)))/VLOOKUP($A4380,HeadJournal!$A$1:$L$890,COLUMN(HeadJournal!H$1),0),0)</f>
        <v>0.72195449838568182</v>
      </c>
      <c r="P4380" s="30">
        <f>IFERROR(SUM(K4380:O4380)*VLOOKUP($A4380,HeadJournal!$A$1:$L$890,COLUMN(HeadJournal!H$1),0),0)</f>
        <v>1535.8867341653997</v>
      </c>
      <c r="Q4380" s="29">
        <v>2180</v>
      </c>
      <c r="R4380" s="31">
        <v>45731</v>
      </c>
      <c r="S4380" s="31" t="s">
        <v>3121</v>
      </c>
      <c r="T4380" s="95" t="str">
        <f t="shared" si="339"/>
        <v>2025 03</v>
      </c>
      <c r="U4380" s="32">
        <f t="shared" si="336"/>
        <v>644.11326583460027</v>
      </c>
      <c r="V4380" s="22">
        <f t="shared" si="337"/>
        <v>0.41937549918654071</v>
      </c>
      <c r="X4380" s="33"/>
      <c r="Y4380" s="33"/>
    </row>
    <row r="4381" spans="1:25" x14ac:dyDescent="0.2">
      <c r="A4381" s="93" t="s">
        <v>2937</v>
      </c>
      <c r="B4381" s="94" t="str">
        <f>IFERROR(VLOOKUP($A4381,HeadJournal!$A$1:$NTR$890,COLUMN(HeadJournal!B$1),0),"")</f>
        <v>720000589736</v>
      </c>
      <c r="C4381" s="94" t="str">
        <f>IFERROR(VLOOKUP($A4381,HeadJournal!$A$1:$NTR$890,COLUMN(HeadJournal!C$1),0),"")</f>
        <v>iHerb_AV CYG0792</v>
      </c>
      <c r="D4381" s="125" t="str">
        <f>IFERROR(VLOOKUP($A4381,HeadJournal!$A$1:$NTR$890,COLUMN(HeadJournal!D$1),0),"")</f>
        <v>Доставлен</v>
      </c>
      <c r="E4381" s="95">
        <f>IFERROR(VLOOKUP($A4381,HeadJournal!$A$1:$NTR$890,COLUMN(HeadJournal!G$1),0),"")</f>
        <v>45704</v>
      </c>
      <c r="F4381" s="95" t="str">
        <f t="shared" si="338"/>
        <v>2025 02</v>
      </c>
      <c r="G4381" s="97" t="s">
        <v>5</v>
      </c>
      <c r="H4381" s="161" t="s">
        <v>2184</v>
      </c>
      <c r="I4381" s="97" t="s">
        <v>2005</v>
      </c>
      <c r="J4381" s="97" t="s">
        <v>2185</v>
      </c>
      <c r="K4381" s="29">
        <v>17.38</v>
      </c>
      <c r="L4381" s="29">
        <v>-1.7383333333333333</v>
      </c>
      <c r="M4381" s="30">
        <f>IFERROR(VLOOKUP($A4381,HeadJournal!$A$1:$J$890,COLUMN(HeadJournal!I$1),0)*($K4381+$L4381)/(SUMIF($A:$A,$A4381,$K:$K)+SUMIF($A:$A,$A4381,$L:$L)),0)</f>
        <v>-1.5086440779251817</v>
      </c>
      <c r="N4381" s="30">
        <f>IFERROR((VLOOKUP($A4381,HeadJournal!$A$1:$K$890,COLUMN(HeadJournal!K$1),0)-VLOOKUP($A4381,HeadJournal!$A$1:$K$890,COLUMN(HeadJournal!J$1),0))*($K4381+$L4381)/(SUMIF($A:$A,$A4381,$K:$K)+SUMIF($A:$A,$A4381,$L:$L)),0)</f>
        <v>-2.2771239307854119E-15</v>
      </c>
      <c r="O4381" s="30">
        <f>IFERROR((VLOOKUP($A4381,HeadJournal!$A$1:$L$890,COLUMN(HeadJournal!L$1),0)*($K4381+$L4381)/(SUMIF($A:$A,$A4381,$K:$K)+SUMIF($A:$A,$A4381,$L:$L)))/VLOOKUP($A4381,HeadJournal!$A$1:$L$890,COLUMN(HeadJournal!H$1),0),0)</f>
        <v>0.72195449838568182</v>
      </c>
      <c r="P4381" s="30">
        <f>IFERROR(SUM(K4381:O4381)*VLOOKUP($A4381,HeadJournal!$A$1:$L$890,COLUMN(HeadJournal!H$1),0),0)</f>
        <v>1535.8867341653997</v>
      </c>
      <c r="Q4381" s="29">
        <v>2180</v>
      </c>
      <c r="R4381" s="31">
        <v>45731</v>
      </c>
      <c r="S4381" s="31" t="s">
        <v>3121</v>
      </c>
      <c r="T4381" s="95" t="str">
        <f t="shared" si="339"/>
        <v>2025 03</v>
      </c>
      <c r="U4381" s="32">
        <f t="shared" si="336"/>
        <v>644.11326583460027</v>
      </c>
      <c r="V4381" s="22">
        <f t="shared" si="337"/>
        <v>0.41937549918654071</v>
      </c>
      <c r="X4381" s="33"/>
      <c r="Y4381" s="33"/>
    </row>
    <row r="4382" spans="1:25" x14ac:dyDescent="0.2">
      <c r="A4382" s="93" t="s">
        <v>2937</v>
      </c>
      <c r="B4382" s="94" t="str">
        <f>IFERROR(VLOOKUP($A4382,HeadJournal!$A$1:$NTR$890,COLUMN(HeadJournal!B$1),0),"")</f>
        <v>720000589736</v>
      </c>
      <c r="C4382" s="94" t="str">
        <f>IFERROR(VLOOKUP($A4382,HeadJournal!$A$1:$NTR$890,COLUMN(HeadJournal!C$1),0),"")</f>
        <v>iHerb_AV CYG0792</v>
      </c>
      <c r="D4382" s="125" t="str">
        <f>IFERROR(VLOOKUP($A4382,HeadJournal!$A$1:$NTR$890,COLUMN(HeadJournal!D$1),0),"")</f>
        <v>Доставлен</v>
      </c>
      <c r="E4382" s="95">
        <f>IFERROR(VLOOKUP($A4382,HeadJournal!$A$1:$NTR$890,COLUMN(HeadJournal!G$1),0),"")</f>
        <v>45704</v>
      </c>
      <c r="F4382" s="95" t="str">
        <f t="shared" si="338"/>
        <v>2025 02</v>
      </c>
      <c r="G4382" s="97" t="s">
        <v>5</v>
      </c>
      <c r="H4382" s="161" t="s">
        <v>2184</v>
      </c>
      <c r="I4382" s="97" t="s">
        <v>2005</v>
      </c>
      <c r="J4382" s="97" t="s">
        <v>2185</v>
      </c>
      <c r="K4382" s="29">
        <v>17.38</v>
      </c>
      <c r="L4382" s="29">
        <v>-1.7383333333333333</v>
      </c>
      <c r="M4382" s="30">
        <f>IFERROR(VLOOKUP($A4382,HeadJournal!$A$1:$J$890,COLUMN(HeadJournal!I$1),0)*($K4382+$L4382)/(SUMIF($A:$A,$A4382,$K:$K)+SUMIF($A:$A,$A4382,$L:$L)),0)</f>
        <v>-1.5086440779251817</v>
      </c>
      <c r="N4382" s="30">
        <f>IFERROR((VLOOKUP($A4382,HeadJournal!$A$1:$K$890,COLUMN(HeadJournal!K$1),0)-VLOOKUP($A4382,HeadJournal!$A$1:$K$890,COLUMN(HeadJournal!J$1),0))*($K4382+$L4382)/(SUMIF($A:$A,$A4382,$K:$K)+SUMIF($A:$A,$A4382,$L:$L)),0)</f>
        <v>-2.2771239307854119E-15</v>
      </c>
      <c r="O4382" s="30">
        <f>IFERROR((VLOOKUP($A4382,HeadJournal!$A$1:$L$890,COLUMN(HeadJournal!L$1),0)*($K4382+$L4382)/(SUMIF($A:$A,$A4382,$K:$K)+SUMIF($A:$A,$A4382,$L:$L)))/VLOOKUP($A4382,HeadJournal!$A$1:$L$890,COLUMN(HeadJournal!H$1),0),0)</f>
        <v>0.72195449838568182</v>
      </c>
      <c r="P4382" s="30">
        <f>IFERROR(SUM(K4382:O4382)*VLOOKUP($A4382,HeadJournal!$A$1:$L$890,COLUMN(HeadJournal!H$1),0),0)</f>
        <v>1535.8867341653997</v>
      </c>
      <c r="Q4382" s="29">
        <v>2180</v>
      </c>
      <c r="R4382" s="31">
        <v>45731</v>
      </c>
      <c r="S4382" s="31" t="s">
        <v>3121</v>
      </c>
      <c r="T4382" s="95" t="str">
        <f t="shared" si="339"/>
        <v>2025 03</v>
      </c>
      <c r="U4382" s="32">
        <f t="shared" si="336"/>
        <v>644.11326583460027</v>
      </c>
      <c r="V4382" s="22">
        <f t="shared" si="337"/>
        <v>0.41937549918654071</v>
      </c>
      <c r="X4382" s="33"/>
      <c r="Y4382" s="33"/>
    </row>
    <row r="4383" spans="1:25" x14ac:dyDescent="0.2">
      <c r="A4383" s="93" t="s">
        <v>2937</v>
      </c>
      <c r="B4383" s="94" t="str">
        <f>IFERROR(VLOOKUP($A4383,HeadJournal!$A$1:$NTR$890,COLUMN(HeadJournal!B$1),0),"")</f>
        <v>720000589736</v>
      </c>
      <c r="C4383" s="94" t="str">
        <f>IFERROR(VLOOKUP($A4383,HeadJournal!$A$1:$NTR$890,COLUMN(HeadJournal!C$1),0),"")</f>
        <v>iHerb_AV CYG0792</v>
      </c>
      <c r="D4383" s="125" t="str">
        <f>IFERROR(VLOOKUP($A4383,HeadJournal!$A$1:$NTR$890,COLUMN(HeadJournal!D$1),0),"")</f>
        <v>Доставлен</v>
      </c>
      <c r="E4383" s="95">
        <f>IFERROR(VLOOKUP($A4383,HeadJournal!$A$1:$NTR$890,COLUMN(HeadJournal!G$1),0),"")</f>
        <v>45704</v>
      </c>
      <c r="F4383" s="95" t="str">
        <f t="shared" si="338"/>
        <v>2025 02</v>
      </c>
      <c r="G4383" s="97" t="s">
        <v>5</v>
      </c>
      <c r="H4383" s="161" t="s">
        <v>2184</v>
      </c>
      <c r="I4383" s="97" t="s">
        <v>2005</v>
      </c>
      <c r="J4383" s="97" t="s">
        <v>2185</v>
      </c>
      <c r="K4383" s="29">
        <v>17.38</v>
      </c>
      <c r="L4383" s="29">
        <v>-1.7383333333333333</v>
      </c>
      <c r="M4383" s="30">
        <f>IFERROR(VLOOKUP($A4383,HeadJournal!$A$1:$J$890,COLUMN(HeadJournal!I$1),0)*($K4383+$L4383)/(SUMIF($A:$A,$A4383,$K:$K)+SUMIF($A:$A,$A4383,$L:$L)),0)</f>
        <v>-1.5086440779251817</v>
      </c>
      <c r="N4383" s="30">
        <f>IFERROR((VLOOKUP($A4383,HeadJournal!$A$1:$K$890,COLUMN(HeadJournal!K$1),0)-VLOOKUP($A4383,HeadJournal!$A$1:$K$890,COLUMN(HeadJournal!J$1),0))*($K4383+$L4383)/(SUMIF($A:$A,$A4383,$K:$K)+SUMIF($A:$A,$A4383,$L:$L)),0)</f>
        <v>-2.2771239307854119E-15</v>
      </c>
      <c r="O4383" s="30">
        <f>IFERROR((VLOOKUP($A4383,HeadJournal!$A$1:$L$890,COLUMN(HeadJournal!L$1),0)*($K4383+$L4383)/(SUMIF($A:$A,$A4383,$K:$K)+SUMIF($A:$A,$A4383,$L:$L)))/VLOOKUP($A4383,HeadJournal!$A$1:$L$890,COLUMN(HeadJournal!H$1),0),0)</f>
        <v>0.72195449838568182</v>
      </c>
      <c r="P4383" s="30">
        <f>IFERROR(SUM(K4383:O4383)*VLOOKUP($A4383,HeadJournal!$A$1:$L$890,COLUMN(HeadJournal!H$1),0),0)</f>
        <v>1535.8867341653997</v>
      </c>
      <c r="Q4383" s="29">
        <v>2180</v>
      </c>
      <c r="R4383" s="31">
        <v>45731</v>
      </c>
      <c r="S4383" s="31" t="s">
        <v>3121</v>
      </c>
      <c r="T4383" s="95" t="str">
        <f t="shared" si="339"/>
        <v>2025 03</v>
      </c>
      <c r="U4383" s="32">
        <f t="shared" si="336"/>
        <v>644.11326583460027</v>
      </c>
      <c r="V4383" s="22">
        <f t="shared" si="337"/>
        <v>0.41937549918654071</v>
      </c>
      <c r="X4383" s="33"/>
      <c r="Y4383" s="33"/>
    </row>
    <row r="4384" spans="1:25" x14ac:dyDescent="0.2">
      <c r="A4384" s="93" t="s">
        <v>2937</v>
      </c>
      <c r="B4384" s="94" t="str">
        <f>IFERROR(VLOOKUP($A4384,HeadJournal!$A$1:$NTR$890,COLUMN(HeadJournal!B$1),0),"")</f>
        <v>720000589736</v>
      </c>
      <c r="C4384" s="94" t="str">
        <f>IFERROR(VLOOKUP($A4384,HeadJournal!$A$1:$NTR$890,COLUMN(HeadJournal!C$1),0),"")</f>
        <v>iHerb_AV CYG0792</v>
      </c>
      <c r="D4384" s="125" t="str">
        <f>IFERROR(VLOOKUP($A4384,HeadJournal!$A$1:$NTR$890,COLUMN(HeadJournal!D$1),0),"")</f>
        <v>Доставлен</v>
      </c>
      <c r="E4384" s="95">
        <f>IFERROR(VLOOKUP($A4384,HeadJournal!$A$1:$NTR$890,COLUMN(HeadJournal!G$1),0),"")</f>
        <v>45704</v>
      </c>
      <c r="F4384" s="95" t="str">
        <f t="shared" si="338"/>
        <v>2025 02</v>
      </c>
      <c r="G4384" s="97" t="s">
        <v>5</v>
      </c>
      <c r="H4384" s="161" t="s">
        <v>2184</v>
      </c>
      <c r="I4384" s="97" t="s">
        <v>2005</v>
      </c>
      <c r="J4384" s="97" t="s">
        <v>2185</v>
      </c>
      <c r="K4384" s="29">
        <v>17.38</v>
      </c>
      <c r="L4384" s="29">
        <v>-1.7383333333333333</v>
      </c>
      <c r="M4384" s="30">
        <f>IFERROR(VLOOKUP($A4384,HeadJournal!$A$1:$J$890,COLUMN(HeadJournal!I$1),0)*($K4384+$L4384)/(SUMIF($A:$A,$A4384,$K:$K)+SUMIF($A:$A,$A4384,$L:$L)),0)</f>
        <v>-1.5086440779251817</v>
      </c>
      <c r="N4384" s="30">
        <f>IFERROR((VLOOKUP($A4384,HeadJournal!$A$1:$K$890,COLUMN(HeadJournal!K$1),0)-VLOOKUP($A4384,HeadJournal!$A$1:$K$890,COLUMN(HeadJournal!J$1),0))*($K4384+$L4384)/(SUMIF($A:$A,$A4384,$K:$K)+SUMIF($A:$A,$A4384,$L:$L)),0)</f>
        <v>-2.2771239307854119E-15</v>
      </c>
      <c r="O4384" s="30">
        <f>IFERROR((VLOOKUP($A4384,HeadJournal!$A$1:$L$890,COLUMN(HeadJournal!L$1),0)*($K4384+$L4384)/(SUMIF($A:$A,$A4384,$K:$K)+SUMIF($A:$A,$A4384,$L:$L)))/VLOOKUP($A4384,HeadJournal!$A$1:$L$890,COLUMN(HeadJournal!H$1),0),0)</f>
        <v>0.72195449838568182</v>
      </c>
      <c r="P4384" s="30">
        <f>IFERROR(SUM(K4384:O4384)*VLOOKUP($A4384,HeadJournal!$A$1:$L$890,COLUMN(HeadJournal!H$1),0),0)</f>
        <v>1535.8867341653997</v>
      </c>
      <c r="Q4384" s="29">
        <v>2100</v>
      </c>
      <c r="R4384" s="31">
        <v>45731</v>
      </c>
      <c r="S4384" s="31" t="s">
        <v>3121</v>
      </c>
      <c r="T4384" s="95" t="str">
        <f t="shared" si="339"/>
        <v>2025 03</v>
      </c>
      <c r="U4384" s="32">
        <f t="shared" si="336"/>
        <v>564.11326583460027</v>
      </c>
      <c r="V4384" s="22">
        <f t="shared" si="337"/>
        <v>0.36728832490446583</v>
      </c>
      <c r="X4384" s="33"/>
      <c r="Y4384" s="33"/>
    </row>
    <row r="4385" spans="1:25" x14ac:dyDescent="0.2">
      <c r="A4385" s="93" t="s">
        <v>2954</v>
      </c>
      <c r="B4385" s="94" t="str">
        <f>IFERROR(VLOOKUP($A4385,HeadJournal!$A$1:$NTR$890,COLUMN(HeadJournal!B$1),0),"")</f>
        <v>720000607055</v>
      </c>
      <c r="C4385" s="94" t="str">
        <f>IFERROR(VLOOKUP($A4385,HeadJournal!$A$1:$NTR$890,COLUMN(HeadJournal!C$1),0),"")</f>
        <v>iHerb_MH DLE7202</v>
      </c>
      <c r="D4385" s="125" t="str">
        <f>IFERROR(VLOOKUP($A4385,HeadJournal!$A$1:$NTR$890,COLUMN(HeadJournal!D$1),0),"")</f>
        <v>Доставлен</v>
      </c>
      <c r="E4385" s="95">
        <f>IFERROR(VLOOKUP($A4385,HeadJournal!$A$1:$NTR$890,COLUMN(HeadJournal!G$1),0),"")</f>
        <v>45721</v>
      </c>
      <c r="F4385" s="95" t="str">
        <f t="shared" si="338"/>
        <v>2025 03</v>
      </c>
      <c r="G4385" s="97" t="s">
        <v>5</v>
      </c>
      <c r="H4385" s="161" t="s">
        <v>2034</v>
      </c>
      <c r="I4385" s="97" t="s">
        <v>2008</v>
      </c>
      <c r="J4385" s="97" t="s">
        <v>2942</v>
      </c>
      <c r="K4385" s="29">
        <v>24.7</v>
      </c>
      <c r="L4385" s="29">
        <v>-2.4700000000000002</v>
      </c>
      <c r="M4385" s="30">
        <f>IFERROR(VLOOKUP($A4385,HeadJournal!$A$1:$J$890,COLUMN(HeadJournal!I$1),0)*($K4385+$L4385)/(SUMIF($A:$A,$A4385,$K:$K)+SUMIF($A:$A,$A4385,$L:$L)),0)</f>
        <v>-2.0611379604002562</v>
      </c>
      <c r="N4385" s="30">
        <f>IFERROR((VLOOKUP($A4385,HeadJournal!$A$1:$K$890,COLUMN(HeadJournal!K$1),0)-VLOOKUP($A4385,HeadJournal!$A$1:$K$890,COLUMN(HeadJournal!J$1),0))*($K4385+$L4385)/(SUMIF($A:$A,$A4385,$K:$K)+SUMIF($A:$A,$A4385,$L:$L)),0)</f>
        <v>6.7257249375972029E-15</v>
      </c>
      <c r="O4385" s="30">
        <f>IFERROR((VLOOKUP($A4385,HeadJournal!$A$1:$L$890,COLUMN(HeadJournal!L$1),0)*($K4385+$L4385)/(SUMIF($A:$A,$A4385,$K:$K)+SUMIF($A:$A,$A4385,$L:$L)))/VLOOKUP($A4385,HeadJournal!$A$1:$L$890,COLUMN(HeadJournal!H$1),0),0)</f>
        <v>0.5491987379335036</v>
      </c>
      <c r="P4385" s="30">
        <f>IFERROR(SUM(K4385:O4385)*VLOOKUP($A4385,HeadJournal!$A$1:$L$890,COLUMN(HeadJournal!H$1),0),0)</f>
        <v>2071.0780407707061</v>
      </c>
      <c r="Q4385" s="29">
        <v>3000</v>
      </c>
      <c r="R4385" s="31">
        <v>45749</v>
      </c>
      <c r="S4385" s="31" t="s">
        <v>3121</v>
      </c>
      <c r="T4385" s="95" t="str">
        <f t="shared" si="339"/>
        <v>2025 04</v>
      </c>
      <c r="U4385" s="32">
        <f t="shared" si="336"/>
        <v>928.92195922929386</v>
      </c>
      <c r="V4385" s="22">
        <f t="shared" si="337"/>
        <v>0.44852098324774664</v>
      </c>
      <c r="X4385" s="33"/>
      <c r="Y4385" s="33"/>
    </row>
    <row r="4386" spans="1:25" x14ac:dyDescent="0.2">
      <c r="A4386" s="93" t="s">
        <v>2954</v>
      </c>
      <c r="B4386" s="94" t="str">
        <f>IFERROR(VLOOKUP($A4386,HeadJournal!$A$1:$NTR$890,COLUMN(HeadJournal!B$1),0),"")</f>
        <v>720000607055</v>
      </c>
      <c r="C4386" s="94" t="str">
        <f>IFERROR(VLOOKUP($A4386,HeadJournal!$A$1:$NTR$890,COLUMN(HeadJournal!C$1),0),"")</f>
        <v>iHerb_MH DLE7202</v>
      </c>
      <c r="D4386" s="125" t="str">
        <f>IFERROR(VLOOKUP($A4386,HeadJournal!$A$1:$NTR$890,COLUMN(HeadJournal!D$1),0),"")</f>
        <v>Доставлен</v>
      </c>
      <c r="E4386" s="95">
        <f>IFERROR(VLOOKUP($A4386,HeadJournal!$A$1:$NTR$890,COLUMN(HeadJournal!G$1),0),"")</f>
        <v>45721</v>
      </c>
      <c r="F4386" s="95" t="str">
        <f t="shared" si="338"/>
        <v>2025 03</v>
      </c>
      <c r="G4386" s="97" t="s">
        <v>5</v>
      </c>
      <c r="H4386" s="161" t="s">
        <v>2943</v>
      </c>
      <c r="I4386" s="97" t="s">
        <v>2207</v>
      </c>
      <c r="J4386" s="97" t="s">
        <v>2944</v>
      </c>
      <c r="K4386" s="29">
        <v>42.92</v>
      </c>
      <c r="L4386" s="29">
        <v>-4.29</v>
      </c>
      <c r="M4386" s="30">
        <f>IFERROR(VLOOKUP($A4386,HeadJournal!$A$1:$J$890,COLUMN(HeadJournal!I$1),0)*($K4386+$L4386)/(SUMIF($A:$A,$A4386,$K:$K)+SUMIF($A:$A,$A4386,$L:$L)),0)</f>
        <v>-3.5817255695124564</v>
      </c>
      <c r="N4386" s="30">
        <f>IFERROR((VLOOKUP($A4386,HeadJournal!$A$1:$K$890,COLUMN(HeadJournal!K$1),0)-VLOOKUP($A4386,HeadJournal!$A$1:$K$890,COLUMN(HeadJournal!J$1),0))*($K4386+$L4386)/(SUMIF($A:$A,$A4386,$K:$K)+SUMIF($A:$A,$A4386,$L:$L)),0)</f>
        <v>1.1687573294618981E-14</v>
      </c>
      <c r="O4386" s="30">
        <f>IFERROR((VLOOKUP($A4386,HeadJournal!$A$1:$L$890,COLUMN(HeadJournal!L$1),0)*($K4386+$L4386)/(SUMIF($A:$A,$A4386,$K:$K)+SUMIF($A:$A,$A4386,$L:$L)))/VLOOKUP($A4386,HeadJournal!$A$1:$L$890,COLUMN(HeadJournal!H$1),0),0)</f>
        <v>0.95436559812736144</v>
      </c>
      <c r="P4386" s="30">
        <f>IFERROR(SUM(K4386:O4386)*VLOOKUP($A4386,HeadJournal!$A$1:$L$890,COLUMN(HeadJournal!H$1),0),0)</f>
        <v>3598.9988625718565</v>
      </c>
      <c r="Q4386" s="29">
        <v>4800</v>
      </c>
      <c r="R4386" s="31">
        <v>45749</v>
      </c>
      <c r="S4386" s="31" t="s">
        <v>3121</v>
      </c>
      <c r="T4386" s="95" t="str">
        <f t="shared" si="339"/>
        <v>2025 04</v>
      </c>
      <c r="U4386" s="32">
        <f t="shared" si="336"/>
        <v>1201.0011374281435</v>
      </c>
      <c r="V4386" s="22">
        <f t="shared" si="337"/>
        <v>0.33370422811690026</v>
      </c>
      <c r="X4386" s="33"/>
      <c r="Y4386" s="33"/>
    </row>
    <row r="4387" spans="1:25" x14ac:dyDescent="0.2">
      <c r="A4387" s="93" t="s">
        <v>2954</v>
      </c>
      <c r="B4387" s="94" t="str">
        <f>IFERROR(VLOOKUP($A4387,HeadJournal!$A$1:$NTR$890,COLUMN(HeadJournal!B$1),0),"")</f>
        <v>720000607055</v>
      </c>
      <c r="C4387" s="94" t="str">
        <f>IFERROR(VLOOKUP($A4387,HeadJournal!$A$1:$NTR$890,COLUMN(HeadJournal!C$1),0),"")</f>
        <v>iHerb_MH DLE7202</v>
      </c>
      <c r="D4387" s="125" t="str">
        <f>IFERROR(VLOOKUP($A4387,HeadJournal!$A$1:$NTR$890,COLUMN(HeadJournal!D$1),0),"")</f>
        <v>Доставлен</v>
      </c>
      <c r="E4387" s="95">
        <f>IFERROR(VLOOKUP($A4387,HeadJournal!$A$1:$NTR$890,COLUMN(HeadJournal!G$1),0),"")</f>
        <v>45721</v>
      </c>
      <c r="F4387" s="95" t="str">
        <f t="shared" si="338"/>
        <v>2025 03</v>
      </c>
      <c r="G4387" s="97" t="s">
        <v>5</v>
      </c>
      <c r="H4387" s="161" t="s">
        <v>2945</v>
      </c>
      <c r="I4387" s="97" t="s">
        <v>2946</v>
      </c>
      <c r="J4387" s="97" t="s">
        <v>2947</v>
      </c>
      <c r="K4387" s="29">
        <v>8.1</v>
      </c>
      <c r="L4387" s="29">
        <v>-0.81</v>
      </c>
      <c r="M4387" s="30">
        <f>IFERROR(VLOOKUP($A4387,HeadJournal!$A$1:$J$890,COLUMN(HeadJournal!I$1),0)*($K4387+$L4387)/(SUMIF($A:$A,$A4387,$K:$K)+SUMIF($A:$A,$A4387,$L:$L)),0)</f>
        <v>-0.6759197360017033</v>
      </c>
      <c r="N4387" s="30">
        <f>IFERROR((VLOOKUP($A4387,HeadJournal!$A$1:$K$890,COLUMN(HeadJournal!K$1),0)-VLOOKUP($A4387,HeadJournal!$A$1:$K$890,COLUMN(HeadJournal!J$1),0))*($K4387+$L4387)/(SUMIF($A:$A,$A4387,$K:$K)+SUMIF($A:$A,$A4387,$L:$L)),0)</f>
        <v>2.2056021050419972E-15</v>
      </c>
      <c r="O4387" s="30">
        <f>IFERROR((VLOOKUP($A4387,HeadJournal!$A$1:$L$890,COLUMN(HeadJournal!L$1),0)*($K4387+$L4387)/(SUMIF($A:$A,$A4387,$K:$K)+SUMIF($A:$A,$A4387,$L:$L)))/VLOOKUP($A4387,HeadJournal!$A$1:$L$890,COLUMN(HeadJournal!H$1),0),0)</f>
        <v>0.1801016104154404</v>
      </c>
      <c r="P4387" s="30">
        <f>IFERROR(SUM(K4387:O4387)*VLOOKUP($A4387,HeadJournal!$A$1:$L$890,COLUMN(HeadJournal!H$1),0),0)</f>
        <v>679.17943847136496</v>
      </c>
      <c r="Q4387" s="29"/>
      <c r="R4387" s="31"/>
      <c r="S4387" s="31"/>
      <c r="T4387" s="95" t="str">
        <f t="shared" si="339"/>
        <v/>
      </c>
      <c r="U4387" s="32">
        <f t="shared" si="336"/>
        <v>-679.17943847136496</v>
      </c>
      <c r="V4387" s="22" t="str">
        <f t="shared" si="337"/>
        <v/>
      </c>
      <c r="X4387" s="33"/>
      <c r="Y4387" s="33"/>
    </row>
    <row r="4388" spans="1:25" x14ac:dyDescent="0.2">
      <c r="A4388" s="93" t="s">
        <v>2954</v>
      </c>
      <c r="B4388" s="94" t="str">
        <f>IFERROR(VLOOKUP($A4388,HeadJournal!$A$1:$NTR$890,COLUMN(HeadJournal!B$1),0),"")</f>
        <v>720000607055</v>
      </c>
      <c r="C4388" s="94" t="str">
        <f>IFERROR(VLOOKUP($A4388,HeadJournal!$A$1:$NTR$890,COLUMN(HeadJournal!C$1),0),"")</f>
        <v>iHerb_MH DLE7202</v>
      </c>
      <c r="D4388" s="125" t="str">
        <f>IFERROR(VLOOKUP($A4388,HeadJournal!$A$1:$NTR$890,COLUMN(HeadJournal!D$1),0),"")</f>
        <v>Доставлен</v>
      </c>
      <c r="E4388" s="95">
        <f>IFERROR(VLOOKUP($A4388,HeadJournal!$A$1:$NTR$890,COLUMN(HeadJournal!G$1),0),"")</f>
        <v>45721</v>
      </c>
      <c r="F4388" s="95" t="str">
        <f t="shared" si="338"/>
        <v>2025 03</v>
      </c>
      <c r="G4388" s="97" t="s">
        <v>5</v>
      </c>
      <c r="H4388" s="161" t="s">
        <v>2810</v>
      </c>
      <c r="I4388" s="97" t="s">
        <v>2569</v>
      </c>
      <c r="J4388" s="97" t="s">
        <v>2811</v>
      </c>
      <c r="K4388" s="29">
        <v>16.239999999999998</v>
      </c>
      <c r="L4388" s="29">
        <v>-3.25</v>
      </c>
      <c r="M4388" s="30">
        <f>IFERROR(VLOOKUP($A4388,HeadJournal!$A$1:$J$890,COLUMN(HeadJournal!I$1),0)*($K4388+$L4388)/(SUMIF($A:$A,$A4388,$K:$K)+SUMIF($A:$A,$A4388,$L:$L)),0)</f>
        <v>-1.2044166489248458</v>
      </c>
      <c r="N4388" s="30">
        <f>IFERROR((VLOOKUP($A4388,HeadJournal!$A$1:$K$890,COLUMN(HeadJournal!K$1),0)-VLOOKUP($A4388,HeadJournal!$A$1:$K$890,COLUMN(HeadJournal!J$1),0))*($K4388+$L4388)/(SUMIF($A:$A,$A4388,$K:$K)+SUMIF($A:$A,$A4388,$L:$L)),0)</f>
        <v>3.9301469608361515E-15</v>
      </c>
      <c r="O4388" s="30">
        <f>IFERROR((VLOOKUP($A4388,HeadJournal!$A$1:$L$890,COLUMN(HeadJournal!L$1),0)*($K4388+$L4388)/(SUMIF($A:$A,$A4388,$K:$K)+SUMIF($A:$A,$A4388,$L:$L)))/VLOOKUP($A4388,HeadJournal!$A$1:$L$890,COLUMN(HeadJournal!H$1),0),0)</f>
        <v>0.32092179962915929</v>
      </c>
      <c r="P4388" s="30">
        <f>IFERROR(SUM(K4388:O4388)*VLOOKUP($A4388,HeadJournal!$A$1:$L$890,COLUMN(HeadJournal!H$1),0),0)</f>
        <v>1210.2250899510329</v>
      </c>
      <c r="Q4388" s="29">
        <v>2200</v>
      </c>
      <c r="R4388" s="31">
        <v>45749</v>
      </c>
      <c r="S4388" s="31" t="s">
        <v>3121</v>
      </c>
      <c r="T4388" s="95" t="str">
        <f t="shared" si="339"/>
        <v>2025 04</v>
      </c>
      <c r="U4388" s="32">
        <f t="shared" si="336"/>
        <v>989.77491004896706</v>
      </c>
      <c r="V4388" s="22">
        <f t="shared" si="337"/>
        <v>0.81784365426518668</v>
      </c>
      <c r="X4388" s="33"/>
      <c r="Y4388" s="33"/>
    </row>
    <row r="4389" spans="1:25" x14ac:dyDescent="0.2">
      <c r="A4389" s="93" t="s">
        <v>2954</v>
      </c>
      <c r="B4389" s="94" t="str">
        <f>IFERROR(VLOOKUP($A4389,HeadJournal!$A$1:$NTR$890,COLUMN(HeadJournal!B$1),0),"")</f>
        <v>720000607055</v>
      </c>
      <c r="C4389" s="94" t="str">
        <f>IFERROR(VLOOKUP($A4389,HeadJournal!$A$1:$NTR$890,COLUMN(HeadJournal!C$1),0),"")</f>
        <v>iHerb_MH DLE7202</v>
      </c>
      <c r="D4389" s="125" t="str">
        <f>IFERROR(VLOOKUP($A4389,HeadJournal!$A$1:$NTR$890,COLUMN(HeadJournal!D$1),0),"")</f>
        <v>Доставлен</v>
      </c>
      <c r="E4389" s="95">
        <f>IFERROR(VLOOKUP($A4389,HeadJournal!$A$1:$NTR$890,COLUMN(HeadJournal!G$1),0),"")</f>
        <v>45721</v>
      </c>
      <c r="F4389" s="95" t="str">
        <f t="shared" si="338"/>
        <v>2025 03</v>
      </c>
      <c r="G4389" s="97" t="s">
        <v>5</v>
      </c>
      <c r="H4389" s="161" t="s">
        <v>2808</v>
      </c>
      <c r="I4389" s="97" t="s">
        <v>2005</v>
      </c>
      <c r="J4389" s="97" t="s">
        <v>2809</v>
      </c>
      <c r="K4389" s="29">
        <v>21.74</v>
      </c>
      <c r="L4389" s="29">
        <v>-2.17</v>
      </c>
      <c r="M4389" s="30">
        <f>IFERROR(VLOOKUP($A4389,HeadJournal!$A$1:$J$890,COLUMN(HeadJournal!I$1),0)*($K4389+$L4389)/(SUMIF($A:$A,$A4389,$K:$K)+SUMIF($A:$A,$A4389,$L:$L)),0)</f>
        <v>-1.8145060677027898</v>
      </c>
      <c r="N4389" s="30">
        <f>IFERROR((VLOOKUP($A4389,HeadJournal!$A$1:$K$890,COLUMN(HeadJournal!K$1),0)-VLOOKUP($A4389,HeadJournal!$A$1:$K$890,COLUMN(HeadJournal!J$1),0))*($K4389+$L4389)/(SUMIF($A:$A,$A4389,$K:$K)+SUMIF($A:$A,$A4389,$L:$L)),0)</f>
        <v>5.9209373382265973E-15</v>
      </c>
      <c r="O4389" s="30">
        <f>IFERROR((VLOOKUP($A4389,HeadJournal!$A$1:$L$890,COLUMN(HeadJournal!L$1),0)*($K4389+$L4389)/(SUMIF($A:$A,$A4389,$K:$K)+SUMIF($A:$A,$A4389,$L:$L)))/VLOOKUP($A4389,HeadJournal!$A$1:$L$890,COLUMN(HeadJournal!H$1),0),0)</f>
        <v>0.48348264963376808</v>
      </c>
      <c r="P4389" s="30">
        <f>IFERROR(SUM(K4389:O4389)*VLOOKUP($A4389,HeadJournal!$A$1:$L$890,COLUMN(HeadJournal!H$1),0),0)</f>
        <v>1823.2567367468607</v>
      </c>
      <c r="Q4389" s="29">
        <v>2800</v>
      </c>
      <c r="R4389" s="31">
        <v>45749</v>
      </c>
      <c r="S4389" s="31" t="s">
        <v>3121</v>
      </c>
      <c r="T4389" s="95" t="str">
        <f t="shared" si="339"/>
        <v>2025 04</v>
      </c>
      <c r="U4389" s="32">
        <f t="shared" si="336"/>
        <v>976.74326325313928</v>
      </c>
      <c r="V4389" s="22">
        <f t="shared" si="337"/>
        <v>0.53571350845295107</v>
      </c>
      <c r="X4389" s="33"/>
      <c r="Y4389" s="33"/>
    </row>
    <row r="4390" spans="1:25" x14ac:dyDescent="0.2">
      <c r="A4390" s="93" t="s">
        <v>2954</v>
      </c>
      <c r="B4390" s="94" t="str">
        <f>IFERROR(VLOOKUP($A4390,HeadJournal!$A$1:$NTR$890,COLUMN(HeadJournal!B$1),0),"")</f>
        <v>720000607055</v>
      </c>
      <c r="C4390" s="94" t="str">
        <f>IFERROR(VLOOKUP($A4390,HeadJournal!$A$1:$NTR$890,COLUMN(HeadJournal!C$1),0),"")</f>
        <v>iHerb_MH DLE7202</v>
      </c>
      <c r="D4390" s="125" t="str">
        <f>IFERROR(VLOOKUP($A4390,HeadJournal!$A$1:$NTR$890,COLUMN(HeadJournal!D$1),0),"")</f>
        <v>Доставлен</v>
      </c>
      <c r="E4390" s="95">
        <f>IFERROR(VLOOKUP($A4390,HeadJournal!$A$1:$NTR$890,COLUMN(HeadJournal!G$1),0),"")</f>
        <v>45721</v>
      </c>
      <c r="F4390" s="95" t="str">
        <f t="shared" si="338"/>
        <v>2025 03</v>
      </c>
      <c r="G4390" s="97" t="s">
        <v>5</v>
      </c>
      <c r="H4390" s="161" t="s">
        <v>2196</v>
      </c>
      <c r="I4390" s="97" t="s">
        <v>2006</v>
      </c>
      <c r="J4390" s="97" t="s">
        <v>2197</v>
      </c>
      <c r="K4390" s="29">
        <v>17.64</v>
      </c>
      <c r="L4390" s="29">
        <v>-1.7649999999999999</v>
      </c>
      <c r="M4390" s="30">
        <f>IFERROR(VLOOKUP($A4390,HeadJournal!$A$1:$J$890,COLUMN(HeadJournal!I$1),0)*($K4390+$L4390)/(SUMIF($A:$A,$A4390,$K:$K)+SUMIF($A:$A,$A4390,$L:$L)),0)</f>
        <v>-1.4719102618692785</v>
      </c>
      <c r="N4390" s="30">
        <f>IFERROR((VLOOKUP($A4390,HeadJournal!$A$1:$K$890,COLUMN(HeadJournal!K$1),0)-VLOOKUP($A4390,HeadJournal!$A$1:$K$890,COLUMN(HeadJournal!J$1),0))*($K4390+$L4390)/(SUMIF($A:$A,$A4390,$K:$K)+SUMIF($A:$A,$A4390,$L:$L)),0)</f>
        <v>4.8030086992512639E-15</v>
      </c>
      <c r="O4390" s="30">
        <f>IFERROR((VLOOKUP($A4390,HeadJournal!$A$1:$L$890,COLUMN(HeadJournal!L$1),0)*($K4390+$L4390)/(SUMIF($A:$A,$A4390,$K:$K)+SUMIF($A:$A,$A4390,$L:$L)))/VLOOKUP($A4390,HeadJournal!$A$1:$L$890,COLUMN(HeadJournal!H$1),0),0)</f>
        <v>0.39219657960838372</v>
      </c>
      <c r="P4390" s="30">
        <f>IFERROR(SUM(K4390:O4390)*VLOOKUP($A4390,HeadJournal!$A$1:$L$890,COLUMN(HeadJournal!H$1),0),0)</f>
        <v>1479.0087223227599</v>
      </c>
      <c r="Q4390" s="29">
        <v>2400</v>
      </c>
      <c r="R4390" s="31">
        <v>45749</v>
      </c>
      <c r="S4390" s="31" t="s">
        <v>3121</v>
      </c>
      <c r="T4390" s="95" t="str">
        <f t="shared" si="339"/>
        <v>2025 04</v>
      </c>
      <c r="U4390" s="32">
        <f t="shared" si="336"/>
        <v>920.99127767724008</v>
      </c>
      <c r="V4390" s="22">
        <f t="shared" si="337"/>
        <v>0.62270848290254688</v>
      </c>
      <c r="X4390" s="33"/>
      <c r="Y4390" s="33"/>
    </row>
    <row r="4391" spans="1:25" x14ac:dyDescent="0.2">
      <c r="A4391" s="93" t="s">
        <v>2954</v>
      </c>
      <c r="B4391" s="94" t="str">
        <f>IFERROR(VLOOKUP($A4391,HeadJournal!$A$1:$NTR$890,COLUMN(HeadJournal!B$1),0),"")</f>
        <v>720000607055</v>
      </c>
      <c r="C4391" s="94" t="str">
        <f>IFERROR(VLOOKUP($A4391,HeadJournal!$A$1:$NTR$890,COLUMN(HeadJournal!C$1),0),"")</f>
        <v>iHerb_MH DLE7202</v>
      </c>
      <c r="D4391" s="125" t="str">
        <f>IFERROR(VLOOKUP($A4391,HeadJournal!$A$1:$NTR$890,COLUMN(HeadJournal!D$1),0),"")</f>
        <v>Доставлен</v>
      </c>
      <c r="E4391" s="95">
        <f>IFERROR(VLOOKUP($A4391,HeadJournal!$A$1:$NTR$890,COLUMN(HeadJournal!G$1),0),"")</f>
        <v>45721</v>
      </c>
      <c r="F4391" s="95" t="str">
        <f t="shared" si="338"/>
        <v>2025 03</v>
      </c>
      <c r="G4391" s="97" t="s">
        <v>5</v>
      </c>
      <c r="H4391" s="161" t="s">
        <v>2196</v>
      </c>
      <c r="I4391" s="97" t="s">
        <v>2006</v>
      </c>
      <c r="J4391" s="97" t="s">
        <v>2197</v>
      </c>
      <c r="K4391" s="29">
        <v>17.64</v>
      </c>
      <c r="L4391" s="29">
        <v>-1.7649999999999999</v>
      </c>
      <c r="M4391" s="30">
        <f>IFERROR(VLOOKUP($A4391,HeadJournal!$A$1:$J$890,COLUMN(HeadJournal!I$1),0)*($K4391+$L4391)/(SUMIF($A:$A,$A4391,$K:$K)+SUMIF($A:$A,$A4391,$L:$L)),0)</f>
        <v>-1.4719102618692785</v>
      </c>
      <c r="N4391" s="30">
        <f>IFERROR((VLOOKUP($A4391,HeadJournal!$A$1:$K$890,COLUMN(HeadJournal!K$1),0)-VLOOKUP($A4391,HeadJournal!$A$1:$K$890,COLUMN(HeadJournal!J$1),0))*($K4391+$L4391)/(SUMIF($A:$A,$A4391,$K:$K)+SUMIF($A:$A,$A4391,$L:$L)),0)</f>
        <v>4.8030086992512639E-15</v>
      </c>
      <c r="O4391" s="30">
        <f>IFERROR((VLOOKUP($A4391,HeadJournal!$A$1:$L$890,COLUMN(HeadJournal!L$1),0)*($K4391+$L4391)/(SUMIF($A:$A,$A4391,$K:$K)+SUMIF($A:$A,$A4391,$L:$L)))/VLOOKUP($A4391,HeadJournal!$A$1:$L$890,COLUMN(HeadJournal!H$1),0),0)</f>
        <v>0.39219657960838372</v>
      </c>
      <c r="P4391" s="30">
        <f>IFERROR(SUM(K4391:O4391)*VLOOKUP($A4391,HeadJournal!$A$1:$L$890,COLUMN(HeadJournal!H$1),0),0)</f>
        <v>1479.0087223227599</v>
      </c>
      <c r="Q4391" s="29">
        <v>2450</v>
      </c>
      <c r="R4391" s="31">
        <v>45749</v>
      </c>
      <c r="S4391" s="31" t="s">
        <v>3121</v>
      </c>
      <c r="T4391" s="95" t="str">
        <f t="shared" si="339"/>
        <v>2025 04</v>
      </c>
      <c r="U4391" s="32">
        <f t="shared" si="336"/>
        <v>970.99127767724008</v>
      </c>
      <c r="V4391" s="22">
        <f t="shared" si="337"/>
        <v>0.65651490962968329</v>
      </c>
      <c r="X4391" s="33"/>
      <c r="Y4391" s="33"/>
    </row>
    <row r="4392" spans="1:25" x14ac:dyDescent="0.2">
      <c r="A4392" s="93" t="s">
        <v>2954</v>
      </c>
      <c r="B4392" s="94" t="str">
        <f>IFERROR(VLOOKUP($A4392,HeadJournal!$A$1:$NTR$890,COLUMN(HeadJournal!B$1),0),"")</f>
        <v>720000607055</v>
      </c>
      <c r="C4392" s="94" t="str">
        <f>IFERROR(VLOOKUP($A4392,HeadJournal!$A$1:$NTR$890,COLUMN(HeadJournal!C$1),0),"")</f>
        <v>iHerb_MH DLE7202</v>
      </c>
      <c r="D4392" s="125" t="str">
        <f>IFERROR(VLOOKUP($A4392,HeadJournal!$A$1:$NTR$890,COLUMN(HeadJournal!D$1),0),"")</f>
        <v>Доставлен</v>
      </c>
      <c r="E4392" s="95">
        <f>IFERROR(VLOOKUP($A4392,HeadJournal!$A$1:$NTR$890,COLUMN(HeadJournal!G$1),0),"")</f>
        <v>45721</v>
      </c>
      <c r="F4392" s="95" t="str">
        <f t="shared" si="338"/>
        <v>2025 03</v>
      </c>
      <c r="G4392" s="97" t="s">
        <v>5</v>
      </c>
      <c r="H4392" s="161" t="s">
        <v>2948</v>
      </c>
      <c r="I4392" s="97" t="s">
        <v>2005</v>
      </c>
      <c r="J4392" s="97" t="s">
        <v>2949</v>
      </c>
      <c r="K4392" s="29">
        <v>28.99</v>
      </c>
      <c r="L4392" s="29">
        <v>-2.9</v>
      </c>
      <c r="M4392" s="30">
        <f>IFERROR(VLOOKUP($A4392,HeadJournal!$A$1:$J$890,COLUMN(HeadJournal!I$1),0)*($K4392+$L4392)/(SUMIF($A:$A,$A4392,$K:$K)+SUMIF($A:$A,$A4392,$L:$L)),0)</f>
        <v>-2.4190323610815421</v>
      </c>
      <c r="N4392" s="30">
        <f>IFERROR((VLOOKUP($A4392,HeadJournal!$A$1:$K$890,COLUMN(HeadJournal!K$1),0)-VLOOKUP($A4392,HeadJournal!$A$1:$K$890,COLUMN(HeadJournal!J$1),0))*($K4392+$L4392)/(SUMIF($A:$A,$A4392,$K:$K)+SUMIF($A:$A,$A4392,$L:$L)),0)</f>
        <v>7.8935746118718409E-15</v>
      </c>
      <c r="O4392" s="30">
        <f>IFERROR((VLOOKUP($A4392,HeadJournal!$A$1:$L$890,COLUMN(HeadJournal!L$1),0)*($K4392+$L4392)/(SUMIF($A:$A,$A4392,$K:$K)+SUMIF($A:$A,$A4392,$L:$L)))/VLOOKUP($A4392,HeadJournal!$A$1:$L$890,COLUMN(HeadJournal!H$1),0),0)</f>
        <v>0.64456118185717992</v>
      </c>
      <c r="P4392" s="30">
        <f>IFERROR(SUM(K4392:O4392)*VLOOKUP($A4392,HeadJournal!$A$1:$L$890,COLUMN(HeadJournal!H$1),0),0)</f>
        <v>2430.6984293165865</v>
      </c>
      <c r="Q4392" s="29">
        <v>3400</v>
      </c>
      <c r="R4392" s="31">
        <v>45749</v>
      </c>
      <c r="S4392" s="31" t="s">
        <v>3121</v>
      </c>
      <c r="T4392" s="95" t="str">
        <f t="shared" si="339"/>
        <v>2025 04</v>
      </c>
      <c r="U4392" s="32">
        <f t="shared" si="336"/>
        <v>969.3015706834135</v>
      </c>
      <c r="V4392" s="22">
        <f t="shared" si="337"/>
        <v>0.39877491958389166</v>
      </c>
      <c r="X4392" s="33"/>
      <c r="Y4392" s="33"/>
    </row>
    <row r="4393" spans="1:25" x14ac:dyDescent="0.2">
      <c r="A4393" s="93" t="s">
        <v>2954</v>
      </c>
      <c r="B4393" s="94" t="str">
        <f>IFERROR(VLOOKUP($A4393,HeadJournal!$A$1:$NTR$890,COLUMN(HeadJournal!B$1),0),"")</f>
        <v>720000607055</v>
      </c>
      <c r="C4393" s="94" t="str">
        <f>IFERROR(VLOOKUP($A4393,HeadJournal!$A$1:$NTR$890,COLUMN(HeadJournal!C$1),0),"")</f>
        <v>iHerb_MH DLE7202</v>
      </c>
      <c r="D4393" s="125" t="str">
        <f>IFERROR(VLOOKUP($A4393,HeadJournal!$A$1:$NTR$890,COLUMN(HeadJournal!D$1),0),"")</f>
        <v>Доставлен</v>
      </c>
      <c r="E4393" s="95">
        <f>IFERROR(VLOOKUP($A4393,HeadJournal!$A$1:$NTR$890,COLUMN(HeadJournal!G$1),0),"")</f>
        <v>45721</v>
      </c>
      <c r="F4393" s="95" t="str">
        <f t="shared" si="338"/>
        <v>2025 03</v>
      </c>
      <c r="G4393" s="97" t="s">
        <v>5</v>
      </c>
      <c r="H4393" s="161" t="s">
        <v>2950</v>
      </c>
      <c r="I4393" s="97" t="s">
        <v>2005</v>
      </c>
      <c r="J4393" s="97" t="s">
        <v>2951</v>
      </c>
      <c r="K4393" s="29">
        <v>21.41</v>
      </c>
      <c r="L4393" s="29">
        <v>-2.14</v>
      </c>
      <c r="M4393" s="30">
        <f>IFERROR(VLOOKUP($A4393,HeadJournal!$A$1:$J$890,COLUMN(HeadJournal!I$1),0)*($K4393+$L4393)/(SUMIF($A:$A,$A4393,$K:$K)+SUMIF($A:$A,$A4393,$L:$L)),0)</f>
        <v>-1.7866904407068345</v>
      </c>
      <c r="N4393" s="30">
        <f>IFERROR((VLOOKUP($A4393,HeadJournal!$A$1:$K$890,COLUMN(HeadJournal!K$1),0)-VLOOKUP($A4393,HeadJournal!$A$1:$K$890,COLUMN(HeadJournal!J$1),0))*($K4393+$L4393)/(SUMIF($A:$A,$A4393,$K:$K)+SUMIF($A:$A,$A4393,$L:$L)),0)</f>
        <v>5.830171819500589E-15</v>
      </c>
      <c r="O4393" s="30">
        <f>IFERROR((VLOOKUP($A4393,HeadJournal!$A$1:$L$890,COLUMN(HeadJournal!L$1),0)*($K4393+$L4393)/(SUMIF($A:$A,$A4393,$K:$K)+SUMIF($A:$A,$A4393,$L:$L)))/VLOOKUP($A4393,HeadJournal!$A$1:$L$890,COLUMN(HeadJournal!H$1),0),0)</f>
        <v>0.47607106072778299</v>
      </c>
      <c r="P4393" s="30">
        <f>IFERROR(SUM(K4393:O4393)*VLOOKUP($A4393,HeadJournal!$A$1:$L$890,COLUMN(HeadJournal!H$1),0),0)</f>
        <v>1795.3069656163518</v>
      </c>
      <c r="Q4393" s="29">
        <v>3000</v>
      </c>
      <c r="R4393" s="31">
        <v>45749</v>
      </c>
      <c r="S4393" s="31" t="s">
        <v>3121</v>
      </c>
      <c r="T4393" s="95" t="str">
        <f t="shared" si="339"/>
        <v>2025 04</v>
      </c>
      <c r="U4393" s="32">
        <f t="shared" si="336"/>
        <v>1204.6930343836482</v>
      </c>
      <c r="V4393" s="22">
        <f t="shared" si="337"/>
        <v>0.67102342800194159</v>
      </c>
      <c r="X4393" s="33"/>
      <c r="Y4393" s="33"/>
    </row>
    <row r="4394" spans="1:25" x14ac:dyDescent="0.2">
      <c r="A4394" s="93" t="s">
        <v>2954</v>
      </c>
      <c r="B4394" s="94" t="str">
        <f>IFERROR(VLOOKUP($A4394,HeadJournal!$A$1:$NTR$890,COLUMN(HeadJournal!B$1),0),"")</f>
        <v>720000607055</v>
      </c>
      <c r="C4394" s="94" t="str">
        <f>IFERROR(VLOOKUP($A4394,HeadJournal!$A$1:$NTR$890,COLUMN(HeadJournal!C$1),0),"")</f>
        <v>iHerb_MH DLE7202</v>
      </c>
      <c r="D4394" s="125" t="str">
        <f>IFERROR(VLOOKUP($A4394,HeadJournal!$A$1:$NTR$890,COLUMN(HeadJournal!D$1),0),"")</f>
        <v>Доставлен</v>
      </c>
      <c r="E4394" s="95">
        <f>IFERROR(VLOOKUP($A4394,HeadJournal!$A$1:$NTR$890,COLUMN(HeadJournal!G$1),0),"")</f>
        <v>45721</v>
      </c>
      <c r="F4394" s="95" t="str">
        <f t="shared" si="338"/>
        <v>2025 03</v>
      </c>
      <c r="G4394" s="97" t="s">
        <v>5</v>
      </c>
      <c r="H4394" s="161" t="s">
        <v>2952</v>
      </c>
      <c r="I4394" s="97" t="s">
        <v>2045</v>
      </c>
      <c r="J4394" s="97" t="s">
        <v>2953</v>
      </c>
      <c r="K4394" s="29">
        <v>11.18</v>
      </c>
      <c r="L4394" s="29">
        <v>-1.1200000000000001</v>
      </c>
      <c r="M4394" s="30">
        <f>IFERROR(VLOOKUP($A4394,HeadJournal!$A$1:$J$890,COLUMN(HeadJournal!I$1),0)*($K4394+$L4394)/(SUMIF($A:$A,$A4394,$K:$K)+SUMIF($A:$A,$A4394,$L:$L)),0)</f>
        <v>-0.93275069193101989</v>
      </c>
      <c r="N4394" s="30">
        <f>IFERROR((VLOOKUP($A4394,HeadJournal!$A$1:$K$890,COLUMN(HeadJournal!K$1),0)-VLOOKUP($A4394,HeadJournal!$A$1:$K$890,COLUMN(HeadJournal!J$1),0))*($K4394+$L4394)/(SUMIF($A:$A,$A4394,$K:$K)+SUMIF($A:$A,$A4394,$L:$L)),0)</f>
        <v>3.0436703946121387E-15</v>
      </c>
      <c r="O4394" s="30">
        <f>IFERROR((VLOOKUP($A4394,HeadJournal!$A$1:$L$890,COLUMN(HeadJournal!L$1),0)*($K4394+$L4394)/(SUMIF($A:$A,$A4394,$K:$K)+SUMIF($A:$A,$A4394,$L:$L)))/VLOOKUP($A4394,HeadJournal!$A$1:$L$890,COLUMN(HeadJournal!H$1),0),0)</f>
        <v>0.24853528131403713</v>
      </c>
      <c r="P4394" s="30">
        <f>IFERROR(SUM(K4394:O4394)*VLOOKUP($A4394,HeadJournal!$A$1:$L$890,COLUMN(HeadJournal!H$1),0),0)</f>
        <v>937.24899190973008</v>
      </c>
      <c r="Q4394" s="29">
        <v>1600</v>
      </c>
      <c r="R4394" s="31">
        <v>45759</v>
      </c>
      <c r="S4394" s="31" t="s">
        <v>3121</v>
      </c>
      <c r="T4394" s="95" t="str">
        <f t="shared" si="339"/>
        <v>2025 04</v>
      </c>
      <c r="U4394" s="32">
        <f t="shared" si="336"/>
        <v>662.75100809026992</v>
      </c>
      <c r="V4394" s="22">
        <f t="shared" si="337"/>
        <v>0.70712373532656936</v>
      </c>
      <c r="X4394" s="33"/>
      <c r="Y4394" s="33"/>
    </row>
    <row r="4395" spans="1:25" x14ac:dyDescent="0.2">
      <c r="A4395" s="93" t="s">
        <v>2972</v>
      </c>
      <c r="B4395" s="94" t="str">
        <f>IFERROR(VLOOKUP($A4395,HeadJournal!$A$1:$NTR$890,COLUMN(HeadJournal!B$1),0),"")</f>
        <v>722500390938</v>
      </c>
      <c r="C4395" s="94" t="str">
        <f>IFERROR(VLOOKUP($A4395,HeadJournal!$A$1:$NTR$890,COLUMN(HeadJournal!C$1),0),"")</f>
        <v>iHerb_OA CZN6870</v>
      </c>
      <c r="D4395" s="125" t="str">
        <f>IFERROR(VLOOKUP($A4395,HeadJournal!$A$1:$NTR$890,COLUMN(HeadJournal!D$1),0),"")</f>
        <v>Доставлен</v>
      </c>
      <c r="E4395" s="95">
        <f>IFERROR(VLOOKUP($A4395,HeadJournal!$A$1:$NTR$890,COLUMN(HeadJournal!G$1),0),"")</f>
        <v>45736</v>
      </c>
      <c r="F4395" s="95" t="str">
        <f t="shared" si="338"/>
        <v>2025 03</v>
      </c>
      <c r="G4395" s="97" t="s">
        <v>5</v>
      </c>
      <c r="H4395" s="161" t="s">
        <v>2956</v>
      </c>
      <c r="I4395" s="97" t="s">
        <v>2957</v>
      </c>
      <c r="J4395" s="97" t="s">
        <v>2958</v>
      </c>
      <c r="K4395" s="29">
        <v>25.97</v>
      </c>
      <c r="L4395" s="29">
        <v>-5.19</v>
      </c>
      <c r="M4395" s="30">
        <f>IFERROR(VLOOKUP($A4395,HeadJournal!$A$1:$J$890,COLUMN(HeadJournal!I$1),0)*($K4395+$L4395)/(SUMIF($A:$A,$A4395,$K:$K)+SUMIF($A:$A,$A4395,$L:$L)),0)</f>
        <v>-1.0483099394002175</v>
      </c>
      <c r="N4395" s="30">
        <f>IFERROR((VLOOKUP($A4395,HeadJournal!$A$1:$K$890,COLUMN(HeadJournal!K$1),0)-VLOOKUP($A4395,HeadJournal!$A$1:$K$890,COLUMN(HeadJournal!J$1),0))*($K4395+$L4395)/(SUMIF($A:$A,$A4395,$K:$K)+SUMIF($A:$A,$A4395,$L:$L)),0)</f>
        <v>6.1180206346278066E-15</v>
      </c>
      <c r="O4395" s="30">
        <f>IFERROR((VLOOKUP($A4395,HeadJournal!$A$1:$L$890,COLUMN(HeadJournal!L$1),0)*($K4395+$L4395)/(SUMIF($A:$A,$A4395,$K:$K)+SUMIF($A:$A,$A4395,$L:$L)))/VLOOKUP($A4395,HeadJournal!$A$1:$L$890,COLUMN(HeadJournal!H$1),0),0)</f>
        <v>0.48543737264894221</v>
      </c>
      <c r="P4395" s="30">
        <f>IFERROR(SUM(K4395:O4395)*VLOOKUP($A4395,HeadJournal!$A$1:$L$890,COLUMN(HeadJournal!H$1),0),0)</f>
        <v>2079.8641404671894</v>
      </c>
      <c r="Q4395" s="29">
        <v>3000</v>
      </c>
      <c r="R4395" s="31">
        <v>45749</v>
      </c>
      <c r="S4395" s="31" t="s">
        <v>3121</v>
      </c>
      <c r="T4395" s="95" t="str">
        <f t="shared" si="339"/>
        <v>2025 04</v>
      </c>
      <c r="U4395" s="32">
        <f t="shared" si="336"/>
        <v>920.13585953281063</v>
      </c>
      <c r="V4395" s="22">
        <f t="shared" si="337"/>
        <v>0.44240190579281063</v>
      </c>
      <c r="X4395" s="33"/>
      <c r="Y4395" s="33"/>
    </row>
    <row r="4396" spans="1:25" x14ac:dyDescent="0.2">
      <c r="A4396" s="93" t="s">
        <v>2972</v>
      </c>
      <c r="B4396" s="94" t="str">
        <f>IFERROR(VLOOKUP($A4396,HeadJournal!$A$1:$NTR$890,COLUMN(HeadJournal!B$1),0),"")</f>
        <v>722500390938</v>
      </c>
      <c r="C4396" s="94" t="str">
        <f>IFERROR(VLOOKUP($A4396,HeadJournal!$A$1:$NTR$890,COLUMN(HeadJournal!C$1),0),"")</f>
        <v>iHerb_OA CZN6870</v>
      </c>
      <c r="D4396" s="125" t="str">
        <f>IFERROR(VLOOKUP($A4396,HeadJournal!$A$1:$NTR$890,COLUMN(HeadJournal!D$1),0),"")</f>
        <v>Доставлен</v>
      </c>
      <c r="E4396" s="95">
        <f>IFERROR(VLOOKUP($A4396,HeadJournal!$A$1:$NTR$890,COLUMN(HeadJournal!G$1),0),"")</f>
        <v>45736</v>
      </c>
      <c r="F4396" s="95" t="str">
        <f t="shared" si="338"/>
        <v>2025 03</v>
      </c>
      <c r="G4396" s="97" t="s">
        <v>5</v>
      </c>
      <c r="H4396" s="161" t="s">
        <v>2959</v>
      </c>
      <c r="I4396" s="97" t="s">
        <v>2960</v>
      </c>
      <c r="J4396" s="97" t="s">
        <v>2961</v>
      </c>
      <c r="K4396" s="29">
        <v>36.51</v>
      </c>
      <c r="L4396" s="29">
        <v>-7.3</v>
      </c>
      <c r="M4396" s="30">
        <f>IFERROR(VLOOKUP($A4396,HeadJournal!$A$1:$J$890,COLUMN(HeadJournal!I$1),0)*($K4396+$L4396)/(SUMIF($A:$A,$A4396,$K:$K)+SUMIF($A:$A,$A4396,$L:$L)),0)</f>
        <v>-1.4735867819961672</v>
      </c>
      <c r="N4396" s="30">
        <f>IFERROR((VLOOKUP($A4396,HeadJournal!$A$1:$K$890,COLUMN(HeadJournal!K$1),0)-VLOOKUP($A4396,HeadJournal!$A$1:$K$890,COLUMN(HeadJournal!J$1),0))*($K4396+$L4396)/(SUMIF($A:$A,$A4396,$K:$K)+SUMIF($A:$A,$A4396,$L:$L)),0)</f>
        <v>8.5999702953550639E-15</v>
      </c>
      <c r="O4396" s="30">
        <f>IFERROR((VLOOKUP($A4396,HeadJournal!$A$1:$L$890,COLUMN(HeadJournal!L$1),0)*($K4396+$L4396)/(SUMIF($A:$A,$A4396,$K:$K)+SUMIF($A:$A,$A4396,$L:$L)))/VLOOKUP($A4396,HeadJournal!$A$1:$L$890,COLUMN(HeadJournal!H$1),0),0)</f>
        <v>0.68236889581692028</v>
      </c>
      <c r="P4396" s="30">
        <f>IFERROR(SUM(K4396:O4396)*VLOOKUP($A4396,HeadJournal!$A$1:$L$890,COLUMN(HeadJournal!H$1),0),0)</f>
        <v>2923.6203822447828</v>
      </c>
      <c r="Q4396" s="29">
        <v>4200</v>
      </c>
      <c r="R4396" s="31">
        <v>45773</v>
      </c>
      <c r="S4396" s="31" t="s">
        <v>3121</v>
      </c>
      <c r="T4396" s="95" t="str">
        <f t="shared" si="339"/>
        <v>2025 04</v>
      </c>
      <c r="U4396" s="32">
        <f t="shared" si="336"/>
        <v>1276.3796177552172</v>
      </c>
      <c r="V4396" s="22">
        <f t="shared" si="337"/>
        <v>0.43657501688888933</v>
      </c>
      <c r="X4396" s="33"/>
      <c r="Y4396" s="33"/>
    </row>
    <row r="4397" spans="1:25" x14ac:dyDescent="0.2">
      <c r="A4397" s="93" t="s">
        <v>2972</v>
      </c>
      <c r="B4397" s="94" t="str">
        <f>IFERROR(VLOOKUP($A4397,HeadJournal!$A$1:$NTR$890,COLUMN(HeadJournal!B$1),0),"")</f>
        <v>722500390938</v>
      </c>
      <c r="C4397" s="94" t="str">
        <f>IFERROR(VLOOKUP($A4397,HeadJournal!$A$1:$NTR$890,COLUMN(HeadJournal!C$1),0),"")</f>
        <v>iHerb_OA CZN6870</v>
      </c>
      <c r="D4397" s="125" t="str">
        <f>IFERROR(VLOOKUP($A4397,HeadJournal!$A$1:$NTR$890,COLUMN(HeadJournal!D$1),0),"")</f>
        <v>Доставлен</v>
      </c>
      <c r="E4397" s="95">
        <f>IFERROR(VLOOKUP($A4397,HeadJournal!$A$1:$NTR$890,COLUMN(HeadJournal!G$1),0),"")</f>
        <v>45736</v>
      </c>
      <c r="F4397" s="95" t="str">
        <f t="shared" si="338"/>
        <v>2025 03</v>
      </c>
      <c r="G4397" s="97" t="s">
        <v>5</v>
      </c>
      <c r="H4397" s="161" t="s">
        <v>2962</v>
      </c>
      <c r="I4397" s="97" t="s">
        <v>2212</v>
      </c>
      <c r="J4397" s="97" t="s">
        <v>2963</v>
      </c>
      <c r="K4397" s="29">
        <v>27.07</v>
      </c>
      <c r="L4397" s="29">
        <v>-5.41</v>
      </c>
      <c r="M4397" s="30">
        <f>IFERROR(VLOOKUP($A4397,HeadJournal!$A$1:$J$890,COLUMN(HeadJournal!I$1),0)*($K4397+$L4397)/(SUMIF($A:$A,$A4397,$K:$K)+SUMIF($A:$A,$A4397,$L:$L)),0)</f>
        <v>-1.092704200549024</v>
      </c>
      <c r="N4397" s="30">
        <f>IFERROR((VLOOKUP($A4397,HeadJournal!$A$1:$K$890,COLUMN(HeadJournal!K$1),0)-VLOOKUP($A4397,HeadJournal!$A$1:$K$890,COLUMN(HeadJournal!J$1),0))*($K4397+$L4397)/(SUMIF($A:$A,$A4397,$K:$K)+SUMIF($A:$A,$A4397,$L:$L)),0)</f>
        <v>6.3771090926871176E-15</v>
      </c>
      <c r="O4397" s="30">
        <f>IFERROR((VLOOKUP($A4397,HeadJournal!$A$1:$L$890,COLUMN(HeadJournal!L$1),0)*($K4397+$L4397)/(SUMIF($A:$A,$A4397,$K:$K)+SUMIF($A:$A,$A4397,$L:$L)))/VLOOKUP($A4397,HeadJournal!$A$1:$L$890,COLUMN(HeadJournal!H$1),0),0)</f>
        <v>0.50599487447430647</v>
      </c>
      <c r="P4397" s="30">
        <f>IFERROR(SUM(K4397:O4397)*VLOOKUP($A4397,HeadJournal!$A$1:$L$890,COLUMN(HeadJournal!H$1),0),0)</f>
        <v>2167.9430838555977</v>
      </c>
      <c r="Q4397" s="29">
        <v>3300</v>
      </c>
      <c r="R4397" s="31">
        <v>45773</v>
      </c>
      <c r="S4397" s="31" t="s">
        <v>3121</v>
      </c>
      <c r="T4397" s="95" t="str">
        <f t="shared" si="339"/>
        <v>2025 04</v>
      </c>
      <c r="U4397" s="32">
        <f t="shared" si="336"/>
        <v>1132.0569161444023</v>
      </c>
      <c r="V4397" s="22">
        <f t="shared" si="337"/>
        <v>0.52218018294607882</v>
      </c>
      <c r="X4397" s="33"/>
      <c r="Y4397" s="33"/>
    </row>
    <row r="4398" spans="1:25" x14ac:dyDescent="0.2">
      <c r="A4398" s="93" t="s">
        <v>2972</v>
      </c>
      <c r="B4398" s="94" t="str">
        <f>IFERROR(VLOOKUP($A4398,HeadJournal!$A$1:$NTR$890,COLUMN(HeadJournal!B$1),0),"")</f>
        <v>722500390938</v>
      </c>
      <c r="C4398" s="94" t="str">
        <f>IFERROR(VLOOKUP($A4398,HeadJournal!$A$1:$NTR$890,COLUMN(HeadJournal!C$1),0),"")</f>
        <v>iHerb_OA CZN6870</v>
      </c>
      <c r="D4398" s="125" t="str">
        <f>IFERROR(VLOOKUP($A4398,HeadJournal!$A$1:$NTR$890,COLUMN(HeadJournal!D$1),0),"")</f>
        <v>Доставлен</v>
      </c>
      <c r="E4398" s="95">
        <f>IFERROR(VLOOKUP($A4398,HeadJournal!$A$1:$NTR$890,COLUMN(HeadJournal!G$1),0),"")</f>
        <v>45736</v>
      </c>
      <c r="F4398" s="95" t="str">
        <f t="shared" si="338"/>
        <v>2025 03</v>
      </c>
      <c r="G4398" s="97" t="s">
        <v>5</v>
      </c>
      <c r="H4398" s="161" t="s">
        <v>2964</v>
      </c>
      <c r="I4398" s="97" t="s">
        <v>2965</v>
      </c>
      <c r="J4398" s="97" t="s">
        <v>2966</v>
      </c>
      <c r="K4398" s="29">
        <v>45.16</v>
      </c>
      <c r="L4398" s="29">
        <v>-9.0299999999999994</v>
      </c>
      <c r="M4398" s="30">
        <f>IFERROR(VLOOKUP($A4398,HeadJournal!$A$1:$J$890,COLUMN(HeadJournal!I$1),0)*($K4398+$L4398)/(SUMIF($A:$A,$A4398,$K:$K)+SUMIF($A:$A,$A4398,$L:$L)),0)</f>
        <v>-1.8226871083026883</v>
      </c>
      <c r="N4398" s="30">
        <f>IFERROR((VLOOKUP($A4398,HeadJournal!$A$1:$K$890,COLUMN(HeadJournal!K$1),0)-VLOOKUP($A4398,HeadJournal!$A$1:$K$890,COLUMN(HeadJournal!J$1),0))*($K4398+$L4398)/(SUMIF($A:$A,$A4398,$K:$K)+SUMIF($A:$A,$A4398,$L:$L)),0)</f>
        <v>1.0637347715548731E-14</v>
      </c>
      <c r="O4398" s="30">
        <f>IFERROR((VLOOKUP($A4398,HeadJournal!$A$1:$L$890,COLUMN(HeadJournal!L$1),0)*($K4398+$L4398)/(SUMIF($A:$A,$A4398,$K:$K)+SUMIF($A:$A,$A4398,$L:$L)))/VLOOKUP($A4398,HeadJournal!$A$1:$L$890,COLUMN(HeadJournal!H$1),0),0)</f>
        <v>0.84402561471637549</v>
      </c>
      <c r="P4398" s="30">
        <f>IFERROR(SUM(K4398:O4398)*VLOOKUP($A4398,HeadJournal!$A$1:$L$890,COLUMN(HeadJournal!H$1),0),0)</f>
        <v>3616.2411643445389</v>
      </c>
      <c r="Q4398" s="29">
        <v>5000</v>
      </c>
      <c r="R4398" s="31">
        <v>45750</v>
      </c>
      <c r="S4398" s="31" t="s">
        <v>3121</v>
      </c>
      <c r="T4398" s="95" t="str">
        <f t="shared" si="339"/>
        <v>2025 04</v>
      </c>
      <c r="U4398" s="32">
        <f t="shared" si="336"/>
        <v>1383.7588356554611</v>
      </c>
      <c r="V4398" s="22">
        <f t="shared" si="337"/>
        <v>0.38265114873948791</v>
      </c>
      <c r="X4398" s="33"/>
      <c r="Y4398" s="33"/>
    </row>
    <row r="4399" spans="1:25" x14ac:dyDescent="0.2">
      <c r="A4399" s="93" t="s">
        <v>2972</v>
      </c>
      <c r="B4399" s="94" t="str">
        <f>IFERROR(VLOOKUP($A4399,HeadJournal!$A$1:$NTR$890,COLUMN(HeadJournal!B$1),0),"")</f>
        <v>722500390938</v>
      </c>
      <c r="C4399" s="94" t="str">
        <f>IFERROR(VLOOKUP($A4399,HeadJournal!$A$1:$NTR$890,COLUMN(HeadJournal!C$1),0),"")</f>
        <v>iHerb_OA CZN6870</v>
      </c>
      <c r="D4399" s="125" t="str">
        <f>IFERROR(VLOOKUP($A4399,HeadJournal!$A$1:$NTR$890,COLUMN(HeadJournal!D$1),0),"")</f>
        <v>Доставлен</v>
      </c>
      <c r="E4399" s="95">
        <f>IFERROR(VLOOKUP($A4399,HeadJournal!$A$1:$NTR$890,COLUMN(HeadJournal!G$1),0),"")</f>
        <v>45736</v>
      </c>
      <c r="F4399" s="95" t="str">
        <f t="shared" si="338"/>
        <v>2025 03</v>
      </c>
      <c r="G4399" s="97" t="s">
        <v>5</v>
      </c>
      <c r="H4399" s="161" t="s">
        <v>2967</v>
      </c>
      <c r="I4399" s="97" t="s">
        <v>2965</v>
      </c>
      <c r="J4399" s="97" t="s">
        <v>2968</v>
      </c>
      <c r="K4399" s="29">
        <v>22.56</v>
      </c>
      <c r="L4399" s="29">
        <v>-4.51</v>
      </c>
      <c r="M4399" s="30">
        <f>IFERROR(VLOOKUP($A4399,HeadJournal!$A$1:$J$890,COLUMN(HeadJournal!I$1),0)*($K4399+$L4399)/(SUMIF($A:$A,$A4399,$K:$K)+SUMIF($A:$A,$A4399,$L:$L)),0)</f>
        <v>-0.91058683379085315</v>
      </c>
      <c r="N4399" s="30">
        <f>IFERROR((VLOOKUP($A4399,HeadJournal!$A$1:$K$890,COLUMN(HeadJournal!K$1),0)-VLOOKUP($A4399,HeadJournal!$A$1:$K$890,COLUMN(HeadJournal!J$1),0))*($K4399+$L4399)/(SUMIF($A:$A,$A4399,$K:$K)+SUMIF($A:$A,$A4399,$L:$L)),0)</f>
        <v>5.3142575772392639E-15</v>
      </c>
      <c r="O4399" s="30">
        <f>IFERROR((VLOOKUP($A4399,HeadJournal!$A$1:$L$890,COLUMN(HeadJournal!L$1),0)*($K4399+$L4399)/(SUMIF($A:$A,$A4399,$K:$K)+SUMIF($A:$A,$A4399,$L:$L)))/VLOOKUP($A4399,HeadJournal!$A$1:$L$890,COLUMN(HeadJournal!H$1),0),0)</f>
        <v>0.42166239539525541</v>
      </c>
      <c r="P4399" s="30">
        <f>IFERROR(SUM(K4399:O4399)*VLOOKUP($A4399,HeadJournal!$A$1:$L$890,COLUMN(HeadJournal!H$1),0),0)</f>
        <v>1806.619236546331</v>
      </c>
      <c r="Q4399" s="29">
        <v>2700</v>
      </c>
      <c r="R4399" s="31">
        <v>45750</v>
      </c>
      <c r="S4399" s="31" t="s">
        <v>3121</v>
      </c>
      <c r="T4399" s="95" t="str">
        <f t="shared" si="339"/>
        <v>2025 04</v>
      </c>
      <c r="U4399" s="32">
        <f t="shared" si="336"/>
        <v>893.38076345366903</v>
      </c>
      <c r="V4399" s="22">
        <f t="shared" si="337"/>
        <v>0.49450417961978682</v>
      </c>
      <c r="X4399" s="33"/>
      <c r="Y4399" s="33"/>
    </row>
    <row r="4400" spans="1:25" x14ac:dyDescent="0.2">
      <c r="A4400" s="93" t="s">
        <v>2972</v>
      </c>
      <c r="B4400" s="94" t="str">
        <f>IFERROR(VLOOKUP($A4400,HeadJournal!$A$1:$NTR$890,COLUMN(HeadJournal!B$1),0),"")</f>
        <v>722500390938</v>
      </c>
      <c r="C4400" s="94" t="str">
        <f>IFERROR(VLOOKUP($A4400,HeadJournal!$A$1:$NTR$890,COLUMN(HeadJournal!C$1),0),"")</f>
        <v>iHerb_OA CZN6870</v>
      </c>
      <c r="D4400" s="125" t="str">
        <f>IFERROR(VLOOKUP($A4400,HeadJournal!$A$1:$NTR$890,COLUMN(HeadJournal!D$1),0),"")</f>
        <v>Доставлен</v>
      </c>
      <c r="E4400" s="95">
        <f>IFERROR(VLOOKUP($A4400,HeadJournal!$A$1:$NTR$890,COLUMN(HeadJournal!G$1),0),"")</f>
        <v>45736</v>
      </c>
      <c r="F4400" s="95" t="str">
        <f t="shared" si="338"/>
        <v>2025 03</v>
      </c>
      <c r="G4400" s="97" t="s">
        <v>5</v>
      </c>
      <c r="H4400" s="161" t="s">
        <v>2895</v>
      </c>
      <c r="I4400" s="97" t="s">
        <v>2666</v>
      </c>
      <c r="J4400" s="97" t="s">
        <v>3854</v>
      </c>
      <c r="K4400" s="29">
        <v>13.29</v>
      </c>
      <c r="L4400" s="29">
        <v>-2.66</v>
      </c>
      <c r="M4400" s="30">
        <f>IFERROR(VLOOKUP($A4400,HeadJournal!$A$1:$J$890,COLUMN(HeadJournal!I$1),0)*($K4400+$L4400)/(SUMIF($A:$A,$A4400,$K:$K)+SUMIF($A:$A,$A4400,$L:$L)),0)</f>
        <v>-0.53626249546796501</v>
      </c>
      <c r="N4400" s="30">
        <f>IFERROR((VLOOKUP($A4400,HeadJournal!$A$1:$K$890,COLUMN(HeadJournal!K$1),0)-VLOOKUP($A4400,HeadJournal!$A$1:$K$890,COLUMN(HeadJournal!J$1),0))*($K4400+$L4400)/(SUMIF($A:$A,$A4400,$K:$K)+SUMIF($A:$A,$A4400,$L:$L)),0)</f>
        <v>3.1296708058755335E-15</v>
      </c>
      <c r="O4400" s="30">
        <f>IFERROR((VLOOKUP($A4400,HeadJournal!$A$1:$L$890,COLUMN(HeadJournal!L$1),0)*($K4400+$L4400)/(SUMIF($A:$A,$A4400,$K:$K)+SUMIF($A:$A,$A4400,$L:$L)))/VLOOKUP($A4400,HeadJournal!$A$1:$L$890,COLUMN(HeadJournal!H$1),0),0)</f>
        <v>0.24832527773138863</v>
      </c>
      <c r="P4400" s="30">
        <f>IFERROR(SUM(K4400:O4400)*VLOOKUP($A4400,HeadJournal!$A$1:$L$890,COLUMN(HeadJournal!H$1),0),0)</f>
        <v>1063.9536002486152</v>
      </c>
      <c r="Q4400" s="29">
        <v>1800</v>
      </c>
      <c r="R4400" s="31">
        <v>45773</v>
      </c>
      <c r="S4400" s="31" t="s">
        <v>3121</v>
      </c>
      <c r="T4400" s="95" t="str">
        <f t="shared" si="339"/>
        <v>2025 04</v>
      </c>
      <c r="U4400" s="32">
        <f t="shared" si="336"/>
        <v>736.0463997513848</v>
      </c>
      <c r="V4400" s="22">
        <f t="shared" si="337"/>
        <v>0.69180310079254592</v>
      </c>
      <c r="X4400" s="33"/>
      <c r="Y4400" s="33"/>
    </row>
    <row r="4401" spans="1:25" x14ac:dyDescent="0.2">
      <c r="A4401" s="93" t="s">
        <v>2972</v>
      </c>
      <c r="B4401" s="94" t="str">
        <f>IFERROR(VLOOKUP($A4401,HeadJournal!$A$1:$NTR$890,COLUMN(HeadJournal!B$1),0),"")</f>
        <v>722500390938</v>
      </c>
      <c r="C4401" s="94" t="str">
        <f>IFERROR(VLOOKUP($A4401,HeadJournal!$A$1:$NTR$890,COLUMN(HeadJournal!C$1),0),"")</f>
        <v>iHerb_OA CZN6870</v>
      </c>
      <c r="D4401" s="125" t="str">
        <f>IFERROR(VLOOKUP($A4401,HeadJournal!$A$1:$NTR$890,COLUMN(HeadJournal!D$1),0),"")</f>
        <v>Доставлен</v>
      </c>
      <c r="E4401" s="95">
        <f>IFERROR(VLOOKUP($A4401,HeadJournal!$A$1:$NTR$890,COLUMN(HeadJournal!G$1),0),"")</f>
        <v>45736</v>
      </c>
      <c r="F4401" s="95" t="str">
        <f t="shared" si="338"/>
        <v>2025 03</v>
      </c>
      <c r="G4401" s="97" t="s">
        <v>5</v>
      </c>
      <c r="H4401" s="161" t="s">
        <v>2790</v>
      </c>
      <c r="I4401" s="97" t="s">
        <v>2666</v>
      </c>
      <c r="J4401" s="97" t="s">
        <v>4139</v>
      </c>
      <c r="K4401" s="29">
        <v>9.9600000000000009</v>
      </c>
      <c r="L4401" s="29">
        <v>-1.99</v>
      </c>
      <c r="M4401" s="30">
        <f>IFERROR(VLOOKUP($A4401,HeadJournal!$A$1:$J$890,COLUMN(HeadJournal!I$1),0)*($K4401+$L4401)/(SUMIF($A:$A,$A4401,$K:$K)+SUMIF($A:$A,$A4401,$L:$L)),0)</f>
        <v>-0.402070751540892</v>
      </c>
      <c r="N4401" s="30">
        <f>IFERROR((VLOOKUP($A4401,HeadJournal!$A$1:$K$890,COLUMN(HeadJournal!K$1),0)-VLOOKUP($A4401,HeadJournal!$A$1:$K$890,COLUMN(HeadJournal!J$1),0))*($K4401+$L4401)/(SUMIF($A:$A,$A4401,$K:$K)+SUMIF($A:$A,$A4401,$L:$L)),0)</f>
        <v>2.3465170576508001E-15</v>
      </c>
      <c r="O4401" s="30">
        <f>IFERROR((VLOOKUP($A4401,HeadJournal!$A$1:$L$890,COLUMN(HeadJournal!L$1),0)*($K4401+$L4401)/(SUMIF($A:$A,$A4401,$K:$K)+SUMIF($A:$A,$A4401,$L:$L)))/VLOOKUP($A4401,HeadJournal!$A$1:$L$890,COLUMN(HeadJournal!H$1),0),0)</f>
        <v>0.18618555630471947</v>
      </c>
      <c r="P4401" s="30">
        <f>IFERROR(SUM(K4401:O4401)*VLOOKUP($A4401,HeadJournal!$A$1:$L$890,COLUMN(HeadJournal!H$1),0),0)</f>
        <v>797.71497591547165</v>
      </c>
      <c r="Q4401" s="29">
        <v>1700</v>
      </c>
      <c r="R4401" s="31">
        <v>45782</v>
      </c>
      <c r="S4401" s="31" t="s">
        <v>3121</v>
      </c>
      <c r="T4401" s="95" t="str">
        <f t="shared" si="339"/>
        <v>2025 05</v>
      </c>
      <c r="U4401" s="32">
        <f t="shared" si="336"/>
        <v>902.28502408452835</v>
      </c>
      <c r="V4401" s="22">
        <f t="shared" si="337"/>
        <v>1.1310869813482569</v>
      </c>
      <c r="X4401" s="33"/>
      <c r="Y4401" s="33"/>
    </row>
    <row r="4402" spans="1:25" x14ac:dyDescent="0.2">
      <c r="A4402" s="93" t="s">
        <v>2972</v>
      </c>
      <c r="B4402" s="94" t="str">
        <f>IFERROR(VLOOKUP($A4402,HeadJournal!$A$1:$NTR$890,COLUMN(HeadJournal!B$1),0),"")</f>
        <v>722500390938</v>
      </c>
      <c r="C4402" s="94" t="str">
        <f>IFERROR(VLOOKUP($A4402,HeadJournal!$A$1:$NTR$890,COLUMN(HeadJournal!C$1),0),"")</f>
        <v>iHerb_OA CZN6870</v>
      </c>
      <c r="D4402" s="125" t="str">
        <f>IFERROR(VLOOKUP($A4402,HeadJournal!$A$1:$NTR$890,COLUMN(HeadJournal!D$1),0),"")</f>
        <v>Доставлен</v>
      </c>
      <c r="E4402" s="95">
        <f>IFERROR(VLOOKUP($A4402,HeadJournal!$A$1:$NTR$890,COLUMN(HeadJournal!G$1),0),"")</f>
        <v>45736</v>
      </c>
      <c r="F4402" s="95" t="str">
        <f t="shared" si="338"/>
        <v>2025 03</v>
      </c>
      <c r="G4402" s="97" t="s">
        <v>5</v>
      </c>
      <c r="H4402" s="161" t="s">
        <v>2624</v>
      </c>
      <c r="I4402" s="97" t="s">
        <v>2005</v>
      </c>
      <c r="J4402" s="97" t="s">
        <v>2625</v>
      </c>
      <c r="K4402" s="29">
        <v>23.95</v>
      </c>
      <c r="L4402" s="29">
        <v>-4.79</v>
      </c>
      <c r="M4402" s="30">
        <f>IFERROR(VLOOKUP($A4402,HeadJournal!$A$1:$J$890,COLUMN(HeadJournal!I$1),0)*($K4402+$L4402)/(SUMIF($A:$A,$A4402,$K:$K)+SUMIF($A:$A,$A4402,$L:$L)),0)</f>
        <v>-0.96658414046718832</v>
      </c>
      <c r="N4402" s="30">
        <f>IFERROR((VLOOKUP($A4402,HeadJournal!$A$1:$K$890,COLUMN(HeadJournal!K$1),0)-VLOOKUP($A4402,HeadJournal!$A$1:$K$890,COLUMN(HeadJournal!J$1),0))*($K4402+$L4402)/(SUMIF($A:$A,$A4402,$K:$K)+SUMIF($A:$A,$A4402,$L:$L)),0)</f>
        <v>5.641062336836804E-15</v>
      </c>
      <c r="O4402" s="30">
        <f>IFERROR((VLOOKUP($A4402,HeadJournal!$A$1:$L$890,COLUMN(HeadJournal!L$1),0)*($K4402+$L4402)/(SUMIF($A:$A,$A4402,$K:$K)+SUMIF($A:$A,$A4402,$L:$L)))/VLOOKUP($A4402,HeadJournal!$A$1:$L$890,COLUMN(HeadJournal!H$1),0),0)</f>
        <v>0.447592880652249</v>
      </c>
      <c r="P4402" s="30">
        <f>IFERROR(SUM(K4402:O4402)*VLOOKUP($A4402,HeadJournal!$A$1:$L$890,COLUMN(HeadJournal!H$1),0),0)</f>
        <v>1917.7188128658011</v>
      </c>
      <c r="Q4402" s="29">
        <v>2900</v>
      </c>
      <c r="R4402" s="31">
        <v>45937</v>
      </c>
      <c r="S4402" s="31" t="s">
        <v>4533</v>
      </c>
      <c r="T4402" s="95" t="str">
        <f t="shared" si="339"/>
        <v>2025 10</v>
      </c>
      <c r="U4402" s="32">
        <f t="shared" si="336"/>
        <v>982.28118713419894</v>
      </c>
      <c r="V4402" s="22">
        <f t="shared" si="337"/>
        <v>0.51221335502585874</v>
      </c>
      <c r="X4402" s="33"/>
      <c r="Y4402" s="33"/>
    </row>
    <row r="4403" spans="1:25" x14ac:dyDescent="0.2">
      <c r="A4403" s="93" t="s">
        <v>2972</v>
      </c>
      <c r="B4403" s="94" t="str">
        <f>IFERROR(VLOOKUP($A4403,HeadJournal!$A$1:$NTR$890,COLUMN(HeadJournal!B$1),0),"")</f>
        <v>722500390938</v>
      </c>
      <c r="C4403" s="94" t="str">
        <f>IFERROR(VLOOKUP($A4403,HeadJournal!$A$1:$NTR$890,COLUMN(HeadJournal!C$1),0),"")</f>
        <v>iHerb_OA CZN6870</v>
      </c>
      <c r="D4403" s="125" t="str">
        <f>IFERROR(VLOOKUP($A4403,HeadJournal!$A$1:$NTR$890,COLUMN(HeadJournal!D$1),0),"")</f>
        <v>Доставлен</v>
      </c>
      <c r="E4403" s="95">
        <f>IFERROR(VLOOKUP($A4403,HeadJournal!$A$1:$NTR$890,COLUMN(HeadJournal!G$1),0),"")</f>
        <v>45736</v>
      </c>
      <c r="F4403" s="95" t="str">
        <f t="shared" si="338"/>
        <v>2025 03</v>
      </c>
      <c r="G4403" s="97" t="s">
        <v>5</v>
      </c>
      <c r="H4403" s="161" t="s">
        <v>2624</v>
      </c>
      <c r="I4403" s="97" t="s">
        <v>2005</v>
      </c>
      <c r="J4403" s="97" t="s">
        <v>2625</v>
      </c>
      <c r="K4403" s="29">
        <v>23.95</v>
      </c>
      <c r="L4403" s="29">
        <v>-4.79</v>
      </c>
      <c r="M4403" s="30">
        <f>IFERROR(VLOOKUP($A4403,HeadJournal!$A$1:$J$890,COLUMN(HeadJournal!I$1),0)*($K4403+$L4403)/(SUMIF($A:$A,$A4403,$K:$K)+SUMIF($A:$A,$A4403,$L:$L)),0)</f>
        <v>-0.96658414046718832</v>
      </c>
      <c r="N4403" s="30">
        <f>IFERROR((VLOOKUP($A4403,HeadJournal!$A$1:$K$890,COLUMN(HeadJournal!K$1),0)-VLOOKUP($A4403,HeadJournal!$A$1:$K$890,COLUMN(HeadJournal!J$1),0))*($K4403+$L4403)/(SUMIF($A:$A,$A4403,$K:$K)+SUMIF($A:$A,$A4403,$L:$L)),0)</f>
        <v>5.641062336836804E-15</v>
      </c>
      <c r="O4403" s="30">
        <f>IFERROR((VLOOKUP($A4403,HeadJournal!$A$1:$L$890,COLUMN(HeadJournal!L$1),0)*($K4403+$L4403)/(SUMIF($A:$A,$A4403,$K:$K)+SUMIF($A:$A,$A4403,$L:$L)))/VLOOKUP($A4403,HeadJournal!$A$1:$L$890,COLUMN(HeadJournal!H$1),0),0)</f>
        <v>0.447592880652249</v>
      </c>
      <c r="P4403" s="30">
        <f>IFERROR(SUM(K4403:O4403)*VLOOKUP($A4403,HeadJournal!$A$1:$L$890,COLUMN(HeadJournal!H$1),0),0)</f>
        <v>1917.7188128658011</v>
      </c>
      <c r="Q4403" s="29">
        <v>2900</v>
      </c>
      <c r="R4403" s="31">
        <v>45951</v>
      </c>
      <c r="S4403" s="31" t="s">
        <v>3206</v>
      </c>
      <c r="T4403" s="95" t="str">
        <f t="shared" si="339"/>
        <v>2025 10</v>
      </c>
      <c r="U4403" s="32">
        <f t="shared" si="336"/>
        <v>982.28118713419894</v>
      </c>
      <c r="V4403" s="22">
        <f t="shared" si="337"/>
        <v>0.51221335502585874</v>
      </c>
      <c r="X4403" s="33"/>
      <c r="Y4403" s="33"/>
    </row>
    <row r="4404" spans="1:25" x14ac:dyDescent="0.2">
      <c r="A4404" s="93" t="s">
        <v>2972</v>
      </c>
      <c r="B4404" s="94" t="str">
        <f>IFERROR(VLOOKUP($A4404,HeadJournal!$A$1:$NTR$890,COLUMN(HeadJournal!B$1),0),"")</f>
        <v>722500390938</v>
      </c>
      <c r="C4404" s="94" t="str">
        <f>IFERROR(VLOOKUP($A4404,HeadJournal!$A$1:$NTR$890,COLUMN(HeadJournal!C$1),0),"")</f>
        <v>iHerb_OA CZN6870</v>
      </c>
      <c r="D4404" s="125" t="str">
        <f>IFERROR(VLOOKUP($A4404,HeadJournal!$A$1:$NTR$890,COLUMN(HeadJournal!D$1),0),"")</f>
        <v>Доставлен</v>
      </c>
      <c r="E4404" s="95">
        <f>IFERROR(VLOOKUP($A4404,HeadJournal!$A$1:$NTR$890,COLUMN(HeadJournal!G$1),0),"")</f>
        <v>45736</v>
      </c>
      <c r="F4404" s="95" t="str">
        <f t="shared" si="338"/>
        <v>2025 03</v>
      </c>
      <c r="G4404" s="97" t="s">
        <v>7</v>
      </c>
      <c r="H4404" s="161" t="s">
        <v>2969</v>
      </c>
      <c r="I4404" s="97" t="s">
        <v>2970</v>
      </c>
      <c r="J4404" s="97" t="s">
        <v>2971</v>
      </c>
      <c r="K4404" s="29">
        <v>12.9</v>
      </c>
      <c r="L4404" s="29">
        <v>-2.58</v>
      </c>
      <c r="M4404" s="30">
        <f>IFERROR(VLOOKUP($A4404,HeadJournal!$A$1:$J$890,COLUMN(HeadJournal!I$1),0)*($K4404+$L4404)/(SUMIF($A:$A,$A4404,$K:$K)+SUMIF($A:$A,$A4404,$L:$L)),0)</f>
        <v>-0.52062360801781749</v>
      </c>
      <c r="N4404" s="30">
        <f>IFERROR((VLOOKUP($A4404,HeadJournal!$A$1:$K$890,COLUMN(HeadJournal!K$1),0)-VLOOKUP($A4404,HeadJournal!$A$1:$K$890,COLUMN(HeadJournal!J$1),0))*($K4404+$L4404)/(SUMIF($A:$A,$A4404,$K:$K)+SUMIF($A:$A,$A4404,$L:$L)),0)</f>
        <v>3.0384010081500948E-15</v>
      </c>
      <c r="O4404" s="30">
        <f>IFERROR((VLOOKUP($A4404,HeadJournal!$A$1:$L$890,COLUMN(HeadJournal!L$1),0)*($K4404+$L4404)/(SUMIF($A:$A,$A4404,$K:$K)+SUMIF($A:$A,$A4404,$L:$L)))/VLOOKUP($A4404,HeadJournal!$A$1:$L$890,COLUMN(HeadJournal!H$1),0),0)</f>
        <v>0.24108343049745354</v>
      </c>
      <c r="P4404" s="30">
        <f>IFERROR(SUM(K4404:O4404)*VLOOKUP($A4404,HeadJournal!$A$1:$L$890,COLUMN(HeadJournal!H$1),0),0)</f>
        <v>1032.9257906458804</v>
      </c>
      <c r="Q4404" s="29"/>
      <c r="R4404" s="31"/>
      <c r="S4404" s="31"/>
      <c r="T4404" s="95" t="str">
        <f t="shared" si="339"/>
        <v/>
      </c>
      <c r="U4404" s="32">
        <f t="shared" si="336"/>
        <v>-1032.9257906458804</v>
      </c>
      <c r="V4404" s="22" t="str">
        <f t="shared" si="337"/>
        <v/>
      </c>
      <c r="X4404" s="33"/>
      <c r="Y4404" s="33"/>
    </row>
    <row r="4405" spans="1:25" x14ac:dyDescent="0.2">
      <c r="A4405" s="93" t="s">
        <v>2990</v>
      </c>
      <c r="B4405" s="94" t="str">
        <f>IFERROR(VLOOKUP($A4405,HeadJournal!$A$1:$NTR$890,COLUMN(HeadJournal!B$1),0),"")</f>
        <v>722500394950</v>
      </c>
      <c r="C4405" s="94" t="str">
        <f>IFERROR(VLOOKUP($A4405,HeadJournal!$A$1:$NTR$890,COLUMN(HeadJournal!C$1),0),"")</f>
        <v>iHerb_OA CZN6870</v>
      </c>
      <c r="D4405" s="125" t="str">
        <f>IFERROR(VLOOKUP($A4405,HeadJournal!$A$1:$NTR$890,COLUMN(HeadJournal!D$1),0),"")</f>
        <v>Доставлен</v>
      </c>
      <c r="E4405" s="95">
        <f>IFERROR(VLOOKUP($A4405,HeadJournal!$A$1:$NTR$890,COLUMN(HeadJournal!G$1),0),"")</f>
        <v>45712</v>
      </c>
      <c r="F4405" s="95" t="str">
        <f t="shared" si="338"/>
        <v>2025 02</v>
      </c>
      <c r="G4405" s="97" t="s">
        <v>5</v>
      </c>
      <c r="H4405" s="161" t="s">
        <v>2974</v>
      </c>
      <c r="I4405" s="97" t="s">
        <v>2975</v>
      </c>
      <c r="J4405" s="97" t="s">
        <v>2976</v>
      </c>
      <c r="K4405" s="29">
        <v>27.09</v>
      </c>
      <c r="L4405" s="29">
        <v>-5.42</v>
      </c>
      <c r="M4405" s="30">
        <f>IFERROR(VLOOKUP($A4405,HeadJournal!$A$1:$J$890,COLUMN(HeadJournal!I$1),0)*($K4405+$L4405)/(SUMIF($A:$A,$A4405,$K:$K)+SUMIF($A:$A,$A4405,$L:$L)),0)</f>
        <v>0</v>
      </c>
      <c r="N4405" s="30">
        <f>IFERROR((VLOOKUP($A4405,HeadJournal!$A$1:$K$890,COLUMN(HeadJournal!K$1),0)-VLOOKUP($A4405,HeadJournal!$A$1:$K$890,COLUMN(HeadJournal!J$1),0))*($K4405+$L4405)/(SUMIF($A:$A,$A4405,$K:$K)+SUMIF($A:$A,$A4405,$L:$L)),0)</f>
        <v>4.7300395004750401E-15</v>
      </c>
      <c r="O4405" s="30">
        <f>IFERROR((VLOOKUP($A4405,HeadJournal!$A$1:$L$890,COLUMN(HeadJournal!L$1),0)*($K4405+$L4405)/(SUMIF($A:$A,$A4405,$K:$K)+SUMIF($A:$A,$A4405,$L:$L)))/VLOOKUP($A4405,HeadJournal!$A$1:$L$890,COLUMN(HeadJournal!H$1),0),0)</f>
        <v>0.76288638987609225</v>
      </c>
      <c r="P4405" s="30">
        <f>IFERROR(SUM(K4405:O4405)*VLOOKUP($A4405,HeadJournal!$A$1:$L$890,COLUMN(HeadJournal!H$1),0),0)</f>
        <v>2270.6899764227028</v>
      </c>
      <c r="Q4405" s="29">
        <v>3300</v>
      </c>
      <c r="R4405" s="31">
        <v>45750</v>
      </c>
      <c r="S4405" s="31" t="s">
        <v>3121</v>
      </c>
      <c r="T4405" s="95" t="str">
        <f t="shared" si="339"/>
        <v>2025 04</v>
      </c>
      <c r="U4405" s="32">
        <f t="shared" si="336"/>
        <v>1029.3100235772972</v>
      </c>
      <c r="V4405" s="22">
        <f t="shared" si="337"/>
        <v>0.45330275566675815</v>
      </c>
      <c r="X4405" s="33"/>
      <c r="Y4405" s="33"/>
    </row>
    <row r="4406" spans="1:25" x14ac:dyDescent="0.2">
      <c r="A4406" s="93" t="s">
        <v>2990</v>
      </c>
      <c r="B4406" s="94" t="str">
        <f>IFERROR(VLOOKUP($A4406,HeadJournal!$A$1:$NTR$890,COLUMN(HeadJournal!B$1),0),"")</f>
        <v>722500394950</v>
      </c>
      <c r="C4406" s="94" t="str">
        <f>IFERROR(VLOOKUP($A4406,HeadJournal!$A$1:$NTR$890,COLUMN(HeadJournal!C$1),0),"")</f>
        <v>iHerb_OA CZN6870</v>
      </c>
      <c r="D4406" s="125" t="str">
        <f>IFERROR(VLOOKUP($A4406,HeadJournal!$A$1:$NTR$890,COLUMN(HeadJournal!D$1),0),"")</f>
        <v>Доставлен</v>
      </c>
      <c r="E4406" s="95">
        <f>IFERROR(VLOOKUP($A4406,HeadJournal!$A$1:$NTR$890,COLUMN(HeadJournal!G$1),0),"")</f>
        <v>45712</v>
      </c>
      <c r="F4406" s="95" t="str">
        <f t="shared" si="338"/>
        <v>2025 02</v>
      </c>
      <c r="G4406" s="97" t="s">
        <v>5</v>
      </c>
      <c r="H4406" s="161" t="s">
        <v>2977</v>
      </c>
      <c r="I4406" s="97" t="s">
        <v>2005</v>
      </c>
      <c r="J4406" s="97" t="s">
        <v>2978</v>
      </c>
      <c r="K4406" s="29">
        <v>18.11</v>
      </c>
      <c r="L4406" s="29">
        <v>-3.62</v>
      </c>
      <c r="M4406" s="30">
        <f>IFERROR(VLOOKUP($A4406,HeadJournal!$A$1:$J$890,COLUMN(HeadJournal!I$1),0)*($K4406+$L4406)/(SUMIF($A:$A,$A4406,$K:$K)+SUMIF($A:$A,$A4406,$L:$L)),0)</f>
        <v>0</v>
      </c>
      <c r="N4406" s="30">
        <f>IFERROR((VLOOKUP($A4406,HeadJournal!$A$1:$K$890,COLUMN(HeadJournal!K$1),0)-VLOOKUP($A4406,HeadJournal!$A$1:$K$890,COLUMN(HeadJournal!J$1),0))*($K4406+$L4406)/(SUMIF($A:$A,$A4406,$K:$K)+SUMIF($A:$A,$A4406,$L:$L)),0)</f>
        <v>3.1628182908114132E-15</v>
      </c>
      <c r="O4406" s="30">
        <f>IFERROR((VLOOKUP($A4406,HeadJournal!$A$1:$L$890,COLUMN(HeadJournal!L$1),0)*($K4406+$L4406)/(SUMIF($A:$A,$A4406,$K:$K)+SUMIF($A:$A,$A4406,$L:$L)))/VLOOKUP($A4406,HeadJournal!$A$1:$L$890,COLUMN(HeadJournal!H$1),0),0)</f>
        <v>0.5101164646656472</v>
      </c>
      <c r="P4406" s="30">
        <f>IFERROR(SUM(K4406:O4406)*VLOOKUP($A4406,HeadJournal!$A$1:$L$890,COLUMN(HeadJournal!H$1),0),0)</f>
        <v>1518.3339990016132</v>
      </c>
      <c r="Q4406" s="29">
        <v>2400</v>
      </c>
      <c r="R4406" s="31">
        <v>45748</v>
      </c>
      <c r="S4406" s="31" t="s">
        <v>3121</v>
      </c>
      <c r="T4406" s="95" t="str">
        <f t="shared" si="339"/>
        <v>2025 04</v>
      </c>
      <c r="U4406" s="32">
        <f t="shared" si="336"/>
        <v>881.66600099838683</v>
      </c>
      <c r="V4406" s="22">
        <f t="shared" si="337"/>
        <v>0.58067987779904162</v>
      </c>
      <c r="X4406" s="33"/>
      <c r="Y4406" s="33"/>
    </row>
    <row r="4407" spans="1:25" x14ac:dyDescent="0.2">
      <c r="A4407" s="93" t="s">
        <v>2990</v>
      </c>
      <c r="B4407" s="94" t="str">
        <f>IFERROR(VLOOKUP($A4407,HeadJournal!$A$1:$NTR$890,COLUMN(HeadJournal!B$1),0),"")</f>
        <v>722500394950</v>
      </c>
      <c r="C4407" s="94" t="str">
        <f>IFERROR(VLOOKUP($A4407,HeadJournal!$A$1:$NTR$890,COLUMN(HeadJournal!C$1),0),"")</f>
        <v>iHerb_OA CZN6870</v>
      </c>
      <c r="D4407" s="125" t="str">
        <f>IFERROR(VLOOKUP($A4407,HeadJournal!$A$1:$NTR$890,COLUMN(HeadJournal!D$1),0),"")</f>
        <v>Доставлен</v>
      </c>
      <c r="E4407" s="95">
        <f>IFERROR(VLOOKUP($A4407,HeadJournal!$A$1:$NTR$890,COLUMN(HeadJournal!G$1),0),"")</f>
        <v>45712</v>
      </c>
      <c r="F4407" s="95" t="str">
        <f t="shared" si="338"/>
        <v>2025 02</v>
      </c>
      <c r="G4407" s="97" t="s">
        <v>5</v>
      </c>
      <c r="H4407" s="161" t="s">
        <v>2979</v>
      </c>
      <c r="I4407" s="97" t="s">
        <v>2039</v>
      </c>
      <c r="J4407" s="97" t="s">
        <v>2980</v>
      </c>
      <c r="K4407" s="29">
        <v>14.18</v>
      </c>
      <c r="L4407" s="29">
        <v>-2.84</v>
      </c>
      <c r="M4407" s="30">
        <f>IFERROR(VLOOKUP($A4407,HeadJournal!$A$1:$J$890,COLUMN(HeadJournal!I$1),0)*($K4407+$L4407)/(SUMIF($A:$A,$A4407,$K:$K)+SUMIF($A:$A,$A4407,$L:$L)),0)</f>
        <v>0</v>
      </c>
      <c r="N4407" s="30">
        <f>IFERROR((VLOOKUP($A4407,HeadJournal!$A$1:$K$890,COLUMN(HeadJournal!K$1),0)-VLOOKUP($A4407,HeadJournal!$A$1:$K$890,COLUMN(HeadJournal!J$1),0))*($K4407+$L4407)/(SUMIF($A:$A,$A4407,$K:$K)+SUMIF($A:$A,$A4407,$L:$L)),0)</f>
        <v>2.4752490971567582E-15</v>
      </c>
      <c r="O4407" s="30">
        <f>IFERROR((VLOOKUP($A4407,HeadJournal!$A$1:$L$890,COLUMN(HeadJournal!L$1),0)*($K4407+$L4407)/(SUMIF($A:$A,$A4407,$K:$K)+SUMIF($A:$A,$A4407,$L:$L)))/VLOOKUP($A4407,HeadJournal!$A$1:$L$890,COLUMN(HeadJournal!H$1),0),0)</f>
        <v>0.39922158104268046</v>
      </c>
      <c r="P4407" s="30">
        <f>IFERROR(SUM(K4407:O4407)*VLOOKUP($A4407,HeadJournal!$A$1:$L$890,COLUMN(HeadJournal!H$1),0),0)</f>
        <v>1188.2613905230016</v>
      </c>
      <c r="Q4407" s="29">
        <v>1900</v>
      </c>
      <c r="R4407" s="31">
        <v>45750</v>
      </c>
      <c r="S4407" s="31" t="s">
        <v>3121</v>
      </c>
      <c r="T4407" s="95" t="str">
        <f t="shared" si="339"/>
        <v>2025 04</v>
      </c>
      <c r="U4407" s="32">
        <f t="shared" si="336"/>
        <v>711.73860947699836</v>
      </c>
      <c r="V4407" s="22">
        <f t="shared" si="337"/>
        <v>0.59897478379208602</v>
      </c>
      <c r="X4407" s="33"/>
      <c r="Y4407" s="33"/>
    </row>
    <row r="4408" spans="1:25" x14ac:dyDescent="0.2">
      <c r="A4408" s="93" t="s">
        <v>2990</v>
      </c>
      <c r="B4408" s="94" t="str">
        <f>IFERROR(VLOOKUP($A4408,HeadJournal!$A$1:$NTR$890,COLUMN(HeadJournal!B$1),0),"")</f>
        <v>722500394950</v>
      </c>
      <c r="C4408" s="94" t="str">
        <f>IFERROR(VLOOKUP($A4408,HeadJournal!$A$1:$NTR$890,COLUMN(HeadJournal!C$1),0),"")</f>
        <v>iHerb_OA CZN6870</v>
      </c>
      <c r="D4408" s="125" t="str">
        <f>IFERROR(VLOOKUP($A4408,HeadJournal!$A$1:$NTR$890,COLUMN(HeadJournal!D$1),0),"")</f>
        <v>Доставлен</v>
      </c>
      <c r="E4408" s="95">
        <f>IFERROR(VLOOKUP($A4408,HeadJournal!$A$1:$NTR$890,COLUMN(HeadJournal!G$1),0),"")</f>
        <v>45712</v>
      </c>
      <c r="F4408" s="95" t="str">
        <f t="shared" si="338"/>
        <v>2025 02</v>
      </c>
      <c r="G4408" s="97" t="s">
        <v>5</v>
      </c>
      <c r="H4408" s="161" t="s">
        <v>2196</v>
      </c>
      <c r="I4408" s="97" t="s">
        <v>2006</v>
      </c>
      <c r="J4408" s="97" t="s">
        <v>2197</v>
      </c>
      <c r="K4408" s="29">
        <v>17.64</v>
      </c>
      <c r="L4408" s="29">
        <v>-3.53</v>
      </c>
      <c r="M4408" s="30">
        <f>IFERROR(VLOOKUP($A4408,HeadJournal!$A$1:$J$890,COLUMN(HeadJournal!I$1),0)*($K4408+$L4408)/(SUMIF($A:$A,$A4408,$K:$K)+SUMIF($A:$A,$A4408,$L:$L)),0)</f>
        <v>0</v>
      </c>
      <c r="N4408" s="30">
        <f>IFERROR((VLOOKUP($A4408,HeadJournal!$A$1:$K$890,COLUMN(HeadJournal!K$1),0)-VLOOKUP($A4408,HeadJournal!$A$1:$K$890,COLUMN(HeadJournal!J$1),0))*($K4408+$L4408)/(SUMIF($A:$A,$A4408,$K:$K)+SUMIF($A:$A,$A4408,$L:$L)),0)</f>
        <v>3.0798734357038681E-15</v>
      </c>
      <c r="O4408" s="30">
        <f>IFERROR((VLOOKUP($A4408,HeadJournal!$A$1:$L$890,COLUMN(HeadJournal!L$1),0)*($K4408+$L4408)/(SUMIF($A:$A,$A4408,$K:$K)+SUMIF($A:$A,$A4408,$L:$L)))/VLOOKUP($A4408,HeadJournal!$A$1:$L$890,COLUMN(HeadJournal!H$1),0),0)</f>
        <v>0.49673866918097198</v>
      </c>
      <c r="P4408" s="30">
        <f>IFERROR(SUM(K4408:O4408)*VLOOKUP($A4408,HeadJournal!$A$1:$L$890,COLUMN(HeadJournal!H$1),0),0)</f>
        <v>1478.515716074035</v>
      </c>
      <c r="Q4408" s="29">
        <v>2450</v>
      </c>
      <c r="R4408" s="31">
        <v>45749</v>
      </c>
      <c r="S4408" s="31" t="s">
        <v>3121</v>
      </c>
      <c r="T4408" s="95" t="str">
        <f t="shared" si="339"/>
        <v>2025 04</v>
      </c>
      <c r="U4408" s="32">
        <f t="shared" si="336"/>
        <v>971.48428392596497</v>
      </c>
      <c r="V4408" s="22">
        <f t="shared" si="337"/>
        <v>0.65706726912960256</v>
      </c>
      <c r="X4408" s="33"/>
      <c r="Y4408" s="33"/>
    </row>
    <row r="4409" spans="1:25" x14ac:dyDescent="0.2">
      <c r="A4409" s="93" t="s">
        <v>2990</v>
      </c>
      <c r="B4409" s="94" t="str">
        <f>IFERROR(VLOOKUP($A4409,HeadJournal!$A$1:$NTR$890,COLUMN(HeadJournal!B$1),0),"")</f>
        <v>722500394950</v>
      </c>
      <c r="C4409" s="94" t="str">
        <f>IFERROR(VLOOKUP($A4409,HeadJournal!$A$1:$NTR$890,COLUMN(HeadJournal!C$1),0),"")</f>
        <v>iHerb_OA CZN6870</v>
      </c>
      <c r="D4409" s="125" t="str">
        <f>IFERROR(VLOOKUP($A4409,HeadJournal!$A$1:$NTR$890,COLUMN(HeadJournal!D$1),0),"")</f>
        <v>Доставлен</v>
      </c>
      <c r="E4409" s="95">
        <f>IFERROR(VLOOKUP($A4409,HeadJournal!$A$1:$NTR$890,COLUMN(HeadJournal!G$1),0),"")</f>
        <v>45712</v>
      </c>
      <c r="F4409" s="95" t="str">
        <f t="shared" si="338"/>
        <v>2025 02</v>
      </c>
      <c r="G4409" s="97" t="s">
        <v>5</v>
      </c>
      <c r="H4409" s="161" t="s">
        <v>2200</v>
      </c>
      <c r="I4409" s="97" t="s">
        <v>2005</v>
      </c>
      <c r="J4409" s="97" t="s">
        <v>2201</v>
      </c>
      <c r="K4409" s="29">
        <v>10.130000000000001</v>
      </c>
      <c r="L4409" s="29">
        <v>-2.0299999999999998</v>
      </c>
      <c r="M4409" s="30">
        <f>IFERROR(VLOOKUP($A4409,HeadJournal!$A$1:$J$890,COLUMN(HeadJournal!I$1),0)*($K4409+$L4409)/(SUMIF($A:$A,$A4409,$K:$K)+SUMIF($A:$A,$A4409,$L:$L)),0)</f>
        <v>0</v>
      </c>
      <c r="N4409" s="30">
        <f>IFERROR((VLOOKUP($A4409,HeadJournal!$A$1:$K$890,COLUMN(HeadJournal!K$1),0)-VLOOKUP($A4409,HeadJournal!$A$1:$K$890,COLUMN(HeadJournal!J$1),0))*($K4409+$L4409)/(SUMIF($A:$A,$A4409,$K:$K)+SUMIF($A:$A,$A4409,$L:$L)),0)</f>
        <v>1.7680350693976847E-15</v>
      </c>
      <c r="O4409" s="30">
        <f>IFERROR((VLOOKUP($A4409,HeadJournal!$A$1:$L$890,COLUMN(HeadJournal!L$1),0)*($K4409+$L4409)/(SUMIF($A:$A,$A4409,$K:$K)+SUMIF($A:$A,$A4409,$L:$L)))/VLOOKUP($A4409,HeadJournal!$A$1:$L$890,COLUMN(HeadJournal!H$1),0),0)</f>
        <v>0.28515827217334322</v>
      </c>
      <c r="P4409" s="30">
        <f>IFERROR(SUM(K4409:O4409)*VLOOKUP($A4409,HeadJournal!$A$1:$L$890,COLUMN(HeadJournal!H$1),0),0)</f>
        <v>848.75813608785847</v>
      </c>
      <c r="Q4409" s="29">
        <v>1700</v>
      </c>
      <c r="R4409" s="31">
        <v>45867</v>
      </c>
      <c r="S4409" s="31"/>
      <c r="T4409" s="95" t="str">
        <f t="shared" si="339"/>
        <v>2025 07</v>
      </c>
      <c r="U4409" s="32">
        <f t="shared" si="336"/>
        <v>851.24186391214153</v>
      </c>
      <c r="V4409" s="22">
        <f t="shared" si="337"/>
        <v>1.0029263081185074</v>
      </c>
      <c r="X4409" s="33"/>
      <c r="Y4409" s="33"/>
    </row>
    <row r="4410" spans="1:25" x14ac:dyDescent="0.2">
      <c r="A4410" s="93" t="s">
        <v>2990</v>
      </c>
      <c r="B4410" s="94" t="str">
        <f>IFERROR(VLOOKUP($A4410,HeadJournal!$A$1:$NTR$890,COLUMN(HeadJournal!B$1),0),"")</f>
        <v>722500394950</v>
      </c>
      <c r="C4410" s="94" t="str">
        <f>IFERROR(VLOOKUP($A4410,HeadJournal!$A$1:$NTR$890,COLUMN(HeadJournal!C$1),0),"")</f>
        <v>iHerb_OA CZN6870</v>
      </c>
      <c r="D4410" s="125" t="str">
        <f>IFERROR(VLOOKUP($A4410,HeadJournal!$A$1:$NTR$890,COLUMN(HeadJournal!D$1),0),"")</f>
        <v>Доставлен</v>
      </c>
      <c r="E4410" s="95">
        <f>IFERROR(VLOOKUP($A4410,HeadJournal!$A$1:$NTR$890,COLUMN(HeadJournal!G$1),0),"")</f>
        <v>45712</v>
      </c>
      <c r="F4410" s="95" t="str">
        <f t="shared" si="338"/>
        <v>2025 02</v>
      </c>
      <c r="G4410" s="97" t="s">
        <v>5</v>
      </c>
      <c r="H4410" s="161" t="s">
        <v>2981</v>
      </c>
      <c r="I4410" s="97" t="s">
        <v>2982</v>
      </c>
      <c r="J4410" s="97" t="s">
        <v>2983</v>
      </c>
      <c r="K4410" s="29">
        <v>32.49</v>
      </c>
      <c r="L4410" s="29">
        <v>-6.5</v>
      </c>
      <c r="M4410" s="30">
        <f>IFERROR(VLOOKUP($A4410,HeadJournal!$A$1:$J$890,COLUMN(HeadJournal!I$1),0)*($K4410+$L4410)/(SUMIF($A:$A,$A4410,$K:$K)+SUMIF($A:$A,$A4410,$L:$L)),0)</f>
        <v>0</v>
      </c>
      <c r="N4410" s="30">
        <f>IFERROR((VLOOKUP($A4410,HeadJournal!$A$1:$K$890,COLUMN(HeadJournal!K$1),0)-VLOOKUP($A4410,HeadJournal!$A$1:$K$890,COLUMN(HeadJournal!J$1),0))*($K4410+$L4410)/(SUMIF($A:$A,$A4410,$K:$K)+SUMIF($A:$A,$A4410,$L:$L)),0)</f>
        <v>5.6729915374871384E-15</v>
      </c>
      <c r="O4410" s="30">
        <f>IFERROR((VLOOKUP($A4410,HeadJournal!$A$1:$L$890,COLUMN(HeadJournal!L$1),0)*($K4410+$L4410)/(SUMIF($A:$A,$A4410,$K:$K)+SUMIF($A:$A,$A4410,$L:$L)))/VLOOKUP($A4410,HeadJournal!$A$1:$L$890,COLUMN(HeadJournal!H$1),0),0)</f>
        <v>0.91497080170187528</v>
      </c>
      <c r="P4410" s="30">
        <f>IFERROR(SUM(K4410:O4410)*VLOOKUP($A4410,HeadJournal!$A$1:$L$890,COLUMN(HeadJournal!H$1),0),0)</f>
        <v>2723.3609823362276</v>
      </c>
      <c r="Q4410" s="29">
        <v>3800</v>
      </c>
      <c r="R4410" s="31">
        <v>45750</v>
      </c>
      <c r="S4410" s="31" t="s">
        <v>3121</v>
      </c>
      <c r="T4410" s="95" t="str">
        <f t="shared" si="339"/>
        <v>2025 04</v>
      </c>
      <c r="U4410" s="32">
        <f t="shared" si="336"/>
        <v>1076.6390176637724</v>
      </c>
      <c r="V4410" s="22">
        <f t="shared" si="337"/>
        <v>0.39533467088897656</v>
      </c>
      <c r="X4410" s="33"/>
      <c r="Y4410" s="33"/>
    </row>
    <row r="4411" spans="1:25" x14ac:dyDescent="0.2">
      <c r="A4411" s="93" t="s">
        <v>2990</v>
      </c>
      <c r="B4411" s="94" t="str">
        <f>IFERROR(VLOOKUP($A4411,HeadJournal!$A$1:$NTR$890,COLUMN(HeadJournal!B$1),0),"")</f>
        <v>722500394950</v>
      </c>
      <c r="C4411" s="94" t="str">
        <f>IFERROR(VLOOKUP($A4411,HeadJournal!$A$1:$NTR$890,COLUMN(HeadJournal!C$1),0),"")</f>
        <v>iHerb_OA CZN6870</v>
      </c>
      <c r="D4411" s="125" t="str">
        <f>IFERROR(VLOOKUP($A4411,HeadJournal!$A$1:$NTR$890,COLUMN(HeadJournal!D$1),0),"")</f>
        <v>Доставлен</v>
      </c>
      <c r="E4411" s="95">
        <f>IFERROR(VLOOKUP($A4411,HeadJournal!$A$1:$NTR$890,COLUMN(HeadJournal!G$1),0),"")</f>
        <v>45712</v>
      </c>
      <c r="F4411" s="95" t="str">
        <f t="shared" si="338"/>
        <v>2025 02</v>
      </c>
      <c r="G4411" s="97" t="s">
        <v>5</v>
      </c>
      <c r="H4411" s="161" t="s">
        <v>2984</v>
      </c>
      <c r="I4411" s="97" t="s">
        <v>2218</v>
      </c>
      <c r="J4411" s="97" t="s">
        <v>2985</v>
      </c>
      <c r="K4411" s="29">
        <v>10.11</v>
      </c>
      <c r="L4411" s="29">
        <v>-2.02</v>
      </c>
      <c r="M4411" s="30">
        <f>IFERROR(VLOOKUP($A4411,HeadJournal!$A$1:$J$890,COLUMN(HeadJournal!I$1),0)*($K4411+$L4411)/(SUMIF($A:$A,$A4411,$K:$K)+SUMIF($A:$A,$A4411,$L:$L)),0)</f>
        <v>0</v>
      </c>
      <c r="N4411" s="30">
        <f>IFERROR((VLOOKUP($A4411,HeadJournal!$A$1:$K$890,COLUMN(HeadJournal!K$1),0)-VLOOKUP($A4411,HeadJournal!$A$1:$K$890,COLUMN(HeadJournal!J$1),0))*($K4411+$L4411)/(SUMIF($A:$A,$A4411,$K:$K)+SUMIF($A:$A,$A4411,$L:$L)),0)</f>
        <v>1.765852310052749E-15</v>
      </c>
      <c r="O4411" s="30">
        <f>IFERROR((VLOOKUP($A4411,HeadJournal!$A$1:$L$890,COLUMN(HeadJournal!L$1),0)*($K4411+$L4411)/(SUMIF($A:$A,$A4411,$K:$K)+SUMIF($A:$A,$A4411,$L:$L)))/VLOOKUP($A4411,HeadJournal!$A$1:$L$890,COLUMN(HeadJournal!H$1),0),0)</f>
        <v>0.28480622492374646</v>
      </c>
      <c r="P4411" s="30">
        <f>IFERROR(SUM(K4411:O4411)*VLOOKUP($A4411,HeadJournal!$A$1:$L$890,COLUMN(HeadJournal!H$1),0),0)</f>
        <v>847.71028653713267</v>
      </c>
      <c r="Q4411" s="29">
        <v>1500</v>
      </c>
      <c r="R4411" s="31">
        <v>45774</v>
      </c>
      <c r="S4411" s="31" t="s">
        <v>3121</v>
      </c>
      <c r="T4411" s="95" t="str">
        <f t="shared" si="339"/>
        <v>2025 04</v>
      </c>
      <c r="U4411" s="32">
        <f t="shared" si="336"/>
        <v>652.28971346286733</v>
      </c>
      <c r="V4411" s="22">
        <f t="shared" si="337"/>
        <v>0.76947245282046572</v>
      </c>
      <c r="X4411" s="33"/>
      <c r="Y4411" s="33"/>
    </row>
    <row r="4412" spans="1:25" x14ac:dyDescent="0.2">
      <c r="A4412" s="93" t="s">
        <v>2990</v>
      </c>
      <c r="B4412" s="94" t="str">
        <f>IFERROR(VLOOKUP($A4412,HeadJournal!$A$1:$NTR$890,COLUMN(HeadJournal!B$1),0),"")</f>
        <v>722500394950</v>
      </c>
      <c r="C4412" s="94" t="str">
        <f>IFERROR(VLOOKUP($A4412,HeadJournal!$A$1:$NTR$890,COLUMN(HeadJournal!C$1),0),"")</f>
        <v>iHerb_OA CZN6870</v>
      </c>
      <c r="D4412" s="125" t="str">
        <f>IFERROR(VLOOKUP($A4412,HeadJournal!$A$1:$NTR$890,COLUMN(HeadJournal!D$1),0),"")</f>
        <v>Доставлен</v>
      </c>
      <c r="E4412" s="95">
        <f>IFERROR(VLOOKUP($A4412,HeadJournal!$A$1:$NTR$890,COLUMN(HeadJournal!G$1),0),"")</f>
        <v>45712</v>
      </c>
      <c r="F4412" s="95" t="str">
        <f t="shared" si="338"/>
        <v>2025 02</v>
      </c>
      <c r="G4412" s="97" t="s">
        <v>5</v>
      </c>
      <c r="H4412" s="161" t="s">
        <v>2986</v>
      </c>
      <c r="I4412" s="97" t="s">
        <v>2005</v>
      </c>
      <c r="J4412" s="97" t="s">
        <v>2987</v>
      </c>
      <c r="K4412" s="29">
        <v>9.41</v>
      </c>
      <c r="L4412" s="29">
        <v>-1.88</v>
      </c>
      <c r="M4412" s="30">
        <f>IFERROR(VLOOKUP($A4412,HeadJournal!$A$1:$J$890,COLUMN(HeadJournal!I$1),0)*($K4412+$L4412)/(SUMIF($A:$A,$A4412,$K:$K)+SUMIF($A:$A,$A4412,$L:$L)),0)</f>
        <v>0</v>
      </c>
      <c r="N4412" s="30">
        <f>IFERROR((VLOOKUP($A4412,HeadJournal!$A$1:$K$890,COLUMN(HeadJournal!K$1),0)-VLOOKUP($A4412,HeadJournal!$A$1:$K$890,COLUMN(HeadJournal!J$1),0))*($K4412+$L4412)/(SUMIF($A:$A,$A4412,$K:$K)+SUMIF($A:$A,$A4412,$L:$L)),0)</f>
        <v>1.643617786736366E-15</v>
      </c>
      <c r="O4412" s="30">
        <f>IFERROR((VLOOKUP($A4412,HeadJournal!$A$1:$L$890,COLUMN(HeadJournal!L$1),0)*($K4412+$L4412)/(SUMIF($A:$A,$A4412,$K:$K)+SUMIF($A:$A,$A4412,$L:$L)))/VLOOKUP($A4412,HeadJournal!$A$1:$L$890,COLUMN(HeadJournal!H$1),0),0)</f>
        <v>0.26509157894633018</v>
      </c>
      <c r="P4412" s="30">
        <f>IFERROR(SUM(K4412:O4412)*VLOOKUP($A4412,HeadJournal!$A$1:$L$890,COLUMN(HeadJournal!H$1),0),0)</f>
        <v>789.0307116964907</v>
      </c>
      <c r="Q4412" s="29">
        <v>1400</v>
      </c>
      <c r="R4412" s="31">
        <v>45774</v>
      </c>
      <c r="S4412" s="31" t="s">
        <v>3121</v>
      </c>
      <c r="T4412" s="95" t="str">
        <f t="shared" si="339"/>
        <v>2025 04</v>
      </c>
      <c r="U4412" s="32">
        <f t="shared" si="336"/>
        <v>610.9692883035093</v>
      </c>
      <c r="V4412" s="22">
        <f t="shared" si="337"/>
        <v>0.77432890665290777</v>
      </c>
      <c r="X4412" s="33"/>
      <c r="Y4412" s="33"/>
    </row>
    <row r="4413" spans="1:25" x14ac:dyDescent="0.2">
      <c r="A4413" s="93" t="s">
        <v>2990</v>
      </c>
      <c r="B4413" s="94" t="str">
        <f>IFERROR(VLOOKUP($A4413,HeadJournal!$A$1:$NTR$890,COLUMN(HeadJournal!B$1),0),"")</f>
        <v>722500394950</v>
      </c>
      <c r="C4413" s="94" t="str">
        <f>IFERROR(VLOOKUP($A4413,HeadJournal!$A$1:$NTR$890,COLUMN(HeadJournal!C$1),0),"")</f>
        <v>iHerb_OA CZN6870</v>
      </c>
      <c r="D4413" s="125" t="str">
        <f>IFERROR(VLOOKUP($A4413,HeadJournal!$A$1:$NTR$890,COLUMN(HeadJournal!D$1),0),"")</f>
        <v>Доставлен</v>
      </c>
      <c r="E4413" s="95">
        <f>IFERROR(VLOOKUP($A4413,HeadJournal!$A$1:$NTR$890,COLUMN(HeadJournal!G$1),0),"")</f>
        <v>45712</v>
      </c>
      <c r="F4413" s="95" t="str">
        <f t="shared" si="338"/>
        <v>2025 02</v>
      </c>
      <c r="G4413" s="97" t="s">
        <v>5</v>
      </c>
      <c r="H4413" s="161" t="s">
        <v>2988</v>
      </c>
      <c r="I4413" s="97" t="s">
        <v>2750</v>
      </c>
      <c r="J4413" s="97" t="s">
        <v>2989</v>
      </c>
      <c r="K4413" s="29">
        <v>23.61</v>
      </c>
      <c r="L4413" s="29">
        <v>-4.72</v>
      </c>
      <c r="M4413" s="30">
        <f>IFERROR(VLOOKUP($A4413,HeadJournal!$A$1:$J$890,COLUMN(HeadJournal!I$1),0)*($K4413+$L4413)/(SUMIF($A:$A,$A4413,$K:$K)+SUMIF($A:$A,$A4413,$L:$L)),0)</f>
        <v>0</v>
      </c>
      <c r="N4413" s="30">
        <f>IFERROR((VLOOKUP($A4413,HeadJournal!$A$1:$K$890,COLUMN(HeadJournal!K$1),0)-VLOOKUP($A4413,HeadJournal!$A$1:$K$890,COLUMN(HeadJournal!J$1),0))*($K4413+$L4413)/(SUMIF($A:$A,$A4413,$K:$K)+SUMIF($A:$A,$A4413,$L:$L)),0)</f>
        <v>4.123232402582995E-15</v>
      </c>
      <c r="O4413" s="30">
        <f>IFERROR((VLOOKUP($A4413,HeadJournal!$A$1:$L$890,COLUMN(HeadJournal!L$1),0)*($K4413+$L4413)/(SUMIF($A:$A,$A4413,$K:$K)+SUMIF($A:$A,$A4413,$L:$L)))/VLOOKUP($A4413,HeadJournal!$A$1:$L$890,COLUMN(HeadJournal!H$1),0),0)</f>
        <v>0.66501725448820403</v>
      </c>
      <c r="P4413" s="30">
        <f>IFERROR(SUM(K4413:O4413)*VLOOKUP($A4413,HeadJournal!$A$1:$L$890,COLUMN(HeadJournal!H$1),0),0)</f>
        <v>1979.3878013209442</v>
      </c>
      <c r="Q4413" s="29">
        <v>3200</v>
      </c>
      <c r="R4413" s="31">
        <v>45750</v>
      </c>
      <c r="S4413" s="31" t="s">
        <v>3121</v>
      </c>
      <c r="T4413" s="95" t="str">
        <f t="shared" si="339"/>
        <v>2025 04</v>
      </c>
      <c r="U4413" s="32">
        <f t="shared" si="336"/>
        <v>1220.6121986790558</v>
      </c>
      <c r="V4413" s="22">
        <f t="shared" si="337"/>
        <v>0.61666147374682234</v>
      </c>
      <c r="X4413" s="33"/>
      <c r="Y4413" s="33"/>
    </row>
    <row r="4414" spans="1:25" x14ac:dyDescent="0.2">
      <c r="A4414" s="93" t="s">
        <v>3001</v>
      </c>
      <c r="B4414" s="94" t="str">
        <f>IFERROR(VLOOKUP($A4414,HeadJournal!$A$1:$NTR$890,COLUMN(HeadJournal!B$1),0),"")</f>
        <v>722500403983</v>
      </c>
      <c r="C4414" s="94" t="str">
        <f>IFERROR(VLOOKUP($A4414,HeadJournal!$A$1:$NTR$890,COLUMN(HeadJournal!C$1),0),"")</f>
        <v>iHerb_OA CZN6870</v>
      </c>
      <c r="D4414" s="125" t="str">
        <f>IFERROR(VLOOKUP($A4414,HeadJournal!$A$1:$NTR$890,COLUMN(HeadJournal!D$1),0),"")</f>
        <v>Доставлен</v>
      </c>
      <c r="E4414" s="95">
        <f>IFERROR(VLOOKUP($A4414,HeadJournal!$A$1:$NTR$890,COLUMN(HeadJournal!G$1),0),"")</f>
        <v>45725</v>
      </c>
      <c r="F4414" s="95" t="str">
        <f t="shared" si="338"/>
        <v>2025 03</v>
      </c>
      <c r="G4414" s="97" t="s">
        <v>5</v>
      </c>
      <c r="H4414" s="161" t="s">
        <v>2597</v>
      </c>
      <c r="I4414" s="97" t="s">
        <v>2039</v>
      </c>
      <c r="J4414" s="97" t="s">
        <v>3737</v>
      </c>
      <c r="K4414" s="29">
        <v>12.6</v>
      </c>
      <c r="L4414" s="29">
        <v>-1.26</v>
      </c>
      <c r="M4414" s="30">
        <f>IFERROR(VLOOKUP($A4414,HeadJournal!$A$1:$J$890,COLUMN(HeadJournal!I$1),0)*($K4414+$L4414)/(SUMIF($A:$A,$A4414,$K:$K)+SUMIF($A:$A,$A4414,$L:$L)),0)</f>
        <v>-2.0172808132147395</v>
      </c>
      <c r="N4414" s="30">
        <f>IFERROR((VLOOKUP($A4414,HeadJournal!$A$1:$K$890,COLUMN(HeadJournal!K$1),0)-VLOOKUP($A4414,HeadJournal!$A$1:$K$890,COLUMN(HeadJournal!J$1),0))*($K4414+$L4414)/(SUMIF($A:$A,$A4414,$K:$K)+SUMIF($A:$A,$A4414,$L:$L)),0)</f>
        <v>0</v>
      </c>
      <c r="O4414" s="30">
        <f>IFERROR((VLOOKUP($A4414,HeadJournal!$A$1:$L$890,COLUMN(HeadJournal!L$1),0)*($K4414+$L4414)/(SUMIF($A:$A,$A4414,$K:$K)+SUMIF($A:$A,$A4414,$L:$L)))/VLOOKUP($A4414,HeadJournal!$A$1:$L$890,COLUMN(HeadJournal!H$1),0),0)</f>
        <v>0.26425845009629945</v>
      </c>
      <c r="P4414" s="30">
        <f>IFERROR(SUM(K4414:O4414)*VLOOKUP($A4414,HeadJournal!$A$1:$L$890,COLUMN(HeadJournal!H$1),0),0)</f>
        <v>970.21754714104202</v>
      </c>
      <c r="Q4414" s="29">
        <v>1800</v>
      </c>
      <c r="R4414" s="31">
        <v>45750</v>
      </c>
      <c r="S4414" s="31" t="s">
        <v>3121</v>
      </c>
      <c r="T4414" s="95" t="str">
        <f t="shared" si="339"/>
        <v>2025 04</v>
      </c>
      <c r="U4414" s="32">
        <f t="shared" si="336"/>
        <v>829.78245285895798</v>
      </c>
      <c r="V4414" s="22">
        <f t="shared" si="337"/>
        <v>0.8552540152505933</v>
      </c>
      <c r="X4414" s="33"/>
      <c r="Y4414" s="33"/>
    </row>
    <row r="4415" spans="1:25" x14ac:dyDescent="0.2">
      <c r="A4415" s="93" t="s">
        <v>3001</v>
      </c>
      <c r="B4415" s="94" t="str">
        <f>IFERROR(VLOOKUP($A4415,HeadJournal!$A$1:$NTR$890,COLUMN(HeadJournal!B$1),0),"")</f>
        <v>722500403983</v>
      </c>
      <c r="C4415" s="94" t="str">
        <f>IFERROR(VLOOKUP($A4415,HeadJournal!$A$1:$NTR$890,COLUMN(HeadJournal!C$1),0),"")</f>
        <v>iHerb_OA CZN6870</v>
      </c>
      <c r="D4415" s="125" t="str">
        <f>IFERROR(VLOOKUP($A4415,HeadJournal!$A$1:$NTR$890,COLUMN(HeadJournal!D$1),0),"")</f>
        <v>Доставлен</v>
      </c>
      <c r="E4415" s="95">
        <f>IFERROR(VLOOKUP($A4415,HeadJournal!$A$1:$NTR$890,COLUMN(HeadJournal!G$1),0),"")</f>
        <v>45725</v>
      </c>
      <c r="F4415" s="95" t="str">
        <f t="shared" si="338"/>
        <v>2025 03</v>
      </c>
      <c r="G4415" s="97" t="s">
        <v>5</v>
      </c>
      <c r="H4415" s="161" t="s">
        <v>2024</v>
      </c>
      <c r="I4415" s="97" t="s">
        <v>2005</v>
      </c>
      <c r="J4415" s="97" t="s">
        <v>4140</v>
      </c>
      <c r="K4415" s="29">
        <v>17.38</v>
      </c>
      <c r="L4415" s="29">
        <v>-1.74</v>
      </c>
      <c r="M4415" s="30">
        <f>IFERROR(VLOOKUP($A4415,HeadJournal!$A$1:$J$890,COLUMN(HeadJournal!I$1),0)*($K4415+$L4415)/(SUMIF($A:$A,$A4415,$K:$K)+SUMIF($A:$A,$A4415,$L:$L)),0)</f>
        <v>-2.782210927573062</v>
      </c>
      <c r="N4415" s="30">
        <f>IFERROR((VLOOKUP($A4415,HeadJournal!$A$1:$K$890,COLUMN(HeadJournal!K$1),0)-VLOOKUP($A4415,HeadJournal!$A$1:$K$890,COLUMN(HeadJournal!J$1),0))*($K4415+$L4415)/(SUMIF($A:$A,$A4415,$K:$K)+SUMIF($A:$A,$A4415,$L:$L)),0)</f>
        <v>0</v>
      </c>
      <c r="O4415" s="30">
        <f>IFERROR((VLOOKUP($A4415,HeadJournal!$A$1:$L$890,COLUMN(HeadJournal!L$1),0)*($K4415+$L4415)/(SUMIF($A:$A,$A4415,$K:$K)+SUMIF($A:$A,$A4415,$L:$L)))/VLOOKUP($A4415,HeadJournal!$A$1:$L$890,COLUMN(HeadJournal!H$1),0),0)</f>
        <v>0.36446227156138655</v>
      </c>
      <c r="P4415" s="30">
        <f>IFERROR(SUM(K4415:O4415)*VLOOKUP($A4415,HeadJournal!$A$1:$L$890,COLUMN(HeadJournal!H$1),0),0)</f>
        <v>1338.113089707751</v>
      </c>
      <c r="Q4415" s="29">
        <v>2400</v>
      </c>
      <c r="R4415" s="31">
        <v>45758</v>
      </c>
      <c r="S4415" s="31" t="s">
        <v>3121</v>
      </c>
      <c r="T4415" s="95" t="str">
        <f t="shared" si="339"/>
        <v>2025 04</v>
      </c>
      <c r="U4415" s="32">
        <f t="shared" si="336"/>
        <v>1061.886910292249</v>
      </c>
      <c r="V4415" s="22">
        <f t="shared" si="337"/>
        <v>0.79357037791489593</v>
      </c>
      <c r="X4415" s="33"/>
      <c r="Y4415" s="33"/>
    </row>
    <row r="4416" spans="1:25" x14ac:dyDescent="0.2">
      <c r="A4416" s="93" t="s">
        <v>3001</v>
      </c>
      <c r="B4416" s="94" t="str">
        <f>IFERROR(VLOOKUP($A4416,HeadJournal!$A$1:$NTR$890,COLUMN(HeadJournal!B$1),0),"")</f>
        <v>722500403983</v>
      </c>
      <c r="C4416" s="94" t="str">
        <f>IFERROR(VLOOKUP($A4416,HeadJournal!$A$1:$NTR$890,COLUMN(HeadJournal!C$1),0),"")</f>
        <v>iHerb_OA CZN6870</v>
      </c>
      <c r="D4416" s="125" t="str">
        <f>IFERROR(VLOOKUP($A4416,HeadJournal!$A$1:$NTR$890,COLUMN(HeadJournal!D$1),0),"")</f>
        <v>Доставлен</v>
      </c>
      <c r="E4416" s="95">
        <f>IFERROR(VLOOKUP($A4416,HeadJournal!$A$1:$NTR$890,COLUMN(HeadJournal!G$1),0),"")</f>
        <v>45725</v>
      </c>
      <c r="F4416" s="95" t="str">
        <f t="shared" si="338"/>
        <v>2025 03</v>
      </c>
      <c r="G4416" s="97" t="s">
        <v>5</v>
      </c>
      <c r="H4416" s="161" t="s">
        <v>2024</v>
      </c>
      <c r="I4416" s="97" t="s">
        <v>2005</v>
      </c>
      <c r="J4416" s="97" t="s">
        <v>4140</v>
      </c>
      <c r="K4416" s="29">
        <v>17.38</v>
      </c>
      <c r="L4416" s="29">
        <v>-1.74</v>
      </c>
      <c r="M4416" s="30">
        <f>IFERROR(VLOOKUP($A4416,HeadJournal!$A$1:$J$890,COLUMN(HeadJournal!I$1),0)*($K4416+$L4416)/(SUMIF($A:$A,$A4416,$K:$K)+SUMIF($A:$A,$A4416,$L:$L)),0)</f>
        <v>-2.782210927573062</v>
      </c>
      <c r="N4416" s="30">
        <f>IFERROR((VLOOKUP($A4416,HeadJournal!$A$1:$K$890,COLUMN(HeadJournal!K$1),0)-VLOOKUP($A4416,HeadJournal!$A$1:$K$890,COLUMN(HeadJournal!J$1),0))*($K4416+$L4416)/(SUMIF($A:$A,$A4416,$K:$K)+SUMIF($A:$A,$A4416,$L:$L)),0)</f>
        <v>0</v>
      </c>
      <c r="O4416" s="30">
        <f>IFERROR((VLOOKUP($A4416,HeadJournal!$A$1:$L$890,COLUMN(HeadJournal!L$1),0)*($K4416+$L4416)/(SUMIF($A:$A,$A4416,$K:$K)+SUMIF($A:$A,$A4416,$L:$L)))/VLOOKUP($A4416,HeadJournal!$A$1:$L$890,COLUMN(HeadJournal!H$1),0),0)</f>
        <v>0.36446227156138655</v>
      </c>
      <c r="P4416" s="30">
        <f>IFERROR(SUM(K4416:O4416)*VLOOKUP($A4416,HeadJournal!$A$1:$L$890,COLUMN(HeadJournal!H$1),0),0)</f>
        <v>1338.113089707751</v>
      </c>
      <c r="Q4416" s="29">
        <v>2300</v>
      </c>
      <c r="R4416" s="31">
        <v>45852</v>
      </c>
      <c r="S4416" s="31" t="s">
        <v>3206</v>
      </c>
      <c r="T4416" s="95" t="str">
        <f t="shared" si="339"/>
        <v>2025 07</v>
      </c>
      <c r="U4416" s="32">
        <f t="shared" si="336"/>
        <v>961.88691029224901</v>
      </c>
      <c r="V4416" s="22">
        <f t="shared" si="337"/>
        <v>0.71883827883510865</v>
      </c>
      <c r="X4416" s="33"/>
      <c r="Y4416" s="33"/>
    </row>
    <row r="4417" spans="1:25" x14ac:dyDescent="0.2">
      <c r="A4417" s="93" t="s">
        <v>3001</v>
      </c>
      <c r="B4417" s="94" t="str">
        <f>IFERROR(VLOOKUP($A4417,HeadJournal!$A$1:$NTR$890,COLUMN(HeadJournal!B$1),0),"")</f>
        <v>722500403983</v>
      </c>
      <c r="C4417" s="94" t="str">
        <f>IFERROR(VLOOKUP($A4417,HeadJournal!$A$1:$NTR$890,COLUMN(HeadJournal!C$1),0),"")</f>
        <v>iHerb_OA CZN6870</v>
      </c>
      <c r="D4417" s="125" t="str">
        <f>IFERROR(VLOOKUP($A4417,HeadJournal!$A$1:$NTR$890,COLUMN(HeadJournal!D$1),0),"")</f>
        <v>Доставлен</v>
      </c>
      <c r="E4417" s="95">
        <f>IFERROR(VLOOKUP($A4417,HeadJournal!$A$1:$NTR$890,COLUMN(HeadJournal!G$1),0),"")</f>
        <v>45725</v>
      </c>
      <c r="F4417" s="95" t="str">
        <f t="shared" si="338"/>
        <v>2025 03</v>
      </c>
      <c r="G4417" s="97" t="s">
        <v>5</v>
      </c>
      <c r="H4417" s="161" t="s">
        <v>2992</v>
      </c>
      <c r="I4417" s="97" t="s">
        <v>2993</v>
      </c>
      <c r="J4417" s="97" t="s">
        <v>2994</v>
      </c>
      <c r="K4417" s="29">
        <v>53</v>
      </c>
      <c r="L4417" s="29">
        <v>-10.6</v>
      </c>
      <c r="M4417" s="30">
        <f>IFERROR(VLOOKUP($A4417,HeadJournal!$A$1:$J$890,COLUMN(HeadJournal!I$1),0)*($K4417+$L4417)/(SUMIF($A:$A,$A4417,$K:$K)+SUMIF($A:$A,$A4417,$L:$L)),0)</f>
        <v>-7.5425667090216013</v>
      </c>
      <c r="N4417" s="30">
        <f>IFERROR((VLOOKUP($A4417,HeadJournal!$A$1:$K$890,COLUMN(HeadJournal!K$1),0)-VLOOKUP($A4417,HeadJournal!$A$1:$K$890,COLUMN(HeadJournal!J$1),0))*($K4417+$L4417)/(SUMIF($A:$A,$A4417,$K:$K)+SUMIF($A:$A,$A4417,$L:$L)),0)</f>
        <v>0</v>
      </c>
      <c r="O4417" s="30">
        <f>IFERROR((VLOOKUP($A4417,HeadJournal!$A$1:$L$890,COLUMN(HeadJournal!L$1),0)*($K4417+$L4417)/(SUMIF($A:$A,$A4417,$K:$K)+SUMIF($A:$A,$A4417,$L:$L)))/VLOOKUP($A4417,HeadJournal!$A$1:$L$890,COLUMN(HeadJournal!H$1),0),0)</f>
        <v>0.98805628607434715</v>
      </c>
      <c r="P4417" s="30">
        <f>IFERROR(SUM(K4417:O4417)*VLOOKUP($A4417,HeadJournal!$A$1:$L$890,COLUMN(HeadJournal!H$1),0),0)</f>
        <v>3627.6211639135963</v>
      </c>
      <c r="Q4417" s="29">
        <v>5800</v>
      </c>
      <c r="R4417" s="31">
        <v>45749</v>
      </c>
      <c r="S4417" s="31" t="s">
        <v>3121</v>
      </c>
      <c r="T4417" s="95" t="str">
        <f t="shared" si="339"/>
        <v>2025 04</v>
      </c>
      <c r="U4417" s="32">
        <f t="shared" si="336"/>
        <v>2172.3788360864037</v>
      </c>
      <c r="V4417" s="22">
        <f t="shared" si="337"/>
        <v>0.5988439084258651</v>
      </c>
      <c r="X4417" s="33"/>
      <c r="Y4417" s="33"/>
    </row>
    <row r="4418" spans="1:25" x14ac:dyDescent="0.2">
      <c r="A4418" s="93" t="s">
        <v>3001</v>
      </c>
      <c r="B4418" s="94" t="str">
        <f>IFERROR(VLOOKUP($A4418,HeadJournal!$A$1:$NTR$890,COLUMN(HeadJournal!B$1),0),"")</f>
        <v>722500403983</v>
      </c>
      <c r="C4418" s="94" t="str">
        <f>IFERROR(VLOOKUP($A4418,HeadJournal!$A$1:$NTR$890,COLUMN(HeadJournal!C$1),0),"")</f>
        <v>iHerb_OA CZN6870</v>
      </c>
      <c r="D4418" s="125" t="str">
        <f>IFERROR(VLOOKUP($A4418,HeadJournal!$A$1:$NTR$890,COLUMN(HeadJournal!D$1),0),"")</f>
        <v>Доставлен</v>
      </c>
      <c r="E4418" s="95">
        <f>IFERROR(VLOOKUP($A4418,HeadJournal!$A$1:$NTR$890,COLUMN(HeadJournal!G$1),0),"")</f>
        <v>45725</v>
      </c>
      <c r="F4418" s="95" t="str">
        <f t="shared" si="338"/>
        <v>2025 03</v>
      </c>
      <c r="G4418" s="97" t="s">
        <v>5</v>
      </c>
      <c r="H4418" s="161" t="s">
        <v>2995</v>
      </c>
      <c r="I4418" s="97" t="s">
        <v>2102</v>
      </c>
      <c r="J4418" s="97" t="s">
        <v>2996</v>
      </c>
      <c r="K4418" s="29">
        <v>61.44</v>
      </c>
      <c r="L4418" s="29">
        <v>-6.14</v>
      </c>
      <c r="M4418" s="30">
        <f>IFERROR(VLOOKUP($A4418,HeadJournal!$A$1:$J$890,COLUMN(HeadJournal!I$1),0)*($K4418+$L4418)/(SUMIF($A:$A,$A4418,$K:$K)+SUMIF($A:$A,$A4418,$L:$L)),0)</f>
        <v>-9.8373570520965696</v>
      </c>
      <c r="N4418" s="30">
        <f>IFERROR((VLOOKUP($A4418,HeadJournal!$A$1:$K$890,COLUMN(HeadJournal!K$1),0)-VLOOKUP($A4418,HeadJournal!$A$1:$K$890,COLUMN(HeadJournal!J$1),0))*($K4418+$L4418)/(SUMIF($A:$A,$A4418,$K:$K)+SUMIF($A:$A,$A4418,$L:$L)),0)</f>
        <v>0</v>
      </c>
      <c r="O4418" s="30">
        <f>IFERROR((VLOOKUP($A4418,HeadJournal!$A$1:$L$890,COLUMN(HeadJournal!L$1),0)*($K4418+$L4418)/(SUMIF($A:$A,$A4418,$K:$K)+SUMIF($A:$A,$A4418,$L:$L)))/VLOOKUP($A4418,HeadJournal!$A$1:$L$890,COLUMN(HeadJournal!H$1),0),0)</f>
        <v>1.2886677504696082</v>
      </c>
      <c r="P4418" s="30">
        <f>IFERROR(SUM(K4418:O4418)*VLOOKUP($A4418,HeadJournal!$A$1:$L$890,COLUMN(HeadJournal!H$1),0),0)</f>
        <v>4731.3077916137227</v>
      </c>
      <c r="Q4418" s="29">
        <v>6700</v>
      </c>
      <c r="R4418" s="31">
        <v>45755</v>
      </c>
      <c r="S4418" s="31" t="s">
        <v>3121</v>
      </c>
      <c r="T4418" s="95" t="str">
        <f t="shared" si="339"/>
        <v>2025 04</v>
      </c>
      <c r="U4418" s="32">
        <f t="shared" si="336"/>
        <v>1968.6922083862773</v>
      </c>
      <c r="V4418" s="22">
        <f t="shared" si="337"/>
        <v>0.41609895088114929</v>
      </c>
      <c r="X4418" s="33"/>
      <c r="Y4418" s="33"/>
    </row>
    <row r="4419" spans="1:25" x14ac:dyDescent="0.2">
      <c r="A4419" s="93" t="s">
        <v>3001</v>
      </c>
      <c r="B4419" s="94" t="str">
        <f>IFERROR(VLOOKUP($A4419,HeadJournal!$A$1:$NTR$890,COLUMN(HeadJournal!B$1),0),"")</f>
        <v>722500403983</v>
      </c>
      <c r="C4419" s="94" t="str">
        <f>IFERROR(VLOOKUP($A4419,HeadJournal!$A$1:$NTR$890,COLUMN(HeadJournal!C$1),0),"")</f>
        <v>iHerb_OA CZN6870</v>
      </c>
      <c r="D4419" s="125" t="str">
        <f>IFERROR(VLOOKUP($A4419,HeadJournal!$A$1:$NTR$890,COLUMN(HeadJournal!D$1),0),"")</f>
        <v>Доставлен</v>
      </c>
      <c r="E4419" s="95">
        <f>IFERROR(VLOOKUP($A4419,HeadJournal!$A$1:$NTR$890,COLUMN(HeadJournal!G$1),0),"")</f>
        <v>45725</v>
      </c>
      <c r="F4419" s="95" t="str">
        <f t="shared" si="338"/>
        <v>2025 03</v>
      </c>
      <c r="G4419" s="97" t="s">
        <v>5</v>
      </c>
      <c r="H4419" s="161" t="s">
        <v>2997</v>
      </c>
      <c r="I4419" s="97" t="s">
        <v>2102</v>
      </c>
      <c r="J4419" s="97" t="s">
        <v>2998</v>
      </c>
      <c r="K4419" s="29">
        <v>33.6</v>
      </c>
      <c r="L4419" s="29">
        <v>-3.36</v>
      </c>
      <c r="M4419" s="30">
        <f>IFERROR(VLOOKUP($A4419,HeadJournal!$A$1:$J$890,COLUMN(HeadJournal!I$1),0)*($K4419+$L4419)/(SUMIF($A:$A,$A4419,$K:$K)+SUMIF($A:$A,$A4419,$L:$L)),0)</f>
        <v>-5.3794155019059726</v>
      </c>
      <c r="N4419" s="30">
        <f>IFERROR((VLOOKUP($A4419,HeadJournal!$A$1:$K$890,COLUMN(HeadJournal!K$1),0)-VLOOKUP($A4419,HeadJournal!$A$1:$K$890,COLUMN(HeadJournal!J$1),0))*($K4419+$L4419)/(SUMIF($A:$A,$A4419,$K:$K)+SUMIF($A:$A,$A4419,$L:$L)),0)</f>
        <v>0</v>
      </c>
      <c r="O4419" s="30">
        <f>IFERROR((VLOOKUP($A4419,HeadJournal!$A$1:$L$890,COLUMN(HeadJournal!L$1),0)*($K4419+$L4419)/(SUMIF($A:$A,$A4419,$K:$K)+SUMIF($A:$A,$A4419,$L:$L)))/VLOOKUP($A4419,HeadJournal!$A$1:$L$890,COLUMN(HeadJournal!H$1),0),0)</f>
        <v>0.7046892002567986</v>
      </c>
      <c r="P4419" s="30">
        <f>IFERROR(SUM(K4419:O4419)*VLOOKUP($A4419,HeadJournal!$A$1:$L$890,COLUMN(HeadJournal!H$1),0),0)</f>
        <v>2587.2467923761119</v>
      </c>
      <c r="Q4419" s="29">
        <v>3700</v>
      </c>
      <c r="R4419" s="31">
        <v>45759</v>
      </c>
      <c r="S4419" s="31" t="s">
        <v>3121</v>
      </c>
      <c r="T4419" s="95" t="str">
        <f t="shared" si="339"/>
        <v>2025 04</v>
      </c>
      <c r="U4419" s="32">
        <f t="shared" ref="U4419:U4482" si="342">Q4419-P4419</f>
        <v>1112.7532076238881</v>
      </c>
      <c r="V4419" s="22">
        <f t="shared" ref="V4419:V4482" si="343">IF(Q4419&lt;&gt;0,IFERROR(U4419/P4419,""),"")</f>
        <v>0.43009163675566575</v>
      </c>
      <c r="X4419" s="33"/>
      <c r="Y4419" s="33"/>
    </row>
    <row r="4420" spans="1:25" x14ac:dyDescent="0.2">
      <c r="A4420" s="93" t="s">
        <v>3001</v>
      </c>
      <c r="B4420" s="94" t="str">
        <f>IFERROR(VLOOKUP($A4420,HeadJournal!$A$1:$NTR$890,COLUMN(HeadJournal!B$1),0),"")</f>
        <v>722500403983</v>
      </c>
      <c r="C4420" s="94" t="str">
        <f>IFERROR(VLOOKUP($A4420,HeadJournal!$A$1:$NTR$890,COLUMN(HeadJournal!C$1),0),"")</f>
        <v>iHerb_OA CZN6870</v>
      </c>
      <c r="D4420" s="125" t="str">
        <f>IFERROR(VLOOKUP($A4420,HeadJournal!$A$1:$NTR$890,COLUMN(HeadJournal!D$1),0),"")</f>
        <v>Доставлен</v>
      </c>
      <c r="E4420" s="95">
        <f>IFERROR(VLOOKUP($A4420,HeadJournal!$A$1:$NTR$890,COLUMN(HeadJournal!G$1),0),"")</f>
        <v>45725</v>
      </c>
      <c r="F4420" s="95" t="str">
        <f t="shared" ref="F4420:F4483" si="344">IFERROR(TEXT(E4420, "ГГГГ ММ"),"")</f>
        <v>2025 03</v>
      </c>
      <c r="G4420" s="97" t="s">
        <v>5</v>
      </c>
      <c r="H4420" s="161" t="s">
        <v>2630</v>
      </c>
      <c r="I4420" s="97" t="s">
        <v>2052</v>
      </c>
      <c r="J4420" s="97" t="s">
        <v>2631</v>
      </c>
      <c r="K4420" s="29">
        <v>19</v>
      </c>
      <c r="L4420" s="29">
        <v>-5.7</v>
      </c>
      <c r="M4420" s="30">
        <f>IFERROR(VLOOKUP($A4420,HeadJournal!$A$1:$J$890,COLUMN(HeadJournal!I$1),0)*($K4420+$L4420)/(SUMIF($A:$A,$A4420,$K:$K)+SUMIF($A:$A,$A4420,$L:$L)),0)</f>
        <v>-2.3659466327827192</v>
      </c>
      <c r="N4420" s="30">
        <f>IFERROR((VLOOKUP($A4420,HeadJournal!$A$1:$K$890,COLUMN(HeadJournal!K$1),0)-VLOOKUP($A4420,HeadJournal!$A$1:$K$890,COLUMN(HeadJournal!J$1),0))*($K4420+$L4420)/(SUMIF($A:$A,$A4420,$K:$K)+SUMIF($A:$A,$A4420,$L:$L)),0)</f>
        <v>0</v>
      </c>
      <c r="O4420" s="30">
        <f>IFERROR((VLOOKUP($A4420,HeadJournal!$A$1:$L$890,COLUMN(HeadJournal!L$1),0)*($K4420+$L4420)/(SUMIF($A:$A,$A4420,$K:$K)+SUMIF($A:$A,$A4420,$L:$L)))/VLOOKUP($A4420,HeadJournal!$A$1:$L$890,COLUMN(HeadJournal!H$1),0),0)</f>
        <v>0.30993275011294386</v>
      </c>
      <c r="P4420" s="30">
        <f>IFERROR(SUM(K4420:O4420)*VLOOKUP($A4420,HeadJournal!$A$1:$L$890,COLUMN(HeadJournal!H$1),0),0)</f>
        <v>1137.9094688691234</v>
      </c>
      <c r="Q4420" s="29">
        <v>2700</v>
      </c>
      <c r="R4420" s="31">
        <v>45747</v>
      </c>
      <c r="S4420" s="31" t="s">
        <v>3121</v>
      </c>
      <c r="T4420" s="95" t="str">
        <f t="shared" ref="T4420:T4483" si="345">IF(R4420="","",TEXT(R4420,"ГГГГ ММ"))</f>
        <v>2025 03</v>
      </c>
      <c r="U4420" s="32">
        <f t="shared" si="342"/>
        <v>1562.0905311308766</v>
      </c>
      <c r="V4420" s="22">
        <f t="shared" si="343"/>
        <v>1.3727722405573377</v>
      </c>
      <c r="X4420" s="33"/>
      <c r="Y4420" s="33"/>
    </row>
    <row r="4421" spans="1:25" x14ac:dyDescent="0.2">
      <c r="A4421" s="93" t="s">
        <v>3001</v>
      </c>
      <c r="B4421" s="94" t="str">
        <f>IFERROR(VLOOKUP($A4421,HeadJournal!$A$1:$NTR$890,COLUMN(HeadJournal!B$1),0),"")</f>
        <v>722500403983</v>
      </c>
      <c r="C4421" s="94" t="str">
        <f>IFERROR(VLOOKUP($A4421,HeadJournal!$A$1:$NTR$890,COLUMN(HeadJournal!C$1),0),"")</f>
        <v>iHerb_OA CZN6870</v>
      </c>
      <c r="D4421" s="125" t="str">
        <f>IFERROR(VLOOKUP($A4421,HeadJournal!$A$1:$NTR$890,COLUMN(HeadJournal!D$1),0),"")</f>
        <v>Доставлен</v>
      </c>
      <c r="E4421" s="95">
        <f>IFERROR(VLOOKUP($A4421,HeadJournal!$A$1:$NTR$890,COLUMN(HeadJournal!G$1),0),"")</f>
        <v>45725</v>
      </c>
      <c r="F4421" s="95" t="str">
        <f t="shared" si="344"/>
        <v>2025 03</v>
      </c>
      <c r="G4421" s="97" t="s">
        <v>5</v>
      </c>
      <c r="H4421" s="161" t="s">
        <v>2999</v>
      </c>
      <c r="I4421" s="97" t="s">
        <v>2207</v>
      </c>
      <c r="J4421" s="97" t="s">
        <v>3000</v>
      </c>
      <c r="K4421" s="29">
        <v>14.32</v>
      </c>
      <c r="L4421" s="29">
        <v>-1.43</v>
      </c>
      <c r="M4421" s="30">
        <f>IFERROR(VLOOKUP($A4421,HeadJournal!$A$1:$J$890,COLUMN(HeadJournal!I$1),0)*($K4421+$L4421)/(SUMIF($A:$A,$A4421,$K:$K)+SUMIF($A:$A,$A4421,$L:$L)),0)</f>
        <v>-2.2930114358322746</v>
      </c>
      <c r="N4421" s="30">
        <f>IFERROR((VLOOKUP($A4421,HeadJournal!$A$1:$K$890,COLUMN(HeadJournal!K$1),0)-VLOOKUP($A4421,HeadJournal!$A$1:$K$890,COLUMN(HeadJournal!J$1),0))*($K4421+$L4421)/(SUMIF($A:$A,$A4421,$K:$K)+SUMIF($A:$A,$A4421,$L:$L)),0)</f>
        <v>0</v>
      </c>
      <c r="O4421" s="30">
        <f>IFERROR((VLOOKUP($A4421,HeadJournal!$A$1:$L$890,COLUMN(HeadJournal!L$1),0)*($K4421+$L4421)/(SUMIF($A:$A,$A4421,$K:$K)+SUMIF($A:$A,$A4421,$L:$L)))/VLOOKUP($A4421,HeadJournal!$A$1:$L$890,COLUMN(HeadJournal!H$1),0),0)</f>
        <v>0.30037843225231925</v>
      </c>
      <c r="P4421" s="30">
        <f>IFERROR(SUM(K4421:O4421)*VLOOKUP($A4421,HeadJournal!$A$1:$L$890,COLUMN(HeadJournal!H$1),0),0)</f>
        <v>1102.8310566709024</v>
      </c>
      <c r="Q4421" s="29">
        <v>2000</v>
      </c>
      <c r="R4421" s="31">
        <v>45749</v>
      </c>
      <c r="S4421" s="31" t="s">
        <v>3121</v>
      </c>
      <c r="T4421" s="95" t="str">
        <f t="shared" si="345"/>
        <v>2025 04</v>
      </c>
      <c r="U4421" s="32">
        <f t="shared" si="342"/>
        <v>897.1689433290976</v>
      </c>
      <c r="V4421" s="22">
        <f t="shared" si="343"/>
        <v>0.81351439815030824</v>
      </c>
      <c r="X4421" s="33"/>
      <c r="Y4421" s="33"/>
    </row>
    <row r="4422" spans="1:25" x14ac:dyDescent="0.2">
      <c r="A4422" s="93" t="s">
        <v>3005</v>
      </c>
      <c r="B4422" s="94" t="str">
        <f>IFERROR(VLOOKUP($A4422,HeadJournal!$A$1:$NTR$890,COLUMN(HeadJournal!B$1),0),"")</f>
        <v>722500403415</v>
      </c>
      <c r="C4422" s="94" t="str">
        <f>IFERROR(VLOOKUP($A4422,HeadJournal!$A$1:$NTR$890,COLUMN(HeadJournal!C$1),0),"")</f>
        <v>iHerb_VP DFD1605</v>
      </c>
      <c r="D4422" s="125" t="str">
        <f>IFERROR(VLOOKUP($A4422,HeadJournal!$A$1:$NTR$890,COLUMN(HeadJournal!D$1),0),"")</f>
        <v>Доставлен</v>
      </c>
      <c r="E4422" s="95">
        <f>IFERROR(VLOOKUP($A4422,HeadJournal!$A$1:$NTR$890,COLUMN(HeadJournal!G$1),0),"")</f>
        <v>45724</v>
      </c>
      <c r="F4422" s="95" t="str">
        <f t="shared" si="344"/>
        <v>2025 03</v>
      </c>
      <c r="G4422" s="97" t="s">
        <v>5</v>
      </c>
      <c r="H4422" s="161" t="s">
        <v>2630</v>
      </c>
      <c r="I4422" s="97" t="s">
        <v>2052</v>
      </c>
      <c r="J4422" s="97" t="s">
        <v>2631</v>
      </c>
      <c r="K4422" s="29">
        <v>19</v>
      </c>
      <c r="L4422" s="29">
        <v>-5.7</v>
      </c>
      <c r="M4422" s="30">
        <f>IFERROR(VLOOKUP($A4422,HeadJournal!$A$1:$J$890,COLUMN(HeadJournal!I$1),0)*($K4422+$L4422)/(SUMIF($A:$A,$A4422,$K:$K)+SUMIF($A:$A,$A4422,$L:$L)),0)</f>
        <v>0</v>
      </c>
      <c r="N4422" s="30">
        <f>IFERROR((VLOOKUP($A4422,HeadJournal!$A$1:$K$890,COLUMN(HeadJournal!K$1),0)-VLOOKUP($A4422,HeadJournal!$A$1:$K$890,COLUMN(HeadJournal!J$1),0))*($K4422+$L4422)/(SUMIF($A:$A,$A4422,$K:$K)+SUMIF($A:$A,$A4422,$L:$L)),0)</f>
        <v>1.9860701698333073E-15</v>
      </c>
      <c r="O4422" s="30">
        <f>IFERROR((VLOOKUP($A4422,HeadJournal!$A$1:$L$890,COLUMN(HeadJournal!L$1),0)*($K4422+$L4422)/(SUMIF($A:$A,$A4422,$K:$K)+SUMIF($A:$A,$A4422,$L:$L)))/VLOOKUP($A4422,HeadJournal!$A$1:$L$890,COLUMN(HeadJournal!H$1),0),0)</f>
        <v>0.32668151358058545</v>
      </c>
      <c r="P4422" s="30">
        <f>IFERROR(SUM(K4422:O4422)*VLOOKUP($A4422,HeadJournal!$A$1:$L$890,COLUMN(HeadJournal!H$1),0),0)</f>
        <v>1352.470871643987</v>
      </c>
      <c r="Q4422" s="29">
        <v>2800</v>
      </c>
      <c r="R4422" s="31">
        <v>45749</v>
      </c>
      <c r="S4422" s="31" t="s">
        <v>3121</v>
      </c>
      <c r="T4422" s="95" t="str">
        <f t="shared" si="345"/>
        <v>2025 04</v>
      </c>
      <c r="U4422" s="32">
        <f t="shared" si="342"/>
        <v>1447.529128356013</v>
      </c>
      <c r="V4422" s="22">
        <f t="shared" si="343"/>
        <v>1.0702848828059996</v>
      </c>
      <c r="X4422" s="33"/>
      <c r="Y4422" s="33"/>
    </row>
    <row r="4423" spans="1:25" x14ac:dyDescent="0.2">
      <c r="A4423" s="93" t="s">
        <v>3005</v>
      </c>
      <c r="B4423" s="94" t="str">
        <f>IFERROR(VLOOKUP($A4423,HeadJournal!$A$1:$NTR$890,COLUMN(HeadJournal!B$1),0),"")</f>
        <v>722500403415</v>
      </c>
      <c r="C4423" s="94" t="str">
        <f>IFERROR(VLOOKUP($A4423,HeadJournal!$A$1:$NTR$890,COLUMN(HeadJournal!C$1),0),"")</f>
        <v>iHerb_VP DFD1605</v>
      </c>
      <c r="D4423" s="125" t="str">
        <f>IFERROR(VLOOKUP($A4423,HeadJournal!$A$1:$NTR$890,COLUMN(HeadJournal!D$1),0),"")</f>
        <v>Доставлен</v>
      </c>
      <c r="E4423" s="95">
        <f>IFERROR(VLOOKUP($A4423,HeadJournal!$A$1:$NTR$890,COLUMN(HeadJournal!G$1),0),"")</f>
        <v>45724</v>
      </c>
      <c r="F4423" s="95" t="str">
        <f t="shared" si="344"/>
        <v>2025 03</v>
      </c>
      <c r="G4423" s="97" t="s">
        <v>5</v>
      </c>
      <c r="H4423" s="161" t="s">
        <v>2615</v>
      </c>
      <c r="I4423" s="97" t="s">
        <v>2052</v>
      </c>
      <c r="J4423" s="97" t="s">
        <v>2616</v>
      </c>
      <c r="K4423" s="29">
        <v>48.06</v>
      </c>
      <c r="L4423" s="29">
        <v>-14.42</v>
      </c>
      <c r="M4423" s="30">
        <f>IFERROR(VLOOKUP($A4423,HeadJournal!$A$1:$J$890,COLUMN(HeadJournal!I$1),0)*($K4423+$L4423)/(SUMIF($A:$A,$A4423,$K:$K)+SUMIF($A:$A,$A4423,$L:$L)),0)</f>
        <v>0</v>
      </c>
      <c r="N4423" s="30">
        <f>IFERROR((VLOOKUP($A4423,HeadJournal!$A$1:$K$890,COLUMN(HeadJournal!K$1),0)-VLOOKUP($A4423,HeadJournal!$A$1:$K$890,COLUMN(HeadJournal!J$1),0))*($K4423+$L4423)/(SUMIF($A:$A,$A4423,$K:$K)+SUMIF($A:$A,$A4423,$L:$L)),0)</f>
        <v>5.0234135724204851E-15</v>
      </c>
      <c r="O4423" s="30">
        <f>IFERROR((VLOOKUP($A4423,HeadJournal!$A$1:$L$890,COLUMN(HeadJournal!L$1),0)*($K4423+$L4423)/(SUMIF($A:$A,$A4423,$K:$K)+SUMIF($A:$A,$A4423,$L:$L)))/VLOOKUP($A4423,HeadJournal!$A$1:$L$890,COLUMN(HeadJournal!H$1),0),0)</f>
        <v>0.82628316668051849</v>
      </c>
      <c r="P4423" s="30">
        <f>IFERROR(SUM(K4423:O4423)*VLOOKUP($A4423,HeadJournal!$A$1:$L$890,COLUMN(HeadJournal!H$1),0),0)</f>
        <v>3420.836099406295</v>
      </c>
      <c r="Q4423" s="29">
        <v>5200</v>
      </c>
      <c r="R4423" s="31">
        <v>45950</v>
      </c>
      <c r="S4423" s="31" t="s">
        <v>3235</v>
      </c>
      <c r="T4423" s="95" t="str">
        <f t="shared" si="345"/>
        <v>2025 10</v>
      </c>
      <c r="U4423" s="32">
        <f t="shared" si="342"/>
        <v>1779.163900593705</v>
      </c>
      <c r="V4423" s="22">
        <f t="shared" si="343"/>
        <v>0.52009621299964903</v>
      </c>
      <c r="X4423" s="33"/>
      <c r="Y4423" s="33"/>
    </row>
    <row r="4424" spans="1:25" x14ac:dyDescent="0.2">
      <c r="A4424" s="93" t="s">
        <v>3005</v>
      </c>
      <c r="B4424" s="94" t="str">
        <f>IFERROR(VLOOKUP($A4424,HeadJournal!$A$1:$NTR$890,COLUMN(HeadJournal!B$1),0),"")</f>
        <v>722500403415</v>
      </c>
      <c r="C4424" s="94" t="str">
        <f>IFERROR(VLOOKUP($A4424,HeadJournal!$A$1:$NTR$890,COLUMN(HeadJournal!C$1),0),"")</f>
        <v>iHerb_VP DFD1605</v>
      </c>
      <c r="D4424" s="125" t="str">
        <f>IFERROR(VLOOKUP($A4424,HeadJournal!$A$1:$NTR$890,COLUMN(HeadJournal!D$1),0),"")</f>
        <v>Доставлен</v>
      </c>
      <c r="E4424" s="95">
        <f>IFERROR(VLOOKUP($A4424,HeadJournal!$A$1:$NTR$890,COLUMN(HeadJournal!G$1),0),"")</f>
        <v>45724</v>
      </c>
      <c r="F4424" s="95" t="str">
        <f t="shared" si="344"/>
        <v>2025 03</v>
      </c>
      <c r="G4424" s="97" t="s">
        <v>5</v>
      </c>
      <c r="H4424" s="161" t="s">
        <v>2558</v>
      </c>
      <c r="I4424" s="97" t="s">
        <v>2166</v>
      </c>
      <c r="J4424" s="97" t="s">
        <v>2559</v>
      </c>
      <c r="K4424" s="29">
        <v>32.29</v>
      </c>
      <c r="L4424" s="29">
        <v>-3.23</v>
      </c>
      <c r="M4424" s="30">
        <f>IFERROR(VLOOKUP($A4424,HeadJournal!$A$1:$J$890,COLUMN(HeadJournal!I$1),0)*($K4424+$L4424)/(SUMIF($A:$A,$A4424,$K:$K)+SUMIF($A:$A,$A4424,$L:$L)),0)</f>
        <v>0</v>
      </c>
      <c r="N4424" s="30">
        <f>IFERROR((VLOOKUP($A4424,HeadJournal!$A$1:$K$890,COLUMN(HeadJournal!K$1),0)-VLOOKUP($A4424,HeadJournal!$A$1:$K$890,COLUMN(HeadJournal!J$1),0))*($K4424+$L4424)/(SUMIF($A:$A,$A4424,$K:$K)+SUMIF($A:$A,$A4424,$L:$L)),0)</f>
        <v>4.3394886567936765E-15</v>
      </c>
      <c r="O4424" s="30">
        <f>IFERROR((VLOOKUP($A4424,HeadJournal!$A$1:$L$890,COLUMN(HeadJournal!L$1),0)*($K4424+$L4424)/(SUMIF($A:$A,$A4424,$K:$K)+SUMIF($A:$A,$A4424,$L:$L)))/VLOOKUP($A4424,HeadJournal!$A$1:$L$890,COLUMN(HeadJournal!H$1),0),0)</f>
        <v>0.71378682591367015</v>
      </c>
      <c r="P4424" s="30">
        <f>IFERROR(SUM(K4424:O4424)*VLOOKUP($A4424,HeadJournal!$A$1:$L$890,COLUMN(HeadJournal!H$1),0),0)</f>
        <v>2955.0980097725005</v>
      </c>
      <c r="Q4424" s="29">
        <v>4000</v>
      </c>
      <c r="R4424" s="31">
        <v>45749</v>
      </c>
      <c r="S4424" s="31" t="s">
        <v>3121</v>
      </c>
      <c r="T4424" s="95" t="str">
        <f t="shared" si="345"/>
        <v>2025 04</v>
      </c>
      <c r="U4424" s="32">
        <f t="shared" si="342"/>
        <v>1044.9019902274995</v>
      </c>
      <c r="V4424" s="22">
        <f t="shared" si="343"/>
        <v>0.35359300665223681</v>
      </c>
      <c r="X4424" s="33"/>
      <c r="Y4424" s="33"/>
    </row>
    <row r="4425" spans="1:25" x14ac:dyDescent="0.2">
      <c r="A4425" s="93" t="s">
        <v>3005</v>
      </c>
      <c r="B4425" s="94" t="str">
        <f>IFERROR(VLOOKUP($A4425,HeadJournal!$A$1:$NTR$890,COLUMN(HeadJournal!B$1),0),"")</f>
        <v>722500403415</v>
      </c>
      <c r="C4425" s="94" t="str">
        <f>IFERROR(VLOOKUP($A4425,HeadJournal!$A$1:$NTR$890,COLUMN(HeadJournal!C$1),0),"")</f>
        <v>iHerb_VP DFD1605</v>
      </c>
      <c r="D4425" s="125" t="str">
        <f>IFERROR(VLOOKUP($A4425,HeadJournal!$A$1:$NTR$890,COLUMN(HeadJournal!D$1),0),"")</f>
        <v>Доставлен</v>
      </c>
      <c r="E4425" s="95">
        <f>IFERROR(VLOOKUP($A4425,HeadJournal!$A$1:$NTR$890,COLUMN(HeadJournal!G$1),0),"")</f>
        <v>45724</v>
      </c>
      <c r="F4425" s="95" t="str">
        <f t="shared" si="344"/>
        <v>2025 03</v>
      </c>
      <c r="G4425" s="97" t="s">
        <v>5</v>
      </c>
      <c r="H4425" s="161" t="s">
        <v>2558</v>
      </c>
      <c r="I4425" s="97" t="s">
        <v>2166</v>
      </c>
      <c r="J4425" s="97" t="s">
        <v>2559</v>
      </c>
      <c r="K4425" s="29">
        <v>32.29</v>
      </c>
      <c r="L4425" s="29">
        <v>-3.23</v>
      </c>
      <c r="M4425" s="30">
        <f>IFERROR(VLOOKUP($A4425,HeadJournal!$A$1:$J$890,COLUMN(HeadJournal!I$1),0)*($K4425+$L4425)/(SUMIF($A:$A,$A4425,$K:$K)+SUMIF($A:$A,$A4425,$L:$L)),0)</f>
        <v>0</v>
      </c>
      <c r="N4425" s="30">
        <f>IFERROR((VLOOKUP($A4425,HeadJournal!$A$1:$K$890,COLUMN(HeadJournal!K$1),0)-VLOOKUP($A4425,HeadJournal!$A$1:$K$890,COLUMN(HeadJournal!J$1),0))*($K4425+$L4425)/(SUMIF($A:$A,$A4425,$K:$K)+SUMIF($A:$A,$A4425,$L:$L)),0)</f>
        <v>4.3394886567936765E-15</v>
      </c>
      <c r="O4425" s="30">
        <f>IFERROR((VLOOKUP($A4425,HeadJournal!$A$1:$L$890,COLUMN(HeadJournal!L$1),0)*($K4425+$L4425)/(SUMIF($A:$A,$A4425,$K:$K)+SUMIF($A:$A,$A4425,$L:$L)))/VLOOKUP($A4425,HeadJournal!$A$1:$L$890,COLUMN(HeadJournal!H$1),0),0)</f>
        <v>0.71378682591367015</v>
      </c>
      <c r="P4425" s="30">
        <f>IFERROR(SUM(K4425:O4425)*VLOOKUP($A4425,HeadJournal!$A$1:$L$890,COLUMN(HeadJournal!H$1),0),0)</f>
        <v>2955.0980097725005</v>
      </c>
      <c r="Q4425" s="29">
        <v>4000</v>
      </c>
      <c r="R4425" s="31">
        <v>45755</v>
      </c>
      <c r="S4425" s="31" t="s">
        <v>3121</v>
      </c>
      <c r="T4425" s="95" t="str">
        <f t="shared" si="345"/>
        <v>2025 04</v>
      </c>
      <c r="U4425" s="32">
        <f t="shared" si="342"/>
        <v>1044.9019902274995</v>
      </c>
      <c r="V4425" s="22">
        <f t="shared" si="343"/>
        <v>0.35359300665223681</v>
      </c>
      <c r="X4425" s="33"/>
      <c r="Y4425" s="33"/>
    </row>
    <row r="4426" spans="1:25" x14ac:dyDescent="0.2">
      <c r="A4426" s="93" t="s">
        <v>3005</v>
      </c>
      <c r="B4426" s="94" t="str">
        <f>IFERROR(VLOOKUP($A4426,HeadJournal!$A$1:$NTR$890,COLUMN(HeadJournal!B$1),0),"")</f>
        <v>722500403415</v>
      </c>
      <c r="C4426" s="94" t="str">
        <f>IFERROR(VLOOKUP($A4426,HeadJournal!$A$1:$NTR$890,COLUMN(HeadJournal!C$1),0),"")</f>
        <v>iHerb_VP DFD1605</v>
      </c>
      <c r="D4426" s="125" t="str">
        <f>IFERROR(VLOOKUP($A4426,HeadJournal!$A$1:$NTR$890,COLUMN(HeadJournal!D$1),0),"")</f>
        <v>Доставлен</v>
      </c>
      <c r="E4426" s="95">
        <f>IFERROR(VLOOKUP($A4426,HeadJournal!$A$1:$NTR$890,COLUMN(HeadJournal!G$1),0),"")</f>
        <v>45724</v>
      </c>
      <c r="F4426" s="95" t="str">
        <f t="shared" si="344"/>
        <v>2025 03</v>
      </c>
      <c r="G4426" s="97" t="s">
        <v>5</v>
      </c>
      <c r="H4426" s="161" t="s">
        <v>2558</v>
      </c>
      <c r="I4426" s="97" t="s">
        <v>2166</v>
      </c>
      <c r="J4426" s="97" t="s">
        <v>2559</v>
      </c>
      <c r="K4426" s="29">
        <v>32.29</v>
      </c>
      <c r="L4426" s="29">
        <v>-3.23</v>
      </c>
      <c r="M4426" s="30">
        <f>IFERROR(VLOOKUP($A4426,HeadJournal!$A$1:$J$890,COLUMN(HeadJournal!I$1),0)*($K4426+$L4426)/(SUMIF($A:$A,$A4426,$K:$K)+SUMIF($A:$A,$A4426,$L:$L)),0)</f>
        <v>0</v>
      </c>
      <c r="N4426" s="30">
        <f>IFERROR((VLOOKUP($A4426,HeadJournal!$A$1:$K$890,COLUMN(HeadJournal!K$1),0)-VLOOKUP($A4426,HeadJournal!$A$1:$K$890,COLUMN(HeadJournal!J$1),0))*($K4426+$L4426)/(SUMIF($A:$A,$A4426,$K:$K)+SUMIF($A:$A,$A4426,$L:$L)),0)</f>
        <v>4.3394886567936765E-15</v>
      </c>
      <c r="O4426" s="30">
        <f>IFERROR((VLOOKUP($A4426,HeadJournal!$A$1:$L$890,COLUMN(HeadJournal!L$1),0)*($K4426+$L4426)/(SUMIF($A:$A,$A4426,$K:$K)+SUMIF($A:$A,$A4426,$L:$L)))/VLOOKUP($A4426,HeadJournal!$A$1:$L$890,COLUMN(HeadJournal!H$1),0),0)</f>
        <v>0.71378682591367015</v>
      </c>
      <c r="P4426" s="30">
        <f>IFERROR(SUM(K4426:O4426)*VLOOKUP($A4426,HeadJournal!$A$1:$L$890,COLUMN(HeadJournal!H$1),0),0)</f>
        <v>2955.0980097725005</v>
      </c>
      <c r="Q4426" s="29">
        <v>4000</v>
      </c>
      <c r="R4426" s="31">
        <v>45755</v>
      </c>
      <c r="S4426" s="31" t="s">
        <v>3121</v>
      </c>
      <c r="T4426" s="95" t="str">
        <f t="shared" si="345"/>
        <v>2025 04</v>
      </c>
      <c r="U4426" s="32">
        <f t="shared" si="342"/>
        <v>1044.9019902274995</v>
      </c>
      <c r="V4426" s="22">
        <f t="shared" si="343"/>
        <v>0.35359300665223681</v>
      </c>
      <c r="X4426" s="33"/>
      <c r="Y4426" s="33"/>
    </row>
    <row r="4427" spans="1:25" x14ac:dyDescent="0.2">
      <c r="A4427" s="93" t="s">
        <v>3005</v>
      </c>
      <c r="B4427" s="94" t="str">
        <f>IFERROR(VLOOKUP($A4427,HeadJournal!$A$1:$NTR$890,COLUMN(HeadJournal!B$1),0),"")</f>
        <v>722500403415</v>
      </c>
      <c r="C4427" s="94" t="str">
        <f>IFERROR(VLOOKUP($A4427,HeadJournal!$A$1:$NTR$890,COLUMN(HeadJournal!C$1),0),"")</f>
        <v>iHerb_VP DFD1605</v>
      </c>
      <c r="D4427" s="125" t="str">
        <f>IFERROR(VLOOKUP($A4427,HeadJournal!$A$1:$NTR$890,COLUMN(HeadJournal!D$1),0),"")</f>
        <v>Доставлен</v>
      </c>
      <c r="E4427" s="95">
        <f>IFERROR(VLOOKUP($A4427,HeadJournal!$A$1:$NTR$890,COLUMN(HeadJournal!G$1),0),"")</f>
        <v>45724</v>
      </c>
      <c r="F4427" s="95" t="str">
        <f t="shared" si="344"/>
        <v>2025 03</v>
      </c>
      <c r="G4427" s="97" t="s">
        <v>5</v>
      </c>
      <c r="H4427" s="161" t="s">
        <v>3003</v>
      </c>
      <c r="I4427" s="97" t="s">
        <v>2166</v>
      </c>
      <c r="J4427" s="97" t="s">
        <v>3004</v>
      </c>
      <c r="K4427" s="29">
        <v>44.81</v>
      </c>
      <c r="L4427" s="29">
        <v>-4.4800000000000004</v>
      </c>
      <c r="M4427" s="30">
        <f>IFERROR(VLOOKUP($A4427,HeadJournal!$A$1:$J$890,COLUMN(HeadJournal!I$1),0)*($K4427+$L4427)/(SUMIF($A:$A,$A4427,$K:$K)+SUMIF($A:$A,$A4427,$L:$L)),0)</f>
        <v>0</v>
      </c>
      <c r="N4427" s="30">
        <f>IFERROR((VLOOKUP($A4427,HeadJournal!$A$1:$K$890,COLUMN(HeadJournal!K$1),0)-VLOOKUP($A4427,HeadJournal!$A$1:$K$890,COLUMN(HeadJournal!J$1),0))*($K4427+$L4427)/(SUMIF($A:$A,$A4427,$K:$K)+SUMIF($A:$A,$A4427,$L:$L)),0)</f>
        <v>6.0224218007050581E-15</v>
      </c>
      <c r="O4427" s="30">
        <f>IFERROR((VLOOKUP($A4427,HeadJournal!$A$1:$L$890,COLUMN(HeadJournal!L$1),0)*($K4427+$L4427)/(SUMIF($A:$A,$A4427,$K:$K)+SUMIF($A:$A,$A4427,$L:$L)))/VLOOKUP($A4427,HeadJournal!$A$1:$L$890,COLUMN(HeadJournal!H$1),0),0)</f>
        <v>0.99060642426353462</v>
      </c>
      <c r="P4427" s="30">
        <f>IFERROR(SUM(K4427:O4427)*VLOOKUP($A4427,HeadJournal!$A$1:$L$890,COLUMN(HeadJournal!H$1),0),0)</f>
        <v>4101.1391167971424</v>
      </c>
      <c r="Q4427" s="29">
        <v>5000</v>
      </c>
      <c r="R4427" s="31">
        <v>45749</v>
      </c>
      <c r="S4427" s="31" t="s">
        <v>3121</v>
      </c>
      <c r="T4427" s="95" t="str">
        <f t="shared" si="345"/>
        <v>2025 04</v>
      </c>
      <c r="U4427" s="32">
        <f t="shared" si="342"/>
        <v>898.86088320285762</v>
      </c>
      <c r="V4427" s="22">
        <f t="shared" si="343"/>
        <v>0.21917346805461188</v>
      </c>
      <c r="X4427" s="33"/>
      <c r="Y4427" s="33"/>
    </row>
    <row r="4428" spans="1:25" x14ac:dyDescent="0.2">
      <c r="A4428" s="93" t="s">
        <v>3005</v>
      </c>
      <c r="B4428" s="94" t="str">
        <f>IFERROR(VLOOKUP($A4428,HeadJournal!$A$1:$NTR$890,COLUMN(HeadJournal!B$1),0),"")</f>
        <v>722500403415</v>
      </c>
      <c r="C4428" s="94" t="str">
        <f>IFERROR(VLOOKUP($A4428,HeadJournal!$A$1:$NTR$890,COLUMN(HeadJournal!C$1),0),"")</f>
        <v>iHerb_VP DFD1605</v>
      </c>
      <c r="D4428" s="125" t="str">
        <f>IFERROR(VLOOKUP($A4428,HeadJournal!$A$1:$NTR$890,COLUMN(HeadJournal!D$1),0),"")</f>
        <v>Доставлен</v>
      </c>
      <c r="E4428" s="95">
        <f>IFERROR(VLOOKUP($A4428,HeadJournal!$A$1:$NTR$890,COLUMN(HeadJournal!G$1),0),"")</f>
        <v>45724</v>
      </c>
      <c r="F4428" s="95" t="str">
        <f t="shared" si="344"/>
        <v>2025 03</v>
      </c>
      <c r="G4428" s="97" t="s">
        <v>5</v>
      </c>
      <c r="H4428" s="161" t="s">
        <v>2196</v>
      </c>
      <c r="I4428" s="97" t="s">
        <v>2006</v>
      </c>
      <c r="J4428" s="97" t="s">
        <v>2197</v>
      </c>
      <c r="K4428" s="29">
        <v>17.64</v>
      </c>
      <c r="L4428" s="29">
        <v>-1.76</v>
      </c>
      <c r="M4428" s="30">
        <f>IFERROR(VLOOKUP($A4428,HeadJournal!$A$1:$J$890,COLUMN(HeadJournal!I$1),0)*($K4428+$L4428)/(SUMIF($A:$A,$A4428,$K:$K)+SUMIF($A:$A,$A4428,$L:$L)),0)</f>
        <v>0</v>
      </c>
      <c r="N4428" s="30">
        <f>IFERROR((VLOOKUP($A4428,HeadJournal!$A$1:$K$890,COLUMN(HeadJournal!K$1),0)-VLOOKUP($A4428,HeadJournal!$A$1:$K$890,COLUMN(HeadJournal!J$1),0))*($K4428+$L4428)/(SUMIF($A:$A,$A4428,$K:$K)+SUMIF($A:$A,$A4428,$L:$L)),0)</f>
        <v>2.3713379170641291E-15</v>
      </c>
      <c r="O4428" s="30">
        <f>IFERROR((VLOOKUP($A4428,HeadJournal!$A$1:$L$890,COLUMN(HeadJournal!L$1),0)*($K4428+$L4428)/(SUMIF($A:$A,$A4428,$K:$K)+SUMIF($A:$A,$A4428,$L:$L)))/VLOOKUP($A4428,HeadJournal!$A$1:$L$890,COLUMN(HeadJournal!H$1),0),0)</f>
        <v>0.39005281471125547</v>
      </c>
      <c r="P4428" s="30">
        <f>IFERROR(SUM(K4428:O4428)*VLOOKUP($A4428,HeadJournal!$A$1:$L$890,COLUMN(HeadJournal!H$1),0),0)</f>
        <v>1614.8298828350762</v>
      </c>
      <c r="Q4428" s="29">
        <v>2500</v>
      </c>
      <c r="R4428" s="31">
        <v>45766</v>
      </c>
      <c r="S4428" s="31" t="s">
        <v>3121</v>
      </c>
      <c r="T4428" s="95" t="str">
        <f t="shared" si="345"/>
        <v>2025 04</v>
      </c>
      <c r="U4428" s="32">
        <f t="shared" si="342"/>
        <v>885.17011716492379</v>
      </c>
      <c r="V4428" s="22">
        <f t="shared" si="343"/>
        <v>0.54815069164491481</v>
      </c>
      <c r="X4428" s="33"/>
      <c r="Y4428" s="33"/>
    </row>
    <row r="4429" spans="1:25" x14ac:dyDescent="0.2">
      <c r="A4429" s="93" t="s">
        <v>3007</v>
      </c>
      <c r="B4429" s="94">
        <f>IFERROR(VLOOKUP($A4429,HeadJournal!$A$1:$NTR$890,COLUMN(HeadJournal!B$1),0),"")</f>
        <v>0</v>
      </c>
      <c r="C4429" s="94" t="str">
        <f>IFERROR(VLOOKUP($A4429,HeadJournal!$A$1:$NTR$890,COLUMN(HeadJournal!C$1),0),"")</f>
        <v>YAMARKET</v>
      </c>
      <c r="D4429" s="125" t="str">
        <f>IFERROR(VLOOKUP($A4429,HeadJournal!$A$1:$NTR$890,COLUMN(HeadJournal!D$1),0),"")</f>
        <v>Доставлен</v>
      </c>
      <c r="E4429" s="95">
        <f>IFERROR(VLOOKUP($A4429,HeadJournal!$A$1:$NTR$890,COLUMN(HeadJournal!G$1),0),"")</f>
        <v>45720</v>
      </c>
      <c r="F4429" s="95" t="str">
        <f t="shared" si="344"/>
        <v>2025 03</v>
      </c>
      <c r="G4429" s="97" t="s">
        <v>8</v>
      </c>
      <c r="H4429" s="161" t="s">
        <v>2262</v>
      </c>
      <c r="I4429" s="97" t="s">
        <v>2243</v>
      </c>
      <c r="J4429" s="97" t="s">
        <v>2270</v>
      </c>
      <c r="K4429" s="29">
        <v>1921</v>
      </c>
      <c r="L4429" s="29">
        <v>0</v>
      </c>
      <c r="M4429" s="30">
        <f>IFERROR(VLOOKUP($A4429,HeadJournal!$A$1:$J$890,COLUMN(HeadJournal!I$1),0)*($K4429+$L4429)/(SUMIF($A:$A,$A4429,$K:$K)+SUMIF($A:$A,$A4429,$L:$L)),0)</f>
        <v>0</v>
      </c>
      <c r="N4429" s="30">
        <f>IFERROR((VLOOKUP($A4429,HeadJournal!$A$1:$K$890,COLUMN(HeadJournal!K$1),0)-VLOOKUP($A4429,HeadJournal!$A$1:$K$890,COLUMN(HeadJournal!J$1),0))*($K4429+$L4429)/(SUMIF($A:$A,$A4429,$K:$K)+SUMIF($A:$A,$A4429,$L:$L)),0)</f>
        <v>0</v>
      </c>
      <c r="O4429" s="30">
        <f>IFERROR((VLOOKUP($A4429,HeadJournal!$A$1:$L$890,COLUMN(HeadJournal!L$1),0)*($K4429+$L4429)/(SUMIF($A:$A,$A4429,$K:$K)+SUMIF($A:$A,$A4429,$L:$L)))/VLOOKUP($A4429,HeadJournal!$A$1:$L$890,COLUMN(HeadJournal!H$1),0),0)</f>
        <v>0</v>
      </c>
      <c r="P4429" s="30">
        <f>IFERROR(SUM(K4429:O4429)*VLOOKUP($A4429,HeadJournal!$A$1:$L$890,COLUMN(HeadJournal!H$1),0),0)</f>
        <v>1921</v>
      </c>
      <c r="Q4429" s="29">
        <v>2500</v>
      </c>
      <c r="R4429" s="31">
        <v>45731</v>
      </c>
      <c r="S4429" s="31" t="s">
        <v>3121</v>
      </c>
      <c r="T4429" s="95" t="str">
        <f t="shared" si="345"/>
        <v>2025 03</v>
      </c>
      <c r="U4429" s="32">
        <f t="shared" si="342"/>
        <v>579</v>
      </c>
      <c r="V4429" s="22">
        <f t="shared" si="343"/>
        <v>0.30140551795939613</v>
      </c>
      <c r="X4429" s="33"/>
      <c r="Y4429" s="33"/>
    </row>
    <row r="4430" spans="1:25" x14ac:dyDescent="0.2">
      <c r="A4430" s="93" t="s">
        <v>3008</v>
      </c>
      <c r="B4430" s="94">
        <f>IFERROR(VLOOKUP($A4430,HeadJournal!$A$1:$NTR$890,COLUMN(HeadJournal!B$1),0),"")</f>
        <v>0</v>
      </c>
      <c r="C4430" s="94" t="str">
        <f>IFERROR(VLOOKUP($A4430,HeadJournal!$A$1:$NTR$890,COLUMN(HeadJournal!C$1),0),"")</f>
        <v>YAMARKET</v>
      </c>
      <c r="D4430" s="125" t="str">
        <f>IFERROR(VLOOKUP($A4430,HeadJournal!$A$1:$NTR$890,COLUMN(HeadJournal!D$1),0),"")</f>
        <v>Доставлен</v>
      </c>
      <c r="E4430" s="95">
        <f>IFERROR(VLOOKUP($A4430,HeadJournal!$A$1:$NTR$890,COLUMN(HeadJournal!G$1),0),"")</f>
        <v>45587</v>
      </c>
      <c r="F4430" s="95" t="str">
        <f t="shared" si="344"/>
        <v>2024 10</v>
      </c>
      <c r="G4430" s="97" t="s">
        <v>6</v>
      </c>
      <c r="H4430" s="160" t="s">
        <v>1953</v>
      </c>
      <c r="I4430" s="97" t="s">
        <v>2608</v>
      </c>
      <c r="J4430" s="97" t="s">
        <v>1952</v>
      </c>
      <c r="K4430" s="29">
        <v>2980</v>
      </c>
      <c r="L4430" s="29">
        <v>0</v>
      </c>
      <c r="M4430" s="30">
        <f>IFERROR(VLOOKUP($A4430,HeadJournal!$A$1:$J$890,COLUMN(HeadJournal!I$1),0)*($K4430+$L4430)/(SUMIF($A:$A,$A4430,$K:$K)+SUMIF($A:$A,$A4430,$L:$L)),0)</f>
        <v>0</v>
      </c>
      <c r="N4430" s="30">
        <f>IFERROR((VLOOKUP($A4430,HeadJournal!$A$1:$K$890,COLUMN(HeadJournal!K$1),0)-VLOOKUP($A4430,HeadJournal!$A$1:$K$890,COLUMN(HeadJournal!J$1),0))*($K4430+$L4430)/(SUMIF($A:$A,$A4430,$K:$K)+SUMIF($A:$A,$A4430,$L:$L)),0)</f>
        <v>0</v>
      </c>
      <c r="O4430" s="30">
        <f>IFERROR((VLOOKUP($A4430,HeadJournal!$A$1:$L$890,COLUMN(HeadJournal!L$1),0)*($K4430+$L4430)/(SUMIF($A:$A,$A4430,$K:$K)+SUMIF($A:$A,$A4430,$L:$L)))/VLOOKUP($A4430,HeadJournal!$A$1:$L$890,COLUMN(HeadJournal!H$1),0),0)</f>
        <v>0</v>
      </c>
      <c r="P4430" s="30">
        <f>IFERROR(SUM(K4430:O4430)*VLOOKUP($A4430,HeadJournal!$A$1:$L$890,COLUMN(HeadJournal!H$1),0),0)</f>
        <v>2980</v>
      </c>
      <c r="Q4430" s="29">
        <v>3500</v>
      </c>
      <c r="R4430" s="31">
        <v>45742</v>
      </c>
      <c r="S4430" s="31" t="s">
        <v>3121</v>
      </c>
      <c r="T4430" s="95" t="str">
        <f t="shared" si="345"/>
        <v>2025 03</v>
      </c>
      <c r="U4430" s="32">
        <f t="shared" si="342"/>
        <v>520</v>
      </c>
      <c r="V4430" s="22">
        <f t="shared" si="343"/>
        <v>0.17449664429530201</v>
      </c>
      <c r="X4430" s="33"/>
      <c r="Y4430" s="33"/>
    </row>
    <row r="4431" spans="1:25" x14ac:dyDescent="0.2">
      <c r="A4431" s="93" t="s">
        <v>3008</v>
      </c>
      <c r="B4431" s="94">
        <f>IFERROR(VLOOKUP($A4431,HeadJournal!$A$1:$NTR$890,COLUMN(HeadJournal!B$1),0),"")</f>
        <v>0</v>
      </c>
      <c r="C4431" s="94" t="str">
        <f>IFERROR(VLOOKUP($A4431,HeadJournal!$A$1:$NTR$890,COLUMN(HeadJournal!C$1),0),"")</f>
        <v>YAMARKET</v>
      </c>
      <c r="D4431" s="125" t="str">
        <f>IFERROR(VLOOKUP($A4431,HeadJournal!$A$1:$NTR$890,COLUMN(HeadJournal!D$1),0),"")</f>
        <v>Доставлен</v>
      </c>
      <c r="E4431" s="95">
        <f>IFERROR(VLOOKUP($A4431,HeadJournal!$A$1:$NTR$890,COLUMN(HeadJournal!G$1),0),"")</f>
        <v>45587</v>
      </c>
      <c r="F4431" s="95" t="str">
        <f t="shared" si="344"/>
        <v>2024 10</v>
      </c>
      <c r="G4431" s="97" t="s">
        <v>6</v>
      </c>
      <c r="H4431" s="160" t="s">
        <v>1953</v>
      </c>
      <c r="I4431" s="97" t="s">
        <v>2608</v>
      </c>
      <c r="J4431" s="97" t="s">
        <v>1952</v>
      </c>
      <c r="K4431" s="29">
        <v>2980</v>
      </c>
      <c r="L4431" s="29">
        <v>0</v>
      </c>
      <c r="M4431" s="30">
        <f>IFERROR(VLOOKUP($A4431,HeadJournal!$A$1:$J$890,COLUMN(HeadJournal!I$1),0)*($K4431+$L4431)/(SUMIF($A:$A,$A4431,$K:$K)+SUMIF($A:$A,$A4431,$L:$L)),0)</f>
        <v>0</v>
      </c>
      <c r="N4431" s="30">
        <f>IFERROR((VLOOKUP($A4431,HeadJournal!$A$1:$K$890,COLUMN(HeadJournal!K$1),0)-VLOOKUP($A4431,HeadJournal!$A$1:$K$890,COLUMN(HeadJournal!J$1),0))*($K4431+$L4431)/(SUMIF($A:$A,$A4431,$K:$K)+SUMIF($A:$A,$A4431,$L:$L)),0)</f>
        <v>0</v>
      </c>
      <c r="O4431" s="30">
        <f>IFERROR((VLOOKUP($A4431,HeadJournal!$A$1:$L$890,COLUMN(HeadJournal!L$1),0)*($K4431+$L4431)/(SUMIF($A:$A,$A4431,$K:$K)+SUMIF($A:$A,$A4431,$L:$L)))/VLOOKUP($A4431,HeadJournal!$A$1:$L$890,COLUMN(HeadJournal!H$1),0),0)</f>
        <v>0</v>
      </c>
      <c r="P4431" s="30">
        <f>IFERROR(SUM(K4431:O4431)*VLOOKUP($A4431,HeadJournal!$A$1:$L$890,COLUMN(HeadJournal!H$1),0),0)</f>
        <v>2980</v>
      </c>
      <c r="Q4431" s="29">
        <v>3500</v>
      </c>
      <c r="R4431" s="31">
        <v>45781</v>
      </c>
      <c r="S4431" s="31" t="s">
        <v>3121</v>
      </c>
      <c r="T4431" s="95" t="str">
        <f t="shared" si="345"/>
        <v>2025 05</v>
      </c>
      <c r="U4431" s="32">
        <f t="shared" si="342"/>
        <v>520</v>
      </c>
      <c r="V4431" s="22">
        <f t="shared" si="343"/>
        <v>0.17449664429530201</v>
      </c>
      <c r="X4431" s="33"/>
      <c r="Y4431" s="33"/>
    </row>
    <row r="4432" spans="1:25" x14ac:dyDescent="0.2">
      <c r="A4432" s="93" t="s">
        <v>3017</v>
      </c>
      <c r="B4432" s="94" t="str">
        <f>IFERROR(VLOOKUP($A4432,HeadJournal!$A$1:$NTR$890,COLUMN(HeadJournal!B$1),0),"")</f>
        <v>722500415855</v>
      </c>
      <c r="C4432" s="94" t="str">
        <f>IFERROR(VLOOKUP($A4432,HeadJournal!$A$1:$NTR$890,COLUMN(HeadJournal!C$1),0),"")</f>
        <v>iHerb_OA CZN6870</v>
      </c>
      <c r="D4432" s="125" t="str">
        <f>IFERROR(VLOOKUP($A4432,HeadJournal!$A$1:$NTR$890,COLUMN(HeadJournal!D$1),0),"")</f>
        <v>Доставлен</v>
      </c>
      <c r="E4432" s="95">
        <f>IFERROR(VLOOKUP($A4432,HeadJournal!$A$1:$NTR$890,COLUMN(HeadJournal!G$1),0),"")</f>
        <v>45741</v>
      </c>
      <c r="F4432" s="95" t="str">
        <f t="shared" si="344"/>
        <v>2025 03</v>
      </c>
      <c r="G4432" s="97" t="s">
        <v>5</v>
      </c>
      <c r="H4432" s="161" t="s">
        <v>3009</v>
      </c>
      <c r="I4432" s="97" t="s">
        <v>2005</v>
      </c>
      <c r="J4432" s="97" t="s">
        <v>3010</v>
      </c>
      <c r="K4432" s="29">
        <v>15.93</v>
      </c>
      <c r="L4432" s="29">
        <v>-3.1850000000000001</v>
      </c>
      <c r="M4432" s="30">
        <f>IFERROR(VLOOKUP($A4432,HeadJournal!$A$1:$J$890,COLUMN(HeadJournal!I$1),0)*($K4432+$L4432)/(SUMIF($A:$A,$A4432,$K:$K)+SUMIF($A:$A,$A4432,$L:$L)),0)</f>
        <v>-0.93887236772586613</v>
      </c>
      <c r="N4432" s="30">
        <f>IFERROR((VLOOKUP($A4432,HeadJournal!$A$1:$K$890,COLUMN(HeadJournal!K$1),0)-VLOOKUP($A4432,HeadJournal!$A$1:$K$890,COLUMN(HeadJournal!J$1),0))*($K4432+$L4432)/(SUMIF($A:$A,$A4432,$K:$K)+SUMIF($A:$A,$A4432,$L:$L)),0)</f>
        <v>2.7340530356290974E-15</v>
      </c>
      <c r="O4432" s="30">
        <f>IFERROR((VLOOKUP($A4432,HeadJournal!$A$1:$L$890,COLUMN(HeadJournal!L$1),0)*($K4432+$L4432)/(SUMIF($A:$A,$A4432,$K:$K)+SUMIF($A:$A,$A4432,$L:$L)))/VLOOKUP($A4432,HeadJournal!$A$1:$L$890,COLUMN(HeadJournal!H$1),0),0)</f>
        <v>0.57883419082981535</v>
      </c>
      <c r="P4432" s="30">
        <f>IFERROR(SUM(K4432:O4432)*VLOOKUP($A4432,HeadJournal!$A$1:$L$890,COLUMN(HeadJournal!H$1),0),0)</f>
        <v>1180.06091918887</v>
      </c>
      <c r="Q4432" s="29">
        <v>2300</v>
      </c>
      <c r="R4432" s="31">
        <v>45771</v>
      </c>
      <c r="S4432" s="31" t="s">
        <v>3231</v>
      </c>
      <c r="T4432" s="95" t="str">
        <f t="shared" si="345"/>
        <v>2025 04</v>
      </c>
      <c r="U4432" s="32">
        <f t="shared" si="342"/>
        <v>1119.93908081113</v>
      </c>
      <c r="V4432" s="22">
        <f t="shared" si="343"/>
        <v>0.94905191977795056</v>
      </c>
      <c r="X4432" s="33"/>
      <c r="Y4432" s="33"/>
    </row>
    <row r="4433" spans="1:25" x14ac:dyDescent="0.2">
      <c r="A4433" s="93" t="s">
        <v>3017</v>
      </c>
      <c r="B4433" s="94" t="str">
        <f>IFERROR(VLOOKUP($A4433,HeadJournal!$A$1:$NTR$890,COLUMN(HeadJournal!B$1),0),"")</f>
        <v>722500415855</v>
      </c>
      <c r="C4433" s="94" t="str">
        <f>IFERROR(VLOOKUP($A4433,HeadJournal!$A$1:$NTR$890,COLUMN(HeadJournal!C$1),0),"")</f>
        <v>iHerb_OA CZN6870</v>
      </c>
      <c r="D4433" s="125" t="str">
        <f>IFERROR(VLOOKUP($A4433,HeadJournal!$A$1:$NTR$890,COLUMN(HeadJournal!D$1),0),"")</f>
        <v>Доставлен</v>
      </c>
      <c r="E4433" s="95">
        <f>IFERROR(VLOOKUP($A4433,HeadJournal!$A$1:$NTR$890,COLUMN(HeadJournal!G$1),0),"")</f>
        <v>45741</v>
      </c>
      <c r="F4433" s="95" t="str">
        <f t="shared" si="344"/>
        <v>2025 03</v>
      </c>
      <c r="G4433" s="97" t="s">
        <v>5</v>
      </c>
      <c r="H4433" s="161" t="s">
        <v>3009</v>
      </c>
      <c r="I4433" s="97" t="s">
        <v>2005</v>
      </c>
      <c r="J4433" s="97" t="s">
        <v>3010</v>
      </c>
      <c r="K4433" s="29">
        <v>15.93</v>
      </c>
      <c r="L4433" s="29">
        <v>-3.1850000000000001</v>
      </c>
      <c r="M4433" s="30">
        <f>IFERROR(VLOOKUP($A4433,HeadJournal!$A$1:$J$890,COLUMN(HeadJournal!I$1),0)*($K4433+$L4433)/(SUMIF($A:$A,$A4433,$K:$K)+SUMIF($A:$A,$A4433,$L:$L)),0)</f>
        <v>-0.93887236772586613</v>
      </c>
      <c r="N4433" s="30">
        <f>IFERROR((VLOOKUP($A4433,HeadJournal!$A$1:$K$890,COLUMN(HeadJournal!K$1),0)-VLOOKUP($A4433,HeadJournal!$A$1:$K$890,COLUMN(HeadJournal!J$1),0))*($K4433+$L4433)/(SUMIF($A:$A,$A4433,$K:$K)+SUMIF($A:$A,$A4433,$L:$L)),0)</f>
        <v>2.7340530356290974E-15</v>
      </c>
      <c r="O4433" s="30">
        <f>IFERROR((VLOOKUP($A4433,HeadJournal!$A$1:$L$890,COLUMN(HeadJournal!L$1),0)*($K4433+$L4433)/(SUMIF($A:$A,$A4433,$K:$K)+SUMIF($A:$A,$A4433,$L:$L)))/VLOOKUP($A4433,HeadJournal!$A$1:$L$890,COLUMN(HeadJournal!H$1),0),0)</f>
        <v>0.57883419082981535</v>
      </c>
      <c r="P4433" s="30">
        <f>IFERROR(SUM(K4433:O4433)*VLOOKUP($A4433,HeadJournal!$A$1:$L$890,COLUMN(HeadJournal!H$1),0),0)</f>
        <v>1180.06091918887</v>
      </c>
      <c r="Q4433" s="29">
        <v>2300</v>
      </c>
      <c r="R4433" s="31">
        <v>45771</v>
      </c>
      <c r="S4433" s="31" t="s">
        <v>3231</v>
      </c>
      <c r="T4433" s="95" t="str">
        <f t="shared" si="345"/>
        <v>2025 04</v>
      </c>
      <c r="U4433" s="32">
        <f t="shared" si="342"/>
        <v>1119.93908081113</v>
      </c>
      <c r="V4433" s="22">
        <f t="shared" si="343"/>
        <v>0.94905191977795056</v>
      </c>
      <c r="X4433" s="33"/>
      <c r="Y4433" s="33"/>
    </row>
    <row r="4434" spans="1:25" x14ac:dyDescent="0.2">
      <c r="A4434" s="93" t="s">
        <v>3017</v>
      </c>
      <c r="B4434" s="94" t="str">
        <f>IFERROR(VLOOKUP($A4434,HeadJournal!$A$1:$NTR$890,COLUMN(HeadJournal!B$1),0),"")</f>
        <v>722500415855</v>
      </c>
      <c r="C4434" s="94" t="str">
        <f>IFERROR(VLOOKUP($A4434,HeadJournal!$A$1:$NTR$890,COLUMN(HeadJournal!C$1),0),"")</f>
        <v>iHerb_OA CZN6870</v>
      </c>
      <c r="D4434" s="125" t="str">
        <f>IFERROR(VLOOKUP($A4434,HeadJournal!$A$1:$NTR$890,COLUMN(HeadJournal!D$1),0),"")</f>
        <v>Доставлен</v>
      </c>
      <c r="E4434" s="95">
        <f>IFERROR(VLOOKUP($A4434,HeadJournal!$A$1:$NTR$890,COLUMN(HeadJournal!G$1),0),"")</f>
        <v>45741</v>
      </c>
      <c r="F4434" s="95" t="str">
        <f t="shared" si="344"/>
        <v>2025 03</v>
      </c>
      <c r="G4434" s="97" t="s">
        <v>5</v>
      </c>
      <c r="H4434" s="161" t="s">
        <v>2223</v>
      </c>
      <c r="I4434" s="97" t="s">
        <v>2008</v>
      </c>
      <c r="J4434" s="97" t="s">
        <v>2224</v>
      </c>
      <c r="K4434" s="29">
        <v>12.99</v>
      </c>
      <c r="L4434" s="29">
        <v>-2.6</v>
      </c>
      <c r="M4434" s="30">
        <f>IFERROR(VLOOKUP($A4434,HeadJournal!$A$1:$J$890,COLUMN(HeadJournal!I$1),0)*($K4434+$L4434)/(SUMIF($A:$A,$A4434,$K:$K)+SUMIF($A:$A,$A4434,$L:$L)),0)</f>
        <v>-0.76538908596875255</v>
      </c>
      <c r="N4434" s="30">
        <f>IFERROR((VLOOKUP($A4434,HeadJournal!$A$1:$K$890,COLUMN(HeadJournal!K$1),0)-VLOOKUP($A4434,HeadJournal!$A$1:$K$890,COLUMN(HeadJournal!J$1),0))*($K4434+$L4434)/(SUMIF($A:$A,$A4434,$K:$K)+SUMIF($A:$A,$A4434,$L:$L)),0)</f>
        <v>2.2288592420703274E-15</v>
      </c>
      <c r="O4434" s="30">
        <f>IFERROR((VLOOKUP($A4434,HeadJournal!$A$1:$L$890,COLUMN(HeadJournal!L$1),0)*($K4434+$L4434)/(SUMIF($A:$A,$A4434,$K:$K)+SUMIF($A:$A,$A4434,$L:$L)))/VLOOKUP($A4434,HeadJournal!$A$1:$L$890,COLUMN(HeadJournal!H$1),0),0)</f>
        <v>0.47187816733791937</v>
      </c>
      <c r="P4434" s="30">
        <f>IFERROR(SUM(K4434:O4434)*VLOOKUP($A4434,HeadJournal!$A$1:$L$890,COLUMN(HeadJournal!H$1),0),0)</f>
        <v>962.01121619241746</v>
      </c>
      <c r="Q4434" s="29">
        <v>1800</v>
      </c>
      <c r="R4434" s="31">
        <v>46076</v>
      </c>
      <c r="S4434" s="31" t="s">
        <v>3487</v>
      </c>
      <c r="T4434" s="95" t="str">
        <f t="shared" si="345"/>
        <v>2026 02</v>
      </c>
      <c r="U4434" s="32">
        <f t="shared" si="342"/>
        <v>837.98878380758254</v>
      </c>
      <c r="V4434" s="22">
        <f t="shared" si="343"/>
        <v>0.87108005572356184</v>
      </c>
      <c r="X4434" s="33"/>
      <c r="Y4434" s="33"/>
    </row>
    <row r="4435" spans="1:25" x14ac:dyDescent="0.2">
      <c r="A4435" s="93" t="s">
        <v>3017</v>
      </c>
      <c r="B4435" s="94" t="str">
        <f>IFERROR(VLOOKUP($A4435,HeadJournal!$A$1:$NTR$890,COLUMN(HeadJournal!B$1),0),"")</f>
        <v>722500415855</v>
      </c>
      <c r="C4435" s="94" t="str">
        <f>IFERROR(VLOOKUP($A4435,HeadJournal!$A$1:$NTR$890,COLUMN(HeadJournal!C$1),0),"")</f>
        <v>iHerb_OA CZN6870</v>
      </c>
      <c r="D4435" s="125" t="str">
        <f>IFERROR(VLOOKUP($A4435,HeadJournal!$A$1:$NTR$890,COLUMN(HeadJournal!D$1),0),"")</f>
        <v>Доставлен</v>
      </c>
      <c r="E4435" s="95">
        <f>IFERROR(VLOOKUP($A4435,HeadJournal!$A$1:$NTR$890,COLUMN(HeadJournal!G$1),0),"")</f>
        <v>45741</v>
      </c>
      <c r="F4435" s="95" t="str">
        <f t="shared" si="344"/>
        <v>2025 03</v>
      </c>
      <c r="G4435" s="97" t="s">
        <v>5</v>
      </c>
      <c r="H4435" s="161" t="s">
        <v>2223</v>
      </c>
      <c r="I4435" s="97" t="s">
        <v>2008</v>
      </c>
      <c r="J4435" s="97" t="s">
        <v>2224</v>
      </c>
      <c r="K4435" s="29">
        <v>12.99</v>
      </c>
      <c r="L4435" s="29">
        <v>-2.6</v>
      </c>
      <c r="M4435" s="30">
        <f>IFERROR(VLOOKUP($A4435,HeadJournal!$A$1:$J$890,COLUMN(HeadJournal!I$1),0)*($K4435+$L4435)/(SUMIF($A:$A,$A4435,$K:$K)+SUMIF($A:$A,$A4435,$L:$L)),0)</f>
        <v>-0.76538908596875255</v>
      </c>
      <c r="N4435" s="30">
        <f>IFERROR((VLOOKUP($A4435,HeadJournal!$A$1:$K$890,COLUMN(HeadJournal!K$1),0)-VLOOKUP($A4435,HeadJournal!$A$1:$K$890,COLUMN(HeadJournal!J$1),0))*($K4435+$L4435)/(SUMIF($A:$A,$A4435,$K:$K)+SUMIF($A:$A,$A4435,$L:$L)),0)</f>
        <v>2.2288592420703274E-15</v>
      </c>
      <c r="O4435" s="30">
        <f>IFERROR((VLOOKUP($A4435,HeadJournal!$A$1:$L$890,COLUMN(HeadJournal!L$1),0)*($K4435+$L4435)/(SUMIF($A:$A,$A4435,$K:$K)+SUMIF($A:$A,$A4435,$L:$L)))/VLOOKUP($A4435,HeadJournal!$A$1:$L$890,COLUMN(HeadJournal!H$1),0),0)</f>
        <v>0.47187816733791937</v>
      </c>
      <c r="P4435" s="30">
        <f>IFERROR(SUM(K4435:O4435)*VLOOKUP($A4435,HeadJournal!$A$1:$L$890,COLUMN(HeadJournal!H$1),0),0)</f>
        <v>962.01121619241746</v>
      </c>
      <c r="Q4435" s="29"/>
      <c r="R4435" s="31"/>
      <c r="S4435" s="31"/>
      <c r="T4435" s="95" t="str">
        <f t="shared" si="345"/>
        <v/>
      </c>
      <c r="U4435" s="32">
        <f t="shared" si="342"/>
        <v>-962.01121619241746</v>
      </c>
      <c r="V4435" s="22" t="str">
        <f t="shared" si="343"/>
        <v/>
      </c>
      <c r="X4435" s="33"/>
      <c r="Y4435" s="33"/>
    </row>
    <row r="4436" spans="1:25" x14ac:dyDescent="0.2">
      <c r="A4436" s="93" t="s">
        <v>3017</v>
      </c>
      <c r="B4436" s="94" t="str">
        <f>IFERROR(VLOOKUP($A4436,HeadJournal!$A$1:$NTR$890,COLUMN(HeadJournal!B$1),0),"")</f>
        <v>722500415855</v>
      </c>
      <c r="C4436" s="94" t="str">
        <f>IFERROR(VLOOKUP($A4436,HeadJournal!$A$1:$NTR$890,COLUMN(HeadJournal!C$1),0),"")</f>
        <v>iHerb_OA CZN6870</v>
      </c>
      <c r="D4436" s="125" t="str">
        <f>IFERROR(VLOOKUP($A4436,HeadJournal!$A$1:$NTR$890,COLUMN(HeadJournal!D$1),0),"")</f>
        <v>Доставлен</v>
      </c>
      <c r="E4436" s="95">
        <f>IFERROR(VLOOKUP($A4436,HeadJournal!$A$1:$NTR$890,COLUMN(HeadJournal!G$1),0),"")</f>
        <v>45741</v>
      </c>
      <c r="F4436" s="95" t="str">
        <f t="shared" si="344"/>
        <v>2025 03</v>
      </c>
      <c r="G4436" s="97" t="s">
        <v>5</v>
      </c>
      <c r="H4436" s="161" t="s">
        <v>3011</v>
      </c>
      <c r="I4436" s="97" t="s">
        <v>2052</v>
      </c>
      <c r="J4436" s="97" t="s">
        <v>3012</v>
      </c>
      <c r="K4436" s="29">
        <v>5.83</v>
      </c>
      <c r="L4436" s="29">
        <v>-1.17</v>
      </c>
      <c r="M4436" s="30">
        <f>IFERROR(VLOOKUP($A4436,HeadJournal!$A$1:$J$890,COLUMN(HeadJournal!I$1),0)*($K4436+$L4436)/(SUMIF($A:$A,$A4436,$K:$K)+SUMIF($A:$A,$A4436,$L:$L)),0)</f>
        <v>-0.34328326666163489</v>
      </c>
      <c r="N4436" s="30">
        <f>IFERROR((VLOOKUP($A4436,HeadJournal!$A$1:$K$890,COLUMN(HeadJournal!K$1),0)-VLOOKUP($A4436,HeadJournal!$A$1:$K$890,COLUMN(HeadJournal!J$1),0))*($K4436+$L4436)/(SUMIF($A:$A,$A4436,$K:$K)+SUMIF($A:$A,$A4436,$L:$L)),0)</f>
        <v>9.9966160423943461E-16</v>
      </c>
      <c r="O4436" s="30">
        <f>IFERROR((VLOOKUP($A4436,HeadJournal!$A$1:$L$890,COLUMN(HeadJournal!L$1),0)*($K4436+$L4436)/(SUMIF($A:$A,$A4436,$K:$K)+SUMIF($A:$A,$A4436,$L:$L)))/VLOOKUP($A4436,HeadJournal!$A$1:$L$890,COLUMN(HeadJournal!H$1),0),0)</f>
        <v>0.21164121845954806</v>
      </c>
      <c r="P4436" s="30">
        <f>IFERROR(SUM(K4436:O4436)*VLOOKUP($A4436,HeadJournal!$A$1:$L$890,COLUMN(HeadJournal!H$1),0),0)</f>
        <v>431.46990062143078</v>
      </c>
      <c r="Q4436" s="29">
        <v>1000</v>
      </c>
      <c r="R4436" s="31">
        <v>45771</v>
      </c>
      <c r="S4436" s="31" t="s">
        <v>3270</v>
      </c>
      <c r="T4436" s="95" t="str">
        <f t="shared" si="345"/>
        <v>2025 04</v>
      </c>
      <c r="U4436" s="32">
        <f t="shared" si="342"/>
        <v>568.53009937856928</v>
      </c>
      <c r="V4436" s="22">
        <f t="shared" si="343"/>
        <v>1.3176587719322612</v>
      </c>
      <c r="X4436" s="33"/>
      <c r="Y4436" s="33"/>
    </row>
    <row r="4437" spans="1:25" x14ac:dyDescent="0.2">
      <c r="A4437" s="93" t="s">
        <v>3017</v>
      </c>
      <c r="B4437" s="94" t="str">
        <f>IFERROR(VLOOKUP($A4437,HeadJournal!$A$1:$NTR$890,COLUMN(HeadJournal!B$1),0),"")</f>
        <v>722500415855</v>
      </c>
      <c r="C4437" s="94" t="str">
        <f>IFERROR(VLOOKUP($A4437,HeadJournal!$A$1:$NTR$890,COLUMN(HeadJournal!C$1),0),"")</f>
        <v>iHerb_OA CZN6870</v>
      </c>
      <c r="D4437" s="125" t="str">
        <f>IFERROR(VLOOKUP($A4437,HeadJournal!$A$1:$NTR$890,COLUMN(HeadJournal!D$1),0),"")</f>
        <v>Доставлен</v>
      </c>
      <c r="E4437" s="95">
        <f>IFERROR(VLOOKUP($A4437,HeadJournal!$A$1:$NTR$890,COLUMN(HeadJournal!G$1),0),"")</f>
        <v>45741</v>
      </c>
      <c r="F4437" s="95" t="str">
        <f t="shared" si="344"/>
        <v>2025 03</v>
      </c>
      <c r="G4437" s="97" t="s">
        <v>5</v>
      </c>
      <c r="H4437" s="161" t="s">
        <v>3013</v>
      </c>
      <c r="I4437" s="97" t="s">
        <v>2993</v>
      </c>
      <c r="J4437" s="97" t="s">
        <v>3014</v>
      </c>
      <c r="K4437" s="29">
        <v>60</v>
      </c>
      <c r="L4437" s="29">
        <v>-12</v>
      </c>
      <c r="M4437" s="30">
        <f>IFERROR(VLOOKUP($A4437,HeadJournal!$A$1:$J$890,COLUMN(HeadJournal!I$1),0)*($K4437+$L4437)/(SUMIF($A:$A,$A4437,$K:$K)+SUMIF($A:$A,$A4437,$L:$L)),0)</f>
        <v>-3.5359649784889431</v>
      </c>
      <c r="N4437" s="30">
        <f>IFERROR((VLOOKUP($A4437,HeadJournal!$A$1:$K$890,COLUMN(HeadJournal!K$1),0)-VLOOKUP($A4437,HeadJournal!$A$1:$K$890,COLUMN(HeadJournal!J$1),0))*($K4437+$L4437)/(SUMIF($A:$A,$A4437,$K:$K)+SUMIF($A:$A,$A4437,$L:$L)),0)</f>
        <v>1.0296943562981302E-14</v>
      </c>
      <c r="O4437" s="30">
        <f>IFERROR((VLOOKUP($A4437,HeadJournal!$A$1:$L$890,COLUMN(HeadJournal!L$1),0)*($K4437+$L4437)/(SUMIF($A:$A,$A4437,$K:$K)+SUMIF($A:$A,$A4437,$L:$L)))/VLOOKUP($A4437,HeadJournal!$A$1:$L$890,COLUMN(HeadJournal!H$1),0),0)</f>
        <v>2.1799953832743144</v>
      </c>
      <c r="P4437" s="30">
        <f>IFERROR(SUM(K4437:O4437)*VLOOKUP($A4437,HeadJournal!$A$1:$L$890,COLUMN(HeadJournal!H$1),0),0)</f>
        <v>4444.3251566155959</v>
      </c>
      <c r="Q4437" s="29">
        <v>6200</v>
      </c>
      <c r="R4437" s="31">
        <v>45773</v>
      </c>
      <c r="S4437" s="31" t="s">
        <v>3475</v>
      </c>
      <c r="T4437" s="95" t="str">
        <f t="shared" si="345"/>
        <v>2025 04</v>
      </c>
      <c r="U4437" s="32">
        <f t="shared" si="342"/>
        <v>1755.6748433844041</v>
      </c>
      <c r="V4437" s="22">
        <f t="shared" si="343"/>
        <v>0.39503744247222683</v>
      </c>
      <c r="X4437" s="33"/>
      <c r="Y4437" s="33"/>
    </row>
    <row r="4438" spans="1:25" x14ac:dyDescent="0.2">
      <c r="A4438" s="93" t="s">
        <v>3017</v>
      </c>
      <c r="B4438" s="94" t="str">
        <f>IFERROR(VLOOKUP($A4438,HeadJournal!$A$1:$NTR$890,COLUMN(HeadJournal!B$1),0),"")</f>
        <v>722500415855</v>
      </c>
      <c r="C4438" s="94" t="str">
        <f>IFERROR(VLOOKUP($A4438,HeadJournal!$A$1:$NTR$890,COLUMN(HeadJournal!C$1),0),"")</f>
        <v>iHerb_OA CZN6870</v>
      </c>
      <c r="D4438" s="125" t="str">
        <f>IFERROR(VLOOKUP($A4438,HeadJournal!$A$1:$NTR$890,COLUMN(HeadJournal!D$1),0),"")</f>
        <v>Доставлен</v>
      </c>
      <c r="E4438" s="95">
        <f>IFERROR(VLOOKUP($A4438,HeadJournal!$A$1:$NTR$890,COLUMN(HeadJournal!G$1),0),"")</f>
        <v>45741</v>
      </c>
      <c r="F4438" s="95" t="str">
        <f t="shared" si="344"/>
        <v>2025 03</v>
      </c>
      <c r="G4438" s="97" t="s">
        <v>5</v>
      </c>
      <c r="H4438" s="161" t="s">
        <v>2650</v>
      </c>
      <c r="I4438" s="97" t="s">
        <v>2005</v>
      </c>
      <c r="J4438" s="97" t="s">
        <v>2651</v>
      </c>
      <c r="K4438" s="29">
        <v>12.31</v>
      </c>
      <c r="L4438" s="29">
        <v>-2.46</v>
      </c>
      <c r="M4438" s="30">
        <f>IFERROR(VLOOKUP($A4438,HeadJournal!$A$1:$J$890,COLUMN(HeadJournal!I$1),0)*($K4438+$L4438)/(SUMIF($A:$A,$A4438,$K:$K)+SUMIF($A:$A,$A4438,$L:$L)),0)</f>
        <v>-0.72560947996075198</v>
      </c>
      <c r="N4438" s="30">
        <f>IFERROR((VLOOKUP($A4438,HeadJournal!$A$1:$K$890,COLUMN(HeadJournal!K$1),0)-VLOOKUP($A4438,HeadJournal!$A$1:$K$890,COLUMN(HeadJournal!J$1),0))*($K4438+$L4438)/(SUMIF($A:$A,$A4438,$K:$K)+SUMIF($A:$A,$A4438,$L:$L)),0)</f>
        <v>2.113018626986788E-15</v>
      </c>
      <c r="O4438" s="30">
        <f>IFERROR((VLOOKUP($A4438,HeadJournal!$A$1:$L$890,COLUMN(HeadJournal!L$1),0)*($K4438+$L4438)/(SUMIF($A:$A,$A4438,$K:$K)+SUMIF($A:$A,$A4438,$L:$L)))/VLOOKUP($A4438,HeadJournal!$A$1:$L$890,COLUMN(HeadJournal!H$1),0),0)</f>
        <v>0.4473532192760834</v>
      </c>
      <c r="P4438" s="30">
        <f>IFERROR(SUM(K4438:O4438)*VLOOKUP($A4438,HeadJournal!$A$1:$L$890,COLUMN(HeadJournal!H$1),0),0)</f>
        <v>912.01255818049208</v>
      </c>
      <c r="Q4438" s="29">
        <v>1600</v>
      </c>
      <c r="R4438" s="31">
        <v>45845</v>
      </c>
      <c r="S4438" s="31" t="s">
        <v>3509</v>
      </c>
      <c r="T4438" s="95" t="str">
        <f t="shared" si="345"/>
        <v>2025 07</v>
      </c>
      <c r="U4438" s="32">
        <f t="shared" si="342"/>
        <v>687.98744181950792</v>
      </c>
      <c r="V4438" s="22">
        <f t="shared" si="343"/>
        <v>0.75436180746466386</v>
      </c>
      <c r="X4438" s="33"/>
      <c r="Y4438" s="33"/>
    </row>
    <row r="4439" spans="1:25" x14ac:dyDescent="0.2">
      <c r="A4439" s="93" t="s">
        <v>3017</v>
      </c>
      <c r="B4439" s="94" t="str">
        <f>IFERROR(VLOOKUP($A4439,HeadJournal!$A$1:$NTR$890,COLUMN(HeadJournal!B$1),0),"")</f>
        <v>722500415855</v>
      </c>
      <c r="C4439" s="94" t="str">
        <f>IFERROR(VLOOKUP($A4439,HeadJournal!$A$1:$NTR$890,COLUMN(HeadJournal!C$1),0),"")</f>
        <v>iHerb_OA CZN6870</v>
      </c>
      <c r="D4439" s="125" t="str">
        <f>IFERROR(VLOOKUP($A4439,HeadJournal!$A$1:$NTR$890,COLUMN(HeadJournal!D$1),0),"")</f>
        <v>Доставлен</v>
      </c>
      <c r="E4439" s="95">
        <f>IFERROR(VLOOKUP($A4439,HeadJournal!$A$1:$NTR$890,COLUMN(HeadJournal!G$1),0),"")</f>
        <v>45741</v>
      </c>
      <c r="F4439" s="95" t="str">
        <f t="shared" si="344"/>
        <v>2025 03</v>
      </c>
      <c r="G4439" s="97" t="s">
        <v>5</v>
      </c>
      <c r="H4439" s="161" t="s">
        <v>2025</v>
      </c>
      <c r="I4439" s="97" t="s">
        <v>2008</v>
      </c>
      <c r="J4439" s="97" t="s">
        <v>2026</v>
      </c>
      <c r="K4439" s="29">
        <v>18.04</v>
      </c>
      <c r="L4439" s="29">
        <v>-3.61</v>
      </c>
      <c r="M4439" s="30">
        <f>IFERROR(VLOOKUP($A4439,HeadJournal!$A$1:$J$890,COLUMN(HeadJournal!I$1),0)*($K4439+$L4439)/(SUMIF($A:$A,$A4439,$K:$K)+SUMIF($A:$A,$A4439,$L:$L)),0)</f>
        <v>-1.0629994716582383</v>
      </c>
      <c r="N4439" s="30">
        <f>IFERROR((VLOOKUP($A4439,HeadJournal!$A$1:$K$890,COLUMN(HeadJournal!K$1),0)-VLOOKUP($A4439,HeadJournal!$A$1:$K$890,COLUMN(HeadJournal!J$1),0))*($K4439+$L4439)/(SUMIF($A:$A,$A4439,$K:$K)+SUMIF($A:$A,$A4439,$L:$L)),0)</f>
        <v>3.0955186586212535E-15</v>
      </c>
      <c r="O4439" s="30">
        <f>IFERROR((VLOOKUP($A4439,HeadJournal!$A$1:$L$890,COLUMN(HeadJournal!L$1),0)*($K4439+$L4439)/(SUMIF($A:$A,$A4439,$K:$K)+SUMIF($A:$A,$A4439,$L:$L)))/VLOOKUP($A4439,HeadJournal!$A$1:$L$890,COLUMN(HeadJournal!H$1),0),0)</f>
        <v>0.65536111209684078</v>
      </c>
      <c r="P4439" s="30">
        <f>IFERROR(SUM(K4439:O4439)*VLOOKUP($A4439,HeadJournal!$A$1:$L$890,COLUMN(HeadJournal!H$1),0),0)</f>
        <v>1336.0752502075636</v>
      </c>
      <c r="Q4439" s="29">
        <v>2400</v>
      </c>
      <c r="R4439" s="31">
        <v>45845</v>
      </c>
      <c r="S4439" s="31" t="s">
        <v>3509</v>
      </c>
      <c r="T4439" s="95" t="str">
        <f t="shared" si="345"/>
        <v>2025 07</v>
      </c>
      <c r="U4439" s="32">
        <f t="shared" si="342"/>
        <v>1063.9247497924364</v>
      </c>
      <c r="V4439" s="22">
        <f t="shared" si="343"/>
        <v>0.7963060086826339</v>
      </c>
      <c r="X4439" s="33"/>
      <c r="Y4439" s="33"/>
    </row>
    <row r="4440" spans="1:25" x14ac:dyDescent="0.2">
      <c r="A4440" s="93" t="s">
        <v>3017</v>
      </c>
      <c r="B4440" s="94" t="str">
        <f>IFERROR(VLOOKUP($A4440,HeadJournal!$A$1:$NTR$890,COLUMN(HeadJournal!B$1),0),"")</f>
        <v>722500415855</v>
      </c>
      <c r="C4440" s="94" t="str">
        <f>IFERROR(VLOOKUP($A4440,HeadJournal!$A$1:$NTR$890,COLUMN(HeadJournal!C$1),0),"")</f>
        <v>iHerb_OA CZN6870</v>
      </c>
      <c r="D4440" s="125" t="str">
        <f>IFERROR(VLOOKUP($A4440,HeadJournal!$A$1:$NTR$890,COLUMN(HeadJournal!D$1),0),"")</f>
        <v>Доставлен</v>
      </c>
      <c r="E4440" s="95">
        <f>IFERROR(VLOOKUP($A4440,HeadJournal!$A$1:$NTR$890,COLUMN(HeadJournal!G$1),0),"")</f>
        <v>45741</v>
      </c>
      <c r="F4440" s="95" t="str">
        <f t="shared" si="344"/>
        <v>2025 03</v>
      </c>
      <c r="G4440" s="97" t="s">
        <v>5</v>
      </c>
      <c r="H4440" s="161" t="s">
        <v>3015</v>
      </c>
      <c r="I4440" s="97" t="s">
        <v>2491</v>
      </c>
      <c r="J4440" s="97" t="s">
        <v>3016</v>
      </c>
      <c r="K4440" s="29">
        <v>18.57</v>
      </c>
      <c r="L4440" s="29">
        <v>-9.2899999999999991</v>
      </c>
      <c r="M4440" s="30">
        <f>IFERROR(VLOOKUP($A4440,HeadJournal!$A$1:$J$890,COLUMN(HeadJournal!I$1),0)*($K4440+$L4440)/(SUMIF($A:$A,$A4440,$K:$K)+SUMIF($A:$A,$A4440,$L:$L)),0)</f>
        <v>-0.68361989584119576</v>
      </c>
      <c r="N4440" s="30">
        <f>IFERROR((VLOOKUP($A4440,HeadJournal!$A$1:$K$890,COLUMN(HeadJournal!K$1),0)-VLOOKUP($A4440,HeadJournal!$A$1:$K$890,COLUMN(HeadJournal!J$1),0))*($K4440+$L4440)/(SUMIF($A:$A,$A4440,$K:$K)+SUMIF($A:$A,$A4440,$L:$L)),0)</f>
        <v>1.9907424221763852E-15</v>
      </c>
      <c r="O4440" s="30">
        <f>IFERROR((VLOOKUP($A4440,HeadJournal!$A$1:$L$890,COLUMN(HeadJournal!L$1),0)*($K4440+$L4440)/(SUMIF($A:$A,$A4440,$K:$K)+SUMIF($A:$A,$A4440,$L:$L)))/VLOOKUP($A4440,HeadJournal!$A$1:$L$890,COLUMN(HeadJournal!H$1),0),0)</f>
        <v>0.42146577409970093</v>
      </c>
      <c r="P4440" s="30">
        <f>IFERROR(SUM(K4440:O4440)*VLOOKUP($A4440,HeadJournal!$A$1:$L$890,COLUMN(HeadJournal!H$1),0),0)</f>
        <v>859.23619694568197</v>
      </c>
      <c r="Q4440" s="29">
        <v>2200</v>
      </c>
      <c r="R4440" s="31">
        <v>46038</v>
      </c>
      <c r="S4440" s="31" t="s">
        <v>3487</v>
      </c>
      <c r="T4440" s="95" t="str">
        <f t="shared" si="345"/>
        <v>2026 01</v>
      </c>
      <c r="U4440" s="32">
        <f t="shared" si="342"/>
        <v>1340.763803054318</v>
      </c>
      <c r="V4440" s="22">
        <f t="shared" si="343"/>
        <v>1.5604135484751658</v>
      </c>
      <c r="X4440" s="33"/>
      <c r="Y4440" s="33"/>
    </row>
    <row r="4441" spans="1:25" x14ac:dyDescent="0.2">
      <c r="A4441" s="93" t="s">
        <v>3027</v>
      </c>
      <c r="B4441" s="94" t="str">
        <f>IFERROR(VLOOKUP($A4441,HeadJournal!$A$1:$NTR$890,COLUMN(HeadJournal!B$1),0),"")</f>
        <v>722500403415</v>
      </c>
      <c r="C4441" s="94" t="str">
        <f>IFERROR(VLOOKUP($A4441,HeadJournal!$A$1:$NTR$890,COLUMN(HeadJournal!C$1),0),"")</f>
        <v>iHerb_MH DLE7202</v>
      </c>
      <c r="D4441" s="125" t="str">
        <f>IFERROR(VLOOKUP($A4441,HeadJournal!$A$1:$NTR$890,COLUMN(HeadJournal!D$1),0),"")</f>
        <v>Доставлен</v>
      </c>
      <c r="E4441" s="95">
        <f>IFERROR(VLOOKUP($A4441,HeadJournal!$A$1:$NTR$890,COLUMN(HeadJournal!G$1),0),"")</f>
        <v>45747</v>
      </c>
      <c r="F4441" s="95" t="str">
        <f t="shared" si="344"/>
        <v>2025 03</v>
      </c>
      <c r="G4441" s="97" t="s">
        <v>7</v>
      </c>
      <c r="H4441" s="161" t="s">
        <v>2724</v>
      </c>
      <c r="I4441" s="97" t="s">
        <v>2725</v>
      </c>
      <c r="J4441" s="97" t="s">
        <v>2726</v>
      </c>
      <c r="K4441" s="29">
        <v>24.73</v>
      </c>
      <c r="L4441" s="29">
        <v>-7.42</v>
      </c>
      <c r="M4441" s="30">
        <f>IFERROR(VLOOKUP($A4441,HeadJournal!$A$1:$J$890,COLUMN(HeadJournal!I$1),0)*($K4441+$L4441)/(SUMIF($A:$A,$A4441,$K:$K)+SUMIF($A:$A,$A4441,$L:$L)),0)</f>
        <v>-0.64931201382886772</v>
      </c>
      <c r="N4441" s="30">
        <f>IFERROR((VLOOKUP($A4441,HeadJournal!$A$1:$K$890,COLUMN(HeadJournal!K$1),0)-VLOOKUP($A4441,HeadJournal!$A$1:$K$890,COLUMN(HeadJournal!J$1),0))*($K4441+$L4441)/(SUMIF($A:$A,$A4441,$K:$K)+SUMIF($A:$A,$A4441,$L:$L)),0)</f>
        <v>-2.834801441891636E-15</v>
      </c>
      <c r="O4441" s="30">
        <f>IFERROR((VLOOKUP($A4441,HeadJournal!$A$1:$L$890,COLUMN(HeadJournal!L$1),0)*($K4441+$L4441)/(SUMIF($A:$A,$A4441,$K:$K)+SUMIF($A:$A,$A4441,$L:$L)))/VLOOKUP($A4441,HeadJournal!$A$1:$L$890,COLUMN(HeadJournal!H$1),0),0)</f>
        <v>0.6024336542699007</v>
      </c>
      <c r="P4441" s="30">
        <f>IFERROR(SUM(K4441:O4441)*VLOOKUP($A4441,HeadJournal!$A$1:$L$890,COLUMN(HeadJournal!H$1),0),0)</f>
        <v>1638.6633765485446</v>
      </c>
      <c r="Q4441" s="29">
        <v>3000</v>
      </c>
      <c r="R4441" s="31">
        <v>45771</v>
      </c>
      <c r="S4441" s="31" t="s">
        <v>3430</v>
      </c>
      <c r="T4441" s="95" t="str">
        <f t="shared" si="345"/>
        <v>2025 04</v>
      </c>
      <c r="U4441" s="32">
        <f t="shared" si="342"/>
        <v>1361.3366234514554</v>
      </c>
      <c r="V4441" s="22">
        <f t="shared" si="343"/>
        <v>0.83076038857888412</v>
      </c>
      <c r="X4441" s="33"/>
      <c r="Y4441" s="33"/>
    </row>
    <row r="4442" spans="1:25" x14ac:dyDescent="0.2">
      <c r="A4442" s="93" t="s">
        <v>3027</v>
      </c>
      <c r="B4442" s="94" t="str">
        <f>IFERROR(VLOOKUP($A4442,HeadJournal!$A$1:$NTR$890,COLUMN(HeadJournal!B$1),0),"")</f>
        <v>722500403415</v>
      </c>
      <c r="C4442" s="94" t="str">
        <f>IFERROR(VLOOKUP($A4442,HeadJournal!$A$1:$NTR$890,COLUMN(HeadJournal!C$1),0),"")</f>
        <v>iHerb_MH DLE7202</v>
      </c>
      <c r="D4442" s="125" t="str">
        <f>IFERROR(VLOOKUP($A4442,HeadJournal!$A$1:$NTR$890,COLUMN(HeadJournal!D$1),0),"")</f>
        <v>Доставлен</v>
      </c>
      <c r="E4442" s="95">
        <f>IFERROR(VLOOKUP($A4442,HeadJournal!$A$1:$NTR$890,COLUMN(HeadJournal!G$1),0),"")</f>
        <v>45747</v>
      </c>
      <c r="F4442" s="95" t="str">
        <f t="shared" si="344"/>
        <v>2025 03</v>
      </c>
      <c r="G4442" s="97" t="s">
        <v>7</v>
      </c>
      <c r="H4442" s="161" t="s">
        <v>2724</v>
      </c>
      <c r="I4442" s="97" t="s">
        <v>2725</v>
      </c>
      <c r="J4442" s="97" t="s">
        <v>2726</v>
      </c>
      <c r="K4442" s="29">
        <v>24.73</v>
      </c>
      <c r="L4442" s="29">
        <v>-7.42</v>
      </c>
      <c r="M4442" s="30">
        <f>IFERROR(VLOOKUP($A4442,HeadJournal!$A$1:$J$890,COLUMN(HeadJournal!I$1),0)*($K4442+$L4442)/(SUMIF($A:$A,$A4442,$K:$K)+SUMIF($A:$A,$A4442,$L:$L)),0)</f>
        <v>-0.64931201382886772</v>
      </c>
      <c r="N4442" s="30">
        <f>IFERROR((VLOOKUP($A4442,HeadJournal!$A$1:$K$890,COLUMN(HeadJournal!K$1),0)-VLOOKUP($A4442,HeadJournal!$A$1:$K$890,COLUMN(HeadJournal!J$1),0))*($K4442+$L4442)/(SUMIF($A:$A,$A4442,$K:$K)+SUMIF($A:$A,$A4442,$L:$L)),0)</f>
        <v>-2.834801441891636E-15</v>
      </c>
      <c r="O4442" s="30">
        <f>IFERROR((VLOOKUP($A4442,HeadJournal!$A$1:$L$890,COLUMN(HeadJournal!L$1),0)*($K4442+$L4442)/(SUMIF($A:$A,$A4442,$K:$K)+SUMIF($A:$A,$A4442,$L:$L)))/VLOOKUP($A4442,HeadJournal!$A$1:$L$890,COLUMN(HeadJournal!H$1),0),0)</f>
        <v>0.6024336542699007</v>
      </c>
      <c r="P4442" s="30">
        <f>IFERROR(SUM(K4442:O4442)*VLOOKUP($A4442,HeadJournal!$A$1:$L$890,COLUMN(HeadJournal!H$1),0),0)</f>
        <v>1638.6633765485446</v>
      </c>
      <c r="Q4442" s="29">
        <v>3000</v>
      </c>
      <c r="R4442" s="31">
        <v>45771</v>
      </c>
      <c r="S4442" s="31" t="s">
        <v>3430</v>
      </c>
      <c r="T4442" s="95" t="str">
        <f t="shared" si="345"/>
        <v>2025 04</v>
      </c>
      <c r="U4442" s="32">
        <f t="shared" si="342"/>
        <v>1361.3366234514554</v>
      </c>
      <c r="V4442" s="22">
        <f t="shared" si="343"/>
        <v>0.83076038857888412</v>
      </c>
      <c r="X4442" s="33"/>
      <c r="Y4442" s="33"/>
    </row>
    <row r="4443" spans="1:25" x14ac:dyDescent="0.2">
      <c r="A4443" s="93" t="s">
        <v>3027</v>
      </c>
      <c r="B4443" s="94" t="str">
        <f>IFERROR(VLOOKUP($A4443,HeadJournal!$A$1:$NTR$890,COLUMN(HeadJournal!B$1),0),"")</f>
        <v>722500403415</v>
      </c>
      <c r="C4443" s="94" t="str">
        <f>IFERROR(VLOOKUP($A4443,HeadJournal!$A$1:$NTR$890,COLUMN(HeadJournal!C$1),0),"")</f>
        <v>iHerb_MH DLE7202</v>
      </c>
      <c r="D4443" s="125" t="str">
        <f>IFERROR(VLOOKUP($A4443,HeadJournal!$A$1:$NTR$890,COLUMN(HeadJournal!D$1),0),"")</f>
        <v>Доставлен</v>
      </c>
      <c r="E4443" s="95">
        <f>IFERROR(VLOOKUP($A4443,HeadJournal!$A$1:$NTR$890,COLUMN(HeadJournal!G$1),0),"")</f>
        <v>45747</v>
      </c>
      <c r="F4443" s="95" t="str">
        <f t="shared" si="344"/>
        <v>2025 03</v>
      </c>
      <c r="G4443" s="97" t="s">
        <v>7</v>
      </c>
      <c r="H4443" s="161" t="s">
        <v>3018</v>
      </c>
      <c r="I4443" s="97" t="s">
        <v>3019</v>
      </c>
      <c r="J4443" s="97" t="s">
        <v>3020</v>
      </c>
      <c r="K4443" s="29">
        <v>28.26</v>
      </c>
      <c r="L4443" s="29">
        <v>-8.48</v>
      </c>
      <c r="M4443" s="30">
        <f>IFERROR(VLOOKUP($A4443,HeadJournal!$A$1:$J$890,COLUMN(HeadJournal!I$1),0)*($K4443+$L4443)/(SUMIF($A:$A,$A4443,$K:$K)+SUMIF($A:$A,$A4443,$L:$L)),0)</f>
        <v>-0.74196369922212613</v>
      </c>
      <c r="N4443" s="30">
        <f>IFERROR((VLOOKUP($A4443,HeadJournal!$A$1:$K$890,COLUMN(HeadJournal!K$1),0)-VLOOKUP($A4443,HeadJournal!$A$1:$K$890,COLUMN(HeadJournal!J$1),0))*($K4443+$L4443)/(SUMIF($A:$A,$A4443,$K:$K)+SUMIF($A:$A,$A4443,$L:$L)),0)</f>
        <v>-3.2393051716127412E-15</v>
      </c>
      <c r="O4443" s="30">
        <f>IFERROR((VLOOKUP($A4443,HeadJournal!$A$1:$L$890,COLUMN(HeadJournal!L$1),0)*($K4443+$L4443)/(SUMIF($A:$A,$A4443,$K:$K)+SUMIF($A:$A,$A4443,$L:$L)))/VLOOKUP($A4443,HeadJournal!$A$1:$L$890,COLUMN(HeadJournal!H$1),0),0)</f>
        <v>0.68839616877288479</v>
      </c>
      <c r="P4443" s="30">
        <f>IFERROR(SUM(K4443:O4443)*VLOOKUP($A4443,HeadJournal!$A$1:$L$890,COLUMN(HeadJournal!H$1),0),0)</f>
        <v>1872.4876711802551</v>
      </c>
      <c r="Q4443" s="29"/>
      <c r="R4443" s="31"/>
      <c r="S4443" s="31"/>
      <c r="T4443" s="95" t="str">
        <f t="shared" si="345"/>
        <v/>
      </c>
      <c r="U4443" s="32">
        <f t="shared" si="342"/>
        <v>-1872.4876711802551</v>
      </c>
      <c r="V4443" s="22" t="str">
        <f t="shared" si="343"/>
        <v/>
      </c>
      <c r="X4443" s="33"/>
      <c r="Y4443" s="33"/>
    </row>
    <row r="4444" spans="1:25" x14ac:dyDescent="0.2">
      <c r="A4444" s="93" t="s">
        <v>3027</v>
      </c>
      <c r="B4444" s="94" t="str">
        <f>IFERROR(VLOOKUP($A4444,HeadJournal!$A$1:$NTR$890,COLUMN(HeadJournal!B$1),0),"")</f>
        <v>722500403415</v>
      </c>
      <c r="C4444" s="94" t="str">
        <f>IFERROR(VLOOKUP($A4444,HeadJournal!$A$1:$NTR$890,COLUMN(HeadJournal!C$1),0),"")</f>
        <v>iHerb_MH DLE7202</v>
      </c>
      <c r="D4444" s="125" t="str">
        <f>IFERROR(VLOOKUP($A4444,HeadJournal!$A$1:$NTR$890,COLUMN(HeadJournal!D$1),0),"")</f>
        <v>Доставлен</v>
      </c>
      <c r="E4444" s="95">
        <f>IFERROR(VLOOKUP($A4444,HeadJournal!$A$1:$NTR$890,COLUMN(HeadJournal!G$1),0),"")</f>
        <v>45747</v>
      </c>
      <c r="F4444" s="95" t="str">
        <f t="shared" si="344"/>
        <v>2025 03</v>
      </c>
      <c r="G4444" s="97" t="s">
        <v>7</v>
      </c>
      <c r="H4444" s="161" t="s">
        <v>3021</v>
      </c>
      <c r="I4444" s="97" t="s">
        <v>3022</v>
      </c>
      <c r="J4444" s="97" t="s">
        <v>3023</v>
      </c>
      <c r="K4444" s="29">
        <v>17.61</v>
      </c>
      <c r="L4444" s="29">
        <v>-5.28</v>
      </c>
      <c r="M4444" s="30">
        <f>IFERROR(VLOOKUP($A4444,HeadJournal!$A$1:$J$890,COLUMN(HeadJournal!I$1),0)*($K4444+$L4444)/(SUMIF($A:$A,$A4444,$K:$K)+SUMIF($A:$A,$A4444,$L:$L)),0)</f>
        <v>-0.46250821089023325</v>
      </c>
      <c r="N4444" s="30">
        <f>IFERROR((VLOOKUP($A4444,HeadJournal!$A$1:$K$890,COLUMN(HeadJournal!K$1),0)-VLOOKUP($A4444,HeadJournal!$A$1:$K$890,COLUMN(HeadJournal!J$1),0))*($K4444+$L4444)/(SUMIF($A:$A,$A4444,$K:$K)+SUMIF($A:$A,$A4444,$L:$L)),0)</f>
        <v>-2.0192433147616325E-15</v>
      </c>
      <c r="O4444" s="30">
        <f>IFERROR((VLOOKUP($A4444,HeadJournal!$A$1:$L$890,COLUMN(HeadJournal!L$1),0)*($K4444+$L4444)/(SUMIF($A:$A,$A4444,$K:$K)+SUMIF($A:$A,$A4444,$L:$L)))/VLOOKUP($A4444,HeadJournal!$A$1:$L$890,COLUMN(HeadJournal!H$1),0),0)</f>
        <v>0.42911651976590842</v>
      </c>
      <c r="P4444" s="30">
        <f>IFERROR(SUM(K4444:O4444)*VLOOKUP($A4444,HeadJournal!$A$1:$L$890,COLUMN(HeadJournal!H$1),0),0)</f>
        <v>1167.2281590319787</v>
      </c>
      <c r="Q4444" s="29"/>
      <c r="R4444" s="31"/>
      <c r="S4444" s="31"/>
      <c r="T4444" s="95" t="str">
        <f t="shared" si="345"/>
        <v/>
      </c>
      <c r="U4444" s="32">
        <f t="shared" si="342"/>
        <v>-1167.2281590319787</v>
      </c>
      <c r="V4444" s="22" t="str">
        <f t="shared" si="343"/>
        <v/>
      </c>
      <c r="X4444" s="33"/>
      <c r="Y4444" s="33"/>
    </row>
    <row r="4445" spans="1:25" x14ac:dyDescent="0.2">
      <c r="A4445" s="93" t="s">
        <v>3027</v>
      </c>
      <c r="B4445" s="94" t="str">
        <f>IFERROR(VLOOKUP($A4445,HeadJournal!$A$1:$NTR$890,COLUMN(HeadJournal!B$1),0),"")</f>
        <v>722500403415</v>
      </c>
      <c r="C4445" s="94" t="str">
        <f>IFERROR(VLOOKUP($A4445,HeadJournal!$A$1:$NTR$890,COLUMN(HeadJournal!C$1),0),"")</f>
        <v>iHerb_MH DLE7202</v>
      </c>
      <c r="D4445" s="125" t="str">
        <f>IFERROR(VLOOKUP($A4445,HeadJournal!$A$1:$NTR$890,COLUMN(HeadJournal!D$1),0),"")</f>
        <v>Доставлен</v>
      </c>
      <c r="E4445" s="95">
        <f>IFERROR(VLOOKUP($A4445,HeadJournal!$A$1:$NTR$890,COLUMN(HeadJournal!G$1),0),"")</f>
        <v>45747</v>
      </c>
      <c r="F4445" s="95" t="str">
        <f t="shared" si="344"/>
        <v>2025 03</v>
      </c>
      <c r="G4445" s="97" t="s">
        <v>5</v>
      </c>
      <c r="H4445" s="161" t="s">
        <v>3024</v>
      </c>
      <c r="I4445" s="97" t="s">
        <v>2166</v>
      </c>
      <c r="J4445" s="97" t="s">
        <v>4115</v>
      </c>
      <c r="K4445" s="29">
        <v>32.520000000000003</v>
      </c>
      <c r="L4445" s="29">
        <v>-9.76</v>
      </c>
      <c r="M4445" s="30">
        <f>IFERROR(VLOOKUP($A4445,HeadJournal!$A$1:$J$890,COLUMN(HeadJournal!I$1),0)*($K4445+$L4445)/(SUMIF($A:$A,$A4445,$K:$K)+SUMIF($A:$A,$A4445,$L:$L)),0)</f>
        <v>-0.85374589455488337</v>
      </c>
      <c r="N4445" s="30">
        <f>IFERROR((VLOOKUP($A4445,HeadJournal!$A$1:$K$890,COLUMN(HeadJournal!K$1),0)-VLOOKUP($A4445,HeadJournal!$A$1:$K$890,COLUMN(HeadJournal!J$1),0))*($K4445+$L4445)/(SUMIF($A:$A,$A4445,$K:$K)+SUMIF($A:$A,$A4445,$L:$L)),0)</f>
        <v>-3.7273299143531851E-15</v>
      </c>
      <c r="O4445" s="30">
        <f>IFERROR((VLOOKUP($A4445,HeadJournal!$A$1:$L$890,COLUMN(HeadJournal!L$1),0)*($K4445+$L4445)/(SUMIF($A:$A,$A4445,$K:$K)+SUMIF($A:$A,$A4445,$L:$L)))/VLOOKUP($A4445,HeadJournal!$A$1:$L$890,COLUMN(HeadJournal!H$1),0),0)</f>
        <v>0.79210802837567551</v>
      </c>
      <c r="P4445" s="30">
        <f>IFERROR(SUM(K4445:O4445)*VLOOKUP($A4445,HeadJournal!$A$1:$L$890,COLUMN(HeadJournal!H$1),0),0)</f>
        <v>2154.5914760395658</v>
      </c>
      <c r="Q4445" s="29">
        <v>2154.59</v>
      </c>
      <c r="R4445" s="31">
        <v>45748</v>
      </c>
      <c r="S4445" s="31" t="s">
        <v>3121</v>
      </c>
      <c r="T4445" s="95" t="str">
        <f t="shared" si="345"/>
        <v>2025 04</v>
      </c>
      <c r="U4445" s="32">
        <f t="shared" si="342"/>
        <v>-1.4760395656594483E-3</v>
      </c>
      <c r="V4445" s="22">
        <f t="shared" si="343"/>
        <v>-6.8506702178763426E-7</v>
      </c>
      <c r="X4445" s="33"/>
      <c r="Y4445" s="33"/>
    </row>
    <row r="4446" spans="1:25" x14ac:dyDescent="0.2">
      <c r="A4446" s="93" t="s">
        <v>3027</v>
      </c>
      <c r="B4446" s="94" t="str">
        <f>IFERROR(VLOOKUP($A4446,HeadJournal!$A$1:$NTR$890,COLUMN(HeadJournal!B$1),0),"")</f>
        <v>722500403415</v>
      </c>
      <c r="C4446" s="94" t="str">
        <f>IFERROR(VLOOKUP($A4446,HeadJournal!$A$1:$NTR$890,COLUMN(HeadJournal!C$1),0),"")</f>
        <v>iHerb_MH DLE7202</v>
      </c>
      <c r="D4446" s="125" t="str">
        <f>IFERROR(VLOOKUP($A4446,HeadJournal!$A$1:$NTR$890,COLUMN(HeadJournal!D$1),0),"")</f>
        <v>Доставлен</v>
      </c>
      <c r="E4446" s="95">
        <f>IFERROR(VLOOKUP($A4446,HeadJournal!$A$1:$NTR$890,COLUMN(HeadJournal!G$1),0),"")</f>
        <v>45747</v>
      </c>
      <c r="F4446" s="95" t="str">
        <f t="shared" si="344"/>
        <v>2025 03</v>
      </c>
      <c r="G4446" s="97" t="s">
        <v>5</v>
      </c>
      <c r="H4446" s="161" t="s">
        <v>2853</v>
      </c>
      <c r="I4446" s="97" t="s">
        <v>2159</v>
      </c>
      <c r="J4446" s="97" t="s">
        <v>2854</v>
      </c>
      <c r="K4446" s="29">
        <v>59.75</v>
      </c>
      <c r="L4446" s="29">
        <v>-17.93</v>
      </c>
      <c r="M4446" s="30">
        <f>IFERROR(VLOOKUP($A4446,HeadJournal!$A$1:$J$890,COLUMN(HeadJournal!I$1),0)*($K4446+$L4446)/(SUMIF($A:$A,$A4446,$K:$K)+SUMIF($A:$A,$A4446,$L:$L)),0)</f>
        <v>-1.5687018150388936</v>
      </c>
      <c r="N4446" s="30">
        <f>IFERROR((VLOOKUP($A4446,HeadJournal!$A$1:$K$890,COLUMN(HeadJournal!K$1),0)-VLOOKUP($A4446,HeadJournal!$A$1:$K$890,COLUMN(HeadJournal!J$1),0))*($K4446+$L4446)/(SUMIF($A:$A,$A4446,$K:$K)+SUMIF($A:$A,$A4446,$L:$L)),0)</f>
        <v>-6.8487230675856841E-15</v>
      </c>
      <c r="O4446" s="30">
        <f>IFERROR((VLOOKUP($A4446,HeadJournal!$A$1:$L$890,COLUMN(HeadJournal!L$1),0)*($K4446+$L4446)/(SUMIF($A:$A,$A4446,$K:$K)+SUMIF($A:$A,$A4446,$L:$L)))/VLOOKUP($A4446,HeadJournal!$A$1:$L$890,COLUMN(HeadJournal!H$1),0),0)</f>
        <v>1.4554462981841276</v>
      </c>
      <c r="P4446" s="30">
        <f>IFERROR(SUM(K4446:O4446)*VLOOKUP($A4446,HeadJournal!$A$1:$L$890,COLUMN(HeadJournal!H$1),0),0)</f>
        <v>3958.9198386632083</v>
      </c>
      <c r="Q4446" s="29">
        <v>6500</v>
      </c>
      <c r="R4446" s="31">
        <v>45771</v>
      </c>
      <c r="S4446" s="31" t="s">
        <v>3235</v>
      </c>
      <c r="T4446" s="95" t="str">
        <f t="shared" si="345"/>
        <v>2025 04</v>
      </c>
      <c r="U4446" s="32">
        <f t="shared" si="342"/>
        <v>2541.0801613367917</v>
      </c>
      <c r="V4446" s="22">
        <f t="shared" si="343"/>
        <v>0.64186198884866219</v>
      </c>
      <c r="X4446" s="33"/>
      <c r="Y4446" s="33"/>
    </row>
    <row r="4447" spans="1:25" x14ac:dyDescent="0.2">
      <c r="A4447" s="93" t="s">
        <v>3027</v>
      </c>
      <c r="B4447" s="94" t="str">
        <f>IFERROR(VLOOKUP($A4447,HeadJournal!$A$1:$NTR$890,COLUMN(HeadJournal!B$1),0),"")</f>
        <v>722500403415</v>
      </c>
      <c r="C4447" s="94" t="str">
        <f>IFERROR(VLOOKUP($A4447,HeadJournal!$A$1:$NTR$890,COLUMN(HeadJournal!C$1),0),"")</f>
        <v>iHerb_MH DLE7202</v>
      </c>
      <c r="D4447" s="125" t="str">
        <f>IFERROR(VLOOKUP($A4447,HeadJournal!$A$1:$NTR$890,COLUMN(HeadJournal!D$1),0),"")</f>
        <v>Доставлен</v>
      </c>
      <c r="E4447" s="95">
        <f>IFERROR(VLOOKUP($A4447,HeadJournal!$A$1:$NTR$890,COLUMN(HeadJournal!G$1),0),"")</f>
        <v>45747</v>
      </c>
      <c r="F4447" s="95" t="str">
        <f t="shared" si="344"/>
        <v>2025 03</v>
      </c>
      <c r="G4447" s="97" t="s">
        <v>5</v>
      </c>
      <c r="H4447" s="161" t="s">
        <v>3025</v>
      </c>
      <c r="I4447" s="97" t="s">
        <v>2694</v>
      </c>
      <c r="J4447" s="97" t="s">
        <v>3026</v>
      </c>
      <c r="K4447" s="29">
        <v>30.17</v>
      </c>
      <c r="L4447" s="29">
        <v>-9.0500000000000007</v>
      </c>
      <c r="M4447" s="30">
        <f>IFERROR(VLOOKUP($A4447,HeadJournal!$A$1:$J$890,COLUMN(HeadJournal!I$1),0)*($K4447+$L4447)/(SUMIF($A:$A,$A4447,$K:$K)+SUMIF($A:$A,$A4447,$L:$L)),0)</f>
        <v>-0.79222817631806386</v>
      </c>
      <c r="N4447" s="30">
        <f>IFERROR((VLOOKUP($A4447,HeadJournal!$A$1:$K$890,COLUMN(HeadJournal!K$1),0)-VLOOKUP($A4447,HeadJournal!$A$1:$K$890,COLUMN(HeadJournal!J$1),0))*($K4447+$L4447)/(SUMIF($A:$A,$A4447,$K:$K)+SUMIF($A:$A,$A4447,$L:$L)),0)</f>
        <v>-3.4587525391537459E-15</v>
      </c>
      <c r="O4447" s="30">
        <f>IFERROR((VLOOKUP($A4447,HeadJournal!$A$1:$L$890,COLUMN(HeadJournal!L$1),0)*($K4447+$L4447)/(SUMIF($A:$A,$A4447,$K:$K)+SUMIF($A:$A,$A4447,$L:$L)))/VLOOKUP($A4447,HeadJournal!$A$1:$L$890,COLUMN(HeadJournal!H$1),0),0)</f>
        <v>0.73503170295668985</v>
      </c>
      <c r="P4447" s="30">
        <f>IFERROR(SUM(K4447:O4447)*VLOOKUP($A4447,HeadJournal!$A$1:$L$890,COLUMN(HeadJournal!H$1),0),0)</f>
        <v>1999.3397176606156</v>
      </c>
      <c r="Q4447" s="29">
        <v>3400</v>
      </c>
      <c r="R4447" s="31">
        <v>45771</v>
      </c>
      <c r="S4447" s="31" t="s">
        <v>3231</v>
      </c>
      <c r="T4447" s="95" t="str">
        <f t="shared" si="345"/>
        <v>2025 04</v>
      </c>
      <c r="U4447" s="32">
        <f t="shared" si="342"/>
        <v>1400.6602823393844</v>
      </c>
      <c r="V4447" s="22">
        <f t="shared" si="343"/>
        <v>0.70056142533809451</v>
      </c>
      <c r="X4447" s="33"/>
      <c r="Y4447" s="33"/>
    </row>
    <row r="4448" spans="1:25" x14ac:dyDescent="0.2">
      <c r="A4448" s="93" t="s">
        <v>3027</v>
      </c>
      <c r="B4448" s="94" t="str">
        <f>IFERROR(VLOOKUP($A4448,HeadJournal!$A$1:$NTR$890,COLUMN(HeadJournal!B$1),0),"")</f>
        <v>722500403415</v>
      </c>
      <c r="C4448" s="94" t="str">
        <f>IFERROR(VLOOKUP($A4448,HeadJournal!$A$1:$NTR$890,COLUMN(HeadJournal!C$1),0),"")</f>
        <v>iHerb_MH DLE7202</v>
      </c>
      <c r="D4448" s="125" t="str">
        <f>IFERROR(VLOOKUP($A4448,HeadJournal!$A$1:$NTR$890,COLUMN(HeadJournal!D$1),0),"")</f>
        <v>Доставлен</v>
      </c>
      <c r="E4448" s="95">
        <f>IFERROR(VLOOKUP($A4448,HeadJournal!$A$1:$NTR$890,COLUMN(HeadJournal!G$1),0),"")</f>
        <v>45747</v>
      </c>
      <c r="F4448" s="95" t="str">
        <f t="shared" si="344"/>
        <v>2025 03</v>
      </c>
      <c r="G4448" s="97" t="s">
        <v>5</v>
      </c>
      <c r="H4448" s="161" t="s">
        <v>3025</v>
      </c>
      <c r="I4448" s="97" t="s">
        <v>2694</v>
      </c>
      <c r="J4448" s="97" t="s">
        <v>3026</v>
      </c>
      <c r="K4448" s="29">
        <v>30.17</v>
      </c>
      <c r="L4448" s="29">
        <v>-9.0500000000000007</v>
      </c>
      <c r="M4448" s="30">
        <f>IFERROR(VLOOKUP($A4448,HeadJournal!$A$1:$J$890,COLUMN(HeadJournal!I$1),0)*($K4448+$L4448)/(SUMIF($A:$A,$A4448,$K:$K)+SUMIF($A:$A,$A4448,$L:$L)),0)</f>
        <v>-0.79222817631806386</v>
      </c>
      <c r="N4448" s="30">
        <f>IFERROR((VLOOKUP($A4448,HeadJournal!$A$1:$K$890,COLUMN(HeadJournal!K$1),0)-VLOOKUP($A4448,HeadJournal!$A$1:$K$890,COLUMN(HeadJournal!J$1),0))*($K4448+$L4448)/(SUMIF($A:$A,$A4448,$K:$K)+SUMIF($A:$A,$A4448,$L:$L)),0)</f>
        <v>-3.4587525391537459E-15</v>
      </c>
      <c r="O4448" s="30">
        <f>IFERROR((VLOOKUP($A4448,HeadJournal!$A$1:$L$890,COLUMN(HeadJournal!L$1),0)*($K4448+$L4448)/(SUMIF($A:$A,$A4448,$K:$K)+SUMIF($A:$A,$A4448,$L:$L)))/VLOOKUP($A4448,HeadJournal!$A$1:$L$890,COLUMN(HeadJournal!H$1),0),0)</f>
        <v>0.73503170295668985</v>
      </c>
      <c r="P4448" s="30">
        <f>IFERROR(SUM(K4448:O4448)*VLOOKUP($A4448,HeadJournal!$A$1:$L$890,COLUMN(HeadJournal!H$1),0),0)</f>
        <v>1999.3397176606156</v>
      </c>
      <c r="Q4448" s="29">
        <v>3400</v>
      </c>
      <c r="R4448" s="31">
        <v>45771</v>
      </c>
      <c r="S4448" s="31" t="s">
        <v>3231</v>
      </c>
      <c r="T4448" s="95" t="str">
        <f t="shared" si="345"/>
        <v>2025 04</v>
      </c>
      <c r="U4448" s="32">
        <f t="shared" si="342"/>
        <v>1400.6602823393844</v>
      </c>
      <c r="V4448" s="22">
        <f t="shared" si="343"/>
        <v>0.70056142533809451</v>
      </c>
      <c r="X4448" s="33"/>
      <c r="Y4448" s="33"/>
    </row>
    <row r="4449" spans="1:25" x14ac:dyDescent="0.2">
      <c r="A4449" s="93" t="s">
        <v>3035</v>
      </c>
      <c r="B4449" s="94">
        <f>IFERROR(VLOOKUP($A4449,HeadJournal!$A$1:$NTR$890,COLUMN(HeadJournal!B$1),0),"")</f>
        <v>0</v>
      </c>
      <c r="C4449" s="94" t="str">
        <f>IFERROR(VLOOKUP($A4449,HeadJournal!$A$1:$NTR$890,COLUMN(HeadJournal!C$1),0),"")</f>
        <v>iHerb_AV CYG0792</v>
      </c>
      <c r="D4449" s="125" t="str">
        <f>IFERROR(VLOOKUP($A4449,HeadJournal!$A$1:$NTR$890,COLUMN(HeadJournal!D$1),0),"")</f>
        <v>Доставлен</v>
      </c>
      <c r="E4449" s="95">
        <f>IFERROR(VLOOKUP($A4449,HeadJournal!$A$1:$NTR$890,COLUMN(HeadJournal!G$1),0),"")</f>
        <v>45728</v>
      </c>
      <c r="F4449" s="95" t="str">
        <f t="shared" si="344"/>
        <v>2025 03</v>
      </c>
      <c r="G4449" s="97" t="s">
        <v>7</v>
      </c>
      <c r="H4449" s="161" t="s">
        <v>3028</v>
      </c>
      <c r="I4449" s="177" t="s">
        <v>3029</v>
      </c>
      <c r="J4449" s="97" t="s">
        <v>3030</v>
      </c>
      <c r="K4449" s="29">
        <v>0</v>
      </c>
      <c r="L4449" s="29">
        <v>0</v>
      </c>
      <c r="M4449" s="30">
        <f>IFERROR(VLOOKUP($A4449,HeadJournal!$A$1:$J$890,COLUMN(HeadJournal!I$1),0)*($K4449+$L4449)/(SUMIF($A:$A,$A4449,$K:$K)+SUMIF($A:$A,$A4449,$L:$L)),0)</f>
        <v>0</v>
      </c>
      <c r="N4449" s="30">
        <f>IFERROR((VLOOKUP($A4449,HeadJournal!$A$1:$K$890,COLUMN(HeadJournal!K$1),0)-VLOOKUP($A4449,HeadJournal!$A$1:$K$890,COLUMN(HeadJournal!J$1),0))*($K4449+$L4449)/(SUMIF($A:$A,$A4449,$K:$K)+SUMIF($A:$A,$A4449,$L:$L)),0)</f>
        <v>0</v>
      </c>
      <c r="O4449" s="30">
        <f>IFERROR((VLOOKUP($A4449,HeadJournal!$A$1:$L$890,COLUMN(HeadJournal!L$1),0)*($K4449+$L4449)/(SUMIF($A:$A,$A4449,$K:$K)+SUMIF($A:$A,$A4449,$L:$L)))/VLOOKUP($A4449,HeadJournal!$A$1:$L$890,COLUMN(HeadJournal!H$1),0),0)</f>
        <v>0</v>
      </c>
      <c r="P4449" s="30">
        <f>IFERROR(SUM(K4449:O4449)*VLOOKUP($A4449,HeadJournal!$A$1:$L$890,COLUMN(HeadJournal!H$1),0),0)</f>
        <v>0</v>
      </c>
      <c r="Q4449" s="29">
        <v>2300</v>
      </c>
      <c r="R4449" s="31">
        <v>45833</v>
      </c>
      <c r="S4449" s="31" t="s">
        <v>3231</v>
      </c>
      <c r="T4449" s="95" t="str">
        <f t="shared" si="345"/>
        <v>2025 06</v>
      </c>
      <c r="U4449" s="32">
        <f t="shared" si="342"/>
        <v>2300</v>
      </c>
      <c r="V4449" s="22" t="str">
        <f t="shared" si="343"/>
        <v/>
      </c>
      <c r="X4449" s="33"/>
      <c r="Y4449" s="33"/>
    </row>
    <row r="4450" spans="1:25" x14ac:dyDescent="0.2">
      <c r="A4450" s="93" t="s">
        <v>3035</v>
      </c>
      <c r="B4450" s="94">
        <f>IFERROR(VLOOKUP($A4450,HeadJournal!$A$1:$NTR$890,COLUMN(HeadJournal!B$1),0),"")</f>
        <v>0</v>
      </c>
      <c r="C4450" s="94" t="str">
        <f>IFERROR(VLOOKUP($A4450,HeadJournal!$A$1:$NTR$890,COLUMN(HeadJournal!C$1),0),"")</f>
        <v>iHerb_AV CYG0792</v>
      </c>
      <c r="D4450" s="125" t="str">
        <f>IFERROR(VLOOKUP($A4450,HeadJournal!$A$1:$NTR$890,COLUMN(HeadJournal!D$1),0),"")</f>
        <v>Доставлен</v>
      </c>
      <c r="E4450" s="95">
        <f>IFERROR(VLOOKUP($A4450,HeadJournal!$A$1:$NTR$890,COLUMN(HeadJournal!G$1),0),"")</f>
        <v>45728</v>
      </c>
      <c r="F4450" s="95" t="str">
        <f t="shared" si="344"/>
        <v>2025 03</v>
      </c>
      <c r="G4450" s="97" t="s">
        <v>5</v>
      </c>
      <c r="H4450" s="161" t="s">
        <v>2424</v>
      </c>
      <c r="I4450" s="97" t="s">
        <v>2005</v>
      </c>
      <c r="J4450" s="97" t="s">
        <v>2425</v>
      </c>
      <c r="K4450" s="29">
        <v>45.28</v>
      </c>
      <c r="L4450" s="29">
        <v>-9.0549999999999997</v>
      </c>
      <c r="M4450" s="30">
        <f>IFERROR(VLOOKUP($A4450,HeadJournal!$A$1:$J$890,COLUMN(HeadJournal!I$1),0)*($K4450+$L4450)/(SUMIF($A:$A,$A4450,$K:$K)+SUMIF($A:$A,$A4450,$L:$L)),0)</f>
        <v>0</v>
      </c>
      <c r="N4450" s="30">
        <f>IFERROR((VLOOKUP($A4450,HeadJournal!$A$1:$K$890,COLUMN(HeadJournal!K$1),0)-VLOOKUP($A4450,HeadJournal!$A$1:$K$890,COLUMN(HeadJournal!J$1),0))*($K4450+$L4450)/(SUMIF($A:$A,$A4450,$K:$K)+SUMIF($A:$A,$A4450,$L:$L)),0)</f>
        <v>0</v>
      </c>
      <c r="O4450" s="30">
        <f>IFERROR((VLOOKUP($A4450,HeadJournal!$A$1:$L$890,COLUMN(HeadJournal!L$1),0)*($K4450+$L4450)/(SUMIF($A:$A,$A4450,$K:$K)+SUMIF($A:$A,$A4450,$L:$L)))/VLOOKUP($A4450,HeadJournal!$A$1:$L$890,COLUMN(HeadJournal!H$1),0),0)</f>
        <v>1.7891189912906991</v>
      </c>
      <c r="P4450" s="30">
        <f>IFERROR(SUM(K4450:O4450)*VLOOKUP($A4450,HeadJournal!$A$1:$L$890,COLUMN(HeadJournal!H$1),0),0)</f>
        <v>4312.3696850757296</v>
      </c>
      <c r="Q4450" s="29">
        <v>4900</v>
      </c>
      <c r="R4450" s="31">
        <v>45764</v>
      </c>
      <c r="S4450" s="31" t="s">
        <v>3121</v>
      </c>
      <c r="T4450" s="95" t="str">
        <f t="shared" si="345"/>
        <v>2025 04</v>
      </c>
      <c r="U4450" s="32">
        <f t="shared" si="342"/>
        <v>587.63031492427035</v>
      </c>
      <c r="V4450" s="22">
        <f t="shared" si="343"/>
        <v>0.13626621969770919</v>
      </c>
      <c r="X4450" s="33"/>
      <c r="Y4450" s="33"/>
    </row>
    <row r="4451" spans="1:25" x14ac:dyDescent="0.2">
      <c r="A4451" s="93" t="s">
        <v>3035</v>
      </c>
      <c r="B4451" s="94">
        <f>IFERROR(VLOOKUP($A4451,HeadJournal!$A$1:$NTR$890,COLUMN(HeadJournal!B$1),0),"")</f>
        <v>0</v>
      </c>
      <c r="C4451" s="94" t="str">
        <f>IFERROR(VLOOKUP($A4451,HeadJournal!$A$1:$NTR$890,COLUMN(HeadJournal!C$1),0),"")</f>
        <v>iHerb_AV CYG0792</v>
      </c>
      <c r="D4451" s="125" t="str">
        <f>IFERROR(VLOOKUP($A4451,HeadJournal!$A$1:$NTR$890,COLUMN(HeadJournal!D$1),0),"")</f>
        <v>Доставлен</v>
      </c>
      <c r="E4451" s="95">
        <f>IFERROR(VLOOKUP($A4451,HeadJournal!$A$1:$NTR$890,COLUMN(HeadJournal!G$1),0),"")</f>
        <v>45728</v>
      </c>
      <c r="F4451" s="95" t="str">
        <f t="shared" si="344"/>
        <v>2025 03</v>
      </c>
      <c r="G4451" s="97" t="s">
        <v>5</v>
      </c>
      <c r="H4451" s="161" t="s">
        <v>2424</v>
      </c>
      <c r="I4451" s="97" t="s">
        <v>2005</v>
      </c>
      <c r="J4451" s="97" t="s">
        <v>2425</v>
      </c>
      <c r="K4451" s="29">
        <v>45.28</v>
      </c>
      <c r="L4451" s="29">
        <v>-9.0549999999999997</v>
      </c>
      <c r="M4451" s="30">
        <f>IFERROR(VLOOKUP($A4451,HeadJournal!$A$1:$J$890,COLUMN(HeadJournal!I$1),0)*($K4451+$L4451)/(SUMIF($A:$A,$A4451,$K:$K)+SUMIF($A:$A,$A4451,$L:$L)),0)</f>
        <v>0</v>
      </c>
      <c r="N4451" s="30">
        <f>IFERROR((VLOOKUP($A4451,HeadJournal!$A$1:$K$890,COLUMN(HeadJournal!K$1),0)-VLOOKUP($A4451,HeadJournal!$A$1:$K$890,COLUMN(HeadJournal!J$1),0))*($K4451+$L4451)/(SUMIF($A:$A,$A4451,$K:$K)+SUMIF($A:$A,$A4451,$L:$L)),0)</f>
        <v>0</v>
      </c>
      <c r="O4451" s="30">
        <f>IFERROR((VLOOKUP($A4451,HeadJournal!$A$1:$L$890,COLUMN(HeadJournal!L$1),0)*($K4451+$L4451)/(SUMIF($A:$A,$A4451,$K:$K)+SUMIF($A:$A,$A4451,$L:$L)))/VLOOKUP($A4451,HeadJournal!$A$1:$L$890,COLUMN(HeadJournal!H$1),0),0)</f>
        <v>1.7891189912906991</v>
      </c>
      <c r="P4451" s="30">
        <f>IFERROR(SUM(K4451:O4451)*VLOOKUP($A4451,HeadJournal!$A$1:$L$890,COLUMN(HeadJournal!H$1),0),0)</f>
        <v>4312.3696850757296</v>
      </c>
      <c r="Q4451" s="29">
        <v>5000</v>
      </c>
      <c r="R4451" s="31">
        <v>45992</v>
      </c>
      <c r="S4451" s="31" t="s">
        <v>4610</v>
      </c>
      <c r="T4451" s="95" t="str">
        <f t="shared" si="345"/>
        <v>2025 12</v>
      </c>
      <c r="U4451" s="32">
        <f t="shared" si="342"/>
        <v>687.63031492427035</v>
      </c>
      <c r="V4451" s="22">
        <f t="shared" si="343"/>
        <v>0.15945532622215222</v>
      </c>
      <c r="X4451" s="33"/>
      <c r="Y4451" s="33"/>
    </row>
    <row r="4452" spans="1:25" x14ac:dyDescent="0.2">
      <c r="A4452" s="93" t="s">
        <v>3035</v>
      </c>
      <c r="B4452" s="94">
        <f>IFERROR(VLOOKUP($A4452,HeadJournal!$A$1:$NTR$890,COLUMN(HeadJournal!B$1),0),"")</f>
        <v>0</v>
      </c>
      <c r="C4452" s="94" t="str">
        <f>IFERROR(VLOOKUP($A4452,HeadJournal!$A$1:$NTR$890,COLUMN(HeadJournal!C$1),0),"")</f>
        <v>iHerb_AV CYG0792</v>
      </c>
      <c r="D4452" s="125" t="str">
        <f>IFERROR(VLOOKUP($A4452,HeadJournal!$A$1:$NTR$890,COLUMN(HeadJournal!D$1),0),"")</f>
        <v>Доставлен</v>
      </c>
      <c r="E4452" s="95">
        <f>IFERROR(VLOOKUP($A4452,HeadJournal!$A$1:$NTR$890,COLUMN(HeadJournal!G$1),0),"")</f>
        <v>45728</v>
      </c>
      <c r="F4452" s="95" t="str">
        <f t="shared" si="344"/>
        <v>2025 03</v>
      </c>
      <c r="G4452" s="97" t="s">
        <v>5</v>
      </c>
      <c r="H4452" s="161" t="s">
        <v>3031</v>
      </c>
      <c r="I4452" s="97" t="s">
        <v>2048</v>
      </c>
      <c r="J4452" s="97" t="s">
        <v>3032</v>
      </c>
      <c r="K4452" s="29">
        <v>12.1</v>
      </c>
      <c r="L4452" s="29">
        <v>-6.05</v>
      </c>
      <c r="M4452" s="30">
        <f>IFERROR(VLOOKUP($A4452,HeadJournal!$A$1:$J$890,COLUMN(HeadJournal!I$1),0)*($K4452+$L4452)/(SUMIF($A:$A,$A4452,$K:$K)+SUMIF($A:$A,$A4452,$L:$L)),0)</f>
        <v>0</v>
      </c>
      <c r="N4452" s="30">
        <f>IFERROR((VLOOKUP($A4452,HeadJournal!$A$1:$K$890,COLUMN(HeadJournal!K$1),0)-VLOOKUP($A4452,HeadJournal!$A$1:$K$890,COLUMN(HeadJournal!J$1),0))*($K4452+$L4452)/(SUMIF($A:$A,$A4452,$K:$K)+SUMIF($A:$A,$A4452,$L:$L)),0)</f>
        <v>0</v>
      </c>
      <c r="O4452" s="30">
        <f>IFERROR((VLOOKUP($A4452,HeadJournal!$A$1:$L$890,COLUMN(HeadJournal!L$1),0)*($K4452+$L4452)/(SUMIF($A:$A,$A4452,$K:$K)+SUMIF($A:$A,$A4452,$L:$L)))/VLOOKUP($A4452,HeadJournal!$A$1:$L$890,COLUMN(HeadJournal!H$1),0),0)</f>
        <v>0.29880386189948183</v>
      </c>
      <c r="P4452" s="30">
        <f>IFERROR(SUM(K4452:O4452)*VLOOKUP($A4452,HeadJournal!$A$1:$L$890,COLUMN(HeadJournal!H$1),0),0)</f>
        <v>720.21633111685753</v>
      </c>
      <c r="Q4452" s="29"/>
      <c r="R4452" s="31"/>
      <c r="S4452" s="31"/>
      <c r="T4452" s="95" t="str">
        <f t="shared" si="345"/>
        <v/>
      </c>
      <c r="U4452" s="32">
        <f t="shared" si="342"/>
        <v>-720.21633111685753</v>
      </c>
      <c r="V4452" s="22" t="str">
        <f t="shared" si="343"/>
        <v/>
      </c>
      <c r="X4452" s="33"/>
      <c r="Y4452" s="33"/>
    </row>
    <row r="4453" spans="1:25" x14ac:dyDescent="0.2">
      <c r="A4453" s="93" t="s">
        <v>3035</v>
      </c>
      <c r="B4453" s="94">
        <f>IFERROR(VLOOKUP($A4453,HeadJournal!$A$1:$NTR$890,COLUMN(HeadJournal!B$1),0),"")</f>
        <v>0</v>
      </c>
      <c r="C4453" s="94" t="str">
        <f>IFERROR(VLOOKUP($A4453,HeadJournal!$A$1:$NTR$890,COLUMN(HeadJournal!C$1),0),"")</f>
        <v>iHerb_AV CYG0792</v>
      </c>
      <c r="D4453" s="125" t="str">
        <f>IFERROR(VLOOKUP($A4453,HeadJournal!$A$1:$NTR$890,COLUMN(HeadJournal!D$1),0),"")</f>
        <v>Доставлен</v>
      </c>
      <c r="E4453" s="95">
        <f>IFERROR(VLOOKUP($A4453,HeadJournal!$A$1:$NTR$890,COLUMN(HeadJournal!G$1),0),"")</f>
        <v>45728</v>
      </c>
      <c r="F4453" s="95" t="str">
        <f t="shared" si="344"/>
        <v>2025 03</v>
      </c>
      <c r="G4453" s="97" t="s">
        <v>5</v>
      </c>
      <c r="H4453" s="161" t="s">
        <v>3033</v>
      </c>
      <c r="I4453" s="97" t="s">
        <v>2007</v>
      </c>
      <c r="J4453" s="97" t="s">
        <v>3034</v>
      </c>
      <c r="K4453" s="29">
        <v>41.78</v>
      </c>
      <c r="L4453" s="29">
        <v>-12</v>
      </c>
      <c r="M4453" s="30">
        <f>IFERROR(VLOOKUP($A4453,HeadJournal!$A$1:$J$890,COLUMN(HeadJournal!I$1),0)*($K4453+$L4453)/(SUMIF($A:$A,$A4453,$K:$K)+SUMIF($A:$A,$A4453,$L:$L)),0)</f>
        <v>0</v>
      </c>
      <c r="N4453" s="30">
        <f>IFERROR((VLOOKUP($A4453,HeadJournal!$A$1:$K$890,COLUMN(HeadJournal!K$1),0)-VLOOKUP($A4453,HeadJournal!$A$1:$K$890,COLUMN(HeadJournal!J$1),0))*($K4453+$L4453)/(SUMIF($A:$A,$A4453,$K:$K)+SUMIF($A:$A,$A4453,$L:$L)),0)</f>
        <v>0</v>
      </c>
      <c r="O4453" s="30">
        <f>IFERROR((VLOOKUP($A4453,HeadJournal!$A$1:$L$890,COLUMN(HeadJournal!L$1),0)*($K4453+$L4453)/(SUMIF($A:$A,$A4453,$K:$K)+SUMIF($A:$A,$A4453,$L:$L)))/VLOOKUP($A4453,HeadJournal!$A$1:$L$890,COLUMN(HeadJournal!H$1),0),0)</f>
        <v>1.4708064474986065</v>
      </c>
      <c r="P4453" s="30">
        <f>IFERROR(SUM(K4453:O4453)*VLOOKUP($A4453,HeadJournal!$A$1:$L$890,COLUMN(HeadJournal!H$1),0),0)</f>
        <v>3545.1309653983503</v>
      </c>
      <c r="Q4453" s="29">
        <v>3545.13</v>
      </c>
      <c r="R4453" s="31"/>
      <c r="S4453" s="31"/>
      <c r="T4453" s="95" t="str">
        <f t="shared" si="345"/>
        <v/>
      </c>
      <c r="U4453" s="32">
        <f t="shared" si="342"/>
        <v>-9.6539835021758336E-4</v>
      </c>
      <c r="V4453" s="22">
        <f t="shared" si="343"/>
        <v>-2.7231669567082015E-7</v>
      </c>
      <c r="X4453" s="33"/>
      <c r="Y4453" s="33"/>
    </row>
    <row r="4454" spans="1:25" x14ac:dyDescent="0.2">
      <c r="A4454" s="93" t="s">
        <v>3044</v>
      </c>
      <c r="B4454" s="94">
        <f>IFERROR(VLOOKUP($A4454,HeadJournal!$A$1:$NTR$890,COLUMN(HeadJournal!B$1),0),"")</f>
        <v>0</v>
      </c>
      <c r="C4454" s="94" t="str">
        <f>IFERROR(VLOOKUP($A4454,HeadJournal!$A$1:$NTR$890,COLUMN(HeadJournal!C$1),0),"")</f>
        <v>iHerb_VP DFD1605</v>
      </c>
      <c r="D4454" s="125" t="str">
        <f>IFERROR(VLOOKUP($A4454,HeadJournal!$A$1:$NTR$890,COLUMN(HeadJournal!D$1),0),"")</f>
        <v>Доставлен</v>
      </c>
      <c r="E4454" s="95">
        <f>IFERROR(VLOOKUP($A4454,HeadJournal!$A$1:$NTR$890,COLUMN(HeadJournal!G$1),0),"")</f>
        <v>45729</v>
      </c>
      <c r="F4454" s="95" t="str">
        <f t="shared" si="344"/>
        <v>2025 03</v>
      </c>
      <c r="G4454" s="97" t="s">
        <v>5</v>
      </c>
      <c r="H4454" s="161" t="s">
        <v>3036</v>
      </c>
      <c r="I4454" s="97" t="s">
        <v>2005</v>
      </c>
      <c r="J4454" s="97" t="s">
        <v>3037</v>
      </c>
      <c r="K4454" s="29">
        <v>31.06</v>
      </c>
      <c r="L4454" s="29">
        <v>-4.66</v>
      </c>
      <c r="M4454" s="30">
        <f>IFERROR(VLOOKUP($A4454,HeadJournal!$A$1:$J$890,COLUMN(HeadJournal!I$1),0)*($K4454+$L4454)/(SUMIF($A:$A,$A4454,$K:$K)+SUMIF($A:$A,$A4454,$L:$L)),0)</f>
        <v>0</v>
      </c>
      <c r="N4454" s="30">
        <f>IFERROR((VLOOKUP($A4454,HeadJournal!$A$1:$K$890,COLUMN(HeadJournal!K$1),0)-VLOOKUP($A4454,HeadJournal!$A$1:$K$890,COLUMN(HeadJournal!J$1),0))*($K4454+$L4454)/(SUMIF($A:$A,$A4454,$K:$K)+SUMIF($A:$A,$A4454,$L:$L)),0)</f>
        <v>0</v>
      </c>
      <c r="O4454" s="30">
        <f>IFERROR((VLOOKUP($A4454,HeadJournal!$A$1:$L$890,COLUMN(HeadJournal!L$1),0)*($K4454+$L4454)/(SUMIF($A:$A,$A4454,$K:$K)+SUMIF($A:$A,$A4454,$L:$L)))/VLOOKUP($A4454,HeadJournal!$A$1:$L$890,COLUMN(HeadJournal!H$1),0),0)</f>
        <v>0.80851770576033521</v>
      </c>
      <c r="P4454" s="30">
        <f>IFERROR(SUM(K4454:O4454)*VLOOKUP($A4454,HeadJournal!$A$1:$L$890,COLUMN(HeadJournal!H$1),0),0)</f>
        <v>2700.4157322511142</v>
      </c>
      <c r="Q4454" s="29">
        <v>3500</v>
      </c>
      <c r="R4454" s="31">
        <v>45764</v>
      </c>
      <c r="S4454" s="31" t="s">
        <v>3121</v>
      </c>
      <c r="T4454" s="95" t="str">
        <f t="shared" si="345"/>
        <v>2025 04</v>
      </c>
      <c r="U4454" s="32">
        <f t="shared" si="342"/>
        <v>799.58426774888585</v>
      </c>
      <c r="V4454" s="22">
        <f t="shared" si="343"/>
        <v>0.29609672992178071</v>
      </c>
      <c r="X4454" s="33"/>
      <c r="Y4454" s="33"/>
    </row>
    <row r="4455" spans="1:25" x14ac:dyDescent="0.2">
      <c r="A4455" s="93" t="s">
        <v>3044</v>
      </c>
      <c r="B4455" s="94">
        <f>IFERROR(VLOOKUP($A4455,HeadJournal!$A$1:$NTR$890,COLUMN(HeadJournal!B$1),0),"")</f>
        <v>0</v>
      </c>
      <c r="C4455" s="94" t="str">
        <f>IFERROR(VLOOKUP($A4455,HeadJournal!$A$1:$NTR$890,COLUMN(HeadJournal!C$1),0),"")</f>
        <v>iHerb_VP DFD1605</v>
      </c>
      <c r="D4455" s="125" t="str">
        <f>IFERROR(VLOOKUP($A4455,HeadJournal!$A$1:$NTR$890,COLUMN(HeadJournal!D$1),0),"")</f>
        <v>Доставлен</v>
      </c>
      <c r="E4455" s="95">
        <f>IFERROR(VLOOKUP($A4455,HeadJournal!$A$1:$NTR$890,COLUMN(HeadJournal!G$1),0),"")</f>
        <v>45729</v>
      </c>
      <c r="F4455" s="95" t="str">
        <f t="shared" si="344"/>
        <v>2025 03</v>
      </c>
      <c r="G4455" s="97" t="s">
        <v>5</v>
      </c>
      <c r="H4455" s="161" t="s">
        <v>2546</v>
      </c>
      <c r="I4455" s="97" t="s">
        <v>2039</v>
      </c>
      <c r="J4455" s="97" t="s">
        <v>2547</v>
      </c>
      <c r="K4455" s="29">
        <v>10.75</v>
      </c>
      <c r="L4455" s="29">
        <v>-1.61</v>
      </c>
      <c r="M4455" s="30">
        <f>IFERROR(VLOOKUP($A4455,HeadJournal!$A$1:$J$890,COLUMN(HeadJournal!I$1),0)*($K4455+$L4455)/(SUMIF($A:$A,$A4455,$K:$K)+SUMIF($A:$A,$A4455,$L:$L)),0)</f>
        <v>0</v>
      </c>
      <c r="N4455" s="30">
        <f>IFERROR((VLOOKUP($A4455,HeadJournal!$A$1:$K$890,COLUMN(HeadJournal!K$1),0)-VLOOKUP($A4455,HeadJournal!$A$1:$K$890,COLUMN(HeadJournal!J$1),0))*($K4455+$L4455)/(SUMIF($A:$A,$A4455,$K:$K)+SUMIF($A:$A,$A4455,$L:$L)),0)</f>
        <v>0</v>
      </c>
      <c r="O4455" s="30">
        <f>IFERROR((VLOOKUP($A4455,HeadJournal!$A$1:$L$890,COLUMN(HeadJournal!L$1),0)*($K4455+$L4455)/(SUMIF($A:$A,$A4455,$K:$K)+SUMIF($A:$A,$A4455,$L:$L)))/VLOOKUP($A4455,HeadJournal!$A$1:$L$890,COLUMN(HeadJournal!H$1),0),0)</f>
        <v>0.27991862994884337</v>
      </c>
      <c r="P4455" s="30">
        <f>IFERROR(SUM(K4455:O4455)*VLOOKUP($A4455,HeadJournal!$A$1:$L$890,COLUMN(HeadJournal!H$1),0),0)</f>
        <v>934.91665881724202</v>
      </c>
      <c r="Q4455" s="29">
        <v>1450</v>
      </c>
      <c r="R4455" s="31">
        <v>45764</v>
      </c>
      <c r="S4455" s="31" t="s">
        <v>3121</v>
      </c>
      <c r="T4455" s="95" t="str">
        <f t="shared" si="345"/>
        <v>2025 04</v>
      </c>
      <c r="U4455" s="32">
        <f t="shared" si="342"/>
        <v>515.08334118275798</v>
      </c>
      <c r="V4455" s="22">
        <f t="shared" si="343"/>
        <v>0.55094038203831674</v>
      </c>
      <c r="X4455" s="33"/>
      <c r="Y4455" s="33"/>
    </row>
    <row r="4456" spans="1:25" x14ac:dyDescent="0.2">
      <c r="A4456" s="93" t="s">
        <v>3044</v>
      </c>
      <c r="B4456" s="94">
        <f>IFERROR(VLOOKUP($A4456,HeadJournal!$A$1:$NTR$890,COLUMN(HeadJournal!B$1),0),"")</f>
        <v>0</v>
      </c>
      <c r="C4456" s="94" t="str">
        <f>IFERROR(VLOOKUP($A4456,HeadJournal!$A$1:$NTR$890,COLUMN(HeadJournal!C$1),0),"")</f>
        <v>iHerb_VP DFD1605</v>
      </c>
      <c r="D4456" s="125" t="str">
        <f>IFERROR(VLOOKUP($A4456,HeadJournal!$A$1:$NTR$890,COLUMN(HeadJournal!D$1),0),"")</f>
        <v>Доставлен</v>
      </c>
      <c r="E4456" s="95">
        <f>IFERROR(VLOOKUP($A4456,HeadJournal!$A$1:$NTR$890,COLUMN(HeadJournal!G$1),0),"")</f>
        <v>45729</v>
      </c>
      <c r="F4456" s="95" t="str">
        <f t="shared" si="344"/>
        <v>2025 03</v>
      </c>
      <c r="G4456" s="97" t="s">
        <v>5</v>
      </c>
      <c r="H4456" s="161" t="s">
        <v>2558</v>
      </c>
      <c r="I4456" s="97" t="s">
        <v>2166</v>
      </c>
      <c r="J4456" s="97" t="s">
        <v>2559</v>
      </c>
      <c r="K4456" s="29">
        <v>32.29</v>
      </c>
      <c r="L4456" s="29">
        <v>-4.84</v>
      </c>
      <c r="M4456" s="30">
        <f>IFERROR(VLOOKUP($A4456,HeadJournal!$A$1:$J$890,COLUMN(HeadJournal!I$1),0)*($K4456+$L4456)/(SUMIF($A:$A,$A4456,$K:$K)+SUMIF($A:$A,$A4456,$L:$L)),0)</f>
        <v>0</v>
      </c>
      <c r="N4456" s="30">
        <f>IFERROR((VLOOKUP($A4456,HeadJournal!$A$1:$K$890,COLUMN(HeadJournal!K$1),0)-VLOOKUP($A4456,HeadJournal!$A$1:$K$890,COLUMN(HeadJournal!J$1),0))*($K4456+$L4456)/(SUMIF($A:$A,$A4456,$K:$K)+SUMIF($A:$A,$A4456,$L:$L)),0)</f>
        <v>0</v>
      </c>
      <c r="O4456" s="30">
        <f>IFERROR((VLOOKUP($A4456,HeadJournal!$A$1:$L$890,COLUMN(HeadJournal!L$1),0)*($K4456+$L4456)/(SUMIF($A:$A,$A4456,$K:$K)+SUMIF($A:$A,$A4456,$L:$L)))/VLOOKUP($A4456,HeadJournal!$A$1:$L$890,COLUMN(HeadJournal!H$1),0),0)</f>
        <v>0.84067465996671231</v>
      </c>
      <c r="P4456" s="30">
        <f>IFERROR(SUM(K4456:O4456)*VLOOKUP($A4456,HeadJournal!$A$1:$L$890,COLUMN(HeadJournal!H$1),0),0)</f>
        <v>2807.8186306929201</v>
      </c>
      <c r="Q4456" s="29">
        <v>4000</v>
      </c>
      <c r="R4456" s="31">
        <v>45771</v>
      </c>
      <c r="S4456" s="31" t="s">
        <v>3235</v>
      </c>
      <c r="T4456" s="95" t="str">
        <f t="shared" si="345"/>
        <v>2025 04</v>
      </c>
      <c r="U4456" s="32">
        <f t="shared" si="342"/>
        <v>1192.1813693070799</v>
      </c>
      <c r="V4456" s="22">
        <f t="shared" si="343"/>
        <v>0.42459343928951371</v>
      </c>
      <c r="X4456" s="33"/>
      <c r="Y4456" s="33"/>
    </row>
    <row r="4457" spans="1:25" x14ac:dyDescent="0.2">
      <c r="A4457" s="93" t="s">
        <v>3044</v>
      </c>
      <c r="B4457" s="94">
        <f>IFERROR(VLOOKUP($A4457,HeadJournal!$A$1:$NTR$890,COLUMN(HeadJournal!B$1),0),"")</f>
        <v>0</v>
      </c>
      <c r="C4457" s="94" t="str">
        <f>IFERROR(VLOOKUP($A4457,HeadJournal!$A$1:$NTR$890,COLUMN(HeadJournal!C$1),0),"")</f>
        <v>iHerb_VP DFD1605</v>
      </c>
      <c r="D4457" s="125" t="str">
        <f>IFERROR(VLOOKUP($A4457,HeadJournal!$A$1:$NTR$890,COLUMN(HeadJournal!D$1),0),"")</f>
        <v>Доставлен</v>
      </c>
      <c r="E4457" s="95">
        <f>IFERROR(VLOOKUP($A4457,HeadJournal!$A$1:$NTR$890,COLUMN(HeadJournal!G$1),0),"")</f>
        <v>45729</v>
      </c>
      <c r="F4457" s="95" t="str">
        <f t="shared" si="344"/>
        <v>2025 03</v>
      </c>
      <c r="G4457" s="97" t="s">
        <v>5</v>
      </c>
      <c r="H4457" s="161" t="s">
        <v>3038</v>
      </c>
      <c r="I4457" s="97" t="s">
        <v>2159</v>
      </c>
      <c r="J4457" s="97" t="s">
        <v>3039</v>
      </c>
      <c r="K4457" s="29">
        <v>24.06</v>
      </c>
      <c r="L4457" s="29">
        <v>-3.61</v>
      </c>
      <c r="M4457" s="30">
        <f>IFERROR(VLOOKUP($A4457,HeadJournal!$A$1:$J$890,COLUMN(HeadJournal!I$1),0)*($K4457+$L4457)/(SUMIF($A:$A,$A4457,$K:$K)+SUMIF($A:$A,$A4457,$L:$L)),0)</f>
        <v>0</v>
      </c>
      <c r="N4457" s="30">
        <f>IFERROR((VLOOKUP($A4457,HeadJournal!$A$1:$K$890,COLUMN(HeadJournal!K$1),0)-VLOOKUP($A4457,HeadJournal!$A$1:$K$890,COLUMN(HeadJournal!J$1),0))*($K4457+$L4457)/(SUMIF($A:$A,$A4457,$K:$K)+SUMIF($A:$A,$A4457,$L:$L)),0)</f>
        <v>0</v>
      </c>
      <c r="O4457" s="30">
        <f>IFERROR((VLOOKUP($A4457,HeadJournal!$A$1:$L$890,COLUMN(HeadJournal!L$1),0)*($K4457+$L4457)/(SUMIF($A:$A,$A4457,$K:$K)+SUMIF($A:$A,$A4457,$L:$L)))/VLOOKUP($A4457,HeadJournal!$A$1:$L$890,COLUMN(HeadJournal!H$1),0),0)</f>
        <v>0.62629496525753237</v>
      </c>
      <c r="P4457" s="30">
        <f>IFERROR(SUM(K4457:O4457)*VLOOKUP($A4457,HeadJournal!$A$1:$L$890,COLUMN(HeadJournal!H$1),0),0)</f>
        <v>2091.7993077475489</v>
      </c>
      <c r="Q4457" s="29">
        <v>2900</v>
      </c>
      <c r="R4457" s="31">
        <v>45764</v>
      </c>
      <c r="S4457" s="31" t="s">
        <v>3121</v>
      </c>
      <c r="T4457" s="95" t="str">
        <f t="shared" si="345"/>
        <v>2025 04</v>
      </c>
      <c r="U4457" s="32">
        <f t="shared" si="342"/>
        <v>808.20069225245106</v>
      </c>
      <c r="V4457" s="22">
        <f t="shared" si="343"/>
        <v>0.38636626814965447</v>
      </c>
      <c r="X4457" s="33"/>
      <c r="Y4457" s="33"/>
    </row>
    <row r="4458" spans="1:25" x14ac:dyDescent="0.2">
      <c r="A4458" s="93" t="s">
        <v>3044</v>
      </c>
      <c r="B4458" s="94">
        <f>IFERROR(VLOOKUP($A4458,HeadJournal!$A$1:$NTR$890,COLUMN(HeadJournal!B$1),0),"")</f>
        <v>0</v>
      </c>
      <c r="C4458" s="94" t="str">
        <f>IFERROR(VLOOKUP($A4458,HeadJournal!$A$1:$NTR$890,COLUMN(HeadJournal!C$1),0),"")</f>
        <v>iHerb_VP DFD1605</v>
      </c>
      <c r="D4458" s="125" t="str">
        <f>IFERROR(VLOOKUP($A4458,HeadJournal!$A$1:$NTR$890,COLUMN(HeadJournal!D$1),0),"")</f>
        <v>Доставлен</v>
      </c>
      <c r="E4458" s="95">
        <f>IFERROR(VLOOKUP($A4458,HeadJournal!$A$1:$NTR$890,COLUMN(HeadJournal!G$1),0),"")</f>
        <v>45729</v>
      </c>
      <c r="F4458" s="95" t="str">
        <f t="shared" si="344"/>
        <v>2025 03</v>
      </c>
      <c r="G4458" s="97" t="s">
        <v>5</v>
      </c>
      <c r="H4458" s="161" t="s">
        <v>3040</v>
      </c>
      <c r="I4458" s="97" t="s">
        <v>2750</v>
      </c>
      <c r="J4458" s="97" t="s">
        <v>3041</v>
      </c>
      <c r="K4458" s="29">
        <v>23.61</v>
      </c>
      <c r="L4458" s="29">
        <v>-3.54</v>
      </c>
      <c r="M4458" s="30">
        <f>IFERROR(VLOOKUP($A4458,HeadJournal!$A$1:$J$890,COLUMN(HeadJournal!I$1),0)*($K4458+$L4458)/(SUMIF($A:$A,$A4458,$K:$K)+SUMIF($A:$A,$A4458,$L:$L)),0)</f>
        <v>0</v>
      </c>
      <c r="N4458" s="30">
        <f>IFERROR((VLOOKUP($A4458,HeadJournal!$A$1:$K$890,COLUMN(HeadJournal!K$1),0)-VLOOKUP($A4458,HeadJournal!$A$1:$K$890,COLUMN(HeadJournal!J$1),0))*($K4458+$L4458)/(SUMIF($A:$A,$A4458,$K:$K)+SUMIF($A:$A,$A4458,$L:$L)),0)</f>
        <v>0</v>
      </c>
      <c r="O4458" s="30">
        <f>IFERROR((VLOOKUP($A4458,HeadJournal!$A$1:$L$890,COLUMN(HeadJournal!L$1),0)*($K4458+$L4458)/(SUMIF($A:$A,$A4458,$K:$K)+SUMIF($A:$A,$A4458,$L:$L)))/VLOOKUP($A4458,HeadJournal!$A$1:$L$890,COLUMN(HeadJournal!H$1),0),0)</f>
        <v>0.61465721040189125</v>
      </c>
      <c r="P4458" s="30">
        <f>IFERROR(SUM(K4458:O4458)*VLOOKUP($A4458,HeadJournal!$A$1:$L$890,COLUMN(HeadJournal!H$1),0),0)</f>
        <v>2052.9296873590861</v>
      </c>
      <c r="Q4458" s="29">
        <v>2900</v>
      </c>
      <c r="R4458" s="31">
        <v>45764</v>
      </c>
      <c r="S4458" s="31" t="s">
        <v>3121</v>
      </c>
      <c r="T4458" s="95" t="str">
        <f t="shared" si="345"/>
        <v>2025 04</v>
      </c>
      <c r="U4458" s="32">
        <f t="shared" si="342"/>
        <v>847.07031264091393</v>
      </c>
      <c r="V4458" s="22">
        <f t="shared" si="343"/>
        <v>0.41261535543898514</v>
      </c>
      <c r="X4458" s="33"/>
      <c r="Y4458" s="33"/>
    </row>
    <row r="4459" spans="1:25" x14ac:dyDescent="0.2">
      <c r="A4459" s="93" t="s">
        <v>3044</v>
      </c>
      <c r="B4459" s="94">
        <f>IFERROR(VLOOKUP($A4459,HeadJournal!$A$1:$NTR$890,COLUMN(HeadJournal!B$1),0),"")</f>
        <v>0</v>
      </c>
      <c r="C4459" s="94" t="str">
        <f>IFERROR(VLOOKUP($A4459,HeadJournal!$A$1:$NTR$890,COLUMN(HeadJournal!C$1),0),"")</f>
        <v>iHerb_VP DFD1605</v>
      </c>
      <c r="D4459" s="125" t="str">
        <f>IFERROR(VLOOKUP($A4459,HeadJournal!$A$1:$NTR$890,COLUMN(HeadJournal!D$1),0),"")</f>
        <v>Доставлен</v>
      </c>
      <c r="E4459" s="95">
        <f>IFERROR(VLOOKUP($A4459,HeadJournal!$A$1:$NTR$890,COLUMN(HeadJournal!G$1),0),"")</f>
        <v>45729</v>
      </c>
      <c r="F4459" s="95" t="str">
        <f t="shared" si="344"/>
        <v>2025 03</v>
      </c>
      <c r="G4459" s="97" t="s">
        <v>5</v>
      </c>
      <c r="H4459" s="161" t="s">
        <v>2995</v>
      </c>
      <c r="I4459" s="97" t="s">
        <v>2102</v>
      </c>
      <c r="J4459" s="97" t="s">
        <v>2996</v>
      </c>
      <c r="K4459" s="29">
        <v>61.44</v>
      </c>
      <c r="L4459" s="29">
        <v>-9.2200000000000006</v>
      </c>
      <c r="M4459" s="30">
        <f>IFERROR(VLOOKUP($A4459,HeadJournal!$A$1:$J$890,COLUMN(HeadJournal!I$1),0)*($K4459+$L4459)/(SUMIF($A:$A,$A4459,$K:$K)+SUMIF($A:$A,$A4459,$L:$L)),0)</f>
        <v>0</v>
      </c>
      <c r="N4459" s="30">
        <f>IFERROR((VLOOKUP($A4459,HeadJournal!$A$1:$K$890,COLUMN(HeadJournal!K$1),0)-VLOOKUP($A4459,HeadJournal!$A$1:$K$890,COLUMN(HeadJournal!J$1),0))*($K4459+$L4459)/(SUMIF($A:$A,$A4459,$K:$K)+SUMIF($A:$A,$A4459,$L:$L)),0)</f>
        <v>0</v>
      </c>
      <c r="O4459" s="30">
        <f>IFERROR((VLOOKUP($A4459,HeadJournal!$A$1:$L$890,COLUMN(HeadJournal!L$1),0)*($K4459+$L4459)/(SUMIF($A:$A,$A4459,$K:$K)+SUMIF($A:$A,$A4459,$L:$L)))/VLOOKUP($A4459,HeadJournal!$A$1:$L$890,COLUMN(HeadJournal!H$1),0),0)</f>
        <v>1.5992725225304814</v>
      </c>
      <c r="P4459" s="30">
        <f>IFERROR(SUM(K4459:O4459)*VLOOKUP($A4459,HeadJournal!$A$1:$L$890,COLUMN(HeadJournal!H$1),0),0)</f>
        <v>5341.5041491724696</v>
      </c>
      <c r="Q4459" s="29">
        <v>6700</v>
      </c>
      <c r="R4459" s="31">
        <v>45771</v>
      </c>
      <c r="S4459" s="31" t="s">
        <v>3235</v>
      </c>
      <c r="T4459" s="95" t="str">
        <f t="shared" si="345"/>
        <v>2025 04</v>
      </c>
      <c r="U4459" s="32">
        <f t="shared" si="342"/>
        <v>1358.4958508275304</v>
      </c>
      <c r="V4459" s="22">
        <f t="shared" si="343"/>
        <v>0.25432833390909093</v>
      </c>
      <c r="X4459" s="33"/>
      <c r="Y4459" s="33"/>
    </row>
    <row r="4460" spans="1:25" x14ac:dyDescent="0.2">
      <c r="A4460" s="93" t="s">
        <v>3044</v>
      </c>
      <c r="B4460" s="94">
        <f>IFERROR(VLOOKUP($A4460,HeadJournal!$A$1:$NTR$890,COLUMN(HeadJournal!B$1),0),"")</f>
        <v>0</v>
      </c>
      <c r="C4460" s="94" t="str">
        <f>IFERROR(VLOOKUP($A4460,HeadJournal!$A$1:$NTR$890,COLUMN(HeadJournal!C$1),0),"")</f>
        <v>iHerb_VP DFD1605</v>
      </c>
      <c r="D4460" s="125" t="str">
        <f>IFERROR(VLOOKUP($A4460,HeadJournal!$A$1:$NTR$890,COLUMN(HeadJournal!D$1),0),"")</f>
        <v>Доставлен</v>
      </c>
      <c r="E4460" s="95">
        <f>IFERROR(VLOOKUP($A4460,HeadJournal!$A$1:$NTR$890,COLUMN(HeadJournal!G$1),0),"")</f>
        <v>45729</v>
      </c>
      <c r="F4460" s="95" t="str">
        <f t="shared" si="344"/>
        <v>2025 03</v>
      </c>
      <c r="G4460" s="97" t="s">
        <v>5</v>
      </c>
      <c r="H4460" s="161" t="s">
        <v>3042</v>
      </c>
      <c r="I4460" s="97" t="s">
        <v>2750</v>
      </c>
      <c r="J4460" s="97" t="s">
        <v>3043</v>
      </c>
      <c r="K4460" s="29">
        <v>25.8</v>
      </c>
      <c r="L4460" s="29">
        <v>-3.87</v>
      </c>
      <c r="M4460" s="30">
        <f>IFERROR(VLOOKUP($A4460,HeadJournal!$A$1:$J$890,COLUMN(HeadJournal!I$1),0)*($K4460+$L4460)/(SUMIF($A:$A,$A4460,$K:$K)+SUMIF($A:$A,$A4460,$L:$L)),0)</f>
        <v>0</v>
      </c>
      <c r="N4460" s="30">
        <f>IFERROR((VLOOKUP($A4460,HeadJournal!$A$1:$K$890,COLUMN(HeadJournal!K$1),0)-VLOOKUP($A4460,HeadJournal!$A$1:$K$890,COLUMN(HeadJournal!J$1),0))*($K4460+$L4460)/(SUMIF($A:$A,$A4460,$K:$K)+SUMIF($A:$A,$A4460,$L:$L)),0)</f>
        <v>0</v>
      </c>
      <c r="O4460" s="30">
        <f>IFERROR((VLOOKUP($A4460,HeadJournal!$A$1:$L$890,COLUMN(HeadJournal!L$1),0)*($K4460+$L4460)/(SUMIF($A:$A,$A4460,$K:$K)+SUMIF($A:$A,$A4460,$L:$L)))/VLOOKUP($A4460,HeadJournal!$A$1:$L$890,COLUMN(HeadJournal!H$1),0),0)</f>
        <v>0.67162095785318754</v>
      </c>
      <c r="P4460" s="30">
        <f>IFERROR(SUM(K4460:O4460)*VLOOKUP($A4460,HeadJournal!$A$1:$L$890,COLUMN(HeadJournal!H$1),0),0)</f>
        <v>2243.1862503131415</v>
      </c>
      <c r="Q4460" s="29">
        <v>2950</v>
      </c>
      <c r="R4460" s="31">
        <v>45764</v>
      </c>
      <c r="S4460" s="31" t="s">
        <v>3121</v>
      </c>
      <c r="T4460" s="95" t="str">
        <f t="shared" si="345"/>
        <v>2025 04</v>
      </c>
      <c r="U4460" s="32">
        <f t="shared" si="342"/>
        <v>706.8137496868585</v>
      </c>
      <c r="V4460" s="22">
        <f t="shared" si="343"/>
        <v>0.3150936528735363</v>
      </c>
      <c r="X4460" s="33"/>
      <c r="Y4460" s="33"/>
    </row>
    <row r="4461" spans="1:25" x14ac:dyDescent="0.2">
      <c r="A4461" s="93" t="s">
        <v>3044</v>
      </c>
      <c r="B4461" s="94">
        <f>IFERROR(VLOOKUP($A4461,HeadJournal!$A$1:$NTR$890,COLUMN(HeadJournal!B$1),0),"")</f>
        <v>0</v>
      </c>
      <c r="C4461" s="94" t="str">
        <f>IFERROR(VLOOKUP($A4461,HeadJournal!$A$1:$NTR$890,COLUMN(HeadJournal!C$1),0),"")</f>
        <v>iHerb_VP DFD1605</v>
      </c>
      <c r="D4461" s="125" t="str">
        <f>IFERROR(VLOOKUP($A4461,HeadJournal!$A$1:$NTR$890,COLUMN(HeadJournal!D$1),0),"")</f>
        <v>Доставлен</v>
      </c>
      <c r="E4461" s="95">
        <f>IFERROR(VLOOKUP($A4461,HeadJournal!$A$1:$NTR$890,COLUMN(HeadJournal!G$1),0),"")</f>
        <v>45729</v>
      </c>
      <c r="F4461" s="95" t="str">
        <f t="shared" si="344"/>
        <v>2025 03</v>
      </c>
      <c r="G4461" s="97" t="s">
        <v>5</v>
      </c>
      <c r="H4461" s="161" t="s">
        <v>3042</v>
      </c>
      <c r="I4461" s="97" t="s">
        <v>2750</v>
      </c>
      <c r="J4461" s="97" t="s">
        <v>3043</v>
      </c>
      <c r="K4461" s="29">
        <v>25.8</v>
      </c>
      <c r="L4461" s="29">
        <v>-3.87</v>
      </c>
      <c r="M4461" s="30">
        <f>IFERROR(VLOOKUP($A4461,HeadJournal!$A$1:$J$890,COLUMN(HeadJournal!I$1),0)*($K4461+$L4461)/(SUMIF($A:$A,$A4461,$K:$K)+SUMIF($A:$A,$A4461,$L:$L)),0)</f>
        <v>0</v>
      </c>
      <c r="N4461" s="30">
        <f>IFERROR((VLOOKUP($A4461,HeadJournal!$A$1:$K$890,COLUMN(HeadJournal!K$1),0)-VLOOKUP($A4461,HeadJournal!$A$1:$K$890,COLUMN(HeadJournal!J$1),0))*($K4461+$L4461)/(SUMIF($A:$A,$A4461,$K:$K)+SUMIF($A:$A,$A4461,$L:$L)),0)</f>
        <v>0</v>
      </c>
      <c r="O4461" s="30">
        <f>IFERROR((VLOOKUP($A4461,HeadJournal!$A$1:$L$890,COLUMN(HeadJournal!L$1),0)*($K4461+$L4461)/(SUMIF($A:$A,$A4461,$K:$K)+SUMIF($A:$A,$A4461,$L:$L)))/VLOOKUP($A4461,HeadJournal!$A$1:$L$890,COLUMN(HeadJournal!H$1),0),0)</f>
        <v>0.67162095785318754</v>
      </c>
      <c r="P4461" s="30">
        <f>IFERROR(SUM(K4461:O4461)*VLOOKUP($A4461,HeadJournal!$A$1:$L$890,COLUMN(HeadJournal!H$1),0),0)</f>
        <v>2243.1862503131415</v>
      </c>
      <c r="Q4461" s="29">
        <v>2950</v>
      </c>
      <c r="R4461" s="163">
        <v>45764</v>
      </c>
      <c r="S4461" s="31" t="s">
        <v>3121</v>
      </c>
      <c r="T4461" s="95" t="str">
        <f t="shared" si="345"/>
        <v>2025 04</v>
      </c>
      <c r="U4461" s="32">
        <f t="shared" si="342"/>
        <v>706.8137496868585</v>
      </c>
      <c r="V4461" s="22">
        <f t="shared" si="343"/>
        <v>0.3150936528735363</v>
      </c>
      <c r="X4461" s="33"/>
      <c r="Y4461" s="33"/>
    </row>
    <row r="4462" spans="1:25" x14ac:dyDescent="0.2">
      <c r="A4462" s="93" t="s">
        <v>3052</v>
      </c>
      <c r="B4462" s="94">
        <f>IFERROR(VLOOKUP($A4462,HeadJournal!$A$1:$NTR$890,COLUMN(HeadJournal!B$1),0),"")</f>
        <v>0</v>
      </c>
      <c r="C4462" s="94" t="str">
        <f>IFERROR(VLOOKUP($A4462,HeadJournal!$A$1:$NTR$890,COLUMN(HeadJournal!C$1),0),"")</f>
        <v>iHerb_VP DFD1605</v>
      </c>
      <c r="D4462" s="125" t="str">
        <f>IFERROR(VLOOKUP($A4462,HeadJournal!$A$1:$NTR$890,COLUMN(HeadJournal!D$1),0),"")</f>
        <v>Доставлен</v>
      </c>
      <c r="E4462" s="95">
        <f>IFERROR(VLOOKUP($A4462,HeadJournal!$A$1:$NTR$890,COLUMN(HeadJournal!G$1),0),"")</f>
        <v>45736</v>
      </c>
      <c r="F4462" s="95" t="str">
        <f t="shared" si="344"/>
        <v>2025 03</v>
      </c>
      <c r="G4462" s="97" t="s">
        <v>5</v>
      </c>
      <c r="H4462" s="161" t="s">
        <v>3045</v>
      </c>
      <c r="I4462" s="97" t="s">
        <v>2491</v>
      </c>
      <c r="J4462" s="97" t="s">
        <v>3046</v>
      </c>
      <c r="K4462" s="29">
        <v>22.61</v>
      </c>
      <c r="L4462" s="29">
        <v>-11.31</v>
      </c>
      <c r="M4462" s="30">
        <f>IFERROR(VLOOKUP($A4462,HeadJournal!$A$1:$J$890,COLUMN(HeadJournal!I$1),0)*($K4462+$L4462)/(SUMIF($A:$A,$A4462,$K:$K)+SUMIF($A:$A,$A4462,$L:$L)),0)</f>
        <v>-0.6030920212408416</v>
      </c>
      <c r="N4462" s="30">
        <f>IFERROR((VLOOKUP($A4462,HeadJournal!$A$1:$K$890,COLUMN(HeadJournal!K$1),0)-VLOOKUP($A4462,HeadJournal!$A$1:$K$890,COLUMN(HeadJournal!J$1),0))*($K4462+$L4462)/(SUMIF($A:$A,$A4462,$K:$K)+SUMIF($A:$A,$A4462,$L:$L)),0)</f>
        <v>2.1588043057307608E-15</v>
      </c>
      <c r="O4462" s="30">
        <f>IFERROR((VLOOKUP($A4462,HeadJournal!$A$1:$L$890,COLUMN(HeadJournal!L$1),0)*($K4462+$L4462)/(SUMIF($A:$A,$A4462,$K:$K)+SUMIF($A:$A,$A4462,$L:$L)))/VLOOKUP($A4462,HeadJournal!$A$1:$L$890,COLUMN(HeadJournal!H$1),0),0)</f>
        <v>0.48472484949968986</v>
      </c>
      <c r="P4462" s="30">
        <f>IFERROR(SUM(K4462:O4462)*VLOOKUP($A4462,HeadJournal!$A$1:$L$890,COLUMN(HeadJournal!H$1),0),0)</f>
        <v>1062.9752593488831</v>
      </c>
      <c r="Q4462" s="29">
        <v>2600</v>
      </c>
      <c r="R4462" s="31">
        <v>45766</v>
      </c>
      <c r="S4462" s="31" t="s">
        <v>3121</v>
      </c>
      <c r="T4462" s="95" t="str">
        <f t="shared" si="345"/>
        <v>2025 04</v>
      </c>
      <c r="U4462" s="32">
        <f t="shared" si="342"/>
        <v>1537.0247406511169</v>
      </c>
      <c r="V4462" s="22">
        <f t="shared" si="343"/>
        <v>1.4459647363689432</v>
      </c>
      <c r="X4462" s="33"/>
      <c r="Y4462" s="33"/>
    </row>
    <row r="4463" spans="1:25" x14ac:dyDescent="0.2">
      <c r="A4463" s="93" t="s">
        <v>3052</v>
      </c>
      <c r="B4463" s="94">
        <f>IFERROR(VLOOKUP($A4463,HeadJournal!$A$1:$NTR$890,COLUMN(HeadJournal!B$1),0),"")</f>
        <v>0</v>
      </c>
      <c r="C4463" s="94" t="str">
        <f>IFERROR(VLOOKUP($A4463,HeadJournal!$A$1:$NTR$890,COLUMN(HeadJournal!C$1),0),"")</f>
        <v>iHerb_VP DFD1605</v>
      </c>
      <c r="D4463" s="125" t="str">
        <f>IFERROR(VLOOKUP($A4463,HeadJournal!$A$1:$NTR$890,COLUMN(HeadJournal!D$1),0),"")</f>
        <v>Доставлен</v>
      </c>
      <c r="E4463" s="95">
        <f>IFERROR(VLOOKUP($A4463,HeadJournal!$A$1:$NTR$890,COLUMN(HeadJournal!G$1),0),"")</f>
        <v>45736</v>
      </c>
      <c r="F4463" s="95" t="str">
        <f t="shared" si="344"/>
        <v>2025 03</v>
      </c>
      <c r="G4463" s="97" t="s">
        <v>5</v>
      </c>
      <c r="H4463" s="161" t="s">
        <v>2468</v>
      </c>
      <c r="I4463" s="97" t="s">
        <v>2005</v>
      </c>
      <c r="J4463" s="97" t="s">
        <v>4109</v>
      </c>
      <c r="K4463" s="29">
        <v>24.42</v>
      </c>
      <c r="L4463" s="29">
        <v>-4.88</v>
      </c>
      <c r="M4463" s="30">
        <f>IFERROR(VLOOKUP($A4463,HeadJournal!$A$1:$J$890,COLUMN(HeadJournal!I$1),0)*($K4463+$L4463)/(SUMIF($A:$A,$A4463,$K:$K)+SUMIF($A:$A,$A4463,$L:$L)),0)</f>
        <v>-1.0428688579686769</v>
      </c>
      <c r="N4463" s="30">
        <f>IFERROR((VLOOKUP($A4463,HeadJournal!$A$1:$K$890,COLUMN(HeadJournal!K$1),0)-VLOOKUP($A4463,HeadJournal!$A$1:$K$890,COLUMN(HeadJournal!J$1),0))*($K4463+$L4463)/(SUMIF($A:$A,$A4463,$K:$K)+SUMIF($A:$A,$A4463,$L:$L)),0)</f>
        <v>3.7330120472547853E-15</v>
      </c>
      <c r="O4463" s="30">
        <f>IFERROR((VLOOKUP($A4463,HeadJournal!$A$1:$L$890,COLUMN(HeadJournal!L$1),0)*($K4463+$L4463)/(SUMIF($A:$A,$A4463,$K:$K)+SUMIF($A:$A,$A4463,$L:$L)))/VLOOKUP($A4463,HeadJournal!$A$1:$L$890,COLUMN(HeadJournal!H$1),0),0)</f>
        <v>0.83818792559503918</v>
      </c>
      <c r="P4463" s="30">
        <f>IFERROR(SUM(K4463:O4463)*VLOOKUP($A4463,HeadJournal!$A$1:$L$890,COLUMN(HeadJournal!H$1),0),0)</f>
        <v>1838.1005812103704</v>
      </c>
      <c r="Q4463" s="29">
        <v>2800</v>
      </c>
      <c r="R4463" s="31">
        <v>45768</v>
      </c>
      <c r="S4463" s="31" t="s">
        <v>3121</v>
      </c>
      <c r="T4463" s="95" t="str">
        <f t="shared" si="345"/>
        <v>2025 04</v>
      </c>
      <c r="U4463" s="32">
        <f t="shared" si="342"/>
        <v>961.89941878962964</v>
      </c>
      <c r="V4463" s="22">
        <f t="shared" si="343"/>
        <v>0.52331163409797121</v>
      </c>
      <c r="X4463" s="33"/>
      <c r="Y4463" s="33"/>
    </row>
    <row r="4464" spans="1:25" x14ac:dyDescent="0.2">
      <c r="A4464" s="93" t="s">
        <v>3052</v>
      </c>
      <c r="B4464" s="94">
        <f>IFERROR(VLOOKUP($A4464,HeadJournal!$A$1:$NTR$890,COLUMN(HeadJournal!B$1),0),"")</f>
        <v>0</v>
      </c>
      <c r="C4464" s="94" t="str">
        <f>IFERROR(VLOOKUP($A4464,HeadJournal!$A$1:$NTR$890,COLUMN(HeadJournal!C$1),0),"")</f>
        <v>iHerb_VP DFD1605</v>
      </c>
      <c r="D4464" s="125" t="str">
        <f>IFERROR(VLOOKUP($A4464,HeadJournal!$A$1:$NTR$890,COLUMN(HeadJournal!D$1),0),"")</f>
        <v>Доставлен</v>
      </c>
      <c r="E4464" s="95">
        <f>IFERROR(VLOOKUP($A4464,HeadJournal!$A$1:$NTR$890,COLUMN(HeadJournal!G$1),0),"")</f>
        <v>45736</v>
      </c>
      <c r="F4464" s="95" t="str">
        <f t="shared" si="344"/>
        <v>2025 03</v>
      </c>
      <c r="G4464" s="97" t="s">
        <v>5</v>
      </c>
      <c r="H4464" s="161" t="s">
        <v>3047</v>
      </c>
      <c r="I4464" s="97" t="s">
        <v>3048</v>
      </c>
      <c r="J4464" s="97" t="s">
        <v>3049</v>
      </c>
      <c r="K4464" s="29">
        <v>8.0399999999999991</v>
      </c>
      <c r="L4464" s="29">
        <v>-1.61</v>
      </c>
      <c r="M4464" s="30">
        <f>IFERROR(VLOOKUP($A4464,HeadJournal!$A$1:$J$890,COLUMN(HeadJournal!I$1),0)*($K4464+$L4464)/(SUMIF($A:$A,$A4464,$K:$K)+SUMIF($A:$A,$A4464,$L:$L)),0)</f>
        <v>-0.34317537137863818</v>
      </c>
      <c r="N4464" s="30">
        <f>IFERROR((VLOOKUP($A4464,HeadJournal!$A$1:$K$890,COLUMN(HeadJournal!K$1),0)-VLOOKUP($A4464,HeadJournal!$A$1:$K$890,COLUMN(HeadJournal!J$1),0))*($K4464+$L4464)/(SUMIF($A:$A,$A4464,$K:$K)+SUMIF($A:$A,$A4464,$L:$L)),0)</f>
        <v>1.2284169633494505E-15</v>
      </c>
      <c r="O4464" s="30">
        <f>IFERROR((VLOOKUP($A4464,HeadJournal!$A$1:$L$890,COLUMN(HeadJournal!L$1),0)*($K4464+$L4464)/(SUMIF($A:$A,$A4464,$K:$K)+SUMIF($A:$A,$A4464,$L:$L)))/VLOOKUP($A4464,HeadJournal!$A$1:$L$890,COLUMN(HeadJournal!H$1),0),0)</f>
        <v>0.27582130816663769</v>
      </c>
      <c r="P4464" s="30">
        <f>IFERROR(SUM(K4464:O4464)*VLOOKUP($A4464,HeadJournal!$A$1:$L$890,COLUMN(HeadJournal!H$1),0),0)</f>
        <v>604.86114315162104</v>
      </c>
      <c r="Q4464" s="29">
        <v>1300</v>
      </c>
      <c r="R4464" s="31">
        <v>45765</v>
      </c>
      <c r="S4464" s="31" t="s">
        <v>3121</v>
      </c>
      <c r="T4464" s="95" t="str">
        <f t="shared" si="345"/>
        <v>2025 04</v>
      </c>
      <c r="U4464" s="32">
        <f t="shared" si="342"/>
        <v>695.13885684837896</v>
      </c>
      <c r="V4464" s="22">
        <f t="shared" si="343"/>
        <v>1.1492536174937062</v>
      </c>
      <c r="X4464" s="33"/>
      <c r="Y4464" s="33"/>
    </row>
    <row r="4465" spans="1:25" x14ac:dyDescent="0.2">
      <c r="A4465" s="93" t="s">
        <v>3052</v>
      </c>
      <c r="B4465" s="94">
        <f>IFERROR(VLOOKUP($A4465,HeadJournal!$A$1:$NTR$890,COLUMN(HeadJournal!B$1),0),"")</f>
        <v>0</v>
      </c>
      <c r="C4465" s="94" t="str">
        <f>IFERROR(VLOOKUP($A4465,HeadJournal!$A$1:$NTR$890,COLUMN(HeadJournal!C$1),0),"")</f>
        <v>iHerb_VP DFD1605</v>
      </c>
      <c r="D4465" s="125" t="str">
        <f>IFERROR(VLOOKUP($A4465,HeadJournal!$A$1:$NTR$890,COLUMN(HeadJournal!D$1),0),"")</f>
        <v>Доставлен</v>
      </c>
      <c r="E4465" s="95">
        <f>IFERROR(VLOOKUP($A4465,HeadJournal!$A$1:$NTR$890,COLUMN(HeadJournal!G$1),0),"")</f>
        <v>45736</v>
      </c>
      <c r="F4465" s="95" t="str">
        <f t="shared" si="344"/>
        <v>2025 03</v>
      </c>
      <c r="G4465" s="97" t="s">
        <v>5</v>
      </c>
      <c r="H4465" s="161" t="s">
        <v>2773</v>
      </c>
      <c r="I4465" s="97" t="s">
        <v>2005</v>
      </c>
      <c r="J4465" s="97" t="s">
        <v>2774</v>
      </c>
      <c r="K4465" s="29">
        <v>14.28</v>
      </c>
      <c r="L4465" s="29">
        <v>-2.86</v>
      </c>
      <c r="M4465" s="30">
        <f>IFERROR(VLOOKUP($A4465,HeadJournal!$A$1:$J$890,COLUMN(HeadJournal!I$1),0)*($K4465+$L4465)/(SUMIF($A:$A,$A4465,$K:$K)+SUMIF($A:$A,$A4465,$L:$L)),0)</f>
        <v>-0.60949653828056738</v>
      </c>
      <c r="N4465" s="30">
        <f>IFERROR((VLOOKUP($A4465,HeadJournal!$A$1:$K$890,COLUMN(HeadJournal!K$1),0)-VLOOKUP($A4465,HeadJournal!$A$1:$K$890,COLUMN(HeadJournal!J$1),0))*($K4465+$L4465)/(SUMIF($A:$A,$A4465,$K:$K)+SUMIF($A:$A,$A4465,$L:$L)),0)</f>
        <v>2.1817296611898489E-15</v>
      </c>
      <c r="O4465" s="30">
        <f>IFERROR((VLOOKUP($A4465,HeadJournal!$A$1:$L$890,COLUMN(HeadJournal!L$1),0)*($K4465+$L4465)/(SUMIF($A:$A,$A4465,$K:$K)+SUMIF($A:$A,$A4465,$L:$L)))/VLOOKUP($A4465,HeadJournal!$A$1:$L$890,COLUMN(HeadJournal!H$1),0),0)</f>
        <v>0.48987237002535039</v>
      </c>
      <c r="P4465" s="30">
        <f>IFERROR(SUM(K4465:O4465)*VLOOKUP($A4465,HeadJournal!$A$1:$L$890,COLUMN(HeadJournal!H$1),0),0)</f>
        <v>1074.2634921915264</v>
      </c>
      <c r="Q4465" s="29"/>
      <c r="R4465" s="31"/>
      <c r="S4465" s="31"/>
      <c r="T4465" s="95" t="str">
        <f t="shared" si="345"/>
        <v/>
      </c>
      <c r="U4465" s="32">
        <f t="shared" si="342"/>
        <v>-1074.2634921915264</v>
      </c>
      <c r="V4465" s="22" t="str">
        <f t="shared" si="343"/>
        <v/>
      </c>
      <c r="X4465" s="33"/>
      <c r="Y4465" s="33"/>
    </row>
    <row r="4466" spans="1:25" x14ac:dyDescent="0.2">
      <c r="A4466" s="93" t="s">
        <v>3052</v>
      </c>
      <c r="B4466" s="94">
        <f>IFERROR(VLOOKUP($A4466,HeadJournal!$A$1:$NTR$890,COLUMN(HeadJournal!B$1),0),"")</f>
        <v>0</v>
      </c>
      <c r="C4466" s="94" t="str">
        <f>IFERROR(VLOOKUP($A4466,HeadJournal!$A$1:$NTR$890,COLUMN(HeadJournal!C$1),0),"")</f>
        <v>iHerb_VP DFD1605</v>
      </c>
      <c r="D4466" s="125" t="str">
        <f>IFERROR(VLOOKUP($A4466,HeadJournal!$A$1:$NTR$890,COLUMN(HeadJournal!D$1),0),"")</f>
        <v>Доставлен</v>
      </c>
      <c r="E4466" s="95">
        <f>IFERROR(VLOOKUP($A4466,HeadJournal!$A$1:$NTR$890,COLUMN(HeadJournal!G$1),0),"")</f>
        <v>45736</v>
      </c>
      <c r="F4466" s="95" t="str">
        <f t="shared" si="344"/>
        <v>2025 03</v>
      </c>
      <c r="G4466" s="97" t="s">
        <v>5</v>
      </c>
      <c r="H4466" s="161" t="s">
        <v>2546</v>
      </c>
      <c r="I4466" s="97" t="s">
        <v>2039</v>
      </c>
      <c r="J4466" s="97" t="s">
        <v>2547</v>
      </c>
      <c r="K4466" s="29">
        <v>10.75</v>
      </c>
      <c r="L4466" s="29">
        <v>-2.15</v>
      </c>
      <c r="M4466" s="30">
        <f>IFERROR(VLOOKUP($A4466,HeadJournal!$A$1:$J$890,COLUMN(HeadJournal!I$1),0)*($K4466+$L4466)/(SUMIF($A:$A,$A4466,$K:$K)+SUMIF($A:$A,$A4466,$L:$L)),0)</f>
        <v>-0.45899038784701224</v>
      </c>
      <c r="N4466" s="30">
        <f>IFERROR((VLOOKUP($A4466,HeadJournal!$A$1:$K$890,COLUMN(HeadJournal!K$1),0)-VLOOKUP($A4466,HeadJournal!$A$1:$K$890,COLUMN(HeadJournal!J$1),0))*($K4466+$L4466)/(SUMIF($A:$A,$A4466,$K:$K)+SUMIF($A:$A,$A4466,$L:$L)),0)</f>
        <v>1.6429838079012871E-15</v>
      </c>
      <c r="O4466" s="30">
        <f>IFERROR((VLOOKUP($A4466,HeadJournal!$A$1:$L$890,COLUMN(HeadJournal!L$1),0)*($K4466+$L4466)/(SUMIF($A:$A,$A4466,$K:$K)+SUMIF($A:$A,$A4466,$L:$L)))/VLOOKUP($A4466,HeadJournal!$A$1:$L$890,COLUMN(HeadJournal!H$1),0),0)</f>
        <v>0.36890563767233042</v>
      </c>
      <c r="P4466" s="30">
        <f>IFERROR(SUM(K4466:O4466)*VLOOKUP($A4466,HeadJournal!$A$1:$L$890,COLUMN(HeadJournal!H$1),0),0)</f>
        <v>808.9900203894158</v>
      </c>
      <c r="Q4466" s="29">
        <v>1450</v>
      </c>
      <c r="R4466" s="31">
        <v>45764</v>
      </c>
      <c r="S4466" s="31" t="s">
        <v>3121</v>
      </c>
      <c r="T4466" s="95" t="str">
        <f t="shared" si="345"/>
        <v>2025 04</v>
      </c>
      <c r="U4466" s="32">
        <f t="shared" si="342"/>
        <v>641.0099796105842</v>
      </c>
      <c r="V4466" s="22">
        <f t="shared" si="343"/>
        <v>0.79235832761203573</v>
      </c>
      <c r="X4466" s="33"/>
      <c r="Y4466" s="33"/>
    </row>
    <row r="4467" spans="1:25" x14ac:dyDescent="0.2">
      <c r="A4467" s="93" t="s">
        <v>3052</v>
      </c>
      <c r="B4467" s="94">
        <f>IFERROR(VLOOKUP($A4467,HeadJournal!$A$1:$NTR$890,COLUMN(HeadJournal!B$1),0),"")</f>
        <v>0</v>
      </c>
      <c r="C4467" s="94" t="str">
        <f>IFERROR(VLOOKUP($A4467,HeadJournal!$A$1:$NTR$890,COLUMN(HeadJournal!C$1),0),"")</f>
        <v>iHerb_VP DFD1605</v>
      </c>
      <c r="D4467" s="125" t="str">
        <f>IFERROR(VLOOKUP($A4467,HeadJournal!$A$1:$NTR$890,COLUMN(HeadJournal!D$1),0),"")</f>
        <v>Доставлен</v>
      </c>
      <c r="E4467" s="95">
        <f>IFERROR(VLOOKUP($A4467,HeadJournal!$A$1:$NTR$890,COLUMN(HeadJournal!G$1),0),"")</f>
        <v>45736</v>
      </c>
      <c r="F4467" s="95" t="str">
        <f t="shared" si="344"/>
        <v>2025 03</v>
      </c>
      <c r="G4467" s="97" t="s">
        <v>5</v>
      </c>
      <c r="H4467" s="161" t="s">
        <v>2034</v>
      </c>
      <c r="I4467" s="97" t="s">
        <v>2008</v>
      </c>
      <c r="J4467" s="97" t="s">
        <v>2942</v>
      </c>
      <c r="K4467" s="29">
        <v>24.7</v>
      </c>
      <c r="L4467" s="29">
        <v>-4.9400000000000004</v>
      </c>
      <c r="M4467" s="30">
        <f>IFERROR(VLOOKUP($A4467,HeadJournal!$A$1:$J$890,COLUMN(HeadJournal!I$1),0)*($K4467+$L4467)/(SUMIF($A:$A,$A4467,$K:$K)+SUMIF($A:$A,$A4467,$L:$L)),0)</f>
        <v>-1.0546104725415071</v>
      </c>
      <c r="N4467" s="30">
        <f>IFERROR((VLOOKUP($A4467,HeadJournal!$A$1:$K$890,COLUMN(HeadJournal!K$1),0)-VLOOKUP($A4467,HeadJournal!$A$1:$K$890,COLUMN(HeadJournal!J$1),0))*($K4467+$L4467)/(SUMIF($A:$A,$A4467,$K:$K)+SUMIF($A:$A,$A4467,$L:$L)),0)</f>
        <v>3.7750418655964455E-15</v>
      </c>
      <c r="O4467" s="30">
        <f>IFERROR((VLOOKUP($A4467,HeadJournal!$A$1:$L$890,COLUMN(HeadJournal!L$1),0)*($K4467+$L4467)/(SUMIF($A:$A,$A4467,$K:$K)+SUMIF($A:$A,$A4467,$L:$L)))/VLOOKUP($A4467,HeadJournal!$A$1:$L$890,COLUMN(HeadJournal!H$1),0),0)</f>
        <v>0.84762504655874971</v>
      </c>
      <c r="P4467" s="30">
        <f>IFERROR(SUM(K4467:O4467)*VLOOKUP($A4467,HeadJournal!$A$1:$L$890,COLUMN(HeadJournal!H$1),0),0)</f>
        <v>1858.7956747552153</v>
      </c>
      <c r="Q4467" s="29">
        <v>2800</v>
      </c>
      <c r="R4467" s="31">
        <v>45773</v>
      </c>
      <c r="S4467" s="31" t="s">
        <v>3475</v>
      </c>
      <c r="T4467" s="95" t="str">
        <f t="shared" si="345"/>
        <v>2025 04</v>
      </c>
      <c r="U4467" s="32">
        <f t="shared" si="342"/>
        <v>941.20432524478474</v>
      </c>
      <c r="V4467" s="22">
        <f t="shared" si="343"/>
        <v>0.50635168675477571</v>
      </c>
      <c r="X4467" s="33"/>
      <c r="Y4467" s="33"/>
    </row>
    <row r="4468" spans="1:25" x14ac:dyDescent="0.2">
      <c r="A4468" s="93" t="s">
        <v>3052</v>
      </c>
      <c r="B4468" s="94">
        <f>IFERROR(VLOOKUP($A4468,HeadJournal!$A$1:$NTR$890,COLUMN(HeadJournal!B$1),0),"")</f>
        <v>0</v>
      </c>
      <c r="C4468" s="94" t="str">
        <f>IFERROR(VLOOKUP($A4468,HeadJournal!$A$1:$NTR$890,COLUMN(HeadJournal!C$1),0),"")</f>
        <v>iHerb_VP DFD1605</v>
      </c>
      <c r="D4468" s="125" t="str">
        <f>IFERROR(VLOOKUP($A4468,HeadJournal!$A$1:$NTR$890,COLUMN(HeadJournal!D$1),0),"")</f>
        <v>Доставлен</v>
      </c>
      <c r="E4468" s="95">
        <f>IFERROR(VLOOKUP($A4468,HeadJournal!$A$1:$NTR$890,COLUMN(HeadJournal!G$1),0),"")</f>
        <v>45736</v>
      </c>
      <c r="F4468" s="95" t="str">
        <f t="shared" si="344"/>
        <v>2025 03</v>
      </c>
      <c r="G4468" s="97" t="s">
        <v>5</v>
      </c>
      <c r="H4468" s="161" t="s">
        <v>2034</v>
      </c>
      <c r="I4468" s="97" t="s">
        <v>2008</v>
      </c>
      <c r="J4468" s="97" t="s">
        <v>2942</v>
      </c>
      <c r="K4468" s="29">
        <v>24.7</v>
      </c>
      <c r="L4468" s="29">
        <v>-4.9400000000000004</v>
      </c>
      <c r="M4468" s="30">
        <f>IFERROR(VLOOKUP($A4468,HeadJournal!$A$1:$J$890,COLUMN(HeadJournal!I$1),0)*($K4468+$L4468)/(SUMIF($A:$A,$A4468,$K:$K)+SUMIF($A:$A,$A4468,$L:$L)),0)</f>
        <v>-1.0546104725415071</v>
      </c>
      <c r="N4468" s="30">
        <f>IFERROR((VLOOKUP($A4468,HeadJournal!$A$1:$K$890,COLUMN(HeadJournal!K$1),0)-VLOOKUP($A4468,HeadJournal!$A$1:$K$890,COLUMN(HeadJournal!J$1),0))*($K4468+$L4468)/(SUMIF($A:$A,$A4468,$K:$K)+SUMIF($A:$A,$A4468,$L:$L)),0)</f>
        <v>3.7750418655964455E-15</v>
      </c>
      <c r="O4468" s="30">
        <f>IFERROR((VLOOKUP($A4468,HeadJournal!$A$1:$L$890,COLUMN(HeadJournal!L$1),0)*($K4468+$L4468)/(SUMIF($A:$A,$A4468,$K:$K)+SUMIF($A:$A,$A4468,$L:$L)))/VLOOKUP($A4468,HeadJournal!$A$1:$L$890,COLUMN(HeadJournal!H$1),0),0)</f>
        <v>0.84762504655874971</v>
      </c>
      <c r="P4468" s="30">
        <f>IFERROR(SUM(K4468:O4468)*VLOOKUP($A4468,HeadJournal!$A$1:$L$890,COLUMN(HeadJournal!H$1),0),0)</f>
        <v>1858.7956747552153</v>
      </c>
      <c r="Q4468" s="29">
        <v>3000</v>
      </c>
      <c r="R4468" s="31">
        <v>45785</v>
      </c>
      <c r="S4468" s="31" t="s">
        <v>3121</v>
      </c>
      <c r="T4468" s="95" t="str">
        <f t="shared" si="345"/>
        <v>2025 05</v>
      </c>
      <c r="U4468" s="32">
        <f t="shared" si="342"/>
        <v>1141.2043252447847</v>
      </c>
      <c r="V4468" s="22">
        <f t="shared" si="343"/>
        <v>0.61394823580868829</v>
      </c>
      <c r="X4468" s="33"/>
      <c r="Y4468" s="33"/>
    </row>
    <row r="4469" spans="1:25" x14ac:dyDescent="0.2">
      <c r="A4469" s="93" t="s">
        <v>3052</v>
      </c>
      <c r="B4469" s="94">
        <f>IFERROR(VLOOKUP($A4469,HeadJournal!$A$1:$NTR$890,COLUMN(HeadJournal!B$1),0),"")</f>
        <v>0</v>
      </c>
      <c r="C4469" s="94" t="str">
        <f>IFERROR(VLOOKUP($A4469,HeadJournal!$A$1:$NTR$890,COLUMN(HeadJournal!C$1),0),"")</f>
        <v>iHerb_VP DFD1605</v>
      </c>
      <c r="D4469" s="125" t="str">
        <f>IFERROR(VLOOKUP($A4469,HeadJournal!$A$1:$NTR$890,COLUMN(HeadJournal!D$1),0),"")</f>
        <v>Доставлен</v>
      </c>
      <c r="E4469" s="95">
        <f>IFERROR(VLOOKUP($A4469,HeadJournal!$A$1:$NTR$890,COLUMN(HeadJournal!G$1),0),"")</f>
        <v>45736</v>
      </c>
      <c r="F4469" s="95" t="str">
        <f t="shared" si="344"/>
        <v>2025 03</v>
      </c>
      <c r="G4469" s="97" t="s">
        <v>5</v>
      </c>
      <c r="H4469" s="161" t="s">
        <v>3050</v>
      </c>
      <c r="I4469" s="97" t="s">
        <v>2006</v>
      </c>
      <c r="J4469" s="97" t="s">
        <v>3051</v>
      </c>
      <c r="K4469" s="29">
        <v>15.53</v>
      </c>
      <c r="L4469" s="29">
        <v>-3.11</v>
      </c>
      <c r="M4469" s="30">
        <f>IFERROR(VLOOKUP($A4469,HeadJournal!$A$1:$J$890,COLUMN(HeadJournal!I$1),0)*($K4469+$L4469)/(SUMIF($A:$A,$A4469,$K:$K)+SUMIF($A:$A,$A4469,$L:$L)),0)</f>
        <v>-0.66286751361161533</v>
      </c>
      <c r="N4469" s="30">
        <f>IFERROR((VLOOKUP($A4469,HeadJournal!$A$1:$K$890,COLUMN(HeadJournal!K$1),0)-VLOOKUP($A4469,HeadJournal!$A$1:$K$890,COLUMN(HeadJournal!J$1),0))*($K4469+$L4469)/(SUMIF($A:$A,$A4469,$K:$K)+SUMIF($A:$A,$A4469,$L:$L)),0)</f>
        <v>2.3727742900155797E-15</v>
      </c>
      <c r="O4469" s="30">
        <f>IFERROR((VLOOKUP($A4469,HeadJournal!$A$1:$L$890,COLUMN(HeadJournal!L$1),0)*($K4469+$L4469)/(SUMIF($A:$A,$A4469,$K:$K)+SUMIF($A:$A,$A4469,$L:$L)))/VLOOKUP($A4469,HeadJournal!$A$1:$L$890,COLUMN(HeadJournal!H$1),0),0)</f>
        <v>0.5327683744058539</v>
      </c>
      <c r="P4469" s="30">
        <f>IFERROR(SUM(K4469:O4469)*VLOOKUP($A4469,HeadJournal!$A$1:$L$890,COLUMN(HeadJournal!H$1),0),0)</f>
        <v>1168.3320992135514</v>
      </c>
      <c r="Q4469" s="29">
        <v>2000</v>
      </c>
      <c r="R4469" s="31">
        <v>45892</v>
      </c>
      <c r="S4469" s="31"/>
      <c r="T4469" s="95" t="str">
        <f t="shared" si="345"/>
        <v>2025 08</v>
      </c>
      <c r="U4469" s="32">
        <f t="shared" si="342"/>
        <v>831.66790078644863</v>
      </c>
      <c r="V4469" s="22">
        <f t="shared" si="343"/>
        <v>0.71184203647770683</v>
      </c>
      <c r="X4469" s="33"/>
      <c r="Y4469" s="33"/>
    </row>
    <row r="4470" spans="1:25" x14ac:dyDescent="0.2">
      <c r="A4470" s="93" t="s">
        <v>3052</v>
      </c>
      <c r="B4470" s="94">
        <f>IFERROR(VLOOKUP($A4470,HeadJournal!$A$1:$NTR$890,COLUMN(HeadJournal!B$1),0),"")</f>
        <v>0</v>
      </c>
      <c r="C4470" s="94" t="str">
        <f>IFERROR(VLOOKUP($A4470,HeadJournal!$A$1:$NTR$890,COLUMN(HeadJournal!C$1),0),"")</f>
        <v>iHerb_VP DFD1605</v>
      </c>
      <c r="D4470" s="125" t="str">
        <f>IFERROR(VLOOKUP($A4470,HeadJournal!$A$1:$NTR$890,COLUMN(HeadJournal!D$1),0),"")</f>
        <v>Доставлен</v>
      </c>
      <c r="E4470" s="95">
        <f>IFERROR(VLOOKUP($A4470,HeadJournal!$A$1:$NTR$890,COLUMN(HeadJournal!G$1),0),"")</f>
        <v>45736</v>
      </c>
      <c r="F4470" s="95" t="str">
        <f t="shared" si="344"/>
        <v>2025 03</v>
      </c>
      <c r="G4470" s="97" t="s">
        <v>5</v>
      </c>
      <c r="H4470" s="161" t="s">
        <v>2101</v>
      </c>
      <c r="I4470" s="97" t="s">
        <v>2102</v>
      </c>
      <c r="J4470" s="97" t="s">
        <v>4015</v>
      </c>
      <c r="K4470" s="29">
        <v>49.42</v>
      </c>
      <c r="L4470" s="29">
        <v>-9.8800000000000008</v>
      </c>
      <c r="M4470" s="30">
        <f>IFERROR(VLOOKUP($A4470,HeadJournal!$A$1:$J$890,COLUMN(HeadJournal!I$1),0)*($K4470+$L4470)/(SUMIF($A:$A,$A4470,$K:$K)+SUMIF($A:$A,$A4470,$L:$L)),0)</f>
        <v>-2.1102883645896355</v>
      </c>
      <c r="N4470" s="30">
        <f>IFERROR((VLOOKUP($A4470,HeadJournal!$A$1:$K$890,COLUMN(HeadJournal!K$1),0)-VLOOKUP($A4470,HeadJournal!$A$1:$K$890,COLUMN(HeadJournal!J$1),0))*($K4470+$L4470)/(SUMIF($A:$A,$A4470,$K:$K)+SUMIF($A:$A,$A4470,$L:$L)),0)</f>
        <v>7.5539046237694069E-15</v>
      </c>
      <c r="O4470" s="30">
        <f>IFERROR((VLOOKUP($A4470,HeadJournal!$A$1:$L$890,COLUMN(HeadJournal!L$1),0)*($K4470+$L4470)/(SUMIF($A:$A,$A4470,$K:$K)+SUMIF($A:$A,$A4470,$L:$L)))/VLOOKUP($A4470,HeadJournal!$A$1:$L$890,COLUMN(HeadJournal!H$1),0),0)</f>
        <v>1.6961080132051098</v>
      </c>
      <c r="P4470" s="30">
        <f>IFERROR(SUM(K4470:O4470)*VLOOKUP($A4470,HeadJournal!$A$1:$L$890,COLUMN(HeadJournal!H$1),0),0)</f>
        <v>3719.4727216508718</v>
      </c>
      <c r="Q4470" s="29">
        <v>3719.47</v>
      </c>
      <c r="R4470" s="31">
        <v>45737</v>
      </c>
      <c r="S4470" s="31" t="s">
        <v>3121</v>
      </c>
      <c r="T4470" s="95" t="str">
        <f t="shared" si="345"/>
        <v>2025 03</v>
      </c>
      <c r="U4470" s="32">
        <f t="shared" si="342"/>
        <v>-2.7216508719902777E-3</v>
      </c>
      <c r="V4470" s="22">
        <f t="shared" si="343"/>
        <v>-7.3173029503555136E-7</v>
      </c>
      <c r="X4470" s="33"/>
      <c r="Y4470" s="33"/>
    </row>
    <row r="4471" spans="1:25" x14ac:dyDescent="0.2">
      <c r="A4471" s="93" t="s">
        <v>3059</v>
      </c>
      <c r="B4471" s="94">
        <f>IFERROR(VLOOKUP($A4471,HeadJournal!$A$1:$NTR$890,COLUMN(HeadJournal!B$1),0),"")</f>
        <v>0</v>
      </c>
      <c r="C4471" s="94" t="str">
        <f>IFERROR(VLOOKUP($A4471,HeadJournal!$A$1:$NTR$890,COLUMN(HeadJournal!C$1),0),"")</f>
        <v>iHerb_VP DFD1605</v>
      </c>
      <c r="D4471" s="125" t="str">
        <f>IFERROR(VLOOKUP($A4471,HeadJournal!$A$1:$NTR$890,COLUMN(HeadJournal!D$1),0),"")</f>
        <v>Доставлен</v>
      </c>
      <c r="E4471" s="95">
        <f>IFERROR(VLOOKUP($A4471,HeadJournal!$A$1:$NTR$890,COLUMN(HeadJournal!G$1),0),"")</f>
        <v>45742</v>
      </c>
      <c r="F4471" s="95" t="str">
        <f t="shared" si="344"/>
        <v>2025 03</v>
      </c>
      <c r="G4471" s="97" t="s">
        <v>5</v>
      </c>
      <c r="H4471" s="161" t="s">
        <v>2071</v>
      </c>
      <c r="I4471" s="97" t="s">
        <v>2005</v>
      </c>
      <c r="J4471" s="97" t="s">
        <v>2072</v>
      </c>
      <c r="K4471" s="29">
        <v>21.74</v>
      </c>
      <c r="L4471" s="29">
        <v>-4.3499999999999996</v>
      </c>
      <c r="M4471" s="30">
        <f>IFERROR(VLOOKUP($A4471,HeadJournal!$A$1:$J$890,COLUMN(HeadJournal!I$1),0)*($K4471+$L4471)/(SUMIF($A:$A,$A4471,$K:$K)+SUMIF($A:$A,$A4471,$L:$L)),0)</f>
        <v>-1.0948166753653443</v>
      </c>
      <c r="N4471" s="30">
        <f>IFERROR((VLOOKUP($A4471,HeadJournal!$A$1:$K$890,COLUMN(HeadJournal!K$1),0)-VLOOKUP($A4471,HeadJournal!$A$1:$K$890,COLUMN(HeadJournal!J$1),0))*($K4471+$L4471)/(SUMIF($A:$A,$A4471,$K:$K)+SUMIF($A:$A,$A4471,$L:$L)),0)</f>
        <v>-3.2245141374916859E-15</v>
      </c>
      <c r="O4471" s="30">
        <f>IFERROR((VLOOKUP($A4471,HeadJournal!$A$1:$L$890,COLUMN(HeadJournal!L$1),0)*($K4471+$L4471)/(SUMIF($A:$A,$A4471,$K:$K)+SUMIF($A:$A,$A4471,$L:$L)))/VLOOKUP($A4471,HeadJournal!$A$1:$L$890,COLUMN(HeadJournal!H$1),0),0)</f>
        <v>0.68357763697901874</v>
      </c>
      <c r="P4471" s="30">
        <f>IFERROR(SUM(K4471:O4471)*VLOOKUP($A4471,HeadJournal!$A$1:$L$890,COLUMN(HeadJournal!H$1),0),0)</f>
        <v>1615.6207787491298</v>
      </c>
      <c r="Q4471" s="29">
        <v>3200</v>
      </c>
      <c r="R4471" s="31">
        <v>45934</v>
      </c>
      <c r="S4471" s="31"/>
      <c r="T4471" s="95" t="str">
        <f t="shared" si="345"/>
        <v>2025 10</v>
      </c>
      <c r="U4471" s="32">
        <f t="shared" si="342"/>
        <v>1584.3792212508702</v>
      </c>
      <c r="V4471" s="22">
        <f t="shared" si="343"/>
        <v>0.98066281524155197</v>
      </c>
      <c r="X4471" s="33"/>
      <c r="Y4471" s="33"/>
    </row>
    <row r="4472" spans="1:25" x14ac:dyDescent="0.2">
      <c r="A4472" s="93" t="s">
        <v>3059</v>
      </c>
      <c r="B4472" s="94">
        <f>IFERROR(VLOOKUP($A4472,HeadJournal!$A$1:$NTR$890,COLUMN(HeadJournal!B$1),0),"")</f>
        <v>0</v>
      </c>
      <c r="C4472" s="94" t="str">
        <f>IFERROR(VLOOKUP($A4472,HeadJournal!$A$1:$NTR$890,COLUMN(HeadJournal!C$1),0),"")</f>
        <v>iHerb_VP DFD1605</v>
      </c>
      <c r="D4472" s="125" t="str">
        <f>IFERROR(VLOOKUP($A4472,HeadJournal!$A$1:$NTR$890,COLUMN(HeadJournal!D$1),0),"")</f>
        <v>Доставлен</v>
      </c>
      <c r="E4472" s="95">
        <f>IFERROR(VLOOKUP($A4472,HeadJournal!$A$1:$NTR$890,COLUMN(HeadJournal!G$1),0),"")</f>
        <v>45742</v>
      </c>
      <c r="F4472" s="95" t="str">
        <f t="shared" si="344"/>
        <v>2025 03</v>
      </c>
      <c r="G4472" s="97" t="s">
        <v>5</v>
      </c>
      <c r="H4472" s="161" t="s">
        <v>2071</v>
      </c>
      <c r="I4472" s="97" t="s">
        <v>2005</v>
      </c>
      <c r="J4472" s="97" t="s">
        <v>2072</v>
      </c>
      <c r="K4472" s="29">
        <v>21.74</v>
      </c>
      <c r="L4472" s="29">
        <v>-4.3499999999999996</v>
      </c>
      <c r="M4472" s="30">
        <f>IFERROR(VLOOKUP($A4472,HeadJournal!$A$1:$J$890,COLUMN(HeadJournal!I$1),0)*($K4472+$L4472)/(SUMIF($A:$A,$A4472,$K:$K)+SUMIF($A:$A,$A4472,$L:$L)),0)</f>
        <v>-1.0948166753653443</v>
      </c>
      <c r="N4472" s="30">
        <f>IFERROR((VLOOKUP($A4472,HeadJournal!$A$1:$K$890,COLUMN(HeadJournal!K$1),0)-VLOOKUP($A4472,HeadJournal!$A$1:$K$890,COLUMN(HeadJournal!J$1),0))*($K4472+$L4472)/(SUMIF($A:$A,$A4472,$K:$K)+SUMIF($A:$A,$A4472,$L:$L)),0)</f>
        <v>-3.2245141374916859E-15</v>
      </c>
      <c r="O4472" s="30">
        <f>IFERROR((VLOOKUP($A4472,HeadJournal!$A$1:$L$890,COLUMN(HeadJournal!L$1),0)*($K4472+$L4472)/(SUMIF($A:$A,$A4472,$K:$K)+SUMIF($A:$A,$A4472,$L:$L)))/VLOOKUP($A4472,HeadJournal!$A$1:$L$890,COLUMN(HeadJournal!H$1),0),0)</f>
        <v>0.68357763697901874</v>
      </c>
      <c r="P4472" s="30">
        <f>IFERROR(SUM(K4472:O4472)*VLOOKUP($A4472,HeadJournal!$A$1:$L$890,COLUMN(HeadJournal!H$1),0),0)</f>
        <v>1615.6207787491298</v>
      </c>
      <c r="Q4472" s="29">
        <v>3000</v>
      </c>
      <c r="R4472" s="31">
        <v>45988</v>
      </c>
      <c r="S4472" s="31"/>
      <c r="T4472" s="95" t="str">
        <f t="shared" si="345"/>
        <v>2025 11</v>
      </c>
      <c r="U4472" s="32">
        <f t="shared" si="342"/>
        <v>1384.3792212508702</v>
      </c>
      <c r="V4472" s="22">
        <f t="shared" si="343"/>
        <v>0.8568713892889549</v>
      </c>
      <c r="X4472" s="33"/>
      <c r="Y4472" s="33"/>
    </row>
    <row r="4473" spans="1:25" x14ac:dyDescent="0.2">
      <c r="A4473" s="93" t="s">
        <v>3059</v>
      </c>
      <c r="B4473" s="94">
        <f>IFERROR(VLOOKUP($A4473,HeadJournal!$A$1:$NTR$890,COLUMN(HeadJournal!B$1),0),"")</f>
        <v>0</v>
      </c>
      <c r="C4473" s="94" t="str">
        <f>IFERROR(VLOOKUP($A4473,HeadJournal!$A$1:$NTR$890,COLUMN(HeadJournal!C$1),0),"")</f>
        <v>iHerb_VP DFD1605</v>
      </c>
      <c r="D4473" s="125" t="str">
        <f>IFERROR(VLOOKUP($A4473,HeadJournal!$A$1:$NTR$890,COLUMN(HeadJournal!D$1),0),"")</f>
        <v>Доставлен</v>
      </c>
      <c r="E4473" s="95">
        <f>IFERROR(VLOOKUP($A4473,HeadJournal!$A$1:$NTR$890,COLUMN(HeadJournal!G$1),0),"")</f>
        <v>45742</v>
      </c>
      <c r="F4473" s="95" t="str">
        <f t="shared" si="344"/>
        <v>2025 03</v>
      </c>
      <c r="G4473" s="97" t="s">
        <v>5</v>
      </c>
      <c r="H4473" s="161" t="s">
        <v>2018</v>
      </c>
      <c r="I4473" s="97" t="s">
        <v>2005</v>
      </c>
      <c r="J4473" s="97" t="s">
        <v>2019</v>
      </c>
      <c r="K4473" s="29">
        <v>22.86</v>
      </c>
      <c r="L4473" s="29">
        <v>-4.57</v>
      </c>
      <c r="M4473" s="30">
        <f>IFERROR(VLOOKUP($A4473,HeadJournal!$A$1:$J$890,COLUMN(HeadJournal!I$1),0)*($K4473+$L4473)/(SUMIF($A:$A,$A4473,$K:$K)+SUMIF($A:$A,$A4473,$L:$L)),0)</f>
        <v>-1.1514776878914403</v>
      </c>
      <c r="N4473" s="30">
        <f>IFERROR((VLOOKUP($A4473,HeadJournal!$A$1:$K$890,COLUMN(HeadJournal!K$1),0)-VLOOKUP($A4473,HeadJournal!$A$1:$K$890,COLUMN(HeadJournal!J$1),0))*($K4473+$L4473)/(SUMIF($A:$A,$A4473,$K:$K)+SUMIF($A:$A,$A4473,$L:$L)),0)</f>
        <v>-3.3913952601910829E-15</v>
      </c>
      <c r="O4473" s="30">
        <f>IFERROR((VLOOKUP($A4473,HeadJournal!$A$1:$L$890,COLUMN(HeadJournal!L$1),0)*($K4473+$L4473)/(SUMIF($A:$A,$A4473,$K:$K)+SUMIF($A:$A,$A4473,$L:$L)))/VLOOKUP($A4473,HeadJournal!$A$1:$L$890,COLUMN(HeadJournal!H$1),0),0)</f>
        <v>0.71895543302738651</v>
      </c>
      <c r="P4473" s="30">
        <f>IFERROR(SUM(K4473:O4473)*VLOOKUP($A4473,HeadJournal!$A$1:$L$890,COLUMN(HeadJournal!H$1),0),0)</f>
        <v>1699.2354251478769</v>
      </c>
      <c r="Q4473" s="29">
        <v>2700</v>
      </c>
      <c r="R4473" s="31">
        <v>45884</v>
      </c>
      <c r="S4473" s="31"/>
      <c r="T4473" s="95" t="str">
        <f t="shared" si="345"/>
        <v>2025 08</v>
      </c>
      <c r="U4473" s="32">
        <f t="shared" si="342"/>
        <v>1000.7645748521231</v>
      </c>
      <c r="V4473" s="22">
        <f t="shared" si="343"/>
        <v>0.58894992420784253</v>
      </c>
      <c r="X4473" s="33"/>
      <c r="Y4473" s="33"/>
    </row>
    <row r="4474" spans="1:25" x14ac:dyDescent="0.2">
      <c r="A4474" s="93" t="s">
        <v>3059</v>
      </c>
      <c r="B4474" s="94">
        <f>IFERROR(VLOOKUP($A4474,HeadJournal!$A$1:$NTR$890,COLUMN(HeadJournal!B$1),0),"")</f>
        <v>0</v>
      </c>
      <c r="C4474" s="94" t="str">
        <f>IFERROR(VLOOKUP($A4474,HeadJournal!$A$1:$NTR$890,COLUMN(HeadJournal!C$1),0),"")</f>
        <v>iHerb_VP DFD1605</v>
      </c>
      <c r="D4474" s="125" t="str">
        <f>IFERROR(VLOOKUP($A4474,HeadJournal!$A$1:$NTR$890,COLUMN(HeadJournal!D$1),0),"")</f>
        <v>Доставлен</v>
      </c>
      <c r="E4474" s="95">
        <f>IFERROR(VLOOKUP($A4474,HeadJournal!$A$1:$NTR$890,COLUMN(HeadJournal!G$1),0),"")</f>
        <v>45742</v>
      </c>
      <c r="F4474" s="95" t="str">
        <f t="shared" si="344"/>
        <v>2025 03</v>
      </c>
      <c r="G4474" s="97" t="s">
        <v>5</v>
      </c>
      <c r="H4474" s="161" t="s">
        <v>2018</v>
      </c>
      <c r="I4474" s="97" t="s">
        <v>2005</v>
      </c>
      <c r="J4474" s="97" t="s">
        <v>2019</v>
      </c>
      <c r="K4474" s="29">
        <v>22.86</v>
      </c>
      <c r="L4474" s="29">
        <v>-4.57</v>
      </c>
      <c r="M4474" s="30">
        <f>IFERROR(VLOOKUP($A4474,HeadJournal!$A$1:$J$890,COLUMN(HeadJournal!I$1),0)*($K4474+$L4474)/(SUMIF($A:$A,$A4474,$K:$K)+SUMIF($A:$A,$A4474,$L:$L)),0)</f>
        <v>-1.1514776878914403</v>
      </c>
      <c r="N4474" s="30">
        <f>IFERROR((VLOOKUP($A4474,HeadJournal!$A$1:$K$890,COLUMN(HeadJournal!K$1),0)-VLOOKUP($A4474,HeadJournal!$A$1:$K$890,COLUMN(HeadJournal!J$1),0))*($K4474+$L4474)/(SUMIF($A:$A,$A4474,$K:$K)+SUMIF($A:$A,$A4474,$L:$L)),0)</f>
        <v>-3.3913952601910829E-15</v>
      </c>
      <c r="O4474" s="30">
        <f>IFERROR((VLOOKUP($A4474,HeadJournal!$A$1:$L$890,COLUMN(HeadJournal!L$1),0)*($K4474+$L4474)/(SUMIF($A:$A,$A4474,$K:$K)+SUMIF($A:$A,$A4474,$L:$L)))/VLOOKUP($A4474,HeadJournal!$A$1:$L$890,COLUMN(HeadJournal!H$1),0),0)</f>
        <v>0.71895543302738651</v>
      </c>
      <c r="P4474" s="30">
        <f>IFERROR(SUM(K4474:O4474)*VLOOKUP($A4474,HeadJournal!$A$1:$L$890,COLUMN(HeadJournal!H$1),0),0)</f>
        <v>1699.2354251478769</v>
      </c>
      <c r="Q4474" s="29">
        <v>2700</v>
      </c>
      <c r="R4474" s="31">
        <v>45866</v>
      </c>
      <c r="S4474" s="31"/>
      <c r="T4474" s="95" t="str">
        <f t="shared" si="345"/>
        <v>2025 07</v>
      </c>
      <c r="U4474" s="32">
        <f t="shared" si="342"/>
        <v>1000.7645748521231</v>
      </c>
      <c r="V4474" s="22">
        <f t="shared" si="343"/>
        <v>0.58894992420784253</v>
      </c>
      <c r="X4474" s="33"/>
      <c r="Y4474" s="33"/>
    </row>
    <row r="4475" spans="1:25" x14ac:dyDescent="0.2">
      <c r="A4475" s="93" t="s">
        <v>3059</v>
      </c>
      <c r="B4475" s="94">
        <f>IFERROR(VLOOKUP($A4475,HeadJournal!$A$1:$NTR$890,COLUMN(HeadJournal!B$1),0),"")</f>
        <v>0</v>
      </c>
      <c r="C4475" s="94" t="str">
        <f>IFERROR(VLOOKUP($A4475,HeadJournal!$A$1:$NTR$890,COLUMN(HeadJournal!C$1),0),"")</f>
        <v>iHerb_VP DFD1605</v>
      </c>
      <c r="D4475" s="125" t="str">
        <f>IFERROR(VLOOKUP($A4475,HeadJournal!$A$1:$NTR$890,COLUMN(HeadJournal!D$1),0),"")</f>
        <v>Доставлен</v>
      </c>
      <c r="E4475" s="95">
        <f>IFERROR(VLOOKUP($A4475,HeadJournal!$A$1:$NTR$890,COLUMN(HeadJournal!G$1),0),"")</f>
        <v>45742</v>
      </c>
      <c r="F4475" s="95" t="str">
        <f t="shared" si="344"/>
        <v>2025 03</v>
      </c>
      <c r="G4475" s="97" t="s">
        <v>5</v>
      </c>
      <c r="H4475" s="161" t="s">
        <v>2793</v>
      </c>
      <c r="I4475" s="97" t="s">
        <v>2218</v>
      </c>
      <c r="J4475" s="97" t="s">
        <v>2794</v>
      </c>
      <c r="K4475" s="29">
        <v>8.9700000000000006</v>
      </c>
      <c r="L4475" s="29">
        <v>-1.79</v>
      </c>
      <c r="M4475" s="30">
        <f>IFERROR(VLOOKUP($A4475,HeadJournal!$A$1:$J$890,COLUMN(HeadJournal!I$1),0)*($K4475+$L4475)/(SUMIF($A:$A,$A4475,$K:$K)+SUMIF($A:$A,$A4475,$L:$L)),0)</f>
        <v>-0.4520289665970772</v>
      </c>
      <c r="N4475" s="30">
        <f>IFERROR((VLOOKUP($A4475,HeadJournal!$A$1:$K$890,COLUMN(HeadJournal!K$1),0)-VLOOKUP($A4475,HeadJournal!$A$1:$K$890,COLUMN(HeadJournal!J$1),0))*($K4475+$L4475)/(SUMIF($A:$A,$A4475,$K:$K)+SUMIF($A:$A,$A4475,$L:$L)),0)</f>
        <v>-1.3313405122018577E-15</v>
      </c>
      <c r="O4475" s="30">
        <f>IFERROR((VLOOKUP($A4475,HeadJournal!$A$1:$L$890,COLUMN(HeadJournal!L$1),0)*($K4475+$L4475)/(SUMIF($A:$A,$A4475,$K:$K)+SUMIF($A:$A,$A4475,$L:$L)))/VLOOKUP($A4475,HeadJournal!$A$1:$L$890,COLUMN(HeadJournal!H$1),0),0)</f>
        <v>0.28223619514142351</v>
      </c>
      <c r="P4475" s="30">
        <f>IFERROR(SUM(K4475:O4475)*VLOOKUP($A4475,HeadJournal!$A$1:$L$890,COLUMN(HeadJournal!H$1),0),0)</f>
        <v>667.05906793667339</v>
      </c>
      <c r="Q4475" s="29">
        <v>1700</v>
      </c>
      <c r="R4475" s="31">
        <v>45890</v>
      </c>
      <c r="S4475" s="31"/>
      <c r="T4475" s="95" t="str">
        <f t="shared" si="345"/>
        <v>2025 08</v>
      </c>
      <c r="U4475" s="32">
        <f t="shared" si="342"/>
        <v>1032.9409320633267</v>
      </c>
      <c r="V4475" s="22">
        <f t="shared" si="343"/>
        <v>1.5484999480756447</v>
      </c>
      <c r="X4475" s="33"/>
      <c r="Y4475" s="33"/>
    </row>
    <row r="4476" spans="1:25" x14ac:dyDescent="0.2">
      <c r="A4476" s="93" t="s">
        <v>3059</v>
      </c>
      <c r="B4476" s="94">
        <f>IFERROR(VLOOKUP($A4476,HeadJournal!$A$1:$NTR$890,COLUMN(HeadJournal!B$1),0),"")</f>
        <v>0</v>
      </c>
      <c r="C4476" s="94" t="str">
        <f>IFERROR(VLOOKUP($A4476,HeadJournal!$A$1:$NTR$890,COLUMN(HeadJournal!C$1),0),"")</f>
        <v>iHerb_VP DFD1605</v>
      </c>
      <c r="D4476" s="125" t="str">
        <f>IFERROR(VLOOKUP($A4476,HeadJournal!$A$1:$NTR$890,COLUMN(HeadJournal!D$1),0),"")</f>
        <v>Доставлен</v>
      </c>
      <c r="E4476" s="95">
        <f>IFERROR(VLOOKUP($A4476,HeadJournal!$A$1:$NTR$890,COLUMN(HeadJournal!G$1),0),"")</f>
        <v>45742</v>
      </c>
      <c r="F4476" s="95" t="str">
        <f t="shared" si="344"/>
        <v>2025 03</v>
      </c>
      <c r="G4476" s="97" t="s">
        <v>5</v>
      </c>
      <c r="H4476" s="161" t="s">
        <v>2788</v>
      </c>
      <c r="I4476" s="97" t="s">
        <v>2218</v>
      </c>
      <c r="J4476" s="97" t="s">
        <v>2789</v>
      </c>
      <c r="K4476" s="29">
        <v>10.130000000000001</v>
      </c>
      <c r="L4476" s="29">
        <v>-2.0299999999999998</v>
      </c>
      <c r="M4476" s="30">
        <f>IFERROR(VLOOKUP($A4476,HeadJournal!$A$1:$J$890,COLUMN(HeadJournal!I$1),0)*($K4476+$L4476)/(SUMIF($A:$A,$A4476,$K:$K)+SUMIF($A:$A,$A4476,$L:$L)),0)</f>
        <v>-0.50994911273486432</v>
      </c>
      <c r="N4476" s="30">
        <f>IFERROR((VLOOKUP($A4476,HeadJournal!$A$1:$K$890,COLUMN(HeadJournal!K$1),0)-VLOOKUP($A4476,HeadJournal!$A$1:$K$890,COLUMN(HeadJournal!J$1),0))*($K4476+$L4476)/(SUMIF($A:$A,$A4476,$K:$K)+SUMIF($A:$A,$A4476,$L:$L)),0)</f>
        <v>-1.5019301042945751E-15</v>
      </c>
      <c r="O4476" s="30">
        <f>IFERROR((VLOOKUP($A4476,HeadJournal!$A$1:$L$890,COLUMN(HeadJournal!L$1),0)*($K4476+$L4476)/(SUMIF($A:$A,$A4476,$K:$K)+SUMIF($A:$A,$A4476,$L:$L)))/VLOOKUP($A4476,HeadJournal!$A$1:$L$890,COLUMN(HeadJournal!H$1),0),0)</f>
        <v>0.31840016443531066</v>
      </c>
      <c r="P4476" s="30">
        <f>IFERROR(SUM(K4476:O4476)*VLOOKUP($A4476,HeadJournal!$A$1:$L$890,COLUMN(HeadJournal!H$1),0),0)</f>
        <v>752.53181758872631</v>
      </c>
      <c r="Q4476" s="29">
        <v>1700</v>
      </c>
      <c r="R4476" s="31">
        <v>46048</v>
      </c>
      <c r="S4476" s="31" t="s">
        <v>3505</v>
      </c>
      <c r="T4476" s="95" t="str">
        <f t="shared" si="345"/>
        <v>2026 01</v>
      </c>
      <c r="U4476" s="32">
        <f t="shared" si="342"/>
        <v>947.46818241127369</v>
      </c>
      <c r="V4476" s="22">
        <f t="shared" si="343"/>
        <v>1.2590406947139663</v>
      </c>
      <c r="X4476" s="33"/>
      <c r="Y4476" s="33"/>
    </row>
    <row r="4477" spans="1:25" x14ac:dyDescent="0.2">
      <c r="A4477" s="93" t="s">
        <v>3059</v>
      </c>
      <c r="B4477" s="94">
        <f>IFERROR(VLOOKUP($A4477,HeadJournal!$A$1:$NTR$890,COLUMN(HeadJournal!B$1),0),"")</f>
        <v>0</v>
      </c>
      <c r="C4477" s="94" t="str">
        <f>IFERROR(VLOOKUP($A4477,HeadJournal!$A$1:$NTR$890,COLUMN(HeadJournal!C$1),0),"")</f>
        <v>iHerb_VP DFD1605</v>
      </c>
      <c r="D4477" s="125" t="str">
        <f>IFERROR(VLOOKUP($A4477,HeadJournal!$A$1:$NTR$890,COLUMN(HeadJournal!D$1),0),"")</f>
        <v>Доставлен</v>
      </c>
      <c r="E4477" s="95">
        <f>IFERROR(VLOOKUP($A4477,HeadJournal!$A$1:$NTR$890,COLUMN(HeadJournal!G$1),0),"")</f>
        <v>45742</v>
      </c>
      <c r="F4477" s="95" t="str">
        <f t="shared" si="344"/>
        <v>2025 03</v>
      </c>
      <c r="G4477" s="97" t="s">
        <v>5</v>
      </c>
      <c r="H4477" s="161" t="s">
        <v>2659</v>
      </c>
      <c r="I4477" s="97" t="s">
        <v>2218</v>
      </c>
      <c r="J4477" s="97" t="s">
        <v>2660</v>
      </c>
      <c r="K4477" s="29">
        <v>10.130000000000001</v>
      </c>
      <c r="L4477" s="29">
        <v>-2.0299999999999998</v>
      </c>
      <c r="M4477" s="30">
        <f>IFERROR(VLOOKUP($A4477,HeadJournal!$A$1:$J$890,COLUMN(HeadJournal!I$1),0)*($K4477+$L4477)/(SUMIF($A:$A,$A4477,$K:$K)+SUMIF($A:$A,$A4477,$L:$L)),0)</f>
        <v>-0.50994911273486432</v>
      </c>
      <c r="N4477" s="30">
        <f>IFERROR((VLOOKUP($A4477,HeadJournal!$A$1:$K$890,COLUMN(HeadJournal!K$1),0)-VLOOKUP($A4477,HeadJournal!$A$1:$K$890,COLUMN(HeadJournal!J$1),0))*($K4477+$L4477)/(SUMIF($A:$A,$A4477,$K:$K)+SUMIF($A:$A,$A4477,$L:$L)),0)</f>
        <v>-1.5019301042945751E-15</v>
      </c>
      <c r="O4477" s="30">
        <f>IFERROR((VLOOKUP($A4477,HeadJournal!$A$1:$L$890,COLUMN(HeadJournal!L$1),0)*($K4477+$L4477)/(SUMIF($A:$A,$A4477,$K:$K)+SUMIF($A:$A,$A4477,$L:$L)))/VLOOKUP($A4477,HeadJournal!$A$1:$L$890,COLUMN(HeadJournal!H$1),0),0)</f>
        <v>0.31840016443531066</v>
      </c>
      <c r="P4477" s="30">
        <f>IFERROR(SUM(K4477:O4477)*VLOOKUP($A4477,HeadJournal!$A$1:$L$890,COLUMN(HeadJournal!H$1),0),0)</f>
        <v>752.53181758872631</v>
      </c>
      <c r="Q4477" s="29">
        <v>1700</v>
      </c>
      <c r="R4477" s="31">
        <v>45775</v>
      </c>
      <c r="S4477" s="31" t="s">
        <v>3121</v>
      </c>
      <c r="T4477" s="95" t="str">
        <f t="shared" si="345"/>
        <v>2025 04</v>
      </c>
      <c r="U4477" s="32">
        <f t="shared" si="342"/>
        <v>947.46818241127369</v>
      </c>
      <c r="V4477" s="22">
        <f t="shared" si="343"/>
        <v>1.2590406947139663</v>
      </c>
      <c r="X4477" s="33"/>
      <c r="Y4477" s="33"/>
    </row>
    <row r="4478" spans="1:25" x14ac:dyDescent="0.2">
      <c r="A4478" s="93" t="s">
        <v>3059</v>
      </c>
      <c r="B4478" s="94">
        <f>IFERROR(VLOOKUP($A4478,HeadJournal!$A$1:$NTR$890,COLUMN(HeadJournal!B$1),0),"")</f>
        <v>0</v>
      </c>
      <c r="C4478" s="94" t="str">
        <f>IFERROR(VLOOKUP($A4478,HeadJournal!$A$1:$NTR$890,COLUMN(HeadJournal!C$1),0),"")</f>
        <v>iHerb_VP DFD1605</v>
      </c>
      <c r="D4478" s="125" t="str">
        <f>IFERROR(VLOOKUP($A4478,HeadJournal!$A$1:$NTR$890,COLUMN(HeadJournal!D$1),0),"")</f>
        <v>Доставлен</v>
      </c>
      <c r="E4478" s="95">
        <f>IFERROR(VLOOKUP($A4478,HeadJournal!$A$1:$NTR$890,COLUMN(HeadJournal!G$1),0),"")</f>
        <v>45742</v>
      </c>
      <c r="F4478" s="95" t="str">
        <f t="shared" si="344"/>
        <v>2025 03</v>
      </c>
      <c r="G4478" s="97" t="s">
        <v>5</v>
      </c>
      <c r="H4478" s="161" t="s">
        <v>2798</v>
      </c>
      <c r="I4478" s="97" t="s">
        <v>2009</v>
      </c>
      <c r="J4478" s="97" t="s">
        <v>2799</v>
      </c>
      <c r="K4478" s="29">
        <v>23.22</v>
      </c>
      <c r="L4478" s="29">
        <v>-4.6399999999999997</v>
      </c>
      <c r="M4478" s="30">
        <f>IFERROR(VLOOKUP($A4478,HeadJournal!$A$1:$J$890,COLUMN(HeadJournal!I$1),0)*($K4478+$L4478)/(SUMIF($A:$A,$A4478,$K:$K)+SUMIF($A:$A,$A4478,$L:$L)),0)</f>
        <v>-1.16973512526096</v>
      </c>
      <c r="N4478" s="30">
        <f>IFERROR((VLOOKUP($A4478,HeadJournal!$A$1:$K$890,COLUMN(HeadJournal!K$1),0)-VLOOKUP($A4478,HeadJournal!$A$1:$K$890,COLUMN(HeadJournal!J$1),0))*($K4478+$L4478)/(SUMIF($A:$A,$A4478,$K:$K)+SUMIF($A:$A,$A4478,$L:$L)),0)</f>
        <v>-3.4451680663942216E-15</v>
      </c>
      <c r="O4478" s="30">
        <f>IFERROR((VLOOKUP($A4478,HeadJournal!$A$1:$L$890,COLUMN(HeadJournal!L$1),0)*($K4478+$L4478)/(SUMIF($A:$A,$A4478,$K:$K)+SUMIF($A:$A,$A4478,$L:$L)))/VLOOKUP($A4478,HeadJournal!$A$1:$L$890,COLUMN(HeadJournal!H$1),0),0)</f>
        <v>0.73035494508741616</v>
      </c>
      <c r="P4478" s="30">
        <f>IFERROR(SUM(K4478:O4478)*VLOOKUP($A4478,HeadJournal!$A$1:$L$890,COLUMN(HeadJournal!H$1),0),0)</f>
        <v>1726.1779223208064</v>
      </c>
      <c r="Q4478" s="29">
        <v>2900</v>
      </c>
      <c r="R4478" s="31">
        <v>45844</v>
      </c>
      <c r="S4478" s="31"/>
      <c r="T4478" s="95" t="str">
        <f t="shared" si="345"/>
        <v>2025 07</v>
      </c>
      <c r="U4478" s="32">
        <f t="shared" si="342"/>
        <v>1173.8220776791936</v>
      </c>
      <c r="V4478" s="22">
        <f t="shared" si="343"/>
        <v>0.68001221803428979</v>
      </c>
      <c r="X4478" s="33"/>
      <c r="Y4478" s="33"/>
    </row>
    <row r="4479" spans="1:25" x14ac:dyDescent="0.2">
      <c r="A4479" s="93" t="s">
        <v>3059</v>
      </c>
      <c r="B4479" s="94">
        <f>IFERROR(VLOOKUP($A4479,HeadJournal!$A$1:$NTR$890,COLUMN(HeadJournal!B$1),0),"")</f>
        <v>0</v>
      </c>
      <c r="C4479" s="94" t="str">
        <f>IFERROR(VLOOKUP($A4479,HeadJournal!$A$1:$NTR$890,COLUMN(HeadJournal!C$1),0),"")</f>
        <v>iHerb_VP DFD1605</v>
      </c>
      <c r="D4479" s="125" t="str">
        <f>IFERROR(VLOOKUP($A4479,HeadJournal!$A$1:$NTR$890,COLUMN(HeadJournal!D$1),0),"")</f>
        <v>Доставлен</v>
      </c>
      <c r="E4479" s="95">
        <f>IFERROR(VLOOKUP($A4479,HeadJournal!$A$1:$NTR$890,COLUMN(HeadJournal!G$1),0),"")</f>
        <v>45742</v>
      </c>
      <c r="F4479" s="95" t="str">
        <f t="shared" si="344"/>
        <v>2025 03</v>
      </c>
      <c r="G4479" s="97" t="s">
        <v>5</v>
      </c>
      <c r="H4479" s="161" t="s">
        <v>3053</v>
      </c>
      <c r="I4479" s="97" t="s">
        <v>2009</v>
      </c>
      <c r="J4479" s="97" t="s">
        <v>3054</v>
      </c>
      <c r="K4479" s="29">
        <v>13.61</v>
      </c>
      <c r="L4479" s="29">
        <v>-2.72</v>
      </c>
      <c r="M4479" s="30">
        <f>IFERROR(VLOOKUP($A4479,HeadJournal!$A$1:$J$890,COLUMN(HeadJournal!I$1),0)*($K4479+$L4479)/(SUMIF($A:$A,$A4479,$K:$K)+SUMIF($A:$A,$A4479,$L:$L)),0)</f>
        <v>-0.68559825156576182</v>
      </c>
      <c r="N4479" s="30">
        <f>IFERROR((VLOOKUP($A4479,HeadJournal!$A$1:$K$890,COLUMN(HeadJournal!K$1),0)-VLOOKUP($A4479,HeadJournal!$A$1:$K$890,COLUMN(HeadJournal!J$1),0))*($K4479+$L4479)/(SUMIF($A:$A,$A4479,$K:$K)+SUMIF($A:$A,$A4479,$L:$L)),0)</f>
        <v>-2.0192615846627057E-15</v>
      </c>
      <c r="O4479" s="30">
        <f>IFERROR((VLOOKUP($A4479,HeadJournal!$A$1:$L$890,COLUMN(HeadJournal!L$1),0)*($K4479+$L4479)/(SUMIF($A:$A,$A4479,$K:$K)+SUMIF($A:$A,$A4479,$L:$L)))/VLOOKUP($A4479,HeadJournal!$A$1:$L$890,COLUMN(HeadJournal!H$1),0),0)</f>
        <v>0.4280713321852509</v>
      </c>
      <c r="P4479" s="30">
        <f>IFERROR(SUM(K4479:O4479)*VLOOKUP($A4479,HeadJournal!$A$1:$L$890,COLUMN(HeadJournal!H$1),0),0)</f>
        <v>1011.7372214248429</v>
      </c>
      <c r="Q4479" s="29">
        <v>2000</v>
      </c>
      <c r="R4479" s="31">
        <v>45925</v>
      </c>
      <c r="S4479" s="31"/>
      <c r="T4479" s="95" t="str">
        <f t="shared" si="345"/>
        <v>2025 09</v>
      </c>
      <c r="U4479" s="32">
        <f t="shared" si="342"/>
        <v>988.26277857515709</v>
      </c>
      <c r="V4479" s="22">
        <f t="shared" si="343"/>
        <v>0.97679788550565882</v>
      </c>
      <c r="X4479" s="33"/>
      <c r="Y4479" s="33"/>
    </row>
    <row r="4480" spans="1:25" x14ac:dyDescent="0.2">
      <c r="A4480" s="93" t="s">
        <v>3059</v>
      </c>
      <c r="B4480" s="94">
        <f>IFERROR(VLOOKUP($A4480,HeadJournal!$A$1:$NTR$890,COLUMN(HeadJournal!B$1),0),"")</f>
        <v>0</v>
      </c>
      <c r="C4480" s="94" t="str">
        <f>IFERROR(VLOOKUP($A4480,HeadJournal!$A$1:$NTR$890,COLUMN(HeadJournal!C$1),0),"")</f>
        <v>iHerb_VP DFD1605</v>
      </c>
      <c r="D4480" s="125" t="str">
        <f>IFERROR(VLOOKUP($A4480,HeadJournal!$A$1:$NTR$890,COLUMN(HeadJournal!D$1),0),"")</f>
        <v>Доставлен</v>
      </c>
      <c r="E4480" s="95">
        <f>IFERROR(VLOOKUP($A4480,HeadJournal!$A$1:$NTR$890,COLUMN(HeadJournal!G$1),0),"")</f>
        <v>45742</v>
      </c>
      <c r="F4480" s="95" t="str">
        <f t="shared" si="344"/>
        <v>2025 03</v>
      </c>
      <c r="G4480" s="97" t="s">
        <v>5</v>
      </c>
      <c r="H4480" s="161" t="s">
        <v>3055</v>
      </c>
      <c r="I4480" s="97" t="s">
        <v>2491</v>
      </c>
      <c r="J4480" s="97" t="s">
        <v>3056</v>
      </c>
      <c r="K4480" s="29">
        <v>19.27</v>
      </c>
      <c r="L4480" s="29">
        <v>-9.64</v>
      </c>
      <c r="M4480" s="30">
        <f>IFERROR(VLOOKUP($A4480,HeadJournal!$A$1:$J$890,COLUMN(HeadJournal!I$1),0)*($K4480+$L4480)/(SUMIF($A:$A,$A4480,$K:$K)+SUMIF($A:$A,$A4480,$L:$L)),0)</f>
        <v>-0.60627283402922738</v>
      </c>
      <c r="N4480" s="30">
        <f>IFERROR((VLOOKUP($A4480,HeadJournal!$A$1:$K$890,COLUMN(HeadJournal!K$1),0)-VLOOKUP($A4480,HeadJournal!$A$1:$K$890,COLUMN(HeadJournal!J$1),0))*($K4480+$L4480)/(SUMIF($A:$A,$A4480,$K:$K)+SUMIF($A:$A,$A4480,$L:$L)),0)</f>
        <v>-1.7856280128835498E-15</v>
      </c>
      <c r="O4480" s="30">
        <f>IFERROR((VLOOKUP($A4480,HeadJournal!$A$1:$L$890,COLUMN(HeadJournal!L$1),0)*($K4480+$L4480)/(SUMIF($A:$A,$A4480,$K:$K)+SUMIF($A:$A,$A4480,$L:$L)))/VLOOKUP($A4480,HeadJournal!$A$1:$L$890,COLUMN(HeadJournal!H$1),0),0)</f>
        <v>0.37854241771753599</v>
      </c>
      <c r="P4480" s="30">
        <f>IFERROR(SUM(K4480:O4480)*VLOOKUP($A4480,HeadJournal!$A$1:$L$890,COLUMN(HeadJournal!H$1),0),0)</f>
        <v>894.67671646659676</v>
      </c>
      <c r="Q4480" s="29">
        <v>2300</v>
      </c>
      <c r="R4480" s="31">
        <v>45884</v>
      </c>
      <c r="S4480" s="31"/>
      <c r="T4480" s="95" t="str">
        <f t="shared" si="345"/>
        <v>2025 08</v>
      </c>
      <c r="U4480" s="32">
        <f t="shared" si="342"/>
        <v>1405.3232835334034</v>
      </c>
      <c r="V4480" s="22">
        <f t="shared" si="343"/>
        <v>1.5707609884870317</v>
      </c>
      <c r="X4480" s="33"/>
      <c r="Y4480" s="33"/>
    </row>
    <row r="4481" spans="1:25" x14ac:dyDescent="0.2">
      <c r="A4481" s="93" t="s">
        <v>3059</v>
      </c>
      <c r="B4481" s="94">
        <f>IFERROR(VLOOKUP($A4481,HeadJournal!$A$1:$NTR$890,COLUMN(HeadJournal!B$1),0),"")</f>
        <v>0</v>
      </c>
      <c r="C4481" s="94" t="str">
        <f>IFERROR(VLOOKUP($A4481,HeadJournal!$A$1:$NTR$890,COLUMN(HeadJournal!C$1),0),"")</f>
        <v>iHerb_VP DFD1605</v>
      </c>
      <c r="D4481" s="125" t="str">
        <f>IFERROR(VLOOKUP($A4481,HeadJournal!$A$1:$NTR$890,COLUMN(HeadJournal!D$1),0),"")</f>
        <v>Доставлен</v>
      </c>
      <c r="E4481" s="95">
        <f>IFERROR(VLOOKUP($A4481,HeadJournal!$A$1:$NTR$890,COLUMN(HeadJournal!G$1),0),"")</f>
        <v>45742</v>
      </c>
      <c r="F4481" s="95" t="str">
        <f t="shared" si="344"/>
        <v>2025 03</v>
      </c>
      <c r="G4481" s="97" t="s">
        <v>5</v>
      </c>
      <c r="H4481" s="161" t="s">
        <v>3057</v>
      </c>
      <c r="I4481" s="97" t="s">
        <v>2006</v>
      </c>
      <c r="J4481" s="97" t="s">
        <v>3058</v>
      </c>
      <c r="K4481" s="29">
        <v>24.3</v>
      </c>
      <c r="L4481" s="29">
        <v>-4.8600000000000003</v>
      </c>
      <c r="M4481" s="30">
        <f>IFERROR(VLOOKUP($A4481,HeadJournal!$A$1:$J$890,COLUMN(HeadJournal!I$1),0)*($K4481+$L4481)/(SUMIF($A:$A,$A4481,$K:$K)+SUMIF($A:$A,$A4481,$L:$L)),0)</f>
        <v>-1.2238778705636744</v>
      </c>
      <c r="N4481" s="30">
        <f>IFERROR((VLOOKUP($A4481,HeadJournal!$A$1:$K$890,COLUMN(HeadJournal!K$1),0)-VLOOKUP($A4481,HeadJournal!$A$1:$K$890,COLUMN(HeadJournal!J$1),0))*($K4481+$L4481)/(SUMIF($A:$A,$A4481,$K:$K)+SUMIF($A:$A,$A4481,$L:$L)),0)</f>
        <v>-3.6046322503069797E-15</v>
      </c>
      <c r="O4481" s="30">
        <f>IFERROR((VLOOKUP($A4481,HeadJournal!$A$1:$L$890,COLUMN(HeadJournal!L$1),0)*($K4481+$L4481)/(SUMIF($A:$A,$A4481,$K:$K)+SUMIF($A:$A,$A4481,$L:$L)))/VLOOKUP($A4481,HeadJournal!$A$1:$L$890,COLUMN(HeadJournal!H$1),0),0)</f>
        <v>0.76416039464474572</v>
      </c>
      <c r="P4481" s="30">
        <f>IFERROR(SUM(K4481:O4481)*VLOOKUP($A4481,HeadJournal!$A$1:$L$890,COLUMN(HeadJournal!H$1),0),0)</f>
        <v>1806.0763622129432</v>
      </c>
      <c r="Q4481" s="29">
        <v>2700</v>
      </c>
      <c r="R4481" s="31">
        <v>45989</v>
      </c>
      <c r="S4481" s="31" t="s">
        <v>3231</v>
      </c>
      <c r="T4481" s="95" t="str">
        <f t="shared" si="345"/>
        <v>2025 11</v>
      </c>
      <c r="U4481" s="32">
        <f t="shared" si="342"/>
        <v>893.9236377870568</v>
      </c>
      <c r="V4481" s="22">
        <f t="shared" si="343"/>
        <v>0.49495340091365408</v>
      </c>
      <c r="X4481" s="33"/>
      <c r="Y4481" s="33"/>
    </row>
    <row r="4482" spans="1:25" x14ac:dyDescent="0.2">
      <c r="A4482" s="93" t="s">
        <v>3071</v>
      </c>
      <c r="B4482" s="94" t="str">
        <f>IFERROR(VLOOKUP($A4482,HeadJournal!$A$1:$NTR$890,COLUMN(HeadJournal!B$1),0),"")</f>
        <v>722500424884</v>
      </c>
      <c r="C4482" s="94" t="str">
        <f>IFERROR(VLOOKUP($A4482,HeadJournal!$A$1:$NTR$890,COLUMN(HeadJournal!C$1),0),"")</f>
        <v>iHerb_OA CZN6870</v>
      </c>
      <c r="D4482" s="125" t="str">
        <f>IFERROR(VLOOKUP($A4482,HeadJournal!$A$1:$NTR$890,COLUMN(HeadJournal!D$1),0),"")</f>
        <v>Доставлен</v>
      </c>
      <c r="E4482" s="95">
        <f>IFERROR(VLOOKUP($A4482,HeadJournal!$A$1:$NTR$890,COLUMN(HeadJournal!G$1),0),"")</f>
        <v>45751</v>
      </c>
      <c r="F4482" s="95" t="str">
        <f t="shared" si="344"/>
        <v>2025 04</v>
      </c>
      <c r="G4482" s="97" t="s">
        <v>5</v>
      </c>
      <c r="H4482" s="161" t="s">
        <v>3061</v>
      </c>
      <c r="I4482" s="97" t="s">
        <v>2993</v>
      </c>
      <c r="J4482" s="97" t="s">
        <v>3062</v>
      </c>
      <c r="K4482" s="29">
        <v>38</v>
      </c>
      <c r="L4482" s="29">
        <v>-5.7</v>
      </c>
      <c r="M4482" s="30">
        <f>IFERROR(VLOOKUP($A4482,HeadJournal!$A$1:$J$890,COLUMN(HeadJournal!I$1),0)*($K4482+$L4482)/(SUMIF($A:$A,$A4482,$K:$K)+SUMIF($A:$A,$A4482,$L:$L)),0)</f>
        <v>-1.649787859007833</v>
      </c>
      <c r="N4482" s="30">
        <f>IFERROR((VLOOKUP($A4482,HeadJournal!$A$1:$K$890,COLUMN(HeadJournal!K$1),0)-VLOOKUP($A4482,HeadJournal!$A$1:$K$890,COLUMN(HeadJournal!J$1),0))*($K4482+$L4482)/(SUMIF($A:$A,$A4482,$K:$K)+SUMIF($A:$A,$A4482,$L:$L)),0)</f>
        <v>4.9935879819519664E-15</v>
      </c>
      <c r="O4482" s="30">
        <f>IFERROR((VLOOKUP($A4482,HeadJournal!$A$1:$L$890,COLUMN(HeadJournal!L$1),0)*($K4482+$L4482)/(SUMIF($A:$A,$A4482,$K:$K)+SUMIF($A:$A,$A4482,$L:$L)))/VLOOKUP($A4482,HeadJournal!$A$1:$L$890,COLUMN(HeadJournal!H$1),0),0)</f>
        <v>1.3418637213780154</v>
      </c>
      <c r="P4482" s="30">
        <f>IFERROR(SUM(K4482:O4482)*VLOOKUP($A4482,HeadJournal!$A$1:$L$890,COLUMN(HeadJournal!H$1),0),0)</f>
        <v>3188.7746301131428</v>
      </c>
      <c r="Q4482" s="29">
        <v>4100</v>
      </c>
      <c r="R4482" s="31">
        <v>45783</v>
      </c>
      <c r="S4482" s="31" t="s">
        <v>3475</v>
      </c>
      <c r="T4482" s="95" t="str">
        <f t="shared" si="345"/>
        <v>2025 05</v>
      </c>
      <c r="U4482" s="32">
        <f t="shared" si="342"/>
        <v>911.22536988685715</v>
      </c>
      <c r="V4482" s="22">
        <f t="shared" si="343"/>
        <v>0.28576035486538143</v>
      </c>
      <c r="X4482" s="33"/>
      <c r="Y4482" s="33"/>
    </row>
    <row r="4483" spans="1:25" x14ac:dyDescent="0.2">
      <c r="A4483" s="93" t="s">
        <v>3071</v>
      </c>
      <c r="B4483" s="94" t="str">
        <f>IFERROR(VLOOKUP($A4483,HeadJournal!$A$1:$NTR$890,COLUMN(HeadJournal!B$1),0),"")</f>
        <v>722500424884</v>
      </c>
      <c r="C4483" s="94" t="str">
        <f>IFERROR(VLOOKUP($A4483,HeadJournal!$A$1:$NTR$890,COLUMN(HeadJournal!C$1),0),"")</f>
        <v>iHerb_OA CZN6870</v>
      </c>
      <c r="D4483" s="125" t="str">
        <f>IFERROR(VLOOKUP($A4483,HeadJournal!$A$1:$NTR$890,COLUMN(HeadJournal!D$1),0),"")</f>
        <v>Доставлен</v>
      </c>
      <c r="E4483" s="95">
        <f>IFERROR(VLOOKUP($A4483,HeadJournal!$A$1:$NTR$890,COLUMN(HeadJournal!G$1),0),"")</f>
        <v>45751</v>
      </c>
      <c r="F4483" s="95" t="str">
        <f t="shared" si="344"/>
        <v>2025 04</v>
      </c>
      <c r="G4483" s="97" t="s">
        <v>5</v>
      </c>
      <c r="H4483" s="161" t="s">
        <v>3063</v>
      </c>
      <c r="I4483" s="97" t="s">
        <v>2993</v>
      </c>
      <c r="J4483" s="97" t="s">
        <v>3064</v>
      </c>
      <c r="K4483" s="29">
        <v>21</v>
      </c>
      <c r="L4483" s="29">
        <v>-3.15</v>
      </c>
      <c r="M4483" s="30">
        <f>IFERROR(VLOOKUP($A4483,HeadJournal!$A$1:$J$890,COLUMN(HeadJournal!I$1),0)*($K4483+$L4483)/(SUMIF($A:$A,$A4483,$K:$K)+SUMIF($A:$A,$A4483,$L:$L)),0)</f>
        <v>-0.9117248694516974</v>
      </c>
      <c r="N4483" s="30">
        <f>IFERROR((VLOOKUP($A4483,HeadJournal!$A$1:$K$890,COLUMN(HeadJournal!K$1),0)-VLOOKUP($A4483,HeadJournal!$A$1:$K$890,COLUMN(HeadJournal!J$1),0))*($K4483+$L4483)/(SUMIF($A:$A,$A4483,$K:$K)+SUMIF($A:$A,$A4483,$L:$L)),0)</f>
        <v>2.7596144110787187E-15</v>
      </c>
      <c r="O4483" s="30">
        <f>IFERROR((VLOOKUP($A4483,HeadJournal!$A$1:$L$890,COLUMN(HeadJournal!L$1),0)*($K4483+$L4483)/(SUMIF($A:$A,$A4483,$K:$K)+SUMIF($A:$A,$A4483,$L:$L)))/VLOOKUP($A4483,HeadJournal!$A$1:$L$890,COLUMN(HeadJournal!H$1),0),0)</f>
        <v>0.74155626707732436</v>
      </c>
      <c r="P4483" s="30">
        <f>IFERROR(SUM(K4483:O4483)*VLOOKUP($A4483,HeadJournal!$A$1:$L$890,COLUMN(HeadJournal!H$1),0),0)</f>
        <v>1762.2175587467375</v>
      </c>
      <c r="Q4483" s="29">
        <v>2500</v>
      </c>
      <c r="R4483" s="31">
        <v>45783</v>
      </c>
      <c r="S4483" s="31" t="s">
        <v>3475</v>
      </c>
      <c r="T4483" s="95" t="str">
        <f t="shared" si="345"/>
        <v>2025 05</v>
      </c>
      <c r="U4483" s="32">
        <f t="shared" ref="U4483:U4546" si="346">Q4483-P4483</f>
        <v>737.7824412532625</v>
      </c>
      <c r="V4483" s="22">
        <f t="shared" ref="V4483:V4546" si="347">IF(Q4483&lt;&gt;0,IFERROR(U4483/P4483,""),"")</f>
        <v>0.41866705821383499</v>
      </c>
      <c r="X4483" s="33"/>
      <c r="Y4483" s="33"/>
    </row>
    <row r="4484" spans="1:25" x14ac:dyDescent="0.2">
      <c r="A4484" s="93" t="s">
        <v>3071</v>
      </c>
      <c r="B4484" s="94" t="str">
        <f>IFERROR(VLOOKUP($A4484,HeadJournal!$A$1:$NTR$890,COLUMN(HeadJournal!B$1),0),"")</f>
        <v>722500424884</v>
      </c>
      <c r="C4484" s="94" t="str">
        <f>IFERROR(VLOOKUP($A4484,HeadJournal!$A$1:$NTR$890,COLUMN(HeadJournal!C$1),0),"")</f>
        <v>iHerb_OA CZN6870</v>
      </c>
      <c r="D4484" s="125" t="str">
        <f>IFERROR(VLOOKUP($A4484,HeadJournal!$A$1:$NTR$890,COLUMN(HeadJournal!D$1),0),"")</f>
        <v>Доставлен</v>
      </c>
      <c r="E4484" s="95">
        <f>IFERROR(VLOOKUP($A4484,HeadJournal!$A$1:$NTR$890,COLUMN(HeadJournal!G$1),0),"")</f>
        <v>45751</v>
      </c>
      <c r="F4484" s="95" t="str">
        <f t="shared" ref="F4484:F4547" si="348">IFERROR(TEXT(E4484, "ГГГГ ММ"),"")</f>
        <v>2025 04</v>
      </c>
      <c r="G4484" s="97" t="s">
        <v>5</v>
      </c>
      <c r="H4484" s="161" t="s">
        <v>3065</v>
      </c>
      <c r="I4484" s="97" t="s">
        <v>2993</v>
      </c>
      <c r="J4484" s="97" t="s">
        <v>3066</v>
      </c>
      <c r="K4484" s="29">
        <v>45</v>
      </c>
      <c r="L4484" s="29">
        <v>-6.75</v>
      </c>
      <c r="M4484" s="30">
        <f>IFERROR(VLOOKUP($A4484,HeadJournal!$A$1:$J$890,COLUMN(HeadJournal!I$1),0)*($K4484+$L4484)/(SUMIF($A:$A,$A4484,$K:$K)+SUMIF($A:$A,$A4484,$L:$L)),0)</f>
        <v>-1.9536961488250657</v>
      </c>
      <c r="N4484" s="30">
        <f>IFERROR((VLOOKUP($A4484,HeadJournal!$A$1:$K$890,COLUMN(HeadJournal!K$1),0)-VLOOKUP($A4484,HeadJournal!$A$1:$K$890,COLUMN(HeadJournal!J$1),0))*($K4484+$L4484)/(SUMIF($A:$A,$A4484,$K:$K)+SUMIF($A:$A,$A4484,$L:$L)),0)</f>
        <v>5.9134594523115397E-15</v>
      </c>
      <c r="O4484" s="30">
        <f>IFERROR((VLOOKUP($A4484,HeadJournal!$A$1:$L$890,COLUMN(HeadJournal!L$1),0)*($K4484+$L4484)/(SUMIF($A:$A,$A4484,$K:$K)+SUMIF($A:$A,$A4484,$L:$L)))/VLOOKUP($A4484,HeadJournal!$A$1:$L$890,COLUMN(HeadJournal!H$1),0),0)</f>
        <v>1.5890491437371235</v>
      </c>
      <c r="P4484" s="30">
        <f>IFERROR(SUM(K4484:O4484)*VLOOKUP($A4484,HeadJournal!$A$1:$L$890,COLUMN(HeadJournal!H$1),0),0)</f>
        <v>3776.1804830287219</v>
      </c>
      <c r="Q4484" s="29">
        <v>4750</v>
      </c>
      <c r="R4484" s="31">
        <v>45783</v>
      </c>
      <c r="S4484" s="31" t="s">
        <v>3475</v>
      </c>
      <c r="T4484" s="95" t="str">
        <f t="shared" ref="T4484:T4547" si="349">IF(R4484="","",TEXT(R4484,"ГГГГ ММ"))</f>
        <v>2025 05</v>
      </c>
      <c r="U4484" s="32">
        <f t="shared" si="346"/>
        <v>973.81951697127806</v>
      </c>
      <c r="V4484" s="22">
        <f t="shared" si="347"/>
        <v>0.25788479161626743</v>
      </c>
      <c r="X4484" s="33"/>
      <c r="Y4484" s="33"/>
    </row>
    <row r="4485" spans="1:25" x14ac:dyDescent="0.2">
      <c r="A4485" s="93" t="s">
        <v>3071</v>
      </c>
      <c r="B4485" s="94" t="str">
        <f>IFERROR(VLOOKUP($A4485,HeadJournal!$A$1:$NTR$890,COLUMN(HeadJournal!B$1),0),"")</f>
        <v>722500424884</v>
      </c>
      <c r="C4485" s="94" t="str">
        <f>IFERROR(VLOOKUP($A4485,HeadJournal!$A$1:$NTR$890,COLUMN(HeadJournal!C$1),0),"")</f>
        <v>iHerb_OA CZN6870</v>
      </c>
      <c r="D4485" s="125" t="str">
        <f>IFERROR(VLOOKUP($A4485,HeadJournal!$A$1:$NTR$890,COLUMN(HeadJournal!D$1),0),"")</f>
        <v>Доставлен</v>
      </c>
      <c r="E4485" s="95">
        <f>IFERROR(VLOOKUP($A4485,HeadJournal!$A$1:$NTR$890,COLUMN(HeadJournal!G$1),0),"")</f>
        <v>45751</v>
      </c>
      <c r="F4485" s="95" t="str">
        <f t="shared" si="348"/>
        <v>2025 04</v>
      </c>
      <c r="G4485" s="97" t="s">
        <v>5</v>
      </c>
      <c r="H4485" s="161" t="s">
        <v>3067</v>
      </c>
      <c r="I4485" s="97" t="s">
        <v>2460</v>
      </c>
      <c r="J4485" s="97" t="s">
        <v>3068</v>
      </c>
      <c r="K4485" s="29">
        <v>34.39</v>
      </c>
      <c r="L4485" s="29">
        <v>-5.16</v>
      </c>
      <c r="M4485" s="30">
        <f>IFERROR(VLOOKUP($A4485,HeadJournal!$A$1:$J$890,COLUMN(HeadJournal!I$1),0)*($K4485+$L4485)/(SUMIF($A:$A,$A4485,$K:$K)+SUMIF($A:$A,$A4485,$L:$L)),0)</f>
        <v>-1.4929813968668413</v>
      </c>
      <c r="N4485" s="30">
        <f>IFERROR((VLOOKUP($A4485,HeadJournal!$A$1:$K$890,COLUMN(HeadJournal!K$1),0)-VLOOKUP($A4485,HeadJournal!$A$1:$K$890,COLUMN(HeadJournal!J$1),0))*($K4485+$L4485)/(SUMIF($A:$A,$A4485,$K:$K)+SUMIF($A:$A,$A4485,$L:$L)),0)</f>
        <v>4.5189652232958508E-15</v>
      </c>
      <c r="O4485" s="30">
        <f>IFERROR((VLOOKUP($A4485,HeadJournal!$A$1:$L$890,COLUMN(HeadJournal!L$1),0)*($K4485+$L4485)/(SUMIF($A:$A,$A4485,$K:$K)+SUMIF($A:$A,$A4485,$L:$L)))/VLOOKUP($A4485,HeadJournal!$A$1:$L$890,COLUMN(HeadJournal!H$1),0),0)</f>
        <v>1.2143243521944085</v>
      </c>
      <c r="P4485" s="30">
        <f>IFERROR(SUM(K4485:O4485)*VLOOKUP($A4485,HeadJournal!$A$1:$L$890,COLUMN(HeadJournal!H$1),0),0)</f>
        <v>2885.6929547432565</v>
      </c>
      <c r="Q4485" s="29">
        <v>3750</v>
      </c>
      <c r="R4485" s="31">
        <v>45783</v>
      </c>
      <c r="S4485" s="31" t="s">
        <v>3475</v>
      </c>
      <c r="T4485" s="95" t="str">
        <f t="shared" si="349"/>
        <v>2025 05</v>
      </c>
      <c r="U4485" s="32">
        <f t="shared" si="346"/>
        <v>864.30704525674355</v>
      </c>
      <c r="V4485" s="22">
        <f t="shared" si="347"/>
        <v>0.2995145564035388</v>
      </c>
      <c r="X4485" s="33"/>
      <c r="Y4485" s="33"/>
    </row>
    <row r="4486" spans="1:25" x14ac:dyDescent="0.2">
      <c r="A4486" s="93" t="s">
        <v>3071</v>
      </c>
      <c r="B4486" s="94" t="str">
        <f>IFERROR(VLOOKUP($A4486,HeadJournal!$A$1:$NTR$890,COLUMN(HeadJournal!B$1),0),"")</f>
        <v>722500424884</v>
      </c>
      <c r="C4486" s="94" t="str">
        <f>IFERROR(VLOOKUP($A4486,HeadJournal!$A$1:$NTR$890,COLUMN(HeadJournal!C$1),0),"")</f>
        <v>iHerb_OA CZN6870</v>
      </c>
      <c r="D4486" s="125" t="str">
        <f>IFERROR(VLOOKUP($A4486,HeadJournal!$A$1:$NTR$890,COLUMN(HeadJournal!D$1),0),"")</f>
        <v>Доставлен</v>
      </c>
      <c r="E4486" s="95">
        <f>IFERROR(VLOOKUP($A4486,HeadJournal!$A$1:$NTR$890,COLUMN(HeadJournal!G$1),0),"")</f>
        <v>45751</v>
      </c>
      <c r="F4486" s="95" t="str">
        <f t="shared" si="348"/>
        <v>2025 04</v>
      </c>
      <c r="G4486" s="97" t="s">
        <v>6</v>
      </c>
      <c r="H4486" s="161" t="s">
        <v>3069</v>
      </c>
      <c r="I4486" s="97" t="s">
        <v>2993</v>
      </c>
      <c r="J4486" s="97" t="s">
        <v>3070</v>
      </c>
      <c r="K4486" s="29">
        <v>65</v>
      </c>
      <c r="L4486" s="29">
        <v>-9.75</v>
      </c>
      <c r="M4486" s="30">
        <f>IFERROR(VLOOKUP($A4486,HeadJournal!$A$1:$J$890,COLUMN(HeadJournal!I$1),0)*($K4486+$L4486)/(SUMIF($A:$A,$A4486,$K:$K)+SUMIF($A:$A,$A4486,$L:$L)),0)</f>
        <v>-2.8220055483028723</v>
      </c>
      <c r="N4486" s="30">
        <f>IFERROR((VLOOKUP($A4486,HeadJournal!$A$1:$K$890,COLUMN(HeadJournal!K$1),0)-VLOOKUP($A4486,HeadJournal!$A$1:$K$890,COLUMN(HeadJournal!J$1),0))*($K4486+$L4486)/(SUMIF($A:$A,$A4486,$K:$K)+SUMIF($A:$A,$A4486,$L:$L)),0)</f>
        <v>8.541663653338891E-15</v>
      </c>
      <c r="O4486" s="30">
        <f>IFERROR((VLOOKUP($A4486,HeadJournal!$A$1:$L$890,COLUMN(HeadJournal!L$1),0)*($K4486+$L4486)/(SUMIF($A:$A,$A4486,$K:$K)+SUMIF($A:$A,$A4486,$L:$L)))/VLOOKUP($A4486,HeadJournal!$A$1:$L$890,COLUMN(HeadJournal!H$1),0),0)</f>
        <v>2.2952932076202894</v>
      </c>
      <c r="P4486" s="30">
        <f>IFERROR(SUM(K4486:O4486)*VLOOKUP($A4486,HeadJournal!$A$1:$L$890,COLUMN(HeadJournal!H$1),0),0)</f>
        <v>5454.4829199303767</v>
      </c>
      <c r="Q4486" s="29">
        <v>6650</v>
      </c>
      <c r="R4486" s="31">
        <v>45783</v>
      </c>
      <c r="S4486" s="31" t="s">
        <v>3475</v>
      </c>
      <c r="T4486" s="95" t="str">
        <f t="shared" si="349"/>
        <v>2025 05</v>
      </c>
      <c r="U4486" s="32">
        <f t="shared" si="346"/>
        <v>1195.5170800696233</v>
      </c>
      <c r="V4486" s="22">
        <f t="shared" si="347"/>
        <v>0.2191806441819206</v>
      </c>
      <c r="X4486" s="33"/>
      <c r="Y4486" s="33"/>
    </row>
    <row r="4487" spans="1:25" x14ac:dyDescent="0.2">
      <c r="A4487" s="93" t="s">
        <v>3071</v>
      </c>
      <c r="B4487" s="94" t="str">
        <f>IFERROR(VLOOKUP($A4487,HeadJournal!$A$1:$NTR$890,COLUMN(HeadJournal!B$1),0),"")</f>
        <v>722500424884</v>
      </c>
      <c r="C4487" s="94" t="str">
        <f>IFERROR(VLOOKUP($A4487,HeadJournal!$A$1:$NTR$890,COLUMN(HeadJournal!C$1),0),"")</f>
        <v>iHerb_OA CZN6870</v>
      </c>
      <c r="D4487" s="125" t="str">
        <f>IFERROR(VLOOKUP($A4487,HeadJournal!$A$1:$NTR$890,COLUMN(HeadJournal!D$1),0),"")</f>
        <v>Доставлен</v>
      </c>
      <c r="E4487" s="95">
        <f>IFERROR(VLOOKUP($A4487,HeadJournal!$A$1:$NTR$890,COLUMN(HeadJournal!G$1),0),"")</f>
        <v>45751</v>
      </c>
      <c r="F4487" s="95" t="str">
        <f t="shared" si="348"/>
        <v>2025 04</v>
      </c>
      <c r="G4487" s="97" t="s">
        <v>5</v>
      </c>
      <c r="H4487" s="161" t="s">
        <v>2702</v>
      </c>
      <c r="I4487" s="97" t="s">
        <v>2703</v>
      </c>
      <c r="J4487" s="97" t="s">
        <v>2704</v>
      </c>
      <c r="K4487" s="29">
        <v>6.45</v>
      </c>
      <c r="L4487" s="29">
        <v>-0.97</v>
      </c>
      <c r="M4487" s="30">
        <f>IFERROR(VLOOKUP($A4487,HeadJournal!$A$1:$J$890,COLUMN(HeadJournal!I$1),0)*($K4487+$L4487)/(SUMIF($A:$A,$A4487,$K:$K)+SUMIF($A:$A,$A4487,$L:$L)),0)</f>
        <v>-0.27990208877284606</v>
      </c>
      <c r="N4487" s="30">
        <f>IFERROR((VLOOKUP($A4487,HeadJournal!$A$1:$K$890,COLUMN(HeadJournal!K$1),0)-VLOOKUP($A4487,HeadJournal!$A$1:$K$890,COLUMN(HeadJournal!J$1),0))*($K4487+$L4487)/(SUMIF($A:$A,$A4487,$K:$K)+SUMIF($A:$A,$A4487,$L:$L)),0)</f>
        <v>8.4720935421352257E-16</v>
      </c>
      <c r="O4487" s="30">
        <f>IFERROR((VLOOKUP($A4487,HeadJournal!$A$1:$L$890,COLUMN(HeadJournal!L$1),0)*($K4487+$L4487)/(SUMIF($A:$A,$A4487,$K:$K)+SUMIF($A:$A,$A4487,$L:$L)))/VLOOKUP($A4487,HeadJournal!$A$1:$L$890,COLUMN(HeadJournal!H$1),0),0)</f>
        <v>0.22765985118116178</v>
      </c>
      <c r="P4487" s="30">
        <f>IFERROR(SUM(K4487:O4487)*VLOOKUP($A4487,HeadJournal!$A$1:$L$890,COLUMN(HeadJournal!H$1),0),0)</f>
        <v>541.00572671888631</v>
      </c>
      <c r="Q4487" s="29">
        <v>1100</v>
      </c>
      <c r="R4487" s="31">
        <v>45835</v>
      </c>
      <c r="S4487" s="31" t="s">
        <v>3172</v>
      </c>
      <c r="T4487" s="95" t="str">
        <f t="shared" si="349"/>
        <v>2025 06</v>
      </c>
      <c r="U4487" s="32">
        <f t="shared" si="346"/>
        <v>558.99427328111369</v>
      </c>
      <c r="V4487" s="22">
        <f t="shared" si="347"/>
        <v>1.0332501962064711</v>
      </c>
      <c r="X4487" s="33"/>
      <c r="Y4487" s="33"/>
    </row>
    <row r="4488" spans="1:25" x14ac:dyDescent="0.2">
      <c r="A4488" s="93" t="s">
        <v>3071</v>
      </c>
      <c r="B4488" s="94" t="str">
        <f>IFERROR(VLOOKUP($A4488,HeadJournal!$A$1:$NTR$890,COLUMN(HeadJournal!B$1),0),"")</f>
        <v>722500424884</v>
      </c>
      <c r="C4488" s="94" t="str">
        <f>IFERROR(VLOOKUP($A4488,HeadJournal!$A$1:$NTR$890,COLUMN(HeadJournal!C$1),0),"")</f>
        <v>iHerb_OA CZN6870</v>
      </c>
      <c r="D4488" s="125" t="str">
        <f>IFERROR(VLOOKUP($A4488,HeadJournal!$A$1:$NTR$890,COLUMN(HeadJournal!D$1),0),"")</f>
        <v>Доставлен</v>
      </c>
      <c r="E4488" s="95">
        <f>IFERROR(VLOOKUP($A4488,HeadJournal!$A$1:$NTR$890,COLUMN(HeadJournal!G$1),0),"")</f>
        <v>45751</v>
      </c>
      <c r="F4488" s="95" t="str">
        <f t="shared" si="348"/>
        <v>2025 04</v>
      </c>
      <c r="G4488" s="97" t="s">
        <v>5</v>
      </c>
      <c r="H4488" s="161" t="s">
        <v>2702</v>
      </c>
      <c r="I4488" s="97" t="s">
        <v>2703</v>
      </c>
      <c r="J4488" s="97" t="s">
        <v>2704</v>
      </c>
      <c r="K4488" s="29">
        <v>6.45</v>
      </c>
      <c r="L4488" s="29">
        <v>-0.97</v>
      </c>
      <c r="M4488" s="30">
        <f>IFERROR(VLOOKUP($A4488,HeadJournal!$A$1:$J$890,COLUMN(HeadJournal!I$1),0)*($K4488+$L4488)/(SUMIF($A:$A,$A4488,$K:$K)+SUMIF($A:$A,$A4488,$L:$L)),0)</f>
        <v>-0.27990208877284606</v>
      </c>
      <c r="N4488" s="30">
        <f>IFERROR((VLOOKUP($A4488,HeadJournal!$A$1:$K$890,COLUMN(HeadJournal!K$1),0)-VLOOKUP($A4488,HeadJournal!$A$1:$K$890,COLUMN(HeadJournal!J$1),0))*($K4488+$L4488)/(SUMIF($A:$A,$A4488,$K:$K)+SUMIF($A:$A,$A4488,$L:$L)),0)</f>
        <v>8.4720935421352257E-16</v>
      </c>
      <c r="O4488" s="30">
        <f>IFERROR((VLOOKUP($A4488,HeadJournal!$A$1:$L$890,COLUMN(HeadJournal!L$1),0)*($K4488+$L4488)/(SUMIF($A:$A,$A4488,$K:$K)+SUMIF($A:$A,$A4488,$L:$L)))/VLOOKUP($A4488,HeadJournal!$A$1:$L$890,COLUMN(HeadJournal!H$1),0),0)</f>
        <v>0.22765985118116178</v>
      </c>
      <c r="P4488" s="30">
        <f>IFERROR(SUM(K4488:O4488)*VLOOKUP($A4488,HeadJournal!$A$1:$L$890,COLUMN(HeadJournal!H$1),0),0)</f>
        <v>541.00572671888631</v>
      </c>
      <c r="Q4488" s="29">
        <v>1100</v>
      </c>
      <c r="R4488" s="31">
        <v>45835</v>
      </c>
      <c r="S4488" s="31" t="s">
        <v>3172</v>
      </c>
      <c r="T4488" s="95" t="str">
        <f t="shared" si="349"/>
        <v>2025 06</v>
      </c>
      <c r="U4488" s="32">
        <f t="shared" si="346"/>
        <v>558.99427328111369</v>
      </c>
      <c r="V4488" s="22">
        <f t="shared" si="347"/>
        <v>1.0332501962064711</v>
      </c>
      <c r="X4488" s="33"/>
      <c r="Y4488" s="33"/>
    </row>
    <row r="4489" spans="1:25" x14ac:dyDescent="0.2">
      <c r="A4489" s="93" t="s">
        <v>3074</v>
      </c>
      <c r="B4489" s="94">
        <f>IFERROR(VLOOKUP($A4489,HeadJournal!$A$1:$NTR$890,COLUMN(HeadJournal!B$1),0),"")</f>
        <v>0</v>
      </c>
      <c r="C4489" s="94" t="str">
        <f>IFERROR(VLOOKUP($A4489,HeadJournal!$A$1:$NTR$890,COLUMN(HeadJournal!C$1),0),"")</f>
        <v>OZON_OA</v>
      </c>
      <c r="D4489" s="125" t="str">
        <f>IFERROR(VLOOKUP($A4489,HeadJournal!$A$1:$NTR$890,COLUMN(HeadJournal!D$1),0),"")</f>
        <v>Доставлен</v>
      </c>
      <c r="E4489" s="95">
        <f>IFERROR(VLOOKUP($A4489,HeadJournal!$A$1:$NTR$890,COLUMN(HeadJournal!G$1),0),"")</f>
        <v>45732</v>
      </c>
      <c r="F4489" s="95" t="str">
        <f t="shared" si="348"/>
        <v>2025 03</v>
      </c>
      <c r="G4489" s="97" t="s">
        <v>6</v>
      </c>
      <c r="H4489" s="161" t="s">
        <v>2280</v>
      </c>
      <c r="I4489" s="97" t="s">
        <v>2281</v>
      </c>
      <c r="J4489" s="97" t="s">
        <v>737</v>
      </c>
      <c r="K4489" s="29">
        <v>783</v>
      </c>
      <c r="L4489" s="29">
        <v>0</v>
      </c>
      <c r="M4489" s="30">
        <f>IFERROR(VLOOKUP($A4489,HeadJournal!$A$1:$J$890,COLUMN(HeadJournal!I$1),0)*($K4489+$L4489)/(SUMIF($A:$A,$A4489,$K:$K)+SUMIF($A:$A,$A4489,$L:$L)),0)</f>
        <v>0</v>
      </c>
      <c r="N4489" s="30">
        <f>IFERROR((VLOOKUP($A4489,HeadJournal!$A$1:$K$890,COLUMN(HeadJournal!K$1),0)-VLOOKUP($A4489,HeadJournal!$A$1:$K$890,COLUMN(HeadJournal!J$1),0))*($K4489+$L4489)/(SUMIF($A:$A,$A4489,$K:$K)+SUMIF($A:$A,$A4489,$L:$L)),0)</f>
        <v>0</v>
      </c>
      <c r="O4489" s="30">
        <f>IFERROR((VLOOKUP($A4489,HeadJournal!$A$1:$L$890,COLUMN(HeadJournal!L$1),0)*($K4489+$L4489)/(SUMIF($A:$A,$A4489,$K:$K)+SUMIF($A:$A,$A4489,$L:$L)))/VLOOKUP($A4489,HeadJournal!$A$1:$L$890,COLUMN(HeadJournal!H$1),0),0)</f>
        <v>0</v>
      </c>
      <c r="P4489" s="30">
        <f>IFERROR(SUM(K4489:O4489)*VLOOKUP($A4489,HeadJournal!$A$1:$L$890,COLUMN(HeadJournal!H$1),0),0)</f>
        <v>783</v>
      </c>
      <c r="Q4489" s="29">
        <v>2000</v>
      </c>
      <c r="R4489" s="31">
        <v>45757</v>
      </c>
      <c r="S4489" s="31" t="s">
        <v>3121</v>
      </c>
      <c r="T4489" s="95" t="str">
        <f t="shared" si="349"/>
        <v>2025 04</v>
      </c>
      <c r="U4489" s="32">
        <f t="shared" si="346"/>
        <v>1217</v>
      </c>
      <c r="V4489" s="22">
        <f t="shared" si="347"/>
        <v>1.554278416347382</v>
      </c>
      <c r="X4489" s="33"/>
      <c r="Y4489" s="33"/>
    </row>
    <row r="4490" spans="1:25" x14ac:dyDescent="0.2">
      <c r="A4490" s="93" t="s">
        <v>3074</v>
      </c>
      <c r="B4490" s="94">
        <f>IFERROR(VLOOKUP($A4490,HeadJournal!$A$1:$NTR$890,COLUMN(HeadJournal!B$1),0),"")</f>
        <v>0</v>
      </c>
      <c r="C4490" s="94" t="str">
        <f>IFERROR(VLOOKUP($A4490,HeadJournal!$A$1:$NTR$890,COLUMN(HeadJournal!C$1),0),"")</f>
        <v>OZON_OA</v>
      </c>
      <c r="D4490" s="125" t="str">
        <f>IFERROR(VLOOKUP($A4490,HeadJournal!$A$1:$NTR$890,COLUMN(HeadJournal!D$1),0),"")</f>
        <v>Доставлен</v>
      </c>
      <c r="E4490" s="95">
        <f>IFERROR(VLOOKUP($A4490,HeadJournal!$A$1:$NTR$890,COLUMN(HeadJournal!G$1),0),"")</f>
        <v>45732</v>
      </c>
      <c r="F4490" s="95" t="str">
        <f t="shared" si="348"/>
        <v>2025 03</v>
      </c>
      <c r="G4490" s="97" t="s">
        <v>6</v>
      </c>
      <c r="H4490" s="161" t="s">
        <v>2280</v>
      </c>
      <c r="I4490" s="97" t="s">
        <v>2281</v>
      </c>
      <c r="J4490" s="97" t="s">
        <v>737</v>
      </c>
      <c r="K4490" s="29">
        <v>783</v>
      </c>
      <c r="L4490" s="29">
        <v>0</v>
      </c>
      <c r="M4490" s="30">
        <f>IFERROR(VLOOKUP($A4490,HeadJournal!$A$1:$J$890,COLUMN(HeadJournal!I$1),0)*($K4490+$L4490)/(SUMIF($A:$A,$A4490,$K:$K)+SUMIF($A:$A,$A4490,$L:$L)),0)</f>
        <v>0</v>
      </c>
      <c r="N4490" s="30">
        <f>IFERROR((VLOOKUP($A4490,HeadJournal!$A$1:$K$890,COLUMN(HeadJournal!K$1),0)-VLOOKUP($A4490,HeadJournal!$A$1:$K$890,COLUMN(HeadJournal!J$1),0))*($K4490+$L4490)/(SUMIF($A:$A,$A4490,$K:$K)+SUMIF($A:$A,$A4490,$L:$L)),0)</f>
        <v>0</v>
      </c>
      <c r="O4490" s="30">
        <f>IFERROR((VLOOKUP($A4490,HeadJournal!$A$1:$L$890,COLUMN(HeadJournal!L$1),0)*($K4490+$L4490)/(SUMIF($A:$A,$A4490,$K:$K)+SUMIF($A:$A,$A4490,$L:$L)))/VLOOKUP($A4490,HeadJournal!$A$1:$L$890,COLUMN(HeadJournal!H$1),0),0)</f>
        <v>0</v>
      </c>
      <c r="P4490" s="30">
        <f>IFERROR(SUM(K4490:O4490)*VLOOKUP($A4490,HeadJournal!$A$1:$L$890,COLUMN(HeadJournal!H$1),0),0)</f>
        <v>783</v>
      </c>
      <c r="Q4490" s="29">
        <v>2000</v>
      </c>
      <c r="R4490" s="31">
        <v>45774</v>
      </c>
      <c r="S4490" s="31" t="s">
        <v>3121</v>
      </c>
      <c r="T4490" s="95" t="str">
        <f t="shared" si="349"/>
        <v>2025 04</v>
      </c>
      <c r="U4490" s="32">
        <f t="shared" si="346"/>
        <v>1217</v>
      </c>
      <c r="V4490" s="22">
        <f t="shared" si="347"/>
        <v>1.554278416347382</v>
      </c>
      <c r="X4490" s="33"/>
      <c r="Y4490" s="33"/>
    </row>
    <row r="4491" spans="1:25" x14ac:dyDescent="0.2">
      <c r="A4491" s="93" t="s">
        <v>3074</v>
      </c>
      <c r="B4491" s="94">
        <f>IFERROR(VLOOKUP($A4491,HeadJournal!$A$1:$NTR$890,COLUMN(HeadJournal!B$1),0),"")</f>
        <v>0</v>
      </c>
      <c r="C4491" s="94" t="str">
        <f>IFERROR(VLOOKUP($A4491,HeadJournal!$A$1:$NTR$890,COLUMN(HeadJournal!C$1),0),"")</f>
        <v>OZON_OA</v>
      </c>
      <c r="D4491" s="125" t="str">
        <f>IFERROR(VLOOKUP($A4491,HeadJournal!$A$1:$NTR$890,COLUMN(HeadJournal!D$1),0),"")</f>
        <v>Доставлен</v>
      </c>
      <c r="E4491" s="95">
        <f>IFERROR(VLOOKUP($A4491,HeadJournal!$A$1:$NTR$890,COLUMN(HeadJournal!G$1),0),"")</f>
        <v>45732</v>
      </c>
      <c r="F4491" s="95" t="str">
        <f t="shared" si="348"/>
        <v>2025 03</v>
      </c>
      <c r="G4491" s="97" t="s">
        <v>6</v>
      </c>
      <c r="H4491" s="161" t="s">
        <v>2280</v>
      </c>
      <c r="I4491" s="97" t="s">
        <v>2281</v>
      </c>
      <c r="J4491" s="97" t="s">
        <v>737</v>
      </c>
      <c r="K4491" s="29">
        <v>783</v>
      </c>
      <c r="L4491" s="29">
        <v>0</v>
      </c>
      <c r="M4491" s="30">
        <f>IFERROR(VLOOKUP($A4491,HeadJournal!$A$1:$J$890,COLUMN(HeadJournal!I$1),0)*($K4491+$L4491)/(SUMIF($A:$A,$A4491,$K:$K)+SUMIF($A:$A,$A4491,$L:$L)),0)</f>
        <v>0</v>
      </c>
      <c r="N4491" s="30">
        <f>IFERROR((VLOOKUP($A4491,HeadJournal!$A$1:$K$890,COLUMN(HeadJournal!K$1),0)-VLOOKUP($A4491,HeadJournal!$A$1:$K$890,COLUMN(HeadJournal!J$1),0))*($K4491+$L4491)/(SUMIF($A:$A,$A4491,$K:$K)+SUMIF($A:$A,$A4491,$L:$L)),0)</f>
        <v>0</v>
      </c>
      <c r="O4491" s="30">
        <f>IFERROR((VLOOKUP($A4491,HeadJournal!$A$1:$L$890,COLUMN(HeadJournal!L$1),0)*($K4491+$L4491)/(SUMIF($A:$A,$A4491,$K:$K)+SUMIF($A:$A,$A4491,$L:$L)))/VLOOKUP($A4491,HeadJournal!$A$1:$L$890,COLUMN(HeadJournal!H$1),0),0)</f>
        <v>0</v>
      </c>
      <c r="P4491" s="30">
        <f>IFERROR(SUM(K4491:O4491)*VLOOKUP($A4491,HeadJournal!$A$1:$L$890,COLUMN(HeadJournal!H$1),0),0)</f>
        <v>783</v>
      </c>
      <c r="Q4491" s="29">
        <v>2000</v>
      </c>
      <c r="R4491" s="31">
        <v>45796</v>
      </c>
      <c r="S4491" s="31" t="s">
        <v>3121</v>
      </c>
      <c r="T4491" s="95" t="str">
        <f t="shared" si="349"/>
        <v>2025 05</v>
      </c>
      <c r="U4491" s="32">
        <f t="shared" si="346"/>
        <v>1217</v>
      </c>
      <c r="V4491" s="22">
        <f t="shared" si="347"/>
        <v>1.554278416347382</v>
      </c>
      <c r="X4491" s="33"/>
      <c r="Y4491" s="33"/>
    </row>
    <row r="4492" spans="1:25" x14ac:dyDescent="0.2">
      <c r="A4492" s="93" t="s">
        <v>3075</v>
      </c>
      <c r="B4492" s="94">
        <f>IFERROR(VLOOKUP($A4492,HeadJournal!$A$1:$NTR$890,COLUMN(HeadJournal!B$1),0),"")</f>
        <v>0</v>
      </c>
      <c r="C4492" s="94" t="str">
        <f>IFERROR(VLOOKUP($A4492,HeadJournal!$A$1:$NTR$890,COLUMN(HeadJournal!C$1),0),"")</f>
        <v>OZON_OA</v>
      </c>
      <c r="D4492" s="125" t="str">
        <f>IFERROR(VLOOKUP($A4492,HeadJournal!$A$1:$NTR$890,COLUMN(HeadJournal!D$1),0),"")</f>
        <v>Доставлен</v>
      </c>
      <c r="E4492" s="95">
        <f>IFERROR(VLOOKUP($A4492,HeadJournal!$A$1:$NTR$890,COLUMN(HeadJournal!G$1),0),"")</f>
        <v>45749</v>
      </c>
      <c r="F4492" s="95" t="str">
        <f t="shared" si="348"/>
        <v>2025 04</v>
      </c>
      <c r="G4492" s="97" t="s">
        <v>6</v>
      </c>
      <c r="H4492" s="161" t="s">
        <v>3076</v>
      </c>
      <c r="I4492" s="97" t="s">
        <v>3077</v>
      </c>
      <c r="J4492" s="97" t="s">
        <v>741</v>
      </c>
      <c r="K4492" s="29">
        <v>1755</v>
      </c>
      <c r="L4492" s="29">
        <v>0</v>
      </c>
      <c r="M4492" s="30">
        <f>IFERROR(VLOOKUP($A4492,HeadJournal!$A$1:$J$890,COLUMN(HeadJournal!I$1),0)*($K4492+$L4492)/(SUMIF($A:$A,$A4492,$K:$K)+SUMIF($A:$A,$A4492,$L:$L)),0)</f>
        <v>0</v>
      </c>
      <c r="N4492" s="30">
        <f>IFERROR((VLOOKUP($A4492,HeadJournal!$A$1:$K$890,COLUMN(HeadJournal!K$1),0)-VLOOKUP($A4492,HeadJournal!$A$1:$K$890,COLUMN(HeadJournal!J$1),0))*($K4492+$L4492)/(SUMIF($A:$A,$A4492,$K:$K)+SUMIF($A:$A,$A4492,$L:$L)),0)</f>
        <v>0</v>
      </c>
      <c r="O4492" s="30">
        <f>IFERROR((VLOOKUP($A4492,HeadJournal!$A$1:$L$890,COLUMN(HeadJournal!L$1),0)*($K4492+$L4492)/(SUMIF($A:$A,$A4492,$K:$K)+SUMIF($A:$A,$A4492,$L:$L)))/VLOOKUP($A4492,HeadJournal!$A$1:$L$890,COLUMN(HeadJournal!H$1),0),0)</f>
        <v>0</v>
      </c>
      <c r="P4492" s="30">
        <f>IFERROR(SUM(K4492:O4492)*VLOOKUP($A4492,HeadJournal!$A$1:$L$890,COLUMN(HeadJournal!H$1),0),0)</f>
        <v>1755</v>
      </c>
      <c r="Q4492" s="29">
        <v>4000</v>
      </c>
      <c r="R4492" s="31">
        <v>45759</v>
      </c>
      <c r="S4492" s="31" t="s">
        <v>3121</v>
      </c>
      <c r="T4492" s="95" t="str">
        <f t="shared" si="349"/>
        <v>2025 04</v>
      </c>
      <c r="U4492" s="32">
        <f t="shared" si="346"/>
        <v>2245</v>
      </c>
      <c r="V4492" s="22">
        <f t="shared" si="347"/>
        <v>1.2792022792022792</v>
      </c>
      <c r="X4492" s="33"/>
      <c r="Y4492" s="33"/>
    </row>
    <row r="4493" spans="1:25" x14ac:dyDescent="0.2">
      <c r="A4493" s="93" t="s">
        <v>3075</v>
      </c>
      <c r="B4493" s="94">
        <f>IFERROR(VLOOKUP($A4493,HeadJournal!$A$1:$NTR$890,COLUMN(HeadJournal!B$1),0),"")</f>
        <v>0</v>
      </c>
      <c r="C4493" s="94" t="str">
        <f>IFERROR(VLOOKUP($A4493,HeadJournal!$A$1:$NTR$890,COLUMN(HeadJournal!C$1),0),"")</f>
        <v>OZON_OA</v>
      </c>
      <c r="D4493" s="125" t="str">
        <f>IFERROR(VLOOKUP($A4493,HeadJournal!$A$1:$NTR$890,COLUMN(HeadJournal!D$1),0),"")</f>
        <v>Доставлен</v>
      </c>
      <c r="E4493" s="95">
        <f>IFERROR(VLOOKUP($A4493,HeadJournal!$A$1:$NTR$890,COLUMN(HeadJournal!G$1),0),"")</f>
        <v>45749</v>
      </c>
      <c r="F4493" s="95" t="str">
        <f t="shared" si="348"/>
        <v>2025 04</v>
      </c>
      <c r="G4493" s="97" t="s">
        <v>6</v>
      </c>
      <c r="H4493" s="161" t="s">
        <v>3078</v>
      </c>
      <c r="I4493" s="97" t="s">
        <v>2608</v>
      </c>
      <c r="J4493" s="97" t="s">
        <v>481</v>
      </c>
      <c r="K4493" s="29">
        <v>1945</v>
      </c>
      <c r="L4493" s="29">
        <v>0</v>
      </c>
      <c r="M4493" s="30">
        <f>IFERROR(VLOOKUP($A4493,HeadJournal!$A$1:$J$890,COLUMN(HeadJournal!I$1),0)*($K4493+$L4493)/(SUMIF($A:$A,$A4493,$K:$K)+SUMIF($A:$A,$A4493,$L:$L)),0)</f>
        <v>0</v>
      </c>
      <c r="N4493" s="30">
        <f>IFERROR((VLOOKUP($A4493,HeadJournal!$A$1:$K$890,COLUMN(HeadJournal!K$1),0)-VLOOKUP($A4493,HeadJournal!$A$1:$K$890,COLUMN(HeadJournal!J$1),0))*($K4493+$L4493)/(SUMIF($A:$A,$A4493,$K:$K)+SUMIF($A:$A,$A4493,$L:$L)),0)</f>
        <v>0</v>
      </c>
      <c r="O4493" s="30">
        <f>IFERROR((VLOOKUP($A4493,HeadJournal!$A$1:$L$890,COLUMN(HeadJournal!L$1),0)*($K4493+$L4493)/(SUMIF($A:$A,$A4493,$K:$K)+SUMIF($A:$A,$A4493,$L:$L)))/VLOOKUP($A4493,HeadJournal!$A$1:$L$890,COLUMN(HeadJournal!H$1),0),0)</f>
        <v>0</v>
      </c>
      <c r="P4493" s="30">
        <f>IFERROR(SUM(K4493:O4493)*VLOOKUP($A4493,HeadJournal!$A$1:$L$890,COLUMN(HeadJournal!H$1),0),0)</f>
        <v>1945</v>
      </c>
      <c r="Q4493" s="29">
        <v>2600</v>
      </c>
      <c r="R4493" s="31">
        <v>45798</v>
      </c>
      <c r="S4493" s="31" t="s">
        <v>3121</v>
      </c>
      <c r="T4493" s="95" t="str">
        <f t="shared" si="349"/>
        <v>2025 05</v>
      </c>
      <c r="U4493" s="32">
        <f t="shared" si="346"/>
        <v>655</v>
      </c>
      <c r="V4493" s="22">
        <f t="shared" si="347"/>
        <v>0.33676092544987146</v>
      </c>
      <c r="X4493" s="33"/>
      <c r="Y4493" s="33"/>
    </row>
    <row r="4494" spans="1:25" x14ac:dyDescent="0.2">
      <c r="A4494" s="93" t="s">
        <v>3079</v>
      </c>
      <c r="B4494" s="94">
        <f>IFERROR(VLOOKUP($A4494,HeadJournal!$A$1:$NTR$890,COLUMN(HeadJournal!B$1),0),"")</f>
        <v>0</v>
      </c>
      <c r="C4494" s="94" t="str">
        <f>IFERROR(VLOOKUP($A4494,HeadJournal!$A$1:$NTR$890,COLUMN(HeadJournal!C$1),0),"")</f>
        <v>OZON_OA</v>
      </c>
      <c r="D4494" s="125" t="str">
        <f>IFERROR(VLOOKUP($A4494,HeadJournal!$A$1:$NTR$890,COLUMN(HeadJournal!D$1),0),"")</f>
        <v>Доставлен</v>
      </c>
      <c r="E4494" s="95">
        <f>IFERROR(VLOOKUP($A4494,HeadJournal!$A$1:$NTR$890,COLUMN(HeadJournal!G$1),0),"")</f>
        <v>45754</v>
      </c>
      <c r="F4494" s="95" t="str">
        <f t="shared" si="348"/>
        <v>2025 04</v>
      </c>
      <c r="G4494" s="96" t="s">
        <v>6</v>
      </c>
      <c r="H4494" s="161" t="s">
        <v>2935</v>
      </c>
      <c r="I4494" s="97" t="s">
        <v>2934</v>
      </c>
      <c r="J4494" s="97" t="s">
        <v>1262</v>
      </c>
      <c r="K4494" s="29">
        <v>913</v>
      </c>
      <c r="L4494" s="29">
        <v>0</v>
      </c>
      <c r="M4494" s="30">
        <f>IFERROR(VLOOKUP($A4494,HeadJournal!$A$1:$J$890,COLUMN(HeadJournal!I$1),0)*($K4494+$L4494)/(SUMIF($A:$A,$A4494,$K:$K)+SUMIF($A:$A,$A4494,$L:$L)),0)</f>
        <v>0</v>
      </c>
      <c r="N4494" s="30">
        <f>IFERROR((VLOOKUP($A4494,HeadJournal!$A$1:$K$890,COLUMN(HeadJournal!K$1),0)-VLOOKUP($A4494,HeadJournal!$A$1:$K$890,COLUMN(HeadJournal!J$1),0))*($K4494+$L4494)/(SUMIF($A:$A,$A4494,$K:$K)+SUMIF($A:$A,$A4494,$L:$L)),0)</f>
        <v>0</v>
      </c>
      <c r="O4494" s="30">
        <f>IFERROR((VLOOKUP($A4494,HeadJournal!$A$1:$L$890,COLUMN(HeadJournal!L$1),0)*($K4494+$L4494)/(SUMIF($A:$A,$A4494,$K:$K)+SUMIF($A:$A,$A4494,$L:$L)))/VLOOKUP($A4494,HeadJournal!$A$1:$L$890,COLUMN(HeadJournal!H$1),0),0)</f>
        <v>0</v>
      </c>
      <c r="P4494" s="30">
        <f>IFERROR(SUM(K4494:O4494)*VLOOKUP($A4494,HeadJournal!$A$1:$L$890,COLUMN(HeadJournal!H$1),0),0)</f>
        <v>913</v>
      </c>
      <c r="Q4494" s="29">
        <v>2000</v>
      </c>
      <c r="R4494" s="31">
        <v>45784</v>
      </c>
      <c r="S4494" s="31" t="s">
        <v>3121</v>
      </c>
      <c r="T4494" s="95" t="str">
        <f t="shared" si="349"/>
        <v>2025 05</v>
      </c>
      <c r="U4494" s="32">
        <f t="shared" si="346"/>
        <v>1087</v>
      </c>
      <c r="V4494" s="22">
        <f t="shared" si="347"/>
        <v>1.190580503833516</v>
      </c>
      <c r="X4494" s="33"/>
      <c r="Y4494" s="33"/>
    </row>
    <row r="4495" spans="1:25" x14ac:dyDescent="0.2">
      <c r="A4495" s="93" t="s">
        <v>3079</v>
      </c>
      <c r="B4495" s="94">
        <f>IFERROR(VLOOKUP($A4495,HeadJournal!$A$1:$NTR$890,COLUMN(HeadJournal!B$1),0),"")</f>
        <v>0</v>
      </c>
      <c r="C4495" s="94" t="str">
        <f>IFERROR(VLOOKUP($A4495,HeadJournal!$A$1:$NTR$890,COLUMN(HeadJournal!C$1),0),"")</f>
        <v>OZON_OA</v>
      </c>
      <c r="D4495" s="125" t="str">
        <f>IFERROR(VLOOKUP($A4495,HeadJournal!$A$1:$NTR$890,COLUMN(HeadJournal!D$1),0),"")</f>
        <v>Доставлен</v>
      </c>
      <c r="E4495" s="95">
        <f>IFERROR(VLOOKUP($A4495,HeadJournal!$A$1:$NTR$890,COLUMN(HeadJournal!G$1),0),"")</f>
        <v>45754</v>
      </c>
      <c r="F4495" s="95" t="str">
        <f t="shared" si="348"/>
        <v>2025 04</v>
      </c>
      <c r="G4495" s="97" t="s">
        <v>6</v>
      </c>
      <c r="H4495" s="161" t="s">
        <v>2935</v>
      </c>
      <c r="I4495" s="97" t="s">
        <v>2934</v>
      </c>
      <c r="J4495" s="97" t="s">
        <v>1262</v>
      </c>
      <c r="K4495" s="29">
        <v>913</v>
      </c>
      <c r="L4495" s="29">
        <v>0</v>
      </c>
      <c r="M4495" s="30">
        <f>IFERROR(VLOOKUP($A4495,HeadJournal!$A$1:$J$890,COLUMN(HeadJournal!I$1),0)*($K4495+$L4495)/(SUMIF($A:$A,$A4495,$K:$K)+SUMIF($A:$A,$A4495,$L:$L)),0)</f>
        <v>0</v>
      </c>
      <c r="N4495" s="30">
        <f>IFERROR((VLOOKUP($A4495,HeadJournal!$A$1:$K$890,COLUMN(HeadJournal!K$1),0)-VLOOKUP($A4495,HeadJournal!$A$1:$K$890,COLUMN(HeadJournal!J$1),0))*($K4495+$L4495)/(SUMIF($A:$A,$A4495,$K:$K)+SUMIF($A:$A,$A4495,$L:$L)),0)</f>
        <v>0</v>
      </c>
      <c r="O4495" s="30">
        <f>IFERROR((VLOOKUP($A4495,HeadJournal!$A$1:$L$890,COLUMN(HeadJournal!L$1),0)*($K4495+$L4495)/(SUMIF($A:$A,$A4495,$K:$K)+SUMIF($A:$A,$A4495,$L:$L)))/VLOOKUP($A4495,HeadJournal!$A$1:$L$890,COLUMN(HeadJournal!H$1),0),0)</f>
        <v>0</v>
      </c>
      <c r="P4495" s="30">
        <f>IFERROR(SUM(K4495:O4495)*VLOOKUP($A4495,HeadJournal!$A$1:$L$890,COLUMN(HeadJournal!H$1),0),0)</f>
        <v>913</v>
      </c>
      <c r="Q4495" s="29">
        <v>2000</v>
      </c>
      <c r="R4495" s="31">
        <v>45792</v>
      </c>
      <c r="S4495" s="31" t="s">
        <v>3231</v>
      </c>
      <c r="T4495" s="95" t="str">
        <f t="shared" si="349"/>
        <v>2025 05</v>
      </c>
      <c r="U4495" s="32">
        <f t="shared" si="346"/>
        <v>1087</v>
      </c>
      <c r="V4495" s="22">
        <f t="shared" si="347"/>
        <v>1.190580503833516</v>
      </c>
      <c r="X4495" s="33"/>
      <c r="Y4495" s="33"/>
    </row>
    <row r="4496" spans="1:25" x14ac:dyDescent="0.2">
      <c r="A4496" s="93" t="s">
        <v>3090</v>
      </c>
      <c r="B4496" s="94" t="str">
        <f>IFERROR(VLOOKUP($A4496,HeadJournal!$A$1:$NTR$890,COLUMN(HeadJournal!B$1),0),"")</f>
        <v>722500427619</v>
      </c>
      <c r="C4496" s="94" t="str">
        <f>IFERROR(VLOOKUP($A4496,HeadJournal!$A$1:$NTR$890,COLUMN(HeadJournal!C$1),0),"")</f>
        <v>iHerb_AV CYG0792</v>
      </c>
      <c r="D4496" s="125" t="str">
        <f>IFERROR(VLOOKUP($A4496,HeadJournal!$A$1:$NTR$890,COLUMN(HeadJournal!D$1),0),"")</f>
        <v>Доставлен</v>
      </c>
      <c r="E4496" s="95">
        <f>IFERROR(VLOOKUP($A4496,HeadJournal!$A$1:$NTR$890,COLUMN(HeadJournal!G$1),0),"")</f>
        <v>45755</v>
      </c>
      <c r="F4496" s="95" t="str">
        <f t="shared" si="348"/>
        <v>2025 04</v>
      </c>
      <c r="G4496" s="97" t="s">
        <v>7</v>
      </c>
      <c r="H4496" s="161" t="s">
        <v>3080</v>
      </c>
      <c r="I4496" s="97" t="s">
        <v>3081</v>
      </c>
      <c r="J4496" s="97" t="s">
        <v>3082</v>
      </c>
      <c r="K4496" s="29">
        <v>13.16</v>
      </c>
      <c r="L4496" s="29">
        <v>-1.97</v>
      </c>
      <c r="M4496" s="30">
        <f>IFERROR(VLOOKUP($A4496,HeadJournal!$A$1:$J$890,COLUMN(HeadJournal!I$1),0)*($K4496+$L4496)/(SUMIF($A:$A,$A4496,$K:$K)+SUMIF($A:$A,$A4496,$L:$L)),0)</f>
        <v>-0.54855200823892891</v>
      </c>
      <c r="N4496" s="30">
        <f>IFERROR((VLOOKUP($A4496,HeadJournal!$A$1:$K$890,COLUMN(HeadJournal!K$1),0)-VLOOKUP($A4496,HeadJournal!$A$1:$K$890,COLUMN(HeadJournal!J$1),0))*($K4496+$L4496)/(SUMIF($A:$A,$A4496,$K:$K)+SUMIF($A:$A,$A4496,$L:$L)),0)</f>
        <v>1.6376875825243092E-15</v>
      </c>
      <c r="O4496" s="30">
        <f>IFERROR((VLOOKUP($A4496,HeadJournal!$A$1:$L$890,COLUMN(HeadJournal!L$1),0)*($K4496+$L4496)/(SUMIF($A:$A,$A4496,$K:$K)+SUMIF($A:$A,$A4496,$L:$L)))/VLOOKUP($A4496,HeadJournal!$A$1:$L$890,COLUMN(HeadJournal!H$1),0),0)</f>
        <v>0.46159206617367321</v>
      </c>
      <c r="P4496" s="30">
        <f>IFERROR(SUM(K4496:O4496)*VLOOKUP($A4496,HeadJournal!$A$1:$L$890,COLUMN(HeadJournal!H$1),0),0)</f>
        <v>1055.0954196704431</v>
      </c>
      <c r="Q4496" s="29">
        <v>1800</v>
      </c>
      <c r="R4496" s="31">
        <v>45784</v>
      </c>
      <c r="S4496" s="31" t="s">
        <v>3121</v>
      </c>
      <c r="T4496" s="95" t="str">
        <f t="shared" si="349"/>
        <v>2025 05</v>
      </c>
      <c r="U4496" s="32">
        <f t="shared" si="346"/>
        <v>744.90458032955689</v>
      </c>
      <c r="V4496" s="22">
        <f t="shared" si="347"/>
        <v>0.70600683733631064</v>
      </c>
      <c r="X4496" s="33"/>
      <c r="Y4496" s="33"/>
    </row>
    <row r="4497" spans="1:25" x14ac:dyDescent="0.2">
      <c r="A4497" s="93" t="s">
        <v>3090</v>
      </c>
      <c r="B4497" s="94" t="str">
        <f>IFERROR(VLOOKUP($A4497,HeadJournal!$A$1:$NTR$890,COLUMN(HeadJournal!B$1),0),"")</f>
        <v>722500427619</v>
      </c>
      <c r="C4497" s="94" t="str">
        <f>IFERROR(VLOOKUP($A4497,HeadJournal!$A$1:$NTR$890,COLUMN(HeadJournal!C$1),0),"")</f>
        <v>iHerb_AV CYG0792</v>
      </c>
      <c r="D4497" s="125" t="str">
        <f>IFERROR(VLOOKUP($A4497,HeadJournal!$A$1:$NTR$890,COLUMN(HeadJournal!D$1),0),"")</f>
        <v>Доставлен</v>
      </c>
      <c r="E4497" s="95">
        <f>IFERROR(VLOOKUP($A4497,HeadJournal!$A$1:$NTR$890,COLUMN(HeadJournal!G$1),0),"")</f>
        <v>45755</v>
      </c>
      <c r="F4497" s="95" t="str">
        <f t="shared" si="348"/>
        <v>2025 04</v>
      </c>
      <c r="G4497" s="97" t="s">
        <v>5</v>
      </c>
      <c r="H4497" s="161" t="s">
        <v>2755</v>
      </c>
      <c r="I4497" s="97" t="s">
        <v>2005</v>
      </c>
      <c r="J4497" s="97" t="s">
        <v>2756</v>
      </c>
      <c r="K4497" s="29">
        <v>17.239999999999998</v>
      </c>
      <c r="L4497" s="29">
        <v>-2.585</v>
      </c>
      <c r="M4497" s="30">
        <f>IFERROR(VLOOKUP($A4497,HeadJournal!$A$1:$J$890,COLUMN(HeadJournal!I$1),0)*($K4497+$L4497)/(SUMIF($A:$A,$A4497,$K:$K)+SUMIF($A:$A,$A4497,$L:$L)),0)</f>
        <v>-0.71841194644696182</v>
      </c>
      <c r="N4497" s="30">
        <f>IFERROR((VLOOKUP($A4497,HeadJournal!$A$1:$K$890,COLUMN(HeadJournal!K$1),0)-VLOOKUP($A4497,HeadJournal!$A$1:$K$890,COLUMN(HeadJournal!J$1),0))*($K4497+$L4497)/(SUMIF($A:$A,$A4497,$K:$K)+SUMIF($A:$A,$A4497,$L:$L)),0)</f>
        <v>2.1447999572737934E-15</v>
      </c>
      <c r="O4497" s="30">
        <f>IFERROR((VLOOKUP($A4497,HeadJournal!$A$1:$L$890,COLUMN(HeadJournal!L$1),0)*($K4497+$L4497)/(SUMIF($A:$A,$A4497,$K:$K)+SUMIF($A:$A,$A4497,$L:$L)))/VLOOKUP($A4497,HeadJournal!$A$1:$L$890,COLUMN(HeadJournal!H$1),0),0)</f>
        <v>0.6045247300960841</v>
      </c>
      <c r="P4497" s="30">
        <f>IFERROR(SUM(K4497:O4497)*VLOOKUP($A4497,HeadJournal!$A$1:$L$890,COLUMN(HeadJournal!H$1),0),0)</f>
        <v>1381.8072721421217</v>
      </c>
      <c r="Q4497" s="29">
        <v>2500</v>
      </c>
      <c r="R4497" s="31">
        <v>45783</v>
      </c>
      <c r="S4497" s="31" t="s">
        <v>3121</v>
      </c>
      <c r="T4497" s="95" t="str">
        <f t="shared" si="349"/>
        <v>2025 05</v>
      </c>
      <c r="U4497" s="32">
        <f t="shared" si="346"/>
        <v>1118.1927278578783</v>
      </c>
      <c r="V4497" s="22">
        <f t="shared" si="347"/>
        <v>0.8092248104356986</v>
      </c>
      <c r="X4497" s="33"/>
      <c r="Y4497" s="33"/>
    </row>
    <row r="4498" spans="1:25" x14ac:dyDescent="0.2">
      <c r="A4498" s="93" t="s">
        <v>3090</v>
      </c>
      <c r="B4498" s="94" t="str">
        <f>IFERROR(VLOOKUP($A4498,HeadJournal!$A$1:$NTR$890,COLUMN(HeadJournal!B$1),0),"")</f>
        <v>722500427619</v>
      </c>
      <c r="C4498" s="94" t="str">
        <f>IFERROR(VLOOKUP($A4498,HeadJournal!$A$1:$NTR$890,COLUMN(HeadJournal!C$1),0),"")</f>
        <v>iHerb_AV CYG0792</v>
      </c>
      <c r="D4498" s="125" t="str">
        <f>IFERROR(VLOOKUP($A4498,HeadJournal!$A$1:$NTR$890,COLUMN(HeadJournal!D$1),0),"")</f>
        <v>Доставлен</v>
      </c>
      <c r="E4498" s="95">
        <f>IFERROR(VLOOKUP($A4498,HeadJournal!$A$1:$NTR$890,COLUMN(HeadJournal!G$1),0),"")</f>
        <v>45755</v>
      </c>
      <c r="F4498" s="95" t="str">
        <f t="shared" si="348"/>
        <v>2025 04</v>
      </c>
      <c r="G4498" s="97" t="s">
        <v>5</v>
      </c>
      <c r="H4498" s="161" t="s">
        <v>2755</v>
      </c>
      <c r="I4498" s="97" t="s">
        <v>2005</v>
      </c>
      <c r="J4498" s="97" t="s">
        <v>2756</v>
      </c>
      <c r="K4498" s="29">
        <v>17.239999999999998</v>
      </c>
      <c r="L4498" s="29">
        <v>-2.585</v>
      </c>
      <c r="M4498" s="30">
        <f>IFERROR(VLOOKUP($A4498,HeadJournal!$A$1:$J$890,COLUMN(HeadJournal!I$1),0)*($K4498+$L4498)/(SUMIF($A:$A,$A4498,$K:$K)+SUMIF($A:$A,$A4498,$L:$L)),0)</f>
        <v>-0.71841194644696182</v>
      </c>
      <c r="N4498" s="30">
        <f>IFERROR((VLOOKUP($A4498,HeadJournal!$A$1:$K$890,COLUMN(HeadJournal!K$1),0)-VLOOKUP($A4498,HeadJournal!$A$1:$K$890,COLUMN(HeadJournal!J$1),0))*($K4498+$L4498)/(SUMIF($A:$A,$A4498,$K:$K)+SUMIF($A:$A,$A4498,$L:$L)),0)</f>
        <v>2.1447999572737934E-15</v>
      </c>
      <c r="O4498" s="30">
        <f>IFERROR((VLOOKUP($A4498,HeadJournal!$A$1:$L$890,COLUMN(HeadJournal!L$1),0)*($K4498+$L4498)/(SUMIF($A:$A,$A4498,$K:$K)+SUMIF($A:$A,$A4498,$L:$L)))/VLOOKUP($A4498,HeadJournal!$A$1:$L$890,COLUMN(HeadJournal!H$1),0),0)</f>
        <v>0.6045247300960841</v>
      </c>
      <c r="P4498" s="30">
        <f>IFERROR(SUM(K4498:O4498)*VLOOKUP($A4498,HeadJournal!$A$1:$L$890,COLUMN(HeadJournal!H$1),0),0)</f>
        <v>1381.8072721421217</v>
      </c>
      <c r="Q4498" s="29">
        <v>2500</v>
      </c>
      <c r="R4498" s="31">
        <v>45783</v>
      </c>
      <c r="S4498" s="31" t="s">
        <v>3121</v>
      </c>
      <c r="T4498" s="95" t="str">
        <f t="shared" si="349"/>
        <v>2025 05</v>
      </c>
      <c r="U4498" s="32">
        <f t="shared" si="346"/>
        <v>1118.1927278578783</v>
      </c>
      <c r="V4498" s="22">
        <f t="shared" si="347"/>
        <v>0.8092248104356986</v>
      </c>
      <c r="X4498" s="33"/>
      <c r="Y4498" s="33"/>
    </row>
    <row r="4499" spans="1:25" x14ac:dyDescent="0.2">
      <c r="A4499" s="93" t="s">
        <v>3090</v>
      </c>
      <c r="B4499" s="94" t="str">
        <f>IFERROR(VLOOKUP($A4499,HeadJournal!$A$1:$NTR$890,COLUMN(HeadJournal!B$1),0),"")</f>
        <v>722500427619</v>
      </c>
      <c r="C4499" s="94" t="str">
        <f>IFERROR(VLOOKUP($A4499,HeadJournal!$A$1:$NTR$890,COLUMN(HeadJournal!C$1),0),"")</f>
        <v>iHerb_AV CYG0792</v>
      </c>
      <c r="D4499" s="125" t="str">
        <f>IFERROR(VLOOKUP($A4499,HeadJournal!$A$1:$NTR$890,COLUMN(HeadJournal!D$1),0),"")</f>
        <v>Доставлен</v>
      </c>
      <c r="E4499" s="95">
        <f>IFERROR(VLOOKUP($A4499,HeadJournal!$A$1:$NTR$890,COLUMN(HeadJournal!G$1),0),"")</f>
        <v>45755</v>
      </c>
      <c r="F4499" s="95" t="str">
        <f t="shared" si="348"/>
        <v>2025 04</v>
      </c>
      <c r="G4499" s="97" t="s">
        <v>5</v>
      </c>
      <c r="H4499" s="161" t="s">
        <v>2755</v>
      </c>
      <c r="I4499" s="97" t="s">
        <v>2005</v>
      </c>
      <c r="J4499" s="97" t="s">
        <v>2756</v>
      </c>
      <c r="K4499" s="29">
        <v>17.239999999999998</v>
      </c>
      <c r="L4499" s="29">
        <v>-2.585</v>
      </c>
      <c r="M4499" s="30">
        <f>IFERROR(VLOOKUP($A4499,HeadJournal!$A$1:$J$890,COLUMN(HeadJournal!I$1),0)*($K4499+$L4499)/(SUMIF($A:$A,$A4499,$K:$K)+SUMIF($A:$A,$A4499,$L:$L)),0)</f>
        <v>-0.71841194644696182</v>
      </c>
      <c r="N4499" s="30">
        <f>IFERROR((VLOOKUP($A4499,HeadJournal!$A$1:$K$890,COLUMN(HeadJournal!K$1),0)-VLOOKUP($A4499,HeadJournal!$A$1:$K$890,COLUMN(HeadJournal!J$1),0))*($K4499+$L4499)/(SUMIF($A:$A,$A4499,$K:$K)+SUMIF($A:$A,$A4499,$L:$L)),0)</f>
        <v>2.1447999572737934E-15</v>
      </c>
      <c r="O4499" s="30">
        <f>IFERROR((VLOOKUP($A4499,HeadJournal!$A$1:$L$890,COLUMN(HeadJournal!L$1),0)*($K4499+$L4499)/(SUMIF($A:$A,$A4499,$K:$K)+SUMIF($A:$A,$A4499,$L:$L)))/VLOOKUP($A4499,HeadJournal!$A$1:$L$890,COLUMN(HeadJournal!H$1),0),0)</f>
        <v>0.6045247300960841</v>
      </c>
      <c r="P4499" s="30">
        <f>IFERROR(SUM(K4499:O4499)*VLOOKUP($A4499,HeadJournal!$A$1:$L$890,COLUMN(HeadJournal!H$1),0),0)</f>
        <v>1381.8072721421217</v>
      </c>
      <c r="Q4499" s="29">
        <v>2500</v>
      </c>
      <c r="R4499" s="31">
        <v>45783</v>
      </c>
      <c r="S4499" s="31" t="s">
        <v>3121</v>
      </c>
      <c r="T4499" s="95" t="str">
        <f t="shared" si="349"/>
        <v>2025 05</v>
      </c>
      <c r="U4499" s="32">
        <f t="shared" si="346"/>
        <v>1118.1927278578783</v>
      </c>
      <c r="V4499" s="22">
        <f t="shared" si="347"/>
        <v>0.8092248104356986</v>
      </c>
      <c r="X4499" s="33"/>
      <c r="Y4499" s="33"/>
    </row>
    <row r="4500" spans="1:25" x14ac:dyDescent="0.2">
      <c r="A4500" s="93" t="s">
        <v>3090</v>
      </c>
      <c r="B4500" s="94" t="str">
        <f>IFERROR(VLOOKUP($A4500,HeadJournal!$A$1:$NTR$890,COLUMN(HeadJournal!B$1),0),"")</f>
        <v>722500427619</v>
      </c>
      <c r="C4500" s="94" t="str">
        <f>IFERROR(VLOOKUP($A4500,HeadJournal!$A$1:$NTR$890,COLUMN(HeadJournal!C$1),0),"")</f>
        <v>iHerb_AV CYG0792</v>
      </c>
      <c r="D4500" s="125" t="str">
        <f>IFERROR(VLOOKUP($A4500,HeadJournal!$A$1:$NTR$890,COLUMN(HeadJournal!D$1),0),"")</f>
        <v>Доставлен</v>
      </c>
      <c r="E4500" s="95">
        <f>IFERROR(VLOOKUP($A4500,HeadJournal!$A$1:$NTR$890,COLUMN(HeadJournal!G$1),0),"")</f>
        <v>45755</v>
      </c>
      <c r="F4500" s="95" t="str">
        <f t="shared" si="348"/>
        <v>2025 04</v>
      </c>
      <c r="G4500" s="97" t="s">
        <v>5</v>
      </c>
      <c r="H4500" s="161" t="s">
        <v>2755</v>
      </c>
      <c r="I4500" s="97" t="s">
        <v>2005</v>
      </c>
      <c r="J4500" s="97" t="s">
        <v>2756</v>
      </c>
      <c r="K4500" s="29">
        <v>17.239999999999998</v>
      </c>
      <c r="L4500" s="29">
        <v>-2.585</v>
      </c>
      <c r="M4500" s="30">
        <f>IFERROR(VLOOKUP($A4500,HeadJournal!$A$1:$J$890,COLUMN(HeadJournal!I$1),0)*($K4500+$L4500)/(SUMIF($A:$A,$A4500,$K:$K)+SUMIF($A:$A,$A4500,$L:$L)),0)</f>
        <v>-0.71841194644696182</v>
      </c>
      <c r="N4500" s="30">
        <f>IFERROR((VLOOKUP($A4500,HeadJournal!$A$1:$K$890,COLUMN(HeadJournal!K$1),0)-VLOOKUP($A4500,HeadJournal!$A$1:$K$890,COLUMN(HeadJournal!J$1),0))*($K4500+$L4500)/(SUMIF($A:$A,$A4500,$K:$K)+SUMIF($A:$A,$A4500,$L:$L)),0)</f>
        <v>2.1447999572737934E-15</v>
      </c>
      <c r="O4500" s="30">
        <f>IFERROR((VLOOKUP($A4500,HeadJournal!$A$1:$L$890,COLUMN(HeadJournal!L$1),0)*($K4500+$L4500)/(SUMIF($A:$A,$A4500,$K:$K)+SUMIF($A:$A,$A4500,$L:$L)))/VLOOKUP($A4500,HeadJournal!$A$1:$L$890,COLUMN(HeadJournal!H$1),0),0)</f>
        <v>0.6045247300960841</v>
      </c>
      <c r="P4500" s="30">
        <f>IFERROR(SUM(K4500:O4500)*VLOOKUP($A4500,HeadJournal!$A$1:$L$890,COLUMN(HeadJournal!H$1),0),0)</f>
        <v>1381.8072721421217</v>
      </c>
      <c r="Q4500" s="29">
        <v>2400</v>
      </c>
      <c r="R4500" s="31">
        <v>45821</v>
      </c>
      <c r="S4500" s="31" t="s">
        <v>3181</v>
      </c>
      <c r="T4500" s="95" t="str">
        <f t="shared" si="349"/>
        <v>2025 06</v>
      </c>
      <c r="U4500" s="32">
        <f t="shared" si="346"/>
        <v>1018.1927278578783</v>
      </c>
      <c r="V4500" s="22">
        <f t="shared" si="347"/>
        <v>0.7368558180182706</v>
      </c>
      <c r="X4500" s="33"/>
      <c r="Y4500" s="33"/>
    </row>
    <row r="4501" spans="1:25" x14ac:dyDescent="0.2">
      <c r="A4501" s="93" t="s">
        <v>3090</v>
      </c>
      <c r="B4501" s="94" t="str">
        <f>IFERROR(VLOOKUP($A4501,HeadJournal!$A$1:$NTR$890,COLUMN(HeadJournal!B$1),0),"")</f>
        <v>722500427619</v>
      </c>
      <c r="C4501" s="94" t="str">
        <f>IFERROR(VLOOKUP($A4501,HeadJournal!$A$1:$NTR$890,COLUMN(HeadJournal!C$1),0),"")</f>
        <v>iHerb_AV CYG0792</v>
      </c>
      <c r="D4501" s="125" t="str">
        <f>IFERROR(VLOOKUP($A4501,HeadJournal!$A$1:$NTR$890,COLUMN(HeadJournal!D$1),0),"")</f>
        <v>Доставлен</v>
      </c>
      <c r="E4501" s="95">
        <f>IFERROR(VLOOKUP($A4501,HeadJournal!$A$1:$NTR$890,COLUMN(HeadJournal!G$1),0),"")</f>
        <v>45755</v>
      </c>
      <c r="F4501" s="95" t="str">
        <f t="shared" si="348"/>
        <v>2025 04</v>
      </c>
      <c r="G4501" s="97" t="s">
        <v>5</v>
      </c>
      <c r="H4501" s="161" t="s">
        <v>2682</v>
      </c>
      <c r="I4501" s="97" t="s">
        <v>2102</v>
      </c>
      <c r="J4501" s="97" t="s">
        <v>2683</v>
      </c>
      <c r="K4501" s="29">
        <v>10.49</v>
      </c>
      <c r="L4501" s="29">
        <v>-1.57</v>
      </c>
      <c r="M4501" s="30">
        <f>IFERROR(VLOOKUP($A4501,HeadJournal!$A$1:$J$890,COLUMN(HeadJournal!I$1),0)*($K4501+$L4501)/(SUMIF($A:$A,$A4501,$K:$K)+SUMIF($A:$A,$A4501,$L:$L)),0)</f>
        <v>-0.43727291452111222</v>
      </c>
      <c r="N4501" s="30">
        <f>IFERROR((VLOOKUP($A4501,HeadJournal!$A$1:$K$890,COLUMN(HeadJournal!K$1),0)-VLOOKUP($A4501,HeadJournal!$A$1:$K$890,COLUMN(HeadJournal!J$1),0))*($K4501+$L4501)/(SUMIF($A:$A,$A4501,$K:$K)+SUMIF($A:$A,$A4501,$L:$L)),0)</f>
        <v>1.3054667771328721E-15</v>
      </c>
      <c r="O4501" s="30">
        <f>IFERROR((VLOOKUP($A4501,HeadJournal!$A$1:$L$890,COLUMN(HeadJournal!L$1),0)*($K4501+$L4501)/(SUMIF($A:$A,$A4501,$K:$K)+SUMIF($A:$A,$A4501,$L:$L)))/VLOOKUP($A4501,HeadJournal!$A$1:$L$890,COLUMN(HeadJournal!H$1),0),0)</f>
        <v>0.36795363988106938</v>
      </c>
      <c r="P4501" s="30">
        <f>IFERROR(SUM(K4501:O4501)*VLOOKUP($A4501,HeadJournal!$A$1:$L$890,COLUMN(HeadJournal!H$1),0),0)</f>
        <v>841.05908341915585</v>
      </c>
      <c r="Q4501" s="29">
        <v>1400</v>
      </c>
      <c r="R4501" s="31">
        <v>45840</v>
      </c>
      <c r="S4501" s="31" t="s">
        <v>3280</v>
      </c>
      <c r="T4501" s="95" t="str">
        <f t="shared" si="349"/>
        <v>2025 07</v>
      </c>
      <c r="U4501" s="32">
        <f t="shared" si="346"/>
        <v>558.94091658084415</v>
      </c>
      <c r="V4501" s="22">
        <f t="shared" si="347"/>
        <v>0.66456795675826097</v>
      </c>
      <c r="X4501" s="33"/>
      <c r="Y4501" s="33"/>
    </row>
    <row r="4502" spans="1:25" x14ac:dyDescent="0.2">
      <c r="A4502" s="93" t="s">
        <v>3090</v>
      </c>
      <c r="B4502" s="94" t="str">
        <f>IFERROR(VLOOKUP($A4502,HeadJournal!$A$1:$NTR$890,COLUMN(HeadJournal!B$1),0),"")</f>
        <v>722500427619</v>
      </c>
      <c r="C4502" s="94" t="str">
        <f>IFERROR(VLOOKUP($A4502,HeadJournal!$A$1:$NTR$890,COLUMN(HeadJournal!C$1),0),"")</f>
        <v>iHerb_AV CYG0792</v>
      </c>
      <c r="D4502" s="125" t="str">
        <f>IFERROR(VLOOKUP($A4502,HeadJournal!$A$1:$NTR$890,COLUMN(HeadJournal!D$1),0),"")</f>
        <v>Доставлен</v>
      </c>
      <c r="E4502" s="95">
        <f>IFERROR(VLOOKUP($A4502,HeadJournal!$A$1:$NTR$890,COLUMN(HeadJournal!G$1),0),"")</f>
        <v>45755</v>
      </c>
      <c r="F4502" s="95" t="str">
        <f t="shared" si="348"/>
        <v>2025 04</v>
      </c>
      <c r="G4502" s="97" t="s">
        <v>5</v>
      </c>
      <c r="H4502" s="161" t="s">
        <v>3083</v>
      </c>
      <c r="I4502" s="97" t="s">
        <v>2102</v>
      </c>
      <c r="J4502" s="97" t="s">
        <v>3084</v>
      </c>
      <c r="K4502" s="29">
        <v>6.99</v>
      </c>
      <c r="L4502" s="29">
        <v>-1.05</v>
      </c>
      <c r="M4502" s="30">
        <f>IFERROR(VLOOKUP($A4502,HeadJournal!$A$1:$J$890,COLUMN(HeadJournal!I$1),0)*($K4502+$L4502)/(SUMIF($A:$A,$A4502,$K:$K)+SUMIF($A:$A,$A4502,$L:$L)),0)</f>
        <v>-0.29118846549948507</v>
      </c>
      <c r="N4502" s="30">
        <f>IFERROR((VLOOKUP($A4502,HeadJournal!$A$1:$K$890,COLUMN(HeadJournal!K$1),0)-VLOOKUP($A4502,HeadJournal!$A$1:$K$890,COLUMN(HeadJournal!J$1),0))*($K4502+$L4502)/(SUMIF($A:$A,$A4502,$K:$K)+SUMIF($A:$A,$A4502,$L:$L)),0)</f>
        <v>8.6933549957054497E-16</v>
      </c>
      <c r="O4502" s="30">
        <f>IFERROR((VLOOKUP($A4502,HeadJournal!$A$1:$L$890,COLUMN(HeadJournal!L$1),0)*($K4502+$L4502)/(SUMIF($A:$A,$A4502,$K:$K)+SUMIF($A:$A,$A4502,$L:$L)))/VLOOKUP($A4502,HeadJournal!$A$1:$L$890,COLUMN(HeadJournal!H$1),0),0)</f>
        <v>0.24502742386699014</v>
      </c>
      <c r="P4502" s="30">
        <f>IFERROR(SUM(K4502:O4502)*VLOOKUP($A4502,HeadJournal!$A$1:$L$890,COLUMN(HeadJournal!H$1),0),0)</f>
        <v>560.07746138002085</v>
      </c>
      <c r="Q4502" s="29"/>
      <c r="R4502" s="31"/>
      <c r="S4502" s="31"/>
      <c r="T4502" s="95" t="str">
        <f t="shared" si="349"/>
        <v/>
      </c>
      <c r="U4502" s="32">
        <f t="shared" si="346"/>
        <v>-560.07746138002085</v>
      </c>
      <c r="V4502" s="22" t="str">
        <f t="shared" si="347"/>
        <v/>
      </c>
      <c r="X4502" s="33"/>
      <c r="Y4502" s="33"/>
    </row>
    <row r="4503" spans="1:25" x14ac:dyDescent="0.2">
      <c r="A4503" s="93" t="s">
        <v>3090</v>
      </c>
      <c r="B4503" s="94" t="str">
        <f>IFERROR(VLOOKUP($A4503,HeadJournal!$A$1:$NTR$890,COLUMN(HeadJournal!B$1),0),"")</f>
        <v>722500427619</v>
      </c>
      <c r="C4503" s="94" t="str">
        <f>IFERROR(VLOOKUP($A4503,HeadJournal!$A$1:$NTR$890,COLUMN(HeadJournal!C$1),0),"")</f>
        <v>iHerb_AV CYG0792</v>
      </c>
      <c r="D4503" s="125" t="str">
        <f>IFERROR(VLOOKUP($A4503,HeadJournal!$A$1:$NTR$890,COLUMN(HeadJournal!D$1),0),"")</f>
        <v>Доставлен</v>
      </c>
      <c r="E4503" s="95">
        <f>IFERROR(VLOOKUP($A4503,HeadJournal!$A$1:$NTR$890,COLUMN(HeadJournal!G$1),0),"")</f>
        <v>45755</v>
      </c>
      <c r="F4503" s="95" t="str">
        <f t="shared" si="348"/>
        <v>2025 04</v>
      </c>
      <c r="G4503" s="97" t="s">
        <v>5</v>
      </c>
      <c r="H4503" s="161" t="s">
        <v>3085</v>
      </c>
      <c r="I4503" s="97" t="s">
        <v>2005</v>
      </c>
      <c r="J4503" s="97" t="s">
        <v>3086</v>
      </c>
      <c r="K4503" s="29">
        <v>8.68</v>
      </c>
      <c r="L4503" s="29">
        <v>-1.3</v>
      </c>
      <c r="M4503" s="30">
        <f>IFERROR(VLOOKUP($A4503,HeadJournal!$A$1:$J$890,COLUMN(HeadJournal!I$1),0)*($K4503+$L4503)/(SUMIF($A:$A,$A4503,$K:$K)+SUMIF($A:$A,$A4503,$L:$L)),0)</f>
        <v>-0.36177960865087538</v>
      </c>
      <c r="N4503" s="30">
        <f>IFERROR((VLOOKUP($A4503,HeadJournal!$A$1:$K$890,COLUMN(HeadJournal!K$1),0)-VLOOKUP($A4503,HeadJournal!$A$1:$K$890,COLUMN(HeadJournal!J$1),0))*($K4503+$L4503)/(SUMIF($A:$A,$A4503,$K:$K)+SUMIF($A:$A,$A4503,$L:$L)),0)</f>
        <v>1.0800834994664346E-15</v>
      </c>
      <c r="O4503" s="30">
        <f>IFERROR((VLOOKUP($A4503,HeadJournal!$A$1:$L$890,COLUMN(HeadJournal!L$1),0)*($K4503+$L4503)/(SUMIF($A:$A,$A4503,$K:$K)+SUMIF($A:$A,$A4503,$L:$L)))/VLOOKUP($A4503,HeadJournal!$A$1:$L$890,COLUMN(HeadJournal!H$1),0),0)</f>
        <v>0.30442801147110893</v>
      </c>
      <c r="P4503" s="30">
        <f>IFERROR(SUM(K4503:O4503)*VLOOKUP($A4503,HeadJournal!$A$1:$L$890,COLUMN(HeadJournal!H$1),0),0)</f>
        <v>695.85381565396517</v>
      </c>
      <c r="Q4503" s="29"/>
      <c r="R4503" s="31"/>
      <c r="S4503" s="31"/>
      <c r="T4503" s="95" t="str">
        <f t="shared" si="349"/>
        <v/>
      </c>
      <c r="U4503" s="32">
        <f t="shared" si="346"/>
        <v>-695.85381565396517</v>
      </c>
      <c r="V4503" s="22" t="str">
        <f t="shared" si="347"/>
        <v/>
      </c>
      <c r="X4503" s="33"/>
      <c r="Y4503" s="33"/>
    </row>
    <row r="4504" spans="1:25" x14ac:dyDescent="0.2">
      <c r="A4504" s="93" t="s">
        <v>3090</v>
      </c>
      <c r="B4504" s="94" t="str">
        <f>IFERROR(VLOOKUP($A4504,HeadJournal!$A$1:$NTR$890,COLUMN(HeadJournal!B$1),0),"")</f>
        <v>722500427619</v>
      </c>
      <c r="C4504" s="94" t="str">
        <f>IFERROR(VLOOKUP($A4504,HeadJournal!$A$1:$NTR$890,COLUMN(HeadJournal!C$1),0),"")</f>
        <v>iHerb_AV CYG0792</v>
      </c>
      <c r="D4504" s="125" t="str">
        <f>IFERROR(VLOOKUP($A4504,HeadJournal!$A$1:$NTR$890,COLUMN(HeadJournal!D$1),0),"")</f>
        <v>Доставлен</v>
      </c>
      <c r="E4504" s="95">
        <f>IFERROR(VLOOKUP($A4504,HeadJournal!$A$1:$NTR$890,COLUMN(HeadJournal!G$1),0),"")</f>
        <v>45755</v>
      </c>
      <c r="F4504" s="95" t="str">
        <f t="shared" si="348"/>
        <v>2025 04</v>
      </c>
      <c r="G4504" s="97" t="s">
        <v>5</v>
      </c>
      <c r="H4504" s="161" t="s">
        <v>2076</v>
      </c>
      <c r="I4504" s="97" t="s">
        <v>2005</v>
      </c>
      <c r="J4504" s="97" t="s">
        <v>2077</v>
      </c>
      <c r="K4504" s="29">
        <v>18.829999999999998</v>
      </c>
      <c r="L4504" s="29">
        <v>-2.82</v>
      </c>
      <c r="M4504" s="30">
        <f>IFERROR(VLOOKUP($A4504,HeadJournal!$A$1:$J$890,COLUMN(HeadJournal!I$1),0)*($K4504+$L4504)/(SUMIF($A:$A,$A4504,$K:$K)+SUMIF($A:$A,$A4504,$L:$L)),0)</f>
        <v>-0.78483625128733259</v>
      </c>
      <c r="N4504" s="30">
        <f>IFERROR((VLOOKUP($A4504,HeadJournal!$A$1:$K$890,COLUMN(HeadJournal!K$1),0)-VLOOKUP($A4504,HeadJournal!$A$1:$K$890,COLUMN(HeadJournal!J$1),0))*($K4504+$L4504)/(SUMIF($A:$A,$A4504,$K:$K)+SUMIF($A:$A,$A4504,$L:$L)),0)</f>
        <v>2.3431079710647176E-15</v>
      </c>
      <c r="O4504" s="30">
        <f>IFERROR((VLOOKUP($A4504,HeadJournal!$A$1:$L$890,COLUMN(HeadJournal!L$1),0)*($K4504+$L4504)/(SUMIF($A:$A,$A4504,$K:$K)+SUMIF($A:$A,$A4504,$L:$L)))/VLOOKUP($A4504,HeadJournal!$A$1:$L$890,COLUMN(HeadJournal!H$1),0),0)</f>
        <v>0.66041903301523763</v>
      </c>
      <c r="P4504" s="30">
        <f>IFERROR(SUM(K4504:O4504)*VLOOKUP($A4504,HeadJournal!$A$1:$L$890,COLUMN(HeadJournal!H$1),0),0)</f>
        <v>1509.569049948507</v>
      </c>
      <c r="Q4504" s="29">
        <v>2500</v>
      </c>
      <c r="R4504" s="31">
        <v>45808</v>
      </c>
      <c r="S4504" s="31" t="s">
        <v>3121</v>
      </c>
      <c r="T4504" s="95" t="str">
        <f t="shared" si="349"/>
        <v>2025 05</v>
      </c>
      <c r="U4504" s="32">
        <f t="shared" si="346"/>
        <v>990.43095005149303</v>
      </c>
      <c r="V4504" s="22">
        <f t="shared" si="347"/>
        <v>0.6561017861920776</v>
      </c>
      <c r="X4504" s="33"/>
      <c r="Y4504" s="33"/>
    </row>
    <row r="4505" spans="1:25" x14ac:dyDescent="0.2">
      <c r="A4505" s="93" t="s">
        <v>3090</v>
      </c>
      <c r="B4505" s="94" t="str">
        <f>IFERROR(VLOOKUP($A4505,HeadJournal!$A$1:$NTR$890,COLUMN(HeadJournal!B$1),0),"")</f>
        <v>722500427619</v>
      </c>
      <c r="C4505" s="94" t="str">
        <f>IFERROR(VLOOKUP($A4505,HeadJournal!$A$1:$NTR$890,COLUMN(HeadJournal!C$1),0),"")</f>
        <v>iHerb_AV CYG0792</v>
      </c>
      <c r="D4505" s="125" t="str">
        <f>IFERROR(VLOOKUP($A4505,HeadJournal!$A$1:$NTR$890,COLUMN(HeadJournal!D$1),0),"")</f>
        <v>Доставлен</v>
      </c>
      <c r="E4505" s="95">
        <f>IFERROR(VLOOKUP($A4505,HeadJournal!$A$1:$NTR$890,COLUMN(HeadJournal!G$1),0),"")</f>
        <v>45755</v>
      </c>
      <c r="F4505" s="95" t="str">
        <f t="shared" si="348"/>
        <v>2025 04</v>
      </c>
      <c r="G4505" s="97" t="s">
        <v>5</v>
      </c>
      <c r="H4505" s="161" t="s">
        <v>2196</v>
      </c>
      <c r="I4505" s="97" t="s">
        <v>2006</v>
      </c>
      <c r="J4505" s="97" t="s">
        <v>2197</v>
      </c>
      <c r="K4505" s="29">
        <v>18.03</v>
      </c>
      <c r="L4505" s="29">
        <v>-2.7050000000000001</v>
      </c>
      <c r="M4505" s="30">
        <f>IFERROR(VLOOKUP($A4505,HeadJournal!$A$1:$J$890,COLUMN(HeadJournal!I$1),0)*($K4505+$L4505)/(SUMIF($A:$A,$A4505,$K:$K)+SUMIF($A:$A,$A4505,$L:$L)),0)</f>
        <v>-0.75125643666323383</v>
      </c>
      <c r="N4505" s="30">
        <f>IFERROR((VLOOKUP($A4505,HeadJournal!$A$1:$K$890,COLUMN(HeadJournal!K$1),0)-VLOOKUP($A4505,HeadJournal!$A$1:$K$890,COLUMN(HeadJournal!J$1),0))*($K4505+$L4505)/(SUMIF($A:$A,$A4505,$K:$K)+SUMIF($A:$A,$A4505,$L:$L)),0)</f>
        <v>2.2428563183364649E-15</v>
      </c>
      <c r="O4505" s="30">
        <f>IFERROR((VLOOKUP($A4505,HeadJournal!$A$1:$L$890,COLUMN(HeadJournal!L$1),0)*($K4505+$L4505)/(SUMIF($A:$A,$A4505,$K:$K)+SUMIF($A:$A,$A4505,$L:$L)))/VLOOKUP($A4505,HeadJournal!$A$1:$L$890,COLUMN(HeadJournal!H$1),0),0)</f>
        <v>0.63216250349522285</v>
      </c>
      <c r="P4505" s="30">
        <f>IFERROR(SUM(K4505:O4505)*VLOOKUP($A4505,HeadJournal!$A$1:$L$890,COLUMN(HeadJournal!H$1),0),0)</f>
        <v>1444.9809925334714</v>
      </c>
      <c r="Q4505" s="29">
        <v>2500</v>
      </c>
      <c r="R4505" s="31">
        <v>45783</v>
      </c>
      <c r="S4505" s="31" t="s">
        <v>3121</v>
      </c>
      <c r="T4505" s="95" t="str">
        <f t="shared" si="349"/>
        <v>2025 05</v>
      </c>
      <c r="U4505" s="32">
        <f t="shared" si="346"/>
        <v>1055.0190074665286</v>
      </c>
      <c r="V4505" s="22">
        <f t="shared" si="347"/>
        <v>0.73012656423720412</v>
      </c>
      <c r="X4505" s="33"/>
      <c r="Y4505" s="33"/>
    </row>
    <row r="4506" spans="1:25" x14ac:dyDescent="0.2">
      <c r="A4506" s="93" t="s">
        <v>3090</v>
      </c>
      <c r="B4506" s="94" t="str">
        <f>IFERROR(VLOOKUP($A4506,HeadJournal!$A$1:$NTR$890,COLUMN(HeadJournal!B$1),0),"")</f>
        <v>722500427619</v>
      </c>
      <c r="C4506" s="94" t="str">
        <f>IFERROR(VLOOKUP($A4506,HeadJournal!$A$1:$NTR$890,COLUMN(HeadJournal!C$1),0),"")</f>
        <v>iHerb_AV CYG0792</v>
      </c>
      <c r="D4506" s="125" t="str">
        <f>IFERROR(VLOOKUP($A4506,HeadJournal!$A$1:$NTR$890,COLUMN(HeadJournal!D$1),0),"")</f>
        <v>Доставлен</v>
      </c>
      <c r="E4506" s="95">
        <f>IFERROR(VLOOKUP($A4506,HeadJournal!$A$1:$NTR$890,COLUMN(HeadJournal!G$1),0),"")</f>
        <v>45755</v>
      </c>
      <c r="F4506" s="95" t="str">
        <f t="shared" si="348"/>
        <v>2025 04</v>
      </c>
      <c r="G4506" s="97" t="s">
        <v>5</v>
      </c>
      <c r="H4506" s="161" t="s">
        <v>2196</v>
      </c>
      <c r="I4506" s="97" t="s">
        <v>2006</v>
      </c>
      <c r="J4506" s="97" t="s">
        <v>2197</v>
      </c>
      <c r="K4506" s="29">
        <v>18.03</v>
      </c>
      <c r="L4506" s="29">
        <v>-2.7050000000000001</v>
      </c>
      <c r="M4506" s="30">
        <f>IFERROR(VLOOKUP($A4506,HeadJournal!$A$1:$J$890,COLUMN(HeadJournal!I$1),0)*($K4506+$L4506)/(SUMIF($A:$A,$A4506,$K:$K)+SUMIF($A:$A,$A4506,$L:$L)),0)</f>
        <v>-0.75125643666323383</v>
      </c>
      <c r="N4506" s="30">
        <f>IFERROR((VLOOKUP($A4506,HeadJournal!$A$1:$K$890,COLUMN(HeadJournal!K$1),0)-VLOOKUP($A4506,HeadJournal!$A$1:$K$890,COLUMN(HeadJournal!J$1),0))*($K4506+$L4506)/(SUMIF($A:$A,$A4506,$K:$K)+SUMIF($A:$A,$A4506,$L:$L)),0)</f>
        <v>2.2428563183364649E-15</v>
      </c>
      <c r="O4506" s="30">
        <f>IFERROR((VLOOKUP($A4506,HeadJournal!$A$1:$L$890,COLUMN(HeadJournal!L$1),0)*($K4506+$L4506)/(SUMIF($A:$A,$A4506,$K:$K)+SUMIF($A:$A,$A4506,$L:$L)))/VLOOKUP($A4506,HeadJournal!$A$1:$L$890,COLUMN(HeadJournal!H$1),0),0)</f>
        <v>0.63216250349522285</v>
      </c>
      <c r="P4506" s="30">
        <f>IFERROR(SUM(K4506:O4506)*VLOOKUP($A4506,HeadJournal!$A$1:$L$890,COLUMN(HeadJournal!H$1),0),0)</f>
        <v>1444.9809925334714</v>
      </c>
      <c r="Q4506" s="29">
        <v>2500</v>
      </c>
      <c r="R4506" s="31">
        <v>45784</v>
      </c>
      <c r="S4506" s="31" t="s">
        <v>3121</v>
      </c>
      <c r="T4506" s="95" t="str">
        <f t="shared" si="349"/>
        <v>2025 05</v>
      </c>
      <c r="U4506" s="32">
        <f t="shared" si="346"/>
        <v>1055.0190074665286</v>
      </c>
      <c r="V4506" s="22">
        <f t="shared" si="347"/>
        <v>0.73012656423720412</v>
      </c>
      <c r="X4506" s="33"/>
      <c r="Y4506" s="33"/>
    </row>
    <row r="4507" spans="1:25" x14ac:dyDescent="0.2">
      <c r="A4507" s="93" t="s">
        <v>3090</v>
      </c>
      <c r="B4507" s="94" t="str">
        <f>IFERROR(VLOOKUP($A4507,HeadJournal!$A$1:$NTR$890,COLUMN(HeadJournal!B$1),0),"")</f>
        <v>722500427619</v>
      </c>
      <c r="C4507" s="94" t="str">
        <f>IFERROR(VLOOKUP($A4507,HeadJournal!$A$1:$NTR$890,COLUMN(HeadJournal!C$1),0),"")</f>
        <v>iHerb_AV CYG0792</v>
      </c>
      <c r="D4507" s="125" t="str">
        <f>IFERROR(VLOOKUP($A4507,HeadJournal!$A$1:$NTR$890,COLUMN(HeadJournal!D$1),0),"")</f>
        <v>Доставлен</v>
      </c>
      <c r="E4507" s="95">
        <f>IFERROR(VLOOKUP($A4507,HeadJournal!$A$1:$NTR$890,COLUMN(HeadJournal!G$1),0),"")</f>
        <v>45755</v>
      </c>
      <c r="F4507" s="95" t="str">
        <f t="shared" si="348"/>
        <v>2025 04</v>
      </c>
      <c r="G4507" s="97" t="s">
        <v>5</v>
      </c>
      <c r="H4507" s="161" t="s">
        <v>2211</v>
      </c>
      <c r="I4507" s="97" t="s">
        <v>2212</v>
      </c>
      <c r="J4507" s="97" t="s">
        <v>2213</v>
      </c>
      <c r="K4507" s="29">
        <v>31.14</v>
      </c>
      <c r="L4507" s="29">
        <v>-4.67</v>
      </c>
      <c r="M4507" s="30">
        <f>IFERROR(VLOOKUP($A4507,HeadJournal!$A$1:$J$890,COLUMN(HeadJournal!I$1),0)*($K4507+$L4507)/(SUMIF($A:$A,$A4507,$K:$K)+SUMIF($A:$A,$A4507,$L:$L)),0)</f>
        <v>-1.2976024716786818</v>
      </c>
      <c r="N4507" s="30">
        <f>IFERROR((VLOOKUP($A4507,HeadJournal!$A$1:$K$890,COLUMN(HeadJournal!K$1),0)-VLOOKUP($A4507,HeadJournal!$A$1:$K$890,COLUMN(HeadJournal!J$1),0))*($K4507+$L4507)/(SUMIF($A:$A,$A4507,$K:$K)+SUMIF($A:$A,$A4507,$L:$L)),0)</f>
        <v>3.8739580258640274E-15</v>
      </c>
      <c r="O4507" s="30">
        <f>IFERROR((VLOOKUP($A4507,HeadJournal!$A$1:$L$890,COLUMN(HeadJournal!L$1),0)*($K4507+$L4507)/(SUMIF($A:$A,$A4507,$K:$K)+SUMIF($A:$A,$A4507,$L:$L)))/VLOOKUP($A4507,HeadJournal!$A$1:$L$890,COLUMN(HeadJournal!H$1),0),0)</f>
        <v>1.0918983013062673</v>
      </c>
      <c r="P4507" s="30">
        <f>IFERROR(SUM(K4507:O4507)*VLOOKUP($A4507,HeadJournal!$A$1:$L$890,COLUMN(HeadJournal!H$1),0),0)</f>
        <v>2495.8334011328534</v>
      </c>
      <c r="Q4507" s="29">
        <v>3500</v>
      </c>
      <c r="R4507" s="31">
        <v>45847</v>
      </c>
      <c r="S4507" s="31"/>
      <c r="T4507" s="95" t="str">
        <f t="shared" si="349"/>
        <v>2025 07</v>
      </c>
      <c r="U4507" s="32">
        <f t="shared" si="346"/>
        <v>1004.1665988671466</v>
      </c>
      <c r="V4507" s="22">
        <f t="shared" si="347"/>
        <v>0.40233719061991779</v>
      </c>
      <c r="X4507" s="33"/>
      <c r="Y4507" s="33"/>
    </row>
    <row r="4508" spans="1:25" x14ac:dyDescent="0.2">
      <c r="A4508" s="93" t="s">
        <v>3090</v>
      </c>
      <c r="B4508" s="94" t="str">
        <f>IFERROR(VLOOKUP($A4508,HeadJournal!$A$1:$NTR$890,COLUMN(HeadJournal!B$1),0),"")</f>
        <v>722500427619</v>
      </c>
      <c r="C4508" s="94" t="str">
        <f>IFERROR(VLOOKUP($A4508,HeadJournal!$A$1:$NTR$890,COLUMN(HeadJournal!C$1),0),"")</f>
        <v>iHerb_AV CYG0792</v>
      </c>
      <c r="D4508" s="125" t="str">
        <f>IFERROR(VLOOKUP($A4508,HeadJournal!$A$1:$NTR$890,COLUMN(HeadJournal!D$1),0),"")</f>
        <v>Доставлен</v>
      </c>
      <c r="E4508" s="95">
        <f>IFERROR(VLOOKUP($A4508,HeadJournal!$A$1:$NTR$890,COLUMN(HeadJournal!G$1),0),"")</f>
        <v>45755</v>
      </c>
      <c r="F4508" s="95" t="str">
        <f t="shared" si="348"/>
        <v>2025 04</v>
      </c>
      <c r="G4508" s="97" t="s">
        <v>7</v>
      </c>
      <c r="H4508" s="161" t="s">
        <v>3087</v>
      </c>
      <c r="I4508" s="97" t="s">
        <v>3088</v>
      </c>
      <c r="J4508" s="97" t="s">
        <v>3089</v>
      </c>
      <c r="K4508" s="29">
        <v>25.85</v>
      </c>
      <c r="L4508" s="29">
        <v>-6.46</v>
      </c>
      <c r="M4508" s="30">
        <f>IFERROR(VLOOKUP($A4508,HeadJournal!$A$1:$J$890,COLUMN(HeadJournal!I$1),0)*($K4508+$L4508)/(SUMIF($A:$A,$A4508,$K:$K)+SUMIF($A:$A,$A4508,$L:$L)),0)</f>
        <v>-0.95052935118434612</v>
      </c>
      <c r="N4508" s="30">
        <f>IFERROR((VLOOKUP($A4508,HeadJournal!$A$1:$K$890,COLUMN(HeadJournal!K$1),0)-VLOOKUP($A4508,HeadJournal!$A$1:$K$890,COLUMN(HeadJournal!J$1),0))*($K4508+$L4508)/(SUMIF($A:$A,$A4508,$K:$K)+SUMIF($A:$A,$A4508,$L:$L)),0)</f>
        <v>2.8377803597092366E-15</v>
      </c>
      <c r="O4508" s="30">
        <f>IFERROR((VLOOKUP($A4508,HeadJournal!$A$1:$L$890,COLUMN(HeadJournal!L$1),0)*($K4508+$L4508)/(SUMIF($A:$A,$A4508,$K:$K)+SUMIF($A:$A,$A4508,$L:$L)))/VLOOKUP($A4508,HeadJournal!$A$1:$L$890,COLUMN(HeadJournal!H$1),0),0)</f>
        <v>0.79984541225268335</v>
      </c>
      <c r="P4508" s="30">
        <f>IFERROR(SUM(K4508:O4508)*VLOOKUP($A4508,HeadJournal!$A$1:$L$890,COLUMN(HeadJournal!H$1),0),0)</f>
        <v>1828.2663259526269</v>
      </c>
      <c r="Q4508" s="29"/>
      <c r="R4508" s="31"/>
      <c r="S4508" s="31"/>
      <c r="T4508" s="95" t="str">
        <f t="shared" si="349"/>
        <v/>
      </c>
      <c r="U4508" s="32">
        <f t="shared" si="346"/>
        <v>-1828.2663259526269</v>
      </c>
      <c r="V4508" s="22" t="str">
        <f t="shared" si="347"/>
        <v/>
      </c>
      <c r="X4508" s="33"/>
      <c r="Y4508" s="33"/>
    </row>
    <row r="4509" spans="1:25" x14ac:dyDescent="0.2">
      <c r="A4509" s="93" t="s">
        <v>3090</v>
      </c>
      <c r="B4509" s="94" t="str">
        <f>IFERROR(VLOOKUP($A4509,HeadJournal!$A$1:$NTR$890,COLUMN(HeadJournal!B$1),0),"")</f>
        <v>722500427619</v>
      </c>
      <c r="C4509" s="94" t="str">
        <f>IFERROR(VLOOKUP($A4509,HeadJournal!$A$1:$NTR$890,COLUMN(HeadJournal!C$1),0),"")</f>
        <v>iHerb_AV CYG0792</v>
      </c>
      <c r="D4509" s="125" t="str">
        <f>IFERROR(VLOOKUP($A4509,HeadJournal!$A$1:$NTR$890,COLUMN(HeadJournal!D$1),0),"")</f>
        <v>Доставлен</v>
      </c>
      <c r="E4509" s="95">
        <f>IFERROR(VLOOKUP($A4509,HeadJournal!$A$1:$NTR$890,COLUMN(HeadJournal!G$1),0),"")</f>
        <v>45755</v>
      </c>
      <c r="F4509" s="95" t="str">
        <f t="shared" si="348"/>
        <v>2025 04</v>
      </c>
      <c r="G4509" s="97" t="s">
        <v>5</v>
      </c>
      <c r="H4509" s="161" t="s">
        <v>3055</v>
      </c>
      <c r="I4509" s="97" t="s">
        <v>2491</v>
      </c>
      <c r="J4509" s="97" t="s">
        <v>3056</v>
      </c>
      <c r="K4509" s="29">
        <v>19.27</v>
      </c>
      <c r="L4509" s="29">
        <v>-9.64</v>
      </c>
      <c r="M4509" s="30">
        <f>IFERROR(VLOOKUP($A4509,HeadJournal!$A$1:$J$890,COLUMN(HeadJournal!I$1),0)*($K4509+$L4509)/(SUMIF($A:$A,$A4509,$K:$K)+SUMIF($A:$A,$A4509,$L:$L)),0)</f>
        <v>-0.47207826982492268</v>
      </c>
      <c r="N4509" s="30">
        <f>IFERROR((VLOOKUP($A4509,HeadJournal!$A$1:$K$890,COLUMN(HeadJournal!K$1),0)-VLOOKUP($A4509,HeadJournal!$A$1:$K$890,COLUMN(HeadJournal!J$1),0))*($K4509+$L4509)/(SUMIF($A:$A,$A4509,$K:$K)+SUMIF($A:$A,$A4509,$L:$L)),0)</f>
        <v>1.409377249303762E-15</v>
      </c>
      <c r="O4509" s="30">
        <f>IFERROR((VLOOKUP($A4509,HeadJournal!$A$1:$L$890,COLUMN(HeadJournal!L$1),0)*($K4509+$L4509)/(SUMIF($A:$A,$A4509,$K:$K)+SUMIF($A:$A,$A4509,$L:$L)))/VLOOKUP($A4509,HeadJournal!$A$1:$L$890,COLUMN(HeadJournal!H$1),0),0)</f>
        <v>0.39724142960254455</v>
      </c>
      <c r="P4509" s="30">
        <f>IFERROR(SUM(K4509:O4509)*VLOOKUP($A4509,HeadJournal!$A$1:$L$890,COLUMN(HeadJournal!H$1),0),0)</f>
        <v>908.00436920700338</v>
      </c>
      <c r="Q4509" s="29">
        <v>908</v>
      </c>
      <c r="R4509" s="31"/>
      <c r="S4509" s="31"/>
      <c r="T4509" s="95" t="str">
        <f t="shared" si="349"/>
        <v/>
      </c>
      <c r="U4509" s="32">
        <f t="shared" si="346"/>
        <v>-4.3692070033785058E-3</v>
      </c>
      <c r="V4509" s="22">
        <f t="shared" si="347"/>
        <v>-4.8118788318103679E-6</v>
      </c>
      <c r="X4509" s="33"/>
      <c r="Y4509" s="33"/>
    </row>
    <row r="4510" spans="1:25" x14ac:dyDescent="0.2">
      <c r="A4510" s="93" t="s">
        <v>3091</v>
      </c>
      <c r="B4510" s="94" t="str">
        <f>IFERROR(VLOOKUP($A4510,HeadJournal!$A$1:$NTR$890,COLUMN(HeadJournal!B$1),0),"")</f>
        <v>722500428790</v>
      </c>
      <c r="C4510" s="94" t="str">
        <f>IFERROR(VLOOKUP($A4510,HeadJournal!$A$1:$NTR$890,COLUMN(HeadJournal!C$1),0),"")</f>
        <v>iHerb_OA CZN6870</v>
      </c>
      <c r="D4510" s="125" t="str">
        <f>IFERROR(VLOOKUP($A4510,HeadJournal!$A$1:$NTR$890,COLUMN(HeadJournal!D$1),0),"")</f>
        <v>Доставлен</v>
      </c>
      <c r="E4510" s="95">
        <f>IFERROR(VLOOKUP($A4510,HeadJournal!$A$1:$NTR$890,COLUMN(HeadJournal!G$1),0),"")</f>
        <v>45756</v>
      </c>
      <c r="F4510" s="95" t="str">
        <f t="shared" si="348"/>
        <v>2025 04</v>
      </c>
      <c r="G4510" s="97" t="s">
        <v>5</v>
      </c>
      <c r="H4510" s="161" t="s">
        <v>2995</v>
      </c>
      <c r="I4510" s="97" t="s">
        <v>2102</v>
      </c>
      <c r="J4510" s="97" t="s">
        <v>2996</v>
      </c>
      <c r="K4510" s="29">
        <v>61.44</v>
      </c>
      <c r="L4510" s="29">
        <v>-9.2200000000000006</v>
      </c>
      <c r="M4510" s="30">
        <f>IFERROR(VLOOKUP($A4510,HeadJournal!$A$1:$J$890,COLUMN(HeadJournal!I$1),0)*($K4510+$L4510)/(SUMIF($A:$A,$A4510,$K:$K)+SUMIF($A:$A,$A4510,$L:$L)),0)</f>
        <v>0</v>
      </c>
      <c r="N4510" s="30">
        <f>IFERROR((VLOOKUP($A4510,HeadJournal!$A$1:$K$890,COLUMN(HeadJournal!K$1),0)-VLOOKUP($A4510,HeadJournal!$A$1:$K$890,COLUMN(HeadJournal!J$1),0))*($K4510+$L4510)/(SUMIF($A:$A,$A4510,$K:$K)+SUMIF($A:$A,$A4510,$L:$L)),0)</f>
        <v>0</v>
      </c>
      <c r="O4510" s="30">
        <f>IFERROR((VLOOKUP($A4510,HeadJournal!$A$1:$L$890,COLUMN(HeadJournal!L$1),0)*($K4510+$L4510)/(SUMIF($A:$A,$A4510,$K:$K)+SUMIF($A:$A,$A4510,$L:$L)))/VLOOKUP($A4510,HeadJournal!$A$1:$L$890,COLUMN(HeadJournal!H$1),0),0)</f>
        <v>2.5259007849820243</v>
      </c>
      <c r="P4510" s="30">
        <f>IFERROR(SUM(K4510:O4510)*VLOOKUP($A4510,HeadJournal!$A$1:$L$890,COLUMN(HeadJournal!H$1),0),0)</f>
        <v>5178.1218931426183</v>
      </c>
      <c r="Q4510" s="29">
        <v>6800</v>
      </c>
      <c r="R4510" s="31">
        <v>45784</v>
      </c>
      <c r="S4510" s="31" t="s">
        <v>3121</v>
      </c>
      <c r="T4510" s="95" t="str">
        <f t="shared" si="349"/>
        <v>2025 05</v>
      </c>
      <c r="U4510" s="32">
        <f t="shared" si="346"/>
        <v>1621.8781068573817</v>
      </c>
      <c r="V4510" s="22">
        <f t="shared" si="347"/>
        <v>0.31321744453432687</v>
      </c>
      <c r="X4510" s="33"/>
      <c r="Y4510" s="33"/>
    </row>
    <row r="4511" spans="1:25" x14ac:dyDescent="0.2">
      <c r="A4511" s="93" t="s">
        <v>3091</v>
      </c>
      <c r="B4511" s="94" t="str">
        <f>IFERROR(VLOOKUP($A4511,HeadJournal!$A$1:$NTR$890,COLUMN(HeadJournal!B$1),0),"")</f>
        <v>722500428790</v>
      </c>
      <c r="C4511" s="94" t="str">
        <f>IFERROR(VLOOKUP($A4511,HeadJournal!$A$1:$NTR$890,COLUMN(HeadJournal!C$1),0),"")</f>
        <v>iHerb_OA CZN6870</v>
      </c>
      <c r="D4511" s="125" t="str">
        <f>IFERROR(VLOOKUP($A4511,HeadJournal!$A$1:$NTR$890,COLUMN(HeadJournal!D$1),0),"")</f>
        <v>Доставлен</v>
      </c>
      <c r="E4511" s="95">
        <f>IFERROR(VLOOKUP($A4511,HeadJournal!$A$1:$NTR$890,COLUMN(HeadJournal!G$1),0),"")</f>
        <v>45756</v>
      </c>
      <c r="F4511" s="95" t="str">
        <f t="shared" si="348"/>
        <v>2025 04</v>
      </c>
      <c r="G4511" s="97" t="s">
        <v>5</v>
      </c>
      <c r="H4511" s="161" t="s">
        <v>2217</v>
      </c>
      <c r="I4511" s="97" t="s">
        <v>2218</v>
      </c>
      <c r="J4511" s="97" t="s">
        <v>2219</v>
      </c>
      <c r="K4511" s="29">
        <v>29.29</v>
      </c>
      <c r="L4511" s="29">
        <v>-4.3899999999999997</v>
      </c>
      <c r="M4511" s="30">
        <f>IFERROR(VLOOKUP($A4511,HeadJournal!$A$1:$J$890,COLUMN(HeadJournal!I$1),0)*($K4511+$L4511)/(SUMIF($A:$A,$A4511,$K:$K)+SUMIF($A:$A,$A4511,$L:$L)),0)</f>
        <v>0</v>
      </c>
      <c r="N4511" s="30">
        <f>IFERROR((VLOOKUP($A4511,HeadJournal!$A$1:$K$890,COLUMN(HeadJournal!K$1),0)-VLOOKUP($A4511,HeadJournal!$A$1:$K$890,COLUMN(HeadJournal!J$1),0))*($K4511+$L4511)/(SUMIF($A:$A,$A4511,$K:$K)+SUMIF($A:$A,$A4511,$L:$L)),0)</f>
        <v>0</v>
      </c>
      <c r="O4511" s="30">
        <f>IFERROR((VLOOKUP($A4511,HeadJournal!$A$1:$L$890,COLUMN(HeadJournal!L$1),0)*($K4511+$L4511)/(SUMIF($A:$A,$A4511,$K:$K)+SUMIF($A:$A,$A4511,$L:$L)))/VLOOKUP($A4511,HeadJournal!$A$1:$L$890,COLUMN(HeadJournal!H$1),0),0)</f>
        <v>1.2044222433177403</v>
      </c>
      <c r="P4511" s="30">
        <f>IFERROR(SUM(K4511:O4511)*VLOOKUP($A4511,HeadJournal!$A$1:$L$890,COLUMN(HeadJournal!H$1),0),0)</f>
        <v>2469.0776549071461</v>
      </c>
      <c r="Q4511" s="29">
        <v>3300</v>
      </c>
      <c r="R4511" s="31">
        <v>45783</v>
      </c>
      <c r="S4511" s="31" t="s">
        <v>3475</v>
      </c>
      <c r="T4511" s="95" t="str">
        <f t="shared" si="349"/>
        <v>2025 05</v>
      </c>
      <c r="U4511" s="32">
        <f t="shared" si="346"/>
        <v>830.9223450928539</v>
      </c>
      <c r="V4511" s="22">
        <f t="shared" si="347"/>
        <v>0.33653147499895142</v>
      </c>
      <c r="X4511" s="33"/>
      <c r="Y4511" s="33"/>
    </row>
    <row r="4512" spans="1:25" x14ac:dyDescent="0.2">
      <c r="A4512" s="93" t="s">
        <v>3091</v>
      </c>
      <c r="B4512" s="94" t="str">
        <f>IFERROR(VLOOKUP($A4512,HeadJournal!$A$1:$NTR$890,COLUMN(HeadJournal!B$1),0),"")</f>
        <v>722500428790</v>
      </c>
      <c r="C4512" s="94" t="str">
        <f>IFERROR(VLOOKUP($A4512,HeadJournal!$A$1:$NTR$890,COLUMN(HeadJournal!C$1),0),"")</f>
        <v>iHerb_OA CZN6870</v>
      </c>
      <c r="D4512" s="125" t="str">
        <f>IFERROR(VLOOKUP($A4512,HeadJournal!$A$1:$NTR$890,COLUMN(HeadJournal!D$1),0),"")</f>
        <v>Доставлен</v>
      </c>
      <c r="E4512" s="95">
        <f>IFERROR(VLOOKUP($A4512,HeadJournal!$A$1:$NTR$890,COLUMN(HeadJournal!G$1),0),"")</f>
        <v>45756</v>
      </c>
      <c r="F4512" s="95" t="str">
        <f t="shared" si="348"/>
        <v>2025 04</v>
      </c>
      <c r="G4512" s="97" t="s">
        <v>5</v>
      </c>
      <c r="H4512" s="161" t="s">
        <v>2956</v>
      </c>
      <c r="I4512" s="97" t="s">
        <v>2957</v>
      </c>
      <c r="J4512" s="97" t="s">
        <v>2958</v>
      </c>
      <c r="K4512" s="29">
        <v>25.97</v>
      </c>
      <c r="L4512" s="29">
        <v>-3.9</v>
      </c>
      <c r="M4512" s="30">
        <f>IFERROR(VLOOKUP($A4512,HeadJournal!$A$1:$J$890,COLUMN(HeadJournal!I$1),0)*($K4512+$L4512)/(SUMIF($A:$A,$A4512,$K:$K)+SUMIF($A:$A,$A4512,$L:$L)),0)</f>
        <v>0</v>
      </c>
      <c r="N4512" s="30">
        <f>IFERROR((VLOOKUP($A4512,HeadJournal!$A$1:$K$890,COLUMN(HeadJournal!K$1),0)-VLOOKUP($A4512,HeadJournal!$A$1:$K$890,COLUMN(HeadJournal!J$1),0))*($K4512+$L4512)/(SUMIF($A:$A,$A4512,$K:$K)+SUMIF($A:$A,$A4512,$L:$L)),0)</f>
        <v>0</v>
      </c>
      <c r="O4512" s="30">
        <f>IFERROR((VLOOKUP($A4512,HeadJournal!$A$1:$L$890,COLUMN(HeadJournal!L$1),0)*($K4512+$L4512)/(SUMIF($A:$A,$A4512,$K:$K)+SUMIF($A:$A,$A4512,$L:$L)))/VLOOKUP($A4512,HeadJournal!$A$1:$L$890,COLUMN(HeadJournal!H$1),0),0)</f>
        <v>1.0675340927719892</v>
      </c>
      <c r="P4512" s="30">
        <f>IFERROR(SUM(K4512:O4512)*VLOOKUP($A4512,HeadJournal!$A$1:$L$890,COLUMN(HeadJournal!H$1),0),0)</f>
        <v>2188.4555760562539</v>
      </c>
      <c r="Q4512" s="29">
        <v>2188.46</v>
      </c>
      <c r="R4512" s="31"/>
      <c r="S4512" s="31"/>
      <c r="T4512" s="95" t="str">
        <f t="shared" si="349"/>
        <v/>
      </c>
      <c r="U4512" s="32">
        <f t="shared" si="346"/>
        <v>4.4239437461328635E-3</v>
      </c>
      <c r="V4512" s="22">
        <f t="shared" si="347"/>
        <v>2.0214912262944407E-6</v>
      </c>
      <c r="X4512" s="33"/>
      <c r="Y4512" s="33"/>
    </row>
    <row r="4513" spans="1:25" x14ac:dyDescent="0.2">
      <c r="A4513" s="93" t="s">
        <v>3091</v>
      </c>
      <c r="B4513" s="94" t="str">
        <f>IFERROR(VLOOKUP($A4513,HeadJournal!$A$1:$NTR$890,COLUMN(HeadJournal!B$1),0),"")</f>
        <v>722500428790</v>
      </c>
      <c r="C4513" s="94" t="str">
        <f>IFERROR(VLOOKUP($A4513,HeadJournal!$A$1:$NTR$890,COLUMN(HeadJournal!C$1),0),"")</f>
        <v>iHerb_OA CZN6870</v>
      </c>
      <c r="D4513" s="125" t="str">
        <f>IFERROR(VLOOKUP($A4513,HeadJournal!$A$1:$NTR$890,COLUMN(HeadJournal!D$1),0),"")</f>
        <v>Доставлен</v>
      </c>
      <c r="E4513" s="95">
        <f>IFERROR(VLOOKUP($A4513,HeadJournal!$A$1:$NTR$890,COLUMN(HeadJournal!G$1),0),"")</f>
        <v>45756</v>
      </c>
      <c r="F4513" s="95" t="str">
        <f t="shared" si="348"/>
        <v>2025 04</v>
      </c>
      <c r="G4513" s="97" t="s">
        <v>5</v>
      </c>
      <c r="H4513" s="161" t="s">
        <v>2964</v>
      </c>
      <c r="I4513" s="97" t="s">
        <v>2965</v>
      </c>
      <c r="J4513" s="97" t="s">
        <v>2966</v>
      </c>
      <c r="K4513" s="29">
        <v>45.16</v>
      </c>
      <c r="L4513" s="29">
        <v>-6.77</v>
      </c>
      <c r="M4513" s="30">
        <f>IFERROR(VLOOKUP($A4513,HeadJournal!$A$1:$J$890,COLUMN(HeadJournal!I$1),0)*($K4513+$L4513)/(SUMIF($A:$A,$A4513,$K:$K)+SUMIF($A:$A,$A4513,$L:$L)),0)</f>
        <v>0</v>
      </c>
      <c r="N4513" s="30">
        <f>IFERROR((VLOOKUP($A4513,HeadJournal!$A$1:$K$890,COLUMN(HeadJournal!K$1),0)-VLOOKUP($A4513,HeadJournal!$A$1:$K$890,COLUMN(HeadJournal!J$1),0))*($K4513+$L4513)/(SUMIF($A:$A,$A4513,$K:$K)+SUMIF($A:$A,$A4513,$L:$L)),0)</f>
        <v>0</v>
      </c>
      <c r="O4513" s="30">
        <f>IFERROR((VLOOKUP($A4513,HeadJournal!$A$1:$L$890,COLUMN(HeadJournal!L$1),0)*($K4513+$L4513)/(SUMIF($A:$A,$A4513,$K:$K)+SUMIF($A:$A,$A4513,$L:$L)))/VLOOKUP($A4513,HeadJournal!$A$1:$L$890,COLUMN(HeadJournal!H$1),0),0)</f>
        <v>1.8569385510428935</v>
      </c>
      <c r="P4513" s="30">
        <f>IFERROR(SUM(K4513:O4513)*VLOOKUP($A4513,HeadJournal!$A$1:$L$890,COLUMN(HeadJournal!H$1),0),0)</f>
        <v>3806.742617344793</v>
      </c>
      <c r="Q4513" s="29">
        <v>3806.74</v>
      </c>
      <c r="R4513" s="31"/>
      <c r="S4513" s="31"/>
      <c r="T4513" s="95" t="str">
        <f t="shared" si="349"/>
        <v/>
      </c>
      <c r="U4513" s="32">
        <f t="shared" si="346"/>
        <v>-2.6173447931796545E-3</v>
      </c>
      <c r="V4513" s="22">
        <f t="shared" si="347"/>
        <v>-6.87554966614805E-7</v>
      </c>
      <c r="X4513" s="33"/>
      <c r="Y4513" s="33"/>
    </row>
    <row r="4514" spans="1:25" x14ac:dyDescent="0.2">
      <c r="A4514" s="93" t="s">
        <v>3091</v>
      </c>
      <c r="B4514" s="94" t="str">
        <f>IFERROR(VLOOKUP($A4514,HeadJournal!$A$1:$NTR$890,COLUMN(HeadJournal!B$1),0),"")</f>
        <v>722500428790</v>
      </c>
      <c r="C4514" s="94" t="str">
        <f>IFERROR(VLOOKUP($A4514,HeadJournal!$A$1:$NTR$890,COLUMN(HeadJournal!C$1),0),"")</f>
        <v>iHerb_OA CZN6870</v>
      </c>
      <c r="D4514" s="125" t="str">
        <f>IFERROR(VLOOKUP($A4514,HeadJournal!$A$1:$NTR$890,COLUMN(HeadJournal!D$1),0),"")</f>
        <v>Доставлен</v>
      </c>
      <c r="E4514" s="95">
        <f>IFERROR(VLOOKUP($A4514,HeadJournal!$A$1:$NTR$890,COLUMN(HeadJournal!G$1),0),"")</f>
        <v>45756</v>
      </c>
      <c r="F4514" s="95" t="str">
        <f t="shared" si="348"/>
        <v>2025 04</v>
      </c>
      <c r="G4514" s="97" t="s">
        <v>5</v>
      </c>
      <c r="H4514" s="161" t="s">
        <v>2967</v>
      </c>
      <c r="I4514" s="97" t="s">
        <v>2965</v>
      </c>
      <c r="J4514" s="97" t="s">
        <v>2968</v>
      </c>
      <c r="K4514" s="29">
        <v>22.56</v>
      </c>
      <c r="L4514" s="29">
        <v>-3.38</v>
      </c>
      <c r="M4514" s="30">
        <f>IFERROR(VLOOKUP($A4514,HeadJournal!$A$1:$J$890,COLUMN(HeadJournal!I$1),0)*($K4514+$L4514)/(SUMIF($A:$A,$A4514,$K:$K)+SUMIF($A:$A,$A4514,$L:$L)),0)</f>
        <v>0</v>
      </c>
      <c r="N4514" s="30">
        <f>IFERROR((VLOOKUP($A4514,HeadJournal!$A$1:$K$890,COLUMN(HeadJournal!K$1),0)-VLOOKUP($A4514,HeadJournal!$A$1:$K$890,COLUMN(HeadJournal!J$1),0))*($K4514+$L4514)/(SUMIF($A:$A,$A4514,$K:$K)+SUMIF($A:$A,$A4514,$L:$L)),0)</f>
        <v>0</v>
      </c>
      <c r="O4514" s="30">
        <f>IFERROR((VLOOKUP($A4514,HeadJournal!$A$1:$L$890,COLUMN(HeadJournal!L$1),0)*($K4514+$L4514)/(SUMIF($A:$A,$A4514,$K:$K)+SUMIF($A:$A,$A4514,$L:$L)))/VLOOKUP($A4514,HeadJournal!$A$1:$L$890,COLUMN(HeadJournal!H$1),0),0)</f>
        <v>0.92774371995318305</v>
      </c>
      <c r="P4514" s="30">
        <f>IFERROR(SUM(K4514:O4514)*VLOOKUP($A4514,HeadJournal!$A$1:$L$890,COLUMN(HeadJournal!H$1),0),0)</f>
        <v>1901.8839124947417</v>
      </c>
      <c r="Q4514" s="29">
        <v>1901.88</v>
      </c>
      <c r="R4514" s="31"/>
      <c r="S4514" s="31"/>
      <c r="T4514" s="95" t="str">
        <f t="shared" si="349"/>
        <v/>
      </c>
      <c r="U4514" s="32">
        <f t="shared" si="346"/>
        <v>-3.9124947415984934E-3</v>
      </c>
      <c r="V4514" s="22">
        <f t="shared" si="347"/>
        <v>-2.0571680089908278E-6</v>
      </c>
      <c r="X4514" s="33"/>
      <c r="Y4514" s="33"/>
    </row>
    <row r="4515" spans="1:25" x14ac:dyDescent="0.2">
      <c r="A4515" s="93" t="s">
        <v>3091</v>
      </c>
      <c r="B4515" s="94" t="str">
        <f>IFERROR(VLOOKUP($A4515,HeadJournal!$A$1:$NTR$890,COLUMN(HeadJournal!B$1),0),"")</f>
        <v>722500428790</v>
      </c>
      <c r="C4515" s="94" t="str">
        <f>IFERROR(VLOOKUP($A4515,HeadJournal!$A$1:$NTR$890,COLUMN(HeadJournal!C$1),0),"")</f>
        <v>iHerb_OA CZN6870</v>
      </c>
      <c r="D4515" s="125" t="str">
        <f>IFERROR(VLOOKUP($A4515,HeadJournal!$A$1:$NTR$890,COLUMN(HeadJournal!D$1),0),"")</f>
        <v>Доставлен</v>
      </c>
      <c r="E4515" s="95">
        <f>IFERROR(VLOOKUP($A4515,HeadJournal!$A$1:$NTR$890,COLUMN(HeadJournal!G$1),0),"")</f>
        <v>45756</v>
      </c>
      <c r="F4515" s="95" t="str">
        <f t="shared" si="348"/>
        <v>2025 04</v>
      </c>
      <c r="G4515" s="97" t="s">
        <v>5</v>
      </c>
      <c r="H4515" s="161" t="s">
        <v>3055</v>
      </c>
      <c r="I4515" s="97" t="s">
        <v>2491</v>
      </c>
      <c r="J4515" s="97" t="s">
        <v>3056</v>
      </c>
      <c r="K4515" s="29">
        <v>19.27</v>
      </c>
      <c r="L4515" s="29">
        <v>-9.64</v>
      </c>
      <c r="M4515" s="30">
        <f>IFERROR(VLOOKUP($A4515,HeadJournal!$A$1:$J$890,COLUMN(HeadJournal!I$1),0)*($K4515+$L4515)/(SUMIF($A:$A,$A4515,$K:$K)+SUMIF($A:$A,$A4515,$L:$L)),0)</f>
        <v>0</v>
      </c>
      <c r="N4515" s="30">
        <f>IFERROR((VLOOKUP($A4515,HeadJournal!$A$1:$K$890,COLUMN(HeadJournal!K$1),0)-VLOOKUP($A4515,HeadJournal!$A$1:$K$890,COLUMN(HeadJournal!J$1),0))*($K4515+$L4515)/(SUMIF($A:$A,$A4515,$K:$K)+SUMIF($A:$A,$A4515,$L:$L)),0)</f>
        <v>0</v>
      </c>
      <c r="O4515" s="30">
        <f>IFERROR((VLOOKUP($A4515,HeadJournal!$A$1:$L$890,COLUMN(HeadJournal!L$1),0)*($K4515+$L4515)/(SUMIF($A:$A,$A4515,$K:$K)+SUMIF($A:$A,$A4515,$L:$L)))/VLOOKUP($A4515,HeadJournal!$A$1:$L$890,COLUMN(HeadJournal!H$1),0),0)</f>
        <v>0.4658066748252947</v>
      </c>
      <c r="P4515" s="30">
        <f>IFERROR(SUM(K4515:O4515)*VLOOKUP($A4515,HeadJournal!$A$1:$L$890,COLUMN(HeadJournal!H$1),0),0)</f>
        <v>954.90834605445048</v>
      </c>
      <c r="Q4515" s="29">
        <v>954.91</v>
      </c>
      <c r="R4515" s="31"/>
      <c r="S4515" s="31"/>
      <c r="T4515" s="95" t="str">
        <f t="shared" si="349"/>
        <v/>
      </c>
      <c r="U4515" s="32">
        <f t="shared" si="346"/>
        <v>1.653945549492164E-3</v>
      </c>
      <c r="V4515" s="22">
        <f t="shared" si="347"/>
        <v>1.7320463857353838E-6</v>
      </c>
      <c r="X4515" s="33"/>
      <c r="Y4515" s="33"/>
    </row>
    <row r="4516" spans="1:25" x14ac:dyDescent="0.2">
      <c r="A4516" s="93" t="s">
        <v>3098</v>
      </c>
      <c r="B4516" s="94" t="str">
        <f>IFERROR(VLOOKUP($A4516,HeadJournal!$A$1:$NTR$890,COLUMN(HeadJournal!B$1),0),"")</f>
        <v>720000648074</v>
      </c>
      <c r="C4516" s="94" t="str">
        <f>IFERROR(VLOOKUP($A4516,HeadJournal!$A$1:$NTR$890,COLUMN(HeadJournal!C$1),0),"")</f>
        <v>iHerb_VP DFD1605</v>
      </c>
      <c r="D4516" s="125" t="str">
        <f>IFERROR(VLOOKUP($A4516,HeadJournal!$A$1:$NTR$890,COLUMN(HeadJournal!D$1),0),"")</f>
        <v>Доставлен</v>
      </c>
      <c r="E4516" s="95">
        <f>IFERROR(VLOOKUP($A4516,HeadJournal!$A$1:$NTR$890,COLUMN(HeadJournal!G$1),0),"")</f>
        <v>45758</v>
      </c>
      <c r="F4516" s="95" t="str">
        <f t="shared" si="348"/>
        <v>2025 04</v>
      </c>
      <c r="G4516" s="97" t="s">
        <v>5</v>
      </c>
      <c r="H4516" s="161" t="s">
        <v>2453</v>
      </c>
      <c r="I4516" s="97" t="s">
        <v>2052</v>
      </c>
      <c r="J4516" s="97" t="s">
        <v>2454</v>
      </c>
      <c r="K4516" s="29">
        <v>24.97</v>
      </c>
      <c r="L4516" s="29">
        <v>-7.49</v>
      </c>
      <c r="M4516" s="30">
        <f>IFERROR(VLOOKUP($A4516,HeadJournal!$A$1:$J$890,COLUMN(HeadJournal!I$1),0)*($K4516+$L4516)/(SUMIF($A:$A,$A4516,$K:$K)+SUMIF($A:$A,$A4516,$L:$L)),0)</f>
        <v>0</v>
      </c>
      <c r="N4516" s="30">
        <f>IFERROR((VLOOKUP($A4516,HeadJournal!$A$1:$K$890,COLUMN(HeadJournal!K$1),0)-VLOOKUP($A4516,HeadJournal!$A$1:$K$890,COLUMN(HeadJournal!J$1),0))*($K4516+$L4516)/(SUMIF($A:$A,$A4516,$K:$K)+SUMIF($A:$A,$A4516,$L:$L)),0)</f>
        <v>4.9993608135191155E-15</v>
      </c>
      <c r="O4516" s="30">
        <f>IFERROR((VLOOKUP($A4516,HeadJournal!$A$1:$L$890,COLUMN(HeadJournal!L$1),0)*($K4516+$L4516)/(SUMIF($A:$A,$A4516,$K:$K)+SUMIF($A:$A,$A4516,$L:$L)))/VLOOKUP($A4516,HeadJournal!$A$1:$L$890,COLUMN(HeadJournal!H$1),0),0)</f>
        <v>0.70668186955117851</v>
      </c>
      <c r="P4516" s="30">
        <f>IFERROR(SUM(K4516:O4516)*VLOOKUP($A4516,HeadJournal!$A$1:$L$890,COLUMN(HeadJournal!H$1),0),0)</f>
        <v>1723.0231688050319</v>
      </c>
      <c r="Q4516" s="29">
        <v>3100</v>
      </c>
      <c r="R4516" s="31">
        <v>45785</v>
      </c>
      <c r="S4516" s="31" t="s">
        <v>3121</v>
      </c>
      <c r="T4516" s="95" t="str">
        <f t="shared" si="349"/>
        <v>2025 05</v>
      </c>
      <c r="U4516" s="32">
        <f t="shared" si="346"/>
        <v>1376.9768311949681</v>
      </c>
      <c r="V4516" s="22">
        <f t="shared" si="347"/>
        <v>0.79916327077014448</v>
      </c>
      <c r="X4516" s="33"/>
      <c r="Y4516" s="33"/>
    </row>
    <row r="4517" spans="1:25" x14ac:dyDescent="0.2">
      <c r="A4517" s="93" t="s">
        <v>3098</v>
      </c>
      <c r="B4517" s="94" t="str">
        <f>IFERROR(VLOOKUP($A4517,HeadJournal!$A$1:$NTR$890,COLUMN(HeadJournal!B$1),0),"")</f>
        <v>720000648074</v>
      </c>
      <c r="C4517" s="94" t="str">
        <f>IFERROR(VLOOKUP($A4517,HeadJournal!$A$1:$NTR$890,COLUMN(HeadJournal!C$1),0),"")</f>
        <v>iHerb_VP DFD1605</v>
      </c>
      <c r="D4517" s="125" t="str">
        <f>IFERROR(VLOOKUP($A4517,HeadJournal!$A$1:$NTR$890,COLUMN(HeadJournal!D$1),0),"")</f>
        <v>Доставлен</v>
      </c>
      <c r="E4517" s="95">
        <f>IFERROR(VLOOKUP($A4517,HeadJournal!$A$1:$NTR$890,COLUMN(HeadJournal!G$1),0),"")</f>
        <v>45758</v>
      </c>
      <c r="F4517" s="95" t="str">
        <f t="shared" si="348"/>
        <v>2025 04</v>
      </c>
      <c r="G4517" s="97" t="s">
        <v>5</v>
      </c>
      <c r="H4517" s="161" t="s">
        <v>3092</v>
      </c>
      <c r="I4517" s="97" t="s">
        <v>2056</v>
      </c>
      <c r="J4517" s="97" t="s">
        <v>3093</v>
      </c>
      <c r="K4517" s="29">
        <v>42.55</v>
      </c>
      <c r="L4517" s="29">
        <v>-4.26</v>
      </c>
      <c r="M4517" s="30">
        <f>IFERROR(VLOOKUP($A4517,HeadJournal!$A$1:$J$890,COLUMN(HeadJournal!I$1),0)*($K4517+$L4517)/(SUMIF($A:$A,$A4517,$K:$K)+SUMIF($A:$A,$A4517,$L:$L)),0)</f>
        <v>0</v>
      </c>
      <c r="N4517" s="30">
        <f>IFERROR((VLOOKUP($A4517,HeadJournal!$A$1:$K$890,COLUMN(HeadJournal!K$1),0)-VLOOKUP($A4517,HeadJournal!$A$1:$K$890,COLUMN(HeadJournal!J$1),0))*($K4517+$L4517)/(SUMIF($A:$A,$A4517,$K:$K)+SUMIF($A:$A,$A4517,$L:$L)),0)</f>
        <v>1.0951117022291015E-14</v>
      </c>
      <c r="O4517" s="30">
        <f>IFERROR((VLOOKUP($A4517,HeadJournal!$A$1:$L$890,COLUMN(HeadJournal!L$1),0)*($K4517+$L4517)/(SUMIF($A:$A,$A4517,$K:$K)+SUMIF($A:$A,$A4517,$L:$L)))/VLOOKUP($A4517,HeadJournal!$A$1:$L$890,COLUMN(HeadJournal!H$1),0),0)</f>
        <v>1.5479890609333311</v>
      </c>
      <c r="P4517" s="30">
        <f>IFERROR(SUM(K4517:O4517)*VLOOKUP($A4517,HeadJournal!$A$1:$L$890,COLUMN(HeadJournal!H$1),0),0)</f>
        <v>3774.2881655345932</v>
      </c>
      <c r="Q4517" s="29">
        <v>4200</v>
      </c>
      <c r="R4517" s="31">
        <v>45783</v>
      </c>
      <c r="S4517" s="31" t="s">
        <v>3475</v>
      </c>
      <c r="T4517" s="95" t="str">
        <f t="shared" si="349"/>
        <v>2025 05</v>
      </c>
      <c r="U4517" s="32">
        <f t="shared" si="346"/>
        <v>425.71183446540681</v>
      </c>
      <c r="V4517" s="22">
        <f t="shared" si="347"/>
        <v>0.1127926156653459</v>
      </c>
      <c r="X4517" s="33"/>
      <c r="Y4517" s="33"/>
    </row>
    <row r="4518" spans="1:25" x14ac:dyDescent="0.2">
      <c r="A4518" s="93" t="s">
        <v>3098</v>
      </c>
      <c r="B4518" s="94" t="str">
        <f>IFERROR(VLOOKUP($A4518,HeadJournal!$A$1:$NTR$890,COLUMN(HeadJournal!B$1),0),"")</f>
        <v>720000648074</v>
      </c>
      <c r="C4518" s="94" t="str">
        <f>IFERROR(VLOOKUP($A4518,HeadJournal!$A$1:$NTR$890,COLUMN(HeadJournal!C$1),0),"")</f>
        <v>iHerb_VP DFD1605</v>
      </c>
      <c r="D4518" s="125" t="str">
        <f>IFERROR(VLOOKUP($A4518,HeadJournal!$A$1:$NTR$890,COLUMN(HeadJournal!D$1),0),"")</f>
        <v>Доставлен</v>
      </c>
      <c r="E4518" s="95">
        <f>IFERROR(VLOOKUP($A4518,HeadJournal!$A$1:$NTR$890,COLUMN(HeadJournal!G$1),0),"")</f>
        <v>45758</v>
      </c>
      <c r="F4518" s="95" t="str">
        <f t="shared" si="348"/>
        <v>2025 04</v>
      </c>
      <c r="G4518" s="97" t="s">
        <v>5</v>
      </c>
      <c r="H4518" s="161" t="s">
        <v>3094</v>
      </c>
      <c r="I4518" s="97" t="s">
        <v>3095</v>
      </c>
      <c r="J4518" s="97" t="s">
        <v>3096</v>
      </c>
      <c r="K4518" s="29">
        <v>94.19</v>
      </c>
      <c r="L4518" s="29">
        <v>-9.42</v>
      </c>
      <c r="M4518" s="30">
        <f>IFERROR(VLOOKUP($A4518,HeadJournal!$A$1:$J$890,COLUMN(HeadJournal!I$1),0)*($K4518+$L4518)/(SUMIF($A:$A,$A4518,$K:$K)+SUMIF($A:$A,$A4518,$L:$L)),0)</f>
        <v>0</v>
      </c>
      <c r="N4518" s="30">
        <f>IFERROR((VLOOKUP($A4518,HeadJournal!$A$1:$K$890,COLUMN(HeadJournal!K$1),0)-VLOOKUP($A4518,HeadJournal!$A$1:$K$890,COLUMN(HeadJournal!J$1),0))*($K4518+$L4518)/(SUMIF($A:$A,$A4518,$K:$K)+SUMIF($A:$A,$A4518,$L:$L)),0)</f>
        <v>2.4244611908582121E-14</v>
      </c>
      <c r="O4518" s="30">
        <f>IFERROR((VLOOKUP($A4518,HeadJournal!$A$1:$L$890,COLUMN(HeadJournal!L$1),0)*($K4518+$L4518)/(SUMIF($A:$A,$A4518,$K:$K)+SUMIF($A:$A,$A4518,$L:$L)))/VLOOKUP($A4518,HeadJournal!$A$1:$L$890,COLUMN(HeadJournal!H$1),0),0)</f>
        <v>3.4270836431266254</v>
      </c>
      <c r="P4518" s="30">
        <f>IFERROR(SUM(K4518:O4518)*VLOOKUP($A4518,HeadJournal!$A$1:$L$890,COLUMN(HeadJournal!H$1),0),0)</f>
        <v>8355.8737997484313</v>
      </c>
      <c r="Q4518" s="29">
        <v>9450</v>
      </c>
      <c r="R4518" s="31">
        <v>45783</v>
      </c>
      <c r="S4518" s="31" t="s">
        <v>3475</v>
      </c>
      <c r="T4518" s="95" t="str">
        <f t="shared" si="349"/>
        <v>2025 05</v>
      </c>
      <c r="U4518" s="32">
        <f t="shared" si="346"/>
        <v>1094.1262002515687</v>
      </c>
      <c r="V4518" s="22">
        <f t="shared" si="347"/>
        <v>0.13094096757235721</v>
      </c>
      <c r="X4518" s="33"/>
      <c r="Y4518" s="33"/>
    </row>
    <row r="4519" spans="1:25" x14ac:dyDescent="0.2">
      <c r="A4519" s="93" t="s">
        <v>3098</v>
      </c>
      <c r="B4519" s="94" t="str">
        <f>IFERROR(VLOOKUP($A4519,HeadJournal!$A$1:$NTR$890,COLUMN(HeadJournal!B$1),0),"")</f>
        <v>720000648074</v>
      </c>
      <c r="C4519" s="94" t="str">
        <f>IFERROR(VLOOKUP($A4519,HeadJournal!$A$1:$NTR$890,COLUMN(HeadJournal!C$1),0),"")</f>
        <v>iHerb_VP DFD1605</v>
      </c>
      <c r="D4519" s="125" t="str">
        <f>IFERROR(VLOOKUP($A4519,HeadJournal!$A$1:$NTR$890,COLUMN(HeadJournal!D$1),0),"")</f>
        <v>Доставлен</v>
      </c>
      <c r="E4519" s="95">
        <f>IFERROR(VLOOKUP($A4519,HeadJournal!$A$1:$NTR$890,COLUMN(HeadJournal!G$1),0),"")</f>
        <v>45758</v>
      </c>
      <c r="F4519" s="95" t="str">
        <f t="shared" si="348"/>
        <v>2025 04</v>
      </c>
      <c r="G4519" s="97" t="s">
        <v>5</v>
      </c>
      <c r="H4519" s="161" t="s">
        <v>2051</v>
      </c>
      <c r="I4519" s="97" t="s">
        <v>2052</v>
      </c>
      <c r="J4519" s="97" t="s">
        <v>3097</v>
      </c>
      <c r="K4519" s="29">
        <v>20.79</v>
      </c>
      <c r="L4519" s="29">
        <v>-6.2374999999999998</v>
      </c>
      <c r="M4519" s="30">
        <f>IFERROR(VLOOKUP($A4519,HeadJournal!$A$1:$J$890,COLUMN(HeadJournal!I$1),0)*($K4519+$L4519)/(SUMIF($A:$A,$A4519,$K:$K)+SUMIF($A:$A,$A4519,$L:$L)),0)</f>
        <v>0</v>
      </c>
      <c r="N4519" s="30">
        <f>IFERROR((VLOOKUP($A4519,HeadJournal!$A$1:$K$890,COLUMN(HeadJournal!K$1),0)-VLOOKUP($A4519,HeadJournal!$A$1:$K$890,COLUMN(HeadJournal!J$1),0))*($K4519+$L4519)/(SUMIF($A:$A,$A4519,$K:$K)+SUMIF($A:$A,$A4519,$L:$L)),0)</f>
        <v>4.1620822791039435E-15</v>
      </c>
      <c r="O4519" s="30">
        <f>IFERROR((VLOOKUP($A4519,HeadJournal!$A$1:$L$890,COLUMN(HeadJournal!L$1),0)*($K4519+$L4519)/(SUMIF($A:$A,$A4519,$K:$K)+SUMIF($A:$A,$A4519,$L:$L)))/VLOOKUP($A4519,HeadJournal!$A$1:$L$890,COLUMN(HeadJournal!H$1),0),0)</f>
        <v>0.58832882761118566</v>
      </c>
      <c r="P4519" s="30">
        <f>IFERROR(SUM(K4519:O4519)*VLOOKUP($A4519,HeadJournal!$A$1:$L$890,COLUMN(HeadJournal!H$1),0),0)</f>
        <v>1434.4562164779879</v>
      </c>
      <c r="Q4519" s="29">
        <v>2300</v>
      </c>
      <c r="R4519" s="31">
        <v>45789</v>
      </c>
      <c r="S4519" s="31" t="s">
        <v>3220</v>
      </c>
      <c r="T4519" s="95" t="str">
        <f t="shared" si="349"/>
        <v>2025 05</v>
      </c>
      <c r="U4519" s="32">
        <f t="shared" si="346"/>
        <v>865.54378352201206</v>
      </c>
      <c r="V4519" s="22">
        <f t="shared" si="347"/>
        <v>0.60339505213144584</v>
      </c>
      <c r="X4519" s="33"/>
      <c r="Y4519" s="33"/>
    </row>
    <row r="4520" spans="1:25" x14ac:dyDescent="0.2">
      <c r="A4520" s="93" t="s">
        <v>3098</v>
      </c>
      <c r="B4520" s="94" t="str">
        <f>IFERROR(VLOOKUP($A4520,HeadJournal!$A$1:$NTR$890,COLUMN(HeadJournal!B$1),0),"")</f>
        <v>720000648074</v>
      </c>
      <c r="C4520" s="94" t="str">
        <f>IFERROR(VLOOKUP($A4520,HeadJournal!$A$1:$NTR$890,COLUMN(HeadJournal!C$1),0),"")</f>
        <v>iHerb_VP DFD1605</v>
      </c>
      <c r="D4520" s="125" t="str">
        <f>IFERROR(VLOOKUP($A4520,HeadJournal!$A$1:$NTR$890,COLUMN(HeadJournal!D$1),0),"")</f>
        <v>Доставлен</v>
      </c>
      <c r="E4520" s="95">
        <f>IFERROR(VLOOKUP($A4520,HeadJournal!$A$1:$NTR$890,COLUMN(HeadJournal!G$1),0),"")</f>
        <v>45758</v>
      </c>
      <c r="F4520" s="95" t="str">
        <f t="shared" si="348"/>
        <v>2025 04</v>
      </c>
      <c r="G4520" s="97" t="s">
        <v>5</v>
      </c>
      <c r="H4520" s="161" t="s">
        <v>2051</v>
      </c>
      <c r="I4520" s="97" t="s">
        <v>2052</v>
      </c>
      <c r="J4520" s="97" t="s">
        <v>3097</v>
      </c>
      <c r="K4520" s="29">
        <v>20.79</v>
      </c>
      <c r="L4520" s="29">
        <v>-6.2374999999999998</v>
      </c>
      <c r="M4520" s="30">
        <f>IFERROR(VLOOKUP($A4520,HeadJournal!$A$1:$J$890,COLUMN(HeadJournal!I$1),0)*($K4520+$L4520)/(SUMIF($A:$A,$A4520,$K:$K)+SUMIF($A:$A,$A4520,$L:$L)),0)</f>
        <v>0</v>
      </c>
      <c r="N4520" s="30">
        <f>IFERROR((VLOOKUP($A4520,HeadJournal!$A$1:$K$890,COLUMN(HeadJournal!K$1),0)-VLOOKUP($A4520,HeadJournal!$A$1:$K$890,COLUMN(HeadJournal!J$1),0))*($K4520+$L4520)/(SUMIF($A:$A,$A4520,$K:$K)+SUMIF($A:$A,$A4520,$L:$L)),0)</f>
        <v>4.1620822791039435E-15</v>
      </c>
      <c r="O4520" s="30">
        <f>IFERROR((VLOOKUP($A4520,HeadJournal!$A$1:$L$890,COLUMN(HeadJournal!L$1),0)*($K4520+$L4520)/(SUMIF($A:$A,$A4520,$K:$K)+SUMIF($A:$A,$A4520,$L:$L)))/VLOOKUP($A4520,HeadJournal!$A$1:$L$890,COLUMN(HeadJournal!H$1),0),0)</f>
        <v>0.58832882761118566</v>
      </c>
      <c r="P4520" s="30">
        <f>IFERROR(SUM(K4520:O4520)*VLOOKUP($A4520,HeadJournal!$A$1:$L$890,COLUMN(HeadJournal!H$1),0),0)</f>
        <v>1434.4562164779879</v>
      </c>
      <c r="Q4520" s="29">
        <v>2300</v>
      </c>
      <c r="R4520" s="31">
        <v>45789</v>
      </c>
      <c r="S4520" s="31" t="s">
        <v>3220</v>
      </c>
      <c r="T4520" s="95" t="str">
        <f t="shared" si="349"/>
        <v>2025 05</v>
      </c>
      <c r="U4520" s="32">
        <f t="shared" si="346"/>
        <v>865.54378352201206</v>
      </c>
      <c r="V4520" s="22">
        <f t="shared" si="347"/>
        <v>0.60339505213144584</v>
      </c>
      <c r="X4520" s="33"/>
      <c r="Y4520" s="33"/>
    </row>
    <row r="4521" spans="1:25" x14ac:dyDescent="0.2">
      <c r="A4521" s="93" t="s">
        <v>3098</v>
      </c>
      <c r="B4521" s="94" t="str">
        <f>IFERROR(VLOOKUP($A4521,HeadJournal!$A$1:$NTR$890,COLUMN(HeadJournal!B$1),0),"")</f>
        <v>720000648074</v>
      </c>
      <c r="C4521" s="94" t="str">
        <f>IFERROR(VLOOKUP($A4521,HeadJournal!$A$1:$NTR$890,COLUMN(HeadJournal!C$1),0),"")</f>
        <v>iHerb_VP DFD1605</v>
      </c>
      <c r="D4521" s="125" t="str">
        <f>IFERROR(VLOOKUP($A4521,HeadJournal!$A$1:$NTR$890,COLUMN(HeadJournal!D$1),0),"")</f>
        <v>Доставлен</v>
      </c>
      <c r="E4521" s="95">
        <f>IFERROR(VLOOKUP($A4521,HeadJournal!$A$1:$NTR$890,COLUMN(HeadJournal!G$1),0),"")</f>
        <v>45758</v>
      </c>
      <c r="F4521" s="95" t="str">
        <f t="shared" si="348"/>
        <v>2025 04</v>
      </c>
      <c r="G4521" s="97" t="s">
        <v>5</v>
      </c>
      <c r="H4521" s="161" t="s">
        <v>2051</v>
      </c>
      <c r="I4521" s="97" t="s">
        <v>2052</v>
      </c>
      <c r="J4521" s="97" t="s">
        <v>3097</v>
      </c>
      <c r="K4521" s="29">
        <v>20.79</v>
      </c>
      <c r="L4521" s="29">
        <v>-6.2374999999999998</v>
      </c>
      <c r="M4521" s="30">
        <f>IFERROR(VLOOKUP($A4521,HeadJournal!$A$1:$J$890,COLUMN(HeadJournal!I$1),0)*($K4521+$L4521)/(SUMIF($A:$A,$A4521,$K:$K)+SUMIF($A:$A,$A4521,$L:$L)),0)</f>
        <v>0</v>
      </c>
      <c r="N4521" s="30">
        <f>IFERROR((VLOOKUP($A4521,HeadJournal!$A$1:$K$890,COLUMN(HeadJournal!K$1),0)-VLOOKUP($A4521,HeadJournal!$A$1:$K$890,COLUMN(HeadJournal!J$1),0))*($K4521+$L4521)/(SUMIF($A:$A,$A4521,$K:$K)+SUMIF($A:$A,$A4521,$L:$L)),0)</f>
        <v>4.1620822791039435E-15</v>
      </c>
      <c r="O4521" s="30">
        <f>IFERROR((VLOOKUP($A4521,HeadJournal!$A$1:$L$890,COLUMN(HeadJournal!L$1),0)*($K4521+$L4521)/(SUMIF($A:$A,$A4521,$K:$K)+SUMIF($A:$A,$A4521,$L:$L)))/VLOOKUP($A4521,HeadJournal!$A$1:$L$890,COLUMN(HeadJournal!H$1),0),0)</f>
        <v>0.58832882761118566</v>
      </c>
      <c r="P4521" s="30">
        <f>IFERROR(SUM(K4521:O4521)*VLOOKUP($A4521,HeadJournal!$A$1:$L$890,COLUMN(HeadJournal!H$1),0),0)</f>
        <v>1434.4562164779879</v>
      </c>
      <c r="Q4521" s="29">
        <v>2300</v>
      </c>
      <c r="R4521" s="31">
        <v>45791</v>
      </c>
      <c r="S4521" s="31" t="s">
        <v>3270</v>
      </c>
      <c r="T4521" s="95" t="str">
        <f t="shared" si="349"/>
        <v>2025 05</v>
      </c>
      <c r="U4521" s="32">
        <f t="shared" si="346"/>
        <v>865.54378352201206</v>
      </c>
      <c r="V4521" s="22">
        <f t="shared" si="347"/>
        <v>0.60339505213144584</v>
      </c>
      <c r="X4521" s="33"/>
      <c r="Y4521" s="33"/>
    </row>
    <row r="4522" spans="1:25" x14ac:dyDescent="0.2">
      <c r="A4522" s="93" t="s">
        <v>3098</v>
      </c>
      <c r="B4522" s="94" t="str">
        <f>IFERROR(VLOOKUP($A4522,HeadJournal!$A$1:$NTR$890,COLUMN(HeadJournal!B$1),0),"")</f>
        <v>720000648074</v>
      </c>
      <c r="C4522" s="94" t="str">
        <f>IFERROR(VLOOKUP($A4522,HeadJournal!$A$1:$NTR$890,COLUMN(HeadJournal!C$1),0),"")</f>
        <v>iHerb_VP DFD1605</v>
      </c>
      <c r="D4522" s="125" t="str">
        <f>IFERROR(VLOOKUP($A4522,HeadJournal!$A$1:$NTR$890,COLUMN(HeadJournal!D$1),0),"")</f>
        <v>Доставлен</v>
      </c>
      <c r="E4522" s="95">
        <f>IFERROR(VLOOKUP($A4522,HeadJournal!$A$1:$NTR$890,COLUMN(HeadJournal!G$1),0),"")</f>
        <v>45758</v>
      </c>
      <c r="F4522" s="95" t="str">
        <f t="shared" si="348"/>
        <v>2025 04</v>
      </c>
      <c r="G4522" s="97" t="s">
        <v>5</v>
      </c>
      <c r="H4522" s="161" t="s">
        <v>2051</v>
      </c>
      <c r="I4522" s="97" t="s">
        <v>2052</v>
      </c>
      <c r="J4522" s="97" t="s">
        <v>3097</v>
      </c>
      <c r="K4522" s="29">
        <v>20.79</v>
      </c>
      <c r="L4522" s="29">
        <v>-6.2374999999999998</v>
      </c>
      <c r="M4522" s="30">
        <f>IFERROR(VLOOKUP($A4522,HeadJournal!$A$1:$J$890,COLUMN(HeadJournal!I$1),0)*($K4522+$L4522)/(SUMIF($A:$A,$A4522,$K:$K)+SUMIF($A:$A,$A4522,$L:$L)),0)</f>
        <v>0</v>
      </c>
      <c r="N4522" s="30">
        <f>IFERROR((VLOOKUP($A4522,HeadJournal!$A$1:$K$890,COLUMN(HeadJournal!K$1),0)-VLOOKUP($A4522,HeadJournal!$A$1:$K$890,COLUMN(HeadJournal!J$1),0))*($K4522+$L4522)/(SUMIF($A:$A,$A4522,$K:$K)+SUMIF($A:$A,$A4522,$L:$L)),0)</f>
        <v>4.1620822791039435E-15</v>
      </c>
      <c r="O4522" s="30">
        <f>IFERROR((VLOOKUP($A4522,HeadJournal!$A$1:$L$890,COLUMN(HeadJournal!L$1),0)*($K4522+$L4522)/(SUMIF($A:$A,$A4522,$K:$K)+SUMIF($A:$A,$A4522,$L:$L)))/VLOOKUP($A4522,HeadJournal!$A$1:$L$890,COLUMN(HeadJournal!H$1),0),0)</f>
        <v>0.58832882761118566</v>
      </c>
      <c r="P4522" s="30">
        <f>IFERROR(SUM(K4522:O4522)*VLOOKUP($A4522,HeadJournal!$A$1:$L$890,COLUMN(HeadJournal!H$1),0),0)</f>
        <v>1434.4562164779879</v>
      </c>
      <c r="Q4522" s="29">
        <v>2300</v>
      </c>
      <c r="R4522" s="31">
        <v>45792</v>
      </c>
      <c r="S4522" s="31" t="s">
        <v>3121</v>
      </c>
      <c r="T4522" s="95" t="str">
        <f t="shared" si="349"/>
        <v>2025 05</v>
      </c>
      <c r="U4522" s="32">
        <f t="shared" si="346"/>
        <v>865.54378352201206</v>
      </c>
      <c r="V4522" s="22">
        <f t="shared" si="347"/>
        <v>0.60339505213144584</v>
      </c>
      <c r="X4522" s="33"/>
      <c r="Y4522" s="33"/>
    </row>
    <row r="4523" spans="1:25" x14ac:dyDescent="0.2">
      <c r="A4523" s="93" t="s">
        <v>3110</v>
      </c>
      <c r="B4523" s="94" t="str">
        <f>IFERROR(VLOOKUP($A4523,HeadJournal!$A$1:$NTR$890,COLUMN(HeadJournal!B$1),0),"")</f>
        <v>720000653114</v>
      </c>
      <c r="C4523" s="94" t="str">
        <f>IFERROR(VLOOKUP($A4523,HeadJournal!$A$1:$NTR$890,COLUMN(HeadJournal!C$1),0),"")</f>
        <v>iHerb_VP DFD1605</v>
      </c>
      <c r="D4523" s="125" t="str">
        <f>IFERROR(VLOOKUP($A4523,HeadJournal!$A$1:$NTR$890,COLUMN(HeadJournal!D$1),0),"")</f>
        <v>Доставлен</v>
      </c>
      <c r="E4523" s="95">
        <f>IFERROR(VLOOKUP($A4523,HeadJournal!$A$1:$NTR$890,COLUMN(HeadJournal!G$1),0),"")</f>
        <v>45765</v>
      </c>
      <c r="F4523" s="95" t="str">
        <f t="shared" si="348"/>
        <v>2025 04</v>
      </c>
      <c r="G4523" s="97" t="s">
        <v>5</v>
      </c>
      <c r="H4523" s="161" t="s">
        <v>2665</v>
      </c>
      <c r="I4523" s="97" t="s">
        <v>2666</v>
      </c>
      <c r="J4523" s="97" t="s">
        <v>3930</v>
      </c>
      <c r="K4523" s="29">
        <v>10.8</v>
      </c>
      <c r="L4523" s="29">
        <v>-1.08</v>
      </c>
      <c r="M4523" s="30">
        <f>IFERROR(VLOOKUP($A4523,HeadJournal!$A$1:$J$890,COLUMN(HeadJournal!I$1),0)*($K4523+$L4523)/(SUMIF($A:$A,$A4523,$K:$K)+SUMIF($A:$A,$A4523,$L:$L)),0)</f>
        <v>-0.26536241374099634</v>
      </c>
      <c r="N4523" s="30">
        <f>IFERROR((VLOOKUP($A4523,HeadJournal!$A$1:$K$890,COLUMN(HeadJournal!K$1),0)-VLOOKUP($A4523,HeadJournal!$A$1:$K$890,COLUMN(HeadJournal!J$1),0))*($K4523+$L4523)/(SUMIF($A:$A,$A4523,$K:$K)+SUMIF($A:$A,$A4523,$L:$L)),0)</f>
        <v>0</v>
      </c>
      <c r="O4523" s="30">
        <f>IFERROR((VLOOKUP($A4523,HeadJournal!$A$1:$L$890,COLUMN(HeadJournal!L$1),0)*($K4523+$L4523)/(SUMIF($A:$A,$A4523,$K:$K)+SUMIF($A:$A,$A4523,$L:$L)))/VLOOKUP($A4523,HeadJournal!$A$1:$L$890,COLUMN(HeadJournal!H$1),0),0)</f>
        <v>0.52676007759696042</v>
      </c>
      <c r="P4523" s="30">
        <f>IFERROR(SUM(K4523:O4523)*VLOOKUP($A4523,HeadJournal!$A$1:$L$890,COLUMN(HeadJournal!H$1),0),0)</f>
        <v>941.63950435702418</v>
      </c>
      <c r="Q4523" s="29">
        <v>1700</v>
      </c>
      <c r="R4523" s="31">
        <v>45792</v>
      </c>
      <c r="S4523" s="31" t="s">
        <v>3235</v>
      </c>
      <c r="T4523" s="95" t="str">
        <f t="shared" si="349"/>
        <v>2025 05</v>
      </c>
      <c r="U4523" s="32">
        <f t="shared" si="346"/>
        <v>758.36049564297582</v>
      </c>
      <c r="V4523" s="22">
        <f t="shared" si="347"/>
        <v>0.8053618100493819</v>
      </c>
      <c r="X4523" s="33"/>
      <c r="Y4523" s="33"/>
    </row>
    <row r="4524" spans="1:25" x14ac:dyDescent="0.2">
      <c r="A4524" s="93" t="s">
        <v>3110</v>
      </c>
      <c r="B4524" s="94" t="str">
        <f>IFERROR(VLOOKUP($A4524,HeadJournal!$A$1:$NTR$890,COLUMN(HeadJournal!B$1),0),"")</f>
        <v>720000653114</v>
      </c>
      <c r="C4524" s="94" t="str">
        <f>IFERROR(VLOOKUP($A4524,HeadJournal!$A$1:$NTR$890,COLUMN(HeadJournal!C$1),0),"")</f>
        <v>iHerb_VP DFD1605</v>
      </c>
      <c r="D4524" s="125" t="str">
        <f>IFERROR(VLOOKUP($A4524,HeadJournal!$A$1:$NTR$890,COLUMN(HeadJournal!D$1),0),"")</f>
        <v>Доставлен</v>
      </c>
      <c r="E4524" s="95">
        <f>IFERROR(VLOOKUP($A4524,HeadJournal!$A$1:$NTR$890,COLUMN(HeadJournal!G$1),0),"")</f>
        <v>45765</v>
      </c>
      <c r="F4524" s="95" t="str">
        <f t="shared" si="348"/>
        <v>2025 04</v>
      </c>
      <c r="G4524" s="97" t="s">
        <v>5</v>
      </c>
      <c r="H4524" s="161" t="s">
        <v>3099</v>
      </c>
      <c r="I4524" s="97" t="s">
        <v>2005</v>
      </c>
      <c r="J4524" s="97" t="s">
        <v>3100</v>
      </c>
      <c r="K4524" s="29">
        <v>24.53</v>
      </c>
      <c r="L4524" s="29">
        <v>-2.4500000000000002</v>
      </c>
      <c r="M4524" s="30">
        <f>IFERROR(VLOOKUP($A4524,HeadJournal!$A$1:$J$890,COLUMN(HeadJournal!I$1),0)*($K4524+$L4524)/(SUMIF($A:$A,$A4524,$K:$K)+SUMIF($A:$A,$A4524,$L:$L)),0)</f>
        <v>-0.60279856948572008</v>
      </c>
      <c r="N4524" s="30">
        <f>IFERROR((VLOOKUP($A4524,HeadJournal!$A$1:$K$890,COLUMN(HeadJournal!K$1),0)-VLOOKUP($A4524,HeadJournal!$A$1:$K$890,COLUMN(HeadJournal!J$1),0))*($K4524+$L4524)/(SUMIF($A:$A,$A4524,$K:$K)+SUMIF($A:$A,$A4524,$L:$L)),0)</f>
        <v>0</v>
      </c>
      <c r="O4524" s="30">
        <f>IFERROR((VLOOKUP($A4524,HeadJournal!$A$1:$L$890,COLUMN(HeadJournal!L$1),0)*($K4524+$L4524)/(SUMIF($A:$A,$A4524,$K:$K)+SUMIF($A:$A,$A4524,$L:$L)))/VLOOKUP($A4524,HeadJournal!$A$1:$L$890,COLUMN(HeadJournal!H$1),0),0)</f>
        <v>1.1965907935535891</v>
      </c>
      <c r="P4524" s="30">
        <f>IFERROR(SUM(K4524:O4524)*VLOOKUP($A4524,HeadJournal!$A$1:$L$890,COLUMN(HeadJournal!H$1),0),0)</f>
        <v>2139.0329481690424</v>
      </c>
      <c r="Q4524" s="29">
        <v>2800</v>
      </c>
      <c r="R4524" s="31">
        <v>45792</v>
      </c>
      <c r="S4524" s="31" t="s">
        <v>3475</v>
      </c>
      <c r="T4524" s="95" t="str">
        <f t="shared" si="349"/>
        <v>2025 05</v>
      </c>
      <c r="U4524" s="32">
        <f t="shared" si="346"/>
        <v>660.96705183095764</v>
      </c>
      <c r="V4524" s="22">
        <f t="shared" si="347"/>
        <v>0.30900274462659799</v>
      </c>
      <c r="X4524" s="33"/>
      <c r="Y4524" s="33"/>
    </row>
    <row r="4525" spans="1:25" x14ac:dyDescent="0.2">
      <c r="A4525" s="93" t="s">
        <v>3110</v>
      </c>
      <c r="B4525" s="94" t="str">
        <f>IFERROR(VLOOKUP($A4525,HeadJournal!$A$1:$NTR$890,COLUMN(HeadJournal!B$1),0),"")</f>
        <v>720000653114</v>
      </c>
      <c r="C4525" s="94" t="str">
        <f>IFERROR(VLOOKUP($A4525,HeadJournal!$A$1:$NTR$890,COLUMN(HeadJournal!C$1),0),"")</f>
        <v>iHerb_VP DFD1605</v>
      </c>
      <c r="D4525" s="125" t="str">
        <f>IFERROR(VLOOKUP($A4525,HeadJournal!$A$1:$NTR$890,COLUMN(HeadJournal!D$1),0),"")</f>
        <v>Доставлен</v>
      </c>
      <c r="E4525" s="95">
        <f>IFERROR(VLOOKUP($A4525,HeadJournal!$A$1:$NTR$890,COLUMN(HeadJournal!G$1),0),"")</f>
        <v>45765</v>
      </c>
      <c r="F4525" s="95" t="str">
        <f t="shared" si="348"/>
        <v>2025 04</v>
      </c>
      <c r="G4525" s="97" t="s">
        <v>5</v>
      </c>
      <c r="H4525" s="161" t="s">
        <v>2196</v>
      </c>
      <c r="I4525" s="97" t="s">
        <v>2006</v>
      </c>
      <c r="J4525" s="97" t="s">
        <v>2197</v>
      </c>
      <c r="K4525" s="29">
        <v>18.03</v>
      </c>
      <c r="L4525" s="29">
        <v>-1.8049999999999999</v>
      </c>
      <c r="M4525" s="30">
        <f>IFERROR(VLOOKUP($A4525,HeadJournal!$A$1:$J$890,COLUMN(HeadJournal!I$1),0)*($K4525+$L4525)/(SUMIF($A:$A,$A4525,$K:$K)+SUMIF($A:$A,$A4525,$L:$L)),0)</f>
        <v>-0.44295320606457467</v>
      </c>
      <c r="N4525" s="30">
        <f>IFERROR((VLOOKUP($A4525,HeadJournal!$A$1:$K$890,COLUMN(HeadJournal!K$1),0)-VLOOKUP($A4525,HeadJournal!$A$1:$K$890,COLUMN(HeadJournal!J$1),0))*($K4525+$L4525)/(SUMIF($A:$A,$A4525,$K:$K)+SUMIF($A:$A,$A4525,$L:$L)),0)</f>
        <v>0</v>
      </c>
      <c r="O4525" s="30">
        <f>IFERROR((VLOOKUP($A4525,HeadJournal!$A$1:$L$890,COLUMN(HeadJournal!L$1),0)*($K4525+$L4525)/(SUMIF($A:$A,$A4525,$K:$K)+SUMIF($A:$A,$A4525,$L:$L)))/VLOOKUP($A4525,HeadJournal!$A$1:$L$890,COLUMN(HeadJournal!H$1),0),0)</f>
        <v>0.87928829825212784</v>
      </c>
      <c r="P4525" s="30">
        <f>IFERROR(SUM(K4525:O4525)*VLOOKUP($A4525,HeadJournal!$A$1:$L$890,COLUMN(HeadJournal!H$1),0),0)</f>
        <v>1571.8210862338187</v>
      </c>
      <c r="Q4525" s="29">
        <v>2500</v>
      </c>
      <c r="R4525" s="31">
        <v>45806</v>
      </c>
      <c r="S4525" s="31" t="s">
        <v>3121</v>
      </c>
      <c r="T4525" s="95" t="str">
        <f t="shared" si="349"/>
        <v>2025 05</v>
      </c>
      <c r="U4525" s="32">
        <f t="shared" si="346"/>
        <v>928.17891376618127</v>
      </c>
      <c r="V4525" s="22">
        <f t="shared" si="347"/>
        <v>0.59051180945164428</v>
      </c>
      <c r="X4525" s="33"/>
      <c r="Y4525" s="33"/>
    </row>
    <row r="4526" spans="1:25" x14ac:dyDescent="0.2">
      <c r="A4526" s="93" t="s">
        <v>3110</v>
      </c>
      <c r="B4526" s="94" t="str">
        <f>IFERROR(VLOOKUP($A4526,HeadJournal!$A$1:$NTR$890,COLUMN(HeadJournal!B$1),0),"")</f>
        <v>720000653114</v>
      </c>
      <c r="C4526" s="94" t="str">
        <f>IFERROR(VLOOKUP($A4526,HeadJournal!$A$1:$NTR$890,COLUMN(HeadJournal!C$1),0),"")</f>
        <v>iHerb_VP DFD1605</v>
      </c>
      <c r="D4526" s="125" t="str">
        <f>IFERROR(VLOOKUP($A4526,HeadJournal!$A$1:$NTR$890,COLUMN(HeadJournal!D$1),0),"")</f>
        <v>Доставлен</v>
      </c>
      <c r="E4526" s="95">
        <f>IFERROR(VLOOKUP($A4526,HeadJournal!$A$1:$NTR$890,COLUMN(HeadJournal!G$1),0),"")</f>
        <v>45765</v>
      </c>
      <c r="F4526" s="95" t="str">
        <f t="shared" si="348"/>
        <v>2025 04</v>
      </c>
      <c r="G4526" s="97" t="s">
        <v>5</v>
      </c>
      <c r="H4526" s="161" t="s">
        <v>2196</v>
      </c>
      <c r="I4526" s="97" t="s">
        <v>2006</v>
      </c>
      <c r="J4526" s="97" t="s">
        <v>2197</v>
      </c>
      <c r="K4526" s="29">
        <v>18.03</v>
      </c>
      <c r="L4526" s="29">
        <v>-1.8049999999999999</v>
      </c>
      <c r="M4526" s="30">
        <f>IFERROR(VLOOKUP($A4526,HeadJournal!$A$1:$J$890,COLUMN(HeadJournal!I$1),0)*($K4526+$L4526)/(SUMIF($A:$A,$A4526,$K:$K)+SUMIF($A:$A,$A4526,$L:$L)),0)</f>
        <v>-0.44295320606457467</v>
      </c>
      <c r="N4526" s="30">
        <f>IFERROR((VLOOKUP($A4526,HeadJournal!$A$1:$K$890,COLUMN(HeadJournal!K$1),0)-VLOOKUP($A4526,HeadJournal!$A$1:$K$890,COLUMN(HeadJournal!J$1),0))*($K4526+$L4526)/(SUMIF($A:$A,$A4526,$K:$K)+SUMIF($A:$A,$A4526,$L:$L)),0)</f>
        <v>0</v>
      </c>
      <c r="O4526" s="30">
        <f>IFERROR((VLOOKUP($A4526,HeadJournal!$A$1:$L$890,COLUMN(HeadJournal!L$1),0)*($K4526+$L4526)/(SUMIF($A:$A,$A4526,$K:$K)+SUMIF($A:$A,$A4526,$L:$L)))/VLOOKUP($A4526,HeadJournal!$A$1:$L$890,COLUMN(HeadJournal!H$1),0),0)</f>
        <v>0.87928829825212784</v>
      </c>
      <c r="P4526" s="30">
        <f>IFERROR(SUM(K4526:O4526)*VLOOKUP($A4526,HeadJournal!$A$1:$L$890,COLUMN(HeadJournal!H$1),0),0)</f>
        <v>1571.8210862338187</v>
      </c>
      <c r="Q4526" s="29">
        <v>2400</v>
      </c>
      <c r="R4526" s="31">
        <v>45853</v>
      </c>
      <c r="S4526" s="31"/>
      <c r="T4526" s="95" t="str">
        <f t="shared" si="349"/>
        <v>2025 07</v>
      </c>
      <c r="U4526" s="32">
        <f t="shared" si="346"/>
        <v>828.17891376618127</v>
      </c>
      <c r="V4526" s="22">
        <f t="shared" si="347"/>
        <v>0.52689133707357849</v>
      </c>
      <c r="X4526" s="33"/>
      <c r="Y4526" s="33"/>
    </row>
    <row r="4527" spans="1:25" x14ac:dyDescent="0.2">
      <c r="A4527" s="93" t="s">
        <v>3110</v>
      </c>
      <c r="B4527" s="94" t="str">
        <f>IFERROR(VLOOKUP($A4527,HeadJournal!$A$1:$NTR$890,COLUMN(HeadJournal!B$1),0),"")</f>
        <v>720000653114</v>
      </c>
      <c r="C4527" s="94" t="str">
        <f>IFERROR(VLOOKUP($A4527,HeadJournal!$A$1:$NTR$890,COLUMN(HeadJournal!C$1),0),"")</f>
        <v>iHerb_VP DFD1605</v>
      </c>
      <c r="D4527" s="125" t="str">
        <f>IFERROR(VLOOKUP($A4527,HeadJournal!$A$1:$NTR$890,COLUMN(HeadJournal!D$1),0),"")</f>
        <v>Доставлен</v>
      </c>
      <c r="E4527" s="95">
        <f>IFERROR(VLOOKUP($A4527,HeadJournal!$A$1:$NTR$890,COLUMN(HeadJournal!G$1),0),"")</f>
        <v>45765</v>
      </c>
      <c r="F4527" s="95" t="str">
        <f t="shared" si="348"/>
        <v>2025 04</v>
      </c>
      <c r="G4527" s="97" t="s">
        <v>5</v>
      </c>
      <c r="H4527" s="161" t="s">
        <v>3101</v>
      </c>
      <c r="I4527" s="97" t="s">
        <v>2102</v>
      </c>
      <c r="J4527" s="97" t="s">
        <v>3102</v>
      </c>
      <c r="K4527" s="29">
        <v>12.58</v>
      </c>
      <c r="L4527" s="29">
        <v>-1.26</v>
      </c>
      <c r="M4527" s="30">
        <f>IFERROR(VLOOKUP($A4527,HeadJournal!$A$1:$J$890,COLUMN(HeadJournal!I$1),0)*($K4527+$L4527)/(SUMIF($A:$A,$A4527,$K:$K)+SUMIF($A:$A,$A4527,$L:$L)),0)</f>
        <v>-0.30904346950083111</v>
      </c>
      <c r="N4527" s="30">
        <f>IFERROR((VLOOKUP($A4527,HeadJournal!$A$1:$K$890,COLUMN(HeadJournal!K$1),0)-VLOOKUP($A4527,HeadJournal!$A$1:$K$890,COLUMN(HeadJournal!J$1),0))*($K4527+$L4527)/(SUMIF($A:$A,$A4527,$K:$K)+SUMIF($A:$A,$A4527,$L:$L)),0)</f>
        <v>0</v>
      </c>
      <c r="O4527" s="30">
        <f>IFERROR((VLOOKUP($A4527,HeadJournal!$A$1:$L$890,COLUMN(HeadJournal!L$1),0)*($K4527+$L4527)/(SUMIF($A:$A,$A4527,$K:$K)+SUMIF($A:$A,$A4527,$L:$L)))/VLOOKUP($A4527,HeadJournal!$A$1:$L$890,COLUMN(HeadJournal!H$1),0),0)</f>
        <v>0.61346955539069881</v>
      </c>
      <c r="P4527" s="30">
        <f>IFERROR(SUM(K4527:O4527)*VLOOKUP($A4527,HeadJournal!$A$1:$L$890,COLUMN(HeadJournal!H$1),0),0)</f>
        <v>1096.6418919055054</v>
      </c>
      <c r="Q4527" s="29">
        <v>1800</v>
      </c>
      <c r="R4527" s="31">
        <v>45792</v>
      </c>
      <c r="S4527" s="31" t="s">
        <v>3509</v>
      </c>
      <c r="T4527" s="95" t="str">
        <f t="shared" si="349"/>
        <v>2025 05</v>
      </c>
      <c r="U4527" s="32">
        <f t="shared" si="346"/>
        <v>703.35810809449458</v>
      </c>
      <c r="V4527" s="22">
        <f t="shared" si="347"/>
        <v>0.64137446625566352</v>
      </c>
      <c r="X4527" s="33"/>
      <c r="Y4527" s="33"/>
    </row>
    <row r="4528" spans="1:25" x14ac:dyDescent="0.2">
      <c r="A4528" s="93" t="s">
        <v>3110</v>
      </c>
      <c r="B4528" s="94" t="str">
        <f>IFERROR(VLOOKUP($A4528,HeadJournal!$A$1:$NTR$890,COLUMN(HeadJournal!B$1),0),"")</f>
        <v>720000653114</v>
      </c>
      <c r="C4528" s="94" t="str">
        <f>IFERROR(VLOOKUP($A4528,HeadJournal!$A$1:$NTR$890,COLUMN(HeadJournal!C$1),0),"")</f>
        <v>iHerb_VP DFD1605</v>
      </c>
      <c r="D4528" s="125" t="str">
        <f>IFERROR(VLOOKUP($A4528,HeadJournal!$A$1:$NTR$890,COLUMN(HeadJournal!D$1),0),"")</f>
        <v>Доставлен</v>
      </c>
      <c r="E4528" s="95">
        <f>IFERROR(VLOOKUP($A4528,HeadJournal!$A$1:$NTR$890,COLUMN(HeadJournal!G$1),0),"")</f>
        <v>45765</v>
      </c>
      <c r="F4528" s="95" t="str">
        <f t="shared" si="348"/>
        <v>2025 04</v>
      </c>
      <c r="G4528" s="97" t="s">
        <v>5</v>
      </c>
      <c r="H4528" s="161" t="s">
        <v>2422</v>
      </c>
      <c r="I4528" s="97" t="s">
        <v>2005</v>
      </c>
      <c r="J4528" s="97" t="s">
        <v>2423</v>
      </c>
      <c r="K4528" s="29">
        <v>40.26</v>
      </c>
      <c r="L4528" s="29">
        <v>-4.03</v>
      </c>
      <c r="M4528" s="30">
        <f>IFERROR(VLOOKUP($A4528,HeadJournal!$A$1:$J$890,COLUMN(HeadJournal!I$1),0)*($K4528+$L4528)/(SUMIF($A:$A,$A4528,$K:$K)+SUMIF($A:$A,$A4528,$L:$L)),0)</f>
        <v>-0.98910290636175879</v>
      </c>
      <c r="N4528" s="30">
        <f>IFERROR((VLOOKUP($A4528,HeadJournal!$A$1:$K$890,COLUMN(HeadJournal!K$1),0)-VLOOKUP($A4528,HeadJournal!$A$1:$K$890,COLUMN(HeadJournal!J$1),0))*($K4528+$L4528)/(SUMIF($A:$A,$A4528,$K:$K)+SUMIF($A:$A,$A4528,$L:$L)),0)</f>
        <v>0</v>
      </c>
      <c r="O4528" s="30">
        <f>IFERROR((VLOOKUP($A4528,HeadJournal!$A$1:$L$890,COLUMN(HeadJournal!L$1),0)*($K4528+$L4528)/(SUMIF($A:$A,$A4528,$K:$K)+SUMIF($A:$A,$A4528,$L:$L)))/VLOOKUP($A4528,HeadJournal!$A$1:$L$890,COLUMN(HeadJournal!H$1),0),0)</f>
        <v>1.9634277377919622</v>
      </c>
      <c r="P4528" s="30">
        <f>IFERROR(SUM(K4528:O4528)*VLOOKUP($A4528,HeadJournal!$A$1:$L$890,COLUMN(HeadJournal!H$1),0),0)</f>
        <v>3509.8353130509236</v>
      </c>
      <c r="Q4528" s="29">
        <v>4400</v>
      </c>
      <c r="R4528" s="31">
        <v>45791</v>
      </c>
      <c r="S4528" s="31" t="s">
        <v>3121</v>
      </c>
      <c r="T4528" s="95" t="str">
        <f t="shared" si="349"/>
        <v>2025 05</v>
      </c>
      <c r="U4528" s="32">
        <f t="shared" si="346"/>
        <v>890.16468694907644</v>
      </c>
      <c r="V4528" s="22">
        <f t="shared" si="347"/>
        <v>0.25362007261112801</v>
      </c>
      <c r="X4528" s="33"/>
      <c r="Y4528" s="33"/>
    </row>
    <row r="4529" spans="1:25" x14ac:dyDescent="0.2">
      <c r="A4529" s="93" t="s">
        <v>3110</v>
      </c>
      <c r="B4529" s="94" t="str">
        <f>IFERROR(VLOOKUP($A4529,HeadJournal!$A$1:$NTR$890,COLUMN(HeadJournal!B$1),0),"")</f>
        <v>720000653114</v>
      </c>
      <c r="C4529" s="94" t="str">
        <f>IFERROR(VLOOKUP($A4529,HeadJournal!$A$1:$NTR$890,COLUMN(HeadJournal!C$1),0),"")</f>
        <v>iHerb_VP DFD1605</v>
      </c>
      <c r="D4529" s="125" t="str">
        <f>IFERROR(VLOOKUP($A4529,HeadJournal!$A$1:$NTR$890,COLUMN(HeadJournal!D$1),0),"")</f>
        <v>Доставлен</v>
      </c>
      <c r="E4529" s="95">
        <f>IFERROR(VLOOKUP($A4529,HeadJournal!$A$1:$NTR$890,COLUMN(HeadJournal!G$1),0),"")</f>
        <v>45765</v>
      </c>
      <c r="F4529" s="95" t="str">
        <f t="shared" si="348"/>
        <v>2025 04</v>
      </c>
      <c r="G4529" s="97" t="s">
        <v>5</v>
      </c>
      <c r="H4529" s="161" t="s">
        <v>3103</v>
      </c>
      <c r="I4529" s="97" t="s">
        <v>2005</v>
      </c>
      <c r="J4529" s="97" t="s">
        <v>3104</v>
      </c>
      <c r="K4529" s="29">
        <v>26.09</v>
      </c>
      <c r="L4529" s="29">
        <v>-2.61</v>
      </c>
      <c r="M4529" s="30">
        <f>IFERROR(VLOOKUP($A4529,HeadJournal!$A$1:$J$890,COLUMN(HeadJournal!I$1),0)*($K4529+$L4529)/(SUMIF($A:$A,$A4529,$K:$K)+SUMIF($A:$A,$A4529,$L:$L)),0)</f>
        <v>-0.6410194932755755</v>
      </c>
      <c r="N4529" s="30">
        <f>IFERROR((VLOOKUP($A4529,HeadJournal!$A$1:$K$890,COLUMN(HeadJournal!K$1),0)-VLOOKUP($A4529,HeadJournal!$A$1:$K$890,COLUMN(HeadJournal!J$1),0))*($K4529+$L4529)/(SUMIF($A:$A,$A4529,$K:$K)+SUMIF($A:$A,$A4529,$L:$L)),0)</f>
        <v>0</v>
      </c>
      <c r="O4529" s="30">
        <f>IFERROR((VLOOKUP($A4529,HeadJournal!$A$1:$L$890,COLUMN(HeadJournal!L$1),0)*($K4529+$L4529)/(SUMIF($A:$A,$A4529,$K:$K)+SUMIF($A:$A,$A4529,$L:$L)))/VLOOKUP($A4529,HeadJournal!$A$1:$L$890,COLUMN(HeadJournal!H$1),0),0)</f>
        <v>1.2724615866231102</v>
      </c>
      <c r="P4529" s="30">
        <f>IFERROR(SUM(K4529:O4529)*VLOOKUP($A4529,HeadJournal!$A$1:$L$890,COLUMN(HeadJournal!H$1),0),0)</f>
        <v>2274.6600372739636</v>
      </c>
      <c r="Q4529" s="29">
        <v>3200</v>
      </c>
      <c r="R4529" s="31">
        <v>45792</v>
      </c>
      <c r="S4529" s="31" t="s">
        <v>3235</v>
      </c>
      <c r="T4529" s="95" t="str">
        <f t="shared" si="349"/>
        <v>2025 05</v>
      </c>
      <c r="U4529" s="32">
        <f t="shared" si="346"/>
        <v>925.33996272603645</v>
      </c>
      <c r="V4529" s="22">
        <f t="shared" si="347"/>
        <v>0.40680363111975099</v>
      </c>
      <c r="X4529" s="33"/>
      <c r="Y4529" s="33"/>
    </row>
    <row r="4530" spans="1:25" x14ac:dyDescent="0.2">
      <c r="A4530" s="93" t="s">
        <v>3110</v>
      </c>
      <c r="B4530" s="94" t="str">
        <f>IFERROR(VLOOKUP($A4530,HeadJournal!$A$1:$NTR$890,COLUMN(HeadJournal!B$1),0),"")</f>
        <v>720000653114</v>
      </c>
      <c r="C4530" s="94" t="str">
        <f>IFERROR(VLOOKUP($A4530,HeadJournal!$A$1:$NTR$890,COLUMN(HeadJournal!C$1),0),"")</f>
        <v>iHerb_VP DFD1605</v>
      </c>
      <c r="D4530" s="125" t="str">
        <f>IFERROR(VLOOKUP($A4530,HeadJournal!$A$1:$NTR$890,COLUMN(HeadJournal!D$1),0),"")</f>
        <v>Доставлен</v>
      </c>
      <c r="E4530" s="95">
        <f>IFERROR(VLOOKUP($A4530,HeadJournal!$A$1:$NTR$890,COLUMN(HeadJournal!G$1),0),"")</f>
        <v>45765</v>
      </c>
      <c r="F4530" s="95" t="str">
        <f t="shared" si="348"/>
        <v>2025 04</v>
      </c>
      <c r="G4530" s="97" t="s">
        <v>6</v>
      </c>
      <c r="H4530" s="161" t="s">
        <v>3105</v>
      </c>
      <c r="I4530" s="97" t="s">
        <v>3106</v>
      </c>
      <c r="J4530" s="97" t="s">
        <v>3107</v>
      </c>
      <c r="K4530" s="29">
        <v>40.090000000000003</v>
      </c>
      <c r="L4530" s="29">
        <v>-25.1</v>
      </c>
      <c r="M4530" s="30">
        <f>IFERROR(VLOOKUP($A4530,HeadJournal!$A$1:$J$890,COLUMN(HeadJournal!I$1),0)*($K4530+$L4530)/(SUMIF($A:$A,$A4530,$K:$K)+SUMIF($A:$A,$A4530,$L:$L)),0)</f>
        <v>-0.40923689114995215</v>
      </c>
      <c r="N4530" s="30">
        <f>IFERROR((VLOOKUP($A4530,HeadJournal!$A$1:$K$890,COLUMN(HeadJournal!K$1),0)-VLOOKUP($A4530,HeadJournal!$A$1:$K$890,COLUMN(HeadJournal!J$1),0))*($K4530+$L4530)/(SUMIF($A:$A,$A4530,$K:$K)+SUMIF($A:$A,$A4530,$L:$L)),0)</f>
        <v>0</v>
      </c>
      <c r="O4530" s="30">
        <f>IFERROR((VLOOKUP($A4530,HeadJournal!$A$1:$L$890,COLUMN(HeadJournal!L$1),0)*($K4530+$L4530)/(SUMIF($A:$A,$A4530,$K:$K)+SUMIF($A:$A,$A4530,$L:$L)))/VLOOKUP($A4530,HeadJournal!$A$1:$L$890,COLUMN(HeadJournal!H$1),0),0)</f>
        <v>0.81235942008008621</v>
      </c>
      <c r="P4530" s="30">
        <f>IFERROR(SUM(K4530:O4530)*VLOOKUP($A4530,HeadJournal!$A$1:$L$890,COLUMN(HeadJournal!H$1),0),0)</f>
        <v>1452.1786183448348</v>
      </c>
      <c r="Q4530" s="29"/>
      <c r="R4530" s="31"/>
      <c r="S4530" s="31"/>
      <c r="T4530" s="95" t="str">
        <f t="shared" si="349"/>
        <v/>
      </c>
      <c r="U4530" s="32">
        <f t="shared" si="346"/>
        <v>-1452.1786183448348</v>
      </c>
      <c r="V4530" s="22" t="str">
        <f t="shared" si="347"/>
        <v/>
      </c>
      <c r="X4530" s="33"/>
      <c r="Y4530" s="33"/>
    </row>
    <row r="4531" spans="1:25" x14ac:dyDescent="0.2">
      <c r="A4531" s="93" t="s">
        <v>3110</v>
      </c>
      <c r="B4531" s="94" t="str">
        <f>IFERROR(VLOOKUP($A4531,HeadJournal!$A$1:$NTR$890,COLUMN(HeadJournal!B$1),0),"")</f>
        <v>720000653114</v>
      </c>
      <c r="C4531" s="94" t="str">
        <f>IFERROR(VLOOKUP($A4531,HeadJournal!$A$1:$NTR$890,COLUMN(HeadJournal!C$1),0),"")</f>
        <v>iHerb_VP DFD1605</v>
      </c>
      <c r="D4531" s="125" t="str">
        <f>IFERROR(VLOOKUP($A4531,HeadJournal!$A$1:$NTR$890,COLUMN(HeadJournal!D$1),0),"")</f>
        <v>Доставлен</v>
      </c>
      <c r="E4531" s="95">
        <f>IFERROR(VLOOKUP($A4531,HeadJournal!$A$1:$NTR$890,COLUMN(HeadJournal!G$1),0),"")</f>
        <v>45765</v>
      </c>
      <c r="F4531" s="95" t="str">
        <f t="shared" si="348"/>
        <v>2025 04</v>
      </c>
      <c r="G4531" s="97" t="s">
        <v>6</v>
      </c>
      <c r="H4531" s="161" t="s">
        <v>3108</v>
      </c>
      <c r="I4531" s="97" t="s">
        <v>2052</v>
      </c>
      <c r="J4531" s="97" t="s">
        <v>3109</v>
      </c>
      <c r="K4531" s="29">
        <v>35.29</v>
      </c>
      <c r="L4531" s="29">
        <v>-10.59</v>
      </c>
      <c r="M4531" s="30">
        <f>IFERROR(VLOOKUP($A4531,HeadJournal!$A$1:$J$890,COLUMN(HeadJournal!I$1),0)*($K4531+$L4531)/(SUMIF($A:$A,$A4531,$K:$K)+SUMIF($A:$A,$A4531,$L:$L)),0)</f>
        <v>-0.6743262982924495</v>
      </c>
      <c r="N4531" s="30">
        <f>IFERROR((VLOOKUP($A4531,HeadJournal!$A$1:$K$890,COLUMN(HeadJournal!K$1),0)-VLOOKUP($A4531,HeadJournal!$A$1:$K$890,COLUMN(HeadJournal!J$1),0))*($K4531+$L4531)/(SUMIF($A:$A,$A4531,$K:$K)+SUMIF($A:$A,$A4531,$L:$L)),0)</f>
        <v>0</v>
      </c>
      <c r="O4531" s="30">
        <f>IFERROR((VLOOKUP($A4531,HeadJournal!$A$1:$L$890,COLUMN(HeadJournal!L$1),0)*($K4531+$L4531)/(SUMIF($A:$A,$A4531,$K:$K)+SUMIF($A:$A,$A4531,$L:$L)))/VLOOKUP($A4531,HeadJournal!$A$1:$L$890,COLUMN(HeadJournal!H$1),0),0)</f>
        <v>1.3385775634408357</v>
      </c>
      <c r="P4531" s="30">
        <f>IFERROR(SUM(K4531:O4531)*VLOOKUP($A4531,HeadJournal!$A$1:$L$890,COLUMN(HeadJournal!H$1),0),0)</f>
        <v>2392.8493577796808</v>
      </c>
      <c r="Q4531" s="29">
        <v>3800</v>
      </c>
      <c r="R4531" s="31">
        <v>45792</v>
      </c>
      <c r="S4531" s="31" t="s">
        <v>3121</v>
      </c>
      <c r="T4531" s="95" t="str">
        <f t="shared" si="349"/>
        <v>2025 05</v>
      </c>
      <c r="U4531" s="32">
        <f t="shared" si="346"/>
        <v>1407.1506422203192</v>
      </c>
      <c r="V4531" s="22">
        <f t="shared" si="347"/>
        <v>0.58806486820633419</v>
      </c>
      <c r="X4531" s="33"/>
      <c r="Y4531" s="33"/>
    </row>
    <row r="4532" spans="1:25" x14ac:dyDescent="0.2">
      <c r="A4532" s="93" t="s">
        <v>3110</v>
      </c>
      <c r="B4532" s="94" t="str">
        <f>IFERROR(VLOOKUP($A4532,HeadJournal!$A$1:$NTR$890,COLUMN(HeadJournal!B$1),0),"")</f>
        <v>720000653114</v>
      </c>
      <c r="C4532" s="94" t="str">
        <f>IFERROR(VLOOKUP($A4532,HeadJournal!$A$1:$NTR$890,COLUMN(HeadJournal!C$1),0),"")</f>
        <v>iHerb_VP DFD1605</v>
      </c>
      <c r="D4532" s="125" t="str">
        <f>IFERROR(VLOOKUP($A4532,HeadJournal!$A$1:$NTR$890,COLUMN(HeadJournal!D$1),0),"")</f>
        <v>Доставлен</v>
      </c>
      <c r="E4532" s="95">
        <f>IFERROR(VLOOKUP($A4532,HeadJournal!$A$1:$NTR$890,COLUMN(HeadJournal!G$1),0),"")</f>
        <v>45765</v>
      </c>
      <c r="F4532" s="95" t="str">
        <f t="shared" si="348"/>
        <v>2025 04</v>
      </c>
      <c r="G4532" s="97" t="s">
        <v>5</v>
      </c>
      <c r="H4532" s="161" t="s">
        <v>2473</v>
      </c>
      <c r="I4532" s="97" t="s">
        <v>2005</v>
      </c>
      <c r="J4532" s="97" t="s">
        <v>2474</v>
      </c>
      <c r="K4532" s="29">
        <v>26.18</v>
      </c>
      <c r="L4532" s="29">
        <v>-2.62</v>
      </c>
      <c r="M4532" s="30">
        <f>IFERROR(VLOOKUP($A4532,HeadJournal!$A$1:$J$890,COLUMN(HeadJournal!I$1),0)*($K4532+$L4532)/(SUMIF($A:$A,$A4532,$K:$K)+SUMIF($A:$A,$A4532,$L:$L)),0)</f>
        <v>-0.64320354606356711</v>
      </c>
      <c r="N4532" s="30">
        <f>IFERROR((VLOOKUP($A4532,HeadJournal!$A$1:$K$890,COLUMN(HeadJournal!K$1),0)-VLOOKUP($A4532,HeadJournal!$A$1:$K$890,COLUMN(HeadJournal!J$1),0))*($K4532+$L4532)/(SUMIF($A:$A,$A4532,$K:$K)+SUMIF($A:$A,$A4532,$L:$L)),0)</f>
        <v>0</v>
      </c>
      <c r="O4532" s="30">
        <f>IFERROR((VLOOKUP($A4532,HeadJournal!$A$1:$L$890,COLUMN(HeadJournal!L$1),0)*($K4532+$L4532)/(SUMIF($A:$A,$A4532,$K:$K)+SUMIF($A:$A,$A4532,$L:$L)))/VLOOKUP($A4532,HeadJournal!$A$1:$L$890,COLUMN(HeadJournal!H$1),0),0)</f>
        <v>1.276797060512797</v>
      </c>
      <c r="P4532" s="30">
        <f>IFERROR(SUM(K4532:O4532)*VLOOKUP($A4532,HeadJournal!$A$1:$L$890,COLUMN(HeadJournal!H$1),0),0)</f>
        <v>2282.4101566513878</v>
      </c>
      <c r="Q4532" s="29">
        <v>3100</v>
      </c>
      <c r="R4532" s="31">
        <v>45792</v>
      </c>
      <c r="S4532" s="31" t="s">
        <v>3121</v>
      </c>
      <c r="T4532" s="95" t="str">
        <f t="shared" si="349"/>
        <v>2025 05</v>
      </c>
      <c r="U4532" s="32">
        <f t="shared" si="346"/>
        <v>817.58984334861225</v>
      </c>
      <c r="V4532" s="22">
        <f t="shared" si="347"/>
        <v>0.35821337412383841</v>
      </c>
      <c r="X4532" s="33"/>
      <c r="Y4532" s="33"/>
    </row>
    <row r="4533" spans="1:25" x14ac:dyDescent="0.2">
      <c r="A4533" s="93" t="s">
        <v>3547</v>
      </c>
      <c r="B4533" s="94" t="str">
        <f>IFERROR(VLOOKUP($A4533,HeadJournal!$A$1:$NTR$890,COLUMN(HeadJournal!B$1),0),"")</f>
        <v>720000662524</v>
      </c>
      <c r="C4533" s="94" t="str">
        <f>IFERROR(VLOOKUP($A4533,HeadJournal!$A$1:$NTR$890,COLUMN(HeadJournal!C$1),0),"")</f>
        <v>iHerb_VP DFD1605</v>
      </c>
      <c r="D4533" s="125" t="str">
        <f>IFERROR(VLOOKUP($A4533,HeadJournal!$A$1:$NTR$890,COLUMN(HeadJournal!D$1),0),"")</f>
        <v>Доставлен</v>
      </c>
      <c r="E4533" s="95">
        <f>IFERROR(VLOOKUP($A4533,HeadJournal!$A$1:$NTR$890,COLUMN(HeadJournal!G$1),0),"")</f>
        <v>45774</v>
      </c>
      <c r="F4533" s="95" t="str">
        <f t="shared" si="348"/>
        <v>2025 04</v>
      </c>
      <c r="G4533" s="97" t="s">
        <v>7</v>
      </c>
      <c r="H4533" s="161" t="s">
        <v>2724</v>
      </c>
      <c r="I4533" s="161" t="s">
        <v>2725</v>
      </c>
      <c r="J4533" s="97" t="s">
        <v>2726</v>
      </c>
      <c r="K4533" s="29">
        <v>24.73</v>
      </c>
      <c r="L4533" s="29">
        <v>0</v>
      </c>
      <c r="M4533" s="30">
        <f>IFERROR(VLOOKUP($A4533,HeadJournal!$A$1:$J$890,COLUMN(HeadJournal!I$1),0)*($K4533+$L4533)/(SUMIF($A:$A,$A4533,$K:$K)+SUMIF($A:$A,$A4533,$L:$L)),0)</f>
        <v>0</v>
      </c>
      <c r="N4533" s="30">
        <f>IFERROR((VLOOKUP($A4533,HeadJournal!$A$1:$K$890,COLUMN(HeadJournal!K$1),0)-VLOOKUP($A4533,HeadJournal!$A$1:$K$890,COLUMN(HeadJournal!J$1),0))*($K4533+$L4533)/(SUMIF($A:$A,$A4533,$K:$K)+SUMIF($A:$A,$A4533,$L:$L)),0)</f>
        <v>0</v>
      </c>
      <c r="O4533" s="30">
        <f>IFERROR((VLOOKUP($A4533,HeadJournal!$A$1:$L$890,COLUMN(HeadJournal!L$1),0)*($K4533+$L4533)/(SUMIF($A:$A,$A4533,$K:$K)+SUMIF($A:$A,$A4533,$L:$L)))/VLOOKUP($A4533,HeadJournal!$A$1:$L$890,COLUMN(HeadJournal!H$1),0),0)</f>
        <v>0.81297267926999983</v>
      </c>
      <c r="P4533" s="30">
        <f>IFERROR(SUM(K4533:O4533)*VLOOKUP($A4533,HeadJournal!$A$1:$L$890,COLUMN(HeadJournal!H$1),0),0)</f>
        <v>2373.5369377521615</v>
      </c>
      <c r="Q4533" s="29">
        <v>3000</v>
      </c>
      <c r="R4533" s="31">
        <v>45945</v>
      </c>
      <c r="S4533" s="31" t="s">
        <v>3430</v>
      </c>
      <c r="T4533" s="95" t="str">
        <f t="shared" si="349"/>
        <v>2025 10</v>
      </c>
      <c r="U4533" s="32">
        <f t="shared" si="346"/>
        <v>626.46306224783848</v>
      </c>
      <c r="V4533" s="22">
        <f t="shared" si="347"/>
        <v>0.26393651275599067</v>
      </c>
      <c r="X4533" s="33"/>
      <c r="Y4533" s="33"/>
    </row>
    <row r="4534" spans="1:25" x14ac:dyDescent="0.2">
      <c r="A4534" s="93" t="s">
        <v>3547</v>
      </c>
      <c r="B4534" s="94" t="str">
        <f>IFERROR(VLOOKUP($A4534,HeadJournal!$A$1:$NTR$890,COLUMN(HeadJournal!B$1),0),"")</f>
        <v>720000662524</v>
      </c>
      <c r="C4534" s="94" t="str">
        <f>IFERROR(VLOOKUP($A4534,HeadJournal!$A$1:$NTR$890,COLUMN(HeadJournal!C$1),0),"")</f>
        <v>iHerb_VP DFD1605</v>
      </c>
      <c r="D4534" s="125" t="str">
        <f>IFERROR(VLOOKUP($A4534,HeadJournal!$A$1:$NTR$890,COLUMN(HeadJournal!D$1),0),"")</f>
        <v>Доставлен</v>
      </c>
      <c r="E4534" s="95">
        <f>IFERROR(VLOOKUP($A4534,HeadJournal!$A$1:$NTR$890,COLUMN(HeadJournal!G$1),0),"")</f>
        <v>45774</v>
      </c>
      <c r="F4534" s="95" t="str">
        <f t="shared" si="348"/>
        <v>2025 04</v>
      </c>
      <c r="G4534" s="97" t="s">
        <v>7</v>
      </c>
      <c r="H4534" s="161" t="s">
        <v>2724</v>
      </c>
      <c r="I4534" s="161" t="s">
        <v>2725</v>
      </c>
      <c r="J4534" s="97" t="s">
        <v>2726</v>
      </c>
      <c r="K4534" s="29">
        <v>24.73</v>
      </c>
      <c r="L4534" s="29">
        <v>0</v>
      </c>
      <c r="M4534" s="30">
        <f>IFERROR(VLOOKUP($A4534,HeadJournal!$A$1:$J$890,COLUMN(HeadJournal!I$1),0)*($K4534+$L4534)/(SUMIF($A:$A,$A4534,$K:$K)+SUMIF($A:$A,$A4534,$L:$L)),0)</f>
        <v>0</v>
      </c>
      <c r="N4534" s="30">
        <f>IFERROR((VLOOKUP($A4534,HeadJournal!$A$1:$K$890,COLUMN(HeadJournal!K$1),0)-VLOOKUP($A4534,HeadJournal!$A$1:$K$890,COLUMN(HeadJournal!J$1),0))*($K4534+$L4534)/(SUMIF($A:$A,$A4534,$K:$K)+SUMIF($A:$A,$A4534,$L:$L)),0)</f>
        <v>0</v>
      </c>
      <c r="O4534" s="30">
        <f>IFERROR((VLOOKUP($A4534,HeadJournal!$A$1:$L$890,COLUMN(HeadJournal!L$1),0)*($K4534+$L4534)/(SUMIF($A:$A,$A4534,$K:$K)+SUMIF($A:$A,$A4534,$L:$L)))/VLOOKUP($A4534,HeadJournal!$A$1:$L$890,COLUMN(HeadJournal!H$1),0),0)</f>
        <v>0.81297267926999983</v>
      </c>
      <c r="P4534" s="30">
        <f>IFERROR(SUM(K4534:O4534)*VLOOKUP($A4534,HeadJournal!$A$1:$L$890,COLUMN(HeadJournal!H$1),0),0)</f>
        <v>2373.5369377521615</v>
      </c>
      <c r="Q4534" s="29">
        <v>3000</v>
      </c>
      <c r="R4534" s="31">
        <v>45945</v>
      </c>
      <c r="S4534" s="31" t="s">
        <v>3430</v>
      </c>
      <c r="T4534" s="95" t="str">
        <f t="shared" si="349"/>
        <v>2025 10</v>
      </c>
      <c r="U4534" s="32">
        <f t="shared" si="346"/>
        <v>626.46306224783848</v>
      </c>
      <c r="V4534" s="22">
        <f t="shared" si="347"/>
        <v>0.26393651275599067</v>
      </c>
      <c r="X4534" s="33"/>
      <c r="Y4534" s="33"/>
    </row>
    <row r="4535" spans="1:25" x14ac:dyDescent="0.2">
      <c r="A4535" s="93" t="s">
        <v>3547</v>
      </c>
      <c r="B4535" s="94" t="str">
        <f>IFERROR(VLOOKUP($A4535,HeadJournal!$A$1:$NTR$890,COLUMN(HeadJournal!B$1),0),"")</f>
        <v>720000662524</v>
      </c>
      <c r="C4535" s="94" t="str">
        <f>IFERROR(VLOOKUP($A4535,HeadJournal!$A$1:$NTR$890,COLUMN(HeadJournal!C$1),0),"")</f>
        <v>iHerb_VP DFD1605</v>
      </c>
      <c r="D4535" s="125" t="str">
        <f>IFERROR(VLOOKUP($A4535,HeadJournal!$A$1:$NTR$890,COLUMN(HeadJournal!D$1),0),"")</f>
        <v>Доставлен</v>
      </c>
      <c r="E4535" s="95">
        <f>IFERROR(VLOOKUP($A4535,HeadJournal!$A$1:$NTR$890,COLUMN(HeadJournal!G$1),0),"")</f>
        <v>45774</v>
      </c>
      <c r="F4535" s="95" t="str">
        <f t="shared" si="348"/>
        <v>2025 04</v>
      </c>
      <c r="G4535" s="97" t="s">
        <v>7</v>
      </c>
      <c r="H4535" s="161" t="s">
        <v>2724</v>
      </c>
      <c r="I4535" s="161" t="s">
        <v>2725</v>
      </c>
      <c r="J4535" s="97" t="s">
        <v>2726</v>
      </c>
      <c r="K4535" s="29">
        <v>24.73</v>
      </c>
      <c r="L4535" s="29">
        <v>0</v>
      </c>
      <c r="M4535" s="30">
        <f>IFERROR(VLOOKUP($A4535,HeadJournal!$A$1:$J$890,COLUMN(HeadJournal!I$1),0)*($K4535+$L4535)/(SUMIF($A:$A,$A4535,$K:$K)+SUMIF($A:$A,$A4535,$L:$L)),0)</f>
        <v>0</v>
      </c>
      <c r="N4535" s="30">
        <f>IFERROR((VLOOKUP($A4535,HeadJournal!$A$1:$K$890,COLUMN(HeadJournal!K$1),0)-VLOOKUP($A4535,HeadJournal!$A$1:$K$890,COLUMN(HeadJournal!J$1),0))*($K4535+$L4535)/(SUMIF($A:$A,$A4535,$K:$K)+SUMIF($A:$A,$A4535,$L:$L)),0)</f>
        <v>0</v>
      </c>
      <c r="O4535" s="30">
        <f>IFERROR((VLOOKUP($A4535,HeadJournal!$A$1:$L$890,COLUMN(HeadJournal!L$1),0)*($K4535+$L4535)/(SUMIF($A:$A,$A4535,$K:$K)+SUMIF($A:$A,$A4535,$L:$L)))/VLOOKUP($A4535,HeadJournal!$A$1:$L$890,COLUMN(HeadJournal!H$1),0),0)</f>
        <v>0.81297267926999983</v>
      </c>
      <c r="P4535" s="30">
        <f>IFERROR(SUM(K4535:O4535)*VLOOKUP($A4535,HeadJournal!$A$1:$L$890,COLUMN(HeadJournal!H$1),0),0)</f>
        <v>2373.5369377521615</v>
      </c>
      <c r="Q4535" s="29">
        <v>3000</v>
      </c>
      <c r="R4535" s="31">
        <v>45945</v>
      </c>
      <c r="S4535" s="31" t="s">
        <v>3430</v>
      </c>
      <c r="T4535" s="95" t="str">
        <f t="shared" si="349"/>
        <v>2025 10</v>
      </c>
      <c r="U4535" s="32">
        <f t="shared" si="346"/>
        <v>626.46306224783848</v>
      </c>
      <c r="V4535" s="22">
        <f t="shared" si="347"/>
        <v>0.26393651275599067</v>
      </c>
      <c r="X4535" s="33"/>
      <c r="Y4535" s="33"/>
    </row>
    <row r="4536" spans="1:25" x14ac:dyDescent="0.2">
      <c r="A4536" s="93" t="s">
        <v>3547</v>
      </c>
      <c r="B4536" s="94" t="str">
        <f>IFERROR(VLOOKUP($A4536,HeadJournal!$A$1:$NTR$890,COLUMN(HeadJournal!B$1),0),"")</f>
        <v>720000662524</v>
      </c>
      <c r="C4536" s="94" t="str">
        <f>IFERROR(VLOOKUP($A4536,HeadJournal!$A$1:$NTR$890,COLUMN(HeadJournal!C$1),0),"")</f>
        <v>iHerb_VP DFD1605</v>
      </c>
      <c r="D4536" s="125" t="str">
        <f>IFERROR(VLOOKUP($A4536,HeadJournal!$A$1:$NTR$890,COLUMN(HeadJournal!D$1),0),"")</f>
        <v>Доставлен</v>
      </c>
      <c r="E4536" s="95">
        <f>IFERROR(VLOOKUP($A4536,HeadJournal!$A$1:$NTR$890,COLUMN(HeadJournal!G$1),0),"")</f>
        <v>45774</v>
      </c>
      <c r="F4536" s="95" t="str">
        <f t="shared" si="348"/>
        <v>2025 04</v>
      </c>
      <c r="G4536" s="97" t="s">
        <v>5</v>
      </c>
      <c r="H4536" s="161" t="s">
        <v>2488</v>
      </c>
      <c r="I4536" s="161" t="s">
        <v>2005</v>
      </c>
      <c r="J4536" s="97" t="s">
        <v>2489</v>
      </c>
      <c r="K4536" s="29">
        <v>20.28</v>
      </c>
      <c r="L4536" s="29">
        <v>-4.0549999999999997</v>
      </c>
      <c r="M4536" s="30">
        <f>IFERROR(VLOOKUP($A4536,HeadJournal!$A$1:$J$890,COLUMN(HeadJournal!I$1),0)*($K4536+$L4536)/(SUMIF($A:$A,$A4536,$K:$K)+SUMIF($A:$A,$A4536,$L:$L)),0)</f>
        <v>0</v>
      </c>
      <c r="N4536" s="30">
        <f>IFERROR((VLOOKUP($A4536,HeadJournal!$A$1:$K$890,COLUMN(HeadJournal!K$1),0)-VLOOKUP($A4536,HeadJournal!$A$1:$K$890,COLUMN(HeadJournal!J$1),0))*($K4536+$L4536)/(SUMIF($A:$A,$A4536,$K:$K)+SUMIF($A:$A,$A4536,$L:$L)),0)</f>
        <v>0</v>
      </c>
      <c r="O4536" s="30">
        <f>IFERROR((VLOOKUP($A4536,HeadJournal!$A$1:$L$890,COLUMN(HeadJournal!L$1),0)*($K4536+$L4536)/(SUMIF($A:$A,$A4536,$K:$K)+SUMIF($A:$A,$A4536,$L:$L)))/VLOOKUP($A4536,HeadJournal!$A$1:$L$890,COLUMN(HeadJournal!H$1),0),0)</f>
        <v>0.53337977036618467</v>
      </c>
      <c r="P4536" s="30">
        <f>IFERROR(SUM(K4536:O4536)*VLOOKUP($A4536,HeadJournal!$A$1:$L$890,COLUMN(HeadJournal!H$1),0),0)</f>
        <v>1557.2437046109512</v>
      </c>
      <c r="Q4536" s="29">
        <v>2400</v>
      </c>
      <c r="R4536" s="31">
        <v>45827</v>
      </c>
      <c r="S4536" s="31" t="s">
        <v>3121</v>
      </c>
      <c r="T4536" s="95" t="str">
        <f t="shared" si="349"/>
        <v>2025 06</v>
      </c>
      <c r="U4536" s="32">
        <f t="shared" si="346"/>
        <v>842.75629538904877</v>
      </c>
      <c r="V4536" s="22">
        <f t="shared" si="347"/>
        <v>0.5411845897297084</v>
      </c>
      <c r="X4536" s="33"/>
      <c r="Y4536" s="33"/>
    </row>
    <row r="4537" spans="1:25" x14ac:dyDescent="0.2">
      <c r="A4537" s="93" t="s">
        <v>3547</v>
      </c>
      <c r="B4537" s="94" t="str">
        <f>IFERROR(VLOOKUP($A4537,HeadJournal!$A$1:$NTR$890,COLUMN(HeadJournal!B$1),0),"")</f>
        <v>720000662524</v>
      </c>
      <c r="C4537" s="94" t="str">
        <f>IFERROR(VLOOKUP($A4537,HeadJournal!$A$1:$NTR$890,COLUMN(HeadJournal!C$1),0),"")</f>
        <v>iHerb_VP DFD1605</v>
      </c>
      <c r="D4537" s="125" t="str">
        <f>IFERROR(VLOOKUP($A4537,HeadJournal!$A$1:$NTR$890,COLUMN(HeadJournal!D$1),0),"")</f>
        <v>Доставлен</v>
      </c>
      <c r="E4537" s="95">
        <f>IFERROR(VLOOKUP($A4537,HeadJournal!$A$1:$NTR$890,COLUMN(HeadJournal!G$1),0),"")</f>
        <v>45774</v>
      </c>
      <c r="F4537" s="95" t="str">
        <f t="shared" si="348"/>
        <v>2025 04</v>
      </c>
      <c r="G4537" s="97" t="s">
        <v>5</v>
      </c>
      <c r="H4537" s="161" t="s">
        <v>2488</v>
      </c>
      <c r="I4537" s="161" t="s">
        <v>2005</v>
      </c>
      <c r="J4537" s="97" t="s">
        <v>2489</v>
      </c>
      <c r="K4537" s="29">
        <v>20.28</v>
      </c>
      <c r="L4537" s="29">
        <v>-4.0549999999999997</v>
      </c>
      <c r="M4537" s="30">
        <f>IFERROR(VLOOKUP($A4537,HeadJournal!$A$1:$J$890,COLUMN(HeadJournal!I$1),0)*($K4537+$L4537)/(SUMIF($A:$A,$A4537,$K:$K)+SUMIF($A:$A,$A4537,$L:$L)),0)</f>
        <v>0</v>
      </c>
      <c r="N4537" s="30">
        <f>IFERROR((VLOOKUP($A4537,HeadJournal!$A$1:$K$890,COLUMN(HeadJournal!K$1),0)-VLOOKUP($A4537,HeadJournal!$A$1:$K$890,COLUMN(HeadJournal!J$1),0))*($K4537+$L4537)/(SUMIF($A:$A,$A4537,$K:$K)+SUMIF($A:$A,$A4537,$L:$L)),0)</f>
        <v>0</v>
      </c>
      <c r="O4537" s="30">
        <f>IFERROR((VLOOKUP($A4537,HeadJournal!$A$1:$L$890,COLUMN(HeadJournal!L$1),0)*($K4537+$L4537)/(SUMIF($A:$A,$A4537,$K:$K)+SUMIF($A:$A,$A4537,$L:$L)))/VLOOKUP($A4537,HeadJournal!$A$1:$L$890,COLUMN(HeadJournal!H$1),0),0)</f>
        <v>0.53337977036618467</v>
      </c>
      <c r="P4537" s="30">
        <f>IFERROR(SUM(K4537:O4537)*VLOOKUP($A4537,HeadJournal!$A$1:$L$890,COLUMN(HeadJournal!H$1),0),0)</f>
        <v>1557.2437046109512</v>
      </c>
      <c r="Q4537" s="29">
        <v>2400</v>
      </c>
      <c r="R4537" s="31">
        <v>45842</v>
      </c>
      <c r="S4537" s="31" t="s">
        <v>3252</v>
      </c>
      <c r="T4537" s="95" t="str">
        <f t="shared" si="349"/>
        <v>2025 07</v>
      </c>
      <c r="U4537" s="32">
        <f t="shared" si="346"/>
        <v>842.75629538904877</v>
      </c>
      <c r="V4537" s="22">
        <f t="shared" si="347"/>
        <v>0.5411845897297084</v>
      </c>
      <c r="X4537" s="33"/>
      <c r="Y4537" s="33"/>
    </row>
    <row r="4538" spans="1:25" x14ac:dyDescent="0.2">
      <c r="A4538" s="93" t="s">
        <v>3547</v>
      </c>
      <c r="B4538" s="94" t="str">
        <f>IFERROR(VLOOKUP($A4538,HeadJournal!$A$1:$NTR$890,COLUMN(HeadJournal!B$1),0),"")</f>
        <v>720000662524</v>
      </c>
      <c r="C4538" s="94" t="str">
        <f>IFERROR(VLOOKUP($A4538,HeadJournal!$A$1:$NTR$890,COLUMN(HeadJournal!C$1),0),"")</f>
        <v>iHerb_VP DFD1605</v>
      </c>
      <c r="D4538" s="125" t="str">
        <f>IFERROR(VLOOKUP($A4538,HeadJournal!$A$1:$NTR$890,COLUMN(HeadJournal!D$1),0),"")</f>
        <v>Доставлен</v>
      </c>
      <c r="E4538" s="95">
        <f>IFERROR(VLOOKUP($A4538,HeadJournal!$A$1:$NTR$890,COLUMN(HeadJournal!G$1),0),"")</f>
        <v>45774</v>
      </c>
      <c r="F4538" s="95" t="str">
        <f t="shared" si="348"/>
        <v>2025 04</v>
      </c>
      <c r="G4538" s="97" t="s">
        <v>5</v>
      </c>
      <c r="H4538" s="161" t="s">
        <v>2468</v>
      </c>
      <c r="I4538" s="97" t="s">
        <v>2005</v>
      </c>
      <c r="J4538" s="97" t="s">
        <v>4109</v>
      </c>
      <c r="K4538" s="29">
        <v>24.42</v>
      </c>
      <c r="L4538" s="29">
        <v>-4.88</v>
      </c>
      <c r="M4538" s="30">
        <f>IFERROR(VLOOKUP($A4538,HeadJournal!$A$1:$J$890,COLUMN(HeadJournal!I$1),0)*($K4538+$L4538)/(SUMIF($A:$A,$A4538,$K:$K)+SUMIF($A:$A,$A4538,$L:$L)),0)</f>
        <v>0</v>
      </c>
      <c r="N4538" s="30">
        <f>IFERROR((VLOOKUP($A4538,HeadJournal!$A$1:$K$890,COLUMN(HeadJournal!K$1),0)-VLOOKUP($A4538,HeadJournal!$A$1:$K$890,COLUMN(HeadJournal!J$1),0))*($K4538+$L4538)/(SUMIF($A:$A,$A4538,$K:$K)+SUMIF($A:$A,$A4538,$L:$L)),0)</f>
        <v>0</v>
      </c>
      <c r="O4538" s="30">
        <f>IFERROR((VLOOKUP($A4538,HeadJournal!$A$1:$L$890,COLUMN(HeadJournal!L$1),0)*($K4538+$L4538)/(SUMIF($A:$A,$A4538,$K:$K)+SUMIF($A:$A,$A4538,$L:$L)))/VLOOKUP($A4538,HeadJournal!$A$1:$L$890,COLUMN(HeadJournal!H$1),0),0)</f>
        <v>0.64235690064439133</v>
      </c>
      <c r="P4538" s="30">
        <f>IFERROR(SUM(K4538:O4538)*VLOOKUP($A4538,HeadJournal!$A$1:$L$890,COLUMN(HeadJournal!H$1),0),0)</f>
        <v>1875.4109083573492</v>
      </c>
      <c r="Q4538" s="29">
        <v>2800</v>
      </c>
      <c r="R4538" s="31">
        <v>45821</v>
      </c>
      <c r="S4538" s="31" t="s">
        <v>3121</v>
      </c>
      <c r="T4538" s="95" t="str">
        <f t="shared" si="349"/>
        <v>2025 06</v>
      </c>
      <c r="U4538" s="32">
        <f t="shared" si="346"/>
        <v>924.58909164265083</v>
      </c>
      <c r="V4538" s="22">
        <f t="shared" si="347"/>
        <v>0.49300613935987381</v>
      </c>
      <c r="X4538" s="33"/>
      <c r="Y4538" s="33"/>
    </row>
    <row r="4539" spans="1:25" x14ac:dyDescent="0.2">
      <c r="A4539" s="93" t="s">
        <v>3547</v>
      </c>
      <c r="B4539" s="94" t="str">
        <f>IFERROR(VLOOKUP($A4539,HeadJournal!$A$1:$NTR$890,COLUMN(HeadJournal!B$1),0),"")</f>
        <v>720000662524</v>
      </c>
      <c r="C4539" s="94" t="str">
        <f>IFERROR(VLOOKUP($A4539,HeadJournal!$A$1:$NTR$890,COLUMN(HeadJournal!C$1),0),"")</f>
        <v>iHerb_VP DFD1605</v>
      </c>
      <c r="D4539" s="125" t="str">
        <f>IFERROR(VLOOKUP($A4539,HeadJournal!$A$1:$NTR$890,COLUMN(HeadJournal!D$1),0),"")</f>
        <v>Доставлен</v>
      </c>
      <c r="E4539" s="95">
        <f>IFERROR(VLOOKUP($A4539,HeadJournal!$A$1:$NTR$890,COLUMN(HeadJournal!G$1),0),"")</f>
        <v>45774</v>
      </c>
      <c r="F4539" s="95" t="str">
        <f t="shared" si="348"/>
        <v>2025 04</v>
      </c>
      <c r="G4539" s="97" t="s">
        <v>5</v>
      </c>
      <c r="H4539" s="161" t="s">
        <v>3545</v>
      </c>
      <c r="I4539" s="161" t="s">
        <v>2005</v>
      </c>
      <c r="J4539" s="97" t="s">
        <v>3546</v>
      </c>
      <c r="K4539" s="29">
        <v>14.48</v>
      </c>
      <c r="L4539" s="29">
        <v>-2.9</v>
      </c>
      <c r="M4539" s="30">
        <f>IFERROR(VLOOKUP($A4539,HeadJournal!$A$1:$J$890,COLUMN(HeadJournal!I$1),0)*($K4539+$L4539)/(SUMIF($A:$A,$A4539,$K:$K)+SUMIF($A:$A,$A4539,$L:$L)),0)</f>
        <v>0</v>
      </c>
      <c r="N4539" s="30">
        <f>IFERROR((VLOOKUP($A4539,HeadJournal!$A$1:$K$890,COLUMN(HeadJournal!K$1),0)-VLOOKUP($A4539,HeadJournal!$A$1:$K$890,COLUMN(HeadJournal!J$1),0))*($K4539+$L4539)/(SUMIF($A:$A,$A4539,$K:$K)+SUMIF($A:$A,$A4539,$L:$L)),0)</f>
        <v>0</v>
      </c>
      <c r="O4539" s="30">
        <f>IFERROR((VLOOKUP($A4539,HeadJournal!$A$1:$L$890,COLUMN(HeadJournal!L$1),0)*($K4539+$L4539)/(SUMIF($A:$A,$A4539,$K:$K)+SUMIF($A:$A,$A4539,$L:$L)))/VLOOKUP($A4539,HeadJournal!$A$1:$L$890,COLUMN(HeadJournal!H$1),0),0)</f>
        <v>0.38068029219355431</v>
      </c>
      <c r="P4539" s="30">
        <f>IFERROR(SUM(K4539:O4539)*VLOOKUP($A4539,HeadJournal!$A$1:$L$890,COLUMN(HeadJournal!H$1),0),0)</f>
        <v>1111.4257072046112</v>
      </c>
      <c r="Q4539" s="29">
        <v>1800</v>
      </c>
      <c r="R4539" s="31">
        <v>45808</v>
      </c>
      <c r="S4539" s="31" t="s">
        <v>3509</v>
      </c>
      <c r="T4539" s="95" t="str">
        <f t="shared" si="349"/>
        <v>2025 05</v>
      </c>
      <c r="U4539" s="32">
        <f t="shared" si="346"/>
        <v>688.57429279538883</v>
      </c>
      <c r="V4539" s="22">
        <f t="shared" si="347"/>
        <v>0.61954144872827177</v>
      </c>
      <c r="X4539" s="33"/>
      <c r="Y4539" s="33"/>
    </row>
    <row r="4540" spans="1:25" x14ac:dyDescent="0.2">
      <c r="A4540" s="93" t="s">
        <v>3547</v>
      </c>
      <c r="B4540" s="94" t="str">
        <f>IFERROR(VLOOKUP($A4540,HeadJournal!$A$1:$NTR$890,COLUMN(HeadJournal!B$1),0),"")</f>
        <v>720000662524</v>
      </c>
      <c r="C4540" s="94" t="str">
        <f>IFERROR(VLOOKUP($A4540,HeadJournal!$A$1:$NTR$890,COLUMN(HeadJournal!C$1),0),"")</f>
        <v>iHerb_VP DFD1605</v>
      </c>
      <c r="D4540" s="125" t="str">
        <f>IFERROR(VLOOKUP($A4540,HeadJournal!$A$1:$NTR$890,COLUMN(HeadJournal!D$1),0),"")</f>
        <v>Доставлен</v>
      </c>
      <c r="E4540" s="95">
        <f>IFERROR(VLOOKUP($A4540,HeadJournal!$A$1:$NTR$890,COLUMN(HeadJournal!G$1),0),"")</f>
        <v>45774</v>
      </c>
      <c r="F4540" s="95" t="str">
        <f t="shared" si="348"/>
        <v>2025 04</v>
      </c>
      <c r="G4540" s="97" t="s">
        <v>5</v>
      </c>
      <c r="H4540" s="161" t="s">
        <v>2103</v>
      </c>
      <c r="I4540" s="161" t="s">
        <v>2039</v>
      </c>
      <c r="J4540" s="97" t="s">
        <v>2104</v>
      </c>
      <c r="K4540" s="29">
        <v>20.48</v>
      </c>
      <c r="L4540" s="29">
        <v>-4.0999999999999996</v>
      </c>
      <c r="M4540" s="30">
        <f>IFERROR(VLOOKUP($A4540,HeadJournal!$A$1:$J$890,COLUMN(HeadJournal!I$1),0)*($K4540+$L4540)/(SUMIF($A:$A,$A4540,$K:$K)+SUMIF($A:$A,$A4540,$L:$L)),0)</f>
        <v>0</v>
      </c>
      <c r="N4540" s="30">
        <f>IFERROR((VLOOKUP($A4540,HeadJournal!$A$1:$K$890,COLUMN(HeadJournal!K$1),0)-VLOOKUP($A4540,HeadJournal!$A$1:$K$890,COLUMN(HeadJournal!J$1),0))*($K4540+$L4540)/(SUMIF($A:$A,$A4540,$K:$K)+SUMIF($A:$A,$A4540,$L:$L)),0)</f>
        <v>0</v>
      </c>
      <c r="O4540" s="30">
        <f>IFERROR((VLOOKUP($A4540,HeadJournal!$A$1:$L$890,COLUMN(HeadJournal!L$1),0)*($K4540+$L4540)/(SUMIF($A:$A,$A4540,$K:$K)+SUMIF($A:$A,$A4540,$L:$L)))/VLOOKUP($A4540,HeadJournal!$A$1:$L$890,COLUMN(HeadJournal!H$1),0),0)</f>
        <v>0.53847523196290337</v>
      </c>
      <c r="P4540" s="30">
        <f>IFERROR(SUM(K4540:O4540)*VLOOKUP($A4540,HeadJournal!$A$1:$L$890,COLUMN(HeadJournal!H$1),0),0)</f>
        <v>1572.1203008645537</v>
      </c>
      <c r="Q4540" s="29">
        <v>2300</v>
      </c>
      <c r="R4540" s="31">
        <v>45818</v>
      </c>
      <c r="S4540" s="31" t="s">
        <v>3121</v>
      </c>
      <c r="T4540" s="95" t="str">
        <f t="shared" si="349"/>
        <v>2025 06</v>
      </c>
      <c r="U4540" s="32">
        <f t="shared" si="346"/>
        <v>727.87969913544634</v>
      </c>
      <c r="V4540" s="22">
        <f t="shared" si="347"/>
        <v>0.46299236689149337</v>
      </c>
      <c r="X4540" s="33"/>
      <c r="Y4540" s="33"/>
    </row>
    <row r="4541" spans="1:25" x14ac:dyDescent="0.2">
      <c r="A4541" s="93" t="s">
        <v>3547</v>
      </c>
      <c r="B4541" s="94" t="str">
        <f>IFERROR(VLOOKUP($A4541,HeadJournal!$A$1:$NTR$890,COLUMN(HeadJournal!B$1),0),"")</f>
        <v>720000662524</v>
      </c>
      <c r="C4541" s="94" t="str">
        <f>IFERROR(VLOOKUP($A4541,HeadJournal!$A$1:$NTR$890,COLUMN(HeadJournal!C$1),0),"")</f>
        <v>iHerb_VP DFD1605</v>
      </c>
      <c r="D4541" s="125" t="str">
        <f>IFERROR(VLOOKUP($A4541,HeadJournal!$A$1:$NTR$890,COLUMN(HeadJournal!D$1),0),"")</f>
        <v>Доставлен</v>
      </c>
      <c r="E4541" s="95">
        <f>IFERROR(VLOOKUP($A4541,HeadJournal!$A$1:$NTR$890,COLUMN(HeadJournal!G$1),0),"")</f>
        <v>45774</v>
      </c>
      <c r="F4541" s="95" t="str">
        <f t="shared" si="348"/>
        <v>2025 04</v>
      </c>
      <c r="G4541" s="97" t="s">
        <v>5</v>
      </c>
      <c r="H4541" s="161" t="s">
        <v>2105</v>
      </c>
      <c r="I4541" s="161" t="s">
        <v>2039</v>
      </c>
      <c r="J4541" s="97" t="s">
        <v>2106</v>
      </c>
      <c r="K4541" s="29">
        <v>12.6</v>
      </c>
      <c r="L4541" s="29">
        <v>-2.52</v>
      </c>
      <c r="M4541" s="30">
        <f>IFERROR(VLOOKUP($A4541,HeadJournal!$A$1:$J$890,COLUMN(HeadJournal!I$1),0)*($K4541+$L4541)/(SUMIF($A:$A,$A4541,$K:$K)+SUMIF($A:$A,$A4541,$L:$L)),0)</f>
        <v>0</v>
      </c>
      <c r="N4541" s="30">
        <f>IFERROR((VLOOKUP($A4541,HeadJournal!$A$1:$K$890,COLUMN(HeadJournal!K$1),0)-VLOOKUP($A4541,HeadJournal!$A$1:$K$890,COLUMN(HeadJournal!J$1),0))*($K4541+$L4541)/(SUMIF($A:$A,$A4541,$K:$K)+SUMIF($A:$A,$A4541,$L:$L)),0)</f>
        <v>0</v>
      </c>
      <c r="O4541" s="30">
        <f>IFERROR((VLOOKUP($A4541,HeadJournal!$A$1:$L$890,COLUMN(HeadJournal!L$1),0)*($K4541+$L4541)/(SUMIF($A:$A,$A4541,$K:$K)+SUMIF($A:$A,$A4541,$L:$L)))/VLOOKUP($A4541,HeadJournal!$A$1:$L$890,COLUMN(HeadJournal!H$1),0),0)</f>
        <v>0.33136937351563273</v>
      </c>
      <c r="P4541" s="30">
        <f>IFERROR(SUM(K4541:O4541)*VLOOKUP($A4541,HeadJournal!$A$1:$L$890,COLUMN(HeadJournal!H$1),0),0)</f>
        <v>967.4586466858791</v>
      </c>
      <c r="Q4541" s="29">
        <v>1700</v>
      </c>
      <c r="R4541" s="31">
        <v>45818</v>
      </c>
      <c r="S4541" s="31" t="s">
        <v>3121</v>
      </c>
      <c r="T4541" s="95" t="str">
        <f t="shared" si="349"/>
        <v>2025 06</v>
      </c>
      <c r="U4541" s="32">
        <f t="shared" si="346"/>
        <v>732.5413533141209</v>
      </c>
      <c r="V4541" s="22">
        <f t="shared" si="347"/>
        <v>0.75718104936423947</v>
      </c>
      <c r="X4541" s="33"/>
      <c r="Y4541" s="33"/>
    </row>
    <row r="4542" spans="1:25" x14ac:dyDescent="0.2">
      <c r="A4542" s="93" t="s">
        <v>3547</v>
      </c>
      <c r="B4542" s="94" t="str">
        <f>IFERROR(VLOOKUP($A4542,HeadJournal!$A$1:$NTR$890,COLUMN(HeadJournal!B$1),0),"")</f>
        <v>720000662524</v>
      </c>
      <c r="C4542" s="94" t="str">
        <f>IFERROR(VLOOKUP($A4542,HeadJournal!$A$1:$NTR$890,COLUMN(HeadJournal!C$1),0),"")</f>
        <v>iHerb_VP DFD1605</v>
      </c>
      <c r="D4542" s="125" t="str">
        <f>IFERROR(VLOOKUP($A4542,HeadJournal!$A$1:$NTR$890,COLUMN(HeadJournal!D$1),0),"")</f>
        <v>Доставлен</v>
      </c>
      <c r="E4542" s="95">
        <f>IFERROR(VLOOKUP($A4542,HeadJournal!$A$1:$NTR$890,COLUMN(HeadJournal!G$1),0),"")</f>
        <v>45774</v>
      </c>
      <c r="F4542" s="95" t="str">
        <f t="shared" si="348"/>
        <v>2025 04</v>
      </c>
      <c r="G4542" s="97" t="s">
        <v>5</v>
      </c>
      <c r="H4542" s="161" t="s">
        <v>3015</v>
      </c>
      <c r="I4542" s="161" t="s">
        <v>2491</v>
      </c>
      <c r="J4542" s="97" t="s">
        <v>3016</v>
      </c>
      <c r="K4542" s="29">
        <v>18.57</v>
      </c>
      <c r="L4542" s="29">
        <v>-9.2899999999999991</v>
      </c>
      <c r="M4542" s="30">
        <f>IFERROR(VLOOKUP($A4542,HeadJournal!$A$1:$J$890,COLUMN(HeadJournal!I$1),0)*($K4542+$L4542)/(SUMIF($A:$A,$A4542,$K:$K)+SUMIF($A:$A,$A4542,$L:$L)),0)</f>
        <v>0</v>
      </c>
      <c r="N4542" s="30">
        <f>IFERROR((VLOOKUP($A4542,HeadJournal!$A$1:$K$890,COLUMN(HeadJournal!K$1),0)-VLOOKUP($A4542,HeadJournal!$A$1:$K$890,COLUMN(HeadJournal!J$1),0))*($K4542+$L4542)/(SUMIF($A:$A,$A4542,$K:$K)+SUMIF($A:$A,$A4542,$L:$L)),0)</f>
        <v>0</v>
      </c>
      <c r="O4542" s="30">
        <f>IFERROR((VLOOKUP($A4542,HeadJournal!$A$1:$L$890,COLUMN(HeadJournal!L$1),0)*($K4542+$L4542)/(SUMIF($A:$A,$A4542,$K:$K)+SUMIF($A:$A,$A4542,$L:$L)))/VLOOKUP($A4542,HeadJournal!$A$1:$L$890,COLUMN(HeadJournal!H$1),0),0)</f>
        <v>0.30507021688740799</v>
      </c>
      <c r="P4542" s="30">
        <f>IFERROR(SUM(K4542:O4542)*VLOOKUP($A4542,HeadJournal!$A$1:$L$890,COLUMN(HeadJournal!H$1),0),0)</f>
        <v>890.6762144092221</v>
      </c>
      <c r="Q4542" s="29">
        <v>2200</v>
      </c>
      <c r="R4542" s="31">
        <v>46076</v>
      </c>
      <c r="S4542" s="31" t="s">
        <v>3487</v>
      </c>
      <c r="T4542" s="95" t="str">
        <f t="shared" si="349"/>
        <v>2026 02</v>
      </c>
      <c r="U4542" s="32">
        <f t="shared" si="346"/>
        <v>1309.3237855907778</v>
      </c>
      <c r="V4542" s="22">
        <f t="shared" si="347"/>
        <v>1.4700334020475005</v>
      </c>
      <c r="X4542" s="33"/>
      <c r="Y4542" s="33"/>
    </row>
    <row r="4543" spans="1:25" x14ac:dyDescent="0.2">
      <c r="A4543" s="93" t="s">
        <v>3544</v>
      </c>
      <c r="B4543" s="94" t="str">
        <f>IFERROR(VLOOKUP($A4543,HeadJournal!$A$1:$NTR$890,COLUMN(HeadJournal!B$1),0),"")</f>
        <v>720000667044</v>
      </c>
      <c r="C4543" s="94" t="str">
        <f>IFERROR(VLOOKUP($A4543,HeadJournal!$A$1:$NTR$890,COLUMN(HeadJournal!C$1),0),"")</f>
        <v>iHerb_OA CZN6870</v>
      </c>
      <c r="D4543" s="125" t="str">
        <f>IFERROR(VLOOKUP($A4543,HeadJournal!$A$1:$NTR$890,COLUMN(HeadJournal!D$1),0),"")</f>
        <v>Доставлен</v>
      </c>
      <c r="E4543" s="95">
        <f>IFERROR(VLOOKUP($A4543,HeadJournal!$A$1:$NTR$890,COLUMN(HeadJournal!G$1),0),"")</f>
        <v>45777</v>
      </c>
      <c r="F4543" s="95" t="str">
        <f t="shared" si="348"/>
        <v>2025 04</v>
      </c>
      <c r="G4543" s="97" t="s">
        <v>5</v>
      </c>
      <c r="H4543" s="161" t="s">
        <v>2162</v>
      </c>
      <c r="I4543" s="161" t="s">
        <v>2163</v>
      </c>
      <c r="J4543" s="97" t="s">
        <v>2164</v>
      </c>
      <c r="K4543" s="29">
        <v>20.440000000000001</v>
      </c>
      <c r="L4543" s="29">
        <v>-4.09</v>
      </c>
      <c r="M4543" s="30">
        <f>IFERROR(VLOOKUP($A4543,HeadJournal!$A$1:$J$890,COLUMN(HeadJournal!I$1),0)*($K4543+$L4543)/(SUMIF($A:$A,$A4543,$K:$K)+SUMIF($A:$A,$A4543,$L:$L)),0)</f>
        <v>-0.64517308881104474</v>
      </c>
      <c r="N4543" s="30">
        <f>IFERROR((VLOOKUP($A4543,HeadJournal!$A$1:$K$890,COLUMN(HeadJournal!K$1),0)-VLOOKUP($A4543,HeadJournal!$A$1:$K$890,COLUMN(HeadJournal!J$1),0))*($K4543+$L4543)/(SUMIF($A:$A,$A4543,$K:$K)+SUMIF($A:$A,$A4543,$L:$L)),0)</f>
        <v>0</v>
      </c>
      <c r="O4543" s="30">
        <f>IFERROR((VLOOKUP($A4543,HeadJournal!$A$1:$L$890,COLUMN(HeadJournal!L$1),0)*($K4543+$L4543)/(SUMIF($A:$A,$A4543,$K:$K)+SUMIF($A:$A,$A4543,$L:$L)))/VLOOKUP($A4543,HeadJournal!$A$1:$L$890,COLUMN(HeadJournal!H$1),0),0)</f>
        <v>0.4786581140956393</v>
      </c>
      <c r="P4543" s="30">
        <f>IFERROR(SUM(K4543:O4543)*VLOOKUP($A4543,HeadJournal!$A$1:$L$890,COLUMN(HeadJournal!H$1),0),0)</f>
        <v>1509.2805275087576</v>
      </c>
      <c r="Q4543" s="29">
        <v>2700</v>
      </c>
      <c r="R4543" s="31">
        <v>45808</v>
      </c>
      <c r="S4543" s="31" t="s">
        <v>3226</v>
      </c>
      <c r="T4543" s="95" t="str">
        <f t="shared" si="349"/>
        <v>2025 05</v>
      </c>
      <c r="U4543" s="32">
        <f t="shared" si="346"/>
        <v>1190.7194724912424</v>
      </c>
      <c r="V4543" s="22">
        <f t="shared" si="347"/>
        <v>0.78893184586212273</v>
      </c>
      <c r="X4543" s="33"/>
      <c r="Y4543" s="33"/>
    </row>
    <row r="4544" spans="1:25" x14ac:dyDescent="0.2">
      <c r="A4544" s="93" t="s">
        <v>3544</v>
      </c>
      <c r="B4544" s="94" t="str">
        <f>IFERROR(VLOOKUP($A4544,HeadJournal!$A$1:$NTR$890,COLUMN(HeadJournal!B$1),0),"")</f>
        <v>720000667044</v>
      </c>
      <c r="C4544" s="94" t="str">
        <f>IFERROR(VLOOKUP($A4544,HeadJournal!$A$1:$NTR$890,COLUMN(HeadJournal!C$1),0),"")</f>
        <v>iHerb_OA CZN6870</v>
      </c>
      <c r="D4544" s="125" t="str">
        <f>IFERROR(VLOOKUP($A4544,HeadJournal!$A$1:$NTR$890,COLUMN(HeadJournal!D$1),0),"")</f>
        <v>Доставлен</v>
      </c>
      <c r="E4544" s="95">
        <f>IFERROR(VLOOKUP($A4544,HeadJournal!$A$1:$NTR$890,COLUMN(HeadJournal!G$1),0),"")</f>
        <v>45777</v>
      </c>
      <c r="F4544" s="95" t="str">
        <f t="shared" si="348"/>
        <v>2025 04</v>
      </c>
      <c r="G4544" s="97" t="s">
        <v>5</v>
      </c>
      <c r="H4544" s="161" t="s">
        <v>2189</v>
      </c>
      <c r="I4544" s="97" t="s">
        <v>2005</v>
      </c>
      <c r="J4544" s="97" t="s">
        <v>4154</v>
      </c>
      <c r="K4544" s="29">
        <v>31.5</v>
      </c>
      <c r="L4544" s="29">
        <v>-6.3</v>
      </c>
      <c r="M4544" s="30">
        <f>IFERROR(VLOOKUP($A4544,HeadJournal!$A$1:$J$890,COLUMN(HeadJournal!I$1),0)*($K4544+$L4544)/(SUMIF($A:$A,$A4544,$K:$K)+SUMIF($A:$A,$A4544,$L:$L)),0)</f>
        <v>-0.99439521945188547</v>
      </c>
      <c r="N4544" s="30">
        <f>IFERROR((VLOOKUP($A4544,HeadJournal!$A$1:$K$890,COLUMN(HeadJournal!K$1),0)-VLOOKUP($A4544,HeadJournal!$A$1:$K$890,COLUMN(HeadJournal!J$1),0))*($K4544+$L4544)/(SUMIF($A:$A,$A4544,$K:$K)+SUMIF($A:$A,$A4544,$L:$L)),0)</f>
        <v>0</v>
      </c>
      <c r="O4544" s="30">
        <f>IFERROR((VLOOKUP($A4544,HeadJournal!$A$1:$L$890,COLUMN(HeadJournal!L$1),0)*($K4544+$L4544)/(SUMIF($A:$A,$A4544,$K:$K)+SUMIF($A:$A,$A4544,$L:$L)))/VLOOKUP($A4544,HeadJournal!$A$1:$L$890,COLUMN(HeadJournal!H$1),0),0)</f>
        <v>0.73774828594557251</v>
      </c>
      <c r="P4544" s="30">
        <f>IFERROR(SUM(K4544:O4544)*VLOOKUP($A4544,HeadJournal!$A$1:$L$890,COLUMN(HeadJournal!H$1),0),0)</f>
        <v>2326.2305378116625</v>
      </c>
      <c r="Q4544" s="29">
        <v>3600</v>
      </c>
      <c r="R4544" s="31">
        <v>45890</v>
      </c>
      <c r="S4544" s="31"/>
      <c r="T4544" s="95" t="str">
        <f t="shared" si="349"/>
        <v>2025 08</v>
      </c>
      <c r="U4544" s="32">
        <f t="shared" si="346"/>
        <v>1273.7694621883375</v>
      </c>
      <c r="V4544" s="22">
        <f t="shared" si="347"/>
        <v>0.54756802538866212</v>
      </c>
      <c r="X4544" s="33"/>
      <c r="Y4544" s="33"/>
    </row>
    <row r="4545" spans="1:25" x14ac:dyDescent="0.2">
      <c r="A4545" s="93" t="s">
        <v>3544</v>
      </c>
      <c r="B4545" s="94" t="str">
        <f>IFERROR(VLOOKUP($A4545,HeadJournal!$A$1:$NTR$890,COLUMN(HeadJournal!B$1),0),"")</f>
        <v>720000667044</v>
      </c>
      <c r="C4545" s="94" t="str">
        <f>IFERROR(VLOOKUP($A4545,HeadJournal!$A$1:$NTR$890,COLUMN(HeadJournal!C$1),0),"")</f>
        <v>iHerb_OA CZN6870</v>
      </c>
      <c r="D4545" s="125" t="str">
        <f>IFERROR(VLOOKUP($A4545,HeadJournal!$A$1:$NTR$890,COLUMN(HeadJournal!D$1),0),"")</f>
        <v>Доставлен</v>
      </c>
      <c r="E4545" s="95">
        <f>IFERROR(VLOOKUP($A4545,HeadJournal!$A$1:$NTR$890,COLUMN(HeadJournal!G$1),0),"")</f>
        <v>45777</v>
      </c>
      <c r="F4545" s="95" t="str">
        <f t="shared" si="348"/>
        <v>2025 04</v>
      </c>
      <c r="G4545" s="97" t="s">
        <v>5</v>
      </c>
      <c r="H4545" s="161" t="s">
        <v>2189</v>
      </c>
      <c r="I4545" s="97" t="s">
        <v>2005</v>
      </c>
      <c r="J4545" s="97" t="s">
        <v>4154</v>
      </c>
      <c r="K4545" s="29">
        <v>31.5</v>
      </c>
      <c r="L4545" s="29">
        <v>-6.3</v>
      </c>
      <c r="M4545" s="30">
        <f>IFERROR(VLOOKUP($A4545,HeadJournal!$A$1:$J$890,COLUMN(HeadJournal!I$1),0)*($K4545+$L4545)/(SUMIF($A:$A,$A4545,$K:$K)+SUMIF($A:$A,$A4545,$L:$L)),0)</f>
        <v>-0.99439521945188547</v>
      </c>
      <c r="N4545" s="30">
        <f>IFERROR((VLOOKUP($A4545,HeadJournal!$A$1:$K$890,COLUMN(HeadJournal!K$1),0)-VLOOKUP($A4545,HeadJournal!$A$1:$K$890,COLUMN(HeadJournal!J$1),0))*($K4545+$L4545)/(SUMIF($A:$A,$A4545,$K:$K)+SUMIF($A:$A,$A4545,$L:$L)),0)</f>
        <v>0</v>
      </c>
      <c r="O4545" s="30">
        <f>IFERROR((VLOOKUP($A4545,HeadJournal!$A$1:$L$890,COLUMN(HeadJournal!L$1),0)*($K4545+$L4545)/(SUMIF($A:$A,$A4545,$K:$K)+SUMIF($A:$A,$A4545,$L:$L)))/VLOOKUP($A4545,HeadJournal!$A$1:$L$890,COLUMN(HeadJournal!H$1),0),0)</f>
        <v>0.73774828594557251</v>
      </c>
      <c r="P4545" s="30">
        <f>IFERROR(SUM(K4545:O4545)*VLOOKUP($A4545,HeadJournal!$A$1:$L$890,COLUMN(HeadJournal!H$1),0),0)</f>
        <v>2326.2305378116625</v>
      </c>
      <c r="Q4545" s="29">
        <v>3600</v>
      </c>
      <c r="R4545" s="31">
        <v>45892</v>
      </c>
      <c r="S4545" s="31" t="s">
        <v>3282</v>
      </c>
      <c r="T4545" s="95" t="str">
        <f t="shared" si="349"/>
        <v>2025 08</v>
      </c>
      <c r="U4545" s="32">
        <f t="shared" si="346"/>
        <v>1273.7694621883375</v>
      </c>
      <c r="V4545" s="22">
        <f t="shared" si="347"/>
        <v>0.54756802538866212</v>
      </c>
      <c r="X4545" s="33"/>
      <c r="Y4545" s="33"/>
    </row>
    <row r="4546" spans="1:25" x14ac:dyDescent="0.2">
      <c r="A4546" s="93" t="s">
        <v>3544</v>
      </c>
      <c r="B4546" s="94" t="str">
        <f>IFERROR(VLOOKUP($A4546,HeadJournal!$A$1:$NTR$890,COLUMN(HeadJournal!B$1),0),"")</f>
        <v>720000667044</v>
      </c>
      <c r="C4546" s="94" t="str">
        <f>IFERROR(VLOOKUP($A4546,HeadJournal!$A$1:$NTR$890,COLUMN(HeadJournal!C$1),0),"")</f>
        <v>iHerb_OA CZN6870</v>
      </c>
      <c r="D4546" s="125" t="str">
        <f>IFERROR(VLOOKUP($A4546,HeadJournal!$A$1:$NTR$890,COLUMN(HeadJournal!D$1),0),"")</f>
        <v>Доставлен</v>
      </c>
      <c r="E4546" s="95">
        <f>IFERROR(VLOOKUP($A4546,HeadJournal!$A$1:$NTR$890,COLUMN(HeadJournal!G$1),0),"")</f>
        <v>45777</v>
      </c>
      <c r="F4546" s="95" t="str">
        <f t="shared" si="348"/>
        <v>2025 04</v>
      </c>
      <c r="G4546" s="97" t="s">
        <v>5</v>
      </c>
      <c r="H4546" s="161" t="s">
        <v>2466</v>
      </c>
      <c r="I4546" s="161" t="s">
        <v>2102</v>
      </c>
      <c r="J4546" s="97" t="s">
        <v>2467</v>
      </c>
      <c r="K4546" s="29">
        <v>34.94</v>
      </c>
      <c r="L4546" s="29">
        <v>-6.99</v>
      </c>
      <c r="M4546" s="30">
        <f>IFERROR(VLOOKUP($A4546,HeadJournal!$A$1:$J$890,COLUMN(HeadJournal!I$1),0)*($K4546+$L4546)/(SUMIF($A:$A,$A4546,$K:$K)+SUMIF($A:$A,$A4546,$L:$L)),0)</f>
        <v>-1.1029105707809601</v>
      </c>
      <c r="N4546" s="30">
        <f>IFERROR((VLOOKUP($A4546,HeadJournal!$A$1:$K$890,COLUMN(HeadJournal!K$1),0)-VLOOKUP($A4546,HeadJournal!$A$1:$K$890,COLUMN(HeadJournal!J$1),0))*($K4546+$L4546)/(SUMIF($A:$A,$A4546,$K:$K)+SUMIF($A:$A,$A4546,$L:$L)),0)</f>
        <v>0</v>
      </c>
      <c r="O4546" s="30">
        <f>IFERROR((VLOOKUP($A4546,HeadJournal!$A$1:$L$890,COLUMN(HeadJournal!L$1),0)*($K4546+$L4546)/(SUMIF($A:$A,$A4546,$K:$K)+SUMIF($A:$A,$A4546,$L:$L)))/VLOOKUP($A4546,HeadJournal!$A$1:$L$890,COLUMN(HeadJournal!H$1),0),0)</f>
        <v>0.81825653143566468</v>
      </c>
      <c r="P4546" s="30">
        <f>IFERROR(SUM(K4546:O4546)*VLOOKUP($A4546,HeadJournal!$A$1:$L$890,COLUMN(HeadJournal!H$1),0),0)</f>
        <v>2580.0850607871416</v>
      </c>
      <c r="Q4546" s="29">
        <v>3900</v>
      </c>
      <c r="R4546" s="31">
        <v>45938</v>
      </c>
      <c r="S4546" s="31"/>
      <c r="T4546" s="95" t="str">
        <f t="shared" si="349"/>
        <v>2025 10</v>
      </c>
      <c r="U4546" s="32">
        <f t="shared" si="346"/>
        <v>1319.9149392128584</v>
      </c>
      <c r="V4546" s="22">
        <f t="shared" si="347"/>
        <v>0.511578071309856</v>
      </c>
      <c r="X4546" s="33"/>
      <c r="Y4546" s="33"/>
    </row>
    <row r="4547" spans="1:25" x14ac:dyDescent="0.2">
      <c r="A4547" s="93" t="s">
        <v>3544</v>
      </c>
      <c r="B4547" s="94" t="str">
        <f>IFERROR(VLOOKUP($A4547,HeadJournal!$A$1:$NTR$890,COLUMN(HeadJournal!B$1),0),"")</f>
        <v>720000667044</v>
      </c>
      <c r="C4547" s="94" t="str">
        <f>IFERROR(VLOOKUP($A4547,HeadJournal!$A$1:$NTR$890,COLUMN(HeadJournal!C$1),0),"")</f>
        <v>iHerb_OA CZN6870</v>
      </c>
      <c r="D4547" s="125" t="str">
        <f>IFERROR(VLOOKUP($A4547,HeadJournal!$A$1:$NTR$890,COLUMN(HeadJournal!D$1),0),"")</f>
        <v>Доставлен</v>
      </c>
      <c r="E4547" s="95">
        <f>IFERROR(VLOOKUP($A4547,HeadJournal!$A$1:$NTR$890,COLUMN(HeadJournal!G$1),0),"")</f>
        <v>45777</v>
      </c>
      <c r="F4547" s="95" t="str">
        <f t="shared" si="348"/>
        <v>2025 04</v>
      </c>
      <c r="G4547" s="97" t="s">
        <v>5</v>
      </c>
      <c r="H4547" s="161" t="s">
        <v>3533</v>
      </c>
      <c r="I4547" s="161" t="s">
        <v>2694</v>
      </c>
      <c r="J4547" s="97" t="s">
        <v>3534</v>
      </c>
      <c r="K4547" s="29">
        <v>33.25</v>
      </c>
      <c r="L4547" s="29">
        <v>-6.65</v>
      </c>
      <c r="M4547" s="30">
        <f>IFERROR(VLOOKUP($A4547,HeadJournal!$A$1:$J$890,COLUMN(HeadJournal!I$1),0)*($K4547+$L4547)/(SUMIF($A:$A,$A4547,$K:$K)+SUMIF($A:$A,$A4547,$L:$L)),0)</f>
        <v>-1.0496393983103236</v>
      </c>
      <c r="N4547" s="30">
        <f>IFERROR((VLOOKUP($A4547,HeadJournal!$A$1:$K$890,COLUMN(HeadJournal!K$1),0)-VLOOKUP($A4547,HeadJournal!$A$1:$K$890,COLUMN(HeadJournal!J$1),0))*($K4547+$L4547)/(SUMIF($A:$A,$A4547,$K:$K)+SUMIF($A:$A,$A4547,$L:$L)),0)</f>
        <v>0</v>
      </c>
      <c r="O4547" s="30">
        <f>IFERROR((VLOOKUP($A4547,HeadJournal!$A$1:$L$890,COLUMN(HeadJournal!L$1),0)*($K4547+$L4547)/(SUMIF($A:$A,$A4547,$K:$K)+SUMIF($A:$A,$A4547,$L:$L)))/VLOOKUP($A4547,HeadJournal!$A$1:$L$890,COLUMN(HeadJournal!H$1),0),0)</f>
        <v>0.77873430183143755</v>
      </c>
      <c r="P4547" s="30">
        <f>IFERROR(SUM(K4547:O4547)*VLOOKUP($A4547,HeadJournal!$A$1:$L$890,COLUMN(HeadJournal!H$1),0),0)</f>
        <v>2455.4655676900888</v>
      </c>
      <c r="Q4547" s="29">
        <v>2300</v>
      </c>
      <c r="R4547" s="31">
        <v>46141</v>
      </c>
      <c r="S4547" s="31" t="s">
        <v>3150</v>
      </c>
      <c r="T4547" s="95" t="str">
        <f t="shared" si="349"/>
        <v>2026 04</v>
      </c>
      <c r="U4547" s="32">
        <f t="shared" ref="U4547:U4610" si="350">Q4547-P4547</f>
        <v>-155.46556769008885</v>
      </c>
      <c r="V4547" s="22">
        <f t="shared" ref="V4547:V4610" si="351">IF(Q4547&lt;&gt;0,IFERROR(U4547/P4547,""),"")</f>
        <v>-6.3314089896336342E-2</v>
      </c>
      <c r="X4547" s="33"/>
      <c r="Y4547" s="33"/>
    </row>
    <row r="4548" spans="1:25" x14ac:dyDescent="0.2">
      <c r="A4548" s="93" t="s">
        <v>3544</v>
      </c>
      <c r="B4548" s="94" t="str">
        <f>IFERROR(VLOOKUP($A4548,HeadJournal!$A$1:$NTR$890,COLUMN(HeadJournal!B$1),0),"")</f>
        <v>720000667044</v>
      </c>
      <c r="C4548" s="94" t="str">
        <f>IFERROR(VLOOKUP($A4548,HeadJournal!$A$1:$NTR$890,COLUMN(HeadJournal!C$1),0),"")</f>
        <v>iHerb_OA CZN6870</v>
      </c>
      <c r="D4548" s="125" t="str">
        <f>IFERROR(VLOOKUP($A4548,HeadJournal!$A$1:$NTR$890,COLUMN(HeadJournal!D$1),0),"")</f>
        <v>Доставлен</v>
      </c>
      <c r="E4548" s="95">
        <f>IFERROR(VLOOKUP($A4548,HeadJournal!$A$1:$NTR$890,COLUMN(HeadJournal!G$1),0),"")</f>
        <v>45777</v>
      </c>
      <c r="F4548" s="95" t="str">
        <f t="shared" ref="F4548:F4611" si="352">IFERROR(TEXT(E4548, "ГГГГ ММ"),"")</f>
        <v>2025 04</v>
      </c>
      <c r="G4548" s="97" t="s">
        <v>5</v>
      </c>
      <c r="H4548" s="161" t="s">
        <v>3535</v>
      </c>
      <c r="I4548" s="161" t="s">
        <v>3524</v>
      </c>
      <c r="J4548" s="97" t="s">
        <v>3536</v>
      </c>
      <c r="K4548" s="29">
        <v>20.59</v>
      </c>
      <c r="L4548" s="29">
        <v>-4.12</v>
      </c>
      <c r="M4548" s="30">
        <f>IFERROR(VLOOKUP($A4548,HeadJournal!$A$1:$J$890,COLUMN(HeadJournal!I$1),0)*($K4548+$L4548)/(SUMIF($A:$A,$A4548,$K:$K)+SUMIF($A:$A,$A4548,$L:$L)),0)</f>
        <v>-0.64990830414176792</v>
      </c>
      <c r="N4548" s="30">
        <f>IFERROR((VLOOKUP($A4548,HeadJournal!$A$1:$K$890,COLUMN(HeadJournal!K$1),0)-VLOOKUP($A4548,HeadJournal!$A$1:$K$890,COLUMN(HeadJournal!J$1),0))*($K4548+$L4548)/(SUMIF($A:$A,$A4548,$K:$K)+SUMIF($A:$A,$A4548,$L:$L)),0)</f>
        <v>0</v>
      </c>
      <c r="O4548" s="30">
        <f>IFERROR((VLOOKUP($A4548,HeadJournal!$A$1:$L$890,COLUMN(HeadJournal!L$1),0)*($K4548+$L4548)/(SUMIF($A:$A,$A4548,$K:$K)+SUMIF($A:$A,$A4548,$L:$L)))/VLOOKUP($A4548,HeadJournal!$A$1:$L$890,COLUMN(HeadJournal!H$1),0),0)</f>
        <v>0.48217120117157053</v>
      </c>
      <c r="P4548" s="30">
        <f>IFERROR(SUM(K4548:O4548)*VLOOKUP($A4548,HeadJournal!$A$1:$L$890,COLUMN(HeadJournal!H$1),0),0)</f>
        <v>1520.3578157840511</v>
      </c>
      <c r="Q4548" s="29">
        <v>2500</v>
      </c>
      <c r="R4548" s="31">
        <v>45828</v>
      </c>
      <c r="S4548" s="31" t="s">
        <v>3231</v>
      </c>
      <c r="T4548" s="95" t="str">
        <f t="shared" ref="T4548:T4611" si="353">IF(R4548="","",TEXT(R4548,"ГГГГ ММ"))</f>
        <v>2025 06</v>
      </c>
      <c r="U4548" s="32">
        <f t="shared" si="350"/>
        <v>979.64218421594887</v>
      </c>
      <c r="V4548" s="22">
        <f t="shared" si="351"/>
        <v>0.64434975375237291</v>
      </c>
      <c r="X4548" s="33"/>
      <c r="Y4548" s="33"/>
    </row>
    <row r="4549" spans="1:25" x14ac:dyDescent="0.2">
      <c r="A4549" s="93" t="s">
        <v>3544</v>
      </c>
      <c r="B4549" s="94" t="str">
        <f>IFERROR(VLOOKUP($A4549,HeadJournal!$A$1:$NTR$890,COLUMN(HeadJournal!B$1),0),"")</f>
        <v>720000667044</v>
      </c>
      <c r="C4549" s="94" t="str">
        <f>IFERROR(VLOOKUP($A4549,HeadJournal!$A$1:$NTR$890,COLUMN(HeadJournal!C$1),0),"")</f>
        <v>iHerb_OA CZN6870</v>
      </c>
      <c r="D4549" s="125" t="str">
        <f>IFERROR(VLOOKUP($A4549,HeadJournal!$A$1:$NTR$890,COLUMN(HeadJournal!D$1),0),"")</f>
        <v>Доставлен</v>
      </c>
      <c r="E4549" s="95">
        <f>IFERROR(VLOOKUP($A4549,HeadJournal!$A$1:$NTR$890,COLUMN(HeadJournal!G$1),0),"")</f>
        <v>45777</v>
      </c>
      <c r="F4549" s="95" t="str">
        <f t="shared" si="352"/>
        <v>2025 04</v>
      </c>
      <c r="G4549" s="97" t="s">
        <v>5</v>
      </c>
      <c r="H4549" s="161" t="s">
        <v>3537</v>
      </c>
      <c r="I4549" s="161" t="s">
        <v>3524</v>
      </c>
      <c r="J4549" s="97" t="s">
        <v>3538</v>
      </c>
      <c r="K4549" s="29">
        <v>12.21</v>
      </c>
      <c r="L4549" s="29">
        <v>-2.44</v>
      </c>
      <c r="M4549" s="30">
        <f>IFERROR(VLOOKUP($A4549,HeadJournal!$A$1:$J$890,COLUMN(HeadJournal!I$1),0)*($K4549+$L4549)/(SUMIF($A:$A,$A4549,$K:$K)+SUMIF($A:$A,$A4549,$L:$L)),0)</f>
        <v>-0.38552544817638579</v>
      </c>
      <c r="N4549" s="30">
        <f>IFERROR((VLOOKUP($A4549,HeadJournal!$A$1:$K$890,COLUMN(HeadJournal!K$1),0)-VLOOKUP($A4549,HeadJournal!$A$1:$K$890,COLUMN(HeadJournal!J$1),0))*($K4549+$L4549)/(SUMIF($A:$A,$A4549,$K:$K)+SUMIF($A:$A,$A4549,$L:$L)),0)</f>
        <v>0</v>
      </c>
      <c r="O4549" s="30">
        <f>IFERROR((VLOOKUP($A4549,HeadJournal!$A$1:$L$890,COLUMN(HeadJournal!L$1),0)*($K4549+$L4549)/(SUMIF($A:$A,$A4549,$K:$K)+SUMIF($A:$A,$A4549,$L:$L)))/VLOOKUP($A4549,HeadJournal!$A$1:$L$890,COLUMN(HeadJournal!H$1),0),0)</f>
        <v>0.28602383943207316</v>
      </c>
      <c r="P4549" s="30">
        <f>IFERROR(SUM(K4549:O4549)*VLOOKUP($A4549,HeadJournal!$A$1:$L$890,COLUMN(HeadJournal!H$1),0),0)</f>
        <v>901.87588708015664</v>
      </c>
      <c r="Q4549" s="29">
        <v>1600</v>
      </c>
      <c r="R4549" s="31">
        <v>46089</v>
      </c>
      <c r="S4549" s="31" t="s">
        <v>4992</v>
      </c>
      <c r="T4549" s="95" t="str">
        <f t="shared" si="353"/>
        <v>2026 03</v>
      </c>
      <c r="U4549" s="32">
        <f t="shared" si="350"/>
        <v>698.12411291984336</v>
      </c>
      <c r="V4549" s="22">
        <f t="shared" si="351"/>
        <v>0.77408002910470952</v>
      </c>
      <c r="X4549" s="33"/>
      <c r="Y4549" s="33"/>
    </row>
    <row r="4550" spans="1:25" x14ac:dyDescent="0.2">
      <c r="A4550" s="93" t="s">
        <v>3544</v>
      </c>
      <c r="B4550" s="94" t="str">
        <f>IFERROR(VLOOKUP($A4550,HeadJournal!$A$1:$NTR$890,COLUMN(HeadJournal!B$1),0),"")</f>
        <v>720000667044</v>
      </c>
      <c r="C4550" s="94" t="str">
        <f>IFERROR(VLOOKUP($A4550,HeadJournal!$A$1:$NTR$890,COLUMN(HeadJournal!C$1),0),"")</f>
        <v>iHerb_OA CZN6870</v>
      </c>
      <c r="D4550" s="125" t="str">
        <f>IFERROR(VLOOKUP($A4550,HeadJournal!$A$1:$NTR$890,COLUMN(HeadJournal!D$1),0),"")</f>
        <v>Доставлен</v>
      </c>
      <c r="E4550" s="95">
        <f>IFERROR(VLOOKUP($A4550,HeadJournal!$A$1:$NTR$890,COLUMN(HeadJournal!G$1),0),"")</f>
        <v>45777</v>
      </c>
      <c r="F4550" s="95" t="str">
        <f t="shared" si="352"/>
        <v>2025 04</v>
      </c>
      <c r="G4550" s="97" t="s">
        <v>5</v>
      </c>
      <c r="H4550" s="161" t="s">
        <v>3539</v>
      </c>
      <c r="I4550" s="97" t="s">
        <v>3524</v>
      </c>
      <c r="J4550" s="97" t="s">
        <v>4095</v>
      </c>
      <c r="K4550" s="29">
        <v>22.58</v>
      </c>
      <c r="L4550" s="29">
        <v>-4.5199999999999996</v>
      </c>
      <c r="M4550" s="30">
        <f>IFERROR(VLOOKUP($A4550,HeadJournal!$A$1:$J$890,COLUMN(HeadJournal!I$1),0)*($K4550+$L4550)/(SUMIF($A:$A,$A4550,$K:$K)+SUMIF($A:$A,$A4550,$L:$L)),0)</f>
        <v>-0.71264990727385114</v>
      </c>
      <c r="N4550" s="30">
        <f>IFERROR((VLOOKUP($A4550,HeadJournal!$A$1:$K$890,COLUMN(HeadJournal!K$1),0)-VLOOKUP($A4550,HeadJournal!$A$1:$K$890,COLUMN(HeadJournal!J$1),0))*($K4550+$L4550)/(SUMIF($A:$A,$A4550,$K:$K)+SUMIF($A:$A,$A4550,$L:$L)),0)</f>
        <v>0</v>
      </c>
      <c r="O4550" s="30">
        <f>IFERROR((VLOOKUP($A4550,HeadJournal!$A$1:$L$890,COLUMN(HeadJournal!L$1),0)*($K4550+$L4550)/(SUMIF($A:$A,$A4550,$K:$K)+SUMIF($A:$A,$A4550,$L:$L)))/VLOOKUP($A4550,HeadJournal!$A$1:$L$890,COLUMN(HeadJournal!H$1),0),0)</f>
        <v>0.52871960492766024</v>
      </c>
      <c r="P4550" s="30">
        <f>IFERROR(SUM(K4550:O4550)*VLOOKUP($A4550,HeadJournal!$A$1:$L$890,COLUMN(HeadJournal!H$1),0),0)</f>
        <v>1667.1318854316917</v>
      </c>
      <c r="Q4550" s="29">
        <v>3000</v>
      </c>
      <c r="R4550" s="31">
        <v>45881</v>
      </c>
      <c r="S4550" s="31" t="s">
        <v>3226</v>
      </c>
      <c r="T4550" s="95" t="str">
        <f t="shared" si="353"/>
        <v>2025 08</v>
      </c>
      <c r="U4550" s="32">
        <f t="shared" si="350"/>
        <v>1332.8681145683083</v>
      </c>
      <c r="V4550" s="22">
        <f t="shared" si="351"/>
        <v>0.7994977039403045</v>
      </c>
      <c r="X4550" s="33"/>
      <c r="Y4550" s="33"/>
    </row>
    <row r="4551" spans="1:25" x14ac:dyDescent="0.2">
      <c r="A4551" s="93" t="s">
        <v>3544</v>
      </c>
      <c r="B4551" s="94" t="str">
        <f>IFERROR(VLOOKUP($A4551,HeadJournal!$A$1:$NTR$890,COLUMN(HeadJournal!B$1),0),"")</f>
        <v>720000667044</v>
      </c>
      <c r="C4551" s="94" t="str">
        <f>IFERROR(VLOOKUP($A4551,HeadJournal!$A$1:$NTR$890,COLUMN(HeadJournal!C$1),0),"")</f>
        <v>iHerb_OA CZN6870</v>
      </c>
      <c r="D4551" s="125" t="str">
        <f>IFERROR(VLOOKUP($A4551,HeadJournal!$A$1:$NTR$890,COLUMN(HeadJournal!D$1),0),"")</f>
        <v>Доставлен</v>
      </c>
      <c r="E4551" s="95">
        <f>IFERROR(VLOOKUP($A4551,HeadJournal!$A$1:$NTR$890,COLUMN(HeadJournal!G$1),0),"")</f>
        <v>45777</v>
      </c>
      <c r="F4551" s="95" t="str">
        <f t="shared" si="352"/>
        <v>2025 04</v>
      </c>
      <c r="G4551" s="97" t="s">
        <v>5</v>
      </c>
      <c r="H4551" s="161" t="s">
        <v>3540</v>
      </c>
      <c r="I4551" s="161" t="s">
        <v>3524</v>
      </c>
      <c r="J4551" s="97" t="s">
        <v>3541</v>
      </c>
      <c r="K4551" s="29">
        <v>16.75</v>
      </c>
      <c r="L4551" s="29">
        <v>-3.35</v>
      </c>
      <c r="M4551" s="30">
        <f>IFERROR(VLOOKUP($A4551,HeadJournal!$A$1:$J$890,COLUMN(HeadJournal!I$1),0)*($K4551+$L4551)/(SUMIF($A:$A,$A4551,$K:$K)+SUMIF($A:$A,$A4551,$L:$L)),0)</f>
        <v>-0.52876571193076449</v>
      </c>
      <c r="N4551" s="30">
        <f>IFERROR((VLOOKUP($A4551,HeadJournal!$A$1:$K$890,COLUMN(HeadJournal!K$1),0)-VLOOKUP($A4551,HeadJournal!$A$1:$K$890,COLUMN(HeadJournal!J$1),0))*($K4551+$L4551)/(SUMIF($A:$A,$A4551,$K:$K)+SUMIF($A:$A,$A4551,$L:$L)),0)</f>
        <v>0</v>
      </c>
      <c r="O4551" s="30">
        <f>IFERROR((VLOOKUP($A4551,HeadJournal!$A$1:$L$890,COLUMN(HeadJournal!L$1),0)*($K4551+$L4551)/(SUMIF($A:$A,$A4551,$K:$K)+SUMIF($A:$A,$A4551,$L:$L)))/VLOOKUP($A4551,HeadJournal!$A$1:$L$890,COLUMN(HeadJournal!H$1),0),0)</f>
        <v>0.39229472347899486</v>
      </c>
      <c r="P4551" s="30">
        <f>IFERROR(SUM(K4551:O4551)*VLOOKUP($A4551,HeadJournal!$A$1:$L$890,COLUMN(HeadJournal!H$1),0),0)</f>
        <v>1236.963857407789</v>
      </c>
      <c r="Q4551" s="29">
        <v>2000</v>
      </c>
      <c r="R4551" s="31">
        <v>45858</v>
      </c>
      <c r="S4551" s="31" t="s">
        <v>3475</v>
      </c>
      <c r="T4551" s="95" t="str">
        <f t="shared" si="353"/>
        <v>2025 07</v>
      </c>
      <c r="U4551" s="32">
        <f t="shared" si="350"/>
        <v>763.03614259221104</v>
      </c>
      <c r="V4551" s="22">
        <f t="shared" si="351"/>
        <v>0.61686211607770647</v>
      </c>
      <c r="X4551" s="33"/>
      <c r="Y4551" s="33"/>
    </row>
    <row r="4552" spans="1:25" x14ac:dyDescent="0.2">
      <c r="A4552" s="93" t="s">
        <v>3544</v>
      </c>
      <c r="B4552" s="94" t="str">
        <f>IFERROR(VLOOKUP($A4552,HeadJournal!$A$1:$NTR$890,COLUMN(HeadJournal!B$1),0),"")</f>
        <v>720000667044</v>
      </c>
      <c r="C4552" s="94" t="str">
        <f>IFERROR(VLOOKUP($A4552,HeadJournal!$A$1:$NTR$890,COLUMN(HeadJournal!C$1),0),"")</f>
        <v>iHerb_OA CZN6870</v>
      </c>
      <c r="D4552" s="125" t="str">
        <f>IFERROR(VLOOKUP($A4552,HeadJournal!$A$1:$NTR$890,COLUMN(HeadJournal!D$1),0),"")</f>
        <v>Доставлен</v>
      </c>
      <c r="E4552" s="95">
        <f>IFERROR(VLOOKUP($A4552,HeadJournal!$A$1:$NTR$890,COLUMN(HeadJournal!G$1),0),"")</f>
        <v>45777</v>
      </c>
      <c r="F4552" s="95" t="str">
        <f t="shared" si="352"/>
        <v>2025 04</v>
      </c>
      <c r="G4552" s="97" t="s">
        <v>5</v>
      </c>
      <c r="H4552" s="161" t="s">
        <v>3542</v>
      </c>
      <c r="I4552" s="161" t="s">
        <v>2039</v>
      </c>
      <c r="J4552" s="97" t="s">
        <v>3543</v>
      </c>
      <c r="K4552" s="29">
        <v>18.899999999999999</v>
      </c>
      <c r="L4552" s="29">
        <v>-3.78</v>
      </c>
      <c r="M4552" s="30">
        <f>IFERROR(VLOOKUP($A4552,HeadJournal!$A$1:$J$890,COLUMN(HeadJournal!I$1),0)*($K4552+$L4552)/(SUMIF($A:$A,$A4552,$K:$K)+SUMIF($A:$A,$A4552,$L:$L)),0)</f>
        <v>-0.59663713167113119</v>
      </c>
      <c r="N4552" s="30">
        <f>IFERROR((VLOOKUP($A4552,HeadJournal!$A$1:$K$890,COLUMN(HeadJournal!K$1),0)-VLOOKUP($A4552,HeadJournal!$A$1:$K$890,COLUMN(HeadJournal!J$1),0))*($K4552+$L4552)/(SUMIF($A:$A,$A4552,$K:$K)+SUMIF($A:$A,$A4552,$L:$L)),0)</f>
        <v>0</v>
      </c>
      <c r="O4552" s="30">
        <f>IFERROR((VLOOKUP($A4552,HeadJournal!$A$1:$L$890,COLUMN(HeadJournal!L$1),0)*($K4552+$L4552)/(SUMIF($A:$A,$A4552,$K:$K)+SUMIF($A:$A,$A4552,$L:$L)))/VLOOKUP($A4552,HeadJournal!$A$1:$L$890,COLUMN(HeadJournal!H$1),0),0)</f>
        <v>0.44264897156734351</v>
      </c>
      <c r="P4552" s="30">
        <f>IFERROR(SUM(K4552:O4552)*VLOOKUP($A4552,HeadJournal!$A$1:$L$890,COLUMN(HeadJournal!H$1),0),0)</f>
        <v>1395.7383226869977</v>
      </c>
      <c r="Q4552" s="29">
        <v>2300</v>
      </c>
      <c r="R4552" s="31">
        <v>45808</v>
      </c>
      <c r="S4552" s="31" t="s">
        <v>3206</v>
      </c>
      <c r="T4552" s="95" t="str">
        <f t="shared" si="353"/>
        <v>2025 05</v>
      </c>
      <c r="U4552" s="32">
        <f t="shared" si="350"/>
        <v>904.26167731300234</v>
      </c>
      <c r="V4552" s="22">
        <f t="shared" si="351"/>
        <v>0.64787336036755672</v>
      </c>
      <c r="X4552" s="33"/>
      <c r="Y4552" s="33"/>
    </row>
    <row r="4553" spans="1:25" x14ac:dyDescent="0.2">
      <c r="A4553" s="93" t="s">
        <v>3532</v>
      </c>
      <c r="B4553" s="94" t="str">
        <f>IFERROR(VLOOKUP($A4553,HeadJournal!$A$1:$NTR$890,COLUMN(HeadJournal!B$1),0),"")</f>
        <v>722500437916</v>
      </c>
      <c r="C4553" s="94" t="str">
        <f>IFERROR(VLOOKUP($A4553,HeadJournal!$A$1:$NTR$890,COLUMN(HeadJournal!C$1),0),"")</f>
        <v>iHerb_OA CZN6870</v>
      </c>
      <c r="D4553" s="125" t="str">
        <f>IFERROR(VLOOKUP($A4553,HeadJournal!$A$1:$NTR$890,COLUMN(HeadJournal!D$1),0),"")</f>
        <v>Доставлен</v>
      </c>
      <c r="E4553" s="95">
        <f>IFERROR(VLOOKUP($A4553,HeadJournal!$A$1:$NTR$890,COLUMN(HeadJournal!G$1),0),"")</f>
        <v>45771</v>
      </c>
      <c r="F4553" s="95" t="str">
        <f t="shared" si="352"/>
        <v>2025 04</v>
      </c>
      <c r="G4553" s="97" t="s">
        <v>5</v>
      </c>
      <c r="H4553" s="161" t="s">
        <v>2027</v>
      </c>
      <c r="I4553" s="97" t="s">
        <v>2005</v>
      </c>
      <c r="J4553" s="97" t="s">
        <v>4110</v>
      </c>
      <c r="K4553" s="29">
        <v>8.06</v>
      </c>
      <c r="L4553" s="29">
        <v>-1.6125</v>
      </c>
      <c r="M4553" s="30">
        <f>IFERROR(VLOOKUP($A4553,HeadJournal!$A$1:$J$890,COLUMN(HeadJournal!I$1),0)*($K4553+$L4553)/(SUMIF($A:$A,$A4553,$K:$K)+SUMIF($A:$A,$A4553,$L:$L)),0)</f>
        <v>-0.24809619860356866</v>
      </c>
      <c r="N4553" s="30">
        <f>IFERROR((VLOOKUP($A4553,HeadJournal!$A$1:$K$890,COLUMN(HeadJournal!K$1),0)-VLOOKUP($A4553,HeadJournal!$A$1:$K$890,COLUMN(HeadJournal!J$1),0))*($K4553+$L4553)/(SUMIF($A:$A,$A4553,$K:$K)+SUMIF($A:$A,$A4553,$L:$L)),0)</f>
        <v>-9.4775780477129467E-16</v>
      </c>
      <c r="O4553" s="30">
        <f>IFERROR((VLOOKUP($A4553,HeadJournal!$A$1:$L$890,COLUMN(HeadJournal!L$1),0)*($K4553+$L4553)/(SUMIF($A:$A,$A4553,$K:$K)+SUMIF($A:$A,$A4553,$L:$L)))/VLOOKUP($A4553,HeadJournal!$A$1:$L$890,COLUMN(HeadJournal!H$1),0),0)</f>
        <v>0.36294767804300748</v>
      </c>
      <c r="P4553" s="30">
        <f>IFERROR(SUM(K4553:O4553)*VLOOKUP($A4553,HeadJournal!$A$1:$L$890,COLUMN(HeadJournal!H$1),0),0)</f>
        <v>611.96795552107574</v>
      </c>
      <c r="Q4553" s="29">
        <v>1100</v>
      </c>
      <c r="R4553" s="31">
        <v>45813</v>
      </c>
      <c r="S4553" s="31" t="s">
        <v>3121</v>
      </c>
      <c r="T4553" s="95" t="str">
        <f t="shared" si="353"/>
        <v>2025 06</v>
      </c>
      <c r="U4553" s="32">
        <f t="shared" si="350"/>
        <v>488.03204447892426</v>
      </c>
      <c r="V4553" s="22">
        <f t="shared" si="351"/>
        <v>0.79747973742085387</v>
      </c>
      <c r="X4553" s="33"/>
      <c r="Y4553" s="33"/>
    </row>
    <row r="4554" spans="1:25" x14ac:dyDescent="0.2">
      <c r="A4554" s="93" t="s">
        <v>3532</v>
      </c>
      <c r="B4554" s="94" t="str">
        <f>IFERROR(VLOOKUP($A4554,HeadJournal!$A$1:$NTR$890,COLUMN(HeadJournal!B$1),0),"")</f>
        <v>722500437916</v>
      </c>
      <c r="C4554" s="94" t="str">
        <f>IFERROR(VLOOKUP($A4554,HeadJournal!$A$1:$NTR$890,COLUMN(HeadJournal!C$1),0),"")</f>
        <v>iHerb_OA CZN6870</v>
      </c>
      <c r="D4554" s="125" t="str">
        <f>IFERROR(VLOOKUP($A4554,HeadJournal!$A$1:$NTR$890,COLUMN(HeadJournal!D$1),0),"")</f>
        <v>Доставлен</v>
      </c>
      <c r="E4554" s="95">
        <f>IFERROR(VLOOKUP($A4554,HeadJournal!$A$1:$NTR$890,COLUMN(HeadJournal!G$1),0),"")</f>
        <v>45771</v>
      </c>
      <c r="F4554" s="95" t="str">
        <f t="shared" si="352"/>
        <v>2025 04</v>
      </c>
      <c r="G4554" s="97" t="s">
        <v>5</v>
      </c>
      <c r="H4554" s="161" t="s">
        <v>2027</v>
      </c>
      <c r="I4554" s="97" t="s">
        <v>2005</v>
      </c>
      <c r="J4554" s="97" t="s">
        <v>4110</v>
      </c>
      <c r="K4554" s="29">
        <v>8.06</v>
      </c>
      <c r="L4554" s="29">
        <v>-1.6125</v>
      </c>
      <c r="M4554" s="30">
        <f>IFERROR(VLOOKUP($A4554,HeadJournal!$A$1:$J$890,COLUMN(HeadJournal!I$1),0)*($K4554+$L4554)/(SUMIF($A:$A,$A4554,$K:$K)+SUMIF($A:$A,$A4554,$L:$L)),0)</f>
        <v>-0.24809619860356866</v>
      </c>
      <c r="N4554" s="30">
        <f>IFERROR((VLOOKUP($A4554,HeadJournal!$A$1:$K$890,COLUMN(HeadJournal!K$1),0)-VLOOKUP($A4554,HeadJournal!$A$1:$K$890,COLUMN(HeadJournal!J$1),0))*($K4554+$L4554)/(SUMIF($A:$A,$A4554,$K:$K)+SUMIF($A:$A,$A4554,$L:$L)),0)</f>
        <v>-9.4775780477129467E-16</v>
      </c>
      <c r="O4554" s="30">
        <f>IFERROR((VLOOKUP($A4554,HeadJournal!$A$1:$L$890,COLUMN(HeadJournal!L$1),0)*($K4554+$L4554)/(SUMIF($A:$A,$A4554,$K:$K)+SUMIF($A:$A,$A4554,$L:$L)))/VLOOKUP($A4554,HeadJournal!$A$1:$L$890,COLUMN(HeadJournal!H$1),0),0)</f>
        <v>0.36294767804300748</v>
      </c>
      <c r="P4554" s="30">
        <f>IFERROR(SUM(K4554:O4554)*VLOOKUP($A4554,HeadJournal!$A$1:$L$890,COLUMN(HeadJournal!H$1),0),0)</f>
        <v>611.96795552107574</v>
      </c>
      <c r="Q4554" s="29">
        <v>1200</v>
      </c>
      <c r="R4554" s="31">
        <v>45821</v>
      </c>
      <c r="S4554" s="31" t="s">
        <v>3290</v>
      </c>
      <c r="T4554" s="95" t="str">
        <f t="shared" si="353"/>
        <v>2025 06</v>
      </c>
      <c r="U4554" s="32">
        <f t="shared" si="350"/>
        <v>588.03204447892426</v>
      </c>
      <c r="V4554" s="22">
        <f t="shared" si="351"/>
        <v>0.96088698627729519</v>
      </c>
      <c r="X4554" s="33"/>
      <c r="Y4554" s="33"/>
    </row>
    <row r="4555" spans="1:25" x14ac:dyDescent="0.2">
      <c r="A4555" s="93" t="s">
        <v>3532</v>
      </c>
      <c r="B4555" s="94" t="str">
        <f>IFERROR(VLOOKUP($A4555,HeadJournal!$A$1:$NTR$890,COLUMN(HeadJournal!B$1),0),"")</f>
        <v>722500437916</v>
      </c>
      <c r="C4555" s="94" t="str">
        <f>IFERROR(VLOOKUP($A4555,HeadJournal!$A$1:$NTR$890,COLUMN(HeadJournal!C$1),0),"")</f>
        <v>iHerb_OA CZN6870</v>
      </c>
      <c r="D4555" s="125" t="str">
        <f>IFERROR(VLOOKUP($A4555,HeadJournal!$A$1:$NTR$890,COLUMN(HeadJournal!D$1),0),"")</f>
        <v>Доставлен</v>
      </c>
      <c r="E4555" s="95">
        <f>IFERROR(VLOOKUP($A4555,HeadJournal!$A$1:$NTR$890,COLUMN(HeadJournal!G$1),0),"")</f>
        <v>45771</v>
      </c>
      <c r="F4555" s="95" t="str">
        <f t="shared" si="352"/>
        <v>2025 04</v>
      </c>
      <c r="G4555" s="97" t="s">
        <v>5</v>
      </c>
      <c r="H4555" s="161" t="s">
        <v>2027</v>
      </c>
      <c r="I4555" s="97" t="s">
        <v>2005</v>
      </c>
      <c r="J4555" s="97" t="s">
        <v>4110</v>
      </c>
      <c r="K4555" s="29">
        <v>8.06</v>
      </c>
      <c r="L4555" s="29">
        <v>-1.6125</v>
      </c>
      <c r="M4555" s="30">
        <f>IFERROR(VLOOKUP($A4555,HeadJournal!$A$1:$J$890,COLUMN(HeadJournal!I$1),0)*($K4555+$L4555)/(SUMIF($A:$A,$A4555,$K:$K)+SUMIF($A:$A,$A4555,$L:$L)),0)</f>
        <v>-0.24809619860356866</v>
      </c>
      <c r="N4555" s="30">
        <f>IFERROR((VLOOKUP($A4555,HeadJournal!$A$1:$K$890,COLUMN(HeadJournal!K$1),0)-VLOOKUP($A4555,HeadJournal!$A$1:$K$890,COLUMN(HeadJournal!J$1),0))*($K4555+$L4555)/(SUMIF($A:$A,$A4555,$K:$K)+SUMIF($A:$A,$A4555,$L:$L)),0)</f>
        <v>-9.4775780477129467E-16</v>
      </c>
      <c r="O4555" s="30">
        <f>IFERROR((VLOOKUP($A4555,HeadJournal!$A$1:$L$890,COLUMN(HeadJournal!L$1),0)*($K4555+$L4555)/(SUMIF($A:$A,$A4555,$K:$K)+SUMIF($A:$A,$A4555,$L:$L)))/VLOOKUP($A4555,HeadJournal!$A$1:$L$890,COLUMN(HeadJournal!H$1),0),0)</f>
        <v>0.36294767804300748</v>
      </c>
      <c r="P4555" s="30">
        <f>IFERROR(SUM(K4555:O4555)*VLOOKUP($A4555,HeadJournal!$A$1:$L$890,COLUMN(HeadJournal!H$1),0),0)</f>
        <v>611.96795552107574</v>
      </c>
      <c r="Q4555" s="29">
        <v>1200</v>
      </c>
      <c r="R4555" s="31">
        <v>45845</v>
      </c>
      <c r="S4555" s="31"/>
      <c r="T4555" s="95" t="str">
        <f t="shared" si="353"/>
        <v>2025 07</v>
      </c>
      <c r="U4555" s="32">
        <f t="shared" si="350"/>
        <v>588.03204447892426</v>
      </c>
      <c r="V4555" s="22">
        <f t="shared" si="351"/>
        <v>0.96088698627729519</v>
      </c>
      <c r="X4555" s="33"/>
      <c r="Y4555" s="33"/>
    </row>
    <row r="4556" spans="1:25" x14ac:dyDescent="0.2">
      <c r="A4556" s="93" t="s">
        <v>3532</v>
      </c>
      <c r="B4556" s="94" t="str">
        <f>IFERROR(VLOOKUP($A4556,HeadJournal!$A$1:$NTR$890,COLUMN(HeadJournal!B$1),0),"")</f>
        <v>722500437916</v>
      </c>
      <c r="C4556" s="94" t="str">
        <f>IFERROR(VLOOKUP($A4556,HeadJournal!$A$1:$NTR$890,COLUMN(HeadJournal!C$1),0),"")</f>
        <v>iHerb_OA CZN6870</v>
      </c>
      <c r="D4556" s="125" t="str">
        <f>IFERROR(VLOOKUP($A4556,HeadJournal!$A$1:$NTR$890,COLUMN(HeadJournal!D$1),0),"")</f>
        <v>Доставлен</v>
      </c>
      <c r="E4556" s="95">
        <f>IFERROR(VLOOKUP($A4556,HeadJournal!$A$1:$NTR$890,COLUMN(HeadJournal!G$1),0),"")</f>
        <v>45771</v>
      </c>
      <c r="F4556" s="95" t="str">
        <f t="shared" si="352"/>
        <v>2025 04</v>
      </c>
      <c r="G4556" s="97" t="s">
        <v>5</v>
      </c>
      <c r="H4556" s="161" t="s">
        <v>2027</v>
      </c>
      <c r="I4556" s="97" t="s">
        <v>2005</v>
      </c>
      <c r="J4556" s="97" t="s">
        <v>4110</v>
      </c>
      <c r="K4556" s="29">
        <v>8.06</v>
      </c>
      <c r="L4556" s="29">
        <v>-1.6125</v>
      </c>
      <c r="M4556" s="30">
        <f>IFERROR(VLOOKUP($A4556,HeadJournal!$A$1:$J$890,COLUMN(HeadJournal!I$1),0)*($K4556+$L4556)/(SUMIF($A:$A,$A4556,$K:$K)+SUMIF($A:$A,$A4556,$L:$L)),0)</f>
        <v>-0.24809619860356866</v>
      </c>
      <c r="N4556" s="30">
        <f>IFERROR((VLOOKUP($A4556,HeadJournal!$A$1:$K$890,COLUMN(HeadJournal!K$1),0)-VLOOKUP($A4556,HeadJournal!$A$1:$K$890,COLUMN(HeadJournal!J$1),0))*($K4556+$L4556)/(SUMIF($A:$A,$A4556,$K:$K)+SUMIF($A:$A,$A4556,$L:$L)),0)</f>
        <v>-9.4775780477129467E-16</v>
      </c>
      <c r="O4556" s="30">
        <f>IFERROR((VLOOKUP($A4556,HeadJournal!$A$1:$L$890,COLUMN(HeadJournal!L$1),0)*($K4556+$L4556)/(SUMIF($A:$A,$A4556,$K:$K)+SUMIF($A:$A,$A4556,$L:$L)))/VLOOKUP($A4556,HeadJournal!$A$1:$L$890,COLUMN(HeadJournal!H$1),0),0)</f>
        <v>0.36294767804300748</v>
      </c>
      <c r="P4556" s="30">
        <f>IFERROR(SUM(K4556:O4556)*VLOOKUP($A4556,HeadJournal!$A$1:$L$890,COLUMN(HeadJournal!H$1),0),0)</f>
        <v>611.96795552107574</v>
      </c>
      <c r="Q4556" s="29">
        <v>1100</v>
      </c>
      <c r="R4556" s="31">
        <v>45853</v>
      </c>
      <c r="S4556" s="31"/>
      <c r="T4556" s="95" t="str">
        <f t="shared" si="353"/>
        <v>2025 07</v>
      </c>
      <c r="U4556" s="32">
        <f t="shared" si="350"/>
        <v>488.03204447892426</v>
      </c>
      <c r="V4556" s="22">
        <f t="shared" si="351"/>
        <v>0.79747973742085387</v>
      </c>
      <c r="X4556" s="33"/>
      <c r="Y4556" s="33"/>
    </row>
    <row r="4557" spans="1:25" x14ac:dyDescent="0.2">
      <c r="A4557" s="93" t="s">
        <v>3532</v>
      </c>
      <c r="B4557" s="94" t="str">
        <f>IFERROR(VLOOKUP($A4557,HeadJournal!$A$1:$NTR$890,COLUMN(HeadJournal!B$1),0),"")</f>
        <v>722500437916</v>
      </c>
      <c r="C4557" s="94" t="str">
        <f>IFERROR(VLOOKUP($A4557,HeadJournal!$A$1:$NTR$890,COLUMN(HeadJournal!C$1),0),"")</f>
        <v>iHerb_OA CZN6870</v>
      </c>
      <c r="D4557" s="125" t="str">
        <f>IFERROR(VLOOKUP($A4557,HeadJournal!$A$1:$NTR$890,COLUMN(HeadJournal!D$1),0),"")</f>
        <v>Доставлен</v>
      </c>
      <c r="E4557" s="95">
        <f>IFERROR(VLOOKUP($A4557,HeadJournal!$A$1:$NTR$890,COLUMN(HeadJournal!G$1),0),"")</f>
        <v>45771</v>
      </c>
      <c r="F4557" s="95" t="str">
        <f t="shared" si="352"/>
        <v>2025 04</v>
      </c>
      <c r="G4557" s="97" t="s">
        <v>5</v>
      </c>
      <c r="H4557" s="161" t="s">
        <v>2588</v>
      </c>
      <c r="I4557" s="161" t="s">
        <v>2005</v>
      </c>
      <c r="J4557" s="97" t="s">
        <v>2589</v>
      </c>
      <c r="K4557" s="29">
        <v>10.86</v>
      </c>
      <c r="L4557" s="29">
        <v>-2.17</v>
      </c>
      <c r="M4557" s="30">
        <f>IFERROR(VLOOKUP($A4557,HeadJournal!$A$1:$J$890,COLUMN(HeadJournal!I$1),0)*($K4557+$L4557)/(SUMIF($A:$A,$A4557,$K:$K)+SUMIF($A:$A,$A4557,$L:$L)),0)</f>
        <v>-0.33438634600465472</v>
      </c>
      <c r="N4557" s="30">
        <f>IFERROR((VLOOKUP($A4557,HeadJournal!$A$1:$K$890,COLUMN(HeadJournal!K$1),0)-VLOOKUP($A4557,HeadJournal!$A$1:$K$890,COLUMN(HeadJournal!J$1),0))*($K4557+$L4557)/(SUMIF($A:$A,$A4557,$K:$K)+SUMIF($A:$A,$A4557,$L:$L)),0)</f>
        <v>-1.2773967155428539E-15</v>
      </c>
      <c r="O4557" s="30">
        <f>IFERROR((VLOOKUP($A4557,HeadJournal!$A$1:$L$890,COLUMN(HeadJournal!L$1),0)*($K4557+$L4557)/(SUMIF($A:$A,$A4557,$K:$K)+SUMIF($A:$A,$A4557,$L:$L)))/VLOOKUP($A4557,HeadJournal!$A$1:$L$890,COLUMN(HeadJournal!H$1),0),0)</f>
        <v>0.48918422988658167</v>
      </c>
      <c r="P4557" s="30">
        <f>IFERROR(SUM(K4557:O4557)*VLOOKUP($A4557,HeadJournal!$A$1:$L$890,COLUMN(HeadJournal!H$1),0),0)</f>
        <v>824.81605792604068</v>
      </c>
      <c r="Q4557" s="29">
        <v>1600</v>
      </c>
      <c r="R4557" s="31">
        <v>45866</v>
      </c>
      <c r="S4557" s="31"/>
      <c r="T4557" s="95" t="str">
        <f t="shared" si="353"/>
        <v>2025 07</v>
      </c>
      <c r="U4557" s="32">
        <f t="shared" si="350"/>
        <v>775.18394207395932</v>
      </c>
      <c r="V4557" s="22">
        <f t="shared" si="351"/>
        <v>0.93982644327163212</v>
      </c>
      <c r="X4557" s="33"/>
      <c r="Y4557" s="33"/>
    </row>
    <row r="4558" spans="1:25" x14ac:dyDescent="0.2">
      <c r="A4558" s="93" t="s">
        <v>3532</v>
      </c>
      <c r="B4558" s="94" t="str">
        <f>IFERROR(VLOOKUP($A4558,HeadJournal!$A$1:$NTR$890,COLUMN(HeadJournal!B$1),0),"")</f>
        <v>722500437916</v>
      </c>
      <c r="C4558" s="94" t="str">
        <f>IFERROR(VLOOKUP($A4558,HeadJournal!$A$1:$NTR$890,COLUMN(HeadJournal!C$1),0),"")</f>
        <v>iHerb_OA CZN6870</v>
      </c>
      <c r="D4558" s="125" t="str">
        <f>IFERROR(VLOOKUP($A4558,HeadJournal!$A$1:$NTR$890,COLUMN(HeadJournal!D$1),0),"")</f>
        <v>Доставлен</v>
      </c>
      <c r="E4558" s="95">
        <f>IFERROR(VLOOKUP($A4558,HeadJournal!$A$1:$NTR$890,COLUMN(HeadJournal!G$1),0),"")</f>
        <v>45771</v>
      </c>
      <c r="F4558" s="95" t="str">
        <f t="shared" si="352"/>
        <v>2025 04</v>
      </c>
      <c r="G4558" s="97" t="s">
        <v>5</v>
      </c>
      <c r="H4558" s="161" t="s">
        <v>2546</v>
      </c>
      <c r="I4558" s="161" t="s">
        <v>2039</v>
      </c>
      <c r="J4558" s="97" t="s">
        <v>2547</v>
      </c>
      <c r="K4558" s="29">
        <v>10.75</v>
      </c>
      <c r="L4558" s="29">
        <v>-2.15</v>
      </c>
      <c r="M4558" s="30">
        <f>IFERROR(VLOOKUP($A4558,HeadJournal!$A$1:$J$890,COLUMN(HeadJournal!I$1),0)*($K4558+$L4558)/(SUMIF($A:$A,$A4558,$K:$K)+SUMIF($A:$A,$A4558,$L:$L)),0)</f>
        <v>-0.33092319627618305</v>
      </c>
      <c r="N4558" s="30">
        <f>IFERROR((VLOOKUP($A4558,HeadJournal!$A$1:$K$890,COLUMN(HeadJournal!K$1),0)-VLOOKUP($A4558,HeadJournal!$A$1:$K$890,COLUMN(HeadJournal!J$1),0))*($K4558+$L4558)/(SUMIF($A:$A,$A4558,$K:$K)+SUMIF($A:$A,$A4558,$L:$L)),0)</f>
        <v>-1.2641670602610521E-15</v>
      </c>
      <c r="O4558" s="30">
        <f>IFERROR((VLOOKUP($A4558,HeadJournal!$A$1:$L$890,COLUMN(HeadJournal!L$1),0)*($K4558+$L4558)/(SUMIF($A:$A,$A4558,$K:$K)+SUMIF($A:$A,$A4558,$L:$L)))/VLOOKUP($A4558,HeadJournal!$A$1:$L$890,COLUMN(HeadJournal!H$1),0),0)</f>
        <v>0.48411787997981609</v>
      </c>
      <c r="P4558" s="30">
        <f>IFERROR(SUM(K4558:O4558)*VLOOKUP($A4558,HeadJournal!$A$1:$L$890,COLUMN(HeadJournal!H$1),0),0)</f>
        <v>816.27365916731287</v>
      </c>
      <c r="Q4558" s="29">
        <v>1600</v>
      </c>
      <c r="R4558" s="31">
        <v>45874</v>
      </c>
      <c r="S4558" s="31" t="s">
        <v>3206</v>
      </c>
      <c r="T4558" s="95" t="str">
        <f t="shared" si="353"/>
        <v>2025 08</v>
      </c>
      <c r="U4558" s="32">
        <f t="shared" si="350"/>
        <v>783.72634083268713</v>
      </c>
      <c r="V4558" s="22">
        <f t="shared" si="351"/>
        <v>0.96012695256168434</v>
      </c>
      <c r="X4558" s="33"/>
      <c r="Y4558" s="33"/>
    </row>
    <row r="4559" spans="1:25" x14ac:dyDescent="0.2">
      <c r="A4559" s="93" t="s">
        <v>3532</v>
      </c>
      <c r="B4559" s="94" t="str">
        <f>IFERROR(VLOOKUP($A4559,HeadJournal!$A$1:$NTR$890,COLUMN(HeadJournal!B$1),0),"")</f>
        <v>722500437916</v>
      </c>
      <c r="C4559" s="94" t="str">
        <f>IFERROR(VLOOKUP($A4559,HeadJournal!$A$1:$NTR$890,COLUMN(HeadJournal!C$1),0),"")</f>
        <v>iHerb_OA CZN6870</v>
      </c>
      <c r="D4559" s="125" t="str">
        <f>IFERROR(VLOOKUP($A4559,HeadJournal!$A$1:$NTR$890,COLUMN(HeadJournal!D$1),0),"")</f>
        <v>Доставлен</v>
      </c>
      <c r="E4559" s="95">
        <f>IFERROR(VLOOKUP($A4559,HeadJournal!$A$1:$NTR$890,COLUMN(HeadJournal!G$1),0),"")</f>
        <v>45771</v>
      </c>
      <c r="F4559" s="95" t="str">
        <f t="shared" si="352"/>
        <v>2025 04</v>
      </c>
      <c r="G4559" s="97" t="s">
        <v>5</v>
      </c>
      <c r="H4559" s="161" t="s">
        <v>2196</v>
      </c>
      <c r="I4559" s="161" t="s">
        <v>2006</v>
      </c>
      <c r="J4559" s="97" t="s">
        <v>2197</v>
      </c>
      <c r="K4559" s="29">
        <v>18.03</v>
      </c>
      <c r="L4559" s="29">
        <v>-3.605</v>
      </c>
      <c r="M4559" s="30">
        <f>IFERROR(VLOOKUP($A4559,HeadJournal!$A$1:$J$890,COLUMN(HeadJournal!I$1),0)*($K4559+$L4559)/(SUMIF($A:$A,$A4559,$K:$K)+SUMIF($A:$A,$A4559,$L:$L)),0)</f>
        <v>-0.55506594259115594</v>
      </c>
      <c r="N4559" s="30">
        <f>IFERROR((VLOOKUP($A4559,HeadJournal!$A$1:$K$890,COLUMN(HeadJournal!K$1),0)-VLOOKUP($A4559,HeadJournal!$A$1:$K$890,COLUMN(HeadJournal!J$1),0))*($K4559+$L4559)/(SUMIF($A:$A,$A4559,$K:$K)+SUMIF($A:$A,$A4559,$L:$L)),0)</f>
        <v>-2.1204197493332184E-15</v>
      </c>
      <c r="O4559" s="30">
        <f>IFERROR((VLOOKUP($A4559,HeadJournal!$A$1:$L$890,COLUMN(HeadJournal!L$1),0)*($K4559+$L4559)/(SUMIF($A:$A,$A4559,$K:$K)+SUMIF($A:$A,$A4559,$L:$L)))/VLOOKUP($A4559,HeadJournal!$A$1:$L$890,COLUMN(HeadJournal!H$1),0),0)</f>
        <v>0.81202330450102889</v>
      </c>
      <c r="P4559" s="30">
        <f>IFERROR(SUM(K4559:O4559)*VLOOKUP($A4559,HeadJournal!$A$1:$L$890,COLUMN(HeadJournal!H$1),0),0)</f>
        <v>1369.156689940522</v>
      </c>
      <c r="Q4559" s="29">
        <v>2050</v>
      </c>
      <c r="R4559" s="31">
        <v>45858</v>
      </c>
      <c r="S4559" s="31" t="s">
        <v>3475</v>
      </c>
      <c r="T4559" s="95" t="str">
        <f t="shared" si="353"/>
        <v>2025 07</v>
      </c>
      <c r="U4559" s="32">
        <f t="shared" si="350"/>
        <v>680.84331005947797</v>
      </c>
      <c r="V4559" s="22">
        <f t="shared" si="351"/>
        <v>0.49727201792298492</v>
      </c>
      <c r="X4559" s="33"/>
      <c r="Y4559" s="33"/>
    </row>
    <row r="4560" spans="1:25" x14ac:dyDescent="0.2">
      <c r="A4560" s="93" t="s">
        <v>3532</v>
      </c>
      <c r="B4560" s="94" t="str">
        <f>IFERROR(VLOOKUP($A4560,HeadJournal!$A$1:$NTR$890,COLUMN(HeadJournal!B$1),0),"")</f>
        <v>722500437916</v>
      </c>
      <c r="C4560" s="94" t="str">
        <f>IFERROR(VLOOKUP($A4560,HeadJournal!$A$1:$NTR$890,COLUMN(HeadJournal!C$1),0),"")</f>
        <v>iHerb_OA CZN6870</v>
      </c>
      <c r="D4560" s="125" t="str">
        <f>IFERROR(VLOOKUP($A4560,HeadJournal!$A$1:$NTR$890,COLUMN(HeadJournal!D$1),0),"")</f>
        <v>Доставлен</v>
      </c>
      <c r="E4560" s="95">
        <f>IFERROR(VLOOKUP($A4560,HeadJournal!$A$1:$NTR$890,COLUMN(HeadJournal!G$1),0),"")</f>
        <v>45771</v>
      </c>
      <c r="F4560" s="95" t="str">
        <f t="shared" si="352"/>
        <v>2025 04</v>
      </c>
      <c r="G4560" s="97" t="s">
        <v>5</v>
      </c>
      <c r="H4560" s="161" t="s">
        <v>2196</v>
      </c>
      <c r="I4560" s="161" t="s">
        <v>2006</v>
      </c>
      <c r="J4560" s="97" t="s">
        <v>2197</v>
      </c>
      <c r="K4560" s="29">
        <v>18.03</v>
      </c>
      <c r="L4560" s="29">
        <v>-3.605</v>
      </c>
      <c r="M4560" s="30">
        <f>IFERROR(VLOOKUP($A4560,HeadJournal!$A$1:$J$890,COLUMN(HeadJournal!I$1),0)*($K4560+$L4560)/(SUMIF($A:$A,$A4560,$K:$K)+SUMIF($A:$A,$A4560,$L:$L)),0)</f>
        <v>-0.55506594259115594</v>
      </c>
      <c r="N4560" s="30">
        <f>IFERROR((VLOOKUP($A4560,HeadJournal!$A$1:$K$890,COLUMN(HeadJournal!K$1),0)-VLOOKUP($A4560,HeadJournal!$A$1:$K$890,COLUMN(HeadJournal!J$1),0))*($K4560+$L4560)/(SUMIF($A:$A,$A4560,$K:$K)+SUMIF($A:$A,$A4560,$L:$L)),0)</f>
        <v>-2.1204197493332184E-15</v>
      </c>
      <c r="O4560" s="30">
        <f>IFERROR((VLOOKUP($A4560,HeadJournal!$A$1:$L$890,COLUMN(HeadJournal!L$1),0)*($K4560+$L4560)/(SUMIF($A:$A,$A4560,$K:$K)+SUMIF($A:$A,$A4560,$L:$L)))/VLOOKUP($A4560,HeadJournal!$A$1:$L$890,COLUMN(HeadJournal!H$1),0),0)</f>
        <v>0.81202330450102889</v>
      </c>
      <c r="P4560" s="30">
        <f>IFERROR(SUM(K4560:O4560)*VLOOKUP($A4560,HeadJournal!$A$1:$L$890,COLUMN(HeadJournal!H$1),0),0)</f>
        <v>1369.156689940522</v>
      </c>
      <c r="Q4560" s="29">
        <v>2400</v>
      </c>
      <c r="R4560" s="31">
        <v>45912</v>
      </c>
      <c r="S4560" s="31"/>
      <c r="T4560" s="95" t="str">
        <f t="shared" si="353"/>
        <v>2025 09</v>
      </c>
      <c r="U4560" s="32">
        <f t="shared" si="350"/>
        <v>1030.843310059478</v>
      </c>
      <c r="V4560" s="22">
        <f t="shared" si="351"/>
        <v>0.75290382586105553</v>
      </c>
      <c r="X4560" s="33"/>
      <c r="Y4560" s="33"/>
    </row>
    <row r="4561" spans="1:25" x14ac:dyDescent="0.2">
      <c r="A4561" s="93" t="s">
        <v>3532</v>
      </c>
      <c r="B4561" s="94" t="str">
        <f>IFERROR(VLOOKUP($A4561,HeadJournal!$A$1:$NTR$890,COLUMN(HeadJournal!B$1),0),"")</f>
        <v>722500437916</v>
      </c>
      <c r="C4561" s="94" t="str">
        <f>IFERROR(VLOOKUP($A4561,HeadJournal!$A$1:$NTR$890,COLUMN(HeadJournal!C$1),0),"")</f>
        <v>iHerb_OA CZN6870</v>
      </c>
      <c r="D4561" s="125" t="str">
        <f>IFERROR(VLOOKUP($A4561,HeadJournal!$A$1:$NTR$890,COLUMN(HeadJournal!D$1),0),"")</f>
        <v>Доставлен</v>
      </c>
      <c r="E4561" s="95">
        <f>IFERROR(VLOOKUP($A4561,HeadJournal!$A$1:$NTR$890,COLUMN(HeadJournal!G$1),0),"")</f>
        <v>45771</v>
      </c>
      <c r="F4561" s="95" t="str">
        <f t="shared" si="352"/>
        <v>2025 04</v>
      </c>
      <c r="G4561" s="97" t="s">
        <v>5</v>
      </c>
      <c r="H4561" s="161" t="s">
        <v>2196</v>
      </c>
      <c r="I4561" s="161" t="s">
        <v>2006</v>
      </c>
      <c r="J4561" s="97" t="s">
        <v>2197</v>
      </c>
      <c r="K4561" s="29">
        <v>18.03</v>
      </c>
      <c r="L4561" s="29">
        <v>-3.605</v>
      </c>
      <c r="M4561" s="30">
        <f>IFERROR(VLOOKUP($A4561,HeadJournal!$A$1:$J$890,COLUMN(HeadJournal!I$1),0)*($K4561+$L4561)/(SUMIF($A:$A,$A4561,$K:$K)+SUMIF($A:$A,$A4561,$L:$L)),0)</f>
        <v>-0.55506594259115594</v>
      </c>
      <c r="N4561" s="30">
        <f>IFERROR((VLOOKUP($A4561,HeadJournal!$A$1:$K$890,COLUMN(HeadJournal!K$1),0)-VLOOKUP($A4561,HeadJournal!$A$1:$K$890,COLUMN(HeadJournal!J$1),0))*($K4561+$L4561)/(SUMIF($A:$A,$A4561,$K:$K)+SUMIF($A:$A,$A4561,$L:$L)),0)</f>
        <v>-2.1204197493332184E-15</v>
      </c>
      <c r="O4561" s="30">
        <f>IFERROR((VLOOKUP($A4561,HeadJournal!$A$1:$L$890,COLUMN(HeadJournal!L$1),0)*($K4561+$L4561)/(SUMIF($A:$A,$A4561,$K:$K)+SUMIF($A:$A,$A4561,$L:$L)))/VLOOKUP($A4561,HeadJournal!$A$1:$L$890,COLUMN(HeadJournal!H$1),0),0)</f>
        <v>0.81202330450102889</v>
      </c>
      <c r="P4561" s="30">
        <f>IFERROR(SUM(K4561:O4561)*VLOOKUP($A4561,HeadJournal!$A$1:$L$890,COLUMN(HeadJournal!H$1),0),0)</f>
        <v>1369.156689940522</v>
      </c>
      <c r="Q4561" s="29">
        <v>2500</v>
      </c>
      <c r="R4561" s="31">
        <v>45916</v>
      </c>
      <c r="S4561" s="31"/>
      <c r="T4561" s="95" t="str">
        <f t="shared" si="353"/>
        <v>2025 09</v>
      </c>
      <c r="U4561" s="32">
        <f t="shared" si="350"/>
        <v>1130.843310059478</v>
      </c>
      <c r="V4561" s="22">
        <f t="shared" si="351"/>
        <v>0.82594148527193278</v>
      </c>
      <c r="X4561" s="33"/>
      <c r="Y4561" s="33"/>
    </row>
    <row r="4562" spans="1:25" x14ac:dyDescent="0.2">
      <c r="A4562" s="93" t="s">
        <v>3532</v>
      </c>
      <c r="B4562" s="94" t="str">
        <f>IFERROR(VLOOKUP($A4562,HeadJournal!$A$1:$NTR$890,COLUMN(HeadJournal!B$1),0),"")</f>
        <v>722500437916</v>
      </c>
      <c r="C4562" s="94" t="str">
        <f>IFERROR(VLOOKUP($A4562,HeadJournal!$A$1:$NTR$890,COLUMN(HeadJournal!C$1),0),"")</f>
        <v>iHerb_OA CZN6870</v>
      </c>
      <c r="D4562" s="125" t="str">
        <f>IFERROR(VLOOKUP($A4562,HeadJournal!$A$1:$NTR$890,COLUMN(HeadJournal!D$1),0),"")</f>
        <v>Доставлен</v>
      </c>
      <c r="E4562" s="95">
        <f>IFERROR(VLOOKUP($A4562,HeadJournal!$A$1:$NTR$890,COLUMN(HeadJournal!G$1),0),"")</f>
        <v>45771</v>
      </c>
      <c r="F4562" s="95" t="str">
        <f t="shared" si="352"/>
        <v>2025 04</v>
      </c>
      <c r="G4562" s="97" t="s">
        <v>5</v>
      </c>
      <c r="H4562" s="161" t="s">
        <v>2196</v>
      </c>
      <c r="I4562" s="161" t="s">
        <v>2006</v>
      </c>
      <c r="J4562" s="97" t="s">
        <v>2197</v>
      </c>
      <c r="K4562" s="29">
        <v>18.03</v>
      </c>
      <c r="L4562" s="29">
        <v>-3.605</v>
      </c>
      <c r="M4562" s="30">
        <f>IFERROR(VLOOKUP($A4562,HeadJournal!$A$1:$J$890,COLUMN(HeadJournal!I$1),0)*($K4562+$L4562)/(SUMIF($A:$A,$A4562,$K:$K)+SUMIF($A:$A,$A4562,$L:$L)),0)</f>
        <v>-0.55506594259115594</v>
      </c>
      <c r="N4562" s="30">
        <f>IFERROR((VLOOKUP($A4562,HeadJournal!$A$1:$K$890,COLUMN(HeadJournal!K$1),0)-VLOOKUP($A4562,HeadJournal!$A$1:$K$890,COLUMN(HeadJournal!J$1),0))*($K4562+$L4562)/(SUMIF($A:$A,$A4562,$K:$K)+SUMIF($A:$A,$A4562,$L:$L)),0)</f>
        <v>-2.1204197493332184E-15</v>
      </c>
      <c r="O4562" s="30">
        <f>IFERROR((VLOOKUP($A4562,HeadJournal!$A$1:$L$890,COLUMN(HeadJournal!L$1),0)*($K4562+$L4562)/(SUMIF($A:$A,$A4562,$K:$K)+SUMIF($A:$A,$A4562,$L:$L)))/VLOOKUP($A4562,HeadJournal!$A$1:$L$890,COLUMN(HeadJournal!H$1),0),0)</f>
        <v>0.81202330450102889</v>
      </c>
      <c r="P4562" s="30">
        <f>IFERROR(SUM(K4562:O4562)*VLOOKUP($A4562,HeadJournal!$A$1:$L$890,COLUMN(HeadJournal!H$1),0),0)</f>
        <v>1369.156689940522</v>
      </c>
      <c r="Q4562" s="29">
        <v>2500</v>
      </c>
      <c r="R4562" s="31">
        <v>46034</v>
      </c>
      <c r="S4562" s="31" t="s">
        <v>3181</v>
      </c>
      <c r="T4562" s="95" t="str">
        <f t="shared" si="353"/>
        <v>2026 01</v>
      </c>
      <c r="U4562" s="32">
        <f t="shared" si="350"/>
        <v>1130.843310059478</v>
      </c>
      <c r="V4562" s="22">
        <f t="shared" si="351"/>
        <v>0.82594148527193278</v>
      </c>
      <c r="X4562" s="33"/>
      <c r="Y4562" s="33"/>
    </row>
    <row r="4563" spans="1:25" x14ac:dyDescent="0.2">
      <c r="A4563" s="93" t="s">
        <v>3532</v>
      </c>
      <c r="B4563" s="94" t="str">
        <f>IFERROR(VLOOKUP($A4563,HeadJournal!$A$1:$NTR$890,COLUMN(HeadJournal!B$1),0),"")</f>
        <v>722500437916</v>
      </c>
      <c r="C4563" s="94" t="str">
        <f>IFERROR(VLOOKUP($A4563,HeadJournal!$A$1:$NTR$890,COLUMN(HeadJournal!C$1),0),"")</f>
        <v>iHerb_OA CZN6870</v>
      </c>
      <c r="D4563" s="125" t="str">
        <f>IFERROR(VLOOKUP($A4563,HeadJournal!$A$1:$NTR$890,COLUMN(HeadJournal!D$1),0),"")</f>
        <v>Доставлен</v>
      </c>
      <c r="E4563" s="95">
        <f>IFERROR(VLOOKUP($A4563,HeadJournal!$A$1:$NTR$890,COLUMN(HeadJournal!G$1),0),"")</f>
        <v>45771</v>
      </c>
      <c r="F4563" s="95" t="str">
        <f t="shared" si="352"/>
        <v>2025 04</v>
      </c>
      <c r="G4563" s="97" t="s">
        <v>5</v>
      </c>
      <c r="H4563" s="161" t="s">
        <v>3527</v>
      </c>
      <c r="I4563" s="161" t="s">
        <v>3528</v>
      </c>
      <c r="J4563" s="97" t="s">
        <v>3529</v>
      </c>
      <c r="K4563" s="29">
        <v>17.690000000000001</v>
      </c>
      <c r="L4563" s="29">
        <v>-3.54</v>
      </c>
      <c r="M4563" s="30">
        <f>IFERROR(VLOOKUP($A4563,HeadJournal!$A$1:$J$890,COLUMN(HeadJournal!I$1),0)*($K4563+$L4563)/(SUMIF($A:$A,$A4563,$K:$K)+SUMIF($A:$A,$A4563,$L:$L)),0)</f>
        <v>-0.54448409619860361</v>
      </c>
      <c r="N4563" s="30">
        <f>IFERROR((VLOOKUP($A4563,HeadJournal!$A$1:$K$890,COLUMN(HeadJournal!K$1),0)-VLOOKUP($A4563,HeadJournal!$A$1:$K$890,COLUMN(HeadJournal!J$1),0))*($K4563+$L4563)/(SUMIF($A:$A,$A4563,$K:$K)+SUMIF($A:$A,$A4563,$L:$L)),0)</f>
        <v>-2.0799958026388244E-15</v>
      </c>
      <c r="O4563" s="30">
        <f>IFERROR((VLOOKUP($A4563,HeadJournal!$A$1:$L$890,COLUMN(HeadJournal!L$1),0)*($K4563+$L4563)/(SUMIF($A:$A,$A4563,$K:$K)+SUMIF($A:$A,$A4563,$L:$L)))/VLOOKUP($A4563,HeadJournal!$A$1:$L$890,COLUMN(HeadJournal!H$1),0),0)</f>
        <v>0.79654279089702318</v>
      </c>
      <c r="P4563" s="30">
        <f>IFERROR(SUM(K4563:O4563)*VLOOKUP($A4563,HeadJournal!$A$1:$L$890,COLUMN(HeadJournal!H$1),0),0)</f>
        <v>1343.054915955521</v>
      </c>
      <c r="Q4563" s="29">
        <v>2300</v>
      </c>
      <c r="R4563" s="31">
        <v>45798</v>
      </c>
      <c r="S4563" s="31" t="s">
        <v>3235</v>
      </c>
      <c r="T4563" s="95" t="str">
        <f t="shared" si="353"/>
        <v>2025 05</v>
      </c>
      <c r="U4563" s="32">
        <f t="shared" si="350"/>
        <v>956.94508404447902</v>
      </c>
      <c r="V4563" s="22">
        <f t="shared" si="351"/>
        <v>0.71251374212323793</v>
      </c>
      <c r="X4563" s="33"/>
      <c r="Y4563" s="33"/>
    </row>
    <row r="4564" spans="1:25" x14ac:dyDescent="0.2">
      <c r="A4564" s="93" t="s">
        <v>3532</v>
      </c>
      <c r="B4564" s="94" t="str">
        <f>IFERROR(VLOOKUP($A4564,HeadJournal!$A$1:$NTR$890,COLUMN(HeadJournal!B$1),0),"")</f>
        <v>722500437916</v>
      </c>
      <c r="C4564" s="94" t="str">
        <f>IFERROR(VLOOKUP($A4564,HeadJournal!$A$1:$NTR$890,COLUMN(HeadJournal!C$1),0),"")</f>
        <v>iHerb_OA CZN6870</v>
      </c>
      <c r="D4564" s="125" t="str">
        <f>IFERROR(VLOOKUP($A4564,HeadJournal!$A$1:$NTR$890,COLUMN(HeadJournal!D$1),0),"")</f>
        <v>Доставлен</v>
      </c>
      <c r="E4564" s="95">
        <f>IFERROR(VLOOKUP($A4564,HeadJournal!$A$1:$NTR$890,COLUMN(HeadJournal!G$1),0),"")</f>
        <v>45771</v>
      </c>
      <c r="F4564" s="95" t="str">
        <f t="shared" si="352"/>
        <v>2025 04</v>
      </c>
      <c r="G4564" s="97" t="s">
        <v>5</v>
      </c>
      <c r="H4564" s="161" t="s">
        <v>2034</v>
      </c>
      <c r="I4564" s="161" t="s">
        <v>2008</v>
      </c>
      <c r="J4564" s="97" t="s">
        <v>2942</v>
      </c>
      <c r="K4564" s="29">
        <v>24.7</v>
      </c>
      <c r="L4564" s="29">
        <v>-4.9400000000000004</v>
      </c>
      <c r="M4564" s="30">
        <f>IFERROR(VLOOKUP($A4564,HeadJournal!$A$1:$J$890,COLUMN(HeadJournal!I$1),0)*($K4564+$L4564)/(SUMIF($A:$A,$A4564,$K:$K)+SUMIF($A:$A,$A4564,$L:$L)),0)</f>
        <v>-0.76035376260667176</v>
      </c>
      <c r="N4564" s="30">
        <f>IFERROR((VLOOKUP($A4564,HeadJournal!$A$1:$K$890,COLUMN(HeadJournal!K$1),0)-VLOOKUP($A4564,HeadJournal!$A$1:$K$890,COLUMN(HeadJournal!J$1),0))*($K4564+$L4564)/(SUMIF($A:$A,$A4564,$K:$K)+SUMIF($A:$A,$A4564,$L:$L)),0)</f>
        <v>-2.9046443152044639E-15</v>
      </c>
      <c r="O4564" s="30">
        <f>IFERROR((VLOOKUP($A4564,HeadJournal!$A$1:$L$890,COLUMN(HeadJournal!L$1),0)*($K4564+$L4564)/(SUMIF($A:$A,$A4564,$K:$K)+SUMIF($A:$A,$A4564,$L:$L)))/VLOOKUP($A4564,HeadJournal!$A$1:$L$890,COLUMN(HeadJournal!H$1),0),0)</f>
        <v>1.1123452684187403</v>
      </c>
      <c r="P4564" s="30">
        <f>IFERROR(SUM(K4564:O4564)*VLOOKUP($A4564,HeadJournal!$A$1:$L$890,COLUMN(HeadJournal!H$1),0),0)</f>
        <v>1875.5311052495465</v>
      </c>
      <c r="Q4564" s="29">
        <v>3000</v>
      </c>
      <c r="R4564" s="31">
        <v>45891</v>
      </c>
      <c r="S4564" s="31" t="s">
        <v>3226</v>
      </c>
      <c r="T4564" s="95" t="str">
        <f t="shared" si="353"/>
        <v>2025 08</v>
      </c>
      <c r="U4564" s="32">
        <f t="shared" si="350"/>
        <v>1124.4688947504535</v>
      </c>
      <c r="V4564" s="22">
        <f t="shared" si="351"/>
        <v>0.59954691852516018</v>
      </c>
      <c r="X4564" s="33"/>
      <c r="Y4564" s="33"/>
    </row>
    <row r="4565" spans="1:25" x14ac:dyDescent="0.2">
      <c r="A4565" s="93" t="s">
        <v>3532</v>
      </c>
      <c r="B4565" s="94" t="str">
        <f>IFERROR(VLOOKUP($A4565,HeadJournal!$A$1:$NTR$890,COLUMN(HeadJournal!B$1),0),"")</f>
        <v>722500437916</v>
      </c>
      <c r="C4565" s="94" t="str">
        <f>IFERROR(VLOOKUP($A4565,HeadJournal!$A$1:$NTR$890,COLUMN(HeadJournal!C$1),0),"")</f>
        <v>iHerb_OA CZN6870</v>
      </c>
      <c r="D4565" s="125" t="str">
        <f>IFERROR(VLOOKUP($A4565,HeadJournal!$A$1:$NTR$890,COLUMN(HeadJournal!D$1),0),"")</f>
        <v>Доставлен</v>
      </c>
      <c r="E4565" s="95">
        <f>IFERROR(VLOOKUP($A4565,HeadJournal!$A$1:$NTR$890,COLUMN(HeadJournal!G$1),0),"")</f>
        <v>45771</v>
      </c>
      <c r="F4565" s="95" t="str">
        <f t="shared" si="352"/>
        <v>2025 04</v>
      </c>
      <c r="G4565" s="97" t="s">
        <v>5</v>
      </c>
      <c r="H4565" s="161" t="s">
        <v>2665</v>
      </c>
      <c r="I4565" s="161" t="s">
        <v>2666</v>
      </c>
      <c r="J4565" s="97" t="s">
        <v>3930</v>
      </c>
      <c r="K4565" s="29">
        <v>10.8</v>
      </c>
      <c r="L4565" s="29">
        <v>-2.16</v>
      </c>
      <c r="M4565" s="30">
        <f>IFERROR(VLOOKUP($A4565,HeadJournal!$A$1:$J$890,COLUMN(HeadJournal!I$1),0)*($K4565+$L4565)/(SUMIF($A:$A,$A4565,$K:$K)+SUMIF($A:$A,$A4565,$L:$L)),0)</f>
        <v>-0.33246237393328165</v>
      </c>
      <c r="N4565" s="30">
        <f>IFERROR((VLOOKUP($A4565,HeadJournal!$A$1:$K$890,COLUMN(HeadJournal!K$1),0)-VLOOKUP($A4565,HeadJournal!$A$1:$K$890,COLUMN(HeadJournal!J$1),0))*($K4565+$L4565)/(SUMIF($A:$A,$A4565,$K:$K)+SUMIF($A:$A,$A4565,$L:$L)),0)</f>
        <v>-1.2700469070529641E-15</v>
      </c>
      <c r="O4565" s="30">
        <f>IFERROR((VLOOKUP($A4565,HeadJournal!$A$1:$L$890,COLUMN(HeadJournal!L$1),0)*($K4565+$L4565)/(SUMIF($A:$A,$A4565,$K:$K)+SUMIF($A:$A,$A4565,$L:$L)))/VLOOKUP($A4565,HeadJournal!$A$1:$L$890,COLUMN(HeadJournal!H$1),0),0)</f>
        <v>0.48636959104948974</v>
      </c>
      <c r="P4565" s="30">
        <f>IFERROR(SUM(K4565:O4565)*VLOOKUP($A4565,HeadJournal!$A$1:$L$890,COLUMN(HeadJournal!H$1),0),0)</f>
        <v>820.0702808378586</v>
      </c>
      <c r="Q4565" s="29">
        <v>1700</v>
      </c>
      <c r="R4565" s="31">
        <v>45794</v>
      </c>
      <c r="S4565" s="31" t="s">
        <v>3226</v>
      </c>
      <c r="T4565" s="95" t="str">
        <f t="shared" si="353"/>
        <v>2025 05</v>
      </c>
      <c r="U4565" s="32">
        <f t="shared" si="350"/>
        <v>879.9297191621414</v>
      </c>
      <c r="V4565" s="22">
        <f t="shared" si="351"/>
        <v>1.0729930589157857</v>
      </c>
      <c r="X4565" s="33"/>
      <c r="Y4565" s="33"/>
    </row>
    <row r="4566" spans="1:25" x14ac:dyDescent="0.2">
      <c r="A4566" s="93" t="s">
        <v>3532</v>
      </c>
      <c r="B4566" s="94" t="str">
        <f>IFERROR(VLOOKUP($A4566,HeadJournal!$A$1:$NTR$890,COLUMN(HeadJournal!B$1),0),"")</f>
        <v>722500437916</v>
      </c>
      <c r="C4566" s="94" t="str">
        <f>IFERROR(VLOOKUP($A4566,HeadJournal!$A$1:$NTR$890,COLUMN(HeadJournal!C$1),0),"")</f>
        <v>iHerb_OA CZN6870</v>
      </c>
      <c r="D4566" s="125" t="str">
        <f>IFERROR(VLOOKUP($A4566,HeadJournal!$A$1:$NTR$890,COLUMN(HeadJournal!D$1),0),"")</f>
        <v>Доставлен</v>
      </c>
      <c r="E4566" s="95">
        <f>IFERROR(VLOOKUP($A4566,HeadJournal!$A$1:$NTR$890,COLUMN(HeadJournal!G$1),0),"")</f>
        <v>45771</v>
      </c>
      <c r="F4566" s="95" t="str">
        <f t="shared" si="352"/>
        <v>2025 04</v>
      </c>
      <c r="G4566" s="97" t="s">
        <v>5</v>
      </c>
      <c r="H4566" s="161" t="s">
        <v>3530</v>
      </c>
      <c r="I4566" s="161" t="s">
        <v>2491</v>
      </c>
      <c r="J4566" s="97" t="s">
        <v>3531</v>
      </c>
      <c r="K4566" s="29">
        <v>19.89</v>
      </c>
      <c r="L4566" s="29">
        <v>-9.9499999999999993</v>
      </c>
      <c r="M4566" s="30">
        <f>IFERROR(VLOOKUP($A4566,HeadJournal!$A$1:$J$890,COLUMN(HeadJournal!I$1),0)*($K4566+$L4566)/(SUMIF($A:$A,$A4566,$K:$K)+SUMIF($A:$A,$A4566,$L:$L)),0)</f>
        <v>-0.3824856477889837</v>
      </c>
      <c r="N4566" s="30">
        <f>IFERROR((VLOOKUP($A4566,HeadJournal!$A$1:$K$890,COLUMN(HeadJournal!K$1),0)-VLOOKUP($A4566,HeadJournal!$A$1:$K$890,COLUMN(HeadJournal!J$1),0))*($K4566+$L4566)/(SUMIF($A:$A,$A4566,$K:$K)+SUMIF($A:$A,$A4566,$L:$L)),0)</f>
        <v>-1.4611419277901E-15</v>
      </c>
      <c r="O4566" s="30">
        <f>IFERROR((VLOOKUP($A4566,HeadJournal!$A$1:$L$890,COLUMN(HeadJournal!L$1),0)*($K4566+$L4566)/(SUMIF($A:$A,$A4566,$K:$K)+SUMIF($A:$A,$A4566,$L:$L)))/VLOOKUP($A4566,HeadJournal!$A$1:$L$890,COLUMN(HeadJournal!H$1),0),0)</f>
        <v>0.55955020081388063</v>
      </c>
      <c r="P4566" s="30">
        <f>IFERROR(SUM(K4566:O4566)*VLOOKUP($A4566,HeadJournal!$A$1:$L$890,COLUMN(HeadJournal!H$1),0),0)</f>
        <v>943.46048513059202</v>
      </c>
      <c r="Q4566" s="29">
        <v>2300</v>
      </c>
      <c r="R4566" s="31">
        <v>45890</v>
      </c>
      <c r="S4566" s="31" t="s">
        <v>3252</v>
      </c>
      <c r="T4566" s="95" t="str">
        <f t="shared" si="353"/>
        <v>2025 08</v>
      </c>
      <c r="U4566" s="32">
        <f t="shared" si="350"/>
        <v>1356.5395148694079</v>
      </c>
      <c r="V4566" s="22">
        <f t="shared" si="351"/>
        <v>1.4378339487971648</v>
      </c>
      <c r="X4566" s="33"/>
      <c r="Y4566" s="33"/>
    </row>
    <row r="4567" spans="1:25" x14ac:dyDescent="0.2">
      <c r="A4567" s="93" t="s">
        <v>3532</v>
      </c>
      <c r="B4567" s="94" t="str">
        <f>IFERROR(VLOOKUP($A4567,HeadJournal!$A$1:$NTR$890,COLUMN(HeadJournal!B$1),0),"")</f>
        <v>722500437916</v>
      </c>
      <c r="C4567" s="94" t="str">
        <f>IFERROR(VLOOKUP($A4567,HeadJournal!$A$1:$NTR$890,COLUMN(HeadJournal!C$1),0),"")</f>
        <v>iHerb_OA CZN6870</v>
      </c>
      <c r="D4567" s="125" t="str">
        <f>IFERROR(VLOOKUP($A4567,HeadJournal!$A$1:$NTR$890,COLUMN(HeadJournal!D$1),0),"")</f>
        <v>Доставлен</v>
      </c>
      <c r="E4567" s="95">
        <f>IFERROR(VLOOKUP($A4567,HeadJournal!$A$1:$NTR$890,COLUMN(HeadJournal!G$1),0),"")</f>
        <v>45771</v>
      </c>
      <c r="F4567" s="95" t="str">
        <f t="shared" si="352"/>
        <v>2025 04</v>
      </c>
      <c r="G4567" s="97" t="s">
        <v>5</v>
      </c>
      <c r="H4567" s="161" t="s">
        <v>3042</v>
      </c>
      <c r="I4567" s="161" t="s">
        <v>2750</v>
      </c>
      <c r="J4567" s="97" t="s">
        <v>3043</v>
      </c>
      <c r="K4567" s="29">
        <v>25.8</v>
      </c>
      <c r="L4567" s="29">
        <v>-5.16</v>
      </c>
      <c r="M4567" s="30">
        <f>IFERROR(VLOOKUP($A4567,HeadJournal!$A$1:$J$890,COLUMN(HeadJournal!I$1),0)*($K4567+$L4567)/(SUMIF($A:$A,$A4567,$K:$K)+SUMIF($A:$A,$A4567,$L:$L)),0)</f>
        <v>-0.7942156710628393</v>
      </c>
      <c r="N4567" s="30">
        <f>IFERROR((VLOOKUP($A4567,HeadJournal!$A$1:$K$890,COLUMN(HeadJournal!K$1),0)-VLOOKUP($A4567,HeadJournal!$A$1:$K$890,COLUMN(HeadJournal!J$1),0))*($K4567+$L4567)/(SUMIF($A:$A,$A4567,$K:$K)+SUMIF($A:$A,$A4567,$L:$L)),0)</f>
        <v>-3.0340009446265255E-15</v>
      </c>
      <c r="O4567" s="30">
        <f>IFERROR((VLOOKUP($A4567,HeadJournal!$A$1:$L$890,COLUMN(HeadJournal!L$1),0)*($K4567+$L4567)/(SUMIF($A:$A,$A4567,$K:$K)+SUMIF($A:$A,$A4567,$L:$L)))/VLOOKUP($A4567,HeadJournal!$A$1:$L$890,COLUMN(HeadJournal!H$1),0),0)</f>
        <v>1.1618829119515588</v>
      </c>
      <c r="P4567" s="30">
        <f>IFERROR(SUM(K4567:O4567)*VLOOKUP($A4567,HeadJournal!$A$1:$L$890,COLUMN(HeadJournal!H$1),0),0)</f>
        <v>1959.056782001551</v>
      </c>
      <c r="Q4567" s="29">
        <v>3000</v>
      </c>
      <c r="R4567" s="31">
        <v>45848</v>
      </c>
      <c r="S4567" s="31"/>
      <c r="T4567" s="95" t="str">
        <f t="shared" si="353"/>
        <v>2025 07</v>
      </c>
      <c r="U4567" s="32">
        <f t="shared" si="350"/>
        <v>1040.943217998449</v>
      </c>
      <c r="V4567" s="22">
        <f t="shared" si="351"/>
        <v>0.53134918168881584</v>
      </c>
      <c r="X4567" s="33"/>
      <c r="Y4567" s="33"/>
    </row>
    <row r="4568" spans="1:25" x14ac:dyDescent="0.2">
      <c r="A4568" s="93" t="s">
        <v>3532</v>
      </c>
      <c r="B4568" s="94" t="str">
        <f>IFERROR(VLOOKUP($A4568,HeadJournal!$A$1:$NTR$890,COLUMN(HeadJournal!B$1),0),"")</f>
        <v>722500437916</v>
      </c>
      <c r="C4568" s="94" t="str">
        <f>IFERROR(VLOOKUP($A4568,HeadJournal!$A$1:$NTR$890,COLUMN(HeadJournal!C$1),0),"")</f>
        <v>iHerb_OA CZN6870</v>
      </c>
      <c r="D4568" s="125" t="str">
        <f>IFERROR(VLOOKUP($A4568,HeadJournal!$A$1:$NTR$890,COLUMN(HeadJournal!D$1),0),"")</f>
        <v>Доставлен</v>
      </c>
      <c r="E4568" s="95">
        <f>IFERROR(VLOOKUP($A4568,HeadJournal!$A$1:$NTR$890,COLUMN(HeadJournal!G$1),0),"")</f>
        <v>45771</v>
      </c>
      <c r="F4568" s="95" t="str">
        <f t="shared" si="352"/>
        <v>2025 04</v>
      </c>
      <c r="G4568" s="97" t="s">
        <v>5</v>
      </c>
      <c r="H4568" s="161" t="s">
        <v>3057</v>
      </c>
      <c r="I4568" s="161" t="s">
        <v>2006</v>
      </c>
      <c r="J4568" s="97" t="s">
        <v>3058</v>
      </c>
      <c r="K4568" s="29">
        <v>24.3</v>
      </c>
      <c r="L4568" s="29">
        <v>-4.8600000000000003</v>
      </c>
      <c r="M4568" s="30">
        <f>IFERROR(VLOOKUP($A4568,HeadJournal!$A$1:$J$890,COLUMN(HeadJournal!I$1),0)*($K4568+$L4568)/(SUMIF($A:$A,$A4568,$K:$K)+SUMIF($A:$A,$A4568,$L:$L)),0)</f>
        <v>-0.74804034134988373</v>
      </c>
      <c r="N4568" s="30">
        <f>IFERROR((VLOOKUP($A4568,HeadJournal!$A$1:$K$890,COLUMN(HeadJournal!K$1),0)-VLOOKUP($A4568,HeadJournal!$A$1:$K$890,COLUMN(HeadJournal!J$1),0))*($K4568+$L4568)/(SUMIF($A:$A,$A4568,$K:$K)+SUMIF($A:$A,$A4568,$L:$L)),0)</f>
        <v>-2.8576055408691692E-15</v>
      </c>
      <c r="O4568" s="30">
        <f>IFERROR((VLOOKUP($A4568,HeadJournal!$A$1:$L$890,COLUMN(HeadJournal!L$1),0)*($K4568+$L4568)/(SUMIF($A:$A,$A4568,$K:$K)+SUMIF($A:$A,$A4568,$L:$L)))/VLOOKUP($A4568,HeadJournal!$A$1:$L$890,COLUMN(HeadJournal!H$1),0),0)</f>
        <v>1.094331579861352</v>
      </c>
      <c r="P4568" s="30">
        <f>IFERROR(SUM(K4568:O4568)*VLOOKUP($A4568,HeadJournal!$A$1:$L$890,COLUMN(HeadJournal!H$1),0),0)</f>
        <v>1845.1581318851815</v>
      </c>
      <c r="Q4568" s="29">
        <v>2800</v>
      </c>
      <c r="R4568" s="31">
        <v>45995</v>
      </c>
      <c r="S4568" s="31" t="s">
        <v>3437</v>
      </c>
      <c r="T4568" s="95" t="str">
        <f t="shared" si="353"/>
        <v>2025 12</v>
      </c>
      <c r="U4568" s="32">
        <f t="shared" si="350"/>
        <v>954.84186811481845</v>
      </c>
      <c r="V4568" s="22">
        <f t="shared" si="351"/>
        <v>0.51748511502332051</v>
      </c>
      <c r="X4568" s="33"/>
      <c r="Y4568" s="33"/>
    </row>
    <row r="4569" spans="1:25" x14ac:dyDescent="0.2">
      <c r="A4569" s="93" t="s">
        <v>3526</v>
      </c>
      <c r="B4569" s="94" t="str">
        <f>IFERROR(VLOOKUP($A4569,HeadJournal!$A$1:$NTR$890,COLUMN(HeadJournal!B$1),0),"")</f>
        <v>720000659818</v>
      </c>
      <c r="C4569" s="94" t="str">
        <f>IFERROR(VLOOKUP($A4569,HeadJournal!$A$1:$NTR$890,COLUMN(HeadJournal!C$1),0),"")</f>
        <v>iHerb_MH DLE7202</v>
      </c>
      <c r="D4569" s="125" t="str">
        <f>IFERROR(VLOOKUP($A4569,HeadJournal!$A$1:$NTR$890,COLUMN(HeadJournal!D$1),0),"")</f>
        <v>Доставлен</v>
      </c>
      <c r="E4569" s="95">
        <f>IFERROR(VLOOKUP($A4569,HeadJournal!$A$1:$NTR$890,COLUMN(HeadJournal!G$1),0),"")</f>
        <v>45772</v>
      </c>
      <c r="F4569" s="95" t="str">
        <f t="shared" si="352"/>
        <v>2025 04</v>
      </c>
      <c r="G4569" s="97" t="s">
        <v>5</v>
      </c>
      <c r="H4569" s="161" t="s">
        <v>2101</v>
      </c>
      <c r="I4569" s="97" t="s">
        <v>2102</v>
      </c>
      <c r="J4569" s="97" t="s">
        <v>4015</v>
      </c>
      <c r="K4569" s="29">
        <v>49.42</v>
      </c>
      <c r="L4569" s="29">
        <v>-9.8833333333333329</v>
      </c>
      <c r="M4569" s="30">
        <f>IFERROR(VLOOKUP($A4569,HeadJournal!$A$1:$J$890,COLUMN(HeadJournal!I$1),0)*($K4569+$L4569)/(SUMIF($A:$A,$A4569,$K:$K)+SUMIF($A:$A,$A4569,$L:$L)),0)</f>
        <v>-5.402881262490526</v>
      </c>
      <c r="N4569" s="30">
        <f>IFERROR((VLOOKUP($A4569,HeadJournal!$A$1:$K$890,COLUMN(HeadJournal!K$1),0)-VLOOKUP($A4569,HeadJournal!$A$1:$K$890,COLUMN(HeadJournal!J$1),0))*($K4569+$L4569)/(SUMIF($A:$A,$A4569,$K:$K)+SUMIF($A:$A,$A4569,$L:$L)),0)</f>
        <v>5.807833635759459E-15</v>
      </c>
      <c r="O4569" s="30">
        <f>IFERROR((VLOOKUP($A4569,HeadJournal!$A$1:$L$890,COLUMN(HeadJournal!L$1),0)*($K4569+$L4569)/(SUMIF($A:$A,$A4569,$K:$K)+SUMIF($A:$A,$A4569,$L:$L)))/VLOOKUP($A4569,HeadJournal!$A$1:$L$890,COLUMN(HeadJournal!H$1),0),0)</f>
        <v>2.2004928804132216</v>
      </c>
      <c r="P4569" s="30">
        <f>IFERROR(SUM(K4569:O4569)*VLOOKUP($A4569,HeadJournal!$A$1:$L$890,COLUMN(HeadJournal!H$1),0),0)</f>
        <v>3424.7319474881137</v>
      </c>
      <c r="Q4569" s="29">
        <v>5500</v>
      </c>
      <c r="R4569" s="31">
        <v>45792</v>
      </c>
      <c r="S4569" s="31" t="s">
        <v>3235</v>
      </c>
      <c r="T4569" s="95" t="str">
        <f t="shared" si="353"/>
        <v>2025 05</v>
      </c>
      <c r="U4569" s="32">
        <f t="shared" si="350"/>
        <v>2075.2680525118863</v>
      </c>
      <c r="V4569" s="22">
        <f t="shared" si="351"/>
        <v>0.60596510451978636</v>
      </c>
      <c r="X4569" s="33"/>
      <c r="Y4569" s="33"/>
    </row>
    <row r="4570" spans="1:25" x14ac:dyDescent="0.2">
      <c r="A4570" s="93" t="s">
        <v>3526</v>
      </c>
      <c r="B4570" s="94" t="str">
        <f>IFERROR(VLOOKUP($A4570,HeadJournal!$A$1:$NTR$890,COLUMN(HeadJournal!B$1),0),"")</f>
        <v>720000659818</v>
      </c>
      <c r="C4570" s="94" t="str">
        <f>IFERROR(VLOOKUP($A4570,HeadJournal!$A$1:$NTR$890,COLUMN(HeadJournal!C$1),0),"")</f>
        <v>iHerb_MH DLE7202</v>
      </c>
      <c r="D4570" s="125" t="str">
        <f>IFERROR(VLOOKUP($A4570,HeadJournal!$A$1:$NTR$890,COLUMN(HeadJournal!D$1),0),"")</f>
        <v>Доставлен</v>
      </c>
      <c r="E4570" s="95">
        <f>IFERROR(VLOOKUP($A4570,HeadJournal!$A$1:$NTR$890,COLUMN(HeadJournal!G$1),0),"")</f>
        <v>45772</v>
      </c>
      <c r="F4570" s="95" t="str">
        <f t="shared" si="352"/>
        <v>2025 04</v>
      </c>
      <c r="G4570" s="97" t="s">
        <v>5</v>
      </c>
      <c r="H4570" s="161" t="s">
        <v>2101</v>
      </c>
      <c r="I4570" s="97" t="s">
        <v>2102</v>
      </c>
      <c r="J4570" s="97" t="s">
        <v>4015</v>
      </c>
      <c r="K4570" s="29">
        <v>49.42</v>
      </c>
      <c r="L4570" s="29">
        <v>-9.8833333333333329</v>
      </c>
      <c r="M4570" s="30">
        <f>IFERROR(VLOOKUP($A4570,HeadJournal!$A$1:$J$890,COLUMN(HeadJournal!I$1),0)*($K4570+$L4570)/(SUMIF($A:$A,$A4570,$K:$K)+SUMIF($A:$A,$A4570,$L:$L)),0)</f>
        <v>-5.402881262490526</v>
      </c>
      <c r="N4570" s="30">
        <f>IFERROR((VLOOKUP($A4570,HeadJournal!$A$1:$K$890,COLUMN(HeadJournal!K$1),0)-VLOOKUP($A4570,HeadJournal!$A$1:$K$890,COLUMN(HeadJournal!J$1),0))*($K4570+$L4570)/(SUMIF($A:$A,$A4570,$K:$K)+SUMIF($A:$A,$A4570,$L:$L)),0)</f>
        <v>5.807833635759459E-15</v>
      </c>
      <c r="O4570" s="30">
        <f>IFERROR((VLOOKUP($A4570,HeadJournal!$A$1:$L$890,COLUMN(HeadJournal!L$1),0)*($K4570+$L4570)/(SUMIF($A:$A,$A4570,$K:$K)+SUMIF($A:$A,$A4570,$L:$L)))/VLOOKUP($A4570,HeadJournal!$A$1:$L$890,COLUMN(HeadJournal!H$1),0),0)</f>
        <v>2.2004928804132216</v>
      </c>
      <c r="P4570" s="30">
        <f>IFERROR(SUM(K4570:O4570)*VLOOKUP($A4570,HeadJournal!$A$1:$L$890,COLUMN(HeadJournal!H$1),0),0)</f>
        <v>3424.7319474881137</v>
      </c>
      <c r="Q4570" s="29">
        <v>5500</v>
      </c>
      <c r="R4570" s="31">
        <v>45794</v>
      </c>
      <c r="S4570" s="31" t="s">
        <v>3235</v>
      </c>
      <c r="T4570" s="95" t="str">
        <f t="shared" si="353"/>
        <v>2025 05</v>
      </c>
      <c r="U4570" s="32">
        <f t="shared" si="350"/>
        <v>2075.2680525118863</v>
      </c>
      <c r="V4570" s="22">
        <f t="shared" si="351"/>
        <v>0.60596510451978636</v>
      </c>
      <c r="X4570" s="33"/>
      <c r="Y4570" s="33"/>
    </row>
    <row r="4571" spans="1:25" x14ac:dyDescent="0.2">
      <c r="A4571" s="93" t="s">
        <v>3526</v>
      </c>
      <c r="B4571" s="94" t="str">
        <f>IFERROR(VLOOKUP($A4571,HeadJournal!$A$1:$NTR$890,COLUMN(HeadJournal!B$1),0),"")</f>
        <v>720000659818</v>
      </c>
      <c r="C4571" s="94" t="str">
        <f>IFERROR(VLOOKUP($A4571,HeadJournal!$A$1:$NTR$890,COLUMN(HeadJournal!C$1),0),"")</f>
        <v>iHerb_MH DLE7202</v>
      </c>
      <c r="D4571" s="125" t="str">
        <f>IFERROR(VLOOKUP($A4571,HeadJournal!$A$1:$NTR$890,COLUMN(HeadJournal!D$1),0),"")</f>
        <v>Доставлен</v>
      </c>
      <c r="E4571" s="95">
        <f>IFERROR(VLOOKUP($A4571,HeadJournal!$A$1:$NTR$890,COLUMN(HeadJournal!G$1),0),"")</f>
        <v>45772</v>
      </c>
      <c r="F4571" s="95" t="str">
        <f t="shared" si="352"/>
        <v>2025 04</v>
      </c>
      <c r="G4571" s="97" t="s">
        <v>5</v>
      </c>
      <c r="H4571" s="161" t="s">
        <v>2101</v>
      </c>
      <c r="I4571" s="97" t="s">
        <v>2102</v>
      </c>
      <c r="J4571" s="97" t="s">
        <v>4015</v>
      </c>
      <c r="K4571" s="29">
        <v>49.42</v>
      </c>
      <c r="L4571" s="29">
        <v>-9.8833333333333329</v>
      </c>
      <c r="M4571" s="30">
        <f>IFERROR(VLOOKUP($A4571,HeadJournal!$A$1:$J$890,COLUMN(HeadJournal!I$1),0)*($K4571+$L4571)/(SUMIF($A:$A,$A4571,$K:$K)+SUMIF($A:$A,$A4571,$L:$L)),0)</f>
        <v>-5.402881262490526</v>
      </c>
      <c r="N4571" s="30">
        <f>IFERROR((VLOOKUP($A4571,HeadJournal!$A$1:$K$890,COLUMN(HeadJournal!K$1),0)-VLOOKUP($A4571,HeadJournal!$A$1:$K$890,COLUMN(HeadJournal!J$1),0))*($K4571+$L4571)/(SUMIF($A:$A,$A4571,$K:$K)+SUMIF($A:$A,$A4571,$L:$L)),0)</f>
        <v>5.807833635759459E-15</v>
      </c>
      <c r="O4571" s="30">
        <f>IFERROR((VLOOKUP($A4571,HeadJournal!$A$1:$L$890,COLUMN(HeadJournal!L$1),0)*($K4571+$L4571)/(SUMIF($A:$A,$A4571,$K:$K)+SUMIF($A:$A,$A4571,$L:$L)))/VLOOKUP($A4571,HeadJournal!$A$1:$L$890,COLUMN(HeadJournal!H$1),0),0)</f>
        <v>2.2004928804132216</v>
      </c>
      <c r="P4571" s="30">
        <f>IFERROR(SUM(K4571:O4571)*VLOOKUP($A4571,HeadJournal!$A$1:$L$890,COLUMN(HeadJournal!H$1),0),0)</f>
        <v>3424.7319474881137</v>
      </c>
      <c r="Q4571" s="29">
        <v>5500</v>
      </c>
      <c r="R4571" s="31">
        <v>45794</v>
      </c>
      <c r="S4571" s="31" t="s">
        <v>3226</v>
      </c>
      <c r="T4571" s="95" t="str">
        <f t="shared" si="353"/>
        <v>2025 05</v>
      </c>
      <c r="U4571" s="32">
        <f t="shared" si="350"/>
        <v>2075.2680525118863</v>
      </c>
      <c r="V4571" s="22">
        <f t="shared" si="351"/>
        <v>0.60596510451978636</v>
      </c>
      <c r="X4571" s="33"/>
      <c r="Y4571" s="33"/>
    </row>
    <row r="4572" spans="1:25" x14ac:dyDescent="0.2">
      <c r="A4572" s="93" t="s">
        <v>3526</v>
      </c>
      <c r="B4572" s="94" t="str">
        <f>IFERROR(VLOOKUP($A4572,HeadJournal!$A$1:$NTR$890,COLUMN(HeadJournal!B$1),0),"")</f>
        <v>720000659818</v>
      </c>
      <c r="C4572" s="94" t="str">
        <f>IFERROR(VLOOKUP($A4572,HeadJournal!$A$1:$NTR$890,COLUMN(HeadJournal!C$1),0),"")</f>
        <v>iHerb_MH DLE7202</v>
      </c>
      <c r="D4572" s="125" t="str">
        <f>IFERROR(VLOOKUP($A4572,HeadJournal!$A$1:$NTR$890,COLUMN(HeadJournal!D$1),0),"")</f>
        <v>Доставлен</v>
      </c>
      <c r="E4572" s="95">
        <f>IFERROR(VLOOKUP($A4572,HeadJournal!$A$1:$NTR$890,COLUMN(HeadJournal!G$1),0),"")</f>
        <v>45772</v>
      </c>
      <c r="F4572" s="95" t="str">
        <f t="shared" si="352"/>
        <v>2025 04</v>
      </c>
      <c r="G4572" s="97" t="s">
        <v>5</v>
      </c>
      <c r="H4572" s="161" t="s">
        <v>2614</v>
      </c>
      <c r="I4572" s="161" t="s">
        <v>2005</v>
      </c>
      <c r="J4572" s="97" t="s">
        <v>2641</v>
      </c>
      <c r="K4572" s="29">
        <v>5.57</v>
      </c>
      <c r="L4572" s="29">
        <v>-1.115</v>
      </c>
      <c r="M4572" s="30">
        <f>IFERROR(VLOOKUP($A4572,HeadJournal!$A$1:$J$890,COLUMN(HeadJournal!I$1),0)*($K4572+$L4572)/(SUMIF($A:$A,$A4572,$K:$K)+SUMIF($A:$A,$A4572,$L:$L)),0)</f>
        <v>-0.60879780855902432</v>
      </c>
      <c r="N4572" s="30">
        <f>IFERROR((VLOOKUP($A4572,HeadJournal!$A$1:$K$890,COLUMN(HeadJournal!K$1),0)-VLOOKUP($A4572,HeadJournal!$A$1:$K$890,COLUMN(HeadJournal!J$1),0))*($K4572+$L4572)/(SUMIF($A:$A,$A4572,$K:$K)+SUMIF($A:$A,$A4572,$L:$L)),0)</f>
        <v>6.5442792801555654E-16</v>
      </c>
      <c r="O4572" s="30">
        <f>IFERROR((VLOOKUP($A4572,HeadJournal!$A$1:$L$890,COLUMN(HeadJournal!L$1),0)*($K4572+$L4572)/(SUMIF($A:$A,$A4572,$K:$K)+SUMIF($A:$A,$A4572,$L:$L)))/VLOOKUP($A4572,HeadJournal!$A$1:$L$890,COLUMN(HeadJournal!H$1),0),0)</f>
        <v>0.24795200528389433</v>
      </c>
      <c r="P4572" s="30">
        <f>IFERROR(SUM(K4572:O4572)*VLOOKUP($A4572,HeadJournal!$A$1:$L$890,COLUMN(HeadJournal!H$1),0),0)</f>
        <v>385.89952346495767</v>
      </c>
      <c r="Q4572" s="29">
        <v>1000</v>
      </c>
      <c r="R4572" s="31">
        <v>45835</v>
      </c>
      <c r="S4572" s="31" t="s">
        <v>3384</v>
      </c>
      <c r="T4572" s="95" t="str">
        <f t="shared" si="353"/>
        <v>2025 06</v>
      </c>
      <c r="U4572" s="32">
        <f t="shared" si="350"/>
        <v>614.10047653504239</v>
      </c>
      <c r="V4572" s="22">
        <f t="shared" si="351"/>
        <v>1.5913481079766272</v>
      </c>
      <c r="X4572" s="33"/>
      <c r="Y4572" s="33"/>
    </row>
    <row r="4573" spans="1:25" x14ac:dyDescent="0.2">
      <c r="A4573" s="93" t="s">
        <v>3526</v>
      </c>
      <c r="B4573" s="94" t="str">
        <f>IFERROR(VLOOKUP($A4573,HeadJournal!$A$1:$NTR$890,COLUMN(HeadJournal!B$1),0),"")</f>
        <v>720000659818</v>
      </c>
      <c r="C4573" s="94" t="str">
        <f>IFERROR(VLOOKUP($A4573,HeadJournal!$A$1:$NTR$890,COLUMN(HeadJournal!C$1),0),"")</f>
        <v>iHerb_MH DLE7202</v>
      </c>
      <c r="D4573" s="125" t="str">
        <f>IFERROR(VLOOKUP($A4573,HeadJournal!$A$1:$NTR$890,COLUMN(HeadJournal!D$1),0),"")</f>
        <v>Доставлен</v>
      </c>
      <c r="E4573" s="95">
        <f>IFERROR(VLOOKUP($A4573,HeadJournal!$A$1:$NTR$890,COLUMN(HeadJournal!G$1),0),"")</f>
        <v>45772</v>
      </c>
      <c r="F4573" s="95" t="str">
        <f t="shared" si="352"/>
        <v>2025 04</v>
      </c>
      <c r="G4573" s="97" t="s">
        <v>5</v>
      </c>
      <c r="H4573" s="161" t="s">
        <v>2614</v>
      </c>
      <c r="I4573" s="161" t="s">
        <v>2005</v>
      </c>
      <c r="J4573" s="97" t="s">
        <v>2641</v>
      </c>
      <c r="K4573" s="29">
        <v>5.57</v>
      </c>
      <c r="L4573" s="29">
        <v>-1.115</v>
      </c>
      <c r="M4573" s="30">
        <f>IFERROR(VLOOKUP($A4573,HeadJournal!$A$1:$J$890,COLUMN(HeadJournal!I$1),0)*($K4573+$L4573)/(SUMIF($A:$A,$A4573,$K:$K)+SUMIF($A:$A,$A4573,$L:$L)),0)</f>
        <v>-0.60879780855902432</v>
      </c>
      <c r="N4573" s="30">
        <f>IFERROR((VLOOKUP($A4573,HeadJournal!$A$1:$K$890,COLUMN(HeadJournal!K$1),0)-VLOOKUP($A4573,HeadJournal!$A$1:$K$890,COLUMN(HeadJournal!J$1),0))*($K4573+$L4573)/(SUMIF($A:$A,$A4573,$K:$K)+SUMIF($A:$A,$A4573,$L:$L)),0)</f>
        <v>6.5442792801555654E-16</v>
      </c>
      <c r="O4573" s="30">
        <f>IFERROR((VLOOKUP($A4573,HeadJournal!$A$1:$L$890,COLUMN(HeadJournal!L$1),0)*($K4573+$L4573)/(SUMIF($A:$A,$A4573,$K:$K)+SUMIF($A:$A,$A4573,$L:$L)))/VLOOKUP($A4573,HeadJournal!$A$1:$L$890,COLUMN(HeadJournal!H$1),0),0)</f>
        <v>0.24795200528389433</v>
      </c>
      <c r="P4573" s="30">
        <f>IFERROR(SUM(K4573:O4573)*VLOOKUP($A4573,HeadJournal!$A$1:$L$890,COLUMN(HeadJournal!H$1),0),0)</f>
        <v>385.89952346495767</v>
      </c>
      <c r="Q4573" s="29">
        <v>1000</v>
      </c>
      <c r="R4573" s="31">
        <v>45842</v>
      </c>
      <c r="S4573" s="31" t="s">
        <v>3252</v>
      </c>
      <c r="T4573" s="95" t="str">
        <f t="shared" si="353"/>
        <v>2025 07</v>
      </c>
      <c r="U4573" s="32">
        <f t="shared" si="350"/>
        <v>614.10047653504239</v>
      </c>
      <c r="V4573" s="22">
        <f t="shared" si="351"/>
        <v>1.5913481079766272</v>
      </c>
      <c r="X4573" s="33"/>
      <c r="Y4573" s="33"/>
    </row>
    <row r="4574" spans="1:25" x14ac:dyDescent="0.2">
      <c r="A4574" s="93" t="s">
        <v>3526</v>
      </c>
      <c r="B4574" s="94" t="str">
        <f>IFERROR(VLOOKUP($A4574,HeadJournal!$A$1:$NTR$890,COLUMN(HeadJournal!B$1),0),"")</f>
        <v>720000659818</v>
      </c>
      <c r="C4574" s="94" t="str">
        <f>IFERROR(VLOOKUP($A4574,HeadJournal!$A$1:$NTR$890,COLUMN(HeadJournal!C$1),0),"")</f>
        <v>iHerb_MH DLE7202</v>
      </c>
      <c r="D4574" s="125" t="str">
        <f>IFERROR(VLOOKUP($A4574,HeadJournal!$A$1:$NTR$890,COLUMN(HeadJournal!D$1),0),"")</f>
        <v>Доставлен</v>
      </c>
      <c r="E4574" s="95">
        <f>IFERROR(VLOOKUP($A4574,HeadJournal!$A$1:$NTR$890,COLUMN(HeadJournal!G$1),0),"")</f>
        <v>45772</v>
      </c>
      <c r="F4574" s="95" t="str">
        <f t="shared" si="352"/>
        <v>2025 04</v>
      </c>
      <c r="G4574" s="97" t="s">
        <v>5</v>
      </c>
      <c r="H4574" s="161" t="s">
        <v>2997</v>
      </c>
      <c r="I4574" s="161" t="s">
        <v>2102</v>
      </c>
      <c r="J4574" s="97" t="s">
        <v>2998</v>
      </c>
      <c r="K4574" s="29">
        <v>33.6</v>
      </c>
      <c r="L4574" s="29">
        <v>-6.72</v>
      </c>
      <c r="M4574" s="30">
        <f>IFERROR(VLOOKUP($A4574,HeadJournal!$A$1:$J$890,COLUMN(HeadJournal!I$1),0)*($K4574+$L4574)/(SUMIF($A:$A,$A4574,$K:$K)+SUMIF($A:$A,$A4574,$L:$L)),0)</f>
        <v>-3.6732850940665713</v>
      </c>
      <c r="N4574" s="30">
        <f>IFERROR((VLOOKUP($A4574,HeadJournal!$A$1:$K$890,COLUMN(HeadJournal!K$1),0)-VLOOKUP($A4574,HeadJournal!$A$1:$K$890,COLUMN(HeadJournal!J$1),0))*($K4574+$L4574)/(SUMIF($A:$A,$A4574,$K:$K)+SUMIF($A:$A,$A4574,$L:$L)),0)</f>
        <v>3.9486021784642337E-15</v>
      </c>
      <c r="O4574" s="30">
        <f>IFERROR((VLOOKUP($A4574,HeadJournal!$A$1:$L$890,COLUMN(HeadJournal!L$1),0)*($K4574+$L4574)/(SUMIF($A:$A,$A4574,$K:$K)+SUMIF($A:$A,$A4574,$L:$L)))/VLOOKUP($A4574,HeadJournal!$A$1:$L$890,COLUMN(HeadJournal!H$1),0),0)</f>
        <v>1.4960605840698271</v>
      </c>
      <c r="P4574" s="30">
        <f>IFERROR(SUM(K4574:O4574)*VLOOKUP($A4574,HeadJournal!$A$1:$L$890,COLUMN(HeadJournal!H$1),0),0)</f>
        <v>2328.3903907380613</v>
      </c>
      <c r="Q4574" s="29">
        <v>3700</v>
      </c>
      <c r="R4574" s="31">
        <v>45796</v>
      </c>
      <c r="S4574" s="31" t="s">
        <v>3121</v>
      </c>
      <c r="T4574" s="95" t="str">
        <f t="shared" si="353"/>
        <v>2025 05</v>
      </c>
      <c r="U4574" s="32">
        <f t="shared" si="350"/>
        <v>1371.6096092619387</v>
      </c>
      <c r="V4574" s="22">
        <f t="shared" si="351"/>
        <v>0.58908060036580079</v>
      </c>
      <c r="X4574" s="33"/>
      <c r="Y4574" s="33"/>
    </row>
    <row r="4575" spans="1:25" x14ac:dyDescent="0.2">
      <c r="A4575" s="93" t="s">
        <v>3526</v>
      </c>
      <c r="B4575" s="94" t="str">
        <f>IFERROR(VLOOKUP($A4575,HeadJournal!$A$1:$NTR$890,COLUMN(HeadJournal!B$1),0),"")</f>
        <v>720000659818</v>
      </c>
      <c r="C4575" s="94" t="str">
        <f>IFERROR(VLOOKUP($A4575,HeadJournal!$A$1:$NTR$890,COLUMN(HeadJournal!C$1),0),"")</f>
        <v>iHerb_MH DLE7202</v>
      </c>
      <c r="D4575" s="125" t="str">
        <f>IFERROR(VLOOKUP($A4575,HeadJournal!$A$1:$NTR$890,COLUMN(HeadJournal!D$1),0),"")</f>
        <v>Доставлен</v>
      </c>
      <c r="E4575" s="95">
        <f>IFERROR(VLOOKUP($A4575,HeadJournal!$A$1:$NTR$890,COLUMN(HeadJournal!G$1),0),"")</f>
        <v>45772</v>
      </c>
      <c r="F4575" s="95" t="str">
        <f t="shared" si="352"/>
        <v>2025 04</v>
      </c>
      <c r="G4575" s="97" t="s">
        <v>5</v>
      </c>
      <c r="H4575" s="161" t="s">
        <v>2654</v>
      </c>
      <c r="I4575" s="161" t="s">
        <v>2451</v>
      </c>
      <c r="J4575" s="97" t="s">
        <v>2655</v>
      </c>
      <c r="K4575" s="29">
        <v>15.07</v>
      </c>
      <c r="L4575" s="29">
        <v>-3.01</v>
      </c>
      <c r="M4575" s="30">
        <f>IFERROR(VLOOKUP($A4575,HeadJournal!$A$1:$J$890,COLUMN(HeadJournal!I$1),0)*($K4575+$L4575)/(SUMIF($A:$A,$A4575,$K:$K)+SUMIF($A:$A,$A4575,$L:$L)),0)</f>
        <v>-1.6480587140789751</v>
      </c>
      <c r="N4575" s="30">
        <f>IFERROR((VLOOKUP($A4575,HeadJournal!$A$1:$K$890,COLUMN(HeadJournal!K$1),0)-VLOOKUP($A4575,HeadJournal!$A$1:$K$890,COLUMN(HeadJournal!J$1),0))*($K4575+$L4575)/(SUMIF($A:$A,$A4575,$K:$K)+SUMIF($A:$A,$A4575,$L:$L)),0)</f>
        <v>1.7715826738198905E-15</v>
      </c>
      <c r="O4575" s="30">
        <f>IFERROR((VLOOKUP($A4575,HeadJournal!$A$1:$L$890,COLUMN(HeadJournal!L$1),0)*($K4575+$L4575)/(SUMIF($A:$A,$A4575,$K:$K)+SUMIF($A:$A,$A4575,$L:$L)))/VLOOKUP($A4575,HeadJournal!$A$1:$L$890,COLUMN(HeadJournal!H$1),0),0)</f>
        <v>0.67122361026347144</v>
      </c>
      <c r="P4575" s="30">
        <f>IFERROR(SUM(K4575:O4575)*VLOOKUP($A4575,HeadJournal!$A$1:$L$890,COLUMN(HeadJournal!H$1),0),0)</f>
        <v>1044.657295844532</v>
      </c>
      <c r="Q4575" s="29">
        <v>2300</v>
      </c>
      <c r="R4575" s="31">
        <v>45792</v>
      </c>
      <c r="S4575" s="31" t="s">
        <v>3121</v>
      </c>
      <c r="T4575" s="95" t="str">
        <f t="shared" si="353"/>
        <v>2025 05</v>
      </c>
      <c r="U4575" s="32">
        <f t="shared" si="350"/>
        <v>1255.342704155468</v>
      </c>
      <c r="V4575" s="22">
        <f t="shared" si="351"/>
        <v>1.2016789708443205</v>
      </c>
      <c r="X4575" s="33"/>
      <c r="Y4575" s="33"/>
    </row>
    <row r="4576" spans="1:25" x14ac:dyDescent="0.2">
      <c r="A4576" s="93" t="s">
        <v>3526</v>
      </c>
      <c r="B4576" s="94" t="str">
        <f>IFERROR(VLOOKUP($A4576,HeadJournal!$A$1:$NTR$890,COLUMN(HeadJournal!B$1),0),"")</f>
        <v>720000659818</v>
      </c>
      <c r="C4576" s="94" t="str">
        <f>IFERROR(VLOOKUP($A4576,HeadJournal!$A$1:$NTR$890,COLUMN(HeadJournal!C$1),0),"")</f>
        <v>iHerb_MH DLE7202</v>
      </c>
      <c r="D4576" s="125" t="str">
        <f>IFERROR(VLOOKUP($A4576,HeadJournal!$A$1:$NTR$890,COLUMN(HeadJournal!D$1),0),"")</f>
        <v>Доставлен</v>
      </c>
      <c r="E4576" s="95">
        <f>IFERROR(VLOOKUP($A4576,HeadJournal!$A$1:$NTR$890,COLUMN(HeadJournal!G$1),0),"")</f>
        <v>45772</v>
      </c>
      <c r="F4576" s="95" t="str">
        <f t="shared" si="352"/>
        <v>2025 04</v>
      </c>
      <c r="G4576" s="97" t="s">
        <v>5</v>
      </c>
      <c r="H4576" s="161" t="s">
        <v>3520</v>
      </c>
      <c r="I4576" s="161" t="s">
        <v>3521</v>
      </c>
      <c r="J4576" s="97" t="s">
        <v>3522</v>
      </c>
      <c r="K4576" s="29">
        <v>14.92</v>
      </c>
      <c r="L4576" s="29">
        <v>-7.25</v>
      </c>
      <c r="M4576" s="30">
        <f>IFERROR(VLOOKUP($A4576,HeadJournal!$A$1:$J$890,COLUMN(HeadJournal!I$1),0)*($K4576+$L4576)/(SUMIF($A:$A,$A4576,$K:$K)+SUMIF($A:$A,$A4576,$L:$L)),0)</f>
        <v>-1.0481434773620015</v>
      </c>
      <c r="N4576" s="30">
        <f>IFERROR((VLOOKUP($A4576,HeadJournal!$A$1:$K$890,COLUMN(HeadJournal!K$1),0)-VLOOKUP($A4576,HeadJournal!$A$1:$K$890,COLUMN(HeadJournal!J$1),0))*($K4576+$L4576)/(SUMIF($A:$A,$A4576,$K:$K)+SUMIF($A:$A,$A4576,$L:$L)),0)</f>
        <v>1.1267030769650547E-15</v>
      </c>
      <c r="O4576" s="30">
        <f>IFERROR((VLOOKUP($A4576,HeadJournal!$A$1:$L$890,COLUMN(HeadJournal!L$1),0)*($K4576+$L4576)/(SUMIF($A:$A,$A4576,$K:$K)+SUMIF($A:$A,$A4576,$L:$L)))/VLOOKUP($A4576,HeadJournal!$A$1:$L$890,COLUMN(HeadJournal!H$1),0),0)</f>
        <v>0.42688931100504363</v>
      </c>
      <c r="P4576" s="30">
        <f>IFERROR(SUM(K4576:O4576)*VLOOKUP($A4576,HeadJournal!$A$1:$L$890,COLUMN(HeadJournal!H$1),0),0)</f>
        <v>664.38818069051069</v>
      </c>
      <c r="Q4576" s="29">
        <v>1800</v>
      </c>
      <c r="R4576" s="31">
        <v>45883</v>
      </c>
      <c r="S4576" s="31"/>
      <c r="T4576" s="95" t="str">
        <f t="shared" si="353"/>
        <v>2025 08</v>
      </c>
      <c r="U4576" s="32">
        <f t="shared" si="350"/>
        <v>1135.6118193094894</v>
      </c>
      <c r="V4576" s="22">
        <f t="shared" si="351"/>
        <v>1.7092595147150682</v>
      </c>
      <c r="X4576" s="33"/>
      <c r="Y4576" s="33"/>
    </row>
    <row r="4577" spans="1:25" x14ac:dyDescent="0.2">
      <c r="A4577" s="93" t="s">
        <v>3526</v>
      </c>
      <c r="B4577" s="94" t="str">
        <f>IFERROR(VLOOKUP($A4577,HeadJournal!$A$1:$NTR$890,COLUMN(HeadJournal!B$1),0),"")</f>
        <v>720000659818</v>
      </c>
      <c r="C4577" s="94" t="str">
        <f>IFERROR(VLOOKUP($A4577,HeadJournal!$A$1:$NTR$890,COLUMN(HeadJournal!C$1),0),"")</f>
        <v>iHerb_MH DLE7202</v>
      </c>
      <c r="D4577" s="125" t="str">
        <f>IFERROR(VLOOKUP($A4577,HeadJournal!$A$1:$NTR$890,COLUMN(HeadJournal!D$1),0),"")</f>
        <v>Доставлен</v>
      </c>
      <c r="E4577" s="95">
        <f>IFERROR(VLOOKUP($A4577,HeadJournal!$A$1:$NTR$890,COLUMN(HeadJournal!G$1),0),"")</f>
        <v>45772</v>
      </c>
      <c r="F4577" s="95" t="str">
        <f t="shared" si="352"/>
        <v>2025 04</v>
      </c>
      <c r="G4577" s="97" t="s">
        <v>5</v>
      </c>
      <c r="H4577" s="161" t="s">
        <v>3523</v>
      </c>
      <c r="I4577" s="161" t="s">
        <v>3524</v>
      </c>
      <c r="J4577" s="97" t="s">
        <v>3525</v>
      </c>
      <c r="K4577" s="29">
        <v>12.9</v>
      </c>
      <c r="L4577" s="29">
        <v>-3.2250000000000001</v>
      </c>
      <c r="M4577" s="30">
        <f>IFERROR(VLOOKUP($A4577,HeadJournal!$A$1:$J$890,COLUMN(HeadJournal!I$1),0)*($K4577+$L4577)/(SUMIF($A:$A,$A4577,$K:$K)+SUMIF($A:$A,$A4577,$L:$L)),0)</f>
        <v>-1.3221366549514166</v>
      </c>
      <c r="N4577" s="30">
        <f>IFERROR((VLOOKUP($A4577,HeadJournal!$A$1:$K$890,COLUMN(HeadJournal!K$1),0)-VLOOKUP($A4577,HeadJournal!$A$1:$K$890,COLUMN(HeadJournal!J$1),0))*($K4577+$L4577)/(SUMIF($A:$A,$A4577,$K:$K)+SUMIF($A:$A,$A4577,$L:$L)),0)</f>
        <v>1.4212323689226734E-15</v>
      </c>
      <c r="O4577" s="30">
        <f>IFERROR((VLOOKUP($A4577,HeadJournal!$A$1:$L$890,COLUMN(HeadJournal!L$1),0)*($K4577+$L4577)/(SUMIF($A:$A,$A4577,$K:$K)+SUMIF($A:$A,$A4577,$L:$L)))/VLOOKUP($A4577,HeadJournal!$A$1:$L$890,COLUMN(HeadJournal!H$1),0),0)</f>
        <v>0.53848162763674012</v>
      </c>
      <c r="P4577" s="30">
        <f>IFERROR(SUM(K4577:O4577)*VLOOKUP($A4577,HeadJournal!$A$1:$L$890,COLUMN(HeadJournal!H$1),0),0)</f>
        <v>838.0646216663223</v>
      </c>
      <c r="Q4577" s="29">
        <v>1900</v>
      </c>
      <c r="R4577" s="31">
        <v>45912</v>
      </c>
      <c r="S4577" s="31" t="s">
        <v>3231</v>
      </c>
      <c r="T4577" s="95" t="str">
        <f t="shared" si="353"/>
        <v>2025 09</v>
      </c>
      <c r="U4577" s="32">
        <f t="shared" si="350"/>
        <v>1061.9353783336778</v>
      </c>
      <c r="V4577" s="22">
        <f t="shared" si="351"/>
        <v>1.2671282749321093</v>
      </c>
      <c r="X4577" s="33"/>
      <c r="Y4577" s="33"/>
    </row>
    <row r="4578" spans="1:25" x14ac:dyDescent="0.2">
      <c r="A4578" s="93" t="s">
        <v>3526</v>
      </c>
      <c r="B4578" s="94" t="str">
        <f>IFERROR(VLOOKUP($A4578,HeadJournal!$A$1:$NTR$890,COLUMN(HeadJournal!B$1),0),"")</f>
        <v>720000659818</v>
      </c>
      <c r="C4578" s="94" t="str">
        <f>IFERROR(VLOOKUP($A4578,HeadJournal!$A$1:$NTR$890,COLUMN(HeadJournal!C$1),0),"")</f>
        <v>iHerb_MH DLE7202</v>
      </c>
      <c r="D4578" s="125" t="str">
        <f>IFERROR(VLOOKUP($A4578,HeadJournal!$A$1:$NTR$890,COLUMN(HeadJournal!D$1),0),"")</f>
        <v>Доставлен</v>
      </c>
      <c r="E4578" s="95">
        <f>IFERROR(VLOOKUP($A4578,HeadJournal!$A$1:$NTR$890,COLUMN(HeadJournal!G$1),0),"")</f>
        <v>45772</v>
      </c>
      <c r="F4578" s="95" t="str">
        <f t="shared" si="352"/>
        <v>2025 04</v>
      </c>
      <c r="G4578" s="97" t="s">
        <v>5</v>
      </c>
      <c r="H4578" s="161" t="s">
        <v>3523</v>
      </c>
      <c r="I4578" s="161" t="s">
        <v>3524</v>
      </c>
      <c r="J4578" s="97" t="s">
        <v>3525</v>
      </c>
      <c r="K4578" s="29">
        <v>12.9</v>
      </c>
      <c r="L4578" s="29">
        <v>-3.2250000000000001</v>
      </c>
      <c r="M4578" s="30">
        <f>IFERROR(VLOOKUP($A4578,HeadJournal!$A$1:$J$890,COLUMN(HeadJournal!I$1),0)*($K4578+$L4578)/(SUMIF($A:$A,$A4578,$K:$K)+SUMIF($A:$A,$A4578,$L:$L)),0)</f>
        <v>-1.3221366549514166</v>
      </c>
      <c r="N4578" s="30">
        <f>IFERROR((VLOOKUP($A4578,HeadJournal!$A$1:$K$890,COLUMN(HeadJournal!K$1),0)-VLOOKUP($A4578,HeadJournal!$A$1:$K$890,COLUMN(HeadJournal!J$1),0))*($K4578+$L4578)/(SUMIF($A:$A,$A4578,$K:$K)+SUMIF($A:$A,$A4578,$L:$L)),0)</f>
        <v>1.4212323689226734E-15</v>
      </c>
      <c r="O4578" s="30">
        <f>IFERROR((VLOOKUP($A4578,HeadJournal!$A$1:$L$890,COLUMN(HeadJournal!L$1),0)*($K4578+$L4578)/(SUMIF($A:$A,$A4578,$K:$K)+SUMIF($A:$A,$A4578,$L:$L)))/VLOOKUP($A4578,HeadJournal!$A$1:$L$890,COLUMN(HeadJournal!H$1),0),0)</f>
        <v>0.53848162763674012</v>
      </c>
      <c r="P4578" s="30">
        <f>IFERROR(SUM(K4578:O4578)*VLOOKUP($A4578,HeadJournal!$A$1:$L$890,COLUMN(HeadJournal!H$1),0),0)</f>
        <v>838.0646216663223</v>
      </c>
      <c r="Q4578" s="29"/>
      <c r="R4578" s="31"/>
      <c r="S4578" s="31"/>
      <c r="T4578" s="95" t="str">
        <f t="shared" si="353"/>
        <v/>
      </c>
      <c r="U4578" s="32">
        <f t="shared" si="350"/>
        <v>-838.0646216663223</v>
      </c>
      <c r="V4578" s="22" t="str">
        <f t="shared" si="351"/>
        <v/>
      </c>
      <c r="X4578" s="33"/>
      <c r="Y4578" s="33"/>
    </row>
    <row r="4579" spans="1:25" x14ac:dyDescent="0.2">
      <c r="A4579" s="93" t="s">
        <v>3552</v>
      </c>
      <c r="B4579" s="94" t="str">
        <f>IFERROR(VLOOKUP($A4579,HeadJournal!$A$1:$NTR$890,COLUMN(HeadJournal!B$1),0),"")</f>
        <v>720000670392</v>
      </c>
      <c r="C4579" s="94" t="str">
        <f>IFERROR(VLOOKUP($A4579,HeadJournal!$A$1:$NTR$890,COLUMN(HeadJournal!C$1),0),"")</f>
        <v>iHerb_OA CZN6870</v>
      </c>
      <c r="D4579" s="125" t="str">
        <f>IFERROR(VLOOKUP($A4579,HeadJournal!$A$1:$NTR$890,COLUMN(HeadJournal!D$1),0),"")</f>
        <v>Доставлен</v>
      </c>
      <c r="E4579" s="95">
        <f>IFERROR(VLOOKUP($A4579,HeadJournal!$A$1:$NTR$890,COLUMN(HeadJournal!G$1),0),"")</f>
        <v>45782</v>
      </c>
      <c r="F4579" s="95" t="str">
        <f t="shared" si="352"/>
        <v>2025 05</v>
      </c>
      <c r="G4579" s="97" t="s">
        <v>5</v>
      </c>
      <c r="H4579" s="161" t="s">
        <v>3558</v>
      </c>
      <c r="I4579" s="161" t="s">
        <v>3559</v>
      </c>
      <c r="J4579" s="97" t="s">
        <v>3560</v>
      </c>
      <c r="K4579" s="29">
        <v>11.76</v>
      </c>
      <c r="L4579" s="29">
        <v>-1.18</v>
      </c>
      <c r="M4579" s="30">
        <f>IFERROR(VLOOKUP($A4579,HeadJournal!$A$1:$J$890,COLUMN(HeadJournal!I$1),0)*($K4579+$L4579)/(SUMIF($A:$A,$A4579,$K:$K)+SUMIF($A:$A,$A4579,$L:$L)),0)</f>
        <v>-0.54810146225007472</v>
      </c>
      <c r="N4579" s="30">
        <f>IFERROR((VLOOKUP($A4579,HeadJournal!$A$1:$K$890,COLUMN(HeadJournal!K$1),0)-VLOOKUP($A4579,HeadJournal!$A$1:$K$890,COLUMN(HeadJournal!J$1),0))*($K4579+$L4579)/(SUMIF($A:$A,$A4579,$K:$K)+SUMIF($A:$A,$A4579,$L:$L)),0)</f>
        <v>1.7946982141072781E-15</v>
      </c>
      <c r="O4579" s="30">
        <f>IFERROR((VLOOKUP($A4579,HeadJournal!$A$1:$L$890,COLUMN(HeadJournal!L$1),0)*($K4579+$L4579)/(SUMIF($A:$A,$A4579,$K:$K)+SUMIF($A:$A,$A4579,$L:$L)))/VLOOKUP($A4579,HeadJournal!$A$1:$L$890,COLUMN(HeadJournal!H$1),0),0)</f>
        <v>0.35836298793915483</v>
      </c>
      <c r="P4579" s="30">
        <f>IFERROR(SUM(K4579:O4579)*VLOOKUP($A4579,HeadJournal!$A$1:$L$890,COLUMN(HeadJournal!H$1),0),0)</f>
        <v>970.33218143837655</v>
      </c>
      <c r="Q4579" s="29">
        <v>1600</v>
      </c>
      <c r="R4579" s="31">
        <v>45808</v>
      </c>
      <c r="S4579" s="31" t="s">
        <v>3475</v>
      </c>
      <c r="T4579" s="95" t="str">
        <f t="shared" si="353"/>
        <v>2025 05</v>
      </c>
      <c r="U4579" s="32">
        <f t="shared" si="350"/>
        <v>629.66781856162345</v>
      </c>
      <c r="V4579" s="22">
        <f t="shared" si="351"/>
        <v>0.64891985508326888</v>
      </c>
      <c r="X4579" s="33"/>
      <c r="Y4579" s="33"/>
    </row>
    <row r="4580" spans="1:25" x14ac:dyDescent="0.2">
      <c r="A4580" s="93" t="s">
        <v>3552</v>
      </c>
      <c r="B4580" s="94" t="str">
        <f>IFERROR(VLOOKUP($A4580,HeadJournal!$A$1:$NTR$890,COLUMN(HeadJournal!B$1),0),"")</f>
        <v>720000670392</v>
      </c>
      <c r="C4580" s="94" t="str">
        <f>IFERROR(VLOOKUP($A4580,HeadJournal!$A$1:$NTR$890,COLUMN(HeadJournal!C$1),0),"")</f>
        <v>iHerb_OA CZN6870</v>
      </c>
      <c r="D4580" s="125" t="str">
        <f>IFERROR(VLOOKUP($A4580,HeadJournal!$A$1:$NTR$890,COLUMN(HeadJournal!D$1),0),"")</f>
        <v>Доставлен</v>
      </c>
      <c r="E4580" s="95">
        <f>IFERROR(VLOOKUP($A4580,HeadJournal!$A$1:$NTR$890,COLUMN(HeadJournal!G$1),0),"")</f>
        <v>45782</v>
      </c>
      <c r="F4580" s="95" t="str">
        <f t="shared" si="352"/>
        <v>2025 05</v>
      </c>
      <c r="G4580" s="97" t="s">
        <v>5</v>
      </c>
      <c r="H4580" s="161" t="s">
        <v>3561</v>
      </c>
      <c r="I4580" s="161" t="s">
        <v>3562</v>
      </c>
      <c r="J4580" s="97" t="s">
        <v>3563</v>
      </c>
      <c r="K4580" s="29">
        <v>19.739999999999998</v>
      </c>
      <c r="L4580" s="29">
        <v>-1.97</v>
      </c>
      <c r="M4580" s="30">
        <f>IFERROR(VLOOKUP($A4580,HeadJournal!$A$1:$J$890,COLUMN(HeadJournal!I$1),0)*($K4580+$L4580)/(SUMIF($A:$A,$A4580,$K:$K)+SUMIF($A:$A,$A4580,$L:$L)),0)</f>
        <v>-0.92058251268278124</v>
      </c>
      <c r="N4580" s="30">
        <f>IFERROR((VLOOKUP($A4580,HeadJournal!$A$1:$K$890,COLUMN(HeadJournal!K$1),0)-VLOOKUP($A4580,HeadJournal!$A$1:$K$890,COLUMN(HeadJournal!J$1),0))*($K4580+$L4580)/(SUMIF($A:$A,$A4580,$K:$K)+SUMIF($A:$A,$A4580,$L:$L)),0)</f>
        <v>3.0143466223711088E-15</v>
      </c>
      <c r="O4580" s="30">
        <f>IFERROR((VLOOKUP($A4580,HeadJournal!$A$1:$L$890,COLUMN(HeadJournal!L$1),0)*($K4580+$L4580)/(SUMIF($A:$A,$A4580,$K:$K)+SUMIF($A:$A,$A4580,$L:$L)))/VLOOKUP($A4580,HeadJournal!$A$1:$L$890,COLUMN(HeadJournal!H$1),0),0)</f>
        <v>0.60190078409062209</v>
      </c>
      <c r="P4580" s="30">
        <f>IFERROR(SUM(K4580:O4580)*VLOOKUP($A4580,HeadJournal!$A$1:$L$890,COLUMN(HeadJournal!H$1),0),0)</f>
        <v>1629.7545240226798</v>
      </c>
      <c r="Q4580" s="29">
        <v>2350</v>
      </c>
      <c r="R4580" s="31">
        <v>45808</v>
      </c>
      <c r="S4580" s="31" t="s">
        <v>3475</v>
      </c>
      <c r="T4580" s="95" t="str">
        <f t="shared" si="353"/>
        <v>2025 05</v>
      </c>
      <c r="U4580" s="32">
        <f t="shared" si="350"/>
        <v>720.24547597732021</v>
      </c>
      <c r="V4580" s="22">
        <f t="shared" si="351"/>
        <v>0.44193494502445524</v>
      </c>
      <c r="X4580" s="33"/>
      <c r="Y4580" s="33"/>
    </row>
    <row r="4581" spans="1:25" x14ac:dyDescent="0.2">
      <c r="A4581" s="93" t="s">
        <v>3552</v>
      </c>
      <c r="B4581" s="94" t="str">
        <f>IFERROR(VLOOKUP($A4581,HeadJournal!$A$1:$NTR$890,COLUMN(HeadJournal!B$1),0),"")</f>
        <v>720000670392</v>
      </c>
      <c r="C4581" s="94" t="str">
        <f>IFERROR(VLOOKUP($A4581,HeadJournal!$A$1:$NTR$890,COLUMN(HeadJournal!C$1),0),"")</f>
        <v>iHerb_OA CZN6870</v>
      </c>
      <c r="D4581" s="125" t="str">
        <f>IFERROR(VLOOKUP($A4581,HeadJournal!$A$1:$NTR$890,COLUMN(HeadJournal!D$1),0),"")</f>
        <v>Доставлен</v>
      </c>
      <c r="E4581" s="95">
        <f>IFERROR(VLOOKUP($A4581,HeadJournal!$A$1:$NTR$890,COLUMN(HeadJournal!G$1),0),"")</f>
        <v>45782</v>
      </c>
      <c r="F4581" s="95" t="str">
        <f t="shared" si="352"/>
        <v>2025 05</v>
      </c>
      <c r="G4581" s="97" t="s">
        <v>5</v>
      </c>
      <c r="H4581" s="161" t="s">
        <v>3564</v>
      </c>
      <c r="I4581" s="161" t="s">
        <v>2993</v>
      </c>
      <c r="J4581" s="97" t="s">
        <v>3565</v>
      </c>
      <c r="K4581" s="29">
        <v>41</v>
      </c>
      <c r="L4581" s="29">
        <v>-4.0999999999999996</v>
      </c>
      <c r="M4581" s="30">
        <f>IFERROR(VLOOKUP($A4581,HeadJournal!$A$1:$J$890,COLUMN(HeadJournal!I$1),0)*($K4581+$L4581)/(SUMIF($A:$A,$A4581,$K:$K)+SUMIF($A:$A,$A4581,$L:$L)),0)</f>
        <v>-1.9116204118173681</v>
      </c>
      <c r="N4581" s="30">
        <f>IFERROR((VLOOKUP($A4581,HeadJournal!$A$1:$K$890,COLUMN(HeadJournal!K$1),0)-VLOOKUP($A4581,HeadJournal!$A$1:$K$890,COLUMN(HeadJournal!J$1),0))*($K4581+$L4581)/(SUMIF($A:$A,$A4581,$K:$K)+SUMIF($A:$A,$A4581,$L:$L)),0)</f>
        <v>6.2593916919242493E-15</v>
      </c>
      <c r="O4581" s="30">
        <f>IFERROR((VLOOKUP($A4581,HeadJournal!$A$1:$L$890,COLUMN(HeadJournal!L$1),0)*($K4581+$L4581)/(SUMIF($A:$A,$A4581,$K:$K)+SUMIF($A:$A,$A4581,$L:$L)))/VLOOKUP($A4581,HeadJournal!$A$1:$L$890,COLUMN(HeadJournal!H$1),0),0)</f>
        <v>1.249867131848281</v>
      </c>
      <c r="P4581" s="30">
        <f>IFERROR(SUM(K4581:O4581)*VLOOKUP($A4581,HeadJournal!$A$1:$L$890,COLUMN(HeadJournal!H$1),0),0)</f>
        <v>3384.2398388540742</v>
      </c>
      <c r="Q4581" s="29">
        <v>4300</v>
      </c>
      <c r="R4581" s="31">
        <v>45808</v>
      </c>
      <c r="S4581" s="31" t="s">
        <v>3475</v>
      </c>
      <c r="T4581" s="95" t="str">
        <f t="shared" si="353"/>
        <v>2025 05</v>
      </c>
      <c r="U4581" s="32">
        <f t="shared" si="350"/>
        <v>915.76016114592585</v>
      </c>
      <c r="V4581" s="22">
        <f t="shared" si="351"/>
        <v>0.27059552654400765</v>
      </c>
      <c r="X4581" s="33"/>
      <c r="Y4581" s="33"/>
    </row>
    <row r="4582" spans="1:25" x14ac:dyDescent="0.2">
      <c r="A4582" s="93" t="s">
        <v>3552</v>
      </c>
      <c r="B4582" s="94" t="str">
        <f>IFERROR(VLOOKUP($A4582,HeadJournal!$A$1:$NTR$890,COLUMN(HeadJournal!B$1),0),"")</f>
        <v>720000670392</v>
      </c>
      <c r="C4582" s="94" t="str">
        <f>IFERROR(VLOOKUP($A4582,HeadJournal!$A$1:$NTR$890,COLUMN(HeadJournal!C$1),0),"")</f>
        <v>iHerb_OA CZN6870</v>
      </c>
      <c r="D4582" s="125" t="str">
        <f>IFERROR(VLOOKUP($A4582,HeadJournal!$A$1:$NTR$890,COLUMN(HeadJournal!D$1),0),"")</f>
        <v>Доставлен</v>
      </c>
      <c r="E4582" s="95">
        <f>IFERROR(VLOOKUP($A4582,HeadJournal!$A$1:$NTR$890,COLUMN(HeadJournal!G$1),0),"")</f>
        <v>45782</v>
      </c>
      <c r="F4582" s="95" t="str">
        <f t="shared" si="352"/>
        <v>2025 05</v>
      </c>
      <c r="G4582" s="97" t="s">
        <v>5</v>
      </c>
      <c r="H4582" s="161" t="s">
        <v>3566</v>
      </c>
      <c r="I4582" s="161" t="s">
        <v>2006</v>
      </c>
      <c r="J4582" s="97" t="s">
        <v>3567</v>
      </c>
      <c r="K4582" s="29">
        <v>30.46</v>
      </c>
      <c r="L4582" s="29">
        <v>-3.05</v>
      </c>
      <c r="M4582" s="30">
        <f>IFERROR(VLOOKUP($A4582,HeadJournal!$A$1:$J$890,COLUMN(HeadJournal!I$1),0)*($K4582+$L4582)/(SUMIF($A:$A,$A4582,$K:$K)+SUMIF($A:$A,$A4582,$L:$L)),0)</f>
        <v>-1.419986869591167</v>
      </c>
      <c r="N4582" s="30">
        <f>IFERROR((VLOOKUP($A4582,HeadJournal!$A$1:$K$890,COLUMN(HeadJournal!K$1),0)-VLOOKUP($A4582,HeadJournal!$A$1:$K$890,COLUMN(HeadJournal!J$1),0))*($K4582+$L4582)/(SUMIF($A:$A,$A4582,$K:$K)+SUMIF($A:$A,$A4582,$L:$L)),0)</f>
        <v>4.6495914979849239E-15</v>
      </c>
      <c r="O4582" s="30">
        <f>IFERROR((VLOOKUP($A4582,HeadJournal!$A$1:$L$890,COLUMN(HeadJournal!L$1),0)*($K4582+$L4582)/(SUMIF($A:$A,$A4582,$K:$K)+SUMIF($A:$A,$A4582,$L:$L)))/VLOOKUP($A4582,HeadJournal!$A$1:$L$890,COLUMN(HeadJournal!H$1),0),0)</f>
        <v>0.92842433831873672</v>
      </c>
      <c r="P4582" s="30">
        <f>IFERROR(SUM(K4582:O4582)*VLOOKUP($A4582,HeadJournal!$A$1:$L$890,COLUMN(HeadJournal!H$1),0),0)</f>
        <v>2513.8757176962104</v>
      </c>
      <c r="Q4582" s="29">
        <v>3350</v>
      </c>
      <c r="R4582" s="31">
        <v>45808</v>
      </c>
      <c r="S4582" s="31" t="s">
        <v>3475</v>
      </c>
      <c r="T4582" s="95" t="str">
        <f t="shared" si="353"/>
        <v>2025 05</v>
      </c>
      <c r="U4582" s="32">
        <f t="shared" si="350"/>
        <v>836.12428230378964</v>
      </c>
      <c r="V4582" s="22">
        <f t="shared" si="351"/>
        <v>0.33260366708583294</v>
      </c>
      <c r="X4582" s="33"/>
      <c r="Y4582" s="33"/>
    </row>
    <row r="4583" spans="1:25" x14ac:dyDescent="0.2">
      <c r="A4583" s="93" t="s">
        <v>3552</v>
      </c>
      <c r="B4583" s="94" t="str">
        <f>IFERROR(VLOOKUP($A4583,HeadJournal!$A$1:$NTR$890,COLUMN(HeadJournal!B$1),0),"")</f>
        <v>720000670392</v>
      </c>
      <c r="C4583" s="94" t="str">
        <f>IFERROR(VLOOKUP($A4583,HeadJournal!$A$1:$NTR$890,COLUMN(HeadJournal!C$1),0),"")</f>
        <v>iHerb_OA CZN6870</v>
      </c>
      <c r="D4583" s="125" t="str">
        <f>IFERROR(VLOOKUP($A4583,HeadJournal!$A$1:$NTR$890,COLUMN(HeadJournal!D$1),0),"")</f>
        <v>Доставлен</v>
      </c>
      <c r="E4583" s="95">
        <f>IFERROR(VLOOKUP($A4583,HeadJournal!$A$1:$NTR$890,COLUMN(HeadJournal!G$1),0),"")</f>
        <v>45782</v>
      </c>
      <c r="F4583" s="95" t="str">
        <f t="shared" si="352"/>
        <v>2025 05</v>
      </c>
      <c r="G4583" s="97" t="s">
        <v>5</v>
      </c>
      <c r="H4583" s="161" t="s">
        <v>3568</v>
      </c>
      <c r="I4583" s="161" t="s">
        <v>2796</v>
      </c>
      <c r="J4583" s="97" t="s">
        <v>3569</v>
      </c>
      <c r="K4583" s="29">
        <v>18.87</v>
      </c>
      <c r="L4583" s="29">
        <v>-1.89</v>
      </c>
      <c r="M4583" s="30">
        <f>IFERROR(VLOOKUP($A4583,HeadJournal!$A$1:$J$890,COLUMN(HeadJournal!I$1),0)*($K4583+$L4583)/(SUMIF($A:$A,$A4583,$K:$K)+SUMIF($A:$A,$A4583,$L:$L)),0)</f>
        <v>-0.87965622202327676</v>
      </c>
      <c r="N4583" s="30">
        <f>IFERROR((VLOOKUP($A4583,HeadJournal!$A$1:$K$890,COLUMN(HeadJournal!K$1),0)-VLOOKUP($A4583,HeadJournal!$A$1:$K$890,COLUMN(HeadJournal!J$1),0))*($K4583+$L4583)/(SUMIF($A:$A,$A4583,$K:$K)+SUMIF($A:$A,$A4583,$L:$L)),0)</f>
        <v>2.8803379655521342E-15</v>
      </c>
      <c r="O4583" s="30">
        <f>IFERROR((VLOOKUP($A4583,HeadJournal!$A$1:$L$890,COLUMN(HeadJournal!L$1),0)*($K4583+$L4583)/(SUMIF($A:$A,$A4583,$K:$K)+SUMIF($A:$A,$A4583,$L:$L)))/VLOOKUP($A4583,HeadJournal!$A$1:$L$890,COLUMN(HeadJournal!H$1),0),0)</f>
        <v>0.57514211107815205</v>
      </c>
      <c r="P4583" s="30">
        <f>IFERROR(SUM(K4583:O4583)*VLOOKUP($A4583,HeadJournal!$A$1:$L$890,COLUMN(HeadJournal!H$1),0),0)</f>
        <v>1557.3006087735007</v>
      </c>
      <c r="Q4583" s="29">
        <v>2250</v>
      </c>
      <c r="R4583" s="31">
        <v>45811</v>
      </c>
      <c r="S4583" s="31" t="s">
        <v>3121</v>
      </c>
      <c r="T4583" s="95" t="str">
        <f t="shared" si="353"/>
        <v>2025 06</v>
      </c>
      <c r="U4583" s="32">
        <f t="shared" si="350"/>
        <v>692.6993912264993</v>
      </c>
      <c r="V4583" s="22">
        <f t="shared" si="351"/>
        <v>0.44480775729745314</v>
      </c>
      <c r="X4583" s="33"/>
      <c r="Y4583" s="33"/>
    </row>
    <row r="4584" spans="1:25" x14ac:dyDescent="0.2">
      <c r="A4584" s="93" t="s">
        <v>3552</v>
      </c>
      <c r="B4584" s="94" t="str">
        <f>IFERROR(VLOOKUP($A4584,HeadJournal!$A$1:$NTR$890,COLUMN(HeadJournal!B$1),0),"")</f>
        <v>720000670392</v>
      </c>
      <c r="C4584" s="94" t="str">
        <f>IFERROR(VLOOKUP($A4584,HeadJournal!$A$1:$NTR$890,COLUMN(HeadJournal!C$1),0),"")</f>
        <v>iHerb_OA CZN6870</v>
      </c>
      <c r="D4584" s="125" t="str">
        <f>IFERROR(VLOOKUP($A4584,HeadJournal!$A$1:$NTR$890,COLUMN(HeadJournal!D$1),0),"")</f>
        <v>Доставлен</v>
      </c>
      <c r="E4584" s="95">
        <f>IFERROR(VLOOKUP($A4584,HeadJournal!$A$1:$NTR$890,COLUMN(HeadJournal!G$1),0),"")</f>
        <v>45782</v>
      </c>
      <c r="F4584" s="95" t="str">
        <f t="shared" si="352"/>
        <v>2025 05</v>
      </c>
      <c r="G4584" s="97" t="s">
        <v>5</v>
      </c>
      <c r="H4584" s="161" t="s">
        <v>3570</v>
      </c>
      <c r="I4584" s="97" t="s">
        <v>2102</v>
      </c>
      <c r="J4584" s="97" t="s">
        <v>3991</v>
      </c>
      <c r="K4584" s="29">
        <v>13.29</v>
      </c>
      <c r="L4584" s="29">
        <v>-1.33</v>
      </c>
      <c r="M4584" s="30">
        <f>IFERROR(VLOOKUP($A4584,HeadJournal!$A$1:$J$890,COLUMN(HeadJournal!I$1),0)*($K4584+$L4584)/(SUMIF($A:$A,$A4584,$K:$K)+SUMIF($A:$A,$A4584,$L:$L)),0)</f>
        <v>-0.61959295732617126</v>
      </c>
      <c r="N4584" s="30">
        <f>IFERROR((VLOOKUP($A4584,HeadJournal!$A$1:$K$890,COLUMN(HeadJournal!K$1),0)-VLOOKUP($A4584,HeadJournal!$A$1:$K$890,COLUMN(HeadJournal!J$1),0))*($K4584+$L4584)/(SUMIF($A:$A,$A4584,$K:$K)+SUMIF($A:$A,$A4584,$L:$L)),0)</f>
        <v>2.0287892855125751E-15</v>
      </c>
      <c r="O4584" s="30">
        <f>IFERROR((VLOOKUP($A4584,HeadJournal!$A$1:$L$890,COLUMN(HeadJournal!L$1),0)*($K4584+$L4584)/(SUMIF($A:$A,$A4584,$K:$K)+SUMIF($A:$A,$A4584,$L:$L)))/VLOOKUP($A4584,HeadJournal!$A$1:$L$890,COLUMN(HeadJournal!H$1),0),0)</f>
        <v>0.40510598636600109</v>
      </c>
      <c r="P4584" s="30">
        <f>IFERROR(SUM(K4584:O4584)*VLOOKUP($A4584,HeadJournal!$A$1:$L$890,COLUMN(HeadJournal!H$1),0),0)</f>
        <v>1096.8972485825127</v>
      </c>
      <c r="Q4584" s="29">
        <v>1800</v>
      </c>
      <c r="R4584" s="31">
        <v>45808</v>
      </c>
      <c r="S4584" s="31" t="s">
        <v>3121</v>
      </c>
      <c r="T4584" s="95" t="str">
        <f t="shared" si="353"/>
        <v>2025 05</v>
      </c>
      <c r="U4584" s="32">
        <f t="shared" si="350"/>
        <v>703.1027514174873</v>
      </c>
      <c r="V4584" s="22">
        <f t="shared" si="351"/>
        <v>0.64099235577998381</v>
      </c>
      <c r="X4584" s="33"/>
      <c r="Y4584" s="33"/>
    </row>
    <row r="4585" spans="1:25" x14ac:dyDescent="0.2">
      <c r="A4585" s="93" t="s">
        <v>3552</v>
      </c>
      <c r="B4585" s="94" t="str">
        <f>IFERROR(VLOOKUP($A4585,HeadJournal!$A$1:$NTR$890,COLUMN(HeadJournal!B$1),0),"")</f>
        <v>720000670392</v>
      </c>
      <c r="C4585" s="94" t="str">
        <f>IFERROR(VLOOKUP($A4585,HeadJournal!$A$1:$NTR$890,COLUMN(HeadJournal!C$1),0),"")</f>
        <v>iHerb_OA CZN6870</v>
      </c>
      <c r="D4585" s="125" t="str">
        <f>IFERROR(VLOOKUP($A4585,HeadJournal!$A$1:$NTR$890,COLUMN(HeadJournal!D$1),0),"")</f>
        <v>Доставлен</v>
      </c>
      <c r="E4585" s="95">
        <f>IFERROR(VLOOKUP($A4585,HeadJournal!$A$1:$NTR$890,COLUMN(HeadJournal!G$1),0),"")</f>
        <v>45782</v>
      </c>
      <c r="F4585" s="95" t="str">
        <f t="shared" si="352"/>
        <v>2025 05</v>
      </c>
      <c r="G4585" s="97" t="s">
        <v>5</v>
      </c>
      <c r="H4585" s="161" t="s">
        <v>3570</v>
      </c>
      <c r="I4585" s="97" t="s">
        <v>2102</v>
      </c>
      <c r="J4585" s="97" t="s">
        <v>3991</v>
      </c>
      <c r="K4585" s="29">
        <v>13.29</v>
      </c>
      <c r="L4585" s="29">
        <v>-1.33</v>
      </c>
      <c r="M4585" s="30">
        <f>IFERROR(VLOOKUP($A4585,HeadJournal!$A$1:$J$890,COLUMN(HeadJournal!I$1),0)*($K4585+$L4585)/(SUMIF($A:$A,$A4585,$K:$K)+SUMIF($A:$A,$A4585,$L:$L)),0)</f>
        <v>-0.61959295732617126</v>
      </c>
      <c r="N4585" s="30">
        <f>IFERROR((VLOOKUP($A4585,HeadJournal!$A$1:$K$890,COLUMN(HeadJournal!K$1),0)-VLOOKUP($A4585,HeadJournal!$A$1:$K$890,COLUMN(HeadJournal!J$1),0))*($K4585+$L4585)/(SUMIF($A:$A,$A4585,$K:$K)+SUMIF($A:$A,$A4585,$L:$L)),0)</f>
        <v>2.0287892855125751E-15</v>
      </c>
      <c r="O4585" s="30">
        <f>IFERROR((VLOOKUP($A4585,HeadJournal!$A$1:$L$890,COLUMN(HeadJournal!L$1),0)*($K4585+$L4585)/(SUMIF($A:$A,$A4585,$K:$K)+SUMIF($A:$A,$A4585,$L:$L)))/VLOOKUP($A4585,HeadJournal!$A$1:$L$890,COLUMN(HeadJournal!H$1),0),0)</f>
        <v>0.40510598636600109</v>
      </c>
      <c r="P4585" s="30">
        <f>IFERROR(SUM(K4585:O4585)*VLOOKUP($A4585,HeadJournal!$A$1:$L$890,COLUMN(HeadJournal!H$1),0),0)</f>
        <v>1096.8972485825127</v>
      </c>
      <c r="Q4585" s="29">
        <v>1700</v>
      </c>
      <c r="R4585" s="31">
        <v>45841</v>
      </c>
      <c r="S4585" s="31"/>
      <c r="T4585" s="95" t="str">
        <f t="shared" si="353"/>
        <v>2025 07</v>
      </c>
      <c r="U4585" s="32">
        <f t="shared" si="350"/>
        <v>603.1027514174873</v>
      </c>
      <c r="V4585" s="22">
        <f t="shared" si="351"/>
        <v>0.54982611379220692</v>
      </c>
      <c r="X4585" s="33"/>
      <c r="Y4585" s="33"/>
    </row>
    <row r="4586" spans="1:25" x14ac:dyDescent="0.2">
      <c r="A4586" s="93" t="s">
        <v>3552</v>
      </c>
      <c r="B4586" s="94" t="str">
        <f>IFERROR(VLOOKUP($A4586,HeadJournal!$A$1:$NTR$890,COLUMN(HeadJournal!B$1),0),"")</f>
        <v>720000670392</v>
      </c>
      <c r="C4586" s="94" t="str">
        <f>IFERROR(VLOOKUP($A4586,HeadJournal!$A$1:$NTR$890,COLUMN(HeadJournal!C$1),0),"")</f>
        <v>iHerb_OA CZN6870</v>
      </c>
      <c r="D4586" s="125" t="str">
        <f>IFERROR(VLOOKUP($A4586,HeadJournal!$A$1:$NTR$890,COLUMN(HeadJournal!D$1),0),"")</f>
        <v>Доставлен</v>
      </c>
      <c r="E4586" s="95">
        <f>IFERROR(VLOOKUP($A4586,HeadJournal!$A$1:$NTR$890,COLUMN(HeadJournal!G$1),0),"")</f>
        <v>45782</v>
      </c>
      <c r="F4586" s="95" t="str">
        <f t="shared" si="352"/>
        <v>2025 05</v>
      </c>
      <c r="G4586" s="97" t="s">
        <v>5</v>
      </c>
      <c r="H4586" s="161" t="s">
        <v>3571</v>
      </c>
      <c r="I4586" s="161" t="s">
        <v>2005</v>
      </c>
      <c r="J4586" s="97" t="s">
        <v>3572</v>
      </c>
      <c r="K4586" s="29">
        <v>13.03</v>
      </c>
      <c r="L4586" s="29">
        <v>-1.3</v>
      </c>
      <c r="M4586" s="30">
        <f>IFERROR(VLOOKUP($A4586,HeadJournal!$A$1:$J$890,COLUMN(HeadJournal!I$1),0)*($K4586+$L4586)/(SUMIF($A:$A,$A4586,$K:$K)+SUMIF($A:$A,$A4586,$L:$L)),0)</f>
        <v>-0.60767770814682187</v>
      </c>
      <c r="N4586" s="30">
        <f>IFERROR((VLOOKUP($A4586,HeadJournal!$A$1:$K$890,COLUMN(HeadJournal!K$1),0)-VLOOKUP($A4586,HeadJournal!$A$1:$K$890,COLUMN(HeadJournal!J$1),0))*($K4586+$L4586)/(SUMIF($A:$A,$A4586,$K:$K)+SUMIF($A:$A,$A4586,$L:$L)),0)</f>
        <v>1.9897741069450253E-15</v>
      </c>
      <c r="O4586" s="30">
        <f>IFERROR((VLOOKUP($A4586,HeadJournal!$A$1:$L$890,COLUMN(HeadJournal!L$1),0)*($K4586+$L4586)/(SUMIF($A:$A,$A4586,$K:$K)+SUMIF($A:$A,$A4586,$L:$L)))/VLOOKUP($A4586,HeadJournal!$A$1:$L$890,COLUMN(HeadJournal!H$1),0),0)</f>
        <v>0.39731548662819344</v>
      </c>
      <c r="P4586" s="30">
        <f>IFERROR(SUM(K4586:O4586)*VLOOKUP($A4586,HeadJournal!$A$1:$L$890,COLUMN(HeadJournal!H$1),0),0)</f>
        <v>1075.8030707251567</v>
      </c>
      <c r="Q4586" s="29">
        <v>1800</v>
      </c>
      <c r="R4586" s="31">
        <v>45808</v>
      </c>
      <c r="S4586" s="31" t="s">
        <v>3121</v>
      </c>
      <c r="T4586" s="95" t="str">
        <f t="shared" si="353"/>
        <v>2025 05</v>
      </c>
      <c r="U4586" s="32">
        <f t="shared" si="350"/>
        <v>724.19692927484334</v>
      </c>
      <c r="V4586" s="22">
        <f t="shared" si="351"/>
        <v>0.6731686764815521</v>
      </c>
      <c r="X4586" s="33"/>
      <c r="Y4586" s="33"/>
    </row>
    <row r="4587" spans="1:25" x14ac:dyDescent="0.2">
      <c r="A4587" s="93" t="s">
        <v>3552</v>
      </c>
      <c r="B4587" s="94" t="str">
        <f>IFERROR(VLOOKUP($A4587,HeadJournal!$A$1:$NTR$890,COLUMN(HeadJournal!B$1),0),"")</f>
        <v>720000670392</v>
      </c>
      <c r="C4587" s="94" t="str">
        <f>IFERROR(VLOOKUP($A4587,HeadJournal!$A$1:$NTR$890,COLUMN(HeadJournal!C$1),0),"")</f>
        <v>iHerb_OA CZN6870</v>
      </c>
      <c r="D4587" s="125" t="str">
        <f>IFERROR(VLOOKUP($A4587,HeadJournal!$A$1:$NTR$890,COLUMN(HeadJournal!D$1),0),"")</f>
        <v>Доставлен</v>
      </c>
      <c r="E4587" s="95">
        <f>IFERROR(VLOOKUP($A4587,HeadJournal!$A$1:$NTR$890,COLUMN(HeadJournal!G$1),0),"")</f>
        <v>45782</v>
      </c>
      <c r="F4587" s="95" t="str">
        <f t="shared" si="352"/>
        <v>2025 05</v>
      </c>
      <c r="G4587" s="97" t="s">
        <v>5</v>
      </c>
      <c r="H4587" s="161" t="s">
        <v>2617</v>
      </c>
      <c r="I4587" s="161" t="s">
        <v>2618</v>
      </c>
      <c r="J4587" s="97" t="s">
        <v>2619</v>
      </c>
      <c r="K4587" s="29">
        <v>13.91</v>
      </c>
      <c r="L4587" s="29">
        <v>-2.78</v>
      </c>
      <c r="M4587" s="30">
        <f>IFERROR(VLOOKUP($A4587,HeadJournal!$A$1:$J$890,COLUMN(HeadJournal!I$1),0)*($K4587+$L4587)/(SUMIF($A:$A,$A4587,$K:$K)+SUMIF($A:$A,$A4587,$L:$L)),0)</f>
        <v>-0.57659444941808424</v>
      </c>
      <c r="N4587" s="30">
        <f>IFERROR((VLOOKUP($A4587,HeadJournal!$A$1:$K$890,COLUMN(HeadJournal!K$1),0)-VLOOKUP($A4587,HeadJournal!$A$1:$K$890,COLUMN(HeadJournal!J$1),0))*($K4587+$L4587)/(SUMIF($A:$A,$A4587,$K:$K)+SUMIF($A:$A,$A4587,$L:$L)),0)</f>
        <v>1.8879953802470704E-15</v>
      </c>
      <c r="O4587" s="30">
        <f>IFERROR((VLOOKUP($A4587,HeadJournal!$A$1:$L$890,COLUMN(HeadJournal!L$1),0)*($K4587+$L4587)/(SUMIF($A:$A,$A4587,$K:$K)+SUMIF($A:$A,$A4587,$L:$L)))/VLOOKUP($A4587,HeadJournal!$A$1:$L$890,COLUMN(HeadJournal!H$1),0),0)</f>
        <v>0.37699244383391245</v>
      </c>
      <c r="P4587" s="30">
        <f>IFERROR(SUM(K4587:O4587)*VLOOKUP($A4587,HeadJournal!$A$1:$L$890,COLUMN(HeadJournal!H$1),0),0)</f>
        <v>1020.774780662489</v>
      </c>
      <c r="Q4587" s="29">
        <v>2300</v>
      </c>
      <c r="R4587" s="31">
        <v>45810</v>
      </c>
      <c r="S4587" s="31" t="s">
        <v>3121</v>
      </c>
      <c r="T4587" s="95" t="str">
        <f t="shared" si="353"/>
        <v>2025 06</v>
      </c>
      <c r="U4587" s="32">
        <f t="shared" si="350"/>
        <v>1279.2252193375111</v>
      </c>
      <c r="V4587" s="22">
        <f t="shared" si="351"/>
        <v>1.2531904623537879</v>
      </c>
      <c r="X4587" s="33"/>
      <c r="Y4587" s="33"/>
    </row>
    <row r="4588" spans="1:25" x14ac:dyDescent="0.2">
      <c r="A4588" s="93" t="s">
        <v>3552</v>
      </c>
      <c r="B4588" s="94" t="str">
        <f>IFERROR(VLOOKUP($A4588,HeadJournal!$A$1:$NTR$890,COLUMN(HeadJournal!B$1),0),"")</f>
        <v>720000670392</v>
      </c>
      <c r="C4588" s="94" t="str">
        <f>IFERROR(VLOOKUP($A4588,HeadJournal!$A$1:$NTR$890,COLUMN(HeadJournal!C$1),0),"")</f>
        <v>iHerb_OA CZN6870</v>
      </c>
      <c r="D4588" s="125" t="str">
        <f>IFERROR(VLOOKUP($A4588,HeadJournal!$A$1:$NTR$890,COLUMN(HeadJournal!D$1),0),"")</f>
        <v>Доставлен</v>
      </c>
      <c r="E4588" s="95">
        <f>IFERROR(VLOOKUP($A4588,HeadJournal!$A$1:$NTR$890,COLUMN(HeadJournal!G$1),0),"")</f>
        <v>45782</v>
      </c>
      <c r="F4588" s="95" t="str">
        <f t="shared" si="352"/>
        <v>2025 05</v>
      </c>
      <c r="G4588" s="97" t="s">
        <v>5</v>
      </c>
      <c r="H4588" s="161" t="s">
        <v>2617</v>
      </c>
      <c r="I4588" s="161" t="s">
        <v>2618</v>
      </c>
      <c r="J4588" s="97" t="s">
        <v>2619</v>
      </c>
      <c r="K4588" s="29">
        <v>13.91</v>
      </c>
      <c r="L4588" s="29">
        <v>-2.78</v>
      </c>
      <c r="M4588" s="30">
        <f>IFERROR(VLOOKUP($A4588,HeadJournal!$A$1:$J$890,COLUMN(HeadJournal!I$1),0)*($K4588+$L4588)/(SUMIF($A:$A,$A4588,$K:$K)+SUMIF($A:$A,$A4588,$L:$L)),0)</f>
        <v>-0.57659444941808424</v>
      </c>
      <c r="N4588" s="30">
        <f>IFERROR((VLOOKUP($A4588,HeadJournal!$A$1:$K$890,COLUMN(HeadJournal!K$1),0)-VLOOKUP($A4588,HeadJournal!$A$1:$K$890,COLUMN(HeadJournal!J$1),0))*($K4588+$L4588)/(SUMIF($A:$A,$A4588,$K:$K)+SUMIF($A:$A,$A4588,$L:$L)),0)</f>
        <v>1.8879953802470704E-15</v>
      </c>
      <c r="O4588" s="30">
        <f>IFERROR((VLOOKUP($A4588,HeadJournal!$A$1:$L$890,COLUMN(HeadJournal!L$1),0)*($K4588+$L4588)/(SUMIF($A:$A,$A4588,$K:$K)+SUMIF($A:$A,$A4588,$L:$L)))/VLOOKUP($A4588,HeadJournal!$A$1:$L$890,COLUMN(HeadJournal!H$1),0),0)</f>
        <v>0.37699244383391245</v>
      </c>
      <c r="P4588" s="30">
        <f>IFERROR(SUM(K4588:O4588)*VLOOKUP($A4588,HeadJournal!$A$1:$L$890,COLUMN(HeadJournal!H$1),0),0)</f>
        <v>1020.774780662489</v>
      </c>
      <c r="Q4588" s="29">
        <v>2300</v>
      </c>
      <c r="R4588" s="31">
        <v>45810</v>
      </c>
      <c r="S4588" s="31" t="s">
        <v>3121</v>
      </c>
      <c r="T4588" s="95" t="str">
        <f t="shared" si="353"/>
        <v>2025 06</v>
      </c>
      <c r="U4588" s="32">
        <f t="shared" si="350"/>
        <v>1279.2252193375111</v>
      </c>
      <c r="V4588" s="22">
        <f t="shared" si="351"/>
        <v>1.2531904623537879</v>
      </c>
      <c r="X4588" s="33"/>
      <c r="Y4588" s="33"/>
    </row>
    <row r="4589" spans="1:25" x14ac:dyDescent="0.2">
      <c r="A4589" s="93" t="s">
        <v>3554</v>
      </c>
      <c r="B4589" s="94" t="str">
        <f>IFERROR(VLOOKUP($A4589,HeadJournal!$A$1:$NTR$890,COLUMN(HeadJournal!B$1),0),"")</f>
        <v>720000675438</v>
      </c>
      <c r="C4589" s="94" t="str">
        <f>IFERROR(VLOOKUP($A4589,HeadJournal!$A$1:$NTR$890,COLUMN(HeadJournal!C$1),0),"")</f>
        <v>iHerb_OA CZN6870</v>
      </c>
      <c r="D4589" s="125" t="str">
        <f>IFERROR(VLOOKUP($A4589,HeadJournal!$A$1:$NTR$890,COLUMN(HeadJournal!D$1),0),"")</f>
        <v>Доставлен</v>
      </c>
      <c r="E4589" s="95">
        <f>IFERROR(VLOOKUP($A4589,HeadJournal!$A$1:$NTR$890,COLUMN(HeadJournal!G$1),0),"")</f>
        <v>45788</v>
      </c>
      <c r="F4589" s="95" t="str">
        <f t="shared" si="352"/>
        <v>2025 05</v>
      </c>
      <c r="G4589" s="97" t="s">
        <v>5</v>
      </c>
      <c r="H4589" s="161" t="s">
        <v>3573</v>
      </c>
      <c r="I4589" s="161" t="s">
        <v>2052</v>
      </c>
      <c r="J4589" s="97" t="s">
        <v>3574</v>
      </c>
      <c r="K4589" s="29">
        <v>16.21</v>
      </c>
      <c r="L4589" s="29">
        <v>-4.8633333333333333</v>
      </c>
      <c r="M4589" s="30">
        <f>IFERROR(VLOOKUP($A4589,HeadJournal!$A$1:$J$890,COLUMN(HeadJournal!I$1),0)*($K4589+$L4589)/(SUMIF($A:$A,$A4589,$K:$K)+SUMIF($A:$A,$A4589,$L:$L)),0)</f>
        <v>-0.57844349941373097</v>
      </c>
      <c r="N4589" s="30">
        <f>IFERROR((VLOOKUP($A4589,HeadJournal!$A$1:$K$890,COLUMN(HeadJournal!K$1),0)-VLOOKUP($A4589,HeadJournal!$A$1:$K$890,COLUMN(HeadJournal!J$1),0))*($K4589+$L4589)/(SUMIF($A:$A,$A4589,$K:$K)+SUMIF($A:$A,$A4589,$L:$L)),0)</f>
        <v>-1.6931362576975418E-15</v>
      </c>
      <c r="O4589" s="30">
        <f>IFERROR((VLOOKUP($A4589,HeadJournal!$A$1:$L$890,COLUMN(HeadJournal!L$1),0)*($K4589+$L4589)/(SUMIF($A:$A,$A4589,$K:$K)+SUMIF($A:$A,$A4589,$L:$L)))/VLOOKUP($A4589,HeadJournal!$A$1:$L$890,COLUMN(HeadJournal!H$1),0),0)</f>
        <v>0.37326782091272859</v>
      </c>
      <c r="P4589" s="30">
        <f>IFERROR(SUM(K4589:O4589)*VLOOKUP($A4589,HeadJournal!$A$1:$L$890,COLUMN(HeadJournal!H$1),0),0)</f>
        <v>1031.3176976251725</v>
      </c>
      <c r="Q4589" s="29">
        <v>2500</v>
      </c>
      <c r="R4589" s="31">
        <v>45857</v>
      </c>
      <c r="S4589" s="31"/>
      <c r="T4589" s="95" t="str">
        <f t="shared" si="353"/>
        <v>2025 07</v>
      </c>
      <c r="U4589" s="32">
        <f t="shared" si="350"/>
        <v>1468.6823023748275</v>
      </c>
      <c r="V4589" s="22">
        <f t="shared" si="351"/>
        <v>1.4240832924294615</v>
      </c>
      <c r="X4589" s="33"/>
      <c r="Y4589" s="33"/>
    </row>
    <row r="4590" spans="1:25" x14ac:dyDescent="0.2">
      <c r="A4590" s="93" t="s">
        <v>3554</v>
      </c>
      <c r="B4590" s="94" t="str">
        <f>IFERROR(VLOOKUP($A4590,HeadJournal!$A$1:$NTR$890,COLUMN(HeadJournal!B$1),0),"")</f>
        <v>720000675438</v>
      </c>
      <c r="C4590" s="94" t="str">
        <f>IFERROR(VLOOKUP($A4590,HeadJournal!$A$1:$NTR$890,COLUMN(HeadJournal!C$1),0),"")</f>
        <v>iHerb_OA CZN6870</v>
      </c>
      <c r="D4590" s="125" t="str">
        <f>IFERROR(VLOOKUP($A4590,HeadJournal!$A$1:$NTR$890,COLUMN(HeadJournal!D$1),0),"")</f>
        <v>Доставлен</v>
      </c>
      <c r="E4590" s="95">
        <f>IFERROR(VLOOKUP($A4590,HeadJournal!$A$1:$NTR$890,COLUMN(HeadJournal!G$1),0),"")</f>
        <v>45788</v>
      </c>
      <c r="F4590" s="95" t="str">
        <f t="shared" si="352"/>
        <v>2025 05</v>
      </c>
      <c r="G4590" s="97" t="s">
        <v>5</v>
      </c>
      <c r="H4590" s="161" t="s">
        <v>3573</v>
      </c>
      <c r="I4590" s="161" t="s">
        <v>2052</v>
      </c>
      <c r="J4590" s="97" t="s">
        <v>3574</v>
      </c>
      <c r="K4590" s="29">
        <v>16.21</v>
      </c>
      <c r="L4590" s="29">
        <v>-4.8633333333333333</v>
      </c>
      <c r="M4590" s="30">
        <f>IFERROR(VLOOKUP($A4590,HeadJournal!$A$1:$J$890,COLUMN(HeadJournal!I$1),0)*($K4590+$L4590)/(SUMIF($A:$A,$A4590,$K:$K)+SUMIF($A:$A,$A4590,$L:$L)),0)</f>
        <v>-0.57844349941373097</v>
      </c>
      <c r="N4590" s="30">
        <f>IFERROR((VLOOKUP($A4590,HeadJournal!$A$1:$K$890,COLUMN(HeadJournal!K$1),0)-VLOOKUP($A4590,HeadJournal!$A$1:$K$890,COLUMN(HeadJournal!J$1),0))*($K4590+$L4590)/(SUMIF($A:$A,$A4590,$K:$K)+SUMIF($A:$A,$A4590,$L:$L)),0)</f>
        <v>-1.6931362576975418E-15</v>
      </c>
      <c r="O4590" s="30">
        <f>IFERROR((VLOOKUP($A4590,HeadJournal!$A$1:$L$890,COLUMN(HeadJournal!L$1),0)*($K4590+$L4590)/(SUMIF($A:$A,$A4590,$K:$K)+SUMIF($A:$A,$A4590,$L:$L)))/VLOOKUP($A4590,HeadJournal!$A$1:$L$890,COLUMN(HeadJournal!H$1),0),0)</f>
        <v>0.37326782091272859</v>
      </c>
      <c r="P4590" s="30">
        <f>IFERROR(SUM(K4590:O4590)*VLOOKUP($A4590,HeadJournal!$A$1:$L$890,COLUMN(HeadJournal!H$1),0),0)</f>
        <v>1031.3176976251725</v>
      </c>
      <c r="Q4590" s="29">
        <v>2400</v>
      </c>
      <c r="R4590" s="31">
        <v>45884</v>
      </c>
      <c r="S4590" s="31"/>
      <c r="T4590" s="95" t="str">
        <f t="shared" si="353"/>
        <v>2025 08</v>
      </c>
      <c r="U4590" s="32">
        <f t="shared" si="350"/>
        <v>1368.6823023748275</v>
      </c>
      <c r="V4590" s="22">
        <f t="shared" si="351"/>
        <v>1.327119960732283</v>
      </c>
      <c r="X4590" s="33"/>
      <c r="Y4590" s="33"/>
    </row>
    <row r="4591" spans="1:25" x14ac:dyDescent="0.2">
      <c r="A4591" s="93" t="s">
        <v>3554</v>
      </c>
      <c r="B4591" s="94" t="str">
        <f>IFERROR(VLOOKUP($A4591,HeadJournal!$A$1:$NTR$890,COLUMN(HeadJournal!B$1),0),"")</f>
        <v>720000675438</v>
      </c>
      <c r="C4591" s="94" t="str">
        <f>IFERROR(VLOOKUP($A4591,HeadJournal!$A$1:$NTR$890,COLUMN(HeadJournal!C$1),0),"")</f>
        <v>iHerb_OA CZN6870</v>
      </c>
      <c r="D4591" s="125" t="str">
        <f>IFERROR(VLOOKUP($A4591,HeadJournal!$A$1:$NTR$890,COLUMN(HeadJournal!D$1),0),"")</f>
        <v>Доставлен</v>
      </c>
      <c r="E4591" s="95">
        <f>IFERROR(VLOOKUP($A4591,HeadJournal!$A$1:$NTR$890,COLUMN(HeadJournal!G$1),0),"")</f>
        <v>45788</v>
      </c>
      <c r="F4591" s="95" t="str">
        <f t="shared" si="352"/>
        <v>2025 05</v>
      </c>
      <c r="G4591" s="97" t="s">
        <v>5</v>
      </c>
      <c r="H4591" s="161" t="s">
        <v>3573</v>
      </c>
      <c r="I4591" s="161" t="s">
        <v>2052</v>
      </c>
      <c r="J4591" s="97" t="s">
        <v>3574</v>
      </c>
      <c r="K4591" s="29">
        <v>16.21</v>
      </c>
      <c r="L4591" s="29">
        <v>-4.8633333333333333</v>
      </c>
      <c r="M4591" s="30">
        <f>IFERROR(VLOOKUP($A4591,HeadJournal!$A$1:$J$890,COLUMN(HeadJournal!I$1),0)*($K4591+$L4591)/(SUMIF($A:$A,$A4591,$K:$K)+SUMIF($A:$A,$A4591,$L:$L)),0)</f>
        <v>-0.57844349941373097</v>
      </c>
      <c r="N4591" s="30">
        <f>IFERROR((VLOOKUP($A4591,HeadJournal!$A$1:$K$890,COLUMN(HeadJournal!K$1),0)-VLOOKUP($A4591,HeadJournal!$A$1:$K$890,COLUMN(HeadJournal!J$1),0))*($K4591+$L4591)/(SUMIF($A:$A,$A4591,$K:$K)+SUMIF($A:$A,$A4591,$L:$L)),0)</f>
        <v>-1.6931362576975418E-15</v>
      </c>
      <c r="O4591" s="30">
        <f>IFERROR((VLOOKUP($A4591,HeadJournal!$A$1:$L$890,COLUMN(HeadJournal!L$1),0)*($K4591+$L4591)/(SUMIF($A:$A,$A4591,$K:$K)+SUMIF($A:$A,$A4591,$L:$L)))/VLOOKUP($A4591,HeadJournal!$A$1:$L$890,COLUMN(HeadJournal!H$1),0),0)</f>
        <v>0.37326782091272859</v>
      </c>
      <c r="P4591" s="30">
        <f>IFERROR(SUM(K4591:O4591)*VLOOKUP($A4591,HeadJournal!$A$1:$L$890,COLUMN(HeadJournal!H$1),0),0)</f>
        <v>1031.3176976251725</v>
      </c>
      <c r="Q4591" s="29">
        <v>2300</v>
      </c>
      <c r="R4591" s="31">
        <v>46020</v>
      </c>
      <c r="S4591" s="31"/>
      <c r="T4591" s="95" t="str">
        <f t="shared" si="353"/>
        <v>2025 12</v>
      </c>
      <c r="U4591" s="32">
        <f t="shared" si="350"/>
        <v>1268.6823023748275</v>
      </c>
      <c r="V4591" s="22">
        <f t="shared" si="351"/>
        <v>1.2301566290351045</v>
      </c>
      <c r="X4591" s="33"/>
      <c r="Y4591" s="33"/>
    </row>
    <row r="4592" spans="1:25" x14ac:dyDescent="0.2">
      <c r="A4592" s="93" t="s">
        <v>3554</v>
      </c>
      <c r="B4592" s="94" t="str">
        <f>IFERROR(VLOOKUP($A4592,HeadJournal!$A$1:$NTR$890,COLUMN(HeadJournal!B$1),0),"")</f>
        <v>720000675438</v>
      </c>
      <c r="C4592" s="94" t="str">
        <f>IFERROR(VLOOKUP($A4592,HeadJournal!$A$1:$NTR$890,COLUMN(HeadJournal!C$1),0),"")</f>
        <v>iHerb_OA CZN6870</v>
      </c>
      <c r="D4592" s="125" t="str">
        <f>IFERROR(VLOOKUP($A4592,HeadJournal!$A$1:$NTR$890,COLUMN(HeadJournal!D$1),0),"")</f>
        <v>Доставлен</v>
      </c>
      <c r="E4592" s="95">
        <f>IFERROR(VLOOKUP($A4592,HeadJournal!$A$1:$NTR$890,COLUMN(HeadJournal!G$1),0),"")</f>
        <v>45788</v>
      </c>
      <c r="F4592" s="95" t="str">
        <f t="shared" si="352"/>
        <v>2025 05</v>
      </c>
      <c r="G4592" s="97" t="s">
        <v>5</v>
      </c>
      <c r="H4592" s="161" t="s">
        <v>2702</v>
      </c>
      <c r="I4592" s="161" t="s">
        <v>2703</v>
      </c>
      <c r="J4592" s="97" t="s">
        <v>2704</v>
      </c>
      <c r="K4592" s="29">
        <v>6.45</v>
      </c>
      <c r="L4592" s="29">
        <v>-0.64500000000000002</v>
      </c>
      <c r="M4592" s="30">
        <f>IFERROR(VLOOKUP($A4592,HeadJournal!$A$1:$J$890,COLUMN(HeadJournal!I$1),0)*($K4592+$L4592)/(SUMIF($A:$A,$A4592,$K:$K)+SUMIF($A:$A,$A4592,$L:$L)),0)</f>
        <v>-0.295934005355174</v>
      </c>
      <c r="N4592" s="30">
        <f>IFERROR((VLOOKUP($A4592,HeadJournal!$A$1:$K$890,COLUMN(HeadJournal!K$1),0)-VLOOKUP($A4592,HeadJournal!$A$1:$K$890,COLUMN(HeadJournal!J$1),0))*($K4592+$L4592)/(SUMIF($A:$A,$A4592,$K:$K)+SUMIF($A:$A,$A4592,$L:$L)),0)</f>
        <v>-8.6621527402475578E-16</v>
      </c>
      <c r="O4592" s="30">
        <f>IFERROR((VLOOKUP($A4592,HeadJournal!$A$1:$L$890,COLUMN(HeadJournal!L$1),0)*($K4592+$L4592)/(SUMIF($A:$A,$A4592,$K:$K)+SUMIF($A:$A,$A4592,$L:$L)))/VLOOKUP($A4592,HeadJournal!$A$1:$L$890,COLUMN(HeadJournal!H$1),0),0)</f>
        <v>0.19096530849574522</v>
      </c>
      <c r="P4592" s="30">
        <f>IFERROR(SUM(K4592:O4592)*VLOOKUP($A4592,HeadJournal!$A$1:$L$890,COLUMN(HeadJournal!H$1),0),0)</f>
        <v>527.62625452827206</v>
      </c>
      <c r="Q4592" s="29">
        <v>1200</v>
      </c>
      <c r="R4592" s="31">
        <v>45793</v>
      </c>
      <c r="S4592" s="31" t="s">
        <v>4862</v>
      </c>
      <c r="T4592" s="95" t="str">
        <f t="shared" si="353"/>
        <v>2025 05</v>
      </c>
      <c r="U4592" s="32">
        <f t="shared" si="350"/>
        <v>672.37374547172794</v>
      </c>
      <c r="V4592" s="22">
        <f t="shared" si="351"/>
        <v>1.2743371651830866</v>
      </c>
      <c r="X4592" s="33"/>
      <c r="Y4592" s="33"/>
    </row>
    <row r="4593" spans="1:25" x14ac:dyDescent="0.2">
      <c r="A4593" s="93" t="s">
        <v>3554</v>
      </c>
      <c r="B4593" s="94" t="str">
        <f>IFERROR(VLOOKUP($A4593,HeadJournal!$A$1:$NTR$890,COLUMN(HeadJournal!B$1),0),"")</f>
        <v>720000675438</v>
      </c>
      <c r="C4593" s="94" t="str">
        <f>IFERROR(VLOOKUP($A4593,HeadJournal!$A$1:$NTR$890,COLUMN(HeadJournal!C$1),0),"")</f>
        <v>iHerb_OA CZN6870</v>
      </c>
      <c r="D4593" s="125" t="str">
        <f>IFERROR(VLOOKUP($A4593,HeadJournal!$A$1:$NTR$890,COLUMN(HeadJournal!D$1),0),"")</f>
        <v>Доставлен</v>
      </c>
      <c r="E4593" s="95">
        <f>IFERROR(VLOOKUP($A4593,HeadJournal!$A$1:$NTR$890,COLUMN(HeadJournal!G$1),0),"")</f>
        <v>45788</v>
      </c>
      <c r="F4593" s="95" t="str">
        <f t="shared" si="352"/>
        <v>2025 05</v>
      </c>
      <c r="G4593" s="97" t="s">
        <v>5</v>
      </c>
      <c r="H4593" s="161" t="s">
        <v>2702</v>
      </c>
      <c r="I4593" s="161" t="s">
        <v>2703</v>
      </c>
      <c r="J4593" s="97" t="s">
        <v>2704</v>
      </c>
      <c r="K4593" s="29">
        <v>6.45</v>
      </c>
      <c r="L4593" s="29">
        <v>-0.64500000000000002</v>
      </c>
      <c r="M4593" s="30">
        <f>IFERROR(VLOOKUP($A4593,HeadJournal!$A$1:$J$890,COLUMN(HeadJournal!I$1),0)*($K4593+$L4593)/(SUMIF($A:$A,$A4593,$K:$K)+SUMIF($A:$A,$A4593,$L:$L)),0)</f>
        <v>-0.295934005355174</v>
      </c>
      <c r="N4593" s="30">
        <f>IFERROR((VLOOKUP($A4593,HeadJournal!$A$1:$K$890,COLUMN(HeadJournal!K$1),0)-VLOOKUP($A4593,HeadJournal!$A$1:$K$890,COLUMN(HeadJournal!J$1),0))*($K4593+$L4593)/(SUMIF($A:$A,$A4593,$K:$K)+SUMIF($A:$A,$A4593,$L:$L)),0)</f>
        <v>-8.6621527402475578E-16</v>
      </c>
      <c r="O4593" s="30">
        <f>IFERROR((VLOOKUP($A4593,HeadJournal!$A$1:$L$890,COLUMN(HeadJournal!L$1),0)*($K4593+$L4593)/(SUMIF($A:$A,$A4593,$K:$K)+SUMIF($A:$A,$A4593,$L:$L)))/VLOOKUP($A4593,HeadJournal!$A$1:$L$890,COLUMN(HeadJournal!H$1),0),0)</f>
        <v>0.19096530849574522</v>
      </c>
      <c r="P4593" s="30">
        <f>IFERROR(SUM(K4593:O4593)*VLOOKUP($A4593,HeadJournal!$A$1:$L$890,COLUMN(HeadJournal!H$1),0),0)</f>
        <v>527.62625452827206</v>
      </c>
      <c r="Q4593" s="29">
        <v>1200</v>
      </c>
      <c r="R4593" s="31">
        <v>45793</v>
      </c>
      <c r="S4593" s="31" t="s">
        <v>4862</v>
      </c>
      <c r="T4593" s="95" t="str">
        <f t="shared" si="353"/>
        <v>2025 05</v>
      </c>
      <c r="U4593" s="32">
        <f t="shared" si="350"/>
        <v>672.37374547172794</v>
      </c>
      <c r="V4593" s="22">
        <f t="shared" si="351"/>
        <v>1.2743371651830866</v>
      </c>
      <c r="X4593" s="33"/>
      <c r="Y4593" s="33"/>
    </row>
    <row r="4594" spans="1:25" x14ac:dyDescent="0.2">
      <c r="A4594" s="93" t="s">
        <v>3554</v>
      </c>
      <c r="B4594" s="94" t="str">
        <f>IFERROR(VLOOKUP($A4594,HeadJournal!$A$1:$NTR$890,COLUMN(HeadJournal!B$1),0),"")</f>
        <v>720000675438</v>
      </c>
      <c r="C4594" s="94" t="str">
        <f>IFERROR(VLOOKUP($A4594,HeadJournal!$A$1:$NTR$890,COLUMN(HeadJournal!C$1),0),"")</f>
        <v>iHerb_OA CZN6870</v>
      </c>
      <c r="D4594" s="125" t="str">
        <f>IFERROR(VLOOKUP($A4594,HeadJournal!$A$1:$NTR$890,COLUMN(HeadJournal!D$1),0),"")</f>
        <v>Доставлен</v>
      </c>
      <c r="E4594" s="95">
        <f>IFERROR(VLOOKUP($A4594,HeadJournal!$A$1:$NTR$890,COLUMN(HeadJournal!G$1),0),"")</f>
        <v>45788</v>
      </c>
      <c r="F4594" s="95" t="str">
        <f t="shared" si="352"/>
        <v>2025 05</v>
      </c>
      <c r="G4594" s="97" t="s">
        <v>5</v>
      </c>
      <c r="H4594" s="161" t="s">
        <v>2051</v>
      </c>
      <c r="I4594" s="161" t="s">
        <v>2052</v>
      </c>
      <c r="J4594" s="97" t="s">
        <v>3097</v>
      </c>
      <c r="K4594" s="29">
        <v>21.24</v>
      </c>
      <c r="L4594" s="29">
        <v>-6.3719999999999999</v>
      </c>
      <c r="M4594" s="30">
        <f>IFERROR(VLOOKUP($A4594,HeadJournal!$A$1:$J$890,COLUMN(HeadJournal!I$1),0)*($K4594+$L4594)/(SUMIF($A:$A,$A4594,$K:$K)+SUMIF($A:$A,$A4594,$L:$L)),0)</f>
        <v>-0.75795810363836813</v>
      </c>
      <c r="N4594" s="30">
        <f>IFERROR((VLOOKUP($A4594,HeadJournal!$A$1:$K$890,COLUMN(HeadJournal!K$1),0)-VLOOKUP($A4594,HeadJournal!$A$1:$K$890,COLUMN(HeadJournal!J$1),0))*($K4594+$L4594)/(SUMIF($A:$A,$A4594,$K:$K)+SUMIF($A:$A,$A4594,$L:$L)),0)</f>
        <v>-2.2185854770370487E-15</v>
      </c>
      <c r="O4594" s="30">
        <f>IFERROR((VLOOKUP($A4594,HeadJournal!$A$1:$L$890,COLUMN(HeadJournal!L$1),0)*($K4594+$L4594)/(SUMIF($A:$A,$A4594,$K:$K)+SUMIF($A:$A,$A4594,$L:$L)))/VLOOKUP($A4594,HeadJournal!$A$1:$L$890,COLUMN(HeadJournal!H$1),0),0)</f>
        <v>0.48910804594569157</v>
      </c>
      <c r="P4594" s="30">
        <f>IFERROR(SUM(K4594:O4594)*VLOOKUP($A4594,HeadJournal!$A$1:$L$890,COLUMN(HeadJournal!H$1),0),0)</f>
        <v>1351.3776317530317</v>
      </c>
      <c r="Q4594" s="29">
        <v>2400</v>
      </c>
      <c r="R4594" s="31">
        <v>45821</v>
      </c>
      <c r="S4594" s="31" t="s">
        <v>3220</v>
      </c>
      <c r="T4594" s="95" t="str">
        <f t="shared" si="353"/>
        <v>2025 06</v>
      </c>
      <c r="U4594" s="32">
        <f t="shared" si="350"/>
        <v>1048.6223682469683</v>
      </c>
      <c r="V4594" s="22">
        <f t="shared" si="351"/>
        <v>0.77596546191657489</v>
      </c>
      <c r="X4594" s="33"/>
      <c r="Y4594" s="33"/>
    </row>
    <row r="4595" spans="1:25" x14ac:dyDescent="0.2">
      <c r="A4595" s="93" t="s">
        <v>3554</v>
      </c>
      <c r="B4595" s="94" t="str">
        <f>IFERROR(VLOOKUP($A4595,HeadJournal!$A$1:$NTR$890,COLUMN(HeadJournal!B$1),0),"")</f>
        <v>720000675438</v>
      </c>
      <c r="C4595" s="94" t="str">
        <f>IFERROR(VLOOKUP($A4595,HeadJournal!$A$1:$NTR$890,COLUMN(HeadJournal!C$1),0),"")</f>
        <v>iHerb_OA CZN6870</v>
      </c>
      <c r="D4595" s="125" t="str">
        <f>IFERROR(VLOOKUP($A4595,HeadJournal!$A$1:$NTR$890,COLUMN(HeadJournal!D$1),0),"")</f>
        <v>Доставлен</v>
      </c>
      <c r="E4595" s="95">
        <f>IFERROR(VLOOKUP($A4595,HeadJournal!$A$1:$NTR$890,COLUMN(HeadJournal!G$1),0),"")</f>
        <v>45788</v>
      </c>
      <c r="F4595" s="95" t="str">
        <f t="shared" si="352"/>
        <v>2025 05</v>
      </c>
      <c r="G4595" s="97" t="s">
        <v>5</v>
      </c>
      <c r="H4595" s="161" t="s">
        <v>2051</v>
      </c>
      <c r="I4595" s="161" t="s">
        <v>2052</v>
      </c>
      <c r="J4595" s="97" t="s">
        <v>3097</v>
      </c>
      <c r="K4595" s="29">
        <v>21.24</v>
      </c>
      <c r="L4595" s="29">
        <v>-6.3719999999999999</v>
      </c>
      <c r="M4595" s="30">
        <f>IFERROR(VLOOKUP($A4595,HeadJournal!$A$1:$J$890,COLUMN(HeadJournal!I$1),0)*($K4595+$L4595)/(SUMIF($A:$A,$A4595,$K:$K)+SUMIF($A:$A,$A4595,$L:$L)),0)</f>
        <v>-0.75795810363836813</v>
      </c>
      <c r="N4595" s="30">
        <f>IFERROR((VLOOKUP($A4595,HeadJournal!$A$1:$K$890,COLUMN(HeadJournal!K$1),0)-VLOOKUP($A4595,HeadJournal!$A$1:$K$890,COLUMN(HeadJournal!J$1),0))*($K4595+$L4595)/(SUMIF($A:$A,$A4595,$K:$K)+SUMIF($A:$A,$A4595,$L:$L)),0)</f>
        <v>-2.2185854770370487E-15</v>
      </c>
      <c r="O4595" s="30">
        <f>IFERROR((VLOOKUP($A4595,HeadJournal!$A$1:$L$890,COLUMN(HeadJournal!L$1),0)*($K4595+$L4595)/(SUMIF($A:$A,$A4595,$K:$K)+SUMIF($A:$A,$A4595,$L:$L)))/VLOOKUP($A4595,HeadJournal!$A$1:$L$890,COLUMN(HeadJournal!H$1),0),0)</f>
        <v>0.48910804594569157</v>
      </c>
      <c r="P4595" s="30">
        <f>IFERROR(SUM(K4595:O4595)*VLOOKUP($A4595,HeadJournal!$A$1:$L$890,COLUMN(HeadJournal!H$1),0),0)</f>
        <v>1351.3776317530317</v>
      </c>
      <c r="Q4595" s="29">
        <v>2300</v>
      </c>
      <c r="R4595" s="31">
        <v>45821</v>
      </c>
      <c r="S4595" s="31" t="s">
        <v>3252</v>
      </c>
      <c r="T4595" s="95" t="str">
        <f t="shared" si="353"/>
        <v>2025 06</v>
      </c>
      <c r="U4595" s="32">
        <f t="shared" si="350"/>
        <v>948.62236824696834</v>
      </c>
      <c r="V4595" s="22">
        <f t="shared" si="351"/>
        <v>0.70196690100338432</v>
      </c>
      <c r="X4595" s="33"/>
      <c r="Y4595" s="33"/>
    </row>
    <row r="4596" spans="1:25" x14ac:dyDescent="0.2">
      <c r="A4596" s="93" t="s">
        <v>3554</v>
      </c>
      <c r="B4596" s="94" t="str">
        <f>IFERROR(VLOOKUP($A4596,HeadJournal!$A$1:$NTR$890,COLUMN(HeadJournal!B$1),0),"")</f>
        <v>720000675438</v>
      </c>
      <c r="C4596" s="94" t="str">
        <f>IFERROR(VLOOKUP($A4596,HeadJournal!$A$1:$NTR$890,COLUMN(HeadJournal!C$1),0),"")</f>
        <v>iHerb_OA CZN6870</v>
      </c>
      <c r="D4596" s="125" t="str">
        <f>IFERROR(VLOOKUP($A4596,HeadJournal!$A$1:$NTR$890,COLUMN(HeadJournal!D$1),0),"")</f>
        <v>Доставлен</v>
      </c>
      <c r="E4596" s="95">
        <f>IFERROR(VLOOKUP($A4596,HeadJournal!$A$1:$NTR$890,COLUMN(HeadJournal!G$1),0),"")</f>
        <v>45788</v>
      </c>
      <c r="F4596" s="95" t="str">
        <f t="shared" si="352"/>
        <v>2025 05</v>
      </c>
      <c r="G4596" s="97" t="s">
        <v>5</v>
      </c>
      <c r="H4596" s="161" t="s">
        <v>2051</v>
      </c>
      <c r="I4596" s="161" t="s">
        <v>2052</v>
      </c>
      <c r="J4596" s="97" t="s">
        <v>3097</v>
      </c>
      <c r="K4596" s="29">
        <v>21.24</v>
      </c>
      <c r="L4596" s="29">
        <v>-6.3719999999999999</v>
      </c>
      <c r="M4596" s="30">
        <f>IFERROR(VLOOKUP($A4596,HeadJournal!$A$1:$J$890,COLUMN(HeadJournal!I$1),0)*($K4596+$L4596)/(SUMIF($A:$A,$A4596,$K:$K)+SUMIF($A:$A,$A4596,$L:$L)),0)</f>
        <v>-0.75795810363836813</v>
      </c>
      <c r="N4596" s="30">
        <f>IFERROR((VLOOKUP($A4596,HeadJournal!$A$1:$K$890,COLUMN(HeadJournal!K$1),0)-VLOOKUP($A4596,HeadJournal!$A$1:$K$890,COLUMN(HeadJournal!J$1),0))*($K4596+$L4596)/(SUMIF($A:$A,$A4596,$K:$K)+SUMIF($A:$A,$A4596,$L:$L)),0)</f>
        <v>-2.2185854770370487E-15</v>
      </c>
      <c r="O4596" s="30">
        <f>IFERROR((VLOOKUP($A4596,HeadJournal!$A$1:$L$890,COLUMN(HeadJournal!L$1),0)*($K4596+$L4596)/(SUMIF($A:$A,$A4596,$K:$K)+SUMIF($A:$A,$A4596,$L:$L)))/VLOOKUP($A4596,HeadJournal!$A$1:$L$890,COLUMN(HeadJournal!H$1),0),0)</f>
        <v>0.48910804594569157</v>
      </c>
      <c r="P4596" s="30">
        <f>IFERROR(SUM(K4596:O4596)*VLOOKUP($A4596,HeadJournal!$A$1:$L$890,COLUMN(HeadJournal!H$1),0),0)</f>
        <v>1351.3776317530317</v>
      </c>
      <c r="Q4596" s="29">
        <v>2300</v>
      </c>
      <c r="R4596" s="31">
        <v>45821</v>
      </c>
      <c r="S4596" s="31" t="s">
        <v>3252</v>
      </c>
      <c r="T4596" s="95" t="str">
        <f t="shared" si="353"/>
        <v>2025 06</v>
      </c>
      <c r="U4596" s="32">
        <f t="shared" si="350"/>
        <v>948.62236824696834</v>
      </c>
      <c r="V4596" s="22">
        <f t="shared" si="351"/>
        <v>0.70196690100338432</v>
      </c>
      <c r="X4596" s="33"/>
      <c r="Y4596" s="33"/>
    </row>
    <row r="4597" spans="1:25" x14ac:dyDescent="0.2">
      <c r="A4597" s="93" t="s">
        <v>3554</v>
      </c>
      <c r="B4597" s="94" t="str">
        <f>IFERROR(VLOOKUP($A4597,HeadJournal!$A$1:$NTR$890,COLUMN(HeadJournal!B$1),0),"")</f>
        <v>720000675438</v>
      </c>
      <c r="C4597" s="94" t="str">
        <f>IFERROR(VLOOKUP($A4597,HeadJournal!$A$1:$NTR$890,COLUMN(HeadJournal!C$1),0),"")</f>
        <v>iHerb_OA CZN6870</v>
      </c>
      <c r="D4597" s="125" t="str">
        <f>IFERROR(VLOOKUP($A4597,HeadJournal!$A$1:$NTR$890,COLUMN(HeadJournal!D$1),0),"")</f>
        <v>Доставлен</v>
      </c>
      <c r="E4597" s="95">
        <f>IFERROR(VLOOKUP($A4597,HeadJournal!$A$1:$NTR$890,COLUMN(HeadJournal!G$1),0),"")</f>
        <v>45788</v>
      </c>
      <c r="F4597" s="95" t="str">
        <f t="shared" si="352"/>
        <v>2025 05</v>
      </c>
      <c r="G4597" s="97" t="s">
        <v>5</v>
      </c>
      <c r="H4597" s="161" t="s">
        <v>2051</v>
      </c>
      <c r="I4597" s="161" t="s">
        <v>2052</v>
      </c>
      <c r="J4597" s="97" t="s">
        <v>3097</v>
      </c>
      <c r="K4597" s="29">
        <v>21.24</v>
      </c>
      <c r="L4597" s="29">
        <v>-6.3719999999999999</v>
      </c>
      <c r="M4597" s="30">
        <f>IFERROR(VLOOKUP($A4597,HeadJournal!$A$1:$J$890,COLUMN(HeadJournal!I$1),0)*($K4597+$L4597)/(SUMIF($A:$A,$A4597,$K:$K)+SUMIF($A:$A,$A4597,$L:$L)),0)</f>
        <v>-0.75795810363836813</v>
      </c>
      <c r="N4597" s="30">
        <f>IFERROR((VLOOKUP($A4597,HeadJournal!$A$1:$K$890,COLUMN(HeadJournal!K$1),0)-VLOOKUP($A4597,HeadJournal!$A$1:$K$890,COLUMN(HeadJournal!J$1),0))*($K4597+$L4597)/(SUMIF($A:$A,$A4597,$K:$K)+SUMIF($A:$A,$A4597,$L:$L)),0)</f>
        <v>-2.2185854770370487E-15</v>
      </c>
      <c r="O4597" s="30">
        <f>IFERROR((VLOOKUP($A4597,HeadJournal!$A$1:$L$890,COLUMN(HeadJournal!L$1),0)*($K4597+$L4597)/(SUMIF($A:$A,$A4597,$K:$K)+SUMIF($A:$A,$A4597,$L:$L)))/VLOOKUP($A4597,HeadJournal!$A$1:$L$890,COLUMN(HeadJournal!H$1),0),0)</f>
        <v>0.48910804594569157</v>
      </c>
      <c r="P4597" s="30">
        <f>IFERROR(SUM(K4597:O4597)*VLOOKUP($A4597,HeadJournal!$A$1:$L$890,COLUMN(HeadJournal!H$1),0),0)</f>
        <v>1351.3776317530317</v>
      </c>
      <c r="Q4597" s="29">
        <v>2350</v>
      </c>
      <c r="R4597" s="31">
        <v>45824</v>
      </c>
      <c r="S4597" s="31" t="s">
        <v>3121</v>
      </c>
      <c r="T4597" s="95" t="str">
        <f t="shared" si="353"/>
        <v>2025 06</v>
      </c>
      <c r="U4597" s="32">
        <f t="shared" si="350"/>
        <v>998.62236824696834</v>
      </c>
      <c r="V4597" s="22">
        <f t="shared" si="351"/>
        <v>0.73896618145997961</v>
      </c>
      <c r="X4597" s="33"/>
      <c r="Y4597" s="33"/>
    </row>
    <row r="4598" spans="1:25" x14ac:dyDescent="0.2">
      <c r="A4598" s="93" t="s">
        <v>3554</v>
      </c>
      <c r="B4598" s="94" t="str">
        <f>IFERROR(VLOOKUP($A4598,HeadJournal!$A$1:$NTR$890,COLUMN(HeadJournal!B$1),0),"")</f>
        <v>720000675438</v>
      </c>
      <c r="C4598" s="94" t="str">
        <f>IFERROR(VLOOKUP($A4598,HeadJournal!$A$1:$NTR$890,COLUMN(HeadJournal!C$1),0),"")</f>
        <v>iHerb_OA CZN6870</v>
      </c>
      <c r="D4598" s="125" t="str">
        <f>IFERROR(VLOOKUP($A4598,HeadJournal!$A$1:$NTR$890,COLUMN(HeadJournal!D$1),0),"")</f>
        <v>Доставлен</v>
      </c>
      <c r="E4598" s="95">
        <f>IFERROR(VLOOKUP($A4598,HeadJournal!$A$1:$NTR$890,COLUMN(HeadJournal!G$1),0),"")</f>
        <v>45788</v>
      </c>
      <c r="F4598" s="95" t="str">
        <f t="shared" si="352"/>
        <v>2025 05</v>
      </c>
      <c r="G4598" s="97" t="s">
        <v>5</v>
      </c>
      <c r="H4598" s="161" t="s">
        <v>2051</v>
      </c>
      <c r="I4598" s="161" t="s">
        <v>2052</v>
      </c>
      <c r="J4598" s="97" t="s">
        <v>3097</v>
      </c>
      <c r="K4598" s="29">
        <v>21.24</v>
      </c>
      <c r="L4598" s="29">
        <v>-6.3719999999999999</v>
      </c>
      <c r="M4598" s="30">
        <f>IFERROR(VLOOKUP($A4598,HeadJournal!$A$1:$J$890,COLUMN(HeadJournal!I$1),0)*($K4598+$L4598)/(SUMIF($A:$A,$A4598,$K:$K)+SUMIF($A:$A,$A4598,$L:$L)),0)</f>
        <v>-0.75795810363836813</v>
      </c>
      <c r="N4598" s="30">
        <f>IFERROR((VLOOKUP($A4598,HeadJournal!$A$1:$K$890,COLUMN(HeadJournal!K$1),0)-VLOOKUP($A4598,HeadJournal!$A$1:$K$890,COLUMN(HeadJournal!J$1),0))*($K4598+$L4598)/(SUMIF($A:$A,$A4598,$K:$K)+SUMIF($A:$A,$A4598,$L:$L)),0)</f>
        <v>-2.2185854770370487E-15</v>
      </c>
      <c r="O4598" s="30">
        <f>IFERROR((VLOOKUP($A4598,HeadJournal!$A$1:$L$890,COLUMN(HeadJournal!L$1),0)*($K4598+$L4598)/(SUMIF($A:$A,$A4598,$K:$K)+SUMIF($A:$A,$A4598,$L:$L)))/VLOOKUP($A4598,HeadJournal!$A$1:$L$890,COLUMN(HeadJournal!H$1),0),0)</f>
        <v>0.48910804594569157</v>
      </c>
      <c r="P4598" s="30">
        <f>IFERROR(SUM(K4598:O4598)*VLOOKUP($A4598,HeadJournal!$A$1:$L$890,COLUMN(HeadJournal!H$1),0),0)</f>
        <v>1351.3776317530317</v>
      </c>
      <c r="Q4598" s="29">
        <v>2350</v>
      </c>
      <c r="R4598" s="31">
        <v>45824</v>
      </c>
      <c r="S4598" s="31" t="s">
        <v>3121</v>
      </c>
      <c r="T4598" s="95" t="str">
        <f t="shared" si="353"/>
        <v>2025 06</v>
      </c>
      <c r="U4598" s="32">
        <f t="shared" si="350"/>
        <v>998.62236824696834</v>
      </c>
      <c r="V4598" s="22">
        <f t="shared" si="351"/>
        <v>0.73896618145997961</v>
      </c>
      <c r="X4598" s="33"/>
      <c r="Y4598" s="33"/>
    </row>
    <row r="4599" spans="1:25" x14ac:dyDescent="0.2">
      <c r="A4599" s="93" t="s">
        <v>3554</v>
      </c>
      <c r="B4599" s="94" t="str">
        <f>IFERROR(VLOOKUP($A4599,HeadJournal!$A$1:$NTR$890,COLUMN(HeadJournal!B$1),0),"")</f>
        <v>720000675438</v>
      </c>
      <c r="C4599" s="94" t="str">
        <f>IFERROR(VLOOKUP($A4599,HeadJournal!$A$1:$NTR$890,COLUMN(HeadJournal!C$1),0),"")</f>
        <v>iHerb_OA CZN6870</v>
      </c>
      <c r="D4599" s="125" t="str">
        <f>IFERROR(VLOOKUP($A4599,HeadJournal!$A$1:$NTR$890,COLUMN(HeadJournal!D$1),0),"")</f>
        <v>Доставлен</v>
      </c>
      <c r="E4599" s="95">
        <f>IFERROR(VLOOKUP($A4599,HeadJournal!$A$1:$NTR$890,COLUMN(HeadJournal!G$1),0),"")</f>
        <v>45788</v>
      </c>
      <c r="F4599" s="95" t="str">
        <f t="shared" si="352"/>
        <v>2025 05</v>
      </c>
      <c r="G4599" s="97" t="s">
        <v>5</v>
      </c>
      <c r="H4599" s="161" t="s">
        <v>3575</v>
      </c>
      <c r="I4599" s="161" t="s">
        <v>2052</v>
      </c>
      <c r="J4599" s="97" t="s">
        <v>3576</v>
      </c>
      <c r="K4599" s="29">
        <v>15.08</v>
      </c>
      <c r="L4599" s="29">
        <v>-4.5199999999999996</v>
      </c>
      <c r="M4599" s="30">
        <f>IFERROR(VLOOKUP($A4599,HeadJournal!$A$1:$J$890,COLUMN(HeadJournal!I$1),0)*($K4599+$L4599)/(SUMIF($A:$A,$A4599,$K:$K)+SUMIF($A:$A,$A4599,$L:$L)),0)</f>
        <v>-0.53833989604662147</v>
      </c>
      <c r="N4599" s="30">
        <f>IFERROR((VLOOKUP($A4599,HeadJournal!$A$1:$K$890,COLUMN(HeadJournal!K$1),0)-VLOOKUP($A4599,HeadJournal!$A$1:$K$890,COLUMN(HeadJournal!J$1),0))*($K4599+$L4599)/(SUMIF($A:$A,$A4599,$K:$K)+SUMIF($A:$A,$A4599,$L:$L)),0)</f>
        <v>-1.5757507827220364E-15</v>
      </c>
      <c r="O4599" s="30">
        <f>IFERROR((VLOOKUP($A4599,HeadJournal!$A$1:$L$890,COLUMN(HeadJournal!L$1),0)*($K4599+$L4599)/(SUMIF($A:$A,$A4599,$K:$K)+SUMIF($A:$A,$A4599,$L:$L)))/VLOOKUP($A4599,HeadJournal!$A$1:$L$890,COLUMN(HeadJournal!H$1),0),0)</f>
        <v>0.34738908832300947</v>
      </c>
      <c r="P4599" s="30">
        <f>IFERROR(SUM(K4599:O4599)*VLOOKUP($A4599,HeadJournal!$A$1:$L$890,COLUMN(HeadJournal!H$1),0),0)</f>
        <v>959.81623562765776</v>
      </c>
      <c r="Q4599" s="29"/>
      <c r="R4599" s="31"/>
      <c r="S4599" s="31"/>
      <c r="T4599" s="95" t="str">
        <f t="shared" si="353"/>
        <v/>
      </c>
      <c r="U4599" s="32">
        <f t="shared" si="350"/>
        <v>-959.81623562765776</v>
      </c>
      <c r="V4599" s="22" t="str">
        <f t="shared" si="351"/>
        <v/>
      </c>
      <c r="X4599" s="33"/>
      <c r="Y4599" s="33"/>
    </row>
    <row r="4600" spans="1:25" x14ac:dyDescent="0.2">
      <c r="A4600" s="93" t="s">
        <v>3554</v>
      </c>
      <c r="B4600" s="94" t="str">
        <f>IFERROR(VLOOKUP($A4600,HeadJournal!$A$1:$NTR$890,COLUMN(HeadJournal!B$1),0),"")</f>
        <v>720000675438</v>
      </c>
      <c r="C4600" s="94" t="str">
        <f>IFERROR(VLOOKUP($A4600,HeadJournal!$A$1:$NTR$890,COLUMN(HeadJournal!C$1),0),"")</f>
        <v>iHerb_OA CZN6870</v>
      </c>
      <c r="D4600" s="125" t="str">
        <f>IFERROR(VLOOKUP($A4600,HeadJournal!$A$1:$NTR$890,COLUMN(HeadJournal!D$1),0),"")</f>
        <v>Доставлен</v>
      </c>
      <c r="E4600" s="95">
        <f>IFERROR(VLOOKUP($A4600,HeadJournal!$A$1:$NTR$890,COLUMN(HeadJournal!G$1),0),"")</f>
        <v>45788</v>
      </c>
      <c r="F4600" s="95" t="str">
        <f t="shared" si="352"/>
        <v>2025 05</v>
      </c>
      <c r="G4600" s="97" t="s">
        <v>5</v>
      </c>
      <c r="H4600" s="161" t="s">
        <v>3577</v>
      </c>
      <c r="I4600" s="161" t="s">
        <v>2052</v>
      </c>
      <c r="J4600" s="97" t="s">
        <v>3578</v>
      </c>
      <c r="K4600" s="29">
        <v>14.06</v>
      </c>
      <c r="L4600" s="29">
        <v>-4.22</v>
      </c>
      <c r="M4600" s="30">
        <f>IFERROR(VLOOKUP($A4600,HeadJournal!$A$1:$J$890,COLUMN(HeadJournal!I$1),0)*($K4600+$L4600)/(SUMIF($A:$A,$A4600,$K:$K)+SUMIF($A:$A,$A4600,$L:$L)),0)</f>
        <v>-0.50163490313435177</v>
      </c>
      <c r="N4600" s="30">
        <f>IFERROR((VLOOKUP($A4600,HeadJournal!$A$1:$K$890,COLUMN(HeadJournal!K$1),0)-VLOOKUP($A4600,HeadJournal!$A$1:$K$890,COLUMN(HeadJournal!J$1),0))*($K4600+$L4600)/(SUMIF($A:$A,$A4600,$K:$K)+SUMIF($A:$A,$A4600,$L:$L)),0)</f>
        <v>-1.4683132293546248E-15</v>
      </c>
      <c r="O4600" s="30">
        <f>IFERROR((VLOOKUP($A4600,HeadJournal!$A$1:$L$890,COLUMN(HeadJournal!L$1),0)*($K4600+$L4600)/(SUMIF($A:$A,$A4600,$K:$K)+SUMIF($A:$A,$A4600,$L:$L)))/VLOOKUP($A4600,HeadJournal!$A$1:$L$890,COLUMN(HeadJournal!H$1),0),0)</f>
        <v>0.32370346866462241</v>
      </c>
      <c r="P4600" s="30">
        <f>IFERROR(SUM(K4600:O4600)*VLOOKUP($A4600,HeadJournal!$A$1:$L$890,COLUMN(HeadJournal!H$1),0),0)</f>
        <v>894.37421956213541</v>
      </c>
      <c r="Q4600" s="29"/>
      <c r="R4600" s="31"/>
      <c r="S4600" s="31"/>
      <c r="T4600" s="95" t="str">
        <f t="shared" si="353"/>
        <v/>
      </c>
      <c r="U4600" s="32">
        <f t="shared" si="350"/>
        <v>-894.37421956213541</v>
      </c>
      <c r="V4600" s="22" t="str">
        <f t="shared" si="351"/>
        <v/>
      </c>
      <c r="X4600" s="33"/>
      <c r="Y4600" s="33"/>
    </row>
    <row r="4601" spans="1:25" x14ac:dyDescent="0.2">
      <c r="A4601" s="93" t="s">
        <v>3554</v>
      </c>
      <c r="B4601" s="94" t="str">
        <f>IFERROR(VLOOKUP($A4601,HeadJournal!$A$1:$NTR$890,COLUMN(HeadJournal!B$1),0),"")</f>
        <v>720000675438</v>
      </c>
      <c r="C4601" s="94" t="str">
        <f>IFERROR(VLOOKUP($A4601,HeadJournal!$A$1:$NTR$890,COLUMN(HeadJournal!C$1),0),"")</f>
        <v>iHerb_OA CZN6870</v>
      </c>
      <c r="D4601" s="125" t="str">
        <f>IFERROR(VLOOKUP($A4601,HeadJournal!$A$1:$NTR$890,COLUMN(HeadJournal!D$1),0),"")</f>
        <v>Доставлен</v>
      </c>
      <c r="E4601" s="95">
        <f>IFERROR(VLOOKUP($A4601,HeadJournal!$A$1:$NTR$890,COLUMN(HeadJournal!G$1),0),"")</f>
        <v>45788</v>
      </c>
      <c r="F4601" s="95" t="str">
        <f t="shared" si="352"/>
        <v>2025 05</v>
      </c>
      <c r="G4601" s="97" t="s">
        <v>5</v>
      </c>
      <c r="H4601" s="161" t="s">
        <v>3579</v>
      </c>
      <c r="I4601" s="161" t="s">
        <v>2750</v>
      </c>
      <c r="J4601" s="97" t="s">
        <v>3580</v>
      </c>
      <c r="K4601" s="29">
        <v>15.01</v>
      </c>
      <c r="L4601" s="29">
        <v>-1.5</v>
      </c>
      <c r="M4601" s="30">
        <f>IFERROR(VLOOKUP($A4601,HeadJournal!$A$1:$J$890,COLUMN(HeadJournal!I$1),0)*($K4601+$L4601)/(SUMIF($A:$A,$A4601,$K:$K)+SUMIF($A:$A,$A4601,$L:$L)),0)</f>
        <v>-0.68872840867328189</v>
      </c>
      <c r="N4601" s="30">
        <f>IFERROR((VLOOKUP($A4601,HeadJournal!$A$1:$K$890,COLUMN(HeadJournal!K$1),0)-VLOOKUP($A4601,HeadJournal!$A$1:$K$890,COLUMN(HeadJournal!J$1),0))*($K4601+$L4601)/(SUMIF($A:$A,$A4601,$K:$K)+SUMIF($A:$A,$A4601,$L:$L)),0)</f>
        <v>-2.015946313880181E-15</v>
      </c>
      <c r="O4601" s="30">
        <f>IFERROR((VLOOKUP($A4601,HeadJournal!$A$1:$L$890,COLUMN(HeadJournal!L$1),0)*($K4601+$L4601)/(SUMIF($A:$A,$A4601,$K:$K)+SUMIF($A:$A,$A4601,$L:$L)))/VLOOKUP($A4601,HeadJournal!$A$1:$L$890,COLUMN(HeadJournal!H$1),0),0)</f>
        <v>0.44443433553445622</v>
      </c>
      <c r="P4601" s="30">
        <f>IFERROR(SUM(K4601:O4601)*VLOOKUP($A4601,HeadJournal!$A$1:$L$890,COLUMN(HeadJournal!H$1),0),0)</f>
        <v>1227.9467181183386</v>
      </c>
      <c r="Q4601" s="29">
        <v>2100</v>
      </c>
      <c r="R4601" s="31">
        <v>45830</v>
      </c>
      <c r="S4601" s="31" t="s">
        <v>3121</v>
      </c>
      <c r="T4601" s="95" t="str">
        <f t="shared" si="353"/>
        <v>2025 06</v>
      </c>
      <c r="U4601" s="32">
        <f t="shared" si="350"/>
        <v>872.05328188166141</v>
      </c>
      <c r="V4601" s="22">
        <f t="shared" si="351"/>
        <v>0.71017192278339614</v>
      </c>
      <c r="X4601" s="33"/>
      <c r="Y4601" s="33"/>
    </row>
    <row r="4602" spans="1:25" x14ac:dyDescent="0.2">
      <c r="A4602" s="93" t="s">
        <v>3554</v>
      </c>
      <c r="B4602" s="94" t="str">
        <f>IFERROR(VLOOKUP($A4602,HeadJournal!$A$1:$NTR$890,COLUMN(HeadJournal!B$1),0),"")</f>
        <v>720000675438</v>
      </c>
      <c r="C4602" s="94" t="str">
        <f>IFERROR(VLOOKUP($A4602,HeadJournal!$A$1:$NTR$890,COLUMN(HeadJournal!C$1),0),"")</f>
        <v>iHerb_OA CZN6870</v>
      </c>
      <c r="D4602" s="125" t="str">
        <f>IFERROR(VLOOKUP($A4602,HeadJournal!$A$1:$NTR$890,COLUMN(HeadJournal!D$1),0),"")</f>
        <v>Доставлен</v>
      </c>
      <c r="E4602" s="95">
        <f>IFERROR(VLOOKUP($A4602,HeadJournal!$A$1:$NTR$890,COLUMN(HeadJournal!G$1),0),"")</f>
        <v>45788</v>
      </c>
      <c r="F4602" s="95" t="str">
        <f t="shared" si="352"/>
        <v>2025 05</v>
      </c>
      <c r="G4602" s="97" t="s">
        <v>5</v>
      </c>
      <c r="H4602" s="161" t="s">
        <v>2898</v>
      </c>
      <c r="I4602" s="161" t="s">
        <v>2491</v>
      </c>
      <c r="J4602" s="97" t="s">
        <v>3581</v>
      </c>
      <c r="K4602" s="29">
        <v>7.34</v>
      </c>
      <c r="L4602" s="29">
        <v>-2.2000000000000002</v>
      </c>
      <c r="M4602" s="30">
        <f>IFERROR(VLOOKUP($A4602,HeadJournal!$A$1:$J$890,COLUMN(HeadJournal!I$1),0)*($K4602+$L4602)/(SUMIF($A:$A,$A4602,$K:$K)+SUMIF($A:$A,$A4602,$L:$L)),0)</f>
        <v>-0.26203286606814719</v>
      </c>
      <c r="N4602" s="30">
        <f>IFERROR((VLOOKUP($A4602,HeadJournal!$A$1:$K$890,COLUMN(HeadJournal!K$1),0)-VLOOKUP($A4602,HeadJournal!$A$1:$K$890,COLUMN(HeadJournal!J$1),0))*($K4602+$L4602)/(SUMIF($A:$A,$A4602,$K:$K)+SUMIF($A:$A,$A4602,$L:$L)),0)</f>
        <v>-7.6698475598402147E-16</v>
      </c>
      <c r="O4602" s="30">
        <f>IFERROR((VLOOKUP($A4602,HeadJournal!$A$1:$L$890,COLUMN(HeadJournal!L$1),0)*($K4602+$L4602)/(SUMIF($A:$A,$A4602,$K:$K)+SUMIF($A:$A,$A4602,$L:$L)))/VLOOKUP($A4602,HeadJournal!$A$1:$L$890,COLUMN(HeadJournal!H$1),0),0)</f>
        <v>0.16908900700570723</v>
      </c>
      <c r="P4602" s="30">
        <f>IFERROR(SUM(K4602:O4602)*VLOOKUP($A4602,HeadJournal!$A$1:$L$890,COLUMN(HeadJournal!H$1),0),0)</f>
        <v>467.18328135664399</v>
      </c>
      <c r="Q4602" s="29">
        <v>1300</v>
      </c>
      <c r="R4602" s="31">
        <v>46065</v>
      </c>
      <c r="S4602" s="31" t="s">
        <v>4996</v>
      </c>
      <c r="T4602" s="95" t="str">
        <f t="shared" si="353"/>
        <v>2026 02</v>
      </c>
      <c r="U4602" s="32">
        <f t="shared" si="350"/>
        <v>832.81671864335601</v>
      </c>
      <c r="V4602" s="22">
        <f t="shared" si="351"/>
        <v>1.7826338224795986</v>
      </c>
      <c r="X4602" s="33"/>
      <c r="Y4602" s="33"/>
    </row>
    <row r="4603" spans="1:25" x14ac:dyDescent="0.2">
      <c r="A4603" s="93" t="s">
        <v>3554</v>
      </c>
      <c r="B4603" s="94" t="str">
        <f>IFERROR(VLOOKUP($A4603,HeadJournal!$A$1:$NTR$890,COLUMN(HeadJournal!B$1),0),"")</f>
        <v>720000675438</v>
      </c>
      <c r="C4603" s="94" t="str">
        <f>IFERROR(VLOOKUP($A4603,HeadJournal!$A$1:$NTR$890,COLUMN(HeadJournal!C$1),0),"")</f>
        <v>iHerb_OA CZN6870</v>
      </c>
      <c r="D4603" s="125" t="str">
        <f>IFERROR(VLOOKUP($A4603,HeadJournal!$A$1:$NTR$890,COLUMN(HeadJournal!D$1),0),"")</f>
        <v>Доставлен</v>
      </c>
      <c r="E4603" s="95">
        <f>IFERROR(VLOOKUP($A4603,HeadJournal!$A$1:$NTR$890,COLUMN(HeadJournal!G$1),0),"")</f>
        <v>45788</v>
      </c>
      <c r="F4603" s="95" t="str">
        <f t="shared" si="352"/>
        <v>2025 05</v>
      </c>
      <c r="G4603" s="97" t="s">
        <v>5</v>
      </c>
      <c r="H4603" s="161" t="s">
        <v>2898</v>
      </c>
      <c r="I4603" s="161" t="s">
        <v>2491</v>
      </c>
      <c r="J4603" s="97" t="s">
        <v>3581</v>
      </c>
      <c r="K4603" s="29">
        <v>7.34</v>
      </c>
      <c r="L4603" s="29">
        <v>-2.2000000000000002</v>
      </c>
      <c r="M4603" s="30">
        <f>IFERROR(VLOOKUP($A4603,HeadJournal!$A$1:$J$890,COLUMN(HeadJournal!I$1),0)*($K4603+$L4603)/(SUMIF($A:$A,$A4603,$K:$K)+SUMIF($A:$A,$A4603,$L:$L)),0)</f>
        <v>-0.26203286606814719</v>
      </c>
      <c r="N4603" s="30">
        <f>IFERROR((VLOOKUP($A4603,HeadJournal!$A$1:$K$890,COLUMN(HeadJournal!K$1),0)-VLOOKUP($A4603,HeadJournal!$A$1:$K$890,COLUMN(HeadJournal!J$1),0))*($K4603+$L4603)/(SUMIF($A:$A,$A4603,$K:$K)+SUMIF($A:$A,$A4603,$L:$L)),0)</f>
        <v>-7.6698475598402147E-16</v>
      </c>
      <c r="O4603" s="30">
        <f>IFERROR((VLOOKUP($A4603,HeadJournal!$A$1:$L$890,COLUMN(HeadJournal!L$1),0)*($K4603+$L4603)/(SUMIF($A:$A,$A4603,$K:$K)+SUMIF($A:$A,$A4603,$L:$L)))/VLOOKUP($A4603,HeadJournal!$A$1:$L$890,COLUMN(HeadJournal!H$1),0),0)</f>
        <v>0.16908900700570723</v>
      </c>
      <c r="P4603" s="30">
        <f>IFERROR(SUM(K4603:O4603)*VLOOKUP($A4603,HeadJournal!$A$1:$L$890,COLUMN(HeadJournal!H$1),0),0)</f>
        <v>467.18328135664399</v>
      </c>
      <c r="Q4603" s="29"/>
      <c r="R4603" s="31"/>
      <c r="S4603" s="31"/>
      <c r="T4603" s="95" t="str">
        <f t="shared" si="353"/>
        <v/>
      </c>
      <c r="U4603" s="32">
        <f t="shared" si="350"/>
        <v>-467.18328135664399</v>
      </c>
      <c r="V4603" s="22" t="str">
        <f t="shared" si="351"/>
        <v/>
      </c>
      <c r="X4603" s="33"/>
      <c r="Y4603" s="33"/>
    </row>
    <row r="4604" spans="1:25" x14ac:dyDescent="0.2">
      <c r="A4604" s="93" t="s">
        <v>3554</v>
      </c>
      <c r="B4604" s="94" t="str">
        <f>IFERROR(VLOOKUP($A4604,HeadJournal!$A$1:$NTR$890,COLUMN(HeadJournal!B$1),0),"")</f>
        <v>720000675438</v>
      </c>
      <c r="C4604" s="94" t="str">
        <f>IFERROR(VLOOKUP($A4604,HeadJournal!$A$1:$NTR$890,COLUMN(HeadJournal!C$1),0),"")</f>
        <v>iHerb_OA CZN6870</v>
      </c>
      <c r="D4604" s="125" t="str">
        <f>IFERROR(VLOOKUP($A4604,HeadJournal!$A$1:$NTR$890,COLUMN(HeadJournal!D$1),0),"")</f>
        <v>Доставлен</v>
      </c>
      <c r="E4604" s="95">
        <f>IFERROR(VLOOKUP($A4604,HeadJournal!$A$1:$NTR$890,COLUMN(HeadJournal!G$1),0),"")</f>
        <v>45788</v>
      </c>
      <c r="F4604" s="95" t="str">
        <f t="shared" si="352"/>
        <v>2025 05</v>
      </c>
      <c r="G4604" s="97" t="s">
        <v>5</v>
      </c>
      <c r="H4604" s="161" t="s">
        <v>2654</v>
      </c>
      <c r="I4604" s="161" t="s">
        <v>2451</v>
      </c>
      <c r="J4604" s="97" t="s">
        <v>2655</v>
      </c>
      <c r="K4604" s="29">
        <v>15.07</v>
      </c>
      <c r="L4604" s="29">
        <v>-1.51</v>
      </c>
      <c r="M4604" s="30">
        <f>IFERROR(VLOOKUP($A4604,HeadJournal!$A$1:$J$890,COLUMN(HeadJournal!I$1),0)*($K4604+$L4604)/(SUMIF($A:$A,$A4604,$K:$K)+SUMIF($A:$A,$A4604,$L:$L)),0)</f>
        <v>-0.69127736651441174</v>
      </c>
      <c r="N4604" s="30">
        <f>IFERROR((VLOOKUP($A4604,HeadJournal!$A$1:$K$890,COLUMN(HeadJournal!K$1),0)-VLOOKUP($A4604,HeadJournal!$A$1:$K$890,COLUMN(HeadJournal!J$1),0))*($K4604+$L4604)/(SUMIF($A:$A,$A4604,$K:$K)+SUMIF($A:$A,$A4604,$L:$L)),0)</f>
        <v>-2.0234072550862513E-15</v>
      </c>
      <c r="O4604" s="30">
        <f>IFERROR((VLOOKUP($A4604,HeadJournal!$A$1:$L$890,COLUMN(HeadJournal!L$1),0)*($K4604+$L4604)/(SUMIF($A:$A,$A4604,$K:$K)+SUMIF($A:$A,$A4604,$L:$L)))/VLOOKUP($A4604,HeadJournal!$A$1:$L$890,COLUMN(HeadJournal!H$1),0),0)</f>
        <v>0.44607917023295529</v>
      </c>
      <c r="P4604" s="30">
        <f>IFERROR(SUM(K4604:O4604)*VLOOKUP($A4604,HeadJournal!$A$1:$L$890,COLUMN(HeadJournal!H$1),0),0)</f>
        <v>1232.4913025673334</v>
      </c>
      <c r="Q4604" s="29">
        <v>2300</v>
      </c>
      <c r="R4604" s="31">
        <v>46086</v>
      </c>
      <c r="S4604" s="31"/>
      <c r="T4604" s="95" t="str">
        <f t="shared" si="353"/>
        <v>2026 03</v>
      </c>
      <c r="U4604" s="32">
        <f t="shared" si="350"/>
        <v>1067.5086974326666</v>
      </c>
      <c r="V4604" s="22">
        <f t="shared" si="351"/>
        <v>0.86613892950725024</v>
      </c>
      <c r="X4604" s="33"/>
      <c r="Y4604" s="33"/>
    </row>
    <row r="4605" spans="1:25" x14ac:dyDescent="0.2">
      <c r="A4605" s="93" t="s">
        <v>3554</v>
      </c>
      <c r="B4605" s="94" t="str">
        <f>IFERROR(VLOOKUP($A4605,HeadJournal!$A$1:$NTR$890,COLUMN(HeadJournal!B$1),0),"")</f>
        <v>720000675438</v>
      </c>
      <c r="C4605" s="94" t="str">
        <f>IFERROR(VLOOKUP($A4605,HeadJournal!$A$1:$NTR$890,COLUMN(HeadJournal!C$1),0),"")</f>
        <v>iHerb_OA CZN6870</v>
      </c>
      <c r="D4605" s="125" t="str">
        <f>IFERROR(VLOOKUP($A4605,HeadJournal!$A$1:$NTR$890,COLUMN(HeadJournal!D$1),0),"")</f>
        <v>Доставлен</v>
      </c>
      <c r="E4605" s="95">
        <f>IFERROR(VLOOKUP($A4605,HeadJournal!$A$1:$NTR$890,COLUMN(HeadJournal!G$1),0),"")</f>
        <v>45788</v>
      </c>
      <c r="F4605" s="95" t="str">
        <f t="shared" si="352"/>
        <v>2025 05</v>
      </c>
      <c r="G4605" s="97" t="s">
        <v>7</v>
      </c>
      <c r="H4605" s="161" t="s">
        <v>3582</v>
      </c>
      <c r="I4605" s="161" t="s">
        <v>3583</v>
      </c>
      <c r="J4605" s="97" t="s">
        <v>3584</v>
      </c>
      <c r="K4605" s="29">
        <v>15.91</v>
      </c>
      <c r="L4605" s="29">
        <v>-3.18</v>
      </c>
      <c r="M4605" s="30">
        <f>IFERROR(VLOOKUP($A4605,HeadJournal!$A$1:$J$890,COLUMN(HeadJournal!I$1),0)*($K4605+$L4605)/(SUMIF($A:$A,$A4605,$K:$K)+SUMIF($A:$A,$A4605,$L:$L)),0)</f>
        <v>-0.64896466635165639</v>
      </c>
      <c r="N4605" s="30">
        <f>IFERROR((VLOOKUP($A4605,HeadJournal!$A$1:$K$890,COLUMN(HeadJournal!K$1),0)-VLOOKUP($A4605,HeadJournal!$A$1:$K$890,COLUMN(HeadJournal!J$1),0))*($K4605+$L4605)/(SUMIF($A:$A,$A4605,$K:$K)+SUMIF($A:$A,$A4605,$L:$L)),0)</f>
        <v>-1.8995556310654853E-15</v>
      </c>
      <c r="O4605" s="30">
        <f>IFERROR((VLOOKUP($A4605,HeadJournal!$A$1:$L$890,COLUMN(HeadJournal!L$1),0)*($K4605+$L4605)/(SUMIF($A:$A,$A4605,$K:$K)+SUMIF($A:$A,$A4605,$L:$L)))/VLOOKUP($A4605,HeadJournal!$A$1:$L$890,COLUMN(HeadJournal!H$1),0),0)</f>
        <v>0.41877491423787033</v>
      </c>
      <c r="P4605" s="30">
        <f>IFERROR(SUM(K4605:O4605)*VLOOKUP($A4605,HeadJournal!$A$1:$L$890,COLUMN(HeadJournal!H$1),0),0)</f>
        <v>1157.051200714023</v>
      </c>
      <c r="Q4605" s="29"/>
      <c r="R4605" s="31"/>
      <c r="S4605" s="31"/>
      <c r="T4605" s="95" t="str">
        <f t="shared" si="353"/>
        <v/>
      </c>
      <c r="U4605" s="32">
        <f t="shared" si="350"/>
        <v>-1157.051200714023</v>
      </c>
      <c r="V4605" s="22" t="str">
        <f t="shared" si="351"/>
        <v/>
      </c>
      <c r="X4605" s="33"/>
      <c r="Y4605" s="33"/>
    </row>
    <row r="4606" spans="1:25" x14ac:dyDescent="0.2">
      <c r="A4606" s="93" t="s">
        <v>3556</v>
      </c>
      <c r="B4606" s="94" t="str">
        <f>IFERROR(VLOOKUP($A4606,HeadJournal!$A$1:$NTR$890,COLUMN(HeadJournal!B$1),0),"")</f>
        <v>720000672400</v>
      </c>
      <c r="C4606" s="94" t="str">
        <f>IFERROR(VLOOKUP($A4606,HeadJournal!$A$1:$NTR$890,COLUMN(HeadJournal!C$1),0),"")</f>
        <v>iHerb_AV CYG0792</v>
      </c>
      <c r="D4606" s="125" t="str">
        <f>IFERROR(VLOOKUP($A4606,HeadJournal!$A$1:$NTR$890,COLUMN(HeadJournal!D$1),0),"")</f>
        <v>Доставлен</v>
      </c>
      <c r="E4606" s="95">
        <f>IFERROR(VLOOKUP($A4606,HeadJournal!$A$1:$NTR$890,COLUMN(HeadJournal!G$1),0),"")</f>
        <v>45784</v>
      </c>
      <c r="F4606" s="95" t="str">
        <f t="shared" si="352"/>
        <v>2025 05</v>
      </c>
      <c r="G4606" s="97" t="s">
        <v>5</v>
      </c>
      <c r="H4606" s="161" t="s">
        <v>2473</v>
      </c>
      <c r="I4606" s="161" t="s">
        <v>2005</v>
      </c>
      <c r="J4606" s="97" t="s">
        <v>2474</v>
      </c>
      <c r="K4606" s="29">
        <v>26.18</v>
      </c>
      <c r="L4606" s="29">
        <v>-2.62</v>
      </c>
      <c r="M4606" s="30">
        <f>IFERROR(VLOOKUP($A4606,HeadJournal!$A$1:$J$890,COLUMN(HeadJournal!I$1),0)*($K4606+$L4606)/(SUMIF($A:$A,$A4606,$K:$K)+SUMIF($A:$A,$A4606,$L:$L)),0)</f>
        <v>-1.1055780228758167</v>
      </c>
      <c r="N4606" s="30">
        <f>IFERROR((VLOOKUP($A4606,HeadJournal!$A$1:$K$890,COLUMN(HeadJournal!K$1),0)-VLOOKUP($A4606,HeadJournal!$A$1:$K$890,COLUMN(HeadJournal!J$1),0))*($K4606+$L4606)/(SUMIF($A:$A,$A4606,$K:$K)+SUMIF($A:$A,$A4606,$L:$L)),0)</f>
        <v>0</v>
      </c>
      <c r="O4606" s="30">
        <f>IFERROR((VLOOKUP($A4606,HeadJournal!$A$1:$L$890,COLUMN(HeadJournal!L$1),0)*($K4606+$L4606)/(SUMIF($A:$A,$A4606,$K:$K)+SUMIF($A:$A,$A4606,$L:$L)))/VLOOKUP($A4606,HeadJournal!$A$1:$L$890,COLUMN(HeadJournal!H$1),0),0)</f>
        <v>0.68315990421949435</v>
      </c>
      <c r="P4606" s="30">
        <f>IFERROR(SUM(K4606:O4606)*VLOOKUP($A4606,HeadJournal!$A$1:$L$890,COLUMN(HeadJournal!H$1),0),0)</f>
        <v>2159.4609497549018</v>
      </c>
      <c r="Q4606" s="29">
        <v>3000</v>
      </c>
      <c r="R4606" s="31">
        <v>45808</v>
      </c>
      <c r="S4606" s="31" t="s">
        <v>3121</v>
      </c>
      <c r="T4606" s="95" t="str">
        <f t="shared" si="353"/>
        <v>2025 05</v>
      </c>
      <c r="U4606" s="32">
        <f t="shared" si="350"/>
        <v>840.53905024509822</v>
      </c>
      <c r="V4606" s="22">
        <f t="shared" si="351"/>
        <v>0.38923558693686922</v>
      </c>
      <c r="X4606" s="33"/>
      <c r="Y4606" s="33"/>
    </row>
    <row r="4607" spans="1:25" x14ac:dyDescent="0.2">
      <c r="A4607" s="93" t="s">
        <v>3556</v>
      </c>
      <c r="B4607" s="94" t="str">
        <f>IFERROR(VLOOKUP($A4607,HeadJournal!$A$1:$NTR$890,COLUMN(HeadJournal!B$1),0),"")</f>
        <v>720000672400</v>
      </c>
      <c r="C4607" s="94" t="str">
        <f>IFERROR(VLOOKUP($A4607,HeadJournal!$A$1:$NTR$890,COLUMN(HeadJournal!C$1),0),"")</f>
        <v>iHerb_AV CYG0792</v>
      </c>
      <c r="D4607" s="125" t="str">
        <f>IFERROR(VLOOKUP($A4607,HeadJournal!$A$1:$NTR$890,COLUMN(HeadJournal!D$1),0),"")</f>
        <v>Доставлен</v>
      </c>
      <c r="E4607" s="95">
        <f>IFERROR(VLOOKUP($A4607,HeadJournal!$A$1:$NTR$890,COLUMN(HeadJournal!G$1),0),"")</f>
        <v>45784</v>
      </c>
      <c r="F4607" s="95" t="str">
        <f t="shared" si="352"/>
        <v>2025 05</v>
      </c>
      <c r="G4607" s="97" t="s">
        <v>5</v>
      </c>
      <c r="H4607" s="161" t="s">
        <v>3047</v>
      </c>
      <c r="I4607" s="161" t="s">
        <v>3048</v>
      </c>
      <c r="J4607" s="97" t="s">
        <v>3049</v>
      </c>
      <c r="K4607" s="29">
        <v>8.0399999999999991</v>
      </c>
      <c r="L4607" s="29">
        <v>-0.8</v>
      </c>
      <c r="M4607" s="30">
        <f>IFERROR(VLOOKUP($A4607,HeadJournal!$A$1:$J$890,COLUMN(HeadJournal!I$1),0)*($K4607+$L4607)/(SUMIF($A:$A,$A4607,$K:$K)+SUMIF($A:$A,$A4607,$L:$L)),0)</f>
        <v>-0.3397446895424836</v>
      </c>
      <c r="N4607" s="30">
        <f>IFERROR((VLOOKUP($A4607,HeadJournal!$A$1:$K$890,COLUMN(HeadJournal!K$1),0)-VLOOKUP($A4607,HeadJournal!$A$1:$K$890,COLUMN(HeadJournal!J$1),0))*($K4607+$L4607)/(SUMIF($A:$A,$A4607,$K:$K)+SUMIF($A:$A,$A4607,$L:$L)),0)</f>
        <v>0</v>
      </c>
      <c r="O4607" s="30">
        <f>IFERROR((VLOOKUP($A4607,HeadJournal!$A$1:$L$890,COLUMN(HeadJournal!L$1),0)*($K4607+$L4607)/(SUMIF($A:$A,$A4607,$K:$K)+SUMIF($A:$A,$A4607,$L:$L)))/VLOOKUP($A4607,HeadJournal!$A$1:$L$890,COLUMN(HeadJournal!H$1),0),0)</f>
        <v>0.20993538652585483</v>
      </c>
      <c r="P4607" s="30">
        <f>IFERROR(SUM(K4607:O4607)*VLOOKUP($A4607,HeadJournal!$A$1:$L$890,COLUMN(HeadJournal!H$1),0),0)</f>
        <v>663.60344975490182</v>
      </c>
      <c r="Q4607" s="29">
        <v>1250</v>
      </c>
      <c r="R4607" s="31">
        <v>45808</v>
      </c>
      <c r="S4607" s="31" t="s">
        <v>3121</v>
      </c>
      <c r="T4607" s="95" t="str">
        <f t="shared" si="353"/>
        <v>2025 05</v>
      </c>
      <c r="U4607" s="32">
        <f t="shared" si="350"/>
        <v>586.39655024509818</v>
      </c>
      <c r="V4607" s="22">
        <f t="shared" si="351"/>
        <v>0.88365506608152866</v>
      </c>
      <c r="X4607" s="33"/>
      <c r="Y4607" s="33"/>
    </row>
    <row r="4608" spans="1:25" x14ac:dyDescent="0.2">
      <c r="A4608" s="93" t="s">
        <v>3556</v>
      </c>
      <c r="B4608" s="94" t="str">
        <f>IFERROR(VLOOKUP($A4608,HeadJournal!$A$1:$NTR$890,COLUMN(HeadJournal!B$1),0),"")</f>
        <v>720000672400</v>
      </c>
      <c r="C4608" s="94" t="str">
        <f>IFERROR(VLOOKUP($A4608,HeadJournal!$A$1:$NTR$890,COLUMN(HeadJournal!C$1),0),"")</f>
        <v>iHerb_AV CYG0792</v>
      </c>
      <c r="D4608" s="125" t="str">
        <f>IFERROR(VLOOKUP($A4608,HeadJournal!$A$1:$NTR$890,COLUMN(HeadJournal!D$1),0),"")</f>
        <v>Доставлен</v>
      </c>
      <c r="E4608" s="95">
        <f>IFERROR(VLOOKUP($A4608,HeadJournal!$A$1:$NTR$890,COLUMN(HeadJournal!G$1),0),"")</f>
        <v>45784</v>
      </c>
      <c r="F4608" s="95" t="str">
        <f t="shared" si="352"/>
        <v>2025 05</v>
      </c>
      <c r="G4608" s="97" t="s">
        <v>5</v>
      </c>
      <c r="H4608" s="161" t="s">
        <v>3585</v>
      </c>
      <c r="I4608" s="161" t="s">
        <v>2052</v>
      </c>
      <c r="J4608" s="97" t="s">
        <v>3586</v>
      </c>
      <c r="K4608" s="29">
        <v>45.22</v>
      </c>
      <c r="L4608" s="29">
        <v>-13.57</v>
      </c>
      <c r="M4608" s="30">
        <f>IFERROR(VLOOKUP($A4608,HeadJournal!$A$1:$J$890,COLUMN(HeadJournal!I$1),0)*($K4608+$L4608)/(SUMIF($A:$A,$A4608,$K:$K)+SUMIF($A:$A,$A4608,$L:$L)),0)</f>
        <v>-1.4852098651960783</v>
      </c>
      <c r="N4608" s="30">
        <f>IFERROR((VLOOKUP($A4608,HeadJournal!$A$1:$K$890,COLUMN(HeadJournal!K$1),0)-VLOOKUP($A4608,HeadJournal!$A$1:$K$890,COLUMN(HeadJournal!J$1),0))*($K4608+$L4608)/(SUMIF($A:$A,$A4608,$K:$K)+SUMIF($A:$A,$A4608,$L:$L)),0)</f>
        <v>0</v>
      </c>
      <c r="O4608" s="30">
        <f>IFERROR((VLOOKUP($A4608,HeadJournal!$A$1:$L$890,COLUMN(HeadJournal!L$1),0)*($K4608+$L4608)/(SUMIF($A:$A,$A4608,$K:$K)+SUMIF($A:$A,$A4608,$L:$L)))/VLOOKUP($A4608,HeadJournal!$A$1:$L$890,COLUMN(HeadJournal!H$1),0),0)</f>
        <v>0.91774240104189309</v>
      </c>
      <c r="P4608" s="30">
        <f>IFERROR(SUM(K4608:O4608)*VLOOKUP($A4608,HeadJournal!$A$1:$L$890,COLUMN(HeadJournal!H$1),0),0)</f>
        <v>2900.9736443014704</v>
      </c>
      <c r="Q4608" s="29">
        <v>4800</v>
      </c>
      <c r="R4608" s="31">
        <v>45808</v>
      </c>
      <c r="S4608" s="31" t="s">
        <v>3220</v>
      </c>
      <c r="T4608" s="95" t="str">
        <f t="shared" si="353"/>
        <v>2025 05</v>
      </c>
      <c r="U4608" s="32">
        <f t="shared" si="350"/>
        <v>1899.0263556985296</v>
      </c>
      <c r="V4608" s="22">
        <f t="shared" si="351"/>
        <v>0.65461689368632614</v>
      </c>
      <c r="X4608" s="33"/>
      <c r="Y4608" s="33"/>
    </row>
    <row r="4609" spans="1:25" x14ac:dyDescent="0.2">
      <c r="A4609" s="93" t="s">
        <v>3556</v>
      </c>
      <c r="B4609" s="94" t="str">
        <f>IFERROR(VLOOKUP($A4609,HeadJournal!$A$1:$NTR$890,COLUMN(HeadJournal!B$1),0),"")</f>
        <v>720000672400</v>
      </c>
      <c r="C4609" s="94" t="str">
        <f>IFERROR(VLOOKUP($A4609,HeadJournal!$A$1:$NTR$890,COLUMN(HeadJournal!C$1),0),"")</f>
        <v>iHerb_AV CYG0792</v>
      </c>
      <c r="D4609" s="125" t="str">
        <f>IFERROR(VLOOKUP($A4609,HeadJournal!$A$1:$NTR$890,COLUMN(HeadJournal!D$1),0),"")</f>
        <v>Доставлен</v>
      </c>
      <c r="E4609" s="95">
        <f>IFERROR(VLOOKUP($A4609,HeadJournal!$A$1:$NTR$890,COLUMN(HeadJournal!G$1),0),"")</f>
        <v>45784</v>
      </c>
      <c r="F4609" s="95" t="str">
        <f t="shared" si="352"/>
        <v>2025 05</v>
      </c>
      <c r="G4609" s="97" t="s">
        <v>5</v>
      </c>
      <c r="H4609" s="161" t="s">
        <v>3587</v>
      </c>
      <c r="I4609" s="161" t="s">
        <v>2657</v>
      </c>
      <c r="J4609" s="97" t="s">
        <v>3588</v>
      </c>
      <c r="K4609" s="29">
        <v>21.21</v>
      </c>
      <c r="L4609" s="29">
        <v>-2.12</v>
      </c>
      <c r="M4609" s="30">
        <f>IFERROR(VLOOKUP($A4609,HeadJournal!$A$1:$J$890,COLUMN(HeadJournal!I$1),0)*($K4609+$L4609)/(SUMIF($A:$A,$A4609,$K:$K)+SUMIF($A:$A,$A4609,$L:$L)),0)</f>
        <v>-0.89581852532679729</v>
      </c>
      <c r="N4609" s="30">
        <f>IFERROR((VLOOKUP($A4609,HeadJournal!$A$1:$K$890,COLUMN(HeadJournal!K$1),0)-VLOOKUP($A4609,HeadJournal!$A$1:$K$890,COLUMN(HeadJournal!J$1),0))*($K4609+$L4609)/(SUMIF($A:$A,$A4609,$K:$K)+SUMIF($A:$A,$A4609,$L:$L)),0)</f>
        <v>0</v>
      </c>
      <c r="O4609" s="30">
        <f>IFERROR((VLOOKUP($A4609,HeadJournal!$A$1:$L$890,COLUMN(HeadJournal!L$1),0)*($K4609+$L4609)/(SUMIF($A:$A,$A4609,$K:$K)+SUMIF($A:$A,$A4609,$L:$L)))/VLOOKUP($A4609,HeadJournal!$A$1:$L$890,COLUMN(HeadJournal!H$1),0),0)</f>
        <v>0.55354510066002338</v>
      </c>
      <c r="P4609" s="30">
        <f>IFERROR(SUM(K4609:O4609)*VLOOKUP($A4609,HeadJournal!$A$1:$L$890,COLUMN(HeadJournal!H$1),0),0)</f>
        <v>1749.7499800857845</v>
      </c>
      <c r="Q4609" s="29">
        <v>2500</v>
      </c>
      <c r="R4609" s="31">
        <v>45808</v>
      </c>
      <c r="S4609" s="31" t="s">
        <v>3121</v>
      </c>
      <c r="T4609" s="95" t="str">
        <f t="shared" si="353"/>
        <v>2025 05</v>
      </c>
      <c r="U4609" s="32">
        <f t="shared" si="350"/>
        <v>750.2500199142155</v>
      </c>
      <c r="V4609" s="22">
        <f t="shared" si="351"/>
        <v>0.42877555562391445</v>
      </c>
      <c r="X4609" s="33"/>
      <c r="Y4609" s="33"/>
    </row>
    <row r="4610" spans="1:25" x14ac:dyDescent="0.2">
      <c r="A4610" s="93" t="s">
        <v>3556</v>
      </c>
      <c r="B4610" s="94" t="str">
        <f>IFERROR(VLOOKUP($A4610,HeadJournal!$A$1:$NTR$890,COLUMN(HeadJournal!B$1),0),"")</f>
        <v>720000672400</v>
      </c>
      <c r="C4610" s="94" t="str">
        <f>IFERROR(VLOOKUP($A4610,HeadJournal!$A$1:$NTR$890,COLUMN(HeadJournal!C$1),0),"")</f>
        <v>iHerb_AV CYG0792</v>
      </c>
      <c r="D4610" s="125" t="str">
        <f>IFERROR(VLOOKUP($A4610,HeadJournal!$A$1:$NTR$890,COLUMN(HeadJournal!D$1),0),"")</f>
        <v>Доставлен</v>
      </c>
      <c r="E4610" s="95">
        <f>IFERROR(VLOOKUP($A4610,HeadJournal!$A$1:$NTR$890,COLUMN(HeadJournal!G$1),0),"")</f>
        <v>45784</v>
      </c>
      <c r="F4610" s="95" t="str">
        <f t="shared" si="352"/>
        <v>2025 05</v>
      </c>
      <c r="G4610" s="97" t="s">
        <v>5</v>
      </c>
      <c r="H4610" s="161" t="s">
        <v>3589</v>
      </c>
      <c r="I4610" s="161" t="s">
        <v>2447</v>
      </c>
      <c r="J4610" s="97" t="s">
        <v>3590</v>
      </c>
      <c r="K4610" s="29">
        <v>83.44</v>
      </c>
      <c r="L4610" s="29">
        <v>-8.34</v>
      </c>
      <c r="M4610" s="30">
        <f>IFERROR(VLOOKUP($A4610,HeadJournal!$A$1:$J$890,COLUMN(HeadJournal!I$1),0)*($K4610+$L4610)/(SUMIF($A:$A,$A4610,$K:$K)+SUMIF($A:$A,$A4610,$L:$L)),0)</f>
        <v>-3.5241472630718946</v>
      </c>
      <c r="N4610" s="30">
        <f>IFERROR((VLOOKUP($A4610,HeadJournal!$A$1:$K$890,COLUMN(HeadJournal!K$1),0)-VLOOKUP($A4610,HeadJournal!$A$1:$K$890,COLUMN(HeadJournal!J$1),0))*($K4610+$L4610)/(SUMIF($A:$A,$A4610,$K:$K)+SUMIF($A:$A,$A4610,$L:$L)),0)</f>
        <v>0</v>
      </c>
      <c r="O4610" s="30">
        <f>IFERROR((VLOOKUP($A4610,HeadJournal!$A$1:$L$890,COLUMN(HeadJournal!L$1),0)*($K4610+$L4610)/(SUMIF($A:$A,$A4610,$K:$K)+SUMIF($A:$A,$A4610,$L:$L)))/VLOOKUP($A4610,HeadJournal!$A$1:$L$890,COLUMN(HeadJournal!H$1),0),0)</f>
        <v>2.1776446862005105</v>
      </c>
      <c r="P4610" s="30">
        <f>IFERROR(SUM(K4610:O4610)*VLOOKUP($A4610,HeadJournal!$A$1:$L$890,COLUMN(HeadJournal!H$1),0),0)</f>
        <v>6883.5109221813718</v>
      </c>
      <c r="Q4610" s="29">
        <v>8300</v>
      </c>
      <c r="R4610" s="31">
        <v>45808</v>
      </c>
      <c r="S4610" s="31" t="s">
        <v>3475</v>
      </c>
      <c r="T4610" s="95" t="str">
        <f t="shared" si="353"/>
        <v>2025 05</v>
      </c>
      <c r="U4610" s="32">
        <f t="shared" si="350"/>
        <v>1416.4890778186282</v>
      </c>
      <c r="V4610" s="22">
        <f t="shared" si="351"/>
        <v>0.20578002909157081</v>
      </c>
      <c r="X4610" s="33"/>
      <c r="Y4610" s="33"/>
    </row>
    <row r="4611" spans="1:25" x14ac:dyDescent="0.2">
      <c r="A4611" s="93" t="s">
        <v>3556</v>
      </c>
      <c r="B4611" s="94" t="str">
        <f>IFERROR(VLOOKUP($A4611,HeadJournal!$A$1:$NTR$890,COLUMN(HeadJournal!B$1),0),"")</f>
        <v>720000672400</v>
      </c>
      <c r="C4611" s="94" t="str">
        <f>IFERROR(VLOOKUP($A4611,HeadJournal!$A$1:$NTR$890,COLUMN(HeadJournal!C$1),0),"")</f>
        <v>iHerb_AV CYG0792</v>
      </c>
      <c r="D4611" s="125" t="str">
        <f>IFERROR(VLOOKUP($A4611,HeadJournal!$A$1:$NTR$890,COLUMN(HeadJournal!D$1),0),"")</f>
        <v>Доставлен</v>
      </c>
      <c r="E4611" s="95">
        <f>IFERROR(VLOOKUP($A4611,HeadJournal!$A$1:$NTR$890,COLUMN(HeadJournal!G$1),0),"")</f>
        <v>45784</v>
      </c>
      <c r="F4611" s="95" t="str">
        <f t="shared" si="352"/>
        <v>2025 05</v>
      </c>
      <c r="G4611" s="97" t="s">
        <v>5</v>
      </c>
      <c r="H4611" s="161" t="s">
        <v>2790</v>
      </c>
      <c r="I4611" s="97" t="s">
        <v>2666</v>
      </c>
      <c r="J4611" s="97" t="s">
        <v>4139</v>
      </c>
      <c r="K4611" s="29">
        <v>9.9600000000000009</v>
      </c>
      <c r="L4611" s="29">
        <v>-1</v>
      </c>
      <c r="M4611" s="30">
        <f>IFERROR(VLOOKUP($A4611,HeadJournal!$A$1:$J$890,COLUMN(HeadJournal!I$1),0)*($K4611+$L4611)/(SUMIF($A:$A,$A4611,$K:$K)+SUMIF($A:$A,$A4611,$L:$L)),0)</f>
        <v>-0.42045751633986927</v>
      </c>
      <c r="N4611" s="30">
        <f>IFERROR((VLOOKUP($A4611,HeadJournal!$A$1:$K$890,COLUMN(HeadJournal!K$1),0)-VLOOKUP($A4611,HeadJournal!$A$1:$K$890,COLUMN(HeadJournal!J$1),0))*($K4611+$L4611)/(SUMIF($A:$A,$A4611,$K:$K)+SUMIF($A:$A,$A4611,$L:$L)),0)</f>
        <v>0</v>
      </c>
      <c r="O4611" s="30">
        <f>IFERROR((VLOOKUP($A4611,HeadJournal!$A$1:$L$890,COLUMN(HeadJournal!L$1),0)*($K4611+$L4611)/(SUMIF($A:$A,$A4611,$K:$K)+SUMIF($A:$A,$A4611,$L:$L)))/VLOOKUP($A4611,HeadJournal!$A$1:$L$890,COLUMN(HeadJournal!H$1),0),0)</f>
        <v>0.25980953912591981</v>
      </c>
      <c r="P4611" s="30">
        <f>IFERROR(SUM(K4611:O4611)*VLOOKUP($A4611,HeadJournal!$A$1:$L$890,COLUMN(HeadJournal!H$1),0),0)</f>
        <v>821.25509803921568</v>
      </c>
      <c r="Q4611" s="29">
        <v>1700</v>
      </c>
      <c r="R4611" s="31">
        <v>45813</v>
      </c>
      <c r="S4611" s="31" t="s">
        <v>3121</v>
      </c>
      <c r="T4611" s="95" t="str">
        <f t="shared" si="353"/>
        <v>2025 06</v>
      </c>
      <c r="U4611" s="32">
        <f t="shared" ref="U4611:U6343" si="354">Q4611-P4611</f>
        <v>878.74490196078432</v>
      </c>
      <c r="V4611" s="22">
        <f t="shared" ref="V4611:V6343" si="355">IF(Q4611&lt;&gt;0,IFERROR(U4611/P4611,""),"")</f>
        <v>1.0700023708331652</v>
      </c>
      <c r="X4611" s="33"/>
      <c r="Y4611" s="33"/>
    </row>
    <row r="4612" spans="1:25" x14ac:dyDescent="0.2">
      <c r="A4612" s="93" t="s">
        <v>3556</v>
      </c>
      <c r="B4612" s="94" t="str">
        <f>IFERROR(VLOOKUP($A4612,HeadJournal!$A$1:$NTR$890,COLUMN(HeadJournal!B$1),0),"")</f>
        <v>720000672400</v>
      </c>
      <c r="C4612" s="94" t="str">
        <f>IFERROR(VLOOKUP($A4612,HeadJournal!$A$1:$NTR$890,COLUMN(HeadJournal!C$1),0),"")</f>
        <v>iHerb_AV CYG0792</v>
      </c>
      <c r="D4612" s="125" t="str">
        <f>IFERROR(VLOOKUP($A4612,HeadJournal!$A$1:$NTR$890,COLUMN(HeadJournal!D$1),0),"")</f>
        <v>Доставлен</v>
      </c>
      <c r="E4612" s="95">
        <f>IFERROR(VLOOKUP($A4612,HeadJournal!$A$1:$NTR$890,COLUMN(HeadJournal!G$1),0),"")</f>
        <v>45784</v>
      </c>
      <c r="F4612" s="95" t="str">
        <f t="shared" ref="F4612:F4675" si="356">IFERROR(TEXT(E4612, "ГГГГ ММ"),"")</f>
        <v>2025 05</v>
      </c>
      <c r="G4612" s="97" t="s">
        <v>5</v>
      </c>
      <c r="H4612" s="161" t="s">
        <v>2997</v>
      </c>
      <c r="I4612" s="161" t="s">
        <v>2102</v>
      </c>
      <c r="J4612" s="97" t="s">
        <v>2998</v>
      </c>
      <c r="K4612" s="29">
        <v>33.6</v>
      </c>
      <c r="L4612" s="29">
        <v>-3.36</v>
      </c>
      <c r="M4612" s="30">
        <f>IFERROR(VLOOKUP($A4612,HeadJournal!$A$1:$J$890,COLUMN(HeadJournal!I$1),0)*($K4612+$L4612)/(SUMIF($A:$A,$A4612,$K:$K)+SUMIF($A:$A,$A4612,$L:$L)),0)</f>
        <v>-1.4190441176470587</v>
      </c>
      <c r="N4612" s="30">
        <f>IFERROR((VLOOKUP($A4612,HeadJournal!$A$1:$K$890,COLUMN(HeadJournal!K$1),0)-VLOOKUP($A4612,HeadJournal!$A$1:$K$890,COLUMN(HeadJournal!J$1),0))*($K4612+$L4612)/(SUMIF($A:$A,$A4612,$K:$K)+SUMIF($A:$A,$A4612,$L:$L)),0)</f>
        <v>0</v>
      </c>
      <c r="O4612" s="30">
        <f>IFERROR((VLOOKUP($A4612,HeadJournal!$A$1:$L$890,COLUMN(HeadJournal!L$1),0)*($K4612+$L4612)/(SUMIF($A:$A,$A4612,$K:$K)+SUMIF($A:$A,$A4612,$L:$L)))/VLOOKUP($A4612,HeadJournal!$A$1:$L$890,COLUMN(HeadJournal!H$1),0),0)</f>
        <v>0.87685719454997935</v>
      </c>
      <c r="P4612" s="30">
        <f>IFERROR(SUM(K4612:O4612)*VLOOKUP($A4612,HeadJournal!$A$1:$L$890,COLUMN(HeadJournal!H$1),0),0)</f>
        <v>2771.7359558823532</v>
      </c>
      <c r="Q4612" s="29">
        <v>3800</v>
      </c>
      <c r="R4612" s="31">
        <v>45821</v>
      </c>
      <c r="S4612" s="31" t="s">
        <v>3121</v>
      </c>
      <c r="T4612" s="95" t="str">
        <f t="shared" ref="T4612:T4675" si="357">IF(R4612="","",TEXT(R4612,"ГГГГ ММ"))</f>
        <v>2025 06</v>
      </c>
      <c r="U4612" s="32">
        <f t="shared" si="354"/>
        <v>1028.2640441176468</v>
      </c>
      <c r="V4612" s="22">
        <f t="shared" si="355"/>
        <v>0.37098196238187836</v>
      </c>
      <c r="X4612" s="33"/>
      <c r="Y4612" s="33"/>
    </row>
    <row r="4613" spans="1:25" x14ac:dyDescent="0.2">
      <c r="A4613" s="93" t="s">
        <v>3591</v>
      </c>
      <c r="B4613" s="94">
        <f>IFERROR(VLOOKUP($A4613,HeadJournal!$A$1:$NTR$890,COLUMN(HeadJournal!B$1),0),"")</f>
        <v>0</v>
      </c>
      <c r="C4613" s="94" t="str">
        <f>IFERROR(VLOOKUP($A4613,HeadJournal!$A$1:$NTR$890,COLUMN(HeadJournal!C$1),0),"")</f>
        <v>Forever</v>
      </c>
      <c r="D4613" s="125" t="str">
        <f>IFERROR(VLOOKUP($A4613,HeadJournal!$A$1:$NTR$890,COLUMN(HeadJournal!D$1),0),"")</f>
        <v>Доставлен</v>
      </c>
      <c r="E4613" s="95">
        <f>IFERROR(VLOOKUP($A4613,HeadJournal!$A$1:$NTR$890,COLUMN(HeadJournal!G$1),0),"")</f>
        <v>45782</v>
      </c>
      <c r="F4613" s="95" t="str">
        <f t="shared" si="356"/>
        <v>2025 05</v>
      </c>
      <c r="G4613" s="97" t="s">
        <v>5</v>
      </c>
      <c r="H4613" s="161" t="s">
        <v>2525</v>
      </c>
      <c r="I4613" s="97" t="s">
        <v>1368</v>
      </c>
      <c r="J4613" s="97" t="s">
        <v>295</v>
      </c>
      <c r="K4613" s="29">
        <v>11919.833333333332</v>
      </c>
      <c r="L4613" s="29">
        <v>0</v>
      </c>
      <c r="M4613" s="30">
        <f>IFERROR(VLOOKUP($A4613,HeadJournal!$A$1:$J$890,COLUMN(HeadJournal!I$1),0)*($K4613+$L4613)/(SUMIF($A:$A,$A4613,$K:$K)+SUMIF($A:$A,$A4613,$L:$L)),0)</f>
        <v>0</v>
      </c>
      <c r="N4613" s="30">
        <f>IFERROR((VLOOKUP($A4613,HeadJournal!$A$1:$K$890,COLUMN(HeadJournal!K$1),0)-VLOOKUP($A4613,HeadJournal!$A$1:$K$890,COLUMN(HeadJournal!J$1),0))*($K4613+$L4613)/(SUMIF($A:$A,$A4613,$K:$K)+SUMIF($A:$A,$A4613,$L:$L)),0)</f>
        <v>0</v>
      </c>
      <c r="O4613" s="30">
        <f>IFERROR((VLOOKUP($A4613,HeadJournal!$A$1:$L$890,COLUMN(HeadJournal!L$1),0)*($K4613+$L4613)/(SUMIF($A:$A,$A4613,$K:$K)+SUMIF($A:$A,$A4613,$L:$L)))/VLOOKUP($A4613,HeadJournal!$A$1:$L$890,COLUMN(HeadJournal!H$1),0),0)</f>
        <v>688.31200332157289</v>
      </c>
      <c r="P4613" s="30">
        <f>IFERROR(SUM(K4613:O4613)*VLOOKUP($A4613,HeadJournal!$A$1:$L$890,COLUMN(HeadJournal!H$1),0),0)</f>
        <v>2269.4661605978827</v>
      </c>
      <c r="Q4613" s="29">
        <v>3000</v>
      </c>
      <c r="R4613" s="31">
        <v>45792</v>
      </c>
      <c r="S4613" s="31" t="s">
        <v>3475</v>
      </c>
      <c r="T4613" s="95" t="str">
        <f t="shared" si="357"/>
        <v>2025 05</v>
      </c>
      <c r="U4613" s="32">
        <f t="shared" si="354"/>
        <v>730.53383940211734</v>
      </c>
      <c r="V4613" s="22">
        <f t="shared" si="355"/>
        <v>0.32189677558781526</v>
      </c>
      <c r="X4613" s="33"/>
      <c r="Y4613" s="33"/>
    </row>
    <row r="4614" spans="1:25" x14ac:dyDescent="0.2">
      <c r="A4614" s="93" t="s">
        <v>3591</v>
      </c>
      <c r="B4614" s="94">
        <f>IFERROR(VLOOKUP($A4614,HeadJournal!$A$1:$NTR$890,COLUMN(HeadJournal!B$1),0),"")</f>
        <v>0</v>
      </c>
      <c r="C4614" s="94" t="str">
        <f>IFERROR(VLOOKUP($A4614,HeadJournal!$A$1:$NTR$890,COLUMN(HeadJournal!C$1),0),"")</f>
        <v>Forever</v>
      </c>
      <c r="D4614" s="125" t="str">
        <f>IFERROR(VLOOKUP($A4614,HeadJournal!$A$1:$NTR$890,COLUMN(HeadJournal!D$1),0),"")</f>
        <v>Доставлен</v>
      </c>
      <c r="E4614" s="95">
        <f>IFERROR(VLOOKUP($A4614,HeadJournal!$A$1:$NTR$890,COLUMN(HeadJournal!G$1),0),"")</f>
        <v>45782</v>
      </c>
      <c r="F4614" s="95" t="str">
        <f t="shared" si="356"/>
        <v>2025 05</v>
      </c>
      <c r="G4614" s="97" t="s">
        <v>5</v>
      </c>
      <c r="H4614" s="161" t="s">
        <v>2525</v>
      </c>
      <c r="I4614" s="97" t="s">
        <v>1368</v>
      </c>
      <c r="J4614" s="97" t="s">
        <v>295</v>
      </c>
      <c r="K4614" s="29">
        <v>11919.833333333332</v>
      </c>
      <c r="L4614" s="29">
        <v>0</v>
      </c>
      <c r="M4614" s="30">
        <f>IFERROR(VLOOKUP($A4614,HeadJournal!$A$1:$J$890,COLUMN(HeadJournal!I$1),0)*($K4614+$L4614)/(SUMIF($A:$A,$A4614,$K:$K)+SUMIF($A:$A,$A4614,$L:$L)),0)</f>
        <v>0</v>
      </c>
      <c r="N4614" s="30">
        <f>IFERROR((VLOOKUP($A4614,HeadJournal!$A$1:$K$890,COLUMN(HeadJournal!K$1),0)-VLOOKUP($A4614,HeadJournal!$A$1:$K$890,COLUMN(HeadJournal!J$1),0))*($K4614+$L4614)/(SUMIF($A:$A,$A4614,$K:$K)+SUMIF($A:$A,$A4614,$L:$L)),0)</f>
        <v>0</v>
      </c>
      <c r="O4614" s="30">
        <f>IFERROR((VLOOKUP($A4614,HeadJournal!$A$1:$L$890,COLUMN(HeadJournal!L$1),0)*($K4614+$L4614)/(SUMIF($A:$A,$A4614,$K:$K)+SUMIF($A:$A,$A4614,$L:$L)))/VLOOKUP($A4614,HeadJournal!$A$1:$L$890,COLUMN(HeadJournal!H$1),0),0)</f>
        <v>688.31200332157289</v>
      </c>
      <c r="P4614" s="30">
        <f>IFERROR(SUM(K4614:O4614)*VLOOKUP($A4614,HeadJournal!$A$1:$L$890,COLUMN(HeadJournal!H$1),0),0)</f>
        <v>2269.4661605978827</v>
      </c>
      <c r="Q4614" s="29">
        <v>3000</v>
      </c>
      <c r="R4614" s="31">
        <v>45815</v>
      </c>
      <c r="S4614" s="31" t="s">
        <v>3172</v>
      </c>
      <c r="T4614" s="95" t="str">
        <f t="shared" si="357"/>
        <v>2025 06</v>
      </c>
      <c r="U4614" s="32">
        <f t="shared" si="354"/>
        <v>730.53383940211734</v>
      </c>
      <c r="V4614" s="22">
        <f t="shared" si="355"/>
        <v>0.32189677558781526</v>
      </c>
      <c r="X4614" s="33"/>
      <c r="Y4614" s="33"/>
    </row>
    <row r="4615" spans="1:25" x14ac:dyDescent="0.2">
      <c r="A4615" s="93" t="s">
        <v>3591</v>
      </c>
      <c r="B4615" s="94">
        <f>IFERROR(VLOOKUP($A4615,HeadJournal!$A$1:$NTR$890,COLUMN(HeadJournal!B$1),0),"")</f>
        <v>0</v>
      </c>
      <c r="C4615" s="94" t="str">
        <f>IFERROR(VLOOKUP($A4615,HeadJournal!$A$1:$NTR$890,COLUMN(HeadJournal!C$1),0),"")</f>
        <v>Forever</v>
      </c>
      <c r="D4615" s="125" t="str">
        <f>IFERROR(VLOOKUP($A4615,HeadJournal!$A$1:$NTR$890,COLUMN(HeadJournal!D$1),0),"")</f>
        <v>Доставлен</v>
      </c>
      <c r="E4615" s="95">
        <f>IFERROR(VLOOKUP($A4615,HeadJournal!$A$1:$NTR$890,COLUMN(HeadJournal!G$1),0),"")</f>
        <v>45782</v>
      </c>
      <c r="F4615" s="95" t="str">
        <f t="shared" si="356"/>
        <v>2025 05</v>
      </c>
      <c r="G4615" s="97" t="s">
        <v>5</v>
      </c>
      <c r="H4615" s="161" t="s">
        <v>2525</v>
      </c>
      <c r="I4615" s="97" t="s">
        <v>1368</v>
      </c>
      <c r="J4615" s="97" t="s">
        <v>295</v>
      </c>
      <c r="K4615" s="29">
        <v>11919.833333333332</v>
      </c>
      <c r="L4615" s="29">
        <v>0</v>
      </c>
      <c r="M4615" s="30">
        <f>IFERROR(VLOOKUP($A4615,HeadJournal!$A$1:$J$890,COLUMN(HeadJournal!I$1),0)*($K4615+$L4615)/(SUMIF($A:$A,$A4615,$K:$K)+SUMIF($A:$A,$A4615,$L:$L)),0)</f>
        <v>0</v>
      </c>
      <c r="N4615" s="30">
        <f>IFERROR((VLOOKUP($A4615,HeadJournal!$A$1:$K$890,COLUMN(HeadJournal!K$1),0)-VLOOKUP($A4615,HeadJournal!$A$1:$K$890,COLUMN(HeadJournal!J$1),0))*($K4615+$L4615)/(SUMIF($A:$A,$A4615,$K:$K)+SUMIF($A:$A,$A4615,$L:$L)),0)</f>
        <v>0</v>
      </c>
      <c r="O4615" s="30">
        <f>IFERROR((VLOOKUP($A4615,HeadJournal!$A$1:$L$890,COLUMN(HeadJournal!L$1),0)*($K4615+$L4615)/(SUMIF($A:$A,$A4615,$K:$K)+SUMIF($A:$A,$A4615,$L:$L)))/VLOOKUP($A4615,HeadJournal!$A$1:$L$890,COLUMN(HeadJournal!H$1),0),0)</f>
        <v>688.31200332157289</v>
      </c>
      <c r="P4615" s="30">
        <f>IFERROR(SUM(K4615:O4615)*VLOOKUP($A4615,HeadJournal!$A$1:$L$890,COLUMN(HeadJournal!H$1),0),0)</f>
        <v>2269.4661605978827</v>
      </c>
      <c r="Q4615" s="29">
        <v>2269.4699999999998</v>
      </c>
      <c r="R4615" s="31"/>
      <c r="S4615" s="31"/>
      <c r="T4615" s="95" t="str">
        <f t="shared" si="357"/>
        <v/>
      </c>
      <c r="U4615" s="32">
        <f t="shared" si="354"/>
        <v>3.8394021171370696E-3</v>
      </c>
      <c r="V4615" s="22">
        <f t="shared" si="355"/>
        <v>1.6917644262761746E-6</v>
      </c>
      <c r="X4615" s="33"/>
      <c r="Y4615" s="33"/>
    </row>
    <row r="4616" spans="1:25" x14ac:dyDescent="0.2">
      <c r="A4616" s="93" t="s">
        <v>3591</v>
      </c>
      <c r="B4616" s="94">
        <f>IFERROR(VLOOKUP($A4616,HeadJournal!$A$1:$NTR$890,COLUMN(HeadJournal!B$1),0),"")</f>
        <v>0</v>
      </c>
      <c r="C4616" s="94" t="str">
        <f>IFERROR(VLOOKUP($A4616,HeadJournal!$A$1:$NTR$890,COLUMN(HeadJournal!C$1),0),"")</f>
        <v>Forever</v>
      </c>
      <c r="D4616" s="125" t="str">
        <f>IFERROR(VLOOKUP($A4616,HeadJournal!$A$1:$NTR$890,COLUMN(HeadJournal!D$1),0),"")</f>
        <v>Доставлен</v>
      </c>
      <c r="E4616" s="95">
        <f>IFERROR(VLOOKUP($A4616,HeadJournal!$A$1:$NTR$890,COLUMN(HeadJournal!G$1),0),"")</f>
        <v>45782</v>
      </c>
      <c r="F4616" s="95" t="str">
        <f t="shared" si="356"/>
        <v>2025 05</v>
      </c>
      <c r="G4616" s="96" t="s">
        <v>7</v>
      </c>
      <c r="H4616" s="161" t="s">
        <v>2526</v>
      </c>
      <c r="I4616" s="97" t="s">
        <v>1368</v>
      </c>
      <c r="J4616" s="97" t="s">
        <v>296</v>
      </c>
      <c r="K4616" s="29">
        <v>3515.3999999999996</v>
      </c>
      <c r="L4616" s="29">
        <v>0</v>
      </c>
      <c r="M4616" s="30">
        <f>IFERROR(VLOOKUP($A4616,HeadJournal!$A$1:$J$890,COLUMN(HeadJournal!I$1),0)*($K4616+$L4616)/(SUMIF($A:$A,$A4616,$K:$K)+SUMIF($A:$A,$A4616,$L:$L)),0)</f>
        <v>0</v>
      </c>
      <c r="N4616" s="30">
        <f>IFERROR((VLOOKUP($A4616,HeadJournal!$A$1:$K$890,COLUMN(HeadJournal!K$1),0)-VLOOKUP($A4616,HeadJournal!$A$1:$K$890,COLUMN(HeadJournal!J$1),0))*($K4616+$L4616)/(SUMIF($A:$A,$A4616,$K:$K)+SUMIF($A:$A,$A4616,$L:$L)),0)</f>
        <v>0</v>
      </c>
      <c r="O4616" s="30">
        <f>IFERROR((VLOOKUP($A4616,HeadJournal!$A$1:$L$890,COLUMN(HeadJournal!L$1),0)*($K4616+$L4616)/(SUMIF($A:$A,$A4616,$K:$K)+SUMIF($A:$A,$A4616,$L:$L)))/VLOOKUP($A4616,HeadJournal!$A$1:$L$890,COLUMN(HeadJournal!H$1),0),0)</f>
        <v>202.99713501111518</v>
      </c>
      <c r="P4616" s="30">
        <f>IFERROR(SUM(K4616:O4616)*VLOOKUP($A4616,HeadJournal!$A$1:$L$890,COLUMN(HeadJournal!H$1),0),0)</f>
        <v>669.31148430200062</v>
      </c>
      <c r="Q4616" s="29">
        <v>1000</v>
      </c>
      <c r="R4616" s="31">
        <v>45793</v>
      </c>
      <c r="S4616" s="31" t="s">
        <v>3121</v>
      </c>
      <c r="T4616" s="95" t="str">
        <f t="shared" si="357"/>
        <v>2025 05</v>
      </c>
      <c r="U4616" s="32">
        <f t="shared" si="354"/>
        <v>330.68851569799938</v>
      </c>
      <c r="V4616" s="22">
        <f t="shared" si="355"/>
        <v>0.49407267535960747</v>
      </c>
      <c r="X4616" s="33"/>
      <c r="Y4616" s="33"/>
    </row>
    <row r="4617" spans="1:25" x14ac:dyDescent="0.2">
      <c r="A4617" s="93" t="s">
        <v>3591</v>
      </c>
      <c r="B4617" s="94">
        <f>IFERROR(VLOOKUP($A4617,HeadJournal!$A$1:$NTR$890,COLUMN(HeadJournal!B$1),0),"")</f>
        <v>0</v>
      </c>
      <c r="C4617" s="94" t="str">
        <f>IFERROR(VLOOKUP($A4617,HeadJournal!$A$1:$NTR$890,COLUMN(HeadJournal!C$1),0),"")</f>
        <v>Forever</v>
      </c>
      <c r="D4617" s="125" t="str">
        <f>IFERROR(VLOOKUP($A4617,HeadJournal!$A$1:$NTR$890,COLUMN(HeadJournal!D$1),0),"")</f>
        <v>Доставлен</v>
      </c>
      <c r="E4617" s="95">
        <f>IFERROR(VLOOKUP($A4617,HeadJournal!$A$1:$NTR$890,COLUMN(HeadJournal!G$1),0),"")</f>
        <v>45782</v>
      </c>
      <c r="F4617" s="95" t="str">
        <f t="shared" si="356"/>
        <v>2025 05</v>
      </c>
      <c r="G4617" s="96" t="s">
        <v>7</v>
      </c>
      <c r="H4617" s="161" t="s">
        <v>3593</v>
      </c>
      <c r="I4617" s="97" t="s">
        <v>1368</v>
      </c>
      <c r="J4617" s="97" t="s">
        <v>299</v>
      </c>
      <c r="K4617" s="29">
        <v>9041.9</v>
      </c>
      <c r="L4617" s="29">
        <v>0</v>
      </c>
      <c r="M4617" s="30">
        <f>IFERROR(VLOOKUP($A4617,HeadJournal!$A$1:$J$890,COLUMN(HeadJournal!I$1),0)*($K4617+$L4617)/(SUMIF($A:$A,$A4617,$K:$K)+SUMIF($A:$A,$A4617,$L:$L)),0)</f>
        <v>0</v>
      </c>
      <c r="N4617" s="30">
        <f>IFERROR((VLOOKUP($A4617,HeadJournal!$A$1:$K$890,COLUMN(HeadJournal!K$1),0)-VLOOKUP($A4617,HeadJournal!$A$1:$K$890,COLUMN(HeadJournal!J$1),0))*($K4617+$L4617)/(SUMIF($A:$A,$A4617,$K:$K)+SUMIF($A:$A,$A4617,$L:$L)),0)</f>
        <v>0</v>
      </c>
      <c r="O4617" s="30">
        <f>IFERROR((VLOOKUP($A4617,HeadJournal!$A$1:$L$890,COLUMN(HeadJournal!L$1),0)*($K4617+$L4617)/(SUMIF($A:$A,$A4617,$K:$K)+SUMIF($A:$A,$A4617,$L:$L)))/VLOOKUP($A4617,HeadJournal!$A$1:$L$890,COLUMN(HeadJournal!H$1),0),0)</f>
        <v>522.12544662257562</v>
      </c>
      <c r="P4617" s="30">
        <f>IFERROR(SUM(K4617:O4617)*VLOOKUP($A4617,HeadJournal!$A$1:$L$890,COLUMN(HeadJournal!H$1),0),0)</f>
        <v>1721.5245803920636</v>
      </c>
      <c r="Q4617" s="29"/>
      <c r="R4617" s="31"/>
      <c r="S4617" s="31"/>
      <c r="T4617" s="95" t="str">
        <f t="shared" si="357"/>
        <v/>
      </c>
      <c r="U4617" s="32">
        <f t="shared" si="354"/>
        <v>-1721.5245803920636</v>
      </c>
      <c r="V4617" s="22" t="str">
        <f t="shared" si="355"/>
        <v/>
      </c>
      <c r="X4617" s="33"/>
      <c r="Y4617" s="33"/>
    </row>
    <row r="4618" spans="1:25" x14ac:dyDescent="0.2">
      <c r="A4618" s="93" t="s">
        <v>3591</v>
      </c>
      <c r="B4618" s="94">
        <f>IFERROR(VLOOKUP($A4618,HeadJournal!$A$1:$NTR$890,COLUMN(HeadJournal!B$1),0),"")</f>
        <v>0</v>
      </c>
      <c r="C4618" s="94" t="str">
        <f>IFERROR(VLOOKUP($A4618,HeadJournal!$A$1:$NTR$890,COLUMN(HeadJournal!C$1),0),"")</f>
        <v>Forever</v>
      </c>
      <c r="D4618" s="125" t="str">
        <f>IFERROR(VLOOKUP($A4618,HeadJournal!$A$1:$NTR$890,COLUMN(HeadJournal!D$1),0),"")</f>
        <v>Доставлен</v>
      </c>
      <c r="E4618" s="95">
        <f>IFERROR(VLOOKUP($A4618,HeadJournal!$A$1:$NTR$890,COLUMN(HeadJournal!G$1),0),"")</f>
        <v>45782</v>
      </c>
      <c r="F4618" s="95" t="str">
        <f t="shared" si="356"/>
        <v>2025 05</v>
      </c>
      <c r="G4618" s="97" t="s">
        <v>7</v>
      </c>
      <c r="H4618" s="161" t="s">
        <v>3594</v>
      </c>
      <c r="I4618" s="97" t="s">
        <v>1368</v>
      </c>
      <c r="J4618" s="97" t="s">
        <v>302</v>
      </c>
      <c r="K4618" s="29">
        <v>10566.5</v>
      </c>
      <c r="L4618" s="29">
        <v>0</v>
      </c>
      <c r="M4618" s="30">
        <f>IFERROR(VLOOKUP($A4618,HeadJournal!$A$1:$J$890,COLUMN(HeadJournal!I$1),0)*($K4618+$L4618)/(SUMIF($A:$A,$A4618,$K:$K)+SUMIF($A:$A,$A4618,$L:$L)),0)</f>
        <v>0</v>
      </c>
      <c r="N4618" s="30">
        <f>IFERROR((VLOOKUP($A4618,HeadJournal!$A$1:$K$890,COLUMN(HeadJournal!K$1),0)-VLOOKUP($A4618,HeadJournal!$A$1:$K$890,COLUMN(HeadJournal!J$1),0))*($K4618+$L4618)/(SUMIF($A:$A,$A4618,$K:$K)+SUMIF($A:$A,$A4618,$L:$L)),0)</f>
        <v>0</v>
      </c>
      <c r="O4618" s="30">
        <f>IFERROR((VLOOKUP($A4618,HeadJournal!$A$1:$L$890,COLUMN(HeadJournal!L$1),0)*($K4618+$L4618)/(SUMIF($A:$A,$A4618,$K:$K)+SUMIF($A:$A,$A4618,$L:$L)))/VLOOKUP($A4618,HeadJournal!$A$1:$L$890,COLUMN(HeadJournal!H$1),0),0)</f>
        <v>610.16363062381197</v>
      </c>
      <c r="P4618" s="30">
        <f>IFERROR(SUM(K4618:O4618)*VLOOKUP($A4618,HeadJournal!$A$1:$L$890,COLUMN(HeadJournal!H$1),0),0)</f>
        <v>2011.7994535122862</v>
      </c>
      <c r="Q4618" s="29"/>
      <c r="R4618" s="31"/>
      <c r="S4618" s="31"/>
      <c r="T4618" s="95" t="str">
        <f t="shared" si="357"/>
        <v/>
      </c>
      <c r="U4618" s="32">
        <f t="shared" si="354"/>
        <v>-2011.7994535122862</v>
      </c>
      <c r="V4618" s="22" t="str">
        <f t="shared" si="355"/>
        <v/>
      </c>
      <c r="X4618" s="33"/>
      <c r="Y4618" s="33"/>
    </row>
    <row r="4619" spans="1:25" x14ac:dyDescent="0.2">
      <c r="A4619" s="93" t="s">
        <v>3803</v>
      </c>
      <c r="B4619" s="94" t="str">
        <f>IFERROR(VLOOKUP($A4619,HeadJournal!$A$1:$NTR$890,COLUMN(HeadJournal!B$1),0),"")</f>
        <v>720000679446</v>
      </c>
      <c r="C4619" s="94" t="str">
        <f>IFERROR(VLOOKUP($A4619,HeadJournal!$A$1:$NTR$890,COLUMN(HeadJournal!C$1),0),"")</f>
        <v>iHerb_VP DFD1605</v>
      </c>
      <c r="D4619" s="125" t="str">
        <f>IFERROR(VLOOKUP($A4619,HeadJournal!$A$1:$NTR$890,COLUMN(HeadJournal!D$1),0),"")</f>
        <v>Доставлен</v>
      </c>
      <c r="E4619" s="95">
        <f>IFERROR(VLOOKUP($A4619,HeadJournal!$A$1:$NTR$890,COLUMN(HeadJournal!G$1),0),"")</f>
        <v>45793</v>
      </c>
      <c r="F4619" s="95" t="str">
        <f t="shared" si="356"/>
        <v>2025 05</v>
      </c>
      <c r="G4619" s="97" t="s">
        <v>5</v>
      </c>
      <c r="H4619" s="161" t="s">
        <v>2558</v>
      </c>
      <c r="I4619" s="97" t="s">
        <v>2166</v>
      </c>
      <c r="J4619" s="97" t="s">
        <v>2559</v>
      </c>
      <c r="K4619" s="29">
        <v>32.29</v>
      </c>
      <c r="L4619" s="29">
        <v>-3.23</v>
      </c>
      <c r="M4619" s="30">
        <f>IFERROR(VLOOKUP($A4619,HeadJournal!$A$1:$J$890,COLUMN(HeadJournal!I$1),0)*($K4619+$L4619)/(SUMIF($A:$A,$A4619,$K:$K)+SUMIF($A:$A,$A4619,$L:$L)),0)</f>
        <v>0</v>
      </c>
      <c r="N4619" s="30">
        <f>IFERROR((VLOOKUP($A4619,HeadJournal!$A$1:$K$890,COLUMN(HeadJournal!K$1),0)-VLOOKUP($A4619,HeadJournal!$A$1:$K$890,COLUMN(HeadJournal!J$1),0))*($K4619+$L4619)/(SUMIF($A:$A,$A4619,$K:$K)+SUMIF($A:$A,$A4619,$L:$L)),0)</f>
        <v>4.5780991965386654E-15</v>
      </c>
      <c r="O4619" s="30">
        <f>IFERROR((VLOOKUP($A4619,HeadJournal!$A$1:$L$890,COLUMN(HeadJournal!L$1),0)*($K4619+$L4619)/(SUMIF($A:$A,$A4619,$K:$K)+SUMIF($A:$A,$A4619,$L:$L)))/VLOOKUP($A4619,HeadJournal!$A$1:$L$890,COLUMN(HeadJournal!H$1),0),0)</f>
        <v>1.0213798457034577</v>
      </c>
      <c r="P4619" s="30">
        <f>IFERROR(SUM(K4619:O4619)*VLOOKUP($A4619,HeadJournal!$A$1:$L$890,COLUMN(HeadJournal!H$1),0),0)</f>
        <v>2751.5250230031597</v>
      </c>
      <c r="Q4619" s="29">
        <v>3900</v>
      </c>
      <c r="R4619" s="31">
        <v>45821</v>
      </c>
      <c r="S4619" s="31" t="s">
        <v>3235</v>
      </c>
      <c r="T4619" s="95" t="str">
        <f t="shared" si="357"/>
        <v>2025 06</v>
      </c>
      <c r="U4619" s="32">
        <f t="shared" si="354"/>
        <v>1148.4749769968403</v>
      </c>
      <c r="V4619" s="22">
        <f t="shared" si="355"/>
        <v>0.41739579592968196</v>
      </c>
      <c r="X4619" s="33"/>
      <c r="Y4619" s="33"/>
    </row>
    <row r="4620" spans="1:25" x14ac:dyDescent="0.2">
      <c r="A4620" s="93" t="s">
        <v>3803</v>
      </c>
      <c r="B4620" s="94" t="str">
        <f>IFERROR(VLOOKUP($A4620,HeadJournal!$A$1:$NTR$890,COLUMN(HeadJournal!B$1),0),"")</f>
        <v>720000679446</v>
      </c>
      <c r="C4620" s="94" t="str">
        <f>IFERROR(VLOOKUP($A4620,HeadJournal!$A$1:$NTR$890,COLUMN(HeadJournal!C$1),0),"")</f>
        <v>iHerb_VP DFD1605</v>
      </c>
      <c r="D4620" s="125" t="str">
        <f>IFERROR(VLOOKUP($A4620,HeadJournal!$A$1:$NTR$890,COLUMN(HeadJournal!D$1),0),"")</f>
        <v>Доставлен</v>
      </c>
      <c r="E4620" s="95">
        <f>IFERROR(VLOOKUP($A4620,HeadJournal!$A$1:$NTR$890,COLUMN(HeadJournal!G$1),0),"")</f>
        <v>45793</v>
      </c>
      <c r="F4620" s="95" t="str">
        <f t="shared" si="356"/>
        <v>2025 05</v>
      </c>
      <c r="G4620" s="97" t="s">
        <v>5</v>
      </c>
      <c r="H4620" s="161" t="s">
        <v>3794</v>
      </c>
      <c r="I4620" s="97" t="s">
        <v>2009</v>
      </c>
      <c r="J4620" s="97" t="s">
        <v>3795</v>
      </c>
      <c r="K4620" s="29">
        <v>13.55</v>
      </c>
      <c r="L4620" s="29">
        <v>-1.36</v>
      </c>
      <c r="M4620" s="30">
        <f>IFERROR(VLOOKUP($A4620,HeadJournal!$A$1:$J$890,COLUMN(HeadJournal!I$1),0)*($K4620+$L4620)/(SUMIF($A:$A,$A4620,$K:$K)+SUMIF($A:$A,$A4620,$L:$L)),0)</f>
        <v>0</v>
      </c>
      <c r="N4620" s="30">
        <f>IFERROR((VLOOKUP($A4620,HeadJournal!$A$1:$K$890,COLUMN(HeadJournal!K$1),0)-VLOOKUP($A4620,HeadJournal!$A$1:$K$890,COLUMN(HeadJournal!J$1),0))*($K4620+$L4620)/(SUMIF($A:$A,$A4620,$K:$K)+SUMIF($A:$A,$A4620,$L:$L)),0)</f>
        <v>1.9204070614523861E-15</v>
      </c>
      <c r="O4620" s="30">
        <f>IFERROR((VLOOKUP($A4620,HeadJournal!$A$1:$L$890,COLUMN(HeadJournal!L$1),0)*($K4620+$L4620)/(SUMIF($A:$A,$A4620,$K:$K)+SUMIF($A:$A,$A4620,$L:$L)))/VLOOKUP($A4620,HeadJournal!$A$1:$L$890,COLUMN(HeadJournal!H$1),0),0)</f>
        <v>0.42844529659756198</v>
      </c>
      <c r="P4620" s="30">
        <f>IFERROR(SUM(K4620:O4620)*VLOOKUP($A4620,HeadJournal!$A$1:$L$890,COLUMN(HeadJournal!H$1),0),0)</f>
        <v>1154.2013086857717</v>
      </c>
      <c r="Q4620" s="29">
        <v>2000</v>
      </c>
      <c r="R4620" s="31">
        <v>45821</v>
      </c>
      <c r="S4620" s="31" t="s">
        <v>3226</v>
      </c>
      <c r="T4620" s="95" t="str">
        <f t="shared" si="357"/>
        <v>2025 06</v>
      </c>
      <c r="U4620" s="32">
        <f t="shared" si="354"/>
        <v>845.79869131422834</v>
      </c>
      <c r="V4620" s="22">
        <f t="shared" si="355"/>
        <v>0.73279997600877345</v>
      </c>
      <c r="X4620" s="33"/>
      <c r="Y4620" s="33"/>
    </row>
    <row r="4621" spans="1:25" x14ac:dyDescent="0.2">
      <c r="A4621" s="93" t="s">
        <v>3803</v>
      </c>
      <c r="B4621" s="94" t="str">
        <f>IFERROR(VLOOKUP($A4621,HeadJournal!$A$1:$NTR$890,COLUMN(HeadJournal!B$1),0),"")</f>
        <v>720000679446</v>
      </c>
      <c r="C4621" s="94" t="str">
        <f>IFERROR(VLOOKUP($A4621,HeadJournal!$A$1:$NTR$890,COLUMN(HeadJournal!C$1),0),"")</f>
        <v>iHerb_VP DFD1605</v>
      </c>
      <c r="D4621" s="125" t="str">
        <f>IFERROR(VLOOKUP($A4621,HeadJournal!$A$1:$NTR$890,COLUMN(HeadJournal!D$1),0),"")</f>
        <v>Доставлен</v>
      </c>
      <c r="E4621" s="95">
        <f>IFERROR(VLOOKUP($A4621,HeadJournal!$A$1:$NTR$890,COLUMN(HeadJournal!G$1),0),"")</f>
        <v>45793</v>
      </c>
      <c r="F4621" s="95" t="str">
        <f t="shared" si="356"/>
        <v>2025 05</v>
      </c>
      <c r="G4621" s="97" t="s">
        <v>5</v>
      </c>
      <c r="H4621" s="161" t="s">
        <v>3796</v>
      </c>
      <c r="I4621" s="97" t="s">
        <v>2009</v>
      </c>
      <c r="J4621" s="97" t="s">
        <v>3797</v>
      </c>
      <c r="K4621" s="29">
        <v>25.07</v>
      </c>
      <c r="L4621" s="29">
        <v>-2.5099999999999998</v>
      </c>
      <c r="M4621" s="30">
        <f>IFERROR(VLOOKUP($A4621,HeadJournal!$A$1:$J$890,COLUMN(HeadJournal!I$1),0)*($K4621+$L4621)/(SUMIF($A:$A,$A4621,$K:$K)+SUMIF($A:$A,$A4621,$L:$L)),0)</f>
        <v>0</v>
      </c>
      <c r="N4621" s="30">
        <f>IFERROR((VLOOKUP($A4621,HeadJournal!$A$1:$K$890,COLUMN(HeadJournal!K$1),0)-VLOOKUP($A4621,HeadJournal!$A$1:$K$890,COLUMN(HeadJournal!J$1),0))*($K4621+$L4621)/(SUMIF($A:$A,$A4621,$K:$K)+SUMIF($A:$A,$A4621,$L:$L)),0)</f>
        <v>3.5540921498249239E-15</v>
      </c>
      <c r="O4621" s="30">
        <f>IFERROR((VLOOKUP($A4621,HeadJournal!$A$1:$L$890,COLUMN(HeadJournal!L$1),0)*($K4621+$L4621)/(SUMIF($A:$A,$A4621,$K:$K)+SUMIF($A:$A,$A4621,$L:$L)))/VLOOKUP($A4621,HeadJournal!$A$1:$L$890,COLUMN(HeadJournal!H$1),0),0)</f>
        <v>0.7929225505529941</v>
      </c>
      <c r="P4621" s="30">
        <f>IFERROR(SUM(K4621:O4621)*VLOOKUP($A4621,HeadJournal!$A$1:$L$890,COLUMN(HeadJournal!H$1),0),0)</f>
        <v>2136.0772374036924</v>
      </c>
      <c r="Q4621" s="29">
        <v>2900</v>
      </c>
      <c r="R4621" s="31">
        <v>45821</v>
      </c>
      <c r="S4621" s="31" t="s">
        <v>3226</v>
      </c>
      <c r="T4621" s="95" t="str">
        <f t="shared" si="357"/>
        <v>2025 06</v>
      </c>
      <c r="U4621" s="32">
        <f t="shared" si="354"/>
        <v>763.92276259630762</v>
      </c>
      <c r="V4621" s="22">
        <f t="shared" si="355"/>
        <v>0.3576288109903844</v>
      </c>
      <c r="X4621" s="33"/>
      <c r="Y4621" s="33"/>
    </row>
    <row r="4622" spans="1:25" x14ac:dyDescent="0.2">
      <c r="A4622" s="93" t="s">
        <v>3803</v>
      </c>
      <c r="B4622" s="94" t="str">
        <f>IFERROR(VLOOKUP($A4622,HeadJournal!$A$1:$NTR$890,COLUMN(HeadJournal!B$1),0),"")</f>
        <v>720000679446</v>
      </c>
      <c r="C4622" s="94" t="str">
        <f>IFERROR(VLOOKUP($A4622,HeadJournal!$A$1:$NTR$890,COLUMN(HeadJournal!C$1),0),"")</f>
        <v>iHerb_VP DFD1605</v>
      </c>
      <c r="D4622" s="125" t="str">
        <f>IFERROR(VLOOKUP($A4622,HeadJournal!$A$1:$NTR$890,COLUMN(HeadJournal!D$1),0),"")</f>
        <v>Доставлен</v>
      </c>
      <c r="E4622" s="95">
        <f>IFERROR(VLOOKUP($A4622,HeadJournal!$A$1:$NTR$890,COLUMN(HeadJournal!G$1),0),"")</f>
        <v>45793</v>
      </c>
      <c r="F4622" s="95" t="str">
        <f t="shared" si="356"/>
        <v>2025 05</v>
      </c>
      <c r="G4622" s="97" t="s">
        <v>5</v>
      </c>
      <c r="H4622" s="161" t="s">
        <v>3798</v>
      </c>
      <c r="I4622" s="97" t="s">
        <v>2102</v>
      </c>
      <c r="J4622" s="97" t="s">
        <v>3799</v>
      </c>
      <c r="K4622" s="29">
        <v>20.28</v>
      </c>
      <c r="L4622" s="29">
        <v>-2.0299999999999998</v>
      </c>
      <c r="M4622" s="30">
        <f>IFERROR(VLOOKUP($A4622,HeadJournal!$A$1:$J$890,COLUMN(HeadJournal!I$1),0)*($K4622+$L4622)/(SUMIF($A:$A,$A4622,$K:$K)+SUMIF($A:$A,$A4622,$L:$L)),0)</f>
        <v>0</v>
      </c>
      <c r="N4622" s="30">
        <f>IFERROR((VLOOKUP($A4622,HeadJournal!$A$1:$K$890,COLUMN(HeadJournal!K$1),0)-VLOOKUP($A4622,HeadJournal!$A$1:$K$890,COLUMN(HeadJournal!J$1),0))*($K4622+$L4622)/(SUMIF($A:$A,$A4622,$K:$K)+SUMIF($A:$A,$A4622,$L:$L)),0)</f>
        <v>2.8750967080808891E-15</v>
      </c>
      <c r="O4622" s="30">
        <f>IFERROR((VLOOKUP($A4622,HeadJournal!$A$1:$L$890,COLUMN(HeadJournal!L$1),0)*($K4622+$L4622)/(SUMIF($A:$A,$A4622,$K:$K)+SUMIF($A:$A,$A4622,$L:$L)))/VLOOKUP($A4622,HeadJournal!$A$1:$L$890,COLUMN(HeadJournal!H$1),0),0)</f>
        <v>0.64143779023014813</v>
      </c>
      <c r="P4622" s="30">
        <f>IFERROR(SUM(K4622:O4622)*VLOOKUP($A4622,HeadJournal!$A$1:$L$890,COLUMN(HeadJournal!H$1),0),0)</f>
        <v>1727.9880134138912</v>
      </c>
      <c r="Q4622" s="29">
        <v>2500</v>
      </c>
      <c r="R4622" s="202">
        <v>0.29375000000000001</v>
      </c>
      <c r="S4622" s="31" t="s">
        <v>4622</v>
      </c>
      <c r="T4622" s="95" t="str">
        <f t="shared" si="357"/>
        <v>1900 01</v>
      </c>
      <c r="U4622" s="32">
        <f t="shared" si="354"/>
        <v>772.01198658610883</v>
      </c>
      <c r="V4622" s="22">
        <f t="shared" si="355"/>
        <v>0.44676929503746216</v>
      </c>
      <c r="X4622" s="33"/>
      <c r="Y4622" s="33"/>
    </row>
    <row r="4623" spans="1:25" x14ac:dyDescent="0.2">
      <c r="A4623" s="93" t="s">
        <v>3803</v>
      </c>
      <c r="B4623" s="94" t="str">
        <f>IFERROR(VLOOKUP($A4623,HeadJournal!$A$1:$NTR$890,COLUMN(HeadJournal!B$1),0),"")</f>
        <v>720000679446</v>
      </c>
      <c r="C4623" s="94" t="str">
        <f>IFERROR(VLOOKUP($A4623,HeadJournal!$A$1:$NTR$890,COLUMN(HeadJournal!C$1),0),"")</f>
        <v>iHerb_VP DFD1605</v>
      </c>
      <c r="D4623" s="125" t="str">
        <f>IFERROR(VLOOKUP($A4623,HeadJournal!$A$1:$NTR$890,COLUMN(HeadJournal!D$1),0),"")</f>
        <v>Доставлен</v>
      </c>
      <c r="E4623" s="95">
        <f>IFERROR(VLOOKUP($A4623,HeadJournal!$A$1:$NTR$890,COLUMN(HeadJournal!G$1),0),"")</f>
        <v>45793</v>
      </c>
      <c r="F4623" s="95" t="str">
        <f t="shared" si="356"/>
        <v>2025 05</v>
      </c>
      <c r="G4623" s="97" t="s">
        <v>5</v>
      </c>
      <c r="H4623" s="161" t="s">
        <v>2051</v>
      </c>
      <c r="I4623" s="97" t="s">
        <v>2052</v>
      </c>
      <c r="J4623" s="97" t="s">
        <v>3097</v>
      </c>
      <c r="K4623" s="29">
        <v>21.24</v>
      </c>
      <c r="L4623" s="29">
        <v>-6.37</v>
      </c>
      <c r="M4623" s="30">
        <f>IFERROR(VLOOKUP($A4623,HeadJournal!$A$1:$J$890,COLUMN(HeadJournal!I$1),0)*($K4623+$L4623)/(SUMIF($A:$A,$A4623,$K:$K)+SUMIF($A:$A,$A4623,$L:$L)),0)</f>
        <v>0</v>
      </c>
      <c r="N4623" s="30">
        <f>IFERROR((VLOOKUP($A4623,HeadJournal!$A$1:$K$890,COLUMN(HeadJournal!K$1),0)-VLOOKUP($A4623,HeadJournal!$A$1:$K$890,COLUMN(HeadJournal!J$1),0))*($K4623+$L4623)/(SUMIF($A:$A,$A4623,$K:$K)+SUMIF($A:$A,$A4623,$L:$L)),0)</f>
        <v>2.3426130437897433E-15</v>
      </c>
      <c r="O4623" s="30">
        <f>IFERROR((VLOOKUP($A4623,HeadJournal!$A$1:$L$890,COLUMN(HeadJournal!L$1),0)*($K4623+$L4623)/(SUMIF($A:$A,$A4623,$K:$K)+SUMIF($A:$A,$A4623,$L:$L)))/VLOOKUP($A4623,HeadJournal!$A$1:$L$890,COLUMN(HeadJournal!H$1),0),0)</f>
        <v>0.52263999675190687</v>
      </c>
      <c r="P4623" s="30">
        <f>IFERROR(SUM(K4623:O4623)*VLOOKUP($A4623,HeadJournal!$A$1:$L$890,COLUMN(HeadJournal!H$1),0),0)</f>
        <v>1407.9551649021673</v>
      </c>
      <c r="Q4623" s="29">
        <v>2300</v>
      </c>
      <c r="R4623" s="31">
        <v>45842</v>
      </c>
      <c r="S4623" s="31" t="s">
        <v>3252</v>
      </c>
      <c r="T4623" s="95" t="str">
        <f t="shared" si="357"/>
        <v>2025 07</v>
      </c>
      <c r="U4623" s="32">
        <f t="shared" si="354"/>
        <v>892.04483509783267</v>
      </c>
      <c r="V4623" s="22">
        <f t="shared" si="355"/>
        <v>0.63357474537182223</v>
      </c>
      <c r="X4623" s="33"/>
      <c r="Y4623" s="33"/>
    </row>
    <row r="4624" spans="1:25" x14ac:dyDescent="0.2">
      <c r="A4624" s="93" t="s">
        <v>3803</v>
      </c>
      <c r="B4624" s="94" t="str">
        <f>IFERROR(VLOOKUP($A4624,HeadJournal!$A$1:$NTR$890,COLUMN(HeadJournal!B$1),0),"")</f>
        <v>720000679446</v>
      </c>
      <c r="C4624" s="94" t="str">
        <f>IFERROR(VLOOKUP($A4624,HeadJournal!$A$1:$NTR$890,COLUMN(HeadJournal!C$1),0),"")</f>
        <v>iHerb_VP DFD1605</v>
      </c>
      <c r="D4624" s="125" t="str">
        <f>IFERROR(VLOOKUP($A4624,HeadJournal!$A$1:$NTR$890,COLUMN(HeadJournal!D$1),0),"")</f>
        <v>Доставлен</v>
      </c>
      <c r="E4624" s="95">
        <f>IFERROR(VLOOKUP($A4624,HeadJournal!$A$1:$NTR$890,COLUMN(HeadJournal!G$1),0),"")</f>
        <v>45793</v>
      </c>
      <c r="F4624" s="95" t="str">
        <f t="shared" si="356"/>
        <v>2025 05</v>
      </c>
      <c r="G4624" s="97" t="s">
        <v>5</v>
      </c>
      <c r="H4624" s="161" t="s">
        <v>2089</v>
      </c>
      <c r="I4624" s="97" t="s">
        <v>2005</v>
      </c>
      <c r="J4624" s="97" t="s">
        <v>3781</v>
      </c>
      <c r="K4624" s="29">
        <v>22.47</v>
      </c>
      <c r="L4624" s="29">
        <v>-2.25</v>
      </c>
      <c r="M4624" s="30">
        <f>IFERROR(VLOOKUP($A4624,HeadJournal!$A$1:$J$890,COLUMN(HeadJournal!I$1),0)*($K4624+$L4624)/(SUMIF($A:$A,$A4624,$K:$K)+SUMIF($A:$A,$A4624,$L:$L)),0)</f>
        <v>0</v>
      </c>
      <c r="N4624" s="30">
        <f>IFERROR((VLOOKUP($A4624,HeadJournal!$A$1:$K$890,COLUMN(HeadJournal!K$1),0)-VLOOKUP($A4624,HeadJournal!$A$1:$K$890,COLUMN(HeadJournal!J$1),0))*($K4624+$L4624)/(SUMIF($A:$A,$A4624,$K:$K)+SUMIF($A:$A,$A4624,$L:$L)),0)</f>
        <v>3.1854496130079769E-15</v>
      </c>
      <c r="O4624" s="30">
        <f>IFERROR((VLOOKUP($A4624,HeadJournal!$A$1:$L$890,COLUMN(HeadJournal!L$1),0)*($K4624+$L4624)/(SUMIF($A:$A,$A4624,$K:$K)+SUMIF($A:$A,$A4624,$L:$L)))/VLOOKUP($A4624,HeadJournal!$A$1:$L$890,COLUMN(HeadJournal!H$1),0),0)</f>
        <v>0.71067792429882704</v>
      </c>
      <c r="P4624" s="30">
        <f>IFERROR(SUM(K4624:O4624)*VLOOKUP($A4624,HeadJournal!$A$1:$L$890,COLUMN(HeadJournal!H$1),0),0)</f>
        <v>1914.5160345878837</v>
      </c>
      <c r="Q4624" s="29">
        <v>2900</v>
      </c>
      <c r="R4624" s="31">
        <v>45869</v>
      </c>
      <c r="S4624" s="31"/>
      <c r="T4624" s="95" t="str">
        <f t="shared" si="357"/>
        <v>2025 07</v>
      </c>
      <c r="U4624" s="32">
        <f t="shared" si="354"/>
        <v>985.48396541211628</v>
      </c>
      <c r="V4624" s="22">
        <f t="shared" si="355"/>
        <v>0.51474312442844095</v>
      </c>
      <c r="X4624" s="33"/>
      <c r="Y4624" s="33"/>
    </row>
    <row r="4625" spans="1:25" x14ac:dyDescent="0.2">
      <c r="A4625" s="93" t="s">
        <v>3803</v>
      </c>
      <c r="B4625" s="94" t="str">
        <f>IFERROR(VLOOKUP($A4625,HeadJournal!$A$1:$NTR$890,COLUMN(HeadJournal!B$1),0),"")</f>
        <v>720000679446</v>
      </c>
      <c r="C4625" s="94" t="str">
        <f>IFERROR(VLOOKUP($A4625,HeadJournal!$A$1:$NTR$890,COLUMN(HeadJournal!C$1),0),"")</f>
        <v>iHerb_VP DFD1605</v>
      </c>
      <c r="D4625" s="125" t="str">
        <f>IFERROR(VLOOKUP($A4625,HeadJournal!$A$1:$NTR$890,COLUMN(HeadJournal!D$1),0),"")</f>
        <v>Доставлен</v>
      </c>
      <c r="E4625" s="95">
        <f>IFERROR(VLOOKUP($A4625,HeadJournal!$A$1:$NTR$890,COLUMN(HeadJournal!G$1),0),"")</f>
        <v>45793</v>
      </c>
      <c r="F4625" s="95" t="str">
        <f t="shared" si="356"/>
        <v>2025 05</v>
      </c>
      <c r="G4625" s="97" t="s">
        <v>5</v>
      </c>
      <c r="H4625" s="161" t="s">
        <v>3753</v>
      </c>
      <c r="I4625" s="97" t="s">
        <v>2005</v>
      </c>
      <c r="J4625" s="97" t="s">
        <v>3754</v>
      </c>
      <c r="K4625" s="29">
        <v>31.79</v>
      </c>
      <c r="L4625" s="29">
        <v>-3.18</v>
      </c>
      <c r="M4625" s="30">
        <f>IFERROR(VLOOKUP($A4625,HeadJournal!$A$1:$J$890,COLUMN(HeadJournal!I$1),0)*($K4625+$L4625)/(SUMIF($A:$A,$A4625,$K:$K)+SUMIF($A:$A,$A4625,$L:$L)),0)</f>
        <v>0</v>
      </c>
      <c r="N4625" s="30">
        <f>IFERROR((VLOOKUP($A4625,HeadJournal!$A$1:$K$890,COLUMN(HeadJournal!K$1),0)-VLOOKUP($A4625,HeadJournal!$A$1:$K$890,COLUMN(HeadJournal!J$1),0))*($K4625+$L4625)/(SUMIF($A:$A,$A4625,$K:$K)+SUMIF($A:$A,$A4625,$L:$L)),0)</f>
        <v>4.5072064009969443E-15</v>
      </c>
      <c r="O4625" s="30">
        <f>IFERROR((VLOOKUP($A4625,HeadJournal!$A$1:$L$890,COLUMN(HeadJournal!L$1),0)*($K4625+$L4625)/(SUMIF($A:$A,$A4625,$K:$K)+SUMIF($A:$A,$A4625,$L:$L)))/VLOOKUP($A4625,HeadJournal!$A$1:$L$890,COLUMN(HeadJournal!H$1),0),0)</f>
        <v>1.0055635714238103</v>
      </c>
      <c r="P4625" s="30">
        <f>IFERROR(SUM(K4625:O4625)*VLOOKUP($A4625,HeadJournal!$A$1:$L$890,COLUMN(HeadJournal!H$1),0),0)</f>
        <v>2708.9170993847351</v>
      </c>
      <c r="Q4625" s="29">
        <v>3400</v>
      </c>
      <c r="R4625" s="31">
        <v>45821</v>
      </c>
      <c r="S4625" s="31" t="s">
        <v>3121</v>
      </c>
      <c r="T4625" s="95" t="str">
        <f t="shared" si="357"/>
        <v>2025 06</v>
      </c>
      <c r="U4625" s="32">
        <f t="shared" si="354"/>
        <v>691.08290061526486</v>
      </c>
      <c r="V4625" s="22">
        <f t="shared" si="355"/>
        <v>0.25511408258755042</v>
      </c>
      <c r="X4625" s="33"/>
      <c r="Y4625" s="33"/>
    </row>
    <row r="4626" spans="1:25" x14ac:dyDescent="0.2">
      <c r="A4626" s="93" t="s">
        <v>3803</v>
      </c>
      <c r="B4626" s="94" t="str">
        <f>IFERROR(VLOOKUP($A4626,HeadJournal!$A$1:$NTR$890,COLUMN(HeadJournal!B$1),0),"")</f>
        <v>720000679446</v>
      </c>
      <c r="C4626" s="94" t="str">
        <f>IFERROR(VLOOKUP($A4626,HeadJournal!$A$1:$NTR$890,COLUMN(HeadJournal!C$1),0),"")</f>
        <v>iHerb_VP DFD1605</v>
      </c>
      <c r="D4626" s="125" t="str">
        <f>IFERROR(VLOOKUP($A4626,HeadJournal!$A$1:$NTR$890,COLUMN(HeadJournal!D$1),0),"")</f>
        <v>Доставлен</v>
      </c>
      <c r="E4626" s="95">
        <f>IFERROR(VLOOKUP($A4626,HeadJournal!$A$1:$NTR$890,COLUMN(HeadJournal!G$1),0),"")</f>
        <v>45793</v>
      </c>
      <c r="F4626" s="95" t="str">
        <f t="shared" si="356"/>
        <v>2025 05</v>
      </c>
      <c r="G4626" s="97" t="s">
        <v>5</v>
      </c>
      <c r="H4626" s="161" t="s">
        <v>3800</v>
      </c>
      <c r="I4626" s="97" t="s">
        <v>3801</v>
      </c>
      <c r="J4626" s="97" t="s">
        <v>3802</v>
      </c>
      <c r="K4626" s="29">
        <v>21.43</v>
      </c>
      <c r="L4626" s="29">
        <v>-2.14</v>
      </c>
      <c r="M4626" s="30">
        <f>IFERROR(VLOOKUP($A4626,HeadJournal!$A$1:$J$890,COLUMN(HeadJournal!I$1),0)*($K4626+$L4626)/(SUMIF($A:$A,$A4626,$K:$K)+SUMIF($A:$A,$A4626,$L:$L)),0)</f>
        <v>0</v>
      </c>
      <c r="N4626" s="30">
        <f>IFERROR((VLOOKUP($A4626,HeadJournal!$A$1:$K$890,COLUMN(HeadJournal!K$1),0)-VLOOKUP($A4626,HeadJournal!$A$1:$K$890,COLUMN(HeadJournal!J$1),0))*($K4626+$L4626)/(SUMIF($A:$A,$A4626,$K:$K)+SUMIF($A:$A,$A4626,$L:$L)),0)</f>
        <v>3.0389378355550875E-15</v>
      </c>
      <c r="O4626" s="30">
        <f>IFERROR((VLOOKUP($A4626,HeadJournal!$A$1:$L$890,COLUMN(HeadJournal!L$1),0)*($K4626+$L4626)/(SUMIF($A:$A,$A4626,$K:$K)+SUMIF($A:$A,$A4626,$L:$L)))/VLOOKUP($A4626,HeadJournal!$A$1:$L$890,COLUMN(HeadJournal!H$1),0),0)</f>
        <v>0.67799095745422222</v>
      </c>
      <c r="P4626" s="30">
        <f>IFERROR(SUM(K4626:O4626)*VLOOKUP($A4626,HeadJournal!$A$1:$L$890,COLUMN(HeadJournal!H$1),0),0)</f>
        <v>1826.4596591098059</v>
      </c>
      <c r="Q4626" s="29">
        <v>2500</v>
      </c>
      <c r="R4626" s="31">
        <v>45830</v>
      </c>
      <c r="S4626" s="31" t="s">
        <v>3121</v>
      </c>
      <c r="T4626" s="95" t="str">
        <f t="shared" si="357"/>
        <v>2025 06</v>
      </c>
      <c r="U4626" s="32">
        <f t="shared" si="354"/>
        <v>673.5403408901941</v>
      </c>
      <c r="V4626" s="22">
        <f t="shared" si="355"/>
        <v>0.36876825476587283</v>
      </c>
      <c r="X4626" s="33"/>
      <c r="Y4626" s="33"/>
    </row>
    <row r="4627" spans="1:25" x14ac:dyDescent="0.2">
      <c r="A4627" s="93" t="s">
        <v>3803</v>
      </c>
      <c r="B4627" s="94" t="str">
        <f>IFERROR(VLOOKUP($A4627,HeadJournal!$A$1:$NTR$890,COLUMN(HeadJournal!B$1),0),"")</f>
        <v>720000679446</v>
      </c>
      <c r="C4627" s="94" t="str">
        <f>IFERROR(VLOOKUP($A4627,HeadJournal!$A$1:$NTR$890,COLUMN(HeadJournal!C$1),0),"")</f>
        <v>iHerb_VP DFD1605</v>
      </c>
      <c r="D4627" s="125" t="str">
        <f>IFERROR(VLOOKUP($A4627,HeadJournal!$A$1:$NTR$890,COLUMN(HeadJournal!D$1),0),"")</f>
        <v>Доставлен</v>
      </c>
      <c r="E4627" s="95">
        <f>IFERROR(VLOOKUP($A4627,HeadJournal!$A$1:$NTR$890,COLUMN(HeadJournal!G$1),0),"")</f>
        <v>45793</v>
      </c>
      <c r="F4627" s="95" t="str">
        <f t="shared" si="356"/>
        <v>2025 05</v>
      </c>
      <c r="G4627" s="97" t="s">
        <v>5</v>
      </c>
      <c r="H4627" s="161" t="s">
        <v>2693</v>
      </c>
      <c r="I4627" s="97" t="s">
        <v>2694</v>
      </c>
      <c r="J4627" s="97" t="s">
        <v>2695</v>
      </c>
      <c r="K4627" s="29">
        <v>17.07</v>
      </c>
      <c r="L4627" s="29">
        <v>-1.71</v>
      </c>
      <c r="M4627" s="30">
        <f>IFERROR(VLOOKUP($A4627,HeadJournal!$A$1:$J$890,COLUMN(HeadJournal!I$1),0)*($K4627+$L4627)/(SUMIF($A:$A,$A4627,$K:$K)+SUMIF($A:$A,$A4627,$L:$L)),0)</f>
        <v>0</v>
      </c>
      <c r="N4627" s="30">
        <f>IFERROR((VLOOKUP($A4627,HeadJournal!$A$1:$K$890,COLUMN(HeadJournal!K$1),0)-VLOOKUP($A4627,HeadJournal!$A$1:$K$890,COLUMN(HeadJournal!J$1),0))*($K4627+$L4627)/(SUMIF($A:$A,$A4627,$K:$K)+SUMIF($A:$A,$A4627,$L:$L)),0)</f>
        <v>2.4198074211573949E-15</v>
      </c>
      <c r="O4627" s="30">
        <f>IFERROR((VLOOKUP($A4627,HeadJournal!$A$1:$L$890,COLUMN(HeadJournal!L$1),0)*($K4627+$L4627)/(SUMIF($A:$A,$A4627,$K:$K)+SUMIF($A:$A,$A4627,$L:$L)))/VLOOKUP($A4627,HeadJournal!$A$1:$L$890,COLUMN(HeadJournal!H$1),0),0)</f>
        <v>0.53986216207863413</v>
      </c>
      <c r="P4627" s="30">
        <f>IFERROR(SUM(K4627:O4627)*VLOOKUP($A4627,HeadJournal!$A$1:$L$890,COLUMN(HeadJournal!H$1),0),0)</f>
        <v>1454.3504595088966</v>
      </c>
      <c r="Q4627" s="29">
        <v>2300</v>
      </c>
      <c r="R4627" s="31">
        <v>45808</v>
      </c>
      <c r="S4627" s="31" t="s">
        <v>3121</v>
      </c>
      <c r="T4627" s="95" t="str">
        <f t="shared" si="357"/>
        <v>2025 05</v>
      </c>
      <c r="U4627" s="32">
        <f t="shared" si="354"/>
        <v>845.64954049110338</v>
      </c>
      <c r="V4627" s="22">
        <f t="shared" si="355"/>
        <v>0.58146200935410119</v>
      </c>
      <c r="X4627" s="33"/>
      <c r="Y4627" s="33"/>
    </row>
    <row r="4628" spans="1:25" x14ac:dyDescent="0.2">
      <c r="A4628" s="93" t="s">
        <v>3804</v>
      </c>
      <c r="B4628" s="94" t="str">
        <f>IFERROR(VLOOKUP($A4628,HeadJournal!$A$1:$NTR$890,COLUMN(HeadJournal!B$1),0),"")</f>
        <v>722500450360</v>
      </c>
      <c r="C4628" s="94" t="str">
        <f>IFERROR(VLOOKUP($A4628,HeadJournal!$A$1:$NTR$890,COLUMN(HeadJournal!C$1),0),"")</f>
        <v>iHerb_MH DLE7202</v>
      </c>
      <c r="D4628" s="125" t="str">
        <f>IFERROR(VLOOKUP($A4628,HeadJournal!$A$1:$NTR$890,COLUMN(HeadJournal!D$1),0),"")</f>
        <v>Доставлен</v>
      </c>
      <c r="E4628" s="95">
        <f>IFERROR(VLOOKUP($A4628,HeadJournal!$A$1:$NTR$890,COLUMN(HeadJournal!G$1),0),"")</f>
        <v>45792</v>
      </c>
      <c r="F4628" s="95" t="str">
        <f t="shared" si="356"/>
        <v>2025 05</v>
      </c>
      <c r="G4628" s="97" t="s">
        <v>5</v>
      </c>
      <c r="H4628" s="161" t="s">
        <v>2504</v>
      </c>
      <c r="I4628" s="97" t="s">
        <v>2036</v>
      </c>
      <c r="J4628" s="97" t="s">
        <v>3739</v>
      </c>
      <c r="K4628" s="29">
        <v>15.65</v>
      </c>
      <c r="L4628" s="29">
        <v>-3.13</v>
      </c>
      <c r="M4628" s="30">
        <f>IFERROR(VLOOKUP($A4628,HeadJournal!$A$1:$J$890,COLUMN(HeadJournal!I$1),0)*($K4628+$L4628)/(SUMIF($A:$A,$A4628,$K:$K)+SUMIF($A:$A,$A4628,$L:$L)),0)</f>
        <v>-0.56483244767378815</v>
      </c>
      <c r="N4628" s="30">
        <f>IFERROR((VLOOKUP($A4628,HeadJournal!$A$1:$K$890,COLUMN(HeadJournal!K$1),0)-VLOOKUP($A4628,HeadJournal!$A$1:$K$890,COLUMN(HeadJournal!J$1),0))*($K4628+$L4628)/(SUMIF($A:$A,$A4628,$K:$K)+SUMIF($A:$A,$A4628,$L:$L)),0)</f>
        <v>0</v>
      </c>
      <c r="O4628" s="30">
        <f>IFERROR((VLOOKUP($A4628,HeadJournal!$A$1:$L$890,COLUMN(HeadJournal!L$1),0)*($K4628+$L4628)/(SUMIF($A:$A,$A4628,$K:$K)+SUMIF($A:$A,$A4628,$L:$L)))/VLOOKUP($A4628,HeadJournal!$A$1:$L$890,COLUMN(HeadJournal!H$1),0),0)</f>
        <v>0.42840214586371211</v>
      </c>
      <c r="P4628" s="30">
        <f>IFERROR(SUM(K4628:O4628)*VLOOKUP($A4628,HeadJournal!$A$1:$L$890,COLUMN(HeadJournal!H$1),0),0)</f>
        <v>1138.1998394968007</v>
      </c>
      <c r="Q4628" s="29">
        <v>2300</v>
      </c>
      <c r="R4628" s="31">
        <v>45821</v>
      </c>
      <c r="S4628" s="31" t="s">
        <v>3235</v>
      </c>
      <c r="T4628" s="95" t="str">
        <f t="shared" si="357"/>
        <v>2025 06</v>
      </c>
      <c r="U4628" s="32">
        <f t="shared" si="354"/>
        <v>1161.8001605031993</v>
      </c>
      <c r="V4628" s="22">
        <f t="shared" si="355"/>
        <v>1.0207347780130003</v>
      </c>
      <c r="X4628" s="33"/>
      <c r="Y4628" s="33"/>
    </row>
    <row r="4629" spans="1:25" x14ac:dyDescent="0.2">
      <c r="A4629" s="93" t="s">
        <v>3804</v>
      </c>
      <c r="B4629" s="94" t="str">
        <f>IFERROR(VLOOKUP($A4629,HeadJournal!$A$1:$NTR$890,COLUMN(HeadJournal!B$1),0),"")</f>
        <v>722500450360</v>
      </c>
      <c r="C4629" s="94" t="str">
        <f>IFERROR(VLOOKUP($A4629,HeadJournal!$A$1:$NTR$890,COLUMN(HeadJournal!C$1),0),"")</f>
        <v>iHerb_MH DLE7202</v>
      </c>
      <c r="D4629" s="125" t="str">
        <f>IFERROR(VLOOKUP($A4629,HeadJournal!$A$1:$NTR$890,COLUMN(HeadJournal!D$1),0),"")</f>
        <v>Доставлен</v>
      </c>
      <c r="E4629" s="95">
        <f>IFERROR(VLOOKUP($A4629,HeadJournal!$A$1:$NTR$890,COLUMN(HeadJournal!G$1),0),"")</f>
        <v>45792</v>
      </c>
      <c r="F4629" s="95" t="str">
        <f t="shared" si="356"/>
        <v>2025 05</v>
      </c>
      <c r="G4629" s="97" t="s">
        <v>5</v>
      </c>
      <c r="H4629" s="161" t="s">
        <v>2504</v>
      </c>
      <c r="I4629" s="97" t="s">
        <v>2036</v>
      </c>
      <c r="J4629" s="97" t="s">
        <v>3739</v>
      </c>
      <c r="K4629" s="29">
        <v>15.65</v>
      </c>
      <c r="L4629" s="29">
        <v>-3.13</v>
      </c>
      <c r="M4629" s="30">
        <f>IFERROR(VLOOKUP($A4629,HeadJournal!$A$1:$J$890,COLUMN(HeadJournal!I$1),0)*($K4629+$L4629)/(SUMIF($A:$A,$A4629,$K:$K)+SUMIF($A:$A,$A4629,$L:$L)),0)</f>
        <v>-0.56483244767378815</v>
      </c>
      <c r="N4629" s="30">
        <f>IFERROR((VLOOKUP($A4629,HeadJournal!$A$1:$K$890,COLUMN(HeadJournal!K$1),0)-VLOOKUP($A4629,HeadJournal!$A$1:$K$890,COLUMN(HeadJournal!J$1),0))*($K4629+$L4629)/(SUMIF($A:$A,$A4629,$K:$K)+SUMIF($A:$A,$A4629,$L:$L)),0)</f>
        <v>0</v>
      </c>
      <c r="O4629" s="30">
        <f>IFERROR((VLOOKUP($A4629,HeadJournal!$A$1:$L$890,COLUMN(HeadJournal!L$1),0)*($K4629+$L4629)/(SUMIF($A:$A,$A4629,$K:$K)+SUMIF($A:$A,$A4629,$L:$L)))/VLOOKUP($A4629,HeadJournal!$A$1:$L$890,COLUMN(HeadJournal!H$1),0),0)</f>
        <v>0.42840214586371211</v>
      </c>
      <c r="P4629" s="30">
        <f>IFERROR(SUM(K4629:O4629)*VLOOKUP($A4629,HeadJournal!$A$1:$L$890,COLUMN(HeadJournal!H$1),0),0)</f>
        <v>1138.1998394968007</v>
      </c>
      <c r="Q4629" s="29">
        <v>2300</v>
      </c>
      <c r="R4629" s="31">
        <v>45821</v>
      </c>
      <c r="S4629" s="31" t="s">
        <v>3235</v>
      </c>
      <c r="T4629" s="95" t="str">
        <f t="shared" si="357"/>
        <v>2025 06</v>
      </c>
      <c r="U4629" s="32">
        <f t="shared" si="354"/>
        <v>1161.8001605031993</v>
      </c>
      <c r="V4629" s="22">
        <f t="shared" si="355"/>
        <v>1.0207347780130003</v>
      </c>
      <c r="X4629" s="33"/>
      <c r="Y4629" s="33"/>
    </row>
    <row r="4630" spans="1:25" x14ac:dyDescent="0.2">
      <c r="A4630" s="93" t="s">
        <v>3804</v>
      </c>
      <c r="B4630" s="94" t="str">
        <f>IFERROR(VLOOKUP($A4630,HeadJournal!$A$1:$NTR$890,COLUMN(HeadJournal!B$1),0),"")</f>
        <v>722500450360</v>
      </c>
      <c r="C4630" s="94" t="str">
        <f>IFERROR(VLOOKUP($A4630,HeadJournal!$A$1:$NTR$890,COLUMN(HeadJournal!C$1),0),"")</f>
        <v>iHerb_MH DLE7202</v>
      </c>
      <c r="D4630" s="125" t="str">
        <f>IFERROR(VLOOKUP($A4630,HeadJournal!$A$1:$NTR$890,COLUMN(HeadJournal!D$1),0),"")</f>
        <v>Доставлен</v>
      </c>
      <c r="E4630" s="95">
        <f>IFERROR(VLOOKUP($A4630,HeadJournal!$A$1:$NTR$890,COLUMN(HeadJournal!G$1),0),"")</f>
        <v>45792</v>
      </c>
      <c r="F4630" s="95" t="str">
        <f t="shared" si="356"/>
        <v>2025 05</v>
      </c>
      <c r="G4630" s="97" t="s">
        <v>5</v>
      </c>
      <c r="H4630" s="161" t="s">
        <v>2707</v>
      </c>
      <c r="I4630" s="97" t="s">
        <v>2581</v>
      </c>
      <c r="J4630" s="97" t="s">
        <v>2708</v>
      </c>
      <c r="K4630" s="29">
        <v>31.22</v>
      </c>
      <c r="L4630" s="29">
        <v>-6.2450000000000001</v>
      </c>
      <c r="M4630" s="30">
        <f>IFERROR(VLOOKUP($A4630,HeadJournal!$A$1:$J$890,COLUMN(HeadJournal!I$1),0)*($K4630+$L4630)/(SUMIF($A:$A,$A4630,$K:$K)+SUMIF($A:$A,$A4630,$L:$L)),0)</f>
        <v>-1.1267324585185989</v>
      </c>
      <c r="N4630" s="30">
        <f>IFERROR((VLOOKUP($A4630,HeadJournal!$A$1:$K$890,COLUMN(HeadJournal!K$1),0)-VLOOKUP($A4630,HeadJournal!$A$1:$K$890,COLUMN(HeadJournal!J$1),0))*($K4630+$L4630)/(SUMIF($A:$A,$A4630,$K:$K)+SUMIF($A:$A,$A4630,$L:$L)),0)</f>
        <v>0</v>
      </c>
      <c r="O4630" s="30">
        <f>IFERROR((VLOOKUP($A4630,HeadJournal!$A$1:$L$890,COLUMN(HeadJournal!L$1),0)*($K4630+$L4630)/(SUMIF($A:$A,$A4630,$K:$K)+SUMIF($A:$A,$A4630,$L:$L)))/VLOOKUP($A4630,HeadJournal!$A$1:$L$890,COLUMN(HeadJournal!H$1),0),0)</f>
        <v>0.85458015918100716</v>
      </c>
      <c r="P4630" s="30">
        <f>IFERROR(SUM(K4630:O4630)*VLOOKUP($A4630,HeadJournal!$A$1:$L$890,COLUMN(HeadJournal!H$1),0),0)</f>
        <v>2270.4904945233707</v>
      </c>
      <c r="Q4630" s="29">
        <v>3700</v>
      </c>
      <c r="R4630" s="31">
        <v>45824</v>
      </c>
      <c r="S4630" s="31" t="s">
        <v>3231</v>
      </c>
      <c r="T4630" s="95" t="str">
        <f t="shared" si="357"/>
        <v>2025 06</v>
      </c>
      <c r="U4630" s="32">
        <f t="shared" si="354"/>
        <v>1429.5095054766293</v>
      </c>
      <c r="V4630" s="22">
        <f t="shared" si="355"/>
        <v>0.6296038274217558</v>
      </c>
      <c r="X4630" s="33"/>
      <c r="Y4630" s="33"/>
    </row>
    <row r="4631" spans="1:25" x14ac:dyDescent="0.2">
      <c r="A4631" s="93" t="s">
        <v>3804</v>
      </c>
      <c r="B4631" s="94" t="str">
        <f>IFERROR(VLOOKUP($A4631,HeadJournal!$A$1:$NTR$890,COLUMN(HeadJournal!B$1),0),"")</f>
        <v>722500450360</v>
      </c>
      <c r="C4631" s="94" t="str">
        <f>IFERROR(VLOOKUP($A4631,HeadJournal!$A$1:$NTR$890,COLUMN(HeadJournal!C$1),0),"")</f>
        <v>iHerb_MH DLE7202</v>
      </c>
      <c r="D4631" s="125" t="str">
        <f>IFERROR(VLOOKUP($A4631,HeadJournal!$A$1:$NTR$890,COLUMN(HeadJournal!D$1),0),"")</f>
        <v>Доставлен</v>
      </c>
      <c r="E4631" s="95">
        <f>IFERROR(VLOOKUP($A4631,HeadJournal!$A$1:$NTR$890,COLUMN(HeadJournal!G$1),0),"")</f>
        <v>45792</v>
      </c>
      <c r="F4631" s="95" t="str">
        <f t="shared" si="356"/>
        <v>2025 05</v>
      </c>
      <c r="G4631" s="97" t="s">
        <v>5</v>
      </c>
      <c r="H4631" s="161" t="s">
        <v>2707</v>
      </c>
      <c r="I4631" s="97" t="s">
        <v>2581</v>
      </c>
      <c r="J4631" s="97" t="s">
        <v>2708</v>
      </c>
      <c r="K4631" s="29">
        <v>31.22</v>
      </c>
      <c r="L4631" s="29">
        <v>-6.2450000000000001</v>
      </c>
      <c r="M4631" s="30">
        <f>IFERROR(VLOOKUP($A4631,HeadJournal!$A$1:$J$890,COLUMN(HeadJournal!I$1),0)*($K4631+$L4631)/(SUMIF($A:$A,$A4631,$K:$K)+SUMIF($A:$A,$A4631,$L:$L)),0)</f>
        <v>-1.1267324585185989</v>
      </c>
      <c r="N4631" s="30">
        <f>IFERROR((VLOOKUP($A4631,HeadJournal!$A$1:$K$890,COLUMN(HeadJournal!K$1),0)-VLOOKUP($A4631,HeadJournal!$A$1:$K$890,COLUMN(HeadJournal!J$1),0))*($K4631+$L4631)/(SUMIF($A:$A,$A4631,$K:$K)+SUMIF($A:$A,$A4631,$L:$L)),0)</f>
        <v>0</v>
      </c>
      <c r="O4631" s="30">
        <f>IFERROR((VLOOKUP($A4631,HeadJournal!$A$1:$L$890,COLUMN(HeadJournal!L$1),0)*($K4631+$L4631)/(SUMIF($A:$A,$A4631,$K:$K)+SUMIF($A:$A,$A4631,$L:$L)))/VLOOKUP($A4631,HeadJournal!$A$1:$L$890,COLUMN(HeadJournal!H$1),0),0)</f>
        <v>0.85458015918100716</v>
      </c>
      <c r="P4631" s="30">
        <f>IFERROR(SUM(K4631:O4631)*VLOOKUP($A4631,HeadJournal!$A$1:$L$890,COLUMN(HeadJournal!H$1),0),0)</f>
        <v>2270.4904945233707</v>
      </c>
      <c r="Q4631" s="29">
        <v>3800</v>
      </c>
      <c r="R4631" s="31">
        <v>45839</v>
      </c>
      <c r="S4631" s="31" t="s">
        <v>3466</v>
      </c>
      <c r="T4631" s="95" t="str">
        <f t="shared" si="357"/>
        <v>2025 07</v>
      </c>
      <c r="U4631" s="32">
        <f t="shared" si="354"/>
        <v>1529.5095054766293</v>
      </c>
      <c r="V4631" s="22">
        <f t="shared" si="355"/>
        <v>0.67364717410883035</v>
      </c>
      <c r="X4631" s="33"/>
      <c r="Y4631" s="33"/>
    </row>
    <row r="4632" spans="1:25" x14ac:dyDescent="0.2">
      <c r="A4632" s="93" t="s">
        <v>3804</v>
      </c>
      <c r="B4632" s="94" t="str">
        <f>IFERROR(VLOOKUP($A4632,HeadJournal!$A$1:$NTR$890,COLUMN(HeadJournal!B$1),0),"")</f>
        <v>722500450360</v>
      </c>
      <c r="C4632" s="94" t="str">
        <f>IFERROR(VLOOKUP($A4632,HeadJournal!$A$1:$NTR$890,COLUMN(HeadJournal!C$1),0),"")</f>
        <v>iHerb_MH DLE7202</v>
      </c>
      <c r="D4632" s="125" t="str">
        <f>IFERROR(VLOOKUP($A4632,HeadJournal!$A$1:$NTR$890,COLUMN(HeadJournal!D$1),0),"")</f>
        <v>Доставлен</v>
      </c>
      <c r="E4632" s="95">
        <f>IFERROR(VLOOKUP($A4632,HeadJournal!$A$1:$NTR$890,COLUMN(HeadJournal!G$1),0),"")</f>
        <v>45792</v>
      </c>
      <c r="F4632" s="95" t="str">
        <f t="shared" si="356"/>
        <v>2025 05</v>
      </c>
      <c r="G4632" s="97" t="s">
        <v>5</v>
      </c>
      <c r="H4632" s="161" t="s">
        <v>2162</v>
      </c>
      <c r="I4632" s="97" t="s">
        <v>2163</v>
      </c>
      <c r="J4632" s="97" t="s">
        <v>2164</v>
      </c>
      <c r="K4632" s="29">
        <v>20.440000000000001</v>
      </c>
      <c r="L4632" s="29">
        <v>-4.09</v>
      </c>
      <c r="M4632" s="30">
        <f>IFERROR(VLOOKUP($A4632,HeadJournal!$A$1:$J$890,COLUMN(HeadJournal!I$1),0)*($K4632+$L4632)/(SUMIF($A:$A,$A4632,$K:$K)+SUMIF($A:$A,$A4632,$L:$L)),0)</f>
        <v>-0.73762064851968345</v>
      </c>
      <c r="N4632" s="30">
        <f>IFERROR((VLOOKUP($A4632,HeadJournal!$A$1:$K$890,COLUMN(HeadJournal!K$1),0)-VLOOKUP($A4632,HeadJournal!$A$1:$K$890,COLUMN(HeadJournal!J$1),0))*($K4632+$L4632)/(SUMIF($A:$A,$A4632,$K:$K)+SUMIF($A:$A,$A4632,$L:$L)),0)</f>
        <v>0</v>
      </c>
      <c r="O4632" s="30">
        <f>IFERROR((VLOOKUP($A4632,HeadJournal!$A$1:$L$890,COLUMN(HeadJournal!L$1),0)*($K4632+$L4632)/(SUMIF($A:$A,$A4632,$K:$K)+SUMIF($A:$A,$A4632,$L:$L)))/VLOOKUP($A4632,HeadJournal!$A$1:$L$890,COLUMN(HeadJournal!H$1),0),0)</f>
        <v>0.5594548789833621</v>
      </c>
      <c r="P4632" s="30">
        <f>IFERROR(SUM(K4632:O4632)*VLOOKUP($A4632,HeadJournal!$A$1:$L$890,COLUMN(HeadJournal!H$1),0),0)</f>
        <v>1486.3871705888735</v>
      </c>
      <c r="Q4632" s="29">
        <v>2600</v>
      </c>
      <c r="R4632" s="31">
        <v>45821</v>
      </c>
      <c r="S4632" s="31" t="s">
        <v>3235</v>
      </c>
      <c r="T4632" s="95" t="str">
        <f t="shared" si="357"/>
        <v>2025 06</v>
      </c>
      <c r="U4632" s="32">
        <f t="shared" si="354"/>
        <v>1113.6128294111265</v>
      </c>
      <c r="V4632" s="22">
        <f t="shared" si="355"/>
        <v>0.74920777805821481</v>
      </c>
      <c r="X4632" s="33"/>
      <c r="Y4632" s="33"/>
    </row>
    <row r="4633" spans="1:25" x14ac:dyDescent="0.2">
      <c r="A4633" s="93" t="s">
        <v>3804</v>
      </c>
      <c r="B4633" s="94" t="str">
        <f>IFERROR(VLOOKUP($A4633,HeadJournal!$A$1:$NTR$890,COLUMN(HeadJournal!B$1),0),"")</f>
        <v>722500450360</v>
      </c>
      <c r="C4633" s="94" t="str">
        <f>IFERROR(VLOOKUP($A4633,HeadJournal!$A$1:$NTR$890,COLUMN(HeadJournal!C$1),0),"")</f>
        <v>iHerb_MH DLE7202</v>
      </c>
      <c r="D4633" s="125" t="str">
        <f>IFERROR(VLOOKUP($A4633,HeadJournal!$A$1:$NTR$890,COLUMN(HeadJournal!D$1),0),"")</f>
        <v>Доставлен</v>
      </c>
      <c r="E4633" s="95">
        <f>IFERROR(VLOOKUP($A4633,HeadJournal!$A$1:$NTR$890,COLUMN(HeadJournal!G$1),0),"")</f>
        <v>45792</v>
      </c>
      <c r="F4633" s="95" t="str">
        <f t="shared" si="356"/>
        <v>2025 05</v>
      </c>
      <c r="G4633" s="97" t="s">
        <v>5</v>
      </c>
      <c r="H4633" s="161" t="s">
        <v>2028</v>
      </c>
      <c r="I4633" s="97" t="s">
        <v>2009</v>
      </c>
      <c r="J4633" s="97" t="s">
        <v>2029</v>
      </c>
      <c r="K4633" s="29">
        <v>15.59</v>
      </c>
      <c r="L4633" s="29">
        <v>-3.12</v>
      </c>
      <c r="M4633" s="30">
        <f>IFERROR(VLOOKUP($A4633,HeadJournal!$A$1:$J$890,COLUMN(HeadJournal!I$1),0)*($K4633+$L4633)/(SUMIF($A:$A,$A4633,$K:$K)+SUMIF($A:$A,$A4633,$L:$L)),0)</f>
        <v>-0.56257672703611328</v>
      </c>
      <c r="N4633" s="30">
        <f>IFERROR((VLOOKUP($A4633,HeadJournal!$A$1:$K$890,COLUMN(HeadJournal!K$1),0)-VLOOKUP($A4633,HeadJournal!$A$1:$K$890,COLUMN(HeadJournal!J$1),0))*($K4633+$L4633)/(SUMIF($A:$A,$A4633,$K:$K)+SUMIF($A:$A,$A4633,$L:$L)),0)</f>
        <v>0</v>
      </c>
      <c r="O4633" s="30">
        <f>IFERROR((VLOOKUP($A4633,HeadJournal!$A$1:$L$890,COLUMN(HeadJournal!L$1),0)*($K4633+$L4633)/(SUMIF($A:$A,$A4633,$K:$K)+SUMIF($A:$A,$A4633,$L:$L)))/VLOOKUP($A4633,HeadJournal!$A$1:$L$890,COLUMN(HeadJournal!H$1),0),0)</f>
        <v>0.42669127467416057</v>
      </c>
      <c r="P4633" s="30">
        <f>IFERROR(SUM(K4633:O4633)*VLOOKUP($A4633,HeadJournal!$A$1:$L$890,COLUMN(HeadJournal!H$1),0),0)</f>
        <v>1133.6543129812385</v>
      </c>
      <c r="Q4633" s="29">
        <v>1900</v>
      </c>
      <c r="R4633" s="31">
        <v>45828</v>
      </c>
      <c r="S4633" s="31" t="s">
        <v>3121</v>
      </c>
      <c r="T4633" s="95" t="str">
        <f t="shared" si="357"/>
        <v>2025 06</v>
      </c>
      <c r="U4633" s="32">
        <f t="shared" si="354"/>
        <v>766.34568701876151</v>
      </c>
      <c r="V4633" s="22">
        <f t="shared" si="355"/>
        <v>0.67599591713584761</v>
      </c>
      <c r="X4633" s="33"/>
      <c r="Y4633" s="33"/>
    </row>
    <row r="4634" spans="1:25" x14ac:dyDescent="0.2">
      <c r="A4634" s="93" t="s">
        <v>3804</v>
      </c>
      <c r="B4634" s="94" t="str">
        <f>IFERROR(VLOOKUP($A4634,HeadJournal!$A$1:$NTR$890,COLUMN(HeadJournal!B$1),0),"")</f>
        <v>722500450360</v>
      </c>
      <c r="C4634" s="94" t="str">
        <f>IFERROR(VLOOKUP($A4634,HeadJournal!$A$1:$NTR$890,COLUMN(HeadJournal!C$1),0),"")</f>
        <v>iHerb_MH DLE7202</v>
      </c>
      <c r="D4634" s="125" t="str">
        <f>IFERROR(VLOOKUP($A4634,HeadJournal!$A$1:$NTR$890,COLUMN(HeadJournal!D$1),0),"")</f>
        <v>Доставлен</v>
      </c>
      <c r="E4634" s="95">
        <f>IFERROR(VLOOKUP($A4634,HeadJournal!$A$1:$NTR$890,COLUMN(HeadJournal!G$1),0),"")</f>
        <v>45792</v>
      </c>
      <c r="F4634" s="95" t="str">
        <f t="shared" si="356"/>
        <v>2025 05</v>
      </c>
      <c r="G4634" s="97" t="s">
        <v>5</v>
      </c>
      <c r="H4634" s="161" t="s">
        <v>2028</v>
      </c>
      <c r="I4634" s="97" t="s">
        <v>2009</v>
      </c>
      <c r="J4634" s="97" t="s">
        <v>2029</v>
      </c>
      <c r="K4634" s="29">
        <v>15.59</v>
      </c>
      <c r="L4634" s="29">
        <v>-3.12</v>
      </c>
      <c r="M4634" s="30">
        <f>IFERROR(VLOOKUP($A4634,HeadJournal!$A$1:$J$890,COLUMN(HeadJournal!I$1),0)*($K4634+$L4634)/(SUMIF($A:$A,$A4634,$K:$K)+SUMIF($A:$A,$A4634,$L:$L)),0)</f>
        <v>-0.56257672703611328</v>
      </c>
      <c r="N4634" s="30">
        <f>IFERROR((VLOOKUP($A4634,HeadJournal!$A$1:$K$890,COLUMN(HeadJournal!K$1),0)-VLOOKUP($A4634,HeadJournal!$A$1:$K$890,COLUMN(HeadJournal!J$1),0))*($K4634+$L4634)/(SUMIF($A:$A,$A4634,$K:$K)+SUMIF($A:$A,$A4634,$L:$L)),0)</f>
        <v>0</v>
      </c>
      <c r="O4634" s="30">
        <f>IFERROR((VLOOKUP($A4634,HeadJournal!$A$1:$L$890,COLUMN(HeadJournal!L$1),0)*($K4634+$L4634)/(SUMIF($A:$A,$A4634,$K:$K)+SUMIF($A:$A,$A4634,$L:$L)))/VLOOKUP($A4634,HeadJournal!$A$1:$L$890,COLUMN(HeadJournal!H$1),0),0)</f>
        <v>0.42669127467416057</v>
      </c>
      <c r="P4634" s="30">
        <f>IFERROR(SUM(K4634:O4634)*VLOOKUP($A4634,HeadJournal!$A$1:$L$890,COLUMN(HeadJournal!H$1),0),0)</f>
        <v>1133.6543129812385</v>
      </c>
      <c r="Q4634" s="29">
        <v>2000</v>
      </c>
      <c r="R4634" s="31">
        <v>45936</v>
      </c>
      <c r="S4634" s="31"/>
      <c r="T4634" s="95" t="str">
        <f t="shared" si="357"/>
        <v>2025 10</v>
      </c>
      <c r="U4634" s="32">
        <f t="shared" si="354"/>
        <v>866.34568701876151</v>
      </c>
      <c r="V4634" s="22">
        <f t="shared" si="355"/>
        <v>0.76420622856405007</v>
      </c>
      <c r="X4634" s="33"/>
      <c r="Y4634" s="33"/>
    </row>
    <row r="4635" spans="1:25" x14ac:dyDescent="0.2">
      <c r="A4635" s="93" t="s">
        <v>3804</v>
      </c>
      <c r="B4635" s="94" t="str">
        <f>IFERROR(VLOOKUP($A4635,HeadJournal!$A$1:$NTR$890,COLUMN(HeadJournal!B$1),0),"")</f>
        <v>722500450360</v>
      </c>
      <c r="C4635" s="94" t="str">
        <f>IFERROR(VLOOKUP($A4635,HeadJournal!$A$1:$NTR$890,COLUMN(HeadJournal!C$1),0),"")</f>
        <v>iHerb_MH DLE7202</v>
      </c>
      <c r="D4635" s="125" t="str">
        <f>IFERROR(VLOOKUP($A4635,HeadJournal!$A$1:$NTR$890,COLUMN(HeadJournal!D$1),0),"")</f>
        <v>Доставлен</v>
      </c>
      <c r="E4635" s="95">
        <f>IFERROR(VLOOKUP($A4635,HeadJournal!$A$1:$NTR$890,COLUMN(HeadJournal!G$1),0),"")</f>
        <v>45792</v>
      </c>
      <c r="F4635" s="95" t="str">
        <f t="shared" si="356"/>
        <v>2025 05</v>
      </c>
      <c r="G4635" s="97" t="s">
        <v>5</v>
      </c>
      <c r="H4635" s="161" t="s">
        <v>2203</v>
      </c>
      <c r="I4635" s="97" t="s">
        <v>2166</v>
      </c>
      <c r="J4635" s="97" t="s">
        <v>4099</v>
      </c>
      <c r="K4635" s="29">
        <v>9.14</v>
      </c>
      <c r="L4635" s="29">
        <v>-1.83</v>
      </c>
      <c r="M4635" s="30">
        <f>IFERROR(VLOOKUP($A4635,HeadJournal!$A$1:$J$890,COLUMN(HeadJournal!I$1),0)*($K4635+$L4635)/(SUMIF($A:$A,$A4635,$K:$K)+SUMIF($A:$A,$A4635,$L:$L)),0)</f>
        <v>-0.32978635722806643</v>
      </c>
      <c r="N4635" s="30">
        <f>IFERROR((VLOOKUP($A4635,HeadJournal!$A$1:$K$890,COLUMN(HeadJournal!K$1),0)-VLOOKUP($A4635,HeadJournal!$A$1:$K$890,COLUMN(HeadJournal!J$1),0))*($K4635+$L4635)/(SUMIF($A:$A,$A4635,$K:$K)+SUMIF($A:$A,$A4635,$L:$L)),0)</f>
        <v>0</v>
      </c>
      <c r="O4635" s="30">
        <f>IFERROR((VLOOKUP($A4635,HeadJournal!$A$1:$L$890,COLUMN(HeadJournal!L$1),0)*($K4635+$L4635)/(SUMIF($A:$A,$A4635,$K:$K)+SUMIF($A:$A,$A4635,$L:$L)))/VLOOKUP($A4635,HeadJournal!$A$1:$L$890,COLUMN(HeadJournal!H$1),0),0)</f>
        <v>0.25012936791243895</v>
      </c>
      <c r="P4635" s="30">
        <f>IFERROR(SUM(K4635:O4635)*VLOOKUP($A4635,HeadJournal!$A$1:$L$890,COLUMN(HeadJournal!H$1),0),0)</f>
        <v>664.55597657520877</v>
      </c>
      <c r="Q4635" s="29">
        <v>1500</v>
      </c>
      <c r="R4635" s="31">
        <v>45882</v>
      </c>
      <c r="S4635" s="31" t="s">
        <v>3235</v>
      </c>
      <c r="T4635" s="95" t="str">
        <f t="shared" si="357"/>
        <v>2025 08</v>
      </c>
      <c r="U4635" s="32">
        <f t="shared" si="354"/>
        <v>835.44402342479123</v>
      </c>
      <c r="V4635" s="22">
        <f t="shared" si="355"/>
        <v>1.2571462041922405</v>
      </c>
      <c r="X4635" s="33"/>
      <c r="Y4635" s="33"/>
    </row>
    <row r="4636" spans="1:25" x14ac:dyDescent="0.2">
      <c r="A4636" s="93" t="s">
        <v>3804</v>
      </c>
      <c r="B4636" s="94" t="str">
        <f>IFERROR(VLOOKUP($A4636,HeadJournal!$A$1:$NTR$890,COLUMN(HeadJournal!B$1),0),"")</f>
        <v>722500450360</v>
      </c>
      <c r="C4636" s="94" t="str">
        <f>IFERROR(VLOOKUP($A4636,HeadJournal!$A$1:$NTR$890,COLUMN(HeadJournal!C$1),0),"")</f>
        <v>iHerb_MH DLE7202</v>
      </c>
      <c r="D4636" s="125" t="str">
        <f>IFERROR(VLOOKUP($A4636,HeadJournal!$A$1:$NTR$890,COLUMN(HeadJournal!D$1),0),"")</f>
        <v>Доставлен</v>
      </c>
      <c r="E4636" s="95">
        <f>IFERROR(VLOOKUP($A4636,HeadJournal!$A$1:$NTR$890,COLUMN(HeadJournal!G$1),0),"")</f>
        <v>45792</v>
      </c>
      <c r="F4636" s="95" t="str">
        <f t="shared" si="356"/>
        <v>2025 05</v>
      </c>
      <c r="G4636" s="97" t="s">
        <v>5</v>
      </c>
      <c r="H4636" s="161" t="s">
        <v>2684</v>
      </c>
      <c r="I4636" s="97" t="s">
        <v>2166</v>
      </c>
      <c r="J4636" s="97" t="s">
        <v>2685</v>
      </c>
      <c r="K4636" s="29">
        <v>20.149999999999999</v>
      </c>
      <c r="L4636" s="29">
        <v>-4.03</v>
      </c>
      <c r="M4636" s="30">
        <f>IFERROR(VLOOKUP($A4636,HeadJournal!$A$1:$J$890,COLUMN(HeadJournal!I$1),0)*($K4636+$L4636)/(SUMIF($A:$A,$A4636,$K:$K)+SUMIF($A:$A,$A4636,$L:$L)),0)</f>
        <v>-0.72724433358637885</v>
      </c>
      <c r="N4636" s="30">
        <f>IFERROR((VLOOKUP($A4636,HeadJournal!$A$1:$K$890,COLUMN(HeadJournal!K$1),0)-VLOOKUP($A4636,HeadJournal!$A$1:$K$890,COLUMN(HeadJournal!J$1),0))*($K4636+$L4636)/(SUMIF($A:$A,$A4636,$K:$K)+SUMIF($A:$A,$A4636,$L:$L)),0)</f>
        <v>0</v>
      </c>
      <c r="O4636" s="30">
        <f>IFERROR((VLOOKUP($A4636,HeadJournal!$A$1:$L$890,COLUMN(HeadJournal!L$1),0)*($K4636+$L4636)/(SUMIF($A:$A,$A4636,$K:$K)+SUMIF($A:$A,$A4636,$L:$L)))/VLOOKUP($A4636,HeadJournal!$A$1:$L$890,COLUMN(HeadJournal!H$1),0),0)</f>
        <v>0.55158487151142488</v>
      </c>
      <c r="P4636" s="30">
        <f>IFERROR(SUM(K4636:O4636)*VLOOKUP($A4636,HeadJournal!$A$1:$L$890,COLUMN(HeadJournal!H$1),0),0)</f>
        <v>1465.4777486172864</v>
      </c>
      <c r="Q4636" s="29">
        <v>2300</v>
      </c>
      <c r="R4636" s="31">
        <v>45839</v>
      </c>
      <c r="S4636" s="31"/>
      <c r="T4636" s="95" t="str">
        <f t="shared" si="357"/>
        <v>2025 07</v>
      </c>
      <c r="U4636" s="32">
        <f t="shared" si="354"/>
        <v>834.52225138271365</v>
      </c>
      <c r="V4636" s="22">
        <f t="shared" si="355"/>
        <v>0.56945405835749163</v>
      </c>
      <c r="X4636" s="33"/>
      <c r="Y4636" s="33"/>
    </row>
    <row r="4637" spans="1:25" x14ac:dyDescent="0.2">
      <c r="A4637" s="93" t="s">
        <v>3804</v>
      </c>
      <c r="B4637" s="94" t="str">
        <f>IFERROR(VLOOKUP($A4637,HeadJournal!$A$1:$NTR$890,COLUMN(HeadJournal!B$1),0),"")</f>
        <v>722500450360</v>
      </c>
      <c r="C4637" s="94" t="str">
        <f>IFERROR(VLOOKUP($A4637,HeadJournal!$A$1:$NTR$890,COLUMN(HeadJournal!C$1),0),"")</f>
        <v>iHerb_MH DLE7202</v>
      </c>
      <c r="D4637" s="125" t="str">
        <f>IFERROR(VLOOKUP($A4637,HeadJournal!$A$1:$NTR$890,COLUMN(HeadJournal!D$1),0),"")</f>
        <v>Доставлен</v>
      </c>
      <c r="E4637" s="95">
        <f>IFERROR(VLOOKUP($A4637,HeadJournal!$A$1:$NTR$890,COLUMN(HeadJournal!G$1),0),"")</f>
        <v>45792</v>
      </c>
      <c r="F4637" s="95" t="str">
        <f t="shared" si="356"/>
        <v>2025 05</v>
      </c>
      <c r="G4637" s="97" t="s">
        <v>7</v>
      </c>
      <c r="H4637" s="161" t="s">
        <v>3740</v>
      </c>
      <c r="I4637" s="97" t="s">
        <v>3741</v>
      </c>
      <c r="J4637" s="97" t="s">
        <v>3742</v>
      </c>
      <c r="K4637" s="29">
        <v>28</v>
      </c>
      <c r="L4637" s="29">
        <v>-15.5</v>
      </c>
      <c r="M4637" s="30">
        <f>IFERROR(VLOOKUP($A4637,HeadJournal!$A$1:$J$890,COLUMN(HeadJournal!I$1),0)*($K4637+$L4637)/(SUMIF($A:$A,$A4637,$K:$K)+SUMIF($A:$A,$A4637,$L:$L)),0)</f>
        <v>-0.56393015941871816</v>
      </c>
      <c r="N4637" s="30">
        <f>IFERROR((VLOOKUP($A4637,HeadJournal!$A$1:$K$890,COLUMN(HeadJournal!K$1),0)-VLOOKUP($A4637,HeadJournal!$A$1:$K$890,COLUMN(HeadJournal!J$1),0))*($K4637+$L4637)/(SUMIF($A:$A,$A4637,$K:$K)+SUMIF($A:$A,$A4637,$L:$L)),0)</f>
        <v>0</v>
      </c>
      <c r="O4637" s="30">
        <f>IFERROR((VLOOKUP($A4637,HeadJournal!$A$1:$L$890,COLUMN(HeadJournal!L$1),0)*($K4637+$L4637)/(SUMIF($A:$A,$A4637,$K:$K)+SUMIF($A:$A,$A4637,$L:$L)))/VLOOKUP($A4637,HeadJournal!$A$1:$L$890,COLUMN(HeadJournal!H$1),0),0)</f>
        <v>0.42771779738789151</v>
      </c>
      <c r="P4637" s="30">
        <f>IFERROR(SUM(K4637:O4637)*VLOOKUP($A4637,HeadJournal!$A$1:$L$890,COLUMN(HeadJournal!H$1),0),0)</f>
        <v>1136.3816288905759</v>
      </c>
      <c r="Q4637" s="29">
        <v>1136.3800000000001</v>
      </c>
      <c r="R4637" s="31"/>
      <c r="S4637" s="31"/>
      <c r="T4637" s="95" t="str">
        <f t="shared" si="357"/>
        <v/>
      </c>
      <c r="U4637" s="32">
        <f t="shared" si="354"/>
        <v>-1.6288905758301553E-3</v>
      </c>
      <c r="V4637" s="22">
        <f t="shared" si="355"/>
        <v>-1.4334010110849863E-6</v>
      </c>
      <c r="X4637" s="33"/>
      <c r="Y4637" s="33"/>
    </row>
    <row r="4638" spans="1:25" x14ac:dyDescent="0.2">
      <c r="A4638" s="93" t="s">
        <v>3804</v>
      </c>
      <c r="B4638" s="94" t="str">
        <f>IFERROR(VLOOKUP($A4638,HeadJournal!$A$1:$NTR$890,COLUMN(HeadJournal!B$1),0),"")</f>
        <v>722500450360</v>
      </c>
      <c r="C4638" s="94" t="str">
        <f>IFERROR(VLOOKUP($A4638,HeadJournal!$A$1:$NTR$890,COLUMN(HeadJournal!C$1),0),"")</f>
        <v>iHerb_MH DLE7202</v>
      </c>
      <c r="D4638" s="125" t="str">
        <f>IFERROR(VLOOKUP($A4638,HeadJournal!$A$1:$NTR$890,COLUMN(HeadJournal!D$1),0),"")</f>
        <v>Доставлен</v>
      </c>
      <c r="E4638" s="95">
        <f>IFERROR(VLOOKUP($A4638,HeadJournal!$A$1:$NTR$890,COLUMN(HeadJournal!G$1),0),"")</f>
        <v>45792</v>
      </c>
      <c r="F4638" s="95" t="str">
        <f t="shared" si="356"/>
        <v>2025 05</v>
      </c>
      <c r="G4638" s="97" t="s">
        <v>5</v>
      </c>
      <c r="H4638" s="161" t="s">
        <v>2422</v>
      </c>
      <c r="I4638" s="97" t="s">
        <v>2005</v>
      </c>
      <c r="J4638" s="97" t="s">
        <v>2423</v>
      </c>
      <c r="K4638" s="29">
        <v>40.26</v>
      </c>
      <c r="L4638" s="29">
        <v>-8.0500000000000007</v>
      </c>
      <c r="M4638" s="30">
        <f>IFERROR(VLOOKUP($A4638,HeadJournal!$A$1:$J$890,COLUMN(HeadJournal!I$1),0)*($K4638+$L4638)/(SUMIF($A:$A,$A4638,$K:$K)+SUMIF($A:$A,$A4638,$L:$L)),0)</f>
        <v>-1.4531352347901529</v>
      </c>
      <c r="N4638" s="30">
        <f>IFERROR((VLOOKUP($A4638,HeadJournal!$A$1:$K$890,COLUMN(HeadJournal!K$1),0)-VLOOKUP($A4638,HeadJournal!$A$1:$K$890,COLUMN(HeadJournal!J$1),0))*($K4638+$L4638)/(SUMIF($A:$A,$A4638,$K:$K)+SUMIF($A:$A,$A4638,$L:$L)),0)</f>
        <v>0</v>
      </c>
      <c r="O4638" s="30">
        <f>IFERROR((VLOOKUP($A4638,HeadJournal!$A$1:$L$890,COLUMN(HeadJournal!L$1),0)*($K4638+$L4638)/(SUMIF($A:$A,$A4638,$K:$K)+SUMIF($A:$A,$A4638,$L:$L)))/VLOOKUP($A4638,HeadJournal!$A$1:$L$890,COLUMN(HeadJournal!H$1),0),0)</f>
        <v>1.1021432203091186</v>
      </c>
      <c r="P4638" s="30">
        <f>IFERROR(SUM(K4638:O4638)*VLOOKUP($A4638,HeadJournal!$A$1:$L$890,COLUMN(HeadJournal!H$1),0),0)</f>
        <v>2928.2281813252353</v>
      </c>
      <c r="Q4638" s="29">
        <v>4400</v>
      </c>
      <c r="R4638" s="31">
        <v>45992</v>
      </c>
      <c r="S4638" s="31" t="s">
        <v>4610</v>
      </c>
      <c r="T4638" s="95" t="str">
        <f t="shared" si="357"/>
        <v>2025 12</v>
      </c>
      <c r="U4638" s="32">
        <f t="shared" si="354"/>
        <v>1471.7718186747647</v>
      </c>
      <c r="V4638" s="22">
        <f t="shared" si="355"/>
        <v>0.50261514046650613</v>
      </c>
      <c r="X4638" s="33"/>
      <c r="Y4638" s="33"/>
    </row>
    <row r="4639" spans="1:25" x14ac:dyDescent="0.2">
      <c r="A4639" s="93" t="s">
        <v>3805</v>
      </c>
      <c r="B4639" s="94" t="str">
        <f>IFERROR(VLOOKUP($A4639,HeadJournal!$A$1:$NTR$890,COLUMN(HeadJournal!B$1),0),"")</f>
        <v>720000686659</v>
      </c>
      <c r="C4639" s="94" t="str">
        <f>IFERROR(VLOOKUP($A4639,HeadJournal!$A$1:$NTR$890,COLUMN(HeadJournal!C$1),0),"")</f>
        <v>iHerb_MH DLE7202</v>
      </c>
      <c r="D4639" s="125" t="str">
        <f>IFERROR(VLOOKUP($A4639,HeadJournal!$A$1:$NTR$890,COLUMN(HeadJournal!D$1),0),"")</f>
        <v>Доставлен</v>
      </c>
      <c r="E4639" s="95">
        <f>IFERROR(VLOOKUP($A4639,HeadJournal!$A$1:$NTR$890,COLUMN(HeadJournal!G$1),0),"")</f>
        <v>45801</v>
      </c>
      <c r="F4639" s="95" t="str">
        <f t="shared" si="356"/>
        <v>2025 05</v>
      </c>
      <c r="G4639" s="97" t="s">
        <v>5</v>
      </c>
      <c r="H4639" s="161" t="s">
        <v>3638</v>
      </c>
      <c r="I4639" s="97" t="s">
        <v>2039</v>
      </c>
      <c r="J4639" s="97" t="s">
        <v>3743</v>
      </c>
      <c r="K4639" s="29">
        <v>18.899999999999999</v>
      </c>
      <c r="L4639" s="29">
        <v>-3.78</v>
      </c>
      <c r="M4639" s="30">
        <f>IFERROR(VLOOKUP($A4639,HeadJournal!$A$1:$J$890,COLUMN(HeadJournal!I$1),0)*($K4639+$L4639)/(SUMIF($A:$A,$A4639,$K:$K)+SUMIF($A:$A,$A4639,$L:$L)),0)</f>
        <v>-0.77841974284529214</v>
      </c>
      <c r="N4639" s="30">
        <f>IFERROR((VLOOKUP($A4639,HeadJournal!$A$1:$K$890,COLUMN(HeadJournal!K$1),0)-VLOOKUP($A4639,HeadJournal!$A$1:$K$890,COLUMN(HeadJournal!J$1),0))*($K4639+$L4639)/(SUMIF($A:$A,$A4639,$K:$K)+SUMIF($A:$A,$A4639,$L:$L)),0)</f>
        <v>-4.4559959206523065E-15</v>
      </c>
      <c r="O4639" s="30">
        <f>IFERROR((VLOOKUP($A4639,HeadJournal!$A$1:$L$890,COLUMN(HeadJournal!L$1),0)*($K4639+$L4639)/(SUMIF($A:$A,$A4639,$K:$K)+SUMIF($A:$A,$A4639,$L:$L)))/VLOOKUP($A4639,HeadJournal!$A$1:$L$890,COLUMN(HeadJournal!H$1),0),0)</f>
        <v>0.45198588190578759</v>
      </c>
      <c r="P4639" s="30">
        <f>IFERROR(SUM(K4639:O4639)*VLOOKUP($A4639,HeadJournal!$A$1:$L$890,COLUMN(HeadJournal!H$1),0),0)</f>
        <v>1359.8420655329735</v>
      </c>
      <c r="Q4639" s="29">
        <v>2200</v>
      </c>
      <c r="R4639" s="31">
        <v>45993</v>
      </c>
      <c r="S4639" s="31" t="s">
        <v>3384</v>
      </c>
      <c r="T4639" s="95" t="str">
        <f t="shared" si="357"/>
        <v>2025 12</v>
      </c>
      <c r="U4639" s="32">
        <f t="shared" si="354"/>
        <v>840.15793446702651</v>
      </c>
      <c r="V4639" s="22">
        <f t="shared" si="355"/>
        <v>0.61783493521928734</v>
      </c>
      <c r="X4639" s="33"/>
      <c r="Y4639" s="33"/>
    </row>
    <row r="4640" spans="1:25" x14ac:dyDescent="0.2">
      <c r="A4640" s="93" t="s">
        <v>3805</v>
      </c>
      <c r="B4640" s="94" t="str">
        <f>IFERROR(VLOOKUP($A4640,HeadJournal!$A$1:$NTR$890,COLUMN(HeadJournal!B$1),0),"")</f>
        <v>720000686659</v>
      </c>
      <c r="C4640" s="94" t="str">
        <f>IFERROR(VLOOKUP($A4640,HeadJournal!$A$1:$NTR$890,COLUMN(HeadJournal!C$1),0),"")</f>
        <v>iHerb_MH DLE7202</v>
      </c>
      <c r="D4640" s="125" t="str">
        <f>IFERROR(VLOOKUP($A4640,HeadJournal!$A$1:$NTR$890,COLUMN(HeadJournal!D$1),0),"")</f>
        <v>Доставлен</v>
      </c>
      <c r="E4640" s="95">
        <f>IFERROR(VLOOKUP($A4640,HeadJournal!$A$1:$NTR$890,COLUMN(HeadJournal!G$1),0),"")</f>
        <v>45801</v>
      </c>
      <c r="F4640" s="95" t="str">
        <f t="shared" si="356"/>
        <v>2025 05</v>
      </c>
      <c r="G4640" s="97" t="s">
        <v>7</v>
      </c>
      <c r="H4640" s="161" t="s">
        <v>3744</v>
      </c>
      <c r="I4640" s="97" t="s">
        <v>2556</v>
      </c>
      <c r="J4640" s="97" t="s">
        <v>3745</v>
      </c>
      <c r="K4640" s="29">
        <v>12.9</v>
      </c>
      <c r="L4640" s="29">
        <v>-11.9</v>
      </c>
      <c r="M4640" s="30">
        <f>IFERROR(VLOOKUP($A4640,HeadJournal!$A$1:$J$890,COLUMN(HeadJournal!I$1),0)*($K4640+$L4640)/(SUMIF($A:$A,$A4640,$K:$K)+SUMIF($A:$A,$A4640,$L:$L)),0)</f>
        <v>-5.1482787225217735E-2</v>
      </c>
      <c r="N4640" s="30">
        <f>IFERROR((VLOOKUP($A4640,HeadJournal!$A$1:$K$890,COLUMN(HeadJournal!K$1),0)-VLOOKUP($A4640,HeadJournal!$A$1:$K$890,COLUMN(HeadJournal!J$1),0))*($K4640+$L4640)/(SUMIF($A:$A,$A4640,$K:$K)+SUMIF($A:$A,$A4640,$L:$L)),0)</f>
        <v>-2.9470872491086685E-16</v>
      </c>
      <c r="O4640" s="30">
        <f>IFERROR((VLOOKUP($A4640,HeadJournal!$A$1:$L$890,COLUMN(HeadJournal!L$1),0)*($K4640+$L4640)/(SUMIF($A:$A,$A4640,$K:$K)+SUMIF($A:$A,$A4640,$L:$L)))/VLOOKUP($A4640,HeadJournal!$A$1:$L$890,COLUMN(HeadJournal!H$1),0),0)</f>
        <v>2.9893246157790185E-2</v>
      </c>
      <c r="P4640" s="30">
        <f>IFERROR(SUM(K4640:O4640)*VLOOKUP($A4640,HeadJournal!$A$1:$L$890,COLUMN(HeadJournal!H$1),0),0)</f>
        <v>89.936644545831584</v>
      </c>
      <c r="Q4640" s="29"/>
      <c r="R4640" s="31"/>
      <c r="S4640" s="31"/>
      <c r="T4640" s="95" t="str">
        <f t="shared" si="357"/>
        <v/>
      </c>
      <c r="U4640" s="32">
        <f t="shared" si="354"/>
        <v>-89.936644545831584</v>
      </c>
      <c r="V4640" s="22" t="str">
        <f t="shared" si="355"/>
        <v/>
      </c>
      <c r="X4640" s="33"/>
      <c r="Y4640" s="33"/>
    </row>
    <row r="4641" spans="1:25" x14ac:dyDescent="0.2">
      <c r="A4641" s="93" t="s">
        <v>3805</v>
      </c>
      <c r="B4641" s="94" t="str">
        <f>IFERROR(VLOOKUP($A4641,HeadJournal!$A$1:$NTR$890,COLUMN(HeadJournal!B$1),0),"")</f>
        <v>720000686659</v>
      </c>
      <c r="C4641" s="94" t="str">
        <f>IFERROR(VLOOKUP($A4641,HeadJournal!$A$1:$NTR$890,COLUMN(HeadJournal!C$1),0),"")</f>
        <v>iHerb_MH DLE7202</v>
      </c>
      <c r="D4641" s="125" t="str">
        <f>IFERROR(VLOOKUP($A4641,HeadJournal!$A$1:$NTR$890,COLUMN(HeadJournal!D$1),0),"")</f>
        <v>Доставлен</v>
      </c>
      <c r="E4641" s="95">
        <f>IFERROR(VLOOKUP($A4641,HeadJournal!$A$1:$NTR$890,COLUMN(HeadJournal!G$1),0),"")</f>
        <v>45801</v>
      </c>
      <c r="F4641" s="95" t="str">
        <f t="shared" si="356"/>
        <v>2025 05</v>
      </c>
      <c r="G4641" s="97" t="s">
        <v>5</v>
      </c>
      <c r="H4641" s="161" t="s">
        <v>2094</v>
      </c>
      <c r="I4641" s="97" t="s">
        <v>2042</v>
      </c>
      <c r="J4641" s="97" t="s">
        <v>2095</v>
      </c>
      <c r="K4641" s="29">
        <v>16.93</v>
      </c>
      <c r="L4641" s="29">
        <v>-3.39</v>
      </c>
      <c r="M4641" s="30">
        <f>IFERROR(VLOOKUP($A4641,HeadJournal!$A$1:$J$890,COLUMN(HeadJournal!I$1),0)*($K4641+$L4641)/(SUMIF($A:$A,$A4641,$K:$K)+SUMIF($A:$A,$A4641,$L:$L)),0)</f>
        <v>-0.69707693902944801</v>
      </c>
      <c r="N4641" s="30">
        <f>IFERROR((VLOOKUP($A4641,HeadJournal!$A$1:$K$890,COLUMN(HeadJournal!K$1),0)-VLOOKUP($A4641,HeadJournal!$A$1:$K$890,COLUMN(HeadJournal!J$1),0))*($K4641+$L4641)/(SUMIF($A:$A,$A4641,$K:$K)+SUMIF($A:$A,$A4641,$L:$L)),0)</f>
        <v>-3.9903561352931371E-15</v>
      </c>
      <c r="O4641" s="30">
        <f>IFERROR((VLOOKUP($A4641,HeadJournal!$A$1:$L$890,COLUMN(HeadJournal!L$1),0)*($K4641+$L4641)/(SUMIF($A:$A,$A4641,$K:$K)+SUMIF($A:$A,$A4641,$L:$L)))/VLOOKUP($A4641,HeadJournal!$A$1:$L$890,COLUMN(HeadJournal!H$1),0),0)</f>
        <v>0.40475455297647911</v>
      </c>
      <c r="P4641" s="30">
        <f>IFERROR(SUM(K4641:O4641)*VLOOKUP($A4641,HeadJournal!$A$1:$L$890,COLUMN(HeadJournal!H$1),0),0)</f>
        <v>1217.7421671505597</v>
      </c>
      <c r="Q4641" s="29">
        <v>2100</v>
      </c>
      <c r="R4641" s="31">
        <v>45835</v>
      </c>
      <c r="S4641" s="31" t="s">
        <v>3172</v>
      </c>
      <c r="T4641" s="95" t="str">
        <f t="shared" si="357"/>
        <v>2025 06</v>
      </c>
      <c r="U4641" s="32">
        <f t="shared" si="354"/>
        <v>882.25783284944032</v>
      </c>
      <c r="V4641" s="22">
        <f t="shared" si="355"/>
        <v>0.72450298318392659</v>
      </c>
      <c r="X4641" s="33"/>
      <c r="Y4641" s="33"/>
    </row>
    <row r="4642" spans="1:25" x14ac:dyDescent="0.2">
      <c r="A4642" s="93" t="s">
        <v>3805</v>
      </c>
      <c r="B4642" s="94" t="str">
        <f>IFERROR(VLOOKUP($A4642,HeadJournal!$A$1:$NTR$890,COLUMN(HeadJournal!B$1),0),"")</f>
        <v>720000686659</v>
      </c>
      <c r="C4642" s="94" t="str">
        <f>IFERROR(VLOOKUP($A4642,HeadJournal!$A$1:$NTR$890,COLUMN(HeadJournal!C$1),0),"")</f>
        <v>iHerb_MH DLE7202</v>
      </c>
      <c r="D4642" s="125" t="str">
        <f>IFERROR(VLOOKUP($A4642,HeadJournal!$A$1:$NTR$890,COLUMN(HeadJournal!D$1),0),"")</f>
        <v>Доставлен</v>
      </c>
      <c r="E4642" s="95">
        <f>IFERROR(VLOOKUP($A4642,HeadJournal!$A$1:$NTR$890,COLUMN(HeadJournal!G$1),0),"")</f>
        <v>45801</v>
      </c>
      <c r="F4642" s="95" t="str">
        <f t="shared" si="356"/>
        <v>2025 05</v>
      </c>
      <c r="G4642" s="97" t="s">
        <v>5</v>
      </c>
      <c r="H4642" s="161" t="s">
        <v>2577</v>
      </c>
      <c r="I4642" s="97" t="s">
        <v>2578</v>
      </c>
      <c r="J4642" s="97" t="s">
        <v>2579</v>
      </c>
      <c r="K4642" s="29">
        <v>26.73</v>
      </c>
      <c r="L4642" s="29">
        <v>-5.35</v>
      </c>
      <c r="M4642" s="30">
        <f>IFERROR(VLOOKUP($A4642,HeadJournal!$A$1:$J$890,COLUMN(HeadJournal!I$1),0)*($K4642+$L4642)/(SUMIF($A:$A,$A4642,$K:$K)+SUMIF($A:$A,$A4642,$L:$L)),0)</f>
        <v>-1.1007019908751552</v>
      </c>
      <c r="N4642" s="30">
        <f>IFERROR((VLOOKUP($A4642,HeadJournal!$A$1:$K$890,COLUMN(HeadJournal!K$1),0)-VLOOKUP($A4642,HeadJournal!$A$1:$K$890,COLUMN(HeadJournal!J$1),0))*($K4642+$L4642)/(SUMIF($A:$A,$A4642,$K:$K)+SUMIF($A:$A,$A4642,$L:$L)),0)</f>
        <v>-6.300872538594334E-15</v>
      </c>
      <c r="O4642" s="30">
        <f>IFERROR((VLOOKUP($A4642,HeadJournal!$A$1:$L$890,COLUMN(HeadJournal!L$1),0)*($K4642+$L4642)/(SUMIF($A:$A,$A4642,$K:$K)+SUMIF($A:$A,$A4642,$L:$L)))/VLOOKUP($A4642,HeadJournal!$A$1:$L$890,COLUMN(HeadJournal!H$1),0),0)</f>
        <v>0.63911760285355423</v>
      </c>
      <c r="P4642" s="30">
        <f>IFERROR(SUM(K4642:O4642)*VLOOKUP($A4642,HeadJournal!$A$1:$L$890,COLUMN(HeadJournal!H$1),0),0)</f>
        <v>1922.8454603898792</v>
      </c>
      <c r="Q4642" s="29">
        <v>3000</v>
      </c>
      <c r="R4642" s="31">
        <v>45835</v>
      </c>
      <c r="S4642" s="31" t="s">
        <v>3172</v>
      </c>
      <c r="T4642" s="95" t="str">
        <f t="shared" si="357"/>
        <v>2025 06</v>
      </c>
      <c r="U4642" s="32">
        <f t="shared" ref="U4642:U4896" si="358">Q4642-P4642</f>
        <v>1077.1545396101208</v>
      </c>
      <c r="V4642" s="22">
        <f t="shared" ref="V4642:V4896" si="359">IF(Q4642&lt;&gt;0,IFERROR(U4642/P4642,""),"")</f>
        <v>0.56018778513366085</v>
      </c>
      <c r="X4642" s="33"/>
      <c r="Y4642" s="33"/>
    </row>
    <row r="4643" spans="1:25" x14ac:dyDescent="0.2">
      <c r="A4643" s="93" t="s">
        <v>3805</v>
      </c>
      <c r="B4643" s="94" t="str">
        <f>IFERROR(VLOOKUP($A4643,HeadJournal!$A$1:$NTR$890,COLUMN(HeadJournal!B$1),0),"")</f>
        <v>720000686659</v>
      </c>
      <c r="C4643" s="94" t="str">
        <f>IFERROR(VLOOKUP($A4643,HeadJournal!$A$1:$NTR$890,COLUMN(HeadJournal!C$1),0),"")</f>
        <v>iHerb_MH DLE7202</v>
      </c>
      <c r="D4643" s="125" t="str">
        <f>IFERROR(VLOOKUP($A4643,HeadJournal!$A$1:$NTR$890,COLUMN(HeadJournal!D$1),0),"")</f>
        <v>Доставлен</v>
      </c>
      <c r="E4643" s="95">
        <f>IFERROR(VLOOKUP($A4643,HeadJournal!$A$1:$NTR$890,COLUMN(HeadJournal!G$1),0),"")</f>
        <v>45801</v>
      </c>
      <c r="F4643" s="95" t="str">
        <f t="shared" si="356"/>
        <v>2025 05</v>
      </c>
      <c r="G4643" s="97" t="s">
        <v>5</v>
      </c>
      <c r="H4643" s="161" t="s">
        <v>3746</v>
      </c>
      <c r="I4643" s="97" t="s">
        <v>2005</v>
      </c>
      <c r="J4643" s="97" t="s">
        <v>3747</v>
      </c>
      <c r="K4643" s="29">
        <v>13.03</v>
      </c>
      <c r="L4643" s="29">
        <v>-2.61</v>
      </c>
      <c r="M4643" s="30">
        <f>IFERROR(VLOOKUP($A4643,HeadJournal!$A$1:$J$890,COLUMN(HeadJournal!I$1),0)*($K4643+$L4643)/(SUMIF($A:$A,$A4643,$K:$K)+SUMIF($A:$A,$A4643,$L:$L)),0)</f>
        <v>-0.5364506428867688</v>
      </c>
      <c r="N4643" s="30">
        <f>IFERROR((VLOOKUP($A4643,HeadJournal!$A$1:$K$890,COLUMN(HeadJournal!K$1),0)-VLOOKUP($A4643,HeadJournal!$A$1:$K$890,COLUMN(HeadJournal!J$1),0))*($K4643+$L4643)/(SUMIF($A:$A,$A4643,$K:$K)+SUMIF($A:$A,$A4643,$L:$L)),0)</f>
        <v>-3.0708649135712328E-15</v>
      </c>
      <c r="O4643" s="30">
        <f>IFERROR((VLOOKUP($A4643,HeadJournal!$A$1:$L$890,COLUMN(HeadJournal!L$1),0)*($K4643+$L4643)/(SUMIF($A:$A,$A4643,$K:$K)+SUMIF($A:$A,$A4643,$L:$L)))/VLOOKUP($A4643,HeadJournal!$A$1:$L$890,COLUMN(HeadJournal!H$1),0),0)</f>
        <v>0.31148762496417376</v>
      </c>
      <c r="P4643" s="30">
        <f>IFERROR(SUM(K4643:O4643)*VLOOKUP($A4643,HeadJournal!$A$1:$L$890,COLUMN(HeadJournal!H$1),0),0)</f>
        <v>937.13983616756514</v>
      </c>
      <c r="Q4643" s="29">
        <v>1700</v>
      </c>
      <c r="R4643" s="31">
        <v>45908</v>
      </c>
      <c r="S4643" s="31" t="s">
        <v>3231</v>
      </c>
      <c r="T4643" s="95" t="str">
        <f t="shared" si="357"/>
        <v>2025 09</v>
      </c>
      <c r="U4643" s="32">
        <f t="shared" si="358"/>
        <v>762.86016383243486</v>
      </c>
      <c r="V4643" s="22">
        <f t="shared" si="359"/>
        <v>0.81403023795483154</v>
      </c>
      <c r="X4643" s="33"/>
      <c r="Y4643" s="33"/>
    </row>
    <row r="4644" spans="1:25" x14ac:dyDescent="0.2">
      <c r="A4644" s="93" t="s">
        <v>3805</v>
      </c>
      <c r="B4644" s="94" t="str">
        <f>IFERROR(VLOOKUP($A4644,HeadJournal!$A$1:$NTR$890,COLUMN(HeadJournal!B$1),0),"")</f>
        <v>720000686659</v>
      </c>
      <c r="C4644" s="94" t="str">
        <f>IFERROR(VLOOKUP($A4644,HeadJournal!$A$1:$NTR$890,COLUMN(HeadJournal!C$1),0),"")</f>
        <v>iHerb_MH DLE7202</v>
      </c>
      <c r="D4644" s="125" t="str">
        <f>IFERROR(VLOOKUP($A4644,HeadJournal!$A$1:$NTR$890,COLUMN(HeadJournal!D$1),0),"")</f>
        <v>Доставлен</v>
      </c>
      <c r="E4644" s="95">
        <f>IFERROR(VLOOKUP($A4644,HeadJournal!$A$1:$NTR$890,COLUMN(HeadJournal!G$1),0),"")</f>
        <v>45801</v>
      </c>
      <c r="F4644" s="95" t="str">
        <f t="shared" si="356"/>
        <v>2025 05</v>
      </c>
      <c r="G4644" s="97" t="s">
        <v>5</v>
      </c>
      <c r="H4644" s="161" t="s">
        <v>3748</v>
      </c>
      <c r="I4644" s="97" t="s">
        <v>2042</v>
      </c>
      <c r="J4644" s="97" t="s">
        <v>3749</v>
      </c>
      <c r="K4644" s="29">
        <v>20.29</v>
      </c>
      <c r="L4644" s="29">
        <v>-4.0599999999999996</v>
      </c>
      <c r="M4644" s="30">
        <f>IFERROR(VLOOKUP($A4644,HeadJournal!$A$1:$J$890,COLUMN(HeadJournal!I$1),0)*($K4644+$L4644)/(SUMIF($A:$A,$A4644,$K:$K)+SUMIF($A:$A,$A4644,$L:$L)),0)</f>
        <v>-0.83556563666528394</v>
      </c>
      <c r="N4644" s="30">
        <f>IFERROR((VLOOKUP($A4644,HeadJournal!$A$1:$K$890,COLUMN(HeadJournal!K$1),0)-VLOOKUP($A4644,HeadJournal!$A$1:$K$890,COLUMN(HeadJournal!J$1),0))*($K4644+$L4644)/(SUMIF($A:$A,$A4644,$K:$K)+SUMIF($A:$A,$A4644,$L:$L)),0)</f>
        <v>-4.7831226053033689E-15</v>
      </c>
      <c r="O4644" s="30">
        <f>IFERROR((VLOOKUP($A4644,HeadJournal!$A$1:$L$890,COLUMN(HeadJournal!L$1),0)*($K4644+$L4644)/(SUMIF($A:$A,$A4644,$K:$K)+SUMIF($A:$A,$A4644,$L:$L)))/VLOOKUP($A4644,HeadJournal!$A$1:$L$890,COLUMN(HeadJournal!H$1),0),0)</f>
        <v>0.48516738514093477</v>
      </c>
      <c r="P4644" s="30">
        <f>IFERROR(SUM(K4644:O4644)*VLOOKUP($A4644,HeadJournal!$A$1:$L$890,COLUMN(HeadJournal!H$1),0),0)</f>
        <v>1459.6717409788466</v>
      </c>
      <c r="Q4644" s="29">
        <v>2400</v>
      </c>
      <c r="R4644" s="31">
        <v>45835</v>
      </c>
      <c r="S4644" s="31" t="s">
        <v>3172</v>
      </c>
      <c r="T4644" s="95" t="str">
        <f t="shared" si="357"/>
        <v>2025 06</v>
      </c>
      <c r="U4644" s="32">
        <f t="shared" si="358"/>
        <v>940.32825902115337</v>
      </c>
      <c r="V4644" s="22">
        <f t="shared" si="359"/>
        <v>0.64420529124621895</v>
      </c>
      <c r="X4644" s="33"/>
      <c r="Y4644" s="33"/>
    </row>
    <row r="4645" spans="1:25" x14ac:dyDescent="0.2">
      <c r="A4645" s="93" t="s">
        <v>3805</v>
      </c>
      <c r="B4645" s="94" t="str">
        <f>IFERROR(VLOOKUP($A4645,HeadJournal!$A$1:$NTR$890,COLUMN(HeadJournal!B$1),0),"")</f>
        <v>720000686659</v>
      </c>
      <c r="C4645" s="94" t="str">
        <f>IFERROR(VLOOKUP($A4645,HeadJournal!$A$1:$NTR$890,COLUMN(HeadJournal!C$1),0),"")</f>
        <v>iHerb_MH DLE7202</v>
      </c>
      <c r="D4645" s="125" t="str">
        <f>IFERROR(VLOOKUP($A4645,HeadJournal!$A$1:$NTR$890,COLUMN(HeadJournal!D$1),0),"")</f>
        <v>Доставлен</v>
      </c>
      <c r="E4645" s="95">
        <f>IFERROR(VLOOKUP($A4645,HeadJournal!$A$1:$NTR$890,COLUMN(HeadJournal!G$1),0),"")</f>
        <v>45801</v>
      </c>
      <c r="F4645" s="95" t="str">
        <f t="shared" si="356"/>
        <v>2025 05</v>
      </c>
      <c r="G4645" s="97" t="s">
        <v>5</v>
      </c>
      <c r="H4645" s="161" t="s">
        <v>3750</v>
      </c>
      <c r="I4645" s="97" t="s">
        <v>3751</v>
      </c>
      <c r="J4645" s="97" t="s">
        <v>3752</v>
      </c>
      <c r="K4645" s="29">
        <v>39.43</v>
      </c>
      <c r="L4645" s="29">
        <v>-7.89</v>
      </c>
      <c r="M4645" s="30">
        <f>IFERROR(VLOOKUP($A4645,HeadJournal!$A$1:$J$890,COLUMN(HeadJournal!I$1),0)*($K4645+$L4645)/(SUMIF($A:$A,$A4645,$K:$K)+SUMIF($A:$A,$A4645,$L:$L)),0)</f>
        <v>-1.6237671090833672</v>
      </c>
      <c r="N4645" s="30">
        <f>IFERROR((VLOOKUP($A4645,HeadJournal!$A$1:$K$890,COLUMN(HeadJournal!K$1),0)-VLOOKUP($A4645,HeadJournal!$A$1:$K$890,COLUMN(HeadJournal!J$1),0))*($K4645+$L4645)/(SUMIF($A:$A,$A4645,$K:$K)+SUMIF($A:$A,$A4645,$L:$L)),0)</f>
        <v>-9.2951131836887403E-15</v>
      </c>
      <c r="O4645" s="30">
        <f>IFERROR((VLOOKUP($A4645,HeadJournal!$A$1:$L$890,COLUMN(HeadJournal!L$1),0)*($K4645+$L4645)/(SUMIF($A:$A,$A4645,$K:$K)+SUMIF($A:$A,$A4645,$L:$L)))/VLOOKUP($A4645,HeadJournal!$A$1:$L$890,COLUMN(HeadJournal!H$1),0),0)</f>
        <v>0.94283298381670255</v>
      </c>
      <c r="P4645" s="30">
        <f>IFERROR(SUM(K4645:O4645)*VLOOKUP($A4645,HeadJournal!$A$1:$L$890,COLUMN(HeadJournal!H$1),0),0)</f>
        <v>2836.6017689755281</v>
      </c>
      <c r="Q4645" s="29">
        <v>4100</v>
      </c>
      <c r="R4645" s="31">
        <v>45835</v>
      </c>
      <c r="S4645" s="31" t="s">
        <v>3475</v>
      </c>
      <c r="T4645" s="95" t="str">
        <f t="shared" si="357"/>
        <v>2025 06</v>
      </c>
      <c r="U4645" s="32">
        <f t="shared" si="358"/>
        <v>1263.3982310244719</v>
      </c>
      <c r="V4645" s="22">
        <f t="shared" si="359"/>
        <v>0.44539146976586808</v>
      </c>
      <c r="X4645" s="33"/>
      <c r="Y4645" s="33"/>
    </row>
    <row r="4646" spans="1:25" x14ac:dyDescent="0.2">
      <c r="A4646" s="93" t="s">
        <v>3805</v>
      </c>
      <c r="B4646" s="94" t="str">
        <f>IFERROR(VLOOKUP($A4646,HeadJournal!$A$1:$NTR$890,COLUMN(HeadJournal!B$1),0),"")</f>
        <v>720000686659</v>
      </c>
      <c r="C4646" s="94" t="str">
        <f>IFERROR(VLOOKUP($A4646,HeadJournal!$A$1:$NTR$890,COLUMN(HeadJournal!C$1),0),"")</f>
        <v>iHerb_MH DLE7202</v>
      </c>
      <c r="D4646" s="125" t="str">
        <f>IFERROR(VLOOKUP($A4646,HeadJournal!$A$1:$NTR$890,COLUMN(HeadJournal!D$1),0),"")</f>
        <v>Доставлен</v>
      </c>
      <c r="E4646" s="95">
        <f>IFERROR(VLOOKUP($A4646,HeadJournal!$A$1:$NTR$890,COLUMN(HeadJournal!G$1),0),"")</f>
        <v>45801</v>
      </c>
      <c r="F4646" s="95" t="str">
        <f t="shared" si="356"/>
        <v>2025 05</v>
      </c>
      <c r="G4646" s="97" t="s">
        <v>5</v>
      </c>
      <c r="H4646" s="161" t="s">
        <v>3753</v>
      </c>
      <c r="I4646" s="97" t="s">
        <v>2005</v>
      </c>
      <c r="J4646" s="97" t="s">
        <v>3754</v>
      </c>
      <c r="K4646" s="29">
        <v>31.79</v>
      </c>
      <c r="L4646" s="29">
        <v>-6.36</v>
      </c>
      <c r="M4646" s="30">
        <f>IFERROR(VLOOKUP($A4646,HeadJournal!$A$1:$J$890,COLUMN(HeadJournal!I$1),0)*($K4646+$L4646)/(SUMIF($A:$A,$A4646,$K:$K)+SUMIF($A:$A,$A4646,$L:$L)),0)</f>
        <v>-1.3092072791372871</v>
      </c>
      <c r="N4646" s="30">
        <f>IFERROR((VLOOKUP($A4646,HeadJournal!$A$1:$K$890,COLUMN(HeadJournal!K$1),0)-VLOOKUP($A4646,HeadJournal!$A$1:$K$890,COLUMN(HeadJournal!J$1),0))*($K4646+$L4646)/(SUMIF($A:$A,$A4646,$K:$K)+SUMIF($A:$A,$A4646,$L:$L)),0)</f>
        <v>-7.4944428744833441E-15</v>
      </c>
      <c r="O4646" s="30">
        <f>IFERROR((VLOOKUP($A4646,HeadJournal!$A$1:$L$890,COLUMN(HeadJournal!L$1),0)*($K4646+$L4646)/(SUMIF($A:$A,$A4646,$K:$K)+SUMIF($A:$A,$A4646,$L:$L)))/VLOOKUP($A4646,HeadJournal!$A$1:$L$890,COLUMN(HeadJournal!H$1),0),0)</f>
        <v>0.76018524979260438</v>
      </c>
      <c r="P4646" s="30">
        <f>IFERROR(SUM(K4646:O4646)*VLOOKUP($A4646,HeadJournal!$A$1:$L$890,COLUMN(HeadJournal!H$1),0),0)</f>
        <v>2287.0888708004973</v>
      </c>
      <c r="Q4646" s="29">
        <v>3000</v>
      </c>
      <c r="R4646" s="31">
        <v>45850</v>
      </c>
      <c r="S4646" s="31" t="s">
        <v>4483</v>
      </c>
      <c r="T4646" s="95" t="str">
        <f t="shared" si="357"/>
        <v>2025 07</v>
      </c>
      <c r="U4646" s="32">
        <f t="shared" si="358"/>
        <v>712.91112919950274</v>
      </c>
      <c r="V4646" s="22">
        <f t="shared" si="359"/>
        <v>0.31171116186227554</v>
      </c>
      <c r="X4646" s="33"/>
      <c r="Y4646" s="33"/>
    </row>
    <row r="4647" spans="1:25" x14ac:dyDescent="0.2">
      <c r="A4647" s="93" t="s">
        <v>3805</v>
      </c>
      <c r="B4647" s="94" t="str">
        <f>IFERROR(VLOOKUP($A4647,HeadJournal!$A$1:$NTR$890,COLUMN(HeadJournal!B$1),0),"")</f>
        <v>720000686659</v>
      </c>
      <c r="C4647" s="94" t="str">
        <f>IFERROR(VLOOKUP($A4647,HeadJournal!$A$1:$NTR$890,COLUMN(HeadJournal!C$1),0),"")</f>
        <v>iHerb_MH DLE7202</v>
      </c>
      <c r="D4647" s="125" t="str">
        <f>IFERROR(VLOOKUP($A4647,HeadJournal!$A$1:$NTR$890,COLUMN(HeadJournal!D$1),0),"")</f>
        <v>Доставлен</v>
      </c>
      <c r="E4647" s="95">
        <f>IFERROR(VLOOKUP($A4647,HeadJournal!$A$1:$NTR$890,COLUMN(HeadJournal!G$1),0),"")</f>
        <v>45801</v>
      </c>
      <c r="F4647" s="95" t="str">
        <f t="shared" si="356"/>
        <v>2025 05</v>
      </c>
      <c r="G4647" s="97" t="s">
        <v>5</v>
      </c>
      <c r="H4647" s="161" t="s">
        <v>2475</v>
      </c>
      <c r="I4647" s="97" t="s">
        <v>2005</v>
      </c>
      <c r="J4647" s="97" t="s">
        <v>3755</v>
      </c>
      <c r="K4647" s="29">
        <v>12.31</v>
      </c>
      <c r="L4647" s="29">
        <v>-2.46</v>
      </c>
      <c r="M4647" s="30">
        <f>IFERROR(VLOOKUP($A4647,HeadJournal!$A$1:$J$890,COLUMN(HeadJournal!I$1),0)*($K4647+$L4647)/(SUMIF($A:$A,$A4647,$K:$K)+SUMIF($A:$A,$A4647,$L:$L)),0)</f>
        <v>-0.5071054541683947</v>
      </c>
      <c r="N4647" s="30">
        <f>IFERROR((VLOOKUP($A4647,HeadJournal!$A$1:$K$890,COLUMN(HeadJournal!K$1),0)-VLOOKUP($A4647,HeadJournal!$A$1:$K$890,COLUMN(HeadJournal!J$1),0))*($K4647+$L4647)/(SUMIF($A:$A,$A4647,$K:$K)+SUMIF($A:$A,$A4647,$L:$L)),0)</f>
        <v>-2.9028809403720388E-15</v>
      </c>
      <c r="O4647" s="30">
        <f>IFERROR((VLOOKUP($A4647,HeadJournal!$A$1:$L$890,COLUMN(HeadJournal!L$1),0)*($K4647+$L4647)/(SUMIF($A:$A,$A4647,$K:$K)+SUMIF($A:$A,$A4647,$L:$L)))/VLOOKUP($A4647,HeadJournal!$A$1:$L$890,COLUMN(HeadJournal!H$1),0),0)</f>
        <v>0.29444847465423341</v>
      </c>
      <c r="P4647" s="30">
        <f>IFERROR(SUM(K4647:O4647)*VLOOKUP($A4647,HeadJournal!$A$1:$L$890,COLUMN(HeadJournal!H$1),0),0)</f>
        <v>885.87594877644119</v>
      </c>
      <c r="Q4647" s="29">
        <v>1600</v>
      </c>
      <c r="R4647" s="31">
        <v>45910</v>
      </c>
      <c r="S4647" s="31" t="s">
        <v>3475</v>
      </c>
      <c r="T4647" s="95" t="str">
        <f t="shared" si="357"/>
        <v>2025 09</v>
      </c>
      <c r="U4647" s="32">
        <f t="shared" si="358"/>
        <v>714.12405122355881</v>
      </c>
      <c r="V4647" s="22">
        <f t="shared" si="359"/>
        <v>0.80612195444508505</v>
      </c>
      <c r="X4647" s="33"/>
      <c r="Y4647" s="33"/>
    </row>
    <row r="4648" spans="1:25" x14ac:dyDescent="0.2">
      <c r="A4648" s="93" t="s">
        <v>3805</v>
      </c>
      <c r="B4648" s="94" t="str">
        <f>IFERROR(VLOOKUP($A4648,HeadJournal!$A$1:$NTR$890,COLUMN(HeadJournal!B$1),0),"")</f>
        <v>720000686659</v>
      </c>
      <c r="C4648" s="94" t="str">
        <f>IFERROR(VLOOKUP($A4648,HeadJournal!$A$1:$NTR$890,COLUMN(HeadJournal!C$1),0),"")</f>
        <v>iHerb_MH DLE7202</v>
      </c>
      <c r="D4648" s="125" t="str">
        <f>IFERROR(VLOOKUP($A4648,HeadJournal!$A$1:$NTR$890,COLUMN(HeadJournal!D$1),0),"")</f>
        <v>Доставлен</v>
      </c>
      <c r="E4648" s="95">
        <f>IFERROR(VLOOKUP($A4648,HeadJournal!$A$1:$NTR$890,COLUMN(HeadJournal!G$1),0),"")</f>
        <v>45801</v>
      </c>
      <c r="F4648" s="95" t="str">
        <f t="shared" si="356"/>
        <v>2025 05</v>
      </c>
      <c r="G4648" s="97" t="s">
        <v>5</v>
      </c>
      <c r="H4648" s="161" t="s">
        <v>2475</v>
      </c>
      <c r="I4648" s="97" t="s">
        <v>2005</v>
      </c>
      <c r="J4648" s="97" t="s">
        <v>3755</v>
      </c>
      <c r="K4648" s="29">
        <v>12.31</v>
      </c>
      <c r="L4648" s="29">
        <v>-2.46</v>
      </c>
      <c r="M4648" s="30">
        <f>IFERROR(VLOOKUP($A4648,HeadJournal!$A$1:$J$890,COLUMN(HeadJournal!I$1),0)*($K4648+$L4648)/(SUMIF($A:$A,$A4648,$K:$K)+SUMIF($A:$A,$A4648,$L:$L)),0)</f>
        <v>-0.5071054541683947</v>
      </c>
      <c r="N4648" s="30">
        <f>IFERROR((VLOOKUP($A4648,HeadJournal!$A$1:$K$890,COLUMN(HeadJournal!K$1),0)-VLOOKUP($A4648,HeadJournal!$A$1:$K$890,COLUMN(HeadJournal!J$1),0))*($K4648+$L4648)/(SUMIF($A:$A,$A4648,$K:$K)+SUMIF($A:$A,$A4648,$L:$L)),0)</f>
        <v>-2.9028809403720388E-15</v>
      </c>
      <c r="O4648" s="30">
        <f>IFERROR((VLOOKUP($A4648,HeadJournal!$A$1:$L$890,COLUMN(HeadJournal!L$1),0)*($K4648+$L4648)/(SUMIF($A:$A,$A4648,$K:$K)+SUMIF($A:$A,$A4648,$L:$L)))/VLOOKUP($A4648,HeadJournal!$A$1:$L$890,COLUMN(HeadJournal!H$1),0),0)</f>
        <v>0.29444847465423341</v>
      </c>
      <c r="P4648" s="30">
        <f>IFERROR(SUM(K4648:O4648)*VLOOKUP($A4648,HeadJournal!$A$1:$L$890,COLUMN(HeadJournal!H$1),0),0)</f>
        <v>885.87594877644119</v>
      </c>
      <c r="Q4648" s="29">
        <v>1700</v>
      </c>
      <c r="R4648" s="31">
        <v>46052</v>
      </c>
      <c r="S4648" s="31"/>
      <c r="T4648" s="95" t="str">
        <f t="shared" si="357"/>
        <v>2026 01</v>
      </c>
      <c r="U4648" s="32">
        <f t="shared" si="358"/>
        <v>814.12405122355881</v>
      </c>
      <c r="V4648" s="22">
        <f t="shared" si="359"/>
        <v>0.9190045765979028</v>
      </c>
      <c r="X4648" s="33"/>
      <c r="Y4648" s="33"/>
    </row>
    <row r="4649" spans="1:25" x14ac:dyDescent="0.2">
      <c r="A4649" s="93" t="s">
        <v>3805</v>
      </c>
      <c r="B4649" s="94" t="str">
        <f>IFERROR(VLOOKUP($A4649,HeadJournal!$A$1:$NTR$890,COLUMN(HeadJournal!B$1),0),"")</f>
        <v>720000686659</v>
      </c>
      <c r="C4649" s="94" t="str">
        <f>IFERROR(VLOOKUP($A4649,HeadJournal!$A$1:$NTR$890,COLUMN(HeadJournal!C$1),0),"")</f>
        <v>iHerb_MH DLE7202</v>
      </c>
      <c r="D4649" s="125" t="str">
        <f>IFERROR(VLOOKUP($A4649,HeadJournal!$A$1:$NTR$890,COLUMN(HeadJournal!D$1),0),"")</f>
        <v>Доставлен</v>
      </c>
      <c r="E4649" s="95">
        <f>IFERROR(VLOOKUP($A4649,HeadJournal!$A$1:$NTR$890,COLUMN(HeadJournal!G$1),0),"")</f>
        <v>45801</v>
      </c>
      <c r="F4649" s="95" t="str">
        <f t="shared" si="356"/>
        <v>2025 05</v>
      </c>
      <c r="G4649" s="97" t="s">
        <v>5</v>
      </c>
      <c r="H4649" s="161" t="s">
        <v>2997</v>
      </c>
      <c r="I4649" s="97" t="s">
        <v>2102</v>
      </c>
      <c r="J4649" s="97" t="s">
        <v>2998</v>
      </c>
      <c r="K4649" s="29">
        <v>32.43</v>
      </c>
      <c r="L4649" s="29">
        <v>-6.49</v>
      </c>
      <c r="M4649" s="30">
        <f>IFERROR(VLOOKUP($A4649,HeadJournal!$A$1:$J$890,COLUMN(HeadJournal!I$1),0)*($K4649+$L4649)/(SUMIF($A:$A,$A4649,$K:$K)+SUMIF($A:$A,$A4649,$L:$L)),0)</f>
        <v>-1.3354635006221478</v>
      </c>
      <c r="N4649" s="30">
        <f>IFERROR((VLOOKUP($A4649,HeadJournal!$A$1:$K$890,COLUMN(HeadJournal!K$1),0)-VLOOKUP($A4649,HeadJournal!$A$1:$K$890,COLUMN(HeadJournal!J$1),0))*($K4649+$L4649)/(SUMIF($A:$A,$A4649,$K:$K)+SUMIF($A:$A,$A4649,$L:$L)),0)</f>
        <v>-7.6447443241878863E-15</v>
      </c>
      <c r="O4649" s="30">
        <f>IFERROR((VLOOKUP($A4649,HeadJournal!$A$1:$L$890,COLUMN(HeadJournal!L$1),0)*($K4649+$L4649)/(SUMIF($A:$A,$A4649,$K:$K)+SUMIF($A:$A,$A4649,$L:$L)))/VLOOKUP($A4649,HeadJournal!$A$1:$L$890,COLUMN(HeadJournal!H$1),0),0)</f>
        <v>0.7754308053330774</v>
      </c>
      <c r="P4649" s="30">
        <f>IFERROR(SUM(K4649:O4649)*VLOOKUP($A4649,HeadJournal!$A$1:$L$890,COLUMN(HeadJournal!H$1),0),0)</f>
        <v>2332.956559518871</v>
      </c>
      <c r="Q4649" s="29">
        <v>3700</v>
      </c>
      <c r="R4649" s="31">
        <v>45840</v>
      </c>
      <c r="S4649" s="31"/>
      <c r="T4649" s="95" t="str">
        <f t="shared" si="357"/>
        <v>2025 07</v>
      </c>
      <c r="U4649" s="32">
        <f t="shared" si="358"/>
        <v>1367.043440481129</v>
      </c>
      <c r="V4649" s="22">
        <f t="shared" si="359"/>
        <v>0.58597037947549968</v>
      </c>
      <c r="X4649" s="33"/>
      <c r="Y4649" s="33"/>
    </row>
    <row r="4650" spans="1:25" x14ac:dyDescent="0.2">
      <c r="A4650" s="93" t="s">
        <v>3805</v>
      </c>
      <c r="B4650" s="94" t="str">
        <f>IFERROR(VLOOKUP($A4650,HeadJournal!$A$1:$NTR$890,COLUMN(HeadJournal!B$1),0),"")</f>
        <v>720000686659</v>
      </c>
      <c r="C4650" s="94" t="str">
        <f>IFERROR(VLOOKUP($A4650,HeadJournal!$A$1:$NTR$890,COLUMN(HeadJournal!C$1),0),"")</f>
        <v>iHerb_MH DLE7202</v>
      </c>
      <c r="D4650" s="125" t="str">
        <f>IFERROR(VLOOKUP($A4650,HeadJournal!$A$1:$NTR$890,COLUMN(HeadJournal!D$1),0),"")</f>
        <v>Доставлен</v>
      </c>
      <c r="E4650" s="95">
        <f>IFERROR(VLOOKUP($A4650,HeadJournal!$A$1:$NTR$890,COLUMN(HeadJournal!G$1),0),"")</f>
        <v>45801</v>
      </c>
      <c r="F4650" s="95" t="str">
        <f t="shared" si="356"/>
        <v>2025 05</v>
      </c>
      <c r="G4650" s="97" t="s">
        <v>5</v>
      </c>
      <c r="H4650" s="161" t="s">
        <v>3756</v>
      </c>
      <c r="I4650" s="97" t="s">
        <v>2052</v>
      </c>
      <c r="J4650" s="97" t="s">
        <v>3757</v>
      </c>
      <c r="K4650" s="29">
        <v>25.16</v>
      </c>
      <c r="L4650" s="29">
        <v>-12.58</v>
      </c>
      <c r="M4650" s="30">
        <f>IFERROR(VLOOKUP($A4650,HeadJournal!$A$1:$J$890,COLUMN(HeadJournal!I$1),0)*($K4650+$L4650)/(SUMIF($A:$A,$A4650,$K:$K)+SUMIF($A:$A,$A4650,$L:$L)),0)</f>
        <v>-0.64765346329323914</v>
      </c>
      <c r="N4650" s="30">
        <f>IFERROR((VLOOKUP($A4650,HeadJournal!$A$1:$K$890,COLUMN(HeadJournal!K$1),0)-VLOOKUP($A4650,HeadJournal!$A$1:$K$890,COLUMN(HeadJournal!J$1),0))*($K4650+$L4650)/(SUMIF($A:$A,$A4650,$K:$K)+SUMIF($A:$A,$A4650,$L:$L)),0)</f>
        <v>-3.7074357593787051E-15</v>
      </c>
      <c r="O4650" s="30">
        <f>IFERROR((VLOOKUP($A4650,HeadJournal!$A$1:$L$890,COLUMN(HeadJournal!L$1),0)*($K4650+$L4650)/(SUMIF($A:$A,$A4650,$K:$K)+SUMIF($A:$A,$A4650,$L:$L)))/VLOOKUP($A4650,HeadJournal!$A$1:$L$890,COLUMN(HeadJournal!H$1),0),0)</f>
        <v>0.37605703666500051</v>
      </c>
      <c r="P4650" s="30">
        <f>IFERROR(SUM(K4650:O4650)*VLOOKUP($A4650,HeadJournal!$A$1:$L$890,COLUMN(HeadJournal!H$1),0),0)</f>
        <v>1131.4029883865614</v>
      </c>
      <c r="Q4650" s="29"/>
      <c r="R4650" s="31"/>
      <c r="S4650" s="31"/>
      <c r="T4650" s="95" t="str">
        <f t="shared" si="357"/>
        <v/>
      </c>
      <c r="U4650" s="32">
        <f t="shared" si="358"/>
        <v>-1131.4029883865614</v>
      </c>
      <c r="V4650" s="22" t="str">
        <f t="shared" si="359"/>
        <v/>
      </c>
      <c r="X4650" s="33"/>
      <c r="Y4650" s="33"/>
    </row>
    <row r="4651" spans="1:25" x14ac:dyDescent="0.2">
      <c r="A4651" s="93" t="s">
        <v>3806</v>
      </c>
      <c r="B4651" s="94" t="str">
        <f>IFERROR(VLOOKUP($A4651,HeadJournal!$A$1:$NTR$890,COLUMN(HeadJournal!B$1),0),"")</f>
        <v>720000690733</v>
      </c>
      <c r="C4651" s="94" t="str">
        <f>IFERROR(VLOOKUP($A4651,HeadJournal!$A$1:$NTR$890,COLUMN(HeadJournal!C$1),0),"")</f>
        <v>iHerb_MH DLE7202</v>
      </c>
      <c r="D4651" s="125" t="str">
        <f>IFERROR(VLOOKUP($A4651,HeadJournal!$A$1:$NTR$890,COLUMN(HeadJournal!D$1),0),"")</f>
        <v>Доставлен</v>
      </c>
      <c r="E4651" s="95">
        <f>IFERROR(VLOOKUP($A4651,HeadJournal!$A$1:$NTR$890,COLUMN(HeadJournal!G$1),0),"")</f>
        <v>45804</v>
      </c>
      <c r="F4651" s="95" t="str">
        <f t="shared" si="356"/>
        <v>2025 05</v>
      </c>
      <c r="G4651" s="97" t="s">
        <v>5</v>
      </c>
      <c r="H4651" s="161" t="s">
        <v>3758</v>
      </c>
      <c r="I4651" s="97" t="s">
        <v>3759</v>
      </c>
      <c r="J4651" s="97" t="s">
        <v>3760</v>
      </c>
      <c r="K4651" s="29">
        <v>33.54</v>
      </c>
      <c r="L4651" s="29">
        <v>-6.71</v>
      </c>
      <c r="M4651" s="30">
        <f>IFERROR(VLOOKUP($A4651,HeadJournal!$A$1:$J$890,COLUMN(HeadJournal!I$1),0)*($K4651+$L4651)/(SUMIF($A:$A,$A4651,$K:$K)+SUMIF($A:$A,$A4651,$L:$L)),0)</f>
        <v>-2.9230069851284357</v>
      </c>
      <c r="N4651" s="30">
        <f>IFERROR((VLOOKUP($A4651,HeadJournal!$A$1:$K$890,COLUMN(HeadJournal!K$1),0)-VLOOKUP($A4651,HeadJournal!$A$1:$K$890,COLUMN(HeadJournal!J$1),0))*($K4651+$L4651)/(SUMIF($A:$A,$A4651,$K:$K)+SUMIF($A:$A,$A4651,$L:$L)),0)</f>
        <v>-4.2955974764406228E-15</v>
      </c>
      <c r="O4651" s="30">
        <f>IFERROR((VLOOKUP($A4651,HeadJournal!$A$1:$L$890,COLUMN(HeadJournal!L$1),0)*($K4651+$L4651)/(SUMIF($A:$A,$A4651,$K:$K)+SUMIF($A:$A,$A4651,$L:$L)))/VLOOKUP($A4651,HeadJournal!$A$1:$L$890,COLUMN(HeadJournal!H$1),0),0)</f>
        <v>0.87141627152848522</v>
      </c>
      <c r="P4651" s="30">
        <f>IFERROR(SUM(K4651:O4651)*VLOOKUP($A4651,HeadJournal!$A$1:$L$890,COLUMN(HeadJournal!H$1),0),0)</f>
        <v>2277.7025619648489</v>
      </c>
      <c r="Q4651" s="29">
        <v>3500</v>
      </c>
      <c r="R4651" s="31">
        <v>45892</v>
      </c>
      <c r="S4651" s="31" t="s">
        <v>3475</v>
      </c>
      <c r="T4651" s="95" t="str">
        <f t="shared" si="357"/>
        <v>2025 08</v>
      </c>
      <c r="U4651" s="32">
        <f t="shared" si="358"/>
        <v>1222.2974380351511</v>
      </c>
      <c r="V4651" s="22">
        <f t="shared" si="359"/>
        <v>0.53663610800030992</v>
      </c>
      <c r="X4651" s="33"/>
      <c r="Y4651" s="33"/>
    </row>
    <row r="4652" spans="1:25" x14ac:dyDescent="0.2">
      <c r="A4652" s="93" t="s">
        <v>3806</v>
      </c>
      <c r="B4652" s="94" t="str">
        <f>IFERROR(VLOOKUP($A4652,HeadJournal!$A$1:$NTR$890,COLUMN(HeadJournal!B$1),0),"")</f>
        <v>720000690733</v>
      </c>
      <c r="C4652" s="94" t="str">
        <f>IFERROR(VLOOKUP($A4652,HeadJournal!$A$1:$NTR$890,COLUMN(HeadJournal!C$1),0),"")</f>
        <v>iHerb_MH DLE7202</v>
      </c>
      <c r="D4652" s="125" t="str">
        <f>IFERROR(VLOOKUP($A4652,HeadJournal!$A$1:$NTR$890,COLUMN(HeadJournal!D$1),0),"")</f>
        <v>Доставлен</v>
      </c>
      <c r="E4652" s="95">
        <f>IFERROR(VLOOKUP($A4652,HeadJournal!$A$1:$NTR$890,COLUMN(HeadJournal!G$1),0),"")</f>
        <v>45804</v>
      </c>
      <c r="F4652" s="95" t="str">
        <f t="shared" si="356"/>
        <v>2025 05</v>
      </c>
      <c r="G4652" s="97" t="s">
        <v>5</v>
      </c>
      <c r="H4652" s="161" t="s">
        <v>3761</v>
      </c>
      <c r="I4652" s="97" t="s">
        <v>2166</v>
      </c>
      <c r="J4652" s="97" t="s">
        <v>3762</v>
      </c>
      <c r="K4652" s="29">
        <v>45.08</v>
      </c>
      <c r="L4652" s="29">
        <v>-9.02</v>
      </c>
      <c r="M4652" s="30">
        <f>IFERROR(VLOOKUP($A4652,HeadJournal!$A$1:$J$890,COLUMN(HeadJournal!I$1),0)*($K4652+$L4652)/(SUMIF($A:$A,$A4652,$K:$K)+SUMIF($A:$A,$A4652,$L:$L)),0)</f>
        <v>-3.9285736818386652</v>
      </c>
      <c r="N4652" s="30">
        <f>IFERROR((VLOOKUP($A4652,HeadJournal!$A$1:$K$890,COLUMN(HeadJournal!K$1),0)-VLOOKUP($A4652,HeadJournal!$A$1:$K$890,COLUMN(HeadJournal!J$1),0))*($K4652+$L4652)/(SUMIF($A:$A,$A4652,$K:$K)+SUMIF($A:$A,$A4652,$L:$L)),0)</f>
        <v>-5.7733598583842295E-15</v>
      </c>
      <c r="O4652" s="30">
        <f>IFERROR((VLOOKUP($A4652,HeadJournal!$A$1:$L$890,COLUMN(HeadJournal!L$1),0)*($K4652+$L4652)/(SUMIF($A:$A,$A4652,$K:$K)+SUMIF($A:$A,$A4652,$L:$L)))/VLOOKUP($A4652,HeadJournal!$A$1:$L$890,COLUMN(HeadJournal!H$1),0),0)</f>
        <v>1.1711990589383965</v>
      </c>
      <c r="P4652" s="30">
        <f>IFERROR(SUM(K4652:O4652)*VLOOKUP($A4652,HeadJournal!$A$1:$L$890,COLUMN(HeadJournal!H$1),0),0)</f>
        <v>3061.2729923388915</v>
      </c>
      <c r="Q4652" s="29">
        <v>5000</v>
      </c>
      <c r="R4652" s="31">
        <v>45835</v>
      </c>
      <c r="S4652" s="31" t="s">
        <v>3235</v>
      </c>
      <c r="T4652" s="95" t="str">
        <f t="shared" si="357"/>
        <v>2025 06</v>
      </c>
      <c r="U4652" s="32">
        <f t="shared" si="358"/>
        <v>1938.7270076611085</v>
      </c>
      <c r="V4652" s="22">
        <f t="shared" si="359"/>
        <v>0.63330745494209295</v>
      </c>
      <c r="X4652" s="33"/>
      <c r="Y4652" s="33"/>
    </row>
    <row r="4653" spans="1:25" x14ac:dyDescent="0.2">
      <c r="A4653" s="93" t="s">
        <v>3806</v>
      </c>
      <c r="B4653" s="94" t="str">
        <f>IFERROR(VLOOKUP($A4653,HeadJournal!$A$1:$NTR$890,COLUMN(HeadJournal!B$1),0),"")</f>
        <v>720000690733</v>
      </c>
      <c r="C4653" s="94" t="str">
        <f>IFERROR(VLOOKUP($A4653,HeadJournal!$A$1:$NTR$890,COLUMN(HeadJournal!C$1),0),"")</f>
        <v>iHerb_MH DLE7202</v>
      </c>
      <c r="D4653" s="125" t="str">
        <f>IFERROR(VLOOKUP($A4653,HeadJournal!$A$1:$NTR$890,COLUMN(HeadJournal!D$1),0),"")</f>
        <v>Доставлен</v>
      </c>
      <c r="E4653" s="95">
        <f>IFERROR(VLOOKUP($A4653,HeadJournal!$A$1:$NTR$890,COLUMN(HeadJournal!G$1),0),"")</f>
        <v>45804</v>
      </c>
      <c r="F4653" s="95" t="str">
        <f t="shared" si="356"/>
        <v>2025 05</v>
      </c>
      <c r="G4653" s="97" t="s">
        <v>5</v>
      </c>
      <c r="H4653" s="161" t="s">
        <v>3763</v>
      </c>
      <c r="I4653" s="97" t="s">
        <v>2166</v>
      </c>
      <c r="J4653" s="97" t="s">
        <v>3764</v>
      </c>
      <c r="K4653" s="29">
        <v>30.31</v>
      </c>
      <c r="L4653" s="29">
        <v>-6.06</v>
      </c>
      <c r="M4653" s="30">
        <f>IFERROR(VLOOKUP($A4653,HeadJournal!$A$1:$J$890,COLUMN(HeadJournal!I$1),0)*($K4653+$L4653)/(SUMIF($A:$A,$A4653,$K:$K)+SUMIF($A:$A,$A4653,$L:$L)),0)</f>
        <v>-2.6419276701216758</v>
      </c>
      <c r="N4653" s="30">
        <f>IFERROR((VLOOKUP($A4653,HeadJournal!$A$1:$K$890,COLUMN(HeadJournal!K$1),0)-VLOOKUP($A4653,HeadJournal!$A$1:$K$890,COLUMN(HeadJournal!J$1),0))*($K4653+$L4653)/(SUMIF($A:$A,$A4653,$K:$K)+SUMIF($A:$A,$A4653,$L:$L)),0)</f>
        <v>-3.8825284682700374E-15</v>
      </c>
      <c r="O4653" s="30">
        <f>IFERROR((VLOOKUP($A4653,HeadJournal!$A$1:$L$890,COLUMN(HeadJournal!L$1),0)*($K4653+$L4653)/(SUMIF($A:$A,$A4653,$K:$K)+SUMIF($A:$A,$A4653,$L:$L)))/VLOOKUP($A4653,HeadJournal!$A$1:$L$890,COLUMN(HeadJournal!H$1),0),0)</f>
        <v>0.7876199994247397</v>
      </c>
      <c r="P4653" s="30">
        <f>IFERROR(SUM(K4653:O4653)*VLOOKUP($A4653,HeadJournal!$A$1:$L$890,COLUMN(HeadJournal!H$1),0),0)</f>
        <v>2058.6763744930145</v>
      </c>
      <c r="Q4653" s="29">
        <v>3500</v>
      </c>
      <c r="R4653" s="31">
        <v>45835</v>
      </c>
      <c r="S4653" s="31" t="s">
        <v>3235</v>
      </c>
      <c r="T4653" s="95" t="str">
        <f t="shared" si="357"/>
        <v>2025 06</v>
      </c>
      <c r="U4653" s="32">
        <f t="shared" si="358"/>
        <v>1441.3236255069855</v>
      </c>
      <c r="V4653" s="22">
        <f t="shared" si="359"/>
        <v>0.70012151660405442</v>
      </c>
      <c r="X4653" s="33"/>
      <c r="Y4653" s="33"/>
    </row>
    <row r="4654" spans="1:25" x14ac:dyDescent="0.2">
      <c r="A4654" s="93" t="s">
        <v>3806</v>
      </c>
      <c r="B4654" s="94" t="str">
        <f>IFERROR(VLOOKUP($A4654,HeadJournal!$A$1:$NTR$890,COLUMN(HeadJournal!B$1),0),"")</f>
        <v>720000690733</v>
      </c>
      <c r="C4654" s="94" t="str">
        <f>IFERROR(VLOOKUP($A4654,HeadJournal!$A$1:$NTR$890,COLUMN(HeadJournal!C$1),0),"")</f>
        <v>iHerb_MH DLE7202</v>
      </c>
      <c r="D4654" s="125" t="str">
        <f>IFERROR(VLOOKUP($A4654,HeadJournal!$A$1:$NTR$890,COLUMN(HeadJournal!D$1),0),"")</f>
        <v>Доставлен</v>
      </c>
      <c r="E4654" s="95">
        <f>IFERROR(VLOOKUP($A4654,HeadJournal!$A$1:$NTR$890,COLUMN(HeadJournal!G$1),0),"")</f>
        <v>45804</v>
      </c>
      <c r="F4654" s="95" t="str">
        <f t="shared" si="356"/>
        <v>2025 05</v>
      </c>
      <c r="G4654" s="97" t="s">
        <v>5</v>
      </c>
      <c r="H4654" s="161" t="s">
        <v>3765</v>
      </c>
      <c r="I4654" s="97" t="s">
        <v>2618</v>
      </c>
      <c r="J4654" s="97" t="s">
        <v>3766</v>
      </c>
      <c r="K4654" s="29">
        <v>7.44</v>
      </c>
      <c r="L4654" s="29">
        <v>-1.49</v>
      </c>
      <c r="M4654" s="30">
        <f>IFERROR(VLOOKUP($A4654,HeadJournal!$A$1:$J$890,COLUMN(HeadJournal!I$1),0)*($K4654+$L4654)/(SUMIF($A:$A,$A4654,$K:$K)+SUMIF($A:$A,$A4654,$L:$L)),0)</f>
        <v>-0.64822555205047305</v>
      </c>
      <c r="N4654" s="30">
        <f>IFERROR((VLOOKUP($A4654,HeadJournal!$A$1:$K$890,COLUMN(HeadJournal!K$1),0)-VLOOKUP($A4654,HeadJournal!$A$1:$K$890,COLUMN(HeadJournal!J$1),0))*($K4654+$L4654)/(SUMIF($A:$A,$A4654,$K:$K)+SUMIF($A:$A,$A4654,$L:$L)),0)</f>
        <v>-9.5262038706007102E-16</v>
      </c>
      <c r="O4654" s="30">
        <f>IFERROR((VLOOKUP($A4654,HeadJournal!$A$1:$L$890,COLUMN(HeadJournal!L$1),0)*($K4654+$L4654)/(SUMIF($A:$A,$A4654,$K:$K)+SUMIF($A:$A,$A4654,$L:$L)))/VLOOKUP($A4654,HeadJournal!$A$1:$L$890,COLUMN(HeadJournal!H$1),0),0)</f>
        <v>0.19325109264235885</v>
      </c>
      <c r="P4654" s="30">
        <f>IFERROR(SUM(K4654:O4654)*VLOOKUP($A4654,HeadJournal!$A$1:$L$890,COLUMN(HeadJournal!H$1),0),0)</f>
        <v>505.11853312302839</v>
      </c>
      <c r="Q4654" s="29">
        <v>1200</v>
      </c>
      <c r="R4654" s="31">
        <v>45835</v>
      </c>
      <c r="S4654" s="31" t="s">
        <v>3475</v>
      </c>
      <c r="T4654" s="95" t="str">
        <f t="shared" si="357"/>
        <v>2025 06</v>
      </c>
      <c r="U4654" s="32">
        <f t="shared" si="358"/>
        <v>694.88146687697167</v>
      </c>
      <c r="V4654" s="22">
        <f t="shared" si="359"/>
        <v>1.3756800063951009</v>
      </c>
      <c r="X4654" s="33"/>
      <c r="Y4654" s="33"/>
    </row>
    <row r="4655" spans="1:25" x14ac:dyDescent="0.2">
      <c r="A4655" s="93" t="s">
        <v>3806</v>
      </c>
      <c r="B4655" s="94" t="str">
        <f>IFERROR(VLOOKUP($A4655,HeadJournal!$A$1:$NTR$890,COLUMN(HeadJournal!B$1),0),"")</f>
        <v>720000690733</v>
      </c>
      <c r="C4655" s="94" t="str">
        <f>IFERROR(VLOOKUP($A4655,HeadJournal!$A$1:$NTR$890,COLUMN(HeadJournal!C$1),0),"")</f>
        <v>iHerb_MH DLE7202</v>
      </c>
      <c r="D4655" s="125" t="str">
        <f>IFERROR(VLOOKUP($A4655,HeadJournal!$A$1:$NTR$890,COLUMN(HeadJournal!D$1),0),"")</f>
        <v>Доставлен</v>
      </c>
      <c r="E4655" s="95">
        <f>IFERROR(VLOOKUP($A4655,HeadJournal!$A$1:$NTR$890,COLUMN(HeadJournal!G$1),0),"")</f>
        <v>45804</v>
      </c>
      <c r="F4655" s="95" t="str">
        <f t="shared" si="356"/>
        <v>2025 05</v>
      </c>
      <c r="G4655" s="97" t="s">
        <v>5</v>
      </c>
      <c r="H4655" s="161" t="s">
        <v>3767</v>
      </c>
      <c r="I4655" s="97" t="s">
        <v>2166</v>
      </c>
      <c r="J4655" s="97" t="s">
        <v>3768</v>
      </c>
      <c r="K4655" s="29">
        <v>42.42</v>
      </c>
      <c r="L4655" s="29">
        <v>-8.48</v>
      </c>
      <c r="M4655" s="30">
        <f>IFERROR(VLOOKUP($A4655,HeadJournal!$A$1:$J$890,COLUMN(HeadJournal!I$1),0)*($K4655+$L4655)/(SUMIF($A:$A,$A4655,$K:$K)+SUMIF($A:$A,$A4655,$L:$L)),0)</f>
        <v>-3.6976092834610172</v>
      </c>
      <c r="N4655" s="30">
        <f>IFERROR((VLOOKUP($A4655,HeadJournal!$A$1:$K$890,COLUMN(HeadJournal!K$1),0)-VLOOKUP($A4655,HeadJournal!$A$1:$K$890,COLUMN(HeadJournal!J$1),0))*($K4655+$L4655)/(SUMIF($A:$A,$A4655,$K:$K)+SUMIF($A:$A,$A4655,$L:$L)),0)</f>
        <v>-5.4339388129107243E-15</v>
      </c>
      <c r="O4655" s="30">
        <f>IFERROR((VLOOKUP($A4655,HeadJournal!$A$1:$L$890,COLUMN(HeadJournal!L$1),0)*($K4655+$L4655)/(SUMIF($A:$A,$A4655,$K:$K)+SUMIF($A:$A,$A4655,$L:$L)))/VLOOKUP($A4655,HeadJournal!$A$1:$L$890,COLUMN(HeadJournal!H$1),0),0)</f>
        <v>1.1023432074422954</v>
      </c>
      <c r="P4655" s="30">
        <f>IFERROR(SUM(K4655:O4655)*VLOOKUP($A4655,HeadJournal!$A$1:$L$890,COLUMN(HeadJournal!H$1),0),0)</f>
        <v>2881.2979855790891</v>
      </c>
      <c r="Q4655" s="29">
        <v>4500</v>
      </c>
      <c r="R4655" s="31">
        <v>45835</v>
      </c>
      <c r="S4655" s="31" t="s">
        <v>3235</v>
      </c>
      <c r="T4655" s="95" t="str">
        <f t="shared" si="357"/>
        <v>2025 06</v>
      </c>
      <c r="U4655" s="32">
        <f t="shared" si="358"/>
        <v>1618.7020144209109</v>
      </c>
      <c r="V4655" s="22">
        <f t="shared" si="359"/>
        <v>0.56179611498794035</v>
      </c>
      <c r="X4655" s="33"/>
      <c r="Y4655" s="33"/>
    </row>
    <row r="4656" spans="1:25" x14ac:dyDescent="0.2">
      <c r="A4656" s="93" t="s">
        <v>3806</v>
      </c>
      <c r="B4656" s="94" t="str">
        <f>IFERROR(VLOOKUP($A4656,HeadJournal!$A$1:$NTR$890,COLUMN(HeadJournal!B$1),0),"")</f>
        <v>720000690733</v>
      </c>
      <c r="C4656" s="94" t="str">
        <f>IFERROR(VLOOKUP($A4656,HeadJournal!$A$1:$NTR$890,COLUMN(HeadJournal!C$1),0),"")</f>
        <v>iHerb_MH DLE7202</v>
      </c>
      <c r="D4656" s="125" t="str">
        <f>IFERROR(VLOOKUP($A4656,HeadJournal!$A$1:$NTR$890,COLUMN(HeadJournal!D$1),0),"")</f>
        <v>Доставлен</v>
      </c>
      <c r="E4656" s="95">
        <f>IFERROR(VLOOKUP($A4656,HeadJournal!$A$1:$NTR$890,COLUMN(HeadJournal!G$1),0),"")</f>
        <v>45804</v>
      </c>
      <c r="F4656" s="95" t="str">
        <f t="shared" si="356"/>
        <v>2025 05</v>
      </c>
      <c r="G4656" s="97" t="s">
        <v>5</v>
      </c>
      <c r="H4656" s="161" t="s">
        <v>3769</v>
      </c>
      <c r="I4656" s="97" t="s">
        <v>2993</v>
      </c>
      <c r="J4656" s="97" t="s">
        <v>3770</v>
      </c>
      <c r="K4656" s="29">
        <v>16</v>
      </c>
      <c r="L4656" s="29">
        <v>-3.2</v>
      </c>
      <c r="M4656" s="30">
        <f>IFERROR(VLOOKUP($A4656,HeadJournal!$A$1:$J$890,COLUMN(HeadJournal!I$1),0)*($K4656+$L4656)/(SUMIF($A:$A,$A4656,$K:$K)+SUMIF($A:$A,$A4656,$L:$L)),0)</f>
        <v>-1.3945020279405136</v>
      </c>
      <c r="N4656" s="30">
        <f>IFERROR((VLOOKUP($A4656,HeadJournal!$A$1:$K$890,COLUMN(HeadJournal!K$1),0)-VLOOKUP($A4656,HeadJournal!$A$1:$K$890,COLUMN(HeadJournal!J$1),0))*($K4656+$L4656)/(SUMIF($A:$A,$A4656,$K:$K)+SUMIF($A:$A,$A4656,$L:$L)),0)</f>
        <v>-2.0493346141796486E-15</v>
      </c>
      <c r="O4656" s="30">
        <f>IFERROR((VLOOKUP($A4656,HeadJournal!$A$1:$L$890,COLUMN(HeadJournal!L$1),0)*($K4656+$L4656)/(SUMIF($A:$A,$A4656,$K:$K)+SUMIF($A:$A,$A4656,$L:$L)))/VLOOKUP($A4656,HeadJournal!$A$1:$L$890,COLUMN(HeadJournal!H$1),0),0)</f>
        <v>0.41573344299532655</v>
      </c>
      <c r="P4656" s="30">
        <f>IFERROR(SUM(K4656:O4656)*VLOOKUP($A4656,HeadJournal!$A$1:$L$890,COLUMN(HeadJournal!H$1),0),0)</f>
        <v>1086.6415502478594</v>
      </c>
      <c r="Q4656" s="29">
        <v>1900</v>
      </c>
      <c r="R4656" s="31">
        <v>45835</v>
      </c>
      <c r="S4656" s="31" t="s">
        <v>3475</v>
      </c>
      <c r="T4656" s="95" t="str">
        <f t="shared" si="357"/>
        <v>2025 06</v>
      </c>
      <c r="U4656" s="32">
        <f t="shared" si="358"/>
        <v>813.35844975214059</v>
      </c>
      <c r="V4656" s="22">
        <f t="shared" si="359"/>
        <v>0.74850667137347748</v>
      </c>
      <c r="X4656" s="33"/>
      <c r="Y4656" s="33"/>
    </row>
    <row r="4657" spans="1:25" x14ac:dyDescent="0.2">
      <c r="A4657" s="93" t="s">
        <v>3806</v>
      </c>
      <c r="B4657" s="94" t="str">
        <f>IFERROR(VLOOKUP($A4657,HeadJournal!$A$1:$NTR$890,COLUMN(HeadJournal!B$1),0),"")</f>
        <v>720000690733</v>
      </c>
      <c r="C4657" s="94" t="str">
        <f>IFERROR(VLOOKUP($A4657,HeadJournal!$A$1:$NTR$890,COLUMN(HeadJournal!C$1),0),"")</f>
        <v>iHerb_MH DLE7202</v>
      </c>
      <c r="D4657" s="125" t="str">
        <f>IFERROR(VLOOKUP($A4657,HeadJournal!$A$1:$NTR$890,COLUMN(HeadJournal!D$1),0),"")</f>
        <v>Доставлен</v>
      </c>
      <c r="E4657" s="95">
        <f>IFERROR(VLOOKUP($A4657,HeadJournal!$A$1:$NTR$890,COLUMN(HeadJournal!G$1),0),"")</f>
        <v>45804</v>
      </c>
      <c r="F4657" s="95" t="str">
        <f t="shared" si="356"/>
        <v>2025 05</v>
      </c>
      <c r="G4657" s="97" t="s">
        <v>5</v>
      </c>
      <c r="H4657" s="161" t="s">
        <v>3771</v>
      </c>
      <c r="I4657" s="97" t="s">
        <v>2556</v>
      </c>
      <c r="J4657" s="97" t="s">
        <v>3772</v>
      </c>
      <c r="K4657" s="29">
        <v>12.9</v>
      </c>
      <c r="L4657" s="29">
        <v>-11.9</v>
      </c>
      <c r="M4657" s="30">
        <f>IFERROR(VLOOKUP($A4657,HeadJournal!$A$1:$J$890,COLUMN(HeadJournal!I$1),0)*($K4657+$L4657)/(SUMIF($A:$A,$A4657,$K:$K)+SUMIF($A:$A,$A4657,$L:$L)),0)</f>
        <v>-0.10894547093285262</v>
      </c>
      <c r="N4657" s="30">
        <f>IFERROR((VLOOKUP($A4657,HeadJournal!$A$1:$K$890,COLUMN(HeadJournal!K$1),0)-VLOOKUP($A4657,HeadJournal!$A$1:$K$890,COLUMN(HeadJournal!J$1),0))*($K4657+$L4657)/(SUMIF($A:$A,$A4657,$K:$K)+SUMIF($A:$A,$A4657,$L:$L)),0)</f>
        <v>-1.6010426673278504E-16</v>
      </c>
      <c r="O4657" s="30">
        <f>IFERROR((VLOOKUP($A4657,HeadJournal!$A$1:$L$890,COLUMN(HeadJournal!L$1),0)*($K4657+$L4657)/(SUMIF($A:$A,$A4657,$K:$K)+SUMIF($A:$A,$A4657,$L:$L)))/VLOOKUP($A4657,HeadJournal!$A$1:$L$890,COLUMN(HeadJournal!H$1),0),0)</f>
        <v>3.2479175234009887E-2</v>
      </c>
      <c r="P4657" s="30">
        <f>IFERROR(SUM(K4657:O4657)*VLOOKUP($A4657,HeadJournal!$A$1:$L$890,COLUMN(HeadJournal!H$1),0),0)</f>
        <v>84.893871113114017</v>
      </c>
      <c r="Q4657" s="29"/>
      <c r="R4657" s="31"/>
      <c r="S4657" s="31"/>
      <c r="T4657" s="95" t="str">
        <f t="shared" si="357"/>
        <v/>
      </c>
      <c r="U4657" s="32">
        <f t="shared" si="358"/>
        <v>-84.893871113114017</v>
      </c>
      <c r="V4657" s="22" t="str">
        <f t="shared" si="359"/>
        <v/>
      </c>
      <c r="X4657" s="33"/>
      <c r="Y4657" s="33"/>
    </row>
    <row r="4658" spans="1:25" x14ac:dyDescent="0.2">
      <c r="A4658" s="93" t="s">
        <v>3806</v>
      </c>
      <c r="B4658" s="94" t="str">
        <f>IFERROR(VLOOKUP($A4658,HeadJournal!$A$1:$NTR$890,COLUMN(HeadJournal!B$1),0),"")</f>
        <v>720000690733</v>
      </c>
      <c r="C4658" s="94" t="str">
        <f>IFERROR(VLOOKUP($A4658,HeadJournal!$A$1:$NTR$890,COLUMN(HeadJournal!C$1),0),"")</f>
        <v>iHerb_MH DLE7202</v>
      </c>
      <c r="D4658" s="125" t="str">
        <f>IFERROR(VLOOKUP($A4658,HeadJournal!$A$1:$NTR$890,COLUMN(HeadJournal!D$1),0),"")</f>
        <v>Доставлен</v>
      </c>
      <c r="E4658" s="95">
        <f>IFERROR(VLOOKUP($A4658,HeadJournal!$A$1:$NTR$890,COLUMN(HeadJournal!G$1),0),"")</f>
        <v>45804</v>
      </c>
      <c r="F4658" s="95" t="str">
        <f t="shared" si="356"/>
        <v>2025 05</v>
      </c>
      <c r="G4658" s="97" t="s">
        <v>5</v>
      </c>
      <c r="H4658" s="161" t="s">
        <v>3773</v>
      </c>
      <c r="I4658" s="97" t="s">
        <v>2036</v>
      </c>
      <c r="J4658" s="97" t="s">
        <v>4124</v>
      </c>
      <c r="K4658" s="29">
        <v>12.06</v>
      </c>
      <c r="L4658" s="29">
        <v>-2.41</v>
      </c>
      <c r="M4658" s="30">
        <f>IFERROR(VLOOKUP($A4658,HeadJournal!$A$1:$J$890,COLUMN(HeadJournal!I$1),0)*($K4658+$L4658)/(SUMIF($A:$A,$A4658,$K:$K)+SUMIF($A:$A,$A4658,$L:$L)),0)</f>
        <v>-1.0513237945020277</v>
      </c>
      <c r="N4658" s="30">
        <f>IFERROR((VLOOKUP($A4658,HeadJournal!$A$1:$K$890,COLUMN(HeadJournal!K$1),0)-VLOOKUP($A4658,HeadJournal!$A$1:$K$890,COLUMN(HeadJournal!J$1),0))*($K4658+$L4658)/(SUMIF($A:$A,$A4658,$K:$K)+SUMIF($A:$A,$A4658,$L:$L)),0)</f>
        <v>-1.5450061739713758E-15</v>
      </c>
      <c r="O4658" s="30">
        <f>IFERROR((VLOOKUP($A4658,HeadJournal!$A$1:$L$890,COLUMN(HeadJournal!L$1),0)*($K4658+$L4658)/(SUMIF($A:$A,$A4658,$K:$K)+SUMIF($A:$A,$A4658,$L:$L)))/VLOOKUP($A4658,HeadJournal!$A$1:$L$890,COLUMN(HeadJournal!H$1),0),0)</f>
        <v>0.31342404100819543</v>
      </c>
      <c r="P4658" s="30">
        <f>IFERROR(SUM(K4658:O4658)*VLOOKUP($A4658,HeadJournal!$A$1:$L$890,COLUMN(HeadJournal!H$1),0),0)</f>
        <v>819.22585624155022</v>
      </c>
      <c r="Q4658" s="29">
        <v>819.23</v>
      </c>
      <c r="R4658" s="31"/>
      <c r="S4658" s="31"/>
      <c r="T4658" s="95" t="str">
        <f t="shared" si="357"/>
        <v/>
      </c>
      <c r="U4658" s="32">
        <f t="shared" si="358"/>
        <v>4.1437584497998614E-3</v>
      </c>
      <c r="V4658" s="22">
        <f t="shared" si="359"/>
        <v>5.0581392399046384E-6</v>
      </c>
      <c r="X4658" s="33"/>
      <c r="Y4658" s="33"/>
    </row>
    <row r="4659" spans="1:25" x14ac:dyDescent="0.2">
      <c r="A4659" s="93" t="s">
        <v>3806</v>
      </c>
      <c r="B4659" s="94" t="str">
        <f>IFERROR(VLOOKUP($A4659,HeadJournal!$A$1:$NTR$890,COLUMN(HeadJournal!B$1),0),"")</f>
        <v>720000690733</v>
      </c>
      <c r="C4659" s="94" t="str">
        <f>IFERROR(VLOOKUP($A4659,HeadJournal!$A$1:$NTR$890,COLUMN(HeadJournal!C$1),0),"")</f>
        <v>iHerb_MH DLE7202</v>
      </c>
      <c r="D4659" s="125" t="str">
        <f>IFERROR(VLOOKUP($A4659,HeadJournal!$A$1:$NTR$890,COLUMN(HeadJournal!D$1),0),"")</f>
        <v>Доставлен</v>
      </c>
      <c r="E4659" s="95">
        <f>IFERROR(VLOOKUP($A4659,HeadJournal!$A$1:$NTR$890,COLUMN(HeadJournal!G$1),0),"")</f>
        <v>45804</v>
      </c>
      <c r="F4659" s="95" t="str">
        <f t="shared" si="356"/>
        <v>2025 05</v>
      </c>
      <c r="G4659" s="97" t="s">
        <v>5</v>
      </c>
      <c r="H4659" s="161" t="s">
        <v>3773</v>
      </c>
      <c r="I4659" s="97" t="s">
        <v>2036</v>
      </c>
      <c r="J4659" s="97" t="s">
        <v>4124</v>
      </c>
      <c r="K4659" s="29">
        <v>12.06</v>
      </c>
      <c r="L4659" s="29">
        <v>-2.41</v>
      </c>
      <c r="M4659" s="30">
        <f>IFERROR(VLOOKUP($A4659,HeadJournal!$A$1:$J$890,COLUMN(HeadJournal!I$1),0)*($K4659+$L4659)/(SUMIF($A:$A,$A4659,$K:$K)+SUMIF($A:$A,$A4659,$L:$L)),0)</f>
        <v>-1.0513237945020277</v>
      </c>
      <c r="N4659" s="30">
        <f>IFERROR((VLOOKUP($A4659,HeadJournal!$A$1:$K$890,COLUMN(HeadJournal!K$1),0)-VLOOKUP($A4659,HeadJournal!$A$1:$K$890,COLUMN(HeadJournal!J$1),0))*($K4659+$L4659)/(SUMIF($A:$A,$A4659,$K:$K)+SUMIF($A:$A,$A4659,$L:$L)),0)</f>
        <v>-1.5450061739713758E-15</v>
      </c>
      <c r="O4659" s="30">
        <f>IFERROR((VLOOKUP($A4659,HeadJournal!$A$1:$L$890,COLUMN(HeadJournal!L$1),0)*($K4659+$L4659)/(SUMIF($A:$A,$A4659,$K:$K)+SUMIF($A:$A,$A4659,$L:$L)))/VLOOKUP($A4659,HeadJournal!$A$1:$L$890,COLUMN(HeadJournal!H$1),0),0)</f>
        <v>0.31342404100819543</v>
      </c>
      <c r="P4659" s="30">
        <f>IFERROR(SUM(K4659:O4659)*VLOOKUP($A4659,HeadJournal!$A$1:$L$890,COLUMN(HeadJournal!H$1),0),0)</f>
        <v>819.22585624155022</v>
      </c>
      <c r="Q4659" s="29">
        <v>1900</v>
      </c>
      <c r="R4659" s="31">
        <v>45881</v>
      </c>
      <c r="S4659" s="31" t="s">
        <v>3226</v>
      </c>
      <c r="T4659" s="95" t="str">
        <f t="shared" si="357"/>
        <v>2025 08</v>
      </c>
      <c r="U4659" s="32">
        <f t="shared" si="358"/>
        <v>1080.7741437584498</v>
      </c>
      <c r="V4659" s="22">
        <f t="shared" si="359"/>
        <v>1.3192627350860635</v>
      </c>
      <c r="X4659" s="33"/>
      <c r="Y4659" s="33"/>
    </row>
    <row r="4660" spans="1:25" x14ac:dyDescent="0.2">
      <c r="A4660" s="93" t="s">
        <v>3806</v>
      </c>
      <c r="B4660" s="94" t="str">
        <f>IFERROR(VLOOKUP($A4660,HeadJournal!$A$1:$NTR$890,COLUMN(HeadJournal!B$1),0),"")</f>
        <v>720000690733</v>
      </c>
      <c r="C4660" s="94" t="str">
        <f>IFERROR(VLOOKUP($A4660,HeadJournal!$A$1:$NTR$890,COLUMN(HeadJournal!C$1),0),"")</f>
        <v>iHerb_MH DLE7202</v>
      </c>
      <c r="D4660" s="125" t="str">
        <f>IFERROR(VLOOKUP($A4660,HeadJournal!$A$1:$NTR$890,COLUMN(HeadJournal!D$1),0),"")</f>
        <v>Доставлен</v>
      </c>
      <c r="E4660" s="95">
        <f>IFERROR(VLOOKUP($A4660,HeadJournal!$A$1:$NTR$890,COLUMN(HeadJournal!G$1),0),"")</f>
        <v>45804</v>
      </c>
      <c r="F4660" s="95" t="str">
        <f t="shared" si="356"/>
        <v>2025 05</v>
      </c>
      <c r="G4660" s="97" t="s">
        <v>5</v>
      </c>
      <c r="H4660" s="161" t="s">
        <v>2583</v>
      </c>
      <c r="I4660" s="97" t="s">
        <v>2005</v>
      </c>
      <c r="J4660" s="97" t="s">
        <v>2584</v>
      </c>
      <c r="K4660" s="29">
        <v>21.74</v>
      </c>
      <c r="L4660" s="29">
        <v>-4.3499999999999996</v>
      </c>
      <c r="M4660" s="30">
        <f>IFERROR(VLOOKUP($A4660,HeadJournal!$A$1:$J$890,COLUMN(HeadJournal!I$1),0)*($K4660+$L4660)/(SUMIF($A:$A,$A4660,$K:$K)+SUMIF($A:$A,$A4660,$L:$L)),0)</f>
        <v>-1.8945617395223071</v>
      </c>
      <c r="N4660" s="30">
        <f>IFERROR((VLOOKUP($A4660,HeadJournal!$A$1:$K$890,COLUMN(HeadJournal!K$1),0)-VLOOKUP($A4660,HeadJournal!$A$1:$K$890,COLUMN(HeadJournal!J$1),0))*($K4660+$L4660)/(SUMIF($A:$A,$A4660,$K:$K)+SUMIF($A:$A,$A4660,$L:$L)),0)</f>
        <v>-2.7842131984831319E-15</v>
      </c>
      <c r="O4660" s="30">
        <f>IFERROR((VLOOKUP($A4660,HeadJournal!$A$1:$L$890,COLUMN(HeadJournal!L$1),0)*($K4660+$L4660)/(SUMIF($A:$A,$A4660,$K:$K)+SUMIF($A:$A,$A4660,$L:$L)))/VLOOKUP($A4660,HeadJournal!$A$1:$L$890,COLUMN(HeadJournal!H$1),0),0)</f>
        <v>0.56481285731943198</v>
      </c>
      <c r="P4660" s="30">
        <f>IFERROR(SUM(K4660:O4660)*VLOOKUP($A4660,HeadJournal!$A$1:$L$890,COLUMN(HeadJournal!H$1),0),0)</f>
        <v>1476.3044186570526</v>
      </c>
      <c r="Q4660" s="29">
        <v>2500</v>
      </c>
      <c r="R4660" s="31">
        <v>45835</v>
      </c>
      <c r="S4660" s="31" t="s">
        <v>3121</v>
      </c>
      <c r="T4660" s="95" t="str">
        <f t="shared" si="357"/>
        <v>2025 06</v>
      </c>
      <c r="U4660" s="32">
        <f t="shared" si="358"/>
        <v>1023.6955813429474</v>
      </c>
      <c r="V4660" s="22">
        <f t="shared" si="359"/>
        <v>0.69341767755065786</v>
      </c>
      <c r="X4660" s="33"/>
      <c r="Y4660" s="33"/>
    </row>
    <row r="4661" spans="1:25" x14ac:dyDescent="0.2">
      <c r="A4661" s="93" t="s">
        <v>3807</v>
      </c>
      <c r="B4661" s="94" t="str">
        <f>IFERROR(VLOOKUP($A4661,HeadJournal!$A$1:$NTR$890,COLUMN(HeadJournal!B$1),0),"")</f>
        <v>720000677133</v>
      </c>
      <c r="C4661" s="94" t="str">
        <f>IFERROR(VLOOKUP($A4661,HeadJournal!$A$1:$NTR$890,COLUMN(HeadJournal!C$1),0),"")</f>
        <v>iHerb_AV CYG0792</v>
      </c>
      <c r="D4661" s="125" t="str">
        <f>IFERROR(VLOOKUP($A4661,HeadJournal!$A$1:$NTR$890,COLUMN(HeadJournal!D$1),0),"")</f>
        <v>Доставлен</v>
      </c>
      <c r="E4661" s="95">
        <f>IFERROR(VLOOKUP($A4661,HeadJournal!$A$1:$NTR$890,COLUMN(HeadJournal!G$1),0),"")</f>
        <v>45791</v>
      </c>
      <c r="F4661" s="95" t="str">
        <f t="shared" si="356"/>
        <v>2025 05</v>
      </c>
      <c r="G4661" s="97" t="s">
        <v>5</v>
      </c>
      <c r="H4661" s="161" t="s">
        <v>2565</v>
      </c>
      <c r="I4661" s="97" t="s">
        <v>2052</v>
      </c>
      <c r="J4661" s="97" t="s">
        <v>3829</v>
      </c>
      <c r="K4661" s="29">
        <v>30.08</v>
      </c>
      <c r="L4661" s="29">
        <v>-9.02</v>
      </c>
      <c r="M4661" s="30">
        <f>IFERROR(VLOOKUP($A4661,HeadJournal!$A$1:$J$890,COLUMN(HeadJournal!I$1),0)*($K4661+$L4661)/(SUMIF($A:$A,$A4661,$K:$K)+SUMIF($A:$A,$A4661,$L:$L)),0)</f>
        <v>-1.082793151606062</v>
      </c>
      <c r="N4661" s="30">
        <f>IFERROR((VLOOKUP($A4661,HeadJournal!$A$1:$K$890,COLUMN(HeadJournal!K$1),0)-VLOOKUP($A4661,HeadJournal!$A$1:$K$890,COLUMN(HeadJournal!J$1),0))*($K4661+$L4661)/(SUMIF($A:$A,$A4661,$K:$K)+SUMIF($A:$A,$A4661,$L:$L)),0)</f>
        <v>0</v>
      </c>
      <c r="O4661" s="30">
        <f>IFERROR((VLOOKUP($A4661,HeadJournal!$A$1:$L$890,COLUMN(HeadJournal!L$1),0)*($K4661+$L4661)/(SUMIF($A:$A,$A4661,$K:$K)+SUMIF($A:$A,$A4661,$L:$L)))/VLOOKUP($A4661,HeadJournal!$A$1:$L$890,COLUMN(HeadJournal!H$1),0),0)</f>
        <v>0.68239336169292863</v>
      </c>
      <c r="P4661" s="30">
        <f>IFERROR(SUM(K4661:O4661)*VLOOKUP($A4661,HeadJournal!$A$1:$L$890,COLUMN(HeadJournal!H$1),0),0)</f>
        <v>1912.8205513888167</v>
      </c>
      <c r="Q4661" s="29">
        <v>3500</v>
      </c>
      <c r="R4661" s="31">
        <v>45899</v>
      </c>
      <c r="S4661" s="31" t="s">
        <v>3384</v>
      </c>
      <c r="T4661" s="95" t="str">
        <f t="shared" si="357"/>
        <v>2025 08</v>
      </c>
      <c r="U4661" s="32">
        <f t="shared" si="358"/>
        <v>1587.1794486111833</v>
      </c>
      <c r="V4661" s="22">
        <f t="shared" si="359"/>
        <v>0.82975867624320565</v>
      </c>
      <c r="X4661" s="33"/>
      <c r="Y4661" s="33"/>
    </row>
    <row r="4662" spans="1:25" x14ac:dyDescent="0.2">
      <c r="A4662" s="93" t="s">
        <v>3807</v>
      </c>
      <c r="B4662" s="94" t="str">
        <f>IFERROR(VLOOKUP($A4662,HeadJournal!$A$1:$NTR$890,COLUMN(HeadJournal!B$1),0),"")</f>
        <v>720000677133</v>
      </c>
      <c r="C4662" s="94" t="str">
        <f>IFERROR(VLOOKUP($A4662,HeadJournal!$A$1:$NTR$890,COLUMN(HeadJournal!C$1),0),"")</f>
        <v>iHerb_AV CYG0792</v>
      </c>
      <c r="D4662" s="125" t="str">
        <f>IFERROR(VLOOKUP($A4662,HeadJournal!$A$1:$NTR$890,COLUMN(HeadJournal!D$1),0),"")</f>
        <v>Доставлен</v>
      </c>
      <c r="E4662" s="95">
        <f>IFERROR(VLOOKUP($A4662,HeadJournal!$A$1:$NTR$890,COLUMN(HeadJournal!G$1),0),"")</f>
        <v>45791</v>
      </c>
      <c r="F4662" s="95" t="str">
        <f t="shared" si="356"/>
        <v>2025 05</v>
      </c>
      <c r="G4662" s="97" t="s">
        <v>5</v>
      </c>
      <c r="H4662" s="161" t="s">
        <v>2073</v>
      </c>
      <c r="I4662" s="97" t="s">
        <v>2005</v>
      </c>
      <c r="J4662" s="97" t="s">
        <v>2074</v>
      </c>
      <c r="K4662" s="29">
        <v>18.829999999999998</v>
      </c>
      <c r="L4662" s="29">
        <v>-1.88</v>
      </c>
      <c r="M4662" s="30">
        <f>IFERROR(VLOOKUP($A4662,HeadJournal!$A$1:$J$890,COLUMN(HeadJournal!I$1),0)*($K4662+$L4662)/(SUMIF($A:$A,$A4662,$K:$K)+SUMIF($A:$A,$A4662,$L:$L)),0)</f>
        <v>-0.87147881860032061</v>
      </c>
      <c r="N4662" s="30">
        <f>IFERROR((VLOOKUP($A4662,HeadJournal!$A$1:$K$890,COLUMN(HeadJournal!K$1),0)-VLOOKUP($A4662,HeadJournal!$A$1:$K$890,COLUMN(HeadJournal!J$1),0))*($K4662+$L4662)/(SUMIF($A:$A,$A4662,$K:$K)+SUMIF($A:$A,$A4662,$L:$L)),0)</f>
        <v>0</v>
      </c>
      <c r="O4662" s="30">
        <f>IFERROR((VLOOKUP($A4662,HeadJournal!$A$1:$L$890,COLUMN(HeadJournal!L$1),0)*($K4662+$L4662)/(SUMIF($A:$A,$A4662,$K:$K)+SUMIF($A:$A,$A4662,$L:$L)))/VLOOKUP($A4662,HeadJournal!$A$1:$L$890,COLUMN(HeadJournal!H$1),0),0)</f>
        <v>0.54921972842806932</v>
      </c>
      <c r="P4662" s="30">
        <f>IFERROR(SUM(K4662:O4662)*VLOOKUP($A4662,HeadJournal!$A$1:$L$890,COLUMN(HeadJournal!H$1),0),0)</f>
        <v>1539.5208141519681</v>
      </c>
      <c r="Q4662" s="29">
        <v>2500</v>
      </c>
      <c r="R4662" s="31">
        <v>45823</v>
      </c>
      <c r="S4662" s="31" t="s">
        <v>3121</v>
      </c>
      <c r="T4662" s="95" t="str">
        <f t="shared" si="357"/>
        <v>2025 06</v>
      </c>
      <c r="U4662" s="32">
        <f t="shared" si="358"/>
        <v>960.47918584803188</v>
      </c>
      <c r="V4662" s="22">
        <f t="shared" si="359"/>
        <v>0.62388190988967152</v>
      </c>
      <c r="X4662" s="33"/>
      <c r="Y4662" s="33"/>
    </row>
    <row r="4663" spans="1:25" x14ac:dyDescent="0.2">
      <c r="A4663" s="93" t="s">
        <v>3807</v>
      </c>
      <c r="B4663" s="94" t="str">
        <f>IFERROR(VLOOKUP($A4663,HeadJournal!$A$1:$NTR$890,COLUMN(HeadJournal!B$1),0),"")</f>
        <v>720000677133</v>
      </c>
      <c r="C4663" s="94" t="str">
        <f>IFERROR(VLOOKUP($A4663,HeadJournal!$A$1:$NTR$890,COLUMN(HeadJournal!C$1),0),"")</f>
        <v>iHerb_AV CYG0792</v>
      </c>
      <c r="D4663" s="125" t="str">
        <f>IFERROR(VLOOKUP($A4663,HeadJournal!$A$1:$NTR$890,COLUMN(HeadJournal!D$1),0),"")</f>
        <v>Доставлен</v>
      </c>
      <c r="E4663" s="95">
        <f>IFERROR(VLOOKUP($A4663,HeadJournal!$A$1:$NTR$890,COLUMN(HeadJournal!G$1),0),"")</f>
        <v>45791</v>
      </c>
      <c r="F4663" s="95" t="str">
        <f t="shared" si="356"/>
        <v>2025 05</v>
      </c>
      <c r="G4663" s="97" t="s">
        <v>5</v>
      </c>
      <c r="H4663" s="161" t="s">
        <v>3661</v>
      </c>
      <c r="I4663" s="97" t="s">
        <v>2009</v>
      </c>
      <c r="J4663" s="97" t="s">
        <v>3774</v>
      </c>
      <c r="K4663" s="29">
        <v>32.68</v>
      </c>
      <c r="L4663" s="29">
        <v>-3.27</v>
      </c>
      <c r="M4663" s="30">
        <f>IFERROR(VLOOKUP($A4663,HeadJournal!$A$1:$J$890,COLUMN(HeadJournal!I$1),0)*($K4663+$L4663)/(SUMIF($A:$A,$A4663,$K:$K)+SUMIF($A:$A,$A4663,$L:$L)),0)</f>
        <v>-1.5121057259607926</v>
      </c>
      <c r="N4663" s="30">
        <f>IFERROR((VLOOKUP($A4663,HeadJournal!$A$1:$K$890,COLUMN(HeadJournal!K$1),0)-VLOOKUP($A4663,HeadJournal!$A$1:$K$890,COLUMN(HeadJournal!J$1),0))*($K4663+$L4663)/(SUMIF($A:$A,$A4663,$K:$K)+SUMIF($A:$A,$A4663,$L:$L)),0)</f>
        <v>0</v>
      </c>
      <c r="O4663" s="30">
        <f>IFERROR((VLOOKUP($A4663,HeadJournal!$A$1:$L$890,COLUMN(HeadJournal!L$1),0)*($K4663+$L4663)/(SUMIF($A:$A,$A4663,$K:$K)+SUMIF($A:$A,$A4663,$L:$L)))/VLOOKUP($A4663,HeadJournal!$A$1:$L$890,COLUMN(HeadJournal!H$1),0),0)</f>
        <v>0.95295293292445538</v>
      </c>
      <c r="P4663" s="30">
        <f>IFERROR(SUM(K4663:O4663)*VLOOKUP($A4663,HeadJournal!$A$1:$L$890,COLUMN(HeadJournal!H$1),0),0)</f>
        <v>2671.2275601303468</v>
      </c>
      <c r="Q4663" s="29">
        <v>3500</v>
      </c>
      <c r="R4663" s="31">
        <v>45824</v>
      </c>
      <c r="S4663" s="31" t="s">
        <v>3121</v>
      </c>
      <c r="T4663" s="95" t="str">
        <f t="shared" si="357"/>
        <v>2025 06</v>
      </c>
      <c r="U4663" s="32">
        <f t="shared" si="358"/>
        <v>828.77243986965323</v>
      </c>
      <c r="V4663" s="22">
        <f t="shared" si="359"/>
        <v>0.31025901807826961</v>
      </c>
      <c r="X4663" s="33"/>
      <c r="Y4663" s="33"/>
    </row>
    <row r="4664" spans="1:25" x14ac:dyDescent="0.2">
      <c r="A4664" s="93" t="s">
        <v>3807</v>
      </c>
      <c r="B4664" s="94" t="str">
        <f>IFERROR(VLOOKUP($A4664,HeadJournal!$A$1:$NTR$890,COLUMN(HeadJournal!B$1),0),"")</f>
        <v>720000677133</v>
      </c>
      <c r="C4664" s="94" t="str">
        <f>IFERROR(VLOOKUP($A4664,HeadJournal!$A$1:$NTR$890,COLUMN(HeadJournal!C$1),0),"")</f>
        <v>iHerb_AV CYG0792</v>
      </c>
      <c r="D4664" s="125" t="str">
        <f>IFERROR(VLOOKUP($A4664,HeadJournal!$A$1:$NTR$890,COLUMN(HeadJournal!D$1),0),"")</f>
        <v>Доставлен</v>
      </c>
      <c r="E4664" s="95">
        <f>IFERROR(VLOOKUP($A4664,HeadJournal!$A$1:$NTR$890,COLUMN(HeadJournal!G$1),0),"")</f>
        <v>45791</v>
      </c>
      <c r="F4664" s="95" t="str">
        <f t="shared" si="356"/>
        <v>2025 05</v>
      </c>
      <c r="G4664" s="97" t="s">
        <v>5</v>
      </c>
      <c r="H4664" s="161" t="s">
        <v>3645</v>
      </c>
      <c r="I4664" s="97" t="s">
        <v>2102</v>
      </c>
      <c r="J4664" s="97" t="s">
        <v>3775</v>
      </c>
      <c r="K4664" s="29">
        <v>13.29</v>
      </c>
      <c r="L4664" s="29">
        <v>-1.33</v>
      </c>
      <c r="M4664" s="30">
        <f>IFERROR(VLOOKUP($A4664,HeadJournal!$A$1:$J$890,COLUMN(HeadJournal!I$1),0)*($K4664+$L4664)/(SUMIF($A:$A,$A4664,$K:$K)+SUMIF($A:$A,$A4664,$L:$L)),0)</f>
        <v>-0.61491956757875132</v>
      </c>
      <c r="N4664" s="30">
        <f>IFERROR((VLOOKUP($A4664,HeadJournal!$A$1:$K$890,COLUMN(HeadJournal!K$1),0)-VLOOKUP($A4664,HeadJournal!$A$1:$K$890,COLUMN(HeadJournal!J$1),0))*($K4664+$L4664)/(SUMIF($A:$A,$A4664,$K:$K)+SUMIF($A:$A,$A4664,$L:$L)),0)</f>
        <v>0</v>
      </c>
      <c r="O4664" s="30">
        <f>IFERROR((VLOOKUP($A4664,HeadJournal!$A$1:$L$890,COLUMN(HeadJournal!L$1),0)*($K4664+$L4664)/(SUMIF($A:$A,$A4664,$K:$K)+SUMIF($A:$A,$A4664,$L:$L)))/VLOOKUP($A4664,HeadJournal!$A$1:$L$890,COLUMN(HeadJournal!H$1),0),0)</f>
        <v>0.38753203256635449</v>
      </c>
      <c r="P4664" s="30">
        <f>IFERROR(SUM(K4664:O4664)*VLOOKUP($A4664,HeadJournal!$A$1:$L$890,COLUMN(HeadJournal!H$1),0),0)</f>
        <v>1086.2931526405628</v>
      </c>
      <c r="Q4664" s="29">
        <v>1800</v>
      </c>
      <c r="R4664" s="31">
        <v>45833</v>
      </c>
      <c r="S4664" s="31" t="s">
        <v>3231</v>
      </c>
      <c r="T4664" s="95" t="str">
        <f t="shared" si="357"/>
        <v>2025 06</v>
      </c>
      <c r="U4664" s="32">
        <f t="shared" si="358"/>
        <v>713.70684735943723</v>
      </c>
      <c r="V4664" s="22">
        <f t="shared" si="359"/>
        <v>0.65701127326869158</v>
      </c>
      <c r="X4664" s="33"/>
      <c r="Y4664" s="33"/>
    </row>
    <row r="4665" spans="1:25" x14ac:dyDescent="0.2">
      <c r="A4665" s="93" t="s">
        <v>3807</v>
      </c>
      <c r="B4665" s="94" t="str">
        <f>IFERROR(VLOOKUP($A4665,HeadJournal!$A$1:$NTR$890,COLUMN(HeadJournal!B$1),0),"")</f>
        <v>720000677133</v>
      </c>
      <c r="C4665" s="94" t="str">
        <f>IFERROR(VLOOKUP($A4665,HeadJournal!$A$1:$NTR$890,COLUMN(HeadJournal!C$1),0),"")</f>
        <v>iHerb_AV CYG0792</v>
      </c>
      <c r="D4665" s="125" t="str">
        <f>IFERROR(VLOOKUP($A4665,HeadJournal!$A$1:$NTR$890,COLUMN(HeadJournal!D$1),0),"")</f>
        <v>Доставлен</v>
      </c>
      <c r="E4665" s="95">
        <f>IFERROR(VLOOKUP($A4665,HeadJournal!$A$1:$NTR$890,COLUMN(HeadJournal!G$1),0),"")</f>
        <v>45791</v>
      </c>
      <c r="F4665" s="95" t="str">
        <f t="shared" si="356"/>
        <v>2025 05</v>
      </c>
      <c r="G4665" s="97" t="s">
        <v>5</v>
      </c>
      <c r="H4665" s="161" t="s">
        <v>3776</v>
      </c>
      <c r="I4665" s="97" t="s">
        <v>2005</v>
      </c>
      <c r="J4665" s="97" t="s">
        <v>3777</v>
      </c>
      <c r="K4665" s="29">
        <v>20.09</v>
      </c>
      <c r="L4665" s="29">
        <v>-2.0099999999999998</v>
      </c>
      <c r="M4665" s="30">
        <f>IFERROR(VLOOKUP($A4665,HeadJournal!$A$1:$J$890,COLUMN(HeadJournal!I$1),0)*($K4665+$L4665)/(SUMIF($A:$A,$A4665,$K:$K)+SUMIF($A:$A,$A4665,$L:$L)),0)</f>
        <v>-0.92957740650700871</v>
      </c>
      <c r="N4665" s="30">
        <f>IFERROR((VLOOKUP($A4665,HeadJournal!$A$1:$K$890,COLUMN(HeadJournal!K$1),0)-VLOOKUP($A4665,HeadJournal!$A$1:$K$890,COLUMN(HeadJournal!J$1),0))*($K4665+$L4665)/(SUMIF($A:$A,$A4665,$K:$K)+SUMIF($A:$A,$A4665,$L:$L)),0)</f>
        <v>0</v>
      </c>
      <c r="O4665" s="30">
        <f>IFERROR((VLOOKUP($A4665,HeadJournal!$A$1:$L$890,COLUMN(HeadJournal!L$1),0)*($K4665+$L4665)/(SUMIF($A:$A,$A4665,$K:$K)+SUMIF($A:$A,$A4665,$L:$L)))/VLOOKUP($A4665,HeadJournal!$A$1:$L$890,COLUMN(HeadJournal!H$1),0),0)</f>
        <v>0.58583437698994056</v>
      </c>
      <c r="P4665" s="30">
        <f>IFERROR(SUM(K4665:O4665)*VLOOKUP($A4665,HeadJournal!$A$1:$L$890,COLUMN(HeadJournal!H$1),0),0)</f>
        <v>1642.1555350954325</v>
      </c>
      <c r="Q4665" s="29">
        <v>2500</v>
      </c>
      <c r="R4665" s="31">
        <v>45825</v>
      </c>
      <c r="S4665" s="31" t="s">
        <v>3509</v>
      </c>
      <c r="T4665" s="95" t="str">
        <f t="shared" si="357"/>
        <v>2025 06</v>
      </c>
      <c r="U4665" s="32">
        <f t="shared" si="358"/>
        <v>857.84446490456753</v>
      </c>
      <c r="V4665" s="22">
        <f t="shared" si="359"/>
        <v>0.52238929052156724</v>
      </c>
      <c r="X4665" s="33"/>
      <c r="Y4665" s="33"/>
    </row>
    <row r="4666" spans="1:25" x14ac:dyDescent="0.2">
      <c r="A4666" s="93" t="s">
        <v>3807</v>
      </c>
      <c r="B4666" s="94" t="str">
        <f>IFERROR(VLOOKUP($A4666,HeadJournal!$A$1:$NTR$890,COLUMN(HeadJournal!B$1),0),"")</f>
        <v>720000677133</v>
      </c>
      <c r="C4666" s="94" t="str">
        <f>IFERROR(VLOOKUP($A4666,HeadJournal!$A$1:$NTR$890,COLUMN(HeadJournal!C$1),0),"")</f>
        <v>iHerb_AV CYG0792</v>
      </c>
      <c r="D4666" s="125" t="str">
        <f>IFERROR(VLOOKUP($A4666,HeadJournal!$A$1:$NTR$890,COLUMN(HeadJournal!D$1),0),"")</f>
        <v>Доставлен</v>
      </c>
      <c r="E4666" s="95">
        <f>IFERROR(VLOOKUP($A4666,HeadJournal!$A$1:$NTR$890,COLUMN(HeadJournal!G$1),0),"")</f>
        <v>45791</v>
      </c>
      <c r="F4666" s="95" t="str">
        <f t="shared" si="356"/>
        <v>2025 05</v>
      </c>
      <c r="G4666" s="97" t="s">
        <v>5</v>
      </c>
      <c r="H4666" s="161" t="s">
        <v>3778</v>
      </c>
      <c r="I4666" s="97" t="s">
        <v>3779</v>
      </c>
      <c r="J4666" s="97" t="s">
        <v>3780</v>
      </c>
      <c r="K4666" s="29">
        <v>19.78</v>
      </c>
      <c r="L4666" s="29">
        <v>-1.98</v>
      </c>
      <c r="M4666" s="30">
        <f>IFERROR(VLOOKUP($A4666,HeadJournal!$A$1:$J$890,COLUMN(HeadJournal!I$1),0)*($K4666+$L4666)/(SUMIF($A:$A,$A4666,$K:$K)+SUMIF($A:$A,$A4666,$L:$L)),0)</f>
        <v>-0.91518129622924538</v>
      </c>
      <c r="N4666" s="30">
        <f>IFERROR((VLOOKUP($A4666,HeadJournal!$A$1:$K$890,COLUMN(HeadJournal!K$1),0)-VLOOKUP($A4666,HeadJournal!$A$1:$K$890,COLUMN(HeadJournal!J$1),0))*($K4666+$L4666)/(SUMIF($A:$A,$A4666,$K:$K)+SUMIF($A:$A,$A4666,$L:$L)),0)</f>
        <v>0</v>
      </c>
      <c r="O4666" s="30">
        <f>IFERROR((VLOOKUP($A4666,HeadJournal!$A$1:$L$890,COLUMN(HeadJournal!L$1),0)*($K4666+$L4666)/(SUMIF($A:$A,$A4666,$K:$K)+SUMIF($A:$A,$A4666,$L:$L)))/VLOOKUP($A4666,HeadJournal!$A$1:$L$890,COLUMN(HeadJournal!H$1),0),0)</f>
        <v>0.57676172070912302</v>
      </c>
      <c r="P4666" s="30">
        <f>IFERROR(SUM(K4666:O4666)*VLOOKUP($A4666,HeadJournal!$A$1:$L$890,COLUMN(HeadJournal!H$1),0),0)</f>
        <v>1616.7239228262554</v>
      </c>
      <c r="Q4666" s="29">
        <v>2300</v>
      </c>
      <c r="R4666" s="31">
        <v>45821</v>
      </c>
      <c r="S4666" s="31" t="s">
        <v>3475</v>
      </c>
      <c r="T4666" s="95" t="str">
        <f t="shared" si="357"/>
        <v>2025 06</v>
      </c>
      <c r="U4666" s="32">
        <f t="shared" si="358"/>
        <v>683.27607717374462</v>
      </c>
      <c r="V4666" s="22">
        <f t="shared" si="359"/>
        <v>0.42263002824828882</v>
      </c>
      <c r="X4666" s="33"/>
      <c r="Y4666" s="33"/>
    </row>
    <row r="4667" spans="1:25" x14ac:dyDescent="0.2">
      <c r="A4667" s="93" t="s">
        <v>3807</v>
      </c>
      <c r="B4667" s="94" t="str">
        <f>IFERROR(VLOOKUP($A4667,HeadJournal!$A$1:$NTR$890,COLUMN(HeadJournal!B$1),0),"")</f>
        <v>720000677133</v>
      </c>
      <c r="C4667" s="94" t="str">
        <f>IFERROR(VLOOKUP($A4667,HeadJournal!$A$1:$NTR$890,COLUMN(HeadJournal!C$1),0),"")</f>
        <v>iHerb_AV CYG0792</v>
      </c>
      <c r="D4667" s="125" t="str">
        <f>IFERROR(VLOOKUP($A4667,HeadJournal!$A$1:$NTR$890,COLUMN(HeadJournal!D$1),0),"")</f>
        <v>Доставлен</v>
      </c>
      <c r="E4667" s="95">
        <f>IFERROR(VLOOKUP($A4667,HeadJournal!$A$1:$NTR$890,COLUMN(HeadJournal!G$1),0),"")</f>
        <v>45791</v>
      </c>
      <c r="F4667" s="95" t="str">
        <f t="shared" si="356"/>
        <v>2025 05</v>
      </c>
      <c r="G4667" s="97" t="s">
        <v>5</v>
      </c>
      <c r="H4667" s="161" t="s">
        <v>3067</v>
      </c>
      <c r="I4667" s="97" t="s">
        <v>2460</v>
      </c>
      <c r="J4667" s="97" t="s">
        <v>3068</v>
      </c>
      <c r="K4667" s="29">
        <v>34.39</v>
      </c>
      <c r="L4667" s="29">
        <v>-3.44</v>
      </c>
      <c r="M4667" s="30">
        <f>IFERROR(VLOOKUP($A4667,HeadJournal!$A$1:$J$890,COLUMN(HeadJournal!I$1),0)*($K4667+$L4667)/(SUMIF($A:$A,$A4667,$K:$K)+SUMIF($A:$A,$A4667,$L:$L)),0)</f>
        <v>-1.5912843324884911</v>
      </c>
      <c r="N4667" s="30">
        <f>IFERROR((VLOOKUP($A4667,HeadJournal!$A$1:$K$890,COLUMN(HeadJournal!K$1),0)-VLOOKUP($A4667,HeadJournal!$A$1:$K$890,COLUMN(HeadJournal!J$1),0))*($K4667+$L4667)/(SUMIF($A:$A,$A4667,$K:$K)+SUMIF($A:$A,$A4667,$L:$L)),0)</f>
        <v>0</v>
      </c>
      <c r="O4667" s="30">
        <f>IFERROR((VLOOKUP($A4667,HeadJournal!$A$1:$L$890,COLUMN(HeadJournal!L$1),0)*($K4667+$L4667)/(SUMIF($A:$A,$A4667,$K:$K)+SUMIF($A:$A,$A4667,$L:$L)))/VLOOKUP($A4667,HeadJournal!$A$1:$L$890,COLUMN(HeadJournal!H$1),0),0)</f>
        <v>1.0028525424689527</v>
      </c>
      <c r="P4667" s="30">
        <f>IFERROR(SUM(K4667:O4667)*VLOOKUP($A4667,HeadJournal!$A$1:$L$890,COLUMN(HeadJournal!H$1),0),0)</f>
        <v>2811.1014276108208</v>
      </c>
      <c r="Q4667" s="29">
        <v>3700</v>
      </c>
      <c r="R4667" s="31">
        <v>45821</v>
      </c>
      <c r="S4667" s="31" t="s">
        <v>3475</v>
      </c>
      <c r="T4667" s="95" t="str">
        <f t="shared" si="357"/>
        <v>2025 06</v>
      </c>
      <c r="U4667" s="32">
        <f t="shared" si="358"/>
        <v>888.89857238917921</v>
      </c>
      <c r="V4667" s="22">
        <f t="shared" si="359"/>
        <v>0.3162100675764879</v>
      </c>
      <c r="X4667" s="33"/>
      <c r="Y4667" s="33"/>
    </row>
    <row r="4668" spans="1:25" x14ac:dyDescent="0.2">
      <c r="A4668" s="93" t="s">
        <v>3807</v>
      </c>
      <c r="B4668" s="94" t="str">
        <f>IFERROR(VLOOKUP($A4668,HeadJournal!$A$1:$NTR$890,COLUMN(HeadJournal!B$1),0),"")</f>
        <v>720000677133</v>
      </c>
      <c r="C4668" s="94" t="str">
        <f>IFERROR(VLOOKUP($A4668,HeadJournal!$A$1:$NTR$890,COLUMN(HeadJournal!C$1),0),"")</f>
        <v>iHerb_AV CYG0792</v>
      </c>
      <c r="D4668" s="125" t="str">
        <f>IFERROR(VLOOKUP($A4668,HeadJournal!$A$1:$NTR$890,COLUMN(HeadJournal!D$1),0),"")</f>
        <v>Доставлен</v>
      </c>
      <c r="E4668" s="95">
        <f>IFERROR(VLOOKUP($A4668,HeadJournal!$A$1:$NTR$890,COLUMN(HeadJournal!G$1),0),"")</f>
        <v>45791</v>
      </c>
      <c r="F4668" s="95" t="str">
        <f t="shared" si="356"/>
        <v>2025 05</v>
      </c>
      <c r="G4668" s="97" t="s">
        <v>5</v>
      </c>
      <c r="H4668" s="161" t="s">
        <v>2473</v>
      </c>
      <c r="I4668" s="97" t="s">
        <v>2005</v>
      </c>
      <c r="J4668" s="97" t="s">
        <v>2474</v>
      </c>
      <c r="K4668" s="29">
        <v>26.18</v>
      </c>
      <c r="L4668" s="29">
        <v>-2.62</v>
      </c>
      <c r="M4668" s="30">
        <f>IFERROR(VLOOKUP($A4668,HeadJournal!$A$1:$J$890,COLUMN(HeadJournal!I$1),0)*($K4668+$L4668)/(SUMIF($A:$A,$A4668,$K:$K)+SUMIF($A:$A,$A4668,$L:$L)),0)</f>
        <v>-1.2113298505146639</v>
      </c>
      <c r="N4668" s="30">
        <f>IFERROR((VLOOKUP($A4668,HeadJournal!$A$1:$K$890,COLUMN(HeadJournal!K$1),0)-VLOOKUP($A4668,HeadJournal!$A$1:$K$890,COLUMN(HeadJournal!J$1),0))*($K4668+$L4668)/(SUMIF($A:$A,$A4668,$K:$K)+SUMIF($A:$A,$A4668,$L:$L)),0)</f>
        <v>0</v>
      </c>
      <c r="O4668" s="30">
        <f>IFERROR((VLOOKUP($A4668,HeadJournal!$A$1:$L$890,COLUMN(HeadJournal!L$1),0)*($K4668+$L4668)/(SUMIF($A:$A,$A4668,$K:$K)+SUMIF($A:$A,$A4668,$L:$L)))/VLOOKUP($A4668,HeadJournal!$A$1:$L$890,COLUMN(HeadJournal!H$1),0),0)</f>
        <v>0.76339922134308635</v>
      </c>
      <c r="P4668" s="30">
        <f>IFERROR(SUM(K4668:O4668)*VLOOKUP($A4668,HeadJournal!$A$1:$L$890,COLUMN(HeadJournal!H$1),0),0)</f>
        <v>2139.888518077898</v>
      </c>
      <c r="Q4668" s="29">
        <v>3000</v>
      </c>
      <c r="R4668" s="31">
        <v>45821</v>
      </c>
      <c r="S4668" s="31" t="s">
        <v>3121</v>
      </c>
      <c r="T4668" s="95" t="str">
        <f t="shared" si="357"/>
        <v>2025 06</v>
      </c>
      <c r="U4668" s="32">
        <f t="shared" si="358"/>
        <v>860.11148192210203</v>
      </c>
      <c r="V4668" s="22">
        <f t="shared" si="359"/>
        <v>0.40194219215432586</v>
      </c>
      <c r="X4668" s="33"/>
      <c r="Y4668" s="33"/>
    </row>
    <row r="4669" spans="1:25" x14ac:dyDescent="0.2">
      <c r="A4669" s="93" t="s">
        <v>3807</v>
      </c>
      <c r="B4669" s="94" t="str">
        <f>IFERROR(VLOOKUP($A4669,HeadJournal!$A$1:$NTR$890,COLUMN(HeadJournal!B$1),0),"")</f>
        <v>720000677133</v>
      </c>
      <c r="C4669" s="94" t="str">
        <f>IFERROR(VLOOKUP($A4669,HeadJournal!$A$1:$NTR$890,COLUMN(HeadJournal!C$1),0),"")</f>
        <v>iHerb_AV CYG0792</v>
      </c>
      <c r="D4669" s="125" t="str">
        <f>IFERROR(VLOOKUP($A4669,HeadJournal!$A$1:$NTR$890,COLUMN(HeadJournal!D$1),0),"")</f>
        <v>Доставлен</v>
      </c>
      <c r="E4669" s="95">
        <f>IFERROR(VLOOKUP($A4669,HeadJournal!$A$1:$NTR$890,COLUMN(HeadJournal!G$1),0),"")</f>
        <v>45791</v>
      </c>
      <c r="F4669" s="95" t="str">
        <f t="shared" si="356"/>
        <v>2025 05</v>
      </c>
      <c r="G4669" s="97" t="s">
        <v>5</v>
      </c>
      <c r="H4669" s="161" t="s">
        <v>2473</v>
      </c>
      <c r="I4669" s="97" t="s">
        <v>2005</v>
      </c>
      <c r="J4669" s="97" t="s">
        <v>2474</v>
      </c>
      <c r="K4669" s="29">
        <v>26.18</v>
      </c>
      <c r="L4669" s="29">
        <v>-2.62</v>
      </c>
      <c r="M4669" s="30">
        <f>IFERROR(VLOOKUP($A4669,HeadJournal!$A$1:$J$890,COLUMN(HeadJournal!I$1),0)*($K4669+$L4669)/(SUMIF($A:$A,$A4669,$K:$K)+SUMIF($A:$A,$A4669,$L:$L)),0)</f>
        <v>-1.2113298505146639</v>
      </c>
      <c r="N4669" s="30">
        <f>IFERROR((VLOOKUP($A4669,HeadJournal!$A$1:$K$890,COLUMN(HeadJournal!K$1),0)-VLOOKUP($A4669,HeadJournal!$A$1:$K$890,COLUMN(HeadJournal!J$1),0))*($K4669+$L4669)/(SUMIF($A:$A,$A4669,$K:$K)+SUMIF($A:$A,$A4669,$L:$L)),0)</f>
        <v>0</v>
      </c>
      <c r="O4669" s="30">
        <f>IFERROR((VLOOKUP($A4669,HeadJournal!$A$1:$L$890,COLUMN(HeadJournal!L$1),0)*($K4669+$L4669)/(SUMIF($A:$A,$A4669,$K:$K)+SUMIF($A:$A,$A4669,$L:$L)))/VLOOKUP($A4669,HeadJournal!$A$1:$L$890,COLUMN(HeadJournal!H$1),0),0)</f>
        <v>0.76339922134308635</v>
      </c>
      <c r="P4669" s="30">
        <f>IFERROR(SUM(K4669:O4669)*VLOOKUP($A4669,HeadJournal!$A$1:$L$890,COLUMN(HeadJournal!H$1),0),0)</f>
        <v>2139.888518077898</v>
      </c>
      <c r="Q4669" s="29">
        <v>2800</v>
      </c>
      <c r="R4669" s="31">
        <v>45824</v>
      </c>
      <c r="S4669" s="31" t="s">
        <v>3121</v>
      </c>
      <c r="T4669" s="95" t="str">
        <f t="shared" si="357"/>
        <v>2025 06</v>
      </c>
      <c r="U4669" s="32">
        <f t="shared" si="358"/>
        <v>660.11148192210203</v>
      </c>
      <c r="V4669" s="22">
        <f t="shared" si="359"/>
        <v>0.30847937934403746</v>
      </c>
      <c r="X4669" s="33"/>
      <c r="Y4669" s="33"/>
    </row>
    <row r="4670" spans="1:25" x14ac:dyDescent="0.2">
      <c r="A4670" s="93" t="s">
        <v>3808</v>
      </c>
      <c r="B4670" s="94" t="str">
        <f>IFERROR(VLOOKUP($A4670,HeadJournal!$A$1:$NTR$890,COLUMN(HeadJournal!B$1),0),"")</f>
        <v>720000682876</v>
      </c>
      <c r="C4670" s="94" t="str">
        <f>IFERROR(VLOOKUP($A4670,HeadJournal!$A$1:$NTR$890,COLUMN(HeadJournal!C$1),0),"")</f>
        <v>iHerb_OA CZN6870</v>
      </c>
      <c r="D4670" s="125" t="str">
        <f>IFERROR(VLOOKUP($A4670,HeadJournal!$A$1:$NTR$890,COLUMN(HeadJournal!D$1),0),"")</f>
        <v>Доставлен</v>
      </c>
      <c r="E4670" s="95">
        <f>IFERROR(VLOOKUP($A4670,HeadJournal!$A$1:$NTR$890,COLUMN(HeadJournal!G$1),0),"")</f>
        <v>45798</v>
      </c>
      <c r="F4670" s="95" t="str">
        <f t="shared" si="356"/>
        <v>2025 05</v>
      </c>
      <c r="G4670" s="97" t="s">
        <v>5</v>
      </c>
      <c r="H4670" s="161" t="s">
        <v>2089</v>
      </c>
      <c r="I4670" s="97" t="s">
        <v>2005</v>
      </c>
      <c r="J4670" s="97" t="s">
        <v>3781</v>
      </c>
      <c r="K4670" s="29">
        <v>22.47</v>
      </c>
      <c r="L4670" s="29">
        <v>-4.4950000000000001</v>
      </c>
      <c r="M4670" s="30">
        <f>IFERROR(VLOOKUP($A4670,HeadJournal!$A$1:$J$890,COLUMN(HeadJournal!I$1),0)*($K4670+$L4670)/(SUMIF($A:$A,$A4670,$K:$K)+SUMIF($A:$A,$A4670,$L:$L)),0)</f>
        <v>0</v>
      </c>
      <c r="N4670" s="30">
        <f>IFERROR((VLOOKUP($A4670,HeadJournal!$A$1:$K$890,COLUMN(HeadJournal!K$1),0)-VLOOKUP($A4670,HeadJournal!$A$1:$K$890,COLUMN(HeadJournal!J$1),0))*($K4670+$L4670)/(SUMIF($A:$A,$A4670,$K:$K)+SUMIF($A:$A,$A4670,$L:$L)),0)</f>
        <v>-2.6430763464820316E-15</v>
      </c>
      <c r="O4670" s="30">
        <f>IFERROR((VLOOKUP($A4670,HeadJournal!$A$1:$L$890,COLUMN(HeadJournal!L$1),0)*($K4670+$L4670)/(SUMIF($A:$A,$A4670,$K:$K)+SUMIF($A:$A,$A4670,$L:$L)))/VLOOKUP($A4670,HeadJournal!$A$1:$L$890,COLUMN(HeadJournal!H$1),0),0)</f>
        <v>0.53883357314799718</v>
      </c>
      <c r="P4670" s="30">
        <f>IFERROR(SUM(K4670:O4670)*VLOOKUP($A4670,HeadJournal!$A$1:$L$890,COLUMN(HeadJournal!H$1),0),0)</f>
        <v>1693.4683739458837</v>
      </c>
      <c r="Q4670" s="29">
        <v>3000</v>
      </c>
      <c r="R4670" s="31">
        <v>45937</v>
      </c>
      <c r="S4670" s="31"/>
      <c r="T4670" s="95" t="str">
        <f t="shared" si="357"/>
        <v>2025 10</v>
      </c>
      <c r="U4670" s="32">
        <f t="shared" si="358"/>
        <v>1306.5316260541163</v>
      </c>
      <c r="V4670" s="22">
        <f t="shared" si="359"/>
        <v>0.77151226805010742</v>
      </c>
      <c r="X4670" s="33"/>
      <c r="Y4670" s="33"/>
    </row>
    <row r="4671" spans="1:25" x14ac:dyDescent="0.2">
      <c r="A4671" s="93" t="s">
        <v>3808</v>
      </c>
      <c r="B4671" s="94" t="str">
        <f>IFERROR(VLOOKUP($A4671,HeadJournal!$A$1:$NTR$890,COLUMN(HeadJournal!B$1),0),"")</f>
        <v>720000682876</v>
      </c>
      <c r="C4671" s="94" t="str">
        <f>IFERROR(VLOOKUP($A4671,HeadJournal!$A$1:$NTR$890,COLUMN(HeadJournal!C$1),0),"")</f>
        <v>iHerb_OA CZN6870</v>
      </c>
      <c r="D4671" s="125" t="str">
        <f>IFERROR(VLOOKUP($A4671,HeadJournal!$A$1:$NTR$890,COLUMN(HeadJournal!D$1),0),"")</f>
        <v>Доставлен</v>
      </c>
      <c r="E4671" s="95">
        <f>IFERROR(VLOOKUP($A4671,HeadJournal!$A$1:$NTR$890,COLUMN(HeadJournal!G$1),0),"")</f>
        <v>45798</v>
      </c>
      <c r="F4671" s="95" t="str">
        <f t="shared" si="356"/>
        <v>2025 05</v>
      </c>
      <c r="G4671" s="97" t="s">
        <v>5</v>
      </c>
      <c r="H4671" s="161" t="s">
        <v>2089</v>
      </c>
      <c r="I4671" s="97" t="s">
        <v>2005</v>
      </c>
      <c r="J4671" s="97" t="s">
        <v>3781</v>
      </c>
      <c r="K4671" s="29">
        <v>22.47</v>
      </c>
      <c r="L4671" s="29">
        <v>-4.4950000000000001</v>
      </c>
      <c r="M4671" s="30">
        <f>IFERROR(VLOOKUP($A4671,HeadJournal!$A$1:$J$890,COLUMN(HeadJournal!I$1),0)*($K4671+$L4671)/(SUMIF($A:$A,$A4671,$K:$K)+SUMIF($A:$A,$A4671,$L:$L)),0)</f>
        <v>0</v>
      </c>
      <c r="N4671" s="30">
        <f>IFERROR((VLOOKUP($A4671,HeadJournal!$A$1:$K$890,COLUMN(HeadJournal!K$1),0)-VLOOKUP($A4671,HeadJournal!$A$1:$K$890,COLUMN(HeadJournal!J$1),0))*($K4671+$L4671)/(SUMIF($A:$A,$A4671,$K:$K)+SUMIF($A:$A,$A4671,$L:$L)),0)</f>
        <v>-2.6430763464820316E-15</v>
      </c>
      <c r="O4671" s="30">
        <f>IFERROR((VLOOKUP($A4671,HeadJournal!$A$1:$L$890,COLUMN(HeadJournal!L$1),0)*($K4671+$L4671)/(SUMIF($A:$A,$A4671,$K:$K)+SUMIF($A:$A,$A4671,$L:$L)))/VLOOKUP($A4671,HeadJournal!$A$1:$L$890,COLUMN(HeadJournal!H$1),0),0)</f>
        <v>0.53883357314799718</v>
      </c>
      <c r="P4671" s="30">
        <f>IFERROR(SUM(K4671:O4671)*VLOOKUP($A4671,HeadJournal!$A$1:$L$890,COLUMN(HeadJournal!H$1),0),0)</f>
        <v>1693.4683739458837</v>
      </c>
      <c r="Q4671" s="29">
        <v>3000</v>
      </c>
      <c r="R4671" s="31">
        <v>45944</v>
      </c>
      <c r="S4671" s="31"/>
      <c r="T4671" s="95" t="str">
        <f t="shared" si="357"/>
        <v>2025 10</v>
      </c>
      <c r="U4671" s="32">
        <f t="shared" si="358"/>
        <v>1306.5316260541163</v>
      </c>
      <c r="V4671" s="22">
        <f t="shared" si="359"/>
        <v>0.77151226805010742</v>
      </c>
      <c r="X4671" s="33"/>
      <c r="Y4671" s="33"/>
    </row>
    <row r="4672" spans="1:25" x14ac:dyDescent="0.2">
      <c r="A4672" s="93" t="s">
        <v>3808</v>
      </c>
      <c r="B4672" s="94" t="str">
        <f>IFERROR(VLOOKUP($A4672,HeadJournal!$A$1:$NTR$890,COLUMN(HeadJournal!B$1),0),"")</f>
        <v>720000682876</v>
      </c>
      <c r="C4672" s="94" t="str">
        <f>IFERROR(VLOOKUP($A4672,HeadJournal!$A$1:$NTR$890,COLUMN(HeadJournal!C$1),0),"")</f>
        <v>iHerb_OA CZN6870</v>
      </c>
      <c r="D4672" s="125" t="str">
        <f>IFERROR(VLOOKUP($A4672,HeadJournal!$A$1:$NTR$890,COLUMN(HeadJournal!D$1),0),"")</f>
        <v>Доставлен</v>
      </c>
      <c r="E4672" s="95">
        <f>IFERROR(VLOOKUP($A4672,HeadJournal!$A$1:$NTR$890,COLUMN(HeadJournal!G$1),0),"")</f>
        <v>45798</v>
      </c>
      <c r="F4672" s="95" t="str">
        <f t="shared" si="356"/>
        <v>2025 05</v>
      </c>
      <c r="G4672" s="97" t="s">
        <v>5</v>
      </c>
      <c r="H4672" s="161" t="s">
        <v>2997</v>
      </c>
      <c r="I4672" s="97" t="s">
        <v>2102</v>
      </c>
      <c r="J4672" s="97" t="s">
        <v>2998</v>
      </c>
      <c r="K4672" s="29">
        <v>32.43</v>
      </c>
      <c r="L4672" s="29">
        <v>-6.49</v>
      </c>
      <c r="M4672" s="30">
        <f>IFERROR(VLOOKUP($A4672,HeadJournal!$A$1:$J$890,COLUMN(HeadJournal!I$1),0)*($K4672+$L4672)/(SUMIF($A:$A,$A4672,$K:$K)+SUMIF($A:$A,$A4672,$L:$L)),0)</f>
        <v>0</v>
      </c>
      <c r="N4672" s="30">
        <f>IFERROR((VLOOKUP($A4672,HeadJournal!$A$1:$K$890,COLUMN(HeadJournal!K$1),0)-VLOOKUP($A4672,HeadJournal!$A$1:$K$890,COLUMN(HeadJournal!J$1),0))*($K4672+$L4672)/(SUMIF($A:$A,$A4672,$K:$K)+SUMIF($A:$A,$A4672,$L:$L)),0)</f>
        <v>-3.8142642797075888E-15</v>
      </c>
      <c r="O4672" s="30">
        <f>IFERROR((VLOOKUP($A4672,HeadJournal!$A$1:$L$890,COLUMN(HeadJournal!L$1),0)*($K4672+$L4672)/(SUMIF($A:$A,$A4672,$K:$K)+SUMIF($A:$A,$A4672,$L:$L)))/VLOOKUP($A4672,HeadJournal!$A$1:$L$890,COLUMN(HeadJournal!H$1),0),0)</f>
        <v>0.77759904798103185</v>
      </c>
      <c r="P4672" s="30">
        <f>IFERROR(SUM(K4672:O4672)*VLOOKUP($A4672,HeadJournal!$A$1:$L$890,COLUMN(HeadJournal!H$1),0),0)</f>
        <v>2443.8703543897764</v>
      </c>
      <c r="Q4672" s="29">
        <v>3800</v>
      </c>
      <c r="R4672" s="31">
        <v>45845</v>
      </c>
      <c r="S4672" s="31"/>
      <c r="T4672" s="95" t="str">
        <f t="shared" si="357"/>
        <v>2025 07</v>
      </c>
      <c r="U4672" s="32">
        <f t="shared" si="358"/>
        <v>1356.1296456102236</v>
      </c>
      <c r="V4672" s="22">
        <f t="shared" si="359"/>
        <v>0.55491063311696953</v>
      </c>
      <c r="X4672" s="33"/>
      <c r="Y4672" s="33"/>
    </row>
    <row r="4673" spans="1:25" x14ac:dyDescent="0.2">
      <c r="A4673" s="93" t="s">
        <v>3808</v>
      </c>
      <c r="B4673" s="94" t="str">
        <f>IFERROR(VLOOKUP($A4673,HeadJournal!$A$1:$NTR$890,COLUMN(HeadJournal!B$1),0),"")</f>
        <v>720000682876</v>
      </c>
      <c r="C4673" s="94" t="str">
        <f>IFERROR(VLOOKUP($A4673,HeadJournal!$A$1:$NTR$890,COLUMN(HeadJournal!C$1),0),"")</f>
        <v>iHerb_OA CZN6870</v>
      </c>
      <c r="D4673" s="125" t="str">
        <f>IFERROR(VLOOKUP($A4673,HeadJournal!$A$1:$NTR$890,COLUMN(HeadJournal!D$1),0),"")</f>
        <v>Доставлен</v>
      </c>
      <c r="E4673" s="95">
        <f>IFERROR(VLOOKUP($A4673,HeadJournal!$A$1:$NTR$890,COLUMN(HeadJournal!G$1),0),"")</f>
        <v>45798</v>
      </c>
      <c r="F4673" s="95" t="str">
        <f t="shared" si="356"/>
        <v>2025 05</v>
      </c>
      <c r="G4673" s="97" t="s">
        <v>5</v>
      </c>
      <c r="H4673" s="161" t="s">
        <v>2468</v>
      </c>
      <c r="I4673" s="97" t="s">
        <v>2005</v>
      </c>
      <c r="J4673" s="97" t="s">
        <v>4109</v>
      </c>
      <c r="K4673" s="29">
        <v>24.42</v>
      </c>
      <c r="L4673" s="29">
        <v>-4.8849999999999998</v>
      </c>
      <c r="M4673" s="30">
        <f>IFERROR(VLOOKUP($A4673,HeadJournal!$A$1:$J$890,COLUMN(HeadJournal!I$1),0)*($K4673+$L4673)/(SUMIF($A:$A,$A4673,$K:$K)+SUMIF($A:$A,$A4673,$L:$L)),0)</f>
        <v>0</v>
      </c>
      <c r="N4673" s="30">
        <f>IFERROR((VLOOKUP($A4673,HeadJournal!$A$1:$K$890,COLUMN(HeadJournal!K$1),0)-VLOOKUP($A4673,HeadJournal!$A$1:$K$890,COLUMN(HeadJournal!J$1),0))*($K4673+$L4673)/(SUMIF($A:$A,$A4673,$K:$K)+SUMIF($A:$A,$A4673,$L:$L)),0)</f>
        <v>-2.872461553742782E-15</v>
      </c>
      <c r="O4673" s="30">
        <f>IFERROR((VLOOKUP($A4673,HeadJournal!$A$1:$L$890,COLUMN(HeadJournal!L$1),0)*($K4673+$L4673)/(SUMIF($A:$A,$A4673,$K:$K)+SUMIF($A:$A,$A4673,$L:$L)))/VLOOKUP($A4673,HeadJournal!$A$1:$L$890,COLUMN(HeadJournal!H$1),0),0)</f>
        <v>0.58559743262565378</v>
      </c>
      <c r="P4673" s="30">
        <f>IFERROR(SUM(K4673:O4673)*VLOOKUP($A4673,HeadJournal!$A$1:$L$890,COLUMN(HeadJournal!H$1),0),0)</f>
        <v>1840.4397599461947</v>
      </c>
      <c r="Q4673" s="29">
        <v>2800</v>
      </c>
      <c r="R4673" s="31">
        <v>45869</v>
      </c>
      <c r="S4673" s="31"/>
      <c r="T4673" s="95" t="str">
        <f t="shared" si="357"/>
        <v>2025 07</v>
      </c>
      <c r="U4673" s="32">
        <f t="shared" si="358"/>
        <v>959.56024005380527</v>
      </c>
      <c r="V4673" s="22">
        <f t="shared" si="359"/>
        <v>0.52137552172957735</v>
      </c>
      <c r="X4673" s="33"/>
      <c r="Y4673" s="33"/>
    </row>
    <row r="4674" spans="1:25" x14ac:dyDescent="0.2">
      <c r="A4674" s="93" t="s">
        <v>3808</v>
      </c>
      <c r="B4674" s="94" t="str">
        <f>IFERROR(VLOOKUP($A4674,HeadJournal!$A$1:$NTR$890,COLUMN(HeadJournal!B$1),0),"")</f>
        <v>720000682876</v>
      </c>
      <c r="C4674" s="94" t="str">
        <f>IFERROR(VLOOKUP($A4674,HeadJournal!$A$1:$NTR$890,COLUMN(HeadJournal!C$1),0),"")</f>
        <v>iHerb_OA CZN6870</v>
      </c>
      <c r="D4674" s="125" t="str">
        <f>IFERROR(VLOOKUP($A4674,HeadJournal!$A$1:$NTR$890,COLUMN(HeadJournal!D$1),0),"")</f>
        <v>Доставлен</v>
      </c>
      <c r="E4674" s="95">
        <f>IFERROR(VLOOKUP($A4674,HeadJournal!$A$1:$NTR$890,COLUMN(HeadJournal!G$1),0),"")</f>
        <v>45798</v>
      </c>
      <c r="F4674" s="95" t="str">
        <f t="shared" si="356"/>
        <v>2025 05</v>
      </c>
      <c r="G4674" s="97" t="s">
        <v>5</v>
      </c>
      <c r="H4674" s="161" t="s">
        <v>2468</v>
      </c>
      <c r="I4674" s="97" t="s">
        <v>2005</v>
      </c>
      <c r="J4674" s="97" t="s">
        <v>4109</v>
      </c>
      <c r="K4674" s="29">
        <v>24.42</v>
      </c>
      <c r="L4674" s="29">
        <v>-4.8849999999999998</v>
      </c>
      <c r="M4674" s="30">
        <f>IFERROR(VLOOKUP($A4674,HeadJournal!$A$1:$J$890,COLUMN(HeadJournal!I$1),0)*($K4674+$L4674)/(SUMIF($A:$A,$A4674,$K:$K)+SUMIF($A:$A,$A4674,$L:$L)),0)</f>
        <v>0</v>
      </c>
      <c r="N4674" s="30">
        <f>IFERROR((VLOOKUP($A4674,HeadJournal!$A$1:$K$890,COLUMN(HeadJournal!K$1),0)-VLOOKUP($A4674,HeadJournal!$A$1:$K$890,COLUMN(HeadJournal!J$1),0))*($K4674+$L4674)/(SUMIF($A:$A,$A4674,$K:$K)+SUMIF($A:$A,$A4674,$L:$L)),0)</f>
        <v>-2.872461553742782E-15</v>
      </c>
      <c r="O4674" s="30">
        <f>IFERROR((VLOOKUP($A4674,HeadJournal!$A$1:$L$890,COLUMN(HeadJournal!L$1),0)*($K4674+$L4674)/(SUMIF($A:$A,$A4674,$K:$K)+SUMIF($A:$A,$A4674,$L:$L)))/VLOOKUP($A4674,HeadJournal!$A$1:$L$890,COLUMN(HeadJournal!H$1),0),0)</f>
        <v>0.58559743262565378</v>
      </c>
      <c r="P4674" s="30">
        <f>IFERROR(SUM(K4674:O4674)*VLOOKUP($A4674,HeadJournal!$A$1:$L$890,COLUMN(HeadJournal!H$1),0),0)</f>
        <v>1840.4397599461947</v>
      </c>
      <c r="Q4674" s="29">
        <v>2800</v>
      </c>
      <c r="R4674" s="31">
        <v>46020</v>
      </c>
      <c r="S4674" s="31"/>
      <c r="T4674" s="95" t="str">
        <f t="shared" si="357"/>
        <v>2025 12</v>
      </c>
      <c r="U4674" s="32">
        <f t="shared" si="358"/>
        <v>959.56024005380527</v>
      </c>
      <c r="V4674" s="22">
        <f t="shared" si="359"/>
        <v>0.52137552172957735</v>
      </c>
      <c r="X4674" s="33"/>
      <c r="Y4674" s="33"/>
    </row>
    <row r="4675" spans="1:25" x14ac:dyDescent="0.2">
      <c r="A4675" s="93" t="s">
        <v>3808</v>
      </c>
      <c r="B4675" s="94" t="str">
        <f>IFERROR(VLOOKUP($A4675,HeadJournal!$A$1:$NTR$890,COLUMN(HeadJournal!B$1),0),"")</f>
        <v>720000682876</v>
      </c>
      <c r="C4675" s="94" t="str">
        <f>IFERROR(VLOOKUP($A4675,HeadJournal!$A$1:$NTR$890,COLUMN(HeadJournal!C$1),0),"")</f>
        <v>iHerb_OA CZN6870</v>
      </c>
      <c r="D4675" s="125" t="str">
        <f>IFERROR(VLOOKUP($A4675,HeadJournal!$A$1:$NTR$890,COLUMN(HeadJournal!D$1),0),"")</f>
        <v>Доставлен</v>
      </c>
      <c r="E4675" s="95">
        <f>IFERROR(VLOOKUP($A4675,HeadJournal!$A$1:$NTR$890,COLUMN(HeadJournal!G$1),0),"")</f>
        <v>45798</v>
      </c>
      <c r="F4675" s="95" t="str">
        <f t="shared" si="356"/>
        <v>2025 05</v>
      </c>
      <c r="G4675" s="97" t="s">
        <v>5</v>
      </c>
      <c r="H4675" s="161" t="s">
        <v>3782</v>
      </c>
      <c r="I4675" s="97" t="s">
        <v>2005</v>
      </c>
      <c r="J4675" s="97" t="s">
        <v>3783</v>
      </c>
      <c r="K4675" s="29">
        <v>30.82</v>
      </c>
      <c r="L4675" s="29">
        <v>-6.16</v>
      </c>
      <c r="M4675" s="30">
        <f>IFERROR(VLOOKUP($A4675,HeadJournal!$A$1:$J$890,COLUMN(HeadJournal!I$1),0)*($K4675+$L4675)/(SUMIF($A:$A,$A4675,$K:$K)+SUMIF($A:$A,$A4675,$L:$L)),0)</f>
        <v>0</v>
      </c>
      <c r="N4675" s="30">
        <f>IFERROR((VLOOKUP($A4675,HeadJournal!$A$1:$K$890,COLUMN(HeadJournal!K$1),0)-VLOOKUP($A4675,HeadJournal!$A$1:$K$890,COLUMN(HeadJournal!J$1),0))*($K4675+$L4675)/(SUMIF($A:$A,$A4675,$K:$K)+SUMIF($A:$A,$A4675,$L:$L)),0)</f>
        <v>-3.6260507763141536E-15</v>
      </c>
      <c r="O4675" s="30">
        <f>IFERROR((VLOOKUP($A4675,HeadJournal!$A$1:$L$890,COLUMN(HeadJournal!L$1),0)*($K4675+$L4675)/(SUMIF($A:$A,$A4675,$K:$K)+SUMIF($A:$A,$A4675,$L:$L)))/VLOOKUP($A4675,HeadJournal!$A$1:$L$890,COLUMN(HeadJournal!H$1),0),0)</f>
        <v>0.73922870174295474</v>
      </c>
      <c r="P4675" s="30">
        <f>IFERROR(SUM(K4675:O4675)*VLOOKUP($A4675,HeadJournal!$A$1:$L$890,COLUMN(HeadJournal!H$1),0),0)</f>
        <v>2323.2784479279835</v>
      </c>
      <c r="Q4675" s="29">
        <v>3500</v>
      </c>
      <c r="R4675" s="31">
        <v>45835</v>
      </c>
      <c r="S4675" s="31" t="s">
        <v>3384</v>
      </c>
      <c r="T4675" s="95" t="str">
        <f t="shared" si="357"/>
        <v>2025 06</v>
      </c>
      <c r="U4675" s="32">
        <f t="shared" si="358"/>
        <v>1176.7215520720165</v>
      </c>
      <c r="V4675" s="22">
        <f t="shared" si="359"/>
        <v>0.50649182973374363</v>
      </c>
      <c r="X4675" s="33"/>
      <c r="Y4675" s="33"/>
    </row>
    <row r="4676" spans="1:25" x14ac:dyDescent="0.2">
      <c r="A4676" s="93" t="s">
        <v>3808</v>
      </c>
      <c r="B4676" s="94" t="str">
        <f>IFERROR(VLOOKUP($A4676,HeadJournal!$A$1:$NTR$890,COLUMN(HeadJournal!B$1),0),"")</f>
        <v>720000682876</v>
      </c>
      <c r="C4676" s="94" t="str">
        <f>IFERROR(VLOOKUP($A4676,HeadJournal!$A$1:$NTR$890,COLUMN(HeadJournal!C$1),0),"")</f>
        <v>iHerb_OA CZN6870</v>
      </c>
      <c r="D4676" s="125" t="str">
        <f>IFERROR(VLOOKUP($A4676,HeadJournal!$A$1:$NTR$890,COLUMN(HeadJournal!D$1),0),"")</f>
        <v>Доставлен</v>
      </c>
      <c r="E4676" s="95">
        <f>IFERROR(VLOOKUP($A4676,HeadJournal!$A$1:$NTR$890,COLUMN(HeadJournal!G$1),0),"")</f>
        <v>45798</v>
      </c>
      <c r="F4676" s="95" t="str">
        <f t="shared" ref="F4676:F4739" si="360">IFERROR(TEXT(E4676, "ГГГГ ММ"),"")</f>
        <v>2025 05</v>
      </c>
      <c r="G4676" s="97" t="s">
        <v>5</v>
      </c>
      <c r="H4676" s="161" t="s">
        <v>2791</v>
      </c>
      <c r="I4676" s="97" t="s">
        <v>2008</v>
      </c>
      <c r="J4676" s="97" t="s">
        <v>2792</v>
      </c>
      <c r="K4676" s="29">
        <v>27.12</v>
      </c>
      <c r="L4676" s="29">
        <v>-5.42</v>
      </c>
      <c r="M4676" s="30">
        <f>IFERROR(VLOOKUP($A4676,HeadJournal!$A$1:$J$890,COLUMN(HeadJournal!I$1),0)*($K4676+$L4676)/(SUMIF($A:$A,$A4676,$K:$K)+SUMIF($A:$A,$A4676,$L:$L)),0)</f>
        <v>0</v>
      </c>
      <c r="N4676" s="30">
        <f>IFERROR((VLOOKUP($A4676,HeadJournal!$A$1:$K$890,COLUMN(HeadJournal!K$1),0)-VLOOKUP($A4676,HeadJournal!$A$1:$K$890,COLUMN(HeadJournal!J$1),0))*($K4676+$L4676)/(SUMIF($A:$A,$A4676,$K:$K)+SUMIF($A:$A,$A4676,$L:$L)),0)</f>
        <v>-3.1908070497168348E-15</v>
      </c>
      <c r="O4676" s="30">
        <f>IFERROR((VLOOKUP($A4676,HeadJournal!$A$1:$L$890,COLUMN(HeadJournal!L$1),0)*($K4676+$L4676)/(SUMIF($A:$A,$A4676,$K:$K)+SUMIF($A:$A,$A4676,$L:$L)))/VLOOKUP($A4676,HeadJournal!$A$1:$L$890,COLUMN(HeadJournal!H$1),0),0)</f>
        <v>0.6504972760674016</v>
      </c>
      <c r="P4676" s="30">
        <f>IFERROR(SUM(K4676:O4676)*VLOOKUP($A4676,HeadJournal!$A$1:$L$890,COLUMN(HeadJournal!H$1),0),0)</f>
        <v>2044.4096642350871</v>
      </c>
      <c r="Q4676" s="29">
        <v>3000</v>
      </c>
      <c r="R4676" s="31">
        <v>45902</v>
      </c>
      <c r="S4676" s="31"/>
      <c r="T4676" s="95" t="str">
        <f t="shared" ref="T4676:T4739" si="361">IF(R4676="","",TEXT(R4676,"ГГГГ ММ"))</f>
        <v>2025 09</v>
      </c>
      <c r="U4676" s="32">
        <f t="shared" si="358"/>
        <v>955.59033576491288</v>
      </c>
      <c r="V4676" s="22">
        <f t="shared" si="359"/>
        <v>0.46741626811984655</v>
      </c>
      <c r="X4676" s="33"/>
      <c r="Y4676" s="33"/>
    </row>
    <row r="4677" spans="1:25" x14ac:dyDescent="0.2">
      <c r="A4677" s="93" t="s">
        <v>3808</v>
      </c>
      <c r="B4677" s="94" t="str">
        <f>IFERROR(VLOOKUP($A4677,HeadJournal!$A$1:$NTR$890,COLUMN(HeadJournal!B$1),0),"")</f>
        <v>720000682876</v>
      </c>
      <c r="C4677" s="94" t="str">
        <f>IFERROR(VLOOKUP($A4677,HeadJournal!$A$1:$NTR$890,COLUMN(HeadJournal!C$1),0),"")</f>
        <v>iHerb_OA CZN6870</v>
      </c>
      <c r="D4677" s="125" t="str">
        <f>IFERROR(VLOOKUP($A4677,HeadJournal!$A$1:$NTR$890,COLUMN(HeadJournal!D$1),0),"")</f>
        <v>Доставлен</v>
      </c>
      <c r="E4677" s="95">
        <f>IFERROR(VLOOKUP($A4677,HeadJournal!$A$1:$NTR$890,COLUMN(HeadJournal!G$1),0),"")</f>
        <v>45798</v>
      </c>
      <c r="F4677" s="95" t="str">
        <f t="shared" si="360"/>
        <v>2025 05</v>
      </c>
      <c r="G4677" s="97" t="s">
        <v>5</v>
      </c>
      <c r="H4677" s="161" t="s">
        <v>3633</v>
      </c>
      <c r="I4677" s="97" t="s">
        <v>2008</v>
      </c>
      <c r="J4677" s="97" t="s">
        <v>3784</v>
      </c>
      <c r="K4677" s="29">
        <v>17.38</v>
      </c>
      <c r="L4677" s="29">
        <v>-3.48</v>
      </c>
      <c r="M4677" s="30">
        <f>IFERROR(VLOOKUP($A4677,HeadJournal!$A$1:$J$890,COLUMN(HeadJournal!I$1),0)*($K4677+$L4677)/(SUMIF($A:$A,$A4677,$K:$K)+SUMIF($A:$A,$A4677,$L:$L)),0)</f>
        <v>0</v>
      </c>
      <c r="N4677" s="30">
        <f>IFERROR((VLOOKUP($A4677,HeadJournal!$A$1:$K$890,COLUMN(HeadJournal!K$1),0)-VLOOKUP($A4677,HeadJournal!$A$1:$K$890,COLUMN(HeadJournal!J$1),0))*($K4677+$L4677)/(SUMIF($A:$A,$A4677,$K:$K)+SUMIF($A:$A,$A4677,$L:$L)),0)</f>
        <v>-2.0438810134130874E-15</v>
      </c>
      <c r="O4677" s="30">
        <f>IFERROR((VLOOKUP($A4677,HeadJournal!$A$1:$L$890,COLUMN(HeadJournal!L$1),0)*($K4677+$L4677)/(SUMIF($A:$A,$A4677,$K:$K)+SUMIF($A:$A,$A4677,$L:$L)))/VLOOKUP($A4677,HeadJournal!$A$1:$L$890,COLUMN(HeadJournal!H$1),0),0)</f>
        <v>0.41667797867911888</v>
      </c>
      <c r="P4677" s="30">
        <f>IFERROR(SUM(K4677:O4677)*VLOOKUP($A4677,HeadJournal!$A$1:$L$890,COLUMN(HeadJournal!H$1),0),0)</f>
        <v>1309.5527342335347</v>
      </c>
      <c r="Q4677" s="29">
        <v>2000</v>
      </c>
      <c r="R4677" s="31">
        <v>45879</v>
      </c>
      <c r="S4677" s="31" t="s">
        <v>3206</v>
      </c>
      <c r="T4677" s="95" t="str">
        <f t="shared" si="361"/>
        <v>2025 08</v>
      </c>
      <c r="U4677" s="32">
        <f t="shared" si="358"/>
        <v>690.44726576646531</v>
      </c>
      <c r="V4677" s="22">
        <f t="shared" si="359"/>
        <v>0.52723899367868965</v>
      </c>
      <c r="X4677" s="33"/>
      <c r="Y4677" s="33"/>
    </row>
    <row r="4678" spans="1:25" x14ac:dyDescent="0.2">
      <c r="A4678" s="93" t="s">
        <v>3808</v>
      </c>
      <c r="B4678" s="94" t="str">
        <f>IFERROR(VLOOKUP($A4678,HeadJournal!$A$1:$NTR$890,COLUMN(HeadJournal!B$1),0),"")</f>
        <v>720000682876</v>
      </c>
      <c r="C4678" s="94" t="str">
        <f>IFERROR(VLOOKUP($A4678,HeadJournal!$A$1:$NTR$890,COLUMN(HeadJournal!C$1),0),"")</f>
        <v>iHerb_OA CZN6870</v>
      </c>
      <c r="D4678" s="125" t="str">
        <f>IFERROR(VLOOKUP($A4678,HeadJournal!$A$1:$NTR$890,COLUMN(HeadJournal!D$1),0),"")</f>
        <v>Доставлен</v>
      </c>
      <c r="E4678" s="95">
        <f>IFERROR(VLOOKUP($A4678,HeadJournal!$A$1:$NTR$890,COLUMN(HeadJournal!G$1),0),"")</f>
        <v>45798</v>
      </c>
      <c r="F4678" s="95" t="str">
        <f t="shared" si="360"/>
        <v>2025 05</v>
      </c>
      <c r="G4678" s="97" t="s">
        <v>5</v>
      </c>
      <c r="H4678" s="161" t="s">
        <v>2016</v>
      </c>
      <c r="I4678" s="97" t="s">
        <v>2005</v>
      </c>
      <c r="J4678" s="97" t="s">
        <v>2017</v>
      </c>
      <c r="K4678" s="29">
        <v>40.090000000000003</v>
      </c>
      <c r="L4678" s="29">
        <v>-8.02</v>
      </c>
      <c r="M4678" s="30">
        <f>IFERROR(VLOOKUP($A4678,HeadJournal!$A$1:$J$890,COLUMN(HeadJournal!I$1),0)*($K4678+$L4678)/(SUMIF($A:$A,$A4678,$K:$K)+SUMIF($A:$A,$A4678,$L:$L)),0)</f>
        <v>0</v>
      </c>
      <c r="N4678" s="30">
        <f>IFERROR((VLOOKUP($A4678,HeadJournal!$A$1:$K$890,COLUMN(HeadJournal!K$1),0)-VLOOKUP($A4678,HeadJournal!$A$1:$K$890,COLUMN(HeadJournal!J$1),0))*($K4678+$L4678)/(SUMIF($A:$A,$A4678,$K:$K)+SUMIF($A:$A,$A4678,$L:$L)),0)</f>
        <v>-4.7156305108027145E-15</v>
      </c>
      <c r="O4678" s="30">
        <f>IFERROR((VLOOKUP($A4678,HeadJournal!$A$1:$L$890,COLUMN(HeadJournal!L$1),0)*($K4678+$L4678)/(SUMIF($A:$A,$A4678,$K:$K)+SUMIF($A:$A,$A4678,$L:$L)))/VLOOKUP($A4678,HeadJournal!$A$1:$L$890,COLUMN(HeadJournal!H$1),0),0)</f>
        <v>0.96135703426182328</v>
      </c>
      <c r="P4678" s="30">
        <f>IFERROR(SUM(K4678:O4678)*VLOOKUP($A4678,HeadJournal!$A$1:$L$890,COLUMN(HeadJournal!H$1),0),0)</f>
        <v>3021.3925314294584</v>
      </c>
      <c r="Q4678" s="29">
        <v>4500</v>
      </c>
      <c r="R4678" s="31">
        <v>45868</v>
      </c>
      <c r="S4678" s="31"/>
      <c r="T4678" s="95" t="str">
        <f t="shared" si="361"/>
        <v>2025 07</v>
      </c>
      <c r="U4678" s="32">
        <f t="shared" si="358"/>
        <v>1478.6074685705416</v>
      </c>
      <c r="V4678" s="22">
        <f t="shared" si="359"/>
        <v>0.48937946764268797</v>
      </c>
      <c r="X4678" s="33"/>
      <c r="Y4678" s="33"/>
    </row>
    <row r="4679" spans="1:25" x14ac:dyDescent="0.2">
      <c r="A4679" s="93" t="s">
        <v>3809</v>
      </c>
      <c r="B4679" s="94" t="str">
        <f>IFERROR(VLOOKUP($A4679,HeadJournal!$A$1:$NTR$890,COLUMN(HeadJournal!B$1),0),"")</f>
        <v>720000692746</v>
      </c>
      <c r="C4679" s="94" t="str">
        <f>IFERROR(VLOOKUP($A4679,HeadJournal!$A$1:$NTR$890,COLUMN(HeadJournal!C$1),0),"")</f>
        <v>iHerb_OA CZN6870</v>
      </c>
      <c r="D4679" s="125" t="str">
        <f>IFERROR(VLOOKUP($A4679,HeadJournal!$A$1:$NTR$890,COLUMN(HeadJournal!D$1),0),"")</f>
        <v>Доставлен</v>
      </c>
      <c r="E4679" s="95">
        <f>IFERROR(VLOOKUP($A4679,HeadJournal!$A$1:$NTR$890,COLUMN(HeadJournal!G$1),0),"")</f>
        <v>45805</v>
      </c>
      <c r="F4679" s="95" t="str">
        <f t="shared" si="360"/>
        <v>2025 05</v>
      </c>
      <c r="G4679" s="97" t="s">
        <v>5</v>
      </c>
      <c r="H4679" s="161" t="s">
        <v>3785</v>
      </c>
      <c r="I4679" s="97" t="s">
        <v>2856</v>
      </c>
      <c r="J4679" s="97" t="s">
        <v>3786</v>
      </c>
      <c r="K4679" s="29">
        <v>27.21</v>
      </c>
      <c r="L4679" s="29">
        <v>-5.44</v>
      </c>
      <c r="M4679" s="30">
        <f>IFERROR(VLOOKUP($A4679,HeadJournal!$A$1:$J$890,COLUMN(HeadJournal!I$1),0)*($K4679+$L4679)/(SUMIF($A:$A,$A4679,$K:$K)+SUMIF($A:$A,$A4679,$L:$L)),0)</f>
        <v>-2.9425794640074798</v>
      </c>
      <c r="N4679" s="30">
        <f>IFERROR((VLOOKUP($A4679,HeadJournal!$A$1:$K$890,COLUMN(HeadJournal!K$1),0)-VLOOKUP($A4679,HeadJournal!$A$1:$K$890,COLUMN(HeadJournal!J$1),0))*($K4679+$L4679)/(SUMIF($A:$A,$A4679,$K:$K)+SUMIF($A:$A,$A4679,$L:$L)),0)</f>
        <v>4.8203538041437779E-15</v>
      </c>
      <c r="O4679" s="30">
        <f>IFERROR((VLOOKUP($A4679,HeadJournal!$A$1:$L$890,COLUMN(HeadJournal!L$1),0)*($K4679+$L4679)/(SUMIF($A:$A,$A4679,$K:$K)+SUMIF($A:$A,$A4679,$L:$L)))/VLOOKUP($A4679,HeadJournal!$A$1:$L$890,COLUMN(HeadJournal!H$1),0),0)</f>
        <v>0.97473834333378662</v>
      </c>
      <c r="P4679" s="30">
        <f>IFERROR(SUM(K4679:O4679)*VLOOKUP($A4679,HeadJournal!$A$1:$L$890,COLUMN(HeadJournal!H$1),0),0)</f>
        <v>1826.1190230601433</v>
      </c>
      <c r="Q4679" s="29">
        <v>3000</v>
      </c>
      <c r="R4679" s="31">
        <v>45835</v>
      </c>
      <c r="S4679" s="31" t="s">
        <v>3475</v>
      </c>
      <c r="T4679" s="95" t="str">
        <f t="shared" si="361"/>
        <v>2025 06</v>
      </c>
      <c r="U4679" s="32">
        <f t="shared" si="358"/>
        <v>1173.8809769398567</v>
      </c>
      <c r="V4679" s="22">
        <f t="shared" si="359"/>
        <v>0.6428282943861513</v>
      </c>
      <c r="X4679" s="33"/>
      <c r="Y4679" s="33"/>
    </row>
    <row r="4680" spans="1:25" x14ac:dyDescent="0.2">
      <c r="A4680" s="93" t="s">
        <v>3809</v>
      </c>
      <c r="B4680" s="94" t="str">
        <f>IFERROR(VLOOKUP($A4680,HeadJournal!$A$1:$NTR$890,COLUMN(HeadJournal!B$1),0),"")</f>
        <v>720000692746</v>
      </c>
      <c r="C4680" s="94" t="str">
        <f>IFERROR(VLOOKUP($A4680,HeadJournal!$A$1:$NTR$890,COLUMN(HeadJournal!C$1),0),"")</f>
        <v>iHerb_OA CZN6870</v>
      </c>
      <c r="D4680" s="125" t="str">
        <f>IFERROR(VLOOKUP($A4680,HeadJournal!$A$1:$NTR$890,COLUMN(HeadJournal!D$1),0),"")</f>
        <v>Доставлен</v>
      </c>
      <c r="E4680" s="95">
        <f>IFERROR(VLOOKUP($A4680,HeadJournal!$A$1:$NTR$890,COLUMN(HeadJournal!G$1),0),"")</f>
        <v>45805</v>
      </c>
      <c r="F4680" s="95" t="str">
        <f t="shared" si="360"/>
        <v>2025 05</v>
      </c>
      <c r="G4680" s="97" t="s">
        <v>5</v>
      </c>
      <c r="H4680" s="161" t="s">
        <v>3787</v>
      </c>
      <c r="I4680" s="97" t="s">
        <v>2036</v>
      </c>
      <c r="J4680" s="97" t="s">
        <v>4060</v>
      </c>
      <c r="K4680" s="29">
        <v>15.08</v>
      </c>
      <c r="L4680" s="29">
        <v>-3.02</v>
      </c>
      <c r="M4680" s="30">
        <f>IFERROR(VLOOKUP($A4680,HeadJournal!$A$1:$J$890,COLUMN(HeadJournal!I$1),0)*($K4680+$L4680)/(SUMIF($A:$A,$A4680,$K:$K)+SUMIF($A:$A,$A4680,$L:$L)),0)</f>
        <v>-1.6301106263633534</v>
      </c>
      <c r="N4680" s="30">
        <f>IFERROR((VLOOKUP($A4680,HeadJournal!$A$1:$K$890,COLUMN(HeadJournal!K$1),0)-VLOOKUP($A4680,HeadJournal!$A$1:$K$890,COLUMN(HeadJournal!J$1),0))*($K4680+$L4680)/(SUMIF($A:$A,$A4680,$K:$K)+SUMIF($A:$A,$A4680,$L:$L)),0)</f>
        <v>2.6703475828191989E-15</v>
      </c>
      <c r="O4680" s="30">
        <f>IFERROR((VLOOKUP($A4680,HeadJournal!$A$1:$L$890,COLUMN(HeadJournal!L$1),0)*($K4680+$L4680)/(SUMIF($A:$A,$A4680,$K:$K)+SUMIF($A:$A,$A4680,$L:$L)))/VLOOKUP($A4680,HeadJournal!$A$1:$L$890,COLUMN(HeadJournal!H$1),0),0)</f>
        <v>0.53997907306410031</v>
      </c>
      <c r="P4680" s="30">
        <f>IFERROR(SUM(K4680:O4680)*VLOOKUP($A4680,HeadJournal!$A$1:$L$890,COLUMN(HeadJournal!H$1),0),0)</f>
        <v>1011.6212870052979</v>
      </c>
      <c r="Q4680" s="29">
        <v>2000</v>
      </c>
      <c r="R4680" s="31">
        <v>45835</v>
      </c>
      <c r="S4680" s="31" t="s">
        <v>3226</v>
      </c>
      <c r="T4680" s="95" t="str">
        <f t="shared" si="361"/>
        <v>2025 06</v>
      </c>
      <c r="U4680" s="32">
        <f t="shared" si="358"/>
        <v>988.37871299470214</v>
      </c>
      <c r="V4680" s="22">
        <f t="shared" si="359"/>
        <v>0.97702443166315656</v>
      </c>
      <c r="X4680" s="33"/>
      <c r="Y4680" s="33"/>
    </row>
    <row r="4681" spans="1:25" x14ac:dyDescent="0.2">
      <c r="A4681" s="93" t="s">
        <v>3809</v>
      </c>
      <c r="B4681" s="94" t="str">
        <f>IFERROR(VLOOKUP($A4681,HeadJournal!$A$1:$NTR$890,COLUMN(HeadJournal!B$1),0),"")</f>
        <v>720000692746</v>
      </c>
      <c r="C4681" s="94" t="str">
        <f>IFERROR(VLOOKUP($A4681,HeadJournal!$A$1:$NTR$890,COLUMN(HeadJournal!C$1),0),"")</f>
        <v>iHerb_OA CZN6870</v>
      </c>
      <c r="D4681" s="125" t="str">
        <f>IFERROR(VLOOKUP($A4681,HeadJournal!$A$1:$NTR$890,COLUMN(HeadJournal!D$1),0),"")</f>
        <v>Доставлен</v>
      </c>
      <c r="E4681" s="95">
        <f>IFERROR(VLOOKUP($A4681,HeadJournal!$A$1:$NTR$890,COLUMN(HeadJournal!G$1),0),"")</f>
        <v>45805</v>
      </c>
      <c r="F4681" s="95" t="str">
        <f t="shared" si="360"/>
        <v>2025 05</v>
      </c>
      <c r="G4681" s="97" t="s">
        <v>5</v>
      </c>
      <c r="H4681" s="161" t="s">
        <v>3657</v>
      </c>
      <c r="I4681" s="97" t="s">
        <v>2005</v>
      </c>
      <c r="J4681" s="97" t="s">
        <v>3788</v>
      </c>
      <c r="K4681" s="29">
        <v>28.99</v>
      </c>
      <c r="L4681" s="29">
        <v>-5.8</v>
      </c>
      <c r="M4681" s="30">
        <f>IFERROR(VLOOKUP($A4681,HeadJournal!$A$1:$J$890,COLUMN(HeadJournal!I$1),0)*($K4681+$L4681)/(SUMIF($A:$A,$A4681,$K:$K)+SUMIF($A:$A,$A4681,$L:$L)),0)</f>
        <v>-3.1345162044250547</v>
      </c>
      <c r="N4681" s="30">
        <f>IFERROR((VLOOKUP($A4681,HeadJournal!$A$1:$K$890,COLUMN(HeadJournal!K$1),0)-VLOOKUP($A4681,HeadJournal!$A$1:$K$890,COLUMN(HeadJournal!J$1),0))*($K4681+$L4681)/(SUMIF($A:$A,$A4681,$K:$K)+SUMIF($A:$A,$A4681,$L:$L)),0)</f>
        <v>5.1347728396001011E-15</v>
      </c>
      <c r="O4681" s="30">
        <f>IFERROR((VLOOKUP($A4681,HeadJournal!$A$1:$L$890,COLUMN(HeadJournal!L$1),0)*($K4681+$L4681)/(SUMIF($A:$A,$A4681,$K:$K)+SUMIF($A:$A,$A4681,$L:$L)))/VLOOKUP($A4681,HeadJournal!$A$1:$L$890,COLUMN(HeadJournal!H$1),0),0)</f>
        <v>1.0383179688521134</v>
      </c>
      <c r="P4681" s="30">
        <f>IFERROR(SUM(K4681:O4681)*VLOOKUP($A4681,HeadJournal!$A$1:$L$890,COLUMN(HeadJournal!H$1),0),0)</f>
        <v>1945.23197725148</v>
      </c>
      <c r="Q4681" s="29">
        <v>3200</v>
      </c>
      <c r="R4681" s="31">
        <v>45843</v>
      </c>
      <c r="S4681" s="31" t="s">
        <v>3206</v>
      </c>
      <c r="T4681" s="95" t="str">
        <f t="shared" si="361"/>
        <v>2025 07</v>
      </c>
      <c r="U4681" s="32">
        <f t="shared" si="358"/>
        <v>1254.76802274852</v>
      </c>
      <c r="V4681" s="22">
        <f t="shared" si="359"/>
        <v>0.6450480135132507</v>
      </c>
      <c r="X4681" s="33"/>
      <c r="Y4681" s="33"/>
    </row>
    <row r="4682" spans="1:25" x14ac:dyDescent="0.2">
      <c r="A4682" s="93" t="s">
        <v>3809</v>
      </c>
      <c r="B4682" s="94" t="str">
        <f>IFERROR(VLOOKUP($A4682,HeadJournal!$A$1:$NTR$890,COLUMN(HeadJournal!B$1),0),"")</f>
        <v>720000692746</v>
      </c>
      <c r="C4682" s="94" t="str">
        <f>IFERROR(VLOOKUP($A4682,HeadJournal!$A$1:$NTR$890,COLUMN(HeadJournal!C$1),0),"")</f>
        <v>iHerb_OA CZN6870</v>
      </c>
      <c r="D4682" s="125" t="str">
        <f>IFERROR(VLOOKUP($A4682,HeadJournal!$A$1:$NTR$890,COLUMN(HeadJournal!D$1),0),"")</f>
        <v>Доставлен</v>
      </c>
      <c r="E4682" s="95">
        <f>IFERROR(VLOOKUP($A4682,HeadJournal!$A$1:$NTR$890,COLUMN(HeadJournal!G$1),0),"")</f>
        <v>45805</v>
      </c>
      <c r="F4682" s="95" t="str">
        <f t="shared" si="360"/>
        <v>2025 05</v>
      </c>
      <c r="G4682" s="97" t="s">
        <v>5</v>
      </c>
      <c r="H4682" s="161" t="s">
        <v>3789</v>
      </c>
      <c r="I4682" s="97" t="s">
        <v>3524</v>
      </c>
      <c r="J4682" s="97" t="s">
        <v>3790</v>
      </c>
      <c r="K4682" s="29">
        <v>15.54</v>
      </c>
      <c r="L4682" s="29">
        <v>-3.11</v>
      </c>
      <c r="M4682" s="30">
        <f>IFERROR(VLOOKUP($A4682,HeadJournal!$A$1:$J$890,COLUMN(HeadJournal!I$1),0)*($K4682+$L4682)/(SUMIF($A:$A,$A4682,$K:$K)+SUMIF($A:$A,$A4682,$L:$L)),0)</f>
        <v>-1.6801223122468061</v>
      </c>
      <c r="N4682" s="30">
        <f>IFERROR((VLOOKUP($A4682,HeadJournal!$A$1:$K$890,COLUMN(HeadJournal!K$1),0)-VLOOKUP($A4682,HeadJournal!$A$1:$K$890,COLUMN(HeadJournal!J$1),0))*($K4682+$L4682)/(SUMIF($A:$A,$A4682,$K:$K)+SUMIF($A:$A,$A4682,$L:$L)),0)</f>
        <v>2.7522736695226072E-15</v>
      </c>
      <c r="O4682" s="30">
        <f>IFERROR((VLOOKUP($A4682,HeadJournal!$A$1:$L$890,COLUMN(HeadJournal!L$1),0)*($K4682+$L4682)/(SUMIF($A:$A,$A4682,$K:$K)+SUMIF($A:$A,$A4682,$L:$L)))/VLOOKUP($A4682,HeadJournal!$A$1:$L$890,COLUMN(HeadJournal!H$1),0),0)</f>
        <v>0.55654559520619962</v>
      </c>
      <c r="P4682" s="30">
        <f>IFERROR(SUM(K4682:O4682)*VLOOKUP($A4682,HeadJournal!$A$1:$L$890,COLUMN(HeadJournal!H$1),0),0)</f>
        <v>1042.6577609847307</v>
      </c>
      <c r="Q4682" s="29">
        <v>2500</v>
      </c>
      <c r="R4682" s="31">
        <v>45845</v>
      </c>
      <c r="S4682" s="31" t="s">
        <v>3172</v>
      </c>
      <c r="T4682" s="95" t="str">
        <f t="shared" si="361"/>
        <v>2025 07</v>
      </c>
      <c r="U4682" s="32">
        <f t="shared" si="358"/>
        <v>1457.3422390152693</v>
      </c>
      <c r="V4682" s="22">
        <f t="shared" si="359"/>
        <v>1.397718689245542</v>
      </c>
      <c r="X4682" s="33"/>
      <c r="Y4682" s="33"/>
    </row>
    <row r="4683" spans="1:25" x14ac:dyDescent="0.2">
      <c r="A4683" s="93" t="s">
        <v>3809</v>
      </c>
      <c r="B4683" s="94" t="str">
        <f>IFERROR(VLOOKUP($A4683,HeadJournal!$A$1:$NTR$890,COLUMN(HeadJournal!B$1),0),"")</f>
        <v>720000692746</v>
      </c>
      <c r="C4683" s="94" t="str">
        <f>IFERROR(VLOOKUP($A4683,HeadJournal!$A$1:$NTR$890,COLUMN(HeadJournal!C$1),0),"")</f>
        <v>iHerb_OA CZN6870</v>
      </c>
      <c r="D4683" s="125" t="str">
        <f>IFERROR(VLOOKUP($A4683,HeadJournal!$A$1:$NTR$890,COLUMN(HeadJournal!D$1),0),"")</f>
        <v>Доставлен</v>
      </c>
      <c r="E4683" s="95">
        <f>IFERROR(VLOOKUP($A4683,HeadJournal!$A$1:$NTR$890,COLUMN(HeadJournal!G$1),0),"")</f>
        <v>45805</v>
      </c>
      <c r="F4683" s="95" t="str">
        <f t="shared" si="360"/>
        <v>2025 05</v>
      </c>
      <c r="G4683" s="97" t="s">
        <v>5</v>
      </c>
      <c r="H4683" s="161" t="s">
        <v>3791</v>
      </c>
      <c r="I4683" s="97" t="s">
        <v>3792</v>
      </c>
      <c r="J4683" s="97" t="s">
        <v>3793</v>
      </c>
      <c r="K4683" s="29">
        <v>37.28</v>
      </c>
      <c r="L4683" s="29">
        <v>-17.489999999999998</v>
      </c>
      <c r="M4683" s="30">
        <f>IFERROR(VLOOKUP($A4683,HeadJournal!$A$1:$J$890,COLUMN(HeadJournal!I$1),0)*($K4683+$L4683)/(SUMIF($A:$A,$A4683,$K:$K)+SUMIF($A:$A,$A4683,$L:$L)),0)</f>
        <v>-2.6749493611717057</v>
      </c>
      <c r="N4683" s="30">
        <f>IFERROR((VLOOKUP($A4683,HeadJournal!$A$1:$K$890,COLUMN(HeadJournal!K$1),0)-VLOOKUP($A4683,HeadJournal!$A$1:$K$890,COLUMN(HeadJournal!J$1),0))*($K4683+$L4683)/(SUMIF($A:$A,$A4683,$K:$K)+SUMIF($A:$A,$A4683,$L:$L)),0)</f>
        <v>4.3819385293525667E-15</v>
      </c>
      <c r="O4683" s="30">
        <f>IFERROR((VLOOKUP($A4683,HeadJournal!$A$1:$L$890,COLUMN(HeadJournal!L$1),0)*($K4683+$L4683)/(SUMIF($A:$A,$A4683,$K:$K)+SUMIF($A:$A,$A4683,$L:$L)))/VLOOKUP($A4683,HeadJournal!$A$1:$L$890,COLUMN(HeadJournal!H$1),0),0)</f>
        <v>0.88608506268147158</v>
      </c>
      <c r="P4683" s="30">
        <f>IFERROR(SUM(K4683:O4683)*VLOOKUP($A4683,HeadJournal!$A$1:$L$890,COLUMN(HeadJournal!H$1),0),0)</f>
        <v>1660.0319460891244</v>
      </c>
      <c r="Q4683" s="29">
        <v>3000</v>
      </c>
      <c r="R4683" s="31">
        <v>45848</v>
      </c>
      <c r="S4683" s="31" t="s">
        <v>3509</v>
      </c>
      <c r="T4683" s="95" t="str">
        <f t="shared" si="361"/>
        <v>2025 07</v>
      </c>
      <c r="U4683" s="32">
        <f t="shared" si="358"/>
        <v>1339.9680539108756</v>
      </c>
      <c r="V4683" s="22">
        <f t="shared" si="359"/>
        <v>0.80719413687652908</v>
      </c>
      <c r="X4683" s="33"/>
      <c r="Y4683" s="33"/>
    </row>
    <row r="4684" spans="1:25" x14ac:dyDescent="0.2">
      <c r="A4684" s="93" t="s">
        <v>3809</v>
      </c>
      <c r="B4684" s="94" t="str">
        <f>IFERROR(VLOOKUP($A4684,HeadJournal!$A$1:$NTR$890,COLUMN(HeadJournal!B$1),0),"")</f>
        <v>720000692746</v>
      </c>
      <c r="C4684" s="94" t="str">
        <f>IFERROR(VLOOKUP($A4684,HeadJournal!$A$1:$NTR$890,COLUMN(HeadJournal!C$1),0),"")</f>
        <v>iHerb_OA CZN6870</v>
      </c>
      <c r="D4684" s="125" t="str">
        <f>IFERROR(VLOOKUP($A4684,HeadJournal!$A$1:$NTR$890,COLUMN(HeadJournal!D$1),0),"")</f>
        <v>Доставлен</v>
      </c>
      <c r="E4684" s="95">
        <f>IFERROR(VLOOKUP($A4684,HeadJournal!$A$1:$NTR$890,COLUMN(HeadJournal!G$1),0),"")</f>
        <v>45805</v>
      </c>
      <c r="F4684" s="95" t="str">
        <f t="shared" si="360"/>
        <v>2025 05</v>
      </c>
      <c r="G4684" s="97" t="s">
        <v>5</v>
      </c>
      <c r="H4684" s="161" t="s">
        <v>2211</v>
      </c>
      <c r="I4684" s="97" t="s">
        <v>2212</v>
      </c>
      <c r="J4684" s="97" t="s">
        <v>2213</v>
      </c>
      <c r="K4684" s="29">
        <v>30.08</v>
      </c>
      <c r="L4684" s="29">
        <v>-6.02</v>
      </c>
      <c r="M4684" s="30">
        <f>IFERROR(VLOOKUP($A4684,HeadJournal!$A$1:$J$890,COLUMN(HeadJournal!I$1),0)*($K4684+$L4684)/(SUMIF($A:$A,$A4684,$K:$K)+SUMIF($A:$A,$A4684,$L:$L)),0)</f>
        <v>-3.2521112496104712</v>
      </c>
      <c r="N4684" s="30">
        <f>IFERROR((VLOOKUP($A4684,HeadJournal!$A$1:$K$890,COLUMN(HeadJournal!K$1),0)-VLOOKUP($A4684,HeadJournal!$A$1:$K$890,COLUMN(HeadJournal!J$1),0))*($K4684+$L4684)/(SUMIF($A:$A,$A4684,$K:$K)+SUMIF($A:$A,$A4684,$L:$L)),0)</f>
        <v>5.3274098542810877E-15</v>
      </c>
      <c r="O4684" s="30">
        <f>IFERROR((VLOOKUP($A4684,HeadJournal!$A$1:$L$890,COLUMN(HeadJournal!L$1),0)*($K4684+$L4684)/(SUMIF($A:$A,$A4684,$K:$K)+SUMIF($A:$A,$A4684,$L:$L)))/VLOOKUP($A4684,HeadJournal!$A$1:$L$890,COLUMN(HeadJournal!H$1),0),0)</f>
        <v>1.0772716830781304</v>
      </c>
      <c r="P4684" s="30">
        <f>IFERROR(SUM(K4684:O4684)*VLOOKUP($A4684,HeadJournal!$A$1:$L$890,COLUMN(HeadJournal!H$1),0),0)</f>
        <v>2018.2096322842006</v>
      </c>
      <c r="Q4684" s="29">
        <v>3400</v>
      </c>
      <c r="R4684" s="31">
        <v>46125</v>
      </c>
      <c r="S4684" s="31"/>
      <c r="T4684" s="95" t="str">
        <f t="shared" si="361"/>
        <v>2026 04</v>
      </c>
      <c r="U4684" s="32">
        <f t="shared" si="358"/>
        <v>1381.7903677157994</v>
      </c>
      <c r="V4684" s="22">
        <f t="shared" si="359"/>
        <v>0.68466146708055065</v>
      </c>
      <c r="X4684" s="33"/>
      <c r="Y4684" s="33"/>
    </row>
    <row r="4685" spans="1:25" x14ac:dyDescent="0.2">
      <c r="A4685" s="93" t="s">
        <v>3809</v>
      </c>
      <c r="B4685" s="94" t="str">
        <f>IFERROR(VLOOKUP($A4685,HeadJournal!$A$1:$NTR$890,COLUMN(HeadJournal!B$1),0),"")</f>
        <v>720000692746</v>
      </c>
      <c r="C4685" s="94" t="str">
        <f>IFERROR(VLOOKUP($A4685,HeadJournal!$A$1:$NTR$890,COLUMN(HeadJournal!C$1),0),"")</f>
        <v>iHerb_OA CZN6870</v>
      </c>
      <c r="D4685" s="125" t="str">
        <f>IFERROR(VLOOKUP($A4685,HeadJournal!$A$1:$NTR$890,COLUMN(HeadJournal!D$1),0),"")</f>
        <v>Доставлен</v>
      </c>
      <c r="E4685" s="95">
        <f>IFERROR(VLOOKUP($A4685,HeadJournal!$A$1:$NTR$890,COLUMN(HeadJournal!G$1),0),"")</f>
        <v>45805</v>
      </c>
      <c r="F4685" s="95" t="str">
        <f t="shared" si="360"/>
        <v>2025 05</v>
      </c>
      <c r="G4685" s="97" t="s">
        <v>5</v>
      </c>
      <c r="H4685" s="161" t="s">
        <v>2073</v>
      </c>
      <c r="I4685" s="97" t="s">
        <v>2005</v>
      </c>
      <c r="J4685" s="97" t="s">
        <v>2074</v>
      </c>
      <c r="K4685" s="29">
        <v>18.829999999999998</v>
      </c>
      <c r="L4685" s="29">
        <v>-3.77</v>
      </c>
      <c r="M4685" s="30">
        <f>IFERROR(VLOOKUP($A4685,HeadJournal!$A$1:$J$890,COLUMN(HeadJournal!I$1),0)*($K4685+$L4685)/(SUMIF($A:$A,$A4685,$K:$K)+SUMIF($A:$A,$A4685,$L:$L)),0)</f>
        <v>-2.0356107821751328</v>
      </c>
      <c r="N4685" s="30">
        <f>IFERROR((VLOOKUP($A4685,HeadJournal!$A$1:$K$890,COLUMN(HeadJournal!K$1),0)-VLOOKUP($A4685,HeadJournal!$A$1:$K$890,COLUMN(HeadJournal!J$1),0))*($K4685+$L4685)/(SUMIF($A:$A,$A4685,$K:$K)+SUMIF($A:$A,$A4685,$L:$L)),0)</f>
        <v>3.3346131506846711E-15</v>
      </c>
      <c r="O4685" s="30">
        <f>IFERROR((VLOOKUP($A4685,HeadJournal!$A$1:$L$890,COLUMN(HeadJournal!L$1),0)*($K4685+$L4685)/(SUMIF($A:$A,$A4685,$K:$K)+SUMIF($A:$A,$A4685,$L:$L)))/VLOOKUP($A4685,HeadJournal!$A$1:$L$890,COLUMN(HeadJournal!H$1),0),0)</f>
        <v>0.67430222556760788</v>
      </c>
      <c r="P4685" s="30">
        <f>IFERROR(SUM(K4685:O4685)*VLOOKUP($A4685,HeadJournal!$A$1:$L$890,COLUMN(HeadJournal!H$1),0),0)</f>
        <v>1263.2683733250233</v>
      </c>
      <c r="Q4685" s="29">
        <v>2300</v>
      </c>
      <c r="R4685" s="31">
        <v>46045</v>
      </c>
      <c r="S4685" s="31"/>
      <c r="T4685" s="95" t="str">
        <f t="shared" si="361"/>
        <v>2026 01</v>
      </c>
      <c r="U4685" s="32">
        <f t="shared" si="358"/>
        <v>1036.7316266749767</v>
      </c>
      <c r="V4685" s="22">
        <f t="shared" si="359"/>
        <v>0.8206740931431824</v>
      </c>
      <c r="X4685" s="33"/>
      <c r="Y4685" s="33"/>
    </row>
    <row r="4686" spans="1:25" x14ac:dyDescent="0.2">
      <c r="A4686" s="93" t="s">
        <v>3827</v>
      </c>
      <c r="B4686" s="94" t="str">
        <f>IFERROR(VLOOKUP($A4686,HeadJournal!$A$1:$NTR$890,COLUMN(HeadJournal!B$1),0),"")</f>
        <v>720000700378</v>
      </c>
      <c r="C4686" s="94" t="str">
        <f>IFERROR(VLOOKUP($A4686,HeadJournal!$A$1:$NTR$890,COLUMN(HeadJournal!C$1),0),"")</f>
        <v>iHerb_AV CYG0792</v>
      </c>
      <c r="D4686" s="125" t="str">
        <f>IFERROR(VLOOKUP($A4686,HeadJournal!$A$1:$NTR$890,COLUMN(HeadJournal!D$1),0),"")</f>
        <v>Доставлен</v>
      </c>
      <c r="E4686" s="95">
        <f>IFERROR(VLOOKUP($A4686,HeadJournal!$A$1:$NTR$890,COLUMN(HeadJournal!G$1),0),"")</f>
        <v>45814</v>
      </c>
      <c r="F4686" s="95" t="str">
        <f t="shared" si="360"/>
        <v>2025 06</v>
      </c>
      <c r="G4686" s="97" t="s">
        <v>5</v>
      </c>
      <c r="H4686" s="161" t="s">
        <v>2845</v>
      </c>
      <c r="I4686" s="97" t="s">
        <v>2839</v>
      </c>
      <c r="J4686" s="97" t="s">
        <v>2846</v>
      </c>
      <c r="K4686" s="29">
        <v>23.26</v>
      </c>
      <c r="L4686" s="29">
        <v>0</v>
      </c>
      <c r="M4686" s="30">
        <f>IFERROR(VLOOKUP($A4686,HeadJournal!$A$1:$J$890,COLUMN(HeadJournal!I$1),0)*($K4686+$L4686)/(SUMIF($A:$A,$A4686,$K:$K)+SUMIF($A:$A,$A4686,$L:$L)),0)</f>
        <v>-2.3682154846831724</v>
      </c>
      <c r="N4686" s="30">
        <f>IFERROR((VLOOKUP($A4686,HeadJournal!$A$1:$K$890,COLUMN(HeadJournal!K$1),0)-VLOOKUP($A4686,HeadJournal!$A$1:$K$890,COLUMN(HeadJournal!J$1),0))*($K4686+$L4686)/(SUMIF($A:$A,$A4686,$K:$K)+SUMIF($A:$A,$A4686,$L:$L)),0)</f>
        <v>-3.4677347951699391E-15</v>
      </c>
      <c r="O4686" s="30">
        <f>IFERROR((VLOOKUP($A4686,HeadJournal!$A$1:$L$890,COLUMN(HeadJournal!L$1),0)*($K4686+$L4686)/(SUMIF($A:$A,$A4686,$K:$K)+SUMIF($A:$A,$A4686,$L:$L)))/VLOOKUP($A4686,HeadJournal!$A$1:$L$890,COLUMN(HeadJournal!H$1),0),0)</f>
        <v>0.91718935419717518</v>
      </c>
      <c r="P4686" s="30">
        <f>IFERROR(SUM(K4686:O4686)*VLOOKUP($A4686,HeadJournal!$A$1:$L$890,COLUMN(HeadJournal!H$1),0),0)</f>
        <v>1953.4487543712403</v>
      </c>
      <c r="Q4686" s="29">
        <v>3100</v>
      </c>
      <c r="R4686" s="31">
        <v>45884</v>
      </c>
      <c r="S4686" s="31"/>
      <c r="T4686" s="95" t="str">
        <f t="shared" si="361"/>
        <v>2025 08</v>
      </c>
      <c r="U4686" s="32">
        <f t="shared" si="358"/>
        <v>1146.5512456287597</v>
      </c>
      <c r="V4686" s="22">
        <f t="shared" si="359"/>
        <v>0.58693694578018352</v>
      </c>
      <c r="X4686" s="33"/>
      <c r="Y4686" s="33"/>
    </row>
    <row r="4687" spans="1:25" x14ac:dyDescent="0.2">
      <c r="A4687" s="93" t="s">
        <v>3827</v>
      </c>
      <c r="B4687" s="94" t="str">
        <f>IFERROR(VLOOKUP($A4687,HeadJournal!$A$1:$NTR$890,COLUMN(HeadJournal!B$1),0),"")</f>
        <v>720000700378</v>
      </c>
      <c r="C4687" s="94" t="str">
        <f>IFERROR(VLOOKUP($A4687,HeadJournal!$A$1:$NTR$890,COLUMN(HeadJournal!C$1),0),"")</f>
        <v>iHerb_AV CYG0792</v>
      </c>
      <c r="D4687" s="125" t="str">
        <f>IFERROR(VLOOKUP($A4687,HeadJournal!$A$1:$NTR$890,COLUMN(HeadJournal!D$1),0),"")</f>
        <v>Доставлен</v>
      </c>
      <c r="E4687" s="95">
        <f>IFERROR(VLOOKUP($A4687,HeadJournal!$A$1:$NTR$890,COLUMN(HeadJournal!G$1),0),"")</f>
        <v>45814</v>
      </c>
      <c r="F4687" s="95" t="str">
        <f t="shared" si="360"/>
        <v>2025 06</v>
      </c>
      <c r="G4687" s="97" t="s">
        <v>5</v>
      </c>
      <c r="H4687" s="161" t="s">
        <v>2888</v>
      </c>
      <c r="I4687" s="97" t="s">
        <v>2839</v>
      </c>
      <c r="J4687" s="97" t="s">
        <v>3819</v>
      </c>
      <c r="K4687" s="29">
        <v>37.270000000000003</v>
      </c>
      <c r="L4687" s="29">
        <v>0</v>
      </c>
      <c r="M4687" s="30">
        <f>IFERROR(VLOOKUP($A4687,HeadJournal!$A$1:$J$890,COLUMN(HeadJournal!I$1),0)*($K4687+$L4687)/(SUMIF($A:$A,$A4687,$K:$K)+SUMIF($A:$A,$A4687,$L:$L)),0)</f>
        <v>-3.7946427822073017</v>
      </c>
      <c r="N4687" s="30">
        <f>IFERROR((VLOOKUP($A4687,HeadJournal!$A$1:$K$890,COLUMN(HeadJournal!K$1),0)-VLOOKUP($A4687,HeadJournal!$A$1:$K$890,COLUMN(HeadJournal!J$1),0))*($K4687+$L4687)/(SUMIF($A:$A,$A4687,$K:$K)+SUMIF($A:$A,$A4687,$L:$L)),0)</f>
        <v>-5.5564263033526929E-15</v>
      </c>
      <c r="O4687" s="30">
        <f>IFERROR((VLOOKUP($A4687,HeadJournal!$A$1:$L$890,COLUMN(HeadJournal!L$1),0)*($K4687+$L4687)/(SUMIF($A:$A,$A4687,$K:$K)+SUMIF($A:$A,$A4687,$L:$L)))/VLOOKUP($A4687,HeadJournal!$A$1:$L$890,COLUMN(HeadJournal!H$1),0),0)</f>
        <v>1.4696322971164539</v>
      </c>
      <c r="P4687" s="30">
        <f>IFERROR(SUM(K4687:O4687)*VLOOKUP($A4687,HeadJournal!$A$1:$L$890,COLUMN(HeadJournal!H$1),0),0)</f>
        <v>3130.0530986851304</v>
      </c>
      <c r="Q4687" s="29">
        <v>4000</v>
      </c>
      <c r="R4687" s="31">
        <v>45841</v>
      </c>
      <c r="S4687" s="31" t="s">
        <v>3235</v>
      </c>
      <c r="T4687" s="95" t="str">
        <f t="shared" si="361"/>
        <v>2025 07</v>
      </c>
      <c r="U4687" s="32">
        <f t="shared" si="358"/>
        <v>869.94690131486959</v>
      </c>
      <c r="V4687" s="22">
        <f t="shared" si="359"/>
        <v>0.27793359214267516</v>
      </c>
      <c r="X4687" s="33"/>
      <c r="Y4687" s="33"/>
    </row>
    <row r="4688" spans="1:25" x14ac:dyDescent="0.2">
      <c r="A4688" s="93" t="s">
        <v>3827</v>
      </c>
      <c r="B4688" s="94" t="str">
        <f>IFERROR(VLOOKUP($A4688,HeadJournal!$A$1:$NTR$890,COLUMN(HeadJournal!B$1),0),"")</f>
        <v>720000700378</v>
      </c>
      <c r="C4688" s="94" t="str">
        <f>IFERROR(VLOOKUP($A4688,HeadJournal!$A$1:$NTR$890,COLUMN(HeadJournal!C$1),0),"")</f>
        <v>iHerb_AV CYG0792</v>
      </c>
      <c r="D4688" s="125" t="str">
        <f>IFERROR(VLOOKUP($A4688,HeadJournal!$A$1:$NTR$890,COLUMN(HeadJournal!D$1),0),"")</f>
        <v>Доставлен</v>
      </c>
      <c r="E4688" s="95">
        <f>IFERROR(VLOOKUP($A4688,HeadJournal!$A$1:$NTR$890,COLUMN(HeadJournal!G$1),0),"")</f>
        <v>45814</v>
      </c>
      <c r="F4688" s="95" t="str">
        <f t="shared" si="360"/>
        <v>2025 06</v>
      </c>
      <c r="G4688" s="97" t="s">
        <v>5</v>
      </c>
      <c r="H4688" s="161" t="s">
        <v>2888</v>
      </c>
      <c r="I4688" s="97" t="s">
        <v>2839</v>
      </c>
      <c r="J4688" s="97" t="s">
        <v>3819</v>
      </c>
      <c r="K4688" s="29">
        <v>37.270000000000003</v>
      </c>
      <c r="L4688" s="29">
        <v>0</v>
      </c>
      <c r="M4688" s="30">
        <f>IFERROR(VLOOKUP($A4688,HeadJournal!$A$1:$J$890,COLUMN(HeadJournal!I$1),0)*($K4688+$L4688)/(SUMIF($A:$A,$A4688,$K:$K)+SUMIF($A:$A,$A4688,$L:$L)),0)</f>
        <v>-3.7946427822073017</v>
      </c>
      <c r="N4688" s="30">
        <f>IFERROR((VLOOKUP($A4688,HeadJournal!$A$1:$K$890,COLUMN(HeadJournal!K$1),0)-VLOOKUP($A4688,HeadJournal!$A$1:$K$890,COLUMN(HeadJournal!J$1),0))*($K4688+$L4688)/(SUMIF($A:$A,$A4688,$K:$K)+SUMIF($A:$A,$A4688,$L:$L)),0)</f>
        <v>-5.5564263033526929E-15</v>
      </c>
      <c r="O4688" s="30">
        <f>IFERROR((VLOOKUP($A4688,HeadJournal!$A$1:$L$890,COLUMN(HeadJournal!L$1),0)*($K4688+$L4688)/(SUMIF($A:$A,$A4688,$K:$K)+SUMIF($A:$A,$A4688,$L:$L)))/VLOOKUP($A4688,HeadJournal!$A$1:$L$890,COLUMN(HeadJournal!H$1),0),0)</f>
        <v>1.4696322971164539</v>
      </c>
      <c r="P4688" s="30">
        <f>IFERROR(SUM(K4688:O4688)*VLOOKUP($A4688,HeadJournal!$A$1:$L$890,COLUMN(HeadJournal!H$1),0),0)</f>
        <v>3130.0530986851304</v>
      </c>
      <c r="Q4688" s="29">
        <v>4000</v>
      </c>
      <c r="R4688" s="31">
        <v>45846</v>
      </c>
      <c r="S4688" s="31" t="s">
        <v>3235</v>
      </c>
      <c r="T4688" s="95" t="str">
        <f t="shared" si="361"/>
        <v>2025 07</v>
      </c>
      <c r="U4688" s="32">
        <f t="shared" si="358"/>
        <v>869.94690131486959</v>
      </c>
      <c r="V4688" s="22">
        <f t="shared" si="359"/>
        <v>0.27793359214267516</v>
      </c>
      <c r="X4688" s="33"/>
      <c r="Y4688" s="33"/>
    </row>
    <row r="4689" spans="1:25" x14ac:dyDescent="0.2">
      <c r="A4689" s="93" t="s">
        <v>3827</v>
      </c>
      <c r="B4689" s="94" t="str">
        <f>IFERROR(VLOOKUP($A4689,HeadJournal!$A$1:$NTR$890,COLUMN(HeadJournal!B$1),0),"")</f>
        <v>720000700378</v>
      </c>
      <c r="C4689" s="94" t="str">
        <f>IFERROR(VLOOKUP($A4689,HeadJournal!$A$1:$NTR$890,COLUMN(HeadJournal!C$1),0),"")</f>
        <v>iHerb_AV CYG0792</v>
      </c>
      <c r="D4689" s="125" t="str">
        <f>IFERROR(VLOOKUP($A4689,HeadJournal!$A$1:$NTR$890,COLUMN(HeadJournal!D$1),0),"")</f>
        <v>Доставлен</v>
      </c>
      <c r="E4689" s="95">
        <f>IFERROR(VLOOKUP($A4689,HeadJournal!$A$1:$NTR$890,COLUMN(HeadJournal!G$1),0),"")</f>
        <v>45814</v>
      </c>
      <c r="F4689" s="95" t="str">
        <f t="shared" si="360"/>
        <v>2025 06</v>
      </c>
      <c r="G4689" s="97" t="s">
        <v>5</v>
      </c>
      <c r="H4689" s="161" t="s">
        <v>3527</v>
      </c>
      <c r="I4689" s="97" t="s">
        <v>3528</v>
      </c>
      <c r="J4689" s="97" t="s">
        <v>3529</v>
      </c>
      <c r="K4689" s="29">
        <v>17.05</v>
      </c>
      <c r="L4689" s="29">
        <v>-3.41</v>
      </c>
      <c r="M4689" s="30">
        <f>IFERROR(VLOOKUP($A4689,HeadJournal!$A$1:$J$890,COLUMN(HeadJournal!I$1),0)*($K4689+$L4689)/(SUMIF($A:$A,$A4689,$K:$K)+SUMIF($A:$A,$A4689,$L:$L)),0)</f>
        <v>-1.3887557700377675</v>
      </c>
      <c r="N4689" s="30">
        <f>IFERROR((VLOOKUP($A4689,HeadJournal!$A$1:$K$890,COLUMN(HeadJournal!K$1),0)-VLOOKUP($A4689,HeadJournal!$A$1:$K$890,COLUMN(HeadJournal!J$1),0))*($K4689+$L4689)/(SUMIF($A:$A,$A4689,$K:$K)+SUMIF($A:$A,$A4689,$L:$L)),0)</f>
        <v>-2.033529776703266E-15</v>
      </c>
      <c r="O4689" s="30">
        <f>IFERROR((VLOOKUP($A4689,HeadJournal!$A$1:$L$890,COLUMN(HeadJournal!L$1),0)*($K4689+$L4689)/(SUMIF($A:$A,$A4689,$K:$K)+SUMIF($A:$A,$A4689,$L:$L)))/VLOOKUP($A4689,HeadJournal!$A$1:$L$890,COLUMN(HeadJournal!H$1),0),0)</f>
        <v>0.53785308646816288</v>
      </c>
      <c r="P4689" s="30">
        <f>IFERROR(SUM(K4689:O4689)*VLOOKUP($A4689,HeadJournal!$A$1:$L$890,COLUMN(HeadJournal!H$1),0),0)</f>
        <v>1145.5305679115959</v>
      </c>
      <c r="Q4689" s="29">
        <v>2300</v>
      </c>
      <c r="R4689" s="31">
        <v>45841</v>
      </c>
      <c r="S4689" s="31" t="s">
        <v>3235</v>
      </c>
      <c r="T4689" s="95" t="str">
        <f t="shared" si="361"/>
        <v>2025 07</v>
      </c>
      <c r="U4689" s="32">
        <f t="shared" si="358"/>
        <v>1154.4694320884041</v>
      </c>
      <c r="V4689" s="22">
        <f t="shared" si="359"/>
        <v>1.0078032524204958</v>
      </c>
      <c r="X4689" s="33"/>
      <c r="Y4689" s="33"/>
    </row>
    <row r="4690" spans="1:25" x14ac:dyDescent="0.2">
      <c r="A4690" s="93" t="s">
        <v>3827</v>
      </c>
      <c r="B4690" s="94" t="str">
        <f>IFERROR(VLOOKUP($A4690,HeadJournal!$A$1:$NTR$890,COLUMN(HeadJournal!B$1),0),"")</f>
        <v>720000700378</v>
      </c>
      <c r="C4690" s="94" t="str">
        <f>IFERROR(VLOOKUP($A4690,HeadJournal!$A$1:$NTR$890,COLUMN(HeadJournal!C$1),0),"")</f>
        <v>iHerb_AV CYG0792</v>
      </c>
      <c r="D4690" s="125" t="str">
        <f>IFERROR(VLOOKUP($A4690,HeadJournal!$A$1:$NTR$890,COLUMN(HeadJournal!D$1),0),"")</f>
        <v>Доставлен</v>
      </c>
      <c r="E4690" s="95">
        <f>IFERROR(VLOOKUP($A4690,HeadJournal!$A$1:$NTR$890,COLUMN(HeadJournal!G$1),0),"")</f>
        <v>45814</v>
      </c>
      <c r="F4690" s="95" t="str">
        <f t="shared" si="360"/>
        <v>2025 06</v>
      </c>
      <c r="G4690" s="97" t="s">
        <v>5</v>
      </c>
      <c r="H4690" s="161" t="s">
        <v>3527</v>
      </c>
      <c r="I4690" s="97" t="s">
        <v>3528</v>
      </c>
      <c r="J4690" s="97" t="s">
        <v>3529</v>
      </c>
      <c r="K4690" s="29">
        <v>17.05</v>
      </c>
      <c r="L4690" s="29">
        <v>-3.41</v>
      </c>
      <c r="M4690" s="30">
        <f>IFERROR(VLOOKUP($A4690,HeadJournal!$A$1:$J$890,COLUMN(HeadJournal!I$1),0)*($K4690+$L4690)/(SUMIF($A:$A,$A4690,$K:$K)+SUMIF($A:$A,$A4690,$L:$L)),0)</f>
        <v>-1.3887557700377675</v>
      </c>
      <c r="N4690" s="30">
        <f>IFERROR((VLOOKUP($A4690,HeadJournal!$A$1:$K$890,COLUMN(HeadJournal!K$1),0)-VLOOKUP($A4690,HeadJournal!$A$1:$K$890,COLUMN(HeadJournal!J$1),0))*($K4690+$L4690)/(SUMIF($A:$A,$A4690,$K:$K)+SUMIF($A:$A,$A4690,$L:$L)),0)</f>
        <v>-2.033529776703266E-15</v>
      </c>
      <c r="O4690" s="30">
        <f>IFERROR((VLOOKUP($A4690,HeadJournal!$A$1:$L$890,COLUMN(HeadJournal!L$1),0)*($K4690+$L4690)/(SUMIF($A:$A,$A4690,$K:$K)+SUMIF($A:$A,$A4690,$L:$L)))/VLOOKUP($A4690,HeadJournal!$A$1:$L$890,COLUMN(HeadJournal!H$1),0),0)</f>
        <v>0.53785308646816288</v>
      </c>
      <c r="P4690" s="30">
        <f>IFERROR(SUM(K4690:O4690)*VLOOKUP($A4690,HeadJournal!$A$1:$L$890,COLUMN(HeadJournal!H$1),0),0)</f>
        <v>1145.5305679115959</v>
      </c>
      <c r="Q4690" s="29">
        <v>2300</v>
      </c>
      <c r="R4690" s="31">
        <v>45846</v>
      </c>
      <c r="S4690" s="31" t="s">
        <v>3235</v>
      </c>
      <c r="T4690" s="95" t="str">
        <f t="shared" si="361"/>
        <v>2025 07</v>
      </c>
      <c r="U4690" s="32">
        <f t="shared" si="358"/>
        <v>1154.4694320884041</v>
      </c>
      <c r="V4690" s="22">
        <f t="shared" si="359"/>
        <v>1.0078032524204958</v>
      </c>
      <c r="X4690" s="33"/>
      <c r="Y4690" s="33"/>
    </row>
    <row r="4691" spans="1:25" x14ac:dyDescent="0.2">
      <c r="A4691" s="93" t="s">
        <v>3827</v>
      </c>
      <c r="B4691" s="94" t="str">
        <f>IFERROR(VLOOKUP($A4691,HeadJournal!$A$1:$NTR$890,COLUMN(HeadJournal!B$1),0),"")</f>
        <v>720000700378</v>
      </c>
      <c r="C4691" s="94" t="str">
        <f>IFERROR(VLOOKUP($A4691,HeadJournal!$A$1:$NTR$890,COLUMN(HeadJournal!C$1),0),"")</f>
        <v>iHerb_AV CYG0792</v>
      </c>
      <c r="D4691" s="125" t="str">
        <f>IFERROR(VLOOKUP($A4691,HeadJournal!$A$1:$NTR$890,COLUMN(HeadJournal!D$1),0),"")</f>
        <v>Доставлен</v>
      </c>
      <c r="E4691" s="95">
        <f>IFERROR(VLOOKUP($A4691,HeadJournal!$A$1:$NTR$890,COLUMN(HeadJournal!G$1),0),"")</f>
        <v>45814</v>
      </c>
      <c r="F4691" s="95" t="str">
        <f t="shared" si="360"/>
        <v>2025 06</v>
      </c>
      <c r="G4691" s="97" t="s">
        <v>5</v>
      </c>
      <c r="H4691" s="161" t="s">
        <v>3820</v>
      </c>
      <c r="I4691" s="97" t="s">
        <v>2009</v>
      </c>
      <c r="J4691" s="97" t="s">
        <v>3821</v>
      </c>
      <c r="K4691" s="29">
        <v>6.07</v>
      </c>
      <c r="L4691" s="29">
        <v>-1.21</v>
      </c>
      <c r="M4691" s="30">
        <f>IFERROR(VLOOKUP($A4691,HeadJournal!$A$1:$J$890,COLUMN(HeadJournal!I$1),0)*($K4691+$L4691)/(SUMIF($A:$A,$A4691,$K:$K)+SUMIF($A:$A,$A4691,$L:$L)),0)</f>
        <v>-0.49482060428031893</v>
      </c>
      <c r="N4691" s="30">
        <f>IFERROR((VLOOKUP($A4691,HeadJournal!$A$1:$K$890,COLUMN(HeadJournal!K$1),0)-VLOOKUP($A4691,HeadJournal!$A$1:$K$890,COLUMN(HeadJournal!J$1),0))*($K4691+$L4691)/(SUMIF($A:$A,$A4691,$K:$K)+SUMIF($A:$A,$A4691,$L:$L)),0)</f>
        <v>-7.2455679727110507E-16</v>
      </c>
      <c r="O4691" s="30">
        <f>IFERROR((VLOOKUP($A4691,HeadJournal!$A$1:$L$890,COLUMN(HeadJournal!L$1),0)*($K4691+$L4691)/(SUMIF($A:$A,$A4691,$K:$K)+SUMIF($A:$A,$A4691,$L:$L)))/VLOOKUP($A4691,HeadJournal!$A$1:$L$890,COLUMN(HeadJournal!H$1),0),0)</f>
        <v>0.19163973608762988</v>
      </c>
      <c r="P4691" s="30">
        <f>IFERROR(SUM(K4691:O4691)*VLOOKUP($A4691,HeadJournal!$A$1:$L$890,COLUMN(HeadJournal!H$1),0),0)</f>
        <v>408.15825220310529</v>
      </c>
      <c r="Q4691" s="29">
        <v>1100</v>
      </c>
      <c r="R4691" s="31">
        <v>45843</v>
      </c>
      <c r="S4691" s="31" t="s">
        <v>3206</v>
      </c>
      <c r="T4691" s="95" t="str">
        <f t="shared" si="361"/>
        <v>2025 07</v>
      </c>
      <c r="U4691" s="32">
        <f t="shared" si="358"/>
        <v>691.84174779689465</v>
      </c>
      <c r="V4691" s="22">
        <f t="shared" si="359"/>
        <v>1.6950331006724924</v>
      </c>
      <c r="X4691" s="33"/>
      <c r="Y4691" s="33"/>
    </row>
    <row r="4692" spans="1:25" x14ac:dyDescent="0.2">
      <c r="A4692" s="93" t="s">
        <v>3827</v>
      </c>
      <c r="B4692" s="94" t="str">
        <f>IFERROR(VLOOKUP($A4692,HeadJournal!$A$1:$NTR$890,COLUMN(HeadJournal!B$1),0),"")</f>
        <v>720000700378</v>
      </c>
      <c r="C4692" s="94" t="str">
        <f>IFERROR(VLOOKUP($A4692,HeadJournal!$A$1:$NTR$890,COLUMN(HeadJournal!C$1),0),"")</f>
        <v>iHerb_AV CYG0792</v>
      </c>
      <c r="D4692" s="125" t="str">
        <f>IFERROR(VLOOKUP($A4692,HeadJournal!$A$1:$NTR$890,COLUMN(HeadJournal!D$1),0),"")</f>
        <v>Доставлен</v>
      </c>
      <c r="E4692" s="95">
        <f>IFERROR(VLOOKUP($A4692,HeadJournal!$A$1:$NTR$890,COLUMN(HeadJournal!G$1),0),"")</f>
        <v>45814</v>
      </c>
      <c r="F4692" s="95" t="str">
        <f t="shared" si="360"/>
        <v>2025 06</v>
      </c>
      <c r="G4692" s="97" t="s">
        <v>5</v>
      </c>
      <c r="H4692" s="161" t="s">
        <v>3822</v>
      </c>
      <c r="I4692" s="97" t="s">
        <v>2009</v>
      </c>
      <c r="J4692" s="97" t="s">
        <v>3823</v>
      </c>
      <c r="K4692" s="29">
        <v>11.42</v>
      </c>
      <c r="L4692" s="29">
        <v>-2.2799999999999998</v>
      </c>
      <c r="M4692" s="30">
        <f>IFERROR(VLOOKUP($A4692,HeadJournal!$A$1:$J$890,COLUMN(HeadJournal!I$1),0)*($K4692+$L4692)/(SUMIF($A:$A,$A4692,$K:$K)+SUMIF($A:$A,$A4692,$L:$L)),0)</f>
        <v>-0.93058854385228706</v>
      </c>
      <c r="N4692" s="30">
        <f>IFERROR((VLOOKUP($A4692,HeadJournal!$A$1:$K$890,COLUMN(HeadJournal!K$1),0)-VLOOKUP($A4692,HeadJournal!$A$1:$K$890,COLUMN(HeadJournal!J$1),0))*($K4692+$L4692)/(SUMIF($A:$A,$A4692,$K:$K)+SUMIF($A:$A,$A4692,$L:$L)),0)</f>
        <v>-1.3626438533040947E-15</v>
      </c>
      <c r="O4692" s="30">
        <f>IFERROR((VLOOKUP($A4692,HeadJournal!$A$1:$L$890,COLUMN(HeadJournal!L$1),0)*($K4692+$L4692)/(SUMIF($A:$A,$A4692,$K:$K)+SUMIF($A:$A,$A4692,$L:$L)))/VLOOKUP($A4692,HeadJournal!$A$1:$L$890,COLUMN(HeadJournal!H$1),0),0)</f>
        <v>0.36040888638702406</v>
      </c>
      <c r="P4692" s="30">
        <f>IFERROR(SUM(K4692:O4692)*VLOOKUP($A4692,HeadJournal!$A$1:$L$890,COLUMN(HeadJournal!H$1),0),0)</f>
        <v>767.60626031612787</v>
      </c>
      <c r="Q4692" s="29">
        <v>1800</v>
      </c>
      <c r="R4692" s="31">
        <v>45843</v>
      </c>
      <c r="S4692" s="31" t="s">
        <v>3206</v>
      </c>
      <c r="T4692" s="95" t="str">
        <f t="shared" si="361"/>
        <v>2025 07</v>
      </c>
      <c r="U4692" s="32">
        <f t="shared" si="358"/>
        <v>1032.3937396838721</v>
      </c>
      <c r="V4692" s="22">
        <f t="shared" si="359"/>
        <v>1.3449522145099433</v>
      </c>
      <c r="X4692" s="33"/>
      <c r="Y4692" s="33"/>
    </row>
    <row r="4693" spans="1:25" x14ac:dyDescent="0.2">
      <c r="A4693" s="93" t="s">
        <v>3827</v>
      </c>
      <c r="B4693" s="94" t="str">
        <f>IFERROR(VLOOKUP($A4693,HeadJournal!$A$1:$NTR$890,COLUMN(HeadJournal!B$1),0),"")</f>
        <v>720000700378</v>
      </c>
      <c r="C4693" s="94" t="str">
        <f>IFERROR(VLOOKUP($A4693,HeadJournal!$A$1:$NTR$890,COLUMN(HeadJournal!C$1),0),"")</f>
        <v>iHerb_AV CYG0792</v>
      </c>
      <c r="D4693" s="125" t="str">
        <f>IFERROR(VLOOKUP($A4693,HeadJournal!$A$1:$NTR$890,COLUMN(HeadJournal!D$1),0),"")</f>
        <v>Доставлен</v>
      </c>
      <c r="E4693" s="95">
        <f>IFERROR(VLOOKUP($A4693,HeadJournal!$A$1:$NTR$890,COLUMN(HeadJournal!G$1),0),"")</f>
        <v>45814</v>
      </c>
      <c r="F4693" s="95" t="str">
        <f t="shared" si="360"/>
        <v>2025 06</v>
      </c>
      <c r="G4693" s="97" t="s">
        <v>5</v>
      </c>
      <c r="H4693" s="161" t="s">
        <v>2504</v>
      </c>
      <c r="I4693" s="97" t="s">
        <v>2036</v>
      </c>
      <c r="J4693" s="97" t="s">
        <v>3739</v>
      </c>
      <c r="K4693" s="29">
        <v>15.08</v>
      </c>
      <c r="L4693" s="29">
        <v>-3.0150000000000001</v>
      </c>
      <c r="M4693" s="30">
        <f>IFERROR(VLOOKUP($A4693,HeadJournal!$A$1:$J$890,COLUMN(HeadJournal!I$1),0)*($K4693+$L4693)/(SUMIF($A:$A,$A4693,$K:$K)+SUMIF($A:$A,$A4693,$L:$L)),0)</f>
        <v>-1.2283972408728492</v>
      </c>
      <c r="N4693" s="30">
        <f>IFERROR((VLOOKUP($A4693,HeadJournal!$A$1:$K$890,COLUMN(HeadJournal!K$1),0)-VLOOKUP($A4693,HeadJournal!$A$1:$K$890,COLUMN(HeadJournal!J$1),0))*($K4693+$L4693)/(SUMIF($A:$A,$A4693,$K:$K)+SUMIF($A:$A,$A4693,$L:$L)),0)</f>
        <v>-1.7987197035135559E-15</v>
      </c>
      <c r="O4693" s="30">
        <f>IFERROR((VLOOKUP($A4693,HeadJournal!$A$1:$L$890,COLUMN(HeadJournal!L$1),0)*($K4693+$L4693)/(SUMIF($A:$A,$A4693,$K:$K)+SUMIF($A:$A,$A4693,$L:$L)))/VLOOKUP($A4693,HeadJournal!$A$1:$L$890,COLUMN(HeadJournal!H$1),0),0)</f>
        <v>0.47574761643976426</v>
      </c>
      <c r="P4693" s="30">
        <f>IFERROR(SUM(K4693:O4693)*VLOOKUP($A4693,HeadJournal!$A$1:$L$890,COLUMN(HeadJournal!H$1),0),0)</f>
        <v>1013.2570602531819</v>
      </c>
      <c r="Q4693" s="29">
        <v>2200</v>
      </c>
      <c r="R4693" s="31">
        <v>45841</v>
      </c>
      <c r="S4693" s="31" t="s">
        <v>3235</v>
      </c>
      <c r="T4693" s="95" t="str">
        <f t="shared" si="361"/>
        <v>2025 07</v>
      </c>
      <c r="U4693" s="32">
        <f t="shared" si="358"/>
        <v>1186.7429397468181</v>
      </c>
      <c r="V4693" s="22">
        <f t="shared" si="359"/>
        <v>1.1712160578977733</v>
      </c>
      <c r="X4693" s="33"/>
      <c r="Y4693" s="33"/>
    </row>
    <row r="4694" spans="1:25" x14ac:dyDescent="0.2">
      <c r="A4694" s="93" t="s">
        <v>3827</v>
      </c>
      <c r="B4694" s="94" t="str">
        <f>IFERROR(VLOOKUP($A4694,HeadJournal!$A$1:$NTR$890,COLUMN(HeadJournal!B$1),0),"")</f>
        <v>720000700378</v>
      </c>
      <c r="C4694" s="94" t="str">
        <f>IFERROR(VLOOKUP($A4694,HeadJournal!$A$1:$NTR$890,COLUMN(HeadJournal!C$1),0),"")</f>
        <v>iHerb_AV CYG0792</v>
      </c>
      <c r="D4694" s="125" t="str">
        <f>IFERROR(VLOOKUP($A4694,HeadJournal!$A$1:$NTR$890,COLUMN(HeadJournal!D$1),0),"")</f>
        <v>Доставлен</v>
      </c>
      <c r="E4694" s="95">
        <f>IFERROR(VLOOKUP($A4694,HeadJournal!$A$1:$NTR$890,COLUMN(HeadJournal!G$1),0),"")</f>
        <v>45814</v>
      </c>
      <c r="F4694" s="95" t="str">
        <f t="shared" si="360"/>
        <v>2025 06</v>
      </c>
      <c r="G4694" s="97" t="s">
        <v>5</v>
      </c>
      <c r="H4694" s="161" t="s">
        <v>2504</v>
      </c>
      <c r="I4694" s="97" t="s">
        <v>2036</v>
      </c>
      <c r="J4694" s="97" t="s">
        <v>3739</v>
      </c>
      <c r="K4694" s="29">
        <v>15.08</v>
      </c>
      <c r="L4694" s="29">
        <v>-3.0150000000000001</v>
      </c>
      <c r="M4694" s="30">
        <f>IFERROR(VLOOKUP($A4694,HeadJournal!$A$1:$J$890,COLUMN(HeadJournal!I$1),0)*($K4694+$L4694)/(SUMIF($A:$A,$A4694,$K:$K)+SUMIF($A:$A,$A4694,$L:$L)),0)</f>
        <v>-1.2283972408728492</v>
      </c>
      <c r="N4694" s="30">
        <f>IFERROR((VLOOKUP($A4694,HeadJournal!$A$1:$K$890,COLUMN(HeadJournal!K$1),0)-VLOOKUP($A4694,HeadJournal!$A$1:$K$890,COLUMN(HeadJournal!J$1),0))*($K4694+$L4694)/(SUMIF($A:$A,$A4694,$K:$K)+SUMIF($A:$A,$A4694,$L:$L)),0)</f>
        <v>-1.7987197035135559E-15</v>
      </c>
      <c r="O4694" s="30">
        <f>IFERROR((VLOOKUP($A4694,HeadJournal!$A$1:$L$890,COLUMN(HeadJournal!L$1),0)*($K4694+$L4694)/(SUMIF($A:$A,$A4694,$K:$K)+SUMIF($A:$A,$A4694,$L:$L)))/VLOOKUP($A4694,HeadJournal!$A$1:$L$890,COLUMN(HeadJournal!H$1),0),0)</f>
        <v>0.47574761643976426</v>
      </c>
      <c r="P4694" s="30">
        <f>IFERROR(SUM(K4694:O4694)*VLOOKUP($A4694,HeadJournal!$A$1:$L$890,COLUMN(HeadJournal!H$1),0),0)</f>
        <v>1013.2570602531819</v>
      </c>
      <c r="Q4694" s="29">
        <v>2000</v>
      </c>
      <c r="R4694" s="31">
        <v>45858</v>
      </c>
      <c r="S4694" s="31" t="s">
        <v>3226</v>
      </c>
      <c r="T4694" s="95" t="str">
        <f t="shared" si="361"/>
        <v>2025 07</v>
      </c>
      <c r="U4694" s="32">
        <f t="shared" si="358"/>
        <v>986.74293974681814</v>
      </c>
      <c r="V4694" s="22">
        <f t="shared" si="359"/>
        <v>0.97383277990706651</v>
      </c>
      <c r="X4694" s="33"/>
      <c r="Y4694" s="33"/>
    </row>
    <row r="4695" spans="1:25" x14ac:dyDescent="0.2">
      <c r="A4695" s="93" t="s">
        <v>3827</v>
      </c>
      <c r="B4695" s="94" t="str">
        <f>IFERROR(VLOOKUP($A4695,HeadJournal!$A$1:$NTR$890,COLUMN(HeadJournal!B$1),0),"")</f>
        <v>720000700378</v>
      </c>
      <c r="C4695" s="94" t="str">
        <f>IFERROR(VLOOKUP($A4695,HeadJournal!$A$1:$NTR$890,COLUMN(HeadJournal!C$1),0),"")</f>
        <v>iHerb_AV CYG0792</v>
      </c>
      <c r="D4695" s="125" t="str">
        <f>IFERROR(VLOOKUP($A4695,HeadJournal!$A$1:$NTR$890,COLUMN(HeadJournal!D$1),0),"")</f>
        <v>Доставлен</v>
      </c>
      <c r="E4695" s="95">
        <f>IFERROR(VLOOKUP($A4695,HeadJournal!$A$1:$NTR$890,COLUMN(HeadJournal!G$1),0),"")</f>
        <v>45814</v>
      </c>
      <c r="F4695" s="95" t="str">
        <f t="shared" si="360"/>
        <v>2025 06</v>
      </c>
      <c r="G4695" s="97" t="s">
        <v>5</v>
      </c>
      <c r="H4695" s="161" t="s">
        <v>2843</v>
      </c>
      <c r="I4695" s="97" t="s">
        <v>2839</v>
      </c>
      <c r="J4695" s="97" t="s">
        <v>2844</v>
      </c>
      <c r="K4695" s="29">
        <v>18.03</v>
      </c>
      <c r="L4695" s="29">
        <v>0</v>
      </c>
      <c r="M4695" s="30">
        <f>IFERROR(VLOOKUP($A4695,HeadJournal!$A$1:$J$890,COLUMN(HeadJournal!I$1),0)*($K4695+$L4695)/(SUMIF($A:$A,$A4695,$K:$K)+SUMIF($A:$A,$A4695,$L:$L)),0)</f>
        <v>-1.8357233529164918</v>
      </c>
      <c r="N4695" s="30">
        <f>IFERROR((VLOOKUP($A4695,HeadJournal!$A$1:$K$890,COLUMN(HeadJournal!K$1),0)-VLOOKUP($A4695,HeadJournal!$A$1:$K$890,COLUMN(HeadJournal!J$1),0))*($K4695+$L4695)/(SUMIF($A:$A,$A4695,$K:$K)+SUMIF($A:$A,$A4695,$L:$L)),0)</f>
        <v>-2.6880162664193467E-15</v>
      </c>
      <c r="O4695" s="30">
        <f>IFERROR((VLOOKUP($A4695,HeadJournal!$A$1:$L$890,COLUMN(HeadJournal!L$1),0)*($K4695+$L4695)/(SUMIF($A:$A,$A4695,$K:$K)+SUMIF($A:$A,$A4695,$L:$L)))/VLOOKUP($A4695,HeadJournal!$A$1:$L$890,COLUMN(HeadJournal!H$1),0),0)</f>
        <v>0.71095976165842933</v>
      </c>
      <c r="P4695" s="30">
        <f>IFERROR(SUM(K4695:O4695)*VLOOKUP($A4695,HeadJournal!$A$1:$L$890,COLUMN(HeadJournal!H$1),0),0)</f>
        <v>1514.2167257658411</v>
      </c>
      <c r="Q4695" s="29">
        <v>2800</v>
      </c>
      <c r="R4695" s="31">
        <v>45923</v>
      </c>
      <c r="S4695" s="31" t="s">
        <v>3497</v>
      </c>
      <c r="T4695" s="95" t="str">
        <f t="shared" si="361"/>
        <v>2025 09</v>
      </c>
      <c r="U4695" s="32">
        <f t="shared" si="358"/>
        <v>1285.7832742341589</v>
      </c>
      <c r="V4695" s="22">
        <f t="shared" si="359"/>
        <v>0.84914084777649768</v>
      </c>
      <c r="X4695" s="33"/>
      <c r="Y4695" s="33"/>
    </row>
    <row r="4696" spans="1:25" x14ac:dyDescent="0.2">
      <c r="A4696" s="93" t="s">
        <v>3827</v>
      </c>
      <c r="B4696" s="94" t="str">
        <f>IFERROR(VLOOKUP($A4696,HeadJournal!$A$1:$NTR$890,COLUMN(HeadJournal!B$1),0),"")</f>
        <v>720000700378</v>
      </c>
      <c r="C4696" s="94" t="str">
        <f>IFERROR(VLOOKUP($A4696,HeadJournal!$A$1:$NTR$890,COLUMN(HeadJournal!C$1),0),"")</f>
        <v>iHerb_AV CYG0792</v>
      </c>
      <c r="D4696" s="125" t="str">
        <f>IFERROR(VLOOKUP($A4696,HeadJournal!$A$1:$NTR$890,COLUMN(HeadJournal!D$1),0),"")</f>
        <v>Доставлен</v>
      </c>
      <c r="E4696" s="95">
        <f>IFERROR(VLOOKUP($A4696,HeadJournal!$A$1:$NTR$890,COLUMN(HeadJournal!G$1),0),"")</f>
        <v>45814</v>
      </c>
      <c r="F4696" s="95" t="str">
        <f t="shared" si="360"/>
        <v>2025 06</v>
      </c>
      <c r="G4696" s="97" t="s">
        <v>5</v>
      </c>
      <c r="H4696" s="161" t="s">
        <v>3824</v>
      </c>
      <c r="I4696" s="97" t="s">
        <v>3825</v>
      </c>
      <c r="J4696" s="97" t="s">
        <v>3826</v>
      </c>
      <c r="K4696" s="29">
        <v>9.4</v>
      </c>
      <c r="L4696" s="29">
        <v>0</v>
      </c>
      <c r="M4696" s="30">
        <f>IFERROR(VLOOKUP($A4696,HeadJournal!$A$1:$J$890,COLUMN(HeadJournal!I$1),0)*($K4696+$L4696)/(SUMIF($A:$A,$A4696,$K:$K)+SUMIF($A:$A,$A4696,$L:$L)),0)</f>
        <v>-0.95706042803189251</v>
      </c>
      <c r="N4696" s="30">
        <f>IFERROR((VLOOKUP($A4696,HeadJournal!$A$1:$K$890,COLUMN(HeadJournal!K$1),0)-VLOOKUP($A4696,HeadJournal!$A$1:$K$890,COLUMN(HeadJournal!J$1),0))*($K4696+$L4696)/(SUMIF($A:$A,$A4696,$K:$K)+SUMIF($A:$A,$A4696,$L:$L)),0)</f>
        <v>-1.4014061511004913E-15</v>
      </c>
      <c r="O4696" s="30">
        <f>IFERROR((VLOOKUP($A4696,HeadJournal!$A$1:$L$890,COLUMN(HeadJournal!L$1),0)*($K4696+$L4696)/(SUMIF($A:$A,$A4696,$K:$K)+SUMIF($A:$A,$A4696,$L:$L)))/VLOOKUP($A4696,HeadJournal!$A$1:$L$890,COLUMN(HeadJournal!H$1),0),0)</f>
        <v>0.37066121794726764</v>
      </c>
      <c r="P4696" s="30">
        <f>IFERROR(SUM(K4696:O4696)*VLOOKUP($A4696,HeadJournal!$A$1:$L$890,COLUMN(HeadJournal!H$1),0),0)</f>
        <v>789.44188697719937</v>
      </c>
      <c r="Q4696" s="29">
        <v>1500</v>
      </c>
      <c r="R4696" s="31">
        <v>45846</v>
      </c>
      <c r="S4696" s="31" t="s">
        <v>4533</v>
      </c>
      <c r="T4696" s="95" t="str">
        <f t="shared" si="361"/>
        <v>2025 07</v>
      </c>
      <c r="U4696" s="32">
        <f t="shared" si="358"/>
        <v>710.55811302280063</v>
      </c>
      <c r="V4696" s="22">
        <f t="shared" si="359"/>
        <v>0.9000765284238369</v>
      </c>
      <c r="X4696" s="33"/>
      <c r="Y4696" s="33"/>
    </row>
    <row r="4697" spans="1:25" x14ac:dyDescent="0.2">
      <c r="A4697" s="93" t="s">
        <v>3830</v>
      </c>
      <c r="B4697" s="94" t="str">
        <f>IFERROR(VLOOKUP($A4697,HeadJournal!$A$1:$NTR$890,COLUMN(HeadJournal!B$1),0),"")</f>
        <v>720000699777</v>
      </c>
      <c r="C4697" s="94" t="str">
        <f>IFERROR(VLOOKUP($A4697,HeadJournal!$A$1:$NTR$890,COLUMN(HeadJournal!C$1),0),"")</f>
        <v>iHerb_VP DFD1605</v>
      </c>
      <c r="D4697" s="125" t="str">
        <f>IFERROR(VLOOKUP($A4697,HeadJournal!$A$1:$NTR$890,COLUMN(HeadJournal!D$1),0),"")</f>
        <v>Доставлен</v>
      </c>
      <c r="E4697" s="95">
        <f>IFERROR(VLOOKUP($A4697,HeadJournal!$A$1:$NTR$890,COLUMN(HeadJournal!G$1),0),"")</f>
        <v>45813</v>
      </c>
      <c r="F4697" s="95" t="str">
        <f t="shared" si="360"/>
        <v>2025 06</v>
      </c>
      <c r="G4697" s="97" t="s">
        <v>5</v>
      </c>
      <c r="H4697" s="161" t="s">
        <v>3585</v>
      </c>
      <c r="I4697" s="97" t="s">
        <v>2052</v>
      </c>
      <c r="J4697" s="97" t="s">
        <v>3586</v>
      </c>
      <c r="K4697" s="29">
        <v>45.22</v>
      </c>
      <c r="L4697" s="29">
        <v>-13.57</v>
      </c>
      <c r="M4697" s="30">
        <f>IFERROR(VLOOKUP($A4697,HeadJournal!$A$1:$J$890,COLUMN(HeadJournal!I$1),0)*($K4697+$L4697)/(SUMIF($A:$A,$A4697,$K:$K)+SUMIF($A:$A,$A4697,$L:$L)),0)</f>
        <v>-3.1098740669273353</v>
      </c>
      <c r="N4697" s="30">
        <f>IFERROR((VLOOKUP($A4697,HeadJournal!$A$1:$K$890,COLUMN(HeadJournal!K$1),0)-VLOOKUP($A4697,HeadJournal!$A$1:$K$890,COLUMN(HeadJournal!J$1),0))*($K4697+$L4697)/(SUMIF($A:$A,$A4697,$K:$K)+SUMIF($A:$A,$A4697,$L:$L)),0)</f>
        <v>9.135704092543412E-15</v>
      </c>
      <c r="O4697" s="30">
        <f>IFERROR((VLOOKUP($A4697,HeadJournal!$A$1:$L$890,COLUMN(HeadJournal!L$1),0)*($K4697+$L4697)/(SUMIF($A:$A,$A4697,$K:$K)+SUMIF($A:$A,$A4697,$L:$L)))/VLOOKUP($A4697,HeadJournal!$A$1:$L$890,COLUMN(HeadJournal!H$1),0),0)</f>
        <v>1.2085954487791688</v>
      </c>
      <c r="P4697" s="30">
        <f>IFERROR(SUM(K4697:O4697)*VLOOKUP($A4697,HeadJournal!$A$1:$L$890,COLUMN(HeadJournal!H$1),0),0)</f>
        <v>2663.663121413701</v>
      </c>
      <c r="Q4697" s="29">
        <v>4700</v>
      </c>
      <c r="R4697" s="31">
        <v>45840</v>
      </c>
      <c r="S4697" s="31"/>
      <c r="T4697" s="95" t="str">
        <f t="shared" si="361"/>
        <v>2025 07</v>
      </c>
      <c r="U4697" s="32">
        <f t="shared" si="358"/>
        <v>2036.336878586299</v>
      </c>
      <c r="V4697" s="22">
        <f t="shared" si="359"/>
        <v>0.76448739415123279</v>
      </c>
      <c r="X4697" s="33"/>
      <c r="Y4697" s="33"/>
    </row>
    <row r="4698" spans="1:25" x14ac:dyDescent="0.2">
      <c r="A4698" s="93" t="s">
        <v>3830</v>
      </c>
      <c r="B4698" s="94" t="str">
        <f>IFERROR(VLOOKUP($A4698,HeadJournal!$A$1:$NTR$890,COLUMN(HeadJournal!B$1),0),"")</f>
        <v>720000699777</v>
      </c>
      <c r="C4698" s="94" t="str">
        <f>IFERROR(VLOOKUP($A4698,HeadJournal!$A$1:$NTR$890,COLUMN(HeadJournal!C$1),0),"")</f>
        <v>iHerb_VP DFD1605</v>
      </c>
      <c r="D4698" s="125" t="str">
        <f>IFERROR(VLOOKUP($A4698,HeadJournal!$A$1:$NTR$890,COLUMN(HeadJournal!D$1),0),"")</f>
        <v>Доставлен</v>
      </c>
      <c r="E4698" s="95">
        <f>IFERROR(VLOOKUP($A4698,HeadJournal!$A$1:$NTR$890,COLUMN(HeadJournal!G$1),0),"")</f>
        <v>45813</v>
      </c>
      <c r="F4698" s="95" t="str">
        <f t="shared" si="360"/>
        <v>2025 06</v>
      </c>
      <c r="G4698" s="97" t="s">
        <v>5</v>
      </c>
      <c r="H4698" s="161" t="s">
        <v>2047</v>
      </c>
      <c r="I4698" s="97" t="s">
        <v>2048</v>
      </c>
      <c r="J4698" s="97" t="s">
        <v>3828</v>
      </c>
      <c r="K4698" s="29">
        <v>36.25</v>
      </c>
      <c r="L4698" s="29">
        <v>-10.876666666666667</v>
      </c>
      <c r="M4698" s="30">
        <f>IFERROR(VLOOKUP($A4698,HeadJournal!$A$1:$J$890,COLUMN(HeadJournal!I$1),0)*($K4698+$L4698)/(SUMIF($A:$A,$A4698,$K:$K)+SUMIF($A:$A,$A4698,$L:$L)),0)</f>
        <v>-2.4931396943076227</v>
      </c>
      <c r="N4698" s="30">
        <f>IFERROR((VLOOKUP($A4698,HeadJournal!$A$1:$K$890,COLUMN(HeadJournal!K$1),0)-VLOOKUP($A4698,HeadJournal!$A$1:$K$890,COLUMN(HeadJournal!J$1),0))*($K4698+$L4698)/(SUMIF($A:$A,$A4698,$K:$K)+SUMIF($A:$A,$A4698,$L:$L)),0)</f>
        <v>7.3239578254281688E-15</v>
      </c>
      <c r="O4698" s="30">
        <f>IFERROR((VLOOKUP($A4698,HeadJournal!$A$1:$L$890,COLUMN(HeadJournal!L$1),0)*($K4698+$L4698)/(SUMIF($A:$A,$A4698,$K:$K)+SUMIF($A:$A,$A4698,$L:$L)))/VLOOKUP($A4698,HeadJournal!$A$1:$L$890,COLUMN(HeadJournal!H$1),0),0)</f>
        <v>0.96891296009552752</v>
      </c>
      <c r="P4698" s="30">
        <f>IFERROR(SUM(K4698:O4698)*VLOOKUP($A4698,HeadJournal!$A$1:$L$890,COLUMN(HeadJournal!H$1),0),0)</f>
        <v>2135.4190289837907</v>
      </c>
      <c r="Q4698" s="29">
        <v>4500</v>
      </c>
      <c r="R4698" s="31">
        <v>45841</v>
      </c>
      <c r="S4698" s="31" t="s">
        <v>3235</v>
      </c>
      <c r="T4698" s="95" t="str">
        <f t="shared" si="361"/>
        <v>2025 07</v>
      </c>
      <c r="U4698" s="32">
        <f t="shared" si="358"/>
        <v>2364.5809710162093</v>
      </c>
      <c r="V4698" s="22">
        <f t="shared" si="359"/>
        <v>1.1073147419415257</v>
      </c>
      <c r="X4698" s="33"/>
      <c r="Y4698" s="33"/>
    </row>
    <row r="4699" spans="1:25" x14ac:dyDescent="0.2">
      <c r="A4699" s="93" t="s">
        <v>3830</v>
      </c>
      <c r="B4699" s="94" t="str">
        <f>IFERROR(VLOOKUP($A4699,HeadJournal!$A$1:$NTR$890,COLUMN(HeadJournal!B$1),0),"")</f>
        <v>720000699777</v>
      </c>
      <c r="C4699" s="94" t="str">
        <f>IFERROR(VLOOKUP($A4699,HeadJournal!$A$1:$NTR$890,COLUMN(HeadJournal!C$1),0),"")</f>
        <v>iHerb_VP DFD1605</v>
      </c>
      <c r="D4699" s="125" t="str">
        <f>IFERROR(VLOOKUP($A4699,HeadJournal!$A$1:$NTR$890,COLUMN(HeadJournal!D$1),0),"")</f>
        <v>Доставлен</v>
      </c>
      <c r="E4699" s="95">
        <f>IFERROR(VLOOKUP($A4699,HeadJournal!$A$1:$NTR$890,COLUMN(HeadJournal!G$1),0),"")</f>
        <v>45813</v>
      </c>
      <c r="F4699" s="95" t="str">
        <f t="shared" si="360"/>
        <v>2025 06</v>
      </c>
      <c r="G4699" s="97" t="s">
        <v>5</v>
      </c>
      <c r="H4699" s="161" t="s">
        <v>2047</v>
      </c>
      <c r="I4699" s="97" t="s">
        <v>2048</v>
      </c>
      <c r="J4699" s="97" t="s">
        <v>3828</v>
      </c>
      <c r="K4699" s="29">
        <v>36.25</v>
      </c>
      <c r="L4699" s="29">
        <v>-10.876666666666667</v>
      </c>
      <c r="M4699" s="30">
        <f>IFERROR(VLOOKUP($A4699,HeadJournal!$A$1:$J$890,COLUMN(HeadJournal!I$1),0)*($K4699+$L4699)/(SUMIF($A:$A,$A4699,$K:$K)+SUMIF($A:$A,$A4699,$L:$L)),0)</f>
        <v>-2.4931396943076227</v>
      </c>
      <c r="N4699" s="30">
        <f>IFERROR((VLOOKUP($A4699,HeadJournal!$A$1:$K$890,COLUMN(HeadJournal!K$1),0)-VLOOKUP($A4699,HeadJournal!$A$1:$K$890,COLUMN(HeadJournal!J$1),0))*($K4699+$L4699)/(SUMIF($A:$A,$A4699,$K:$K)+SUMIF($A:$A,$A4699,$L:$L)),0)</f>
        <v>7.3239578254281688E-15</v>
      </c>
      <c r="O4699" s="30">
        <f>IFERROR((VLOOKUP($A4699,HeadJournal!$A$1:$L$890,COLUMN(HeadJournal!L$1),0)*($K4699+$L4699)/(SUMIF($A:$A,$A4699,$K:$K)+SUMIF($A:$A,$A4699,$L:$L)))/VLOOKUP($A4699,HeadJournal!$A$1:$L$890,COLUMN(HeadJournal!H$1),0),0)</f>
        <v>0.96891296009552752</v>
      </c>
      <c r="P4699" s="30">
        <f>IFERROR(SUM(K4699:O4699)*VLOOKUP($A4699,HeadJournal!$A$1:$L$890,COLUMN(HeadJournal!H$1),0),0)</f>
        <v>2135.4190289837907</v>
      </c>
      <c r="Q4699" s="29">
        <v>4500</v>
      </c>
      <c r="R4699" s="31">
        <v>45841</v>
      </c>
      <c r="S4699" s="31" t="s">
        <v>3235</v>
      </c>
      <c r="T4699" s="95" t="str">
        <f t="shared" si="361"/>
        <v>2025 07</v>
      </c>
      <c r="U4699" s="32">
        <f t="shared" si="358"/>
        <v>2364.5809710162093</v>
      </c>
      <c r="V4699" s="22">
        <f t="shared" si="359"/>
        <v>1.1073147419415257</v>
      </c>
      <c r="X4699" s="33"/>
      <c r="Y4699" s="33"/>
    </row>
    <row r="4700" spans="1:25" x14ac:dyDescent="0.2">
      <c r="A4700" s="93" t="s">
        <v>3830</v>
      </c>
      <c r="B4700" s="94" t="str">
        <f>IFERROR(VLOOKUP($A4700,HeadJournal!$A$1:$NTR$890,COLUMN(HeadJournal!B$1),0),"")</f>
        <v>720000699777</v>
      </c>
      <c r="C4700" s="94" t="str">
        <f>IFERROR(VLOOKUP($A4700,HeadJournal!$A$1:$NTR$890,COLUMN(HeadJournal!C$1),0),"")</f>
        <v>iHerb_VP DFD1605</v>
      </c>
      <c r="D4700" s="125" t="str">
        <f>IFERROR(VLOOKUP($A4700,HeadJournal!$A$1:$NTR$890,COLUMN(HeadJournal!D$1),0),"")</f>
        <v>Доставлен</v>
      </c>
      <c r="E4700" s="95">
        <f>IFERROR(VLOOKUP($A4700,HeadJournal!$A$1:$NTR$890,COLUMN(HeadJournal!G$1),0),"")</f>
        <v>45813</v>
      </c>
      <c r="F4700" s="95" t="str">
        <f t="shared" si="360"/>
        <v>2025 06</v>
      </c>
      <c r="G4700" s="97" t="s">
        <v>5</v>
      </c>
      <c r="H4700" s="161" t="s">
        <v>2047</v>
      </c>
      <c r="I4700" s="97" t="s">
        <v>2048</v>
      </c>
      <c r="J4700" s="97" t="s">
        <v>3828</v>
      </c>
      <c r="K4700" s="29">
        <v>36.25</v>
      </c>
      <c r="L4700" s="29">
        <v>-10.876666666666667</v>
      </c>
      <c r="M4700" s="30">
        <f>IFERROR(VLOOKUP($A4700,HeadJournal!$A$1:$J$890,COLUMN(HeadJournal!I$1),0)*($K4700+$L4700)/(SUMIF($A:$A,$A4700,$K:$K)+SUMIF($A:$A,$A4700,$L:$L)),0)</f>
        <v>-2.4931396943076227</v>
      </c>
      <c r="N4700" s="30">
        <f>IFERROR((VLOOKUP($A4700,HeadJournal!$A$1:$K$890,COLUMN(HeadJournal!K$1),0)-VLOOKUP($A4700,HeadJournal!$A$1:$K$890,COLUMN(HeadJournal!J$1),0))*($K4700+$L4700)/(SUMIF($A:$A,$A4700,$K:$K)+SUMIF($A:$A,$A4700,$L:$L)),0)</f>
        <v>7.3239578254281688E-15</v>
      </c>
      <c r="O4700" s="30">
        <f>IFERROR((VLOOKUP($A4700,HeadJournal!$A$1:$L$890,COLUMN(HeadJournal!L$1),0)*($K4700+$L4700)/(SUMIF($A:$A,$A4700,$K:$K)+SUMIF($A:$A,$A4700,$L:$L)))/VLOOKUP($A4700,HeadJournal!$A$1:$L$890,COLUMN(HeadJournal!H$1),0),0)</f>
        <v>0.96891296009552752</v>
      </c>
      <c r="P4700" s="30">
        <f>IFERROR(SUM(K4700:O4700)*VLOOKUP($A4700,HeadJournal!$A$1:$L$890,COLUMN(HeadJournal!H$1),0),0)</f>
        <v>2135.4190289837907</v>
      </c>
      <c r="Q4700" s="29">
        <v>4500</v>
      </c>
      <c r="R4700" s="31">
        <v>45846</v>
      </c>
      <c r="S4700" s="31" t="s">
        <v>3235</v>
      </c>
      <c r="T4700" s="95" t="str">
        <f t="shared" si="361"/>
        <v>2025 07</v>
      </c>
      <c r="U4700" s="32">
        <f t="shared" si="358"/>
        <v>2364.5809710162093</v>
      </c>
      <c r="V4700" s="22">
        <f t="shared" si="359"/>
        <v>1.1073147419415257</v>
      </c>
      <c r="X4700" s="33"/>
      <c r="Y4700" s="33"/>
    </row>
    <row r="4701" spans="1:25" x14ac:dyDescent="0.2">
      <c r="A4701" s="93" t="s">
        <v>3830</v>
      </c>
      <c r="B4701" s="94" t="str">
        <f>IFERROR(VLOOKUP($A4701,HeadJournal!$A$1:$NTR$890,COLUMN(HeadJournal!B$1),0),"")</f>
        <v>720000699777</v>
      </c>
      <c r="C4701" s="94" t="str">
        <f>IFERROR(VLOOKUP($A4701,HeadJournal!$A$1:$NTR$890,COLUMN(HeadJournal!C$1),0),"")</f>
        <v>iHerb_VP DFD1605</v>
      </c>
      <c r="D4701" s="125" t="str">
        <f>IFERROR(VLOOKUP($A4701,HeadJournal!$A$1:$NTR$890,COLUMN(HeadJournal!D$1),0),"")</f>
        <v>Доставлен</v>
      </c>
      <c r="E4701" s="95">
        <f>IFERROR(VLOOKUP($A4701,HeadJournal!$A$1:$NTR$890,COLUMN(HeadJournal!G$1),0),"")</f>
        <v>45813</v>
      </c>
      <c r="F4701" s="95" t="str">
        <f t="shared" si="360"/>
        <v>2025 06</v>
      </c>
      <c r="G4701" s="97" t="s">
        <v>5</v>
      </c>
      <c r="H4701" s="161" t="s">
        <v>2051</v>
      </c>
      <c r="I4701" s="97" t="s">
        <v>2052</v>
      </c>
      <c r="J4701" s="97" t="s">
        <v>3097</v>
      </c>
      <c r="K4701" s="29">
        <v>21.08</v>
      </c>
      <c r="L4701" s="29">
        <v>-6.3250000000000002</v>
      </c>
      <c r="M4701" s="30">
        <f>IFERROR(VLOOKUP($A4701,HeadJournal!$A$1:$J$890,COLUMN(HeadJournal!I$1),0)*($K4701+$L4701)/(SUMIF($A:$A,$A4701,$K:$K)+SUMIF($A:$A,$A4701,$L:$L)),0)</f>
        <v>-1.4498006906007215</v>
      </c>
      <c r="N4701" s="30">
        <f>IFERROR((VLOOKUP($A4701,HeadJournal!$A$1:$K$890,COLUMN(HeadJournal!K$1),0)-VLOOKUP($A4701,HeadJournal!$A$1:$K$890,COLUMN(HeadJournal!J$1),0))*($K4701+$L4701)/(SUMIF($A:$A,$A4701,$K:$K)+SUMIF($A:$A,$A4701,$L:$L)),0)</f>
        <v>4.2589988589408542E-15</v>
      </c>
      <c r="O4701" s="30">
        <f>IFERROR((VLOOKUP($A4701,HeadJournal!$A$1:$L$890,COLUMN(HeadJournal!L$1),0)*($K4701+$L4701)/(SUMIF($A:$A,$A4701,$K:$K)+SUMIF($A:$A,$A4701,$L:$L)))/VLOOKUP($A4701,HeadJournal!$A$1:$L$890,COLUMN(HeadJournal!H$1),0),0)</f>
        <v>0.56343841537872474</v>
      </c>
      <c r="P4701" s="30">
        <f>IFERROR(SUM(K4701:O4701)*VLOOKUP($A4701,HeadJournal!$A$1:$L$890,COLUMN(HeadJournal!H$1),0),0)</f>
        <v>1241.7803904094521</v>
      </c>
      <c r="Q4701" s="29">
        <v>2300</v>
      </c>
      <c r="R4701" s="31">
        <v>45866</v>
      </c>
      <c r="S4701" s="31" t="s">
        <v>3252</v>
      </c>
      <c r="T4701" s="95" t="str">
        <f t="shared" si="361"/>
        <v>2025 07</v>
      </c>
      <c r="U4701" s="32">
        <f t="shared" si="358"/>
        <v>1058.2196095905479</v>
      </c>
      <c r="V4701" s="22">
        <f t="shared" si="359"/>
        <v>0.85217935293826086</v>
      </c>
      <c r="X4701" s="33"/>
      <c r="Y4701" s="33"/>
    </row>
    <row r="4702" spans="1:25" x14ac:dyDescent="0.2">
      <c r="A4702" s="93" t="s">
        <v>3830</v>
      </c>
      <c r="B4702" s="94" t="str">
        <f>IFERROR(VLOOKUP($A4702,HeadJournal!$A$1:$NTR$890,COLUMN(HeadJournal!B$1),0),"")</f>
        <v>720000699777</v>
      </c>
      <c r="C4702" s="94" t="str">
        <f>IFERROR(VLOOKUP($A4702,HeadJournal!$A$1:$NTR$890,COLUMN(HeadJournal!C$1),0),"")</f>
        <v>iHerb_VP DFD1605</v>
      </c>
      <c r="D4702" s="125" t="str">
        <f>IFERROR(VLOOKUP($A4702,HeadJournal!$A$1:$NTR$890,COLUMN(HeadJournal!D$1),0),"")</f>
        <v>Доставлен</v>
      </c>
      <c r="E4702" s="95">
        <f>IFERROR(VLOOKUP($A4702,HeadJournal!$A$1:$NTR$890,COLUMN(HeadJournal!G$1),0),"")</f>
        <v>45813</v>
      </c>
      <c r="F4702" s="95" t="str">
        <f t="shared" si="360"/>
        <v>2025 06</v>
      </c>
      <c r="G4702" s="97" t="s">
        <v>5</v>
      </c>
      <c r="H4702" s="161" t="s">
        <v>2051</v>
      </c>
      <c r="I4702" s="97" t="s">
        <v>2052</v>
      </c>
      <c r="J4702" s="97" t="s">
        <v>3097</v>
      </c>
      <c r="K4702" s="29">
        <v>21.08</v>
      </c>
      <c r="L4702" s="29">
        <v>-6.3250000000000002</v>
      </c>
      <c r="M4702" s="30">
        <f>IFERROR(VLOOKUP($A4702,HeadJournal!$A$1:$J$890,COLUMN(HeadJournal!I$1),0)*($K4702+$L4702)/(SUMIF($A:$A,$A4702,$K:$K)+SUMIF($A:$A,$A4702,$L:$L)),0)</f>
        <v>-1.4498006906007215</v>
      </c>
      <c r="N4702" s="30">
        <f>IFERROR((VLOOKUP($A4702,HeadJournal!$A$1:$K$890,COLUMN(HeadJournal!K$1),0)-VLOOKUP($A4702,HeadJournal!$A$1:$K$890,COLUMN(HeadJournal!J$1),0))*($K4702+$L4702)/(SUMIF($A:$A,$A4702,$K:$K)+SUMIF($A:$A,$A4702,$L:$L)),0)</f>
        <v>4.2589988589408542E-15</v>
      </c>
      <c r="O4702" s="30">
        <f>IFERROR((VLOOKUP($A4702,HeadJournal!$A$1:$L$890,COLUMN(HeadJournal!L$1),0)*($K4702+$L4702)/(SUMIF($A:$A,$A4702,$K:$K)+SUMIF($A:$A,$A4702,$L:$L)))/VLOOKUP($A4702,HeadJournal!$A$1:$L$890,COLUMN(HeadJournal!H$1),0),0)</f>
        <v>0.56343841537872474</v>
      </c>
      <c r="P4702" s="30">
        <f>IFERROR(SUM(K4702:O4702)*VLOOKUP($A4702,HeadJournal!$A$1:$L$890,COLUMN(HeadJournal!H$1),0),0)</f>
        <v>1241.7803904094521</v>
      </c>
      <c r="Q4702" s="29">
        <v>2400</v>
      </c>
      <c r="R4702" s="31">
        <v>45879</v>
      </c>
      <c r="S4702" s="31"/>
      <c r="T4702" s="95" t="str">
        <f t="shared" si="361"/>
        <v>2025 08</v>
      </c>
      <c r="U4702" s="32">
        <f t="shared" si="358"/>
        <v>1158.2196095905479</v>
      </c>
      <c r="V4702" s="22">
        <f t="shared" si="359"/>
        <v>0.9327088900225331</v>
      </c>
      <c r="X4702" s="33"/>
      <c r="Y4702" s="33"/>
    </row>
    <row r="4703" spans="1:25" x14ac:dyDescent="0.2">
      <c r="A4703" s="93" t="s">
        <v>3830</v>
      </c>
      <c r="B4703" s="94" t="str">
        <f>IFERROR(VLOOKUP($A4703,HeadJournal!$A$1:$NTR$890,COLUMN(HeadJournal!B$1),0),"")</f>
        <v>720000699777</v>
      </c>
      <c r="C4703" s="94" t="str">
        <f>IFERROR(VLOOKUP($A4703,HeadJournal!$A$1:$NTR$890,COLUMN(HeadJournal!C$1),0),"")</f>
        <v>iHerb_VP DFD1605</v>
      </c>
      <c r="D4703" s="125" t="str">
        <f>IFERROR(VLOOKUP($A4703,HeadJournal!$A$1:$NTR$890,COLUMN(HeadJournal!D$1),0),"")</f>
        <v>Доставлен</v>
      </c>
      <c r="E4703" s="95">
        <f>IFERROR(VLOOKUP($A4703,HeadJournal!$A$1:$NTR$890,COLUMN(HeadJournal!G$1),0),"")</f>
        <v>45813</v>
      </c>
      <c r="F4703" s="95" t="str">
        <f t="shared" si="360"/>
        <v>2025 06</v>
      </c>
      <c r="G4703" s="97" t="s">
        <v>5</v>
      </c>
      <c r="H4703" s="161" t="s">
        <v>2565</v>
      </c>
      <c r="I4703" s="97" t="s">
        <v>2052</v>
      </c>
      <c r="J4703" s="97" t="s">
        <v>3829</v>
      </c>
      <c r="K4703" s="29">
        <v>30.08</v>
      </c>
      <c r="L4703" s="29">
        <v>-9.02</v>
      </c>
      <c r="M4703" s="30">
        <f>IFERROR(VLOOKUP($A4703,HeadJournal!$A$1:$J$890,COLUMN(HeadJournal!I$1),0)*($K4703+$L4703)/(SUMIF($A:$A,$A4703,$K:$K)+SUMIF($A:$A,$A4703,$L:$L)),0)</f>
        <v>-2.0693190473772414</v>
      </c>
      <c r="N4703" s="30">
        <f>IFERROR((VLOOKUP($A4703,HeadJournal!$A$1:$K$890,COLUMN(HeadJournal!K$1),0)-VLOOKUP($A4703,HeadJournal!$A$1:$K$890,COLUMN(HeadJournal!J$1),0))*($K4703+$L4703)/(SUMIF($A:$A,$A4703,$K:$K)+SUMIF($A:$A,$A4703,$L:$L)),0)</f>
        <v>6.0789234814838623E-15</v>
      </c>
      <c r="O4703" s="30">
        <f>IFERROR((VLOOKUP($A4703,HeadJournal!$A$1:$L$890,COLUMN(HeadJournal!L$1),0)*($K4703+$L4703)/(SUMIF($A:$A,$A4703,$K:$K)+SUMIF($A:$A,$A4703,$L:$L)))/VLOOKUP($A4703,HeadJournal!$A$1:$L$890,COLUMN(HeadJournal!H$1),0),0)</f>
        <v>0.80420284838196832</v>
      </c>
      <c r="P4703" s="30">
        <f>IFERROR(SUM(K4703:O4703)*VLOOKUP($A4703,HeadJournal!$A$1:$L$890,COLUMN(HeadJournal!H$1),0),0)</f>
        <v>1772.4090153861785</v>
      </c>
      <c r="Q4703" s="29">
        <v>3500</v>
      </c>
      <c r="R4703" s="31">
        <v>45962</v>
      </c>
      <c r="S4703" s="31" t="s">
        <v>3384</v>
      </c>
      <c r="T4703" s="95" t="str">
        <f t="shared" si="361"/>
        <v>2025 11</v>
      </c>
      <c r="U4703" s="32">
        <f t="shared" si="358"/>
        <v>1727.5909846138215</v>
      </c>
      <c r="V4703" s="22">
        <f t="shared" si="359"/>
        <v>0.97471349424241571</v>
      </c>
      <c r="X4703" s="33"/>
      <c r="Y4703" s="33"/>
    </row>
    <row r="4704" spans="1:25" x14ac:dyDescent="0.2">
      <c r="A4704" s="93" t="s">
        <v>3830</v>
      </c>
      <c r="B4704" s="94" t="str">
        <f>IFERROR(VLOOKUP($A4704,HeadJournal!$A$1:$NTR$890,COLUMN(HeadJournal!B$1),0),"")</f>
        <v>720000699777</v>
      </c>
      <c r="C4704" s="94" t="str">
        <f>IFERROR(VLOOKUP($A4704,HeadJournal!$A$1:$NTR$890,COLUMN(HeadJournal!C$1),0),"")</f>
        <v>iHerb_VP DFD1605</v>
      </c>
      <c r="D4704" s="125" t="str">
        <f>IFERROR(VLOOKUP($A4704,HeadJournal!$A$1:$NTR$890,COLUMN(HeadJournal!D$1),0),"")</f>
        <v>Доставлен</v>
      </c>
      <c r="E4704" s="95">
        <f>IFERROR(VLOOKUP($A4704,HeadJournal!$A$1:$NTR$890,COLUMN(HeadJournal!G$1),0),"")</f>
        <v>45813</v>
      </c>
      <c r="F4704" s="95" t="str">
        <f t="shared" si="360"/>
        <v>2025 06</v>
      </c>
      <c r="G4704" s="97" t="s">
        <v>5</v>
      </c>
      <c r="H4704" s="161" t="s">
        <v>2884</v>
      </c>
      <c r="I4704" s="97" t="s">
        <v>2839</v>
      </c>
      <c r="J4704" s="97" t="s">
        <v>2885</v>
      </c>
      <c r="K4704" s="29">
        <v>38.590000000000003</v>
      </c>
      <c r="L4704" s="29">
        <v>0</v>
      </c>
      <c r="M4704" s="30">
        <f>IFERROR(VLOOKUP($A4704,HeadJournal!$A$1:$J$890,COLUMN(HeadJournal!I$1),0)*($K4704+$L4704)/(SUMIF($A:$A,$A4704,$K:$K)+SUMIF($A:$A,$A4704,$L:$L)),0)</f>
        <v>-3.7917864215711181</v>
      </c>
      <c r="N4704" s="30">
        <f>IFERROR((VLOOKUP($A4704,HeadJournal!$A$1:$K$890,COLUMN(HeadJournal!K$1),0)-VLOOKUP($A4704,HeadJournal!$A$1:$K$890,COLUMN(HeadJournal!J$1),0))*($K4704+$L4704)/(SUMIF($A:$A,$A4704,$K:$K)+SUMIF($A:$A,$A4704,$L:$L)),0)</f>
        <v>1.1138920092614543E-14</v>
      </c>
      <c r="O4704" s="30">
        <f>IFERROR((VLOOKUP($A4704,HeadJournal!$A$1:$L$890,COLUMN(HeadJournal!L$1),0)*($K4704+$L4704)/(SUMIF($A:$A,$A4704,$K:$K)+SUMIF($A:$A,$A4704,$L:$L)))/VLOOKUP($A4704,HeadJournal!$A$1:$L$890,COLUMN(HeadJournal!H$1),0),0)</f>
        <v>1.4736081632982032</v>
      </c>
      <c r="P4704" s="30">
        <f>IFERROR(SUM(K4704:O4704)*VLOOKUP($A4704,HeadJournal!$A$1:$L$890,COLUMN(HeadJournal!H$1),0),0)</f>
        <v>3247.7333287631832</v>
      </c>
      <c r="Q4704" s="29">
        <v>4300</v>
      </c>
      <c r="R4704" s="31">
        <v>45843</v>
      </c>
      <c r="S4704" s="31"/>
      <c r="T4704" s="95" t="str">
        <f t="shared" si="361"/>
        <v>2025 07</v>
      </c>
      <c r="U4704" s="32">
        <f t="shared" si="358"/>
        <v>1052.2666712368168</v>
      </c>
      <c r="V4704" s="22">
        <f t="shared" si="359"/>
        <v>0.32400033029729874</v>
      </c>
      <c r="X4704" s="33"/>
      <c r="Y4704" s="33"/>
    </row>
    <row r="4705" spans="1:25" x14ac:dyDescent="0.2">
      <c r="A4705" s="93" t="s">
        <v>3833</v>
      </c>
      <c r="B4705" s="94">
        <f>IFERROR(VLOOKUP($A4705,HeadJournal!$A$1:$NTR$890,COLUMN(HeadJournal!B$1),0),"")</f>
        <v>0</v>
      </c>
      <c r="C4705" s="94" t="str">
        <f>IFERROR(VLOOKUP($A4705,HeadJournal!$A$1:$NTR$890,COLUMN(HeadJournal!C$1),0),"")</f>
        <v>WBRS</v>
      </c>
      <c r="D4705" s="125" t="str">
        <f>IFERROR(VLOOKUP($A4705,HeadJournal!$A$1:$NTR$890,COLUMN(HeadJournal!D$1),0),"")</f>
        <v>Доставлен</v>
      </c>
      <c r="E4705" s="95">
        <f>IFERROR(VLOOKUP($A4705,HeadJournal!$A$1:$NTR$890,COLUMN(HeadJournal!G$1),0),"")</f>
        <v>45807</v>
      </c>
      <c r="F4705" s="95" t="str">
        <f t="shared" si="360"/>
        <v>2025 05</v>
      </c>
      <c r="G4705" s="96" t="s">
        <v>6</v>
      </c>
      <c r="H4705" s="161" t="s">
        <v>3834</v>
      </c>
      <c r="I4705" s="97" t="s">
        <v>3835</v>
      </c>
      <c r="J4705" s="97" t="s">
        <v>1998</v>
      </c>
      <c r="K4705" s="29">
        <v>2075</v>
      </c>
      <c r="L4705" s="29">
        <v>0</v>
      </c>
      <c r="M4705" s="30">
        <f>IFERROR(VLOOKUP($A4705,HeadJournal!$A$1:$J$890,COLUMN(HeadJournal!I$1),0)*($K4705+$L4705)/(SUMIF($A:$A,$A4705,$K:$K)+SUMIF($A:$A,$A4705,$L:$L)),0)</f>
        <v>0</v>
      </c>
      <c r="N4705" s="30">
        <f>IFERROR((VLOOKUP($A4705,HeadJournal!$A$1:$K$890,COLUMN(HeadJournal!K$1),0)-VLOOKUP($A4705,HeadJournal!$A$1:$K$890,COLUMN(HeadJournal!J$1),0))*($K4705+$L4705)/(SUMIF($A:$A,$A4705,$K:$K)+SUMIF($A:$A,$A4705,$L:$L)),0)</f>
        <v>-726.96462116468376</v>
      </c>
      <c r="O4705" s="30">
        <f>IFERROR((VLOOKUP($A4705,HeadJournal!$A$1:$L$890,COLUMN(HeadJournal!L$1),0)*($K4705+$L4705)/(SUMIF($A:$A,$A4705,$K:$K)+SUMIF($A:$A,$A4705,$L:$L)))/VLOOKUP($A4705,HeadJournal!$A$1:$L$890,COLUMN(HeadJournal!H$1),0),0)</f>
        <v>0</v>
      </c>
      <c r="P4705" s="30">
        <f>IFERROR(SUM(K4705:O4705)*VLOOKUP($A4705,HeadJournal!$A$1:$L$890,COLUMN(HeadJournal!H$1),0),0)</f>
        <v>1348.0353788353164</v>
      </c>
      <c r="Q4705" s="29">
        <v>2600</v>
      </c>
      <c r="R4705" s="31">
        <v>45815</v>
      </c>
      <c r="S4705" s="31" t="s">
        <v>3172</v>
      </c>
      <c r="T4705" s="95" t="str">
        <f t="shared" si="361"/>
        <v>2025 06</v>
      </c>
      <c r="U4705" s="32">
        <f t="shared" si="358"/>
        <v>1251.9646211646836</v>
      </c>
      <c r="V4705" s="22">
        <f t="shared" si="359"/>
        <v>0.92873276237480018</v>
      </c>
      <c r="X4705" s="33"/>
      <c r="Y4705" s="33"/>
    </row>
    <row r="4706" spans="1:25" x14ac:dyDescent="0.2">
      <c r="A4706" s="93" t="s">
        <v>3833</v>
      </c>
      <c r="B4706" s="94">
        <f>IFERROR(VLOOKUP($A4706,HeadJournal!$A$1:$NTR$890,COLUMN(HeadJournal!B$1),0),"")</f>
        <v>0</v>
      </c>
      <c r="C4706" s="94" t="str">
        <f>IFERROR(VLOOKUP($A4706,HeadJournal!$A$1:$NTR$890,COLUMN(HeadJournal!C$1),0),"")</f>
        <v>WBRS</v>
      </c>
      <c r="D4706" s="125" t="str">
        <f>IFERROR(VLOOKUP($A4706,HeadJournal!$A$1:$NTR$890,COLUMN(HeadJournal!D$1),0),"")</f>
        <v>Доставлен</v>
      </c>
      <c r="E4706" s="95">
        <f>IFERROR(VLOOKUP($A4706,HeadJournal!$A$1:$NTR$890,COLUMN(HeadJournal!G$1),0),"")</f>
        <v>45807</v>
      </c>
      <c r="F4706" s="95" t="str">
        <f t="shared" si="360"/>
        <v>2025 05</v>
      </c>
      <c r="G4706" s="97" t="s">
        <v>7</v>
      </c>
      <c r="H4706" s="161" t="s">
        <v>3597</v>
      </c>
      <c r="I4706" s="97" t="s">
        <v>3595</v>
      </c>
      <c r="J4706" s="97" t="s">
        <v>3596</v>
      </c>
      <c r="K4706" s="29">
        <v>1119</v>
      </c>
      <c r="L4706" s="29"/>
      <c r="M4706" s="30">
        <f>IFERROR(VLOOKUP($A4706,HeadJournal!$A$1:$J$890,COLUMN(HeadJournal!I$1),0)*($K4706+$L4706)/(SUMIF($A:$A,$A4706,$K:$K)+SUMIF($A:$A,$A4706,$L:$L)),0)</f>
        <v>0</v>
      </c>
      <c r="N4706" s="30">
        <f>IFERROR((VLOOKUP($A4706,HeadJournal!$A$1:$K$890,COLUMN(HeadJournal!K$1),0)-VLOOKUP($A4706,HeadJournal!$A$1:$K$890,COLUMN(HeadJournal!J$1),0))*($K4706+$L4706)/(SUMIF($A:$A,$A4706,$K:$K)+SUMIF($A:$A,$A4706,$L:$L)),0)</f>
        <v>-392.03537883531624</v>
      </c>
      <c r="O4706" s="30">
        <f>IFERROR((VLOOKUP($A4706,HeadJournal!$A$1:$L$890,COLUMN(HeadJournal!L$1),0)*($K4706+$L4706)/(SUMIF($A:$A,$A4706,$K:$K)+SUMIF($A:$A,$A4706,$L:$L)))/VLOOKUP($A4706,HeadJournal!$A$1:$L$890,COLUMN(HeadJournal!H$1),0),0)</f>
        <v>0</v>
      </c>
      <c r="P4706" s="30">
        <f>IFERROR(SUM(K4706:O4706)*VLOOKUP($A4706,HeadJournal!$A$1:$L$890,COLUMN(HeadJournal!H$1),0),0)</f>
        <v>726.96462116468376</v>
      </c>
      <c r="Q4706" s="29">
        <v>2000</v>
      </c>
      <c r="R4706" s="31">
        <v>45821</v>
      </c>
      <c r="S4706" s="31" t="s">
        <v>3121</v>
      </c>
      <c r="T4706" s="95" t="str">
        <f t="shared" si="361"/>
        <v>2025 06</v>
      </c>
      <c r="U4706" s="32">
        <f t="shared" si="358"/>
        <v>1273.0353788353164</v>
      </c>
      <c r="V4706" s="22">
        <f t="shared" si="359"/>
        <v>1.7511655199888025</v>
      </c>
      <c r="X4706" s="33"/>
      <c r="Y4706" s="33"/>
    </row>
    <row r="4707" spans="1:25" x14ac:dyDescent="0.2">
      <c r="A4707" s="93" t="s">
        <v>3837</v>
      </c>
      <c r="B4707" s="94">
        <f>IFERROR(VLOOKUP($A4707,HeadJournal!$A$1:$NTR$890,COLUMN(HeadJournal!B$1),0),"")</f>
        <v>0</v>
      </c>
      <c r="C4707" s="94" t="str">
        <f>IFERROR(VLOOKUP($A4707,HeadJournal!$A$1:$NTR$890,COLUMN(HeadJournal!C$1),0),"")</f>
        <v>WBRS</v>
      </c>
      <c r="D4707" s="125" t="str">
        <f>IFERROR(VLOOKUP($A4707,HeadJournal!$A$1:$NTR$890,COLUMN(HeadJournal!D$1),0),"")</f>
        <v>Доставлен</v>
      </c>
      <c r="E4707" s="95">
        <f>IFERROR(VLOOKUP($A4707,HeadJournal!$A$1:$NTR$890,COLUMN(HeadJournal!G$1),0),"")</f>
        <v>45793</v>
      </c>
      <c r="F4707" s="95" t="str">
        <f t="shared" si="360"/>
        <v>2025 05</v>
      </c>
      <c r="G4707" s="97" t="s">
        <v>7</v>
      </c>
      <c r="H4707" s="161" t="s">
        <v>3597</v>
      </c>
      <c r="I4707" s="97" t="s">
        <v>3595</v>
      </c>
      <c r="J4707" s="97" t="s">
        <v>3596</v>
      </c>
      <c r="K4707" s="29">
        <v>1117</v>
      </c>
      <c r="L4707" s="29"/>
      <c r="M4707" s="30">
        <f>IFERROR(VLOOKUP($A4707,HeadJournal!$A$1:$J$890,COLUMN(HeadJournal!I$1),0)*($K4707+$L4707)/(SUMIF($A:$A,$A4707,$K:$K)+SUMIF($A:$A,$A4707,$L:$L)),0)</f>
        <v>0</v>
      </c>
      <c r="N4707" s="30">
        <f>IFERROR((VLOOKUP($A4707,HeadJournal!$A$1:$K$890,COLUMN(HeadJournal!K$1),0)-VLOOKUP($A4707,HeadJournal!$A$1:$K$890,COLUMN(HeadJournal!J$1),0))*($K4707+$L4707)/(SUMIF($A:$A,$A4707,$K:$K)+SUMIF($A:$A,$A4707,$L:$L)),0)</f>
        <v>0</v>
      </c>
      <c r="O4707" s="30">
        <f>IFERROR((VLOOKUP($A4707,HeadJournal!$A$1:$L$890,COLUMN(HeadJournal!L$1),0)*($K4707+$L4707)/(SUMIF($A:$A,$A4707,$K:$K)+SUMIF($A:$A,$A4707,$L:$L)))/VLOOKUP($A4707,HeadJournal!$A$1:$L$890,COLUMN(HeadJournal!H$1),0),0)</f>
        <v>0</v>
      </c>
      <c r="P4707" s="30">
        <f>IFERROR(SUM(K4707:O4707)*VLOOKUP($A4707,HeadJournal!$A$1:$L$890,COLUMN(HeadJournal!H$1),0),0)</f>
        <v>1117</v>
      </c>
      <c r="Q4707" s="29">
        <v>2000</v>
      </c>
      <c r="R4707" s="31">
        <v>45825</v>
      </c>
      <c r="S4707" s="31" t="s">
        <v>3509</v>
      </c>
      <c r="T4707" s="95" t="str">
        <f t="shared" si="361"/>
        <v>2025 06</v>
      </c>
      <c r="U4707" s="32">
        <f t="shared" si="358"/>
        <v>883</v>
      </c>
      <c r="V4707" s="22">
        <f t="shared" si="359"/>
        <v>0.79051029543419871</v>
      </c>
      <c r="X4707" s="33"/>
      <c r="Y4707" s="33"/>
    </row>
    <row r="4708" spans="1:25" x14ac:dyDescent="0.2">
      <c r="A4708" s="93" t="s">
        <v>3837</v>
      </c>
      <c r="B4708" s="94">
        <f>IFERROR(VLOOKUP($A4708,HeadJournal!$A$1:$NTR$890,COLUMN(HeadJournal!B$1),0),"")</f>
        <v>0</v>
      </c>
      <c r="C4708" s="94" t="str">
        <f>IFERROR(VLOOKUP($A4708,HeadJournal!$A$1:$NTR$890,COLUMN(HeadJournal!C$1),0),"")</f>
        <v>WBRS</v>
      </c>
      <c r="D4708" s="125" t="str">
        <f>IFERROR(VLOOKUP($A4708,HeadJournal!$A$1:$NTR$890,COLUMN(HeadJournal!D$1),0),"")</f>
        <v>Доставлен</v>
      </c>
      <c r="E4708" s="95">
        <f>IFERROR(VLOOKUP($A4708,HeadJournal!$A$1:$NTR$890,COLUMN(HeadJournal!G$1),0),"")</f>
        <v>45793</v>
      </c>
      <c r="F4708" s="95" t="str">
        <f t="shared" si="360"/>
        <v>2025 05</v>
      </c>
      <c r="G4708" s="97" t="s">
        <v>7</v>
      </c>
      <c r="H4708" s="161" t="s">
        <v>3597</v>
      </c>
      <c r="I4708" s="97" t="s">
        <v>3595</v>
      </c>
      <c r="J4708" s="97" t="s">
        <v>3596</v>
      </c>
      <c r="K4708" s="29">
        <v>1117</v>
      </c>
      <c r="L4708" s="29"/>
      <c r="M4708" s="30">
        <f>IFERROR(VLOOKUP($A4708,HeadJournal!$A$1:$J$890,COLUMN(HeadJournal!I$1),0)*($K4708+$L4708)/(SUMIF($A:$A,$A4708,$K:$K)+SUMIF($A:$A,$A4708,$L:$L)),0)</f>
        <v>0</v>
      </c>
      <c r="N4708" s="30">
        <f>IFERROR((VLOOKUP($A4708,HeadJournal!$A$1:$K$890,COLUMN(HeadJournal!K$1),0)-VLOOKUP($A4708,HeadJournal!$A$1:$K$890,COLUMN(HeadJournal!J$1),0))*($K4708+$L4708)/(SUMIF($A:$A,$A4708,$K:$K)+SUMIF($A:$A,$A4708,$L:$L)),0)</f>
        <v>0</v>
      </c>
      <c r="O4708" s="30">
        <f>IFERROR((VLOOKUP($A4708,HeadJournal!$A$1:$L$890,COLUMN(HeadJournal!L$1),0)*($K4708+$L4708)/(SUMIF($A:$A,$A4708,$K:$K)+SUMIF($A:$A,$A4708,$L:$L)))/VLOOKUP($A4708,HeadJournal!$A$1:$L$890,COLUMN(HeadJournal!H$1),0),0)</f>
        <v>0</v>
      </c>
      <c r="P4708" s="30">
        <f>IFERROR(SUM(K4708:O4708)*VLOOKUP($A4708,HeadJournal!$A$1:$L$890,COLUMN(HeadJournal!H$1),0),0)</f>
        <v>1117</v>
      </c>
      <c r="Q4708" s="29">
        <v>2000</v>
      </c>
      <c r="R4708" s="31">
        <v>45825</v>
      </c>
      <c r="S4708" s="31" t="s">
        <v>3509</v>
      </c>
      <c r="T4708" s="95" t="str">
        <f t="shared" si="361"/>
        <v>2025 06</v>
      </c>
      <c r="U4708" s="32">
        <f t="shared" si="358"/>
        <v>883</v>
      </c>
      <c r="V4708" s="22">
        <f t="shared" si="359"/>
        <v>0.79051029543419871</v>
      </c>
      <c r="X4708" s="33"/>
      <c r="Y4708" s="33"/>
    </row>
    <row r="4709" spans="1:25" x14ac:dyDescent="0.2">
      <c r="A4709" s="93" t="s">
        <v>3837</v>
      </c>
      <c r="B4709" s="94">
        <f>IFERROR(VLOOKUP($A4709,HeadJournal!$A$1:$NTR$890,COLUMN(HeadJournal!B$1),0),"")</f>
        <v>0</v>
      </c>
      <c r="C4709" s="94" t="str">
        <f>IFERROR(VLOOKUP($A4709,HeadJournal!$A$1:$NTR$890,COLUMN(HeadJournal!C$1),0),"")</f>
        <v>WBRS</v>
      </c>
      <c r="D4709" s="125" t="str">
        <f>IFERROR(VLOOKUP($A4709,HeadJournal!$A$1:$NTR$890,COLUMN(HeadJournal!D$1),0),"")</f>
        <v>Доставлен</v>
      </c>
      <c r="E4709" s="95">
        <f>IFERROR(VLOOKUP($A4709,HeadJournal!$A$1:$NTR$890,COLUMN(HeadJournal!G$1),0),"")</f>
        <v>45793</v>
      </c>
      <c r="F4709" s="95" t="str">
        <f t="shared" si="360"/>
        <v>2025 05</v>
      </c>
      <c r="G4709" s="97" t="s">
        <v>6</v>
      </c>
      <c r="H4709" s="161" t="s">
        <v>3843</v>
      </c>
      <c r="I4709" s="97" t="s">
        <v>2608</v>
      </c>
      <c r="J4709" s="97" t="s">
        <v>3844</v>
      </c>
      <c r="K4709" s="29">
        <v>1683</v>
      </c>
      <c r="L4709" s="29"/>
      <c r="M4709" s="30">
        <f>IFERROR(VLOOKUP($A4709,HeadJournal!$A$1:$J$890,COLUMN(HeadJournal!I$1),0)*($K4709+$L4709)/(SUMIF($A:$A,$A4709,$K:$K)+SUMIF($A:$A,$A4709,$L:$L)),0)</f>
        <v>0</v>
      </c>
      <c r="N4709" s="30">
        <f>IFERROR((VLOOKUP($A4709,HeadJournal!$A$1:$K$890,COLUMN(HeadJournal!K$1),0)-VLOOKUP($A4709,HeadJournal!$A$1:$K$890,COLUMN(HeadJournal!J$1),0))*($K4709+$L4709)/(SUMIF($A:$A,$A4709,$K:$K)+SUMIF($A:$A,$A4709,$L:$L)),0)</f>
        <v>0</v>
      </c>
      <c r="O4709" s="30">
        <f>IFERROR((VLOOKUP($A4709,HeadJournal!$A$1:$L$890,COLUMN(HeadJournal!L$1),0)*($K4709+$L4709)/(SUMIF($A:$A,$A4709,$K:$K)+SUMIF($A:$A,$A4709,$L:$L)))/VLOOKUP($A4709,HeadJournal!$A$1:$L$890,COLUMN(HeadJournal!H$1),0),0)</f>
        <v>0</v>
      </c>
      <c r="P4709" s="30">
        <f>IFERROR(SUM(K4709:O4709)*VLOOKUP($A4709,HeadJournal!$A$1:$L$890,COLUMN(HeadJournal!H$1),0),0)</f>
        <v>1683</v>
      </c>
      <c r="Q4709" s="29">
        <v>2000</v>
      </c>
      <c r="R4709" s="31">
        <v>45835</v>
      </c>
      <c r="S4709" s="31" t="s">
        <v>3172</v>
      </c>
      <c r="T4709" s="95" t="str">
        <f t="shared" si="361"/>
        <v>2025 06</v>
      </c>
      <c r="U4709" s="32">
        <f t="shared" si="358"/>
        <v>317</v>
      </c>
      <c r="V4709" s="22">
        <f t="shared" si="359"/>
        <v>0.18835412953060013</v>
      </c>
      <c r="X4709" s="33"/>
      <c r="Y4709" s="33"/>
    </row>
    <row r="4710" spans="1:25" x14ac:dyDescent="0.2">
      <c r="A4710" s="93" t="s">
        <v>3857</v>
      </c>
      <c r="B4710" s="94" t="str">
        <f>IFERROR(VLOOKUP($A4710,HeadJournal!$A$1:$NTR$890,COLUMN(HeadJournal!B$1),0),"")</f>
        <v>722500465438</v>
      </c>
      <c r="C4710" s="94" t="str">
        <f>IFERROR(VLOOKUP($A4710,HeadJournal!$A$1:$NTR$890,COLUMN(HeadJournal!C$1),0),"")</f>
        <v>iHerb_OA CZN6870</v>
      </c>
      <c r="D4710" s="125" t="str">
        <f>IFERROR(VLOOKUP($A4710,HeadJournal!$A$1:$NTR$890,COLUMN(HeadJournal!D$1),0),"")</f>
        <v>Доставлен</v>
      </c>
      <c r="E4710" s="95">
        <f>IFERROR(VLOOKUP($A4710,HeadJournal!$A$1:$NTR$890,COLUMN(HeadJournal!G$1),0),"")</f>
        <v>45818</v>
      </c>
      <c r="F4710" s="95" t="str">
        <f t="shared" si="360"/>
        <v>2025 06</v>
      </c>
      <c r="G4710" s="97" t="s">
        <v>5</v>
      </c>
      <c r="H4710" s="161" t="s">
        <v>2118</v>
      </c>
      <c r="I4710" s="97" t="s">
        <v>2005</v>
      </c>
      <c r="J4710" s="97" t="s">
        <v>2119</v>
      </c>
      <c r="K4710" s="29">
        <v>13.76</v>
      </c>
      <c r="L4710" s="29">
        <v>-2.75</v>
      </c>
      <c r="M4710" s="30">
        <f>IFERROR(VLOOKUP($A4710,HeadJournal!$A$1:$J$890,COLUMN(HeadJournal!I$1),0)*($K4710+$L4710)/(SUMIF($A:$A,$A4710,$K:$K)+SUMIF($A:$A,$A4710,$L:$L)),0)</f>
        <v>-1.1611947212496632</v>
      </c>
      <c r="N4710" s="30">
        <f>IFERROR((VLOOKUP($A4710,HeadJournal!$A$1:$K$890,COLUMN(HeadJournal!K$1),0)-VLOOKUP($A4710,HeadJournal!$A$1:$K$890,COLUMN(HeadJournal!J$1),0))*($K4710+$L4710)/(SUMIF($A:$A,$A4710,$K:$K)+SUMIF($A:$A,$A4710,$L:$L)),0)</f>
        <v>-3.3711071460139838E-15</v>
      </c>
      <c r="O4710" s="30">
        <f>IFERROR((VLOOKUP($A4710,HeadJournal!$A$1:$L$890,COLUMN(HeadJournal!L$1),0)*($K4710+$L4710)/(SUMIF($A:$A,$A4710,$K:$K)+SUMIF($A:$A,$A4710,$L:$L)))/VLOOKUP($A4710,HeadJournal!$A$1:$L$890,COLUMN(HeadJournal!H$1),0),0)</f>
        <v>0.44561455685966528</v>
      </c>
      <c r="P4710" s="30">
        <f>IFERROR(SUM(K4710:O4710)*VLOOKUP($A4710,HeadJournal!$A$1:$L$890,COLUMN(HeadJournal!H$1),0),0)</f>
        <v>922.49705144088318</v>
      </c>
      <c r="Q4710" s="29">
        <v>2000</v>
      </c>
      <c r="R4710" s="31">
        <v>45856</v>
      </c>
      <c r="S4710" s="31"/>
      <c r="T4710" s="95" t="str">
        <f t="shared" si="361"/>
        <v>2025 07</v>
      </c>
      <c r="U4710" s="32">
        <f t="shared" si="358"/>
        <v>1077.5029485591167</v>
      </c>
      <c r="V4710" s="22">
        <f t="shared" si="359"/>
        <v>1.168028609821705</v>
      </c>
      <c r="X4710" s="33"/>
      <c r="Y4710" s="33"/>
    </row>
    <row r="4711" spans="1:25" x14ac:dyDescent="0.2">
      <c r="A4711" s="93" t="s">
        <v>3857</v>
      </c>
      <c r="B4711" s="94" t="str">
        <f>IFERROR(VLOOKUP($A4711,HeadJournal!$A$1:$NTR$890,COLUMN(HeadJournal!B$1),0),"")</f>
        <v>722500465438</v>
      </c>
      <c r="C4711" s="94" t="str">
        <f>IFERROR(VLOOKUP($A4711,HeadJournal!$A$1:$NTR$890,COLUMN(HeadJournal!C$1),0),"")</f>
        <v>iHerb_OA CZN6870</v>
      </c>
      <c r="D4711" s="125" t="str">
        <f>IFERROR(VLOOKUP($A4711,HeadJournal!$A$1:$NTR$890,COLUMN(HeadJournal!D$1),0),"")</f>
        <v>Доставлен</v>
      </c>
      <c r="E4711" s="95">
        <f>IFERROR(VLOOKUP($A4711,HeadJournal!$A$1:$NTR$890,COLUMN(HeadJournal!G$1),0),"")</f>
        <v>45818</v>
      </c>
      <c r="F4711" s="95" t="str">
        <f t="shared" si="360"/>
        <v>2025 06</v>
      </c>
      <c r="G4711" s="97" t="s">
        <v>7</v>
      </c>
      <c r="H4711" s="161" t="s">
        <v>3845</v>
      </c>
      <c r="I4711" s="97" t="s">
        <v>3846</v>
      </c>
      <c r="J4711" s="97" t="s">
        <v>3847</v>
      </c>
      <c r="K4711" s="29">
        <v>5.94</v>
      </c>
      <c r="L4711" s="29">
        <v>-0.59</v>
      </c>
      <c r="M4711" s="30">
        <f>IFERROR(VLOOKUP($A4711,HeadJournal!$A$1:$J$890,COLUMN(HeadJournal!I$1),0)*($K4711+$L4711)/(SUMIF($A:$A,$A4711,$K:$K)+SUMIF($A:$A,$A4711,$L:$L)),0)</f>
        <v>-0.5642499326690007</v>
      </c>
      <c r="N4711" s="30">
        <f>IFERROR((VLOOKUP($A4711,HeadJournal!$A$1:$K$890,COLUMN(HeadJournal!K$1),0)-VLOOKUP($A4711,HeadJournal!$A$1:$K$890,COLUMN(HeadJournal!J$1),0))*($K4711+$L4711)/(SUMIF($A:$A,$A4711,$K:$K)+SUMIF($A:$A,$A4711,$L:$L)),0)</f>
        <v>-1.6380947530585665E-15</v>
      </c>
      <c r="O4711" s="30">
        <f>IFERROR((VLOOKUP($A4711,HeadJournal!$A$1:$L$890,COLUMN(HeadJournal!L$1),0)*($K4711+$L4711)/(SUMIF($A:$A,$A4711,$K:$K)+SUMIF($A:$A,$A4711,$L:$L)))/VLOOKUP($A4711,HeadJournal!$A$1:$L$890,COLUMN(HeadJournal!H$1),0),0)</f>
        <v>0.21653386732054583</v>
      </c>
      <c r="P4711" s="30">
        <f>IFERROR(SUM(K4711:O4711)*VLOOKUP($A4711,HeadJournal!$A$1:$L$890,COLUMN(HeadJournal!H$1),0),0)</f>
        <v>448.26151000987517</v>
      </c>
      <c r="Q4711" s="29"/>
      <c r="R4711" s="31"/>
      <c r="S4711" s="31"/>
      <c r="T4711" s="95" t="str">
        <f t="shared" si="361"/>
        <v/>
      </c>
      <c r="U4711" s="32">
        <f t="shared" si="358"/>
        <v>-448.26151000987517</v>
      </c>
      <c r="V4711" s="22" t="str">
        <f t="shared" si="359"/>
        <v/>
      </c>
      <c r="X4711" s="33"/>
      <c r="Y4711" s="33"/>
    </row>
    <row r="4712" spans="1:25" x14ac:dyDescent="0.2">
      <c r="A4712" s="93" t="s">
        <v>3857</v>
      </c>
      <c r="B4712" s="94" t="str">
        <f>IFERROR(VLOOKUP($A4712,HeadJournal!$A$1:$NTR$890,COLUMN(HeadJournal!B$1),0),"")</f>
        <v>722500465438</v>
      </c>
      <c r="C4712" s="94" t="str">
        <f>IFERROR(VLOOKUP($A4712,HeadJournal!$A$1:$NTR$890,COLUMN(HeadJournal!C$1),0),"")</f>
        <v>iHerb_OA CZN6870</v>
      </c>
      <c r="D4712" s="125" t="str">
        <f>IFERROR(VLOOKUP($A4712,HeadJournal!$A$1:$NTR$890,COLUMN(HeadJournal!D$1),0),"")</f>
        <v>Доставлен</v>
      </c>
      <c r="E4712" s="95">
        <f>IFERROR(VLOOKUP($A4712,HeadJournal!$A$1:$NTR$890,COLUMN(HeadJournal!G$1),0),"")</f>
        <v>45818</v>
      </c>
      <c r="F4712" s="95" t="str">
        <f t="shared" si="360"/>
        <v>2025 06</v>
      </c>
      <c r="G4712" s="97" t="s">
        <v>7</v>
      </c>
      <c r="H4712" s="161" t="s">
        <v>3848</v>
      </c>
      <c r="I4712" s="97" t="s">
        <v>3849</v>
      </c>
      <c r="J4712" s="97" t="s">
        <v>3850</v>
      </c>
      <c r="K4712" s="29">
        <v>2.8</v>
      </c>
      <c r="L4712" s="29">
        <v>-0.28000000000000003</v>
      </c>
      <c r="M4712" s="30">
        <f>IFERROR(VLOOKUP($A4712,HeadJournal!$A$1:$J$890,COLUMN(HeadJournal!I$1),0)*($K4712+$L4712)/(SUMIF($A:$A,$A4712,$K:$K)+SUMIF($A:$A,$A4712,$L:$L)),0)</f>
        <v>-0.26577753837866941</v>
      </c>
      <c r="N4712" s="30">
        <f>IFERROR((VLOOKUP($A4712,HeadJournal!$A$1:$K$890,COLUMN(HeadJournal!K$1),0)-VLOOKUP($A4712,HeadJournal!$A$1:$K$890,COLUMN(HeadJournal!J$1),0))*($K4712+$L4712)/(SUMIF($A:$A,$A4712,$K:$K)+SUMIF($A:$A,$A4712,$L:$L)),0)</f>
        <v>-7.7158855658085728E-16</v>
      </c>
      <c r="O4712" s="30">
        <f>IFERROR((VLOOKUP($A4712,HeadJournal!$A$1:$L$890,COLUMN(HeadJournal!L$1),0)*($K4712+$L4712)/(SUMIF($A:$A,$A4712,$K:$K)+SUMIF($A:$A,$A4712,$L:$L)))/VLOOKUP($A4712,HeadJournal!$A$1:$L$890,COLUMN(HeadJournal!H$1),0),0)</f>
        <v>0.10199352255098604</v>
      </c>
      <c r="P4712" s="30">
        <f>IFERROR(SUM(K4712:O4712)*VLOOKUP($A4712,HeadJournal!$A$1:$L$890,COLUMN(HeadJournal!H$1),0),0)</f>
        <v>211.14373929437102</v>
      </c>
      <c r="Q4712" s="29"/>
      <c r="R4712" s="31"/>
      <c r="S4712" s="31"/>
      <c r="T4712" s="95" t="str">
        <f t="shared" si="361"/>
        <v/>
      </c>
      <c r="U4712" s="32">
        <f t="shared" si="358"/>
        <v>-211.14373929437102</v>
      </c>
      <c r="V4712" s="22" t="str">
        <f t="shared" si="359"/>
        <v/>
      </c>
      <c r="X4712" s="33"/>
      <c r="Y4712" s="33"/>
    </row>
    <row r="4713" spans="1:25" x14ac:dyDescent="0.2">
      <c r="A4713" s="93" t="s">
        <v>3857</v>
      </c>
      <c r="B4713" s="94" t="str">
        <f>IFERROR(VLOOKUP($A4713,HeadJournal!$A$1:$NTR$890,COLUMN(HeadJournal!B$1),0),"")</f>
        <v>722500465438</v>
      </c>
      <c r="C4713" s="94" t="str">
        <f>IFERROR(VLOOKUP($A4713,HeadJournal!$A$1:$NTR$890,COLUMN(HeadJournal!C$1),0),"")</f>
        <v>iHerb_OA CZN6870</v>
      </c>
      <c r="D4713" s="125" t="str">
        <f>IFERROR(VLOOKUP($A4713,HeadJournal!$A$1:$NTR$890,COLUMN(HeadJournal!D$1),0),"")</f>
        <v>Доставлен</v>
      </c>
      <c r="E4713" s="95">
        <f>IFERROR(VLOOKUP($A4713,HeadJournal!$A$1:$NTR$890,COLUMN(HeadJournal!G$1),0),"")</f>
        <v>45818</v>
      </c>
      <c r="F4713" s="95" t="str">
        <f t="shared" si="360"/>
        <v>2025 06</v>
      </c>
      <c r="G4713" s="97" t="s">
        <v>5</v>
      </c>
      <c r="H4713" s="161" t="s">
        <v>3851</v>
      </c>
      <c r="I4713" s="97" t="s">
        <v>2006</v>
      </c>
      <c r="J4713" s="97" t="s">
        <v>3852</v>
      </c>
      <c r="K4713" s="29">
        <v>11.11</v>
      </c>
      <c r="L4713" s="29">
        <v>-2.2200000000000002</v>
      </c>
      <c r="M4713" s="30">
        <f>IFERROR(VLOOKUP($A4713,HeadJournal!$A$1:$J$890,COLUMN(HeadJournal!I$1),0)*($K4713+$L4713)/(SUMIF($A:$A,$A4713,$K:$K)+SUMIF($A:$A,$A4713,$L:$L)),0)</f>
        <v>-0.9376040937247504</v>
      </c>
      <c r="N4713" s="30">
        <f>IFERROR((VLOOKUP($A4713,HeadJournal!$A$1:$K$890,COLUMN(HeadJournal!K$1),0)-VLOOKUP($A4713,HeadJournal!$A$1:$K$890,COLUMN(HeadJournal!J$1),0))*($K4713+$L4713)/(SUMIF($A:$A,$A4713,$K:$K)+SUMIF($A:$A,$A4713,$L:$L)),0)</f>
        <v>-2.7219929634935799E-15</v>
      </c>
      <c r="O4713" s="30">
        <f>IFERROR((VLOOKUP($A4713,HeadJournal!$A$1:$L$890,COLUMN(HeadJournal!L$1),0)*($K4713+$L4713)/(SUMIF($A:$A,$A4713,$K:$K)+SUMIF($A:$A,$A4713,$L:$L)))/VLOOKUP($A4713,HeadJournal!$A$1:$L$890,COLUMN(HeadJournal!H$1),0),0)</f>
        <v>0.35981048233264518</v>
      </c>
      <c r="P4713" s="30">
        <f>IFERROR(SUM(K4713:O4713)*VLOOKUP($A4713,HeadJournal!$A$1:$L$890,COLUMN(HeadJournal!H$1),0),0)</f>
        <v>744.86819139958675</v>
      </c>
      <c r="Q4713" s="29">
        <v>1600</v>
      </c>
      <c r="R4713" s="31">
        <v>45882</v>
      </c>
      <c r="S4713" s="31" t="s">
        <v>3509</v>
      </c>
      <c r="T4713" s="95" t="str">
        <f t="shared" si="361"/>
        <v>2025 08</v>
      </c>
      <c r="U4713" s="32">
        <f t="shared" si="358"/>
        <v>855.13180860041325</v>
      </c>
      <c r="V4713" s="22">
        <f t="shared" si="359"/>
        <v>1.1480310455916292</v>
      </c>
      <c r="X4713" s="33"/>
      <c r="Y4713" s="33"/>
    </row>
    <row r="4714" spans="1:25" x14ac:dyDescent="0.2">
      <c r="A4714" s="93" t="s">
        <v>3857</v>
      </c>
      <c r="B4714" s="94" t="str">
        <f>IFERROR(VLOOKUP($A4714,HeadJournal!$A$1:$NTR$890,COLUMN(HeadJournal!B$1),0),"")</f>
        <v>722500465438</v>
      </c>
      <c r="C4714" s="94" t="str">
        <f>IFERROR(VLOOKUP($A4714,HeadJournal!$A$1:$NTR$890,COLUMN(HeadJournal!C$1),0),"")</f>
        <v>iHerb_OA CZN6870</v>
      </c>
      <c r="D4714" s="125" t="str">
        <f>IFERROR(VLOOKUP($A4714,HeadJournal!$A$1:$NTR$890,COLUMN(HeadJournal!D$1),0),"")</f>
        <v>Доставлен</v>
      </c>
      <c r="E4714" s="95">
        <f>IFERROR(VLOOKUP($A4714,HeadJournal!$A$1:$NTR$890,COLUMN(HeadJournal!G$1),0),"")</f>
        <v>45818</v>
      </c>
      <c r="F4714" s="95" t="str">
        <f t="shared" si="360"/>
        <v>2025 06</v>
      </c>
      <c r="G4714" s="97" t="s">
        <v>5</v>
      </c>
      <c r="H4714" s="161" t="s">
        <v>2027</v>
      </c>
      <c r="I4714" s="97" t="s">
        <v>2005</v>
      </c>
      <c r="J4714" s="97" t="s">
        <v>4110</v>
      </c>
      <c r="K4714" s="29">
        <v>8.06</v>
      </c>
      <c r="L4714" s="29">
        <v>-1.6120000000000001</v>
      </c>
      <c r="M4714" s="30">
        <f>IFERROR(VLOOKUP($A4714,HeadJournal!$A$1:$J$890,COLUMN(HeadJournal!I$1),0)*($K4714+$L4714)/(SUMIF($A:$A,$A4714,$K:$K)+SUMIF($A:$A,$A4714,$L:$L)),0)</f>
        <v>-0.68005300296256388</v>
      </c>
      <c r="N4714" s="30">
        <f>IFERROR((VLOOKUP($A4714,HeadJournal!$A$1:$K$890,COLUMN(HeadJournal!K$1),0)-VLOOKUP($A4714,HeadJournal!$A$1:$K$890,COLUMN(HeadJournal!J$1),0))*($K4714+$L4714)/(SUMIF($A:$A,$A4714,$K:$K)+SUMIF($A:$A,$A4714,$L:$L)),0)</f>
        <v>-1.9742869098545113E-15</v>
      </c>
      <c r="O4714" s="30">
        <f>IFERROR((VLOOKUP($A4714,HeadJournal!$A$1:$L$890,COLUMN(HeadJournal!L$1),0)*($K4714+$L4714)/(SUMIF($A:$A,$A4714,$K:$K)+SUMIF($A:$A,$A4714,$L:$L)))/VLOOKUP($A4714,HeadJournal!$A$1:$L$890,COLUMN(HeadJournal!H$1),0),0)</f>
        <v>0.26097390214633254</v>
      </c>
      <c r="P4714" s="30">
        <f>IFERROR(SUM(K4714:O4714)*VLOOKUP($A4714,HeadJournal!$A$1:$L$890,COLUMN(HeadJournal!H$1),0),0)</f>
        <v>540.2598535595655</v>
      </c>
      <c r="Q4714" s="29">
        <v>1200</v>
      </c>
      <c r="R4714" s="31">
        <v>45859</v>
      </c>
      <c r="S4714" s="31"/>
      <c r="T4714" s="95" t="str">
        <f t="shared" si="361"/>
        <v>2025 07</v>
      </c>
      <c r="U4714" s="32">
        <f t="shared" si="358"/>
        <v>659.7401464404345</v>
      </c>
      <c r="V4714" s="22">
        <f t="shared" si="359"/>
        <v>1.2211533803477328</v>
      </c>
      <c r="X4714" s="33"/>
      <c r="Y4714" s="33"/>
    </row>
    <row r="4715" spans="1:25" x14ac:dyDescent="0.2">
      <c r="A4715" s="93" t="s">
        <v>3857</v>
      </c>
      <c r="B4715" s="94" t="str">
        <f>IFERROR(VLOOKUP($A4715,HeadJournal!$A$1:$NTR$890,COLUMN(HeadJournal!B$1),0),"")</f>
        <v>722500465438</v>
      </c>
      <c r="C4715" s="94" t="str">
        <f>IFERROR(VLOOKUP($A4715,HeadJournal!$A$1:$NTR$890,COLUMN(HeadJournal!C$1),0),"")</f>
        <v>iHerb_OA CZN6870</v>
      </c>
      <c r="D4715" s="125" t="str">
        <f>IFERROR(VLOOKUP($A4715,HeadJournal!$A$1:$NTR$890,COLUMN(HeadJournal!D$1),0),"")</f>
        <v>Доставлен</v>
      </c>
      <c r="E4715" s="95">
        <f>IFERROR(VLOOKUP($A4715,HeadJournal!$A$1:$NTR$890,COLUMN(HeadJournal!G$1),0),"")</f>
        <v>45818</v>
      </c>
      <c r="F4715" s="95" t="str">
        <f t="shared" si="360"/>
        <v>2025 06</v>
      </c>
      <c r="G4715" s="97" t="s">
        <v>5</v>
      </c>
      <c r="H4715" s="161" t="s">
        <v>2027</v>
      </c>
      <c r="I4715" s="97" t="s">
        <v>2005</v>
      </c>
      <c r="J4715" s="97" t="s">
        <v>4110</v>
      </c>
      <c r="K4715" s="29">
        <v>8.06</v>
      </c>
      <c r="L4715" s="29">
        <v>-1.6120000000000001</v>
      </c>
      <c r="M4715" s="30">
        <f>IFERROR(VLOOKUP($A4715,HeadJournal!$A$1:$J$890,COLUMN(HeadJournal!I$1),0)*($K4715+$L4715)/(SUMIF($A:$A,$A4715,$K:$K)+SUMIF($A:$A,$A4715,$L:$L)),0)</f>
        <v>-0.68005300296256388</v>
      </c>
      <c r="N4715" s="30">
        <f>IFERROR((VLOOKUP($A4715,HeadJournal!$A$1:$K$890,COLUMN(HeadJournal!K$1),0)-VLOOKUP($A4715,HeadJournal!$A$1:$K$890,COLUMN(HeadJournal!J$1),0))*($K4715+$L4715)/(SUMIF($A:$A,$A4715,$K:$K)+SUMIF($A:$A,$A4715,$L:$L)),0)</f>
        <v>-1.9742869098545113E-15</v>
      </c>
      <c r="O4715" s="30">
        <f>IFERROR((VLOOKUP($A4715,HeadJournal!$A$1:$L$890,COLUMN(HeadJournal!L$1),0)*($K4715+$L4715)/(SUMIF($A:$A,$A4715,$K:$K)+SUMIF($A:$A,$A4715,$L:$L)))/VLOOKUP($A4715,HeadJournal!$A$1:$L$890,COLUMN(HeadJournal!H$1),0),0)</f>
        <v>0.26097390214633254</v>
      </c>
      <c r="P4715" s="30">
        <f>IFERROR(SUM(K4715:O4715)*VLOOKUP($A4715,HeadJournal!$A$1:$L$890,COLUMN(HeadJournal!H$1),0),0)</f>
        <v>540.2598535595655</v>
      </c>
      <c r="Q4715" s="29">
        <v>1100</v>
      </c>
      <c r="R4715" s="31">
        <v>45881</v>
      </c>
      <c r="S4715" s="31"/>
      <c r="T4715" s="95" t="str">
        <f t="shared" si="361"/>
        <v>2025 08</v>
      </c>
      <c r="U4715" s="32">
        <f t="shared" si="358"/>
        <v>559.7401464404345</v>
      </c>
      <c r="V4715" s="22">
        <f t="shared" si="359"/>
        <v>1.036057265318755</v>
      </c>
      <c r="X4715" s="33"/>
      <c r="Y4715" s="33"/>
    </row>
    <row r="4716" spans="1:25" x14ac:dyDescent="0.2">
      <c r="A4716" s="93" t="s">
        <v>3857</v>
      </c>
      <c r="B4716" s="94" t="str">
        <f>IFERROR(VLOOKUP($A4716,HeadJournal!$A$1:$NTR$890,COLUMN(HeadJournal!B$1),0),"")</f>
        <v>722500465438</v>
      </c>
      <c r="C4716" s="94" t="str">
        <f>IFERROR(VLOOKUP($A4716,HeadJournal!$A$1:$NTR$890,COLUMN(HeadJournal!C$1),0),"")</f>
        <v>iHerb_OA CZN6870</v>
      </c>
      <c r="D4716" s="125" t="str">
        <f>IFERROR(VLOOKUP($A4716,HeadJournal!$A$1:$NTR$890,COLUMN(HeadJournal!D$1),0),"")</f>
        <v>Доставлен</v>
      </c>
      <c r="E4716" s="95">
        <f>IFERROR(VLOOKUP($A4716,HeadJournal!$A$1:$NTR$890,COLUMN(HeadJournal!G$1),0),"")</f>
        <v>45818</v>
      </c>
      <c r="F4716" s="95" t="str">
        <f t="shared" si="360"/>
        <v>2025 06</v>
      </c>
      <c r="G4716" s="97" t="s">
        <v>5</v>
      </c>
      <c r="H4716" s="161" t="s">
        <v>2027</v>
      </c>
      <c r="I4716" s="97" t="s">
        <v>2005</v>
      </c>
      <c r="J4716" s="97" t="s">
        <v>4110</v>
      </c>
      <c r="K4716" s="29">
        <v>8.06</v>
      </c>
      <c r="L4716" s="29">
        <v>-1.6120000000000001</v>
      </c>
      <c r="M4716" s="30">
        <f>IFERROR(VLOOKUP($A4716,HeadJournal!$A$1:$J$890,COLUMN(HeadJournal!I$1),0)*($K4716+$L4716)/(SUMIF($A:$A,$A4716,$K:$K)+SUMIF($A:$A,$A4716,$L:$L)),0)</f>
        <v>-0.68005300296256388</v>
      </c>
      <c r="N4716" s="30">
        <f>IFERROR((VLOOKUP($A4716,HeadJournal!$A$1:$K$890,COLUMN(HeadJournal!K$1),0)-VLOOKUP($A4716,HeadJournal!$A$1:$K$890,COLUMN(HeadJournal!J$1),0))*($K4716+$L4716)/(SUMIF($A:$A,$A4716,$K:$K)+SUMIF($A:$A,$A4716,$L:$L)),0)</f>
        <v>-1.9742869098545113E-15</v>
      </c>
      <c r="O4716" s="30">
        <f>IFERROR((VLOOKUP($A4716,HeadJournal!$A$1:$L$890,COLUMN(HeadJournal!L$1),0)*($K4716+$L4716)/(SUMIF($A:$A,$A4716,$K:$K)+SUMIF($A:$A,$A4716,$L:$L)))/VLOOKUP($A4716,HeadJournal!$A$1:$L$890,COLUMN(HeadJournal!H$1),0),0)</f>
        <v>0.26097390214633254</v>
      </c>
      <c r="P4716" s="30">
        <f>IFERROR(SUM(K4716:O4716)*VLOOKUP($A4716,HeadJournal!$A$1:$L$890,COLUMN(HeadJournal!H$1),0),0)</f>
        <v>540.2598535595655</v>
      </c>
      <c r="Q4716" s="29">
        <v>1200</v>
      </c>
      <c r="R4716" s="31">
        <v>45890</v>
      </c>
      <c r="S4716" s="31"/>
      <c r="T4716" s="95" t="str">
        <f t="shared" si="361"/>
        <v>2025 08</v>
      </c>
      <c r="U4716" s="32">
        <f t="shared" si="358"/>
        <v>659.7401464404345</v>
      </c>
      <c r="V4716" s="22">
        <f t="shared" si="359"/>
        <v>1.2211533803477328</v>
      </c>
      <c r="X4716" s="33"/>
      <c r="Y4716" s="33"/>
    </row>
    <row r="4717" spans="1:25" x14ac:dyDescent="0.2">
      <c r="A4717" s="93" t="s">
        <v>3857</v>
      </c>
      <c r="B4717" s="94" t="str">
        <f>IFERROR(VLOOKUP($A4717,HeadJournal!$A$1:$NTR$890,COLUMN(HeadJournal!B$1),0),"")</f>
        <v>722500465438</v>
      </c>
      <c r="C4717" s="94" t="str">
        <f>IFERROR(VLOOKUP($A4717,HeadJournal!$A$1:$NTR$890,COLUMN(HeadJournal!C$1),0),"")</f>
        <v>iHerb_OA CZN6870</v>
      </c>
      <c r="D4717" s="125" t="str">
        <f>IFERROR(VLOOKUP($A4717,HeadJournal!$A$1:$NTR$890,COLUMN(HeadJournal!D$1),0),"")</f>
        <v>Доставлен</v>
      </c>
      <c r="E4717" s="95">
        <f>IFERROR(VLOOKUP($A4717,HeadJournal!$A$1:$NTR$890,COLUMN(HeadJournal!G$1),0),"")</f>
        <v>45818</v>
      </c>
      <c r="F4717" s="95" t="str">
        <f t="shared" si="360"/>
        <v>2025 06</v>
      </c>
      <c r="G4717" s="97" t="s">
        <v>5</v>
      </c>
      <c r="H4717" s="161" t="s">
        <v>2027</v>
      </c>
      <c r="I4717" s="97" t="s">
        <v>2005</v>
      </c>
      <c r="J4717" s="97" t="s">
        <v>4110</v>
      </c>
      <c r="K4717" s="29">
        <v>8.06</v>
      </c>
      <c r="L4717" s="29">
        <v>-1.6120000000000001</v>
      </c>
      <c r="M4717" s="30">
        <f>IFERROR(VLOOKUP($A4717,HeadJournal!$A$1:$J$890,COLUMN(HeadJournal!I$1),0)*($K4717+$L4717)/(SUMIF($A:$A,$A4717,$K:$K)+SUMIF($A:$A,$A4717,$L:$L)),0)</f>
        <v>-0.68005300296256388</v>
      </c>
      <c r="N4717" s="30">
        <f>IFERROR((VLOOKUP($A4717,HeadJournal!$A$1:$K$890,COLUMN(HeadJournal!K$1),0)-VLOOKUP($A4717,HeadJournal!$A$1:$K$890,COLUMN(HeadJournal!J$1),0))*($K4717+$L4717)/(SUMIF($A:$A,$A4717,$K:$K)+SUMIF($A:$A,$A4717,$L:$L)),0)</f>
        <v>-1.9742869098545113E-15</v>
      </c>
      <c r="O4717" s="30">
        <f>IFERROR((VLOOKUP($A4717,HeadJournal!$A$1:$L$890,COLUMN(HeadJournal!L$1),0)*($K4717+$L4717)/(SUMIF($A:$A,$A4717,$K:$K)+SUMIF($A:$A,$A4717,$L:$L)))/VLOOKUP($A4717,HeadJournal!$A$1:$L$890,COLUMN(HeadJournal!H$1),0),0)</f>
        <v>0.26097390214633254</v>
      </c>
      <c r="P4717" s="30">
        <f>IFERROR(SUM(K4717:O4717)*VLOOKUP($A4717,HeadJournal!$A$1:$L$890,COLUMN(HeadJournal!H$1),0),0)</f>
        <v>540.2598535595655</v>
      </c>
      <c r="Q4717" s="29">
        <v>1100</v>
      </c>
      <c r="R4717" s="31">
        <v>45971</v>
      </c>
      <c r="S4717" s="31" t="s">
        <v>3457</v>
      </c>
      <c r="T4717" s="95" t="str">
        <f t="shared" si="361"/>
        <v>2025 11</v>
      </c>
      <c r="U4717" s="32">
        <f t="shared" si="358"/>
        <v>559.7401464404345</v>
      </c>
      <c r="V4717" s="22">
        <f t="shared" si="359"/>
        <v>1.036057265318755</v>
      </c>
      <c r="X4717" s="33"/>
      <c r="Y4717" s="33"/>
    </row>
    <row r="4718" spans="1:25" x14ac:dyDescent="0.2">
      <c r="A4718" s="93" t="s">
        <v>3857</v>
      </c>
      <c r="B4718" s="94" t="str">
        <f>IFERROR(VLOOKUP($A4718,HeadJournal!$A$1:$NTR$890,COLUMN(HeadJournal!B$1),0),"")</f>
        <v>722500465438</v>
      </c>
      <c r="C4718" s="94" t="str">
        <f>IFERROR(VLOOKUP($A4718,HeadJournal!$A$1:$NTR$890,COLUMN(HeadJournal!C$1),0),"")</f>
        <v>iHerb_OA CZN6870</v>
      </c>
      <c r="D4718" s="125" t="str">
        <f>IFERROR(VLOOKUP($A4718,HeadJournal!$A$1:$NTR$890,COLUMN(HeadJournal!D$1),0),"")</f>
        <v>Доставлен</v>
      </c>
      <c r="E4718" s="95">
        <f>IFERROR(VLOOKUP($A4718,HeadJournal!$A$1:$NTR$890,COLUMN(HeadJournal!G$1),0),"")</f>
        <v>45818</v>
      </c>
      <c r="F4718" s="95" t="str">
        <f t="shared" si="360"/>
        <v>2025 06</v>
      </c>
      <c r="G4718" s="97" t="s">
        <v>5</v>
      </c>
      <c r="H4718" s="161" t="s">
        <v>2027</v>
      </c>
      <c r="I4718" s="97" t="s">
        <v>2005</v>
      </c>
      <c r="J4718" s="97" t="s">
        <v>4110</v>
      </c>
      <c r="K4718" s="29">
        <v>8.06</v>
      </c>
      <c r="L4718" s="29">
        <v>-1.6120000000000001</v>
      </c>
      <c r="M4718" s="30">
        <f>IFERROR(VLOOKUP($A4718,HeadJournal!$A$1:$J$890,COLUMN(HeadJournal!I$1),0)*($K4718+$L4718)/(SUMIF($A:$A,$A4718,$K:$K)+SUMIF($A:$A,$A4718,$L:$L)),0)</f>
        <v>-0.68005300296256388</v>
      </c>
      <c r="N4718" s="30">
        <f>IFERROR((VLOOKUP($A4718,HeadJournal!$A$1:$K$890,COLUMN(HeadJournal!K$1),0)-VLOOKUP($A4718,HeadJournal!$A$1:$K$890,COLUMN(HeadJournal!J$1),0))*($K4718+$L4718)/(SUMIF($A:$A,$A4718,$K:$K)+SUMIF($A:$A,$A4718,$L:$L)),0)</f>
        <v>-1.9742869098545113E-15</v>
      </c>
      <c r="O4718" s="30">
        <f>IFERROR((VLOOKUP($A4718,HeadJournal!$A$1:$L$890,COLUMN(HeadJournal!L$1),0)*($K4718+$L4718)/(SUMIF($A:$A,$A4718,$K:$K)+SUMIF($A:$A,$A4718,$L:$L)))/VLOOKUP($A4718,HeadJournal!$A$1:$L$890,COLUMN(HeadJournal!H$1),0),0)</f>
        <v>0.26097390214633254</v>
      </c>
      <c r="P4718" s="30">
        <f>IFERROR(SUM(K4718:O4718)*VLOOKUP($A4718,HeadJournal!$A$1:$L$890,COLUMN(HeadJournal!H$1),0),0)</f>
        <v>540.2598535595655</v>
      </c>
      <c r="Q4718" s="29">
        <v>1100</v>
      </c>
      <c r="R4718" s="31">
        <v>46007</v>
      </c>
      <c r="S4718" s="31" t="s">
        <v>4630</v>
      </c>
      <c r="T4718" s="95" t="str">
        <f t="shared" si="361"/>
        <v>2025 12</v>
      </c>
      <c r="U4718" s="32">
        <f t="shared" si="358"/>
        <v>559.7401464404345</v>
      </c>
      <c r="V4718" s="22">
        <f t="shared" si="359"/>
        <v>1.036057265318755</v>
      </c>
      <c r="X4718" s="33"/>
      <c r="Y4718" s="33"/>
    </row>
    <row r="4719" spans="1:25" x14ac:dyDescent="0.2">
      <c r="A4719" s="93" t="s">
        <v>3857</v>
      </c>
      <c r="B4719" s="94" t="str">
        <f>IFERROR(VLOOKUP($A4719,HeadJournal!$A$1:$NTR$890,COLUMN(HeadJournal!B$1),0),"")</f>
        <v>722500465438</v>
      </c>
      <c r="C4719" s="94" t="str">
        <f>IFERROR(VLOOKUP($A4719,HeadJournal!$A$1:$NTR$890,COLUMN(HeadJournal!C$1),0),"")</f>
        <v>iHerb_OA CZN6870</v>
      </c>
      <c r="D4719" s="125" t="str">
        <f>IFERROR(VLOOKUP($A4719,HeadJournal!$A$1:$NTR$890,COLUMN(HeadJournal!D$1),0),"")</f>
        <v>Доставлен</v>
      </c>
      <c r="E4719" s="95">
        <f>IFERROR(VLOOKUP($A4719,HeadJournal!$A$1:$NTR$890,COLUMN(HeadJournal!G$1),0),"")</f>
        <v>45818</v>
      </c>
      <c r="F4719" s="95" t="str">
        <f t="shared" si="360"/>
        <v>2025 06</v>
      </c>
      <c r="G4719" s="97" t="s">
        <v>5</v>
      </c>
      <c r="H4719" s="161" t="s">
        <v>2211</v>
      </c>
      <c r="I4719" s="97" t="s">
        <v>2212</v>
      </c>
      <c r="J4719" s="97" t="s">
        <v>2213</v>
      </c>
      <c r="K4719" s="29">
        <v>30.17</v>
      </c>
      <c r="L4719" s="29">
        <v>-6.03</v>
      </c>
      <c r="M4719" s="30">
        <f>IFERROR(VLOOKUP($A4719,HeadJournal!$A$1:$J$890,COLUMN(HeadJournal!I$1),0)*($K4719+$L4719)/(SUMIF($A:$A,$A4719,$K:$K)+SUMIF($A:$A,$A4719,$L:$L)),0)</f>
        <v>-2.5459800700242385</v>
      </c>
      <c r="N4719" s="30">
        <f>IFERROR((VLOOKUP($A4719,HeadJournal!$A$1:$K$890,COLUMN(HeadJournal!K$1),0)-VLOOKUP($A4719,HeadJournal!$A$1:$K$890,COLUMN(HeadJournal!J$1),0))*($K4719+$L4719)/(SUMIF($A:$A,$A4719,$K:$K)+SUMIF($A:$A,$A4719,$L:$L)),0)</f>
        <v>-7.3913284745483712E-15</v>
      </c>
      <c r="O4719" s="30">
        <f>IFERROR((VLOOKUP($A4719,HeadJournal!$A$1:$L$890,COLUMN(HeadJournal!L$1),0)*($K4719+$L4719)/(SUMIF($A:$A,$A4719,$K:$K)+SUMIF($A:$A,$A4719,$L:$L)))/VLOOKUP($A4719,HeadJournal!$A$1:$L$890,COLUMN(HeadJournal!H$1),0),0)</f>
        <v>0.97703318824635066</v>
      </c>
      <c r="P4719" s="30">
        <f>IFERROR(SUM(K4719:O4719)*VLOOKUP($A4719,HeadJournal!$A$1:$L$890,COLUMN(HeadJournal!H$1),0),0)</f>
        <v>2022.6229629230629</v>
      </c>
      <c r="Q4719" s="29">
        <v>3400</v>
      </c>
      <c r="R4719" s="31">
        <v>46134</v>
      </c>
      <c r="S4719" s="31" t="s">
        <v>4627</v>
      </c>
      <c r="T4719" s="95" t="str">
        <f t="shared" si="361"/>
        <v>2026 04</v>
      </c>
      <c r="U4719" s="32">
        <f t="shared" si="358"/>
        <v>1377.3770370769371</v>
      </c>
      <c r="V4719" s="22">
        <f t="shared" si="359"/>
        <v>0.68098556296739232</v>
      </c>
      <c r="X4719" s="33"/>
      <c r="Y4719" s="33"/>
    </row>
    <row r="4720" spans="1:25" x14ac:dyDescent="0.2">
      <c r="A4720" s="93" t="s">
        <v>3857</v>
      </c>
      <c r="B4720" s="94" t="str">
        <f>IFERROR(VLOOKUP($A4720,HeadJournal!$A$1:$NTR$890,COLUMN(HeadJournal!B$1),0),"")</f>
        <v>722500465438</v>
      </c>
      <c r="C4720" s="94" t="str">
        <f>IFERROR(VLOOKUP($A4720,HeadJournal!$A$1:$NTR$890,COLUMN(HeadJournal!C$1),0),"")</f>
        <v>iHerb_OA CZN6870</v>
      </c>
      <c r="D4720" s="125" t="str">
        <f>IFERROR(VLOOKUP($A4720,HeadJournal!$A$1:$NTR$890,COLUMN(HeadJournal!D$1),0),"")</f>
        <v>Доставлен</v>
      </c>
      <c r="E4720" s="95">
        <f>IFERROR(VLOOKUP($A4720,HeadJournal!$A$1:$NTR$890,COLUMN(HeadJournal!G$1),0),"")</f>
        <v>45818</v>
      </c>
      <c r="F4720" s="95" t="str">
        <f t="shared" si="360"/>
        <v>2025 06</v>
      </c>
      <c r="G4720" s="97" t="s">
        <v>5</v>
      </c>
      <c r="H4720" s="161" t="s">
        <v>2217</v>
      </c>
      <c r="I4720" s="97" t="s">
        <v>2218</v>
      </c>
      <c r="J4720" s="97" t="s">
        <v>2219</v>
      </c>
      <c r="K4720" s="29">
        <v>28.26</v>
      </c>
      <c r="L4720" s="29">
        <v>-5.65</v>
      </c>
      <c r="M4720" s="30">
        <f>IFERROR(VLOOKUP($A4720,HeadJournal!$A$1:$J$890,COLUMN(HeadJournal!I$1),0)*($K4720+$L4720)/(SUMIF($A:$A,$A4720,$K:$K)+SUMIF($A:$A,$A4720,$L:$L)),0)</f>
        <v>-2.3846151360086174</v>
      </c>
      <c r="N4720" s="30">
        <f>IFERROR((VLOOKUP($A4720,HeadJournal!$A$1:$K$890,COLUMN(HeadJournal!K$1),0)-VLOOKUP($A4720,HeadJournal!$A$1:$K$890,COLUMN(HeadJournal!J$1),0))*($K4720+$L4720)/(SUMIF($A:$A,$A4720,$K:$K)+SUMIF($A:$A,$A4720,$L:$L)),0)</f>
        <v>-6.9228639937671365E-15</v>
      </c>
      <c r="O4720" s="30">
        <f>IFERROR((VLOOKUP($A4720,HeadJournal!$A$1:$L$890,COLUMN(HeadJournal!L$1),0)*($K4720+$L4720)/(SUMIF($A:$A,$A4720,$K:$K)+SUMIF($A:$A,$A4720,$L:$L)))/VLOOKUP($A4720,HeadJournal!$A$1:$L$890,COLUMN(HeadJournal!H$1),0),0)</f>
        <v>0.91510854955468046</v>
      </c>
      <c r="P4720" s="30">
        <f>IFERROR(SUM(K4720:O4720)*VLOOKUP($A4720,HeadJournal!$A$1:$L$890,COLUMN(HeadJournal!H$1),0),0)</f>
        <v>1894.4285497800518</v>
      </c>
      <c r="Q4720" s="29">
        <v>3500</v>
      </c>
      <c r="R4720" s="31">
        <v>45847</v>
      </c>
      <c r="S4720" s="31"/>
      <c r="T4720" s="95" t="str">
        <f t="shared" si="361"/>
        <v>2025 07</v>
      </c>
      <c r="U4720" s="32">
        <f t="shared" si="358"/>
        <v>1605.5714502199482</v>
      </c>
      <c r="V4720" s="22">
        <f t="shared" si="359"/>
        <v>0.84752283236354276</v>
      </c>
      <c r="X4720" s="33"/>
      <c r="Y4720" s="33"/>
    </row>
    <row r="4721" spans="1:25" x14ac:dyDescent="0.2">
      <c r="A4721" s="93" t="s">
        <v>3857</v>
      </c>
      <c r="B4721" s="94" t="str">
        <f>IFERROR(VLOOKUP($A4721,HeadJournal!$A$1:$NTR$890,COLUMN(HeadJournal!B$1),0),"")</f>
        <v>722500465438</v>
      </c>
      <c r="C4721" s="94" t="str">
        <f>IFERROR(VLOOKUP($A4721,HeadJournal!$A$1:$NTR$890,COLUMN(HeadJournal!C$1),0),"")</f>
        <v>iHerb_OA CZN6870</v>
      </c>
      <c r="D4721" s="125" t="str">
        <f>IFERROR(VLOOKUP($A4721,HeadJournal!$A$1:$NTR$890,COLUMN(HeadJournal!D$1),0),"")</f>
        <v>Доставлен</v>
      </c>
      <c r="E4721" s="95">
        <f>IFERROR(VLOOKUP($A4721,HeadJournal!$A$1:$NTR$890,COLUMN(HeadJournal!G$1),0),"")</f>
        <v>45818</v>
      </c>
      <c r="F4721" s="95" t="str">
        <f t="shared" si="360"/>
        <v>2025 06</v>
      </c>
      <c r="G4721" s="97" t="s">
        <v>5</v>
      </c>
      <c r="H4721" s="161" t="s">
        <v>2680</v>
      </c>
      <c r="I4721" s="97" t="s">
        <v>2681</v>
      </c>
      <c r="J4721" s="97" t="s">
        <v>3853</v>
      </c>
      <c r="K4721" s="29">
        <v>6.24</v>
      </c>
      <c r="L4721" s="29">
        <v>-1.25</v>
      </c>
      <c r="M4721" s="30">
        <f>IFERROR(VLOOKUP($A4721,HeadJournal!$A$1:$J$890,COLUMN(HeadJournal!I$1),0)*($K4721+$L4721)/(SUMIF($A:$A,$A4721,$K:$K)+SUMIF($A:$A,$A4721,$L:$L)),0)</f>
        <v>-0.52628171290061931</v>
      </c>
      <c r="N4721" s="30">
        <f>IFERROR((VLOOKUP($A4721,HeadJournal!$A$1:$K$890,COLUMN(HeadJournal!K$1),0)-VLOOKUP($A4721,HeadJournal!$A$1:$K$890,COLUMN(HeadJournal!J$1),0))*($K4721+$L4721)/(SUMIF($A:$A,$A4721,$K:$K)+SUMIF($A:$A,$A4721,$L:$L)),0)</f>
        <v>-1.5278678164041581E-15</v>
      </c>
      <c r="O4721" s="30">
        <f>IFERROR((VLOOKUP($A4721,HeadJournal!$A$1:$L$890,COLUMN(HeadJournal!L$1),0)*($K4721+$L4721)/(SUMIF($A:$A,$A4721,$K:$K)+SUMIF($A:$A,$A4721,$L:$L)))/VLOOKUP($A4721,HeadJournal!$A$1:$L$890,COLUMN(HeadJournal!H$1),0),0)</f>
        <v>0.20196336409897639</v>
      </c>
      <c r="P4721" s="30">
        <f>IFERROR(SUM(K4721:O4721)*VLOOKUP($A4721,HeadJournal!$A$1:$L$890,COLUMN(HeadJournal!H$1),0),0)</f>
        <v>418.09811868210778</v>
      </c>
      <c r="Q4721" s="29">
        <v>1000</v>
      </c>
      <c r="R4721" s="31">
        <v>45845</v>
      </c>
      <c r="S4721" s="31" t="s">
        <v>3509</v>
      </c>
      <c r="T4721" s="95" t="str">
        <f t="shared" si="361"/>
        <v>2025 07</v>
      </c>
      <c r="U4721" s="32">
        <f t="shared" si="358"/>
        <v>581.90188131789228</v>
      </c>
      <c r="V4721" s="22">
        <f t="shared" si="359"/>
        <v>1.3917830655447874</v>
      </c>
      <c r="X4721" s="33"/>
      <c r="Y4721" s="33"/>
    </row>
    <row r="4722" spans="1:25" x14ac:dyDescent="0.2">
      <c r="A4722" s="93" t="s">
        <v>3857</v>
      </c>
      <c r="B4722" s="94" t="str">
        <f>IFERROR(VLOOKUP($A4722,HeadJournal!$A$1:$NTR$890,COLUMN(HeadJournal!B$1),0),"")</f>
        <v>722500465438</v>
      </c>
      <c r="C4722" s="94" t="str">
        <f>IFERROR(VLOOKUP($A4722,HeadJournal!$A$1:$NTR$890,COLUMN(HeadJournal!C$1),0),"")</f>
        <v>iHerb_OA CZN6870</v>
      </c>
      <c r="D4722" s="125" t="str">
        <f>IFERROR(VLOOKUP($A4722,HeadJournal!$A$1:$NTR$890,COLUMN(HeadJournal!D$1),0),"")</f>
        <v>Доставлен</v>
      </c>
      <c r="E4722" s="95">
        <f>IFERROR(VLOOKUP($A4722,HeadJournal!$A$1:$NTR$890,COLUMN(HeadJournal!G$1),0),"")</f>
        <v>45818</v>
      </c>
      <c r="F4722" s="95" t="str">
        <f t="shared" si="360"/>
        <v>2025 06</v>
      </c>
      <c r="G4722" s="97" t="s">
        <v>5</v>
      </c>
      <c r="H4722" s="161" t="s">
        <v>2836</v>
      </c>
      <c r="I4722" s="97" t="s">
        <v>2005</v>
      </c>
      <c r="J4722" s="97" t="s">
        <v>2837</v>
      </c>
      <c r="K4722" s="29">
        <v>10.18</v>
      </c>
      <c r="L4722" s="29">
        <v>-2.04</v>
      </c>
      <c r="M4722" s="30">
        <f>IFERROR(VLOOKUP($A4722,HeadJournal!$A$1:$J$890,COLUMN(HeadJournal!I$1),0)*($K4722+$L4722)/(SUMIF($A:$A,$A4722,$K:$K)+SUMIF($A:$A,$A4722,$L:$L)),0)</f>
        <v>-0.85850363587395628</v>
      </c>
      <c r="N4722" s="30">
        <f>IFERROR((VLOOKUP($A4722,HeadJournal!$A$1:$K$890,COLUMN(HeadJournal!K$1),0)-VLOOKUP($A4722,HeadJournal!$A$1:$K$890,COLUMN(HeadJournal!J$1),0))*($K4722+$L4722)/(SUMIF($A:$A,$A4722,$K:$K)+SUMIF($A:$A,$A4722,$L:$L)),0)</f>
        <v>-2.4923535121302299E-15</v>
      </c>
      <c r="O4722" s="30">
        <f>IFERROR((VLOOKUP($A4722,HeadJournal!$A$1:$L$890,COLUMN(HeadJournal!L$1),0)*($K4722+$L4722)/(SUMIF($A:$A,$A4722,$K:$K)+SUMIF($A:$A,$A4722,$L:$L)))/VLOOKUP($A4722,HeadJournal!$A$1:$L$890,COLUMN(HeadJournal!H$1),0),0)</f>
        <v>0.32945526728770896</v>
      </c>
      <c r="P4722" s="30">
        <f>IFERROR(SUM(K4722:O4722)*VLOOKUP($A4722,HeadJournal!$A$1:$L$890,COLUMN(HeadJournal!H$1),0),0)</f>
        <v>682.02779280007167</v>
      </c>
      <c r="Q4722" s="29">
        <v>1400</v>
      </c>
      <c r="R4722" s="31">
        <v>45847</v>
      </c>
      <c r="S4722" s="31"/>
      <c r="T4722" s="95" t="str">
        <f t="shared" si="361"/>
        <v>2025 07</v>
      </c>
      <c r="U4722" s="32">
        <f t="shared" si="358"/>
        <v>717.97220719992833</v>
      </c>
      <c r="V4722" s="22">
        <f t="shared" si="359"/>
        <v>1.0527022722230812</v>
      </c>
      <c r="X4722" s="33"/>
      <c r="Y4722" s="33"/>
    </row>
    <row r="4723" spans="1:25" x14ac:dyDescent="0.2">
      <c r="A4723" s="93" t="s">
        <v>3857</v>
      </c>
      <c r="B4723" s="94" t="str">
        <f>IFERROR(VLOOKUP($A4723,HeadJournal!$A$1:$NTR$890,COLUMN(HeadJournal!B$1),0),"")</f>
        <v>722500465438</v>
      </c>
      <c r="C4723" s="94" t="str">
        <f>IFERROR(VLOOKUP($A4723,HeadJournal!$A$1:$NTR$890,COLUMN(HeadJournal!C$1),0),"")</f>
        <v>iHerb_OA CZN6870</v>
      </c>
      <c r="D4723" s="125" t="str">
        <f>IFERROR(VLOOKUP($A4723,HeadJournal!$A$1:$NTR$890,COLUMN(HeadJournal!D$1),0),"")</f>
        <v>Доставлен</v>
      </c>
      <c r="E4723" s="95">
        <f>IFERROR(VLOOKUP($A4723,HeadJournal!$A$1:$NTR$890,COLUMN(HeadJournal!G$1),0),"")</f>
        <v>45818</v>
      </c>
      <c r="F4723" s="95" t="str">
        <f t="shared" si="360"/>
        <v>2025 06</v>
      </c>
      <c r="G4723" s="97" t="s">
        <v>5</v>
      </c>
      <c r="H4723" s="161" t="s">
        <v>2895</v>
      </c>
      <c r="I4723" s="97" t="s">
        <v>2666</v>
      </c>
      <c r="J4723" s="97" t="s">
        <v>3854</v>
      </c>
      <c r="K4723" s="29">
        <v>12.8</v>
      </c>
      <c r="L4723" s="29">
        <v>-2.56</v>
      </c>
      <c r="M4723" s="30">
        <f>IFERROR(VLOOKUP($A4723,HeadJournal!$A$1:$J$890,COLUMN(HeadJournal!I$1),0)*($K4723+$L4723)/(SUMIF($A:$A,$A4723,$K:$K)+SUMIF($A:$A,$A4723,$L:$L)),0)</f>
        <v>-1.0799849178561807</v>
      </c>
      <c r="N4723" s="30">
        <f>IFERROR((VLOOKUP($A4723,HeadJournal!$A$1:$K$890,COLUMN(HeadJournal!K$1),0)-VLOOKUP($A4723,HeadJournal!$A$1:$K$890,COLUMN(HeadJournal!J$1),0))*($K4723+$L4723)/(SUMIF($A:$A,$A4723,$K:$K)+SUMIF($A:$A,$A4723,$L:$L)),0)</f>
        <v>-3.1353439759476111E-15</v>
      </c>
      <c r="O4723" s="30">
        <f>IFERROR((VLOOKUP($A4723,HeadJournal!$A$1:$L$890,COLUMN(HeadJournal!L$1),0)*($K4723+$L4723)/(SUMIF($A:$A,$A4723,$K:$K)+SUMIF($A:$A,$A4723,$L:$L)))/VLOOKUP($A4723,HeadJournal!$A$1:$L$890,COLUMN(HeadJournal!H$1),0),0)</f>
        <v>0.41444986941353062</v>
      </c>
      <c r="P4723" s="30">
        <f>IFERROR(SUM(K4723:O4723)*VLOOKUP($A4723,HeadJournal!$A$1:$L$890,COLUMN(HeadJournal!H$1),0),0)</f>
        <v>857.98090887871433</v>
      </c>
      <c r="Q4723" s="29">
        <v>1700</v>
      </c>
      <c r="R4723" s="31">
        <v>45849</v>
      </c>
      <c r="S4723" s="31"/>
      <c r="T4723" s="95" t="str">
        <f t="shared" si="361"/>
        <v>2025 07</v>
      </c>
      <c r="U4723" s="32">
        <f t="shared" si="358"/>
        <v>842.01909112128567</v>
      </c>
      <c r="V4723" s="22">
        <f t="shared" si="359"/>
        <v>0.98139606884926034</v>
      </c>
      <c r="X4723" s="33"/>
      <c r="Y4723" s="33"/>
    </row>
    <row r="4724" spans="1:25" x14ac:dyDescent="0.2">
      <c r="A4724" s="93" t="s">
        <v>3857</v>
      </c>
      <c r="B4724" s="94" t="str">
        <f>IFERROR(VLOOKUP($A4724,HeadJournal!$A$1:$NTR$890,COLUMN(HeadJournal!B$1),0),"")</f>
        <v>722500465438</v>
      </c>
      <c r="C4724" s="94" t="str">
        <f>IFERROR(VLOOKUP($A4724,HeadJournal!$A$1:$NTR$890,COLUMN(HeadJournal!C$1),0),"")</f>
        <v>iHerb_OA CZN6870</v>
      </c>
      <c r="D4724" s="125" t="str">
        <f>IFERROR(VLOOKUP($A4724,HeadJournal!$A$1:$NTR$890,COLUMN(HeadJournal!D$1),0),"")</f>
        <v>Доставлен</v>
      </c>
      <c r="E4724" s="95">
        <f>IFERROR(VLOOKUP($A4724,HeadJournal!$A$1:$NTR$890,COLUMN(HeadJournal!G$1),0),"")</f>
        <v>45818</v>
      </c>
      <c r="F4724" s="95" t="str">
        <f t="shared" si="360"/>
        <v>2025 06</v>
      </c>
      <c r="G4724" s="97" t="s">
        <v>5</v>
      </c>
      <c r="H4724" s="161" t="s">
        <v>2790</v>
      </c>
      <c r="I4724" s="97" t="s">
        <v>2666</v>
      </c>
      <c r="J4724" s="97" t="s">
        <v>4139</v>
      </c>
      <c r="K4724" s="29">
        <v>9.59</v>
      </c>
      <c r="L4724" s="29">
        <v>-1.92</v>
      </c>
      <c r="M4724" s="30">
        <f>IFERROR(VLOOKUP($A4724,HeadJournal!$A$1:$J$890,COLUMN(HeadJournal!I$1),0)*($K4724+$L4724)/(SUMIF($A:$A,$A4724,$K:$K)+SUMIF($A:$A,$A4724,$L:$L)),0)</f>
        <v>-0.80893401562079159</v>
      </c>
      <c r="N4724" s="30">
        <f>IFERROR((VLOOKUP($A4724,HeadJournal!$A$1:$K$890,COLUMN(HeadJournal!K$1),0)-VLOOKUP($A4724,HeadJournal!$A$1:$K$890,COLUMN(HeadJournal!J$1),0))*($K4724+$L4724)/(SUMIF($A:$A,$A4724,$K:$K)+SUMIF($A:$A,$A4724,$L:$L)),0)</f>
        <v>-2.3484461226091969E-15</v>
      </c>
      <c r="O4724" s="30">
        <f>IFERROR((VLOOKUP($A4724,HeadJournal!$A$1:$L$890,COLUMN(HeadJournal!L$1),0)*($K4724+$L4724)/(SUMIF($A:$A,$A4724,$K:$K)+SUMIF($A:$A,$A4724,$L:$L)))/VLOOKUP($A4724,HeadJournal!$A$1:$L$890,COLUMN(HeadJournal!H$1),0),0)</f>
        <v>0.31043266585954882</v>
      </c>
      <c r="P4724" s="30">
        <f>IFERROR(SUM(K4724:O4724)*VLOOKUP($A4724,HeadJournal!$A$1:$L$890,COLUMN(HeadJournal!H$1),0),0)</f>
        <v>642.64780967770878</v>
      </c>
      <c r="Q4724" s="29">
        <v>1600</v>
      </c>
      <c r="R4724" s="31">
        <v>45849</v>
      </c>
      <c r="S4724" s="31"/>
      <c r="T4724" s="95" t="str">
        <f t="shared" si="361"/>
        <v>2025 07</v>
      </c>
      <c r="U4724" s="32">
        <f t="shared" si="358"/>
        <v>957.35219032229122</v>
      </c>
      <c r="V4724" s="22">
        <f t="shared" si="359"/>
        <v>1.4896996082541825</v>
      </c>
      <c r="X4724" s="33"/>
      <c r="Y4724" s="33"/>
    </row>
    <row r="4725" spans="1:25" x14ac:dyDescent="0.2">
      <c r="A4725" s="93" t="s">
        <v>3857</v>
      </c>
      <c r="B4725" s="94" t="str">
        <f>IFERROR(VLOOKUP($A4725,HeadJournal!$A$1:$NTR$890,COLUMN(HeadJournal!B$1),0),"")</f>
        <v>722500465438</v>
      </c>
      <c r="C4725" s="94" t="str">
        <f>IFERROR(VLOOKUP($A4725,HeadJournal!$A$1:$NTR$890,COLUMN(HeadJournal!C$1),0),"")</f>
        <v>iHerb_OA CZN6870</v>
      </c>
      <c r="D4725" s="125" t="str">
        <f>IFERROR(VLOOKUP($A4725,HeadJournal!$A$1:$NTR$890,COLUMN(HeadJournal!D$1),0),"")</f>
        <v>Доставлен</v>
      </c>
      <c r="E4725" s="95">
        <f>IFERROR(VLOOKUP($A4725,HeadJournal!$A$1:$NTR$890,COLUMN(HeadJournal!G$1),0),"")</f>
        <v>45818</v>
      </c>
      <c r="F4725" s="95" t="str">
        <f t="shared" si="360"/>
        <v>2025 06</v>
      </c>
      <c r="G4725" s="97" t="s">
        <v>5</v>
      </c>
      <c r="H4725" s="161" t="s">
        <v>2790</v>
      </c>
      <c r="I4725" s="97" t="s">
        <v>2666</v>
      </c>
      <c r="J4725" s="97" t="s">
        <v>4139</v>
      </c>
      <c r="K4725" s="29">
        <v>9.59</v>
      </c>
      <c r="L4725" s="29">
        <v>-1.92</v>
      </c>
      <c r="M4725" s="30">
        <f>IFERROR(VLOOKUP($A4725,HeadJournal!$A$1:$J$890,COLUMN(HeadJournal!I$1),0)*($K4725+$L4725)/(SUMIF($A:$A,$A4725,$K:$K)+SUMIF($A:$A,$A4725,$L:$L)),0)</f>
        <v>-0.80893401562079159</v>
      </c>
      <c r="N4725" s="30">
        <f>IFERROR((VLOOKUP($A4725,HeadJournal!$A$1:$K$890,COLUMN(HeadJournal!K$1),0)-VLOOKUP($A4725,HeadJournal!$A$1:$K$890,COLUMN(HeadJournal!J$1),0))*($K4725+$L4725)/(SUMIF($A:$A,$A4725,$K:$K)+SUMIF($A:$A,$A4725,$L:$L)),0)</f>
        <v>-2.3484461226091969E-15</v>
      </c>
      <c r="O4725" s="30">
        <f>IFERROR((VLOOKUP($A4725,HeadJournal!$A$1:$L$890,COLUMN(HeadJournal!L$1),0)*($K4725+$L4725)/(SUMIF($A:$A,$A4725,$K:$K)+SUMIF($A:$A,$A4725,$L:$L)))/VLOOKUP($A4725,HeadJournal!$A$1:$L$890,COLUMN(HeadJournal!H$1),0),0)</f>
        <v>0.31043266585954882</v>
      </c>
      <c r="P4725" s="30">
        <f>IFERROR(SUM(K4725:O4725)*VLOOKUP($A4725,HeadJournal!$A$1:$L$890,COLUMN(HeadJournal!H$1),0),0)</f>
        <v>642.64780967770878</v>
      </c>
      <c r="Q4725" s="29">
        <v>1700</v>
      </c>
      <c r="R4725" s="31">
        <v>45880</v>
      </c>
      <c r="S4725" s="31"/>
      <c r="T4725" s="95" t="str">
        <f t="shared" si="361"/>
        <v>2025 08</v>
      </c>
      <c r="U4725" s="32">
        <f t="shared" si="358"/>
        <v>1057.3521903222913</v>
      </c>
      <c r="V4725" s="22">
        <f t="shared" si="359"/>
        <v>1.6453058337700692</v>
      </c>
      <c r="X4725" s="33"/>
      <c r="Y4725" s="33"/>
    </row>
    <row r="4726" spans="1:25" x14ac:dyDescent="0.2">
      <c r="A4726" s="93" t="s">
        <v>3857</v>
      </c>
      <c r="B4726" s="94" t="str">
        <f>IFERROR(VLOOKUP($A4726,HeadJournal!$A$1:$NTR$890,COLUMN(HeadJournal!B$1),0),"")</f>
        <v>722500465438</v>
      </c>
      <c r="C4726" s="94" t="str">
        <f>IFERROR(VLOOKUP($A4726,HeadJournal!$A$1:$NTR$890,COLUMN(HeadJournal!C$1),0),"")</f>
        <v>iHerb_OA CZN6870</v>
      </c>
      <c r="D4726" s="125" t="str">
        <f>IFERROR(VLOOKUP($A4726,HeadJournal!$A$1:$NTR$890,COLUMN(HeadJournal!D$1),0),"")</f>
        <v>Доставлен</v>
      </c>
      <c r="E4726" s="95">
        <f>IFERROR(VLOOKUP($A4726,HeadJournal!$A$1:$NTR$890,COLUMN(HeadJournal!G$1),0),"")</f>
        <v>45818</v>
      </c>
      <c r="F4726" s="95" t="str">
        <f t="shared" si="360"/>
        <v>2025 06</v>
      </c>
      <c r="G4726" s="97" t="s">
        <v>5</v>
      </c>
      <c r="H4726" s="161" t="s">
        <v>2176</v>
      </c>
      <c r="I4726" s="97" t="s">
        <v>2005</v>
      </c>
      <c r="J4726" s="97" t="s">
        <v>2177</v>
      </c>
      <c r="K4726" s="29">
        <v>14.48</v>
      </c>
      <c r="L4726" s="29">
        <v>-2.9</v>
      </c>
      <c r="M4726" s="30">
        <f>IFERROR(VLOOKUP($A4726,HeadJournal!$A$1:$J$890,COLUMN(HeadJournal!I$1),0)*($K4726+$L4726)/(SUMIF($A:$A,$A4726,$K:$K)+SUMIF($A:$A,$A4726,$L:$L)),0)</f>
        <v>-1.2213110692162668</v>
      </c>
      <c r="N4726" s="30">
        <f>IFERROR((VLOOKUP($A4726,HeadJournal!$A$1:$K$890,COLUMN(HeadJournal!K$1),0)-VLOOKUP($A4726,HeadJournal!$A$1:$K$890,COLUMN(HeadJournal!J$1),0))*($K4726+$L4726)/(SUMIF($A:$A,$A4726,$K:$K)+SUMIF($A:$A,$A4726,$L:$L)),0)</f>
        <v>-3.5456331290501304E-15</v>
      </c>
      <c r="O4726" s="30">
        <f>IFERROR((VLOOKUP($A4726,HeadJournal!$A$1:$L$890,COLUMN(HeadJournal!L$1),0)*($K4726+$L4726)/(SUMIF($A:$A,$A4726,$K:$K)+SUMIF($A:$A,$A4726,$L:$L)))/VLOOKUP($A4726,HeadJournal!$A$1:$L$890,COLUMN(HeadJournal!H$1),0),0)</f>
        <v>0.46868452029381691</v>
      </c>
      <c r="P4726" s="30">
        <f>IFERROR(SUM(K4726:O4726)*VLOOKUP($A4726,HeadJournal!$A$1:$L$890,COLUMN(HeadJournal!H$1),0),0)</f>
        <v>970.25575437651469</v>
      </c>
      <c r="Q4726" s="29">
        <v>1900</v>
      </c>
      <c r="R4726" s="31">
        <v>45962</v>
      </c>
      <c r="S4726" s="31" t="s">
        <v>3150</v>
      </c>
      <c r="T4726" s="95" t="str">
        <f t="shared" si="361"/>
        <v>2025 11</v>
      </c>
      <c r="U4726" s="32">
        <f t="shared" si="358"/>
        <v>929.74424562348531</v>
      </c>
      <c r="V4726" s="22">
        <f t="shared" si="359"/>
        <v>0.9582465668765221</v>
      </c>
      <c r="X4726" s="33"/>
      <c r="Y4726" s="33"/>
    </row>
    <row r="4727" spans="1:25" x14ac:dyDescent="0.2">
      <c r="A4727" s="93" t="s">
        <v>3857</v>
      </c>
      <c r="B4727" s="94" t="str">
        <f>IFERROR(VLOOKUP($A4727,HeadJournal!$A$1:$NTR$890,COLUMN(HeadJournal!B$1),0),"")</f>
        <v>722500465438</v>
      </c>
      <c r="C4727" s="94" t="str">
        <f>IFERROR(VLOOKUP($A4727,HeadJournal!$A$1:$NTR$890,COLUMN(HeadJournal!C$1),0),"")</f>
        <v>iHerb_OA CZN6870</v>
      </c>
      <c r="D4727" s="125" t="str">
        <f>IFERROR(VLOOKUP($A4727,HeadJournal!$A$1:$NTR$890,COLUMN(HeadJournal!D$1),0),"")</f>
        <v>Доставлен</v>
      </c>
      <c r="E4727" s="95">
        <f>IFERROR(VLOOKUP($A4727,HeadJournal!$A$1:$NTR$890,COLUMN(HeadJournal!G$1),0),"")</f>
        <v>45818</v>
      </c>
      <c r="F4727" s="95" t="str">
        <f t="shared" si="360"/>
        <v>2025 06</v>
      </c>
      <c r="G4727" s="97" t="s">
        <v>5</v>
      </c>
      <c r="H4727" s="161" t="s">
        <v>3855</v>
      </c>
      <c r="I4727" s="97" t="s">
        <v>2491</v>
      </c>
      <c r="J4727" s="97" t="s">
        <v>3856</v>
      </c>
      <c r="K4727" s="29">
        <v>57.2</v>
      </c>
      <c r="L4727" s="29">
        <v>-28.6</v>
      </c>
      <c r="M4727" s="30">
        <f>IFERROR(VLOOKUP($A4727,HeadJournal!$A$1:$J$890,COLUMN(HeadJournal!I$1),0)*($K4727+$L4727)/(SUMIF($A:$A,$A4727,$K:$K)+SUMIF($A:$A,$A4727,$L:$L)),0)</f>
        <v>-3.0163641260436296</v>
      </c>
      <c r="N4727" s="30">
        <f>IFERROR((VLOOKUP($A4727,HeadJournal!$A$1:$K$890,COLUMN(HeadJournal!K$1),0)-VLOOKUP($A4727,HeadJournal!$A$1:$K$890,COLUMN(HeadJournal!J$1),0))*($K4727+$L4727)/(SUMIF($A:$A,$A4727,$K:$K)+SUMIF($A:$A,$A4727,$L:$L)),0)</f>
        <v>-8.7569177453224287E-15</v>
      </c>
      <c r="O4727" s="30">
        <f>IFERROR((VLOOKUP($A4727,HeadJournal!$A$1:$L$890,COLUMN(HeadJournal!L$1),0)*($K4727+$L4727)/(SUMIF($A:$A,$A4727,$K:$K)+SUMIF($A:$A,$A4727,$L:$L)))/VLOOKUP($A4727,HeadJournal!$A$1:$L$890,COLUMN(HeadJournal!H$1),0),0)</f>
        <v>1.1575455337135718</v>
      </c>
      <c r="P4727" s="30">
        <f>IFERROR(SUM(K4727:O4727)*VLOOKUP($A4727,HeadJournal!$A$1:$L$890,COLUMN(HeadJournal!H$1),0),0)</f>
        <v>2396.3138665948463</v>
      </c>
      <c r="Q4727" s="29">
        <v>2396.31</v>
      </c>
      <c r="R4727" s="31"/>
      <c r="S4727" s="31"/>
      <c r="T4727" s="95" t="str">
        <f t="shared" si="361"/>
        <v/>
      </c>
      <c r="U4727" s="32">
        <f t="shared" si="358"/>
        <v>-3.8665948463858513E-3</v>
      </c>
      <c r="V4727" s="22">
        <f t="shared" si="359"/>
        <v>-1.6135594340487079E-6</v>
      </c>
      <c r="X4727" s="33"/>
      <c r="Y4727" s="33"/>
    </row>
    <row r="4728" spans="1:25" x14ac:dyDescent="0.2">
      <c r="A4728" s="93" t="s">
        <v>3870</v>
      </c>
      <c r="B4728" s="94" t="str">
        <f>IFERROR(VLOOKUP($A4728,HeadJournal!$A$1:$NTR$890,COLUMN(HeadJournal!B$1),0),"")</f>
        <v>720000709614</v>
      </c>
      <c r="C4728" s="94" t="str">
        <f>IFERROR(VLOOKUP($A4728,HeadJournal!$A$1:$NTR$890,COLUMN(HeadJournal!C$1),0),"")</f>
        <v>iHerb_OA CZN6870</v>
      </c>
      <c r="D4728" s="125" t="str">
        <f>IFERROR(VLOOKUP($A4728,HeadJournal!$A$1:$NTR$890,COLUMN(HeadJournal!D$1),0),"")</f>
        <v>Доставлен</v>
      </c>
      <c r="E4728" s="95">
        <f>IFERROR(VLOOKUP($A4728,HeadJournal!$A$1:$NTR$890,COLUMN(HeadJournal!G$1),0),"")</f>
        <v>45822</v>
      </c>
      <c r="F4728" s="95" t="str">
        <f t="shared" si="360"/>
        <v>2025 06</v>
      </c>
      <c r="G4728" s="97" t="s">
        <v>5</v>
      </c>
      <c r="H4728" s="161" t="s">
        <v>2771</v>
      </c>
      <c r="I4728" s="97" t="s">
        <v>2052</v>
      </c>
      <c r="J4728" s="97" t="s">
        <v>3858</v>
      </c>
      <c r="K4728" s="29">
        <v>13.66</v>
      </c>
      <c r="L4728" s="29">
        <v>-4.0999999999999996</v>
      </c>
      <c r="M4728" s="30">
        <f>IFERROR(VLOOKUP($A4728,HeadJournal!$A$1:$J$890,COLUMN(HeadJournal!I$1),0)*($K4728+$L4728)/(SUMIF($A:$A,$A4728,$K:$K)+SUMIF($A:$A,$A4728,$L:$L)),0)</f>
        <v>-0.96715758622494352</v>
      </c>
      <c r="N4728" s="30">
        <f>IFERROR((VLOOKUP($A4728,HeadJournal!$A$1:$K$890,COLUMN(HeadJournal!K$1),0)-VLOOKUP($A4728,HeadJournal!$A$1:$K$890,COLUMN(HeadJournal!J$1),0))*($K4728+$L4728)/(SUMIF($A:$A,$A4728,$K:$K)+SUMIF($A:$A,$A4728,$L:$L)),0)</f>
        <v>-1.4220523481167232E-15</v>
      </c>
      <c r="O4728" s="30">
        <f>IFERROR((VLOOKUP($A4728,HeadJournal!$A$1:$L$890,COLUMN(HeadJournal!L$1),0)*($K4728+$L4728)/(SUMIF($A:$A,$A4728,$K:$K)+SUMIF($A:$A,$A4728,$L:$L)))/VLOOKUP($A4728,HeadJournal!$A$1:$L$890,COLUMN(HeadJournal!H$1),0),0)</f>
        <v>0.37614010160310418</v>
      </c>
      <c r="P4728" s="30">
        <f>IFERROR(SUM(K4728:O4728)*VLOOKUP($A4728,HeadJournal!$A$1:$L$890,COLUMN(HeadJournal!H$1),0),0)</f>
        <v>803.32085762634961</v>
      </c>
      <c r="Q4728" s="29">
        <v>1700</v>
      </c>
      <c r="R4728" s="31">
        <v>45967</v>
      </c>
      <c r="S4728" s="31" t="s">
        <v>3384</v>
      </c>
      <c r="T4728" s="95" t="str">
        <f t="shared" si="361"/>
        <v>2025 11</v>
      </c>
      <c r="U4728" s="32">
        <f t="shared" si="358"/>
        <v>896.67914237365039</v>
      </c>
      <c r="V4728" s="22">
        <f t="shared" si="359"/>
        <v>1.1162154372826265</v>
      </c>
      <c r="X4728" s="33"/>
      <c r="Y4728" s="33"/>
    </row>
    <row r="4729" spans="1:25" x14ac:dyDescent="0.2">
      <c r="A4729" s="93" t="s">
        <v>3870</v>
      </c>
      <c r="B4729" s="94" t="str">
        <f>IFERROR(VLOOKUP($A4729,HeadJournal!$A$1:$NTR$890,COLUMN(HeadJournal!B$1),0),"")</f>
        <v>720000709614</v>
      </c>
      <c r="C4729" s="94" t="str">
        <f>IFERROR(VLOOKUP($A4729,HeadJournal!$A$1:$NTR$890,COLUMN(HeadJournal!C$1),0),"")</f>
        <v>iHerb_OA CZN6870</v>
      </c>
      <c r="D4729" s="125" t="str">
        <f>IFERROR(VLOOKUP($A4729,HeadJournal!$A$1:$NTR$890,COLUMN(HeadJournal!D$1),0),"")</f>
        <v>Доставлен</v>
      </c>
      <c r="E4729" s="95">
        <f>IFERROR(VLOOKUP($A4729,HeadJournal!$A$1:$NTR$890,COLUMN(HeadJournal!G$1),0),"")</f>
        <v>45822</v>
      </c>
      <c r="F4729" s="95" t="str">
        <f t="shared" si="360"/>
        <v>2025 06</v>
      </c>
      <c r="G4729" s="97" t="s">
        <v>5</v>
      </c>
      <c r="H4729" s="161" t="s">
        <v>2564</v>
      </c>
      <c r="I4729" s="97" t="s">
        <v>2052</v>
      </c>
      <c r="J4729" s="97" t="s">
        <v>3859</v>
      </c>
      <c r="K4729" s="29">
        <v>36.14</v>
      </c>
      <c r="L4729" s="29">
        <v>-10.84</v>
      </c>
      <c r="M4729" s="30">
        <f>IFERROR(VLOOKUP($A4729,HeadJournal!$A$1:$J$890,COLUMN(HeadJournal!I$1),0)*($K4729+$L4729)/(SUMIF($A:$A,$A4729,$K:$K)+SUMIF($A:$A,$A4729,$L:$L)),0)</f>
        <v>-2.5595279217040869</v>
      </c>
      <c r="N4729" s="30">
        <f>IFERROR((VLOOKUP($A4729,HeadJournal!$A$1:$K$890,COLUMN(HeadJournal!K$1),0)-VLOOKUP($A4729,HeadJournal!$A$1:$K$890,COLUMN(HeadJournal!J$1),0))*($K4729+$L4729)/(SUMIF($A:$A,$A4729,$K:$K)+SUMIF($A:$A,$A4729,$L:$L)),0)</f>
        <v>-3.7633812141582734E-15</v>
      </c>
      <c r="O4729" s="30">
        <f>IFERROR((VLOOKUP($A4729,HeadJournal!$A$1:$L$890,COLUMN(HeadJournal!L$1),0)*($K4729+$L4729)/(SUMIF($A:$A,$A4729,$K:$K)+SUMIF($A:$A,$A4729,$L:$L)))/VLOOKUP($A4729,HeadJournal!$A$1:$L$890,COLUMN(HeadJournal!H$1),0),0)</f>
        <v>0.9954335324852025</v>
      </c>
      <c r="P4729" s="30">
        <f>IFERROR(SUM(K4729:O4729)*VLOOKUP($A4729,HeadJournal!$A$1:$L$890,COLUMN(HeadJournal!H$1),0),0)</f>
        <v>2125.9432738437913</v>
      </c>
      <c r="Q4729" s="29">
        <v>3700</v>
      </c>
      <c r="R4729" s="31">
        <v>45848</v>
      </c>
      <c r="S4729" s="31" t="s">
        <v>3231</v>
      </c>
      <c r="T4729" s="95" t="str">
        <f t="shared" si="361"/>
        <v>2025 07</v>
      </c>
      <c r="U4729" s="32">
        <f t="shared" si="358"/>
        <v>1574.0567261562087</v>
      </c>
      <c r="V4729" s="22">
        <f t="shared" si="359"/>
        <v>0.74040391647433312</v>
      </c>
      <c r="X4729" s="33"/>
      <c r="Y4729" s="33"/>
    </row>
    <row r="4730" spans="1:25" x14ac:dyDescent="0.2">
      <c r="A4730" s="93" t="s">
        <v>3870</v>
      </c>
      <c r="B4730" s="94" t="str">
        <f>IFERROR(VLOOKUP($A4730,HeadJournal!$A$1:$NTR$890,COLUMN(HeadJournal!B$1),0),"")</f>
        <v>720000709614</v>
      </c>
      <c r="C4730" s="94" t="str">
        <f>IFERROR(VLOOKUP($A4730,HeadJournal!$A$1:$NTR$890,COLUMN(HeadJournal!C$1),0),"")</f>
        <v>iHerb_OA CZN6870</v>
      </c>
      <c r="D4730" s="125" t="str">
        <f>IFERROR(VLOOKUP($A4730,HeadJournal!$A$1:$NTR$890,COLUMN(HeadJournal!D$1),0),"")</f>
        <v>Доставлен</v>
      </c>
      <c r="E4730" s="95">
        <f>IFERROR(VLOOKUP($A4730,HeadJournal!$A$1:$NTR$890,COLUMN(HeadJournal!G$1),0),"")</f>
        <v>45822</v>
      </c>
      <c r="F4730" s="95" t="str">
        <f t="shared" si="360"/>
        <v>2025 06</v>
      </c>
      <c r="G4730" s="97" t="s">
        <v>5</v>
      </c>
      <c r="H4730" s="161" t="s">
        <v>2051</v>
      </c>
      <c r="I4730" s="97" t="s">
        <v>2052</v>
      </c>
      <c r="J4730" s="97" t="s">
        <v>3097</v>
      </c>
      <c r="K4730" s="29">
        <v>21.06</v>
      </c>
      <c r="L4730" s="29">
        <v>-6.3179999999999996</v>
      </c>
      <c r="M4730" s="30">
        <f>IFERROR(VLOOKUP($A4730,HeadJournal!$A$1:$J$890,COLUMN(HeadJournal!I$1),0)*($K4730+$L4730)/(SUMIF($A:$A,$A4730,$K:$K)+SUMIF($A:$A,$A4730,$L:$L)),0)</f>
        <v>-1.4914055581723973</v>
      </c>
      <c r="N4730" s="30">
        <f>IFERROR((VLOOKUP($A4730,HeadJournal!$A$1:$K$890,COLUMN(HeadJournal!K$1),0)-VLOOKUP($A4730,HeadJournal!$A$1:$K$890,COLUMN(HeadJournal!J$1),0))*($K4730+$L4730)/(SUMIF($A:$A,$A4730,$K:$K)+SUMIF($A:$A,$A4730,$L:$L)),0)</f>
        <v>-2.1928761209138841E-15</v>
      </c>
      <c r="O4730" s="30">
        <f>IFERROR((VLOOKUP($A4730,HeadJournal!$A$1:$L$890,COLUMN(HeadJournal!L$1),0)*($K4730+$L4730)/(SUMIF($A:$A,$A4730,$K:$K)+SUMIF($A:$A,$A4730,$L:$L)))/VLOOKUP($A4730,HeadJournal!$A$1:$L$890,COLUMN(HeadJournal!H$1),0),0)</f>
        <v>0.58002692236746456</v>
      </c>
      <c r="P4730" s="30">
        <f>IFERROR(SUM(K4730:O4730)*VLOOKUP($A4730,HeadJournal!$A$1:$L$890,COLUMN(HeadJournal!H$1),0),0)</f>
        <v>1238.7610965614692</v>
      </c>
      <c r="Q4730" s="29">
        <v>2300</v>
      </c>
      <c r="R4730" s="31">
        <v>45879</v>
      </c>
      <c r="S4730" s="31"/>
      <c r="T4730" s="95" t="str">
        <f t="shared" si="361"/>
        <v>2025 08</v>
      </c>
      <c r="U4730" s="32">
        <f t="shared" si="358"/>
        <v>1061.2389034385308</v>
      </c>
      <c r="V4730" s="22">
        <f t="shared" si="359"/>
        <v>0.85669376152052135</v>
      </c>
      <c r="X4730" s="33"/>
      <c r="Y4730" s="33"/>
    </row>
    <row r="4731" spans="1:25" x14ac:dyDescent="0.2">
      <c r="A4731" s="93" t="s">
        <v>3870</v>
      </c>
      <c r="B4731" s="94" t="str">
        <f>IFERROR(VLOOKUP($A4731,HeadJournal!$A$1:$NTR$890,COLUMN(HeadJournal!B$1),0),"")</f>
        <v>720000709614</v>
      </c>
      <c r="C4731" s="94" t="str">
        <f>IFERROR(VLOOKUP($A4731,HeadJournal!$A$1:$NTR$890,COLUMN(HeadJournal!C$1),0),"")</f>
        <v>iHerb_OA CZN6870</v>
      </c>
      <c r="D4731" s="125" t="str">
        <f>IFERROR(VLOOKUP($A4731,HeadJournal!$A$1:$NTR$890,COLUMN(HeadJournal!D$1),0),"")</f>
        <v>Доставлен</v>
      </c>
      <c r="E4731" s="95">
        <f>IFERROR(VLOOKUP($A4731,HeadJournal!$A$1:$NTR$890,COLUMN(HeadJournal!G$1),0),"")</f>
        <v>45822</v>
      </c>
      <c r="F4731" s="95" t="str">
        <f t="shared" si="360"/>
        <v>2025 06</v>
      </c>
      <c r="G4731" s="97" t="s">
        <v>5</v>
      </c>
      <c r="H4731" s="161" t="s">
        <v>2051</v>
      </c>
      <c r="I4731" s="97" t="s">
        <v>2052</v>
      </c>
      <c r="J4731" s="97" t="s">
        <v>3097</v>
      </c>
      <c r="K4731" s="29">
        <v>21.06</v>
      </c>
      <c r="L4731" s="29">
        <v>-6.3179999999999996</v>
      </c>
      <c r="M4731" s="30">
        <f>IFERROR(VLOOKUP($A4731,HeadJournal!$A$1:$J$890,COLUMN(HeadJournal!I$1),0)*($K4731+$L4731)/(SUMIF($A:$A,$A4731,$K:$K)+SUMIF($A:$A,$A4731,$L:$L)),0)</f>
        <v>-1.4914055581723973</v>
      </c>
      <c r="N4731" s="30">
        <f>IFERROR((VLOOKUP($A4731,HeadJournal!$A$1:$K$890,COLUMN(HeadJournal!K$1),0)-VLOOKUP($A4731,HeadJournal!$A$1:$K$890,COLUMN(HeadJournal!J$1),0))*($K4731+$L4731)/(SUMIF($A:$A,$A4731,$K:$K)+SUMIF($A:$A,$A4731,$L:$L)),0)</f>
        <v>-2.1928761209138841E-15</v>
      </c>
      <c r="O4731" s="30">
        <f>IFERROR((VLOOKUP($A4731,HeadJournal!$A$1:$L$890,COLUMN(HeadJournal!L$1),0)*($K4731+$L4731)/(SUMIF($A:$A,$A4731,$K:$K)+SUMIF($A:$A,$A4731,$L:$L)))/VLOOKUP($A4731,HeadJournal!$A$1:$L$890,COLUMN(HeadJournal!H$1),0),0)</f>
        <v>0.58002692236746456</v>
      </c>
      <c r="P4731" s="30">
        <f>IFERROR(SUM(K4731:O4731)*VLOOKUP($A4731,HeadJournal!$A$1:$L$890,COLUMN(HeadJournal!H$1),0),0)</f>
        <v>1238.7610965614692</v>
      </c>
      <c r="Q4731" s="29">
        <v>2300</v>
      </c>
      <c r="R4731" s="31">
        <v>45879</v>
      </c>
      <c r="S4731" s="31"/>
      <c r="T4731" s="95" t="str">
        <f t="shared" si="361"/>
        <v>2025 08</v>
      </c>
      <c r="U4731" s="32">
        <f t="shared" si="358"/>
        <v>1061.2389034385308</v>
      </c>
      <c r="V4731" s="22">
        <f t="shared" si="359"/>
        <v>0.85669376152052135</v>
      </c>
      <c r="X4731" s="33"/>
      <c r="Y4731" s="33"/>
    </row>
    <row r="4732" spans="1:25" x14ac:dyDescent="0.2">
      <c r="A4732" s="93" t="s">
        <v>3870</v>
      </c>
      <c r="B4732" s="94" t="str">
        <f>IFERROR(VLOOKUP($A4732,HeadJournal!$A$1:$NTR$890,COLUMN(HeadJournal!B$1),0),"")</f>
        <v>720000709614</v>
      </c>
      <c r="C4732" s="94" t="str">
        <f>IFERROR(VLOOKUP($A4732,HeadJournal!$A$1:$NTR$890,COLUMN(HeadJournal!C$1),0),"")</f>
        <v>iHerb_OA CZN6870</v>
      </c>
      <c r="D4732" s="125" t="str">
        <f>IFERROR(VLOOKUP($A4732,HeadJournal!$A$1:$NTR$890,COLUMN(HeadJournal!D$1),0),"")</f>
        <v>Доставлен</v>
      </c>
      <c r="E4732" s="95">
        <f>IFERROR(VLOOKUP($A4732,HeadJournal!$A$1:$NTR$890,COLUMN(HeadJournal!G$1),0),"")</f>
        <v>45822</v>
      </c>
      <c r="F4732" s="95" t="str">
        <f t="shared" si="360"/>
        <v>2025 06</v>
      </c>
      <c r="G4732" s="97" t="s">
        <v>5</v>
      </c>
      <c r="H4732" s="161" t="s">
        <v>2051</v>
      </c>
      <c r="I4732" s="97" t="s">
        <v>2052</v>
      </c>
      <c r="J4732" s="97" t="s">
        <v>3097</v>
      </c>
      <c r="K4732" s="29">
        <v>21.06</v>
      </c>
      <c r="L4732" s="29">
        <v>-6.3179999999999996</v>
      </c>
      <c r="M4732" s="30">
        <f>IFERROR(VLOOKUP($A4732,HeadJournal!$A$1:$J$890,COLUMN(HeadJournal!I$1),0)*($K4732+$L4732)/(SUMIF($A:$A,$A4732,$K:$K)+SUMIF($A:$A,$A4732,$L:$L)),0)</f>
        <v>-1.4914055581723973</v>
      </c>
      <c r="N4732" s="30">
        <f>IFERROR((VLOOKUP($A4732,HeadJournal!$A$1:$K$890,COLUMN(HeadJournal!K$1),0)-VLOOKUP($A4732,HeadJournal!$A$1:$K$890,COLUMN(HeadJournal!J$1),0))*($K4732+$L4732)/(SUMIF($A:$A,$A4732,$K:$K)+SUMIF($A:$A,$A4732,$L:$L)),0)</f>
        <v>-2.1928761209138841E-15</v>
      </c>
      <c r="O4732" s="30">
        <f>IFERROR((VLOOKUP($A4732,HeadJournal!$A$1:$L$890,COLUMN(HeadJournal!L$1),0)*($K4732+$L4732)/(SUMIF($A:$A,$A4732,$K:$K)+SUMIF($A:$A,$A4732,$L:$L)))/VLOOKUP($A4732,HeadJournal!$A$1:$L$890,COLUMN(HeadJournal!H$1),0),0)</f>
        <v>0.58002692236746456</v>
      </c>
      <c r="P4732" s="30">
        <f>IFERROR(SUM(K4732:O4732)*VLOOKUP($A4732,HeadJournal!$A$1:$L$890,COLUMN(HeadJournal!H$1),0),0)</f>
        <v>1238.7610965614692</v>
      </c>
      <c r="Q4732" s="29">
        <v>2300</v>
      </c>
      <c r="R4732" s="31">
        <v>45882</v>
      </c>
      <c r="S4732" s="31"/>
      <c r="T4732" s="95" t="str">
        <f t="shared" si="361"/>
        <v>2025 08</v>
      </c>
      <c r="U4732" s="32">
        <f t="shared" si="358"/>
        <v>1061.2389034385308</v>
      </c>
      <c r="V4732" s="22">
        <f t="shared" si="359"/>
        <v>0.85669376152052135</v>
      </c>
      <c r="X4732" s="33"/>
      <c r="Y4732" s="33"/>
    </row>
    <row r="4733" spans="1:25" x14ac:dyDescent="0.2">
      <c r="A4733" s="93" t="s">
        <v>3870</v>
      </c>
      <c r="B4733" s="94" t="str">
        <f>IFERROR(VLOOKUP($A4733,HeadJournal!$A$1:$NTR$890,COLUMN(HeadJournal!B$1),0),"")</f>
        <v>720000709614</v>
      </c>
      <c r="C4733" s="94" t="str">
        <f>IFERROR(VLOOKUP($A4733,HeadJournal!$A$1:$NTR$890,COLUMN(HeadJournal!C$1),0),"")</f>
        <v>iHerb_OA CZN6870</v>
      </c>
      <c r="D4733" s="125" t="str">
        <f>IFERROR(VLOOKUP($A4733,HeadJournal!$A$1:$NTR$890,COLUMN(HeadJournal!D$1),0),"")</f>
        <v>Доставлен</v>
      </c>
      <c r="E4733" s="95">
        <f>IFERROR(VLOOKUP($A4733,HeadJournal!$A$1:$NTR$890,COLUMN(HeadJournal!G$1),0),"")</f>
        <v>45822</v>
      </c>
      <c r="F4733" s="95" t="str">
        <f t="shared" si="360"/>
        <v>2025 06</v>
      </c>
      <c r="G4733" s="97" t="s">
        <v>5</v>
      </c>
      <c r="H4733" s="161" t="s">
        <v>2051</v>
      </c>
      <c r="I4733" s="97" t="s">
        <v>2052</v>
      </c>
      <c r="J4733" s="97" t="s">
        <v>3097</v>
      </c>
      <c r="K4733" s="29">
        <v>21.06</v>
      </c>
      <c r="L4733" s="29">
        <v>-6.3179999999999996</v>
      </c>
      <c r="M4733" s="30">
        <f>IFERROR(VLOOKUP($A4733,HeadJournal!$A$1:$J$890,COLUMN(HeadJournal!I$1),0)*($K4733+$L4733)/(SUMIF($A:$A,$A4733,$K:$K)+SUMIF($A:$A,$A4733,$L:$L)),0)</f>
        <v>-1.4914055581723973</v>
      </c>
      <c r="N4733" s="30">
        <f>IFERROR((VLOOKUP($A4733,HeadJournal!$A$1:$K$890,COLUMN(HeadJournal!K$1),0)-VLOOKUP($A4733,HeadJournal!$A$1:$K$890,COLUMN(HeadJournal!J$1),0))*($K4733+$L4733)/(SUMIF($A:$A,$A4733,$K:$K)+SUMIF($A:$A,$A4733,$L:$L)),0)</f>
        <v>-2.1928761209138841E-15</v>
      </c>
      <c r="O4733" s="30">
        <f>IFERROR((VLOOKUP($A4733,HeadJournal!$A$1:$L$890,COLUMN(HeadJournal!L$1),0)*($K4733+$L4733)/(SUMIF($A:$A,$A4733,$K:$K)+SUMIF($A:$A,$A4733,$L:$L)))/VLOOKUP($A4733,HeadJournal!$A$1:$L$890,COLUMN(HeadJournal!H$1),0),0)</f>
        <v>0.58002692236746456</v>
      </c>
      <c r="P4733" s="30">
        <f>IFERROR(SUM(K4733:O4733)*VLOOKUP($A4733,HeadJournal!$A$1:$L$890,COLUMN(HeadJournal!H$1),0),0)</f>
        <v>1238.7610965614692</v>
      </c>
      <c r="Q4733" s="29">
        <v>2300</v>
      </c>
      <c r="R4733" s="31">
        <v>45883</v>
      </c>
      <c r="S4733" s="31" t="s">
        <v>3475</v>
      </c>
      <c r="T4733" s="95" t="str">
        <f t="shared" si="361"/>
        <v>2025 08</v>
      </c>
      <c r="U4733" s="32">
        <f t="shared" si="358"/>
        <v>1061.2389034385308</v>
      </c>
      <c r="V4733" s="22">
        <f t="shared" si="359"/>
        <v>0.85669376152052135</v>
      </c>
      <c r="X4733" s="33"/>
      <c r="Y4733" s="33"/>
    </row>
    <row r="4734" spans="1:25" x14ac:dyDescent="0.2">
      <c r="A4734" s="93" t="s">
        <v>3870</v>
      </c>
      <c r="B4734" s="94" t="str">
        <f>IFERROR(VLOOKUP($A4734,HeadJournal!$A$1:$NTR$890,COLUMN(HeadJournal!B$1),0),"")</f>
        <v>720000709614</v>
      </c>
      <c r="C4734" s="94" t="str">
        <f>IFERROR(VLOOKUP($A4734,HeadJournal!$A$1:$NTR$890,COLUMN(HeadJournal!C$1),0),"")</f>
        <v>iHerb_OA CZN6870</v>
      </c>
      <c r="D4734" s="125" t="str">
        <f>IFERROR(VLOOKUP($A4734,HeadJournal!$A$1:$NTR$890,COLUMN(HeadJournal!D$1),0),"")</f>
        <v>Доставлен</v>
      </c>
      <c r="E4734" s="95">
        <f>IFERROR(VLOOKUP($A4734,HeadJournal!$A$1:$NTR$890,COLUMN(HeadJournal!G$1),0),"")</f>
        <v>45822</v>
      </c>
      <c r="F4734" s="95" t="str">
        <f t="shared" si="360"/>
        <v>2025 06</v>
      </c>
      <c r="G4734" s="97" t="s">
        <v>5</v>
      </c>
      <c r="H4734" s="161" t="s">
        <v>2051</v>
      </c>
      <c r="I4734" s="97" t="s">
        <v>2052</v>
      </c>
      <c r="J4734" s="97" t="s">
        <v>3097</v>
      </c>
      <c r="K4734" s="29">
        <v>21.06</v>
      </c>
      <c r="L4734" s="29">
        <v>-6.3179999999999996</v>
      </c>
      <c r="M4734" s="30">
        <f>IFERROR(VLOOKUP($A4734,HeadJournal!$A$1:$J$890,COLUMN(HeadJournal!I$1),0)*($K4734+$L4734)/(SUMIF($A:$A,$A4734,$K:$K)+SUMIF($A:$A,$A4734,$L:$L)),0)</f>
        <v>-1.4914055581723973</v>
      </c>
      <c r="N4734" s="30">
        <f>IFERROR((VLOOKUP($A4734,HeadJournal!$A$1:$K$890,COLUMN(HeadJournal!K$1),0)-VLOOKUP($A4734,HeadJournal!$A$1:$K$890,COLUMN(HeadJournal!J$1),0))*($K4734+$L4734)/(SUMIF($A:$A,$A4734,$K:$K)+SUMIF($A:$A,$A4734,$L:$L)),0)</f>
        <v>-2.1928761209138841E-15</v>
      </c>
      <c r="O4734" s="30">
        <f>IFERROR((VLOOKUP($A4734,HeadJournal!$A$1:$L$890,COLUMN(HeadJournal!L$1),0)*($K4734+$L4734)/(SUMIF($A:$A,$A4734,$K:$K)+SUMIF($A:$A,$A4734,$L:$L)))/VLOOKUP($A4734,HeadJournal!$A$1:$L$890,COLUMN(HeadJournal!H$1),0),0)</f>
        <v>0.58002692236746456</v>
      </c>
      <c r="P4734" s="30">
        <f>IFERROR(SUM(K4734:O4734)*VLOOKUP($A4734,HeadJournal!$A$1:$L$890,COLUMN(HeadJournal!H$1),0),0)</f>
        <v>1238.7610965614692</v>
      </c>
      <c r="Q4734" s="29">
        <v>2300</v>
      </c>
      <c r="R4734" s="31">
        <v>45898</v>
      </c>
      <c r="S4734" s="31" t="s">
        <v>3270</v>
      </c>
      <c r="T4734" s="95" t="str">
        <f t="shared" si="361"/>
        <v>2025 08</v>
      </c>
      <c r="U4734" s="32">
        <f t="shared" si="358"/>
        <v>1061.2389034385308</v>
      </c>
      <c r="V4734" s="22">
        <f t="shared" si="359"/>
        <v>0.85669376152052135</v>
      </c>
      <c r="X4734" s="33"/>
      <c r="Y4734" s="33"/>
    </row>
    <row r="4735" spans="1:25" x14ac:dyDescent="0.2">
      <c r="A4735" s="93" t="s">
        <v>3870</v>
      </c>
      <c r="B4735" s="94" t="str">
        <f>IFERROR(VLOOKUP($A4735,HeadJournal!$A$1:$NTR$890,COLUMN(HeadJournal!B$1),0),"")</f>
        <v>720000709614</v>
      </c>
      <c r="C4735" s="94" t="str">
        <f>IFERROR(VLOOKUP($A4735,HeadJournal!$A$1:$NTR$890,COLUMN(HeadJournal!C$1),0),"")</f>
        <v>iHerb_OA CZN6870</v>
      </c>
      <c r="D4735" s="125" t="str">
        <f>IFERROR(VLOOKUP($A4735,HeadJournal!$A$1:$NTR$890,COLUMN(HeadJournal!D$1),0),"")</f>
        <v>Доставлен</v>
      </c>
      <c r="E4735" s="95">
        <f>IFERROR(VLOOKUP($A4735,HeadJournal!$A$1:$NTR$890,COLUMN(HeadJournal!G$1),0),"")</f>
        <v>45822</v>
      </c>
      <c r="F4735" s="95" t="str">
        <f t="shared" si="360"/>
        <v>2025 06</v>
      </c>
      <c r="G4735" s="97" t="s">
        <v>5</v>
      </c>
      <c r="H4735" s="161" t="s">
        <v>3860</v>
      </c>
      <c r="I4735" s="97" t="s">
        <v>2578</v>
      </c>
      <c r="J4735" s="97" t="s">
        <v>3861</v>
      </c>
      <c r="K4735" s="29">
        <v>29.01</v>
      </c>
      <c r="L4735" s="29">
        <v>-2.9</v>
      </c>
      <c r="M4735" s="30">
        <f>IFERROR(VLOOKUP($A4735,HeadJournal!$A$1:$J$890,COLUMN(HeadJournal!I$1),0)*($K4735+$L4735)/(SUMIF($A:$A,$A4735,$K:$K)+SUMIF($A:$A,$A4735,$L:$L)),0)</f>
        <v>-2.6414732820432301</v>
      </c>
      <c r="N4735" s="30">
        <f>IFERROR((VLOOKUP($A4735,HeadJournal!$A$1:$K$890,COLUMN(HeadJournal!K$1),0)-VLOOKUP($A4735,HeadJournal!$A$1:$K$890,COLUMN(HeadJournal!J$1),0))*($K4735+$L4735)/(SUMIF($A:$A,$A4735,$K:$K)+SUMIF($A:$A,$A4735,$L:$L)),0)</f>
        <v>-3.8838689131095863E-15</v>
      </c>
      <c r="O4735" s="30">
        <f>IFERROR((VLOOKUP($A4735,HeadJournal!$A$1:$L$890,COLUMN(HeadJournal!L$1),0)*($K4735+$L4735)/(SUMIF($A:$A,$A4735,$K:$K)+SUMIF($A:$A,$A4735,$L:$L)))/VLOOKUP($A4735,HeadJournal!$A$1:$L$890,COLUMN(HeadJournal!H$1),0),0)</f>
        <v>1.0273031436042941</v>
      </c>
      <c r="P4735" s="30">
        <f>IFERROR(SUM(K4735:O4735)*VLOOKUP($A4735,HeadJournal!$A$1:$L$890,COLUMN(HeadJournal!H$1),0),0)</f>
        <v>2194.0070703581582</v>
      </c>
      <c r="Q4735" s="29">
        <v>3100</v>
      </c>
      <c r="R4735" s="31">
        <v>45848</v>
      </c>
      <c r="S4735" s="31"/>
      <c r="T4735" s="95" t="str">
        <f t="shared" si="361"/>
        <v>2025 07</v>
      </c>
      <c r="U4735" s="32">
        <f t="shared" si="358"/>
        <v>905.99292964184178</v>
      </c>
      <c r="V4735" s="22">
        <f t="shared" si="359"/>
        <v>0.41293984047824606</v>
      </c>
      <c r="X4735" s="33"/>
      <c r="Y4735" s="33"/>
    </row>
    <row r="4736" spans="1:25" x14ac:dyDescent="0.2">
      <c r="A4736" s="93" t="s">
        <v>3870</v>
      </c>
      <c r="B4736" s="94" t="str">
        <f>IFERROR(VLOOKUP($A4736,HeadJournal!$A$1:$NTR$890,COLUMN(HeadJournal!B$1),0),"")</f>
        <v>720000709614</v>
      </c>
      <c r="C4736" s="94" t="str">
        <f>IFERROR(VLOOKUP($A4736,HeadJournal!$A$1:$NTR$890,COLUMN(HeadJournal!C$1),0),"")</f>
        <v>iHerb_OA CZN6870</v>
      </c>
      <c r="D4736" s="125" t="str">
        <f>IFERROR(VLOOKUP($A4736,HeadJournal!$A$1:$NTR$890,COLUMN(HeadJournal!D$1),0),"")</f>
        <v>Доставлен</v>
      </c>
      <c r="E4736" s="95">
        <f>IFERROR(VLOOKUP($A4736,HeadJournal!$A$1:$NTR$890,COLUMN(HeadJournal!G$1),0),"")</f>
        <v>45822</v>
      </c>
      <c r="F4736" s="95" t="str">
        <f t="shared" si="360"/>
        <v>2025 06</v>
      </c>
      <c r="G4736" s="97" t="s">
        <v>5</v>
      </c>
      <c r="H4736" s="161" t="s">
        <v>2912</v>
      </c>
      <c r="I4736" s="97" t="s">
        <v>2006</v>
      </c>
      <c r="J4736" s="97" t="s">
        <v>2913</v>
      </c>
      <c r="K4736" s="29">
        <v>16.579999999999998</v>
      </c>
      <c r="L4736" s="29">
        <v>-1.66</v>
      </c>
      <c r="M4736" s="30">
        <f>IFERROR(VLOOKUP($A4736,HeadJournal!$A$1:$J$890,COLUMN(HeadJournal!I$1),0)*($K4736+$L4736)/(SUMIF($A:$A,$A4736,$K:$K)+SUMIF($A:$A,$A4736,$L:$L)),0)</f>
        <v>-1.5094133040247024</v>
      </c>
      <c r="N4736" s="30">
        <f>IFERROR((VLOOKUP($A4736,HeadJournal!$A$1:$K$890,COLUMN(HeadJournal!K$1),0)-VLOOKUP($A4736,HeadJournal!$A$1:$K$890,COLUMN(HeadJournal!J$1),0))*($K4736+$L4736)/(SUMIF($A:$A,$A4736,$K:$K)+SUMIF($A:$A,$A4736,$L:$L)),0)</f>
        <v>-2.2193536646340488E-15</v>
      </c>
      <c r="O4736" s="30">
        <f>IFERROR((VLOOKUP($A4736,HeadJournal!$A$1:$L$890,COLUMN(HeadJournal!L$1),0)*($K4736+$L4736)/(SUMIF($A:$A,$A4736,$K:$K)+SUMIF($A:$A,$A4736,$L:$L)))/VLOOKUP($A4736,HeadJournal!$A$1:$L$890,COLUMN(HeadJournal!H$1),0),0)</f>
        <v>0.58703036777388218</v>
      </c>
      <c r="P4736" s="30">
        <f>IFERROR(SUM(K4736:O4736)*VLOOKUP($A4736,HeadJournal!$A$1:$L$890,COLUMN(HeadJournal!H$1),0),0)</f>
        <v>1253.7183259189474</v>
      </c>
      <c r="Q4736" s="29">
        <v>2100</v>
      </c>
      <c r="R4736" s="31">
        <v>45849</v>
      </c>
      <c r="S4736" s="31"/>
      <c r="T4736" s="95" t="str">
        <f t="shared" si="361"/>
        <v>2025 07</v>
      </c>
      <c r="U4736" s="32">
        <f t="shared" si="358"/>
        <v>846.28167408105264</v>
      </c>
      <c r="V4736" s="22">
        <f t="shared" si="359"/>
        <v>0.6750173915346952</v>
      </c>
      <c r="X4736" s="33"/>
      <c r="Y4736" s="33"/>
    </row>
    <row r="4737" spans="1:25" x14ac:dyDescent="0.2">
      <c r="A4737" s="93" t="s">
        <v>3870</v>
      </c>
      <c r="B4737" s="94" t="str">
        <f>IFERROR(VLOOKUP($A4737,HeadJournal!$A$1:$NTR$890,COLUMN(HeadJournal!B$1),0),"")</f>
        <v>720000709614</v>
      </c>
      <c r="C4737" s="94" t="str">
        <f>IFERROR(VLOOKUP($A4737,HeadJournal!$A$1:$NTR$890,COLUMN(HeadJournal!C$1),0),"")</f>
        <v>iHerb_OA CZN6870</v>
      </c>
      <c r="D4737" s="125" t="str">
        <f>IFERROR(VLOOKUP($A4737,HeadJournal!$A$1:$NTR$890,COLUMN(HeadJournal!D$1),0),"")</f>
        <v>Доставлен</v>
      </c>
      <c r="E4737" s="95">
        <f>IFERROR(VLOOKUP($A4737,HeadJournal!$A$1:$NTR$890,COLUMN(HeadJournal!G$1),0),"")</f>
        <v>45822</v>
      </c>
      <c r="F4737" s="95" t="str">
        <f t="shared" si="360"/>
        <v>2025 06</v>
      </c>
      <c r="G4737" s="97" t="s">
        <v>7</v>
      </c>
      <c r="H4737" s="161" t="s">
        <v>3862</v>
      </c>
      <c r="I4737" s="97" t="s">
        <v>3863</v>
      </c>
      <c r="J4737" s="97" t="s">
        <v>3864</v>
      </c>
      <c r="K4737" s="29">
        <v>13.97</v>
      </c>
      <c r="L4737" s="29">
        <v>-2.79</v>
      </c>
      <c r="M4737" s="30">
        <f>IFERROR(VLOOKUP($A4737,HeadJournal!$A$1:$J$890,COLUMN(HeadJournal!I$1),0)*($K4737+$L4737)/(SUMIF($A:$A,$A4737,$K:$K)+SUMIF($A:$A,$A4737,$L:$L)),0)</f>
        <v>-1.1310483069032289</v>
      </c>
      <c r="N4737" s="30">
        <f>IFERROR((VLOOKUP($A4737,HeadJournal!$A$1:$K$890,COLUMN(HeadJournal!K$1),0)-VLOOKUP($A4737,HeadJournal!$A$1:$K$890,COLUMN(HeadJournal!J$1),0))*($K4737+$L4737)/(SUMIF($A:$A,$A4737,$K:$K)+SUMIF($A:$A,$A4737,$L:$L)),0)</f>
        <v>-1.6630277460193477E-15</v>
      </c>
      <c r="O4737" s="30">
        <f>IFERROR((VLOOKUP($A4737,HeadJournal!$A$1:$L$890,COLUMN(HeadJournal!L$1),0)*($K4737+$L4737)/(SUMIF($A:$A,$A4737,$K:$K)+SUMIF($A:$A,$A4737,$L:$L)))/VLOOKUP($A4737,HeadJournal!$A$1:$L$890,COLUMN(HeadJournal!H$1),0),0)</f>
        <v>0.43987932384128703</v>
      </c>
      <c r="P4737" s="30">
        <f>IFERROR(SUM(K4737:O4737)*VLOOKUP($A4737,HeadJournal!$A$1:$L$890,COLUMN(HeadJournal!H$1),0),0)</f>
        <v>939.44845065508264</v>
      </c>
      <c r="Q4737" s="29"/>
      <c r="R4737" s="31"/>
      <c r="S4737" s="31"/>
      <c r="T4737" s="95" t="str">
        <f t="shared" si="361"/>
        <v/>
      </c>
      <c r="U4737" s="32">
        <f t="shared" si="358"/>
        <v>-939.44845065508264</v>
      </c>
      <c r="V4737" s="22" t="str">
        <f t="shared" si="359"/>
        <v/>
      </c>
      <c r="X4737" s="33"/>
      <c r="Y4737" s="33"/>
    </row>
    <row r="4738" spans="1:25" x14ac:dyDescent="0.2">
      <c r="A4738" s="93" t="s">
        <v>3870</v>
      </c>
      <c r="B4738" s="94" t="str">
        <f>IFERROR(VLOOKUP($A4738,HeadJournal!$A$1:$NTR$890,COLUMN(HeadJournal!B$1),0),"")</f>
        <v>720000709614</v>
      </c>
      <c r="C4738" s="94" t="str">
        <f>IFERROR(VLOOKUP($A4738,HeadJournal!$A$1:$NTR$890,COLUMN(HeadJournal!C$1),0),"")</f>
        <v>iHerb_OA CZN6870</v>
      </c>
      <c r="D4738" s="125" t="str">
        <f>IFERROR(VLOOKUP($A4738,HeadJournal!$A$1:$NTR$890,COLUMN(HeadJournal!D$1),0),"")</f>
        <v>Доставлен</v>
      </c>
      <c r="E4738" s="95">
        <f>IFERROR(VLOOKUP($A4738,HeadJournal!$A$1:$NTR$890,COLUMN(HeadJournal!G$1),0),"")</f>
        <v>45822</v>
      </c>
      <c r="F4738" s="95" t="str">
        <f t="shared" si="360"/>
        <v>2025 06</v>
      </c>
      <c r="G4738" s="97" t="s">
        <v>5</v>
      </c>
      <c r="H4738" s="161" t="s">
        <v>3865</v>
      </c>
      <c r="I4738" s="97" t="s">
        <v>3866</v>
      </c>
      <c r="J4738" s="97" t="s">
        <v>3867</v>
      </c>
      <c r="K4738" s="29">
        <v>25.9</v>
      </c>
      <c r="L4738" s="29">
        <v>-2.59</v>
      </c>
      <c r="M4738" s="30">
        <f>IFERROR(VLOOKUP($A4738,HeadJournal!$A$1:$J$890,COLUMN(HeadJournal!I$1),0)*($K4738+$L4738)/(SUMIF($A:$A,$A4738,$K:$K)+SUMIF($A:$A,$A4738,$L:$L)),0)</f>
        <v>-2.3582053697597734</v>
      </c>
      <c r="N4738" s="30">
        <f>IFERROR((VLOOKUP($A4738,HeadJournal!$A$1:$K$890,COLUMN(HeadJournal!K$1),0)-VLOOKUP($A4738,HeadJournal!$A$1:$K$890,COLUMN(HeadJournal!J$1),0))*($K4738+$L4738)/(SUMIF($A:$A,$A4738,$K:$K)+SUMIF($A:$A,$A4738,$L:$L)),0)</f>
        <v>-3.467368225376654E-15</v>
      </c>
      <c r="O4738" s="30">
        <f>IFERROR((VLOOKUP($A4738,HeadJournal!$A$1:$L$890,COLUMN(HeadJournal!L$1),0)*($K4738+$L4738)/(SUMIF($A:$A,$A4738,$K:$K)+SUMIF($A:$A,$A4738,$L:$L)))/VLOOKUP($A4738,HeadJournal!$A$1:$L$890,COLUMN(HeadJournal!H$1),0),0)</f>
        <v>0.91713658664940978</v>
      </c>
      <c r="P4738" s="30">
        <f>IFERROR(SUM(K4738:O4738)*VLOOKUP($A4738,HeadJournal!$A$1:$L$890,COLUMN(HeadJournal!H$1),0),0)</f>
        <v>1958.7248108023232</v>
      </c>
      <c r="Q4738" s="29">
        <v>2800</v>
      </c>
      <c r="R4738" s="31">
        <v>45848</v>
      </c>
      <c r="S4738" s="31" t="s">
        <v>3475</v>
      </c>
      <c r="T4738" s="95" t="str">
        <f t="shared" si="361"/>
        <v>2025 07</v>
      </c>
      <c r="U4738" s="32">
        <f t="shared" si="358"/>
        <v>841.27518919767681</v>
      </c>
      <c r="V4738" s="22">
        <f t="shared" si="359"/>
        <v>0.4295014718545776</v>
      </c>
      <c r="X4738" s="33"/>
      <c r="Y4738" s="33"/>
    </row>
    <row r="4739" spans="1:25" x14ac:dyDescent="0.2">
      <c r="A4739" s="93" t="s">
        <v>3870</v>
      </c>
      <c r="B4739" s="94" t="str">
        <f>IFERROR(VLOOKUP($A4739,HeadJournal!$A$1:$NTR$890,COLUMN(HeadJournal!B$1),0),"")</f>
        <v>720000709614</v>
      </c>
      <c r="C4739" s="94" t="str">
        <f>IFERROR(VLOOKUP($A4739,HeadJournal!$A$1:$NTR$890,COLUMN(HeadJournal!C$1),0),"")</f>
        <v>iHerb_OA CZN6870</v>
      </c>
      <c r="D4739" s="125" t="str">
        <f>IFERROR(VLOOKUP($A4739,HeadJournal!$A$1:$NTR$890,COLUMN(HeadJournal!D$1),0),"")</f>
        <v>Доставлен</v>
      </c>
      <c r="E4739" s="95">
        <f>IFERROR(VLOOKUP($A4739,HeadJournal!$A$1:$NTR$890,COLUMN(HeadJournal!G$1),0),"")</f>
        <v>45822</v>
      </c>
      <c r="F4739" s="95" t="str">
        <f t="shared" si="360"/>
        <v>2025 06</v>
      </c>
      <c r="G4739" s="97" t="s">
        <v>5</v>
      </c>
      <c r="H4739" s="161" t="s">
        <v>3868</v>
      </c>
      <c r="I4739" s="97" t="s">
        <v>3670</v>
      </c>
      <c r="J4739" s="97" t="s">
        <v>3869</v>
      </c>
      <c r="K4739" s="29">
        <v>13.97</v>
      </c>
      <c r="L4739" s="29">
        <v>-6.99</v>
      </c>
      <c r="M4739" s="30">
        <f>IFERROR(VLOOKUP($A4739,HeadJournal!$A$1:$J$890,COLUMN(HeadJournal!I$1),0)*($K4739+$L4739)/(SUMIF($A:$A,$A4739,$K:$K)+SUMIF($A:$A,$A4739,$L:$L)),0)</f>
        <v>-0.70614643847804459</v>
      </c>
      <c r="N4739" s="30">
        <f>IFERROR((VLOOKUP($A4739,HeadJournal!$A$1:$K$890,COLUMN(HeadJournal!K$1),0)-VLOOKUP($A4739,HeadJournal!$A$1:$K$890,COLUMN(HeadJournal!J$1),0))*($K4739+$L4739)/(SUMIF($A:$A,$A4739,$K:$K)+SUMIF($A:$A,$A4739,$L:$L)),0)</f>
        <v>-1.0382767144199506E-15</v>
      </c>
      <c r="O4739" s="30">
        <f>IFERROR((VLOOKUP($A4739,HeadJournal!$A$1:$L$890,COLUMN(HeadJournal!L$1),0)*($K4739+$L4739)/(SUMIF($A:$A,$A4739,$K:$K)+SUMIF($A:$A,$A4739,$L:$L)))/VLOOKUP($A4739,HeadJournal!$A$1:$L$890,COLUMN(HeadJournal!H$1),0),0)</f>
        <v>0.27462948840896095</v>
      </c>
      <c r="P4739" s="30">
        <f>IFERROR(SUM(K4739:O4739)*VLOOKUP($A4739,HeadJournal!$A$1:$L$890,COLUMN(HeadJournal!H$1),0),0)</f>
        <v>586.52506132133067</v>
      </c>
      <c r="Q4739" s="29">
        <v>586.53</v>
      </c>
      <c r="R4739" s="31"/>
      <c r="S4739" s="31"/>
      <c r="T4739" s="95" t="str">
        <f t="shared" si="361"/>
        <v/>
      </c>
      <c r="U4739" s="32">
        <f t="shared" si="358"/>
        <v>4.9386786693048634E-3</v>
      </c>
      <c r="V4739" s="22">
        <f t="shared" si="359"/>
        <v>8.4202346924084523E-6</v>
      </c>
      <c r="X4739" s="33"/>
      <c r="Y4739" s="33"/>
    </row>
    <row r="4740" spans="1:25" x14ac:dyDescent="0.2">
      <c r="A4740" s="93" t="s">
        <v>3883</v>
      </c>
      <c r="B4740" s="94" t="str">
        <f>IFERROR(VLOOKUP($A4740,HeadJournal!$A$1:$NTR$890,COLUMN(HeadJournal!B$1),0),"")</f>
        <v>720000707680</v>
      </c>
      <c r="C4740" s="94" t="str">
        <f>IFERROR(VLOOKUP($A4740,HeadJournal!$A$1:$NTR$890,COLUMN(HeadJournal!C$1),0),"")</f>
        <v>iHerb_MH DLE7202</v>
      </c>
      <c r="D4740" s="125" t="str">
        <f>IFERROR(VLOOKUP($A4740,HeadJournal!$A$1:$NTR$890,COLUMN(HeadJournal!D$1),0),"")</f>
        <v>Доставлен</v>
      </c>
      <c r="E4740" s="95">
        <f>IFERROR(VLOOKUP($A4740,HeadJournal!$A$1:$NTR$890,COLUMN(HeadJournal!G$1),0),"")</f>
        <v>45818</v>
      </c>
      <c r="F4740" s="95" t="str">
        <f t="shared" ref="F4740:F4803" si="362">IFERROR(TEXT(E4740, "ГГГГ ММ"),"")</f>
        <v>2025 06</v>
      </c>
      <c r="G4740" s="97" t="s">
        <v>5</v>
      </c>
      <c r="H4740" s="161" t="s">
        <v>3871</v>
      </c>
      <c r="I4740" s="97" t="s">
        <v>2218</v>
      </c>
      <c r="J4740" s="97" t="s">
        <v>3872</v>
      </c>
      <c r="K4740" s="29">
        <v>4.3499999999999996</v>
      </c>
      <c r="L4740" s="29">
        <v>-0.87</v>
      </c>
      <c r="M4740" s="30">
        <f>IFERROR(VLOOKUP($A4740,HeadJournal!$A$1:$J$890,COLUMN(HeadJournal!I$1),0)*($K4740+$L4740)/(SUMIF($A:$A,$A4740,$K:$K)+SUMIF($A:$A,$A4740,$L:$L)),0)</f>
        <v>-0.40187969406738783</v>
      </c>
      <c r="N4740" s="30">
        <f>IFERROR((VLOOKUP($A4740,HeadJournal!$A$1:$K$890,COLUMN(HeadJournal!K$1),0)-VLOOKUP($A4740,HeadJournal!$A$1:$K$890,COLUMN(HeadJournal!J$1),0))*($K4740+$L4740)/(SUMIF($A:$A,$A4740,$K:$K)+SUMIF($A:$A,$A4740,$L:$L)),0)</f>
        <v>0</v>
      </c>
      <c r="O4740" s="30">
        <f>IFERROR((VLOOKUP($A4740,HeadJournal!$A$1:$L$890,COLUMN(HeadJournal!L$1),0)*($K4740+$L4740)/(SUMIF($A:$A,$A4740,$K:$K)+SUMIF($A:$A,$A4740,$L:$L)))/VLOOKUP($A4740,HeadJournal!$A$1:$L$890,COLUMN(HeadJournal!H$1),0),0)</f>
        <v>0.17996999106442613</v>
      </c>
      <c r="P4740" s="30">
        <f>IFERROR(SUM(K4740:O4740)*VLOOKUP($A4740,HeadJournal!$A$1:$L$890,COLUMN(HeadJournal!H$1),0),0)</f>
        <v>292.29082615586026</v>
      </c>
      <c r="Q4740" s="29">
        <v>900</v>
      </c>
      <c r="R4740" s="31">
        <v>45850</v>
      </c>
      <c r="S4740" s="31" t="s">
        <v>4483</v>
      </c>
      <c r="T4740" s="95" t="str">
        <f t="shared" ref="T4740:T4803" si="363">IF(R4740="","",TEXT(R4740,"ГГГГ ММ"))</f>
        <v>2025 07</v>
      </c>
      <c r="U4740" s="32">
        <f t="shared" si="358"/>
        <v>607.70917384413974</v>
      </c>
      <c r="V4740" s="22">
        <f t="shared" si="359"/>
        <v>2.079125033914293</v>
      </c>
      <c r="X4740" s="33"/>
      <c r="Y4740" s="33"/>
    </row>
    <row r="4741" spans="1:25" x14ac:dyDescent="0.2">
      <c r="A4741" s="93" t="s">
        <v>3883</v>
      </c>
      <c r="B4741" s="94" t="str">
        <f>IFERROR(VLOOKUP($A4741,HeadJournal!$A$1:$NTR$890,COLUMN(HeadJournal!B$1),0),"")</f>
        <v>720000707680</v>
      </c>
      <c r="C4741" s="94" t="str">
        <f>IFERROR(VLOOKUP($A4741,HeadJournal!$A$1:$NTR$890,COLUMN(HeadJournal!C$1),0),"")</f>
        <v>iHerb_MH DLE7202</v>
      </c>
      <c r="D4741" s="125" t="str">
        <f>IFERROR(VLOOKUP($A4741,HeadJournal!$A$1:$NTR$890,COLUMN(HeadJournal!D$1),0),"")</f>
        <v>Доставлен</v>
      </c>
      <c r="E4741" s="95">
        <f>IFERROR(VLOOKUP($A4741,HeadJournal!$A$1:$NTR$890,COLUMN(HeadJournal!G$1),0),"")</f>
        <v>45818</v>
      </c>
      <c r="F4741" s="95" t="str">
        <f t="shared" si="362"/>
        <v>2025 06</v>
      </c>
      <c r="G4741" s="97" t="s">
        <v>5</v>
      </c>
      <c r="H4741" s="161" t="s">
        <v>3873</v>
      </c>
      <c r="I4741" s="97" t="s">
        <v>3874</v>
      </c>
      <c r="J4741" s="97" t="s">
        <v>3875</v>
      </c>
      <c r="K4741" s="29">
        <v>15.05</v>
      </c>
      <c r="L4741" s="29">
        <v>-3.01</v>
      </c>
      <c r="M4741" s="30">
        <f>IFERROR(VLOOKUP($A4741,HeadJournal!$A$1:$J$890,COLUMN(HeadJournal!I$1),0)*($K4741+$L4741)/(SUMIF($A:$A,$A4741,$K:$K)+SUMIF($A:$A,$A4741,$L:$L)),0)</f>
        <v>-1.3904113553365951</v>
      </c>
      <c r="N4741" s="30">
        <f>IFERROR((VLOOKUP($A4741,HeadJournal!$A$1:$K$890,COLUMN(HeadJournal!K$1),0)-VLOOKUP($A4741,HeadJournal!$A$1:$K$890,COLUMN(HeadJournal!J$1),0))*($K4741+$L4741)/(SUMIF($A:$A,$A4741,$K:$K)+SUMIF($A:$A,$A4741,$L:$L)),0)</f>
        <v>0</v>
      </c>
      <c r="O4741" s="30">
        <f>IFERROR((VLOOKUP($A4741,HeadJournal!$A$1:$L$890,COLUMN(HeadJournal!L$1),0)*($K4741+$L4741)/(SUMIF($A:$A,$A4741,$K:$K)+SUMIF($A:$A,$A4741,$L:$L)))/VLOOKUP($A4741,HeadJournal!$A$1:$L$890,COLUMN(HeadJournal!H$1),0),0)</f>
        <v>0.62265479667117563</v>
      </c>
      <c r="P4741" s="30">
        <f>IFERROR(SUM(K4741:O4741)*VLOOKUP($A4741,HeadJournal!$A$1:$L$890,COLUMN(HeadJournal!H$1),0),0)</f>
        <v>1011.2590652059076</v>
      </c>
      <c r="Q4741" s="29">
        <v>1900</v>
      </c>
      <c r="R4741" s="31">
        <v>45848</v>
      </c>
      <c r="S4741" s="31"/>
      <c r="T4741" s="95" t="str">
        <f t="shared" si="363"/>
        <v>2025 07</v>
      </c>
      <c r="U4741" s="32">
        <f t="shared" si="358"/>
        <v>888.74093479409237</v>
      </c>
      <c r="V4741" s="22">
        <f t="shared" si="359"/>
        <v>0.87884595092666118</v>
      </c>
      <c r="X4741" s="33"/>
      <c r="Y4741" s="33"/>
    </row>
    <row r="4742" spans="1:25" x14ac:dyDescent="0.2">
      <c r="A4742" s="93" t="s">
        <v>3883</v>
      </c>
      <c r="B4742" s="94" t="str">
        <f>IFERROR(VLOOKUP($A4742,HeadJournal!$A$1:$NTR$890,COLUMN(HeadJournal!B$1),0),"")</f>
        <v>720000707680</v>
      </c>
      <c r="C4742" s="94" t="str">
        <f>IFERROR(VLOOKUP($A4742,HeadJournal!$A$1:$NTR$890,COLUMN(HeadJournal!C$1),0),"")</f>
        <v>iHerb_MH DLE7202</v>
      </c>
      <c r="D4742" s="125" t="str">
        <f>IFERROR(VLOOKUP($A4742,HeadJournal!$A$1:$NTR$890,COLUMN(HeadJournal!D$1),0),"")</f>
        <v>Доставлен</v>
      </c>
      <c r="E4742" s="95">
        <f>IFERROR(VLOOKUP($A4742,HeadJournal!$A$1:$NTR$890,COLUMN(HeadJournal!G$1),0),"")</f>
        <v>45818</v>
      </c>
      <c r="F4742" s="95" t="str">
        <f t="shared" si="362"/>
        <v>2025 06</v>
      </c>
      <c r="G4742" s="97" t="s">
        <v>5</v>
      </c>
      <c r="H4742" s="161" t="s">
        <v>2081</v>
      </c>
      <c r="I4742" s="97" t="s">
        <v>2005</v>
      </c>
      <c r="J4742" s="97" t="s">
        <v>2082</v>
      </c>
      <c r="K4742" s="29">
        <v>9.41</v>
      </c>
      <c r="L4742" s="29">
        <v>-1.88</v>
      </c>
      <c r="M4742" s="30">
        <f>IFERROR(VLOOKUP($A4742,HeadJournal!$A$1:$J$890,COLUMN(HeadJournal!I$1),0)*($K4742+$L4742)/(SUMIF($A:$A,$A4742,$K:$K)+SUMIF($A:$A,$A4742,$L:$L)),0)</f>
        <v>-0.86958451043891694</v>
      </c>
      <c r="N4742" s="30">
        <f>IFERROR((VLOOKUP($A4742,HeadJournal!$A$1:$K$890,COLUMN(HeadJournal!K$1),0)-VLOOKUP($A4742,HeadJournal!$A$1:$K$890,COLUMN(HeadJournal!J$1),0))*($K4742+$L4742)/(SUMIF($A:$A,$A4742,$K:$K)+SUMIF($A:$A,$A4742,$L:$L)),0)</f>
        <v>0</v>
      </c>
      <c r="O4742" s="30">
        <f>IFERROR((VLOOKUP($A4742,HeadJournal!$A$1:$L$890,COLUMN(HeadJournal!L$1),0)*($K4742+$L4742)/(SUMIF($A:$A,$A4742,$K:$K)+SUMIF($A:$A,$A4742,$L:$L)))/VLOOKUP($A4742,HeadJournal!$A$1:$L$890,COLUMN(HeadJournal!H$1),0),0)</f>
        <v>0.38941782549285314</v>
      </c>
      <c r="P4742" s="30">
        <f>IFERROR(SUM(K4742:O4742)*VLOOKUP($A4742,HeadJournal!$A$1:$L$890,COLUMN(HeadJournal!H$1),0),0)</f>
        <v>632.45687383724953</v>
      </c>
      <c r="Q4742" s="29">
        <v>1700</v>
      </c>
      <c r="R4742" s="31">
        <v>45898</v>
      </c>
      <c r="S4742" s="31" t="s">
        <v>3290</v>
      </c>
      <c r="T4742" s="95" t="str">
        <f t="shared" si="363"/>
        <v>2025 08</v>
      </c>
      <c r="U4742" s="32">
        <f t="shared" si="358"/>
        <v>1067.5431261627505</v>
      </c>
      <c r="V4742" s="22">
        <f t="shared" si="359"/>
        <v>1.687930308490033</v>
      </c>
      <c r="X4742" s="33"/>
      <c r="Y4742" s="33"/>
    </row>
    <row r="4743" spans="1:25" x14ac:dyDescent="0.2">
      <c r="A4743" s="93" t="s">
        <v>3883</v>
      </c>
      <c r="B4743" s="94" t="str">
        <f>IFERROR(VLOOKUP($A4743,HeadJournal!$A$1:$NTR$890,COLUMN(HeadJournal!B$1),0),"")</f>
        <v>720000707680</v>
      </c>
      <c r="C4743" s="94" t="str">
        <f>IFERROR(VLOOKUP($A4743,HeadJournal!$A$1:$NTR$890,COLUMN(HeadJournal!C$1),0),"")</f>
        <v>iHerb_MH DLE7202</v>
      </c>
      <c r="D4743" s="125" t="str">
        <f>IFERROR(VLOOKUP($A4743,HeadJournal!$A$1:$NTR$890,COLUMN(HeadJournal!D$1),0),"")</f>
        <v>Доставлен</v>
      </c>
      <c r="E4743" s="95">
        <f>IFERROR(VLOOKUP($A4743,HeadJournal!$A$1:$NTR$890,COLUMN(HeadJournal!G$1),0),"")</f>
        <v>45818</v>
      </c>
      <c r="F4743" s="95" t="str">
        <f t="shared" si="362"/>
        <v>2025 06</v>
      </c>
      <c r="G4743" s="97" t="s">
        <v>5</v>
      </c>
      <c r="H4743" s="161" t="s">
        <v>3876</v>
      </c>
      <c r="I4743" s="97" t="s">
        <v>2221</v>
      </c>
      <c r="J4743" s="97" t="s">
        <v>3877</v>
      </c>
      <c r="K4743" s="29">
        <v>7.77</v>
      </c>
      <c r="L4743" s="29">
        <v>-1.55</v>
      </c>
      <c r="M4743" s="30">
        <f>IFERROR(VLOOKUP($A4743,HeadJournal!$A$1:$J$890,COLUMN(HeadJournal!I$1),0)*($K4743+$L4743)/(SUMIF($A:$A,$A4743,$K:$K)+SUMIF($A:$A,$A4743,$L:$L)),0)</f>
        <v>-0.71830221181010134</v>
      </c>
      <c r="N4743" s="30">
        <f>IFERROR((VLOOKUP($A4743,HeadJournal!$A$1:$K$890,COLUMN(HeadJournal!K$1),0)-VLOOKUP($A4743,HeadJournal!$A$1:$K$890,COLUMN(HeadJournal!J$1),0))*($K4743+$L4743)/(SUMIF($A:$A,$A4743,$K:$K)+SUMIF($A:$A,$A4743,$L:$L)),0)</f>
        <v>0</v>
      </c>
      <c r="O4743" s="30">
        <f>IFERROR((VLOOKUP($A4743,HeadJournal!$A$1:$L$890,COLUMN(HeadJournal!L$1),0)*($K4743+$L4743)/(SUMIF($A:$A,$A4743,$K:$K)+SUMIF($A:$A,$A4743,$L:$L)))/VLOOKUP($A4743,HeadJournal!$A$1:$L$890,COLUMN(HeadJournal!H$1),0),0)</f>
        <v>0.32167050127032487</v>
      </c>
      <c r="P4743" s="30">
        <f>IFERROR(SUM(K4743:O4743)*VLOOKUP($A4743,HeadJournal!$A$1:$L$890,COLUMN(HeadJournal!H$1),0),0)</f>
        <v>522.42785594524446</v>
      </c>
      <c r="Q4743" s="29">
        <v>1400</v>
      </c>
      <c r="R4743" s="31">
        <v>46106</v>
      </c>
      <c r="S4743" s="31" t="s">
        <v>3226</v>
      </c>
      <c r="T4743" s="95" t="str">
        <f t="shared" si="363"/>
        <v>2026 03</v>
      </c>
      <c r="U4743" s="32">
        <f t="shared" si="358"/>
        <v>877.57214405475554</v>
      </c>
      <c r="V4743" s="22">
        <f t="shared" si="359"/>
        <v>1.679795849451668</v>
      </c>
      <c r="X4743" s="33"/>
      <c r="Y4743" s="33"/>
    </row>
    <row r="4744" spans="1:25" x14ac:dyDescent="0.2">
      <c r="A4744" s="93" t="s">
        <v>3883</v>
      </c>
      <c r="B4744" s="94" t="str">
        <f>IFERROR(VLOOKUP($A4744,HeadJournal!$A$1:$NTR$890,COLUMN(HeadJournal!B$1),0),"")</f>
        <v>720000707680</v>
      </c>
      <c r="C4744" s="94" t="str">
        <f>IFERROR(VLOOKUP($A4744,HeadJournal!$A$1:$NTR$890,COLUMN(HeadJournal!C$1),0),"")</f>
        <v>iHerb_MH DLE7202</v>
      </c>
      <c r="D4744" s="125" t="str">
        <f>IFERROR(VLOOKUP($A4744,HeadJournal!$A$1:$NTR$890,COLUMN(HeadJournal!D$1),0),"")</f>
        <v>Доставлен</v>
      </c>
      <c r="E4744" s="95">
        <f>IFERROR(VLOOKUP($A4744,HeadJournal!$A$1:$NTR$890,COLUMN(HeadJournal!G$1),0),"")</f>
        <v>45818</v>
      </c>
      <c r="F4744" s="95" t="str">
        <f t="shared" si="362"/>
        <v>2025 06</v>
      </c>
      <c r="G4744" s="97" t="s">
        <v>5</v>
      </c>
      <c r="H4744" s="161" t="s">
        <v>2075</v>
      </c>
      <c r="I4744" s="97" t="s">
        <v>2005</v>
      </c>
      <c r="J4744" s="97" t="s">
        <v>3878</v>
      </c>
      <c r="K4744" s="29">
        <v>27.33</v>
      </c>
      <c r="L4744" s="29">
        <v>-5.47</v>
      </c>
      <c r="M4744" s="30">
        <f>IFERROR(VLOOKUP($A4744,HeadJournal!$A$1:$J$890,COLUMN(HeadJournal!I$1),0)*($K4744+$L4744)/(SUMIF($A:$A,$A4744,$K:$K)+SUMIF($A:$A,$A4744,$L:$L)),0)</f>
        <v>-2.5244511816991664</v>
      </c>
      <c r="N4744" s="30">
        <f>IFERROR((VLOOKUP($A4744,HeadJournal!$A$1:$K$890,COLUMN(HeadJournal!K$1),0)-VLOOKUP($A4744,HeadJournal!$A$1:$K$890,COLUMN(HeadJournal!J$1),0))*($K4744+$L4744)/(SUMIF($A:$A,$A4744,$K:$K)+SUMIF($A:$A,$A4744,$L:$L)),0)</f>
        <v>0</v>
      </c>
      <c r="O4744" s="30">
        <f>IFERROR((VLOOKUP($A4744,HeadJournal!$A$1:$L$890,COLUMN(HeadJournal!L$1),0)*($K4744+$L4744)/(SUMIF($A:$A,$A4744,$K:$K)+SUMIF($A:$A,$A4744,$L:$L)))/VLOOKUP($A4744,HeadJournal!$A$1:$L$890,COLUMN(HeadJournal!H$1),0),0)</f>
        <v>1.130501150766769</v>
      </c>
      <c r="P4744" s="30">
        <f>IFERROR(SUM(K4744:O4744)*VLOOKUP($A4744,HeadJournal!$A$1:$L$890,COLUMN(HeadJournal!H$1),0),0)</f>
        <v>1836.0567413123867</v>
      </c>
      <c r="Q4744" s="29">
        <v>3200</v>
      </c>
      <c r="R4744" s="31">
        <v>45848</v>
      </c>
      <c r="S4744" s="31" t="s">
        <v>3441</v>
      </c>
      <c r="T4744" s="95" t="str">
        <f t="shared" si="363"/>
        <v>2025 07</v>
      </c>
      <c r="U4744" s="32">
        <f t="shared" si="358"/>
        <v>1363.9432586876133</v>
      </c>
      <c r="V4744" s="22">
        <f t="shared" si="359"/>
        <v>0.74286552697314046</v>
      </c>
      <c r="X4744" s="33"/>
      <c r="Y4744" s="33"/>
    </row>
    <row r="4745" spans="1:25" x14ac:dyDescent="0.2">
      <c r="A4745" s="93" t="s">
        <v>3883</v>
      </c>
      <c r="B4745" s="94" t="str">
        <f>IFERROR(VLOOKUP($A4745,HeadJournal!$A$1:$NTR$890,COLUMN(HeadJournal!B$1),0),"")</f>
        <v>720000707680</v>
      </c>
      <c r="C4745" s="94" t="str">
        <f>IFERROR(VLOOKUP($A4745,HeadJournal!$A$1:$NTR$890,COLUMN(HeadJournal!C$1),0),"")</f>
        <v>iHerb_MH DLE7202</v>
      </c>
      <c r="D4745" s="125" t="str">
        <f>IFERROR(VLOOKUP($A4745,HeadJournal!$A$1:$NTR$890,COLUMN(HeadJournal!D$1),0),"")</f>
        <v>Доставлен</v>
      </c>
      <c r="E4745" s="95">
        <f>IFERROR(VLOOKUP($A4745,HeadJournal!$A$1:$NTR$890,COLUMN(HeadJournal!G$1),0),"")</f>
        <v>45818</v>
      </c>
      <c r="F4745" s="95" t="str">
        <f t="shared" si="362"/>
        <v>2025 06</v>
      </c>
      <c r="G4745" s="97" t="s">
        <v>5</v>
      </c>
      <c r="H4745" s="161" t="s">
        <v>2076</v>
      </c>
      <c r="I4745" s="97" t="s">
        <v>2005</v>
      </c>
      <c r="J4745" s="97" t="s">
        <v>2077</v>
      </c>
      <c r="K4745" s="29">
        <v>18.829999999999998</v>
      </c>
      <c r="L4745" s="29">
        <v>-3.77</v>
      </c>
      <c r="M4745" s="30">
        <f>IFERROR(VLOOKUP($A4745,HeadJournal!$A$1:$J$890,COLUMN(HeadJournal!I$1),0)*($K4745+$L4745)/(SUMIF($A:$A,$A4745,$K:$K)+SUMIF($A:$A,$A4745,$L:$L)),0)</f>
        <v>-1.7391690208778336</v>
      </c>
      <c r="N4745" s="30">
        <f>IFERROR((VLOOKUP($A4745,HeadJournal!$A$1:$K$890,COLUMN(HeadJournal!K$1),0)-VLOOKUP($A4745,HeadJournal!$A$1:$K$890,COLUMN(HeadJournal!J$1),0))*($K4745+$L4745)/(SUMIF($A:$A,$A4745,$K:$K)+SUMIF($A:$A,$A4745,$L:$L)),0)</f>
        <v>0</v>
      </c>
      <c r="O4745" s="30">
        <f>IFERROR((VLOOKUP($A4745,HeadJournal!$A$1:$L$890,COLUMN(HeadJournal!L$1),0)*($K4745+$L4745)/(SUMIF($A:$A,$A4745,$K:$K)+SUMIF($A:$A,$A4745,$L:$L)))/VLOOKUP($A4745,HeadJournal!$A$1:$L$890,COLUMN(HeadJournal!H$1),0),0)</f>
        <v>0.77883565098570617</v>
      </c>
      <c r="P4745" s="30">
        <f>IFERROR(SUM(K4745:O4745)*VLOOKUP($A4745,HeadJournal!$A$1:$L$890,COLUMN(HeadJournal!H$1),0),0)</f>
        <v>1264.9137476744988</v>
      </c>
      <c r="Q4745" s="29">
        <v>2500</v>
      </c>
      <c r="R4745" s="31">
        <v>45881</v>
      </c>
      <c r="S4745" s="31" t="s">
        <v>3475</v>
      </c>
      <c r="T4745" s="95" t="str">
        <f t="shared" si="363"/>
        <v>2025 08</v>
      </c>
      <c r="U4745" s="32">
        <f t="shared" si="358"/>
        <v>1235.0862523255012</v>
      </c>
      <c r="V4745" s="22">
        <f t="shared" si="359"/>
        <v>0.97641934447796574</v>
      </c>
      <c r="X4745" s="33"/>
      <c r="Y4745" s="33"/>
    </row>
    <row r="4746" spans="1:25" x14ac:dyDescent="0.2">
      <c r="A4746" s="93" t="s">
        <v>3883</v>
      </c>
      <c r="B4746" s="94" t="str">
        <f>IFERROR(VLOOKUP($A4746,HeadJournal!$A$1:$NTR$890,COLUMN(HeadJournal!B$1),0),"")</f>
        <v>720000707680</v>
      </c>
      <c r="C4746" s="94" t="str">
        <f>IFERROR(VLOOKUP($A4746,HeadJournal!$A$1:$NTR$890,COLUMN(HeadJournal!C$1),0),"")</f>
        <v>iHerb_MH DLE7202</v>
      </c>
      <c r="D4746" s="125" t="str">
        <f>IFERROR(VLOOKUP($A4746,HeadJournal!$A$1:$NTR$890,COLUMN(HeadJournal!D$1),0),"")</f>
        <v>Доставлен</v>
      </c>
      <c r="E4746" s="95">
        <f>IFERROR(VLOOKUP($A4746,HeadJournal!$A$1:$NTR$890,COLUMN(HeadJournal!G$1),0),"")</f>
        <v>45818</v>
      </c>
      <c r="F4746" s="95" t="str">
        <f t="shared" si="362"/>
        <v>2025 06</v>
      </c>
      <c r="G4746" s="97" t="s">
        <v>5</v>
      </c>
      <c r="H4746" s="161" t="s">
        <v>2103</v>
      </c>
      <c r="I4746" s="97" t="s">
        <v>2039</v>
      </c>
      <c r="J4746" s="97" t="s">
        <v>2104</v>
      </c>
      <c r="K4746" s="29">
        <v>20.48</v>
      </c>
      <c r="L4746" s="29">
        <v>-4.0999999999999996</v>
      </c>
      <c r="M4746" s="30">
        <f>IFERROR(VLOOKUP($A4746,HeadJournal!$A$1:$J$890,COLUMN(HeadJournal!I$1),0)*($K4746+$L4746)/(SUMIF($A:$A,$A4746,$K:$K)+SUMIF($A:$A,$A4746,$L:$L)),0)</f>
        <v>-1.8916061462137397</v>
      </c>
      <c r="N4746" s="30">
        <f>IFERROR((VLOOKUP($A4746,HeadJournal!$A$1:$K$890,COLUMN(HeadJournal!K$1),0)-VLOOKUP($A4746,HeadJournal!$A$1:$K$890,COLUMN(HeadJournal!J$1),0))*($K4746+$L4746)/(SUMIF($A:$A,$A4746,$K:$K)+SUMIF($A:$A,$A4746,$L:$L)),0)</f>
        <v>0</v>
      </c>
      <c r="O4746" s="30">
        <f>IFERROR((VLOOKUP($A4746,HeadJournal!$A$1:$L$890,COLUMN(HeadJournal!L$1),0)*($K4746+$L4746)/(SUMIF($A:$A,$A4746,$K:$K)+SUMIF($A:$A,$A4746,$L:$L)))/VLOOKUP($A4746,HeadJournal!$A$1:$L$890,COLUMN(HeadJournal!H$1),0),0)</f>
        <v>0.84710013035497156</v>
      </c>
      <c r="P4746" s="30">
        <f>IFERROR(SUM(K4746:O4746)*VLOOKUP($A4746,HeadJournal!$A$1:$L$890,COLUMN(HeadJournal!H$1),0),0)</f>
        <v>1375.7826817336186</v>
      </c>
      <c r="Q4746" s="29">
        <v>2300</v>
      </c>
      <c r="R4746" s="31">
        <v>45881</v>
      </c>
      <c r="S4746" s="31" t="s">
        <v>4868</v>
      </c>
      <c r="T4746" s="95" t="str">
        <f t="shared" si="363"/>
        <v>2025 08</v>
      </c>
      <c r="U4746" s="32">
        <f t="shared" si="358"/>
        <v>924.21731826638143</v>
      </c>
      <c r="V4746" s="22">
        <f t="shared" si="359"/>
        <v>0.6717756594390174</v>
      </c>
      <c r="X4746" s="33"/>
      <c r="Y4746" s="33"/>
    </row>
    <row r="4747" spans="1:25" x14ac:dyDescent="0.2">
      <c r="A4747" s="93" t="s">
        <v>3883</v>
      </c>
      <c r="B4747" s="94" t="str">
        <f>IFERROR(VLOOKUP($A4747,HeadJournal!$A$1:$NTR$890,COLUMN(HeadJournal!B$1),0),"")</f>
        <v>720000707680</v>
      </c>
      <c r="C4747" s="94" t="str">
        <f>IFERROR(VLOOKUP($A4747,HeadJournal!$A$1:$NTR$890,COLUMN(HeadJournal!C$1),0),"")</f>
        <v>iHerb_MH DLE7202</v>
      </c>
      <c r="D4747" s="125" t="str">
        <f>IFERROR(VLOOKUP($A4747,HeadJournal!$A$1:$NTR$890,COLUMN(HeadJournal!D$1),0),"")</f>
        <v>Доставлен</v>
      </c>
      <c r="E4747" s="95">
        <f>IFERROR(VLOOKUP($A4747,HeadJournal!$A$1:$NTR$890,COLUMN(HeadJournal!G$1),0),"")</f>
        <v>45818</v>
      </c>
      <c r="F4747" s="95" t="str">
        <f t="shared" si="362"/>
        <v>2025 06</v>
      </c>
      <c r="G4747" s="97" t="s">
        <v>5</v>
      </c>
      <c r="H4747" s="161" t="s">
        <v>2105</v>
      </c>
      <c r="I4747" s="97" t="s">
        <v>2039</v>
      </c>
      <c r="J4747" s="97" t="s">
        <v>2106</v>
      </c>
      <c r="K4747" s="29">
        <v>12.6</v>
      </c>
      <c r="L4747" s="29">
        <v>-2.52</v>
      </c>
      <c r="M4747" s="30">
        <f>IFERROR(VLOOKUP($A4747,HeadJournal!$A$1:$J$890,COLUMN(HeadJournal!I$1),0)*($K4747+$L4747)/(SUMIF($A:$A,$A4747,$K:$K)+SUMIF($A:$A,$A4747,$L:$L)),0)</f>
        <v>-1.1640653207469167</v>
      </c>
      <c r="N4747" s="30">
        <f>IFERROR((VLOOKUP($A4747,HeadJournal!$A$1:$K$890,COLUMN(HeadJournal!K$1),0)-VLOOKUP($A4747,HeadJournal!$A$1:$K$890,COLUMN(HeadJournal!J$1),0))*($K4747+$L4747)/(SUMIF($A:$A,$A4747,$K:$K)+SUMIF($A:$A,$A4747,$L:$L)),0)</f>
        <v>0</v>
      </c>
      <c r="O4747" s="30">
        <f>IFERROR((VLOOKUP($A4747,HeadJournal!$A$1:$L$890,COLUMN(HeadJournal!L$1),0)*($K4747+$L4747)/(SUMIF($A:$A,$A4747,$K:$K)+SUMIF($A:$A,$A4747,$L:$L)))/VLOOKUP($A4747,HeadJournal!$A$1:$L$890,COLUMN(HeadJournal!H$1),0),0)</f>
        <v>0.52129238791075172</v>
      </c>
      <c r="P4747" s="30">
        <f>IFERROR(SUM(K4747:O4747)*VLOOKUP($A4747,HeadJournal!$A$1:$L$890,COLUMN(HeadJournal!H$1),0),0)</f>
        <v>846.63549645145747</v>
      </c>
      <c r="Q4747" s="29">
        <v>1700</v>
      </c>
      <c r="R4747" s="31">
        <v>45881</v>
      </c>
      <c r="S4747" s="31" t="s">
        <v>4868</v>
      </c>
      <c r="T4747" s="95" t="str">
        <f t="shared" si="363"/>
        <v>2025 08</v>
      </c>
      <c r="U4747" s="32">
        <f t="shared" si="358"/>
        <v>853.36450354854253</v>
      </c>
      <c r="V4747" s="22">
        <f t="shared" si="359"/>
        <v>1.007947938782733</v>
      </c>
      <c r="X4747" s="33"/>
      <c r="Y4747" s="33"/>
    </row>
    <row r="4748" spans="1:25" x14ac:dyDescent="0.2">
      <c r="A4748" s="93" t="s">
        <v>3883</v>
      </c>
      <c r="B4748" s="94" t="str">
        <f>IFERROR(VLOOKUP($A4748,HeadJournal!$A$1:$NTR$890,COLUMN(HeadJournal!B$1),0),"")</f>
        <v>720000707680</v>
      </c>
      <c r="C4748" s="94" t="str">
        <f>IFERROR(VLOOKUP($A4748,HeadJournal!$A$1:$NTR$890,COLUMN(HeadJournal!C$1),0),"")</f>
        <v>iHerb_MH DLE7202</v>
      </c>
      <c r="D4748" s="125" t="str">
        <f>IFERROR(VLOOKUP($A4748,HeadJournal!$A$1:$NTR$890,COLUMN(HeadJournal!D$1),0),"")</f>
        <v>Доставлен</v>
      </c>
      <c r="E4748" s="95">
        <f>IFERROR(VLOOKUP($A4748,HeadJournal!$A$1:$NTR$890,COLUMN(HeadJournal!G$1),0),"")</f>
        <v>45818</v>
      </c>
      <c r="F4748" s="95" t="str">
        <f t="shared" si="362"/>
        <v>2025 06</v>
      </c>
      <c r="G4748" s="97" t="s">
        <v>5</v>
      </c>
      <c r="H4748" s="161" t="s">
        <v>2158</v>
      </c>
      <c r="I4748" s="97" t="s">
        <v>2159</v>
      </c>
      <c r="J4748" s="97" t="s">
        <v>2852</v>
      </c>
      <c r="K4748" s="29">
        <v>21.23</v>
      </c>
      <c r="L4748" s="29">
        <v>-4.25</v>
      </c>
      <c r="M4748" s="30">
        <f>IFERROR(VLOOKUP($A4748,HeadJournal!$A$1:$J$890,COLUMN(HeadJournal!I$1),0)*($K4748+$L4748)/(SUMIF($A:$A,$A4748,$K:$K)+SUMIF($A:$A,$A4748,$L:$L)),0)</f>
        <v>-1.9608957486391514</v>
      </c>
      <c r="N4748" s="30">
        <f>IFERROR((VLOOKUP($A4748,HeadJournal!$A$1:$K$890,COLUMN(HeadJournal!K$1),0)-VLOOKUP($A4748,HeadJournal!$A$1:$K$890,COLUMN(HeadJournal!J$1),0))*($K4748+$L4748)/(SUMIF($A:$A,$A4748,$K:$K)+SUMIF($A:$A,$A4748,$L:$L)),0)</f>
        <v>0</v>
      </c>
      <c r="O4748" s="30">
        <f>IFERROR((VLOOKUP($A4748,HeadJournal!$A$1:$L$890,COLUMN(HeadJournal!L$1),0)*($K4748+$L4748)/(SUMIF($A:$A,$A4748,$K:$K)+SUMIF($A:$A,$A4748,$L:$L)))/VLOOKUP($A4748,HeadJournal!$A$1:$L$890,COLUMN(HeadJournal!H$1),0),0)</f>
        <v>0.87812943915918285</v>
      </c>
      <c r="P4748" s="30">
        <f>IFERROR(SUM(K4748:O4748)*VLOOKUP($A4748,HeadJournal!$A$1:$L$890,COLUMN(HeadJournal!H$1),0),0)</f>
        <v>1426.1776517604908</v>
      </c>
      <c r="Q4748" s="29">
        <v>2800</v>
      </c>
      <c r="R4748" s="31">
        <v>45930</v>
      </c>
      <c r="S4748" s="31"/>
      <c r="T4748" s="95" t="str">
        <f t="shared" si="363"/>
        <v>2025 09</v>
      </c>
      <c r="U4748" s="32">
        <f t="shared" si="358"/>
        <v>1373.8223482395092</v>
      </c>
      <c r="V4748" s="22">
        <f t="shared" si="359"/>
        <v>0.96328977427436646</v>
      </c>
      <c r="X4748" s="33"/>
      <c r="Y4748" s="33"/>
    </row>
    <row r="4749" spans="1:25" x14ac:dyDescent="0.2">
      <c r="A4749" s="93" t="s">
        <v>3883</v>
      </c>
      <c r="B4749" s="94" t="str">
        <f>IFERROR(VLOOKUP($A4749,HeadJournal!$A$1:$NTR$890,COLUMN(HeadJournal!B$1),0),"")</f>
        <v>720000707680</v>
      </c>
      <c r="C4749" s="94" t="str">
        <f>IFERROR(VLOOKUP($A4749,HeadJournal!$A$1:$NTR$890,COLUMN(HeadJournal!C$1),0),"")</f>
        <v>iHerb_MH DLE7202</v>
      </c>
      <c r="D4749" s="125" t="str">
        <f>IFERROR(VLOOKUP($A4749,HeadJournal!$A$1:$NTR$890,COLUMN(HeadJournal!D$1),0),"")</f>
        <v>Доставлен</v>
      </c>
      <c r="E4749" s="95">
        <f>IFERROR(VLOOKUP($A4749,HeadJournal!$A$1:$NTR$890,COLUMN(HeadJournal!G$1),0),"")</f>
        <v>45818</v>
      </c>
      <c r="F4749" s="95" t="str">
        <f t="shared" si="362"/>
        <v>2025 06</v>
      </c>
      <c r="G4749" s="97" t="s">
        <v>7</v>
      </c>
      <c r="H4749" s="161" t="s">
        <v>3879</v>
      </c>
      <c r="I4749" s="97" t="s">
        <v>2556</v>
      </c>
      <c r="J4749" s="97" t="s">
        <v>3880</v>
      </c>
      <c r="K4749" s="29">
        <v>12.9</v>
      </c>
      <c r="L4749" s="29">
        <v>-11.9</v>
      </c>
      <c r="M4749" s="30">
        <f>IFERROR(VLOOKUP($A4749,HeadJournal!$A$1:$J$890,COLUMN(HeadJournal!I$1),0)*($K4749+$L4749)/(SUMIF($A:$A,$A4749,$K:$K)+SUMIF($A:$A,$A4749,$L:$L)),0)</f>
        <v>-0.11548267070901952</v>
      </c>
      <c r="N4749" s="30">
        <f>IFERROR((VLOOKUP($A4749,HeadJournal!$A$1:$K$890,COLUMN(HeadJournal!K$1),0)-VLOOKUP($A4749,HeadJournal!$A$1:$K$890,COLUMN(HeadJournal!J$1),0))*($K4749+$L4749)/(SUMIF($A:$A,$A4749,$K:$K)+SUMIF($A:$A,$A4749,$L:$L)),0)</f>
        <v>0</v>
      </c>
      <c r="O4749" s="30">
        <f>IFERROR((VLOOKUP($A4749,HeadJournal!$A$1:$L$890,COLUMN(HeadJournal!L$1),0)*($K4749+$L4749)/(SUMIF($A:$A,$A4749,$K:$K)+SUMIF($A:$A,$A4749,$L:$L)))/VLOOKUP($A4749,HeadJournal!$A$1:$L$890,COLUMN(HeadJournal!H$1),0),0)</f>
        <v>5.1715514673685674E-2</v>
      </c>
      <c r="P4749" s="30">
        <f>IFERROR(SUM(K4749:O4749)*VLOOKUP($A4749,HeadJournal!$A$1:$L$890,COLUMN(HeadJournal!H$1),0),0)</f>
        <v>83.9916167114541</v>
      </c>
      <c r="Q4749" s="29"/>
      <c r="R4749" s="31"/>
      <c r="S4749" s="31"/>
      <c r="T4749" s="95" t="str">
        <f t="shared" si="363"/>
        <v/>
      </c>
      <c r="U4749" s="32">
        <f t="shared" si="358"/>
        <v>-83.9916167114541</v>
      </c>
      <c r="V4749" s="22" t="str">
        <f t="shared" si="359"/>
        <v/>
      </c>
      <c r="X4749" s="33"/>
      <c r="Y4749" s="33"/>
    </row>
    <row r="4750" spans="1:25" x14ac:dyDescent="0.2">
      <c r="A4750" s="93" t="s">
        <v>3883</v>
      </c>
      <c r="B4750" s="94" t="str">
        <f>IFERROR(VLOOKUP($A4750,HeadJournal!$A$1:$NTR$890,COLUMN(HeadJournal!B$1),0),"")</f>
        <v>720000707680</v>
      </c>
      <c r="C4750" s="94" t="str">
        <f>IFERROR(VLOOKUP($A4750,HeadJournal!$A$1:$NTR$890,COLUMN(HeadJournal!C$1),0),"")</f>
        <v>iHerb_MH DLE7202</v>
      </c>
      <c r="D4750" s="125" t="str">
        <f>IFERROR(VLOOKUP($A4750,HeadJournal!$A$1:$NTR$890,COLUMN(HeadJournal!D$1),0),"")</f>
        <v>Доставлен</v>
      </c>
      <c r="E4750" s="95">
        <f>IFERROR(VLOOKUP($A4750,HeadJournal!$A$1:$NTR$890,COLUMN(HeadJournal!G$1),0),"")</f>
        <v>45818</v>
      </c>
      <c r="F4750" s="95" t="str">
        <f t="shared" si="362"/>
        <v>2025 06</v>
      </c>
      <c r="G4750" s="97" t="s">
        <v>5</v>
      </c>
      <c r="H4750" s="161" t="s">
        <v>3881</v>
      </c>
      <c r="I4750" s="97" t="s">
        <v>2008</v>
      </c>
      <c r="J4750" s="97" t="s">
        <v>3882</v>
      </c>
      <c r="K4750" s="29">
        <v>43.12</v>
      </c>
      <c r="L4750" s="29">
        <v>-8.6199999999999992</v>
      </c>
      <c r="M4750" s="30">
        <f>IFERROR(VLOOKUP($A4750,HeadJournal!$A$1:$J$890,COLUMN(HeadJournal!I$1),0)*($K4750+$L4750)/(SUMIF($A:$A,$A4750,$K:$K)+SUMIF($A:$A,$A4750,$L:$L)),0)</f>
        <v>-3.9841521394611732</v>
      </c>
      <c r="N4750" s="30">
        <f>IFERROR((VLOOKUP($A4750,HeadJournal!$A$1:$K$890,COLUMN(HeadJournal!K$1),0)-VLOOKUP($A4750,HeadJournal!$A$1:$K$890,COLUMN(HeadJournal!J$1),0))*($K4750+$L4750)/(SUMIF($A:$A,$A4750,$K:$K)+SUMIF($A:$A,$A4750,$L:$L)),0)</f>
        <v>0</v>
      </c>
      <c r="O4750" s="30">
        <f>IFERROR((VLOOKUP($A4750,HeadJournal!$A$1:$L$890,COLUMN(HeadJournal!L$1),0)*($K4750+$L4750)/(SUMIF($A:$A,$A4750,$K:$K)+SUMIF($A:$A,$A4750,$L:$L)))/VLOOKUP($A4750,HeadJournal!$A$1:$L$890,COLUMN(HeadJournal!H$1),0),0)</f>
        <v>1.7841852562421556</v>
      </c>
      <c r="P4750" s="30">
        <f>IFERROR(SUM(K4750:O4750)*VLOOKUP($A4750,HeadJournal!$A$1:$L$890,COLUMN(HeadJournal!H$1),0),0)</f>
        <v>2897.7107765451665</v>
      </c>
      <c r="Q4750" s="29">
        <v>2897.71</v>
      </c>
      <c r="R4750" s="31"/>
      <c r="S4750" s="31"/>
      <c r="T4750" s="95" t="str">
        <f t="shared" si="363"/>
        <v/>
      </c>
      <c r="U4750" s="32">
        <f t="shared" si="358"/>
        <v>-7.7654516644543037E-4</v>
      </c>
      <c r="V4750" s="22">
        <f t="shared" si="359"/>
        <v>-2.6798573989198346E-7</v>
      </c>
      <c r="X4750" s="33"/>
      <c r="Y4750" s="33"/>
    </row>
    <row r="4751" spans="1:25" x14ac:dyDescent="0.2">
      <c r="A4751" s="93" t="s">
        <v>3887</v>
      </c>
      <c r="B4751" s="94">
        <f>IFERROR(VLOOKUP($A4751,HeadJournal!$A$1:$NTR$890,COLUMN(HeadJournal!B$1),0),"")</f>
        <v>0</v>
      </c>
      <c r="C4751" s="94" t="str">
        <f>IFERROR(VLOOKUP($A4751,HeadJournal!$A$1:$NTR$890,COLUMN(HeadJournal!C$1),0),"")</f>
        <v>WBRS</v>
      </c>
      <c r="D4751" s="125" t="str">
        <f>IFERROR(VLOOKUP($A4751,HeadJournal!$A$1:$NTR$890,COLUMN(HeadJournal!D$1),0),"")</f>
        <v>Доставлен</v>
      </c>
      <c r="E4751" s="95">
        <f>IFERROR(VLOOKUP($A4751,HeadJournal!$A$1:$NTR$890,COLUMN(HeadJournal!G$1),0),"")</f>
        <v>45709</v>
      </c>
      <c r="F4751" s="95" t="str">
        <f t="shared" si="362"/>
        <v>2025 02</v>
      </c>
      <c r="G4751" s="97" t="s">
        <v>7</v>
      </c>
      <c r="H4751" s="161" t="s">
        <v>3892</v>
      </c>
      <c r="I4751" s="97" t="s">
        <v>3888</v>
      </c>
      <c r="J4751" s="97" t="s">
        <v>3889</v>
      </c>
      <c r="K4751" s="29">
        <v>1057</v>
      </c>
      <c r="L4751" s="29"/>
      <c r="M4751" s="30">
        <f>IFERROR(VLOOKUP($A4751,HeadJournal!$A$1:$J$890,COLUMN(HeadJournal!I$1),0)*($K4751+$L4751)/(SUMIF($A:$A,$A4751,$K:$K)+SUMIF($A:$A,$A4751,$L:$L)),0)</f>
        <v>0</v>
      </c>
      <c r="N4751" s="30">
        <f>IFERROR((VLOOKUP($A4751,HeadJournal!$A$1:$K$890,COLUMN(HeadJournal!K$1),0)-VLOOKUP($A4751,HeadJournal!$A$1:$K$890,COLUMN(HeadJournal!J$1),0))*($K4751+$L4751)/(SUMIF($A:$A,$A4751,$K:$K)+SUMIF($A:$A,$A4751,$L:$L)),0)</f>
        <v>0</v>
      </c>
      <c r="O4751" s="30">
        <f>IFERROR((VLOOKUP($A4751,HeadJournal!$A$1:$L$890,COLUMN(HeadJournal!L$1),0)*($K4751+$L4751)/(SUMIF($A:$A,$A4751,$K:$K)+SUMIF($A:$A,$A4751,$L:$L)))/VLOOKUP($A4751,HeadJournal!$A$1:$L$890,COLUMN(HeadJournal!H$1),0),0)</f>
        <v>0</v>
      </c>
      <c r="P4751" s="30">
        <f>IFERROR(SUM(K4751:O4751)*VLOOKUP($A4751,HeadJournal!$A$1:$L$890,COLUMN(HeadJournal!H$1),0),0)</f>
        <v>1057</v>
      </c>
      <c r="Q4751" s="29">
        <v>2200</v>
      </c>
      <c r="R4751" s="31">
        <v>45833</v>
      </c>
      <c r="S4751" s="31" t="s">
        <v>3231</v>
      </c>
      <c r="T4751" s="95" t="str">
        <f t="shared" si="363"/>
        <v>2025 06</v>
      </c>
      <c r="U4751" s="32">
        <f t="shared" si="358"/>
        <v>1143</v>
      </c>
      <c r="V4751" s="22">
        <f t="shared" si="359"/>
        <v>1.0813623462630084</v>
      </c>
      <c r="X4751" s="33"/>
      <c r="Y4751" s="33"/>
    </row>
    <row r="4752" spans="1:25" x14ac:dyDescent="0.2">
      <c r="A4752" s="93" t="s">
        <v>3887</v>
      </c>
      <c r="B4752" s="94">
        <f>IFERROR(VLOOKUP($A4752,HeadJournal!$A$1:$NTR$890,COLUMN(HeadJournal!B$1),0),"")</f>
        <v>0</v>
      </c>
      <c r="C4752" s="94" t="str">
        <f>IFERROR(VLOOKUP($A4752,HeadJournal!$A$1:$NTR$890,COLUMN(HeadJournal!C$1),0),"")</f>
        <v>WBRS</v>
      </c>
      <c r="D4752" s="125" t="str">
        <f>IFERROR(VLOOKUP($A4752,HeadJournal!$A$1:$NTR$890,COLUMN(HeadJournal!D$1),0),"")</f>
        <v>Доставлен</v>
      </c>
      <c r="E4752" s="95">
        <f>IFERROR(VLOOKUP($A4752,HeadJournal!$A$1:$NTR$890,COLUMN(HeadJournal!G$1),0),"")</f>
        <v>45709</v>
      </c>
      <c r="F4752" s="95" t="str">
        <f t="shared" si="362"/>
        <v>2025 02</v>
      </c>
      <c r="G4752" s="97" t="s">
        <v>7</v>
      </c>
      <c r="H4752" s="161" t="s">
        <v>3891</v>
      </c>
      <c r="I4752" s="97" t="s">
        <v>3888</v>
      </c>
      <c r="J4752" s="97" t="s">
        <v>3890</v>
      </c>
      <c r="K4752" s="29">
        <v>1886</v>
      </c>
      <c r="L4752" s="29"/>
      <c r="M4752" s="30">
        <f>IFERROR(VLOOKUP($A4752,HeadJournal!$A$1:$J$890,COLUMN(HeadJournal!I$1),0)*($K4752+$L4752)/(SUMIF($A:$A,$A4752,$K:$K)+SUMIF($A:$A,$A4752,$L:$L)),0)</f>
        <v>0</v>
      </c>
      <c r="N4752" s="30">
        <f>IFERROR((VLOOKUP($A4752,HeadJournal!$A$1:$K$890,COLUMN(HeadJournal!K$1),0)-VLOOKUP($A4752,HeadJournal!$A$1:$K$890,COLUMN(HeadJournal!J$1),0))*($K4752+$L4752)/(SUMIF($A:$A,$A4752,$K:$K)+SUMIF($A:$A,$A4752,$L:$L)),0)</f>
        <v>0</v>
      </c>
      <c r="O4752" s="30">
        <f>IFERROR((VLOOKUP($A4752,HeadJournal!$A$1:$L$890,COLUMN(HeadJournal!L$1),0)*($K4752+$L4752)/(SUMIF($A:$A,$A4752,$K:$K)+SUMIF($A:$A,$A4752,$L:$L)))/VLOOKUP($A4752,HeadJournal!$A$1:$L$890,COLUMN(HeadJournal!H$1),0),0)</f>
        <v>0</v>
      </c>
      <c r="P4752" s="30">
        <f>IFERROR(SUM(K4752:O4752)*VLOOKUP($A4752,HeadJournal!$A$1:$L$890,COLUMN(HeadJournal!H$1),0),0)</f>
        <v>1886</v>
      </c>
      <c r="Q4752" s="29">
        <v>2600</v>
      </c>
      <c r="R4752" s="31">
        <v>45787</v>
      </c>
      <c r="S4752" s="31" t="s">
        <v>3475</v>
      </c>
      <c r="T4752" s="95" t="str">
        <f t="shared" si="363"/>
        <v>2025 05</v>
      </c>
      <c r="U4752" s="32">
        <f t="shared" si="358"/>
        <v>714</v>
      </c>
      <c r="V4752" s="22">
        <f t="shared" si="359"/>
        <v>0.37857900318133614</v>
      </c>
      <c r="X4752" s="33"/>
      <c r="Y4752" s="33"/>
    </row>
    <row r="4753" spans="1:25" x14ac:dyDescent="0.2">
      <c r="A4753" s="93" t="s">
        <v>3893</v>
      </c>
      <c r="B4753" s="94">
        <f>IFERROR(VLOOKUP($A4753,HeadJournal!$A$1:$NTR$890,COLUMN(HeadJournal!B$1),0),"")</f>
        <v>0</v>
      </c>
      <c r="C4753" s="94" t="str">
        <f>IFERROR(VLOOKUP($A4753,HeadJournal!$A$1:$NTR$890,COLUMN(HeadJournal!C$1),0),"")</f>
        <v>OZON_OA</v>
      </c>
      <c r="D4753" s="125" t="str">
        <f>IFERROR(VLOOKUP($A4753,HeadJournal!$A$1:$NTR$890,COLUMN(HeadJournal!D$1),0),"")</f>
        <v>Доставлен</v>
      </c>
      <c r="E4753" s="95">
        <f>IFERROR(VLOOKUP($A4753,HeadJournal!$A$1:$NTR$890,COLUMN(HeadJournal!G$1),0),"")</f>
        <v>45821</v>
      </c>
      <c r="F4753" s="95" t="str">
        <f t="shared" si="362"/>
        <v>2025 06</v>
      </c>
      <c r="G4753" s="97" t="s">
        <v>5</v>
      </c>
      <c r="H4753" s="161" t="s">
        <v>2611</v>
      </c>
      <c r="I4753" s="97" t="s">
        <v>2005</v>
      </c>
      <c r="J4753" s="97" t="s">
        <v>46</v>
      </c>
      <c r="K4753" s="29">
        <v>890</v>
      </c>
      <c r="L4753" s="29">
        <v>0</v>
      </c>
      <c r="M4753" s="30">
        <f>IFERROR(VLOOKUP($A4753,HeadJournal!$A$1:$J$890,COLUMN(HeadJournal!I$1),0)*($K4753+$L4753)/(SUMIF($A:$A,$A4753,$K:$K)+SUMIF($A:$A,$A4753,$L:$L)),0)</f>
        <v>0</v>
      </c>
      <c r="N4753" s="30">
        <f>IFERROR((VLOOKUP($A4753,HeadJournal!$A$1:$K$890,COLUMN(HeadJournal!K$1),0)-VLOOKUP($A4753,HeadJournal!$A$1:$K$890,COLUMN(HeadJournal!J$1),0))*($K4753+$L4753)/(SUMIF($A:$A,$A4753,$K:$K)+SUMIF($A:$A,$A4753,$L:$L)),0)</f>
        <v>0</v>
      </c>
      <c r="O4753" s="30">
        <f>IFERROR((VLOOKUP($A4753,HeadJournal!$A$1:$L$890,COLUMN(HeadJournal!L$1),0)*($K4753+$L4753)/(SUMIF($A:$A,$A4753,$K:$K)+SUMIF($A:$A,$A4753,$L:$L)))/VLOOKUP($A4753,HeadJournal!$A$1:$L$890,COLUMN(HeadJournal!H$1),0),0)</f>
        <v>0</v>
      </c>
      <c r="P4753" s="30">
        <f>IFERROR(SUM(K4753:O4753)*VLOOKUP($A4753,HeadJournal!$A$1:$L$890,COLUMN(HeadJournal!H$1),0),0)</f>
        <v>890</v>
      </c>
      <c r="Q4753" s="29">
        <v>1600</v>
      </c>
      <c r="R4753" s="31">
        <v>45964</v>
      </c>
      <c r="S4753" s="31" t="s">
        <v>3256</v>
      </c>
      <c r="T4753" s="95" t="str">
        <f t="shared" si="363"/>
        <v>2025 11</v>
      </c>
      <c r="U4753" s="32">
        <f t="shared" si="358"/>
        <v>710</v>
      </c>
      <c r="V4753" s="22">
        <f t="shared" si="359"/>
        <v>0.797752808988764</v>
      </c>
      <c r="X4753" s="33"/>
      <c r="Y4753" s="33"/>
    </row>
    <row r="4754" spans="1:25" x14ac:dyDescent="0.2">
      <c r="A4754" s="93" t="s">
        <v>3894</v>
      </c>
      <c r="B4754" s="94">
        <f>IFERROR(VLOOKUP($A4754,HeadJournal!$A$1:$NTR$890,COLUMN(HeadJournal!B$1),0),"")</f>
        <v>0</v>
      </c>
      <c r="C4754" s="94" t="str">
        <f>IFERROR(VLOOKUP($A4754,HeadJournal!$A$1:$NTR$890,COLUMN(HeadJournal!C$1),0),"")</f>
        <v>OZON_OA</v>
      </c>
      <c r="D4754" s="125" t="str">
        <f>IFERROR(VLOOKUP($A4754,HeadJournal!$A$1:$NTR$890,COLUMN(HeadJournal!D$1),0),"")</f>
        <v>Доставлен</v>
      </c>
      <c r="E4754" s="95">
        <f>IFERROR(VLOOKUP($A4754,HeadJournal!$A$1:$NTR$890,COLUMN(HeadJournal!G$1),0),"")</f>
        <v>45821</v>
      </c>
      <c r="F4754" s="95" t="str">
        <f t="shared" si="362"/>
        <v>2025 06</v>
      </c>
      <c r="G4754" s="97" t="s">
        <v>6</v>
      </c>
      <c r="H4754" s="161" t="s">
        <v>2280</v>
      </c>
      <c r="I4754" s="97" t="s">
        <v>2281</v>
      </c>
      <c r="J4754" s="97" t="s">
        <v>737</v>
      </c>
      <c r="K4754" s="29">
        <v>1286</v>
      </c>
      <c r="L4754" s="29">
        <v>0</v>
      </c>
      <c r="M4754" s="30">
        <f>IFERROR(VLOOKUP($A4754,HeadJournal!$A$1:$J$890,COLUMN(HeadJournal!I$1),0)*($K4754+$L4754)/(SUMIF($A:$A,$A4754,$K:$K)+SUMIF($A:$A,$A4754,$L:$L)),0)</f>
        <v>0</v>
      </c>
      <c r="N4754" s="30">
        <f>IFERROR((VLOOKUP($A4754,HeadJournal!$A$1:$K$890,COLUMN(HeadJournal!K$1),0)-VLOOKUP($A4754,HeadJournal!$A$1:$K$890,COLUMN(HeadJournal!J$1),0))*($K4754+$L4754)/(SUMIF($A:$A,$A4754,$K:$K)+SUMIF($A:$A,$A4754,$L:$L)),0)</f>
        <v>0</v>
      </c>
      <c r="O4754" s="30">
        <f>IFERROR((VLOOKUP($A4754,HeadJournal!$A$1:$L$890,COLUMN(HeadJournal!L$1),0)*($K4754+$L4754)/(SUMIF($A:$A,$A4754,$K:$K)+SUMIF($A:$A,$A4754,$L:$L)))/VLOOKUP($A4754,HeadJournal!$A$1:$L$890,COLUMN(HeadJournal!H$1),0),0)</f>
        <v>0</v>
      </c>
      <c r="P4754" s="30">
        <f>IFERROR(SUM(K4754:O4754)*VLOOKUP($A4754,HeadJournal!$A$1:$L$890,COLUMN(HeadJournal!H$1),0),0)</f>
        <v>1286</v>
      </c>
      <c r="Q4754" s="29">
        <v>2000</v>
      </c>
      <c r="R4754" s="31">
        <v>45833</v>
      </c>
      <c r="S4754" s="31" t="s">
        <v>3121</v>
      </c>
      <c r="T4754" s="95" t="str">
        <f t="shared" si="363"/>
        <v>2025 06</v>
      </c>
      <c r="U4754" s="32">
        <f t="shared" si="358"/>
        <v>714</v>
      </c>
      <c r="V4754" s="22">
        <f t="shared" si="359"/>
        <v>0.55520995334370138</v>
      </c>
      <c r="X4754" s="33"/>
      <c r="Y4754" s="33"/>
    </row>
    <row r="4755" spans="1:25" x14ac:dyDescent="0.2">
      <c r="A4755" s="93" t="s">
        <v>3894</v>
      </c>
      <c r="B4755" s="94">
        <f>IFERROR(VLOOKUP($A4755,HeadJournal!$A$1:$NTR$890,COLUMN(HeadJournal!B$1),0),"")</f>
        <v>0</v>
      </c>
      <c r="C4755" s="94" t="str">
        <f>IFERROR(VLOOKUP($A4755,HeadJournal!$A$1:$NTR$890,COLUMN(HeadJournal!C$1),0),"")</f>
        <v>OZON_OA</v>
      </c>
      <c r="D4755" s="125" t="str">
        <f>IFERROR(VLOOKUP($A4755,HeadJournal!$A$1:$NTR$890,COLUMN(HeadJournal!D$1),0),"")</f>
        <v>Доставлен</v>
      </c>
      <c r="E4755" s="95">
        <f>IFERROR(VLOOKUP($A4755,HeadJournal!$A$1:$NTR$890,COLUMN(HeadJournal!G$1),0),"")</f>
        <v>45821</v>
      </c>
      <c r="F4755" s="95" t="str">
        <f t="shared" si="362"/>
        <v>2025 06</v>
      </c>
      <c r="G4755" s="97" t="s">
        <v>6</v>
      </c>
      <c r="H4755" s="161" t="s">
        <v>2280</v>
      </c>
      <c r="I4755" s="97" t="s">
        <v>2281</v>
      </c>
      <c r="J4755" s="97" t="s">
        <v>737</v>
      </c>
      <c r="K4755" s="29">
        <v>1286</v>
      </c>
      <c r="L4755" s="29">
        <v>0</v>
      </c>
      <c r="M4755" s="30">
        <f>IFERROR(VLOOKUP($A4755,HeadJournal!$A$1:$J$890,COLUMN(HeadJournal!I$1),0)*($K4755+$L4755)/(SUMIF($A:$A,$A4755,$K:$K)+SUMIF($A:$A,$A4755,$L:$L)),0)</f>
        <v>0</v>
      </c>
      <c r="N4755" s="30">
        <f>IFERROR((VLOOKUP($A4755,HeadJournal!$A$1:$K$890,COLUMN(HeadJournal!K$1),0)-VLOOKUP($A4755,HeadJournal!$A$1:$K$890,COLUMN(HeadJournal!J$1),0))*($K4755+$L4755)/(SUMIF($A:$A,$A4755,$K:$K)+SUMIF($A:$A,$A4755,$L:$L)),0)</f>
        <v>0</v>
      </c>
      <c r="O4755" s="30">
        <f>IFERROR((VLOOKUP($A4755,HeadJournal!$A$1:$L$890,COLUMN(HeadJournal!L$1),0)*($K4755+$L4755)/(SUMIF($A:$A,$A4755,$K:$K)+SUMIF($A:$A,$A4755,$L:$L)))/VLOOKUP($A4755,HeadJournal!$A$1:$L$890,COLUMN(HeadJournal!H$1),0),0)</f>
        <v>0</v>
      </c>
      <c r="P4755" s="30">
        <f>IFERROR(SUM(K4755:O4755)*VLOOKUP($A4755,HeadJournal!$A$1:$L$890,COLUMN(HeadJournal!H$1),0),0)</f>
        <v>1286</v>
      </c>
      <c r="Q4755" s="29">
        <v>2000</v>
      </c>
      <c r="R4755" s="31">
        <v>45864</v>
      </c>
      <c r="S4755" s="31"/>
      <c r="T4755" s="95" t="str">
        <f t="shared" si="363"/>
        <v>2025 07</v>
      </c>
      <c r="U4755" s="32">
        <f t="shared" si="358"/>
        <v>714</v>
      </c>
      <c r="V4755" s="22">
        <f t="shared" si="359"/>
        <v>0.55520995334370138</v>
      </c>
      <c r="X4755" s="33"/>
      <c r="Y4755" s="33"/>
    </row>
    <row r="4756" spans="1:25" x14ac:dyDescent="0.2">
      <c r="A4756" s="93" t="s">
        <v>3942</v>
      </c>
      <c r="B4756" s="94" t="str">
        <f>IFERROR(VLOOKUP($A4756,HeadJournal!$A$1:$NTR$890,COLUMN(HeadJournal!B$1),0),"")</f>
        <v>720000720328</v>
      </c>
      <c r="C4756" s="94" t="str">
        <f>IFERROR(VLOOKUP($A4756,HeadJournal!$A$1:$NTR$890,COLUMN(HeadJournal!C$1),0),"")</f>
        <v>iHerb_OA CZN6870</v>
      </c>
      <c r="D4756" s="125" t="str">
        <f>IFERROR(VLOOKUP($A4756,HeadJournal!$A$1:$NTR$890,COLUMN(HeadJournal!D$1),0),"")</f>
        <v>Доставлен</v>
      </c>
      <c r="E4756" s="95">
        <f>IFERROR(VLOOKUP($A4756,HeadJournal!$A$1:$NTR$890,COLUMN(HeadJournal!G$1),0),"")</f>
        <v>45835</v>
      </c>
      <c r="F4756" s="95" t="str">
        <f t="shared" si="362"/>
        <v>2025 06</v>
      </c>
      <c r="G4756" s="97" t="s">
        <v>5</v>
      </c>
      <c r="H4756" s="161" t="s">
        <v>3763</v>
      </c>
      <c r="I4756" s="97" t="s">
        <v>2166</v>
      </c>
      <c r="J4756" s="97" t="s">
        <v>3764</v>
      </c>
      <c r="K4756" s="29">
        <v>30.31</v>
      </c>
      <c r="L4756" s="29">
        <v>-6.06</v>
      </c>
      <c r="M4756" s="30">
        <f>IFERROR(VLOOKUP($A4756,HeadJournal!$A$1:$J$890,COLUMN(HeadJournal!I$1),0)*($K4756+$L4756)/(SUMIF($A:$A,$A4756,$K:$K)+SUMIF($A:$A,$A4756,$L:$L)),0)</f>
        <v>-2.1721714775938636</v>
      </c>
      <c r="N4756" s="30">
        <f>IFERROR((VLOOKUP($A4756,HeadJournal!$A$1:$K$890,COLUMN(HeadJournal!K$1),0)-VLOOKUP($A4756,HeadJournal!$A$1:$K$890,COLUMN(HeadJournal!J$1),0))*($K4756+$L4756)/(SUMIF($A:$A,$A4756,$K:$K)+SUMIF($A:$A,$A4756,$L:$L)),0)</f>
        <v>0</v>
      </c>
      <c r="O4756" s="30">
        <f>IFERROR((VLOOKUP($A4756,HeadJournal!$A$1:$L$890,COLUMN(HeadJournal!L$1),0)*($K4756+$L4756)/(SUMIF($A:$A,$A4756,$K:$K)+SUMIF($A:$A,$A4756,$L:$L)))/VLOOKUP($A4756,HeadJournal!$A$1:$L$890,COLUMN(HeadJournal!H$1),0),0)</f>
        <v>0.58004614428224166</v>
      </c>
      <c r="P4756" s="30">
        <f>IFERROR(SUM(K4756:O4756)*VLOOKUP($A4756,HeadJournal!$A$1:$L$890,COLUMN(HeadJournal!H$1),0),0)</f>
        <v>2026.834237484861</v>
      </c>
      <c r="Q4756" s="29">
        <v>3300</v>
      </c>
      <c r="R4756" s="31">
        <v>45858</v>
      </c>
      <c r="S4756" s="31" t="s">
        <v>3235</v>
      </c>
      <c r="T4756" s="95" t="str">
        <f t="shared" si="363"/>
        <v>2025 07</v>
      </c>
      <c r="U4756" s="32">
        <f t="shared" si="358"/>
        <v>1273.165762515139</v>
      </c>
      <c r="V4756" s="22">
        <f t="shared" si="359"/>
        <v>0.62815485300615204</v>
      </c>
      <c r="X4756" s="33"/>
      <c r="Y4756" s="33"/>
    </row>
    <row r="4757" spans="1:25" x14ac:dyDescent="0.2">
      <c r="A4757" s="93" t="s">
        <v>3942</v>
      </c>
      <c r="B4757" s="94" t="str">
        <f>IFERROR(VLOOKUP($A4757,HeadJournal!$A$1:$NTR$890,COLUMN(HeadJournal!B$1),0),"")</f>
        <v>720000720328</v>
      </c>
      <c r="C4757" s="94" t="str">
        <f>IFERROR(VLOOKUP($A4757,HeadJournal!$A$1:$NTR$890,COLUMN(HeadJournal!C$1),0),"")</f>
        <v>iHerb_OA CZN6870</v>
      </c>
      <c r="D4757" s="125" t="str">
        <f>IFERROR(VLOOKUP($A4757,HeadJournal!$A$1:$NTR$890,COLUMN(HeadJournal!D$1),0),"")</f>
        <v>Доставлен</v>
      </c>
      <c r="E4757" s="95">
        <f>IFERROR(VLOOKUP($A4757,HeadJournal!$A$1:$NTR$890,COLUMN(HeadJournal!G$1),0),"")</f>
        <v>45835</v>
      </c>
      <c r="F4757" s="95" t="str">
        <f t="shared" si="362"/>
        <v>2025 06</v>
      </c>
      <c r="G4757" s="97" t="s">
        <v>5</v>
      </c>
      <c r="H4757" s="161" t="s">
        <v>3767</v>
      </c>
      <c r="I4757" s="97" t="s">
        <v>2166</v>
      </c>
      <c r="J4757" s="97" t="s">
        <v>3768</v>
      </c>
      <c r="K4757" s="29">
        <v>42.42</v>
      </c>
      <c r="L4757" s="29">
        <v>-8.48</v>
      </c>
      <c r="M4757" s="30">
        <f>IFERROR(VLOOKUP($A4757,HeadJournal!$A$1:$J$890,COLUMN(HeadJournal!I$1),0)*($K4757+$L4757)/(SUMIF($A:$A,$A4757,$K:$K)+SUMIF($A:$A,$A4757,$L:$L)),0)</f>
        <v>-3.0401443278159062</v>
      </c>
      <c r="N4757" s="30">
        <f>IFERROR((VLOOKUP($A4757,HeadJournal!$A$1:$K$890,COLUMN(HeadJournal!K$1),0)-VLOOKUP($A4757,HeadJournal!$A$1:$K$890,COLUMN(HeadJournal!J$1),0))*($K4757+$L4757)/(SUMIF($A:$A,$A4757,$K:$K)+SUMIF($A:$A,$A4757,$L:$L)),0)</f>
        <v>0</v>
      </c>
      <c r="O4757" s="30">
        <f>IFERROR((VLOOKUP($A4757,HeadJournal!$A$1:$L$890,COLUMN(HeadJournal!L$1),0)*($K4757+$L4757)/(SUMIF($A:$A,$A4757,$K:$K)+SUMIF($A:$A,$A4757,$L:$L)))/VLOOKUP($A4757,HeadJournal!$A$1:$L$890,COLUMN(HeadJournal!H$1),0),0)</f>
        <v>0.81182540770883638</v>
      </c>
      <c r="P4757" s="30">
        <f>IFERROR(SUM(K4757:O4757)*VLOOKUP($A4757,HeadJournal!$A$1:$L$890,COLUMN(HeadJournal!H$1),0),0)</f>
        <v>2836.732124545822</v>
      </c>
      <c r="Q4757" s="29">
        <v>4300</v>
      </c>
      <c r="R4757" s="31">
        <v>45858</v>
      </c>
      <c r="S4757" s="31" t="s">
        <v>3235</v>
      </c>
      <c r="T4757" s="95" t="str">
        <f t="shared" si="363"/>
        <v>2025 07</v>
      </c>
      <c r="U4757" s="32">
        <f t="shared" si="358"/>
        <v>1463.267875454178</v>
      </c>
      <c r="V4757" s="22">
        <f t="shared" si="359"/>
        <v>0.51582871106959249</v>
      </c>
      <c r="X4757" s="33"/>
      <c r="Y4757" s="33"/>
    </row>
    <row r="4758" spans="1:25" x14ac:dyDescent="0.2">
      <c r="A4758" s="93" t="s">
        <v>3942</v>
      </c>
      <c r="B4758" s="94" t="str">
        <f>IFERROR(VLOOKUP($A4758,HeadJournal!$A$1:$NTR$890,COLUMN(HeadJournal!B$1),0),"")</f>
        <v>720000720328</v>
      </c>
      <c r="C4758" s="94" t="str">
        <f>IFERROR(VLOOKUP($A4758,HeadJournal!$A$1:$NTR$890,COLUMN(HeadJournal!C$1),0),"")</f>
        <v>iHerb_OA CZN6870</v>
      </c>
      <c r="D4758" s="125" t="str">
        <f>IFERROR(VLOOKUP($A4758,HeadJournal!$A$1:$NTR$890,COLUMN(HeadJournal!D$1),0),"")</f>
        <v>Доставлен</v>
      </c>
      <c r="E4758" s="95">
        <f>IFERROR(VLOOKUP($A4758,HeadJournal!$A$1:$NTR$890,COLUMN(HeadJournal!G$1),0),"")</f>
        <v>45835</v>
      </c>
      <c r="F4758" s="95" t="str">
        <f t="shared" si="362"/>
        <v>2025 06</v>
      </c>
      <c r="G4758" s="97" t="s">
        <v>5</v>
      </c>
      <c r="H4758" s="161" t="s">
        <v>2995</v>
      </c>
      <c r="I4758" s="97" t="s">
        <v>2102</v>
      </c>
      <c r="J4758" s="97" t="s">
        <v>2996</v>
      </c>
      <c r="K4758" s="29">
        <v>59.3</v>
      </c>
      <c r="L4758" s="29">
        <v>-11.86</v>
      </c>
      <c r="M4758" s="30">
        <f>IFERROR(VLOOKUP($A4758,HeadJournal!$A$1:$J$890,COLUMN(HeadJournal!I$1),0)*($K4758+$L4758)/(SUMIF($A:$A,$A4758,$K:$K)+SUMIF($A:$A,$A4758,$L:$L)),0)</f>
        <v>-4.2493944287444485</v>
      </c>
      <c r="N4758" s="30">
        <f>IFERROR((VLOOKUP($A4758,HeadJournal!$A$1:$K$890,COLUMN(HeadJournal!K$1),0)-VLOOKUP($A4758,HeadJournal!$A$1:$K$890,COLUMN(HeadJournal!J$1),0))*($K4758+$L4758)/(SUMIF($A:$A,$A4758,$K:$K)+SUMIF($A:$A,$A4758,$L:$L)),0)</f>
        <v>0</v>
      </c>
      <c r="O4758" s="30">
        <f>IFERROR((VLOOKUP($A4758,HeadJournal!$A$1:$L$890,COLUMN(HeadJournal!L$1),0)*($K4758+$L4758)/(SUMIF($A:$A,$A4758,$K:$K)+SUMIF($A:$A,$A4758,$L:$L)))/VLOOKUP($A4758,HeadJournal!$A$1:$L$890,COLUMN(HeadJournal!H$1),0),0)</f>
        <v>1.134737694216476</v>
      </c>
      <c r="P4758" s="30">
        <f>IFERROR(SUM(K4758:O4758)*VLOOKUP($A4758,HeadJournal!$A$1:$L$890,COLUMN(HeadJournal!H$1),0),0)</f>
        <v>3965.0728340734759</v>
      </c>
      <c r="Q4758" s="29">
        <v>6200</v>
      </c>
      <c r="R4758" s="31">
        <v>45858</v>
      </c>
      <c r="S4758" s="31" t="s">
        <v>3235</v>
      </c>
      <c r="T4758" s="95" t="str">
        <f t="shared" si="363"/>
        <v>2025 07</v>
      </c>
      <c r="U4758" s="32">
        <f t="shared" si="358"/>
        <v>2234.9271659265241</v>
      </c>
      <c r="V4758" s="22">
        <f t="shared" si="359"/>
        <v>0.56365349627903183</v>
      </c>
      <c r="X4758" s="33"/>
      <c r="Y4758" s="33"/>
    </row>
    <row r="4759" spans="1:25" x14ac:dyDescent="0.2">
      <c r="A4759" s="93" t="s">
        <v>3942</v>
      </c>
      <c r="B4759" s="94" t="str">
        <f>IFERROR(VLOOKUP($A4759,HeadJournal!$A$1:$NTR$890,COLUMN(HeadJournal!B$1),0),"")</f>
        <v>720000720328</v>
      </c>
      <c r="C4759" s="94" t="str">
        <f>IFERROR(VLOOKUP($A4759,HeadJournal!$A$1:$NTR$890,COLUMN(HeadJournal!C$1),0),"")</f>
        <v>iHerb_OA CZN6870</v>
      </c>
      <c r="D4759" s="125" t="str">
        <f>IFERROR(VLOOKUP($A4759,HeadJournal!$A$1:$NTR$890,COLUMN(HeadJournal!D$1),0),"")</f>
        <v>Доставлен</v>
      </c>
      <c r="E4759" s="95">
        <f>IFERROR(VLOOKUP($A4759,HeadJournal!$A$1:$NTR$890,COLUMN(HeadJournal!G$1),0),"")</f>
        <v>45835</v>
      </c>
      <c r="F4759" s="95" t="str">
        <f t="shared" si="362"/>
        <v>2025 06</v>
      </c>
      <c r="G4759" s="97" t="s">
        <v>5</v>
      </c>
      <c r="H4759" s="161" t="s">
        <v>2665</v>
      </c>
      <c r="I4759" s="97" t="s">
        <v>2666</v>
      </c>
      <c r="J4759" s="97" t="s">
        <v>3930</v>
      </c>
      <c r="K4759" s="29">
        <v>10.4</v>
      </c>
      <c r="L4759" s="29">
        <v>-2.08</v>
      </c>
      <c r="M4759" s="30">
        <f>IFERROR(VLOOKUP($A4759,HeadJournal!$A$1:$J$890,COLUMN(HeadJournal!I$1),0)*($K4759+$L4759)/(SUMIF($A:$A,$A4759,$K:$K)+SUMIF($A:$A,$A4759,$L:$L)),0)</f>
        <v>-0.74525635849818328</v>
      </c>
      <c r="N4759" s="30">
        <f>IFERROR((VLOOKUP($A4759,HeadJournal!$A$1:$K$890,COLUMN(HeadJournal!K$1),0)-VLOOKUP($A4759,HeadJournal!$A$1:$K$890,COLUMN(HeadJournal!J$1),0))*($K4759+$L4759)/(SUMIF($A:$A,$A4759,$K:$K)+SUMIF($A:$A,$A4759,$L:$L)),0)</f>
        <v>0</v>
      </c>
      <c r="O4759" s="30">
        <f>IFERROR((VLOOKUP($A4759,HeadJournal!$A$1:$L$890,COLUMN(HeadJournal!L$1),0)*($K4759+$L4759)/(SUMIF($A:$A,$A4759,$K:$K)+SUMIF($A:$A,$A4759,$L:$L)))/VLOOKUP($A4759,HeadJournal!$A$1:$L$890,COLUMN(HeadJournal!H$1),0),0)</f>
        <v>0.19900964620322686</v>
      </c>
      <c r="P4759" s="30">
        <f>IFERROR(SUM(K4759:O4759)*VLOOKUP($A4759,HeadJournal!$A$1:$L$890,COLUMN(HeadJournal!H$1),0),0)</f>
        <v>695.39220024222857</v>
      </c>
      <c r="Q4759" s="29">
        <v>1600</v>
      </c>
      <c r="R4759" s="31">
        <v>45858</v>
      </c>
      <c r="S4759" s="31" t="s">
        <v>3235</v>
      </c>
      <c r="T4759" s="95" t="str">
        <f t="shared" si="363"/>
        <v>2025 07</v>
      </c>
      <c r="U4759" s="32">
        <f t="shared" si="358"/>
        <v>904.60779975777143</v>
      </c>
      <c r="V4759" s="22">
        <f t="shared" si="359"/>
        <v>1.3008598592889968</v>
      </c>
      <c r="X4759" s="33"/>
      <c r="Y4759" s="33"/>
    </row>
    <row r="4760" spans="1:25" x14ac:dyDescent="0.2">
      <c r="A4760" s="93" t="s">
        <v>3942</v>
      </c>
      <c r="B4760" s="94" t="str">
        <f>IFERROR(VLOOKUP($A4760,HeadJournal!$A$1:$NTR$890,COLUMN(HeadJournal!B$1),0),"")</f>
        <v>720000720328</v>
      </c>
      <c r="C4760" s="94" t="str">
        <f>IFERROR(VLOOKUP($A4760,HeadJournal!$A$1:$NTR$890,COLUMN(HeadJournal!C$1),0),"")</f>
        <v>iHerb_OA CZN6870</v>
      </c>
      <c r="D4760" s="125" t="str">
        <f>IFERROR(VLOOKUP($A4760,HeadJournal!$A$1:$NTR$890,COLUMN(HeadJournal!D$1),0),"")</f>
        <v>Доставлен</v>
      </c>
      <c r="E4760" s="95">
        <f>IFERROR(VLOOKUP($A4760,HeadJournal!$A$1:$NTR$890,COLUMN(HeadJournal!G$1),0),"")</f>
        <v>45835</v>
      </c>
      <c r="F4760" s="95" t="str">
        <f t="shared" si="362"/>
        <v>2025 06</v>
      </c>
      <c r="G4760" s="97" t="s">
        <v>5</v>
      </c>
      <c r="H4760" s="161" t="s">
        <v>3938</v>
      </c>
      <c r="I4760" s="97" t="s">
        <v>2750</v>
      </c>
      <c r="J4760" s="97" t="s">
        <v>3939</v>
      </c>
      <c r="K4760" s="29">
        <v>45.58</v>
      </c>
      <c r="L4760" s="29">
        <v>-9.1199999999999992</v>
      </c>
      <c r="M4760" s="30">
        <f>IFERROR(VLOOKUP($A4760,HeadJournal!$A$1:$J$890,COLUMN(HeadJournal!I$1),0)*($K4760+$L4760)/(SUMIF($A:$A,$A4760,$K:$K)+SUMIF($A:$A,$A4760,$L:$L)),0)</f>
        <v>-3.2658710133225677</v>
      </c>
      <c r="N4760" s="30">
        <f>IFERROR((VLOOKUP($A4760,HeadJournal!$A$1:$K$890,COLUMN(HeadJournal!K$1),0)-VLOOKUP($A4760,HeadJournal!$A$1:$K$890,COLUMN(HeadJournal!J$1),0))*($K4760+$L4760)/(SUMIF($A:$A,$A4760,$K:$K)+SUMIF($A:$A,$A4760,$L:$L)),0)</f>
        <v>0</v>
      </c>
      <c r="O4760" s="30">
        <f>IFERROR((VLOOKUP($A4760,HeadJournal!$A$1:$L$890,COLUMN(HeadJournal!L$1),0)*($K4760+$L4760)/(SUMIF($A:$A,$A4760,$K:$K)+SUMIF($A:$A,$A4760,$L:$L)))/VLOOKUP($A4760,HeadJournal!$A$1:$L$890,COLUMN(HeadJournal!H$1),0),0)</f>
        <v>0.87210236785692929</v>
      </c>
      <c r="P4760" s="30">
        <f>IFERROR(SUM(K4760:O4760)*VLOOKUP($A4760,HeadJournal!$A$1:$L$890,COLUMN(HeadJournal!H$1),0),0)</f>
        <v>3047.3557236576512</v>
      </c>
      <c r="Q4760" s="29">
        <v>4700</v>
      </c>
      <c r="R4760" s="31">
        <v>45859</v>
      </c>
      <c r="S4760" s="31" t="s">
        <v>3384</v>
      </c>
      <c r="T4760" s="95" t="str">
        <f t="shared" si="363"/>
        <v>2025 07</v>
      </c>
      <c r="U4760" s="32">
        <f t="shared" si="358"/>
        <v>1652.6442763423488</v>
      </c>
      <c r="V4760" s="22">
        <f t="shared" si="359"/>
        <v>0.54232076141039698</v>
      </c>
      <c r="X4760" s="33"/>
      <c r="Y4760" s="33"/>
    </row>
    <row r="4761" spans="1:25" x14ac:dyDescent="0.2">
      <c r="A4761" s="93" t="s">
        <v>3942</v>
      </c>
      <c r="B4761" s="94" t="str">
        <f>IFERROR(VLOOKUP($A4761,HeadJournal!$A$1:$NTR$890,COLUMN(HeadJournal!B$1),0),"")</f>
        <v>720000720328</v>
      </c>
      <c r="C4761" s="94" t="str">
        <f>IFERROR(VLOOKUP($A4761,HeadJournal!$A$1:$NTR$890,COLUMN(HeadJournal!C$1),0),"")</f>
        <v>iHerb_OA CZN6870</v>
      </c>
      <c r="D4761" s="125" t="str">
        <f>IFERROR(VLOOKUP($A4761,HeadJournal!$A$1:$NTR$890,COLUMN(HeadJournal!D$1),0),"")</f>
        <v>Доставлен</v>
      </c>
      <c r="E4761" s="95">
        <f>IFERROR(VLOOKUP($A4761,HeadJournal!$A$1:$NTR$890,COLUMN(HeadJournal!G$1),0),"")</f>
        <v>45835</v>
      </c>
      <c r="F4761" s="95" t="str">
        <f t="shared" si="362"/>
        <v>2025 06</v>
      </c>
      <c r="G4761" s="97" t="s">
        <v>5</v>
      </c>
      <c r="H4761" s="161" t="s">
        <v>2988</v>
      </c>
      <c r="I4761" s="97" t="s">
        <v>2750</v>
      </c>
      <c r="J4761" s="97" t="s">
        <v>2989</v>
      </c>
      <c r="K4761" s="29">
        <v>22.75</v>
      </c>
      <c r="L4761" s="29">
        <v>-4.55</v>
      </c>
      <c r="M4761" s="30">
        <f>IFERROR(VLOOKUP($A4761,HeadJournal!$A$1:$J$890,COLUMN(HeadJournal!I$1),0)*($K4761+$L4761)/(SUMIF($A:$A,$A4761,$K:$K)+SUMIF($A:$A,$A4761,$L:$L)),0)</f>
        <v>-1.6302482842147761</v>
      </c>
      <c r="N4761" s="30">
        <f>IFERROR((VLOOKUP($A4761,HeadJournal!$A$1:$K$890,COLUMN(HeadJournal!K$1),0)-VLOOKUP($A4761,HeadJournal!$A$1:$K$890,COLUMN(HeadJournal!J$1),0))*($K4761+$L4761)/(SUMIF($A:$A,$A4761,$K:$K)+SUMIF($A:$A,$A4761,$L:$L)),0)</f>
        <v>0</v>
      </c>
      <c r="O4761" s="30">
        <f>IFERROR((VLOOKUP($A4761,HeadJournal!$A$1:$L$890,COLUMN(HeadJournal!L$1),0)*($K4761+$L4761)/(SUMIF($A:$A,$A4761,$K:$K)+SUMIF($A:$A,$A4761,$L:$L)))/VLOOKUP($A4761,HeadJournal!$A$1:$L$890,COLUMN(HeadJournal!H$1),0),0)</f>
        <v>0.43533360106955865</v>
      </c>
      <c r="P4761" s="30">
        <f>IFERROR(SUM(K4761:O4761)*VLOOKUP($A4761,HeadJournal!$A$1:$L$890,COLUMN(HeadJournal!H$1),0),0)</f>
        <v>1521.170438029875</v>
      </c>
      <c r="Q4761" s="29">
        <v>2800</v>
      </c>
      <c r="R4761" s="31">
        <v>45859</v>
      </c>
      <c r="S4761" s="31" t="s">
        <v>3384</v>
      </c>
      <c r="T4761" s="95" t="str">
        <f t="shared" si="363"/>
        <v>2025 07</v>
      </c>
      <c r="U4761" s="32">
        <f t="shared" si="358"/>
        <v>1278.829561970125</v>
      </c>
      <c r="V4761" s="22">
        <f t="shared" si="359"/>
        <v>0.8406878874311976</v>
      </c>
      <c r="X4761" s="33"/>
      <c r="Y4761" s="33"/>
    </row>
    <row r="4762" spans="1:25" x14ac:dyDescent="0.2">
      <c r="A4762" s="93" t="s">
        <v>3942</v>
      </c>
      <c r="B4762" s="94" t="str">
        <f>IFERROR(VLOOKUP($A4762,HeadJournal!$A$1:$NTR$890,COLUMN(HeadJournal!B$1),0),"")</f>
        <v>720000720328</v>
      </c>
      <c r="C4762" s="94" t="str">
        <f>IFERROR(VLOOKUP($A4762,HeadJournal!$A$1:$NTR$890,COLUMN(HeadJournal!C$1),0),"")</f>
        <v>iHerb_OA CZN6870</v>
      </c>
      <c r="D4762" s="125" t="str">
        <f>IFERROR(VLOOKUP($A4762,HeadJournal!$A$1:$NTR$890,COLUMN(HeadJournal!D$1),0),"")</f>
        <v>Доставлен</v>
      </c>
      <c r="E4762" s="95">
        <f>IFERROR(VLOOKUP($A4762,HeadJournal!$A$1:$NTR$890,COLUMN(HeadJournal!G$1),0),"")</f>
        <v>45835</v>
      </c>
      <c r="F4762" s="95" t="str">
        <f t="shared" si="362"/>
        <v>2025 06</v>
      </c>
      <c r="G4762" s="97" t="s">
        <v>5</v>
      </c>
      <c r="H4762" s="161" t="s">
        <v>2988</v>
      </c>
      <c r="I4762" s="97" t="s">
        <v>2750</v>
      </c>
      <c r="J4762" s="97" t="s">
        <v>2989</v>
      </c>
      <c r="K4762" s="29">
        <v>22.75</v>
      </c>
      <c r="L4762" s="29">
        <v>-4.55</v>
      </c>
      <c r="M4762" s="30">
        <f>IFERROR(VLOOKUP($A4762,HeadJournal!$A$1:$J$890,COLUMN(HeadJournal!I$1),0)*($K4762+$L4762)/(SUMIF($A:$A,$A4762,$K:$K)+SUMIF($A:$A,$A4762,$L:$L)),0)</f>
        <v>-1.6302482842147761</v>
      </c>
      <c r="N4762" s="30">
        <f>IFERROR((VLOOKUP($A4762,HeadJournal!$A$1:$K$890,COLUMN(HeadJournal!K$1),0)-VLOOKUP($A4762,HeadJournal!$A$1:$K$890,COLUMN(HeadJournal!J$1),0))*($K4762+$L4762)/(SUMIF($A:$A,$A4762,$K:$K)+SUMIF($A:$A,$A4762,$L:$L)),0)</f>
        <v>0</v>
      </c>
      <c r="O4762" s="30">
        <f>IFERROR((VLOOKUP($A4762,HeadJournal!$A$1:$L$890,COLUMN(HeadJournal!L$1),0)*($K4762+$L4762)/(SUMIF($A:$A,$A4762,$K:$K)+SUMIF($A:$A,$A4762,$L:$L)))/VLOOKUP($A4762,HeadJournal!$A$1:$L$890,COLUMN(HeadJournal!H$1),0),0)</f>
        <v>0.43533360106955865</v>
      </c>
      <c r="P4762" s="30">
        <f>IFERROR(SUM(K4762:O4762)*VLOOKUP($A4762,HeadJournal!$A$1:$L$890,COLUMN(HeadJournal!H$1),0),0)</f>
        <v>1521.170438029875</v>
      </c>
      <c r="Q4762" s="29">
        <v>3400</v>
      </c>
      <c r="R4762" s="31">
        <v>45936</v>
      </c>
      <c r="S4762" s="31"/>
      <c r="T4762" s="95" t="str">
        <f t="shared" si="363"/>
        <v>2025 10</v>
      </c>
      <c r="U4762" s="32">
        <f t="shared" si="358"/>
        <v>1878.829561970125</v>
      </c>
      <c r="V4762" s="22">
        <f t="shared" si="359"/>
        <v>1.2351210061664541</v>
      </c>
      <c r="X4762" s="33"/>
      <c r="Y4762" s="33"/>
    </row>
    <row r="4763" spans="1:25" x14ac:dyDescent="0.2">
      <c r="A4763" s="93" t="s">
        <v>3942</v>
      </c>
      <c r="B4763" s="94" t="str">
        <f>IFERROR(VLOOKUP($A4763,HeadJournal!$A$1:$NTR$890,COLUMN(HeadJournal!B$1),0),"")</f>
        <v>720000720328</v>
      </c>
      <c r="C4763" s="94" t="str">
        <f>IFERROR(VLOOKUP($A4763,HeadJournal!$A$1:$NTR$890,COLUMN(HeadJournal!C$1),0),"")</f>
        <v>iHerb_OA CZN6870</v>
      </c>
      <c r="D4763" s="125" t="str">
        <f>IFERROR(VLOOKUP($A4763,HeadJournal!$A$1:$NTR$890,COLUMN(HeadJournal!D$1),0),"")</f>
        <v>Доставлен</v>
      </c>
      <c r="E4763" s="95">
        <f>IFERROR(VLOOKUP($A4763,HeadJournal!$A$1:$NTR$890,COLUMN(HeadJournal!G$1),0),"")</f>
        <v>45835</v>
      </c>
      <c r="F4763" s="95" t="str">
        <f t="shared" si="362"/>
        <v>2025 06</v>
      </c>
      <c r="G4763" s="97" t="s">
        <v>5</v>
      </c>
      <c r="H4763" s="161" t="s">
        <v>3940</v>
      </c>
      <c r="I4763" s="97" t="s">
        <v>2581</v>
      </c>
      <c r="J4763" s="97" t="s">
        <v>3941</v>
      </c>
      <c r="K4763" s="29">
        <v>15.83</v>
      </c>
      <c r="L4763" s="29">
        <v>-9.34</v>
      </c>
      <c r="M4763" s="30">
        <f>IFERROR(VLOOKUP($A4763,HeadJournal!$A$1:$J$890,COLUMN(HeadJournal!I$1),0)*($K4763+$L4763)/(SUMIF($A:$A,$A4763,$K:$K)+SUMIF($A:$A,$A4763,$L:$L)),0)</f>
        <v>-0.58133578926120311</v>
      </c>
      <c r="N4763" s="30">
        <f>IFERROR((VLOOKUP($A4763,HeadJournal!$A$1:$K$890,COLUMN(HeadJournal!K$1),0)-VLOOKUP($A4763,HeadJournal!$A$1:$K$890,COLUMN(HeadJournal!J$1),0))*($K4763+$L4763)/(SUMIF($A:$A,$A4763,$K:$K)+SUMIF($A:$A,$A4763,$L:$L)),0)</f>
        <v>0</v>
      </c>
      <c r="O4763" s="30">
        <f>IFERROR((VLOOKUP($A4763,HeadJournal!$A$1:$L$890,COLUMN(HeadJournal!L$1),0)*($K4763+$L4763)/(SUMIF($A:$A,$A4763,$K:$K)+SUMIF($A:$A,$A4763,$L:$L)))/VLOOKUP($A4763,HeadJournal!$A$1:$L$890,COLUMN(HeadJournal!H$1),0),0)</f>
        <v>0.15523709180996903</v>
      </c>
      <c r="P4763" s="30">
        <f>IFERROR(SUM(K4763:O4763)*VLOOKUP($A4763,HeadJournal!$A$1:$L$890,COLUMN(HeadJournal!H$1),0),0)</f>
        <v>542.4393485062576</v>
      </c>
      <c r="Q4763" s="29">
        <v>2000</v>
      </c>
      <c r="R4763" s="31">
        <v>45964</v>
      </c>
      <c r="S4763" s="31" t="s">
        <v>3235</v>
      </c>
      <c r="T4763" s="95" t="str">
        <f t="shared" si="363"/>
        <v>2025 11</v>
      </c>
      <c r="U4763" s="32">
        <f t="shared" si="358"/>
        <v>1457.5606514937424</v>
      </c>
      <c r="V4763" s="22">
        <f t="shared" si="359"/>
        <v>2.6870481566418443</v>
      </c>
      <c r="X4763" s="33"/>
      <c r="Y4763" s="33"/>
    </row>
    <row r="4764" spans="1:25" x14ac:dyDescent="0.2">
      <c r="A4764" s="93" t="s">
        <v>3942</v>
      </c>
      <c r="B4764" s="94" t="str">
        <f>IFERROR(VLOOKUP($A4764,HeadJournal!$A$1:$NTR$890,COLUMN(HeadJournal!B$1),0),"")</f>
        <v>720000720328</v>
      </c>
      <c r="C4764" s="94" t="str">
        <f>IFERROR(VLOOKUP($A4764,HeadJournal!$A$1:$NTR$890,COLUMN(HeadJournal!C$1),0),"")</f>
        <v>iHerb_OA CZN6870</v>
      </c>
      <c r="D4764" s="125" t="str">
        <f>IFERROR(VLOOKUP($A4764,HeadJournal!$A$1:$NTR$890,COLUMN(HeadJournal!D$1),0),"")</f>
        <v>Доставлен</v>
      </c>
      <c r="E4764" s="95">
        <f>IFERROR(VLOOKUP($A4764,HeadJournal!$A$1:$NTR$890,COLUMN(HeadJournal!G$1),0),"")</f>
        <v>45835</v>
      </c>
      <c r="F4764" s="95" t="str">
        <f t="shared" si="362"/>
        <v>2025 06</v>
      </c>
      <c r="G4764" s="97" t="s">
        <v>5</v>
      </c>
      <c r="H4764" s="161" t="s">
        <v>2851</v>
      </c>
      <c r="I4764" s="97" t="s">
        <v>2102</v>
      </c>
      <c r="J4764" s="97" t="s">
        <v>4165</v>
      </c>
      <c r="K4764" s="29">
        <v>6.07</v>
      </c>
      <c r="L4764" s="29">
        <v>-1.21</v>
      </c>
      <c r="M4764" s="30">
        <f>IFERROR(VLOOKUP($A4764,HeadJournal!$A$1:$J$890,COLUMN(HeadJournal!I$1),0)*($K4764+$L4764)/(SUMIF($A:$A,$A4764,$K:$K)+SUMIF($A:$A,$A4764,$L:$L)),0)</f>
        <v>-0.43533003633427536</v>
      </c>
      <c r="N4764" s="30">
        <f>IFERROR((VLOOKUP($A4764,HeadJournal!$A$1:$K$890,COLUMN(HeadJournal!K$1),0)-VLOOKUP($A4764,HeadJournal!$A$1:$K$890,COLUMN(HeadJournal!J$1),0))*($K4764+$L4764)/(SUMIF($A:$A,$A4764,$K:$K)+SUMIF($A:$A,$A4764,$L:$L)),0)</f>
        <v>0</v>
      </c>
      <c r="O4764" s="30">
        <f>IFERROR((VLOOKUP($A4764,HeadJournal!$A$1:$L$890,COLUMN(HeadJournal!L$1),0)*($K4764+$L4764)/(SUMIF($A:$A,$A4764,$K:$K)+SUMIF($A:$A,$A4764,$L:$L)))/VLOOKUP($A4764,HeadJournal!$A$1:$L$890,COLUMN(HeadJournal!H$1),0),0)</f>
        <v>0.11624842314275032</v>
      </c>
      <c r="P4764" s="30">
        <f>IFERROR(SUM(K4764:O4764)*VLOOKUP($A4764,HeadJournal!$A$1:$L$890,COLUMN(HeadJournal!H$1),0),0)</f>
        <v>406.20265542995571</v>
      </c>
      <c r="Q4764" s="29">
        <v>1100</v>
      </c>
      <c r="R4764" s="31">
        <v>45859</v>
      </c>
      <c r="S4764" s="31"/>
      <c r="T4764" s="95" t="str">
        <f t="shared" si="363"/>
        <v>2025 07</v>
      </c>
      <c r="U4764" s="32">
        <f t="shared" si="358"/>
        <v>693.79734457004429</v>
      </c>
      <c r="V4764" s="22">
        <f t="shared" si="359"/>
        <v>1.7080079002331399</v>
      </c>
      <c r="X4764" s="33"/>
      <c r="Y4764" s="33"/>
    </row>
    <row r="4765" spans="1:25" x14ac:dyDescent="0.2">
      <c r="A4765" s="93" t="s">
        <v>3937</v>
      </c>
      <c r="B4765" s="94" t="str">
        <f>IFERROR(VLOOKUP($A4765,HeadJournal!$A$1:$NTR$890,COLUMN(HeadJournal!B$1),0),"")</f>
        <v>720000719857</v>
      </c>
      <c r="C4765" s="94" t="str">
        <f>IFERROR(VLOOKUP($A4765,HeadJournal!$A$1:$NTR$890,COLUMN(HeadJournal!C$1),0),"")</f>
        <v>iHerb_AV CYG0792</v>
      </c>
      <c r="D4765" s="125" t="str">
        <f>IFERROR(VLOOKUP($A4765,HeadJournal!$A$1:$NTR$890,COLUMN(HeadJournal!D$1),0),"")</f>
        <v>Доставлен</v>
      </c>
      <c r="E4765" s="95">
        <f>IFERROR(VLOOKUP($A4765,HeadJournal!$A$1:$NTR$890,COLUMN(HeadJournal!G$1),0),"")</f>
        <v>45835</v>
      </c>
      <c r="F4765" s="95" t="str">
        <f t="shared" si="362"/>
        <v>2025 06</v>
      </c>
      <c r="G4765" s="97" t="s">
        <v>5</v>
      </c>
      <c r="H4765" s="161" t="s">
        <v>3927</v>
      </c>
      <c r="I4765" s="97" t="s">
        <v>2750</v>
      </c>
      <c r="J4765" s="97" t="s">
        <v>3928</v>
      </c>
      <c r="K4765" s="29">
        <v>17.57</v>
      </c>
      <c r="L4765" s="29">
        <v>-3.51</v>
      </c>
      <c r="M4765" s="30">
        <f>IFERROR(VLOOKUP($A4765,HeadJournal!$A$1:$J$890,COLUMN(HeadJournal!I$1),0)*($K4765+$L4765)/(SUMIF($A:$A,$A4765,$K:$K)+SUMIF($A:$A,$A4765,$L:$L)),0)</f>
        <v>-2.7319906844876471</v>
      </c>
      <c r="N4765" s="30">
        <f>IFERROR((VLOOKUP($A4765,HeadJournal!$A$1:$K$890,COLUMN(HeadJournal!K$1),0)-VLOOKUP($A4765,HeadJournal!$A$1:$K$890,COLUMN(HeadJournal!J$1),0))*($K4765+$L4765)/(SUMIF($A:$A,$A4765,$K:$K)+SUMIF($A:$A,$A4765,$L:$L)),0)</f>
        <v>-2.0231330224356034E-15</v>
      </c>
      <c r="O4765" s="30">
        <f>IFERROR((VLOOKUP($A4765,HeadJournal!$A$1:$L$890,COLUMN(HeadJournal!L$1),0)*($K4765+$L4765)/(SUMIF($A:$A,$A4765,$K:$K)+SUMIF($A:$A,$A4765,$L:$L)))/VLOOKUP($A4765,HeadJournal!$A$1:$L$890,COLUMN(HeadJournal!H$1),0),0)</f>
        <v>0.33309125361673525</v>
      </c>
      <c r="P4765" s="30">
        <f>IFERROR(SUM(K4765:O4765)*VLOOKUP($A4765,HeadJournal!$A$1:$L$890,COLUMN(HeadJournal!H$1),0),0)</f>
        <v>1056.6141251518836</v>
      </c>
      <c r="Q4765" s="29">
        <v>2600</v>
      </c>
      <c r="R4765" s="31">
        <v>45859</v>
      </c>
      <c r="S4765" s="31" t="s">
        <v>3231</v>
      </c>
      <c r="T4765" s="95" t="str">
        <f t="shared" si="363"/>
        <v>2025 07</v>
      </c>
      <c r="U4765" s="32">
        <f t="shared" si="358"/>
        <v>1543.3858748481164</v>
      </c>
      <c r="V4765" s="22">
        <f t="shared" si="359"/>
        <v>1.4606901782864785</v>
      </c>
      <c r="X4765" s="33"/>
      <c r="Y4765" s="33"/>
    </row>
    <row r="4766" spans="1:25" x14ac:dyDescent="0.2">
      <c r="A4766" s="93" t="s">
        <v>3937</v>
      </c>
      <c r="B4766" s="94" t="str">
        <f>IFERROR(VLOOKUP($A4766,HeadJournal!$A$1:$NTR$890,COLUMN(HeadJournal!B$1),0),"")</f>
        <v>720000719857</v>
      </c>
      <c r="C4766" s="94" t="str">
        <f>IFERROR(VLOOKUP($A4766,HeadJournal!$A$1:$NTR$890,COLUMN(HeadJournal!C$1),0),"")</f>
        <v>iHerb_AV CYG0792</v>
      </c>
      <c r="D4766" s="125" t="str">
        <f>IFERROR(VLOOKUP($A4766,HeadJournal!$A$1:$NTR$890,COLUMN(HeadJournal!D$1),0),"")</f>
        <v>Доставлен</v>
      </c>
      <c r="E4766" s="95">
        <f>IFERROR(VLOOKUP($A4766,HeadJournal!$A$1:$NTR$890,COLUMN(HeadJournal!G$1),0),"")</f>
        <v>45835</v>
      </c>
      <c r="F4766" s="95" t="str">
        <f t="shared" si="362"/>
        <v>2025 06</v>
      </c>
      <c r="G4766" s="97" t="s">
        <v>5</v>
      </c>
      <c r="H4766" s="161" t="s">
        <v>3929</v>
      </c>
      <c r="I4766" s="97" t="s">
        <v>2750</v>
      </c>
      <c r="J4766" s="97" t="s">
        <v>2499</v>
      </c>
      <c r="K4766" s="29">
        <v>27.93</v>
      </c>
      <c r="L4766" s="29">
        <v>-5.59</v>
      </c>
      <c r="M4766" s="30">
        <f>IFERROR(VLOOKUP($A4766,HeadJournal!$A$1:$J$890,COLUMN(HeadJournal!I$1),0)*($K4766+$L4766)/(SUMIF($A:$A,$A4766,$K:$K)+SUMIF($A:$A,$A4766,$L:$L)),0)</f>
        <v>-4.3408728230052658</v>
      </c>
      <c r="N4766" s="30">
        <f>IFERROR((VLOOKUP($A4766,HeadJournal!$A$1:$K$890,COLUMN(HeadJournal!K$1),0)-VLOOKUP($A4766,HeadJournal!$A$1:$K$890,COLUMN(HeadJournal!J$1),0))*($K4766+$L4766)/(SUMIF($A:$A,$A4766,$K:$K)+SUMIF($A:$A,$A4766,$L:$L)),0)</f>
        <v>-3.2145655562739241E-15</v>
      </c>
      <c r="O4766" s="30">
        <f>IFERROR((VLOOKUP($A4766,HeadJournal!$A$1:$L$890,COLUMN(HeadJournal!L$1),0)*($K4766+$L4766)/(SUMIF($A:$A,$A4766,$K:$K)+SUMIF($A:$A,$A4766,$L:$L)))/VLOOKUP($A4766,HeadJournal!$A$1:$L$890,COLUMN(HeadJournal!H$1),0),0)</f>
        <v>0.52925025645788504</v>
      </c>
      <c r="P4766" s="30">
        <f>IFERROR(SUM(K4766:O4766)*VLOOKUP($A4766,HeadJournal!$A$1:$L$890,COLUMN(HeadJournal!H$1),0),0)</f>
        <v>1678.8591433778856</v>
      </c>
      <c r="Q4766" s="29">
        <v>3000</v>
      </c>
      <c r="R4766" s="31">
        <v>45858</v>
      </c>
      <c r="S4766" s="31" t="s">
        <v>4862</v>
      </c>
      <c r="T4766" s="95" t="str">
        <f t="shared" si="363"/>
        <v>2025 07</v>
      </c>
      <c r="U4766" s="32">
        <f t="shared" si="358"/>
        <v>1321.1408566221144</v>
      </c>
      <c r="V4766" s="22">
        <f t="shared" si="359"/>
        <v>0.7869277549776823</v>
      </c>
      <c r="X4766" s="33"/>
      <c r="Y4766" s="33"/>
    </row>
    <row r="4767" spans="1:25" x14ac:dyDescent="0.2">
      <c r="A4767" s="93" t="s">
        <v>3937</v>
      </c>
      <c r="B4767" s="94" t="str">
        <f>IFERROR(VLOOKUP($A4767,HeadJournal!$A$1:$NTR$890,COLUMN(HeadJournal!B$1),0),"")</f>
        <v>720000719857</v>
      </c>
      <c r="C4767" s="94" t="str">
        <f>IFERROR(VLOOKUP($A4767,HeadJournal!$A$1:$NTR$890,COLUMN(HeadJournal!C$1),0),"")</f>
        <v>iHerb_AV CYG0792</v>
      </c>
      <c r="D4767" s="125" t="str">
        <f>IFERROR(VLOOKUP($A4767,HeadJournal!$A$1:$NTR$890,COLUMN(HeadJournal!D$1),0),"")</f>
        <v>Доставлен</v>
      </c>
      <c r="E4767" s="95">
        <f>IFERROR(VLOOKUP($A4767,HeadJournal!$A$1:$NTR$890,COLUMN(HeadJournal!G$1),0),"")</f>
        <v>45835</v>
      </c>
      <c r="F4767" s="95" t="str">
        <f t="shared" si="362"/>
        <v>2025 06</v>
      </c>
      <c r="G4767" s="97" t="s">
        <v>5</v>
      </c>
      <c r="H4767" s="161" t="s">
        <v>3924</v>
      </c>
      <c r="I4767" s="97" t="s">
        <v>2052</v>
      </c>
      <c r="J4767" s="97" t="s">
        <v>3925</v>
      </c>
      <c r="K4767" s="29">
        <v>36.799999999999997</v>
      </c>
      <c r="L4767" s="29">
        <v>-7.36</v>
      </c>
      <c r="M4767" s="30">
        <f>IFERROR(VLOOKUP($A4767,HeadJournal!$A$1:$J$890,COLUMN(HeadJournal!I$1),0)*($K4767+$L4767)/(SUMIF($A:$A,$A4767,$K:$K)+SUMIF($A:$A,$A4767,$L:$L)),0)</f>
        <v>-5.7204698258404205</v>
      </c>
      <c r="N4767" s="30">
        <f>IFERROR((VLOOKUP($A4767,HeadJournal!$A$1:$K$890,COLUMN(HeadJournal!K$1),0)-VLOOKUP($A4767,HeadJournal!$A$1:$K$890,COLUMN(HeadJournal!J$1),0))*($K4767+$L4767)/(SUMIF($A:$A,$A4767,$K:$K)+SUMIF($A:$A,$A4767,$L:$L)),0)</f>
        <v>-4.2362045647584741E-15</v>
      </c>
      <c r="O4767" s="30">
        <f>IFERROR((VLOOKUP($A4767,HeadJournal!$A$1:$L$890,COLUMN(HeadJournal!L$1),0)*($K4767+$L4767)/(SUMIF($A:$A,$A4767,$K:$K)+SUMIF($A:$A,$A4767,$L:$L)))/VLOOKUP($A4767,HeadJournal!$A$1:$L$890,COLUMN(HeadJournal!H$1),0),0)</f>
        <v>0.69745423232408854</v>
      </c>
      <c r="P4767" s="30">
        <f>IFERROR(SUM(K4767:O4767)*VLOOKUP($A4767,HeadJournal!$A$1:$L$890,COLUMN(HeadJournal!H$1),0),0)</f>
        <v>2212.4267314702306</v>
      </c>
      <c r="Q4767" s="29">
        <v>3800</v>
      </c>
      <c r="R4767" s="31">
        <v>45858</v>
      </c>
      <c r="S4767" s="31"/>
      <c r="T4767" s="95" t="str">
        <f t="shared" si="363"/>
        <v>2025 07</v>
      </c>
      <c r="U4767" s="32">
        <f t="shared" si="358"/>
        <v>1587.5732685297694</v>
      </c>
      <c r="V4767" s="22">
        <f t="shared" si="359"/>
        <v>0.71757100289363007</v>
      </c>
      <c r="X4767" s="33"/>
      <c r="Y4767" s="33"/>
    </row>
    <row r="4768" spans="1:25" x14ac:dyDescent="0.2">
      <c r="A4768" s="93" t="s">
        <v>3937</v>
      </c>
      <c r="B4768" s="94" t="str">
        <f>IFERROR(VLOOKUP($A4768,HeadJournal!$A$1:$NTR$890,COLUMN(HeadJournal!B$1),0),"")</f>
        <v>720000719857</v>
      </c>
      <c r="C4768" s="94" t="str">
        <f>IFERROR(VLOOKUP($A4768,HeadJournal!$A$1:$NTR$890,COLUMN(HeadJournal!C$1),0),"")</f>
        <v>iHerb_AV CYG0792</v>
      </c>
      <c r="D4768" s="125" t="str">
        <f>IFERROR(VLOOKUP($A4768,HeadJournal!$A$1:$NTR$890,COLUMN(HeadJournal!D$1),0),"")</f>
        <v>Доставлен</v>
      </c>
      <c r="E4768" s="95">
        <f>IFERROR(VLOOKUP($A4768,HeadJournal!$A$1:$NTR$890,COLUMN(HeadJournal!G$1),0),"")</f>
        <v>45835</v>
      </c>
      <c r="F4768" s="95" t="str">
        <f t="shared" si="362"/>
        <v>2025 06</v>
      </c>
      <c r="G4768" s="97" t="s">
        <v>5</v>
      </c>
      <c r="H4768" s="161" t="s">
        <v>2659</v>
      </c>
      <c r="I4768" s="97" t="s">
        <v>2218</v>
      </c>
      <c r="J4768" s="97" t="s">
        <v>2660</v>
      </c>
      <c r="K4768" s="29">
        <v>9.76</v>
      </c>
      <c r="L4768" s="29">
        <v>-1.95</v>
      </c>
      <c r="M4768" s="30">
        <f>IFERROR(VLOOKUP($A4768,HeadJournal!$A$1:$J$890,COLUMN(HeadJournal!I$1),0)*($K4768+$L4768)/(SUMIF($A:$A,$A4768,$K:$K)+SUMIF($A:$A,$A4768,$L:$L)),0)</f>
        <v>-1.5175567031186714</v>
      </c>
      <c r="N4768" s="30">
        <f>IFERROR((VLOOKUP($A4768,HeadJournal!$A$1:$K$890,COLUMN(HeadJournal!K$1),0)-VLOOKUP($A4768,HeadJournal!$A$1:$K$890,COLUMN(HeadJournal!J$1),0))*($K4768+$L4768)/(SUMIF($A:$A,$A4768,$K:$K)+SUMIF($A:$A,$A4768,$L:$L)),0)</f>
        <v>-1.1238029093330056E-15</v>
      </c>
      <c r="O4768" s="30">
        <f>IFERROR((VLOOKUP($A4768,HeadJournal!$A$1:$L$890,COLUMN(HeadJournal!L$1),0)*($K4768+$L4768)/(SUMIF($A:$A,$A4768,$K:$K)+SUMIF($A:$A,$A4768,$L:$L)))/VLOOKUP($A4768,HeadJournal!$A$1:$L$890,COLUMN(HeadJournal!H$1),0),0)</f>
        <v>0.18502437345282377</v>
      </c>
      <c r="P4768" s="30">
        <f>IFERROR(SUM(K4768:O4768)*VLOOKUP($A4768,HeadJournal!$A$1:$L$890,COLUMN(HeadJournal!H$1),0),0)</f>
        <v>586.92434690157961</v>
      </c>
      <c r="Q4768" s="29">
        <v>1700</v>
      </c>
      <c r="R4768" s="31">
        <v>45858</v>
      </c>
      <c r="S4768" s="31" t="s">
        <v>3241</v>
      </c>
      <c r="T4768" s="95" t="str">
        <f t="shared" si="363"/>
        <v>2025 07</v>
      </c>
      <c r="U4768" s="32">
        <f t="shared" si="358"/>
        <v>1113.0756530984204</v>
      </c>
      <c r="V4768" s="22">
        <f t="shared" si="359"/>
        <v>1.8964550695067184</v>
      </c>
      <c r="X4768" s="33"/>
      <c r="Y4768" s="33"/>
    </row>
    <row r="4769" spans="1:25" x14ac:dyDescent="0.2">
      <c r="A4769" s="93" t="s">
        <v>3937</v>
      </c>
      <c r="B4769" s="94" t="str">
        <f>IFERROR(VLOOKUP($A4769,HeadJournal!$A$1:$NTR$890,COLUMN(HeadJournal!B$1),0),"")</f>
        <v>720000719857</v>
      </c>
      <c r="C4769" s="94" t="str">
        <f>IFERROR(VLOOKUP($A4769,HeadJournal!$A$1:$NTR$890,COLUMN(HeadJournal!C$1),0),"")</f>
        <v>iHerb_AV CYG0792</v>
      </c>
      <c r="D4769" s="125" t="str">
        <f>IFERROR(VLOOKUP($A4769,HeadJournal!$A$1:$NTR$890,COLUMN(HeadJournal!D$1),0),"")</f>
        <v>Доставлен</v>
      </c>
      <c r="E4769" s="95">
        <f>IFERROR(VLOOKUP($A4769,HeadJournal!$A$1:$NTR$890,COLUMN(HeadJournal!G$1),0),"")</f>
        <v>45835</v>
      </c>
      <c r="F4769" s="95" t="str">
        <f t="shared" si="362"/>
        <v>2025 06</v>
      </c>
      <c r="G4769" s="97" t="s">
        <v>5</v>
      </c>
      <c r="H4769" s="161" t="s">
        <v>2665</v>
      </c>
      <c r="I4769" s="97" t="s">
        <v>2666</v>
      </c>
      <c r="J4769" s="97" t="s">
        <v>3930</v>
      </c>
      <c r="K4769" s="29">
        <v>10.4</v>
      </c>
      <c r="L4769" s="29">
        <v>-2.08</v>
      </c>
      <c r="M4769" s="30">
        <f>IFERROR(VLOOKUP($A4769,HeadJournal!$A$1:$J$890,COLUMN(HeadJournal!I$1),0)*($K4769+$L4769)/(SUMIF($A:$A,$A4769,$K:$K)+SUMIF($A:$A,$A4769,$L:$L)),0)</f>
        <v>-1.6166545159983801</v>
      </c>
      <c r="N4769" s="30">
        <f>IFERROR((VLOOKUP($A4769,HeadJournal!$A$1:$K$890,COLUMN(HeadJournal!K$1),0)-VLOOKUP($A4769,HeadJournal!$A$1:$K$890,COLUMN(HeadJournal!J$1),0))*($K4769+$L4769)/(SUMIF($A:$A,$A4769,$K:$K)+SUMIF($A:$A,$A4769,$L:$L)),0)</f>
        <v>-1.1971882465621777E-15</v>
      </c>
      <c r="O4769" s="30">
        <f>IFERROR((VLOOKUP($A4769,HeadJournal!$A$1:$L$890,COLUMN(HeadJournal!L$1),0)*($K4769+$L4769)/(SUMIF($A:$A,$A4769,$K:$K)+SUMIF($A:$A,$A4769,$L:$L)))/VLOOKUP($A4769,HeadJournal!$A$1:$L$890,COLUMN(HeadJournal!H$1),0),0)</f>
        <v>0.19710663087419894</v>
      </c>
      <c r="P4769" s="30">
        <f>IFERROR(SUM(K4769:O4769)*VLOOKUP($A4769,HeadJournal!$A$1:$L$890,COLUMN(HeadJournal!H$1),0),0)</f>
        <v>625.25103280680435</v>
      </c>
      <c r="Q4769" s="29">
        <v>1600</v>
      </c>
      <c r="R4769" s="31">
        <v>45858</v>
      </c>
      <c r="S4769" s="31" t="s">
        <v>3226</v>
      </c>
      <c r="T4769" s="95" t="str">
        <f t="shared" si="363"/>
        <v>2025 07</v>
      </c>
      <c r="U4769" s="32">
        <f t="shared" si="358"/>
        <v>974.74896719319565</v>
      </c>
      <c r="V4769" s="22">
        <f t="shared" si="359"/>
        <v>1.558972182448809</v>
      </c>
      <c r="X4769" s="33"/>
      <c r="Y4769" s="33"/>
    </row>
    <row r="4770" spans="1:25" x14ac:dyDescent="0.2">
      <c r="A4770" s="93" t="s">
        <v>3937</v>
      </c>
      <c r="B4770" s="94" t="str">
        <f>IFERROR(VLOOKUP($A4770,HeadJournal!$A$1:$NTR$890,COLUMN(HeadJournal!B$1),0),"")</f>
        <v>720000719857</v>
      </c>
      <c r="C4770" s="94" t="str">
        <f>IFERROR(VLOOKUP($A4770,HeadJournal!$A$1:$NTR$890,COLUMN(HeadJournal!C$1),0),"")</f>
        <v>iHerb_AV CYG0792</v>
      </c>
      <c r="D4770" s="125" t="str">
        <f>IFERROR(VLOOKUP($A4770,HeadJournal!$A$1:$NTR$890,COLUMN(HeadJournal!D$1),0),"")</f>
        <v>Доставлен</v>
      </c>
      <c r="E4770" s="95">
        <f>IFERROR(VLOOKUP($A4770,HeadJournal!$A$1:$NTR$890,COLUMN(HeadJournal!G$1),0),"")</f>
        <v>45835</v>
      </c>
      <c r="F4770" s="95" t="str">
        <f t="shared" si="362"/>
        <v>2025 06</v>
      </c>
      <c r="G4770" s="97" t="s">
        <v>5</v>
      </c>
      <c r="H4770" s="161" t="s">
        <v>3931</v>
      </c>
      <c r="I4770" s="97" t="s">
        <v>2036</v>
      </c>
      <c r="J4770" s="97" t="s">
        <v>3932</v>
      </c>
      <c r="K4770" s="29">
        <v>12.06</v>
      </c>
      <c r="L4770" s="29">
        <v>-2.41</v>
      </c>
      <c r="M4770" s="30">
        <f>IFERROR(VLOOKUP($A4770,HeadJournal!$A$1:$J$890,COLUMN(HeadJournal!I$1),0)*($K4770+$L4770)/(SUMIF($A:$A,$A4770,$K:$K)+SUMIF($A:$A,$A4770,$L:$L)),0)</f>
        <v>-1.8750860672336978</v>
      </c>
      <c r="N4770" s="30">
        <f>IFERROR((VLOOKUP($A4770,HeadJournal!$A$1:$K$890,COLUMN(HeadJournal!K$1),0)-VLOOKUP($A4770,HeadJournal!$A$1:$K$890,COLUMN(HeadJournal!J$1),0))*($K4770+$L4770)/(SUMIF($A:$A,$A4770,$K:$K)+SUMIF($A:$A,$A4770,$L:$L)),0)</f>
        <v>-1.3885656946304104E-15</v>
      </c>
      <c r="O4770" s="30">
        <f>IFERROR((VLOOKUP($A4770,HeadJournal!$A$1:$L$890,COLUMN(HeadJournal!L$1),0)*($K4770+$L4770)/(SUMIF($A:$A,$A4770,$K:$K)+SUMIF($A:$A,$A4770,$L:$L)))/VLOOKUP($A4770,HeadJournal!$A$1:$L$890,COLUMN(HeadJournal!H$1),0),0)</f>
        <v>0.2286152629730793</v>
      </c>
      <c r="P4770" s="30">
        <f>IFERROR(SUM(K4770:O4770)*VLOOKUP($A4770,HeadJournal!$A$1:$L$890,COLUMN(HeadJournal!H$1),0),0)</f>
        <v>725.20101761846911</v>
      </c>
      <c r="Q4770" s="29">
        <v>1700</v>
      </c>
      <c r="R4770" s="31">
        <v>45858</v>
      </c>
      <c r="S4770" s="31" t="s">
        <v>3226</v>
      </c>
      <c r="T4770" s="95" t="str">
        <f t="shared" si="363"/>
        <v>2025 07</v>
      </c>
      <c r="U4770" s="32">
        <f t="shared" si="358"/>
        <v>974.79898238153089</v>
      </c>
      <c r="V4770" s="22">
        <f t="shared" si="359"/>
        <v>1.3441776262018101</v>
      </c>
      <c r="X4770" s="33"/>
      <c r="Y4770" s="33"/>
    </row>
    <row r="4771" spans="1:25" x14ac:dyDescent="0.2">
      <c r="A4771" s="93" t="s">
        <v>3937</v>
      </c>
      <c r="B4771" s="94" t="str">
        <f>IFERROR(VLOOKUP($A4771,HeadJournal!$A$1:$NTR$890,COLUMN(HeadJournal!B$1),0),"")</f>
        <v>720000719857</v>
      </c>
      <c r="C4771" s="94" t="str">
        <f>IFERROR(VLOOKUP($A4771,HeadJournal!$A$1:$NTR$890,COLUMN(HeadJournal!C$1),0),"")</f>
        <v>iHerb_AV CYG0792</v>
      </c>
      <c r="D4771" s="125" t="str">
        <f>IFERROR(VLOOKUP($A4771,HeadJournal!$A$1:$NTR$890,COLUMN(HeadJournal!D$1),0),"")</f>
        <v>Доставлен</v>
      </c>
      <c r="E4771" s="95">
        <f>IFERROR(VLOOKUP($A4771,HeadJournal!$A$1:$NTR$890,COLUMN(HeadJournal!G$1),0),"")</f>
        <v>45835</v>
      </c>
      <c r="F4771" s="95" t="str">
        <f t="shared" si="362"/>
        <v>2025 06</v>
      </c>
      <c r="G4771" s="97" t="s">
        <v>5</v>
      </c>
      <c r="H4771" s="161" t="s">
        <v>3933</v>
      </c>
      <c r="I4771" s="97" t="s">
        <v>2036</v>
      </c>
      <c r="J4771" s="97" t="s">
        <v>3934</v>
      </c>
      <c r="K4771" s="29">
        <v>12.06</v>
      </c>
      <c r="L4771" s="29">
        <v>-2.41</v>
      </c>
      <c r="M4771" s="30">
        <f>IFERROR(VLOOKUP($A4771,HeadJournal!$A$1:$J$890,COLUMN(HeadJournal!I$1),0)*($K4771+$L4771)/(SUMIF($A:$A,$A4771,$K:$K)+SUMIF($A:$A,$A4771,$L:$L)),0)</f>
        <v>-1.8750860672336978</v>
      </c>
      <c r="N4771" s="30">
        <f>IFERROR((VLOOKUP($A4771,HeadJournal!$A$1:$K$890,COLUMN(HeadJournal!K$1),0)-VLOOKUP($A4771,HeadJournal!$A$1:$K$890,COLUMN(HeadJournal!J$1),0))*($K4771+$L4771)/(SUMIF($A:$A,$A4771,$K:$K)+SUMIF($A:$A,$A4771,$L:$L)),0)</f>
        <v>-1.3885656946304104E-15</v>
      </c>
      <c r="O4771" s="30">
        <f>IFERROR((VLOOKUP($A4771,HeadJournal!$A$1:$L$890,COLUMN(HeadJournal!L$1),0)*($K4771+$L4771)/(SUMIF($A:$A,$A4771,$K:$K)+SUMIF($A:$A,$A4771,$L:$L)))/VLOOKUP($A4771,HeadJournal!$A$1:$L$890,COLUMN(HeadJournal!H$1),0),0)</f>
        <v>0.2286152629730793</v>
      </c>
      <c r="P4771" s="30">
        <f>IFERROR(SUM(K4771:O4771)*VLOOKUP($A4771,HeadJournal!$A$1:$L$890,COLUMN(HeadJournal!H$1),0),0)</f>
        <v>725.20101761846911</v>
      </c>
      <c r="Q4771" s="29">
        <v>1700</v>
      </c>
      <c r="R4771" s="31">
        <v>45858</v>
      </c>
      <c r="S4771" s="31" t="s">
        <v>3226</v>
      </c>
      <c r="T4771" s="95" t="str">
        <f t="shared" si="363"/>
        <v>2025 07</v>
      </c>
      <c r="U4771" s="32">
        <f t="shared" si="358"/>
        <v>974.79898238153089</v>
      </c>
      <c r="V4771" s="22">
        <f t="shared" si="359"/>
        <v>1.3441776262018101</v>
      </c>
      <c r="X4771" s="33"/>
      <c r="Y4771" s="33"/>
    </row>
    <row r="4772" spans="1:25" x14ac:dyDescent="0.2">
      <c r="A4772" s="93" t="s">
        <v>3937</v>
      </c>
      <c r="B4772" s="94" t="str">
        <f>IFERROR(VLOOKUP($A4772,HeadJournal!$A$1:$NTR$890,COLUMN(HeadJournal!B$1),0),"")</f>
        <v>720000719857</v>
      </c>
      <c r="C4772" s="94" t="str">
        <f>IFERROR(VLOOKUP($A4772,HeadJournal!$A$1:$NTR$890,COLUMN(HeadJournal!C$1),0),"")</f>
        <v>iHerb_AV CYG0792</v>
      </c>
      <c r="D4772" s="125" t="str">
        <f>IFERROR(VLOOKUP($A4772,HeadJournal!$A$1:$NTR$890,COLUMN(HeadJournal!D$1),0),"")</f>
        <v>Доставлен</v>
      </c>
      <c r="E4772" s="95">
        <f>IFERROR(VLOOKUP($A4772,HeadJournal!$A$1:$NTR$890,COLUMN(HeadJournal!G$1),0),"")</f>
        <v>45835</v>
      </c>
      <c r="F4772" s="95" t="str">
        <f t="shared" si="362"/>
        <v>2025 06</v>
      </c>
      <c r="G4772" s="97" t="s">
        <v>5</v>
      </c>
      <c r="H4772" s="161" t="s">
        <v>3935</v>
      </c>
      <c r="I4772" s="97" t="s">
        <v>2036</v>
      </c>
      <c r="J4772" s="97" t="s">
        <v>3936</v>
      </c>
      <c r="K4772" s="29">
        <v>15.08</v>
      </c>
      <c r="L4772" s="29">
        <v>-3.02</v>
      </c>
      <c r="M4772" s="30">
        <f>IFERROR(VLOOKUP($A4772,HeadJournal!$A$1:$J$890,COLUMN(HeadJournal!I$1),0)*($K4772+$L4772)/(SUMIF($A:$A,$A4772,$K:$K)+SUMIF($A:$A,$A4772,$L:$L)),0)</f>
        <v>-2.3433718104495749</v>
      </c>
      <c r="N4772" s="30">
        <f>IFERROR((VLOOKUP($A4772,HeadJournal!$A$1:$K$890,COLUMN(HeadJournal!K$1),0)-VLOOKUP($A4772,HeadJournal!$A$1:$K$890,COLUMN(HeadJournal!J$1),0))*($K4772+$L4772)/(SUMIF($A:$A,$A4772,$K:$K)+SUMIF($A:$A,$A4772,$L:$L)),0)</f>
        <v>-1.735347386242772E-15</v>
      </c>
      <c r="O4772" s="30">
        <f>IFERROR((VLOOKUP($A4772,HeadJournal!$A$1:$L$890,COLUMN(HeadJournal!L$1),0)*($K4772+$L4772)/(SUMIF($A:$A,$A4772,$K:$K)+SUMIF($A:$A,$A4772,$L:$L)))/VLOOKUP($A4772,HeadJournal!$A$1:$L$890,COLUMN(HeadJournal!H$1),0),0)</f>
        <v>0.28570985196428356</v>
      </c>
      <c r="P4772" s="30">
        <f>IFERROR(SUM(K4772:O4772)*VLOOKUP($A4772,HeadJournal!$A$1:$L$890,COLUMN(HeadJournal!H$1),0),0)</f>
        <v>906.31339611178612</v>
      </c>
      <c r="Q4772" s="29">
        <v>2000</v>
      </c>
      <c r="R4772" s="31">
        <v>45858</v>
      </c>
      <c r="S4772" s="31" t="s">
        <v>3226</v>
      </c>
      <c r="T4772" s="95" t="str">
        <f t="shared" si="363"/>
        <v>2025 07</v>
      </c>
      <c r="U4772" s="32">
        <f t="shared" si="358"/>
        <v>1093.686603888214</v>
      </c>
      <c r="V4772" s="22">
        <f t="shared" si="359"/>
        <v>1.2067421805528702</v>
      </c>
      <c r="X4772" s="33"/>
      <c r="Y4772" s="33"/>
    </row>
    <row r="4773" spans="1:25" x14ac:dyDescent="0.2">
      <c r="A4773" s="93" t="s">
        <v>3937</v>
      </c>
      <c r="B4773" s="94" t="str">
        <f>IFERROR(VLOOKUP($A4773,HeadJournal!$A$1:$NTR$890,COLUMN(HeadJournal!B$1),0),"")</f>
        <v>720000719857</v>
      </c>
      <c r="C4773" s="94" t="str">
        <f>IFERROR(VLOOKUP($A4773,HeadJournal!$A$1:$NTR$890,COLUMN(HeadJournal!C$1),0),"")</f>
        <v>iHerb_AV CYG0792</v>
      </c>
      <c r="D4773" s="125" t="str">
        <f>IFERROR(VLOOKUP($A4773,HeadJournal!$A$1:$NTR$890,COLUMN(HeadJournal!D$1),0),"")</f>
        <v>Доставлен</v>
      </c>
      <c r="E4773" s="95">
        <f>IFERROR(VLOOKUP($A4773,HeadJournal!$A$1:$NTR$890,COLUMN(HeadJournal!G$1),0),"")</f>
        <v>45835</v>
      </c>
      <c r="F4773" s="95" t="str">
        <f t="shared" si="362"/>
        <v>2025 06</v>
      </c>
      <c r="G4773" s="97" t="s">
        <v>5</v>
      </c>
      <c r="H4773" s="161" t="s">
        <v>3761</v>
      </c>
      <c r="I4773" s="97" t="s">
        <v>2166</v>
      </c>
      <c r="J4773" s="97" t="s">
        <v>3762</v>
      </c>
      <c r="K4773" s="29">
        <v>45.08</v>
      </c>
      <c r="L4773" s="29">
        <v>-9.0150000000000006</v>
      </c>
      <c r="M4773" s="30">
        <f>IFERROR(VLOOKUP($A4773,HeadJournal!$A$1:$J$890,COLUMN(HeadJournal!I$1),0)*($K4773+$L4773)/(SUMIF($A:$A,$A4773,$K:$K)+SUMIF($A:$A,$A4773,$L:$L)),0)</f>
        <v>-7.0077698460915352</v>
      </c>
      <c r="N4773" s="30">
        <f>IFERROR((VLOOKUP($A4773,HeadJournal!$A$1:$K$890,COLUMN(HeadJournal!K$1),0)-VLOOKUP($A4773,HeadJournal!$A$1:$K$890,COLUMN(HeadJournal!J$1),0))*($K4773+$L4773)/(SUMIF($A:$A,$A4773,$K:$K)+SUMIF($A:$A,$A4773,$L:$L)),0)</f>
        <v>-5.1894944846472275E-15</v>
      </c>
      <c r="O4773" s="30">
        <f>IFERROR((VLOOKUP($A4773,HeadJournal!$A$1:$L$890,COLUMN(HeadJournal!L$1),0)*($K4773+$L4773)/(SUMIF($A:$A,$A4773,$K:$K)+SUMIF($A:$A,$A4773,$L:$L)))/VLOOKUP($A4773,HeadJournal!$A$1:$L$890,COLUMN(HeadJournal!H$1),0),0)</f>
        <v>0.85440512529783463</v>
      </c>
      <c r="P4773" s="30">
        <f>IFERROR(SUM(K4773:O4773)*VLOOKUP($A4773,HeadJournal!$A$1:$L$890,COLUMN(HeadJournal!H$1),0),0)</f>
        <v>2710.2978964155527</v>
      </c>
      <c r="Q4773" s="29">
        <v>4800</v>
      </c>
      <c r="R4773" s="31">
        <v>45858</v>
      </c>
      <c r="S4773" s="31" t="s">
        <v>3235</v>
      </c>
      <c r="T4773" s="95" t="str">
        <f t="shared" si="363"/>
        <v>2025 07</v>
      </c>
      <c r="U4773" s="32">
        <f t="shared" si="358"/>
        <v>2089.7021035844473</v>
      </c>
      <c r="V4773" s="22">
        <f t="shared" si="359"/>
        <v>0.77102303268881944</v>
      </c>
      <c r="X4773" s="33"/>
      <c r="Y4773" s="33"/>
    </row>
    <row r="4774" spans="1:25" x14ac:dyDescent="0.2">
      <c r="A4774" s="93" t="s">
        <v>3937</v>
      </c>
      <c r="B4774" s="94" t="str">
        <f>IFERROR(VLOOKUP($A4774,HeadJournal!$A$1:$NTR$890,COLUMN(HeadJournal!B$1),0),"")</f>
        <v>720000719857</v>
      </c>
      <c r="C4774" s="94" t="str">
        <f>IFERROR(VLOOKUP($A4774,HeadJournal!$A$1:$NTR$890,COLUMN(HeadJournal!C$1),0),"")</f>
        <v>iHerb_AV CYG0792</v>
      </c>
      <c r="D4774" s="125" t="str">
        <f>IFERROR(VLOOKUP($A4774,HeadJournal!$A$1:$NTR$890,COLUMN(HeadJournal!D$1),0),"")</f>
        <v>Доставлен</v>
      </c>
      <c r="E4774" s="95">
        <f>IFERROR(VLOOKUP($A4774,HeadJournal!$A$1:$NTR$890,COLUMN(HeadJournal!G$1),0),"")</f>
        <v>45835</v>
      </c>
      <c r="F4774" s="95" t="str">
        <f t="shared" si="362"/>
        <v>2025 06</v>
      </c>
      <c r="G4774" s="97" t="s">
        <v>5</v>
      </c>
      <c r="H4774" s="161" t="s">
        <v>3761</v>
      </c>
      <c r="I4774" s="97" t="s">
        <v>2166</v>
      </c>
      <c r="J4774" s="97" t="s">
        <v>3762</v>
      </c>
      <c r="K4774" s="29">
        <v>45.08</v>
      </c>
      <c r="L4774" s="29">
        <v>-9.0150000000000006</v>
      </c>
      <c r="M4774" s="30">
        <f>IFERROR(VLOOKUP($A4774,HeadJournal!$A$1:$J$890,COLUMN(HeadJournal!I$1),0)*($K4774+$L4774)/(SUMIF($A:$A,$A4774,$K:$K)+SUMIF($A:$A,$A4774,$L:$L)),0)</f>
        <v>-7.0077698460915352</v>
      </c>
      <c r="N4774" s="30">
        <f>IFERROR((VLOOKUP($A4774,HeadJournal!$A$1:$K$890,COLUMN(HeadJournal!K$1),0)-VLOOKUP($A4774,HeadJournal!$A$1:$K$890,COLUMN(HeadJournal!J$1),0))*($K4774+$L4774)/(SUMIF($A:$A,$A4774,$K:$K)+SUMIF($A:$A,$A4774,$L:$L)),0)</f>
        <v>-5.1894944846472275E-15</v>
      </c>
      <c r="O4774" s="30">
        <f>IFERROR((VLOOKUP($A4774,HeadJournal!$A$1:$L$890,COLUMN(HeadJournal!L$1),0)*($K4774+$L4774)/(SUMIF($A:$A,$A4774,$K:$K)+SUMIF($A:$A,$A4774,$L:$L)))/VLOOKUP($A4774,HeadJournal!$A$1:$L$890,COLUMN(HeadJournal!H$1),0),0)</f>
        <v>0.85440512529783463</v>
      </c>
      <c r="P4774" s="30">
        <f>IFERROR(SUM(K4774:O4774)*VLOOKUP($A4774,HeadJournal!$A$1:$L$890,COLUMN(HeadJournal!H$1),0),0)</f>
        <v>2710.2978964155527</v>
      </c>
      <c r="Q4774" s="29">
        <v>4800</v>
      </c>
      <c r="R4774" s="31">
        <v>45858</v>
      </c>
      <c r="S4774" s="31" t="s">
        <v>3226</v>
      </c>
      <c r="T4774" s="95" t="str">
        <f t="shared" si="363"/>
        <v>2025 07</v>
      </c>
      <c r="U4774" s="32">
        <f t="shared" si="358"/>
        <v>2089.7021035844473</v>
      </c>
      <c r="V4774" s="22">
        <f t="shared" si="359"/>
        <v>0.77102303268881944</v>
      </c>
      <c r="X4774" s="33"/>
      <c r="Y4774" s="33"/>
    </row>
    <row r="4775" spans="1:25" x14ac:dyDescent="0.2">
      <c r="A4775" s="93" t="s">
        <v>3937</v>
      </c>
      <c r="B4775" s="94" t="str">
        <f>IFERROR(VLOOKUP($A4775,HeadJournal!$A$1:$NTR$890,COLUMN(HeadJournal!B$1),0),"")</f>
        <v>720000719857</v>
      </c>
      <c r="C4775" s="94" t="str">
        <f>IFERROR(VLOOKUP($A4775,HeadJournal!$A$1:$NTR$890,COLUMN(HeadJournal!C$1),0),"")</f>
        <v>iHerb_AV CYG0792</v>
      </c>
      <c r="D4775" s="125" t="str">
        <f>IFERROR(VLOOKUP($A4775,HeadJournal!$A$1:$NTR$890,COLUMN(HeadJournal!D$1),0),"")</f>
        <v>Доставлен</v>
      </c>
      <c r="E4775" s="95">
        <f>IFERROR(VLOOKUP($A4775,HeadJournal!$A$1:$NTR$890,COLUMN(HeadJournal!G$1),0),"")</f>
        <v>45835</v>
      </c>
      <c r="F4775" s="95" t="str">
        <f t="shared" si="362"/>
        <v>2025 06</v>
      </c>
      <c r="G4775" s="97" t="s">
        <v>5</v>
      </c>
      <c r="H4775" s="161" t="s">
        <v>2504</v>
      </c>
      <c r="I4775" s="97" t="s">
        <v>2036</v>
      </c>
      <c r="J4775" s="97" t="s">
        <v>3739</v>
      </c>
      <c r="K4775" s="29">
        <v>15.08</v>
      </c>
      <c r="L4775" s="29">
        <v>-3.02</v>
      </c>
      <c r="M4775" s="30">
        <f>IFERROR(VLOOKUP($A4775,HeadJournal!$A$1:$J$890,COLUMN(HeadJournal!I$1),0)*($K4775+$L4775)/(SUMIF($A:$A,$A4775,$K:$K)+SUMIF($A:$A,$A4775,$L:$L)),0)</f>
        <v>-2.3433718104495749</v>
      </c>
      <c r="N4775" s="30">
        <f>IFERROR((VLOOKUP($A4775,HeadJournal!$A$1:$K$890,COLUMN(HeadJournal!K$1),0)-VLOOKUP($A4775,HeadJournal!$A$1:$K$890,COLUMN(HeadJournal!J$1),0))*($K4775+$L4775)/(SUMIF($A:$A,$A4775,$K:$K)+SUMIF($A:$A,$A4775,$L:$L)),0)</f>
        <v>-1.735347386242772E-15</v>
      </c>
      <c r="O4775" s="30">
        <f>IFERROR((VLOOKUP($A4775,HeadJournal!$A$1:$L$890,COLUMN(HeadJournal!L$1),0)*($K4775+$L4775)/(SUMIF($A:$A,$A4775,$K:$K)+SUMIF($A:$A,$A4775,$L:$L)))/VLOOKUP($A4775,HeadJournal!$A$1:$L$890,COLUMN(HeadJournal!H$1),0),0)</f>
        <v>0.28570985196428356</v>
      </c>
      <c r="P4775" s="30">
        <f>IFERROR(SUM(K4775:O4775)*VLOOKUP($A4775,HeadJournal!$A$1:$L$890,COLUMN(HeadJournal!H$1),0),0)</f>
        <v>906.31339611178612</v>
      </c>
      <c r="Q4775" s="29">
        <v>2100</v>
      </c>
      <c r="R4775" s="31">
        <v>45859</v>
      </c>
      <c r="S4775" s="31"/>
      <c r="T4775" s="95" t="str">
        <f t="shared" si="363"/>
        <v>2025 07</v>
      </c>
      <c r="U4775" s="32">
        <f t="shared" si="358"/>
        <v>1193.686603888214</v>
      </c>
      <c r="V4775" s="22">
        <f t="shared" si="359"/>
        <v>1.3170792895805137</v>
      </c>
      <c r="X4775" s="33"/>
      <c r="Y4775" s="33"/>
    </row>
    <row r="4776" spans="1:25" x14ac:dyDescent="0.2">
      <c r="A4776" s="93" t="s">
        <v>3926</v>
      </c>
      <c r="B4776" s="94" t="str">
        <f>IFERROR(VLOOKUP($A4776,HeadJournal!$A$1:$NTR$890,COLUMN(HeadJournal!B$1),0),"")</f>
        <v>720000722201</v>
      </c>
      <c r="C4776" s="94" t="str">
        <f>IFERROR(VLOOKUP($A4776,HeadJournal!$A$1:$NTR$890,COLUMN(HeadJournal!C$1),0),"")</f>
        <v>iHerb_MH DLE7202</v>
      </c>
      <c r="D4776" s="125" t="str">
        <f>IFERROR(VLOOKUP($A4776,HeadJournal!$A$1:$NTR$890,COLUMN(HeadJournal!D$1),0),"")</f>
        <v>Доставлен</v>
      </c>
      <c r="E4776" s="95">
        <f>IFERROR(VLOOKUP($A4776,HeadJournal!$A$1:$NTR$890,COLUMN(HeadJournal!G$1),0),"")</f>
        <v>45836</v>
      </c>
      <c r="F4776" s="95" t="str">
        <f t="shared" si="362"/>
        <v>2025 06</v>
      </c>
      <c r="G4776" s="97" t="s">
        <v>5</v>
      </c>
      <c r="H4776" s="161" t="s">
        <v>3896</v>
      </c>
      <c r="I4776" s="97" t="s">
        <v>2052</v>
      </c>
      <c r="J4776" s="97" t="s">
        <v>3897</v>
      </c>
      <c r="K4776" s="29">
        <v>32.58</v>
      </c>
      <c r="L4776" s="29">
        <v>-9.77</v>
      </c>
      <c r="M4776" s="30">
        <f>IFERROR(VLOOKUP($A4776,HeadJournal!$A$1:$J$890,COLUMN(HeadJournal!I$1),0)*($K4776+$L4776)/(SUMIF($A:$A,$A4776,$K:$K)+SUMIF($A:$A,$A4776,$L:$L)),0)</f>
        <v>-1.9250716445379259</v>
      </c>
      <c r="N4776" s="30">
        <f>IFERROR((VLOOKUP($A4776,HeadJournal!$A$1:$K$890,COLUMN(HeadJournal!K$1),0)-VLOOKUP($A4776,HeadJournal!$A$1:$K$890,COLUMN(HeadJournal!J$1),0))*($K4776+$L4776)/(SUMIF($A:$A,$A4776,$K:$K)+SUMIF($A:$A,$A4776,$L:$L)),0)</f>
        <v>4.2612014730348059E-15</v>
      </c>
      <c r="O4776" s="30">
        <f>IFERROR((VLOOKUP($A4776,HeadJournal!$A$1:$L$890,COLUMN(HeadJournal!L$1),0)*($K4776+$L4776)/(SUMIF($A:$A,$A4776,$K:$K)+SUMIF($A:$A,$A4776,$L:$L)))/VLOOKUP($A4776,HeadJournal!$A$1:$L$890,COLUMN(HeadJournal!H$1),0),0)</f>
        <v>0.71098941391257486</v>
      </c>
      <c r="P4776" s="30">
        <f>IFERROR(SUM(K4776:O4776)*VLOOKUP($A4776,HeadJournal!$A$1:$L$890,COLUMN(HeadJournal!H$1),0),0)</f>
        <v>1930.8843413960826</v>
      </c>
      <c r="Q4776" s="29">
        <v>3500</v>
      </c>
      <c r="R4776" s="31">
        <v>45890</v>
      </c>
      <c r="S4776" s="31" t="s">
        <v>3475</v>
      </c>
      <c r="T4776" s="95" t="str">
        <f t="shared" si="363"/>
        <v>2025 08</v>
      </c>
      <c r="U4776" s="32">
        <f t="shared" si="358"/>
        <v>1569.1156586039174</v>
      </c>
      <c r="V4776" s="22">
        <f t="shared" si="359"/>
        <v>0.81264093605389309</v>
      </c>
      <c r="X4776" s="33"/>
      <c r="Y4776" s="33"/>
    </row>
    <row r="4777" spans="1:25" x14ac:dyDescent="0.2">
      <c r="A4777" s="93" t="s">
        <v>3926</v>
      </c>
      <c r="B4777" s="94" t="str">
        <f>IFERROR(VLOOKUP($A4777,HeadJournal!$A$1:$NTR$890,COLUMN(HeadJournal!B$1),0),"")</f>
        <v>720000722201</v>
      </c>
      <c r="C4777" s="94" t="str">
        <f>IFERROR(VLOOKUP($A4777,HeadJournal!$A$1:$NTR$890,COLUMN(HeadJournal!C$1),0),"")</f>
        <v>iHerb_MH DLE7202</v>
      </c>
      <c r="D4777" s="125" t="str">
        <f>IFERROR(VLOOKUP($A4777,HeadJournal!$A$1:$NTR$890,COLUMN(HeadJournal!D$1),0),"")</f>
        <v>Доставлен</v>
      </c>
      <c r="E4777" s="95">
        <f>IFERROR(VLOOKUP($A4777,HeadJournal!$A$1:$NTR$890,COLUMN(HeadJournal!G$1),0),"")</f>
        <v>45836</v>
      </c>
      <c r="F4777" s="95" t="str">
        <f t="shared" si="362"/>
        <v>2025 06</v>
      </c>
      <c r="G4777" s="97" t="s">
        <v>5</v>
      </c>
      <c r="H4777" s="161" t="s">
        <v>3922</v>
      </c>
      <c r="I4777" s="97" t="s">
        <v>2052</v>
      </c>
      <c r="J4777" s="97" t="s">
        <v>3923</v>
      </c>
      <c r="K4777" s="29">
        <v>44.62</v>
      </c>
      <c r="L4777" s="29">
        <v>-13.39</v>
      </c>
      <c r="M4777" s="30">
        <f>IFERROR(VLOOKUP($A4777,HeadJournal!$A$1:$J$890,COLUMN(HeadJournal!I$1),0)*($K4777+$L4777)/(SUMIF($A:$A,$A4777,$K:$K)+SUMIF($A:$A,$A4777,$L:$L)),0)</f>
        <v>-2.6356855527803336</v>
      </c>
      <c r="N4777" s="30">
        <f>IFERROR((VLOOKUP($A4777,HeadJournal!$A$1:$K$890,COLUMN(HeadJournal!K$1),0)-VLOOKUP($A4777,HeadJournal!$A$1:$K$890,COLUMN(HeadJournal!J$1),0))*($K4777+$L4777)/(SUMIF($A:$A,$A4777,$K:$K)+SUMIF($A:$A,$A4777,$L:$L)),0)</f>
        <v>5.834165804597852E-15</v>
      </c>
      <c r="O4777" s="30">
        <f>IFERROR((VLOOKUP($A4777,HeadJournal!$A$1:$L$890,COLUMN(HeadJournal!L$1),0)*($K4777+$L4777)/(SUMIF($A:$A,$A4777,$K:$K)+SUMIF($A:$A,$A4777,$L:$L)))/VLOOKUP($A4777,HeadJournal!$A$1:$L$890,COLUMN(HeadJournal!H$1),0),0)</f>
        <v>0.97344144657999621</v>
      </c>
      <c r="P4777" s="30">
        <f>IFERROR(SUM(K4777:O4777)*VLOOKUP($A4777,HeadJournal!$A$1:$L$890,COLUMN(HeadJournal!H$1),0),0)</f>
        <v>2643.6439273037995</v>
      </c>
      <c r="Q4777" s="29">
        <v>4600</v>
      </c>
      <c r="R4777" s="31">
        <v>45859</v>
      </c>
      <c r="S4777" s="31" t="s">
        <v>3384</v>
      </c>
      <c r="T4777" s="95" t="str">
        <f t="shared" si="363"/>
        <v>2025 07</v>
      </c>
      <c r="U4777" s="32">
        <f t="shared" si="358"/>
        <v>1956.3560726962005</v>
      </c>
      <c r="V4777" s="22">
        <f t="shared" si="359"/>
        <v>0.74002253196460144</v>
      </c>
      <c r="X4777" s="33"/>
      <c r="Y4777" s="33"/>
    </row>
    <row r="4778" spans="1:25" x14ac:dyDescent="0.2">
      <c r="A4778" s="93" t="s">
        <v>3926</v>
      </c>
      <c r="B4778" s="94" t="str">
        <f>IFERROR(VLOOKUP($A4778,HeadJournal!$A$1:$NTR$890,COLUMN(HeadJournal!B$1),0),"")</f>
        <v>720000722201</v>
      </c>
      <c r="C4778" s="94" t="str">
        <f>IFERROR(VLOOKUP($A4778,HeadJournal!$A$1:$NTR$890,COLUMN(HeadJournal!C$1),0),"")</f>
        <v>iHerb_MH DLE7202</v>
      </c>
      <c r="D4778" s="125" t="str">
        <f>IFERROR(VLOOKUP($A4778,HeadJournal!$A$1:$NTR$890,COLUMN(HeadJournal!D$1),0),"")</f>
        <v>Доставлен</v>
      </c>
      <c r="E4778" s="95">
        <f>IFERROR(VLOOKUP($A4778,HeadJournal!$A$1:$NTR$890,COLUMN(HeadJournal!G$1),0),"")</f>
        <v>45836</v>
      </c>
      <c r="F4778" s="95" t="str">
        <f t="shared" si="362"/>
        <v>2025 06</v>
      </c>
      <c r="G4778" s="97" t="s">
        <v>5</v>
      </c>
      <c r="H4778" s="161" t="s">
        <v>3924</v>
      </c>
      <c r="I4778" s="97" t="s">
        <v>2052</v>
      </c>
      <c r="J4778" s="97" t="s">
        <v>3925</v>
      </c>
      <c r="K4778" s="29">
        <v>36.799999999999997</v>
      </c>
      <c r="L4778" s="29">
        <v>-11.04</v>
      </c>
      <c r="M4778" s="30">
        <f>IFERROR(VLOOKUP($A4778,HeadJournal!$A$1:$J$890,COLUMN(HeadJournal!I$1),0)*($K4778+$L4778)/(SUMIF($A:$A,$A4778,$K:$K)+SUMIF($A:$A,$A4778,$L:$L)),0)</f>
        <v>-2.1740397002760616</v>
      </c>
      <c r="N4778" s="30">
        <f>IFERROR((VLOOKUP($A4778,HeadJournal!$A$1:$K$890,COLUMN(HeadJournal!K$1),0)-VLOOKUP($A4778,HeadJournal!$A$1:$K$890,COLUMN(HeadJournal!J$1),0))*($K4778+$L4778)/(SUMIF($A:$A,$A4778,$K:$K)+SUMIF($A:$A,$A4778,$L:$L)),0)</f>
        <v>4.8122994276798163E-15</v>
      </c>
      <c r="O4778" s="30">
        <f>IFERROR((VLOOKUP($A4778,HeadJournal!$A$1:$L$890,COLUMN(HeadJournal!L$1),0)*($K4778+$L4778)/(SUMIF($A:$A,$A4778,$K:$K)+SUMIF($A:$A,$A4778,$L:$L)))/VLOOKUP($A4778,HeadJournal!$A$1:$L$890,COLUMN(HeadJournal!H$1),0),0)</f>
        <v>0.8029411355715883</v>
      </c>
      <c r="P4778" s="30">
        <f>IFERROR(SUM(K4778:O4778)*VLOOKUP($A4778,HeadJournal!$A$1:$L$890,COLUMN(HeadJournal!H$1),0),0)</f>
        <v>2180.6041488103065</v>
      </c>
      <c r="Q4778" s="29"/>
      <c r="R4778" s="31"/>
      <c r="S4778" s="31"/>
      <c r="T4778" s="95" t="str">
        <f t="shared" si="363"/>
        <v/>
      </c>
      <c r="U4778" s="32">
        <f t="shared" si="358"/>
        <v>-2180.6041488103065</v>
      </c>
      <c r="V4778" s="22" t="str">
        <f t="shared" si="359"/>
        <v/>
      </c>
      <c r="X4778" s="33"/>
      <c r="Y4778" s="33"/>
    </row>
    <row r="4779" spans="1:25" x14ac:dyDescent="0.2">
      <c r="A4779" s="93" t="s">
        <v>3926</v>
      </c>
      <c r="B4779" s="94" t="str">
        <f>IFERROR(VLOOKUP($A4779,HeadJournal!$A$1:$NTR$890,COLUMN(HeadJournal!B$1),0),"")</f>
        <v>720000722201</v>
      </c>
      <c r="C4779" s="94" t="str">
        <f>IFERROR(VLOOKUP($A4779,HeadJournal!$A$1:$NTR$890,COLUMN(HeadJournal!C$1),0),"")</f>
        <v>iHerb_MH DLE7202</v>
      </c>
      <c r="D4779" s="125" t="str">
        <f>IFERROR(VLOOKUP($A4779,HeadJournal!$A$1:$NTR$890,COLUMN(HeadJournal!D$1),0),"")</f>
        <v>Доставлен</v>
      </c>
      <c r="E4779" s="95">
        <f>IFERROR(VLOOKUP($A4779,HeadJournal!$A$1:$NTR$890,COLUMN(HeadJournal!G$1),0),"")</f>
        <v>45836</v>
      </c>
      <c r="F4779" s="95" t="str">
        <f t="shared" si="362"/>
        <v>2025 06</v>
      </c>
      <c r="G4779" s="97" t="s">
        <v>5</v>
      </c>
      <c r="H4779" s="161" t="s">
        <v>2615</v>
      </c>
      <c r="I4779" s="97" t="s">
        <v>2052</v>
      </c>
      <c r="J4779" s="97" t="s">
        <v>2616</v>
      </c>
      <c r="K4779" s="29">
        <v>48.06</v>
      </c>
      <c r="L4779" s="29">
        <v>-14.42</v>
      </c>
      <c r="M4779" s="30">
        <f>IFERROR(VLOOKUP($A4779,HeadJournal!$A$1:$J$890,COLUMN(HeadJournal!I$1),0)*($K4779+$L4779)/(SUMIF($A:$A,$A4779,$K:$K)+SUMIF($A:$A,$A4779,$L:$L)),0)</f>
        <v>-2.8390797949257265</v>
      </c>
      <c r="N4779" s="30">
        <f>IFERROR((VLOOKUP($A4779,HeadJournal!$A$1:$K$890,COLUMN(HeadJournal!K$1),0)-VLOOKUP($A4779,HeadJournal!$A$1:$K$890,COLUMN(HeadJournal!J$1),0))*($K4779+$L4779)/(SUMIF($A:$A,$A4779,$K:$K)+SUMIF($A:$A,$A4779,$L:$L)),0)</f>
        <v>6.2843848116129284E-15</v>
      </c>
      <c r="O4779" s="30">
        <f>IFERROR((VLOOKUP($A4779,HeadJournal!$A$1:$L$890,COLUMN(HeadJournal!L$1),0)*($K4779+$L4779)/(SUMIF($A:$A,$A4779,$K:$K)+SUMIF($A:$A,$A4779,$L:$L)))/VLOOKUP($A4779,HeadJournal!$A$1:$L$890,COLUMN(HeadJournal!H$1),0),0)</f>
        <v>1.0485613276641395</v>
      </c>
      <c r="P4779" s="30">
        <f>IFERROR(SUM(K4779:O4779)*VLOOKUP($A4779,HeadJournal!$A$1:$L$890,COLUMN(HeadJournal!H$1),0),0)</f>
        <v>2847.6523123438942</v>
      </c>
      <c r="Q4779" s="29">
        <v>2847.65</v>
      </c>
      <c r="R4779" s="31"/>
      <c r="S4779" s="31"/>
      <c r="T4779" s="95" t="str">
        <f t="shared" si="363"/>
        <v/>
      </c>
      <c r="U4779" s="32">
        <f t="shared" si="358"/>
        <v>-2.3123438941183849E-3</v>
      </c>
      <c r="V4779" s="22">
        <f t="shared" si="359"/>
        <v>-8.1201763434915326E-7</v>
      </c>
      <c r="X4779" s="33"/>
      <c r="Y4779" s="33"/>
    </row>
    <row r="4780" spans="1:25" x14ac:dyDescent="0.2">
      <c r="A4780" s="93" t="s">
        <v>3926</v>
      </c>
      <c r="B4780" s="94" t="str">
        <f>IFERROR(VLOOKUP($A4780,HeadJournal!$A$1:$NTR$890,COLUMN(HeadJournal!B$1),0),"")</f>
        <v>720000722201</v>
      </c>
      <c r="C4780" s="94" t="str">
        <f>IFERROR(VLOOKUP($A4780,HeadJournal!$A$1:$NTR$890,COLUMN(HeadJournal!C$1),0),"")</f>
        <v>iHerb_MH DLE7202</v>
      </c>
      <c r="D4780" s="125" t="str">
        <f>IFERROR(VLOOKUP($A4780,HeadJournal!$A$1:$NTR$890,COLUMN(HeadJournal!D$1),0),"")</f>
        <v>Доставлен</v>
      </c>
      <c r="E4780" s="95">
        <f>IFERROR(VLOOKUP($A4780,HeadJournal!$A$1:$NTR$890,COLUMN(HeadJournal!G$1),0),"")</f>
        <v>45836</v>
      </c>
      <c r="F4780" s="95" t="str">
        <f t="shared" si="362"/>
        <v>2025 06</v>
      </c>
      <c r="G4780" s="97" t="s">
        <v>5</v>
      </c>
      <c r="H4780" s="161" t="s">
        <v>2051</v>
      </c>
      <c r="I4780" s="97" t="s">
        <v>2052</v>
      </c>
      <c r="J4780" s="97" t="s">
        <v>3097</v>
      </c>
      <c r="K4780" s="29">
        <v>21.06</v>
      </c>
      <c r="L4780" s="29">
        <v>-6.32</v>
      </c>
      <c r="M4780" s="30">
        <f>IFERROR(VLOOKUP($A4780,HeadJournal!$A$1:$J$890,COLUMN(HeadJournal!I$1),0)*($K4780+$L4780)/(SUMIF($A:$A,$A4780,$K:$K)+SUMIF($A:$A,$A4780,$L:$L)),0)</f>
        <v>-1.243996319179703</v>
      </c>
      <c r="N4780" s="30">
        <f>IFERROR((VLOOKUP($A4780,HeadJournal!$A$1:$K$890,COLUMN(HeadJournal!K$1),0)-VLOOKUP($A4780,HeadJournal!$A$1:$K$890,COLUMN(HeadJournal!J$1),0))*($K4780+$L4780)/(SUMIF($A:$A,$A4780,$K:$K)+SUMIF($A:$A,$A4780,$L:$L)),0)</f>
        <v>2.7536216445652363E-15</v>
      </c>
      <c r="O4780" s="30">
        <f>IFERROR((VLOOKUP($A4780,HeadJournal!$A$1:$L$890,COLUMN(HeadJournal!L$1),0)*($K4780+$L4780)/(SUMIF($A:$A,$A4780,$K:$K)+SUMIF($A:$A,$A4780,$L:$L)))/VLOOKUP($A4780,HeadJournal!$A$1:$L$890,COLUMN(HeadJournal!H$1),0),0)</f>
        <v>0.45944690754368056</v>
      </c>
      <c r="P4780" s="30">
        <f>IFERROR(SUM(K4780:O4780)*VLOOKUP($A4780,HeadJournal!$A$1:$L$890,COLUMN(HeadJournal!H$1),0),0)</f>
        <v>1247.7525292493758</v>
      </c>
      <c r="Q4780" s="29">
        <v>2400</v>
      </c>
      <c r="R4780" s="31">
        <v>45901</v>
      </c>
      <c r="S4780" s="31"/>
      <c r="T4780" s="95" t="str">
        <f t="shared" si="363"/>
        <v>2025 09</v>
      </c>
      <c r="U4780" s="32">
        <f t="shared" si="358"/>
        <v>1152.2474707506242</v>
      </c>
      <c r="V4780" s="22">
        <f t="shared" si="359"/>
        <v>0.92345833307490421</v>
      </c>
      <c r="X4780" s="33"/>
      <c r="Y4780" s="33"/>
    </row>
    <row r="4781" spans="1:25" x14ac:dyDescent="0.2">
      <c r="A4781" s="93" t="s">
        <v>3926</v>
      </c>
      <c r="B4781" s="94" t="str">
        <f>IFERROR(VLOOKUP($A4781,HeadJournal!$A$1:$NTR$890,COLUMN(HeadJournal!B$1),0),"")</f>
        <v>720000722201</v>
      </c>
      <c r="C4781" s="94" t="str">
        <f>IFERROR(VLOOKUP($A4781,HeadJournal!$A$1:$NTR$890,COLUMN(HeadJournal!C$1),0),"")</f>
        <v>iHerb_MH DLE7202</v>
      </c>
      <c r="D4781" s="125" t="str">
        <f>IFERROR(VLOOKUP($A4781,HeadJournal!$A$1:$NTR$890,COLUMN(HeadJournal!D$1),0),"")</f>
        <v>Доставлен</v>
      </c>
      <c r="E4781" s="95">
        <f>IFERROR(VLOOKUP($A4781,HeadJournal!$A$1:$NTR$890,COLUMN(HeadJournal!G$1),0),"")</f>
        <v>45836</v>
      </c>
      <c r="F4781" s="95" t="str">
        <f t="shared" si="362"/>
        <v>2025 06</v>
      </c>
      <c r="G4781" s="97" t="s">
        <v>5</v>
      </c>
      <c r="H4781" s="161" t="s">
        <v>2051</v>
      </c>
      <c r="I4781" s="97" t="s">
        <v>2052</v>
      </c>
      <c r="J4781" s="97" t="s">
        <v>3097</v>
      </c>
      <c r="K4781" s="29">
        <v>21.06</v>
      </c>
      <c r="L4781" s="29">
        <v>-6.32</v>
      </c>
      <c r="M4781" s="30">
        <f>IFERROR(VLOOKUP($A4781,HeadJournal!$A$1:$J$890,COLUMN(HeadJournal!I$1),0)*($K4781+$L4781)/(SUMIF($A:$A,$A4781,$K:$K)+SUMIF($A:$A,$A4781,$L:$L)),0)</f>
        <v>-1.243996319179703</v>
      </c>
      <c r="N4781" s="30">
        <f>IFERROR((VLOOKUP($A4781,HeadJournal!$A$1:$K$890,COLUMN(HeadJournal!K$1),0)-VLOOKUP($A4781,HeadJournal!$A$1:$K$890,COLUMN(HeadJournal!J$1),0))*($K4781+$L4781)/(SUMIF($A:$A,$A4781,$K:$K)+SUMIF($A:$A,$A4781,$L:$L)),0)</f>
        <v>2.7536216445652363E-15</v>
      </c>
      <c r="O4781" s="30">
        <f>IFERROR((VLOOKUP($A4781,HeadJournal!$A$1:$L$890,COLUMN(HeadJournal!L$1),0)*($K4781+$L4781)/(SUMIF($A:$A,$A4781,$K:$K)+SUMIF($A:$A,$A4781,$L:$L)))/VLOOKUP($A4781,HeadJournal!$A$1:$L$890,COLUMN(HeadJournal!H$1),0),0)</f>
        <v>0.45944690754368056</v>
      </c>
      <c r="P4781" s="30">
        <f>IFERROR(SUM(K4781:O4781)*VLOOKUP($A4781,HeadJournal!$A$1:$L$890,COLUMN(HeadJournal!H$1),0),0)</f>
        <v>1247.7525292493758</v>
      </c>
      <c r="Q4781" s="29">
        <v>2300</v>
      </c>
      <c r="R4781" s="31">
        <v>45902</v>
      </c>
      <c r="S4781" s="31"/>
      <c r="T4781" s="95" t="str">
        <f t="shared" si="363"/>
        <v>2025 09</v>
      </c>
      <c r="U4781" s="32">
        <f t="shared" si="358"/>
        <v>1052.2474707506242</v>
      </c>
      <c r="V4781" s="22">
        <f t="shared" si="359"/>
        <v>0.84331423586344978</v>
      </c>
      <c r="X4781" s="33"/>
      <c r="Y4781" s="33"/>
    </row>
    <row r="4782" spans="1:25" x14ac:dyDescent="0.2">
      <c r="A4782" s="93" t="s">
        <v>3926</v>
      </c>
      <c r="B4782" s="94" t="str">
        <f>IFERROR(VLOOKUP($A4782,HeadJournal!$A$1:$NTR$890,COLUMN(HeadJournal!B$1),0),"")</f>
        <v>720000722201</v>
      </c>
      <c r="C4782" s="94" t="str">
        <f>IFERROR(VLOOKUP($A4782,HeadJournal!$A$1:$NTR$890,COLUMN(HeadJournal!C$1),0),"")</f>
        <v>iHerb_MH DLE7202</v>
      </c>
      <c r="D4782" s="125" t="str">
        <f>IFERROR(VLOOKUP($A4782,HeadJournal!$A$1:$NTR$890,COLUMN(HeadJournal!D$1),0),"")</f>
        <v>Доставлен</v>
      </c>
      <c r="E4782" s="95">
        <f>IFERROR(VLOOKUP($A4782,HeadJournal!$A$1:$NTR$890,COLUMN(HeadJournal!G$1),0),"")</f>
        <v>45836</v>
      </c>
      <c r="F4782" s="95" t="str">
        <f t="shared" si="362"/>
        <v>2025 06</v>
      </c>
      <c r="G4782" s="97" t="s">
        <v>5</v>
      </c>
      <c r="H4782" s="161" t="s">
        <v>2709</v>
      </c>
      <c r="I4782" s="97" t="s">
        <v>2052</v>
      </c>
      <c r="J4782" s="97" t="s">
        <v>2710</v>
      </c>
      <c r="K4782" s="29">
        <v>13.17</v>
      </c>
      <c r="L4782" s="29">
        <v>-3.95</v>
      </c>
      <c r="M4782" s="30">
        <f>IFERROR(VLOOKUP($A4782,HeadJournal!$A$1:$J$890,COLUMN(HeadJournal!I$1),0)*($K4782+$L4782)/(SUMIF($A:$A,$A4782,$K:$K)+SUMIF($A:$A,$A4782,$L:$L)),0)</f>
        <v>-0.77813066912054685</v>
      </c>
      <c r="N4782" s="30">
        <f>IFERROR((VLOOKUP($A4782,HeadJournal!$A$1:$K$890,COLUMN(HeadJournal!K$1),0)-VLOOKUP($A4782,HeadJournal!$A$1:$K$890,COLUMN(HeadJournal!J$1),0))*($K4782+$L4782)/(SUMIF($A:$A,$A4782,$K:$K)+SUMIF($A:$A,$A4782,$L:$L)),0)</f>
        <v>1.7224146243481329E-15</v>
      </c>
      <c r="O4782" s="30">
        <f>IFERROR((VLOOKUP($A4782,HeadJournal!$A$1:$L$890,COLUMN(HeadJournal!L$1),0)*($K4782+$L4782)/(SUMIF($A:$A,$A4782,$K:$K)+SUMIF($A:$A,$A4782,$L:$L)))/VLOOKUP($A4782,HeadJournal!$A$1:$L$890,COLUMN(HeadJournal!H$1),0),0)</f>
        <v>0.28738809277834021</v>
      </c>
      <c r="P4782" s="30">
        <f>IFERROR(SUM(K4782:O4782)*VLOOKUP($A4782,HeadJournal!$A$1:$L$890,COLUMN(HeadJournal!H$1),0),0)</f>
        <v>780.48021164716704</v>
      </c>
      <c r="Q4782" s="29"/>
      <c r="R4782" s="31"/>
      <c r="S4782" s="31"/>
      <c r="T4782" s="95" t="str">
        <f t="shared" si="363"/>
        <v/>
      </c>
      <c r="U4782" s="32">
        <f t="shared" si="358"/>
        <v>-780.48021164716704</v>
      </c>
      <c r="V4782" s="22" t="str">
        <f t="shared" si="359"/>
        <v/>
      </c>
      <c r="X4782" s="33"/>
      <c r="Y4782" s="33"/>
    </row>
    <row r="4783" spans="1:25" x14ac:dyDescent="0.2">
      <c r="A4783" s="93" t="s">
        <v>3921</v>
      </c>
      <c r="B4783" s="94" t="str">
        <f>IFERROR(VLOOKUP($A4783,HeadJournal!$A$1:$NTR$890,COLUMN(HeadJournal!B$1),0),"")</f>
        <v>720000713931</v>
      </c>
      <c r="C4783" s="94" t="str">
        <f>IFERROR(VLOOKUP($A4783,HeadJournal!$A$1:$NTR$890,COLUMN(HeadJournal!C$1),0),"")</f>
        <v>iHerb_MH DLE7202</v>
      </c>
      <c r="D4783" s="125" t="str">
        <f>IFERROR(VLOOKUP($A4783,HeadJournal!$A$1:$NTR$890,COLUMN(HeadJournal!D$1),0),"")</f>
        <v>Доставлен</v>
      </c>
      <c r="E4783" s="95">
        <f>IFERROR(VLOOKUP($A4783,HeadJournal!$A$1:$NTR$890,COLUMN(HeadJournal!G$1),0),"")</f>
        <v>45827</v>
      </c>
      <c r="F4783" s="95" t="str">
        <f t="shared" si="362"/>
        <v>2025 06</v>
      </c>
      <c r="G4783" s="97" t="s">
        <v>5</v>
      </c>
      <c r="H4783" s="161" t="s">
        <v>3913</v>
      </c>
      <c r="I4783" s="97" t="s">
        <v>2581</v>
      </c>
      <c r="J4783" s="97" t="s">
        <v>3914</v>
      </c>
      <c r="K4783" s="29">
        <v>12.16</v>
      </c>
      <c r="L4783" s="29">
        <v>-2.4300000000000002</v>
      </c>
      <c r="M4783" s="30">
        <f>IFERROR(VLOOKUP($A4783,HeadJournal!$A$1:$J$890,COLUMN(HeadJournal!I$1),0)*($K4783+$L4783)/(SUMIF($A:$A,$A4783,$K:$K)+SUMIF($A:$A,$A4783,$L:$L)),0)</f>
        <v>-1.005667468775066</v>
      </c>
      <c r="N4783" s="30">
        <f>IFERROR((VLOOKUP($A4783,HeadJournal!$A$1:$K$890,COLUMN(HeadJournal!K$1),0)-VLOOKUP($A4783,HeadJournal!$A$1:$K$890,COLUMN(HeadJournal!J$1),0))*($K4783+$L4783)/(SUMIF($A:$A,$A4783,$K:$K)+SUMIF($A:$A,$A4783,$L:$L)),0)</f>
        <v>0</v>
      </c>
      <c r="O4783" s="30">
        <f>IFERROR((VLOOKUP($A4783,HeadJournal!$A$1:$L$890,COLUMN(HeadJournal!L$1),0)*($K4783+$L4783)/(SUMIF($A:$A,$A4783,$K:$K)+SUMIF($A:$A,$A4783,$L:$L)))/VLOOKUP($A4783,HeadJournal!$A$1:$L$890,COLUMN(HeadJournal!H$1),0),0)</f>
        <v>0.41894499686975134</v>
      </c>
      <c r="P4783" s="30">
        <f>IFERROR(SUM(K4783:O4783)*VLOOKUP($A4783,HeadJournal!$A$1:$L$890,COLUMN(HeadJournal!H$1),0),0)</f>
        <v>819.20553359306382</v>
      </c>
      <c r="Q4783" s="29">
        <v>1800</v>
      </c>
      <c r="R4783" s="31">
        <v>45848</v>
      </c>
      <c r="S4783" s="31" t="s">
        <v>3231</v>
      </c>
      <c r="T4783" s="95" t="str">
        <f t="shared" si="363"/>
        <v>2025 07</v>
      </c>
      <c r="U4783" s="32">
        <f t="shared" si="358"/>
        <v>980.79446640693618</v>
      </c>
      <c r="V4783" s="22">
        <f t="shared" si="359"/>
        <v>1.1972507828470564</v>
      </c>
      <c r="X4783" s="33"/>
      <c r="Y4783" s="33"/>
    </row>
    <row r="4784" spans="1:25" x14ac:dyDescent="0.2">
      <c r="A4784" s="93" t="s">
        <v>3921</v>
      </c>
      <c r="B4784" s="94" t="str">
        <f>IFERROR(VLOOKUP($A4784,HeadJournal!$A$1:$NTR$890,COLUMN(HeadJournal!B$1),0),"")</f>
        <v>720000713931</v>
      </c>
      <c r="C4784" s="94" t="str">
        <f>IFERROR(VLOOKUP($A4784,HeadJournal!$A$1:$NTR$890,COLUMN(HeadJournal!C$1),0),"")</f>
        <v>iHerb_MH DLE7202</v>
      </c>
      <c r="D4784" s="125" t="str">
        <f>IFERROR(VLOOKUP($A4784,HeadJournal!$A$1:$NTR$890,COLUMN(HeadJournal!D$1),0),"")</f>
        <v>Доставлен</v>
      </c>
      <c r="E4784" s="95">
        <f>IFERROR(VLOOKUP($A4784,HeadJournal!$A$1:$NTR$890,COLUMN(HeadJournal!G$1),0),"")</f>
        <v>45827</v>
      </c>
      <c r="F4784" s="95" t="str">
        <f t="shared" si="362"/>
        <v>2025 06</v>
      </c>
      <c r="G4784" s="97" t="s">
        <v>5</v>
      </c>
      <c r="H4784" s="161" t="s">
        <v>3024</v>
      </c>
      <c r="I4784" s="97" t="s">
        <v>2166</v>
      </c>
      <c r="J4784" s="97" t="s">
        <v>4115</v>
      </c>
      <c r="K4784" s="29">
        <v>31.43</v>
      </c>
      <c r="L4784" s="29">
        <v>-7.86</v>
      </c>
      <c r="M4784" s="30">
        <f>IFERROR(VLOOKUP($A4784,HeadJournal!$A$1:$J$890,COLUMN(HeadJournal!I$1),0)*($K4784+$L4784)/(SUMIF($A:$A,$A4784,$K:$K)+SUMIF($A:$A,$A4784,$L:$L)),0)</f>
        <v>-2.4361338375157557</v>
      </c>
      <c r="N4784" s="30">
        <f>IFERROR((VLOOKUP($A4784,HeadJournal!$A$1:$K$890,COLUMN(HeadJournal!K$1),0)-VLOOKUP($A4784,HeadJournal!$A$1:$K$890,COLUMN(HeadJournal!J$1),0))*($K4784+$L4784)/(SUMIF($A:$A,$A4784,$K:$K)+SUMIF($A:$A,$A4784,$L:$L)),0)</f>
        <v>0</v>
      </c>
      <c r="O4784" s="30">
        <f>IFERROR((VLOOKUP($A4784,HeadJournal!$A$1:$L$890,COLUMN(HeadJournal!L$1),0)*($K4784+$L4784)/(SUMIF($A:$A,$A4784,$K:$K)+SUMIF($A:$A,$A4784,$L:$L)))/VLOOKUP($A4784,HeadJournal!$A$1:$L$890,COLUMN(HeadJournal!H$1),0),0)</f>
        <v>1.014854427155194</v>
      </c>
      <c r="P4784" s="30">
        <f>IFERROR(SUM(K4784:O4784)*VLOOKUP($A4784,HeadJournal!$A$1:$L$890,COLUMN(HeadJournal!H$1),0),0)</f>
        <v>1984.4475258775451</v>
      </c>
      <c r="Q4784" s="29">
        <v>1984.45</v>
      </c>
      <c r="R4784" s="31"/>
      <c r="S4784" s="31"/>
      <c r="T4784" s="95" t="str">
        <f t="shared" si="363"/>
        <v/>
      </c>
      <c r="U4784" s="32">
        <f t="shared" si="358"/>
        <v>2.4741224549416074E-3</v>
      </c>
      <c r="V4784" s="22">
        <f t="shared" si="359"/>
        <v>1.2467563000173171E-6</v>
      </c>
      <c r="X4784" s="33"/>
      <c r="Y4784" s="33"/>
    </row>
    <row r="4785" spans="1:25" x14ac:dyDescent="0.2">
      <c r="A4785" s="93" t="s">
        <v>3921</v>
      </c>
      <c r="B4785" s="94" t="str">
        <f>IFERROR(VLOOKUP($A4785,HeadJournal!$A$1:$NTR$890,COLUMN(HeadJournal!B$1),0),"")</f>
        <v>720000713931</v>
      </c>
      <c r="C4785" s="94" t="str">
        <f>IFERROR(VLOOKUP($A4785,HeadJournal!$A$1:$NTR$890,COLUMN(HeadJournal!C$1),0),"")</f>
        <v>iHerb_MH DLE7202</v>
      </c>
      <c r="D4785" s="125" t="str">
        <f>IFERROR(VLOOKUP($A4785,HeadJournal!$A$1:$NTR$890,COLUMN(HeadJournal!D$1),0),"")</f>
        <v>Доставлен</v>
      </c>
      <c r="E4785" s="95">
        <f>IFERROR(VLOOKUP($A4785,HeadJournal!$A$1:$NTR$890,COLUMN(HeadJournal!G$1),0),"")</f>
        <v>45827</v>
      </c>
      <c r="F4785" s="95" t="str">
        <f t="shared" si="362"/>
        <v>2025 06</v>
      </c>
      <c r="G4785" s="97" t="s">
        <v>5</v>
      </c>
      <c r="H4785" s="161" t="s">
        <v>2702</v>
      </c>
      <c r="I4785" s="97" t="s">
        <v>2703</v>
      </c>
      <c r="J4785" s="97" t="s">
        <v>2704</v>
      </c>
      <c r="K4785" s="29">
        <v>6.29</v>
      </c>
      <c r="L4785" s="29">
        <v>-0.63</v>
      </c>
      <c r="M4785" s="30">
        <f>IFERROR(VLOOKUP($A4785,HeadJournal!$A$1:$J$890,COLUMN(HeadJournal!I$1),0)*($K4785+$L4785)/(SUMIF($A:$A,$A4785,$K:$K)+SUMIF($A:$A,$A4785,$L:$L)),0)</f>
        <v>-0.58500286467285434</v>
      </c>
      <c r="N4785" s="30">
        <f>IFERROR((VLOOKUP($A4785,HeadJournal!$A$1:$K$890,COLUMN(HeadJournal!K$1),0)-VLOOKUP($A4785,HeadJournal!$A$1:$K$890,COLUMN(HeadJournal!J$1),0))*($K4785+$L4785)/(SUMIF($A:$A,$A4785,$K:$K)+SUMIF($A:$A,$A4785,$L:$L)),0)</f>
        <v>0</v>
      </c>
      <c r="O4785" s="30">
        <f>IFERROR((VLOOKUP($A4785,HeadJournal!$A$1:$L$890,COLUMN(HeadJournal!L$1),0)*($K4785+$L4785)/(SUMIF($A:$A,$A4785,$K:$K)+SUMIF($A:$A,$A4785,$L:$L)))/VLOOKUP($A4785,HeadJournal!$A$1:$L$890,COLUMN(HeadJournal!H$1),0),0)</f>
        <v>0.24370284504448023</v>
      </c>
      <c r="P4785" s="30">
        <f>IFERROR(SUM(K4785:O4785)*VLOOKUP($A4785,HeadJournal!$A$1:$L$890,COLUMN(HeadJournal!H$1),0),0)</f>
        <v>476.53682632443383</v>
      </c>
      <c r="Q4785" s="29">
        <v>1100</v>
      </c>
      <c r="R4785" s="31">
        <v>45854</v>
      </c>
      <c r="S4785" s="31" t="s">
        <v>4862</v>
      </c>
      <c r="T4785" s="95" t="str">
        <f t="shared" si="363"/>
        <v>2025 07</v>
      </c>
      <c r="U4785" s="32">
        <f t="shared" si="358"/>
        <v>623.46317367556617</v>
      </c>
      <c r="V4785" s="22">
        <f t="shared" si="359"/>
        <v>1.3083210766403655</v>
      </c>
      <c r="X4785" s="33"/>
      <c r="Y4785" s="33"/>
    </row>
    <row r="4786" spans="1:25" x14ac:dyDescent="0.2">
      <c r="A4786" s="93" t="s">
        <v>3921</v>
      </c>
      <c r="B4786" s="94" t="str">
        <f>IFERROR(VLOOKUP($A4786,HeadJournal!$A$1:$NTR$890,COLUMN(HeadJournal!B$1),0),"")</f>
        <v>720000713931</v>
      </c>
      <c r="C4786" s="94" t="str">
        <f>IFERROR(VLOOKUP($A4786,HeadJournal!$A$1:$NTR$890,COLUMN(HeadJournal!C$1),0),"")</f>
        <v>iHerb_MH DLE7202</v>
      </c>
      <c r="D4786" s="125" t="str">
        <f>IFERROR(VLOOKUP($A4786,HeadJournal!$A$1:$NTR$890,COLUMN(HeadJournal!D$1),0),"")</f>
        <v>Доставлен</v>
      </c>
      <c r="E4786" s="95">
        <f>IFERROR(VLOOKUP($A4786,HeadJournal!$A$1:$NTR$890,COLUMN(HeadJournal!G$1),0),"")</f>
        <v>45827</v>
      </c>
      <c r="F4786" s="95" t="str">
        <f t="shared" si="362"/>
        <v>2025 06</v>
      </c>
      <c r="G4786" s="97" t="s">
        <v>5</v>
      </c>
      <c r="H4786" s="161" t="s">
        <v>2702</v>
      </c>
      <c r="I4786" s="97" t="s">
        <v>2703</v>
      </c>
      <c r="J4786" s="97" t="s">
        <v>2704</v>
      </c>
      <c r="K4786" s="29">
        <v>6.29</v>
      </c>
      <c r="L4786" s="29">
        <v>-0.63</v>
      </c>
      <c r="M4786" s="30">
        <f>IFERROR(VLOOKUP($A4786,HeadJournal!$A$1:$J$890,COLUMN(HeadJournal!I$1),0)*($K4786+$L4786)/(SUMIF($A:$A,$A4786,$K:$K)+SUMIF($A:$A,$A4786,$L:$L)),0)</f>
        <v>-0.58500286467285434</v>
      </c>
      <c r="N4786" s="30">
        <f>IFERROR((VLOOKUP($A4786,HeadJournal!$A$1:$K$890,COLUMN(HeadJournal!K$1),0)-VLOOKUP($A4786,HeadJournal!$A$1:$K$890,COLUMN(HeadJournal!J$1),0))*($K4786+$L4786)/(SUMIF($A:$A,$A4786,$K:$K)+SUMIF($A:$A,$A4786,$L:$L)),0)</f>
        <v>0</v>
      </c>
      <c r="O4786" s="30">
        <f>IFERROR((VLOOKUP($A4786,HeadJournal!$A$1:$L$890,COLUMN(HeadJournal!L$1),0)*($K4786+$L4786)/(SUMIF($A:$A,$A4786,$K:$K)+SUMIF($A:$A,$A4786,$L:$L)))/VLOOKUP($A4786,HeadJournal!$A$1:$L$890,COLUMN(HeadJournal!H$1),0),0)</f>
        <v>0.24370284504448023</v>
      </c>
      <c r="P4786" s="30">
        <f>IFERROR(SUM(K4786:O4786)*VLOOKUP($A4786,HeadJournal!$A$1:$L$890,COLUMN(HeadJournal!H$1),0),0)</f>
        <v>476.53682632443383</v>
      </c>
      <c r="Q4786" s="29">
        <v>1100</v>
      </c>
      <c r="R4786" s="31">
        <v>45854</v>
      </c>
      <c r="S4786" s="31" t="s">
        <v>4862</v>
      </c>
      <c r="T4786" s="95" t="str">
        <f t="shared" si="363"/>
        <v>2025 07</v>
      </c>
      <c r="U4786" s="32">
        <f t="shared" si="358"/>
        <v>623.46317367556617</v>
      </c>
      <c r="V4786" s="22">
        <f t="shared" si="359"/>
        <v>1.3083210766403655</v>
      </c>
      <c r="X4786" s="33"/>
      <c r="Y4786" s="33"/>
    </row>
    <row r="4787" spans="1:25" x14ac:dyDescent="0.2">
      <c r="A4787" s="93" t="s">
        <v>3921</v>
      </c>
      <c r="B4787" s="94" t="str">
        <f>IFERROR(VLOOKUP($A4787,HeadJournal!$A$1:$NTR$890,COLUMN(HeadJournal!B$1),0),"")</f>
        <v>720000713931</v>
      </c>
      <c r="C4787" s="94" t="str">
        <f>IFERROR(VLOOKUP($A4787,HeadJournal!$A$1:$NTR$890,COLUMN(HeadJournal!C$1),0),"")</f>
        <v>iHerb_MH DLE7202</v>
      </c>
      <c r="D4787" s="125" t="str">
        <f>IFERROR(VLOOKUP($A4787,HeadJournal!$A$1:$NTR$890,COLUMN(HeadJournal!D$1),0),"")</f>
        <v>Доставлен</v>
      </c>
      <c r="E4787" s="95">
        <f>IFERROR(VLOOKUP($A4787,HeadJournal!$A$1:$NTR$890,COLUMN(HeadJournal!G$1),0),"")</f>
        <v>45827</v>
      </c>
      <c r="F4787" s="95" t="str">
        <f t="shared" si="362"/>
        <v>2025 06</v>
      </c>
      <c r="G4787" s="97" t="s">
        <v>5</v>
      </c>
      <c r="H4787" s="161" t="s">
        <v>3585</v>
      </c>
      <c r="I4787" s="97" t="s">
        <v>2052</v>
      </c>
      <c r="J4787" s="97" t="s">
        <v>3586</v>
      </c>
      <c r="K4787" s="29">
        <v>45.22</v>
      </c>
      <c r="L4787" s="29">
        <v>-13.57</v>
      </c>
      <c r="M4787" s="30">
        <f>IFERROR(VLOOKUP($A4787,HeadJournal!$A$1:$J$890,COLUMN(HeadJournal!I$1),0)*($K4787+$L4787)/(SUMIF($A:$A,$A4787,$K:$K)+SUMIF($A:$A,$A4787,$L:$L)),0)</f>
        <v>-3.2712616019250595</v>
      </c>
      <c r="N4787" s="30">
        <f>IFERROR((VLOOKUP($A4787,HeadJournal!$A$1:$K$890,COLUMN(HeadJournal!K$1),0)-VLOOKUP($A4787,HeadJournal!$A$1:$K$890,COLUMN(HeadJournal!J$1),0))*($K4787+$L4787)/(SUMIF($A:$A,$A4787,$K:$K)+SUMIF($A:$A,$A4787,$L:$L)),0)</f>
        <v>0</v>
      </c>
      <c r="O4787" s="30">
        <f>IFERROR((VLOOKUP($A4787,HeadJournal!$A$1:$L$890,COLUMN(HeadJournal!L$1),0)*($K4787+$L4787)/(SUMIF($A:$A,$A4787,$K:$K)+SUMIF($A:$A,$A4787,$L:$L)))/VLOOKUP($A4787,HeadJournal!$A$1:$L$890,COLUMN(HeadJournal!H$1),0),0)</f>
        <v>1.3627553084201056</v>
      </c>
      <c r="P4787" s="30">
        <f>IFERROR(SUM(K4787:O4787)*VLOOKUP($A4787,HeadJournal!$A$1:$L$890,COLUMN(HeadJournal!H$1),0),0)</f>
        <v>2664.7333132806239</v>
      </c>
      <c r="Q4787" s="29">
        <v>4900</v>
      </c>
      <c r="R4787" s="31">
        <v>45849</v>
      </c>
      <c r="S4787" s="31"/>
      <c r="T4787" s="95" t="str">
        <f t="shared" si="363"/>
        <v>2025 07</v>
      </c>
      <c r="U4787" s="32">
        <f t="shared" si="358"/>
        <v>2235.2666867193761</v>
      </c>
      <c r="V4787" s="22">
        <f t="shared" si="359"/>
        <v>0.83883316787430406</v>
      </c>
      <c r="X4787" s="33"/>
      <c r="Y4787" s="33"/>
    </row>
    <row r="4788" spans="1:25" x14ac:dyDescent="0.2">
      <c r="A4788" s="93" t="s">
        <v>3921</v>
      </c>
      <c r="B4788" s="94" t="str">
        <f>IFERROR(VLOOKUP($A4788,HeadJournal!$A$1:$NTR$890,COLUMN(HeadJournal!B$1),0),"")</f>
        <v>720000713931</v>
      </c>
      <c r="C4788" s="94" t="str">
        <f>IFERROR(VLOOKUP($A4788,HeadJournal!$A$1:$NTR$890,COLUMN(HeadJournal!C$1),0),"")</f>
        <v>iHerb_MH DLE7202</v>
      </c>
      <c r="D4788" s="125" t="str">
        <f>IFERROR(VLOOKUP($A4788,HeadJournal!$A$1:$NTR$890,COLUMN(HeadJournal!D$1),0),"")</f>
        <v>Доставлен</v>
      </c>
      <c r="E4788" s="95">
        <f>IFERROR(VLOOKUP($A4788,HeadJournal!$A$1:$NTR$890,COLUMN(HeadJournal!G$1),0),"")</f>
        <v>45827</v>
      </c>
      <c r="F4788" s="95" t="str">
        <f t="shared" si="362"/>
        <v>2025 06</v>
      </c>
      <c r="G4788" s="97" t="s">
        <v>5</v>
      </c>
      <c r="H4788" s="161" t="s">
        <v>2051</v>
      </c>
      <c r="I4788" s="97" t="s">
        <v>2052</v>
      </c>
      <c r="J4788" s="97" t="s">
        <v>3097</v>
      </c>
      <c r="K4788" s="29">
        <v>21.06</v>
      </c>
      <c r="L4788" s="29">
        <v>-6.3166666666666664</v>
      </c>
      <c r="M4788" s="30">
        <f>IFERROR(VLOOKUP($A4788,HeadJournal!$A$1:$J$890,COLUMN(HeadJournal!I$1),0)*($K4788+$L4788)/(SUMIF($A:$A,$A4788,$K:$K)+SUMIF($A:$A,$A4788,$L:$L)),0)</f>
        <v>-1.523832550322753</v>
      </c>
      <c r="N4788" s="30">
        <f>IFERROR((VLOOKUP($A4788,HeadJournal!$A$1:$K$890,COLUMN(HeadJournal!K$1),0)-VLOOKUP($A4788,HeadJournal!$A$1:$K$890,COLUMN(HeadJournal!J$1),0))*($K4788+$L4788)/(SUMIF($A:$A,$A4788,$K:$K)+SUMIF($A:$A,$A4788,$L:$L)),0)</f>
        <v>0</v>
      </c>
      <c r="O4788" s="30">
        <f>IFERROR((VLOOKUP($A4788,HeadJournal!$A$1:$L$890,COLUMN(HeadJournal!L$1),0)*($K4788+$L4788)/(SUMIF($A:$A,$A4788,$K:$K)+SUMIF($A:$A,$A4788,$L:$L)))/VLOOKUP($A4788,HeadJournal!$A$1:$L$890,COLUMN(HeadJournal!H$1),0),0)</f>
        <v>0.63480428953576895</v>
      </c>
      <c r="P4788" s="30">
        <f>IFERROR(SUM(K4788:O4788)*VLOOKUP($A4788,HeadJournal!$A$1:$L$890,COLUMN(HeadJournal!H$1),0),0)</f>
        <v>1241.2970452490993</v>
      </c>
      <c r="Q4788" s="29">
        <v>2300</v>
      </c>
      <c r="R4788" s="31">
        <v>45923</v>
      </c>
      <c r="S4788" s="31" t="s">
        <v>3252</v>
      </c>
      <c r="T4788" s="95" t="str">
        <f t="shared" si="363"/>
        <v>2025 09</v>
      </c>
      <c r="U4788" s="32">
        <f t="shared" si="358"/>
        <v>1058.7029547509007</v>
      </c>
      <c r="V4788" s="22">
        <f t="shared" si="359"/>
        <v>0.8529005678398629</v>
      </c>
      <c r="X4788" s="33"/>
      <c r="Y4788" s="33"/>
    </row>
    <row r="4789" spans="1:25" x14ac:dyDescent="0.2">
      <c r="A4789" s="93" t="s">
        <v>3921</v>
      </c>
      <c r="B4789" s="94" t="str">
        <f>IFERROR(VLOOKUP($A4789,HeadJournal!$A$1:$NTR$890,COLUMN(HeadJournal!B$1),0),"")</f>
        <v>720000713931</v>
      </c>
      <c r="C4789" s="94" t="str">
        <f>IFERROR(VLOOKUP($A4789,HeadJournal!$A$1:$NTR$890,COLUMN(HeadJournal!C$1),0),"")</f>
        <v>iHerb_MH DLE7202</v>
      </c>
      <c r="D4789" s="125" t="str">
        <f>IFERROR(VLOOKUP($A4789,HeadJournal!$A$1:$NTR$890,COLUMN(HeadJournal!D$1),0),"")</f>
        <v>Доставлен</v>
      </c>
      <c r="E4789" s="95">
        <f>IFERROR(VLOOKUP($A4789,HeadJournal!$A$1:$NTR$890,COLUMN(HeadJournal!G$1),0),"")</f>
        <v>45827</v>
      </c>
      <c r="F4789" s="95" t="str">
        <f t="shared" si="362"/>
        <v>2025 06</v>
      </c>
      <c r="G4789" s="97" t="s">
        <v>5</v>
      </c>
      <c r="H4789" s="161" t="s">
        <v>2051</v>
      </c>
      <c r="I4789" s="97" t="s">
        <v>2052</v>
      </c>
      <c r="J4789" s="97" t="s">
        <v>3097</v>
      </c>
      <c r="K4789" s="29">
        <v>21.06</v>
      </c>
      <c r="L4789" s="29">
        <v>-6.3166666666666664</v>
      </c>
      <c r="M4789" s="30">
        <f>IFERROR(VLOOKUP($A4789,HeadJournal!$A$1:$J$890,COLUMN(HeadJournal!I$1),0)*($K4789+$L4789)/(SUMIF($A:$A,$A4789,$K:$K)+SUMIF($A:$A,$A4789,$L:$L)),0)</f>
        <v>-1.523832550322753</v>
      </c>
      <c r="N4789" s="30">
        <f>IFERROR((VLOOKUP($A4789,HeadJournal!$A$1:$K$890,COLUMN(HeadJournal!K$1),0)-VLOOKUP($A4789,HeadJournal!$A$1:$K$890,COLUMN(HeadJournal!J$1),0))*($K4789+$L4789)/(SUMIF($A:$A,$A4789,$K:$K)+SUMIF($A:$A,$A4789,$L:$L)),0)</f>
        <v>0</v>
      </c>
      <c r="O4789" s="30">
        <f>IFERROR((VLOOKUP($A4789,HeadJournal!$A$1:$L$890,COLUMN(HeadJournal!L$1),0)*($K4789+$L4789)/(SUMIF($A:$A,$A4789,$K:$K)+SUMIF($A:$A,$A4789,$L:$L)))/VLOOKUP($A4789,HeadJournal!$A$1:$L$890,COLUMN(HeadJournal!H$1),0),0)</f>
        <v>0.63480428953576895</v>
      </c>
      <c r="P4789" s="30">
        <f>IFERROR(SUM(K4789:O4789)*VLOOKUP($A4789,HeadJournal!$A$1:$L$890,COLUMN(HeadJournal!H$1),0),0)</f>
        <v>1241.2970452490993</v>
      </c>
      <c r="Q4789" s="29">
        <v>2300</v>
      </c>
      <c r="R4789" s="31">
        <v>45923</v>
      </c>
      <c r="S4789" s="31" t="s">
        <v>3252</v>
      </c>
      <c r="T4789" s="95" t="str">
        <f t="shared" si="363"/>
        <v>2025 09</v>
      </c>
      <c r="U4789" s="32">
        <f t="shared" si="358"/>
        <v>1058.7029547509007</v>
      </c>
      <c r="V4789" s="22">
        <f t="shared" si="359"/>
        <v>0.8529005678398629</v>
      </c>
      <c r="X4789" s="33"/>
      <c r="Y4789" s="33"/>
    </row>
    <row r="4790" spans="1:25" x14ac:dyDescent="0.2">
      <c r="A4790" s="93" t="s">
        <v>3921</v>
      </c>
      <c r="B4790" s="94" t="str">
        <f>IFERROR(VLOOKUP($A4790,HeadJournal!$A$1:$NTR$890,COLUMN(HeadJournal!B$1),0),"")</f>
        <v>720000713931</v>
      </c>
      <c r="C4790" s="94" t="str">
        <f>IFERROR(VLOOKUP($A4790,HeadJournal!$A$1:$NTR$890,COLUMN(HeadJournal!C$1),0),"")</f>
        <v>iHerb_MH DLE7202</v>
      </c>
      <c r="D4790" s="125" t="str">
        <f>IFERROR(VLOOKUP($A4790,HeadJournal!$A$1:$NTR$890,COLUMN(HeadJournal!D$1),0),"")</f>
        <v>Доставлен</v>
      </c>
      <c r="E4790" s="95">
        <f>IFERROR(VLOOKUP($A4790,HeadJournal!$A$1:$NTR$890,COLUMN(HeadJournal!G$1),0),"")</f>
        <v>45827</v>
      </c>
      <c r="F4790" s="95" t="str">
        <f t="shared" si="362"/>
        <v>2025 06</v>
      </c>
      <c r="G4790" s="97" t="s">
        <v>5</v>
      </c>
      <c r="H4790" s="161" t="s">
        <v>2051</v>
      </c>
      <c r="I4790" s="97" t="s">
        <v>2052</v>
      </c>
      <c r="J4790" s="97" t="s">
        <v>3097</v>
      </c>
      <c r="K4790" s="29">
        <v>21.06</v>
      </c>
      <c r="L4790" s="29">
        <v>-6.3166666666666664</v>
      </c>
      <c r="M4790" s="30">
        <f>IFERROR(VLOOKUP($A4790,HeadJournal!$A$1:$J$890,COLUMN(HeadJournal!I$1),0)*($K4790+$L4790)/(SUMIF($A:$A,$A4790,$K:$K)+SUMIF($A:$A,$A4790,$L:$L)),0)</f>
        <v>-1.523832550322753</v>
      </c>
      <c r="N4790" s="30">
        <f>IFERROR((VLOOKUP($A4790,HeadJournal!$A$1:$K$890,COLUMN(HeadJournal!K$1),0)-VLOOKUP($A4790,HeadJournal!$A$1:$K$890,COLUMN(HeadJournal!J$1),0))*($K4790+$L4790)/(SUMIF($A:$A,$A4790,$K:$K)+SUMIF($A:$A,$A4790,$L:$L)),0)</f>
        <v>0</v>
      </c>
      <c r="O4790" s="30">
        <f>IFERROR((VLOOKUP($A4790,HeadJournal!$A$1:$L$890,COLUMN(HeadJournal!L$1),0)*($K4790+$L4790)/(SUMIF($A:$A,$A4790,$K:$K)+SUMIF($A:$A,$A4790,$L:$L)))/VLOOKUP($A4790,HeadJournal!$A$1:$L$890,COLUMN(HeadJournal!H$1),0),0)</f>
        <v>0.63480428953576895</v>
      </c>
      <c r="P4790" s="30">
        <f>IFERROR(SUM(K4790:O4790)*VLOOKUP($A4790,HeadJournal!$A$1:$L$890,COLUMN(HeadJournal!H$1),0),0)</f>
        <v>1241.2970452490993</v>
      </c>
      <c r="Q4790" s="29">
        <v>2350</v>
      </c>
      <c r="R4790" s="31">
        <v>45952</v>
      </c>
      <c r="S4790" s="31" t="s">
        <v>4641</v>
      </c>
      <c r="T4790" s="95" t="str">
        <f t="shared" si="363"/>
        <v>2025 10</v>
      </c>
      <c r="U4790" s="32">
        <f t="shared" si="358"/>
        <v>1108.7029547509007</v>
      </c>
      <c r="V4790" s="22">
        <f t="shared" si="359"/>
        <v>0.89318101496681646</v>
      </c>
      <c r="X4790" s="33"/>
      <c r="Y4790" s="33"/>
    </row>
    <row r="4791" spans="1:25" x14ac:dyDescent="0.2">
      <c r="A4791" s="93" t="s">
        <v>3921</v>
      </c>
      <c r="B4791" s="94" t="str">
        <f>IFERROR(VLOOKUP($A4791,HeadJournal!$A$1:$NTR$890,COLUMN(HeadJournal!B$1),0),"")</f>
        <v>720000713931</v>
      </c>
      <c r="C4791" s="94" t="str">
        <f>IFERROR(VLOOKUP($A4791,HeadJournal!$A$1:$NTR$890,COLUMN(HeadJournal!C$1),0),"")</f>
        <v>iHerb_MH DLE7202</v>
      </c>
      <c r="D4791" s="125" t="str">
        <f>IFERROR(VLOOKUP($A4791,HeadJournal!$A$1:$NTR$890,COLUMN(HeadJournal!D$1),0),"")</f>
        <v>Доставлен</v>
      </c>
      <c r="E4791" s="95">
        <f>IFERROR(VLOOKUP($A4791,HeadJournal!$A$1:$NTR$890,COLUMN(HeadJournal!G$1),0),"")</f>
        <v>45827</v>
      </c>
      <c r="F4791" s="95" t="str">
        <f t="shared" si="362"/>
        <v>2025 06</v>
      </c>
      <c r="G4791" s="97" t="s">
        <v>5</v>
      </c>
      <c r="H4791" s="161" t="s">
        <v>3011</v>
      </c>
      <c r="I4791" s="97" t="s">
        <v>2052</v>
      </c>
      <c r="J4791" s="97" t="s">
        <v>3012</v>
      </c>
      <c r="K4791" s="29">
        <v>5.83</v>
      </c>
      <c r="L4791" s="29">
        <v>-1.75</v>
      </c>
      <c r="M4791" s="30">
        <f>IFERROR(VLOOKUP($A4791,HeadJournal!$A$1:$J$890,COLUMN(HeadJournal!I$1),0)*($K4791+$L4791)/(SUMIF($A:$A,$A4791,$K:$K)+SUMIF($A:$A,$A4791,$L:$L)),0)</f>
        <v>-0.42169817806806464</v>
      </c>
      <c r="N4791" s="30">
        <f>IFERROR((VLOOKUP($A4791,HeadJournal!$A$1:$K$890,COLUMN(HeadJournal!K$1),0)-VLOOKUP($A4791,HeadJournal!$A$1:$K$890,COLUMN(HeadJournal!J$1),0))*($K4791+$L4791)/(SUMIF($A:$A,$A4791,$K:$K)+SUMIF($A:$A,$A4791,$L:$L)),0)</f>
        <v>0</v>
      </c>
      <c r="O4791" s="30">
        <f>IFERROR((VLOOKUP($A4791,HeadJournal!$A$1:$L$890,COLUMN(HeadJournal!L$1),0)*($K4791+$L4791)/(SUMIF($A:$A,$A4791,$K:$K)+SUMIF($A:$A,$A4791,$L:$L)))/VLOOKUP($A4791,HeadJournal!$A$1:$L$890,COLUMN(HeadJournal!H$1),0),0)</f>
        <v>0.17567272222287619</v>
      </c>
      <c r="P4791" s="30">
        <f>IFERROR(SUM(K4791:O4791)*VLOOKUP($A4791,HeadJournal!$A$1:$L$890,COLUMN(HeadJournal!H$1),0),0)</f>
        <v>343.51064512432686</v>
      </c>
      <c r="Q4791" s="29">
        <v>1000</v>
      </c>
      <c r="R4791" s="31">
        <v>46018</v>
      </c>
      <c r="S4791" s="31" t="s">
        <v>3231</v>
      </c>
      <c r="T4791" s="95" t="str">
        <f t="shared" si="363"/>
        <v>2025 12</v>
      </c>
      <c r="U4791" s="32">
        <f t="shared" si="358"/>
        <v>656.48935487567314</v>
      </c>
      <c r="V4791" s="22">
        <f t="shared" si="359"/>
        <v>1.9111179353352203</v>
      </c>
      <c r="X4791" s="33"/>
      <c r="Y4791" s="33"/>
    </row>
    <row r="4792" spans="1:25" x14ac:dyDescent="0.2">
      <c r="A4792" s="93" t="s">
        <v>3921</v>
      </c>
      <c r="B4792" s="94" t="str">
        <f>IFERROR(VLOOKUP($A4792,HeadJournal!$A$1:$NTR$890,COLUMN(HeadJournal!B$1),0),"")</f>
        <v>720000713931</v>
      </c>
      <c r="C4792" s="94" t="str">
        <f>IFERROR(VLOOKUP($A4792,HeadJournal!$A$1:$NTR$890,COLUMN(HeadJournal!C$1),0),"")</f>
        <v>iHerb_MH DLE7202</v>
      </c>
      <c r="D4792" s="125" t="str">
        <f>IFERROR(VLOOKUP($A4792,HeadJournal!$A$1:$NTR$890,COLUMN(HeadJournal!D$1),0),"")</f>
        <v>Доставлен</v>
      </c>
      <c r="E4792" s="95">
        <f>IFERROR(VLOOKUP($A4792,HeadJournal!$A$1:$NTR$890,COLUMN(HeadJournal!G$1),0),"")</f>
        <v>45827</v>
      </c>
      <c r="F4792" s="95" t="str">
        <f t="shared" si="362"/>
        <v>2025 06</v>
      </c>
      <c r="G4792" s="97" t="s">
        <v>5</v>
      </c>
      <c r="H4792" s="161" t="s">
        <v>2623</v>
      </c>
      <c r="I4792" s="97" t="s">
        <v>2052</v>
      </c>
      <c r="J4792" s="97" t="s">
        <v>3915</v>
      </c>
      <c r="K4792" s="29">
        <v>5.7</v>
      </c>
      <c r="L4792" s="29">
        <v>-1.71</v>
      </c>
      <c r="M4792" s="30">
        <f>IFERROR(VLOOKUP($A4792,HeadJournal!$A$1:$J$890,COLUMN(HeadJournal!I$1),0)*($K4792+$L4792)/(SUMIF($A:$A,$A4792,$K:$K)+SUMIF($A:$A,$A4792,$L:$L)),0)</f>
        <v>-0.41239601237538676</v>
      </c>
      <c r="N4792" s="30">
        <f>IFERROR((VLOOKUP($A4792,HeadJournal!$A$1:$K$890,COLUMN(HeadJournal!K$1),0)-VLOOKUP($A4792,HeadJournal!$A$1:$K$890,COLUMN(HeadJournal!J$1),0))*($K4792+$L4792)/(SUMIF($A:$A,$A4792,$K:$K)+SUMIF($A:$A,$A4792,$L:$L)),0)</f>
        <v>0</v>
      </c>
      <c r="O4792" s="30">
        <f>IFERROR((VLOOKUP($A4792,HeadJournal!$A$1:$L$890,COLUMN(HeadJournal!L$1),0)*($K4792+$L4792)/(SUMIF($A:$A,$A4792,$K:$K)+SUMIF($A:$A,$A4792,$L:$L)))/VLOOKUP($A4792,HeadJournal!$A$1:$L$890,COLUMN(HeadJournal!H$1),0),0)</f>
        <v>0.17179758864443043</v>
      </c>
      <c r="P4792" s="30">
        <f>IFERROR(SUM(K4792:O4792)*VLOOKUP($A4792,HeadJournal!$A$1:$L$890,COLUMN(HeadJournal!H$1),0),0)</f>
        <v>335.93320442305492</v>
      </c>
      <c r="Q4792" s="29">
        <v>1000</v>
      </c>
      <c r="R4792" s="31">
        <v>45848</v>
      </c>
      <c r="S4792" s="31" t="s">
        <v>3155</v>
      </c>
      <c r="T4792" s="95" t="str">
        <f t="shared" si="363"/>
        <v>2025 07</v>
      </c>
      <c r="U4792" s="32">
        <f t="shared" si="358"/>
        <v>664.06679557694508</v>
      </c>
      <c r="V4792" s="22">
        <f t="shared" si="359"/>
        <v>1.9767822496660903</v>
      </c>
      <c r="X4792" s="33"/>
      <c r="Y4792" s="33"/>
    </row>
    <row r="4793" spans="1:25" x14ac:dyDescent="0.2">
      <c r="A4793" s="93" t="s">
        <v>3921</v>
      </c>
      <c r="B4793" s="94" t="str">
        <f>IFERROR(VLOOKUP($A4793,HeadJournal!$A$1:$NTR$890,COLUMN(HeadJournal!B$1),0),"")</f>
        <v>720000713931</v>
      </c>
      <c r="C4793" s="94" t="str">
        <f>IFERROR(VLOOKUP($A4793,HeadJournal!$A$1:$NTR$890,COLUMN(HeadJournal!C$1),0),"")</f>
        <v>iHerb_MH DLE7202</v>
      </c>
      <c r="D4793" s="125" t="str">
        <f>IFERROR(VLOOKUP($A4793,HeadJournal!$A$1:$NTR$890,COLUMN(HeadJournal!D$1),0),"")</f>
        <v>Доставлен</v>
      </c>
      <c r="E4793" s="95">
        <f>IFERROR(VLOOKUP($A4793,HeadJournal!$A$1:$NTR$890,COLUMN(HeadJournal!G$1),0),"")</f>
        <v>45827</v>
      </c>
      <c r="F4793" s="95" t="str">
        <f t="shared" si="362"/>
        <v>2025 06</v>
      </c>
      <c r="G4793" s="97" t="s">
        <v>5</v>
      </c>
      <c r="H4793" s="161" t="s">
        <v>2800</v>
      </c>
      <c r="I4793" s="97" t="s">
        <v>2207</v>
      </c>
      <c r="J4793" s="97" t="s">
        <v>2801</v>
      </c>
      <c r="K4793" s="29">
        <v>24.74</v>
      </c>
      <c r="L4793" s="29">
        <v>-2.4700000000000002</v>
      </c>
      <c r="M4793" s="30">
        <f>IFERROR(VLOOKUP($A4793,HeadJournal!$A$1:$J$890,COLUMN(HeadJournal!I$1),0)*($K4793+$L4793)/(SUMIF($A:$A,$A4793,$K:$K)+SUMIF($A:$A,$A4793,$L:$L)),0)</f>
        <v>-2.3017692219548529</v>
      </c>
      <c r="N4793" s="30">
        <f>IFERROR((VLOOKUP($A4793,HeadJournal!$A$1:$K$890,COLUMN(HeadJournal!K$1),0)-VLOOKUP($A4793,HeadJournal!$A$1:$K$890,COLUMN(HeadJournal!J$1),0))*($K4793+$L4793)/(SUMIF($A:$A,$A4793,$K:$K)+SUMIF($A:$A,$A4793,$L:$L)),0)</f>
        <v>0</v>
      </c>
      <c r="O4793" s="30">
        <f>IFERROR((VLOOKUP($A4793,HeadJournal!$A$1:$L$890,COLUMN(HeadJournal!L$1),0)*($K4793+$L4793)/(SUMIF($A:$A,$A4793,$K:$K)+SUMIF($A:$A,$A4793,$L:$L)))/VLOOKUP($A4793,HeadJournal!$A$1:$L$890,COLUMN(HeadJournal!H$1),0),0)</f>
        <v>0.95888027546653254</v>
      </c>
      <c r="P4793" s="30">
        <f>IFERROR(SUM(K4793:O4793)*VLOOKUP($A4793,HeadJournal!$A$1:$L$890,COLUMN(HeadJournal!H$1),0),0)</f>
        <v>1874.9956046369507</v>
      </c>
      <c r="Q4793" s="29">
        <v>3200</v>
      </c>
      <c r="R4793" s="31">
        <v>45901</v>
      </c>
      <c r="S4793" s="31" t="s">
        <v>3394</v>
      </c>
      <c r="T4793" s="95" t="str">
        <f t="shared" si="363"/>
        <v>2025 09</v>
      </c>
      <c r="U4793" s="32">
        <f t="shared" si="358"/>
        <v>1325.0043953630493</v>
      </c>
      <c r="V4793" s="22">
        <f t="shared" si="359"/>
        <v>0.70667066743316742</v>
      </c>
      <c r="X4793" s="33"/>
      <c r="Y4793" s="33"/>
    </row>
    <row r="4794" spans="1:25" x14ac:dyDescent="0.2">
      <c r="A4794" s="93" t="s">
        <v>3921</v>
      </c>
      <c r="B4794" s="94" t="str">
        <f>IFERROR(VLOOKUP($A4794,HeadJournal!$A$1:$NTR$890,COLUMN(HeadJournal!B$1),0),"")</f>
        <v>720000713931</v>
      </c>
      <c r="C4794" s="94" t="str">
        <f>IFERROR(VLOOKUP($A4794,HeadJournal!$A$1:$NTR$890,COLUMN(HeadJournal!C$1),0),"")</f>
        <v>iHerb_MH DLE7202</v>
      </c>
      <c r="D4794" s="125" t="str">
        <f>IFERROR(VLOOKUP($A4794,HeadJournal!$A$1:$NTR$890,COLUMN(HeadJournal!D$1),0),"")</f>
        <v>Доставлен</v>
      </c>
      <c r="E4794" s="95">
        <f>IFERROR(VLOOKUP($A4794,HeadJournal!$A$1:$NTR$890,COLUMN(HeadJournal!G$1),0),"")</f>
        <v>45827</v>
      </c>
      <c r="F4794" s="95" t="str">
        <f t="shared" si="362"/>
        <v>2025 06</v>
      </c>
      <c r="G4794" s="97" t="s">
        <v>5</v>
      </c>
      <c r="H4794" s="161" t="s">
        <v>3916</v>
      </c>
      <c r="I4794" s="97" t="s">
        <v>2052</v>
      </c>
      <c r="J4794" s="97" t="s">
        <v>3917</v>
      </c>
      <c r="K4794" s="29">
        <v>10.32</v>
      </c>
      <c r="L4794" s="29">
        <v>-3.0950000000000002</v>
      </c>
      <c r="M4794" s="30">
        <f>IFERROR(VLOOKUP($A4794,HeadJournal!$A$1:$J$890,COLUMN(HeadJournal!I$1),0)*($K4794+$L4794)/(SUMIF($A:$A,$A4794,$K:$K)+SUMIF($A:$A,$A4794,$L:$L)),0)</f>
        <v>-0.74675719032886445</v>
      </c>
      <c r="N4794" s="30">
        <f>IFERROR((VLOOKUP($A4794,HeadJournal!$A$1:$K$890,COLUMN(HeadJournal!K$1),0)-VLOOKUP($A4794,HeadJournal!$A$1:$K$890,COLUMN(HeadJournal!J$1),0))*($K4794+$L4794)/(SUMIF($A:$A,$A4794,$K:$K)+SUMIF($A:$A,$A4794,$L:$L)),0)</f>
        <v>0</v>
      </c>
      <c r="O4794" s="30">
        <f>IFERROR((VLOOKUP($A4794,HeadJournal!$A$1:$L$890,COLUMN(HeadJournal!L$1),0)*($K4794+$L4794)/(SUMIF($A:$A,$A4794,$K:$K)+SUMIF($A:$A,$A4794,$L:$L)))/VLOOKUP($A4794,HeadJournal!$A$1:$L$890,COLUMN(HeadJournal!H$1),0),0)</f>
        <v>0.31108711226967656</v>
      </c>
      <c r="P4794" s="30">
        <f>IFERROR(SUM(K4794:O4794)*VLOOKUP($A4794,HeadJournal!$A$1:$L$890,COLUMN(HeadJournal!H$1),0),0)</f>
        <v>608.30010074099539</v>
      </c>
      <c r="Q4794" s="29">
        <v>1600</v>
      </c>
      <c r="R4794" s="31">
        <v>45900</v>
      </c>
      <c r="S4794" s="31"/>
      <c r="T4794" s="95" t="str">
        <f t="shared" si="363"/>
        <v>2025 08</v>
      </c>
      <c r="U4794" s="32">
        <f t="shared" si="358"/>
        <v>991.69989925900461</v>
      </c>
      <c r="V4794" s="22">
        <f t="shared" si="359"/>
        <v>1.6302806756911172</v>
      </c>
      <c r="X4794" s="33"/>
      <c r="Y4794" s="33"/>
    </row>
    <row r="4795" spans="1:25" x14ac:dyDescent="0.2">
      <c r="A4795" s="93" t="s">
        <v>3921</v>
      </c>
      <c r="B4795" s="94" t="str">
        <f>IFERROR(VLOOKUP($A4795,HeadJournal!$A$1:$NTR$890,COLUMN(HeadJournal!B$1),0),"")</f>
        <v>720000713931</v>
      </c>
      <c r="C4795" s="94" t="str">
        <f>IFERROR(VLOOKUP($A4795,HeadJournal!$A$1:$NTR$890,COLUMN(HeadJournal!C$1),0),"")</f>
        <v>iHerb_MH DLE7202</v>
      </c>
      <c r="D4795" s="125" t="str">
        <f>IFERROR(VLOOKUP($A4795,HeadJournal!$A$1:$NTR$890,COLUMN(HeadJournal!D$1),0),"")</f>
        <v>Доставлен</v>
      </c>
      <c r="E4795" s="95">
        <f>IFERROR(VLOOKUP($A4795,HeadJournal!$A$1:$NTR$890,COLUMN(HeadJournal!G$1),0),"")</f>
        <v>45827</v>
      </c>
      <c r="F4795" s="95" t="str">
        <f t="shared" si="362"/>
        <v>2025 06</v>
      </c>
      <c r="G4795" s="97" t="s">
        <v>5</v>
      </c>
      <c r="H4795" s="161" t="s">
        <v>3916</v>
      </c>
      <c r="I4795" s="97" t="s">
        <v>2052</v>
      </c>
      <c r="J4795" s="97" t="s">
        <v>3917</v>
      </c>
      <c r="K4795" s="29">
        <v>10.32</v>
      </c>
      <c r="L4795" s="29">
        <v>-3.0950000000000002</v>
      </c>
      <c r="M4795" s="30">
        <f>IFERROR(VLOOKUP($A4795,HeadJournal!$A$1:$J$890,COLUMN(HeadJournal!I$1),0)*($K4795+$L4795)/(SUMIF($A:$A,$A4795,$K:$K)+SUMIF($A:$A,$A4795,$L:$L)),0)</f>
        <v>-0.74675719032886445</v>
      </c>
      <c r="N4795" s="30">
        <f>IFERROR((VLOOKUP($A4795,HeadJournal!$A$1:$K$890,COLUMN(HeadJournal!K$1),0)-VLOOKUP($A4795,HeadJournal!$A$1:$K$890,COLUMN(HeadJournal!J$1),0))*($K4795+$L4795)/(SUMIF($A:$A,$A4795,$K:$K)+SUMIF($A:$A,$A4795,$L:$L)),0)</f>
        <v>0</v>
      </c>
      <c r="O4795" s="30">
        <f>IFERROR((VLOOKUP($A4795,HeadJournal!$A$1:$L$890,COLUMN(HeadJournal!L$1),0)*($K4795+$L4795)/(SUMIF($A:$A,$A4795,$K:$K)+SUMIF($A:$A,$A4795,$L:$L)))/VLOOKUP($A4795,HeadJournal!$A$1:$L$890,COLUMN(HeadJournal!H$1),0),0)</f>
        <v>0.31108711226967656</v>
      </c>
      <c r="P4795" s="30">
        <f>IFERROR(SUM(K4795:O4795)*VLOOKUP($A4795,HeadJournal!$A$1:$L$890,COLUMN(HeadJournal!H$1),0),0)</f>
        <v>608.30010074099539</v>
      </c>
      <c r="Q4795" s="29">
        <v>1600</v>
      </c>
      <c r="R4795" s="31">
        <v>46002</v>
      </c>
      <c r="S4795" s="31" t="s">
        <v>4523</v>
      </c>
      <c r="T4795" s="95" t="str">
        <f t="shared" si="363"/>
        <v>2025 12</v>
      </c>
      <c r="U4795" s="32">
        <f t="shared" si="358"/>
        <v>991.69989925900461</v>
      </c>
      <c r="V4795" s="22">
        <f t="shared" si="359"/>
        <v>1.6302806756911172</v>
      </c>
      <c r="X4795" s="33"/>
      <c r="Y4795" s="33"/>
    </row>
    <row r="4796" spans="1:25" x14ac:dyDescent="0.2">
      <c r="A4796" s="93" t="s">
        <v>3921</v>
      </c>
      <c r="B4796" s="94" t="str">
        <f>IFERROR(VLOOKUP($A4796,HeadJournal!$A$1:$NTR$890,COLUMN(HeadJournal!B$1),0),"")</f>
        <v>720000713931</v>
      </c>
      <c r="C4796" s="94" t="str">
        <f>IFERROR(VLOOKUP($A4796,HeadJournal!$A$1:$NTR$890,COLUMN(HeadJournal!C$1),0),"")</f>
        <v>iHerb_MH DLE7202</v>
      </c>
      <c r="D4796" s="125" t="str">
        <f>IFERROR(VLOOKUP($A4796,HeadJournal!$A$1:$NTR$890,COLUMN(HeadJournal!D$1),0),"")</f>
        <v>Доставлен</v>
      </c>
      <c r="E4796" s="95">
        <f>IFERROR(VLOOKUP($A4796,HeadJournal!$A$1:$NTR$890,COLUMN(HeadJournal!G$1),0),"")</f>
        <v>45827</v>
      </c>
      <c r="F4796" s="95" t="str">
        <f t="shared" si="362"/>
        <v>2025 06</v>
      </c>
      <c r="G4796" s="97" t="s">
        <v>7</v>
      </c>
      <c r="H4796" s="161" t="s">
        <v>3918</v>
      </c>
      <c r="I4796" s="97" t="s">
        <v>3919</v>
      </c>
      <c r="J4796" s="97" t="s">
        <v>3920</v>
      </c>
      <c r="K4796" s="29">
        <v>12.33</v>
      </c>
      <c r="L4796" s="29">
        <v>-3.08</v>
      </c>
      <c r="M4796" s="30">
        <f>IFERROR(VLOOKUP($A4796,HeadJournal!$A$1:$J$890,COLUMN(HeadJournal!I$1),0)*($K4796+$L4796)/(SUMIF($A:$A,$A4796,$K:$K)+SUMIF($A:$A,$A4796,$L:$L)),0)</f>
        <v>-0.95605591841411719</v>
      </c>
      <c r="N4796" s="30">
        <f>IFERROR((VLOOKUP($A4796,HeadJournal!$A$1:$K$890,COLUMN(HeadJournal!K$1),0)-VLOOKUP($A4796,HeadJournal!$A$1:$K$890,COLUMN(HeadJournal!J$1),0))*($K4796+$L4796)/(SUMIF($A:$A,$A4796,$K:$K)+SUMIF($A:$A,$A4796,$L:$L)),0)</f>
        <v>0</v>
      </c>
      <c r="O4796" s="30">
        <f>IFERROR((VLOOKUP($A4796,HeadJournal!$A$1:$L$890,COLUMN(HeadJournal!L$1),0)*($K4796+$L4796)/(SUMIF($A:$A,$A4796,$K:$K)+SUMIF($A:$A,$A4796,$L:$L)))/VLOOKUP($A4796,HeadJournal!$A$1:$L$890,COLUMN(HeadJournal!H$1),0),0)</f>
        <v>0.39827761778470711</v>
      </c>
      <c r="P4796" s="30">
        <f>IFERROR(SUM(K4796:O4796)*VLOOKUP($A4796,HeadJournal!$A$1:$L$890,COLUMN(HeadJournal!H$1),0),0)</f>
        <v>778.79251651961351</v>
      </c>
      <c r="Q4796" s="29"/>
      <c r="R4796" s="31"/>
      <c r="S4796" s="31"/>
      <c r="T4796" s="95" t="str">
        <f t="shared" si="363"/>
        <v/>
      </c>
      <c r="U4796" s="32">
        <f t="shared" si="358"/>
        <v>-778.79251651961351</v>
      </c>
      <c r="V4796" s="22" t="str">
        <f t="shared" si="359"/>
        <v/>
      </c>
      <c r="X4796" s="33"/>
      <c r="Y4796" s="33"/>
    </row>
    <row r="4797" spans="1:25" x14ac:dyDescent="0.2">
      <c r="A4797" s="93" t="s">
        <v>3912</v>
      </c>
      <c r="B4797" s="94" t="str">
        <f>IFERROR(VLOOKUP($A4797,HeadJournal!$A$1:$NTR$890,COLUMN(HeadJournal!B$1),0),"")</f>
        <v>722500474002</v>
      </c>
      <c r="C4797" s="94" t="str">
        <f>IFERROR(VLOOKUP($A4797,HeadJournal!$A$1:$NTR$890,COLUMN(HeadJournal!C$1),0),"")</f>
        <v>iHerb_VP DFD1605</v>
      </c>
      <c r="D4797" s="125" t="str">
        <f>IFERROR(VLOOKUP($A4797,HeadJournal!$A$1:$NTR$890,COLUMN(HeadJournal!D$1),0),"")</f>
        <v>Доставлен</v>
      </c>
      <c r="E4797" s="95">
        <f>IFERROR(VLOOKUP($A4797,HeadJournal!$A$1:$NTR$890,COLUMN(HeadJournal!G$1),0),"")</f>
        <v>45836</v>
      </c>
      <c r="F4797" s="95" t="str">
        <f t="shared" si="362"/>
        <v>2025 06</v>
      </c>
      <c r="G4797" s="97" t="s">
        <v>5</v>
      </c>
      <c r="H4797" s="161" t="s">
        <v>3909</v>
      </c>
      <c r="I4797" s="97" t="s">
        <v>2036</v>
      </c>
      <c r="J4797" s="97" t="s">
        <v>3910</v>
      </c>
      <c r="K4797" s="29">
        <v>30.15</v>
      </c>
      <c r="L4797" s="29">
        <v>-6.03</v>
      </c>
      <c r="M4797" s="30">
        <f>IFERROR(VLOOKUP($A4797,HeadJournal!$A$1:$J$890,COLUMN(HeadJournal!I$1),0)*($K4797+$L4797)/(SUMIF($A:$A,$A4797,$K:$K)+SUMIF($A:$A,$A4797,$L:$L)),0)</f>
        <v>0</v>
      </c>
      <c r="N4797" s="30">
        <f>IFERROR((VLOOKUP($A4797,HeadJournal!$A$1:$K$890,COLUMN(HeadJournal!K$1),0)-VLOOKUP($A4797,HeadJournal!$A$1:$K$890,COLUMN(HeadJournal!J$1),0))*($K4797+$L4797)/(SUMIF($A:$A,$A4797,$K:$K)+SUMIF($A:$A,$A4797,$L:$L)),0)</f>
        <v>0</v>
      </c>
      <c r="O4797" s="30">
        <f>IFERROR((VLOOKUP($A4797,HeadJournal!$A$1:$L$890,COLUMN(HeadJournal!L$1),0)*($K4797+$L4797)/(SUMIF($A:$A,$A4797,$K:$K)+SUMIF($A:$A,$A4797,$L:$L)))/VLOOKUP($A4797,HeadJournal!$A$1:$L$890,COLUMN(HeadJournal!H$1),0),0)</f>
        <v>0.69486613800867925</v>
      </c>
      <c r="P4797" s="30">
        <f>IFERROR(SUM(K4797:O4797)*VLOOKUP($A4797,HeadJournal!$A$1:$L$890,COLUMN(HeadJournal!H$1),0),0)</f>
        <v>2199.9848948858503</v>
      </c>
      <c r="Q4797" s="29">
        <v>3300</v>
      </c>
      <c r="R4797" s="31">
        <v>45858</v>
      </c>
      <c r="S4797" s="31" t="s">
        <v>3235</v>
      </c>
      <c r="T4797" s="95" t="str">
        <f t="shared" si="363"/>
        <v>2025 07</v>
      </c>
      <c r="U4797" s="32">
        <f t="shared" si="358"/>
        <v>1100.0151051141497</v>
      </c>
      <c r="V4797" s="22">
        <f t="shared" si="359"/>
        <v>0.50001029901217831</v>
      </c>
      <c r="X4797" s="33"/>
      <c r="Y4797" s="33"/>
    </row>
    <row r="4798" spans="1:25" x14ac:dyDescent="0.2">
      <c r="A4798" s="93" t="s">
        <v>3912</v>
      </c>
      <c r="B4798" s="94" t="str">
        <f>IFERROR(VLOOKUP($A4798,HeadJournal!$A$1:$NTR$890,COLUMN(HeadJournal!B$1),0),"")</f>
        <v>722500474002</v>
      </c>
      <c r="C4798" s="94" t="str">
        <f>IFERROR(VLOOKUP($A4798,HeadJournal!$A$1:$NTR$890,COLUMN(HeadJournal!C$1),0),"")</f>
        <v>iHerb_VP DFD1605</v>
      </c>
      <c r="D4798" s="125" t="str">
        <f>IFERROR(VLOOKUP($A4798,HeadJournal!$A$1:$NTR$890,COLUMN(HeadJournal!D$1),0),"")</f>
        <v>Доставлен</v>
      </c>
      <c r="E4798" s="95">
        <f>IFERROR(VLOOKUP($A4798,HeadJournal!$A$1:$NTR$890,COLUMN(HeadJournal!G$1),0),"")</f>
        <v>45836</v>
      </c>
      <c r="F4798" s="95" t="str">
        <f t="shared" si="362"/>
        <v>2025 06</v>
      </c>
      <c r="G4798" s="97" t="s">
        <v>5</v>
      </c>
      <c r="H4798" s="161" t="s">
        <v>3909</v>
      </c>
      <c r="I4798" s="97" t="s">
        <v>2036</v>
      </c>
      <c r="J4798" s="97" t="s">
        <v>3910</v>
      </c>
      <c r="K4798" s="29">
        <v>30.15</v>
      </c>
      <c r="L4798" s="29">
        <v>-6.03</v>
      </c>
      <c r="M4798" s="30">
        <f>IFERROR(VLOOKUP($A4798,HeadJournal!$A$1:$J$890,COLUMN(HeadJournal!I$1),0)*($K4798+$L4798)/(SUMIF($A:$A,$A4798,$K:$K)+SUMIF($A:$A,$A4798,$L:$L)),0)</f>
        <v>0</v>
      </c>
      <c r="N4798" s="30">
        <f>IFERROR((VLOOKUP($A4798,HeadJournal!$A$1:$K$890,COLUMN(HeadJournal!K$1),0)-VLOOKUP($A4798,HeadJournal!$A$1:$K$890,COLUMN(HeadJournal!J$1),0))*($K4798+$L4798)/(SUMIF($A:$A,$A4798,$K:$K)+SUMIF($A:$A,$A4798,$L:$L)),0)</f>
        <v>0</v>
      </c>
      <c r="O4798" s="30">
        <f>IFERROR((VLOOKUP($A4798,HeadJournal!$A$1:$L$890,COLUMN(HeadJournal!L$1),0)*($K4798+$L4798)/(SUMIF($A:$A,$A4798,$K:$K)+SUMIF($A:$A,$A4798,$L:$L)))/VLOOKUP($A4798,HeadJournal!$A$1:$L$890,COLUMN(HeadJournal!H$1),0),0)</f>
        <v>0.69486613800867925</v>
      </c>
      <c r="P4798" s="30">
        <f>IFERROR(SUM(K4798:O4798)*VLOOKUP($A4798,HeadJournal!$A$1:$L$890,COLUMN(HeadJournal!H$1),0),0)</f>
        <v>2199.9848948858503</v>
      </c>
      <c r="Q4798" s="29">
        <v>3300</v>
      </c>
      <c r="R4798" s="31">
        <v>45858</v>
      </c>
      <c r="S4798" s="31" t="s">
        <v>3235</v>
      </c>
      <c r="T4798" s="95" t="str">
        <f t="shared" si="363"/>
        <v>2025 07</v>
      </c>
      <c r="U4798" s="32">
        <f t="shared" si="358"/>
        <v>1100.0151051141497</v>
      </c>
      <c r="V4798" s="22">
        <f t="shared" si="359"/>
        <v>0.50001029901217831</v>
      </c>
      <c r="X4798" s="33"/>
      <c r="Y4798" s="33"/>
    </row>
    <row r="4799" spans="1:25" x14ac:dyDescent="0.2">
      <c r="A4799" s="93" t="s">
        <v>3912</v>
      </c>
      <c r="B4799" s="94" t="str">
        <f>IFERROR(VLOOKUP($A4799,HeadJournal!$A$1:$NTR$890,COLUMN(HeadJournal!B$1),0),"")</f>
        <v>722500474002</v>
      </c>
      <c r="C4799" s="94" t="str">
        <f>IFERROR(VLOOKUP($A4799,HeadJournal!$A$1:$NTR$890,COLUMN(HeadJournal!C$1),0),"")</f>
        <v>iHerb_VP DFD1605</v>
      </c>
      <c r="D4799" s="125" t="str">
        <f>IFERROR(VLOOKUP($A4799,HeadJournal!$A$1:$NTR$890,COLUMN(HeadJournal!D$1),0),"")</f>
        <v>Доставлен</v>
      </c>
      <c r="E4799" s="95">
        <f>IFERROR(VLOOKUP($A4799,HeadJournal!$A$1:$NTR$890,COLUMN(HeadJournal!G$1),0),"")</f>
        <v>45836</v>
      </c>
      <c r="F4799" s="95" t="str">
        <f t="shared" si="362"/>
        <v>2025 06</v>
      </c>
      <c r="G4799" s="97" t="s">
        <v>5</v>
      </c>
      <c r="H4799" s="161" t="s">
        <v>2558</v>
      </c>
      <c r="I4799" s="97" t="s">
        <v>2166</v>
      </c>
      <c r="J4799" s="97" t="s">
        <v>2559</v>
      </c>
      <c r="K4799" s="29">
        <v>31.21</v>
      </c>
      <c r="L4799" s="29">
        <v>-6.2433333333333332</v>
      </c>
      <c r="M4799" s="30">
        <f>IFERROR(VLOOKUP($A4799,HeadJournal!$A$1:$J$890,COLUMN(HeadJournal!I$1),0)*($K4799+$L4799)/(SUMIF($A:$A,$A4799,$K:$K)+SUMIF($A:$A,$A4799,$L:$L)),0)</f>
        <v>0</v>
      </c>
      <c r="N4799" s="30">
        <f>IFERROR((VLOOKUP($A4799,HeadJournal!$A$1:$K$890,COLUMN(HeadJournal!K$1),0)-VLOOKUP($A4799,HeadJournal!$A$1:$K$890,COLUMN(HeadJournal!J$1),0))*($K4799+$L4799)/(SUMIF($A:$A,$A4799,$K:$K)+SUMIF($A:$A,$A4799,$L:$L)),0)</f>
        <v>0</v>
      </c>
      <c r="O4799" s="30">
        <f>IFERROR((VLOOKUP($A4799,HeadJournal!$A$1:$L$890,COLUMN(HeadJournal!L$1),0)*($K4799+$L4799)/(SUMIF($A:$A,$A4799,$K:$K)+SUMIF($A:$A,$A4799,$L:$L)))/VLOOKUP($A4799,HeadJournal!$A$1:$L$890,COLUMN(HeadJournal!H$1),0),0)</f>
        <v>0.71925751432905027</v>
      </c>
      <c r="P4799" s="30">
        <f>IFERROR(SUM(K4799:O4799)*VLOOKUP($A4799,HeadJournal!$A$1:$L$890,COLUMN(HeadJournal!H$1),0),0)</f>
        <v>2277.2093508423191</v>
      </c>
      <c r="Q4799" s="29">
        <v>3400</v>
      </c>
      <c r="R4799" s="31">
        <v>45858</v>
      </c>
      <c r="S4799" s="31" t="s">
        <v>3235</v>
      </c>
      <c r="T4799" s="95" t="str">
        <f t="shared" si="363"/>
        <v>2025 07</v>
      </c>
      <c r="U4799" s="32">
        <f t="shared" si="358"/>
        <v>1122.7906491576809</v>
      </c>
      <c r="V4799" s="22">
        <f t="shared" si="359"/>
        <v>0.49305552374548739</v>
      </c>
      <c r="X4799" s="33"/>
      <c r="Y4799" s="33"/>
    </row>
    <row r="4800" spans="1:25" x14ac:dyDescent="0.2">
      <c r="A4800" s="93" t="s">
        <v>3912</v>
      </c>
      <c r="B4800" s="94" t="str">
        <f>IFERROR(VLOOKUP($A4800,HeadJournal!$A$1:$NTR$890,COLUMN(HeadJournal!B$1),0),"")</f>
        <v>722500474002</v>
      </c>
      <c r="C4800" s="94" t="str">
        <f>IFERROR(VLOOKUP($A4800,HeadJournal!$A$1:$NTR$890,COLUMN(HeadJournal!C$1),0),"")</f>
        <v>iHerb_VP DFD1605</v>
      </c>
      <c r="D4800" s="125" t="str">
        <f>IFERROR(VLOOKUP($A4800,HeadJournal!$A$1:$NTR$890,COLUMN(HeadJournal!D$1),0),"")</f>
        <v>Доставлен</v>
      </c>
      <c r="E4800" s="95">
        <f>IFERROR(VLOOKUP($A4800,HeadJournal!$A$1:$NTR$890,COLUMN(HeadJournal!G$1),0),"")</f>
        <v>45836</v>
      </c>
      <c r="F4800" s="95" t="str">
        <f t="shared" si="362"/>
        <v>2025 06</v>
      </c>
      <c r="G4800" s="97" t="s">
        <v>5</v>
      </c>
      <c r="H4800" s="161" t="s">
        <v>2558</v>
      </c>
      <c r="I4800" s="97" t="s">
        <v>2166</v>
      </c>
      <c r="J4800" s="97" t="s">
        <v>2559</v>
      </c>
      <c r="K4800" s="29">
        <v>31.21</v>
      </c>
      <c r="L4800" s="29">
        <v>-6.2433333333333332</v>
      </c>
      <c r="M4800" s="30">
        <f>IFERROR(VLOOKUP($A4800,HeadJournal!$A$1:$J$890,COLUMN(HeadJournal!I$1),0)*($K4800+$L4800)/(SUMIF($A:$A,$A4800,$K:$K)+SUMIF($A:$A,$A4800,$L:$L)),0)</f>
        <v>0</v>
      </c>
      <c r="N4800" s="30">
        <f>IFERROR((VLOOKUP($A4800,HeadJournal!$A$1:$K$890,COLUMN(HeadJournal!K$1),0)-VLOOKUP($A4800,HeadJournal!$A$1:$K$890,COLUMN(HeadJournal!J$1),0))*($K4800+$L4800)/(SUMIF($A:$A,$A4800,$K:$K)+SUMIF($A:$A,$A4800,$L:$L)),0)</f>
        <v>0</v>
      </c>
      <c r="O4800" s="30">
        <f>IFERROR((VLOOKUP($A4800,HeadJournal!$A$1:$L$890,COLUMN(HeadJournal!L$1),0)*($K4800+$L4800)/(SUMIF($A:$A,$A4800,$K:$K)+SUMIF($A:$A,$A4800,$L:$L)))/VLOOKUP($A4800,HeadJournal!$A$1:$L$890,COLUMN(HeadJournal!H$1),0),0)</f>
        <v>0.71925751432905027</v>
      </c>
      <c r="P4800" s="30">
        <f>IFERROR(SUM(K4800:O4800)*VLOOKUP($A4800,HeadJournal!$A$1:$L$890,COLUMN(HeadJournal!H$1),0),0)</f>
        <v>2277.2093508423191</v>
      </c>
      <c r="Q4800" s="29">
        <v>3400</v>
      </c>
      <c r="R4800" s="31">
        <v>45858</v>
      </c>
      <c r="S4800" s="31" t="s">
        <v>3235</v>
      </c>
      <c r="T4800" s="95" t="str">
        <f t="shared" si="363"/>
        <v>2025 07</v>
      </c>
      <c r="U4800" s="32">
        <f t="shared" si="358"/>
        <v>1122.7906491576809</v>
      </c>
      <c r="V4800" s="22">
        <f t="shared" si="359"/>
        <v>0.49305552374548739</v>
      </c>
      <c r="X4800" s="33"/>
      <c r="Y4800" s="33"/>
    </row>
    <row r="4801" spans="1:25" x14ac:dyDescent="0.2">
      <c r="A4801" s="93" t="s">
        <v>3912</v>
      </c>
      <c r="B4801" s="94" t="str">
        <f>IFERROR(VLOOKUP($A4801,HeadJournal!$A$1:$NTR$890,COLUMN(HeadJournal!B$1),0),"")</f>
        <v>722500474002</v>
      </c>
      <c r="C4801" s="94" t="str">
        <f>IFERROR(VLOOKUP($A4801,HeadJournal!$A$1:$NTR$890,COLUMN(HeadJournal!C$1),0),"")</f>
        <v>iHerb_VP DFD1605</v>
      </c>
      <c r="D4801" s="125" t="str">
        <f>IFERROR(VLOOKUP($A4801,HeadJournal!$A$1:$NTR$890,COLUMN(HeadJournal!D$1),0),"")</f>
        <v>Доставлен</v>
      </c>
      <c r="E4801" s="95">
        <f>IFERROR(VLOOKUP($A4801,HeadJournal!$A$1:$NTR$890,COLUMN(HeadJournal!G$1),0),"")</f>
        <v>45836</v>
      </c>
      <c r="F4801" s="95" t="str">
        <f t="shared" si="362"/>
        <v>2025 06</v>
      </c>
      <c r="G4801" s="97" t="s">
        <v>5</v>
      </c>
      <c r="H4801" s="161" t="s">
        <v>2558</v>
      </c>
      <c r="I4801" s="97" t="s">
        <v>2166</v>
      </c>
      <c r="J4801" s="97" t="s">
        <v>2559</v>
      </c>
      <c r="K4801" s="29">
        <v>31.21</v>
      </c>
      <c r="L4801" s="29">
        <v>-6.2433333333333332</v>
      </c>
      <c r="M4801" s="30">
        <f>IFERROR(VLOOKUP($A4801,HeadJournal!$A$1:$J$890,COLUMN(HeadJournal!I$1),0)*($K4801+$L4801)/(SUMIF($A:$A,$A4801,$K:$K)+SUMIF($A:$A,$A4801,$L:$L)),0)</f>
        <v>0</v>
      </c>
      <c r="N4801" s="30">
        <f>IFERROR((VLOOKUP($A4801,HeadJournal!$A$1:$K$890,COLUMN(HeadJournal!K$1),0)-VLOOKUP($A4801,HeadJournal!$A$1:$K$890,COLUMN(HeadJournal!J$1),0))*($K4801+$L4801)/(SUMIF($A:$A,$A4801,$K:$K)+SUMIF($A:$A,$A4801,$L:$L)),0)</f>
        <v>0</v>
      </c>
      <c r="O4801" s="30">
        <f>IFERROR((VLOOKUP($A4801,HeadJournal!$A$1:$L$890,COLUMN(HeadJournal!L$1),0)*($K4801+$L4801)/(SUMIF($A:$A,$A4801,$K:$K)+SUMIF($A:$A,$A4801,$L:$L)))/VLOOKUP($A4801,HeadJournal!$A$1:$L$890,COLUMN(HeadJournal!H$1),0),0)</f>
        <v>0.71925751432905027</v>
      </c>
      <c r="P4801" s="30">
        <f>IFERROR(SUM(K4801:O4801)*VLOOKUP($A4801,HeadJournal!$A$1:$L$890,COLUMN(HeadJournal!H$1),0),0)</f>
        <v>2277.2093508423191</v>
      </c>
      <c r="Q4801" s="29">
        <v>3500</v>
      </c>
      <c r="R4801" s="31">
        <v>45868</v>
      </c>
      <c r="S4801" s="31"/>
      <c r="T4801" s="95" t="str">
        <f t="shared" si="363"/>
        <v>2025 07</v>
      </c>
      <c r="U4801" s="32">
        <f t="shared" si="358"/>
        <v>1222.7906491576809</v>
      </c>
      <c r="V4801" s="22">
        <f t="shared" si="359"/>
        <v>0.53696892150270759</v>
      </c>
      <c r="X4801" s="33"/>
      <c r="Y4801" s="33"/>
    </row>
    <row r="4802" spans="1:25" x14ac:dyDescent="0.2">
      <c r="A4802" s="93" t="s">
        <v>3912</v>
      </c>
      <c r="B4802" s="94" t="str">
        <f>IFERROR(VLOOKUP($A4802,HeadJournal!$A$1:$NTR$890,COLUMN(HeadJournal!B$1),0),"")</f>
        <v>722500474002</v>
      </c>
      <c r="C4802" s="94" t="str">
        <f>IFERROR(VLOOKUP($A4802,HeadJournal!$A$1:$NTR$890,COLUMN(HeadJournal!C$1),0),"")</f>
        <v>iHerb_VP DFD1605</v>
      </c>
      <c r="D4802" s="125" t="str">
        <f>IFERROR(VLOOKUP($A4802,HeadJournal!$A$1:$NTR$890,COLUMN(HeadJournal!D$1),0),"")</f>
        <v>Доставлен</v>
      </c>
      <c r="E4802" s="95">
        <f>IFERROR(VLOOKUP($A4802,HeadJournal!$A$1:$NTR$890,COLUMN(HeadJournal!G$1),0),"")</f>
        <v>45836</v>
      </c>
      <c r="F4802" s="95" t="str">
        <f t="shared" si="362"/>
        <v>2025 06</v>
      </c>
      <c r="G4802" s="97" t="s">
        <v>5</v>
      </c>
      <c r="H4802" s="161" t="s">
        <v>2118</v>
      </c>
      <c r="I4802" s="97" t="s">
        <v>2005</v>
      </c>
      <c r="J4802" s="97" t="s">
        <v>2119</v>
      </c>
      <c r="K4802" s="29">
        <v>13.76</v>
      </c>
      <c r="L4802" s="29">
        <v>-2.75</v>
      </c>
      <c r="M4802" s="30">
        <f>IFERROR(VLOOKUP($A4802,HeadJournal!$A$1:$J$890,COLUMN(HeadJournal!I$1),0)*($K4802+$L4802)/(SUMIF($A:$A,$A4802,$K:$K)+SUMIF($A:$A,$A4802,$L:$L)),0)</f>
        <v>0</v>
      </c>
      <c r="N4802" s="30">
        <f>IFERROR((VLOOKUP($A4802,HeadJournal!$A$1:$K$890,COLUMN(HeadJournal!K$1),0)-VLOOKUP($A4802,HeadJournal!$A$1:$K$890,COLUMN(HeadJournal!J$1),0))*($K4802+$L4802)/(SUMIF($A:$A,$A4802,$K:$K)+SUMIF($A:$A,$A4802,$L:$L)),0)</f>
        <v>0</v>
      </c>
      <c r="O4802" s="30">
        <f>IFERROR((VLOOKUP($A4802,HeadJournal!$A$1:$L$890,COLUMN(HeadJournal!L$1),0)*($K4802+$L4802)/(SUMIF($A:$A,$A4802,$K:$K)+SUMIF($A:$A,$A4802,$L:$L)))/VLOOKUP($A4802,HeadJournal!$A$1:$L$890,COLUMN(HeadJournal!H$1),0),0)</f>
        <v>0.3171839212054543</v>
      </c>
      <c r="P4802" s="30">
        <f>IFERROR(SUM(K4802:O4802)*VLOOKUP($A4802,HeadJournal!$A$1:$L$890,COLUMN(HeadJournal!H$1),0),0)</f>
        <v>1004.2219607252576</v>
      </c>
      <c r="Q4802" s="29">
        <v>1900</v>
      </c>
      <c r="R4802" s="31">
        <v>45893</v>
      </c>
      <c r="S4802" s="31"/>
      <c r="T4802" s="95" t="str">
        <f t="shared" si="363"/>
        <v>2025 08</v>
      </c>
      <c r="U4802" s="32">
        <f t="shared" si="358"/>
        <v>895.77803927474235</v>
      </c>
      <c r="V4802" s="22">
        <f t="shared" si="359"/>
        <v>0.89201199964577937</v>
      </c>
      <c r="X4802" s="33"/>
      <c r="Y4802" s="33"/>
    </row>
    <row r="4803" spans="1:25" x14ac:dyDescent="0.2">
      <c r="A4803" s="93" t="s">
        <v>3912</v>
      </c>
      <c r="B4803" s="94" t="str">
        <f>IFERROR(VLOOKUP($A4803,HeadJournal!$A$1:$NTR$890,COLUMN(HeadJournal!B$1),0),"")</f>
        <v>722500474002</v>
      </c>
      <c r="C4803" s="94" t="str">
        <f>IFERROR(VLOOKUP($A4803,HeadJournal!$A$1:$NTR$890,COLUMN(HeadJournal!C$1),0),"")</f>
        <v>iHerb_VP DFD1605</v>
      </c>
      <c r="D4803" s="125" t="str">
        <f>IFERROR(VLOOKUP($A4803,HeadJournal!$A$1:$NTR$890,COLUMN(HeadJournal!D$1),0),"")</f>
        <v>Доставлен</v>
      </c>
      <c r="E4803" s="95">
        <f>IFERROR(VLOOKUP($A4803,HeadJournal!$A$1:$NTR$890,COLUMN(HeadJournal!G$1),0),"")</f>
        <v>45836</v>
      </c>
      <c r="F4803" s="95" t="str">
        <f t="shared" si="362"/>
        <v>2025 06</v>
      </c>
      <c r="G4803" s="97" t="s">
        <v>5</v>
      </c>
      <c r="H4803" s="161" t="s">
        <v>2118</v>
      </c>
      <c r="I4803" s="97" t="s">
        <v>2005</v>
      </c>
      <c r="J4803" s="97" t="s">
        <v>2119</v>
      </c>
      <c r="K4803" s="29">
        <v>13.76</v>
      </c>
      <c r="L4803" s="29">
        <v>-2.75</v>
      </c>
      <c r="M4803" s="30">
        <f>IFERROR(VLOOKUP($A4803,HeadJournal!$A$1:$J$890,COLUMN(HeadJournal!I$1),0)*($K4803+$L4803)/(SUMIF($A:$A,$A4803,$K:$K)+SUMIF($A:$A,$A4803,$L:$L)),0)</f>
        <v>0</v>
      </c>
      <c r="N4803" s="30">
        <f>IFERROR((VLOOKUP($A4803,HeadJournal!$A$1:$K$890,COLUMN(HeadJournal!K$1),0)-VLOOKUP($A4803,HeadJournal!$A$1:$K$890,COLUMN(HeadJournal!J$1),0))*($K4803+$L4803)/(SUMIF($A:$A,$A4803,$K:$K)+SUMIF($A:$A,$A4803,$L:$L)),0)</f>
        <v>0</v>
      </c>
      <c r="O4803" s="30">
        <f>IFERROR((VLOOKUP($A4803,HeadJournal!$A$1:$L$890,COLUMN(HeadJournal!L$1),0)*($K4803+$L4803)/(SUMIF($A:$A,$A4803,$K:$K)+SUMIF($A:$A,$A4803,$L:$L)))/VLOOKUP($A4803,HeadJournal!$A$1:$L$890,COLUMN(HeadJournal!H$1),0),0)</f>
        <v>0.3171839212054543</v>
      </c>
      <c r="P4803" s="30">
        <f>IFERROR(SUM(K4803:O4803)*VLOOKUP($A4803,HeadJournal!$A$1:$L$890,COLUMN(HeadJournal!H$1),0),0)</f>
        <v>1004.2219607252576</v>
      </c>
      <c r="Q4803" s="29">
        <v>2000</v>
      </c>
      <c r="R4803" s="31">
        <v>45896</v>
      </c>
      <c r="S4803" s="31"/>
      <c r="T4803" s="95" t="str">
        <f t="shared" si="363"/>
        <v>2025 08</v>
      </c>
      <c r="U4803" s="32">
        <f t="shared" si="358"/>
        <v>995.77803927474235</v>
      </c>
      <c r="V4803" s="22">
        <f t="shared" si="359"/>
        <v>0.99159157857450453</v>
      </c>
      <c r="X4803" s="33"/>
      <c r="Y4803" s="33"/>
    </row>
    <row r="4804" spans="1:25" x14ac:dyDescent="0.2">
      <c r="A4804" s="93" t="s">
        <v>3912</v>
      </c>
      <c r="B4804" s="94" t="str">
        <f>IFERROR(VLOOKUP($A4804,HeadJournal!$A$1:$NTR$890,COLUMN(HeadJournal!B$1),0),"")</f>
        <v>722500474002</v>
      </c>
      <c r="C4804" s="94" t="str">
        <f>IFERROR(VLOOKUP($A4804,HeadJournal!$A$1:$NTR$890,COLUMN(HeadJournal!C$1),0),"")</f>
        <v>iHerb_VP DFD1605</v>
      </c>
      <c r="D4804" s="125" t="str">
        <f>IFERROR(VLOOKUP($A4804,HeadJournal!$A$1:$NTR$890,COLUMN(HeadJournal!D$1),0),"")</f>
        <v>Доставлен</v>
      </c>
      <c r="E4804" s="95">
        <f>IFERROR(VLOOKUP($A4804,HeadJournal!$A$1:$NTR$890,COLUMN(HeadJournal!G$1),0),"")</f>
        <v>45836</v>
      </c>
      <c r="F4804" s="95" t="str">
        <f t="shared" ref="F4804:F4867" si="364">IFERROR(TEXT(E4804, "ГГГГ ММ"),"")</f>
        <v>2025 06</v>
      </c>
      <c r="G4804" s="97" t="s">
        <v>5</v>
      </c>
      <c r="H4804" s="161" t="s">
        <v>2831</v>
      </c>
      <c r="I4804" s="97" t="s">
        <v>2005</v>
      </c>
      <c r="J4804" s="97" t="s">
        <v>3911</v>
      </c>
      <c r="K4804" s="29">
        <v>13.03</v>
      </c>
      <c r="L4804" s="29">
        <v>-2.605</v>
      </c>
      <c r="M4804" s="30">
        <f>IFERROR(VLOOKUP($A4804,HeadJournal!$A$1:$J$890,COLUMN(HeadJournal!I$1),0)*($K4804+$L4804)/(SUMIF($A:$A,$A4804,$K:$K)+SUMIF($A:$A,$A4804,$L:$L)),0)</f>
        <v>0</v>
      </c>
      <c r="N4804" s="30">
        <f>IFERROR((VLOOKUP($A4804,HeadJournal!$A$1:$K$890,COLUMN(HeadJournal!K$1),0)-VLOOKUP($A4804,HeadJournal!$A$1:$K$890,COLUMN(HeadJournal!J$1),0))*($K4804+$L4804)/(SUMIF($A:$A,$A4804,$K:$K)+SUMIF($A:$A,$A4804,$L:$L)),0)</f>
        <v>0</v>
      </c>
      <c r="O4804" s="30">
        <f>IFERROR((VLOOKUP($A4804,HeadJournal!$A$1:$L$890,COLUMN(HeadJournal!L$1),0)*($K4804+$L4804)/(SUMIF($A:$A,$A4804,$K:$K)+SUMIF($A:$A,$A4804,$L:$L)))/VLOOKUP($A4804,HeadJournal!$A$1:$L$890,COLUMN(HeadJournal!H$1),0),0)</f>
        <v>0.30033082457464683</v>
      </c>
      <c r="P4804" s="30">
        <f>IFERROR(SUM(K4804:O4804)*VLOOKUP($A4804,HeadJournal!$A$1:$L$890,COLUMN(HeadJournal!H$1),0),0)</f>
        <v>950.86411812541417</v>
      </c>
      <c r="Q4804" s="29">
        <v>2000</v>
      </c>
      <c r="R4804" s="31">
        <v>45911</v>
      </c>
      <c r="S4804" s="31"/>
      <c r="T4804" s="95" t="str">
        <f t="shared" ref="T4804:T4867" si="365">IF(R4804="","",TEXT(R4804,"ГГГГ ММ"))</f>
        <v>2025 09</v>
      </c>
      <c r="U4804" s="32">
        <f t="shared" si="358"/>
        <v>1049.1358818745857</v>
      </c>
      <c r="V4804" s="22">
        <f t="shared" si="359"/>
        <v>1.1033499549261674</v>
      </c>
      <c r="X4804" s="33"/>
      <c r="Y4804" s="33"/>
    </row>
    <row r="4805" spans="1:25" x14ac:dyDescent="0.2">
      <c r="A4805" s="93" t="s">
        <v>3912</v>
      </c>
      <c r="B4805" s="94" t="str">
        <f>IFERROR(VLOOKUP($A4805,HeadJournal!$A$1:$NTR$890,COLUMN(HeadJournal!B$1),0),"")</f>
        <v>722500474002</v>
      </c>
      <c r="C4805" s="94" t="str">
        <f>IFERROR(VLOOKUP($A4805,HeadJournal!$A$1:$NTR$890,COLUMN(HeadJournal!C$1),0),"")</f>
        <v>iHerb_VP DFD1605</v>
      </c>
      <c r="D4805" s="125" t="str">
        <f>IFERROR(VLOOKUP($A4805,HeadJournal!$A$1:$NTR$890,COLUMN(HeadJournal!D$1),0),"")</f>
        <v>Доставлен</v>
      </c>
      <c r="E4805" s="95">
        <f>IFERROR(VLOOKUP($A4805,HeadJournal!$A$1:$NTR$890,COLUMN(HeadJournal!G$1),0),"")</f>
        <v>45836</v>
      </c>
      <c r="F4805" s="95" t="str">
        <f t="shared" si="364"/>
        <v>2025 06</v>
      </c>
      <c r="G4805" s="97" t="s">
        <v>5</v>
      </c>
      <c r="H4805" s="161" t="s">
        <v>2831</v>
      </c>
      <c r="I4805" s="97" t="s">
        <v>2005</v>
      </c>
      <c r="J4805" s="97" t="s">
        <v>3911</v>
      </c>
      <c r="K4805" s="29">
        <v>13.03</v>
      </c>
      <c r="L4805" s="29">
        <v>-2.605</v>
      </c>
      <c r="M4805" s="30">
        <f>IFERROR(VLOOKUP($A4805,HeadJournal!$A$1:$J$890,COLUMN(HeadJournal!I$1),0)*($K4805+$L4805)/(SUMIF($A:$A,$A4805,$K:$K)+SUMIF($A:$A,$A4805,$L:$L)),0)</f>
        <v>0</v>
      </c>
      <c r="N4805" s="30">
        <f>IFERROR((VLOOKUP($A4805,HeadJournal!$A$1:$K$890,COLUMN(HeadJournal!K$1),0)-VLOOKUP($A4805,HeadJournal!$A$1:$K$890,COLUMN(HeadJournal!J$1),0))*($K4805+$L4805)/(SUMIF($A:$A,$A4805,$K:$K)+SUMIF($A:$A,$A4805,$L:$L)),0)</f>
        <v>0</v>
      </c>
      <c r="O4805" s="30">
        <f>IFERROR((VLOOKUP($A4805,HeadJournal!$A$1:$L$890,COLUMN(HeadJournal!L$1),0)*($K4805+$L4805)/(SUMIF($A:$A,$A4805,$K:$K)+SUMIF($A:$A,$A4805,$L:$L)))/VLOOKUP($A4805,HeadJournal!$A$1:$L$890,COLUMN(HeadJournal!H$1),0),0)</f>
        <v>0.30033082457464683</v>
      </c>
      <c r="P4805" s="30">
        <f>IFERROR(SUM(K4805:O4805)*VLOOKUP($A4805,HeadJournal!$A$1:$L$890,COLUMN(HeadJournal!H$1),0),0)</f>
        <v>950.86411812541417</v>
      </c>
      <c r="Q4805" s="29"/>
      <c r="R4805" s="31"/>
      <c r="S4805" s="31"/>
      <c r="T4805" s="95" t="str">
        <f t="shared" si="365"/>
        <v/>
      </c>
      <c r="U4805" s="32">
        <f t="shared" si="358"/>
        <v>-950.86411812541417</v>
      </c>
      <c r="V4805" s="22" t="str">
        <f t="shared" si="359"/>
        <v/>
      </c>
      <c r="X4805" s="33"/>
      <c r="Y4805" s="33"/>
    </row>
    <row r="4806" spans="1:25" x14ac:dyDescent="0.2">
      <c r="A4806" s="93" t="s">
        <v>3908</v>
      </c>
      <c r="B4806" s="94" t="str">
        <f>IFERROR(VLOOKUP($A4806,HeadJournal!$A$1:$NTR$890,COLUMN(HeadJournal!B$1),0),"")</f>
        <v>720000716385</v>
      </c>
      <c r="C4806" s="94" t="str">
        <f>IFERROR(VLOOKUP($A4806,HeadJournal!$A$1:$NTR$890,COLUMN(HeadJournal!C$1),0),"")</f>
        <v>iHerb_VP DFD1605</v>
      </c>
      <c r="D4806" s="125" t="str">
        <f>IFERROR(VLOOKUP($A4806,HeadJournal!$A$1:$NTR$890,COLUMN(HeadJournal!D$1),0),"")</f>
        <v>Доставлен</v>
      </c>
      <c r="E4806" s="95">
        <f>IFERROR(VLOOKUP($A4806,HeadJournal!$A$1:$NTR$890,COLUMN(HeadJournal!G$1),0),"")</f>
        <v>45829</v>
      </c>
      <c r="F4806" s="95" t="str">
        <f t="shared" si="364"/>
        <v>2025 06</v>
      </c>
      <c r="G4806" s="97" t="s">
        <v>5</v>
      </c>
      <c r="H4806" s="161" t="s">
        <v>3896</v>
      </c>
      <c r="I4806" s="97" t="s">
        <v>2052</v>
      </c>
      <c r="J4806" s="97" t="s">
        <v>3897</v>
      </c>
      <c r="K4806" s="29">
        <v>32.58</v>
      </c>
      <c r="L4806" s="29">
        <v>-19.71</v>
      </c>
      <c r="M4806" s="30">
        <f>IFERROR(VLOOKUP($A4806,HeadJournal!$A$1:$J$890,COLUMN(HeadJournal!I$1),0)*($K4806+$L4806)/(SUMIF($A:$A,$A4806,$K:$K)+SUMIF($A:$A,$A4806,$L:$L)),0)</f>
        <v>-1.3711740235729137</v>
      </c>
      <c r="N4806" s="30">
        <f>IFERROR((VLOOKUP($A4806,HeadJournal!$A$1:$K$890,COLUMN(HeadJournal!K$1),0)-VLOOKUP($A4806,HeadJournal!$A$1:$K$890,COLUMN(HeadJournal!J$1),0))*($K4806+$L4806)/(SUMIF($A:$A,$A4806,$K:$K)+SUMIF($A:$A,$A4806,$L:$L)),0)</f>
        <v>-4.2268014833522002E-15</v>
      </c>
      <c r="O4806" s="30">
        <f>IFERROR((VLOOKUP($A4806,HeadJournal!$A$1:$L$890,COLUMN(HeadJournal!L$1),0)*($K4806+$L4806)/(SUMIF($A:$A,$A4806,$K:$K)+SUMIF($A:$A,$A4806,$L:$L)))/VLOOKUP($A4806,HeadJournal!$A$1:$L$890,COLUMN(HeadJournal!H$1),0),0)</f>
        <v>0.35179956446325111</v>
      </c>
      <c r="P4806" s="30">
        <f>IFERROR(SUM(K4806:O4806)*VLOOKUP($A4806,HeadJournal!$A$1:$L$890,COLUMN(HeadJournal!H$1),0),0)</f>
        <v>1062.0464091749475</v>
      </c>
      <c r="Q4806" s="29">
        <v>3100</v>
      </c>
      <c r="R4806" s="31">
        <v>45971</v>
      </c>
      <c r="S4806" s="31" t="s">
        <v>3457</v>
      </c>
      <c r="T4806" s="95" t="str">
        <f t="shared" si="365"/>
        <v>2025 11</v>
      </c>
      <c r="U4806" s="32">
        <f t="shared" si="358"/>
        <v>2037.9535908250525</v>
      </c>
      <c r="V4806" s="22">
        <f t="shared" si="359"/>
        <v>1.9188931606183199</v>
      </c>
      <c r="X4806" s="33"/>
      <c r="Y4806" s="33"/>
    </row>
    <row r="4807" spans="1:25" x14ac:dyDescent="0.2">
      <c r="A4807" s="93" t="s">
        <v>3908</v>
      </c>
      <c r="B4807" s="94" t="str">
        <f>IFERROR(VLOOKUP($A4807,HeadJournal!$A$1:$NTR$890,COLUMN(HeadJournal!B$1),0),"")</f>
        <v>720000716385</v>
      </c>
      <c r="C4807" s="94" t="str">
        <f>IFERROR(VLOOKUP($A4807,HeadJournal!$A$1:$NTR$890,COLUMN(HeadJournal!C$1),0),"")</f>
        <v>iHerb_VP DFD1605</v>
      </c>
      <c r="D4807" s="125" t="str">
        <f>IFERROR(VLOOKUP($A4807,HeadJournal!$A$1:$NTR$890,COLUMN(HeadJournal!D$1),0),"")</f>
        <v>Доставлен</v>
      </c>
      <c r="E4807" s="95">
        <f>IFERROR(VLOOKUP($A4807,HeadJournal!$A$1:$NTR$890,COLUMN(HeadJournal!G$1),0),"")</f>
        <v>45829</v>
      </c>
      <c r="F4807" s="95" t="str">
        <f t="shared" si="364"/>
        <v>2025 06</v>
      </c>
      <c r="G4807" s="97" t="s">
        <v>5</v>
      </c>
      <c r="H4807" s="161" t="s">
        <v>3898</v>
      </c>
      <c r="I4807" s="97" t="s">
        <v>2221</v>
      </c>
      <c r="J4807" s="97" t="s">
        <v>3899</v>
      </c>
      <c r="K4807" s="29">
        <v>11.42</v>
      </c>
      <c r="L4807" s="29">
        <v>-1.1399999999999999</v>
      </c>
      <c r="M4807" s="30">
        <f>IFERROR(VLOOKUP($A4807,HeadJournal!$A$1:$J$890,COLUMN(HeadJournal!I$1),0)*($K4807+$L4807)/(SUMIF($A:$A,$A4807,$K:$K)+SUMIF($A:$A,$A4807,$L:$L)),0)</f>
        <v>-1.0952345736075799</v>
      </c>
      <c r="N4807" s="30">
        <f>IFERROR((VLOOKUP($A4807,HeadJournal!$A$1:$K$890,COLUMN(HeadJournal!K$1),0)-VLOOKUP($A4807,HeadJournal!$A$1:$K$890,COLUMN(HeadJournal!J$1),0))*($K4807+$L4807)/(SUMIF($A:$A,$A4807,$K:$K)+SUMIF($A:$A,$A4807,$L:$L)),0)</f>
        <v>-3.3761864218228923E-15</v>
      </c>
      <c r="O4807" s="30">
        <f>IFERROR((VLOOKUP($A4807,HeadJournal!$A$1:$L$890,COLUMN(HeadJournal!L$1),0)*($K4807+$L4807)/(SUMIF($A:$A,$A4807,$K:$K)+SUMIF($A:$A,$A4807,$L:$L)))/VLOOKUP($A4807,HeadJournal!$A$1:$L$890,COLUMN(HeadJournal!H$1),0),0)</f>
        <v>0.28100229391470255</v>
      </c>
      <c r="P4807" s="30">
        <f>IFERROR(SUM(K4807:O4807)*VLOOKUP($A4807,HeadJournal!$A$1:$L$890,COLUMN(HeadJournal!H$1),0),0)</f>
        <v>848.31678992373452</v>
      </c>
      <c r="Q4807" s="29">
        <v>1600</v>
      </c>
      <c r="R4807" s="31">
        <v>45859</v>
      </c>
      <c r="S4807" s="31" t="s">
        <v>3231</v>
      </c>
      <c r="T4807" s="95" t="str">
        <f t="shared" si="365"/>
        <v>2025 07</v>
      </c>
      <c r="U4807" s="32">
        <f t="shared" si="358"/>
        <v>751.68321007626548</v>
      </c>
      <c r="V4807" s="22">
        <f t="shared" si="359"/>
        <v>0.88608786128569184</v>
      </c>
      <c r="X4807" s="33"/>
      <c r="Y4807" s="33"/>
    </row>
    <row r="4808" spans="1:25" x14ac:dyDescent="0.2">
      <c r="A4808" s="93" t="s">
        <v>3908</v>
      </c>
      <c r="B4808" s="94" t="str">
        <f>IFERROR(VLOOKUP($A4808,HeadJournal!$A$1:$NTR$890,COLUMN(HeadJournal!B$1),0),"")</f>
        <v>720000716385</v>
      </c>
      <c r="C4808" s="94" t="str">
        <f>IFERROR(VLOOKUP($A4808,HeadJournal!$A$1:$NTR$890,COLUMN(HeadJournal!C$1),0),"")</f>
        <v>iHerb_VP DFD1605</v>
      </c>
      <c r="D4808" s="125" t="str">
        <f>IFERROR(VLOOKUP($A4808,HeadJournal!$A$1:$NTR$890,COLUMN(HeadJournal!D$1),0),"")</f>
        <v>Доставлен</v>
      </c>
      <c r="E4808" s="95">
        <f>IFERROR(VLOOKUP($A4808,HeadJournal!$A$1:$NTR$890,COLUMN(HeadJournal!G$1),0),"")</f>
        <v>45829</v>
      </c>
      <c r="F4808" s="95" t="str">
        <f t="shared" si="364"/>
        <v>2025 06</v>
      </c>
      <c r="G4808" s="97" t="s">
        <v>5</v>
      </c>
      <c r="H4808" s="161" t="s">
        <v>3898</v>
      </c>
      <c r="I4808" s="97" t="s">
        <v>2221</v>
      </c>
      <c r="J4808" s="97" t="s">
        <v>3899</v>
      </c>
      <c r="K4808" s="29">
        <v>11.42</v>
      </c>
      <c r="L4808" s="29">
        <v>-1.1399999999999999</v>
      </c>
      <c r="M4808" s="30">
        <f>IFERROR(VLOOKUP($A4808,HeadJournal!$A$1:$J$890,COLUMN(HeadJournal!I$1),0)*($K4808+$L4808)/(SUMIF($A:$A,$A4808,$K:$K)+SUMIF($A:$A,$A4808,$L:$L)),0)</f>
        <v>-1.0952345736075799</v>
      </c>
      <c r="N4808" s="30">
        <f>IFERROR((VLOOKUP($A4808,HeadJournal!$A$1:$K$890,COLUMN(HeadJournal!K$1),0)-VLOOKUP($A4808,HeadJournal!$A$1:$K$890,COLUMN(HeadJournal!J$1),0))*($K4808+$L4808)/(SUMIF($A:$A,$A4808,$K:$K)+SUMIF($A:$A,$A4808,$L:$L)),0)</f>
        <v>-3.3761864218228923E-15</v>
      </c>
      <c r="O4808" s="30">
        <f>IFERROR((VLOOKUP($A4808,HeadJournal!$A$1:$L$890,COLUMN(HeadJournal!L$1),0)*($K4808+$L4808)/(SUMIF($A:$A,$A4808,$K:$K)+SUMIF($A:$A,$A4808,$L:$L)))/VLOOKUP($A4808,HeadJournal!$A$1:$L$890,COLUMN(HeadJournal!H$1),0),0)</f>
        <v>0.28100229391470255</v>
      </c>
      <c r="P4808" s="30">
        <f>IFERROR(SUM(K4808:O4808)*VLOOKUP($A4808,HeadJournal!$A$1:$L$890,COLUMN(HeadJournal!H$1),0),0)</f>
        <v>848.31678992373452</v>
      </c>
      <c r="Q4808" s="29">
        <v>1600</v>
      </c>
      <c r="R4808" s="31">
        <v>45859</v>
      </c>
      <c r="S4808" s="31" t="s">
        <v>3231</v>
      </c>
      <c r="T4808" s="95" t="str">
        <f t="shared" si="365"/>
        <v>2025 07</v>
      </c>
      <c r="U4808" s="32">
        <f t="shared" si="358"/>
        <v>751.68321007626548</v>
      </c>
      <c r="V4808" s="22">
        <f t="shared" si="359"/>
        <v>0.88608786128569184</v>
      </c>
      <c r="X4808" s="33"/>
      <c r="Y4808" s="33"/>
    </row>
    <row r="4809" spans="1:25" x14ac:dyDescent="0.2">
      <c r="A4809" s="93" t="s">
        <v>3908</v>
      </c>
      <c r="B4809" s="94" t="str">
        <f>IFERROR(VLOOKUP($A4809,HeadJournal!$A$1:$NTR$890,COLUMN(HeadJournal!B$1),0),"")</f>
        <v>720000716385</v>
      </c>
      <c r="C4809" s="94" t="str">
        <f>IFERROR(VLOOKUP($A4809,HeadJournal!$A$1:$NTR$890,COLUMN(HeadJournal!C$1),0),"")</f>
        <v>iHerb_VP DFD1605</v>
      </c>
      <c r="D4809" s="125" t="str">
        <f>IFERROR(VLOOKUP($A4809,HeadJournal!$A$1:$NTR$890,COLUMN(HeadJournal!D$1),0),"")</f>
        <v>Доставлен</v>
      </c>
      <c r="E4809" s="95">
        <f>IFERROR(VLOOKUP($A4809,HeadJournal!$A$1:$NTR$890,COLUMN(HeadJournal!G$1),0),"")</f>
        <v>45829</v>
      </c>
      <c r="F4809" s="95" t="str">
        <f t="shared" si="364"/>
        <v>2025 06</v>
      </c>
      <c r="G4809" s="97" t="s">
        <v>5</v>
      </c>
      <c r="H4809" s="161" t="s">
        <v>3900</v>
      </c>
      <c r="I4809" s="97" t="s">
        <v>2491</v>
      </c>
      <c r="J4809" s="97" t="s">
        <v>3901</v>
      </c>
      <c r="K4809" s="29">
        <v>49.3</v>
      </c>
      <c r="L4809" s="29">
        <v>-24.65</v>
      </c>
      <c r="M4809" s="30">
        <f>IFERROR(VLOOKUP($A4809,HeadJournal!$A$1:$J$890,COLUMN(HeadJournal!I$1),0)*($K4809+$L4809)/(SUMIF($A:$A,$A4809,$K:$K)+SUMIF($A:$A,$A4809,$L:$L)),0)</f>
        <v>-2.6262190894384094</v>
      </c>
      <c r="N4809" s="30">
        <f>IFERROR((VLOOKUP($A4809,HeadJournal!$A$1:$K$890,COLUMN(HeadJournal!K$1),0)-VLOOKUP($A4809,HeadJournal!$A$1:$K$890,COLUMN(HeadJournal!J$1),0))*($K4809+$L4809)/(SUMIF($A:$A,$A4809,$K:$K)+SUMIF($A:$A,$A4809,$L:$L)),0)</f>
        <v>-8.095622110693998E-15</v>
      </c>
      <c r="O4809" s="30">
        <f>IFERROR((VLOOKUP($A4809,HeadJournal!$A$1:$L$890,COLUMN(HeadJournal!L$1),0)*($K4809+$L4809)/(SUMIF($A:$A,$A4809,$K:$K)+SUMIF($A:$A,$A4809,$L:$L)))/VLOOKUP($A4809,HeadJournal!$A$1:$L$890,COLUMN(HeadJournal!H$1),0),0)</f>
        <v>0.67380413861842581</v>
      </c>
      <c r="P4809" s="30">
        <f>IFERROR(SUM(K4809:O4809)*VLOOKUP($A4809,HeadJournal!$A$1:$L$890,COLUMN(HeadJournal!H$1),0),0)</f>
        <v>2034.1448318696553</v>
      </c>
      <c r="Q4809" s="29">
        <v>5200</v>
      </c>
      <c r="R4809" s="31">
        <v>45925</v>
      </c>
      <c r="S4809" s="31"/>
      <c r="T4809" s="95" t="str">
        <f t="shared" si="365"/>
        <v>2025 09</v>
      </c>
      <c r="U4809" s="32">
        <f t="shared" si="358"/>
        <v>3165.8551681303447</v>
      </c>
      <c r="V4809" s="22">
        <f t="shared" si="359"/>
        <v>1.556356813207098</v>
      </c>
      <c r="X4809" s="33"/>
      <c r="Y4809" s="33"/>
    </row>
    <row r="4810" spans="1:25" x14ac:dyDescent="0.2">
      <c r="A4810" s="93" t="s">
        <v>3908</v>
      </c>
      <c r="B4810" s="94" t="str">
        <f>IFERROR(VLOOKUP($A4810,HeadJournal!$A$1:$NTR$890,COLUMN(HeadJournal!B$1),0),"")</f>
        <v>720000716385</v>
      </c>
      <c r="C4810" s="94" t="str">
        <f>IFERROR(VLOOKUP($A4810,HeadJournal!$A$1:$NTR$890,COLUMN(HeadJournal!C$1),0),"")</f>
        <v>iHerb_VP DFD1605</v>
      </c>
      <c r="D4810" s="125" t="str">
        <f>IFERROR(VLOOKUP($A4810,HeadJournal!$A$1:$NTR$890,COLUMN(HeadJournal!D$1),0),"")</f>
        <v>Доставлен</v>
      </c>
      <c r="E4810" s="95">
        <f>IFERROR(VLOOKUP($A4810,HeadJournal!$A$1:$NTR$890,COLUMN(HeadJournal!G$1),0),"")</f>
        <v>45829</v>
      </c>
      <c r="F4810" s="95" t="str">
        <f t="shared" si="364"/>
        <v>2025 06</v>
      </c>
      <c r="G4810" s="97" t="s">
        <v>5</v>
      </c>
      <c r="H4810" s="161" t="s">
        <v>3902</v>
      </c>
      <c r="I4810" s="97" t="s">
        <v>2491</v>
      </c>
      <c r="J4810" s="97" t="s">
        <v>3903</v>
      </c>
      <c r="K4810" s="29">
        <v>34.94</v>
      </c>
      <c r="L4810" s="29">
        <v>-17.47</v>
      </c>
      <c r="M4810" s="30">
        <f>IFERROR(VLOOKUP($A4810,HeadJournal!$A$1:$J$890,COLUMN(HeadJournal!I$1),0)*($K4810+$L4810)/(SUMIF($A:$A,$A4810,$K:$K)+SUMIF($A:$A,$A4810,$L:$L)),0)</f>
        <v>-1.8612595331638544</v>
      </c>
      <c r="N4810" s="30">
        <f>IFERROR((VLOOKUP($A4810,HeadJournal!$A$1:$K$890,COLUMN(HeadJournal!K$1),0)-VLOOKUP($A4810,HeadJournal!$A$1:$K$890,COLUMN(HeadJournal!J$1),0))*($K4810+$L4810)/(SUMIF($A:$A,$A4810,$K:$K)+SUMIF($A:$A,$A4810,$L:$L)),0)</f>
        <v>-5.7375463802768414E-15</v>
      </c>
      <c r="O4810" s="30">
        <f>IFERROR((VLOOKUP($A4810,HeadJournal!$A$1:$L$890,COLUMN(HeadJournal!L$1),0)*($K4810+$L4810)/(SUMIF($A:$A,$A4810,$K:$K)+SUMIF($A:$A,$A4810,$L:$L)))/VLOOKUP($A4810,HeadJournal!$A$1:$L$890,COLUMN(HeadJournal!H$1),0),0)</f>
        <v>0.47753989053403251</v>
      </c>
      <c r="P4810" s="30">
        <f>IFERROR(SUM(K4810:O4810)*VLOOKUP($A4810,HeadJournal!$A$1:$L$890,COLUMN(HeadJournal!H$1),0),0)</f>
        <v>1441.6434163392646</v>
      </c>
      <c r="Q4810" s="29">
        <v>3400</v>
      </c>
      <c r="R4810" s="31">
        <v>46079</v>
      </c>
      <c r="S4810" s="31"/>
      <c r="T4810" s="95" t="str">
        <f t="shared" si="365"/>
        <v>2026 02</v>
      </c>
      <c r="U4810" s="32">
        <f t="shared" si="358"/>
        <v>1958.3565836607354</v>
      </c>
      <c r="V4810" s="22">
        <f t="shared" si="359"/>
        <v>1.358419538053002</v>
      </c>
      <c r="X4810" s="33"/>
      <c r="Y4810" s="33"/>
    </row>
    <row r="4811" spans="1:25" x14ac:dyDescent="0.2">
      <c r="A4811" s="93" t="s">
        <v>3908</v>
      </c>
      <c r="B4811" s="94" t="str">
        <f>IFERROR(VLOOKUP($A4811,HeadJournal!$A$1:$NTR$890,COLUMN(HeadJournal!B$1),0),"")</f>
        <v>720000716385</v>
      </c>
      <c r="C4811" s="94" t="str">
        <f>IFERROR(VLOOKUP($A4811,HeadJournal!$A$1:$NTR$890,COLUMN(HeadJournal!C$1),0),"")</f>
        <v>iHerb_VP DFD1605</v>
      </c>
      <c r="D4811" s="125" t="str">
        <f>IFERROR(VLOOKUP($A4811,HeadJournal!$A$1:$NTR$890,COLUMN(HeadJournal!D$1),0),"")</f>
        <v>Доставлен</v>
      </c>
      <c r="E4811" s="95">
        <f>IFERROR(VLOOKUP($A4811,HeadJournal!$A$1:$NTR$890,COLUMN(HeadJournal!G$1),0),"")</f>
        <v>45829</v>
      </c>
      <c r="F4811" s="95" t="str">
        <f t="shared" si="364"/>
        <v>2025 06</v>
      </c>
      <c r="G4811" s="97" t="s">
        <v>5</v>
      </c>
      <c r="H4811" s="161" t="s">
        <v>3855</v>
      </c>
      <c r="I4811" s="97" t="s">
        <v>2491</v>
      </c>
      <c r="J4811" s="97" t="s">
        <v>3856</v>
      </c>
      <c r="K4811" s="29">
        <v>57.2</v>
      </c>
      <c r="L4811" s="29">
        <v>-28.6</v>
      </c>
      <c r="M4811" s="30">
        <f>IFERROR(VLOOKUP($A4811,HeadJournal!$A$1:$J$890,COLUMN(HeadJournal!I$1),0)*($K4811+$L4811)/(SUMIF($A:$A,$A4811,$K:$K)+SUMIF($A:$A,$A4811,$L:$L)),0)</f>
        <v>-3.0470533857175868</v>
      </c>
      <c r="N4811" s="30">
        <f>IFERROR((VLOOKUP($A4811,HeadJournal!$A$1:$K$890,COLUMN(HeadJournal!K$1),0)-VLOOKUP($A4811,HeadJournal!$A$1:$K$890,COLUMN(HeadJournal!J$1),0))*($K4811+$L4811)/(SUMIF($A:$A,$A4811,$K:$K)+SUMIF($A:$A,$A4811,$L:$L)),0)</f>
        <v>-9.3928921852271137E-15</v>
      </c>
      <c r="O4811" s="30">
        <f>IFERROR((VLOOKUP($A4811,HeadJournal!$A$1:$L$890,COLUMN(HeadJournal!L$1),0)*($K4811+$L4811)/(SUMIF($A:$A,$A4811,$K:$K)+SUMIF($A:$A,$A4811,$L:$L)))/VLOOKUP($A4811,HeadJournal!$A$1:$L$890,COLUMN(HeadJournal!H$1),0),0)</f>
        <v>0.78177680991833609</v>
      </c>
      <c r="P4811" s="30">
        <f>IFERROR(SUM(K4811:O4811)*VLOOKUP($A4811,HeadJournal!$A$1:$L$890,COLUMN(HeadJournal!H$1),0),0)</f>
        <v>2360.1031314998841</v>
      </c>
      <c r="Q4811" s="29">
        <v>5500</v>
      </c>
      <c r="R4811" s="31">
        <v>45915</v>
      </c>
      <c r="S4811" s="31"/>
      <c r="T4811" s="95" t="str">
        <f t="shared" si="365"/>
        <v>2025 09</v>
      </c>
      <c r="U4811" s="32">
        <f t="shared" si="358"/>
        <v>3139.8968685001159</v>
      </c>
      <c r="V4811" s="22">
        <f t="shared" si="359"/>
        <v>1.3304066363001097</v>
      </c>
      <c r="X4811" s="33"/>
      <c r="Y4811" s="33"/>
    </row>
    <row r="4812" spans="1:25" x14ac:dyDescent="0.2">
      <c r="A4812" s="93" t="s">
        <v>3908</v>
      </c>
      <c r="B4812" s="94" t="str">
        <f>IFERROR(VLOOKUP($A4812,HeadJournal!$A$1:$NTR$890,COLUMN(HeadJournal!B$1),0),"")</f>
        <v>720000716385</v>
      </c>
      <c r="C4812" s="94" t="str">
        <f>IFERROR(VLOOKUP($A4812,HeadJournal!$A$1:$NTR$890,COLUMN(HeadJournal!C$1),0),"")</f>
        <v>iHerb_VP DFD1605</v>
      </c>
      <c r="D4812" s="125" t="str">
        <f>IFERROR(VLOOKUP($A4812,HeadJournal!$A$1:$NTR$890,COLUMN(HeadJournal!D$1),0),"")</f>
        <v>Доставлен</v>
      </c>
      <c r="E4812" s="95">
        <f>IFERROR(VLOOKUP($A4812,HeadJournal!$A$1:$NTR$890,COLUMN(HeadJournal!G$1),0),"")</f>
        <v>45829</v>
      </c>
      <c r="F4812" s="95" t="str">
        <f t="shared" si="364"/>
        <v>2025 06</v>
      </c>
      <c r="G4812" s="97" t="s">
        <v>5</v>
      </c>
      <c r="H4812" s="161" t="s">
        <v>3067</v>
      </c>
      <c r="I4812" s="97" t="s">
        <v>2460</v>
      </c>
      <c r="J4812" s="97" t="s">
        <v>3068</v>
      </c>
      <c r="K4812" s="29">
        <v>33.130000000000003</v>
      </c>
      <c r="L4812" s="29">
        <v>-3.31</v>
      </c>
      <c r="M4812" s="30">
        <f>IFERROR(VLOOKUP($A4812,HeadJournal!$A$1:$J$890,COLUMN(HeadJournal!I$1),0)*($K4812+$L4812)/(SUMIF($A:$A,$A4812,$K:$K)+SUMIF($A:$A,$A4812,$L:$L)),0)</f>
        <v>-3.1770325860873583</v>
      </c>
      <c r="N4812" s="30">
        <f>IFERROR((VLOOKUP($A4812,HeadJournal!$A$1:$K$890,COLUMN(HeadJournal!K$1),0)-VLOOKUP($A4812,HeadJournal!$A$1:$K$890,COLUMN(HeadJournal!J$1),0))*($K4812+$L4812)/(SUMIF($A:$A,$A4812,$K:$K)+SUMIF($A:$A,$A4812,$L:$L)),0)</f>
        <v>-9.7935680057158241E-15</v>
      </c>
      <c r="O4812" s="30">
        <f>IFERROR((VLOOKUP($A4812,HeadJournal!$A$1:$L$890,COLUMN(HeadJournal!L$1),0)*($K4812+$L4812)/(SUMIF($A:$A,$A4812,$K:$K)+SUMIF($A:$A,$A4812,$L:$L)))/VLOOKUP($A4812,HeadJournal!$A$1:$L$890,COLUMN(HeadJournal!H$1),0),0)</f>
        <v>0.81512533118058683</v>
      </c>
      <c r="P4812" s="30">
        <f>IFERROR(SUM(K4812:O4812)*VLOOKUP($A4812,HeadJournal!$A$1:$L$890,COLUMN(HeadJournal!H$1),0),0)</f>
        <v>2460.7788594869421</v>
      </c>
      <c r="Q4812" s="29">
        <v>3450</v>
      </c>
      <c r="R4812" s="31">
        <v>45858</v>
      </c>
      <c r="S4812" s="31" t="s">
        <v>3475</v>
      </c>
      <c r="T4812" s="95" t="str">
        <f t="shared" si="365"/>
        <v>2025 07</v>
      </c>
      <c r="U4812" s="32">
        <f t="shared" si="358"/>
        <v>989.22114051305789</v>
      </c>
      <c r="V4812" s="22">
        <f t="shared" si="359"/>
        <v>0.40199513934352665</v>
      </c>
      <c r="X4812" s="33"/>
      <c r="Y4812" s="33"/>
    </row>
    <row r="4813" spans="1:25" x14ac:dyDescent="0.2">
      <c r="A4813" s="93" t="s">
        <v>3908</v>
      </c>
      <c r="B4813" s="94" t="str">
        <f>IFERROR(VLOOKUP($A4813,HeadJournal!$A$1:$NTR$890,COLUMN(HeadJournal!B$1),0),"")</f>
        <v>720000716385</v>
      </c>
      <c r="C4813" s="94" t="str">
        <f>IFERROR(VLOOKUP($A4813,HeadJournal!$A$1:$NTR$890,COLUMN(HeadJournal!C$1),0),"")</f>
        <v>iHerb_VP DFD1605</v>
      </c>
      <c r="D4813" s="125" t="str">
        <f>IFERROR(VLOOKUP($A4813,HeadJournal!$A$1:$NTR$890,COLUMN(HeadJournal!D$1),0),"")</f>
        <v>Доставлен</v>
      </c>
      <c r="E4813" s="95">
        <f>IFERROR(VLOOKUP($A4813,HeadJournal!$A$1:$NTR$890,COLUMN(HeadJournal!G$1),0),"")</f>
        <v>45829</v>
      </c>
      <c r="F4813" s="95" t="str">
        <f t="shared" si="364"/>
        <v>2025 06</v>
      </c>
      <c r="G4813" s="97" t="s">
        <v>5</v>
      </c>
      <c r="H4813" s="161" t="s">
        <v>3904</v>
      </c>
      <c r="I4813" s="97" t="s">
        <v>2009</v>
      </c>
      <c r="J4813" s="97" t="s">
        <v>3905</v>
      </c>
      <c r="K4813" s="29">
        <v>13.12</v>
      </c>
      <c r="L4813" s="29">
        <v>-3.28</v>
      </c>
      <c r="M4813" s="30">
        <f>IFERROR(VLOOKUP($A4813,HeadJournal!$A$1:$J$890,COLUMN(HeadJournal!I$1),0)*($K4813+$L4813)/(SUMIF($A:$A,$A4813,$K:$K)+SUMIF($A:$A,$A4813,$L:$L)),0)</f>
        <v>-1.048356829211925</v>
      </c>
      <c r="N4813" s="30">
        <f>IFERROR((VLOOKUP($A4813,HeadJournal!$A$1:$K$890,COLUMN(HeadJournal!K$1),0)-VLOOKUP($A4813,HeadJournal!$A$1:$K$890,COLUMN(HeadJournal!J$1),0))*($K4813+$L4813)/(SUMIF($A:$A,$A4813,$K:$K)+SUMIF($A:$A,$A4813,$L:$L)),0)</f>
        <v>-3.2316803882040138E-15</v>
      </c>
      <c r="O4813" s="30">
        <f>IFERROR((VLOOKUP($A4813,HeadJournal!$A$1:$L$890,COLUMN(HeadJournal!L$1),0)*($K4813+$L4813)/(SUMIF($A:$A,$A4813,$K:$K)+SUMIF($A:$A,$A4813,$L:$L)))/VLOOKUP($A4813,HeadJournal!$A$1:$L$890,COLUMN(HeadJournal!H$1),0),0)</f>
        <v>0.26897495837749741</v>
      </c>
      <c r="P4813" s="30">
        <f>IFERROR(SUM(K4813:O4813)*VLOOKUP($A4813,HeadJournal!$A$1:$L$890,COLUMN(HeadJournal!H$1),0),0)</f>
        <v>812.00751097758246</v>
      </c>
      <c r="Q4813" s="29">
        <v>1500</v>
      </c>
      <c r="R4813" s="31">
        <v>45858</v>
      </c>
      <c r="S4813" s="31" t="s">
        <v>3475</v>
      </c>
      <c r="T4813" s="95" t="str">
        <f t="shared" si="365"/>
        <v>2025 07</v>
      </c>
      <c r="U4813" s="32">
        <f t="shared" si="358"/>
        <v>687.99248902241754</v>
      </c>
      <c r="V4813" s="22">
        <f t="shared" si="359"/>
        <v>0.84727355316472108</v>
      </c>
      <c r="X4813" s="33"/>
      <c r="Y4813" s="33"/>
    </row>
    <row r="4814" spans="1:25" x14ac:dyDescent="0.2">
      <c r="A4814" s="93" t="s">
        <v>3908</v>
      </c>
      <c r="B4814" s="94" t="str">
        <f>IFERROR(VLOOKUP($A4814,HeadJournal!$A$1:$NTR$890,COLUMN(HeadJournal!B$1),0),"")</f>
        <v>720000716385</v>
      </c>
      <c r="C4814" s="94" t="str">
        <f>IFERROR(VLOOKUP($A4814,HeadJournal!$A$1:$NTR$890,COLUMN(HeadJournal!C$1),0),"")</f>
        <v>iHerb_VP DFD1605</v>
      </c>
      <c r="D4814" s="125" t="str">
        <f>IFERROR(VLOOKUP($A4814,HeadJournal!$A$1:$NTR$890,COLUMN(HeadJournal!D$1),0),"")</f>
        <v>Доставлен</v>
      </c>
      <c r="E4814" s="95">
        <f>IFERROR(VLOOKUP($A4814,HeadJournal!$A$1:$NTR$890,COLUMN(HeadJournal!G$1),0),"")</f>
        <v>45829</v>
      </c>
      <c r="F4814" s="95" t="str">
        <f t="shared" si="364"/>
        <v>2025 06</v>
      </c>
      <c r="G4814" s="97" t="s">
        <v>5</v>
      </c>
      <c r="H4814" s="161" t="s">
        <v>3906</v>
      </c>
      <c r="I4814" s="97" t="s">
        <v>2052</v>
      </c>
      <c r="J4814" s="97" t="s">
        <v>3907</v>
      </c>
      <c r="K4814" s="29">
        <v>20.91</v>
      </c>
      <c r="L4814" s="29">
        <v>-6.2750000000000004</v>
      </c>
      <c r="M4814" s="30">
        <f>IFERROR(VLOOKUP($A4814,HeadJournal!$A$1:$J$890,COLUMN(HeadJournal!I$1),0)*($K4814+$L4814)/(SUMIF($A:$A,$A4814,$K:$K)+SUMIF($A:$A,$A4814,$L:$L)),0)</f>
        <v>-1.5592177027963947</v>
      </c>
      <c r="N4814" s="30">
        <f>IFERROR((VLOOKUP($A4814,HeadJournal!$A$1:$K$890,COLUMN(HeadJournal!K$1),0)-VLOOKUP($A4814,HeadJournal!$A$1:$K$890,COLUMN(HeadJournal!J$1),0))*($K4814+$L4814)/(SUMIF($A:$A,$A4814,$K:$K)+SUMIF($A:$A,$A4814,$L:$L)),0)</f>
        <v>-4.8064677318461118E-15</v>
      </c>
      <c r="O4814" s="30">
        <f>IFERROR((VLOOKUP($A4814,HeadJournal!$A$1:$L$890,COLUMN(HeadJournal!L$1),0)*($K4814+$L4814)/(SUMIF($A:$A,$A4814,$K:$K)+SUMIF($A:$A,$A4814,$L:$L)))/VLOOKUP($A4814,HeadJournal!$A$1:$L$890,COLUMN(HeadJournal!H$1),0),0)</f>
        <v>0.40004558087954006</v>
      </c>
      <c r="P4814" s="30">
        <f>IFERROR(SUM(K4814:O4814)*VLOOKUP($A4814,HeadJournal!$A$1:$L$890,COLUMN(HeadJournal!H$1),0),0)</f>
        <v>1207.6961304021261</v>
      </c>
      <c r="Q4814" s="29">
        <v>2500</v>
      </c>
      <c r="R4814" s="31">
        <v>45908</v>
      </c>
      <c r="S4814" s="31"/>
      <c r="T4814" s="95" t="str">
        <f t="shared" si="365"/>
        <v>2025 09</v>
      </c>
      <c r="U4814" s="32">
        <f t="shared" si="358"/>
        <v>1292.3038695978739</v>
      </c>
      <c r="V4814" s="22">
        <f t="shared" si="359"/>
        <v>1.0700571419133189</v>
      </c>
      <c r="X4814" s="33"/>
      <c r="Y4814" s="33"/>
    </row>
    <row r="4815" spans="1:25" x14ac:dyDescent="0.2">
      <c r="A4815" s="93" t="s">
        <v>3908</v>
      </c>
      <c r="B4815" s="94" t="str">
        <f>IFERROR(VLOOKUP($A4815,HeadJournal!$A$1:$NTR$890,COLUMN(HeadJournal!B$1),0),"")</f>
        <v>720000716385</v>
      </c>
      <c r="C4815" s="94" t="str">
        <f>IFERROR(VLOOKUP($A4815,HeadJournal!$A$1:$NTR$890,COLUMN(HeadJournal!C$1),0),"")</f>
        <v>iHerb_VP DFD1605</v>
      </c>
      <c r="D4815" s="125" t="str">
        <f>IFERROR(VLOOKUP($A4815,HeadJournal!$A$1:$NTR$890,COLUMN(HeadJournal!D$1),0),"")</f>
        <v>Доставлен</v>
      </c>
      <c r="E4815" s="95">
        <f>IFERROR(VLOOKUP($A4815,HeadJournal!$A$1:$NTR$890,COLUMN(HeadJournal!G$1),0),"")</f>
        <v>45829</v>
      </c>
      <c r="F4815" s="95" t="str">
        <f t="shared" si="364"/>
        <v>2025 06</v>
      </c>
      <c r="G4815" s="97" t="s">
        <v>5</v>
      </c>
      <c r="H4815" s="161" t="s">
        <v>3906</v>
      </c>
      <c r="I4815" s="97" t="s">
        <v>2052</v>
      </c>
      <c r="J4815" s="97" t="s">
        <v>3907</v>
      </c>
      <c r="K4815" s="29">
        <v>20.91</v>
      </c>
      <c r="L4815" s="29">
        <v>-6.2750000000000004</v>
      </c>
      <c r="M4815" s="30">
        <f>IFERROR(VLOOKUP($A4815,HeadJournal!$A$1:$J$890,COLUMN(HeadJournal!I$1),0)*($K4815+$L4815)/(SUMIF($A:$A,$A4815,$K:$K)+SUMIF($A:$A,$A4815,$L:$L)),0)</f>
        <v>-1.5592177027963947</v>
      </c>
      <c r="N4815" s="30">
        <f>IFERROR((VLOOKUP($A4815,HeadJournal!$A$1:$K$890,COLUMN(HeadJournal!K$1),0)-VLOOKUP($A4815,HeadJournal!$A$1:$K$890,COLUMN(HeadJournal!J$1),0))*($K4815+$L4815)/(SUMIF($A:$A,$A4815,$K:$K)+SUMIF($A:$A,$A4815,$L:$L)),0)</f>
        <v>-4.8064677318461118E-15</v>
      </c>
      <c r="O4815" s="30">
        <f>IFERROR((VLOOKUP($A4815,HeadJournal!$A$1:$L$890,COLUMN(HeadJournal!L$1),0)*($K4815+$L4815)/(SUMIF($A:$A,$A4815,$K:$K)+SUMIF($A:$A,$A4815,$L:$L)))/VLOOKUP($A4815,HeadJournal!$A$1:$L$890,COLUMN(HeadJournal!H$1),0),0)</f>
        <v>0.40004558087954006</v>
      </c>
      <c r="P4815" s="30">
        <f>IFERROR(SUM(K4815:O4815)*VLOOKUP($A4815,HeadJournal!$A$1:$L$890,COLUMN(HeadJournal!H$1),0),0)</f>
        <v>1207.6961304021261</v>
      </c>
      <c r="Q4815" s="29">
        <v>2400</v>
      </c>
      <c r="R4815" s="31">
        <v>45936</v>
      </c>
      <c r="S4815" s="31"/>
      <c r="T4815" s="95" t="str">
        <f t="shared" si="365"/>
        <v>2025 10</v>
      </c>
      <c r="U4815" s="32">
        <f t="shared" si="358"/>
        <v>1192.3038695978739</v>
      </c>
      <c r="V4815" s="22">
        <f t="shared" si="359"/>
        <v>0.9872548562367861</v>
      </c>
      <c r="X4815" s="33"/>
      <c r="Y4815" s="33"/>
    </row>
    <row r="4816" spans="1:25" x14ac:dyDescent="0.2">
      <c r="A4816" s="93" t="s">
        <v>3954</v>
      </c>
      <c r="B4816" s="94" t="str">
        <f>IFERROR(VLOOKUP($A4816,HeadJournal!$A$1:$NTR$890,COLUMN(HeadJournal!B$1),0),"")</f>
        <v>1595032065</v>
      </c>
      <c r="C4816" s="94" t="str">
        <f>IFERROR(VLOOKUP($A4816,HeadJournal!$A$1:$NTR$890,COLUMN(HeadJournal!C$1),0),"")</f>
        <v>essens_OA</v>
      </c>
      <c r="D4816" s="125" t="str">
        <f>IFERROR(VLOOKUP($A4816,HeadJournal!$A$1:$NTR$890,COLUMN(HeadJournal!D$1),0),"")</f>
        <v>Доставлен</v>
      </c>
      <c r="E4816" s="95">
        <f>IFERROR(VLOOKUP($A4816,HeadJournal!$A$1:$NTR$890,COLUMN(HeadJournal!G$1),0),"")</f>
        <v>45802</v>
      </c>
      <c r="F4816" s="95" t="str">
        <f t="shared" si="364"/>
        <v>2025 05</v>
      </c>
      <c r="G4816" s="97" t="s">
        <v>8</v>
      </c>
      <c r="H4816" s="161" t="s">
        <v>3956</v>
      </c>
      <c r="I4816" s="97" t="s">
        <v>2243</v>
      </c>
      <c r="J4816" s="97" t="s">
        <v>3960</v>
      </c>
      <c r="K4816" s="29">
        <v>1336.65</v>
      </c>
      <c r="L4816" s="29">
        <v>0</v>
      </c>
      <c r="M4816" s="30">
        <f>IFERROR(VLOOKUP($A4816,HeadJournal!$A$1:$J$890,COLUMN(HeadJournal!I$1),0)*($K4816+$L4816)/(SUMIF($A:$A,$A4816,$K:$K)+SUMIF($A:$A,$A4816,$L:$L)),0)</f>
        <v>0</v>
      </c>
      <c r="N4816" s="30">
        <f>IFERROR((VLOOKUP($A4816,HeadJournal!$A$1:$K$890,COLUMN(HeadJournal!K$1),0)-VLOOKUP($A4816,HeadJournal!$A$1:$K$890,COLUMN(HeadJournal!J$1),0))*($K4816+$L4816)/(SUMIF($A:$A,$A4816,$K:$K)+SUMIF($A:$A,$A4816,$L:$L)),0)</f>
        <v>0</v>
      </c>
      <c r="O4816" s="30">
        <f>IFERROR((VLOOKUP($A4816,HeadJournal!$A$1:$L$890,COLUMN(HeadJournal!L$1),0)*($K4816+$L4816)/(SUMIF($A:$A,$A4816,$K:$K)+SUMIF($A:$A,$A4816,$L:$L)))/VLOOKUP($A4816,HeadJournal!$A$1:$L$890,COLUMN(HeadJournal!H$1),0),0)</f>
        <v>199.13659382413883</v>
      </c>
      <c r="P4816" s="30">
        <f>IFERROR(SUM(K4816:O4816)*VLOOKUP($A4816,HeadJournal!$A$1:$L$890,COLUMN(HeadJournal!H$1),0),0)</f>
        <v>1535.7865938241389</v>
      </c>
      <c r="Q4816" s="29">
        <v>2500</v>
      </c>
      <c r="R4816" s="31">
        <v>45975</v>
      </c>
      <c r="S4816" s="31"/>
      <c r="T4816" s="95" t="str">
        <f t="shared" si="365"/>
        <v>2025 11</v>
      </c>
      <c r="U4816" s="32">
        <f t="shared" si="358"/>
        <v>964.21340617586111</v>
      </c>
      <c r="V4816" s="22">
        <f t="shared" si="359"/>
        <v>0.62783033141014122</v>
      </c>
      <c r="X4816" s="33"/>
      <c r="Y4816" s="33"/>
    </row>
    <row r="4817" spans="1:25" x14ac:dyDescent="0.2">
      <c r="A4817" s="93" t="s">
        <v>3954</v>
      </c>
      <c r="B4817" s="94" t="str">
        <f>IFERROR(VLOOKUP($A4817,HeadJournal!$A$1:$NTR$890,COLUMN(HeadJournal!B$1),0),"")</f>
        <v>1595032065</v>
      </c>
      <c r="C4817" s="94" t="str">
        <f>IFERROR(VLOOKUP($A4817,HeadJournal!$A$1:$NTR$890,COLUMN(HeadJournal!C$1),0),"")</f>
        <v>essens_OA</v>
      </c>
      <c r="D4817" s="125" t="str">
        <f>IFERROR(VLOOKUP($A4817,HeadJournal!$A$1:$NTR$890,COLUMN(HeadJournal!D$1),0),"")</f>
        <v>Доставлен</v>
      </c>
      <c r="E4817" s="95">
        <f>IFERROR(VLOOKUP($A4817,HeadJournal!$A$1:$NTR$890,COLUMN(HeadJournal!G$1),0),"")</f>
        <v>45802</v>
      </c>
      <c r="F4817" s="95" t="str">
        <f t="shared" si="364"/>
        <v>2025 05</v>
      </c>
      <c r="G4817" s="97" t="s">
        <v>8</v>
      </c>
      <c r="H4817" s="161" t="s">
        <v>3962</v>
      </c>
      <c r="I4817" s="97" t="s">
        <v>2243</v>
      </c>
      <c r="J4817" s="97" t="s">
        <v>3961</v>
      </c>
      <c r="K4817" s="29">
        <v>1401.39</v>
      </c>
      <c r="L4817" s="29">
        <v>0</v>
      </c>
      <c r="M4817" s="30">
        <f>IFERROR(VLOOKUP($A4817,HeadJournal!$A$1:$J$890,COLUMN(HeadJournal!I$1),0)*($K4817+$L4817)/(SUMIF($A:$A,$A4817,$K:$K)+SUMIF($A:$A,$A4817,$L:$L)),0)</f>
        <v>0</v>
      </c>
      <c r="N4817" s="30">
        <f>IFERROR((VLOOKUP($A4817,HeadJournal!$A$1:$K$890,COLUMN(HeadJournal!K$1),0)-VLOOKUP($A4817,HeadJournal!$A$1:$K$890,COLUMN(HeadJournal!J$1),0))*($K4817+$L4817)/(SUMIF($A:$A,$A4817,$K:$K)+SUMIF($A:$A,$A4817,$L:$L)),0)</f>
        <v>0</v>
      </c>
      <c r="O4817" s="30">
        <f>IFERROR((VLOOKUP($A4817,HeadJournal!$A$1:$L$890,COLUMN(HeadJournal!L$1),0)*($K4817+$L4817)/(SUMIF($A:$A,$A4817,$K:$K)+SUMIF($A:$A,$A4817,$L:$L)))/VLOOKUP($A4817,HeadJournal!$A$1:$L$890,COLUMN(HeadJournal!H$1),0),0)</f>
        <v>208.78167898792498</v>
      </c>
      <c r="P4817" s="30">
        <f>IFERROR(SUM(K4817:O4817)*VLOOKUP($A4817,HeadJournal!$A$1:$L$890,COLUMN(HeadJournal!H$1),0),0)</f>
        <v>1610.1716789879251</v>
      </c>
      <c r="Q4817" s="29"/>
      <c r="R4817" s="31"/>
      <c r="S4817" s="31"/>
      <c r="T4817" s="95" t="str">
        <f t="shared" si="365"/>
        <v/>
      </c>
      <c r="U4817" s="32">
        <f t="shared" si="358"/>
        <v>-1610.1716789879251</v>
      </c>
      <c r="V4817" s="22" t="str">
        <f t="shared" si="359"/>
        <v/>
      </c>
      <c r="X4817" s="33"/>
      <c r="Y4817" s="33"/>
    </row>
    <row r="4818" spans="1:25" x14ac:dyDescent="0.2">
      <c r="A4818" s="93" t="s">
        <v>3954</v>
      </c>
      <c r="B4818" s="94" t="str">
        <f>IFERROR(VLOOKUP($A4818,HeadJournal!$A$1:$NTR$890,COLUMN(HeadJournal!B$1),0),"")</f>
        <v>1595032065</v>
      </c>
      <c r="C4818" s="94" t="str">
        <f>IFERROR(VLOOKUP($A4818,HeadJournal!$A$1:$NTR$890,COLUMN(HeadJournal!C$1),0),"")</f>
        <v>essens_OA</v>
      </c>
      <c r="D4818" s="125" t="str">
        <f>IFERROR(VLOOKUP($A4818,HeadJournal!$A$1:$NTR$890,COLUMN(HeadJournal!D$1),0),"")</f>
        <v>Доставлен</v>
      </c>
      <c r="E4818" s="95">
        <f>IFERROR(VLOOKUP($A4818,HeadJournal!$A$1:$NTR$890,COLUMN(HeadJournal!G$1),0),"")</f>
        <v>45802</v>
      </c>
      <c r="F4818" s="95" t="str">
        <f t="shared" si="364"/>
        <v>2025 05</v>
      </c>
      <c r="G4818" s="97" t="s">
        <v>8</v>
      </c>
      <c r="H4818" s="161" t="s">
        <v>3964</v>
      </c>
      <c r="I4818" s="97" t="s">
        <v>2243</v>
      </c>
      <c r="J4818" s="97" t="s">
        <v>3963</v>
      </c>
      <c r="K4818" s="29">
        <v>456.98</v>
      </c>
      <c r="L4818" s="29">
        <v>0</v>
      </c>
      <c r="M4818" s="30">
        <f>IFERROR(VLOOKUP($A4818,HeadJournal!$A$1:$J$890,COLUMN(HeadJournal!I$1),0)*($K4818+$L4818)/(SUMIF($A:$A,$A4818,$K:$K)+SUMIF($A:$A,$A4818,$L:$L)),0)</f>
        <v>0</v>
      </c>
      <c r="N4818" s="30">
        <f>IFERROR((VLOOKUP($A4818,HeadJournal!$A$1:$K$890,COLUMN(HeadJournal!K$1),0)-VLOOKUP($A4818,HeadJournal!$A$1:$K$890,COLUMN(HeadJournal!J$1),0))*($K4818+$L4818)/(SUMIF($A:$A,$A4818,$K:$K)+SUMIF($A:$A,$A4818,$L:$L)),0)</f>
        <v>0</v>
      </c>
      <c r="O4818" s="30">
        <f>IFERROR((VLOOKUP($A4818,HeadJournal!$A$1:$L$890,COLUMN(HeadJournal!L$1),0)*($K4818+$L4818)/(SUMIF($A:$A,$A4818,$K:$K)+SUMIF($A:$A,$A4818,$L:$L)))/VLOOKUP($A4818,HeadJournal!$A$1:$L$890,COLUMN(HeadJournal!H$1),0),0)</f>
        <v>68.081727187936224</v>
      </c>
      <c r="P4818" s="30">
        <f>IFERROR(SUM(K4818:O4818)*VLOOKUP($A4818,HeadJournal!$A$1:$L$890,COLUMN(HeadJournal!H$1),0),0)</f>
        <v>525.06172718793619</v>
      </c>
      <c r="Q4818" s="29"/>
      <c r="R4818" s="31"/>
      <c r="S4818" s="31"/>
      <c r="T4818" s="95" t="str">
        <f t="shared" si="365"/>
        <v/>
      </c>
      <c r="U4818" s="32">
        <f t="shared" si="358"/>
        <v>-525.06172718793619</v>
      </c>
      <c r="V4818" s="22" t="str">
        <f t="shared" si="359"/>
        <v/>
      </c>
      <c r="X4818" s="33"/>
      <c r="Y4818" s="33"/>
    </row>
    <row r="4819" spans="1:25" x14ac:dyDescent="0.2">
      <c r="A4819" s="93" t="s">
        <v>3955</v>
      </c>
      <c r="B4819" s="94" t="str">
        <f>IFERROR(VLOOKUP($A4819,HeadJournal!$A$1:$NTR$890,COLUMN(HeadJournal!B$1),0),"")</f>
        <v>1595049729</v>
      </c>
      <c r="C4819" s="94" t="str">
        <f>IFERROR(VLOOKUP($A4819,HeadJournal!$A$1:$NTR$890,COLUMN(HeadJournal!C$1),0),"")</f>
        <v>essens_OA</v>
      </c>
      <c r="D4819" s="125" t="str">
        <f>IFERROR(VLOOKUP($A4819,HeadJournal!$A$1:$NTR$890,COLUMN(HeadJournal!D$1),0),"")</f>
        <v>Доставлен</v>
      </c>
      <c r="E4819" s="95">
        <f>IFERROR(VLOOKUP($A4819,HeadJournal!$A$1:$NTR$890,COLUMN(HeadJournal!G$1),0),"")</f>
        <v>45831</v>
      </c>
      <c r="F4819" s="95" t="str">
        <f t="shared" si="364"/>
        <v>2025 06</v>
      </c>
      <c r="G4819" s="97" t="s">
        <v>8</v>
      </c>
      <c r="H4819" s="161" t="s">
        <v>3965</v>
      </c>
      <c r="I4819" s="97" t="s">
        <v>2243</v>
      </c>
      <c r="J4819" s="97" t="s">
        <v>3966</v>
      </c>
      <c r="K4819" s="29">
        <v>1662.6</v>
      </c>
      <c r="L4819" s="29">
        <v>-277.10000000000002</v>
      </c>
      <c r="M4819" s="30">
        <f>IFERROR(VLOOKUP($A4819,HeadJournal!$A$1:$J$890,COLUMN(HeadJournal!I$1),0)*($K4819+$L4819)/(SUMIF($A:$A,$A4819,$K:$K)+SUMIF($A:$A,$A4819,$L:$L)),0)</f>
        <v>0</v>
      </c>
      <c r="N4819" s="30">
        <f>IFERROR((VLOOKUP($A4819,HeadJournal!$A$1:$K$890,COLUMN(HeadJournal!K$1),0)-VLOOKUP($A4819,HeadJournal!$A$1:$K$890,COLUMN(HeadJournal!J$1),0))*($K4819+$L4819)/(SUMIF($A:$A,$A4819,$K:$K)+SUMIF($A:$A,$A4819,$L:$L)),0)</f>
        <v>0</v>
      </c>
      <c r="O4819" s="30">
        <f>IFERROR((VLOOKUP($A4819,HeadJournal!$A$1:$L$890,COLUMN(HeadJournal!L$1),0)*($K4819+$L4819)/(SUMIF($A:$A,$A4819,$K:$K)+SUMIF($A:$A,$A4819,$L:$L)))/VLOOKUP($A4819,HeadJournal!$A$1:$L$890,COLUMN(HeadJournal!H$1),0),0)</f>
        <v>149.5</v>
      </c>
      <c r="P4819" s="30">
        <f>IFERROR(SUM(K4819:O4819)*VLOOKUP($A4819,HeadJournal!$A$1:$L$890,COLUMN(HeadJournal!H$1),0),0)</f>
        <v>1535</v>
      </c>
      <c r="Q4819" s="29"/>
      <c r="R4819" s="31"/>
      <c r="S4819" s="31"/>
      <c r="T4819" s="95" t="str">
        <f t="shared" si="365"/>
        <v/>
      </c>
      <c r="U4819" s="32">
        <f t="shared" si="358"/>
        <v>-1535</v>
      </c>
      <c r="V4819" s="22" t="str">
        <f t="shared" si="359"/>
        <v/>
      </c>
      <c r="X4819" s="33"/>
      <c r="Y4819" s="33"/>
    </row>
    <row r="4820" spans="1:25" x14ac:dyDescent="0.2">
      <c r="A4820" s="93" t="s">
        <v>3955</v>
      </c>
      <c r="B4820" s="94" t="str">
        <f>IFERROR(VLOOKUP($A4820,HeadJournal!$A$1:$NTR$890,COLUMN(HeadJournal!B$1),0),"")</f>
        <v>1595049729</v>
      </c>
      <c r="C4820" s="94" t="str">
        <f>IFERROR(VLOOKUP($A4820,HeadJournal!$A$1:$NTR$890,COLUMN(HeadJournal!C$1),0),"")</f>
        <v>essens_OA</v>
      </c>
      <c r="D4820" s="125" t="str">
        <f>IFERROR(VLOOKUP($A4820,HeadJournal!$A$1:$NTR$890,COLUMN(HeadJournal!D$1),0),"")</f>
        <v>Доставлен</v>
      </c>
      <c r="E4820" s="95">
        <f>IFERROR(VLOOKUP($A4820,HeadJournal!$A$1:$NTR$890,COLUMN(HeadJournal!G$1),0),"")</f>
        <v>45831</v>
      </c>
      <c r="F4820" s="95" t="str">
        <f t="shared" si="364"/>
        <v>2025 06</v>
      </c>
      <c r="G4820" s="97" t="s">
        <v>8</v>
      </c>
      <c r="H4820" s="161" t="s">
        <v>3967</v>
      </c>
      <c r="I4820" s="97" t="s">
        <v>2243</v>
      </c>
      <c r="J4820" s="97" t="s">
        <v>3968</v>
      </c>
      <c r="K4820" s="29">
        <v>1662.6</v>
      </c>
      <c r="L4820" s="29">
        <v>-277.10000000000002</v>
      </c>
      <c r="M4820" s="30">
        <f>IFERROR(VLOOKUP($A4820,HeadJournal!$A$1:$J$890,COLUMN(HeadJournal!I$1),0)*($K4820+$L4820)/(SUMIF($A:$A,$A4820,$K:$K)+SUMIF($A:$A,$A4820,$L:$L)),0)</f>
        <v>0</v>
      </c>
      <c r="N4820" s="30">
        <f>IFERROR((VLOOKUP($A4820,HeadJournal!$A$1:$K$890,COLUMN(HeadJournal!K$1),0)-VLOOKUP($A4820,HeadJournal!$A$1:$K$890,COLUMN(HeadJournal!J$1),0))*($K4820+$L4820)/(SUMIF($A:$A,$A4820,$K:$K)+SUMIF($A:$A,$A4820,$L:$L)),0)</f>
        <v>0</v>
      </c>
      <c r="O4820" s="30">
        <f>IFERROR((VLOOKUP($A4820,HeadJournal!$A$1:$L$890,COLUMN(HeadJournal!L$1),0)*($K4820+$L4820)/(SUMIF($A:$A,$A4820,$K:$K)+SUMIF($A:$A,$A4820,$L:$L)))/VLOOKUP($A4820,HeadJournal!$A$1:$L$890,COLUMN(HeadJournal!H$1),0),0)</f>
        <v>149.5</v>
      </c>
      <c r="P4820" s="30">
        <f>IFERROR(SUM(K4820:O4820)*VLOOKUP($A4820,HeadJournal!$A$1:$L$890,COLUMN(HeadJournal!H$1),0),0)</f>
        <v>1535</v>
      </c>
      <c r="Q4820" s="29"/>
      <c r="R4820" s="31"/>
      <c r="S4820" s="31"/>
      <c r="T4820" s="95" t="str">
        <f t="shared" si="365"/>
        <v/>
      </c>
      <c r="U4820" s="32">
        <f t="shared" si="358"/>
        <v>-1535</v>
      </c>
      <c r="V4820" s="22" t="str">
        <f t="shared" si="359"/>
        <v/>
      </c>
      <c r="X4820" s="33"/>
      <c r="Y4820" s="33"/>
    </row>
    <row r="4821" spans="1:25" x14ac:dyDescent="0.2">
      <c r="A4821" s="93" t="s">
        <v>3955</v>
      </c>
      <c r="B4821" s="94" t="str">
        <f>IFERROR(VLOOKUP($A4821,HeadJournal!$A$1:$NTR$890,COLUMN(HeadJournal!B$1),0),"")</f>
        <v>1595049729</v>
      </c>
      <c r="C4821" s="94" t="str">
        <f>IFERROR(VLOOKUP($A4821,HeadJournal!$A$1:$NTR$890,COLUMN(HeadJournal!C$1),0),"")</f>
        <v>essens_OA</v>
      </c>
      <c r="D4821" s="125" t="str">
        <f>IFERROR(VLOOKUP($A4821,HeadJournal!$A$1:$NTR$890,COLUMN(HeadJournal!D$1),0),"")</f>
        <v>Доставлен</v>
      </c>
      <c r="E4821" s="95">
        <f>IFERROR(VLOOKUP($A4821,HeadJournal!$A$1:$NTR$890,COLUMN(HeadJournal!G$1),0),"")</f>
        <v>45831</v>
      </c>
      <c r="F4821" s="95" t="str">
        <f t="shared" si="364"/>
        <v>2025 06</v>
      </c>
      <c r="G4821" s="97" t="s">
        <v>8</v>
      </c>
      <c r="H4821" s="161" t="s">
        <v>3969</v>
      </c>
      <c r="I4821" s="97" t="s">
        <v>2243</v>
      </c>
      <c r="J4821" s="97" t="s">
        <v>3970</v>
      </c>
      <c r="K4821" s="29">
        <v>1662.6</v>
      </c>
      <c r="L4821" s="29">
        <v>-277.10000000000002</v>
      </c>
      <c r="M4821" s="30">
        <f>IFERROR(VLOOKUP($A4821,HeadJournal!$A$1:$J$890,COLUMN(HeadJournal!I$1),0)*($K4821+$L4821)/(SUMIF($A:$A,$A4821,$K:$K)+SUMIF($A:$A,$A4821,$L:$L)),0)</f>
        <v>0</v>
      </c>
      <c r="N4821" s="30">
        <f>IFERROR((VLOOKUP($A4821,HeadJournal!$A$1:$K$890,COLUMN(HeadJournal!K$1),0)-VLOOKUP($A4821,HeadJournal!$A$1:$K$890,COLUMN(HeadJournal!J$1),0))*($K4821+$L4821)/(SUMIF($A:$A,$A4821,$K:$K)+SUMIF($A:$A,$A4821,$L:$L)),0)</f>
        <v>0</v>
      </c>
      <c r="O4821" s="30">
        <f>IFERROR((VLOOKUP($A4821,HeadJournal!$A$1:$L$890,COLUMN(HeadJournal!L$1),0)*($K4821+$L4821)/(SUMIF($A:$A,$A4821,$K:$K)+SUMIF($A:$A,$A4821,$L:$L)))/VLOOKUP($A4821,HeadJournal!$A$1:$L$890,COLUMN(HeadJournal!H$1),0),0)</f>
        <v>149.5</v>
      </c>
      <c r="P4821" s="30">
        <f>IFERROR(SUM(K4821:O4821)*VLOOKUP($A4821,HeadJournal!$A$1:$L$890,COLUMN(HeadJournal!H$1),0),0)</f>
        <v>1535</v>
      </c>
      <c r="Q4821" s="29"/>
      <c r="R4821" s="31"/>
      <c r="S4821" s="31"/>
      <c r="T4821" s="95" t="str">
        <f t="shared" si="365"/>
        <v/>
      </c>
      <c r="U4821" s="32">
        <f t="shared" si="358"/>
        <v>-1535</v>
      </c>
      <c r="V4821" s="22" t="str">
        <f t="shared" si="359"/>
        <v/>
      </c>
      <c r="X4821" s="33"/>
      <c r="Y4821" s="33"/>
    </row>
    <row r="4822" spans="1:25" x14ac:dyDescent="0.2">
      <c r="A4822" s="93" t="s">
        <v>3955</v>
      </c>
      <c r="B4822" s="94" t="str">
        <f>IFERROR(VLOOKUP($A4822,HeadJournal!$A$1:$NTR$890,COLUMN(HeadJournal!B$1),0),"")</f>
        <v>1595049729</v>
      </c>
      <c r="C4822" s="94" t="str">
        <f>IFERROR(VLOOKUP($A4822,HeadJournal!$A$1:$NTR$890,COLUMN(HeadJournal!C$1),0),"")</f>
        <v>essens_OA</v>
      </c>
      <c r="D4822" s="125" t="str">
        <f>IFERROR(VLOOKUP($A4822,HeadJournal!$A$1:$NTR$890,COLUMN(HeadJournal!D$1),0),"")</f>
        <v>Доставлен</v>
      </c>
      <c r="E4822" s="95">
        <f>IFERROR(VLOOKUP($A4822,HeadJournal!$A$1:$NTR$890,COLUMN(HeadJournal!G$1),0),"")</f>
        <v>45831</v>
      </c>
      <c r="F4822" s="95" t="str">
        <f t="shared" si="364"/>
        <v>2025 06</v>
      </c>
      <c r="G4822" s="97" t="s">
        <v>8</v>
      </c>
      <c r="H4822" s="161" t="s">
        <v>3971</v>
      </c>
      <c r="I4822" s="97" t="s">
        <v>2243</v>
      </c>
      <c r="J4822" s="97" t="s">
        <v>3972</v>
      </c>
      <c r="K4822" s="29">
        <v>1662.6</v>
      </c>
      <c r="L4822" s="29">
        <v>-277.10000000000002</v>
      </c>
      <c r="M4822" s="30">
        <f>IFERROR(VLOOKUP($A4822,HeadJournal!$A$1:$J$890,COLUMN(HeadJournal!I$1),0)*($K4822+$L4822)/(SUMIF($A:$A,$A4822,$K:$K)+SUMIF($A:$A,$A4822,$L:$L)),0)</f>
        <v>0</v>
      </c>
      <c r="N4822" s="30">
        <f>IFERROR((VLOOKUP($A4822,HeadJournal!$A$1:$K$890,COLUMN(HeadJournal!K$1),0)-VLOOKUP($A4822,HeadJournal!$A$1:$K$890,COLUMN(HeadJournal!J$1),0))*($K4822+$L4822)/(SUMIF($A:$A,$A4822,$K:$K)+SUMIF($A:$A,$A4822,$L:$L)),0)</f>
        <v>0</v>
      </c>
      <c r="O4822" s="30">
        <f>IFERROR((VLOOKUP($A4822,HeadJournal!$A$1:$L$890,COLUMN(HeadJournal!L$1),0)*($K4822+$L4822)/(SUMIF($A:$A,$A4822,$K:$K)+SUMIF($A:$A,$A4822,$L:$L)))/VLOOKUP($A4822,HeadJournal!$A$1:$L$890,COLUMN(HeadJournal!H$1),0),0)</f>
        <v>149.5</v>
      </c>
      <c r="P4822" s="30">
        <f>IFERROR(SUM(K4822:O4822)*VLOOKUP($A4822,HeadJournal!$A$1:$L$890,COLUMN(HeadJournal!H$1),0),0)</f>
        <v>1535</v>
      </c>
      <c r="Q4822" s="29">
        <v>2600</v>
      </c>
      <c r="R4822" s="31">
        <v>45866</v>
      </c>
      <c r="S4822" s="31"/>
      <c r="T4822" s="95" t="str">
        <f t="shared" si="365"/>
        <v>2025 07</v>
      </c>
      <c r="U4822" s="32">
        <f t="shared" si="358"/>
        <v>1065</v>
      </c>
      <c r="V4822" s="22">
        <f t="shared" si="359"/>
        <v>0.69381107491856675</v>
      </c>
      <c r="X4822" s="33"/>
      <c r="Y4822" s="33"/>
    </row>
    <row r="4823" spans="1:25" x14ac:dyDescent="0.2">
      <c r="A4823" s="93" t="s">
        <v>3955</v>
      </c>
      <c r="B4823" s="94" t="str">
        <f>IFERROR(VLOOKUP($A4823,HeadJournal!$A$1:$NTR$890,COLUMN(HeadJournal!B$1),0),"")</f>
        <v>1595049729</v>
      </c>
      <c r="C4823" s="94" t="str">
        <f>IFERROR(VLOOKUP($A4823,HeadJournal!$A$1:$NTR$890,COLUMN(HeadJournal!C$1),0),"")</f>
        <v>essens_OA</v>
      </c>
      <c r="D4823" s="125" t="str">
        <f>IFERROR(VLOOKUP($A4823,HeadJournal!$A$1:$NTR$890,COLUMN(HeadJournal!D$1),0),"")</f>
        <v>Доставлен</v>
      </c>
      <c r="E4823" s="95">
        <f>IFERROR(VLOOKUP($A4823,HeadJournal!$A$1:$NTR$890,COLUMN(HeadJournal!G$1),0),"")</f>
        <v>45831</v>
      </c>
      <c r="F4823" s="95" t="str">
        <f t="shared" si="364"/>
        <v>2025 06</v>
      </c>
      <c r="G4823" s="97" t="s">
        <v>8</v>
      </c>
      <c r="H4823" s="161" t="s">
        <v>3973</v>
      </c>
      <c r="I4823" s="97" t="s">
        <v>2243</v>
      </c>
      <c r="J4823" s="97" t="s">
        <v>3974</v>
      </c>
      <c r="K4823" s="29">
        <v>1662.6</v>
      </c>
      <c r="L4823" s="29">
        <v>-277.10000000000002</v>
      </c>
      <c r="M4823" s="30">
        <f>IFERROR(VLOOKUP($A4823,HeadJournal!$A$1:$J$890,COLUMN(HeadJournal!I$1),0)*($K4823+$L4823)/(SUMIF($A:$A,$A4823,$K:$K)+SUMIF($A:$A,$A4823,$L:$L)),0)</f>
        <v>0</v>
      </c>
      <c r="N4823" s="30">
        <f>IFERROR((VLOOKUP($A4823,HeadJournal!$A$1:$K$890,COLUMN(HeadJournal!K$1),0)-VLOOKUP($A4823,HeadJournal!$A$1:$K$890,COLUMN(HeadJournal!J$1),0))*($K4823+$L4823)/(SUMIF($A:$A,$A4823,$K:$K)+SUMIF($A:$A,$A4823,$L:$L)),0)</f>
        <v>0</v>
      </c>
      <c r="O4823" s="30">
        <f>IFERROR((VLOOKUP($A4823,HeadJournal!$A$1:$L$890,COLUMN(HeadJournal!L$1),0)*($K4823+$L4823)/(SUMIF($A:$A,$A4823,$K:$K)+SUMIF($A:$A,$A4823,$L:$L)))/VLOOKUP($A4823,HeadJournal!$A$1:$L$890,COLUMN(HeadJournal!H$1),0),0)</f>
        <v>149.5</v>
      </c>
      <c r="P4823" s="30">
        <f>IFERROR(SUM(K4823:O4823)*VLOOKUP($A4823,HeadJournal!$A$1:$L$890,COLUMN(HeadJournal!H$1),0),0)</f>
        <v>1535</v>
      </c>
      <c r="Q4823" s="29"/>
      <c r="R4823" s="31"/>
      <c r="S4823" s="31"/>
      <c r="T4823" s="95" t="str">
        <f t="shared" si="365"/>
        <v/>
      </c>
      <c r="U4823" s="32">
        <f t="shared" si="358"/>
        <v>-1535</v>
      </c>
      <c r="V4823" s="22" t="str">
        <f t="shared" si="359"/>
        <v/>
      </c>
      <c r="X4823" s="33"/>
      <c r="Y4823" s="33"/>
    </row>
    <row r="4824" spans="1:25" x14ac:dyDescent="0.2">
      <c r="A4824" s="93" t="s">
        <v>3955</v>
      </c>
      <c r="B4824" s="94" t="str">
        <f>IFERROR(VLOOKUP($A4824,HeadJournal!$A$1:$NTR$890,COLUMN(HeadJournal!B$1),0),"")</f>
        <v>1595049729</v>
      </c>
      <c r="C4824" s="94" t="str">
        <f>IFERROR(VLOOKUP($A4824,HeadJournal!$A$1:$NTR$890,COLUMN(HeadJournal!C$1),0),"")</f>
        <v>essens_OA</v>
      </c>
      <c r="D4824" s="125" t="str">
        <f>IFERROR(VLOOKUP($A4824,HeadJournal!$A$1:$NTR$890,COLUMN(HeadJournal!D$1),0),"")</f>
        <v>Доставлен</v>
      </c>
      <c r="E4824" s="95">
        <f>IFERROR(VLOOKUP($A4824,HeadJournal!$A$1:$NTR$890,COLUMN(HeadJournal!G$1),0),"")</f>
        <v>45831</v>
      </c>
      <c r="F4824" s="95" t="str">
        <f t="shared" si="364"/>
        <v>2025 06</v>
      </c>
      <c r="G4824" s="97" t="s">
        <v>8</v>
      </c>
      <c r="H4824" s="161" t="s">
        <v>3976</v>
      </c>
      <c r="I4824" s="97" t="s">
        <v>2243</v>
      </c>
      <c r="J4824" s="97" t="s">
        <v>3975</v>
      </c>
      <c r="K4824" s="29">
        <v>1662.6</v>
      </c>
      <c r="L4824" s="29">
        <v>-277.10000000000002</v>
      </c>
      <c r="M4824" s="30">
        <f>IFERROR(VLOOKUP($A4824,HeadJournal!$A$1:$J$890,COLUMN(HeadJournal!I$1),0)*($K4824+$L4824)/(SUMIF($A:$A,$A4824,$K:$K)+SUMIF($A:$A,$A4824,$L:$L)),0)</f>
        <v>0</v>
      </c>
      <c r="N4824" s="30">
        <f>IFERROR((VLOOKUP($A4824,HeadJournal!$A$1:$K$890,COLUMN(HeadJournal!K$1),0)-VLOOKUP($A4824,HeadJournal!$A$1:$K$890,COLUMN(HeadJournal!J$1),0))*($K4824+$L4824)/(SUMIF($A:$A,$A4824,$K:$K)+SUMIF($A:$A,$A4824,$L:$L)),0)</f>
        <v>0</v>
      </c>
      <c r="O4824" s="30">
        <f>IFERROR((VLOOKUP($A4824,HeadJournal!$A$1:$L$890,COLUMN(HeadJournal!L$1),0)*($K4824+$L4824)/(SUMIF($A:$A,$A4824,$K:$K)+SUMIF($A:$A,$A4824,$L:$L)))/VLOOKUP($A4824,HeadJournal!$A$1:$L$890,COLUMN(HeadJournal!H$1),0),0)</f>
        <v>149.5</v>
      </c>
      <c r="P4824" s="30">
        <f>IFERROR(SUM(K4824:O4824)*VLOOKUP($A4824,HeadJournal!$A$1:$L$890,COLUMN(HeadJournal!H$1),0),0)</f>
        <v>1535</v>
      </c>
      <c r="Q4824" s="29"/>
      <c r="R4824" s="31"/>
      <c r="S4824" s="31"/>
      <c r="T4824" s="95" t="str">
        <f t="shared" si="365"/>
        <v/>
      </c>
      <c r="U4824" s="32">
        <f t="shared" si="358"/>
        <v>-1535</v>
      </c>
      <c r="V4824" s="22" t="str">
        <f t="shared" si="359"/>
        <v/>
      </c>
      <c r="X4824" s="33"/>
      <c r="Y4824" s="33"/>
    </row>
    <row r="4825" spans="1:25" x14ac:dyDescent="0.2">
      <c r="A4825" s="93" t="s">
        <v>3950</v>
      </c>
      <c r="B4825" s="94" t="str">
        <f>IFERROR(VLOOKUP($A4825,HeadJournal!$A$1:$NTR$890,COLUMN(HeadJournal!B$1),0),"")</f>
        <v>1595054059</v>
      </c>
      <c r="C4825" s="94" t="str">
        <f>IFERROR(VLOOKUP($A4825,HeadJournal!$A$1:$NTR$890,COLUMN(HeadJournal!C$1),0),"")</f>
        <v>essens_OA</v>
      </c>
      <c r="D4825" s="125" t="str">
        <f>IFERROR(VLOOKUP($A4825,HeadJournal!$A$1:$NTR$890,COLUMN(HeadJournal!D$1),0),"")</f>
        <v>Доставлен</v>
      </c>
      <c r="E4825" s="95">
        <f>IFERROR(VLOOKUP($A4825,HeadJournal!$A$1:$NTR$890,COLUMN(HeadJournal!G$1),0),"")</f>
        <v>45836</v>
      </c>
      <c r="F4825" s="95" t="str">
        <f t="shared" si="364"/>
        <v>2025 06</v>
      </c>
      <c r="G4825" s="97" t="s">
        <v>8</v>
      </c>
      <c r="H4825" s="161" t="s">
        <v>3981</v>
      </c>
      <c r="I4825" s="97" t="s">
        <v>2243</v>
      </c>
      <c r="J4825" s="97" t="s">
        <v>3977</v>
      </c>
      <c r="K4825" s="29">
        <v>1690</v>
      </c>
      <c r="L4825" s="29">
        <v>0</v>
      </c>
      <c r="M4825" s="30">
        <f>IFERROR(VLOOKUP($A4825,HeadJournal!$A$1:$J$890,COLUMN(HeadJournal!I$1),0)*($K4825+$L4825)/(SUMIF($A:$A,$A4825,$K:$K)+SUMIF($A:$A,$A4825,$L:$L)),0)</f>
        <v>0</v>
      </c>
      <c r="N4825" s="30">
        <f>IFERROR((VLOOKUP($A4825,HeadJournal!$A$1:$K$890,COLUMN(HeadJournal!K$1),0)-VLOOKUP($A4825,HeadJournal!$A$1:$K$890,COLUMN(HeadJournal!J$1),0))*($K4825+$L4825)/(SUMIF($A:$A,$A4825,$K:$K)+SUMIF($A:$A,$A4825,$L:$L)),0)</f>
        <v>0</v>
      </c>
      <c r="O4825" s="30">
        <f>IFERROR((VLOOKUP($A4825,HeadJournal!$A$1:$L$890,COLUMN(HeadJournal!L$1),0)*($K4825+$L4825)/(SUMIF($A:$A,$A4825,$K:$K)+SUMIF($A:$A,$A4825,$L:$L)))/VLOOKUP($A4825,HeadJournal!$A$1:$L$890,COLUMN(HeadJournal!H$1),0),0)</f>
        <v>18.333333333333332</v>
      </c>
      <c r="P4825" s="30">
        <f>IFERROR(SUM(K4825:O4825)*VLOOKUP($A4825,HeadJournal!$A$1:$L$890,COLUMN(HeadJournal!H$1),0),0)</f>
        <v>1708.3333333333333</v>
      </c>
      <c r="Q4825" s="29"/>
      <c r="R4825" s="31"/>
      <c r="S4825" s="31"/>
      <c r="T4825" s="95" t="str">
        <f t="shared" si="365"/>
        <v/>
      </c>
      <c r="U4825" s="32">
        <f t="shared" si="358"/>
        <v>-1708.3333333333333</v>
      </c>
      <c r="V4825" s="22" t="str">
        <f t="shared" si="359"/>
        <v/>
      </c>
      <c r="X4825" s="33"/>
      <c r="Y4825" s="33"/>
    </row>
    <row r="4826" spans="1:25" x14ac:dyDescent="0.2">
      <c r="A4826" s="93" t="s">
        <v>3950</v>
      </c>
      <c r="B4826" s="94" t="str">
        <f>IFERROR(VLOOKUP($A4826,HeadJournal!$A$1:$NTR$890,COLUMN(HeadJournal!B$1),0),"")</f>
        <v>1595054059</v>
      </c>
      <c r="C4826" s="94" t="str">
        <f>IFERROR(VLOOKUP($A4826,HeadJournal!$A$1:$NTR$890,COLUMN(HeadJournal!C$1),0),"")</f>
        <v>essens_OA</v>
      </c>
      <c r="D4826" s="125" t="str">
        <f>IFERROR(VLOOKUP($A4826,HeadJournal!$A$1:$NTR$890,COLUMN(HeadJournal!D$1),0),"")</f>
        <v>Доставлен</v>
      </c>
      <c r="E4826" s="95">
        <f>IFERROR(VLOOKUP($A4826,HeadJournal!$A$1:$NTR$890,COLUMN(HeadJournal!G$1),0),"")</f>
        <v>45836</v>
      </c>
      <c r="F4826" s="95" t="str">
        <f t="shared" si="364"/>
        <v>2025 06</v>
      </c>
      <c r="G4826" s="97" t="s">
        <v>8</v>
      </c>
      <c r="H4826" s="161" t="s">
        <v>3980</v>
      </c>
      <c r="I4826" s="97" t="s">
        <v>2243</v>
      </c>
      <c r="J4826" s="97" t="s">
        <v>3978</v>
      </c>
      <c r="K4826" s="29">
        <v>1690</v>
      </c>
      <c r="L4826" s="29">
        <v>0</v>
      </c>
      <c r="M4826" s="30">
        <f>IFERROR(VLOOKUP($A4826,HeadJournal!$A$1:$J$890,COLUMN(HeadJournal!I$1),0)*($K4826+$L4826)/(SUMIF($A:$A,$A4826,$K:$K)+SUMIF($A:$A,$A4826,$L:$L)),0)</f>
        <v>0</v>
      </c>
      <c r="N4826" s="30">
        <f>IFERROR((VLOOKUP($A4826,HeadJournal!$A$1:$K$890,COLUMN(HeadJournal!K$1),0)-VLOOKUP($A4826,HeadJournal!$A$1:$K$890,COLUMN(HeadJournal!J$1),0))*($K4826+$L4826)/(SUMIF($A:$A,$A4826,$K:$K)+SUMIF($A:$A,$A4826,$L:$L)),0)</f>
        <v>0</v>
      </c>
      <c r="O4826" s="30">
        <f>IFERROR((VLOOKUP($A4826,HeadJournal!$A$1:$L$890,COLUMN(HeadJournal!L$1),0)*($K4826+$L4826)/(SUMIF($A:$A,$A4826,$K:$K)+SUMIF($A:$A,$A4826,$L:$L)))/VLOOKUP($A4826,HeadJournal!$A$1:$L$890,COLUMN(HeadJournal!H$1),0),0)</f>
        <v>18.333333333333332</v>
      </c>
      <c r="P4826" s="30">
        <f>IFERROR(SUM(K4826:O4826)*VLOOKUP($A4826,HeadJournal!$A$1:$L$890,COLUMN(HeadJournal!H$1),0),0)</f>
        <v>1708.3333333333333</v>
      </c>
      <c r="Q4826" s="29">
        <v>2600</v>
      </c>
      <c r="R4826" s="31">
        <v>45866</v>
      </c>
      <c r="S4826" s="31"/>
      <c r="T4826" s="95" t="str">
        <f t="shared" si="365"/>
        <v>2025 07</v>
      </c>
      <c r="U4826" s="32">
        <f t="shared" si="358"/>
        <v>891.66666666666674</v>
      </c>
      <c r="V4826" s="22">
        <f t="shared" si="359"/>
        <v>0.52195121951219514</v>
      </c>
      <c r="X4826" s="33"/>
      <c r="Y4826" s="33"/>
    </row>
    <row r="4827" spans="1:25" x14ac:dyDescent="0.2">
      <c r="A4827" s="93" t="s">
        <v>3950</v>
      </c>
      <c r="B4827" s="94" t="str">
        <f>IFERROR(VLOOKUP($A4827,HeadJournal!$A$1:$NTR$890,COLUMN(HeadJournal!B$1),0),"")</f>
        <v>1595054059</v>
      </c>
      <c r="C4827" s="94" t="str">
        <f>IFERROR(VLOOKUP($A4827,HeadJournal!$A$1:$NTR$890,COLUMN(HeadJournal!C$1),0),"")</f>
        <v>essens_OA</v>
      </c>
      <c r="D4827" s="125" t="str">
        <f>IFERROR(VLOOKUP($A4827,HeadJournal!$A$1:$NTR$890,COLUMN(HeadJournal!D$1),0),"")</f>
        <v>Доставлен</v>
      </c>
      <c r="E4827" s="95">
        <f>IFERROR(VLOOKUP($A4827,HeadJournal!$A$1:$NTR$890,COLUMN(HeadJournal!G$1),0),"")</f>
        <v>45836</v>
      </c>
      <c r="F4827" s="95" t="str">
        <f t="shared" si="364"/>
        <v>2025 06</v>
      </c>
      <c r="G4827" s="97" t="s">
        <v>8</v>
      </c>
      <c r="H4827" s="161" t="s">
        <v>3982</v>
      </c>
      <c r="I4827" s="97" t="s">
        <v>2243</v>
      </c>
      <c r="J4827" s="97" t="s">
        <v>3979</v>
      </c>
      <c r="K4827" s="29">
        <v>1690</v>
      </c>
      <c r="L4827" s="29">
        <v>0</v>
      </c>
      <c r="M4827" s="30">
        <f>IFERROR(VLOOKUP($A4827,HeadJournal!$A$1:$J$890,COLUMN(HeadJournal!I$1),0)*($K4827+$L4827)/(SUMIF($A:$A,$A4827,$K:$K)+SUMIF($A:$A,$A4827,$L:$L)),0)</f>
        <v>0</v>
      </c>
      <c r="N4827" s="30">
        <f>IFERROR((VLOOKUP($A4827,HeadJournal!$A$1:$K$890,COLUMN(HeadJournal!K$1),0)-VLOOKUP($A4827,HeadJournal!$A$1:$K$890,COLUMN(HeadJournal!J$1),0))*($K4827+$L4827)/(SUMIF($A:$A,$A4827,$K:$K)+SUMIF($A:$A,$A4827,$L:$L)),0)</f>
        <v>0</v>
      </c>
      <c r="O4827" s="30">
        <f>IFERROR((VLOOKUP($A4827,HeadJournal!$A$1:$L$890,COLUMN(HeadJournal!L$1),0)*($K4827+$L4827)/(SUMIF($A:$A,$A4827,$K:$K)+SUMIF($A:$A,$A4827,$L:$L)))/VLOOKUP($A4827,HeadJournal!$A$1:$L$890,COLUMN(HeadJournal!H$1),0),0)</f>
        <v>18.333333333333332</v>
      </c>
      <c r="P4827" s="30">
        <f>IFERROR(SUM(K4827:O4827)*VLOOKUP($A4827,HeadJournal!$A$1:$L$890,COLUMN(HeadJournal!H$1),0),0)</f>
        <v>1708.3333333333333</v>
      </c>
      <c r="Q4827" s="29"/>
      <c r="R4827" s="31"/>
      <c r="S4827" s="31"/>
      <c r="T4827" s="95" t="str">
        <f t="shared" si="365"/>
        <v/>
      </c>
      <c r="U4827" s="32">
        <f t="shared" si="358"/>
        <v>-1708.3333333333333</v>
      </c>
      <c r="V4827" s="22" t="str">
        <f t="shared" si="359"/>
        <v/>
      </c>
      <c r="X4827" s="33"/>
      <c r="Y4827" s="33"/>
    </row>
    <row r="4828" spans="1:25" x14ac:dyDescent="0.2">
      <c r="A4828" s="93" t="s">
        <v>3983</v>
      </c>
      <c r="B4828" s="94">
        <f>IFERROR(VLOOKUP($A4828,HeadJournal!$A$1:$NTR$890,COLUMN(HeadJournal!B$1),0),"")</f>
        <v>0</v>
      </c>
      <c r="C4828" s="94" t="str">
        <f>IFERROR(VLOOKUP($A4828,HeadJournal!$A$1:$NTR$890,COLUMN(HeadJournal!C$1),0),"")</f>
        <v>AllexPost</v>
      </c>
      <c r="D4828" s="125" t="str">
        <f>IFERROR(VLOOKUP($A4828,HeadJournal!$A$1:$NTR$890,COLUMN(HeadJournal!D$1),0),"")</f>
        <v>Доставлен</v>
      </c>
      <c r="E4828" s="95">
        <f>IFERROR(VLOOKUP($A4828,HeadJournal!$A$1:$NTR$890,COLUMN(HeadJournal!G$1),0),"")</f>
        <v>45847</v>
      </c>
      <c r="F4828" s="95" t="str">
        <f t="shared" si="364"/>
        <v>2025 07</v>
      </c>
      <c r="G4828" s="97" t="s">
        <v>5</v>
      </c>
      <c r="H4828" s="161" t="s">
        <v>2051</v>
      </c>
      <c r="I4828" s="97" t="s">
        <v>2052</v>
      </c>
      <c r="J4828" s="97" t="s">
        <v>3097</v>
      </c>
      <c r="K4828" s="29">
        <f>12.215</f>
        <v>12.215</v>
      </c>
      <c r="L4828" s="29">
        <v>0</v>
      </c>
      <c r="M4828" s="30">
        <f>IFERROR(VLOOKUP($A4828,HeadJournal!$A$1:$J$890,COLUMN(HeadJournal!I$1),0)*($K4828+$L4828)/(SUMIF($A:$A,$A4828,$K:$K)+SUMIF($A:$A,$A4828,$L:$L)),0)</f>
        <v>0</v>
      </c>
      <c r="N4828" s="30">
        <f>IFERROR((VLOOKUP($A4828,HeadJournal!$A$1:$K$890,COLUMN(HeadJournal!K$1),0)-VLOOKUP($A4828,HeadJournal!$A$1:$K$890,COLUMN(HeadJournal!J$1),0))*($K4828+$L4828)/(SUMIF($A:$A,$A4828,$K:$K)+SUMIF($A:$A,$A4828,$L:$L)),0)</f>
        <v>-1.4210854715202001E-15</v>
      </c>
      <c r="O4828" s="30">
        <f>IFERROR((VLOOKUP($A4828,HeadJournal!$A$1:$L$890,COLUMN(HeadJournal!L$1),0)*($K4828+$L4828)/(SUMIF($A:$A,$A4828,$K:$K)+SUMIF($A:$A,$A4828,$L:$L)))/VLOOKUP($A4828,HeadJournal!$A$1:$L$890,COLUMN(HeadJournal!H$1),0),0)</f>
        <v>2.8004179728317653</v>
      </c>
      <c r="P4828" s="30">
        <f>IFERROR(SUM(K4828:O4828)*VLOOKUP($A4828,HeadJournal!$A$1:$L$890,COLUMN(HeadJournal!H$1),0),0)</f>
        <v>1436.9754999999998</v>
      </c>
      <c r="Q4828" s="29">
        <v>2350</v>
      </c>
      <c r="R4828" s="31">
        <v>45952</v>
      </c>
      <c r="S4828" s="31" t="s">
        <v>4641</v>
      </c>
      <c r="T4828" s="95" t="str">
        <f t="shared" si="365"/>
        <v>2025 10</v>
      </c>
      <c r="U4828" s="32">
        <f t="shared" si="358"/>
        <v>913.02450000000022</v>
      </c>
      <c r="V4828" s="22">
        <f t="shared" si="359"/>
        <v>0.63537930883303184</v>
      </c>
      <c r="X4828" s="33"/>
      <c r="Y4828" s="33"/>
    </row>
    <row r="4829" spans="1:25" x14ac:dyDescent="0.2">
      <c r="A4829" s="93" t="s">
        <v>3983</v>
      </c>
      <c r="B4829" s="94">
        <f>IFERROR(VLOOKUP($A4829,HeadJournal!$A$1:$NTR$890,COLUMN(HeadJournal!B$1),0),"")</f>
        <v>0</v>
      </c>
      <c r="C4829" s="94" t="str">
        <f>IFERROR(VLOOKUP($A4829,HeadJournal!$A$1:$NTR$890,COLUMN(HeadJournal!C$1),0),"")</f>
        <v>AllexPost</v>
      </c>
      <c r="D4829" s="125" t="str">
        <f>IFERROR(VLOOKUP($A4829,HeadJournal!$A$1:$NTR$890,COLUMN(HeadJournal!D$1),0),"")</f>
        <v>Доставлен</v>
      </c>
      <c r="E4829" s="95">
        <f>IFERROR(VLOOKUP($A4829,HeadJournal!$A$1:$NTR$890,COLUMN(HeadJournal!G$1),0),"")</f>
        <v>45847</v>
      </c>
      <c r="F4829" s="95" t="str">
        <f t="shared" si="364"/>
        <v>2025 07</v>
      </c>
      <c r="G4829" s="97" t="s">
        <v>5</v>
      </c>
      <c r="H4829" s="161" t="s">
        <v>2051</v>
      </c>
      <c r="I4829" s="97" t="s">
        <v>2052</v>
      </c>
      <c r="J4829" s="97" t="s">
        <v>3097</v>
      </c>
      <c r="K4829" s="29">
        <f t="shared" ref="K4829:K4837" si="366">12.215</f>
        <v>12.215</v>
      </c>
      <c r="L4829" s="29">
        <v>0</v>
      </c>
      <c r="M4829" s="30">
        <f>IFERROR(VLOOKUP($A4829,HeadJournal!$A$1:$J$890,COLUMN(HeadJournal!I$1),0)*($K4829+$L4829)/(SUMIF($A:$A,$A4829,$K:$K)+SUMIF($A:$A,$A4829,$L:$L)),0)</f>
        <v>0</v>
      </c>
      <c r="N4829" s="30">
        <f>IFERROR((VLOOKUP($A4829,HeadJournal!$A$1:$K$890,COLUMN(HeadJournal!K$1),0)-VLOOKUP($A4829,HeadJournal!$A$1:$K$890,COLUMN(HeadJournal!J$1),0))*($K4829+$L4829)/(SUMIF($A:$A,$A4829,$K:$K)+SUMIF($A:$A,$A4829,$L:$L)),0)</f>
        <v>-1.4210854715202001E-15</v>
      </c>
      <c r="O4829" s="30">
        <f>IFERROR((VLOOKUP($A4829,HeadJournal!$A$1:$L$890,COLUMN(HeadJournal!L$1),0)*($K4829+$L4829)/(SUMIF($A:$A,$A4829,$K:$K)+SUMIF($A:$A,$A4829,$L:$L)))/VLOOKUP($A4829,HeadJournal!$A$1:$L$890,COLUMN(HeadJournal!H$1),0),0)</f>
        <v>2.8004179728317653</v>
      </c>
      <c r="P4829" s="30">
        <f>IFERROR(SUM(K4829:O4829)*VLOOKUP($A4829,HeadJournal!$A$1:$L$890,COLUMN(HeadJournal!H$1),0),0)</f>
        <v>1436.9754999999998</v>
      </c>
      <c r="Q4829" s="29">
        <v>2300</v>
      </c>
      <c r="R4829" s="31">
        <v>45962</v>
      </c>
      <c r="S4829" s="31" t="s">
        <v>3252</v>
      </c>
      <c r="T4829" s="95" t="str">
        <f t="shared" si="365"/>
        <v>2025 11</v>
      </c>
      <c r="U4829" s="32">
        <f t="shared" si="358"/>
        <v>863.02450000000022</v>
      </c>
      <c r="V4829" s="22">
        <f t="shared" si="359"/>
        <v>0.60058400438977588</v>
      </c>
      <c r="X4829" s="33"/>
      <c r="Y4829" s="33"/>
    </row>
    <row r="4830" spans="1:25" x14ac:dyDescent="0.2">
      <c r="A4830" s="93" t="s">
        <v>3983</v>
      </c>
      <c r="B4830" s="94">
        <f>IFERROR(VLOOKUP($A4830,HeadJournal!$A$1:$NTR$890,COLUMN(HeadJournal!B$1),0),"")</f>
        <v>0</v>
      </c>
      <c r="C4830" s="94" t="str">
        <f>IFERROR(VLOOKUP($A4830,HeadJournal!$A$1:$NTR$890,COLUMN(HeadJournal!C$1),0),"")</f>
        <v>AllexPost</v>
      </c>
      <c r="D4830" s="125" t="str">
        <f>IFERROR(VLOOKUP($A4830,HeadJournal!$A$1:$NTR$890,COLUMN(HeadJournal!D$1),0),"")</f>
        <v>Доставлен</v>
      </c>
      <c r="E4830" s="95">
        <f>IFERROR(VLOOKUP($A4830,HeadJournal!$A$1:$NTR$890,COLUMN(HeadJournal!G$1),0),"")</f>
        <v>45847</v>
      </c>
      <c r="F4830" s="95" t="str">
        <f t="shared" si="364"/>
        <v>2025 07</v>
      </c>
      <c r="G4830" s="97" t="s">
        <v>5</v>
      </c>
      <c r="H4830" s="161" t="s">
        <v>2051</v>
      </c>
      <c r="I4830" s="97" t="s">
        <v>2052</v>
      </c>
      <c r="J4830" s="97" t="s">
        <v>3097</v>
      </c>
      <c r="K4830" s="29">
        <f t="shared" si="366"/>
        <v>12.215</v>
      </c>
      <c r="L4830" s="29">
        <v>0</v>
      </c>
      <c r="M4830" s="30">
        <f>IFERROR(VLOOKUP($A4830,HeadJournal!$A$1:$J$890,COLUMN(HeadJournal!I$1),0)*($K4830+$L4830)/(SUMIF($A:$A,$A4830,$K:$K)+SUMIF($A:$A,$A4830,$L:$L)),0)</f>
        <v>0</v>
      </c>
      <c r="N4830" s="30">
        <f>IFERROR((VLOOKUP($A4830,HeadJournal!$A$1:$K$890,COLUMN(HeadJournal!K$1),0)-VLOOKUP($A4830,HeadJournal!$A$1:$K$890,COLUMN(HeadJournal!J$1),0))*($K4830+$L4830)/(SUMIF($A:$A,$A4830,$K:$K)+SUMIF($A:$A,$A4830,$L:$L)),0)</f>
        <v>-1.4210854715202001E-15</v>
      </c>
      <c r="O4830" s="30">
        <f>IFERROR((VLOOKUP($A4830,HeadJournal!$A$1:$L$890,COLUMN(HeadJournal!L$1),0)*($K4830+$L4830)/(SUMIF($A:$A,$A4830,$K:$K)+SUMIF($A:$A,$A4830,$L:$L)))/VLOOKUP($A4830,HeadJournal!$A$1:$L$890,COLUMN(HeadJournal!H$1),0),0)</f>
        <v>2.8004179728317653</v>
      </c>
      <c r="P4830" s="30">
        <f>IFERROR(SUM(K4830:O4830)*VLOOKUP($A4830,HeadJournal!$A$1:$L$890,COLUMN(HeadJournal!H$1),0),0)</f>
        <v>1436.9754999999998</v>
      </c>
      <c r="Q4830" s="29">
        <v>2300</v>
      </c>
      <c r="R4830" s="31">
        <v>45976</v>
      </c>
      <c r="S4830" s="31" t="s">
        <v>3252</v>
      </c>
      <c r="T4830" s="95" t="str">
        <f t="shared" si="365"/>
        <v>2025 11</v>
      </c>
      <c r="U4830" s="32">
        <f t="shared" si="358"/>
        <v>863.02450000000022</v>
      </c>
      <c r="V4830" s="22">
        <f t="shared" si="359"/>
        <v>0.60058400438977588</v>
      </c>
      <c r="X4830" s="33"/>
      <c r="Y4830" s="33"/>
    </row>
    <row r="4831" spans="1:25" x14ac:dyDescent="0.2">
      <c r="A4831" s="93" t="s">
        <v>3983</v>
      </c>
      <c r="B4831" s="94">
        <f>IFERROR(VLOOKUP($A4831,HeadJournal!$A$1:$NTR$890,COLUMN(HeadJournal!B$1),0),"")</f>
        <v>0</v>
      </c>
      <c r="C4831" s="94" t="str">
        <f>IFERROR(VLOOKUP($A4831,HeadJournal!$A$1:$NTR$890,COLUMN(HeadJournal!C$1),0),"")</f>
        <v>AllexPost</v>
      </c>
      <c r="D4831" s="125" t="str">
        <f>IFERROR(VLOOKUP($A4831,HeadJournal!$A$1:$NTR$890,COLUMN(HeadJournal!D$1),0),"")</f>
        <v>Доставлен</v>
      </c>
      <c r="E4831" s="95">
        <f>IFERROR(VLOOKUP($A4831,HeadJournal!$A$1:$NTR$890,COLUMN(HeadJournal!G$1),0),"")</f>
        <v>45847</v>
      </c>
      <c r="F4831" s="95" t="str">
        <f t="shared" si="364"/>
        <v>2025 07</v>
      </c>
      <c r="G4831" s="97" t="s">
        <v>5</v>
      </c>
      <c r="H4831" s="161" t="s">
        <v>2051</v>
      </c>
      <c r="I4831" s="97" t="s">
        <v>2052</v>
      </c>
      <c r="J4831" s="97" t="s">
        <v>3097</v>
      </c>
      <c r="K4831" s="29">
        <f t="shared" si="366"/>
        <v>12.215</v>
      </c>
      <c r="L4831" s="29">
        <v>0</v>
      </c>
      <c r="M4831" s="30">
        <f>IFERROR(VLOOKUP($A4831,HeadJournal!$A$1:$J$890,COLUMN(HeadJournal!I$1),0)*($K4831+$L4831)/(SUMIF($A:$A,$A4831,$K:$K)+SUMIF($A:$A,$A4831,$L:$L)),0)</f>
        <v>0</v>
      </c>
      <c r="N4831" s="30">
        <f>IFERROR((VLOOKUP($A4831,HeadJournal!$A$1:$K$890,COLUMN(HeadJournal!K$1),0)-VLOOKUP($A4831,HeadJournal!$A$1:$K$890,COLUMN(HeadJournal!J$1),0))*($K4831+$L4831)/(SUMIF($A:$A,$A4831,$K:$K)+SUMIF($A:$A,$A4831,$L:$L)),0)</f>
        <v>-1.4210854715202001E-15</v>
      </c>
      <c r="O4831" s="30">
        <f>IFERROR((VLOOKUP($A4831,HeadJournal!$A$1:$L$890,COLUMN(HeadJournal!L$1),0)*($K4831+$L4831)/(SUMIF($A:$A,$A4831,$K:$K)+SUMIF($A:$A,$A4831,$L:$L)))/VLOOKUP($A4831,HeadJournal!$A$1:$L$890,COLUMN(HeadJournal!H$1),0),0)</f>
        <v>2.8004179728317653</v>
      </c>
      <c r="P4831" s="30">
        <f>IFERROR(SUM(K4831:O4831)*VLOOKUP($A4831,HeadJournal!$A$1:$L$890,COLUMN(HeadJournal!H$1),0),0)</f>
        <v>1436.9754999999998</v>
      </c>
      <c r="Q4831" s="29">
        <v>2300</v>
      </c>
      <c r="R4831" s="31">
        <v>45976</v>
      </c>
      <c r="S4831" s="31" t="s">
        <v>3252</v>
      </c>
      <c r="T4831" s="95" t="str">
        <f t="shared" si="365"/>
        <v>2025 11</v>
      </c>
      <c r="U4831" s="32">
        <f t="shared" si="358"/>
        <v>863.02450000000022</v>
      </c>
      <c r="V4831" s="22">
        <f t="shared" si="359"/>
        <v>0.60058400438977588</v>
      </c>
      <c r="X4831" s="33"/>
      <c r="Y4831" s="33"/>
    </row>
    <row r="4832" spans="1:25" x14ac:dyDescent="0.2">
      <c r="A4832" s="93" t="s">
        <v>3983</v>
      </c>
      <c r="B4832" s="94">
        <f>IFERROR(VLOOKUP($A4832,HeadJournal!$A$1:$NTR$890,COLUMN(HeadJournal!B$1),0),"")</f>
        <v>0</v>
      </c>
      <c r="C4832" s="94" t="str">
        <f>IFERROR(VLOOKUP($A4832,HeadJournal!$A$1:$NTR$890,COLUMN(HeadJournal!C$1),0),"")</f>
        <v>AllexPost</v>
      </c>
      <c r="D4832" s="125" t="str">
        <f>IFERROR(VLOOKUP($A4832,HeadJournal!$A$1:$NTR$890,COLUMN(HeadJournal!D$1),0),"")</f>
        <v>Доставлен</v>
      </c>
      <c r="E4832" s="95">
        <f>IFERROR(VLOOKUP($A4832,HeadJournal!$A$1:$NTR$890,COLUMN(HeadJournal!G$1),0),"")</f>
        <v>45847</v>
      </c>
      <c r="F4832" s="95" t="str">
        <f t="shared" si="364"/>
        <v>2025 07</v>
      </c>
      <c r="G4832" s="97" t="s">
        <v>5</v>
      </c>
      <c r="H4832" s="161" t="s">
        <v>2051</v>
      </c>
      <c r="I4832" s="97" t="s">
        <v>2052</v>
      </c>
      <c r="J4832" s="97" t="s">
        <v>3097</v>
      </c>
      <c r="K4832" s="29">
        <f t="shared" si="366"/>
        <v>12.215</v>
      </c>
      <c r="L4832" s="29">
        <v>0</v>
      </c>
      <c r="M4832" s="30">
        <f>IFERROR(VLOOKUP($A4832,HeadJournal!$A$1:$J$890,COLUMN(HeadJournal!I$1),0)*($K4832+$L4832)/(SUMIF($A:$A,$A4832,$K:$K)+SUMIF($A:$A,$A4832,$L:$L)),0)</f>
        <v>0</v>
      </c>
      <c r="N4832" s="30">
        <f>IFERROR((VLOOKUP($A4832,HeadJournal!$A$1:$K$890,COLUMN(HeadJournal!K$1),0)-VLOOKUP($A4832,HeadJournal!$A$1:$K$890,COLUMN(HeadJournal!J$1),0))*($K4832+$L4832)/(SUMIF($A:$A,$A4832,$K:$K)+SUMIF($A:$A,$A4832,$L:$L)),0)</f>
        <v>-1.4210854715202001E-15</v>
      </c>
      <c r="O4832" s="30">
        <f>IFERROR((VLOOKUP($A4832,HeadJournal!$A$1:$L$890,COLUMN(HeadJournal!L$1),0)*($K4832+$L4832)/(SUMIF($A:$A,$A4832,$K:$K)+SUMIF($A:$A,$A4832,$L:$L)))/VLOOKUP($A4832,HeadJournal!$A$1:$L$890,COLUMN(HeadJournal!H$1),0),0)</f>
        <v>2.8004179728317653</v>
      </c>
      <c r="P4832" s="30">
        <f>IFERROR(SUM(K4832:O4832)*VLOOKUP($A4832,HeadJournal!$A$1:$L$890,COLUMN(HeadJournal!H$1),0),0)</f>
        <v>1436.9754999999998</v>
      </c>
      <c r="Q4832" s="29">
        <v>2400</v>
      </c>
      <c r="R4832" s="31">
        <v>45979</v>
      </c>
      <c r="S4832" s="31"/>
      <c r="T4832" s="95" t="str">
        <f t="shared" si="365"/>
        <v>2025 11</v>
      </c>
      <c r="U4832" s="32">
        <f t="shared" si="358"/>
        <v>963.02450000000022</v>
      </c>
      <c r="V4832" s="22">
        <f t="shared" si="359"/>
        <v>0.6701746132762878</v>
      </c>
      <c r="X4832" s="33"/>
      <c r="Y4832" s="33"/>
    </row>
    <row r="4833" spans="1:25" x14ac:dyDescent="0.2">
      <c r="A4833" s="93" t="s">
        <v>3983</v>
      </c>
      <c r="B4833" s="94">
        <f>IFERROR(VLOOKUP($A4833,HeadJournal!$A$1:$NTR$890,COLUMN(HeadJournal!B$1),0),"")</f>
        <v>0</v>
      </c>
      <c r="C4833" s="94" t="str">
        <f>IFERROR(VLOOKUP($A4833,HeadJournal!$A$1:$NTR$890,COLUMN(HeadJournal!C$1),0),"")</f>
        <v>AllexPost</v>
      </c>
      <c r="D4833" s="125" t="str">
        <f>IFERROR(VLOOKUP($A4833,HeadJournal!$A$1:$NTR$890,COLUMN(HeadJournal!D$1),0),"")</f>
        <v>Доставлен</v>
      </c>
      <c r="E4833" s="95">
        <f>IFERROR(VLOOKUP($A4833,HeadJournal!$A$1:$NTR$890,COLUMN(HeadJournal!G$1),0),"")</f>
        <v>45847</v>
      </c>
      <c r="F4833" s="95" t="str">
        <f t="shared" si="364"/>
        <v>2025 07</v>
      </c>
      <c r="G4833" s="97" t="s">
        <v>5</v>
      </c>
      <c r="H4833" s="161" t="s">
        <v>2051</v>
      </c>
      <c r="I4833" s="97" t="s">
        <v>2052</v>
      </c>
      <c r="J4833" s="97" t="s">
        <v>3097</v>
      </c>
      <c r="K4833" s="29">
        <f t="shared" si="366"/>
        <v>12.215</v>
      </c>
      <c r="L4833" s="29">
        <v>0</v>
      </c>
      <c r="M4833" s="30">
        <f>IFERROR(VLOOKUP($A4833,HeadJournal!$A$1:$J$890,COLUMN(HeadJournal!I$1),0)*($K4833+$L4833)/(SUMIF($A:$A,$A4833,$K:$K)+SUMIF($A:$A,$A4833,$L:$L)),0)</f>
        <v>0</v>
      </c>
      <c r="N4833" s="30">
        <f>IFERROR((VLOOKUP($A4833,HeadJournal!$A$1:$K$890,COLUMN(HeadJournal!K$1),0)-VLOOKUP($A4833,HeadJournal!$A$1:$K$890,COLUMN(HeadJournal!J$1),0))*($K4833+$L4833)/(SUMIF($A:$A,$A4833,$K:$K)+SUMIF($A:$A,$A4833,$L:$L)),0)</f>
        <v>-1.4210854715202001E-15</v>
      </c>
      <c r="O4833" s="30">
        <f>IFERROR((VLOOKUP($A4833,HeadJournal!$A$1:$L$890,COLUMN(HeadJournal!L$1),0)*($K4833+$L4833)/(SUMIF($A:$A,$A4833,$K:$K)+SUMIF($A:$A,$A4833,$L:$L)))/VLOOKUP($A4833,HeadJournal!$A$1:$L$890,COLUMN(HeadJournal!H$1),0),0)</f>
        <v>2.8004179728317653</v>
      </c>
      <c r="P4833" s="30">
        <f>IFERROR(SUM(K4833:O4833)*VLOOKUP($A4833,HeadJournal!$A$1:$L$890,COLUMN(HeadJournal!H$1),0),0)</f>
        <v>1436.9754999999998</v>
      </c>
      <c r="Q4833" s="29">
        <v>2400</v>
      </c>
      <c r="R4833" s="31">
        <v>45980</v>
      </c>
      <c r="S4833" s="31" t="s">
        <v>3220</v>
      </c>
      <c r="T4833" s="95" t="str">
        <f t="shared" si="365"/>
        <v>2025 11</v>
      </c>
      <c r="U4833" s="32">
        <f t="shared" si="358"/>
        <v>963.02450000000022</v>
      </c>
      <c r="V4833" s="22">
        <f t="shared" si="359"/>
        <v>0.6701746132762878</v>
      </c>
      <c r="X4833" s="33"/>
      <c r="Y4833" s="33"/>
    </row>
    <row r="4834" spans="1:25" x14ac:dyDescent="0.2">
      <c r="A4834" s="93" t="s">
        <v>3983</v>
      </c>
      <c r="B4834" s="94">
        <f>IFERROR(VLOOKUP($A4834,HeadJournal!$A$1:$NTR$890,COLUMN(HeadJournal!B$1),0),"")</f>
        <v>0</v>
      </c>
      <c r="C4834" s="94" t="str">
        <f>IFERROR(VLOOKUP($A4834,HeadJournal!$A$1:$NTR$890,COLUMN(HeadJournal!C$1),0),"")</f>
        <v>AllexPost</v>
      </c>
      <c r="D4834" s="125" t="str">
        <f>IFERROR(VLOOKUP($A4834,HeadJournal!$A$1:$NTR$890,COLUMN(HeadJournal!D$1),0),"")</f>
        <v>Доставлен</v>
      </c>
      <c r="E4834" s="95">
        <f>IFERROR(VLOOKUP($A4834,HeadJournal!$A$1:$NTR$890,COLUMN(HeadJournal!G$1),0),"")</f>
        <v>45847</v>
      </c>
      <c r="F4834" s="95" t="str">
        <f t="shared" si="364"/>
        <v>2025 07</v>
      </c>
      <c r="G4834" s="97" t="s">
        <v>5</v>
      </c>
      <c r="H4834" s="161" t="s">
        <v>2051</v>
      </c>
      <c r="I4834" s="97" t="s">
        <v>2052</v>
      </c>
      <c r="J4834" s="97" t="s">
        <v>3097</v>
      </c>
      <c r="K4834" s="29">
        <f t="shared" si="366"/>
        <v>12.215</v>
      </c>
      <c r="L4834" s="29">
        <v>0</v>
      </c>
      <c r="M4834" s="30">
        <f>IFERROR(VLOOKUP($A4834,HeadJournal!$A$1:$J$890,COLUMN(HeadJournal!I$1),0)*($K4834+$L4834)/(SUMIF($A:$A,$A4834,$K:$K)+SUMIF($A:$A,$A4834,$L:$L)),0)</f>
        <v>0</v>
      </c>
      <c r="N4834" s="30">
        <f>IFERROR((VLOOKUP($A4834,HeadJournal!$A$1:$K$890,COLUMN(HeadJournal!K$1),0)-VLOOKUP($A4834,HeadJournal!$A$1:$K$890,COLUMN(HeadJournal!J$1),0))*($K4834+$L4834)/(SUMIF($A:$A,$A4834,$K:$K)+SUMIF($A:$A,$A4834,$L:$L)),0)</f>
        <v>-1.4210854715202001E-15</v>
      </c>
      <c r="O4834" s="30">
        <f>IFERROR((VLOOKUP($A4834,HeadJournal!$A$1:$L$890,COLUMN(HeadJournal!L$1),0)*($K4834+$L4834)/(SUMIF($A:$A,$A4834,$K:$K)+SUMIF($A:$A,$A4834,$L:$L)))/VLOOKUP($A4834,HeadJournal!$A$1:$L$890,COLUMN(HeadJournal!H$1),0),0)</f>
        <v>2.8004179728317653</v>
      </c>
      <c r="P4834" s="30">
        <f>IFERROR(SUM(K4834:O4834)*VLOOKUP($A4834,HeadJournal!$A$1:$L$890,COLUMN(HeadJournal!H$1),0),0)</f>
        <v>1436.9754999999998</v>
      </c>
      <c r="Q4834" s="29">
        <v>2300</v>
      </c>
      <c r="R4834" s="31">
        <v>46002</v>
      </c>
      <c r="S4834" s="31" t="s">
        <v>4627</v>
      </c>
      <c r="T4834" s="95" t="str">
        <f t="shared" si="365"/>
        <v>2025 12</v>
      </c>
      <c r="U4834" s="32">
        <f t="shared" si="358"/>
        <v>863.02450000000022</v>
      </c>
      <c r="V4834" s="22">
        <f t="shared" si="359"/>
        <v>0.60058400438977588</v>
      </c>
      <c r="X4834" s="33"/>
      <c r="Y4834" s="33"/>
    </row>
    <row r="4835" spans="1:25" x14ac:dyDescent="0.2">
      <c r="A4835" s="93" t="s">
        <v>3983</v>
      </c>
      <c r="B4835" s="94">
        <f>IFERROR(VLOOKUP($A4835,HeadJournal!$A$1:$NTR$890,COLUMN(HeadJournal!B$1),0),"")</f>
        <v>0</v>
      </c>
      <c r="C4835" s="94" t="str">
        <f>IFERROR(VLOOKUP($A4835,HeadJournal!$A$1:$NTR$890,COLUMN(HeadJournal!C$1),0),"")</f>
        <v>AllexPost</v>
      </c>
      <c r="D4835" s="125" t="str">
        <f>IFERROR(VLOOKUP($A4835,HeadJournal!$A$1:$NTR$890,COLUMN(HeadJournal!D$1),0),"")</f>
        <v>Доставлен</v>
      </c>
      <c r="E4835" s="95">
        <f>IFERROR(VLOOKUP($A4835,HeadJournal!$A$1:$NTR$890,COLUMN(HeadJournal!G$1),0),"")</f>
        <v>45847</v>
      </c>
      <c r="F4835" s="95" t="str">
        <f t="shared" si="364"/>
        <v>2025 07</v>
      </c>
      <c r="G4835" s="97" t="s">
        <v>5</v>
      </c>
      <c r="H4835" s="161" t="s">
        <v>2051</v>
      </c>
      <c r="I4835" s="97" t="s">
        <v>2052</v>
      </c>
      <c r="J4835" s="97" t="s">
        <v>3097</v>
      </c>
      <c r="K4835" s="29">
        <f t="shared" si="366"/>
        <v>12.215</v>
      </c>
      <c r="L4835" s="29">
        <v>0</v>
      </c>
      <c r="M4835" s="30">
        <f>IFERROR(VLOOKUP($A4835,HeadJournal!$A$1:$J$890,COLUMN(HeadJournal!I$1),0)*($K4835+$L4835)/(SUMIF($A:$A,$A4835,$K:$K)+SUMIF($A:$A,$A4835,$L:$L)),0)</f>
        <v>0</v>
      </c>
      <c r="N4835" s="30">
        <f>IFERROR((VLOOKUP($A4835,HeadJournal!$A$1:$K$890,COLUMN(HeadJournal!K$1),0)-VLOOKUP($A4835,HeadJournal!$A$1:$K$890,COLUMN(HeadJournal!J$1),0))*($K4835+$L4835)/(SUMIF($A:$A,$A4835,$K:$K)+SUMIF($A:$A,$A4835,$L:$L)),0)</f>
        <v>-1.4210854715202001E-15</v>
      </c>
      <c r="O4835" s="30">
        <f>IFERROR((VLOOKUP($A4835,HeadJournal!$A$1:$L$890,COLUMN(HeadJournal!L$1),0)*($K4835+$L4835)/(SUMIF($A:$A,$A4835,$K:$K)+SUMIF($A:$A,$A4835,$L:$L)))/VLOOKUP($A4835,HeadJournal!$A$1:$L$890,COLUMN(HeadJournal!H$1),0),0)</f>
        <v>2.8004179728317653</v>
      </c>
      <c r="P4835" s="30">
        <f>IFERROR(SUM(K4835:O4835)*VLOOKUP($A4835,HeadJournal!$A$1:$L$890,COLUMN(HeadJournal!H$1),0),0)</f>
        <v>1436.9754999999998</v>
      </c>
      <c r="Q4835" s="29">
        <v>2400</v>
      </c>
      <c r="R4835" s="31">
        <v>46019</v>
      </c>
      <c r="S4835" s="31" t="s">
        <v>3252</v>
      </c>
      <c r="T4835" s="95" t="str">
        <f t="shared" si="365"/>
        <v>2025 12</v>
      </c>
      <c r="U4835" s="32">
        <f t="shared" si="358"/>
        <v>963.02450000000022</v>
      </c>
      <c r="V4835" s="22">
        <f t="shared" si="359"/>
        <v>0.6701746132762878</v>
      </c>
      <c r="X4835" s="33"/>
      <c r="Y4835" s="33"/>
    </row>
    <row r="4836" spans="1:25" x14ac:dyDescent="0.2">
      <c r="A4836" s="93" t="s">
        <v>3983</v>
      </c>
      <c r="B4836" s="94">
        <f>IFERROR(VLOOKUP($A4836,HeadJournal!$A$1:$NTR$890,COLUMN(HeadJournal!B$1),0),"")</f>
        <v>0</v>
      </c>
      <c r="C4836" s="94" t="str">
        <f>IFERROR(VLOOKUP($A4836,HeadJournal!$A$1:$NTR$890,COLUMN(HeadJournal!C$1),0),"")</f>
        <v>AllexPost</v>
      </c>
      <c r="D4836" s="125" t="str">
        <f>IFERROR(VLOOKUP($A4836,HeadJournal!$A$1:$NTR$890,COLUMN(HeadJournal!D$1),0),"")</f>
        <v>Доставлен</v>
      </c>
      <c r="E4836" s="95">
        <f>IFERROR(VLOOKUP($A4836,HeadJournal!$A$1:$NTR$890,COLUMN(HeadJournal!G$1),0),"")</f>
        <v>45847</v>
      </c>
      <c r="F4836" s="95" t="str">
        <f t="shared" si="364"/>
        <v>2025 07</v>
      </c>
      <c r="G4836" s="97" t="s">
        <v>5</v>
      </c>
      <c r="H4836" s="161" t="s">
        <v>2051</v>
      </c>
      <c r="I4836" s="97" t="s">
        <v>2052</v>
      </c>
      <c r="J4836" s="97" t="s">
        <v>3097</v>
      </c>
      <c r="K4836" s="29">
        <f t="shared" si="366"/>
        <v>12.215</v>
      </c>
      <c r="L4836" s="29">
        <v>0</v>
      </c>
      <c r="M4836" s="30">
        <f>IFERROR(VLOOKUP($A4836,HeadJournal!$A$1:$J$890,COLUMN(HeadJournal!I$1),0)*($K4836+$L4836)/(SUMIF($A:$A,$A4836,$K:$K)+SUMIF($A:$A,$A4836,$L:$L)),0)</f>
        <v>0</v>
      </c>
      <c r="N4836" s="30">
        <f>IFERROR((VLOOKUP($A4836,HeadJournal!$A$1:$K$890,COLUMN(HeadJournal!K$1),0)-VLOOKUP($A4836,HeadJournal!$A$1:$K$890,COLUMN(HeadJournal!J$1),0))*($K4836+$L4836)/(SUMIF($A:$A,$A4836,$K:$K)+SUMIF($A:$A,$A4836,$L:$L)),0)</f>
        <v>-1.4210854715202001E-15</v>
      </c>
      <c r="O4836" s="30">
        <f>IFERROR((VLOOKUP($A4836,HeadJournal!$A$1:$L$890,COLUMN(HeadJournal!L$1),0)*($K4836+$L4836)/(SUMIF($A:$A,$A4836,$K:$K)+SUMIF($A:$A,$A4836,$L:$L)))/VLOOKUP($A4836,HeadJournal!$A$1:$L$890,COLUMN(HeadJournal!H$1),0),0)</f>
        <v>2.8004179728317653</v>
      </c>
      <c r="P4836" s="30">
        <f>IFERROR(SUM(K4836:O4836)*VLOOKUP($A4836,HeadJournal!$A$1:$L$890,COLUMN(HeadJournal!H$1),0),0)</f>
        <v>1436.9754999999998</v>
      </c>
      <c r="Q4836" s="29">
        <v>2400</v>
      </c>
      <c r="R4836" s="31">
        <v>46019</v>
      </c>
      <c r="S4836" s="31" t="s">
        <v>3252</v>
      </c>
      <c r="T4836" s="95" t="str">
        <f t="shared" si="365"/>
        <v>2025 12</v>
      </c>
      <c r="U4836" s="32">
        <f t="shared" si="358"/>
        <v>963.02450000000022</v>
      </c>
      <c r="V4836" s="22">
        <f t="shared" si="359"/>
        <v>0.6701746132762878</v>
      </c>
      <c r="X4836" s="33"/>
      <c r="Y4836" s="33"/>
    </row>
    <row r="4837" spans="1:25" x14ac:dyDescent="0.2">
      <c r="A4837" s="93" t="s">
        <v>3983</v>
      </c>
      <c r="B4837" s="94">
        <f>IFERROR(VLOOKUP($A4837,HeadJournal!$A$1:$NTR$890,COLUMN(HeadJournal!B$1),0),"")</f>
        <v>0</v>
      </c>
      <c r="C4837" s="94" t="str">
        <f>IFERROR(VLOOKUP($A4837,HeadJournal!$A$1:$NTR$890,COLUMN(HeadJournal!C$1),0),"")</f>
        <v>AllexPost</v>
      </c>
      <c r="D4837" s="125" t="str">
        <f>IFERROR(VLOOKUP($A4837,HeadJournal!$A$1:$NTR$890,COLUMN(HeadJournal!D$1),0),"")</f>
        <v>Доставлен</v>
      </c>
      <c r="E4837" s="95">
        <f>IFERROR(VLOOKUP($A4837,HeadJournal!$A$1:$NTR$890,COLUMN(HeadJournal!G$1),0),"")</f>
        <v>45847</v>
      </c>
      <c r="F4837" s="95" t="str">
        <f t="shared" si="364"/>
        <v>2025 07</v>
      </c>
      <c r="G4837" s="97" t="s">
        <v>5</v>
      </c>
      <c r="H4837" s="161" t="s">
        <v>2051</v>
      </c>
      <c r="I4837" s="97" t="s">
        <v>2052</v>
      </c>
      <c r="J4837" s="97" t="s">
        <v>3097</v>
      </c>
      <c r="K4837" s="29">
        <f t="shared" si="366"/>
        <v>12.215</v>
      </c>
      <c r="L4837" s="29">
        <v>0</v>
      </c>
      <c r="M4837" s="30">
        <f>IFERROR(VLOOKUP($A4837,HeadJournal!$A$1:$J$890,COLUMN(HeadJournal!I$1),0)*($K4837+$L4837)/(SUMIF($A:$A,$A4837,$K:$K)+SUMIF($A:$A,$A4837,$L:$L)),0)</f>
        <v>0</v>
      </c>
      <c r="N4837" s="30">
        <f>IFERROR((VLOOKUP($A4837,HeadJournal!$A$1:$K$890,COLUMN(HeadJournal!K$1),0)-VLOOKUP($A4837,HeadJournal!$A$1:$K$890,COLUMN(HeadJournal!J$1),0))*($K4837+$L4837)/(SUMIF($A:$A,$A4837,$K:$K)+SUMIF($A:$A,$A4837,$L:$L)),0)</f>
        <v>-1.4210854715202001E-15</v>
      </c>
      <c r="O4837" s="30">
        <f>IFERROR((VLOOKUP($A4837,HeadJournal!$A$1:$L$890,COLUMN(HeadJournal!L$1),0)*($K4837+$L4837)/(SUMIF($A:$A,$A4837,$K:$K)+SUMIF($A:$A,$A4837,$L:$L)))/VLOOKUP($A4837,HeadJournal!$A$1:$L$890,COLUMN(HeadJournal!H$1),0),0)</f>
        <v>2.8004179728317653</v>
      </c>
      <c r="P4837" s="30">
        <f>IFERROR(SUM(K4837:O4837)*VLOOKUP($A4837,HeadJournal!$A$1:$L$890,COLUMN(HeadJournal!H$1),0),0)</f>
        <v>1436.9754999999998</v>
      </c>
      <c r="Q4837" s="29">
        <v>2500</v>
      </c>
      <c r="R4837" s="31">
        <v>46069</v>
      </c>
      <c r="S4837" s="31"/>
      <c r="T4837" s="95" t="str">
        <f t="shared" si="365"/>
        <v>2026 02</v>
      </c>
      <c r="U4837" s="32">
        <f t="shared" si="358"/>
        <v>1063.0245000000002</v>
      </c>
      <c r="V4837" s="22">
        <f t="shared" si="359"/>
        <v>0.73976522216279983</v>
      </c>
      <c r="X4837" s="33"/>
      <c r="Y4837" s="33"/>
    </row>
    <row r="4838" spans="1:25" x14ac:dyDescent="0.2">
      <c r="A4838" s="93" t="s">
        <v>3994</v>
      </c>
      <c r="B4838" s="94" t="str">
        <f>IFERROR(VLOOKUP($A4838,HeadJournal!$A$1:$NTR$890,COLUMN(HeadJournal!B$1),0),"")</f>
        <v>722500484560</v>
      </c>
      <c r="C4838" s="94" t="str">
        <f>IFERROR(VLOOKUP($A4838,HeadJournal!$A$1:$NTR$890,COLUMN(HeadJournal!C$1),0),"")</f>
        <v>iHerb_OA CZN6870</v>
      </c>
      <c r="D4838" s="125" t="str">
        <f>IFERROR(VLOOKUP($A4838,HeadJournal!$A$1:$NTR$890,COLUMN(HeadJournal!D$1),0),"")</f>
        <v>Доставлен</v>
      </c>
      <c r="E4838" s="95">
        <f>IFERROR(VLOOKUP($A4838,HeadJournal!$A$1:$NTR$890,COLUMN(HeadJournal!G$1),0),"")</f>
        <v>45851</v>
      </c>
      <c r="F4838" s="95" t="str">
        <f t="shared" si="364"/>
        <v>2025 07</v>
      </c>
      <c r="G4838" s="97" t="s">
        <v>5</v>
      </c>
      <c r="H4838" s="161" t="s">
        <v>3753</v>
      </c>
      <c r="I4838" s="97" t="s">
        <v>2005</v>
      </c>
      <c r="J4838" s="97" t="s">
        <v>3754</v>
      </c>
      <c r="K4838" s="29">
        <v>31.79</v>
      </c>
      <c r="L4838" s="29">
        <v>-6.99</v>
      </c>
      <c r="M4838" s="30">
        <f>IFERROR(VLOOKUP($A4838,HeadJournal!$A$1:$J$890,COLUMN(HeadJournal!I$1),0)*($K4838+$L4838)/(SUMIF($A:$A,$A4838,$K:$K)+SUMIF($A:$A,$A4838,$L:$L)),0)</f>
        <v>-0.98070701018573969</v>
      </c>
      <c r="N4838" s="30">
        <f>IFERROR((VLOOKUP($A4838,HeadJournal!$A$1:$K$890,COLUMN(HeadJournal!K$1),0)-VLOOKUP($A4838,HeadJournal!$A$1:$K$890,COLUMN(HeadJournal!J$1),0))*($K4838+$L4838)/(SUMIF($A:$A,$A4838,$K:$K)+SUMIF($A:$A,$A4838,$L:$L)),0)</f>
        <v>-3.8393071184379278E-15</v>
      </c>
      <c r="O4838" s="30">
        <f>IFERROR((VLOOKUP($A4838,HeadJournal!$A$1:$L$890,COLUMN(HeadJournal!L$1),0)*($K4838+$L4838)/(SUMIF($A:$A,$A4838,$K:$K)+SUMIF($A:$A,$A4838,$L:$L)))/VLOOKUP($A4838,HeadJournal!$A$1:$L$890,COLUMN(HeadJournal!H$1),0),0)</f>
        <v>0.73707212951802292</v>
      </c>
      <c r="P4838" s="30">
        <f>IFERROR(SUM(K4838:O4838)*VLOOKUP($A4838,HeadJournal!$A$1:$L$890,COLUMN(HeadJournal!H$1),0),0)</f>
        <v>2178.2218639359435</v>
      </c>
      <c r="Q4838" s="29">
        <v>3500</v>
      </c>
      <c r="R4838" s="31">
        <v>45923</v>
      </c>
      <c r="S4838" s="31" t="s">
        <v>4483</v>
      </c>
      <c r="T4838" s="95" t="str">
        <f t="shared" si="365"/>
        <v>2025 09</v>
      </c>
      <c r="U4838" s="32">
        <f t="shared" si="358"/>
        <v>1321.7781360640565</v>
      </c>
      <c r="V4838" s="22">
        <f t="shared" si="359"/>
        <v>0.60681520002543088</v>
      </c>
      <c r="X4838" s="33"/>
      <c r="Y4838" s="33"/>
    </row>
    <row r="4839" spans="1:25" x14ac:dyDescent="0.2">
      <c r="A4839" s="93" t="s">
        <v>3994</v>
      </c>
      <c r="B4839" s="94" t="str">
        <f>IFERROR(VLOOKUP($A4839,HeadJournal!$A$1:$NTR$890,COLUMN(HeadJournal!B$1),0),"")</f>
        <v>722500484560</v>
      </c>
      <c r="C4839" s="94" t="str">
        <f>IFERROR(VLOOKUP($A4839,HeadJournal!$A$1:$NTR$890,COLUMN(HeadJournal!C$1),0),"")</f>
        <v>iHerb_OA CZN6870</v>
      </c>
      <c r="D4839" s="125" t="str">
        <f>IFERROR(VLOOKUP($A4839,HeadJournal!$A$1:$NTR$890,COLUMN(HeadJournal!D$1),0),"")</f>
        <v>Доставлен</v>
      </c>
      <c r="E4839" s="95">
        <f>IFERROR(VLOOKUP($A4839,HeadJournal!$A$1:$NTR$890,COLUMN(HeadJournal!G$1),0),"")</f>
        <v>45851</v>
      </c>
      <c r="F4839" s="95" t="str">
        <f t="shared" si="364"/>
        <v>2025 07</v>
      </c>
      <c r="G4839" s="97" t="s">
        <v>5</v>
      </c>
      <c r="H4839" s="161" t="s">
        <v>2997</v>
      </c>
      <c r="I4839" s="97" t="s">
        <v>2102</v>
      </c>
      <c r="J4839" s="97" t="s">
        <v>2998</v>
      </c>
      <c r="K4839" s="29">
        <v>32.43</v>
      </c>
      <c r="L4839" s="29">
        <v>-7.1349999999999998</v>
      </c>
      <c r="M4839" s="30">
        <f>IFERROR(VLOOKUP($A4839,HeadJournal!$A$1:$J$890,COLUMN(HeadJournal!I$1),0)*($K4839+$L4839)/(SUMIF($A:$A,$A4839,$K:$K)+SUMIF($A:$A,$A4839,$L:$L)),0)</f>
        <v>-1.0002816057519472</v>
      </c>
      <c r="N4839" s="30">
        <f>IFERROR((VLOOKUP($A4839,HeadJournal!$A$1:$K$890,COLUMN(HeadJournal!K$1),0)-VLOOKUP($A4839,HeadJournal!$A$1:$K$890,COLUMN(HeadJournal!J$1),0))*($K4839+$L4839)/(SUMIF($A:$A,$A4839,$K:$K)+SUMIF($A:$A,$A4839,$L:$L)),0)</f>
        <v>-3.9159384500357825E-15</v>
      </c>
      <c r="O4839" s="30">
        <f>IFERROR((VLOOKUP($A4839,HeadJournal!$A$1:$L$890,COLUMN(HeadJournal!L$1),0)*($K4839+$L4839)/(SUMIF($A:$A,$A4839,$K:$K)+SUMIF($A:$A,$A4839,$L:$L)))/VLOOKUP($A4839,HeadJournal!$A$1:$L$890,COLUMN(HeadJournal!H$1),0),0)</f>
        <v>0.75178385145799964</v>
      </c>
      <c r="P4839" s="30">
        <f>IFERROR(SUM(K4839:O4839)*VLOOKUP($A4839,HeadJournal!$A$1:$L$890,COLUMN(HeadJournal!H$1),0),0)</f>
        <v>2221.6984696878912</v>
      </c>
      <c r="Q4839" s="29">
        <v>3700</v>
      </c>
      <c r="R4839" s="31">
        <v>45884</v>
      </c>
      <c r="S4839" s="31"/>
      <c r="T4839" s="95" t="str">
        <f t="shared" si="365"/>
        <v>2025 08</v>
      </c>
      <c r="U4839" s="32">
        <f t="shared" si="358"/>
        <v>1478.3015303121088</v>
      </c>
      <c r="V4839" s="22">
        <f t="shared" si="359"/>
        <v>0.66539251409746147</v>
      </c>
      <c r="X4839" s="33"/>
      <c r="Y4839" s="33"/>
    </row>
    <row r="4840" spans="1:25" x14ac:dyDescent="0.2">
      <c r="A4840" s="93" t="s">
        <v>3994</v>
      </c>
      <c r="B4840" s="94" t="str">
        <f>IFERROR(VLOOKUP($A4840,HeadJournal!$A$1:$NTR$890,COLUMN(HeadJournal!B$1),0),"")</f>
        <v>722500484560</v>
      </c>
      <c r="C4840" s="94" t="str">
        <f>IFERROR(VLOOKUP($A4840,HeadJournal!$A$1:$NTR$890,COLUMN(HeadJournal!C$1),0),"")</f>
        <v>iHerb_OA CZN6870</v>
      </c>
      <c r="D4840" s="125" t="str">
        <f>IFERROR(VLOOKUP($A4840,HeadJournal!$A$1:$NTR$890,COLUMN(HeadJournal!D$1),0),"")</f>
        <v>Доставлен</v>
      </c>
      <c r="E4840" s="95">
        <f>IFERROR(VLOOKUP($A4840,HeadJournal!$A$1:$NTR$890,COLUMN(HeadJournal!G$1),0),"")</f>
        <v>45851</v>
      </c>
      <c r="F4840" s="95" t="str">
        <f t="shared" si="364"/>
        <v>2025 07</v>
      </c>
      <c r="G4840" s="97" t="s">
        <v>5</v>
      </c>
      <c r="H4840" s="161" t="s">
        <v>2997</v>
      </c>
      <c r="I4840" s="97" t="s">
        <v>2102</v>
      </c>
      <c r="J4840" s="97" t="s">
        <v>2998</v>
      </c>
      <c r="K4840" s="29">
        <v>32.43</v>
      </c>
      <c r="L4840" s="29">
        <v>-7.1349999999999998</v>
      </c>
      <c r="M4840" s="30">
        <f>IFERROR(VLOOKUP($A4840,HeadJournal!$A$1:$J$890,COLUMN(HeadJournal!I$1),0)*($K4840+$L4840)/(SUMIF($A:$A,$A4840,$K:$K)+SUMIF($A:$A,$A4840,$L:$L)),0)</f>
        <v>-1.0002816057519472</v>
      </c>
      <c r="N4840" s="30">
        <f>IFERROR((VLOOKUP($A4840,HeadJournal!$A$1:$K$890,COLUMN(HeadJournal!K$1),0)-VLOOKUP($A4840,HeadJournal!$A$1:$K$890,COLUMN(HeadJournal!J$1),0))*($K4840+$L4840)/(SUMIF($A:$A,$A4840,$K:$K)+SUMIF($A:$A,$A4840,$L:$L)),0)</f>
        <v>-3.9159384500357825E-15</v>
      </c>
      <c r="O4840" s="30">
        <f>IFERROR((VLOOKUP($A4840,HeadJournal!$A$1:$L$890,COLUMN(HeadJournal!L$1),0)*($K4840+$L4840)/(SUMIF($A:$A,$A4840,$K:$K)+SUMIF($A:$A,$A4840,$L:$L)))/VLOOKUP($A4840,HeadJournal!$A$1:$L$890,COLUMN(HeadJournal!H$1),0),0)</f>
        <v>0.75178385145799964</v>
      </c>
      <c r="P4840" s="30">
        <f>IFERROR(SUM(K4840:O4840)*VLOOKUP($A4840,HeadJournal!$A$1:$L$890,COLUMN(HeadJournal!H$1),0),0)</f>
        <v>2221.6984696878912</v>
      </c>
      <c r="Q4840" s="29">
        <v>3500</v>
      </c>
      <c r="R4840" s="31">
        <v>45896</v>
      </c>
      <c r="S4840" s="31" t="s">
        <v>3231</v>
      </c>
      <c r="T4840" s="95" t="str">
        <f t="shared" si="365"/>
        <v>2025 08</v>
      </c>
      <c r="U4840" s="32">
        <f t="shared" si="358"/>
        <v>1278.3015303121088</v>
      </c>
      <c r="V4840" s="22">
        <f t="shared" si="359"/>
        <v>0.5753712971192203</v>
      </c>
      <c r="X4840" s="33"/>
      <c r="Y4840" s="33"/>
    </row>
    <row r="4841" spans="1:25" x14ac:dyDescent="0.2">
      <c r="A4841" s="93" t="s">
        <v>3994</v>
      </c>
      <c r="B4841" s="94" t="str">
        <f>IFERROR(VLOOKUP($A4841,HeadJournal!$A$1:$NTR$890,COLUMN(HeadJournal!B$1),0),"")</f>
        <v>722500484560</v>
      </c>
      <c r="C4841" s="94" t="str">
        <f>IFERROR(VLOOKUP($A4841,HeadJournal!$A$1:$NTR$890,COLUMN(HeadJournal!C$1),0),"")</f>
        <v>iHerb_OA CZN6870</v>
      </c>
      <c r="D4841" s="125" t="str">
        <f>IFERROR(VLOOKUP($A4841,HeadJournal!$A$1:$NTR$890,COLUMN(HeadJournal!D$1),0),"")</f>
        <v>Доставлен</v>
      </c>
      <c r="E4841" s="95">
        <f>IFERROR(VLOOKUP($A4841,HeadJournal!$A$1:$NTR$890,COLUMN(HeadJournal!G$1),0),"")</f>
        <v>45851</v>
      </c>
      <c r="F4841" s="95" t="str">
        <f t="shared" si="364"/>
        <v>2025 07</v>
      </c>
      <c r="G4841" s="97" t="s">
        <v>5</v>
      </c>
      <c r="H4841" s="161" t="s">
        <v>2481</v>
      </c>
      <c r="I4841" s="97" t="s">
        <v>2005</v>
      </c>
      <c r="J4841" s="97" t="s">
        <v>2482</v>
      </c>
      <c r="K4841" s="29">
        <v>10.130000000000001</v>
      </c>
      <c r="L4841" s="29">
        <v>-2.23</v>
      </c>
      <c r="M4841" s="30">
        <f>IFERROR(VLOOKUP($A4841,HeadJournal!$A$1:$J$890,COLUMN(HeadJournal!I$1),0)*($K4841+$L4841)/(SUMIF($A:$A,$A4841,$K:$K)+SUMIF($A:$A,$A4841,$L:$L)),0)</f>
        <v>-0.31240263630916709</v>
      </c>
      <c r="N4841" s="30">
        <f>IFERROR((VLOOKUP($A4841,HeadJournal!$A$1:$K$890,COLUMN(HeadJournal!K$1),0)-VLOOKUP($A4841,HeadJournal!$A$1:$K$890,COLUMN(HeadJournal!J$1),0))*($K4841+$L4841)/(SUMIF($A:$A,$A4841,$K:$K)+SUMIF($A:$A,$A4841,$L:$L)),0)</f>
        <v>-1.2230050901475659E-15</v>
      </c>
      <c r="O4841" s="30">
        <f>IFERROR((VLOOKUP($A4841,HeadJournal!$A$1:$L$890,COLUMN(HeadJournal!L$1),0)*($K4841+$L4841)/(SUMIF($A:$A,$A4841,$K:$K)+SUMIF($A:$A,$A4841,$L:$L)))/VLOOKUP($A4841,HeadJournal!$A$1:$L$890,COLUMN(HeadJournal!H$1),0),0)</f>
        <v>0.23479313803195087</v>
      </c>
      <c r="P4841" s="30">
        <f>IFERROR(SUM(K4841:O4841)*VLOOKUP($A4841,HeadJournal!$A$1:$L$890,COLUMN(HeadJournal!H$1),0),0)</f>
        <v>693.86906149572417</v>
      </c>
      <c r="Q4841" s="29">
        <v>1700</v>
      </c>
      <c r="R4841" s="31">
        <v>46125</v>
      </c>
      <c r="S4841" s="31"/>
      <c r="T4841" s="95" t="str">
        <f t="shared" si="365"/>
        <v>2026 04</v>
      </c>
      <c r="U4841" s="32">
        <f t="shared" si="358"/>
        <v>1006.1309385042758</v>
      </c>
      <c r="V4841" s="22">
        <f t="shared" si="359"/>
        <v>1.4500299758796436</v>
      </c>
      <c r="X4841" s="33"/>
      <c r="Y4841" s="33"/>
    </row>
    <row r="4842" spans="1:25" x14ac:dyDescent="0.2">
      <c r="A4842" s="93" t="s">
        <v>3994</v>
      </c>
      <c r="B4842" s="94" t="str">
        <f>IFERROR(VLOOKUP($A4842,HeadJournal!$A$1:$NTR$890,COLUMN(HeadJournal!B$1),0),"")</f>
        <v>722500484560</v>
      </c>
      <c r="C4842" s="94" t="str">
        <f>IFERROR(VLOOKUP($A4842,HeadJournal!$A$1:$NTR$890,COLUMN(HeadJournal!C$1),0),"")</f>
        <v>iHerb_OA CZN6870</v>
      </c>
      <c r="D4842" s="125" t="str">
        <f>IFERROR(VLOOKUP($A4842,HeadJournal!$A$1:$NTR$890,COLUMN(HeadJournal!D$1),0),"")</f>
        <v>Доставлен</v>
      </c>
      <c r="E4842" s="95">
        <f>IFERROR(VLOOKUP($A4842,HeadJournal!$A$1:$NTR$890,COLUMN(HeadJournal!G$1),0),"")</f>
        <v>45851</v>
      </c>
      <c r="F4842" s="95" t="str">
        <f t="shared" si="364"/>
        <v>2025 07</v>
      </c>
      <c r="G4842" s="97" t="s">
        <v>5</v>
      </c>
      <c r="H4842" s="161" t="s">
        <v>3987</v>
      </c>
      <c r="I4842" s="97" t="s">
        <v>2581</v>
      </c>
      <c r="J4842" s="97" t="s">
        <v>3988</v>
      </c>
      <c r="K4842" s="29">
        <v>18.25</v>
      </c>
      <c r="L4842" s="29">
        <v>-9.1300000000000008</v>
      </c>
      <c r="M4842" s="30">
        <f>IFERROR(VLOOKUP($A4842,HeadJournal!$A$1:$J$890,COLUMN(HeadJournal!I$1),0)*($K4842+$L4842)/(SUMIF($A:$A,$A4842,$K:$K)+SUMIF($A:$A,$A4842,$L:$L)),0)</f>
        <v>-0.36064709406830425</v>
      </c>
      <c r="N4842" s="30">
        <f>IFERROR((VLOOKUP($A4842,HeadJournal!$A$1:$K$890,COLUMN(HeadJournal!K$1),0)-VLOOKUP($A4842,HeadJournal!$A$1:$K$890,COLUMN(HeadJournal!J$1),0))*($K4842+$L4842)/(SUMIF($A:$A,$A4842,$K:$K)+SUMIF($A:$A,$A4842,$L:$L)),0)</f>
        <v>-1.411874230651367E-15</v>
      </c>
      <c r="O4842" s="30">
        <f>IFERROR((VLOOKUP($A4842,HeadJournal!$A$1:$L$890,COLUMN(HeadJournal!L$1),0)*($K4842+$L4842)/(SUMIF($A:$A,$A4842,$K:$K)+SUMIF($A:$A,$A4842,$L:$L)))/VLOOKUP($A4842,HeadJournal!$A$1:$L$890,COLUMN(HeadJournal!H$1),0),0)</f>
        <v>0.27105233150017616</v>
      </c>
      <c r="P4842" s="30">
        <f>IFERROR(SUM(K4842:O4842)*VLOOKUP($A4842,HeadJournal!$A$1:$L$890,COLUMN(HeadJournal!H$1),0),0)</f>
        <v>801.0235241570889</v>
      </c>
      <c r="Q4842" s="29">
        <v>1800</v>
      </c>
      <c r="R4842" s="31">
        <v>46144</v>
      </c>
      <c r="S4842" s="31"/>
      <c r="T4842" s="95" t="str">
        <f t="shared" si="365"/>
        <v>2026 05</v>
      </c>
      <c r="U4842" s="32">
        <f t="shared" si="358"/>
        <v>998.9764758429111</v>
      </c>
      <c r="V4842" s="22">
        <f t="shared" si="359"/>
        <v>1.2471250165769183</v>
      </c>
      <c r="X4842" s="33"/>
      <c r="Y4842" s="33"/>
    </row>
    <row r="4843" spans="1:25" x14ac:dyDescent="0.2">
      <c r="A4843" s="93" t="s">
        <v>3994</v>
      </c>
      <c r="B4843" s="94" t="str">
        <f>IFERROR(VLOOKUP($A4843,HeadJournal!$A$1:$NTR$890,COLUMN(HeadJournal!B$1),0),"")</f>
        <v>722500484560</v>
      </c>
      <c r="C4843" s="94" t="str">
        <f>IFERROR(VLOOKUP($A4843,HeadJournal!$A$1:$NTR$890,COLUMN(HeadJournal!C$1),0),"")</f>
        <v>iHerb_OA CZN6870</v>
      </c>
      <c r="D4843" s="125" t="str">
        <f>IFERROR(VLOOKUP($A4843,HeadJournal!$A$1:$NTR$890,COLUMN(HeadJournal!D$1),0),"")</f>
        <v>Доставлен</v>
      </c>
      <c r="E4843" s="95">
        <f>IFERROR(VLOOKUP($A4843,HeadJournal!$A$1:$NTR$890,COLUMN(HeadJournal!G$1),0),"")</f>
        <v>45851</v>
      </c>
      <c r="F4843" s="95" t="str">
        <f t="shared" si="364"/>
        <v>2025 07</v>
      </c>
      <c r="G4843" s="97" t="s">
        <v>7</v>
      </c>
      <c r="H4843" s="161" t="s">
        <v>2673</v>
      </c>
      <c r="I4843" s="97" t="s">
        <v>2674</v>
      </c>
      <c r="J4843" s="97" t="s">
        <v>2675</v>
      </c>
      <c r="K4843" s="29">
        <v>9.92</v>
      </c>
      <c r="L4843" s="29">
        <v>-2.1800000000000002</v>
      </c>
      <c r="M4843" s="30">
        <f>IFERROR(VLOOKUP($A4843,HeadJournal!$A$1:$J$890,COLUMN(HeadJournal!I$1),0)*($K4843+$L4843)/(SUMIF($A:$A,$A4843,$K:$K)+SUMIF($A:$A,$A4843,$L:$L)),0)</f>
        <v>-0.30607549430796877</v>
      </c>
      <c r="N4843" s="30">
        <f>IFERROR((VLOOKUP($A4843,HeadJournal!$A$1:$K$890,COLUMN(HeadJournal!K$1),0)-VLOOKUP($A4843,HeadJournal!$A$1:$K$890,COLUMN(HeadJournal!J$1),0))*($K4843+$L4843)/(SUMIF($A:$A,$A4843,$K:$K)+SUMIF($A:$A,$A4843,$L:$L)),0)</f>
        <v>-1.1982353668028051E-15</v>
      </c>
      <c r="O4843" s="30">
        <f>IFERROR((VLOOKUP($A4843,HeadJournal!$A$1:$L$890,COLUMN(HeadJournal!L$1),0)*($K4843+$L4843)/(SUMIF($A:$A,$A4843,$K:$K)+SUMIF($A:$A,$A4843,$L:$L)))/VLOOKUP($A4843,HeadJournal!$A$1:$L$890,COLUMN(HeadJournal!H$1),0),0)</f>
        <v>0.23003783397054425</v>
      </c>
      <c r="P4843" s="30">
        <f>IFERROR(SUM(K4843:O4843)*VLOOKUP($A4843,HeadJournal!$A$1:$L$890,COLUMN(HeadJournal!H$1),0),0)</f>
        <v>679.81601721226639</v>
      </c>
      <c r="Q4843" s="29"/>
      <c r="R4843" s="31"/>
      <c r="S4843" s="31"/>
      <c r="T4843" s="95" t="str">
        <f t="shared" si="365"/>
        <v/>
      </c>
      <c r="U4843" s="32">
        <f t="shared" si="358"/>
        <v>-679.81601721226639</v>
      </c>
      <c r="V4843" s="22" t="str">
        <f t="shared" si="359"/>
        <v/>
      </c>
      <c r="X4843" s="33"/>
      <c r="Y4843" s="33"/>
    </row>
    <row r="4844" spans="1:25" x14ac:dyDescent="0.2">
      <c r="A4844" s="93" t="s">
        <v>3994</v>
      </c>
      <c r="B4844" s="94" t="str">
        <f>IFERROR(VLOOKUP($A4844,HeadJournal!$A$1:$NTR$890,COLUMN(HeadJournal!B$1),0),"")</f>
        <v>722500484560</v>
      </c>
      <c r="C4844" s="94" t="str">
        <f>IFERROR(VLOOKUP($A4844,HeadJournal!$A$1:$NTR$890,COLUMN(HeadJournal!C$1),0),"")</f>
        <v>iHerb_OA CZN6870</v>
      </c>
      <c r="D4844" s="125" t="str">
        <f>IFERROR(VLOOKUP($A4844,HeadJournal!$A$1:$NTR$890,COLUMN(HeadJournal!D$1),0),"")</f>
        <v>Доставлен</v>
      </c>
      <c r="E4844" s="95">
        <f>IFERROR(VLOOKUP($A4844,HeadJournal!$A$1:$NTR$890,COLUMN(HeadJournal!G$1),0),"")</f>
        <v>45851</v>
      </c>
      <c r="F4844" s="95" t="str">
        <f t="shared" si="364"/>
        <v>2025 07</v>
      </c>
      <c r="G4844" s="97" t="s">
        <v>5</v>
      </c>
      <c r="H4844" s="161" t="s">
        <v>3989</v>
      </c>
      <c r="I4844" s="97" t="s">
        <v>2633</v>
      </c>
      <c r="J4844" s="97" t="s">
        <v>3990</v>
      </c>
      <c r="K4844" s="29">
        <v>11.13</v>
      </c>
      <c r="L4844" s="29">
        <v>-2.4500000000000002</v>
      </c>
      <c r="M4844" s="30">
        <f>IFERROR(VLOOKUP($A4844,HeadJournal!$A$1:$J$890,COLUMN(HeadJournal!I$1),0)*($K4844+$L4844)/(SUMIF($A:$A,$A4844,$K:$K)+SUMIF($A:$A,$A4844,$L:$L)),0)</f>
        <v>-0.34324745356500891</v>
      </c>
      <c r="N4844" s="30">
        <f>IFERROR((VLOOKUP($A4844,HeadJournal!$A$1:$K$890,COLUMN(HeadJournal!K$1),0)-VLOOKUP($A4844,HeadJournal!$A$1:$K$890,COLUMN(HeadJournal!J$1),0))*($K4844+$L4844)/(SUMIF($A:$A,$A4844,$K:$K)+SUMIF($A:$A,$A4844,$L:$L)),0)</f>
        <v>-1.3437574914532749E-15</v>
      </c>
      <c r="O4844" s="30">
        <f>IFERROR((VLOOKUP($A4844,HeadJournal!$A$1:$L$890,COLUMN(HeadJournal!L$1),0)*($K4844+$L4844)/(SUMIF($A:$A,$A4844,$K:$K)+SUMIF($A:$A,$A4844,$L:$L)))/VLOOKUP($A4844,HeadJournal!$A$1:$L$890,COLUMN(HeadJournal!H$1),0),0)</f>
        <v>0.257975245331308</v>
      </c>
      <c r="P4844" s="30">
        <f>IFERROR(SUM(K4844:O4844)*VLOOKUP($A4844,HeadJournal!$A$1:$L$890,COLUMN(HeadJournal!H$1),0),0)</f>
        <v>762.37765237758015</v>
      </c>
      <c r="Q4844" s="29"/>
      <c r="R4844" s="31"/>
      <c r="S4844" s="31"/>
      <c r="T4844" s="95" t="str">
        <f t="shared" si="365"/>
        <v/>
      </c>
      <c r="U4844" s="32">
        <f t="shared" si="358"/>
        <v>-762.37765237758015</v>
      </c>
      <c r="V4844" s="22" t="str">
        <f t="shared" si="359"/>
        <v/>
      </c>
      <c r="X4844" s="33"/>
      <c r="Y4844" s="33"/>
    </row>
    <row r="4845" spans="1:25" x14ac:dyDescent="0.2">
      <c r="A4845" s="93" t="s">
        <v>3994</v>
      </c>
      <c r="B4845" s="94" t="str">
        <f>IFERROR(VLOOKUP($A4845,HeadJournal!$A$1:$NTR$890,COLUMN(HeadJournal!B$1),0),"")</f>
        <v>722500484560</v>
      </c>
      <c r="C4845" s="94" t="str">
        <f>IFERROR(VLOOKUP($A4845,HeadJournal!$A$1:$NTR$890,COLUMN(HeadJournal!C$1),0),"")</f>
        <v>iHerb_OA CZN6870</v>
      </c>
      <c r="D4845" s="125" t="str">
        <f>IFERROR(VLOOKUP($A4845,HeadJournal!$A$1:$NTR$890,COLUMN(HeadJournal!D$1),0),"")</f>
        <v>Доставлен</v>
      </c>
      <c r="E4845" s="95">
        <f>IFERROR(VLOOKUP($A4845,HeadJournal!$A$1:$NTR$890,COLUMN(HeadJournal!G$1),0),"")</f>
        <v>45851</v>
      </c>
      <c r="F4845" s="95" t="str">
        <f t="shared" si="364"/>
        <v>2025 07</v>
      </c>
      <c r="G4845" s="97" t="s">
        <v>5</v>
      </c>
      <c r="H4845" s="161" t="s">
        <v>2488</v>
      </c>
      <c r="I4845" s="97" t="s">
        <v>2005</v>
      </c>
      <c r="J4845" s="97" t="s">
        <v>2489</v>
      </c>
      <c r="K4845" s="29">
        <v>20.28</v>
      </c>
      <c r="L4845" s="29">
        <v>-4.46</v>
      </c>
      <c r="M4845" s="30">
        <f>IFERROR(VLOOKUP($A4845,HeadJournal!$A$1:$J$890,COLUMN(HeadJournal!I$1),0)*($K4845+$L4845)/(SUMIF($A:$A,$A4845,$K:$K)+SUMIF($A:$A,$A4845,$L:$L)),0)</f>
        <v>-0.62559616536848406</v>
      </c>
      <c r="N4845" s="30">
        <f>IFERROR((VLOOKUP($A4845,HeadJournal!$A$1:$K$890,COLUMN(HeadJournal!K$1),0)-VLOOKUP($A4845,HeadJournal!$A$1:$K$890,COLUMN(HeadJournal!J$1),0))*($K4845+$L4845)/(SUMIF($A:$A,$A4845,$K:$K)+SUMIF($A:$A,$A4845,$L:$L)),0)</f>
        <v>-2.4491063957132268E-15</v>
      </c>
      <c r="O4845" s="30">
        <f>IFERROR((VLOOKUP($A4845,HeadJournal!$A$1:$L$890,COLUMN(HeadJournal!L$1),0)*($K4845+$L4845)/(SUMIF($A:$A,$A4845,$K:$K)+SUMIF($A:$A,$A4845,$L:$L)))/VLOOKUP($A4845,HeadJournal!$A$1:$L$890,COLUMN(HeadJournal!H$1),0),0)</f>
        <v>0.47018068907157756</v>
      </c>
      <c r="P4845" s="30">
        <f>IFERROR(SUM(K4845:O4845)*VLOOKUP($A4845,HeadJournal!$A$1:$L$890,COLUMN(HeadJournal!H$1),0),0)</f>
        <v>1389.4947535268802</v>
      </c>
      <c r="Q4845" s="29">
        <v>2600</v>
      </c>
      <c r="R4845" s="31">
        <v>45897</v>
      </c>
      <c r="S4845" s="31"/>
      <c r="T4845" s="95" t="str">
        <f t="shared" si="365"/>
        <v>2025 08</v>
      </c>
      <c r="U4845" s="32">
        <f t="shared" si="358"/>
        <v>1210.5052464731198</v>
      </c>
      <c r="V4845" s="22">
        <f t="shared" si="359"/>
        <v>0.87118374747407934</v>
      </c>
      <c r="X4845" s="33"/>
      <c r="Y4845" s="33"/>
    </row>
    <row r="4846" spans="1:25" x14ac:dyDescent="0.2">
      <c r="A4846" s="93" t="s">
        <v>3994</v>
      </c>
      <c r="B4846" s="94" t="str">
        <f>IFERROR(VLOOKUP($A4846,HeadJournal!$A$1:$NTR$890,COLUMN(HeadJournal!B$1),0),"")</f>
        <v>722500484560</v>
      </c>
      <c r="C4846" s="94" t="str">
        <f>IFERROR(VLOOKUP($A4846,HeadJournal!$A$1:$NTR$890,COLUMN(HeadJournal!C$1),0),"")</f>
        <v>iHerb_OA CZN6870</v>
      </c>
      <c r="D4846" s="125" t="str">
        <f>IFERROR(VLOOKUP($A4846,HeadJournal!$A$1:$NTR$890,COLUMN(HeadJournal!D$1),0),"")</f>
        <v>Доставлен</v>
      </c>
      <c r="E4846" s="95">
        <f>IFERROR(VLOOKUP($A4846,HeadJournal!$A$1:$NTR$890,COLUMN(HeadJournal!G$1),0),"")</f>
        <v>45851</v>
      </c>
      <c r="F4846" s="95" t="str">
        <f t="shared" si="364"/>
        <v>2025 07</v>
      </c>
      <c r="G4846" s="97" t="s">
        <v>5</v>
      </c>
      <c r="H4846" s="161" t="s">
        <v>2488</v>
      </c>
      <c r="I4846" s="97" t="s">
        <v>2005</v>
      </c>
      <c r="J4846" s="97" t="s">
        <v>2489</v>
      </c>
      <c r="K4846" s="29">
        <v>20.28</v>
      </c>
      <c r="L4846" s="29">
        <v>-4.46</v>
      </c>
      <c r="M4846" s="30">
        <f>IFERROR(VLOOKUP($A4846,HeadJournal!$A$1:$J$890,COLUMN(HeadJournal!I$1),0)*($K4846+$L4846)/(SUMIF($A:$A,$A4846,$K:$K)+SUMIF($A:$A,$A4846,$L:$L)),0)</f>
        <v>-0.62559616536848406</v>
      </c>
      <c r="N4846" s="30">
        <f>IFERROR((VLOOKUP($A4846,HeadJournal!$A$1:$K$890,COLUMN(HeadJournal!K$1),0)-VLOOKUP($A4846,HeadJournal!$A$1:$K$890,COLUMN(HeadJournal!J$1),0))*($K4846+$L4846)/(SUMIF($A:$A,$A4846,$K:$K)+SUMIF($A:$A,$A4846,$L:$L)),0)</f>
        <v>-2.4491063957132268E-15</v>
      </c>
      <c r="O4846" s="30">
        <f>IFERROR((VLOOKUP($A4846,HeadJournal!$A$1:$L$890,COLUMN(HeadJournal!L$1),0)*($K4846+$L4846)/(SUMIF($A:$A,$A4846,$K:$K)+SUMIF($A:$A,$A4846,$L:$L)))/VLOOKUP($A4846,HeadJournal!$A$1:$L$890,COLUMN(HeadJournal!H$1),0),0)</f>
        <v>0.47018068907157756</v>
      </c>
      <c r="P4846" s="30">
        <f>IFERROR(SUM(K4846:O4846)*VLOOKUP($A4846,HeadJournal!$A$1:$L$890,COLUMN(HeadJournal!H$1),0),0)</f>
        <v>1389.4947535268802</v>
      </c>
      <c r="Q4846" s="29">
        <v>2600</v>
      </c>
      <c r="R4846" s="31">
        <v>45936</v>
      </c>
      <c r="S4846" s="31"/>
      <c r="T4846" s="95" t="str">
        <f t="shared" si="365"/>
        <v>2025 10</v>
      </c>
      <c r="U4846" s="32">
        <f t="shared" si="358"/>
        <v>1210.5052464731198</v>
      </c>
      <c r="V4846" s="22">
        <f t="shared" si="359"/>
        <v>0.87118374747407934</v>
      </c>
      <c r="X4846" s="33"/>
      <c r="Y4846" s="33"/>
    </row>
    <row r="4847" spans="1:25" x14ac:dyDescent="0.2">
      <c r="A4847" s="93" t="s">
        <v>3994</v>
      </c>
      <c r="B4847" s="94" t="str">
        <f>IFERROR(VLOOKUP($A4847,HeadJournal!$A$1:$NTR$890,COLUMN(HeadJournal!B$1),0),"")</f>
        <v>722500484560</v>
      </c>
      <c r="C4847" s="94" t="str">
        <f>IFERROR(VLOOKUP($A4847,HeadJournal!$A$1:$NTR$890,COLUMN(HeadJournal!C$1),0),"")</f>
        <v>iHerb_OA CZN6870</v>
      </c>
      <c r="D4847" s="125" t="str">
        <f>IFERROR(VLOOKUP($A4847,HeadJournal!$A$1:$NTR$890,COLUMN(HeadJournal!D$1),0),"")</f>
        <v>Доставлен</v>
      </c>
      <c r="E4847" s="95">
        <f>IFERROR(VLOOKUP($A4847,HeadJournal!$A$1:$NTR$890,COLUMN(HeadJournal!G$1),0),"")</f>
        <v>45851</v>
      </c>
      <c r="F4847" s="95" t="str">
        <f t="shared" si="364"/>
        <v>2025 07</v>
      </c>
      <c r="G4847" s="97" t="s">
        <v>5</v>
      </c>
      <c r="H4847" s="161" t="s">
        <v>3570</v>
      </c>
      <c r="I4847" s="97" t="s">
        <v>2102</v>
      </c>
      <c r="J4847" s="97" t="s">
        <v>3991</v>
      </c>
      <c r="K4847" s="29">
        <v>12.8</v>
      </c>
      <c r="L4847" s="29">
        <v>-2.8149999999999999</v>
      </c>
      <c r="M4847" s="30">
        <f>IFERROR(VLOOKUP($A4847,HeadJournal!$A$1:$J$890,COLUMN(HeadJournal!I$1),0)*($K4847+$L4847)/(SUMIF($A:$A,$A4847,$K:$K)+SUMIF($A:$A,$A4847,$L:$L)),0)</f>
        <v>-0.39485320551228276</v>
      </c>
      <c r="N4847" s="30">
        <f>IFERROR((VLOOKUP($A4847,HeadJournal!$A$1:$K$890,COLUMN(HeadJournal!K$1),0)-VLOOKUP($A4847,HeadJournal!$A$1:$K$890,COLUMN(HeadJournal!J$1),0))*($K4847+$L4847)/(SUMIF($A:$A,$A4847,$K:$K)+SUMIF($A:$A,$A4847,$L:$L)),0)</f>
        <v>-1.5457855474839806E-15</v>
      </c>
      <c r="O4847" s="30">
        <f>IFERROR((VLOOKUP($A4847,HeadJournal!$A$1:$L$890,COLUMN(HeadJournal!L$1),0)*($K4847+$L4847)/(SUMIF($A:$A,$A4847,$K:$K)+SUMIF($A:$A,$A4847,$L:$L)))/VLOOKUP($A4847,HeadJournal!$A$1:$L$890,COLUMN(HeadJournal!H$1),0),0)</f>
        <v>0.29676069408215561</v>
      </c>
      <c r="P4847" s="30">
        <f>IFERROR(SUM(K4847:O4847)*VLOOKUP($A4847,HeadJournal!$A$1:$L$890,COLUMN(HeadJournal!H$1),0),0)</f>
        <v>876.99779481453231</v>
      </c>
      <c r="Q4847" s="29">
        <v>877</v>
      </c>
      <c r="R4847" s="31"/>
      <c r="S4847" s="31"/>
      <c r="T4847" s="95" t="str">
        <f t="shared" si="365"/>
        <v/>
      </c>
      <c r="U4847" s="32">
        <f t="shared" si="358"/>
        <v>2.2051854676874427E-3</v>
      </c>
      <c r="V4847" s="22">
        <f t="shared" si="359"/>
        <v>2.5144709379272679E-6</v>
      </c>
      <c r="X4847" s="33"/>
      <c r="Y4847" s="33"/>
    </row>
    <row r="4848" spans="1:25" x14ac:dyDescent="0.2">
      <c r="A4848" s="93" t="s">
        <v>3994</v>
      </c>
      <c r="B4848" s="94" t="str">
        <f>IFERROR(VLOOKUP($A4848,HeadJournal!$A$1:$NTR$890,COLUMN(HeadJournal!B$1),0),"")</f>
        <v>722500484560</v>
      </c>
      <c r="C4848" s="94" t="str">
        <f>IFERROR(VLOOKUP($A4848,HeadJournal!$A$1:$NTR$890,COLUMN(HeadJournal!C$1),0),"")</f>
        <v>iHerb_OA CZN6870</v>
      </c>
      <c r="D4848" s="125" t="str">
        <f>IFERROR(VLOOKUP($A4848,HeadJournal!$A$1:$NTR$890,COLUMN(HeadJournal!D$1),0),"")</f>
        <v>Доставлен</v>
      </c>
      <c r="E4848" s="95">
        <f>IFERROR(VLOOKUP($A4848,HeadJournal!$A$1:$NTR$890,COLUMN(HeadJournal!G$1),0),"")</f>
        <v>45851</v>
      </c>
      <c r="F4848" s="95" t="str">
        <f t="shared" si="364"/>
        <v>2025 07</v>
      </c>
      <c r="G4848" s="97" t="s">
        <v>5</v>
      </c>
      <c r="H4848" s="161" t="s">
        <v>3570</v>
      </c>
      <c r="I4848" s="97" t="s">
        <v>2102</v>
      </c>
      <c r="J4848" s="97" t="s">
        <v>3991</v>
      </c>
      <c r="K4848" s="29">
        <v>12.8</v>
      </c>
      <c r="L4848" s="29">
        <v>-2.8149999999999999</v>
      </c>
      <c r="M4848" s="30">
        <f>IFERROR(VLOOKUP($A4848,HeadJournal!$A$1:$J$890,COLUMN(HeadJournal!I$1),0)*($K4848+$L4848)/(SUMIF($A:$A,$A4848,$K:$K)+SUMIF($A:$A,$A4848,$L:$L)),0)</f>
        <v>-0.39485320551228276</v>
      </c>
      <c r="N4848" s="30">
        <f>IFERROR((VLOOKUP($A4848,HeadJournal!$A$1:$K$890,COLUMN(HeadJournal!K$1),0)-VLOOKUP($A4848,HeadJournal!$A$1:$K$890,COLUMN(HeadJournal!J$1),0))*($K4848+$L4848)/(SUMIF($A:$A,$A4848,$K:$K)+SUMIF($A:$A,$A4848,$L:$L)),0)</f>
        <v>-1.5457855474839806E-15</v>
      </c>
      <c r="O4848" s="30">
        <f>IFERROR((VLOOKUP($A4848,HeadJournal!$A$1:$L$890,COLUMN(HeadJournal!L$1),0)*($K4848+$L4848)/(SUMIF($A:$A,$A4848,$K:$K)+SUMIF($A:$A,$A4848,$L:$L)))/VLOOKUP($A4848,HeadJournal!$A$1:$L$890,COLUMN(HeadJournal!H$1),0),0)</f>
        <v>0.29676069408215561</v>
      </c>
      <c r="P4848" s="30">
        <f>IFERROR(SUM(K4848:O4848)*VLOOKUP($A4848,HeadJournal!$A$1:$L$890,COLUMN(HeadJournal!H$1),0),0)</f>
        <v>876.99779481453231</v>
      </c>
      <c r="Q4848" s="29">
        <v>1700</v>
      </c>
      <c r="R4848" s="31">
        <v>45937</v>
      </c>
      <c r="S4848" s="31"/>
      <c r="T4848" s="95" t="str">
        <f t="shared" si="365"/>
        <v>2025 10</v>
      </c>
      <c r="U4848" s="32">
        <f t="shared" si="358"/>
        <v>823.00220518546769</v>
      </c>
      <c r="V4848" s="22">
        <f t="shared" si="359"/>
        <v>0.93843132793682382</v>
      </c>
      <c r="X4848" s="33"/>
      <c r="Y4848" s="33"/>
    </row>
    <row r="4849" spans="1:25" x14ac:dyDescent="0.2">
      <c r="A4849" s="93" t="s">
        <v>3994</v>
      </c>
      <c r="B4849" s="94" t="str">
        <f>IFERROR(VLOOKUP($A4849,HeadJournal!$A$1:$NTR$890,COLUMN(HeadJournal!B$1),0),"")</f>
        <v>722500484560</v>
      </c>
      <c r="C4849" s="94" t="str">
        <f>IFERROR(VLOOKUP($A4849,HeadJournal!$A$1:$NTR$890,COLUMN(HeadJournal!C$1),0),"")</f>
        <v>iHerb_OA CZN6870</v>
      </c>
      <c r="D4849" s="125" t="str">
        <f>IFERROR(VLOOKUP($A4849,HeadJournal!$A$1:$NTR$890,COLUMN(HeadJournal!D$1),0),"")</f>
        <v>Доставлен</v>
      </c>
      <c r="E4849" s="95">
        <f>IFERROR(VLOOKUP($A4849,HeadJournal!$A$1:$NTR$890,COLUMN(HeadJournal!G$1),0),"")</f>
        <v>45851</v>
      </c>
      <c r="F4849" s="95" t="str">
        <f t="shared" si="364"/>
        <v>2025 07</v>
      </c>
      <c r="G4849" s="97" t="s">
        <v>5</v>
      </c>
      <c r="H4849" s="161" t="s">
        <v>3992</v>
      </c>
      <c r="I4849" s="97" t="s">
        <v>2666</v>
      </c>
      <c r="J4849" s="97" t="s">
        <v>3993</v>
      </c>
      <c r="K4849" s="29">
        <v>29.68</v>
      </c>
      <c r="L4849" s="29">
        <v>-6.53</v>
      </c>
      <c r="M4849" s="30">
        <f>IFERROR(VLOOKUP($A4849,HeadJournal!$A$1:$J$890,COLUMN(HeadJournal!I$1),0)*($K4849+$L4849)/(SUMIF($A:$A,$A4849,$K:$K)+SUMIF($A:$A,$A4849,$L:$L)),0)</f>
        <v>-0.91545835829838207</v>
      </c>
      <c r="N4849" s="30">
        <f>IFERROR((VLOOKUP($A4849,HeadJournal!$A$1:$K$890,COLUMN(HeadJournal!K$1),0)-VLOOKUP($A4849,HeadJournal!$A$1:$K$890,COLUMN(HeadJournal!J$1),0))*($K4849+$L4849)/(SUMIF($A:$A,$A4849,$K:$K)+SUMIF($A:$A,$A4849,$L:$L)),0)</f>
        <v>-3.5838693464450825E-15</v>
      </c>
      <c r="O4849" s="30">
        <f>IFERROR((VLOOKUP($A4849,HeadJournal!$A$1:$L$890,COLUMN(HeadJournal!L$1),0)*($K4849+$L4849)/(SUMIF($A:$A,$A4849,$K:$K)+SUMIF($A:$A,$A4849,$L:$L)))/VLOOKUP($A4849,HeadJournal!$A$1:$L$890,COLUMN(HeadJournal!H$1),0),0)</f>
        <v>0.68803305638476719</v>
      </c>
      <c r="P4849" s="30">
        <f>IFERROR(SUM(K4849:O4849)*VLOOKUP($A4849,HeadJournal!$A$1:$L$890,COLUMN(HeadJournal!H$1),0),0)</f>
        <v>2033.2998447627863</v>
      </c>
      <c r="Q4849" s="29">
        <v>3500</v>
      </c>
      <c r="R4849" s="31">
        <v>45908</v>
      </c>
      <c r="S4849" s="31"/>
      <c r="T4849" s="95" t="str">
        <f t="shared" si="365"/>
        <v>2025 09</v>
      </c>
      <c r="U4849" s="32">
        <f t="shared" si="358"/>
        <v>1466.7001552372137</v>
      </c>
      <c r="V4849" s="22">
        <f t="shared" si="359"/>
        <v>0.7213398255132043</v>
      </c>
      <c r="X4849" s="33"/>
      <c r="Y4849" s="33"/>
    </row>
    <row r="4850" spans="1:25" x14ac:dyDescent="0.2">
      <c r="A4850" s="93" t="s">
        <v>4008</v>
      </c>
      <c r="B4850" s="94" t="str">
        <f>IFERROR(VLOOKUP($A4850,HeadJournal!$A$1:$NTR$890,COLUMN(HeadJournal!B$1),0),"")</f>
        <v>722500479387</v>
      </c>
      <c r="C4850" s="94" t="str">
        <f>IFERROR(VLOOKUP($A4850,HeadJournal!$A$1:$NTR$890,COLUMN(HeadJournal!C$1),0),"")</f>
        <v>iHerb_MH DLE7202</v>
      </c>
      <c r="D4850" s="125" t="str">
        <f>IFERROR(VLOOKUP($A4850,HeadJournal!$A$1:$NTR$890,COLUMN(HeadJournal!D$1),0),"")</f>
        <v>Доставлен</v>
      </c>
      <c r="E4850" s="95">
        <f>IFERROR(VLOOKUP($A4850,HeadJournal!$A$1:$NTR$890,COLUMN(HeadJournal!G$1),0),"")</f>
        <v>45843</v>
      </c>
      <c r="F4850" s="95" t="str">
        <f t="shared" si="364"/>
        <v>2025 07</v>
      </c>
      <c r="G4850" s="97" t="s">
        <v>5</v>
      </c>
      <c r="H4850" s="161" t="s">
        <v>2755</v>
      </c>
      <c r="I4850" s="97" t="s">
        <v>2005</v>
      </c>
      <c r="J4850" s="97" t="s">
        <v>2756</v>
      </c>
      <c r="K4850" s="29">
        <v>17.239999999999998</v>
      </c>
      <c r="L4850" s="29">
        <v>-1.72</v>
      </c>
      <c r="M4850" s="30">
        <f>IFERROR(VLOOKUP($A4850,HeadJournal!$A$1:$J$890,COLUMN(HeadJournal!I$1),0)*($K4850+$L4850)/(SUMIF($A:$A,$A4850,$K:$K)+SUMIF($A:$A,$A4850,$L:$L)),0)</f>
        <v>-1.6541561112915451</v>
      </c>
      <c r="N4850" s="30">
        <f>IFERROR((VLOOKUP($A4850,HeadJournal!$A$1:$K$890,COLUMN(HeadJournal!K$1),0)-VLOOKUP($A4850,HeadJournal!$A$1:$K$890,COLUMN(HeadJournal!J$1),0))*($K4850+$L4850)/(SUMIF($A:$A,$A4850,$K:$K)+SUMIF($A:$A,$A4850,$L:$L)),0)</f>
        <v>2.3877066707798538E-15</v>
      </c>
      <c r="O4850" s="30">
        <f>IFERROR((VLOOKUP($A4850,HeadJournal!$A$1:$L$890,COLUMN(HeadJournal!L$1),0)*($K4850+$L4850)/(SUMIF($A:$A,$A4850,$K:$K)+SUMIF($A:$A,$A4850,$L:$L)))/VLOOKUP($A4850,HeadJournal!$A$1:$L$890,COLUMN(HeadJournal!H$1),0),0)</f>
        <v>0.45366544844111245</v>
      </c>
      <c r="P4850" s="30">
        <f>IFERROR(SUM(K4850:O4850)*VLOOKUP($A4850,HeadJournal!$A$1:$L$890,COLUMN(HeadJournal!H$1),0),0)</f>
        <v>1283.4193179603767</v>
      </c>
      <c r="Q4850" s="29">
        <v>2500</v>
      </c>
      <c r="R4850" s="31">
        <v>45881</v>
      </c>
      <c r="S4850" s="31"/>
      <c r="T4850" s="95" t="str">
        <f t="shared" si="365"/>
        <v>2025 08</v>
      </c>
      <c r="U4850" s="32">
        <f t="shared" si="358"/>
        <v>1216.5806820396233</v>
      </c>
      <c r="V4850" s="22">
        <f t="shared" si="359"/>
        <v>0.9479214353521076</v>
      </c>
      <c r="X4850" s="33"/>
      <c r="Y4850" s="33"/>
    </row>
    <row r="4851" spans="1:25" x14ac:dyDescent="0.2">
      <c r="A4851" s="93" t="s">
        <v>4008</v>
      </c>
      <c r="B4851" s="94" t="str">
        <f>IFERROR(VLOOKUP($A4851,HeadJournal!$A$1:$NTR$890,COLUMN(HeadJournal!B$1),0),"")</f>
        <v>722500479387</v>
      </c>
      <c r="C4851" s="94" t="str">
        <f>IFERROR(VLOOKUP($A4851,HeadJournal!$A$1:$NTR$890,COLUMN(HeadJournal!C$1),0),"")</f>
        <v>iHerb_MH DLE7202</v>
      </c>
      <c r="D4851" s="125" t="str">
        <f>IFERROR(VLOOKUP($A4851,HeadJournal!$A$1:$NTR$890,COLUMN(HeadJournal!D$1),0),"")</f>
        <v>Доставлен</v>
      </c>
      <c r="E4851" s="95">
        <f>IFERROR(VLOOKUP($A4851,HeadJournal!$A$1:$NTR$890,COLUMN(HeadJournal!G$1),0),"")</f>
        <v>45843</v>
      </c>
      <c r="F4851" s="95" t="str">
        <f t="shared" si="364"/>
        <v>2025 07</v>
      </c>
      <c r="G4851" s="97" t="s">
        <v>5</v>
      </c>
      <c r="H4851" s="161" t="s">
        <v>3996</v>
      </c>
      <c r="I4851" s="97" t="s">
        <v>2036</v>
      </c>
      <c r="J4851" s="97" t="s">
        <v>3997</v>
      </c>
      <c r="K4851" s="29">
        <v>19.47</v>
      </c>
      <c r="L4851" s="29">
        <v>-1.9466666666666665</v>
      </c>
      <c r="M4851" s="30">
        <f>IFERROR(VLOOKUP($A4851,HeadJournal!$A$1:$J$890,COLUMN(HeadJournal!I$1),0)*($K4851+$L4851)/(SUMIF($A:$A,$A4851,$K:$K)+SUMIF($A:$A,$A4851,$L:$L)),0)</f>
        <v>-1.8676758327018155</v>
      </c>
      <c r="N4851" s="30">
        <f>IFERROR((VLOOKUP($A4851,HeadJournal!$A$1:$K$890,COLUMN(HeadJournal!K$1),0)-VLOOKUP($A4851,HeadJournal!$A$1:$K$890,COLUMN(HeadJournal!J$1),0))*($K4851+$L4851)/(SUMIF($A:$A,$A4851,$K:$K)+SUMIF($A:$A,$A4851,$L:$L)),0)</f>
        <v>2.6959136529831814E-15</v>
      </c>
      <c r="O4851" s="30">
        <f>IFERROR((VLOOKUP($A4851,HeadJournal!$A$1:$L$890,COLUMN(HeadJournal!L$1),0)*($K4851+$L4851)/(SUMIF($A:$A,$A4851,$K:$K)+SUMIF($A:$A,$A4851,$L:$L)))/VLOOKUP($A4851,HeadJournal!$A$1:$L$890,COLUMN(HeadJournal!H$1),0),0)</f>
        <v>0.51222492750320636</v>
      </c>
      <c r="P4851" s="30">
        <f>IFERROR(SUM(K4851:O4851)*VLOOKUP($A4851,HeadJournal!$A$1:$L$890,COLUMN(HeadJournal!H$1),0),0)</f>
        <v>1449.0840538053483</v>
      </c>
      <c r="Q4851" s="29">
        <v>2300</v>
      </c>
      <c r="R4851" s="31">
        <v>45881</v>
      </c>
      <c r="S4851" s="31" t="s">
        <v>3226</v>
      </c>
      <c r="T4851" s="95" t="str">
        <f t="shared" si="365"/>
        <v>2025 08</v>
      </c>
      <c r="U4851" s="32">
        <f t="shared" si="358"/>
        <v>850.91594619465172</v>
      </c>
      <c r="V4851" s="22">
        <f t="shared" si="359"/>
        <v>0.58720951621827255</v>
      </c>
      <c r="X4851" s="33"/>
      <c r="Y4851" s="33"/>
    </row>
    <row r="4852" spans="1:25" x14ac:dyDescent="0.2">
      <c r="A4852" s="93" t="s">
        <v>4008</v>
      </c>
      <c r="B4852" s="94" t="str">
        <f>IFERROR(VLOOKUP($A4852,HeadJournal!$A$1:$NTR$890,COLUMN(HeadJournal!B$1),0),"")</f>
        <v>722500479387</v>
      </c>
      <c r="C4852" s="94" t="str">
        <f>IFERROR(VLOOKUP($A4852,HeadJournal!$A$1:$NTR$890,COLUMN(HeadJournal!C$1),0),"")</f>
        <v>iHerb_MH DLE7202</v>
      </c>
      <c r="D4852" s="125" t="str">
        <f>IFERROR(VLOOKUP($A4852,HeadJournal!$A$1:$NTR$890,COLUMN(HeadJournal!D$1),0),"")</f>
        <v>Доставлен</v>
      </c>
      <c r="E4852" s="95">
        <f>IFERROR(VLOOKUP($A4852,HeadJournal!$A$1:$NTR$890,COLUMN(HeadJournal!G$1),0),"")</f>
        <v>45843</v>
      </c>
      <c r="F4852" s="95" t="str">
        <f t="shared" si="364"/>
        <v>2025 07</v>
      </c>
      <c r="G4852" s="97" t="s">
        <v>5</v>
      </c>
      <c r="H4852" s="161" t="s">
        <v>3996</v>
      </c>
      <c r="I4852" s="97" t="s">
        <v>2036</v>
      </c>
      <c r="J4852" s="97" t="s">
        <v>3997</v>
      </c>
      <c r="K4852" s="29">
        <v>19.47</v>
      </c>
      <c r="L4852" s="29">
        <v>-1.9466666666666665</v>
      </c>
      <c r="M4852" s="30">
        <f>IFERROR(VLOOKUP($A4852,HeadJournal!$A$1:$J$890,COLUMN(HeadJournal!I$1),0)*($K4852+$L4852)/(SUMIF($A:$A,$A4852,$K:$K)+SUMIF($A:$A,$A4852,$L:$L)),0)</f>
        <v>-1.8676758327018155</v>
      </c>
      <c r="N4852" s="30">
        <f>IFERROR((VLOOKUP($A4852,HeadJournal!$A$1:$K$890,COLUMN(HeadJournal!K$1),0)-VLOOKUP($A4852,HeadJournal!$A$1:$K$890,COLUMN(HeadJournal!J$1),0))*($K4852+$L4852)/(SUMIF($A:$A,$A4852,$K:$K)+SUMIF($A:$A,$A4852,$L:$L)),0)</f>
        <v>2.6959136529831814E-15</v>
      </c>
      <c r="O4852" s="30">
        <f>IFERROR((VLOOKUP($A4852,HeadJournal!$A$1:$L$890,COLUMN(HeadJournal!L$1),0)*($K4852+$L4852)/(SUMIF($A:$A,$A4852,$K:$K)+SUMIF($A:$A,$A4852,$L:$L)))/VLOOKUP($A4852,HeadJournal!$A$1:$L$890,COLUMN(HeadJournal!H$1),0),0)</f>
        <v>0.51222492750320636</v>
      </c>
      <c r="P4852" s="30">
        <f>IFERROR(SUM(K4852:O4852)*VLOOKUP($A4852,HeadJournal!$A$1:$L$890,COLUMN(HeadJournal!H$1),0),0)</f>
        <v>1449.0840538053483</v>
      </c>
      <c r="Q4852" s="29">
        <v>2300</v>
      </c>
      <c r="R4852" s="31">
        <v>45882</v>
      </c>
      <c r="S4852" s="31" t="s">
        <v>3235</v>
      </c>
      <c r="T4852" s="95" t="str">
        <f t="shared" si="365"/>
        <v>2025 08</v>
      </c>
      <c r="U4852" s="32">
        <f t="shared" si="358"/>
        <v>850.91594619465172</v>
      </c>
      <c r="V4852" s="22">
        <f t="shared" si="359"/>
        <v>0.58720951621827255</v>
      </c>
      <c r="X4852" s="33"/>
      <c r="Y4852" s="33"/>
    </row>
    <row r="4853" spans="1:25" x14ac:dyDescent="0.2">
      <c r="A4853" s="93" t="s">
        <v>4008</v>
      </c>
      <c r="B4853" s="94" t="str">
        <f>IFERROR(VLOOKUP($A4853,HeadJournal!$A$1:$NTR$890,COLUMN(HeadJournal!B$1),0),"")</f>
        <v>722500479387</v>
      </c>
      <c r="C4853" s="94" t="str">
        <f>IFERROR(VLOOKUP($A4853,HeadJournal!$A$1:$NTR$890,COLUMN(HeadJournal!C$1),0),"")</f>
        <v>iHerb_MH DLE7202</v>
      </c>
      <c r="D4853" s="125" t="str">
        <f>IFERROR(VLOOKUP($A4853,HeadJournal!$A$1:$NTR$890,COLUMN(HeadJournal!D$1),0),"")</f>
        <v>Доставлен</v>
      </c>
      <c r="E4853" s="95">
        <f>IFERROR(VLOOKUP($A4853,HeadJournal!$A$1:$NTR$890,COLUMN(HeadJournal!G$1),0),"")</f>
        <v>45843</v>
      </c>
      <c r="F4853" s="95" t="str">
        <f t="shared" si="364"/>
        <v>2025 07</v>
      </c>
      <c r="G4853" s="97" t="s">
        <v>5</v>
      </c>
      <c r="H4853" s="161" t="s">
        <v>3996</v>
      </c>
      <c r="I4853" s="97" t="s">
        <v>2036</v>
      </c>
      <c r="J4853" s="97" t="s">
        <v>3997</v>
      </c>
      <c r="K4853" s="29">
        <v>19.47</v>
      </c>
      <c r="L4853" s="29">
        <v>-1.9466666666666665</v>
      </c>
      <c r="M4853" s="30">
        <f>IFERROR(VLOOKUP($A4853,HeadJournal!$A$1:$J$890,COLUMN(HeadJournal!I$1),0)*($K4853+$L4853)/(SUMIF($A:$A,$A4853,$K:$K)+SUMIF($A:$A,$A4853,$L:$L)),0)</f>
        <v>-1.8676758327018155</v>
      </c>
      <c r="N4853" s="30">
        <f>IFERROR((VLOOKUP($A4853,HeadJournal!$A$1:$K$890,COLUMN(HeadJournal!K$1),0)-VLOOKUP($A4853,HeadJournal!$A$1:$K$890,COLUMN(HeadJournal!J$1),0))*($K4853+$L4853)/(SUMIF($A:$A,$A4853,$K:$K)+SUMIF($A:$A,$A4853,$L:$L)),0)</f>
        <v>2.6959136529831814E-15</v>
      </c>
      <c r="O4853" s="30">
        <f>IFERROR((VLOOKUP($A4853,HeadJournal!$A$1:$L$890,COLUMN(HeadJournal!L$1),0)*($K4853+$L4853)/(SUMIF($A:$A,$A4853,$K:$K)+SUMIF($A:$A,$A4853,$L:$L)))/VLOOKUP($A4853,HeadJournal!$A$1:$L$890,COLUMN(HeadJournal!H$1),0),0)</f>
        <v>0.51222492750320636</v>
      </c>
      <c r="P4853" s="30">
        <f>IFERROR(SUM(K4853:O4853)*VLOOKUP($A4853,HeadJournal!$A$1:$L$890,COLUMN(HeadJournal!H$1),0),0)</f>
        <v>1449.0840538053483</v>
      </c>
      <c r="Q4853" s="29">
        <v>2300</v>
      </c>
      <c r="R4853" s="31">
        <v>45882</v>
      </c>
      <c r="S4853" s="31" t="s">
        <v>3235</v>
      </c>
      <c r="T4853" s="95" t="str">
        <f t="shared" si="365"/>
        <v>2025 08</v>
      </c>
      <c r="U4853" s="32">
        <f t="shared" si="358"/>
        <v>850.91594619465172</v>
      </c>
      <c r="V4853" s="22">
        <f t="shared" si="359"/>
        <v>0.58720951621827255</v>
      </c>
      <c r="X4853" s="33"/>
      <c r="Y4853" s="33"/>
    </row>
    <row r="4854" spans="1:25" x14ac:dyDescent="0.2">
      <c r="A4854" s="93" t="s">
        <v>4008</v>
      </c>
      <c r="B4854" s="94" t="str">
        <f>IFERROR(VLOOKUP($A4854,HeadJournal!$A$1:$NTR$890,COLUMN(HeadJournal!B$1),0),"")</f>
        <v>722500479387</v>
      </c>
      <c r="C4854" s="94" t="str">
        <f>IFERROR(VLOOKUP($A4854,HeadJournal!$A$1:$NTR$890,COLUMN(HeadJournal!C$1),0),"")</f>
        <v>iHerb_MH DLE7202</v>
      </c>
      <c r="D4854" s="125" t="str">
        <f>IFERROR(VLOOKUP($A4854,HeadJournal!$A$1:$NTR$890,COLUMN(HeadJournal!D$1),0),"")</f>
        <v>Доставлен</v>
      </c>
      <c r="E4854" s="95">
        <f>IFERROR(VLOOKUP($A4854,HeadJournal!$A$1:$NTR$890,COLUMN(HeadJournal!G$1),0),"")</f>
        <v>45843</v>
      </c>
      <c r="F4854" s="95" t="str">
        <f t="shared" si="364"/>
        <v>2025 07</v>
      </c>
      <c r="G4854" s="97" t="s">
        <v>5</v>
      </c>
      <c r="H4854" s="161" t="s">
        <v>3998</v>
      </c>
      <c r="I4854" s="97" t="s">
        <v>2544</v>
      </c>
      <c r="J4854" s="97" t="s">
        <v>3999</v>
      </c>
      <c r="K4854" s="29">
        <v>31.68</v>
      </c>
      <c r="L4854" s="29">
        <v>-3.17</v>
      </c>
      <c r="M4854" s="30">
        <f>IFERROR(VLOOKUP($A4854,HeadJournal!$A$1:$J$890,COLUMN(HeadJournal!I$1),0)*($K4854+$L4854)/(SUMIF($A:$A,$A4854,$K:$K)+SUMIF($A:$A,$A4854,$L:$L)),0)</f>
        <v>-3.0386591967088883</v>
      </c>
      <c r="N4854" s="30">
        <f>IFERROR((VLOOKUP($A4854,HeadJournal!$A$1:$K$890,COLUMN(HeadJournal!K$1),0)-VLOOKUP($A4854,HeadJournal!$A$1:$K$890,COLUMN(HeadJournal!J$1),0))*($K4854+$L4854)/(SUMIF($A:$A,$A4854,$K:$K)+SUMIF($A:$A,$A4854,$L:$L)),0)</f>
        <v>4.3861802309235587E-15</v>
      </c>
      <c r="O4854" s="30">
        <f>IFERROR((VLOOKUP($A4854,HeadJournal!$A$1:$L$890,COLUMN(HeadJournal!L$1),0)*($K4854+$L4854)/(SUMIF($A:$A,$A4854,$K:$K)+SUMIF($A:$A,$A4854,$L:$L)))/VLOOKUP($A4854,HeadJournal!$A$1:$L$890,COLUMN(HeadJournal!H$1),0),0)</f>
        <v>0.83337641334124468</v>
      </c>
      <c r="P4854" s="30">
        <f>IFERROR(SUM(K4854:O4854)*VLOOKUP($A4854,HeadJournal!$A$1:$L$890,COLUMN(HeadJournal!H$1),0),0)</f>
        <v>2357.6214404027282</v>
      </c>
      <c r="Q4854" s="29">
        <v>3200</v>
      </c>
      <c r="R4854" s="31">
        <v>45881</v>
      </c>
      <c r="S4854" s="31"/>
      <c r="T4854" s="95" t="str">
        <f t="shared" si="365"/>
        <v>2025 08</v>
      </c>
      <c r="U4854" s="32">
        <f t="shared" si="358"/>
        <v>842.37855959727176</v>
      </c>
      <c r="V4854" s="22">
        <f t="shared" si="359"/>
        <v>0.3573001776966267</v>
      </c>
      <c r="X4854" s="33"/>
      <c r="Y4854" s="33"/>
    </row>
    <row r="4855" spans="1:25" x14ac:dyDescent="0.2">
      <c r="A4855" s="93" t="s">
        <v>4008</v>
      </c>
      <c r="B4855" s="94" t="str">
        <f>IFERROR(VLOOKUP($A4855,HeadJournal!$A$1:$NTR$890,COLUMN(HeadJournal!B$1),0),"")</f>
        <v>722500479387</v>
      </c>
      <c r="C4855" s="94" t="str">
        <f>IFERROR(VLOOKUP($A4855,HeadJournal!$A$1:$NTR$890,COLUMN(HeadJournal!C$1),0),"")</f>
        <v>iHerb_MH DLE7202</v>
      </c>
      <c r="D4855" s="125" t="str">
        <f>IFERROR(VLOOKUP($A4855,HeadJournal!$A$1:$NTR$890,COLUMN(HeadJournal!D$1),0),"")</f>
        <v>Доставлен</v>
      </c>
      <c r="E4855" s="95">
        <f>IFERROR(VLOOKUP($A4855,HeadJournal!$A$1:$NTR$890,COLUMN(HeadJournal!G$1),0),"")</f>
        <v>45843</v>
      </c>
      <c r="F4855" s="95" t="str">
        <f t="shared" si="364"/>
        <v>2025 07</v>
      </c>
      <c r="G4855" s="97" t="s">
        <v>5</v>
      </c>
      <c r="H4855" s="161" t="s">
        <v>4000</v>
      </c>
      <c r="I4855" s="97" t="s">
        <v>2005</v>
      </c>
      <c r="J4855" s="97" t="s">
        <v>4001</v>
      </c>
      <c r="K4855" s="29">
        <v>22.08</v>
      </c>
      <c r="L4855" s="29">
        <v>-2.21</v>
      </c>
      <c r="M4855" s="30">
        <f>IFERROR(VLOOKUP($A4855,HeadJournal!$A$1:$J$890,COLUMN(HeadJournal!I$1),0)*($K4855+$L4855)/(SUMIF($A:$A,$A4855,$K:$K)+SUMIF($A:$A,$A4855,$L:$L)),0)</f>
        <v>-2.1177887842373067</v>
      </c>
      <c r="N4855" s="30">
        <f>IFERROR((VLOOKUP($A4855,HeadJournal!$A$1:$K$890,COLUMN(HeadJournal!K$1),0)-VLOOKUP($A4855,HeadJournal!$A$1:$K$890,COLUMN(HeadJournal!J$1),0))*($K4855+$L4855)/(SUMIF($A:$A,$A4855,$K:$K)+SUMIF($A:$A,$A4855,$L:$L)),0)</f>
        <v>3.0569414657471452E-15</v>
      </c>
      <c r="O4855" s="30">
        <f>IFERROR((VLOOKUP($A4855,HeadJournal!$A$1:$L$890,COLUMN(HeadJournal!L$1),0)*($K4855+$L4855)/(SUMIF($A:$A,$A4855,$K:$K)+SUMIF($A:$A,$A4855,$L:$L)))/VLOOKUP($A4855,HeadJournal!$A$1:$L$890,COLUMN(HeadJournal!H$1),0),0)</f>
        <v>0.5808203904977387</v>
      </c>
      <c r="P4855" s="30">
        <f>IFERROR(SUM(K4855:O4855)*VLOOKUP($A4855,HeadJournal!$A$1:$L$890,COLUMN(HeadJournal!H$1),0),0)</f>
        <v>1643.1405829814876</v>
      </c>
      <c r="Q4855" s="29">
        <v>2350</v>
      </c>
      <c r="R4855" s="31">
        <v>45881</v>
      </c>
      <c r="S4855" s="31"/>
      <c r="T4855" s="95" t="str">
        <f t="shared" si="365"/>
        <v>2025 08</v>
      </c>
      <c r="U4855" s="32">
        <f t="shared" si="358"/>
        <v>706.85941701851243</v>
      </c>
      <c r="V4855" s="22">
        <f t="shared" si="359"/>
        <v>0.43018803402439987</v>
      </c>
      <c r="X4855" s="33"/>
      <c r="Y4855" s="33"/>
    </row>
    <row r="4856" spans="1:25" x14ac:dyDescent="0.2">
      <c r="A4856" s="93" t="s">
        <v>4008</v>
      </c>
      <c r="B4856" s="94" t="str">
        <f>IFERROR(VLOOKUP($A4856,HeadJournal!$A$1:$NTR$890,COLUMN(HeadJournal!B$1),0),"")</f>
        <v>722500479387</v>
      </c>
      <c r="C4856" s="94" t="str">
        <f>IFERROR(VLOOKUP($A4856,HeadJournal!$A$1:$NTR$890,COLUMN(HeadJournal!C$1),0),"")</f>
        <v>iHerb_MH DLE7202</v>
      </c>
      <c r="D4856" s="125" t="str">
        <f>IFERROR(VLOOKUP($A4856,HeadJournal!$A$1:$NTR$890,COLUMN(HeadJournal!D$1),0),"")</f>
        <v>Доставлен</v>
      </c>
      <c r="E4856" s="95">
        <f>IFERROR(VLOOKUP($A4856,HeadJournal!$A$1:$NTR$890,COLUMN(HeadJournal!G$1),0),"")</f>
        <v>45843</v>
      </c>
      <c r="F4856" s="95" t="str">
        <f t="shared" si="364"/>
        <v>2025 07</v>
      </c>
      <c r="G4856" s="97" t="s">
        <v>5</v>
      </c>
      <c r="H4856" s="161" t="s">
        <v>4002</v>
      </c>
      <c r="I4856" s="97" t="s">
        <v>2005</v>
      </c>
      <c r="J4856" s="97" t="s">
        <v>4003</v>
      </c>
      <c r="K4856" s="29">
        <v>33.46</v>
      </c>
      <c r="L4856" s="29">
        <v>-3.35</v>
      </c>
      <c r="M4856" s="30">
        <f>IFERROR(VLOOKUP($A4856,HeadJournal!$A$1:$J$890,COLUMN(HeadJournal!I$1),0)*($K4856+$L4856)/(SUMIF($A:$A,$A4856,$K:$K)+SUMIF($A:$A,$A4856,$L:$L)),0)</f>
        <v>-3.2091907545739962</v>
      </c>
      <c r="N4856" s="30">
        <f>IFERROR((VLOOKUP($A4856,HeadJournal!$A$1:$K$890,COLUMN(HeadJournal!K$1),0)-VLOOKUP($A4856,HeadJournal!$A$1:$K$890,COLUMN(HeadJournal!J$1),0))*($K4856+$L4856)/(SUMIF($A:$A,$A4856,$K:$K)+SUMIF($A:$A,$A4856,$L:$L)),0)</f>
        <v>4.6323355578080804E-15</v>
      </c>
      <c r="O4856" s="30">
        <f>IFERROR((VLOOKUP($A4856,HeadJournal!$A$1:$L$890,COLUMN(HeadJournal!L$1),0)*($K4856+$L4856)/(SUMIF($A:$A,$A4856,$K:$K)+SUMIF($A:$A,$A4856,$L:$L)))/VLOOKUP($A4856,HeadJournal!$A$1:$L$890,COLUMN(HeadJournal!H$1),0),0)</f>
        <v>0.8801460472011533</v>
      </c>
      <c r="P4856" s="30">
        <f>IFERROR(SUM(K4856:O4856)*VLOOKUP($A4856,HeadJournal!$A$1:$L$890,COLUMN(HeadJournal!H$1),0),0)</f>
        <v>2489.9327102955508</v>
      </c>
      <c r="Q4856" s="29">
        <v>3350</v>
      </c>
      <c r="R4856" s="31">
        <v>45881</v>
      </c>
      <c r="S4856" s="31"/>
      <c r="T4856" s="95" t="str">
        <f t="shared" si="365"/>
        <v>2025 08</v>
      </c>
      <c r="U4856" s="32">
        <f t="shared" si="358"/>
        <v>860.06728970444919</v>
      </c>
      <c r="V4856" s="22">
        <f t="shared" si="359"/>
        <v>0.34541788464731671</v>
      </c>
      <c r="X4856" s="33"/>
      <c r="Y4856" s="33"/>
    </row>
    <row r="4857" spans="1:25" x14ac:dyDescent="0.2">
      <c r="A4857" s="93" t="s">
        <v>4008</v>
      </c>
      <c r="B4857" s="94" t="str">
        <f>IFERROR(VLOOKUP($A4857,HeadJournal!$A$1:$NTR$890,COLUMN(HeadJournal!B$1),0),"")</f>
        <v>722500479387</v>
      </c>
      <c r="C4857" s="94" t="str">
        <f>IFERROR(VLOOKUP($A4857,HeadJournal!$A$1:$NTR$890,COLUMN(HeadJournal!C$1),0),"")</f>
        <v>iHerb_MH DLE7202</v>
      </c>
      <c r="D4857" s="125" t="str">
        <f>IFERROR(VLOOKUP($A4857,HeadJournal!$A$1:$NTR$890,COLUMN(HeadJournal!D$1),0),"")</f>
        <v>Доставлен</v>
      </c>
      <c r="E4857" s="95">
        <f>IFERROR(VLOOKUP($A4857,HeadJournal!$A$1:$NTR$890,COLUMN(HeadJournal!G$1),0),"")</f>
        <v>45843</v>
      </c>
      <c r="F4857" s="95" t="str">
        <f t="shared" si="364"/>
        <v>2025 07</v>
      </c>
      <c r="G4857" s="97" t="s">
        <v>5</v>
      </c>
      <c r="H4857" s="161" t="s">
        <v>2027</v>
      </c>
      <c r="I4857" s="97" t="s">
        <v>2005</v>
      </c>
      <c r="J4857" s="97" t="s">
        <v>4110</v>
      </c>
      <c r="K4857" s="29">
        <v>8.06</v>
      </c>
      <c r="L4857" s="29">
        <v>-0.81</v>
      </c>
      <c r="M4857" s="30">
        <f>IFERROR(VLOOKUP($A4857,HeadJournal!$A$1:$J$890,COLUMN(HeadJournal!I$1),0)*($K4857+$L4857)/(SUMIF($A:$A,$A4857,$K:$K)+SUMIF($A:$A,$A4857,$L:$L)),0)</f>
        <v>-0.77272112157626938</v>
      </c>
      <c r="N4857" s="30">
        <f>IFERROR((VLOOKUP($A4857,HeadJournal!$A$1:$K$890,COLUMN(HeadJournal!K$1),0)-VLOOKUP($A4857,HeadJournal!$A$1:$K$890,COLUMN(HeadJournal!J$1),0))*($K4857+$L4857)/(SUMIF($A:$A,$A4857,$K:$K)+SUMIF($A:$A,$A4857,$L:$L)),0)</f>
        <v>1.1153913249454859E-15</v>
      </c>
      <c r="O4857" s="30">
        <f>IFERROR((VLOOKUP($A4857,HeadJournal!$A$1:$L$890,COLUMN(HeadJournal!L$1),0)*($K4857+$L4857)/(SUMIF($A:$A,$A4857,$K:$K)+SUMIF($A:$A,$A4857,$L:$L)))/VLOOKUP($A4857,HeadJournal!$A$1:$L$890,COLUMN(HeadJournal!H$1),0),0)</f>
        <v>0.21192490342771045</v>
      </c>
      <c r="P4857" s="30">
        <f>IFERROR(SUM(K4857:O4857)*VLOOKUP($A4857,HeadJournal!$A$1:$L$890,COLUMN(HeadJournal!H$1),0),0)</f>
        <v>599.53544170185125</v>
      </c>
      <c r="Q4857" s="29">
        <v>1200</v>
      </c>
      <c r="R4857" s="31">
        <v>46016</v>
      </c>
      <c r="S4857" s="31"/>
      <c r="T4857" s="95" t="str">
        <f t="shared" si="365"/>
        <v>2025 12</v>
      </c>
      <c r="U4857" s="32">
        <f t="shared" si="358"/>
        <v>600.46455829814875</v>
      </c>
      <c r="V4857" s="22">
        <f t="shared" si="359"/>
        <v>1.001549727558491</v>
      </c>
      <c r="X4857" s="33"/>
      <c r="Y4857" s="33"/>
    </row>
    <row r="4858" spans="1:25" x14ac:dyDescent="0.2">
      <c r="A4858" s="93" t="s">
        <v>4008</v>
      </c>
      <c r="B4858" s="94" t="str">
        <f>IFERROR(VLOOKUP($A4858,HeadJournal!$A$1:$NTR$890,COLUMN(HeadJournal!B$1),0),"")</f>
        <v>722500479387</v>
      </c>
      <c r="C4858" s="94" t="str">
        <f>IFERROR(VLOOKUP($A4858,HeadJournal!$A$1:$NTR$890,COLUMN(HeadJournal!C$1),0),"")</f>
        <v>iHerb_MH DLE7202</v>
      </c>
      <c r="D4858" s="125" t="str">
        <f>IFERROR(VLOOKUP($A4858,HeadJournal!$A$1:$NTR$890,COLUMN(HeadJournal!D$1),0),"")</f>
        <v>Доставлен</v>
      </c>
      <c r="E4858" s="95">
        <f>IFERROR(VLOOKUP($A4858,HeadJournal!$A$1:$NTR$890,COLUMN(HeadJournal!G$1),0),"")</f>
        <v>45843</v>
      </c>
      <c r="F4858" s="95" t="str">
        <f t="shared" si="364"/>
        <v>2025 07</v>
      </c>
      <c r="G4858" s="97" t="s">
        <v>5</v>
      </c>
      <c r="H4858" s="161" t="s">
        <v>4004</v>
      </c>
      <c r="I4858" s="97" t="s">
        <v>2042</v>
      </c>
      <c r="J4858" s="97" t="s">
        <v>4005</v>
      </c>
      <c r="K4858" s="29">
        <v>9.41</v>
      </c>
      <c r="L4858" s="29">
        <v>-0.94</v>
      </c>
      <c r="M4858" s="30">
        <f>IFERROR(VLOOKUP($A4858,HeadJournal!$A$1:$J$890,COLUMN(HeadJournal!I$1),0)*($K4858+$L4858)/(SUMIF($A:$A,$A4858,$K:$K)+SUMIF($A:$A,$A4858,$L:$L)),0)</f>
        <v>-0.9027514344484141</v>
      </c>
      <c r="N4858" s="30">
        <f>IFERROR((VLOOKUP($A4858,HeadJournal!$A$1:$K$890,COLUMN(HeadJournal!K$1),0)-VLOOKUP($A4858,HeadJournal!$A$1:$K$890,COLUMN(HeadJournal!J$1),0))*($K4858+$L4858)/(SUMIF($A:$A,$A4858,$K:$K)+SUMIF($A:$A,$A4858,$L:$L)),0)</f>
        <v>1.3030847616949333E-15</v>
      </c>
      <c r="O4858" s="30">
        <f>IFERROR((VLOOKUP($A4858,HeadJournal!$A$1:$L$890,COLUMN(HeadJournal!L$1),0)*($K4858+$L4858)/(SUMIF($A:$A,$A4858,$K:$K)+SUMIF($A:$A,$A4858,$L:$L)))/VLOOKUP($A4858,HeadJournal!$A$1:$L$890,COLUMN(HeadJournal!H$1),0),0)</f>
        <v>0.24758674924589072</v>
      </c>
      <c r="P4858" s="30">
        <f>IFERROR(SUM(K4858:O4858)*VLOOKUP($A4858,HeadJournal!$A$1:$L$890,COLUMN(HeadJournal!H$1),0),0)</f>
        <v>700.42278499512827</v>
      </c>
      <c r="Q4858" s="29">
        <v>1500</v>
      </c>
      <c r="R4858" s="31">
        <v>45883</v>
      </c>
      <c r="S4858" s="31"/>
      <c r="T4858" s="95" t="str">
        <f t="shared" si="365"/>
        <v>2025 08</v>
      </c>
      <c r="U4858" s="32">
        <f t="shared" si="358"/>
        <v>799.57721500487173</v>
      </c>
      <c r="V4858" s="22">
        <f t="shared" si="359"/>
        <v>1.141563684297382</v>
      </c>
      <c r="X4858" s="33"/>
      <c r="Y4858" s="33"/>
    </row>
    <row r="4859" spans="1:25" x14ac:dyDescent="0.2">
      <c r="A4859" s="93" t="s">
        <v>4008</v>
      </c>
      <c r="B4859" s="94" t="str">
        <f>IFERROR(VLOOKUP($A4859,HeadJournal!$A$1:$NTR$890,COLUMN(HeadJournal!B$1),0),"")</f>
        <v>722500479387</v>
      </c>
      <c r="C4859" s="94" t="str">
        <f>IFERROR(VLOOKUP($A4859,HeadJournal!$A$1:$NTR$890,COLUMN(HeadJournal!C$1),0),"")</f>
        <v>iHerb_MH DLE7202</v>
      </c>
      <c r="D4859" s="125" t="str">
        <f>IFERROR(VLOOKUP($A4859,HeadJournal!$A$1:$NTR$890,COLUMN(HeadJournal!D$1),0),"")</f>
        <v>Доставлен</v>
      </c>
      <c r="E4859" s="95">
        <f>IFERROR(VLOOKUP($A4859,HeadJournal!$A$1:$NTR$890,COLUMN(HeadJournal!G$1),0),"")</f>
        <v>45843</v>
      </c>
      <c r="F4859" s="95" t="str">
        <f t="shared" si="364"/>
        <v>2025 07</v>
      </c>
      <c r="G4859" s="97" t="s">
        <v>5</v>
      </c>
      <c r="H4859" s="161" t="s">
        <v>4006</v>
      </c>
      <c r="I4859" s="97" t="s">
        <v>2102</v>
      </c>
      <c r="J4859" s="97" t="s">
        <v>4007</v>
      </c>
      <c r="K4859" s="29">
        <v>24.93</v>
      </c>
      <c r="L4859" s="29">
        <v>-2.4900000000000002</v>
      </c>
      <c r="M4859" s="30">
        <f>IFERROR(VLOOKUP($A4859,HeadJournal!$A$1:$J$890,COLUMN(HeadJournal!I$1),0)*($K4859+$L4859)/(SUMIF($A:$A,$A4859,$K:$K)+SUMIF($A:$A,$A4859,$L:$L)),0)</f>
        <v>-2.3917050990581359</v>
      </c>
      <c r="N4859" s="30">
        <f>IFERROR((VLOOKUP($A4859,HeadJournal!$A$1:$K$890,COLUMN(HeadJournal!K$1),0)-VLOOKUP($A4859,HeadJournal!$A$1:$K$890,COLUMN(HeadJournal!J$1),0))*($K4859+$L4859)/(SUMIF($A:$A,$A4859,$K:$K)+SUMIF($A:$A,$A4859,$L:$L)),0)</f>
        <v>3.4523284595554072E-15</v>
      </c>
      <c r="O4859" s="30">
        <f>IFERROR((VLOOKUP($A4859,HeadJournal!$A$1:$L$890,COLUMN(HeadJournal!L$1),0)*($K4859+$L4859)/(SUMIF($A:$A,$A4859,$K:$K)+SUMIF($A:$A,$A4859,$L:$L)))/VLOOKUP($A4859,HeadJournal!$A$1:$L$890,COLUMN(HeadJournal!H$1),0),0)</f>
        <v>0.65594411488521676</v>
      </c>
      <c r="P4859" s="30">
        <f>IFERROR(SUM(K4859:O4859)*VLOOKUP($A4859,HeadJournal!$A$1:$L$890,COLUMN(HeadJournal!H$1),0),0)</f>
        <v>1855.6655602468334</v>
      </c>
      <c r="Q4859" s="29">
        <v>2800</v>
      </c>
      <c r="R4859" s="31">
        <v>45883</v>
      </c>
      <c r="S4859" s="31"/>
      <c r="T4859" s="95" t="str">
        <f t="shared" si="365"/>
        <v>2025 08</v>
      </c>
      <c r="U4859" s="32">
        <f t="shared" si="358"/>
        <v>944.33443975316663</v>
      </c>
      <c r="V4859" s="22">
        <f t="shared" si="359"/>
        <v>0.50889258279253458</v>
      </c>
      <c r="X4859" s="33"/>
      <c r="Y4859" s="33"/>
    </row>
    <row r="4860" spans="1:25" x14ac:dyDescent="0.2">
      <c r="A4860" s="93" t="s">
        <v>4019</v>
      </c>
      <c r="B4860" s="94" t="str">
        <f>IFERROR(VLOOKUP($A4860,HeadJournal!$A$1:$NTR$890,COLUMN(HeadJournal!B$1),0),"")</f>
        <v>720000735117</v>
      </c>
      <c r="C4860" s="94" t="str">
        <f>IFERROR(VLOOKUP($A4860,HeadJournal!$A$1:$NTR$890,COLUMN(HeadJournal!C$1),0),"")</f>
        <v>iHerb_AV CYG0792</v>
      </c>
      <c r="D4860" s="125" t="str">
        <f>IFERROR(VLOOKUP($A4860,HeadJournal!$A$1:$NTR$890,COLUMN(HeadJournal!D$1),0),"")</f>
        <v>Доставлен</v>
      </c>
      <c r="E4860" s="95">
        <f>IFERROR(VLOOKUP($A4860,HeadJournal!$A$1:$NTR$890,COLUMN(HeadJournal!G$1),0),"")</f>
        <v>45849</v>
      </c>
      <c r="F4860" s="95" t="str">
        <f t="shared" si="364"/>
        <v>2025 07</v>
      </c>
      <c r="G4860" s="97" t="s">
        <v>5</v>
      </c>
      <c r="H4860" s="161" t="s">
        <v>4010</v>
      </c>
      <c r="I4860" s="97" t="s">
        <v>4011</v>
      </c>
      <c r="J4860" s="97" t="s">
        <v>4012</v>
      </c>
      <c r="K4860" s="29">
        <v>18.61</v>
      </c>
      <c r="L4860" s="29">
        <v>-4.09</v>
      </c>
      <c r="M4860" s="30">
        <f>IFERROR(VLOOKUP($A4860,HeadJournal!$A$1:$J$890,COLUMN(HeadJournal!I$1),0)*($K4860+$L4860)/(SUMIF($A:$A,$A4860,$K:$K)+SUMIF($A:$A,$A4860,$L:$L)),0)</f>
        <v>-0.72803976658742153</v>
      </c>
      <c r="N4860" s="30">
        <f>IFERROR((VLOOKUP($A4860,HeadJournal!$A$1:$K$890,COLUMN(HeadJournal!K$1),0)-VLOOKUP($A4860,HeadJournal!$A$1:$K$890,COLUMN(HeadJournal!J$1),0))*($K4860+$L4860)/(SUMIF($A:$A,$A4860,$K:$K)+SUMIF($A:$A,$A4860,$L:$L)),0)</f>
        <v>0</v>
      </c>
      <c r="O4860" s="30">
        <f>IFERROR((VLOOKUP($A4860,HeadJournal!$A$1:$L$890,COLUMN(HeadJournal!L$1),0)*($K4860+$L4860)/(SUMIF($A:$A,$A4860,$K:$K)+SUMIF($A:$A,$A4860,$L:$L)))/VLOOKUP($A4860,HeadJournal!$A$1:$L$890,COLUMN(HeadJournal!H$1),0),0)</f>
        <v>0.42622981586904318</v>
      </c>
      <c r="P4860" s="30">
        <f>IFERROR(SUM(K4860:O4860)*VLOOKUP($A4860,HeadJournal!$A$1:$L$890,COLUMN(HeadJournal!H$1),0),0)</f>
        <v>1266.6393494704992</v>
      </c>
      <c r="Q4860" s="29">
        <v>2100</v>
      </c>
      <c r="R4860" s="31">
        <v>45881</v>
      </c>
      <c r="S4860" s="31" t="s">
        <v>3475</v>
      </c>
      <c r="T4860" s="95" t="str">
        <f t="shared" si="365"/>
        <v>2025 08</v>
      </c>
      <c r="U4860" s="32">
        <f t="shared" si="358"/>
        <v>833.36065052950084</v>
      </c>
      <c r="V4860" s="22">
        <f t="shared" si="359"/>
        <v>0.65793049211511989</v>
      </c>
      <c r="X4860" s="33"/>
      <c r="Y4860" s="33"/>
    </row>
    <row r="4861" spans="1:25" x14ac:dyDescent="0.2">
      <c r="A4861" s="93" t="s">
        <v>4019</v>
      </c>
      <c r="B4861" s="94" t="str">
        <f>IFERROR(VLOOKUP($A4861,HeadJournal!$A$1:$NTR$890,COLUMN(HeadJournal!B$1),0),"")</f>
        <v>720000735117</v>
      </c>
      <c r="C4861" s="94" t="str">
        <f>IFERROR(VLOOKUP($A4861,HeadJournal!$A$1:$NTR$890,COLUMN(HeadJournal!C$1),0),"")</f>
        <v>iHerb_AV CYG0792</v>
      </c>
      <c r="D4861" s="125" t="str">
        <f>IFERROR(VLOOKUP($A4861,HeadJournal!$A$1:$NTR$890,COLUMN(HeadJournal!D$1),0),"")</f>
        <v>Доставлен</v>
      </c>
      <c r="E4861" s="95">
        <f>IFERROR(VLOOKUP($A4861,HeadJournal!$A$1:$NTR$890,COLUMN(HeadJournal!G$1),0),"")</f>
        <v>45849</v>
      </c>
      <c r="F4861" s="95" t="str">
        <f t="shared" si="364"/>
        <v>2025 07</v>
      </c>
      <c r="G4861" s="97" t="s">
        <v>5</v>
      </c>
      <c r="H4861" s="161" t="s">
        <v>2016</v>
      </c>
      <c r="I4861" s="97" t="s">
        <v>2005</v>
      </c>
      <c r="J4861" s="97" t="s">
        <v>2017</v>
      </c>
      <c r="K4861" s="29">
        <v>40.090000000000003</v>
      </c>
      <c r="L4861" s="29">
        <v>-8.82</v>
      </c>
      <c r="M4861" s="30">
        <f>IFERROR(VLOOKUP($A4861,HeadJournal!$A$1:$J$890,COLUMN(HeadJournal!I$1),0)*($K4861+$L4861)/(SUMIF($A:$A,$A4861,$K:$K)+SUMIF($A:$A,$A4861,$L:$L)),0)</f>
        <v>-1.5678928031121677</v>
      </c>
      <c r="N4861" s="30">
        <f>IFERROR((VLOOKUP($A4861,HeadJournal!$A$1:$K$890,COLUMN(HeadJournal!K$1),0)-VLOOKUP($A4861,HeadJournal!$A$1:$K$890,COLUMN(HeadJournal!J$1),0))*($K4861+$L4861)/(SUMIF($A:$A,$A4861,$K:$K)+SUMIF($A:$A,$A4861,$L:$L)),0)</f>
        <v>0</v>
      </c>
      <c r="O4861" s="30">
        <f>IFERROR((VLOOKUP($A4861,HeadJournal!$A$1:$L$890,COLUMN(HeadJournal!L$1),0)*($K4861+$L4861)/(SUMIF($A:$A,$A4861,$K:$K)+SUMIF($A:$A,$A4861,$L:$L)))/VLOOKUP($A4861,HeadJournal!$A$1:$L$890,COLUMN(HeadJournal!H$1),0),0)</f>
        <v>0.91792054698519154</v>
      </c>
      <c r="P4861" s="30">
        <f>IFERROR(SUM(K4861:O4861)*VLOOKUP($A4861,HeadJournal!$A$1:$L$890,COLUMN(HeadJournal!H$1),0),0)</f>
        <v>2727.8107753403933</v>
      </c>
      <c r="Q4861" s="29">
        <v>4400</v>
      </c>
      <c r="R4861" s="31">
        <v>45884</v>
      </c>
      <c r="S4861" s="31"/>
      <c r="T4861" s="95" t="str">
        <f t="shared" si="365"/>
        <v>2025 08</v>
      </c>
      <c r="U4861" s="32">
        <f t="shared" si="358"/>
        <v>1672.1892246596067</v>
      </c>
      <c r="V4861" s="22">
        <f t="shared" si="359"/>
        <v>0.61301511079005855</v>
      </c>
      <c r="X4861" s="33"/>
      <c r="Y4861" s="33"/>
    </row>
    <row r="4862" spans="1:25" x14ac:dyDescent="0.2">
      <c r="A4862" s="93" t="s">
        <v>4019</v>
      </c>
      <c r="B4862" s="94" t="str">
        <f>IFERROR(VLOOKUP($A4862,HeadJournal!$A$1:$NTR$890,COLUMN(HeadJournal!B$1),0),"")</f>
        <v>720000735117</v>
      </c>
      <c r="C4862" s="94" t="str">
        <f>IFERROR(VLOOKUP($A4862,HeadJournal!$A$1:$NTR$890,COLUMN(HeadJournal!C$1),0),"")</f>
        <v>iHerb_AV CYG0792</v>
      </c>
      <c r="D4862" s="125" t="str">
        <f>IFERROR(VLOOKUP($A4862,HeadJournal!$A$1:$NTR$890,COLUMN(HeadJournal!D$1),0),"")</f>
        <v>Доставлен</v>
      </c>
      <c r="E4862" s="95">
        <f>IFERROR(VLOOKUP($A4862,HeadJournal!$A$1:$NTR$890,COLUMN(HeadJournal!G$1),0),"")</f>
        <v>45849</v>
      </c>
      <c r="F4862" s="95" t="str">
        <f t="shared" si="364"/>
        <v>2025 07</v>
      </c>
      <c r="G4862" s="97" t="s">
        <v>5</v>
      </c>
      <c r="H4862" s="161" t="s">
        <v>2650</v>
      </c>
      <c r="I4862" s="97" t="s">
        <v>2005</v>
      </c>
      <c r="J4862" s="97" t="s">
        <v>2651</v>
      </c>
      <c r="K4862" s="29">
        <v>12.31</v>
      </c>
      <c r="L4862" s="29">
        <v>-2.71</v>
      </c>
      <c r="M4862" s="30">
        <f>IFERROR(VLOOKUP($A4862,HeadJournal!$A$1:$J$890,COLUMN(HeadJournal!I$1),0)*($K4862+$L4862)/(SUMIF($A:$A,$A4862,$K:$K)+SUMIF($A:$A,$A4862,$L:$L)),0)</f>
        <v>-0.48134860600821266</v>
      </c>
      <c r="N4862" s="30">
        <f>IFERROR((VLOOKUP($A4862,HeadJournal!$A$1:$K$890,COLUMN(HeadJournal!K$1),0)-VLOOKUP($A4862,HeadJournal!$A$1:$K$890,COLUMN(HeadJournal!J$1),0))*($K4862+$L4862)/(SUMIF($A:$A,$A4862,$K:$K)+SUMIF($A:$A,$A4862,$L:$L)),0)</f>
        <v>0</v>
      </c>
      <c r="O4862" s="30">
        <f>IFERROR((VLOOKUP($A4862,HeadJournal!$A$1:$L$890,COLUMN(HeadJournal!L$1),0)*($K4862+$L4862)/(SUMIF($A:$A,$A4862,$K:$K)+SUMIF($A:$A,$A4862,$L:$L)))/VLOOKUP($A4862,HeadJournal!$A$1:$L$890,COLUMN(HeadJournal!H$1),0),0)</f>
        <v>0.2818048369382104</v>
      </c>
      <c r="P4862" s="30">
        <f>IFERROR(SUM(K4862:O4862)*VLOOKUP($A4862,HeadJournal!$A$1:$L$890,COLUMN(HeadJournal!H$1),0),0)</f>
        <v>837.44750378214837</v>
      </c>
      <c r="Q4862" s="29">
        <v>1600</v>
      </c>
      <c r="R4862" s="31">
        <v>45936</v>
      </c>
      <c r="S4862" s="31"/>
      <c r="T4862" s="95" t="str">
        <f t="shared" si="365"/>
        <v>2025 10</v>
      </c>
      <c r="U4862" s="32">
        <f t="shared" si="358"/>
        <v>762.55249621785163</v>
      </c>
      <c r="V4862" s="22">
        <f t="shared" si="359"/>
        <v>0.91056751948504255</v>
      </c>
      <c r="X4862" s="33"/>
      <c r="Y4862" s="33"/>
    </row>
    <row r="4863" spans="1:25" x14ac:dyDescent="0.2">
      <c r="A4863" s="93" t="s">
        <v>4019</v>
      </c>
      <c r="B4863" s="94" t="str">
        <f>IFERROR(VLOOKUP($A4863,HeadJournal!$A$1:$NTR$890,COLUMN(HeadJournal!B$1),0),"")</f>
        <v>720000735117</v>
      </c>
      <c r="C4863" s="94" t="str">
        <f>IFERROR(VLOOKUP($A4863,HeadJournal!$A$1:$NTR$890,COLUMN(HeadJournal!C$1),0),"")</f>
        <v>iHerb_AV CYG0792</v>
      </c>
      <c r="D4863" s="125" t="str">
        <f>IFERROR(VLOOKUP($A4863,HeadJournal!$A$1:$NTR$890,COLUMN(HeadJournal!D$1),0),"")</f>
        <v>Доставлен</v>
      </c>
      <c r="E4863" s="95">
        <f>IFERROR(VLOOKUP($A4863,HeadJournal!$A$1:$NTR$890,COLUMN(HeadJournal!G$1),0),"")</f>
        <v>45849</v>
      </c>
      <c r="F4863" s="95" t="str">
        <f t="shared" si="364"/>
        <v>2025 07</v>
      </c>
      <c r="G4863" s="97" t="s">
        <v>5</v>
      </c>
      <c r="H4863" s="161" t="s">
        <v>4013</v>
      </c>
      <c r="I4863" s="97" t="s">
        <v>2147</v>
      </c>
      <c r="J4863" s="97" t="s">
        <v>4014</v>
      </c>
      <c r="K4863" s="29">
        <v>16.739999999999998</v>
      </c>
      <c r="L4863" s="29">
        <v>-7.77</v>
      </c>
      <c r="M4863" s="30">
        <f>IFERROR(VLOOKUP($A4863,HeadJournal!$A$1:$J$890,COLUMN(HeadJournal!I$1),0)*($K4863+$L4863)/(SUMIF($A:$A,$A4863,$K:$K)+SUMIF($A:$A,$A4863,$L:$L)),0)</f>
        <v>-0.44976010373892356</v>
      </c>
      <c r="N4863" s="30">
        <f>IFERROR((VLOOKUP($A4863,HeadJournal!$A$1:$K$890,COLUMN(HeadJournal!K$1),0)-VLOOKUP($A4863,HeadJournal!$A$1:$K$890,COLUMN(HeadJournal!J$1),0))*($K4863+$L4863)/(SUMIF($A:$A,$A4863,$K:$K)+SUMIF($A:$A,$A4863,$L:$L)),0)</f>
        <v>0</v>
      </c>
      <c r="O4863" s="30">
        <f>IFERROR((VLOOKUP($A4863,HeadJournal!$A$1:$L$890,COLUMN(HeadJournal!L$1),0)*($K4863+$L4863)/(SUMIF($A:$A,$A4863,$K:$K)+SUMIF($A:$A,$A4863,$L:$L)))/VLOOKUP($A4863,HeadJournal!$A$1:$L$890,COLUMN(HeadJournal!H$1),0),0)</f>
        <v>0.26331139451414026</v>
      </c>
      <c r="P4863" s="30">
        <f>IFERROR(SUM(K4863:O4863)*VLOOKUP($A4863,HeadJournal!$A$1:$L$890,COLUMN(HeadJournal!H$1),0),0)</f>
        <v>782.49001134644482</v>
      </c>
      <c r="Q4863" s="29">
        <v>2100</v>
      </c>
      <c r="R4863" s="31">
        <v>46052</v>
      </c>
      <c r="S4863" s="31" t="s">
        <v>3475</v>
      </c>
      <c r="T4863" s="95" t="str">
        <f t="shared" si="365"/>
        <v>2026 01</v>
      </c>
      <c r="U4863" s="32">
        <f t="shared" si="358"/>
        <v>1317.5099886535552</v>
      </c>
      <c r="V4863" s="22">
        <f t="shared" si="359"/>
        <v>1.6837403283736385</v>
      </c>
      <c r="X4863" s="33"/>
      <c r="Y4863" s="33"/>
    </row>
    <row r="4864" spans="1:25" x14ac:dyDescent="0.2">
      <c r="A4864" s="93" t="s">
        <v>4019</v>
      </c>
      <c r="B4864" s="94" t="str">
        <f>IFERROR(VLOOKUP($A4864,HeadJournal!$A$1:$NTR$890,COLUMN(HeadJournal!B$1),0),"")</f>
        <v>720000735117</v>
      </c>
      <c r="C4864" s="94" t="str">
        <f>IFERROR(VLOOKUP($A4864,HeadJournal!$A$1:$NTR$890,COLUMN(HeadJournal!C$1),0),"")</f>
        <v>iHerb_AV CYG0792</v>
      </c>
      <c r="D4864" s="125" t="str">
        <f>IFERROR(VLOOKUP($A4864,HeadJournal!$A$1:$NTR$890,COLUMN(HeadJournal!D$1),0),"")</f>
        <v>Доставлен</v>
      </c>
      <c r="E4864" s="95">
        <f>IFERROR(VLOOKUP($A4864,HeadJournal!$A$1:$NTR$890,COLUMN(HeadJournal!G$1),0),"")</f>
        <v>45849</v>
      </c>
      <c r="F4864" s="95" t="str">
        <f t="shared" si="364"/>
        <v>2025 07</v>
      </c>
      <c r="G4864" s="97" t="s">
        <v>5</v>
      </c>
      <c r="H4864" s="161" t="s">
        <v>2101</v>
      </c>
      <c r="I4864" s="97" t="s">
        <v>2102</v>
      </c>
      <c r="J4864" s="97" t="s">
        <v>4015</v>
      </c>
      <c r="K4864" s="29">
        <v>47.68</v>
      </c>
      <c r="L4864" s="29">
        <v>-10.49</v>
      </c>
      <c r="M4864" s="30">
        <f>IFERROR(VLOOKUP($A4864,HeadJournal!$A$1:$J$890,COLUMN(HeadJournal!I$1),0)*($K4864+$L4864)/(SUMIF($A:$A,$A4864,$K:$K)+SUMIF($A:$A,$A4864,$L:$L)),0)</f>
        <v>-1.8647244434838983</v>
      </c>
      <c r="N4864" s="30">
        <f>IFERROR((VLOOKUP($A4864,HeadJournal!$A$1:$K$890,COLUMN(HeadJournal!K$1),0)-VLOOKUP($A4864,HeadJournal!$A$1:$K$890,COLUMN(HeadJournal!J$1),0))*($K4864+$L4864)/(SUMIF($A:$A,$A4864,$K:$K)+SUMIF($A:$A,$A4864,$L:$L)),0)</f>
        <v>0</v>
      </c>
      <c r="O4864" s="30">
        <f>IFERROR((VLOOKUP($A4864,HeadJournal!$A$1:$L$890,COLUMN(HeadJournal!L$1),0)*($K4864+$L4864)/(SUMIF($A:$A,$A4864,$K:$K)+SUMIF($A:$A,$A4864,$L:$L)))/VLOOKUP($A4864,HeadJournal!$A$1:$L$890,COLUMN(HeadJournal!H$1),0),0)</f>
        <v>1.0917001964304212</v>
      </c>
      <c r="P4864" s="30">
        <f>IFERROR(SUM(K4864:O4864)*VLOOKUP($A4864,HeadJournal!$A$1:$L$890,COLUMN(HeadJournal!H$1),0),0)</f>
        <v>3244.2367360060512</v>
      </c>
      <c r="Q4864" s="29">
        <v>3244.24</v>
      </c>
      <c r="R4864" s="31"/>
      <c r="S4864" s="31"/>
      <c r="T4864" s="95" t="str">
        <f t="shared" si="365"/>
        <v/>
      </c>
      <c r="U4864" s="32">
        <f t="shared" si="358"/>
        <v>3.2639939486216463E-3</v>
      </c>
      <c r="V4864" s="22">
        <f t="shared" si="359"/>
        <v>1.0060899417099623E-6</v>
      </c>
      <c r="X4864" s="33"/>
      <c r="Y4864" s="33"/>
    </row>
    <row r="4865" spans="1:25" x14ac:dyDescent="0.2">
      <c r="A4865" s="93" t="s">
        <v>4019</v>
      </c>
      <c r="B4865" s="94" t="str">
        <f>IFERROR(VLOOKUP($A4865,HeadJournal!$A$1:$NTR$890,COLUMN(HeadJournal!B$1),0),"")</f>
        <v>720000735117</v>
      </c>
      <c r="C4865" s="94" t="str">
        <f>IFERROR(VLOOKUP($A4865,HeadJournal!$A$1:$NTR$890,COLUMN(HeadJournal!C$1),0),"")</f>
        <v>iHerb_AV CYG0792</v>
      </c>
      <c r="D4865" s="125" t="str">
        <f>IFERROR(VLOOKUP($A4865,HeadJournal!$A$1:$NTR$890,COLUMN(HeadJournal!D$1),0),"")</f>
        <v>Доставлен</v>
      </c>
      <c r="E4865" s="95">
        <f>IFERROR(VLOOKUP($A4865,HeadJournal!$A$1:$NTR$890,COLUMN(HeadJournal!G$1),0),"")</f>
        <v>45849</v>
      </c>
      <c r="F4865" s="95" t="str">
        <f t="shared" si="364"/>
        <v>2025 07</v>
      </c>
      <c r="G4865" s="97" t="s">
        <v>5</v>
      </c>
      <c r="H4865" s="161" t="s">
        <v>3800</v>
      </c>
      <c r="I4865" s="97" t="s">
        <v>3801</v>
      </c>
      <c r="J4865" s="97" t="s">
        <v>3802</v>
      </c>
      <c r="K4865" s="29">
        <v>20.65</v>
      </c>
      <c r="L4865" s="29">
        <v>-4.54</v>
      </c>
      <c r="M4865" s="30">
        <f>IFERROR(VLOOKUP($A4865,HeadJournal!$A$1:$J$890,COLUMN(HeadJournal!I$1),0)*($K4865+$L4865)/(SUMIF($A:$A,$A4865,$K:$K)+SUMIF($A:$A,$A4865,$L:$L)),0)</f>
        <v>-0.80776312945753181</v>
      </c>
      <c r="N4865" s="30">
        <f>IFERROR((VLOOKUP($A4865,HeadJournal!$A$1:$K$890,COLUMN(HeadJournal!K$1),0)-VLOOKUP($A4865,HeadJournal!$A$1:$K$890,COLUMN(HeadJournal!J$1),0))*($K4865+$L4865)/(SUMIF($A:$A,$A4865,$K:$K)+SUMIF($A:$A,$A4865,$L:$L)),0)</f>
        <v>0</v>
      </c>
      <c r="O4865" s="30">
        <f>IFERROR((VLOOKUP($A4865,HeadJournal!$A$1:$L$890,COLUMN(HeadJournal!L$1),0)*($K4865+$L4865)/(SUMIF($A:$A,$A4865,$K:$K)+SUMIF($A:$A,$A4865,$L:$L)))/VLOOKUP($A4865,HeadJournal!$A$1:$L$890,COLUMN(HeadJournal!H$1),0),0)</f>
        <v>0.47290374198693425</v>
      </c>
      <c r="P4865" s="30">
        <f>IFERROR(SUM(K4865:O4865)*VLOOKUP($A4865,HeadJournal!$A$1:$L$890,COLUMN(HeadJournal!H$1),0),0)</f>
        <v>1405.3415922844176</v>
      </c>
      <c r="Q4865" s="29">
        <v>2500</v>
      </c>
      <c r="R4865" s="31">
        <v>45881</v>
      </c>
      <c r="S4865" s="31" t="s">
        <v>3441</v>
      </c>
      <c r="T4865" s="95" t="str">
        <f t="shared" si="365"/>
        <v>2025 08</v>
      </c>
      <c r="U4865" s="32">
        <f t="shared" si="358"/>
        <v>1094.6584077155824</v>
      </c>
      <c r="V4865" s="22">
        <f t="shared" si="359"/>
        <v>0.77892692689482557</v>
      </c>
      <c r="X4865" s="33"/>
      <c r="Y4865" s="33"/>
    </row>
    <row r="4866" spans="1:25" x14ac:dyDescent="0.2">
      <c r="A4866" s="93" t="s">
        <v>4019</v>
      </c>
      <c r="B4866" s="94" t="str">
        <f>IFERROR(VLOOKUP($A4866,HeadJournal!$A$1:$NTR$890,COLUMN(HeadJournal!B$1),0),"")</f>
        <v>720000735117</v>
      </c>
      <c r="C4866" s="94" t="str">
        <f>IFERROR(VLOOKUP($A4866,HeadJournal!$A$1:$NTR$890,COLUMN(HeadJournal!C$1),0),"")</f>
        <v>iHerb_AV CYG0792</v>
      </c>
      <c r="D4866" s="125" t="str">
        <f>IFERROR(VLOOKUP($A4866,HeadJournal!$A$1:$NTR$890,COLUMN(HeadJournal!D$1),0),"")</f>
        <v>Доставлен</v>
      </c>
      <c r="E4866" s="95">
        <f>IFERROR(VLOOKUP($A4866,HeadJournal!$A$1:$NTR$890,COLUMN(HeadJournal!G$1),0),"")</f>
        <v>45849</v>
      </c>
      <c r="F4866" s="95" t="str">
        <f t="shared" si="364"/>
        <v>2025 07</v>
      </c>
      <c r="G4866" s="97" t="s">
        <v>5</v>
      </c>
      <c r="H4866" s="161" t="s">
        <v>4016</v>
      </c>
      <c r="I4866" s="97" t="s">
        <v>2207</v>
      </c>
      <c r="J4866" s="97" t="s">
        <v>4017</v>
      </c>
      <c r="K4866" s="29">
        <v>49.23</v>
      </c>
      <c r="L4866" s="29">
        <v>-10.83</v>
      </c>
      <c r="M4866" s="30">
        <f>IFERROR(VLOOKUP($A4866,HeadJournal!$A$1:$J$890,COLUMN(HeadJournal!I$1),0)*($K4866+$L4866)/(SUMIF($A:$A,$A4866,$K:$K)+SUMIF($A:$A,$A4866,$L:$L)),0)</f>
        <v>-1.9253944240328504</v>
      </c>
      <c r="N4866" s="30">
        <f>IFERROR((VLOOKUP($A4866,HeadJournal!$A$1:$K$890,COLUMN(HeadJournal!K$1),0)-VLOOKUP($A4866,HeadJournal!$A$1:$K$890,COLUMN(HeadJournal!J$1),0))*($K4866+$L4866)/(SUMIF($A:$A,$A4866,$K:$K)+SUMIF($A:$A,$A4866,$L:$L)),0)</f>
        <v>0</v>
      </c>
      <c r="O4866" s="30">
        <f>IFERROR((VLOOKUP($A4866,HeadJournal!$A$1:$L$890,COLUMN(HeadJournal!L$1),0)*($K4866+$L4866)/(SUMIF($A:$A,$A4866,$K:$K)+SUMIF($A:$A,$A4866,$L:$L)))/VLOOKUP($A4866,HeadJournal!$A$1:$L$890,COLUMN(HeadJournal!H$1),0),0)</f>
        <v>1.1272193477528414</v>
      </c>
      <c r="P4866" s="30">
        <f>IFERROR(SUM(K4866:O4866)*VLOOKUP($A4866,HeadJournal!$A$1:$L$890,COLUMN(HeadJournal!H$1),0),0)</f>
        <v>3349.790015128593</v>
      </c>
      <c r="Q4866" s="29">
        <v>5200</v>
      </c>
      <c r="R4866" s="31">
        <v>45881</v>
      </c>
      <c r="S4866" s="31" t="s">
        <v>3226</v>
      </c>
      <c r="T4866" s="95" t="str">
        <f t="shared" si="365"/>
        <v>2025 08</v>
      </c>
      <c r="U4866" s="32">
        <f t="shared" si="358"/>
        <v>1850.209984871407</v>
      </c>
      <c r="V4866" s="22">
        <f t="shared" si="359"/>
        <v>0.55233610958159729</v>
      </c>
      <c r="X4866" s="33"/>
      <c r="Y4866" s="33"/>
    </row>
    <row r="4867" spans="1:25" x14ac:dyDescent="0.2">
      <c r="A4867" s="93" t="s">
        <v>4019</v>
      </c>
      <c r="B4867" s="94" t="str">
        <f>IFERROR(VLOOKUP($A4867,HeadJournal!$A$1:$NTR$890,COLUMN(HeadJournal!B$1),0),"")</f>
        <v>720000735117</v>
      </c>
      <c r="C4867" s="94" t="str">
        <f>IFERROR(VLOOKUP($A4867,HeadJournal!$A$1:$NTR$890,COLUMN(HeadJournal!C$1),0),"")</f>
        <v>iHerb_AV CYG0792</v>
      </c>
      <c r="D4867" s="125" t="str">
        <f>IFERROR(VLOOKUP($A4867,HeadJournal!$A$1:$NTR$890,COLUMN(HeadJournal!D$1),0),"")</f>
        <v>Доставлен</v>
      </c>
      <c r="E4867" s="95">
        <f>IFERROR(VLOOKUP($A4867,HeadJournal!$A$1:$NTR$890,COLUMN(HeadJournal!G$1),0),"")</f>
        <v>45849</v>
      </c>
      <c r="F4867" s="95" t="str">
        <f t="shared" si="364"/>
        <v>2025 07</v>
      </c>
      <c r="G4867" s="97" t="s">
        <v>5</v>
      </c>
      <c r="H4867" s="161" t="s">
        <v>3796</v>
      </c>
      <c r="I4867" s="97" t="s">
        <v>2009</v>
      </c>
      <c r="J4867" s="97" t="s">
        <v>3797</v>
      </c>
      <c r="K4867" s="29">
        <v>24.16</v>
      </c>
      <c r="L4867" s="29">
        <v>-5.32</v>
      </c>
      <c r="M4867" s="30">
        <f>IFERROR(VLOOKUP($A4867,HeadJournal!$A$1:$J$890,COLUMN(HeadJournal!I$1),0)*($K4867+$L4867)/(SUMIF($A:$A,$A4867,$K:$K)+SUMIF($A:$A,$A4867,$L:$L)),0)</f>
        <v>-0.94464663929111725</v>
      </c>
      <c r="N4867" s="30">
        <f>IFERROR((VLOOKUP($A4867,HeadJournal!$A$1:$K$890,COLUMN(HeadJournal!K$1),0)-VLOOKUP($A4867,HeadJournal!$A$1:$K$890,COLUMN(HeadJournal!J$1),0))*($K4867+$L4867)/(SUMIF($A:$A,$A4867,$K:$K)+SUMIF($A:$A,$A4867,$L:$L)),0)</f>
        <v>0</v>
      </c>
      <c r="O4867" s="30">
        <f>IFERROR((VLOOKUP($A4867,HeadJournal!$A$1:$L$890,COLUMN(HeadJournal!L$1),0)*($K4867+$L4867)/(SUMIF($A:$A,$A4867,$K:$K)+SUMIF($A:$A,$A4867,$L:$L)))/VLOOKUP($A4867,HeadJournal!$A$1:$L$890,COLUMN(HeadJournal!H$1),0),0)</f>
        <v>0.55304199249123775</v>
      </c>
      <c r="P4867" s="30">
        <f>IFERROR(SUM(K4867:O4867)*VLOOKUP($A4867,HeadJournal!$A$1:$L$890,COLUMN(HeadJournal!H$1),0),0)</f>
        <v>1643.4907261724659</v>
      </c>
      <c r="Q4867" s="29">
        <v>2900</v>
      </c>
      <c r="R4867" s="31">
        <v>45882</v>
      </c>
      <c r="S4867" s="31" t="s">
        <v>3235</v>
      </c>
      <c r="T4867" s="95" t="str">
        <f t="shared" si="365"/>
        <v>2025 08</v>
      </c>
      <c r="U4867" s="32">
        <f t="shared" si="358"/>
        <v>1256.5092738275341</v>
      </c>
      <c r="V4867" s="22">
        <f t="shared" si="359"/>
        <v>0.76453688105306505</v>
      </c>
      <c r="X4867" s="33"/>
      <c r="Y4867" s="33"/>
    </row>
    <row r="4868" spans="1:25" x14ac:dyDescent="0.2">
      <c r="A4868" s="93" t="s">
        <v>4019</v>
      </c>
      <c r="B4868" s="94" t="str">
        <f>IFERROR(VLOOKUP($A4868,HeadJournal!$A$1:$NTR$890,COLUMN(HeadJournal!B$1),0),"")</f>
        <v>720000735117</v>
      </c>
      <c r="C4868" s="94" t="str">
        <f>IFERROR(VLOOKUP($A4868,HeadJournal!$A$1:$NTR$890,COLUMN(HeadJournal!C$1),0),"")</f>
        <v>iHerb_AV CYG0792</v>
      </c>
      <c r="D4868" s="125" t="str">
        <f>IFERROR(VLOOKUP($A4868,HeadJournal!$A$1:$NTR$890,COLUMN(HeadJournal!D$1),0),"")</f>
        <v>Доставлен</v>
      </c>
      <c r="E4868" s="95">
        <f>IFERROR(VLOOKUP($A4868,HeadJournal!$A$1:$NTR$890,COLUMN(HeadJournal!G$1),0),"")</f>
        <v>45849</v>
      </c>
      <c r="F4868" s="95" t="str">
        <f t="shared" ref="F4868:F4931" si="367">IFERROR(TEXT(E4868, "ГГГГ ММ"),"")</f>
        <v>2025 07</v>
      </c>
      <c r="G4868" s="97" t="s">
        <v>5</v>
      </c>
      <c r="H4868" s="161" t="s">
        <v>3794</v>
      </c>
      <c r="I4868" s="97" t="s">
        <v>2009</v>
      </c>
      <c r="J4868" s="97" t="s">
        <v>3795</v>
      </c>
      <c r="K4868" s="29">
        <v>13.05</v>
      </c>
      <c r="L4868" s="29">
        <v>-2.87</v>
      </c>
      <c r="M4868" s="30">
        <f>IFERROR(VLOOKUP($A4868,HeadJournal!$A$1:$J$890,COLUMN(HeadJournal!I$1),0)*($K4868+$L4868)/(SUMIF($A:$A,$A4868,$K:$K)+SUMIF($A:$A,$A4868,$L:$L)),0)</f>
        <v>-0.51043008428787551</v>
      </c>
      <c r="N4868" s="30">
        <f>IFERROR((VLOOKUP($A4868,HeadJournal!$A$1:$K$890,COLUMN(HeadJournal!K$1),0)-VLOOKUP($A4868,HeadJournal!$A$1:$K$890,COLUMN(HeadJournal!J$1),0))*($K4868+$L4868)/(SUMIF($A:$A,$A4868,$K:$K)+SUMIF($A:$A,$A4868,$L:$L)),0)</f>
        <v>0</v>
      </c>
      <c r="O4868" s="30">
        <f>IFERROR((VLOOKUP($A4868,HeadJournal!$A$1:$L$890,COLUMN(HeadJournal!L$1),0)*($K4868+$L4868)/(SUMIF($A:$A,$A4868,$K:$K)+SUMIF($A:$A,$A4868,$L:$L)))/VLOOKUP($A4868,HeadJournal!$A$1:$L$890,COLUMN(HeadJournal!H$1),0),0)</f>
        <v>0.29883054583656055</v>
      </c>
      <c r="P4868" s="30">
        <f>IFERROR(SUM(K4868:O4868)*VLOOKUP($A4868,HeadJournal!$A$1:$L$890,COLUMN(HeadJournal!H$1),0),0)</f>
        <v>888.04329046898636</v>
      </c>
      <c r="Q4868" s="29">
        <v>2000</v>
      </c>
      <c r="R4868" s="31">
        <v>45882</v>
      </c>
      <c r="S4868" s="31" t="s">
        <v>3235</v>
      </c>
      <c r="T4868" s="95" t="str">
        <f t="shared" ref="T4868:T4931" si="368">IF(R4868="","",TEXT(R4868,"ГГГГ ММ"))</f>
        <v>2025 08</v>
      </c>
      <c r="U4868" s="32">
        <f t="shared" si="358"/>
        <v>1111.9567095310135</v>
      </c>
      <c r="V4868" s="22">
        <f t="shared" si="359"/>
        <v>1.2521424591179287</v>
      </c>
      <c r="X4868" s="33"/>
      <c r="Y4868" s="33"/>
    </row>
    <row r="4869" spans="1:25" x14ac:dyDescent="0.2">
      <c r="A4869" s="93" t="s">
        <v>4030</v>
      </c>
      <c r="B4869" s="94" t="str">
        <f>IFERROR(VLOOKUP($A4869,HeadJournal!$A$1:$NTR$890,COLUMN(HeadJournal!B$1),0),"")</f>
        <v>720000740761</v>
      </c>
      <c r="C4869" s="94" t="str">
        <f>IFERROR(VLOOKUP($A4869,HeadJournal!$A$1:$NTR$890,COLUMN(HeadJournal!C$1),0),"")</f>
        <v>iHerb_AV CYG0792</v>
      </c>
      <c r="D4869" s="125" t="str">
        <f>IFERROR(VLOOKUP($A4869,HeadJournal!$A$1:$NTR$890,COLUMN(HeadJournal!D$1),0),"")</f>
        <v>Доставлен</v>
      </c>
      <c r="E4869" s="95">
        <f>IFERROR(VLOOKUP($A4869,HeadJournal!$A$1:$NTR$890,COLUMN(HeadJournal!G$1),0),"")</f>
        <v>45853</v>
      </c>
      <c r="F4869" s="95" t="str">
        <f t="shared" si="367"/>
        <v>2025 07</v>
      </c>
      <c r="G4869" s="97" t="s">
        <v>5</v>
      </c>
      <c r="H4869" s="161" t="s">
        <v>4020</v>
      </c>
      <c r="I4869" s="97" t="s">
        <v>2005</v>
      </c>
      <c r="J4869" s="97" t="s">
        <v>4021</v>
      </c>
      <c r="K4869" s="29">
        <v>10.86</v>
      </c>
      <c r="L4869" s="29">
        <v>-2.17</v>
      </c>
      <c r="M4869" s="30">
        <f>IFERROR(VLOOKUP($A4869,HeadJournal!$A$1:$J$890,COLUMN(HeadJournal!I$1),0)*($K4869+$L4869)/(SUMIF($A:$A,$A4869,$K:$K)+SUMIF($A:$A,$A4869,$L:$L)),0)</f>
        <v>-0.42471596724667343</v>
      </c>
      <c r="N4869" s="30">
        <f>IFERROR((VLOOKUP($A4869,HeadJournal!$A$1:$K$890,COLUMN(HeadJournal!K$1),0)-VLOOKUP($A4869,HeadJournal!$A$1:$K$890,COLUMN(HeadJournal!J$1),0))*($K4869+$L4869)/(SUMIF($A:$A,$A4869,$K:$K)+SUMIF($A:$A,$A4869,$L:$L)),0)</f>
        <v>-1.2639951635118258E-15</v>
      </c>
      <c r="O4869" s="30">
        <f>IFERROR((VLOOKUP($A4869,HeadJournal!$A$1:$L$890,COLUMN(HeadJournal!L$1),0)*($K4869+$L4869)/(SUMIF($A:$A,$A4869,$K:$K)+SUMIF($A:$A,$A4869,$L:$L)))/VLOOKUP($A4869,HeadJournal!$A$1:$L$890,COLUMN(HeadJournal!H$1),0),0)</f>
        <v>0.24243540173933811</v>
      </c>
      <c r="P4869" s="30">
        <f>IFERROR(SUM(K4869:O4869)*VLOOKUP($A4869,HeadJournal!$A$1:$L$890,COLUMN(HeadJournal!H$1),0),0)</f>
        <v>755.36646468781964</v>
      </c>
      <c r="Q4869" s="29">
        <v>1500</v>
      </c>
      <c r="R4869" s="31">
        <v>45882</v>
      </c>
      <c r="S4869" s="31"/>
      <c r="T4869" s="95" t="str">
        <f t="shared" si="368"/>
        <v>2025 08</v>
      </c>
      <c r="U4869" s="32">
        <f t="shared" si="358"/>
        <v>744.63353531218036</v>
      </c>
      <c r="V4869" s="22">
        <f t="shared" si="359"/>
        <v>0.98579109627262174</v>
      </c>
      <c r="X4869" s="33"/>
      <c r="Y4869" s="33"/>
    </row>
    <row r="4870" spans="1:25" x14ac:dyDescent="0.2">
      <c r="A4870" s="93" t="s">
        <v>4030</v>
      </c>
      <c r="B4870" s="94" t="str">
        <f>IFERROR(VLOOKUP($A4870,HeadJournal!$A$1:$NTR$890,COLUMN(HeadJournal!B$1),0),"")</f>
        <v>720000740761</v>
      </c>
      <c r="C4870" s="94" t="str">
        <f>IFERROR(VLOOKUP($A4870,HeadJournal!$A$1:$NTR$890,COLUMN(HeadJournal!C$1),0),"")</f>
        <v>iHerb_AV CYG0792</v>
      </c>
      <c r="D4870" s="125" t="str">
        <f>IFERROR(VLOOKUP($A4870,HeadJournal!$A$1:$NTR$890,COLUMN(HeadJournal!D$1),0),"")</f>
        <v>Доставлен</v>
      </c>
      <c r="E4870" s="95">
        <f>IFERROR(VLOOKUP($A4870,HeadJournal!$A$1:$NTR$890,COLUMN(HeadJournal!G$1),0),"")</f>
        <v>45853</v>
      </c>
      <c r="F4870" s="95" t="str">
        <f t="shared" si="367"/>
        <v>2025 07</v>
      </c>
      <c r="G4870" s="97" t="s">
        <v>5</v>
      </c>
      <c r="H4870" s="161" t="s">
        <v>3033</v>
      </c>
      <c r="I4870" s="97" t="s">
        <v>2007</v>
      </c>
      <c r="J4870" s="97" t="s">
        <v>3034</v>
      </c>
      <c r="K4870" s="29">
        <v>41.78</v>
      </c>
      <c r="L4870" s="29">
        <v>-19.57</v>
      </c>
      <c r="M4870" s="30">
        <f>IFERROR(VLOOKUP($A4870,HeadJournal!$A$1:$J$890,COLUMN(HeadJournal!I$1),0)*($K4870+$L4870)/(SUMIF($A:$A,$A4870,$K:$K)+SUMIF($A:$A,$A4870,$L:$L)),0)</f>
        <v>-1.0854938587512795</v>
      </c>
      <c r="N4870" s="30">
        <f>IFERROR((VLOOKUP($A4870,HeadJournal!$A$1:$K$890,COLUMN(HeadJournal!K$1),0)-VLOOKUP($A4870,HeadJournal!$A$1:$K$890,COLUMN(HeadJournal!J$1),0))*($K4870+$L4870)/(SUMIF($A:$A,$A4870,$K:$K)+SUMIF($A:$A,$A4870,$L:$L)),0)</f>
        <v>-3.2305330933944368E-15</v>
      </c>
      <c r="O4870" s="30">
        <f>IFERROR((VLOOKUP($A4870,HeadJournal!$A$1:$L$890,COLUMN(HeadJournal!L$1),0)*($K4870+$L4870)/(SUMIF($A:$A,$A4870,$K:$K)+SUMIF($A:$A,$A4870,$L:$L)))/VLOOKUP($A4870,HeadJournal!$A$1:$L$890,COLUMN(HeadJournal!H$1),0),0)</f>
        <v>0.61961913378949363</v>
      </c>
      <c r="P4870" s="30">
        <f>IFERROR(SUM(K4870:O4870)*VLOOKUP($A4870,HeadJournal!$A$1:$L$890,COLUMN(HeadJournal!H$1),0),0)</f>
        <v>1930.5741289662233</v>
      </c>
      <c r="Q4870" s="29"/>
      <c r="R4870" s="31"/>
      <c r="S4870" s="31"/>
      <c r="T4870" s="95" t="str">
        <f t="shared" si="368"/>
        <v/>
      </c>
      <c r="U4870" s="32">
        <f t="shared" si="358"/>
        <v>-1930.5741289662233</v>
      </c>
      <c r="V4870" s="22" t="str">
        <f t="shared" si="359"/>
        <v/>
      </c>
      <c r="X4870" s="33"/>
      <c r="Y4870" s="33"/>
    </row>
    <row r="4871" spans="1:25" x14ac:dyDescent="0.2">
      <c r="A4871" s="93" t="s">
        <v>4030</v>
      </c>
      <c r="B4871" s="94" t="str">
        <f>IFERROR(VLOOKUP($A4871,HeadJournal!$A$1:$NTR$890,COLUMN(HeadJournal!B$1),0),"")</f>
        <v>720000740761</v>
      </c>
      <c r="C4871" s="94" t="str">
        <f>IFERROR(VLOOKUP($A4871,HeadJournal!$A$1:$NTR$890,COLUMN(HeadJournal!C$1),0),"")</f>
        <v>iHerb_AV CYG0792</v>
      </c>
      <c r="D4871" s="125" t="str">
        <f>IFERROR(VLOOKUP($A4871,HeadJournal!$A$1:$NTR$890,COLUMN(HeadJournal!D$1),0),"")</f>
        <v>Доставлен</v>
      </c>
      <c r="E4871" s="95">
        <f>IFERROR(VLOOKUP($A4871,HeadJournal!$A$1:$NTR$890,COLUMN(HeadJournal!G$1),0),"")</f>
        <v>45853</v>
      </c>
      <c r="F4871" s="95" t="str">
        <f t="shared" si="367"/>
        <v>2025 07</v>
      </c>
      <c r="G4871" s="97" t="s">
        <v>5</v>
      </c>
      <c r="H4871" s="161" t="s">
        <v>4022</v>
      </c>
      <c r="I4871" s="97" t="s">
        <v>4023</v>
      </c>
      <c r="J4871" s="97" t="s">
        <v>4024</v>
      </c>
      <c r="K4871" s="29">
        <v>59.33</v>
      </c>
      <c r="L4871" s="29">
        <v>-11.87</v>
      </c>
      <c r="M4871" s="30">
        <f>IFERROR(VLOOKUP($A4871,HeadJournal!$A$1:$J$890,COLUMN(HeadJournal!I$1),0)*($K4871+$L4871)/(SUMIF($A:$A,$A4871,$K:$K)+SUMIF($A:$A,$A4871,$L:$L)),0)</f>
        <v>-2.3195649948822927</v>
      </c>
      <c r="N4871" s="30">
        <f>IFERROR((VLOOKUP($A4871,HeadJournal!$A$1:$K$890,COLUMN(HeadJournal!K$1),0)-VLOOKUP($A4871,HeadJournal!$A$1:$K$890,COLUMN(HeadJournal!J$1),0))*($K4871+$L4871)/(SUMIF($A:$A,$A4871,$K:$K)+SUMIF($A:$A,$A4871,$L:$L)),0)</f>
        <v>-6.9032463130346676E-15</v>
      </c>
      <c r="O4871" s="30">
        <f>IFERROR((VLOOKUP($A4871,HeadJournal!$A$1:$L$890,COLUMN(HeadJournal!L$1),0)*($K4871+$L4871)/(SUMIF($A:$A,$A4871,$K:$K)+SUMIF($A:$A,$A4871,$L:$L)))/VLOOKUP($A4871,HeadJournal!$A$1:$L$890,COLUMN(HeadJournal!H$1),0),0)</f>
        <v>1.3240488108802055</v>
      </c>
      <c r="P4871" s="30">
        <f>IFERROR(SUM(K4871:O4871)*VLOOKUP($A4871,HeadJournal!$A$1:$L$890,COLUMN(HeadJournal!H$1),0),0)</f>
        <v>4125.3961351074713</v>
      </c>
      <c r="Q4871" s="29">
        <v>5900</v>
      </c>
      <c r="R4871" s="31">
        <v>45881</v>
      </c>
      <c r="S4871" s="31"/>
      <c r="T4871" s="95" t="str">
        <f t="shared" si="368"/>
        <v>2025 08</v>
      </c>
      <c r="U4871" s="32">
        <f t="shared" si="358"/>
        <v>1774.6038648925287</v>
      </c>
      <c r="V4871" s="22">
        <f t="shared" si="359"/>
        <v>0.43016568755434154</v>
      </c>
      <c r="X4871" s="33"/>
      <c r="Y4871" s="33"/>
    </row>
    <row r="4872" spans="1:25" x14ac:dyDescent="0.2">
      <c r="A4872" s="93" t="s">
        <v>4030</v>
      </c>
      <c r="B4872" s="94" t="str">
        <f>IFERROR(VLOOKUP($A4872,HeadJournal!$A$1:$NTR$890,COLUMN(HeadJournal!B$1),0),"")</f>
        <v>720000740761</v>
      </c>
      <c r="C4872" s="94" t="str">
        <f>IFERROR(VLOOKUP($A4872,HeadJournal!$A$1:$NTR$890,COLUMN(HeadJournal!C$1),0),"")</f>
        <v>iHerb_AV CYG0792</v>
      </c>
      <c r="D4872" s="125" t="str">
        <f>IFERROR(VLOOKUP($A4872,HeadJournal!$A$1:$NTR$890,COLUMN(HeadJournal!D$1),0),"")</f>
        <v>Доставлен</v>
      </c>
      <c r="E4872" s="95">
        <f>IFERROR(VLOOKUP($A4872,HeadJournal!$A$1:$NTR$890,COLUMN(HeadJournal!G$1),0),"")</f>
        <v>45853</v>
      </c>
      <c r="F4872" s="95" t="str">
        <f t="shared" si="367"/>
        <v>2025 07</v>
      </c>
      <c r="G4872" s="97" t="s">
        <v>5</v>
      </c>
      <c r="H4872" s="161" t="s">
        <v>2016</v>
      </c>
      <c r="I4872" s="97" t="s">
        <v>2005</v>
      </c>
      <c r="J4872" s="97" t="s">
        <v>2017</v>
      </c>
      <c r="K4872" s="29">
        <v>40.090000000000003</v>
      </c>
      <c r="L4872" s="29">
        <v>-8.02</v>
      </c>
      <c r="M4872" s="30">
        <f>IFERROR(VLOOKUP($A4872,HeadJournal!$A$1:$J$890,COLUMN(HeadJournal!I$1),0)*($K4872+$L4872)/(SUMIF($A:$A,$A4872,$K:$K)+SUMIF($A:$A,$A4872,$L:$L)),0)</f>
        <v>-1.5673925281473902</v>
      </c>
      <c r="N4872" s="30">
        <f>IFERROR((VLOOKUP($A4872,HeadJournal!$A$1:$K$890,COLUMN(HeadJournal!K$1),0)-VLOOKUP($A4872,HeadJournal!$A$1:$K$890,COLUMN(HeadJournal!J$1),0))*($K4872+$L4872)/(SUMIF($A:$A,$A4872,$K:$K)+SUMIF($A:$A,$A4872,$L:$L)),0)</f>
        <v>-4.6647094239153353E-15</v>
      </c>
      <c r="O4872" s="30">
        <f>IFERROR((VLOOKUP($A4872,HeadJournal!$A$1:$L$890,COLUMN(HeadJournal!L$1),0)*($K4872+$L4872)/(SUMIF($A:$A,$A4872,$K:$K)+SUMIF($A:$A,$A4872,$L:$L)))/VLOOKUP($A4872,HeadJournal!$A$1:$L$890,COLUMN(HeadJournal!H$1),0),0)</f>
        <v>0.89469543541778762</v>
      </c>
      <c r="P4872" s="30">
        <f>IFERROR(SUM(K4872:O4872)*VLOOKUP($A4872,HeadJournal!$A$1:$L$890,COLUMN(HeadJournal!H$1),0),0)</f>
        <v>2787.6412569089052</v>
      </c>
      <c r="Q4872" s="29">
        <v>4400</v>
      </c>
      <c r="R4872" s="31">
        <v>45893</v>
      </c>
      <c r="S4872" s="31"/>
      <c r="T4872" s="95" t="str">
        <f t="shared" si="368"/>
        <v>2025 08</v>
      </c>
      <c r="U4872" s="32">
        <f t="shared" si="358"/>
        <v>1612.3587430910948</v>
      </c>
      <c r="V4872" s="22">
        <f t="shared" si="359"/>
        <v>0.57839535094231231</v>
      </c>
      <c r="X4872" s="33"/>
      <c r="Y4872" s="33"/>
    </row>
    <row r="4873" spans="1:25" x14ac:dyDescent="0.2">
      <c r="A4873" s="93" t="s">
        <v>4030</v>
      </c>
      <c r="B4873" s="94" t="str">
        <f>IFERROR(VLOOKUP($A4873,HeadJournal!$A$1:$NTR$890,COLUMN(HeadJournal!B$1),0),"")</f>
        <v>720000740761</v>
      </c>
      <c r="C4873" s="94" t="str">
        <f>IFERROR(VLOOKUP($A4873,HeadJournal!$A$1:$NTR$890,COLUMN(HeadJournal!C$1),0),"")</f>
        <v>iHerb_AV CYG0792</v>
      </c>
      <c r="D4873" s="125" t="str">
        <f>IFERROR(VLOOKUP($A4873,HeadJournal!$A$1:$NTR$890,COLUMN(HeadJournal!D$1),0),"")</f>
        <v>Доставлен</v>
      </c>
      <c r="E4873" s="95">
        <f>IFERROR(VLOOKUP($A4873,HeadJournal!$A$1:$NTR$890,COLUMN(HeadJournal!G$1),0),"")</f>
        <v>45853</v>
      </c>
      <c r="F4873" s="95" t="str">
        <f t="shared" si="367"/>
        <v>2025 07</v>
      </c>
      <c r="G4873" s="97" t="s">
        <v>5</v>
      </c>
      <c r="H4873" s="161" t="s">
        <v>2488</v>
      </c>
      <c r="I4873" s="97" t="s">
        <v>2005</v>
      </c>
      <c r="J4873" s="97" t="s">
        <v>2489</v>
      </c>
      <c r="K4873" s="29">
        <v>20.28</v>
      </c>
      <c r="L4873" s="29">
        <v>-4.0599999999999996</v>
      </c>
      <c r="M4873" s="30">
        <f>IFERROR(VLOOKUP($A4873,HeadJournal!$A$1:$J$890,COLUMN(HeadJournal!I$1),0)*($K4873+$L4873)/(SUMIF($A:$A,$A4873,$K:$K)+SUMIF($A:$A,$A4873,$L:$L)),0)</f>
        <v>-0.79273797338792229</v>
      </c>
      <c r="N4873" s="30">
        <f>IFERROR((VLOOKUP($A4873,HeadJournal!$A$1:$K$890,COLUMN(HeadJournal!K$1),0)-VLOOKUP($A4873,HeadJournal!$A$1:$K$890,COLUMN(HeadJournal!J$1),0))*($K4873+$L4873)/(SUMIF($A:$A,$A4873,$K:$K)+SUMIF($A:$A,$A4873,$L:$L)),0)</f>
        <v>-2.3592636999035465E-15</v>
      </c>
      <c r="O4873" s="30">
        <f>IFERROR((VLOOKUP($A4873,HeadJournal!$A$1:$L$890,COLUMN(HeadJournal!L$1),0)*($K4873+$L4873)/(SUMIF($A:$A,$A4873,$K:$K)+SUMIF($A:$A,$A4873,$L:$L)))/VLOOKUP($A4873,HeadJournal!$A$1:$L$890,COLUMN(HeadJournal!H$1),0),0)</f>
        <v>0.45250888564005343</v>
      </c>
      <c r="P4873" s="30">
        <f>IFERROR(SUM(K4873:O4873)*VLOOKUP($A4873,HeadJournal!$A$1:$L$890,COLUMN(HeadJournal!H$1),0),0)</f>
        <v>1409.9015025588537</v>
      </c>
      <c r="Q4873" s="29">
        <v>2500</v>
      </c>
      <c r="R4873" s="31">
        <v>45944</v>
      </c>
      <c r="S4873" s="31" t="s">
        <v>3206</v>
      </c>
      <c r="T4873" s="95" t="str">
        <f t="shared" si="368"/>
        <v>2025 10</v>
      </c>
      <c r="U4873" s="32">
        <f t="shared" si="358"/>
        <v>1090.0984974411463</v>
      </c>
      <c r="V4873" s="22">
        <f t="shared" si="359"/>
        <v>0.77317351280405644</v>
      </c>
      <c r="X4873" s="33"/>
      <c r="Y4873" s="33"/>
    </row>
    <row r="4874" spans="1:25" x14ac:dyDescent="0.2">
      <c r="A4874" s="93" t="s">
        <v>4030</v>
      </c>
      <c r="B4874" s="94" t="str">
        <f>IFERROR(VLOOKUP($A4874,HeadJournal!$A$1:$NTR$890,COLUMN(HeadJournal!B$1),0),"")</f>
        <v>720000740761</v>
      </c>
      <c r="C4874" s="94" t="str">
        <f>IFERROR(VLOOKUP($A4874,HeadJournal!$A$1:$NTR$890,COLUMN(HeadJournal!C$1),0),"")</f>
        <v>iHerb_AV CYG0792</v>
      </c>
      <c r="D4874" s="125" t="str">
        <f>IFERROR(VLOOKUP($A4874,HeadJournal!$A$1:$NTR$890,COLUMN(HeadJournal!D$1),0),"")</f>
        <v>Доставлен</v>
      </c>
      <c r="E4874" s="95">
        <f>IFERROR(VLOOKUP($A4874,HeadJournal!$A$1:$NTR$890,COLUMN(HeadJournal!G$1),0),"")</f>
        <v>45853</v>
      </c>
      <c r="F4874" s="95" t="str">
        <f t="shared" si="367"/>
        <v>2025 07</v>
      </c>
      <c r="G4874" s="97" t="s">
        <v>5</v>
      </c>
      <c r="H4874" s="161" t="s">
        <v>2206</v>
      </c>
      <c r="I4874" s="97" t="s">
        <v>2207</v>
      </c>
      <c r="J4874" s="97" t="s">
        <v>2208</v>
      </c>
      <c r="K4874" s="29">
        <v>32.24</v>
      </c>
      <c r="L4874" s="29">
        <v>-6.45</v>
      </c>
      <c r="M4874" s="30">
        <f>IFERROR(VLOOKUP($A4874,HeadJournal!$A$1:$J$890,COLUMN(HeadJournal!I$1),0)*($K4874+$L4874)/(SUMIF($A:$A,$A4874,$K:$K)+SUMIF($A:$A,$A4874,$L:$L)),0)</f>
        <v>-1.2604631525076766</v>
      </c>
      <c r="N4874" s="30">
        <f>IFERROR((VLOOKUP($A4874,HeadJournal!$A$1:$K$890,COLUMN(HeadJournal!K$1),0)-VLOOKUP($A4874,HeadJournal!$A$1:$K$890,COLUMN(HeadJournal!J$1),0))*($K4874+$L4874)/(SUMIF($A:$A,$A4874,$K:$K)+SUMIF($A:$A,$A4874,$L:$L)),0)</f>
        <v>-3.7512583736444179E-15</v>
      </c>
      <c r="O4874" s="30">
        <f>IFERROR((VLOOKUP($A4874,HeadJournal!$A$1:$L$890,COLUMN(HeadJournal!L$1),0)*($K4874+$L4874)/(SUMIF($A:$A,$A4874,$K:$K)+SUMIF($A:$A,$A4874,$L:$L)))/VLOOKUP($A4874,HeadJournal!$A$1:$L$890,COLUMN(HeadJournal!H$1),0),0)</f>
        <v>0.71949470780869162</v>
      </c>
      <c r="P4874" s="30">
        <f>IFERROR(SUM(K4874:O4874)*VLOOKUP($A4874,HeadJournal!$A$1:$L$890,COLUMN(HeadJournal!H$1),0),0)</f>
        <v>2241.760773797339</v>
      </c>
      <c r="Q4874" s="29">
        <v>3700</v>
      </c>
      <c r="R4874" s="31">
        <v>45881</v>
      </c>
      <c r="S4874" s="31" t="s">
        <v>3231</v>
      </c>
      <c r="T4874" s="95" t="str">
        <f t="shared" si="368"/>
        <v>2025 08</v>
      </c>
      <c r="U4874" s="32">
        <f t="shared" si="358"/>
        <v>1458.239226202661</v>
      </c>
      <c r="V4874" s="22">
        <f t="shared" si="359"/>
        <v>0.65048833187161903</v>
      </c>
      <c r="X4874" s="33"/>
      <c r="Y4874" s="33"/>
    </row>
    <row r="4875" spans="1:25" x14ac:dyDescent="0.2">
      <c r="A4875" s="93" t="s">
        <v>4030</v>
      </c>
      <c r="B4875" s="94" t="str">
        <f>IFERROR(VLOOKUP($A4875,HeadJournal!$A$1:$NTR$890,COLUMN(HeadJournal!B$1),0),"")</f>
        <v>720000740761</v>
      </c>
      <c r="C4875" s="94" t="str">
        <f>IFERROR(VLOOKUP($A4875,HeadJournal!$A$1:$NTR$890,COLUMN(HeadJournal!C$1),0),"")</f>
        <v>iHerb_AV CYG0792</v>
      </c>
      <c r="D4875" s="125" t="str">
        <f>IFERROR(VLOOKUP($A4875,HeadJournal!$A$1:$NTR$890,COLUMN(HeadJournal!D$1),0),"")</f>
        <v>Доставлен</v>
      </c>
      <c r="E4875" s="95">
        <f>IFERROR(VLOOKUP($A4875,HeadJournal!$A$1:$NTR$890,COLUMN(HeadJournal!G$1),0),"")</f>
        <v>45853</v>
      </c>
      <c r="F4875" s="95" t="str">
        <f t="shared" si="367"/>
        <v>2025 07</v>
      </c>
      <c r="G4875" s="97" t="s">
        <v>5</v>
      </c>
      <c r="H4875" s="161" t="s">
        <v>4025</v>
      </c>
      <c r="I4875" s="97" t="s">
        <v>3562</v>
      </c>
      <c r="J4875" s="97" t="s">
        <v>4026</v>
      </c>
      <c r="K4875" s="29">
        <v>28.97</v>
      </c>
      <c r="L4875" s="29">
        <v>-5.79</v>
      </c>
      <c r="M4875" s="30">
        <f>IFERROR(VLOOKUP($A4875,HeadJournal!$A$1:$J$890,COLUMN(HeadJournal!I$1),0)*($K4875+$L4875)/(SUMIF($A:$A,$A4875,$K:$K)+SUMIF($A:$A,$A4875,$L:$L)),0)</f>
        <v>-1.1329017400204706</v>
      </c>
      <c r="N4875" s="30">
        <f>IFERROR((VLOOKUP($A4875,HeadJournal!$A$1:$K$890,COLUMN(HeadJournal!K$1),0)-VLOOKUP($A4875,HeadJournal!$A$1:$K$890,COLUMN(HeadJournal!J$1),0))*($K4875+$L4875)/(SUMIF($A:$A,$A4875,$K:$K)+SUMIF($A:$A,$A4875,$L:$L)),0)</f>
        <v>-3.37162346262418E-15</v>
      </c>
      <c r="O4875" s="30">
        <f>IFERROR((VLOOKUP($A4875,HeadJournal!$A$1:$L$890,COLUMN(HeadJournal!L$1),0)*($K4875+$L4875)/(SUMIF($A:$A,$A4875,$K:$K)+SUMIF($A:$A,$A4875,$L:$L)))/VLOOKUP($A4875,HeadJournal!$A$1:$L$890,COLUMN(HeadJournal!H$1),0),0)</f>
        <v>0.64668039267179023</v>
      </c>
      <c r="P4875" s="30">
        <f>IFERROR(SUM(K4875:O4875)*VLOOKUP($A4875,HeadJournal!$A$1:$L$890,COLUMN(HeadJournal!H$1),0),0)</f>
        <v>2014.8900634595698</v>
      </c>
      <c r="Q4875" s="29">
        <v>3100</v>
      </c>
      <c r="R4875" s="31">
        <v>45881</v>
      </c>
      <c r="S4875" s="31" t="s">
        <v>3475</v>
      </c>
      <c r="T4875" s="95" t="str">
        <f t="shared" si="368"/>
        <v>2025 08</v>
      </c>
      <c r="U4875" s="32">
        <f t="shared" si="358"/>
        <v>1085.1099365404302</v>
      </c>
      <c r="V4875" s="22">
        <f t="shared" si="359"/>
        <v>0.53854548008306447</v>
      </c>
      <c r="X4875" s="33"/>
      <c r="Y4875" s="33"/>
    </row>
    <row r="4876" spans="1:25" x14ac:dyDescent="0.2">
      <c r="A4876" s="93" t="s">
        <v>4030</v>
      </c>
      <c r="B4876" s="94" t="str">
        <f>IFERROR(VLOOKUP($A4876,HeadJournal!$A$1:$NTR$890,COLUMN(HeadJournal!B$1),0),"")</f>
        <v>720000740761</v>
      </c>
      <c r="C4876" s="94" t="str">
        <f>IFERROR(VLOOKUP($A4876,HeadJournal!$A$1:$NTR$890,COLUMN(HeadJournal!C$1),0),"")</f>
        <v>iHerb_AV CYG0792</v>
      </c>
      <c r="D4876" s="125" t="str">
        <f>IFERROR(VLOOKUP($A4876,HeadJournal!$A$1:$NTR$890,COLUMN(HeadJournal!D$1),0),"")</f>
        <v>Доставлен</v>
      </c>
      <c r="E4876" s="95">
        <f>IFERROR(VLOOKUP($A4876,HeadJournal!$A$1:$NTR$890,COLUMN(HeadJournal!G$1),0),"")</f>
        <v>45853</v>
      </c>
      <c r="F4876" s="95" t="str">
        <f t="shared" si="367"/>
        <v>2025 07</v>
      </c>
      <c r="G4876" s="97" t="s">
        <v>5</v>
      </c>
      <c r="H4876" s="161" t="s">
        <v>4027</v>
      </c>
      <c r="I4876" s="97" t="s">
        <v>2005</v>
      </c>
      <c r="J4876" s="97" t="s">
        <v>4028</v>
      </c>
      <c r="K4876" s="29">
        <v>15.93</v>
      </c>
      <c r="L4876" s="29">
        <v>-3.19</v>
      </c>
      <c r="M4876" s="30">
        <f>IFERROR(VLOOKUP($A4876,HeadJournal!$A$1:$J$890,COLUMN(HeadJournal!I$1),0)*($K4876+$L4876)/(SUMIF($A:$A,$A4876,$K:$K)+SUMIF($A:$A,$A4876,$L:$L)),0)</f>
        <v>-0.62265609007164791</v>
      </c>
      <c r="N4876" s="30">
        <f>IFERROR((VLOOKUP($A4876,HeadJournal!$A$1:$K$890,COLUMN(HeadJournal!K$1),0)-VLOOKUP($A4876,HeadJournal!$A$1:$K$890,COLUMN(HeadJournal!J$1),0))*($K4876+$L4876)/(SUMIF($A:$A,$A4876,$K:$K)+SUMIF($A:$A,$A4876,$L:$L)),0)</f>
        <v>-1.8530838185432293E-15</v>
      </c>
      <c r="O4876" s="30">
        <f>IFERROR((VLOOKUP($A4876,HeadJournal!$A$1:$L$890,COLUMN(HeadJournal!L$1),0)*($K4876+$L4876)/(SUMIF($A:$A,$A4876,$K:$K)+SUMIF($A:$A,$A4876,$L:$L)))/VLOOKUP($A4876,HeadJournal!$A$1:$L$890,COLUMN(HeadJournal!H$1),0),0)</f>
        <v>0.35542313212418497</v>
      </c>
      <c r="P4876" s="30">
        <f>IFERROR(SUM(K4876:O4876)*VLOOKUP($A4876,HeadJournal!$A$1:$L$890,COLUMN(HeadJournal!H$1),0),0)</f>
        <v>1107.4072221084955</v>
      </c>
      <c r="Q4876" s="29">
        <v>2000</v>
      </c>
      <c r="R4876" s="31">
        <v>45898</v>
      </c>
      <c r="S4876" s="31" t="s">
        <v>3290</v>
      </c>
      <c r="T4876" s="95" t="str">
        <f t="shared" si="368"/>
        <v>2025 08</v>
      </c>
      <c r="U4876" s="32">
        <f t="shared" si="358"/>
        <v>892.59277789150451</v>
      </c>
      <c r="V4876" s="22">
        <f t="shared" si="359"/>
        <v>0.80602036908519903</v>
      </c>
      <c r="X4876" s="33"/>
      <c r="Y4876" s="33"/>
    </row>
    <row r="4877" spans="1:25" x14ac:dyDescent="0.2">
      <c r="A4877" s="93" t="s">
        <v>4030</v>
      </c>
      <c r="B4877" s="94" t="str">
        <f>IFERROR(VLOOKUP($A4877,HeadJournal!$A$1:$NTR$890,COLUMN(HeadJournal!B$1),0),"")</f>
        <v>720000740761</v>
      </c>
      <c r="C4877" s="94" t="str">
        <f>IFERROR(VLOOKUP($A4877,HeadJournal!$A$1:$NTR$890,COLUMN(HeadJournal!C$1),0),"")</f>
        <v>iHerb_AV CYG0792</v>
      </c>
      <c r="D4877" s="125" t="str">
        <f>IFERROR(VLOOKUP($A4877,HeadJournal!$A$1:$NTR$890,COLUMN(HeadJournal!D$1),0),"")</f>
        <v>Доставлен</v>
      </c>
      <c r="E4877" s="95">
        <f>IFERROR(VLOOKUP($A4877,HeadJournal!$A$1:$NTR$890,COLUMN(HeadJournal!G$1),0),"")</f>
        <v>45853</v>
      </c>
      <c r="F4877" s="95" t="str">
        <f t="shared" si="367"/>
        <v>2025 07</v>
      </c>
      <c r="G4877" s="97" t="s">
        <v>5</v>
      </c>
      <c r="H4877" s="161" t="s">
        <v>2203</v>
      </c>
      <c r="I4877" s="97" t="s">
        <v>2166</v>
      </c>
      <c r="J4877" s="97" t="s">
        <v>4099</v>
      </c>
      <c r="K4877" s="29">
        <v>8.8000000000000007</v>
      </c>
      <c r="L4877" s="29">
        <v>-1.76</v>
      </c>
      <c r="M4877" s="30">
        <f>IFERROR(VLOOKUP($A4877,HeadJournal!$A$1:$J$890,COLUMN(HeadJournal!I$1),0)*($K4877+$L4877)/(SUMIF($A:$A,$A4877,$K:$K)+SUMIF($A:$A,$A4877,$L:$L)),0)</f>
        <v>-0.34407369498464691</v>
      </c>
      <c r="N4877" s="30">
        <f>IFERROR((VLOOKUP($A4877,HeadJournal!$A$1:$K$890,COLUMN(HeadJournal!K$1),0)-VLOOKUP($A4877,HeadJournal!$A$1:$K$890,COLUMN(HeadJournal!J$1),0))*($K4877+$L4877)/(SUMIF($A:$A,$A4877,$K:$K)+SUMIF($A:$A,$A4877,$L:$L)),0)</f>
        <v>-1.0239960818323655E-15</v>
      </c>
      <c r="O4877" s="30">
        <f>IFERROR((VLOOKUP($A4877,HeadJournal!$A$1:$L$890,COLUMN(HeadJournal!L$1),0)*($K4877+$L4877)/(SUMIF($A:$A,$A4877,$K:$K)+SUMIF($A:$A,$A4877,$L:$L)))/VLOOKUP($A4877,HeadJournal!$A$1:$L$890,COLUMN(HeadJournal!H$1),0),0)</f>
        <v>0.19640336343440051</v>
      </c>
      <c r="P4877" s="30">
        <f>IFERROR(SUM(K4877:O4877)*VLOOKUP($A4877,HeadJournal!$A$1:$L$890,COLUMN(HeadJournal!H$1),0),0)</f>
        <v>611.94245240532246</v>
      </c>
      <c r="Q4877" s="29">
        <v>611.94000000000005</v>
      </c>
      <c r="R4877" s="31"/>
      <c r="S4877" s="31"/>
      <c r="T4877" s="95" t="str">
        <f t="shared" si="368"/>
        <v/>
      </c>
      <c r="U4877" s="32">
        <f t="shared" si="358"/>
        <v>-2.4524053224013187E-3</v>
      </c>
      <c r="V4877" s="22">
        <f t="shared" si="359"/>
        <v>-4.0075750795876447E-6</v>
      </c>
      <c r="X4877" s="33"/>
      <c r="Y4877" s="33"/>
    </row>
    <row r="4878" spans="1:25" x14ac:dyDescent="0.2">
      <c r="A4878" s="93" t="s">
        <v>4033</v>
      </c>
      <c r="B4878" s="94" t="str">
        <f>IFERROR(VLOOKUP($A4878,HeadJournal!$A$1:$NTR$890,COLUMN(HeadJournal!B$1),0),"")</f>
        <v>720000732422</v>
      </c>
      <c r="C4878" s="94" t="str">
        <f>IFERROR(VLOOKUP($A4878,HeadJournal!$A$1:$NTR$890,COLUMN(HeadJournal!C$1),0),"")</f>
        <v>iHerb_VP DFD1605</v>
      </c>
      <c r="D4878" s="125" t="str">
        <f>IFERROR(VLOOKUP($A4878,HeadJournal!$A$1:$NTR$890,COLUMN(HeadJournal!D$1),0),"")</f>
        <v>Доставлен</v>
      </c>
      <c r="E4878" s="95">
        <f>IFERROR(VLOOKUP($A4878,HeadJournal!$A$1:$NTR$890,COLUMN(HeadJournal!G$1),0),"")</f>
        <v>45847</v>
      </c>
      <c r="F4878" s="95" t="str">
        <f t="shared" si="367"/>
        <v>2025 07</v>
      </c>
      <c r="G4878" s="97" t="s">
        <v>5</v>
      </c>
      <c r="H4878" s="161" t="s">
        <v>2504</v>
      </c>
      <c r="I4878" s="97" t="s">
        <v>2036</v>
      </c>
      <c r="J4878" s="97" t="s">
        <v>3739</v>
      </c>
      <c r="K4878" s="29">
        <v>15.08</v>
      </c>
      <c r="L4878" s="29">
        <v>-3.02</v>
      </c>
      <c r="M4878" s="30">
        <f>IFERROR(VLOOKUP($A4878,HeadJournal!$A$1:$J$890,COLUMN(HeadJournal!I$1),0)*($K4878+$L4878)/(SUMIF($A:$A,$A4878,$K:$K)+SUMIF($A:$A,$A4878,$L:$L)),0)</f>
        <v>-1.1561392214062971</v>
      </c>
      <c r="N4878" s="30">
        <f>IFERROR((VLOOKUP($A4878,HeadJournal!$A$1:$K$890,COLUMN(HeadJournal!K$1),0)-VLOOKUP($A4878,HeadJournal!$A$1:$K$890,COLUMN(HeadJournal!J$1),0))*($K4878+$L4878)/(SUMIF($A:$A,$A4878,$K:$K)+SUMIF($A:$A,$A4878,$L:$L)),0)</f>
        <v>0</v>
      </c>
      <c r="O4878" s="30">
        <f>IFERROR((VLOOKUP($A4878,HeadJournal!$A$1:$L$890,COLUMN(HeadJournal!L$1),0)*($K4878+$L4878)/(SUMIF($A:$A,$A4878,$K:$K)+SUMIF($A:$A,$A4878,$L:$L)))/VLOOKUP($A4878,HeadJournal!$A$1:$L$890,COLUMN(HeadJournal!H$1),0),0)</f>
        <v>0.32792139886038335</v>
      </c>
      <c r="P4878" s="30">
        <f>IFERROR(SUM(K4878:O4878)*VLOOKUP($A4878,HeadJournal!$A$1:$L$890,COLUMN(HeadJournal!H$1),0),0)</f>
        <v>1005.5681621567248</v>
      </c>
      <c r="Q4878" s="29">
        <v>2200</v>
      </c>
      <c r="R4878" s="31">
        <v>45882</v>
      </c>
      <c r="S4878" s="31" t="s">
        <v>3235</v>
      </c>
      <c r="T4878" s="95" t="str">
        <f t="shared" si="368"/>
        <v>2025 08</v>
      </c>
      <c r="U4878" s="32">
        <f t="shared" si="358"/>
        <v>1194.4318378432752</v>
      </c>
      <c r="V4878" s="22">
        <f t="shared" si="359"/>
        <v>1.1878178753009432</v>
      </c>
      <c r="X4878" s="33"/>
      <c r="Y4878" s="33"/>
    </row>
    <row r="4879" spans="1:25" x14ac:dyDescent="0.2">
      <c r="A4879" s="93" t="s">
        <v>4033</v>
      </c>
      <c r="B4879" s="94" t="str">
        <f>IFERROR(VLOOKUP($A4879,HeadJournal!$A$1:$NTR$890,COLUMN(HeadJournal!B$1),0),"")</f>
        <v>720000732422</v>
      </c>
      <c r="C4879" s="94" t="str">
        <f>IFERROR(VLOOKUP($A4879,HeadJournal!$A$1:$NTR$890,COLUMN(HeadJournal!C$1),0),"")</f>
        <v>iHerb_VP DFD1605</v>
      </c>
      <c r="D4879" s="125" t="str">
        <f>IFERROR(VLOOKUP($A4879,HeadJournal!$A$1:$NTR$890,COLUMN(HeadJournal!D$1),0),"")</f>
        <v>Доставлен</v>
      </c>
      <c r="E4879" s="95">
        <f>IFERROR(VLOOKUP($A4879,HeadJournal!$A$1:$NTR$890,COLUMN(HeadJournal!G$1),0),"")</f>
        <v>45847</v>
      </c>
      <c r="F4879" s="95" t="str">
        <f t="shared" si="367"/>
        <v>2025 07</v>
      </c>
      <c r="G4879" s="97" t="s">
        <v>5</v>
      </c>
      <c r="H4879" s="161" t="s">
        <v>2806</v>
      </c>
      <c r="I4879" s="97" t="s">
        <v>2009</v>
      </c>
      <c r="J4879" s="97" t="s">
        <v>2807</v>
      </c>
      <c r="K4879" s="29">
        <v>26.11</v>
      </c>
      <c r="L4879" s="29">
        <v>-5.22</v>
      </c>
      <c r="M4879" s="30">
        <f>IFERROR(VLOOKUP($A4879,HeadJournal!$A$1:$J$890,COLUMN(HeadJournal!I$1),0)*($K4879+$L4879)/(SUMIF($A:$A,$A4879,$K:$K)+SUMIF($A:$A,$A4879,$L:$L)),0)</f>
        <v>-2.0026325319384366</v>
      </c>
      <c r="N4879" s="30">
        <f>IFERROR((VLOOKUP($A4879,HeadJournal!$A$1:$K$890,COLUMN(HeadJournal!K$1),0)-VLOOKUP($A4879,HeadJournal!$A$1:$K$890,COLUMN(HeadJournal!J$1),0))*($K4879+$L4879)/(SUMIF($A:$A,$A4879,$K:$K)+SUMIF($A:$A,$A4879,$L:$L)),0)</f>
        <v>0</v>
      </c>
      <c r="O4879" s="30">
        <f>IFERROR((VLOOKUP($A4879,HeadJournal!$A$1:$L$890,COLUMN(HeadJournal!L$1),0)*($K4879+$L4879)/(SUMIF($A:$A,$A4879,$K:$K)+SUMIF($A:$A,$A4879,$L:$L)))/VLOOKUP($A4879,HeadJournal!$A$1:$L$890,COLUMN(HeadJournal!H$1),0),0)</f>
        <v>0.56801641975069717</v>
      </c>
      <c r="P4879" s="30">
        <f>IFERROR(SUM(K4879:O4879)*VLOOKUP($A4879,HeadJournal!$A$1:$L$890,COLUMN(HeadJournal!H$1),0),0)</f>
        <v>1741.8174881802638</v>
      </c>
      <c r="Q4879" s="29">
        <v>3000</v>
      </c>
      <c r="R4879" s="31">
        <v>45936</v>
      </c>
      <c r="S4879" s="31" t="s">
        <v>3181</v>
      </c>
      <c r="T4879" s="95" t="str">
        <f t="shared" si="368"/>
        <v>2025 10</v>
      </c>
      <c r="U4879" s="32">
        <f t="shared" si="358"/>
        <v>1258.1825118197362</v>
      </c>
      <c r="V4879" s="22">
        <f t="shared" si="359"/>
        <v>0.72233889047365252</v>
      </c>
      <c r="X4879" s="33"/>
      <c r="Y4879" s="33"/>
    </row>
    <row r="4880" spans="1:25" x14ac:dyDescent="0.2">
      <c r="A4880" s="93" t="s">
        <v>4033</v>
      </c>
      <c r="B4880" s="94" t="str">
        <f>IFERROR(VLOOKUP($A4880,HeadJournal!$A$1:$NTR$890,COLUMN(HeadJournal!B$1),0),"")</f>
        <v>720000732422</v>
      </c>
      <c r="C4880" s="94" t="str">
        <f>IFERROR(VLOOKUP($A4880,HeadJournal!$A$1:$NTR$890,COLUMN(HeadJournal!C$1),0),"")</f>
        <v>iHerb_VP DFD1605</v>
      </c>
      <c r="D4880" s="125" t="str">
        <f>IFERROR(VLOOKUP($A4880,HeadJournal!$A$1:$NTR$890,COLUMN(HeadJournal!D$1),0),"")</f>
        <v>Доставлен</v>
      </c>
      <c r="E4880" s="95">
        <f>IFERROR(VLOOKUP($A4880,HeadJournal!$A$1:$NTR$890,COLUMN(HeadJournal!G$1),0),"")</f>
        <v>45847</v>
      </c>
      <c r="F4880" s="95" t="str">
        <f t="shared" si="367"/>
        <v>2025 07</v>
      </c>
      <c r="G4880" s="97" t="s">
        <v>5</v>
      </c>
      <c r="H4880" s="161" t="s">
        <v>3761</v>
      </c>
      <c r="I4880" s="97" t="s">
        <v>2166</v>
      </c>
      <c r="J4880" s="97" t="s">
        <v>3762</v>
      </c>
      <c r="K4880" s="29">
        <v>45.08</v>
      </c>
      <c r="L4880" s="29">
        <v>-9.02</v>
      </c>
      <c r="M4880" s="30">
        <f>IFERROR(VLOOKUP($A4880,HeadJournal!$A$1:$J$890,COLUMN(HeadJournal!I$1),0)*($K4880+$L4880)/(SUMIF($A:$A,$A4880,$K:$K)+SUMIF($A:$A,$A4880,$L:$L)),0)</f>
        <v>-3.4569137913690775</v>
      </c>
      <c r="N4880" s="30">
        <f>IFERROR((VLOOKUP($A4880,HeadJournal!$A$1:$K$890,COLUMN(HeadJournal!K$1),0)-VLOOKUP($A4880,HeadJournal!$A$1:$K$890,COLUMN(HeadJournal!J$1),0))*($K4880+$L4880)/(SUMIF($A:$A,$A4880,$K:$K)+SUMIF($A:$A,$A4880,$L:$L)),0)</f>
        <v>0</v>
      </c>
      <c r="O4880" s="30">
        <f>IFERROR((VLOOKUP($A4880,HeadJournal!$A$1:$L$890,COLUMN(HeadJournal!L$1),0)*($K4880+$L4880)/(SUMIF($A:$A,$A4880,$K:$K)+SUMIF($A:$A,$A4880,$L:$L)))/VLOOKUP($A4880,HeadJournal!$A$1:$L$890,COLUMN(HeadJournal!H$1),0),0)</f>
        <v>0.98050129709000189</v>
      </c>
      <c r="P4880" s="30">
        <f>IFERROR(SUM(K4880:O4880)*VLOOKUP($A4880,HeadJournal!$A$1:$L$890,COLUMN(HeadJournal!H$1),0),0)</f>
        <v>3006.6988331153816</v>
      </c>
      <c r="Q4880" s="29">
        <v>4800</v>
      </c>
      <c r="R4880" s="31">
        <v>45882</v>
      </c>
      <c r="S4880" s="31" t="s">
        <v>3235</v>
      </c>
      <c r="T4880" s="95" t="str">
        <f t="shared" si="368"/>
        <v>2025 08</v>
      </c>
      <c r="U4880" s="32">
        <f t="shared" si="358"/>
        <v>1793.3011668846184</v>
      </c>
      <c r="V4880" s="22">
        <f t="shared" si="359"/>
        <v>0.59643524889604427</v>
      </c>
      <c r="X4880" s="33"/>
      <c r="Y4880" s="33"/>
    </row>
    <row r="4881" spans="1:25" x14ac:dyDescent="0.2">
      <c r="A4881" s="93" t="s">
        <v>4033</v>
      </c>
      <c r="B4881" s="94" t="str">
        <f>IFERROR(VLOOKUP($A4881,HeadJournal!$A$1:$NTR$890,COLUMN(HeadJournal!B$1),0),"")</f>
        <v>720000732422</v>
      </c>
      <c r="C4881" s="94" t="str">
        <f>IFERROR(VLOOKUP($A4881,HeadJournal!$A$1:$NTR$890,COLUMN(HeadJournal!C$1),0),"")</f>
        <v>iHerb_VP DFD1605</v>
      </c>
      <c r="D4881" s="125" t="str">
        <f>IFERROR(VLOOKUP($A4881,HeadJournal!$A$1:$NTR$890,COLUMN(HeadJournal!D$1),0),"")</f>
        <v>Доставлен</v>
      </c>
      <c r="E4881" s="95">
        <f>IFERROR(VLOOKUP($A4881,HeadJournal!$A$1:$NTR$890,COLUMN(HeadJournal!G$1),0),"")</f>
        <v>45847</v>
      </c>
      <c r="F4881" s="95" t="str">
        <f t="shared" si="367"/>
        <v>2025 07</v>
      </c>
      <c r="G4881" s="97" t="s">
        <v>5</v>
      </c>
      <c r="H4881" s="161" t="s">
        <v>2025</v>
      </c>
      <c r="I4881" s="97" t="s">
        <v>2008</v>
      </c>
      <c r="J4881" s="97" t="s">
        <v>2026</v>
      </c>
      <c r="K4881" s="29">
        <v>17.38</v>
      </c>
      <c r="L4881" s="29">
        <v>-3.4750000000000001</v>
      </c>
      <c r="M4881" s="30">
        <f>IFERROR(VLOOKUP($A4881,HeadJournal!$A$1:$J$890,COLUMN(HeadJournal!I$1),0)*($K4881+$L4881)/(SUMIF($A:$A,$A4881,$K:$K)+SUMIF($A:$A,$A4881,$L:$L)),0)</f>
        <v>-1.3330112664721858</v>
      </c>
      <c r="N4881" s="30">
        <f>IFERROR((VLOOKUP($A4881,HeadJournal!$A$1:$K$890,COLUMN(HeadJournal!K$1),0)-VLOOKUP($A4881,HeadJournal!$A$1:$K$890,COLUMN(HeadJournal!J$1),0))*($K4881+$L4881)/(SUMIF($A:$A,$A4881,$K:$K)+SUMIF($A:$A,$A4881,$L:$L)),0)</f>
        <v>0</v>
      </c>
      <c r="O4881" s="30">
        <f>IFERROR((VLOOKUP($A4881,HeadJournal!$A$1:$L$890,COLUMN(HeadJournal!L$1),0)*($K4881+$L4881)/(SUMIF($A:$A,$A4881,$K:$K)+SUMIF($A:$A,$A4881,$L:$L)))/VLOOKUP($A4881,HeadJournal!$A$1:$L$890,COLUMN(HeadJournal!H$1),0),0)</f>
        <v>0.37808847853678523</v>
      </c>
      <c r="P4881" s="30">
        <f>IFERROR(SUM(K4881:O4881)*VLOOKUP($A4881,HeadJournal!$A$1:$L$890,COLUMN(HeadJournal!H$1),0),0)</f>
        <v>1159.4050824866715</v>
      </c>
      <c r="Q4881" s="29">
        <v>2300</v>
      </c>
      <c r="R4881" s="31">
        <v>45893</v>
      </c>
      <c r="S4881" s="31"/>
      <c r="T4881" s="95" t="str">
        <f t="shared" si="368"/>
        <v>2025 08</v>
      </c>
      <c r="U4881" s="32">
        <f t="shared" si="358"/>
        <v>1140.5949175133285</v>
      </c>
      <c r="V4881" s="22">
        <f t="shared" si="359"/>
        <v>0.98377601991100527</v>
      </c>
      <c r="X4881" s="33"/>
      <c r="Y4881" s="33"/>
    </row>
    <row r="4882" spans="1:25" x14ac:dyDescent="0.2">
      <c r="A4882" s="93" t="s">
        <v>4033</v>
      </c>
      <c r="B4882" s="94" t="str">
        <f>IFERROR(VLOOKUP($A4882,HeadJournal!$A$1:$NTR$890,COLUMN(HeadJournal!B$1),0),"")</f>
        <v>720000732422</v>
      </c>
      <c r="C4882" s="94" t="str">
        <f>IFERROR(VLOOKUP($A4882,HeadJournal!$A$1:$NTR$890,COLUMN(HeadJournal!C$1),0),"")</f>
        <v>iHerb_VP DFD1605</v>
      </c>
      <c r="D4882" s="125" t="str">
        <f>IFERROR(VLOOKUP($A4882,HeadJournal!$A$1:$NTR$890,COLUMN(HeadJournal!D$1),0),"")</f>
        <v>Доставлен</v>
      </c>
      <c r="E4882" s="95">
        <f>IFERROR(VLOOKUP($A4882,HeadJournal!$A$1:$NTR$890,COLUMN(HeadJournal!G$1),0),"")</f>
        <v>45847</v>
      </c>
      <c r="F4882" s="95" t="str">
        <f t="shared" si="367"/>
        <v>2025 07</v>
      </c>
      <c r="G4882" s="97" t="s">
        <v>5</v>
      </c>
      <c r="H4882" s="161" t="s">
        <v>2025</v>
      </c>
      <c r="I4882" s="97" t="s">
        <v>2008</v>
      </c>
      <c r="J4882" s="97" t="s">
        <v>2026</v>
      </c>
      <c r="K4882" s="29">
        <v>17.38</v>
      </c>
      <c r="L4882" s="29">
        <v>-3.4750000000000001</v>
      </c>
      <c r="M4882" s="30">
        <f>IFERROR(VLOOKUP($A4882,HeadJournal!$A$1:$J$890,COLUMN(HeadJournal!I$1),0)*($K4882+$L4882)/(SUMIF($A:$A,$A4882,$K:$K)+SUMIF($A:$A,$A4882,$L:$L)),0)</f>
        <v>-1.3330112664721858</v>
      </c>
      <c r="N4882" s="30">
        <f>IFERROR((VLOOKUP($A4882,HeadJournal!$A$1:$K$890,COLUMN(HeadJournal!K$1),0)-VLOOKUP($A4882,HeadJournal!$A$1:$K$890,COLUMN(HeadJournal!J$1),0))*($K4882+$L4882)/(SUMIF($A:$A,$A4882,$K:$K)+SUMIF($A:$A,$A4882,$L:$L)),0)</f>
        <v>0</v>
      </c>
      <c r="O4882" s="30">
        <f>IFERROR((VLOOKUP($A4882,HeadJournal!$A$1:$L$890,COLUMN(HeadJournal!L$1),0)*($K4882+$L4882)/(SUMIF($A:$A,$A4882,$K:$K)+SUMIF($A:$A,$A4882,$L:$L)))/VLOOKUP($A4882,HeadJournal!$A$1:$L$890,COLUMN(HeadJournal!H$1),0),0)</f>
        <v>0.37808847853678523</v>
      </c>
      <c r="P4882" s="30">
        <f>IFERROR(SUM(K4882:O4882)*VLOOKUP($A4882,HeadJournal!$A$1:$L$890,COLUMN(HeadJournal!H$1),0),0)</f>
        <v>1159.4050824866715</v>
      </c>
      <c r="Q4882" s="29">
        <v>2300</v>
      </c>
      <c r="R4882" s="31">
        <v>45893</v>
      </c>
      <c r="S4882" s="31"/>
      <c r="T4882" s="95" t="str">
        <f t="shared" si="368"/>
        <v>2025 08</v>
      </c>
      <c r="U4882" s="32">
        <f t="shared" si="358"/>
        <v>1140.5949175133285</v>
      </c>
      <c r="V4882" s="22">
        <f t="shared" si="359"/>
        <v>0.98377601991100527</v>
      </c>
      <c r="X4882" s="33"/>
      <c r="Y4882" s="33"/>
    </row>
    <row r="4883" spans="1:25" x14ac:dyDescent="0.2">
      <c r="A4883" s="93" t="s">
        <v>4033</v>
      </c>
      <c r="B4883" s="94" t="str">
        <f>IFERROR(VLOOKUP($A4883,HeadJournal!$A$1:$NTR$890,COLUMN(HeadJournal!B$1),0),"")</f>
        <v>720000732422</v>
      </c>
      <c r="C4883" s="94" t="str">
        <f>IFERROR(VLOOKUP($A4883,HeadJournal!$A$1:$NTR$890,COLUMN(HeadJournal!C$1),0),"")</f>
        <v>iHerb_VP DFD1605</v>
      </c>
      <c r="D4883" s="125" t="str">
        <f>IFERROR(VLOOKUP($A4883,HeadJournal!$A$1:$NTR$890,COLUMN(HeadJournal!D$1),0),"")</f>
        <v>Доставлен</v>
      </c>
      <c r="E4883" s="95">
        <f>IFERROR(VLOOKUP($A4883,HeadJournal!$A$1:$NTR$890,COLUMN(HeadJournal!G$1),0),"")</f>
        <v>45847</v>
      </c>
      <c r="F4883" s="95" t="str">
        <f t="shared" si="367"/>
        <v>2025 07</v>
      </c>
      <c r="G4883" s="97" t="s">
        <v>5</v>
      </c>
      <c r="H4883" s="161" t="s">
        <v>2614</v>
      </c>
      <c r="I4883" s="97" t="s">
        <v>2005</v>
      </c>
      <c r="J4883" s="97" t="s">
        <v>2641</v>
      </c>
      <c r="K4883" s="29">
        <v>5.57</v>
      </c>
      <c r="L4883" s="29">
        <v>-1.115</v>
      </c>
      <c r="M4883" s="30">
        <f>IFERROR(VLOOKUP($A4883,HeadJournal!$A$1:$J$890,COLUMN(HeadJournal!I$1),0)*($K4883+$L4883)/(SUMIF($A:$A,$A4883,$K:$K)+SUMIF($A:$A,$A4883,$L:$L)),0)</f>
        <v>-0.42708127954934116</v>
      </c>
      <c r="N4883" s="30">
        <f>IFERROR((VLOOKUP($A4883,HeadJournal!$A$1:$K$890,COLUMN(HeadJournal!K$1),0)-VLOOKUP($A4883,HeadJournal!$A$1:$K$890,COLUMN(HeadJournal!J$1),0))*($K4883+$L4883)/(SUMIF($A:$A,$A4883,$K:$K)+SUMIF($A:$A,$A4883,$L:$L)),0)</f>
        <v>0</v>
      </c>
      <c r="O4883" s="30">
        <f>IFERROR((VLOOKUP($A4883,HeadJournal!$A$1:$L$890,COLUMN(HeadJournal!L$1),0)*($K4883+$L4883)/(SUMIF($A:$A,$A4883,$K:$K)+SUMIF($A:$A,$A4883,$L:$L)))/VLOOKUP($A4883,HeadJournal!$A$1:$L$890,COLUMN(HeadJournal!H$1),0),0)</f>
        <v>0.12113514360887297</v>
      </c>
      <c r="P4883" s="30">
        <f>IFERROR(SUM(K4883:O4883)*VLOOKUP($A4883,HeadJournal!$A$1:$L$890,COLUMN(HeadJournal!H$1),0),0)</f>
        <v>371.45988079670059</v>
      </c>
      <c r="Q4883" s="29">
        <v>1100</v>
      </c>
      <c r="R4883" s="31">
        <v>45882</v>
      </c>
      <c r="S4883" s="31"/>
      <c r="T4883" s="95" t="str">
        <f t="shared" si="368"/>
        <v>2025 08</v>
      </c>
      <c r="U4883" s="32">
        <f t="shared" si="358"/>
        <v>728.54011920329935</v>
      </c>
      <c r="V4883" s="22">
        <f t="shared" si="359"/>
        <v>1.961288841316428</v>
      </c>
      <c r="X4883" s="33"/>
      <c r="Y4883" s="33"/>
    </row>
    <row r="4884" spans="1:25" x14ac:dyDescent="0.2">
      <c r="A4884" s="93" t="s">
        <v>4033</v>
      </c>
      <c r="B4884" s="94" t="str">
        <f>IFERROR(VLOOKUP($A4884,HeadJournal!$A$1:$NTR$890,COLUMN(HeadJournal!B$1),0),"")</f>
        <v>720000732422</v>
      </c>
      <c r="C4884" s="94" t="str">
        <f>IFERROR(VLOOKUP($A4884,HeadJournal!$A$1:$NTR$890,COLUMN(HeadJournal!C$1),0),"")</f>
        <v>iHerb_VP DFD1605</v>
      </c>
      <c r="D4884" s="125" t="str">
        <f>IFERROR(VLOOKUP($A4884,HeadJournal!$A$1:$NTR$890,COLUMN(HeadJournal!D$1),0),"")</f>
        <v>Доставлен</v>
      </c>
      <c r="E4884" s="95">
        <f>IFERROR(VLOOKUP($A4884,HeadJournal!$A$1:$NTR$890,COLUMN(HeadJournal!G$1),0),"")</f>
        <v>45847</v>
      </c>
      <c r="F4884" s="95" t="str">
        <f t="shared" si="367"/>
        <v>2025 07</v>
      </c>
      <c r="G4884" s="97" t="s">
        <v>5</v>
      </c>
      <c r="H4884" s="161" t="s">
        <v>2614</v>
      </c>
      <c r="I4884" s="97" t="s">
        <v>2005</v>
      </c>
      <c r="J4884" s="97" t="s">
        <v>2641</v>
      </c>
      <c r="K4884" s="29">
        <v>5.57</v>
      </c>
      <c r="L4884" s="29">
        <v>-1.115</v>
      </c>
      <c r="M4884" s="30">
        <f>IFERROR(VLOOKUP($A4884,HeadJournal!$A$1:$J$890,COLUMN(HeadJournal!I$1),0)*($K4884+$L4884)/(SUMIF($A:$A,$A4884,$K:$K)+SUMIF($A:$A,$A4884,$L:$L)),0)</f>
        <v>-0.42708127954934116</v>
      </c>
      <c r="N4884" s="30">
        <f>IFERROR((VLOOKUP($A4884,HeadJournal!$A$1:$K$890,COLUMN(HeadJournal!K$1),0)-VLOOKUP($A4884,HeadJournal!$A$1:$K$890,COLUMN(HeadJournal!J$1),0))*($K4884+$L4884)/(SUMIF($A:$A,$A4884,$K:$K)+SUMIF($A:$A,$A4884,$L:$L)),0)</f>
        <v>0</v>
      </c>
      <c r="O4884" s="30">
        <f>IFERROR((VLOOKUP($A4884,HeadJournal!$A$1:$L$890,COLUMN(HeadJournal!L$1),0)*($K4884+$L4884)/(SUMIF($A:$A,$A4884,$K:$K)+SUMIF($A:$A,$A4884,$L:$L)))/VLOOKUP($A4884,HeadJournal!$A$1:$L$890,COLUMN(HeadJournal!H$1),0),0)</f>
        <v>0.12113514360887297</v>
      </c>
      <c r="P4884" s="30">
        <f>IFERROR(SUM(K4884:O4884)*VLOOKUP($A4884,HeadJournal!$A$1:$L$890,COLUMN(HeadJournal!H$1),0),0)</f>
        <v>371.45988079670059</v>
      </c>
      <c r="Q4884" s="29">
        <v>1100</v>
      </c>
      <c r="R4884" s="31">
        <v>45943</v>
      </c>
      <c r="S4884" s="31"/>
      <c r="T4884" s="95" t="str">
        <f t="shared" si="368"/>
        <v>2025 10</v>
      </c>
      <c r="U4884" s="32">
        <f t="shared" si="358"/>
        <v>728.54011920329935</v>
      </c>
      <c r="V4884" s="22">
        <f t="shared" si="359"/>
        <v>1.961288841316428</v>
      </c>
      <c r="X4884" s="33"/>
      <c r="Y4884" s="33"/>
    </row>
    <row r="4885" spans="1:25" x14ac:dyDescent="0.2">
      <c r="A4885" s="93" t="s">
        <v>4033</v>
      </c>
      <c r="B4885" s="94" t="str">
        <f>IFERROR(VLOOKUP($A4885,HeadJournal!$A$1:$NTR$890,COLUMN(HeadJournal!B$1),0),"")</f>
        <v>720000732422</v>
      </c>
      <c r="C4885" s="94" t="str">
        <f>IFERROR(VLOOKUP($A4885,HeadJournal!$A$1:$NTR$890,COLUMN(HeadJournal!C$1),0),"")</f>
        <v>iHerb_VP DFD1605</v>
      </c>
      <c r="D4885" s="125" t="str">
        <f>IFERROR(VLOOKUP($A4885,HeadJournal!$A$1:$NTR$890,COLUMN(HeadJournal!D$1),0),"")</f>
        <v>Доставлен</v>
      </c>
      <c r="E4885" s="95">
        <f>IFERROR(VLOOKUP($A4885,HeadJournal!$A$1:$NTR$890,COLUMN(HeadJournal!G$1),0),"")</f>
        <v>45847</v>
      </c>
      <c r="F4885" s="95" t="str">
        <f t="shared" si="367"/>
        <v>2025 07</v>
      </c>
      <c r="G4885" s="97" t="s">
        <v>5</v>
      </c>
      <c r="H4885" s="161" t="s">
        <v>2997</v>
      </c>
      <c r="I4885" s="97" t="s">
        <v>2102</v>
      </c>
      <c r="J4885" s="97" t="s">
        <v>2998</v>
      </c>
      <c r="K4885" s="29">
        <v>32.43</v>
      </c>
      <c r="L4885" s="29">
        <v>-6.4850000000000003</v>
      </c>
      <c r="M4885" s="30">
        <f>IFERROR(VLOOKUP($A4885,HeadJournal!$A$1:$J$890,COLUMN(HeadJournal!I$1),0)*($K4885+$L4885)/(SUMIF($A:$A,$A4885,$K:$K)+SUMIF($A:$A,$A4885,$L:$L)),0)</f>
        <v>-2.4872331757368471</v>
      </c>
      <c r="N4885" s="30">
        <f>IFERROR((VLOOKUP($A4885,HeadJournal!$A$1:$K$890,COLUMN(HeadJournal!K$1),0)-VLOOKUP($A4885,HeadJournal!$A$1:$K$890,COLUMN(HeadJournal!J$1),0))*($K4885+$L4885)/(SUMIF($A:$A,$A4885,$K:$K)+SUMIF($A:$A,$A4885,$L:$L)),0)</f>
        <v>0</v>
      </c>
      <c r="O4885" s="30">
        <f>IFERROR((VLOOKUP($A4885,HeadJournal!$A$1:$L$890,COLUMN(HeadJournal!L$1),0)*($K4885+$L4885)/(SUMIF($A:$A,$A4885,$K:$K)+SUMIF($A:$A,$A4885,$L:$L)))/VLOOKUP($A4885,HeadJournal!$A$1:$L$890,COLUMN(HeadJournal!H$1),0),0)</f>
        <v>0.7054660608153106</v>
      </c>
      <c r="P4885" s="30">
        <f>IFERROR(SUM(K4885:O4885)*VLOOKUP($A4885,HeadJournal!$A$1:$L$890,COLUMN(HeadJournal!H$1),0),0)</f>
        <v>2163.3056357509308</v>
      </c>
      <c r="Q4885" s="29">
        <v>3700</v>
      </c>
      <c r="R4885" s="31">
        <v>45915</v>
      </c>
      <c r="S4885" s="31"/>
      <c r="T4885" s="95" t="str">
        <f t="shared" si="368"/>
        <v>2025 09</v>
      </c>
      <c r="U4885" s="32">
        <f t="shared" si="358"/>
        <v>1536.6943642490692</v>
      </c>
      <c r="V4885" s="22">
        <f t="shared" si="359"/>
        <v>0.71034547262002989</v>
      </c>
      <c r="X4885" s="33"/>
      <c r="Y4885" s="33"/>
    </row>
    <row r="4886" spans="1:25" x14ac:dyDescent="0.2">
      <c r="A4886" s="93" t="s">
        <v>4033</v>
      </c>
      <c r="B4886" s="94" t="str">
        <f>IFERROR(VLOOKUP($A4886,HeadJournal!$A$1:$NTR$890,COLUMN(HeadJournal!B$1),0),"")</f>
        <v>720000732422</v>
      </c>
      <c r="C4886" s="94" t="str">
        <f>IFERROR(VLOOKUP($A4886,HeadJournal!$A$1:$NTR$890,COLUMN(HeadJournal!C$1),0),"")</f>
        <v>iHerb_VP DFD1605</v>
      </c>
      <c r="D4886" s="125" t="str">
        <f>IFERROR(VLOOKUP($A4886,HeadJournal!$A$1:$NTR$890,COLUMN(HeadJournal!D$1),0),"")</f>
        <v>Доставлен</v>
      </c>
      <c r="E4886" s="95">
        <f>IFERROR(VLOOKUP($A4886,HeadJournal!$A$1:$NTR$890,COLUMN(HeadJournal!G$1),0),"")</f>
        <v>45847</v>
      </c>
      <c r="F4886" s="95" t="str">
        <f t="shared" si="367"/>
        <v>2025 07</v>
      </c>
      <c r="G4886" s="97" t="s">
        <v>5</v>
      </c>
      <c r="H4886" s="161" t="s">
        <v>2997</v>
      </c>
      <c r="I4886" s="97" t="s">
        <v>2102</v>
      </c>
      <c r="J4886" s="97" t="s">
        <v>2998</v>
      </c>
      <c r="K4886" s="29">
        <v>32.43</v>
      </c>
      <c r="L4886" s="29">
        <v>-6.4850000000000003</v>
      </c>
      <c r="M4886" s="30">
        <f>IFERROR(VLOOKUP($A4886,HeadJournal!$A$1:$J$890,COLUMN(HeadJournal!I$1),0)*($K4886+$L4886)/(SUMIF($A:$A,$A4886,$K:$K)+SUMIF($A:$A,$A4886,$L:$L)),0)</f>
        <v>-2.4872331757368471</v>
      </c>
      <c r="N4886" s="30">
        <f>IFERROR((VLOOKUP($A4886,HeadJournal!$A$1:$K$890,COLUMN(HeadJournal!K$1),0)-VLOOKUP($A4886,HeadJournal!$A$1:$K$890,COLUMN(HeadJournal!J$1),0))*($K4886+$L4886)/(SUMIF($A:$A,$A4886,$K:$K)+SUMIF($A:$A,$A4886,$L:$L)),0)</f>
        <v>0</v>
      </c>
      <c r="O4886" s="30">
        <f>IFERROR((VLOOKUP($A4886,HeadJournal!$A$1:$L$890,COLUMN(HeadJournal!L$1),0)*($K4886+$L4886)/(SUMIF($A:$A,$A4886,$K:$K)+SUMIF($A:$A,$A4886,$L:$L)))/VLOOKUP($A4886,HeadJournal!$A$1:$L$890,COLUMN(HeadJournal!H$1),0),0)</f>
        <v>0.7054660608153106</v>
      </c>
      <c r="P4886" s="30">
        <f>IFERROR(SUM(K4886:O4886)*VLOOKUP($A4886,HeadJournal!$A$1:$L$890,COLUMN(HeadJournal!H$1),0),0)</f>
        <v>2163.3056357509308</v>
      </c>
      <c r="Q4886" s="29">
        <v>3800</v>
      </c>
      <c r="R4886" s="31">
        <v>45916</v>
      </c>
      <c r="S4886" s="31"/>
      <c r="T4886" s="95" t="str">
        <f t="shared" si="368"/>
        <v>2025 09</v>
      </c>
      <c r="U4886" s="32">
        <f t="shared" si="358"/>
        <v>1636.6943642490692</v>
      </c>
      <c r="V4886" s="22">
        <f t="shared" si="359"/>
        <v>0.75657102593408476</v>
      </c>
      <c r="X4886" s="33"/>
      <c r="Y4886" s="33"/>
    </row>
    <row r="4887" spans="1:25" x14ac:dyDescent="0.2">
      <c r="A4887" s="93" t="s">
        <v>4033</v>
      </c>
      <c r="B4887" s="94" t="str">
        <f>IFERROR(VLOOKUP($A4887,HeadJournal!$A$1:$NTR$890,COLUMN(HeadJournal!B$1),0),"")</f>
        <v>720000732422</v>
      </c>
      <c r="C4887" s="94" t="str">
        <f>IFERROR(VLOOKUP($A4887,HeadJournal!$A$1:$NTR$890,COLUMN(HeadJournal!C$1),0),"")</f>
        <v>iHerb_VP DFD1605</v>
      </c>
      <c r="D4887" s="125" t="str">
        <f>IFERROR(VLOOKUP($A4887,HeadJournal!$A$1:$NTR$890,COLUMN(HeadJournal!D$1),0),"")</f>
        <v>Доставлен</v>
      </c>
      <c r="E4887" s="95">
        <f>IFERROR(VLOOKUP($A4887,HeadJournal!$A$1:$NTR$890,COLUMN(HeadJournal!G$1),0),"")</f>
        <v>45847</v>
      </c>
      <c r="F4887" s="95" t="str">
        <f t="shared" si="367"/>
        <v>2025 07</v>
      </c>
      <c r="G4887" s="97" t="s">
        <v>5</v>
      </c>
      <c r="H4887" s="161" t="s">
        <v>2815</v>
      </c>
      <c r="I4887" s="97" t="s">
        <v>2005</v>
      </c>
      <c r="J4887" s="97" t="s">
        <v>2816</v>
      </c>
      <c r="K4887" s="29">
        <v>19.87</v>
      </c>
      <c r="L4887" s="29">
        <v>-3.97</v>
      </c>
      <c r="M4887" s="30">
        <f>IFERROR(VLOOKUP($A4887,HeadJournal!$A$1:$J$890,COLUMN(HeadJournal!I$1),0)*($K4887+$L4887)/(SUMIF($A:$A,$A4887,$K:$K)+SUMIF($A:$A,$A4887,$L:$L)),0)</f>
        <v>-1.5242631526003418</v>
      </c>
      <c r="N4887" s="30">
        <f>IFERROR((VLOOKUP($A4887,HeadJournal!$A$1:$K$890,COLUMN(HeadJournal!K$1),0)-VLOOKUP($A4887,HeadJournal!$A$1:$K$890,COLUMN(HeadJournal!J$1),0))*($K4887+$L4887)/(SUMIF($A:$A,$A4887,$K:$K)+SUMIF($A:$A,$A4887,$L:$L)),0)</f>
        <v>0</v>
      </c>
      <c r="O4887" s="30">
        <f>IFERROR((VLOOKUP($A4887,HeadJournal!$A$1:$L$890,COLUMN(HeadJournal!L$1),0)*($K4887+$L4887)/(SUMIF($A:$A,$A4887,$K:$K)+SUMIF($A:$A,$A4887,$L:$L)))/VLOOKUP($A4887,HeadJournal!$A$1:$L$890,COLUMN(HeadJournal!H$1),0),0)</f>
        <v>0.43233418257712236</v>
      </c>
      <c r="P4887" s="30">
        <f>IFERROR(SUM(K4887:O4887)*VLOOKUP($A4887,HeadJournal!$A$1:$L$890,COLUMN(HeadJournal!H$1),0),0)</f>
        <v>1325.7490695101098</v>
      </c>
      <c r="Q4887" s="29">
        <v>2900</v>
      </c>
      <c r="R4887" s="31">
        <v>45881</v>
      </c>
      <c r="S4887" s="31" t="s">
        <v>3509</v>
      </c>
      <c r="T4887" s="95" t="str">
        <f t="shared" si="368"/>
        <v>2025 08</v>
      </c>
      <c r="U4887" s="32">
        <f t="shared" si="358"/>
        <v>1574.2509304898902</v>
      </c>
      <c r="V4887" s="22">
        <f t="shared" si="359"/>
        <v>1.1874426063686445</v>
      </c>
      <c r="X4887" s="33"/>
      <c r="Y4887" s="33"/>
    </row>
    <row r="4888" spans="1:25" x14ac:dyDescent="0.2">
      <c r="A4888" s="93" t="s">
        <v>4033</v>
      </c>
      <c r="B4888" s="94" t="str">
        <f>IFERROR(VLOOKUP($A4888,HeadJournal!$A$1:$NTR$890,COLUMN(HeadJournal!B$1),0),"")</f>
        <v>720000732422</v>
      </c>
      <c r="C4888" s="94" t="str">
        <f>IFERROR(VLOOKUP($A4888,HeadJournal!$A$1:$NTR$890,COLUMN(HeadJournal!C$1),0),"")</f>
        <v>iHerb_VP DFD1605</v>
      </c>
      <c r="D4888" s="125" t="str">
        <f>IFERROR(VLOOKUP($A4888,HeadJournal!$A$1:$NTR$890,COLUMN(HeadJournal!D$1),0),"")</f>
        <v>Доставлен</v>
      </c>
      <c r="E4888" s="95">
        <f>IFERROR(VLOOKUP($A4888,HeadJournal!$A$1:$NTR$890,COLUMN(HeadJournal!G$1),0),"")</f>
        <v>45847</v>
      </c>
      <c r="F4888" s="95" t="str">
        <f t="shared" si="367"/>
        <v>2025 07</v>
      </c>
      <c r="G4888" s="97" t="s">
        <v>5</v>
      </c>
      <c r="H4888" s="161" t="s">
        <v>4031</v>
      </c>
      <c r="I4888" s="97" t="s">
        <v>2925</v>
      </c>
      <c r="J4888" s="97" t="s">
        <v>4032</v>
      </c>
      <c r="K4888" s="29">
        <v>31.63</v>
      </c>
      <c r="L4888" s="29">
        <v>-6.33</v>
      </c>
      <c r="M4888" s="30">
        <f>IFERROR(VLOOKUP($A4888,HeadJournal!$A$1:$J$890,COLUMN(HeadJournal!I$1),0)*($K4888+$L4888)/(SUMIF($A:$A,$A4888,$K:$K)+SUMIF($A:$A,$A4888,$L:$L)),0)</f>
        <v>-2.4253998591690973</v>
      </c>
      <c r="N4888" s="30">
        <f>IFERROR((VLOOKUP($A4888,HeadJournal!$A$1:$K$890,COLUMN(HeadJournal!K$1),0)-VLOOKUP($A4888,HeadJournal!$A$1:$K$890,COLUMN(HeadJournal!J$1),0))*($K4888+$L4888)/(SUMIF($A:$A,$A4888,$K:$K)+SUMIF($A:$A,$A4888,$L:$L)),0)</f>
        <v>0</v>
      </c>
      <c r="O4888" s="30">
        <f>IFERROR((VLOOKUP($A4888,HeadJournal!$A$1:$L$890,COLUMN(HeadJournal!L$1),0)*($K4888+$L4888)/(SUMIF($A:$A,$A4888,$K:$K)+SUMIF($A:$A,$A4888,$L:$L)))/VLOOKUP($A4888,HeadJournal!$A$1:$L$890,COLUMN(HeadJournal!H$1),0),0)</f>
        <v>0.68792797605038958</v>
      </c>
      <c r="P4888" s="30">
        <f>IFERROR(SUM(K4888:O4888)*VLOOKUP($A4888,HeadJournal!$A$1:$L$890,COLUMN(HeadJournal!H$1),0),0)</f>
        <v>2109.5252489689169</v>
      </c>
      <c r="Q4888" s="29">
        <v>3400</v>
      </c>
      <c r="R4888" s="31">
        <v>45881</v>
      </c>
      <c r="S4888" s="31"/>
      <c r="T4888" s="95" t="str">
        <f t="shared" si="368"/>
        <v>2025 08</v>
      </c>
      <c r="U4888" s="32">
        <f t="shared" si="358"/>
        <v>1290.4747510310831</v>
      </c>
      <c r="V4888" s="22">
        <f t="shared" si="359"/>
        <v>0.61173704920660932</v>
      </c>
      <c r="X4888" s="33"/>
      <c r="Y4888" s="33"/>
    </row>
    <row r="4889" spans="1:25" x14ac:dyDescent="0.2">
      <c r="A4889" s="93" t="s">
        <v>4041</v>
      </c>
      <c r="B4889" s="94" t="str">
        <f>IFERROR(VLOOKUP($A4889,HeadJournal!$A$1:$NTR$890,COLUMN(HeadJournal!B$1),0),"")</f>
        <v>720000745619</v>
      </c>
      <c r="C4889" s="94" t="str">
        <f>IFERROR(VLOOKUP($A4889,HeadJournal!$A$1:$NTR$890,COLUMN(HeadJournal!C$1),0),"")</f>
        <v>iHerb_OA CZN6870</v>
      </c>
      <c r="D4889" s="125" t="str">
        <f>IFERROR(VLOOKUP($A4889,HeadJournal!$A$1:$NTR$890,COLUMN(HeadJournal!D$1),0),"")</f>
        <v>Доставлен</v>
      </c>
      <c r="E4889" s="95">
        <f>IFERROR(VLOOKUP($A4889,HeadJournal!$A$1:$NTR$890,COLUMN(HeadJournal!G$1),0),"")</f>
        <v>45860</v>
      </c>
      <c r="F4889" s="95" t="str">
        <f t="shared" si="367"/>
        <v>2025 07</v>
      </c>
      <c r="G4889" s="97" t="s">
        <v>5</v>
      </c>
      <c r="H4889" s="161" t="s">
        <v>4035</v>
      </c>
      <c r="I4889" s="97" t="s">
        <v>2052</v>
      </c>
      <c r="J4889" s="97" t="s">
        <v>4036</v>
      </c>
      <c r="K4889" s="29">
        <v>19.43</v>
      </c>
      <c r="L4889" s="29">
        <v>-5.83</v>
      </c>
      <c r="M4889" s="30">
        <f>IFERROR(VLOOKUP($A4889,HeadJournal!$A$1:$J$890,COLUMN(HeadJournal!I$1),0)*($K4889+$L4889)/(SUMIF($A:$A,$A4889,$K:$K)+SUMIF($A:$A,$A4889,$L:$L)),0)</f>
        <v>-0.72490606890403109</v>
      </c>
      <c r="N4889" s="30">
        <f>IFERROR((VLOOKUP($A4889,HeadJournal!$A$1:$K$890,COLUMN(HeadJournal!K$1),0)-VLOOKUP($A4889,HeadJournal!$A$1:$K$890,COLUMN(HeadJournal!J$1),0))*($K4889+$L4889)/(SUMIF($A:$A,$A4889,$K:$K)+SUMIF($A:$A,$A4889,$L:$L)),0)</f>
        <v>0</v>
      </c>
      <c r="O4889" s="30">
        <f>IFERROR((VLOOKUP($A4889,HeadJournal!$A$1:$L$890,COLUMN(HeadJournal!L$1),0)*($K4889+$L4889)/(SUMIF($A:$A,$A4889,$K:$K)+SUMIF($A:$A,$A4889,$L:$L)))/VLOOKUP($A4889,HeadJournal!$A$1:$L$890,COLUMN(HeadJournal!H$1),0),0)</f>
        <v>0.55886875267244174</v>
      </c>
      <c r="P4889" s="30">
        <f>IFERROR(SUM(K4889:O4889)*VLOOKUP($A4889,HeadJournal!$A$1:$L$890,COLUMN(HeadJournal!H$1),0),0)</f>
        <v>1193.5971670171614</v>
      </c>
      <c r="Q4889" s="29">
        <v>2300</v>
      </c>
      <c r="R4889" s="31">
        <v>45892</v>
      </c>
      <c r="S4889" s="31"/>
      <c r="T4889" s="95" t="str">
        <f t="shared" si="368"/>
        <v>2025 08</v>
      </c>
      <c r="U4889" s="32">
        <f t="shared" si="358"/>
        <v>1106.4028329828386</v>
      </c>
      <c r="V4889" s="22">
        <f t="shared" si="359"/>
        <v>0.92694827330042662</v>
      </c>
      <c r="X4889" s="33"/>
      <c r="Y4889" s="33"/>
    </row>
    <row r="4890" spans="1:25" x14ac:dyDescent="0.2">
      <c r="A4890" s="93" t="s">
        <v>4041</v>
      </c>
      <c r="B4890" s="94" t="str">
        <f>IFERROR(VLOOKUP($A4890,HeadJournal!$A$1:$NTR$890,COLUMN(HeadJournal!B$1),0),"")</f>
        <v>720000745619</v>
      </c>
      <c r="C4890" s="94" t="str">
        <f>IFERROR(VLOOKUP($A4890,HeadJournal!$A$1:$NTR$890,COLUMN(HeadJournal!C$1),0),"")</f>
        <v>iHerb_OA CZN6870</v>
      </c>
      <c r="D4890" s="125" t="str">
        <f>IFERROR(VLOOKUP($A4890,HeadJournal!$A$1:$NTR$890,COLUMN(HeadJournal!D$1),0),"")</f>
        <v>Доставлен</v>
      </c>
      <c r="E4890" s="95">
        <f>IFERROR(VLOOKUP($A4890,HeadJournal!$A$1:$NTR$890,COLUMN(HeadJournal!G$1),0),"")</f>
        <v>45860</v>
      </c>
      <c r="F4890" s="95" t="str">
        <f t="shared" si="367"/>
        <v>2025 07</v>
      </c>
      <c r="G4890" s="97" t="s">
        <v>5</v>
      </c>
      <c r="H4890" s="161" t="s">
        <v>4035</v>
      </c>
      <c r="I4890" s="97" t="s">
        <v>2052</v>
      </c>
      <c r="J4890" s="97" t="s">
        <v>4036</v>
      </c>
      <c r="K4890" s="29">
        <v>19.43</v>
      </c>
      <c r="L4890" s="29">
        <v>-5.83</v>
      </c>
      <c r="M4890" s="30">
        <f>IFERROR(VLOOKUP($A4890,HeadJournal!$A$1:$J$890,COLUMN(HeadJournal!I$1),0)*($K4890+$L4890)/(SUMIF($A:$A,$A4890,$K:$K)+SUMIF($A:$A,$A4890,$L:$L)),0)</f>
        <v>-0.72490606890403109</v>
      </c>
      <c r="N4890" s="30">
        <f>IFERROR((VLOOKUP($A4890,HeadJournal!$A$1:$K$890,COLUMN(HeadJournal!K$1),0)-VLOOKUP($A4890,HeadJournal!$A$1:$K$890,COLUMN(HeadJournal!J$1),0))*($K4890+$L4890)/(SUMIF($A:$A,$A4890,$K:$K)+SUMIF($A:$A,$A4890,$L:$L)),0)</f>
        <v>0</v>
      </c>
      <c r="O4890" s="30">
        <f>IFERROR((VLOOKUP($A4890,HeadJournal!$A$1:$L$890,COLUMN(HeadJournal!L$1),0)*($K4890+$L4890)/(SUMIF($A:$A,$A4890,$K:$K)+SUMIF($A:$A,$A4890,$L:$L)))/VLOOKUP($A4890,HeadJournal!$A$1:$L$890,COLUMN(HeadJournal!H$1),0),0)</f>
        <v>0.55886875267244174</v>
      </c>
      <c r="P4890" s="30">
        <f>IFERROR(SUM(K4890:O4890)*VLOOKUP($A4890,HeadJournal!$A$1:$L$890,COLUMN(HeadJournal!H$1),0),0)</f>
        <v>1193.5971670171614</v>
      </c>
      <c r="Q4890" s="29">
        <v>2300</v>
      </c>
      <c r="R4890" s="31">
        <v>45895</v>
      </c>
      <c r="S4890" s="31"/>
      <c r="T4890" s="95" t="str">
        <f t="shared" si="368"/>
        <v>2025 08</v>
      </c>
      <c r="U4890" s="32">
        <f t="shared" si="358"/>
        <v>1106.4028329828386</v>
      </c>
      <c r="V4890" s="22">
        <f t="shared" si="359"/>
        <v>0.92694827330042662</v>
      </c>
      <c r="X4890" s="33"/>
      <c r="Y4890" s="33"/>
    </row>
    <row r="4891" spans="1:25" x14ac:dyDescent="0.2">
      <c r="A4891" s="93" t="s">
        <v>4041</v>
      </c>
      <c r="B4891" s="94" t="str">
        <f>IFERROR(VLOOKUP($A4891,HeadJournal!$A$1:$NTR$890,COLUMN(HeadJournal!B$1),0),"")</f>
        <v>720000745619</v>
      </c>
      <c r="C4891" s="94" t="str">
        <f>IFERROR(VLOOKUP($A4891,HeadJournal!$A$1:$NTR$890,COLUMN(HeadJournal!C$1),0),"")</f>
        <v>iHerb_OA CZN6870</v>
      </c>
      <c r="D4891" s="125" t="str">
        <f>IFERROR(VLOOKUP($A4891,HeadJournal!$A$1:$NTR$890,COLUMN(HeadJournal!D$1),0),"")</f>
        <v>Доставлен</v>
      </c>
      <c r="E4891" s="95">
        <f>IFERROR(VLOOKUP($A4891,HeadJournal!$A$1:$NTR$890,COLUMN(HeadJournal!G$1),0),"")</f>
        <v>45860</v>
      </c>
      <c r="F4891" s="95" t="str">
        <f t="shared" si="367"/>
        <v>2025 07</v>
      </c>
      <c r="G4891" s="97" t="s">
        <v>5</v>
      </c>
      <c r="H4891" s="161" t="s">
        <v>4035</v>
      </c>
      <c r="I4891" s="97" t="s">
        <v>2052</v>
      </c>
      <c r="J4891" s="97" t="s">
        <v>4036</v>
      </c>
      <c r="K4891" s="29">
        <v>19.43</v>
      </c>
      <c r="L4891" s="29">
        <v>-5.83</v>
      </c>
      <c r="M4891" s="30">
        <f>IFERROR(VLOOKUP($A4891,HeadJournal!$A$1:$J$890,COLUMN(HeadJournal!I$1),0)*($K4891+$L4891)/(SUMIF($A:$A,$A4891,$K:$K)+SUMIF($A:$A,$A4891,$L:$L)),0)</f>
        <v>-0.72490606890403109</v>
      </c>
      <c r="N4891" s="30">
        <f>IFERROR((VLOOKUP($A4891,HeadJournal!$A$1:$K$890,COLUMN(HeadJournal!K$1),0)-VLOOKUP($A4891,HeadJournal!$A$1:$K$890,COLUMN(HeadJournal!J$1),0))*($K4891+$L4891)/(SUMIF($A:$A,$A4891,$K:$K)+SUMIF($A:$A,$A4891,$L:$L)),0)</f>
        <v>0</v>
      </c>
      <c r="O4891" s="30">
        <f>IFERROR((VLOOKUP($A4891,HeadJournal!$A$1:$L$890,COLUMN(HeadJournal!L$1),0)*($K4891+$L4891)/(SUMIF($A:$A,$A4891,$K:$K)+SUMIF($A:$A,$A4891,$L:$L)))/VLOOKUP($A4891,HeadJournal!$A$1:$L$890,COLUMN(HeadJournal!H$1),0),0)</f>
        <v>0.55886875267244174</v>
      </c>
      <c r="P4891" s="30">
        <f>IFERROR(SUM(K4891:O4891)*VLOOKUP($A4891,HeadJournal!$A$1:$L$890,COLUMN(HeadJournal!H$1),0),0)</f>
        <v>1193.5971670171614</v>
      </c>
      <c r="Q4891" s="29">
        <v>2300</v>
      </c>
      <c r="R4891" s="31">
        <v>45895</v>
      </c>
      <c r="S4891" s="31"/>
      <c r="T4891" s="95" t="str">
        <f t="shared" si="368"/>
        <v>2025 08</v>
      </c>
      <c r="U4891" s="32">
        <f t="shared" si="358"/>
        <v>1106.4028329828386</v>
      </c>
      <c r="V4891" s="22">
        <f t="shared" si="359"/>
        <v>0.92694827330042662</v>
      </c>
      <c r="X4891" s="33"/>
      <c r="Y4891" s="33"/>
    </row>
    <row r="4892" spans="1:25" x14ac:dyDescent="0.2">
      <c r="A4892" s="93" t="s">
        <v>4041</v>
      </c>
      <c r="B4892" s="94" t="str">
        <f>IFERROR(VLOOKUP($A4892,HeadJournal!$A$1:$NTR$890,COLUMN(HeadJournal!B$1),0),"")</f>
        <v>720000745619</v>
      </c>
      <c r="C4892" s="94" t="str">
        <f>IFERROR(VLOOKUP($A4892,HeadJournal!$A$1:$NTR$890,COLUMN(HeadJournal!C$1),0),"")</f>
        <v>iHerb_OA CZN6870</v>
      </c>
      <c r="D4892" s="125" t="str">
        <f>IFERROR(VLOOKUP($A4892,HeadJournal!$A$1:$NTR$890,COLUMN(HeadJournal!D$1),0),"")</f>
        <v>Доставлен</v>
      </c>
      <c r="E4892" s="95">
        <f>IFERROR(VLOOKUP($A4892,HeadJournal!$A$1:$NTR$890,COLUMN(HeadJournal!G$1),0),"")</f>
        <v>45860</v>
      </c>
      <c r="F4892" s="95" t="str">
        <f t="shared" si="367"/>
        <v>2025 07</v>
      </c>
      <c r="G4892" s="97" t="s">
        <v>5</v>
      </c>
      <c r="H4892" s="161" t="s">
        <v>4035</v>
      </c>
      <c r="I4892" s="97" t="s">
        <v>2052</v>
      </c>
      <c r="J4892" s="97" t="s">
        <v>4036</v>
      </c>
      <c r="K4892" s="29">
        <v>19.43</v>
      </c>
      <c r="L4892" s="29">
        <v>-5.83</v>
      </c>
      <c r="M4892" s="30">
        <f>IFERROR(VLOOKUP($A4892,HeadJournal!$A$1:$J$890,COLUMN(HeadJournal!I$1),0)*($K4892+$L4892)/(SUMIF($A:$A,$A4892,$K:$K)+SUMIF($A:$A,$A4892,$L:$L)),0)</f>
        <v>-0.72490606890403109</v>
      </c>
      <c r="N4892" s="30">
        <f>IFERROR((VLOOKUP($A4892,HeadJournal!$A$1:$K$890,COLUMN(HeadJournal!K$1),0)-VLOOKUP($A4892,HeadJournal!$A$1:$K$890,COLUMN(HeadJournal!J$1),0))*($K4892+$L4892)/(SUMIF($A:$A,$A4892,$K:$K)+SUMIF($A:$A,$A4892,$L:$L)),0)</f>
        <v>0</v>
      </c>
      <c r="O4892" s="30">
        <f>IFERROR((VLOOKUP($A4892,HeadJournal!$A$1:$L$890,COLUMN(HeadJournal!L$1),0)*($K4892+$L4892)/(SUMIF($A:$A,$A4892,$K:$K)+SUMIF($A:$A,$A4892,$L:$L)))/VLOOKUP($A4892,HeadJournal!$A$1:$L$890,COLUMN(HeadJournal!H$1),0),0)</f>
        <v>0.55886875267244174</v>
      </c>
      <c r="P4892" s="30">
        <f>IFERROR(SUM(K4892:O4892)*VLOOKUP($A4892,HeadJournal!$A$1:$L$890,COLUMN(HeadJournal!H$1),0),0)</f>
        <v>1193.5971670171614</v>
      </c>
      <c r="Q4892" s="29">
        <v>2300</v>
      </c>
      <c r="R4892" s="31">
        <v>45938</v>
      </c>
      <c r="S4892" s="31"/>
      <c r="T4892" s="95" t="str">
        <f t="shared" si="368"/>
        <v>2025 10</v>
      </c>
      <c r="U4892" s="32">
        <f t="shared" si="358"/>
        <v>1106.4028329828386</v>
      </c>
      <c r="V4892" s="22">
        <f t="shared" si="359"/>
        <v>0.92694827330042662</v>
      </c>
      <c r="X4892" s="33"/>
      <c r="Y4892" s="33"/>
    </row>
    <row r="4893" spans="1:25" x14ac:dyDescent="0.2">
      <c r="A4893" s="93" t="s">
        <v>4041</v>
      </c>
      <c r="B4893" s="94" t="str">
        <f>IFERROR(VLOOKUP($A4893,HeadJournal!$A$1:$NTR$890,COLUMN(HeadJournal!B$1),0),"")</f>
        <v>720000745619</v>
      </c>
      <c r="C4893" s="94" t="str">
        <f>IFERROR(VLOOKUP($A4893,HeadJournal!$A$1:$NTR$890,COLUMN(HeadJournal!C$1),0),"")</f>
        <v>iHerb_OA CZN6870</v>
      </c>
      <c r="D4893" s="125" t="str">
        <f>IFERROR(VLOOKUP($A4893,HeadJournal!$A$1:$NTR$890,COLUMN(HeadJournal!D$1),0),"")</f>
        <v>Доставлен</v>
      </c>
      <c r="E4893" s="95">
        <f>IFERROR(VLOOKUP($A4893,HeadJournal!$A$1:$NTR$890,COLUMN(HeadJournal!G$1),0),"")</f>
        <v>45860</v>
      </c>
      <c r="F4893" s="95" t="str">
        <f t="shared" si="367"/>
        <v>2025 07</v>
      </c>
      <c r="G4893" s="97" t="s">
        <v>5</v>
      </c>
      <c r="H4893" s="161" t="s">
        <v>2565</v>
      </c>
      <c r="I4893" s="97" t="s">
        <v>2052</v>
      </c>
      <c r="J4893" s="97" t="s">
        <v>3829</v>
      </c>
      <c r="K4893" s="29">
        <v>30.08</v>
      </c>
      <c r="L4893" s="29">
        <v>-9.02</v>
      </c>
      <c r="M4893" s="30">
        <f>IFERROR(VLOOKUP($A4893,HeadJournal!$A$1:$J$890,COLUMN(HeadJournal!I$1),0)*($K4893+$L4893)/(SUMIF($A:$A,$A4893,$K:$K)+SUMIF($A:$A,$A4893,$L:$L)),0)</f>
        <v>-1.1225383684646246</v>
      </c>
      <c r="N4893" s="30">
        <f>IFERROR((VLOOKUP($A4893,HeadJournal!$A$1:$K$890,COLUMN(HeadJournal!K$1),0)-VLOOKUP($A4893,HeadJournal!$A$1:$K$890,COLUMN(HeadJournal!J$1),0))*($K4893+$L4893)/(SUMIF($A:$A,$A4893,$K:$K)+SUMIF($A:$A,$A4893,$L:$L)),0)</f>
        <v>0</v>
      </c>
      <c r="O4893" s="30">
        <f>IFERROR((VLOOKUP($A4893,HeadJournal!$A$1:$L$890,COLUMN(HeadJournal!L$1),0)*($K4893+$L4893)/(SUMIF($A:$A,$A4893,$K:$K)+SUMIF($A:$A,$A4893,$L:$L)))/VLOOKUP($A4893,HeadJournal!$A$1:$L$890,COLUMN(HeadJournal!H$1),0),0)</f>
        <v>0.86542470082953094</v>
      </c>
      <c r="P4893" s="30">
        <f>IFERROR(SUM(K4893:O4893)*VLOOKUP($A4893,HeadJournal!$A$1:$L$890,COLUMN(HeadJournal!H$1),0),0)</f>
        <v>1848.3203189251044</v>
      </c>
      <c r="Q4893" s="29">
        <v>3400</v>
      </c>
      <c r="R4893" s="31">
        <v>46079</v>
      </c>
      <c r="S4893" s="31"/>
      <c r="T4893" s="95" t="str">
        <f t="shared" si="368"/>
        <v>2026 02</v>
      </c>
      <c r="U4893" s="32">
        <f t="shared" si="358"/>
        <v>1551.6796810748956</v>
      </c>
      <c r="V4893" s="22">
        <f t="shared" si="359"/>
        <v>0.8395079928447029</v>
      </c>
      <c r="X4893" s="33"/>
      <c r="Y4893" s="33"/>
    </row>
    <row r="4894" spans="1:25" x14ac:dyDescent="0.2">
      <c r="A4894" s="93" t="s">
        <v>4041</v>
      </c>
      <c r="B4894" s="94" t="str">
        <f>IFERROR(VLOOKUP($A4894,HeadJournal!$A$1:$NTR$890,COLUMN(HeadJournal!B$1),0),"")</f>
        <v>720000745619</v>
      </c>
      <c r="C4894" s="94" t="str">
        <f>IFERROR(VLOOKUP($A4894,HeadJournal!$A$1:$NTR$890,COLUMN(HeadJournal!C$1),0),"")</f>
        <v>iHerb_OA CZN6870</v>
      </c>
      <c r="D4894" s="125" t="str">
        <f>IFERROR(VLOOKUP($A4894,HeadJournal!$A$1:$NTR$890,COLUMN(HeadJournal!D$1),0),"")</f>
        <v>Доставлен</v>
      </c>
      <c r="E4894" s="95">
        <f>IFERROR(VLOOKUP($A4894,HeadJournal!$A$1:$NTR$890,COLUMN(HeadJournal!G$1),0),"")</f>
        <v>45860</v>
      </c>
      <c r="F4894" s="95" t="str">
        <f t="shared" si="367"/>
        <v>2025 07</v>
      </c>
      <c r="G4894" s="97" t="s">
        <v>5</v>
      </c>
      <c r="H4894" s="161" t="s">
        <v>2884</v>
      </c>
      <c r="I4894" s="97" t="s">
        <v>2839</v>
      </c>
      <c r="J4894" s="97" t="s">
        <v>2885</v>
      </c>
      <c r="K4894" s="29">
        <v>38.590000000000003</v>
      </c>
      <c r="L4894" s="29">
        <v>0</v>
      </c>
      <c r="M4894" s="30">
        <f>IFERROR(VLOOKUP($A4894,HeadJournal!$A$1:$J$890,COLUMN(HeadJournal!I$1),0)*($K4894+$L4894)/(SUMIF($A:$A,$A4894,$K:$K)+SUMIF($A:$A,$A4894,$L:$L)),0)</f>
        <v>-2.0569209705151885</v>
      </c>
      <c r="N4894" s="30">
        <f>IFERROR((VLOOKUP($A4894,HeadJournal!$A$1:$K$890,COLUMN(HeadJournal!K$1),0)-VLOOKUP($A4894,HeadJournal!$A$1:$K$890,COLUMN(HeadJournal!J$1),0))*($K4894+$L4894)/(SUMIF($A:$A,$A4894,$K:$K)+SUMIF($A:$A,$A4894,$L:$L)),0)</f>
        <v>0</v>
      </c>
      <c r="O4894" s="30">
        <f>IFERROR((VLOOKUP($A4894,HeadJournal!$A$1:$L$890,COLUMN(HeadJournal!L$1),0)*($K4894+$L4894)/(SUMIF($A:$A,$A4894,$K:$K)+SUMIF($A:$A,$A4894,$L:$L)))/VLOOKUP($A4894,HeadJournal!$A$1:$L$890,COLUMN(HeadJournal!H$1),0),0)</f>
        <v>1.5857900857080536</v>
      </c>
      <c r="P4894" s="30">
        <f>IFERROR(SUM(K4894:O4894)*VLOOKUP($A4894,HeadJournal!$A$1:$L$890,COLUMN(HeadJournal!H$1),0),0)</f>
        <v>3386.8319614111965</v>
      </c>
      <c r="Q4894" s="29">
        <v>4300</v>
      </c>
      <c r="R4894" s="31">
        <v>46020</v>
      </c>
      <c r="S4894" s="31"/>
      <c r="T4894" s="95" t="str">
        <f t="shared" si="368"/>
        <v>2025 12</v>
      </c>
      <c r="U4894" s="32">
        <f t="shared" si="358"/>
        <v>913.16803858880348</v>
      </c>
      <c r="V4894" s="22">
        <f t="shared" si="359"/>
        <v>0.26962307223778303</v>
      </c>
      <c r="X4894" s="33"/>
      <c r="Y4894" s="33"/>
    </row>
    <row r="4895" spans="1:25" x14ac:dyDescent="0.2">
      <c r="A4895" s="93" t="s">
        <v>4041</v>
      </c>
      <c r="B4895" s="94" t="str">
        <f>IFERROR(VLOOKUP($A4895,HeadJournal!$A$1:$NTR$890,COLUMN(HeadJournal!B$1),0),"")</f>
        <v>720000745619</v>
      </c>
      <c r="C4895" s="94" t="str">
        <f>IFERROR(VLOOKUP($A4895,HeadJournal!$A$1:$NTR$890,COLUMN(HeadJournal!C$1),0),"")</f>
        <v>iHerb_OA CZN6870</v>
      </c>
      <c r="D4895" s="125" t="str">
        <f>IFERROR(VLOOKUP($A4895,HeadJournal!$A$1:$NTR$890,COLUMN(HeadJournal!D$1),0),"")</f>
        <v>Доставлен</v>
      </c>
      <c r="E4895" s="95">
        <f>IFERROR(VLOOKUP($A4895,HeadJournal!$A$1:$NTR$890,COLUMN(HeadJournal!G$1),0),"")</f>
        <v>45860</v>
      </c>
      <c r="F4895" s="95" t="str">
        <f t="shared" si="367"/>
        <v>2025 07</v>
      </c>
      <c r="G4895" s="97" t="s">
        <v>5</v>
      </c>
      <c r="H4895" s="161" t="s">
        <v>3573</v>
      </c>
      <c r="I4895" s="97" t="s">
        <v>2052</v>
      </c>
      <c r="J4895" s="97" t="s">
        <v>3574</v>
      </c>
      <c r="K4895" s="29">
        <v>16.21</v>
      </c>
      <c r="L4895" s="29">
        <v>-4.8650000000000002</v>
      </c>
      <c r="M4895" s="30">
        <f>IFERROR(VLOOKUP($A4895,HeadJournal!$A$1:$J$890,COLUMN(HeadJournal!I$1),0)*($K4895+$L4895)/(SUMIF($A:$A,$A4895,$K:$K)+SUMIF($A:$A,$A4895,$L:$L)),0)</f>
        <v>-0.60471024644972304</v>
      </c>
      <c r="N4895" s="30">
        <f>IFERROR((VLOOKUP($A4895,HeadJournal!$A$1:$K$890,COLUMN(HeadJournal!K$1),0)-VLOOKUP($A4895,HeadJournal!$A$1:$K$890,COLUMN(HeadJournal!J$1),0))*($K4895+$L4895)/(SUMIF($A:$A,$A4895,$K:$K)+SUMIF($A:$A,$A4895,$L:$L)),0)</f>
        <v>0</v>
      </c>
      <c r="O4895" s="30">
        <f>IFERROR((VLOOKUP($A4895,HeadJournal!$A$1:$L$890,COLUMN(HeadJournal!L$1),0)*($K4895+$L4895)/(SUMIF($A:$A,$A4895,$K:$K)+SUMIF($A:$A,$A4895,$L:$L)))/VLOOKUP($A4895,HeadJournal!$A$1:$L$890,COLUMN(HeadJournal!H$1),0),0)</f>
        <v>0.46620338228447433</v>
      </c>
      <c r="P4895" s="30">
        <f>IFERROR(SUM(K4895:O4895)*VLOOKUP($A4895,HeadJournal!$A$1:$L$890,COLUMN(HeadJournal!H$1),0),0)</f>
        <v>995.68822498600719</v>
      </c>
      <c r="Q4895" s="29">
        <v>2300</v>
      </c>
      <c r="R4895" s="31">
        <v>46020</v>
      </c>
      <c r="S4895" s="31"/>
      <c r="T4895" s="95" t="str">
        <f t="shared" si="368"/>
        <v>2025 12</v>
      </c>
      <c r="U4895" s="32">
        <f t="shared" si="358"/>
        <v>1304.3117750139927</v>
      </c>
      <c r="V4895" s="22">
        <f t="shared" si="359"/>
        <v>1.3099600279317583</v>
      </c>
      <c r="X4895" s="33"/>
      <c r="Y4895" s="33"/>
    </row>
    <row r="4896" spans="1:25" x14ac:dyDescent="0.2">
      <c r="A4896" s="93" t="s">
        <v>4041</v>
      </c>
      <c r="B4896" s="94" t="str">
        <f>IFERROR(VLOOKUP($A4896,HeadJournal!$A$1:$NTR$890,COLUMN(HeadJournal!B$1),0),"")</f>
        <v>720000745619</v>
      </c>
      <c r="C4896" s="94" t="str">
        <f>IFERROR(VLOOKUP($A4896,HeadJournal!$A$1:$NTR$890,COLUMN(HeadJournal!C$1),0),"")</f>
        <v>iHerb_OA CZN6870</v>
      </c>
      <c r="D4896" s="125" t="str">
        <f>IFERROR(VLOOKUP($A4896,HeadJournal!$A$1:$NTR$890,COLUMN(HeadJournal!D$1),0),"")</f>
        <v>Доставлен</v>
      </c>
      <c r="E4896" s="95">
        <f>IFERROR(VLOOKUP($A4896,HeadJournal!$A$1:$NTR$890,COLUMN(HeadJournal!G$1),0),"")</f>
        <v>45860</v>
      </c>
      <c r="F4896" s="95" t="str">
        <f t="shared" si="367"/>
        <v>2025 07</v>
      </c>
      <c r="G4896" s="97" t="s">
        <v>5</v>
      </c>
      <c r="H4896" s="161" t="s">
        <v>3573</v>
      </c>
      <c r="I4896" s="97" t="s">
        <v>2052</v>
      </c>
      <c r="J4896" s="97" t="s">
        <v>3574</v>
      </c>
      <c r="K4896" s="29">
        <v>16.21</v>
      </c>
      <c r="L4896" s="29">
        <v>-4.8650000000000002</v>
      </c>
      <c r="M4896" s="30">
        <f>IFERROR(VLOOKUP($A4896,HeadJournal!$A$1:$J$890,COLUMN(HeadJournal!I$1),0)*($K4896+$L4896)/(SUMIF($A:$A,$A4896,$K:$K)+SUMIF($A:$A,$A4896,$L:$L)),0)</f>
        <v>-0.60471024644972304</v>
      </c>
      <c r="N4896" s="30">
        <f>IFERROR((VLOOKUP($A4896,HeadJournal!$A$1:$K$890,COLUMN(HeadJournal!K$1),0)-VLOOKUP($A4896,HeadJournal!$A$1:$K$890,COLUMN(HeadJournal!J$1),0))*($K4896+$L4896)/(SUMIF($A:$A,$A4896,$K:$K)+SUMIF($A:$A,$A4896,$L:$L)),0)</f>
        <v>0</v>
      </c>
      <c r="O4896" s="30">
        <f>IFERROR((VLOOKUP($A4896,HeadJournal!$A$1:$L$890,COLUMN(HeadJournal!L$1),0)*($K4896+$L4896)/(SUMIF($A:$A,$A4896,$K:$K)+SUMIF($A:$A,$A4896,$L:$L)))/VLOOKUP($A4896,HeadJournal!$A$1:$L$890,COLUMN(HeadJournal!H$1),0),0)</f>
        <v>0.46620338228447433</v>
      </c>
      <c r="P4896" s="30">
        <f>IFERROR(SUM(K4896:O4896)*VLOOKUP($A4896,HeadJournal!$A$1:$L$890,COLUMN(HeadJournal!H$1),0),0)</f>
        <v>995.68822498600719</v>
      </c>
      <c r="Q4896" s="29">
        <v>2300</v>
      </c>
      <c r="R4896" s="31">
        <v>46059</v>
      </c>
      <c r="S4896" s="31" t="s">
        <v>3497</v>
      </c>
      <c r="T4896" s="95" t="str">
        <f t="shared" si="368"/>
        <v>2026 02</v>
      </c>
      <c r="U4896" s="32">
        <f t="shared" si="358"/>
        <v>1304.3117750139927</v>
      </c>
      <c r="V4896" s="22">
        <f t="shared" si="359"/>
        <v>1.3099600279317583</v>
      </c>
      <c r="X4896" s="33"/>
      <c r="Y4896" s="33"/>
    </row>
    <row r="4897" spans="1:25" x14ac:dyDescent="0.2">
      <c r="A4897" s="93" t="s">
        <v>4041</v>
      </c>
      <c r="B4897" s="94" t="str">
        <f>IFERROR(VLOOKUP($A4897,HeadJournal!$A$1:$NTR$890,COLUMN(HeadJournal!B$1),0),"")</f>
        <v>720000745619</v>
      </c>
      <c r="C4897" s="94" t="str">
        <f>IFERROR(VLOOKUP($A4897,HeadJournal!$A$1:$NTR$890,COLUMN(HeadJournal!C$1),0),"")</f>
        <v>iHerb_OA CZN6870</v>
      </c>
      <c r="D4897" s="125" t="str">
        <f>IFERROR(VLOOKUP($A4897,HeadJournal!$A$1:$NTR$890,COLUMN(HeadJournal!D$1),0),"")</f>
        <v>Доставлен</v>
      </c>
      <c r="E4897" s="95">
        <f>IFERROR(VLOOKUP($A4897,HeadJournal!$A$1:$NTR$890,COLUMN(HeadJournal!G$1),0),"")</f>
        <v>45860</v>
      </c>
      <c r="F4897" s="95" t="str">
        <f t="shared" si="367"/>
        <v>2025 07</v>
      </c>
      <c r="G4897" s="97" t="s">
        <v>5</v>
      </c>
      <c r="H4897" s="161" t="s">
        <v>2623</v>
      </c>
      <c r="I4897" s="97" t="s">
        <v>2052</v>
      </c>
      <c r="J4897" s="97" t="s">
        <v>3915</v>
      </c>
      <c r="K4897" s="29">
        <v>5.7</v>
      </c>
      <c r="L4897" s="29">
        <v>-1.71</v>
      </c>
      <c r="M4897" s="30">
        <f>IFERROR(VLOOKUP($A4897,HeadJournal!$A$1:$J$890,COLUMN(HeadJournal!I$1),0)*($K4897+$L4897)/(SUMIF($A:$A,$A4897,$K:$K)+SUMIF($A:$A,$A4897,$L:$L)),0)</f>
        <v>-0.21267464815640325</v>
      </c>
      <c r="N4897" s="30">
        <f>IFERROR((VLOOKUP($A4897,HeadJournal!$A$1:$K$890,COLUMN(HeadJournal!K$1),0)-VLOOKUP($A4897,HeadJournal!$A$1:$K$890,COLUMN(HeadJournal!J$1),0))*($K4897+$L4897)/(SUMIF($A:$A,$A4897,$K:$K)+SUMIF($A:$A,$A4897,$L:$L)),0)</f>
        <v>0</v>
      </c>
      <c r="O4897" s="30">
        <f>IFERROR((VLOOKUP($A4897,HeadJournal!$A$1:$L$890,COLUMN(HeadJournal!L$1),0)*($K4897+$L4897)/(SUMIF($A:$A,$A4897,$K:$K)+SUMIF($A:$A,$A4897,$L:$L)))/VLOOKUP($A4897,HeadJournal!$A$1:$L$890,COLUMN(HeadJournal!H$1),0),0)</f>
        <v>0.16396222964434137</v>
      </c>
      <c r="P4897" s="30">
        <f>IFERROR(SUM(K4897:O4897)*VLOOKUP($A4897,HeadJournal!$A$1:$L$890,COLUMN(HeadJournal!H$1),0),0)</f>
        <v>350.18034532341727</v>
      </c>
      <c r="Q4897" s="29">
        <v>1000</v>
      </c>
      <c r="R4897" s="31">
        <v>46018</v>
      </c>
      <c r="S4897" s="31" t="s">
        <v>3437</v>
      </c>
      <c r="T4897" s="95" t="str">
        <f t="shared" si="368"/>
        <v>2025 12</v>
      </c>
      <c r="U4897" s="32">
        <f t="shared" ref="U4897:U4913" si="369">Q4897-P4897</f>
        <v>649.81965467658279</v>
      </c>
      <c r="V4897" s="22">
        <f t="shared" ref="V4897:V4913" si="370">IF(Q4897&lt;&gt;0,IFERROR(U4897/P4897,""),"")</f>
        <v>1.855671408617827</v>
      </c>
      <c r="X4897" s="33"/>
      <c r="Y4897" s="33"/>
    </row>
    <row r="4898" spans="1:25" x14ac:dyDescent="0.2">
      <c r="A4898" s="93" t="s">
        <v>4041</v>
      </c>
      <c r="B4898" s="94" t="str">
        <f>IFERROR(VLOOKUP($A4898,HeadJournal!$A$1:$NTR$890,COLUMN(HeadJournal!B$1),0),"")</f>
        <v>720000745619</v>
      </c>
      <c r="C4898" s="94" t="str">
        <f>IFERROR(VLOOKUP($A4898,HeadJournal!$A$1:$NTR$890,COLUMN(HeadJournal!C$1),0),"")</f>
        <v>iHerb_OA CZN6870</v>
      </c>
      <c r="D4898" s="125" t="str">
        <f>IFERROR(VLOOKUP($A4898,HeadJournal!$A$1:$NTR$890,COLUMN(HeadJournal!D$1),0),"")</f>
        <v>Доставлен</v>
      </c>
      <c r="E4898" s="95">
        <f>IFERROR(VLOOKUP($A4898,HeadJournal!$A$1:$NTR$890,COLUMN(HeadJournal!G$1),0),"")</f>
        <v>45860</v>
      </c>
      <c r="F4898" s="95" t="str">
        <f t="shared" si="367"/>
        <v>2025 07</v>
      </c>
      <c r="G4898" s="97" t="s">
        <v>5</v>
      </c>
      <c r="H4898" s="161" t="s">
        <v>4037</v>
      </c>
      <c r="I4898" s="97" t="s">
        <v>3688</v>
      </c>
      <c r="J4898" s="97" t="s">
        <v>4038</v>
      </c>
      <c r="K4898" s="29">
        <v>7.89</v>
      </c>
      <c r="L4898" s="29">
        <v>-0.79</v>
      </c>
      <c r="M4898" s="30">
        <f>IFERROR(VLOOKUP($A4898,HeadJournal!$A$1:$J$890,COLUMN(HeadJournal!I$1),0)*($K4898+$L4898)/(SUMIF($A:$A,$A4898,$K:$K)+SUMIF($A:$A,$A4898,$L:$L)),0)</f>
        <v>-0.37844360950136918</v>
      </c>
      <c r="N4898" s="30">
        <f>IFERROR((VLOOKUP($A4898,HeadJournal!$A$1:$K$890,COLUMN(HeadJournal!K$1),0)-VLOOKUP($A4898,HeadJournal!$A$1:$K$890,COLUMN(HeadJournal!J$1),0))*($K4898+$L4898)/(SUMIF($A:$A,$A4898,$K:$K)+SUMIF($A:$A,$A4898,$L:$L)),0)</f>
        <v>0</v>
      </c>
      <c r="O4898" s="30">
        <f>IFERROR((VLOOKUP($A4898,HeadJournal!$A$1:$L$890,COLUMN(HeadJournal!L$1),0)*($K4898+$L4898)/(SUMIF($A:$A,$A4898,$K:$K)+SUMIF($A:$A,$A4898,$L:$L)))/VLOOKUP($A4898,HeadJournal!$A$1:$L$890,COLUMN(HeadJournal!H$1),0),0)</f>
        <v>0.29176236352752466</v>
      </c>
      <c r="P4898" s="30">
        <f>IFERROR(SUM(K4898:O4898)*VLOOKUP($A4898,HeadJournal!$A$1:$L$890,COLUMN(HeadJournal!H$1),0),0)</f>
        <v>623.1279327810181</v>
      </c>
      <c r="Q4898" s="29">
        <v>1500</v>
      </c>
      <c r="R4898" s="31">
        <v>45901</v>
      </c>
      <c r="S4898" s="31" t="s">
        <v>3394</v>
      </c>
      <c r="T4898" s="95" t="str">
        <f t="shared" si="368"/>
        <v>2025 09</v>
      </c>
      <c r="U4898" s="32">
        <f t="shared" si="369"/>
        <v>876.8720672189819</v>
      </c>
      <c r="V4898" s="22">
        <f t="shared" si="370"/>
        <v>1.4072103352926333</v>
      </c>
      <c r="X4898" s="33"/>
      <c r="Y4898" s="33"/>
    </row>
    <row r="4899" spans="1:25" x14ac:dyDescent="0.2">
      <c r="A4899" s="93" t="s">
        <v>4041</v>
      </c>
      <c r="B4899" s="94" t="str">
        <f>IFERROR(VLOOKUP($A4899,HeadJournal!$A$1:$NTR$890,COLUMN(HeadJournal!B$1),0),"")</f>
        <v>720000745619</v>
      </c>
      <c r="C4899" s="94" t="str">
        <f>IFERROR(VLOOKUP($A4899,HeadJournal!$A$1:$NTR$890,COLUMN(HeadJournal!C$1),0),"")</f>
        <v>iHerb_OA CZN6870</v>
      </c>
      <c r="D4899" s="125" t="str">
        <f>IFERROR(VLOOKUP($A4899,HeadJournal!$A$1:$NTR$890,COLUMN(HeadJournal!D$1),0),"")</f>
        <v>Доставлен</v>
      </c>
      <c r="E4899" s="95">
        <f>IFERROR(VLOOKUP($A4899,HeadJournal!$A$1:$NTR$890,COLUMN(HeadJournal!G$1),0),"")</f>
        <v>45860</v>
      </c>
      <c r="F4899" s="95" t="str">
        <f t="shared" si="367"/>
        <v>2025 07</v>
      </c>
      <c r="G4899" s="97" t="s">
        <v>5</v>
      </c>
      <c r="H4899" s="161" t="s">
        <v>4039</v>
      </c>
      <c r="I4899" s="97" t="s">
        <v>2239</v>
      </c>
      <c r="J4899" s="97" t="s">
        <v>4040</v>
      </c>
      <c r="K4899" s="29">
        <v>18.03</v>
      </c>
      <c r="L4899" s="29">
        <v>-8.83</v>
      </c>
      <c r="M4899" s="30">
        <f>IFERROR(VLOOKUP($A4899,HeadJournal!$A$1:$J$890,COLUMN(HeadJournal!I$1),0)*($K4899+$L4899)/(SUMIF($A:$A,$A4899,$K:$K)+SUMIF($A:$A,$A4899,$L:$L)),0)</f>
        <v>-0.49037763484684466</v>
      </c>
      <c r="N4899" s="30">
        <f>IFERROR((VLOOKUP($A4899,HeadJournal!$A$1:$K$890,COLUMN(HeadJournal!K$1),0)-VLOOKUP($A4899,HeadJournal!$A$1:$K$890,COLUMN(HeadJournal!J$1),0))*($K4899+$L4899)/(SUMIF($A:$A,$A4899,$K:$K)+SUMIF($A:$A,$A4899,$L:$L)),0)</f>
        <v>0</v>
      </c>
      <c r="O4899" s="30">
        <f>IFERROR((VLOOKUP($A4899,HeadJournal!$A$1:$L$890,COLUMN(HeadJournal!L$1),0)*($K4899+$L4899)/(SUMIF($A:$A,$A4899,$K:$K)+SUMIF($A:$A,$A4899,$L:$L)))/VLOOKUP($A4899,HeadJournal!$A$1:$L$890,COLUMN(HeadJournal!H$1),0),0)</f>
        <v>0.37805827386665175</v>
      </c>
      <c r="P4899" s="30">
        <f>IFERROR(SUM(K4899:O4899)*VLOOKUP($A4899,HeadJournal!$A$1:$L$890,COLUMN(HeadJournal!H$1),0),0)</f>
        <v>807.43337768807999</v>
      </c>
      <c r="Q4899" s="29">
        <v>2300</v>
      </c>
      <c r="R4899" s="31">
        <v>45938</v>
      </c>
      <c r="S4899" s="31" t="s">
        <v>3475</v>
      </c>
      <c r="T4899" s="95" t="str">
        <f t="shared" si="368"/>
        <v>2025 10</v>
      </c>
      <c r="U4899" s="32">
        <f t="shared" si="369"/>
        <v>1492.5666223119201</v>
      </c>
      <c r="V4899" s="22">
        <f t="shared" si="370"/>
        <v>1.8485322300962821</v>
      </c>
      <c r="X4899" s="33"/>
      <c r="Y4899" s="33"/>
    </row>
    <row r="4900" spans="1:25" x14ac:dyDescent="0.2">
      <c r="A4900" s="93" t="s">
        <v>4048</v>
      </c>
      <c r="B4900" s="94" t="str">
        <f>IFERROR(VLOOKUP($A4900,HeadJournal!$A$1:$NTR$890,COLUMN(HeadJournal!B$1),0),"")</f>
        <v>722500491160</v>
      </c>
      <c r="C4900" s="94" t="str">
        <f>IFERROR(VLOOKUP($A4900,HeadJournal!$A$1:$NTR$890,COLUMN(HeadJournal!C$1),0),"")</f>
        <v>iHerb_AV CYG0792</v>
      </c>
      <c r="D4900" s="125" t="str">
        <f>IFERROR(VLOOKUP($A4900,HeadJournal!$A$1:$NTR$890,COLUMN(HeadJournal!D$1),0),"")</f>
        <v>Доставлен</v>
      </c>
      <c r="E4900" s="95">
        <f>IFERROR(VLOOKUP($A4900,HeadJournal!$A$1:$NTR$890,COLUMN(HeadJournal!G$1),0),"")</f>
        <v>45862</v>
      </c>
      <c r="F4900" s="95" t="str">
        <f t="shared" si="367"/>
        <v>2025 07</v>
      </c>
      <c r="G4900" s="97" t="s">
        <v>5</v>
      </c>
      <c r="H4900" s="161" t="s">
        <v>4042</v>
      </c>
      <c r="I4900" s="97" t="s">
        <v>2036</v>
      </c>
      <c r="J4900" s="97" t="s">
        <v>4043</v>
      </c>
      <c r="K4900" s="29">
        <v>15.08</v>
      </c>
      <c r="L4900" s="29">
        <v>-3.0150000000000001</v>
      </c>
      <c r="M4900" s="30">
        <f>IFERROR(VLOOKUP($A4900,HeadJournal!$A$1:$J$890,COLUMN(HeadJournal!I$1),0)*($K4900+$L4900)/(SUMIF($A:$A,$A4900,$K:$K)+SUMIF($A:$A,$A4900,$L:$L)),0)</f>
        <v>-0.69240477399695288</v>
      </c>
      <c r="N4900" s="30">
        <f>IFERROR((VLOOKUP($A4900,HeadJournal!$A$1:$K$890,COLUMN(HeadJournal!K$1),0)-VLOOKUP($A4900,HeadJournal!$A$1:$K$890,COLUMN(HeadJournal!J$1),0))*($K4900+$L4900)/(SUMIF($A:$A,$A4900,$K:$K)+SUMIF($A:$A,$A4900,$L:$L)),0)</f>
        <v>0</v>
      </c>
      <c r="O4900" s="30">
        <f>IFERROR((VLOOKUP($A4900,HeadJournal!$A$1:$L$890,COLUMN(HeadJournal!L$1),0)*($K4900+$L4900)/(SUMIF($A:$A,$A4900,$K:$K)+SUMIF($A:$A,$A4900,$L:$L)))/VLOOKUP($A4900,HeadJournal!$A$1:$L$890,COLUMN(HeadJournal!H$1),0),0)</f>
        <v>0.56485518616333208</v>
      </c>
      <c r="P4900" s="30">
        <f>IFERROR(SUM(K4900:O4900)*VLOOKUP($A4900,HeadJournal!$A$1:$L$890,COLUMN(HeadJournal!H$1),0),0)</f>
        <v>1060.6332121634816</v>
      </c>
      <c r="Q4900" s="29">
        <v>1900</v>
      </c>
      <c r="R4900" s="31">
        <v>45891</v>
      </c>
      <c r="S4900" s="31" t="s">
        <v>3226</v>
      </c>
      <c r="T4900" s="95" t="str">
        <f t="shared" si="368"/>
        <v>2025 08</v>
      </c>
      <c r="U4900" s="32">
        <f t="shared" si="369"/>
        <v>839.36678783651837</v>
      </c>
      <c r="V4900" s="22">
        <f t="shared" si="370"/>
        <v>0.79138271195975129</v>
      </c>
      <c r="X4900" s="33"/>
      <c r="Y4900" s="33"/>
    </row>
    <row r="4901" spans="1:25" x14ac:dyDescent="0.2">
      <c r="A4901" s="93" t="s">
        <v>4048</v>
      </c>
      <c r="B4901" s="94" t="str">
        <f>IFERROR(VLOOKUP($A4901,HeadJournal!$A$1:$NTR$890,COLUMN(HeadJournal!B$1),0),"")</f>
        <v>722500491160</v>
      </c>
      <c r="C4901" s="94" t="str">
        <f>IFERROR(VLOOKUP($A4901,HeadJournal!$A$1:$NTR$890,COLUMN(HeadJournal!C$1),0),"")</f>
        <v>iHerb_AV CYG0792</v>
      </c>
      <c r="D4901" s="125" t="str">
        <f>IFERROR(VLOOKUP($A4901,HeadJournal!$A$1:$NTR$890,COLUMN(HeadJournal!D$1),0),"")</f>
        <v>Доставлен</v>
      </c>
      <c r="E4901" s="95">
        <f>IFERROR(VLOOKUP($A4901,HeadJournal!$A$1:$NTR$890,COLUMN(HeadJournal!G$1),0),"")</f>
        <v>45862</v>
      </c>
      <c r="F4901" s="95" t="str">
        <f t="shared" si="367"/>
        <v>2025 07</v>
      </c>
      <c r="G4901" s="97" t="s">
        <v>5</v>
      </c>
      <c r="H4901" s="161" t="s">
        <v>4042</v>
      </c>
      <c r="I4901" s="97" t="s">
        <v>2036</v>
      </c>
      <c r="J4901" s="97" t="s">
        <v>4043</v>
      </c>
      <c r="K4901" s="29">
        <v>15.08</v>
      </c>
      <c r="L4901" s="29">
        <v>-3.0150000000000001</v>
      </c>
      <c r="M4901" s="30">
        <f>IFERROR(VLOOKUP($A4901,HeadJournal!$A$1:$J$890,COLUMN(HeadJournal!I$1),0)*($K4901+$L4901)/(SUMIF($A:$A,$A4901,$K:$K)+SUMIF($A:$A,$A4901,$L:$L)),0)</f>
        <v>-0.69240477399695288</v>
      </c>
      <c r="N4901" s="30">
        <f>IFERROR((VLOOKUP($A4901,HeadJournal!$A$1:$K$890,COLUMN(HeadJournal!K$1),0)-VLOOKUP($A4901,HeadJournal!$A$1:$K$890,COLUMN(HeadJournal!J$1),0))*($K4901+$L4901)/(SUMIF($A:$A,$A4901,$K:$K)+SUMIF($A:$A,$A4901,$L:$L)),0)</f>
        <v>0</v>
      </c>
      <c r="O4901" s="30">
        <f>IFERROR((VLOOKUP($A4901,HeadJournal!$A$1:$L$890,COLUMN(HeadJournal!L$1),0)*($K4901+$L4901)/(SUMIF($A:$A,$A4901,$K:$K)+SUMIF($A:$A,$A4901,$L:$L)))/VLOOKUP($A4901,HeadJournal!$A$1:$L$890,COLUMN(HeadJournal!H$1),0),0)</f>
        <v>0.56485518616333208</v>
      </c>
      <c r="P4901" s="30">
        <f>IFERROR(SUM(K4901:O4901)*VLOOKUP($A4901,HeadJournal!$A$1:$L$890,COLUMN(HeadJournal!H$1),0),0)</f>
        <v>1060.6332121634816</v>
      </c>
      <c r="Q4901" s="29">
        <v>1900</v>
      </c>
      <c r="R4901" s="31">
        <v>45892</v>
      </c>
      <c r="S4901" s="31" t="s">
        <v>3235</v>
      </c>
      <c r="T4901" s="95" t="str">
        <f t="shared" si="368"/>
        <v>2025 08</v>
      </c>
      <c r="U4901" s="32">
        <f t="shared" si="369"/>
        <v>839.36678783651837</v>
      </c>
      <c r="V4901" s="22">
        <f t="shared" si="370"/>
        <v>0.79138271195975129</v>
      </c>
      <c r="X4901" s="33"/>
      <c r="Y4901" s="33"/>
    </row>
    <row r="4902" spans="1:25" x14ac:dyDescent="0.2">
      <c r="A4902" s="93" t="s">
        <v>4048</v>
      </c>
      <c r="B4902" s="94" t="str">
        <f>IFERROR(VLOOKUP($A4902,HeadJournal!$A$1:$NTR$890,COLUMN(HeadJournal!B$1),0),"")</f>
        <v>722500491160</v>
      </c>
      <c r="C4902" s="94" t="str">
        <f>IFERROR(VLOOKUP($A4902,HeadJournal!$A$1:$NTR$890,COLUMN(HeadJournal!C$1),0),"")</f>
        <v>iHerb_AV CYG0792</v>
      </c>
      <c r="D4902" s="125" t="str">
        <f>IFERROR(VLOOKUP($A4902,HeadJournal!$A$1:$NTR$890,COLUMN(HeadJournal!D$1),0),"")</f>
        <v>Доставлен</v>
      </c>
      <c r="E4902" s="95">
        <f>IFERROR(VLOOKUP($A4902,HeadJournal!$A$1:$NTR$890,COLUMN(HeadJournal!G$1),0),"")</f>
        <v>45862</v>
      </c>
      <c r="F4902" s="95" t="str">
        <f t="shared" si="367"/>
        <v>2025 07</v>
      </c>
      <c r="G4902" s="97" t="s">
        <v>5</v>
      </c>
      <c r="H4902" s="161" t="s">
        <v>2504</v>
      </c>
      <c r="I4902" s="97" t="s">
        <v>2036</v>
      </c>
      <c r="J4902" s="97" t="s">
        <v>3739</v>
      </c>
      <c r="K4902" s="29">
        <v>15.08</v>
      </c>
      <c r="L4902" s="29">
        <v>-3.0150000000000001</v>
      </c>
      <c r="M4902" s="30">
        <f>IFERROR(VLOOKUP($A4902,HeadJournal!$A$1:$J$890,COLUMN(HeadJournal!I$1),0)*($K4902+$L4902)/(SUMIF($A:$A,$A4902,$K:$K)+SUMIF($A:$A,$A4902,$L:$L)),0)</f>
        <v>-0.69240477399695288</v>
      </c>
      <c r="N4902" s="30">
        <f>IFERROR((VLOOKUP($A4902,HeadJournal!$A$1:$K$890,COLUMN(HeadJournal!K$1),0)-VLOOKUP($A4902,HeadJournal!$A$1:$K$890,COLUMN(HeadJournal!J$1),0))*($K4902+$L4902)/(SUMIF($A:$A,$A4902,$K:$K)+SUMIF($A:$A,$A4902,$L:$L)),0)</f>
        <v>0</v>
      </c>
      <c r="O4902" s="30">
        <f>IFERROR((VLOOKUP($A4902,HeadJournal!$A$1:$L$890,COLUMN(HeadJournal!L$1),0)*($K4902+$L4902)/(SUMIF($A:$A,$A4902,$K:$K)+SUMIF($A:$A,$A4902,$L:$L)))/VLOOKUP($A4902,HeadJournal!$A$1:$L$890,COLUMN(HeadJournal!H$1),0),0)</f>
        <v>0.56485518616333208</v>
      </c>
      <c r="P4902" s="30">
        <f>IFERROR(SUM(K4902:O4902)*VLOOKUP($A4902,HeadJournal!$A$1:$L$890,COLUMN(HeadJournal!H$1),0),0)</f>
        <v>1060.6332121634816</v>
      </c>
      <c r="Q4902" s="29">
        <v>2000</v>
      </c>
      <c r="R4902" s="31">
        <v>45891</v>
      </c>
      <c r="S4902" s="31" t="s">
        <v>3226</v>
      </c>
      <c r="T4902" s="95" t="str">
        <f t="shared" si="368"/>
        <v>2025 08</v>
      </c>
      <c r="U4902" s="32">
        <f t="shared" si="369"/>
        <v>939.36678783651837</v>
      </c>
      <c r="V4902" s="22">
        <f t="shared" si="370"/>
        <v>0.88566601258921185</v>
      </c>
      <c r="X4902" s="33"/>
      <c r="Y4902" s="33"/>
    </row>
    <row r="4903" spans="1:25" x14ac:dyDescent="0.2">
      <c r="A4903" s="93" t="s">
        <v>4048</v>
      </c>
      <c r="B4903" s="94" t="str">
        <f>IFERROR(VLOOKUP($A4903,HeadJournal!$A$1:$NTR$890,COLUMN(HeadJournal!B$1),0),"")</f>
        <v>722500491160</v>
      </c>
      <c r="C4903" s="94" t="str">
        <f>IFERROR(VLOOKUP($A4903,HeadJournal!$A$1:$NTR$890,COLUMN(HeadJournal!C$1),0),"")</f>
        <v>iHerb_AV CYG0792</v>
      </c>
      <c r="D4903" s="125" t="str">
        <f>IFERROR(VLOOKUP($A4903,HeadJournal!$A$1:$NTR$890,COLUMN(HeadJournal!D$1),0),"")</f>
        <v>Доставлен</v>
      </c>
      <c r="E4903" s="95">
        <f>IFERROR(VLOOKUP($A4903,HeadJournal!$A$1:$NTR$890,COLUMN(HeadJournal!G$1),0),"")</f>
        <v>45862</v>
      </c>
      <c r="F4903" s="95" t="str">
        <f t="shared" si="367"/>
        <v>2025 07</v>
      </c>
      <c r="G4903" s="97" t="s">
        <v>5</v>
      </c>
      <c r="H4903" s="161" t="s">
        <v>2504</v>
      </c>
      <c r="I4903" s="97" t="s">
        <v>2036</v>
      </c>
      <c r="J4903" s="97" t="s">
        <v>3739</v>
      </c>
      <c r="K4903" s="29">
        <v>15.08</v>
      </c>
      <c r="L4903" s="29">
        <v>-3.0150000000000001</v>
      </c>
      <c r="M4903" s="30">
        <f>IFERROR(VLOOKUP($A4903,HeadJournal!$A$1:$J$890,COLUMN(HeadJournal!I$1),0)*($K4903+$L4903)/(SUMIF($A:$A,$A4903,$K:$K)+SUMIF($A:$A,$A4903,$L:$L)),0)</f>
        <v>-0.69240477399695288</v>
      </c>
      <c r="N4903" s="30">
        <f>IFERROR((VLOOKUP($A4903,HeadJournal!$A$1:$K$890,COLUMN(HeadJournal!K$1),0)-VLOOKUP($A4903,HeadJournal!$A$1:$K$890,COLUMN(HeadJournal!J$1),0))*($K4903+$L4903)/(SUMIF($A:$A,$A4903,$K:$K)+SUMIF($A:$A,$A4903,$L:$L)),0)</f>
        <v>0</v>
      </c>
      <c r="O4903" s="30">
        <f>IFERROR((VLOOKUP($A4903,HeadJournal!$A$1:$L$890,COLUMN(HeadJournal!L$1),0)*($K4903+$L4903)/(SUMIF($A:$A,$A4903,$K:$K)+SUMIF($A:$A,$A4903,$L:$L)))/VLOOKUP($A4903,HeadJournal!$A$1:$L$890,COLUMN(HeadJournal!H$1),0),0)</f>
        <v>0.56485518616333208</v>
      </c>
      <c r="P4903" s="30">
        <f>IFERROR(SUM(K4903:O4903)*VLOOKUP($A4903,HeadJournal!$A$1:$L$890,COLUMN(HeadJournal!H$1),0),0)</f>
        <v>1060.6332121634816</v>
      </c>
      <c r="Q4903" s="29">
        <v>2000</v>
      </c>
      <c r="R4903" s="31">
        <v>45898</v>
      </c>
      <c r="S4903" s="31" t="s">
        <v>3235</v>
      </c>
      <c r="T4903" s="95" t="str">
        <f t="shared" si="368"/>
        <v>2025 08</v>
      </c>
      <c r="U4903" s="32">
        <f t="shared" si="369"/>
        <v>939.36678783651837</v>
      </c>
      <c r="V4903" s="22">
        <f t="shared" si="370"/>
        <v>0.88566601258921185</v>
      </c>
      <c r="X4903" s="33"/>
      <c r="Y4903" s="33"/>
    </row>
    <row r="4904" spans="1:25" x14ac:dyDescent="0.2">
      <c r="A4904" s="93" t="s">
        <v>4048</v>
      </c>
      <c r="B4904" s="94" t="str">
        <f>IFERROR(VLOOKUP($A4904,HeadJournal!$A$1:$NTR$890,COLUMN(HeadJournal!B$1),0),"")</f>
        <v>722500491160</v>
      </c>
      <c r="C4904" s="94" t="str">
        <f>IFERROR(VLOOKUP($A4904,HeadJournal!$A$1:$NTR$890,COLUMN(HeadJournal!C$1),0),"")</f>
        <v>iHerb_AV CYG0792</v>
      </c>
      <c r="D4904" s="125" t="str">
        <f>IFERROR(VLOOKUP($A4904,HeadJournal!$A$1:$NTR$890,COLUMN(HeadJournal!D$1),0),"")</f>
        <v>Доставлен</v>
      </c>
      <c r="E4904" s="95">
        <f>IFERROR(VLOOKUP($A4904,HeadJournal!$A$1:$NTR$890,COLUMN(HeadJournal!G$1),0),"")</f>
        <v>45862</v>
      </c>
      <c r="F4904" s="95" t="str">
        <f t="shared" si="367"/>
        <v>2025 07</v>
      </c>
      <c r="G4904" s="97" t="s">
        <v>5</v>
      </c>
      <c r="H4904" s="161" t="s">
        <v>4044</v>
      </c>
      <c r="I4904" s="97" t="s">
        <v>2163</v>
      </c>
      <c r="J4904" s="97" t="s">
        <v>4045</v>
      </c>
      <c r="K4904" s="29">
        <v>31.95</v>
      </c>
      <c r="L4904" s="29">
        <v>-6.39</v>
      </c>
      <c r="M4904" s="30">
        <f>IFERROR(VLOOKUP($A4904,HeadJournal!$A$1:$J$890,COLUMN(HeadJournal!I$1),0)*($K4904+$L4904)/(SUMIF($A:$A,$A4904,$K:$K)+SUMIF($A:$A,$A4904,$L:$L)),0)</f>
        <v>-1.4668765871000509</v>
      </c>
      <c r="N4904" s="30">
        <f>IFERROR((VLOOKUP($A4904,HeadJournal!$A$1:$K$890,COLUMN(HeadJournal!K$1),0)-VLOOKUP($A4904,HeadJournal!$A$1:$K$890,COLUMN(HeadJournal!J$1),0))*($K4904+$L4904)/(SUMIF($A:$A,$A4904,$K:$K)+SUMIF($A:$A,$A4904,$L:$L)),0)</f>
        <v>0</v>
      </c>
      <c r="O4904" s="30">
        <f>IFERROR((VLOOKUP($A4904,HeadJournal!$A$1:$L$890,COLUMN(HeadJournal!L$1),0)*($K4904+$L4904)/(SUMIF($A:$A,$A4904,$K:$K)+SUMIF($A:$A,$A4904,$L:$L)))/VLOOKUP($A4904,HeadJournal!$A$1:$L$890,COLUMN(HeadJournal!H$1),0),0)</f>
        <v>1.196659640143785</v>
      </c>
      <c r="P4904" s="30">
        <f>IFERROR(SUM(K4904:O4904)*VLOOKUP($A4904,HeadJournal!$A$1:$L$890,COLUMN(HeadJournal!H$1),0),0)</f>
        <v>2246.977613170211</v>
      </c>
      <c r="Q4904" s="29">
        <v>3800</v>
      </c>
      <c r="R4904" s="31">
        <v>45891</v>
      </c>
      <c r="S4904" s="31" t="s">
        <v>3226</v>
      </c>
      <c r="T4904" s="95" t="str">
        <f t="shared" si="368"/>
        <v>2025 08</v>
      </c>
      <c r="U4904" s="32">
        <f t="shared" si="369"/>
        <v>1553.022386829789</v>
      </c>
      <c r="V4904" s="22">
        <f t="shared" si="370"/>
        <v>0.69116059622804338</v>
      </c>
      <c r="X4904" s="33"/>
      <c r="Y4904" s="33"/>
    </row>
    <row r="4905" spans="1:25" x14ac:dyDescent="0.2">
      <c r="A4905" s="93" t="s">
        <v>4048</v>
      </c>
      <c r="B4905" s="94" t="str">
        <f>IFERROR(VLOOKUP($A4905,HeadJournal!$A$1:$NTR$890,COLUMN(HeadJournal!B$1),0),"")</f>
        <v>722500491160</v>
      </c>
      <c r="C4905" s="94" t="str">
        <f>IFERROR(VLOOKUP($A4905,HeadJournal!$A$1:$NTR$890,COLUMN(HeadJournal!C$1),0),"")</f>
        <v>iHerb_AV CYG0792</v>
      </c>
      <c r="D4905" s="125" t="str">
        <f>IFERROR(VLOOKUP($A4905,HeadJournal!$A$1:$NTR$890,COLUMN(HeadJournal!D$1),0),"")</f>
        <v>Доставлен</v>
      </c>
      <c r="E4905" s="95">
        <f>IFERROR(VLOOKUP($A4905,HeadJournal!$A$1:$NTR$890,COLUMN(HeadJournal!G$1),0),"")</f>
        <v>45862</v>
      </c>
      <c r="F4905" s="95" t="str">
        <f t="shared" si="367"/>
        <v>2025 07</v>
      </c>
      <c r="G4905" s="97" t="s">
        <v>5</v>
      </c>
      <c r="H4905" s="161" t="s">
        <v>4044</v>
      </c>
      <c r="I4905" s="97" t="s">
        <v>2163</v>
      </c>
      <c r="J4905" s="97" t="s">
        <v>4045</v>
      </c>
      <c r="K4905" s="29">
        <v>31.95</v>
      </c>
      <c r="L4905" s="29">
        <v>-6.39</v>
      </c>
      <c r="M4905" s="30">
        <f>IFERROR(VLOOKUP($A4905,HeadJournal!$A$1:$J$890,COLUMN(HeadJournal!I$1),0)*($K4905+$L4905)/(SUMIF($A:$A,$A4905,$K:$K)+SUMIF($A:$A,$A4905,$L:$L)),0)</f>
        <v>-1.4668765871000509</v>
      </c>
      <c r="N4905" s="30">
        <f>IFERROR((VLOOKUP($A4905,HeadJournal!$A$1:$K$890,COLUMN(HeadJournal!K$1),0)-VLOOKUP($A4905,HeadJournal!$A$1:$K$890,COLUMN(HeadJournal!J$1),0))*($K4905+$L4905)/(SUMIF($A:$A,$A4905,$K:$K)+SUMIF($A:$A,$A4905,$L:$L)),0)</f>
        <v>0</v>
      </c>
      <c r="O4905" s="30">
        <f>IFERROR((VLOOKUP($A4905,HeadJournal!$A$1:$L$890,COLUMN(HeadJournal!L$1),0)*($K4905+$L4905)/(SUMIF($A:$A,$A4905,$K:$K)+SUMIF($A:$A,$A4905,$L:$L)))/VLOOKUP($A4905,HeadJournal!$A$1:$L$890,COLUMN(HeadJournal!H$1),0),0)</f>
        <v>1.196659640143785</v>
      </c>
      <c r="P4905" s="30">
        <f>IFERROR(SUM(K4905:O4905)*VLOOKUP($A4905,HeadJournal!$A$1:$L$890,COLUMN(HeadJournal!H$1),0),0)</f>
        <v>2246.977613170211</v>
      </c>
      <c r="Q4905" s="29">
        <v>3800</v>
      </c>
      <c r="R4905" s="31">
        <v>45892</v>
      </c>
      <c r="S4905" s="31" t="s">
        <v>3235</v>
      </c>
      <c r="T4905" s="95" t="str">
        <f t="shared" si="368"/>
        <v>2025 08</v>
      </c>
      <c r="U4905" s="32">
        <f t="shared" si="369"/>
        <v>1553.022386829789</v>
      </c>
      <c r="V4905" s="22">
        <f t="shared" si="370"/>
        <v>0.69116059622804338</v>
      </c>
      <c r="X4905" s="33"/>
      <c r="Y4905" s="33"/>
    </row>
    <row r="4906" spans="1:25" x14ac:dyDescent="0.2">
      <c r="A4906" s="93" t="s">
        <v>4048</v>
      </c>
      <c r="B4906" s="94" t="str">
        <f>IFERROR(VLOOKUP($A4906,HeadJournal!$A$1:$NTR$890,COLUMN(HeadJournal!B$1),0),"")</f>
        <v>722500491160</v>
      </c>
      <c r="C4906" s="94" t="str">
        <f>IFERROR(VLOOKUP($A4906,HeadJournal!$A$1:$NTR$890,COLUMN(HeadJournal!C$1),0),"")</f>
        <v>iHerb_AV CYG0792</v>
      </c>
      <c r="D4906" s="125" t="str">
        <f>IFERROR(VLOOKUP($A4906,HeadJournal!$A$1:$NTR$890,COLUMN(HeadJournal!D$1),0),"")</f>
        <v>Доставлен</v>
      </c>
      <c r="E4906" s="95">
        <f>IFERROR(VLOOKUP($A4906,HeadJournal!$A$1:$NTR$890,COLUMN(HeadJournal!G$1),0),"")</f>
        <v>45862</v>
      </c>
      <c r="F4906" s="95" t="str">
        <f t="shared" si="367"/>
        <v>2025 07</v>
      </c>
      <c r="G4906" s="97" t="s">
        <v>5</v>
      </c>
      <c r="H4906" s="161" t="s">
        <v>4046</v>
      </c>
      <c r="I4906" s="97" t="s">
        <v>2009</v>
      </c>
      <c r="J4906" s="97" t="s">
        <v>4047</v>
      </c>
      <c r="K4906" s="29">
        <v>13.05</v>
      </c>
      <c r="L4906" s="29">
        <v>-1.31</v>
      </c>
      <c r="M4906" s="30">
        <f>IFERROR(VLOOKUP($A4906,HeadJournal!$A$1:$J$890,COLUMN(HeadJournal!I$1),0)*($K4906+$L4906)/(SUMIF($A:$A,$A4906,$K:$K)+SUMIF($A:$A,$A4906,$L:$L)),0)</f>
        <v>-0.67375317420010161</v>
      </c>
      <c r="N4906" s="30">
        <f>IFERROR((VLOOKUP($A4906,HeadJournal!$A$1:$K$890,COLUMN(HeadJournal!K$1),0)-VLOOKUP($A4906,HeadJournal!$A$1:$K$890,COLUMN(HeadJournal!J$1),0))*($K4906+$L4906)/(SUMIF($A:$A,$A4906,$K:$K)+SUMIF($A:$A,$A4906,$L:$L)),0)</f>
        <v>0</v>
      </c>
      <c r="O4906" s="30">
        <f>IFERROR((VLOOKUP($A4906,HeadJournal!$A$1:$L$890,COLUMN(HeadJournal!L$1),0)*($K4906+$L4906)/(SUMIF($A:$A,$A4906,$K:$K)+SUMIF($A:$A,$A4906,$L:$L)))/VLOOKUP($A4906,HeadJournal!$A$1:$L$890,COLUMN(HeadJournal!H$1),0),0)</f>
        <v>0.54963944347762284</v>
      </c>
      <c r="P4906" s="30">
        <f>IFERROR(SUM(K4906:O4906)*VLOOKUP($A4906,HeadJournal!$A$1:$L$890,COLUMN(HeadJournal!H$1),0),0)</f>
        <v>1032.0624874263801</v>
      </c>
      <c r="Q4906" s="29">
        <v>1800</v>
      </c>
      <c r="R4906" s="31">
        <v>46021</v>
      </c>
      <c r="S4906" s="31" t="s">
        <v>4875</v>
      </c>
      <c r="T4906" s="95" t="str">
        <f t="shared" si="368"/>
        <v>2025 12</v>
      </c>
      <c r="U4906" s="32">
        <f t="shared" si="369"/>
        <v>767.93751257361987</v>
      </c>
      <c r="V4906" s="22">
        <f t="shared" si="370"/>
        <v>0.74408044273423801</v>
      </c>
      <c r="X4906" s="33"/>
      <c r="Y4906" s="33"/>
    </row>
    <row r="4907" spans="1:25" x14ac:dyDescent="0.2">
      <c r="A4907" s="93" t="s">
        <v>4048</v>
      </c>
      <c r="B4907" s="94" t="str">
        <f>IFERROR(VLOOKUP($A4907,HeadJournal!$A$1:$NTR$890,COLUMN(HeadJournal!B$1),0),"")</f>
        <v>722500491160</v>
      </c>
      <c r="C4907" s="94" t="str">
        <f>IFERROR(VLOOKUP($A4907,HeadJournal!$A$1:$NTR$890,COLUMN(HeadJournal!C$1),0),"")</f>
        <v>iHerb_AV CYG0792</v>
      </c>
      <c r="D4907" s="125" t="str">
        <f>IFERROR(VLOOKUP($A4907,HeadJournal!$A$1:$NTR$890,COLUMN(HeadJournal!D$1),0),"")</f>
        <v>Доставлен</v>
      </c>
      <c r="E4907" s="95">
        <f>IFERROR(VLOOKUP($A4907,HeadJournal!$A$1:$NTR$890,COLUMN(HeadJournal!G$1),0),"")</f>
        <v>45862</v>
      </c>
      <c r="F4907" s="95" t="str">
        <f t="shared" si="367"/>
        <v>2025 07</v>
      </c>
      <c r="G4907" s="97" t="s">
        <v>5</v>
      </c>
      <c r="H4907" s="161" t="s">
        <v>3822</v>
      </c>
      <c r="I4907" s="97" t="s">
        <v>2009</v>
      </c>
      <c r="J4907" s="97" t="s">
        <v>3823</v>
      </c>
      <c r="K4907" s="29">
        <v>11.42</v>
      </c>
      <c r="L4907" s="29">
        <v>-1.1399999999999999</v>
      </c>
      <c r="M4907" s="30">
        <f>IFERROR(VLOOKUP($A4907,HeadJournal!$A$1:$J$890,COLUMN(HeadJournal!I$1),0)*($K4907+$L4907)/(SUMIF($A:$A,$A4907,$K:$K)+SUMIF($A:$A,$A4907,$L:$L)),0)</f>
        <v>-0.58996444895886235</v>
      </c>
      <c r="N4907" s="30">
        <f>IFERROR((VLOOKUP($A4907,HeadJournal!$A$1:$K$890,COLUMN(HeadJournal!K$1),0)-VLOOKUP($A4907,HeadJournal!$A$1:$K$890,COLUMN(HeadJournal!J$1),0))*($K4907+$L4907)/(SUMIF($A:$A,$A4907,$K:$K)+SUMIF($A:$A,$A4907,$L:$L)),0)</f>
        <v>0</v>
      </c>
      <c r="O4907" s="30">
        <f>IFERROR((VLOOKUP($A4907,HeadJournal!$A$1:$L$890,COLUMN(HeadJournal!L$1),0)*($K4907+$L4907)/(SUMIF($A:$A,$A4907,$K:$K)+SUMIF($A:$A,$A4907,$L:$L)))/VLOOKUP($A4907,HeadJournal!$A$1:$L$890,COLUMN(HeadJournal!H$1),0),0)</f>
        <v>0.48128564556643633</v>
      </c>
      <c r="P4907" s="30">
        <f>IFERROR(SUM(K4907:O4907)*VLOOKUP($A4907,HeadJournal!$A$1:$L$890,COLUMN(HeadJournal!H$1),0),0)</f>
        <v>903.71400091509247</v>
      </c>
      <c r="Q4907" s="29">
        <v>1800</v>
      </c>
      <c r="R4907" s="31">
        <v>45985</v>
      </c>
      <c r="S4907" s="31" t="s">
        <v>4875</v>
      </c>
      <c r="T4907" s="95" t="str">
        <f t="shared" si="368"/>
        <v>2025 11</v>
      </c>
      <c r="U4907" s="32">
        <f t="shared" si="369"/>
        <v>896.28599908490753</v>
      </c>
      <c r="V4907" s="22">
        <f t="shared" si="370"/>
        <v>0.99178058343384812</v>
      </c>
      <c r="X4907" s="33"/>
      <c r="Y4907" s="33"/>
    </row>
    <row r="4908" spans="1:25" x14ac:dyDescent="0.2">
      <c r="A4908" s="93" t="s">
        <v>4048</v>
      </c>
      <c r="B4908" s="94" t="str">
        <f>IFERROR(VLOOKUP($A4908,HeadJournal!$A$1:$NTR$890,COLUMN(HeadJournal!B$1),0),"")</f>
        <v>722500491160</v>
      </c>
      <c r="C4908" s="94" t="str">
        <f>IFERROR(VLOOKUP($A4908,HeadJournal!$A$1:$NTR$890,COLUMN(HeadJournal!C$1),0),"")</f>
        <v>iHerb_AV CYG0792</v>
      </c>
      <c r="D4908" s="125" t="str">
        <f>IFERROR(VLOOKUP($A4908,HeadJournal!$A$1:$NTR$890,COLUMN(HeadJournal!D$1),0),"")</f>
        <v>Доставлен</v>
      </c>
      <c r="E4908" s="95">
        <f>IFERROR(VLOOKUP($A4908,HeadJournal!$A$1:$NTR$890,COLUMN(HeadJournal!G$1),0),"")</f>
        <v>45862</v>
      </c>
      <c r="F4908" s="95" t="str">
        <f t="shared" si="367"/>
        <v>2025 07</v>
      </c>
      <c r="G4908" s="97" t="s">
        <v>5</v>
      </c>
      <c r="H4908" s="161" t="s">
        <v>2684</v>
      </c>
      <c r="I4908" s="97" t="s">
        <v>2166</v>
      </c>
      <c r="J4908" s="97" t="s">
        <v>2685</v>
      </c>
      <c r="K4908" s="29">
        <v>20.54</v>
      </c>
      <c r="L4908" s="29">
        <v>-4.1100000000000003</v>
      </c>
      <c r="M4908" s="30">
        <f>IFERROR(VLOOKUP($A4908,HeadJournal!$A$1:$J$890,COLUMN(HeadJournal!I$1),0)*($K4908+$L4908)/(SUMIF($A:$A,$A4908,$K:$K)+SUMIF($A:$A,$A4908,$L:$L)),0)</f>
        <v>-0.94291010665312347</v>
      </c>
      <c r="N4908" s="30">
        <f>IFERROR((VLOOKUP($A4908,HeadJournal!$A$1:$K$890,COLUMN(HeadJournal!K$1),0)-VLOOKUP($A4908,HeadJournal!$A$1:$K$890,COLUMN(HeadJournal!J$1),0))*($K4908+$L4908)/(SUMIF($A:$A,$A4908,$K:$K)+SUMIF($A:$A,$A4908,$L:$L)),0)</f>
        <v>0</v>
      </c>
      <c r="O4908" s="30">
        <f>IFERROR((VLOOKUP($A4908,HeadJournal!$A$1:$L$890,COLUMN(HeadJournal!L$1),0)*($K4908+$L4908)/(SUMIF($A:$A,$A4908,$K:$K)+SUMIF($A:$A,$A4908,$L:$L)))/VLOOKUP($A4908,HeadJournal!$A$1:$L$890,COLUMN(HeadJournal!H$1),0),0)</f>
        <v>0.7692143148498588</v>
      </c>
      <c r="P4908" s="30">
        <f>IFERROR(SUM(K4908:O4908)*VLOOKUP($A4908,HeadJournal!$A$1:$L$890,COLUMN(HeadJournal!H$1),0),0)</f>
        <v>1444.360022863324</v>
      </c>
      <c r="Q4908" s="29">
        <v>2200</v>
      </c>
      <c r="R4908" s="31">
        <v>45892</v>
      </c>
      <c r="S4908" s="31"/>
      <c r="T4908" s="95" t="str">
        <f t="shared" si="368"/>
        <v>2025 08</v>
      </c>
      <c r="U4908" s="32">
        <f t="shared" si="369"/>
        <v>755.63997713667595</v>
      </c>
      <c r="V4908" s="22">
        <f t="shared" si="370"/>
        <v>0.52316594559207086</v>
      </c>
      <c r="X4908" s="33"/>
      <c r="Y4908" s="33"/>
    </row>
    <row r="4909" spans="1:25" x14ac:dyDescent="0.2">
      <c r="A4909" s="93" t="s">
        <v>4059</v>
      </c>
      <c r="B4909" s="94" t="str">
        <f>IFERROR(VLOOKUP($A4909,HeadJournal!$A$1:$NTR$890,COLUMN(HeadJournal!B$1),0),"")</f>
        <v>720000749692</v>
      </c>
      <c r="C4909" s="94" t="str">
        <f>IFERROR(VLOOKUP($A4909,HeadJournal!$A$1:$NTR$890,COLUMN(HeadJournal!C$1),0),"")</f>
        <v>iHerb_AV CYG0792</v>
      </c>
      <c r="D4909" s="125" t="str">
        <f>IFERROR(VLOOKUP($A4909,HeadJournal!$A$1:$NTR$890,COLUMN(HeadJournal!D$1),0),"")</f>
        <v>Доставлен</v>
      </c>
      <c r="E4909" s="95">
        <f>IFERROR(VLOOKUP($A4909,HeadJournal!$A$1:$NTR$890,COLUMN(HeadJournal!G$1),0),"")</f>
        <v>45871</v>
      </c>
      <c r="F4909" s="95" t="str">
        <f t="shared" si="367"/>
        <v>2025 08</v>
      </c>
      <c r="G4909" s="97" t="s">
        <v>5</v>
      </c>
      <c r="H4909" s="161" t="s">
        <v>4051</v>
      </c>
      <c r="I4909" s="97" t="s">
        <v>2618</v>
      </c>
      <c r="J4909" s="97" t="s">
        <v>4052</v>
      </c>
      <c r="K4909" s="29">
        <v>19.12</v>
      </c>
      <c r="L4909" s="29">
        <v>-1.91</v>
      </c>
      <c r="M4909" s="30">
        <f>IFERROR(VLOOKUP($A4909,HeadJournal!$A$1:$J$890,COLUMN(HeadJournal!I$1),0)*($K4909+$L4909)/(SUMIF($A:$A,$A4909,$K:$K)+SUMIF($A:$A,$A4909,$L:$L)),0)</f>
        <v>-0.76987711544680393</v>
      </c>
      <c r="N4909" s="30">
        <f>IFERROR((VLOOKUP($A4909,HeadJournal!$A$1:$K$890,COLUMN(HeadJournal!K$1),0)-VLOOKUP($A4909,HeadJournal!$A$1:$K$890,COLUMN(HeadJournal!J$1),0))*($K4909+$L4909)/(SUMIF($A:$A,$A4909,$K:$K)+SUMIF($A:$A,$A4909,$L:$L)),0)</f>
        <v>0</v>
      </c>
      <c r="O4909" s="30">
        <f>IFERROR((VLOOKUP($A4909,HeadJournal!$A$1:$L$890,COLUMN(HeadJournal!L$1),0)*($K4909+$L4909)/(SUMIF($A:$A,$A4909,$K:$K)+SUMIF($A:$A,$A4909,$L:$L)))/VLOOKUP($A4909,HeadJournal!$A$1:$L$890,COLUMN(HeadJournal!H$1),0),0)</f>
        <v>0.55648569384731883</v>
      </c>
      <c r="P4909" s="30">
        <f>IFERROR(SUM(K4909:O4909)*VLOOKUP($A4909,HeadJournal!$A$1:$L$890,COLUMN(HeadJournal!H$1),0),0)</f>
        <v>1529.8376571089791</v>
      </c>
      <c r="Q4909" s="29">
        <v>2200</v>
      </c>
      <c r="R4909" s="31">
        <v>45908</v>
      </c>
      <c r="S4909" s="31"/>
      <c r="T4909" s="95" t="str">
        <f t="shared" si="368"/>
        <v>2025 09</v>
      </c>
      <c r="U4909" s="32">
        <f t="shared" si="369"/>
        <v>670.1623428910209</v>
      </c>
      <c r="V4909" s="22">
        <f t="shared" si="370"/>
        <v>0.43806108430973301</v>
      </c>
      <c r="X4909" s="33"/>
      <c r="Y4909" s="33"/>
    </row>
    <row r="4910" spans="1:25" x14ac:dyDescent="0.2">
      <c r="A4910" s="93" t="s">
        <v>4059</v>
      </c>
      <c r="B4910" s="94" t="str">
        <f>IFERROR(VLOOKUP($A4910,HeadJournal!$A$1:$NTR$890,COLUMN(HeadJournal!B$1),0),"")</f>
        <v>720000749692</v>
      </c>
      <c r="C4910" s="94" t="str">
        <f>IFERROR(VLOOKUP($A4910,HeadJournal!$A$1:$NTR$890,COLUMN(HeadJournal!C$1),0),"")</f>
        <v>iHerb_AV CYG0792</v>
      </c>
      <c r="D4910" s="125" t="str">
        <f>IFERROR(VLOOKUP($A4910,HeadJournal!$A$1:$NTR$890,COLUMN(HeadJournal!D$1),0),"")</f>
        <v>Доставлен</v>
      </c>
      <c r="E4910" s="95">
        <f>IFERROR(VLOOKUP($A4910,HeadJournal!$A$1:$NTR$890,COLUMN(HeadJournal!G$1),0),"")</f>
        <v>45871</v>
      </c>
      <c r="F4910" s="95" t="str">
        <f t="shared" si="367"/>
        <v>2025 08</v>
      </c>
      <c r="G4910" s="97" t="s">
        <v>5</v>
      </c>
      <c r="H4910" s="161" t="s">
        <v>2504</v>
      </c>
      <c r="I4910" s="97" t="s">
        <v>2036</v>
      </c>
      <c r="J4910" s="97" t="s">
        <v>3739</v>
      </c>
      <c r="K4910" s="29">
        <v>15.08</v>
      </c>
      <c r="L4910" s="29">
        <v>-1.51</v>
      </c>
      <c r="M4910" s="30">
        <f>IFERROR(VLOOKUP($A4910,HeadJournal!$A$1:$J$890,COLUMN(HeadJournal!I$1),0)*($K4910+$L4910)/(SUMIF($A:$A,$A4910,$K:$K)+SUMIF($A:$A,$A4910,$L:$L)),0)</f>
        <v>-0.60704430311523128</v>
      </c>
      <c r="N4910" s="30">
        <f>IFERROR((VLOOKUP($A4910,HeadJournal!$A$1:$K$890,COLUMN(HeadJournal!K$1),0)-VLOOKUP($A4910,HeadJournal!$A$1:$K$890,COLUMN(HeadJournal!J$1),0))*($K4910+$L4910)/(SUMIF($A:$A,$A4910,$K:$K)+SUMIF($A:$A,$A4910,$L:$L)),0)</f>
        <v>0</v>
      </c>
      <c r="O4910" s="30">
        <f>IFERROR((VLOOKUP($A4910,HeadJournal!$A$1:$L$890,COLUMN(HeadJournal!L$1),0)*($K4910+$L4910)/(SUMIF($A:$A,$A4910,$K:$K)+SUMIF($A:$A,$A4910,$L:$L)))/VLOOKUP($A4910,HeadJournal!$A$1:$L$890,COLUMN(HeadJournal!H$1),0),0)</f>
        <v>0.43878622112191268</v>
      </c>
      <c r="P4910" s="30">
        <f>IFERROR(SUM(K4910:O4910)*VLOOKUP($A4910,HeadJournal!$A$1:$L$890,COLUMN(HeadJournal!H$1),0),0)</f>
        <v>1206.2694367791312</v>
      </c>
      <c r="Q4910" s="29">
        <v>2000</v>
      </c>
      <c r="R4910" s="31">
        <v>45907</v>
      </c>
      <c r="S4910" s="31"/>
      <c r="T4910" s="95" t="str">
        <f t="shared" si="368"/>
        <v>2025 09</v>
      </c>
      <c r="U4910" s="32">
        <f t="shared" si="369"/>
        <v>793.73056322086882</v>
      </c>
      <c r="V4910" s="22">
        <f t="shared" si="370"/>
        <v>0.65800437200847484</v>
      </c>
      <c r="X4910" s="33"/>
      <c r="Y4910" s="33"/>
    </row>
    <row r="4911" spans="1:25" x14ac:dyDescent="0.2">
      <c r="A4911" s="93" t="s">
        <v>4059</v>
      </c>
      <c r="B4911" s="94" t="str">
        <f>IFERROR(VLOOKUP($A4911,HeadJournal!$A$1:$NTR$890,COLUMN(HeadJournal!B$1),0),"")</f>
        <v>720000749692</v>
      </c>
      <c r="C4911" s="94" t="str">
        <f>IFERROR(VLOOKUP($A4911,HeadJournal!$A$1:$NTR$890,COLUMN(HeadJournal!C$1),0),"")</f>
        <v>iHerb_AV CYG0792</v>
      </c>
      <c r="D4911" s="125" t="str">
        <f>IFERROR(VLOOKUP($A4911,HeadJournal!$A$1:$NTR$890,COLUMN(HeadJournal!D$1),0),"")</f>
        <v>Доставлен</v>
      </c>
      <c r="E4911" s="95">
        <f>IFERROR(VLOOKUP($A4911,HeadJournal!$A$1:$NTR$890,COLUMN(HeadJournal!G$1),0),"")</f>
        <v>45871</v>
      </c>
      <c r="F4911" s="95" t="str">
        <f t="shared" si="367"/>
        <v>2025 08</v>
      </c>
      <c r="G4911" s="97" t="s">
        <v>5</v>
      </c>
      <c r="H4911" s="161" t="s">
        <v>4053</v>
      </c>
      <c r="I4911" s="97" t="s">
        <v>2166</v>
      </c>
      <c r="J4911" s="97" t="s">
        <v>4054</v>
      </c>
      <c r="K4911" s="29">
        <v>72.34</v>
      </c>
      <c r="L4911" s="29">
        <v>-7.23</v>
      </c>
      <c r="M4911" s="30">
        <f>IFERROR(VLOOKUP($A4911,HeadJournal!$A$1:$J$890,COLUMN(HeadJournal!I$1),0)*($K4911+$L4911)/(SUMIF($A:$A,$A4911,$K:$K)+SUMIF($A:$A,$A4911,$L:$L)),0)</f>
        <v>-2.9126495634364553</v>
      </c>
      <c r="N4911" s="30">
        <f>IFERROR((VLOOKUP($A4911,HeadJournal!$A$1:$K$890,COLUMN(HeadJournal!K$1),0)-VLOOKUP($A4911,HeadJournal!$A$1:$K$890,COLUMN(HeadJournal!J$1),0))*($K4911+$L4911)/(SUMIF($A:$A,$A4911,$K:$K)+SUMIF($A:$A,$A4911,$L:$L)),0)</f>
        <v>0</v>
      </c>
      <c r="O4911" s="30">
        <f>IFERROR((VLOOKUP($A4911,HeadJournal!$A$1:$L$890,COLUMN(HeadJournal!L$1),0)*($K4911+$L4911)/(SUMIF($A:$A,$A4911,$K:$K)+SUMIF($A:$A,$A4911,$L:$L)))/VLOOKUP($A4911,HeadJournal!$A$1:$L$890,COLUMN(HeadJournal!H$1),0),0)</f>
        <v>2.105333150865714</v>
      </c>
      <c r="P4911" s="30">
        <f>IFERROR(SUM(K4911:O4911)*VLOOKUP($A4911,HeadJournal!$A$1:$L$890,COLUMN(HeadJournal!H$1),0),0)</f>
        <v>5787.7820949660454</v>
      </c>
      <c r="Q4911" s="29">
        <v>7500</v>
      </c>
      <c r="R4911" s="31">
        <v>45898</v>
      </c>
      <c r="S4911" s="31" t="s">
        <v>3235</v>
      </c>
      <c r="T4911" s="95" t="str">
        <f t="shared" si="368"/>
        <v>2025 08</v>
      </c>
      <c r="U4911" s="32">
        <f t="shared" si="369"/>
        <v>1712.2179050339546</v>
      </c>
      <c r="V4911" s="22">
        <f t="shared" si="370"/>
        <v>0.29583316664999626</v>
      </c>
      <c r="X4911" s="33"/>
      <c r="Y4911" s="33"/>
    </row>
    <row r="4912" spans="1:25" x14ac:dyDescent="0.2">
      <c r="A4912" s="93" t="s">
        <v>4059</v>
      </c>
      <c r="B4912" s="94" t="str">
        <f>IFERROR(VLOOKUP($A4912,HeadJournal!$A$1:$NTR$890,COLUMN(HeadJournal!B$1),0),"")</f>
        <v>720000749692</v>
      </c>
      <c r="C4912" s="94" t="str">
        <f>IFERROR(VLOOKUP($A4912,HeadJournal!$A$1:$NTR$890,COLUMN(HeadJournal!C$1),0),"")</f>
        <v>iHerb_AV CYG0792</v>
      </c>
      <c r="D4912" s="125" t="str">
        <f>IFERROR(VLOOKUP($A4912,HeadJournal!$A$1:$NTR$890,COLUMN(HeadJournal!D$1),0),"")</f>
        <v>Доставлен</v>
      </c>
      <c r="E4912" s="95">
        <f>IFERROR(VLOOKUP($A4912,HeadJournal!$A$1:$NTR$890,COLUMN(HeadJournal!G$1),0),"")</f>
        <v>45871</v>
      </c>
      <c r="F4912" s="95" t="str">
        <f t="shared" si="367"/>
        <v>2025 08</v>
      </c>
      <c r="G4912" s="97" t="s">
        <v>5</v>
      </c>
      <c r="H4912" s="161" t="s">
        <v>4055</v>
      </c>
      <c r="I4912" s="97" t="s">
        <v>2009</v>
      </c>
      <c r="J4912" s="97" t="s">
        <v>4056</v>
      </c>
      <c r="K4912" s="29">
        <v>19.39</v>
      </c>
      <c r="L4912" s="29">
        <v>-1.94</v>
      </c>
      <c r="M4912" s="30">
        <f>IFERROR(VLOOKUP($A4912,HeadJournal!$A$1:$J$890,COLUMN(HeadJournal!I$1),0)*($K4912+$L4912)/(SUMIF($A:$A,$A4912,$K:$K)+SUMIF($A:$A,$A4912,$L:$L)),0)</f>
        <v>-0.78061334483130318</v>
      </c>
      <c r="N4912" s="30">
        <f>IFERROR((VLOOKUP($A4912,HeadJournal!$A$1:$K$890,COLUMN(HeadJournal!K$1),0)-VLOOKUP($A4912,HeadJournal!$A$1:$K$890,COLUMN(HeadJournal!J$1),0))*($K4912+$L4912)/(SUMIF($A:$A,$A4912,$K:$K)+SUMIF($A:$A,$A4912,$L:$L)),0)</f>
        <v>0</v>
      </c>
      <c r="O4912" s="30">
        <f>IFERROR((VLOOKUP($A4912,HeadJournal!$A$1:$L$890,COLUMN(HeadJournal!L$1),0)*($K4912+$L4912)/(SUMIF($A:$A,$A4912,$K:$K)+SUMIF($A:$A,$A4912,$L:$L)))/VLOOKUP($A4912,HeadJournal!$A$1:$L$890,COLUMN(HeadJournal!H$1),0),0)</f>
        <v>0.56424609864240061</v>
      </c>
      <c r="P4912" s="30">
        <f>IFERROR(SUM(K4912:O4912)*VLOOKUP($A4912,HeadJournal!$A$1:$L$890,COLUMN(HeadJournal!H$1),0),0)</f>
        <v>1551.1718254823757</v>
      </c>
      <c r="Q4912" s="29">
        <v>2700</v>
      </c>
      <c r="R4912" s="31">
        <v>45898</v>
      </c>
      <c r="S4912" s="31" t="s">
        <v>3235</v>
      </c>
      <c r="T4912" s="95" t="str">
        <f t="shared" si="368"/>
        <v>2025 08</v>
      </c>
      <c r="U4912" s="32">
        <f t="shared" si="369"/>
        <v>1148.8281745176243</v>
      </c>
      <c r="V4912" s="22">
        <f t="shared" si="370"/>
        <v>0.74061954687732123</v>
      </c>
      <c r="X4912" s="33"/>
      <c r="Y4912" s="33"/>
    </row>
    <row r="4913" spans="1:25" x14ac:dyDescent="0.2">
      <c r="A4913" s="93" t="s">
        <v>4059</v>
      </c>
      <c r="B4913" s="94" t="str">
        <f>IFERROR(VLOOKUP($A4913,HeadJournal!$A$1:$NTR$890,COLUMN(HeadJournal!B$1),0),"")</f>
        <v>720000749692</v>
      </c>
      <c r="C4913" s="94" t="str">
        <f>IFERROR(VLOOKUP($A4913,HeadJournal!$A$1:$NTR$890,COLUMN(HeadJournal!C$1),0),"")</f>
        <v>iHerb_AV CYG0792</v>
      </c>
      <c r="D4913" s="125" t="str">
        <f>IFERROR(VLOOKUP($A4913,HeadJournal!$A$1:$NTR$890,COLUMN(HeadJournal!D$1),0),"")</f>
        <v>Доставлен</v>
      </c>
      <c r="E4913" s="95">
        <f>IFERROR(VLOOKUP($A4913,HeadJournal!$A$1:$NTR$890,COLUMN(HeadJournal!G$1),0),"")</f>
        <v>45871</v>
      </c>
      <c r="F4913" s="95" t="str">
        <f t="shared" si="367"/>
        <v>2025 08</v>
      </c>
      <c r="G4913" s="97" t="s">
        <v>5</v>
      </c>
      <c r="H4913" s="161" t="s">
        <v>4055</v>
      </c>
      <c r="I4913" s="97" t="s">
        <v>2009</v>
      </c>
      <c r="J4913" s="97" t="s">
        <v>4056</v>
      </c>
      <c r="K4913" s="29">
        <v>19.39</v>
      </c>
      <c r="L4913" s="29">
        <v>-1.94</v>
      </c>
      <c r="M4913" s="30">
        <f>IFERROR(VLOOKUP($A4913,HeadJournal!$A$1:$J$890,COLUMN(HeadJournal!I$1),0)*($K4913+$L4913)/(SUMIF($A:$A,$A4913,$K:$K)+SUMIF($A:$A,$A4913,$L:$L)),0)</f>
        <v>-0.78061334483130318</v>
      </c>
      <c r="N4913" s="30">
        <f>IFERROR((VLOOKUP($A4913,HeadJournal!$A$1:$K$890,COLUMN(HeadJournal!K$1),0)-VLOOKUP($A4913,HeadJournal!$A$1:$K$890,COLUMN(HeadJournal!J$1),0))*($K4913+$L4913)/(SUMIF($A:$A,$A4913,$K:$K)+SUMIF($A:$A,$A4913,$L:$L)),0)</f>
        <v>0</v>
      </c>
      <c r="O4913" s="30">
        <f>IFERROR((VLOOKUP($A4913,HeadJournal!$A$1:$L$890,COLUMN(HeadJournal!L$1),0)*($K4913+$L4913)/(SUMIF($A:$A,$A4913,$K:$K)+SUMIF($A:$A,$A4913,$L:$L)))/VLOOKUP($A4913,HeadJournal!$A$1:$L$890,COLUMN(HeadJournal!H$1),0),0)</f>
        <v>0.56424609864240061</v>
      </c>
      <c r="P4913" s="30">
        <f>IFERROR(SUM(K4913:O4913)*VLOOKUP($A4913,HeadJournal!$A$1:$L$890,COLUMN(HeadJournal!H$1),0),0)</f>
        <v>1551.1718254823757</v>
      </c>
      <c r="Q4913" s="29">
        <v>2700</v>
      </c>
      <c r="R4913" s="31">
        <v>45898</v>
      </c>
      <c r="S4913" s="31" t="s">
        <v>3235</v>
      </c>
      <c r="T4913" s="95" t="str">
        <f t="shared" si="368"/>
        <v>2025 08</v>
      </c>
      <c r="U4913" s="32">
        <f t="shared" si="369"/>
        <v>1148.8281745176243</v>
      </c>
      <c r="V4913" s="22">
        <f t="shared" si="370"/>
        <v>0.74061954687732123</v>
      </c>
      <c r="X4913" s="33"/>
      <c r="Y4913" s="33"/>
    </row>
    <row r="4914" spans="1:25" x14ac:dyDescent="0.2">
      <c r="A4914" s="93" t="s">
        <v>4059</v>
      </c>
      <c r="B4914" s="94" t="str">
        <f>IFERROR(VLOOKUP($A4914,HeadJournal!$A$1:$NTR$890,COLUMN(HeadJournal!B$1),0),"")</f>
        <v>720000749692</v>
      </c>
      <c r="C4914" s="94" t="str">
        <f>IFERROR(VLOOKUP($A4914,HeadJournal!$A$1:$NTR$890,COLUMN(HeadJournal!C$1),0),"")</f>
        <v>iHerb_AV CYG0792</v>
      </c>
      <c r="D4914" s="125" t="str">
        <f>IFERROR(VLOOKUP($A4914,HeadJournal!$A$1:$NTR$890,COLUMN(HeadJournal!D$1),0),"")</f>
        <v>Доставлен</v>
      </c>
      <c r="E4914" s="95">
        <f>IFERROR(VLOOKUP($A4914,HeadJournal!$A$1:$NTR$890,COLUMN(HeadJournal!G$1),0),"")</f>
        <v>45871</v>
      </c>
      <c r="F4914" s="95" t="str">
        <f t="shared" si="367"/>
        <v>2025 08</v>
      </c>
      <c r="G4914" s="97" t="s">
        <v>5</v>
      </c>
      <c r="H4914" s="161" t="s">
        <v>4057</v>
      </c>
      <c r="I4914" s="97" t="s">
        <v>2581</v>
      </c>
      <c r="J4914" s="97" t="s">
        <v>4058</v>
      </c>
      <c r="K4914" s="29">
        <v>15.83</v>
      </c>
      <c r="L4914" s="29">
        <v>-1.58</v>
      </c>
      <c r="M4914" s="30">
        <f>IFERROR(VLOOKUP($A4914,HeadJournal!$A$1:$J$890,COLUMN(HeadJournal!I$1),0)*($K4914+$L4914)/(SUMIF($A:$A,$A4914,$K:$K)+SUMIF($A:$A,$A4914,$L:$L)),0)</f>
        <v>-0.63746361970464582</v>
      </c>
      <c r="N4914" s="30">
        <f>IFERROR((VLOOKUP($A4914,HeadJournal!$A$1:$K$890,COLUMN(HeadJournal!K$1),0)-VLOOKUP($A4914,HeadJournal!$A$1:$K$890,COLUMN(HeadJournal!J$1),0))*($K4914+$L4914)/(SUMIF($A:$A,$A4914,$K:$K)+SUMIF($A:$A,$A4914,$L:$L)),0)</f>
        <v>0</v>
      </c>
      <c r="O4914" s="30">
        <f>IFERROR((VLOOKUP($A4914,HeadJournal!$A$1:$L$890,COLUMN(HeadJournal!L$1),0)*($K4914+$L4914)/(SUMIF($A:$A,$A4914,$K:$K)+SUMIF($A:$A,$A4914,$L:$L)))/VLOOKUP($A4914,HeadJournal!$A$1:$L$890,COLUMN(HeadJournal!H$1),0),0)</f>
        <v>0.46077403470797762</v>
      </c>
      <c r="P4914" s="30">
        <f>IFERROR(SUM(K4914:O4914)*VLOOKUP($A4914,HeadJournal!$A$1:$L$890,COLUMN(HeadJournal!H$1),0),0)</f>
        <v>1266.7162471704214</v>
      </c>
      <c r="Q4914" s="29">
        <v>2000</v>
      </c>
      <c r="R4914" s="31">
        <v>45898</v>
      </c>
      <c r="S4914" s="31" t="s">
        <v>3290</v>
      </c>
      <c r="T4914" s="95" t="str">
        <f t="shared" si="368"/>
        <v>2025 08</v>
      </c>
      <c r="U4914" s="32">
        <f t="shared" si="354"/>
        <v>733.28375282957859</v>
      </c>
      <c r="V4914" s="22">
        <f t="shared" si="355"/>
        <v>0.57888556688807047</v>
      </c>
      <c r="X4914" s="33"/>
      <c r="Y4914" s="33"/>
    </row>
    <row r="4915" spans="1:25" x14ac:dyDescent="0.2">
      <c r="A4915" s="93" t="s">
        <v>4059</v>
      </c>
      <c r="B4915" s="94" t="str">
        <f>IFERROR(VLOOKUP($A4915,HeadJournal!$A$1:$NTR$890,COLUMN(HeadJournal!B$1),0),"")</f>
        <v>720000749692</v>
      </c>
      <c r="C4915" s="94" t="str">
        <f>IFERROR(VLOOKUP($A4915,HeadJournal!$A$1:$NTR$890,COLUMN(HeadJournal!C$1),0),"")</f>
        <v>iHerb_AV CYG0792</v>
      </c>
      <c r="D4915" s="125" t="str">
        <f>IFERROR(VLOOKUP($A4915,HeadJournal!$A$1:$NTR$890,COLUMN(HeadJournal!D$1),0),"")</f>
        <v>Доставлен</v>
      </c>
      <c r="E4915" s="95">
        <f>IFERROR(VLOOKUP($A4915,HeadJournal!$A$1:$NTR$890,COLUMN(HeadJournal!G$1),0),"")</f>
        <v>45871</v>
      </c>
      <c r="F4915" s="95" t="str">
        <f t="shared" si="367"/>
        <v>2025 08</v>
      </c>
      <c r="G4915" s="97" t="s">
        <v>5</v>
      </c>
      <c r="H4915" s="161" t="s">
        <v>3065</v>
      </c>
      <c r="I4915" s="97" t="s">
        <v>2993</v>
      </c>
      <c r="J4915" s="97" t="s">
        <v>3066</v>
      </c>
      <c r="K4915" s="29">
        <v>45</v>
      </c>
      <c r="L4915" s="29">
        <v>-4.5</v>
      </c>
      <c r="M4915" s="30">
        <f>IFERROR(VLOOKUP($A4915,HeadJournal!$A$1:$J$890,COLUMN(HeadJournal!I$1),0)*($K4915+$L4915)/(SUMIF($A:$A,$A4915,$K:$K)+SUMIF($A:$A,$A4915,$L:$L)),0)</f>
        <v>-1.8117387086342567</v>
      </c>
      <c r="N4915" s="30">
        <f>IFERROR((VLOOKUP($A4915,HeadJournal!$A$1:$K$890,COLUMN(HeadJournal!K$1),0)-VLOOKUP($A4915,HeadJournal!$A$1:$K$890,COLUMN(HeadJournal!J$1),0))*($K4915+$L4915)/(SUMIF($A:$A,$A4915,$K:$K)+SUMIF($A:$A,$A4915,$L:$L)),0)</f>
        <v>0</v>
      </c>
      <c r="O4915" s="30">
        <f>IFERROR((VLOOKUP($A4915,HeadJournal!$A$1:$L$890,COLUMN(HeadJournal!L$1),0)*($K4915+$L4915)/(SUMIF($A:$A,$A4915,$K:$K)+SUMIF($A:$A,$A4915,$L:$L)))/VLOOKUP($A4915,HeadJournal!$A$1:$L$890,COLUMN(HeadJournal!H$1),0),0)</f>
        <v>1.3095683091700416</v>
      </c>
      <c r="P4915" s="30">
        <f>IFERROR(SUM(K4915:O4915)*VLOOKUP($A4915,HeadJournal!$A$1:$L$890,COLUMN(HeadJournal!H$1),0),0)</f>
        <v>3600.1409130106713</v>
      </c>
      <c r="Q4915" s="29">
        <v>4500</v>
      </c>
      <c r="R4915" s="31">
        <v>45899</v>
      </c>
      <c r="S4915" s="31" t="s">
        <v>3475</v>
      </c>
      <c r="T4915" s="95" t="str">
        <f t="shared" si="368"/>
        <v>2025 08</v>
      </c>
      <c r="U4915" s="32">
        <f t="shared" si="354"/>
        <v>899.85908698932872</v>
      </c>
      <c r="V4915" s="22">
        <f t="shared" si="355"/>
        <v>0.24995107378638914</v>
      </c>
      <c r="X4915" s="33"/>
      <c r="Y4915" s="33"/>
    </row>
    <row r="4916" spans="1:25" x14ac:dyDescent="0.2">
      <c r="A4916" s="93" t="s">
        <v>4063</v>
      </c>
      <c r="B4916" s="94" t="str">
        <f>IFERROR(VLOOKUP($A4916,HeadJournal!$A$1:$NTR$890,COLUMN(HeadJournal!B$1),0),"")</f>
        <v>722500494773</v>
      </c>
      <c r="C4916" s="94" t="str">
        <f>IFERROR(VLOOKUP($A4916,HeadJournal!$A$1:$NTR$890,COLUMN(HeadJournal!C$1),0),"")</f>
        <v>iHerb_MH DLE7202</v>
      </c>
      <c r="D4916" s="125" t="str">
        <f>IFERROR(VLOOKUP($A4916,HeadJournal!$A$1:$NTR$890,COLUMN(HeadJournal!D$1),0),"")</f>
        <v>Доставлен</v>
      </c>
      <c r="E4916" s="95">
        <f>IFERROR(VLOOKUP($A4916,HeadJournal!$A$1:$NTR$890,COLUMN(HeadJournal!G$1),0),"")</f>
        <v>45865</v>
      </c>
      <c r="F4916" s="95" t="str">
        <f t="shared" si="367"/>
        <v>2025 07</v>
      </c>
      <c r="G4916" s="97" t="s">
        <v>5</v>
      </c>
      <c r="H4916" s="161" t="s">
        <v>2497</v>
      </c>
      <c r="I4916" s="97" t="s">
        <v>2498</v>
      </c>
      <c r="J4916" s="97" t="s">
        <v>2499</v>
      </c>
      <c r="K4916" s="29">
        <v>25.9</v>
      </c>
      <c r="L4916" s="29">
        <v>-2.59</v>
      </c>
      <c r="M4916" s="30">
        <f>IFERROR(VLOOKUP($A4916,HeadJournal!$A$1:$J$890,COLUMN(HeadJournal!I$1),0)*($K4916+$L4916)/(SUMIF($A:$A,$A4916,$K:$K)+SUMIF($A:$A,$A4916,$L:$L)),0)</f>
        <v>-1.1625086809924008</v>
      </c>
      <c r="N4916" s="30">
        <f>IFERROR((VLOOKUP($A4916,HeadJournal!$A$1:$K$890,COLUMN(HeadJournal!K$1),0)-VLOOKUP($A4916,HeadJournal!$A$1:$K$890,COLUMN(HeadJournal!J$1),0))*($K4916+$L4916)/(SUMIF($A:$A,$A4916,$K:$K)+SUMIF($A:$A,$A4916,$L:$L)),0)</f>
        <v>-3.3340548881421029E-15</v>
      </c>
      <c r="O4916" s="30">
        <f>IFERROR((VLOOKUP($A4916,HeadJournal!$A$1:$L$890,COLUMN(HeadJournal!L$1),0)*($K4916+$L4916)/(SUMIF($A:$A,$A4916,$K:$K)+SUMIF($A:$A,$A4916,$L:$L)))/VLOOKUP($A4916,HeadJournal!$A$1:$L$890,COLUMN(HeadJournal!H$1),0),0)</f>
        <v>0.75748272551062135</v>
      </c>
      <c r="P4916" s="30">
        <f>IFERROR(SUM(K4916:O4916)*VLOOKUP($A4916,HeadJournal!$A$1:$L$890,COLUMN(HeadJournal!H$1),0),0)</f>
        <v>2033.6996467213521</v>
      </c>
      <c r="Q4916" s="29">
        <v>3000</v>
      </c>
      <c r="R4916" s="31">
        <v>45890</v>
      </c>
      <c r="S4916" s="31" t="s">
        <v>4862</v>
      </c>
      <c r="T4916" s="95" t="str">
        <f t="shared" si="368"/>
        <v>2025 08</v>
      </c>
      <c r="U4916" s="32">
        <f t="shared" si="354"/>
        <v>966.30035327864789</v>
      </c>
      <c r="V4916" s="22">
        <f t="shared" si="355"/>
        <v>0.47514408277371639</v>
      </c>
      <c r="X4916" s="33"/>
      <c r="Y4916" s="33"/>
    </row>
    <row r="4917" spans="1:25" x14ac:dyDescent="0.2">
      <c r="A4917" s="93" t="s">
        <v>4063</v>
      </c>
      <c r="B4917" s="94" t="str">
        <f>IFERROR(VLOOKUP($A4917,HeadJournal!$A$1:$NTR$890,COLUMN(HeadJournal!B$1),0),"")</f>
        <v>722500494773</v>
      </c>
      <c r="C4917" s="94" t="str">
        <f>IFERROR(VLOOKUP($A4917,HeadJournal!$A$1:$NTR$890,COLUMN(HeadJournal!C$1),0),"")</f>
        <v>iHerb_MH DLE7202</v>
      </c>
      <c r="D4917" s="125" t="str">
        <f>IFERROR(VLOOKUP($A4917,HeadJournal!$A$1:$NTR$890,COLUMN(HeadJournal!D$1),0),"")</f>
        <v>Доставлен</v>
      </c>
      <c r="E4917" s="95">
        <f>IFERROR(VLOOKUP($A4917,HeadJournal!$A$1:$NTR$890,COLUMN(HeadJournal!G$1),0),"")</f>
        <v>45865</v>
      </c>
      <c r="F4917" s="95" t="str">
        <f t="shared" si="367"/>
        <v>2025 07</v>
      </c>
      <c r="G4917" s="97" t="s">
        <v>5</v>
      </c>
      <c r="H4917" s="161" t="s">
        <v>2101</v>
      </c>
      <c r="I4917" s="97" t="s">
        <v>2102</v>
      </c>
      <c r="J4917" s="97" t="s">
        <v>4015</v>
      </c>
      <c r="K4917" s="29">
        <v>47.68</v>
      </c>
      <c r="L4917" s="29">
        <v>-4.7699999999999996</v>
      </c>
      <c r="M4917" s="30">
        <f>IFERROR(VLOOKUP($A4917,HeadJournal!$A$1:$J$890,COLUMN(HeadJournal!I$1),0)*($K4917+$L4917)/(SUMIF($A:$A,$A4917,$K:$K)+SUMIF($A:$A,$A4917,$L:$L)),0)</f>
        <v>-2.1399934578028277</v>
      </c>
      <c r="N4917" s="30">
        <f>IFERROR((VLOOKUP($A4917,HeadJournal!$A$1:$K$890,COLUMN(HeadJournal!K$1),0)-VLOOKUP($A4917,HeadJournal!$A$1:$K$890,COLUMN(HeadJournal!J$1),0))*($K4917+$L4917)/(SUMIF($A:$A,$A4917,$K:$K)+SUMIF($A:$A,$A4917,$L:$L)),0)</f>
        <v>-6.1374644036970244E-15</v>
      </c>
      <c r="O4917" s="30">
        <f>IFERROR((VLOOKUP($A4917,HeadJournal!$A$1:$L$890,COLUMN(HeadJournal!L$1),0)*($K4917+$L4917)/(SUMIF($A:$A,$A4917,$K:$K)+SUMIF($A:$A,$A4917,$L:$L)))/VLOOKUP($A4917,HeadJournal!$A$1:$L$890,COLUMN(HeadJournal!H$1),0),0)</f>
        <v>1.3944051373513842</v>
      </c>
      <c r="P4917" s="30">
        <f>IFERROR(SUM(K4917:O4917)*VLOOKUP($A4917,HeadJournal!$A$1:$L$890,COLUMN(HeadJournal!H$1),0),0)</f>
        <v>3743.7173676882544</v>
      </c>
      <c r="Q4917" s="29">
        <v>5200</v>
      </c>
      <c r="R4917" s="31">
        <v>45892</v>
      </c>
      <c r="S4917" s="31" t="s">
        <v>3282</v>
      </c>
      <c r="T4917" s="95" t="str">
        <f t="shared" si="368"/>
        <v>2025 08</v>
      </c>
      <c r="U4917" s="32">
        <f t="shared" si="354"/>
        <v>1456.2826323117456</v>
      </c>
      <c r="V4917" s="22">
        <f t="shared" si="355"/>
        <v>0.38899374319247826</v>
      </c>
      <c r="X4917" s="33"/>
      <c r="Y4917" s="33"/>
    </row>
    <row r="4918" spans="1:25" x14ac:dyDescent="0.2">
      <c r="A4918" s="93" t="s">
        <v>4063</v>
      </c>
      <c r="B4918" s="94" t="str">
        <f>IFERROR(VLOOKUP($A4918,HeadJournal!$A$1:$NTR$890,COLUMN(HeadJournal!B$1),0),"")</f>
        <v>722500494773</v>
      </c>
      <c r="C4918" s="94" t="str">
        <f>IFERROR(VLOOKUP($A4918,HeadJournal!$A$1:$NTR$890,COLUMN(HeadJournal!C$1),0),"")</f>
        <v>iHerb_MH DLE7202</v>
      </c>
      <c r="D4918" s="125" t="str">
        <f>IFERROR(VLOOKUP($A4918,HeadJournal!$A$1:$NTR$890,COLUMN(HeadJournal!D$1),0),"")</f>
        <v>Доставлен</v>
      </c>
      <c r="E4918" s="95">
        <f>IFERROR(VLOOKUP($A4918,HeadJournal!$A$1:$NTR$890,COLUMN(HeadJournal!G$1),0),"")</f>
        <v>45865</v>
      </c>
      <c r="F4918" s="95" t="str">
        <f t="shared" si="367"/>
        <v>2025 07</v>
      </c>
      <c r="G4918" s="97" t="s">
        <v>5</v>
      </c>
      <c r="H4918" s="161" t="s">
        <v>2083</v>
      </c>
      <c r="I4918" s="97" t="s">
        <v>2005</v>
      </c>
      <c r="J4918" s="97" t="s">
        <v>2084</v>
      </c>
      <c r="K4918" s="29">
        <v>62.89</v>
      </c>
      <c r="L4918" s="29">
        <v>-6.29</v>
      </c>
      <c r="M4918" s="30">
        <f>IFERROR(VLOOKUP($A4918,HeadJournal!$A$1:$J$890,COLUMN(HeadJournal!I$1),0)*($K4918+$L4918)/(SUMIF($A:$A,$A4918,$K:$K)+SUMIF($A:$A,$A4918,$L:$L)),0)</f>
        <v>-2.8227366514015397</v>
      </c>
      <c r="N4918" s="30">
        <f>IFERROR((VLOOKUP($A4918,HeadJournal!$A$1:$K$890,COLUMN(HeadJournal!K$1),0)-VLOOKUP($A4918,HeadJournal!$A$1:$K$890,COLUMN(HeadJournal!J$1),0))*($K4918+$L4918)/(SUMIF($A:$A,$A4918,$K:$K)+SUMIF($A:$A,$A4918,$L:$L)),0)</f>
        <v>-8.0955601316534975E-15</v>
      </c>
      <c r="O4918" s="30">
        <f>IFERROR((VLOOKUP($A4918,HeadJournal!$A$1:$L$890,COLUMN(HeadJournal!L$1),0)*($K4918+$L4918)/(SUMIF($A:$A,$A4918,$K:$K)+SUMIF($A:$A,$A4918,$L:$L)))/VLOOKUP($A4918,HeadJournal!$A$1:$L$890,COLUMN(HeadJournal!H$1),0),0)</f>
        <v>1.8392759443973048</v>
      </c>
      <c r="P4918" s="30">
        <f>IFERROR(SUM(K4918:O4918)*VLOOKUP($A4918,HeadJournal!$A$1:$L$890,COLUMN(HeadJournal!H$1),0),0)</f>
        <v>4938.1123983023826</v>
      </c>
      <c r="Q4918" s="29">
        <v>6000</v>
      </c>
      <c r="R4918" s="31">
        <v>45894</v>
      </c>
      <c r="S4918" s="31" t="s">
        <v>3231</v>
      </c>
      <c r="T4918" s="95" t="str">
        <f t="shared" si="368"/>
        <v>2025 08</v>
      </c>
      <c r="U4918" s="32">
        <f t="shared" si="354"/>
        <v>1061.8876016976174</v>
      </c>
      <c r="V4918" s="22">
        <f t="shared" si="355"/>
        <v>0.21503917206555923</v>
      </c>
      <c r="X4918" s="33"/>
      <c r="Y4918" s="33"/>
    </row>
    <row r="4919" spans="1:25" x14ac:dyDescent="0.2">
      <c r="A4919" s="93" t="s">
        <v>4063</v>
      </c>
      <c r="B4919" s="94" t="str">
        <f>IFERROR(VLOOKUP($A4919,HeadJournal!$A$1:$NTR$890,COLUMN(HeadJournal!B$1),0),"")</f>
        <v>722500494773</v>
      </c>
      <c r="C4919" s="94" t="str">
        <f>IFERROR(VLOOKUP($A4919,HeadJournal!$A$1:$NTR$890,COLUMN(HeadJournal!C$1),0),"")</f>
        <v>iHerb_MH DLE7202</v>
      </c>
      <c r="D4919" s="125" t="str">
        <f>IFERROR(VLOOKUP($A4919,HeadJournal!$A$1:$NTR$890,COLUMN(HeadJournal!D$1),0),"")</f>
        <v>Доставлен</v>
      </c>
      <c r="E4919" s="95">
        <f>IFERROR(VLOOKUP($A4919,HeadJournal!$A$1:$NTR$890,COLUMN(HeadJournal!G$1),0),"")</f>
        <v>45865</v>
      </c>
      <c r="F4919" s="95" t="str">
        <f t="shared" si="367"/>
        <v>2025 07</v>
      </c>
      <c r="G4919" s="97" t="s">
        <v>5</v>
      </c>
      <c r="H4919" s="161" t="s">
        <v>3787</v>
      </c>
      <c r="I4919" s="97" t="s">
        <v>2036</v>
      </c>
      <c r="J4919" s="97" t="s">
        <v>4060</v>
      </c>
      <c r="K4919" s="29">
        <v>15.08</v>
      </c>
      <c r="L4919" s="29">
        <v>-1.51</v>
      </c>
      <c r="M4919" s="30">
        <f>IFERROR(VLOOKUP($A4919,HeadJournal!$A$1:$J$890,COLUMN(HeadJournal!I$1),0)*($K4919+$L4919)/(SUMIF($A:$A,$A4919,$K:$K)+SUMIF($A:$A,$A4919,$L:$L)),0)</f>
        <v>-0.67675859292436202</v>
      </c>
      <c r="N4919" s="30">
        <f>IFERROR((VLOOKUP($A4919,HeadJournal!$A$1:$K$890,COLUMN(HeadJournal!K$1),0)-VLOOKUP($A4919,HeadJournal!$A$1:$K$890,COLUMN(HeadJournal!J$1),0))*($K4919+$L4919)/(SUMIF($A:$A,$A4919,$K:$K)+SUMIF($A:$A,$A4919,$L:$L)),0)</f>
        <v>-1.940931996228586E-15</v>
      </c>
      <c r="O4919" s="30">
        <f>IFERROR((VLOOKUP($A4919,HeadJournal!$A$1:$L$890,COLUMN(HeadJournal!L$1),0)*($K4919+$L4919)/(SUMIF($A:$A,$A4919,$K:$K)+SUMIF($A:$A,$A4919,$L:$L)))/VLOOKUP($A4919,HeadJournal!$A$1:$L$890,COLUMN(HeadJournal!H$1),0),0)</f>
        <v>0.44097128207546687</v>
      </c>
      <c r="P4919" s="30">
        <f>IFERROR(SUM(K4919:O4919)*VLOOKUP($A4919,HeadJournal!$A$1:$L$890,COLUMN(HeadJournal!H$1),0),0)</f>
        <v>1183.9255343633097</v>
      </c>
      <c r="Q4919" s="29">
        <v>1900</v>
      </c>
      <c r="R4919" s="31">
        <v>45891</v>
      </c>
      <c r="S4919" s="31" t="s">
        <v>3226</v>
      </c>
      <c r="T4919" s="95" t="str">
        <f t="shared" si="368"/>
        <v>2025 08</v>
      </c>
      <c r="U4919" s="32">
        <f t="shared" si="354"/>
        <v>716.07446563669032</v>
      </c>
      <c r="V4919" s="22">
        <f t="shared" si="355"/>
        <v>0.60483066278469966</v>
      </c>
      <c r="X4919" s="33"/>
      <c r="Y4919" s="33"/>
    </row>
    <row r="4920" spans="1:25" x14ac:dyDescent="0.2">
      <c r="A4920" s="93" t="s">
        <v>4063</v>
      </c>
      <c r="B4920" s="94" t="str">
        <f>IFERROR(VLOOKUP($A4920,HeadJournal!$A$1:$NTR$890,COLUMN(HeadJournal!B$1),0),"")</f>
        <v>722500494773</v>
      </c>
      <c r="C4920" s="94" t="str">
        <f>IFERROR(VLOOKUP($A4920,HeadJournal!$A$1:$NTR$890,COLUMN(HeadJournal!C$1),0),"")</f>
        <v>iHerb_MH DLE7202</v>
      </c>
      <c r="D4920" s="125" t="str">
        <f>IFERROR(VLOOKUP($A4920,HeadJournal!$A$1:$NTR$890,COLUMN(HeadJournal!D$1),0),"")</f>
        <v>Доставлен</v>
      </c>
      <c r="E4920" s="95">
        <f>IFERROR(VLOOKUP($A4920,HeadJournal!$A$1:$NTR$890,COLUMN(HeadJournal!G$1),0),"")</f>
        <v>45865</v>
      </c>
      <c r="F4920" s="95" t="str">
        <f t="shared" si="367"/>
        <v>2025 07</v>
      </c>
      <c r="G4920" s="97" t="s">
        <v>5</v>
      </c>
      <c r="H4920" s="161" t="s">
        <v>3568</v>
      </c>
      <c r="I4920" s="97" t="s">
        <v>2796</v>
      </c>
      <c r="J4920" s="97" t="s">
        <v>3569</v>
      </c>
      <c r="K4920" s="29">
        <v>18.239999999999998</v>
      </c>
      <c r="L4920" s="29">
        <v>-1.82</v>
      </c>
      <c r="M4920" s="30">
        <f>IFERROR(VLOOKUP($A4920,HeadJournal!$A$1:$J$890,COLUMN(HeadJournal!I$1),0)*($K4920+$L4920)/(SUMIF($A:$A,$A4920,$K:$K)+SUMIF($A:$A,$A4920,$L:$L)),0)</f>
        <v>-0.81889285894016384</v>
      </c>
      <c r="N4920" s="30">
        <f>IFERROR((VLOOKUP($A4920,HeadJournal!$A$1:$K$890,COLUMN(HeadJournal!K$1),0)-VLOOKUP($A4920,HeadJournal!$A$1:$K$890,COLUMN(HeadJournal!J$1),0))*($K4920+$L4920)/(SUMIF($A:$A,$A4920,$K:$K)+SUMIF($A:$A,$A4920,$L:$L)),0)</f>
        <v>-2.3485706247659084E-15</v>
      </c>
      <c r="O4920" s="30">
        <f>IFERROR((VLOOKUP($A4920,HeadJournal!$A$1:$L$890,COLUMN(HeadJournal!L$1),0)*($K4920+$L4920)/(SUMIF($A:$A,$A4920,$K:$K)+SUMIF($A:$A,$A4920,$L:$L)))/VLOOKUP($A4920,HeadJournal!$A$1:$L$890,COLUMN(HeadJournal!H$1),0),0)</f>
        <v>0.53358500012374099</v>
      </c>
      <c r="P4920" s="30">
        <f>IFERROR(SUM(K4920:O4920)*VLOOKUP($A4920,HeadJournal!$A$1:$L$890,COLUMN(HeadJournal!H$1),0),0)</f>
        <v>1432.5760703202318</v>
      </c>
      <c r="Q4920" s="29">
        <v>2200</v>
      </c>
      <c r="R4920" s="31">
        <v>45894</v>
      </c>
      <c r="S4920" s="31"/>
      <c r="T4920" s="95" t="str">
        <f t="shared" si="368"/>
        <v>2025 08</v>
      </c>
      <c r="U4920" s="32">
        <f t="shared" si="354"/>
        <v>767.42392967976821</v>
      </c>
      <c r="V4920" s="22">
        <f t="shared" si="355"/>
        <v>0.53569506400328304</v>
      </c>
      <c r="X4920" s="33"/>
      <c r="Y4920" s="33"/>
    </row>
    <row r="4921" spans="1:25" x14ac:dyDescent="0.2">
      <c r="A4921" s="93" t="s">
        <v>4063</v>
      </c>
      <c r="B4921" s="94" t="str">
        <f>IFERROR(VLOOKUP($A4921,HeadJournal!$A$1:$NTR$890,COLUMN(HeadJournal!B$1),0),"")</f>
        <v>722500494773</v>
      </c>
      <c r="C4921" s="94" t="str">
        <f>IFERROR(VLOOKUP($A4921,HeadJournal!$A$1:$NTR$890,COLUMN(HeadJournal!C$1),0),"")</f>
        <v>iHerb_MH DLE7202</v>
      </c>
      <c r="D4921" s="125" t="str">
        <f>IFERROR(VLOOKUP($A4921,HeadJournal!$A$1:$NTR$890,COLUMN(HeadJournal!D$1),0),"")</f>
        <v>Доставлен</v>
      </c>
      <c r="E4921" s="95">
        <f>IFERROR(VLOOKUP($A4921,HeadJournal!$A$1:$NTR$890,COLUMN(HeadJournal!G$1),0),"")</f>
        <v>45865</v>
      </c>
      <c r="F4921" s="95" t="str">
        <f t="shared" si="367"/>
        <v>2025 07</v>
      </c>
      <c r="G4921" s="97" t="s">
        <v>5</v>
      </c>
      <c r="H4921" s="161" t="s">
        <v>4061</v>
      </c>
      <c r="I4921" s="97" t="s">
        <v>2993</v>
      </c>
      <c r="J4921" s="97" t="s">
        <v>4062</v>
      </c>
      <c r="K4921" s="29">
        <v>51</v>
      </c>
      <c r="L4921" s="29">
        <v>-5.0999999999999996</v>
      </c>
      <c r="M4921" s="30">
        <f>IFERROR(VLOOKUP($A4921,HeadJournal!$A$1:$J$890,COLUMN(HeadJournal!I$1),0)*($K4921+$L4921)/(SUMIF($A:$A,$A4921,$K:$K)+SUMIF($A:$A,$A4921,$L:$L)),0)</f>
        <v>-2.2891097579387041</v>
      </c>
      <c r="N4921" s="30">
        <f>IFERROR((VLOOKUP($A4921,HeadJournal!$A$1:$K$890,COLUMN(HeadJournal!K$1),0)-VLOOKUP($A4921,HeadJournal!$A$1:$K$890,COLUMN(HeadJournal!J$1),0))*($K4921+$L4921)/(SUMIF($A:$A,$A4921,$K:$K)+SUMIF($A:$A,$A4921,$L:$L)),0)</f>
        <v>-6.5651273859168819E-15</v>
      </c>
      <c r="O4921" s="30">
        <f>IFERROR((VLOOKUP($A4921,HeadJournal!$A$1:$L$890,COLUMN(HeadJournal!L$1),0)*($K4921+$L4921)/(SUMIF($A:$A,$A4921,$K:$K)+SUMIF($A:$A,$A4921,$L:$L)))/VLOOKUP($A4921,HeadJournal!$A$1:$L$890,COLUMN(HeadJournal!H$1),0),0)</f>
        <v>1.4915683011985208</v>
      </c>
      <c r="P4921" s="30">
        <f>IFERROR(SUM(K4921:O4921)*VLOOKUP($A4921,HeadJournal!$A$1:$L$890,COLUMN(HeadJournal!H$1),0),0)</f>
        <v>4004.5823159377978</v>
      </c>
      <c r="Q4921" s="29">
        <v>5000</v>
      </c>
      <c r="R4921" s="31">
        <v>45890</v>
      </c>
      <c r="S4921" s="31" t="s">
        <v>3475</v>
      </c>
      <c r="T4921" s="95" t="str">
        <f t="shared" si="368"/>
        <v>2025 08</v>
      </c>
      <c r="U4921" s="32">
        <f t="shared" si="354"/>
        <v>995.41768406220217</v>
      </c>
      <c r="V4921" s="22">
        <f t="shared" si="355"/>
        <v>0.2485696648313481</v>
      </c>
      <c r="X4921" s="33"/>
      <c r="Y4921" s="33"/>
    </row>
    <row r="4922" spans="1:25" x14ac:dyDescent="0.2">
      <c r="A4922" s="93" t="s">
        <v>4076</v>
      </c>
      <c r="B4922" s="94" t="str">
        <f>IFERROR(VLOOKUP($A4922,HeadJournal!$A$1:$NTR$890,COLUMN(HeadJournal!B$1),0),"")</f>
        <v>720000749515</v>
      </c>
      <c r="C4922" s="94" t="str">
        <f>IFERROR(VLOOKUP($A4922,HeadJournal!$A$1:$NTR$890,COLUMN(HeadJournal!C$1),0),"")</f>
        <v>iHerb_OA CZN6870</v>
      </c>
      <c r="D4922" s="125" t="str">
        <f>IFERROR(VLOOKUP($A4922,HeadJournal!$A$1:$NTR$890,COLUMN(HeadJournal!D$1),0),"")</f>
        <v>Доставлен</v>
      </c>
      <c r="E4922" s="95">
        <f>IFERROR(VLOOKUP($A4922,HeadJournal!$A$1:$NTR$890,COLUMN(HeadJournal!G$1),0),"")</f>
        <v>45871</v>
      </c>
      <c r="F4922" s="95" t="str">
        <f t="shared" si="367"/>
        <v>2025 08</v>
      </c>
      <c r="G4922" s="97" t="s">
        <v>5</v>
      </c>
      <c r="H4922" s="161" t="s">
        <v>4066</v>
      </c>
      <c r="I4922" s="97" t="s">
        <v>4067</v>
      </c>
      <c r="J4922" s="97" t="s">
        <v>4068</v>
      </c>
      <c r="K4922" s="29">
        <v>44.19</v>
      </c>
      <c r="L4922" s="29">
        <v>-4.42</v>
      </c>
      <c r="M4922" s="30">
        <f>IFERROR(VLOOKUP($A4922,HeadJournal!$A$1:$J$890,COLUMN(HeadJournal!I$1),0)*($K4922+$L4922)/(SUMIF($A:$A,$A4922,$K:$K)+SUMIF($A:$A,$A4922,$L:$L)),0)</f>
        <v>-3.607766078838174</v>
      </c>
      <c r="N4922" s="30">
        <f>IFERROR((VLOOKUP($A4922,HeadJournal!$A$1:$K$890,COLUMN(HeadJournal!K$1),0)-VLOOKUP($A4922,HeadJournal!$A$1:$K$890,COLUMN(HeadJournal!J$1),0))*($K4922+$L4922)/(SUMIF($A:$A,$A4922,$K:$K)+SUMIF($A:$A,$A4922,$L:$L)),0)</f>
        <v>5.8627146475475483E-15</v>
      </c>
      <c r="O4922" s="30">
        <f>IFERROR((VLOOKUP($A4922,HeadJournal!$A$1:$L$890,COLUMN(HeadJournal!L$1),0)*($K4922+$L4922)/(SUMIF($A:$A,$A4922,$K:$K)+SUMIF($A:$A,$A4922,$L:$L)))/VLOOKUP($A4922,HeadJournal!$A$1:$L$890,COLUMN(HeadJournal!H$1),0),0)</f>
        <v>1.2316891547878333</v>
      </c>
      <c r="P4922" s="30">
        <f>IFERROR(SUM(K4922:O4922)*VLOOKUP($A4922,HeadJournal!$A$1:$L$890,COLUMN(HeadJournal!H$1),0),0)</f>
        <v>3381.755726659751</v>
      </c>
      <c r="Q4922" s="29">
        <v>4400</v>
      </c>
      <c r="R4922" s="31">
        <v>45899</v>
      </c>
      <c r="S4922" s="31" t="s">
        <v>3475</v>
      </c>
      <c r="T4922" s="95" t="str">
        <f t="shared" si="368"/>
        <v>2025 08</v>
      </c>
      <c r="U4922" s="32">
        <f t="shared" si="354"/>
        <v>1018.244273340249</v>
      </c>
      <c r="V4922" s="22">
        <f t="shared" si="355"/>
        <v>0.30109929741909408</v>
      </c>
      <c r="X4922" s="33"/>
      <c r="Y4922" s="33"/>
    </row>
    <row r="4923" spans="1:25" x14ac:dyDescent="0.2">
      <c r="A4923" s="93" t="s">
        <v>4076</v>
      </c>
      <c r="B4923" s="94" t="str">
        <f>IFERROR(VLOOKUP($A4923,HeadJournal!$A$1:$NTR$890,COLUMN(HeadJournal!B$1),0),"")</f>
        <v>720000749515</v>
      </c>
      <c r="C4923" s="94" t="str">
        <f>IFERROR(VLOOKUP($A4923,HeadJournal!$A$1:$NTR$890,COLUMN(HeadJournal!C$1),0),"")</f>
        <v>iHerb_OA CZN6870</v>
      </c>
      <c r="D4923" s="125" t="str">
        <f>IFERROR(VLOOKUP($A4923,HeadJournal!$A$1:$NTR$890,COLUMN(HeadJournal!D$1),0),"")</f>
        <v>Доставлен</v>
      </c>
      <c r="E4923" s="95">
        <f>IFERROR(VLOOKUP($A4923,HeadJournal!$A$1:$NTR$890,COLUMN(HeadJournal!G$1),0),"")</f>
        <v>45871</v>
      </c>
      <c r="F4923" s="95" t="str">
        <f t="shared" si="367"/>
        <v>2025 08</v>
      </c>
      <c r="G4923" s="97" t="s">
        <v>5</v>
      </c>
      <c r="H4923" s="161" t="s">
        <v>4069</v>
      </c>
      <c r="I4923" s="97" t="s">
        <v>4070</v>
      </c>
      <c r="J4923" s="97" t="s">
        <v>4071</v>
      </c>
      <c r="K4923" s="29">
        <v>28.16</v>
      </c>
      <c r="L4923" s="29">
        <v>-2.82</v>
      </c>
      <c r="M4923" s="30">
        <f>IFERROR(VLOOKUP($A4923,HeadJournal!$A$1:$J$890,COLUMN(HeadJournal!I$1),0)*($K4923+$L4923)/(SUMIF($A:$A,$A4923,$K:$K)+SUMIF($A:$A,$A4923,$L:$L)),0)</f>
        <v>-2.29873755186722</v>
      </c>
      <c r="N4923" s="30">
        <f>IFERROR((VLOOKUP($A4923,HeadJournal!$A$1:$K$890,COLUMN(HeadJournal!K$1),0)-VLOOKUP($A4923,HeadJournal!$A$1:$K$890,COLUMN(HeadJournal!J$1),0))*($K4923+$L4923)/(SUMIF($A:$A,$A4923,$K:$K)+SUMIF($A:$A,$A4923,$L:$L)),0)</f>
        <v>3.7355089054275808E-15</v>
      </c>
      <c r="O4923" s="30">
        <f>IFERROR((VLOOKUP($A4923,HeadJournal!$A$1:$L$890,COLUMN(HeadJournal!L$1),0)*($K4923+$L4923)/(SUMIF($A:$A,$A4923,$K:$K)+SUMIF($A:$A,$A4923,$L:$L)))/VLOOKUP($A4923,HeadJournal!$A$1:$L$890,COLUMN(HeadJournal!H$1),0),0)</f>
        <v>0.78478760830585104</v>
      </c>
      <c r="P4923" s="30">
        <f>IFERROR(SUM(K4923:O4923)*VLOOKUP($A4923,HeadJournal!$A$1:$L$890,COLUMN(HeadJournal!H$1),0),0)</f>
        <v>2154.7319616182576</v>
      </c>
      <c r="Q4923" s="29">
        <v>3000</v>
      </c>
      <c r="R4923" s="31">
        <v>45899</v>
      </c>
      <c r="S4923" s="31" t="s">
        <v>3475</v>
      </c>
      <c r="T4923" s="95" t="str">
        <f t="shared" si="368"/>
        <v>2025 08</v>
      </c>
      <c r="U4923" s="32">
        <f t="shared" si="354"/>
        <v>845.26803838174237</v>
      </c>
      <c r="V4923" s="22">
        <f t="shared" si="355"/>
        <v>0.39228454092588155</v>
      </c>
      <c r="X4923" s="33"/>
      <c r="Y4923" s="33"/>
    </row>
    <row r="4924" spans="1:25" x14ac:dyDescent="0.2">
      <c r="A4924" s="93" t="s">
        <v>4076</v>
      </c>
      <c r="B4924" s="94" t="str">
        <f>IFERROR(VLOOKUP($A4924,HeadJournal!$A$1:$NTR$890,COLUMN(HeadJournal!B$1),0),"")</f>
        <v>720000749515</v>
      </c>
      <c r="C4924" s="94" t="str">
        <f>IFERROR(VLOOKUP($A4924,HeadJournal!$A$1:$NTR$890,COLUMN(HeadJournal!C$1),0),"")</f>
        <v>iHerb_OA CZN6870</v>
      </c>
      <c r="D4924" s="125" t="str">
        <f>IFERROR(VLOOKUP($A4924,HeadJournal!$A$1:$NTR$890,COLUMN(HeadJournal!D$1),0),"")</f>
        <v>Доставлен</v>
      </c>
      <c r="E4924" s="95">
        <f>IFERROR(VLOOKUP($A4924,HeadJournal!$A$1:$NTR$890,COLUMN(HeadJournal!G$1),0),"")</f>
        <v>45871</v>
      </c>
      <c r="F4924" s="95" t="str">
        <f t="shared" si="367"/>
        <v>2025 08</v>
      </c>
      <c r="G4924" s="97" t="s">
        <v>5</v>
      </c>
      <c r="H4924" s="161" t="s">
        <v>4072</v>
      </c>
      <c r="I4924" s="97" t="s">
        <v>2544</v>
      </c>
      <c r="J4924" s="97" t="s">
        <v>4073</v>
      </c>
      <c r="K4924" s="29">
        <v>52.82</v>
      </c>
      <c r="L4924" s="29">
        <v>-5.28</v>
      </c>
      <c r="M4924" s="30">
        <f>IFERROR(VLOOKUP($A4924,HeadJournal!$A$1:$J$890,COLUMN(HeadJournal!I$1),0)*($K4924+$L4924)/(SUMIF($A:$A,$A4924,$K:$K)+SUMIF($A:$A,$A4924,$L:$L)),0)</f>
        <v>-4.3126275933609959</v>
      </c>
      <c r="N4924" s="30">
        <f>IFERROR((VLOOKUP($A4924,HeadJournal!$A$1:$K$890,COLUMN(HeadJournal!K$1),0)-VLOOKUP($A4924,HeadJournal!$A$1:$K$890,COLUMN(HeadJournal!J$1),0))*($K4924+$L4924)/(SUMIF($A:$A,$A4924,$K:$K)+SUMIF($A:$A,$A4924,$L:$L)),0)</f>
        <v>7.0081331240736856E-15</v>
      </c>
      <c r="O4924" s="30">
        <f>IFERROR((VLOOKUP($A4924,HeadJournal!$A$1:$L$890,COLUMN(HeadJournal!L$1),0)*($K4924+$L4924)/(SUMIF($A:$A,$A4924,$K:$K)+SUMIF($A:$A,$A4924,$L:$L)))/VLOOKUP($A4924,HeadJournal!$A$1:$L$890,COLUMN(HeadJournal!H$1),0),0)</f>
        <v>1.4723284490473623</v>
      </c>
      <c r="P4924" s="30">
        <f>IFERROR(SUM(K4924:O4924)*VLOOKUP($A4924,HeadJournal!$A$1:$L$890,COLUMN(HeadJournal!H$1),0),0)</f>
        <v>4042.4608309128635</v>
      </c>
      <c r="Q4924" s="29">
        <v>5200</v>
      </c>
      <c r="R4924" s="31">
        <v>45899</v>
      </c>
      <c r="S4924" s="31" t="s">
        <v>3475</v>
      </c>
      <c r="T4924" s="95" t="str">
        <f t="shared" si="368"/>
        <v>2025 08</v>
      </c>
      <c r="U4924" s="32">
        <f t="shared" si="354"/>
        <v>1157.5391690871365</v>
      </c>
      <c r="V4924" s="22">
        <f t="shared" si="355"/>
        <v>0.28634517871772242</v>
      </c>
      <c r="X4924" s="33"/>
      <c r="Y4924" s="33"/>
    </row>
    <row r="4925" spans="1:25" x14ac:dyDescent="0.2">
      <c r="A4925" s="93" t="s">
        <v>4076</v>
      </c>
      <c r="B4925" s="94" t="str">
        <f>IFERROR(VLOOKUP($A4925,HeadJournal!$A$1:$NTR$890,COLUMN(HeadJournal!B$1),0),"")</f>
        <v>720000749515</v>
      </c>
      <c r="C4925" s="94" t="str">
        <f>IFERROR(VLOOKUP($A4925,HeadJournal!$A$1:$NTR$890,COLUMN(HeadJournal!C$1),0),"")</f>
        <v>iHerb_OA CZN6870</v>
      </c>
      <c r="D4925" s="125" t="str">
        <f>IFERROR(VLOOKUP($A4925,HeadJournal!$A$1:$NTR$890,COLUMN(HeadJournal!D$1),0),"")</f>
        <v>Доставлен</v>
      </c>
      <c r="E4925" s="95">
        <f>IFERROR(VLOOKUP($A4925,HeadJournal!$A$1:$NTR$890,COLUMN(HeadJournal!G$1),0),"")</f>
        <v>45871</v>
      </c>
      <c r="F4925" s="95" t="str">
        <f t="shared" si="367"/>
        <v>2025 08</v>
      </c>
      <c r="G4925" s="97" t="s">
        <v>5</v>
      </c>
      <c r="H4925" s="161" t="s">
        <v>4072</v>
      </c>
      <c r="I4925" s="97" t="s">
        <v>2544</v>
      </c>
      <c r="J4925" s="97" t="s">
        <v>4073</v>
      </c>
      <c r="K4925" s="29">
        <v>52.82</v>
      </c>
      <c r="L4925" s="29">
        <v>-5.28</v>
      </c>
      <c r="M4925" s="30">
        <f>IFERROR(VLOOKUP($A4925,HeadJournal!$A$1:$J$890,COLUMN(HeadJournal!I$1),0)*($K4925+$L4925)/(SUMIF($A:$A,$A4925,$K:$K)+SUMIF($A:$A,$A4925,$L:$L)),0)</f>
        <v>-4.3126275933609959</v>
      </c>
      <c r="N4925" s="30">
        <f>IFERROR((VLOOKUP($A4925,HeadJournal!$A$1:$K$890,COLUMN(HeadJournal!K$1),0)-VLOOKUP($A4925,HeadJournal!$A$1:$K$890,COLUMN(HeadJournal!J$1),0))*($K4925+$L4925)/(SUMIF($A:$A,$A4925,$K:$K)+SUMIF($A:$A,$A4925,$L:$L)),0)</f>
        <v>7.0081331240736856E-15</v>
      </c>
      <c r="O4925" s="30">
        <f>IFERROR((VLOOKUP($A4925,HeadJournal!$A$1:$L$890,COLUMN(HeadJournal!L$1),0)*($K4925+$L4925)/(SUMIF($A:$A,$A4925,$K:$K)+SUMIF($A:$A,$A4925,$L:$L)))/VLOOKUP($A4925,HeadJournal!$A$1:$L$890,COLUMN(HeadJournal!H$1),0),0)</f>
        <v>1.4723284490473623</v>
      </c>
      <c r="P4925" s="30">
        <f>IFERROR(SUM(K4925:O4925)*VLOOKUP($A4925,HeadJournal!$A$1:$L$890,COLUMN(HeadJournal!H$1),0),0)</f>
        <v>4042.4608309128635</v>
      </c>
      <c r="Q4925" s="29">
        <v>5200</v>
      </c>
      <c r="R4925" s="31">
        <v>45899</v>
      </c>
      <c r="S4925" s="31" t="s">
        <v>3475</v>
      </c>
      <c r="T4925" s="95" t="str">
        <f t="shared" si="368"/>
        <v>2025 08</v>
      </c>
      <c r="U4925" s="32">
        <f t="shared" si="354"/>
        <v>1157.5391690871365</v>
      </c>
      <c r="V4925" s="22">
        <f t="shared" si="355"/>
        <v>0.28634517871772242</v>
      </c>
      <c r="X4925" s="33"/>
      <c r="Y4925" s="33"/>
    </row>
    <row r="4926" spans="1:25" x14ac:dyDescent="0.2">
      <c r="A4926" s="93" t="s">
        <v>4076</v>
      </c>
      <c r="B4926" s="94" t="str">
        <f>IFERROR(VLOOKUP($A4926,HeadJournal!$A$1:$NTR$890,COLUMN(HeadJournal!B$1),0),"")</f>
        <v>720000749515</v>
      </c>
      <c r="C4926" s="94" t="str">
        <f>IFERROR(VLOOKUP($A4926,HeadJournal!$A$1:$NTR$890,COLUMN(HeadJournal!C$1),0),"")</f>
        <v>iHerb_OA CZN6870</v>
      </c>
      <c r="D4926" s="125" t="str">
        <f>IFERROR(VLOOKUP($A4926,HeadJournal!$A$1:$NTR$890,COLUMN(HeadJournal!D$1),0),"")</f>
        <v>Доставлен</v>
      </c>
      <c r="E4926" s="95">
        <f>IFERROR(VLOOKUP($A4926,HeadJournal!$A$1:$NTR$890,COLUMN(HeadJournal!G$1),0),"")</f>
        <v>45871</v>
      </c>
      <c r="F4926" s="95" t="str">
        <f t="shared" si="367"/>
        <v>2025 08</v>
      </c>
      <c r="G4926" s="97" t="s">
        <v>5</v>
      </c>
      <c r="H4926" s="161" t="s">
        <v>4074</v>
      </c>
      <c r="I4926" s="97" t="s">
        <v>2005</v>
      </c>
      <c r="J4926" s="97" t="s">
        <v>4075</v>
      </c>
      <c r="K4926" s="29">
        <v>23.19</v>
      </c>
      <c r="L4926" s="29">
        <v>-2.3199999999999998</v>
      </c>
      <c r="M4926" s="30">
        <f>IFERROR(VLOOKUP($A4926,HeadJournal!$A$1:$J$890,COLUMN(HeadJournal!I$1),0)*($K4926+$L4926)/(SUMIF($A:$A,$A4926,$K:$K)+SUMIF($A:$A,$A4926,$L:$L)),0)</f>
        <v>-1.8932380705394192</v>
      </c>
      <c r="N4926" s="30">
        <f>IFERROR((VLOOKUP($A4926,HeadJournal!$A$1:$K$890,COLUMN(HeadJournal!K$1),0)-VLOOKUP($A4926,HeadJournal!$A$1:$K$890,COLUMN(HeadJournal!J$1),0))*($K4926+$L4926)/(SUMIF($A:$A,$A4926,$K:$K)+SUMIF($A:$A,$A4926,$L:$L)),0)</f>
        <v>3.0765615965380277E-15</v>
      </c>
      <c r="O4926" s="30">
        <f>IFERROR((VLOOKUP($A4926,HeadJournal!$A$1:$L$890,COLUMN(HeadJournal!L$1),0)*($K4926+$L4926)/(SUMIF($A:$A,$A4926,$K:$K)+SUMIF($A:$A,$A4926,$L:$L)))/VLOOKUP($A4926,HeadJournal!$A$1:$L$890,COLUMN(HeadJournal!H$1),0),0)</f>
        <v>0.64635033091330352</v>
      </c>
      <c r="P4926" s="30">
        <f>IFERROR(SUM(K4926:O4926)*VLOOKUP($A4926,HeadJournal!$A$1:$L$890,COLUMN(HeadJournal!H$1),0),0)</f>
        <v>1774.6352028008303</v>
      </c>
      <c r="Q4926" s="29">
        <v>2800</v>
      </c>
      <c r="R4926" s="31">
        <v>45898</v>
      </c>
      <c r="S4926" s="31" t="s">
        <v>3505</v>
      </c>
      <c r="T4926" s="95" t="str">
        <f t="shared" si="368"/>
        <v>2025 08</v>
      </c>
      <c r="U4926" s="32">
        <f t="shared" si="354"/>
        <v>1025.3647971991697</v>
      </c>
      <c r="V4926" s="22">
        <f t="shared" si="355"/>
        <v>0.5777890552271705</v>
      </c>
      <c r="X4926" s="33"/>
      <c r="Y4926" s="33"/>
    </row>
    <row r="4927" spans="1:25" x14ac:dyDescent="0.2">
      <c r="A4927" s="93" t="s">
        <v>4076</v>
      </c>
      <c r="B4927" s="94" t="str">
        <f>IFERROR(VLOOKUP($A4927,HeadJournal!$A$1:$NTR$890,COLUMN(HeadJournal!B$1),0),"")</f>
        <v>720000749515</v>
      </c>
      <c r="C4927" s="94" t="str">
        <f>IFERROR(VLOOKUP($A4927,HeadJournal!$A$1:$NTR$890,COLUMN(HeadJournal!C$1),0),"")</f>
        <v>iHerb_OA CZN6870</v>
      </c>
      <c r="D4927" s="125" t="str">
        <f>IFERROR(VLOOKUP($A4927,HeadJournal!$A$1:$NTR$890,COLUMN(HeadJournal!D$1),0),"")</f>
        <v>Доставлен</v>
      </c>
      <c r="E4927" s="95">
        <f>IFERROR(VLOOKUP($A4927,HeadJournal!$A$1:$NTR$890,COLUMN(HeadJournal!G$1),0),"")</f>
        <v>45871</v>
      </c>
      <c r="F4927" s="95" t="str">
        <f t="shared" si="367"/>
        <v>2025 08</v>
      </c>
      <c r="G4927" s="97" t="s">
        <v>5</v>
      </c>
      <c r="H4927" s="161" t="s">
        <v>3794</v>
      </c>
      <c r="I4927" s="97" t="s">
        <v>2009</v>
      </c>
      <c r="J4927" s="97" t="s">
        <v>3795</v>
      </c>
      <c r="K4927" s="29">
        <v>13.05</v>
      </c>
      <c r="L4927" s="29">
        <v>-1.31</v>
      </c>
      <c r="M4927" s="30">
        <f>IFERROR(VLOOKUP($A4927,HeadJournal!$A$1:$J$890,COLUMN(HeadJournal!I$1),0)*($K4927+$L4927)/(SUMIF($A:$A,$A4927,$K:$K)+SUMIF($A:$A,$A4927,$L:$L)),0)</f>
        <v>-1.0650031120331951</v>
      </c>
      <c r="N4927" s="30">
        <f>IFERROR((VLOOKUP($A4927,HeadJournal!$A$1:$K$890,COLUMN(HeadJournal!K$1),0)-VLOOKUP($A4927,HeadJournal!$A$1:$K$890,COLUMN(HeadJournal!J$1),0))*($K4927+$L4927)/(SUMIF($A:$A,$A4927,$K:$K)+SUMIF($A:$A,$A4927,$L:$L)),0)</f>
        <v>1.7306580327434807E-15</v>
      </c>
      <c r="O4927" s="30">
        <f>IFERROR((VLOOKUP($A4927,HeadJournal!$A$1:$L$890,COLUMN(HeadJournal!L$1),0)*($K4927+$L4927)/(SUMIF($A:$A,$A4927,$K:$K)+SUMIF($A:$A,$A4927,$L:$L)))/VLOOKUP($A4927,HeadJournal!$A$1:$L$890,COLUMN(HeadJournal!H$1),0),0)</f>
        <v>0.36359141758132169</v>
      </c>
      <c r="P4927" s="30">
        <f>IFERROR(SUM(K4927:O4927)*VLOOKUP($A4927,HeadJournal!$A$1:$L$890,COLUMN(HeadJournal!H$1),0),0)</f>
        <v>998.28544709543587</v>
      </c>
      <c r="Q4927" s="29">
        <v>2000</v>
      </c>
      <c r="R4927" s="31">
        <v>45898</v>
      </c>
      <c r="S4927" s="31" t="s">
        <v>3235</v>
      </c>
      <c r="T4927" s="95" t="str">
        <f t="shared" si="368"/>
        <v>2025 08</v>
      </c>
      <c r="U4927" s="32">
        <f t="shared" si="354"/>
        <v>1001.7145529045641</v>
      </c>
      <c r="V4927" s="22">
        <f t="shared" si="355"/>
        <v>1.0034349952902804</v>
      </c>
      <c r="X4927" s="33"/>
      <c r="Y4927" s="33"/>
    </row>
    <row r="4928" spans="1:25" x14ac:dyDescent="0.2">
      <c r="A4928" s="93" t="s">
        <v>4080</v>
      </c>
      <c r="B4928" s="94" t="str">
        <f>IFERROR(VLOOKUP($A4928,HeadJournal!$A$1:$NTR$890,COLUMN(HeadJournal!B$1),0),"")</f>
        <v>720000750935</v>
      </c>
      <c r="C4928" s="94" t="str">
        <f>IFERROR(VLOOKUP($A4928,HeadJournal!$A$1:$NTR$890,COLUMN(HeadJournal!C$1),0),"")</f>
        <v>iHerb_OA CZN6870</v>
      </c>
      <c r="D4928" s="125" t="str">
        <f>IFERROR(VLOOKUP($A4928,HeadJournal!$A$1:$NTR$890,COLUMN(HeadJournal!D$1),0),"")</f>
        <v>Доставлен</v>
      </c>
      <c r="E4928" s="95">
        <f>IFERROR(VLOOKUP($A4928,HeadJournal!$A$1:$NTR$890,COLUMN(HeadJournal!G$1),0),"")</f>
        <v>45874</v>
      </c>
      <c r="F4928" s="95" t="str">
        <f t="shared" si="367"/>
        <v>2025 08</v>
      </c>
      <c r="G4928" s="97" t="s">
        <v>5</v>
      </c>
      <c r="H4928" s="161" t="s">
        <v>4042</v>
      </c>
      <c r="I4928" s="97" t="s">
        <v>2036</v>
      </c>
      <c r="J4928" s="97" t="s">
        <v>4043</v>
      </c>
      <c r="K4928" s="29">
        <v>15.08</v>
      </c>
      <c r="L4928" s="29">
        <v>-1.51</v>
      </c>
      <c r="M4928" s="30">
        <f>IFERROR(VLOOKUP($A4928,HeadJournal!$A$1:$J$890,COLUMN(HeadJournal!I$1),0)*($K4928+$L4928)/(SUMIF($A:$A,$A4928,$K:$K)+SUMIF($A:$A,$A4928,$L:$L)),0)</f>
        <v>-0.75529666887536906</v>
      </c>
      <c r="N4928" s="30">
        <f>IFERROR((VLOOKUP($A4928,HeadJournal!$A$1:$K$890,COLUMN(HeadJournal!K$1),0)-VLOOKUP($A4928,HeadJournal!$A$1:$K$890,COLUMN(HeadJournal!J$1),0))*($K4928+$L4928)/(SUMIF($A:$A,$A4928,$K:$K)+SUMIF($A:$A,$A4928,$L:$L)),0)</f>
        <v>2.3232491836069057E-15</v>
      </c>
      <c r="O4928" s="30">
        <f>IFERROR((VLOOKUP($A4928,HeadJournal!$A$1:$L$890,COLUMN(HeadJournal!L$1),0)*($K4928+$L4928)/(SUMIF($A:$A,$A4928,$K:$K)+SUMIF($A:$A,$A4928,$L:$L)))/VLOOKUP($A4928,HeadJournal!$A$1:$L$890,COLUMN(HeadJournal!H$1),0),0)</f>
        <v>0.48983025668229863</v>
      </c>
      <c r="P4928" s="30">
        <f>IFERROR(SUM(K4928:O4928)*VLOOKUP($A4928,HeadJournal!$A$1:$L$890,COLUMN(HeadJournal!H$1),0),0)</f>
        <v>1198.9288319980724</v>
      </c>
      <c r="Q4928" s="29">
        <v>1900</v>
      </c>
      <c r="R4928" s="31">
        <v>45898</v>
      </c>
      <c r="S4928" s="31" t="s">
        <v>3235</v>
      </c>
      <c r="T4928" s="95" t="str">
        <f t="shared" si="368"/>
        <v>2025 08</v>
      </c>
      <c r="U4928" s="32">
        <f t="shared" si="354"/>
        <v>701.07116800192762</v>
      </c>
      <c r="V4928" s="22">
        <f t="shared" si="355"/>
        <v>0.58474794273948594</v>
      </c>
      <c r="X4928" s="33"/>
      <c r="Y4928" s="33"/>
    </row>
    <row r="4929" spans="1:25" x14ac:dyDescent="0.2">
      <c r="A4929" s="93" t="s">
        <v>4080</v>
      </c>
      <c r="B4929" s="94" t="str">
        <f>IFERROR(VLOOKUP($A4929,HeadJournal!$A$1:$NTR$890,COLUMN(HeadJournal!B$1),0),"")</f>
        <v>720000750935</v>
      </c>
      <c r="C4929" s="94" t="str">
        <f>IFERROR(VLOOKUP($A4929,HeadJournal!$A$1:$NTR$890,COLUMN(HeadJournal!C$1),0),"")</f>
        <v>iHerb_OA CZN6870</v>
      </c>
      <c r="D4929" s="125" t="str">
        <f>IFERROR(VLOOKUP($A4929,HeadJournal!$A$1:$NTR$890,COLUMN(HeadJournal!D$1),0),"")</f>
        <v>Доставлен</v>
      </c>
      <c r="E4929" s="95">
        <f>IFERROR(VLOOKUP($A4929,HeadJournal!$A$1:$NTR$890,COLUMN(HeadJournal!G$1),0),"")</f>
        <v>45874</v>
      </c>
      <c r="F4929" s="95" t="str">
        <f t="shared" si="367"/>
        <v>2025 08</v>
      </c>
      <c r="G4929" s="97" t="s">
        <v>5</v>
      </c>
      <c r="H4929" s="161" t="s">
        <v>2853</v>
      </c>
      <c r="I4929" s="97" t="s">
        <v>2159</v>
      </c>
      <c r="J4929" s="97" t="s">
        <v>2854</v>
      </c>
      <c r="K4929" s="29">
        <v>57.71</v>
      </c>
      <c r="L4929" s="29">
        <v>-5.77</v>
      </c>
      <c r="M4929" s="30">
        <f>IFERROR(VLOOKUP($A4929,HeadJournal!$A$1:$J$890,COLUMN(HeadJournal!I$1),0)*($K4929+$L4929)/(SUMIF($A:$A,$A4929,$K:$K)+SUMIF($A:$A,$A4929,$L:$L)),0)</f>
        <v>-2.8909439190410215</v>
      </c>
      <c r="N4929" s="30">
        <f>IFERROR((VLOOKUP($A4929,HeadJournal!$A$1:$K$890,COLUMN(HeadJournal!K$1),0)-VLOOKUP($A4929,HeadJournal!$A$1:$K$890,COLUMN(HeadJournal!J$1),0))*($K4929+$L4929)/(SUMIF($A:$A,$A4929,$K:$K)+SUMIF($A:$A,$A4929,$L:$L)),0)</f>
        <v>8.8923774942183248E-15</v>
      </c>
      <c r="O4929" s="30">
        <f>IFERROR((VLOOKUP($A4929,HeadJournal!$A$1:$L$890,COLUMN(HeadJournal!L$1),0)*($K4929+$L4929)/(SUMIF($A:$A,$A4929,$K:$K)+SUMIF($A:$A,$A4929,$L:$L)))/VLOOKUP($A4929,HeadJournal!$A$1:$L$890,COLUMN(HeadJournal!H$1),0),0)</f>
        <v>1.8748550871096969</v>
      </c>
      <c r="P4929" s="30">
        <f>IFERROR(SUM(K4929:O4929)*VLOOKUP($A4929,HeadJournal!$A$1:$L$890,COLUMN(HeadJournal!H$1),0),0)</f>
        <v>4588.9729943979273</v>
      </c>
      <c r="Q4929" s="29">
        <v>6300</v>
      </c>
      <c r="R4929" s="31">
        <v>45898</v>
      </c>
      <c r="S4929" s="31" t="s">
        <v>3235</v>
      </c>
      <c r="T4929" s="95" t="str">
        <f t="shared" si="368"/>
        <v>2025 08</v>
      </c>
      <c r="U4929" s="32">
        <f t="shared" si="354"/>
        <v>1711.0270056020727</v>
      </c>
      <c r="V4929" s="22">
        <f t="shared" si="355"/>
        <v>0.37285619411812626</v>
      </c>
      <c r="X4929" s="33"/>
      <c r="Y4929" s="33"/>
    </row>
    <row r="4930" spans="1:25" x14ac:dyDescent="0.2">
      <c r="A4930" s="93" t="s">
        <v>4080</v>
      </c>
      <c r="B4930" s="94" t="str">
        <f>IFERROR(VLOOKUP($A4930,HeadJournal!$A$1:$NTR$890,COLUMN(HeadJournal!B$1),0),"")</f>
        <v>720000750935</v>
      </c>
      <c r="C4930" s="94" t="str">
        <f>IFERROR(VLOOKUP($A4930,HeadJournal!$A$1:$NTR$890,COLUMN(HeadJournal!C$1),0),"")</f>
        <v>iHerb_OA CZN6870</v>
      </c>
      <c r="D4930" s="125" t="str">
        <f>IFERROR(VLOOKUP($A4930,HeadJournal!$A$1:$NTR$890,COLUMN(HeadJournal!D$1),0),"")</f>
        <v>Доставлен</v>
      </c>
      <c r="E4930" s="95">
        <f>IFERROR(VLOOKUP($A4930,HeadJournal!$A$1:$NTR$890,COLUMN(HeadJournal!G$1),0),"")</f>
        <v>45874</v>
      </c>
      <c r="F4930" s="95" t="str">
        <f t="shared" si="367"/>
        <v>2025 08</v>
      </c>
      <c r="G4930" s="97" t="s">
        <v>5</v>
      </c>
      <c r="H4930" s="161" t="s">
        <v>3794</v>
      </c>
      <c r="I4930" s="97" t="s">
        <v>2009</v>
      </c>
      <c r="J4930" s="97" t="s">
        <v>3795</v>
      </c>
      <c r="K4930" s="29">
        <v>13.05</v>
      </c>
      <c r="L4930" s="29">
        <v>-1.3049999999999999</v>
      </c>
      <c r="M4930" s="30">
        <f>IFERROR(VLOOKUP($A4930,HeadJournal!$A$1:$J$890,COLUMN(HeadJournal!I$1),0)*($K4930+$L4930)/(SUMIF($A:$A,$A4930,$K:$K)+SUMIF($A:$A,$A4930,$L:$L)),0)</f>
        <v>-0.6537184506957413</v>
      </c>
      <c r="N4930" s="30">
        <f>IFERROR((VLOOKUP($A4930,HeadJournal!$A$1:$K$890,COLUMN(HeadJournal!K$1),0)-VLOOKUP($A4930,HeadJournal!$A$1:$K$890,COLUMN(HeadJournal!J$1),0))*($K4930+$L4930)/(SUMIF($A:$A,$A4930,$K:$K)+SUMIF($A:$A,$A4930,$L:$L)),0)</f>
        <v>2.010800417204356E-15</v>
      </c>
      <c r="O4930" s="30">
        <f>IFERROR((VLOOKUP($A4930,HeadJournal!$A$1:$L$890,COLUMN(HeadJournal!L$1),0)*($K4930+$L4930)/(SUMIF($A:$A,$A4930,$K:$K)+SUMIF($A:$A,$A4930,$L:$L)))/VLOOKUP($A4930,HeadJournal!$A$1:$L$890,COLUMN(HeadJournal!H$1),0),0)</f>
        <v>0.42395404309016926</v>
      </c>
      <c r="P4930" s="30">
        <f>IFERROR(SUM(K4930:O4930)*VLOOKUP($A4930,HeadJournal!$A$1:$L$890,COLUMN(HeadJournal!H$1),0),0)</f>
        <v>1037.687482079393</v>
      </c>
      <c r="Q4930" s="29">
        <v>2000</v>
      </c>
      <c r="R4930" s="31">
        <v>45898</v>
      </c>
      <c r="S4930" s="31" t="s">
        <v>3235</v>
      </c>
      <c r="T4930" s="95" t="str">
        <f t="shared" si="368"/>
        <v>2025 08</v>
      </c>
      <c r="U4930" s="32">
        <f t="shared" si="354"/>
        <v>962.31251792060698</v>
      </c>
      <c r="V4930" s="22">
        <f t="shared" si="355"/>
        <v>0.92736255812998314</v>
      </c>
      <c r="X4930" s="33"/>
      <c r="Y4930" s="33"/>
    </row>
    <row r="4931" spans="1:25" x14ac:dyDescent="0.2">
      <c r="A4931" s="93" t="s">
        <v>4080</v>
      </c>
      <c r="B4931" s="94" t="str">
        <f>IFERROR(VLOOKUP($A4931,HeadJournal!$A$1:$NTR$890,COLUMN(HeadJournal!B$1),0),"")</f>
        <v>720000750935</v>
      </c>
      <c r="C4931" s="94" t="str">
        <f>IFERROR(VLOOKUP($A4931,HeadJournal!$A$1:$NTR$890,COLUMN(HeadJournal!C$1),0),"")</f>
        <v>iHerb_OA CZN6870</v>
      </c>
      <c r="D4931" s="125" t="str">
        <f>IFERROR(VLOOKUP($A4931,HeadJournal!$A$1:$NTR$890,COLUMN(HeadJournal!D$1),0),"")</f>
        <v>Доставлен</v>
      </c>
      <c r="E4931" s="95">
        <f>IFERROR(VLOOKUP($A4931,HeadJournal!$A$1:$NTR$890,COLUMN(HeadJournal!G$1),0),"")</f>
        <v>45874</v>
      </c>
      <c r="F4931" s="95" t="str">
        <f t="shared" si="367"/>
        <v>2025 08</v>
      </c>
      <c r="G4931" s="97" t="s">
        <v>5</v>
      </c>
      <c r="H4931" s="161" t="s">
        <v>3794</v>
      </c>
      <c r="I4931" s="97" t="s">
        <v>2009</v>
      </c>
      <c r="J4931" s="97" t="s">
        <v>3795</v>
      </c>
      <c r="K4931" s="29">
        <v>13.05</v>
      </c>
      <c r="L4931" s="29">
        <v>-1.3049999999999999</v>
      </c>
      <c r="M4931" s="30">
        <f>IFERROR(VLOOKUP($A4931,HeadJournal!$A$1:$J$890,COLUMN(HeadJournal!I$1),0)*($K4931+$L4931)/(SUMIF($A:$A,$A4931,$K:$K)+SUMIF($A:$A,$A4931,$L:$L)),0)</f>
        <v>-0.6537184506957413</v>
      </c>
      <c r="N4931" s="30">
        <f>IFERROR((VLOOKUP($A4931,HeadJournal!$A$1:$K$890,COLUMN(HeadJournal!K$1),0)-VLOOKUP($A4931,HeadJournal!$A$1:$K$890,COLUMN(HeadJournal!J$1),0))*($K4931+$L4931)/(SUMIF($A:$A,$A4931,$K:$K)+SUMIF($A:$A,$A4931,$L:$L)),0)</f>
        <v>2.010800417204356E-15</v>
      </c>
      <c r="O4931" s="30">
        <f>IFERROR((VLOOKUP($A4931,HeadJournal!$A$1:$L$890,COLUMN(HeadJournal!L$1),0)*($K4931+$L4931)/(SUMIF($A:$A,$A4931,$K:$K)+SUMIF($A:$A,$A4931,$L:$L)))/VLOOKUP($A4931,HeadJournal!$A$1:$L$890,COLUMN(HeadJournal!H$1),0),0)</f>
        <v>0.42395404309016926</v>
      </c>
      <c r="P4931" s="30">
        <f>IFERROR(SUM(K4931:O4931)*VLOOKUP($A4931,HeadJournal!$A$1:$L$890,COLUMN(HeadJournal!H$1),0),0)</f>
        <v>1037.687482079393</v>
      </c>
      <c r="Q4931" s="29">
        <v>2000</v>
      </c>
      <c r="R4931" s="31">
        <v>45898</v>
      </c>
      <c r="S4931" s="31" t="s">
        <v>3235</v>
      </c>
      <c r="T4931" s="95" t="str">
        <f t="shared" si="368"/>
        <v>2025 08</v>
      </c>
      <c r="U4931" s="32">
        <f t="shared" si="354"/>
        <v>962.31251792060698</v>
      </c>
      <c r="V4931" s="22">
        <f t="shared" si="355"/>
        <v>0.92736255812998314</v>
      </c>
      <c r="X4931" s="33"/>
      <c r="Y4931" s="33"/>
    </row>
    <row r="4932" spans="1:25" x14ac:dyDescent="0.2">
      <c r="A4932" s="93" t="s">
        <v>4080</v>
      </c>
      <c r="B4932" s="94" t="str">
        <f>IFERROR(VLOOKUP($A4932,HeadJournal!$A$1:$NTR$890,COLUMN(HeadJournal!B$1),0),"")</f>
        <v>720000750935</v>
      </c>
      <c r="C4932" s="94" t="str">
        <f>IFERROR(VLOOKUP($A4932,HeadJournal!$A$1:$NTR$890,COLUMN(HeadJournal!C$1),0),"")</f>
        <v>iHerb_OA CZN6870</v>
      </c>
      <c r="D4932" s="125" t="str">
        <f>IFERROR(VLOOKUP($A4932,HeadJournal!$A$1:$NTR$890,COLUMN(HeadJournal!D$1),0),"")</f>
        <v>Доставлен</v>
      </c>
      <c r="E4932" s="95">
        <f>IFERROR(VLOOKUP($A4932,HeadJournal!$A$1:$NTR$890,COLUMN(HeadJournal!G$1),0),"")</f>
        <v>45874</v>
      </c>
      <c r="F4932" s="95" t="str">
        <f t="shared" ref="F4932:F4995" si="371">IFERROR(TEXT(E4932, "ГГГГ ММ"),"")</f>
        <v>2025 08</v>
      </c>
      <c r="G4932" s="97" t="s">
        <v>5</v>
      </c>
      <c r="H4932" s="161" t="s">
        <v>3796</v>
      </c>
      <c r="I4932" s="97" t="s">
        <v>2009</v>
      </c>
      <c r="J4932" s="97" t="s">
        <v>3797</v>
      </c>
      <c r="K4932" s="29">
        <v>24.16</v>
      </c>
      <c r="L4932" s="29">
        <v>-2.415</v>
      </c>
      <c r="M4932" s="30">
        <f>IFERROR(VLOOKUP($A4932,HeadJournal!$A$1:$J$890,COLUMN(HeadJournal!I$1),0)*($K4932+$L4932)/(SUMIF($A:$A,$A4932,$K:$K)+SUMIF($A:$A,$A4932,$L:$L)),0)</f>
        <v>-1.2103114270224686</v>
      </c>
      <c r="N4932" s="30">
        <f>IFERROR((VLOOKUP($A4932,HeadJournal!$A$1:$K$890,COLUMN(HeadJournal!K$1),0)-VLOOKUP($A4932,HeadJournal!$A$1:$K$890,COLUMN(HeadJournal!J$1),0))*($K4932+$L4932)/(SUMIF($A:$A,$A4932,$K:$K)+SUMIF($A:$A,$A4932,$L:$L)),0)</f>
        <v>3.7228484522868214E-15</v>
      </c>
      <c r="O4932" s="30">
        <f>IFERROR((VLOOKUP($A4932,HeadJournal!$A$1:$L$890,COLUMN(HeadJournal!L$1),0)*($K4932+$L4932)/(SUMIF($A:$A,$A4932,$K:$K)+SUMIF($A:$A,$A4932,$L:$L)))/VLOOKUP($A4932,HeadJournal!$A$1:$L$890,COLUMN(HeadJournal!H$1),0),0)</f>
        <v>0.78491959701964509</v>
      </c>
      <c r="P4932" s="30">
        <f>IFERROR(SUM(K4932:O4932)*VLOOKUP($A4932,HeadJournal!$A$1:$L$890,COLUMN(HeadJournal!H$1),0),0)</f>
        <v>1921.2017282091442</v>
      </c>
      <c r="Q4932" s="29">
        <v>2900</v>
      </c>
      <c r="R4932" s="31">
        <v>45898</v>
      </c>
      <c r="S4932" s="31" t="s">
        <v>3235</v>
      </c>
      <c r="T4932" s="95" t="str">
        <f t="shared" ref="T4932:T4995" si="372">IF(R4932="","",TEXT(R4932,"ГГГГ ММ"))</f>
        <v>2025 08</v>
      </c>
      <c r="U4932" s="32">
        <f t="shared" si="354"/>
        <v>978.79827179085578</v>
      </c>
      <c r="V4932" s="22">
        <f t="shared" si="355"/>
        <v>0.50947188804751209</v>
      </c>
      <c r="X4932" s="33"/>
      <c r="Y4932" s="33"/>
    </row>
    <row r="4933" spans="1:25" x14ac:dyDescent="0.2">
      <c r="A4933" s="93" t="s">
        <v>4080</v>
      </c>
      <c r="B4933" s="94" t="str">
        <f>IFERROR(VLOOKUP($A4933,HeadJournal!$A$1:$NTR$890,COLUMN(HeadJournal!B$1),0),"")</f>
        <v>720000750935</v>
      </c>
      <c r="C4933" s="94" t="str">
        <f>IFERROR(VLOOKUP($A4933,HeadJournal!$A$1:$NTR$890,COLUMN(HeadJournal!C$1),0),"")</f>
        <v>iHerb_OA CZN6870</v>
      </c>
      <c r="D4933" s="125" t="str">
        <f>IFERROR(VLOOKUP($A4933,HeadJournal!$A$1:$NTR$890,COLUMN(HeadJournal!D$1),0),"")</f>
        <v>Доставлен</v>
      </c>
      <c r="E4933" s="95">
        <f>IFERROR(VLOOKUP($A4933,HeadJournal!$A$1:$NTR$890,COLUMN(HeadJournal!G$1),0),"")</f>
        <v>45874</v>
      </c>
      <c r="F4933" s="95" t="str">
        <f t="shared" si="371"/>
        <v>2025 08</v>
      </c>
      <c r="G4933" s="97" t="s">
        <v>5</v>
      </c>
      <c r="H4933" s="161" t="s">
        <v>3796</v>
      </c>
      <c r="I4933" s="97" t="s">
        <v>2009</v>
      </c>
      <c r="J4933" s="97" t="s">
        <v>3797</v>
      </c>
      <c r="K4933" s="29">
        <v>24.16</v>
      </c>
      <c r="L4933" s="29">
        <v>-2.415</v>
      </c>
      <c r="M4933" s="30">
        <f>IFERROR(VLOOKUP($A4933,HeadJournal!$A$1:$J$890,COLUMN(HeadJournal!I$1),0)*($K4933+$L4933)/(SUMIF($A:$A,$A4933,$K:$K)+SUMIF($A:$A,$A4933,$L:$L)),0)</f>
        <v>-1.2103114270224686</v>
      </c>
      <c r="N4933" s="30">
        <f>IFERROR((VLOOKUP($A4933,HeadJournal!$A$1:$K$890,COLUMN(HeadJournal!K$1),0)-VLOOKUP($A4933,HeadJournal!$A$1:$K$890,COLUMN(HeadJournal!J$1),0))*($K4933+$L4933)/(SUMIF($A:$A,$A4933,$K:$K)+SUMIF($A:$A,$A4933,$L:$L)),0)</f>
        <v>3.7228484522868214E-15</v>
      </c>
      <c r="O4933" s="30">
        <f>IFERROR((VLOOKUP($A4933,HeadJournal!$A$1:$L$890,COLUMN(HeadJournal!L$1),0)*($K4933+$L4933)/(SUMIF($A:$A,$A4933,$K:$K)+SUMIF($A:$A,$A4933,$L:$L)))/VLOOKUP($A4933,HeadJournal!$A$1:$L$890,COLUMN(HeadJournal!H$1),0),0)</f>
        <v>0.78491959701964509</v>
      </c>
      <c r="P4933" s="30">
        <f>IFERROR(SUM(K4933:O4933)*VLOOKUP($A4933,HeadJournal!$A$1:$L$890,COLUMN(HeadJournal!H$1),0),0)</f>
        <v>1921.2017282091442</v>
      </c>
      <c r="Q4933" s="29">
        <v>2900</v>
      </c>
      <c r="R4933" s="31">
        <v>45898</v>
      </c>
      <c r="S4933" s="31" t="s">
        <v>3235</v>
      </c>
      <c r="T4933" s="95" t="str">
        <f t="shared" si="372"/>
        <v>2025 08</v>
      </c>
      <c r="U4933" s="32">
        <f t="shared" si="354"/>
        <v>978.79827179085578</v>
      </c>
      <c r="V4933" s="22">
        <f t="shared" si="355"/>
        <v>0.50947188804751209</v>
      </c>
      <c r="X4933" s="33"/>
      <c r="Y4933" s="33"/>
    </row>
    <row r="4934" spans="1:25" x14ac:dyDescent="0.2">
      <c r="A4934" s="93" t="s">
        <v>4080</v>
      </c>
      <c r="B4934" s="94" t="str">
        <f>IFERROR(VLOOKUP($A4934,HeadJournal!$A$1:$NTR$890,COLUMN(HeadJournal!B$1),0),"")</f>
        <v>720000750935</v>
      </c>
      <c r="C4934" s="94" t="str">
        <f>IFERROR(VLOOKUP($A4934,HeadJournal!$A$1:$NTR$890,COLUMN(HeadJournal!C$1),0),"")</f>
        <v>iHerb_OA CZN6870</v>
      </c>
      <c r="D4934" s="125" t="str">
        <f>IFERROR(VLOOKUP($A4934,HeadJournal!$A$1:$NTR$890,COLUMN(HeadJournal!D$1),0),"")</f>
        <v>Доставлен</v>
      </c>
      <c r="E4934" s="95">
        <f>IFERROR(VLOOKUP($A4934,HeadJournal!$A$1:$NTR$890,COLUMN(HeadJournal!G$1),0),"")</f>
        <v>45874</v>
      </c>
      <c r="F4934" s="95" t="str">
        <f t="shared" si="371"/>
        <v>2025 08</v>
      </c>
      <c r="G4934" s="97" t="s">
        <v>5</v>
      </c>
      <c r="H4934" s="161" t="s">
        <v>2546</v>
      </c>
      <c r="I4934" s="97" t="s">
        <v>2039</v>
      </c>
      <c r="J4934" s="97" t="s">
        <v>2547</v>
      </c>
      <c r="K4934" s="29">
        <v>10.36</v>
      </c>
      <c r="L4934" s="29">
        <v>-1.04</v>
      </c>
      <c r="M4934" s="30">
        <f>IFERROR(VLOOKUP($A4934,HeadJournal!$A$1:$J$890,COLUMN(HeadJournal!I$1),0)*($K4934+$L4934)/(SUMIF($A:$A,$A4934,$K:$K)+SUMIF($A:$A,$A4934,$L:$L)),0)</f>
        <v>-0.51874465393650981</v>
      </c>
      <c r="N4934" s="30">
        <f>IFERROR((VLOOKUP($A4934,HeadJournal!$A$1:$K$890,COLUMN(HeadJournal!K$1),0)-VLOOKUP($A4934,HeadJournal!$A$1:$K$890,COLUMN(HeadJournal!J$1),0))*($K4934+$L4934)/(SUMIF($A:$A,$A4934,$K:$K)+SUMIF($A:$A,$A4934,$L:$L)),0)</f>
        <v>1.5956287686968579E-15</v>
      </c>
      <c r="O4934" s="30">
        <f>IFERROR((VLOOKUP($A4934,HeadJournal!$A$1:$L$890,COLUMN(HeadJournal!L$1),0)*($K4934+$L4934)/(SUMIF($A:$A,$A4934,$K:$K)+SUMIF($A:$A,$A4934,$L:$L)))/VLOOKUP($A4934,HeadJournal!$A$1:$L$890,COLUMN(HeadJournal!H$1),0),0)</f>
        <v>0.33641989626227137</v>
      </c>
      <c r="P4934" s="30">
        <f>IFERROR(SUM(K4934:O4934)*VLOOKUP($A4934,HeadJournal!$A$1:$L$890,COLUMN(HeadJournal!H$1),0),0)</f>
        <v>823.43527739292813</v>
      </c>
      <c r="Q4934" s="29">
        <v>1600</v>
      </c>
      <c r="R4934" s="31">
        <v>45898</v>
      </c>
      <c r="S4934" s="31" t="s">
        <v>3206</v>
      </c>
      <c r="T4934" s="95" t="str">
        <f t="shared" si="372"/>
        <v>2025 08</v>
      </c>
      <c r="U4934" s="32">
        <f t="shared" si="354"/>
        <v>776.56472260707187</v>
      </c>
      <c r="V4934" s="22">
        <f t="shared" si="355"/>
        <v>0.94307924851816805</v>
      </c>
      <c r="X4934" s="33"/>
      <c r="Y4934" s="33"/>
    </row>
    <row r="4935" spans="1:25" x14ac:dyDescent="0.2">
      <c r="A4935" s="93" t="s">
        <v>4080</v>
      </c>
      <c r="B4935" s="94" t="str">
        <f>IFERROR(VLOOKUP($A4935,HeadJournal!$A$1:$NTR$890,COLUMN(HeadJournal!B$1),0),"")</f>
        <v>720000750935</v>
      </c>
      <c r="C4935" s="94" t="str">
        <f>IFERROR(VLOOKUP($A4935,HeadJournal!$A$1:$NTR$890,COLUMN(HeadJournal!C$1),0),"")</f>
        <v>iHerb_OA CZN6870</v>
      </c>
      <c r="D4935" s="125" t="str">
        <f>IFERROR(VLOOKUP($A4935,HeadJournal!$A$1:$NTR$890,COLUMN(HeadJournal!D$1),0),"")</f>
        <v>Доставлен</v>
      </c>
      <c r="E4935" s="95">
        <f>IFERROR(VLOOKUP($A4935,HeadJournal!$A$1:$NTR$890,COLUMN(HeadJournal!G$1),0),"")</f>
        <v>45874</v>
      </c>
      <c r="F4935" s="95" t="str">
        <f t="shared" si="371"/>
        <v>2025 08</v>
      </c>
      <c r="G4935" s="97" t="s">
        <v>5</v>
      </c>
      <c r="H4935" s="161" t="s">
        <v>2614</v>
      </c>
      <c r="I4935" s="97" t="s">
        <v>2005</v>
      </c>
      <c r="J4935" s="97" t="s">
        <v>2641</v>
      </c>
      <c r="K4935" s="29">
        <v>5.57</v>
      </c>
      <c r="L4935" s="29">
        <v>-0.56000000000000005</v>
      </c>
      <c r="M4935" s="30">
        <f>IFERROR(VLOOKUP($A4935,HeadJournal!$A$1:$J$890,COLUMN(HeadJournal!I$1),0)*($K4935+$L4935)/(SUMIF($A:$A,$A4935,$K:$K)+SUMIF($A:$A,$A4935,$L:$L)),0)</f>
        <v>-0.27885308113969037</v>
      </c>
      <c r="N4935" s="30">
        <f>IFERROR((VLOOKUP($A4935,HeadJournal!$A$1:$K$890,COLUMN(HeadJournal!K$1),0)-VLOOKUP($A4935,HeadJournal!$A$1:$K$890,COLUMN(HeadJournal!J$1),0))*($K4935+$L4935)/(SUMIF($A:$A,$A4935,$K:$K)+SUMIF($A:$A,$A4935,$L:$L)),0)</f>
        <v>8.5773606557631518E-16</v>
      </c>
      <c r="O4935" s="30">
        <f>IFERROR((VLOOKUP($A4935,HeadJournal!$A$1:$L$890,COLUMN(HeadJournal!L$1),0)*($K4935+$L4935)/(SUMIF($A:$A,$A4935,$K:$K)+SUMIF($A:$A,$A4935,$L:$L)))/VLOOKUP($A4935,HeadJournal!$A$1:$L$890,COLUMN(HeadJournal!H$1),0),0)</f>
        <v>0.18084374251866736</v>
      </c>
      <c r="P4935" s="30">
        <f>IFERROR(SUM(K4935:O4935)*VLOOKUP($A4935,HeadJournal!$A$1:$L$890,COLUMN(HeadJournal!H$1),0),0)</f>
        <v>442.64063731100538</v>
      </c>
      <c r="Q4935" s="29">
        <v>1000</v>
      </c>
      <c r="R4935" s="31">
        <v>45967</v>
      </c>
      <c r="S4935" s="31" t="s">
        <v>3384</v>
      </c>
      <c r="T4935" s="95" t="str">
        <f t="shared" si="372"/>
        <v>2025 11</v>
      </c>
      <c r="U4935" s="32">
        <f t="shared" si="354"/>
        <v>557.35936268899468</v>
      </c>
      <c r="V4935" s="22">
        <f t="shared" si="355"/>
        <v>1.2591689865505646</v>
      </c>
      <c r="X4935" s="33"/>
      <c r="Y4935" s="33"/>
    </row>
    <row r="4936" spans="1:25" x14ac:dyDescent="0.2">
      <c r="A4936" s="93" t="s">
        <v>4080</v>
      </c>
      <c r="B4936" s="94" t="str">
        <f>IFERROR(VLOOKUP($A4936,HeadJournal!$A$1:$NTR$890,COLUMN(HeadJournal!B$1),0),"")</f>
        <v>720000750935</v>
      </c>
      <c r="C4936" s="94" t="str">
        <f>IFERROR(VLOOKUP($A4936,HeadJournal!$A$1:$NTR$890,COLUMN(HeadJournal!C$1),0),"")</f>
        <v>iHerb_OA CZN6870</v>
      </c>
      <c r="D4936" s="125" t="str">
        <f>IFERROR(VLOOKUP($A4936,HeadJournal!$A$1:$NTR$890,COLUMN(HeadJournal!D$1),0),"")</f>
        <v>Доставлен</v>
      </c>
      <c r="E4936" s="95">
        <f>IFERROR(VLOOKUP($A4936,HeadJournal!$A$1:$NTR$890,COLUMN(HeadJournal!G$1),0),"")</f>
        <v>45874</v>
      </c>
      <c r="F4936" s="95" t="str">
        <f t="shared" si="371"/>
        <v>2025 08</v>
      </c>
      <c r="G4936" s="97" t="s">
        <v>5</v>
      </c>
      <c r="H4936" s="161" t="s">
        <v>4078</v>
      </c>
      <c r="I4936" s="97" t="s">
        <v>2052</v>
      </c>
      <c r="J4936" s="97" t="s">
        <v>4079</v>
      </c>
      <c r="K4936" s="29">
        <v>27.42</v>
      </c>
      <c r="L4936" s="29">
        <v>-8.23</v>
      </c>
      <c r="M4936" s="30">
        <f>IFERROR(VLOOKUP($A4936,HeadJournal!$A$1:$J$890,COLUMN(HeadJournal!I$1),0)*($K4936+$L4936)/(SUMIF($A:$A,$A4936,$K:$K)+SUMIF($A:$A,$A4936,$L:$L)),0)</f>
        <v>-1.0681019215709899</v>
      </c>
      <c r="N4936" s="30">
        <f>IFERROR((VLOOKUP($A4936,HeadJournal!$A$1:$K$890,COLUMN(HeadJournal!K$1),0)-VLOOKUP($A4936,HeadJournal!$A$1:$K$890,COLUMN(HeadJournal!J$1),0))*($K4936+$L4936)/(SUMIF($A:$A,$A4936,$K:$K)+SUMIF($A:$A,$A4936,$L:$L)),0)</f>
        <v>3.2854201793232512E-15</v>
      </c>
      <c r="O4936" s="30">
        <f>IFERROR((VLOOKUP($A4936,HeadJournal!$A$1:$L$890,COLUMN(HeadJournal!L$1),0)*($K4936+$L4936)/(SUMIF($A:$A,$A4936,$K:$K)+SUMIF($A:$A,$A4936,$L:$L)))/VLOOKUP($A4936,HeadJournal!$A$1:$L$890,COLUMN(HeadJournal!H$1),0),0)</f>
        <v>0.69269289799066402</v>
      </c>
      <c r="P4936" s="30">
        <f>IFERROR(SUM(K4936:O4936)*VLOOKUP($A4936,HeadJournal!$A$1:$L$890,COLUMN(HeadJournal!H$1),0),0)</f>
        <v>1695.4638383229928</v>
      </c>
      <c r="Q4936" s="29">
        <v>4000</v>
      </c>
      <c r="R4936" s="31">
        <v>45944</v>
      </c>
      <c r="S4936" s="31" t="s">
        <v>3231</v>
      </c>
      <c r="T4936" s="95" t="str">
        <f t="shared" si="372"/>
        <v>2025 10</v>
      </c>
      <c r="U4936" s="32">
        <f t="shared" si="354"/>
        <v>2304.5361616770069</v>
      </c>
      <c r="V4936" s="22">
        <f t="shared" si="355"/>
        <v>1.3592363986697917</v>
      </c>
      <c r="X4936" s="33"/>
      <c r="Y4936" s="33"/>
    </row>
    <row r="4937" spans="1:25" x14ac:dyDescent="0.2">
      <c r="A4937" s="93" t="s">
        <v>4100</v>
      </c>
      <c r="B4937" s="94" t="str">
        <f>IFERROR(VLOOKUP($A4937,HeadJournal!$A$1:$NTR$890,COLUMN(HeadJournal!B$1),0),"")</f>
        <v>720000754823</v>
      </c>
      <c r="C4937" s="94" t="str">
        <f>IFERROR(VLOOKUP($A4937,HeadJournal!$A$1:$NTR$890,COLUMN(HeadJournal!C$1),0),"")</f>
        <v>iHerb_AV CYG0792</v>
      </c>
      <c r="D4937" s="125" t="str">
        <f>IFERROR(VLOOKUP($A4937,HeadJournal!$A$1:$NTR$890,COLUMN(HeadJournal!D$1),0),"")</f>
        <v>Доставлен</v>
      </c>
      <c r="E4937" s="95">
        <f>IFERROR(VLOOKUP($A4937,HeadJournal!$A$1:$NTR$890,COLUMN(HeadJournal!G$1),0),"")</f>
        <v>45879</v>
      </c>
      <c r="F4937" s="95" t="str">
        <f t="shared" si="371"/>
        <v>2025 08</v>
      </c>
      <c r="G4937" s="97" t="s">
        <v>5</v>
      </c>
      <c r="H4937" s="161" t="s">
        <v>3794</v>
      </c>
      <c r="I4937" s="97" t="s">
        <v>2009</v>
      </c>
      <c r="J4937" s="97" t="s">
        <v>3795</v>
      </c>
      <c r="K4937" s="29">
        <v>13.05</v>
      </c>
      <c r="L4937" s="29">
        <v>-1.31</v>
      </c>
      <c r="M4937" s="30">
        <f>IFERROR(VLOOKUP($A4937,HeadJournal!$A$1:$J$890,COLUMN(HeadJournal!I$1),0)*($K4937+$L4937)/(SUMIF($A:$A,$A4937,$K:$K)+SUMIF($A:$A,$A4937,$L:$L)),0)</f>
        <v>-2.3969716797873426</v>
      </c>
      <c r="N4937" s="30">
        <f>IFERROR((VLOOKUP($A4937,HeadJournal!$A$1:$K$890,COLUMN(HeadJournal!K$1),0)-VLOOKUP($A4937,HeadJournal!$A$1:$K$890,COLUMN(HeadJournal!J$1),0))*($K4937+$L4937)/(SUMIF($A:$A,$A4937,$K:$K)+SUMIF($A:$A,$A4937,$L:$L)),0)</f>
        <v>0</v>
      </c>
      <c r="O4937" s="30">
        <f>IFERROR((VLOOKUP($A4937,HeadJournal!$A$1:$L$890,COLUMN(HeadJournal!L$1),0)*($K4937+$L4937)/(SUMIF($A:$A,$A4937,$K:$K)+SUMIF($A:$A,$A4937,$L:$L)))/VLOOKUP($A4937,HeadJournal!$A$1:$L$890,COLUMN(HeadJournal!H$1),0),0)</f>
        <v>0.30360340335055241</v>
      </c>
      <c r="P4937" s="30">
        <f>IFERROR(SUM(K4937:O4937)*VLOOKUP($A4937,HeadJournal!$A$1:$L$890,COLUMN(HeadJournal!H$1),0),0)</f>
        <v>884.79342398527751</v>
      </c>
      <c r="Q4937" s="29">
        <v>2000</v>
      </c>
      <c r="R4937" s="31">
        <v>45907</v>
      </c>
      <c r="S4937" s="31"/>
      <c r="T4937" s="95" t="str">
        <f t="shared" si="372"/>
        <v>2025 09</v>
      </c>
      <c r="U4937" s="32">
        <f t="shared" si="354"/>
        <v>1115.2065760147225</v>
      </c>
      <c r="V4937" s="22">
        <f t="shared" si="355"/>
        <v>1.2604146298823293</v>
      </c>
      <c r="X4937" s="33"/>
      <c r="Y4937" s="33"/>
    </row>
    <row r="4938" spans="1:25" x14ac:dyDescent="0.2">
      <c r="A4938" s="93" t="s">
        <v>4100</v>
      </c>
      <c r="B4938" s="94" t="str">
        <f>IFERROR(VLOOKUP($A4938,HeadJournal!$A$1:$NTR$890,COLUMN(HeadJournal!B$1),0),"")</f>
        <v>720000754823</v>
      </c>
      <c r="C4938" s="94" t="str">
        <f>IFERROR(VLOOKUP($A4938,HeadJournal!$A$1:$NTR$890,COLUMN(HeadJournal!C$1),0),"")</f>
        <v>iHerb_AV CYG0792</v>
      </c>
      <c r="D4938" s="125" t="str">
        <f>IFERROR(VLOOKUP($A4938,HeadJournal!$A$1:$NTR$890,COLUMN(HeadJournal!D$1),0),"")</f>
        <v>Доставлен</v>
      </c>
      <c r="E4938" s="95">
        <f>IFERROR(VLOOKUP($A4938,HeadJournal!$A$1:$NTR$890,COLUMN(HeadJournal!G$1),0),"")</f>
        <v>45879</v>
      </c>
      <c r="F4938" s="95" t="str">
        <f t="shared" si="371"/>
        <v>2025 08</v>
      </c>
      <c r="G4938" s="97" t="s">
        <v>5</v>
      </c>
      <c r="H4938" s="161" t="s">
        <v>4091</v>
      </c>
      <c r="I4938" s="97" t="s">
        <v>2005</v>
      </c>
      <c r="J4938" s="97" t="s">
        <v>4092</v>
      </c>
      <c r="K4938" s="29">
        <v>17.28</v>
      </c>
      <c r="L4938" s="29">
        <v>-1.73</v>
      </c>
      <c r="M4938" s="30">
        <f>IFERROR(VLOOKUP($A4938,HeadJournal!$A$1:$J$890,COLUMN(HeadJournal!I$1),0)*($K4938+$L4938)/(SUMIF($A:$A,$A4938,$K:$K)+SUMIF($A:$A,$A4938,$L:$L)),0)</f>
        <v>-3.1748645332788059</v>
      </c>
      <c r="N4938" s="30">
        <f>IFERROR((VLOOKUP($A4938,HeadJournal!$A$1:$K$890,COLUMN(HeadJournal!K$1),0)-VLOOKUP($A4938,HeadJournal!$A$1:$K$890,COLUMN(HeadJournal!J$1),0))*($K4938+$L4938)/(SUMIF($A:$A,$A4938,$K:$K)+SUMIF($A:$A,$A4938,$L:$L)),0)</f>
        <v>0</v>
      </c>
      <c r="O4938" s="30">
        <f>IFERROR((VLOOKUP($A4938,HeadJournal!$A$1:$L$890,COLUMN(HeadJournal!L$1),0)*($K4938+$L4938)/(SUMIF($A:$A,$A4938,$K:$K)+SUMIF($A:$A,$A4938,$L:$L)))/VLOOKUP($A4938,HeadJournal!$A$1:$L$890,COLUMN(HeadJournal!H$1),0),0)</f>
        <v>0.40213227615852565</v>
      </c>
      <c r="P4938" s="30">
        <f>IFERROR(SUM(K4938:O4938)*VLOOKUP($A4938,HeadJournal!$A$1:$L$890,COLUMN(HeadJournal!H$1),0),0)</f>
        <v>1171.9367753808406</v>
      </c>
      <c r="Q4938" s="29">
        <v>2000</v>
      </c>
      <c r="R4938" s="31">
        <v>45908</v>
      </c>
      <c r="S4938" s="31"/>
      <c r="T4938" s="95" t="str">
        <f t="shared" si="372"/>
        <v>2025 09</v>
      </c>
      <c r="U4938" s="32">
        <f t="shared" si="354"/>
        <v>828.06322461915943</v>
      </c>
      <c r="V4938" s="22">
        <f t="shared" si="355"/>
        <v>0.70657670448993837</v>
      </c>
      <c r="X4938" s="33"/>
      <c r="Y4938" s="33"/>
    </row>
    <row r="4939" spans="1:25" x14ac:dyDescent="0.2">
      <c r="A4939" s="93" t="s">
        <v>4100</v>
      </c>
      <c r="B4939" s="94" t="str">
        <f>IFERROR(VLOOKUP($A4939,HeadJournal!$A$1:$NTR$890,COLUMN(HeadJournal!B$1),0),"")</f>
        <v>720000754823</v>
      </c>
      <c r="C4939" s="94" t="str">
        <f>IFERROR(VLOOKUP($A4939,HeadJournal!$A$1:$NTR$890,COLUMN(HeadJournal!C$1),0),"")</f>
        <v>iHerb_AV CYG0792</v>
      </c>
      <c r="D4939" s="125" t="str">
        <f>IFERROR(VLOOKUP($A4939,HeadJournal!$A$1:$NTR$890,COLUMN(HeadJournal!D$1),0),"")</f>
        <v>Доставлен</v>
      </c>
      <c r="E4939" s="95">
        <f>IFERROR(VLOOKUP($A4939,HeadJournal!$A$1:$NTR$890,COLUMN(HeadJournal!G$1),0),"")</f>
        <v>45879</v>
      </c>
      <c r="F4939" s="95" t="str">
        <f t="shared" si="371"/>
        <v>2025 08</v>
      </c>
      <c r="G4939" s="97" t="s">
        <v>5</v>
      </c>
      <c r="H4939" s="161" t="s">
        <v>4093</v>
      </c>
      <c r="I4939" s="97" t="s">
        <v>2657</v>
      </c>
      <c r="J4939" s="97" t="s">
        <v>4094</v>
      </c>
      <c r="K4939" s="29">
        <v>12.92</v>
      </c>
      <c r="L4939" s="29">
        <v>-1.29</v>
      </c>
      <c r="M4939" s="30">
        <f>IFERROR(VLOOKUP($A4939,HeadJournal!$A$1:$J$890,COLUMN(HeadJournal!I$1),0)*($K4939+$L4939)/(SUMIF($A:$A,$A4939,$K:$K)+SUMIF($A:$A,$A4939,$L:$L)),0)</f>
        <v>-2.3745128309988752</v>
      </c>
      <c r="N4939" s="30">
        <f>IFERROR((VLOOKUP($A4939,HeadJournal!$A$1:$K$890,COLUMN(HeadJournal!K$1),0)-VLOOKUP($A4939,HeadJournal!$A$1:$K$890,COLUMN(HeadJournal!J$1),0))*($K4939+$L4939)/(SUMIF($A:$A,$A4939,$K:$K)+SUMIF($A:$A,$A4939,$L:$L)),0)</f>
        <v>0</v>
      </c>
      <c r="O4939" s="30">
        <f>IFERROR((VLOOKUP($A4939,HeadJournal!$A$1:$L$890,COLUMN(HeadJournal!L$1),0)*($K4939+$L4939)/(SUMIF($A:$A,$A4939,$K:$K)+SUMIF($A:$A,$A4939,$L:$L)))/VLOOKUP($A4939,HeadJournal!$A$1:$L$890,COLUMN(HeadJournal!H$1),0),0)</f>
        <v>0.30075873773142459</v>
      </c>
      <c r="P4939" s="30">
        <f>IFERROR(SUM(K4939:O4939)*VLOOKUP($A4939,HeadJournal!$A$1:$L$890,COLUMN(HeadJournal!H$1),0),0)</f>
        <v>876.50319599222985</v>
      </c>
      <c r="Q4939" s="29">
        <v>1700</v>
      </c>
      <c r="R4939" s="31">
        <v>45908</v>
      </c>
      <c r="S4939" s="31"/>
      <c r="T4939" s="95" t="str">
        <f t="shared" si="372"/>
        <v>2025 09</v>
      </c>
      <c r="U4939" s="32">
        <f t="shared" si="354"/>
        <v>823.49680400777015</v>
      </c>
      <c r="V4939" s="22">
        <f t="shared" si="355"/>
        <v>0.93952515834873285</v>
      </c>
      <c r="X4939" s="33"/>
      <c r="Y4939" s="33"/>
    </row>
    <row r="4940" spans="1:25" x14ac:dyDescent="0.2">
      <c r="A4940" s="93" t="s">
        <v>4100</v>
      </c>
      <c r="B4940" s="94" t="str">
        <f>IFERROR(VLOOKUP($A4940,HeadJournal!$A$1:$NTR$890,COLUMN(HeadJournal!B$1),0),"")</f>
        <v>720000754823</v>
      </c>
      <c r="C4940" s="94" t="str">
        <f>IFERROR(VLOOKUP($A4940,HeadJournal!$A$1:$NTR$890,COLUMN(HeadJournal!C$1),0),"")</f>
        <v>iHerb_AV CYG0792</v>
      </c>
      <c r="D4940" s="125" t="str">
        <f>IFERROR(VLOOKUP($A4940,HeadJournal!$A$1:$NTR$890,COLUMN(HeadJournal!D$1),0),"")</f>
        <v>Доставлен</v>
      </c>
      <c r="E4940" s="95">
        <f>IFERROR(VLOOKUP($A4940,HeadJournal!$A$1:$NTR$890,COLUMN(HeadJournal!G$1),0),"")</f>
        <v>45879</v>
      </c>
      <c r="F4940" s="95" t="str">
        <f t="shared" si="371"/>
        <v>2025 08</v>
      </c>
      <c r="G4940" s="97" t="s">
        <v>5</v>
      </c>
      <c r="H4940" s="161" t="s">
        <v>2663</v>
      </c>
      <c r="I4940" s="97" t="s">
        <v>2005</v>
      </c>
      <c r="J4940" s="97" t="s">
        <v>2664</v>
      </c>
      <c r="K4940" s="29">
        <v>33.340000000000003</v>
      </c>
      <c r="L4940" s="29">
        <v>-3.33</v>
      </c>
      <c r="M4940" s="30">
        <f>IFERROR(VLOOKUP($A4940,HeadJournal!$A$1:$J$890,COLUMN(HeadJournal!I$1),0)*($K4940+$L4940)/(SUMIF($A:$A,$A4940,$K:$K)+SUMIF($A:$A,$A4940,$L:$L)),0)</f>
        <v>-6.1271822921991621</v>
      </c>
      <c r="N4940" s="30">
        <f>IFERROR((VLOOKUP($A4940,HeadJournal!$A$1:$K$890,COLUMN(HeadJournal!K$1),0)-VLOOKUP($A4940,HeadJournal!$A$1:$K$890,COLUMN(HeadJournal!J$1),0))*($K4940+$L4940)/(SUMIF($A:$A,$A4940,$K:$K)+SUMIF($A:$A,$A4940,$L:$L)),0)</f>
        <v>0</v>
      </c>
      <c r="O4940" s="30">
        <f>IFERROR((VLOOKUP($A4940,HeadJournal!$A$1:$L$890,COLUMN(HeadJournal!L$1),0)*($K4940+$L4940)/(SUMIF($A:$A,$A4940,$K:$K)+SUMIF($A:$A,$A4940,$L:$L)))/VLOOKUP($A4940,HeadJournal!$A$1:$L$890,COLUMN(HeadJournal!H$1),0),0)</f>
        <v>0.77607650209114842</v>
      </c>
      <c r="P4940" s="30">
        <f>IFERROR(SUM(K4940:O4940)*VLOOKUP($A4940,HeadJournal!$A$1:$L$890,COLUMN(HeadJournal!H$1),0),0)</f>
        <v>2261.7249279214807</v>
      </c>
      <c r="Q4940" s="29">
        <v>3700</v>
      </c>
      <c r="R4940" s="31">
        <v>45907</v>
      </c>
      <c r="S4940" s="31" t="s">
        <v>3226</v>
      </c>
      <c r="T4940" s="95" t="str">
        <f t="shared" si="372"/>
        <v>2025 09</v>
      </c>
      <c r="U4940" s="32">
        <f t="shared" si="354"/>
        <v>1438.2750720785193</v>
      </c>
      <c r="V4940" s="22">
        <f t="shared" si="355"/>
        <v>0.63591953836768755</v>
      </c>
      <c r="X4940" s="33"/>
      <c r="Y4940" s="33"/>
    </row>
    <row r="4941" spans="1:25" x14ac:dyDescent="0.2">
      <c r="A4941" s="93" t="s">
        <v>4100</v>
      </c>
      <c r="B4941" s="94" t="str">
        <f>IFERROR(VLOOKUP($A4941,HeadJournal!$A$1:$NTR$890,COLUMN(HeadJournal!B$1),0),"")</f>
        <v>720000754823</v>
      </c>
      <c r="C4941" s="94" t="str">
        <f>IFERROR(VLOOKUP($A4941,HeadJournal!$A$1:$NTR$890,COLUMN(HeadJournal!C$1),0),"")</f>
        <v>iHerb_AV CYG0792</v>
      </c>
      <c r="D4941" s="125" t="str">
        <f>IFERROR(VLOOKUP($A4941,HeadJournal!$A$1:$NTR$890,COLUMN(HeadJournal!D$1),0),"")</f>
        <v>Доставлен</v>
      </c>
      <c r="E4941" s="95">
        <f>IFERROR(VLOOKUP($A4941,HeadJournal!$A$1:$NTR$890,COLUMN(HeadJournal!G$1),0),"")</f>
        <v>45879</v>
      </c>
      <c r="F4941" s="95" t="str">
        <f t="shared" si="371"/>
        <v>2025 08</v>
      </c>
      <c r="G4941" s="97" t="s">
        <v>5</v>
      </c>
      <c r="H4941" s="161" t="s">
        <v>3539</v>
      </c>
      <c r="I4941" s="97" t="s">
        <v>3524</v>
      </c>
      <c r="J4941" s="97" t="s">
        <v>4095</v>
      </c>
      <c r="K4941" s="29">
        <v>21.76</v>
      </c>
      <c r="L4941" s="29">
        <v>-2.1800000000000002</v>
      </c>
      <c r="M4941" s="30">
        <f>IFERROR(VLOOKUP($A4941,HeadJournal!$A$1:$J$890,COLUMN(HeadJournal!I$1),0)*($K4941+$L4941)/(SUMIF($A:$A,$A4941,$K:$K)+SUMIF($A:$A,$A4941,$L:$L)),0)</f>
        <v>-3.997675084347204</v>
      </c>
      <c r="N4941" s="30">
        <f>IFERROR((VLOOKUP($A4941,HeadJournal!$A$1:$K$890,COLUMN(HeadJournal!K$1),0)-VLOOKUP($A4941,HeadJournal!$A$1:$K$890,COLUMN(HeadJournal!J$1),0))*($K4941+$L4941)/(SUMIF($A:$A,$A4941,$K:$K)+SUMIF($A:$A,$A4941,$L:$L)),0)</f>
        <v>0</v>
      </c>
      <c r="O4941" s="30">
        <f>IFERROR((VLOOKUP($A4941,HeadJournal!$A$1:$L$890,COLUMN(HeadJournal!L$1),0)*($K4941+$L4941)/(SUMIF($A:$A,$A4941,$K:$K)+SUMIF($A:$A,$A4941,$L:$L)))/VLOOKUP($A4941,HeadJournal!$A$1:$L$890,COLUMN(HeadJournal!H$1),0),0)</f>
        <v>0.50635048020475448</v>
      </c>
      <c r="P4941" s="30">
        <f>IFERROR(SUM(K4941:O4941)*VLOOKUP($A4941,HeadJournal!$A$1:$L$890,COLUMN(HeadJournal!H$1),0),0)</f>
        <v>1475.660582762499</v>
      </c>
      <c r="Q4941" s="29">
        <v>3000</v>
      </c>
      <c r="R4941" s="31">
        <v>45910</v>
      </c>
      <c r="S4941" s="31" t="s">
        <v>3235</v>
      </c>
      <c r="T4941" s="95" t="str">
        <f t="shared" si="372"/>
        <v>2025 09</v>
      </c>
      <c r="U4941" s="32">
        <f t="shared" si="354"/>
        <v>1524.339417237501</v>
      </c>
      <c r="V4941" s="22">
        <f t="shared" si="355"/>
        <v>1.0329878259564766</v>
      </c>
      <c r="X4941" s="33"/>
      <c r="Y4941" s="33"/>
    </row>
    <row r="4942" spans="1:25" x14ac:dyDescent="0.2">
      <c r="A4942" s="93" t="s">
        <v>4100</v>
      </c>
      <c r="B4942" s="94" t="str">
        <f>IFERROR(VLOOKUP($A4942,HeadJournal!$A$1:$NTR$890,COLUMN(HeadJournal!B$1),0),"")</f>
        <v>720000754823</v>
      </c>
      <c r="C4942" s="94" t="str">
        <f>IFERROR(VLOOKUP($A4942,HeadJournal!$A$1:$NTR$890,COLUMN(HeadJournal!C$1),0),"")</f>
        <v>iHerb_AV CYG0792</v>
      </c>
      <c r="D4942" s="125" t="str">
        <f>IFERROR(VLOOKUP($A4942,HeadJournal!$A$1:$NTR$890,COLUMN(HeadJournal!D$1),0),"")</f>
        <v>Доставлен</v>
      </c>
      <c r="E4942" s="95">
        <f>IFERROR(VLOOKUP($A4942,HeadJournal!$A$1:$NTR$890,COLUMN(HeadJournal!G$1),0),"")</f>
        <v>45879</v>
      </c>
      <c r="F4942" s="95" t="str">
        <f t="shared" si="371"/>
        <v>2025 08</v>
      </c>
      <c r="G4942" s="97" t="s">
        <v>5</v>
      </c>
      <c r="H4942" s="161" t="s">
        <v>4096</v>
      </c>
      <c r="I4942" s="97" t="s">
        <v>4097</v>
      </c>
      <c r="J4942" s="97" t="s">
        <v>4098</v>
      </c>
      <c r="K4942" s="29">
        <v>65.13</v>
      </c>
      <c r="L4942" s="29">
        <v>-6.51</v>
      </c>
      <c r="M4942" s="30">
        <f>IFERROR(VLOOKUP($A4942,HeadJournal!$A$1:$J$890,COLUMN(HeadJournal!I$1),0)*($K4942+$L4942)/(SUMIF($A:$A,$A4942,$K:$K)+SUMIF($A:$A,$A4942,$L:$L)),0)</f>
        <v>-11.96852469072692</v>
      </c>
      <c r="N4942" s="30">
        <f>IFERROR((VLOOKUP($A4942,HeadJournal!$A$1:$K$890,COLUMN(HeadJournal!K$1),0)-VLOOKUP($A4942,HeadJournal!$A$1:$K$890,COLUMN(HeadJournal!J$1),0))*($K4942+$L4942)/(SUMIF($A:$A,$A4942,$K:$K)+SUMIF($A:$A,$A4942,$L:$L)),0)</f>
        <v>0</v>
      </c>
      <c r="O4942" s="30">
        <f>IFERROR((VLOOKUP($A4942,HeadJournal!$A$1:$L$890,COLUMN(HeadJournal!L$1),0)*($K4942+$L4942)/(SUMIF($A:$A,$A4942,$K:$K)+SUMIF($A:$A,$A4942,$L:$L)))/VLOOKUP($A4942,HeadJournal!$A$1:$L$890,COLUMN(HeadJournal!H$1),0),0)</f>
        <v>1.5159481690297603</v>
      </c>
      <c r="P4942" s="30">
        <f>IFERROR(SUM(K4942:O4942)*VLOOKUP($A4942,HeadJournal!$A$1:$L$890,COLUMN(HeadJournal!H$1),0),0)</f>
        <v>4417.9378632041717</v>
      </c>
      <c r="Q4942" s="29">
        <v>6500</v>
      </c>
      <c r="R4942" s="31">
        <v>45907</v>
      </c>
      <c r="S4942" s="31" t="s">
        <v>3226</v>
      </c>
      <c r="T4942" s="95" t="str">
        <f t="shared" si="372"/>
        <v>2025 09</v>
      </c>
      <c r="U4942" s="32">
        <f t="shared" si="354"/>
        <v>2082.0621367958283</v>
      </c>
      <c r="V4942" s="22">
        <f t="shared" si="355"/>
        <v>0.47127465375571931</v>
      </c>
      <c r="X4942" s="33"/>
      <c r="Y4942" s="33"/>
    </row>
    <row r="4943" spans="1:25" x14ac:dyDescent="0.2">
      <c r="A4943" s="93" t="s">
        <v>4100</v>
      </c>
      <c r="B4943" s="94" t="str">
        <f>IFERROR(VLOOKUP($A4943,HeadJournal!$A$1:$NTR$890,COLUMN(HeadJournal!B$1),0),"")</f>
        <v>720000754823</v>
      </c>
      <c r="C4943" s="94" t="str">
        <f>IFERROR(VLOOKUP($A4943,HeadJournal!$A$1:$NTR$890,COLUMN(HeadJournal!C$1),0),"")</f>
        <v>iHerb_AV CYG0792</v>
      </c>
      <c r="D4943" s="125" t="str">
        <f>IFERROR(VLOOKUP($A4943,HeadJournal!$A$1:$NTR$890,COLUMN(HeadJournal!D$1),0),"")</f>
        <v>Доставлен</v>
      </c>
      <c r="E4943" s="95">
        <f>IFERROR(VLOOKUP($A4943,HeadJournal!$A$1:$NTR$890,COLUMN(HeadJournal!G$1),0),"")</f>
        <v>45879</v>
      </c>
      <c r="F4943" s="95" t="str">
        <f t="shared" si="371"/>
        <v>2025 08</v>
      </c>
      <c r="G4943" s="97" t="s">
        <v>5</v>
      </c>
      <c r="H4943" s="161" t="s">
        <v>3761</v>
      </c>
      <c r="I4943" s="97" t="s">
        <v>2166</v>
      </c>
      <c r="J4943" s="97" t="s">
        <v>3762</v>
      </c>
      <c r="K4943" s="29">
        <v>45.08</v>
      </c>
      <c r="L4943" s="29">
        <v>-4.51</v>
      </c>
      <c r="M4943" s="30">
        <f>IFERROR(VLOOKUP($A4943,HeadJournal!$A$1:$J$890,COLUMN(HeadJournal!I$1),0)*($K4943+$L4943)/(SUMIF($A:$A,$A4943,$K:$K)+SUMIF($A:$A,$A4943,$L:$L)),0)</f>
        <v>-8.283231775892034</v>
      </c>
      <c r="N4943" s="30">
        <f>IFERROR((VLOOKUP($A4943,HeadJournal!$A$1:$K$890,COLUMN(HeadJournal!K$1),0)-VLOOKUP($A4943,HeadJournal!$A$1:$K$890,COLUMN(HeadJournal!J$1),0))*($K4943+$L4943)/(SUMIF($A:$A,$A4943,$K:$K)+SUMIF($A:$A,$A4943,$L:$L)),0)</f>
        <v>0</v>
      </c>
      <c r="O4943" s="30">
        <f>IFERROR((VLOOKUP($A4943,HeadJournal!$A$1:$L$890,COLUMN(HeadJournal!L$1),0)*($K4943+$L4943)/(SUMIF($A:$A,$A4943,$K:$K)+SUMIF($A:$A,$A4943,$L:$L)))/VLOOKUP($A4943,HeadJournal!$A$1:$L$890,COLUMN(HeadJournal!H$1),0),0)</f>
        <v>1.0491644015274202</v>
      </c>
      <c r="P4943" s="30">
        <f>IFERROR(SUM(K4943:O4943)*VLOOKUP($A4943,HeadJournal!$A$1:$L$890,COLUMN(HeadJournal!H$1),0),0)</f>
        <v>3057.5868152540643</v>
      </c>
      <c r="Q4943" s="29">
        <v>4700</v>
      </c>
      <c r="R4943" s="31">
        <v>45907</v>
      </c>
      <c r="S4943" s="31" t="s">
        <v>3226</v>
      </c>
      <c r="T4943" s="95" t="str">
        <f t="shared" si="372"/>
        <v>2025 09</v>
      </c>
      <c r="U4943" s="32">
        <f t="shared" si="354"/>
        <v>1642.4131847459357</v>
      </c>
      <c r="V4943" s="22">
        <f t="shared" si="355"/>
        <v>0.53715995128971095</v>
      </c>
      <c r="X4943" s="33"/>
      <c r="Y4943" s="33"/>
    </row>
    <row r="4944" spans="1:25" x14ac:dyDescent="0.2">
      <c r="A4944" s="93" t="s">
        <v>4100</v>
      </c>
      <c r="B4944" s="94" t="str">
        <f>IFERROR(VLOOKUP($A4944,HeadJournal!$A$1:$NTR$890,COLUMN(HeadJournal!B$1),0),"")</f>
        <v>720000754823</v>
      </c>
      <c r="C4944" s="94" t="str">
        <f>IFERROR(VLOOKUP($A4944,HeadJournal!$A$1:$NTR$890,COLUMN(HeadJournal!C$1),0),"")</f>
        <v>iHerb_AV CYG0792</v>
      </c>
      <c r="D4944" s="125" t="str">
        <f>IFERROR(VLOOKUP($A4944,HeadJournal!$A$1:$NTR$890,COLUMN(HeadJournal!D$1),0),"")</f>
        <v>Доставлен</v>
      </c>
      <c r="E4944" s="95">
        <f>IFERROR(VLOOKUP($A4944,HeadJournal!$A$1:$NTR$890,COLUMN(HeadJournal!G$1),0),"")</f>
        <v>45879</v>
      </c>
      <c r="F4944" s="95" t="str">
        <f t="shared" si="371"/>
        <v>2025 08</v>
      </c>
      <c r="G4944" s="97" t="s">
        <v>5</v>
      </c>
      <c r="H4944" s="161" t="s">
        <v>2203</v>
      </c>
      <c r="I4944" s="97" t="s">
        <v>2166</v>
      </c>
      <c r="J4944" s="97" t="s">
        <v>4099</v>
      </c>
      <c r="K4944" s="29">
        <v>8.8000000000000007</v>
      </c>
      <c r="L4944" s="29">
        <v>-0.88</v>
      </c>
      <c r="M4944" s="30">
        <f>IFERROR(VLOOKUP($A4944,HeadJournal!$A$1:$J$890,COLUMN(HeadJournal!I$1),0)*($K4944+$L4944)/(SUMIF($A:$A,$A4944,$K:$K)+SUMIF($A:$A,$A4944,$L:$L)),0)</f>
        <v>-1.6170371127696557</v>
      </c>
      <c r="N4944" s="30">
        <f>IFERROR((VLOOKUP($A4944,HeadJournal!$A$1:$K$890,COLUMN(HeadJournal!K$1),0)-VLOOKUP($A4944,HeadJournal!$A$1:$K$890,COLUMN(HeadJournal!J$1),0))*($K4944+$L4944)/(SUMIF($A:$A,$A4944,$K:$K)+SUMIF($A:$A,$A4944,$L:$L)),0)</f>
        <v>0</v>
      </c>
      <c r="O4944" s="30">
        <f>IFERROR((VLOOKUP($A4944,HeadJournal!$A$1:$L$890,COLUMN(HeadJournal!L$1),0)*($K4944+$L4944)/(SUMIF($A:$A,$A4944,$K:$K)+SUMIF($A:$A,$A4944,$L:$L)))/VLOOKUP($A4944,HeadJournal!$A$1:$L$890,COLUMN(HeadJournal!H$1),0),0)</f>
        <v>0.20481592457720407</v>
      </c>
      <c r="P4944" s="30">
        <f>IFERROR(SUM(K4944:O4944)*VLOOKUP($A4944,HeadJournal!$A$1:$L$890,COLUMN(HeadJournal!H$1),0),0)</f>
        <v>596.89641549943781</v>
      </c>
      <c r="Q4944" s="29">
        <v>1600</v>
      </c>
      <c r="R4944" s="31">
        <v>46015</v>
      </c>
      <c r="S4944" s="31" t="s">
        <v>3206</v>
      </c>
      <c r="T4944" s="95" t="str">
        <f t="shared" si="372"/>
        <v>2025 12</v>
      </c>
      <c r="U4944" s="32">
        <f t="shared" si="354"/>
        <v>1003.1035845005622</v>
      </c>
      <c r="V4944" s="22">
        <f t="shared" si="355"/>
        <v>1.6805320964463171</v>
      </c>
      <c r="X4944" s="33"/>
      <c r="Y4944" s="33"/>
    </row>
    <row r="4945" spans="1:25" x14ac:dyDescent="0.2">
      <c r="A4945" s="93" t="s">
        <v>4111</v>
      </c>
      <c r="B4945" s="94" t="str">
        <f>IFERROR(VLOOKUP($A4945,HeadJournal!$A$1:$NTR$890,COLUMN(HeadJournal!B$1),0),"")</f>
        <v>720000760663</v>
      </c>
      <c r="C4945" s="94" t="str">
        <f>IFERROR(VLOOKUP($A4945,HeadJournal!$A$1:$NTR$890,COLUMN(HeadJournal!C$1),0),"")</f>
        <v>iHerb_AV CYG0792</v>
      </c>
      <c r="D4945" s="125" t="str">
        <f>IFERROR(VLOOKUP($A4945,HeadJournal!$A$1:$NTR$890,COLUMN(HeadJournal!D$1),0),"")</f>
        <v>Доставлен</v>
      </c>
      <c r="E4945" s="95">
        <f>IFERROR(VLOOKUP($A4945,HeadJournal!$A$1:$NTR$890,COLUMN(HeadJournal!G$1),0),"")</f>
        <v>45885</v>
      </c>
      <c r="F4945" s="95" t="str">
        <f t="shared" si="371"/>
        <v>2025 08</v>
      </c>
      <c r="G4945" s="97" t="s">
        <v>5</v>
      </c>
      <c r="H4945" s="161" t="s">
        <v>2909</v>
      </c>
      <c r="I4945" s="97" t="s">
        <v>2045</v>
      </c>
      <c r="J4945" s="97" t="s">
        <v>4102</v>
      </c>
      <c r="K4945" s="29">
        <v>15.85</v>
      </c>
      <c r="L4945" s="29">
        <v>-3.17</v>
      </c>
      <c r="M4945" s="30">
        <f>IFERROR(VLOOKUP($A4945,HeadJournal!$A$1:$J$890,COLUMN(HeadJournal!I$1),0)*($K4945+$L4945)/(SUMIF($A:$A,$A4945,$K:$K)+SUMIF($A:$A,$A4945,$L:$L)),0)</f>
        <v>-0.5911451932354882</v>
      </c>
      <c r="N4945" s="30">
        <f>IFERROR((VLOOKUP($A4945,HeadJournal!$A$1:$K$890,COLUMN(HeadJournal!K$1),0)-VLOOKUP($A4945,HeadJournal!$A$1:$K$890,COLUMN(HeadJournal!J$1),0))*($K4945+$L4945)/(SUMIF($A:$A,$A4945,$K:$K)+SUMIF($A:$A,$A4945,$L:$L)),0)</f>
        <v>-1.8302131713855202E-15</v>
      </c>
      <c r="O4945" s="30">
        <f>IFERROR((VLOOKUP($A4945,HeadJournal!$A$1:$L$890,COLUMN(HeadJournal!L$1),0)*($K4945+$L4945)/(SUMIF($A:$A,$A4945,$K:$K)+SUMIF($A:$A,$A4945,$L:$L)))/VLOOKUP($A4945,HeadJournal!$A$1:$L$890,COLUMN(HeadJournal!H$1),0),0)</f>
        <v>0.33190387726144199</v>
      </c>
      <c r="P4945" s="30">
        <f>IFERROR(SUM(K4945:O4945)*VLOOKUP($A4945,HeadJournal!$A$1:$L$890,COLUMN(HeadJournal!H$1),0),0)</f>
        <v>1118.1633680361585</v>
      </c>
      <c r="Q4945" s="29">
        <v>2200</v>
      </c>
      <c r="R4945" s="31">
        <v>45908</v>
      </c>
      <c r="S4945" s="31"/>
      <c r="T4945" s="95" t="str">
        <f t="shared" si="372"/>
        <v>2025 09</v>
      </c>
      <c r="U4945" s="32">
        <f t="shared" si="354"/>
        <v>1081.8366319638415</v>
      </c>
      <c r="V4945" s="22">
        <f t="shared" si="355"/>
        <v>0.96751213900333888</v>
      </c>
      <c r="X4945" s="33"/>
      <c r="Y4945" s="33"/>
    </row>
    <row r="4946" spans="1:25" x14ac:dyDescent="0.2">
      <c r="A4946" s="93" t="s">
        <v>4111</v>
      </c>
      <c r="B4946" s="94" t="str">
        <f>IFERROR(VLOOKUP($A4946,HeadJournal!$A$1:$NTR$890,COLUMN(HeadJournal!B$1),0),"")</f>
        <v>720000760663</v>
      </c>
      <c r="C4946" s="94" t="str">
        <f>IFERROR(VLOOKUP($A4946,HeadJournal!$A$1:$NTR$890,COLUMN(HeadJournal!C$1),0),"")</f>
        <v>iHerb_AV CYG0792</v>
      </c>
      <c r="D4946" s="125" t="str">
        <f>IFERROR(VLOOKUP($A4946,HeadJournal!$A$1:$NTR$890,COLUMN(HeadJournal!D$1),0),"")</f>
        <v>Доставлен</v>
      </c>
      <c r="E4946" s="95">
        <f>IFERROR(VLOOKUP($A4946,HeadJournal!$A$1:$NTR$890,COLUMN(HeadJournal!G$1),0),"")</f>
        <v>45885</v>
      </c>
      <c r="F4946" s="95" t="str">
        <f t="shared" si="371"/>
        <v>2025 08</v>
      </c>
      <c r="G4946" s="97" t="s">
        <v>5</v>
      </c>
      <c r="H4946" s="161" t="s">
        <v>4103</v>
      </c>
      <c r="I4946" s="97" t="s">
        <v>2039</v>
      </c>
      <c r="J4946" s="97" t="s">
        <v>4104</v>
      </c>
      <c r="K4946" s="29">
        <v>26.78</v>
      </c>
      <c r="L4946" s="29">
        <v>-5.36</v>
      </c>
      <c r="M4946" s="30">
        <f>IFERROR(VLOOKUP($A4946,HeadJournal!$A$1:$J$890,COLUMN(HeadJournal!I$1),0)*($K4946+$L4946)/(SUMIF($A:$A,$A4946,$K:$K)+SUMIF($A:$A,$A4946,$L:$L)),0)</f>
        <v>-0.99860646996089575</v>
      </c>
      <c r="N4946" s="30">
        <f>IFERROR((VLOOKUP($A4946,HeadJournal!$A$1:$K$890,COLUMN(HeadJournal!K$1),0)-VLOOKUP($A4946,HeadJournal!$A$1:$K$890,COLUMN(HeadJournal!J$1),0))*($K4946+$L4946)/(SUMIF($A:$A,$A4946,$K:$K)+SUMIF($A:$A,$A4946,$L:$L)),0)</f>
        <v>-3.0917323447222273E-15</v>
      </c>
      <c r="O4946" s="30">
        <f>IFERROR((VLOOKUP($A4946,HeadJournal!$A$1:$L$890,COLUMN(HeadJournal!L$1),0)*($K4946+$L4946)/(SUMIF($A:$A,$A4946,$K:$K)+SUMIF($A:$A,$A4946,$L:$L)))/VLOOKUP($A4946,HeadJournal!$A$1:$L$890,COLUMN(HeadJournal!H$1),0),0)</f>
        <v>0.56067673903313009</v>
      </c>
      <c r="P4946" s="30">
        <f>IFERROR(SUM(K4946:O4946)*VLOOKUP($A4946,HeadJournal!$A$1:$L$890,COLUMN(HeadJournal!H$1),0),0)</f>
        <v>1888.8848062566653</v>
      </c>
      <c r="Q4946" s="29">
        <v>2900</v>
      </c>
      <c r="R4946" s="31">
        <v>45907</v>
      </c>
      <c r="S4946" s="31"/>
      <c r="T4946" s="95" t="str">
        <f t="shared" si="372"/>
        <v>2025 09</v>
      </c>
      <c r="U4946" s="32">
        <f t="shared" si="354"/>
        <v>1011.1151937433347</v>
      </c>
      <c r="V4946" s="22">
        <f t="shared" si="355"/>
        <v>0.53529743602900381</v>
      </c>
      <c r="X4946" s="33"/>
      <c r="Y4946" s="33"/>
    </row>
    <row r="4947" spans="1:25" x14ac:dyDescent="0.2">
      <c r="A4947" s="93" t="s">
        <v>4111</v>
      </c>
      <c r="B4947" s="94" t="str">
        <f>IFERROR(VLOOKUP($A4947,HeadJournal!$A$1:$NTR$890,COLUMN(HeadJournal!B$1),0),"")</f>
        <v>720000760663</v>
      </c>
      <c r="C4947" s="94" t="str">
        <f>IFERROR(VLOOKUP($A4947,HeadJournal!$A$1:$NTR$890,COLUMN(HeadJournal!C$1),0),"")</f>
        <v>iHerb_AV CYG0792</v>
      </c>
      <c r="D4947" s="125" t="str">
        <f>IFERROR(VLOOKUP($A4947,HeadJournal!$A$1:$NTR$890,COLUMN(HeadJournal!D$1),0),"")</f>
        <v>Доставлен</v>
      </c>
      <c r="E4947" s="95">
        <f>IFERROR(VLOOKUP($A4947,HeadJournal!$A$1:$NTR$890,COLUMN(HeadJournal!G$1),0),"")</f>
        <v>45885</v>
      </c>
      <c r="F4947" s="95" t="str">
        <f t="shared" si="371"/>
        <v>2025 08</v>
      </c>
      <c r="G4947" s="97" t="s">
        <v>5</v>
      </c>
      <c r="H4947" s="161" t="s">
        <v>4105</v>
      </c>
      <c r="I4947" s="97" t="s">
        <v>2856</v>
      </c>
      <c r="J4947" s="97" t="s">
        <v>4106</v>
      </c>
      <c r="K4947" s="29">
        <v>22.03</v>
      </c>
      <c r="L4947" s="29">
        <v>-4.41</v>
      </c>
      <c r="M4947" s="30">
        <f>IFERROR(VLOOKUP($A4947,HeadJournal!$A$1:$J$890,COLUMN(HeadJournal!I$1),0)*($K4947+$L4947)/(SUMIF($A:$A,$A4947,$K:$K)+SUMIF($A:$A,$A4947,$L:$L)),0)</f>
        <v>-0.82144939312376197</v>
      </c>
      <c r="N4947" s="30">
        <f>IFERROR((VLOOKUP($A4947,HeadJournal!$A$1:$K$890,COLUMN(HeadJournal!K$1),0)-VLOOKUP($A4947,HeadJournal!$A$1:$K$890,COLUMN(HeadJournal!J$1),0))*($K4947+$L4947)/(SUMIF($A:$A,$A4947,$K:$K)+SUMIF($A:$A,$A4947,$L:$L)),0)</f>
        <v>-2.5432457476193113E-15</v>
      </c>
      <c r="O4947" s="30">
        <f>IFERROR((VLOOKUP($A4947,HeadJournal!$A$1:$L$890,COLUMN(HeadJournal!L$1),0)*($K4947+$L4947)/(SUMIF($A:$A,$A4947,$K:$K)+SUMIF($A:$A,$A4947,$L:$L)))/VLOOKUP($A4947,HeadJournal!$A$1:$L$890,COLUMN(HeadJournal!H$1),0),0)</f>
        <v>0.4612102773932657</v>
      </c>
      <c r="P4947" s="30">
        <f>IFERROR(SUM(K4947:O4947)*VLOOKUP($A4947,HeadJournal!$A$1:$L$890,COLUMN(HeadJournal!H$1),0),0)</f>
        <v>1553.7885287694887</v>
      </c>
      <c r="Q4947" s="29">
        <v>2500</v>
      </c>
      <c r="R4947" s="31">
        <v>45912</v>
      </c>
      <c r="S4947" s="31"/>
      <c r="T4947" s="95" t="str">
        <f t="shared" si="372"/>
        <v>2025 09</v>
      </c>
      <c r="U4947" s="32">
        <f t="shared" si="354"/>
        <v>946.21147123051128</v>
      </c>
      <c r="V4947" s="22">
        <f t="shared" si="355"/>
        <v>0.60897056047894527</v>
      </c>
      <c r="X4947" s="33"/>
      <c r="Y4947" s="33"/>
    </row>
    <row r="4948" spans="1:25" x14ac:dyDescent="0.2">
      <c r="A4948" s="93" t="s">
        <v>4111</v>
      </c>
      <c r="B4948" s="94" t="str">
        <f>IFERROR(VLOOKUP($A4948,HeadJournal!$A$1:$NTR$890,COLUMN(HeadJournal!B$1),0),"")</f>
        <v>720000760663</v>
      </c>
      <c r="C4948" s="94" t="str">
        <f>IFERROR(VLOOKUP($A4948,HeadJournal!$A$1:$NTR$890,COLUMN(HeadJournal!C$1),0),"")</f>
        <v>iHerb_AV CYG0792</v>
      </c>
      <c r="D4948" s="125" t="str">
        <f>IFERROR(VLOOKUP($A4948,HeadJournal!$A$1:$NTR$890,COLUMN(HeadJournal!D$1),0),"")</f>
        <v>Доставлен</v>
      </c>
      <c r="E4948" s="95">
        <f>IFERROR(VLOOKUP($A4948,HeadJournal!$A$1:$NTR$890,COLUMN(HeadJournal!G$1),0),"")</f>
        <v>45885</v>
      </c>
      <c r="F4948" s="95" t="str">
        <f t="shared" si="371"/>
        <v>2025 08</v>
      </c>
      <c r="G4948" s="97" t="s">
        <v>5</v>
      </c>
      <c r="H4948" s="161" t="s">
        <v>4107</v>
      </c>
      <c r="I4948" s="97" t="s">
        <v>2750</v>
      </c>
      <c r="J4948" s="97" t="s">
        <v>4108</v>
      </c>
      <c r="K4948" s="29">
        <v>39.369999999999997</v>
      </c>
      <c r="L4948" s="29">
        <v>-7.87</v>
      </c>
      <c r="M4948" s="30">
        <f>IFERROR(VLOOKUP($A4948,HeadJournal!$A$1:$J$890,COLUMN(HeadJournal!I$1),0)*($K4948+$L4948)/(SUMIF($A:$A,$A4948,$K:$K)+SUMIF($A:$A,$A4948,$L:$L)),0)</f>
        <v>-1.4685389264130817</v>
      </c>
      <c r="N4948" s="30">
        <f>IFERROR((VLOOKUP($A4948,HeadJournal!$A$1:$K$890,COLUMN(HeadJournal!K$1),0)-VLOOKUP($A4948,HeadJournal!$A$1:$K$890,COLUMN(HeadJournal!J$1),0))*($K4948+$L4948)/(SUMIF($A:$A,$A4948,$K:$K)+SUMIF($A:$A,$A4948,$L:$L)),0)</f>
        <v>-4.5466652128268044E-15</v>
      </c>
      <c r="O4948" s="30">
        <f>IFERROR((VLOOKUP($A4948,HeadJournal!$A$1:$L$890,COLUMN(HeadJournal!L$1),0)*($K4948+$L4948)/(SUMIF($A:$A,$A4948,$K:$K)+SUMIF($A:$A,$A4948,$L:$L)))/VLOOKUP($A4948,HeadJournal!$A$1:$L$890,COLUMN(HeadJournal!H$1),0),0)</f>
        <v>0.82452461622519102</v>
      </c>
      <c r="P4948" s="30">
        <f>IFERROR(SUM(K4948:O4948)*VLOOKUP($A4948,HeadJournal!$A$1:$L$890,COLUMN(HeadJournal!H$1),0),0)</f>
        <v>2777.7717739068603</v>
      </c>
      <c r="Q4948" s="29">
        <v>4100</v>
      </c>
      <c r="R4948" s="31">
        <v>45907</v>
      </c>
      <c r="S4948" s="31" t="s">
        <v>3226</v>
      </c>
      <c r="T4948" s="95" t="str">
        <f t="shared" si="372"/>
        <v>2025 09</v>
      </c>
      <c r="U4948" s="32">
        <f t="shared" si="354"/>
        <v>1322.2282260931397</v>
      </c>
      <c r="V4948" s="22">
        <f t="shared" si="355"/>
        <v>0.47600319022374604</v>
      </c>
      <c r="X4948" s="33"/>
      <c r="Y4948" s="33"/>
    </row>
    <row r="4949" spans="1:25" x14ac:dyDescent="0.2">
      <c r="A4949" s="93" t="s">
        <v>4111</v>
      </c>
      <c r="B4949" s="94" t="str">
        <f>IFERROR(VLOOKUP($A4949,HeadJournal!$A$1:$NTR$890,COLUMN(HeadJournal!B$1),0),"")</f>
        <v>720000760663</v>
      </c>
      <c r="C4949" s="94" t="str">
        <f>IFERROR(VLOOKUP($A4949,HeadJournal!$A$1:$NTR$890,COLUMN(HeadJournal!C$1),0),"")</f>
        <v>iHerb_AV CYG0792</v>
      </c>
      <c r="D4949" s="125" t="str">
        <f>IFERROR(VLOOKUP($A4949,HeadJournal!$A$1:$NTR$890,COLUMN(HeadJournal!D$1),0),"")</f>
        <v>Доставлен</v>
      </c>
      <c r="E4949" s="95">
        <f>IFERROR(VLOOKUP($A4949,HeadJournal!$A$1:$NTR$890,COLUMN(HeadJournal!G$1),0),"")</f>
        <v>45885</v>
      </c>
      <c r="F4949" s="95" t="str">
        <f t="shared" si="371"/>
        <v>2025 08</v>
      </c>
      <c r="G4949" s="97" t="s">
        <v>5</v>
      </c>
      <c r="H4949" s="161" t="s">
        <v>2468</v>
      </c>
      <c r="I4949" s="97" t="s">
        <v>2005</v>
      </c>
      <c r="J4949" s="97" t="s">
        <v>4109</v>
      </c>
      <c r="K4949" s="29">
        <v>24.42</v>
      </c>
      <c r="L4949" s="29">
        <v>-4.8849999999999998</v>
      </c>
      <c r="M4949" s="30">
        <f>IFERROR(VLOOKUP($A4949,HeadJournal!$A$1:$J$890,COLUMN(HeadJournal!I$1),0)*($K4949+$L4949)/(SUMIF($A:$A,$A4949,$K:$K)+SUMIF($A:$A,$A4949,$L:$L)),0)</f>
        <v>-0.91072723579300185</v>
      </c>
      <c r="N4949" s="30">
        <f>IFERROR((VLOOKUP($A4949,HeadJournal!$A$1:$K$890,COLUMN(HeadJournal!K$1),0)-VLOOKUP($A4949,HeadJournal!$A$1:$K$890,COLUMN(HeadJournal!J$1),0))*($K4949+$L4949)/(SUMIF($A:$A,$A4949,$K:$K)+SUMIF($A:$A,$A4949,$L:$L)),0)</f>
        <v>-2.8196541248435444E-15</v>
      </c>
      <c r="O4949" s="30">
        <f>IFERROR((VLOOKUP($A4949,HeadJournal!$A$1:$L$890,COLUMN(HeadJournal!L$1),0)*($K4949+$L4949)/(SUMIF($A:$A,$A4949,$K:$K)+SUMIF($A:$A,$A4949,$L:$L)))/VLOOKUP($A4949,HeadJournal!$A$1:$L$890,COLUMN(HeadJournal!H$1),0),0)</f>
        <v>0.51133613898282892</v>
      </c>
      <c r="P4949" s="30">
        <f>IFERROR(SUM(K4949:O4949)*VLOOKUP($A4949,HeadJournal!$A$1:$L$890,COLUMN(HeadJournal!H$1),0),0)</f>
        <v>1722.6594159768426</v>
      </c>
      <c r="Q4949" s="29">
        <v>2800</v>
      </c>
      <c r="R4949" s="31">
        <v>46032</v>
      </c>
      <c r="S4949" s="31" t="s">
        <v>4555</v>
      </c>
      <c r="T4949" s="95" t="str">
        <f t="shared" si="372"/>
        <v>2026 01</v>
      </c>
      <c r="U4949" s="32">
        <f t="shared" si="354"/>
        <v>1077.3405840231574</v>
      </c>
      <c r="V4949" s="22">
        <f t="shared" si="355"/>
        <v>0.62539383817331418</v>
      </c>
      <c r="X4949" s="33"/>
      <c r="Y4949" s="33"/>
    </row>
    <row r="4950" spans="1:25" x14ac:dyDescent="0.2">
      <c r="A4950" s="93" t="s">
        <v>4111</v>
      </c>
      <c r="B4950" s="94" t="str">
        <f>IFERROR(VLOOKUP($A4950,HeadJournal!$A$1:$NTR$890,COLUMN(HeadJournal!B$1),0),"")</f>
        <v>720000760663</v>
      </c>
      <c r="C4950" s="94" t="str">
        <f>IFERROR(VLOOKUP($A4950,HeadJournal!$A$1:$NTR$890,COLUMN(HeadJournal!C$1),0),"")</f>
        <v>iHerb_AV CYG0792</v>
      </c>
      <c r="D4950" s="125" t="str">
        <f>IFERROR(VLOOKUP($A4950,HeadJournal!$A$1:$NTR$890,COLUMN(HeadJournal!D$1),0),"")</f>
        <v>Доставлен</v>
      </c>
      <c r="E4950" s="95">
        <f>IFERROR(VLOOKUP($A4950,HeadJournal!$A$1:$NTR$890,COLUMN(HeadJournal!G$1),0),"")</f>
        <v>45885</v>
      </c>
      <c r="F4950" s="95" t="str">
        <f t="shared" si="371"/>
        <v>2025 08</v>
      </c>
      <c r="G4950" s="97" t="s">
        <v>5</v>
      </c>
      <c r="H4950" s="161" t="s">
        <v>2468</v>
      </c>
      <c r="I4950" s="97" t="s">
        <v>2005</v>
      </c>
      <c r="J4950" s="97" t="s">
        <v>4109</v>
      </c>
      <c r="K4950" s="29">
        <v>24.42</v>
      </c>
      <c r="L4950" s="29">
        <v>-4.8849999999999998</v>
      </c>
      <c r="M4950" s="30">
        <f>IFERROR(VLOOKUP($A4950,HeadJournal!$A$1:$J$890,COLUMN(HeadJournal!I$1),0)*($K4950+$L4950)/(SUMIF($A:$A,$A4950,$K:$K)+SUMIF($A:$A,$A4950,$L:$L)),0)</f>
        <v>-0.91072723579300185</v>
      </c>
      <c r="N4950" s="30">
        <f>IFERROR((VLOOKUP($A4950,HeadJournal!$A$1:$K$890,COLUMN(HeadJournal!K$1),0)-VLOOKUP($A4950,HeadJournal!$A$1:$K$890,COLUMN(HeadJournal!J$1),0))*($K4950+$L4950)/(SUMIF($A:$A,$A4950,$K:$K)+SUMIF($A:$A,$A4950,$L:$L)),0)</f>
        <v>-2.8196541248435444E-15</v>
      </c>
      <c r="O4950" s="30">
        <f>IFERROR((VLOOKUP($A4950,HeadJournal!$A$1:$L$890,COLUMN(HeadJournal!L$1),0)*($K4950+$L4950)/(SUMIF($A:$A,$A4950,$K:$K)+SUMIF($A:$A,$A4950,$L:$L)))/VLOOKUP($A4950,HeadJournal!$A$1:$L$890,COLUMN(HeadJournal!H$1),0),0)</f>
        <v>0.51133613898282892</v>
      </c>
      <c r="P4950" s="30">
        <f>IFERROR(SUM(K4950:O4950)*VLOOKUP($A4950,HeadJournal!$A$1:$L$890,COLUMN(HeadJournal!H$1),0),0)</f>
        <v>1722.6594159768426</v>
      </c>
      <c r="Q4950" s="29">
        <v>2800</v>
      </c>
      <c r="R4950" s="31">
        <v>46061</v>
      </c>
      <c r="S4950" s="31"/>
      <c r="T4950" s="95" t="str">
        <f t="shared" si="372"/>
        <v>2026 02</v>
      </c>
      <c r="U4950" s="32">
        <f t="shared" si="354"/>
        <v>1077.3405840231574</v>
      </c>
      <c r="V4950" s="22">
        <f t="shared" si="355"/>
        <v>0.62539383817331418</v>
      </c>
      <c r="X4950" s="33"/>
      <c r="Y4950" s="33"/>
    </row>
    <row r="4951" spans="1:25" x14ac:dyDescent="0.2">
      <c r="A4951" s="93" t="s">
        <v>4111</v>
      </c>
      <c r="B4951" s="94" t="str">
        <f>IFERROR(VLOOKUP($A4951,HeadJournal!$A$1:$NTR$890,COLUMN(HeadJournal!B$1),0),"")</f>
        <v>720000760663</v>
      </c>
      <c r="C4951" s="94" t="str">
        <f>IFERROR(VLOOKUP($A4951,HeadJournal!$A$1:$NTR$890,COLUMN(HeadJournal!C$1),0),"")</f>
        <v>iHerb_AV CYG0792</v>
      </c>
      <c r="D4951" s="125" t="str">
        <f>IFERROR(VLOOKUP($A4951,HeadJournal!$A$1:$NTR$890,COLUMN(HeadJournal!D$1),0),"")</f>
        <v>Доставлен</v>
      </c>
      <c r="E4951" s="95">
        <f>IFERROR(VLOOKUP($A4951,HeadJournal!$A$1:$NTR$890,COLUMN(HeadJournal!G$1),0),"")</f>
        <v>45885</v>
      </c>
      <c r="F4951" s="95" t="str">
        <f t="shared" si="371"/>
        <v>2025 08</v>
      </c>
      <c r="G4951" s="97" t="s">
        <v>5</v>
      </c>
      <c r="H4951" s="161" t="s">
        <v>2546</v>
      </c>
      <c r="I4951" s="97" t="s">
        <v>2039</v>
      </c>
      <c r="J4951" s="97" t="s">
        <v>2547</v>
      </c>
      <c r="K4951" s="29">
        <v>10.36</v>
      </c>
      <c r="L4951" s="29">
        <v>-2.0699999999999998</v>
      </c>
      <c r="M4951" s="30">
        <f>IFERROR(VLOOKUP($A4951,HeadJournal!$A$1:$J$890,COLUMN(HeadJournal!I$1),0)*($K4951+$L4951)/(SUMIF($A:$A,$A4951,$K:$K)+SUMIF($A:$A,$A4951,$L:$L)),0)</f>
        <v>-0.38648214920522062</v>
      </c>
      <c r="N4951" s="30">
        <f>IFERROR((VLOOKUP($A4951,HeadJournal!$A$1:$K$890,COLUMN(HeadJournal!K$1),0)-VLOOKUP($A4951,HeadJournal!$A$1:$K$890,COLUMN(HeadJournal!J$1),0))*($K4951+$L4951)/(SUMIF($A:$A,$A4951,$K:$K)+SUMIF($A:$A,$A4951,$L:$L)),0)</f>
        <v>-1.196566813153467E-15</v>
      </c>
      <c r="O4951" s="30">
        <f>IFERROR((VLOOKUP($A4951,HeadJournal!$A$1:$L$890,COLUMN(HeadJournal!L$1),0)*($K4951+$L4951)/(SUMIF($A:$A,$A4951,$K:$K)+SUMIF($A:$A,$A4951,$L:$L)))/VLOOKUP($A4951,HeadJournal!$A$1:$L$890,COLUMN(HeadJournal!H$1),0),0)</f>
        <v>0.21699393868275663</v>
      </c>
      <c r="P4951" s="30">
        <f>IFERROR(SUM(K4951:O4951)*VLOOKUP($A4951,HeadJournal!$A$1:$L$890,COLUMN(HeadJournal!H$1),0),0)</f>
        <v>731.03898430755157</v>
      </c>
      <c r="Q4951" s="29">
        <v>1350</v>
      </c>
      <c r="R4951" s="31">
        <v>45962</v>
      </c>
      <c r="S4951" s="31" t="s">
        <v>3466</v>
      </c>
      <c r="T4951" s="95" t="str">
        <f t="shared" si="372"/>
        <v>2025 11</v>
      </c>
      <c r="U4951" s="32">
        <f t="shared" si="354"/>
        <v>618.96101569244843</v>
      </c>
      <c r="V4951" s="22">
        <f t="shared" si="355"/>
        <v>0.84668674171834402</v>
      </c>
      <c r="X4951" s="33"/>
      <c r="Y4951" s="33"/>
    </row>
    <row r="4952" spans="1:25" x14ac:dyDescent="0.2">
      <c r="A4952" s="93" t="s">
        <v>4111</v>
      </c>
      <c r="B4952" s="94" t="str">
        <f>IFERROR(VLOOKUP($A4952,HeadJournal!$A$1:$NTR$890,COLUMN(HeadJournal!B$1),0),"")</f>
        <v>720000760663</v>
      </c>
      <c r="C4952" s="94" t="str">
        <f>IFERROR(VLOOKUP($A4952,HeadJournal!$A$1:$NTR$890,COLUMN(HeadJournal!C$1),0),"")</f>
        <v>iHerb_AV CYG0792</v>
      </c>
      <c r="D4952" s="125" t="str">
        <f>IFERROR(VLOOKUP($A4952,HeadJournal!$A$1:$NTR$890,COLUMN(HeadJournal!D$1),0),"")</f>
        <v>Доставлен</v>
      </c>
      <c r="E4952" s="95">
        <f>IFERROR(VLOOKUP($A4952,HeadJournal!$A$1:$NTR$890,COLUMN(HeadJournal!G$1),0),"")</f>
        <v>45885</v>
      </c>
      <c r="F4952" s="95" t="str">
        <f t="shared" si="371"/>
        <v>2025 08</v>
      </c>
      <c r="G4952" s="97" t="s">
        <v>5</v>
      </c>
      <c r="H4952" s="161" t="s">
        <v>2546</v>
      </c>
      <c r="I4952" s="97" t="s">
        <v>2039</v>
      </c>
      <c r="J4952" s="97" t="s">
        <v>2547</v>
      </c>
      <c r="K4952" s="29">
        <v>10.36</v>
      </c>
      <c r="L4952" s="29">
        <v>-2.0699999999999998</v>
      </c>
      <c r="M4952" s="30">
        <f>IFERROR(VLOOKUP($A4952,HeadJournal!$A$1:$J$890,COLUMN(HeadJournal!I$1),0)*($K4952+$L4952)/(SUMIF($A:$A,$A4952,$K:$K)+SUMIF($A:$A,$A4952,$L:$L)),0)</f>
        <v>-0.38648214920522062</v>
      </c>
      <c r="N4952" s="30">
        <f>IFERROR((VLOOKUP($A4952,HeadJournal!$A$1:$K$890,COLUMN(HeadJournal!K$1),0)-VLOOKUP($A4952,HeadJournal!$A$1:$K$890,COLUMN(HeadJournal!J$1),0))*($K4952+$L4952)/(SUMIF($A:$A,$A4952,$K:$K)+SUMIF($A:$A,$A4952,$L:$L)),0)</f>
        <v>-1.196566813153467E-15</v>
      </c>
      <c r="O4952" s="30">
        <f>IFERROR((VLOOKUP($A4952,HeadJournal!$A$1:$L$890,COLUMN(HeadJournal!L$1),0)*($K4952+$L4952)/(SUMIF($A:$A,$A4952,$K:$K)+SUMIF($A:$A,$A4952,$L:$L)))/VLOOKUP($A4952,HeadJournal!$A$1:$L$890,COLUMN(HeadJournal!H$1),0),0)</f>
        <v>0.21699393868275663</v>
      </c>
      <c r="P4952" s="30">
        <f>IFERROR(SUM(K4952:O4952)*VLOOKUP($A4952,HeadJournal!$A$1:$L$890,COLUMN(HeadJournal!H$1),0),0)</f>
        <v>731.03898430755157</v>
      </c>
      <c r="Q4952" s="29">
        <v>1700</v>
      </c>
      <c r="R4952" s="31">
        <v>46032</v>
      </c>
      <c r="S4952" s="31" t="s">
        <v>4555</v>
      </c>
      <c r="T4952" s="95" t="str">
        <f t="shared" si="372"/>
        <v>2026 01</v>
      </c>
      <c r="U4952" s="32">
        <f t="shared" si="354"/>
        <v>968.96101569244843</v>
      </c>
      <c r="V4952" s="22">
        <f t="shared" si="355"/>
        <v>1.3254573784601369</v>
      </c>
      <c r="X4952" s="33"/>
      <c r="Y4952" s="33"/>
    </row>
    <row r="4953" spans="1:25" x14ac:dyDescent="0.2">
      <c r="A4953" s="93" t="s">
        <v>4111</v>
      </c>
      <c r="B4953" s="94" t="str">
        <f>IFERROR(VLOOKUP($A4953,HeadJournal!$A$1:$NTR$890,COLUMN(HeadJournal!B$1),0),"")</f>
        <v>720000760663</v>
      </c>
      <c r="C4953" s="94" t="str">
        <f>IFERROR(VLOOKUP($A4953,HeadJournal!$A$1:$NTR$890,COLUMN(HeadJournal!C$1),0),"")</f>
        <v>iHerb_AV CYG0792</v>
      </c>
      <c r="D4953" s="125" t="str">
        <f>IFERROR(VLOOKUP($A4953,HeadJournal!$A$1:$NTR$890,COLUMN(HeadJournal!D$1),0),"")</f>
        <v>Доставлен</v>
      </c>
      <c r="E4953" s="95">
        <f>IFERROR(VLOOKUP($A4953,HeadJournal!$A$1:$NTR$890,COLUMN(HeadJournal!G$1),0),"")</f>
        <v>45885</v>
      </c>
      <c r="F4953" s="95" t="str">
        <f t="shared" si="371"/>
        <v>2025 08</v>
      </c>
      <c r="G4953" s="97" t="s">
        <v>5</v>
      </c>
      <c r="H4953" s="161" t="s">
        <v>2076</v>
      </c>
      <c r="I4953" s="97" t="s">
        <v>2005</v>
      </c>
      <c r="J4953" s="97" t="s">
        <v>2077</v>
      </c>
      <c r="K4953" s="29">
        <v>18.829999999999998</v>
      </c>
      <c r="L4953" s="29">
        <v>-3.77</v>
      </c>
      <c r="M4953" s="30">
        <f>IFERROR(VLOOKUP($A4953,HeadJournal!$A$1:$J$890,COLUMN(HeadJournal!I$1),0)*($K4953+$L4953)/(SUMIF($A:$A,$A4953,$K:$K)+SUMIF($A:$A,$A4953,$L:$L)),0)</f>
        <v>-0.70210146767558779</v>
      </c>
      <c r="N4953" s="30">
        <f>IFERROR((VLOOKUP($A4953,HeadJournal!$A$1:$K$890,COLUMN(HeadJournal!K$1),0)-VLOOKUP($A4953,HeadJournal!$A$1:$K$890,COLUMN(HeadJournal!J$1),0))*($K4953+$L4953)/(SUMIF($A:$A,$A4953,$K:$K)+SUMIF($A:$A,$A4953,$L:$L)),0)</f>
        <v>-2.1737389874657673E-15</v>
      </c>
      <c r="O4953" s="30">
        <f>IFERROR((VLOOKUP($A4953,HeadJournal!$A$1:$L$890,COLUMN(HeadJournal!L$1),0)*($K4953+$L4953)/(SUMIF($A:$A,$A4953,$K:$K)+SUMIF($A:$A,$A4953,$L:$L)))/VLOOKUP($A4953,HeadJournal!$A$1:$L$890,COLUMN(HeadJournal!H$1),0),0)</f>
        <v>0.39420129270956761</v>
      </c>
      <c r="P4953" s="30">
        <f>IFERROR(SUM(K4953:O4953)*VLOOKUP($A4953,HeadJournal!$A$1:$L$890,COLUMN(HeadJournal!H$1),0),0)</f>
        <v>1328.0394576202323</v>
      </c>
      <c r="Q4953" s="29">
        <v>2500</v>
      </c>
      <c r="R4953" s="31">
        <v>46069</v>
      </c>
      <c r="S4953" s="31" t="s">
        <v>3441</v>
      </c>
      <c r="T4953" s="95" t="str">
        <f t="shared" si="372"/>
        <v>2026 02</v>
      </c>
      <c r="U4953" s="32">
        <f t="shared" si="354"/>
        <v>1171.9605423797677</v>
      </c>
      <c r="V4953" s="22">
        <f t="shared" si="355"/>
        <v>0.88247418828944379</v>
      </c>
      <c r="X4953" s="33"/>
      <c r="Y4953" s="33"/>
    </row>
    <row r="4954" spans="1:25" x14ac:dyDescent="0.2">
      <c r="A4954" s="93" t="s">
        <v>4111</v>
      </c>
      <c r="B4954" s="94" t="str">
        <f>IFERROR(VLOOKUP($A4954,HeadJournal!$A$1:$NTR$890,COLUMN(HeadJournal!B$1),0),"")</f>
        <v>720000760663</v>
      </c>
      <c r="C4954" s="94" t="str">
        <f>IFERROR(VLOOKUP($A4954,HeadJournal!$A$1:$NTR$890,COLUMN(HeadJournal!C$1),0),"")</f>
        <v>iHerb_AV CYG0792</v>
      </c>
      <c r="D4954" s="125" t="str">
        <f>IFERROR(VLOOKUP($A4954,HeadJournal!$A$1:$NTR$890,COLUMN(HeadJournal!D$1),0),"")</f>
        <v>Доставлен</v>
      </c>
      <c r="E4954" s="95">
        <f>IFERROR(VLOOKUP($A4954,HeadJournal!$A$1:$NTR$890,COLUMN(HeadJournal!G$1),0),"")</f>
        <v>45885</v>
      </c>
      <c r="F4954" s="95" t="str">
        <f t="shared" si="371"/>
        <v>2025 08</v>
      </c>
      <c r="G4954" s="97" t="s">
        <v>5</v>
      </c>
      <c r="H4954" s="161" t="s">
        <v>2614</v>
      </c>
      <c r="I4954" s="97" t="s">
        <v>2005</v>
      </c>
      <c r="J4954" s="97" t="s">
        <v>2641</v>
      </c>
      <c r="K4954" s="29">
        <v>5.57</v>
      </c>
      <c r="L4954" s="29">
        <v>-1.1100000000000001</v>
      </c>
      <c r="M4954" s="30">
        <f>IFERROR(VLOOKUP($A4954,HeadJournal!$A$1:$J$890,COLUMN(HeadJournal!I$1),0)*($K4954+$L4954)/(SUMIF($A:$A,$A4954,$K:$K)+SUMIF($A:$A,$A4954,$L:$L)),0)</f>
        <v>-0.20792646386674113</v>
      </c>
      <c r="N4954" s="30">
        <f>IFERROR((VLOOKUP($A4954,HeadJournal!$A$1:$K$890,COLUMN(HeadJournal!K$1),0)-VLOOKUP($A4954,HeadJournal!$A$1:$K$890,COLUMN(HeadJournal!J$1),0))*($K4954+$L4954)/(SUMIF($A:$A,$A4954,$K:$K)+SUMIF($A:$A,$A4954,$L:$L)),0)</f>
        <v>-6.4375005870500155E-16</v>
      </c>
      <c r="O4954" s="30">
        <f>IFERROR((VLOOKUP($A4954,HeadJournal!$A$1:$L$890,COLUMN(HeadJournal!L$1),0)*($K4954+$L4954)/(SUMIF($A:$A,$A4954,$K:$K)+SUMIF($A:$A,$A4954,$L:$L)))/VLOOKUP($A4954,HeadJournal!$A$1:$L$890,COLUMN(HeadJournal!H$1),0),0)</f>
        <v>0.11674221550363025</v>
      </c>
      <c r="P4954" s="30">
        <f>IFERROR(SUM(K4954:O4954)*VLOOKUP($A4954,HeadJournal!$A$1:$L$890,COLUMN(HeadJournal!H$1),0),0)</f>
        <v>393.29720989284442</v>
      </c>
      <c r="Q4954" s="29">
        <v>1000</v>
      </c>
      <c r="R4954" s="31">
        <v>45976</v>
      </c>
      <c r="S4954" s="31" t="s">
        <v>3252</v>
      </c>
      <c r="T4954" s="95" t="str">
        <f t="shared" si="372"/>
        <v>2025 11</v>
      </c>
      <c r="U4954" s="32">
        <f t="shared" si="354"/>
        <v>606.70279010715558</v>
      </c>
      <c r="V4954" s="22">
        <f t="shared" si="355"/>
        <v>1.5426063924339928</v>
      </c>
      <c r="X4954" s="33"/>
      <c r="Y4954" s="33"/>
    </row>
    <row r="4955" spans="1:25" x14ac:dyDescent="0.2">
      <c r="A4955" s="93" t="s">
        <v>4111</v>
      </c>
      <c r="B4955" s="94" t="str">
        <f>IFERROR(VLOOKUP($A4955,HeadJournal!$A$1:$NTR$890,COLUMN(HeadJournal!B$1),0),"")</f>
        <v>720000760663</v>
      </c>
      <c r="C4955" s="94" t="str">
        <f>IFERROR(VLOOKUP($A4955,HeadJournal!$A$1:$NTR$890,COLUMN(HeadJournal!C$1),0),"")</f>
        <v>iHerb_AV CYG0792</v>
      </c>
      <c r="D4955" s="125" t="str">
        <f>IFERROR(VLOOKUP($A4955,HeadJournal!$A$1:$NTR$890,COLUMN(HeadJournal!D$1),0),"")</f>
        <v>Доставлен</v>
      </c>
      <c r="E4955" s="95">
        <f>IFERROR(VLOOKUP($A4955,HeadJournal!$A$1:$NTR$890,COLUMN(HeadJournal!G$1),0),"")</f>
        <v>45885</v>
      </c>
      <c r="F4955" s="95" t="str">
        <f t="shared" si="371"/>
        <v>2025 08</v>
      </c>
      <c r="G4955" s="97" t="s">
        <v>5</v>
      </c>
      <c r="H4955" s="161" t="s">
        <v>2027</v>
      </c>
      <c r="I4955" s="97" t="s">
        <v>2005</v>
      </c>
      <c r="J4955" s="97" t="s">
        <v>4110</v>
      </c>
      <c r="K4955" s="29">
        <v>8.06</v>
      </c>
      <c r="L4955" s="29">
        <v>-1.61</v>
      </c>
      <c r="M4955" s="30">
        <f>IFERROR(VLOOKUP($A4955,HeadJournal!$A$1:$J$890,COLUMN(HeadJournal!I$1),0)*($K4955+$L4955)/(SUMIF($A:$A,$A4955,$K:$K)+SUMIF($A:$A,$A4955,$L:$L)),0)</f>
        <v>-0.30070082778934532</v>
      </c>
      <c r="N4955" s="30">
        <f>IFERROR((VLOOKUP($A4955,HeadJournal!$A$1:$K$890,COLUMN(HeadJournal!K$1),0)-VLOOKUP($A4955,HeadJournal!$A$1:$K$890,COLUMN(HeadJournal!J$1),0))*($K4955+$L4955)/(SUMIF($A:$A,$A4955,$K:$K)+SUMIF($A:$A,$A4955,$L:$L)),0)</f>
        <v>-9.3098382929310775E-16</v>
      </c>
      <c r="O4955" s="30">
        <f>IFERROR((VLOOKUP($A4955,HeadJournal!$A$1:$L$890,COLUMN(HeadJournal!L$1),0)*($K4955+$L4955)/(SUMIF($A:$A,$A4955,$K:$K)+SUMIF($A:$A,$A4955,$L:$L)))/VLOOKUP($A4955,HeadJournal!$A$1:$L$890,COLUMN(HeadJournal!H$1),0),0)</f>
        <v>0.16883123094134869</v>
      </c>
      <c r="P4955" s="30">
        <f>IFERROR(SUM(K4955:O4955)*VLOOKUP($A4955,HeadJournal!$A$1:$L$890,COLUMN(HeadJournal!H$1),0),0)</f>
        <v>568.78183941902387</v>
      </c>
      <c r="Q4955" s="29">
        <v>1200</v>
      </c>
      <c r="R4955" s="31">
        <v>46039</v>
      </c>
      <c r="S4955" s="31"/>
      <c r="T4955" s="95" t="str">
        <f t="shared" si="372"/>
        <v>2026 01</v>
      </c>
      <c r="U4955" s="32">
        <f t="shared" si="354"/>
        <v>631.21816058097613</v>
      </c>
      <c r="V4955" s="22">
        <f t="shared" si="355"/>
        <v>1.1097720019080202</v>
      </c>
      <c r="X4955" s="33"/>
      <c r="Y4955" s="33"/>
    </row>
    <row r="4956" spans="1:25" x14ac:dyDescent="0.2">
      <c r="A4956" s="93" t="s">
        <v>4111</v>
      </c>
      <c r="B4956" s="94" t="str">
        <f>IFERROR(VLOOKUP($A4956,HeadJournal!$A$1:$NTR$890,COLUMN(HeadJournal!B$1),0),"")</f>
        <v>720000760663</v>
      </c>
      <c r="C4956" s="94" t="str">
        <f>IFERROR(VLOOKUP($A4956,HeadJournal!$A$1:$NTR$890,COLUMN(HeadJournal!C$1),0),"")</f>
        <v>iHerb_AV CYG0792</v>
      </c>
      <c r="D4956" s="125" t="str">
        <f>IFERROR(VLOOKUP($A4956,HeadJournal!$A$1:$NTR$890,COLUMN(HeadJournal!D$1),0),"")</f>
        <v>Доставлен</v>
      </c>
      <c r="E4956" s="95">
        <f>IFERROR(VLOOKUP($A4956,HeadJournal!$A$1:$NTR$890,COLUMN(HeadJournal!G$1),0),"")</f>
        <v>45885</v>
      </c>
      <c r="F4956" s="95" t="str">
        <f t="shared" si="371"/>
        <v>2025 08</v>
      </c>
      <c r="G4956" s="97" t="s">
        <v>5</v>
      </c>
      <c r="H4956" s="161" t="s">
        <v>2016</v>
      </c>
      <c r="I4956" s="97" t="s">
        <v>2005</v>
      </c>
      <c r="J4956" s="97" t="s">
        <v>2017</v>
      </c>
      <c r="K4956" s="29">
        <v>40.090000000000003</v>
      </c>
      <c r="L4956" s="29">
        <v>-8.02</v>
      </c>
      <c r="M4956" s="30">
        <f>IFERROR(VLOOKUP($A4956,HeadJournal!$A$1:$J$890,COLUMN(HeadJournal!I$1),0)*($K4956+$L4956)/(SUMIF($A:$A,$A4956,$K:$K)+SUMIF($A:$A,$A4956,$L:$L)),0)</f>
        <v>-1.4951124879386524</v>
      </c>
      <c r="N4956" s="30">
        <f>IFERROR((VLOOKUP($A4956,HeadJournal!$A$1:$K$890,COLUMN(HeadJournal!K$1),0)-VLOOKUP($A4956,HeadJournal!$A$1:$K$890,COLUMN(HeadJournal!J$1),0))*($K4956+$L4956)/(SUMIF($A:$A,$A4956,$K:$K)+SUMIF($A:$A,$A4956,$L:$L)),0)</f>
        <v>-4.6289382023922429E-15</v>
      </c>
      <c r="O4956" s="30">
        <f>IFERROR((VLOOKUP($A4956,HeadJournal!$A$1:$L$890,COLUMN(HeadJournal!L$1),0)*($K4956+$L4956)/(SUMIF($A:$A,$A4956,$K:$K)+SUMIF($A:$A,$A4956,$L:$L)))/VLOOKUP($A4956,HeadJournal!$A$1:$L$890,COLUMN(HeadJournal!H$1),0),0)</f>
        <v>0.83944458547117096</v>
      </c>
      <c r="P4956" s="30">
        <f>IFERROR(SUM(K4956:O4956)*VLOOKUP($A4956,HeadJournal!$A$1:$L$890,COLUMN(HeadJournal!H$1),0),0)</f>
        <v>2828.0362155299381</v>
      </c>
      <c r="Q4956" s="29">
        <v>4400</v>
      </c>
      <c r="R4956" s="31">
        <v>45942</v>
      </c>
      <c r="S4956" s="31"/>
      <c r="T4956" s="95" t="str">
        <f t="shared" si="372"/>
        <v>2025 10</v>
      </c>
      <c r="U4956" s="32">
        <f t="shared" si="354"/>
        <v>1571.9637844700619</v>
      </c>
      <c r="V4956" s="22">
        <f t="shared" si="355"/>
        <v>0.55584994839802493</v>
      </c>
      <c r="X4956" s="33"/>
      <c r="Y4956" s="33"/>
    </row>
    <row r="4957" spans="1:25" x14ac:dyDescent="0.2">
      <c r="A4957" s="93" t="s">
        <v>4116</v>
      </c>
      <c r="B4957" s="94" t="str">
        <f>IFERROR(VLOOKUP($A4957,HeadJournal!$A$1:$NTR$890,COLUMN(HeadJournal!B$1),0),"")</f>
        <v>722500504671</v>
      </c>
      <c r="C4957" s="94" t="str">
        <f>IFERROR(VLOOKUP($A4957,HeadJournal!$A$1:$NTR$890,COLUMN(HeadJournal!C$1),0),"")</f>
        <v>iHerb_OA CZN6870</v>
      </c>
      <c r="D4957" s="125" t="str">
        <f>IFERROR(VLOOKUP($A4957,HeadJournal!$A$1:$NTR$890,COLUMN(HeadJournal!D$1),0),"")</f>
        <v>Доставлен</v>
      </c>
      <c r="E4957" s="95">
        <f>IFERROR(VLOOKUP($A4957,HeadJournal!$A$1:$NTR$890,COLUMN(HeadJournal!G$1),0),"")</f>
        <v>45879</v>
      </c>
      <c r="F4957" s="95" t="str">
        <f t="shared" si="371"/>
        <v>2025 08</v>
      </c>
      <c r="G4957" s="97" t="s">
        <v>5</v>
      </c>
      <c r="H4957" s="161" t="s">
        <v>4113</v>
      </c>
      <c r="I4957" s="97" t="s">
        <v>2102</v>
      </c>
      <c r="J4957" s="97" t="s">
        <v>4114</v>
      </c>
      <c r="K4957" s="29">
        <v>43.91</v>
      </c>
      <c r="L4957" s="29">
        <v>-4.3899999999999997</v>
      </c>
      <c r="M4957" s="30">
        <f>IFERROR(VLOOKUP($A4957,HeadJournal!$A$1:$J$890,COLUMN(HeadJournal!I$1),0)*($K4957+$L4957)/(SUMIF($A:$A,$A4957,$K:$K)+SUMIF($A:$A,$A4957,$L:$L)),0)</f>
        <v>-1.5812928705050924</v>
      </c>
      <c r="N4957" s="30">
        <f>IFERROR((VLOOKUP($A4957,HeadJournal!$A$1:$K$890,COLUMN(HeadJournal!K$1),0)-VLOOKUP($A4957,HeadJournal!$A$1:$K$890,COLUMN(HeadJournal!J$1),0))*($K4957+$L4957)/(SUMIF($A:$A,$A4957,$K:$K)+SUMIF($A:$A,$A4957,$L:$L)),0)</f>
        <v>0</v>
      </c>
      <c r="O4957" s="30">
        <f>IFERROR((VLOOKUP($A4957,HeadJournal!$A$1:$L$890,COLUMN(HeadJournal!L$1),0)*($K4957+$L4957)/(SUMIF($A:$A,$A4957,$K:$K)+SUMIF($A:$A,$A4957,$L:$L)))/VLOOKUP($A4957,HeadJournal!$A$1:$L$890,COLUMN(HeadJournal!H$1),0),0)</f>
        <v>1.0591946037780111</v>
      </c>
      <c r="P4957" s="30">
        <f>IFERROR(SUM(K4957:O4957)*VLOOKUP($A4957,HeadJournal!$A$1:$L$890,COLUMN(HeadJournal!H$1),0),0)</f>
        <v>3508.3672583662428</v>
      </c>
      <c r="Q4957" s="29">
        <v>4500</v>
      </c>
      <c r="R4957" s="31">
        <v>45913</v>
      </c>
      <c r="S4957" s="31"/>
      <c r="T4957" s="95" t="str">
        <f t="shared" si="372"/>
        <v>2025 09</v>
      </c>
      <c r="U4957" s="32">
        <f t="shared" si="354"/>
        <v>991.63274163375718</v>
      </c>
      <c r="V4957" s="22">
        <f t="shared" si="355"/>
        <v>0.28264792953732421</v>
      </c>
      <c r="X4957" s="33"/>
      <c r="Y4957" s="33"/>
    </row>
    <row r="4958" spans="1:25" x14ac:dyDescent="0.2">
      <c r="A4958" s="93" t="s">
        <v>4116</v>
      </c>
      <c r="B4958" s="94" t="str">
        <f>IFERROR(VLOOKUP($A4958,HeadJournal!$A$1:$NTR$890,COLUMN(HeadJournal!B$1),0),"")</f>
        <v>722500504671</v>
      </c>
      <c r="C4958" s="94" t="str">
        <f>IFERROR(VLOOKUP($A4958,HeadJournal!$A$1:$NTR$890,COLUMN(HeadJournal!C$1),0),"")</f>
        <v>iHerb_OA CZN6870</v>
      </c>
      <c r="D4958" s="125" t="str">
        <f>IFERROR(VLOOKUP($A4958,HeadJournal!$A$1:$NTR$890,COLUMN(HeadJournal!D$1),0),"")</f>
        <v>Доставлен</v>
      </c>
      <c r="E4958" s="95">
        <f>IFERROR(VLOOKUP($A4958,HeadJournal!$A$1:$NTR$890,COLUMN(HeadJournal!G$1),0),"")</f>
        <v>45879</v>
      </c>
      <c r="F4958" s="95" t="str">
        <f t="shared" si="371"/>
        <v>2025 08</v>
      </c>
      <c r="G4958" s="97" t="s">
        <v>5</v>
      </c>
      <c r="H4958" s="161" t="s">
        <v>2755</v>
      </c>
      <c r="I4958" s="97" t="s">
        <v>2005</v>
      </c>
      <c r="J4958" s="97" t="s">
        <v>2756</v>
      </c>
      <c r="K4958" s="29">
        <v>17.239999999999998</v>
      </c>
      <c r="L4958" s="29">
        <v>-1.72</v>
      </c>
      <c r="M4958" s="30">
        <f>IFERROR(VLOOKUP($A4958,HeadJournal!$A$1:$J$890,COLUMN(HeadJournal!I$1),0)*($K4958+$L4958)/(SUMIF($A:$A,$A4958,$K:$K)+SUMIF($A:$A,$A4958,$L:$L)),0)</f>
        <v>-0.62099355643317389</v>
      </c>
      <c r="N4958" s="30">
        <f>IFERROR((VLOOKUP($A4958,HeadJournal!$A$1:$K$890,COLUMN(HeadJournal!K$1),0)-VLOOKUP($A4958,HeadJournal!$A$1:$K$890,COLUMN(HeadJournal!J$1),0))*($K4958+$L4958)/(SUMIF($A:$A,$A4958,$K:$K)+SUMIF($A:$A,$A4958,$L:$L)),0)</f>
        <v>0</v>
      </c>
      <c r="O4958" s="30">
        <f>IFERROR((VLOOKUP($A4958,HeadJournal!$A$1:$L$890,COLUMN(HeadJournal!L$1),0)*($K4958+$L4958)/(SUMIF($A:$A,$A4958,$K:$K)+SUMIF($A:$A,$A4958,$L:$L)))/VLOOKUP($A4958,HeadJournal!$A$1:$L$890,COLUMN(HeadJournal!H$1),0),0)</f>
        <v>0.41595901443913791</v>
      </c>
      <c r="P4958" s="30">
        <f>IFERROR(SUM(K4958:O4958)*VLOOKUP($A4958,HeadJournal!$A$1:$L$890,COLUMN(HeadJournal!H$1),0),0)</f>
        <v>1377.7798545001037</v>
      </c>
      <c r="Q4958" s="29">
        <v>2400</v>
      </c>
      <c r="R4958" s="31">
        <v>45907</v>
      </c>
      <c r="S4958" s="31" t="s">
        <v>3198</v>
      </c>
      <c r="T4958" s="95" t="str">
        <f t="shared" si="372"/>
        <v>2025 09</v>
      </c>
      <c r="U4958" s="32">
        <f t="shared" si="354"/>
        <v>1022.2201454998963</v>
      </c>
      <c r="V4958" s="22">
        <f t="shared" si="355"/>
        <v>0.74193285825824895</v>
      </c>
      <c r="X4958" s="33"/>
      <c r="Y4958" s="33"/>
    </row>
    <row r="4959" spans="1:25" x14ac:dyDescent="0.2">
      <c r="A4959" s="93" t="s">
        <v>4116</v>
      </c>
      <c r="B4959" s="94" t="str">
        <f>IFERROR(VLOOKUP($A4959,HeadJournal!$A$1:$NTR$890,COLUMN(HeadJournal!B$1),0),"")</f>
        <v>722500504671</v>
      </c>
      <c r="C4959" s="94" t="str">
        <f>IFERROR(VLOOKUP($A4959,HeadJournal!$A$1:$NTR$890,COLUMN(HeadJournal!C$1),0),"")</f>
        <v>iHerb_OA CZN6870</v>
      </c>
      <c r="D4959" s="125" t="str">
        <f>IFERROR(VLOOKUP($A4959,HeadJournal!$A$1:$NTR$890,COLUMN(HeadJournal!D$1),0),"")</f>
        <v>Доставлен</v>
      </c>
      <c r="E4959" s="95">
        <f>IFERROR(VLOOKUP($A4959,HeadJournal!$A$1:$NTR$890,COLUMN(HeadJournal!G$1),0),"")</f>
        <v>45879</v>
      </c>
      <c r="F4959" s="95" t="str">
        <f t="shared" si="371"/>
        <v>2025 08</v>
      </c>
      <c r="G4959" s="97" t="s">
        <v>5</v>
      </c>
      <c r="H4959" s="161" t="s">
        <v>4096</v>
      </c>
      <c r="I4959" s="97" t="s">
        <v>4097</v>
      </c>
      <c r="J4959" s="97" t="s">
        <v>4098</v>
      </c>
      <c r="K4959" s="29">
        <v>65.13</v>
      </c>
      <c r="L4959" s="29">
        <v>-6.51</v>
      </c>
      <c r="M4959" s="30">
        <f>IFERROR(VLOOKUP($A4959,HeadJournal!$A$1:$J$890,COLUMN(HeadJournal!I$1),0)*($K4959+$L4959)/(SUMIF($A:$A,$A4959,$K:$K)+SUMIF($A:$A,$A4959,$L:$L)),0)</f>
        <v>-2.345531074620661</v>
      </c>
      <c r="N4959" s="30">
        <f>IFERROR((VLOOKUP($A4959,HeadJournal!$A$1:$K$890,COLUMN(HeadJournal!K$1),0)-VLOOKUP($A4959,HeadJournal!$A$1:$K$890,COLUMN(HeadJournal!J$1),0))*($K4959+$L4959)/(SUMIF($A:$A,$A4959,$K:$K)+SUMIF($A:$A,$A4959,$L:$L)),0)</f>
        <v>0</v>
      </c>
      <c r="O4959" s="30">
        <f>IFERROR((VLOOKUP($A4959,HeadJournal!$A$1:$L$890,COLUMN(HeadJournal!L$1),0)*($K4959+$L4959)/(SUMIF($A:$A,$A4959,$K:$K)+SUMIF($A:$A,$A4959,$L:$L)))/VLOOKUP($A4959,HeadJournal!$A$1:$L$890,COLUMN(HeadJournal!H$1),0),0)</f>
        <v>1.5711029269601977</v>
      </c>
      <c r="P4959" s="30">
        <f>IFERROR(SUM(K4959:O4959)*VLOOKUP($A4959,HeadJournal!$A$1:$L$890,COLUMN(HeadJournal!H$1),0),0)</f>
        <v>5203.9597339430466</v>
      </c>
      <c r="Q4959" s="29">
        <v>6500</v>
      </c>
      <c r="R4959" s="31">
        <v>45910</v>
      </c>
      <c r="S4959" s="31" t="s">
        <v>3235</v>
      </c>
      <c r="T4959" s="95" t="str">
        <f t="shared" si="372"/>
        <v>2025 09</v>
      </c>
      <c r="U4959" s="32">
        <f t="shared" si="354"/>
        <v>1296.0402660569534</v>
      </c>
      <c r="V4959" s="22">
        <f t="shared" si="355"/>
        <v>0.24904886515617641</v>
      </c>
      <c r="X4959" s="33"/>
      <c r="Y4959" s="33"/>
    </row>
    <row r="4960" spans="1:25" x14ac:dyDescent="0.2">
      <c r="A4960" s="93" t="s">
        <v>4116</v>
      </c>
      <c r="B4960" s="94" t="str">
        <f>IFERROR(VLOOKUP($A4960,HeadJournal!$A$1:$NTR$890,COLUMN(HeadJournal!B$1),0),"")</f>
        <v>722500504671</v>
      </c>
      <c r="C4960" s="94" t="str">
        <f>IFERROR(VLOOKUP($A4960,HeadJournal!$A$1:$NTR$890,COLUMN(HeadJournal!C$1),0),"")</f>
        <v>iHerb_OA CZN6870</v>
      </c>
      <c r="D4960" s="125" t="str">
        <f>IFERROR(VLOOKUP($A4960,HeadJournal!$A$1:$NTR$890,COLUMN(HeadJournal!D$1),0),"")</f>
        <v>Доставлен</v>
      </c>
      <c r="E4960" s="95">
        <f>IFERROR(VLOOKUP($A4960,HeadJournal!$A$1:$NTR$890,COLUMN(HeadJournal!G$1),0),"")</f>
        <v>45879</v>
      </c>
      <c r="F4960" s="95" t="str">
        <f t="shared" si="371"/>
        <v>2025 08</v>
      </c>
      <c r="G4960" s="97" t="s">
        <v>5</v>
      </c>
      <c r="H4960" s="161" t="s">
        <v>4044</v>
      </c>
      <c r="I4960" s="97" t="s">
        <v>2163</v>
      </c>
      <c r="J4960" s="97" t="s">
        <v>4045</v>
      </c>
      <c r="K4960" s="29">
        <v>31.95</v>
      </c>
      <c r="L4960" s="29">
        <v>-3.2</v>
      </c>
      <c r="M4960" s="30">
        <f>IFERROR(VLOOKUP($A4960,HeadJournal!$A$1:$J$890,COLUMN(HeadJournal!I$1),0)*($K4960+$L4960)/(SUMIF($A:$A,$A4960,$K:$K)+SUMIF($A:$A,$A4960,$L:$L)),0)</f>
        <v>-1.1503585533153191</v>
      </c>
      <c r="N4960" s="30">
        <f>IFERROR((VLOOKUP($A4960,HeadJournal!$A$1:$K$890,COLUMN(HeadJournal!K$1),0)-VLOOKUP($A4960,HeadJournal!$A$1:$K$890,COLUMN(HeadJournal!J$1),0))*($K4960+$L4960)/(SUMIF($A:$A,$A4960,$K:$K)+SUMIF($A:$A,$A4960,$L:$L)),0)</f>
        <v>0</v>
      </c>
      <c r="O4960" s="30">
        <f>IFERROR((VLOOKUP($A4960,HeadJournal!$A$1:$L$890,COLUMN(HeadJournal!L$1),0)*($K4960+$L4960)/(SUMIF($A:$A,$A4960,$K:$K)+SUMIF($A:$A,$A4960,$L:$L)))/VLOOKUP($A4960,HeadJournal!$A$1:$L$890,COLUMN(HeadJournal!H$1),0),0)</f>
        <v>0.77054263306219184</v>
      </c>
      <c r="P4960" s="30">
        <f>IFERROR(SUM(K4960:O4960)*VLOOKUP($A4960,HeadJournal!$A$1:$L$890,COLUMN(HeadJournal!H$1),0),0)</f>
        <v>2552.2661608813137</v>
      </c>
      <c r="Q4960" s="29">
        <v>3800</v>
      </c>
      <c r="R4960" s="31">
        <v>45907</v>
      </c>
      <c r="S4960" s="31"/>
      <c r="T4960" s="95" t="str">
        <f t="shared" si="372"/>
        <v>2025 09</v>
      </c>
      <c r="U4960" s="32">
        <f t="shared" si="354"/>
        <v>1247.7338391186863</v>
      </c>
      <c r="V4960" s="22">
        <f t="shared" si="355"/>
        <v>0.48887293113968799</v>
      </c>
      <c r="X4960" s="33"/>
      <c r="Y4960" s="33"/>
    </row>
    <row r="4961" spans="1:25" x14ac:dyDescent="0.2">
      <c r="A4961" s="93" t="s">
        <v>4116</v>
      </c>
      <c r="B4961" s="94" t="str">
        <f>IFERROR(VLOOKUP($A4961,HeadJournal!$A$1:$NTR$890,COLUMN(HeadJournal!B$1),0),"")</f>
        <v>722500504671</v>
      </c>
      <c r="C4961" s="94" t="str">
        <f>IFERROR(VLOOKUP($A4961,HeadJournal!$A$1:$NTR$890,COLUMN(HeadJournal!C$1),0),"")</f>
        <v>iHerb_OA CZN6870</v>
      </c>
      <c r="D4961" s="125" t="str">
        <f>IFERROR(VLOOKUP($A4961,HeadJournal!$A$1:$NTR$890,COLUMN(HeadJournal!D$1),0),"")</f>
        <v>Доставлен</v>
      </c>
      <c r="E4961" s="95">
        <f>IFERROR(VLOOKUP($A4961,HeadJournal!$A$1:$NTR$890,COLUMN(HeadJournal!G$1),0),"")</f>
        <v>45879</v>
      </c>
      <c r="F4961" s="95" t="str">
        <f t="shared" si="371"/>
        <v>2025 08</v>
      </c>
      <c r="G4961" s="97" t="s">
        <v>5</v>
      </c>
      <c r="H4961" s="161" t="s">
        <v>3024</v>
      </c>
      <c r="I4961" s="97" t="s">
        <v>2166</v>
      </c>
      <c r="J4961" s="97" t="s">
        <v>4115</v>
      </c>
      <c r="K4961" s="29">
        <v>31.43</v>
      </c>
      <c r="L4961" s="29">
        <v>-3.14</v>
      </c>
      <c r="M4961" s="30">
        <f>IFERROR(VLOOKUP($A4961,HeadJournal!$A$1:$J$890,COLUMN(HeadJournal!I$1),0)*($K4961+$L4961)/(SUMIF($A:$A,$A4961,$K:$K)+SUMIF($A:$A,$A4961,$L:$L)),0)</f>
        <v>-1.1319528164622739</v>
      </c>
      <c r="N4961" s="30">
        <f>IFERROR((VLOOKUP($A4961,HeadJournal!$A$1:$K$890,COLUMN(HeadJournal!K$1),0)-VLOOKUP($A4961,HeadJournal!$A$1:$K$890,COLUMN(HeadJournal!J$1),0))*($K4961+$L4961)/(SUMIF($A:$A,$A4961,$K:$K)+SUMIF($A:$A,$A4961,$L:$L)),0)</f>
        <v>0</v>
      </c>
      <c r="O4961" s="30">
        <f>IFERROR((VLOOKUP($A4961,HeadJournal!$A$1:$L$890,COLUMN(HeadJournal!L$1),0)*($K4961+$L4961)/(SUMIF($A:$A,$A4961,$K:$K)+SUMIF($A:$A,$A4961,$L:$L)))/VLOOKUP($A4961,HeadJournal!$A$1:$L$890,COLUMN(HeadJournal!H$1),0),0)</f>
        <v>0.75821395093319666</v>
      </c>
      <c r="P4961" s="30">
        <f>IFERROR(SUM(K4961:O4961)*VLOOKUP($A4961,HeadJournal!$A$1:$L$890,COLUMN(HeadJournal!H$1),0),0)</f>
        <v>2511.4299023072122</v>
      </c>
      <c r="Q4961" s="29">
        <v>3600</v>
      </c>
      <c r="R4961" s="31">
        <v>45907</v>
      </c>
      <c r="S4961" s="31"/>
      <c r="T4961" s="95" t="str">
        <f t="shared" si="372"/>
        <v>2025 09</v>
      </c>
      <c r="U4961" s="32">
        <f t="shared" si="354"/>
        <v>1088.5700976927878</v>
      </c>
      <c r="V4961" s="22">
        <f t="shared" si="355"/>
        <v>0.4334463393514329</v>
      </c>
      <c r="X4961" s="33"/>
      <c r="Y4961" s="33"/>
    </row>
    <row r="4962" spans="1:25" x14ac:dyDescent="0.2">
      <c r="A4962" s="93" t="s">
        <v>4116</v>
      </c>
      <c r="B4962" s="94" t="str">
        <f>IFERROR(VLOOKUP($A4962,HeadJournal!$A$1:$NTR$890,COLUMN(HeadJournal!B$1),0),"")</f>
        <v>722500504671</v>
      </c>
      <c r="C4962" s="94" t="str">
        <f>IFERROR(VLOOKUP($A4962,HeadJournal!$A$1:$NTR$890,COLUMN(HeadJournal!C$1),0),"")</f>
        <v>iHerb_OA CZN6870</v>
      </c>
      <c r="D4962" s="125" t="str">
        <f>IFERROR(VLOOKUP($A4962,HeadJournal!$A$1:$NTR$890,COLUMN(HeadJournal!D$1),0),"")</f>
        <v>Доставлен</v>
      </c>
      <c r="E4962" s="95">
        <f>IFERROR(VLOOKUP($A4962,HeadJournal!$A$1:$NTR$890,COLUMN(HeadJournal!G$1),0),"")</f>
        <v>45879</v>
      </c>
      <c r="F4962" s="95" t="str">
        <f t="shared" si="371"/>
        <v>2025 08</v>
      </c>
      <c r="G4962" s="97" t="s">
        <v>5</v>
      </c>
      <c r="H4962" s="161" t="s">
        <v>3796</v>
      </c>
      <c r="I4962" s="97" t="s">
        <v>2009</v>
      </c>
      <c r="J4962" s="97" t="s">
        <v>3797</v>
      </c>
      <c r="K4962" s="29">
        <v>24.16</v>
      </c>
      <c r="L4962" s="29">
        <v>-2.42</v>
      </c>
      <c r="M4962" s="30">
        <f>IFERROR(VLOOKUP($A4962,HeadJournal!$A$1:$J$890,COLUMN(HeadJournal!I$1),0)*($K4962+$L4962)/(SUMIF($A:$A,$A4962,$K:$K)+SUMIF($A:$A,$A4962,$L:$L)),0)</f>
        <v>-0.86987112866347971</v>
      </c>
      <c r="N4962" s="30">
        <f>IFERROR((VLOOKUP($A4962,HeadJournal!$A$1:$K$890,COLUMN(HeadJournal!K$1),0)-VLOOKUP($A4962,HeadJournal!$A$1:$K$890,COLUMN(HeadJournal!J$1),0))*($K4962+$L4962)/(SUMIF($A:$A,$A4962,$K:$K)+SUMIF($A:$A,$A4962,$L:$L)),0)</f>
        <v>0</v>
      </c>
      <c r="O4962" s="30">
        <f>IFERROR((VLOOKUP($A4962,HeadJournal!$A$1:$L$890,COLUMN(HeadJournal!L$1),0)*($K4962+$L4962)/(SUMIF($A:$A,$A4962,$K:$K)+SUMIF($A:$A,$A4962,$L:$L)))/VLOOKUP($A4962,HeadJournal!$A$1:$L$890,COLUMN(HeadJournal!H$1),0),0)</f>
        <v>0.58266423800946265</v>
      </c>
      <c r="P4962" s="30">
        <f>IFERROR(SUM(K4962:O4962)*VLOOKUP($A4962,HeadJournal!$A$1:$L$890,COLUMN(HeadJournal!H$1),0),0)</f>
        <v>1929.9570900020788</v>
      </c>
      <c r="Q4962" s="29">
        <v>2900</v>
      </c>
      <c r="R4962" s="31">
        <v>45907</v>
      </c>
      <c r="S4962" s="31"/>
      <c r="T4962" s="95" t="str">
        <f t="shared" si="372"/>
        <v>2025 09</v>
      </c>
      <c r="U4962" s="32">
        <f t="shared" si="354"/>
        <v>970.04290999792124</v>
      </c>
      <c r="V4962" s="22">
        <f t="shared" si="355"/>
        <v>0.50262408165607264</v>
      </c>
      <c r="X4962" s="33"/>
      <c r="Y4962" s="33"/>
    </row>
    <row r="4963" spans="1:25" x14ac:dyDescent="0.2">
      <c r="A4963" s="93" t="s">
        <v>4125</v>
      </c>
      <c r="B4963" s="94" t="str">
        <f>IFERROR(VLOOKUP($A4963,HeadJournal!$A$1:$NTR$890,COLUMN(HeadJournal!B$1),0),"")</f>
        <v>720000756480</v>
      </c>
      <c r="C4963" s="94" t="str">
        <f>IFERROR(VLOOKUP($A4963,HeadJournal!$A$1:$NTR$890,COLUMN(HeadJournal!C$1),0),"")</f>
        <v>iHerb_OA CZN6870</v>
      </c>
      <c r="D4963" s="125" t="str">
        <f>IFERROR(VLOOKUP($A4963,HeadJournal!$A$1:$NTR$890,COLUMN(HeadJournal!D$1),0),"")</f>
        <v>Доставлен</v>
      </c>
      <c r="E4963" s="95">
        <f>IFERROR(VLOOKUP($A4963,HeadJournal!$A$1:$NTR$890,COLUMN(HeadJournal!G$1),0),"")</f>
        <v>45881</v>
      </c>
      <c r="F4963" s="95" t="str">
        <f t="shared" si="371"/>
        <v>2025 08</v>
      </c>
      <c r="G4963" s="97" t="s">
        <v>5</v>
      </c>
      <c r="H4963" s="161" t="s">
        <v>3013</v>
      </c>
      <c r="I4963" s="97" t="s">
        <v>2993</v>
      </c>
      <c r="J4963" s="97" t="s">
        <v>3014</v>
      </c>
      <c r="K4963" s="29">
        <v>60</v>
      </c>
      <c r="L4963" s="29">
        <v>-6</v>
      </c>
      <c r="M4963" s="30">
        <f>IFERROR(VLOOKUP($A4963,HeadJournal!$A$1:$J$890,COLUMN(HeadJournal!I$1),0)*($K4963+$L4963)/(SUMIF($A:$A,$A4963,$K:$K)+SUMIF($A:$A,$A4963,$L:$L)),0)</f>
        <v>-2.5045126353790619</v>
      </c>
      <c r="N4963" s="30">
        <f>IFERROR((VLOOKUP($A4963,HeadJournal!$A$1:$K$890,COLUMN(HeadJournal!K$1),0)-VLOOKUP($A4963,HeadJournal!$A$1:$K$890,COLUMN(HeadJournal!J$1),0))*($K4963+$L4963)/(SUMIF($A:$A,$A4963,$K:$K)+SUMIF($A:$A,$A4963,$L:$L)),0)</f>
        <v>7.6954086905426018E-15</v>
      </c>
      <c r="O4963" s="30">
        <f>IFERROR((VLOOKUP($A4963,HeadJournal!$A$1:$L$890,COLUMN(HeadJournal!L$1),0)*($K4963+$L4963)/(SUMIF($A:$A,$A4963,$K:$K)+SUMIF($A:$A,$A4963,$L:$L)))/VLOOKUP($A4963,HeadJournal!$A$1:$L$890,COLUMN(HeadJournal!H$1),0),0)</f>
        <v>1.3956076873312575</v>
      </c>
      <c r="P4963" s="30">
        <f>IFERROR(SUM(K4963:O4963)*VLOOKUP($A4963,HeadJournal!$A$1:$L$890,COLUMN(HeadJournal!H$1),0),0)</f>
        <v>4761.2247292418779</v>
      </c>
      <c r="Q4963" s="29">
        <v>5900</v>
      </c>
      <c r="R4963" s="31">
        <v>45907</v>
      </c>
      <c r="S4963" s="31" t="s">
        <v>3475</v>
      </c>
      <c r="T4963" s="95" t="str">
        <f t="shared" si="372"/>
        <v>2025 09</v>
      </c>
      <c r="U4963" s="32">
        <f t="shared" si="354"/>
        <v>1138.7752707581221</v>
      </c>
      <c r="V4963" s="22">
        <f t="shared" si="355"/>
        <v>0.23917696297008176</v>
      </c>
      <c r="X4963" s="33"/>
      <c r="Y4963" s="33"/>
    </row>
    <row r="4964" spans="1:25" x14ac:dyDescent="0.2">
      <c r="A4964" s="93" t="s">
        <v>4125</v>
      </c>
      <c r="B4964" s="94" t="str">
        <f>IFERROR(VLOOKUP($A4964,HeadJournal!$A$1:$NTR$890,COLUMN(HeadJournal!B$1),0),"")</f>
        <v>720000756480</v>
      </c>
      <c r="C4964" s="94" t="str">
        <f>IFERROR(VLOOKUP($A4964,HeadJournal!$A$1:$NTR$890,COLUMN(HeadJournal!C$1),0),"")</f>
        <v>iHerb_OA CZN6870</v>
      </c>
      <c r="D4964" s="125" t="str">
        <f>IFERROR(VLOOKUP($A4964,HeadJournal!$A$1:$NTR$890,COLUMN(HeadJournal!D$1),0),"")</f>
        <v>Доставлен</v>
      </c>
      <c r="E4964" s="95">
        <f>IFERROR(VLOOKUP($A4964,HeadJournal!$A$1:$NTR$890,COLUMN(HeadJournal!G$1),0),"")</f>
        <v>45881</v>
      </c>
      <c r="F4964" s="95" t="str">
        <f t="shared" si="371"/>
        <v>2025 08</v>
      </c>
      <c r="G4964" s="97" t="s">
        <v>5</v>
      </c>
      <c r="H4964" s="161" t="s">
        <v>3785</v>
      </c>
      <c r="I4964" s="97" t="s">
        <v>2856</v>
      </c>
      <c r="J4964" s="97" t="s">
        <v>3786</v>
      </c>
      <c r="K4964" s="29">
        <v>27.21</v>
      </c>
      <c r="L4964" s="29">
        <v>-2.72</v>
      </c>
      <c r="M4964" s="30">
        <f>IFERROR(VLOOKUP($A4964,HeadJournal!$A$1:$J$890,COLUMN(HeadJournal!I$1),0)*($K4964+$L4964)/(SUMIF($A:$A,$A4964,$K:$K)+SUMIF($A:$A,$A4964,$L:$L)),0)</f>
        <v>-1.1358428600080228</v>
      </c>
      <c r="N4964" s="30">
        <f>IFERROR((VLOOKUP($A4964,HeadJournal!$A$1:$K$890,COLUMN(HeadJournal!K$1),0)-VLOOKUP($A4964,HeadJournal!$A$1:$K$890,COLUMN(HeadJournal!J$1),0))*($K4964+$L4964)/(SUMIF($A:$A,$A4964,$K:$K)+SUMIF($A:$A,$A4964,$L:$L)),0)</f>
        <v>3.4900103487294137E-15</v>
      </c>
      <c r="O4964" s="30">
        <f>IFERROR((VLOOKUP($A4964,HeadJournal!$A$1:$L$890,COLUMN(HeadJournal!L$1),0)*($K4964+$L4964)/(SUMIF($A:$A,$A4964,$K:$K)+SUMIF($A:$A,$A4964,$L:$L)))/VLOOKUP($A4964,HeadJournal!$A$1:$L$890,COLUMN(HeadJournal!H$1),0),0)</f>
        <v>0.63293393079152771</v>
      </c>
      <c r="P4964" s="30">
        <f>IFERROR(SUM(K4964:O4964)*VLOOKUP($A4964,HeadJournal!$A$1:$L$890,COLUMN(HeadJournal!H$1),0),0)</f>
        <v>2159.303585539511</v>
      </c>
      <c r="Q4964" s="29">
        <v>2950</v>
      </c>
      <c r="R4964" s="31">
        <v>45907</v>
      </c>
      <c r="S4964" s="31" t="s">
        <v>3475</v>
      </c>
      <c r="T4964" s="95" t="str">
        <f t="shared" si="372"/>
        <v>2025 09</v>
      </c>
      <c r="U4964" s="32">
        <f t="shared" si="354"/>
        <v>790.696414460489</v>
      </c>
      <c r="V4964" s="22">
        <f t="shared" si="355"/>
        <v>0.36618121683104149</v>
      </c>
      <c r="X4964" s="33"/>
      <c r="Y4964" s="33"/>
    </row>
    <row r="4965" spans="1:25" x14ac:dyDescent="0.2">
      <c r="A4965" s="93" t="s">
        <v>4125</v>
      </c>
      <c r="B4965" s="94" t="str">
        <f>IFERROR(VLOOKUP($A4965,HeadJournal!$A$1:$NTR$890,COLUMN(HeadJournal!B$1),0),"")</f>
        <v>720000756480</v>
      </c>
      <c r="C4965" s="94" t="str">
        <f>IFERROR(VLOOKUP($A4965,HeadJournal!$A$1:$NTR$890,COLUMN(HeadJournal!C$1),0),"")</f>
        <v>iHerb_OA CZN6870</v>
      </c>
      <c r="D4965" s="125" t="str">
        <f>IFERROR(VLOOKUP($A4965,HeadJournal!$A$1:$NTR$890,COLUMN(HeadJournal!D$1),0),"")</f>
        <v>Доставлен</v>
      </c>
      <c r="E4965" s="95">
        <f>IFERROR(VLOOKUP($A4965,HeadJournal!$A$1:$NTR$890,COLUMN(HeadJournal!G$1),0),"")</f>
        <v>45881</v>
      </c>
      <c r="F4965" s="95" t="str">
        <f t="shared" si="371"/>
        <v>2025 08</v>
      </c>
      <c r="G4965" s="97" t="s">
        <v>5</v>
      </c>
      <c r="H4965" s="161" t="s">
        <v>3067</v>
      </c>
      <c r="I4965" s="97" t="s">
        <v>2460</v>
      </c>
      <c r="J4965" s="97" t="s">
        <v>3068</v>
      </c>
      <c r="K4965" s="29">
        <v>33.130000000000003</v>
      </c>
      <c r="L4965" s="29">
        <v>-3.31</v>
      </c>
      <c r="M4965" s="30">
        <f>IFERROR(VLOOKUP($A4965,HeadJournal!$A$1:$J$890,COLUMN(HeadJournal!I$1),0)*($K4965+$L4965)/(SUMIF($A:$A,$A4965,$K:$K)+SUMIF($A:$A,$A4965,$L:$L)),0)</f>
        <v>-1.3830475330926599</v>
      </c>
      <c r="N4965" s="30">
        <f>IFERROR((VLOOKUP($A4965,HeadJournal!$A$1:$K$890,COLUMN(HeadJournal!K$1),0)-VLOOKUP($A4965,HeadJournal!$A$1:$K$890,COLUMN(HeadJournal!J$1),0))*($K4965+$L4965)/(SUMIF($A:$A,$A4965,$K:$K)+SUMIF($A:$A,$A4965,$L:$L)),0)</f>
        <v>4.249575687999638E-15</v>
      </c>
      <c r="O4965" s="30">
        <f>IFERROR((VLOOKUP($A4965,HeadJournal!$A$1:$L$890,COLUMN(HeadJournal!L$1),0)*($K4965+$L4965)/(SUMIF($A:$A,$A4965,$K:$K)+SUMIF($A:$A,$A4965,$L:$L)))/VLOOKUP($A4965,HeadJournal!$A$1:$L$890,COLUMN(HeadJournal!H$1),0),0)</f>
        <v>0.7706855784484834</v>
      </c>
      <c r="P4965" s="30">
        <f>IFERROR(SUM(K4965:O4965)*VLOOKUP($A4965,HeadJournal!$A$1:$L$890,COLUMN(HeadJournal!H$1),0),0)</f>
        <v>2629.2541004813484</v>
      </c>
      <c r="Q4965" s="29">
        <v>3500</v>
      </c>
      <c r="R4965" s="31">
        <v>45907</v>
      </c>
      <c r="S4965" s="31" t="s">
        <v>3475</v>
      </c>
      <c r="T4965" s="95" t="str">
        <f t="shared" si="372"/>
        <v>2025 09</v>
      </c>
      <c r="U4965" s="32">
        <f t="shared" si="354"/>
        <v>870.74589951865164</v>
      </c>
      <c r="V4965" s="22">
        <f t="shared" si="355"/>
        <v>0.33117601655893231</v>
      </c>
      <c r="X4965" s="33"/>
      <c r="Y4965" s="33"/>
    </row>
    <row r="4966" spans="1:25" x14ac:dyDescent="0.2">
      <c r="A4966" s="93" t="s">
        <v>4125</v>
      </c>
      <c r="B4966" s="94" t="str">
        <f>IFERROR(VLOOKUP($A4966,HeadJournal!$A$1:$NTR$890,COLUMN(HeadJournal!B$1),0),"")</f>
        <v>720000756480</v>
      </c>
      <c r="C4966" s="94" t="str">
        <f>IFERROR(VLOOKUP($A4966,HeadJournal!$A$1:$NTR$890,COLUMN(HeadJournal!C$1),0),"")</f>
        <v>iHerb_OA CZN6870</v>
      </c>
      <c r="D4966" s="125" t="str">
        <f>IFERROR(VLOOKUP($A4966,HeadJournal!$A$1:$NTR$890,COLUMN(HeadJournal!D$1),0),"")</f>
        <v>Доставлен</v>
      </c>
      <c r="E4966" s="95">
        <f>IFERROR(VLOOKUP($A4966,HeadJournal!$A$1:$NTR$890,COLUMN(HeadJournal!G$1),0),"")</f>
        <v>45881</v>
      </c>
      <c r="F4966" s="95" t="str">
        <f t="shared" si="371"/>
        <v>2025 08</v>
      </c>
      <c r="G4966" s="97" t="s">
        <v>5</v>
      </c>
      <c r="H4966" s="161" t="s">
        <v>4118</v>
      </c>
      <c r="I4966" s="97" t="s">
        <v>2993</v>
      </c>
      <c r="J4966" s="97" t="s">
        <v>4119</v>
      </c>
      <c r="K4966" s="29">
        <v>38</v>
      </c>
      <c r="L4966" s="29">
        <v>-3.8</v>
      </c>
      <c r="M4966" s="30">
        <f>IFERROR(VLOOKUP($A4966,HeadJournal!$A$1:$J$890,COLUMN(HeadJournal!I$1),0)*($K4966+$L4966)/(SUMIF($A:$A,$A4966,$K:$K)+SUMIF($A:$A,$A4966,$L:$L)),0)</f>
        <v>-1.5861913357400725</v>
      </c>
      <c r="N4966" s="30">
        <f>IFERROR((VLOOKUP($A4966,HeadJournal!$A$1:$K$890,COLUMN(HeadJournal!K$1),0)-VLOOKUP($A4966,HeadJournal!$A$1:$K$890,COLUMN(HeadJournal!J$1),0))*($K4966+$L4966)/(SUMIF($A:$A,$A4966,$K:$K)+SUMIF($A:$A,$A4966,$L:$L)),0)</f>
        <v>4.8737588373436489E-15</v>
      </c>
      <c r="O4966" s="30">
        <f>IFERROR((VLOOKUP($A4966,HeadJournal!$A$1:$L$890,COLUMN(HeadJournal!L$1),0)*($K4966+$L4966)/(SUMIF($A:$A,$A4966,$K:$K)+SUMIF($A:$A,$A4966,$L:$L)))/VLOOKUP($A4966,HeadJournal!$A$1:$L$890,COLUMN(HeadJournal!H$1),0),0)</f>
        <v>0.88388486864312987</v>
      </c>
      <c r="P4966" s="30">
        <f>IFERROR(SUM(K4966:O4966)*VLOOKUP($A4966,HeadJournal!$A$1:$L$890,COLUMN(HeadJournal!H$1),0),0)</f>
        <v>3015.4423285198563</v>
      </c>
      <c r="Q4966" s="29">
        <v>3900</v>
      </c>
      <c r="R4966" s="31">
        <v>45907</v>
      </c>
      <c r="S4966" s="31" t="s">
        <v>3475</v>
      </c>
      <c r="T4966" s="95" t="str">
        <f t="shared" si="372"/>
        <v>2025 09</v>
      </c>
      <c r="U4966" s="32">
        <f t="shared" si="354"/>
        <v>884.55767148014365</v>
      </c>
      <c r="V4966" s="22">
        <f t="shared" si="355"/>
        <v>0.29334259293041526</v>
      </c>
      <c r="X4966" s="33"/>
      <c r="Y4966" s="33"/>
    </row>
    <row r="4967" spans="1:25" x14ac:dyDescent="0.2">
      <c r="A4967" s="93" t="s">
        <v>4125</v>
      </c>
      <c r="B4967" s="94" t="str">
        <f>IFERROR(VLOOKUP($A4967,HeadJournal!$A$1:$NTR$890,COLUMN(HeadJournal!B$1),0),"")</f>
        <v>720000756480</v>
      </c>
      <c r="C4967" s="94" t="str">
        <f>IFERROR(VLOOKUP($A4967,HeadJournal!$A$1:$NTR$890,COLUMN(HeadJournal!C$1),0),"")</f>
        <v>iHerb_OA CZN6870</v>
      </c>
      <c r="D4967" s="125" t="str">
        <f>IFERROR(VLOOKUP($A4967,HeadJournal!$A$1:$NTR$890,COLUMN(HeadJournal!D$1),0),"")</f>
        <v>Доставлен</v>
      </c>
      <c r="E4967" s="95">
        <f>IFERROR(VLOOKUP($A4967,HeadJournal!$A$1:$NTR$890,COLUMN(HeadJournal!G$1),0),"")</f>
        <v>45881</v>
      </c>
      <c r="F4967" s="95" t="str">
        <f t="shared" si="371"/>
        <v>2025 08</v>
      </c>
      <c r="G4967" s="97" t="s">
        <v>5</v>
      </c>
      <c r="H4967" s="161" t="s">
        <v>4120</v>
      </c>
      <c r="I4967" s="97" t="s">
        <v>2646</v>
      </c>
      <c r="J4967" s="97" t="s">
        <v>4121</v>
      </c>
      <c r="K4967" s="29">
        <v>34.79</v>
      </c>
      <c r="L4967" s="29">
        <v>-3.48</v>
      </c>
      <c r="M4967" s="30">
        <f>IFERROR(VLOOKUP($A4967,HeadJournal!$A$1:$J$890,COLUMN(HeadJournal!I$1),0)*($K4967+$L4967)/(SUMIF($A:$A,$A4967,$K:$K)+SUMIF($A:$A,$A4967,$L:$L)),0)</f>
        <v>-1.4521535298836745</v>
      </c>
      <c r="N4967" s="30">
        <f>IFERROR((VLOOKUP($A4967,HeadJournal!$A$1:$K$890,COLUMN(HeadJournal!K$1),0)-VLOOKUP($A4967,HeadJournal!$A$1:$K$890,COLUMN(HeadJournal!J$1),0))*($K4967+$L4967)/(SUMIF($A:$A,$A4967,$K:$K)+SUMIF($A:$A,$A4967,$L:$L)),0)</f>
        <v>4.4619119648312757E-15</v>
      </c>
      <c r="O4967" s="30">
        <f>IFERROR((VLOOKUP($A4967,HeadJournal!$A$1:$L$890,COLUMN(HeadJournal!L$1),0)*($K4967+$L4967)/(SUMIF($A:$A,$A4967,$K:$K)+SUMIF($A:$A,$A4967,$L:$L)))/VLOOKUP($A4967,HeadJournal!$A$1:$L$890,COLUMN(HeadJournal!H$1),0),0)</f>
        <v>0.80919401278410508</v>
      </c>
      <c r="P4967" s="30">
        <f>IFERROR(SUM(K4967:O4967)*VLOOKUP($A4967,HeadJournal!$A$1:$L$890,COLUMN(HeadJournal!H$1),0),0)</f>
        <v>2760.6286346770962</v>
      </c>
      <c r="Q4967" s="29">
        <v>3600</v>
      </c>
      <c r="R4967" s="31">
        <v>45907</v>
      </c>
      <c r="S4967" s="31" t="s">
        <v>3475</v>
      </c>
      <c r="T4967" s="95" t="str">
        <f t="shared" si="372"/>
        <v>2025 09</v>
      </c>
      <c r="U4967" s="32">
        <f t="shared" si="354"/>
        <v>839.37136532290378</v>
      </c>
      <c r="V4967" s="22">
        <f t="shared" si="355"/>
        <v>0.30405080740643803</v>
      </c>
      <c r="X4967" s="33"/>
      <c r="Y4967" s="33"/>
    </row>
    <row r="4968" spans="1:25" x14ac:dyDescent="0.2">
      <c r="A4968" s="93" t="s">
        <v>4125</v>
      </c>
      <c r="B4968" s="94" t="str">
        <f>IFERROR(VLOOKUP($A4968,HeadJournal!$A$1:$NTR$890,COLUMN(HeadJournal!B$1),0),"")</f>
        <v>720000756480</v>
      </c>
      <c r="C4968" s="94" t="str">
        <f>IFERROR(VLOOKUP($A4968,HeadJournal!$A$1:$NTR$890,COLUMN(HeadJournal!C$1),0),"")</f>
        <v>iHerb_OA CZN6870</v>
      </c>
      <c r="D4968" s="125" t="str">
        <f>IFERROR(VLOOKUP($A4968,HeadJournal!$A$1:$NTR$890,COLUMN(HeadJournal!D$1),0),"")</f>
        <v>Доставлен</v>
      </c>
      <c r="E4968" s="95">
        <f>IFERROR(VLOOKUP($A4968,HeadJournal!$A$1:$NTR$890,COLUMN(HeadJournal!G$1),0),"")</f>
        <v>45881</v>
      </c>
      <c r="F4968" s="95" t="str">
        <f t="shared" si="371"/>
        <v>2025 08</v>
      </c>
      <c r="G4968" s="97" t="s">
        <v>5</v>
      </c>
      <c r="H4968" s="161" t="s">
        <v>4122</v>
      </c>
      <c r="I4968" s="97" t="s">
        <v>2750</v>
      </c>
      <c r="J4968" s="97" t="s">
        <v>4123</v>
      </c>
      <c r="K4968" s="29">
        <v>17.079999999999998</v>
      </c>
      <c r="L4968" s="29">
        <v>-1.71</v>
      </c>
      <c r="M4968" s="30">
        <f>IFERROR(VLOOKUP($A4968,HeadJournal!$A$1:$J$890,COLUMN(HeadJournal!I$1),0)*($K4968+$L4968)/(SUMIF($A:$A,$A4968,$K:$K)+SUMIF($A:$A,$A4968,$L:$L)),0)</f>
        <v>-0.71285850381066995</v>
      </c>
      <c r="N4968" s="30">
        <f>IFERROR((VLOOKUP($A4968,HeadJournal!$A$1:$K$890,COLUMN(HeadJournal!K$1),0)-VLOOKUP($A4968,HeadJournal!$A$1:$K$890,COLUMN(HeadJournal!J$1),0))*($K4968+$L4968)/(SUMIF($A:$A,$A4968,$K:$K)+SUMIF($A:$A,$A4968,$L:$L)),0)</f>
        <v>2.1903413254377738E-15</v>
      </c>
      <c r="O4968" s="30">
        <f>IFERROR((VLOOKUP($A4968,HeadJournal!$A$1:$L$890,COLUMN(HeadJournal!L$1),0)*($K4968+$L4968)/(SUMIF($A:$A,$A4968,$K:$K)+SUMIF($A:$A,$A4968,$L:$L)))/VLOOKUP($A4968,HeadJournal!$A$1:$L$890,COLUMN(HeadJournal!H$1),0),0)</f>
        <v>0.39723129915335964</v>
      </c>
      <c r="P4968" s="30">
        <f>IFERROR(SUM(K4968:O4968)*VLOOKUP($A4968,HeadJournal!$A$1:$L$890,COLUMN(HeadJournal!H$1),0),0)</f>
        <v>1355.1856312675491</v>
      </c>
      <c r="Q4968" s="29">
        <v>2150</v>
      </c>
      <c r="R4968" s="31">
        <v>45907</v>
      </c>
      <c r="S4968" s="31" t="s">
        <v>3475</v>
      </c>
      <c r="T4968" s="95" t="str">
        <f t="shared" si="372"/>
        <v>2025 09</v>
      </c>
      <c r="U4968" s="32">
        <f t="shared" si="354"/>
        <v>794.81436873245093</v>
      </c>
      <c r="V4968" s="22">
        <f t="shared" si="355"/>
        <v>0.58649852123139412</v>
      </c>
      <c r="X4968" s="33"/>
      <c r="Y4968" s="33"/>
    </row>
    <row r="4969" spans="1:25" x14ac:dyDescent="0.2">
      <c r="A4969" s="93" t="s">
        <v>4125</v>
      </c>
      <c r="B4969" s="94" t="str">
        <f>IFERROR(VLOOKUP($A4969,HeadJournal!$A$1:$NTR$890,COLUMN(HeadJournal!B$1),0),"")</f>
        <v>720000756480</v>
      </c>
      <c r="C4969" s="94" t="str">
        <f>IFERROR(VLOOKUP($A4969,HeadJournal!$A$1:$NTR$890,COLUMN(HeadJournal!C$1),0),"")</f>
        <v>iHerb_OA CZN6870</v>
      </c>
      <c r="D4969" s="125" t="str">
        <f>IFERROR(VLOOKUP($A4969,HeadJournal!$A$1:$NTR$890,COLUMN(HeadJournal!D$1),0),"")</f>
        <v>Доставлен</v>
      </c>
      <c r="E4969" s="95">
        <f>IFERROR(VLOOKUP($A4969,HeadJournal!$A$1:$NTR$890,COLUMN(HeadJournal!G$1),0),"")</f>
        <v>45881</v>
      </c>
      <c r="F4969" s="95" t="str">
        <f t="shared" si="371"/>
        <v>2025 08</v>
      </c>
      <c r="G4969" s="97" t="s">
        <v>5</v>
      </c>
      <c r="H4969" s="161" t="s">
        <v>3773</v>
      </c>
      <c r="I4969" s="97" t="s">
        <v>2036</v>
      </c>
      <c r="J4969" s="97" t="s">
        <v>4124</v>
      </c>
      <c r="K4969" s="29">
        <v>12.06</v>
      </c>
      <c r="L4969" s="29">
        <v>-1.81</v>
      </c>
      <c r="M4969" s="30">
        <f>IFERROR(VLOOKUP($A4969,HeadJournal!$A$1:$J$890,COLUMN(HeadJournal!I$1),0)*($K4969+$L4969)/(SUMIF($A:$A,$A4969,$K:$K)+SUMIF($A:$A,$A4969,$L:$L)),0)</f>
        <v>-0.47539360208584042</v>
      </c>
      <c r="N4969" s="30">
        <f>IFERROR((VLOOKUP($A4969,HeadJournal!$A$1:$K$890,COLUMN(HeadJournal!K$1),0)-VLOOKUP($A4969,HeadJournal!$A$1:$K$890,COLUMN(HeadJournal!J$1),0))*($K4969+$L4969)/(SUMIF($A:$A,$A4969,$K:$K)+SUMIF($A:$A,$A4969,$L:$L)),0)</f>
        <v>1.4607025755196607E-15</v>
      </c>
      <c r="O4969" s="30">
        <f>IFERROR((VLOOKUP($A4969,HeadJournal!$A$1:$L$890,COLUMN(HeadJournal!L$1),0)*($K4969+$L4969)/(SUMIF($A:$A,$A4969,$K:$K)+SUMIF($A:$A,$A4969,$L:$L)))/VLOOKUP($A4969,HeadJournal!$A$1:$L$890,COLUMN(HeadJournal!H$1),0),0)</f>
        <v>0.26490701472491462</v>
      </c>
      <c r="P4969" s="30">
        <f>IFERROR(SUM(K4969:O4969)*VLOOKUP($A4969,HeadJournal!$A$1:$L$890,COLUMN(HeadJournal!H$1),0),0)</f>
        <v>903.75099027276372</v>
      </c>
      <c r="Q4969" s="29">
        <v>903.75</v>
      </c>
      <c r="R4969" s="31"/>
      <c r="S4969" s="31"/>
      <c r="T4969" s="95" t="str">
        <f t="shared" si="372"/>
        <v/>
      </c>
      <c r="U4969" s="32">
        <f t="shared" si="354"/>
        <v>-9.9027276371543849E-4</v>
      </c>
      <c r="V4969" s="22">
        <f t="shared" si="355"/>
        <v>-1.0957362972477201E-6</v>
      </c>
      <c r="X4969" s="33"/>
      <c r="Y4969" s="33"/>
    </row>
    <row r="4970" spans="1:25" x14ac:dyDescent="0.2">
      <c r="A4970" s="93" t="s">
        <v>4146</v>
      </c>
      <c r="B4970" s="94" t="str">
        <f>IFERROR(VLOOKUP($A4970,HeadJournal!$A$1:$NTR$890,COLUMN(HeadJournal!B$1),0),"")</f>
        <v>720000761904</v>
      </c>
      <c r="C4970" s="94" t="str">
        <f>IFERROR(VLOOKUP($A4970,HeadJournal!$A$1:$NTR$890,COLUMN(HeadJournal!C$1),0),"")</f>
        <v>iHerb_VP DFD1605</v>
      </c>
      <c r="D4970" s="125" t="str">
        <f>IFERROR(VLOOKUP($A4970,HeadJournal!$A$1:$NTR$890,COLUMN(HeadJournal!D$1),0),"")</f>
        <v>Доставлен</v>
      </c>
      <c r="E4970" s="95">
        <f>IFERROR(VLOOKUP($A4970,HeadJournal!$A$1:$NTR$890,COLUMN(HeadJournal!G$1),0),"")</f>
        <v>45886</v>
      </c>
      <c r="F4970" s="95" t="str">
        <f t="shared" si="371"/>
        <v>2025 08</v>
      </c>
      <c r="G4970" s="97" t="s">
        <v>5</v>
      </c>
      <c r="H4970" s="161" t="s">
        <v>4127</v>
      </c>
      <c r="I4970" s="97" t="s">
        <v>2005</v>
      </c>
      <c r="J4970" s="97" t="s">
        <v>4099</v>
      </c>
      <c r="K4970" s="29">
        <v>5.78</v>
      </c>
      <c r="L4970" s="29">
        <v>-1.1599999999999999</v>
      </c>
      <c r="M4970" s="30">
        <f>IFERROR(VLOOKUP($A4970,HeadJournal!$A$1:$J$890,COLUMN(HeadJournal!I$1),0)*($K4970+$L4970)/(SUMIF($A:$A,$A4970,$K:$K)+SUMIF($A:$A,$A4970,$L:$L)),0)</f>
        <v>0</v>
      </c>
      <c r="N4970" s="30">
        <f>IFERROR((VLOOKUP($A4970,HeadJournal!$A$1:$K$890,COLUMN(HeadJournal!K$1),0)-VLOOKUP($A4970,HeadJournal!$A$1:$K$890,COLUMN(HeadJournal!J$1),0))*($K4970+$L4970)/(SUMIF($A:$A,$A4970,$K:$K)+SUMIF($A:$A,$A4970,$L:$L)),0)</f>
        <v>-8.0202966997597416E-16</v>
      </c>
      <c r="O4970" s="30">
        <f>IFERROR((VLOOKUP($A4970,HeadJournal!$A$1:$L$890,COLUMN(HeadJournal!L$1),0)*($K4970+$L4970)/(SUMIF($A:$A,$A4970,$K:$K)+SUMIF($A:$A,$A4970,$L:$L)))/VLOOKUP($A4970,HeadJournal!$A$1:$L$890,COLUMN(HeadJournal!H$1),0),0)</f>
        <v>0.14609342788115864</v>
      </c>
      <c r="P4970" s="30">
        <f>IFERROR(SUM(K4970:O4970)*VLOOKUP($A4970,HeadJournal!$A$1:$L$890,COLUMN(HeadJournal!H$1),0),0)</f>
        <v>427.1595223552406</v>
      </c>
      <c r="Q4970" s="29">
        <v>1000</v>
      </c>
      <c r="R4970" s="31">
        <v>46018</v>
      </c>
      <c r="S4970" s="31" t="s">
        <v>3437</v>
      </c>
      <c r="T4970" s="95" t="str">
        <f t="shared" si="372"/>
        <v>2025 12</v>
      </c>
      <c r="U4970" s="32">
        <f t="shared" si="354"/>
        <v>572.8404776447594</v>
      </c>
      <c r="V4970" s="22">
        <f t="shared" si="355"/>
        <v>1.341045786563001</v>
      </c>
      <c r="X4970" s="33"/>
      <c r="Y4970" s="33"/>
    </row>
    <row r="4971" spans="1:25" x14ac:dyDescent="0.2">
      <c r="A4971" s="93" t="s">
        <v>4146</v>
      </c>
      <c r="B4971" s="94" t="str">
        <f>IFERROR(VLOOKUP($A4971,HeadJournal!$A$1:$NTR$890,COLUMN(HeadJournal!B$1),0),"")</f>
        <v>720000761904</v>
      </c>
      <c r="C4971" s="94" t="str">
        <f>IFERROR(VLOOKUP($A4971,HeadJournal!$A$1:$NTR$890,COLUMN(HeadJournal!C$1),0),"")</f>
        <v>iHerb_VP DFD1605</v>
      </c>
      <c r="D4971" s="125" t="str">
        <f>IFERROR(VLOOKUP($A4971,HeadJournal!$A$1:$NTR$890,COLUMN(HeadJournal!D$1),0),"")</f>
        <v>Доставлен</v>
      </c>
      <c r="E4971" s="95">
        <f>IFERROR(VLOOKUP($A4971,HeadJournal!$A$1:$NTR$890,COLUMN(HeadJournal!G$1),0),"")</f>
        <v>45886</v>
      </c>
      <c r="F4971" s="95" t="str">
        <f t="shared" si="371"/>
        <v>2025 08</v>
      </c>
      <c r="G4971" s="97" t="s">
        <v>5</v>
      </c>
      <c r="H4971" s="161" t="s">
        <v>2120</v>
      </c>
      <c r="I4971" s="97" t="s">
        <v>2005</v>
      </c>
      <c r="J4971" s="97" t="s">
        <v>2121</v>
      </c>
      <c r="K4971" s="29">
        <v>13.76</v>
      </c>
      <c r="L4971" s="29">
        <v>-2.75</v>
      </c>
      <c r="M4971" s="30">
        <f>IFERROR(VLOOKUP($A4971,HeadJournal!$A$1:$J$890,COLUMN(HeadJournal!I$1),0)*($K4971+$L4971)/(SUMIF($A:$A,$A4971,$K:$K)+SUMIF($A:$A,$A4971,$L:$L)),0)</f>
        <v>0</v>
      </c>
      <c r="N4971" s="30">
        <f>IFERROR((VLOOKUP($A4971,HeadJournal!$A$1:$K$890,COLUMN(HeadJournal!K$1),0)-VLOOKUP($A4971,HeadJournal!$A$1:$K$890,COLUMN(HeadJournal!J$1),0))*($K4971+$L4971)/(SUMIF($A:$A,$A4971,$K:$K)+SUMIF($A:$A,$A4971,$L:$L)),0)</f>
        <v>-1.9113304472804061E-15</v>
      </c>
      <c r="O4971" s="30">
        <f>IFERROR((VLOOKUP($A4971,HeadJournal!$A$1:$L$890,COLUMN(HeadJournal!L$1),0)*($K4971+$L4971)/(SUMIF($A:$A,$A4971,$K:$K)+SUMIF($A:$A,$A4971,$L:$L)))/VLOOKUP($A4971,HeadJournal!$A$1:$L$890,COLUMN(HeadJournal!H$1),0),0)</f>
        <v>0.34815771449600802</v>
      </c>
      <c r="P4971" s="30">
        <f>IFERROR(SUM(K4971:O4971)*VLOOKUP($A4971,HeadJournal!$A$1:$L$890,COLUMN(HeadJournal!H$1),0),0)</f>
        <v>1017.9710695089175</v>
      </c>
      <c r="Q4971" s="29">
        <v>2000</v>
      </c>
      <c r="R4971" s="31">
        <v>45936</v>
      </c>
      <c r="S4971" s="31"/>
      <c r="T4971" s="95" t="str">
        <f t="shared" si="372"/>
        <v>2025 10</v>
      </c>
      <c r="U4971" s="32">
        <f t="shared" si="354"/>
        <v>982.02893049108252</v>
      </c>
      <c r="V4971" s="22">
        <f t="shared" si="355"/>
        <v>0.96469237673407171</v>
      </c>
      <c r="X4971" s="33"/>
      <c r="Y4971" s="33"/>
    </row>
    <row r="4972" spans="1:25" x14ac:dyDescent="0.2">
      <c r="A4972" s="93" t="s">
        <v>4146</v>
      </c>
      <c r="B4972" s="94" t="str">
        <f>IFERROR(VLOOKUP($A4972,HeadJournal!$A$1:$NTR$890,COLUMN(HeadJournal!B$1),0),"")</f>
        <v>720000761904</v>
      </c>
      <c r="C4972" s="94" t="str">
        <f>IFERROR(VLOOKUP($A4972,HeadJournal!$A$1:$NTR$890,COLUMN(HeadJournal!C$1),0),"")</f>
        <v>iHerb_VP DFD1605</v>
      </c>
      <c r="D4972" s="125" t="str">
        <f>IFERROR(VLOOKUP($A4972,HeadJournal!$A$1:$NTR$890,COLUMN(HeadJournal!D$1),0),"")</f>
        <v>Доставлен</v>
      </c>
      <c r="E4972" s="95">
        <f>IFERROR(VLOOKUP($A4972,HeadJournal!$A$1:$NTR$890,COLUMN(HeadJournal!G$1),0),"")</f>
        <v>45886</v>
      </c>
      <c r="F4972" s="95" t="str">
        <f t="shared" si="371"/>
        <v>2025 08</v>
      </c>
      <c r="G4972" s="97" t="s">
        <v>5</v>
      </c>
      <c r="H4972" s="161" t="s">
        <v>2018</v>
      </c>
      <c r="I4972" s="97" t="s">
        <v>2005</v>
      </c>
      <c r="J4972" s="97" t="s">
        <v>2019</v>
      </c>
      <c r="K4972" s="29">
        <v>22.86</v>
      </c>
      <c r="L4972" s="29">
        <v>-4.57</v>
      </c>
      <c r="M4972" s="30">
        <f>IFERROR(VLOOKUP($A4972,HeadJournal!$A$1:$J$890,COLUMN(HeadJournal!I$1),0)*($K4972+$L4972)/(SUMIF($A:$A,$A4972,$K:$K)+SUMIF($A:$A,$A4972,$L:$L)),0)</f>
        <v>0</v>
      </c>
      <c r="N4972" s="30">
        <f>IFERROR((VLOOKUP($A4972,HeadJournal!$A$1:$K$890,COLUMN(HeadJournal!K$1),0)-VLOOKUP($A4972,HeadJournal!$A$1:$K$890,COLUMN(HeadJournal!J$1),0))*($K4972+$L4972)/(SUMIF($A:$A,$A4972,$K:$K)+SUMIF($A:$A,$A4972,$L:$L)),0)</f>
        <v>-3.1751347757273955E-15</v>
      </c>
      <c r="O4972" s="30">
        <f>IFERROR((VLOOKUP($A4972,HeadJournal!$A$1:$L$890,COLUMN(HeadJournal!L$1),0)*($K4972+$L4972)/(SUMIF($A:$A,$A4972,$K:$K)+SUMIF($A:$A,$A4972,$L:$L)))/VLOOKUP($A4972,HeadJournal!$A$1:$L$890,COLUMN(HeadJournal!H$1),0),0)</f>
        <v>0.5783655402481368</v>
      </c>
      <c r="P4972" s="30">
        <f>IFERROR(SUM(K4972:O4972)*VLOOKUP($A4972,HeadJournal!$A$1:$L$890,COLUMN(HeadJournal!H$1),0),0)</f>
        <v>1691.0709229171753</v>
      </c>
      <c r="Q4972" s="29">
        <v>2900</v>
      </c>
      <c r="R4972" s="31">
        <v>45988</v>
      </c>
      <c r="S4972" s="31"/>
      <c r="T4972" s="95" t="str">
        <f t="shared" si="372"/>
        <v>2025 11</v>
      </c>
      <c r="U4972" s="32">
        <f t="shared" si="354"/>
        <v>1208.9290770828247</v>
      </c>
      <c r="V4972" s="22">
        <f t="shared" si="355"/>
        <v>0.71488963632428049</v>
      </c>
      <c r="X4972" s="33"/>
      <c r="Y4972" s="33"/>
    </row>
    <row r="4973" spans="1:25" x14ac:dyDescent="0.2">
      <c r="A4973" s="93" t="s">
        <v>4146</v>
      </c>
      <c r="B4973" s="94" t="str">
        <f>IFERROR(VLOOKUP($A4973,HeadJournal!$A$1:$NTR$890,COLUMN(HeadJournal!B$1),0),"")</f>
        <v>720000761904</v>
      </c>
      <c r="C4973" s="94" t="str">
        <f>IFERROR(VLOOKUP($A4973,HeadJournal!$A$1:$NTR$890,COLUMN(HeadJournal!C$1),0),"")</f>
        <v>iHerb_VP DFD1605</v>
      </c>
      <c r="D4973" s="125" t="str">
        <f>IFERROR(VLOOKUP($A4973,HeadJournal!$A$1:$NTR$890,COLUMN(HeadJournal!D$1),0),"")</f>
        <v>Доставлен</v>
      </c>
      <c r="E4973" s="95">
        <f>IFERROR(VLOOKUP($A4973,HeadJournal!$A$1:$NTR$890,COLUMN(HeadJournal!G$1),0),"")</f>
        <v>45886</v>
      </c>
      <c r="F4973" s="95" t="str">
        <f t="shared" si="371"/>
        <v>2025 08</v>
      </c>
      <c r="G4973" s="97" t="s">
        <v>5</v>
      </c>
      <c r="H4973" s="161" t="s">
        <v>2101</v>
      </c>
      <c r="I4973" s="97" t="s">
        <v>2102</v>
      </c>
      <c r="J4973" s="97" t="s">
        <v>4015</v>
      </c>
      <c r="K4973" s="29">
        <v>47.68</v>
      </c>
      <c r="L4973" s="29">
        <v>-9.5399999999999991</v>
      </c>
      <c r="M4973" s="30">
        <f>IFERROR(VLOOKUP($A4973,HeadJournal!$A$1:$J$890,COLUMN(HeadJournal!I$1),0)*($K4973+$L4973)/(SUMIF($A:$A,$A4973,$K:$K)+SUMIF($A:$A,$A4973,$L:$L)),0)</f>
        <v>0</v>
      </c>
      <c r="N4973" s="30">
        <f>IFERROR((VLOOKUP($A4973,HeadJournal!$A$1:$K$890,COLUMN(HeadJournal!K$1),0)-VLOOKUP($A4973,HeadJournal!$A$1:$K$890,COLUMN(HeadJournal!J$1),0))*($K4973+$L4973)/(SUMIF($A:$A,$A4973,$K:$K)+SUMIF($A:$A,$A4973,$L:$L)),0)</f>
        <v>-6.6210847646934319E-15</v>
      </c>
      <c r="O4973" s="30">
        <f>IFERROR((VLOOKUP($A4973,HeadJournal!$A$1:$L$890,COLUMN(HeadJournal!L$1),0)*($K4973+$L4973)/(SUMIF($A:$A,$A4973,$K:$K)+SUMIF($A:$A,$A4973,$L:$L)))/VLOOKUP($A4973,HeadJournal!$A$1:$L$890,COLUMN(HeadJournal!H$1),0),0)</f>
        <v>1.2060613288717297</v>
      </c>
      <c r="P4973" s="30">
        <f>IFERROR(SUM(K4973:O4973)*VLOOKUP($A4973,HeadJournal!$A$1:$L$890,COLUMN(HeadJournal!H$1),0),0)</f>
        <v>3526.3775287075487</v>
      </c>
      <c r="Q4973" s="29">
        <v>5200</v>
      </c>
      <c r="R4973" s="31">
        <v>45910</v>
      </c>
      <c r="S4973" s="31" t="s">
        <v>3235</v>
      </c>
      <c r="T4973" s="95" t="str">
        <f t="shared" si="372"/>
        <v>2025 09</v>
      </c>
      <c r="U4973" s="32">
        <f t="shared" si="354"/>
        <v>1673.6224712924513</v>
      </c>
      <c r="V4973" s="22">
        <f t="shared" si="355"/>
        <v>0.47460104814865073</v>
      </c>
      <c r="X4973" s="33"/>
      <c r="Y4973" s="33"/>
    </row>
    <row r="4974" spans="1:25" x14ac:dyDescent="0.2">
      <c r="A4974" s="93" t="s">
        <v>4146</v>
      </c>
      <c r="B4974" s="94" t="str">
        <f>IFERROR(VLOOKUP($A4974,HeadJournal!$A$1:$NTR$890,COLUMN(HeadJournal!B$1),0),"")</f>
        <v>720000761904</v>
      </c>
      <c r="C4974" s="94" t="str">
        <f>IFERROR(VLOOKUP($A4974,HeadJournal!$A$1:$NTR$890,COLUMN(HeadJournal!C$1),0),"")</f>
        <v>iHerb_VP DFD1605</v>
      </c>
      <c r="D4974" s="125" t="str">
        <f>IFERROR(VLOOKUP($A4974,HeadJournal!$A$1:$NTR$890,COLUMN(HeadJournal!D$1),0),"")</f>
        <v>Доставлен</v>
      </c>
      <c r="E4974" s="95">
        <f>IFERROR(VLOOKUP($A4974,HeadJournal!$A$1:$NTR$890,COLUMN(HeadJournal!G$1),0),"")</f>
        <v>45886</v>
      </c>
      <c r="F4974" s="95" t="str">
        <f t="shared" si="371"/>
        <v>2025 08</v>
      </c>
      <c r="G4974" s="97" t="s">
        <v>5</v>
      </c>
      <c r="H4974" s="161" t="s">
        <v>3761</v>
      </c>
      <c r="I4974" s="97" t="s">
        <v>2166</v>
      </c>
      <c r="J4974" s="97" t="s">
        <v>3762</v>
      </c>
      <c r="K4974" s="29">
        <v>45.08</v>
      </c>
      <c r="L4974" s="29">
        <v>-9.02</v>
      </c>
      <c r="M4974" s="30">
        <f>IFERROR(VLOOKUP($A4974,HeadJournal!$A$1:$J$890,COLUMN(HeadJournal!I$1),0)*($K4974+$L4974)/(SUMIF($A:$A,$A4974,$K:$K)+SUMIF($A:$A,$A4974,$L:$L)),0)</f>
        <v>0</v>
      </c>
      <c r="N4974" s="30">
        <f>IFERROR((VLOOKUP($A4974,HeadJournal!$A$1:$K$890,COLUMN(HeadJournal!K$1),0)-VLOOKUP($A4974,HeadJournal!$A$1:$K$890,COLUMN(HeadJournal!J$1),0))*($K4974+$L4974)/(SUMIF($A:$A,$A4974,$K:$K)+SUMIF($A:$A,$A4974,$L:$L)),0)</f>
        <v>-6.2599978137085783E-15</v>
      </c>
      <c r="O4974" s="30">
        <f>IFERROR((VLOOKUP($A4974,HeadJournal!$A$1:$L$890,COLUMN(HeadJournal!L$1),0)*($K4974+$L4974)/(SUMIF($A:$A,$A4974,$K:$K)+SUMIF($A:$A,$A4974,$L:$L)))/VLOOKUP($A4974,HeadJournal!$A$1:$L$890,COLUMN(HeadJournal!H$1),0),0)</f>
        <v>1.1402876643711215</v>
      </c>
      <c r="P4974" s="30">
        <f>IFERROR(SUM(K4974:O4974)*VLOOKUP($A4974,HeadJournal!$A$1:$L$890,COLUMN(HeadJournal!H$1),0),0)</f>
        <v>3334.0632848766186</v>
      </c>
      <c r="Q4974" s="29">
        <v>4700</v>
      </c>
      <c r="R4974" s="31">
        <v>45910</v>
      </c>
      <c r="S4974" s="31"/>
      <c r="T4974" s="95" t="str">
        <f t="shared" si="372"/>
        <v>2025 09</v>
      </c>
      <c r="U4974" s="32">
        <f t="shared" si="354"/>
        <v>1365.9367151233814</v>
      </c>
      <c r="V4974" s="22">
        <f t="shared" si="355"/>
        <v>0.4096912980984192</v>
      </c>
      <c r="X4974" s="33"/>
      <c r="Y4974" s="33"/>
    </row>
    <row r="4975" spans="1:25" x14ac:dyDescent="0.2">
      <c r="A4975" s="93" t="s">
        <v>4146</v>
      </c>
      <c r="B4975" s="94" t="str">
        <f>IFERROR(VLOOKUP($A4975,HeadJournal!$A$1:$NTR$890,COLUMN(HeadJournal!B$1),0),"")</f>
        <v>720000761904</v>
      </c>
      <c r="C4975" s="94" t="str">
        <f>IFERROR(VLOOKUP($A4975,HeadJournal!$A$1:$NTR$890,COLUMN(HeadJournal!C$1),0),"")</f>
        <v>iHerb_VP DFD1605</v>
      </c>
      <c r="D4975" s="125" t="str">
        <f>IFERROR(VLOOKUP($A4975,HeadJournal!$A$1:$NTR$890,COLUMN(HeadJournal!D$1),0),"")</f>
        <v>Доставлен</v>
      </c>
      <c r="E4975" s="95">
        <f>IFERROR(VLOOKUP($A4975,HeadJournal!$A$1:$NTR$890,COLUMN(HeadJournal!G$1),0),"")</f>
        <v>45886</v>
      </c>
      <c r="F4975" s="95" t="str">
        <f t="shared" si="371"/>
        <v>2025 08</v>
      </c>
      <c r="G4975" s="97" t="s">
        <v>5</v>
      </c>
      <c r="H4975" s="161" t="s">
        <v>4042</v>
      </c>
      <c r="I4975" s="97" t="s">
        <v>2036</v>
      </c>
      <c r="J4975" s="97" t="s">
        <v>4043</v>
      </c>
      <c r="K4975" s="29">
        <v>15.08</v>
      </c>
      <c r="L4975" s="29">
        <v>-3.02</v>
      </c>
      <c r="M4975" s="30">
        <f>IFERROR(VLOOKUP($A4975,HeadJournal!$A$1:$J$890,COLUMN(HeadJournal!I$1),0)*($K4975+$L4975)/(SUMIF($A:$A,$A4975,$K:$K)+SUMIF($A:$A,$A4975,$L:$L)),0)</f>
        <v>0</v>
      </c>
      <c r="N4975" s="30">
        <f>IFERROR((VLOOKUP($A4975,HeadJournal!$A$1:$K$890,COLUMN(HeadJournal!K$1),0)-VLOOKUP($A4975,HeadJournal!$A$1:$K$890,COLUMN(HeadJournal!J$1),0))*($K4975+$L4975)/(SUMIF($A:$A,$A4975,$K:$K)+SUMIF($A:$A,$A4975,$L:$L)),0)</f>
        <v>-2.0936099177294912E-15</v>
      </c>
      <c r="O4975" s="30">
        <f>IFERROR((VLOOKUP($A4975,HeadJournal!$A$1:$L$890,COLUMN(HeadJournal!L$1),0)*($K4975+$L4975)/(SUMIF($A:$A,$A4975,$K:$K)+SUMIF($A:$A,$A4975,$L:$L)))/VLOOKUP($A4975,HeadJournal!$A$1:$L$890,COLUMN(HeadJournal!H$1),0),0)</f>
        <v>0.38136076628718046</v>
      </c>
      <c r="P4975" s="30">
        <f>IFERROR(SUM(K4975:O4975)*VLOOKUP($A4975,HeadJournal!$A$1:$L$890,COLUMN(HeadJournal!H$1),0),0)</f>
        <v>1115.0527791351087</v>
      </c>
      <c r="Q4975" s="29">
        <v>1900</v>
      </c>
      <c r="R4975" s="31">
        <v>45910</v>
      </c>
      <c r="S4975" s="31"/>
      <c r="T4975" s="95" t="str">
        <f t="shared" si="372"/>
        <v>2025 09</v>
      </c>
      <c r="U4975" s="32">
        <f t="shared" si="354"/>
        <v>784.94722086489128</v>
      </c>
      <c r="V4975" s="22">
        <f t="shared" si="355"/>
        <v>0.70395521678690043</v>
      </c>
      <c r="X4975" s="33"/>
      <c r="Y4975" s="33"/>
    </row>
    <row r="4976" spans="1:25" x14ac:dyDescent="0.2">
      <c r="A4976" s="93" t="s">
        <v>4146</v>
      </c>
      <c r="B4976" s="94" t="str">
        <f>IFERROR(VLOOKUP($A4976,HeadJournal!$A$1:$NTR$890,COLUMN(HeadJournal!B$1),0),"")</f>
        <v>720000761904</v>
      </c>
      <c r="C4976" s="94" t="str">
        <f>IFERROR(VLOOKUP($A4976,HeadJournal!$A$1:$NTR$890,COLUMN(HeadJournal!C$1),0),"")</f>
        <v>iHerb_VP DFD1605</v>
      </c>
      <c r="D4976" s="125" t="str">
        <f>IFERROR(VLOOKUP($A4976,HeadJournal!$A$1:$NTR$890,COLUMN(HeadJournal!D$1),0),"")</f>
        <v>Доставлен</v>
      </c>
      <c r="E4976" s="95">
        <f>IFERROR(VLOOKUP($A4976,HeadJournal!$A$1:$NTR$890,COLUMN(HeadJournal!G$1),0),"")</f>
        <v>45886</v>
      </c>
      <c r="F4976" s="95" t="str">
        <f t="shared" si="371"/>
        <v>2025 08</v>
      </c>
      <c r="G4976" s="97" t="s">
        <v>5</v>
      </c>
      <c r="H4976" s="161" t="s">
        <v>4128</v>
      </c>
      <c r="I4976" s="97" t="s">
        <v>3685</v>
      </c>
      <c r="J4976" s="97" t="s">
        <v>4129</v>
      </c>
      <c r="K4976" s="29">
        <v>9.64</v>
      </c>
      <c r="L4976" s="29">
        <v>-1.93</v>
      </c>
      <c r="M4976" s="30">
        <f>IFERROR(VLOOKUP($A4976,HeadJournal!$A$1:$J$890,COLUMN(HeadJournal!I$1),0)*($K4976+$L4976)/(SUMIF($A:$A,$A4976,$K:$K)+SUMIF($A:$A,$A4976,$L:$L)),0)</f>
        <v>0</v>
      </c>
      <c r="N4976" s="30">
        <f>IFERROR((VLOOKUP($A4976,HeadJournal!$A$1:$K$890,COLUMN(HeadJournal!K$1),0)-VLOOKUP($A4976,HeadJournal!$A$1:$K$890,COLUMN(HeadJournal!J$1),0))*($K4976+$L4976)/(SUMIF($A:$A,$A4976,$K:$K)+SUMIF($A:$A,$A4976,$L:$L)),0)</f>
        <v>-1.3384521115832818E-15</v>
      </c>
      <c r="O4976" s="30">
        <f>IFERROR((VLOOKUP($A4976,HeadJournal!$A$1:$L$890,COLUMN(HeadJournal!L$1),0)*($K4976+$L4976)/(SUMIF($A:$A,$A4976,$K:$K)+SUMIF($A:$A,$A4976,$L:$L)))/VLOOKUP($A4976,HeadJournal!$A$1:$L$890,COLUMN(HeadJournal!H$1),0),0)</f>
        <v>0.24380526600946614</v>
      </c>
      <c r="P4976" s="30">
        <f>IFERROR(SUM(K4976:O4976)*VLOOKUP($A4976,HeadJournal!$A$1:$L$890,COLUMN(HeadJournal!H$1),0),0)</f>
        <v>712.85712496945996</v>
      </c>
      <c r="Q4976" s="29"/>
      <c r="R4976" s="31"/>
      <c r="S4976" s="31"/>
      <c r="T4976" s="95" t="str">
        <f t="shared" si="372"/>
        <v/>
      </c>
      <c r="U4976" s="32">
        <f t="shared" si="354"/>
        <v>-712.85712496945996</v>
      </c>
      <c r="V4976" s="22" t="str">
        <f t="shared" si="355"/>
        <v/>
      </c>
      <c r="X4976" s="33"/>
      <c r="Y4976" s="33"/>
    </row>
    <row r="4977" spans="1:25" x14ac:dyDescent="0.2">
      <c r="A4977" s="93" t="s">
        <v>4146</v>
      </c>
      <c r="B4977" s="94" t="str">
        <f>IFERROR(VLOOKUP($A4977,HeadJournal!$A$1:$NTR$890,COLUMN(HeadJournal!B$1),0),"")</f>
        <v>720000761904</v>
      </c>
      <c r="C4977" s="94" t="str">
        <f>IFERROR(VLOOKUP($A4977,HeadJournal!$A$1:$NTR$890,COLUMN(HeadJournal!C$1),0),"")</f>
        <v>iHerb_VP DFD1605</v>
      </c>
      <c r="D4977" s="125" t="str">
        <f>IFERROR(VLOOKUP($A4977,HeadJournal!$A$1:$NTR$890,COLUMN(HeadJournal!D$1),0),"")</f>
        <v>Доставлен</v>
      </c>
      <c r="E4977" s="95">
        <f>IFERROR(VLOOKUP($A4977,HeadJournal!$A$1:$NTR$890,COLUMN(HeadJournal!G$1),0),"")</f>
        <v>45886</v>
      </c>
      <c r="F4977" s="95" t="str">
        <f t="shared" si="371"/>
        <v>2025 08</v>
      </c>
      <c r="G4977" s="97" t="s">
        <v>5</v>
      </c>
      <c r="H4977" s="161" t="s">
        <v>4130</v>
      </c>
      <c r="I4977" s="97" t="s">
        <v>2042</v>
      </c>
      <c r="J4977" s="97" t="s">
        <v>4131</v>
      </c>
      <c r="K4977" s="29">
        <v>5.64</v>
      </c>
      <c r="L4977" s="29">
        <v>-1.1299999999999999</v>
      </c>
      <c r="M4977" s="30">
        <f>IFERROR(VLOOKUP($A4977,HeadJournal!$A$1:$J$890,COLUMN(HeadJournal!I$1),0)*($K4977+$L4977)/(SUMIF($A:$A,$A4977,$K:$K)+SUMIF($A:$A,$A4977,$L:$L)),0)</f>
        <v>0</v>
      </c>
      <c r="N4977" s="30">
        <f>IFERROR((VLOOKUP($A4977,HeadJournal!$A$1:$K$890,COLUMN(HeadJournal!K$1),0)-VLOOKUP($A4977,HeadJournal!$A$1:$K$890,COLUMN(HeadJournal!J$1),0))*($K4977+$L4977)/(SUMIF($A:$A,$A4977,$K:$K)+SUMIF($A:$A,$A4977,$L:$L)),0)</f>
        <v>-7.8293372545273664E-16</v>
      </c>
      <c r="O4977" s="30">
        <f>IFERROR((VLOOKUP($A4977,HeadJournal!$A$1:$L$890,COLUMN(HeadJournal!L$1),0)*($K4977+$L4977)/(SUMIF($A:$A,$A4977,$K:$K)+SUMIF($A:$A,$A4977,$L:$L)))/VLOOKUP($A4977,HeadJournal!$A$1:$L$890,COLUMN(HeadJournal!H$1),0),0)</f>
        <v>0.14261501293160725</v>
      </c>
      <c r="P4977" s="30">
        <f>IFERROR(SUM(K4977:O4977)*VLOOKUP($A4977,HeadJournal!$A$1:$L$890,COLUMN(HeadJournal!H$1),0),0)</f>
        <v>416.98905753725865</v>
      </c>
      <c r="Q4977" s="29">
        <v>1000</v>
      </c>
      <c r="R4977" s="31">
        <v>45907</v>
      </c>
      <c r="S4977" s="31" t="s">
        <v>3172</v>
      </c>
      <c r="T4977" s="95" t="str">
        <f t="shared" si="372"/>
        <v>2025 09</v>
      </c>
      <c r="U4977" s="32">
        <f t="shared" si="354"/>
        <v>583.01094246274135</v>
      </c>
      <c r="V4977" s="22">
        <f t="shared" si="355"/>
        <v>1.3981444642840499</v>
      </c>
      <c r="X4977" s="33"/>
      <c r="Y4977" s="33"/>
    </row>
    <row r="4978" spans="1:25" x14ac:dyDescent="0.2">
      <c r="A4978" s="93" t="s">
        <v>4146</v>
      </c>
      <c r="B4978" s="94" t="str">
        <f>IFERROR(VLOOKUP($A4978,HeadJournal!$A$1:$NTR$890,COLUMN(HeadJournal!B$1),0),"")</f>
        <v>720000761904</v>
      </c>
      <c r="C4978" s="94" t="str">
        <f>IFERROR(VLOOKUP($A4978,HeadJournal!$A$1:$NTR$890,COLUMN(HeadJournal!C$1),0),"")</f>
        <v>iHerb_VP DFD1605</v>
      </c>
      <c r="D4978" s="125" t="str">
        <f>IFERROR(VLOOKUP($A4978,HeadJournal!$A$1:$NTR$890,COLUMN(HeadJournal!D$1),0),"")</f>
        <v>Доставлен</v>
      </c>
      <c r="E4978" s="95">
        <f>IFERROR(VLOOKUP($A4978,HeadJournal!$A$1:$NTR$890,COLUMN(HeadJournal!G$1),0),"")</f>
        <v>45886</v>
      </c>
      <c r="F4978" s="95" t="str">
        <f t="shared" si="371"/>
        <v>2025 08</v>
      </c>
      <c r="G4978" s="97" t="s">
        <v>5</v>
      </c>
      <c r="H4978" s="161" t="s">
        <v>4132</v>
      </c>
      <c r="I4978" s="97" t="s">
        <v>2005</v>
      </c>
      <c r="J4978" s="97" t="s">
        <v>4133</v>
      </c>
      <c r="K4978" s="29">
        <v>10.86</v>
      </c>
      <c r="L4978" s="29">
        <v>-2.17</v>
      </c>
      <c r="M4978" s="30">
        <f>IFERROR(VLOOKUP($A4978,HeadJournal!$A$1:$J$890,COLUMN(HeadJournal!I$1),0)*($K4978+$L4978)/(SUMIF($A:$A,$A4978,$K:$K)+SUMIF($A:$A,$A4978,$L:$L)),0)</f>
        <v>0</v>
      </c>
      <c r="N4978" s="30">
        <f>IFERROR((VLOOKUP($A4978,HeadJournal!$A$1:$K$890,COLUMN(HeadJournal!K$1),0)-VLOOKUP($A4978,HeadJournal!$A$1:$K$890,COLUMN(HeadJournal!J$1),0))*($K4978+$L4978)/(SUMIF($A:$A,$A4978,$K:$K)+SUMIF($A:$A,$A4978,$L:$L)),0)</f>
        <v>-1.508579617335761E-15</v>
      </c>
      <c r="O4978" s="30">
        <f>IFERROR((VLOOKUP($A4978,HeadJournal!$A$1:$L$890,COLUMN(HeadJournal!L$1),0)*($K4978+$L4978)/(SUMIF($A:$A,$A4978,$K:$K)+SUMIF($A:$A,$A4978,$L:$L)))/VLOOKUP($A4978,HeadJournal!$A$1:$L$890,COLUMN(HeadJournal!H$1),0),0)</f>
        <v>0.27479478101456034</v>
      </c>
      <c r="P4978" s="30">
        <f>IFERROR(SUM(K4978:O4978)*VLOOKUP($A4978,HeadJournal!$A$1:$L$890,COLUMN(HeadJournal!H$1),0),0)</f>
        <v>803.46672062057144</v>
      </c>
      <c r="Q4978" s="29">
        <v>1500</v>
      </c>
      <c r="R4978" s="31">
        <v>45912</v>
      </c>
      <c r="S4978" s="31"/>
      <c r="T4978" s="95" t="str">
        <f t="shared" si="372"/>
        <v>2025 09</v>
      </c>
      <c r="U4978" s="32">
        <f t="shared" si="354"/>
        <v>696.53327937942856</v>
      </c>
      <c r="V4978" s="22">
        <f t="shared" si="355"/>
        <v>0.86690993105657077</v>
      </c>
      <c r="X4978" s="33"/>
      <c r="Y4978" s="33"/>
    </row>
    <row r="4979" spans="1:25" x14ac:dyDescent="0.2">
      <c r="A4979" s="93" t="s">
        <v>4146</v>
      </c>
      <c r="B4979" s="94" t="str">
        <f>IFERROR(VLOOKUP($A4979,HeadJournal!$A$1:$NTR$890,COLUMN(HeadJournal!B$1),0),"")</f>
        <v>720000761904</v>
      </c>
      <c r="C4979" s="94" t="str">
        <f>IFERROR(VLOOKUP($A4979,HeadJournal!$A$1:$NTR$890,COLUMN(HeadJournal!C$1),0),"")</f>
        <v>iHerb_VP DFD1605</v>
      </c>
      <c r="D4979" s="125" t="str">
        <f>IFERROR(VLOOKUP($A4979,HeadJournal!$A$1:$NTR$890,COLUMN(HeadJournal!D$1),0),"")</f>
        <v>Доставлен</v>
      </c>
      <c r="E4979" s="95">
        <f>IFERROR(VLOOKUP($A4979,HeadJournal!$A$1:$NTR$890,COLUMN(HeadJournal!G$1),0),"")</f>
        <v>45886</v>
      </c>
      <c r="F4979" s="95" t="str">
        <f t="shared" si="371"/>
        <v>2025 08</v>
      </c>
      <c r="G4979" s="97" t="s">
        <v>5</v>
      </c>
      <c r="H4979" s="161" t="s">
        <v>4132</v>
      </c>
      <c r="I4979" s="97" t="s">
        <v>2005</v>
      </c>
      <c r="J4979" s="97" t="s">
        <v>4133</v>
      </c>
      <c r="K4979" s="29">
        <v>10.86</v>
      </c>
      <c r="L4979" s="29">
        <v>-2.17</v>
      </c>
      <c r="M4979" s="30">
        <f>IFERROR(VLOOKUP($A4979,HeadJournal!$A$1:$J$890,COLUMN(HeadJournal!I$1),0)*($K4979+$L4979)/(SUMIF($A:$A,$A4979,$K:$K)+SUMIF($A:$A,$A4979,$L:$L)),0)</f>
        <v>0</v>
      </c>
      <c r="N4979" s="30">
        <f>IFERROR((VLOOKUP($A4979,HeadJournal!$A$1:$K$890,COLUMN(HeadJournal!K$1),0)-VLOOKUP($A4979,HeadJournal!$A$1:$K$890,COLUMN(HeadJournal!J$1),0))*($K4979+$L4979)/(SUMIF($A:$A,$A4979,$K:$K)+SUMIF($A:$A,$A4979,$L:$L)),0)</f>
        <v>-1.508579617335761E-15</v>
      </c>
      <c r="O4979" s="30">
        <f>IFERROR((VLOOKUP($A4979,HeadJournal!$A$1:$L$890,COLUMN(HeadJournal!L$1),0)*($K4979+$L4979)/(SUMIF($A:$A,$A4979,$K:$K)+SUMIF($A:$A,$A4979,$L:$L)))/VLOOKUP($A4979,HeadJournal!$A$1:$L$890,COLUMN(HeadJournal!H$1),0),0)</f>
        <v>0.27479478101456034</v>
      </c>
      <c r="P4979" s="30">
        <f>IFERROR(SUM(K4979:O4979)*VLOOKUP($A4979,HeadJournal!$A$1:$L$890,COLUMN(HeadJournal!H$1),0),0)</f>
        <v>803.46672062057144</v>
      </c>
      <c r="Q4979" s="29">
        <v>1600</v>
      </c>
      <c r="R4979" s="31">
        <v>45940</v>
      </c>
      <c r="S4979" s="31" t="s">
        <v>3235</v>
      </c>
      <c r="T4979" s="95" t="str">
        <f t="shared" si="372"/>
        <v>2025 10</v>
      </c>
      <c r="U4979" s="32">
        <f t="shared" si="354"/>
        <v>796.53327937942856</v>
      </c>
      <c r="V4979" s="22">
        <f t="shared" si="355"/>
        <v>0.99137059312700881</v>
      </c>
      <c r="X4979" s="33"/>
      <c r="Y4979" s="33"/>
    </row>
    <row r="4980" spans="1:25" x14ac:dyDescent="0.2">
      <c r="A4980" s="93" t="s">
        <v>4146</v>
      </c>
      <c r="B4980" s="94" t="str">
        <f>IFERROR(VLOOKUP($A4980,HeadJournal!$A$1:$NTR$890,COLUMN(HeadJournal!B$1),0),"")</f>
        <v>720000761904</v>
      </c>
      <c r="C4980" s="94" t="str">
        <f>IFERROR(VLOOKUP($A4980,HeadJournal!$A$1:$NTR$890,COLUMN(HeadJournal!C$1),0),"")</f>
        <v>iHerb_VP DFD1605</v>
      </c>
      <c r="D4980" s="125" t="str">
        <f>IFERROR(VLOOKUP($A4980,HeadJournal!$A$1:$NTR$890,COLUMN(HeadJournal!D$1),0),"")</f>
        <v>Доставлен</v>
      </c>
      <c r="E4980" s="95">
        <f>IFERROR(VLOOKUP($A4980,HeadJournal!$A$1:$NTR$890,COLUMN(HeadJournal!G$1),0),"")</f>
        <v>45886</v>
      </c>
      <c r="F4980" s="95" t="str">
        <f t="shared" si="371"/>
        <v>2025 08</v>
      </c>
      <c r="G4980" s="97" t="s">
        <v>5</v>
      </c>
      <c r="H4980" s="161" t="s">
        <v>4134</v>
      </c>
      <c r="I4980" s="97" t="s">
        <v>4135</v>
      </c>
      <c r="J4980" s="97" t="s">
        <v>4136</v>
      </c>
      <c r="K4980" s="29">
        <v>17.420000000000002</v>
      </c>
      <c r="L4980" s="29">
        <v>-3.48</v>
      </c>
      <c r="M4980" s="30">
        <f>IFERROR(VLOOKUP($A4980,HeadJournal!$A$1:$J$890,COLUMN(HeadJournal!I$1),0)*($K4980+$L4980)/(SUMIF($A:$A,$A4980,$K:$K)+SUMIF($A:$A,$A4980,$L:$L)),0)</f>
        <v>0</v>
      </c>
      <c r="N4980" s="30">
        <f>IFERROR((VLOOKUP($A4980,HeadJournal!$A$1:$K$890,COLUMN(HeadJournal!K$1),0)-VLOOKUP($A4980,HeadJournal!$A$1:$K$890,COLUMN(HeadJournal!J$1),0))*($K4980+$L4980)/(SUMIF($A:$A,$A4980,$K:$K)+SUMIF($A:$A,$A4980,$L:$L)),0)</f>
        <v>-2.4199769695811863E-15</v>
      </c>
      <c r="O4980" s="30">
        <f>IFERROR((VLOOKUP($A4980,HeadJournal!$A$1:$L$890,COLUMN(HeadJournal!L$1),0)*($K4980+$L4980)/(SUMIF($A:$A,$A4980,$K:$K)+SUMIF($A:$A,$A4980,$L:$L)))/VLOOKUP($A4980,HeadJournal!$A$1:$L$890,COLUMN(HeadJournal!H$1),0),0)</f>
        <v>0.44081003997042256</v>
      </c>
      <c r="P4980" s="30">
        <f>IFERROR(SUM(K4980:O4980)*VLOOKUP($A4980,HeadJournal!$A$1:$L$890,COLUMN(HeadJournal!H$1),0),0)</f>
        <v>1288.8752687515271</v>
      </c>
      <c r="Q4980" s="29"/>
      <c r="R4980" s="31"/>
      <c r="S4980" s="31"/>
      <c r="T4980" s="95" t="str">
        <f t="shared" si="372"/>
        <v/>
      </c>
      <c r="U4980" s="32">
        <f t="shared" si="354"/>
        <v>-1288.8752687515271</v>
      </c>
      <c r="V4980" s="22" t="str">
        <f t="shared" si="355"/>
        <v/>
      </c>
      <c r="X4980" s="33"/>
      <c r="Y4980" s="33"/>
    </row>
    <row r="4981" spans="1:25" x14ac:dyDescent="0.2">
      <c r="A4981" s="93" t="s">
        <v>4148</v>
      </c>
      <c r="B4981" s="94" t="str">
        <f>IFERROR(VLOOKUP($A4981,HeadJournal!$A$1:$NTR$890,COLUMN(HeadJournal!B$1),0),"")</f>
        <v>720000766767</v>
      </c>
      <c r="C4981" s="94" t="str">
        <f>IFERROR(VLOOKUP($A4981,HeadJournal!$A$1:$NTR$890,COLUMN(HeadJournal!C$1),0),"")</f>
        <v>iHerb_VP DFD1605</v>
      </c>
      <c r="D4981" s="125" t="str">
        <f>IFERROR(VLOOKUP($A4981,HeadJournal!$A$1:$NTR$890,COLUMN(HeadJournal!D$1),0),"")</f>
        <v>Доставлен</v>
      </c>
      <c r="E4981" s="95">
        <f>IFERROR(VLOOKUP($A4981,HeadJournal!$A$1:$NTR$890,COLUMN(HeadJournal!G$1),0),"")</f>
        <v>45889</v>
      </c>
      <c r="F4981" s="95" t="str">
        <f t="shared" si="371"/>
        <v>2025 08</v>
      </c>
      <c r="G4981" s="97" t="s">
        <v>5</v>
      </c>
      <c r="H4981" s="161" t="s">
        <v>3796</v>
      </c>
      <c r="I4981" s="97" t="s">
        <v>2009</v>
      </c>
      <c r="J4981" s="97" t="s">
        <v>3797</v>
      </c>
      <c r="K4981" s="29">
        <v>24.16</v>
      </c>
      <c r="L4981" s="29">
        <v>-4.83</v>
      </c>
      <c r="M4981" s="30">
        <f>IFERROR(VLOOKUP($A4981,HeadJournal!$A$1:$J$890,COLUMN(HeadJournal!I$1),0)*($K4981+$L4981)/(SUMIF($A:$A,$A4981,$K:$K)+SUMIF($A:$A,$A4981,$L:$L)),0)</f>
        <v>0</v>
      </c>
      <c r="N4981" s="30">
        <f>IFERROR((VLOOKUP($A4981,HeadJournal!$A$1:$K$890,COLUMN(HeadJournal!K$1),0)-VLOOKUP($A4981,HeadJournal!$A$1:$K$890,COLUMN(HeadJournal!J$1),0))*($K4981+$L4981)/(SUMIF($A:$A,$A4981,$K:$K)+SUMIF($A:$A,$A4981,$L:$L)),0)</f>
        <v>-3.2566191066372814E-15</v>
      </c>
      <c r="O4981" s="30">
        <f>IFERROR((VLOOKUP($A4981,HeadJournal!$A$1:$L$890,COLUMN(HeadJournal!L$1),0)*($K4981+$L4981)/(SUMIF($A:$A,$A4981,$K:$K)+SUMIF($A:$A,$A4981,$L:$L)))/VLOOKUP($A4981,HeadJournal!$A$1:$L$890,COLUMN(HeadJournal!H$1),0),0)</f>
        <v>0.45168708647301892</v>
      </c>
      <c r="P4981" s="30">
        <f>IFERROR(SUM(K4981:O4981)*VLOOKUP($A4981,HeadJournal!$A$1:$L$890,COLUMN(HeadJournal!H$1),0),0)</f>
        <v>1773.0747097411577</v>
      </c>
      <c r="Q4981" s="29">
        <v>2900</v>
      </c>
      <c r="R4981" s="31">
        <v>45923</v>
      </c>
      <c r="S4981" s="31" t="s">
        <v>3235</v>
      </c>
      <c r="T4981" s="95" t="str">
        <f t="shared" si="372"/>
        <v>2025 09</v>
      </c>
      <c r="U4981" s="32">
        <f t="shared" si="354"/>
        <v>1126.9252902588423</v>
      </c>
      <c r="V4981" s="22">
        <f t="shared" si="355"/>
        <v>0.63557687900435766</v>
      </c>
      <c r="X4981" s="33"/>
      <c r="Y4981" s="33"/>
    </row>
    <row r="4982" spans="1:25" x14ac:dyDescent="0.2">
      <c r="A4982" s="93" t="s">
        <v>4148</v>
      </c>
      <c r="B4982" s="94" t="str">
        <f>IFERROR(VLOOKUP($A4982,HeadJournal!$A$1:$NTR$890,COLUMN(HeadJournal!B$1),0),"")</f>
        <v>720000766767</v>
      </c>
      <c r="C4982" s="94" t="str">
        <f>IFERROR(VLOOKUP($A4982,HeadJournal!$A$1:$NTR$890,COLUMN(HeadJournal!C$1),0),"")</f>
        <v>iHerb_VP DFD1605</v>
      </c>
      <c r="D4982" s="125" t="str">
        <f>IFERROR(VLOOKUP($A4982,HeadJournal!$A$1:$NTR$890,COLUMN(HeadJournal!D$1),0),"")</f>
        <v>Доставлен</v>
      </c>
      <c r="E4982" s="95">
        <f>IFERROR(VLOOKUP($A4982,HeadJournal!$A$1:$NTR$890,COLUMN(HeadJournal!G$1),0),"")</f>
        <v>45889</v>
      </c>
      <c r="F4982" s="95" t="str">
        <f t="shared" si="371"/>
        <v>2025 08</v>
      </c>
      <c r="G4982" s="97" t="s">
        <v>5</v>
      </c>
      <c r="H4982" s="161" t="s">
        <v>3796</v>
      </c>
      <c r="I4982" s="97" t="s">
        <v>2009</v>
      </c>
      <c r="J4982" s="97" t="s">
        <v>3797</v>
      </c>
      <c r="K4982" s="29">
        <v>24.16</v>
      </c>
      <c r="L4982" s="29">
        <v>-4.83</v>
      </c>
      <c r="M4982" s="30">
        <f>IFERROR(VLOOKUP($A4982,HeadJournal!$A$1:$J$890,COLUMN(HeadJournal!I$1),0)*($K4982+$L4982)/(SUMIF($A:$A,$A4982,$K:$K)+SUMIF($A:$A,$A4982,$L:$L)),0)</f>
        <v>0</v>
      </c>
      <c r="N4982" s="30">
        <f>IFERROR((VLOOKUP($A4982,HeadJournal!$A$1:$K$890,COLUMN(HeadJournal!K$1),0)-VLOOKUP($A4982,HeadJournal!$A$1:$K$890,COLUMN(HeadJournal!J$1),0))*($K4982+$L4982)/(SUMIF($A:$A,$A4982,$K:$K)+SUMIF($A:$A,$A4982,$L:$L)),0)</f>
        <v>-3.2566191066372814E-15</v>
      </c>
      <c r="O4982" s="30">
        <f>IFERROR((VLOOKUP($A4982,HeadJournal!$A$1:$L$890,COLUMN(HeadJournal!L$1),0)*($K4982+$L4982)/(SUMIF($A:$A,$A4982,$K:$K)+SUMIF($A:$A,$A4982,$L:$L)))/VLOOKUP($A4982,HeadJournal!$A$1:$L$890,COLUMN(HeadJournal!H$1),0),0)</f>
        <v>0.45168708647301892</v>
      </c>
      <c r="P4982" s="30">
        <f>IFERROR(SUM(K4982:O4982)*VLOOKUP($A4982,HeadJournal!$A$1:$L$890,COLUMN(HeadJournal!H$1),0),0)</f>
        <v>1773.0747097411577</v>
      </c>
      <c r="Q4982" s="29">
        <v>2900</v>
      </c>
      <c r="R4982" s="31">
        <v>45923</v>
      </c>
      <c r="S4982" s="31" t="s">
        <v>3235</v>
      </c>
      <c r="T4982" s="95" t="str">
        <f t="shared" si="372"/>
        <v>2025 09</v>
      </c>
      <c r="U4982" s="32">
        <f t="shared" ref="U4982:U5049" si="373">Q4982-P4982</f>
        <v>1126.9252902588423</v>
      </c>
      <c r="V4982" s="22">
        <f t="shared" ref="V4982:V5049" si="374">IF(Q4982&lt;&gt;0,IFERROR(U4982/P4982,""),"")</f>
        <v>0.63557687900435766</v>
      </c>
      <c r="X4982" s="33"/>
      <c r="Y4982" s="33"/>
    </row>
    <row r="4983" spans="1:25" x14ac:dyDescent="0.2">
      <c r="A4983" s="93" t="s">
        <v>4148</v>
      </c>
      <c r="B4983" s="94" t="str">
        <f>IFERROR(VLOOKUP($A4983,HeadJournal!$A$1:$NTR$890,COLUMN(HeadJournal!B$1),0),"")</f>
        <v>720000766767</v>
      </c>
      <c r="C4983" s="94" t="str">
        <f>IFERROR(VLOOKUP($A4983,HeadJournal!$A$1:$NTR$890,COLUMN(HeadJournal!C$1),0),"")</f>
        <v>iHerb_VP DFD1605</v>
      </c>
      <c r="D4983" s="125" t="str">
        <f>IFERROR(VLOOKUP($A4983,HeadJournal!$A$1:$NTR$890,COLUMN(HeadJournal!D$1),0),"")</f>
        <v>Доставлен</v>
      </c>
      <c r="E4983" s="95">
        <f>IFERROR(VLOOKUP($A4983,HeadJournal!$A$1:$NTR$890,COLUMN(HeadJournal!G$1),0),"")</f>
        <v>45889</v>
      </c>
      <c r="F4983" s="95" t="str">
        <f t="shared" si="371"/>
        <v>2025 08</v>
      </c>
      <c r="G4983" s="97" t="s">
        <v>5</v>
      </c>
      <c r="H4983" s="161" t="s">
        <v>2016</v>
      </c>
      <c r="I4983" s="97" t="s">
        <v>2005</v>
      </c>
      <c r="J4983" s="97" t="s">
        <v>2017</v>
      </c>
      <c r="K4983" s="29">
        <v>40.090000000000003</v>
      </c>
      <c r="L4983" s="29">
        <v>-8.02</v>
      </c>
      <c r="M4983" s="30">
        <f>IFERROR(VLOOKUP($A4983,HeadJournal!$A$1:$J$890,COLUMN(HeadJournal!I$1),0)*($K4983+$L4983)/(SUMIF($A:$A,$A4983,$K:$K)+SUMIF($A:$A,$A4983,$L:$L)),0)</f>
        <v>0</v>
      </c>
      <c r="N4983" s="30">
        <f>IFERROR((VLOOKUP($A4983,HeadJournal!$A$1:$K$890,COLUMN(HeadJournal!K$1),0)-VLOOKUP($A4983,HeadJournal!$A$1:$K$890,COLUMN(HeadJournal!J$1),0))*($K4983+$L4983)/(SUMIF($A:$A,$A4983,$K:$K)+SUMIF($A:$A,$A4983,$L:$L)),0)</f>
        <v>-5.4029888644520249E-15</v>
      </c>
      <c r="O4983" s="30">
        <f>IFERROR((VLOOKUP($A4983,HeadJournal!$A$1:$L$890,COLUMN(HeadJournal!L$1),0)*($K4983+$L4983)/(SUMIF($A:$A,$A4983,$K:$K)+SUMIF($A:$A,$A4983,$L:$L)))/VLOOKUP($A4983,HeadJournal!$A$1:$L$890,COLUMN(HeadJournal!H$1),0),0)</f>
        <v>0.74938462820433105</v>
      </c>
      <c r="P4983" s="30">
        <f>IFERROR(SUM(K4983:O4983)*VLOOKUP($A4983,HeadJournal!$A$1:$L$890,COLUMN(HeadJournal!H$1),0),0)</f>
        <v>2941.6712851215179</v>
      </c>
      <c r="Q4983" s="29">
        <v>4400</v>
      </c>
      <c r="R4983" s="31">
        <v>45955</v>
      </c>
      <c r="S4983" s="31"/>
      <c r="T4983" s="95" t="str">
        <f t="shared" si="372"/>
        <v>2025 10</v>
      </c>
      <c r="U4983" s="32">
        <f t="shared" si="373"/>
        <v>1458.3287148784821</v>
      </c>
      <c r="V4983" s="22">
        <f t="shared" si="374"/>
        <v>0.49574835987095672</v>
      </c>
      <c r="X4983" s="33"/>
      <c r="Y4983" s="33"/>
    </row>
    <row r="4984" spans="1:25" x14ac:dyDescent="0.2">
      <c r="A4984" s="93" t="s">
        <v>4148</v>
      </c>
      <c r="B4984" s="94" t="str">
        <f>IFERROR(VLOOKUP($A4984,HeadJournal!$A$1:$NTR$890,COLUMN(HeadJournal!B$1),0),"")</f>
        <v>720000766767</v>
      </c>
      <c r="C4984" s="94" t="str">
        <f>IFERROR(VLOOKUP($A4984,HeadJournal!$A$1:$NTR$890,COLUMN(HeadJournal!C$1),0),"")</f>
        <v>iHerb_VP DFD1605</v>
      </c>
      <c r="D4984" s="125" t="str">
        <f>IFERROR(VLOOKUP($A4984,HeadJournal!$A$1:$NTR$890,COLUMN(HeadJournal!D$1),0),"")</f>
        <v>Доставлен</v>
      </c>
      <c r="E4984" s="95">
        <f>IFERROR(VLOOKUP($A4984,HeadJournal!$A$1:$NTR$890,COLUMN(HeadJournal!G$1),0),"")</f>
        <v>45889</v>
      </c>
      <c r="F4984" s="95" t="str">
        <f t="shared" si="371"/>
        <v>2025 08</v>
      </c>
      <c r="G4984" s="97" t="s">
        <v>5</v>
      </c>
      <c r="H4984" s="161" t="s">
        <v>2016</v>
      </c>
      <c r="I4984" s="97" t="s">
        <v>2005</v>
      </c>
      <c r="J4984" s="97" t="s">
        <v>2017</v>
      </c>
      <c r="K4984" s="29">
        <v>40.090000000000003</v>
      </c>
      <c r="L4984" s="29">
        <v>-8.02</v>
      </c>
      <c r="M4984" s="30">
        <f>IFERROR(VLOOKUP($A4984,HeadJournal!$A$1:$J$890,COLUMN(HeadJournal!I$1),0)*($K4984+$L4984)/(SUMIF($A:$A,$A4984,$K:$K)+SUMIF($A:$A,$A4984,$L:$L)),0)</f>
        <v>0</v>
      </c>
      <c r="N4984" s="30">
        <f>IFERROR((VLOOKUP($A4984,HeadJournal!$A$1:$K$890,COLUMN(HeadJournal!K$1),0)-VLOOKUP($A4984,HeadJournal!$A$1:$K$890,COLUMN(HeadJournal!J$1),0))*($K4984+$L4984)/(SUMIF($A:$A,$A4984,$K:$K)+SUMIF($A:$A,$A4984,$L:$L)),0)</f>
        <v>-5.4029888644520249E-15</v>
      </c>
      <c r="O4984" s="30">
        <f>IFERROR((VLOOKUP($A4984,HeadJournal!$A$1:$L$890,COLUMN(HeadJournal!L$1),0)*($K4984+$L4984)/(SUMIF($A:$A,$A4984,$K:$K)+SUMIF($A:$A,$A4984,$L:$L)))/VLOOKUP($A4984,HeadJournal!$A$1:$L$890,COLUMN(HeadJournal!H$1),0),0)</f>
        <v>0.74938462820433105</v>
      </c>
      <c r="P4984" s="30">
        <f>IFERROR(SUM(K4984:O4984)*VLOOKUP($A4984,HeadJournal!$A$1:$L$890,COLUMN(HeadJournal!H$1),0),0)</f>
        <v>2941.6712851215179</v>
      </c>
      <c r="Q4984" s="29">
        <v>4400</v>
      </c>
      <c r="R4984" s="31">
        <v>45971</v>
      </c>
      <c r="S4984" s="31" t="s">
        <v>3457</v>
      </c>
      <c r="T4984" s="95" t="str">
        <f t="shared" si="372"/>
        <v>2025 11</v>
      </c>
      <c r="U4984" s="32">
        <f t="shared" si="373"/>
        <v>1458.3287148784821</v>
      </c>
      <c r="V4984" s="22">
        <f t="shared" si="374"/>
        <v>0.49574835987095672</v>
      </c>
      <c r="X4984" s="33"/>
      <c r="Y4984" s="33"/>
    </row>
    <row r="4985" spans="1:25" x14ac:dyDescent="0.2">
      <c r="A4985" s="93" t="s">
        <v>4148</v>
      </c>
      <c r="B4985" s="94" t="str">
        <f>IFERROR(VLOOKUP($A4985,HeadJournal!$A$1:$NTR$890,COLUMN(HeadJournal!B$1),0),"")</f>
        <v>720000766767</v>
      </c>
      <c r="C4985" s="94" t="str">
        <f>IFERROR(VLOOKUP($A4985,HeadJournal!$A$1:$NTR$890,COLUMN(HeadJournal!C$1),0),"")</f>
        <v>iHerb_VP DFD1605</v>
      </c>
      <c r="D4985" s="125" t="str">
        <f>IFERROR(VLOOKUP($A4985,HeadJournal!$A$1:$NTR$890,COLUMN(HeadJournal!D$1),0),"")</f>
        <v>Доставлен</v>
      </c>
      <c r="E4985" s="95">
        <f>IFERROR(VLOOKUP($A4985,HeadJournal!$A$1:$NTR$890,COLUMN(HeadJournal!G$1),0),"")</f>
        <v>45889</v>
      </c>
      <c r="F4985" s="95" t="str">
        <f t="shared" si="371"/>
        <v>2025 08</v>
      </c>
      <c r="G4985" s="97" t="s">
        <v>5</v>
      </c>
      <c r="H4985" s="161" t="s">
        <v>4137</v>
      </c>
      <c r="I4985" s="97" t="s">
        <v>2666</v>
      </c>
      <c r="J4985" s="97" t="s">
        <v>4138</v>
      </c>
      <c r="K4985" s="29">
        <v>13.22</v>
      </c>
      <c r="L4985" s="29">
        <v>-2.64</v>
      </c>
      <c r="M4985" s="30">
        <f>IFERROR(VLOOKUP($A4985,HeadJournal!$A$1:$J$890,COLUMN(HeadJournal!I$1),0)*($K4985+$L4985)/(SUMIF($A:$A,$A4985,$K:$K)+SUMIF($A:$A,$A4985,$L:$L)),0)</f>
        <v>0</v>
      </c>
      <c r="N4985" s="30">
        <f>IFERROR((VLOOKUP($A4985,HeadJournal!$A$1:$K$890,COLUMN(HeadJournal!K$1),0)-VLOOKUP($A4985,HeadJournal!$A$1:$K$890,COLUMN(HeadJournal!J$1),0))*($K4985+$L4985)/(SUMIF($A:$A,$A4985,$K:$K)+SUMIF($A:$A,$A4985,$L:$L)),0)</f>
        <v>-1.7824640531930907E-15</v>
      </c>
      <c r="O4985" s="30">
        <f>IFERROR((VLOOKUP($A4985,HeadJournal!$A$1:$L$890,COLUMN(HeadJournal!L$1),0)*($K4985+$L4985)/(SUMIF($A:$A,$A4985,$K:$K)+SUMIF($A:$A,$A4985,$L:$L)))/VLOOKUP($A4985,HeadJournal!$A$1:$L$890,COLUMN(HeadJournal!H$1),0),0)</f>
        <v>0.24722448913008488</v>
      </c>
      <c r="P4985" s="30">
        <f>IFERROR(SUM(K4985:O4985)*VLOOKUP($A4985,HeadJournal!$A$1:$L$890,COLUMN(HeadJournal!H$1),0),0)</f>
        <v>970.46717170519662</v>
      </c>
      <c r="Q4985" s="29">
        <v>2000</v>
      </c>
      <c r="R4985" s="31">
        <v>45934</v>
      </c>
      <c r="S4985" s="31"/>
      <c r="T4985" s="95" t="str">
        <f t="shared" si="372"/>
        <v>2025 10</v>
      </c>
      <c r="U4985" s="32">
        <f t="shared" si="373"/>
        <v>1029.5328282948035</v>
      </c>
      <c r="V4985" s="22">
        <f t="shared" si="374"/>
        <v>1.0608631165604741</v>
      </c>
      <c r="X4985" s="33"/>
      <c r="Y4985" s="33"/>
    </row>
    <row r="4986" spans="1:25" x14ac:dyDescent="0.2">
      <c r="A4986" s="93" t="s">
        <v>4148</v>
      </c>
      <c r="B4986" s="94" t="str">
        <f>IFERROR(VLOOKUP($A4986,HeadJournal!$A$1:$NTR$890,COLUMN(HeadJournal!B$1),0),"")</f>
        <v>720000766767</v>
      </c>
      <c r="C4986" s="94" t="str">
        <f>IFERROR(VLOOKUP($A4986,HeadJournal!$A$1:$NTR$890,COLUMN(HeadJournal!C$1),0),"")</f>
        <v>iHerb_VP DFD1605</v>
      </c>
      <c r="D4986" s="125" t="str">
        <f>IFERROR(VLOOKUP($A4986,HeadJournal!$A$1:$NTR$890,COLUMN(HeadJournal!D$1),0),"")</f>
        <v>Доставлен</v>
      </c>
      <c r="E4986" s="95">
        <f>IFERROR(VLOOKUP($A4986,HeadJournal!$A$1:$NTR$890,COLUMN(HeadJournal!G$1),0),"")</f>
        <v>45889</v>
      </c>
      <c r="F4986" s="95" t="str">
        <f t="shared" si="371"/>
        <v>2025 08</v>
      </c>
      <c r="G4986" s="97" t="s">
        <v>5</v>
      </c>
      <c r="H4986" s="161" t="s">
        <v>2790</v>
      </c>
      <c r="I4986" s="97" t="s">
        <v>2666</v>
      </c>
      <c r="J4986" s="97" t="s">
        <v>4139</v>
      </c>
      <c r="K4986" s="29">
        <v>9.59</v>
      </c>
      <c r="L4986" s="29">
        <v>-1.92</v>
      </c>
      <c r="M4986" s="30">
        <f>IFERROR(VLOOKUP($A4986,HeadJournal!$A$1:$J$890,COLUMN(HeadJournal!I$1),0)*($K4986+$L4986)/(SUMIF($A:$A,$A4986,$K:$K)+SUMIF($A:$A,$A4986,$L:$L)),0)</f>
        <v>0</v>
      </c>
      <c r="N4986" s="30">
        <f>IFERROR((VLOOKUP($A4986,HeadJournal!$A$1:$K$890,COLUMN(HeadJournal!K$1),0)-VLOOKUP($A4986,HeadJournal!$A$1:$K$890,COLUMN(HeadJournal!J$1),0))*($K4986+$L4986)/(SUMIF($A:$A,$A4986,$K:$K)+SUMIF($A:$A,$A4986,$L:$L)),0)</f>
        <v>-1.2922022011333653E-15</v>
      </c>
      <c r="O4986" s="30">
        <f>IFERROR((VLOOKUP($A4986,HeadJournal!$A$1:$L$890,COLUMN(HeadJournal!L$1),0)*($K4986+$L4986)/(SUMIF($A:$A,$A4986,$K:$K)+SUMIF($A:$A,$A4986,$L:$L)))/VLOOKUP($A4986,HeadJournal!$A$1:$L$890,COLUMN(HeadJournal!H$1),0),0)</f>
        <v>0.17922607104232052</v>
      </c>
      <c r="P4986" s="30">
        <f>IFERROR(SUM(K4986:O4986)*VLOOKUP($A4986,HeadJournal!$A$1:$L$890,COLUMN(HeadJournal!H$1),0),0)</f>
        <v>703.54283619837975</v>
      </c>
      <c r="Q4986" s="29">
        <v>1700</v>
      </c>
      <c r="R4986" s="31">
        <v>45989</v>
      </c>
      <c r="S4986" s="31"/>
      <c r="T4986" s="95" t="str">
        <f t="shared" si="372"/>
        <v>2025 11</v>
      </c>
      <c r="U4986" s="32">
        <f t="shared" si="373"/>
        <v>996.45716380162025</v>
      </c>
      <c r="V4986" s="22">
        <f t="shared" si="374"/>
        <v>1.4163418523113875</v>
      </c>
      <c r="X4986" s="33"/>
      <c r="Y4986" s="33"/>
    </row>
    <row r="4987" spans="1:25" x14ac:dyDescent="0.2">
      <c r="A4987" s="93" t="s">
        <v>4148</v>
      </c>
      <c r="B4987" s="94" t="str">
        <f>IFERROR(VLOOKUP($A4987,HeadJournal!$A$1:$NTR$890,COLUMN(HeadJournal!B$1),0),"")</f>
        <v>720000766767</v>
      </c>
      <c r="C4987" s="94" t="str">
        <f>IFERROR(VLOOKUP($A4987,HeadJournal!$A$1:$NTR$890,COLUMN(HeadJournal!C$1),0),"")</f>
        <v>iHerb_VP DFD1605</v>
      </c>
      <c r="D4987" s="125" t="str">
        <f>IFERROR(VLOOKUP($A4987,HeadJournal!$A$1:$NTR$890,COLUMN(HeadJournal!D$1),0),"")</f>
        <v>Доставлен</v>
      </c>
      <c r="E4987" s="95">
        <f>IFERROR(VLOOKUP($A4987,HeadJournal!$A$1:$NTR$890,COLUMN(HeadJournal!G$1),0),"")</f>
        <v>45889</v>
      </c>
      <c r="F4987" s="95" t="str">
        <f t="shared" si="371"/>
        <v>2025 08</v>
      </c>
      <c r="G4987" s="97" t="s">
        <v>5</v>
      </c>
      <c r="H4987" s="161" t="s">
        <v>2024</v>
      </c>
      <c r="I4987" s="97" t="s">
        <v>2005</v>
      </c>
      <c r="J4987" s="97" t="s">
        <v>4140</v>
      </c>
      <c r="K4987" s="29">
        <v>17.38</v>
      </c>
      <c r="L4987" s="29">
        <v>-3.48</v>
      </c>
      <c r="M4987" s="30">
        <f>IFERROR(VLOOKUP($A4987,HeadJournal!$A$1:$J$890,COLUMN(HeadJournal!I$1),0)*($K4987+$L4987)/(SUMIF($A:$A,$A4987,$K:$K)+SUMIF($A:$A,$A4987,$L:$L)),0)</f>
        <v>0</v>
      </c>
      <c r="N4987" s="30">
        <f>IFERROR((VLOOKUP($A4987,HeadJournal!$A$1:$K$890,COLUMN(HeadJournal!K$1),0)-VLOOKUP($A4987,HeadJournal!$A$1:$K$890,COLUMN(HeadJournal!J$1),0))*($K4987+$L4987)/(SUMIF($A:$A,$A4987,$K:$K)+SUMIF($A:$A,$A4987,$L:$L)),0)</f>
        <v>-2.3418005991856291E-15</v>
      </c>
      <c r="O4987" s="30">
        <f>IFERROR((VLOOKUP($A4987,HeadJournal!$A$1:$L$890,COLUMN(HeadJournal!L$1),0)*($K4987+$L4987)/(SUMIF($A:$A,$A4987,$K:$K)+SUMIF($A:$A,$A4987,$L:$L)))/VLOOKUP($A4987,HeadJournal!$A$1:$L$890,COLUMN(HeadJournal!H$1),0),0)</f>
        <v>0.32480344035048953</v>
      </c>
      <c r="P4987" s="30">
        <f>IFERROR(SUM(K4987:O4987)*VLOOKUP($A4987,HeadJournal!$A$1:$L$890,COLUMN(HeadJournal!H$1),0),0)</f>
        <v>1274.9994032799841</v>
      </c>
      <c r="Q4987" s="29">
        <v>2300</v>
      </c>
      <c r="R4987" s="31">
        <v>45924</v>
      </c>
      <c r="S4987" s="31" t="s">
        <v>3206</v>
      </c>
      <c r="T4987" s="95" t="str">
        <f t="shared" si="372"/>
        <v>2025 09</v>
      </c>
      <c r="U4987" s="32">
        <f t="shared" si="373"/>
        <v>1025.0005967200159</v>
      </c>
      <c r="V4987" s="22">
        <f t="shared" si="374"/>
        <v>0.80392241289145949</v>
      </c>
      <c r="X4987" s="33"/>
      <c r="Y4987" s="33"/>
    </row>
    <row r="4988" spans="1:25" x14ac:dyDescent="0.2">
      <c r="A4988" s="93" t="s">
        <v>4148</v>
      </c>
      <c r="B4988" s="94" t="str">
        <f>IFERROR(VLOOKUP($A4988,HeadJournal!$A$1:$NTR$890,COLUMN(HeadJournal!B$1),0),"")</f>
        <v>720000766767</v>
      </c>
      <c r="C4988" s="94" t="str">
        <f>IFERROR(VLOOKUP($A4988,HeadJournal!$A$1:$NTR$890,COLUMN(HeadJournal!C$1),0),"")</f>
        <v>iHerb_VP DFD1605</v>
      </c>
      <c r="D4988" s="125" t="str">
        <f>IFERROR(VLOOKUP($A4988,HeadJournal!$A$1:$NTR$890,COLUMN(HeadJournal!D$1),0),"")</f>
        <v>Доставлен</v>
      </c>
      <c r="E4988" s="95">
        <f>IFERROR(VLOOKUP($A4988,HeadJournal!$A$1:$NTR$890,COLUMN(HeadJournal!G$1),0),"")</f>
        <v>45889</v>
      </c>
      <c r="F4988" s="95" t="str">
        <f t="shared" si="371"/>
        <v>2025 08</v>
      </c>
      <c r="G4988" s="97" t="s">
        <v>5</v>
      </c>
      <c r="H4988" s="161" t="s">
        <v>4141</v>
      </c>
      <c r="I4988" s="97" t="s">
        <v>4142</v>
      </c>
      <c r="J4988" s="97" t="s">
        <v>4143</v>
      </c>
      <c r="K4988" s="29">
        <v>19.27</v>
      </c>
      <c r="L4988" s="29">
        <v>-9.64</v>
      </c>
      <c r="M4988" s="30">
        <f>IFERROR(VLOOKUP($A4988,HeadJournal!$A$1:$J$890,COLUMN(HeadJournal!I$1),0)*($K4988+$L4988)/(SUMIF($A:$A,$A4988,$K:$K)+SUMIF($A:$A,$A4988,$L:$L)),0)</f>
        <v>0</v>
      </c>
      <c r="N4988" s="30">
        <f>IFERROR((VLOOKUP($A4988,HeadJournal!$A$1:$K$890,COLUMN(HeadJournal!K$1),0)-VLOOKUP($A4988,HeadJournal!$A$1:$K$890,COLUMN(HeadJournal!J$1),0))*($K4988+$L4988)/(SUMIF($A:$A,$A4988,$K:$K)+SUMIF($A:$A,$A4988,$L:$L)),0)</f>
        <v>-1.622412933104864E-15</v>
      </c>
      <c r="O4988" s="30">
        <f>IFERROR((VLOOKUP($A4988,HeadJournal!$A$1:$L$890,COLUMN(HeadJournal!L$1),0)*($K4988+$L4988)/(SUMIF($A:$A,$A4988,$K:$K)+SUMIF($A:$A,$A4988,$L:$L)))/VLOOKUP($A4988,HeadJournal!$A$1:$L$890,COLUMN(HeadJournal!H$1),0),0)</f>
        <v>0.22502569284713772</v>
      </c>
      <c r="P4988" s="30">
        <f>IFERROR(SUM(K4988:O4988)*VLOOKUP($A4988,HeadJournal!$A$1:$L$890,COLUMN(HeadJournal!H$1),0),0)</f>
        <v>883.32692471843507</v>
      </c>
      <c r="Q4988" s="29"/>
      <c r="R4988" s="31"/>
      <c r="S4988" s="31"/>
      <c r="T4988" s="95" t="str">
        <f t="shared" si="372"/>
        <v/>
      </c>
      <c r="U4988" s="32">
        <f t="shared" si="373"/>
        <v>-883.32692471843507</v>
      </c>
      <c r="V4988" s="22" t="str">
        <f t="shared" si="374"/>
        <v/>
      </c>
      <c r="X4988" s="33"/>
      <c r="Y4988" s="33"/>
    </row>
    <row r="4989" spans="1:25" x14ac:dyDescent="0.2">
      <c r="A4989" s="93" t="s">
        <v>4148</v>
      </c>
      <c r="B4989" s="94" t="str">
        <f>IFERROR(VLOOKUP($A4989,HeadJournal!$A$1:$NTR$890,COLUMN(HeadJournal!B$1),0),"")</f>
        <v>720000766767</v>
      </c>
      <c r="C4989" s="94" t="str">
        <f>IFERROR(VLOOKUP($A4989,HeadJournal!$A$1:$NTR$890,COLUMN(HeadJournal!C$1),0),"")</f>
        <v>iHerb_VP DFD1605</v>
      </c>
      <c r="D4989" s="125" t="str">
        <f>IFERROR(VLOOKUP($A4989,HeadJournal!$A$1:$NTR$890,COLUMN(HeadJournal!D$1),0),"")</f>
        <v>Доставлен</v>
      </c>
      <c r="E4989" s="95">
        <f>IFERROR(VLOOKUP($A4989,HeadJournal!$A$1:$NTR$890,COLUMN(HeadJournal!G$1),0),"")</f>
        <v>45889</v>
      </c>
      <c r="F4989" s="95" t="str">
        <f t="shared" si="371"/>
        <v>2025 08</v>
      </c>
      <c r="G4989" s="97" t="s">
        <v>5</v>
      </c>
      <c r="H4989" s="161" t="s">
        <v>4144</v>
      </c>
      <c r="I4989" s="97" t="s">
        <v>2036</v>
      </c>
      <c r="J4989" s="97" t="s">
        <v>4145</v>
      </c>
      <c r="K4989" s="29">
        <v>30.15</v>
      </c>
      <c r="L4989" s="29">
        <v>-6.03</v>
      </c>
      <c r="M4989" s="30">
        <f>IFERROR(VLOOKUP($A4989,HeadJournal!$A$1:$J$890,COLUMN(HeadJournal!I$1),0)*($K4989+$L4989)/(SUMIF($A:$A,$A4989,$K:$K)+SUMIF($A:$A,$A4989,$L:$L)),0)</f>
        <v>0</v>
      </c>
      <c r="N4989" s="30">
        <f>IFERROR((VLOOKUP($A4989,HeadJournal!$A$1:$K$890,COLUMN(HeadJournal!K$1),0)-VLOOKUP($A4989,HeadJournal!$A$1:$K$890,COLUMN(HeadJournal!J$1),0))*($K4989+$L4989)/(SUMIF($A:$A,$A4989,$K:$K)+SUMIF($A:$A,$A4989,$L:$L)),0)</f>
        <v>-4.0636137016084439E-15</v>
      </c>
      <c r="O4989" s="30">
        <f>IFERROR((VLOOKUP($A4989,HeadJournal!$A$1:$L$890,COLUMN(HeadJournal!L$1),0)*($K4989+$L4989)/(SUMIF($A:$A,$A4989,$K:$K)+SUMIF($A:$A,$A4989,$L:$L)))/VLOOKUP($A4989,HeadJournal!$A$1:$L$890,COLUMN(HeadJournal!H$1),0),0)</f>
        <v>0.56361575404703645</v>
      </c>
      <c r="P4989" s="30">
        <f>IFERROR(SUM(K4989:O4989)*VLOOKUP($A4989,HeadJournal!$A$1:$L$890,COLUMN(HeadJournal!H$1),0),0)</f>
        <v>2212.4450077059864</v>
      </c>
      <c r="Q4989" s="29">
        <v>2212.4499999999998</v>
      </c>
      <c r="R4989" s="31"/>
      <c r="S4989" s="31"/>
      <c r="T4989" s="95" t="str">
        <f t="shared" si="372"/>
        <v/>
      </c>
      <c r="U4989" s="32">
        <f t="shared" si="373"/>
        <v>4.9922940133910743E-3</v>
      </c>
      <c r="V4989" s="22">
        <f t="shared" si="374"/>
        <v>2.256460158784884E-6</v>
      </c>
      <c r="X4989" s="33"/>
      <c r="Y4989" s="33"/>
    </row>
    <row r="4990" spans="1:25" x14ac:dyDescent="0.2">
      <c r="A4990" s="93" t="s">
        <v>4153</v>
      </c>
      <c r="B4990" s="94" t="str">
        <f>IFERROR(VLOOKUP($A4990,HeadJournal!$A$1:$NTR$890,COLUMN(HeadJournal!B$1),0),"")</f>
        <v>722500515861</v>
      </c>
      <c r="C4990" s="94" t="str">
        <f>IFERROR(VLOOKUP($A4990,HeadJournal!$A$1:$NTR$890,COLUMN(HeadJournal!C$1),0),"")</f>
        <v>iHerb_VP DFD1605</v>
      </c>
      <c r="D4990" s="125" t="str">
        <f>IFERROR(VLOOKUP($A4990,HeadJournal!$A$1:$NTR$890,COLUMN(HeadJournal!D$1),0),"")</f>
        <v>Доставлен</v>
      </c>
      <c r="E4990" s="95">
        <f>IFERROR(VLOOKUP($A4990,HeadJournal!$A$1:$NTR$890,COLUMN(HeadJournal!G$1),0),"")</f>
        <v>45894</v>
      </c>
      <c r="F4990" s="95" t="str">
        <f t="shared" si="371"/>
        <v>2025 08</v>
      </c>
      <c r="G4990" s="97" t="s">
        <v>5</v>
      </c>
      <c r="H4990" s="161" t="s">
        <v>4150</v>
      </c>
      <c r="I4990" s="97" t="s">
        <v>2163</v>
      </c>
      <c r="J4990" s="97" t="s">
        <v>4151</v>
      </c>
      <c r="K4990" s="29">
        <v>48.2</v>
      </c>
      <c r="L4990" s="29">
        <v>-13.98</v>
      </c>
      <c r="M4990" s="30">
        <f>IFERROR(VLOOKUP($A4990,HeadJournal!$A$1:$J$890,COLUMN(HeadJournal!I$1),0)*($K4990+$L4990)/(SUMIF($A:$A,$A4990,$K:$K)+SUMIF($A:$A,$A4990,$L:$L)),0)</f>
        <v>0</v>
      </c>
      <c r="N4990" s="30">
        <f>IFERROR((VLOOKUP($A4990,HeadJournal!$A$1:$K$890,COLUMN(HeadJournal!K$1),0)-VLOOKUP($A4990,HeadJournal!$A$1:$K$890,COLUMN(HeadJournal!J$1),0))*($K4990+$L4990)/(SUMIF($A:$A,$A4990,$K:$K)+SUMIF($A:$A,$A4990,$L:$L)),0)</f>
        <v>-6.5283319687771849E-15</v>
      </c>
      <c r="O4990" s="30">
        <f>IFERROR((VLOOKUP($A4990,HeadJournal!$A$1:$L$890,COLUMN(HeadJournal!L$1),0)*($K4990+$L4990)/(SUMIF($A:$A,$A4990,$K:$K)+SUMIF($A:$A,$A4990,$L:$L)))/VLOOKUP($A4990,HeadJournal!$A$1:$L$890,COLUMN(HeadJournal!H$1),0),0)</f>
        <v>0.90551202724434576</v>
      </c>
      <c r="P4990" s="30">
        <f>IFERROR(SUM(K4990:O4990)*VLOOKUP($A4990,HeadJournal!$A$1:$L$890,COLUMN(HeadJournal!H$1),0),0)</f>
        <v>3148.2200930773702</v>
      </c>
      <c r="Q4990" s="29">
        <v>4900</v>
      </c>
      <c r="R4990" s="31">
        <v>45923</v>
      </c>
      <c r="S4990" s="31" t="s">
        <v>3226</v>
      </c>
      <c r="T4990" s="95" t="str">
        <f t="shared" si="372"/>
        <v>2025 09</v>
      </c>
      <c r="U4990" s="32">
        <f t="shared" si="373"/>
        <v>1751.7799069226298</v>
      </c>
      <c r="V4990" s="22">
        <f t="shared" si="374"/>
        <v>0.55643501887769009</v>
      </c>
      <c r="X4990" s="33"/>
      <c r="Y4990" s="33"/>
    </row>
    <row r="4991" spans="1:25" x14ac:dyDescent="0.2">
      <c r="A4991" s="93" t="s">
        <v>4153</v>
      </c>
      <c r="B4991" s="94" t="str">
        <f>IFERROR(VLOOKUP($A4991,HeadJournal!$A$1:$NTR$890,COLUMN(HeadJournal!B$1),0),"")</f>
        <v>722500515861</v>
      </c>
      <c r="C4991" s="94" t="str">
        <f>IFERROR(VLOOKUP($A4991,HeadJournal!$A$1:$NTR$890,COLUMN(HeadJournal!C$1),0),"")</f>
        <v>iHerb_VP DFD1605</v>
      </c>
      <c r="D4991" s="125" t="str">
        <f>IFERROR(VLOOKUP($A4991,HeadJournal!$A$1:$NTR$890,COLUMN(HeadJournal!D$1),0),"")</f>
        <v>Доставлен</v>
      </c>
      <c r="E4991" s="95">
        <f>IFERROR(VLOOKUP($A4991,HeadJournal!$A$1:$NTR$890,COLUMN(HeadJournal!G$1),0),"")</f>
        <v>45894</v>
      </c>
      <c r="F4991" s="95" t="str">
        <f t="shared" si="371"/>
        <v>2025 08</v>
      </c>
      <c r="G4991" s="97" t="s">
        <v>5</v>
      </c>
      <c r="H4991" s="161" t="s">
        <v>4150</v>
      </c>
      <c r="I4991" s="97" t="s">
        <v>2163</v>
      </c>
      <c r="J4991" s="97" t="s">
        <v>4151</v>
      </c>
      <c r="K4991" s="29">
        <v>48.2</v>
      </c>
      <c r="L4991" s="29">
        <v>-13.98</v>
      </c>
      <c r="M4991" s="30">
        <f>IFERROR(VLOOKUP($A4991,HeadJournal!$A$1:$J$890,COLUMN(HeadJournal!I$1),0)*($K4991+$L4991)/(SUMIF($A:$A,$A4991,$K:$K)+SUMIF($A:$A,$A4991,$L:$L)),0)</f>
        <v>0</v>
      </c>
      <c r="N4991" s="30">
        <f>IFERROR((VLOOKUP($A4991,HeadJournal!$A$1:$K$890,COLUMN(HeadJournal!K$1),0)-VLOOKUP($A4991,HeadJournal!$A$1:$K$890,COLUMN(HeadJournal!J$1),0))*($K4991+$L4991)/(SUMIF($A:$A,$A4991,$K:$K)+SUMIF($A:$A,$A4991,$L:$L)),0)</f>
        <v>-6.5283319687771849E-15</v>
      </c>
      <c r="O4991" s="30">
        <f>IFERROR((VLOOKUP($A4991,HeadJournal!$A$1:$L$890,COLUMN(HeadJournal!L$1),0)*($K4991+$L4991)/(SUMIF($A:$A,$A4991,$K:$K)+SUMIF($A:$A,$A4991,$L:$L)))/VLOOKUP($A4991,HeadJournal!$A$1:$L$890,COLUMN(HeadJournal!H$1),0),0)</f>
        <v>0.90551202724434576</v>
      </c>
      <c r="P4991" s="30">
        <f>IFERROR(SUM(K4991:O4991)*VLOOKUP($A4991,HeadJournal!$A$1:$L$890,COLUMN(HeadJournal!H$1),0),0)</f>
        <v>3148.2200930773702</v>
      </c>
      <c r="Q4991" s="29">
        <v>4900</v>
      </c>
      <c r="R4991" s="31">
        <v>45923</v>
      </c>
      <c r="S4991" s="31" t="s">
        <v>3235</v>
      </c>
      <c r="T4991" s="95" t="str">
        <f t="shared" si="372"/>
        <v>2025 09</v>
      </c>
      <c r="U4991" s="32">
        <f t="shared" si="373"/>
        <v>1751.7799069226298</v>
      </c>
      <c r="V4991" s="22">
        <f t="shared" si="374"/>
        <v>0.55643501887769009</v>
      </c>
      <c r="X4991" s="33"/>
      <c r="Y4991" s="33"/>
    </row>
    <row r="4992" spans="1:25" x14ac:dyDescent="0.2">
      <c r="A4992" s="93" t="s">
        <v>4153</v>
      </c>
      <c r="B4992" s="94" t="str">
        <f>IFERROR(VLOOKUP($A4992,HeadJournal!$A$1:$NTR$890,COLUMN(HeadJournal!B$1),0),"")</f>
        <v>722500515861</v>
      </c>
      <c r="C4992" s="94" t="str">
        <f>IFERROR(VLOOKUP($A4992,HeadJournal!$A$1:$NTR$890,COLUMN(HeadJournal!C$1),0),"")</f>
        <v>iHerb_VP DFD1605</v>
      </c>
      <c r="D4992" s="125" t="str">
        <f>IFERROR(VLOOKUP($A4992,HeadJournal!$A$1:$NTR$890,COLUMN(HeadJournal!D$1),0),"")</f>
        <v>Доставлен</v>
      </c>
      <c r="E4992" s="95">
        <f>IFERROR(VLOOKUP($A4992,HeadJournal!$A$1:$NTR$890,COLUMN(HeadJournal!G$1),0),"")</f>
        <v>45894</v>
      </c>
      <c r="F4992" s="95" t="str">
        <f t="shared" si="371"/>
        <v>2025 08</v>
      </c>
      <c r="G4992" s="97" t="s">
        <v>5</v>
      </c>
      <c r="H4992" s="161" t="s">
        <v>4042</v>
      </c>
      <c r="I4992" s="97" t="s">
        <v>2036</v>
      </c>
      <c r="J4992" s="97" t="s">
        <v>4043</v>
      </c>
      <c r="K4992" s="29">
        <v>15.08</v>
      </c>
      <c r="L4992" s="29">
        <v>-4.37</v>
      </c>
      <c r="M4992" s="30">
        <f>IFERROR(VLOOKUP($A4992,HeadJournal!$A$1:$J$890,COLUMN(HeadJournal!I$1),0)*($K4992+$L4992)/(SUMIF($A:$A,$A4992,$K:$K)+SUMIF($A:$A,$A4992,$L:$L)),0)</f>
        <v>0</v>
      </c>
      <c r="N4992" s="30">
        <f>IFERROR((VLOOKUP($A4992,HeadJournal!$A$1:$K$890,COLUMN(HeadJournal!K$1),0)-VLOOKUP($A4992,HeadJournal!$A$1:$K$890,COLUMN(HeadJournal!J$1),0))*($K4992+$L4992)/(SUMIF($A:$A,$A4992,$K:$K)+SUMIF($A:$A,$A4992,$L:$L)),0)</f>
        <v>-2.0432038394390314E-15</v>
      </c>
      <c r="O4992" s="30">
        <f>IFERROR((VLOOKUP($A4992,HeadJournal!$A$1:$L$890,COLUMN(HeadJournal!L$1),0)*($K4992+$L4992)/(SUMIF($A:$A,$A4992,$K:$K)+SUMIF($A:$A,$A4992,$L:$L)))/VLOOKUP($A4992,HeadJournal!$A$1:$L$890,COLUMN(HeadJournal!H$1),0),0)</f>
        <v>0.28340250765011521</v>
      </c>
      <c r="P4992" s="30">
        <f>IFERROR(SUM(K4992:O4992)*VLOOKUP($A4992,HeadJournal!$A$1:$L$890,COLUMN(HeadJournal!H$1),0),0)</f>
        <v>985.31376963350772</v>
      </c>
      <c r="Q4992" s="29">
        <v>1900</v>
      </c>
      <c r="R4992" s="31">
        <v>45923</v>
      </c>
      <c r="S4992" s="31" t="s">
        <v>3226</v>
      </c>
      <c r="T4992" s="95" t="str">
        <f t="shared" si="372"/>
        <v>2025 09</v>
      </c>
      <c r="U4992" s="32">
        <f t="shared" si="373"/>
        <v>914.68623036649228</v>
      </c>
      <c r="V4992" s="22">
        <f t="shared" si="374"/>
        <v>0.92831974803997142</v>
      </c>
      <c r="X4992" s="33"/>
      <c r="Y4992" s="33"/>
    </row>
    <row r="4993" spans="1:25" x14ac:dyDescent="0.2">
      <c r="A4993" s="93" t="s">
        <v>4153</v>
      </c>
      <c r="B4993" s="94" t="str">
        <f>IFERROR(VLOOKUP($A4993,HeadJournal!$A$1:$NTR$890,COLUMN(HeadJournal!B$1),0),"")</f>
        <v>722500515861</v>
      </c>
      <c r="C4993" s="94" t="str">
        <f>IFERROR(VLOOKUP($A4993,HeadJournal!$A$1:$NTR$890,COLUMN(HeadJournal!C$1),0),"")</f>
        <v>iHerb_VP DFD1605</v>
      </c>
      <c r="D4993" s="125" t="str">
        <f>IFERROR(VLOOKUP($A4993,HeadJournal!$A$1:$NTR$890,COLUMN(HeadJournal!D$1),0),"")</f>
        <v>Доставлен</v>
      </c>
      <c r="E4993" s="95">
        <f>IFERROR(VLOOKUP($A4993,HeadJournal!$A$1:$NTR$890,COLUMN(HeadJournal!G$1),0),"")</f>
        <v>45894</v>
      </c>
      <c r="F4993" s="95" t="str">
        <f t="shared" si="371"/>
        <v>2025 08</v>
      </c>
      <c r="G4993" s="97" t="s">
        <v>5</v>
      </c>
      <c r="H4993" s="161" t="s">
        <v>2025</v>
      </c>
      <c r="I4993" s="97" t="s">
        <v>2008</v>
      </c>
      <c r="J4993" s="97" t="s">
        <v>2026</v>
      </c>
      <c r="K4993" s="29">
        <v>17.38</v>
      </c>
      <c r="L4993" s="29">
        <v>-5.04</v>
      </c>
      <c r="M4993" s="30">
        <f>IFERROR(VLOOKUP($A4993,HeadJournal!$A$1:$J$890,COLUMN(HeadJournal!I$1),0)*($K4993+$L4993)/(SUMIF($A:$A,$A4993,$K:$K)+SUMIF($A:$A,$A4993,$L:$L)),0)</f>
        <v>0</v>
      </c>
      <c r="N4993" s="30">
        <f>IFERROR((VLOOKUP($A4993,HeadJournal!$A$1:$K$890,COLUMN(HeadJournal!K$1),0)-VLOOKUP($A4993,HeadJournal!$A$1:$K$890,COLUMN(HeadJournal!J$1),0))*($K4993+$L4993)/(SUMIF($A:$A,$A4993,$K:$K)+SUMIF($A:$A,$A4993,$L:$L)),0)</f>
        <v>-2.3541676357308727E-15</v>
      </c>
      <c r="O4993" s="30">
        <f>IFERROR((VLOOKUP($A4993,HeadJournal!$A$1:$L$890,COLUMN(HeadJournal!L$1),0)*($K4993+$L4993)/(SUMIF($A:$A,$A4993,$K:$K)+SUMIF($A:$A,$A4993,$L:$L)))/VLOOKUP($A4993,HeadJournal!$A$1:$L$890,COLUMN(HeadJournal!H$1),0),0)</f>
        <v>0.3265347287023736</v>
      </c>
      <c r="P4993" s="30">
        <f>IFERROR(SUM(K4993:O4993)*VLOOKUP($A4993,HeadJournal!$A$1:$L$890,COLUMN(HeadJournal!H$1),0),0)</f>
        <v>1135.2728214077952</v>
      </c>
      <c r="Q4993" s="29">
        <v>2400</v>
      </c>
      <c r="R4993" s="31">
        <v>46088</v>
      </c>
      <c r="S4993" s="31" t="s">
        <v>4622</v>
      </c>
      <c r="T4993" s="95" t="str">
        <f t="shared" si="372"/>
        <v>2026 03</v>
      </c>
      <c r="U4993" s="32">
        <f t="shared" si="373"/>
        <v>1264.7271785922048</v>
      </c>
      <c r="V4993" s="22">
        <f t="shared" si="374"/>
        <v>1.1140292929975015</v>
      </c>
      <c r="X4993" s="33"/>
      <c r="Y4993" s="33"/>
    </row>
    <row r="4994" spans="1:25" x14ac:dyDescent="0.2">
      <c r="A4994" s="93" t="s">
        <v>4153</v>
      </c>
      <c r="B4994" s="94" t="str">
        <f>IFERROR(VLOOKUP($A4994,HeadJournal!$A$1:$NTR$890,COLUMN(HeadJournal!B$1),0),"")</f>
        <v>722500515861</v>
      </c>
      <c r="C4994" s="94" t="str">
        <f>IFERROR(VLOOKUP($A4994,HeadJournal!$A$1:$NTR$890,COLUMN(HeadJournal!C$1),0),"")</f>
        <v>iHerb_VP DFD1605</v>
      </c>
      <c r="D4994" s="125" t="str">
        <f>IFERROR(VLOOKUP($A4994,HeadJournal!$A$1:$NTR$890,COLUMN(HeadJournal!D$1),0),"")</f>
        <v>Доставлен</v>
      </c>
      <c r="E4994" s="95">
        <f>IFERROR(VLOOKUP($A4994,HeadJournal!$A$1:$NTR$890,COLUMN(HeadJournal!G$1),0),"")</f>
        <v>45894</v>
      </c>
      <c r="F4994" s="95" t="str">
        <f t="shared" si="371"/>
        <v>2025 08</v>
      </c>
      <c r="G4994" s="97" t="s">
        <v>5</v>
      </c>
      <c r="H4994" s="161" t="s">
        <v>2025</v>
      </c>
      <c r="I4994" s="97" t="s">
        <v>2008</v>
      </c>
      <c r="J4994" s="97" t="s">
        <v>2026</v>
      </c>
      <c r="K4994" s="29">
        <v>17.38</v>
      </c>
      <c r="L4994" s="29">
        <v>-5.04</v>
      </c>
      <c r="M4994" s="30">
        <f>IFERROR(VLOOKUP($A4994,HeadJournal!$A$1:$J$890,COLUMN(HeadJournal!I$1),0)*($K4994+$L4994)/(SUMIF($A:$A,$A4994,$K:$K)+SUMIF($A:$A,$A4994,$L:$L)),0)</f>
        <v>0</v>
      </c>
      <c r="N4994" s="30">
        <f>IFERROR((VLOOKUP($A4994,HeadJournal!$A$1:$K$890,COLUMN(HeadJournal!K$1),0)-VLOOKUP($A4994,HeadJournal!$A$1:$K$890,COLUMN(HeadJournal!J$1),0))*($K4994+$L4994)/(SUMIF($A:$A,$A4994,$K:$K)+SUMIF($A:$A,$A4994,$L:$L)),0)</f>
        <v>-2.3541676357308727E-15</v>
      </c>
      <c r="O4994" s="30">
        <f>IFERROR((VLOOKUP($A4994,HeadJournal!$A$1:$L$890,COLUMN(HeadJournal!L$1),0)*($K4994+$L4994)/(SUMIF($A:$A,$A4994,$K:$K)+SUMIF($A:$A,$A4994,$L:$L)))/VLOOKUP($A4994,HeadJournal!$A$1:$L$890,COLUMN(HeadJournal!H$1),0),0)</f>
        <v>0.3265347287023736</v>
      </c>
      <c r="P4994" s="30">
        <f>IFERROR(SUM(K4994:O4994)*VLOOKUP($A4994,HeadJournal!$A$1:$L$890,COLUMN(HeadJournal!H$1),0),0)</f>
        <v>1135.2728214077952</v>
      </c>
      <c r="Q4994" s="29"/>
      <c r="R4994" s="31"/>
      <c r="S4994" s="31"/>
      <c r="T4994" s="95" t="str">
        <f t="shared" si="372"/>
        <v/>
      </c>
      <c r="U4994" s="32">
        <f t="shared" si="373"/>
        <v>-1135.2728214077952</v>
      </c>
      <c r="V4994" s="22" t="str">
        <f t="shared" si="374"/>
        <v/>
      </c>
      <c r="X4994" s="33"/>
      <c r="Y4994" s="33"/>
    </row>
    <row r="4995" spans="1:25" x14ac:dyDescent="0.2">
      <c r="A4995" s="93" t="s">
        <v>4153</v>
      </c>
      <c r="B4995" s="94" t="str">
        <f>IFERROR(VLOOKUP($A4995,HeadJournal!$A$1:$NTR$890,COLUMN(HeadJournal!B$1),0),"")</f>
        <v>722500515861</v>
      </c>
      <c r="C4995" s="94" t="str">
        <f>IFERROR(VLOOKUP($A4995,HeadJournal!$A$1:$NTR$890,COLUMN(HeadJournal!C$1),0),"")</f>
        <v>iHerb_VP DFD1605</v>
      </c>
      <c r="D4995" s="125" t="str">
        <f>IFERROR(VLOOKUP($A4995,HeadJournal!$A$1:$NTR$890,COLUMN(HeadJournal!D$1),0),"")</f>
        <v>Доставлен</v>
      </c>
      <c r="E4995" s="95">
        <f>IFERROR(VLOOKUP($A4995,HeadJournal!$A$1:$NTR$890,COLUMN(HeadJournal!G$1),0),"")</f>
        <v>45894</v>
      </c>
      <c r="F4995" s="95" t="str">
        <f t="shared" si="371"/>
        <v>2025 08</v>
      </c>
      <c r="G4995" s="97" t="s">
        <v>5</v>
      </c>
      <c r="H4995" s="161" t="s">
        <v>2034</v>
      </c>
      <c r="I4995" s="161" t="s">
        <v>2008</v>
      </c>
      <c r="J4995" s="97" t="s">
        <v>2942</v>
      </c>
      <c r="K4995" s="29">
        <v>23.87</v>
      </c>
      <c r="L4995" s="29">
        <v>-6.92</v>
      </c>
      <c r="M4995" s="30">
        <f>IFERROR(VLOOKUP($A4995,HeadJournal!$A$1:$J$890,COLUMN(HeadJournal!I$1),0)*($K4995+$L4995)/(SUMIF($A:$A,$A4995,$K:$K)+SUMIF($A:$A,$A4995,$L:$L)),0)</f>
        <v>0</v>
      </c>
      <c r="N4995" s="30">
        <f>IFERROR((VLOOKUP($A4995,HeadJournal!$A$1:$K$890,COLUMN(HeadJournal!K$1),0)-VLOOKUP($A4995,HeadJournal!$A$1:$K$890,COLUMN(HeadJournal!J$1),0))*($K4995+$L4995)/(SUMIF($A:$A,$A4995,$K:$K)+SUMIF($A:$A,$A4995,$L:$L)),0)</f>
        <v>-3.2336419307648542E-15</v>
      </c>
      <c r="O4995" s="30">
        <f>IFERROR((VLOOKUP($A4995,HeadJournal!$A$1:$L$890,COLUMN(HeadJournal!L$1),0)*($K4995+$L4995)/(SUMIF($A:$A,$A4995,$K:$K)+SUMIF($A:$A,$A4995,$L:$L)))/VLOOKUP($A4995,HeadJournal!$A$1:$L$890,COLUMN(HeadJournal!H$1),0),0)</f>
        <v>0.44852217597287147</v>
      </c>
      <c r="P4995" s="30">
        <f>IFERROR(SUM(K4995:O4995)*VLOOKUP($A4995,HeadJournal!$A$1:$L$890,COLUMN(HeadJournal!H$1),0),0)</f>
        <v>1559.3901396160559</v>
      </c>
      <c r="Q4995" s="29">
        <v>3000</v>
      </c>
      <c r="R4995" s="31">
        <v>45964</v>
      </c>
      <c r="S4995" s="31" t="s">
        <v>3235</v>
      </c>
      <c r="T4995" s="95" t="str">
        <f t="shared" si="372"/>
        <v>2025 11</v>
      </c>
      <c r="U4995" s="32">
        <f t="shared" si="373"/>
        <v>1440.6098603839441</v>
      </c>
      <c r="V4995" s="22">
        <f t="shared" si="374"/>
        <v>0.92382901737383238</v>
      </c>
      <c r="X4995" s="33"/>
      <c r="Y4995" s="33"/>
    </row>
    <row r="4996" spans="1:25" x14ac:dyDescent="0.2">
      <c r="A4996" s="93" t="s">
        <v>4153</v>
      </c>
      <c r="B4996" s="94" t="str">
        <f>IFERROR(VLOOKUP($A4996,HeadJournal!$A$1:$NTR$890,COLUMN(HeadJournal!B$1),0),"")</f>
        <v>722500515861</v>
      </c>
      <c r="C4996" s="94" t="str">
        <f>IFERROR(VLOOKUP($A4996,HeadJournal!$A$1:$NTR$890,COLUMN(HeadJournal!C$1),0),"")</f>
        <v>iHerb_VP DFD1605</v>
      </c>
      <c r="D4996" s="125" t="str">
        <f>IFERROR(VLOOKUP($A4996,HeadJournal!$A$1:$NTR$890,COLUMN(HeadJournal!D$1),0),"")</f>
        <v>Доставлен</v>
      </c>
      <c r="E4996" s="95">
        <f>IFERROR(VLOOKUP($A4996,HeadJournal!$A$1:$NTR$890,COLUMN(HeadJournal!G$1),0),"")</f>
        <v>45894</v>
      </c>
      <c r="F4996" s="95" t="str">
        <f t="shared" ref="F4996:F5059" si="375">IFERROR(TEXT(E4996, "ГГГГ ММ"),"")</f>
        <v>2025 08</v>
      </c>
      <c r="G4996" s="97" t="s">
        <v>5</v>
      </c>
      <c r="H4996" s="161" t="s">
        <v>2896</v>
      </c>
      <c r="I4996" s="97" t="s">
        <v>2666</v>
      </c>
      <c r="J4996" s="97" t="s">
        <v>2897</v>
      </c>
      <c r="K4996" s="29">
        <v>12.8</v>
      </c>
      <c r="L4996" s="29">
        <v>-3.71</v>
      </c>
      <c r="M4996" s="30">
        <f>IFERROR(VLOOKUP($A4996,HeadJournal!$A$1:$J$890,COLUMN(HeadJournal!I$1),0)*($K4996+$L4996)/(SUMIF($A:$A,$A4996,$K:$K)+SUMIF($A:$A,$A4996,$L:$L)),0)</f>
        <v>0</v>
      </c>
      <c r="N4996" s="30">
        <f>IFERROR((VLOOKUP($A4996,HeadJournal!$A$1:$K$890,COLUMN(HeadJournal!K$1),0)-VLOOKUP($A4996,HeadJournal!$A$1:$K$890,COLUMN(HeadJournal!J$1),0))*($K4996+$L4996)/(SUMIF($A:$A,$A4996,$K:$K)+SUMIF($A:$A,$A4996,$L:$L)),0)</f>
        <v>-1.7341477964986736E-15</v>
      </c>
      <c r="O4996" s="30">
        <f>IFERROR((VLOOKUP($A4996,HeadJournal!$A$1:$L$890,COLUMN(HeadJournal!L$1),0)*($K4996+$L4996)/(SUMIF($A:$A,$A4996,$K:$K)+SUMIF($A:$A,$A4996,$L:$L)))/VLOOKUP($A4996,HeadJournal!$A$1:$L$890,COLUMN(HeadJournal!H$1),0),0)</f>
        <v>0.24053490145093809</v>
      </c>
      <c r="P4996" s="30">
        <f>IFERROR(SUM(K4996:O4996)*VLOOKUP($A4996,HeadJournal!$A$1:$L$890,COLUMN(HeadJournal!H$1),0),0)</f>
        <v>836.27471204188453</v>
      </c>
      <c r="Q4996" s="29">
        <v>2000</v>
      </c>
      <c r="R4996" s="31">
        <v>46053</v>
      </c>
      <c r="S4996" s="31" t="s">
        <v>3252</v>
      </c>
      <c r="T4996" s="95" t="str">
        <f t="shared" ref="T4996:T5059" si="376">IF(R4996="","",TEXT(R4996,"ГГГГ ММ"))</f>
        <v>2026 01</v>
      </c>
      <c r="U4996" s="32">
        <f t="shared" si="373"/>
        <v>1163.7252879581156</v>
      </c>
      <c r="V4996" s="22">
        <f t="shared" si="374"/>
        <v>1.3915586244581204</v>
      </c>
      <c r="X4996" s="33"/>
      <c r="Y4996" s="33"/>
    </row>
    <row r="4997" spans="1:25" x14ac:dyDescent="0.2">
      <c r="A4997" s="93" t="s">
        <v>4153</v>
      </c>
      <c r="B4997" s="94" t="str">
        <f>IFERROR(VLOOKUP($A4997,HeadJournal!$A$1:$NTR$890,COLUMN(HeadJournal!B$1),0),"")</f>
        <v>722500515861</v>
      </c>
      <c r="C4997" s="94" t="str">
        <f>IFERROR(VLOOKUP($A4997,HeadJournal!$A$1:$NTR$890,COLUMN(HeadJournal!C$1),0),"")</f>
        <v>iHerb_VP DFD1605</v>
      </c>
      <c r="D4997" s="125" t="str">
        <f>IFERROR(VLOOKUP($A4997,HeadJournal!$A$1:$NTR$890,COLUMN(HeadJournal!D$1),0),"")</f>
        <v>Доставлен</v>
      </c>
      <c r="E4997" s="95">
        <f>IFERROR(VLOOKUP($A4997,HeadJournal!$A$1:$NTR$890,COLUMN(HeadJournal!G$1),0),"")</f>
        <v>45894</v>
      </c>
      <c r="F4997" s="95" t="str">
        <f t="shared" si="375"/>
        <v>2025 08</v>
      </c>
      <c r="G4997" s="97" t="s">
        <v>5</v>
      </c>
      <c r="H4997" s="161" t="s">
        <v>4152</v>
      </c>
      <c r="I4997" s="97" t="s">
        <v>2829</v>
      </c>
      <c r="J4997" s="97" t="s">
        <v>4213</v>
      </c>
      <c r="K4997" s="29">
        <v>13.2</v>
      </c>
      <c r="L4997" s="29">
        <v>-3.83</v>
      </c>
      <c r="M4997" s="30">
        <f>IFERROR(VLOOKUP($A4997,HeadJournal!$A$1:$J$890,COLUMN(HeadJournal!I$1),0)*($K4997+$L4997)/(SUMIF($A:$A,$A4997,$K:$K)+SUMIF($A:$A,$A4997,$L:$L)),0)</f>
        <v>0</v>
      </c>
      <c r="N4997" s="30">
        <f>IFERROR((VLOOKUP($A4997,HeadJournal!$A$1:$K$890,COLUMN(HeadJournal!K$1),0)-VLOOKUP($A4997,HeadJournal!$A$1:$K$890,COLUMN(HeadJournal!J$1),0))*($K4997+$L4997)/(SUMIF($A:$A,$A4997,$K:$K)+SUMIF($A:$A,$A4997,$L:$L)),0)</f>
        <v>-1.7875648903402169E-15</v>
      </c>
      <c r="O4997" s="30">
        <f>IFERROR((VLOOKUP($A4997,HeadJournal!$A$1:$L$890,COLUMN(HeadJournal!L$1),0)*($K4997+$L4997)/(SUMIF($A:$A,$A4997,$K:$K)+SUMIF($A:$A,$A4997,$L:$L)))/VLOOKUP($A4997,HeadJournal!$A$1:$L$890,COLUMN(HeadJournal!H$1),0),0)</f>
        <v>0.24794411733721558</v>
      </c>
      <c r="P4997" s="30">
        <f>IFERROR(SUM(K4997:O4997)*VLOOKUP($A4997,HeadJournal!$A$1:$L$890,COLUMN(HeadJournal!H$1),0),0)</f>
        <v>862.03454915648615</v>
      </c>
      <c r="Q4997" s="29">
        <v>1700</v>
      </c>
      <c r="R4997" s="31">
        <v>46016</v>
      </c>
      <c r="S4997" s="31"/>
      <c r="T4997" s="95" t="str">
        <f t="shared" si="376"/>
        <v>2025 12</v>
      </c>
      <c r="U4997" s="32">
        <f t="shared" si="373"/>
        <v>837.96545084351385</v>
      </c>
      <c r="V4997" s="22">
        <f t="shared" si="374"/>
        <v>0.97207873125674105</v>
      </c>
      <c r="X4997" s="33"/>
      <c r="Y4997" s="33"/>
    </row>
    <row r="4998" spans="1:25" x14ac:dyDescent="0.2">
      <c r="A4998" s="93" t="s">
        <v>4153</v>
      </c>
      <c r="B4998" s="94" t="str">
        <f>IFERROR(VLOOKUP($A4998,HeadJournal!$A$1:$NTR$890,COLUMN(HeadJournal!B$1),0),"")</f>
        <v>722500515861</v>
      </c>
      <c r="C4998" s="94" t="str">
        <f>IFERROR(VLOOKUP($A4998,HeadJournal!$A$1:$NTR$890,COLUMN(HeadJournal!C$1),0),"")</f>
        <v>iHerb_VP DFD1605</v>
      </c>
      <c r="D4998" s="125" t="str">
        <f>IFERROR(VLOOKUP($A4998,HeadJournal!$A$1:$NTR$890,COLUMN(HeadJournal!D$1),0),"")</f>
        <v>Доставлен</v>
      </c>
      <c r="E4998" s="95">
        <f>IFERROR(VLOOKUP($A4998,HeadJournal!$A$1:$NTR$890,COLUMN(HeadJournal!G$1),0),"")</f>
        <v>45894</v>
      </c>
      <c r="F4998" s="95" t="str">
        <f t="shared" si="375"/>
        <v>2025 08</v>
      </c>
      <c r="G4998" s="97" t="s">
        <v>5</v>
      </c>
      <c r="H4998" s="161" t="s">
        <v>2828</v>
      </c>
      <c r="I4998" s="97" t="s">
        <v>2829</v>
      </c>
      <c r="J4998" s="97" t="s">
        <v>2830</v>
      </c>
      <c r="K4998" s="29">
        <v>13.72</v>
      </c>
      <c r="L4998" s="29">
        <v>-3.98</v>
      </c>
      <c r="M4998" s="30">
        <f>IFERROR(VLOOKUP($A4998,HeadJournal!$A$1:$J$890,COLUMN(HeadJournal!I$1),0)*($K4998+$L4998)/(SUMIF($A:$A,$A4998,$K:$K)+SUMIF($A:$A,$A4998,$L:$L)),0)</f>
        <v>0</v>
      </c>
      <c r="N4998" s="30">
        <f>IFERROR((VLOOKUP($A4998,HeadJournal!$A$1:$K$890,COLUMN(HeadJournal!K$1),0)-VLOOKUP($A4998,HeadJournal!$A$1:$K$890,COLUMN(HeadJournal!J$1),0))*($K4998+$L4998)/(SUMIF($A:$A,$A4998,$K:$K)+SUMIF($A:$A,$A4998,$L:$L)),0)</f>
        <v>-1.8581517643451134E-15</v>
      </c>
      <c r="O4998" s="30">
        <f>IFERROR((VLOOKUP($A4998,HeadJournal!$A$1:$L$890,COLUMN(HeadJournal!L$1),0)*($K4998+$L4998)/(SUMIF($A:$A,$A4998,$K:$K)+SUMIF($A:$A,$A4998,$L:$L)))/VLOOKUP($A4998,HeadJournal!$A$1:$L$890,COLUMN(HeadJournal!H$1),0),0)</f>
        <v>0.25773486690122521</v>
      </c>
      <c r="P4998" s="30">
        <f>IFERROR(SUM(K4998:O4998)*VLOOKUP($A4998,HeadJournal!$A$1:$L$890,COLUMN(HeadJournal!H$1),0),0)</f>
        <v>896.07433391506675</v>
      </c>
      <c r="Q4998" s="29">
        <v>1700</v>
      </c>
      <c r="R4998" s="31">
        <v>45980</v>
      </c>
      <c r="S4998" s="31" t="s">
        <v>3231</v>
      </c>
      <c r="T4998" s="95" t="str">
        <f t="shared" si="376"/>
        <v>2025 11</v>
      </c>
      <c r="U4998" s="32">
        <f t="shared" si="373"/>
        <v>803.92566608493325</v>
      </c>
      <c r="V4998" s="22">
        <f t="shared" si="374"/>
        <v>0.89716403612686479</v>
      </c>
      <c r="X4998" s="33"/>
      <c r="Y4998" s="33"/>
    </row>
    <row r="4999" spans="1:25" x14ac:dyDescent="0.2">
      <c r="A4999" s="93" t="s">
        <v>4162</v>
      </c>
      <c r="B4999" s="94" t="str">
        <f>IFERROR(VLOOKUP($A4999,HeadJournal!$A$1:$NTR$890,COLUMN(HeadJournal!B$1),0),"")</f>
        <v>720000774895</v>
      </c>
      <c r="C4999" s="94" t="str">
        <f>IFERROR(VLOOKUP($A4999,HeadJournal!$A$1:$NTR$890,COLUMN(HeadJournal!C$1),0),"")</f>
        <v>iHerb_VP DFD1605</v>
      </c>
      <c r="D4999" s="125" t="str">
        <f>IFERROR(VLOOKUP($A4999,HeadJournal!$A$1:$NTR$890,COLUMN(HeadJournal!D$1),0),"")</f>
        <v>Доставлен</v>
      </c>
      <c r="E4999" s="95">
        <f>IFERROR(VLOOKUP($A4999,HeadJournal!$A$1:$NTR$890,COLUMN(HeadJournal!G$1),0),"")</f>
        <v>45898</v>
      </c>
      <c r="F4999" s="95" t="str">
        <f t="shared" si="375"/>
        <v>2025 08</v>
      </c>
      <c r="G4999" s="97" t="s">
        <v>5</v>
      </c>
      <c r="H4999" s="161" t="s">
        <v>2189</v>
      </c>
      <c r="I4999" s="97" t="s">
        <v>2005</v>
      </c>
      <c r="J4999" s="97" t="s">
        <v>4154</v>
      </c>
      <c r="K4999" s="29">
        <v>31.5</v>
      </c>
      <c r="L4999" s="29">
        <v>-9.1366666666666667</v>
      </c>
      <c r="M4999" s="30">
        <f>IFERROR(VLOOKUP($A4999,HeadJournal!$A$1:$J$890,COLUMN(HeadJournal!I$1),0)*($K4999+$L4999)/(SUMIF($A:$A,$A4999,$K:$K)+SUMIF($A:$A,$A4999,$L:$L)),0)</f>
        <v>-1.154701227641854</v>
      </c>
      <c r="N4999" s="30">
        <f>IFERROR((VLOOKUP($A4999,HeadJournal!$A$1:$K$890,COLUMN(HeadJournal!K$1),0)-VLOOKUP($A4999,HeadJournal!$A$1:$K$890,COLUMN(HeadJournal!J$1),0))*($K4999+$L4999)/(SUMIF($A:$A,$A4999,$K:$K)+SUMIF($A:$A,$A4999,$L:$L)),0)</f>
        <v>0</v>
      </c>
      <c r="O4999" s="30">
        <f>IFERROR((VLOOKUP($A4999,HeadJournal!$A$1:$L$890,COLUMN(HeadJournal!L$1),0)*($K4999+$L4999)/(SUMIF($A:$A,$A4999,$K:$K)+SUMIF($A:$A,$A4999,$L:$L)))/VLOOKUP($A4999,HeadJournal!$A$1:$L$890,COLUMN(HeadJournal!H$1),0),0)</f>
        <v>0.45567805057672284</v>
      </c>
      <c r="P4999" s="30">
        <f>IFERROR(SUM(K4999:O4999)*VLOOKUP($A4999,HeadJournal!$A$1:$L$890,COLUMN(HeadJournal!H$1),0),0)</f>
        <v>1951.4373302396989</v>
      </c>
      <c r="Q4999" s="29">
        <v>3700</v>
      </c>
      <c r="R4999" s="31">
        <v>45990</v>
      </c>
      <c r="S4999" s="31" t="s">
        <v>4872</v>
      </c>
      <c r="T4999" s="95" t="str">
        <f t="shared" si="376"/>
        <v>2025 11</v>
      </c>
      <c r="U4999" s="32">
        <f t="shared" si="373"/>
        <v>1748.5626697603011</v>
      </c>
      <c r="V4999" s="22">
        <f t="shared" si="374"/>
        <v>0.89603834192590837</v>
      </c>
      <c r="X4999" s="33"/>
      <c r="Y4999" s="33"/>
    </row>
    <row r="5000" spans="1:25" x14ac:dyDescent="0.2">
      <c r="A5000" s="93" t="s">
        <v>4162</v>
      </c>
      <c r="B5000" s="94" t="str">
        <f>IFERROR(VLOOKUP($A5000,HeadJournal!$A$1:$NTR$890,COLUMN(HeadJournal!B$1),0),"")</f>
        <v>720000774895</v>
      </c>
      <c r="C5000" s="94" t="str">
        <f>IFERROR(VLOOKUP($A5000,HeadJournal!$A$1:$NTR$890,COLUMN(HeadJournal!C$1),0),"")</f>
        <v>iHerb_VP DFD1605</v>
      </c>
      <c r="D5000" s="125" t="str">
        <f>IFERROR(VLOOKUP($A5000,HeadJournal!$A$1:$NTR$890,COLUMN(HeadJournal!D$1),0),"")</f>
        <v>Доставлен</v>
      </c>
      <c r="E5000" s="95">
        <f>IFERROR(VLOOKUP($A5000,HeadJournal!$A$1:$NTR$890,COLUMN(HeadJournal!G$1),0),"")</f>
        <v>45898</v>
      </c>
      <c r="F5000" s="95" t="str">
        <f t="shared" si="375"/>
        <v>2025 08</v>
      </c>
      <c r="G5000" s="97" t="s">
        <v>5</v>
      </c>
      <c r="H5000" s="161" t="s">
        <v>2189</v>
      </c>
      <c r="I5000" s="97" t="s">
        <v>2005</v>
      </c>
      <c r="J5000" s="97" t="s">
        <v>4154</v>
      </c>
      <c r="K5000" s="29">
        <v>31.5</v>
      </c>
      <c r="L5000" s="29">
        <v>-9.1366666666666667</v>
      </c>
      <c r="M5000" s="30">
        <f>IFERROR(VLOOKUP($A5000,HeadJournal!$A$1:$J$890,COLUMN(HeadJournal!I$1),0)*($K5000+$L5000)/(SUMIF($A:$A,$A5000,$K:$K)+SUMIF($A:$A,$A5000,$L:$L)),0)</f>
        <v>-1.154701227641854</v>
      </c>
      <c r="N5000" s="30">
        <f>IFERROR((VLOOKUP($A5000,HeadJournal!$A$1:$K$890,COLUMN(HeadJournal!K$1),0)-VLOOKUP($A5000,HeadJournal!$A$1:$K$890,COLUMN(HeadJournal!J$1),0))*($K5000+$L5000)/(SUMIF($A:$A,$A5000,$K:$K)+SUMIF($A:$A,$A5000,$L:$L)),0)</f>
        <v>0</v>
      </c>
      <c r="O5000" s="30">
        <f>IFERROR((VLOOKUP($A5000,HeadJournal!$A$1:$L$890,COLUMN(HeadJournal!L$1),0)*($K5000+$L5000)/(SUMIF($A:$A,$A5000,$K:$K)+SUMIF($A:$A,$A5000,$L:$L)))/VLOOKUP($A5000,HeadJournal!$A$1:$L$890,COLUMN(HeadJournal!H$1),0),0)</f>
        <v>0.45567805057672284</v>
      </c>
      <c r="P5000" s="30">
        <f>IFERROR(SUM(K5000:O5000)*VLOOKUP($A5000,HeadJournal!$A$1:$L$890,COLUMN(HeadJournal!H$1),0),0)</f>
        <v>1951.4373302396989</v>
      </c>
      <c r="Q5000" s="29">
        <v>3800</v>
      </c>
      <c r="R5000" s="31">
        <v>46079</v>
      </c>
      <c r="S5000" s="31"/>
      <c r="T5000" s="95" t="str">
        <f t="shared" si="376"/>
        <v>2026 02</v>
      </c>
      <c r="U5000" s="32">
        <f t="shared" si="373"/>
        <v>1848.5626697603011</v>
      </c>
      <c r="V5000" s="22">
        <f t="shared" si="374"/>
        <v>0.94728262143741937</v>
      </c>
      <c r="X5000" s="33"/>
      <c r="Y5000" s="33"/>
    </row>
    <row r="5001" spans="1:25" x14ac:dyDescent="0.2">
      <c r="A5001" s="93" t="s">
        <v>4162</v>
      </c>
      <c r="B5001" s="94" t="str">
        <f>IFERROR(VLOOKUP($A5001,HeadJournal!$A$1:$NTR$890,COLUMN(HeadJournal!B$1),0),"")</f>
        <v>720000774895</v>
      </c>
      <c r="C5001" s="94" t="str">
        <f>IFERROR(VLOOKUP($A5001,HeadJournal!$A$1:$NTR$890,COLUMN(HeadJournal!C$1),0),"")</f>
        <v>iHerb_VP DFD1605</v>
      </c>
      <c r="D5001" s="125" t="str">
        <f>IFERROR(VLOOKUP($A5001,HeadJournal!$A$1:$NTR$890,COLUMN(HeadJournal!D$1),0),"")</f>
        <v>Доставлен</v>
      </c>
      <c r="E5001" s="95">
        <f>IFERROR(VLOOKUP($A5001,HeadJournal!$A$1:$NTR$890,COLUMN(HeadJournal!G$1),0),"")</f>
        <v>45898</v>
      </c>
      <c r="F5001" s="95" t="str">
        <f t="shared" si="375"/>
        <v>2025 08</v>
      </c>
      <c r="G5001" s="97" t="s">
        <v>5</v>
      </c>
      <c r="H5001" s="161" t="s">
        <v>2189</v>
      </c>
      <c r="I5001" s="97" t="s">
        <v>2005</v>
      </c>
      <c r="J5001" s="97" t="s">
        <v>4154</v>
      </c>
      <c r="K5001" s="29">
        <v>31.5</v>
      </c>
      <c r="L5001" s="29">
        <v>-9.1366666666666667</v>
      </c>
      <c r="M5001" s="30">
        <f>IFERROR(VLOOKUP($A5001,HeadJournal!$A$1:$J$890,COLUMN(HeadJournal!I$1),0)*($K5001+$L5001)/(SUMIF($A:$A,$A5001,$K:$K)+SUMIF($A:$A,$A5001,$L:$L)),0)</f>
        <v>-1.154701227641854</v>
      </c>
      <c r="N5001" s="30">
        <f>IFERROR((VLOOKUP($A5001,HeadJournal!$A$1:$K$890,COLUMN(HeadJournal!K$1),0)-VLOOKUP($A5001,HeadJournal!$A$1:$K$890,COLUMN(HeadJournal!J$1),0))*($K5001+$L5001)/(SUMIF($A:$A,$A5001,$K:$K)+SUMIF($A:$A,$A5001,$L:$L)),0)</f>
        <v>0</v>
      </c>
      <c r="O5001" s="30">
        <f>IFERROR((VLOOKUP($A5001,HeadJournal!$A$1:$L$890,COLUMN(HeadJournal!L$1),0)*($K5001+$L5001)/(SUMIF($A:$A,$A5001,$K:$K)+SUMIF($A:$A,$A5001,$L:$L)))/VLOOKUP($A5001,HeadJournal!$A$1:$L$890,COLUMN(HeadJournal!H$1),0),0)</f>
        <v>0.45567805057672284</v>
      </c>
      <c r="P5001" s="30">
        <f>IFERROR(SUM(K5001:O5001)*VLOOKUP($A5001,HeadJournal!$A$1:$L$890,COLUMN(HeadJournal!H$1),0),0)</f>
        <v>1951.4373302396989</v>
      </c>
      <c r="Q5001" s="29">
        <v>3700</v>
      </c>
      <c r="R5001" s="31">
        <v>46117</v>
      </c>
      <c r="S5001" s="31" t="s">
        <v>4610</v>
      </c>
      <c r="T5001" s="95" t="str">
        <f t="shared" si="376"/>
        <v>2026 04</v>
      </c>
      <c r="U5001" s="32">
        <f t="shared" si="373"/>
        <v>1748.5626697603011</v>
      </c>
      <c r="V5001" s="22">
        <f t="shared" si="374"/>
        <v>0.89603834192590837</v>
      </c>
      <c r="X5001" s="33"/>
      <c r="Y5001" s="33"/>
    </row>
    <row r="5002" spans="1:25" x14ac:dyDescent="0.2">
      <c r="A5002" s="93" t="s">
        <v>4162</v>
      </c>
      <c r="B5002" s="94" t="str">
        <f>IFERROR(VLOOKUP($A5002,HeadJournal!$A$1:$NTR$890,COLUMN(HeadJournal!B$1),0),"")</f>
        <v>720000774895</v>
      </c>
      <c r="C5002" s="94" t="str">
        <f>IFERROR(VLOOKUP($A5002,HeadJournal!$A$1:$NTR$890,COLUMN(HeadJournal!C$1),0),"")</f>
        <v>iHerb_VP DFD1605</v>
      </c>
      <c r="D5002" s="125" t="str">
        <f>IFERROR(VLOOKUP($A5002,HeadJournal!$A$1:$NTR$890,COLUMN(HeadJournal!D$1),0),"")</f>
        <v>Доставлен</v>
      </c>
      <c r="E5002" s="95">
        <f>IFERROR(VLOOKUP($A5002,HeadJournal!$A$1:$NTR$890,COLUMN(HeadJournal!G$1),0),"")</f>
        <v>45898</v>
      </c>
      <c r="F5002" s="95" t="str">
        <f t="shared" si="375"/>
        <v>2025 08</v>
      </c>
      <c r="G5002" s="97" t="s">
        <v>5</v>
      </c>
      <c r="H5002" s="161" t="s">
        <v>2755</v>
      </c>
      <c r="I5002" s="97" t="s">
        <v>2005</v>
      </c>
      <c r="J5002" s="97" t="s">
        <v>2756</v>
      </c>
      <c r="K5002" s="29">
        <v>17.239999999999998</v>
      </c>
      <c r="L5002" s="29">
        <v>-5</v>
      </c>
      <c r="M5002" s="30">
        <f>IFERROR(VLOOKUP($A5002,HeadJournal!$A$1:$J$890,COLUMN(HeadJournal!I$1),0)*($K5002+$L5002)/(SUMIF($A:$A,$A5002,$K:$K)+SUMIF($A:$A,$A5002,$L:$L)),0)</f>
        <v>-0.63199625993454878</v>
      </c>
      <c r="N5002" s="30">
        <f>IFERROR((VLOOKUP($A5002,HeadJournal!$A$1:$K$890,COLUMN(HeadJournal!K$1),0)-VLOOKUP($A5002,HeadJournal!$A$1:$K$890,COLUMN(HeadJournal!J$1),0))*($K5002+$L5002)/(SUMIF($A:$A,$A5002,$K:$K)+SUMIF($A:$A,$A5002,$L:$L)),0)</f>
        <v>0</v>
      </c>
      <c r="O5002" s="30">
        <f>IFERROR((VLOOKUP($A5002,HeadJournal!$A$1:$L$890,COLUMN(HeadJournal!L$1),0)*($K5002+$L5002)/(SUMIF($A:$A,$A5002,$K:$K)+SUMIF($A:$A,$A5002,$L:$L)))/VLOOKUP($A5002,HeadJournal!$A$1:$L$890,COLUMN(HeadJournal!H$1),0),0)</f>
        <v>0.24940375640449042</v>
      </c>
      <c r="P5002" s="30">
        <f>IFERROR(SUM(K5002:O5002)*VLOOKUP($A5002,HeadJournal!$A$1:$L$890,COLUMN(HeadJournal!H$1),0),0)</f>
        <v>1068.0694405485428</v>
      </c>
      <c r="Q5002" s="29">
        <v>2500</v>
      </c>
      <c r="R5002" s="31">
        <v>45923</v>
      </c>
      <c r="S5002" s="31" t="s">
        <v>3437</v>
      </c>
      <c r="T5002" s="95" t="str">
        <f t="shared" si="376"/>
        <v>2025 09</v>
      </c>
      <c r="U5002" s="32">
        <f t="shared" si="373"/>
        <v>1431.9305594514572</v>
      </c>
      <c r="V5002" s="22">
        <f t="shared" si="374"/>
        <v>1.3406717813366529</v>
      </c>
      <c r="X5002" s="33"/>
      <c r="Y5002" s="33"/>
    </row>
    <row r="5003" spans="1:25" x14ac:dyDescent="0.2">
      <c r="A5003" s="93" t="s">
        <v>4162</v>
      </c>
      <c r="B5003" s="94" t="str">
        <f>IFERROR(VLOOKUP($A5003,HeadJournal!$A$1:$NTR$890,COLUMN(HeadJournal!B$1),0),"")</f>
        <v>720000774895</v>
      </c>
      <c r="C5003" s="94" t="str">
        <f>IFERROR(VLOOKUP($A5003,HeadJournal!$A$1:$NTR$890,COLUMN(HeadJournal!C$1),0),"")</f>
        <v>iHerb_VP DFD1605</v>
      </c>
      <c r="D5003" s="125" t="str">
        <f>IFERROR(VLOOKUP($A5003,HeadJournal!$A$1:$NTR$890,COLUMN(HeadJournal!D$1),0),"")</f>
        <v>Доставлен</v>
      </c>
      <c r="E5003" s="95">
        <f>IFERROR(VLOOKUP($A5003,HeadJournal!$A$1:$NTR$890,COLUMN(HeadJournal!G$1),0),"")</f>
        <v>45898</v>
      </c>
      <c r="F5003" s="95" t="str">
        <f t="shared" si="375"/>
        <v>2025 08</v>
      </c>
      <c r="G5003" s="97" t="s">
        <v>5</v>
      </c>
      <c r="H5003" s="161" t="s">
        <v>2755</v>
      </c>
      <c r="I5003" s="97" t="s">
        <v>2005</v>
      </c>
      <c r="J5003" s="97" t="s">
        <v>2756</v>
      </c>
      <c r="K5003" s="29">
        <v>17.239999999999998</v>
      </c>
      <c r="L5003" s="29">
        <v>-5</v>
      </c>
      <c r="M5003" s="30">
        <f>IFERROR(VLOOKUP($A5003,HeadJournal!$A$1:$J$890,COLUMN(HeadJournal!I$1),0)*($K5003+$L5003)/(SUMIF($A:$A,$A5003,$K:$K)+SUMIF($A:$A,$A5003,$L:$L)),0)</f>
        <v>-0.63199625993454878</v>
      </c>
      <c r="N5003" s="30">
        <f>IFERROR((VLOOKUP($A5003,HeadJournal!$A$1:$K$890,COLUMN(HeadJournal!K$1),0)-VLOOKUP($A5003,HeadJournal!$A$1:$K$890,COLUMN(HeadJournal!J$1),0))*($K5003+$L5003)/(SUMIF($A:$A,$A5003,$K:$K)+SUMIF($A:$A,$A5003,$L:$L)),0)</f>
        <v>0</v>
      </c>
      <c r="O5003" s="30">
        <f>IFERROR((VLOOKUP($A5003,HeadJournal!$A$1:$L$890,COLUMN(HeadJournal!L$1),0)*($K5003+$L5003)/(SUMIF($A:$A,$A5003,$K:$K)+SUMIF($A:$A,$A5003,$L:$L)))/VLOOKUP($A5003,HeadJournal!$A$1:$L$890,COLUMN(HeadJournal!H$1),0),0)</f>
        <v>0.24940375640449042</v>
      </c>
      <c r="P5003" s="30">
        <f>IFERROR(SUM(K5003:O5003)*VLOOKUP($A5003,HeadJournal!$A$1:$L$890,COLUMN(HeadJournal!H$1),0),0)</f>
        <v>1068.0694405485428</v>
      </c>
      <c r="Q5003" s="29">
        <v>2300</v>
      </c>
      <c r="R5003" s="31">
        <v>45970</v>
      </c>
      <c r="S5003" s="31" t="s">
        <v>3437</v>
      </c>
      <c r="T5003" s="95" t="str">
        <f t="shared" si="376"/>
        <v>2025 11</v>
      </c>
      <c r="U5003" s="32">
        <f t="shared" si="373"/>
        <v>1231.9305594514572</v>
      </c>
      <c r="V5003" s="22">
        <f t="shared" si="374"/>
        <v>1.1534180388297206</v>
      </c>
      <c r="X5003" s="33"/>
      <c r="Y5003" s="33"/>
    </row>
    <row r="5004" spans="1:25" x14ac:dyDescent="0.2">
      <c r="A5004" s="93" t="s">
        <v>4162</v>
      </c>
      <c r="B5004" s="94" t="str">
        <f>IFERROR(VLOOKUP($A5004,HeadJournal!$A$1:$NTR$890,COLUMN(HeadJournal!B$1),0),"")</f>
        <v>720000774895</v>
      </c>
      <c r="C5004" s="94" t="str">
        <f>IFERROR(VLOOKUP($A5004,HeadJournal!$A$1:$NTR$890,COLUMN(HeadJournal!C$1),0),"")</f>
        <v>iHerb_VP DFD1605</v>
      </c>
      <c r="D5004" s="125" t="str">
        <f>IFERROR(VLOOKUP($A5004,HeadJournal!$A$1:$NTR$890,COLUMN(HeadJournal!D$1),0),"")</f>
        <v>Доставлен</v>
      </c>
      <c r="E5004" s="95">
        <f>IFERROR(VLOOKUP($A5004,HeadJournal!$A$1:$NTR$890,COLUMN(HeadJournal!G$1),0),"")</f>
        <v>45898</v>
      </c>
      <c r="F5004" s="95" t="str">
        <f t="shared" si="375"/>
        <v>2025 08</v>
      </c>
      <c r="G5004" s="97" t="s">
        <v>5</v>
      </c>
      <c r="H5004" s="161" t="s">
        <v>2755</v>
      </c>
      <c r="I5004" s="97" t="s">
        <v>2005</v>
      </c>
      <c r="J5004" s="97" t="s">
        <v>2756</v>
      </c>
      <c r="K5004" s="29">
        <v>17.239999999999998</v>
      </c>
      <c r="L5004" s="29">
        <v>-5</v>
      </c>
      <c r="M5004" s="30">
        <f>IFERROR(VLOOKUP($A5004,HeadJournal!$A$1:$J$890,COLUMN(HeadJournal!I$1),0)*($K5004+$L5004)/(SUMIF($A:$A,$A5004,$K:$K)+SUMIF($A:$A,$A5004,$L:$L)),0)</f>
        <v>-0.63199625993454878</v>
      </c>
      <c r="N5004" s="30">
        <f>IFERROR((VLOOKUP($A5004,HeadJournal!$A$1:$K$890,COLUMN(HeadJournal!K$1),0)-VLOOKUP($A5004,HeadJournal!$A$1:$K$890,COLUMN(HeadJournal!J$1),0))*($K5004+$L5004)/(SUMIF($A:$A,$A5004,$K:$K)+SUMIF($A:$A,$A5004,$L:$L)),0)</f>
        <v>0</v>
      </c>
      <c r="O5004" s="30">
        <f>IFERROR((VLOOKUP($A5004,HeadJournal!$A$1:$L$890,COLUMN(HeadJournal!L$1),0)*($K5004+$L5004)/(SUMIF($A:$A,$A5004,$K:$K)+SUMIF($A:$A,$A5004,$L:$L)))/VLOOKUP($A5004,HeadJournal!$A$1:$L$890,COLUMN(HeadJournal!H$1),0),0)</f>
        <v>0.24940375640449042</v>
      </c>
      <c r="P5004" s="30">
        <f>IFERROR(SUM(K5004:O5004)*VLOOKUP($A5004,HeadJournal!$A$1:$L$890,COLUMN(HeadJournal!H$1),0),0)</f>
        <v>1068.0694405485428</v>
      </c>
      <c r="Q5004" s="29">
        <v>2500</v>
      </c>
      <c r="R5004" s="31">
        <v>45981</v>
      </c>
      <c r="S5004" s="31" t="s">
        <v>3384</v>
      </c>
      <c r="T5004" s="95" t="str">
        <f t="shared" si="376"/>
        <v>2025 11</v>
      </c>
      <c r="U5004" s="32">
        <f t="shared" si="373"/>
        <v>1431.9305594514572</v>
      </c>
      <c r="V5004" s="22">
        <f t="shared" si="374"/>
        <v>1.3406717813366529</v>
      </c>
      <c r="X5004" s="33"/>
      <c r="Y5004" s="33"/>
    </row>
    <row r="5005" spans="1:25" x14ac:dyDescent="0.2">
      <c r="A5005" s="93" t="s">
        <v>4162</v>
      </c>
      <c r="B5005" s="94" t="str">
        <f>IFERROR(VLOOKUP($A5005,HeadJournal!$A$1:$NTR$890,COLUMN(HeadJournal!B$1),0),"")</f>
        <v>720000774895</v>
      </c>
      <c r="C5005" s="94" t="str">
        <f>IFERROR(VLOOKUP($A5005,HeadJournal!$A$1:$NTR$890,COLUMN(HeadJournal!C$1),0),"")</f>
        <v>iHerb_VP DFD1605</v>
      </c>
      <c r="D5005" s="125" t="str">
        <f>IFERROR(VLOOKUP($A5005,HeadJournal!$A$1:$NTR$890,COLUMN(HeadJournal!D$1),0),"")</f>
        <v>Доставлен</v>
      </c>
      <c r="E5005" s="95">
        <f>IFERROR(VLOOKUP($A5005,HeadJournal!$A$1:$NTR$890,COLUMN(HeadJournal!G$1),0),"")</f>
        <v>45898</v>
      </c>
      <c r="F5005" s="95" t="str">
        <f t="shared" si="375"/>
        <v>2025 08</v>
      </c>
      <c r="G5005" s="97" t="s">
        <v>5</v>
      </c>
      <c r="H5005" s="161" t="s">
        <v>2841</v>
      </c>
      <c r="I5005" s="97" t="s">
        <v>2839</v>
      </c>
      <c r="J5005" s="97" t="s">
        <v>2842</v>
      </c>
      <c r="K5005" s="29">
        <v>18.04</v>
      </c>
      <c r="L5005" s="29">
        <v>0</v>
      </c>
      <c r="M5005" s="30">
        <f>IFERROR(VLOOKUP($A5005,HeadJournal!$A$1:$J$890,COLUMN(HeadJournal!I$1),0)*($K5005+$L5005)/(SUMIF($A:$A,$A5005,$K:$K)+SUMIF($A:$A,$A5005,$L:$L)),0)</f>
        <v>-0.93147161186431859</v>
      </c>
      <c r="N5005" s="30">
        <f>IFERROR((VLOOKUP($A5005,HeadJournal!$A$1:$K$890,COLUMN(HeadJournal!K$1),0)-VLOOKUP($A5005,HeadJournal!$A$1:$K$890,COLUMN(HeadJournal!J$1),0))*($K5005+$L5005)/(SUMIF($A:$A,$A5005,$K:$K)+SUMIF($A:$A,$A5005,$L:$L)),0)</f>
        <v>0</v>
      </c>
      <c r="O5005" s="30">
        <f>IFERROR((VLOOKUP($A5005,HeadJournal!$A$1:$L$890,COLUMN(HeadJournal!L$1),0)*($K5005+$L5005)/(SUMIF($A:$A,$A5005,$K:$K)+SUMIF($A:$A,$A5005,$L:$L)))/VLOOKUP($A5005,HeadJournal!$A$1:$L$890,COLUMN(HeadJournal!H$1),0),0)</f>
        <v>0.36758527496217375</v>
      </c>
      <c r="P5005" s="30">
        <f>IFERROR(SUM(K5005:O5005)*VLOOKUP($A5005,HeadJournal!$A$1:$L$890,COLUMN(HeadJournal!H$1),0),0)</f>
        <v>1574.1807767561859</v>
      </c>
      <c r="Q5005" s="29">
        <v>2300</v>
      </c>
      <c r="R5005" s="31">
        <v>45923</v>
      </c>
      <c r="S5005" s="31" t="s">
        <v>3384</v>
      </c>
      <c r="T5005" s="95" t="str">
        <f t="shared" si="376"/>
        <v>2025 09</v>
      </c>
      <c r="U5005" s="32">
        <f t="shared" si="373"/>
        <v>725.81922324381412</v>
      </c>
      <c r="V5005" s="22">
        <f t="shared" si="374"/>
        <v>0.46107742767604087</v>
      </c>
      <c r="X5005" s="33"/>
      <c r="Y5005" s="33"/>
    </row>
    <row r="5006" spans="1:25" x14ac:dyDescent="0.2">
      <c r="A5006" s="93" t="s">
        <v>4162</v>
      </c>
      <c r="B5006" s="94" t="str">
        <f>IFERROR(VLOOKUP($A5006,HeadJournal!$A$1:$NTR$890,COLUMN(HeadJournal!B$1),0),"")</f>
        <v>720000774895</v>
      </c>
      <c r="C5006" s="94" t="str">
        <f>IFERROR(VLOOKUP($A5006,HeadJournal!$A$1:$NTR$890,COLUMN(HeadJournal!C$1),0),"")</f>
        <v>iHerb_VP DFD1605</v>
      </c>
      <c r="D5006" s="125" t="str">
        <f>IFERROR(VLOOKUP($A5006,HeadJournal!$A$1:$NTR$890,COLUMN(HeadJournal!D$1),0),"")</f>
        <v>Доставлен</v>
      </c>
      <c r="E5006" s="95">
        <f>IFERROR(VLOOKUP($A5006,HeadJournal!$A$1:$NTR$890,COLUMN(HeadJournal!G$1),0),"")</f>
        <v>45898</v>
      </c>
      <c r="F5006" s="95" t="str">
        <f t="shared" si="375"/>
        <v>2025 08</v>
      </c>
      <c r="G5006" s="97" t="s">
        <v>5</v>
      </c>
      <c r="H5006" s="161" t="s">
        <v>2841</v>
      </c>
      <c r="I5006" s="97" t="s">
        <v>2839</v>
      </c>
      <c r="J5006" s="97" t="s">
        <v>2842</v>
      </c>
      <c r="K5006" s="29">
        <v>18.04</v>
      </c>
      <c r="L5006" s="29">
        <v>0</v>
      </c>
      <c r="M5006" s="30">
        <f>IFERROR(VLOOKUP($A5006,HeadJournal!$A$1:$J$890,COLUMN(HeadJournal!I$1),0)*($K5006+$L5006)/(SUMIF($A:$A,$A5006,$K:$K)+SUMIF($A:$A,$A5006,$L:$L)),0)</f>
        <v>-0.93147161186431859</v>
      </c>
      <c r="N5006" s="30">
        <f>IFERROR((VLOOKUP($A5006,HeadJournal!$A$1:$K$890,COLUMN(HeadJournal!K$1),0)-VLOOKUP($A5006,HeadJournal!$A$1:$K$890,COLUMN(HeadJournal!J$1),0))*($K5006+$L5006)/(SUMIF($A:$A,$A5006,$K:$K)+SUMIF($A:$A,$A5006,$L:$L)),0)</f>
        <v>0</v>
      </c>
      <c r="O5006" s="30">
        <f>IFERROR((VLOOKUP($A5006,HeadJournal!$A$1:$L$890,COLUMN(HeadJournal!L$1),0)*($K5006+$L5006)/(SUMIF($A:$A,$A5006,$K:$K)+SUMIF($A:$A,$A5006,$L:$L)))/VLOOKUP($A5006,HeadJournal!$A$1:$L$890,COLUMN(HeadJournal!H$1),0),0)</f>
        <v>0.36758527496217375</v>
      </c>
      <c r="P5006" s="30">
        <f>IFERROR(SUM(K5006:O5006)*VLOOKUP($A5006,HeadJournal!$A$1:$L$890,COLUMN(HeadJournal!H$1),0),0)</f>
        <v>1574.1807767561859</v>
      </c>
      <c r="Q5006" s="29">
        <v>2400</v>
      </c>
      <c r="R5006" s="31">
        <v>45923</v>
      </c>
      <c r="S5006" s="31" t="s">
        <v>3270</v>
      </c>
      <c r="T5006" s="95" t="str">
        <f t="shared" si="376"/>
        <v>2025 09</v>
      </c>
      <c r="U5006" s="32">
        <f t="shared" si="373"/>
        <v>825.81922324381412</v>
      </c>
      <c r="V5006" s="22">
        <f t="shared" si="374"/>
        <v>0.5246025332271731</v>
      </c>
      <c r="X5006" s="33"/>
      <c r="Y5006" s="33"/>
    </row>
    <row r="5007" spans="1:25" x14ac:dyDescent="0.2">
      <c r="A5007" s="93" t="s">
        <v>4162</v>
      </c>
      <c r="B5007" s="94" t="str">
        <f>IFERROR(VLOOKUP($A5007,HeadJournal!$A$1:$NTR$890,COLUMN(HeadJournal!B$1),0),"")</f>
        <v>720000774895</v>
      </c>
      <c r="C5007" s="94" t="str">
        <f>IFERROR(VLOOKUP($A5007,HeadJournal!$A$1:$NTR$890,COLUMN(HeadJournal!C$1),0),"")</f>
        <v>iHerb_VP DFD1605</v>
      </c>
      <c r="D5007" s="125" t="str">
        <f>IFERROR(VLOOKUP($A5007,HeadJournal!$A$1:$NTR$890,COLUMN(HeadJournal!D$1),0),"")</f>
        <v>Доставлен</v>
      </c>
      <c r="E5007" s="95">
        <f>IFERROR(VLOOKUP($A5007,HeadJournal!$A$1:$NTR$890,COLUMN(HeadJournal!G$1),0),"")</f>
        <v>45898</v>
      </c>
      <c r="F5007" s="95" t="str">
        <f t="shared" si="375"/>
        <v>2025 08</v>
      </c>
      <c r="G5007" s="97" t="s">
        <v>5</v>
      </c>
      <c r="H5007" s="161" t="s">
        <v>3931</v>
      </c>
      <c r="I5007" s="97" t="s">
        <v>2036</v>
      </c>
      <c r="J5007" s="97" t="s">
        <v>3932</v>
      </c>
      <c r="K5007" s="29">
        <v>12.06</v>
      </c>
      <c r="L5007" s="29">
        <v>-3.5</v>
      </c>
      <c r="M5007" s="30">
        <f>IFERROR(VLOOKUP($A5007,HeadJournal!$A$1:$J$890,COLUMN(HeadJournal!I$1),0)*($K5007+$L5007)/(SUMIF($A:$A,$A5007,$K:$K)+SUMIF($A:$A,$A5007,$L:$L)),0)</f>
        <v>-0.4419843125032466</v>
      </c>
      <c r="N5007" s="30">
        <f>IFERROR((VLOOKUP($A5007,HeadJournal!$A$1:$K$890,COLUMN(HeadJournal!K$1),0)-VLOOKUP($A5007,HeadJournal!$A$1:$K$890,COLUMN(HeadJournal!J$1),0))*($K5007+$L5007)/(SUMIF($A:$A,$A5007,$K:$K)+SUMIF($A:$A,$A5007,$L:$L)),0)</f>
        <v>0</v>
      </c>
      <c r="O5007" s="30">
        <f>IFERROR((VLOOKUP($A5007,HeadJournal!$A$1:$L$890,COLUMN(HeadJournal!L$1),0)*($K5007+$L5007)/(SUMIF($A:$A,$A5007,$K:$K)+SUMIF($A:$A,$A5007,$L:$L)))/VLOOKUP($A5007,HeadJournal!$A$1:$L$890,COLUMN(HeadJournal!H$1),0),0)</f>
        <v>0.17441962049202928</v>
      </c>
      <c r="P5007" s="30">
        <f>IFERROR(SUM(K5007:O5007)*VLOOKUP($A5007,HeadJournal!$A$1:$L$890,COLUMN(HeadJournal!H$1),0),0)</f>
        <v>746.95052378231446</v>
      </c>
      <c r="Q5007" s="29">
        <v>1700</v>
      </c>
      <c r="R5007" s="31">
        <v>45923</v>
      </c>
      <c r="S5007" s="31" t="s">
        <v>3226</v>
      </c>
      <c r="T5007" s="95" t="str">
        <f t="shared" si="376"/>
        <v>2025 09</v>
      </c>
      <c r="U5007" s="32">
        <f t="shared" si="373"/>
        <v>953.04947621768554</v>
      </c>
      <c r="V5007" s="22">
        <f t="shared" si="374"/>
        <v>1.2759204871987411</v>
      </c>
      <c r="X5007" s="33"/>
      <c r="Y5007" s="33"/>
    </row>
    <row r="5008" spans="1:25" x14ac:dyDescent="0.2">
      <c r="A5008" s="93" t="s">
        <v>4162</v>
      </c>
      <c r="B5008" s="94" t="str">
        <f>IFERROR(VLOOKUP($A5008,HeadJournal!$A$1:$NTR$890,COLUMN(HeadJournal!B$1),0),"")</f>
        <v>720000774895</v>
      </c>
      <c r="C5008" s="94" t="str">
        <f>IFERROR(VLOOKUP($A5008,HeadJournal!$A$1:$NTR$890,COLUMN(HeadJournal!C$1),0),"")</f>
        <v>iHerb_VP DFD1605</v>
      </c>
      <c r="D5008" s="125" t="str">
        <f>IFERROR(VLOOKUP($A5008,HeadJournal!$A$1:$NTR$890,COLUMN(HeadJournal!D$1),0),"")</f>
        <v>Доставлен</v>
      </c>
      <c r="E5008" s="95">
        <f>IFERROR(VLOOKUP($A5008,HeadJournal!$A$1:$NTR$890,COLUMN(HeadJournal!G$1),0),"")</f>
        <v>45898</v>
      </c>
      <c r="F5008" s="95" t="str">
        <f t="shared" si="375"/>
        <v>2025 08</v>
      </c>
      <c r="G5008" s="97" t="s">
        <v>5</v>
      </c>
      <c r="H5008" s="161" t="s">
        <v>2504</v>
      </c>
      <c r="I5008" s="97" t="s">
        <v>2036</v>
      </c>
      <c r="J5008" s="97" t="s">
        <v>3739</v>
      </c>
      <c r="K5008" s="29">
        <v>15.08</v>
      </c>
      <c r="L5008" s="29">
        <v>-4.37</v>
      </c>
      <c r="M5008" s="30">
        <f>IFERROR(VLOOKUP($A5008,HeadJournal!$A$1:$J$890,COLUMN(HeadJournal!I$1),0)*($K5008+$L5008)/(SUMIF($A:$A,$A5008,$K:$K)+SUMIF($A:$A,$A5008,$L:$L)),0)</f>
        <v>-0.55299672744273032</v>
      </c>
      <c r="N5008" s="30">
        <f>IFERROR((VLOOKUP($A5008,HeadJournal!$A$1:$K$890,COLUMN(HeadJournal!K$1),0)-VLOOKUP($A5008,HeadJournal!$A$1:$K$890,COLUMN(HeadJournal!J$1),0))*($K5008+$L5008)/(SUMIF($A:$A,$A5008,$K:$K)+SUMIF($A:$A,$A5008,$L:$L)),0)</f>
        <v>0</v>
      </c>
      <c r="O5008" s="30">
        <f>IFERROR((VLOOKUP($A5008,HeadJournal!$A$1:$L$890,COLUMN(HeadJournal!L$1),0)*($K5008+$L5008)/(SUMIF($A:$A,$A5008,$K:$K)+SUMIF($A:$A,$A5008,$L:$L)))/VLOOKUP($A5008,HeadJournal!$A$1:$L$890,COLUMN(HeadJournal!H$1),0),0)</f>
        <v>0.21822828685392917</v>
      </c>
      <c r="P5008" s="30">
        <f>IFERROR(SUM(K5008:O5008)*VLOOKUP($A5008,HeadJournal!$A$1:$L$890,COLUMN(HeadJournal!H$1),0),0)</f>
        <v>934.5607604799751</v>
      </c>
      <c r="Q5008" s="29">
        <v>2000</v>
      </c>
      <c r="R5008" s="31">
        <v>45940</v>
      </c>
      <c r="S5008" s="31" t="s">
        <v>3235</v>
      </c>
      <c r="T5008" s="95" t="str">
        <f t="shared" si="376"/>
        <v>2025 10</v>
      </c>
      <c r="U5008" s="32">
        <f t="shared" si="373"/>
        <v>1065.4392395200248</v>
      </c>
      <c r="V5008" s="22">
        <f t="shared" si="374"/>
        <v>1.1400427715077965</v>
      </c>
      <c r="X5008" s="33"/>
      <c r="Y5008" s="33"/>
    </row>
    <row r="5009" spans="1:25" x14ac:dyDescent="0.2">
      <c r="A5009" s="93" t="s">
        <v>4162</v>
      </c>
      <c r="B5009" s="94" t="str">
        <f>IFERROR(VLOOKUP($A5009,HeadJournal!$A$1:$NTR$890,COLUMN(HeadJournal!B$1),0),"")</f>
        <v>720000774895</v>
      </c>
      <c r="C5009" s="94" t="str">
        <f>IFERROR(VLOOKUP($A5009,HeadJournal!$A$1:$NTR$890,COLUMN(HeadJournal!C$1),0),"")</f>
        <v>iHerb_VP DFD1605</v>
      </c>
      <c r="D5009" s="125" t="str">
        <f>IFERROR(VLOOKUP($A5009,HeadJournal!$A$1:$NTR$890,COLUMN(HeadJournal!D$1),0),"")</f>
        <v>Доставлен</v>
      </c>
      <c r="E5009" s="95">
        <f>IFERROR(VLOOKUP($A5009,HeadJournal!$A$1:$NTR$890,COLUMN(HeadJournal!G$1),0),"")</f>
        <v>45898</v>
      </c>
      <c r="F5009" s="95" t="str">
        <f t="shared" si="375"/>
        <v>2025 08</v>
      </c>
      <c r="G5009" s="97" t="s">
        <v>5</v>
      </c>
      <c r="H5009" s="161" t="s">
        <v>4155</v>
      </c>
      <c r="I5009" s="97" t="s">
        <v>4156</v>
      </c>
      <c r="J5009" s="97" t="s">
        <v>4157</v>
      </c>
      <c r="K5009" s="29">
        <v>27.97</v>
      </c>
      <c r="L5009" s="29">
        <v>-8.11</v>
      </c>
      <c r="M5009" s="30">
        <f>IFERROR(VLOOKUP($A5009,HeadJournal!$A$1:$J$890,COLUMN(HeadJournal!I$1),0)*($K5009+$L5009)/(SUMIF($A:$A,$A5009,$K:$K)+SUMIF($A:$A,$A5009,$L:$L)),0)</f>
        <v>-1.0254449119526257</v>
      </c>
      <c r="N5009" s="30">
        <f>IFERROR((VLOOKUP($A5009,HeadJournal!$A$1:$K$890,COLUMN(HeadJournal!K$1),0)-VLOOKUP($A5009,HeadJournal!$A$1:$K$890,COLUMN(HeadJournal!J$1),0))*($K5009+$L5009)/(SUMIF($A:$A,$A5009,$K:$K)+SUMIF($A:$A,$A5009,$L:$L)),0)</f>
        <v>0</v>
      </c>
      <c r="O5009" s="30">
        <f>IFERROR((VLOOKUP($A5009,HeadJournal!$A$1:$L$890,COLUMN(HeadJournal!L$1),0)*($K5009+$L5009)/(SUMIF($A:$A,$A5009,$K:$K)+SUMIF($A:$A,$A5009,$L:$L)))/VLOOKUP($A5009,HeadJournal!$A$1:$L$890,COLUMN(HeadJournal!H$1),0),0)</f>
        <v>0.40466982044061922</v>
      </c>
      <c r="P5009" s="30">
        <f>IFERROR(SUM(K5009:O5009)*VLOOKUP($A5009,HeadJournal!$A$1:$L$890,COLUMN(HeadJournal!H$1),0),0)</f>
        <v>1732.995023635136</v>
      </c>
      <c r="Q5009" s="29">
        <v>3000</v>
      </c>
      <c r="R5009" s="31">
        <v>45923</v>
      </c>
      <c r="S5009" s="31" t="s">
        <v>3121</v>
      </c>
      <c r="T5009" s="95" t="str">
        <f t="shared" si="376"/>
        <v>2025 09</v>
      </c>
      <c r="U5009" s="32">
        <f t="shared" si="373"/>
        <v>1267.004976364864</v>
      </c>
      <c r="V5009" s="22">
        <f t="shared" si="374"/>
        <v>0.7311071059553248</v>
      </c>
      <c r="X5009" s="33"/>
      <c r="Y5009" s="33"/>
    </row>
    <row r="5010" spans="1:25" x14ac:dyDescent="0.2">
      <c r="A5010" s="93" t="s">
        <v>4162</v>
      </c>
      <c r="B5010" s="94" t="str">
        <f>IFERROR(VLOOKUP($A5010,HeadJournal!$A$1:$NTR$890,COLUMN(HeadJournal!B$1),0),"")</f>
        <v>720000774895</v>
      </c>
      <c r="C5010" s="94" t="str">
        <f>IFERROR(VLOOKUP($A5010,HeadJournal!$A$1:$NTR$890,COLUMN(HeadJournal!C$1),0),"")</f>
        <v>iHerb_VP DFD1605</v>
      </c>
      <c r="D5010" s="125" t="str">
        <f>IFERROR(VLOOKUP($A5010,HeadJournal!$A$1:$NTR$890,COLUMN(HeadJournal!D$1),0),"")</f>
        <v>Доставлен</v>
      </c>
      <c r="E5010" s="95">
        <f>IFERROR(VLOOKUP($A5010,HeadJournal!$A$1:$NTR$890,COLUMN(HeadJournal!G$1),0),"")</f>
        <v>45898</v>
      </c>
      <c r="F5010" s="95" t="str">
        <f t="shared" si="375"/>
        <v>2025 08</v>
      </c>
      <c r="G5010" s="97" t="s">
        <v>5</v>
      </c>
      <c r="H5010" s="161" t="s">
        <v>4158</v>
      </c>
      <c r="I5010" s="97" t="s">
        <v>2005</v>
      </c>
      <c r="J5010" s="97" t="s">
        <v>4159</v>
      </c>
      <c r="K5010" s="29">
        <v>9.41</v>
      </c>
      <c r="L5010" s="29">
        <v>-2.73</v>
      </c>
      <c r="M5010" s="30">
        <f>IFERROR(VLOOKUP($A5010,HeadJournal!$A$1:$J$890,COLUMN(HeadJournal!I$1),0)*($K5010+$L5010)/(SUMIF($A:$A,$A5010,$K:$K)+SUMIF($A:$A,$A5010,$L:$L)),0)</f>
        <v>-0.34491299153290739</v>
      </c>
      <c r="N5010" s="30">
        <f>IFERROR((VLOOKUP($A5010,HeadJournal!$A$1:$K$890,COLUMN(HeadJournal!K$1),0)-VLOOKUP($A5010,HeadJournal!$A$1:$K$890,COLUMN(HeadJournal!J$1),0))*($K5010+$L5010)/(SUMIF($A:$A,$A5010,$K:$K)+SUMIF($A:$A,$A5010,$L:$L)),0)</f>
        <v>0</v>
      </c>
      <c r="O5010" s="30">
        <f>IFERROR((VLOOKUP($A5010,HeadJournal!$A$1:$L$890,COLUMN(HeadJournal!L$1),0)*($K5010+$L5010)/(SUMIF($A:$A,$A5010,$K:$K)+SUMIF($A:$A,$A5010,$L:$L)))/VLOOKUP($A5010,HeadJournal!$A$1:$L$890,COLUMN(HeadJournal!H$1),0),0)</f>
        <v>0.13611250758022841</v>
      </c>
      <c r="P5010" s="30">
        <f>IFERROR(SUM(K5010:O5010)*VLOOKUP($A5010,HeadJournal!$A$1:$L$890,COLUMN(HeadJournal!H$1),0),0)</f>
        <v>582.90064239087144</v>
      </c>
      <c r="Q5010" s="29">
        <v>1400</v>
      </c>
      <c r="R5010" s="31">
        <v>45923</v>
      </c>
      <c r="S5010" s="31" t="s">
        <v>3437</v>
      </c>
      <c r="T5010" s="95" t="str">
        <f t="shared" si="376"/>
        <v>2025 09</v>
      </c>
      <c r="U5010" s="32">
        <f t="shared" si="373"/>
        <v>817.09935760912856</v>
      </c>
      <c r="V5010" s="22">
        <f t="shared" si="374"/>
        <v>1.4017815356278371</v>
      </c>
      <c r="X5010" s="33"/>
      <c r="Y5010" s="33"/>
    </row>
    <row r="5011" spans="1:25" x14ac:dyDescent="0.2">
      <c r="A5011" s="93" t="s">
        <v>4162</v>
      </c>
      <c r="B5011" s="94" t="str">
        <f>IFERROR(VLOOKUP($A5011,HeadJournal!$A$1:$NTR$890,COLUMN(HeadJournal!B$1),0),"")</f>
        <v>720000774895</v>
      </c>
      <c r="C5011" s="94" t="str">
        <f>IFERROR(VLOOKUP($A5011,HeadJournal!$A$1:$NTR$890,COLUMN(HeadJournal!C$1),0),"")</f>
        <v>iHerb_VP DFD1605</v>
      </c>
      <c r="D5011" s="125" t="str">
        <f>IFERROR(VLOOKUP($A5011,HeadJournal!$A$1:$NTR$890,COLUMN(HeadJournal!D$1),0),"")</f>
        <v>Доставлен</v>
      </c>
      <c r="E5011" s="95">
        <f>IFERROR(VLOOKUP($A5011,HeadJournal!$A$1:$NTR$890,COLUMN(HeadJournal!G$1),0),"")</f>
        <v>45898</v>
      </c>
      <c r="F5011" s="95" t="str">
        <f t="shared" si="375"/>
        <v>2025 08</v>
      </c>
      <c r="G5011" s="97" t="s">
        <v>5</v>
      </c>
      <c r="H5011" s="161" t="s">
        <v>4160</v>
      </c>
      <c r="I5011" s="97" t="s">
        <v>2045</v>
      </c>
      <c r="J5011" s="97" t="s">
        <v>4161</v>
      </c>
      <c r="K5011" s="29">
        <v>9.59</v>
      </c>
      <c r="L5011" s="29">
        <v>-2.78</v>
      </c>
      <c r="M5011" s="30">
        <f>IFERROR(VLOOKUP($A5011,HeadJournal!$A$1:$J$890,COLUMN(HeadJournal!I$1),0)*($K5011+$L5011)/(SUMIF($A:$A,$A5011,$K:$K)+SUMIF($A:$A,$A5011,$L:$L)),0)</f>
        <v>-0.35162537011064365</v>
      </c>
      <c r="N5011" s="30">
        <f>IFERROR((VLOOKUP($A5011,HeadJournal!$A$1:$K$890,COLUMN(HeadJournal!K$1),0)-VLOOKUP($A5011,HeadJournal!$A$1:$K$890,COLUMN(HeadJournal!J$1),0))*($K5011+$L5011)/(SUMIF($A:$A,$A5011,$K:$K)+SUMIF($A:$A,$A5011,$L:$L)),0)</f>
        <v>0</v>
      </c>
      <c r="O5011" s="30">
        <f>IFERROR((VLOOKUP($A5011,HeadJournal!$A$1:$L$890,COLUMN(HeadJournal!L$1),0)*($K5011+$L5011)/(SUMIF($A:$A,$A5011,$K:$K)+SUMIF($A:$A,$A5011,$L:$L)))/VLOOKUP($A5011,HeadJournal!$A$1:$L$890,COLUMN(HeadJournal!H$1),0),0)</f>
        <v>0.1387614036858317</v>
      </c>
      <c r="P5011" s="30">
        <f>IFERROR(SUM(K5011:O5011)*VLOOKUP($A5011,HeadJournal!$A$1:$L$890,COLUMN(HeadJournal!H$1),0),0)</f>
        <v>594.24451716793942</v>
      </c>
      <c r="Q5011" s="29">
        <v>1400</v>
      </c>
      <c r="R5011" s="31">
        <v>45923</v>
      </c>
      <c r="S5011" s="31" t="s">
        <v>3437</v>
      </c>
      <c r="T5011" s="95" t="str">
        <f t="shared" si="376"/>
        <v>2025 09</v>
      </c>
      <c r="U5011" s="32">
        <f t="shared" si="373"/>
        <v>805.75548283206058</v>
      </c>
      <c r="V5011" s="22">
        <f t="shared" si="374"/>
        <v>1.35593254889779</v>
      </c>
      <c r="X5011" s="33"/>
      <c r="Y5011" s="33"/>
    </row>
    <row r="5012" spans="1:25" x14ac:dyDescent="0.2">
      <c r="A5012" s="93" t="s">
        <v>4168</v>
      </c>
      <c r="B5012" s="94" t="str">
        <f>IFERROR(VLOOKUP($A5012,HeadJournal!$A$1:$NTR$890,COLUMN(HeadJournal!B$1),0),"")</f>
        <v>722500525193</v>
      </c>
      <c r="C5012" s="94" t="str">
        <f>IFERROR(VLOOKUP($A5012,HeadJournal!$A$1:$NTR$890,COLUMN(HeadJournal!C$1),0),"")</f>
        <v>iHerb_VP DFD1605</v>
      </c>
      <c r="D5012" s="125" t="str">
        <f>IFERROR(VLOOKUP($A5012,HeadJournal!$A$1:$NTR$890,COLUMN(HeadJournal!D$1),0),"")</f>
        <v>Доставлен</v>
      </c>
      <c r="E5012" s="95">
        <f>IFERROR(VLOOKUP($A5012,HeadJournal!$A$1:$NTR$890,COLUMN(HeadJournal!G$1),0),"")</f>
        <v>45901</v>
      </c>
      <c r="F5012" s="95" t="str">
        <f t="shared" si="375"/>
        <v>2025 09</v>
      </c>
      <c r="G5012" s="97" t="s">
        <v>5</v>
      </c>
      <c r="H5012" s="161" t="s">
        <v>2798</v>
      </c>
      <c r="I5012" s="97" t="s">
        <v>2009</v>
      </c>
      <c r="J5012" s="97" t="s">
        <v>2799</v>
      </c>
      <c r="K5012" s="29">
        <v>22.38</v>
      </c>
      <c r="L5012" s="29">
        <v>-6.49</v>
      </c>
      <c r="M5012" s="30">
        <f>IFERROR(VLOOKUP($A5012,HeadJournal!$A$1:$J$890,COLUMN(HeadJournal!I$1),0)*($K5012+$L5012)/(SUMIF($A:$A,$A5012,$K:$K)+SUMIF($A:$A,$A5012,$L:$L)),0)</f>
        <v>0</v>
      </c>
      <c r="N5012" s="30">
        <f>IFERROR((VLOOKUP($A5012,HeadJournal!$A$1:$K$890,COLUMN(HeadJournal!K$1),0)-VLOOKUP($A5012,HeadJournal!$A$1:$K$890,COLUMN(HeadJournal!J$1),0))*($K5012+$L5012)/(SUMIF($A:$A,$A5012,$K:$K)+SUMIF($A:$A,$A5012,$L:$L)),0)</f>
        <v>2.5709948926854134E-15</v>
      </c>
      <c r="O5012" s="30">
        <f>IFERROR((VLOOKUP($A5012,HeadJournal!$A$1:$L$890,COLUMN(HeadJournal!L$1),0)*($K5012+$L5012)/(SUMIF($A:$A,$A5012,$K:$K)+SUMIF($A:$A,$A5012,$L:$L)))/VLOOKUP($A5012,HeadJournal!$A$1:$L$890,COLUMN(HeadJournal!H$1),0),0)</f>
        <v>0.45921384332887244</v>
      </c>
      <c r="P5012" s="30">
        <f>IFERROR(SUM(K5012:O5012)*VLOOKUP($A5012,HeadJournal!$A$1:$L$890,COLUMN(HeadJournal!H$1),0),0)</f>
        <v>1465.3599516110669</v>
      </c>
      <c r="Q5012" s="29">
        <v>2700</v>
      </c>
      <c r="R5012" s="31">
        <v>45989</v>
      </c>
      <c r="S5012" s="31"/>
      <c r="T5012" s="95" t="str">
        <f t="shared" si="376"/>
        <v>2025 11</v>
      </c>
      <c r="U5012" s="32">
        <f t="shared" si="373"/>
        <v>1234.6400483889331</v>
      </c>
      <c r="V5012" s="22">
        <f t="shared" si="374"/>
        <v>0.8425506968656592</v>
      </c>
      <c r="X5012" s="33"/>
      <c r="Y5012" s="33"/>
    </row>
    <row r="5013" spans="1:25" x14ac:dyDescent="0.2">
      <c r="A5013" s="93" t="s">
        <v>4168</v>
      </c>
      <c r="B5013" s="94" t="str">
        <f>IFERROR(VLOOKUP($A5013,HeadJournal!$A$1:$NTR$890,COLUMN(HeadJournal!B$1),0),"")</f>
        <v>722500525193</v>
      </c>
      <c r="C5013" s="94" t="str">
        <f>IFERROR(VLOOKUP($A5013,HeadJournal!$A$1:$NTR$890,COLUMN(HeadJournal!C$1),0),"")</f>
        <v>iHerb_VP DFD1605</v>
      </c>
      <c r="D5013" s="125" t="str">
        <f>IFERROR(VLOOKUP($A5013,HeadJournal!$A$1:$NTR$890,COLUMN(HeadJournal!D$1),0),"")</f>
        <v>Доставлен</v>
      </c>
      <c r="E5013" s="95">
        <f>IFERROR(VLOOKUP($A5013,HeadJournal!$A$1:$NTR$890,COLUMN(HeadJournal!G$1),0),"")</f>
        <v>45901</v>
      </c>
      <c r="F5013" s="95" t="str">
        <f t="shared" si="375"/>
        <v>2025 09</v>
      </c>
      <c r="G5013" s="97" t="s">
        <v>5</v>
      </c>
      <c r="H5013" s="161" t="s">
        <v>2493</v>
      </c>
      <c r="I5013" s="97" t="s">
        <v>2009</v>
      </c>
      <c r="J5013" s="97" t="s">
        <v>2494</v>
      </c>
      <c r="K5013" s="29">
        <v>22.38</v>
      </c>
      <c r="L5013" s="29">
        <v>-6.49</v>
      </c>
      <c r="M5013" s="30">
        <f>IFERROR(VLOOKUP($A5013,HeadJournal!$A$1:$J$890,COLUMN(HeadJournal!I$1),0)*($K5013+$L5013)/(SUMIF($A:$A,$A5013,$K:$K)+SUMIF($A:$A,$A5013,$L:$L)),0)</f>
        <v>0</v>
      </c>
      <c r="N5013" s="30">
        <f>IFERROR((VLOOKUP($A5013,HeadJournal!$A$1:$K$890,COLUMN(HeadJournal!K$1),0)-VLOOKUP($A5013,HeadJournal!$A$1:$K$890,COLUMN(HeadJournal!J$1),0))*($K5013+$L5013)/(SUMIF($A:$A,$A5013,$K:$K)+SUMIF($A:$A,$A5013,$L:$L)),0)</f>
        <v>2.5709948926854134E-15</v>
      </c>
      <c r="O5013" s="30">
        <f>IFERROR((VLOOKUP($A5013,HeadJournal!$A$1:$L$890,COLUMN(HeadJournal!L$1),0)*($K5013+$L5013)/(SUMIF($A:$A,$A5013,$K:$K)+SUMIF($A:$A,$A5013,$L:$L)))/VLOOKUP($A5013,HeadJournal!$A$1:$L$890,COLUMN(HeadJournal!H$1),0),0)</f>
        <v>0.45921384332887244</v>
      </c>
      <c r="P5013" s="30">
        <f>IFERROR(SUM(K5013:O5013)*VLOOKUP($A5013,HeadJournal!$A$1:$L$890,COLUMN(HeadJournal!H$1),0),0)</f>
        <v>1465.3599516110669</v>
      </c>
      <c r="Q5013" s="29">
        <v>2900</v>
      </c>
      <c r="R5013" s="31">
        <v>45959</v>
      </c>
      <c r="S5013" s="31"/>
      <c r="T5013" s="95" t="str">
        <f t="shared" si="376"/>
        <v>2025 10</v>
      </c>
      <c r="U5013" s="32">
        <f t="shared" si="373"/>
        <v>1434.6400483889331</v>
      </c>
      <c r="V5013" s="22">
        <f t="shared" si="374"/>
        <v>0.97903593367052288</v>
      </c>
      <c r="X5013" s="33"/>
      <c r="Y5013" s="33"/>
    </row>
    <row r="5014" spans="1:25" x14ac:dyDescent="0.2">
      <c r="A5014" s="93" t="s">
        <v>4168</v>
      </c>
      <c r="B5014" s="94" t="str">
        <f>IFERROR(VLOOKUP($A5014,HeadJournal!$A$1:$NTR$890,COLUMN(HeadJournal!B$1),0),"")</f>
        <v>722500525193</v>
      </c>
      <c r="C5014" s="94" t="str">
        <f>IFERROR(VLOOKUP($A5014,HeadJournal!$A$1:$NTR$890,COLUMN(HeadJournal!C$1),0),"")</f>
        <v>iHerb_VP DFD1605</v>
      </c>
      <c r="D5014" s="125" t="str">
        <f>IFERROR(VLOOKUP($A5014,HeadJournal!$A$1:$NTR$890,COLUMN(HeadJournal!D$1),0),"")</f>
        <v>Доставлен</v>
      </c>
      <c r="E5014" s="95">
        <f>IFERROR(VLOOKUP($A5014,HeadJournal!$A$1:$NTR$890,COLUMN(HeadJournal!G$1),0),"")</f>
        <v>45901</v>
      </c>
      <c r="F5014" s="95" t="str">
        <f t="shared" si="375"/>
        <v>2025 09</v>
      </c>
      <c r="G5014" s="97" t="s">
        <v>5</v>
      </c>
      <c r="H5014" s="161" t="s">
        <v>2800</v>
      </c>
      <c r="I5014" s="97" t="s">
        <v>2207</v>
      </c>
      <c r="J5014" s="97" t="s">
        <v>2801</v>
      </c>
      <c r="K5014" s="29">
        <v>24.74</v>
      </c>
      <c r="L5014" s="29">
        <v>-7.17</v>
      </c>
      <c r="M5014" s="30">
        <f>IFERROR(VLOOKUP($A5014,HeadJournal!$A$1:$J$890,COLUMN(HeadJournal!I$1),0)*($K5014+$L5014)/(SUMIF($A:$A,$A5014,$K:$K)+SUMIF($A:$A,$A5014,$L:$L)),0)</f>
        <v>0</v>
      </c>
      <c r="N5014" s="30">
        <f>IFERROR((VLOOKUP($A5014,HeadJournal!$A$1:$K$890,COLUMN(HeadJournal!K$1),0)-VLOOKUP($A5014,HeadJournal!$A$1:$K$890,COLUMN(HeadJournal!J$1),0))*($K5014+$L5014)/(SUMIF($A:$A,$A5014,$K:$K)+SUMIF($A:$A,$A5014,$L:$L)),0)</f>
        <v>2.8428181412512725E-15</v>
      </c>
      <c r="O5014" s="30">
        <f>IFERROR((VLOOKUP($A5014,HeadJournal!$A$1:$L$890,COLUMN(HeadJournal!L$1),0)*($K5014+$L5014)/(SUMIF($A:$A,$A5014,$K:$K)+SUMIF($A:$A,$A5014,$L:$L)))/VLOOKUP($A5014,HeadJournal!$A$1:$L$890,COLUMN(HeadJournal!H$1),0),0)</f>
        <v>0.5077650866764184</v>
      </c>
      <c r="P5014" s="30">
        <f>IFERROR(SUM(K5014:O5014)*VLOOKUP($A5014,HeadJournal!$A$1:$L$890,COLUMN(HeadJournal!H$1),0),0)</f>
        <v>1620.2878760104752</v>
      </c>
      <c r="Q5014" s="29">
        <v>3200</v>
      </c>
      <c r="R5014" s="31">
        <v>45940</v>
      </c>
      <c r="S5014" s="31" t="s">
        <v>4568</v>
      </c>
      <c r="T5014" s="95" t="str">
        <f t="shared" si="376"/>
        <v>2025 10</v>
      </c>
      <c r="U5014" s="32">
        <f t="shared" si="373"/>
        <v>1579.7121239895248</v>
      </c>
      <c r="V5014" s="22">
        <f t="shared" si="374"/>
        <v>0.97495768954288708</v>
      </c>
      <c r="X5014" s="33"/>
      <c r="Y5014" s="33"/>
    </row>
    <row r="5015" spans="1:25" x14ac:dyDescent="0.2">
      <c r="A5015" s="93" t="s">
        <v>4168</v>
      </c>
      <c r="B5015" s="94" t="str">
        <f>IFERROR(VLOOKUP($A5015,HeadJournal!$A$1:$NTR$890,COLUMN(HeadJournal!B$1),0),"")</f>
        <v>722500525193</v>
      </c>
      <c r="C5015" s="94" t="str">
        <f>IFERROR(VLOOKUP($A5015,HeadJournal!$A$1:$NTR$890,COLUMN(HeadJournal!C$1),0),"")</f>
        <v>iHerb_VP DFD1605</v>
      </c>
      <c r="D5015" s="125" t="str">
        <f>IFERROR(VLOOKUP($A5015,HeadJournal!$A$1:$NTR$890,COLUMN(HeadJournal!D$1),0),"")</f>
        <v>Доставлен</v>
      </c>
      <c r="E5015" s="95">
        <f>IFERROR(VLOOKUP($A5015,HeadJournal!$A$1:$NTR$890,COLUMN(HeadJournal!G$1),0),"")</f>
        <v>45901</v>
      </c>
      <c r="F5015" s="95" t="str">
        <f t="shared" si="375"/>
        <v>2025 09</v>
      </c>
      <c r="G5015" s="97" t="s">
        <v>5</v>
      </c>
      <c r="H5015" s="161" t="s">
        <v>2024</v>
      </c>
      <c r="I5015" s="97" t="s">
        <v>2005</v>
      </c>
      <c r="J5015" s="97" t="s">
        <v>4140</v>
      </c>
      <c r="K5015" s="29">
        <v>17.38</v>
      </c>
      <c r="L5015" s="29">
        <v>-5.04</v>
      </c>
      <c r="M5015" s="30">
        <f>IFERROR(VLOOKUP($A5015,HeadJournal!$A$1:$J$890,COLUMN(HeadJournal!I$1),0)*($K5015+$L5015)/(SUMIF($A:$A,$A5015,$K:$K)+SUMIF($A:$A,$A5015,$L:$L)),0)</f>
        <v>0</v>
      </c>
      <c r="N5015" s="30">
        <f>IFERROR((VLOOKUP($A5015,HeadJournal!$A$1:$K$890,COLUMN(HeadJournal!K$1),0)-VLOOKUP($A5015,HeadJournal!$A$1:$K$890,COLUMN(HeadJournal!J$1),0))*($K5015+$L5015)/(SUMIF($A:$A,$A5015,$K:$K)+SUMIF($A:$A,$A5015,$L:$L)),0)</f>
        <v>1.9966064805373194E-15</v>
      </c>
      <c r="O5015" s="30">
        <f>IFERROR((VLOOKUP($A5015,HeadJournal!$A$1:$L$890,COLUMN(HeadJournal!L$1),0)*($K5015+$L5015)/(SUMIF($A:$A,$A5015,$K:$K)+SUMIF($A:$A,$A5015,$L:$L)))/VLOOKUP($A5015,HeadJournal!$A$1:$L$890,COLUMN(HeadJournal!H$1),0),0)</f>
        <v>0.35662044220756989</v>
      </c>
      <c r="P5015" s="30">
        <f>IFERROR(SUM(K5015:O5015)*VLOOKUP($A5015,HeadJournal!$A$1:$L$890,COLUMN(HeadJournal!H$1),0),0)</f>
        <v>1137.9824923146991</v>
      </c>
      <c r="Q5015" s="29">
        <v>2500</v>
      </c>
      <c r="R5015" s="31">
        <v>45940</v>
      </c>
      <c r="S5015" s="31" t="s">
        <v>4563</v>
      </c>
      <c r="T5015" s="95" t="str">
        <f t="shared" si="376"/>
        <v>2025 10</v>
      </c>
      <c r="U5015" s="32">
        <f t="shared" si="373"/>
        <v>1362.0175076853009</v>
      </c>
      <c r="V5015" s="22">
        <f t="shared" si="374"/>
        <v>1.1968703533521909</v>
      </c>
      <c r="X5015" s="33"/>
      <c r="Y5015" s="33"/>
    </row>
    <row r="5016" spans="1:25" x14ac:dyDescent="0.2">
      <c r="A5016" s="93" t="s">
        <v>4168</v>
      </c>
      <c r="B5016" s="94" t="str">
        <f>IFERROR(VLOOKUP($A5016,HeadJournal!$A$1:$NTR$890,COLUMN(HeadJournal!B$1),0),"")</f>
        <v>722500525193</v>
      </c>
      <c r="C5016" s="94" t="str">
        <f>IFERROR(VLOOKUP($A5016,HeadJournal!$A$1:$NTR$890,COLUMN(HeadJournal!C$1),0),"")</f>
        <v>iHerb_VP DFD1605</v>
      </c>
      <c r="D5016" s="125" t="str">
        <f>IFERROR(VLOOKUP($A5016,HeadJournal!$A$1:$NTR$890,COLUMN(HeadJournal!D$1),0),"")</f>
        <v>Доставлен</v>
      </c>
      <c r="E5016" s="95">
        <f>IFERROR(VLOOKUP($A5016,HeadJournal!$A$1:$NTR$890,COLUMN(HeadJournal!G$1),0),"")</f>
        <v>45901</v>
      </c>
      <c r="F5016" s="95" t="str">
        <f t="shared" si="375"/>
        <v>2025 09</v>
      </c>
      <c r="G5016" s="97" t="s">
        <v>5</v>
      </c>
      <c r="H5016" s="161" t="s">
        <v>4163</v>
      </c>
      <c r="I5016" s="97" t="s">
        <v>2042</v>
      </c>
      <c r="J5016" s="97" t="s">
        <v>4164</v>
      </c>
      <c r="K5016" s="29">
        <v>23.93</v>
      </c>
      <c r="L5016" s="29">
        <v>-6.94</v>
      </c>
      <c r="M5016" s="30">
        <f>IFERROR(VLOOKUP($A5016,HeadJournal!$A$1:$J$890,COLUMN(HeadJournal!I$1),0)*($K5016+$L5016)/(SUMIF($A:$A,$A5016,$K:$K)+SUMIF($A:$A,$A5016,$L:$L)),0)</f>
        <v>0</v>
      </c>
      <c r="N5016" s="30">
        <f>IFERROR((VLOOKUP($A5016,HeadJournal!$A$1:$K$890,COLUMN(HeadJournal!K$1),0)-VLOOKUP($A5016,HeadJournal!$A$1:$K$890,COLUMN(HeadJournal!J$1),0))*($K5016+$L5016)/(SUMIF($A:$A,$A5016,$K:$K)+SUMIF($A:$A,$A5016,$L:$L)),0)</f>
        <v>2.7489744006749638E-15</v>
      </c>
      <c r="O5016" s="30">
        <f>IFERROR((VLOOKUP($A5016,HeadJournal!$A$1:$L$890,COLUMN(HeadJournal!L$1),0)*($K5016+$L5016)/(SUMIF($A:$A,$A5016,$K:$K)+SUMIF($A:$A,$A5016,$L:$L)))/VLOOKUP($A5016,HeadJournal!$A$1:$L$890,COLUMN(HeadJournal!H$1),0),0)</f>
        <v>0.49100334790167038</v>
      </c>
      <c r="P5016" s="30">
        <f>IFERROR(SUM(K5016:O5016)*VLOOKUP($A5016,HeadJournal!$A$1:$L$890,COLUMN(HeadJournal!H$1),0),0)</f>
        <v>1566.800854491632</v>
      </c>
      <c r="Q5016" s="29">
        <v>2600</v>
      </c>
      <c r="R5016" s="31">
        <v>45940</v>
      </c>
      <c r="S5016" s="31" t="s">
        <v>3475</v>
      </c>
      <c r="T5016" s="95" t="str">
        <f t="shared" si="376"/>
        <v>2025 10</v>
      </c>
      <c r="U5016" s="32">
        <f t="shared" si="373"/>
        <v>1033.199145508368</v>
      </c>
      <c r="V5016" s="22">
        <f t="shared" si="374"/>
        <v>0.65943233471340068</v>
      </c>
      <c r="X5016" s="33"/>
      <c r="Y5016" s="33"/>
    </row>
    <row r="5017" spans="1:25" x14ac:dyDescent="0.2">
      <c r="A5017" s="93" t="s">
        <v>4168</v>
      </c>
      <c r="B5017" s="94" t="str">
        <f>IFERROR(VLOOKUP($A5017,HeadJournal!$A$1:$NTR$890,COLUMN(HeadJournal!B$1),0),"")</f>
        <v>722500525193</v>
      </c>
      <c r="C5017" s="94" t="str">
        <f>IFERROR(VLOOKUP($A5017,HeadJournal!$A$1:$NTR$890,COLUMN(HeadJournal!C$1),0),"")</f>
        <v>iHerb_VP DFD1605</v>
      </c>
      <c r="D5017" s="125" t="str">
        <f>IFERROR(VLOOKUP($A5017,HeadJournal!$A$1:$NTR$890,COLUMN(HeadJournal!D$1),0),"")</f>
        <v>Доставлен</v>
      </c>
      <c r="E5017" s="95">
        <f>IFERROR(VLOOKUP($A5017,HeadJournal!$A$1:$NTR$890,COLUMN(HeadJournal!G$1),0),"")</f>
        <v>45901</v>
      </c>
      <c r="F5017" s="95" t="str">
        <f t="shared" si="375"/>
        <v>2025 09</v>
      </c>
      <c r="G5017" s="97" t="s">
        <v>5</v>
      </c>
      <c r="H5017" s="161" t="s">
        <v>2964</v>
      </c>
      <c r="I5017" s="97" t="s">
        <v>2965</v>
      </c>
      <c r="J5017" s="97" t="s">
        <v>2966</v>
      </c>
      <c r="K5017" s="29">
        <v>43.51</v>
      </c>
      <c r="L5017" s="29">
        <v>-12.62</v>
      </c>
      <c r="M5017" s="30">
        <f>IFERROR(VLOOKUP($A5017,HeadJournal!$A$1:$J$890,COLUMN(HeadJournal!I$1),0)*($K5017+$L5017)/(SUMIF($A:$A,$A5017,$K:$K)+SUMIF($A:$A,$A5017,$L:$L)),0)</f>
        <v>0</v>
      </c>
      <c r="N5017" s="30">
        <f>IFERROR((VLOOKUP($A5017,HeadJournal!$A$1:$K$890,COLUMN(HeadJournal!K$1),0)-VLOOKUP($A5017,HeadJournal!$A$1:$K$890,COLUMN(HeadJournal!J$1),0))*($K5017+$L5017)/(SUMIF($A:$A,$A5017,$K:$K)+SUMIF($A:$A,$A5017,$L:$L)),0)</f>
        <v>4.9979881834520097E-15</v>
      </c>
      <c r="O5017" s="30">
        <f>IFERROR((VLOOKUP($A5017,HeadJournal!$A$1:$L$890,COLUMN(HeadJournal!L$1),0)*($K5017+$L5017)/(SUMIF($A:$A,$A5017,$K:$K)+SUMIF($A:$A,$A5017,$L:$L)))/VLOOKUP($A5017,HeadJournal!$A$1:$L$890,COLUMN(HeadJournal!H$1),0),0)</f>
        <v>0.89270708750339023</v>
      </c>
      <c r="P5017" s="30">
        <f>IFERROR(SUM(K5017:O5017)*VLOOKUP($A5017,HeadJournal!$A$1:$L$890,COLUMN(HeadJournal!H$1),0),0)</f>
        <v>2848.6449908914956</v>
      </c>
      <c r="Q5017" s="29">
        <v>4400</v>
      </c>
      <c r="R5017" s="31">
        <v>45940</v>
      </c>
      <c r="S5017" s="31" t="s">
        <v>3475</v>
      </c>
      <c r="T5017" s="95" t="str">
        <f t="shared" si="376"/>
        <v>2025 10</v>
      </c>
      <c r="U5017" s="32">
        <f t="shared" si="373"/>
        <v>1551.3550091085044</v>
      </c>
      <c r="V5017" s="22">
        <f t="shared" si="374"/>
        <v>0.54459401366928539</v>
      </c>
      <c r="X5017" s="33"/>
      <c r="Y5017" s="33"/>
    </row>
    <row r="5018" spans="1:25" x14ac:dyDescent="0.2">
      <c r="A5018" s="93" t="s">
        <v>4168</v>
      </c>
      <c r="B5018" s="94" t="str">
        <f>IFERROR(VLOOKUP($A5018,HeadJournal!$A$1:$NTR$890,COLUMN(HeadJournal!B$1),0),"")</f>
        <v>722500525193</v>
      </c>
      <c r="C5018" s="94" t="str">
        <f>IFERROR(VLOOKUP($A5018,HeadJournal!$A$1:$NTR$890,COLUMN(HeadJournal!C$1),0),"")</f>
        <v>iHerb_VP DFD1605</v>
      </c>
      <c r="D5018" s="125" t="str">
        <f>IFERROR(VLOOKUP($A5018,HeadJournal!$A$1:$NTR$890,COLUMN(HeadJournal!D$1),0),"")</f>
        <v>Доставлен</v>
      </c>
      <c r="E5018" s="95">
        <f>IFERROR(VLOOKUP($A5018,HeadJournal!$A$1:$NTR$890,COLUMN(HeadJournal!G$1),0),"")</f>
        <v>45901</v>
      </c>
      <c r="F5018" s="95" t="str">
        <f t="shared" si="375"/>
        <v>2025 09</v>
      </c>
      <c r="G5018" s="97" t="s">
        <v>5</v>
      </c>
      <c r="H5018" s="161" t="s">
        <v>2851</v>
      </c>
      <c r="I5018" s="97" t="s">
        <v>2102</v>
      </c>
      <c r="J5018" s="97" t="s">
        <v>4165</v>
      </c>
      <c r="K5018" s="29">
        <v>6.07</v>
      </c>
      <c r="L5018" s="29">
        <v>-1.76</v>
      </c>
      <c r="M5018" s="30">
        <f>IFERROR(VLOOKUP($A5018,HeadJournal!$A$1:$J$890,COLUMN(HeadJournal!I$1),0)*($K5018+$L5018)/(SUMIF($A:$A,$A5018,$K:$K)+SUMIF($A:$A,$A5018,$L:$L)),0)</f>
        <v>0</v>
      </c>
      <c r="N5018" s="30">
        <f>IFERROR((VLOOKUP($A5018,HeadJournal!$A$1:$K$890,COLUMN(HeadJournal!K$1),0)-VLOOKUP($A5018,HeadJournal!$A$1:$K$890,COLUMN(HeadJournal!J$1),0))*($K5018+$L5018)/(SUMIF($A:$A,$A5018,$K:$K)+SUMIF($A:$A,$A5018,$L:$L)),0)</f>
        <v>6.9735607221360185E-16</v>
      </c>
      <c r="O5018" s="30">
        <f>IFERROR((VLOOKUP($A5018,HeadJournal!$A$1:$L$890,COLUMN(HeadJournal!L$1),0)*($K5018+$L5018)/(SUMIF($A:$A,$A5018,$K:$K)+SUMIF($A:$A,$A5018,$L:$L)))/VLOOKUP($A5018,HeadJournal!$A$1:$L$890,COLUMN(HeadJournal!H$1),0),0)</f>
        <v>0.12455705882614478</v>
      </c>
      <c r="P5018" s="30">
        <f>IFERROR(SUM(K5018:O5018)*VLOOKUP($A5018,HeadJournal!$A$1:$L$890,COLUMN(HeadJournal!H$1),0),0)</f>
        <v>397.46390128657652</v>
      </c>
      <c r="Q5018" s="29">
        <v>1000</v>
      </c>
      <c r="R5018" s="31">
        <v>46137</v>
      </c>
      <c r="S5018" s="31" t="s">
        <v>3282</v>
      </c>
      <c r="T5018" s="95" t="str">
        <f t="shared" si="376"/>
        <v>2026 04</v>
      </c>
      <c r="U5018" s="32">
        <f t="shared" si="373"/>
        <v>602.53609871342348</v>
      </c>
      <c r="V5018" s="22">
        <f t="shared" si="374"/>
        <v>1.5159517550223696</v>
      </c>
      <c r="X5018" s="33"/>
      <c r="Y5018" s="33"/>
    </row>
    <row r="5019" spans="1:25" x14ac:dyDescent="0.2">
      <c r="A5019" s="93" t="s">
        <v>4168</v>
      </c>
      <c r="B5019" s="94" t="str">
        <f>IFERROR(VLOOKUP($A5019,HeadJournal!$A$1:$NTR$890,COLUMN(HeadJournal!B$1),0),"")</f>
        <v>722500525193</v>
      </c>
      <c r="C5019" s="94" t="str">
        <f>IFERROR(VLOOKUP($A5019,HeadJournal!$A$1:$NTR$890,COLUMN(HeadJournal!C$1),0),"")</f>
        <v>iHerb_VP DFD1605</v>
      </c>
      <c r="D5019" s="125" t="str">
        <f>IFERROR(VLOOKUP($A5019,HeadJournal!$A$1:$NTR$890,COLUMN(HeadJournal!D$1),0),"")</f>
        <v>Доставлен</v>
      </c>
      <c r="E5019" s="95">
        <f>IFERROR(VLOOKUP($A5019,HeadJournal!$A$1:$NTR$890,COLUMN(HeadJournal!G$1),0),"")</f>
        <v>45901</v>
      </c>
      <c r="F5019" s="95" t="str">
        <f t="shared" si="375"/>
        <v>2025 09</v>
      </c>
      <c r="G5019" s="97" t="s">
        <v>5</v>
      </c>
      <c r="H5019" s="161" t="s">
        <v>4166</v>
      </c>
      <c r="I5019" s="97" t="s">
        <v>2965</v>
      </c>
      <c r="J5019" s="97" t="s">
        <v>4167</v>
      </c>
      <c r="K5019" s="29">
        <v>87.02</v>
      </c>
      <c r="L5019" s="29">
        <v>-25.24</v>
      </c>
      <c r="M5019" s="30">
        <f>IFERROR(VLOOKUP($A5019,HeadJournal!$A$1:$J$890,COLUMN(HeadJournal!I$1),0)*($K5019+$L5019)/(SUMIF($A:$A,$A5019,$K:$K)+SUMIF($A:$A,$A5019,$L:$L)),0)</f>
        <v>0</v>
      </c>
      <c r="N5019" s="30">
        <f>IFERROR((VLOOKUP($A5019,HeadJournal!$A$1:$K$890,COLUMN(HeadJournal!K$1),0)-VLOOKUP($A5019,HeadJournal!$A$1:$K$890,COLUMN(HeadJournal!J$1),0))*($K5019+$L5019)/(SUMIF($A:$A,$A5019,$K:$K)+SUMIF($A:$A,$A5019,$L:$L)),0)</f>
        <v>9.9959763669040194E-15</v>
      </c>
      <c r="O5019" s="30">
        <f>IFERROR((VLOOKUP($A5019,HeadJournal!$A$1:$L$890,COLUMN(HeadJournal!L$1),0)*($K5019+$L5019)/(SUMIF($A:$A,$A5019,$K:$K)+SUMIF($A:$A,$A5019,$L:$L)))/VLOOKUP($A5019,HeadJournal!$A$1:$L$890,COLUMN(HeadJournal!H$1),0),0)</f>
        <v>1.7854141750067805</v>
      </c>
      <c r="P5019" s="30">
        <f>IFERROR(SUM(K5019:O5019)*VLOOKUP($A5019,HeadJournal!$A$1:$L$890,COLUMN(HeadJournal!H$1),0),0)</f>
        <v>5697.2899817829912</v>
      </c>
      <c r="Q5019" s="29">
        <v>8300</v>
      </c>
      <c r="R5019" s="31">
        <v>45940</v>
      </c>
      <c r="S5019" s="31" t="s">
        <v>3475</v>
      </c>
      <c r="T5019" s="95" t="str">
        <f t="shared" si="376"/>
        <v>2025 10</v>
      </c>
      <c r="U5019" s="32">
        <f t="shared" si="373"/>
        <v>2602.7100182170088</v>
      </c>
      <c r="V5019" s="22">
        <f t="shared" si="374"/>
        <v>0.45683299016534867</v>
      </c>
      <c r="X5019" s="33"/>
      <c r="Y5019" s="33"/>
    </row>
    <row r="5020" spans="1:25" x14ac:dyDescent="0.2">
      <c r="A5020" s="93" t="s">
        <v>4175</v>
      </c>
      <c r="B5020" s="94" t="str">
        <f>IFERROR(VLOOKUP($A5020,HeadJournal!$A$1:$NTR$890,COLUMN(HeadJournal!B$1),0),"")</f>
        <v>720000770136</v>
      </c>
      <c r="C5020" s="94" t="str">
        <f>IFERROR(VLOOKUP($A5020,HeadJournal!$A$1:$NTR$890,COLUMN(HeadJournal!C$1),0),"")</f>
        <v>iHerb_MH DLE7202</v>
      </c>
      <c r="D5020" s="125" t="str">
        <f>IFERROR(VLOOKUP($A5020,HeadJournal!$A$1:$NTR$890,COLUMN(HeadJournal!D$1),0),"")</f>
        <v>Доставлен</v>
      </c>
      <c r="E5020" s="95">
        <f>IFERROR(VLOOKUP($A5020,HeadJournal!$A$1:$NTR$890,COLUMN(HeadJournal!G$1),0),"")</f>
        <v>45895</v>
      </c>
      <c r="F5020" s="95" t="str">
        <f t="shared" si="375"/>
        <v>2025 08</v>
      </c>
      <c r="G5020" s="97" t="s">
        <v>5</v>
      </c>
      <c r="H5020" s="161" t="s">
        <v>2174</v>
      </c>
      <c r="I5020" s="97" t="s">
        <v>2005</v>
      </c>
      <c r="J5020" s="97" t="s">
        <v>2175</v>
      </c>
      <c r="K5020" s="29">
        <v>5.78</v>
      </c>
      <c r="L5020" s="29">
        <v>-1.39</v>
      </c>
      <c r="M5020" s="30">
        <f>IFERROR(VLOOKUP($A5020,HeadJournal!$A$1:$J$890,COLUMN(HeadJournal!I$1),0)*($K5020+$L5020)/(SUMIF($A:$A,$A5020,$K:$K)+SUMIF($A:$A,$A5020,$L:$L)),0)</f>
        <v>0</v>
      </c>
      <c r="N5020" s="30">
        <f>IFERROR((VLOOKUP($A5020,HeadJournal!$A$1:$K$890,COLUMN(HeadJournal!K$1),0)-VLOOKUP($A5020,HeadJournal!$A$1:$K$890,COLUMN(HeadJournal!J$1),0))*($K5020+$L5020)/(SUMIF($A:$A,$A5020,$K:$K)+SUMIF($A:$A,$A5020,$L:$L)),0)</f>
        <v>-8.5069410513038517E-16</v>
      </c>
      <c r="O5020" s="30">
        <f>IFERROR((VLOOKUP($A5020,HeadJournal!$A$1:$L$890,COLUMN(HeadJournal!L$1),0)*($K5020+$L5020)/(SUMIF($A:$A,$A5020,$K:$K)+SUMIF($A:$A,$A5020,$L:$L)))/VLOOKUP($A5020,HeadJournal!$A$1:$L$890,COLUMN(HeadJournal!H$1),0),0)</f>
        <v>0.11799288857920424</v>
      </c>
      <c r="P5020" s="30">
        <f>IFERROR(SUM(K5020:O5020)*VLOOKUP($A5020,HeadJournal!$A$1:$L$890,COLUMN(HeadJournal!H$1),0),0)</f>
        <v>404.05010863389469</v>
      </c>
      <c r="Q5020" s="29">
        <v>1100</v>
      </c>
      <c r="R5020" s="31">
        <v>45962</v>
      </c>
      <c r="S5020" s="31" t="s">
        <v>3150</v>
      </c>
      <c r="T5020" s="95" t="str">
        <f t="shared" si="376"/>
        <v>2025 11</v>
      </c>
      <c r="U5020" s="32">
        <f t="shared" si="373"/>
        <v>695.94989136610525</v>
      </c>
      <c r="V5020" s="22">
        <f t="shared" si="374"/>
        <v>1.7224346102000376</v>
      </c>
      <c r="X5020" s="33"/>
      <c r="Y5020" s="33"/>
    </row>
    <row r="5021" spans="1:25" x14ac:dyDescent="0.2">
      <c r="A5021" s="93" t="s">
        <v>4175</v>
      </c>
      <c r="B5021" s="94" t="str">
        <f>IFERROR(VLOOKUP($A5021,HeadJournal!$A$1:$NTR$890,COLUMN(HeadJournal!B$1),0),"")</f>
        <v>720000770136</v>
      </c>
      <c r="C5021" s="94" t="str">
        <f>IFERROR(VLOOKUP($A5021,HeadJournal!$A$1:$NTR$890,COLUMN(HeadJournal!C$1),0),"")</f>
        <v>iHerb_MH DLE7202</v>
      </c>
      <c r="D5021" s="125" t="str">
        <f>IFERROR(VLOOKUP($A5021,HeadJournal!$A$1:$NTR$890,COLUMN(HeadJournal!D$1),0),"")</f>
        <v>Доставлен</v>
      </c>
      <c r="E5021" s="95">
        <f>IFERROR(VLOOKUP($A5021,HeadJournal!$A$1:$NTR$890,COLUMN(HeadJournal!G$1),0),"")</f>
        <v>45895</v>
      </c>
      <c r="F5021" s="95" t="str">
        <f t="shared" si="375"/>
        <v>2025 08</v>
      </c>
      <c r="G5021" s="97" t="s">
        <v>5</v>
      </c>
      <c r="H5021" s="161" t="s">
        <v>2804</v>
      </c>
      <c r="I5021" s="97" t="s">
        <v>2005</v>
      </c>
      <c r="J5021" s="97" t="s">
        <v>2805</v>
      </c>
      <c r="K5021" s="29">
        <v>10.55</v>
      </c>
      <c r="L5021" s="29">
        <v>-2.5299999999999998</v>
      </c>
      <c r="M5021" s="30">
        <f>IFERROR(VLOOKUP($A5021,HeadJournal!$A$1:$J$890,COLUMN(HeadJournal!I$1),0)*($K5021+$L5021)/(SUMIF($A:$A,$A5021,$K:$K)+SUMIF($A:$A,$A5021,$L:$L)),0)</f>
        <v>0</v>
      </c>
      <c r="N5021" s="30">
        <f>IFERROR((VLOOKUP($A5021,HeadJournal!$A$1:$K$890,COLUMN(HeadJournal!K$1),0)-VLOOKUP($A5021,HeadJournal!$A$1:$K$890,COLUMN(HeadJournal!J$1),0))*($K5021+$L5021)/(SUMIF($A:$A,$A5021,$K:$K)+SUMIF($A:$A,$A5021,$L:$L)),0)</f>
        <v>-1.5541154266846672E-15</v>
      </c>
      <c r="O5021" s="30">
        <f>IFERROR((VLOOKUP($A5021,HeadJournal!$A$1:$L$890,COLUMN(HeadJournal!L$1),0)*($K5021+$L5021)/(SUMIF($A:$A,$A5021,$K:$K)+SUMIF($A:$A,$A5021,$L:$L)))/VLOOKUP($A5021,HeadJournal!$A$1:$L$890,COLUMN(HeadJournal!H$1),0),0)</f>
        <v>0.21555876227909296</v>
      </c>
      <c r="P5021" s="30">
        <f>IFERROR(SUM(K5021:O5021)*VLOOKUP($A5021,HeadJournal!$A$1:$L$890,COLUMN(HeadJournal!H$1),0),0)</f>
        <v>738.15076793709238</v>
      </c>
      <c r="Q5021" s="29">
        <v>1700</v>
      </c>
      <c r="R5021" s="31">
        <v>45923</v>
      </c>
      <c r="S5021" s="31" t="s">
        <v>3437</v>
      </c>
      <c r="T5021" s="95" t="str">
        <f t="shared" si="376"/>
        <v>2025 09</v>
      </c>
      <c r="U5021" s="32">
        <f t="shared" si="373"/>
        <v>961.84923206290762</v>
      </c>
      <c r="V5021" s="22">
        <f t="shared" si="374"/>
        <v>1.303052538644625</v>
      </c>
      <c r="X5021" s="33"/>
      <c r="Y5021" s="33"/>
    </row>
    <row r="5022" spans="1:25" x14ac:dyDescent="0.2">
      <c r="A5022" s="93" t="s">
        <v>4175</v>
      </c>
      <c r="B5022" s="94" t="str">
        <f>IFERROR(VLOOKUP($A5022,HeadJournal!$A$1:$NTR$890,COLUMN(HeadJournal!B$1),0),"")</f>
        <v>720000770136</v>
      </c>
      <c r="C5022" s="94" t="str">
        <f>IFERROR(VLOOKUP($A5022,HeadJournal!$A$1:$NTR$890,COLUMN(HeadJournal!C$1),0),"")</f>
        <v>iHerb_MH DLE7202</v>
      </c>
      <c r="D5022" s="125" t="str">
        <f>IFERROR(VLOOKUP($A5022,HeadJournal!$A$1:$NTR$890,COLUMN(HeadJournal!D$1),0),"")</f>
        <v>Доставлен</v>
      </c>
      <c r="E5022" s="95">
        <f>IFERROR(VLOOKUP($A5022,HeadJournal!$A$1:$NTR$890,COLUMN(HeadJournal!G$1),0),"")</f>
        <v>45895</v>
      </c>
      <c r="F5022" s="95" t="str">
        <f t="shared" si="375"/>
        <v>2025 08</v>
      </c>
      <c r="G5022" s="97" t="s">
        <v>5</v>
      </c>
      <c r="H5022" s="161" t="s">
        <v>2471</v>
      </c>
      <c r="I5022" s="97" t="s">
        <v>2039</v>
      </c>
      <c r="J5022" s="97" t="s">
        <v>2472</v>
      </c>
      <c r="K5022" s="29">
        <v>20.07</v>
      </c>
      <c r="L5022" s="29">
        <v>-4.82</v>
      </c>
      <c r="M5022" s="30">
        <f>IFERROR(VLOOKUP($A5022,HeadJournal!$A$1:$J$890,COLUMN(HeadJournal!I$1),0)*($K5022+$L5022)/(SUMIF($A:$A,$A5022,$K:$K)+SUMIF($A:$A,$A5022,$L:$L)),0)</f>
        <v>0</v>
      </c>
      <c r="N5022" s="30">
        <f>IFERROR((VLOOKUP($A5022,HeadJournal!$A$1:$K$890,COLUMN(HeadJournal!K$1),0)-VLOOKUP($A5022,HeadJournal!$A$1:$K$890,COLUMN(HeadJournal!J$1),0))*($K5022+$L5022)/(SUMIF($A:$A,$A5022,$K:$K)+SUMIF($A:$A,$A5022,$L:$L)),0)</f>
        <v>-2.9551446704415429E-15</v>
      </c>
      <c r="O5022" s="30">
        <f>IFERROR((VLOOKUP($A5022,HeadJournal!$A$1:$L$890,COLUMN(HeadJournal!L$1),0)*($K5022+$L5022)/(SUMIF($A:$A,$A5022,$K:$K)+SUMIF($A:$A,$A5022,$L:$L)))/VLOOKUP($A5022,HeadJournal!$A$1:$L$890,COLUMN(HeadJournal!H$1),0),0)</f>
        <v>0.40988418014416045</v>
      </c>
      <c r="P5022" s="30">
        <f>IFERROR(SUM(K5022:O5022)*VLOOKUP($A5022,HeadJournal!$A$1:$L$890,COLUMN(HeadJournal!H$1),0),0)</f>
        <v>1403.5909240699073</v>
      </c>
      <c r="Q5022" s="29">
        <v>2600</v>
      </c>
      <c r="R5022" s="31">
        <v>45924</v>
      </c>
      <c r="S5022" s="31" t="s">
        <v>3121</v>
      </c>
      <c r="T5022" s="95" t="str">
        <f t="shared" si="376"/>
        <v>2025 09</v>
      </c>
      <c r="U5022" s="32">
        <f t="shared" si="373"/>
        <v>1196.4090759300927</v>
      </c>
      <c r="V5022" s="22">
        <f t="shared" si="374"/>
        <v>0.85239157322344183</v>
      </c>
      <c r="X5022" s="33"/>
      <c r="Y5022" s="33"/>
    </row>
    <row r="5023" spans="1:25" x14ac:dyDescent="0.2">
      <c r="A5023" s="93" t="s">
        <v>4175</v>
      </c>
      <c r="B5023" s="94" t="str">
        <f>IFERROR(VLOOKUP($A5023,HeadJournal!$A$1:$NTR$890,COLUMN(HeadJournal!B$1),0),"")</f>
        <v>720000770136</v>
      </c>
      <c r="C5023" s="94" t="str">
        <f>IFERROR(VLOOKUP($A5023,HeadJournal!$A$1:$NTR$890,COLUMN(HeadJournal!C$1),0),"")</f>
        <v>iHerb_MH DLE7202</v>
      </c>
      <c r="D5023" s="125" t="str">
        <f>IFERROR(VLOOKUP($A5023,HeadJournal!$A$1:$NTR$890,COLUMN(HeadJournal!D$1),0),"")</f>
        <v>Доставлен</v>
      </c>
      <c r="E5023" s="95">
        <f>IFERROR(VLOOKUP($A5023,HeadJournal!$A$1:$NTR$890,COLUMN(HeadJournal!G$1),0),"")</f>
        <v>45895</v>
      </c>
      <c r="F5023" s="95" t="str">
        <f t="shared" si="375"/>
        <v>2025 08</v>
      </c>
      <c r="G5023" s="97" t="s">
        <v>5</v>
      </c>
      <c r="H5023" s="161" t="s">
        <v>3626</v>
      </c>
      <c r="I5023" s="97" t="s">
        <v>3668</v>
      </c>
      <c r="J5023" s="97" t="s">
        <v>4169</v>
      </c>
      <c r="K5023" s="29">
        <v>53.84</v>
      </c>
      <c r="L5023" s="29">
        <v>-12.92</v>
      </c>
      <c r="M5023" s="30">
        <f>IFERROR(VLOOKUP($A5023,HeadJournal!$A$1:$J$890,COLUMN(HeadJournal!I$1),0)*($K5023+$L5023)/(SUMIF($A:$A,$A5023,$K:$K)+SUMIF($A:$A,$A5023,$L:$L)),0)</f>
        <v>0</v>
      </c>
      <c r="N5023" s="30">
        <f>IFERROR((VLOOKUP($A5023,HeadJournal!$A$1:$K$890,COLUMN(HeadJournal!K$1),0)-VLOOKUP($A5023,HeadJournal!$A$1:$K$890,COLUMN(HeadJournal!J$1),0))*($K5023+$L5023)/(SUMIF($A:$A,$A5023,$K:$K)+SUMIF($A:$A,$A5023,$L:$L)),0)</f>
        <v>-7.9294767157028145E-15</v>
      </c>
      <c r="O5023" s="30">
        <f>IFERROR((VLOOKUP($A5023,HeadJournal!$A$1:$L$890,COLUMN(HeadJournal!L$1),0)*($K5023+$L5023)/(SUMIF($A:$A,$A5023,$K:$K)+SUMIF($A:$A,$A5023,$L:$L)))/VLOOKUP($A5023,HeadJournal!$A$1:$L$890,COLUMN(HeadJournal!H$1),0),0)</f>
        <v>1.0998334853441998</v>
      </c>
      <c r="P5023" s="30">
        <f>IFERROR(SUM(K5023:O5023)*VLOOKUP($A5023,HeadJournal!$A$1:$L$890,COLUMN(HeadJournal!H$1),0),0)</f>
        <v>3766.2256139633187</v>
      </c>
      <c r="Q5023" s="29">
        <v>5500</v>
      </c>
      <c r="R5023" s="31">
        <v>45936</v>
      </c>
      <c r="S5023" s="31" t="s">
        <v>3282</v>
      </c>
      <c r="T5023" s="95" t="str">
        <f t="shared" si="376"/>
        <v>2025 10</v>
      </c>
      <c r="U5023" s="32">
        <f t="shared" si="373"/>
        <v>1733.7743860366813</v>
      </c>
      <c r="V5023" s="22">
        <f t="shared" si="374"/>
        <v>0.46034798860925796</v>
      </c>
      <c r="X5023" s="33"/>
      <c r="Y5023" s="33"/>
    </row>
    <row r="5024" spans="1:25" x14ac:dyDescent="0.2">
      <c r="A5024" s="93" t="s">
        <v>4175</v>
      </c>
      <c r="B5024" s="94" t="str">
        <f>IFERROR(VLOOKUP($A5024,HeadJournal!$A$1:$NTR$890,COLUMN(HeadJournal!B$1),0),"")</f>
        <v>720000770136</v>
      </c>
      <c r="C5024" s="94" t="str">
        <f>IFERROR(VLOOKUP($A5024,HeadJournal!$A$1:$NTR$890,COLUMN(HeadJournal!C$1),0),"")</f>
        <v>iHerb_MH DLE7202</v>
      </c>
      <c r="D5024" s="125" t="str">
        <f>IFERROR(VLOOKUP($A5024,HeadJournal!$A$1:$NTR$890,COLUMN(HeadJournal!D$1),0),"")</f>
        <v>Доставлен</v>
      </c>
      <c r="E5024" s="95">
        <f>IFERROR(VLOOKUP($A5024,HeadJournal!$A$1:$NTR$890,COLUMN(HeadJournal!G$1),0),"")</f>
        <v>45895</v>
      </c>
      <c r="F5024" s="95" t="str">
        <f t="shared" si="375"/>
        <v>2025 08</v>
      </c>
      <c r="G5024" s="97" t="s">
        <v>5</v>
      </c>
      <c r="H5024" s="161" t="s">
        <v>4170</v>
      </c>
      <c r="I5024" s="97" t="s">
        <v>2048</v>
      </c>
      <c r="J5024" s="97" t="s">
        <v>4171</v>
      </c>
      <c r="K5024" s="29">
        <v>10.89</v>
      </c>
      <c r="L5024" s="29">
        <v>-2.61</v>
      </c>
      <c r="M5024" s="30">
        <f>IFERROR(VLOOKUP($A5024,HeadJournal!$A$1:$J$890,COLUMN(HeadJournal!I$1),0)*($K5024+$L5024)/(SUMIF($A:$A,$A5024,$K:$K)+SUMIF($A:$A,$A5024,$L:$L)),0)</f>
        <v>0</v>
      </c>
      <c r="N5024" s="30">
        <f>IFERROR((VLOOKUP($A5024,HeadJournal!$A$1:$K$890,COLUMN(HeadJournal!K$1),0)-VLOOKUP($A5024,HeadJournal!$A$1:$K$890,COLUMN(HeadJournal!J$1),0))*($K5024+$L5024)/(SUMIF($A:$A,$A5024,$K:$K)+SUMIF($A:$A,$A5024,$L:$L)),0)</f>
        <v>-1.6044982210659657E-15</v>
      </c>
      <c r="O5024" s="30">
        <f>IFERROR((VLOOKUP($A5024,HeadJournal!$A$1:$L$890,COLUMN(HeadJournal!L$1),0)*($K5024+$L5024)/(SUMIF($A:$A,$A5024,$K:$K)+SUMIF($A:$A,$A5024,$L:$L)))/VLOOKUP($A5024,HeadJournal!$A$1:$L$890,COLUMN(HeadJournal!H$1),0),0)</f>
        <v>0.22254695157991142</v>
      </c>
      <c r="P5024" s="30">
        <f>IFERROR(SUM(K5024:O5024)*VLOOKUP($A5024,HeadJournal!$A$1:$L$890,COLUMN(HeadJournal!H$1),0),0)</f>
        <v>762.08084270812026</v>
      </c>
      <c r="Q5024" s="29">
        <v>1600</v>
      </c>
      <c r="R5024" s="31">
        <v>45936</v>
      </c>
      <c r="S5024" s="31" t="s">
        <v>3282</v>
      </c>
      <c r="T5024" s="95" t="str">
        <f t="shared" si="376"/>
        <v>2025 10</v>
      </c>
      <c r="U5024" s="32">
        <f t="shared" si="373"/>
        <v>837.91915729187974</v>
      </c>
      <c r="V5024" s="22">
        <f t="shared" si="374"/>
        <v>1.0995147894208461</v>
      </c>
      <c r="X5024" s="33"/>
      <c r="Y5024" s="33"/>
    </row>
    <row r="5025" spans="1:25" x14ac:dyDescent="0.2">
      <c r="A5025" s="93" t="s">
        <v>4175</v>
      </c>
      <c r="B5025" s="94" t="str">
        <f>IFERROR(VLOOKUP($A5025,HeadJournal!$A$1:$NTR$890,COLUMN(HeadJournal!B$1),0),"")</f>
        <v>720000770136</v>
      </c>
      <c r="C5025" s="94" t="str">
        <f>IFERROR(VLOOKUP($A5025,HeadJournal!$A$1:$NTR$890,COLUMN(HeadJournal!C$1),0),"")</f>
        <v>iHerb_MH DLE7202</v>
      </c>
      <c r="D5025" s="125" t="str">
        <f>IFERROR(VLOOKUP($A5025,HeadJournal!$A$1:$NTR$890,COLUMN(HeadJournal!D$1),0),"")</f>
        <v>Доставлен</v>
      </c>
      <c r="E5025" s="95">
        <f>IFERROR(VLOOKUP($A5025,HeadJournal!$A$1:$NTR$890,COLUMN(HeadJournal!G$1),0),"")</f>
        <v>45895</v>
      </c>
      <c r="F5025" s="95" t="str">
        <f t="shared" si="375"/>
        <v>2025 08</v>
      </c>
      <c r="G5025" s="97" t="s">
        <v>5</v>
      </c>
      <c r="H5025" s="161" t="s">
        <v>2027</v>
      </c>
      <c r="I5025" s="97" t="s">
        <v>2005</v>
      </c>
      <c r="J5025" s="97" t="s">
        <v>4110</v>
      </c>
      <c r="K5025" s="29">
        <v>8.06</v>
      </c>
      <c r="L5025" s="29">
        <v>-1.9350000000000001</v>
      </c>
      <c r="M5025" s="30">
        <f>IFERROR(VLOOKUP($A5025,HeadJournal!$A$1:$J$890,COLUMN(HeadJournal!I$1),0)*($K5025+$L5025)/(SUMIF($A:$A,$A5025,$K:$K)+SUMIF($A:$A,$A5025,$L:$L)),0)</f>
        <v>0</v>
      </c>
      <c r="N5025" s="30">
        <f>IFERROR((VLOOKUP($A5025,HeadJournal!$A$1:$K$890,COLUMN(HeadJournal!K$1),0)-VLOOKUP($A5025,HeadJournal!$A$1:$K$890,COLUMN(HeadJournal!J$1),0))*($K5025+$L5025)/(SUMIF($A:$A,$A5025,$K:$K)+SUMIF($A:$A,$A5025,$L:$L)),0)</f>
        <v>-1.1869023676363574E-15</v>
      </c>
      <c r="O5025" s="30">
        <f>IFERROR((VLOOKUP($A5025,HeadJournal!$A$1:$L$890,COLUMN(HeadJournal!L$1),0)*($K5025+$L5025)/(SUMIF($A:$A,$A5025,$K:$K)+SUMIF($A:$A,$A5025,$L:$L)))/VLOOKUP($A5025,HeadJournal!$A$1:$L$890,COLUMN(HeadJournal!H$1),0),0)</f>
        <v>0.16462561333658904</v>
      </c>
      <c r="P5025" s="30">
        <f>IFERROR(SUM(K5025:O5025)*VLOOKUP($A5025,HeadJournal!$A$1:$L$890,COLUMN(HeadJournal!H$1),0),0)</f>
        <v>563.73733835594635</v>
      </c>
      <c r="Q5025" s="29">
        <v>1100</v>
      </c>
      <c r="R5025" s="31">
        <v>46076</v>
      </c>
      <c r="S5025" s="31" t="s">
        <v>4457</v>
      </c>
      <c r="T5025" s="95" t="str">
        <f t="shared" si="376"/>
        <v>2026 02</v>
      </c>
      <c r="U5025" s="32">
        <f t="shared" si="373"/>
        <v>536.26266164405365</v>
      </c>
      <c r="V5025" s="22">
        <f t="shared" si="374"/>
        <v>0.95126333694337439</v>
      </c>
      <c r="X5025" s="33"/>
      <c r="Y5025" s="33"/>
    </row>
    <row r="5026" spans="1:25" x14ac:dyDescent="0.2">
      <c r="A5026" s="93" t="s">
        <v>4175</v>
      </c>
      <c r="B5026" s="94" t="str">
        <f>IFERROR(VLOOKUP($A5026,HeadJournal!$A$1:$NTR$890,COLUMN(HeadJournal!B$1),0),"")</f>
        <v>720000770136</v>
      </c>
      <c r="C5026" s="94" t="str">
        <f>IFERROR(VLOOKUP($A5026,HeadJournal!$A$1:$NTR$890,COLUMN(HeadJournal!C$1),0),"")</f>
        <v>iHerb_MH DLE7202</v>
      </c>
      <c r="D5026" s="125" t="str">
        <f>IFERROR(VLOOKUP($A5026,HeadJournal!$A$1:$NTR$890,COLUMN(HeadJournal!D$1),0),"")</f>
        <v>Доставлен</v>
      </c>
      <c r="E5026" s="95">
        <f>IFERROR(VLOOKUP($A5026,HeadJournal!$A$1:$NTR$890,COLUMN(HeadJournal!G$1),0),"")</f>
        <v>45895</v>
      </c>
      <c r="F5026" s="95" t="str">
        <f t="shared" si="375"/>
        <v>2025 08</v>
      </c>
      <c r="G5026" s="97" t="s">
        <v>5</v>
      </c>
      <c r="H5026" s="161" t="s">
        <v>2027</v>
      </c>
      <c r="I5026" s="97" t="s">
        <v>2005</v>
      </c>
      <c r="J5026" s="97" t="s">
        <v>4110</v>
      </c>
      <c r="K5026" s="29">
        <v>8.06</v>
      </c>
      <c r="L5026" s="29">
        <v>-1.9350000000000001</v>
      </c>
      <c r="M5026" s="30">
        <f>IFERROR(VLOOKUP($A5026,HeadJournal!$A$1:$J$890,COLUMN(HeadJournal!I$1),0)*($K5026+$L5026)/(SUMIF($A:$A,$A5026,$K:$K)+SUMIF($A:$A,$A5026,$L:$L)),0)</f>
        <v>0</v>
      </c>
      <c r="N5026" s="30">
        <f>IFERROR((VLOOKUP($A5026,HeadJournal!$A$1:$K$890,COLUMN(HeadJournal!K$1),0)-VLOOKUP($A5026,HeadJournal!$A$1:$K$890,COLUMN(HeadJournal!J$1),0))*($K5026+$L5026)/(SUMIF($A:$A,$A5026,$K:$K)+SUMIF($A:$A,$A5026,$L:$L)),0)</f>
        <v>-1.1869023676363574E-15</v>
      </c>
      <c r="O5026" s="30">
        <f>IFERROR((VLOOKUP($A5026,HeadJournal!$A$1:$L$890,COLUMN(HeadJournal!L$1),0)*($K5026+$L5026)/(SUMIF($A:$A,$A5026,$K:$K)+SUMIF($A:$A,$A5026,$L:$L)))/VLOOKUP($A5026,HeadJournal!$A$1:$L$890,COLUMN(HeadJournal!H$1),0),0)</f>
        <v>0.16462561333658904</v>
      </c>
      <c r="P5026" s="30">
        <f>IFERROR(SUM(K5026:O5026)*VLOOKUP($A5026,HeadJournal!$A$1:$L$890,COLUMN(HeadJournal!H$1),0),0)</f>
        <v>563.73733835594635</v>
      </c>
      <c r="Q5026" s="29">
        <v>1200</v>
      </c>
      <c r="R5026" s="31">
        <v>46079</v>
      </c>
      <c r="S5026" s="31"/>
      <c r="T5026" s="95" t="str">
        <f t="shared" si="376"/>
        <v>2026 02</v>
      </c>
      <c r="U5026" s="32">
        <f t="shared" si="373"/>
        <v>636.26266164405365</v>
      </c>
      <c r="V5026" s="22">
        <f t="shared" si="374"/>
        <v>1.1286509130291358</v>
      </c>
      <c r="X5026" s="33"/>
      <c r="Y5026" s="33"/>
    </row>
    <row r="5027" spans="1:25" x14ac:dyDescent="0.2">
      <c r="A5027" s="93" t="s">
        <v>4175</v>
      </c>
      <c r="B5027" s="94" t="str">
        <f>IFERROR(VLOOKUP($A5027,HeadJournal!$A$1:$NTR$890,COLUMN(HeadJournal!B$1),0),"")</f>
        <v>720000770136</v>
      </c>
      <c r="C5027" s="94" t="str">
        <f>IFERROR(VLOOKUP($A5027,HeadJournal!$A$1:$NTR$890,COLUMN(HeadJournal!C$1),0),"")</f>
        <v>iHerb_MH DLE7202</v>
      </c>
      <c r="D5027" s="125" t="str">
        <f>IFERROR(VLOOKUP($A5027,HeadJournal!$A$1:$NTR$890,COLUMN(HeadJournal!D$1),0),"")</f>
        <v>Доставлен</v>
      </c>
      <c r="E5027" s="95">
        <f>IFERROR(VLOOKUP($A5027,HeadJournal!$A$1:$NTR$890,COLUMN(HeadJournal!G$1),0),"")</f>
        <v>45895</v>
      </c>
      <c r="F5027" s="95" t="str">
        <f t="shared" si="375"/>
        <v>2025 08</v>
      </c>
      <c r="G5027" s="97" t="s">
        <v>5</v>
      </c>
      <c r="H5027" s="161" t="s">
        <v>2773</v>
      </c>
      <c r="I5027" s="97" t="s">
        <v>2005</v>
      </c>
      <c r="J5027" s="97" t="s">
        <v>2774</v>
      </c>
      <c r="K5027" s="29">
        <v>14.28</v>
      </c>
      <c r="L5027" s="29">
        <v>-3.43</v>
      </c>
      <c r="M5027" s="30">
        <f>IFERROR(VLOOKUP($A5027,HeadJournal!$A$1:$J$890,COLUMN(HeadJournal!I$1),0)*($K5027+$L5027)/(SUMIF($A:$A,$A5027,$K:$K)+SUMIF($A:$A,$A5027,$L:$L)),0)</f>
        <v>0</v>
      </c>
      <c r="N5027" s="30">
        <f>IFERROR((VLOOKUP($A5027,HeadJournal!$A$1:$K$890,COLUMN(HeadJournal!K$1),0)-VLOOKUP($A5027,HeadJournal!$A$1:$K$890,COLUMN(HeadJournal!J$1),0))*($K5027+$L5027)/(SUMIF($A:$A,$A5027,$K:$K)+SUMIF($A:$A,$A5027,$L:$L)),0)</f>
        <v>-2.1025127655272614E-15</v>
      </c>
      <c r="O5027" s="30">
        <f>IFERROR((VLOOKUP($A5027,HeadJournal!$A$1:$L$890,COLUMN(HeadJournal!L$1),0)*($K5027+$L5027)/(SUMIF($A:$A,$A5027,$K:$K)+SUMIF($A:$A,$A5027,$L:$L)))/VLOOKUP($A5027,HeadJournal!$A$1:$L$890,COLUMN(HeadJournal!H$1),0),0)</f>
        <v>0.29162251505338627</v>
      </c>
      <c r="P5027" s="30">
        <f>IFERROR(SUM(K5027:O5027)*VLOOKUP($A5027,HeadJournal!$A$1:$L$890,COLUMN(HeadJournal!H$1),0),0)</f>
        <v>998.62042794481943</v>
      </c>
      <c r="Q5027" s="29">
        <v>2000</v>
      </c>
      <c r="R5027" s="31">
        <v>45923</v>
      </c>
      <c r="S5027" s="31" t="s">
        <v>3497</v>
      </c>
      <c r="T5027" s="95" t="str">
        <f t="shared" si="376"/>
        <v>2025 09</v>
      </c>
      <c r="U5027" s="32">
        <f t="shared" si="373"/>
        <v>1001.3795720551806</v>
      </c>
      <c r="V5027" s="22">
        <f t="shared" si="374"/>
        <v>1.0027629558069822</v>
      </c>
      <c r="X5027" s="33"/>
      <c r="Y5027" s="33"/>
    </row>
    <row r="5028" spans="1:25" x14ac:dyDescent="0.2">
      <c r="A5028" s="93" t="s">
        <v>4175</v>
      </c>
      <c r="B5028" s="94" t="str">
        <f>IFERROR(VLOOKUP($A5028,HeadJournal!$A$1:$NTR$890,COLUMN(HeadJournal!B$1),0),"")</f>
        <v>720000770136</v>
      </c>
      <c r="C5028" s="94" t="str">
        <f>IFERROR(VLOOKUP($A5028,HeadJournal!$A$1:$NTR$890,COLUMN(HeadJournal!C$1),0),"")</f>
        <v>iHerb_MH DLE7202</v>
      </c>
      <c r="D5028" s="125" t="str">
        <f>IFERROR(VLOOKUP($A5028,HeadJournal!$A$1:$NTR$890,COLUMN(HeadJournal!D$1),0),"")</f>
        <v>Доставлен</v>
      </c>
      <c r="E5028" s="95">
        <f>IFERROR(VLOOKUP($A5028,HeadJournal!$A$1:$NTR$890,COLUMN(HeadJournal!G$1),0),"")</f>
        <v>45895</v>
      </c>
      <c r="F5028" s="95" t="str">
        <f t="shared" si="375"/>
        <v>2025 08</v>
      </c>
      <c r="G5028" s="97" t="s">
        <v>5</v>
      </c>
      <c r="H5028" s="161" t="s">
        <v>2614</v>
      </c>
      <c r="I5028" s="97" t="s">
        <v>2005</v>
      </c>
      <c r="J5028" s="97" t="s">
        <v>2641</v>
      </c>
      <c r="K5028" s="29">
        <v>5.57</v>
      </c>
      <c r="L5028" s="29">
        <v>-1.34</v>
      </c>
      <c r="M5028" s="30">
        <f>IFERROR(VLOOKUP($A5028,HeadJournal!$A$1:$J$890,COLUMN(HeadJournal!I$1),0)*($K5028+$L5028)/(SUMIF($A:$A,$A5028,$K:$K)+SUMIF($A:$A,$A5028,$L:$L)),0)</f>
        <v>0</v>
      </c>
      <c r="N5028" s="30">
        <f>IFERROR((VLOOKUP($A5028,HeadJournal!$A$1:$K$890,COLUMN(HeadJournal!K$1),0)-VLOOKUP($A5028,HeadJournal!$A$1:$K$890,COLUMN(HeadJournal!J$1),0))*($K5028+$L5028)/(SUMIF($A:$A,$A5028,$K:$K)+SUMIF($A:$A,$A5028,$L:$L)),0)</f>
        <v>-8.1968930858804768E-16</v>
      </c>
      <c r="O5028" s="30">
        <f>IFERROR((VLOOKUP($A5028,HeadJournal!$A$1:$L$890,COLUMN(HeadJournal!L$1),0)*($K5028+$L5028)/(SUMIF($A:$A,$A5028,$K:$K)+SUMIF($A:$A,$A5028,$L:$L)))/VLOOKUP($A5028,HeadJournal!$A$1:$L$890,COLUMN(HeadJournal!H$1),0),0)</f>
        <v>0.11369246439408519</v>
      </c>
      <c r="P5028" s="30">
        <f>IFERROR(SUM(K5028:O5028)*VLOOKUP($A5028,HeadJournal!$A$1:$L$890,COLUMN(HeadJournal!H$1),0),0)</f>
        <v>389.3239087748006</v>
      </c>
      <c r="Q5028" s="29">
        <v>1000</v>
      </c>
      <c r="R5028" s="31">
        <v>46093</v>
      </c>
      <c r="S5028" s="31" t="s">
        <v>3384</v>
      </c>
      <c r="T5028" s="95" t="str">
        <f t="shared" si="376"/>
        <v>2026 03</v>
      </c>
      <c r="U5028" s="32">
        <f t="shared" si="373"/>
        <v>610.67609122519934</v>
      </c>
      <c r="V5028" s="22">
        <f t="shared" si="374"/>
        <v>1.5685553274829496</v>
      </c>
      <c r="X5028" s="33"/>
      <c r="Y5028" s="33"/>
    </row>
    <row r="5029" spans="1:25" x14ac:dyDescent="0.2">
      <c r="A5029" s="93" t="s">
        <v>4175</v>
      </c>
      <c r="B5029" s="94" t="str">
        <f>IFERROR(VLOOKUP($A5029,HeadJournal!$A$1:$NTR$890,COLUMN(HeadJournal!B$1),0),"")</f>
        <v>720000770136</v>
      </c>
      <c r="C5029" s="94" t="str">
        <f>IFERROR(VLOOKUP($A5029,HeadJournal!$A$1:$NTR$890,COLUMN(HeadJournal!C$1),0),"")</f>
        <v>iHerb_MH DLE7202</v>
      </c>
      <c r="D5029" s="125" t="str">
        <f>IFERROR(VLOOKUP($A5029,HeadJournal!$A$1:$NTR$890,COLUMN(HeadJournal!D$1),0),"")</f>
        <v>Доставлен</v>
      </c>
      <c r="E5029" s="95">
        <f>IFERROR(VLOOKUP($A5029,HeadJournal!$A$1:$NTR$890,COLUMN(HeadJournal!G$1),0),"")</f>
        <v>45895</v>
      </c>
      <c r="F5029" s="95" t="str">
        <f t="shared" si="375"/>
        <v>2025 08</v>
      </c>
      <c r="G5029" s="97" t="s">
        <v>5</v>
      </c>
      <c r="H5029" s="161" t="s">
        <v>4172</v>
      </c>
      <c r="I5029" s="97" t="s">
        <v>4173</v>
      </c>
      <c r="J5029" s="97" t="s">
        <v>4174</v>
      </c>
      <c r="K5029" s="29">
        <v>55.9</v>
      </c>
      <c r="L5029" s="29">
        <v>-13.42</v>
      </c>
      <c r="M5029" s="30">
        <f>IFERROR(VLOOKUP($A5029,HeadJournal!$A$1:$J$890,COLUMN(HeadJournal!I$1),0)*($K5029+$L5029)/(SUMIF($A:$A,$A5029,$K:$K)+SUMIF($A:$A,$A5029,$L:$L)),0)</f>
        <v>0</v>
      </c>
      <c r="N5029" s="30">
        <f>IFERROR((VLOOKUP($A5029,HeadJournal!$A$1:$K$890,COLUMN(HeadJournal!K$1),0)-VLOOKUP($A5029,HeadJournal!$A$1:$K$890,COLUMN(HeadJournal!J$1),0))*($K5029+$L5029)/(SUMIF($A:$A,$A5029,$K:$K)+SUMIF($A:$A,$A5029,$L:$L)),0)</f>
        <v>-8.2317734819906047E-15</v>
      </c>
      <c r="O5029" s="30">
        <f>IFERROR((VLOOKUP($A5029,HeadJournal!$A$1:$L$890,COLUMN(HeadJournal!L$1),0)*($K5029+$L5029)/(SUMIF($A:$A,$A5029,$K:$K)+SUMIF($A:$A,$A5029,$L:$L)))/VLOOKUP($A5029,HeadJournal!$A$1:$L$890,COLUMN(HeadJournal!H$1),0),0)</f>
        <v>1.1417626211491105</v>
      </c>
      <c r="P5029" s="30">
        <f>IFERROR(SUM(K5029:O5029)*VLOOKUP($A5029,HeadJournal!$A$1:$L$890,COLUMN(HeadJournal!H$1),0),0)</f>
        <v>3909.8060625894864</v>
      </c>
      <c r="Q5029" s="29">
        <v>5500</v>
      </c>
      <c r="R5029" s="31">
        <v>45923</v>
      </c>
      <c r="S5029" s="31" t="s">
        <v>3475</v>
      </c>
      <c r="T5029" s="95" t="str">
        <f t="shared" si="376"/>
        <v>2025 09</v>
      </c>
      <c r="U5029" s="32">
        <f t="shared" si="373"/>
        <v>1590.1939374105136</v>
      </c>
      <c r="V5029" s="22">
        <f t="shared" si="374"/>
        <v>0.40671939015750547</v>
      </c>
      <c r="X5029" s="33"/>
      <c r="Y5029" s="33"/>
    </row>
    <row r="5030" spans="1:25" x14ac:dyDescent="0.2">
      <c r="A5030" s="93" t="s">
        <v>4178</v>
      </c>
      <c r="B5030" s="94" t="str">
        <f>IFERROR(VLOOKUP($A5030,HeadJournal!$A$1:$NTR$890,COLUMN(HeadJournal!B$1),0),"")</f>
        <v>722500521438</v>
      </c>
      <c r="C5030" s="94" t="str">
        <f>IFERROR(VLOOKUP($A5030,HeadJournal!$A$1:$NTR$890,COLUMN(HeadJournal!C$1),0),"")</f>
        <v>iHerb_MH DLE7202</v>
      </c>
      <c r="D5030" s="125" t="str">
        <f>IFERROR(VLOOKUP($A5030,HeadJournal!$A$1:$NTR$890,COLUMN(HeadJournal!D$1),0),"")</f>
        <v>Доставлен</v>
      </c>
      <c r="E5030" s="95">
        <f>IFERROR(VLOOKUP($A5030,HeadJournal!$A$1:$NTR$890,COLUMN(HeadJournal!G$1),0),"")</f>
        <v>45900</v>
      </c>
      <c r="F5030" s="95" t="str">
        <f t="shared" si="375"/>
        <v>2025 08</v>
      </c>
      <c r="G5030" s="97" t="s">
        <v>5</v>
      </c>
      <c r="H5030" s="161" t="s">
        <v>3794</v>
      </c>
      <c r="I5030" s="97" t="s">
        <v>2009</v>
      </c>
      <c r="J5030" s="97" t="s">
        <v>3795</v>
      </c>
      <c r="K5030" s="29">
        <v>13.05</v>
      </c>
      <c r="L5030" s="29">
        <v>-3.78</v>
      </c>
      <c r="M5030" s="30">
        <f>IFERROR(VLOOKUP($A5030,HeadJournal!$A$1:$J$890,COLUMN(HeadJournal!I$1),0)*($K5030+$L5030)/(SUMIF($A:$A,$A5030,$K:$K)+SUMIF($A:$A,$A5030,$L:$L)),0)</f>
        <v>0</v>
      </c>
      <c r="N5030" s="30">
        <f>IFERROR((VLOOKUP($A5030,HeadJournal!$A$1:$K$890,COLUMN(HeadJournal!K$1),0)-VLOOKUP($A5030,HeadJournal!$A$1:$K$890,COLUMN(HeadJournal!J$1),0))*($K5030+$L5030)/(SUMIF($A:$A,$A5030,$K:$K)+SUMIF($A:$A,$A5030,$L:$L)),0)</f>
        <v>0</v>
      </c>
      <c r="O5030" s="30">
        <f>IFERROR((VLOOKUP($A5030,HeadJournal!$A$1:$L$890,COLUMN(HeadJournal!L$1),0)*($K5030+$L5030)/(SUMIF($A:$A,$A5030,$K:$K)+SUMIF($A:$A,$A5030,$L:$L)))/VLOOKUP($A5030,HeadJournal!$A$1:$L$890,COLUMN(HeadJournal!H$1),0),0)</f>
        <v>0.20326462069868567</v>
      </c>
      <c r="P5030" s="30">
        <f>IFERROR(SUM(K5030:O5030)*VLOOKUP($A5030,HeadJournal!$A$1:$L$890,COLUMN(HeadJournal!H$1),0),0)</f>
        <v>849.05668780243639</v>
      </c>
      <c r="Q5030" s="29">
        <v>2000</v>
      </c>
      <c r="R5030" s="31">
        <v>45923</v>
      </c>
      <c r="S5030" s="31" t="s">
        <v>3235</v>
      </c>
      <c r="T5030" s="95" t="str">
        <f t="shared" si="376"/>
        <v>2025 09</v>
      </c>
      <c r="U5030" s="32">
        <f t="shared" si="373"/>
        <v>1150.9433121975635</v>
      </c>
      <c r="V5030" s="22">
        <f t="shared" si="374"/>
        <v>1.3555553224325723</v>
      </c>
      <c r="X5030" s="33"/>
      <c r="Y5030" s="33"/>
    </row>
    <row r="5031" spans="1:25" x14ac:dyDescent="0.2">
      <c r="A5031" s="93" t="s">
        <v>4178</v>
      </c>
      <c r="B5031" s="94" t="str">
        <f>IFERROR(VLOOKUP($A5031,HeadJournal!$A$1:$NTR$890,COLUMN(HeadJournal!B$1),0),"")</f>
        <v>722500521438</v>
      </c>
      <c r="C5031" s="94" t="str">
        <f>IFERROR(VLOOKUP($A5031,HeadJournal!$A$1:$NTR$890,COLUMN(HeadJournal!C$1),0),"")</f>
        <v>iHerb_MH DLE7202</v>
      </c>
      <c r="D5031" s="125" t="str">
        <f>IFERROR(VLOOKUP($A5031,HeadJournal!$A$1:$NTR$890,COLUMN(HeadJournal!D$1),0),"")</f>
        <v>Доставлен</v>
      </c>
      <c r="E5031" s="95">
        <f>IFERROR(VLOOKUP($A5031,HeadJournal!$A$1:$NTR$890,COLUMN(HeadJournal!G$1),0),"")</f>
        <v>45900</v>
      </c>
      <c r="F5031" s="95" t="str">
        <f t="shared" si="375"/>
        <v>2025 08</v>
      </c>
      <c r="G5031" s="97" t="s">
        <v>5</v>
      </c>
      <c r="H5031" s="161" t="s">
        <v>3796</v>
      </c>
      <c r="I5031" s="97" t="s">
        <v>2009</v>
      </c>
      <c r="J5031" s="97" t="s">
        <v>3797</v>
      </c>
      <c r="K5031" s="29">
        <v>24.16</v>
      </c>
      <c r="L5031" s="29">
        <v>-7.0049999999999999</v>
      </c>
      <c r="M5031" s="30">
        <f>IFERROR(VLOOKUP($A5031,HeadJournal!$A$1:$J$890,COLUMN(HeadJournal!I$1),0)*($K5031+$L5031)/(SUMIF($A:$A,$A5031,$K:$K)+SUMIF($A:$A,$A5031,$L:$L)),0)</f>
        <v>0</v>
      </c>
      <c r="N5031" s="30">
        <f>IFERROR((VLOOKUP($A5031,HeadJournal!$A$1:$K$890,COLUMN(HeadJournal!K$1),0)-VLOOKUP($A5031,HeadJournal!$A$1:$K$890,COLUMN(HeadJournal!J$1),0))*($K5031+$L5031)/(SUMIF($A:$A,$A5031,$K:$K)+SUMIF($A:$A,$A5031,$L:$L)),0)</f>
        <v>0</v>
      </c>
      <c r="O5031" s="30">
        <f>IFERROR((VLOOKUP($A5031,HeadJournal!$A$1:$L$890,COLUMN(HeadJournal!L$1),0)*($K5031+$L5031)/(SUMIF($A:$A,$A5031,$K:$K)+SUMIF($A:$A,$A5031,$L:$L)))/VLOOKUP($A5031,HeadJournal!$A$1:$L$890,COLUMN(HeadJournal!H$1),0),0)</f>
        <v>0.37616014758208771</v>
      </c>
      <c r="P5031" s="30">
        <f>IFERROR(SUM(K5031:O5031)*VLOOKUP($A5031,HeadJournal!$A$1:$L$890,COLUMN(HeadJournal!H$1),0),0)</f>
        <v>1571.2586277508947</v>
      </c>
      <c r="Q5031" s="29">
        <v>2900</v>
      </c>
      <c r="R5031" s="31">
        <v>45923</v>
      </c>
      <c r="S5031" s="31" t="s">
        <v>3235</v>
      </c>
      <c r="T5031" s="95" t="str">
        <f t="shared" si="376"/>
        <v>2025 09</v>
      </c>
      <c r="U5031" s="32">
        <f t="shared" si="373"/>
        <v>1328.7413722491053</v>
      </c>
      <c r="V5031" s="22">
        <f t="shared" si="374"/>
        <v>0.84565414552476992</v>
      </c>
      <c r="X5031" s="33"/>
      <c r="Y5031" s="33"/>
    </row>
    <row r="5032" spans="1:25" x14ac:dyDescent="0.2">
      <c r="A5032" s="93" t="s">
        <v>4178</v>
      </c>
      <c r="B5032" s="94" t="str">
        <f>IFERROR(VLOOKUP($A5032,HeadJournal!$A$1:$NTR$890,COLUMN(HeadJournal!B$1),0),"")</f>
        <v>722500521438</v>
      </c>
      <c r="C5032" s="94" t="str">
        <f>IFERROR(VLOOKUP($A5032,HeadJournal!$A$1:$NTR$890,COLUMN(HeadJournal!C$1),0),"")</f>
        <v>iHerb_MH DLE7202</v>
      </c>
      <c r="D5032" s="125" t="str">
        <f>IFERROR(VLOOKUP($A5032,HeadJournal!$A$1:$NTR$890,COLUMN(HeadJournal!D$1),0),"")</f>
        <v>Доставлен</v>
      </c>
      <c r="E5032" s="95">
        <f>IFERROR(VLOOKUP($A5032,HeadJournal!$A$1:$NTR$890,COLUMN(HeadJournal!G$1),0),"")</f>
        <v>45900</v>
      </c>
      <c r="F5032" s="95" t="str">
        <f t="shared" si="375"/>
        <v>2025 08</v>
      </c>
      <c r="G5032" s="97" t="s">
        <v>5</v>
      </c>
      <c r="H5032" s="161" t="s">
        <v>3796</v>
      </c>
      <c r="I5032" s="97" t="s">
        <v>2009</v>
      </c>
      <c r="J5032" s="97" t="s">
        <v>3797</v>
      </c>
      <c r="K5032" s="29">
        <v>24.16</v>
      </c>
      <c r="L5032" s="29">
        <v>-7.0049999999999999</v>
      </c>
      <c r="M5032" s="30">
        <f>IFERROR(VLOOKUP($A5032,HeadJournal!$A$1:$J$890,COLUMN(HeadJournal!I$1),0)*($K5032+$L5032)/(SUMIF($A:$A,$A5032,$K:$K)+SUMIF($A:$A,$A5032,$L:$L)),0)</f>
        <v>0</v>
      </c>
      <c r="N5032" s="30">
        <f>IFERROR((VLOOKUP($A5032,HeadJournal!$A$1:$K$890,COLUMN(HeadJournal!K$1),0)-VLOOKUP($A5032,HeadJournal!$A$1:$K$890,COLUMN(HeadJournal!J$1),0))*($K5032+$L5032)/(SUMIF($A:$A,$A5032,$K:$K)+SUMIF($A:$A,$A5032,$L:$L)),0)</f>
        <v>0</v>
      </c>
      <c r="O5032" s="30">
        <f>IFERROR((VLOOKUP($A5032,HeadJournal!$A$1:$L$890,COLUMN(HeadJournal!L$1),0)*($K5032+$L5032)/(SUMIF($A:$A,$A5032,$K:$K)+SUMIF($A:$A,$A5032,$L:$L)))/VLOOKUP($A5032,HeadJournal!$A$1:$L$890,COLUMN(HeadJournal!H$1),0),0)</f>
        <v>0.37616014758208771</v>
      </c>
      <c r="P5032" s="30">
        <f>IFERROR(SUM(K5032:O5032)*VLOOKUP($A5032,HeadJournal!$A$1:$L$890,COLUMN(HeadJournal!H$1),0),0)</f>
        <v>1571.2586277508947</v>
      </c>
      <c r="Q5032" s="29">
        <v>2900</v>
      </c>
      <c r="R5032" s="31">
        <v>45923</v>
      </c>
      <c r="S5032" s="31" t="s">
        <v>3235</v>
      </c>
      <c r="T5032" s="95" t="str">
        <f t="shared" si="376"/>
        <v>2025 09</v>
      </c>
      <c r="U5032" s="32">
        <f t="shared" si="373"/>
        <v>1328.7413722491053</v>
      </c>
      <c r="V5032" s="22">
        <f t="shared" si="374"/>
        <v>0.84565414552476992</v>
      </c>
      <c r="X5032" s="33"/>
      <c r="Y5032" s="33"/>
    </row>
    <row r="5033" spans="1:25" x14ac:dyDescent="0.2">
      <c r="A5033" s="93" t="s">
        <v>4178</v>
      </c>
      <c r="B5033" s="94" t="str">
        <f>IFERROR(VLOOKUP($A5033,HeadJournal!$A$1:$NTR$890,COLUMN(HeadJournal!B$1),0),"")</f>
        <v>722500521438</v>
      </c>
      <c r="C5033" s="94" t="str">
        <f>IFERROR(VLOOKUP($A5033,HeadJournal!$A$1:$NTR$890,COLUMN(HeadJournal!C$1),0),"")</f>
        <v>iHerb_MH DLE7202</v>
      </c>
      <c r="D5033" s="125" t="str">
        <f>IFERROR(VLOOKUP($A5033,HeadJournal!$A$1:$NTR$890,COLUMN(HeadJournal!D$1),0),"")</f>
        <v>Доставлен</v>
      </c>
      <c r="E5033" s="95">
        <f>IFERROR(VLOOKUP($A5033,HeadJournal!$A$1:$NTR$890,COLUMN(HeadJournal!G$1),0),"")</f>
        <v>45900</v>
      </c>
      <c r="F5033" s="95" t="str">
        <f t="shared" si="375"/>
        <v>2025 08</v>
      </c>
      <c r="G5033" s="97" t="s">
        <v>5</v>
      </c>
      <c r="H5033" s="161" t="s">
        <v>2118</v>
      </c>
      <c r="I5033" s="97" t="s">
        <v>2005</v>
      </c>
      <c r="J5033" s="97" t="s">
        <v>2119</v>
      </c>
      <c r="K5033" s="29">
        <v>13.76</v>
      </c>
      <c r="L5033" s="29">
        <v>-3.99</v>
      </c>
      <c r="M5033" s="30">
        <f>IFERROR(VLOOKUP($A5033,HeadJournal!$A$1:$J$890,COLUMN(HeadJournal!I$1),0)*($K5033+$L5033)/(SUMIF($A:$A,$A5033,$K:$K)+SUMIF($A:$A,$A5033,$L:$L)),0)</f>
        <v>0</v>
      </c>
      <c r="N5033" s="30">
        <f>IFERROR((VLOOKUP($A5033,HeadJournal!$A$1:$K$890,COLUMN(HeadJournal!K$1),0)-VLOOKUP($A5033,HeadJournal!$A$1:$K$890,COLUMN(HeadJournal!J$1),0))*($K5033+$L5033)/(SUMIF($A:$A,$A5033,$K:$K)+SUMIF($A:$A,$A5033,$L:$L)),0)</f>
        <v>0</v>
      </c>
      <c r="O5033" s="30">
        <f>IFERROR((VLOOKUP($A5033,HeadJournal!$A$1:$L$890,COLUMN(HeadJournal!L$1),0)*($K5033+$L5033)/(SUMIF($A:$A,$A5033,$K:$K)+SUMIF($A:$A,$A5033,$L:$L)))/VLOOKUP($A5033,HeadJournal!$A$1:$L$890,COLUMN(HeadJournal!H$1),0),0)</f>
        <v>0.21422819247315628</v>
      </c>
      <c r="P5033" s="30">
        <f>IFERROR(SUM(K5033:O5033)*VLOOKUP($A5033,HeadJournal!$A$1:$L$890,COLUMN(HeadJournal!H$1),0),0)</f>
        <v>894.85262565585776</v>
      </c>
      <c r="Q5033" s="29">
        <v>1900</v>
      </c>
      <c r="R5033" s="31">
        <v>46010</v>
      </c>
      <c r="S5033" s="31"/>
      <c r="T5033" s="95" t="str">
        <f t="shared" si="376"/>
        <v>2025 12</v>
      </c>
      <c r="U5033" s="32">
        <f t="shared" si="373"/>
        <v>1005.1473743441422</v>
      </c>
      <c r="V5033" s="22">
        <f t="shared" si="374"/>
        <v>1.1232546516890947</v>
      </c>
      <c r="X5033" s="33"/>
      <c r="Y5033" s="33"/>
    </row>
    <row r="5034" spans="1:25" x14ac:dyDescent="0.2">
      <c r="A5034" s="93" t="s">
        <v>4178</v>
      </c>
      <c r="B5034" s="94" t="str">
        <f>IFERROR(VLOOKUP($A5034,HeadJournal!$A$1:$NTR$890,COLUMN(HeadJournal!B$1),0),"")</f>
        <v>722500521438</v>
      </c>
      <c r="C5034" s="94" t="str">
        <f>IFERROR(VLOOKUP($A5034,HeadJournal!$A$1:$NTR$890,COLUMN(HeadJournal!C$1),0),"")</f>
        <v>iHerb_MH DLE7202</v>
      </c>
      <c r="D5034" s="125" t="str">
        <f>IFERROR(VLOOKUP($A5034,HeadJournal!$A$1:$NTR$890,COLUMN(HeadJournal!D$1),0),"")</f>
        <v>Доставлен</v>
      </c>
      <c r="E5034" s="95">
        <f>IFERROR(VLOOKUP($A5034,HeadJournal!$A$1:$NTR$890,COLUMN(HeadJournal!G$1),0),"")</f>
        <v>45900</v>
      </c>
      <c r="F5034" s="95" t="str">
        <f t="shared" si="375"/>
        <v>2025 08</v>
      </c>
      <c r="G5034" s="97" t="s">
        <v>5</v>
      </c>
      <c r="H5034" s="161" t="s">
        <v>2118</v>
      </c>
      <c r="I5034" s="97" t="s">
        <v>2005</v>
      </c>
      <c r="J5034" s="97" t="s">
        <v>2119</v>
      </c>
      <c r="K5034" s="29">
        <v>13.76</v>
      </c>
      <c r="L5034" s="29">
        <v>-3.99</v>
      </c>
      <c r="M5034" s="30">
        <f>IFERROR(VLOOKUP($A5034,HeadJournal!$A$1:$J$890,COLUMN(HeadJournal!I$1),0)*($K5034+$L5034)/(SUMIF($A:$A,$A5034,$K:$K)+SUMIF($A:$A,$A5034,$L:$L)),0)</f>
        <v>0</v>
      </c>
      <c r="N5034" s="30">
        <f>IFERROR((VLOOKUP($A5034,HeadJournal!$A$1:$K$890,COLUMN(HeadJournal!K$1),0)-VLOOKUP($A5034,HeadJournal!$A$1:$K$890,COLUMN(HeadJournal!J$1),0))*($K5034+$L5034)/(SUMIF($A:$A,$A5034,$K:$K)+SUMIF($A:$A,$A5034,$L:$L)),0)</f>
        <v>0</v>
      </c>
      <c r="O5034" s="30">
        <f>IFERROR((VLOOKUP($A5034,HeadJournal!$A$1:$L$890,COLUMN(HeadJournal!L$1),0)*($K5034+$L5034)/(SUMIF($A:$A,$A5034,$K:$K)+SUMIF($A:$A,$A5034,$L:$L)))/VLOOKUP($A5034,HeadJournal!$A$1:$L$890,COLUMN(HeadJournal!H$1),0),0)</f>
        <v>0.21422819247315628</v>
      </c>
      <c r="P5034" s="30">
        <f>IFERROR(SUM(K5034:O5034)*VLOOKUP($A5034,HeadJournal!$A$1:$L$890,COLUMN(HeadJournal!H$1),0),0)</f>
        <v>894.85262565585776</v>
      </c>
      <c r="Q5034" s="29">
        <v>2000</v>
      </c>
      <c r="R5034" s="31">
        <v>46018</v>
      </c>
      <c r="S5034" s="31" t="s">
        <v>4483</v>
      </c>
      <c r="T5034" s="95" t="str">
        <f t="shared" si="376"/>
        <v>2025 12</v>
      </c>
      <c r="U5034" s="32">
        <f t="shared" si="373"/>
        <v>1105.1473743441422</v>
      </c>
      <c r="V5034" s="22">
        <f t="shared" si="374"/>
        <v>1.2350048965148364</v>
      </c>
      <c r="X5034" s="33"/>
      <c r="Y5034" s="33"/>
    </row>
    <row r="5035" spans="1:25" x14ac:dyDescent="0.2">
      <c r="A5035" s="93" t="s">
        <v>4178</v>
      </c>
      <c r="B5035" s="94" t="str">
        <f>IFERROR(VLOOKUP($A5035,HeadJournal!$A$1:$NTR$890,COLUMN(HeadJournal!B$1),0),"")</f>
        <v>722500521438</v>
      </c>
      <c r="C5035" s="94" t="str">
        <f>IFERROR(VLOOKUP($A5035,HeadJournal!$A$1:$NTR$890,COLUMN(HeadJournal!C$1),0),"")</f>
        <v>iHerb_MH DLE7202</v>
      </c>
      <c r="D5035" s="125" t="str">
        <f>IFERROR(VLOOKUP($A5035,HeadJournal!$A$1:$NTR$890,COLUMN(HeadJournal!D$1),0),"")</f>
        <v>Доставлен</v>
      </c>
      <c r="E5035" s="95">
        <f>IFERROR(VLOOKUP($A5035,HeadJournal!$A$1:$NTR$890,COLUMN(HeadJournal!G$1),0),"")</f>
        <v>45900</v>
      </c>
      <c r="F5035" s="95" t="str">
        <f t="shared" si="375"/>
        <v>2025 08</v>
      </c>
      <c r="G5035" s="97" t="s">
        <v>5</v>
      </c>
      <c r="H5035" s="161" t="s">
        <v>2089</v>
      </c>
      <c r="I5035" s="97" t="s">
        <v>2005</v>
      </c>
      <c r="J5035" s="97" t="s">
        <v>3781</v>
      </c>
      <c r="K5035" s="29">
        <v>22.47</v>
      </c>
      <c r="L5035" s="29">
        <v>-6.52</v>
      </c>
      <c r="M5035" s="30">
        <f>IFERROR(VLOOKUP($A5035,HeadJournal!$A$1:$J$890,COLUMN(HeadJournal!I$1),0)*($K5035+$L5035)/(SUMIF($A:$A,$A5035,$K:$K)+SUMIF($A:$A,$A5035,$L:$L)),0)</f>
        <v>0</v>
      </c>
      <c r="N5035" s="30">
        <f>IFERROR((VLOOKUP($A5035,HeadJournal!$A$1:$K$890,COLUMN(HeadJournal!K$1),0)-VLOOKUP($A5035,HeadJournal!$A$1:$K$890,COLUMN(HeadJournal!J$1),0))*($K5035+$L5035)/(SUMIF($A:$A,$A5035,$K:$K)+SUMIF($A:$A,$A5035,$L:$L)),0)</f>
        <v>0</v>
      </c>
      <c r="O5035" s="30">
        <f>IFERROR((VLOOKUP($A5035,HeadJournal!$A$1:$L$890,COLUMN(HeadJournal!L$1),0)*($K5035+$L5035)/(SUMIF($A:$A,$A5035,$K:$K)+SUMIF($A:$A,$A5035,$L:$L)))/VLOOKUP($A5035,HeadJournal!$A$1:$L$890,COLUMN(HeadJournal!H$1),0),0)</f>
        <v>0.34973793960561339</v>
      </c>
      <c r="P5035" s="30">
        <f>IFERROR(SUM(K5035:O5035)*VLOOKUP($A5035,HeadJournal!$A$1:$L$890,COLUMN(HeadJournal!H$1),0),0)</f>
        <v>1460.8904175241487</v>
      </c>
      <c r="Q5035" s="29">
        <v>2900</v>
      </c>
      <c r="R5035" s="31">
        <v>45954</v>
      </c>
      <c r="S5035" s="31" t="s">
        <v>3384</v>
      </c>
      <c r="T5035" s="95" t="str">
        <f t="shared" si="376"/>
        <v>2025 10</v>
      </c>
      <c r="U5035" s="32">
        <f t="shared" si="373"/>
        <v>1439.1095824758513</v>
      </c>
      <c r="V5035" s="22">
        <f t="shared" si="374"/>
        <v>0.98509071263181358</v>
      </c>
      <c r="X5035" s="33"/>
      <c r="Y5035" s="33"/>
    </row>
    <row r="5036" spans="1:25" x14ac:dyDescent="0.2">
      <c r="A5036" s="93" t="s">
        <v>4178</v>
      </c>
      <c r="B5036" s="94" t="str">
        <f>IFERROR(VLOOKUP($A5036,HeadJournal!$A$1:$NTR$890,COLUMN(HeadJournal!B$1),0),"")</f>
        <v>722500521438</v>
      </c>
      <c r="C5036" s="94" t="str">
        <f>IFERROR(VLOOKUP($A5036,HeadJournal!$A$1:$NTR$890,COLUMN(HeadJournal!C$1),0),"")</f>
        <v>iHerb_MH DLE7202</v>
      </c>
      <c r="D5036" s="125" t="str">
        <f>IFERROR(VLOOKUP($A5036,HeadJournal!$A$1:$NTR$890,COLUMN(HeadJournal!D$1),0),"")</f>
        <v>Доставлен</v>
      </c>
      <c r="E5036" s="95">
        <f>IFERROR(VLOOKUP($A5036,HeadJournal!$A$1:$NTR$890,COLUMN(HeadJournal!G$1),0),"")</f>
        <v>45900</v>
      </c>
      <c r="F5036" s="95" t="str">
        <f t="shared" si="375"/>
        <v>2025 08</v>
      </c>
      <c r="G5036" s="97" t="s">
        <v>5</v>
      </c>
      <c r="H5036" s="161" t="s">
        <v>2624</v>
      </c>
      <c r="I5036" s="97" t="s">
        <v>2005</v>
      </c>
      <c r="J5036" s="97" t="s">
        <v>2625</v>
      </c>
      <c r="K5036" s="29">
        <v>23.95</v>
      </c>
      <c r="L5036" s="29">
        <v>-6.9450000000000003</v>
      </c>
      <c r="M5036" s="30">
        <f>IFERROR(VLOOKUP($A5036,HeadJournal!$A$1:$J$890,COLUMN(HeadJournal!I$1),0)*($K5036+$L5036)/(SUMIF($A:$A,$A5036,$K:$K)+SUMIF($A:$A,$A5036,$L:$L)),0)</f>
        <v>0</v>
      </c>
      <c r="N5036" s="30">
        <f>IFERROR((VLOOKUP($A5036,HeadJournal!$A$1:$K$890,COLUMN(HeadJournal!K$1),0)-VLOOKUP($A5036,HeadJournal!$A$1:$K$890,COLUMN(HeadJournal!J$1),0))*($K5036+$L5036)/(SUMIF($A:$A,$A5036,$K:$K)+SUMIF($A:$A,$A5036,$L:$L)),0)</f>
        <v>0</v>
      </c>
      <c r="O5036" s="30">
        <f>IFERROR((VLOOKUP($A5036,HeadJournal!$A$1:$L$890,COLUMN(HeadJournal!L$1),0)*($K5036+$L5036)/(SUMIF($A:$A,$A5036,$K:$K)+SUMIF($A:$A,$A5036,$L:$L)))/VLOOKUP($A5036,HeadJournal!$A$1:$L$890,COLUMN(HeadJournal!H$1),0),0)</f>
        <v>0.3728710760497464</v>
      </c>
      <c r="P5036" s="30">
        <f>IFERROR(SUM(K5036:O5036)*VLOOKUP($A5036,HeadJournal!$A$1:$L$890,COLUMN(HeadJournal!H$1),0),0)</f>
        <v>1557.5198463948682</v>
      </c>
      <c r="Q5036" s="29">
        <v>2900</v>
      </c>
      <c r="R5036" s="31">
        <v>45955</v>
      </c>
      <c r="S5036" s="31"/>
      <c r="T5036" s="95" t="str">
        <f t="shared" si="376"/>
        <v>2025 10</v>
      </c>
      <c r="U5036" s="32">
        <f t="shared" si="373"/>
        <v>1342.4801536051318</v>
      </c>
      <c r="V5036" s="22">
        <f t="shared" si="374"/>
        <v>0.8619345408101986</v>
      </c>
      <c r="X5036" s="33"/>
      <c r="Y5036" s="33"/>
    </row>
    <row r="5037" spans="1:25" x14ac:dyDescent="0.2">
      <c r="A5037" s="93" t="s">
        <v>4178</v>
      </c>
      <c r="B5037" s="94" t="str">
        <f>IFERROR(VLOOKUP($A5037,HeadJournal!$A$1:$NTR$890,COLUMN(HeadJournal!B$1),0),"")</f>
        <v>722500521438</v>
      </c>
      <c r="C5037" s="94" t="str">
        <f>IFERROR(VLOOKUP($A5037,HeadJournal!$A$1:$NTR$890,COLUMN(HeadJournal!C$1),0),"")</f>
        <v>iHerb_MH DLE7202</v>
      </c>
      <c r="D5037" s="125" t="str">
        <f>IFERROR(VLOOKUP($A5037,HeadJournal!$A$1:$NTR$890,COLUMN(HeadJournal!D$1),0),"")</f>
        <v>Доставлен</v>
      </c>
      <c r="E5037" s="95">
        <f>IFERROR(VLOOKUP($A5037,HeadJournal!$A$1:$NTR$890,COLUMN(HeadJournal!G$1),0),"")</f>
        <v>45900</v>
      </c>
      <c r="F5037" s="95" t="str">
        <f t="shared" si="375"/>
        <v>2025 08</v>
      </c>
      <c r="G5037" s="97" t="s">
        <v>5</v>
      </c>
      <c r="H5037" s="161" t="s">
        <v>2624</v>
      </c>
      <c r="I5037" s="97" t="s">
        <v>2005</v>
      </c>
      <c r="J5037" s="97" t="s">
        <v>2625</v>
      </c>
      <c r="K5037" s="29">
        <v>23.95</v>
      </c>
      <c r="L5037" s="29">
        <v>-6.9450000000000003</v>
      </c>
      <c r="M5037" s="30">
        <f>IFERROR(VLOOKUP($A5037,HeadJournal!$A$1:$J$890,COLUMN(HeadJournal!I$1),0)*($K5037+$L5037)/(SUMIF($A:$A,$A5037,$K:$K)+SUMIF($A:$A,$A5037,$L:$L)),0)</f>
        <v>0</v>
      </c>
      <c r="N5037" s="30">
        <f>IFERROR((VLOOKUP($A5037,HeadJournal!$A$1:$K$890,COLUMN(HeadJournal!K$1),0)-VLOOKUP($A5037,HeadJournal!$A$1:$K$890,COLUMN(HeadJournal!J$1),0))*($K5037+$L5037)/(SUMIF($A:$A,$A5037,$K:$K)+SUMIF($A:$A,$A5037,$L:$L)),0)</f>
        <v>0</v>
      </c>
      <c r="O5037" s="30">
        <f>IFERROR((VLOOKUP($A5037,HeadJournal!$A$1:$L$890,COLUMN(HeadJournal!L$1),0)*($K5037+$L5037)/(SUMIF($A:$A,$A5037,$K:$K)+SUMIF($A:$A,$A5037,$L:$L)))/VLOOKUP($A5037,HeadJournal!$A$1:$L$890,COLUMN(HeadJournal!H$1),0),0)</f>
        <v>0.3728710760497464</v>
      </c>
      <c r="P5037" s="30">
        <f>IFERROR(SUM(K5037:O5037)*VLOOKUP($A5037,HeadJournal!$A$1:$L$890,COLUMN(HeadJournal!H$1),0),0)</f>
        <v>1557.5198463948682</v>
      </c>
      <c r="Q5037" s="29">
        <v>2900</v>
      </c>
      <c r="R5037" s="31">
        <v>45971</v>
      </c>
      <c r="S5037" s="31" t="s">
        <v>3457</v>
      </c>
      <c r="T5037" s="95" t="str">
        <f t="shared" si="376"/>
        <v>2025 11</v>
      </c>
      <c r="U5037" s="32">
        <f t="shared" si="373"/>
        <v>1342.4801536051318</v>
      </c>
      <c r="V5037" s="22">
        <f t="shared" si="374"/>
        <v>0.8619345408101986</v>
      </c>
      <c r="X5037" s="33"/>
      <c r="Y5037" s="33"/>
    </row>
    <row r="5038" spans="1:25" x14ac:dyDescent="0.2">
      <c r="A5038" s="93" t="s">
        <v>4178</v>
      </c>
      <c r="B5038" s="94" t="str">
        <f>IFERROR(VLOOKUP($A5038,HeadJournal!$A$1:$NTR$890,COLUMN(HeadJournal!B$1),0),"")</f>
        <v>722500521438</v>
      </c>
      <c r="C5038" s="94" t="str">
        <f>IFERROR(VLOOKUP($A5038,HeadJournal!$A$1:$NTR$890,COLUMN(HeadJournal!C$1),0),"")</f>
        <v>iHerb_MH DLE7202</v>
      </c>
      <c r="D5038" s="125" t="str">
        <f>IFERROR(VLOOKUP($A5038,HeadJournal!$A$1:$NTR$890,COLUMN(HeadJournal!D$1),0),"")</f>
        <v>Доставлен</v>
      </c>
      <c r="E5038" s="95">
        <f>IFERROR(VLOOKUP($A5038,HeadJournal!$A$1:$NTR$890,COLUMN(HeadJournal!G$1),0),"")</f>
        <v>45900</v>
      </c>
      <c r="F5038" s="95" t="str">
        <f t="shared" si="375"/>
        <v>2025 08</v>
      </c>
      <c r="G5038" s="97" t="s">
        <v>5</v>
      </c>
      <c r="H5038" s="161" t="s">
        <v>4176</v>
      </c>
      <c r="I5038" s="97" t="s">
        <v>2102</v>
      </c>
      <c r="J5038" s="97" t="s">
        <v>4177</v>
      </c>
      <c r="K5038" s="29">
        <v>53.87</v>
      </c>
      <c r="L5038" s="29">
        <v>-15.62</v>
      </c>
      <c r="M5038" s="30">
        <f>IFERROR(VLOOKUP($A5038,HeadJournal!$A$1:$J$890,COLUMN(HeadJournal!I$1),0)*($K5038+$L5038)/(SUMIF($A:$A,$A5038,$K:$K)+SUMIF($A:$A,$A5038,$L:$L)),0)</f>
        <v>0</v>
      </c>
      <c r="N5038" s="30">
        <f>IFERROR((VLOOKUP($A5038,HeadJournal!$A$1:$K$890,COLUMN(HeadJournal!K$1),0)-VLOOKUP($A5038,HeadJournal!$A$1:$K$890,COLUMN(HeadJournal!J$1),0))*($K5038+$L5038)/(SUMIF($A:$A,$A5038,$K:$K)+SUMIF($A:$A,$A5038,$L:$L)),0)</f>
        <v>0</v>
      </c>
      <c r="O5038" s="30">
        <f>IFERROR((VLOOKUP($A5038,HeadJournal!$A$1:$L$890,COLUMN(HeadJournal!L$1),0)*($K5038+$L5038)/(SUMIF($A:$A,$A5038,$K:$K)+SUMIF($A:$A,$A5038,$L:$L)))/VLOOKUP($A5038,HeadJournal!$A$1:$L$890,COLUMN(HeadJournal!H$1),0),0)</f>
        <v>0.83871324074700404</v>
      </c>
      <c r="P5038" s="30">
        <f>IFERROR(SUM(K5038:O5038)*VLOOKUP($A5038,HeadJournal!$A$1:$L$890,COLUMN(HeadJournal!H$1),0),0)</f>
        <v>3503.3892457867514</v>
      </c>
      <c r="Q5038" s="29">
        <v>5300</v>
      </c>
      <c r="R5038" s="31">
        <v>45923</v>
      </c>
      <c r="S5038" s="31" t="s">
        <v>3475</v>
      </c>
      <c r="T5038" s="95" t="str">
        <f t="shared" si="376"/>
        <v>2025 09</v>
      </c>
      <c r="U5038" s="32">
        <f t="shared" si="373"/>
        <v>1796.6107542132486</v>
      </c>
      <c r="V5038" s="22">
        <f t="shared" si="374"/>
        <v>0.51282076531287235</v>
      </c>
      <c r="X5038" s="33"/>
      <c r="Y5038" s="33"/>
    </row>
    <row r="5039" spans="1:25" x14ac:dyDescent="0.2">
      <c r="A5039" s="93" t="s">
        <v>4178</v>
      </c>
      <c r="B5039" s="94" t="str">
        <f>IFERROR(VLOOKUP($A5039,HeadJournal!$A$1:$NTR$890,COLUMN(HeadJournal!B$1),0),"")</f>
        <v>722500521438</v>
      </c>
      <c r="C5039" s="94" t="str">
        <f>IFERROR(VLOOKUP($A5039,HeadJournal!$A$1:$NTR$890,COLUMN(HeadJournal!C$1),0),"")</f>
        <v>iHerb_MH DLE7202</v>
      </c>
      <c r="D5039" s="125" t="str">
        <f>IFERROR(VLOOKUP($A5039,HeadJournal!$A$1:$NTR$890,COLUMN(HeadJournal!D$1),0),"")</f>
        <v>Доставлен</v>
      </c>
      <c r="E5039" s="95">
        <f>IFERROR(VLOOKUP($A5039,HeadJournal!$A$1:$NTR$890,COLUMN(HeadJournal!G$1),0),"")</f>
        <v>45900</v>
      </c>
      <c r="F5039" s="95" t="str">
        <f t="shared" si="375"/>
        <v>2025 08</v>
      </c>
      <c r="G5039" s="97" t="s">
        <v>5</v>
      </c>
      <c r="H5039" s="161" t="s">
        <v>2016</v>
      </c>
      <c r="I5039" s="97" t="s">
        <v>2005</v>
      </c>
      <c r="J5039" s="97" t="s">
        <v>2017</v>
      </c>
      <c r="K5039" s="29">
        <v>40.090000000000003</v>
      </c>
      <c r="L5039" s="29">
        <v>-11.63</v>
      </c>
      <c r="M5039" s="30">
        <f>IFERROR(VLOOKUP($A5039,HeadJournal!$A$1:$J$890,COLUMN(HeadJournal!I$1),0)*($K5039+$L5039)/(SUMIF($A:$A,$A5039,$K:$K)+SUMIF($A:$A,$A5039,$L:$L)),0)</f>
        <v>0</v>
      </c>
      <c r="N5039" s="30">
        <f>IFERROR((VLOOKUP($A5039,HeadJournal!$A$1:$K$890,COLUMN(HeadJournal!K$1),0)-VLOOKUP($A5039,HeadJournal!$A$1:$K$890,COLUMN(HeadJournal!J$1),0))*($K5039+$L5039)/(SUMIF($A:$A,$A5039,$K:$K)+SUMIF($A:$A,$A5039,$L:$L)),0)</f>
        <v>0</v>
      </c>
      <c r="O5039" s="30">
        <f>IFERROR((VLOOKUP($A5039,HeadJournal!$A$1:$L$890,COLUMN(HeadJournal!L$1),0)*($K5039+$L5039)/(SUMIF($A:$A,$A5039,$K:$K)+SUMIF($A:$A,$A5039,$L:$L)))/VLOOKUP($A5039,HeadJournal!$A$1:$L$890,COLUMN(HeadJournal!H$1),0),0)</f>
        <v>0.62404650540286888</v>
      </c>
      <c r="P5039" s="30">
        <f>IFERROR(SUM(K5039:O5039)*VLOOKUP($A5039,HeadJournal!$A$1:$L$890,COLUMN(HeadJournal!H$1),0),0)</f>
        <v>2606.7047826167568</v>
      </c>
      <c r="Q5039" s="29">
        <v>4400</v>
      </c>
      <c r="R5039" s="31">
        <v>45990</v>
      </c>
      <c r="S5039" s="31" t="s">
        <v>4872</v>
      </c>
      <c r="T5039" s="95" t="str">
        <f t="shared" si="376"/>
        <v>2025 11</v>
      </c>
      <c r="U5039" s="32">
        <f t="shared" si="373"/>
        <v>1793.2952173832432</v>
      </c>
      <c r="V5039" s="22">
        <f t="shared" si="374"/>
        <v>0.687954857543566</v>
      </c>
      <c r="X5039" s="33"/>
      <c r="Y5039" s="33"/>
    </row>
    <row r="5040" spans="1:25" x14ac:dyDescent="0.2">
      <c r="A5040" s="93" t="s">
        <v>4187</v>
      </c>
      <c r="B5040" s="94" t="str">
        <f>IFERROR(VLOOKUP($A5040,HeadJournal!$A$1:$NTR$890,COLUMN(HeadJournal!B$1),0),"")</f>
        <v>722500514603</v>
      </c>
      <c r="C5040" s="94" t="str">
        <f>IFERROR(VLOOKUP($A5040,HeadJournal!$A$1:$NTR$890,COLUMN(HeadJournal!C$1),0),"")</f>
        <v>iHerb_AV CYG0792</v>
      </c>
      <c r="D5040" s="125" t="str">
        <f>IFERROR(VLOOKUP($A5040,HeadJournal!$A$1:$NTR$890,COLUMN(HeadJournal!D$1),0),"")</f>
        <v>Доставлен</v>
      </c>
      <c r="E5040" s="95">
        <f>IFERROR(VLOOKUP($A5040,HeadJournal!$A$1:$NTR$890,COLUMN(HeadJournal!G$1),0),"")</f>
        <v>45892</v>
      </c>
      <c r="F5040" s="95" t="str">
        <f t="shared" si="375"/>
        <v>2025 08</v>
      </c>
      <c r="G5040" s="97" t="s">
        <v>5</v>
      </c>
      <c r="H5040" s="161" t="s">
        <v>2659</v>
      </c>
      <c r="I5040" s="97" t="s">
        <v>2218</v>
      </c>
      <c r="J5040" s="97" t="s">
        <v>2660</v>
      </c>
      <c r="K5040" s="29">
        <v>10.26</v>
      </c>
      <c r="L5040" s="29">
        <v>-1.03</v>
      </c>
      <c r="M5040" s="30">
        <f>IFERROR(VLOOKUP($A5040,HeadJournal!$A$1:$J$890,COLUMN(HeadJournal!I$1),0)*($K5040+$L5040)/(SUMIF($A:$A,$A5040,$K:$K)+SUMIF($A:$A,$A5040,$L:$L)),0)</f>
        <v>-0.49873003854625558</v>
      </c>
      <c r="N5040" s="30">
        <f>IFERROR((VLOOKUP($A5040,HeadJournal!$A$1:$K$890,COLUMN(HeadJournal!K$1),0)-VLOOKUP($A5040,HeadJournal!$A$1:$K$890,COLUMN(HeadJournal!J$1),0))*($K5040+$L5040)/(SUMIF($A:$A,$A5040,$K:$K)+SUMIF($A:$A,$A5040,$L:$L)),0)</f>
        <v>1.8057019413727219E-15</v>
      </c>
      <c r="O5040" s="30">
        <f>IFERROR((VLOOKUP($A5040,HeadJournal!$A$1:$L$890,COLUMN(HeadJournal!L$1),0)*($K5040+$L5040)/(SUMIF($A:$A,$A5040,$K:$K)+SUMIF($A:$A,$A5040,$L:$L)))/VLOOKUP($A5040,HeadJournal!$A$1:$L$890,COLUMN(HeadJournal!H$1),0),0)</f>
        <v>0.24917907249612559</v>
      </c>
      <c r="P5040" s="30">
        <f>IFERROR(SUM(K5040:O5040)*VLOOKUP($A5040,HeadJournal!$A$1:$L$890,COLUMN(HeadJournal!H$1),0),0)</f>
        <v>809.03436238069037</v>
      </c>
      <c r="Q5040" s="29">
        <v>1700</v>
      </c>
      <c r="R5040" s="31">
        <v>45923</v>
      </c>
      <c r="S5040" s="31" t="s">
        <v>3241</v>
      </c>
      <c r="T5040" s="95" t="str">
        <f t="shared" si="376"/>
        <v>2025 09</v>
      </c>
      <c r="U5040" s="32">
        <f t="shared" si="373"/>
        <v>890.96563761930963</v>
      </c>
      <c r="V5040" s="22">
        <f t="shared" si="374"/>
        <v>1.1012704516005052</v>
      </c>
      <c r="X5040" s="33"/>
      <c r="Y5040" s="33"/>
    </row>
    <row r="5041" spans="1:25" x14ac:dyDescent="0.2">
      <c r="A5041" s="93" t="s">
        <v>4187</v>
      </c>
      <c r="B5041" s="94" t="str">
        <f>IFERROR(VLOOKUP($A5041,HeadJournal!$A$1:$NTR$890,COLUMN(HeadJournal!B$1),0),"")</f>
        <v>722500514603</v>
      </c>
      <c r="C5041" s="94" t="str">
        <f>IFERROR(VLOOKUP($A5041,HeadJournal!$A$1:$NTR$890,COLUMN(HeadJournal!C$1),0),"")</f>
        <v>iHerb_AV CYG0792</v>
      </c>
      <c r="D5041" s="125" t="str">
        <f>IFERROR(VLOOKUP($A5041,HeadJournal!$A$1:$NTR$890,COLUMN(HeadJournal!D$1),0),"")</f>
        <v>Доставлен</v>
      </c>
      <c r="E5041" s="95">
        <f>IFERROR(VLOOKUP($A5041,HeadJournal!$A$1:$NTR$890,COLUMN(HeadJournal!G$1),0),"")</f>
        <v>45892</v>
      </c>
      <c r="F5041" s="95" t="str">
        <f t="shared" si="375"/>
        <v>2025 08</v>
      </c>
      <c r="G5041" s="97" t="s">
        <v>5</v>
      </c>
      <c r="H5041" s="161" t="s">
        <v>4179</v>
      </c>
      <c r="I5041" s="97" t="s">
        <v>2052</v>
      </c>
      <c r="J5041" s="97" t="s">
        <v>4180</v>
      </c>
      <c r="K5041" s="29">
        <v>112</v>
      </c>
      <c r="L5041" s="29">
        <v>-33.6</v>
      </c>
      <c r="M5041" s="30">
        <f>IFERROR(VLOOKUP($A5041,HeadJournal!$A$1:$J$890,COLUMN(HeadJournal!I$1),0)*($K5041+$L5041)/(SUMIF($A:$A,$A5041,$K:$K)+SUMIF($A:$A,$A5041,$L:$L)),0)</f>
        <v>-4.2362334801762129</v>
      </c>
      <c r="N5041" s="30">
        <f>IFERROR((VLOOKUP($A5041,HeadJournal!$A$1:$K$890,COLUMN(HeadJournal!K$1),0)-VLOOKUP($A5041,HeadJournal!$A$1:$K$890,COLUMN(HeadJournal!J$1),0))*($K5041+$L5041)/(SUMIF($A:$A,$A5041,$K:$K)+SUMIF($A:$A,$A5041,$L:$L)),0)</f>
        <v>1.5337706630944896E-14</v>
      </c>
      <c r="O5041" s="30">
        <f>IFERROR((VLOOKUP($A5041,HeadJournal!$A$1:$L$890,COLUMN(HeadJournal!L$1),0)*($K5041+$L5041)/(SUMIF($A:$A,$A5041,$K:$K)+SUMIF($A:$A,$A5041,$L:$L)))/VLOOKUP($A5041,HeadJournal!$A$1:$L$890,COLUMN(HeadJournal!H$1),0),0)</f>
        <v>2.1165373005088024</v>
      </c>
      <c r="P5041" s="30">
        <f>IFERROR(SUM(K5041:O5041)*VLOOKUP($A5041,HeadJournal!$A$1:$L$890,COLUMN(HeadJournal!H$1),0),0)</f>
        <v>6871.9711820851699</v>
      </c>
      <c r="Q5041" s="29">
        <v>12000</v>
      </c>
      <c r="R5041" s="31">
        <v>45923</v>
      </c>
      <c r="S5041" s="31" t="s">
        <v>3509</v>
      </c>
      <c r="T5041" s="95" t="str">
        <f t="shared" si="376"/>
        <v>2025 09</v>
      </c>
      <c r="U5041" s="32">
        <f t="shared" si="373"/>
        <v>5128.0288179148301</v>
      </c>
      <c r="V5041" s="22">
        <f t="shared" si="374"/>
        <v>0.74622385368601429</v>
      </c>
      <c r="X5041" s="33"/>
      <c r="Y5041" s="33"/>
    </row>
    <row r="5042" spans="1:25" x14ac:dyDescent="0.2">
      <c r="A5042" s="93" t="s">
        <v>4187</v>
      </c>
      <c r="B5042" s="94" t="str">
        <f>IFERROR(VLOOKUP($A5042,HeadJournal!$A$1:$NTR$890,COLUMN(HeadJournal!B$1),0),"")</f>
        <v>722500514603</v>
      </c>
      <c r="C5042" s="94" t="str">
        <f>IFERROR(VLOOKUP($A5042,HeadJournal!$A$1:$NTR$890,COLUMN(HeadJournal!C$1),0),"")</f>
        <v>iHerb_AV CYG0792</v>
      </c>
      <c r="D5042" s="125" t="str">
        <f>IFERROR(VLOOKUP($A5042,HeadJournal!$A$1:$NTR$890,COLUMN(HeadJournal!D$1),0),"")</f>
        <v>Доставлен</v>
      </c>
      <c r="E5042" s="95">
        <f>IFERROR(VLOOKUP($A5042,HeadJournal!$A$1:$NTR$890,COLUMN(HeadJournal!G$1),0),"")</f>
        <v>45892</v>
      </c>
      <c r="F5042" s="95" t="str">
        <f t="shared" si="375"/>
        <v>2025 08</v>
      </c>
      <c r="G5042" s="97" t="s">
        <v>5</v>
      </c>
      <c r="H5042" s="161" t="s">
        <v>4181</v>
      </c>
      <c r="I5042" s="97" t="s">
        <v>2005</v>
      </c>
      <c r="J5042" s="97" t="s">
        <v>4182</v>
      </c>
      <c r="K5042" s="29">
        <v>17.39</v>
      </c>
      <c r="L5042" s="29">
        <v>-1.74</v>
      </c>
      <c r="M5042" s="30">
        <f>IFERROR(VLOOKUP($A5042,HeadJournal!$A$1:$J$890,COLUMN(HeadJournal!I$1),0)*($K5042+$L5042)/(SUMIF($A:$A,$A5042,$K:$K)+SUMIF($A:$A,$A5042,$L:$L)),0)</f>
        <v>-0.84562568832599128</v>
      </c>
      <c r="N5042" s="30">
        <f>IFERROR((VLOOKUP($A5042,HeadJournal!$A$1:$K$890,COLUMN(HeadJournal!K$1),0)-VLOOKUP($A5042,HeadJournal!$A$1:$K$890,COLUMN(HeadJournal!J$1),0))*($K5042+$L5042)/(SUMIF($A:$A,$A5042,$K:$K)+SUMIF($A:$A,$A5042,$L:$L)),0)</f>
        <v>3.0616723057944854E-15</v>
      </c>
      <c r="O5042" s="30">
        <f>IFERROR((VLOOKUP($A5042,HeadJournal!$A$1:$L$890,COLUMN(HeadJournal!L$1),0)*($K5042+$L5042)/(SUMIF($A:$A,$A5042,$K:$K)+SUMIF($A:$A,$A5042,$L:$L)))/VLOOKUP($A5042,HeadJournal!$A$1:$L$890,COLUMN(HeadJournal!H$1),0),0)</f>
        <v>0.42249756062452504</v>
      </c>
      <c r="P5042" s="30">
        <f>IFERROR(SUM(K5042:O5042)*VLOOKUP($A5042,HeadJournal!$A$1:$L$890,COLUMN(HeadJournal!H$1),0),0)</f>
        <v>1371.7646556075626</v>
      </c>
      <c r="Q5042" s="29">
        <v>2300</v>
      </c>
      <c r="R5042" s="31">
        <v>45923</v>
      </c>
      <c r="S5042" s="31" t="s">
        <v>4483</v>
      </c>
      <c r="T5042" s="95" t="str">
        <f t="shared" si="376"/>
        <v>2025 09</v>
      </c>
      <c r="U5042" s="32">
        <f t="shared" si="373"/>
        <v>928.23534439243736</v>
      </c>
      <c r="V5042" s="22">
        <f t="shared" si="374"/>
        <v>0.6766724456691271</v>
      </c>
      <c r="X5042" s="33"/>
      <c r="Y5042" s="33"/>
    </row>
    <row r="5043" spans="1:25" x14ac:dyDescent="0.2">
      <c r="A5043" s="93" t="s">
        <v>4187</v>
      </c>
      <c r="B5043" s="94" t="str">
        <f>IFERROR(VLOOKUP($A5043,HeadJournal!$A$1:$NTR$890,COLUMN(HeadJournal!B$1),0),"")</f>
        <v>722500514603</v>
      </c>
      <c r="C5043" s="94" t="str">
        <f>IFERROR(VLOOKUP($A5043,HeadJournal!$A$1:$NTR$890,COLUMN(HeadJournal!C$1),0),"")</f>
        <v>iHerb_AV CYG0792</v>
      </c>
      <c r="D5043" s="125" t="str">
        <f>IFERROR(VLOOKUP($A5043,HeadJournal!$A$1:$NTR$890,COLUMN(HeadJournal!D$1),0),"")</f>
        <v>Доставлен</v>
      </c>
      <c r="E5043" s="95">
        <f>IFERROR(VLOOKUP($A5043,HeadJournal!$A$1:$NTR$890,COLUMN(HeadJournal!G$1),0),"")</f>
        <v>45892</v>
      </c>
      <c r="F5043" s="95" t="str">
        <f t="shared" si="375"/>
        <v>2025 08</v>
      </c>
      <c r="G5043" s="97" t="s">
        <v>5</v>
      </c>
      <c r="H5043" s="161" t="s">
        <v>4183</v>
      </c>
      <c r="I5043" s="97" t="s">
        <v>2750</v>
      </c>
      <c r="J5043" s="97" t="s">
        <v>4184</v>
      </c>
      <c r="K5043" s="29">
        <v>9.32</v>
      </c>
      <c r="L5043" s="29">
        <v>-0.93</v>
      </c>
      <c r="M5043" s="30">
        <f>IFERROR(VLOOKUP($A5043,HeadJournal!$A$1:$J$890,COLUMN(HeadJournal!I$1),0)*($K5043+$L5043)/(SUMIF($A:$A,$A5043,$K:$K)+SUMIF($A:$A,$A5043,$L:$L)),0)</f>
        <v>-0.45334182268722478</v>
      </c>
      <c r="N5043" s="30">
        <f>IFERROR((VLOOKUP($A5043,HeadJournal!$A$1:$K$890,COLUMN(HeadJournal!K$1),0)-VLOOKUP($A5043,HeadJournal!$A$1:$K$890,COLUMN(HeadJournal!J$1),0))*($K5043+$L5043)/(SUMIF($A:$A,$A5043,$K:$K)+SUMIF($A:$A,$A5043,$L:$L)),0)</f>
        <v>1.6413693703268838E-15</v>
      </c>
      <c r="O5043" s="30">
        <f>IFERROR((VLOOKUP($A5043,HeadJournal!$A$1:$L$890,COLUMN(HeadJournal!L$1),0)*($K5043+$L5043)/(SUMIF($A:$A,$A5043,$K:$K)+SUMIF($A:$A,$A5043,$L:$L)))/VLOOKUP($A5043,HeadJournal!$A$1:$L$890,COLUMN(HeadJournal!H$1),0),0)</f>
        <v>0.22650188713353131</v>
      </c>
      <c r="P5043" s="30">
        <f>IFERROR(SUM(K5043:O5043)*VLOOKUP($A5043,HeadJournal!$A$1:$L$890,COLUMN(HeadJournal!H$1),0),0)</f>
        <v>735.40609971549213</v>
      </c>
      <c r="Q5043" s="29">
        <v>1300</v>
      </c>
      <c r="R5043" s="31">
        <v>45923</v>
      </c>
      <c r="S5043" s="31" t="s">
        <v>3252</v>
      </c>
      <c r="T5043" s="95" t="str">
        <f t="shared" si="376"/>
        <v>2025 09</v>
      </c>
      <c r="U5043" s="32">
        <f t="shared" si="373"/>
        <v>564.59390028450787</v>
      </c>
      <c r="V5043" s="22">
        <f t="shared" si="374"/>
        <v>0.76773078235675951</v>
      </c>
      <c r="X5043" s="33"/>
      <c r="Y5043" s="33"/>
    </row>
    <row r="5044" spans="1:25" x14ac:dyDescent="0.2">
      <c r="A5044" s="93" t="s">
        <v>4187</v>
      </c>
      <c r="B5044" s="94" t="str">
        <f>IFERROR(VLOOKUP($A5044,HeadJournal!$A$1:$NTR$890,COLUMN(HeadJournal!B$1),0),"")</f>
        <v>722500514603</v>
      </c>
      <c r="C5044" s="94" t="str">
        <f>IFERROR(VLOOKUP($A5044,HeadJournal!$A$1:$NTR$890,COLUMN(HeadJournal!C$1),0),"")</f>
        <v>iHerb_AV CYG0792</v>
      </c>
      <c r="D5044" s="125" t="str">
        <f>IFERROR(VLOOKUP($A5044,HeadJournal!$A$1:$NTR$890,COLUMN(HeadJournal!D$1),0),"")</f>
        <v>Доставлен</v>
      </c>
      <c r="E5044" s="95">
        <f>IFERROR(VLOOKUP($A5044,HeadJournal!$A$1:$NTR$890,COLUMN(HeadJournal!G$1),0),"")</f>
        <v>45892</v>
      </c>
      <c r="F5044" s="95" t="str">
        <f t="shared" si="375"/>
        <v>2025 08</v>
      </c>
      <c r="G5044" s="97" t="s">
        <v>5</v>
      </c>
      <c r="H5044" s="161" t="s">
        <v>4185</v>
      </c>
      <c r="I5044" s="97" t="s">
        <v>2052</v>
      </c>
      <c r="J5044" s="97" t="s">
        <v>4186</v>
      </c>
      <c r="K5044" s="29">
        <v>14.78</v>
      </c>
      <c r="L5044" s="29">
        <v>-4.43</v>
      </c>
      <c r="M5044" s="30">
        <f>IFERROR(VLOOKUP($A5044,HeadJournal!$A$1:$J$890,COLUMN(HeadJournal!I$1),0)*($K5044+$L5044)/(SUMIF($A:$A,$A5044,$K:$K)+SUMIF($A:$A,$A5044,$L:$L)),0)</f>
        <v>-0.55924765969162993</v>
      </c>
      <c r="N5044" s="30">
        <f>IFERROR((VLOOKUP($A5044,HeadJournal!$A$1:$K$890,COLUMN(HeadJournal!K$1),0)-VLOOKUP($A5044,HeadJournal!$A$1:$K$890,COLUMN(HeadJournal!J$1),0))*($K5044+$L5044)/(SUMIF($A:$A,$A5044,$K:$K)+SUMIF($A:$A,$A5044,$L:$L)),0)</f>
        <v>2.0248120361005062E-15</v>
      </c>
      <c r="O5044" s="30">
        <f>IFERROR((VLOOKUP($A5044,HeadJournal!$A$1:$L$890,COLUMN(HeadJournal!L$1),0)*($K5044+$L5044)/(SUMIF($A:$A,$A5044,$K:$K)+SUMIF($A:$A,$A5044,$L:$L)))/VLOOKUP($A5044,HeadJournal!$A$1:$L$890,COLUMN(HeadJournal!H$1),0),0)</f>
        <v>0.27941531964625133</v>
      </c>
      <c r="P5044" s="30">
        <f>IFERROR(SUM(K5044:O5044)*VLOOKUP($A5044,HeadJournal!$A$1:$L$890,COLUMN(HeadJournal!H$1),0),0)</f>
        <v>907.2053792676212</v>
      </c>
      <c r="Q5044" s="29">
        <v>2300</v>
      </c>
      <c r="R5044" s="31">
        <v>46003</v>
      </c>
      <c r="S5044" s="31" t="s">
        <v>3220</v>
      </c>
      <c r="T5044" s="95" t="str">
        <f t="shared" si="376"/>
        <v>2025 12</v>
      </c>
      <c r="U5044" s="32">
        <f t="shared" si="373"/>
        <v>1392.7946207323789</v>
      </c>
      <c r="V5044" s="22">
        <f t="shared" si="374"/>
        <v>1.5352583357219174</v>
      </c>
      <c r="X5044" s="33"/>
      <c r="Y5044" s="33"/>
    </row>
    <row r="5045" spans="1:25" x14ac:dyDescent="0.2">
      <c r="A5045" s="93" t="s">
        <v>4187</v>
      </c>
      <c r="B5045" s="94" t="str">
        <f>IFERROR(VLOOKUP($A5045,HeadJournal!$A$1:$NTR$890,COLUMN(HeadJournal!B$1),0),"")</f>
        <v>722500514603</v>
      </c>
      <c r="C5045" s="94" t="str">
        <f>IFERROR(VLOOKUP($A5045,HeadJournal!$A$1:$NTR$890,COLUMN(HeadJournal!C$1),0),"")</f>
        <v>iHerb_AV CYG0792</v>
      </c>
      <c r="D5045" s="125" t="str">
        <f>IFERROR(VLOOKUP($A5045,HeadJournal!$A$1:$NTR$890,COLUMN(HeadJournal!D$1),0),"")</f>
        <v>Доставлен</v>
      </c>
      <c r="E5045" s="95">
        <f>IFERROR(VLOOKUP($A5045,HeadJournal!$A$1:$NTR$890,COLUMN(HeadJournal!G$1),0),"")</f>
        <v>45892</v>
      </c>
      <c r="F5045" s="95" t="str">
        <f t="shared" si="375"/>
        <v>2025 08</v>
      </c>
      <c r="G5045" s="97" t="s">
        <v>5</v>
      </c>
      <c r="H5045" s="161" t="s">
        <v>2845</v>
      </c>
      <c r="I5045" s="97" t="s">
        <v>2839</v>
      </c>
      <c r="J5045" s="97" t="s">
        <v>2846</v>
      </c>
      <c r="K5045" s="29">
        <v>23.26</v>
      </c>
      <c r="L5045" s="29">
        <v>0</v>
      </c>
      <c r="M5045" s="30">
        <f>IFERROR(VLOOKUP($A5045,HeadJournal!$A$1:$J$890,COLUMN(HeadJournal!I$1),0)*($K5045+$L5045)/(SUMIF($A:$A,$A5045,$K:$K)+SUMIF($A:$A,$A5045,$L:$L)),0)</f>
        <v>-1.2568213105726875</v>
      </c>
      <c r="N5045" s="30">
        <f>IFERROR((VLOOKUP($A5045,HeadJournal!$A$1:$K$890,COLUMN(HeadJournal!K$1),0)-VLOOKUP($A5045,HeadJournal!$A$1:$K$890,COLUMN(HeadJournal!J$1),0))*($K5045+$L5045)/(SUMIF($A:$A,$A5045,$K:$K)+SUMIF($A:$A,$A5045,$L:$L)),0)</f>
        <v>4.5504471458645191E-15</v>
      </c>
      <c r="O5045" s="30">
        <f>IFERROR((VLOOKUP($A5045,HeadJournal!$A$1:$L$890,COLUMN(HeadJournal!L$1),0)*($K5045+$L5045)/(SUMIF($A:$A,$A5045,$K:$K)+SUMIF($A:$A,$A5045,$L:$L)))/VLOOKUP($A5045,HeadJournal!$A$1:$L$890,COLUMN(HeadJournal!H$1),0),0)</f>
        <v>0.62794206134993302</v>
      </c>
      <c r="P5045" s="30">
        <f>IFERROR(SUM(K5045:O5045)*VLOOKUP($A5045,HeadJournal!$A$1:$L$890,COLUMN(HeadJournal!H$1),0),0)</f>
        <v>2038.8016542767996</v>
      </c>
      <c r="Q5045" s="29">
        <v>3200</v>
      </c>
      <c r="R5045" s="31">
        <v>45922</v>
      </c>
      <c r="S5045" s="31"/>
      <c r="T5045" s="95" t="str">
        <f t="shared" si="376"/>
        <v>2025 09</v>
      </c>
      <c r="U5045" s="32">
        <f t="shared" si="373"/>
        <v>1161.1983457232004</v>
      </c>
      <c r="V5045" s="22">
        <f t="shared" si="374"/>
        <v>0.56954944257934637</v>
      </c>
      <c r="X5045" s="33"/>
      <c r="Y5045" s="33"/>
    </row>
    <row r="5046" spans="1:25" x14ac:dyDescent="0.2">
      <c r="A5046" s="93" t="s">
        <v>4202</v>
      </c>
      <c r="B5046" s="94" t="str">
        <f>IFERROR(VLOOKUP($A5046,HeadJournal!$A$1:$NTR$890,COLUMN(HeadJournal!B$1),0),"")</f>
        <v>720000793891</v>
      </c>
      <c r="C5046" s="94" t="str">
        <f>IFERROR(VLOOKUP($A5046,HeadJournal!$A$1:$NTR$890,COLUMN(HeadJournal!C$1),0),"")</f>
        <v>iHerb_AV CYG0792</v>
      </c>
      <c r="D5046" s="125" t="str">
        <f>IFERROR(VLOOKUP($A5046,HeadJournal!$A$1:$NTR$890,COLUMN(HeadJournal!D$1),0),"")</f>
        <v>Доставлен</v>
      </c>
      <c r="E5046" s="95">
        <f>IFERROR(VLOOKUP($A5046,HeadJournal!$A$1:$NTR$890,COLUMN(HeadJournal!G$1),0),"")</f>
        <v>45911</v>
      </c>
      <c r="F5046" s="95" t="str">
        <f t="shared" si="375"/>
        <v>2025 09</v>
      </c>
      <c r="G5046" s="97" t="s">
        <v>5</v>
      </c>
      <c r="H5046" s="161" t="s">
        <v>2504</v>
      </c>
      <c r="I5046" s="97" t="s">
        <v>2036</v>
      </c>
      <c r="J5046" s="97" t="s">
        <v>3739</v>
      </c>
      <c r="K5046" s="29">
        <v>15.08</v>
      </c>
      <c r="L5046" s="29">
        <v>-4.375</v>
      </c>
      <c r="M5046" s="30">
        <f>IFERROR(VLOOKUP($A5046,HeadJournal!$A$1:$J$890,COLUMN(HeadJournal!I$1),0)*($K5046+$L5046)/(SUMIF($A:$A,$A5046,$K:$K)+SUMIF($A:$A,$A5046,$L:$L)),0)</f>
        <v>-1.2143850865826362</v>
      </c>
      <c r="N5046" s="30">
        <f>IFERROR((VLOOKUP($A5046,HeadJournal!$A$1:$K$890,COLUMN(HeadJournal!K$1),0)-VLOOKUP($A5046,HeadJournal!$A$1:$K$890,COLUMN(HeadJournal!J$1),0))*($K5046+$L5046)/(SUMIF($A:$A,$A5046,$K:$K)+SUMIF($A:$A,$A5046,$L:$L)),0)</f>
        <v>-1.7920508861613549E-15</v>
      </c>
      <c r="O5046" s="30">
        <f>IFERROR((VLOOKUP($A5046,HeadJournal!$A$1:$L$890,COLUMN(HeadJournal!L$1),0)*($K5046+$L5046)/(SUMIF($A:$A,$A5046,$K:$K)+SUMIF($A:$A,$A5046,$L:$L)))/VLOOKUP($A5046,HeadJournal!$A$1:$L$890,COLUMN(HeadJournal!H$1),0),0)</f>
        <v>0.3125216058040598</v>
      </c>
      <c r="P5046" s="30">
        <f>IFERROR(SUM(K5046:O5046)*VLOOKUP($A5046,HeadJournal!$A$1:$L$890,COLUMN(HeadJournal!H$1),0),0)</f>
        <v>899.90474673106348</v>
      </c>
      <c r="Q5046" s="29">
        <v>2000</v>
      </c>
      <c r="R5046" s="31">
        <v>45940</v>
      </c>
      <c r="S5046" s="31" t="s">
        <v>3235</v>
      </c>
      <c r="T5046" s="95" t="str">
        <f t="shared" si="376"/>
        <v>2025 10</v>
      </c>
      <c r="U5046" s="32">
        <f t="shared" si="373"/>
        <v>1100.0952532689366</v>
      </c>
      <c r="V5046" s="22">
        <f t="shared" si="374"/>
        <v>1.222457440373631</v>
      </c>
      <c r="X5046" s="33"/>
      <c r="Y5046" s="33"/>
    </row>
    <row r="5047" spans="1:25" x14ac:dyDescent="0.2">
      <c r="A5047" s="93" t="s">
        <v>4202</v>
      </c>
      <c r="B5047" s="94" t="str">
        <f>IFERROR(VLOOKUP($A5047,HeadJournal!$A$1:$NTR$890,COLUMN(HeadJournal!B$1),0),"")</f>
        <v>720000793891</v>
      </c>
      <c r="C5047" s="94" t="str">
        <f>IFERROR(VLOOKUP($A5047,HeadJournal!$A$1:$NTR$890,COLUMN(HeadJournal!C$1),0),"")</f>
        <v>iHerb_AV CYG0792</v>
      </c>
      <c r="D5047" s="125" t="str">
        <f>IFERROR(VLOOKUP($A5047,HeadJournal!$A$1:$NTR$890,COLUMN(HeadJournal!D$1),0),"")</f>
        <v>Доставлен</v>
      </c>
      <c r="E5047" s="95">
        <f>IFERROR(VLOOKUP($A5047,HeadJournal!$A$1:$NTR$890,COLUMN(HeadJournal!G$1),0),"")</f>
        <v>45911</v>
      </c>
      <c r="F5047" s="95" t="str">
        <f t="shared" si="375"/>
        <v>2025 09</v>
      </c>
      <c r="G5047" s="97" t="s">
        <v>5</v>
      </c>
      <c r="H5047" s="161" t="s">
        <v>2504</v>
      </c>
      <c r="I5047" s="97" t="s">
        <v>2036</v>
      </c>
      <c r="J5047" s="97" t="s">
        <v>3739</v>
      </c>
      <c r="K5047" s="29">
        <v>15.08</v>
      </c>
      <c r="L5047" s="29">
        <v>-4.375</v>
      </c>
      <c r="M5047" s="30">
        <f>IFERROR(VLOOKUP($A5047,HeadJournal!$A$1:$J$890,COLUMN(HeadJournal!I$1),0)*($K5047+$L5047)/(SUMIF($A:$A,$A5047,$K:$K)+SUMIF($A:$A,$A5047,$L:$L)),0)</f>
        <v>-1.2143850865826362</v>
      </c>
      <c r="N5047" s="30">
        <f>IFERROR((VLOOKUP($A5047,HeadJournal!$A$1:$K$890,COLUMN(HeadJournal!K$1),0)-VLOOKUP($A5047,HeadJournal!$A$1:$K$890,COLUMN(HeadJournal!J$1),0))*($K5047+$L5047)/(SUMIF($A:$A,$A5047,$K:$K)+SUMIF($A:$A,$A5047,$L:$L)),0)</f>
        <v>-1.7920508861613549E-15</v>
      </c>
      <c r="O5047" s="30">
        <f>IFERROR((VLOOKUP($A5047,HeadJournal!$A$1:$L$890,COLUMN(HeadJournal!L$1),0)*($K5047+$L5047)/(SUMIF($A:$A,$A5047,$K:$K)+SUMIF($A:$A,$A5047,$L:$L)))/VLOOKUP($A5047,HeadJournal!$A$1:$L$890,COLUMN(HeadJournal!H$1),0),0)</f>
        <v>0.3125216058040598</v>
      </c>
      <c r="P5047" s="30">
        <f>IFERROR(SUM(K5047:O5047)*VLOOKUP($A5047,HeadJournal!$A$1:$L$890,COLUMN(HeadJournal!H$1),0),0)</f>
        <v>899.90474673106348</v>
      </c>
      <c r="Q5047" s="29">
        <v>871.22</v>
      </c>
      <c r="R5047" s="31"/>
      <c r="S5047" s="31"/>
      <c r="T5047" s="95" t="str">
        <f t="shared" si="376"/>
        <v/>
      </c>
      <c r="U5047" s="32">
        <f t="shared" si="373"/>
        <v>-28.684746731063456</v>
      </c>
      <c r="V5047" s="22">
        <f t="shared" si="374"/>
        <v>-3.1875314398842586E-2</v>
      </c>
      <c r="X5047" s="33"/>
      <c r="Y5047" s="33"/>
    </row>
    <row r="5048" spans="1:25" x14ac:dyDescent="0.2">
      <c r="A5048" s="93" t="s">
        <v>4202</v>
      </c>
      <c r="B5048" s="94" t="str">
        <f>IFERROR(VLOOKUP($A5048,HeadJournal!$A$1:$NTR$890,COLUMN(HeadJournal!B$1),0),"")</f>
        <v>720000793891</v>
      </c>
      <c r="C5048" s="94" t="str">
        <f>IFERROR(VLOOKUP($A5048,HeadJournal!$A$1:$NTR$890,COLUMN(HeadJournal!C$1),0),"")</f>
        <v>iHerb_AV CYG0792</v>
      </c>
      <c r="D5048" s="125" t="str">
        <f>IFERROR(VLOOKUP($A5048,HeadJournal!$A$1:$NTR$890,COLUMN(HeadJournal!D$1),0),"")</f>
        <v>Доставлен</v>
      </c>
      <c r="E5048" s="95">
        <f>IFERROR(VLOOKUP($A5048,HeadJournal!$A$1:$NTR$890,COLUMN(HeadJournal!G$1),0),"")</f>
        <v>45911</v>
      </c>
      <c r="F5048" s="95" t="str">
        <f t="shared" si="375"/>
        <v>2025 09</v>
      </c>
      <c r="G5048" s="97" t="s">
        <v>5</v>
      </c>
      <c r="H5048" s="161" t="s">
        <v>3539</v>
      </c>
      <c r="I5048" s="97" t="s">
        <v>3524</v>
      </c>
      <c r="J5048" s="97" t="s">
        <v>4095</v>
      </c>
      <c r="K5048" s="29">
        <v>21.76</v>
      </c>
      <c r="L5048" s="29">
        <v>-6.31</v>
      </c>
      <c r="M5048" s="30">
        <f>IFERROR(VLOOKUP($A5048,HeadJournal!$A$1:$J$890,COLUMN(HeadJournal!I$1),0)*($K5048+$L5048)/(SUMIF($A:$A,$A5048,$K:$K)+SUMIF($A:$A,$A5048,$L:$L)),0)</f>
        <v>-1.752662268818471</v>
      </c>
      <c r="N5048" s="30">
        <f>IFERROR((VLOOKUP($A5048,HeadJournal!$A$1:$K$890,COLUMN(HeadJournal!K$1),0)-VLOOKUP($A5048,HeadJournal!$A$1:$K$890,COLUMN(HeadJournal!J$1),0))*($K5048+$L5048)/(SUMIF($A:$A,$A5048,$K:$K)+SUMIF($A:$A,$A5048,$L:$L)),0)</f>
        <v>-2.5863789062300738E-15</v>
      </c>
      <c r="O5048" s="30">
        <f>IFERROR((VLOOKUP($A5048,HeadJournal!$A$1:$L$890,COLUMN(HeadJournal!L$1),0)*($K5048+$L5048)/(SUMIF($A:$A,$A5048,$K:$K)+SUMIF($A:$A,$A5048,$L:$L)))/VLOOKUP($A5048,HeadJournal!$A$1:$L$890,COLUMN(HeadJournal!H$1),0),0)</f>
        <v>0.45104706302407521</v>
      </c>
      <c r="P5048" s="30">
        <f>IFERROR(SUM(K5048:O5048)*VLOOKUP($A5048,HeadJournal!$A$1:$L$890,COLUMN(HeadJournal!H$1),0),0)</f>
        <v>1298.7882612793028</v>
      </c>
      <c r="Q5048" s="29">
        <v>3000</v>
      </c>
      <c r="R5048" s="31">
        <v>45940</v>
      </c>
      <c r="S5048" s="31" t="s">
        <v>3235</v>
      </c>
      <c r="T5048" s="95" t="str">
        <f t="shared" si="376"/>
        <v>2025 10</v>
      </c>
      <c r="U5048" s="32">
        <f t="shared" si="373"/>
        <v>1701.2117387206972</v>
      </c>
      <c r="V5048" s="22">
        <f t="shared" si="374"/>
        <v>1.3098453300193893</v>
      </c>
      <c r="X5048" s="33"/>
      <c r="Y5048" s="33"/>
    </row>
    <row r="5049" spans="1:25" x14ac:dyDescent="0.2">
      <c r="A5049" s="93" t="s">
        <v>4202</v>
      </c>
      <c r="B5049" s="94" t="str">
        <f>IFERROR(VLOOKUP($A5049,HeadJournal!$A$1:$NTR$890,COLUMN(HeadJournal!B$1),0),"")</f>
        <v>720000793891</v>
      </c>
      <c r="C5049" s="94" t="str">
        <f>IFERROR(VLOOKUP($A5049,HeadJournal!$A$1:$NTR$890,COLUMN(HeadJournal!C$1),0),"")</f>
        <v>iHerb_AV CYG0792</v>
      </c>
      <c r="D5049" s="125" t="str">
        <f>IFERROR(VLOOKUP($A5049,HeadJournal!$A$1:$NTR$890,COLUMN(HeadJournal!D$1),0),"")</f>
        <v>Доставлен</v>
      </c>
      <c r="E5049" s="95">
        <f>IFERROR(VLOOKUP($A5049,HeadJournal!$A$1:$NTR$890,COLUMN(HeadJournal!G$1),0),"")</f>
        <v>45911</v>
      </c>
      <c r="F5049" s="95" t="str">
        <f t="shared" si="375"/>
        <v>2025 09</v>
      </c>
      <c r="G5049" s="97" t="s">
        <v>5</v>
      </c>
      <c r="H5049" s="161" t="s">
        <v>4096</v>
      </c>
      <c r="I5049" s="97" t="s">
        <v>4097</v>
      </c>
      <c r="J5049" s="97" t="s">
        <v>4098</v>
      </c>
      <c r="K5049" s="29">
        <v>65.13</v>
      </c>
      <c r="L5049" s="29">
        <v>-18.89</v>
      </c>
      <c r="M5049" s="30">
        <f>IFERROR(VLOOKUP($A5049,HeadJournal!$A$1:$J$890,COLUMN(HeadJournal!I$1),0)*($K5049+$L5049)/(SUMIF($A:$A,$A5049,$K:$K)+SUMIF($A:$A,$A5049,$L:$L)),0)</f>
        <v>-5.245508304865119</v>
      </c>
      <c r="N5049" s="30">
        <f>IFERROR((VLOOKUP($A5049,HeadJournal!$A$1:$K$890,COLUMN(HeadJournal!K$1),0)-VLOOKUP($A5049,HeadJournal!$A$1:$K$890,COLUMN(HeadJournal!J$1),0))*($K5049+$L5049)/(SUMIF($A:$A,$A5049,$K:$K)+SUMIF($A:$A,$A5049,$L:$L)),0)</f>
        <v>-7.7407223704905228E-15</v>
      </c>
      <c r="O5049" s="30">
        <f>IFERROR((VLOOKUP($A5049,HeadJournal!$A$1:$L$890,COLUMN(HeadJournal!L$1),0)*($K5049+$L5049)/(SUMIF($A:$A,$A5049,$K:$K)+SUMIF($A:$A,$A5049,$L:$L)))/VLOOKUP($A5049,HeadJournal!$A$1:$L$890,COLUMN(HeadJournal!H$1),0),0)</f>
        <v>1.3499298507594324</v>
      </c>
      <c r="P5049" s="30">
        <f>IFERROR(SUM(K5049:O5049)*VLOOKUP($A5049,HeadJournal!$A$1:$L$890,COLUMN(HeadJournal!H$1),0),0)</f>
        <v>3887.1177476734583</v>
      </c>
      <c r="Q5049" s="29">
        <v>6500</v>
      </c>
      <c r="R5049" s="31">
        <v>45940</v>
      </c>
      <c r="S5049" s="31" t="s">
        <v>3226</v>
      </c>
      <c r="T5049" s="95" t="str">
        <f t="shared" si="376"/>
        <v>2025 10</v>
      </c>
      <c r="U5049" s="32">
        <f t="shared" si="373"/>
        <v>2612.8822523265417</v>
      </c>
      <c r="V5049" s="22">
        <f t="shared" si="374"/>
        <v>0.67219014754323303</v>
      </c>
      <c r="X5049" s="33"/>
      <c r="Y5049" s="33"/>
    </row>
    <row r="5050" spans="1:25" x14ac:dyDescent="0.2">
      <c r="A5050" s="93" t="s">
        <v>4202</v>
      </c>
      <c r="B5050" s="94" t="str">
        <f>IFERROR(VLOOKUP($A5050,HeadJournal!$A$1:$NTR$890,COLUMN(HeadJournal!B$1),0),"")</f>
        <v>720000793891</v>
      </c>
      <c r="C5050" s="94" t="str">
        <f>IFERROR(VLOOKUP($A5050,HeadJournal!$A$1:$NTR$890,COLUMN(HeadJournal!C$1),0),"")</f>
        <v>iHerb_AV CYG0792</v>
      </c>
      <c r="D5050" s="125" t="str">
        <f>IFERROR(VLOOKUP($A5050,HeadJournal!$A$1:$NTR$890,COLUMN(HeadJournal!D$1),0),"")</f>
        <v>Доставлен</v>
      </c>
      <c r="E5050" s="95">
        <f>IFERROR(VLOOKUP($A5050,HeadJournal!$A$1:$NTR$890,COLUMN(HeadJournal!G$1),0),"")</f>
        <v>45911</v>
      </c>
      <c r="F5050" s="95" t="str">
        <f t="shared" si="375"/>
        <v>2025 09</v>
      </c>
      <c r="G5050" s="97" t="s">
        <v>5</v>
      </c>
      <c r="H5050" s="161" t="s">
        <v>3787</v>
      </c>
      <c r="I5050" s="97" t="s">
        <v>2036</v>
      </c>
      <c r="J5050" s="97" t="s">
        <v>4060</v>
      </c>
      <c r="K5050" s="29">
        <v>15.08</v>
      </c>
      <c r="L5050" s="29">
        <v>-4.37</v>
      </c>
      <c r="M5050" s="30">
        <f>IFERROR(VLOOKUP($A5050,HeadJournal!$A$1:$J$890,COLUMN(HeadJournal!I$1),0)*($K5050+$L5050)/(SUMIF($A:$A,$A5050,$K:$K)+SUMIF($A:$A,$A5050,$L:$L)),0)</f>
        <v>-1.214952291200377</v>
      </c>
      <c r="N5050" s="30">
        <f>IFERROR((VLOOKUP($A5050,HeadJournal!$A$1:$K$890,COLUMN(HeadJournal!K$1),0)-VLOOKUP($A5050,HeadJournal!$A$1:$K$890,COLUMN(HeadJournal!J$1),0))*($K5050+$L5050)/(SUMIF($A:$A,$A5050,$K:$K)+SUMIF($A:$A,$A5050,$L:$L)),0)</f>
        <v>-1.792887901988614E-15</v>
      </c>
      <c r="O5050" s="30">
        <f>IFERROR((VLOOKUP($A5050,HeadJournal!$A$1:$L$890,COLUMN(HeadJournal!L$1),0)*($K5050+$L5050)/(SUMIF($A:$A,$A5050,$K:$K)+SUMIF($A:$A,$A5050,$L:$L)))/VLOOKUP($A5050,HeadJournal!$A$1:$L$890,COLUMN(HeadJournal!H$1),0),0)</f>
        <v>0.31266757572736859</v>
      </c>
      <c r="P5050" s="30">
        <f>IFERROR(SUM(K5050:O5050)*VLOOKUP($A5050,HeadJournal!$A$1:$L$890,COLUMN(HeadJournal!H$1),0),0)</f>
        <v>900.32506655672046</v>
      </c>
      <c r="Q5050" s="29">
        <v>1900</v>
      </c>
      <c r="R5050" s="31">
        <v>45940</v>
      </c>
      <c r="S5050" s="31" t="s">
        <v>3226</v>
      </c>
      <c r="T5050" s="95" t="str">
        <f t="shared" si="376"/>
        <v>2025 10</v>
      </c>
      <c r="U5050" s="32">
        <f t="shared" ref="U5050:U5117" si="377">Q5050-P5050</f>
        <v>999.67493344327954</v>
      </c>
      <c r="V5050" s="22">
        <f t="shared" ref="V5050:V5117" si="378">IF(Q5050&lt;&gt;0,IFERROR(U5050/P5050,""),"")</f>
        <v>1.1103488846162211</v>
      </c>
      <c r="X5050" s="33"/>
      <c r="Y5050" s="33"/>
    </row>
    <row r="5051" spans="1:25" x14ac:dyDescent="0.2">
      <c r="A5051" s="93" t="s">
        <v>4202</v>
      </c>
      <c r="B5051" s="94" t="str">
        <f>IFERROR(VLOOKUP($A5051,HeadJournal!$A$1:$NTR$890,COLUMN(HeadJournal!B$1),0),"")</f>
        <v>720000793891</v>
      </c>
      <c r="C5051" s="94" t="str">
        <f>IFERROR(VLOOKUP($A5051,HeadJournal!$A$1:$NTR$890,COLUMN(HeadJournal!C$1),0),"")</f>
        <v>iHerb_AV CYG0792</v>
      </c>
      <c r="D5051" s="125" t="str">
        <f>IFERROR(VLOOKUP($A5051,HeadJournal!$A$1:$NTR$890,COLUMN(HeadJournal!D$1),0),"")</f>
        <v>Доставлен</v>
      </c>
      <c r="E5051" s="95">
        <f>IFERROR(VLOOKUP($A5051,HeadJournal!$A$1:$NTR$890,COLUMN(HeadJournal!G$1),0),"")</f>
        <v>45911</v>
      </c>
      <c r="F5051" s="95" t="str">
        <f t="shared" si="375"/>
        <v>2025 09</v>
      </c>
      <c r="G5051" s="97" t="s">
        <v>5</v>
      </c>
      <c r="H5051" s="161" t="s">
        <v>2431</v>
      </c>
      <c r="I5051" s="97" t="s">
        <v>2221</v>
      </c>
      <c r="J5051" s="97" t="s">
        <v>4196</v>
      </c>
      <c r="K5051" s="29">
        <v>13.03</v>
      </c>
      <c r="L5051" s="29">
        <v>-3.78</v>
      </c>
      <c r="M5051" s="30">
        <f>IFERROR(VLOOKUP($A5051,HeadJournal!$A$1:$J$890,COLUMN(HeadJournal!I$1),0)*($K5051+$L5051)/(SUMIF($A:$A,$A5051,$K:$K)+SUMIF($A:$A,$A5051,$L:$L)),0)</f>
        <v>-1.04932854282012</v>
      </c>
      <c r="N5051" s="30">
        <f>IFERROR((VLOOKUP($A5051,HeadJournal!$A$1:$K$890,COLUMN(HeadJournal!K$1),0)-VLOOKUP($A5051,HeadJournal!$A$1:$K$890,COLUMN(HeadJournal!J$1),0))*($K5051+$L5051)/(SUMIF($A:$A,$A5051,$K:$K)+SUMIF($A:$A,$A5051,$L:$L)),0)</f>
        <v>-1.5484792804290082E-15</v>
      </c>
      <c r="O5051" s="30">
        <f>IFERROR((VLOOKUP($A5051,HeadJournal!$A$1:$L$890,COLUMN(HeadJournal!L$1),0)*($K5051+$L5051)/(SUMIF($A:$A,$A5051,$K:$K)+SUMIF($A:$A,$A5051,$L:$L)))/VLOOKUP($A5051,HeadJournal!$A$1:$L$890,COLUMN(HeadJournal!H$1),0),0)</f>
        <v>0.27004435812121003</v>
      </c>
      <c r="P5051" s="30">
        <f>IFERROR(SUM(K5051:O5051)*VLOOKUP($A5051,HeadJournal!$A$1:$L$890,COLUMN(HeadJournal!H$1),0),0)</f>
        <v>777.59167746495439</v>
      </c>
      <c r="Q5051" s="29">
        <v>2300</v>
      </c>
      <c r="R5051" s="31">
        <v>46007</v>
      </c>
      <c r="S5051" s="31" t="s">
        <v>4630</v>
      </c>
      <c r="T5051" s="95" t="str">
        <f t="shared" si="376"/>
        <v>2025 12</v>
      </c>
      <c r="U5051" s="32">
        <f t="shared" si="377"/>
        <v>1522.4083225350455</v>
      </c>
      <c r="V5051" s="22">
        <f t="shared" si="378"/>
        <v>1.9578505874680732</v>
      </c>
      <c r="X5051" s="33"/>
      <c r="Y5051" s="33"/>
    </row>
    <row r="5052" spans="1:25" x14ac:dyDescent="0.2">
      <c r="A5052" s="93" t="s">
        <v>4202</v>
      </c>
      <c r="B5052" s="94" t="str">
        <f>IFERROR(VLOOKUP($A5052,HeadJournal!$A$1:$NTR$890,COLUMN(HeadJournal!B$1),0),"")</f>
        <v>720000793891</v>
      </c>
      <c r="C5052" s="94" t="str">
        <f>IFERROR(VLOOKUP($A5052,HeadJournal!$A$1:$NTR$890,COLUMN(HeadJournal!C$1),0),"")</f>
        <v>iHerb_AV CYG0792</v>
      </c>
      <c r="D5052" s="125" t="str">
        <f>IFERROR(VLOOKUP($A5052,HeadJournal!$A$1:$NTR$890,COLUMN(HeadJournal!D$1),0),"")</f>
        <v>Доставлен</v>
      </c>
      <c r="E5052" s="95">
        <f>IFERROR(VLOOKUP($A5052,HeadJournal!$A$1:$NTR$890,COLUMN(HeadJournal!G$1),0),"")</f>
        <v>45911</v>
      </c>
      <c r="F5052" s="95" t="str">
        <f t="shared" si="375"/>
        <v>2025 09</v>
      </c>
      <c r="G5052" s="97" t="s">
        <v>5</v>
      </c>
      <c r="H5052" s="161" t="s">
        <v>2430</v>
      </c>
      <c r="I5052" s="97" t="s">
        <v>2221</v>
      </c>
      <c r="J5052" s="97" t="s">
        <v>4197</v>
      </c>
      <c r="K5052" s="29">
        <v>7.44</v>
      </c>
      <c r="L5052" s="29">
        <v>-2.16</v>
      </c>
      <c r="M5052" s="30">
        <f>IFERROR(VLOOKUP($A5052,HeadJournal!$A$1:$J$890,COLUMN(HeadJournal!I$1),0)*($K5052+$L5052)/(SUMIF($A:$A,$A5052,$K:$K)+SUMIF($A:$A,$A5052,$L:$L)),0)</f>
        <v>-0.59896807633407945</v>
      </c>
      <c r="N5052" s="30">
        <f>IFERROR((VLOOKUP($A5052,HeadJournal!$A$1:$K$890,COLUMN(HeadJournal!K$1),0)-VLOOKUP($A5052,HeadJournal!$A$1:$K$890,COLUMN(HeadJournal!J$1),0))*($K5052+$L5052)/(SUMIF($A:$A,$A5052,$K:$K)+SUMIF($A:$A,$A5052,$L:$L)),0)</f>
        <v>-8.8388871358542309E-16</v>
      </c>
      <c r="O5052" s="30">
        <f>IFERROR((VLOOKUP($A5052,HeadJournal!$A$1:$L$890,COLUMN(HeadJournal!L$1),0)*($K5052+$L5052)/(SUMIF($A:$A,$A5052,$K:$K)+SUMIF($A:$A,$A5052,$L:$L)))/VLOOKUP($A5052,HeadJournal!$A$1:$L$890,COLUMN(HeadJournal!H$1),0),0)</f>
        <v>0.15414423901405286</v>
      </c>
      <c r="P5052" s="30">
        <f>IFERROR(SUM(K5052:O5052)*VLOOKUP($A5052,HeadJournal!$A$1:$L$890,COLUMN(HeadJournal!H$1),0),0)</f>
        <v>443.85773589350907</v>
      </c>
      <c r="Q5052" s="29">
        <v>1600</v>
      </c>
      <c r="R5052" s="31">
        <v>45952</v>
      </c>
      <c r="S5052" s="31" t="s">
        <v>4638</v>
      </c>
      <c r="T5052" s="95" t="str">
        <f t="shared" si="376"/>
        <v>2025 10</v>
      </c>
      <c r="U5052" s="32">
        <f t="shared" si="377"/>
        <v>1156.142264106491</v>
      </c>
      <c r="V5052" s="22">
        <f t="shared" si="378"/>
        <v>2.6047586210908671</v>
      </c>
      <c r="X5052" s="33"/>
      <c r="Y5052" s="33"/>
    </row>
    <row r="5053" spans="1:25" x14ac:dyDescent="0.2">
      <c r="A5053" s="93" t="s">
        <v>4202</v>
      </c>
      <c r="B5053" s="94" t="str">
        <f>IFERROR(VLOOKUP($A5053,HeadJournal!$A$1:$NTR$890,COLUMN(HeadJournal!B$1),0),"")</f>
        <v>720000793891</v>
      </c>
      <c r="C5053" s="94" t="str">
        <f>IFERROR(VLOOKUP($A5053,HeadJournal!$A$1:$NTR$890,COLUMN(HeadJournal!C$1),0),"")</f>
        <v>iHerb_AV CYG0792</v>
      </c>
      <c r="D5053" s="125" t="str">
        <f>IFERROR(VLOOKUP($A5053,HeadJournal!$A$1:$NTR$890,COLUMN(HeadJournal!D$1),0),"")</f>
        <v>Доставлен</v>
      </c>
      <c r="E5053" s="95">
        <f>IFERROR(VLOOKUP($A5053,HeadJournal!$A$1:$NTR$890,COLUMN(HeadJournal!G$1),0),"")</f>
        <v>45911</v>
      </c>
      <c r="F5053" s="95" t="str">
        <f t="shared" si="375"/>
        <v>2025 09</v>
      </c>
      <c r="G5053" s="97" t="s">
        <v>5</v>
      </c>
      <c r="H5053" s="161" t="s">
        <v>2899</v>
      </c>
      <c r="I5053" s="97" t="s">
        <v>2042</v>
      </c>
      <c r="J5053" s="97" t="s">
        <v>2900</v>
      </c>
      <c r="K5053" s="29">
        <v>9.41</v>
      </c>
      <c r="L5053" s="29">
        <v>-2.73</v>
      </c>
      <c r="M5053" s="30">
        <f>IFERROR(VLOOKUP($A5053,HeadJournal!$A$1:$J$890,COLUMN(HeadJournal!I$1),0)*($K5053+$L5053)/(SUMIF($A:$A,$A5053,$K:$K)+SUMIF($A:$A,$A5053,$L:$L)),0)</f>
        <v>-0.7577853693014488</v>
      </c>
      <c r="N5053" s="30">
        <f>IFERROR((VLOOKUP($A5053,HeadJournal!$A$1:$K$890,COLUMN(HeadJournal!K$1),0)-VLOOKUP($A5053,HeadJournal!$A$1:$K$890,COLUMN(HeadJournal!J$1),0))*($K5053+$L5053)/(SUMIF($A:$A,$A5053,$K:$K)+SUMIF($A:$A,$A5053,$L:$L)),0)</f>
        <v>-1.1182531452179216E-15</v>
      </c>
      <c r="O5053" s="30">
        <f>IFERROR((VLOOKUP($A5053,HeadJournal!$A$1:$L$890,COLUMN(HeadJournal!L$1),0)*($K5053+$L5053)/(SUMIF($A:$A,$A5053,$K:$K)+SUMIF($A:$A,$A5053,$L:$L)))/VLOOKUP($A5053,HeadJournal!$A$1:$L$890,COLUMN(HeadJournal!H$1),0),0)</f>
        <v>0.19501581754050626</v>
      </c>
      <c r="P5053" s="30">
        <f>IFERROR(SUM(K5053:O5053)*VLOOKUP($A5053,HeadJournal!$A$1:$L$890,COLUMN(HeadJournal!H$1),0),0)</f>
        <v>561.54728707739412</v>
      </c>
      <c r="Q5053" s="29">
        <v>1500</v>
      </c>
      <c r="R5053" s="31">
        <v>46133</v>
      </c>
      <c r="S5053" s="31"/>
      <c r="T5053" s="95" t="str">
        <f t="shared" si="376"/>
        <v>2026 04</v>
      </c>
      <c r="U5053" s="32">
        <f t="shared" si="377"/>
        <v>938.45271292260588</v>
      </c>
      <c r="V5053" s="22">
        <f t="shared" si="378"/>
        <v>1.6711908943712259</v>
      </c>
      <c r="X5053" s="33"/>
      <c r="Y5053" s="33"/>
    </row>
    <row r="5054" spans="1:25" x14ac:dyDescent="0.2">
      <c r="A5054" s="93" t="s">
        <v>4202</v>
      </c>
      <c r="B5054" s="94" t="str">
        <f>IFERROR(VLOOKUP($A5054,HeadJournal!$A$1:$NTR$890,COLUMN(HeadJournal!B$1),0),"")</f>
        <v>720000793891</v>
      </c>
      <c r="C5054" s="94" t="str">
        <f>IFERROR(VLOOKUP($A5054,HeadJournal!$A$1:$NTR$890,COLUMN(HeadJournal!C$1),0),"")</f>
        <v>iHerb_AV CYG0792</v>
      </c>
      <c r="D5054" s="125" t="str">
        <f>IFERROR(VLOOKUP($A5054,HeadJournal!$A$1:$NTR$890,COLUMN(HeadJournal!D$1),0),"")</f>
        <v>Доставлен</v>
      </c>
      <c r="E5054" s="95">
        <f>IFERROR(VLOOKUP($A5054,HeadJournal!$A$1:$NTR$890,COLUMN(HeadJournal!G$1),0),"")</f>
        <v>45911</v>
      </c>
      <c r="F5054" s="95" t="str">
        <f t="shared" si="375"/>
        <v>2025 09</v>
      </c>
      <c r="G5054" s="97" t="s">
        <v>5</v>
      </c>
      <c r="H5054" s="161" t="s">
        <v>4198</v>
      </c>
      <c r="I5054" s="97" t="s">
        <v>3759</v>
      </c>
      <c r="J5054" s="97" t="s">
        <v>4199</v>
      </c>
      <c r="K5054" s="29">
        <v>33.11</v>
      </c>
      <c r="L5054" s="29">
        <v>-9.6</v>
      </c>
      <c r="M5054" s="30">
        <f>IFERROR(VLOOKUP($A5054,HeadJournal!$A$1:$J$890,COLUMN(HeadJournal!I$1),0)*($K5054+$L5054)/(SUMIF($A:$A,$A5054,$K:$K)+SUMIF($A:$A,$A5054,$L:$L)),0)</f>
        <v>-2.6669961126163266</v>
      </c>
      <c r="N5054" s="30">
        <f>IFERROR((VLOOKUP($A5054,HeadJournal!$A$1:$K$890,COLUMN(HeadJournal!K$1),0)-VLOOKUP($A5054,HeadJournal!$A$1:$K$890,COLUMN(HeadJournal!J$1),0))*($K5054+$L5054)/(SUMIF($A:$A,$A5054,$K:$K)+SUMIF($A:$A,$A5054,$L:$L)),0)</f>
        <v>-3.9356484197714578E-15</v>
      </c>
      <c r="O5054" s="30">
        <f>IFERROR((VLOOKUP($A5054,HeadJournal!$A$1:$L$890,COLUMN(HeadJournal!L$1),0)*($K5054+$L5054)/(SUMIF($A:$A,$A5054,$K:$K)+SUMIF($A:$A,$A5054,$L:$L)))/VLOOKUP($A5054,HeadJournal!$A$1:$L$890,COLUMN(HeadJournal!H$1),0),0)</f>
        <v>0.68635057939779975</v>
      </c>
      <c r="P5054" s="30">
        <f>IFERROR(SUM(K5054:O5054)*VLOOKUP($A5054,HeadJournal!$A$1:$L$890,COLUMN(HeadJournal!H$1),0),0)</f>
        <v>1976.3438202379543</v>
      </c>
      <c r="Q5054" s="29">
        <v>3500</v>
      </c>
      <c r="R5054" s="31">
        <v>45940</v>
      </c>
      <c r="S5054" s="31" t="s">
        <v>3475</v>
      </c>
      <c r="T5054" s="95" t="str">
        <f t="shared" si="376"/>
        <v>2025 10</v>
      </c>
      <c r="U5054" s="32">
        <f t="shared" si="377"/>
        <v>1523.6561797620457</v>
      </c>
      <c r="V5054" s="22">
        <f t="shared" si="378"/>
        <v>0.77094691933643178</v>
      </c>
      <c r="X5054" s="33"/>
      <c r="Y5054" s="33"/>
    </row>
    <row r="5055" spans="1:25" x14ac:dyDescent="0.2">
      <c r="A5055" s="93" t="s">
        <v>4202</v>
      </c>
      <c r="B5055" s="94" t="str">
        <f>IFERROR(VLOOKUP($A5055,HeadJournal!$A$1:$NTR$890,COLUMN(HeadJournal!B$1),0),"")</f>
        <v>720000793891</v>
      </c>
      <c r="C5055" s="94" t="str">
        <f>IFERROR(VLOOKUP($A5055,HeadJournal!$A$1:$NTR$890,COLUMN(HeadJournal!C$1),0),"")</f>
        <v>iHerb_AV CYG0792</v>
      </c>
      <c r="D5055" s="125" t="str">
        <f>IFERROR(VLOOKUP($A5055,HeadJournal!$A$1:$NTR$890,COLUMN(HeadJournal!D$1),0),"")</f>
        <v>Доставлен</v>
      </c>
      <c r="E5055" s="95">
        <f>IFERROR(VLOOKUP($A5055,HeadJournal!$A$1:$NTR$890,COLUMN(HeadJournal!G$1),0),"")</f>
        <v>45911</v>
      </c>
      <c r="F5055" s="95" t="str">
        <f t="shared" si="375"/>
        <v>2025 09</v>
      </c>
      <c r="G5055" s="97" t="s">
        <v>5</v>
      </c>
      <c r="H5055" s="161" t="s">
        <v>4200</v>
      </c>
      <c r="I5055" s="97" t="s">
        <v>2460</v>
      </c>
      <c r="J5055" s="97" t="s">
        <v>4201</v>
      </c>
      <c r="K5055" s="29">
        <v>44.02</v>
      </c>
      <c r="L5055" s="29">
        <v>-12.77</v>
      </c>
      <c r="M5055" s="30">
        <f>IFERROR(VLOOKUP($A5055,HeadJournal!$A$1:$J$890,COLUMN(HeadJournal!I$1),0)*($K5055+$L5055)/(SUMIF($A:$A,$A5055,$K:$K)+SUMIF($A:$A,$A5055,$L:$L)),0)</f>
        <v>-3.5450288608787845</v>
      </c>
      <c r="N5055" s="30">
        <f>IFERROR((VLOOKUP($A5055,HeadJournal!$A$1:$K$890,COLUMN(HeadJournal!K$1),0)-VLOOKUP($A5055,HeadJournal!$A$1:$K$890,COLUMN(HeadJournal!J$1),0))*($K5055+$L5055)/(SUMIF($A:$A,$A5055,$K:$K)+SUMIF($A:$A,$A5055,$L:$L)),0)</f>
        <v>-5.2313489203682721E-15</v>
      </c>
      <c r="O5055" s="30">
        <f>IFERROR((VLOOKUP($A5055,HeadJournal!$A$1:$L$890,COLUMN(HeadJournal!L$1),0)*($K5055+$L5055)/(SUMIF($A:$A,$A5055,$K:$K)+SUMIF($A:$A,$A5055,$L:$L)))/VLOOKUP($A5055,HeadJournal!$A$1:$L$890,COLUMN(HeadJournal!H$1),0),0)</f>
        <v>0.91231202067976369</v>
      </c>
      <c r="P5055" s="30">
        <f>IFERROR(SUM(K5055:O5055)*VLOOKUP($A5055,HeadJournal!$A$1:$L$890,COLUMN(HeadJournal!H$1),0),0)</f>
        <v>2626.9989103545763</v>
      </c>
      <c r="Q5055" s="29">
        <v>4500</v>
      </c>
      <c r="R5055" s="31">
        <v>45940</v>
      </c>
      <c r="S5055" s="31" t="s">
        <v>3475</v>
      </c>
      <c r="T5055" s="95" t="str">
        <f t="shared" si="376"/>
        <v>2025 10</v>
      </c>
      <c r="U5055" s="32">
        <f t="shared" si="377"/>
        <v>1873.0010896454237</v>
      </c>
      <c r="V5055" s="22">
        <f t="shared" si="378"/>
        <v>0.71298129674237942</v>
      </c>
      <c r="X5055" s="33"/>
      <c r="Y5055" s="33"/>
    </row>
    <row r="5056" spans="1:25" x14ac:dyDescent="0.2">
      <c r="A5056" s="93" t="s">
        <v>4209</v>
      </c>
      <c r="B5056" s="94" t="str">
        <f>IFERROR(VLOOKUP($A5056,HeadJournal!$A$1:$NTR$890,COLUMN(HeadJournal!B$1),0),"")</f>
        <v>722500536535</v>
      </c>
      <c r="C5056" s="94" t="str">
        <f>IFERROR(VLOOKUP($A5056,HeadJournal!$A$1:$NTR$890,COLUMN(HeadJournal!C$1),0),"")</f>
        <v>iHerb_VP DFD1605</v>
      </c>
      <c r="D5056" s="125" t="str">
        <f>IFERROR(VLOOKUP($A5056,HeadJournal!$A$1:$NTR$890,COLUMN(HeadJournal!D$1),0),"")</f>
        <v>Доставлен</v>
      </c>
      <c r="E5056" s="95">
        <f>IFERROR(VLOOKUP($A5056,HeadJournal!$A$1:$NTR$890,COLUMN(HeadJournal!G$1),0),"")</f>
        <v>45912</v>
      </c>
      <c r="F5056" s="95" t="str">
        <f t="shared" si="375"/>
        <v>2025 09</v>
      </c>
      <c r="G5056" s="97" t="s">
        <v>5</v>
      </c>
      <c r="H5056" s="161" t="s">
        <v>4204</v>
      </c>
      <c r="I5056" s="97" t="s">
        <v>4205</v>
      </c>
      <c r="J5056" s="97" t="s">
        <v>4206</v>
      </c>
      <c r="K5056" s="29">
        <v>38.78</v>
      </c>
      <c r="L5056" s="29">
        <v>-3.88</v>
      </c>
      <c r="M5056" s="30">
        <f>IFERROR(VLOOKUP($A5056,HeadJournal!$A$1:$J$890,COLUMN(HeadJournal!I$1),0)*($K5056+$L5056)/(SUMIF($A:$A,$A5056,$K:$K)+SUMIF($A:$A,$A5056,$L:$L)),0)</f>
        <v>-5.0424044875682235</v>
      </c>
      <c r="N5056" s="30">
        <f>IFERROR((VLOOKUP($A5056,HeadJournal!$A$1:$K$890,COLUMN(HeadJournal!K$1),0)-VLOOKUP($A5056,HeadJournal!$A$1:$K$890,COLUMN(HeadJournal!J$1),0))*($K5056+$L5056)/(SUMIF($A:$A,$A5056,$K:$K)+SUMIF($A:$A,$A5056,$L:$L)),0)</f>
        <v>3.7595423708349753E-15</v>
      </c>
      <c r="O5056" s="30">
        <f>IFERROR((VLOOKUP($A5056,HeadJournal!$A$1:$L$890,COLUMN(HeadJournal!L$1),0)*($K5056+$L5056)/(SUMIF($A:$A,$A5056,$K:$K)+SUMIF($A:$A,$A5056,$L:$L)))/VLOOKUP($A5056,HeadJournal!$A$1:$L$890,COLUMN(HeadJournal!H$1),0),0)</f>
        <v>1.2876606312765002</v>
      </c>
      <c r="P5056" s="30">
        <f>IFERROR(SUM(K5056:O5056)*VLOOKUP($A5056,HeadJournal!$A$1:$L$890,COLUMN(HeadJournal!H$1),0),0)</f>
        <v>2911.4991661613103</v>
      </c>
      <c r="Q5056" s="29">
        <v>4000</v>
      </c>
      <c r="R5056" s="31">
        <v>45940</v>
      </c>
      <c r="S5056" s="31" t="s">
        <v>3475</v>
      </c>
      <c r="T5056" s="95" t="str">
        <f t="shared" si="376"/>
        <v>2025 10</v>
      </c>
      <c r="U5056" s="32">
        <f t="shared" si="377"/>
        <v>1088.5008338386897</v>
      </c>
      <c r="V5056" s="22">
        <f t="shared" si="378"/>
        <v>0.37386266377463279</v>
      </c>
      <c r="X5056" s="33"/>
      <c r="Y5056" s="33"/>
    </row>
    <row r="5057" spans="1:25" x14ac:dyDescent="0.2">
      <c r="A5057" s="93" t="s">
        <v>4209</v>
      </c>
      <c r="B5057" s="94" t="str">
        <f>IFERROR(VLOOKUP($A5057,HeadJournal!$A$1:$NTR$890,COLUMN(HeadJournal!B$1),0),"")</f>
        <v>722500536535</v>
      </c>
      <c r="C5057" s="94" t="str">
        <f>IFERROR(VLOOKUP($A5057,HeadJournal!$A$1:$NTR$890,COLUMN(HeadJournal!C$1),0),"")</f>
        <v>iHerb_VP DFD1605</v>
      </c>
      <c r="D5057" s="125" t="str">
        <f>IFERROR(VLOOKUP($A5057,HeadJournal!$A$1:$NTR$890,COLUMN(HeadJournal!D$1),0),"")</f>
        <v>Доставлен</v>
      </c>
      <c r="E5057" s="95">
        <f>IFERROR(VLOOKUP($A5057,HeadJournal!$A$1:$NTR$890,COLUMN(HeadJournal!G$1),0),"")</f>
        <v>45912</v>
      </c>
      <c r="F5057" s="95" t="str">
        <f t="shared" si="375"/>
        <v>2025 09</v>
      </c>
      <c r="G5057" s="97" t="s">
        <v>5</v>
      </c>
      <c r="H5057" s="161" t="s">
        <v>3778</v>
      </c>
      <c r="I5057" s="97" t="s">
        <v>3779</v>
      </c>
      <c r="J5057" s="97" t="s">
        <v>3780</v>
      </c>
      <c r="K5057" s="29">
        <v>19.059999999999999</v>
      </c>
      <c r="L5057" s="29">
        <v>-1.91</v>
      </c>
      <c r="M5057" s="30">
        <f>IFERROR(VLOOKUP($A5057,HeadJournal!$A$1:$J$890,COLUMN(HeadJournal!I$1),0)*($K5057+$L5057)/(SUMIF($A:$A,$A5057,$K:$K)+SUMIF($A:$A,$A5057,$L:$L)),0)</f>
        <v>-2.4778577926015766</v>
      </c>
      <c r="N5057" s="30">
        <f>IFERROR((VLOOKUP($A5057,HeadJournal!$A$1:$K$890,COLUMN(HeadJournal!K$1),0)-VLOOKUP($A5057,HeadJournal!$A$1:$K$890,COLUMN(HeadJournal!J$1),0))*($K5057+$L5057)/(SUMIF($A:$A,$A5057,$K:$K)+SUMIF($A:$A,$A5057,$L:$L)),0)</f>
        <v>1.8474542022871011E-15</v>
      </c>
      <c r="O5057" s="30">
        <f>IFERROR((VLOOKUP($A5057,HeadJournal!$A$1:$L$890,COLUMN(HeadJournal!L$1),0)*($K5057+$L5057)/(SUMIF($A:$A,$A5057,$K:$K)+SUMIF($A:$A,$A5057,$L:$L)))/VLOOKUP($A5057,HeadJournal!$A$1:$L$890,COLUMN(HeadJournal!H$1),0),0)</f>
        <v>0.63276159961008527</v>
      </c>
      <c r="P5057" s="30">
        <f>IFERROR(SUM(K5057:O5057)*VLOOKUP($A5057,HeadJournal!$A$1:$L$890,COLUMN(HeadJournal!H$1),0),0)</f>
        <v>1430.7223696179503</v>
      </c>
      <c r="Q5057" s="29">
        <v>2200</v>
      </c>
      <c r="R5057" s="31">
        <v>45940</v>
      </c>
      <c r="S5057" s="31" t="s">
        <v>3475</v>
      </c>
      <c r="T5057" s="95" t="str">
        <f t="shared" si="376"/>
        <v>2025 10</v>
      </c>
      <c r="U5057" s="32">
        <f t="shared" si="377"/>
        <v>769.27763038204967</v>
      </c>
      <c r="V5057" s="22">
        <f t="shared" si="378"/>
        <v>0.53768477149586469</v>
      </c>
      <c r="X5057" s="33"/>
      <c r="Y5057" s="33"/>
    </row>
    <row r="5058" spans="1:25" x14ac:dyDescent="0.2">
      <c r="A5058" s="93" t="s">
        <v>4209</v>
      </c>
      <c r="B5058" s="94" t="str">
        <f>IFERROR(VLOOKUP($A5058,HeadJournal!$A$1:$NTR$890,COLUMN(HeadJournal!B$1),0),"")</f>
        <v>722500536535</v>
      </c>
      <c r="C5058" s="94" t="str">
        <f>IFERROR(VLOOKUP($A5058,HeadJournal!$A$1:$NTR$890,COLUMN(HeadJournal!C$1),0),"")</f>
        <v>iHerb_VP DFD1605</v>
      </c>
      <c r="D5058" s="125" t="str">
        <f>IFERROR(VLOOKUP($A5058,HeadJournal!$A$1:$NTR$890,COLUMN(HeadJournal!D$1),0),"")</f>
        <v>Доставлен</v>
      </c>
      <c r="E5058" s="95">
        <f>IFERROR(VLOOKUP($A5058,HeadJournal!$A$1:$NTR$890,COLUMN(HeadJournal!G$1),0),"")</f>
        <v>45912</v>
      </c>
      <c r="F5058" s="95" t="str">
        <f t="shared" si="375"/>
        <v>2025 09</v>
      </c>
      <c r="G5058" s="97" t="s">
        <v>5</v>
      </c>
      <c r="H5058" s="161" t="s">
        <v>2024</v>
      </c>
      <c r="I5058" s="97" t="s">
        <v>2005</v>
      </c>
      <c r="J5058" s="97" t="s">
        <v>4140</v>
      </c>
      <c r="K5058" s="29">
        <v>17.38</v>
      </c>
      <c r="L5058" s="29">
        <v>-1.74</v>
      </c>
      <c r="M5058" s="30">
        <f>IFERROR(VLOOKUP($A5058,HeadJournal!$A$1:$J$890,COLUMN(HeadJournal!I$1),0)*($K5058+$L5058)/(SUMIF($A:$A,$A5058,$K:$K)+SUMIF($A:$A,$A5058,$L:$L)),0)</f>
        <v>-2.2596907216494846</v>
      </c>
      <c r="N5058" s="30">
        <f>IFERROR((VLOOKUP($A5058,HeadJournal!$A$1:$K$890,COLUMN(HeadJournal!K$1),0)-VLOOKUP($A5058,HeadJournal!$A$1:$K$890,COLUMN(HeadJournal!J$1),0))*($K5058+$L5058)/(SUMIF($A:$A,$A5058,$K:$K)+SUMIF($A:$A,$A5058,$L:$L)),0)</f>
        <v>1.6847920538641552E-15</v>
      </c>
      <c r="O5058" s="30">
        <f>IFERROR((VLOOKUP($A5058,HeadJournal!$A$1:$L$890,COLUMN(HeadJournal!L$1),0)*($K5058+$L5058)/(SUMIF($A:$A,$A5058,$K:$K)+SUMIF($A:$A,$A5058,$L:$L)))/VLOOKUP($A5058,HeadJournal!$A$1:$L$890,COLUMN(HeadJournal!H$1),0),0)</f>
        <v>0.57704906226832264</v>
      </c>
      <c r="P5058" s="30">
        <f>IFERROR(SUM(K5058:O5058)*VLOOKUP($A5058,HeadJournal!$A$1:$L$890,COLUMN(HeadJournal!H$1),0),0)</f>
        <v>1304.7520618556703</v>
      </c>
      <c r="Q5058" s="29">
        <v>2300</v>
      </c>
      <c r="R5058" s="31">
        <v>45971</v>
      </c>
      <c r="S5058" s="31" t="s">
        <v>3206</v>
      </c>
      <c r="T5058" s="95" t="str">
        <f t="shared" si="376"/>
        <v>2025 11</v>
      </c>
      <c r="U5058" s="32">
        <f t="shared" si="377"/>
        <v>995.24793814432974</v>
      </c>
      <c r="V5058" s="22">
        <f t="shared" si="378"/>
        <v>0.76278702079906935</v>
      </c>
      <c r="X5058" s="33"/>
      <c r="Y5058" s="33"/>
    </row>
    <row r="5059" spans="1:25" x14ac:dyDescent="0.2">
      <c r="A5059" s="93" t="s">
        <v>4209</v>
      </c>
      <c r="B5059" s="94" t="str">
        <f>IFERROR(VLOOKUP($A5059,HeadJournal!$A$1:$NTR$890,COLUMN(HeadJournal!B$1),0),"")</f>
        <v>722500536535</v>
      </c>
      <c r="C5059" s="94" t="str">
        <f>IFERROR(VLOOKUP($A5059,HeadJournal!$A$1:$NTR$890,COLUMN(HeadJournal!C$1),0),"")</f>
        <v>iHerb_VP DFD1605</v>
      </c>
      <c r="D5059" s="125" t="str">
        <f>IFERROR(VLOOKUP($A5059,HeadJournal!$A$1:$NTR$890,COLUMN(HeadJournal!D$1),0),"")</f>
        <v>Доставлен</v>
      </c>
      <c r="E5059" s="95">
        <f>IFERROR(VLOOKUP($A5059,HeadJournal!$A$1:$NTR$890,COLUMN(HeadJournal!G$1),0),"")</f>
        <v>45912</v>
      </c>
      <c r="F5059" s="95" t="str">
        <f t="shared" si="375"/>
        <v>2025 09</v>
      </c>
      <c r="G5059" s="97" t="s">
        <v>5</v>
      </c>
      <c r="H5059" s="161" t="s">
        <v>3796</v>
      </c>
      <c r="I5059" s="97" t="s">
        <v>2009</v>
      </c>
      <c r="J5059" s="97" t="s">
        <v>3797</v>
      </c>
      <c r="K5059" s="29">
        <v>24.16</v>
      </c>
      <c r="L5059" s="29">
        <v>-2.42</v>
      </c>
      <c r="M5059" s="30">
        <f>IFERROR(VLOOKUP($A5059,HeadJournal!$A$1:$J$890,COLUMN(HeadJournal!I$1),0)*($K5059+$L5059)/(SUMIF($A:$A,$A5059,$K:$K)+SUMIF($A:$A,$A5059,$L:$L)),0)</f>
        <v>-3.1410278956943603</v>
      </c>
      <c r="N5059" s="30">
        <f>IFERROR((VLOOKUP($A5059,HeadJournal!$A$1:$K$890,COLUMN(HeadJournal!K$1),0)-VLOOKUP($A5059,HeadJournal!$A$1:$K$890,COLUMN(HeadJournal!J$1),0))*($K5059+$L5059)/(SUMIF($A:$A,$A5059,$K:$K)+SUMIF($A:$A,$A5059,$L:$L)),0)</f>
        <v>2.3419040441820164E-15</v>
      </c>
      <c r="O5059" s="30">
        <f>IFERROR((VLOOKUP($A5059,HeadJournal!$A$1:$L$890,COLUMN(HeadJournal!L$1),0)*($K5059+$L5059)/(SUMIF($A:$A,$A5059,$K:$K)+SUMIF($A:$A,$A5059,$L:$L)))/VLOOKUP($A5059,HeadJournal!$A$1:$L$890,COLUMN(HeadJournal!H$1),0),0)</f>
        <v>0.8021129548410062</v>
      </c>
      <c r="P5059" s="30">
        <f>IFERROR(SUM(K5059:O5059)*VLOOKUP($A5059,HeadJournal!$A$1:$L$890,COLUMN(HeadJournal!H$1),0),0)</f>
        <v>1813.6387355973322</v>
      </c>
      <c r="Q5059" s="29">
        <v>2900</v>
      </c>
      <c r="R5059" s="31">
        <v>45940</v>
      </c>
      <c r="S5059" s="31" t="s">
        <v>3235</v>
      </c>
      <c r="T5059" s="95" t="str">
        <f t="shared" si="376"/>
        <v>2025 10</v>
      </c>
      <c r="U5059" s="32">
        <f t="shared" si="377"/>
        <v>1086.3612644026678</v>
      </c>
      <c r="V5059" s="22">
        <f t="shared" si="378"/>
        <v>0.5989954024911518</v>
      </c>
      <c r="X5059" s="33"/>
      <c r="Y5059" s="33"/>
    </row>
    <row r="5060" spans="1:25" x14ac:dyDescent="0.2">
      <c r="A5060" s="93" t="s">
        <v>4209</v>
      </c>
      <c r="B5060" s="94" t="str">
        <f>IFERROR(VLOOKUP($A5060,HeadJournal!$A$1:$NTR$890,COLUMN(HeadJournal!B$1),0),"")</f>
        <v>722500536535</v>
      </c>
      <c r="C5060" s="94" t="str">
        <f>IFERROR(VLOOKUP($A5060,HeadJournal!$A$1:$NTR$890,COLUMN(HeadJournal!C$1),0),"")</f>
        <v>iHerb_VP DFD1605</v>
      </c>
      <c r="D5060" s="125" t="str">
        <f>IFERROR(VLOOKUP($A5060,HeadJournal!$A$1:$NTR$890,COLUMN(HeadJournal!D$1),0),"")</f>
        <v>Доставлен</v>
      </c>
      <c r="E5060" s="95">
        <f>IFERROR(VLOOKUP($A5060,HeadJournal!$A$1:$NTR$890,COLUMN(HeadJournal!G$1),0),"")</f>
        <v>45912</v>
      </c>
      <c r="F5060" s="95" t="str">
        <f t="shared" ref="F5060:F5123" si="379">IFERROR(TEXT(E5060, "ГГГГ ММ"),"")</f>
        <v>2025 09</v>
      </c>
      <c r="G5060" s="97" t="s">
        <v>5</v>
      </c>
      <c r="H5060" s="161" t="s">
        <v>4207</v>
      </c>
      <c r="I5060" s="97" t="s">
        <v>2102</v>
      </c>
      <c r="J5060" s="97" t="s">
        <v>4208</v>
      </c>
      <c r="K5060" s="29">
        <v>21.55</v>
      </c>
      <c r="L5060" s="29">
        <v>-3.23</v>
      </c>
      <c r="M5060" s="30">
        <f>IFERROR(VLOOKUP($A5060,HeadJournal!$A$1:$J$890,COLUMN(HeadJournal!I$1),0)*($K5060+$L5060)/(SUMIF($A:$A,$A5060,$K:$K)+SUMIF($A:$A,$A5060,$L:$L)),0)</f>
        <v>-2.6469011522134629</v>
      </c>
      <c r="N5060" s="30">
        <f>IFERROR((VLOOKUP($A5060,HeadJournal!$A$1:$K$890,COLUMN(HeadJournal!K$1),0)-VLOOKUP($A5060,HeadJournal!$A$1:$K$890,COLUMN(HeadJournal!J$1),0))*($K5060+$L5060)/(SUMIF($A:$A,$A5060,$K:$K)+SUMIF($A:$A,$A5060,$L:$L)),0)</f>
        <v>1.9734904364956089E-15</v>
      </c>
      <c r="O5060" s="30">
        <f>IFERROR((VLOOKUP($A5060,HeadJournal!$A$1:$L$890,COLUMN(HeadJournal!L$1),0)*($K5060+$L5060)/(SUMIF($A:$A,$A5060,$K:$K)+SUMIF($A:$A,$A5060,$L:$L)))/VLOOKUP($A5060,HeadJournal!$A$1:$L$890,COLUMN(HeadJournal!H$1),0),0)</f>
        <v>0.67592959211992787</v>
      </c>
      <c r="P5060" s="30">
        <f>IFERROR(SUM(K5060:O5060)*VLOOKUP($A5060,HeadJournal!$A$1:$L$890,COLUMN(HeadJournal!H$1),0),0)</f>
        <v>1528.3285021224985</v>
      </c>
      <c r="Q5060" s="29">
        <v>2600</v>
      </c>
      <c r="R5060" s="31">
        <v>45941</v>
      </c>
      <c r="S5060" s="31" t="s">
        <v>4469</v>
      </c>
      <c r="T5060" s="95" t="str">
        <f t="shared" ref="T5060:T5123" si="380">IF(R5060="","",TEXT(R5060,"ГГГГ ММ"))</f>
        <v>2025 10</v>
      </c>
      <c r="U5060" s="32">
        <f t="shared" si="377"/>
        <v>1071.6714978775015</v>
      </c>
      <c r="V5060" s="22">
        <f t="shared" si="378"/>
        <v>0.70120494146984436</v>
      </c>
      <c r="X5060" s="33"/>
      <c r="Y5060" s="33"/>
    </row>
    <row r="5061" spans="1:25" x14ac:dyDescent="0.2">
      <c r="A5061" s="93" t="s">
        <v>4209</v>
      </c>
      <c r="B5061" s="94" t="str">
        <f>IFERROR(VLOOKUP($A5061,HeadJournal!$A$1:$NTR$890,COLUMN(HeadJournal!B$1),0),"")</f>
        <v>722500536535</v>
      </c>
      <c r="C5061" s="94" t="str">
        <f>IFERROR(VLOOKUP($A5061,HeadJournal!$A$1:$NTR$890,COLUMN(HeadJournal!C$1),0),"")</f>
        <v>iHerb_VP DFD1605</v>
      </c>
      <c r="D5061" s="125" t="str">
        <f>IFERROR(VLOOKUP($A5061,HeadJournal!$A$1:$NTR$890,COLUMN(HeadJournal!D$1),0),"")</f>
        <v>Доставлен</v>
      </c>
      <c r="E5061" s="95">
        <f>IFERROR(VLOOKUP($A5061,HeadJournal!$A$1:$NTR$890,COLUMN(HeadJournal!G$1),0),"")</f>
        <v>45912</v>
      </c>
      <c r="F5061" s="95" t="str">
        <f t="shared" si="379"/>
        <v>2025 09</v>
      </c>
      <c r="G5061" s="97" t="s">
        <v>5</v>
      </c>
      <c r="H5061" s="161" t="s">
        <v>2617</v>
      </c>
      <c r="I5061" s="97" t="s">
        <v>2618</v>
      </c>
      <c r="J5061" s="97" t="s">
        <v>2619</v>
      </c>
      <c r="K5061" s="29">
        <v>13.43</v>
      </c>
      <c r="L5061" s="29">
        <v>-1.345</v>
      </c>
      <c r="M5061" s="30">
        <f>IFERROR(VLOOKUP($A5061,HeadJournal!$A$1:$J$890,COLUMN(HeadJournal!I$1),0)*($K5061+$L5061)/(SUMIF($A:$A,$A5061,$K:$K)+SUMIF($A:$A,$A5061,$L:$L)),0)</f>
        <v>-1.7460589751364464</v>
      </c>
      <c r="N5061" s="30">
        <f>IFERROR((VLOOKUP($A5061,HeadJournal!$A$1:$K$890,COLUMN(HeadJournal!K$1),0)-VLOOKUP($A5061,HeadJournal!$A$1:$K$890,COLUMN(HeadJournal!J$1),0))*($K5061+$L5061)/(SUMIF($A:$A,$A5061,$K:$K)+SUMIF($A:$A,$A5061,$L:$L)),0)</f>
        <v>1.3018358037690739E-15</v>
      </c>
      <c r="O5061" s="30">
        <f>IFERROR((VLOOKUP($A5061,HeadJournal!$A$1:$L$890,COLUMN(HeadJournal!L$1),0)*($K5061+$L5061)/(SUMIF($A:$A,$A5061,$K:$K)+SUMIF($A:$A,$A5061,$L:$L)))/VLOOKUP($A5061,HeadJournal!$A$1:$L$890,COLUMN(HeadJournal!H$1),0),0)</f>
        <v>0.44588477733457027</v>
      </c>
      <c r="P5061" s="30">
        <f>IFERROR(SUM(K5061:O5061)*VLOOKUP($A5061,HeadJournal!$A$1:$L$890,COLUMN(HeadJournal!H$1),0),0)</f>
        <v>1008.1795823226198</v>
      </c>
      <c r="Q5061" s="29">
        <v>2300</v>
      </c>
      <c r="R5061" s="31">
        <v>45941</v>
      </c>
      <c r="S5061" s="31" t="s">
        <v>4469</v>
      </c>
      <c r="T5061" s="95" t="str">
        <f t="shared" si="380"/>
        <v>2025 10</v>
      </c>
      <c r="U5061" s="32">
        <f t="shared" si="377"/>
        <v>1291.8204176773802</v>
      </c>
      <c r="V5061" s="22">
        <f t="shared" si="378"/>
        <v>1.2813395949770332</v>
      </c>
      <c r="X5061" s="33"/>
      <c r="Y5061" s="33"/>
    </row>
    <row r="5062" spans="1:25" x14ac:dyDescent="0.2">
      <c r="A5062" s="93" t="s">
        <v>4209</v>
      </c>
      <c r="B5062" s="94" t="str">
        <f>IFERROR(VLOOKUP($A5062,HeadJournal!$A$1:$NTR$890,COLUMN(HeadJournal!B$1),0),"")</f>
        <v>722500536535</v>
      </c>
      <c r="C5062" s="94" t="str">
        <f>IFERROR(VLOOKUP($A5062,HeadJournal!$A$1:$NTR$890,COLUMN(HeadJournal!C$1),0),"")</f>
        <v>iHerb_VP DFD1605</v>
      </c>
      <c r="D5062" s="125" t="str">
        <f>IFERROR(VLOOKUP($A5062,HeadJournal!$A$1:$NTR$890,COLUMN(HeadJournal!D$1),0),"")</f>
        <v>Доставлен</v>
      </c>
      <c r="E5062" s="95">
        <f>IFERROR(VLOOKUP($A5062,HeadJournal!$A$1:$NTR$890,COLUMN(HeadJournal!G$1),0),"")</f>
        <v>45912</v>
      </c>
      <c r="F5062" s="95" t="str">
        <f t="shared" si="379"/>
        <v>2025 09</v>
      </c>
      <c r="G5062" s="97" t="s">
        <v>5</v>
      </c>
      <c r="H5062" s="161" t="s">
        <v>2617</v>
      </c>
      <c r="I5062" s="97" t="s">
        <v>2618</v>
      </c>
      <c r="J5062" s="97" t="s">
        <v>2619</v>
      </c>
      <c r="K5062" s="29">
        <v>13.43</v>
      </c>
      <c r="L5062" s="29">
        <v>-1.345</v>
      </c>
      <c r="M5062" s="30">
        <f>IFERROR(VLOOKUP($A5062,HeadJournal!$A$1:$J$890,COLUMN(HeadJournal!I$1),0)*($K5062+$L5062)/(SUMIF($A:$A,$A5062,$K:$K)+SUMIF($A:$A,$A5062,$L:$L)),0)</f>
        <v>-1.7460589751364464</v>
      </c>
      <c r="N5062" s="30">
        <f>IFERROR((VLOOKUP($A5062,HeadJournal!$A$1:$K$890,COLUMN(HeadJournal!K$1),0)-VLOOKUP($A5062,HeadJournal!$A$1:$K$890,COLUMN(HeadJournal!J$1),0))*($K5062+$L5062)/(SUMIF($A:$A,$A5062,$K:$K)+SUMIF($A:$A,$A5062,$L:$L)),0)</f>
        <v>1.3018358037690739E-15</v>
      </c>
      <c r="O5062" s="30">
        <f>IFERROR((VLOOKUP($A5062,HeadJournal!$A$1:$L$890,COLUMN(HeadJournal!L$1),0)*($K5062+$L5062)/(SUMIF($A:$A,$A5062,$K:$K)+SUMIF($A:$A,$A5062,$L:$L)))/VLOOKUP($A5062,HeadJournal!$A$1:$L$890,COLUMN(HeadJournal!H$1),0),0)</f>
        <v>0.44588477733457027</v>
      </c>
      <c r="P5062" s="30">
        <f>IFERROR(SUM(K5062:O5062)*VLOOKUP($A5062,HeadJournal!$A$1:$L$890,COLUMN(HeadJournal!H$1),0),0)</f>
        <v>1008.1795823226198</v>
      </c>
      <c r="Q5062" s="29">
        <v>2300</v>
      </c>
      <c r="R5062" s="31">
        <v>45941</v>
      </c>
      <c r="S5062" s="31" t="s">
        <v>4469</v>
      </c>
      <c r="T5062" s="95" t="str">
        <f t="shared" si="380"/>
        <v>2025 10</v>
      </c>
      <c r="U5062" s="32">
        <f t="shared" si="377"/>
        <v>1291.8204176773802</v>
      </c>
      <c r="V5062" s="22">
        <f t="shared" si="378"/>
        <v>1.2813395949770332</v>
      </c>
      <c r="X5062" s="33"/>
      <c r="Y5062" s="33"/>
    </row>
    <row r="5063" spans="1:25" x14ac:dyDescent="0.2">
      <c r="A5063" s="93" t="s">
        <v>4211</v>
      </c>
      <c r="B5063" s="94" t="str">
        <f>IFERROR(VLOOKUP($A5063,HeadJournal!$A$1:$NTR$890,COLUMN(HeadJournal!B$1),0),"")</f>
        <v>722500530069</v>
      </c>
      <c r="C5063" s="94" t="str">
        <f>IFERROR(VLOOKUP($A5063,HeadJournal!$A$1:$NTR$890,COLUMN(HeadJournal!C$1),0),"")</f>
        <v>iHerb_OA CZN6870</v>
      </c>
      <c r="D5063" s="125" t="str">
        <f>IFERROR(VLOOKUP($A5063,HeadJournal!$A$1:$NTR$890,COLUMN(HeadJournal!D$1),0),"")</f>
        <v>Доставлен</v>
      </c>
      <c r="E5063" s="95">
        <f>IFERROR(VLOOKUP($A5063,HeadJournal!$A$1:$NTR$890,COLUMN(HeadJournal!G$1),0),"")</f>
        <v>45902</v>
      </c>
      <c r="F5063" s="95" t="str">
        <f t="shared" si="379"/>
        <v>2025 09</v>
      </c>
      <c r="G5063" s="97" t="s">
        <v>5</v>
      </c>
      <c r="H5063" s="161" t="s">
        <v>2014</v>
      </c>
      <c r="I5063" s="97" t="s">
        <v>2007</v>
      </c>
      <c r="J5063" s="97" t="s">
        <v>2015</v>
      </c>
      <c r="K5063" s="29">
        <v>31.66</v>
      </c>
      <c r="L5063" s="29">
        <v>-9.5</v>
      </c>
      <c r="M5063" s="30">
        <f>IFERROR(VLOOKUP($A5063,HeadJournal!$A$1:$J$890,COLUMN(HeadJournal!I$1),0)*($K5063+$L5063)/(SUMIF($A:$A,$A5063,$K:$K)+SUMIF($A:$A,$A5063,$L:$L)),0)</f>
        <v>-2.9035438458513565</v>
      </c>
      <c r="N5063" s="30">
        <f>IFERROR((VLOOKUP($A5063,HeadJournal!$A$1:$K$890,COLUMN(HeadJournal!K$1),0)-VLOOKUP($A5063,HeadJournal!$A$1:$K$890,COLUMN(HeadJournal!J$1),0))*($K5063+$L5063)/(SUMIF($A:$A,$A5063,$K:$K)+SUMIF($A:$A,$A5063,$L:$L)),0)</f>
        <v>-2.476701065582984E-15</v>
      </c>
      <c r="O5063" s="30">
        <f>IFERROR((VLOOKUP($A5063,HeadJournal!$A$1:$L$890,COLUMN(HeadJournal!L$1),0)*($K5063+$L5063)/(SUMIF($A:$A,$A5063,$K:$K)+SUMIF($A:$A,$A5063,$L:$L)))/VLOOKUP($A5063,HeadJournal!$A$1:$L$890,COLUMN(HeadJournal!H$1),0),0)</f>
        <v>0.87280670359152845</v>
      </c>
      <c r="P5063" s="30">
        <f>IFERROR(SUM(K5063:O5063)*VLOOKUP($A5063,HeadJournal!$A$1:$L$890,COLUMN(HeadJournal!H$1),0),0)</f>
        <v>1828.8352591427449</v>
      </c>
      <c r="Q5063" s="29">
        <v>3500</v>
      </c>
      <c r="R5063" s="31">
        <v>45950</v>
      </c>
      <c r="S5063" s="31"/>
      <c r="T5063" s="95" t="str">
        <f t="shared" si="380"/>
        <v>2025 10</v>
      </c>
      <c r="U5063" s="32">
        <f t="shared" si="377"/>
        <v>1671.1647408572551</v>
      </c>
      <c r="V5063" s="22">
        <f t="shared" si="378"/>
        <v>0.91378637441657984</v>
      </c>
      <c r="X5063" s="33"/>
      <c r="Y5063" s="33"/>
    </row>
    <row r="5064" spans="1:25" x14ac:dyDescent="0.2">
      <c r="A5064" s="93" t="s">
        <v>4211</v>
      </c>
      <c r="B5064" s="94" t="str">
        <f>IFERROR(VLOOKUP($A5064,HeadJournal!$A$1:$NTR$890,COLUMN(HeadJournal!B$1),0),"")</f>
        <v>722500530069</v>
      </c>
      <c r="C5064" s="94" t="str">
        <f>IFERROR(VLOOKUP($A5064,HeadJournal!$A$1:$NTR$890,COLUMN(HeadJournal!C$1),0),"")</f>
        <v>iHerb_OA CZN6870</v>
      </c>
      <c r="D5064" s="125" t="str">
        <f>IFERROR(VLOOKUP($A5064,HeadJournal!$A$1:$NTR$890,COLUMN(HeadJournal!D$1),0),"")</f>
        <v>Доставлен</v>
      </c>
      <c r="E5064" s="95">
        <f>IFERROR(VLOOKUP($A5064,HeadJournal!$A$1:$NTR$890,COLUMN(HeadJournal!G$1),0),"")</f>
        <v>45902</v>
      </c>
      <c r="F5064" s="95" t="str">
        <f t="shared" si="379"/>
        <v>2025 09</v>
      </c>
      <c r="G5064" s="97" t="s">
        <v>5</v>
      </c>
      <c r="H5064" s="161" t="s">
        <v>2014</v>
      </c>
      <c r="I5064" s="97" t="s">
        <v>2007</v>
      </c>
      <c r="J5064" s="97" t="s">
        <v>2015</v>
      </c>
      <c r="K5064" s="29">
        <v>31.66</v>
      </c>
      <c r="L5064" s="29">
        <v>-9.5</v>
      </c>
      <c r="M5064" s="30">
        <f>IFERROR(VLOOKUP($A5064,HeadJournal!$A$1:$J$890,COLUMN(HeadJournal!I$1),0)*($K5064+$L5064)/(SUMIF($A:$A,$A5064,$K:$K)+SUMIF($A:$A,$A5064,$L:$L)),0)</f>
        <v>-2.9035438458513565</v>
      </c>
      <c r="N5064" s="30">
        <f>IFERROR((VLOOKUP($A5064,HeadJournal!$A$1:$K$890,COLUMN(HeadJournal!K$1),0)-VLOOKUP($A5064,HeadJournal!$A$1:$K$890,COLUMN(HeadJournal!J$1),0))*($K5064+$L5064)/(SUMIF($A:$A,$A5064,$K:$K)+SUMIF($A:$A,$A5064,$L:$L)),0)</f>
        <v>-2.476701065582984E-15</v>
      </c>
      <c r="O5064" s="30">
        <f>IFERROR((VLOOKUP($A5064,HeadJournal!$A$1:$L$890,COLUMN(HeadJournal!L$1),0)*($K5064+$L5064)/(SUMIF($A:$A,$A5064,$K:$K)+SUMIF($A:$A,$A5064,$L:$L)))/VLOOKUP($A5064,HeadJournal!$A$1:$L$890,COLUMN(HeadJournal!H$1),0),0)</f>
        <v>0.87280670359152845</v>
      </c>
      <c r="P5064" s="30">
        <f>IFERROR(SUM(K5064:O5064)*VLOOKUP($A5064,HeadJournal!$A$1:$L$890,COLUMN(HeadJournal!H$1),0),0)</f>
        <v>1828.8352591427449</v>
      </c>
      <c r="Q5064" s="29">
        <v>3600</v>
      </c>
      <c r="R5064" s="31">
        <v>46040</v>
      </c>
      <c r="S5064" s="31" t="s">
        <v>4992</v>
      </c>
      <c r="T5064" s="95" t="str">
        <f t="shared" si="380"/>
        <v>2026 01</v>
      </c>
      <c r="U5064" s="32">
        <f t="shared" si="377"/>
        <v>1771.1647408572551</v>
      </c>
      <c r="V5064" s="22">
        <f t="shared" si="378"/>
        <v>0.96846598511419635</v>
      </c>
      <c r="X5064" s="33"/>
      <c r="Y5064" s="33"/>
    </row>
    <row r="5065" spans="1:25" x14ac:dyDescent="0.2">
      <c r="A5065" s="93" t="s">
        <v>4211</v>
      </c>
      <c r="B5065" s="94" t="str">
        <f>IFERROR(VLOOKUP($A5065,HeadJournal!$A$1:$NTR$890,COLUMN(HeadJournal!B$1),0),"")</f>
        <v>722500530069</v>
      </c>
      <c r="C5065" s="94" t="str">
        <f>IFERROR(VLOOKUP($A5065,HeadJournal!$A$1:$NTR$890,COLUMN(HeadJournal!C$1),0),"")</f>
        <v>iHerb_OA CZN6870</v>
      </c>
      <c r="D5065" s="125" t="str">
        <f>IFERROR(VLOOKUP($A5065,HeadJournal!$A$1:$NTR$890,COLUMN(HeadJournal!D$1),0),"")</f>
        <v>Доставлен</v>
      </c>
      <c r="E5065" s="95">
        <f>IFERROR(VLOOKUP($A5065,HeadJournal!$A$1:$NTR$890,COLUMN(HeadJournal!G$1),0),"")</f>
        <v>45902</v>
      </c>
      <c r="F5065" s="95" t="str">
        <f t="shared" si="379"/>
        <v>2025 09</v>
      </c>
      <c r="G5065" s="97" t="s">
        <v>5</v>
      </c>
      <c r="H5065" s="161" t="s">
        <v>2562</v>
      </c>
      <c r="I5065" s="97" t="s">
        <v>2052</v>
      </c>
      <c r="J5065" s="97" t="s">
        <v>2563</v>
      </c>
      <c r="K5065" s="29">
        <v>91.56</v>
      </c>
      <c r="L5065" s="29">
        <v>-27.47</v>
      </c>
      <c r="M5065" s="30">
        <f>IFERROR(VLOOKUP($A5065,HeadJournal!$A$1:$J$890,COLUMN(HeadJournal!I$1),0)*($K5065+$L5065)/(SUMIF($A:$A,$A5065,$K:$K)+SUMIF($A:$A,$A5065,$L:$L)),0)</f>
        <v>-8.3974785686197411</v>
      </c>
      <c r="N5065" s="30">
        <f>IFERROR((VLOOKUP($A5065,HeadJournal!$A$1:$K$890,COLUMN(HeadJournal!K$1),0)-VLOOKUP($A5065,HeadJournal!$A$1:$K$890,COLUMN(HeadJournal!J$1),0))*($K5065+$L5065)/(SUMIF($A:$A,$A5065,$K:$K)+SUMIF($A:$A,$A5065,$L:$L)),0)</f>
        <v>-7.1629860691883315E-15</v>
      </c>
      <c r="O5065" s="30">
        <f>IFERROR((VLOOKUP($A5065,HeadJournal!$A$1:$L$890,COLUMN(HeadJournal!L$1),0)*($K5065+$L5065)/(SUMIF($A:$A,$A5065,$K:$K)+SUMIF($A:$A,$A5065,$L:$L)))/VLOOKUP($A5065,HeadJournal!$A$1:$L$890,COLUMN(HeadJournal!H$1),0),0)</f>
        <v>2.5242861747825391</v>
      </c>
      <c r="P5065" s="30">
        <f>IFERROR(SUM(K5065:O5065)*VLOOKUP($A5065,HeadJournal!$A$1:$L$890,COLUMN(HeadJournal!H$1),0),0)</f>
        <v>5289.2622634683448</v>
      </c>
      <c r="Q5065" s="29">
        <v>9200</v>
      </c>
      <c r="R5065" s="31">
        <v>45941</v>
      </c>
      <c r="S5065" s="31" t="s">
        <v>3220</v>
      </c>
      <c r="T5065" s="95" t="str">
        <f t="shared" si="380"/>
        <v>2025 10</v>
      </c>
      <c r="U5065" s="32">
        <f t="shared" si="377"/>
        <v>3910.7377365316552</v>
      </c>
      <c r="V5065" s="22">
        <f t="shared" si="378"/>
        <v>0.7393730054836144</v>
      </c>
      <c r="X5065" s="33"/>
      <c r="Y5065" s="33"/>
    </row>
    <row r="5066" spans="1:25" x14ac:dyDescent="0.2">
      <c r="A5066" s="93" t="s">
        <v>4211</v>
      </c>
      <c r="B5066" s="94" t="str">
        <f>IFERROR(VLOOKUP($A5066,HeadJournal!$A$1:$NTR$890,COLUMN(HeadJournal!B$1),0),"")</f>
        <v>722500530069</v>
      </c>
      <c r="C5066" s="94" t="str">
        <f>IFERROR(VLOOKUP($A5066,HeadJournal!$A$1:$NTR$890,COLUMN(HeadJournal!C$1),0),"")</f>
        <v>iHerb_OA CZN6870</v>
      </c>
      <c r="D5066" s="125" t="str">
        <f>IFERROR(VLOOKUP($A5066,HeadJournal!$A$1:$NTR$890,COLUMN(HeadJournal!D$1),0),"")</f>
        <v>Доставлен</v>
      </c>
      <c r="E5066" s="95">
        <f>IFERROR(VLOOKUP($A5066,HeadJournal!$A$1:$NTR$890,COLUMN(HeadJournal!G$1),0),"")</f>
        <v>45902</v>
      </c>
      <c r="F5066" s="95" t="str">
        <f t="shared" si="379"/>
        <v>2025 09</v>
      </c>
      <c r="G5066" s="97" t="s">
        <v>5</v>
      </c>
      <c r="H5066" s="161" t="s">
        <v>4194</v>
      </c>
      <c r="I5066" s="97" t="s">
        <v>2052</v>
      </c>
      <c r="J5066" s="97" t="s">
        <v>4195</v>
      </c>
      <c r="K5066" s="29">
        <v>10.56</v>
      </c>
      <c r="L5066" s="29">
        <v>-3.17</v>
      </c>
      <c r="M5066" s="30">
        <f>IFERROR(VLOOKUP($A5066,HeadJournal!$A$1:$J$890,COLUMN(HeadJournal!I$1),0)*($K5066+$L5066)/(SUMIF($A:$A,$A5066,$K:$K)+SUMIF($A:$A,$A5066,$L:$L)),0)</f>
        <v>-0.968284703106567</v>
      </c>
      <c r="N5066" s="30">
        <f>IFERROR((VLOOKUP($A5066,HeadJournal!$A$1:$K$890,COLUMN(HeadJournal!K$1),0)-VLOOKUP($A5066,HeadJournal!$A$1:$K$890,COLUMN(HeadJournal!J$1),0))*($K5066+$L5066)/(SUMIF($A:$A,$A5066,$K:$K)+SUMIF($A:$A,$A5066,$L:$L)),0)</f>
        <v>-8.2593957015605833E-16</v>
      </c>
      <c r="O5066" s="30">
        <f>IFERROR((VLOOKUP($A5066,HeadJournal!$A$1:$L$890,COLUMN(HeadJournal!L$1),0)*($K5066+$L5066)/(SUMIF($A:$A,$A5066,$K:$K)+SUMIF($A:$A,$A5066,$L:$L)))/VLOOKUP($A5066,HeadJournal!$A$1:$L$890,COLUMN(HeadJournal!H$1),0),0)</f>
        <v>0.29106685647749986</v>
      </c>
      <c r="P5066" s="30">
        <f>IFERROR(SUM(K5066:O5066)*VLOOKUP($A5066,HeadJournal!$A$1:$L$890,COLUMN(HeadJournal!H$1),0),0)</f>
        <v>609.88684860401111</v>
      </c>
      <c r="Q5066" s="29">
        <v>1500</v>
      </c>
      <c r="R5066" s="31">
        <v>45944</v>
      </c>
      <c r="S5066" s="31" t="s">
        <v>3206</v>
      </c>
      <c r="T5066" s="95" t="str">
        <f t="shared" si="380"/>
        <v>2025 10</v>
      </c>
      <c r="U5066" s="32">
        <f t="shared" si="377"/>
        <v>890.11315139598889</v>
      </c>
      <c r="V5066" s="22">
        <f t="shared" si="378"/>
        <v>1.4594726110808856</v>
      </c>
      <c r="X5066" s="33"/>
      <c r="Y5066" s="33"/>
    </row>
    <row r="5067" spans="1:25" x14ac:dyDescent="0.2">
      <c r="A5067" s="93" t="s">
        <v>4211</v>
      </c>
      <c r="B5067" s="94" t="str">
        <f>IFERROR(VLOOKUP($A5067,HeadJournal!$A$1:$NTR$890,COLUMN(HeadJournal!B$1),0),"")</f>
        <v>722500530069</v>
      </c>
      <c r="C5067" s="94" t="str">
        <f>IFERROR(VLOOKUP($A5067,HeadJournal!$A$1:$NTR$890,COLUMN(HeadJournal!C$1),0),"")</f>
        <v>iHerb_OA CZN6870</v>
      </c>
      <c r="D5067" s="125" t="str">
        <f>IFERROR(VLOOKUP($A5067,HeadJournal!$A$1:$NTR$890,COLUMN(HeadJournal!D$1),0),"")</f>
        <v>Доставлен</v>
      </c>
      <c r="E5067" s="95">
        <f>IFERROR(VLOOKUP($A5067,HeadJournal!$A$1:$NTR$890,COLUMN(HeadJournal!G$1),0),"")</f>
        <v>45902</v>
      </c>
      <c r="F5067" s="95" t="str">
        <f t="shared" si="379"/>
        <v>2025 09</v>
      </c>
      <c r="G5067" s="97" t="s">
        <v>5</v>
      </c>
      <c r="H5067" s="161" t="s">
        <v>3573</v>
      </c>
      <c r="I5067" s="97" t="s">
        <v>2052</v>
      </c>
      <c r="J5067" s="97" t="s">
        <v>3574</v>
      </c>
      <c r="K5067" s="29">
        <v>16.21</v>
      </c>
      <c r="L5067" s="29">
        <v>-4.8600000000000003</v>
      </c>
      <c r="M5067" s="30">
        <f>IFERROR(VLOOKUP($A5067,HeadJournal!$A$1:$J$890,COLUMN(HeadJournal!I$1),0)*($K5067+$L5067)/(SUMIF($A:$A,$A5067,$K:$K)+SUMIF($A:$A,$A5067,$L:$L)),0)</f>
        <v>-1.4871490365709794</v>
      </c>
      <c r="N5067" s="30">
        <f>IFERROR((VLOOKUP($A5067,HeadJournal!$A$1:$K$890,COLUMN(HeadJournal!K$1),0)-VLOOKUP($A5067,HeadJournal!$A$1:$K$890,COLUMN(HeadJournal!J$1),0))*($K5067+$L5067)/(SUMIF($A:$A,$A5067,$K:$K)+SUMIF($A:$A,$A5067,$L:$L)),0)</f>
        <v>-1.2685269446916458E-15</v>
      </c>
      <c r="O5067" s="30">
        <f>IFERROR((VLOOKUP($A5067,HeadJournal!$A$1:$L$890,COLUMN(HeadJournal!L$1),0)*($K5067+$L5067)/(SUMIF($A:$A,$A5067,$K:$K)+SUMIF($A:$A,$A5067,$L:$L)))/VLOOKUP($A5067,HeadJournal!$A$1:$L$890,COLUMN(HeadJournal!H$1),0),0)</f>
        <v>0.44703772950197879</v>
      </c>
      <c r="P5067" s="30">
        <f>IFERROR(SUM(K5067:O5067)*VLOOKUP($A5067,HeadJournal!$A$1:$L$890,COLUMN(HeadJournal!H$1),0),0)</f>
        <v>936.70036964215501</v>
      </c>
      <c r="Q5067" s="29">
        <v>2400</v>
      </c>
      <c r="R5067" s="31">
        <v>46113</v>
      </c>
      <c r="S5067" s="31" t="s">
        <v>3457</v>
      </c>
      <c r="T5067" s="95" t="str">
        <f t="shared" si="380"/>
        <v>2026 04</v>
      </c>
      <c r="U5067" s="32">
        <f t="shared" si="377"/>
        <v>1463.299630357845</v>
      </c>
      <c r="V5067" s="22">
        <f t="shared" si="378"/>
        <v>1.5621853879665546</v>
      </c>
      <c r="X5067" s="33"/>
      <c r="Y5067" s="33"/>
    </row>
    <row r="5068" spans="1:25" x14ac:dyDescent="0.2">
      <c r="A5068" s="93" t="s">
        <v>4339</v>
      </c>
      <c r="B5068" s="94">
        <f>IFERROR(VLOOKUP($A5068,HeadJournal!$A$1:$NTR$890,COLUMN(HeadJournal!B$1),0),"")</f>
        <v>0</v>
      </c>
      <c r="C5068" s="94" t="str">
        <f>IFERROR(VLOOKUP($A5068,HeadJournal!$A$1:$NTR$890,COLUMN(HeadJournal!C$1),0),"")</f>
        <v>WBRS</v>
      </c>
      <c r="D5068" s="125" t="str">
        <f>IFERROR(VLOOKUP($A5068,HeadJournal!$A$1:$NTR$890,COLUMN(HeadJournal!D$1),0),"")</f>
        <v>Доставлен</v>
      </c>
      <c r="E5068" s="95">
        <f>IFERROR(VLOOKUP($A5068,HeadJournal!$A$1:$NTR$890,COLUMN(HeadJournal!G$1),0),"")</f>
        <v>45911</v>
      </c>
      <c r="F5068" s="95" t="str">
        <f t="shared" si="379"/>
        <v>2025 09</v>
      </c>
      <c r="G5068" s="97" t="s">
        <v>5</v>
      </c>
      <c r="H5068" s="161" t="s">
        <v>4340</v>
      </c>
      <c r="I5068" s="97" t="s">
        <v>4082</v>
      </c>
      <c r="J5068" s="97" t="s">
        <v>1259</v>
      </c>
      <c r="K5068" s="29">
        <v>210</v>
      </c>
      <c r="L5068" s="29">
        <v>0</v>
      </c>
      <c r="M5068" s="30">
        <f>IFERROR(VLOOKUP($A5068,HeadJournal!$A$1:$J$890,COLUMN(HeadJournal!I$1),0)*($K5068+$L5068)/(SUMIF($A:$A,$A5068,$K:$K)+SUMIF($A:$A,$A5068,$L:$L)),0)</f>
        <v>0</v>
      </c>
      <c r="N5068" s="30">
        <f>IFERROR((VLOOKUP($A5068,HeadJournal!$A$1:$K$890,COLUMN(HeadJournal!K$1),0)-VLOOKUP($A5068,HeadJournal!$A$1:$K$890,COLUMN(HeadJournal!J$1),0))*($K5068+$L5068)/(SUMIF($A:$A,$A5068,$K:$K)+SUMIF($A:$A,$A5068,$L:$L)),0)</f>
        <v>0</v>
      </c>
      <c r="O5068" s="30">
        <f>IFERROR((VLOOKUP($A5068,HeadJournal!$A$1:$L$890,COLUMN(HeadJournal!L$1),0)*($K5068+$L5068)/(SUMIF($A:$A,$A5068,$K:$K)+SUMIF($A:$A,$A5068,$L:$L)))/VLOOKUP($A5068,HeadJournal!$A$1:$L$890,COLUMN(HeadJournal!H$1),0),0)</f>
        <v>0</v>
      </c>
      <c r="P5068" s="30">
        <f>IFERROR(SUM(K5068:O5068)*VLOOKUP($A5068,HeadJournal!$A$1:$L$890,COLUMN(HeadJournal!H$1),0),0)</f>
        <v>210</v>
      </c>
      <c r="Q5068" s="29">
        <v>450</v>
      </c>
      <c r="R5068" s="31">
        <v>45923</v>
      </c>
      <c r="S5068" s="31" t="s">
        <v>3252</v>
      </c>
      <c r="T5068" s="95" t="str">
        <f t="shared" si="380"/>
        <v>2025 09</v>
      </c>
      <c r="U5068" s="32">
        <f t="shared" si="377"/>
        <v>240</v>
      </c>
      <c r="V5068" s="22">
        <f t="shared" si="378"/>
        <v>1.1428571428571428</v>
      </c>
      <c r="X5068" s="33"/>
      <c r="Y5068" s="33"/>
    </row>
    <row r="5069" spans="1:25" x14ac:dyDescent="0.2">
      <c r="A5069" s="93" t="s">
        <v>4339</v>
      </c>
      <c r="B5069" s="94">
        <f>IFERROR(VLOOKUP($A5069,HeadJournal!$A$1:$NTR$890,COLUMN(HeadJournal!B$1),0),"")</f>
        <v>0</v>
      </c>
      <c r="C5069" s="94" t="str">
        <f>IFERROR(VLOOKUP($A5069,HeadJournal!$A$1:$NTR$890,COLUMN(HeadJournal!C$1),0),"")</f>
        <v>WBRS</v>
      </c>
      <c r="D5069" s="125" t="str">
        <f>IFERROR(VLOOKUP($A5069,HeadJournal!$A$1:$NTR$890,COLUMN(HeadJournal!D$1),0),"")</f>
        <v>Доставлен</v>
      </c>
      <c r="E5069" s="95">
        <f>IFERROR(VLOOKUP($A5069,HeadJournal!$A$1:$NTR$890,COLUMN(HeadJournal!G$1),0),"")</f>
        <v>45911</v>
      </c>
      <c r="F5069" s="95" t="str">
        <f t="shared" si="379"/>
        <v>2025 09</v>
      </c>
      <c r="G5069" s="97" t="s">
        <v>5</v>
      </c>
      <c r="H5069" s="161" t="s">
        <v>4340</v>
      </c>
      <c r="I5069" s="97" t="s">
        <v>4082</v>
      </c>
      <c r="J5069" s="97" t="s">
        <v>1259</v>
      </c>
      <c r="K5069" s="29">
        <v>210</v>
      </c>
      <c r="L5069" s="29">
        <v>0</v>
      </c>
      <c r="M5069" s="30">
        <f>IFERROR(VLOOKUP($A5069,HeadJournal!$A$1:$J$890,COLUMN(HeadJournal!I$1),0)*($K5069+$L5069)/(SUMIF($A:$A,$A5069,$K:$K)+SUMIF($A:$A,$A5069,$L:$L)),0)</f>
        <v>0</v>
      </c>
      <c r="N5069" s="30">
        <f>IFERROR((VLOOKUP($A5069,HeadJournal!$A$1:$K$890,COLUMN(HeadJournal!K$1),0)-VLOOKUP($A5069,HeadJournal!$A$1:$K$890,COLUMN(HeadJournal!J$1),0))*($K5069+$L5069)/(SUMIF($A:$A,$A5069,$K:$K)+SUMIF($A:$A,$A5069,$L:$L)),0)</f>
        <v>0</v>
      </c>
      <c r="O5069" s="30">
        <f>IFERROR((VLOOKUP($A5069,HeadJournal!$A$1:$L$890,COLUMN(HeadJournal!L$1),0)*($K5069+$L5069)/(SUMIF($A:$A,$A5069,$K:$K)+SUMIF($A:$A,$A5069,$L:$L)))/VLOOKUP($A5069,HeadJournal!$A$1:$L$890,COLUMN(HeadJournal!H$1),0),0)</f>
        <v>0</v>
      </c>
      <c r="P5069" s="30">
        <f>IFERROR(SUM(K5069:O5069)*VLOOKUP($A5069,HeadJournal!$A$1:$L$890,COLUMN(HeadJournal!H$1),0),0)</f>
        <v>210</v>
      </c>
      <c r="Q5069" s="29">
        <v>450</v>
      </c>
      <c r="R5069" s="31">
        <v>45923</v>
      </c>
      <c r="S5069" s="31" t="s">
        <v>3252</v>
      </c>
      <c r="T5069" s="95" t="str">
        <f t="shared" si="380"/>
        <v>2025 09</v>
      </c>
      <c r="U5069" s="32">
        <f t="shared" si="377"/>
        <v>240</v>
      </c>
      <c r="V5069" s="22">
        <f t="shared" si="378"/>
        <v>1.1428571428571428</v>
      </c>
      <c r="X5069" s="33"/>
      <c r="Y5069" s="33"/>
    </row>
    <row r="5070" spans="1:25" x14ac:dyDescent="0.2">
      <c r="A5070" s="93" t="s">
        <v>4341</v>
      </c>
      <c r="B5070" s="94">
        <f>IFERROR(VLOOKUP($A5070,HeadJournal!$A$1:$NTR$890,COLUMN(HeadJournal!B$1),0),"")</f>
        <v>0</v>
      </c>
      <c r="C5070" s="94" t="str">
        <f>IFERROR(VLOOKUP($A5070,HeadJournal!$A$1:$NTR$890,COLUMN(HeadJournal!C$1),0),"")</f>
        <v>OZON_OA</v>
      </c>
      <c r="D5070" s="125" t="str">
        <f>IFERROR(VLOOKUP($A5070,HeadJournal!$A$1:$NTR$890,COLUMN(HeadJournal!D$1),0),"")</f>
        <v>Доставлен</v>
      </c>
      <c r="E5070" s="95">
        <f>IFERROR(VLOOKUP($A5070,HeadJournal!$A$1:$NTR$890,COLUMN(HeadJournal!G$1),0),"")</f>
        <v>45913</v>
      </c>
      <c r="F5070" s="95" t="str">
        <f t="shared" si="379"/>
        <v>2025 09</v>
      </c>
      <c r="G5070" s="97" t="s">
        <v>6</v>
      </c>
      <c r="H5070" s="161" t="s">
        <v>2280</v>
      </c>
      <c r="I5070" s="97" t="s">
        <v>2281</v>
      </c>
      <c r="J5070" s="97" t="s">
        <v>737</v>
      </c>
      <c r="K5070" s="29">
        <v>764</v>
      </c>
      <c r="L5070" s="29">
        <v>0</v>
      </c>
      <c r="M5070" s="30">
        <f>IFERROR(VLOOKUP($A5070,HeadJournal!$A$1:$J$890,COLUMN(HeadJournal!I$1),0)*($K5070+$L5070)/(SUMIF($A:$A,$A5070,$K:$K)+SUMIF($A:$A,$A5070,$L:$L)),0)</f>
        <v>0</v>
      </c>
      <c r="N5070" s="30">
        <f>IFERROR((VLOOKUP($A5070,HeadJournal!$A$1:$K$890,COLUMN(HeadJournal!K$1),0)-VLOOKUP($A5070,HeadJournal!$A$1:$K$890,COLUMN(HeadJournal!J$1),0))*($K5070+$L5070)/(SUMIF($A:$A,$A5070,$K:$K)+SUMIF($A:$A,$A5070,$L:$L)),0)</f>
        <v>0</v>
      </c>
      <c r="O5070" s="30">
        <f>IFERROR((VLOOKUP($A5070,HeadJournal!$A$1:$L$890,COLUMN(HeadJournal!L$1),0)*($K5070+$L5070)/(SUMIF($A:$A,$A5070,$K:$K)+SUMIF($A:$A,$A5070,$L:$L)))/VLOOKUP($A5070,HeadJournal!$A$1:$L$890,COLUMN(HeadJournal!H$1),0),0)</f>
        <v>0</v>
      </c>
      <c r="P5070" s="30">
        <f>IFERROR(SUM(K5070:O5070)*VLOOKUP($A5070,HeadJournal!$A$1:$L$890,COLUMN(HeadJournal!H$1),0),0)</f>
        <v>764</v>
      </c>
      <c r="Q5070" s="29">
        <v>2000</v>
      </c>
      <c r="R5070" s="31">
        <v>45923</v>
      </c>
      <c r="S5070" s="31" t="s">
        <v>3231</v>
      </c>
      <c r="T5070" s="95" t="str">
        <f t="shared" si="380"/>
        <v>2025 09</v>
      </c>
      <c r="U5070" s="32">
        <f t="shared" si="377"/>
        <v>1236</v>
      </c>
      <c r="V5070" s="22">
        <f t="shared" si="378"/>
        <v>1.6178010471204189</v>
      </c>
      <c r="X5070" s="33"/>
      <c r="Y5070" s="33"/>
    </row>
    <row r="5071" spans="1:25" x14ac:dyDescent="0.2">
      <c r="A5071" s="93" t="s">
        <v>4342</v>
      </c>
      <c r="B5071" s="94">
        <f>IFERROR(VLOOKUP($A5071,HeadJournal!$A$1:$NTR$890,COLUMN(HeadJournal!B$1),0),"")</f>
        <v>0</v>
      </c>
      <c r="C5071" s="94" t="str">
        <f>IFERROR(VLOOKUP($A5071,HeadJournal!$A$1:$NTR$890,COLUMN(HeadJournal!C$1),0),"")</f>
        <v>OZON_OA</v>
      </c>
      <c r="D5071" s="125" t="str">
        <f>IFERROR(VLOOKUP($A5071,HeadJournal!$A$1:$NTR$890,COLUMN(HeadJournal!D$1),0),"")</f>
        <v>Доставлен</v>
      </c>
      <c r="E5071" s="95">
        <f>IFERROR(VLOOKUP($A5071,HeadJournal!$A$1:$NTR$890,COLUMN(HeadJournal!G$1),0),"")</f>
        <v>45916</v>
      </c>
      <c r="F5071" s="95" t="str">
        <f t="shared" si="379"/>
        <v>2025 09</v>
      </c>
      <c r="G5071" s="97" t="s">
        <v>6</v>
      </c>
      <c r="H5071" s="161" t="s">
        <v>2280</v>
      </c>
      <c r="I5071" s="97" t="s">
        <v>2281</v>
      </c>
      <c r="J5071" s="97" t="s">
        <v>737</v>
      </c>
      <c r="K5071" s="29">
        <v>852</v>
      </c>
      <c r="L5071" s="29">
        <v>0</v>
      </c>
      <c r="M5071" s="30">
        <f>IFERROR(VLOOKUP($A5071,HeadJournal!$A$1:$J$890,COLUMN(HeadJournal!I$1),0)*($K5071+$L5071)/(SUMIF($A:$A,$A5071,$K:$K)+SUMIF($A:$A,$A5071,$L:$L)),0)</f>
        <v>0</v>
      </c>
      <c r="N5071" s="30">
        <f>IFERROR((VLOOKUP($A5071,HeadJournal!$A$1:$K$890,COLUMN(HeadJournal!K$1),0)-VLOOKUP($A5071,HeadJournal!$A$1:$K$890,COLUMN(HeadJournal!J$1),0))*($K5071+$L5071)/(SUMIF($A:$A,$A5071,$K:$K)+SUMIF($A:$A,$A5071,$L:$L)),0)</f>
        <v>0</v>
      </c>
      <c r="O5071" s="30">
        <f>IFERROR((VLOOKUP($A5071,HeadJournal!$A$1:$L$890,COLUMN(HeadJournal!L$1),0)*($K5071+$L5071)/(SUMIF($A:$A,$A5071,$K:$K)+SUMIF($A:$A,$A5071,$L:$L)))/VLOOKUP($A5071,HeadJournal!$A$1:$L$890,COLUMN(HeadJournal!H$1),0),0)</f>
        <v>0</v>
      </c>
      <c r="P5071" s="30">
        <f>IFERROR(SUM(K5071:O5071)*VLOOKUP($A5071,HeadJournal!$A$1:$L$890,COLUMN(HeadJournal!H$1),0),0)</f>
        <v>852</v>
      </c>
      <c r="Q5071" s="29">
        <v>2000</v>
      </c>
      <c r="R5071" s="31">
        <v>45925</v>
      </c>
      <c r="S5071" s="31"/>
      <c r="T5071" s="95" t="str">
        <f t="shared" si="380"/>
        <v>2025 09</v>
      </c>
      <c r="U5071" s="32">
        <f t="shared" si="377"/>
        <v>1148</v>
      </c>
      <c r="V5071" s="22">
        <f t="shared" si="378"/>
        <v>1.3474178403755868</v>
      </c>
      <c r="X5071" s="33"/>
      <c r="Y5071" s="33"/>
    </row>
    <row r="5072" spans="1:25" x14ac:dyDescent="0.2">
      <c r="A5072" s="93" t="s">
        <v>4365</v>
      </c>
      <c r="B5072" s="94" t="str">
        <f>IFERROR(VLOOKUP($A5072,HeadJournal!$A$1:$NTR$890,COLUMN(HeadJournal!B$1),0),"")</f>
        <v>720000802326</v>
      </c>
      <c r="C5072" s="94" t="str">
        <f>IFERROR(VLOOKUP($A5072,HeadJournal!$A$1:$NTR$890,COLUMN(HeadJournal!C$1),0),"")</f>
        <v>iHerb_OA CZN6870</v>
      </c>
      <c r="D5072" s="125" t="str">
        <f>IFERROR(VLOOKUP($A5072,HeadJournal!$A$1:$NTR$890,COLUMN(HeadJournal!D$1),0),"")</f>
        <v>Доставлен</v>
      </c>
      <c r="E5072" s="95">
        <f>IFERROR(VLOOKUP($A5072,HeadJournal!$A$1:$NTR$890,COLUMN(HeadJournal!G$1),0),"")</f>
        <v>45916</v>
      </c>
      <c r="F5072" s="95" t="str">
        <f t="shared" si="379"/>
        <v>2025 09</v>
      </c>
      <c r="G5072" s="97" t="s">
        <v>5</v>
      </c>
      <c r="H5072" s="161" t="s">
        <v>2024</v>
      </c>
      <c r="I5072" s="97" t="s">
        <v>2005</v>
      </c>
      <c r="J5072" s="97" t="s">
        <v>4140</v>
      </c>
      <c r="K5072" s="29">
        <v>17.38</v>
      </c>
      <c r="L5072" s="29">
        <v>-5.04</v>
      </c>
      <c r="M5072" s="30">
        <f>IFERROR(VLOOKUP($A5072,HeadJournal!$A$1:$J$890,COLUMN(HeadJournal!I$1),0)*($K5072+$L5072)/(SUMIF($A:$A,$A5072,$K:$K)+SUMIF($A:$A,$A5072,$L:$L)),0)</f>
        <v>-0.64763959931798798</v>
      </c>
      <c r="N5072" s="30">
        <f>IFERROR((VLOOKUP($A5072,HeadJournal!$A$1:$K$890,COLUMN(HeadJournal!K$1),0)-VLOOKUP($A5072,HeadJournal!$A$1:$K$890,COLUMN(HeadJournal!J$1),0))*($K5072+$L5072)/(SUMIF($A:$A,$A5072,$K:$K)+SUMIF($A:$A,$A5072,$L:$L)),0)</f>
        <v>0</v>
      </c>
      <c r="O5072" s="30">
        <f>IFERROR((VLOOKUP($A5072,HeadJournal!$A$1:$L$890,COLUMN(HeadJournal!L$1),0)*($K5072+$L5072)/(SUMIF($A:$A,$A5072,$K:$K)+SUMIF($A:$A,$A5072,$L:$L)))/VLOOKUP($A5072,HeadJournal!$A$1:$L$890,COLUMN(HeadJournal!H$1),0),0)</f>
        <v>0.35505559481547816</v>
      </c>
      <c r="P5072" s="30">
        <f>IFERROR(SUM(K5072:O5072)*VLOOKUP($A5072,HeadJournal!$A$1:$L$890,COLUMN(HeadJournal!H$1),0),0)</f>
        <v>1126.6423945012787</v>
      </c>
      <c r="Q5072" s="29">
        <v>2400</v>
      </c>
      <c r="R5072" s="31">
        <v>46002</v>
      </c>
      <c r="S5072" s="31" t="s">
        <v>4523</v>
      </c>
      <c r="T5072" s="95" t="str">
        <f t="shared" si="380"/>
        <v>2025 12</v>
      </c>
      <c r="U5072" s="32">
        <f t="shared" si="377"/>
        <v>1273.3576054987213</v>
      </c>
      <c r="V5072" s="22">
        <f t="shared" si="378"/>
        <v>1.1302234069244197</v>
      </c>
      <c r="X5072" s="33"/>
      <c r="Y5072" s="33"/>
    </row>
    <row r="5073" spans="1:25" x14ac:dyDescent="0.2">
      <c r="A5073" s="93" t="s">
        <v>4365</v>
      </c>
      <c r="B5073" s="94" t="str">
        <f>IFERROR(VLOOKUP($A5073,HeadJournal!$A$1:$NTR$890,COLUMN(HeadJournal!B$1),0),"")</f>
        <v>720000802326</v>
      </c>
      <c r="C5073" s="94" t="str">
        <f>IFERROR(VLOOKUP($A5073,HeadJournal!$A$1:$NTR$890,COLUMN(HeadJournal!C$1),0),"")</f>
        <v>iHerb_OA CZN6870</v>
      </c>
      <c r="D5073" s="125" t="str">
        <f>IFERROR(VLOOKUP($A5073,HeadJournal!$A$1:$NTR$890,COLUMN(HeadJournal!D$1),0),"")</f>
        <v>Доставлен</v>
      </c>
      <c r="E5073" s="95">
        <f>IFERROR(VLOOKUP($A5073,HeadJournal!$A$1:$NTR$890,COLUMN(HeadJournal!G$1),0),"")</f>
        <v>45916</v>
      </c>
      <c r="F5073" s="95" t="str">
        <f t="shared" si="379"/>
        <v>2025 09</v>
      </c>
      <c r="G5073" s="97" t="s">
        <v>5</v>
      </c>
      <c r="H5073" s="161" t="s">
        <v>2024</v>
      </c>
      <c r="I5073" s="97" t="s">
        <v>2005</v>
      </c>
      <c r="J5073" s="97" t="s">
        <v>4140</v>
      </c>
      <c r="K5073" s="29">
        <v>17.38</v>
      </c>
      <c r="L5073" s="29">
        <v>-5.04</v>
      </c>
      <c r="M5073" s="30">
        <f>IFERROR(VLOOKUP($A5073,HeadJournal!$A$1:$J$890,COLUMN(HeadJournal!I$1),0)*($K5073+$L5073)/(SUMIF($A:$A,$A5073,$K:$K)+SUMIF($A:$A,$A5073,$L:$L)),0)</f>
        <v>-0.64763959931798798</v>
      </c>
      <c r="N5073" s="30">
        <f>IFERROR((VLOOKUP($A5073,HeadJournal!$A$1:$K$890,COLUMN(HeadJournal!K$1),0)-VLOOKUP($A5073,HeadJournal!$A$1:$K$890,COLUMN(HeadJournal!J$1),0))*($K5073+$L5073)/(SUMIF($A:$A,$A5073,$K:$K)+SUMIF($A:$A,$A5073,$L:$L)),0)</f>
        <v>0</v>
      </c>
      <c r="O5073" s="30">
        <f>IFERROR((VLOOKUP($A5073,HeadJournal!$A$1:$L$890,COLUMN(HeadJournal!L$1),0)*($K5073+$L5073)/(SUMIF($A:$A,$A5073,$K:$K)+SUMIF($A:$A,$A5073,$L:$L)))/VLOOKUP($A5073,HeadJournal!$A$1:$L$890,COLUMN(HeadJournal!H$1),0),0)</f>
        <v>0.35505559481547816</v>
      </c>
      <c r="P5073" s="30">
        <f>IFERROR(SUM(K5073:O5073)*VLOOKUP($A5073,HeadJournal!$A$1:$L$890,COLUMN(HeadJournal!H$1),0),0)</f>
        <v>1126.6423945012787</v>
      </c>
      <c r="Q5073" s="29">
        <v>2300</v>
      </c>
      <c r="R5073" s="31">
        <v>46090</v>
      </c>
      <c r="S5073" s="31"/>
      <c r="T5073" s="95" t="str">
        <f t="shared" si="380"/>
        <v>2026 03</v>
      </c>
      <c r="U5073" s="32">
        <f t="shared" si="377"/>
        <v>1173.3576054987213</v>
      </c>
      <c r="V5073" s="22">
        <f t="shared" si="378"/>
        <v>1.0414640983025689</v>
      </c>
      <c r="X5073" s="33"/>
      <c r="Y5073" s="33"/>
    </row>
    <row r="5074" spans="1:25" x14ac:dyDescent="0.2">
      <c r="A5074" s="93" t="s">
        <v>4365</v>
      </c>
      <c r="B5074" s="94" t="str">
        <f>IFERROR(VLOOKUP($A5074,HeadJournal!$A$1:$NTR$890,COLUMN(HeadJournal!B$1),0),"")</f>
        <v>720000802326</v>
      </c>
      <c r="C5074" s="94" t="str">
        <f>IFERROR(VLOOKUP($A5074,HeadJournal!$A$1:$NTR$890,COLUMN(HeadJournal!C$1),0),"")</f>
        <v>iHerb_OA CZN6870</v>
      </c>
      <c r="D5074" s="125" t="str">
        <f>IFERROR(VLOOKUP($A5074,HeadJournal!$A$1:$NTR$890,COLUMN(HeadJournal!D$1),0),"")</f>
        <v>Доставлен</v>
      </c>
      <c r="E5074" s="95">
        <f>IFERROR(VLOOKUP($A5074,HeadJournal!$A$1:$NTR$890,COLUMN(HeadJournal!G$1),0),"")</f>
        <v>45916</v>
      </c>
      <c r="F5074" s="95" t="str">
        <f t="shared" si="379"/>
        <v>2025 09</v>
      </c>
      <c r="G5074" s="97" t="s">
        <v>5</v>
      </c>
      <c r="H5074" s="161" t="s">
        <v>2773</v>
      </c>
      <c r="I5074" s="97" t="s">
        <v>2005</v>
      </c>
      <c r="J5074" s="97" t="s">
        <v>2774</v>
      </c>
      <c r="K5074" s="29">
        <v>14.28</v>
      </c>
      <c r="L5074" s="29">
        <v>-4.1399999999999997</v>
      </c>
      <c r="M5074" s="30">
        <f>IFERROR(VLOOKUP($A5074,HeadJournal!$A$1:$J$890,COLUMN(HeadJournal!I$1),0)*($K5074+$L5074)/(SUMIF($A:$A,$A5074,$K:$K)+SUMIF($A:$A,$A5074,$L:$L)),0)</f>
        <v>-0.53217710997442458</v>
      </c>
      <c r="N5074" s="30">
        <f>IFERROR((VLOOKUP($A5074,HeadJournal!$A$1:$K$890,COLUMN(HeadJournal!K$1),0)-VLOOKUP($A5074,HeadJournal!$A$1:$K$890,COLUMN(HeadJournal!J$1),0))*($K5074+$L5074)/(SUMIF($A:$A,$A5074,$K:$K)+SUMIF($A:$A,$A5074,$L:$L)),0)</f>
        <v>0</v>
      </c>
      <c r="O5074" s="30">
        <f>IFERROR((VLOOKUP($A5074,HeadJournal!$A$1:$L$890,COLUMN(HeadJournal!L$1),0)*($K5074+$L5074)/(SUMIF($A:$A,$A5074,$K:$K)+SUMIF($A:$A,$A5074,$L:$L)))/VLOOKUP($A5074,HeadJournal!$A$1:$L$890,COLUMN(HeadJournal!H$1),0),0)</f>
        <v>0.2917555698078565</v>
      </c>
      <c r="P5074" s="30">
        <f>IFERROR(SUM(K5074:O5074)*VLOOKUP($A5074,HeadJournal!$A$1:$L$890,COLUMN(HeadJournal!H$1),0),0)</f>
        <v>925.7823241687978</v>
      </c>
      <c r="Q5074" s="29">
        <v>2000</v>
      </c>
      <c r="R5074" s="31">
        <v>46119</v>
      </c>
      <c r="S5074" s="31"/>
      <c r="T5074" s="95" t="str">
        <f t="shared" si="380"/>
        <v>2026 04</v>
      </c>
      <c r="U5074" s="32">
        <f t="shared" si="377"/>
        <v>1074.2176758312021</v>
      </c>
      <c r="V5074" s="22">
        <f t="shared" si="378"/>
        <v>1.1603350461413002</v>
      </c>
      <c r="X5074" s="33"/>
      <c r="Y5074" s="33"/>
    </row>
    <row r="5075" spans="1:25" x14ac:dyDescent="0.2">
      <c r="A5075" s="93" t="s">
        <v>4365</v>
      </c>
      <c r="B5075" s="94" t="str">
        <f>IFERROR(VLOOKUP($A5075,HeadJournal!$A$1:$NTR$890,COLUMN(HeadJournal!B$1),0),"")</f>
        <v>720000802326</v>
      </c>
      <c r="C5075" s="94" t="str">
        <f>IFERROR(VLOOKUP($A5075,HeadJournal!$A$1:$NTR$890,COLUMN(HeadJournal!C$1),0),"")</f>
        <v>iHerb_OA CZN6870</v>
      </c>
      <c r="D5075" s="125" t="str">
        <f>IFERROR(VLOOKUP($A5075,HeadJournal!$A$1:$NTR$890,COLUMN(HeadJournal!D$1),0),"")</f>
        <v>Доставлен</v>
      </c>
      <c r="E5075" s="95">
        <f>IFERROR(VLOOKUP($A5075,HeadJournal!$A$1:$NTR$890,COLUMN(HeadJournal!G$1),0),"")</f>
        <v>45916</v>
      </c>
      <c r="F5075" s="95" t="str">
        <f t="shared" si="379"/>
        <v>2025 09</v>
      </c>
      <c r="G5075" s="97" t="s">
        <v>5</v>
      </c>
      <c r="H5075" s="161" t="s">
        <v>2016</v>
      </c>
      <c r="I5075" s="97" t="s">
        <v>2005</v>
      </c>
      <c r="J5075" s="97" t="s">
        <v>2017</v>
      </c>
      <c r="K5075" s="29">
        <v>40.090000000000003</v>
      </c>
      <c r="L5075" s="29">
        <v>-11.63</v>
      </c>
      <c r="M5075" s="30">
        <f>IFERROR(VLOOKUP($A5075,HeadJournal!$A$1:$J$890,COLUMN(HeadJournal!I$1),0)*($K5075+$L5075)/(SUMIF($A:$A,$A5075,$K:$K)+SUMIF($A:$A,$A5075,$L:$L)),0)</f>
        <v>-1.4936647485080989</v>
      </c>
      <c r="N5075" s="30">
        <f>IFERROR((VLOOKUP($A5075,HeadJournal!$A$1:$K$890,COLUMN(HeadJournal!K$1),0)-VLOOKUP($A5075,HeadJournal!$A$1:$K$890,COLUMN(HeadJournal!J$1),0))*($K5075+$L5075)/(SUMIF($A:$A,$A5075,$K:$K)+SUMIF($A:$A,$A5075,$L:$L)),0)</f>
        <v>0</v>
      </c>
      <c r="O5075" s="30">
        <f>IFERROR((VLOOKUP($A5075,HeadJournal!$A$1:$L$890,COLUMN(HeadJournal!L$1),0)*($K5075+$L5075)/(SUMIF($A:$A,$A5075,$K:$K)+SUMIF($A:$A,$A5075,$L:$L)))/VLOOKUP($A5075,HeadJournal!$A$1:$L$890,COLUMN(HeadJournal!H$1),0),0)</f>
        <v>0.81887214168950651</v>
      </c>
      <c r="P5075" s="30">
        <f>IFERROR(SUM(K5075:O5075)*VLOOKUP($A5075,HeadJournal!$A$1:$L$890,COLUMN(HeadJournal!H$1),0),0)</f>
        <v>2598.3989098465472</v>
      </c>
      <c r="Q5075" s="29">
        <v>4400</v>
      </c>
      <c r="R5075" s="31">
        <v>45993</v>
      </c>
      <c r="S5075" s="31" t="s">
        <v>4610</v>
      </c>
      <c r="T5075" s="95" t="str">
        <f t="shared" si="380"/>
        <v>2025 12</v>
      </c>
      <c r="U5075" s="32">
        <f t="shared" si="377"/>
        <v>1801.6010901534528</v>
      </c>
      <c r="V5075" s="22">
        <f t="shared" si="378"/>
        <v>0.69335046413633594</v>
      </c>
      <c r="X5075" s="33"/>
      <c r="Y5075" s="33"/>
    </row>
    <row r="5076" spans="1:25" x14ac:dyDescent="0.2">
      <c r="A5076" s="93" t="s">
        <v>4365</v>
      </c>
      <c r="B5076" s="94" t="str">
        <f>IFERROR(VLOOKUP($A5076,HeadJournal!$A$1:$NTR$890,COLUMN(HeadJournal!B$1),0),"")</f>
        <v>720000802326</v>
      </c>
      <c r="C5076" s="94" t="str">
        <f>IFERROR(VLOOKUP($A5076,HeadJournal!$A$1:$NTR$890,COLUMN(HeadJournal!C$1),0),"")</f>
        <v>iHerb_OA CZN6870</v>
      </c>
      <c r="D5076" s="125" t="str">
        <f>IFERROR(VLOOKUP($A5076,HeadJournal!$A$1:$NTR$890,COLUMN(HeadJournal!D$1),0),"")</f>
        <v>Доставлен</v>
      </c>
      <c r="E5076" s="95">
        <f>IFERROR(VLOOKUP($A5076,HeadJournal!$A$1:$NTR$890,COLUMN(HeadJournal!G$1),0),"")</f>
        <v>45916</v>
      </c>
      <c r="F5076" s="95" t="str">
        <f t="shared" si="379"/>
        <v>2025 09</v>
      </c>
      <c r="G5076" s="97" t="s">
        <v>5</v>
      </c>
      <c r="H5076" s="161" t="s">
        <v>2831</v>
      </c>
      <c r="I5076" s="97" t="s">
        <v>2005</v>
      </c>
      <c r="J5076" s="97" t="s">
        <v>2710</v>
      </c>
      <c r="K5076" s="29">
        <v>13.03</v>
      </c>
      <c r="L5076" s="29">
        <v>-3.78</v>
      </c>
      <c r="M5076" s="30">
        <f>IFERROR(VLOOKUP($A5076,HeadJournal!$A$1:$J$890,COLUMN(HeadJournal!I$1),0)*($K5076+$L5076)/(SUMIF($A:$A,$A5076,$K:$K)+SUMIF($A:$A,$A5076,$L:$L)),0)</f>
        <v>-0.48546728473998291</v>
      </c>
      <c r="N5076" s="30">
        <f>IFERROR((VLOOKUP($A5076,HeadJournal!$A$1:$K$890,COLUMN(HeadJournal!K$1),0)-VLOOKUP($A5076,HeadJournal!$A$1:$K$890,COLUMN(HeadJournal!J$1),0))*($K5076+$L5076)/(SUMIF($A:$A,$A5076,$K:$K)+SUMIF($A:$A,$A5076,$L:$L)),0)</f>
        <v>0</v>
      </c>
      <c r="O5076" s="30">
        <f>IFERROR((VLOOKUP($A5076,HeadJournal!$A$1:$L$890,COLUMN(HeadJournal!L$1),0)*($K5076+$L5076)/(SUMIF($A:$A,$A5076,$K:$K)+SUMIF($A:$A,$A5076,$L:$L)))/VLOOKUP($A5076,HeadJournal!$A$1:$L$890,COLUMN(HeadJournal!H$1),0),0)</f>
        <v>0.2661478324184095</v>
      </c>
      <c r="P5076" s="30">
        <f>IFERROR(SUM(K5076:O5076)*VLOOKUP($A5076,HeadJournal!$A$1:$L$890,COLUMN(HeadJournal!H$1),0),0)</f>
        <v>844.52529571611251</v>
      </c>
      <c r="Q5076" s="29"/>
      <c r="R5076" s="31"/>
      <c r="S5076" s="31"/>
      <c r="T5076" s="95" t="str">
        <f t="shared" si="380"/>
        <v/>
      </c>
      <c r="U5076" s="32">
        <f t="shared" si="377"/>
        <v>-844.52529571611251</v>
      </c>
      <c r="V5076" s="22" t="str">
        <f t="shared" si="378"/>
        <v/>
      </c>
      <c r="X5076" s="33"/>
      <c r="Y5076" s="33"/>
    </row>
    <row r="5077" spans="1:25" x14ac:dyDescent="0.2">
      <c r="A5077" s="93" t="s">
        <v>4365</v>
      </c>
      <c r="B5077" s="94" t="str">
        <f>IFERROR(VLOOKUP($A5077,HeadJournal!$A$1:$NTR$890,COLUMN(HeadJournal!B$1),0),"")</f>
        <v>720000802326</v>
      </c>
      <c r="C5077" s="94" t="str">
        <f>IFERROR(VLOOKUP($A5077,HeadJournal!$A$1:$NTR$890,COLUMN(HeadJournal!C$1),0),"")</f>
        <v>iHerb_OA CZN6870</v>
      </c>
      <c r="D5077" s="125" t="str">
        <f>IFERROR(VLOOKUP($A5077,HeadJournal!$A$1:$NTR$890,COLUMN(HeadJournal!D$1),0),"")</f>
        <v>Доставлен</v>
      </c>
      <c r="E5077" s="95">
        <f>IFERROR(VLOOKUP($A5077,HeadJournal!$A$1:$NTR$890,COLUMN(HeadJournal!G$1),0),"")</f>
        <v>45916</v>
      </c>
      <c r="F5077" s="95" t="str">
        <f t="shared" si="379"/>
        <v>2025 09</v>
      </c>
      <c r="G5077" s="97" t="s">
        <v>5</v>
      </c>
      <c r="H5077" s="161" t="s">
        <v>4357</v>
      </c>
      <c r="I5077" s="97" t="s">
        <v>2005</v>
      </c>
      <c r="J5077" s="97" t="s">
        <v>4358</v>
      </c>
      <c r="K5077" s="29">
        <v>12.31</v>
      </c>
      <c r="L5077" s="29">
        <v>-3.57</v>
      </c>
      <c r="M5077" s="30">
        <f>IFERROR(VLOOKUP($A5077,HeadJournal!$A$1:$J$890,COLUMN(HeadJournal!I$1),0)*($K5077+$L5077)/(SUMIF($A:$A,$A5077,$K:$K)+SUMIF($A:$A,$A5077,$L:$L)),0)</f>
        <v>-0.45870098039215684</v>
      </c>
      <c r="N5077" s="30">
        <f>IFERROR((VLOOKUP($A5077,HeadJournal!$A$1:$K$890,COLUMN(HeadJournal!K$1),0)-VLOOKUP($A5077,HeadJournal!$A$1:$K$890,COLUMN(HeadJournal!J$1),0))*($K5077+$L5077)/(SUMIF($A:$A,$A5077,$K:$K)+SUMIF($A:$A,$A5077,$L:$L)),0)</f>
        <v>0</v>
      </c>
      <c r="O5077" s="30">
        <f>IFERROR((VLOOKUP($A5077,HeadJournal!$A$1:$L$890,COLUMN(HeadJournal!L$1),0)*($K5077+$L5077)/(SUMIF($A:$A,$A5077,$K:$K)+SUMIF($A:$A,$A5077,$L:$L)))/VLOOKUP($A5077,HeadJournal!$A$1:$L$890,COLUMN(HeadJournal!H$1),0),0)</f>
        <v>0.25147373571209719</v>
      </c>
      <c r="P5077" s="30">
        <f>IFERROR(SUM(K5077:O5077)*VLOOKUP($A5077,HeadJournal!$A$1:$L$890,COLUMN(HeadJournal!H$1),0),0)</f>
        <v>797.96227941176448</v>
      </c>
      <c r="Q5077" s="29"/>
      <c r="R5077" s="31"/>
      <c r="S5077" s="31"/>
      <c r="T5077" s="95" t="str">
        <f t="shared" si="380"/>
        <v/>
      </c>
      <c r="U5077" s="32">
        <f t="shared" si="377"/>
        <v>-797.96227941176448</v>
      </c>
      <c r="V5077" s="22" t="str">
        <f t="shared" si="378"/>
        <v/>
      </c>
      <c r="X5077" s="33"/>
      <c r="Y5077" s="33"/>
    </row>
    <row r="5078" spans="1:25" x14ac:dyDescent="0.2">
      <c r="A5078" s="93" t="s">
        <v>4365</v>
      </c>
      <c r="B5078" s="94" t="str">
        <f>IFERROR(VLOOKUP($A5078,HeadJournal!$A$1:$NTR$890,COLUMN(HeadJournal!B$1),0),"")</f>
        <v>720000802326</v>
      </c>
      <c r="C5078" s="94" t="str">
        <f>IFERROR(VLOOKUP($A5078,HeadJournal!$A$1:$NTR$890,COLUMN(HeadJournal!C$1),0),"")</f>
        <v>iHerb_OA CZN6870</v>
      </c>
      <c r="D5078" s="125" t="str">
        <f>IFERROR(VLOOKUP($A5078,HeadJournal!$A$1:$NTR$890,COLUMN(HeadJournal!D$1),0),"")</f>
        <v>Доставлен</v>
      </c>
      <c r="E5078" s="95">
        <f>IFERROR(VLOOKUP($A5078,HeadJournal!$A$1:$NTR$890,COLUMN(HeadJournal!G$1),0),"")</f>
        <v>45916</v>
      </c>
      <c r="F5078" s="95" t="str">
        <f t="shared" si="379"/>
        <v>2025 09</v>
      </c>
      <c r="G5078" s="97" t="s">
        <v>5</v>
      </c>
      <c r="H5078" s="161" t="s">
        <v>2075</v>
      </c>
      <c r="I5078" s="97" t="s">
        <v>2005</v>
      </c>
      <c r="J5078" s="97" t="s">
        <v>4359</v>
      </c>
      <c r="K5078" s="29">
        <v>27.33</v>
      </c>
      <c r="L5078" s="29">
        <v>-7.93</v>
      </c>
      <c r="M5078" s="30">
        <f>IFERROR(VLOOKUP($A5078,HeadJournal!$A$1:$J$890,COLUMN(HeadJournal!I$1),0)*($K5078+$L5078)/(SUMIF($A:$A,$A5078,$K:$K)+SUMIF($A:$A,$A5078,$L:$L)),0)</f>
        <v>-1.0181692242114235</v>
      </c>
      <c r="N5078" s="30">
        <f>IFERROR((VLOOKUP($A5078,HeadJournal!$A$1:$K$890,COLUMN(HeadJournal!K$1),0)-VLOOKUP($A5078,HeadJournal!$A$1:$K$890,COLUMN(HeadJournal!J$1),0))*($K5078+$L5078)/(SUMIF($A:$A,$A5078,$K:$K)+SUMIF($A:$A,$A5078,$L:$L)),0)</f>
        <v>0</v>
      </c>
      <c r="O5078" s="30">
        <f>IFERROR((VLOOKUP($A5078,HeadJournal!$A$1:$L$890,COLUMN(HeadJournal!L$1),0)*($K5078+$L5078)/(SUMIF($A:$A,$A5078,$K:$K)+SUMIF($A:$A,$A5078,$L:$L)))/VLOOKUP($A5078,HeadJournal!$A$1:$L$890,COLUMN(HeadJournal!H$1),0),0)</f>
        <v>0.55819112961266426</v>
      </c>
      <c r="P5078" s="30">
        <f>IFERROR(SUM(K5078:O5078)*VLOOKUP($A5078,HeadJournal!$A$1:$L$890,COLUMN(HeadJournal!H$1),0),0)</f>
        <v>1771.2206202046032</v>
      </c>
      <c r="Q5078" s="29">
        <v>3200</v>
      </c>
      <c r="R5078" s="31">
        <v>45974</v>
      </c>
      <c r="S5078" s="31"/>
      <c r="T5078" s="95" t="str">
        <f t="shared" si="380"/>
        <v>2025 11</v>
      </c>
      <c r="U5078" s="32">
        <f t="shared" si="377"/>
        <v>1428.7793797953968</v>
      </c>
      <c r="V5078" s="22">
        <f t="shared" si="378"/>
        <v>0.80666370044311642</v>
      </c>
      <c r="X5078" s="33"/>
      <c r="Y5078" s="33"/>
    </row>
    <row r="5079" spans="1:25" x14ac:dyDescent="0.2">
      <c r="A5079" s="93" t="s">
        <v>4365</v>
      </c>
      <c r="B5079" s="94" t="str">
        <f>IFERROR(VLOOKUP($A5079,HeadJournal!$A$1:$NTR$890,COLUMN(HeadJournal!B$1),0),"")</f>
        <v>720000802326</v>
      </c>
      <c r="C5079" s="94" t="str">
        <f>IFERROR(VLOOKUP($A5079,HeadJournal!$A$1:$NTR$890,COLUMN(HeadJournal!C$1),0),"")</f>
        <v>iHerb_OA CZN6870</v>
      </c>
      <c r="D5079" s="125" t="str">
        <f>IFERROR(VLOOKUP($A5079,HeadJournal!$A$1:$NTR$890,COLUMN(HeadJournal!D$1),0),"")</f>
        <v>Доставлен</v>
      </c>
      <c r="E5079" s="95">
        <f>IFERROR(VLOOKUP($A5079,HeadJournal!$A$1:$NTR$890,COLUMN(HeadJournal!G$1),0),"")</f>
        <v>45916</v>
      </c>
      <c r="F5079" s="95" t="str">
        <f t="shared" si="379"/>
        <v>2025 09</v>
      </c>
      <c r="G5079" s="97" t="s">
        <v>5</v>
      </c>
      <c r="H5079" s="161" t="s">
        <v>2081</v>
      </c>
      <c r="I5079" s="97" t="s">
        <v>2005</v>
      </c>
      <c r="J5079" s="97" t="s">
        <v>4360</v>
      </c>
      <c r="K5079" s="29">
        <v>9.41</v>
      </c>
      <c r="L5079" s="29">
        <v>-2.73</v>
      </c>
      <c r="M5079" s="30">
        <f>IFERROR(VLOOKUP($A5079,HeadJournal!$A$1:$J$890,COLUMN(HeadJournal!I$1),0)*($K5079+$L5079)/(SUMIF($A:$A,$A5079,$K:$K)+SUMIF($A:$A,$A5079,$L:$L)),0)</f>
        <v>-0.35058610400682011</v>
      </c>
      <c r="N5079" s="30">
        <f>IFERROR((VLOOKUP($A5079,HeadJournal!$A$1:$K$890,COLUMN(HeadJournal!K$1),0)-VLOOKUP($A5079,HeadJournal!$A$1:$K$890,COLUMN(HeadJournal!J$1),0))*($K5079+$L5079)/(SUMIF($A:$A,$A5079,$K:$K)+SUMIF($A:$A,$A5079,$L:$L)),0)</f>
        <v>0</v>
      </c>
      <c r="O5079" s="30">
        <f>IFERROR((VLOOKUP($A5079,HeadJournal!$A$1:$L$890,COLUMN(HeadJournal!L$1),0)*($K5079+$L5079)/(SUMIF($A:$A,$A5079,$K:$K)+SUMIF($A:$A,$A5079,$L:$L)))/VLOOKUP($A5079,HeadJournal!$A$1:$L$890,COLUMN(HeadJournal!H$1),0),0)</f>
        <v>0.19220189411405136</v>
      </c>
      <c r="P5079" s="30">
        <f>IFERROR(SUM(K5079:O5079)*VLOOKUP($A5079,HeadJournal!$A$1:$L$890,COLUMN(HeadJournal!H$1),0),0)</f>
        <v>609.88421355498713</v>
      </c>
      <c r="Q5079" s="29">
        <v>1800</v>
      </c>
      <c r="R5079" s="31">
        <v>45989</v>
      </c>
      <c r="S5079" s="31" t="s">
        <v>4622</v>
      </c>
      <c r="T5079" s="95" t="str">
        <f t="shared" si="380"/>
        <v>2025 11</v>
      </c>
      <c r="U5079" s="32">
        <f t="shared" si="377"/>
        <v>1190.1157864450129</v>
      </c>
      <c r="V5079" s="22">
        <f t="shared" si="378"/>
        <v>1.9513798848930397</v>
      </c>
      <c r="X5079" s="33"/>
      <c r="Y5079" s="33"/>
    </row>
    <row r="5080" spans="1:25" x14ac:dyDescent="0.2">
      <c r="A5080" s="93" t="s">
        <v>4365</v>
      </c>
      <c r="B5080" s="94" t="str">
        <f>IFERROR(VLOOKUP($A5080,HeadJournal!$A$1:$NTR$890,COLUMN(HeadJournal!B$1),0),"")</f>
        <v>720000802326</v>
      </c>
      <c r="C5080" s="94" t="str">
        <f>IFERROR(VLOOKUP($A5080,HeadJournal!$A$1:$NTR$890,COLUMN(HeadJournal!C$1),0),"")</f>
        <v>iHerb_OA CZN6870</v>
      </c>
      <c r="D5080" s="125" t="str">
        <f>IFERROR(VLOOKUP($A5080,HeadJournal!$A$1:$NTR$890,COLUMN(HeadJournal!D$1),0),"")</f>
        <v>Доставлен</v>
      </c>
      <c r="E5080" s="95">
        <f>IFERROR(VLOOKUP($A5080,HeadJournal!$A$1:$NTR$890,COLUMN(HeadJournal!G$1),0),"")</f>
        <v>45916</v>
      </c>
      <c r="F5080" s="95" t="str">
        <f t="shared" si="379"/>
        <v>2025 09</v>
      </c>
      <c r="G5080" s="97" t="s">
        <v>5</v>
      </c>
      <c r="H5080" s="161" t="s">
        <v>4361</v>
      </c>
      <c r="I5080" s="97" t="s">
        <v>2005</v>
      </c>
      <c r="J5080" s="97" t="s">
        <v>4362</v>
      </c>
      <c r="K5080" s="29">
        <v>25.36</v>
      </c>
      <c r="L5080" s="29">
        <v>-7.35</v>
      </c>
      <c r="M5080" s="30">
        <f>IFERROR(VLOOKUP($A5080,HeadJournal!$A$1:$J$890,COLUMN(HeadJournal!I$1),0)*($K5080+$L5080)/(SUMIF($A:$A,$A5080,$K:$K)+SUMIF($A:$A,$A5080,$L:$L)),0)</f>
        <v>-0.94521792412617212</v>
      </c>
      <c r="N5080" s="30">
        <f>IFERROR((VLOOKUP($A5080,HeadJournal!$A$1:$K$890,COLUMN(HeadJournal!K$1),0)-VLOOKUP($A5080,HeadJournal!$A$1:$K$890,COLUMN(HeadJournal!J$1),0))*($K5080+$L5080)/(SUMIF($A:$A,$A5080,$K:$K)+SUMIF($A:$A,$A5080,$L:$L)),0)</f>
        <v>0</v>
      </c>
      <c r="O5080" s="30">
        <f>IFERROR((VLOOKUP($A5080,HeadJournal!$A$1:$L$890,COLUMN(HeadJournal!L$1),0)*($K5080+$L5080)/(SUMIF($A:$A,$A5080,$K:$K)+SUMIF($A:$A,$A5080,$L:$L)))/VLOOKUP($A5080,HeadJournal!$A$1:$L$890,COLUMN(HeadJournal!H$1),0),0)</f>
        <v>0.51819702290330316</v>
      </c>
      <c r="P5080" s="30">
        <f>IFERROR(SUM(K5080:O5080)*VLOOKUP($A5080,HeadJournal!$A$1:$L$890,COLUMN(HeadJournal!H$1),0),0)</f>
        <v>1644.313575767263</v>
      </c>
      <c r="Q5080" s="29">
        <v>2300</v>
      </c>
      <c r="R5080" s="31">
        <v>45962</v>
      </c>
      <c r="S5080" s="31" t="s">
        <v>3384</v>
      </c>
      <c r="T5080" s="95" t="str">
        <f t="shared" si="380"/>
        <v>2025 11</v>
      </c>
      <c r="U5080" s="32">
        <f t="shared" si="377"/>
        <v>655.68642423273695</v>
      </c>
      <c r="V5080" s="22">
        <f t="shared" si="378"/>
        <v>0.39875996518898965</v>
      </c>
      <c r="X5080" s="33"/>
      <c r="Y5080" s="33"/>
    </row>
    <row r="5081" spans="1:25" x14ac:dyDescent="0.2">
      <c r="A5081" s="93" t="s">
        <v>4365</v>
      </c>
      <c r="B5081" s="94" t="str">
        <f>IFERROR(VLOOKUP($A5081,HeadJournal!$A$1:$NTR$890,COLUMN(HeadJournal!B$1),0),"")</f>
        <v>720000802326</v>
      </c>
      <c r="C5081" s="94" t="str">
        <f>IFERROR(VLOOKUP($A5081,HeadJournal!$A$1:$NTR$890,COLUMN(HeadJournal!C$1),0),"")</f>
        <v>iHerb_OA CZN6870</v>
      </c>
      <c r="D5081" s="125" t="str">
        <f>IFERROR(VLOOKUP($A5081,HeadJournal!$A$1:$NTR$890,COLUMN(HeadJournal!D$1),0),"")</f>
        <v>Доставлен</v>
      </c>
      <c r="E5081" s="95">
        <f>IFERROR(VLOOKUP($A5081,HeadJournal!$A$1:$NTR$890,COLUMN(HeadJournal!G$1),0),"")</f>
        <v>45916</v>
      </c>
      <c r="F5081" s="95" t="str">
        <f t="shared" si="379"/>
        <v>2025 09</v>
      </c>
      <c r="G5081" s="97" t="s">
        <v>5</v>
      </c>
      <c r="H5081" s="161" t="s">
        <v>2200</v>
      </c>
      <c r="I5081" s="97" t="s">
        <v>2005</v>
      </c>
      <c r="J5081" s="97" t="s">
        <v>4363</v>
      </c>
      <c r="K5081" s="29">
        <v>10.130000000000001</v>
      </c>
      <c r="L5081" s="29">
        <v>-2.94</v>
      </c>
      <c r="M5081" s="30">
        <f>IFERROR(VLOOKUP($A5081,HeadJournal!$A$1:$J$890,COLUMN(HeadJournal!I$1),0)*($K5081+$L5081)/(SUMIF($A:$A,$A5081,$K:$K)+SUMIF($A:$A,$A5081,$L:$L)),0)</f>
        <v>-0.37735240835464628</v>
      </c>
      <c r="N5081" s="30">
        <f>IFERROR((VLOOKUP($A5081,HeadJournal!$A$1:$K$890,COLUMN(HeadJournal!K$1),0)-VLOOKUP($A5081,HeadJournal!$A$1:$K$890,COLUMN(HeadJournal!J$1),0))*($K5081+$L5081)/(SUMIF($A:$A,$A5081,$K:$K)+SUMIF($A:$A,$A5081,$L:$L)),0)</f>
        <v>0</v>
      </c>
      <c r="O5081" s="30">
        <f>IFERROR((VLOOKUP($A5081,HeadJournal!$A$1:$L$890,COLUMN(HeadJournal!L$1),0)*($K5081+$L5081)/(SUMIF($A:$A,$A5081,$K:$K)+SUMIF($A:$A,$A5081,$L:$L)))/VLOOKUP($A5081,HeadJournal!$A$1:$L$890,COLUMN(HeadJournal!H$1),0),0)</f>
        <v>0.20687599082036373</v>
      </c>
      <c r="P5081" s="30">
        <f>IFERROR(SUM(K5081:O5081)*VLOOKUP($A5081,HeadJournal!$A$1:$L$890,COLUMN(HeadJournal!H$1),0),0)</f>
        <v>656.44722985933504</v>
      </c>
      <c r="Q5081" s="29">
        <v>1700</v>
      </c>
      <c r="R5081" s="31">
        <v>45990</v>
      </c>
      <c r="S5081" s="31"/>
      <c r="T5081" s="95" t="str">
        <f t="shared" si="380"/>
        <v>2025 11</v>
      </c>
      <c r="U5081" s="32">
        <f t="shared" si="377"/>
        <v>1043.552770140665</v>
      </c>
      <c r="V5081" s="22">
        <f t="shared" si="378"/>
        <v>1.5896978807638198</v>
      </c>
      <c r="X5081" s="33"/>
      <c r="Y5081" s="33"/>
    </row>
    <row r="5082" spans="1:25" x14ac:dyDescent="0.2">
      <c r="A5082" s="93" t="s">
        <v>4365</v>
      </c>
      <c r="B5082" s="94" t="str">
        <f>IFERROR(VLOOKUP($A5082,HeadJournal!$A$1:$NTR$890,COLUMN(HeadJournal!B$1),0),"")</f>
        <v>720000802326</v>
      </c>
      <c r="C5082" s="94" t="str">
        <f>IFERROR(VLOOKUP($A5082,HeadJournal!$A$1:$NTR$890,COLUMN(HeadJournal!C$1),0),"")</f>
        <v>iHerb_OA CZN6870</v>
      </c>
      <c r="D5082" s="125" t="str">
        <f>IFERROR(VLOOKUP($A5082,HeadJournal!$A$1:$NTR$890,COLUMN(HeadJournal!D$1),0),"")</f>
        <v>Доставлен</v>
      </c>
      <c r="E5082" s="95">
        <f>IFERROR(VLOOKUP($A5082,HeadJournal!$A$1:$NTR$890,COLUMN(HeadJournal!G$1),0),"")</f>
        <v>45916</v>
      </c>
      <c r="F5082" s="95" t="str">
        <f t="shared" si="379"/>
        <v>2025 09</v>
      </c>
      <c r="G5082" s="97" t="s">
        <v>5</v>
      </c>
      <c r="H5082" s="161" t="s">
        <v>2997</v>
      </c>
      <c r="I5082" s="97" t="s">
        <v>2102</v>
      </c>
      <c r="J5082" s="97" t="s">
        <v>4364</v>
      </c>
      <c r="K5082" s="29">
        <v>32.43</v>
      </c>
      <c r="L5082" s="29">
        <v>-4.8650000000000002</v>
      </c>
      <c r="M5082" s="30">
        <f>IFERROR(VLOOKUP($A5082,HeadJournal!$A$1:$J$890,COLUMN(HeadJournal!I$1),0)*($K5082+$L5082)/(SUMIF($A:$A,$A5082,$K:$K)+SUMIF($A:$A,$A5082,$L:$L)),0)</f>
        <v>-1.446692508525149</v>
      </c>
      <c r="N5082" s="30">
        <f>IFERROR((VLOOKUP($A5082,HeadJournal!$A$1:$K$890,COLUMN(HeadJournal!K$1),0)-VLOOKUP($A5082,HeadJournal!$A$1:$K$890,COLUMN(HeadJournal!J$1),0))*($K5082+$L5082)/(SUMIF($A:$A,$A5082,$K:$K)+SUMIF($A:$A,$A5082,$L:$L)),0)</f>
        <v>0</v>
      </c>
      <c r="O5082" s="30">
        <f>IFERROR((VLOOKUP($A5082,HeadJournal!$A$1:$L$890,COLUMN(HeadJournal!L$1),0)*($K5082+$L5082)/(SUMIF($A:$A,$A5082,$K:$K)+SUMIF($A:$A,$A5082,$L:$L)))/VLOOKUP($A5082,HeadJournal!$A$1:$L$890,COLUMN(HeadJournal!H$1),0),0)</f>
        <v>0.79312054060686021</v>
      </c>
      <c r="P5082" s="30">
        <f>IFERROR(SUM(K5082:O5082)*VLOOKUP($A5082,HeadJournal!$A$1:$L$890,COLUMN(HeadJournal!H$1),0),0)</f>
        <v>2516.6853812340146</v>
      </c>
      <c r="Q5082" s="29">
        <v>3700</v>
      </c>
      <c r="R5082" s="31">
        <v>45959</v>
      </c>
      <c r="S5082" s="31"/>
      <c r="T5082" s="95" t="str">
        <f t="shared" si="380"/>
        <v>2025 10</v>
      </c>
      <c r="U5082" s="32">
        <f t="shared" si="377"/>
        <v>1183.3146187659854</v>
      </c>
      <c r="V5082" s="22">
        <f t="shared" si="378"/>
        <v>0.47018774281025422</v>
      </c>
      <c r="X5082" s="33"/>
      <c r="Y5082" s="33"/>
    </row>
    <row r="5083" spans="1:25" x14ac:dyDescent="0.2">
      <c r="A5083" s="93" t="s">
        <v>4365</v>
      </c>
      <c r="B5083" s="94" t="str">
        <f>IFERROR(VLOOKUP($A5083,HeadJournal!$A$1:$NTR$890,COLUMN(HeadJournal!B$1),0),"")</f>
        <v>720000802326</v>
      </c>
      <c r="C5083" s="94" t="str">
        <f>IFERROR(VLOOKUP($A5083,HeadJournal!$A$1:$NTR$890,COLUMN(HeadJournal!C$1),0),"")</f>
        <v>iHerb_OA CZN6870</v>
      </c>
      <c r="D5083" s="125" t="str">
        <f>IFERROR(VLOOKUP($A5083,HeadJournal!$A$1:$NTR$890,COLUMN(HeadJournal!D$1),0),"")</f>
        <v>Доставлен</v>
      </c>
      <c r="E5083" s="95">
        <f>IFERROR(VLOOKUP($A5083,HeadJournal!$A$1:$NTR$890,COLUMN(HeadJournal!G$1),0),"")</f>
        <v>45916</v>
      </c>
      <c r="F5083" s="95" t="str">
        <f t="shared" si="379"/>
        <v>2025 09</v>
      </c>
      <c r="G5083" s="97" t="s">
        <v>5</v>
      </c>
      <c r="H5083" s="161" t="s">
        <v>2997</v>
      </c>
      <c r="I5083" s="97" t="s">
        <v>2102</v>
      </c>
      <c r="J5083" s="97" t="s">
        <v>4364</v>
      </c>
      <c r="K5083" s="29">
        <v>32.43</v>
      </c>
      <c r="L5083" s="29">
        <v>-4.8650000000000002</v>
      </c>
      <c r="M5083" s="30">
        <f>IFERROR(VLOOKUP($A5083,HeadJournal!$A$1:$J$890,COLUMN(HeadJournal!I$1),0)*($K5083+$L5083)/(SUMIF($A:$A,$A5083,$K:$K)+SUMIF($A:$A,$A5083,$L:$L)),0)</f>
        <v>-1.446692508525149</v>
      </c>
      <c r="N5083" s="30">
        <f>IFERROR((VLOOKUP($A5083,HeadJournal!$A$1:$K$890,COLUMN(HeadJournal!K$1),0)-VLOOKUP($A5083,HeadJournal!$A$1:$K$890,COLUMN(HeadJournal!J$1),0))*($K5083+$L5083)/(SUMIF($A:$A,$A5083,$K:$K)+SUMIF($A:$A,$A5083,$L:$L)),0)</f>
        <v>0</v>
      </c>
      <c r="O5083" s="30">
        <f>IFERROR((VLOOKUP($A5083,HeadJournal!$A$1:$L$890,COLUMN(HeadJournal!L$1),0)*($K5083+$L5083)/(SUMIF($A:$A,$A5083,$K:$K)+SUMIF($A:$A,$A5083,$L:$L)))/VLOOKUP($A5083,HeadJournal!$A$1:$L$890,COLUMN(HeadJournal!H$1),0),0)</f>
        <v>0.79312054060686021</v>
      </c>
      <c r="P5083" s="30">
        <f>IFERROR(SUM(K5083:O5083)*VLOOKUP($A5083,HeadJournal!$A$1:$L$890,COLUMN(HeadJournal!H$1),0),0)</f>
        <v>2516.6853812340146</v>
      </c>
      <c r="Q5083" s="29">
        <v>3700</v>
      </c>
      <c r="R5083" s="31">
        <v>45964</v>
      </c>
      <c r="S5083" s="31" t="s">
        <v>3256</v>
      </c>
      <c r="T5083" s="95" t="str">
        <f t="shared" si="380"/>
        <v>2025 11</v>
      </c>
      <c r="U5083" s="32">
        <f t="shared" si="377"/>
        <v>1183.3146187659854</v>
      </c>
      <c r="V5083" s="22">
        <f t="shared" si="378"/>
        <v>0.47018774281025422</v>
      </c>
      <c r="X5083" s="33"/>
      <c r="Y5083" s="33"/>
    </row>
    <row r="5084" spans="1:25" x14ac:dyDescent="0.2">
      <c r="A5084" s="93" t="s">
        <v>4366</v>
      </c>
      <c r="B5084" s="94" t="str">
        <f>IFERROR(VLOOKUP($A5084,HeadJournal!$A$1:$NTR$890,COLUMN(HeadJournal!B$1),0),"")</f>
        <v>720000811064</v>
      </c>
      <c r="C5084" s="94" t="str">
        <f>IFERROR(VLOOKUP($A5084,HeadJournal!$A$1:$NTR$890,COLUMN(HeadJournal!C$1),0),"")</f>
        <v>iHerb_MH DLE7202</v>
      </c>
      <c r="D5084" s="125" t="str">
        <f>IFERROR(VLOOKUP($A5084,HeadJournal!$A$1:$NTR$890,COLUMN(HeadJournal!D$1),0),"")</f>
        <v>Доставлен</v>
      </c>
      <c r="E5084" s="95">
        <f>IFERROR(VLOOKUP($A5084,HeadJournal!$A$1:$NTR$890,COLUMN(HeadJournal!G$1),0),"")</f>
        <v>45919</v>
      </c>
      <c r="F5084" s="95" t="str">
        <f t="shared" si="379"/>
        <v>2025 09</v>
      </c>
      <c r="G5084" s="97" t="s">
        <v>5</v>
      </c>
      <c r="H5084" s="161" t="s">
        <v>2277</v>
      </c>
      <c r="I5084" s="97" t="s">
        <v>2005</v>
      </c>
      <c r="J5084" s="97" t="s">
        <v>4343</v>
      </c>
      <c r="K5084" s="29">
        <v>14.48</v>
      </c>
      <c r="L5084" s="29">
        <v>-4.2</v>
      </c>
      <c r="M5084" s="30">
        <f>IFERROR(VLOOKUP($A5084,HeadJournal!$A$1:$J$890,COLUMN(HeadJournal!I$1),0)*($K5084+$L5084)/(SUMIF($A:$A,$A5084,$K:$K)+SUMIF($A:$A,$A5084,$L:$L)),0)</f>
        <v>-1.3733656467737057</v>
      </c>
      <c r="N5084" s="30">
        <f>IFERROR((VLOOKUP($A5084,HeadJournal!$A$1:$K$890,COLUMN(HeadJournal!K$1),0)-VLOOKUP($A5084,HeadJournal!$A$1:$K$890,COLUMN(HeadJournal!J$1),0))*($K5084+$L5084)/(SUMIF($A:$A,$A5084,$K:$K)+SUMIF($A:$A,$A5084,$L:$L)),0)</f>
        <v>2.9503703215647109E-15</v>
      </c>
      <c r="O5084" s="30">
        <f>IFERROR((VLOOKUP($A5084,HeadJournal!$A$1:$L$890,COLUMN(HeadJournal!L$1),0)*($K5084+$L5084)/(SUMIF($A:$A,$A5084,$K:$K)+SUMIF($A:$A,$A5084,$L:$L)))/VLOOKUP($A5084,HeadJournal!$A$1:$L$890,COLUMN(HeadJournal!H$1),0),0)</f>
        <v>0.27816322145071626</v>
      </c>
      <c r="P5084" s="30">
        <f>IFERROR(SUM(K5084:O5084)*VLOOKUP($A5084,HeadJournal!$A$1:$L$890,COLUMN(HeadJournal!H$1),0),0)</f>
        <v>865.48112312716273</v>
      </c>
      <c r="Q5084" s="29">
        <v>1900</v>
      </c>
      <c r="R5084" s="31">
        <v>45952</v>
      </c>
      <c r="S5084" s="31" t="s">
        <v>3280</v>
      </c>
      <c r="T5084" s="95" t="str">
        <f t="shared" si="380"/>
        <v>2025 10</v>
      </c>
      <c r="U5084" s="32">
        <f t="shared" si="377"/>
        <v>1034.5188768728372</v>
      </c>
      <c r="V5084" s="22">
        <f t="shared" si="378"/>
        <v>1.1953107343750098</v>
      </c>
      <c r="X5084" s="33"/>
      <c r="Y5084" s="33"/>
    </row>
    <row r="5085" spans="1:25" x14ac:dyDescent="0.2">
      <c r="A5085" s="93" t="s">
        <v>4366</v>
      </c>
      <c r="B5085" s="94" t="str">
        <f>IFERROR(VLOOKUP($A5085,HeadJournal!$A$1:$NTR$890,COLUMN(HeadJournal!B$1),0),"")</f>
        <v>720000811064</v>
      </c>
      <c r="C5085" s="94" t="str">
        <f>IFERROR(VLOOKUP($A5085,HeadJournal!$A$1:$NTR$890,COLUMN(HeadJournal!C$1),0),"")</f>
        <v>iHerb_MH DLE7202</v>
      </c>
      <c r="D5085" s="125" t="str">
        <f>IFERROR(VLOOKUP($A5085,HeadJournal!$A$1:$NTR$890,COLUMN(HeadJournal!D$1),0),"")</f>
        <v>Доставлен</v>
      </c>
      <c r="E5085" s="95">
        <f>IFERROR(VLOOKUP($A5085,HeadJournal!$A$1:$NTR$890,COLUMN(HeadJournal!G$1),0),"")</f>
        <v>45919</v>
      </c>
      <c r="F5085" s="95" t="str">
        <f t="shared" si="379"/>
        <v>2025 09</v>
      </c>
      <c r="G5085" s="97" t="s">
        <v>5</v>
      </c>
      <c r="H5085" s="161" t="s">
        <v>2277</v>
      </c>
      <c r="I5085" s="97" t="s">
        <v>2005</v>
      </c>
      <c r="J5085" s="97" t="s">
        <v>4343</v>
      </c>
      <c r="K5085" s="29">
        <v>14.48</v>
      </c>
      <c r="L5085" s="29">
        <v>-4.2</v>
      </c>
      <c r="M5085" s="30">
        <f>IFERROR(VLOOKUP($A5085,HeadJournal!$A$1:$J$890,COLUMN(HeadJournal!I$1),0)*($K5085+$L5085)/(SUMIF($A:$A,$A5085,$K:$K)+SUMIF($A:$A,$A5085,$L:$L)),0)</f>
        <v>-1.3733656467737057</v>
      </c>
      <c r="N5085" s="30">
        <f>IFERROR((VLOOKUP($A5085,HeadJournal!$A$1:$K$890,COLUMN(HeadJournal!K$1),0)-VLOOKUP($A5085,HeadJournal!$A$1:$K$890,COLUMN(HeadJournal!J$1),0))*($K5085+$L5085)/(SUMIF($A:$A,$A5085,$K:$K)+SUMIF($A:$A,$A5085,$L:$L)),0)</f>
        <v>2.9503703215647109E-15</v>
      </c>
      <c r="O5085" s="30">
        <f>IFERROR((VLOOKUP($A5085,HeadJournal!$A$1:$L$890,COLUMN(HeadJournal!L$1),0)*($K5085+$L5085)/(SUMIF($A:$A,$A5085,$K:$K)+SUMIF($A:$A,$A5085,$L:$L)))/VLOOKUP($A5085,HeadJournal!$A$1:$L$890,COLUMN(HeadJournal!H$1),0),0)</f>
        <v>0.27816322145071626</v>
      </c>
      <c r="P5085" s="30">
        <f>IFERROR(SUM(K5085:O5085)*VLOOKUP($A5085,HeadJournal!$A$1:$L$890,COLUMN(HeadJournal!H$1),0),0)</f>
        <v>865.48112312716273</v>
      </c>
      <c r="Q5085" s="29">
        <v>1800</v>
      </c>
      <c r="R5085" s="31">
        <v>46002</v>
      </c>
      <c r="S5085" s="31" t="s">
        <v>4627</v>
      </c>
      <c r="T5085" s="95" t="str">
        <f t="shared" si="380"/>
        <v>2025 12</v>
      </c>
      <c r="U5085" s="32">
        <f t="shared" si="377"/>
        <v>934.51887687283727</v>
      </c>
      <c r="V5085" s="22">
        <f t="shared" si="378"/>
        <v>1.0797680641447462</v>
      </c>
      <c r="X5085" s="33"/>
      <c r="Y5085" s="33"/>
    </row>
    <row r="5086" spans="1:25" x14ac:dyDescent="0.2">
      <c r="A5086" s="93" t="s">
        <v>4366</v>
      </c>
      <c r="B5086" s="94" t="str">
        <f>IFERROR(VLOOKUP($A5086,HeadJournal!$A$1:$NTR$890,COLUMN(HeadJournal!B$1),0),"")</f>
        <v>720000811064</v>
      </c>
      <c r="C5086" s="94" t="str">
        <f>IFERROR(VLOOKUP($A5086,HeadJournal!$A$1:$NTR$890,COLUMN(HeadJournal!C$1),0),"")</f>
        <v>iHerb_MH DLE7202</v>
      </c>
      <c r="D5086" s="125" t="str">
        <f>IFERROR(VLOOKUP($A5086,HeadJournal!$A$1:$NTR$890,COLUMN(HeadJournal!D$1),0),"")</f>
        <v>Доставлен</v>
      </c>
      <c r="E5086" s="95">
        <f>IFERROR(VLOOKUP($A5086,HeadJournal!$A$1:$NTR$890,COLUMN(HeadJournal!G$1),0),"")</f>
        <v>45919</v>
      </c>
      <c r="F5086" s="95" t="str">
        <f t="shared" si="379"/>
        <v>2025 09</v>
      </c>
      <c r="G5086" s="97" t="s">
        <v>5</v>
      </c>
      <c r="H5086" s="161" t="s">
        <v>2196</v>
      </c>
      <c r="I5086" s="97" t="s">
        <v>2006</v>
      </c>
      <c r="J5086" s="97" t="s">
        <v>2197</v>
      </c>
      <c r="K5086" s="29">
        <v>17.420000000000002</v>
      </c>
      <c r="L5086" s="29">
        <v>-5.05</v>
      </c>
      <c r="M5086" s="30">
        <f>IFERROR(VLOOKUP($A5086,HeadJournal!$A$1:$J$890,COLUMN(HeadJournal!I$1),0)*($K5086+$L5086)/(SUMIF($A:$A,$A5086,$K:$K)+SUMIF($A:$A,$A5086,$L:$L)),0)</f>
        <v>-1.6525810360496824</v>
      </c>
      <c r="N5086" s="30">
        <f>IFERROR((VLOOKUP($A5086,HeadJournal!$A$1:$K$890,COLUMN(HeadJournal!K$1),0)-VLOOKUP($A5086,HeadJournal!$A$1:$K$890,COLUMN(HeadJournal!J$1),0))*($K5086+$L5086)/(SUMIF($A:$A,$A5086,$K:$K)+SUMIF($A:$A,$A5086,$L:$L)),0)</f>
        <v>3.5502024200151236E-15</v>
      </c>
      <c r="O5086" s="30">
        <f>IFERROR((VLOOKUP($A5086,HeadJournal!$A$1:$L$890,COLUMN(HeadJournal!L$1),0)*($K5086+$L5086)/(SUMIF($A:$A,$A5086,$K:$K)+SUMIF($A:$A,$A5086,$L:$L)))/VLOOKUP($A5086,HeadJournal!$A$1:$L$890,COLUMN(HeadJournal!H$1),0),0)</f>
        <v>0.3347158608312607</v>
      </c>
      <c r="P5086" s="30">
        <f>IFERROR(SUM(K5086:O5086)*VLOOKUP($A5086,HeadJournal!$A$1:$L$890,COLUMN(HeadJournal!H$1),0),0)</f>
        <v>1041.4398339574907</v>
      </c>
      <c r="Q5086" s="29">
        <v>2300</v>
      </c>
      <c r="R5086" s="31">
        <v>46060</v>
      </c>
      <c r="S5086" s="31" t="s">
        <v>3384</v>
      </c>
      <c r="T5086" s="95" t="str">
        <f t="shared" si="380"/>
        <v>2026 02</v>
      </c>
      <c r="U5086" s="32">
        <f t="shared" si="377"/>
        <v>1258.5601660425093</v>
      </c>
      <c r="V5086" s="22">
        <f t="shared" si="378"/>
        <v>1.2084809174812887</v>
      </c>
      <c r="X5086" s="33"/>
      <c r="Y5086" s="33"/>
    </row>
    <row r="5087" spans="1:25" x14ac:dyDescent="0.2">
      <c r="A5087" s="93" t="s">
        <v>4366</v>
      </c>
      <c r="B5087" s="94" t="str">
        <f>IFERROR(VLOOKUP($A5087,HeadJournal!$A$1:$NTR$890,COLUMN(HeadJournal!B$1),0),"")</f>
        <v>720000811064</v>
      </c>
      <c r="C5087" s="94" t="str">
        <f>IFERROR(VLOOKUP($A5087,HeadJournal!$A$1:$NTR$890,COLUMN(HeadJournal!C$1),0),"")</f>
        <v>iHerb_MH DLE7202</v>
      </c>
      <c r="D5087" s="125" t="str">
        <f>IFERROR(VLOOKUP($A5087,HeadJournal!$A$1:$NTR$890,COLUMN(HeadJournal!D$1),0),"")</f>
        <v>Доставлен</v>
      </c>
      <c r="E5087" s="95">
        <f>IFERROR(VLOOKUP($A5087,HeadJournal!$A$1:$NTR$890,COLUMN(HeadJournal!G$1),0),"")</f>
        <v>45919</v>
      </c>
      <c r="F5087" s="95" t="str">
        <f t="shared" si="379"/>
        <v>2025 09</v>
      </c>
      <c r="G5087" s="97" t="s">
        <v>5</v>
      </c>
      <c r="H5087" s="161" t="s">
        <v>2196</v>
      </c>
      <c r="I5087" s="97" t="s">
        <v>2006</v>
      </c>
      <c r="J5087" s="97" t="s">
        <v>2197</v>
      </c>
      <c r="K5087" s="29">
        <v>17.420000000000002</v>
      </c>
      <c r="L5087" s="29">
        <v>-5.05</v>
      </c>
      <c r="M5087" s="30">
        <f>IFERROR(VLOOKUP($A5087,HeadJournal!$A$1:$J$890,COLUMN(HeadJournal!I$1),0)*($K5087+$L5087)/(SUMIF($A:$A,$A5087,$K:$K)+SUMIF($A:$A,$A5087,$L:$L)),0)</f>
        <v>-1.6525810360496824</v>
      </c>
      <c r="N5087" s="30">
        <f>IFERROR((VLOOKUP($A5087,HeadJournal!$A$1:$K$890,COLUMN(HeadJournal!K$1),0)-VLOOKUP($A5087,HeadJournal!$A$1:$K$890,COLUMN(HeadJournal!J$1),0))*($K5087+$L5087)/(SUMIF($A:$A,$A5087,$K:$K)+SUMIF($A:$A,$A5087,$L:$L)),0)</f>
        <v>3.5502024200151236E-15</v>
      </c>
      <c r="O5087" s="30">
        <f>IFERROR((VLOOKUP($A5087,HeadJournal!$A$1:$L$890,COLUMN(HeadJournal!L$1),0)*($K5087+$L5087)/(SUMIF($A:$A,$A5087,$K:$K)+SUMIF($A:$A,$A5087,$L:$L)))/VLOOKUP($A5087,HeadJournal!$A$1:$L$890,COLUMN(HeadJournal!H$1),0),0)</f>
        <v>0.3347158608312607</v>
      </c>
      <c r="P5087" s="30">
        <f>IFERROR(SUM(K5087:O5087)*VLOOKUP($A5087,HeadJournal!$A$1:$L$890,COLUMN(HeadJournal!H$1),0),0)</f>
        <v>1041.4398339574907</v>
      </c>
      <c r="Q5087" s="29">
        <v>2500</v>
      </c>
      <c r="R5087" s="31">
        <v>46072</v>
      </c>
      <c r="S5087" s="31"/>
      <c r="T5087" s="95" t="str">
        <f t="shared" si="380"/>
        <v>2026 02</v>
      </c>
      <c r="U5087" s="32">
        <f t="shared" si="377"/>
        <v>1458.5601660425093</v>
      </c>
      <c r="V5087" s="22">
        <f t="shared" si="378"/>
        <v>1.4005227363927051</v>
      </c>
      <c r="X5087" s="33"/>
      <c r="Y5087" s="33"/>
    </row>
    <row r="5088" spans="1:25" x14ac:dyDescent="0.2">
      <c r="A5088" s="93" t="s">
        <v>4366</v>
      </c>
      <c r="B5088" s="94" t="str">
        <f>IFERROR(VLOOKUP($A5088,HeadJournal!$A$1:$NTR$890,COLUMN(HeadJournal!B$1),0),"")</f>
        <v>720000811064</v>
      </c>
      <c r="C5088" s="94" t="str">
        <f>IFERROR(VLOOKUP($A5088,HeadJournal!$A$1:$NTR$890,COLUMN(HeadJournal!C$1),0),"")</f>
        <v>iHerb_MH DLE7202</v>
      </c>
      <c r="D5088" s="125" t="str">
        <f>IFERROR(VLOOKUP($A5088,HeadJournal!$A$1:$NTR$890,COLUMN(HeadJournal!D$1),0),"")</f>
        <v>Доставлен</v>
      </c>
      <c r="E5088" s="95">
        <f>IFERROR(VLOOKUP($A5088,HeadJournal!$A$1:$NTR$890,COLUMN(HeadJournal!G$1),0),"")</f>
        <v>45919</v>
      </c>
      <c r="F5088" s="95" t="str">
        <f t="shared" si="379"/>
        <v>2025 09</v>
      </c>
      <c r="G5088" s="97" t="s">
        <v>5</v>
      </c>
      <c r="H5088" s="161" t="s">
        <v>4344</v>
      </c>
      <c r="I5088" s="97" t="s">
        <v>2039</v>
      </c>
      <c r="J5088" s="97" t="s">
        <v>4345</v>
      </c>
      <c r="K5088" s="29">
        <v>20.07</v>
      </c>
      <c r="L5088" s="29">
        <v>-5.82</v>
      </c>
      <c r="M5088" s="30">
        <f>IFERROR(VLOOKUP($A5088,HeadJournal!$A$1:$J$890,COLUMN(HeadJournal!I$1),0)*($K5088+$L5088)/(SUMIF($A:$A,$A5088,$K:$K)+SUMIF($A:$A,$A5088,$L:$L)),0)</f>
        <v>-1.9037412905180253</v>
      </c>
      <c r="N5088" s="30">
        <f>IFERROR((VLOOKUP($A5088,HeadJournal!$A$1:$K$890,COLUMN(HeadJournal!K$1),0)-VLOOKUP($A5088,HeadJournal!$A$1:$K$890,COLUMN(HeadJournal!J$1),0))*($K5088+$L5088)/(SUMIF($A:$A,$A5088,$K:$K)+SUMIF($A:$A,$A5088,$L:$L)),0)</f>
        <v>4.0897643076164517E-15</v>
      </c>
      <c r="O5088" s="30">
        <f>IFERROR((VLOOKUP($A5088,HeadJournal!$A$1:$L$890,COLUMN(HeadJournal!L$1),0)*($K5088+$L5088)/(SUMIF($A:$A,$A5088,$K:$K)+SUMIF($A:$A,$A5088,$L:$L)))/VLOOKUP($A5088,HeadJournal!$A$1:$L$890,COLUMN(HeadJournal!H$1),0),0)</f>
        <v>0.38558617759462122</v>
      </c>
      <c r="P5088" s="30">
        <f>IFERROR(SUM(K5088:O5088)*VLOOKUP($A5088,HeadJournal!$A$1:$L$890,COLUMN(HeadJournal!H$1),0),0)</f>
        <v>1199.7184829340531</v>
      </c>
      <c r="Q5088" s="29">
        <v>2600</v>
      </c>
      <c r="R5088" s="31">
        <v>45962</v>
      </c>
      <c r="S5088" s="31" t="s">
        <v>4630</v>
      </c>
      <c r="T5088" s="95" t="str">
        <f t="shared" si="380"/>
        <v>2025 11</v>
      </c>
      <c r="U5088" s="32">
        <f t="shared" si="377"/>
        <v>1400.2815170659469</v>
      </c>
      <c r="V5088" s="22">
        <f t="shared" si="378"/>
        <v>1.1671750806417462</v>
      </c>
      <c r="X5088" s="33"/>
      <c r="Y5088" s="33"/>
    </row>
    <row r="5089" spans="1:25" x14ac:dyDescent="0.2">
      <c r="A5089" s="93" t="s">
        <v>4366</v>
      </c>
      <c r="B5089" s="94" t="str">
        <f>IFERROR(VLOOKUP($A5089,HeadJournal!$A$1:$NTR$890,COLUMN(HeadJournal!B$1),0),"")</f>
        <v>720000811064</v>
      </c>
      <c r="C5089" s="94" t="str">
        <f>IFERROR(VLOOKUP($A5089,HeadJournal!$A$1:$NTR$890,COLUMN(HeadJournal!C$1),0),"")</f>
        <v>iHerb_MH DLE7202</v>
      </c>
      <c r="D5089" s="125" t="str">
        <f>IFERROR(VLOOKUP($A5089,HeadJournal!$A$1:$NTR$890,COLUMN(HeadJournal!D$1),0),"")</f>
        <v>Доставлен</v>
      </c>
      <c r="E5089" s="95">
        <f>IFERROR(VLOOKUP($A5089,HeadJournal!$A$1:$NTR$890,COLUMN(HeadJournal!G$1),0),"")</f>
        <v>45919</v>
      </c>
      <c r="F5089" s="95" t="str">
        <f t="shared" si="379"/>
        <v>2025 09</v>
      </c>
      <c r="G5089" s="97" t="s">
        <v>5</v>
      </c>
      <c r="H5089" s="161" t="s">
        <v>2851</v>
      </c>
      <c r="I5089" s="97" t="s">
        <v>2102</v>
      </c>
      <c r="J5089" s="97" t="s">
        <v>4165</v>
      </c>
      <c r="K5089" s="29">
        <v>6.07</v>
      </c>
      <c r="L5089" s="29">
        <v>-1.76</v>
      </c>
      <c r="M5089" s="30">
        <f>IFERROR(VLOOKUP($A5089,HeadJournal!$A$1:$J$890,COLUMN(HeadJournal!I$1),0)*($K5089+$L5089)/(SUMIF($A:$A,$A5089,$K:$K)+SUMIF($A:$A,$A5089,$L:$L)),0)</f>
        <v>-0.57579824295668003</v>
      </c>
      <c r="N5089" s="30">
        <f>IFERROR((VLOOKUP($A5089,HeadJournal!$A$1:$K$890,COLUMN(HeadJournal!K$1),0)-VLOOKUP($A5089,HeadJournal!$A$1:$K$890,COLUMN(HeadJournal!J$1),0))*($K5089+$L5089)/(SUMIF($A:$A,$A5089,$K:$K)+SUMIF($A:$A,$A5089,$L:$L)),0)</f>
        <v>1.2369743274264498E-15</v>
      </c>
      <c r="O5089" s="30">
        <f>IFERROR((VLOOKUP($A5089,HeadJournal!$A$1:$L$890,COLUMN(HeadJournal!L$1),0)*($K5089+$L5089)/(SUMIF($A:$A,$A5089,$K:$K)+SUMIF($A:$A,$A5089,$L:$L)))/VLOOKUP($A5089,HeadJournal!$A$1:$L$890,COLUMN(HeadJournal!H$1),0),0)</f>
        <v>0.11662290704791702</v>
      </c>
      <c r="P5089" s="30">
        <f>IFERROR(SUM(K5089:O5089)*VLOOKUP($A5089,HeadJournal!$A$1:$L$890,COLUMN(HeadJournal!H$1),0),0)</f>
        <v>362.86222185584353</v>
      </c>
      <c r="Q5089" s="29"/>
      <c r="R5089" s="31"/>
      <c r="S5089" s="31"/>
      <c r="T5089" s="95" t="str">
        <f t="shared" si="380"/>
        <v/>
      </c>
      <c r="U5089" s="32">
        <f t="shared" si="377"/>
        <v>-362.86222185584353</v>
      </c>
      <c r="V5089" s="22" t="str">
        <f t="shared" si="378"/>
        <v/>
      </c>
      <c r="X5089" s="33"/>
      <c r="Y5089" s="33"/>
    </row>
    <row r="5090" spans="1:25" x14ac:dyDescent="0.2">
      <c r="A5090" s="93" t="s">
        <v>4366</v>
      </c>
      <c r="B5090" s="94" t="str">
        <f>IFERROR(VLOOKUP($A5090,HeadJournal!$A$1:$NTR$890,COLUMN(HeadJournal!B$1),0),"")</f>
        <v>720000811064</v>
      </c>
      <c r="C5090" s="94" t="str">
        <f>IFERROR(VLOOKUP($A5090,HeadJournal!$A$1:$NTR$890,COLUMN(HeadJournal!C$1),0),"")</f>
        <v>iHerb_MH DLE7202</v>
      </c>
      <c r="D5090" s="125" t="str">
        <f>IFERROR(VLOOKUP($A5090,HeadJournal!$A$1:$NTR$890,COLUMN(HeadJournal!D$1),0),"")</f>
        <v>Доставлен</v>
      </c>
      <c r="E5090" s="95">
        <f>IFERROR(VLOOKUP($A5090,HeadJournal!$A$1:$NTR$890,COLUMN(HeadJournal!G$1),0),"")</f>
        <v>45919</v>
      </c>
      <c r="F5090" s="95" t="str">
        <f t="shared" si="379"/>
        <v>2025 09</v>
      </c>
      <c r="G5090" s="97" t="s">
        <v>5</v>
      </c>
      <c r="H5090" s="161" t="s">
        <v>2680</v>
      </c>
      <c r="I5090" s="97" t="s">
        <v>2681</v>
      </c>
      <c r="J5090" s="97" t="s">
        <v>3853</v>
      </c>
      <c r="K5090" s="29">
        <v>6.24</v>
      </c>
      <c r="L5090" s="29">
        <v>-1.81</v>
      </c>
      <c r="M5090" s="30">
        <f>IFERROR(VLOOKUP($A5090,HeadJournal!$A$1:$J$890,COLUMN(HeadJournal!I$1),0)*($K5090+$L5090)/(SUMIF($A:$A,$A5090,$K:$K)+SUMIF($A:$A,$A5090,$L:$L)),0)</f>
        <v>-0.5918297485610422</v>
      </c>
      <c r="N5090" s="30">
        <f>IFERROR((VLOOKUP($A5090,HeadJournal!$A$1:$K$890,COLUMN(HeadJournal!K$1),0)-VLOOKUP($A5090,HeadJournal!$A$1:$K$890,COLUMN(HeadJournal!J$1),0))*($K5090+$L5090)/(SUMIF($A:$A,$A5090,$K:$K)+SUMIF($A:$A,$A5090,$L:$L)),0)</f>
        <v>1.2714144479116407E-15</v>
      </c>
      <c r="O5090" s="30">
        <f>IFERROR((VLOOKUP($A5090,HeadJournal!$A$1:$L$890,COLUMN(HeadJournal!L$1),0)*($K5090+$L5090)/(SUMIF($A:$A,$A5090,$K:$K)+SUMIF($A:$A,$A5090,$L:$L)))/VLOOKUP($A5090,HeadJournal!$A$1:$L$890,COLUMN(HeadJournal!H$1),0),0)</f>
        <v>0.11986994854345065</v>
      </c>
      <c r="P5090" s="30">
        <f>IFERROR(SUM(K5090:O5090)*VLOOKUP($A5090,HeadJournal!$A$1:$L$890,COLUMN(HeadJournal!H$1),0),0)</f>
        <v>372.9651143437091</v>
      </c>
      <c r="Q5090" s="29">
        <v>1200</v>
      </c>
      <c r="R5090" s="31">
        <v>46066</v>
      </c>
      <c r="S5090" s="31" t="s">
        <v>4872</v>
      </c>
      <c r="T5090" s="95" t="str">
        <f t="shared" si="380"/>
        <v>2026 02</v>
      </c>
      <c r="U5090" s="32">
        <f t="shared" si="377"/>
        <v>827.03488565629095</v>
      </c>
      <c r="V5090" s="22">
        <f t="shared" si="378"/>
        <v>2.217459096976373</v>
      </c>
      <c r="X5090" s="33"/>
      <c r="Y5090" s="33"/>
    </row>
    <row r="5091" spans="1:25" x14ac:dyDescent="0.2">
      <c r="A5091" s="93" t="s">
        <v>4366</v>
      </c>
      <c r="B5091" s="94" t="str">
        <f>IFERROR(VLOOKUP($A5091,HeadJournal!$A$1:$NTR$890,COLUMN(HeadJournal!B$1),0),"")</f>
        <v>720000811064</v>
      </c>
      <c r="C5091" s="94" t="str">
        <f>IFERROR(VLOOKUP($A5091,HeadJournal!$A$1:$NTR$890,COLUMN(HeadJournal!C$1),0),"")</f>
        <v>iHerb_MH DLE7202</v>
      </c>
      <c r="D5091" s="125" t="str">
        <f>IFERROR(VLOOKUP($A5091,HeadJournal!$A$1:$NTR$890,COLUMN(HeadJournal!D$1),0),"")</f>
        <v>Доставлен</v>
      </c>
      <c r="E5091" s="95">
        <f>IFERROR(VLOOKUP($A5091,HeadJournal!$A$1:$NTR$890,COLUMN(HeadJournal!G$1),0),"")</f>
        <v>45919</v>
      </c>
      <c r="F5091" s="95" t="str">
        <f t="shared" si="379"/>
        <v>2025 09</v>
      </c>
      <c r="G5091" s="97" t="s">
        <v>5</v>
      </c>
      <c r="H5091" s="161" t="s">
        <v>4346</v>
      </c>
      <c r="I5091" s="97" t="s">
        <v>2839</v>
      </c>
      <c r="J5091" s="97" t="s">
        <v>4347</v>
      </c>
      <c r="K5091" s="29">
        <v>7.73</v>
      </c>
      <c r="L5091" s="29">
        <v>0</v>
      </c>
      <c r="M5091" s="30">
        <f>IFERROR(VLOOKUP($A5091,HeadJournal!$A$1:$J$890,COLUMN(HeadJournal!I$1),0)*($K5091+$L5091)/(SUMIF($A:$A,$A5091,$K:$K)+SUMIF($A:$A,$A5091,$L:$L)),0)</f>
        <v>-1.0326961526810061</v>
      </c>
      <c r="N5091" s="30">
        <f>IFERROR((VLOOKUP($A5091,HeadJournal!$A$1:$K$890,COLUMN(HeadJournal!K$1),0)-VLOOKUP($A5091,HeadJournal!$A$1:$K$890,COLUMN(HeadJournal!J$1),0))*($K5091+$L5091)/(SUMIF($A:$A,$A5091,$K:$K)+SUMIF($A:$A,$A5091,$L:$L)),0)</f>
        <v>2.2185177612543981E-15</v>
      </c>
      <c r="O5091" s="30">
        <f>IFERROR((VLOOKUP($A5091,HeadJournal!$A$1:$L$890,COLUMN(HeadJournal!L$1),0)*($K5091+$L5091)/(SUMIF($A:$A,$A5091,$K:$K)+SUMIF($A:$A,$A5091,$L:$L)))/VLOOKUP($A5091,HeadJournal!$A$1:$L$890,COLUMN(HeadJournal!H$1),0),0)</f>
        <v>0.20916358967062612</v>
      </c>
      <c r="P5091" s="30">
        <f>IFERROR(SUM(K5091:O5091)*VLOOKUP($A5091,HeadJournal!$A$1:$L$890,COLUMN(HeadJournal!H$1),0),0)</f>
        <v>650.79465776001621</v>
      </c>
      <c r="Q5091" s="29">
        <v>1300</v>
      </c>
      <c r="R5091" s="31">
        <v>45993</v>
      </c>
      <c r="S5091" s="31" t="s">
        <v>3384</v>
      </c>
      <c r="T5091" s="95" t="str">
        <f t="shared" si="380"/>
        <v>2025 12</v>
      </c>
      <c r="U5091" s="32">
        <f t="shared" si="377"/>
        <v>649.20534223998379</v>
      </c>
      <c r="V5091" s="22">
        <f t="shared" si="378"/>
        <v>0.99755788480885399</v>
      </c>
      <c r="X5091" s="33"/>
      <c r="Y5091" s="33"/>
    </row>
    <row r="5092" spans="1:25" x14ac:dyDescent="0.2">
      <c r="A5092" s="93" t="s">
        <v>4366</v>
      </c>
      <c r="B5092" s="94" t="str">
        <f>IFERROR(VLOOKUP($A5092,HeadJournal!$A$1:$NTR$890,COLUMN(HeadJournal!B$1),0),"")</f>
        <v>720000811064</v>
      </c>
      <c r="C5092" s="94" t="str">
        <f>IFERROR(VLOOKUP($A5092,HeadJournal!$A$1:$NTR$890,COLUMN(HeadJournal!C$1),0),"")</f>
        <v>iHerb_MH DLE7202</v>
      </c>
      <c r="D5092" s="125" t="str">
        <f>IFERROR(VLOOKUP($A5092,HeadJournal!$A$1:$NTR$890,COLUMN(HeadJournal!D$1),0),"")</f>
        <v>Доставлен</v>
      </c>
      <c r="E5092" s="95">
        <f>IFERROR(VLOOKUP($A5092,HeadJournal!$A$1:$NTR$890,COLUMN(HeadJournal!G$1),0),"")</f>
        <v>45919</v>
      </c>
      <c r="F5092" s="95" t="str">
        <f t="shared" si="379"/>
        <v>2025 09</v>
      </c>
      <c r="G5092" s="97" t="s">
        <v>5</v>
      </c>
      <c r="H5092" s="161" t="s">
        <v>2190</v>
      </c>
      <c r="I5092" s="97" t="s">
        <v>2005</v>
      </c>
      <c r="J5092" s="97" t="s">
        <v>2191</v>
      </c>
      <c r="K5092" s="29">
        <v>14.48</v>
      </c>
      <c r="L5092" s="29">
        <v>-4.2</v>
      </c>
      <c r="M5092" s="30">
        <f>IFERROR(VLOOKUP($A5092,HeadJournal!$A$1:$J$890,COLUMN(HeadJournal!I$1),0)*($K5092+$L5092)/(SUMIF($A:$A,$A5092,$K:$K)+SUMIF($A:$A,$A5092,$L:$L)),0)</f>
        <v>-1.3733656467737057</v>
      </c>
      <c r="N5092" s="30">
        <f>IFERROR((VLOOKUP($A5092,HeadJournal!$A$1:$K$890,COLUMN(HeadJournal!K$1),0)-VLOOKUP($A5092,HeadJournal!$A$1:$K$890,COLUMN(HeadJournal!J$1),0))*($K5092+$L5092)/(SUMIF($A:$A,$A5092,$K:$K)+SUMIF($A:$A,$A5092,$L:$L)),0)</f>
        <v>2.9503703215647109E-15</v>
      </c>
      <c r="O5092" s="30">
        <f>IFERROR((VLOOKUP($A5092,HeadJournal!$A$1:$L$890,COLUMN(HeadJournal!L$1),0)*($K5092+$L5092)/(SUMIF($A:$A,$A5092,$K:$K)+SUMIF($A:$A,$A5092,$L:$L)))/VLOOKUP($A5092,HeadJournal!$A$1:$L$890,COLUMN(HeadJournal!H$1),0),0)</f>
        <v>0.27816322145071626</v>
      </c>
      <c r="P5092" s="30">
        <f>IFERROR(SUM(K5092:O5092)*VLOOKUP($A5092,HeadJournal!$A$1:$L$890,COLUMN(HeadJournal!H$1),0),0)</f>
        <v>865.48112312716273</v>
      </c>
      <c r="Q5092" s="29">
        <v>2000</v>
      </c>
      <c r="R5092" s="31">
        <v>45999</v>
      </c>
      <c r="S5092" s="31"/>
      <c r="T5092" s="95" t="str">
        <f t="shared" si="380"/>
        <v>2025 12</v>
      </c>
      <c r="U5092" s="32">
        <f t="shared" si="377"/>
        <v>1134.5188768728372</v>
      </c>
      <c r="V5092" s="22">
        <f t="shared" si="378"/>
        <v>1.3108534046052736</v>
      </c>
      <c r="X5092" s="33"/>
      <c r="Y5092" s="33"/>
    </row>
    <row r="5093" spans="1:25" x14ac:dyDescent="0.2">
      <c r="A5093" s="93" t="s">
        <v>4366</v>
      </c>
      <c r="B5093" s="94" t="str">
        <f>IFERROR(VLOOKUP($A5093,HeadJournal!$A$1:$NTR$890,COLUMN(HeadJournal!B$1),0),"")</f>
        <v>720000811064</v>
      </c>
      <c r="C5093" s="94" t="str">
        <f>IFERROR(VLOOKUP($A5093,HeadJournal!$A$1:$NTR$890,COLUMN(HeadJournal!C$1),0),"")</f>
        <v>iHerb_MH DLE7202</v>
      </c>
      <c r="D5093" s="125" t="str">
        <f>IFERROR(VLOOKUP($A5093,HeadJournal!$A$1:$NTR$890,COLUMN(HeadJournal!D$1),0),"")</f>
        <v>Доставлен</v>
      </c>
      <c r="E5093" s="95">
        <f>IFERROR(VLOOKUP($A5093,HeadJournal!$A$1:$NTR$890,COLUMN(HeadJournal!G$1),0),"")</f>
        <v>45919</v>
      </c>
      <c r="F5093" s="95" t="str">
        <f t="shared" si="379"/>
        <v>2025 09</v>
      </c>
      <c r="G5093" s="97" t="s">
        <v>5</v>
      </c>
      <c r="H5093" s="161" t="s">
        <v>4348</v>
      </c>
      <c r="I5093" s="97" t="s">
        <v>2008</v>
      </c>
      <c r="J5093" s="97" t="s">
        <v>4349</v>
      </c>
      <c r="K5093" s="29">
        <v>20</v>
      </c>
      <c r="L5093" s="29">
        <v>-5.8</v>
      </c>
      <c r="M5093" s="30">
        <f>IFERROR(VLOOKUP($A5093,HeadJournal!$A$1:$J$890,COLUMN(HeadJournal!I$1),0)*($K5093+$L5093)/(SUMIF($A:$A,$A5093,$K:$K)+SUMIF($A:$A,$A5093,$L:$L)),0)</f>
        <v>-1.8970614965162076</v>
      </c>
      <c r="N5093" s="30">
        <f>IFERROR((VLOOKUP($A5093,HeadJournal!$A$1:$K$890,COLUMN(HeadJournal!K$1),0)-VLOOKUP($A5093,HeadJournal!$A$1:$K$890,COLUMN(HeadJournal!J$1),0))*($K5093+$L5093)/(SUMIF($A:$A,$A5093,$K:$K)+SUMIF($A:$A,$A5093,$L:$L)),0)</f>
        <v>4.0754142574142888E-15</v>
      </c>
      <c r="O5093" s="30">
        <f>IFERROR((VLOOKUP($A5093,HeadJournal!$A$1:$L$890,COLUMN(HeadJournal!L$1),0)*($K5093+$L5093)/(SUMIF($A:$A,$A5093,$K:$K)+SUMIF($A:$A,$A5093,$L:$L)))/VLOOKUP($A5093,HeadJournal!$A$1:$L$890,COLUMN(HeadJournal!H$1),0),0)</f>
        <v>0.38423324363814887</v>
      </c>
      <c r="P5093" s="30">
        <f>IFERROR(SUM(K5093:O5093)*VLOOKUP($A5093,HeadJournal!$A$1:$L$890,COLUMN(HeadJournal!H$1),0),0)</f>
        <v>1195.5089443974423</v>
      </c>
      <c r="Q5093" s="29">
        <v>2300</v>
      </c>
      <c r="R5093" s="31">
        <v>45989</v>
      </c>
      <c r="S5093" s="31" t="s">
        <v>3220</v>
      </c>
      <c r="T5093" s="95" t="str">
        <f t="shared" si="380"/>
        <v>2025 11</v>
      </c>
      <c r="U5093" s="32">
        <f t="shared" si="377"/>
        <v>1104.4910556025577</v>
      </c>
      <c r="V5093" s="22">
        <f t="shared" si="378"/>
        <v>0.92386682741151782</v>
      </c>
      <c r="X5093" s="33"/>
      <c r="Y5093" s="33"/>
    </row>
    <row r="5094" spans="1:25" x14ac:dyDescent="0.2">
      <c r="A5094" s="93" t="s">
        <v>4366</v>
      </c>
      <c r="B5094" s="94" t="str">
        <f>IFERROR(VLOOKUP($A5094,HeadJournal!$A$1:$NTR$890,COLUMN(HeadJournal!B$1),0),"")</f>
        <v>720000811064</v>
      </c>
      <c r="C5094" s="94" t="str">
        <f>IFERROR(VLOOKUP($A5094,HeadJournal!$A$1:$NTR$890,COLUMN(HeadJournal!C$1),0),"")</f>
        <v>iHerb_MH DLE7202</v>
      </c>
      <c r="D5094" s="125" t="str">
        <f>IFERROR(VLOOKUP($A5094,HeadJournal!$A$1:$NTR$890,COLUMN(HeadJournal!D$1),0),"")</f>
        <v>Доставлен</v>
      </c>
      <c r="E5094" s="95">
        <f>IFERROR(VLOOKUP($A5094,HeadJournal!$A$1:$NTR$890,COLUMN(HeadJournal!G$1),0),"")</f>
        <v>45919</v>
      </c>
      <c r="F5094" s="95" t="str">
        <f t="shared" si="379"/>
        <v>2025 09</v>
      </c>
      <c r="G5094" s="97" t="s">
        <v>5</v>
      </c>
      <c r="H5094" s="161" t="s">
        <v>2565</v>
      </c>
      <c r="I5094" s="97" t="s">
        <v>2052</v>
      </c>
      <c r="J5094" s="97" t="s">
        <v>4350</v>
      </c>
      <c r="K5094" s="29">
        <v>30.08</v>
      </c>
      <c r="L5094" s="29">
        <v>-8.7200000000000006</v>
      </c>
      <c r="M5094" s="30">
        <f>IFERROR(VLOOKUP($A5094,HeadJournal!$A$1:$J$890,COLUMN(HeadJournal!I$1),0)*($K5094+$L5094)/(SUMIF($A:$A,$A5094,$K:$K)+SUMIF($A:$A,$A5094,$L:$L)),0)</f>
        <v>-2.8536079975764927</v>
      </c>
      <c r="N5094" s="30">
        <f>IFERROR((VLOOKUP($A5094,HeadJournal!$A$1:$K$890,COLUMN(HeadJournal!K$1),0)-VLOOKUP($A5094,HeadJournal!$A$1:$K$890,COLUMN(HeadJournal!J$1),0))*($K5094+$L5094)/(SUMIF($A:$A,$A5094,$K:$K)+SUMIF($A:$A,$A5094,$L:$L)),0)</f>
        <v>6.1303414463640287E-15</v>
      </c>
      <c r="O5094" s="30">
        <f>IFERROR((VLOOKUP($A5094,HeadJournal!$A$1:$L$890,COLUMN(HeadJournal!L$1),0)*($K5094+$L5094)/(SUMIF($A:$A,$A5094,$K:$K)+SUMIF($A:$A,$A5094,$L:$L)))/VLOOKUP($A5094,HeadJournal!$A$1:$L$890,COLUMN(HeadJournal!H$1),0),0)</f>
        <v>0.57797338620499006</v>
      </c>
      <c r="P5094" s="30">
        <f>IFERROR(SUM(K5094:O5094)*VLOOKUP($A5094,HeadJournal!$A$1:$L$890,COLUMN(HeadJournal!H$1),0),0)</f>
        <v>1798.3148628400968</v>
      </c>
      <c r="Q5094" s="29">
        <v>3000</v>
      </c>
      <c r="R5094" s="31">
        <v>46098</v>
      </c>
      <c r="S5094" s="31"/>
      <c r="T5094" s="95" t="str">
        <f t="shared" si="380"/>
        <v>2026 03</v>
      </c>
      <c r="U5094" s="32">
        <f t="shared" si="377"/>
        <v>1201.6851371599032</v>
      </c>
      <c r="V5094" s="22">
        <f t="shared" si="378"/>
        <v>0.66822844096504308</v>
      </c>
      <c r="X5094" s="33"/>
      <c r="Y5094" s="33"/>
    </row>
    <row r="5095" spans="1:25" x14ac:dyDescent="0.2">
      <c r="A5095" s="93" t="s">
        <v>4366</v>
      </c>
      <c r="B5095" s="94" t="str">
        <f>IFERROR(VLOOKUP($A5095,HeadJournal!$A$1:$NTR$890,COLUMN(HeadJournal!B$1),0),"")</f>
        <v>720000811064</v>
      </c>
      <c r="C5095" s="94" t="str">
        <f>IFERROR(VLOOKUP($A5095,HeadJournal!$A$1:$NTR$890,COLUMN(HeadJournal!C$1),0),"")</f>
        <v>iHerb_MH DLE7202</v>
      </c>
      <c r="D5095" s="125" t="str">
        <f>IFERROR(VLOOKUP($A5095,HeadJournal!$A$1:$NTR$890,COLUMN(HeadJournal!D$1),0),"")</f>
        <v>Доставлен</v>
      </c>
      <c r="E5095" s="95">
        <f>IFERROR(VLOOKUP($A5095,HeadJournal!$A$1:$NTR$890,COLUMN(HeadJournal!G$1),0),"")</f>
        <v>45919</v>
      </c>
      <c r="F5095" s="95" t="str">
        <f t="shared" si="379"/>
        <v>2025 09</v>
      </c>
      <c r="G5095" s="97" t="s">
        <v>5</v>
      </c>
      <c r="H5095" s="161" t="s">
        <v>4351</v>
      </c>
      <c r="I5095" s="97" t="s">
        <v>4352</v>
      </c>
      <c r="J5095" s="97" t="s">
        <v>4353</v>
      </c>
      <c r="K5095" s="29">
        <v>47.7</v>
      </c>
      <c r="L5095" s="29">
        <v>-13.83</v>
      </c>
      <c r="M5095" s="30">
        <f>IFERROR(VLOOKUP($A5095,HeadJournal!$A$1:$J$890,COLUMN(HeadJournal!I$1),0)*($K5095+$L5095)/(SUMIF($A:$A,$A5095,$K:$K)+SUMIF($A:$A,$A5095,$L:$L)),0)</f>
        <v>-4.5248924568312647</v>
      </c>
      <c r="N5095" s="30">
        <f>IFERROR((VLOOKUP($A5095,HeadJournal!$A$1:$K$890,COLUMN(HeadJournal!K$1),0)-VLOOKUP($A5095,HeadJournal!$A$1:$K$890,COLUMN(HeadJournal!J$1),0))*($K5095+$L5095)/(SUMIF($A:$A,$A5095,$K:$K)+SUMIF($A:$A,$A5095,$L:$L)),0)</f>
        <v>9.7207240069452095E-15</v>
      </c>
      <c r="O5095" s="30">
        <f>IFERROR((VLOOKUP($A5095,HeadJournal!$A$1:$L$890,COLUMN(HeadJournal!L$1),0)*($K5095+$L5095)/(SUMIF($A:$A,$A5095,$K:$K)+SUMIF($A:$A,$A5095,$L:$L)))/VLOOKUP($A5095,HeadJournal!$A$1:$L$890,COLUMN(HeadJournal!H$1),0),0)</f>
        <v>0.91647746211437353</v>
      </c>
      <c r="P5095" s="30">
        <f>IFERROR(SUM(K5095:O5095)*VLOOKUP($A5095,HeadJournal!$A$1:$L$890,COLUMN(HeadJournal!H$1),0),0)</f>
        <v>2851.5414047000972</v>
      </c>
      <c r="Q5095" s="29">
        <v>5000</v>
      </c>
      <c r="R5095" s="31">
        <v>45952</v>
      </c>
      <c r="S5095" s="31" t="s">
        <v>4638</v>
      </c>
      <c r="T5095" s="95" t="str">
        <f t="shared" si="380"/>
        <v>2025 10</v>
      </c>
      <c r="U5095" s="32">
        <f t="shared" si="377"/>
        <v>2148.4585952999028</v>
      </c>
      <c r="V5095" s="22">
        <f t="shared" si="378"/>
        <v>0.75343762912180501</v>
      </c>
      <c r="X5095" s="33"/>
      <c r="Y5095" s="33"/>
    </row>
    <row r="5096" spans="1:25" x14ac:dyDescent="0.2">
      <c r="A5096" s="93" t="s">
        <v>4366</v>
      </c>
      <c r="B5096" s="94" t="str">
        <f>IFERROR(VLOOKUP($A5096,HeadJournal!$A$1:$NTR$890,COLUMN(HeadJournal!B$1),0),"")</f>
        <v>720000811064</v>
      </c>
      <c r="C5096" s="94" t="str">
        <f>IFERROR(VLOOKUP($A5096,HeadJournal!$A$1:$NTR$890,COLUMN(HeadJournal!C$1),0),"")</f>
        <v>iHerb_MH DLE7202</v>
      </c>
      <c r="D5096" s="125" t="str">
        <f>IFERROR(VLOOKUP($A5096,HeadJournal!$A$1:$NTR$890,COLUMN(HeadJournal!D$1),0),"")</f>
        <v>Доставлен</v>
      </c>
      <c r="E5096" s="95">
        <f>IFERROR(VLOOKUP($A5096,HeadJournal!$A$1:$NTR$890,COLUMN(HeadJournal!G$1),0),"")</f>
        <v>45919</v>
      </c>
      <c r="F5096" s="95" t="str">
        <f t="shared" si="379"/>
        <v>2025 09</v>
      </c>
      <c r="G5096" s="97" t="s">
        <v>5</v>
      </c>
      <c r="H5096" s="161" t="s">
        <v>3992</v>
      </c>
      <c r="I5096" s="97" t="s">
        <v>2666</v>
      </c>
      <c r="J5096" s="97" t="s">
        <v>3993</v>
      </c>
      <c r="K5096" s="29">
        <v>29.68</v>
      </c>
      <c r="L5096" s="29">
        <v>-8.61</v>
      </c>
      <c r="M5096" s="30">
        <f>IFERROR(VLOOKUP($A5096,HeadJournal!$A$1:$J$890,COLUMN(HeadJournal!I$1),0)*($K5096+$L5096)/(SUMIF($A:$A,$A5096,$K:$K)+SUMIF($A:$A,$A5096,$L:$L)),0)</f>
        <v>-2.8148651923659505</v>
      </c>
      <c r="N5096" s="30">
        <f>IFERROR((VLOOKUP($A5096,HeadJournal!$A$1:$K$890,COLUMN(HeadJournal!K$1),0)-VLOOKUP($A5096,HeadJournal!$A$1:$K$890,COLUMN(HeadJournal!J$1),0))*($K5096+$L5096)/(SUMIF($A:$A,$A5096,$K:$K)+SUMIF($A:$A,$A5096,$L:$L)),0)</f>
        <v>6.0471111551914837E-15</v>
      </c>
      <c r="O5096" s="30">
        <f>IFERROR((VLOOKUP($A5096,HeadJournal!$A$1:$L$890,COLUMN(HeadJournal!L$1),0)*($K5096+$L5096)/(SUMIF($A:$A,$A5096,$K:$K)+SUMIF($A:$A,$A5096,$L:$L)))/VLOOKUP($A5096,HeadJournal!$A$1:$L$890,COLUMN(HeadJournal!H$1),0),0)</f>
        <v>0.57012636925745053</v>
      </c>
      <c r="P5096" s="30">
        <f>IFERROR(SUM(K5096:O5096)*VLOOKUP($A5096,HeadJournal!$A$1:$L$890,COLUMN(HeadJournal!H$1),0),0)</f>
        <v>1773.8995393277546</v>
      </c>
      <c r="Q5096" s="29">
        <v>3300</v>
      </c>
      <c r="R5096" s="31">
        <v>45952</v>
      </c>
      <c r="S5096" s="31"/>
      <c r="T5096" s="95" t="str">
        <f t="shared" si="380"/>
        <v>2025 10</v>
      </c>
      <c r="U5096" s="32">
        <f t="shared" si="377"/>
        <v>1526.1004606722454</v>
      </c>
      <c r="V5096" s="22">
        <f t="shared" si="378"/>
        <v>0.86030827949286448</v>
      </c>
      <c r="X5096" s="33"/>
      <c r="Y5096" s="33"/>
    </row>
    <row r="5097" spans="1:25" x14ac:dyDescent="0.2">
      <c r="A5097" s="93" t="s">
        <v>4366</v>
      </c>
      <c r="B5097" s="94" t="str">
        <f>IFERROR(VLOOKUP($A5097,HeadJournal!$A$1:$NTR$890,COLUMN(HeadJournal!B$1),0),"")</f>
        <v>720000811064</v>
      </c>
      <c r="C5097" s="94" t="str">
        <f>IFERROR(VLOOKUP($A5097,HeadJournal!$A$1:$NTR$890,COLUMN(HeadJournal!C$1),0),"")</f>
        <v>iHerb_MH DLE7202</v>
      </c>
      <c r="D5097" s="125" t="str">
        <f>IFERROR(VLOOKUP($A5097,HeadJournal!$A$1:$NTR$890,COLUMN(HeadJournal!D$1),0),"")</f>
        <v>Доставлен</v>
      </c>
      <c r="E5097" s="95">
        <f>IFERROR(VLOOKUP($A5097,HeadJournal!$A$1:$NTR$890,COLUMN(HeadJournal!G$1),0),"")</f>
        <v>45919</v>
      </c>
      <c r="F5097" s="95" t="str">
        <f t="shared" si="379"/>
        <v>2025 09</v>
      </c>
      <c r="G5097" s="97" t="s">
        <v>5</v>
      </c>
      <c r="H5097" s="161" t="s">
        <v>4354</v>
      </c>
      <c r="I5097" s="97" t="s">
        <v>4355</v>
      </c>
      <c r="J5097" s="97" t="s">
        <v>4356</v>
      </c>
      <c r="K5097" s="29">
        <v>4.8899999999999997</v>
      </c>
      <c r="L5097" s="29">
        <v>-2.89</v>
      </c>
      <c r="M5097" s="30">
        <f>IFERROR(VLOOKUP($A5097,HeadJournal!$A$1:$J$890,COLUMN(HeadJournal!I$1),0)*($K5097+$L5097)/(SUMIF($A:$A,$A5097,$K:$K)+SUMIF($A:$A,$A5097,$L:$L)),0)</f>
        <v>-0.26719176007270523</v>
      </c>
      <c r="N5097" s="30">
        <f>IFERROR((VLOOKUP($A5097,HeadJournal!$A$1:$K$890,COLUMN(HeadJournal!K$1),0)-VLOOKUP($A5097,HeadJournal!$A$1:$K$890,COLUMN(HeadJournal!J$1),0))*($K5097+$L5097)/(SUMIF($A:$A,$A5097,$K:$K)+SUMIF($A:$A,$A5097,$L:$L)),0)</f>
        <v>5.7400200808651946E-16</v>
      </c>
      <c r="O5097" s="30">
        <f>IFERROR((VLOOKUP($A5097,HeadJournal!$A$1:$L$890,COLUMN(HeadJournal!L$1),0)*($K5097+$L5097)/(SUMIF($A:$A,$A5097,$K:$K)+SUMIF($A:$A,$A5097,$L:$L)))/VLOOKUP($A5097,HeadJournal!$A$1:$L$890,COLUMN(HeadJournal!H$1),0),0)</f>
        <v>5.4117358258894195E-2</v>
      </c>
      <c r="P5097" s="30">
        <f>IFERROR(SUM(K5097:O5097)*VLOOKUP($A5097,HeadJournal!$A$1:$L$890,COLUMN(HeadJournal!H$1),0),0)</f>
        <v>168.38154146442849</v>
      </c>
      <c r="Q5097" s="29"/>
      <c r="R5097" s="31"/>
      <c r="S5097" s="31"/>
      <c r="T5097" s="95" t="str">
        <f t="shared" si="380"/>
        <v/>
      </c>
      <c r="U5097" s="32">
        <f t="shared" si="377"/>
        <v>-168.38154146442849</v>
      </c>
      <c r="V5097" s="22" t="str">
        <f t="shared" si="378"/>
        <v/>
      </c>
      <c r="X5097" s="33"/>
      <c r="Y5097" s="33"/>
    </row>
    <row r="5098" spans="1:25" x14ac:dyDescent="0.2">
      <c r="A5098" s="93" t="s">
        <v>4366</v>
      </c>
      <c r="B5098" s="94" t="str">
        <f>IFERROR(VLOOKUP($A5098,HeadJournal!$A$1:$NTR$890,COLUMN(HeadJournal!B$1),0),"")</f>
        <v>720000811064</v>
      </c>
      <c r="C5098" s="94" t="str">
        <f>IFERROR(VLOOKUP($A5098,HeadJournal!$A$1:$NTR$890,COLUMN(HeadJournal!C$1),0),"")</f>
        <v>iHerb_MH DLE7202</v>
      </c>
      <c r="D5098" s="125" t="str">
        <f>IFERROR(VLOOKUP($A5098,HeadJournal!$A$1:$NTR$890,COLUMN(HeadJournal!D$1),0),"")</f>
        <v>Доставлен</v>
      </c>
      <c r="E5098" s="95">
        <f>IFERROR(VLOOKUP($A5098,HeadJournal!$A$1:$NTR$890,COLUMN(HeadJournal!G$1),0),"")</f>
        <v>45919</v>
      </c>
      <c r="F5098" s="95" t="str">
        <f t="shared" si="379"/>
        <v>2025 09</v>
      </c>
      <c r="G5098" s="97" t="s">
        <v>5</v>
      </c>
      <c r="H5098" s="161" t="s">
        <v>2791</v>
      </c>
      <c r="I5098" s="97" t="s">
        <v>2008</v>
      </c>
      <c r="J5098" s="97" t="s">
        <v>2792</v>
      </c>
      <c r="K5098" s="29">
        <v>27.12</v>
      </c>
      <c r="L5098" s="29">
        <v>-7.86</v>
      </c>
      <c r="M5098" s="30">
        <f>IFERROR(VLOOKUP($A5098,HeadJournal!$A$1:$J$890,COLUMN(HeadJournal!I$1),0)*($K5098+$L5098)/(SUMIF($A:$A,$A5098,$K:$K)+SUMIF($A:$A,$A5098,$L:$L)),0)</f>
        <v>-2.5730566495001526</v>
      </c>
      <c r="N5098" s="30">
        <f>IFERROR((VLOOKUP($A5098,HeadJournal!$A$1:$K$890,COLUMN(HeadJournal!K$1),0)-VLOOKUP($A5098,HeadJournal!$A$1:$K$890,COLUMN(HeadJournal!J$1),0))*($K5098+$L5098)/(SUMIF($A:$A,$A5098,$K:$K)+SUMIF($A:$A,$A5098,$L:$L)),0)</f>
        <v>5.5276393378731838E-15</v>
      </c>
      <c r="O5098" s="30">
        <f>IFERROR((VLOOKUP($A5098,HeadJournal!$A$1:$L$890,COLUMN(HeadJournal!L$1),0)*($K5098+$L5098)/(SUMIF($A:$A,$A5098,$K:$K)+SUMIF($A:$A,$A5098,$L:$L)))/VLOOKUP($A5098,HeadJournal!$A$1:$L$890,COLUMN(HeadJournal!H$1),0),0)</f>
        <v>0.52115016003315129</v>
      </c>
      <c r="P5098" s="30">
        <f>IFERROR(SUM(K5098:O5098)*VLOOKUP($A5098,HeadJournal!$A$1:$L$890,COLUMN(HeadJournal!H$1),0),0)</f>
        <v>1621.514244302447</v>
      </c>
      <c r="Q5098" s="29">
        <v>3000</v>
      </c>
      <c r="R5098" s="31">
        <v>46090</v>
      </c>
      <c r="S5098" s="31" t="s">
        <v>3206</v>
      </c>
      <c r="T5098" s="95" t="str">
        <f t="shared" si="380"/>
        <v>2026 03</v>
      </c>
      <c r="U5098" s="32">
        <f t="shared" si="377"/>
        <v>1378.485755697553</v>
      </c>
      <c r="V5098" s="22">
        <f t="shared" si="378"/>
        <v>0.85012250773693243</v>
      </c>
      <c r="X5098" s="33"/>
      <c r="Y5098" s="33"/>
    </row>
    <row r="5099" spans="1:25" x14ac:dyDescent="0.2">
      <c r="A5099" s="93" t="s">
        <v>4377</v>
      </c>
      <c r="B5099" s="94" t="str">
        <f>IFERROR(VLOOKUP($A5099,HeadJournal!$A$1:$NTR$890,COLUMN(HeadJournal!B$1),0),"")</f>
        <v>720000831595</v>
      </c>
      <c r="C5099" s="94" t="str">
        <f>IFERROR(VLOOKUP($A5099,HeadJournal!$A$1:$NTR$890,COLUMN(HeadJournal!C$1),0),"")</f>
        <v>iHerb_VP DFD1605</v>
      </c>
      <c r="D5099" s="125" t="str">
        <f>IFERROR(VLOOKUP($A5099,HeadJournal!$A$1:$NTR$890,COLUMN(HeadJournal!D$1),0),"")</f>
        <v>Доставлен</v>
      </c>
      <c r="E5099" s="95">
        <f>IFERROR(VLOOKUP($A5099,HeadJournal!$A$1:$NTR$890,COLUMN(HeadJournal!G$1),0),"")</f>
        <v>45923</v>
      </c>
      <c r="F5099" s="95" t="str">
        <f t="shared" si="379"/>
        <v>2025 09</v>
      </c>
      <c r="G5099" s="97" t="s">
        <v>5</v>
      </c>
      <c r="H5099" s="161" t="s">
        <v>4369</v>
      </c>
      <c r="I5099" s="97" t="s">
        <v>2036</v>
      </c>
      <c r="J5099" s="97" t="s">
        <v>4370</v>
      </c>
      <c r="K5099" s="29">
        <v>14918.76</v>
      </c>
      <c r="L5099" s="29">
        <v>-4326.4399999999996</v>
      </c>
      <c r="M5099" s="30">
        <f>IFERROR(VLOOKUP($A5099,HeadJournal!$A$1:$J$890,COLUMN(HeadJournal!I$1),0)*($K5099+$L5099)/(SUMIF($A:$A,$A5099,$K:$K)+SUMIF($A:$A,$A5099,$L:$L)),0)</f>
        <v>0</v>
      </c>
      <c r="N5099" s="30">
        <f>IFERROR((VLOOKUP($A5099,HeadJournal!$A$1:$K$890,COLUMN(HeadJournal!K$1),0)-VLOOKUP($A5099,HeadJournal!$A$1:$K$890,COLUMN(HeadJournal!J$1),0))*($K5099+$L5099)/(SUMIF($A:$A,$A5099,$K:$K)+SUMIF($A:$A,$A5099,$L:$L)),0)</f>
        <v>-1.5281701175745861E-12</v>
      </c>
      <c r="O5099" s="30">
        <f>IFERROR((VLOOKUP($A5099,HeadJournal!$A$1:$L$890,COLUMN(HeadJournal!L$1),0)*($K5099+$L5099)/(SUMIF($A:$A,$A5099,$K:$K)+SUMIF($A:$A,$A5099,$L:$L)))/VLOOKUP($A5099,HeadJournal!$A$1:$L$890,COLUMN(HeadJournal!H$1),0),0)</f>
        <v>313.53176803514003</v>
      </c>
      <c r="P5099" s="30">
        <f>IFERROR(SUM(K5099:O5099)*VLOOKUP($A5099,HeadJournal!$A$1:$L$890,COLUMN(HeadJournal!H$1),0),0)</f>
        <v>1844.6796810065907</v>
      </c>
      <c r="Q5099" s="29">
        <v>3000</v>
      </c>
      <c r="R5099" s="31">
        <v>45952</v>
      </c>
      <c r="S5099" s="31" t="s">
        <v>3235</v>
      </c>
      <c r="T5099" s="95" t="str">
        <f t="shared" si="380"/>
        <v>2025 10</v>
      </c>
      <c r="U5099" s="32">
        <f t="shared" si="377"/>
        <v>1155.3203189934093</v>
      </c>
      <c r="V5099" s="22">
        <f t="shared" si="378"/>
        <v>0.62629860939487492</v>
      </c>
      <c r="X5099" s="33"/>
      <c r="Y5099" s="33"/>
    </row>
    <row r="5100" spans="1:25" x14ac:dyDescent="0.2">
      <c r="A5100" s="93" t="s">
        <v>4377</v>
      </c>
      <c r="B5100" s="94" t="str">
        <f>IFERROR(VLOOKUP($A5100,HeadJournal!$A$1:$NTR$890,COLUMN(HeadJournal!B$1),0),"")</f>
        <v>720000831595</v>
      </c>
      <c r="C5100" s="94" t="str">
        <f>IFERROR(VLOOKUP($A5100,HeadJournal!$A$1:$NTR$890,COLUMN(HeadJournal!C$1),0),"")</f>
        <v>iHerb_VP DFD1605</v>
      </c>
      <c r="D5100" s="125" t="str">
        <f>IFERROR(VLOOKUP($A5100,HeadJournal!$A$1:$NTR$890,COLUMN(HeadJournal!D$1),0),"")</f>
        <v>Доставлен</v>
      </c>
      <c r="E5100" s="95">
        <f>IFERROR(VLOOKUP($A5100,HeadJournal!$A$1:$NTR$890,COLUMN(HeadJournal!G$1),0),"")</f>
        <v>45923</v>
      </c>
      <c r="F5100" s="95" t="str">
        <f t="shared" si="379"/>
        <v>2025 09</v>
      </c>
      <c r="G5100" s="97" t="s">
        <v>5</v>
      </c>
      <c r="H5100" s="161" t="s">
        <v>2773</v>
      </c>
      <c r="I5100" s="97" t="s">
        <v>2005</v>
      </c>
      <c r="J5100" s="97" t="s">
        <v>2774</v>
      </c>
      <c r="K5100" s="29">
        <v>7852.58</v>
      </c>
      <c r="L5100" s="29">
        <v>-2277.25</v>
      </c>
      <c r="M5100" s="30">
        <f>IFERROR(VLOOKUP($A5100,HeadJournal!$A$1:$J$890,COLUMN(HeadJournal!I$1),0)*($K5100+$L5100)/(SUMIF($A:$A,$A5100,$K:$K)+SUMIF($A:$A,$A5100,$L:$L)),0)</f>
        <v>0</v>
      </c>
      <c r="N5100" s="30">
        <f>IFERROR((VLOOKUP($A5100,HeadJournal!$A$1:$K$890,COLUMN(HeadJournal!K$1),0)-VLOOKUP($A5100,HeadJournal!$A$1:$K$890,COLUMN(HeadJournal!J$1),0))*($K5100+$L5100)/(SUMIF($A:$A,$A5100,$K:$K)+SUMIF($A:$A,$A5100,$L:$L)),0)</f>
        <v>-8.0436133931160661E-13</v>
      </c>
      <c r="O5100" s="30">
        <f>IFERROR((VLOOKUP($A5100,HeadJournal!$A$1:$L$890,COLUMN(HeadJournal!L$1),0)*($K5100+$L5100)/(SUMIF($A:$A,$A5100,$K:$K)+SUMIF($A:$A,$A5100,$L:$L)))/VLOOKUP($A5100,HeadJournal!$A$1:$L$890,COLUMN(HeadJournal!H$1),0),0)</f>
        <v>165.02929219277337</v>
      </c>
      <c r="P5100" s="30">
        <f>IFERROR(SUM(K5100:O5100)*VLOOKUP($A5100,HeadJournal!$A$1:$L$890,COLUMN(HeadJournal!H$1),0),0)</f>
        <v>970.95801164489706</v>
      </c>
      <c r="Q5100" s="29">
        <v>1500</v>
      </c>
      <c r="R5100" s="31">
        <v>46140</v>
      </c>
      <c r="S5100" s="31"/>
      <c r="T5100" s="95" t="str">
        <f t="shared" si="380"/>
        <v>2026 04</v>
      </c>
      <c r="U5100" s="32">
        <f t="shared" si="377"/>
        <v>529.04198835510294</v>
      </c>
      <c r="V5100" s="22">
        <f t="shared" si="378"/>
        <v>0.54486597979541307</v>
      </c>
      <c r="X5100" s="33"/>
      <c r="Y5100" s="33"/>
    </row>
    <row r="5101" spans="1:25" x14ac:dyDescent="0.2">
      <c r="A5101" s="93" t="s">
        <v>4377</v>
      </c>
      <c r="B5101" s="94" t="str">
        <f>IFERROR(VLOOKUP($A5101,HeadJournal!$A$1:$NTR$890,COLUMN(HeadJournal!B$1),0),"")</f>
        <v>720000831595</v>
      </c>
      <c r="C5101" s="94" t="str">
        <f>IFERROR(VLOOKUP($A5101,HeadJournal!$A$1:$NTR$890,COLUMN(HeadJournal!C$1),0),"")</f>
        <v>iHerb_VP DFD1605</v>
      </c>
      <c r="D5101" s="125" t="str">
        <f>IFERROR(VLOOKUP($A5101,HeadJournal!$A$1:$NTR$890,COLUMN(HeadJournal!D$1),0),"")</f>
        <v>Доставлен</v>
      </c>
      <c r="E5101" s="95">
        <f>IFERROR(VLOOKUP($A5101,HeadJournal!$A$1:$NTR$890,COLUMN(HeadJournal!G$1),0),"")</f>
        <v>45923</v>
      </c>
      <c r="F5101" s="95" t="str">
        <f t="shared" si="379"/>
        <v>2025 09</v>
      </c>
      <c r="G5101" s="97" t="s">
        <v>5</v>
      </c>
      <c r="H5101" s="161" t="s">
        <v>2158</v>
      </c>
      <c r="I5101" s="97" t="s">
        <v>2159</v>
      </c>
      <c r="J5101" s="97" t="s">
        <v>4371</v>
      </c>
      <c r="K5101" s="29">
        <v>11675.17</v>
      </c>
      <c r="L5101" s="29">
        <v>-3385.8</v>
      </c>
      <c r="M5101" s="30">
        <f>IFERROR(VLOOKUP($A5101,HeadJournal!$A$1:$J$890,COLUMN(HeadJournal!I$1),0)*($K5101+$L5101)/(SUMIF($A:$A,$A5101,$K:$K)+SUMIF($A:$A,$A5101,$L:$L)),0)</f>
        <v>0</v>
      </c>
      <c r="N5101" s="30">
        <f>IFERROR((VLOOKUP($A5101,HeadJournal!$A$1:$K$890,COLUMN(HeadJournal!K$1),0)-VLOOKUP($A5101,HeadJournal!$A$1:$K$890,COLUMN(HeadJournal!J$1),0))*($K5101+$L5101)/(SUMIF($A:$A,$A5101,$K:$K)+SUMIF($A:$A,$A5101,$L:$L)),0)</f>
        <v>-1.1959200182320062E-12</v>
      </c>
      <c r="O5101" s="30">
        <f>IFERROR((VLOOKUP($A5101,HeadJournal!$A$1:$L$890,COLUMN(HeadJournal!L$1),0)*($K5101+$L5101)/(SUMIF($A:$A,$A5101,$K:$K)+SUMIF($A:$A,$A5101,$L:$L)))/VLOOKUP($A5101,HeadJournal!$A$1:$L$890,COLUMN(HeadJournal!H$1),0),0)</f>
        <v>245.36464457243065</v>
      </c>
      <c r="P5101" s="30">
        <f>IFERROR(SUM(K5101:O5101)*VLOOKUP($A5101,HeadJournal!$A$1:$L$890,COLUMN(HeadJournal!H$1),0),0)</f>
        <v>1443.6150349824779</v>
      </c>
      <c r="Q5101" s="29"/>
      <c r="R5101" s="31"/>
      <c r="S5101" s="31"/>
      <c r="T5101" s="95" t="str">
        <f t="shared" si="380"/>
        <v/>
      </c>
      <c r="U5101" s="32">
        <f t="shared" si="377"/>
        <v>-1443.6150349824779</v>
      </c>
      <c r="V5101" s="22" t="str">
        <f t="shared" si="378"/>
        <v/>
      </c>
      <c r="X5101" s="33"/>
      <c r="Y5101" s="33"/>
    </row>
    <row r="5102" spans="1:25" x14ac:dyDescent="0.2">
      <c r="A5102" s="93" t="s">
        <v>4377</v>
      </c>
      <c r="B5102" s="94" t="str">
        <f>IFERROR(VLOOKUP($A5102,HeadJournal!$A$1:$NTR$890,COLUMN(HeadJournal!B$1),0),"")</f>
        <v>720000831595</v>
      </c>
      <c r="C5102" s="94" t="str">
        <f>IFERROR(VLOOKUP($A5102,HeadJournal!$A$1:$NTR$890,COLUMN(HeadJournal!C$1),0),"")</f>
        <v>iHerb_VP DFD1605</v>
      </c>
      <c r="D5102" s="125" t="str">
        <f>IFERROR(VLOOKUP($A5102,HeadJournal!$A$1:$NTR$890,COLUMN(HeadJournal!D$1),0),"")</f>
        <v>Доставлен</v>
      </c>
      <c r="E5102" s="95">
        <f>IFERROR(VLOOKUP($A5102,HeadJournal!$A$1:$NTR$890,COLUMN(HeadJournal!G$1),0),"")</f>
        <v>45923</v>
      </c>
      <c r="F5102" s="95" t="str">
        <f t="shared" si="379"/>
        <v>2025 09</v>
      </c>
      <c r="G5102" s="97" t="s">
        <v>5</v>
      </c>
      <c r="H5102" s="161" t="s">
        <v>3992</v>
      </c>
      <c r="I5102" s="97" t="s">
        <v>2666</v>
      </c>
      <c r="J5102" s="97" t="s">
        <v>3993</v>
      </c>
      <c r="K5102" s="29">
        <v>16323.99</v>
      </c>
      <c r="L5102" s="29">
        <v>-4733.96</v>
      </c>
      <c r="M5102" s="30">
        <f>IFERROR(VLOOKUP($A5102,HeadJournal!$A$1:$J$890,COLUMN(HeadJournal!I$1),0)*($K5102+$L5102)/(SUMIF($A:$A,$A5102,$K:$K)+SUMIF($A:$A,$A5102,$L:$L)),0)</f>
        <v>0</v>
      </c>
      <c r="N5102" s="30">
        <f>IFERROR((VLOOKUP($A5102,HeadJournal!$A$1:$K$890,COLUMN(HeadJournal!K$1),0)-VLOOKUP($A5102,HeadJournal!$A$1:$K$890,COLUMN(HeadJournal!J$1),0))*($K5102+$L5102)/(SUMIF($A:$A,$A5102,$K:$K)+SUMIF($A:$A,$A5102,$L:$L)),0)</f>
        <v>-1.6721112568155964E-12</v>
      </c>
      <c r="O5102" s="30">
        <f>IFERROR((VLOOKUP($A5102,HeadJournal!$A$1:$L$890,COLUMN(HeadJournal!L$1),0)*($K5102+$L5102)/(SUMIF($A:$A,$A5102,$K:$K)+SUMIF($A:$A,$A5102,$L:$L)))/VLOOKUP($A5102,HeadJournal!$A$1:$L$890,COLUMN(HeadJournal!H$1),0),0)</f>
        <v>343.06389888903601</v>
      </c>
      <c r="P5102" s="30">
        <f>IFERROR(SUM(K5102:O5102)*VLOOKUP($A5102,HeadJournal!$A$1:$L$890,COLUMN(HeadJournal!H$1),0),0)</f>
        <v>2018.4334350979595</v>
      </c>
      <c r="Q5102" s="29">
        <v>3400</v>
      </c>
      <c r="R5102" s="31">
        <v>45985</v>
      </c>
      <c r="S5102" s="31" t="s">
        <v>4996</v>
      </c>
      <c r="T5102" s="95" t="str">
        <f t="shared" si="380"/>
        <v>2025 11</v>
      </c>
      <c r="U5102" s="32">
        <f t="shared" si="377"/>
        <v>1381.5665649020405</v>
      </c>
      <c r="V5102" s="22">
        <f t="shared" si="378"/>
        <v>0.68447467272310103</v>
      </c>
      <c r="X5102" s="33"/>
      <c r="Y5102" s="33"/>
    </row>
    <row r="5103" spans="1:25" x14ac:dyDescent="0.2">
      <c r="A5103" s="93" t="s">
        <v>4377</v>
      </c>
      <c r="B5103" s="94" t="str">
        <f>IFERROR(VLOOKUP($A5103,HeadJournal!$A$1:$NTR$890,COLUMN(HeadJournal!B$1),0),"")</f>
        <v>720000831595</v>
      </c>
      <c r="C5103" s="94" t="str">
        <f>IFERROR(VLOOKUP($A5103,HeadJournal!$A$1:$NTR$890,COLUMN(HeadJournal!C$1),0),"")</f>
        <v>iHerb_VP DFD1605</v>
      </c>
      <c r="D5103" s="125" t="str">
        <f>IFERROR(VLOOKUP($A5103,HeadJournal!$A$1:$NTR$890,COLUMN(HeadJournal!D$1),0),"")</f>
        <v>Доставлен</v>
      </c>
      <c r="E5103" s="95">
        <f>IFERROR(VLOOKUP($A5103,HeadJournal!$A$1:$NTR$890,COLUMN(HeadJournal!G$1),0),"")</f>
        <v>45923</v>
      </c>
      <c r="F5103" s="95" t="str">
        <f t="shared" si="379"/>
        <v>2025 09</v>
      </c>
      <c r="G5103" s="97" t="s">
        <v>5</v>
      </c>
      <c r="H5103" s="161" t="s">
        <v>4372</v>
      </c>
      <c r="I5103" s="97" t="s">
        <v>2666</v>
      </c>
      <c r="J5103" s="97" t="s">
        <v>4373</v>
      </c>
      <c r="K5103" s="29">
        <v>8376.85</v>
      </c>
      <c r="L5103" s="29">
        <v>-2429.29</v>
      </c>
      <c r="M5103" s="30">
        <f>IFERROR(VLOOKUP($A5103,HeadJournal!$A$1:$J$890,COLUMN(HeadJournal!I$1),0)*($K5103+$L5103)/(SUMIF($A:$A,$A5103,$K:$K)+SUMIF($A:$A,$A5103,$L:$L)),0)</f>
        <v>0</v>
      </c>
      <c r="N5103" s="30">
        <f>IFERROR((VLOOKUP($A5103,HeadJournal!$A$1:$K$890,COLUMN(HeadJournal!K$1),0)-VLOOKUP($A5103,HeadJournal!$A$1:$K$890,COLUMN(HeadJournal!J$1),0))*($K5103+$L5103)/(SUMIF($A:$A,$A5103,$K:$K)+SUMIF($A:$A,$A5103,$L:$L)),0)</f>
        <v>-8.5806352758242818E-13</v>
      </c>
      <c r="O5103" s="30">
        <f>IFERROR((VLOOKUP($A5103,HeadJournal!$A$1:$L$890,COLUMN(HeadJournal!L$1),0)*($K5103+$L5103)/(SUMIF($A:$A,$A5103,$K:$K)+SUMIF($A:$A,$A5103,$L:$L)))/VLOOKUP($A5103,HeadJournal!$A$1:$L$890,COLUMN(HeadJournal!H$1),0),0)</f>
        <v>176.04726842609341</v>
      </c>
      <c r="P5103" s="30">
        <f>IFERROR(SUM(K5103:O5103)*VLOOKUP($A5103,HeadJournal!$A$1:$L$890,COLUMN(HeadJournal!H$1),0),0)</f>
        <v>1035.7828203422441</v>
      </c>
      <c r="Q5103" s="29">
        <v>2200</v>
      </c>
      <c r="R5103" s="31">
        <v>46066</v>
      </c>
      <c r="S5103" s="31"/>
      <c r="T5103" s="95" t="str">
        <f t="shared" si="380"/>
        <v>2026 02</v>
      </c>
      <c r="U5103" s="32">
        <f t="shared" si="377"/>
        <v>1164.2171796577559</v>
      </c>
      <c r="V5103" s="22">
        <f t="shared" si="378"/>
        <v>1.1239973832285366</v>
      </c>
      <c r="X5103" s="33"/>
      <c r="Y5103" s="33"/>
    </row>
    <row r="5104" spans="1:25" x14ac:dyDescent="0.2">
      <c r="A5104" s="93" t="s">
        <v>4377</v>
      </c>
      <c r="B5104" s="94" t="str">
        <f>IFERROR(VLOOKUP($A5104,HeadJournal!$A$1:$NTR$890,COLUMN(HeadJournal!B$1),0),"")</f>
        <v>720000831595</v>
      </c>
      <c r="C5104" s="94" t="str">
        <f>IFERROR(VLOOKUP($A5104,HeadJournal!$A$1:$NTR$890,COLUMN(HeadJournal!C$1),0),"")</f>
        <v>iHerb_VP DFD1605</v>
      </c>
      <c r="D5104" s="125" t="str">
        <f>IFERROR(VLOOKUP($A5104,HeadJournal!$A$1:$NTR$890,COLUMN(HeadJournal!D$1),0),"")</f>
        <v>Доставлен</v>
      </c>
      <c r="E5104" s="95">
        <f>IFERROR(VLOOKUP($A5104,HeadJournal!$A$1:$NTR$890,COLUMN(HeadJournal!G$1),0),"")</f>
        <v>45923</v>
      </c>
      <c r="F5104" s="95" t="str">
        <f t="shared" si="379"/>
        <v>2025 09</v>
      </c>
      <c r="G5104" s="97" t="s">
        <v>5</v>
      </c>
      <c r="H5104" s="161" t="s">
        <v>2804</v>
      </c>
      <c r="I5104" s="97" t="s">
        <v>2005</v>
      </c>
      <c r="J5104" s="97" t="s">
        <v>2805</v>
      </c>
      <c r="K5104" s="29">
        <v>5801.11</v>
      </c>
      <c r="L5104" s="29">
        <v>-1682.32</v>
      </c>
      <c r="M5104" s="30">
        <f>IFERROR(VLOOKUP($A5104,HeadJournal!$A$1:$J$890,COLUMN(HeadJournal!I$1),0)*($K5104+$L5104)/(SUMIF($A:$A,$A5104,$K:$K)+SUMIF($A:$A,$A5104,$L:$L)),0)</f>
        <v>0</v>
      </c>
      <c r="N5104" s="30">
        <f>IFERROR((VLOOKUP($A5104,HeadJournal!$A$1:$K$890,COLUMN(HeadJournal!K$1),0)-VLOOKUP($A5104,HeadJournal!$A$1:$K$890,COLUMN(HeadJournal!J$1),0))*($K5104+$L5104)/(SUMIF($A:$A,$A5104,$K:$K)+SUMIF($A:$A,$A5104,$L:$L)),0)</f>
        <v>-5.9422409807908266E-13</v>
      </c>
      <c r="O5104" s="30">
        <f>IFERROR((VLOOKUP($A5104,HeadJournal!$A$1:$L$890,COLUMN(HeadJournal!L$1),0)*($K5104+$L5104)/(SUMIF($A:$A,$A5104,$K:$K)+SUMIF($A:$A,$A5104,$L:$L)))/VLOOKUP($A5104,HeadJournal!$A$1:$L$890,COLUMN(HeadJournal!H$1),0),0)</f>
        <v>121.91583249613441</v>
      </c>
      <c r="P5104" s="30">
        <f>IFERROR(SUM(K5104:O5104)*VLOOKUP($A5104,HeadJournal!$A$1:$L$890,COLUMN(HeadJournal!H$1),0),0)</f>
        <v>717.29783686039843</v>
      </c>
      <c r="Q5104" s="29">
        <v>1380</v>
      </c>
      <c r="R5104" s="31">
        <v>45962</v>
      </c>
      <c r="S5104" s="31" t="s">
        <v>3466</v>
      </c>
      <c r="T5104" s="95" t="str">
        <f t="shared" si="380"/>
        <v>2025 11</v>
      </c>
      <c r="U5104" s="32">
        <f t="shared" si="377"/>
        <v>662.70216313960157</v>
      </c>
      <c r="V5104" s="22">
        <f t="shared" si="378"/>
        <v>0.92388702305340653</v>
      </c>
      <c r="X5104" s="33"/>
      <c r="Y5104" s="33"/>
    </row>
    <row r="5105" spans="1:25" x14ac:dyDescent="0.2">
      <c r="A5105" s="93" t="s">
        <v>4377</v>
      </c>
      <c r="B5105" s="94" t="str">
        <f>IFERROR(VLOOKUP($A5105,HeadJournal!$A$1:$NTR$890,COLUMN(HeadJournal!B$1),0),"")</f>
        <v>720000831595</v>
      </c>
      <c r="C5105" s="94" t="str">
        <f>IFERROR(VLOOKUP($A5105,HeadJournal!$A$1:$NTR$890,COLUMN(HeadJournal!C$1),0),"")</f>
        <v>iHerb_VP DFD1605</v>
      </c>
      <c r="D5105" s="125" t="str">
        <f>IFERROR(VLOOKUP($A5105,HeadJournal!$A$1:$NTR$890,COLUMN(HeadJournal!D$1),0),"")</f>
        <v>Доставлен</v>
      </c>
      <c r="E5105" s="95">
        <f>IFERROR(VLOOKUP($A5105,HeadJournal!$A$1:$NTR$890,COLUMN(HeadJournal!G$1),0),"")</f>
        <v>45923</v>
      </c>
      <c r="F5105" s="95" t="str">
        <f t="shared" si="379"/>
        <v>2025 09</v>
      </c>
      <c r="G5105" s="97" t="s">
        <v>5</v>
      </c>
      <c r="H5105" s="161" t="s">
        <v>2804</v>
      </c>
      <c r="I5105" s="97" t="s">
        <v>2005</v>
      </c>
      <c r="J5105" s="97" t="s">
        <v>2805</v>
      </c>
      <c r="K5105" s="29">
        <v>5801.11</v>
      </c>
      <c r="L5105" s="29">
        <v>-1682.32</v>
      </c>
      <c r="M5105" s="30">
        <f>IFERROR(VLOOKUP($A5105,HeadJournal!$A$1:$J$890,COLUMN(HeadJournal!I$1),0)*($K5105+$L5105)/(SUMIF($A:$A,$A5105,$K:$K)+SUMIF($A:$A,$A5105,$L:$L)),0)</f>
        <v>0</v>
      </c>
      <c r="N5105" s="30">
        <f>IFERROR((VLOOKUP($A5105,HeadJournal!$A$1:$K$890,COLUMN(HeadJournal!K$1),0)-VLOOKUP($A5105,HeadJournal!$A$1:$K$890,COLUMN(HeadJournal!J$1),0))*($K5105+$L5105)/(SUMIF($A:$A,$A5105,$K:$K)+SUMIF($A:$A,$A5105,$L:$L)),0)</f>
        <v>-5.9422409807908266E-13</v>
      </c>
      <c r="O5105" s="30">
        <f>IFERROR((VLOOKUP($A5105,HeadJournal!$A$1:$L$890,COLUMN(HeadJournal!L$1),0)*($K5105+$L5105)/(SUMIF($A:$A,$A5105,$K:$K)+SUMIF($A:$A,$A5105,$L:$L)))/VLOOKUP($A5105,HeadJournal!$A$1:$L$890,COLUMN(HeadJournal!H$1),0),0)</f>
        <v>121.91583249613441</v>
      </c>
      <c r="P5105" s="30">
        <f>IFERROR(SUM(K5105:O5105)*VLOOKUP($A5105,HeadJournal!$A$1:$L$890,COLUMN(HeadJournal!H$1),0),0)</f>
        <v>717.29783686039843</v>
      </c>
      <c r="Q5105" s="29">
        <v>1600</v>
      </c>
      <c r="R5105" s="31">
        <v>45990</v>
      </c>
      <c r="S5105" s="31" t="s">
        <v>4872</v>
      </c>
      <c r="T5105" s="95" t="str">
        <f t="shared" si="380"/>
        <v>2025 11</v>
      </c>
      <c r="U5105" s="32">
        <f t="shared" si="377"/>
        <v>882.70216313960157</v>
      </c>
      <c r="V5105" s="22">
        <f t="shared" si="378"/>
        <v>1.2305936499169932</v>
      </c>
      <c r="X5105" s="33"/>
      <c r="Y5105" s="33"/>
    </row>
    <row r="5106" spans="1:25" x14ac:dyDescent="0.2">
      <c r="A5106" s="93" t="s">
        <v>4377</v>
      </c>
      <c r="B5106" s="94" t="str">
        <f>IFERROR(VLOOKUP($A5106,HeadJournal!$A$1:$NTR$890,COLUMN(HeadJournal!B$1),0),"")</f>
        <v>720000831595</v>
      </c>
      <c r="C5106" s="94" t="str">
        <f>IFERROR(VLOOKUP($A5106,HeadJournal!$A$1:$NTR$890,COLUMN(HeadJournal!C$1),0),"")</f>
        <v>iHerb_VP DFD1605</v>
      </c>
      <c r="D5106" s="125" t="str">
        <f>IFERROR(VLOOKUP($A5106,HeadJournal!$A$1:$NTR$890,COLUMN(HeadJournal!D$1),0),"")</f>
        <v>Доставлен</v>
      </c>
      <c r="E5106" s="95">
        <f>IFERROR(VLOOKUP($A5106,HeadJournal!$A$1:$NTR$890,COLUMN(HeadJournal!G$1),0),"")</f>
        <v>45923</v>
      </c>
      <c r="F5106" s="95" t="str">
        <f t="shared" si="379"/>
        <v>2025 09</v>
      </c>
      <c r="G5106" s="97" t="s">
        <v>5</v>
      </c>
      <c r="H5106" s="161" t="s">
        <v>2481</v>
      </c>
      <c r="I5106" s="97" t="s">
        <v>2005</v>
      </c>
      <c r="J5106" s="97" t="s">
        <v>4374</v>
      </c>
      <c r="K5106" s="29">
        <v>5573.17</v>
      </c>
      <c r="L5106" s="29">
        <v>-1616.22</v>
      </c>
      <c r="M5106" s="30">
        <f>IFERROR(VLOOKUP($A5106,HeadJournal!$A$1:$J$890,COLUMN(HeadJournal!I$1),0)*($K5106+$L5106)/(SUMIF($A:$A,$A5106,$K:$K)+SUMIF($A:$A,$A5106,$L:$L)),0)</f>
        <v>0</v>
      </c>
      <c r="N5106" s="30">
        <f>IFERROR((VLOOKUP($A5106,HeadJournal!$A$1:$K$890,COLUMN(HeadJournal!K$1),0)-VLOOKUP($A5106,HeadJournal!$A$1:$K$890,COLUMN(HeadJournal!J$1),0))*($K5106+$L5106)/(SUMIF($A:$A,$A5106,$K:$K)+SUMIF($A:$A,$A5106,$L:$L)),0)</f>
        <v>-5.7087519511653331E-13</v>
      </c>
      <c r="O5106" s="30">
        <f>IFERROR((VLOOKUP($A5106,HeadJournal!$A$1:$L$890,COLUMN(HeadJournal!L$1),0)*($K5106+$L5106)/(SUMIF($A:$A,$A5106,$K:$K)+SUMIF($A:$A,$A5106,$L:$L)))/VLOOKUP($A5106,HeadJournal!$A$1:$L$890,COLUMN(HeadJournal!H$1),0),0)</f>
        <v>117.12538230780861</v>
      </c>
      <c r="P5106" s="30">
        <f>IFERROR(SUM(K5106:O5106)*VLOOKUP($A5106,HeadJournal!$A$1:$L$890,COLUMN(HeadJournal!H$1),0),0)</f>
        <v>689.1129859897577</v>
      </c>
      <c r="Q5106" s="29"/>
      <c r="R5106" s="31"/>
      <c r="S5106" s="31"/>
      <c r="T5106" s="95" t="str">
        <f t="shared" si="380"/>
        <v/>
      </c>
      <c r="U5106" s="32">
        <f t="shared" si="377"/>
        <v>-689.1129859897577</v>
      </c>
      <c r="V5106" s="22" t="str">
        <f t="shared" si="378"/>
        <v/>
      </c>
      <c r="X5106" s="33"/>
      <c r="Y5106" s="33"/>
    </row>
    <row r="5107" spans="1:25" x14ac:dyDescent="0.2">
      <c r="A5107" s="93" t="s">
        <v>4377</v>
      </c>
      <c r="B5107" s="94" t="str">
        <f>IFERROR(VLOOKUP($A5107,HeadJournal!$A$1:$NTR$890,COLUMN(HeadJournal!B$1),0),"")</f>
        <v>720000831595</v>
      </c>
      <c r="C5107" s="94" t="str">
        <f>IFERROR(VLOOKUP($A5107,HeadJournal!$A$1:$NTR$890,COLUMN(HeadJournal!C$1),0),"")</f>
        <v>iHerb_VP DFD1605</v>
      </c>
      <c r="D5107" s="125" t="str">
        <f>IFERROR(VLOOKUP($A5107,HeadJournal!$A$1:$NTR$890,COLUMN(HeadJournal!D$1),0),"")</f>
        <v>Доставлен</v>
      </c>
      <c r="E5107" s="95">
        <f>IFERROR(VLOOKUP($A5107,HeadJournal!$A$1:$NTR$890,COLUMN(HeadJournal!G$1),0),"")</f>
        <v>45923</v>
      </c>
      <c r="F5107" s="95" t="str">
        <f t="shared" si="379"/>
        <v>2025 09</v>
      </c>
      <c r="G5107" s="97" t="s">
        <v>5</v>
      </c>
      <c r="H5107" s="161" t="s">
        <v>2841</v>
      </c>
      <c r="I5107" s="97" t="s">
        <v>2839</v>
      </c>
      <c r="J5107" s="97" t="s">
        <v>2842</v>
      </c>
      <c r="K5107" s="29">
        <v>9925.32</v>
      </c>
      <c r="L5107" s="29">
        <v>0</v>
      </c>
      <c r="M5107" s="30">
        <f>IFERROR(VLOOKUP($A5107,HeadJournal!$A$1:$J$890,COLUMN(HeadJournal!I$1),0)*($K5107+$L5107)/(SUMIF($A:$A,$A5107,$K:$K)+SUMIF($A:$A,$A5107,$L:$L)),0)</f>
        <v>0</v>
      </c>
      <c r="N5107" s="30">
        <f>IFERROR((VLOOKUP($A5107,HeadJournal!$A$1:$K$890,COLUMN(HeadJournal!K$1),0)-VLOOKUP($A5107,HeadJournal!$A$1:$K$890,COLUMN(HeadJournal!J$1),0))*($K5107+$L5107)/(SUMIF($A:$A,$A5107,$K:$K)+SUMIF($A:$A,$A5107,$L:$L)),0)</f>
        <v>-1.431941013051474E-12</v>
      </c>
      <c r="O5107" s="30">
        <f>IFERROR((VLOOKUP($A5107,HeadJournal!$A$1:$L$890,COLUMN(HeadJournal!L$1),0)*($K5107+$L5107)/(SUMIF($A:$A,$A5107,$K:$K)+SUMIF($A:$A,$A5107,$L:$L)))/VLOOKUP($A5107,HeadJournal!$A$1:$L$890,COLUMN(HeadJournal!H$1),0),0)</f>
        <v>293.78862495794465</v>
      </c>
      <c r="P5107" s="30">
        <f>IFERROR(SUM(K5107:O5107)*VLOOKUP($A5107,HeadJournal!$A$1:$L$890,COLUMN(HeadJournal!H$1),0),0)</f>
        <v>1728.5199211776396</v>
      </c>
      <c r="Q5107" s="29">
        <v>2400</v>
      </c>
      <c r="R5107" s="31">
        <v>45961</v>
      </c>
      <c r="S5107" s="31" t="s">
        <v>3270</v>
      </c>
      <c r="T5107" s="95" t="str">
        <f t="shared" si="380"/>
        <v>2025 10</v>
      </c>
      <c r="U5107" s="32">
        <f t="shared" si="377"/>
        <v>671.48007882236038</v>
      </c>
      <c r="V5107" s="22">
        <f t="shared" si="378"/>
        <v>0.38847112526471861</v>
      </c>
      <c r="X5107" s="33"/>
      <c r="Y5107" s="33"/>
    </row>
    <row r="5108" spans="1:25" x14ac:dyDescent="0.2">
      <c r="A5108" s="93" t="s">
        <v>4377</v>
      </c>
      <c r="B5108" s="94" t="str">
        <f>IFERROR(VLOOKUP($A5108,HeadJournal!$A$1:$NTR$890,COLUMN(HeadJournal!B$1),0),"")</f>
        <v>720000831595</v>
      </c>
      <c r="C5108" s="94" t="str">
        <f>IFERROR(VLOOKUP($A5108,HeadJournal!$A$1:$NTR$890,COLUMN(HeadJournal!C$1),0),"")</f>
        <v>iHerb_VP DFD1605</v>
      </c>
      <c r="D5108" s="125" t="str">
        <f>IFERROR(VLOOKUP($A5108,HeadJournal!$A$1:$NTR$890,COLUMN(HeadJournal!D$1),0),"")</f>
        <v>Доставлен</v>
      </c>
      <c r="E5108" s="95">
        <f>IFERROR(VLOOKUP($A5108,HeadJournal!$A$1:$NTR$890,COLUMN(HeadJournal!G$1),0),"")</f>
        <v>45923</v>
      </c>
      <c r="F5108" s="95" t="str">
        <f t="shared" si="379"/>
        <v>2025 09</v>
      </c>
      <c r="G5108" s="97" t="s">
        <v>5</v>
      </c>
      <c r="H5108" s="161" t="s">
        <v>4375</v>
      </c>
      <c r="I5108" s="97" t="s">
        <v>2166</v>
      </c>
      <c r="J5108" s="97" t="s">
        <v>4376</v>
      </c>
      <c r="K5108" s="29">
        <v>8517.58</v>
      </c>
      <c r="L5108" s="29">
        <v>-2470.1</v>
      </c>
      <c r="M5108" s="30">
        <f>IFERROR(VLOOKUP($A5108,HeadJournal!$A$1:$J$890,COLUMN(HeadJournal!I$1),0)*($K5108+$L5108)/(SUMIF($A:$A,$A5108,$K:$K)+SUMIF($A:$A,$A5108,$L:$L)),0)</f>
        <v>0</v>
      </c>
      <c r="N5108" s="30">
        <f>IFERROR((VLOOKUP($A5108,HeadJournal!$A$1:$K$890,COLUMN(HeadJournal!K$1),0)-VLOOKUP($A5108,HeadJournal!$A$1:$K$890,COLUMN(HeadJournal!J$1),0))*($K5108+$L5108)/(SUMIF($A:$A,$A5108,$K:$K)+SUMIF($A:$A,$A5108,$L:$L)),0)</f>
        <v>-8.7247913796316171E-13</v>
      </c>
      <c r="O5108" s="30">
        <f>IFERROR((VLOOKUP($A5108,HeadJournal!$A$1:$L$890,COLUMN(HeadJournal!L$1),0)*($K5108+$L5108)/(SUMIF($A:$A,$A5108,$K:$K)+SUMIF($A:$A,$A5108,$L:$L)))/VLOOKUP($A5108,HeadJournal!$A$1:$L$890,COLUMN(HeadJournal!H$1),0),0)</f>
        <v>179.00489189876711</v>
      </c>
      <c r="P5108" s="30">
        <f>IFERROR(SUM(K5108:O5108)*VLOOKUP($A5108,HeadJournal!$A$1:$L$890,COLUMN(HeadJournal!H$1),0),0)</f>
        <v>1053.1841444833367</v>
      </c>
      <c r="Q5108" s="29">
        <v>2000</v>
      </c>
      <c r="R5108" s="31">
        <v>45952</v>
      </c>
      <c r="S5108" s="31" t="s">
        <v>3226</v>
      </c>
      <c r="T5108" s="95" t="str">
        <f t="shared" si="380"/>
        <v>2025 10</v>
      </c>
      <c r="U5108" s="32">
        <f t="shared" si="377"/>
        <v>946.81585551666331</v>
      </c>
      <c r="V5108" s="22">
        <f t="shared" si="378"/>
        <v>0.89900314249522362</v>
      </c>
      <c r="X5108" s="33"/>
      <c r="Y5108" s="33"/>
    </row>
    <row r="5109" spans="1:25" x14ac:dyDescent="0.2">
      <c r="A5109" s="93" t="s">
        <v>4377</v>
      </c>
      <c r="B5109" s="94" t="str">
        <f>IFERROR(VLOOKUP($A5109,HeadJournal!$A$1:$NTR$890,COLUMN(HeadJournal!B$1),0),"")</f>
        <v>720000831595</v>
      </c>
      <c r="C5109" s="94" t="str">
        <f>IFERROR(VLOOKUP($A5109,HeadJournal!$A$1:$NTR$890,COLUMN(HeadJournal!C$1),0),"")</f>
        <v>iHerb_VP DFD1605</v>
      </c>
      <c r="D5109" s="125" t="str">
        <f>IFERROR(VLOOKUP($A5109,HeadJournal!$A$1:$NTR$890,COLUMN(HeadJournal!D$1),0),"")</f>
        <v>Доставлен</v>
      </c>
      <c r="E5109" s="95">
        <f>IFERROR(VLOOKUP($A5109,HeadJournal!$A$1:$NTR$890,COLUMN(HeadJournal!G$1),0),"")</f>
        <v>45923</v>
      </c>
      <c r="F5109" s="95" t="str">
        <f t="shared" si="379"/>
        <v>2025 09</v>
      </c>
      <c r="G5109" s="97" t="s">
        <v>5</v>
      </c>
      <c r="H5109" s="161" t="s">
        <v>3761</v>
      </c>
      <c r="I5109" s="97" t="s">
        <v>2166</v>
      </c>
      <c r="J5109" s="97" t="s">
        <v>3762</v>
      </c>
      <c r="K5109" s="29">
        <v>25758.799999999999</v>
      </c>
      <c r="L5109" s="29">
        <v>-7470.05</v>
      </c>
      <c r="M5109" s="30">
        <f>IFERROR(VLOOKUP($A5109,HeadJournal!$A$1:$J$890,COLUMN(HeadJournal!I$1),0)*($K5109+$L5109)/(SUMIF($A:$A,$A5109,$K:$K)+SUMIF($A:$A,$A5109,$L:$L)),0)</f>
        <v>0</v>
      </c>
      <c r="N5109" s="30">
        <f>IFERROR((VLOOKUP($A5109,HeadJournal!$A$1:$K$890,COLUMN(HeadJournal!K$1),0)-VLOOKUP($A5109,HeadJournal!$A$1:$K$890,COLUMN(HeadJournal!J$1),0))*($K5109+$L5109)/(SUMIF($A:$A,$A5109,$K:$K)+SUMIF($A:$A,$A5109,$L:$L)),0)</f>
        <v>-2.6385457801305295E-12</v>
      </c>
      <c r="O5109" s="30">
        <f>IFERROR((VLOOKUP($A5109,HeadJournal!$A$1:$L$890,COLUMN(HeadJournal!L$1),0)*($K5109+$L5109)/(SUMIF($A:$A,$A5109,$K:$K)+SUMIF($A:$A,$A5109,$L:$L)))/VLOOKUP($A5109,HeadJournal!$A$1:$L$890,COLUMN(HeadJournal!H$1),0),0)</f>
        <v>541.34543920998112</v>
      </c>
      <c r="P5109" s="30">
        <f>IFERROR(SUM(K5109:O5109)*VLOOKUP($A5109,HeadJournal!$A$1:$L$890,COLUMN(HeadJournal!H$1),0),0)</f>
        <v>3185.0326950100912</v>
      </c>
      <c r="Q5109" s="29">
        <v>4900</v>
      </c>
      <c r="R5109" s="31">
        <v>45952</v>
      </c>
      <c r="S5109" s="31" t="s">
        <v>3226</v>
      </c>
      <c r="T5109" s="95" t="str">
        <f t="shared" si="380"/>
        <v>2025 10</v>
      </c>
      <c r="U5109" s="32">
        <f t="shared" si="377"/>
        <v>1714.9673049899088</v>
      </c>
      <c r="V5109" s="22">
        <f t="shared" si="378"/>
        <v>0.53844574584013027</v>
      </c>
      <c r="X5109" s="33"/>
      <c r="Y5109" s="33"/>
    </row>
    <row r="5110" spans="1:25" x14ac:dyDescent="0.2">
      <c r="A5110" s="93" t="s">
        <v>4377</v>
      </c>
      <c r="B5110" s="94" t="str">
        <f>IFERROR(VLOOKUP($A5110,HeadJournal!$A$1:$NTR$890,COLUMN(HeadJournal!B$1),0),"")</f>
        <v>720000831595</v>
      </c>
      <c r="C5110" s="94" t="str">
        <f>IFERROR(VLOOKUP($A5110,HeadJournal!$A$1:$NTR$890,COLUMN(HeadJournal!C$1),0),"")</f>
        <v>iHerb_VP DFD1605</v>
      </c>
      <c r="D5110" s="125" t="str">
        <f>IFERROR(VLOOKUP($A5110,HeadJournal!$A$1:$NTR$890,COLUMN(HeadJournal!D$1),0),"")</f>
        <v>Доставлен</v>
      </c>
      <c r="E5110" s="95">
        <f>IFERROR(VLOOKUP($A5110,HeadJournal!$A$1:$NTR$890,COLUMN(HeadJournal!G$1),0),"")</f>
        <v>45923</v>
      </c>
      <c r="F5110" s="95" t="str">
        <f t="shared" si="379"/>
        <v>2025 09</v>
      </c>
      <c r="G5110" s="97" t="s">
        <v>5</v>
      </c>
      <c r="H5110" s="161" t="s">
        <v>3753</v>
      </c>
      <c r="I5110" s="97" t="s">
        <v>2005</v>
      </c>
      <c r="J5110" s="97" t="s">
        <v>3754</v>
      </c>
      <c r="K5110" s="29">
        <v>17484.64</v>
      </c>
      <c r="L5110" s="29">
        <v>-5070.55</v>
      </c>
      <c r="M5110" s="30">
        <f>IFERROR(VLOOKUP($A5110,HeadJournal!$A$1:$J$890,COLUMN(HeadJournal!I$1),0)*($K5110+$L5110)/(SUMIF($A:$A,$A5110,$K:$K)+SUMIF($A:$A,$A5110,$L:$L)),0)</f>
        <v>0</v>
      </c>
      <c r="N5110" s="30">
        <f>IFERROR((VLOOKUP($A5110,HeadJournal!$A$1:$K$890,COLUMN(HeadJournal!K$1),0)-VLOOKUP($A5110,HeadJournal!$A$1:$K$890,COLUMN(HeadJournal!J$1),0))*($K5110+$L5110)/(SUMIF($A:$A,$A5110,$K:$K)+SUMIF($A:$A,$A5110,$L:$L)),0)</f>
        <v>-1.7909996464307622E-12</v>
      </c>
      <c r="O5110" s="30">
        <f>IFERROR((VLOOKUP($A5110,HeadJournal!$A$1:$L$890,COLUMN(HeadJournal!L$1),0)*($K5110+$L5110)/(SUMIF($A:$A,$A5110,$K:$K)+SUMIF($A:$A,$A5110,$L:$L)))/VLOOKUP($A5110,HeadJournal!$A$1:$L$890,COLUMN(HeadJournal!H$1),0),0)</f>
        <v>367.4560045624898</v>
      </c>
      <c r="P5110" s="30">
        <f>IFERROR(SUM(K5110:O5110)*VLOOKUP($A5110,HeadJournal!$A$1:$L$890,COLUMN(HeadJournal!H$1),0),0)</f>
        <v>2161.9455965442048</v>
      </c>
      <c r="Q5110" s="29">
        <v>3400</v>
      </c>
      <c r="R5110" s="31">
        <v>46003</v>
      </c>
      <c r="S5110" s="31"/>
      <c r="T5110" s="95" t="str">
        <f t="shared" si="380"/>
        <v>2025 12</v>
      </c>
      <c r="U5110" s="32">
        <f t="shared" si="377"/>
        <v>1238.0544034557952</v>
      </c>
      <c r="V5110" s="22">
        <f t="shared" si="378"/>
        <v>0.57265751989077907</v>
      </c>
      <c r="X5110" s="33"/>
      <c r="Y5110" s="33"/>
    </row>
    <row r="5111" spans="1:25" x14ac:dyDescent="0.2">
      <c r="A5111" s="93" t="s">
        <v>4387</v>
      </c>
      <c r="B5111" s="94" t="str">
        <f>IFERROR(VLOOKUP($A5111,HeadJournal!$A$1:$NTR$890,COLUMN(HeadJournal!B$1),0),"")</f>
        <v>720000837761</v>
      </c>
      <c r="C5111" s="94" t="str">
        <f>IFERROR(VLOOKUP($A5111,HeadJournal!$A$1:$NTR$890,COLUMN(HeadJournal!C$1),0),"")</f>
        <v>iHerb_VP DFD1605</v>
      </c>
      <c r="D5111" s="125" t="str">
        <f>IFERROR(VLOOKUP($A5111,HeadJournal!$A$1:$NTR$890,COLUMN(HeadJournal!D$1),0),"")</f>
        <v>Доставлен</v>
      </c>
      <c r="E5111" s="95">
        <f>IFERROR(VLOOKUP($A5111,HeadJournal!$A$1:$NTR$890,COLUMN(HeadJournal!G$1),0),"")</f>
        <v>45930</v>
      </c>
      <c r="F5111" s="95" t="str">
        <f t="shared" si="379"/>
        <v>2025 09</v>
      </c>
      <c r="G5111" s="97" t="s">
        <v>5</v>
      </c>
      <c r="H5111" s="161" t="s">
        <v>4379</v>
      </c>
      <c r="I5111" s="97" t="s">
        <v>2166</v>
      </c>
      <c r="J5111" s="97" t="s">
        <v>4380</v>
      </c>
      <c r="K5111" s="29">
        <v>12627.54</v>
      </c>
      <c r="L5111" s="29">
        <v>-3661.99</v>
      </c>
      <c r="M5111" s="30">
        <f>IFERROR(VLOOKUP($A5111,HeadJournal!$A$1:$J$890,COLUMN(HeadJournal!I$1),0)*($K5111+$L5111)/(SUMIF($A:$A,$A5111,$K:$K)+SUMIF($A:$A,$A5111,$L:$L)),0)</f>
        <v>-1090.2897649472122</v>
      </c>
      <c r="N5111" s="30">
        <f>IFERROR((VLOOKUP($A5111,HeadJournal!$A$1:$K$890,COLUMN(HeadJournal!K$1),0)-VLOOKUP($A5111,HeadJournal!$A$1:$K$890,COLUMN(HeadJournal!J$1),0))*($K5111+$L5111)/(SUMIF($A:$A,$A5111,$K:$K)+SUMIF($A:$A,$A5111,$L:$L)),0)</f>
        <v>0</v>
      </c>
      <c r="O5111" s="30">
        <f>IFERROR((VLOOKUP($A5111,HeadJournal!$A$1:$L$890,COLUMN(HeadJournal!L$1),0)*($K5111+$L5111)/(SUMIF($A:$A,$A5111,$K:$K)+SUMIF($A:$A,$A5111,$L:$L)))/VLOOKUP($A5111,HeadJournal!$A$1:$L$890,COLUMN(HeadJournal!H$1),0),0)</f>
        <v>324.0659676241475</v>
      </c>
      <c r="P5111" s="30">
        <f>IFERROR(SUM(K5111:O5111)*VLOOKUP($A5111,HeadJournal!$A$1:$L$890,COLUMN(HeadJournal!H$1),0),0)</f>
        <v>1402.5907066061984</v>
      </c>
      <c r="Q5111" s="29">
        <v>2800</v>
      </c>
      <c r="R5111" s="31">
        <v>45962</v>
      </c>
      <c r="S5111" s="31" t="s">
        <v>3252</v>
      </c>
      <c r="T5111" s="95" t="str">
        <f t="shared" si="380"/>
        <v>2025 11</v>
      </c>
      <c r="U5111" s="32">
        <f t="shared" si="377"/>
        <v>1397.4092933938016</v>
      </c>
      <c r="V5111" s="22">
        <f t="shared" si="378"/>
        <v>0.99630582664779366</v>
      </c>
      <c r="X5111" s="33"/>
      <c r="Y5111" s="33"/>
    </row>
    <row r="5112" spans="1:25" x14ac:dyDescent="0.2">
      <c r="A5112" s="93" t="s">
        <v>4387</v>
      </c>
      <c r="B5112" s="94" t="str">
        <f>IFERROR(VLOOKUP($A5112,HeadJournal!$A$1:$NTR$890,COLUMN(HeadJournal!B$1),0),"")</f>
        <v>720000837761</v>
      </c>
      <c r="C5112" s="94" t="str">
        <f>IFERROR(VLOOKUP($A5112,HeadJournal!$A$1:$NTR$890,COLUMN(HeadJournal!C$1),0),"")</f>
        <v>iHerb_VP DFD1605</v>
      </c>
      <c r="D5112" s="125" t="str">
        <f>IFERROR(VLOOKUP($A5112,HeadJournal!$A$1:$NTR$890,COLUMN(HeadJournal!D$1),0),"")</f>
        <v>Доставлен</v>
      </c>
      <c r="E5112" s="95">
        <f>IFERROR(VLOOKUP($A5112,HeadJournal!$A$1:$NTR$890,COLUMN(HeadJournal!G$1),0),"")</f>
        <v>45930</v>
      </c>
      <c r="F5112" s="95" t="str">
        <f t="shared" si="379"/>
        <v>2025 09</v>
      </c>
      <c r="G5112" s="97" t="s">
        <v>5</v>
      </c>
      <c r="H5112" s="161" t="s">
        <v>2804</v>
      </c>
      <c r="I5112" s="97" t="s">
        <v>2005</v>
      </c>
      <c r="J5112" s="97" t="s">
        <v>2805</v>
      </c>
      <c r="K5112" s="29">
        <v>5801.11</v>
      </c>
      <c r="L5112" s="29">
        <v>-1682.32</v>
      </c>
      <c r="M5112" s="30">
        <f>IFERROR(VLOOKUP($A5112,HeadJournal!$A$1:$J$890,COLUMN(HeadJournal!I$1),0)*($K5112+$L5112)/(SUMIF($A:$A,$A5112,$K:$K)+SUMIF($A:$A,$A5112,$L:$L)),0)</f>
        <v>-500.8811038884316</v>
      </c>
      <c r="N5112" s="30">
        <f>IFERROR((VLOOKUP($A5112,HeadJournal!$A$1:$K$890,COLUMN(HeadJournal!K$1),0)-VLOOKUP($A5112,HeadJournal!$A$1:$K$890,COLUMN(HeadJournal!J$1),0))*($K5112+$L5112)/(SUMIF($A:$A,$A5112,$K:$K)+SUMIF($A:$A,$A5112,$L:$L)),0)</f>
        <v>0</v>
      </c>
      <c r="O5112" s="30">
        <f>IFERROR((VLOOKUP($A5112,HeadJournal!$A$1:$L$890,COLUMN(HeadJournal!L$1),0)*($K5112+$L5112)/(SUMIF($A:$A,$A5112,$K:$K)+SUMIF($A:$A,$A5112,$L:$L)))/VLOOKUP($A5112,HeadJournal!$A$1:$L$890,COLUMN(HeadJournal!H$1),0),0)</f>
        <v>148.87649578560851</v>
      </c>
      <c r="P5112" s="30">
        <f>IFERROR(SUM(K5112:O5112)*VLOOKUP($A5112,HeadJournal!$A$1:$L$890,COLUMN(HeadJournal!H$1),0),0)</f>
        <v>644.35272531663361</v>
      </c>
      <c r="Q5112" s="29">
        <v>1700</v>
      </c>
      <c r="R5112" s="31">
        <v>46007</v>
      </c>
      <c r="S5112" s="31" t="s">
        <v>4457</v>
      </c>
      <c r="T5112" s="95" t="str">
        <f t="shared" si="380"/>
        <v>2025 12</v>
      </c>
      <c r="U5112" s="32">
        <f t="shared" si="377"/>
        <v>1055.6472746833665</v>
      </c>
      <c r="V5112" s="22">
        <f t="shared" si="378"/>
        <v>1.6383065256139386</v>
      </c>
      <c r="X5112" s="33"/>
      <c r="Y5112" s="33"/>
    </row>
    <row r="5113" spans="1:25" x14ac:dyDescent="0.2">
      <c r="A5113" s="93" t="s">
        <v>4387</v>
      </c>
      <c r="B5113" s="94" t="str">
        <f>IFERROR(VLOOKUP($A5113,HeadJournal!$A$1:$NTR$890,COLUMN(HeadJournal!B$1),0),"")</f>
        <v>720000837761</v>
      </c>
      <c r="C5113" s="94" t="str">
        <f>IFERROR(VLOOKUP($A5113,HeadJournal!$A$1:$NTR$890,COLUMN(HeadJournal!C$1),0),"")</f>
        <v>iHerb_VP DFD1605</v>
      </c>
      <c r="D5113" s="125" t="str">
        <f>IFERROR(VLOOKUP($A5113,HeadJournal!$A$1:$NTR$890,COLUMN(HeadJournal!D$1),0),"")</f>
        <v>Доставлен</v>
      </c>
      <c r="E5113" s="95">
        <f>IFERROR(VLOOKUP($A5113,HeadJournal!$A$1:$NTR$890,COLUMN(HeadJournal!G$1),0),"")</f>
        <v>45930</v>
      </c>
      <c r="F5113" s="95" t="str">
        <f t="shared" si="379"/>
        <v>2025 09</v>
      </c>
      <c r="G5113" s="97" t="s">
        <v>5</v>
      </c>
      <c r="H5113" s="161" t="s">
        <v>2203</v>
      </c>
      <c r="I5113" s="97" t="s">
        <v>2166</v>
      </c>
      <c r="J5113" s="97" t="s">
        <v>4099</v>
      </c>
      <c r="K5113" s="29">
        <v>5105.97</v>
      </c>
      <c r="L5113" s="29">
        <v>-1480.73</v>
      </c>
      <c r="M5113" s="30">
        <f>IFERROR(VLOOKUP($A5113,HeadJournal!$A$1:$J$890,COLUMN(HeadJournal!I$1),0)*($K5113+$L5113)/(SUMIF($A:$A,$A5113,$K:$K)+SUMIF($A:$A,$A5113,$L:$L)),0)</f>
        <v>-440.86108130312493</v>
      </c>
      <c r="N5113" s="30">
        <f>IFERROR((VLOOKUP($A5113,HeadJournal!$A$1:$K$890,COLUMN(HeadJournal!K$1),0)-VLOOKUP($A5113,HeadJournal!$A$1:$K$890,COLUMN(HeadJournal!J$1),0))*($K5113+$L5113)/(SUMIF($A:$A,$A5113,$K:$K)+SUMIF($A:$A,$A5113,$L:$L)),0)</f>
        <v>0</v>
      </c>
      <c r="O5113" s="30">
        <f>IFERROR((VLOOKUP($A5113,HeadJournal!$A$1:$L$890,COLUMN(HeadJournal!L$1),0)*($K5113+$L5113)/(SUMIF($A:$A,$A5113,$K:$K)+SUMIF($A:$A,$A5113,$L:$L)))/VLOOKUP($A5113,HeadJournal!$A$1:$L$890,COLUMN(HeadJournal!H$1),0),0)</f>
        <v>131.03679177181147</v>
      </c>
      <c r="P5113" s="30">
        <f>IFERROR(SUM(K5113:O5113)*VLOOKUP($A5113,HeadJournal!$A$1:$L$890,COLUMN(HeadJournal!H$1),0),0)</f>
        <v>567.14065876795678</v>
      </c>
      <c r="Q5113" s="29">
        <v>1270</v>
      </c>
      <c r="R5113" s="31">
        <v>45962</v>
      </c>
      <c r="S5113" s="31" t="s">
        <v>3466</v>
      </c>
      <c r="T5113" s="95" t="str">
        <f t="shared" si="380"/>
        <v>2025 11</v>
      </c>
      <c r="U5113" s="32">
        <f t="shared" si="377"/>
        <v>702.85934123204322</v>
      </c>
      <c r="V5113" s="22">
        <f t="shared" si="378"/>
        <v>1.2393033903774746</v>
      </c>
      <c r="X5113" s="33"/>
      <c r="Y5113" s="33"/>
    </row>
    <row r="5114" spans="1:25" x14ac:dyDescent="0.2">
      <c r="A5114" s="93" t="s">
        <v>4387</v>
      </c>
      <c r="B5114" s="94" t="str">
        <f>IFERROR(VLOOKUP($A5114,HeadJournal!$A$1:$NTR$890,COLUMN(HeadJournal!B$1),0),"")</f>
        <v>720000837761</v>
      </c>
      <c r="C5114" s="94" t="str">
        <f>IFERROR(VLOOKUP($A5114,HeadJournal!$A$1:$NTR$890,COLUMN(HeadJournal!C$1),0),"")</f>
        <v>iHerb_VP DFD1605</v>
      </c>
      <c r="D5114" s="125" t="str">
        <f>IFERROR(VLOOKUP($A5114,HeadJournal!$A$1:$NTR$890,COLUMN(HeadJournal!D$1),0),"")</f>
        <v>Доставлен</v>
      </c>
      <c r="E5114" s="95">
        <f>IFERROR(VLOOKUP($A5114,HeadJournal!$A$1:$NTR$890,COLUMN(HeadJournal!G$1),0),"")</f>
        <v>45930</v>
      </c>
      <c r="F5114" s="95" t="str">
        <f t="shared" si="379"/>
        <v>2025 09</v>
      </c>
      <c r="G5114" s="97" t="s">
        <v>5</v>
      </c>
      <c r="H5114" s="161" t="s">
        <v>2426</v>
      </c>
      <c r="I5114" s="97" t="s">
        <v>2125</v>
      </c>
      <c r="J5114" s="97" t="s">
        <v>4381</v>
      </c>
      <c r="K5114" s="29">
        <v>7422.57</v>
      </c>
      <c r="L5114" s="29">
        <v>-2152.5500000000002</v>
      </c>
      <c r="M5114" s="30">
        <f>IFERROR(VLOOKUP($A5114,HeadJournal!$A$1:$J$890,COLUMN(HeadJournal!I$1),0)*($K5114+$L5114)/(SUMIF($A:$A,$A5114,$K:$K)+SUMIF($A:$A,$A5114,$L:$L)),0)</f>
        <v>-640.88080118532673</v>
      </c>
      <c r="N5114" s="30">
        <f>IFERROR((VLOOKUP($A5114,HeadJournal!$A$1:$K$890,COLUMN(HeadJournal!K$1),0)-VLOOKUP($A5114,HeadJournal!$A$1:$K$890,COLUMN(HeadJournal!J$1),0))*($K5114+$L5114)/(SUMIF($A:$A,$A5114,$K:$K)+SUMIF($A:$A,$A5114,$L:$L)),0)</f>
        <v>0</v>
      </c>
      <c r="O5114" s="30">
        <f>IFERROR((VLOOKUP($A5114,HeadJournal!$A$1:$L$890,COLUMN(HeadJournal!L$1),0)*($K5114+$L5114)/(SUMIF($A:$A,$A5114,$K:$K)+SUMIF($A:$A,$A5114,$L:$L)))/VLOOKUP($A5114,HeadJournal!$A$1:$L$890,COLUMN(HeadJournal!H$1),0),0)</f>
        <v>190.48849548534213</v>
      </c>
      <c r="P5114" s="30">
        <f>IFERROR(SUM(K5114:O5114)*VLOOKUP($A5114,HeadJournal!$A$1:$L$890,COLUMN(HeadJournal!H$1),0),0)</f>
        <v>824.45372293153207</v>
      </c>
      <c r="Q5114" s="29"/>
      <c r="R5114" s="31"/>
      <c r="S5114" s="31"/>
      <c r="T5114" s="95" t="str">
        <f t="shared" si="380"/>
        <v/>
      </c>
      <c r="U5114" s="32">
        <f t="shared" si="377"/>
        <v>-824.45372293153207</v>
      </c>
      <c r="V5114" s="22" t="str">
        <f t="shared" si="378"/>
        <v/>
      </c>
      <c r="X5114" s="33"/>
      <c r="Y5114" s="33"/>
    </row>
    <row r="5115" spans="1:25" x14ac:dyDescent="0.2">
      <c r="A5115" s="93" t="s">
        <v>4387</v>
      </c>
      <c r="B5115" s="94" t="str">
        <f>IFERROR(VLOOKUP($A5115,HeadJournal!$A$1:$NTR$890,COLUMN(HeadJournal!B$1),0),"")</f>
        <v>720000837761</v>
      </c>
      <c r="C5115" s="94" t="str">
        <f>IFERROR(VLOOKUP($A5115,HeadJournal!$A$1:$NTR$890,COLUMN(HeadJournal!C$1),0),"")</f>
        <v>iHerb_VP DFD1605</v>
      </c>
      <c r="D5115" s="125" t="str">
        <f>IFERROR(VLOOKUP($A5115,HeadJournal!$A$1:$NTR$890,COLUMN(HeadJournal!D$1),0),"")</f>
        <v>Доставлен</v>
      </c>
      <c r="E5115" s="95">
        <f>IFERROR(VLOOKUP($A5115,HeadJournal!$A$1:$NTR$890,COLUMN(HeadJournal!G$1),0),"")</f>
        <v>45930</v>
      </c>
      <c r="F5115" s="95" t="str">
        <f t="shared" si="379"/>
        <v>2025 09</v>
      </c>
      <c r="G5115" s="97" t="s">
        <v>5</v>
      </c>
      <c r="H5115" s="161" t="s">
        <v>3652</v>
      </c>
      <c r="I5115" s="97" t="s">
        <v>2005</v>
      </c>
      <c r="J5115" s="97" t="s">
        <v>4382</v>
      </c>
      <c r="K5115" s="29">
        <v>5573.17</v>
      </c>
      <c r="L5115" s="29">
        <v>-1616.22</v>
      </c>
      <c r="M5115" s="30">
        <f>IFERROR(VLOOKUP($A5115,HeadJournal!$A$1:$J$890,COLUMN(HeadJournal!I$1),0)*($K5115+$L5115)/(SUMIF($A:$A,$A5115,$K:$K)+SUMIF($A:$A,$A5115,$L:$L)),0)</f>
        <v>-481.19993591111211</v>
      </c>
      <c r="N5115" s="30">
        <f>IFERROR((VLOOKUP($A5115,HeadJournal!$A$1:$K$890,COLUMN(HeadJournal!K$1),0)-VLOOKUP($A5115,HeadJournal!$A$1:$K$890,COLUMN(HeadJournal!J$1),0))*($K5115+$L5115)/(SUMIF($A:$A,$A5115,$K:$K)+SUMIF($A:$A,$A5115,$L:$L)),0)</f>
        <v>0</v>
      </c>
      <c r="O5115" s="30">
        <f>IFERROR((VLOOKUP($A5115,HeadJournal!$A$1:$L$890,COLUMN(HeadJournal!L$1),0)*($K5115+$L5115)/(SUMIF($A:$A,$A5115,$K:$K)+SUMIF($A:$A,$A5115,$L:$L)))/VLOOKUP($A5115,HeadJournal!$A$1:$L$890,COLUMN(HeadJournal!H$1),0),0)</f>
        <v>143.02667773760339</v>
      </c>
      <c r="P5115" s="30">
        <f>IFERROR(SUM(K5115:O5115)*VLOOKUP($A5115,HeadJournal!$A$1:$L$890,COLUMN(HeadJournal!H$1),0),0)</f>
        <v>619.03411352403316</v>
      </c>
      <c r="Q5115" s="29">
        <v>1500</v>
      </c>
      <c r="R5115" s="31">
        <v>45971</v>
      </c>
      <c r="S5115" s="31" t="s">
        <v>3457</v>
      </c>
      <c r="T5115" s="95" t="str">
        <f t="shared" si="380"/>
        <v>2025 11</v>
      </c>
      <c r="U5115" s="32">
        <f t="shared" si="377"/>
        <v>880.96588647596684</v>
      </c>
      <c r="V5115" s="22">
        <f t="shared" si="378"/>
        <v>1.42312978756665</v>
      </c>
      <c r="X5115" s="33"/>
      <c r="Y5115" s="33"/>
    </row>
    <row r="5116" spans="1:25" x14ac:dyDescent="0.2">
      <c r="A5116" s="93" t="s">
        <v>4387</v>
      </c>
      <c r="B5116" s="94" t="str">
        <f>IFERROR(VLOOKUP($A5116,HeadJournal!$A$1:$NTR$890,COLUMN(HeadJournal!B$1),0),"")</f>
        <v>720000837761</v>
      </c>
      <c r="C5116" s="94" t="str">
        <f>IFERROR(VLOOKUP($A5116,HeadJournal!$A$1:$NTR$890,COLUMN(HeadJournal!C$1),0),"")</f>
        <v>iHerb_VP DFD1605</v>
      </c>
      <c r="D5116" s="125" t="str">
        <f>IFERROR(VLOOKUP($A5116,HeadJournal!$A$1:$NTR$890,COLUMN(HeadJournal!D$1),0),"")</f>
        <v>Доставлен</v>
      </c>
      <c r="E5116" s="95">
        <f>IFERROR(VLOOKUP($A5116,HeadJournal!$A$1:$NTR$890,COLUMN(HeadJournal!G$1),0),"")</f>
        <v>45930</v>
      </c>
      <c r="F5116" s="95" t="str">
        <f t="shared" si="379"/>
        <v>2025 09</v>
      </c>
      <c r="G5116" s="97" t="s">
        <v>5</v>
      </c>
      <c r="H5116" s="161" t="s">
        <v>2773</v>
      </c>
      <c r="I5116" s="97" t="s">
        <v>2005</v>
      </c>
      <c r="J5116" s="97" t="s">
        <v>2774</v>
      </c>
      <c r="K5116" s="29">
        <v>7852.58</v>
      </c>
      <c r="L5116" s="29">
        <v>-2277.25</v>
      </c>
      <c r="M5116" s="30">
        <f>IFERROR(VLOOKUP($A5116,HeadJournal!$A$1:$J$890,COLUMN(HeadJournal!I$1),0)*($K5116+$L5116)/(SUMIF($A:$A,$A5116,$K:$K)+SUMIF($A:$A,$A5116,$L:$L)),0)</f>
        <v>-678.00918350833354</v>
      </c>
      <c r="N5116" s="30">
        <f>IFERROR((VLOOKUP($A5116,HeadJournal!$A$1:$K$890,COLUMN(HeadJournal!K$1),0)-VLOOKUP($A5116,HeadJournal!$A$1:$K$890,COLUMN(HeadJournal!J$1),0))*($K5116+$L5116)/(SUMIF($A:$A,$A5116,$K:$K)+SUMIF($A:$A,$A5116,$L:$L)),0)</f>
        <v>0</v>
      </c>
      <c r="O5116" s="30">
        <f>IFERROR((VLOOKUP($A5116,HeadJournal!$A$1:$L$890,COLUMN(HeadJournal!L$1),0)*($K5116+$L5116)/(SUMIF($A:$A,$A5116,$K:$K)+SUMIF($A:$A,$A5116,$L:$L)))/VLOOKUP($A5116,HeadJournal!$A$1:$L$890,COLUMN(HeadJournal!H$1),0),0)</f>
        <v>201.52413530390638</v>
      </c>
      <c r="P5116" s="30">
        <f>IFERROR(SUM(K5116:O5116)*VLOOKUP($A5116,HeadJournal!$A$1:$L$890,COLUMN(HeadJournal!H$1),0),0)</f>
        <v>872.21710260527652</v>
      </c>
      <c r="Q5116" s="29">
        <v>2000</v>
      </c>
      <c r="R5116" s="31">
        <v>46164</v>
      </c>
      <c r="S5116" s="31" t="s">
        <v>4872</v>
      </c>
      <c r="T5116" s="95" t="str">
        <f t="shared" si="380"/>
        <v>2026 05</v>
      </c>
      <c r="U5116" s="32">
        <f t="shared" si="377"/>
        <v>1127.7828973947235</v>
      </c>
      <c r="V5116" s="22">
        <f t="shared" si="378"/>
        <v>1.293007089663895</v>
      </c>
      <c r="X5116" s="33"/>
      <c r="Y5116" s="33"/>
    </row>
    <row r="5117" spans="1:25" x14ac:dyDescent="0.2">
      <c r="A5117" s="93" t="s">
        <v>4387</v>
      </c>
      <c r="B5117" s="94" t="str">
        <f>IFERROR(VLOOKUP($A5117,HeadJournal!$A$1:$NTR$890,COLUMN(HeadJournal!B$1),0),"")</f>
        <v>720000837761</v>
      </c>
      <c r="C5117" s="94" t="str">
        <f>IFERROR(VLOOKUP($A5117,HeadJournal!$A$1:$NTR$890,COLUMN(HeadJournal!C$1),0),"")</f>
        <v>iHerb_VP DFD1605</v>
      </c>
      <c r="D5117" s="125" t="str">
        <f>IFERROR(VLOOKUP($A5117,HeadJournal!$A$1:$NTR$890,COLUMN(HeadJournal!D$1),0),"")</f>
        <v>Доставлен</v>
      </c>
      <c r="E5117" s="95">
        <f>IFERROR(VLOOKUP($A5117,HeadJournal!$A$1:$NTR$890,COLUMN(HeadJournal!G$1),0),"")</f>
        <v>45930</v>
      </c>
      <c r="F5117" s="95" t="str">
        <f t="shared" si="379"/>
        <v>2025 09</v>
      </c>
      <c r="G5117" s="97" t="s">
        <v>5</v>
      </c>
      <c r="H5117" s="161" t="s">
        <v>2773</v>
      </c>
      <c r="I5117" s="97" t="s">
        <v>2005</v>
      </c>
      <c r="J5117" s="97" t="s">
        <v>2774</v>
      </c>
      <c r="K5117" s="29">
        <v>7852.58</v>
      </c>
      <c r="L5117" s="29">
        <v>-2277.25</v>
      </c>
      <c r="M5117" s="30">
        <f>IFERROR(VLOOKUP($A5117,HeadJournal!$A$1:$J$890,COLUMN(HeadJournal!I$1),0)*($K5117+$L5117)/(SUMIF($A:$A,$A5117,$K:$K)+SUMIF($A:$A,$A5117,$L:$L)),0)</f>
        <v>-678.00918350833354</v>
      </c>
      <c r="N5117" s="30">
        <f>IFERROR((VLOOKUP($A5117,HeadJournal!$A$1:$K$890,COLUMN(HeadJournal!K$1),0)-VLOOKUP($A5117,HeadJournal!$A$1:$K$890,COLUMN(HeadJournal!J$1),0))*($K5117+$L5117)/(SUMIF($A:$A,$A5117,$K:$K)+SUMIF($A:$A,$A5117,$L:$L)),0)</f>
        <v>0</v>
      </c>
      <c r="O5117" s="30">
        <f>IFERROR((VLOOKUP($A5117,HeadJournal!$A$1:$L$890,COLUMN(HeadJournal!L$1),0)*($K5117+$L5117)/(SUMIF($A:$A,$A5117,$K:$K)+SUMIF($A:$A,$A5117,$L:$L)))/VLOOKUP($A5117,HeadJournal!$A$1:$L$890,COLUMN(HeadJournal!H$1),0),0)</f>
        <v>201.52413530390638</v>
      </c>
      <c r="P5117" s="30">
        <f>IFERROR(SUM(K5117:O5117)*VLOOKUP($A5117,HeadJournal!$A$1:$L$890,COLUMN(HeadJournal!H$1),0),0)</f>
        <v>872.21710260527652</v>
      </c>
      <c r="Q5117" s="29">
        <v>1800</v>
      </c>
      <c r="R5117" s="31">
        <v>46164</v>
      </c>
      <c r="S5117" s="31" t="s">
        <v>3466</v>
      </c>
      <c r="T5117" s="95" t="str">
        <f t="shared" si="380"/>
        <v>2026 05</v>
      </c>
      <c r="U5117" s="32">
        <f t="shared" si="377"/>
        <v>927.78289739472348</v>
      </c>
      <c r="V5117" s="22">
        <f t="shared" si="378"/>
        <v>1.0637063806975056</v>
      </c>
      <c r="X5117" s="33"/>
      <c r="Y5117" s="33"/>
    </row>
    <row r="5118" spans="1:25" x14ac:dyDescent="0.2">
      <c r="A5118" s="93" t="s">
        <v>4387</v>
      </c>
      <c r="B5118" s="94" t="str">
        <f>IFERROR(VLOOKUP($A5118,HeadJournal!$A$1:$NTR$890,COLUMN(HeadJournal!B$1),0),"")</f>
        <v>720000837761</v>
      </c>
      <c r="C5118" s="94" t="str">
        <f>IFERROR(VLOOKUP($A5118,HeadJournal!$A$1:$NTR$890,COLUMN(HeadJournal!C$1),0),"")</f>
        <v>iHerb_VP DFD1605</v>
      </c>
      <c r="D5118" s="125" t="str">
        <f>IFERROR(VLOOKUP($A5118,HeadJournal!$A$1:$NTR$890,COLUMN(HeadJournal!D$1),0),"")</f>
        <v>Доставлен</v>
      </c>
      <c r="E5118" s="95">
        <f>IFERROR(VLOOKUP($A5118,HeadJournal!$A$1:$NTR$890,COLUMN(HeadJournal!G$1),0),"")</f>
        <v>45930</v>
      </c>
      <c r="F5118" s="95" t="str">
        <f t="shared" si="379"/>
        <v>2025 09</v>
      </c>
      <c r="G5118" s="97" t="s">
        <v>5</v>
      </c>
      <c r="H5118" s="161" t="s">
        <v>4383</v>
      </c>
      <c r="I5118" s="97" t="s">
        <v>2056</v>
      </c>
      <c r="J5118" s="97" t="s">
        <v>4384</v>
      </c>
      <c r="K5118" s="29">
        <v>18475.57</v>
      </c>
      <c r="L5118" s="29">
        <v>-5357.92</v>
      </c>
      <c r="M5118" s="30">
        <f>IFERROR(VLOOKUP($A5118,HeadJournal!$A$1:$J$890,COLUMN(HeadJournal!I$1),0)*($K5118+$L5118)/(SUMIF($A:$A,$A5118,$K:$K)+SUMIF($A:$A,$A5118,$L:$L)),0)</f>
        <v>-1595.221657919458</v>
      </c>
      <c r="N5118" s="30">
        <f>IFERROR((VLOOKUP($A5118,HeadJournal!$A$1:$K$890,COLUMN(HeadJournal!K$1),0)-VLOOKUP($A5118,HeadJournal!$A$1:$K$890,COLUMN(HeadJournal!J$1),0))*($K5118+$L5118)/(SUMIF($A:$A,$A5118,$K:$K)+SUMIF($A:$A,$A5118,$L:$L)),0)</f>
        <v>0</v>
      </c>
      <c r="O5118" s="30">
        <f>IFERROR((VLOOKUP($A5118,HeadJournal!$A$1:$L$890,COLUMN(HeadJournal!L$1),0)*($K5118+$L5118)/(SUMIF($A:$A,$A5118,$K:$K)+SUMIF($A:$A,$A5118,$L:$L)))/VLOOKUP($A5118,HeadJournal!$A$1:$L$890,COLUMN(HeadJournal!H$1),0),0)</f>
        <v>474.14647625688298</v>
      </c>
      <c r="P5118" s="30">
        <f>IFERROR(SUM(K5118:O5118)*VLOOKUP($A5118,HeadJournal!$A$1:$L$890,COLUMN(HeadJournal!H$1),0),0)</f>
        <v>2052.1545228695172</v>
      </c>
      <c r="Q5118" s="29">
        <v>3600</v>
      </c>
      <c r="R5118" s="31">
        <v>46108</v>
      </c>
      <c r="S5118" s="31" t="s">
        <v>3475</v>
      </c>
      <c r="T5118" s="95" t="str">
        <f t="shared" si="380"/>
        <v>2026 03</v>
      </c>
      <c r="U5118" s="32">
        <f t="shared" si="354"/>
        <v>1547.8454771304828</v>
      </c>
      <c r="V5118" s="22">
        <f t="shared" si="355"/>
        <v>0.75425386338166112</v>
      </c>
      <c r="X5118" s="33"/>
      <c r="Y5118" s="33"/>
    </row>
    <row r="5119" spans="1:25" x14ac:dyDescent="0.2">
      <c r="A5119" s="93" t="s">
        <v>4387</v>
      </c>
      <c r="B5119" s="94" t="str">
        <f>IFERROR(VLOOKUP($A5119,HeadJournal!$A$1:$NTR$890,COLUMN(HeadJournal!B$1),0),"")</f>
        <v>720000837761</v>
      </c>
      <c r="C5119" s="94" t="str">
        <f>IFERROR(VLOOKUP($A5119,HeadJournal!$A$1:$NTR$890,COLUMN(HeadJournal!C$1),0),"")</f>
        <v>iHerb_VP DFD1605</v>
      </c>
      <c r="D5119" s="125" t="str">
        <f>IFERROR(VLOOKUP($A5119,HeadJournal!$A$1:$NTR$890,COLUMN(HeadJournal!D$1),0),"")</f>
        <v>Доставлен</v>
      </c>
      <c r="E5119" s="95">
        <f>IFERROR(VLOOKUP($A5119,HeadJournal!$A$1:$NTR$890,COLUMN(HeadJournal!G$1),0),"")</f>
        <v>45930</v>
      </c>
      <c r="F5119" s="95" t="str">
        <f t="shared" si="379"/>
        <v>2025 09</v>
      </c>
      <c r="G5119" s="97" t="s">
        <v>5</v>
      </c>
      <c r="H5119" s="161" t="s">
        <v>4385</v>
      </c>
      <c r="I5119" s="97" t="s">
        <v>3866</v>
      </c>
      <c r="J5119" s="97" t="s">
        <v>4386</v>
      </c>
      <c r="K5119" s="29">
        <v>21315.599999999999</v>
      </c>
      <c r="L5119" s="29">
        <v>-6181.52</v>
      </c>
      <c r="M5119" s="30">
        <f>IFERROR(VLOOKUP($A5119,HeadJournal!$A$1:$J$890,COLUMN(HeadJournal!I$1),0)*($K5119+$L5119)/(SUMIF($A:$A,$A5119,$K:$K)+SUMIF($A:$A,$A5119,$L:$L)),0)</f>
        <v>-1840.4372878286667</v>
      </c>
      <c r="N5119" s="30">
        <f>IFERROR((VLOOKUP($A5119,HeadJournal!$A$1:$K$890,COLUMN(HeadJournal!K$1),0)-VLOOKUP($A5119,HeadJournal!$A$1:$K$890,COLUMN(HeadJournal!J$1),0))*($K5119+$L5119)/(SUMIF($A:$A,$A5119,$K:$K)+SUMIF($A:$A,$A5119,$L:$L)),0)</f>
        <v>0</v>
      </c>
      <c r="O5119" s="30">
        <f>IFERROR((VLOOKUP($A5119,HeadJournal!$A$1:$L$890,COLUMN(HeadJournal!L$1),0)*($K5119+$L5119)/(SUMIF($A:$A,$A5119,$K:$K)+SUMIF($A:$A,$A5119,$L:$L)))/VLOOKUP($A5119,HeadJournal!$A$1:$L$890,COLUMN(HeadJournal!H$1),0),0)</f>
        <v>547.03172469076151</v>
      </c>
      <c r="P5119" s="30">
        <f>IFERROR(SUM(K5119:O5119)*VLOOKUP($A5119,HeadJournal!$A$1:$L$890,COLUMN(HeadJournal!H$1),0),0)</f>
        <v>2367.6093447735757</v>
      </c>
      <c r="Q5119" s="29">
        <v>4200</v>
      </c>
      <c r="R5119" s="31">
        <v>45970</v>
      </c>
      <c r="S5119" s="31" t="s">
        <v>4622</v>
      </c>
      <c r="T5119" s="95" t="str">
        <f t="shared" si="380"/>
        <v>2025 11</v>
      </c>
      <c r="U5119" s="32">
        <f t="shared" si="354"/>
        <v>1832.3906552264243</v>
      </c>
      <c r="V5119" s="22">
        <f t="shared" si="355"/>
        <v>0.77394130043935239</v>
      </c>
      <c r="X5119" s="33"/>
      <c r="Y5119" s="33"/>
    </row>
    <row r="5120" spans="1:25" x14ac:dyDescent="0.2">
      <c r="A5120" s="93" t="s">
        <v>4395</v>
      </c>
      <c r="B5120" s="94" t="str">
        <f>IFERROR(VLOOKUP($A5120,HeadJournal!$A$1:$NTR$890,COLUMN(HeadJournal!B$1),0),"")</f>
        <v>722500547711</v>
      </c>
      <c r="C5120" s="94" t="str">
        <f>IFERROR(VLOOKUP($A5120,HeadJournal!$A$1:$NTR$890,COLUMN(HeadJournal!C$1),0),"")</f>
        <v>iHerb_VP DFD1605</v>
      </c>
      <c r="D5120" s="125" t="str">
        <f>IFERROR(VLOOKUP($A5120,HeadJournal!$A$1:$NTR$890,COLUMN(HeadJournal!D$1),0),"")</f>
        <v>Доставлен</v>
      </c>
      <c r="E5120" s="95">
        <f>IFERROR(VLOOKUP($A5120,HeadJournal!$A$1:$NTR$890,COLUMN(HeadJournal!G$1),0),"")</f>
        <v>45934</v>
      </c>
      <c r="F5120" s="95" t="str">
        <f t="shared" si="379"/>
        <v>2025 10</v>
      </c>
      <c r="G5120" s="97" t="s">
        <v>5</v>
      </c>
      <c r="H5120" s="161" t="s">
        <v>2912</v>
      </c>
      <c r="I5120" s="97" t="s">
        <v>2006</v>
      </c>
      <c r="J5120" s="97" t="s">
        <v>2913</v>
      </c>
      <c r="K5120" s="29">
        <v>16.760000000000002</v>
      </c>
      <c r="L5120" s="29">
        <v>-3.35</v>
      </c>
      <c r="M5120" s="30">
        <f>IFERROR(VLOOKUP($A5120,HeadJournal!$A$1:$J$890,COLUMN(HeadJournal!I$1),0)*($K5120+$L5120)/(SUMIF($A:$A,$A5120,$K:$K)+SUMIF($A:$A,$A5120,$L:$L)),0)</f>
        <v>-0.63085243328100482</v>
      </c>
      <c r="N5120" s="30">
        <f>IFERROR((VLOOKUP($A5120,HeadJournal!$A$1:$K$890,COLUMN(HeadJournal!K$1),0)-VLOOKUP($A5120,HeadJournal!$A$1:$K$890,COLUMN(HeadJournal!J$1),0))*($K5120+$L5120)/(SUMIF($A:$A,$A5120,$K:$K)+SUMIF($A:$A,$A5120,$L:$L)),0)</f>
        <v>1.9944276476280368E-15</v>
      </c>
      <c r="O5120" s="30">
        <f>IFERROR((VLOOKUP($A5120,HeadJournal!$A$1:$L$890,COLUMN(HeadJournal!L$1),0)*($K5120+$L5120)/(SUMIF($A:$A,$A5120,$K:$K)+SUMIF($A:$A,$A5120,$L:$L)))/VLOOKUP($A5120,HeadJournal!$A$1:$L$890,COLUMN(HeadJournal!H$1),0),0)</f>
        <v>0.30336041447276424</v>
      </c>
      <c r="P5120" s="30">
        <f>IFERROR(SUM(K5120:O5120)*VLOOKUP($A5120,HeadJournal!$A$1:$L$890,COLUMN(HeadJournal!H$1),0),0)</f>
        <v>1222.5920156985874</v>
      </c>
      <c r="Q5120" s="29"/>
      <c r="R5120" s="31"/>
      <c r="S5120" s="31"/>
      <c r="T5120" s="95" t="str">
        <f t="shared" si="380"/>
        <v/>
      </c>
      <c r="U5120" s="32">
        <f t="shared" si="354"/>
        <v>-1222.5920156985874</v>
      </c>
      <c r="V5120" s="22" t="str">
        <f t="shared" si="355"/>
        <v/>
      </c>
      <c r="X5120" s="33"/>
      <c r="Y5120" s="33"/>
    </row>
    <row r="5121" spans="1:25" x14ac:dyDescent="0.2">
      <c r="A5121" s="93" t="s">
        <v>4395</v>
      </c>
      <c r="B5121" s="94" t="str">
        <f>IFERROR(VLOOKUP($A5121,HeadJournal!$A$1:$NTR$890,COLUMN(HeadJournal!B$1),0),"")</f>
        <v>722500547711</v>
      </c>
      <c r="C5121" s="94" t="str">
        <f>IFERROR(VLOOKUP($A5121,HeadJournal!$A$1:$NTR$890,COLUMN(HeadJournal!C$1),0),"")</f>
        <v>iHerb_VP DFD1605</v>
      </c>
      <c r="D5121" s="125" t="str">
        <f>IFERROR(VLOOKUP($A5121,HeadJournal!$A$1:$NTR$890,COLUMN(HeadJournal!D$1),0),"")</f>
        <v>Доставлен</v>
      </c>
      <c r="E5121" s="95">
        <f>IFERROR(VLOOKUP($A5121,HeadJournal!$A$1:$NTR$890,COLUMN(HeadJournal!G$1),0),"")</f>
        <v>45934</v>
      </c>
      <c r="F5121" s="95" t="str">
        <f t="shared" si="379"/>
        <v>2025 10</v>
      </c>
      <c r="G5121" s="97" t="s">
        <v>5</v>
      </c>
      <c r="H5121" s="161" t="s">
        <v>2912</v>
      </c>
      <c r="I5121" s="97" t="s">
        <v>2006</v>
      </c>
      <c r="J5121" s="97" t="s">
        <v>2913</v>
      </c>
      <c r="K5121" s="29">
        <v>16.760000000000002</v>
      </c>
      <c r="L5121" s="29">
        <v>-3.35</v>
      </c>
      <c r="M5121" s="30">
        <f>IFERROR(VLOOKUP($A5121,HeadJournal!$A$1:$J$890,COLUMN(HeadJournal!I$1),0)*($K5121+$L5121)/(SUMIF($A:$A,$A5121,$K:$K)+SUMIF($A:$A,$A5121,$L:$L)),0)</f>
        <v>-0.63085243328100482</v>
      </c>
      <c r="N5121" s="30">
        <f>IFERROR((VLOOKUP($A5121,HeadJournal!$A$1:$K$890,COLUMN(HeadJournal!K$1),0)-VLOOKUP($A5121,HeadJournal!$A$1:$K$890,COLUMN(HeadJournal!J$1),0))*($K5121+$L5121)/(SUMIF($A:$A,$A5121,$K:$K)+SUMIF($A:$A,$A5121,$L:$L)),0)</f>
        <v>1.9944276476280368E-15</v>
      </c>
      <c r="O5121" s="30">
        <f>IFERROR((VLOOKUP($A5121,HeadJournal!$A$1:$L$890,COLUMN(HeadJournal!L$1),0)*($K5121+$L5121)/(SUMIF($A:$A,$A5121,$K:$K)+SUMIF($A:$A,$A5121,$L:$L)))/VLOOKUP($A5121,HeadJournal!$A$1:$L$890,COLUMN(HeadJournal!H$1),0),0)</f>
        <v>0.30336041447276424</v>
      </c>
      <c r="P5121" s="30">
        <f>IFERROR(SUM(K5121:O5121)*VLOOKUP($A5121,HeadJournal!$A$1:$L$890,COLUMN(HeadJournal!H$1),0),0)</f>
        <v>1222.5920156985874</v>
      </c>
      <c r="Q5121" s="29"/>
      <c r="R5121" s="31"/>
      <c r="S5121" s="31"/>
      <c r="T5121" s="95" t="str">
        <f t="shared" si="380"/>
        <v/>
      </c>
      <c r="U5121" s="32">
        <f t="shared" si="354"/>
        <v>-1222.5920156985874</v>
      </c>
      <c r="V5121" s="22" t="str">
        <f t="shared" si="355"/>
        <v/>
      </c>
      <c r="X5121" s="33"/>
      <c r="Y5121" s="33"/>
    </row>
    <row r="5122" spans="1:25" x14ac:dyDescent="0.2">
      <c r="A5122" s="93" t="s">
        <v>4395</v>
      </c>
      <c r="B5122" s="94" t="str">
        <f>IFERROR(VLOOKUP($A5122,HeadJournal!$A$1:$NTR$890,COLUMN(HeadJournal!B$1),0),"")</f>
        <v>722500547711</v>
      </c>
      <c r="C5122" s="94" t="str">
        <f>IFERROR(VLOOKUP($A5122,HeadJournal!$A$1:$NTR$890,COLUMN(HeadJournal!C$1),0),"")</f>
        <v>iHerb_VP DFD1605</v>
      </c>
      <c r="D5122" s="125" t="str">
        <f>IFERROR(VLOOKUP($A5122,HeadJournal!$A$1:$NTR$890,COLUMN(HeadJournal!D$1),0),"")</f>
        <v>Доставлен</v>
      </c>
      <c r="E5122" s="95">
        <f>IFERROR(VLOOKUP($A5122,HeadJournal!$A$1:$NTR$890,COLUMN(HeadJournal!G$1),0),"")</f>
        <v>45934</v>
      </c>
      <c r="F5122" s="95" t="str">
        <f t="shared" si="379"/>
        <v>2025 10</v>
      </c>
      <c r="G5122" s="97" t="s">
        <v>5</v>
      </c>
      <c r="H5122" s="161" t="s">
        <v>4137</v>
      </c>
      <c r="I5122" s="97" t="s">
        <v>2666</v>
      </c>
      <c r="J5122" s="97" t="s">
        <v>4138</v>
      </c>
      <c r="K5122" s="29">
        <v>13.22</v>
      </c>
      <c r="L5122" s="29">
        <v>-2.64</v>
      </c>
      <c r="M5122" s="30">
        <f>IFERROR(VLOOKUP($A5122,HeadJournal!$A$1:$J$890,COLUMN(HeadJournal!I$1),0)*($K5122+$L5122)/(SUMIF($A:$A,$A5122,$K:$K)+SUMIF($A:$A,$A5122,$L:$L)),0)</f>
        <v>-0.49771951857666141</v>
      </c>
      <c r="N5122" s="30">
        <f>IFERROR((VLOOKUP($A5122,HeadJournal!$A$1:$K$890,COLUMN(HeadJournal!K$1),0)-VLOOKUP($A5122,HeadJournal!$A$1:$K$890,COLUMN(HeadJournal!J$1),0))*($K5122+$L5122)/(SUMIF($A:$A,$A5122,$K:$K)+SUMIF($A:$A,$A5122,$L:$L)),0)</f>
        <v>1.5735305378004939E-15</v>
      </c>
      <c r="O5122" s="30">
        <f>IFERROR((VLOOKUP($A5122,HeadJournal!$A$1:$L$890,COLUMN(HeadJournal!L$1),0)*($K5122+$L5122)/(SUMIF($A:$A,$A5122,$K:$K)+SUMIF($A:$A,$A5122,$L:$L)))/VLOOKUP($A5122,HeadJournal!$A$1:$L$890,COLUMN(HeadJournal!H$1),0),0)</f>
        <v>0.23934028226113685</v>
      </c>
      <c r="P5122" s="30">
        <f>IFERROR(SUM(K5122:O5122)*VLOOKUP($A5122,HeadJournal!$A$1:$L$890,COLUMN(HeadJournal!H$1),0),0)</f>
        <v>964.58042700157</v>
      </c>
      <c r="Q5122" s="29">
        <v>2000</v>
      </c>
      <c r="R5122" s="31">
        <v>45979</v>
      </c>
      <c r="S5122" s="31"/>
      <c r="T5122" s="95" t="str">
        <f t="shared" si="380"/>
        <v>2025 11</v>
      </c>
      <c r="U5122" s="32">
        <f t="shared" si="354"/>
        <v>1035.4195729984299</v>
      </c>
      <c r="V5122" s="22">
        <f t="shared" si="355"/>
        <v>1.0734403726364898</v>
      </c>
      <c r="X5122" s="33"/>
      <c r="Y5122" s="33"/>
    </row>
    <row r="5123" spans="1:25" x14ac:dyDescent="0.2">
      <c r="A5123" s="93" t="s">
        <v>4395</v>
      </c>
      <c r="B5123" s="94" t="str">
        <f>IFERROR(VLOOKUP($A5123,HeadJournal!$A$1:$NTR$890,COLUMN(HeadJournal!B$1),0),"")</f>
        <v>722500547711</v>
      </c>
      <c r="C5123" s="94" t="str">
        <f>IFERROR(VLOOKUP($A5123,HeadJournal!$A$1:$NTR$890,COLUMN(HeadJournal!C$1),0),"")</f>
        <v>iHerb_VP DFD1605</v>
      </c>
      <c r="D5123" s="125" t="str">
        <f>IFERROR(VLOOKUP($A5123,HeadJournal!$A$1:$NTR$890,COLUMN(HeadJournal!D$1),0),"")</f>
        <v>Доставлен</v>
      </c>
      <c r="E5123" s="95">
        <f>IFERROR(VLOOKUP($A5123,HeadJournal!$A$1:$NTR$890,COLUMN(HeadJournal!G$1),0),"")</f>
        <v>45934</v>
      </c>
      <c r="F5123" s="95" t="str">
        <f t="shared" si="379"/>
        <v>2025 10</v>
      </c>
      <c r="G5123" s="97" t="s">
        <v>5</v>
      </c>
      <c r="H5123" s="161" t="s">
        <v>4389</v>
      </c>
      <c r="I5123" s="97" t="s">
        <v>2045</v>
      </c>
      <c r="J5123" s="97" t="s">
        <v>4390</v>
      </c>
      <c r="K5123" s="29">
        <v>17.07</v>
      </c>
      <c r="L5123" s="29">
        <v>-3.41</v>
      </c>
      <c r="M5123" s="30">
        <f>IFERROR(VLOOKUP($A5123,HeadJournal!$A$1:$J$890,COLUMN(HeadJournal!I$1),0)*($K5123+$L5123)/(SUMIF($A:$A,$A5123,$K:$K)+SUMIF($A:$A,$A5123,$L:$L)),0)</f>
        <v>-0.64261329147043444</v>
      </c>
      <c r="N5123" s="30">
        <f>IFERROR((VLOOKUP($A5123,HeadJournal!$A$1:$K$890,COLUMN(HeadJournal!K$1),0)-VLOOKUP($A5123,HeadJournal!$A$1:$K$890,COLUMN(HeadJournal!J$1),0))*($K5123+$L5123)/(SUMIF($A:$A,$A5123,$K:$K)+SUMIF($A:$A,$A5123,$L:$L)),0)</f>
        <v>2.0316093711110349E-15</v>
      </c>
      <c r="O5123" s="30">
        <f>IFERROR((VLOOKUP($A5123,HeadJournal!$A$1:$L$890,COLUMN(HeadJournal!L$1),0)*($K5123+$L5123)/(SUMIF($A:$A,$A5123,$K:$K)+SUMIF($A:$A,$A5123,$L:$L)))/VLOOKUP($A5123,HeadJournal!$A$1:$L$890,COLUMN(HeadJournal!H$1),0),0)</f>
        <v>0.30901590318403876</v>
      </c>
      <c r="P5123" s="30">
        <f>IFERROR(SUM(K5123:O5123)*VLOOKUP($A5123,HeadJournal!$A$1:$L$890,COLUMN(HeadJournal!H$1),0),0)</f>
        <v>1245.3845588697018</v>
      </c>
      <c r="Q5123" s="29">
        <v>2100</v>
      </c>
      <c r="R5123" s="31">
        <v>45967</v>
      </c>
      <c r="S5123" s="31" t="s">
        <v>4533</v>
      </c>
      <c r="T5123" s="95" t="str">
        <f t="shared" si="380"/>
        <v>2025 11</v>
      </c>
      <c r="U5123" s="32">
        <f t="shared" si="354"/>
        <v>854.61544113029822</v>
      </c>
      <c r="V5123" s="22">
        <f t="shared" si="355"/>
        <v>0.68622614199258936</v>
      </c>
      <c r="X5123" s="33"/>
      <c r="Y5123" s="33"/>
    </row>
    <row r="5124" spans="1:25" x14ac:dyDescent="0.2">
      <c r="A5124" s="93" t="s">
        <v>4395</v>
      </c>
      <c r="B5124" s="94" t="str">
        <f>IFERROR(VLOOKUP($A5124,HeadJournal!$A$1:$NTR$890,COLUMN(HeadJournal!B$1),0),"")</f>
        <v>722500547711</v>
      </c>
      <c r="C5124" s="94" t="str">
        <f>IFERROR(VLOOKUP($A5124,HeadJournal!$A$1:$NTR$890,COLUMN(HeadJournal!C$1),0),"")</f>
        <v>iHerb_VP DFD1605</v>
      </c>
      <c r="D5124" s="125" t="str">
        <f>IFERROR(VLOOKUP($A5124,HeadJournal!$A$1:$NTR$890,COLUMN(HeadJournal!D$1),0),"")</f>
        <v>Доставлен</v>
      </c>
      <c r="E5124" s="95">
        <f>IFERROR(VLOOKUP($A5124,HeadJournal!$A$1:$NTR$890,COLUMN(HeadJournal!G$1),0),"")</f>
        <v>45934</v>
      </c>
      <c r="F5124" s="95" t="str">
        <f t="shared" ref="F5124:F5187" si="381">IFERROR(TEXT(E5124, "ГГГГ ММ"),"")</f>
        <v>2025 10</v>
      </c>
      <c r="G5124" s="97" t="s">
        <v>5</v>
      </c>
      <c r="H5124" s="161" t="s">
        <v>3824</v>
      </c>
      <c r="I5124" s="97" t="s">
        <v>3825</v>
      </c>
      <c r="J5124" s="97" t="s">
        <v>3826</v>
      </c>
      <c r="K5124" s="29">
        <v>9.4</v>
      </c>
      <c r="L5124" s="29">
        <v>-1.88</v>
      </c>
      <c r="M5124" s="30">
        <f>IFERROR(VLOOKUP($A5124,HeadJournal!$A$1:$J$890,COLUMN(HeadJournal!I$1),0)*($K5124+$L5124)/(SUMIF($A:$A,$A5124,$K:$K)+SUMIF($A:$A,$A5124,$L:$L)),0)</f>
        <v>-0.35376661433804296</v>
      </c>
      <c r="N5124" s="30">
        <f>IFERROR((VLOOKUP($A5124,HeadJournal!$A$1:$K$890,COLUMN(HeadJournal!K$1),0)-VLOOKUP($A5124,HeadJournal!$A$1:$K$890,COLUMN(HeadJournal!J$1),0))*($K5124+$L5124)/(SUMIF($A:$A,$A5124,$K:$K)+SUMIF($A:$A,$A5124,$L:$L)),0)</f>
        <v>1.1184262423685931E-15</v>
      </c>
      <c r="O5124" s="30">
        <f>IFERROR((VLOOKUP($A5124,HeadJournal!$A$1:$L$890,COLUMN(HeadJournal!L$1),0)*($K5124+$L5124)/(SUMIF($A:$A,$A5124,$K:$K)+SUMIF($A:$A,$A5124,$L:$L)))/VLOOKUP($A5124,HeadJournal!$A$1:$L$890,COLUMN(HeadJournal!H$1),0),0)</f>
        <v>0.17011710043513703</v>
      </c>
      <c r="P5124" s="30">
        <f>IFERROR(SUM(K5124:O5124)*VLOOKUP($A5124,HeadJournal!$A$1:$L$890,COLUMN(HeadJournal!H$1),0),0)</f>
        <v>685.59969858712714</v>
      </c>
      <c r="Q5124" s="29">
        <v>1400</v>
      </c>
      <c r="R5124" s="31">
        <v>45967</v>
      </c>
      <c r="S5124" s="31" t="s">
        <v>4533</v>
      </c>
      <c r="T5124" s="95" t="str">
        <f t="shared" ref="T5124:T5187" si="382">IF(R5124="","",TEXT(R5124,"ГГГГ ММ"))</f>
        <v>2025 11</v>
      </c>
      <c r="U5124" s="32">
        <f t="shared" si="354"/>
        <v>714.40030141287286</v>
      </c>
      <c r="V5124" s="22">
        <f t="shared" si="355"/>
        <v>1.0420078989023733</v>
      </c>
      <c r="X5124" s="33"/>
      <c r="Y5124" s="33"/>
    </row>
    <row r="5125" spans="1:25" x14ac:dyDescent="0.2">
      <c r="A5125" s="93" t="s">
        <v>4395</v>
      </c>
      <c r="B5125" s="94" t="str">
        <f>IFERROR(VLOOKUP($A5125,HeadJournal!$A$1:$NTR$890,COLUMN(HeadJournal!B$1),0),"")</f>
        <v>722500547711</v>
      </c>
      <c r="C5125" s="94" t="str">
        <f>IFERROR(VLOOKUP($A5125,HeadJournal!$A$1:$NTR$890,COLUMN(HeadJournal!C$1),0),"")</f>
        <v>iHerb_VP DFD1605</v>
      </c>
      <c r="D5125" s="125" t="str">
        <f>IFERROR(VLOOKUP($A5125,HeadJournal!$A$1:$NTR$890,COLUMN(HeadJournal!D$1),0),"")</f>
        <v>Доставлен</v>
      </c>
      <c r="E5125" s="95">
        <f>IFERROR(VLOOKUP($A5125,HeadJournal!$A$1:$NTR$890,COLUMN(HeadJournal!G$1),0),"")</f>
        <v>45934</v>
      </c>
      <c r="F5125" s="95" t="str">
        <f t="shared" si="381"/>
        <v>2025 10</v>
      </c>
      <c r="G5125" s="97" t="s">
        <v>5</v>
      </c>
      <c r="H5125" s="161" t="s">
        <v>3539</v>
      </c>
      <c r="I5125" s="97" t="s">
        <v>3524</v>
      </c>
      <c r="J5125" s="97" t="s">
        <v>4095</v>
      </c>
      <c r="K5125" s="29">
        <v>21.76</v>
      </c>
      <c r="L5125" s="29">
        <v>-4.3499999999999996</v>
      </c>
      <c r="M5125" s="30">
        <f>IFERROR(VLOOKUP($A5125,HeadJournal!$A$1:$J$890,COLUMN(HeadJournal!I$1),0)*($K5125+$L5125)/(SUMIF($A:$A,$A5125,$K:$K)+SUMIF($A:$A,$A5125,$L:$L)),0)</f>
        <v>-0.8190261643118788</v>
      </c>
      <c r="N5125" s="30">
        <f>IFERROR((VLOOKUP($A5125,HeadJournal!$A$1:$K$890,COLUMN(HeadJournal!K$1),0)-VLOOKUP($A5125,HeadJournal!$A$1:$K$890,COLUMN(HeadJournal!J$1),0))*($K5125+$L5125)/(SUMIF($A:$A,$A5125,$K:$K)+SUMIF($A:$A,$A5125,$L:$L)),0)</f>
        <v>2.589335223356012E-15</v>
      </c>
      <c r="O5125" s="30">
        <f>IFERROR((VLOOKUP($A5125,HeadJournal!$A$1:$L$890,COLUMN(HeadJournal!L$1),0)*($K5125+$L5125)/(SUMIF($A:$A,$A5125,$K:$K)+SUMIF($A:$A,$A5125,$L:$L)))/VLOOKUP($A5125,HeadJournal!$A$1:$L$890,COLUMN(HeadJournal!H$1),0),0)</f>
        <v>0.39384823385315632</v>
      </c>
      <c r="P5125" s="30">
        <f>IFERROR(SUM(K5125:O5125)*VLOOKUP($A5125,HeadJournal!$A$1:$L$890,COLUMN(HeadJournal!H$1),0),0)</f>
        <v>1587.272706436421</v>
      </c>
      <c r="Q5125" s="29">
        <v>2900</v>
      </c>
      <c r="R5125" s="31">
        <v>45962</v>
      </c>
      <c r="S5125" s="31" t="s">
        <v>3231</v>
      </c>
      <c r="T5125" s="95" t="str">
        <f t="shared" si="382"/>
        <v>2025 11</v>
      </c>
      <c r="U5125" s="32">
        <f t="shared" si="354"/>
        <v>1312.727293563579</v>
      </c>
      <c r="V5125" s="22">
        <f t="shared" si="355"/>
        <v>0.82703324276946544</v>
      </c>
      <c r="X5125" s="33"/>
      <c r="Y5125" s="33"/>
    </row>
    <row r="5126" spans="1:25" x14ac:dyDescent="0.2">
      <c r="A5126" s="93" t="s">
        <v>4395</v>
      </c>
      <c r="B5126" s="94" t="str">
        <f>IFERROR(VLOOKUP($A5126,HeadJournal!$A$1:$NTR$890,COLUMN(HeadJournal!B$1),0),"")</f>
        <v>722500547711</v>
      </c>
      <c r="C5126" s="94" t="str">
        <f>IFERROR(VLOOKUP($A5126,HeadJournal!$A$1:$NTR$890,COLUMN(HeadJournal!C$1),0),"")</f>
        <v>iHerb_VP DFD1605</v>
      </c>
      <c r="D5126" s="125" t="str">
        <f>IFERROR(VLOOKUP($A5126,HeadJournal!$A$1:$NTR$890,COLUMN(HeadJournal!D$1),0),"")</f>
        <v>Доставлен</v>
      </c>
      <c r="E5126" s="95">
        <f>IFERROR(VLOOKUP($A5126,HeadJournal!$A$1:$NTR$890,COLUMN(HeadJournal!G$1),0),"")</f>
        <v>45934</v>
      </c>
      <c r="F5126" s="95" t="str">
        <f t="shared" si="381"/>
        <v>2025 10</v>
      </c>
      <c r="G5126" s="97" t="s">
        <v>5</v>
      </c>
      <c r="H5126" s="161" t="s">
        <v>4391</v>
      </c>
      <c r="I5126" s="97" t="s">
        <v>2005</v>
      </c>
      <c r="J5126" s="97" t="s">
        <v>4392</v>
      </c>
      <c r="K5126" s="29">
        <v>31.89</v>
      </c>
      <c r="L5126" s="29">
        <v>-6.38</v>
      </c>
      <c r="M5126" s="30">
        <f>IFERROR(VLOOKUP($A5126,HeadJournal!$A$1:$J$890,COLUMN(HeadJournal!I$1),0)*($K5126+$L5126)/(SUMIF($A:$A,$A5126,$K:$K)+SUMIF($A:$A,$A5126,$L:$L)),0)</f>
        <v>-1.2000779696493984</v>
      </c>
      <c r="N5126" s="30">
        <f>IFERROR((VLOOKUP($A5126,HeadJournal!$A$1:$K$890,COLUMN(HeadJournal!K$1),0)-VLOOKUP($A5126,HeadJournal!$A$1:$K$890,COLUMN(HeadJournal!J$1),0))*($K5126+$L5126)/(SUMIF($A:$A,$A5126,$K:$K)+SUMIF($A:$A,$A5126,$L:$L)),0)</f>
        <v>3.7940230642051614E-15</v>
      </c>
      <c r="O5126" s="30">
        <f>IFERROR((VLOOKUP($A5126,HeadJournal!$A$1:$L$890,COLUMN(HeadJournal!L$1),0)*($K5126+$L5126)/(SUMIF($A:$A,$A5126,$K:$K)+SUMIF($A:$A,$A5126,$L:$L)))/VLOOKUP($A5126,HeadJournal!$A$1:$L$890,COLUMN(HeadJournal!H$1),0),0)</f>
        <v>0.57708606809845009</v>
      </c>
      <c r="P5126" s="30">
        <f>IFERROR(SUM(K5126:O5126)*VLOOKUP($A5126,HeadJournal!$A$1:$L$890,COLUMN(HeadJournal!H$1),0),0)</f>
        <v>2325.7511051805336</v>
      </c>
      <c r="Q5126" s="29">
        <v>3500</v>
      </c>
      <c r="R5126" s="31">
        <v>45962</v>
      </c>
      <c r="S5126" s="31" t="s">
        <v>3181</v>
      </c>
      <c r="T5126" s="95" t="str">
        <f t="shared" si="382"/>
        <v>2025 11</v>
      </c>
      <c r="U5126" s="32">
        <f t="shared" si="354"/>
        <v>1174.2488948194664</v>
      </c>
      <c r="V5126" s="22">
        <f t="shared" si="355"/>
        <v>0.50489018029653554</v>
      </c>
      <c r="X5126" s="33"/>
      <c r="Y5126" s="33"/>
    </row>
    <row r="5127" spans="1:25" x14ac:dyDescent="0.2">
      <c r="A5127" s="93" t="s">
        <v>4395</v>
      </c>
      <c r="B5127" s="94" t="str">
        <f>IFERROR(VLOOKUP($A5127,HeadJournal!$A$1:$NTR$890,COLUMN(HeadJournal!B$1),0),"")</f>
        <v>722500547711</v>
      </c>
      <c r="C5127" s="94" t="str">
        <f>IFERROR(VLOOKUP($A5127,HeadJournal!$A$1:$NTR$890,COLUMN(HeadJournal!C$1),0),"")</f>
        <v>iHerb_VP DFD1605</v>
      </c>
      <c r="D5127" s="125" t="str">
        <f>IFERROR(VLOOKUP($A5127,HeadJournal!$A$1:$NTR$890,COLUMN(HeadJournal!D$1),0),"")</f>
        <v>Доставлен</v>
      </c>
      <c r="E5127" s="95">
        <f>IFERROR(VLOOKUP($A5127,HeadJournal!$A$1:$NTR$890,COLUMN(HeadJournal!G$1),0),"")</f>
        <v>45934</v>
      </c>
      <c r="F5127" s="95" t="str">
        <f t="shared" si="381"/>
        <v>2025 10</v>
      </c>
      <c r="G5127" s="97" t="s">
        <v>5</v>
      </c>
      <c r="H5127" s="161" t="s">
        <v>4393</v>
      </c>
      <c r="I5127" s="97" t="s">
        <v>2753</v>
      </c>
      <c r="J5127" s="97" t="s">
        <v>4394</v>
      </c>
      <c r="K5127" s="29">
        <v>29.03</v>
      </c>
      <c r="L5127" s="29">
        <v>-5.81</v>
      </c>
      <c r="M5127" s="30">
        <f>IFERROR(VLOOKUP($A5127,HeadJournal!$A$1:$J$890,COLUMN(HeadJournal!I$1),0)*($K5127+$L5127)/(SUMIF($A:$A,$A5127,$K:$K)+SUMIF($A:$A,$A5127,$L:$L)),0)</f>
        <v>-1.0923485086342231</v>
      </c>
      <c r="N5127" s="30">
        <f>IFERROR((VLOOKUP($A5127,HeadJournal!$A$1:$K$890,COLUMN(HeadJournal!K$1),0)-VLOOKUP($A5127,HeadJournal!$A$1:$K$890,COLUMN(HeadJournal!J$1),0))*($K5127+$L5127)/(SUMIF($A:$A,$A5127,$K:$K)+SUMIF($A:$A,$A5127,$L:$L)),0)</f>
        <v>3.4534384771008954E-15</v>
      </c>
      <c r="O5127" s="30">
        <f>IFERROR((VLOOKUP($A5127,HeadJournal!$A$1:$L$890,COLUMN(HeadJournal!L$1),0)*($K5127+$L5127)/(SUMIF($A:$A,$A5127,$K:$K)+SUMIF($A:$A,$A5127,$L:$L)))/VLOOKUP($A5127,HeadJournal!$A$1:$L$890,COLUMN(HeadJournal!H$1),0),0)</f>
        <v>0.52528179150317567</v>
      </c>
      <c r="P5127" s="30">
        <f>IFERROR(SUM(K5127:O5127)*VLOOKUP($A5127,HeadJournal!$A$1:$L$890,COLUMN(HeadJournal!H$1),0),0)</f>
        <v>2116.9714097331243</v>
      </c>
      <c r="Q5127" s="29">
        <v>3700</v>
      </c>
      <c r="R5127" s="31">
        <v>45962</v>
      </c>
      <c r="S5127" s="31" t="s">
        <v>3181</v>
      </c>
      <c r="T5127" s="95" t="str">
        <f t="shared" si="382"/>
        <v>2025 11</v>
      </c>
      <c r="U5127" s="32">
        <f t="shared" si="354"/>
        <v>1583.0285902668757</v>
      </c>
      <c r="V5127" s="22">
        <f t="shared" si="355"/>
        <v>0.74777986277407493</v>
      </c>
      <c r="X5127" s="33"/>
      <c r="Y5127" s="33"/>
    </row>
    <row r="5128" spans="1:25" x14ac:dyDescent="0.2">
      <c r="A5128" s="93" t="s">
        <v>4395</v>
      </c>
      <c r="B5128" s="94" t="str">
        <f>IFERROR(VLOOKUP($A5128,HeadJournal!$A$1:$NTR$890,COLUMN(HeadJournal!B$1),0),"")</f>
        <v>722500547711</v>
      </c>
      <c r="C5128" s="94" t="str">
        <f>IFERROR(VLOOKUP($A5128,HeadJournal!$A$1:$NTR$890,COLUMN(HeadJournal!C$1),0),"")</f>
        <v>iHerb_VP DFD1605</v>
      </c>
      <c r="D5128" s="125" t="str">
        <f>IFERROR(VLOOKUP($A5128,HeadJournal!$A$1:$NTR$890,COLUMN(HeadJournal!D$1),0),"")</f>
        <v>Доставлен</v>
      </c>
      <c r="E5128" s="95">
        <f>IFERROR(VLOOKUP($A5128,HeadJournal!$A$1:$NTR$890,COLUMN(HeadJournal!G$1),0),"")</f>
        <v>45934</v>
      </c>
      <c r="F5128" s="95" t="str">
        <f t="shared" si="381"/>
        <v>2025 10</v>
      </c>
      <c r="G5128" s="97" t="s">
        <v>7</v>
      </c>
      <c r="H5128" s="161" t="s">
        <v>4354</v>
      </c>
      <c r="I5128" s="97" t="s">
        <v>4355</v>
      </c>
      <c r="J5128" s="97" t="s">
        <v>4356</v>
      </c>
      <c r="K5128" s="29">
        <v>4.8899999999999997</v>
      </c>
      <c r="L5128" s="29">
        <v>-2.89</v>
      </c>
      <c r="M5128" s="30">
        <f>IFERROR(VLOOKUP($A5128,HeadJournal!$A$1:$J$890,COLUMN(HeadJournal!I$1),0)*($K5128+$L5128)/(SUMIF($A:$A,$A5128,$K:$K)+SUMIF($A:$A,$A5128,$L:$L)),0)</f>
        <v>-9.4086865515436935E-2</v>
      </c>
      <c r="N5128" s="30">
        <f>IFERROR((VLOOKUP($A5128,HeadJournal!$A$1:$K$890,COLUMN(HeadJournal!K$1),0)-VLOOKUP($A5128,HeadJournal!$A$1:$K$890,COLUMN(HeadJournal!J$1),0))*($K5128+$L5128)/(SUMIF($A:$A,$A5128,$K:$K)+SUMIF($A:$A,$A5128,$L:$L)),0)</f>
        <v>2.9745378786398746E-16</v>
      </c>
      <c r="O5128" s="30">
        <f>IFERROR((VLOOKUP($A5128,HeadJournal!$A$1:$L$890,COLUMN(HeadJournal!L$1),0)*($K5128+$L5128)/(SUMIF($A:$A,$A5128,$K:$K)+SUMIF($A:$A,$A5128,$L:$L)))/VLOOKUP($A5128,HeadJournal!$A$1:$L$890,COLUMN(HeadJournal!H$1),0),0)</f>
        <v>4.5243909690195996E-2</v>
      </c>
      <c r="P5128" s="30">
        <f>IFERROR(SUM(K5128:O5128)*VLOOKUP($A5128,HeadJournal!$A$1:$L$890,COLUMN(HeadJournal!H$1),0),0)</f>
        <v>182.34034536891673</v>
      </c>
      <c r="Q5128" s="29"/>
      <c r="R5128" s="31"/>
      <c r="S5128" s="31"/>
      <c r="T5128" s="95" t="str">
        <f t="shared" si="382"/>
        <v/>
      </c>
      <c r="U5128" s="32">
        <f t="shared" si="354"/>
        <v>-182.34034536891673</v>
      </c>
      <c r="V5128" s="22" t="str">
        <f t="shared" si="355"/>
        <v/>
      </c>
      <c r="X5128" s="33"/>
      <c r="Y5128" s="33"/>
    </row>
    <row r="5129" spans="1:25" x14ac:dyDescent="0.2">
      <c r="A5129" s="93" t="s">
        <v>4395</v>
      </c>
      <c r="B5129" s="94" t="str">
        <f>IFERROR(VLOOKUP($A5129,HeadJournal!$A$1:$NTR$890,COLUMN(HeadJournal!B$1),0),"")</f>
        <v>722500547711</v>
      </c>
      <c r="C5129" s="94" t="str">
        <f>IFERROR(VLOOKUP($A5129,HeadJournal!$A$1:$NTR$890,COLUMN(HeadJournal!C$1),0),"")</f>
        <v>iHerb_VP DFD1605</v>
      </c>
      <c r="D5129" s="125" t="str">
        <f>IFERROR(VLOOKUP($A5129,HeadJournal!$A$1:$NTR$890,COLUMN(HeadJournal!D$1),0),"")</f>
        <v>Доставлен</v>
      </c>
      <c r="E5129" s="95">
        <f>IFERROR(VLOOKUP($A5129,HeadJournal!$A$1:$NTR$890,COLUMN(HeadJournal!G$1),0),"")</f>
        <v>45934</v>
      </c>
      <c r="F5129" s="95" t="str">
        <f t="shared" si="381"/>
        <v>2025 10</v>
      </c>
      <c r="G5129" s="97" t="s">
        <v>5</v>
      </c>
      <c r="H5129" s="161" t="s">
        <v>2800</v>
      </c>
      <c r="I5129" s="97" t="s">
        <v>2207</v>
      </c>
      <c r="J5129" s="97" t="s">
        <v>2801</v>
      </c>
      <c r="K5129" s="29">
        <v>24.74</v>
      </c>
      <c r="L5129" s="29">
        <v>-4.95</v>
      </c>
      <c r="M5129" s="30">
        <f>IFERROR(VLOOKUP($A5129,HeadJournal!$A$1:$J$890,COLUMN(HeadJournal!I$1),0)*($K5129+$L5129)/(SUMIF($A:$A,$A5129,$K:$K)+SUMIF($A:$A,$A5129,$L:$L)),0)</f>
        <v>-0.93098953427524866</v>
      </c>
      <c r="N5129" s="30">
        <f>IFERROR((VLOOKUP($A5129,HeadJournal!$A$1:$K$890,COLUMN(HeadJournal!K$1),0)-VLOOKUP($A5129,HeadJournal!$A$1:$K$890,COLUMN(HeadJournal!J$1),0))*($K5129+$L5129)/(SUMIF($A:$A,$A5129,$K:$K)+SUMIF($A:$A,$A5129,$L:$L)),0)</f>
        <v>2.9433052309141566E-15</v>
      </c>
      <c r="O5129" s="30">
        <f>IFERROR((VLOOKUP($A5129,HeadJournal!$A$1:$L$890,COLUMN(HeadJournal!L$1),0)*($K5129+$L5129)/(SUMIF($A:$A,$A5129,$K:$K)+SUMIF($A:$A,$A5129,$L:$L)))/VLOOKUP($A5129,HeadJournal!$A$1:$L$890,COLUMN(HeadJournal!H$1),0),0)</f>
        <v>0.44768848638448955</v>
      </c>
      <c r="P5129" s="30">
        <f>IFERROR(SUM(K5129:O5129)*VLOOKUP($A5129,HeadJournal!$A$1:$L$890,COLUMN(HeadJournal!H$1),0),0)</f>
        <v>1804.2577174254318</v>
      </c>
      <c r="Q5129" s="29">
        <v>3100</v>
      </c>
      <c r="R5129" s="31">
        <v>46010</v>
      </c>
      <c r="S5129" s="31"/>
      <c r="T5129" s="95" t="str">
        <f t="shared" si="382"/>
        <v>2025 12</v>
      </c>
      <c r="U5129" s="32">
        <f t="shared" si="354"/>
        <v>1295.7422825745682</v>
      </c>
      <c r="V5129" s="22">
        <f t="shared" si="355"/>
        <v>0.71815809352530591</v>
      </c>
      <c r="X5129" s="33"/>
      <c r="Y5129" s="33"/>
    </row>
    <row r="5130" spans="1:25" x14ac:dyDescent="0.2">
      <c r="A5130" s="93" t="s">
        <v>4395</v>
      </c>
      <c r="B5130" s="94" t="str">
        <f>IFERROR(VLOOKUP($A5130,HeadJournal!$A$1:$NTR$890,COLUMN(HeadJournal!B$1),0),"")</f>
        <v>722500547711</v>
      </c>
      <c r="C5130" s="94" t="str">
        <f>IFERROR(VLOOKUP($A5130,HeadJournal!$A$1:$NTR$890,COLUMN(HeadJournal!C$1),0),"")</f>
        <v>iHerb_VP DFD1605</v>
      </c>
      <c r="D5130" s="125" t="str">
        <f>IFERROR(VLOOKUP($A5130,HeadJournal!$A$1:$NTR$890,COLUMN(HeadJournal!D$1),0),"")</f>
        <v>Доставлен</v>
      </c>
      <c r="E5130" s="95">
        <f>IFERROR(VLOOKUP($A5130,HeadJournal!$A$1:$NTR$890,COLUMN(HeadJournal!G$1),0),"")</f>
        <v>45934</v>
      </c>
      <c r="F5130" s="95" t="str">
        <f t="shared" si="381"/>
        <v>2025 10</v>
      </c>
      <c r="G5130" s="97" t="s">
        <v>5</v>
      </c>
      <c r="H5130" s="161" t="s">
        <v>2624</v>
      </c>
      <c r="I5130" s="97" t="s">
        <v>2005</v>
      </c>
      <c r="J5130" s="97" t="s">
        <v>2625</v>
      </c>
      <c r="K5130" s="29">
        <v>23.95</v>
      </c>
      <c r="L5130" s="29">
        <v>-4.79</v>
      </c>
      <c r="M5130" s="30">
        <f>IFERROR(VLOOKUP($A5130,HeadJournal!$A$1:$J$890,COLUMN(HeadJournal!I$1),0)*($K5130+$L5130)/(SUMIF($A:$A,$A5130,$K:$K)+SUMIF($A:$A,$A5130,$L:$L)),0)</f>
        <v>-0.90135217163788595</v>
      </c>
      <c r="N5130" s="30">
        <f>IFERROR((VLOOKUP($A5130,HeadJournal!$A$1:$K$890,COLUMN(HeadJournal!K$1),0)-VLOOKUP($A5130,HeadJournal!$A$1:$K$890,COLUMN(HeadJournal!J$1),0))*($K5130+$L5130)/(SUMIF($A:$A,$A5130,$K:$K)+SUMIF($A:$A,$A5130,$L:$L)),0)</f>
        <v>2.8496072877370005E-15</v>
      </c>
      <c r="O5130" s="30">
        <f>IFERROR((VLOOKUP($A5130,HeadJournal!$A$1:$L$890,COLUMN(HeadJournal!L$1),0)*($K5130+$L5130)/(SUMIF($A:$A,$A5130,$K:$K)+SUMIF($A:$A,$A5130,$L:$L)))/VLOOKUP($A5130,HeadJournal!$A$1:$L$890,COLUMN(HeadJournal!H$1),0),0)</f>
        <v>0.43343665483207777</v>
      </c>
      <c r="P5130" s="30">
        <f>IFERROR(SUM(K5130:O5130)*VLOOKUP($A5130,HeadJournal!$A$1:$L$890,COLUMN(HeadJournal!H$1),0),0)</f>
        <v>1746.8205086342232</v>
      </c>
      <c r="Q5130" s="29">
        <v>2900</v>
      </c>
      <c r="R5130" s="31">
        <v>45993</v>
      </c>
      <c r="S5130" s="31" t="s">
        <v>3384</v>
      </c>
      <c r="T5130" s="95" t="str">
        <f t="shared" si="382"/>
        <v>2025 12</v>
      </c>
      <c r="U5130" s="32">
        <f t="shared" si="354"/>
        <v>1153.1794913657768</v>
      </c>
      <c r="V5130" s="22">
        <f t="shared" si="355"/>
        <v>0.66015912090899764</v>
      </c>
      <c r="X5130" s="33"/>
      <c r="Y5130" s="33"/>
    </row>
    <row r="5131" spans="1:25" x14ac:dyDescent="0.2">
      <c r="A5131" s="93" t="s">
        <v>4395</v>
      </c>
      <c r="B5131" s="94" t="str">
        <f>IFERROR(VLOOKUP($A5131,HeadJournal!$A$1:$NTR$890,COLUMN(HeadJournal!B$1),0),"")</f>
        <v>722500547711</v>
      </c>
      <c r="C5131" s="94" t="str">
        <f>IFERROR(VLOOKUP($A5131,HeadJournal!$A$1:$NTR$890,COLUMN(HeadJournal!C$1),0),"")</f>
        <v>iHerb_VP DFD1605</v>
      </c>
      <c r="D5131" s="125" t="str">
        <f>IFERROR(VLOOKUP($A5131,HeadJournal!$A$1:$NTR$890,COLUMN(HeadJournal!D$1),0),"")</f>
        <v>Доставлен</v>
      </c>
      <c r="E5131" s="95">
        <f>IFERROR(VLOOKUP($A5131,HeadJournal!$A$1:$NTR$890,COLUMN(HeadJournal!G$1),0),"")</f>
        <v>45934</v>
      </c>
      <c r="F5131" s="95" t="str">
        <f t="shared" si="381"/>
        <v>2025 10</v>
      </c>
      <c r="G5131" s="97" t="s">
        <v>5</v>
      </c>
      <c r="H5131" s="161" t="s">
        <v>3753</v>
      </c>
      <c r="I5131" s="97" t="s">
        <v>2005</v>
      </c>
      <c r="J5131" s="97" t="s">
        <v>3754</v>
      </c>
      <c r="K5131" s="29">
        <v>31.79</v>
      </c>
      <c r="L5131" s="29">
        <v>-6.36</v>
      </c>
      <c r="M5131" s="30">
        <f>IFERROR(VLOOKUP($A5131,HeadJournal!$A$1:$J$890,COLUMN(HeadJournal!I$1),0)*($K5131+$L5131)/(SUMIF($A:$A,$A5131,$K:$K)+SUMIF($A:$A,$A5131,$L:$L)),0)</f>
        <v>-1.1963144950287807</v>
      </c>
      <c r="N5131" s="30">
        <f>IFERROR((VLOOKUP($A5131,HeadJournal!$A$1:$K$890,COLUMN(HeadJournal!K$1),0)-VLOOKUP($A5131,HeadJournal!$A$1:$K$890,COLUMN(HeadJournal!J$1),0))*($K5131+$L5131)/(SUMIF($A:$A,$A5131,$K:$K)+SUMIF($A:$A,$A5131,$L:$L)),0)</f>
        <v>3.7821249126906017E-15</v>
      </c>
      <c r="O5131" s="30">
        <f>IFERROR((VLOOKUP($A5131,HeadJournal!$A$1:$L$890,COLUMN(HeadJournal!L$1),0)*($K5131+$L5131)/(SUMIF($A:$A,$A5131,$K:$K)+SUMIF($A:$A,$A5131,$L:$L)))/VLOOKUP($A5131,HeadJournal!$A$1:$L$890,COLUMN(HeadJournal!H$1),0),0)</f>
        <v>0.57527631171084226</v>
      </c>
      <c r="P5131" s="30">
        <f>IFERROR(SUM(K5131:O5131)*VLOOKUP($A5131,HeadJournal!$A$1:$L$890,COLUMN(HeadJournal!H$1),0),0)</f>
        <v>2318.4574913657771</v>
      </c>
      <c r="Q5131" s="29">
        <v>3400</v>
      </c>
      <c r="R5131" s="31">
        <v>46018</v>
      </c>
      <c r="S5131" s="31" t="s">
        <v>4483</v>
      </c>
      <c r="T5131" s="95" t="str">
        <f t="shared" si="382"/>
        <v>2025 12</v>
      </c>
      <c r="U5131" s="32">
        <f t="shared" si="354"/>
        <v>1081.5425086342229</v>
      </c>
      <c r="V5131" s="22">
        <f t="shared" si="355"/>
        <v>0.46649227456704351</v>
      </c>
      <c r="X5131" s="33"/>
      <c r="Y5131" s="33"/>
    </row>
    <row r="5132" spans="1:25" x14ac:dyDescent="0.2">
      <c r="A5132" s="93" t="s">
        <v>4403</v>
      </c>
      <c r="B5132" s="94" t="str">
        <f>IFERROR(VLOOKUP($A5132,HeadJournal!$A$1:$NTR$890,COLUMN(HeadJournal!B$1),0),"")</f>
        <v>720000841107</v>
      </c>
      <c r="C5132" s="94" t="str">
        <f>IFERROR(VLOOKUP($A5132,HeadJournal!$A$1:$NTR$890,COLUMN(HeadJournal!C$1),0),"")</f>
        <v>iHerb_OA CZN6870</v>
      </c>
      <c r="D5132" s="125" t="str">
        <f>IFERROR(VLOOKUP($A5132,HeadJournal!$A$1:$NTR$890,COLUMN(HeadJournal!D$1),0),"")</f>
        <v>Доставлен</v>
      </c>
      <c r="E5132" s="95">
        <f>IFERROR(VLOOKUP($A5132,HeadJournal!$A$1:$NTR$890,COLUMN(HeadJournal!G$1),0),"")</f>
        <v>45932</v>
      </c>
      <c r="F5132" s="95" t="str">
        <f t="shared" si="381"/>
        <v>2025 10</v>
      </c>
      <c r="G5132" s="97" t="s">
        <v>5</v>
      </c>
      <c r="H5132" s="161" t="s">
        <v>4391</v>
      </c>
      <c r="I5132" s="97" t="s">
        <v>2005</v>
      </c>
      <c r="J5132" s="97" t="s">
        <v>4392</v>
      </c>
      <c r="K5132" s="29">
        <v>31.89</v>
      </c>
      <c r="L5132" s="29">
        <v>-6.38</v>
      </c>
      <c r="M5132" s="30">
        <f>IFERROR(VLOOKUP($A5132,HeadJournal!$A$1:$J$890,COLUMN(HeadJournal!I$1),0)*($K5132+$L5132)/(SUMIF($A:$A,$A5132,$K:$K)+SUMIF($A:$A,$A5132,$L:$L)),0)</f>
        <v>-1.1740872304936065</v>
      </c>
      <c r="N5132" s="30">
        <f>IFERROR((VLOOKUP($A5132,HeadJournal!$A$1:$K$890,COLUMN(HeadJournal!K$1),0)-VLOOKUP($A5132,HeadJournal!$A$1:$K$890,COLUMN(HeadJournal!J$1),0))*($K5132+$L5132)/(SUMIF($A:$A,$A5132,$K:$K)+SUMIF($A:$A,$A5132,$L:$L)),0)</f>
        <v>4.4791363907432295E-15</v>
      </c>
      <c r="O5132" s="30">
        <f>IFERROR((VLOOKUP($A5132,HeadJournal!$A$1:$L$890,COLUMN(HeadJournal!L$1),0)*($K5132+$L5132)/(SUMIF($A:$A,$A5132,$K:$K)+SUMIF($A:$A,$A5132,$L:$L)))/VLOOKUP($A5132,HeadJournal!$A$1:$L$890,COLUMN(HeadJournal!H$1),0),0)</f>
        <v>0.68134093134694851</v>
      </c>
      <c r="P5132" s="30">
        <f>IFERROR(SUM(K5132:O5132)*VLOOKUP($A5132,HeadJournal!$A$1:$L$890,COLUMN(HeadJournal!H$1),0),0)</f>
        <v>2337.7636955581643</v>
      </c>
      <c r="Q5132" s="29">
        <v>3500</v>
      </c>
      <c r="R5132" s="31">
        <v>45962</v>
      </c>
      <c r="S5132" s="31" t="s">
        <v>3181</v>
      </c>
      <c r="T5132" s="95" t="str">
        <f t="shared" si="382"/>
        <v>2025 11</v>
      </c>
      <c r="U5132" s="32">
        <f t="shared" si="354"/>
        <v>1162.2363044418357</v>
      </c>
      <c r="V5132" s="22">
        <f t="shared" si="355"/>
        <v>0.49715730749439169</v>
      </c>
      <c r="X5132" s="33"/>
      <c r="Y5132" s="33"/>
    </row>
    <row r="5133" spans="1:25" x14ac:dyDescent="0.2">
      <c r="A5133" s="93" t="s">
        <v>4403</v>
      </c>
      <c r="B5133" s="94" t="str">
        <f>IFERROR(VLOOKUP($A5133,HeadJournal!$A$1:$NTR$890,COLUMN(HeadJournal!B$1),0),"")</f>
        <v>720000841107</v>
      </c>
      <c r="C5133" s="94" t="str">
        <f>IFERROR(VLOOKUP($A5133,HeadJournal!$A$1:$NTR$890,COLUMN(HeadJournal!C$1),0),"")</f>
        <v>iHerb_OA CZN6870</v>
      </c>
      <c r="D5133" s="125" t="str">
        <f>IFERROR(VLOOKUP($A5133,HeadJournal!$A$1:$NTR$890,COLUMN(HeadJournal!D$1),0),"")</f>
        <v>Доставлен</v>
      </c>
      <c r="E5133" s="95">
        <f>IFERROR(VLOOKUP($A5133,HeadJournal!$A$1:$NTR$890,COLUMN(HeadJournal!G$1),0),"")</f>
        <v>45932</v>
      </c>
      <c r="F5133" s="95" t="str">
        <f t="shared" si="381"/>
        <v>2025 10</v>
      </c>
      <c r="G5133" s="97" t="s">
        <v>5</v>
      </c>
      <c r="H5133" s="161" t="s">
        <v>2995</v>
      </c>
      <c r="I5133" s="97" t="s">
        <v>2102</v>
      </c>
      <c r="J5133" s="97" t="s">
        <v>4397</v>
      </c>
      <c r="K5133" s="29">
        <v>59.3</v>
      </c>
      <c r="L5133" s="29">
        <v>-11.86</v>
      </c>
      <c r="M5133" s="30">
        <f>IFERROR(VLOOKUP($A5133,HeadJournal!$A$1:$J$890,COLUMN(HeadJournal!I$1),0)*($K5133+$L5133)/(SUMIF($A:$A,$A5133,$K:$K)+SUMIF($A:$A,$A5133,$L:$L)),0)</f>
        <v>-2.1834064372644724</v>
      </c>
      <c r="N5133" s="30">
        <f>IFERROR((VLOOKUP($A5133,HeadJournal!$A$1:$K$890,COLUMN(HeadJournal!K$1),0)-VLOOKUP($A5133,HeadJournal!$A$1:$K$890,COLUMN(HeadJournal!J$1),0))*($K5133+$L5133)/(SUMIF($A:$A,$A5133,$K:$K)+SUMIF($A:$A,$A5133,$L:$L)),0)</f>
        <v>8.3296836682422091E-15</v>
      </c>
      <c r="O5133" s="30">
        <f>IFERROR((VLOOKUP($A5133,HeadJournal!$A$1:$L$890,COLUMN(HeadJournal!L$1),0)*($K5133+$L5133)/(SUMIF($A:$A,$A5133,$K:$K)+SUMIF($A:$A,$A5133,$L:$L)))/VLOOKUP($A5133,HeadJournal!$A$1:$L$890,COLUMN(HeadJournal!H$1),0),0)</f>
        <v>1.2670644368129844</v>
      </c>
      <c r="P5133" s="30">
        <f>IFERROR(SUM(K5133:O5133)*VLOOKUP($A5133,HeadJournal!$A$1:$L$890,COLUMN(HeadJournal!H$1),0),0)</f>
        <v>4347.4523605362338</v>
      </c>
      <c r="Q5133" s="29">
        <v>6300</v>
      </c>
      <c r="R5133" s="31">
        <v>45962</v>
      </c>
      <c r="S5133" s="31" t="s">
        <v>3181</v>
      </c>
      <c r="T5133" s="95" t="str">
        <f t="shared" si="382"/>
        <v>2025 11</v>
      </c>
      <c r="U5133" s="32">
        <f t="shared" si="354"/>
        <v>1952.5476394637662</v>
      </c>
      <c r="V5133" s="22">
        <f t="shared" si="355"/>
        <v>0.44912456251111871</v>
      </c>
      <c r="X5133" s="33"/>
      <c r="Y5133" s="33"/>
    </row>
    <row r="5134" spans="1:25" x14ac:dyDescent="0.2">
      <c r="A5134" s="93" t="s">
        <v>4403</v>
      </c>
      <c r="B5134" s="94" t="str">
        <f>IFERROR(VLOOKUP($A5134,HeadJournal!$A$1:$NTR$890,COLUMN(HeadJournal!B$1),0),"")</f>
        <v>720000841107</v>
      </c>
      <c r="C5134" s="94" t="str">
        <f>IFERROR(VLOOKUP($A5134,HeadJournal!$A$1:$NTR$890,COLUMN(HeadJournal!C$1),0),"")</f>
        <v>iHerb_OA CZN6870</v>
      </c>
      <c r="D5134" s="125" t="str">
        <f>IFERROR(VLOOKUP($A5134,HeadJournal!$A$1:$NTR$890,COLUMN(HeadJournal!D$1),0),"")</f>
        <v>Доставлен</v>
      </c>
      <c r="E5134" s="95">
        <f>IFERROR(VLOOKUP($A5134,HeadJournal!$A$1:$NTR$890,COLUMN(HeadJournal!G$1),0),"")</f>
        <v>45932</v>
      </c>
      <c r="F5134" s="95" t="str">
        <f t="shared" si="381"/>
        <v>2025 10</v>
      </c>
      <c r="G5134" s="97" t="s">
        <v>5</v>
      </c>
      <c r="H5134" s="161" t="s">
        <v>2948</v>
      </c>
      <c r="I5134" s="97" t="s">
        <v>2005</v>
      </c>
      <c r="J5134" s="97" t="s">
        <v>2949</v>
      </c>
      <c r="K5134" s="29">
        <v>28.99</v>
      </c>
      <c r="L5134" s="29">
        <v>-5.8</v>
      </c>
      <c r="M5134" s="30">
        <f>IFERROR(VLOOKUP($A5134,HeadJournal!$A$1:$J$890,COLUMN(HeadJournal!I$1),0)*($K5134+$L5134)/(SUMIF($A:$A,$A5134,$K:$K)+SUMIF($A:$A,$A5134,$L:$L)),0)</f>
        <v>-1.0673101871872492</v>
      </c>
      <c r="N5134" s="30">
        <f>IFERROR((VLOOKUP($A5134,HeadJournal!$A$1:$K$890,COLUMN(HeadJournal!K$1),0)-VLOOKUP($A5134,HeadJournal!$A$1:$K$890,COLUMN(HeadJournal!J$1),0))*($K5134+$L5134)/(SUMIF($A:$A,$A5134,$K:$K)+SUMIF($A:$A,$A5134,$L:$L)),0)</f>
        <v>4.0717825519927664E-15</v>
      </c>
      <c r="O5134" s="30">
        <f>IFERROR((VLOOKUP($A5134,HeadJournal!$A$1:$L$890,COLUMN(HeadJournal!L$1),0)*($K5134+$L5134)/(SUMIF($A:$A,$A5134,$K:$K)+SUMIF($A:$A,$A5134,$L:$L)))/VLOOKUP($A5134,HeadJournal!$A$1:$L$890,COLUMN(HeadJournal!H$1),0),0)</f>
        <v>0.61937656597160851</v>
      </c>
      <c r="P5134" s="30">
        <f>IFERROR(SUM(K5134:O5134)*VLOOKUP($A5134,HeadJournal!$A$1:$L$890,COLUMN(HeadJournal!H$1),0),0)</f>
        <v>2125.1564131710634</v>
      </c>
      <c r="Q5134" s="29">
        <v>3200</v>
      </c>
      <c r="R5134" s="31">
        <v>45962</v>
      </c>
      <c r="S5134" s="31" t="s">
        <v>3181</v>
      </c>
      <c r="T5134" s="95" t="str">
        <f t="shared" si="382"/>
        <v>2025 11</v>
      </c>
      <c r="U5134" s="32">
        <f t="shared" si="354"/>
        <v>1074.8435868289366</v>
      </c>
      <c r="V5134" s="22">
        <f t="shared" si="355"/>
        <v>0.50577151882439708</v>
      </c>
      <c r="X5134" s="33"/>
      <c r="Y5134" s="33"/>
    </row>
    <row r="5135" spans="1:25" x14ac:dyDescent="0.2">
      <c r="A5135" s="93" t="s">
        <v>4403</v>
      </c>
      <c r="B5135" s="94" t="str">
        <f>IFERROR(VLOOKUP($A5135,HeadJournal!$A$1:$NTR$890,COLUMN(HeadJournal!B$1),0),"")</f>
        <v>720000841107</v>
      </c>
      <c r="C5135" s="94" t="str">
        <f>IFERROR(VLOOKUP($A5135,HeadJournal!$A$1:$NTR$890,COLUMN(HeadJournal!C$1),0),"")</f>
        <v>iHerb_OA CZN6870</v>
      </c>
      <c r="D5135" s="125" t="str">
        <f>IFERROR(VLOOKUP($A5135,HeadJournal!$A$1:$NTR$890,COLUMN(HeadJournal!D$1),0),"")</f>
        <v>Доставлен</v>
      </c>
      <c r="E5135" s="95">
        <f>IFERROR(VLOOKUP($A5135,HeadJournal!$A$1:$NTR$890,COLUMN(HeadJournal!G$1),0),"")</f>
        <v>45932</v>
      </c>
      <c r="F5135" s="95" t="str">
        <f t="shared" si="381"/>
        <v>2025 10</v>
      </c>
      <c r="G5135" s="97" t="s">
        <v>5</v>
      </c>
      <c r="H5135" s="161" t="s">
        <v>2997</v>
      </c>
      <c r="I5135" s="97" t="s">
        <v>2102</v>
      </c>
      <c r="J5135" s="97" t="s">
        <v>4364</v>
      </c>
      <c r="K5135" s="29">
        <v>32.43</v>
      </c>
      <c r="L5135" s="29">
        <v>-6.49</v>
      </c>
      <c r="M5135" s="30">
        <f>IFERROR(VLOOKUP($A5135,HeadJournal!$A$1:$J$890,COLUMN(HeadJournal!I$1),0)*($K5135+$L5135)/(SUMIF($A:$A,$A5135,$K:$K)+SUMIF($A:$A,$A5135,$L:$L)),0)</f>
        <v>-1.1938778031753881</v>
      </c>
      <c r="N5135" s="30">
        <f>IFERROR((VLOOKUP($A5135,HeadJournal!$A$1:$K$890,COLUMN(HeadJournal!K$1),0)-VLOOKUP($A5135,HeadJournal!$A$1:$K$890,COLUMN(HeadJournal!J$1),0))*($K5135+$L5135)/(SUMIF($A:$A,$A5135,$K:$K)+SUMIF($A:$A,$A5135,$L:$L)),0)</f>
        <v>4.5546373177530124E-15</v>
      </c>
      <c r="O5135" s="30">
        <f>IFERROR((VLOOKUP($A5135,HeadJournal!$A$1:$L$890,COLUMN(HeadJournal!L$1),0)*($K5135+$L5135)/(SUMIF($A:$A,$A5135,$K:$K)+SUMIF($A:$A,$A5135,$L:$L)))/VLOOKUP($A5135,HeadJournal!$A$1:$L$890,COLUMN(HeadJournal!H$1),0),0)</f>
        <v>0.69282570596392945</v>
      </c>
      <c r="P5135" s="30">
        <f>IFERROR(SUM(K5135:O5135)*VLOOKUP($A5135,HeadJournal!$A$1:$L$890,COLUMN(HeadJournal!H$1),0),0)</f>
        <v>2377.1693556557734</v>
      </c>
      <c r="Q5135" s="29">
        <v>3700</v>
      </c>
      <c r="R5135" s="31">
        <v>45980</v>
      </c>
      <c r="S5135" s="31" t="s">
        <v>3220</v>
      </c>
      <c r="T5135" s="95" t="str">
        <f t="shared" si="382"/>
        <v>2025 11</v>
      </c>
      <c r="U5135" s="32">
        <f t="shared" ref="U5135:U5151" si="383">Q5135-P5135</f>
        <v>1322.8306443442266</v>
      </c>
      <c r="V5135" s="22">
        <f t="shared" ref="V5135:V5151" si="384">IF(Q5135&lt;&gt;0,IFERROR(U5135/P5135,""),"")</f>
        <v>0.55647303428211425</v>
      </c>
      <c r="X5135" s="33"/>
      <c r="Y5135" s="33"/>
    </row>
    <row r="5136" spans="1:25" x14ac:dyDescent="0.2">
      <c r="A5136" s="93" t="s">
        <v>4403</v>
      </c>
      <c r="B5136" s="94" t="str">
        <f>IFERROR(VLOOKUP($A5136,HeadJournal!$A$1:$NTR$890,COLUMN(HeadJournal!B$1),0),"")</f>
        <v>720000841107</v>
      </c>
      <c r="C5136" s="94" t="str">
        <f>IFERROR(VLOOKUP($A5136,HeadJournal!$A$1:$NTR$890,COLUMN(HeadJournal!C$1),0),"")</f>
        <v>iHerb_OA CZN6870</v>
      </c>
      <c r="D5136" s="125" t="str">
        <f>IFERROR(VLOOKUP($A5136,HeadJournal!$A$1:$NTR$890,COLUMN(HeadJournal!D$1),0),"")</f>
        <v>Доставлен</v>
      </c>
      <c r="E5136" s="95">
        <f>IFERROR(VLOOKUP($A5136,HeadJournal!$A$1:$NTR$890,COLUMN(HeadJournal!G$1),0),"")</f>
        <v>45932</v>
      </c>
      <c r="F5136" s="95" t="str">
        <f t="shared" si="381"/>
        <v>2025 10</v>
      </c>
      <c r="G5136" s="97" t="s">
        <v>5</v>
      </c>
      <c r="H5136" s="161" t="s">
        <v>2806</v>
      </c>
      <c r="I5136" s="97" t="s">
        <v>2009</v>
      </c>
      <c r="J5136" s="97" t="s">
        <v>4398</v>
      </c>
      <c r="K5136" s="29">
        <v>26.11</v>
      </c>
      <c r="L5136" s="29">
        <v>-5.22</v>
      </c>
      <c r="M5136" s="30">
        <f>IFERROR(VLOOKUP($A5136,HeadJournal!$A$1:$J$890,COLUMN(HeadJournal!I$1),0)*($K5136+$L5136)/(SUMIF($A:$A,$A5136,$K:$K)+SUMIF($A:$A,$A5136,$L:$L)),0)</f>
        <v>-0.96145363563353348</v>
      </c>
      <c r="N5136" s="30">
        <f>IFERROR((VLOOKUP($A5136,HeadJournal!$A$1:$K$890,COLUMN(HeadJournal!K$1),0)-VLOOKUP($A5136,HeadJournal!$A$1:$K$890,COLUMN(HeadJournal!J$1),0))*($K5136+$L5136)/(SUMIF($A:$A,$A5136,$K:$K)+SUMIF($A:$A,$A5136,$L:$L)),0)</f>
        <v>3.6679403842660155E-15</v>
      </c>
      <c r="O5136" s="30">
        <f>IFERROR((VLOOKUP($A5136,HeadJournal!$A$1:$L$890,COLUMN(HeadJournal!L$1),0)*($K5136+$L5136)/(SUMIF($A:$A,$A5136,$K:$K)+SUMIF($A:$A,$A5136,$L:$L)))/VLOOKUP($A5136,HeadJournal!$A$1:$L$890,COLUMN(HeadJournal!H$1),0),0)</f>
        <v>0.55794637615984921</v>
      </c>
      <c r="P5136" s="30">
        <f>IFERROR(SUM(K5136:O5136)*VLOOKUP($A5136,HeadJournal!$A$1:$L$890,COLUMN(HeadJournal!H$1),0),0)</f>
        <v>1914.3819521838518</v>
      </c>
      <c r="Q5136" s="29"/>
      <c r="R5136" s="31"/>
      <c r="S5136" s="31"/>
      <c r="T5136" s="95" t="str">
        <f t="shared" si="382"/>
        <v/>
      </c>
      <c r="U5136" s="32">
        <f t="shared" si="383"/>
        <v>-1914.3819521838518</v>
      </c>
      <c r="V5136" s="22" t="str">
        <f t="shared" si="384"/>
        <v/>
      </c>
      <c r="X5136" s="33"/>
      <c r="Y5136" s="33"/>
    </row>
    <row r="5137" spans="1:25" x14ac:dyDescent="0.2">
      <c r="A5137" s="93" t="s">
        <v>4403</v>
      </c>
      <c r="B5137" s="94" t="str">
        <f>IFERROR(VLOOKUP($A5137,HeadJournal!$A$1:$NTR$890,COLUMN(HeadJournal!B$1),0),"")</f>
        <v>720000841107</v>
      </c>
      <c r="C5137" s="94" t="str">
        <f>IFERROR(VLOOKUP($A5137,HeadJournal!$A$1:$NTR$890,COLUMN(HeadJournal!C$1),0),"")</f>
        <v>iHerb_OA CZN6870</v>
      </c>
      <c r="D5137" s="125" t="str">
        <f>IFERROR(VLOOKUP($A5137,HeadJournal!$A$1:$NTR$890,COLUMN(HeadJournal!D$1),0),"")</f>
        <v>Доставлен</v>
      </c>
      <c r="E5137" s="95">
        <f>IFERROR(VLOOKUP($A5137,HeadJournal!$A$1:$NTR$890,COLUMN(HeadJournal!G$1),0),"")</f>
        <v>45932</v>
      </c>
      <c r="F5137" s="95" t="str">
        <f t="shared" si="381"/>
        <v>2025 10</v>
      </c>
      <c r="G5137" s="97" t="s">
        <v>6</v>
      </c>
      <c r="H5137" s="161" t="s">
        <v>4399</v>
      </c>
      <c r="I5137" s="97" t="s">
        <v>4400</v>
      </c>
      <c r="J5137" s="97" t="s">
        <v>4401</v>
      </c>
      <c r="K5137" s="29">
        <v>19.13</v>
      </c>
      <c r="L5137" s="29">
        <v>-10.59</v>
      </c>
      <c r="M5137" s="30">
        <f>IFERROR(VLOOKUP($A5137,HeadJournal!$A$1:$J$890,COLUMN(HeadJournal!I$1),0)*($K5137+$L5137)/(SUMIF($A:$A,$A5137,$K:$K)+SUMIF($A:$A,$A5137,$L:$L)),0)</f>
        <v>-0.39304997837771061</v>
      </c>
      <c r="N5137" s="30">
        <f>IFERROR((VLOOKUP($A5137,HeadJournal!$A$1:$K$890,COLUMN(HeadJournal!K$1),0)-VLOOKUP($A5137,HeadJournal!$A$1:$K$890,COLUMN(HeadJournal!J$1),0))*($K5137+$L5137)/(SUMIF($A:$A,$A5137,$K:$K)+SUMIF($A:$A,$A5137,$L:$L)),0)</f>
        <v>1.499483527124546E-15</v>
      </c>
      <c r="O5137" s="30">
        <f>IFERROR((VLOOKUP($A5137,HeadJournal!$A$1:$L$890,COLUMN(HeadJournal!L$1),0)*($K5137+$L5137)/(SUMIF($A:$A,$A5137,$K:$K)+SUMIF($A:$A,$A5137,$L:$L)))/VLOOKUP($A5137,HeadJournal!$A$1:$L$890,COLUMN(HeadJournal!H$1),0),0)</f>
        <v>0.22809296564888043</v>
      </c>
      <c r="P5137" s="30">
        <f>IFERROR(SUM(K5137:O5137)*VLOOKUP($A5137,HeadJournal!$A$1:$L$890,COLUMN(HeadJournal!H$1),0),0)</f>
        <v>782.6147377525175</v>
      </c>
      <c r="Q5137" s="29">
        <v>782.61</v>
      </c>
      <c r="R5137" s="31"/>
      <c r="S5137" s="31"/>
      <c r="T5137" s="95" t="str">
        <f t="shared" si="382"/>
        <v/>
      </c>
      <c r="U5137" s="32">
        <f t="shared" si="383"/>
        <v>-4.7377525174852053E-3</v>
      </c>
      <c r="V5137" s="22">
        <f t="shared" si="384"/>
        <v>-6.0537481457235243E-6</v>
      </c>
      <c r="X5137" s="33"/>
      <c r="Y5137" s="33"/>
    </row>
    <row r="5138" spans="1:25" x14ac:dyDescent="0.2">
      <c r="A5138" s="93" t="s">
        <v>4403</v>
      </c>
      <c r="B5138" s="94" t="str">
        <f>IFERROR(VLOOKUP($A5138,HeadJournal!$A$1:$NTR$890,COLUMN(HeadJournal!B$1),0),"")</f>
        <v>720000841107</v>
      </c>
      <c r="C5138" s="94" t="str">
        <f>IFERROR(VLOOKUP($A5138,HeadJournal!$A$1:$NTR$890,COLUMN(HeadJournal!C$1),0),"")</f>
        <v>iHerb_OA CZN6870</v>
      </c>
      <c r="D5138" s="125" t="str">
        <f>IFERROR(VLOOKUP($A5138,HeadJournal!$A$1:$NTR$890,COLUMN(HeadJournal!D$1),0),"")</f>
        <v>Доставлен</v>
      </c>
      <c r="E5138" s="95">
        <f>IFERROR(VLOOKUP($A5138,HeadJournal!$A$1:$NTR$890,COLUMN(HeadJournal!G$1),0),"")</f>
        <v>45932</v>
      </c>
      <c r="F5138" s="95" t="str">
        <f t="shared" si="381"/>
        <v>2025 10</v>
      </c>
      <c r="G5138" s="97" t="s">
        <v>7</v>
      </c>
      <c r="H5138" s="161" t="s">
        <v>3624</v>
      </c>
      <c r="I5138" s="97" t="s">
        <v>3029</v>
      </c>
      <c r="J5138" s="97" t="s">
        <v>4402</v>
      </c>
      <c r="K5138" s="29">
        <v>12.95</v>
      </c>
      <c r="L5138" s="29">
        <v>-2.59</v>
      </c>
      <c r="M5138" s="30">
        <f>IFERROR(VLOOKUP($A5138,HeadJournal!$A$1:$J$890,COLUMN(HeadJournal!I$1),0)*($K5138+$L5138)/(SUMIF($A:$A,$A5138,$K:$K)+SUMIF($A:$A,$A5138,$L:$L)),0)</f>
        <v>-0.47681472786804241</v>
      </c>
      <c r="N5138" s="30">
        <f>IFERROR((VLOOKUP($A5138,HeadJournal!$A$1:$K$890,COLUMN(HeadJournal!K$1),0)-VLOOKUP($A5138,HeadJournal!$A$1:$K$890,COLUMN(HeadJournal!J$1),0))*($K5138+$L5138)/(SUMIF($A:$A,$A5138,$K:$K)+SUMIF($A:$A,$A5138,$L:$L)),0)</f>
        <v>1.8190455902822361E-15</v>
      </c>
      <c r="O5138" s="30">
        <f>IFERROR((VLOOKUP($A5138,HeadJournal!$A$1:$L$890,COLUMN(HeadJournal!L$1),0)*($K5138+$L5138)/(SUMIF($A:$A,$A5138,$K:$K)+SUMIF($A:$A,$A5138,$L:$L)))/VLOOKUP($A5138,HeadJournal!$A$1:$L$890,COLUMN(HeadJournal!H$1),0),0)</f>
        <v>0.2767029419347074</v>
      </c>
      <c r="P5138" s="30">
        <f>IFERROR(SUM(K5138:O5138)*VLOOKUP($A5138,HeadJournal!$A$1:$L$890,COLUMN(HeadJournal!H$1),0),0)</f>
        <v>949.40148514239843</v>
      </c>
      <c r="Q5138" s="29">
        <v>1800</v>
      </c>
      <c r="R5138" s="31">
        <v>45962</v>
      </c>
      <c r="S5138" s="31" t="s">
        <v>3231</v>
      </c>
      <c r="T5138" s="95" t="str">
        <f t="shared" si="382"/>
        <v>2025 11</v>
      </c>
      <c r="U5138" s="32">
        <f t="shared" si="383"/>
        <v>850.59851485760157</v>
      </c>
      <c r="V5138" s="22">
        <f t="shared" si="384"/>
        <v>0.89593130848117686</v>
      </c>
      <c r="X5138" s="33"/>
      <c r="Y5138" s="33"/>
    </row>
    <row r="5139" spans="1:25" x14ac:dyDescent="0.2">
      <c r="A5139" s="93" t="s">
        <v>4421</v>
      </c>
      <c r="B5139" s="94" t="str">
        <f>IFERROR(VLOOKUP($A5139,HeadJournal!$A$1:$NTR$890,COLUMN(HeadJournal!B$1),0),"")</f>
        <v>720000831508</v>
      </c>
      <c r="C5139" s="94" t="str">
        <f>IFERROR(VLOOKUP($A5139,HeadJournal!$A$1:$NTR$890,COLUMN(HeadJournal!C$1),0),"")</f>
        <v>iHerb_AV CYG0792</v>
      </c>
      <c r="D5139" s="125" t="str">
        <f>IFERROR(VLOOKUP($A5139,HeadJournal!$A$1:$NTR$890,COLUMN(HeadJournal!D$1),0),"")</f>
        <v>Доставлен</v>
      </c>
      <c r="E5139" s="95">
        <f>IFERROR(VLOOKUP($A5139,HeadJournal!$A$1:$NTR$890,COLUMN(HeadJournal!G$1),0),"")</f>
        <v>45922</v>
      </c>
      <c r="F5139" s="95" t="str">
        <f t="shared" si="381"/>
        <v>2025 09</v>
      </c>
      <c r="G5139" s="97" t="s">
        <v>5</v>
      </c>
      <c r="H5139" s="161" t="s">
        <v>2462</v>
      </c>
      <c r="I5139" s="97" t="s">
        <v>2005</v>
      </c>
      <c r="J5139" s="97" t="s">
        <v>2463</v>
      </c>
      <c r="K5139" s="29">
        <v>7.23</v>
      </c>
      <c r="L5139" s="29">
        <v>-2.1</v>
      </c>
      <c r="M5139" s="30">
        <f>IFERROR(VLOOKUP($A5139,HeadJournal!$A$1:$J$890,COLUMN(HeadJournal!I$1),0)*($K5139+$L5139)/(SUMIF($A:$A,$A5139,$K:$K)+SUMIF($A:$A,$A5139,$L:$L)),0)</f>
        <v>-0.23410218978102193</v>
      </c>
      <c r="N5139" s="30">
        <f>IFERROR((VLOOKUP($A5139,HeadJournal!$A$1:$K$890,COLUMN(HeadJournal!K$1),0)-VLOOKUP($A5139,HeadJournal!$A$1:$K$890,COLUMN(HeadJournal!J$1),0))*($K5139+$L5139)/(SUMIF($A:$A,$A5139,$K:$K)+SUMIF($A:$A,$A5139,$L:$L)),0)</f>
        <v>0</v>
      </c>
      <c r="O5139" s="30">
        <f>IFERROR((VLOOKUP($A5139,HeadJournal!$A$1:$L$890,COLUMN(HeadJournal!L$1),0)*($K5139+$L5139)/(SUMIF($A:$A,$A5139,$K:$K)+SUMIF($A:$A,$A5139,$L:$L)))/VLOOKUP($A5139,HeadJournal!$A$1:$L$890,COLUMN(HeadJournal!H$1),0),0)</f>
        <v>0.14987793576252251</v>
      </c>
      <c r="P5139" s="30">
        <f>IFERROR(SUM(K5139:O5139)*VLOOKUP($A5139,HeadJournal!$A$1:$L$890,COLUMN(HeadJournal!H$1),0),0)</f>
        <v>471.56835036496358</v>
      </c>
      <c r="Q5139" s="29">
        <v>1300</v>
      </c>
      <c r="R5139" s="31">
        <v>45952</v>
      </c>
      <c r="S5139" s="31" t="s">
        <v>3290</v>
      </c>
      <c r="T5139" s="95" t="str">
        <f t="shared" si="382"/>
        <v>2025 10</v>
      </c>
      <c r="U5139" s="32">
        <f t="shared" si="383"/>
        <v>828.43164963503636</v>
      </c>
      <c r="V5139" s="22">
        <f t="shared" si="384"/>
        <v>1.7567583765829142</v>
      </c>
      <c r="X5139" s="33"/>
      <c r="Y5139" s="33"/>
    </row>
    <row r="5140" spans="1:25" x14ac:dyDescent="0.2">
      <c r="A5140" s="93" t="s">
        <v>4421</v>
      </c>
      <c r="B5140" s="94" t="str">
        <f>IFERROR(VLOOKUP($A5140,HeadJournal!$A$1:$NTR$890,COLUMN(HeadJournal!B$1),0),"")</f>
        <v>720000831508</v>
      </c>
      <c r="C5140" s="94" t="str">
        <f>IFERROR(VLOOKUP($A5140,HeadJournal!$A$1:$NTR$890,COLUMN(HeadJournal!C$1),0),"")</f>
        <v>iHerb_AV CYG0792</v>
      </c>
      <c r="D5140" s="125" t="str">
        <f>IFERROR(VLOOKUP($A5140,HeadJournal!$A$1:$NTR$890,COLUMN(HeadJournal!D$1),0),"")</f>
        <v>Доставлен</v>
      </c>
      <c r="E5140" s="95">
        <f>IFERROR(VLOOKUP($A5140,HeadJournal!$A$1:$NTR$890,COLUMN(HeadJournal!G$1),0),"")</f>
        <v>45922</v>
      </c>
      <c r="F5140" s="95" t="str">
        <f t="shared" si="381"/>
        <v>2025 09</v>
      </c>
      <c r="G5140" s="97" t="s">
        <v>5</v>
      </c>
      <c r="H5140" s="161" t="s">
        <v>2502</v>
      </c>
      <c r="I5140" s="97" t="s">
        <v>2005</v>
      </c>
      <c r="J5140" s="97" t="s">
        <v>2503</v>
      </c>
      <c r="K5140" s="29">
        <v>23.91</v>
      </c>
      <c r="L5140" s="29">
        <v>-6.93</v>
      </c>
      <c r="M5140" s="30">
        <f>IFERROR(VLOOKUP($A5140,HeadJournal!$A$1:$J$890,COLUMN(HeadJournal!I$1),0)*($K5140+$L5140)/(SUMIF($A:$A,$A5140,$K:$K)+SUMIF($A:$A,$A5140,$L:$L)),0)</f>
        <v>-0.77486455798864551</v>
      </c>
      <c r="N5140" s="30">
        <f>IFERROR((VLOOKUP($A5140,HeadJournal!$A$1:$K$890,COLUMN(HeadJournal!K$1),0)-VLOOKUP($A5140,HeadJournal!$A$1:$K$890,COLUMN(HeadJournal!J$1),0))*($K5140+$L5140)/(SUMIF($A:$A,$A5140,$K:$K)+SUMIF($A:$A,$A5140,$L:$L)),0)</f>
        <v>0</v>
      </c>
      <c r="O5140" s="30">
        <f>IFERROR((VLOOKUP($A5140,HeadJournal!$A$1:$L$890,COLUMN(HeadJournal!L$1),0)*($K5140+$L5140)/(SUMIF($A:$A,$A5140,$K:$K)+SUMIF($A:$A,$A5140,$L:$L)))/VLOOKUP($A5140,HeadJournal!$A$1:$L$890,COLUMN(HeadJournal!H$1),0),0)</f>
        <v>0.49608720258238431</v>
      </c>
      <c r="P5140" s="30">
        <f>IFERROR(SUM(K5140:O5140)*VLOOKUP($A5140,HeadJournal!$A$1:$L$890,COLUMN(HeadJournal!H$1),0),0)</f>
        <v>1560.8636626115165</v>
      </c>
      <c r="Q5140" s="29">
        <v>3100</v>
      </c>
      <c r="R5140" s="31">
        <v>45952</v>
      </c>
      <c r="S5140" s="31" t="s">
        <v>3290</v>
      </c>
      <c r="T5140" s="95" t="str">
        <f t="shared" si="382"/>
        <v>2025 10</v>
      </c>
      <c r="U5140" s="32">
        <f t="shared" si="383"/>
        <v>1539.1363373884835</v>
      </c>
      <c r="V5140" s="22">
        <f t="shared" si="384"/>
        <v>0.98607993398559846</v>
      </c>
      <c r="X5140" s="33"/>
      <c r="Y5140" s="33"/>
    </row>
    <row r="5141" spans="1:25" x14ac:dyDescent="0.2">
      <c r="A5141" s="93" t="s">
        <v>4421</v>
      </c>
      <c r="B5141" s="94" t="str">
        <f>IFERROR(VLOOKUP($A5141,HeadJournal!$A$1:$NTR$890,COLUMN(HeadJournal!B$1),0),"")</f>
        <v>720000831508</v>
      </c>
      <c r="C5141" s="94" t="str">
        <f>IFERROR(VLOOKUP($A5141,HeadJournal!$A$1:$NTR$890,COLUMN(HeadJournal!C$1),0),"")</f>
        <v>iHerb_AV CYG0792</v>
      </c>
      <c r="D5141" s="125" t="str">
        <f>IFERROR(VLOOKUP($A5141,HeadJournal!$A$1:$NTR$890,COLUMN(HeadJournal!D$1),0),"")</f>
        <v>Доставлен</v>
      </c>
      <c r="E5141" s="95">
        <f>IFERROR(VLOOKUP($A5141,HeadJournal!$A$1:$NTR$890,COLUMN(HeadJournal!G$1),0),"")</f>
        <v>45922</v>
      </c>
      <c r="F5141" s="95" t="str">
        <f t="shared" si="381"/>
        <v>2025 09</v>
      </c>
      <c r="G5141" s="97" t="s">
        <v>5</v>
      </c>
      <c r="H5141" s="161" t="s">
        <v>2504</v>
      </c>
      <c r="I5141" s="97" t="s">
        <v>2036</v>
      </c>
      <c r="J5141" s="97" t="s">
        <v>3739</v>
      </c>
      <c r="K5141" s="29">
        <v>15.08</v>
      </c>
      <c r="L5141" s="29">
        <v>-4.375</v>
      </c>
      <c r="M5141" s="30">
        <f>IFERROR(VLOOKUP($A5141,HeadJournal!$A$1:$J$890,COLUMN(HeadJournal!I$1),0)*($K5141+$L5141)/(SUMIF($A:$A,$A5141,$K:$K)+SUMIF($A:$A,$A5141,$L:$L)),0)</f>
        <v>-0.48851148959178159</v>
      </c>
      <c r="N5141" s="30">
        <f>IFERROR((VLOOKUP($A5141,HeadJournal!$A$1:$K$890,COLUMN(HeadJournal!K$1),0)-VLOOKUP($A5141,HeadJournal!$A$1:$K$890,COLUMN(HeadJournal!J$1),0))*($K5141+$L5141)/(SUMIF($A:$A,$A5141,$K:$K)+SUMIF($A:$A,$A5141,$L:$L)),0)</f>
        <v>0</v>
      </c>
      <c r="O5141" s="30">
        <f>IFERROR((VLOOKUP($A5141,HeadJournal!$A$1:$L$890,COLUMN(HeadJournal!L$1),0)*($K5141+$L5141)/(SUMIF($A:$A,$A5141,$K:$K)+SUMIF($A:$A,$A5141,$L:$L)))/VLOOKUP($A5141,HeadJournal!$A$1:$L$890,COLUMN(HeadJournal!H$1),0),0)</f>
        <v>0.31275697901321692</v>
      </c>
      <c r="P5141" s="30">
        <f>IFERROR(SUM(K5141:O5141)*VLOOKUP($A5141,HeadJournal!$A$1:$L$890,COLUMN(HeadJournal!H$1),0),0)</f>
        <v>984.04272722357405</v>
      </c>
      <c r="Q5141" s="29">
        <v>2000</v>
      </c>
      <c r="R5141" s="31">
        <v>45952</v>
      </c>
      <c r="S5141" s="31" t="s">
        <v>3235</v>
      </c>
      <c r="T5141" s="95" t="str">
        <f t="shared" si="382"/>
        <v>2025 10</v>
      </c>
      <c r="U5141" s="32">
        <f t="shared" si="383"/>
        <v>1015.957272776426</v>
      </c>
      <c r="V5141" s="22">
        <f t="shared" si="384"/>
        <v>1.0324320729882301</v>
      </c>
      <c r="X5141" s="33"/>
      <c r="Y5141" s="33"/>
    </row>
    <row r="5142" spans="1:25" x14ac:dyDescent="0.2">
      <c r="A5142" s="93" t="s">
        <v>4421</v>
      </c>
      <c r="B5142" s="94" t="str">
        <f>IFERROR(VLOOKUP($A5142,HeadJournal!$A$1:$NTR$890,COLUMN(HeadJournal!B$1),0),"")</f>
        <v>720000831508</v>
      </c>
      <c r="C5142" s="94" t="str">
        <f>IFERROR(VLOOKUP($A5142,HeadJournal!$A$1:$NTR$890,COLUMN(HeadJournal!C$1),0),"")</f>
        <v>iHerb_AV CYG0792</v>
      </c>
      <c r="D5142" s="125" t="str">
        <f>IFERROR(VLOOKUP($A5142,HeadJournal!$A$1:$NTR$890,COLUMN(HeadJournal!D$1),0),"")</f>
        <v>Доставлен</v>
      </c>
      <c r="E5142" s="95">
        <f>IFERROR(VLOOKUP($A5142,HeadJournal!$A$1:$NTR$890,COLUMN(HeadJournal!G$1),0),"")</f>
        <v>45922</v>
      </c>
      <c r="F5142" s="95" t="str">
        <f t="shared" si="381"/>
        <v>2025 09</v>
      </c>
      <c r="G5142" s="97" t="s">
        <v>5</v>
      </c>
      <c r="H5142" s="161" t="s">
        <v>2504</v>
      </c>
      <c r="I5142" s="97" t="s">
        <v>2036</v>
      </c>
      <c r="J5142" s="97" t="s">
        <v>3739</v>
      </c>
      <c r="K5142" s="29">
        <v>15.08</v>
      </c>
      <c r="L5142" s="29">
        <v>-4.375</v>
      </c>
      <c r="M5142" s="30">
        <f>IFERROR(VLOOKUP($A5142,HeadJournal!$A$1:$J$890,COLUMN(HeadJournal!I$1),0)*($K5142+$L5142)/(SUMIF($A:$A,$A5142,$K:$K)+SUMIF($A:$A,$A5142,$L:$L)),0)</f>
        <v>-0.48851148959178159</v>
      </c>
      <c r="N5142" s="30">
        <f>IFERROR((VLOOKUP($A5142,HeadJournal!$A$1:$K$890,COLUMN(HeadJournal!K$1),0)-VLOOKUP($A5142,HeadJournal!$A$1:$K$890,COLUMN(HeadJournal!J$1),0))*($K5142+$L5142)/(SUMIF($A:$A,$A5142,$K:$K)+SUMIF($A:$A,$A5142,$L:$L)),0)</f>
        <v>0</v>
      </c>
      <c r="O5142" s="30">
        <f>IFERROR((VLOOKUP($A5142,HeadJournal!$A$1:$L$890,COLUMN(HeadJournal!L$1),0)*($K5142+$L5142)/(SUMIF($A:$A,$A5142,$K:$K)+SUMIF($A:$A,$A5142,$L:$L)))/VLOOKUP($A5142,HeadJournal!$A$1:$L$890,COLUMN(HeadJournal!H$1),0),0)</f>
        <v>0.31275697901321692</v>
      </c>
      <c r="P5142" s="30">
        <f>IFERROR(SUM(K5142:O5142)*VLOOKUP($A5142,HeadJournal!$A$1:$L$890,COLUMN(HeadJournal!H$1),0),0)</f>
        <v>984.04272722357405</v>
      </c>
      <c r="Q5142" s="29">
        <v>2000</v>
      </c>
      <c r="R5142" s="31">
        <v>45952</v>
      </c>
      <c r="S5142" s="31" t="s">
        <v>3235</v>
      </c>
      <c r="T5142" s="95" t="str">
        <f t="shared" si="382"/>
        <v>2025 10</v>
      </c>
      <c r="U5142" s="32">
        <f t="shared" si="383"/>
        <v>1015.957272776426</v>
      </c>
      <c r="V5142" s="22">
        <f t="shared" si="384"/>
        <v>1.0324320729882301</v>
      </c>
      <c r="X5142" s="33"/>
      <c r="Y5142" s="33"/>
    </row>
    <row r="5143" spans="1:25" x14ac:dyDescent="0.2">
      <c r="A5143" s="93" t="s">
        <v>4421</v>
      </c>
      <c r="B5143" s="94" t="str">
        <f>IFERROR(VLOOKUP($A5143,HeadJournal!$A$1:$NTR$890,COLUMN(HeadJournal!B$1),0),"")</f>
        <v>720000831508</v>
      </c>
      <c r="C5143" s="94" t="str">
        <f>IFERROR(VLOOKUP($A5143,HeadJournal!$A$1:$NTR$890,COLUMN(HeadJournal!C$1),0),"")</f>
        <v>iHerb_AV CYG0792</v>
      </c>
      <c r="D5143" s="125" t="str">
        <f>IFERROR(VLOOKUP($A5143,HeadJournal!$A$1:$NTR$890,COLUMN(HeadJournal!D$1),0),"")</f>
        <v>Доставлен</v>
      </c>
      <c r="E5143" s="95">
        <f>IFERROR(VLOOKUP($A5143,HeadJournal!$A$1:$NTR$890,COLUMN(HeadJournal!G$1),0),"")</f>
        <v>45922</v>
      </c>
      <c r="F5143" s="95" t="str">
        <f t="shared" si="381"/>
        <v>2025 09</v>
      </c>
      <c r="G5143" s="97" t="s">
        <v>5</v>
      </c>
      <c r="H5143" s="161" t="s">
        <v>4405</v>
      </c>
      <c r="I5143" s="97" t="s">
        <v>2750</v>
      </c>
      <c r="J5143" s="97" t="s">
        <v>4406</v>
      </c>
      <c r="K5143" s="29">
        <v>13.43</v>
      </c>
      <c r="L5143" s="29">
        <v>-3.89</v>
      </c>
      <c r="M5143" s="30">
        <f>IFERROR(VLOOKUP($A5143,HeadJournal!$A$1:$J$890,COLUMN(HeadJournal!I$1),0)*($K5143+$L5143)/(SUMIF($A:$A,$A5143,$K:$K)+SUMIF($A:$A,$A5143,$L:$L)),0)</f>
        <v>-0.43534793187347925</v>
      </c>
      <c r="N5143" s="30">
        <f>IFERROR((VLOOKUP($A5143,HeadJournal!$A$1:$K$890,COLUMN(HeadJournal!K$1),0)-VLOOKUP($A5143,HeadJournal!$A$1:$K$890,COLUMN(HeadJournal!J$1),0))*($K5143+$L5143)/(SUMIF($A:$A,$A5143,$K:$K)+SUMIF($A:$A,$A5143,$L:$L)),0)</f>
        <v>0</v>
      </c>
      <c r="O5143" s="30">
        <f>IFERROR((VLOOKUP($A5143,HeadJournal!$A$1:$L$890,COLUMN(HeadJournal!L$1),0)*($K5143+$L5143)/(SUMIF($A:$A,$A5143,$K:$K)+SUMIF($A:$A,$A5143,$L:$L)))/VLOOKUP($A5143,HeadJournal!$A$1:$L$890,COLUMN(HeadJournal!H$1),0),0)</f>
        <v>0.27872037176890141</v>
      </c>
      <c r="P5143" s="30">
        <f>IFERROR(SUM(K5143:O5143)*VLOOKUP($A5143,HeadJournal!$A$1:$L$890,COLUMN(HeadJournal!H$1),0),0)</f>
        <v>876.9516690997566</v>
      </c>
      <c r="Q5143" s="29"/>
      <c r="R5143" s="31"/>
      <c r="S5143" s="31"/>
      <c r="T5143" s="95" t="str">
        <f t="shared" si="382"/>
        <v/>
      </c>
      <c r="U5143" s="32">
        <f t="shared" si="383"/>
        <v>-876.9516690997566</v>
      </c>
      <c r="V5143" s="22" t="str">
        <f t="shared" si="384"/>
        <v/>
      </c>
      <c r="X5143" s="33"/>
      <c r="Y5143" s="33"/>
    </row>
    <row r="5144" spans="1:25" x14ac:dyDescent="0.2">
      <c r="A5144" s="93" t="s">
        <v>4421</v>
      </c>
      <c r="B5144" s="94" t="str">
        <f>IFERROR(VLOOKUP($A5144,HeadJournal!$A$1:$NTR$890,COLUMN(HeadJournal!B$1),0),"")</f>
        <v>720000831508</v>
      </c>
      <c r="C5144" s="94" t="str">
        <f>IFERROR(VLOOKUP($A5144,HeadJournal!$A$1:$NTR$890,COLUMN(HeadJournal!C$1),0),"")</f>
        <v>iHerb_AV CYG0792</v>
      </c>
      <c r="D5144" s="125" t="str">
        <f>IFERROR(VLOOKUP($A5144,HeadJournal!$A$1:$NTR$890,COLUMN(HeadJournal!D$1),0),"")</f>
        <v>Доставлен</v>
      </c>
      <c r="E5144" s="95">
        <f>IFERROR(VLOOKUP($A5144,HeadJournal!$A$1:$NTR$890,COLUMN(HeadJournal!G$1),0),"")</f>
        <v>45922</v>
      </c>
      <c r="F5144" s="95" t="str">
        <f t="shared" si="381"/>
        <v>2025 09</v>
      </c>
      <c r="G5144" s="97" t="s">
        <v>5</v>
      </c>
      <c r="H5144" s="161" t="s">
        <v>4407</v>
      </c>
      <c r="I5144" s="97" t="s">
        <v>2045</v>
      </c>
      <c r="J5144" s="97" t="s">
        <v>4408</v>
      </c>
      <c r="K5144" s="29">
        <v>18.02</v>
      </c>
      <c r="L5144" s="29">
        <v>-5.23</v>
      </c>
      <c r="M5144" s="30">
        <f>IFERROR(VLOOKUP($A5144,HeadJournal!$A$1:$J$890,COLUMN(HeadJournal!I$1),0)*($K5144+$L5144)/(SUMIF($A:$A,$A5144,$K:$K)+SUMIF($A:$A,$A5144,$L:$L)),0)</f>
        <v>-0.58365828602324943</v>
      </c>
      <c r="N5144" s="30">
        <f>IFERROR((VLOOKUP($A5144,HeadJournal!$A$1:$K$890,COLUMN(HeadJournal!K$1),0)-VLOOKUP($A5144,HeadJournal!$A$1:$K$890,COLUMN(HeadJournal!J$1),0))*($K5144+$L5144)/(SUMIF($A:$A,$A5144,$K:$K)+SUMIF($A:$A,$A5144,$L:$L)),0)</f>
        <v>0</v>
      </c>
      <c r="O5144" s="30">
        <f>IFERROR((VLOOKUP($A5144,HeadJournal!$A$1:$L$890,COLUMN(HeadJournal!L$1),0)*($K5144+$L5144)/(SUMIF($A:$A,$A5144,$K:$K)+SUMIF($A:$A,$A5144,$L:$L)))/VLOOKUP($A5144,HeadJournal!$A$1:$L$890,COLUMN(HeadJournal!H$1),0),0)</f>
        <v>0.37367228039038247</v>
      </c>
      <c r="P5144" s="30">
        <f>IFERROR(SUM(K5144:O5144)*VLOOKUP($A5144,HeadJournal!$A$1:$L$890,COLUMN(HeadJournal!H$1),0),0)</f>
        <v>1175.7035479859421</v>
      </c>
      <c r="Q5144" s="29">
        <v>2300</v>
      </c>
      <c r="R5144" s="31">
        <v>45957</v>
      </c>
      <c r="S5144" s="31" t="s">
        <v>3497</v>
      </c>
      <c r="T5144" s="95" t="str">
        <f t="shared" si="382"/>
        <v>2025 10</v>
      </c>
      <c r="U5144" s="32">
        <f t="shared" si="383"/>
        <v>1124.2964520140579</v>
      </c>
      <c r="V5144" s="22">
        <f t="shared" si="384"/>
        <v>0.95627546071460956</v>
      </c>
      <c r="X5144" s="33"/>
      <c r="Y5144" s="33"/>
    </row>
    <row r="5145" spans="1:25" x14ac:dyDescent="0.2">
      <c r="A5145" s="93" t="s">
        <v>4421</v>
      </c>
      <c r="B5145" s="94" t="str">
        <f>IFERROR(VLOOKUP($A5145,HeadJournal!$A$1:$NTR$890,COLUMN(HeadJournal!B$1),0),"")</f>
        <v>720000831508</v>
      </c>
      <c r="C5145" s="94" t="str">
        <f>IFERROR(VLOOKUP($A5145,HeadJournal!$A$1:$NTR$890,COLUMN(HeadJournal!C$1),0),"")</f>
        <v>iHerb_AV CYG0792</v>
      </c>
      <c r="D5145" s="125" t="str">
        <f>IFERROR(VLOOKUP($A5145,HeadJournal!$A$1:$NTR$890,COLUMN(HeadJournal!D$1),0),"")</f>
        <v>Доставлен</v>
      </c>
      <c r="E5145" s="95">
        <f>IFERROR(VLOOKUP($A5145,HeadJournal!$A$1:$NTR$890,COLUMN(HeadJournal!G$1),0),"")</f>
        <v>45922</v>
      </c>
      <c r="F5145" s="95" t="str">
        <f t="shared" si="381"/>
        <v>2025 09</v>
      </c>
      <c r="G5145" s="97" t="s">
        <v>5</v>
      </c>
      <c r="H5145" s="161" t="s">
        <v>4409</v>
      </c>
      <c r="I5145" s="97" t="s">
        <v>2009</v>
      </c>
      <c r="J5145" s="97" t="s">
        <v>4410</v>
      </c>
      <c r="K5145" s="29">
        <v>11.23</v>
      </c>
      <c r="L5145" s="29">
        <v>-3.26</v>
      </c>
      <c r="M5145" s="30">
        <f>IFERROR(VLOOKUP($A5145,HeadJournal!$A$1:$J$890,COLUMN(HeadJournal!I$1),0)*($K5145+$L5145)/(SUMIF($A:$A,$A5145,$K:$K)+SUMIF($A:$A,$A5145,$L:$L)),0)</f>
        <v>-0.3637026223303596</v>
      </c>
      <c r="N5145" s="30">
        <f>IFERROR((VLOOKUP($A5145,HeadJournal!$A$1:$K$890,COLUMN(HeadJournal!K$1),0)-VLOOKUP($A5145,HeadJournal!$A$1:$K$890,COLUMN(HeadJournal!J$1),0))*($K5145+$L5145)/(SUMIF($A:$A,$A5145,$K:$K)+SUMIF($A:$A,$A5145,$L:$L)),0)</f>
        <v>0</v>
      </c>
      <c r="O5145" s="30">
        <f>IFERROR((VLOOKUP($A5145,HeadJournal!$A$1:$L$890,COLUMN(HeadJournal!L$1),0)*($K5145+$L5145)/(SUMIF($A:$A,$A5145,$K:$K)+SUMIF($A:$A,$A5145,$L:$L)))/VLOOKUP($A5145,HeadJournal!$A$1:$L$890,COLUMN(HeadJournal!H$1),0),0)</f>
        <v>0.23285129591175521</v>
      </c>
      <c r="P5145" s="30">
        <f>IFERROR(SUM(K5145:O5145)*VLOOKUP($A5145,HeadJournal!$A$1:$L$890,COLUMN(HeadJournal!H$1),0),0)</f>
        <v>732.63153068396866</v>
      </c>
      <c r="Q5145" s="29">
        <v>1600</v>
      </c>
      <c r="R5145" s="31">
        <v>45954</v>
      </c>
      <c r="S5145" s="31" t="s">
        <v>4634</v>
      </c>
      <c r="T5145" s="95" t="str">
        <f t="shared" si="382"/>
        <v>2025 10</v>
      </c>
      <c r="U5145" s="32">
        <f t="shared" si="383"/>
        <v>867.36846931603134</v>
      </c>
      <c r="V5145" s="22">
        <f t="shared" si="384"/>
        <v>1.1839081898458224</v>
      </c>
      <c r="X5145" s="33"/>
      <c r="Y5145" s="33"/>
    </row>
    <row r="5146" spans="1:25" x14ac:dyDescent="0.2">
      <c r="A5146" s="93" t="s">
        <v>4421</v>
      </c>
      <c r="B5146" s="94" t="str">
        <f>IFERROR(VLOOKUP($A5146,HeadJournal!$A$1:$NTR$890,COLUMN(HeadJournal!B$1),0),"")</f>
        <v>720000831508</v>
      </c>
      <c r="C5146" s="94" t="str">
        <f>IFERROR(VLOOKUP($A5146,HeadJournal!$A$1:$NTR$890,COLUMN(HeadJournal!C$1),0),"")</f>
        <v>iHerb_AV CYG0792</v>
      </c>
      <c r="D5146" s="125" t="str">
        <f>IFERROR(VLOOKUP($A5146,HeadJournal!$A$1:$NTR$890,COLUMN(HeadJournal!D$1),0),"")</f>
        <v>Доставлен</v>
      </c>
      <c r="E5146" s="95">
        <f>IFERROR(VLOOKUP($A5146,HeadJournal!$A$1:$NTR$890,COLUMN(HeadJournal!G$1),0),"")</f>
        <v>45922</v>
      </c>
      <c r="F5146" s="95" t="str">
        <f t="shared" si="381"/>
        <v>2025 09</v>
      </c>
      <c r="G5146" s="97" t="s">
        <v>5</v>
      </c>
      <c r="H5146" s="161" t="s">
        <v>2127</v>
      </c>
      <c r="I5146" s="97" t="s">
        <v>2125</v>
      </c>
      <c r="J5146" s="97" t="s">
        <v>4411</v>
      </c>
      <c r="K5146" s="29">
        <v>9.3000000000000007</v>
      </c>
      <c r="L5146" s="29">
        <v>-2.7</v>
      </c>
      <c r="M5146" s="30">
        <f>IFERROR(VLOOKUP($A5146,HeadJournal!$A$1:$J$890,COLUMN(HeadJournal!I$1),0)*($K5146+$L5146)/(SUMIF($A:$A,$A5146,$K:$K)+SUMIF($A:$A,$A5146,$L:$L)),0)</f>
        <v>-0.30118410381184108</v>
      </c>
      <c r="N5146" s="30">
        <f>IFERROR((VLOOKUP($A5146,HeadJournal!$A$1:$K$890,COLUMN(HeadJournal!K$1),0)-VLOOKUP($A5146,HeadJournal!$A$1:$K$890,COLUMN(HeadJournal!J$1),0))*($K5146+$L5146)/(SUMIF($A:$A,$A5146,$K:$K)+SUMIF($A:$A,$A5146,$L:$L)),0)</f>
        <v>0</v>
      </c>
      <c r="O5146" s="30">
        <f>IFERROR((VLOOKUP($A5146,HeadJournal!$A$1:$L$890,COLUMN(HeadJournal!L$1),0)*($K5146+$L5146)/(SUMIF($A:$A,$A5146,$K:$K)+SUMIF($A:$A,$A5146,$L:$L)))/VLOOKUP($A5146,HeadJournal!$A$1:$L$890,COLUMN(HeadJournal!H$1),0),0)</f>
        <v>0.19282541443131548</v>
      </c>
      <c r="P5146" s="30">
        <f>IFERROR(SUM(K5146:O5146)*VLOOKUP($A5146,HeadJournal!$A$1:$L$890,COLUMN(HeadJournal!H$1),0),0)</f>
        <v>606.69612327656125</v>
      </c>
      <c r="Q5146" s="29"/>
      <c r="R5146" s="31"/>
      <c r="S5146" s="31"/>
      <c r="T5146" s="95" t="str">
        <f t="shared" si="382"/>
        <v/>
      </c>
      <c r="U5146" s="32">
        <f t="shared" si="383"/>
        <v>-606.69612327656125</v>
      </c>
      <c r="V5146" s="22" t="str">
        <f t="shared" si="384"/>
        <v/>
      </c>
      <c r="X5146" s="33"/>
      <c r="Y5146" s="33"/>
    </row>
    <row r="5147" spans="1:25" x14ac:dyDescent="0.2">
      <c r="A5147" s="93" t="s">
        <v>4421</v>
      </c>
      <c r="B5147" s="94" t="str">
        <f>IFERROR(VLOOKUP($A5147,HeadJournal!$A$1:$NTR$890,COLUMN(HeadJournal!B$1),0),"")</f>
        <v>720000831508</v>
      </c>
      <c r="C5147" s="94" t="str">
        <f>IFERROR(VLOOKUP($A5147,HeadJournal!$A$1:$NTR$890,COLUMN(HeadJournal!C$1),0),"")</f>
        <v>iHerb_AV CYG0792</v>
      </c>
      <c r="D5147" s="125" t="str">
        <f>IFERROR(VLOOKUP($A5147,HeadJournal!$A$1:$NTR$890,COLUMN(HeadJournal!D$1),0),"")</f>
        <v>Доставлен</v>
      </c>
      <c r="E5147" s="95">
        <f>IFERROR(VLOOKUP($A5147,HeadJournal!$A$1:$NTR$890,COLUMN(HeadJournal!G$1),0),"")</f>
        <v>45922</v>
      </c>
      <c r="F5147" s="95" t="str">
        <f t="shared" si="381"/>
        <v>2025 09</v>
      </c>
      <c r="G5147" s="97" t="s">
        <v>5</v>
      </c>
      <c r="H5147" s="161" t="s">
        <v>2129</v>
      </c>
      <c r="I5147" s="97" t="s">
        <v>2125</v>
      </c>
      <c r="J5147" s="97" t="s">
        <v>2130</v>
      </c>
      <c r="K5147" s="29">
        <v>10.86</v>
      </c>
      <c r="L5147" s="29">
        <v>-3.15</v>
      </c>
      <c r="M5147" s="30">
        <f>IFERROR(VLOOKUP($A5147,HeadJournal!$A$1:$J$890,COLUMN(HeadJournal!I$1),0)*($K5147+$L5147)/(SUMIF($A:$A,$A5147,$K:$K)+SUMIF($A:$A,$A5147,$L:$L)),0)</f>
        <v>-0.35183779399837789</v>
      </c>
      <c r="N5147" s="30">
        <f>IFERROR((VLOOKUP($A5147,HeadJournal!$A$1:$K$890,COLUMN(HeadJournal!K$1),0)-VLOOKUP($A5147,HeadJournal!$A$1:$K$890,COLUMN(HeadJournal!J$1),0))*($K5147+$L5147)/(SUMIF($A:$A,$A5147,$K:$K)+SUMIF($A:$A,$A5147,$L:$L)),0)</f>
        <v>0</v>
      </c>
      <c r="O5147" s="30">
        <f>IFERROR((VLOOKUP($A5147,HeadJournal!$A$1:$L$890,COLUMN(HeadJournal!L$1),0)*($K5147+$L5147)/(SUMIF($A:$A,$A5147,$K:$K)+SUMIF($A:$A,$A5147,$L:$L)))/VLOOKUP($A5147,HeadJournal!$A$1:$L$890,COLUMN(HeadJournal!H$1),0),0)</f>
        <v>0.22525514322203666</v>
      </c>
      <c r="P5147" s="30">
        <f>IFERROR(SUM(K5147:O5147)*VLOOKUP($A5147,HeadJournal!$A$1:$L$890,COLUMN(HeadJournal!H$1),0),0)</f>
        <v>708.73138037307376</v>
      </c>
      <c r="Q5147" s="29">
        <v>2100</v>
      </c>
      <c r="R5147" s="31">
        <v>46038</v>
      </c>
      <c r="S5147" s="31" t="s">
        <v>3487</v>
      </c>
      <c r="T5147" s="95" t="str">
        <f t="shared" si="382"/>
        <v>2026 01</v>
      </c>
      <c r="U5147" s="32">
        <f t="shared" si="383"/>
        <v>1391.2686196269262</v>
      </c>
      <c r="V5147" s="22">
        <f t="shared" si="384"/>
        <v>1.9630408052407207</v>
      </c>
      <c r="X5147" s="33"/>
      <c r="Y5147" s="33"/>
    </row>
    <row r="5148" spans="1:25" x14ac:dyDescent="0.2">
      <c r="A5148" s="93" t="s">
        <v>4421</v>
      </c>
      <c r="B5148" s="94" t="str">
        <f>IFERROR(VLOOKUP($A5148,HeadJournal!$A$1:$NTR$890,COLUMN(HeadJournal!B$1),0),"")</f>
        <v>720000831508</v>
      </c>
      <c r="C5148" s="94" t="str">
        <f>IFERROR(VLOOKUP($A5148,HeadJournal!$A$1:$NTR$890,COLUMN(HeadJournal!C$1),0),"")</f>
        <v>iHerb_AV CYG0792</v>
      </c>
      <c r="D5148" s="125" t="str">
        <f>IFERROR(VLOOKUP($A5148,HeadJournal!$A$1:$NTR$890,COLUMN(HeadJournal!D$1),0),"")</f>
        <v>Доставлен</v>
      </c>
      <c r="E5148" s="95">
        <f>IFERROR(VLOOKUP($A5148,HeadJournal!$A$1:$NTR$890,COLUMN(HeadJournal!G$1),0),"")</f>
        <v>45922</v>
      </c>
      <c r="F5148" s="95" t="str">
        <f t="shared" si="381"/>
        <v>2025 09</v>
      </c>
      <c r="G5148" s="97" t="s">
        <v>5</v>
      </c>
      <c r="H5148" s="161" t="s">
        <v>4412</v>
      </c>
      <c r="I5148" s="97" t="s">
        <v>2125</v>
      </c>
      <c r="J5148" s="97" t="s">
        <v>4413</v>
      </c>
      <c r="K5148" s="29">
        <v>11.64</v>
      </c>
      <c r="L5148" s="29">
        <v>-3.38</v>
      </c>
      <c r="M5148" s="30">
        <f>IFERROR(VLOOKUP($A5148,HeadJournal!$A$1:$J$890,COLUMN(HeadJournal!I$1),0)*($K5148+$L5148)/(SUMIF($A:$A,$A5148,$K:$K)+SUMIF($A:$A,$A5148,$L:$L)),0)</f>
        <v>-0.37693646931603147</v>
      </c>
      <c r="N5148" s="30">
        <f>IFERROR((VLOOKUP($A5148,HeadJournal!$A$1:$K$890,COLUMN(HeadJournal!K$1),0)-VLOOKUP($A5148,HeadJournal!$A$1:$K$890,COLUMN(HeadJournal!J$1),0))*($K5148+$L5148)/(SUMIF($A:$A,$A5148,$K:$K)+SUMIF($A:$A,$A5148,$L:$L)),0)</f>
        <v>0</v>
      </c>
      <c r="O5148" s="30">
        <f>IFERROR((VLOOKUP($A5148,HeadJournal!$A$1:$L$890,COLUMN(HeadJournal!L$1),0)*($K5148+$L5148)/(SUMIF($A:$A,$A5148,$K:$K)+SUMIF($A:$A,$A5148,$L:$L)))/VLOOKUP($A5148,HeadJournal!$A$1:$L$890,COLUMN(HeadJournal!H$1),0),0)</f>
        <v>0.2413239277579797</v>
      </c>
      <c r="P5148" s="30">
        <f>IFERROR(SUM(K5148:O5148)*VLOOKUP($A5148,HeadJournal!$A$1:$L$890,COLUMN(HeadJournal!H$1),0),0)</f>
        <v>759.28939064612075</v>
      </c>
      <c r="Q5148" s="29">
        <v>1700</v>
      </c>
      <c r="R5148" s="31">
        <v>46043</v>
      </c>
      <c r="S5148" s="31"/>
      <c r="T5148" s="95" t="str">
        <f t="shared" si="382"/>
        <v>2026 01</v>
      </c>
      <c r="U5148" s="32">
        <f t="shared" si="383"/>
        <v>940.71060935387925</v>
      </c>
      <c r="V5148" s="22">
        <f t="shared" si="384"/>
        <v>1.2389355375469915</v>
      </c>
      <c r="X5148" s="33"/>
      <c r="Y5148" s="33"/>
    </row>
    <row r="5149" spans="1:25" x14ac:dyDescent="0.2">
      <c r="A5149" s="93" t="s">
        <v>4421</v>
      </c>
      <c r="B5149" s="94" t="str">
        <f>IFERROR(VLOOKUP($A5149,HeadJournal!$A$1:$NTR$890,COLUMN(HeadJournal!B$1),0),"")</f>
        <v>720000831508</v>
      </c>
      <c r="C5149" s="94" t="str">
        <f>IFERROR(VLOOKUP($A5149,HeadJournal!$A$1:$NTR$890,COLUMN(HeadJournal!C$1),0),"")</f>
        <v>iHerb_AV CYG0792</v>
      </c>
      <c r="D5149" s="125" t="str">
        <f>IFERROR(VLOOKUP($A5149,HeadJournal!$A$1:$NTR$890,COLUMN(HeadJournal!D$1),0),"")</f>
        <v>Доставлен</v>
      </c>
      <c r="E5149" s="95">
        <f>IFERROR(VLOOKUP($A5149,HeadJournal!$A$1:$NTR$890,COLUMN(HeadJournal!G$1),0),"")</f>
        <v>45922</v>
      </c>
      <c r="F5149" s="95" t="str">
        <f t="shared" si="381"/>
        <v>2025 09</v>
      </c>
      <c r="G5149" s="97" t="s">
        <v>7</v>
      </c>
      <c r="H5149" s="161" t="s">
        <v>4414</v>
      </c>
      <c r="I5149" s="97" t="s">
        <v>2125</v>
      </c>
      <c r="J5149" s="97" t="s">
        <v>4415</v>
      </c>
      <c r="K5149" s="29">
        <v>8.5399999999999991</v>
      </c>
      <c r="L5149" s="29">
        <v>-2.48</v>
      </c>
      <c r="M5149" s="30">
        <f>IFERROR(VLOOKUP($A5149,HeadJournal!$A$1:$J$890,COLUMN(HeadJournal!I$1),0)*($K5149+$L5149)/(SUMIF($A:$A,$A5149,$K:$K)+SUMIF($A:$A,$A5149,$L:$L)),0)</f>
        <v>-0.27654176804541764</v>
      </c>
      <c r="N5149" s="30">
        <f>IFERROR((VLOOKUP($A5149,HeadJournal!$A$1:$K$890,COLUMN(HeadJournal!K$1),0)-VLOOKUP($A5149,HeadJournal!$A$1:$K$890,COLUMN(HeadJournal!J$1),0))*($K5149+$L5149)/(SUMIF($A:$A,$A5149,$K:$K)+SUMIF($A:$A,$A5149,$L:$L)),0)</f>
        <v>0</v>
      </c>
      <c r="O5149" s="30">
        <f>IFERROR((VLOOKUP($A5149,HeadJournal!$A$1:$L$890,COLUMN(HeadJournal!L$1),0)*($K5149+$L5149)/(SUMIF($A:$A,$A5149,$K:$K)+SUMIF($A:$A,$A5149,$L:$L)))/VLOOKUP($A5149,HeadJournal!$A$1:$L$890,COLUMN(HeadJournal!H$1),0),0)</f>
        <v>0.17704878961420778</v>
      </c>
      <c r="P5149" s="30">
        <f>IFERROR(SUM(K5149:O5149)*VLOOKUP($A5149,HeadJournal!$A$1:$L$890,COLUMN(HeadJournal!H$1),0),0)</f>
        <v>557.05734955393336</v>
      </c>
      <c r="Q5149" s="29"/>
      <c r="R5149" s="31"/>
      <c r="S5149" s="31"/>
      <c r="T5149" s="95" t="str">
        <f t="shared" si="382"/>
        <v/>
      </c>
      <c r="U5149" s="32">
        <f t="shared" si="383"/>
        <v>-557.05734955393336</v>
      </c>
      <c r="V5149" s="22" t="str">
        <f t="shared" si="384"/>
        <v/>
      </c>
      <c r="X5149" s="33"/>
      <c r="Y5149" s="33"/>
    </row>
    <row r="5150" spans="1:25" x14ac:dyDescent="0.2">
      <c r="A5150" s="93" t="s">
        <v>4421</v>
      </c>
      <c r="B5150" s="94" t="str">
        <f>IFERROR(VLOOKUP($A5150,HeadJournal!$A$1:$NTR$890,COLUMN(HeadJournal!B$1),0),"")</f>
        <v>720000831508</v>
      </c>
      <c r="C5150" s="94" t="str">
        <f>IFERROR(VLOOKUP($A5150,HeadJournal!$A$1:$NTR$890,COLUMN(HeadJournal!C$1),0),"")</f>
        <v>iHerb_AV CYG0792</v>
      </c>
      <c r="D5150" s="125" t="str">
        <f>IFERROR(VLOOKUP($A5150,HeadJournal!$A$1:$NTR$890,COLUMN(HeadJournal!D$1),0),"")</f>
        <v>Доставлен</v>
      </c>
      <c r="E5150" s="95">
        <f>IFERROR(VLOOKUP($A5150,HeadJournal!$A$1:$NTR$890,COLUMN(HeadJournal!G$1),0),"")</f>
        <v>45922</v>
      </c>
      <c r="F5150" s="95" t="str">
        <f t="shared" si="381"/>
        <v>2025 09</v>
      </c>
      <c r="G5150" s="97" t="s">
        <v>5</v>
      </c>
      <c r="H5150" s="161" t="s">
        <v>2016</v>
      </c>
      <c r="I5150" s="97" t="s">
        <v>2005</v>
      </c>
      <c r="J5150" s="97" t="s">
        <v>2017</v>
      </c>
      <c r="K5150" s="29">
        <v>40.090000000000003</v>
      </c>
      <c r="L5150" s="29">
        <v>-11.63</v>
      </c>
      <c r="M5150" s="30">
        <f>IFERROR(VLOOKUP($A5150,HeadJournal!$A$1:$J$890,COLUMN(HeadJournal!I$1),0)*($K5150+$L5150)/(SUMIF($A:$A,$A5150,$K:$K)+SUMIF($A:$A,$A5150,$L:$L)),0)</f>
        <v>-1.2987423628007571</v>
      </c>
      <c r="N5150" s="30">
        <f>IFERROR((VLOOKUP($A5150,HeadJournal!$A$1:$K$890,COLUMN(HeadJournal!K$1),0)-VLOOKUP($A5150,HeadJournal!$A$1:$K$890,COLUMN(HeadJournal!J$1),0))*($K5150+$L5150)/(SUMIF($A:$A,$A5150,$K:$K)+SUMIF($A:$A,$A5150,$L:$L)),0)</f>
        <v>0</v>
      </c>
      <c r="O5150" s="30">
        <f>IFERROR((VLOOKUP($A5150,HeadJournal!$A$1:$L$890,COLUMN(HeadJournal!L$1),0)*($K5150+$L5150)/(SUMIF($A:$A,$A5150,$K:$K)+SUMIF($A:$A,$A5150,$L:$L)))/VLOOKUP($A5150,HeadJournal!$A$1:$L$890,COLUMN(HeadJournal!H$1),0),0)</f>
        <v>0.83148655980533903</v>
      </c>
      <c r="P5150" s="30">
        <f>IFERROR(SUM(K5150:O5150)*VLOOKUP($A5150,HeadJournal!$A$1:$L$890,COLUMN(HeadJournal!H$1),0),0)</f>
        <v>2616.1472224925656</v>
      </c>
      <c r="Q5150" s="29">
        <v>4500</v>
      </c>
      <c r="R5150" s="31">
        <v>46034</v>
      </c>
      <c r="S5150" s="31"/>
      <c r="T5150" s="95" t="str">
        <f t="shared" si="382"/>
        <v>2026 01</v>
      </c>
      <c r="U5150" s="32">
        <f t="shared" si="383"/>
        <v>1883.8527775074344</v>
      </c>
      <c r="V5150" s="22">
        <f t="shared" si="384"/>
        <v>0.72008668369686446</v>
      </c>
      <c r="X5150" s="33"/>
      <c r="Y5150" s="33"/>
    </row>
    <row r="5151" spans="1:25" x14ac:dyDescent="0.2">
      <c r="A5151" s="93" t="s">
        <v>4421</v>
      </c>
      <c r="B5151" s="94" t="str">
        <f>IFERROR(VLOOKUP($A5151,HeadJournal!$A$1:$NTR$890,COLUMN(HeadJournal!B$1),0),"")</f>
        <v>720000831508</v>
      </c>
      <c r="C5151" s="94" t="str">
        <f>IFERROR(VLOOKUP($A5151,HeadJournal!$A$1:$NTR$890,COLUMN(HeadJournal!C$1),0),"")</f>
        <v>iHerb_AV CYG0792</v>
      </c>
      <c r="D5151" s="125" t="str">
        <f>IFERROR(VLOOKUP($A5151,HeadJournal!$A$1:$NTR$890,COLUMN(HeadJournal!D$1),0),"")</f>
        <v>Доставлен</v>
      </c>
      <c r="E5151" s="95">
        <f>IFERROR(VLOOKUP($A5151,HeadJournal!$A$1:$NTR$890,COLUMN(HeadJournal!G$1),0),"")</f>
        <v>45922</v>
      </c>
      <c r="F5151" s="95" t="str">
        <f t="shared" si="381"/>
        <v>2025 09</v>
      </c>
      <c r="G5151" s="97" t="s">
        <v>5</v>
      </c>
      <c r="H5151" s="161" t="s">
        <v>4416</v>
      </c>
      <c r="I5151" s="97" t="s">
        <v>4417</v>
      </c>
      <c r="J5151" s="97" t="s">
        <v>4418</v>
      </c>
      <c r="K5151" s="29">
        <v>49.73</v>
      </c>
      <c r="L5151" s="29">
        <v>-14.42</v>
      </c>
      <c r="M5151" s="30">
        <f>IFERROR(VLOOKUP($A5151,HeadJournal!$A$1:$J$890,COLUMN(HeadJournal!I$1),0)*($K5151+$L5151)/(SUMIF($A:$A,$A5151,$K:$K)+SUMIF($A:$A,$A5151,$L:$L)),0)</f>
        <v>-1.6113349553933491</v>
      </c>
      <c r="N5151" s="30">
        <f>IFERROR((VLOOKUP($A5151,HeadJournal!$A$1:$K$890,COLUMN(HeadJournal!K$1),0)-VLOOKUP($A5151,HeadJournal!$A$1:$K$890,COLUMN(HeadJournal!J$1),0))*($K5151+$L5151)/(SUMIF($A:$A,$A5151,$K:$K)+SUMIF($A:$A,$A5151,$L:$L)),0)</f>
        <v>0</v>
      </c>
      <c r="O5151" s="30">
        <f>IFERROR((VLOOKUP($A5151,HeadJournal!$A$1:$L$890,COLUMN(HeadJournal!L$1),0)*($K5151+$L5151)/(SUMIF($A:$A,$A5151,$K:$K)+SUMIF($A:$A,$A5151,$L:$L)))/VLOOKUP($A5151,HeadJournal!$A$1:$L$890,COLUMN(HeadJournal!H$1),0),0)</f>
        <v>1.0316159672075376</v>
      </c>
      <c r="P5151" s="30">
        <f>IFERROR(SUM(K5151:O5151)*VLOOKUP($A5151,HeadJournal!$A$1:$L$890,COLUMN(HeadJournal!H$1),0),0)</f>
        <v>3245.8242595296024</v>
      </c>
      <c r="Q5151" s="29">
        <v>5200</v>
      </c>
      <c r="R5151" s="31">
        <v>46021</v>
      </c>
      <c r="S5151" s="31" t="s">
        <v>3235</v>
      </c>
      <c r="T5151" s="95" t="str">
        <f t="shared" si="382"/>
        <v>2025 12</v>
      </c>
      <c r="U5151" s="32">
        <f t="shared" si="383"/>
        <v>1954.1757404703976</v>
      </c>
      <c r="V5151" s="22">
        <f t="shared" si="384"/>
        <v>0.60205839386806614</v>
      </c>
      <c r="X5151" s="33"/>
      <c r="Y5151" s="33"/>
    </row>
    <row r="5152" spans="1:25" x14ac:dyDescent="0.2">
      <c r="A5152" s="93" t="s">
        <v>4421</v>
      </c>
      <c r="B5152" s="94" t="str">
        <f>IFERROR(VLOOKUP($A5152,HeadJournal!$A$1:$NTR$890,COLUMN(HeadJournal!B$1),0),"")</f>
        <v>720000831508</v>
      </c>
      <c r="C5152" s="94" t="str">
        <f>IFERROR(VLOOKUP($A5152,HeadJournal!$A$1:$NTR$890,COLUMN(HeadJournal!C$1),0),"")</f>
        <v>iHerb_AV CYG0792</v>
      </c>
      <c r="D5152" s="125" t="str">
        <f>IFERROR(VLOOKUP($A5152,HeadJournal!$A$1:$NTR$890,COLUMN(HeadJournal!D$1),0),"")</f>
        <v>Доставлен</v>
      </c>
      <c r="E5152" s="95">
        <f>IFERROR(VLOOKUP($A5152,HeadJournal!$A$1:$NTR$890,COLUMN(HeadJournal!G$1),0),"")</f>
        <v>45922</v>
      </c>
      <c r="F5152" s="95" t="str">
        <f t="shared" si="381"/>
        <v>2025 09</v>
      </c>
      <c r="G5152" s="97" t="s">
        <v>5</v>
      </c>
      <c r="H5152" s="161" t="s">
        <v>4419</v>
      </c>
      <c r="I5152" s="97" t="s">
        <v>2460</v>
      </c>
      <c r="J5152" s="97" t="s">
        <v>4420</v>
      </c>
      <c r="K5152" s="29">
        <v>26.38</v>
      </c>
      <c r="L5152" s="29">
        <v>-7.65</v>
      </c>
      <c r="M5152" s="30">
        <f>IFERROR(VLOOKUP($A5152,HeadJournal!$A$1:$J$890,COLUMN(HeadJournal!I$1),0)*($K5152+$L5152)/(SUMIF($A:$A,$A5152,$K:$K)+SUMIF($A:$A,$A5152,$L:$L)),0)</f>
        <v>-0.85472397945390632</v>
      </c>
      <c r="N5152" s="30">
        <f>IFERROR((VLOOKUP($A5152,HeadJournal!$A$1:$K$890,COLUMN(HeadJournal!K$1),0)-VLOOKUP($A5152,HeadJournal!$A$1:$K$890,COLUMN(HeadJournal!J$1),0))*($K5152+$L5152)/(SUMIF($A:$A,$A5152,$K:$K)+SUMIF($A:$A,$A5152,$L:$L)),0)</f>
        <v>0</v>
      </c>
      <c r="O5152" s="30">
        <f>IFERROR((VLOOKUP($A5152,HeadJournal!$A$1:$L$890,COLUMN(HeadJournal!L$1),0)*($K5152+$L5152)/(SUMIF($A:$A,$A5152,$K:$K)+SUMIF($A:$A,$A5152,$L:$L)))/VLOOKUP($A5152,HeadJournal!$A$1:$L$890,COLUMN(HeadJournal!H$1),0),0)</f>
        <v>0.5472151533785663</v>
      </c>
      <c r="P5152" s="30">
        <f>IFERROR(SUM(K5152:O5152)*VLOOKUP($A5152,HeadJournal!$A$1:$L$890,COLUMN(HeadJournal!H$1),0),0)</f>
        <v>1721.7300589348467</v>
      </c>
      <c r="Q5152" s="29">
        <v>3000</v>
      </c>
      <c r="R5152" s="31">
        <v>45952</v>
      </c>
      <c r="S5152" s="31" t="s">
        <v>3475</v>
      </c>
      <c r="T5152" s="95" t="str">
        <f t="shared" si="382"/>
        <v>2025 10</v>
      </c>
      <c r="U5152" s="32">
        <f t="shared" ref="U5152:U5168" si="385">Q5152-P5152</f>
        <v>1278.2699410651533</v>
      </c>
      <c r="V5152" s="22">
        <f t="shared" ref="V5152:V5168" si="386">IF(Q5152&lt;&gt;0,IFERROR(U5152/P5152,""),"")</f>
        <v>0.74243342295827641</v>
      </c>
      <c r="X5152" s="33"/>
      <c r="Y5152" s="33"/>
    </row>
    <row r="5153" spans="1:25" x14ac:dyDescent="0.2">
      <c r="A5153" s="93" t="s">
        <v>4430</v>
      </c>
      <c r="B5153" s="94" t="str">
        <f>IFERROR(VLOOKUP($A5153,HeadJournal!$A$1:$NTR$890,COLUMN(HeadJournal!B$1),0),"")</f>
        <v>720000811064</v>
      </c>
      <c r="C5153" s="94" t="str">
        <f>IFERROR(VLOOKUP($A5153,HeadJournal!$A$1:$NTR$890,COLUMN(HeadJournal!C$1),0),"")</f>
        <v>iHerb_MH DLE7202</v>
      </c>
      <c r="D5153" s="125" t="str">
        <f>IFERROR(VLOOKUP($A5153,HeadJournal!$A$1:$NTR$890,COLUMN(HeadJournal!D$1),0),"")</f>
        <v>Доставлен</v>
      </c>
      <c r="E5153" s="95">
        <f>IFERROR(VLOOKUP($A5153,HeadJournal!$A$1:$NTR$890,COLUMN(HeadJournal!G$1),0),"")</f>
        <v>45932</v>
      </c>
      <c r="F5153" s="95" t="str">
        <f t="shared" si="381"/>
        <v>2025 10</v>
      </c>
      <c r="G5153" s="97" t="s">
        <v>5</v>
      </c>
      <c r="H5153" s="161" t="s">
        <v>3047</v>
      </c>
      <c r="I5153" s="97" t="s">
        <v>3048</v>
      </c>
      <c r="J5153" s="97" t="s">
        <v>4423</v>
      </c>
      <c r="K5153" s="29">
        <v>7.74</v>
      </c>
      <c r="L5153" s="29">
        <v>-1.55</v>
      </c>
      <c r="M5153" s="30">
        <f>IFERROR(VLOOKUP($A5153,HeadJournal!$A$1:$J$890,COLUMN(HeadJournal!I$1),0)*($K5153+$L5153)/(SUMIF($A:$A,$A5153,$K:$K)+SUMIF($A:$A,$A5153,$L:$L)),0)</f>
        <v>-0.32284282928942815</v>
      </c>
      <c r="N5153" s="30">
        <f>IFERROR((VLOOKUP($A5153,HeadJournal!$A$1:$K$890,COLUMN(HeadJournal!K$1),0)-VLOOKUP($A5153,HeadJournal!$A$1:$K$890,COLUMN(HeadJournal!J$1),0))*($K5153+$L5153)/(SUMIF($A:$A,$A5153,$K:$K)+SUMIF($A:$A,$A5153,$L:$L)),0)</f>
        <v>0</v>
      </c>
      <c r="O5153" s="30">
        <f>IFERROR((VLOOKUP($A5153,HeadJournal!$A$1:$L$890,COLUMN(HeadJournal!L$1),0)*($K5153+$L5153)/(SUMIF($A:$A,$A5153,$K:$K)+SUMIF($A:$A,$A5153,$L:$L)))/VLOOKUP($A5153,HeadJournal!$A$1:$L$890,COLUMN(HeadJournal!H$1),0),0)</f>
        <v>0.1448455927858083</v>
      </c>
      <c r="P5153" s="30">
        <f>IFERROR(SUM(K5153:O5153)*VLOOKUP($A5153,HeadJournal!$A$1:$L$890,COLUMN(HeadJournal!H$1),0),0)</f>
        <v>562.16021772097065</v>
      </c>
      <c r="Q5153" s="29">
        <v>1200</v>
      </c>
      <c r="R5153" s="31">
        <v>45962</v>
      </c>
      <c r="S5153" s="31" t="s">
        <v>4865</v>
      </c>
      <c r="T5153" s="95" t="str">
        <f t="shared" si="382"/>
        <v>2025 11</v>
      </c>
      <c r="U5153" s="32">
        <f t="shared" si="385"/>
        <v>637.83978227902935</v>
      </c>
      <c r="V5153" s="22">
        <f t="shared" si="386"/>
        <v>1.1346227679803953</v>
      </c>
      <c r="X5153" s="33"/>
      <c r="Y5153" s="33"/>
    </row>
    <row r="5154" spans="1:25" x14ac:dyDescent="0.2">
      <c r="A5154" s="93" t="s">
        <v>4430</v>
      </c>
      <c r="B5154" s="94" t="str">
        <f>IFERROR(VLOOKUP($A5154,HeadJournal!$A$1:$NTR$890,COLUMN(HeadJournal!B$1),0),"")</f>
        <v>720000811064</v>
      </c>
      <c r="C5154" s="94" t="str">
        <f>IFERROR(VLOOKUP($A5154,HeadJournal!$A$1:$NTR$890,COLUMN(HeadJournal!C$1),0),"")</f>
        <v>iHerb_MH DLE7202</v>
      </c>
      <c r="D5154" s="125" t="str">
        <f>IFERROR(VLOOKUP($A5154,HeadJournal!$A$1:$NTR$890,COLUMN(HeadJournal!D$1),0),"")</f>
        <v>Доставлен</v>
      </c>
      <c r="E5154" s="95">
        <f>IFERROR(VLOOKUP($A5154,HeadJournal!$A$1:$NTR$890,COLUMN(HeadJournal!G$1),0),"")</f>
        <v>45932</v>
      </c>
      <c r="F5154" s="95" t="str">
        <f t="shared" si="381"/>
        <v>2025 10</v>
      </c>
      <c r="G5154" s="97" t="s">
        <v>5</v>
      </c>
      <c r="H5154" s="161" t="s">
        <v>4424</v>
      </c>
      <c r="I5154" s="97" t="s">
        <v>2159</v>
      </c>
      <c r="J5154" s="97" t="s">
        <v>4425</v>
      </c>
      <c r="K5154" s="29">
        <v>33.75</v>
      </c>
      <c r="L5154" s="29">
        <v>-6.75</v>
      </c>
      <c r="M5154" s="30">
        <f>IFERROR(VLOOKUP($A5154,HeadJournal!$A$1:$J$890,COLUMN(HeadJournal!I$1),0)*($K5154+$L5154)/(SUMIF($A:$A,$A5154,$K:$K)+SUMIF($A:$A,$A5154,$L:$L)),0)</f>
        <v>-1.4081997400346624</v>
      </c>
      <c r="N5154" s="30">
        <f>IFERROR((VLOOKUP($A5154,HeadJournal!$A$1:$K$890,COLUMN(HeadJournal!K$1),0)-VLOOKUP($A5154,HeadJournal!$A$1:$K$890,COLUMN(HeadJournal!J$1),0))*($K5154+$L5154)/(SUMIF($A:$A,$A5154,$K:$K)+SUMIF($A:$A,$A5154,$L:$L)),0)</f>
        <v>0</v>
      </c>
      <c r="O5154" s="30">
        <f>IFERROR((VLOOKUP($A5154,HeadJournal!$A$1:$L$890,COLUMN(HeadJournal!L$1),0)*($K5154+$L5154)/(SUMIF($A:$A,$A5154,$K:$K)+SUMIF($A:$A,$A5154,$L:$L)))/VLOOKUP($A5154,HeadJournal!$A$1:$L$890,COLUMN(HeadJournal!H$1),0),0)</f>
        <v>0.63179822378300865</v>
      </c>
      <c r="P5154" s="30">
        <f>IFERROR(SUM(K5154:O5154)*VLOOKUP($A5154,HeadJournal!$A$1:$L$890,COLUMN(HeadJournal!H$1),0),0)</f>
        <v>2452.0720320623918</v>
      </c>
      <c r="Q5154" s="29">
        <v>3650</v>
      </c>
      <c r="R5154" s="31">
        <v>45962</v>
      </c>
      <c r="S5154" s="31" t="s">
        <v>4865</v>
      </c>
      <c r="T5154" s="95" t="str">
        <f t="shared" si="382"/>
        <v>2025 11</v>
      </c>
      <c r="U5154" s="32">
        <f t="shared" si="385"/>
        <v>1197.9279679376082</v>
      </c>
      <c r="V5154" s="22">
        <f t="shared" si="386"/>
        <v>0.48853702186311931</v>
      </c>
      <c r="X5154" s="33"/>
      <c r="Y5154" s="33"/>
    </row>
    <row r="5155" spans="1:25" x14ac:dyDescent="0.2">
      <c r="A5155" s="93" t="s">
        <v>4430</v>
      </c>
      <c r="B5155" s="94" t="str">
        <f>IFERROR(VLOOKUP($A5155,HeadJournal!$A$1:$NTR$890,COLUMN(HeadJournal!B$1),0),"")</f>
        <v>720000811064</v>
      </c>
      <c r="C5155" s="94" t="str">
        <f>IFERROR(VLOOKUP($A5155,HeadJournal!$A$1:$NTR$890,COLUMN(HeadJournal!C$1),0),"")</f>
        <v>iHerb_MH DLE7202</v>
      </c>
      <c r="D5155" s="125" t="str">
        <f>IFERROR(VLOOKUP($A5155,HeadJournal!$A$1:$NTR$890,COLUMN(HeadJournal!D$1),0),"")</f>
        <v>Доставлен</v>
      </c>
      <c r="E5155" s="95">
        <f>IFERROR(VLOOKUP($A5155,HeadJournal!$A$1:$NTR$890,COLUMN(HeadJournal!G$1),0),"")</f>
        <v>45932</v>
      </c>
      <c r="F5155" s="95" t="str">
        <f t="shared" si="381"/>
        <v>2025 10</v>
      </c>
      <c r="G5155" s="97" t="s">
        <v>5</v>
      </c>
      <c r="H5155" s="161" t="s">
        <v>2105</v>
      </c>
      <c r="I5155" s="97" t="s">
        <v>2039</v>
      </c>
      <c r="J5155" s="97" t="s">
        <v>2106</v>
      </c>
      <c r="K5155" s="29">
        <v>12.6</v>
      </c>
      <c r="L5155" s="29">
        <v>-2.52</v>
      </c>
      <c r="M5155" s="30">
        <f>IFERROR(VLOOKUP($A5155,HeadJournal!$A$1:$J$890,COLUMN(HeadJournal!I$1),0)*($K5155+$L5155)/(SUMIF($A:$A,$A5155,$K:$K)+SUMIF($A:$A,$A5155,$L:$L)),0)</f>
        <v>-0.52572790294627392</v>
      </c>
      <c r="N5155" s="30">
        <f>IFERROR((VLOOKUP($A5155,HeadJournal!$A$1:$K$890,COLUMN(HeadJournal!K$1),0)-VLOOKUP($A5155,HeadJournal!$A$1:$K$890,COLUMN(HeadJournal!J$1),0))*($K5155+$L5155)/(SUMIF($A:$A,$A5155,$K:$K)+SUMIF($A:$A,$A5155,$L:$L)),0)</f>
        <v>0</v>
      </c>
      <c r="O5155" s="30">
        <f>IFERROR((VLOOKUP($A5155,HeadJournal!$A$1:$L$890,COLUMN(HeadJournal!L$1),0)*($K5155+$L5155)/(SUMIF($A:$A,$A5155,$K:$K)+SUMIF($A:$A,$A5155,$L:$L)))/VLOOKUP($A5155,HeadJournal!$A$1:$L$890,COLUMN(HeadJournal!H$1),0),0)</f>
        <v>0.2358713368789899</v>
      </c>
      <c r="P5155" s="30">
        <f>IFERROR(SUM(K5155:O5155)*VLOOKUP($A5155,HeadJournal!$A$1:$L$890,COLUMN(HeadJournal!H$1),0),0)</f>
        <v>915.440225303293</v>
      </c>
      <c r="Q5155" s="29">
        <v>1700</v>
      </c>
      <c r="R5155" s="31">
        <v>45967</v>
      </c>
      <c r="S5155" s="31" t="s">
        <v>4868</v>
      </c>
      <c r="T5155" s="95" t="str">
        <f t="shared" si="382"/>
        <v>2025 11</v>
      </c>
      <c r="U5155" s="32">
        <f t="shared" si="385"/>
        <v>784.559774696707</v>
      </c>
      <c r="V5155" s="22">
        <f t="shared" si="386"/>
        <v>0.85703004195252153</v>
      </c>
      <c r="X5155" s="33"/>
      <c r="Y5155" s="33"/>
    </row>
    <row r="5156" spans="1:25" x14ac:dyDescent="0.2">
      <c r="A5156" s="93" t="s">
        <v>4430</v>
      </c>
      <c r="B5156" s="94" t="str">
        <f>IFERROR(VLOOKUP($A5156,HeadJournal!$A$1:$NTR$890,COLUMN(HeadJournal!B$1),0),"")</f>
        <v>720000811064</v>
      </c>
      <c r="C5156" s="94" t="str">
        <f>IFERROR(VLOOKUP($A5156,HeadJournal!$A$1:$NTR$890,COLUMN(HeadJournal!C$1),0),"")</f>
        <v>iHerb_MH DLE7202</v>
      </c>
      <c r="D5156" s="125" t="str">
        <f>IFERROR(VLOOKUP($A5156,HeadJournal!$A$1:$NTR$890,COLUMN(HeadJournal!D$1),0),"")</f>
        <v>Доставлен</v>
      </c>
      <c r="E5156" s="95">
        <f>IFERROR(VLOOKUP($A5156,HeadJournal!$A$1:$NTR$890,COLUMN(HeadJournal!G$1),0),"")</f>
        <v>45932</v>
      </c>
      <c r="F5156" s="95" t="str">
        <f t="shared" si="381"/>
        <v>2025 10</v>
      </c>
      <c r="G5156" s="97" t="s">
        <v>5</v>
      </c>
      <c r="H5156" s="161" t="s">
        <v>2103</v>
      </c>
      <c r="I5156" s="97" t="s">
        <v>2039</v>
      </c>
      <c r="J5156" s="97" t="s">
        <v>2104</v>
      </c>
      <c r="K5156" s="29">
        <v>20.48</v>
      </c>
      <c r="L5156" s="29">
        <v>-4.0999999999999996</v>
      </c>
      <c r="M5156" s="30">
        <f>IFERROR(VLOOKUP($A5156,HeadJournal!$A$1:$J$890,COLUMN(HeadJournal!I$1),0)*($K5156+$L5156)/(SUMIF($A:$A,$A5156,$K:$K)+SUMIF($A:$A,$A5156,$L:$L)),0)</f>
        <v>-0.8543078422876953</v>
      </c>
      <c r="N5156" s="30">
        <f>IFERROR((VLOOKUP($A5156,HeadJournal!$A$1:$K$890,COLUMN(HeadJournal!K$1),0)-VLOOKUP($A5156,HeadJournal!$A$1:$K$890,COLUMN(HeadJournal!J$1),0))*($K5156+$L5156)/(SUMIF($A:$A,$A5156,$K:$K)+SUMIF($A:$A,$A5156,$L:$L)),0)</f>
        <v>0</v>
      </c>
      <c r="O5156" s="30">
        <f>IFERROR((VLOOKUP($A5156,HeadJournal!$A$1:$L$890,COLUMN(HeadJournal!L$1),0)*($K5156+$L5156)/(SUMIF($A:$A,$A5156,$K:$K)+SUMIF($A:$A,$A5156,$L:$L)))/VLOOKUP($A5156,HeadJournal!$A$1:$L$890,COLUMN(HeadJournal!H$1),0),0)</f>
        <v>0.38329092242835866</v>
      </c>
      <c r="P5156" s="30">
        <f>IFERROR(SUM(K5156:O5156)*VLOOKUP($A5156,HeadJournal!$A$1:$L$890,COLUMN(HeadJournal!H$1),0),0)</f>
        <v>1487.5903661178513</v>
      </c>
      <c r="Q5156" s="29">
        <v>2300</v>
      </c>
      <c r="R5156" s="31">
        <v>45967</v>
      </c>
      <c r="S5156" s="31" t="s">
        <v>4868</v>
      </c>
      <c r="T5156" s="95" t="str">
        <f t="shared" si="382"/>
        <v>2025 11</v>
      </c>
      <c r="U5156" s="32">
        <f t="shared" si="385"/>
        <v>812.40963388214868</v>
      </c>
      <c r="V5156" s="22">
        <f t="shared" si="386"/>
        <v>0.54612455981567387</v>
      </c>
      <c r="X5156" s="33"/>
      <c r="Y5156" s="33"/>
    </row>
    <row r="5157" spans="1:25" x14ac:dyDescent="0.2">
      <c r="A5157" s="93" t="s">
        <v>4430</v>
      </c>
      <c r="B5157" s="94" t="str">
        <f>IFERROR(VLOOKUP($A5157,HeadJournal!$A$1:$NTR$890,COLUMN(HeadJournal!B$1),0),"")</f>
        <v>720000811064</v>
      </c>
      <c r="C5157" s="94" t="str">
        <f>IFERROR(VLOOKUP($A5157,HeadJournal!$A$1:$NTR$890,COLUMN(HeadJournal!C$1),0),"")</f>
        <v>iHerb_MH DLE7202</v>
      </c>
      <c r="D5157" s="125" t="str">
        <f>IFERROR(VLOOKUP($A5157,HeadJournal!$A$1:$NTR$890,COLUMN(HeadJournal!D$1),0),"")</f>
        <v>Доставлен</v>
      </c>
      <c r="E5157" s="95">
        <f>IFERROR(VLOOKUP($A5157,HeadJournal!$A$1:$NTR$890,COLUMN(HeadJournal!G$1),0),"")</f>
        <v>45932</v>
      </c>
      <c r="F5157" s="95" t="str">
        <f t="shared" si="381"/>
        <v>2025 10</v>
      </c>
      <c r="G5157" s="97" t="s">
        <v>5</v>
      </c>
      <c r="H5157" s="161" t="s">
        <v>2471</v>
      </c>
      <c r="I5157" s="97" t="s">
        <v>2039</v>
      </c>
      <c r="J5157" s="97" t="s">
        <v>2472</v>
      </c>
      <c r="K5157" s="29">
        <v>20.07</v>
      </c>
      <c r="L5157" s="29">
        <v>-4.0149999999999997</v>
      </c>
      <c r="M5157" s="30">
        <f>IFERROR(VLOOKUP($A5157,HeadJournal!$A$1:$J$890,COLUMN(HeadJournal!I$1),0)*($K5157+$L5157)/(SUMIF($A:$A,$A5157,$K:$K)+SUMIF($A:$A,$A5157,$L:$L)),0)</f>
        <v>-0.83735728986135194</v>
      </c>
      <c r="N5157" s="30">
        <f>IFERROR((VLOOKUP($A5157,HeadJournal!$A$1:$K$890,COLUMN(HeadJournal!K$1),0)-VLOOKUP($A5157,HeadJournal!$A$1:$K$890,COLUMN(HeadJournal!J$1),0))*($K5157+$L5157)/(SUMIF($A:$A,$A5157,$K:$K)+SUMIF($A:$A,$A5157,$L:$L)),0)</f>
        <v>0</v>
      </c>
      <c r="O5157" s="30">
        <f>IFERROR((VLOOKUP($A5157,HeadJournal!$A$1:$L$890,COLUMN(HeadJournal!L$1),0)*($K5157+$L5157)/(SUMIF($A:$A,$A5157,$K:$K)+SUMIF($A:$A,$A5157,$L:$L)))/VLOOKUP($A5157,HeadJournal!$A$1:$L$890,COLUMN(HeadJournal!H$1),0),0)</f>
        <v>0.37568594380874831</v>
      </c>
      <c r="P5157" s="30">
        <f>IFERROR(SUM(K5157:O5157)*VLOOKUP($A5157,HeadJournal!$A$1:$L$890,COLUMN(HeadJournal!H$1),0),0)</f>
        <v>1458.0746842504334</v>
      </c>
      <c r="Q5157" s="29">
        <v>2600</v>
      </c>
      <c r="R5157" s="31">
        <v>45952</v>
      </c>
      <c r="S5157" s="31" t="s">
        <v>4630</v>
      </c>
      <c r="T5157" s="95" t="str">
        <f t="shared" si="382"/>
        <v>2025 10</v>
      </c>
      <c r="U5157" s="32">
        <f t="shared" si="385"/>
        <v>1141.9253157495666</v>
      </c>
      <c r="V5157" s="22">
        <f t="shared" si="386"/>
        <v>0.78317340537093771</v>
      </c>
      <c r="X5157" s="33"/>
      <c r="Y5157" s="33"/>
    </row>
    <row r="5158" spans="1:25" x14ac:dyDescent="0.2">
      <c r="A5158" s="93" t="s">
        <v>4430</v>
      </c>
      <c r="B5158" s="94" t="str">
        <f>IFERROR(VLOOKUP($A5158,HeadJournal!$A$1:$NTR$890,COLUMN(HeadJournal!B$1),0),"")</f>
        <v>720000811064</v>
      </c>
      <c r="C5158" s="94" t="str">
        <f>IFERROR(VLOOKUP($A5158,HeadJournal!$A$1:$NTR$890,COLUMN(HeadJournal!C$1),0),"")</f>
        <v>iHerb_MH DLE7202</v>
      </c>
      <c r="D5158" s="125" t="str">
        <f>IFERROR(VLOOKUP($A5158,HeadJournal!$A$1:$NTR$890,COLUMN(HeadJournal!D$1),0),"")</f>
        <v>Доставлен</v>
      </c>
      <c r="E5158" s="95">
        <f>IFERROR(VLOOKUP($A5158,HeadJournal!$A$1:$NTR$890,COLUMN(HeadJournal!G$1),0),"")</f>
        <v>45932</v>
      </c>
      <c r="F5158" s="95" t="str">
        <f t="shared" si="381"/>
        <v>2025 10</v>
      </c>
      <c r="G5158" s="97" t="s">
        <v>5</v>
      </c>
      <c r="H5158" s="161" t="s">
        <v>2471</v>
      </c>
      <c r="I5158" s="97" t="s">
        <v>2039</v>
      </c>
      <c r="J5158" s="97" t="s">
        <v>2472</v>
      </c>
      <c r="K5158" s="29">
        <v>20.07</v>
      </c>
      <c r="L5158" s="29">
        <v>-4.0149999999999997</v>
      </c>
      <c r="M5158" s="30">
        <f>IFERROR(VLOOKUP($A5158,HeadJournal!$A$1:$J$890,COLUMN(HeadJournal!I$1),0)*($K5158+$L5158)/(SUMIF($A:$A,$A5158,$K:$K)+SUMIF($A:$A,$A5158,$L:$L)),0)</f>
        <v>-0.83735728986135194</v>
      </c>
      <c r="N5158" s="30">
        <f>IFERROR((VLOOKUP($A5158,HeadJournal!$A$1:$K$890,COLUMN(HeadJournal!K$1),0)-VLOOKUP($A5158,HeadJournal!$A$1:$K$890,COLUMN(HeadJournal!J$1),0))*($K5158+$L5158)/(SUMIF($A:$A,$A5158,$K:$K)+SUMIF($A:$A,$A5158,$L:$L)),0)</f>
        <v>0</v>
      </c>
      <c r="O5158" s="30">
        <f>IFERROR((VLOOKUP($A5158,HeadJournal!$A$1:$L$890,COLUMN(HeadJournal!L$1),0)*($K5158+$L5158)/(SUMIF($A:$A,$A5158,$K:$K)+SUMIF($A:$A,$A5158,$L:$L)))/VLOOKUP($A5158,HeadJournal!$A$1:$L$890,COLUMN(HeadJournal!H$1),0),0)</f>
        <v>0.37568594380874831</v>
      </c>
      <c r="P5158" s="30">
        <f>IFERROR(SUM(K5158:O5158)*VLOOKUP($A5158,HeadJournal!$A$1:$L$890,COLUMN(HeadJournal!H$1),0),0)</f>
        <v>1458.0746842504334</v>
      </c>
      <c r="Q5158" s="29">
        <v>2600</v>
      </c>
      <c r="R5158" s="31">
        <v>45962</v>
      </c>
      <c r="S5158" s="31" t="s">
        <v>4872</v>
      </c>
      <c r="T5158" s="95" t="str">
        <f t="shared" si="382"/>
        <v>2025 11</v>
      </c>
      <c r="U5158" s="32">
        <f t="shared" si="385"/>
        <v>1141.9253157495666</v>
      </c>
      <c r="V5158" s="22">
        <f t="shared" si="386"/>
        <v>0.78317340537093771</v>
      </c>
      <c r="X5158" s="33"/>
      <c r="Y5158" s="33"/>
    </row>
    <row r="5159" spans="1:25" x14ac:dyDescent="0.2">
      <c r="A5159" s="93" t="s">
        <v>4430</v>
      </c>
      <c r="B5159" s="94" t="str">
        <f>IFERROR(VLOOKUP($A5159,HeadJournal!$A$1:$NTR$890,COLUMN(HeadJournal!B$1),0),"")</f>
        <v>720000811064</v>
      </c>
      <c r="C5159" s="94" t="str">
        <f>IFERROR(VLOOKUP($A5159,HeadJournal!$A$1:$NTR$890,COLUMN(HeadJournal!C$1),0),"")</f>
        <v>iHerb_MH DLE7202</v>
      </c>
      <c r="D5159" s="125" t="str">
        <f>IFERROR(VLOOKUP($A5159,HeadJournal!$A$1:$NTR$890,COLUMN(HeadJournal!D$1),0),"")</f>
        <v>Доставлен</v>
      </c>
      <c r="E5159" s="95">
        <f>IFERROR(VLOOKUP($A5159,HeadJournal!$A$1:$NTR$890,COLUMN(HeadJournal!G$1),0),"")</f>
        <v>45932</v>
      </c>
      <c r="F5159" s="95" t="str">
        <f t="shared" si="381"/>
        <v>2025 10</v>
      </c>
      <c r="G5159" s="97" t="s">
        <v>5</v>
      </c>
      <c r="H5159" s="161" t="s">
        <v>2543</v>
      </c>
      <c r="I5159" s="97" t="s">
        <v>2544</v>
      </c>
      <c r="J5159" s="97" t="s">
        <v>2545</v>
      </c>
      <c r="K5159" s="29">
        <v>29.57</v>
      </c>
      <c r="L5159" s="29">
        <v>-5.91</v>
      </c>
      <c r="M5159" s="30">
        <f>IFERROR(VLOOKUP($A5159,HeadJournal!$A$1:$J$890,COLUMN(HeadJournal!I$1),0)*($K5159+$L5159)/(SUMIF($A:$A,$A5159,$K:$K)+SUMIF($A:$A,$A5159,$L:$L)),0)</f>
        <v>-1.2340002166377819</v>
      </c>
      <c r="N5159" s="30">
        <f>IFERROR((VLOOKUP($A5159,HeadJournal!$A$1:$K$890,COLUMN(HeadJournal!K$1),0)-VLOOKUP($A5159,HeadJournal!$A$1:$K$890,COLUMN(HeadJournal!J$1),0))*($K5159+$L5159)/(SUMIF($A:$A,$A5159,$K:$K)+SUMIF($A:$A,$A5159,$L:$L)),0)</f>
        <v>0</v>
      </c>
      <c r="O5159" s="30">
        <f>IFERROR((VLOOKUP($A5159,HeadJournal!$A$1:$L$890,COLUMN(HeadJournal!L$1),0)*($K5159+$L5159)/(SUMIF($A:$A,$A5159,$K:$K)+SUMIF($A:$A,$A5159,$L:$L)))/VLOOKUP($A5159,HeadJournal!$A$1:$L$890,COLUMN(HeadJournal!H$1),0),0)</f>
        <v>0.55364244350762903</v>
      </c>
      <c r="P5159" s="30">
        <f>IFERROR(SUM(K5159:O5159)*VLOOKUP($A5159,HeadJournal!$A$1:$L$890,COLUMN(HeadJournal!H$1),0),0)</f>
        <v>2148.7416399480076</v>
      </c>
      <c r="Q5159" s="29">
        <v>3100</v>
      </c>
      <c r="R5159" s="31">
        <v>45962</v>
      </c>
      <c r="S5159" s="31" t="s">
        <v>3466</v>
      </c>
      <c r="T5159" s="95" t="str">
        <f t="shared" si="382"/>
        <v>2025 11</v>
      </c>
      <c r="U5159" s="32">
        <f t="shared" si="385"/>
        <v>951.25836005199244</v>
      </c>
      <c r="V5159" s="22">
        <f t="shared" si="386"/>
        <v>0.44270485681796984</v>
      </c>
      <c r="X5159" s="33"/>
      <c r="Y5159" s="33"/>
    </row>
    <row r="5160" spans="1:25" x14ac:dyDescent="0.2">
      <c r="A5160" s="93" t="s">
        <v>4430</v>
      </c>
      <c r="B5160" s="94" t="str">
        <f>IFERROR(VLOOKUP($A5160,HeadJournal!$A$1:$NTR$890,COLUMN(HeadJournal!B$1),0),"")</f>
        <v>720000811064</v>
      </c>
      <c r="C5160" s="94" t="str">
        <f>IFERROR(VLOOKUP($A5160,HeadJournal!$A$1:$NTR$890,COLUMN(HeadJournal!C$1),0),"")</f>
        <v>iHerb_MH DLE7202</v>
      </c>
      <c r="D5160" s="125" t="str">
        <f>IFERROR(VLOOKUP($A5160,HeadJournal!$A$1:$NTR$890,COLUMN(HeadJournal!D$1),0),"")</f>
        <v>Доставлен</v>
      </c>
      <c r="E5160" s="95">
        <f>IFERROR(VLOOKUP($A5160,HeadJournal!$A$1:$NTR$890,COLUMN(HeadJournal!G$1),0),"")</f>
        <v>45932</v>
      </c>
      <c r="F5160" s="95" t="str">
        <f t="shared" si="381"/>
        <v>2025 10</v>
      </c>
      <c r="G5160" s="97" t="s">
        <v>5</v>
      </c>
      <c r="H5160" s="161" t="s">
        <v>2546</v>
      </c>
      <c r="I5160" s="97" t="s">
        <v>2039</v>
      </c>
      <c r="J5160" s="97" t="s">
        <v>2547</v>
      </c>
      <c r="K5160" s="29">
        <v>10.36</v>
      </c>
      <c r="L5160" s="29">
        <v>-2.0699999999999998</v>
      </c>
      <c r="M5160" s="30">
        <f>IFERROR(VLOOKUP($A5160,HeadJournal!$A$1:$J$890,COLUMN(HeadJournal!I$1),0)*($K5160+$L5160)/(SUMIF($A:$A,$A5160,$K:$K)+SUMIF($A:$A,$A5160,$L:$L)),0)</f>
        <v>-0.43236947573656853</v>
      </c>
      <c r="N5160" s="30">
        <f>IFERROR((VLOOKUP($A5160,HeadJournal!$A$1:$K$890,COLUMN(HeadJournal!K$1),0)-VLOOKUP($A5160,HeadJournal!$A$1:$K$890,COLUMN(HeadJournal!J$1),0))*($K5160+$L5160)/(SUMIF($A:$A,$A5160,$K:$K)+SUMIF($A:$A,$A5160,$L:$L)),0)</f>
        <v>0</v>
      </c>
      <c r="O5160" s="30">
        <f>IFERROR((VLOOKUP($A5160,HeadJournal!$A$1:$L$890,COLUMN(HeadJournal!L$1),0)*($K5160+$L5160)/(SUMIF($A:$A,$A5160,$K:$K)+SUMIF($A:$A,$A5160,$L:$L)))/VLOOKUP($A5160,HeadJournal!$A$1:$L$890,COLUMN(HeadJournal!H$1),0),0)</f>
        <v>0.19398545463559783</v>
      </c>
      <c r="P5160" s="30">
        <f>IFERROR(SUM(K5160:O5160)*VLOOKUP($A5160,HeadJournal!$A$1:$L$890,COLUMN(HeadJournal!H$1),0),0)</f>
        <v>752.87693132582319</v>
      </c>
      <c r="Q5160" s="29">
        <v>1350</v>
      </c>
      <c r="R5160" s="31">
        <v>45962</v>
      </c>
      <c r="S5160" s="31" t="s">
        <v>3466</v>
      </c>
      <c r="T5160" s="95" t="str">
        <f t="shared" si="382"/>
        <v>2025 11</v>
      </c>
      <c r="U5160" s="32">
        <f t="shared" si="385"/>
        <v>597.12306867417681</v>
      </c>
      <c r="V5160" s="22">
        <f t="shared" si="386"/>
        <v>0.79312174915844158</v>
      </c>
      <c r="X5160" s="33"/>
      <c r="Y5160" s="33"/>
    </row>
    <row r="5161" spans="1:25" x14ac:dyDescent="0.2">
      <c r="A5161" s="93" t="s">
        <v>4430</v>
      </c>
      <c r="B5161" s="94" t="str">
        <f>IFERROR(VLOOKUP($A5161,HeadJournal!$A$1:$NTR$890,COLUMN(HeadJournal!B$1),0),"")</f>
        <v>720000811064</v>
      </c>
      <c r="C5161" s="94" t="str">
        <f>IFERROR(VLOOKUP($A5161,HeadJournal!$A$1:$NTR$890,COLUMN(HeadJournal!C$1),0),"")</f>
        <v>iHerb_MH DLE7202</v>
      </c>
      <c r="D5161" s="125" t="str">
        <f>IFERROR(VLOOKUP($A5161,HeadJournal!$A$1:$NTR$890,COLUMN(HeadJournal!D$1),0),"")</f>
        <v>Доставлен</v>
      </c>
      <c r="E5161" s="95">
        <f>IFERROR(VLOOKUP($A5161,HeadJournal!$A$1:$NTR$890,COLUMN(HeadJournal!G$1),0),"")</f>
        <v>45932</v>
      </c>
      <c r="F5161" s="95" t="str">
        <f t="shared" si="381"/>
        <v>2025 10</v>
      </c>
      <c r="G5161" s="97" t="s">
        <v>5</v>
      </c>
      <c r="H5161" s="161" t="s">
        <v>2702</v>
      </c>
      <c r="I5161" s="97" t="s">
        <v>2703</v>
      </c>
      <c r="J5161" s="97" t="s">
        <v>2704</v>
      </c>
      <c r="K5161" s="29">
        <v>6.29</v>
      </c>
      <c r="L5161" s="29">
        <v>-1.26</v>
      </c>
      <c r="M5161" s="30">
        <f>IFERROR(VLOOKUP($A5161,HeadJournal!$A$1:$J$890,COLUMN(HeadJournal!I$1),0)*($K5161+$L5161)/(SUMIF($A:$A,$A5161,$K:$K)+SUMIF($A:$A,$A5161,$L:$L)),0)</f>
        <v>-0.26234239601386483</v>
      </c>
      <c r="N5161" s="30">
        <f>IFERROR((VLOOKUP($A5161,HeadJournal!$A$1:$K$890,COLUMN(HeadJournal!K$1),0)-VLOOKUP($A5161,HeadJournal!$A$1:$K$890,COLUMN(HeadJournal!J$1),0))*($K5161+$L5161)/(SUMIF($A:$A,$A5161,$K:$K)+SUMIF($A:$A,$A5161,$L:$L)),0)</f>
        <v>0</v>
      </c>
      <c r="O5161" s="30">
        <f>IFERROR((VLOOKUP($A5161,HeadJournal!$A$1:$L$890,COLUMN(HeadJournal!L$1),0)*($K5161+$L5161)/(SUMIF($A:$A,$A5161,$K:$K)+SUMIF($A:$A,$A5161,$L:$L)))/VLOOKUP($A5161,HeadJournal!$A$1:$L$890,COLUMN(HeadJournal!H$1),0),0)</f>
        <v>0.11770166909735311</v>
      </c>
      <c r="P5161" s="30">
        <f>IFERROR(SUM(K5161:O5161)*VLOOKUP($A5161,HeadJournal!$A$1:$L$890,COLUMN(HeadJournal!H$1),0),0)</f>
        <v>456.81193782495677</v>
      </c>
      <c r="Q5161" s="29">
        <v>1100</v>
      </c>
      <c r="R5161" s="31">
        <v>45961</v>
      </c>
      <c r="S5161" s="31" t="s">
        <v>4862</v>
      </c>
      <c r="T5161" s="95" t="str">
        <f t="shared" si="382"/>
        <v>2025 10</v>
      </c>
      <c r="U5161" s="32">
        <f t="shared" si="385"/>
        <v>643.18806217504323</v>
      </c>
      <c r="V5161" s="22">
        <f t="shared" si="386"/>
        <v>1.4079931125212908</v>
      </c>
      <c r="X5161" s="33"/>
      <c r="Y5161" s="33"/>
    </row>
    <row r="5162" spans="1:25" x14ac:dyDescent="0.2">
      <c r="A5162" s="93" t="s">
        <v>4430</v>
      </c>
      <c r="B5162" s="94" t="str">
        <f>IFERROR(VLOOKUP($A5162,HeadJournal!$A$1:$NTR$890,COLUMN(HeadJournal!B$1),0),"")</f>
        <v>720000811064</v>
      </c>
      <c r="C5162" s="94" t="str">
        <f>IFERROR(VLOOKUP($A5162,HeadJournal!$A$1:$NTR$890,COLUMN(HeadJournal!C$1),0),"")</f>
        <v>iHerb_MH DLE7202</v>
      </c>
      <c r="D5162" s="125" t="str">
        <f>IFERROR(VLOOKUP($A5162,HeadJournal!$A$1:$NTR$890,COLUMN(HeadJournal!D$1),0),"")</f>
        <v>Доставлен</v>
      </c>
      <c r="E5162" s="95">
        <f>IFERROR(VLOOKUP($A5162,HeadJournal!$A$1:$NTR$890,COLUMN(HeadJournal!G$1),0),"")</f>
        <v>45932</v>
      </c>
      <c r="F5162" s="95" t="str">
        <f t="shared" si="381"/>
        <v>2025 10</v>
      </c>
      <c r="G5162" s="97" t="s">
        <v>5</v>
      </c>
      <c r="H5162" s="161" t="s">
        <v>4426</v>
      </c>
      <c r="I5162" s="97" t="s">
        <v>2052</v>
      </c>
      <c r="J5162" s="97" t="s">
        <v>4427</v>
      </c>
      <c r="K5162" s="29">
        <v>14.11</v>
      </c>
      <c r="L5162" s="29">
        <v>-2.82</v>
      </c>
      <c r="M5162" s="30">
        <f>IFERROR(VLOOKUP($A5162,HeadJournal!$A$1:$J$890,COLUMN(HeadJournal!I$1),0)*($K5162+$L5162)/(SUMIF($A:$A,$A5162,$K:$K)+SUMIF($A:$A,$A5162,$L:$L)),0)</f>
        <v>-0.58883611351819765</v>
      </c>
      <c r="N5162" s="30">
        <f>IFERROR((VLOOKUP($A5162,HeadJournal!$A$1:$K$890,COLUMN(HeadJournal!K$1),0)-VLOOKUP($A5162,HeadJournal!$A$1:$K$890,COLUMN(HeadJournal!J$1),0))*($K5162+$L5162)/(SUMIF($A:$A,$A5162,$K:$K)+SUMIF($A:$A,$A5162,$L:$L)),0)</f>
        <v>0</v>
      </c>
      <c r="O5162" s="30">
        <f>IFERROR((VLOOKUP($A5162,HeadJournal!$A$1:$L$890,COLUMN(HeadJournal!L$1),0)*($K5162+$L5162)/(SUMIF($A:$A,$A5162,$K:$K)+SUMIF($A:$A,$A5162,$L:$L)))/VLOOKUP($A5162,HeadJournal!$A$1:$L$890,COLUMN(HeadJournal!H$1),0),0)</f>
        <v>0.26418525727815434</v>
      </c>
      <c r="P5162" s="30">
        <f>IFERROR(SUM(K5162:O5162)*VLOOKUP($A5162,HeadJournal!$A$1:$L$890,COLUMN(HeadJournal!H$1),0),0)</f>
        <v>1025.3293793327555</v>
      </c>
      <c r="Q5162" s="29">
        <v>1900</v>
      </c>
      <c r="R5162" s="31">
        <v>45962</v>
      </c>
      <c r="S5162" s="31"/>
      <c r="T5162" s="95" t="str">
        <f t="shared" si="382"/>
        <v>2025 11</v>
      </c>
      <c r="U5162" s="32">
        <f t="shared" si="385"/>
        <v>874.67062066724452</v>
      </c>
      <c r="V5162" s="22">
        <f t="shared" si="386"/>
        <v>0.85306306275593724</v>
      </c>
      <c r="X5162" s="33"/>
      <c r="Y5162" s="33"/>
    </row>
    <row r="5163" spans="1:25" x14ac:dyDescent="0.2">
      <c r="A5163" s="93" t="s">
        <v>4430</v>
      </c>
      <c r="B5163" s="94" t="str">
        <f>IFERROR(VLOOKUP($A5163,HeadJournal!$A$1:$NTR$890,COLUMN(HeadJournal!B$1),0),"")</f>
        <v>720000811064</v>
      </c>
      <c r="C5163" s="94" t="str">
        <f>IFERROR(VLOOKUP($A5163,HeadJournal!$A$1:$NTR$890,COLUMN(HeadJournal!C$1),0),"")</f>
        <v>iHerb_MH DLE7202</v>
      </c>
      <c r="D5163" s="125" t="str">
        <f>IFERROR(VLOOKUP($A5163,HeadJournal!$A$1:$NTR$890,COLUMN(HeadJournal!D$1),0),"")</f>
        <v>Доставлен</v>
      </c>
      <c r="E5163" s="95">
        <f>IFERROR(VLOOKUP($A5163,HeadJournal!$A$1:$NTR$890,COLUMN(HeadJournal!G$1),0),"")</f>
        <v>45932</v>
      </c>
      <c r="F5163" s="95" t="str">
        <f t="shared" si="381"/>
        <v>2025 10</v>
      </c>
      <c r="G5163" s="97" t="s">
        <v>5</v>
      </c>
      <c r="H5163" s="161" t="s">
        <v>3656</v>
      </c>
      <c r="I5163" s="97" t="s">
        <v>2005</v>
      </c>
      <c r="J5163" s="97" t="s">
        <v>4428</v>
      </c>
      <c r="K5163" s="29">
        <v>21.74</v>
      </c>
      <c r="L5163" s="29">
        <v>-4.3499999999999996</v>
      </c>
      <c r="M5163" s="30">
        <f>IFERROR(VLOOKUP($A5163,HeadJournal!$A$1:$J$890,COLUMN(HeadJournal!I$1),0)*($K5163+$L5163)/(SUMIF($A:$A,$A5163,$K:$K)+SUMIF($A:$A,$A5163,$L:$L)),0)</f>
        <v>-0.90698494367417704</v>
      </c>
      <c r="N5163" s="30">
        <f>IFERROR((VLOOKUP($A5163,HeadJournal!$A$1:$K$890,COLUMN(HeadJournal!K$1),0)-VLOOKUP($A5163,HeadJournal!$A$1:$K$890,COLUMN(HeadJournal!J$1),0))*($K5163+$L5163)/(SUMIF($A:$A,$A5163,$K:$K)+SUMIF($A:$A,$A5163,$L:$L)),0)</f>
        <v>0</v>
      </c>
      <c r="O5163" s="30">
        <f>IFERROR((VLOOKUP($A5163,HeadJournal!$A$1:$L$890,COLUMN(HeadJournal!L$1),0)*($K5163+$L5163)/(SUMIF($A:$A,$A5163,$K:$K)+SUMIF($A:$A,$A5163,$L:$L)))/VLOOKUP($A5163,HeadJournal!$A$1:$L$890,COLUMN(HeadJournal!H$1),0),0)</f>
        <v>0.40692485598468597</v>
      </c>
      <c r="P5163" s="30">
        <f>IFERROR(SUM(K5163:O5163)*VLOOKUP($A5163,HeadJournal!$A$1:$L$890,COLUMN(HeadJournal!H$1),0),0)</f>
        <v>1579.3160236135184</v>
      </c>
      <c r="Q5163" s="29">
        <v>2400</v>
      </c>
      <c r="R5163" s="31">
        <v>45967</v>
      </c>
      <c r="S5163" s="31" t="s">
        <v>3497</v>
      </c>
      <c r="T5163" s="95" t="str">
        <f t="shared" si="382"/>
        <v>2025 11</v>
      </c>
      <c r="U5163" s="32">
        <f t="shared" si="385"/>
        <v>820.68397638648162</v>
      </c>
      <c r="V5163" s="22">
        <f t="shared" si="386"/>
        <v>0.51964519077615268</v>
      </c>
      <c r="X5163" s="33"/>
      <c r="Y5163" s="33"/>
    </row>
    <row r="5164" spans="1:25" x14ac:dyDescent="0.2">
      <c r="A5164" s="93" t="s">
        <v>4430</v>
      </c>
      <c r="B5164" s="94" t="str">
        <f>IFERROR(VLOOKUP($A5164,HeadJournal!$A$1:$NTR$890,COLUMN(HeadJournal!B$1),0),"")</f>
        <v>720000811064</v>
      </c>
      <c r="C5164" s="94" t="str">
        <f>IFERROR(VLOOKUP($A5164,HeadJournal!$A$1:$NTR$890,COLUMN(HeadJournal!C$1),0),"")</f>
        <v>iHerb_MH DLE7202</v>
      </c>
      <c r="D5164" s="125" t="str">
        <f>IFERROR(VLOOKUP($A5164,HeadJournal!$A$1:$NTR$890,COLUMN(HeadJournal!D$1),0),"")</f>
        <v>Доставлен</v>
      </c>
      <c r="E5164" s="95">
        <f>IFERROR(VLOOKUP($A5164,HeadJournal!$A$1:$NTR$890,COLUMN(HeadJournal!G$1),0),"")</f>
        <v>45932</v>
      </c>
      <c r="F5164" s="95" t="str">
        <f t="shared" si="381"/>
        <v>2025 10</v>
      </c>
      <c r="G5164" s="97" t="s">
        <v>5</v>
      </c>
      <c r="H5164" s="161" t="s">
        <v>2573</v>
      </c>
      <c r="I5164" s="97" t="s">
        <v>2006</v>
      </c>
      <c r="J5164" s="97" t="s">
        <v>4429</v>
      </c>
      <c r="K5164" s="29">
        <v>20.8</v>
      </c>
      <c r="L5164" s="29">
        <v>-4.16</v>
      </c>
      <c r="M5164" s="30">
        <f>IFERROR(VLOOKUP($A5164,HeadJournal!$A$1:$J$890,COLUMN(HeadJournal!I$1),0)*($K5164+$L5164)/(SUMIF($A:$A,$A5164,$K:$K)+SUMIF($A:$A,$A5164,$L:$L)),0)</f>
        <v>-0.86786828422876972</v>
      </c>
      <c r="N5164" s="30">
        <f>IFERROR((VLOOKUP($A5164,HeadJournal!$A$1:$K$890,COLUMN(HeadJournal!K$1),0)-VLOOKUP($A5164,HeadJournal!$A$1:$K$890,COLUMN(HeadJournal!J$1),0))*($K5164+$L5164)/(SUMIF($A:$A,$A5164,$K:$K)+SUMIF($A:$A,$A5164,$L:$L)),0)</f>
        <v>0</v>
      </c>
      <c r="O5164" s="30">
        <f>IFERROR((VLOOKUP($A5164,HeadJournal!$A$1:$L$890,COLUMN(HeadJournal!L$1),0)*($K5164+$L5164)/(SUMIF($A:$A,$A5164,$K:$K)+SUMIF($A:$A,$A5164,$L:$L)))/VLOOKUP($A5164,HeadJournal!$A$1:$L$890,COLUMN(HeadJournal!H$1),0),0)</f>
        <v>0.38937490532404684</v>
      </c>
      <c r="P5164" s="30">
        <f>IFERROR(SUM(K5164:O5164)*VLOOKUP($A5164,HeadJournal!$A$1:$L$890,COLUMN(HeadJournal!H$1),0),0)</f>
        <v>1511.2029116117853</v>
      </c>
      <c r="Q5164" s="29">
        <v>2600</v>
      </c>
      <c r="R5164" s="31">
        <v>45974</v>
      </c>
      <c r="S5164" s="31" t="s">
        <v>3475</v>
      </c>
      <c r="T5164" s="95" t="str">
        <f t="shared" si="382"/>
        <v>2025 11</v>
      </c>
      <c r="U5164" s="32">
        <f t="shared" si="385"/>
        <v>1088.7970883882147</v>
      </c>
      <c r="V5164" s="22">
        <f t="shared" si="386"/>
        <v>0.72048371533836553</v>
      </c>
      <c r="X5164" s="33"/>
      <c r="Y5164" s="33"/>
    </row>
    <row r="5165" spans="1:25" x14ac:dyDescent="0.2">
      <c r="A5165" s="93" t="s">
        <v>4430</v>
      </c>
      <c r="B5165" s="94" t="str">
        <f>IFERROR(VLOOKUP($A5165,HeadJournal!$A$1:$NTR$890,COLUMN(HeadJournal!B$1),0),"")</f>
        <v>720000811064</v>
      </c>
      <c r="C5165" s="94" t="str">
        <f>IFERROR(VLOOKUP($A5165,HeadJournal!$A$1:$NTR$890,COLUMN(HeadJournal!C$1),0),"")</f>
        <v>iHerb_MH DLE7202</v>
      </c>
      <c r="D5165" s="125" t="str">
        <f>IFERROR(VLOOKUP($A5165,HeadJournal!$A$1:$NTR$890,COLUMN(HeadJournal!D$1),0),"")</f>
        <v>Доставлен</v>
      </c>
      <c r="E5165" s="95">
        <f>IFERROR(VLOOKUP($A5165,HeadJournal!$A$1:$NTR$890,COLUMN(HeadJournal!G$1),0),"")</f>
        <v>45932</v>
      </c>
      <c r="F5165" s="95" t="str">
        <f t="shared" si="381"/>
        <v>2025 10</v>
      </c>
      <c r="G5165" s="97" t="s">
        <v>5</v>
      </c>
      <c r="H5165" s="161" t="s">
        <v>4137</v>
      </c>
      <c r="I5165" s="97" t="s">
        <v>2666</v>
      </c>
      <c r="J5165" s="97" t="s">
        <v>4138</v>
      </c>
      <c r="K5165" s="29">
        <v>13.22</v>
      </c>
      <c r="L5165" s="29">
        <v>-2.64</v>
      </c>
      <c r="M5165" s="30">
        <f>IFERROR(VLOOKUP($A5165,HeadJournal!$A$1:$J$890,COLUMN(HeadJournal!I$1),0)*($K5165+$L5165)/(SUMIF($A:$A,$A5165,$K:$K)+SUMIF($A:$A,$A5165,$L:$L)),0)</f>
        <v>-0.55180567590987872</v>
      </c>
      <c r="N5165" s="30">
        <f>IFERROR((VLOOKUP($A5165,HeadJournal!$A$1:$K$890,COLUMN(HeadJournal!K$1),0)-VLOOKUP($A5165,HeadJournal!$A$1:$K$890,COLUMN(HeadJournal!J$1),0))*($K5165+$L5165)/(SUMIF($A:$A,$A5165,$K:$K)+SUMIF($A:$A,$A5165,$L:$L)),0)</f>
        <v>0</v>
      </c>
      <c r="O5165" s="30">
        <f>IFERROR((VLOOKUP($A5165,HeadJournal!$A$1:$L$890,COLUMN(HeadJournal!L$1),0)*($K5165+$L5165)/(SUMIF($A:$A,$A5165,$K:$K)+SUMIF($A:$A,$A5165,$L:$L)))/VLOOKUP($A5165,HeadJournal!$A$1:$L$890,COLUMN(HeadJournal!H$1),0),0)</f>
        <v>0.24757130398608265</v>
      </c>
      <c r="P5165" s="30">
        <f>IFERROR(SUM(K5165:O5165)*VLOOKUP($A5165,HeadJournal!$A$1:$L$890,COLUMN(HeadJournal!H$1),0),0)</f>
        <v>960.84896663778181</v>
      </c>
      <c r="Q5165" s="29">
        <v>2000</v>
      </c>
      <c r="R5165" s="31">
        <v>46000</v>
      </c>
      <c r="S5165" s="31" t="s">
        <v>3497</v>
      </c>
      <c r="T5165" s="95" t="str">
        <f t="shared" si="382"/>
        <v>2025 12</v>
      </c>
      <c r="U5165" s="32">
        <f t="shared" si="385"/>
        <v>1039.1510333622182</v>
      </c>
      <c r="V5165" s="22">
        <f t="shared" si="386"/>
        <v>1.0814925856645632</v>
      </c>
      <c r="X5165" s="33"/>
      <c r="Y5165" s="33"/>
    </row>
    <row r="5166" spans="1:25" x14ac:dyDescent="0.2">
      <c r="A5166" s="93" t="s">
        <v>4574</v>
      </c>
      <c r="B5166" s="94">
        <f>IFERROR(VLOOKUP($A5166,HeadJournal!$A$1:$NTR$890,COLUMN(HeadJournal!B$1),0),"")</f>
        <v>0</v>
      </c>
      <c r="C5166" s="94" t="str">
        <f>IFERROR(VLOOKUP($A5166,HeadJournal!$A$1:$NTR$890,COLUMN(HeadJournal!C$1),0),"")</f>
        <v>OZON_OA</v>
      </c>
      <c r="D5166" s="125" t="str">
        <f>IFERROR(VLOOKUP($A5166,HeadJournal!$A$1:$NTR$890,COLUMN(HeadJournal!D$1),0),"")</f>
        <v>Доставлен</v>
      </c>
      <c r="E5166" s="95">
        <f>IFERROR(VLOOKUP($A5166,HeadJournal!$A$1:$NTR$890,COLUMN(HeadJournal!G$1),0),"")</f>
        <v>45936</v>
      </c>
      <c r="F5166" s="95" t="str">
        <f t="shared" si="381"/>
        <v>2025 10</v>
      </c>
      <c r="G5166" s="97" t="s">
        <v>6</v>
      </c>
      <c r="H5166" s="161" t="s">
        <v>2280</v>
      </c>
      <c r="I5166" s="97" t="s">
        <v>2281</v>
      </c>
      <c r="J5166" s="97" t="s">
        <v>737</v>
      </c>
      <c r="K5166" s="29">
        <v>872</v>
      </c>
      <c r="L5166" s="29">
        <v>0</v>
      </c>
      <c r="M5166" s="30">
        <f>IFERROR(VLOOKUP($A5166,HeadJournal!$A$1:$J$890,COLUMN(HeadJournal!I$1),0)*($K5166+$L5166)/(SUMIF($A:$A,$A5166,$K:$K)+SUMIF($A:$A,$A5166,$L:$L)),0)</f>
        <v>0</v>
      </c>
      <c r="N5166" s="30">
        <f>IFERROR((VLOOKUP($A5166,HeadJournal!$A$1:$K$890,COLUMN(HeadJournal!K$1),0)-VLOOKUP($A5166,HeadJournal!$A$1:$K$890,COLUMN(HeadJournal!J$1),0))*($K5166+$L5166)/(SUMIF($A:$A,$A5166,$K:$K)+SUMIF($A:$A,$A5166,$L:$L)),0)</f>
        <v>0</v>
      </c>
      <c r="O5166" s="30">
        <f>IFERROR((VLOOKUP($A5166,HeadJournal!$A$1:$L$890,COLUMN(HeadJournal!L$1),0)*($K5166+$L5166)/(SUMIF($A:$A,$A5166,$K:$K)+SUMIF($A:$A,$A5166,$L:$L)))/VLOOKUP($A5166,HeadJournal!$A$1:$L$890,COLUMN(HeadJournal!H$1),0),0)</f>
        <v>0</v>
      </c>
      <c r="P5166" s="30">
        <f>IFERROR(SUM(K5166:O5166)*VLOOKUP($A5166,HeadJournal!$A$1:$L$890,COLUMN(HeadJournal!H$1),0),0)</f>
        <v>872</v>
      </c>
      <c r="Q5166" s="29">
        <v>2000</v>
      </c>
      <c r="R5166" s="31">
        <v>45944</v>
      </c>
      <c r="S5166" s="31"/>
      <c r="T5166" s="95" t="str">
        <f t="shared" si="382"/>
        <v>2025 10</v>
      </c>
      <c r="U5166" s="32">
        <f t="shared" si="385"/>
        <v>1128</v>
      </c>
      <c r="V5166" s="22">
        <f t="shared" si="386"/>
        <v>1.2935779816513762</v>
      </c>
      <c r="X5166" s="33"/>
      <c r="Y5166" s="33"/>
    </row>
    <row r="5167" spans="1:25" x14ac:dyDescent="0.2">
      <c r="A5167" s="93" t="s">
        <v>4574</v>
      </c>
      <c r="B5167" s="94">
        <f>IFERROR(VLOOKUP($A5167,HeadJournal!$A$1:$NTR$890,COLUMN(HeadJournal!B$1),0),"")</f>
        <v>0</v>
      </c>
      <c r="C5167" s="94" t="str">
        <f>IFERROR(VLOOKUP($A5167,HeadJournal!$A$1:$NTR$890,COLUMN(HeadJournal!C$1),0),"")</f>
        <v>OZON_OA</v>
      </c>
      <c r="D5167" s="125" t="str">
        <f>IFERROR(VLOOKUP($A5167,HeadJournal!$A$1:$NTR$890,COLUMN(HeadJournal!D$1),0),"")</f>
        <v>Доставлен</v>
      </c>
      <c r="E5167" s="95">
        <f>IFERROR(VLOOKUP($A5167,HeadJournal!$A$1:$NTR$890,COLUMN(HeadJournal!G$1),0),"")</f>
        <v>45936</v>
      </c>
      <c r="F5167" s="95" t="str">
        <f t="shared" si="381"/>
        <v>2025 10</v>
      </c>
      <c r="G5167" s="97" t="s">
        <v>6</v>
      </c>
      <c r="H5167" s="161" t="s">
        <v>2280</v>
      </c>
      <c r="I5167" s="97" t="s">
        <v>2281</v>
      </c>
      <c r="J5167" s="97" t="s">
        <v>737</v>
      </c>
      <c r="K5167" s="29">
        <v>872</v>
      </c>
      <c r="L5167" s="29">
        <v>0</v>
      </c>
      <c r="M5167" s="30">
        <f>IFERROR(VLOOKUP($A5167,HeadJournal!$A$1:$J$890,COLUMN(HeadJournal!I$1),0)*($K5167+$L5167)/(SUMIF($A:$A,$A5167,$K:$K)+SUMIF($A:$A,$A5167,$L:$L)),0)</f>
        <v>0</v>
      </c>
      <c r="N5167" s="30">
        <f>IFERROR((VLOOKUP($A5167,HeadJournal!$A$1:$K$890,COLUMN(HeadJournal!K$1),0)-VLOOKUP($A5167,HeadJournal!$A$1:$K$890,COLUMN(HeadJournal!J$1),0))*($K5167+$L5167)/(SUMIF($A:$A,$A5167,$K:$K)+SUMIF($A:$A,$A5167,$L:$L)),0)</f>
        <v>0</v>
      </c>
      <c r="O5167" s="30">
        <f>IFERROR((VLOOKUP($A5167,HeadJournal!$A$1:$L$890,COLUMN(HeadJournal!L$1),0)*($K5167+$L5167)/(SUMIF($A:$A,$A5167,$K:$K)+SUMIF($A:$A,$A5167,$L:$L)))/VLOOKUP($A5167,HeadJournal!$A$1:$L$890,COLUMN(HeadJournal!H$1),0),0)</f>
        <v>0</v>
      </c>
      <c r="P5167" s="30">
        <f>IFERROR(SUM(K5167:O5167)*VLOOKUP($A5167,HeadJournal!$A$1:$L$890,COLUMN(HeadJournal!H$1),0),0)</f>
        <v>872</v>
      </c>
      <c r="Q5167" s="29">
        <v>2000</v>
      </c>
      <c r="R5167" s="31">
        <v>45962</v>
      </c>
      <c r="S5167" s="31"/>
      <c r="T5167" s="95" t="str">
        <f t="shared" si="382"/>
        <v>2025 11</v>
      </c>
      <c r="U5167" s="32">
        <f t="shared" si="385"/>
        <v>1128</v>
      </c>
      <c r="V5167" s="22">
        <f t="shared" si="386"/>
        <v>1.2935779816513762</v>
      </c>
      <c r="X5167" s="33"/>
      <c r="Y5167" s="33"/>
    </row>
    <row r="5168" spans="1:25" x14ac:dyDescent="0.2">
      <c r="A5168" s="93" t="s">
        <v>4575</v>
      </c>
      <c r="B5168" s="94">
        <f>IFERROR(VLOOKUP($A5168,HeadJournal!$A$1:$NTR$890,COLUMN(HeadJournal!B$1),0),"")</f>
        <v>0</v>
      </c>
      <c r="C5168" s="94" t="str">
        <f>IFERROR(VLOOKUP($A5168,HeadJournal!$A$1:$NTR$890,COLUMN(HeadJournal!C$1),0),"")</f>
        <v>Forever</v>
      </c>
      <c r="D5168" s="125" t="str">
        <f>IFERROR(VLOOKUP($A5168,HeadJournal!$A$1:$NTR$890,COLUMN(HeadJournal!D$1),0),"")</f>
        <v>Доставлен</v>
      </c>
      <c r="E5168" s="95">
        <f>IFERROR(VLOOKUP($A5168,HeadJournal!$A$1:$NTR$890,COLUMN(HeadJournal!G$1),0),"")</f>
        <v>45917</v>
      </c>
      <c r="F5168" s="95" t="str">
        <f t="shared" si="381"/>
        <v>2025 09</v>
      </c>
      <c r="G5168" s="97" t="s">
        <v>5</v>
      </c>
      <c r="H5168" s="161" t="s">
        <v>2525</v>
      </c>
      <c r="I5168" s="97" t="s">
        <v>1368</v>
      </c>
      <c r="J5168" s="97" t="s">
        <v>295</v>
      </c>
      <c r="K5168" s="29">
        <v>18313.666666666668</v>
      </c>
      <c r="L5168" s="29">
        <v>0</v>
      </c>
      <c r="M5168" s="30">
        <f>IFERROR(VLOOKUP($A5168,HeadJournal!$A$1:$J$890,COLUMN(HeadJournal!I$1),0)*($K5168+$L5168)/(SUMIF($A:$A,$A5168,$K:$K)+SUMIF($A:$A,$A5168,$L:$L)),0)</f>
        <v>-5237.5699415400377</v>
      </c>
      <c r="N5168" s="30">
        <f>IFERROR((VLOOKUP($A5168,HeadJournal!$A$1:$K$890,COLUMN(HeadJournal!K$1),0)-VLOOKUP($A5168,HeadJournal!$A$1:$K$890,COLUMN(HeadJournal!J$1),0))*($K5168+$L5168)/(SUMIF($A:$A,$A5168,$K:$K)+SUMIF($A:$A,$A5168,$L:$L)),0)</f>
        <v>0</v>
      </c>
      <c r="O5168" s="30">
        <f>IFERROR((VLOOKUP($A5168,HeadJournal!$A$1:$L$890,COLUMN(HeadJournal!L$1),0)*($K5168+$L5168)/(SUMIF($A:$A,$A5168,$K:$K)+SUMIF($A:$A,$A5168,$L:$L)))/VLOOKUP($A5168,HeadJournal!$A$1:$L$890,COLUMN(HeadJournal!H$1),0),0)</f>
        <v>697.8393729912998</v>
      </c>
      <c r="P5168" s="30">
        <f>IFERROR(SUM(K5168:O5168)*VLOOKUP($A5168,HeadJournal!$A$1:$L$890,COLUMN(HeadJournal!H$1),0),0)</f>
        <v>2199.3197440031608</v>
      </c>
      <c r="Q5168" s="29">
        <v>2199.3200000000002</v>
      </c>
      <c r="R5168" s="31"/>
      <c r="S5168" s="31"/>
      <c r="T5168" s="95" t="str">
        <f t="shared" si="382"/>
        <v/>
      </c>
      <c r="U5168" s="32">
        <f t="shared" si="385"/>
        <v>2.5599683931432082E-4</v>
      </c>
      <c r="V5168" s="22">
        <f t="shared" si="386"/>
        <v>1.1639819085530517E-7</v>
      </c>
      <c r="X5168" s="33"/>
      <c r="Y5168" s="33"/>
    </row>
    <row r="5169" spans="1:25" x14ac:dyDescent="0.2">
      <c r="A5169" s="93" t="s">
        <v>4575</v>
      </c>
      <c r="B5169" s="94">
        <f>IFERROR(VLOOKUP($A5169,HeadJournal!$A$1:$NTR$890,COLUMN(HeadJournal!B$1),0),"")</f>
        <v>0</v>
      </c>
      <c r="C5169" s="94" t="str">
        <f>IFERROR(VLOOKUP($A5169,HeadJournal!$A$1:$NTR$890,COLUMN(HeadJournal!C$1),0),"")</f>
        <v>Forever</v>
      </c>
      <c r="D5169" s="125" t="str">
        <f>IFERROR(VLOOKUP($A5169,HeadJournal!$A$1:$NTR$890,COLUMN(HeadJournal!D$1),0),"")</f>
        <v>Доставлен</v>
      </c>
      <c r="E5169" s="95">
        <f>IFERROR(VLOOKUP($A5169,HeadJournal!$A$1:$NTR$890,COLUMN(HeadJournal!G$1),0),"")</f>
        <v>45917</v>
      </c>
      <c r="F5169" s="95" t="str">
        <f t="shared" si="381"/>
        <v>2025 09</v>
      </c>
      <c r="G5169" s="97" t="s">
        <v>5</v>
      </c>
      <c r="H5169" s="161" t="s">
        <v>2525</v>
      </c>
      <c r="I5169" s="97" t="s">
        <v>1368</v>
      </c>
      <c r="J5169" s="97" t="s">
        <v>295</v>
      </c>
      <c r="K5169" s="29">
        <v>18313.666666666668</v>
      </c>
      <c r="L5169" s="29">
        <v>0</v>
      </c>
      <c r="M5169" s="30">
        <f>IFERROR(VLOOKUP($A5169,HeadJournal!$A$1:$J$890,COLUMN(HeadJournal!I$1),0)*($K5169+$L5169)/(SUMIF($A:$A,$A5169,$K:$K)+SUMIF($A:$A,$A5169,$L:$L)),0)</f>
        <v>-5237.5699415400377</v>
      </c>
      <c r="N5169" s="30">
        <f>IFERROR((VLOOKUP($A5169,HeadJournal!$A$1:$K$890,COLUMN(HeadJournal!K$1),0)-VLOOKUP($A5169,HeadJournal!$A$1:$K$890,COLUMN(HeadJournal!J$1),0))*($K5169+$L5169)/(SUMIF($A:$A,$A5169,$K:$K)+SUMIF($A:$A,$A5169,$L:$L)),0)</f>
        <v>0</v>
      </c>
      <c r="O5169" s="30">
        <f>IFERROR((VLOOKUP($A5169,HeadJournal!$A$1:$L$890,COLUMN(HeadJournal!L$1),0)*($K5169+$L5169)/(SUMIF($A:$A,$A5169,$K:$K)+SUMIF($A:$A,$A5169,$L:$L)))/VLOOKUP($A5169,HeadJournal!$A$1:$L$890,COLUMN(HeadJournal!H$1),0),0)</f>
        <v>697.8393729912998</v>
      </c>
      <c r="P5169" s="30">
        <f>IFERROR(SUM(K5169:O5169)*VLOOKUP($A5169,HeadJournal!$A$1:$L$890,COLUMN(HeadJournal!H$1),0),0)</f>
        <v>2199.3197440031608</v>
      </c>
      <c r="Q5169" s="29"/>
      <c r="R5169" s="31"/>
      <c r="S5169" s="31"/>
      <c r="T5169" s="95" t="str">
        <f t="shared" si="382"/>
        <v/>
      </c>
      <c r="U5169" s="32">
        <f t="shared" si="354"/>
        <v>-2199.3197440031608</v>
      </c>
      <c r="V5169" s="22" t="str">
        <f t="shared" si="355"/>
        <v/>
      </c>
      <c r="X5169" s="33"/>
      <c r="Y5169" s="33"/>
    </row>
    <row r="5170" spans="1:25" x14ac:dyDescent="0.2">
      <c r="A5170" s="93" t="s">
        <v>4575</v>
      </c>
      <c r="B5170" s="94">
        <f>IFERROR(VLOOKUP($A5170,HeadJournal!$A$1:$NTR$890,COLUMN(HeadJournal!B$1),0),"")</f>
        <v>0</v>
      </c>
      <c r="C5170" s="94" t="str">
        <f>IFERROR(VLOOKUP($A5170,HeadJournal!$A$1:$NTR$890,COLUMN(HeadJournal!C$1),0),"")</f>
        <v>Forever</v>
      </c>
      <c r="D5170" s="125" t="str">
        <f>IFERROR(VLOOKUP($A5170,HeadJournal!$A$1:$NTR$890,COLUMN(HeadJournal!D$1),0),"")</f>
        <v>Доставлен</v>
      </c>
      <c r="E5170" s="95">
        <f>IFERROR(VLOOKUP($A5170,HeadJournal!$A$1:$NTR$890,COLUMN(HeadJournal!G$1),0),"")</f>
        <v>45917</v>
      </c>
      <c r="F5170" s="95" t="str">
        <f t="shared" si="381"/>
        <v>2025 09</v>
      </c>
      <c r="G5170" s="97" t="s">
        <v>5</v>
      </c>
      <c r="H5170" s="161" t="s">
        <v>2525</v>
      </c>
      <c r="I5170" s="97" t="s">
        <v>1368</v>
      </c>
      <c r="J5170" s="97" t="s">
        <v>295</v>
      </c>
      <c r="K5170" s="29">
        <v>18313.666666666668</v>
      </c>
      <c r="L5170" s="29">
        <v>0</v>
      </c>
      <c r="M5170" s="30">
        <f>IFERROR(VLOOKUP($A5170,HeadJournal!$A$1:$J$890,COLUMN(HeadJournal!I$1),0)*($K5170+$L5170)/(SUMIF($A:$A,$A5170,$K:$K)+SUMIF($A:$A,$A5170,$L:$L)),0)</f>
        <v>-5237.5699415400377</v>
      </c>
      <c r="N5170" s="30">
        <f>IFERROR((VLOOKUP($A5170,HeadJournal!$A$1:$K$890,COLUMN(HeadJournal!K$1),0)-VLOOKUP($A5170,HeadJournal!$A$1:$K$890,COLUMN(HeadJournal!J$1),0))*($K5170+$L5170)/(SUMIF($A:$A,$A5170,$K:$K)+SUMIF($A:$A,$A5170,$L:$L)),0)</f>
        <v>0</v>
      </c>
      <c r="O5170" s="30">
        <f>IFERROR((VLOOKUP($A5170,HeadJournal!$A$1:$L$890,COLUMN(HeadJournal!L$1),0)*($K5170+$L5170)/(SUMIF($A:$A,$A5170,$K:$K)+SUMIF($A:$A,$A5170,$L:$L)))/VLOOKUP($A5170,HeadJournal!$A$1:$L$890,COLUMN(HeadJournal!H$1),0),0)</f>
        <v>697.8393729912998</v>
      </c>
      <c r="P5170" s="30">
        <f>IFERROR(SUM(K5170:O5170)*VLOOKUP($A5170,HeadJournal!$A$1:$L$890,COLUMN(HeadJournal!H$1),0),0)</f>
        <v>2199.3197440031608</v>
      </c>
      <c r="Q5170" s="29"/>
      <c r="R5170" s="31"/>
      <c r="S5170" s="31"/>
      <c r="T5170" s="95" t="str">
        <f t="shared" si="382"/>
        <v/>
      </c>
      <c r="U5170" s="32">
        <f t="shared" si="354"/>
        <v>-2199.3197440031608</v>
      </c>
      <c r="V5170" s="22" t="str">
        <f t="shared" si="355"/>
        <v/>
      </c>
      <c r="X5170" s="33"/>
      <c r="Y5170" s="33"/>
    </row>
    <row r="5171" spans="1:25" x14ac:dyDescent="0.2">
      <c r="A5171" s="93" t="s">
        <v>4575</v>
      </c>
      <c r="B5171" s="94">
        <f>IFERROR(VLOOKUP($A5171,HeadJournal!$A$1:$NTR$890,COLUMN(HeadJournal!B$1),0),"")</f>
        <v>0</v>
      </c>
      <c r="C5171" s="94" t="str">
        <f>IFERROR(VLOOKUP($A5171,HeadJournal!$A$1:$NTR$890,COLUMN(HeadJournal!C$1),0),"")</f>
        <v>Forever</v>
      </c>
      <c r="D5171" s="125" t="str">
        <f>IFERROR(VLOOKUP($A5171,HeadJournal!$A$1:$NTR$890,COLUMN(HeadJournal!D$1),0),"")</f>
        <v>Доставлен</v>
      </c>
      <c r="E5171" s="95">
        <f>IFERROR(VLOOKUP($A5171,HeadJournal!$A$1:$NTR$890,COLUMN(HeadJournal!G$1),0),"")</f>
        <v>45917</v>
      </c>
      <c r="F5171" s="95" t="str">
        <f t="shared" si="381"/>
        <v>2025 09</v>
      </c>
      <c r="G5171" s="96" t="s">
        <v>7</v>
      </c>
      <c r="H5171" s="161" t="s">
        <v>2526</v>
      </c>
      <c r="I5171" s="97" t="s">
        <v>1368</v>
      </c>
      <c r="J5171" s="97" t="s">
        <v>296</v>
      </c>
      <c r="K5171" s="29">
        <v>5401</v>
      </c>
      <c r="L5171" s="29">
        <v>0</v>
      </c>
      <c r="M5171" s="30">
        <f>IFERROR(VLOOKUP($A5171,HeadJournal!$A$1:$J$890,COLUMN(HeadJournal!I$1),0)*($K5171+$L5171)/(SUMIF($A:$A,$A5171,$K:$K)+SUMIF($A:$A,$A5171,$L:$L)),0)</f>
        <v>-1544.6450876899441</v>
      </c>
      <c r="N5171" s="30">
        <f>IFERROR((VLOOKUP($A5171,HeadJournal!$A$1:$K$890,COLUMN(HeadJournal!K$1),0)-VLOOKUP($A5171,HeadJournal!$A$1:$K$890,COLUMN(HeadJournal!J$1),0))*($K5171+$L5171)/(SUMIF($A:$A,$A5171,$K:$K)+SUMIF($A:$A,$A5171,$L:$L)),0)</f>
        <v>0</v>
      </c>
      <c r="O5171" s="30">
        <f>IFERROR((VLOOKUP($A5171,HeadJournal!$A$1:$L$890,COLUMN(HeadJournal!L$1),0)*($K5171+$L5171)/(SUMIF($A:$A,$A5171,$K:$K)+SUMIF($A:$A,$A5171,$L:$L)))/VLOOKUP($A5171,HeadJournal!$A$1:$L$890,COLUMN(HeadJournal!H$1),0),0)</f>
        <v>205.80425111625252</v>
      </c>
      <c r="P5171" s="30">
        <f>IFERROR(SUM(K5171:O5171)*VLOOKUP($A5171,HeadJournal!$A$1:$L$890,COLUMN(HeadJournal!H$1),0),0)</f>
        <v>648.6153839952533</v>
      </c>
      <c r="Q5171" s="29">
        <v>1000</v>
      </c>
      <c r="R5171" s="31">
        <v>45929</v>
      </c>
      <c r="S5171" s="31"/>
      <c r="T5171" s="95" t="str">
        <f t="shared" si="382"/>
        <v>2025 09</v>
      </c>
      <c r="U5171" s="32">
        <f t="shared" si="354"/>
        <v>351.3846160047467</v>
      </c>
      <c r="V5171" s="22">
        <f t="shared" si="355"/>
        <v>0.5417457320243243</v>
      </c>
      <c r="X5171" s="33"/>
      <c r="Y5171" s="33"/>
    </row>
    <row r="5172" spans="1:25" x14ac:dyDescent="0.2">
      <c r="A5172" s="93" t="s">
        <v>4575</v>
      </c>
      <c r="B5172" s="94">
        <f>IFERROR(VLOOKUP($A5172,HeadJournal!$A$1:$NTR$890,COLUMN(HeadJournal!B$1),0),"")</f>
        <v>0</v>
      </c>
      <c r="C5172" s="94" t="str">
        <f>IFERROR(VLOOKUP($A5172,HeadJournal!$A$1:$NTR$890,COLUMN(HeadJournal!C$1),0),"")</f>
        <v>Forever</v>
      </c>
      <c r="D5172" s="125" t="str">
        <f>IFERROR(VLOOKUP($A5172,HeadJournal!$A$1:$NTR$890,COLUMN(HeadJournal!D$1),0),"")</f>
        <v>Доставлен</v>
      </c>
      <c r="E5172" s="95">
        <f>IFERROR(VLOOKUP($A5172,HeadJournal!$A$1:$NTR$890,COLUMN(HeadJournal!G$1),0),"")</f>
        <v>45917</v>
      </c>
      <c r="F5172" s="95" t="str">
        <f t="shared" si="381"/>
        <v>2025 09</v>
      </c>
      <c r="G5172" s="96" t="s">
        <v>7</v>
      </c>
      <c r="H5172" s="161" t="s">
        <v>2526</v>
      </c>
      <c r="I5172" s="97" t="s">
        <v>1368</v>
      </c>
      <c r="J5172" s="97" t="s">
        <v>296</v>
      </c>
      <c r="K5172" s="29">
        <v>5401</v>
      </c>
      <c r="L5172" s="29">
        <v>0</v>
      </c>
      <c r="M5172" s="30">
        <f>IFERROR(VLOOKUP($A5172,HeadJournal!$A$1:$J$890,COLUMN(HeadJournal!I$1),0)*($K5172+$L5172)/(SUMIF($A:$A,$A5172,$K:$K)+SUMIF($A:$A,$A5172,$L:$L)),0)</f>
        <v>-1544.6450876899441</v>
      </c>
      <c r="N5172" s="30">
        <f>IFERROR((VLOOKUP($A5172,HeadJournal!$A$1:$K$890,COLUMN(HeadJournal!K$1),0)-VLOOKUP($A5172,HeadJournal!$A$1:$K$890,COLUMN(HeadJournal!J$1),0))*($K5172+$L5172)/(SUMIF($A:$A,$A5172,$K:$K)+SUMIF($A:$A,$A5172,$L:$L)),0)</f>
        <v>0</v>
      </c>
      <c r="O5172" s="30">
        <f>IFERROR((VLOOKUP($A5172,HeadJournal!$A$1:$L$890,COLUMN(HeadJournal!L$1),0)*($K5172+$L5172)/(SUMIF($A:$A,$A5172,$K:$K)+SUMIF($A:$A,$A5172,$L:$L)))/VLOOKUP($A5172,HeadJournal!$A$1:$L$890,COLUMN(HeadJournal!H$1),0),0)</f>
        <v>205.80425111625252</v>
      </c>
      <c r="P5172" s="30">
        <f>IFERROR(SUM(K5172:O5172)*VLOOKUP($A5172,HeadJournal!$A$1:$L$890,COLUMN(HeadJournal!H$1),0),0)</f>
        <v>648.6153839952533</v>
      </c>
      <c r="Q5172" s="29">
        <v>648.62</v>
      </c>
      <c r="R5172" s="31"/>
      <c r="S5172" s="31"/>
      <c r="T5172" s="95" t="str">
        <f t="shared" si="382"/>
        <v/>
      </c>
      <c r="U5172" s="32">
        <f t="shared" si="354"/>
        <v>4.6160047467083132E-3</v>
      </c>
      <c r="V5172" s="22">
        <f t="shared" si="355"/>
        <v>7.116705617241564E-6</v>
      </c>
      <c r="X5172" s="33"/>
      <c r="Y5172" s="33"/>
    </row>
    <row r="5173" spans="1:25" x14ac:dyDescent="0.2">
      <c r="A5173" s="93" t="s">
        <v>4583</v>
      </c>
      <c r="B5173" s="94">
        <f>IFERROR(VLOOKUP($A5173,HeadJournal!$A$1:$NTR$890,COLUMN(HeadJournal!B$1),0),"")</f>
        <v>0</v>
      </c>
      <c r="C5173" s="94" t="str">
        <f>IFERROR(VLOOKUP($A5173,HeadJournal!$A$1:$NTR$890,COLUMN(HeadJournal!C$1),0),"")</f>
        <v>iHerb_AV CYG0792</v>
      </c>
      <c r="D5173" s="125" t="str">
        <f>IFERROR(VLOOKUP($A5173,HeadJournal!$A$1:$NTR$890,COLUMN(HeadJournal!D$1),0),"")</f>
        <v>Доставлен</v>
      </c>
      <c r="E5173" s="95">
        <f>IFERROR(VLOOKUP($A5173,HeadJournal!$A$1:$NTR$890,COLUMN(HeadJournal!G$1),0),"")</f>
        <v>45945</v>
      </c>
      <c r="F5173" s="95" t="str">
        <f t="shared" si="381"/>
        <v>2025 10</v>
      </c>
      <c r="G5173" s="97" t="s">
        <v>5</v>
      </c>
      <c r="H5173" s="161" t="s">
        <v>2504</v>
      </c>
      <c r="I5173" s="97" t="s">
        <v>2036</v>
      </c>
      <c r="J5173" s="97" t="s">
        <v>3739</v>
      </c>
      <c r="K5173" s="29">
        <v>15.08</v>
      </c>
      <c r="L5173" s="29">
        <v>-3.0150000000000001</v>
      </c>
      <c r="M5173" s="30">
        <f>IFERROR(VLOOKUP($A5173,HeadJournal!$A$1:$J$890,COLUMN(HeadJournal!I$1),0)*($K5173+$L5173)/(SUMIF($A:$A,$A5173,$K:$K)+SUMIF($A:$A,$A5173,$L:$L)),0)</f>
        <v>-0.54835231390413086</v>
      </c>
      <c r="N5173" s="30">
        <f>IFERROR((VLOOKUP($A5173,HeadJournal!$A$1:$K$890,COLUMN(HeadJournal!K$1),0)-VLOOKUP($A5173,HeadJournal!$A$1:$K$890,COLUMN(HeadJournal!J$1),0))*($K5173+$L5173)/(SUMIF($A:$A,$A5173,$K:$K)+SUMIF($A:$A,$A5173,$L:$L)),0)</f>
        <v>1.7750694910333594E-15</v>
      </c>
      <c r="O5173" s="30">
        <f>IFERROR((VLOOKUP($A5173,HeadJournal!$A$1:$L$890,COLUMN(HeadJournal!L$1),0)*($K5173+$L5173)/(SUMIF($A:$A,$A5173,$K:$K)+SUMIF($A:$A,$A5173,$L:$L)))/VLOOKUP($A5173,HeadJournal!$A$1:$L$890,COLUMN(HeadJournal!H$1),0),0)</f>
        <v>0.35559435166706055</v>
      </c>
      <c r="P5173" s="30">
        <f>IFERROR(SUM(K5173:O5173)*VLOOKUP($A5173,HeadJournal!$A$1:$L$890,COLUMN(HeadJournal!H$1),0),0)</f>
        <v>1105.144132156538</v>
      </c>
      <c r="Q5173" s="29">
        <v>2000</v>
      </c>
      <c r="R5173" s="31">
        <v>45980</v>
      </c>
      <c r="S5173" s="31" t="s">
        <v>3235</v>
      </c>
      <c r="T5173" s="95" t="str">
        <f t="shared" si="382"/>
        <v>2025 11</v>
      </c>
      <c r="U5173" s="32">
        <f t="shared" si="354"/>
        <v>894.85586784346197</v>
      </c>
      <c r="V5173" s="22">
        <f t="shared" si="355"/>
        <v>0.80971869804644647</v>
      </c>
      <c r="X5173" s="33"/>
      <c r="Y5173" s="33"/>
    </row>
    <row r="5174" spans="1:25" x14ac:dyDescent="0.2">
      <c r="A5174" s="93" t="s">
        <v>4583</v>
      </c>
      <c r="B5174" s="94">
        <f>IFERROR(VLOOKUP($A5174,HeadJournal!$A$1:$NTR$890,COLUMN(HeadJournal!B$1),0),"")</f>
        <v>0</v>
      </c>
      <c r="C5174" s="94" t="str">
        <f>IFERROR(VLOOKUP($A5174,HeadJournal!$A$1:$NTR$890,COLUMN(HeadJournal!C$1),0),"")</f>
        <v>iHerb_AV CYG0792</v>
      </c>
      <c r="D5174" s="125" t="str">
        <f>IFERROR(VLOOKUP($A5174,HeadJournal!$A$1:$NTR$890,COLUMN(HeadJournal!D$1),0),"")</f>
        <v>Доставлен</v>
      </c>
      <c r="E5174" s="95">
        <f>IFERROR(VLOOKUP($A5174,HeadJournal!$A$1:$NTR$890,COLUMN(HeadJournal!G$1),0),"")</f>
        <v>45945</v>
      </c>
      <c r="F5174" s="95" t="str">
        <f t="shared" si="381"/>
        <v>2025 10</v>
      </c>
      <c r="G5174" s="97" t="s">
        <v>5</v>
      </c>
      <c r="H5174" s="161" t="s">
        <v>2504</v>
      </c>
      <c r="I5174" s="97" t="s">
        <v>2036</v>
      </c>
      <c r="J5174" s="97" t="s">
        <v>3739</v>
      </c>
      <c r="K5174" s="29">
        <v>15.08</v>
      </c>
      <c r="L5174" s="29">
        <v>-3.0150000000000001</v>
      </c>
      <c r="M5174" s="30">
        <f>IFERROR(VLOOKUP($A5174,HeadJournal!$A$1:$J$890,COLUMN(HeadJournal!I$1),0)*($K5174+$L5174)/(SUMIF($A:$A,$A5174,$K:$K)+SUMIF($A:$A,$A5174,$L:$L)),0)</f>
        <v>-0.54835231390413086</v>
      </c>
      <c r="N5174" s="30">
        <f>IFERROR((VLOOKUP($A5174,HeadJournal!$A$1:$K$890,COLUMN(HeadJournal!K$1),0)-VLOOKUP($A5174,HeadJournal!$A$1:$K$890,COLUMN(HeadJournal!J$1),0))*($K5174+$L5174)/(SUMIF($A:$A,$A5174,$K:$K)+SUMIF($A:$A,$A5174,$L:$L)),0)</f>
        <v>1.7750694910333594E-15</v>
      </c>
      <c r="O5174" s="30">
        <f>IFERROR((VLOOKUP($A5174,HeadJournal!$A$1:$L$890,COLUMN(HeadJournal!L$1),0)*($K5174+$L5174)/(SUMIF($A:$A,$A5174,$K:$K)+SUMIF($A:$A,$A5174,$L:$L)))/VLOOKUP($A5174,HeadJournal!$A$1:$L$890,COLUMN(HeadJournal!H$1),0),0)</f>
        <v>0.35559435166706055</v>
      </c>
      <c r="P5174" s="30">
        <f>IFERROR(SUM(K5174:O5174)*VLOOKUP($A5174,HeadJournal!$A$1:$L$890,COLUMN(HeadJournal!H$1),0),0)</f>
        <v>1105.144132156538</v>
      </c>
      <c r="Q5174" s="29">
        <v>2000</v>
      </c>
      <c r="R5174" s="31">
        <v>45980</v>
      </c>
      <c r="S5174" s="31" t="s">
        <v>3235</v>
      </c>
      <c r="T5174" s="95" t="str">
        <f t="shared" si="382"/>
        <v>2025 11</v>
      </c>
      <c r="U5174" s="32">
        <f t="shared" si="354"/>
        <v>894.85586784346197</v>
      </c>
      <c r="V5174" s="22">
        <f t="shared" si="355"/>
        <v>0.80971869804644647</v>
      </c>
      <c r="X5174" s="33"/>
      <c r="Y5174" s="33"/>
    </row>
    <row r="5175" spans="1:25" x14ac:dyDescent="0.2">
      <c r="A5175" s="93" t="s">
        <v>4583</v>
      </c>
      <c r="B5175" s="94">
        <f>IFERROR(VLOOKUP($A5175,HeadJournal!$A$1:$NTR$890,COLUMN(HeadJournal!B$1),0),"")</f>
        <v>0</v>
      </c>
      <c r="C5175" s="94" t="str">
        <f>IFERROR(VLOOKUP($A5175,HeadJournal!$A$1:$NTR$890,COLUMN(HeadJournal!C$1),0),"")</f>
        <v>iHerb_AV CYG0792</v>
      </c>
      <c r="D5175" s="125" t="str">
        <f>IFERROR(VLOOKUP($A5175,HeadJournal!$A$1:$NTR$890,COLUMN(HeadJournal!D$1),0),"")</f>
        <v>Доставлен</v>
      </c>
      <c r="E5175" s="95">
        <f>IFERROR(VLOOKUP($A5175,HeadJournal!$A$1:$NTR$890,COLUMN(HeadJournal!G$1),0),"")</f>
        <v>45945</v>
      </c>
      <c r="F5175" s="95" t="str">
        <f t="shared" si="381"/>
        <v>2025 10</v>
      </c>
      <c r="G5175" s="97" t="s">
        <v>5</v>
      </c>
      <c r="H5175" s="161" t="s">
        <v>3796</v>
      </c>
      <c r="I5175" s="97" t="s">
        <v>2009</v>
      </c>
      <c r="J5175" s="97" t="s">
        <v>3797</v>
      </c>
      <c r="K5175" s="29">
        <v>24.16</v>
      </c>
      <c r="L5175" s="29">
        <v>-4.83</v>
      </c>
      <c r="M5175" s="30">
        <f>IFERROR(VLOOKUP($A5175,HeadJournal!$A$1:$J$890,COLUMN(HeadJournal!I$1),0)*($K5175+$L5175)/(SUMIF($A:$A,$A5175,$K:$K)+SUMIF($A:$A,$A5175,$L:$L)),0)</f>
        <v>-0.87854539807433474</v>
      </c>
      <c r="N5175" s="30">
        <f>IFERROR((VLOOKUP($A5175,HeadJournal!$A$1:$K$890,COLUMN(HeadJournal!K$1),0)-VLOOKUP($A5175,HeadJournal!$A$1:$K$890,COLUMN(HeadJournal!J$1),0))*($K5175+$L5175)/(SUMIF($A:$A,$A5175,$K:$K)+SUMIF($A:$A,$A5175,$L:$L)),0)</f>
        <v>2.8439364493721374E-15</v>
      </c>
      <c r="O5175" s="30">
        <f>IFERROR((VLOOKUP($A5175,HeadJournal!$A$1:$L$890,COLUMN(HeadJournal!L$1),0)*($K5175+$L5175)/(SUMIF($A:$A,$A5175,$K:$K)+SUMIF($A:$A,$A5175,$L:$L)))/VLOOKUP($A5175,HeadJournal!$A$1:$L$890,COLUMN(HeadJournal!H$1),0),0)</f>
        <v>0.56971726628464825</v>
      </c>
      <c r="P5175" s="30">
        <f>IFERROR(SUM(K5175:O5175)*VLOOKUP($A5175,HeadJournal!$A$1:$L$890,COLUMN(HeadJournal!H$1),0),0)</f>
        <v>1770.6121901853196</v>
      </c>
      <c r="Q5175" s="29">
        <v>2900</v>
      </c>
      <c r="R5175" s="31">
        <v>45980</v>
      </c>
      <c r="S5175" s="31" t="s">
        <v>3226</v>
      </c>
      <c r="T5175" s="95" t="str">
        <f t="shared" si="382"/>
        <v>2025 11</v>
      </c>
      <c r="U5175" s="32">
        <f t="shared" si="354"/>
        <v>1129.3878098146804</v>
      </c>
      <c r="V5175" s="22">
        <f t="shared" si="355"/>
        <v>0.63785159510083012</v>
      </c>
      <c r="X5175" s="33"/>
      <c r="Y5175" s="33"/>
    </row>
    <row r="5176" spans="1:25" x14ac:dyDescent="0.2">
      <c r="A5176" s="93" t="s">
        <v>4583</v>
      </c>
      <c r="B5176" s="94">
        <f>IFERROR(VLOOKUP($A5176,HeadJournal!$A$1:$NTR$890,COLUMN(HeadJournal!B$1),0),"")</f>
        <v>0</v>
      </c>
      <c r="C5176" s="94" t="str">
        <f>IFERROR(VLOOKUP($A5176,HeadJournal!$A$1:$NTR$890,COLUMN(HeadJournal!C$1),0),"")</f>
        <v>iHerb_AV CYG0792</v>
      </c>
      <c r="D5176" s="125" t="str">
        <f>IFERROR(VLOOKUP($A5176,HeadJournal!$A$1:$NTR$890,COLUMN(HeadJournal!D$1),0),"")</f>
        <v>Доставлен</v>
      </c>
      <c r="E5176" s="95">
        <f>IFERROR(VLOOKUP($A5176,HeadJournal!$A$1:$NTR$890,COLUMN(HeadJournal!G$1),0),"")</f>
        <v>45945</v>
      </c>
      <c r="F5176" s="95" t="str">
        <f t="shared" si="381"/>
        <v>2025 10</v>
      </c>
      <c r="G5176" s="97" t="s">
        <v>5</v>
      </c>
      <c r="H5176" s="161" t="s">
        <v>4016</v>
      </c>
      <c r="I5176" s="97" t="s">
        <v>2207</v>
      </c>
      <c r="J5176" s="97" t="s">
        <v>4017</v>
      </c>
      <c r="K5176" s="29">
        <v>49.23</v>
      </c>
      <c r="L5176" s="29">
        <v>-9.85</v>
      </c>
      <c r="M5176" s="30">
        <f>IFERROR(VLOOKUP($A5176,HeadJournal!$A$1:$J$890,COLUMN(HeadJournal!I$1),0)*($K5176+$L5176)/(SUMIF($A:$A,$A5176,$K:$K)+SUMIF($A:$A,$A5176,$L:$L)),0)</f>
        <v>-1.7898146806087585</v>
      </c>
      <c r="N5176" s="30">
        <f>IFERROR((VLOOKUP($A5176,HeadJournal!$A$1:$K$890,COLUMN(HeadJournal!K$1),0)-VLOOKUP($A5176,HeadJournal!$A$1:$K$890,COLUMN(HeadJournal!J$1),0))*($K5176+$L5176)/(SUMIF($A:$A,$A5176,$K:$K)+SUMIF($A:$A,$A5176,$L:$L)),0)</f>
        <v>5.7938032786484618E-15</v>
      </c>
      <c r="O5176" s="30">
        <f>IFERROR((VLOOKUP($A5176,HeadJournal!$A$1:$L$890,COLUMN(HeadJournal!L$1),0)*($K5176+$L5176)/(SUMIF($A:$A,$A5176,$K:$K)+SUMIF($A:$A,$A5176,$L:$L)))/VLOOKUP($A5176,HeadJournal!$A$1:$L$890,COLUMN(HeadJournal!H$1),0),0)</f>
        <v>1.1606552481267172</v>
      </c>
      <c r="P5176" s="30">
        <f>IFERROR(SUM(K5176:O5176)*VLOOKUP($A5176,HeadJournal!$A$1:$L$890,COLUMN(HeadJournal!H$1),0),0)</f>
        <v>3607.1757914898026</v>
      </c>
      <c r="Q5176" s="29">
        <v>5300</v>
      </c>
      <c r="R5176" s="31">
        <v>45980</v>
      </c>
      <c r="S5176" s="31" t="s">
        <v>3235</v>
      </c>
      <c r="T5176" s="95" t="str">
        <f t="shared" si="382"/>
        <v>2025 11</v>
      </c>
      <c r="U5176" s="32">
        <f t="shared" si="354"/>
        <v>1692.8242085101974</v>
      </c>
      <c r="V5176" s="22">
        <f t="shared" si="355"/>
        <v>0.46929351558190702</v>
      </c>
      <c r="X5176" s="33"/>
      <c r="Y5176" s="33"/>
    </row>
    <row r="5177" spans="1:25" x14ac:dyDescent="0.2">
      <c r="A5177" s="93" t="s">
        <v>4583</v>
      </c>
      <c r="B5177" s="94">
        <f>IFERROR(VLOOKUP($A5177,HeadJournal!$A$1:$NTR$890,COLUMN(HeadJournal!B$1),0),"")</f>
        <v>0</v>
      </c>
      <c r="C5177" s="94" t="str">
        <f>IFERROR(VLOOKUP($A5177,HeadJournal!$A$1:$NTR$890,COLUMN(HeadJournal!C$1),0),"")</f>
        <v>iHerb_AV CYG0792</v>
      </c>
      <c r="D5177" s="125" t="str">
        <f>IFERROR(VLOOKUP($A5177,HeadJournal!$A$1:$NTR$890,COLUMN(HeadJournal!D$1),0),"")</f>
        <v>Доставлен</v>
      </c>
      <c r="E5177" s="95">
        <f>IFERROR(VLOOKUP($A5177,HeadJournal!$A$1:$NTR$890,COLUMN(HeadJournal!G$1),0),"")</f>
        <v>45945</v>
      </c>
      <c r="F5177" s="95" t="str">
        <f t="shared" si="381"/>
        <v>2025 10</v>
      </c>
      <c r="G5177" s="97" t="s">
        <v>5</v>
      </c>
      <c r="H5177" s="161" t="s">
        <v>2018</v>
      </c>
      <c r="I5177" s="97" t="s">
        <v>2005</v>
      </c>
      <c r="J5177" s="97" t="s">
        <v>2019</v>
      </c>
      <c r="K5177" s="29">
        <v>22.86</v>
      </c>
      <c r="L5177" s="29">
        <v>-4.57</v>
      </c>
      <c r="M5177" s="30">
        <f>IFERROR(VLOOKUP($A5177,HeadJournal!$A$1:$J$890,COLUMN(HeadJournal!I$1),0)*($K5177+$L5177)/(SUMIF($A:$A,$A5177,$K:$K)+SUMIF($A:$A,$A5177,$L:$L)),0)</f>
        <v>-0.83127756496531735</v>
      </c>
      <c r="N5177" s="30">
        <f>IFERROR((VLOOKUP($A5177,HeadJournal!$A$1:$K$890,COLUMN(HeadJournal!K$1),0)-VLOOKUP($A5177,HeadJournal!$A$1:$K$890,COLUMN(HeadJournal!J$1),0))*($K5177+$L5177)/(SUMIF($A:$A,$A5177,$K:$K)+SUMIF($A:$A,$A5177,$L:$L)),0)</f>
        <v>2.6909259006216446E-15</v>
      </c>
      <c r="O5177" s="30">
        <f>IFERROR((VLOOKUP($A5177,HeadJournal!$A$1:$L$890,COLUMN(HeadJournal!L$1),0)*($K5177+$L5177)/(SUMIF($A:$A,$A5177,$K:$K)+SUMIF($A:$A,$A5177,$L:$L)))/VLOOKUP($A5177,HeadJournal!$A$1:$L$890,COLUMN(HeadJournal!H$1),0),0)</f>
        <v>0.53906512159059572</v>
      </c>
      <c r="P5177" s="30">
        <f>IFERROR(SUM(K5177:O5177)*VLOOKUP($A5177,HeadJournal!$A$1:$L$890,COLUMN(HeadJournal!H$1),0),0)</f>
        <v>1675.3490407909724</v>
      </c>
      <c r="Q5177" s="29"/>
      <c r="R5177" s="31"/>
      <c r="S5177" s="31"/>
      <c r="T5177" s="95" t="str">
        <f t="shared" si="382"/>
        <v/>
      </c>
      <c r="U5177" s="32">
        <f t="shared" si="354"/>
        <v>-1675.3490407909724</v>
      </c>
      <c r="V5177" s="22" t="str">
        <f t="shared" si="355"/>
        <v/>
      </c>
      <c r="X5177" s="33"/>
      <c r="Y5177" s="33"/>
    </row>
    <row r="5178" spans="1:25" x14ac:dyDescent="0.2">
      <c r="A5178" s="93" t="s">
        <v>4583</v>
      </c>
      <c r="B5178" s="94">
        <f>IFERROR(VLOOKUP($A5178,HeadJournal!$A$1:$NTR$890,COLUMN(HeadJournal!B$1),0),"")</f>
        <v>0</v>
      </c>
      <c r="C5178" s="94" t="str">
        <f>IFERROR(VLOOKUP($A5178,HeadJournal!$A$1:$NTR$890,COLUMN(HeadJournal!C$1),0),"")</f>
        <v>iHerb_AV CYG0792</v>
      </c>
      <c r="D5178" s="125" t="str">
        <f>IFERROR(VLOOKUP($A5178,HeadJournal!$A$1:$NTR$890,COLUMN(HeadJournal!D$1),0),"")</f>
        <v>Доставлен</v>
      </c>
      <c r="E5178" s="95">
        <f>IFERROR(VLOOKUP($A5178,HeadJournal!$A$1:$NTR$890,COLUMN(HeadJournal!G$1),0),"")</f>
        <v>45945</v>
      </c>
      <c r="F5178" s="95" t="str">
        <f t="shared" si="381"/>
        <v>2025 10</v>
      </c>
      <c r="G5178" s="97" t="s">
        <v>5</v>
      </c>
      <c r="H5178" s="161" t="s">
        <v>4576</v>
      </c>
      <c r="I5178" s="97" t="s">
        <v>4577</v>
      </c>
      <c r="J5178" s="97" t="s">
        <v>4578</v>
      </c>
      <c r="K5178" s="29">
        <v>61.76</v>
      </c>
      <c r="L5178" s="29">
        <v>-12.35</v>
      </c>
      <c r="M5178" s="30">
        <f>IFERROR(VLOOKUP($A5178,HeadJournal!$A$1:$J$890,COLUMN(HeadJournal!I$1),0)*($K5178+$L5178)/(SUMIF($A:$A,$A5178,$K:$K)+SUMIF($A:$A,$A5178,$L:$L)),0)</f>
        <v>-2.2456765710736102</v>
      </c>
      <c r="N5178" s="30">
        <f>IFERROR((VLOOKUP($A5178,HeadJournal!$A$1:$K$890,COLUMN(HeadJournal!K$1),0)-VLOOKUP($A5178,HeadJournal!$A$1:$K$890,COLUMN(HeadJournal!J$1),0))*($K5178+$L5178)/(SUMIF($A:$A,$A5178,$K:$K)+SUMIF($A:$A,$A5178,$L:$L)),0)</f>
        <v>7.2694723209248469E-15</v>
      </c>
      <c r="O5178" s="30">
        <f>IFERROR((VLOOKUP($A5178,HeadJournal!$A$1:$L$890,COLUMN(HeadJournal!L$1),0)*($K5178+$L5178)/(SUMIF($A:$A,$A5178,$K:$K)+SUMIF($A:$A,$A5178,$L:$L)))/VLOOKUP($A5178,HeadJournal!$A$1:$L$890,COLUMN(HeadJournal!H$1),0),0)</f>
        <v>1.4562716051280118</v>
      </c>
      <c r="P5178" s="30">
        <f>IFERROR(SUM(K5178:O5178)*VLOOKUP($A5178,HeadJournal!$A$1:$L$890,COLUMN(HeadJournal!H$1),0),0)</f>
        <v>4525.9155880525932</v>
      </c>
      <c r="Q5178" s="29">
        <v>6230</v>
      </c>
      <c r="R5178" s="31">
        <v>45981</v>
      </c>
      <c r="S5178" s="31" t="s">
        <v>3475</v>
      </c>
      <c r="T5178" s="95" t="str">
        <f t="shared" si="382"/>
        <v>2025 11</v>
      </c>
      <c r="U5178" s="32">
        <f t="shared" si="354"/>
        <v>1704.0844119474068</v>
      </c>
      <c r="V5178" s="22">
        <f t="shared" si="355"/>
        <v>0.37651705578553196</v>
      </c>
      <c r="X5178" s="33"/>
      <c r="Y5178" s="33"/>
    </row>
    <row r="5179" spans="1:25" x14ac:dyDescent="0.2">
      <c r="A5179" s="93" t="s">
        <v>4583</v>
      </c>
      <c r="B5179" s="94">
        <f>IFERROR(VLOOKUP($A5179,HeadJournal!$A$1:$NTR$890,COLUMN(HeadJournal!B$1),0),"")</f>
        <v>0</v>
      </c>
      <c r="C5179" s="94" t="str">
        <f>IFERROR(VLOOKUP($A5179,HeadJournal!$A$1:$NTR$890,COLUMN(HeadJournal!C$1),0),"")</f>
        <v>iHerb_AV CYG0792</v>
      </c>
      <c r="D5179" s="125" t="str">
        <f>IFERROR(VLOOKUP($A5179,HeadJournal!$A$1:$NTR$890,COLUMN(HeadJournal!D$1),0),"")</f>
        <v>Доставлен</v>
      </c>
      <c r="E5179" s="95">
        <f>IFERROR(VLOOKUP($A5179,HeadJournal!$A$1:$NTR$890,COLUMN(HeadJournal!G$1),0),"")</f>
        <v>45945</v>
      </c>
      <c r="F5179" s="95" t="str">
        <f t="shared" si="381"/>
        <v>2025 10</v>
      </c>
      <c r="G5179" s="97" t="s">
        <v>5</v>
      </c>
      <c r="H5179" s="161" t="s">
        <v>4579</v>
      </c>
      <c r="I5179" s="97" t="s">
        <v>2960</v>
      </c>
      <c r="J5179" s="97" t="s">
        <v>4580</v>
      </c>
      <c r="K5179" s="29">
        <v>35.18</v>
      </c>
      <c r="L5179" s="29">
        <v>-7.04</v>
      </c>
      <c r="M5179" s="30">
        <f>IFERROR(VLOOKUP($A5179,HeadJournal!$A$1:$J$890,COLUMN(HeadJournal!I$1),0)*($K5179+$L5179)/(SUMIF($A:$A,$A5179,$K:$K)+SUMIF($A:$A,$A5179,$L:$L)),0)</f>
        <v>-1.2789584843151467</v>
      </c>
      <c r="N5179" s="30">
        <f>IFERROR((VLOOKUP($A5179,HeadJournal!$A$1:$K$890,COLUMN(HeadJournal!K$1),0)-VLOOKUP($A5179,HeadJournal!$A$1:$K$890,COLUMN(HeadJournal!J$1),0))*($K5179+$L5179)/(SUMIF($A:$A,$A5179,$K:$K)+SUMIF($A:$A,$A5179,$L:$L)),0)</f>
        <v>4.1401123479219839E-15</v>
      </c>
      <c r="O5179" s="30">
        <f>IFERROR((VLOOKUP($A5179,HeadJournal!$A$1:$L$890,COLUMN(HeadJournal!L$1),0)*($K5179+$L5179)/(SUMIF($A:$A,$A5179,$K:$K)+SUMIF($A:$A,$A5179,$L:$L)))/VLOOKUP($A5179,HeadJournal!$A$1:$L$890,COLUMN(HeadJournal!H$1),0),0)</f>
        <v>0.82937629970253501</v>
      </c>
      <c r="P5179" s="30">
        <f>IFERROR(SUM(K5179:O5179)*VLOOKUP($A5179,HeadJournal!$A$1:$L$890,COLUMN(HeadJournal!H$1),0),0)</f>
        <v>2577.6009845739727</v>
      </c>
      <c r="Q5179" s="29">
        <v>3770</v>
      </c>
      <c r="R5179" s="31">
        <v>45981</v>
      </c>
      <c r="S5179" s="31" t="s">
        <v>3475</v>
      </c>
      <c r="T5179" s="95" t="str">
        <f t="shared" si="382"/>
        <v>2025 11</v>
      </c>
      <c r="U5179" s="32">
        <f t="shared" si="354"/>
        <v>1192.3990154260273</v>
      </c>
      <c r="V5179" s="22">
        <f t="shared" si="355"/>
        <v>0.46260031035141291</v>
      </c>
      <c r="X5179" s="33"/>
      <c r="Y5179" s="33"/>
    </row>
    <row r="5180" spans="1:25" x14ac:dyDescent="0.2">
      <c r="A5180" s="93" t="s">
        <v>4583</v>
      </c>
      <c r="B5180" s="94">
        <f>IFERROR(VLOOKUP($A5180,HeadJournal!$A$1:$NTR$890,COLUMN(HeadJournal!B$1),0),"")</f>
        <v>0</v>
      </c>
      <c r="C5180" s="94" t="str">
        <f>IFERROR(VLOOKUP($A5180,HeadJournal!$A$1:$NTR$890,COLUMN(HeadJournal!C$1),0),"")</f>
        <v>iHerb_AV CYG0792</v>
      </c>
      <c r="D5180" s="125" t="str">
        <f>IFERROR(VLOOKUP($A5180,HeadJournal!$A$1:$NTR$890,COLUMN(HeadJournal!D$1),0),"")</f>
        <v>Доставлен</v>
      </c>
      <c r="E5180" s="95">
        <f>IFERROR(VLOOKUP($A5180,HeadJournal!$A$1:$NTR$890,COLUMN(HeadJournal!G$1),0),"")</f>
        <v>45945</v>
      </c>
      <c r="F5180" s="95" t="str">
        <f t="shared" si="381"/>
        <v>2025 10</v>
      </c>
      <c r="G5180" s="97" t="s">
        <v>5</v>
      </c>
      <c r="H5180" s="161" t="s">
        <v>4581</v>
      </c>
      <c r="I5180" s="97" t="s">
        <v>2498</v>
      </c>
      <c r="J5180" s="97" t="s">
        <v>4582</v>
      </c>
      <c r="K5180" s="29">
        <v>18.13</v>
      </c>
      <c r="L5180" s="29">
        <v>-3.63</v>
      </c>
      <c r="M5180" s="30">
        <f>IFERROR(VLOOKUP($A5180,HeadJournal!$A$1:$J$890,COLUMN(HeadJournal!I$1),0)*($K5180+$L5180)/(SUMIF($A:$A,$A5180,$K:$K)+SUMIF($A:$A,$A5180,$L:$L)),0)</f>
        <v>-0.65902267315457086</v>
      </c>
      <c r="N5180" s="30">
        <f>IFERROR((VLOOKUP($A5180,HeadJournal!$A$1:$K$890,COLUMN(HeadJournal!K$1),0)-VLOOKUP($A5180,HeadJournal!$A$1:$K$890,COLUMN(HeadJournal!J$1),0))*($K5180+$L5180)/(SUMIF($A:$A,$A5180,$K:$K)+SUMIF($A:$A,$A5180,$L:$L)),0)</f>
        <v>2.1333201508482149E-15</v>
      </c>
      <c r="O5180" s="30">
        <f>IFERROR((VLOOKUP($A5180,HeadJournal!$A$1:$L$890,COLUMN(HeadJournal!L$1),0)*($K5180+$L5180)/(SUMIF($A:$A,$A5180,$K:$K)+SUMIF($A:$A,$A5180,$L:$L)))/VLOOKUP($A5180,HeadJournal!$A$1:$L$890,COLUMN(HeadJournal!H$1),0),0)</f>
        <v>0.42736163275361611</v>
      </c>
      <c r="P5180" s="30">
        <f>IFERROR(SUM(K5180:O5180)*VLOOKUP($A5180,HeadJournal!$A$1:$L$890,COLUMN(HeadJournal!H$1),0),0)</f>
        <v>1328.1881405942647</v>
      </c>
      <c r="Q5180" s="29"/>
      <c r="R5180" s="31"/>
      <c r="S5180" s="31"/>
      <c r="T5180" s="95" t="str">
        <f t="shared" si="382"/>
        <v/>
      </c>
      <c r="U5180" s="32">
        <f t="shared" si="354"/>
        <v>-1328.1881405942647</v>
      </c>
      <c r="V5180" s="22" t="str">
        <f t="shared" si="355"/>
        <v/>
      </c>
      <c r="X5180" s="33"/>
      <c r="Y5180" s="33"/>
    </row>
    <row r="5181" spans="1:25" x14ac:dyDescent="0.2">
      <c r="A5181" s="93" t="s">
        <v>4588</v>
      </c>
      <c r="B5181" s="94">
        <f>IFERROR(VLOOKUP($A5181,HeadJournal!$A$1:$NTR$890,COLUMN(HeadJournal!B$1),0),"")</f>
        <v>0</v>
      </c>
      <c r="C5181" s="94" t="str">
        <f>IFERROR(VLOOKUP($A5181,HeadJournal!$A$1:$NTR$890,COLUMN(HeadJournal!C$1),0),"")</f>
        <v>iHerb_MH DLE7202</v>
      </c>
      <c r="D5181" s="125" t="str">
        <f>IFERROR(VLOOKUP($A5181,HeadJournal!$A$1:$NTR$890,COLUMN(HeadJournal!D$1),0),"")</f>
        <v>Доставлен</v>
      </c>
      <c r="E5181" s="95">
        <f>IFERROR(VLOOKUP($A5181,HeadJournal!$A$1:$NTR$890,COLUMN(HeadJournal!G$1),0),"")</f>
        <v>45937</v>
      </c>
      <c r="F5181" s="95" t="str">
        <f t="shared" si="381"/>
        <v>2025 10</v>
      </c>
      <c r="G5181" s="97" t="s">
        <v>5</v>
      </c>
      <c r="H5181" s="161" t="s">
        <v>4391</v>
      </c>
      <c r="I5181" s="97" t="s">
        <v>2005</v>
      </c>
      <c r="J5181" s="97" t="s">
        <v>4392</v>
      </c>
      <c r="K5181" s="29">
        <v>31.89</v>
      </c>
      <c r="L5181" s="29">
        <v>-6.38</v>
      </c>
      <c r="M5181" s="30">
        <f>IFERROR(VLOOKUP($A5181,HeadJournal!$A$1:$J$890,COLUMN(HeadJournal!I$1),0)*($K5181+$L5181)/(SUMIF($A:$A,$A5181,$K:$K)+SUMIF($A:$A,$A5181,$L:$L)),0)</f>
        <v>-0.82015771913861113</v>
      </c>
      <c r="N5181" s="30">
        <f>IFERROR((VLOOKUP($A5181,HeadJournal!$A$1:$K$890,COLUMN(HeadJournal!K$1),0)-VLOOKUP($A5181,HeadJournal!$A$1:$K$890,COLUMN(HeadJournal!J$1),0))*($K5181+$L5181)/(SUMIF($A:$A,$A5181,$K:$K)+SUMIF($A:$A,$A5181,$L:$L)),0)</f>
        <v>7.3302781070630511E-15</v>
      </c>
      <c r="O5181" s="30">
        <f>IFERROR((VLOOKUP($A5181,HeadJournal!$A$1:$L$890,COLUMN(HeadJournal!L$1),0)*($K5181+$L5181)/(SUMIF($A:$A,$A5181,$K:$K)+SUMIF($A:$A,$A5181,$L:$L)))/VLOOKUP($A5181,HeadJournal!$A$1:$L$890,COLUMN(HeadJournal!H$1),0),0)</f>
        <v>0.55825607700351509</v>
      </c>
      <c r="P5181" s="30">
        <f>IFERROR(SUM(K5181:O5181)*VLOOKUP($A5181,HeadJournal!$A$1:$L$890,COLUMN(HeadJournal!H$1),0),0)</f>
        <v>2356.2254372662023</v>
      </c>
      <c r="Q5181" s="29">
        <v>3500</v>
      </c>
      <c r="R5181" s="31">
        <v>45962</v>
      </c>
      <c r="S5181" s="31" t="s">
        <v>3181</v>
      </c>
      <c r="T5181" s="95" t="str">
        <f t="shared" si="382"/>
        <v>2025 11</v>
      </c>
      <c r="U5181" s="32">
        <f t="shared" ref="U5181:U5260" si="387">Q5181-P5181</f>
        <v>1143.7745627337977</v>
      </c>
      <c r="V5181" s="22">
        <f t="shared" ref="V5181:V5260" si="388">IF(Q5181&lt;&gt;0,IFERROR(U5181/P5181,""),"")</f>
        <v>0.48542662541698722</v>
      </c>
      <c r="X5181" s="33"/>
      <c r="Y5181" s="33"/>
    </row>
    <row r="5182" spans="1:25" x14ac:dyDescent="0.2">
      <c r="A5182" s="93" t="s">
        <v>4588</v>
      </c>
      <c r="B5182" s="94">
        <f>IFERROR(VLOOKUP($A5182,HeadJournal!$A$1:$NTR$890,COLUMN(HeadJournal!B$1),0),"")</f>
        <v>0</v>
      </c>
      <c r="C5182" s="94" t="str">
        <f>IFERROR(VLOOKUP($A5182,HeadJournal!$A$1:$NTR$890,COLUMN(HeadJournal!C$1),0),"")</f>
        <v>iHerb_MH DLE7202</v>
      </c>
      <c r="D5182" s="125" t="str">
        <f>IFERROR(VLOOKUP($A5182,HeadJournal!$A$1:$NTR$890,COLUMN(HeadJournal!D$1),0),"")</f>
        <v>Доставлен</v>
      </c>
      <c r="E5182" s="95">
        <f>IFERROR(VLOOKUP($A5182,HeadJournal!$A$1:$NTR$890,COLUMN(HeadJournal!G$1),0),"")</f>
        <v>45937</v>
      </c>
      <c r="F5182" s="95" t="str">
        <f t="shared" si="381"/>
        <v>2025 10</v>
      </c>
      <c r="G5182" s="97" t="s">
        <v>5</v>
      </c>
      <c r="H5182" s="161" t="s">
        <v>2028</v>
      </c>
      <c r="I5182" s="97" t="s">
        <v>2009</v>
      </c>
      <c r="J5182" s="97" t="s">
        <v>2029</v>
      </c>
      <c r="K5182" s="29">
        <v>15.02</v>
      </c>
      <c r="L5182" s="29">
        <v>-3</v>
      </c>
      <c r="M5182" s="30">
        <f>IFERROR(VLOOKUP($A5182,HeadJournal!$A$1:$J$890,COLUMN(HeadJournal!I$1),0)*($K5182+$L5182)/(SUMIF($A:$A,$A5182,$K:$K)+SUMIF($A:$A,$A5182,$L:$L)),0)</f>
        <v>-0.38644828632089784</v>
      </c>
      <c r="N5182" s="30">
        <f>IFERROR((VLOOKUP($A5182,HeadJournal!$A$1:$K$890,COLUMN(HeadJournal!K$1),0)-VLOOKUP($A5182,HeadJournal!$A$1:$K$890,COLUMN(HeadJournal!J$1),0))*($K5182+$L5182)/(SUMIF($A:$A,$A5182,$K:$K)+SUMIF($A:$A,$A5182,$L:$L)),0)</f>
        <v>3.4539373910975252E-15</v>
      </c>
      <c r="O5182" s="30">
        <f>IFERROR((VLOOKUP($A5182,HeadJournal!$A$1:$L$890,COLUMN(HeadJournal!L$1),0)*($K5182+$L5182)/(SUMIF($A:$A,$A5182,$K:$K)+SUMIF($A:$A,$A5182,$L:$L)))/VLOOKUP($A5182,HeadJournal!$A$1:$L$890,COLUMN(HeadJournal!H$1),0),0)</f>
        <v>0.2630434357343101</v>
      </c>
      <c r="P5182" s="30">
        <f>IFERROR(SUM(K5182:O5182)*VLOOKUP($A5182,HeadJournal!$A$1:$L$890,COLUMN(HeadJournal!H$1),0),0)</f>
        <v>1110.224608229704</v>
      </c>
      <c r="Q5182" s="29">
        <v>2000</v>
      </c>
      <c r="R5182" s="31">
        <v>46098</v>
      </c>
      <c r="S5182" s="31"/>
      <c r="T5182" s="95" t="str">
        <f t="shared" si="382"/>
        <v>2026 03</v>
      </c>
      <c r="U5182" s="32">
        <f t="shared" si="387"/>
        <v>889.77539177029598</v>
      </c>
      <c r="V5182" s="22">
        <f t="shared" si="388"/>
        <v>0.801437281406577</v>
      </c>
      <c r="X5182" s="33"/>
      <c r="Y5182" s="33"/>
    </row>
    <row r="5183" spans="1:25" x14ac:dyDescent="0.2">
      <c r="A5183" s="93" t="s">
        <v>4588</v>
      </c>
      <c r="B5183" s="94">
        <f>IFERROR(VLOOKUP($A5183,HeadJournal!$A$1:$NTR$890,COLUMN(HeadJournal!B$1),0),"")</f>
        <v>0</v>
      </c>
      <c r="C5183" s="94" t="str">
        <f>IFERROR(VLOOKUP($A5183,HeadJournal!$A$1:$NTR$890,COLUMN(HeadJournal!C$1),0),"")</f>
        <v>iHerb_MH DLE7202</v>
      </c>
      <c r="D5183" s="125" t="str">
        <f>IFERROR(VLOOKUP($A5183,HeadJournal!$A$1:$NTR$890,COLUMN(HeadJournal!D$1),0),"")</f>
        <v>Доставлен</v>
      </c>
      <c r="E5183" s="95">
        <f>IFERROR(VLOOKUP($A5183,HeadJournal!$A$1:$NTR$890,COLUMN(HeadJournal!G$1),0),"")</f>
        <v>45937</v>
      </c>
      <c r="F5183" s="95" t="str">
        <f t="shared" si="381"/>
        <v>2025 10</v>
      </c>
      <c r="G5183" s="97" t="s">
        <v>5</v>
      </c>
      <c r="H5183" s="161" t="s">
        <v>2650</v>
      </c>
      <c r="I5183" s="97" t="s">
        <v>2005</v>
      </c>
      <c r="J5183" s="97" t="s">
        <v>2651</v>
      </c>
      <c r="K5183" s="29">
        <v>12.31</v>
      </c>
      <c r="L5183" s="29">
        <v>-2.46</v>
      </c>
      <c r="M5183" s="30">
        <f>IFERROR(VLOOKUP($A5183,HeadJournal!$A$1:$J$890,COLUMN(HeadJournal!I$1),0)*($K5183+$L5183)/(SUMIF($A:$A,$A5183,$K:$K)+SUMIF($A:$A,$A5183,$L:$L)),0)</f>
        <v>-0.31668183196845628</v>
      </c>
      <c r="N5183" s="30">
        <f>IFERROR((VLOOKUP($A5183,HeadJournal!$A$1:$K$890,COLUMN(HeadJournal!K$1),0)-VLOOKUP($A5183,HeadJournal!$A$1:$K$890,COLUMN(HeadJournal!J$1),0))*($K5183+$L5183)/(SUMIF($A:$A,$A5183,$K:$K)+SUMIF($A:$A,$A5183,$L:$L)),0)</f>
        <v>2.8303896258161921E-15</v>
      </c>
      <c r="O5183" s="30">
        <f>IFERROR((VLOOKUP($A5183,HeadJournal!$A$1:$L$890,COLUMN(HeadJournal!L$1),0)*($K5183+$L5183)/(SUMIF($A:$A,$A5183,$K:$K)+SUMIF($A:$A,$A5183,$L:$L)))/VLOOKUP($A5183,HeadJournal!$A$1:$L$890,COLUMN(HeadJournal!H$1),0),0)</f>
        <v>0.21555556089708444</v>
      </c>
      <c r="P5183" s="30">
        <f>IFERROR(SUM(K5183:O5183)*VLOOKUP($A5183,HeadJournal!$A$1:$L$890,COLUMN(HeadJournal!H$1),0),0)</f>
        <v>909.79304418157949</v>
      </c>
      <c r="Q5183" s="29">
        <v>1700</v>
      </c>
      <c r="R5183" s="31">
        <v>46002</v>
      </c>
      <c r="S5183" s="31" t="s">
        <v>4627</v>
      </c>
      <c r="T5183" s="95" t="str">
        <f t="shared" si="382"/>
        <v>2025 12</v>
      </c>
      <c r="U5183" s="32">
        <f t="shared" si="387"/>
        <v>790.20695581842051</v>
      </c>
      <c r="V5183" s="22">
        <f t="shared" si="388"/>
        <v>0.86855682275441581</v>
      </c>
      <c r="X5183" s="33"/>
      <c r="Y5183" s="33"/>
    </row>
    <row r="5184" spans="1:25" x14ac:dyDescent="0.2">
      <c r="A5184" s="93" t="s">
        <v>4588</v>
      </c>
      <c r="B5184" s="94">
        <f>IFERROR(VLOOKUP($A5184,HeadJournal!$A$1:$NTR$890,COLUMN(HeadJournal!B$1),0),"")</f>
        <v>0</v>
      </c>
      <c r="C5184" s="94" t="str">
        <f>IFERROR(VLOOKUP($A5184,HeadJournal!$A$1:$NTR$890,COLUMN(HeadJournal!C$1),0),"")</f>
        <v>iHerb_MH DLE7202</v>
      </c>
      <c r="D5184" s="125" t="str">
        <f>IFERROR(VLOOKUP($A5184,HeadJournal!$A$1:$NTR$890,COLUMN(HeadJournal!D$1),0),"")</f>
        <v>Доставлен</v>
      </c>
      <c r="E5184" s="95">
        <f>IFERROR(VLOOKUP($A5184,HeadJournal!$A$1:$NTR$890,COLUMN(HeadJournal!G$1),0),"")</f>
        <v>45937</v>
      </c>
      <c r="F5184" s="95" t="str">
        <f t="shared" si="381"/>
        <v>2025 10</v>
      </c>
      <c r="G5184" s="97" t="s">
        <v>5</v>
      </c>
      <c r="H5184" s="161" t="s">
        <v>2650</v>
      </c>
      <c r="I5184" s="97" t="s">
        <v>2005</v>
      </c>
      <c r="J5184" s="97" t="s">
        <v>2651</v>
      </c>
      <c r="K5184" s="29">
        <v>12.31</v>
      </c>
      <c r="L5184" s="29">
        <v>-2.46</v>
      </c>
      <c r="M5184" s="30">
        <f>IFERROR(VLOOKUP($A5184,HeadJournal!$A$1:$J$890,COLUMN(HeadJournal!I$1),0)*($K5184+$L5184)/(SUMIF($A:$A,$A5184,$K:$K)+SUMIF($A:$A,$A5184,$L:$L)),0)</f>
        <v>-0.31668183196845628</v>
      </c>
      <c r="N5184" s="30">
        <f>IFERROR((VLOOKUP($A5184,HeadJournal!$A$1:$K$890,COLUMN(HeadJournal!K$1),0)-VLOOKUP($A5184,HeadJournal!$A$1:$K$890,COLUMN(HeadJournal!J$1),0))*($K5184+$L5184)/(SUMIF($A:$A,$A5184,$K:$K)+SUMIF($A:$A,$A5184,$L:$L)),0)</f>
        <v>2.8303896258161921E-15</v>
      </c>
      <c r="O5184" s="30">
        <f>IFERROR((VLOOKUP($A5184,HeadJournal!$A$1:$L$890,COLUMN(HeadJournal!L$1),0)*($K5184+$L5184)/(SUMIF($A:$A,$A5184,$K:$K)+SUMIF($A:$A,$A5184,$L:$L)))/VLOOKUP($A5184,HeadJournal!$A$1:$L$890,COLUMN(HeadJournal!H$1),0),0)</f>
        <v>0.21555556089708444</v>
      </c>
      <c r="P5184" s="30">
        <f>IFERROR(SUM(K5184:O5184)*VLOOKUP($A5184,HeadJournal!$A$1:$L$890,COLUMN(HeadJournal!H$1),0),0)</f>
        <v>909.79304418157949</v>
      </c>
      <c r="Q5184" s="29">
        <v>1700</v>
      </c>
      <c r="R5184" s="31">
        <v>46135</v>
      </c>
      <c r="S5184" s="31" t="s">
        <v>3384</v>
      </c>
      <c r="T5184" s="95" t="str">
        <f t="shared" si="382"/>
        <v>2026 04</v>
      </c>
      <c r="U5184" s="32">
        <f t="shared" si="387"/>
        <v>790.20695581842051</v>
      </c>
      <c r="V5184" s="22">
        <f t="shared" si="388"/>
        <v>0.86855682275441581</v>
      </c>
      <c r="X5184" s="33"/>
      <c r="Y5184" s="33"/>
    </row>
    <row r="5185" spans="1:25" x14ac:dyDescent="0.2">
      <c r="A5185" s="93" t="s">
        <v>4588</v>
      </c>
      <c r="B5185" s="94">
        <f>IFERROR(VLOOKUP($A5185,HeadJournal!$A$1:$NTR$890,COLUMN(HeadJournal!B$1),0),"")</f>
        <v>0</v>
      </c>
      <c r="C5185" s="94" t="str">
        <f>IFERROR(VLOOKUP($A5185,HeadJournal!$A$1:$NTR$890,COLUMN(HeadJournal!C$1),0),"")</f>
        <v>iHerb_MH DLE7202</v>
      </c>
      <c r="D5185" s="125" t="str">
        <f>IFERROR(VLOOKUP($A5185,HeadJournal!$A$1:$NTR$890,COLUMN(HeadJournal!D$1),0),"")</f>
        <v>Доставлен</v>
      </c>
      <c r="E5185" s="95">
        <f>IFERROR(VLOOKUP($A5185,HeadJournal!$A$1:$NTR$890,COLUMN(HeadJournal!G$1),0),"")</f>
        <v>45937</v>
      </c>
      <c r="F5185" s="95" t="str">
        <f t="shared" si="381"/>
        <v>2025 10</v>
      </c>
      <c r="G5185" s="97" t="s">
        <v>5</v>
      </c>
      <c r="H5185" s="161" t="s">
        <v>4584</v>
      </c>
      <c r="I5185" s="97" t="s">
        <v>2207</v>
      </c>
      <c r="J5185" s="97" t="s">
        <v>4585</v>
      </c>
      <c r="K5185" s="29">
        <v>12.04</v>
      </c>
      <c r="L5185" s="29">
        <v>-2.41</v>
      </c>
      <c r="M5185" s="30">
        <f>IFERROR(VLOOKUP($A5185,HeadJournal!$A$1:$J$890,COLUMN(HeadJournal!I$1),0)*($K5185+$L5185)/(SUMIF($A:$A,$A5185,$K:$K)+SUMIF($A:$A,$A5185,$L:$L)),0)</f>
        <v>-0.30960873521383075</v>
      </c>
      <c r="N5185" s="30">
        <f>IFERROR((VLOOKUP($A5185,HeadJournal!$A$1:$K$890,COLUMN(HeadJournal!K$1),0)-VLOOKUP($A5185,HeadJournal!$A$1:$K$890,COLUMN(HeadJournal!J$1),0))*($K5185+$L5185)/(SUMIF($A:$A,$A5185,$K:$K)+SUMIF($A:$A,$A5185,$L:$L)),0)</f>
        <v>2.7671728016862867E-15</v>
      </c>
      <c r="O5185" s="30">
        <f>IFERROR((VLOOKUP($A5185,HeadJournal!$A$1:$L$890,COLUMN(HeadJournal!L$1),0)*($K5185+$L5185)/(SUMIF($A:$A,$A5185,$K:$K)+SUMIF($A:$A,$A5185,$L:$L)))/VLOOKUP($A5185,HeadJournal!$A$1:$L$890,COLUMN(HeadJournal!H$1),0),0)</f>
        <v>0.21074112197349465</v>
      </c>
      <c r="P5185" s="30">
        <f>IFERROR(SUM(K5185:O5185)*VLOOKUP($A5185,HeadJournal!$A$1:$L$890,COLUMN(HeadJournal!H$1),0),0)</f>
        <v>889.47279344858975</v>
      </c>
      <c r="Q5185" s="29">
        <v>1700</v>
      </c>
      <c r="R5185" s="31">
        <v>45962</v>
      </c>
      <c r="S5185" s="31" t="s">
        <v>3384</v>
      </c>
      <c r="T5185" s="95" t="str">
        <f t="shared" si="382"/>
        <v>2025 11</v>
      </c>
      <c r="U5185" s="32">
        <f t="shared" si="387"/>
        <v>810.52720655141025</v>
      </c>
      <c r="V5185" s="22">
        <f t="shared" si="388"/>
        <v>0.91124451756292824</v>
      </c>
      <c r="X5185" s="33"/>
      <c r="Y5185" s="33"/>
    </row>
    <row r="5186" spans="1:25" x14ac:dyDescent="0.2">
      <c r="A5186" s="93" t="s">
        <v>4588</v>
      </c>
      <c r="B5186" s="94">
        <f>IFERROR(VLOOKUP($A5186,HeadJournal!$A$1:$NTR$890,COLUMN(HeadJournal!B$1),0),"")</f>
        <v>0</v>
      </c>
      <c r="C5186" s="94" t="str">
        <f>IFERROR(VLOOKUP($A5186,HeadJournal!$A$1:$NTR$890,COLUMN(HeadJournal!C$1),0),"")</f>
        <v>iHerb_MH DLE7202</v>
      </c>
      <c r="D5186" s="125" t="str">
        <f>IFERROR(VLOOKUP($A5186,HeadJournal!$A$1:$NTR$890,COLUMN(HeadJournal!D$1),0),"")</f>
        <v>Доставлен</v>
      </c>
      <c r="E5186" s="95">
        <f>IFERROR(VLOOKUP($A5186,HeadJournal!$A$1:$NTR$890,COLUMN(HeadJournal!G$1),0),"")</f>
        <v>45937</v>
      </c>
      <c r="F5186" s="95" t="str">
        <f t="shared" si="381"/>
        <v>2025 10</v>
      </c>
      <c r="G5186" s="97" t="s">
        <v>5</v>
      </c>
      <c r="H5186" s="161" t="s">
        <v>3570</v>
      </c>
      <c r="I5186" s="97" t="s">
        <v>2102</v>
      </c>
      <c r="J5186" s="97" t="s">
        <v>3991</v>
      </c>
      <c r="K5186" s="29">
        <v>12.8</v>
      </c>
      <c r="L5186" s="29">
        <v>-2.56</v>
      </c>
      <c r="M5186" s="30">
        <f>IFERROR(VLOOKUP($A5186,HeadJournal!$A$1:$J$890,COLUMN(HeadJournal!I$1),0)*($K5186+$L5186)/(SUMIF($A:$A,$A5186,$K:$K)+SUMIF($A:$A,$A5186,$L:$L)),0)</f>
        <v>-0.32922050348801951</v>
      </c>
      <c r="N5186" s="30">
        <f>IFERROR((VLOOKUP($A5186,HeadJournal!$A$1:$K$890,COLUMN(HeadJournal!K$1),0)-VLOOKUP($A5186,HeadJournal!$A$1:$K$890,COLUMN(HeadJournal!J$1),0))*($K5186+$L5186)/(SUMIF($A:$A,$A5186,$K:$K)+SUMIF($A:$A,$A5186,$L:$L)),0)</f>
        <v>2.9424558140464775E-15</v>
      </c>
      <c r="O5186" s="30">
        <f>IFERROR((VLOOKUP($A5186,HeadJournal!$A$1:$L$890,COLUMN(HeadJournal!L$1),0)*($K5186+$L5186)/(SUMIF($A:$A,$A5186,$K:$K)+SUMIF($A:$A,$A5186,$L:$L)))/VLOOKUP($A5186,HeadJournal!$A$1:$L$890,COLUMN(HeadJournal!H$1),0),0)</f>
        <v>0.22409024807981159</v>
      </c>
      <c r="P5186" s="30">
        <f>IFERROR(SUM(K5186:O5186)*VLOOKUP($A5186,HeadJournal!$A$1:$L$890,COLUMN(HeadJournal!H$1),0),0)</f>
        <v>945.81530684460643</v>
      </c>
      <c r="Q5186" s="29">
        <v>1800</v>
      </c>
      <c r="R5186" s="31">
        <v>46036</v>
      </c>
      <c r="S5186" s="31"/>
      <c r="T5186" s="95" t="str">
        <f t="shared" si="382"/>
        <v>2026 01</v>
      </c>
      <c r="U5186" s="32">
        <f t="shared" si="387"/>
        <v>854.18469315539357</v>
      </c>
      <c r="V5186" s="22">
        <f t="shared" si="388"/>
        <v>0.90311997170472169</v>
      </c>
      <c r="X5186" s="33"/>
      <c r="Y5186" s="33"/>
    </row>
    <row r="5187" spans="1:25" x14ac:dyDescent="0.2">
      <c r="A5187" s="93" t="s">
        <v>4588</v>
      </c>
      <c r="B5187" s="94">
        <f>IFERROR(VLOOKUP($A5187,HeadJournal!$A$1:$NTR$890,COLUMN(HeadJournal!B$1),0),"")</f>
        <v>0</v>
      </c>
      <c r="C5187" s="94" t="str">
        <f>IFERROR(VLOOKUP($A5187,HeadJournal!$A$1:$NTR$890,COLUMN(HeadJournal!C$1),0),"")</f>
        <v>iHerb_MH DLE7202</v>
      </c>
      <c r="D5187" s="125" t="str">
        <f>IFERROR(VLOOKUP($A5187,HeadJournal!$A$1:$NTR$890,COLUMN(HeadJournal!D$1),0),"")</f>
        <v>Доставлен</v>
      </c>
      <c r="E5187" s="95">
        <f>IFERROR(VLOOKUP($A5187,HeadJournal!$A$1:$NTR$890,COLUMN(HeadJournal!G$1),0),"")</f>
        <v>45937</v>
      </c>
      <c r="F5187" s="95" t="str">
        <f t="shared" si="381"/>
        <v>2025 10</v>
      </c>
      <c r="G5187" s="97" t="s">
        <v>5</v>
      </c>
      <c r="H5187" s="161" t="s">
        <v>3570</v>
      </c>
      <c r="I5187" s="97" t="s">
        <v>2102</v>
      </c>
      <c r="J5187" s="97" t="s">
        <v>3991</v>
      </c>
      <c r="K5187" s="29">
        <v>12.8</v>
      </c>
      <c r="L5187" s="29">
        <v>-2.56</v>
      </c>
      <c r="M5187" s="30">
        <f>IFERROR(VLOOKUP($A5187,HeadJournal!$A$1:$J$890,COLUMN(HeadJournal!I$1),0)*($K5187+$L5187)/(SUMIF($A:$A,$A5187,$K:$K)+SUMIF($A:$A,$A5187,$L:$L)),0)</f>
        <v>-0.32922050348801951</v>
      </c>
      <c r="N5187" s="30">
        <f>IFERROR((VLOOKUP($A5187,HeadJournal!$A$1:$K$890,COLUMN(HeadJournal!K$1),0)-VLOOKUP($A5187,HeadJournal!$A$1:$K$890,COLUMN(HeadJournal!J$1),0))*($K5187+$L5187)/(SUMIF($A:$A,$A5187,$K:$K)+SUMIF($A:$A,$A5187,$L:$L)),0)</f>
        <v>2.9424558140464775E-15</v>
      </c>
      <c r="O5187" s="30">
        <f>IFERROR((VLOOKUP($A5187,HeadJournal!$A$1:$L$890,COLUMN(HeadJournal!L$1),0)*($K5187+$L5187)/(SUMIF($A:$A,$A5187,$K:$K)+SUMIF($A:$A,$A5187,$L:$L)))/VLOOKUP($A5187,HeadJournal!$A$1:$L$890,COLUMN(HeadJournal!H$1),0),0)</f>
        <v>0.22409024807981159</v>
      </c>
      <c r="P5187" s="30">
        <f>IFERROR(SUM(K5187:O5187)*VLOOKUP($A5187,HeadJournal!$A$1:$L$890,COLUMN(HeadJournal!H$1),0),0)</f>
        <v>945.81530684460643</v>
      </c>
      <c r="Q5187" s="29">
        <v>945.82</v>
      </c>
      <c r="R5187" s="31"/>
      <c r="S5187" s="31"/>
      <c r="T5187" s="95" t="str">
        <f t="shared" si="382"/>
        <v/>
      </c>
      <c r="U5187" s="32">
        <f t="shared" si="387"/>
        <v>4.6931553936246928E-3</v>
      </c>
      <c r="V5187" s="22">
        <f t="shared" si="388"/>
        <v>4.9620209777338264E-6</v>
      </c>
      <c r="X5187" s="33"/>
      <c r="Y5187" s="33"/>
    </row>
    <row r="5188" spans="1:25" x14ac:dyDescent="0.2">
      <c r="A5188" s="93" t="s">
        <v>4588</v>
      </c>
      <c r="B5188" s="94">
        <f>IFERROR(VLOOKUP($A5188,HeadJournal!$A$1:$NTR$890,COLUMN(HeadJournal!B$1),0),"")</f>
        <v>0</v>
      </c>
      <c r="C5188" s="94" t="str">
        <f>IFERROR(VLOOKUP($A5188,HeadJournal!$A$1:$NTR$890,COLUMN(HeadJournal!C$1),0),"")</f>
        <v>iHerb_MH DLE7202</v>
      </c>
      <c r="D5188" s="125" t="str">
        <f>IFERROR(VLOOKUP($A5188,HeadJournal!$A$1:$NTR$890,COLUMN(HeadJournal!D$1),0),"")</f>
        <v>Доставлен</v>
      </c>
      <c r="E5188" s="95">
        <f>IFERROR(VLOOKUP($A5188,HeadJournal!$A$1:$NTR$890,COLUMN(HeadJournal!G$1),0),"")</f>
        <v>45937</v>
      </c>
      <c r="F5188" s="95" t="str">
        <f t="shared" ref="F5188:F5251" si="389">IFERROR(TEXT(E5188, "ГГГГ ММ"),"")</f>
        <v>2025 10</v>
      </c>
      <c r="G5188" s="97" t="s">
        <v>5</v>
      </c>
      <c r="H5188" s="161" t="s">
        <v>2806</v>
      </c>
      <c r="I5188" s="97" t="s">
        <v>2009</v>
      </c>
      <c r="J5188" s="97" t="s">
        <v>4398</v>
      </c>
      <c r="K5188" s="29">
        <v>26.11</v>
      </c>
      <c r="L5188" s="29">
        <v>-5.2233333333333336</v>
      </c>
      <c r="M5188" s="30">
        <f>IFERROR(VLOOKUP($A5188,HeadJournal!$A$1:$J$890,COLUMN(HeadJournal!I$1),0)*($K5188+$L5188)/(SUMIF($A:$A,$A5188,$K:$K)+SUMIF($A:$A,$A5188,$L:$L)),0)</f>
        <v>-0.67151551915883145</v>
      </c>
      <c r="N5188" s="30">
        <f>IFERROR((VLOOKUP($A5188,HeadJournal!$A$1:$K$890,COLUMN(HeadJournal!K$1),0)-VLOOKUP($A5188,HeadJournal!$A$1:$K$890,COLUMN(HeadJournal!J$1),0))*($K5188+$L5188)/(SUMIF($A:$A,$A5188,$K:$K)+SUMIF($A:$A,$A5188,$L:$L)),0)</f>
        <v>6.0017669696664154E-15</v>
      </c>
      <c r="O5188" s="30">
        <f>IFERROR((VLOOKUP($A5188,HeadJournal!$A$1:$L$890,COLUMN(HeadJournal!L$1),0)*($K5188+$L5188)/(SUMIF($A:$A,$A5188,$K:$K)+SUMIF($A:$A,$A5188,$L:$L)))/VLOOKUP($A5188,HeadJournal!$A$1:$L$890,COLUMN(HeadJournal!H$1),0),0)</f>
        <v>0.45707991356383443</v>
      </c>
      <c r="P5188" s="30">
        <f>IFERROR(SUM(K5188:O5188)*VLOOKUP($A5188,HeadJournal!$A$1:$L$890,COLUMN(HeadJournal!H$1),0),0)</f>
        <v>1929.1922892865571</v>
      </c>
      <c r="Q5188" s="29"/>
      <c r="R5188" s="31"/>
      <c r="S5188" s="31"/>
      <c r="T5188" s="95" t="str">
        <f t="shared" ref="T5188:T5251" si="390">IF(R5188="","",TEXT(R5188,"ГГГГ ММ"))</f>
        <v/>
      </c>
      <c r="U5188" s="32">
        <f t="shared" si="387"/>
        <v>-1929.1922892865571</v>
      </c>
      <c r="V5188" s="22" t="str">
        <f t="shared" si="388"/>
        <v/>
      </c>
      <c r="X5188" s="33"/>
      <c r="Y5188" s="33"/>
    </row>
    <row r="5189" spans="1:25" x14ac:dyDescent="0.2">
      <c r="A5189" s="93" t="s">
        <v>4588</v>
      </c>
      <c r="B5189" s="94">
        <f>IFERROR(VLOOKUP($A5189,HeadJournal!$A$1:$NTR$890,COLUMN(HeadJournal!B$1),0),"")</f>
        <v>0</v>
      </c>
      <c r="C5189" s="94" t="str">
        <f>IFERROR(VLOOKUP($A5189,HeadJournal!$A$1:$NTR$890,COLUMN(HeadJournal!C$1),0),"")</f>
        <v>iHerb_MH DLE7202</v>
      </c>
      <c r="D5189" s="125" t="str">
        <f>IFERROR(VLOOKUP($A5189,HeadJournal!$A$1:$NTR$890,COLUMN(HeadJournal!D$1),0),"")</f>
        <v>Доставлен</v>
      </c>
      <c r="E5189" s="95">
        <f>IFERROR(VLOOKUP($A5189,HeadJournal!$A$1:$NTR$890,COLUMN(HeadJournal!G$1),0),"")</f>
        <v>45937</v>
      </c>
      <c r="F5189" s="95" t="str">
        <f t="shared" si="389"/>
        <v>2025 10</v>
      </c>
      <c r="G5189" s="97" t="s">
        <v>5</v>
      </c>
      <c r="H5189" s="161" t="s">
        <v>2806</v>
      </c>
      <c r="I5189" s="97" t="s">
        <v>2009</v>
      </c>
      <c r="J5189" s="97" t="s">
        <v>4398</v>
      </c>
      <c r="K5189" s="29">
        <v>26.11</v>
      </c>
      <c r="L5189" s="29">
        <v>-5.2233333333333336</v>
      </c>
      <c r="M5189" s="30">
        <f>IFERROR(VLOOKUP($A5189,HeadJournal!$A$1:$J$890,COLUMN(HeadJournal!I$1),0)*($K5189+$L5189)/(SUMIF($A:$A,$A5189,$K:$K)+SUMIF($A:$A,$A5189,$L:$L)),0)</f>
        <v>-0.67151551915883145</v>
      </c>
      <c r="N5189" s="30">
        <f>IFERROR((VLOOKUP($A5189,HeadJournal!$A$1:$K$890,COLUMN(HeadJournal!K$1),0)-VLOOKUP($A5189,HeadJournal!$A$1:$K$890,COLUMN(HeadJournal!J$1),0))*($K5189+$L5189)/(SUMIF($A:$A,$A5189,$K:$K)+SUMIF($A:$A,$A5189,$L:$L)),0)</f>
        <v>6.0017669696664154E-15</v>
      </c>
      <c r="O5189" s="30">
        <f>IFERROR((VLOOKUP($A5189,HeadJournal!$A$1:$L$890,COLUMN(HeadJournal!L$1),0)*($K5189+$L5189)/(SUMIF($A:$A,$A5189,$K:$K)+SUMIF($A:$A,$A5189,$L:$L)))/VLOOKUP($A5189,HeadJournal!$A$1:$L$890,COLUMN(HeadJournal!H$1),0),0)</f>
        <v>0.45707991356383443</v>
      </c>
      <c r="P5189" s="30">
        <f>IFERROR(SUM(K5189:O5189)*VLOOKUP($A5189,HeadJournal!$A$1:$L$890,COLUMN(HeadJournal!H$1),0),0)</f>
        <v>1929.1922892865571</v>
      </c>
      <c r="Q5189" s="29"/>
      <c r="R5189" s="31"/>
      <c r="S5189" s="31"/>
      <c r="T5189" s="95" t="str">
        <f t="shared" si="390"/>
        <v/>
      </c>
      <c r="U5189" s="32">
        <f t="shared" si="387"/>
        <v>-1929.1922892865571</v>
      </c>
      <c r="V5189" s="22" t="str">
        <f t="shared" si="388"/>
        <v/>
      </c>
      <c r="X5189" s="33"/>
      <c r="Y5189" s="33"/>
    </row>
    <row r="5190" spans="1:25" x14ac:dyDescent="0.2">
      <c r="A5190" s="93" t="s">
        <v>4588</v>
      </c>
      <c r="B5190" s="94">
        <f>IFERROR(VLOOKUP($A5190,HeadJournal!$A$1:$NTR$890,COLUMN(HeadJournal!B$1),0),"")</f>
        <v>0</v>
      </c>
      <c r="C5190" s="94" t="str">
        <f>IFERROR(VLOOKUP($A5190,HeadJournal!$A$1:$NTR$890,COLUMN(HeadJournal!C$1),0),"")</f>
        <v>iHerb_MH DLE7202</v>
      </c>
      <c r="D5190" s="125" t="str">
        <f>IFERROR(VLOOKUP($A5190,HeadJournal!$A$1:$NTR$890,COLUMN(HeadJournal!D$1),0),"")</f>
        <v>Доставлен</v>
      </c>
      <c r="E5190" s="95">
        <f>IFERROR(VLOOKUP($A5190,HeadJournal!$A$1:$NTR$890,COLUMN(HeadJournal!G$1),0),"")</f>
        <v>45937</v>
      </c>
      <c r="F5190" s="95" t="str">
        <f t="shared" si="389"/>
        <v>2025 10</v>
      </c>
      <c r="G5190" s="97" t="s">
        <v>5</v>
      </c>
      <c r="H5190" s="161" t="s">
        <v>2806</v>
      </c>
      <c r="I5190" s="97" t="s">
        <v>2009</v>
      </c>
      <c r="J5190" s="97" t="s">
        <v>4398</v>
      </c>
      <c r="K5190" s="29">
        <v>26.11</v>
      </c>
      <c r="L5190" s="29">
        <v>-5.2233333333333336</v>
      </c>
      <c r="M5190" s="30">
        <f>IFERROR(VLOOKUP($A5190,HeadJournal!$A$1:$J$890,COLUMN(HeadJournal!I$1),0)*($K5190+$L5190)/(SUMIF($A:$A,$A5190,$K:$K)+SUMIF($A:$A,$A5190,$L:$L)),0)</f>
        <v>-0.67151551915883145</v>
      </c>
      <c r="N5190" s="30">
        <f>IFERROR((VLOOKUP($A5190,HeadJournal!$A$1:$K$890,COLUMN(HeadJournal!K$1),0)-VLOOKUP($A5190,HeadJournal!$A$1:$K$890,COLUMN(HeadJournal!J$1),0))*($K5190+$L5190)/(SUMIF($A:$A,$A5190,$K:$K)+SUMIF($A:$A,$A5190,$L:$L)),0)</f>
        <v>6.0017669696664154E-15</v>
      </c>
      <c r="O5190" s="30">
        <f>IFERROR((VLOOKUP($A5190,HeadJournal!$A$1:$L$890,COLUMN(HeadJournal!L$1),0)*($K5190+$L5190)/(SUMIF($A:$A,$A5190,$K:$K)+SUMIF($A:$A,$A5190,$L:$L)))/VLOOKUP($A5190,HeadJournal!$A$1:$L$890,COLUMN(HeadJournal!H$1),0),0)</f>
        <v>0.45707991356383443</v>
      </c>
      <c r="P5190" s="30">
        <f>IFERROR(SUM(K5190:O5190)*VLOOKUP($A5190,HeadJournal!$A$1:$L$890,COLUMN(HeadJournal!H$1),0),0)</f>
        <v>1929.1922892865571</v>
      </c>
      <c r="Q5190" s="29">
        <v>3000</v>
      </c>
      <c r="R5190" s="31">
        <v>46032</v>
      </c>
      <c r="S5190" s="31" t="s">
        <v>4555</v>
      </c>
      <c r="T5190" s="95" t="str">
        <f t="shared" si="390"/>
        <v>2026 01</v>
      </c>
      <c r="U5190" s="32">
        <f t="shared" si="387"/>
        <v>1070.8077107134429</v>
      </c>
      <c r="V5190" s="22">
        <f t="shared" si="388"/>
        <v>0.55505494017366352</v>
      </c>
      <c r="X5190" s="33"/>
      <c r="Y5190" s="33"/>
    </row>
    <row r="5191" spans="1:25" x14ac:dyDescent="0.2">
      <c r="A5191" s="93" t="s">
        <v>4588</v>
      </c>
      <c r="B5191" s="94">
        <f>IFERROR(VLOOKUP($A5191,HeadJournal!$A$1:$NTR$890,COLUMN(HeadJournal!B$1),0),"")</f>
        <v>0</v>
      </c>
      <c r="C5191" s="94" t="str">
        <f>IFERROR(VLOOKUP($A5191,HeadJournal!$A$1:$NTR$890,COLUMN(HeadJournal!C$1),0),"")</f>
        <v>iHerb_MH DLE7202</v>
      </c>
      <c r="D5191" s="125" t="str">
        <f>IFERROR(VLOOKUP($A5191,HeadJournal!$A$1:$NTR$890,COLUMN(HeadJournal!D$1),0),"")</f>
        <v>Доставлен</v>
      </c>
      <c r="E5191" s="95">
        <f>IFERROR(VLOOKUP($A5191,HeadJournal!$A$1:$NTR$890,COLUMN(HeadJournal!G$1),0),"")</f>
        <v>45937</v>
      </c>
      <c r="F5191" s="95" t="str">
        <f t="shared" si="389"/>
        <v>2025 10</v>
      </c>
      <c r="G5191" s="97" t="s">
        <v>5</v>
      </c>
      <c r="H5191" s="161" t="s">
        <v>2471</v>
      </c>
      <c r="I5191" s="97" t="s">
        <v>2039</v>
      </c>
      <c r="J5191" s="97" t="s">
        <v>2472</v>
      </c>
      <c r="K5191" s="29">
        <v>20.07</v>
      </c>
      <c r="L5191" s="29">
        <v>-4.0149999999999997</v>
      </c>
      <c r="M5191" s="30">
        <f>IFERROR(VLOOKUP($A5191,HeadJournal!$A$1:$J$890,COLUMN(HeadJournal!I$1),0)*($K5191+$L5191)/(SUMIF($A:$A,$A5191,$K:$K)+SUMIF($A:$A,$A5191,$L:$L)),0)</f>
        <v>-0.51617531088868684</v>
      </c>
      <c r="N5191" s="30">
        <f>IFERROR((VLOOKUP($A5191,HeadJournal!$A$1:$K$890,COLUMN(HeadJournal!K$1),0)-VLOOKUP($A5191,HeadJournal!$A$1:$K$890,COLUMN(HeadJournal!J$1),0))*($K5191+$L5191)/(SUMIF($A:$A,$A5191,$K:$K)+SUMIF($A:$A,$A5191,$L:$L)),0)</f>
        <v>4.6133914154800971E-15</v>
      </c>
      <c r="O5191" s="30">
        <f>IFERROR((VLOOKUP($A5191,HeadJournal!$A$1:$L$890,COLUMN(HeadJournal!L$1),0)*($K5191+$L5191)/(SUMIF($A:$A,$A5191,$K:$K)+SUMIF($A:$A,$A5191,$L:$L)))/VLOOKUP($A5191,HeadJournal!$A$1:$L$890,COLUMN(HeadJournal!H$1),0),0)</f>
        <v>0.3513446223556031</v>
      </c>
      <c r="P5191" s="30">
        <f>IFERROR(SUM(K5191:O5191)*VLOOKUP($A5191,HeadJournal!$A$1:$L$890,COLUMN(HeadJournal!H$1),0),0)</f>
        <v>1482.9164796279447</v>
      </c>
      <c r="Q5191" s="29">
        <v>2600</v>
      </c>
      <c r="R5191" s="31">
        <v>45962</v>
      </c>
      <c r="S5191" s="31" t="s">
        <v>4872</v>
      </c>
      <c r="T5191" s="95" t="str">
        <f t="shared" si="390"/>
        <v>2025 11</v>
      </c>
      <c r="U5191" s="32">
        <f t="shared" si="387"/>
        <v>1117.0835203720553</v>
      </c>
      <c r="V5191" s="22">
        <f t="shared" si="388"/>
        <v>0.75330171032445825</v>
      </c>
      <c r="X5191" s="33"/>
      <c r="Y5191" s="33"/>
    </row>
    <row r="5192" spans="1:25" x14ac:dyDescent="0.2">
      <c r="A5192" s="93" t="s">
        <v>4588</v>
      </c>
      <c r="B5192" s="94">
        <f>IFERROR(VLOOKUP($A5192,HeadJournal!$A$1:$NTR$890,COLUMN(HeadJournal!B$1),0),"")</f>
        <v>0</v>
      </c>
      <c r="C5192" s="94" t="str">
        <f>IFERROR(VLOOKUP($A5192,HeadJournal!$A$1:$NTR$890,COLUMN(HeadJournal!C$1),0),"")</f>
        <v>iHerb_MH DLE7202</v>
      </c>
      <c r="D5192" s="125" t="str">
        <f>IFERROR(VLOOKUP($A5192,HeadJournal!$A$1:$NTR$890,COLUMN(HeadJournal!D$1),0),"")</f>
        <v>Доставлен</v>
      </c>
      <c r="E5192" s="95">
        <f>IFERROR(VLOOKUP($A5192,HeadJournal!$A$1:$NTR$890,COLUMN(HeadJournal!G$1),0),"")</f>
        <v>45937</v>
      </c>
      <c r="F5192" s="95" t="str">
        <f t="shared" si="389"/>
        <v>2025 10</v>
      </c>
      <c r="G5192" s="97" t="s">
        <v>5</v>
      </c>
      <c r="H5192" s="161" t="s">
        <v>2471</v>
      </c>
      <c r="I5192" s="97" t="s">
        <v>2039</v>
      </c>
      <c r="J5192" s="97" t="s">
        <v>2472</v>
      </c>
      <c r="K5192" s="29">
        <v>20.07</v>
      </c>
      <c r="L5192" s="29">
        <v>-4.0149999999999997</v>
      </c>
      <c r="M5192" s="30">
        <f>IFERROR(VLOOKUP($A5192,HeadJournal!$A$1:$J$890,COLUMN(HeadJournal!I$1),0)*($K5192+$L5192)/(SUMIF($A:$A,$A5192,$K:$K)+SUMIF($A:$A,$A5192,$L:$L)),0)</f>
        <v>-0.51617531088868684</v>
      </c>
      <c r="N5192" s="30">
        <f>IFERROR((VLOOKUP($A5192,HeadJournal!$A$1:$K$890,COLUMN(HeadJournal!K$1),0)-VLOOKUP($A5192,HeadJournal!$A$1:$K$890,COLUMN(HeadJournal!J$1),0))*($K5192+$L5192)/(SUMIF($A:$A,$A5192,$K:$K)+SUMIF($A:$A,$A5192,$L:$L)),0)</f>
        <v>4.6133914154800971E-15</v>
      </c>
      <c r="O5192" s="30">
        <f>IFERROR((VLOOKUP($A5192,HeadJournal!$A$1:$L$890,COLUMN(HeadJournal!L$1),0)*($K5192+$L5192)/(SUMIF($A:$A,$A5192,$K:$K)+SUMIF($A:$A,$A5192,$L:$L)))/VLOOKUP($A5192,HeadJournal!$A$1:$L$890,COLUMN(HeadJournal!H$1),0),0)</f>
        <v>0.3513446223556031</v>
      </c>
      <c r="P5192" s="30">
        <f>IFERROR(SUM(K5192:O5192)*VLOOKUP($A5192,HeadJournal!$A$1:$L$890,COLUMN(HeadJournal!H$1),0),0)</f>
        <v>1482.9164796279447</v>
      </c>
      <c r="Q5192" s="29">
        <v>2600</v>
      </c>
      <c r="R5192" s="31">
        <v>45989</v>
      </c>
      <c r="S5192" s="31" t="s">
        <v>4457</v>
      </c>
      <c r="T5192" s="95" t="str">
        <f t="shared" si="390"/>
        <v>2025 11</v>
      </c>
      <c r="U5192" s="32">
        <f t="shared" si="387"/>
        <v>1117.0835203720553</v>
      </c>
      <c r="V5192" s="22">
        <f t="shared" si="388"/>
        <v>0.75330171032445825</v>
      </c>
      <c r="X5192" s="33"/>
      <c r="Y5192" s="33"/>
    </row>
    <row r="5193" spans="1:25" x14ac:dyDescent="0.2">
      <c r="A5193" s="93" t="s">
        <v>4588</v>
      </c>
      <c r="B5193" s="94">
        <f>IFERROR(VLOOKUP($A5193,HeadJournal!$A$1:$NTR$890,COLUMN(HeadJournal!B$1),0),"")</f>
        <v>0</v>
      </c>
      <c r="C5193" s="94" t="str">
        <f>IFERROR(VLOOKUP($A5193,HeadJournal!$A$1:$NTR$890,COLUMN(HeadJournal!C$1),0),"")</f>
        <v>iHerb_MH DLE7202</v>
      </c>
      <c r="D5193" s="125" t="str">
        <f>IFERROR(VLOOKUP($A5193,HeadJournal!$A$1:$NTR$890,COLUMN(HeadJournal!D$1),0),"")</f>
        <v>Доставлен</v>
      </c>
      <c r="E5193" s="95">
        <f>IFERROR(VLOOKUP($A5193,HeadJournal!$A$1:$NTR$890,COLUMN(HeadJournal!G$1),0),"")</f>
        <v>45937</v>
      </c>
      <c r="F5193" s="95" t="str">
        <f t="shared" si="389"/>
        <v>2025 10</v>
      </c>
      <c r="G5193" s="97" t="s">
        <v>5</v>
      </c>
      <c r="H5193" s="161" t="s">
        <v>4586</v>
      </c>
      <c r="I5193" s="97" t="s">
        <v>2750</v>
      </c>
      <c r="J5193" s="97" t="s">
        <v>4587</v>
      </c>
      <c r="K5193" s="29">
        <v>19.64</v>
      </c>
      <c r="L5193" s="29">
        <v>-3.93</v>
      </c>
      <c r="M5193" s="30">
        <f>IFERROR(VLOOKUP($A5193,HeadJournal!$A$1:$J$890,COLUMN(HeadJournal!I$1),0)*($K5193+$L5193)/(SUMIF($A:$A,$A5193,$K:$K)+SUMIF($A:$A,$A5193,$L:$L)),0)</f>
        <v>-0.5050834091598424</v>
      </c>
      <c r="N5193" s="30">
        <f>IFERROR((VLOOKUP($A5193,HeadJournal!$A$1:$K$890,COLUMN(HeadJournal!K$1),0)-VLOOKUP($A5193,HeadJournal!$A$1:$K$890,COLUMN(HeadJournal!J$1),0))*($K5193+$L5193)/(SUMIF($A:$A,$A5193,$K:$K)+SUMIF($A:$A,$A5193,$L:$L)),0)</f>
        <v>4.5142559412763833E-15</v>
      </c>
      <c r="O5193" s="30">
        <f>IFERROR((VLOOKUP($A5193,HeadJournal!$A$1:$L$890,COLUMN(HeadJournal!L$1),0)*($K5193+$L5193)/(SUMIF($A:$A,$A5193,$K:$K)+SUMIF($A:$A,$A5193,$L:$L)))/VLOOKUP($A5193,HeadJournal!$A$1:$L$890,COLUMN(HeadJournal!H$1),0),0)</f>
        <v>0.34379470677088281</v>
      </c>
      <c r="P5193" s="30">
        <f>IFERROR(SUM(K5193:O5193)*VLOOKUP($A5193,HeadJournal!$A$1:$L$890,COLUMN(HeadJournal!H$1),0),0)</f>
        <v>1451.0506318875748</v>
      </c>
      <c r="Q5193" s="29">
        <v>2500</v>
      </c>
      <c r="R5193" s="31">
        <v>45972</v>
      </c>
      <c r="S5193" s="31" t="s">
        <v>4831</v>
      </c>
      <c r="T5193" s="95" t="str">
        <f t="shared" si="390"/>
        <v>2025 11</v>
      </c>
      <c r="U5193" s="32">
        <f t="shared" si="387"/>
        <v>1048.9493681124252</v>
      </c>
      <c r="V5193" s="22">
        <f t="shared" si="388"/>
        <v>0.72288957053684411</v>
      </c>
      <c r="X5193" s="33"/>
      <c r="Y5193" s="33"/>
    </row>
    <row r="5194" spans="1:25" x14ac:dyDescent="0.2">
      <c r="A5194" s="93" t="s">
        <v>4602</v>
      </c>
      <c r="B5194" s="94">
        <f>IFERROR(VLOOKUP($A5194,HeadJournal!$A$1:$NTR$890,COLUMN(HeadJournal!B$1),0),"")</f>
        <v>0</v>
      </c>
      <c r="C5194" s="94" t="str">
        <f>IFERROR(VLOOKUP($A5194,HeadJournal!$A$1:$NTR$890,COLUMN(HeadJournal!C$1),0),"")</f>
        <v>iHerb_OA CZN6870</v>
      </c>
      <c r="D5194" s="125" t="str">
        <f>IFERROR(VLOOKUP($A5194,HeadJournal!$A$1:$NTR$890,COLUMN(HeadJournal!D$1),0),"")</f>
        <v>Доставлен</v>
      </c>
      <c r="E5194" s="95">
        <f>IFERROR(VLOOKUP($A5194,HeadJournal!$A$1:$NTR$890,COLUMN(HeadJournal!G$1),0),"")</f>
        <v>45946</v>
      </c>
      <c r="F5194" s="95" t="str">
        <f t="shared" si="389"/>
        <v>2025 10</v>
      </c>
      <c r="G5194" s="97" t="s">
        <v>5</v>
      </c>
      <c r="H5194" s="161" t="s">
        <v>4589</v>
      </c>
      <c r="I5194" s="97" t="s">
        <v>2005</v>
      </c>
      <c r="J5194" s="97" t="s">
        <v>4590</v>
      </c>
      <c r="K5194" s="29">
        <v>14.54</v>
      </c>
      <c r="L5194" s="29">
        <v>-2.91</v>
      </c>
      <c r="M5194" s="30">
        <f>IFERROR(VLOOKUP($A5194,HeadJournal!$A$1:$J$890,COLUMN(HeadJournal!I$1),0)*($K5194+$L5194)/(SUMIF($A:$A,$A5194,$K:$K)+SUMIF($A:$A,$A5194,$L:$L)),0)</f>
        <v>-0.54237132655863773</v>
      </c>
      <c r="N5194" s="30">
        <f>IFERROR((VLOOKUP($A5194,HeadJournal!$A$1:$K$890,COLUMN(HeadJournal!K$1),0)-VLOOKUP($A5194,HeadJournal!$A$1:$K$890,COLUMN(HeadJournal!J$1),0))*($K5194+$L5194)/(SUMIF($A:$A,$A5194,$K:$K)+SUMIF($A:$A,$A5194,$L:$L)),0)</f>
        <v>1.8156796521592894E-15</v>
      </c>
      <c r="O5194" s="30">
        <f>IFERROR((VLOOKUP($A5194,HeadJournal!$A$1:$L$890,COLUMN(HeadJournal!L$1),0)*($K5194+$L5194)/(SUMIF($A:$A,$A5194,$K:$K)+SUMIF($A:$A,$A5194,$L:$L)))/VLOOKUP($A5194,HeadJournal!$A$1:$L$890,COLUMN(HeadJournal!H$1),0),0)</f>
        <v>0.36375496036347515</v>
      </c>
      <c r="P5194" s="30">
        <f>IFERROR(SUM(K5194:O5194)*VLOOKUP($A5194,HeadJournal!$A$1:$L$890,COLUMN(HeadJournal!H$1),0),0)</f>
        <v>1065.8938121395222</v>
      </c>
      <c r="Q5194" s="29"/>
      <c r="R5194" s="31"/>
      <c r="S5194" s="31"/>
      <c r="T5194" s="95" t="str">
        <f t="shared" si="390"/>
        <v/>
      </c>
      <c r="U5194" s="32">
        <f t="shared" si="387"/>
        <v>-1065.8938121395222</v>
      </c>
      <c r="V5194" s="22" t="str">
        <f t="shared" si="388"/>
        <v/>
      </c>
      <c r="X5194" s="33"/>
      <c r="Y5194" s="33"/>
    </row>
    <row r="5195" spans="1:25" x14ac:dyDescent="0.2">
      <c r="A5195" s="93" t="s">
        <v>4602</v>
      </c>
      <c r="B5195" s="94">
        <f>IFERROR(VLOOKUP($A5195,HeadJournal!$A$1:$NTR$890,COLUMN(HeadJournal!B$1),0),"")</f>
        <v>0</v>
      </c>
      <c r="C5195" s="94" t="str">
        <f>IFERROR(VLOOKUP($A5195,HeadJournal!$A$1:$NTR$890,COLUMN(HeadJournal!C$1),0),"")</f>
        <v>iHerb_OA CZN6870</v>
      </c>
      <c r="D5195" s="125" t="str">
        <f>IFERROR(VLOOKUP($A5195,HeadJournal!$A$1:$NTR$890,COLUMN(HeadJournal!D$1),0),"")</f>
        <v>Доставлен</v>
      </c>
      <c r="E5195" s="95">
        <f>IFERROR(VLOOKUP($A5195,HeadJournal!$A$1:$NTR$890,COLUMN(HeadJournal!G$1),0),"")</f>
        <v>45946</v>
      </c>
      <c r="F5195" s="95" t="str">
        <f t="shared" si="389"/>
        <v>2025 10</v>
      </c>
      <c r="G5195" s="97" t="s">
        <v>5</v>
      </c>
      <c r="H5195" s="161" t="s">
        <v>4589</v>
      </c>
      <c r="I5195" s="97" t="s">
        <v>2005</v>
      </c>
      <c r="J5195" s="97" t="s">
        <v>4590</v>
      </c>
      <c r="K5195" s="29">
        <v>14.54</v>
      </c>
      <c r="L5195" s="29">
        <v>-2.91</v>
      </c>
      <c r="M5195" s="30">
        <f>IFERROR(VLOOKUP($A5195,HeadJournal!$A$1:$J$890,COLUMN(HeadJournal!I$1),0)*($K5195+$L5195)/(SUMIF($A:$A,$A5195,$K:$K)+SUMIF($A:$A,$A5195,$L:$L)),0)</f>
        <v>-0.54237132655863773</v>
      </c>
      <c r="N5195" s="30">
        <f>IFERROR((VLOOKUP($A5195,HeadJournal!$A$1:$K$890,COLUMN(HeadJournal!K$1),0)-VLOOKUP($A5195,HeadJournal!$A$1:$K$890,COLUMN(HeadJournal!J$1),0))*($K5195+$L5195)/(SUMIF($A:$A,$A5195,$K:$K)+SUMIF($A:$A,$A5195,$L:$L)),0)</f>
        <v>1.8156796521592894E-15</v>
      </c>
      <c r="O5195" s="30">
        <f>IFERROR((VLOOKUP($A5195,HeadJournal!$A$1:$L$890,COLUMN(HeadJournal!L$1),0)*($K5195+$L5195)/(SUMIF($A:$A,$A5195,$K:$K)+SUMIF($A:$A,$A5195,$L:$L)))/VLOOKUP($A5195,HeadJournal!$A$1:$L$890,COLUMN(HeadJournal!H$1),0),0)</f>
        <v>0.36375496036347515</v>
      </c>
      <c r="P5195" s="30">
        <f>IFERROR(SUM(K5195:O5195)*VLOOKUP($A5195,HeadJournal!$A$1:$L$890,COLUMN(HeadJournal!H$1),0),0)</f>
        <v>1065.8938121395222</v>
      </c>
      <c r="Q5195" s="29"/>
      <c r="R5195" s="31"/>
      <c r="S5195" s="31"/>
      <c r="T5195" s="95" t="str">
        <f t="shared" si="390"/>
        <v/>
      </c>
      <c r="U5195" s="32">
        <f t="shared" si="387"/>
        <v>-1065.8938121395222</v>
      </c>
      <c r="V5195" s="22" t="str">
        <f t="shared" si="388"/>
        <v/>
      </c>
      <c r="X5195" s="33"/>
      <c r="Y5195" s="33"/>
    </row>
    <row r="5196" spans="1:25" x14ac:dyDescent="0.2">
      <c r="A5196" s="93" t="s">
        <v>4602</v>
      </c>
      <c r="B5196" s="94">
        <f>IFERROR(VLOOKUP($A5196,HeadJournal!$A$1:$NTR$890,COLUMN(HeadJournal!B$1),0),"")</f>
        <v>0</v>
      </c>
      <c r="C5196" s="94" t="str">
        <f>IFERROR(VLOOKUP($A5196,HeadJournal!$A$1:$NTR$890,COLUMN(HeadJournal!C$1),0),"")</f>
        <v>iHerb_OA CZN6870</v>
      </c>
      <c r="D5196" s="125" t="str">
        <f>IFERROR(VLOOKUP($A5196,HeadJournal!$A$1:$NTR$890,COLUMN(HeadJournal!D$1),0),"")</f>
        <v>Доставлен</v>
      </c>
      <c r="E5196" s="95">
        <f>IFERROR(VLOOKUP($A5196,HeadJournal!$A$1:$NTR$890,COLUMN(HeadJournal!G$1),0),"")</f>
        <v>45946</v>
      </c>
      <c r="F5196" s="95" t="str">
        <f t="shared" si="389"/>
        <v>2025 10</v>
      </c>
      <c r="G5196" s="97" t="s">
        <v>7</v>
      </c>
      <c r="H5196" s="161" t="s">
        <v>4591</v>
      </c>
      <c r="I5196" s="97" t="s">
        <v>2153</v>
      </c>
      <c r="J5196" s="97" t="s">
        <v>4592</v>
      </c>
      <c r="K5196" s="29">
        <v>8.9499999999999993</v>
      </c>
      <c r="L5196" s="29">
        <v>-1.79</v>
      </c>
      <c r="M5196" s="30">
        <f>IFERROR(VLOOKUP($A5196,HeadJournal!$A$1:$J$890,COLUMN(HeadJournal!I$1),0)*($K5196+$L5196)/(SUMIF($A:$A,$A5196,$K:$K)+SUMIF($A:$A,$A5196,$L:$L)),0)</f>
        <v>-0.33391046415819831</v>
      </c>
      <c r="N5196" s="30">
        <f>IFERROR((VLOOKUP($A5196,HeadJournal!$A$1:$K$890,COLUMN(HeadJournal!K$1),0)-VLOOKUP($A5196,HeadJournal!$A$1:$K$890,COLUMN(HeadJournal!J$1),0))*($K5196+$L5196)/(SUMIF($A:$A,$A5196,$K:$K)+SUMIF($A:$A,$A5196,$L:$L)),0)</f>
        <v>1.1178216947085563E-15</v>
      </c>
      <c r="O5196" s="30">
        <f>IFERROR((VLOOKUP($A5196,HeadJournal!$A$1:$L$890,COLUMN(HeadJournal!L$1),0)*($K5196+$L5196)/(SUMIF($A:$A,$A5196,$K:$K)+SUMIF($A:$A,$A5196,$L:$L)))/VLOOKUP($A5196,HeadJournal!$A$1:$L$890,COLUMN(HeadJournal!H$1),0),0)</f>
        <v>0.223945444213455</v>
      </c>
      <c r="P5196" s="30">
        <f>IFERROR(SUM(K5196:O5196)*VLOOKUP($A5196,HeadJournal!$A$1:$L$890,COLUMN(HeadJournal!H$1),0),0)</f>
        <v>656.21665476517433</v>
      </c>
      <c r="Q5196" s="29"/>
      <c r="R5196" s="31"/>
      <c r="S5196" s="31"/>
      <c r="T5196" s="95" t="str">
        <f t="shared" si="390"/>
        <v/>
      </c>
      <c r="U5196" s="32">
        <f t="shared" si="387"/>
        <v>-656.21665476517433</v>
      </c>
      <c r="V5196" s="22" t="str">
        <f t="shared" si="388"/>
        <v/>
      </c>
      <c r="X5196" s="33"/>
      <c r="Y5196" s="33"/>
    </row>
    <row r="5197" spans="1:25" x14ac:dyDescent="0.2">
      <c r="A5197" s="93" t="s">
        <v>4602</v>
      </c>
      <c r="B5197" s="94">
        <f>IFERROR(VLOOKUP($A5197,HeadJournal!$A$1:$NTR$890,COLUMN(HeadJournal!B$1),0),"")</f>
        <v>0</v>
      </c>
      <c r="C5197" s="94" t="str">
        <f>IFERROR(VLOOKUP($A5197,HeadJournal!$A$1:$NTR$890,COLUMN(HeadJournal!C$1),0),"")</f>
        <v>iHerb_OA CZN6870</v>
      </c>
      <c r="D5197" s="125" t="str">
        <f>IFERROR(VLOOKUP($A5197,HeadJournal!$A$1:$NTR$890,COLUMN(HeadJournal!D$1),0),"")</f>
        <v>Доставлен</v>
      </c>
      <c r="E5197" s="95">
        <f>IFERROR(VLOOKUP($A5197,HeadJournal!$A$1:$NTR$890,COLUMN(HeadJournal!G$1),0),"")</f>
        <v>45946</v>
      </c>
      <c r="F5197" s="95" t="str">
        <f t="shared" si="389"/>
        <v>2025 10</v>
      </c>
      <c r="G5197" s="97" t="s">
        <v>5</v>
      </c>
      <c r="H5197" s="161" t="s">
        <v>4593</v>
      </c>
      <c r="I5197" s="97" t="s">
        <v>2218</v>
      </c>
      <c r="J5197" s="97" t="s">
        <v>4594</v>
      </c>
      <c r="K5197" s="29">
        <v>11.4</v>
      </c>
      <c r="L5197" s="29">
        <v>-2.2799999999999998</v>
      </c>
      <c r="M5197" s="30">
        <f>IFERROR(VLOOKUP($A5197,HeadJournal!$A$1:$J$890,COLUMN(HeadJournal!I$1),0)*($K5197+$L5197)/(SUMIF($A:$A,$A5197,$K:$K)+SUMIF($A:$A,$A5197,$L:$L)),0)</f>
        <v>-0.42531612194452084</v>
      </c>
      <c r="N5197" s="30">
        <f>IFERROR((VLOOKUP($A5197,HeadJournal!$A$1:$K$890,COLUMN(HeadJournal!K$1),0)-VLOOKUP($A5197,HeadJournal!$A$1:$K$890,COLUMN(HeadJournal!J$1),0))*($K5197+$L5197)/(SUMIF($A:$A,$A5197,$K:$K)+SUMIF($A:$A,$A5197,$L:$L)),0)</f>
        <v>1.4238175776176028E-15</v>
      </c>
      <c r="O5197" s="30">
        <f>IFERROR((VLOOKUP($A5197,HeadJournal!$A$1:$L$890,COLUMN(HeadJournal!L$1),0)*($K5197+$L5197)/(SUMIF($A:$A,$A5197,$K:$K)+SUMIF($A:$A,$A5197,$L:$L)))/VLOOKUP($A5197,HeadJournal!$A$1:$L$890,COLUMN(HeadJournal!H$1),0),0)</f>
        <v>0.2852489457020545</v>
      </c>
      <c r="P5197" s="30">
        <f>IFERROR(SUM(K5197:O5197)*VLOOKUP($A5197,HeadJournal!$A$1:$L$890,COLUMN(HeadJournal!H$1),0),0)</f>
        <v>835.85138148860233</v>
      </c>
      <c r="Q5197" s="29">
        <v>1600</v>
      </c>
      <c r="R5197" s="31">
        <v>45980</v>
      </c>
      <c r="S5197" s="31" t="s">
        <v>3231</v>
      </c>
      <c r="T5197" s="95" t="str">
        <f t="shared" si="390"/>
        <v>2025 11</v>
      </c>
      <c r="U5197" s="32">
        <f t="shared" si="387"/>
        <v>764.14861851139767</v>
      </c>
      <c r="V5197" s="22">
        <f t="shared" si="388"/>
        <v>0.91421589463726649</v>
      </c>
      <c r="X5197" s="33"/>
      <c r="Y5197" s="33"/>
    </row>
    <row r="5198" spans="1:25" x14ac:dyDescent="0.2">
      <c r="A5198" s="93" t="s">
        <v>4602</v>
      </c>
      <c r="B5198" s="94">
        <f>IFERROR(VLOOKUP($A5198,HeadJournal!$A$1:$NTR$890,COLUMN(HeadJournal!B$1),0),"")</f>
        <v>0</v>
      </c>
      <c r="C5198" s="94" t="str">
        <f>IFERROR(VLOOKUP($A5198,HeadJournal!$A$1:$NTR$890,COLUMN(HeadJournal!C$1),0),"")</f>
        <v>iHerb_OA CZN6870</v>
      </c>
      <c r="D5198" s="125" t="str">
        <f>IFERROR(VLOOKUP($A5198,HeadJournal!$A$1:$NTR$890,COLUMN(HeadJournal!D$1),0),"")</f>
        <v>Доставлен</v>
      </c>
      <c r="E5198" s="95">
        <f>IFERROR(VLOOKUP($A5198,HeadJournal!$A$1:$NTR$890,COLUMN(HeadJournal!G$1),0),"")</f>
        <v>45946</v>
      </c>
      <c r="F5198" s="95" t="str">
        <f t="shared" si="389"/>
        <v>2025 10</v>
      </c>
      <c r="G5198" s="97" t="s">
        <v>5</v>
      </c>
      <c r="H5198" s="161" t="s">
        <v>4593</v>
      </c>
      <c r="I5198" s="97" t="s">
        <v>2218</v>
      </c>
      <c r="J5198" s="97" t="s">
        <v>4594</v>
      </c>
      <c r="K5198" s="29">
        <v>11.4</v>
      </c>
      <c r="L5198" s="29">
        <v>-2.2799999999999998</v>
      </c>
      <c r="M5198" s="30">
        <f>IFERROR(VLOOKUP($A5198,HeadJournal!$A$1:$J$890,COLUMN(HeadJournal!I$1),0)*($K5198+$L5198)/(SUMIF($A:$A,$A5198,$K:$K)+SUMIF($A:$A,$A5198,$L:$L)),0)</f>
        <v>-0.42531612194452084</v>
      </c>
      <c r="N5198" s="30">
        <f>IFERROR((VLOOKUP($A5198,HeadJournal!$A$1:$K$890,COLUMN(HeadJournal!K$1),0)-VLOOKUP($A5198,HeadJournal!$A$1:$K$890,COLUMN(HeadJournal!J$1),0))*($K5198+$L5198)/(SUMIF($A:$A,$A5198,$K:$K)+SUMIF($A:$A,$A5198,$L:$L)),0)</f>
        <v>1.4238175776176028E-15</v>
      </c>
      <c r="O5198" s="30">
        <f>IFERROR((VLOOKUP($A5198,HeadJournal!$A$1:$L$890,COLUMN(HeadJournal!L$1),0)*($K5198+$L5198)/(SUMIF($A:$A,$A5198,$K:$K)+SUMIF($A:$A,$A5198,$L:$L)))/VLOOKUP($A5198,HeadJournal!$A$1:$L$890,COLUMN(HeadJournal!H$1),0),0)</f>
        <v>0.2852489457020545</v>
      </c>
      <c r="P5198" s="30">
        <f>IFERROR(SUM(K5198:O5198)*VLOOKUP($A5198,HeadJournal!$A$1:$L$890,COLUMN(HeadJournal!H$1),0),0)</f>
        <v>835.85138148860233</v>
      </c>
      <c r="Q5198" s="29">
        <v>1600</v>
      </c>
      <c r="R5198" s="31">
        <v>45980</v>
      </c>
      <c r="S5198" s="31" t="s">
        <v>3231</v>
      </c>
      <c r="T5198" s="95" t="str">
        <f t="shared" si="390"/>
        <v>2025 11</v>
      </c>
      <c r="U5198" s="32">
        <f t="shared" si="387"/>
        <v>764.14861851139767</v>
      </c>
      <c r="V5198" s="22">
        <f t="shared" si="388"/>
        <v>0.91421589463726649</v>
      </c>
      <c r="X5198" s="33"/>
      <c r="Y5198" s="33"/>
    </row>
    <row r="5199" spans="1:25" x14ac:dyDescent="0.2">
      <c r="A5199" s="93" t="s">
        <v>4602</v>
      </c>
      <c r="B5199" s="94">
        <f>IFERROR(VLOOKUP($A5199,HeadJournal!$A$1:$NTR$890,COLUMN(HeadJournal!B$1),0),"")</f>
        <v>0</v>
      </c>
      <c r="C5199" s="94" t="str">
        <f>IFERROR(VLOOKUP($A5199,HeadJournal!$A$1:$NTR$890,COLUMN(HeadJournal!C$1),0),"")</f>
        <v>iHerb_OA CZN6870</v>
      </c>
      <c r="D5199" s="125" t="str">
        <f>IFERROR(VLOOKUP($A5199,HeadJournal!$A$1:$NTR$890,COLUMN(HeadJournal!D$1),0),"")</f>
        <v>Доставлен</v>
      </c>
      <c r="E5199" s="95">
        <f>IFERROR(VLOOKUP($A5199,HeadJournal!$A$1:$NTR$890,COLUMN(HeadJournal!G$1),0),"")</f>
        <v>45946</v>
      </c>
      <c r="F5199" s="95" t="str">
        <f t="shared" si="389"/>
        <v>2025 10</v>
      </c>
      <c r="G5199" s="97" t="s">
        <v>5</v>
      </c>
      <c r="H5199" s="161" t="s">
        <v>4595</v>
      </c>
      <c r="I5199" s="97" t="s">
        <v>2753</v>
      </c>
      <c r="J5199" s="97" t="s">
        <v>4596</v>
      </c>
      <c r="K5199" s="29">
        <v>11.21</v>
      </c>
      <c r="L5199" s="29">
        <v>-2.2400000000000002</v>
      </c>
      <c r="M5199" s="30">
        <f>IFERROR(VLOOKUP($A5199,HeadJournal!$A$1:$J$890,COLUMN(HeadJournal!I$1),0)*($K5199+$L5199)/(SUMIF($A:$A,$A5199,$K:$K)+SUMIF($A:$A,$A5199,$L:$L)),0)</f>
        <v>-0.41832079099148595</v>
      </c>
      <c r="N5199" s="30">
        <f>IFERROR((VLOOKUP($A5199,HeadJournal!$A$1:$K$890,COLUMN(HeadJournal!K$1),0)-VLOOKUP($A5199,HeadJournal!$A$1:$K$890,COLUMN(HeadJournal!J$1),0))*($K5199+$L5199)/(SUMIF($A:$A,$A5199,$K:$K)+SUMIF($A:$A,$A5199,$L:$L)),0)</f>
        <v>1.4003995253541555E-15</v>
      </c>
      <c r="O5199" s="30">
        <f>IFERROR((VLOOKUP($A5199,HeadJournal!$A$1:$L$890,COLUMN(HeadJournal!L$1),0)*($K5199+$L5199)/(SUMIF($A:$A,$A5199,$K:$K)+SUMIF($A:$A,$A5199,$L:$L)))/VLOOKUP($A5199,HeadJournal!$A$1:$L$890,COLUMN(HeadJournal!H$1),0),0)</f>
        <v>0.28055735120037595</v>
      </c>
      <c r="P5199" s="30">
        <f>IFERROR(SUM(K5199:O5199)*VLOOKUP($A5199,HeadJournal!$A$1:$L$890,COLUMN(HeadJournal!H$1),0),0)</f>
        <v>822.10382587201343</v>
      </c>
      <c r="Q5199" s="29">
        <v>1600</v>
      </c>
      <c r="R5199" s="31">
        <v>45985</v>
      </c>
      <c r="S5199" s="31" t="s">
        <v>4875</v>
      </c>
      <c r="T5199" s="95" t="str">
        <f t="shared" si="390"/>
        <v>2025 11</v>
      </c>
      <c r="U5199" s="32">
        <f t="shared" si="387"/>
        <v>777.89617412798657</v>
      </c>
      <c r="V5199" s="22">
        <f t="shared" si="388"/>
        <v>0.94622619387869245</v>
      </c>
      <c r="X5199" s="33"/>
      <c r="Y5199" s="33"/>
    </row>
    <row r="5200" spans="1:25" x14ac:dyDescent="0.2">
      <c r="A5200" s="93" t="s">
        <v>4602</v>
      </c>
      <c r="B5200" s="94">
        <f>IFERROR(VLOOKUP($A5200,HeadJournal!$A$1:$NTR$890,COLUMN(HeadJournal!B$1),0),"")</f>
        <v>0</v>
      </c>
      <c r="C5200" s="94" t="str">
        <f>IFERROR(VLOOKUP($A5200,HeadJournal!$A$1:$NTR$890,COLUMN(HeadJournal!C$1),0),"")</f>
        <v>iHerb_OA CZN6870</v>
      </c>
      <c r="D5200" s="125" t="str">
        <f>IFERROR(VLOOKUP($A5200,HeadJournal!$A$1:$NTR$890,COLUMN(HeadJournal!D$1),0),"")</f>
        <v>Доставлен</v>
      </c>
      <c r="E5200" s="95">
        <f>IFERROR(VLOOKUP($A5200,HeadJournal!$A$1:$NTR$890,COLUMN(HeadJournal!G$1),0),"")</f>
        <v>45946</v>
      </c>
      <c r="F5200" s="95" t="str">
        <f t="shared" si="389"/>
        <v>2025 10</v>
      </c>
      <c r="G5200" s="97" t="s">
        <v>7</v>
      </c>
      <c r="H5200" s="161" t="s">
        <v>2673</v>
      </c>
      <c r="I5200" s="97" t="s">
        <v>2674</v>
      </c>
      <c r="J5200" s="97" t="s">
        <v>2675</v>
      </c>
      <c r="K5200" s="29">
        <v>10.57</v>
      </c>
      <c r="L5200" s="29">
        <v>-2.11</v>
      </c>
      <c r="M5200" s="30">
        <f>IFERROR(VLOOKUP($A5200,HeadJournal!$A$1:$J$890,COLUMN(HeadJournal!I$1),0)*($K5200+$L5200)/(SUMIF($A:$A,$A5200,$K:$K)+SUMIF($A:$A,$A5200,$L:$L)),0)</f>
        <v>-0.39453666575116741</v>
      </c>
      <c r="N5200" s="30">
        <f>IFERROR((VLOOKUP($A5200,HeadJournal!$A$1:$K$890,COLUMN(HeadJournal!K$1),0)-VLOOKUP($A5200,HeadJournal!$A$1:$K$890,COLUMN(HeadJournal!J$1),0))*($K5200+$L5200)/(SUMIF($A:$A,$A5200,$K:$K)+SUMIF($A:$A,$A5200,$L:$L)),0)</f>
        <v>1.3207781476584343E-15</v>
      </c>
      <c r="O5200" s="30">
        <f>IFERROR((VLOOKUP($A5200,HeadJournal!$A$1:$L$890,COLUMN(HeadJournal!L$1),0)*($K5200+$L5200)/(SUMIF($A:$A,$A5200,$K:$K)+SUMIF($A:$A,$A5200,$L:$L)))/VLOOKUP($A5200,HeadJournal!$A$1:$L$890,COLUMN(HeadJournal!H$1),0),0)</f>
        <v>0.26460592989466897</v>
      </c>
      <c r="P5200" s="30">
        <f>IFERROR(SUM(K5200:O5200)*VLOOKUP($A5200,HeadJournal!$A$1:$L$890,COLUMN(HeadJournal!H$1),0),0)</f>
        <v>775.36213677561136</v>
      </c>
      <c r="Q5200" s="29"/>
      <c r="R5200" s="31"/>
      <c r="S5200" s="31"/>
      <c r="T5200" s="95" t="str">
        <f t="shared" si="390"/>
        <v/>
      </c>
      <c r="U5200" s="32">
        <f t="shared" si="387"/>
        <v>-775.36213677561136</v>
      </c>
      <c r="V5200" s="22" t="str">
        <f t="shared" si="388"/>
        <v/>
      </c>
      <c r="X5200" s="33"/>
      <c r="Y5200" s="33"/>
    </row>
    <row r="5201" spans="1:25" x14ac:dyDescent="0.2">
      <c r="A5201" s="93" t="s">
        <v>4602</v>
      </c>
      <c r="B5201" s="94">
        <f>IFERROR(VLOOKUP($A5201,HeadJournal!$A$1:$NTR$890,COLUMN(HeadJournal!B$1),0),"")</f>
        <v>0</v>
      </c>
      <c r="C5201" s="94" t="str">
        <f>IFERROR(VLOOKUP($A5201,HeadJournal!$A$1:$NTR$890,COLUMN(HeadJournal!C$1),0),"")</f>
        <v>iHerb_OA CZN6870</v>
      </c>
      <c r="D5201" s="125" t="str">
        <f>IFERROR(VLOOKUP($A5201,HeadJournal!$A$1:$NTR$890,COLUMN(HeadJournal!D$1),0),"")</f>
        <v>Доставлен</v>
      </c>
      <c r="E5201" s="95">
        <f>IFERROR(VLOOKUP($A5201,HeadJournal!$A$1:$NTR$890,COLUMN(HeadJournal!G$1),0),"")</f>
        <v>45946</v>
      </c>
      <c r="F5201" s="95" t="str">
        <f t="shared" si="389"/>
        <v>2025 10</v>
      </c>
      <c r="G5201" s="97" t="s">
        <v>5</v>
      </c>
      <c r="H5201" s="161" t="s">
        <v>4597</v>
      </c>
      <c r="I5201" s="97" t="s">
        <v>2008</v>
      </c>
      <c r="J5201" s="97" t="s">
        <v>4598</v>
      </c>
      <c r="K5201" s="29">
        <v>17.84</v>
      </c>
      <c r="L5201" s="29">
        <v>-3.57</v>
      </c>
      <c r="M5201" s="30">
        <f>IFERROR(VLOOKUP($A5201,HeadJournal!$A$1:$J$890,COLUMN(HeadJournal!I$1),0)*($K5201+$L5201)/(SUMIF($A:$A,$A5201,$K:$K)+SUMIF($A:$A,$A5201,$L:$L)),0)</f>
        <v>-0.66548915133205166</v>
      </c>
      <c r="N5201" s="30">
        <f>IFERROR((VLOOKUP($A5201,HeadJournal!$A$1:$K$890,COLUMN(HeadJournal!K$1),0)-VLOOKUP($A5201,HeadJournal!$A$1:$K$890,COLUMN(HeadJournal!J$1),0))*($K5201+$L5201)/(SUMIF($A:$A,$A5201,$K:$K)+SUMIF($A:$A,$A5201,$L:$L)),0)</f>
        <v>2.2278373719959636E-15</v>
      </c>
      <c r="O5201" s="30">
        <f>IFERROR((VLOOKUP($A5201,HeadJournal!$A$1:$L$890,COLUMN(HeadJournal!L$1),0)*($K5201+$L5201)/(SUMIF($A:$A,$A5201,$K:$K)+SUMIF($A:$A,$A5201,$L:$L)))/VLOOKUP($A5201,HeadJournal!$A$1:$L$890,COLUMN(HeadJournal!H$1),0),0)</f>
        <v>0.44632702359301718</v>
      </c>
      <c r="P5201" s="30">
        <f>IFERROR(SUM(K5201:O5201)*VLOOKUP($A5201,HeadJournal!$A$1:$L$890,COLUMN(HeadJournal!H$1),0),0)</f>
        <v>1307.8507909914858</v>
      </c>
      <c r="Q5201" s="29">
        <v>2300</v>
      </c>
      <c r="R5201" s="31">
        <v>46040</v>
      </c>
      <c r="S5201" s="31" t="s">
        <v>4992</v>
      </c>
      <c r="T5201" s="95" t="str">
        <f t="shared" si="390"/>
        <v>2026 01</v>
      </c>
      <c r="U5201" s="32">
        <f t="shared" si="387"/>
        <v>992.14920900851416</v>
      </c>
      <c r="V5201" s="22">
        <f t="shared" si="388"/>
        <v>0.75861039794636109</v>
      </c>
      <c r="X5201" s="33"/>
      <c r="Y5201" s="33"/>
    </row>
    <row r="5202" spans="1:25" x14ac:dyDescent="0.2">
      <c r="A5202" s="93" t="s">
        <v>4602</v>
      </c>
      <c r="B5202" s="94">
        <f>IFERROR(VLOOKUP($A5202,HeadJournal!$A$1:$NTR$890,COLUMN(HeadJournal!B$1),0),"")</f>
        <v>0</v>
      </c>
      <c r="C5202" s="94" t="str">
        <f>IFERROR(VLOOKUP($A5202,HeadJournal!$A$1:$NTR$890,COLUMN(HeadJournal!C$1),0),"")</f>
        <v>iHerb_OA CZN6870</v>
      </c>
      <c r="D5202" s="125" t="str">
        <f>IFERROR(VLOOKUP($A5202,HeadJournal!$A$1:$NTR$890,COLUMN(HeadJournal!D$1),0),"")</f>
        <v>Доставлен</v>
      </c>
      <c r="E5202" s="95">
        <f>IFERROR(VLOOKUP($A5202,HeadJournal!$A$1:$NTR$890,COLUMN(HeadJournal!G$1),0),"")</f>
        <v>45946</v>
      </c>
      <c r="F5202" s="95" t="str">
        <f t="shared" si="389"/>
        <v>2025 10</v>
      </c>
      <c r="G5202" s="97" t="s">
        <v>5</v>
      </c>
      <c r="H5202" s="161" t="s">
        <v>2659</v>
      </c>
      <c r="I5202" s="97" t="s">
        <v>2218</v>
      </c>
      <c r="J5202" s="97" t="s">
        <v>2660</v>
      </c>
      <c r="K5202" s="29">
        <v>10.26</v>
      </c>
      <c r="L5202" s="29">
        <v>-2.0499999999999998</v>
      </c>
      <c r="M5202" s="30">
        <f>IFERROR(VLOOKUP($A5202,HeadJournal!$A$1:$J$890,COLUMN(HeadJournal!I$1),0)*($K5202+$L5202)/(SUMIF($A:$A,$A5202,$K:$K)+SUMIF($A:$A,$A5202,$L:$L)),0)</f>
        <v>-0.38287778082944257</v>
      </c>
      <c r="N5202" s="30">
        <f>IFERROR((VLOOKUP($A5202,HeadJournal!$A$1:$K$890,COLUMN(HeadJournal!K$1),0)-VLOOKUP($A5202,HeadJournal!$A$1:$K$890,COLUMN(HeadJournal!J$1),0))*($K5202+$L5202)/(SUMIF($A:$A,$A5202,$K:$K)+SUMIF($A:$A,$A5202,$L:$L)),0)</f>
        <v>1.2817480605526885E-15</v>
      </c>
      <c r="O5202" s="30">
        <f>IFERROR((VLOOKUP($A5202,HeadJournal!$A$1:$L$890,COLUMN(HeadJournal!L$1),0)*($K5202+$L5202)/(SUMIF($A:$A,$A5202,$K:$K)+SUMIF($A:$A,$A5202,$L:$L)))/VLOOKUP($A5202,HeadJournal!$A$1:$L$890,COLUMN(HeadJournal!H$1),0),0)</f>
        <v>0.25678660572520473</v>
      </c>
      <c r="P5202" s="30">
        <f>IFERROR(SUM(K5202:O5202)*VLOOKUP($A5202,HeadJournal!$A$1:$L$890,COLUMN(HeadJournal!H$1),0),0)</f>
        <v>752.44954408129638</v>
      </c>
      <c r="Q5202" s="29"/>
      <c r="R5202" s="31"/>
      <c r="S5202" s="31"/>
      <c r="T5202" s="95" t="str">
        <f t="shared" si="390"/>
        <v/>
      </c>
      <c r="U5202" s="32">
        <f t="shared" si="387"/>
        <v>-752.44954408129638</v>
      </c>
      <c r="V5202" s="22" t="str">
        <f t="shared" si="388"/>
        <v/>
      </c>
      <c r="X5202" s="33"/>
      <c r="Y5202" s="33"/>
    </row>
    <row r="5203" spans="1:25" x14ac:dyDescent="0.2">
      <c r="A5203" s="93" t="s">
        <v>4602</v>
      </c>
      <c r="B5203" s="94">
        <f>IFERROR(VLOOKUP($A5203,HeadJournal!$A$1:$NTR$890,COLUMN(HeadJournal!B$1),0),"")</f>
        <v>0</v>
      </c>
      <c r="C5203" s="94" t="str">
        <f>IFERROR(VLOOKUP($A5203,HeadJournal!$A$1:$NTR$890,COLUMN(HeadJournal!C$1),0),"")</f>
        <v>iHerb_OA CZN6870</v>
      </c>
      <c r="D5203" s="125" t="str">
        <f>IFERROR(VLOOKUP($A5203,HeadJournal!$A$1:$NTR$890,COLUMN(HeadJournal!D$1),0),"")</f>
        <v>Доставлен</v>
      </c>
      <c r="E5203" s="95">
        <f>IFERROR(VLOOKUP($A5203,HeadJournal!$A$1:$NTR$890,COLUMN(HeadJournal!G$1),0),"")</f>
        <v>45946</v>
      </c>
      <c r="F5203" s="95" t="str">
        <f t="shared" si="389"/>
        <v>2025 10</v>
      </c>
      <c r="G5203" s="97" t="s">
        <v>5</v>
      </c>
      <c r="H5203" s="161" t="s">
        <v>4599</v>
      </c>
      <c r="I5203" s="97" t="s">
        <v>4600</v>
      </c>
      <c r="J5203" s="97" t="s">
        <v>4601</v>
      </c>
      <c r="K5203" s="29">
        <v>7.52</v>
      </c>
      <c r="L5203" s="29">
        <v>-1.5</v>
      </c>
      <c r="M5203" s="30">
        <f>IFERROR(VLOOKUP($A5203,HeadJournal!$A$1:$J$890,COLUMN(HeadJournal!I$1),0)*($K5203+$L5203)/(SUMIF($A:$A,$A5203,$K:$K)+SUMIF($A:$A,$A5203,$L:$L)),0)</f>
        <v>-0.28074594891513321</v>
      </c>
      <c r="N5203" s="30">
        <f>IFERROR((VLOOKUP($A5203,HeadJournal!$A$1:$K$890,COLUMN(HeadJournal!K$1),0)-VLOOKUP($A5203,HeadJournal!$A$1:$K$890,COLUMN(HeadJournal!J$1),0))*($K5203+$L5203)/(SUMIF($A:$A,$A5203,$K:$K)+SUMIF($A:$A,$A5203,$L:$L)),0)</f>
        <v>9.3984449750635613E-16</v>
      </c>
      <c r="O5203" s="30">
        <f>IFERROR((VLOOKUP($A5203,HeadJournal!$A$1:$L$890,COLUMN(HeadJournal!L$1),0)*($K5203+$L5203)/(SUMIF($A:$A,$A5203,$K:$K)+SUMIF($A:$A,$A5203,$L:$L)))/VLOOKUP($A5203,HeadJournal!$A$1:$L$890,COLUMN(HeadJournal!H$1),0),0)</f>
        <v>0.18828932600069823</v>
      </c>
      <c r="P5203" s="30">
        <f>IFERROR(SUM(K5203:O5203)*VLOOKUP($A5203,HeadJournal!$A$1:$L$890,COLUMN(HeadJournal!H$1),0),0)</f>
        <v>551.73523207909921</v>
      </c>
      <c r="Q5203" s="29"/>
      <c r="R5203" s="31"/>
      <c r="S5203" s="31"/>
      <c r="T5203" s="95" t="str">
        <f t="shared" si="390"/>
        <v/>
      </c>
      <c r="U5203" s="32">
        <f t="shared" si="387"/>
        <v>-551.73523207909921</v>
      </c>
      <c r="V5203" s="22" t="str">
        <f t="shared" si="388"/>
        <v/>
      </c>
      <c r="X5203" s="33"/>
      <c r="Y5203" s="33"/>
    </row>
    <row r="5204" spans="1:25" x14ac:dyDescent="0.2">
      <c r="A5204" s="93" t="s">
        <v>4602</v>
      </c>
      <c r="B5204" s="94">
        <f>IFERROR(VLOOKUP($A5204,HeadJournal!$A$1:$NTR$890,COLUMN(HeadJournal!B$1),0),"")</f>
        <v>0</v>
      </c>
      <c r="C5204" s="94" t="str">
        <f>IFERROR(VLOOKUP($A5204,HeadJournal!$A$1:$NTR$890,COLUMN(HeadJournal!C$1),0),"")</f>
        <v>iHerb_OA CZN6870</v>
      </c>
      <c r="D5204" s="125" t="str">
        <f>IFERROR(VLOOKUP($A5204,HeadJournal!$A$1:$NTR$890,COLUMN(HeadJournal!D$1),0),"")</f>
        <v>Доставлен</v>
      </c>
      <c r="E5204" s="95">
        <f>IFERROR(VLOOKUP($A5204,HeadJournal!$A$1:$NTR$890,COLUMN(HeadJournal!G$1),0),"")</f>
        <v>45946</v>
      </c>
      <c r="F5204" s="95" t="str">
        <f t="shared" si="389"/>
        <v>2025 10</v>
      </c>
      <c r="G5204" s="97" t="s">
        <v>5</v>
      </c>
      <c r="H5204" s="161" t="s">
        <v>2986</v>
      </c>
      <c r="I5204" s="97" t="s">
        <v>2005</v>
      </c>
      <c r="J5204" s="97" t="s">
        <v>2987</v>
      </c>
      <c r="K5204" s="29">
        <v>9.41</v>
      </c>
      <c r="L5204" s="29">
        <v>-1.88</v>
      </c>
      <c r="M5204" s="30">
        <f>IFERROR(VLOOKUP($A5204,HeadJournal!$A$1:$J$890,COLUMN(HeadJournal!I$1),0)*($K5204+$L5204)/(SUMIF($A:$A,$A5204,$K:$K)+SUMIF($A:$A,$A5204,$L:$L)),0)</f>
        <v>-0.35116561384235107</v>
      </c>
      <c r="N5204" s="30">
        <f>IFERROR((VLOOKUP($A5204,HeadJournal!$A$1:$K$890,COLUMN(HeadJournal!K$1),0)-VLOOKUP($A5204,HeadJournal!$A$1:$K$890,COLUMN(HeadJournal!J$1),0))*($K5204+$L5204)/(SUMIF($A:$A,$A5204,$K:$K)+SUMIF($A:$A,$A5204,$L:$L)),0)</f>
        <v>1.1755862236250601E-15</v>
      </c>
      <c r="O5204" s="30">
        <f>IFERROR((VLOOKUP($A5204,HeadJournal!$A$1:$L$890,COLUMN(HeadJournal!L$1),0)*($K5204+$L5204)/(SUMIF($A:$A,$A5204,$K:$K)+SUMIF($A:$A,$A5204,$L:$L)))/VLOOKUP($A5204,HeadJournal!$A$1:$L$890,COLUMN(HeadJournal!H$1),0),0)</f>
        <v>0.23551804398426207</v>
      </c>
      <c r="P5204" s="30">
        <f>IFERROR(SUM(K5204:O5204)*VLOOKUP($A5204,HeadJournal!$A$1:$L$890,COLUMN(HeadJournal!H$1),0),0)</f>
        <v>690.12729195276029</v>
      </c>
      <c r="Q5204" s="29">
        <v>1500</v>
      </c>
      <c r="R5204" s="31">
        <v>45981</v>
      </c>
      <c r="S5204" s="31" t="s">
        <v>3384</v>
      </c>
      <c r="T5204" s="95" t="str">
        <f t="shared" si="390"/>
        <v>2025 11</v>
      </c>
      <c r="U5204" s="32">
        <f t="shared" si="387"/>
        <v>809.87270804723971</v>
      </c>
      <c r="V5204" s="22">
        <f t="shared" si="388"/>
        <v>1.173512071600084</v>
      </c>
      <c r="X5204" s="33"/>
      <c r="Y5204" s="33"/>
    </row>
    <row r="5205" spans="1:25" x14ac:dyDescent="0.2">
      <c r="A5205" s="93" t="s">
        <v>4602</v>
      </c>
      <c r="B5205" s="94">
        <f>IFERROR(VLOOKUP($A5205,HeadJournal!$A$1:$NTR$890,COLUMN(HeadJournal!B$1),0),"")</f>
        <v>0</v>
      </c>
      <c r="C5205" s="94" t="str">
        <f>IFERROR(VLOOKUP($A5205,HeadJournal!$A$1:$NTR$890,COLUMN(HeadJournal!C$1),0),"")</f>
        <v>iHerb_OA CZN6870</v>
      </c>
      <c r="D5205" s="125" t="str">
        <f>IFERROR(VLOOKUP($A5205,HeadJournal!$A$1:$NTR$890,COLUMN(HeadJournal!D$1),0),"")</f>
        <v>Доставлен</v>
      </c>
      <c r="E5205" s="95">
        <f>IFERROR(VLOOKUP($A5205,HeadJournal!$A$1:$NTR$890,COLUMN(HeadJournal!G$1),0),"")</f>
        <v>45946</v>
      </c>
      <c r="F5205" s="95" t="str">
        <f t="shared" si="389"/>
        <v>2025 10</v>
      </c>
      <c r="G5205" s="97" t="s">
        <v>5</v>
      </c>
      <c r="H5205" s="161" t="s">
        <v>2614</v>
      </c>
      <c r="I5205" s="97" t="s">
        <v>2005</v>
      </c>
      <c r="J5205" s="97" t="s">
        <v>2641</v>
      </c>
      <c r="K5205" s="29">
        <v>5.57</v>
      </c>
      <c r="L5205" s="29">
        <v>-1.1100000000000001</v>
      </c>
      <c r="M5205" s="30">
        <f>IFERROR(VLOOKUP($A5205,HeadJournal!$A$1:$J$890,COLUMN(HeadJournal!I$1),0)*($K5205+$L5205)/(SUMIF($A:$A,$A5205,$K:$K)+SUMIF($A:$A,$A5205,$L:$L)),0)</f>
        <v>-0.20799450700357047</v>
      </c>
      <c r="N5205" s="30">
        <f>IFERROR((VLOOKUP($A5205,HeadJournal!$A$1:$K$890,COLUMN(HeadJournal!K$1),0)-VLOOKUP($A5205,HeadJournal!$A$1:$K$890,COLUMN(HeadJournal!J$1),0))*($K5205+$L5205)/(SUMIF($A:$A,$A5205,$K:$K)+SUMIF($A:$A,$A5205,$L:$L)),0)</f>
        <v>6.9629675396650306E-16</v>
      </c>
      <c r="O5205" s="30">
        <f>IFERROR((VLOOKUP($A5205,HeadJournal!$A$1:$L$890,COLUMN(HeadJournal!L$1),0)*($K5205+$L5205)/(SUMIF($A:$A,$A5205,$K:$K)+SUMIF($A:$A,$A5205,$L:$L)))/VLOOKUP($A5205,HeadJournal!$A$1:$L$890,COLUMN(HeadJournal!H$1),0),0)</f>
        <v>0.13949674318324154</v>
      </c>
      <c r="P5205" s="30">
        <f>IFERROR(SUM(K5205:O5205)*VLOOKUP($A5205,HeadJournal!$A$1:$L$890,COLUMN(HeadJournal!H$1),0),0)</f>
        <v>408.76065366657519</v>
      </c>
      <c r="Q5205" s="29">
        <v>1050</v>
      </c>
      <c r="R5205" s="31">
        <v>46113</v>
      </c>
      <c r="S5205" s="31" t="s">
        <v>3252</v>
      </c>
      <c r="T5205" s="95" t="str">
        <f t="shared" si="390"/>
        <v>2026 04</v>
      </c>
      <c r="U5205" s="32">
        <f t="shared" si="387"/>
        <v>641.23934633342481</v>
      </c>
      <c r="V5205" s="22">
        <f t="shared" si="388"/>
        <v>1.5687403877587538</v>
      </c>
      <c r="X5205" s="33"/>
      <c r="Y5205" s="33"/>
    </row>
    <row r="5206" spans="1:25" x14ac:dyDescent="0.2">
      <c r="A5206" s="93" t="s">
        <v>4602</v>
      </c>
      <c r="B5206" s="94">
        <f>IFERROR(VLOOKUP($A5206,HeadJournal!$A$1:$NTR$890,COLUMN(HeadJournal!B$1),0),"")</f>
        <v>0</v>
      </c>
      <c r="C5206" s="94" t="str">
        <f>IFERROR(VLOOKUP($A5206,HeadJournal!$A$1:$NTR$890,COLUMN(HeadJournal!C$1),0),"")</f>
        <v>iHerb_OA CZN6870</v>
      </c>
      <c r="D5206" s="125" t="str">
        <f>IFERROR(VLOOKUP($A5206,HeadJournal!$A$1:$NTR$890,COLUMN(HeadJournal!D$1),0),"")</f>
        <v>Доставлен</v>
      </c>
      <c r="E5206" s="95">
        <f>IFERROR(VLOOKUP($A5206,HeadJournal!$A$1:$NTR$890,COLUMN(HeadJournal!G$1),0),"")</f>
        <v>45946</v>
      </c>
      <c r="F5206" s="95" t="str">
        <f t="shared" si="389"/>
        <v>2025 10</v>
      </c>
      <c r="G5206" s="97" t="s">
        <v>5</v>
      </c>
      <c r="H5206" s="161" t="s">
        <v>2089</v>
      </c>
      <c r="I5206" s="97" t="s">
        <v>2005</v>
      </c>
      <c r="J5206" s="97" t="s">
        <v>3781</v>
      </c>
      <c r="K5206" s="29">
        <v>22.47</v>
      </c>
      <c r="L5206" s="29">
        <v>-4.49</v>
      </c>
      <c r="M5206" s="30">
        <f>IFERROR(VLOOKUP($A5206,HeadJournal!$A$1:$J$890,COLUMN(HeadJournal!I$1),0)*($K5206+$L5206)/(SUMIF($A:$A,$A5206,$K:$K)+SUMIF($A:$A,$A5206,$L:$L)),0)</f>
        <v>-0.83850700357044772</v>
      </c>
      <c r="N5206" s="30">
        <f>IFERROR((VLOOKUP($A5206,HeadJournal!$A$1:$K$890,COLUMN(HeadJournal!K$1),0)-VLOOKUP($A5206,HeadJournal!$A$1:$K$890,COLUMN(HeadJournal!J$1),0))*($K5206+$L5206)/(SUMIF($A:$A,$A5206,$K:$K)+SUMIF($A:$A,$A5206,$L:$L)),0)</f>
        <v>2.8070438646452296E-15</v>
      </c>
      <c r="O5206" s="30">
        <f>IFERROR((VLOOKUP($A5206,HeadJournal!$A$1:$L$890,COLUMN(HeadJournal!L$1),0)*($K5206+$L5206)/(SUMIF($A:$A,$A5206,$K:$K)+SUMIF($A:$A,$A5206,$L:$L)))/VLOOKUP($A5206,HeadJournal!$A$1:$L$890,COLUMN(HeadJournal!H$1),0),0)</f>
        <v>0.56236579426786604</v>
      </c>
      <c r="P5206" s="30">
        <f>IFERROR(SUM(K5206:O5206)*VLOOKUP($A5206,HeadJournal!$A$1:$L$890,COLUMN(HeadJournal!H$1),0),0)</f>
        <v>1647.8736665751167</v>
      </c>
      <c r="Q5206" s="29">
        <v>2900</v>
      </c>
      <c r="R5206" s="31">
        <v>45993</v>
      </c>
      <c r="S5206" s="31" t="s">
        <v>3384</v>
      </c>
      <c r="T5206" s="95" t="str">
        <f t="shared" si="390"/>
        <v>2025 12</v>
      </c>
      <c r="U5206" s="32">
        <f t="shared" si="387"/>
        <v>1252.1263334248833</v>
      </c>
      <c r="V5206" s="22">
        <f t="shared" si="388"/>
        <v>0.75984364506974567</v>
      </c>
      <c r="X5206" s="33"/>
      <c r="Y5206" s="33"/>
    </row>
    <row r="5207" spans="1:25" x14ac:dyDescent="0.2">
      <c r="A5207" s="93" t="s">
        <v>4602</v>
      </c>
      <c r="B5207" s="94">
        <f>IFERROR(VLOOKUP($A5207,HeadJournal!$A$1:$NTR$890,COLUMN(HeadJournal!B$1),0),"")</f>
        <v>0</v>
      </c>
      <c r="C5207" s="94" t="str">
        <f>IFERROR(VLOOKUP($A5207,HeadJournal!$A$1:$NTR$890,COLUMN(HeadJournal!C$1),0),"")</f>
        <v>iHerb_OA CZN6870</v>
      </c>
      <c r="D5207" s="125" t="str">
        <f>IFERROR(VLOOKUP($A5207,HeadJournal!$A$1:$NTR$890,COLUMN(HeadJournal!D$1),0),"")</f>
        <v>Доставлен</v>
      </c>
      <c r="E5207" s="95">
        <f>IFERROR(VLOOKUP($A5207,HeadJournal!$A$1:$NTR$890,COLUMN(HeadJournal!G$1),0),"")</f>
        <v>45946</v>
      </c>
      <c r="F5207" s="95" t="str">
        <f t="shared" si="389"/>
        <v>2025 10</v>
      </c>
      <c r="G5207" s="97" t="s">
        <v>5</v>
      </c>
      <c r="H5207" s="161" t="s">
        <v>2488</v>
      </c>
      <c r="I5207" s="97" t="s">
        <v>2005</v>
      </c>
      <c r="J5207" s="97" t="s">
        <v>2489</v>
      </c>
      <c r="K5207" s="29">
        <v>20.28</v>
      </c>
      <c r="L5207" s="29">
        <v>-4.0549999999999997</v>
      </c>
      <c r="M5207" s="30">
        <f>IFERROR(VLOOKUP($A5207,HeadJournal!$A$1:$J$890,COLUMN(HeadJournal!I$1),0)*($K5207+$L5207)/(SUMIF($A:$A,$A5207,$K:$K)+SUMIF($A:$A,$A5207,$L:$L)),0)</f>
        <v>-0.75666163141993981</v>
      </c>
      <c r="N5207" s="30">
        <f>IFERROR((VLOOKUP($A5207,HeadJournal!$A$1:$K$890,COLUMN(HeadJournal!K$1),0)-VLOOKUP($A5207,HeadJournal!$A$1:$K$890,COLUMN(HeadJournal!J$1),0))*($K5207+$L5207)/(SUMIF($A:$A,$A5207,$K:$K)+SUMIF($A:$A,$A5207,$L:$L)),0)</f>
        <v>2.5330526531628955E-15</v>
      </c>
      <c r="O5207" s="30">
        <f>IFERROR((VLOOKUP($A5207,HeadJournal!$A$1:$L$890,COLUMN(HeadJournal!L$1),0)*($K5207+$L5207)/(SUMIF($A:$A,$A5207,$K:$K)+SUMIF($A:$A,$A5207,$L:$L)))/VLOOKUP($A5207,HeadJournal!$A$1:$L$890,COLUMN(HeadJournal!H$1),0),0)</f>
        <v>0.50747413859822743</v>
      </c>
      <c r="P5207" s="30">
        <f>IFERROR(SUM(K5207:O5207)*VLOOKUP($A5207,HeadJournal!$A$1:$L$890,COLUMN(HeadJournal!H$1),0),0)</f>
        <v>1487.0272658610274</v>
      </c>
      <c r="Q5207" s="29">
        <v>2500</v>
      </c>
      <c r="R5207" s="31">
        <v>45985</v>
      </c>
      <c r="S5207" s="31"/>
      <c r="T5207" s="95" t="str">
        <f t="shared" si="390"/>
        <v>2025 11</v>
      </c>
      <c r="U5207" s="32">
        <f t="shared" si="387"/>
        <v>1012.9727341389726</v>
      </c>
      <c r="V5207" s="22">
        <f t="shared" si="388"/>
        <v>0.68120656385707556</v>
      </c>
      <c r="X5207" s="33"/>
      <c r="Y5207" s="33"/>
    </row>
    <row r="5208" spans="1:25" x14ac:dyDescent="0.2">
      <c r="A5208" s="93" t="s">
        <v>4602</v>
      </c>
      <c r="B5208" s="94">
        <f>IFERROR(VLOOKUP($A5208,HeadJournal!$A$1:$NTR$890,COLUMN(HeadJournal!B$1),0),"")</f>
        <v>0</v>
      </c>
      <c r="C5208" s="94" t="str">
        <f>IFERROR(VLOOKUP($A5208,HeadJournal!$A$1:$NTR$890,COLUMN(HeadJournal!C$1),0),"")</f>
        <v>iHerb_OA CZN6870</v>
      </c>
      <c r="D5208" s="125" t="str">
        <f>IFERROR(VLOOKUP($A5208,HeadJournal!$A$1:$NTR$890,COLUMN(HeadJournal!D$1),0),"")</f>
        <v>Доставлен</v>
      </c>
      <c r="E5208" s="95">
        <f>IFERROR(VLOOKUP($A5208,HeadJournal!$A$1:$NTR$890,COLUMN(HeadJournal!G$1),0),"")</f>
        <v>45946</v>
      </c>
      <c r="F5208" s="95" t="str">
        <f t="shared" si="389"/>
        <v>2025 10</v>
      </c>
      <c r="G5208" s="97" t="s">
        <v>5</v>
      </c>
      <c r="H5208" s="161" t="s">
        <v>2488</v>
      </c>
      <c r="I5208" s="97" t="s">
        <v>2005</v>
      </c>
      <c r="J5208" s="97" t="s">
        <v>2489</v>
      </c>
      <c r="K5208" s="29">
        <v>20.28</v>
      </c>
      <c r="L5208" s="29">
        <v>-4.0549999999999997</v>
      </c>
      <c r="M5208" s="30">
        <f>IFERROR(VLOOKUP($A5208,HeadJournal!$A$1:$J$890,COLUMN(HeadJournal!I$1),0)*($K5208+$L5208)/(SUMIF($A:$A,$A5208,$K:$K)+SUMIF($A:$A,$A5208,$L:$L)),0)</f>
        <v>-0.75666163141993981</v>
      </c>
      <c r="N5208" s="30">
        <f>IFERROR((VLOOKUP($A5208,HeadJournal!$A$1:$K$890,COLUMN(HeadJournal!K$1),0)-VLOOKUP($A5208,HeadJournal!$A$1:$K$890,COLUMN(HeadJournal!J$1),0))*($K5208+$L5208)/(SUMIF($A:$A,$A5208,$K:$K)+SUMIF($A:$A,$A5208,$L:$L)),0)</f>
        <v>2.5330526531628955E-15</v>
      </c>
      <c r="O5208" s="30">
        <f>IFERROR((VLOOKUP($A5208,HeadJournal!$A$1:$L$890,COLUMN(HeadJournal!L$1),0)*($K5208+$L5208)/(SUMIF($A:$A,$A5208,$K:$K)+SUMIF($A:$A,$A5208,$L:$L)))/VLOOKUP($A5208,HeadJournal!$A$1:$L$890,COLUMN(HeadJournal!H$1),0),0)</f>
        <v>0.50747413859822743</v>
      </c>
      <c r="P5208" s="30">
        <f>IFERROR(SUM(K5208:O5208)*VLOOKUP($A5208,HeadJournal!$A$1:$L$890,COLUMN(HeadJournal!H$1),0),0)</f>
        <v>1487.0272658610274</v>
      </c>
      <c r="Q5208" s="29">
        <v>2600</v>
      </c>
      <c r="R5208" s="31">
        <v>46058</v>
      </c>
      <c r="S5208" s="31"/>
      <c r="T5208" s="95" t="str">
        <f t="shared" si="390"/>
        <v>2026 02</v>
      </c>
      <c r="U5208" s="32">
        <f t="shared" si="387"/>
        <v>1112.9727341389726</v>
      </c>
      <c r="V5208" s="22">
        <f t="shared" si="388"/>
        <v>0.74845482641135863</v>
      </c>
      <c r="X5208" s="33"/>
      <c r="Y5208" s="33"/>
    </row>
    <row r="5209" spans="1:25" x14ac:dyDescent="0.2">
      <c r="A5209" s="93" t="s">
        <v>4602</v>
      </c>
      <c r="B5209" s="94">
        <f>IFERROR(VLOOKUP($A5209,HeadJournal!$A$1:$NTR$890,COLUMN(HeadJournal!B$1),0),"")</f>
        <v>0</v>
      </c>
      <c r="C5209" s="94" t="str">
        <f>IFERROR(VLOOKUP($A5209,HeadJournal!$A$1:$NTR$890,COLUMN(HeadJournal!C$1),0),"")</f>
        <v>iHerb_OA CZN6870</v>
      </c>
      <c r="D5209" s="125" t="str">
        <f>IFERROR(VLOOKUP($A5209,HeadJournal!$A$1:$NTR$890,COLUMN(HeadJournal!D$1),0),"")</f>
        <v>Доставлен</v>
      </c>
      <c r="E5209" s="95">
        <f>IFERROR(VLOOKUP($A5209,HeadJournal!$A$1:$NTR$890,COLUMN(HeadJournal!G$1),0),"")</f>
        <v>45946</v>
      </c>
      <c r="F5209" s="95" t="str">
        <f t="shared" si="389"/>
        <v>2025 10</v>
      </c>
      <c r="G5209" s="97" t="s">
        <v>5</v>
      </c>
      <c r="H5209" s="161" t="s">
        <v>3822</v>
      </c>
      <c r="I5209" s="97" t="s">
        <v>2009</v>
      </c>
      <c r="J5209" s="97" t="s">
        <v>3823</v>
      </c>
      <c r="K5209" s="29">
        <v>11.42</v>
      </c>
      <c r="L5209" s="29">
        <v>-2.2799999999999998</v>
      </c>
      <c r="M5209" s="30">
        <f>IFERROR(VLOOKUP($A5209,HeadJournal!$A$1:$J$890,COLUMN(HeadJournal!I$1),0)*($K5209+$L5209)/(SUMIF($A:$A,$A5209,$K:$K)+SUMIF($A:$A,$A5209,$L:$L)),0)</f>
        <v>-0.42624883273825881</v>
      </c>
      <c r="N5209" s="30">
        <f>IFERROR((VLOOKUP($A5209,HeadJournal!$A$1:$K$890,COLUMN(HeadJournal!K$1),0)-VLOOKUP($A5209,HeadJournal!$A$1:$K$890,COLUMN(HeadJournal!J$1),0))*($K5209+$L5209)/(SUMIF($A:$A,$A5209,$K:$K)+SUMIF($A:$A,$A5209,$L:$L)),0)</f>
        <v>1.4269399845860625E-15</v>
      </c>
      <c r="O5209" s="30">
        <f>IFERROR((VLOOKUP($A5209,HeadJournal!$A$1:$L$890,COLUMN(HeadJournal!L$1),0)*($K5209+$L5209)/(SUMIF($A:$A,$A5209,$K:$K)+SUMIF($A:$A,$A5209,$L:$L)))/VLOOKUP($A5209,HeadJournal!$A$1:$L$890,COLUMN(HeadJournal!H$1),0),0)</f>
        <v>0.28587449163561163</v>
      </c>
      <c r="P5209" s="30">
        <f>IFERROR(SUM(K5209:O5209)*VLOOKUP($A5209,HeadJournal!$A$1:$L$890,COLUMN(HeadJournal!H$1),0),0)</f>
        <v>837.68438890414745</v>
      </c>
      <c r="Q5209" s="29">
        <v>1700</v>
      </c>
      <c r="R5209" s="31">
        <v>45989</v>
      </c>
      <c r="S5209" s="31" t="s">
        <v>3231</v>
      </c>
      <c r="T5209" s="95" t="str">
        <f t="shared" si="390"/>
        <v>2025 11</v>
      </c>
      <c r="U5209" s="32">
        <f t="shared" si="387"/>
        <v>862.31561109585255</v>
      </c>
      <c r="V5209" s="22">
        <f t="shared" si="388"/>
        <v>1.0294039408134696</v>
      </c>
      <c r="X5209" s="33"/>
      <c r="Y5209" s="33"/>
    </row>
    <row r="5210" spans="1:25" x14ac:dyDescent="0.2">
      <c r="A5210" s="93" t="s">
        <v>4602</v>
      </c>
      <c r="B5210" s="94">
        <f>IFERROR(VLOOKUP($A5210,HeadJournal!$A$1:$NTR$890,COLUMN(HeadJournal!B$1),0),"")</f>
        <v>0</v>
      </c>
      <c r="C5210" s="94" t="str">
        <f>IFERROR(VLOOKUP($A5210,HeadJournal!$A$1:$NTR$890,COLUMN(HeadJournal!C$1),0),"")</f>
        <v>iHerb_OA CZN6870</v>
      </c>
      <c r="D5210" s="125" t="str">
        <f>IFERROR(VLOOKUP($A5210,HeadJournal!$A$1:$NTR$890,COLUMN(HeadJournal!D$1),0),"")</f>
        <v>Доставлен</v>
      </c>
      <c r="E5210" s="95">
        <f>IFERROR(VLOOKUP($A5210,HeadJournal!$A$1:$NTR$890,COLUMN(HeadJournal!G$1),0),"")</f>
        <v>45946</v>
      </c>
      <c r="F5210" s="95" t="str">
        <f t="shared" si="389"/>
        <v>2025 10</v>
      </c>
      <c r="G5210" s="97" t="s">
        <v>5</v>
      </c>
      <c r="H5210" s="161" t="s">
        <v>2815</v>
      </c>
      <c r="I5210" s="97" t="s">
        <v>2005</v>
      </c>
      <c r="J5210" s="97" t="s">
        <v>2816</v>
      </c>
      <c r="K5210" s="29">
        <v>19.87</v>
      </c>
      <c r="L5210" s="29">
        <v>-3.97</v>
      </c>
      <c r="M5210" s="30">
        <f>IFERROR(VLOOKUP($A5210,HeadJournal!$A$1:$J$890,COLUMN(HeadJournal!I$1),0)*($K5210+$L5210)/(SUMIF($A:$A,$A5210,$K:$K)+SUMIF($A:$A,$A5210,$L:$L)),0)</f>
        <v>-0.74150508102169743</v>
      </c>
      <c r="N5210" s="30">
        <f>IFERROR((VLOOKUP($A5210,HeadJournal!$A$1:$K$890,COLUMN(HeadJournal!K$1),0)-VLOOKUP($A5210,HeadJournal!$A$1:$K$890,COLUMN(HeadJournal!J$1),0))*($K5210+$L5210)/(SUMIF($A:$A,$A5210,$K:$K)+SUMIF($A:$A,$A5210,$L:$L)),0)</f>
        <v>2.4823135399254259E-15</v>
      </c>
      <c r="O5210" s="30">
        <f>IFERROR((VLOOKUP($A5210,HeadJournal!$A$1:$L$890,COLUMN(HeadJournal!L$1),0)*($K5210+$L5210)/(SUMIF($A:$A,$A5210,$K:$K)+SUMIF($A:$A,$A5210,$L:$L)))/VLOOKUP($A5210,HeadJournal!$A$1:$L$890,COLUMN(HeadJournal!H$1),0),0)</f>
        <v>0.49730901717792386</v>
      </c>
      <c r="P5210" s="30">
        <f>IFERROR(SUM(K5210:O5210)*VLOOKUP($A5210,HeadJournal!$A$1:$L$890,COLUMN(HeadJournal!H$1),0),0)</f>
        <v>1457.2408953584181</v>
      </c>
      <c r="Q5210" s="29"/>
      <c r="R5210" s="31"/>
      <c r="S5210" s="31"/>
      <c r="T5210" s="95" t="str">
        <f t="shared" si="390"/>
        <v/>
      </c>
      <c r="U5210" s="32">
        <f t="shared" si="387"/>
        <v>-1457.2408953584181</v>
      </c>
      <c r="V5210" s="22" t="str">
        <f t="shared" si="388"/>
        <v/>
      </c>
      <c r="X5210" s="33"/>
      <c r="Y5210" s="33"/>
    </row>
    <row r="5211" spans="1:25" x14ac:dyDescent="0.2">
      <c r="A5211" s="93" t="s">
        <v>4884</v>
      </c>
      <c r="B5211" s="94">
        <f>IFERROR(VLOOKUP($A5211,HeadJournal!$A$1:$NTR$890,COLUMN(HeadJournal!B$1),0),"")</f>
        <v>0</v>
      </c>
      <c r="C5211" s="94" t="str">
        <f>IFERROR(VLOOKUP($A5211,HeadJournal!$A$1:$NTR$890,COLUMN(HeadJournal!C$1),0),"")</f>
        <v>iHerb_OA CZN6870</v>
      </c>
      <c r="D5211" s="125" t="str">
        <f>IFERROR(VLOOKUP($A5211,HeadJournal!$A$1:$NTR$890,COLUMN(HeadJournal!D$1),0),"")</f>
        <v>Доставлен</v>
      </c>
      <c r="E5211" s="95">
        <f>IFERROR(VLOOKUP($A5211,HeadJournal!$A$1:$NTR$890,COLUMN(HeadJournal!G$1),0),"")</f>
        <v>45951</v>
      </c>
      <c r="F5211" s="95" t="str">
        <f t="shared" si="389"/>
        <v>2025 10</v>
      </c>
      <c r="G5211" s="97" t="s">
        <v>5</v>
      </c>
      <c r="H5211" s="161" t="s">
        <v>4880</v>
      </c>
      <c r="I5211" s="97" t="s">
        <v>2005</v>
      </c>
      <c r="J5211" s="97" t="s">
        <v>4881</v>
      </c>
      <c r="K5211" s="29">
        <v>18.829999999999998</v>
      </c>
      <c r="L5211" s="29">
        <v>-3.77</v>
      </c>
      <c r="M5211" s="30">
        <f>IFERROR(VLOOKUP($A5211,HeadJournal!$A$1:$J$890,COLUMN(HeadJournal!I$1),0)*($K5211+$L5211)/(SUMIF($A:$A,$A5211,$K:$K)+SUMIF($A:$A,$A5211,$L:$L)),0)</f>
        <v>-0.7530760682897264</v>
      </c>
      <c r="N5211" s="30">
        <f>IFERROR((VLOOKUP($A5211,HeadJournal!$A$1:$K$890,COLUMN(HeadJournal!K$1),0)-VLOOKUP($A5211,HeadJournal!$A$1:$K$890,COLUMN(HeadJournal!J$1),0))*($K5211+$L5211)/(SUMIF($A:$A,$A5211,$K:$K)+SUMIF($A:$A,$A5211,$L:$L)),0)</f>
        <v>4.3239816549336744E-15</v>
      </c>
      <c r="O5211" s="30">
        <f>IFERROR((VLOOKUP($A5211,HeadJournal!$A$1:$L$890,COLUMN(HeadJournal!L$1),0)*($K5211+$L5211)/(SUMIF($A:$A,$A5211,$K:$K)+SUMIF($A:$A,$A5211,$L:$L)))/VLOOKUP($A5211,HeadJournal!$A$1:$L$890,COLUMN(HeadJournal!H$1),0),0)</f>
        <v>0.44621341639748008</v>
      </c>
      <c r="P5211" s="30">
        <f>IFERROR(SUM(K5211:O5211)*VLOOKUP($A5211,HeadJournal!$A$1:$L$890,COLUMN(HeadJournal!H$1),0),0)</f>
        <v>1332.9727861400143</v>
      </c>
      <c r="Q5211" s="29">
        <v>2200</v>
      </c>
      <c r="R5211" s="31">
        <v>45980</v>
      </c>
      <c r="S5211" s="31" t="s">
        <v>4878</v>
      </c>
      <c r="T5211" s="95" t="str">
        <f t="shared" si="390"/>
        <v>2025 11</v>
      </c>
      <c r="U5211" s="32">
        <f t="shared" si="387"/>
        <v>867.02721385998575</v>
      </c>
      <c r="V5211" s="22">
        <f t="shared" si="388"/>
        <v>0.65044629783530628</v>
      </c>
      <c r="X5211" s="33"/>
      <c r="Y5211" s="33"/>
    </row>
    <row r="5212" spans="1:25" x14ac:dyDescent="0.2">
      <c r="A5212" s="93" t="s">
        <v>4884</v>
      </c>
      <c r="B5212" s="94">
        <f>IFERROR(VLOOKUP($A5212,HeadJournal!$A$1:$NTR$890,COLUMN(HeadJournal!B$1),0),"")</f>
        <v>0</v>
      </c>
      <c r="C5212" s="94" t="str">
        <f>IFERROR(VLOOKUP($A5212,HeadJournal!$A$1:$NTR$890,COLUMN(HeadJournal!C$1),0),"")</f>
        <v>iHerb_OA CZN6870</v>
      </c>
      <c r="D5212" s="125" t="str">
        <f>IFERROR(VLOOKUP($A5212,HeadJournal!$A$1:$NTR$890,COLUMN(HeadJournal!D$1),0),"")</f>
        <v>Доставлен</v>
      </c>
      <c r="E5212" s="95">
        <f>IFERROR(VLOOKUP($A5212,HeadJournal!$A$1:$NTR$890,COLUMN(HeadJournal!G$1),0),"")</f>
        <v>45951</v>
      </c>
      <c r="F5212" s="95" t="str">
        <f t="shared" si="389"/>
        <v>2025 10</v>
      </c>
      <c r="G5212" s="97" t="s">
        <v>5</v>
      </c>
      <c r="H5212" s="161" t="s">
        <v>2624</v>
      </c>
      <c r="I5212" s="97" t="s">
        <v>2005</v>
      </c>
      <c r="J5212" s="97" t="s">
        <v>2625</v>
      </c>
      <c r="K5212" s="29">
        <v>23.95</v>
      </c>
      <c r="L5212" s="29">
        <v>-4.79</v>
      </c>
      <c r="M5212" s="30">
        <f>IFERROR(VLOOKUP($A5212,HeadJournal!$A$1:$J$890,COLUMN(HeadJournal!I$1),0)*($K5212+$L5212)/(SUMIF($A:$A,$A5212,$K:$K)+SUMIF($A:$A,$A5212,$L:$L)),0)</f>
        <v>-0.95809677745226807</v>
      </c>
      <c r="N5212" s="30">
        <f>IFERROR((VLOOKUP($A5212,HeadJournal!$A$1:$K$890,COLUMN(HeadJournal!K$1),0)-VLOOKUP($A5212,HeadJournal!$A$1:$K$890,COLUMN(HeadJournal!J$1),0))*($K5212+$L5212)/(SUMIF($A:$A,$A5212,$K:$K)+SUMIF($A:$A,$A5212,$L:$L)),0)</f>
        <v>5.5011612555464276E-15</v>
      </c>
      <c r="O5212" s="30">
        <f>IFERROR((VLOOKUP($A5212,HeadJournal!$A$1:$L$890,COLUMN(HeadJournal!L$1),0)*($K5212+$L5212)/(SUMIF($A:$A,$A5212,$K:$K)+SUMIF($A:$A,$A5212,$L:$L)))/VLOOKUP($A5212,HeadJournal!$A$1:$L$890,COLUMN(HeadJournal!H$1),0),0)</f>
        <v>0.56769250054287645</v>
      </c>
      <c r="P5212" s="30">
        <f>IFERROR(SUM(K5212:O5212)*VLOOKUP($A5212,HeadJournal!$A$1:$L$890,COLUMN(HeadJournal!H$1),0),0)</f>
        <v>1695.8671037478537</v>
      </c>
      <c r="Q5212" s="29">
        <v>3000</v>
      </c>
      <c r="R5212" s="31">
        <v>46018</v>
      </c>
      <c r="S5212" s="31" t="s">
        <v>3437</v>
      </c>
      <c r="T5212" s="95" t="str">
        <f t="shared" si="390"/>
        <v>2025 12</v>
      </c>
      <c r="U5212" s="32">
        <f t="shared" si="387"/>
        <v>1304.1328962521463</v>
      </c>
      <c r="V5212" s="22">
        <f t="shared" si="388"/>
        <v>0.76900654147369352</v>
      </c>
      <c r="X5212" s="33"/>
      <c r="Y5212" s="33"/>
    </row>
    <row r="5213" spans="1:25" x14ac:dyDescent="0.2">
      <c r="A5213" s="93" t="s">
        <v>4884</v>
      </c>
      <c r="B5213" s="94">
        <f>IFERROR(VLOOKUP($A5213,HeadJournal!$A$1:$NTR$890,COLUMN(HeadJournal!B$1),0),"")</f>
        <v>0</v>
      </c>
      <c r="C5213" s="94" t="str">
        <f>IFERROR(VLOOKUP($A5213,HeadJournal!$A$1:$NTR$890,COLUMN(HeadJournal!C$1),0),"")</f>
        <v>iHerb_OA CZN6870</v>
      </c>
      <c r="D5213" s="125" t="str">
        <f>IFERROR(VLOOKUP($A5213,HeadJournal!$A$1:$NTR$890,COLUMN(HeadJournal!D$1),0),"")</f>
        <v>Доставлен</v>
      </c>
      <c r="E5213" s="95">
        <f>IFERROR(VLOOKUP($A5213,HeadJournal!$A$1:$NTR$890,COLUMN(HeadJournal!G$1),0),"")</f>
        <v>45951</v>
      </c>
      <c r="F5213" s="95" t="str">
        <f t="shared" si="389"/>
        <v>2025 10</v>
      </c>
      <c r="G5213" s="97" t="s">
        <v>5</v>
      </c>
      <c r="H5213" s="161" t="s">
        <v>2624</v>
      </c>
      <c r="I5213" s="97" t="s">
        <v>2005</v>
      </c>
      <c r="J5213" s="97" t="s">
        <v>2625</v>
      </c>
      <c r="K5213" s="29">
        <v>23.95</v>
      </c>
      <c r="L5213" s="29">
        <v>-4.79</v>
      </c>
      <c r="M5213" s="30">
        <f>IFERROR(VLOOKUP($A5213,HeadJournal!$A$1:$J$890,COLUMN(HeadJournal!I$1),0)*($K5213+$L5213)/(SUMIF($A:$A,$A5213,$K:$K)+SUMIF($A:$A,$A5213,$L:$L)),0)</f>
        <v>-0.95809677745226807</v>
      </c>
      <c r="N5213" s="30">
        <f>IFERROR((VLOOKUP($A5213,HeadJournal!$A$1:$K$890,COLUMN(HeadJournal!K$1),0)-VLOOKUP($A5213,HeadJournal!$A$1:$K$890,COLUMN(HeadJournal!J$1),0))*($K5213+$L5213)/(SUMIF($A:$A,$A5213,$K:$K)+SUMIF($A:$A,$A5213,$L:$L)),0)</f>
        <v>5.5011612555464276E-15</v>
      </c>
      <c r="O5213" s="30">
        <f>IFERROR((VLOOKUP($A5213,HeadJournal!$A$1:$L$890,COLUMN(HeadJournal!L$1),0)*($K5213+$L5213)/(SUMIF($A:$A,$A5213,$K:$K)+SUMIF($A:$A,$A5213,$L:$L)))/VLOOKUP($A5213,HeadJournal!$A$1:$L$890,COLUMN(HeadJournal!H$1),0),0)</f>
        <v>0.56769250054287645</v>
      </c>
      <c r="P5213" s="30">
        <f>IFERROR(SUM(K5213:O5213)*VLOOKUP($A5213,HeadJournal!$A$1:$L$890,COLUMN(HeadJournal!H$1),0),0)</f>
        <v>1695.8671037478537</v>
      </c>
      <c r="Q5213" s="29">
        <v>3000</v>
      </c>
      <c r="R5213" s="31">
        <v>46069</v>
      </c>
      <c r="S5213" s="31"/>
      <c r="T5213" s="95" t="str">
        <f t="shared" si="390"/>
        <v>2026 02</v>
      </c>
      <c r="U5213" s="32">
        <f t="shared" si="387"/>
        <v>1304.1328962521463</v>
      </c>
      <c r="V5213" s="22">
        <f t="shared" si="388"/>
        <v>0.76900654147369352</v>
      </c>
      <c r="X5213" s="33"/>
      <c r="Y5213" s="33"/>
    </row>
    <row r="5214" spans="1:25" x14ac:dyDescent="0.2">
      <c r="A5214" s="93" t="s">
        <v>4884</v>
      </c>
      <c r="B5214" s="94">
        <f>IFERROR(VLOOKUP($A5214,HeadJournal!$A$1:$NTR$890,COLUMN(HeadJournal!B$1),0),"")</f>
        <v>0</v>
      </c>
      <c r="C5214" s="94" t="str">
        <f>IFERROR(VLOOKUP($A5214,HeadJournal!$A$1:$NTR$890,COLUMN(HeadJournal!C$1),0),"")</f>
        <v>iHerb_OA CZN6870</v>
      </c>
      <c r="D5214" s="125" t="str">
        <f>IFERROR(VLOOKUP($A5214,HeadJournal!$A$1:$NTR$890,COLUMN(HeadJournal!D$1),0),"")</f>
        <v>Доставлен</v>
      </c>
      <c r="E5214" s="95">
        <f>IFERROR(VLOOKUP($A5214,HeadJournal!$A$1:$NTR$890,COLUMN(HeadJournal!G$1),0),"")</f>
        <v>45951</v>
      </c>
      <c r="F5214" s="95" t="str">
        <f t="shared" si="389"/>
        <v>2025 10</v>
      </c>
      <c r="G5214" s="97" t="s">
        <v>5</v>
      </c>
      <c r="H5214" s="161" t="s">
        <v>4882</v>
      </c>
      <c r="I5214" s="97" t="s">
        <v>2166</v>
      </c>
      <c r="J5214" s="97" t="s">
        <v>4883</v>
      </c>
      <c r="K5214" s="29">
        <v>13.22</v>
      </c>
      <c r="L5214" s="29">
        <v>-2.64</v>
      </c>
      <c r="M5214" s="30">
        <f>IFERROR(VLOOKUP($A5214,HeadJournal!$A$1:$J$890,COLUMN(HeadJournal!I$1),0)*($K5214+$L5214)/(SUMIF($A:$A,$A5214,$K:$K)+SUMIF($A:$A,$A5214,$L:$L)),0)</f>
        <v>-0.52905343974138819</v>
      </c>
      <c r="N5214" s="30">
        <f>IFERROR((VLOOKUP($A5214,HeadJournal!$A$1:$K$890,COLUMN(HeadJournal!K$1),0)-VLOOKUP($A5214,HeadJournal!$A$1:$K$890,COLUMN(HeadJournal!J$1),0))*($K5214+$L5214)/(SUMIF($A:$A,$A5214,$K:$K)+SUMIF($A:$A,$A5214,$L:$L)),0)</f>
        <v>3.0376976035324222E-15</v>
      </c>
      <c r="O5214" s="30">
        <f>IFERROR((VLOOKUP($A5214,HeadJournal!$A$1:$L$890,COLUMN(HeadJournal!L$1),0)*($K5214+$L5214)/(SUMIF($A:$A,$A5214,$K:$K)+SUMIF($A:$A,$A5214,$L:$L)))/VLOOKUP($A5214,HeadJournal!$A$1:$L$890,COLUMN(HeadJournal!H$1),0),0)</f>
        <v>0.31347529518494949</v>
      </c>
      <c r="P5214" s="30">
        <f>IFERROR(SUM(K5214:O5214)*VLOOKUP($A5214,HeadJournal!$A$1:$L$890,COLUMN(HeadJournal!H$1),0),0)</f>
        <v>936.44436104657052</v>
      </c>
      <c r="Q5214" s="29">
        <v>1900</v>
      </c>
      <c r="R5214" s="31">
        <v>45980</v>
      </c>
      <c r="S5214" s="31" t="s">
        <v>3226</v>
      </c>
      <c r="T5214" s="95" t="str">
        <f t="shared" si="390"/>
        <v>2025 11</v>
      </c>
      <c r="U5214" s="32">
        <f t="shared" si="387"/>
        <v>963.55563895342948</v>
      </c>
      <c r="V5214" s="22">
        <f t="shared" si="388"/>
        <v>1.0289512960242073</v>
      </c>
      <c r="X5214" s="33"/>
      <c r="Y5214" s="33"/>
    </row>
    <row r="5215" spans="1:25" x14ac:dyDescent="0.2">
      <c r="A5215" s="93" t="s">
        <v>4884</v>
      </c>
      <c r="B5215" s="94">
        <f>IFERROR(VLOOKUP($A5215,HeadJournal!$A$1:$NTR$890,COLUMN(HeadJournal!B$1),0),"")</f>
        <v>0</v>
      </c>
      <c r="C5215" s="94" t="str">
        <f>IFERROR(VLOOKUP($A5215,HeadJournal!$A$1:$NTR$890,COLUMN(HeadJournal!C$1),0),"")</f>
        <v>iHerb_OA CZN6870</v>
      </c>
      <c r="D5215" s="125" t="str">
        <f>IFERROR(VLOOKUP($A5215,HeadJournal!$A$1:$NTR$890,COLUMN(HeadJournal!D$1),0),"")</f>
        <v>Доставлен</v>
      </c>
      <c r="E5215" s="95">
        <f>IFERROR(VLOOKUP($A5215,HeadJournal!$A$1:$NTR$890,COLUMN(HeadJournal!G$1),0),"")</f>
        <v>45951</v>
      </c>
      <c r="F5215" s="95" t="str">
        <f t="shared" si="389"/>
        <v>2025 10</v>
      </c>
      <c r="G5215" s="97" t="s">
        <v>5</v>
      </c>
      <c r="H5215" s="161" t="s">
        <v>3931</v>
      </c>
      <c r="I5215" s="97" t="s">
        <v>2036</v>
      </c>
      <c r="J5215" s="97" t="s">
        <v>3932</v>
      </c>
      <c r="K5215" s="29">
        <v>12.06</v>
      </c>
      <c r="L5215" s="29">
        <v>-2.41</v>
      </c>
      <c r="M5215" s="30">
        <f>IFERROR(VLOOKUP($A5215,HeadJournal!$A$1:$J$890,COLUMN(HeadJournal!I$1),0)*($K5215+$L5215)/(SUMIF($A:$A,$A5215,$K:$K)+SUMIF($A:$A,$A5215,$L:$L)),0)</f>
        <v>-0.4825487422972019</v>
      </c>
      <c r="N5215" s="30">
        <f>IFERROR((VLOOKUP($A5215,HeadJournal!$A$1:$K$890,COLUMN(HeadJournal!K$1),0)-VLOOKUP($A5215,HeadJournal!$A$1:$K$890,COLUMN(HeadJournal!J$1),0))*($K5215+$L5215)/(SUMIF($A:$A,$A5215,$K:$K)+SUMIF($A:$A,$A5215,$L:$L)),0)</f>
        <v>2.7706788160763586E-15</v>
      </c>
      <c r="O5215" s="30">
        <f>IFERROR((VLOOKUP($A5215,HeadJournal!$A$1:$L$890,COLUMN(HeadJournal!L$1),0)*($K5215+$L5215)/(SUMIF($A:$A,$A5215,$K:$K)+SUMIF($A:$A,$A5215,$L:$L)))/VLOOKUP($A5215,HeadJournal!$A$1:$L$890,COLUMN(HeadJournal!H$1),0),0)</f>
        <v>0.28592028341538406</v>
      </c>
      <c r="P5215" s="30">
        <f>IFERROR(SUM(K5215:O5215)*VLOOKUP($A5215,HeadJournal!$A$1:$L$890,COLUMN(HeadJournal!H$1),0),0)</f>
        <v>854.12930851601197</v>
      </c>
      <c r="Q5215" s="29">
        <v>1800</v>
      </c>
      <c r="R5215" s="31">
        <v>45980</v>
      </c>
      <c r="S5215" s="31" t="s">
        <v>3226</v>
      </c>
      <c r="T5215" s="95" t="str">
        <f t="shared" si="390"/>
        <v>2025 11</v>
      </c>
      <c r="U5215" s="32">
        <f t="shared" si="387"/>
        <v>945.87069148398803</v>
      </c>
      <c r="V5215" s="22">
        <f t="shared" si="388"/>
        <v>1.1074092436043086</v>
      </c>
      <c r="X5215" s="33"/>
      <c r="Y5215" s="33"/>
    </row>
    <row r="5216" spans="1:25" x14ac:dyDescent="0.2">
      <c r="A5216" s="93" t="s">
        <v>4884</v>
      </c>
      <c r="B5216" s="94">
        <f>IFERROR(VLOOKUP($A5216,HeadJournal!$A$1:$NTR$890,COLUMN(HeadJournal!B$1),0),"")</f>
        <v>0</v>
      </c>
      <c r="C5216" s="94" t="str">
        <f>IFERROR(VLOOKUP($A5216,HeadJournal!$A$1:$NTR$890,COLUMN(HeadJournal!C$1),0),"")</f>
        <v>iHerb_OA CZN6870</v>
      </c>
      <c r="D5216" s="125" t="str">
        <f>IFERROR(VLOOKUP($A5216,HeadJournal!$A$1:$NTR$890,COLUMN(HeadJournal!D$1),0),"")</f>
        <v>Доставлен</v>
      </c>
      <c r="E5216" s="95">
        <f>IFERROR(VLOOKUP($A5216,HeadJournal!$A$1:$NTR$890,COLUMN(HeadJournal!G$1),0),"")</f>
        <v>45951</v>
      </c>
      <c r="F5216" s="95" t="str">
        <f t="shared" si="389"/>
        <v>2025 10</v>
      </c>
      <c r="G5216" s="97" t="s">
        <v>5</v>
      </c>
      <c r="H5216" s="161" t="s">
        <v>4016</v>
      </c>
      <c r="I5216" s="97" t="s">
        <v>2207</v>
      </c>
      <c r="J5216" s="97" t="s">
        <v>4017</v>
      </c>
      <c r="K5216" s="29">
        <v>49.23</v>
      </c>
      <c r="L5216" s="29">
        <v>-9.8450000000000006</v>
      </c>
      <c r="M5216" s="30">
        <f>IFERROR(VLOOKUP($A5216,HeadJournal!$A$1:$J$890,COLUMN(HeadJournal!I$1),0)*($K5216+$L5216)/(SUMIF($A:$A,$A5216,$K:$K)+SUMIF($A:$A,$A5216,$L:$L)),0)</f>
        <v>-1.9694489342357817</v>
      </c>
      <c r="N5216" s="30">
        <f>IFERROR((VLOOKUP($A5216,HeadJournal!$A$1:$K$890,COLUMN(HeadJournal!K$1),0)-VLOOKUP($A5216,HeadJournal!$A$1:$K$890,COLUMN(HeadJournal!J$1),0))*($K5216+$L5216)/(SUMIF($A:$A,$A5216,$K:$K)+SUMIF($A:$A,$A5216,$L:$L)),0)</f>
        <v>1.1308102090276411E-14</v>
      </c>
      <c r="O5216" s="30">
        <f>IFERROR((VLOOKUP($A5216,HeadJournal!$A$1:$L$890,COLUMN(HeadJournal!L$1),0)*($K5216+$L5216)/(SUMIF($A:$A,$A5216,$K:$K)+SUMIF($A:$A,$A5216,$L:$L)))/VLOOKUP($A5216,HeadJournal!$A$1:$L$890,COLUMN(HeadJournal!H$1),0),0)</f>
        <v>1.1669399339186424</v>
      </c>
      <c r="P5216" s="30">
        <f>IFERROR(SUM(K5216:O5216)*VLOOKUP($A5216,HeadJournal!$A$1:$L$890,COLUMN(HeadJournal!H$1),0),0)</f>
        <v>3485.998219264573</v>
      </c>
      <c r="Q5216" s="29">
        <v>5300</v>
      </c>
      <c r="R5216" s="31">
        <v>45980</v>
      </c>
      <c r="S5216" s="31" t="s">
        <v>3226</v>
      </c>
      <c r="T5216" s="95" t="str">
        <f t="shared" si="390"/>
        <v>2025 11</v>
      </c>
      <c r="U5216" s="32">
        <f t="shared" si="387"/>
        <v>1814.001780735427</v>
      </c>
      <c r="V5216" s="22">
        <f t="shared" si="388"/>
        <v>0.52036795965952032</v>
      </c>
      <c r="X5216" s="33"/>
      <c r="Y5216" s="33"/>
    </row>
    <row r="5217" spans="1:25" x14ac:dyDescent="0.2">
      <c r="A5217" s="93" t="s">
        <v>4884</v>
      </c>
      <c r="B5217" s="94">
        <f>IFERROR(VLOOKUP($A5217,HeadJournal!$A$1:$NTR$890,COLUMN(HeadJournal!B$1),0),"")</f>
        <v>0</v>
      </c>
      <c r="C5217" s="94" t="str">
        <f>IFERROR(VLOOKUP($A5217,HeadJournal!$A$1:$NTR$890,COLUMN(HeadJournal!C$1),0),"")</f>
        <v>iHerb_OA CZN6870</v>
      </c>
      <c r="D5217" s="125" t="str">
        <f>IFERROR(VLOOKUP($A5217,HeadJournal!$A$1:$NTR$890,COLUMN(HeadJournal!D$1),0),"")</f>
        <v>Доставлен</v>
      </c>
      <c r="E5217" s="95">
        <f>IFERROR(VLOOKUP($A5217,HeadJournal!$A$1:$NTR$890,COLUMN(HeadJournal!G$1),0),"")</f>
        <v>45951</v>
      </c>
      <c r="F5217" s="95" t="str">
        <f t="shared" si="389"/>
        <v>2025 10</v>
      </c>
      <c r="G5217" s="97" t="s">
        <v>5</v>
      </c>
      <c r="H5217" s="161" t="s">
        <v>4016</v>
      </c>
      <c r="I5217" s="97" t="s">
        <v>2207</v>
      </c>
      <c r="J5217" s="97" t="s">
        <v>4017</v>
      </c>
      <c r="K5217" s="29">
        <v>49.23</v>
      </c>
      <c r="L5217" s="29">
        <v>-9.8450000000000006</v>
      </c>
      <c r="M5217" s="30">
        <f>IFERROR(VLOOKUP($A5217,HeadJournal!$A$1:$J$890,COLUMN(HeadJournal!I$1),0)*($K5217+$L5217)/(SUMIF($A:$A,$A5217,$K:$K)+SUMIF($A:$A,$A5217,$L:$L)),0)</f>
        <v>-1.9694489342357817</v>
      </c>
      <c r="N5217" s="30">
        <f>IFERROR((VLOOKUP($A5217,HeadJournal!$A$1:$K$890,COLUMN(HeadJournal!K$1),0)-VLOOKUP($A5217,HeadJournal!$A$1:$K$890,COLUMN(HeadJournal!J$1),0))*($K5217+$L5217)/(SUMIF($A:$A,$A5217,$K:$K)+SUMIF($A:$A,$A5217,$L:$L)),0)</f>
        <v>1.1308102090276411E-14</v>
      </c>
      <c r="O5217" s="30">
        <f>IFERROR((VLOOKUP($A5217,HeadJournal!$A$1:$L$890,COLUMN(HeadJournal!L$1),0)*($K5217+$L5217)/(SUMIF($A:$A,$A5217,$K:$K)+SUMIF($A:$A,$A5217,$L:$L)))/VLOOKUP($A5217,HeadJournal!$A$1:$L$890,COLUMN(HeadJournal!H$1),0),0)</f>
        <v>1.1669399339186424</v>
      </c>
      <c r="P5217" s="30">
        <f>IFERROR(SUM(K5217:O5217)*VLOOKUP($A5217,HeadJournal!$A$1:$L$890,COLUMN(HeadJournal!H$1),0),0)</f>
        <v>3485.998219264573</v>
      </c>
      <c r="Q5217" s="29">
        <v>5300</v>
      </c>
      <c r="R5217" s="31">
        <v>45980</v>
      </c>
      <c r="S5217" s="31" t="s">
        <v>3226</v>
      </c>
      <c r="T5217" s="95" t="str">
        <f t="shared" si="390"/>
        <v>2025 11</v>
      </c>
      <c r="U5217" s="32">
        <f t="shared" si="387"/>
        <v>1814.001780735427</v>
      </c>
      <c r="V5217" s="22">
        <f t="shared" si="388"/>
        <v>0.52036795965952032</v>
      </c>
      <c r="X5217" s="33"/>
      <c r="Y5217" s="33"/>
    </row>
    <row r="5218" spans="1:25" x14ac:dyDescent="0.2">
      <c r="A5218" s="93" t="s">
        <v>4884</v>
      </c>
      <c r="B5218" s="94">
        <f>IFERROR(VLOOKUP($A5218,HeadJournal!$A$1:$NTR$890,COLUMN(HeadJournal!B$1),0),"")</f>
        <v>0</v>
      </c>
      <c r="C5218" s="94" t="str">
        <f>IFERROR(VLOOKUP($A5218,HeadJournal!$A$1:$NTR$890,COLUMN(HeadJournal!C$1),0),"")</f>
        <v>iHerb_OA CZN6870</v>
      </c>
      <c r="D5218" s="125" t="str">
        <f>IFERROR(VLOOKUP($A5218,HeadJournal!$A$1:$NTR$890,COLUMN(HeadJournal!D$1),0),"")</f>
        <v>Доставлен</v>
      </c>
      <c r="E5218" s="95">
        <f>IFERROR(VLOOKUP($A5218,HeadJournal!$A$1:$NTR$890,COLUMN(HeadJournal!G$1),0),"")</f>
        <v>45951</v>
      </c>
      <c r="F5218" s="95" t="str">
        <f t="shared" si="389"/>
        <v>2025 10</v>
      </c>
      <c r="G5218" s="97" t="s">
        <v>5</v>
      </c>
      <c r="H5218" s="161" t="s">
        <v>4044</v>
      </c>
      <c r="I5218" s="97" t="s">
        <v>2163</v>
      </c>
      <c r="J5218" s="97" t="s">
        <v>4045</v>
      </c>
      <c r="K5218" s="29">
        <v>31.95</v>
      </c>
      <c r="L5218" s="29">
        <v>-6.39</v>
      </c>
      <c r="M5218" s="30">
        <f>IFERROR(VLOOKUP($A5218,HeadJournal!$A$1:$J$890,COLUMN(HeadJournal!I$1),0)*($K5218+$L5218)/(SUMIF($A:$A,$A5218,$K:$K)+SUMIF($A:$A,$A5218,$L:$L)),0)</f>
        <v>-1.2781291039498941</v>
      </c>
      <c r="N5218" s="30">
        <f>IFERROR((VLOOKUP($A5218,HeadJournal!$A$1:$K$890,COLUMN(HeadJournal!K$1),0)-VLOOKUP($A5218,HeadJournal!$A$1:$K$890,COLUMN(HeadJournal!J$1),0))*($K5218+$L5218)/(SUMIF($A:$A,$A5218,$K:$K)+SUMIF($A:$A,$A5218,$L:$L)),0)</f>
        <v>7.3387099004053598E-15</v>
      </c>
      <c r="O5218" s="30">
        <f>IFERROR((VLOOKUP($A5218,HeadJournal!$A$1:$L$890,COLUMN(HeadJournal!L$1),0)*($K5218+$L5218)/(SUMIF($A:$A,$A5218,$K:$K)+SUMIF($A:$A,$A5218,$L:$L)))/VLOOKUP($A5218,HeadJournal!$A$1:$L$890,COLUMN(HeadJournal!H$1),0),0)</f>
        <v>0.75731838798934881</v>
      </c>
      <c r="P5218" s="30">
        <f>IFERROR(SUM(K5218:O5218)*VLOOKUP($A5218,HeadJournal!$A$1:$L$890,COLUMN(HeadJournal!H$1),0),0)</f>
        <v>2262.336282452773</v>
      </c>
      <c r="Q5218" s="29">
        <v>3400</v>
      </c>
      <c r="R5218" s="31">
        <v>45980</v>
      </c>
      <c r="S5218" s="31" t="s">
        <v>3226</v>
      </c>
      <c r="T5218" s="95" t="str">
        <f t="shared" si="390"/>
        <v>2025 11</v>
      </c>
      <c r="U5218" s="32">
        <f t="shared" si="387"/>
        <v>1137.663717547227</v>
      </c>
      <c r="V5218" s="22">
        <f t="shared" si="388"/>
        <v>0.50287118072199155</v>
      </c>
      <c r="X5218" s="33"/>
      <c r="Y5218" s="33"/>
    </row>
    <row r="5219" spans="1:25" x14ac:dyDescent="0.2">
      <c r="A5219" s="93" t="s">
        <v>4884</v>
      </c>
      <c r="B5219" s="94">
        <f>IFERROR(VLOOKUP($A5219,HeadJournal!$A$1:$NTR$890,COLUMN(HeadJournal!B$1),0),"")</f>
        <v>0</v>
      </c>
      <c r="C5219" s="94" t="str">
        <f>IFERROR(VLOOKUP($A5219,HeadJournal!$A$1:$NTR$890,COLUMN(HeadJournal!C$1),0),"")</f>
        <v>iHerb_OA CZN6870</v>
      </c>
      <c r="D5219" s="125" t="str">
        <f>IFERROR(VLOOKUP($A5219,HeadJournal!$A$1:$NTR$890,COLUMN(HeadJournal!D$1),0),"")</f>
        <v>Доставлен</v>
      </c>
      <c r="E5219" s="95">
        <f>IFERROR(VLOOKUP($A5219,HeadJournal!$A$1:$NTR$890,COLUMN(HeadJournal!G$1),0),"")</f>
        <v>45951</v>
      </c>
      <c r="F5219" s="95" t="str">
        <f t="shared" si="389"/>
        <v>2025 10</v>
      </c>
      <c r="G5219" s="97" t="s">
        <v>5</v>
      </c>
      <c r="H5219" s="161" t="s">
        <v>2841</v>
      </c>
      <c r="I5219" s="97" t="s">
        <v>2839</v>
      </c>
      <c r="J5219" s="97" t="s">
        <v>2842</v>
      </c>
      <c r="K5219" s="29">
        <v>18.04</v>
      </c>
      <c r="L5219" s="29">
        <v>0</v>
      </c>
      <c r="M5219" s="30">
        <f>IFERROR(VLOOKUP($A5219,HeadJournal!$A$1:$J$890,COLUMN(HeadJournal!I$1),0)*($K5219+$L5219)/(SUMIF($A:$A,$A5219,$K:$K)+SUMIF($A:$A,$A5219,$L:$L)),0)</f>
        <v>-0.90209112031518357</v>
      </c>
      <c r="N5219" s="30">
        <f>IFERROR((VLOOKUP($A5219,HeadJournal!$A$1:$K$890,COLUMN(HeadJournal!K$1),0)-VLOOKUP($A5219,HeadJournal!$A$1:$K$890,COLUMN(HeadJournal!J$1),0))*($K5219+$L5219)/(SUMIF($A:$A,$A5219,$K:$K)+SUMIF($A:$A,$A5219,$L:$L)),0)</f>
        <v>5.1795902426961145E-15</v>
      </c>
      <c r="O5219" s="30">
        <f>IFERROR((VLOOKUP($A5219,HeadJournal!$A$1:$L$890,COLUMN(HeadJournal!L$1),0)*($K5219+$L5219)/(SUMIF($A:$A,$A5219,$K:$K)+SUMIF($A:$A,$A5219,$L:$L)))/VLOOKUP($A5219,HeadJournal!$A$1:$L$890,COLUMN(HeadJournal!H$1),0),0)</f>
        <v>0.53450797023974383</v>
      </c>
      <c r="P5219" s="30">
        <f>IFERROR(SUM(K5219:O5219)*VLOOKUP($A5219,HeadJournal!$A$1:$L$890,COLUMN(HeadJournal!H$1),0),0)</f>
        <v>1596.7349974744925</v>
      </c>
      <c r="Q5219" s="29">
        <v>2500</v>
      </c>
      <c r="R5219" s="31">
        <v>45985</v>
      </c>
      <c r="S5219" s="31" t="s">
        <v>4641</v>
      </c>
      <c r="T5219" s="95" t="str">
        <f t="shared" si="390"/>
        <v>2025 11</v>
      </c>
      <c r="U5219" s="32">
        <f t="shared" si="387"/>
        <v>903.2650025255075</v>
      </c>
      <c r="V5219" s="22">
        <f t="shared" si="388"/>
        <v>0.56569499882834318</v>
      </c>
      <c r="X5219" s="33"/>
      <c r="Y5219" s="33"/>
    </row>
    <row r="5220" spans="1:25" x14ac:dyDescent="0.2">
      <c r="A5220" s="93" t="s">
        <v>4884</v>
      </c>
      <c r="B5220" s="94">
        <f>IFERROR(VLOOKUP($A5220,HeadJournal!$A$1:$NTR$890,COLUMN(HeadJournal!B$1),0),"")</f>
        <v>0</v>
      </c>
      <c r="C5220" s="94" t="str">
        <f>IFERROR(VLOOKUP($A5220,HeadJournal!$A$1:$NTR$890,COLUMN(HeadJournal!C$1),0),"")</f>
        <v>iHerb_OA CZN6870</v>
      </c>
      <c r="D5220" s="125" t="str">
        <f>IFERROR(VLOOKUP($A5220,HeadJournal!$A$1:$NTR$890,COLUMN(HeadJournal!D$1),0),"")</f>
        <v>Доставлен</v>
      </c>
      <c r="E5220" s="95">
        <f>IFERROR(VLOOKUP($A5220,HeadJournal!$A$1:$NTR$890,COLUMN(HeadJournal!G$1),0),"")</f>
        <v>45951</v>
      </c>
      <c r="F5220" s="95" t="str">
        <f t="shared" si="389"/>
        <v>2025 10</v>
      </c>
      <c r="G5220" s="97" t="s">
        <v>7</v>
      </c>
      <c r="H5220" s="161" t="s">
        <v>4354</v>
      </c>
      <c r="I5220" s="97" t="s">
        <v>4355</v>
      </c>
      <c r="J5220" s="97" t="s">
        <v>4356</v>
      </c>
      <c r="K5220" s="29">
        <v>4.8899999999999997</v>
      </c>
      <c r="L5220" s="29">
        <v>-2.89</v>
      </c>
      <c r="M5220" s="30">
        <f>IFERROR(VLOOKUP($A5220,HeadJournal!$A$1:$J$890,COLUMN(HeadJournal!I$1),0)*($K5220+$L5220)/(SUMIF($A:$A,$A5220,$K:$K)+SUMIF($A:$A,$A5220,$L:$L)),0)</f>
        <v>-0.10001010203050814</v>
      </c>
      <c r="N5220" s="30">
        <f>IFERROR((VLOOKUP($A5220,HeadJournal!$A$1:$K$890,COLUMN(HeadJournal!K$1),0)-VLOOKUP($A5220,HeadJournal!$A$1:$K$890,COLUMN(HeadJournal!J$1),0))*($K5220+$L5220)/(SUMIF($A:$A,$A5220,$K:$K)+SUMIF($A:$A,$A5220,$L:$L)),0)</f>
        <v>5.7423395151841618E-16</v>
      </c>
      <c r="O5220" s="30">
        <f>IFERROR((VLOOKUP($A5220,HeadJournal!$A$1:$L$890,COLUMN(HeadJournal!L$1),0)*($K5220+$L5220)/(SUMIF($A:$A,$A5220,$K:$K)+SUMIF($A:$A,$A5220,$L:$L)))/VLOOKUP($A5220,HeadJournal!$A$1:$L$890,COLUMN(HeadJournal!H$1),0),0)</f>
        <v>5.9258089827022582E-2</v>
      </c>
      <c r="P5220" s="30">
        <f>IFERROR(SUM(K5220:O5220)*VLOOKUP($A5220,HeadJournal!$A$1:$L$890,COLUMN(HeadJournal!H$1),0),0)</f>
        <v>177.02161834528738</v>
      </c>
      <c r="Q5220" s="29"/>
      <c r="R5220" s="31"/>
      <c r="S5220" s="31"/>
      <c r="T5220" s="95" t="str">
        <f t="shared" si="390"/>
        <v/>
      </c>
      <c r="U5220" s="32">
        <f t="shared" si="387"/>
        <v>-177.02161834528738</v>
      </c>
      <c r="V5220" s="22" t="str">
        <f t="shared" si="388"/>
        <v/>
      </c>
      <c r="X5220" s="33"/>
      <c r="Y5220" s="33"/>
    </row>
    <row r="5221" spans="1:25" x14ac:dyDescent="0.2">
      <c r="A5221" s="93" t="s">
        <v>4885</v>
      </c>
      <c r="B5221" s="94">
        <f>IFERROR(VLOOKUP($A5221,HeadJournal!$A$1:$NTR$890,COLUMN(HeadJournal!B$1),0),"")</f>
        <v>0</v>
      </c>
      <c r="C5221" s="94" t="str">
        <f>IFERROR(VLOOKUP($A5221,HeadJournal!$A$1:$NTR$890,COLUMN(HeadJournal!C$1),0),"")</f>
        <v>OZON_AV</v>
      </c>
      <c r="D5221" s="125" t="str">
        <f>IFERROR(VLOOKUP($A5221,HeadJournal!$A$1:$NTR$890,COLUMN(HeadJournal!D$1),0),"")</f>
        <v>Доставлен</v>
      </c>
      <c r="E5221" s="95">
        <f>IFERROR(VLOOKUP($A5221,HeadJournal!$A$1:$NTR$890,COLUMN(HeadJournal!G$1),0),"")</f>
        <v>45947</v>
      </c>
      <c r="F5221" s="95" t="str">
        <f t="shared" si="389"/>
        <v>2025 10</v>
      </c>
      <c r="G5221" s="96" t="s">
        <v>6</v>
      </c>
      <c r="H5221" s="161" t="s">
        <v>4887</v>
      </c>
      <c r="I5221" s="97" t="s">
        <v>4084</v>
      </c>
      <c r="J5221" s="97" t="s">
        <v>4886</v>
      </c>
      <c r="K5221" s="29">
        <v>7999</v>
      </c>
      <c r="L5221" s="29"/>
      <c r="M5221" s="30">
        <f>IFERROR(VLOOKUP($A5221,HeadJournal!$A$1:$J$890,COLUMN(HeadJournal!I$1),0)*($K5221+$L5221)/(SUMIF($A:$A,$A5221,$K:$K)+SUMIF($A:$A,$A5221,$L:$L)),0)</f>
        <v>0</v>
      </c>
      <c r="N5221" s="30">
        <f>IFERROR((VLOOKUP($A5221,HeadJournal!$A$1:$K$890,COLUMN(HeadJournal!K$1),0)-VLOOKUP($A5221,HeadJournal!$A$1:$K$890,COLUMN(HeadJournal!J$1),0))*($K5221+$L5221)/(SUMIF($A:$A,$A5221,$K:$K)+SUMIF($A:$A,$A5221,$L:$L)),0)</f>
        <v>0</v>
      </c>
      <c r="O5221" s="30">
        <f>IFERROR((VLOOKUP($A5221,HeadJournal!$A$1:$L$890,COLUMN(HeadJournal!L$1),0)*($K5221+$L5221)/(SUMIF($A:$A,$A5221,$K:$K)+SUMIF($A:$A,$A5221,$L:$L)))/VLOOKUP($A5221,HeadJournal!$A$1:$L$890,COLUMN(HeadJournal!H$1),0),0)</f>
        <v>0</v>
      </c>
      <c r="P5221" s="30">
        <f>IFERROR(SUM(K5221:O5221)*VLOOKUP($A5221,HeadJournal!$A$1:$L$890,COLUMN(HeadJournal!H$1),0),0)</f>
        <v>7999</v>
      </c>
      <c r="Q5221" s="29">
        <v>9500</v>
      </c>
      <c r="R5221" s="31">
        <v>45967</v>
      </c>
      <c r="S5221" s="31" t="s">
        <v>4457</v>
      </c>
      <c r="T5221" s="95" t="str">
        <f t="shared" si="390"/>
        <v>2025 11</v>
      </c>
      <c r="U5221" s="32">
        <f t="shared" si="387"/>
        <v>1501</v>
      </c>
      <c r="V5221" s="22">
        <f t="shared" si="388"/>
        <v>0.18764845605700711</v>
      </c>
      <c r="X5221" s="33"/>
      <c r="Y5221" s="33"/>
    </row>
    <row r="5222" spans="1:25" x14ac:dyDescent="0.2">
      <c r="A5222" s="93" t="s">
        <v>4888</v>
      </c>
      <c r="B5222" s="94">
        <f>IFERROR(VLOOKUP($A5222,HeadJournal!$A$1:$NTR$890,COLUMN(HeadJournal!B$1),0),"")</f>
        <v>0</v>
      </c>
      <c r="C5222" s="94" t="str">
        <f>IFERROR(VLOOKUP($A5222,HeadJournal!$A$1:$NTR$890,COLUMN(HeadJournal!C$1),0),"")</f>
        <v>WBRS</v>
      </c>
      <c r="D5222" s="125" t="str">
        <f>IFERROR(VLOOKUP($A5222,HeadJournal!$A$1:$NTR$890,COLUMN(HeadJournal!D$1),0),"")</f>
        <v>Доставлен</v>
      </c>
      <c r="E5222" s="95">
        <f>IFERROR(VLOOKUP($A5222,HeadJournal!$A$1:$NTR$890,COLUMN(HeadJournal!G$1),0),"")</f>
        <v>45952</v>
      </c>
      <c r="F5222" s="95" t="str">
        <f t="shared" si="389"/>
        <v>2025 10</v>
      </c>
      <c r="G5222" s="97" t="s">
        <v>6</v>
      </c>
      <c r="H5222" s="161" t="s">
        <v>2596</v>
      </c>
      <c r="I5222" s="97" t="s">
        <v>2594</v>
      </c>
      <c r="J5222" s="97" t="s">
        <v>2595</v>
      </c>
      <c r="K5222" s="29">
        <v>2304</v>
      </c>
      <c r="L5222" s="29">
        <v>0</v>
      </c>
      <c r="M5222" s="30">
        <f>IFERROR(VLOOKUP($A5222,HeadJournal!$A$1:$J$890,COLUMN(HeadJournal!I$1),0)*($K5222+$L5222)/(SUMIF($A:$A,$A5222,$K:$K)+SUMIF($A:$A,$A5222,$L:$L)),0)</f>
        <v>0</v>
      </c>
      <c r="N5222" s="30">
        <f>IFERROR((VLOOKUP($A5222,HeadJournal!$A$1:$K$890,COLUMN(HeadJournal!K$1),0)-VLOOKUP($A5222,HeadJournal!$A$1:$K$890,COLUMN(HeadJournal!J$1),0))*($K5222+$L5222)/(SUMIF($A:$A,$A5222,$K:$K)+SUMIF($A:$A,$A5222,$L:$L)),0)</f>
        <v>0</v>
      </c>
      <c r="O5222" s="30">
        <f>IFERROR((VLOOKUP($A5222,HeadJournal!$A$1:$L$890,COLUMN(HeadJournal!L$1),0)*($K5222+$L5222)/(SUMIF($A:$A,$A5222,$K:$K)+SUMIF($A:$A,$A5222,$L:$L)))/VLOOKUP($A5222,HeadJournal!$A$1:$L$890,COLUMN(HeadJournal!H$1),0),0)</f>
        <v>0</v>
      </c>
      <c r="P5222" s="30">
        <f>IFERROR(SUM(K5222:O5222)*VLOOKUP($A5222,HeadJournal!$A$1:$L$890,COLUMN(HeadJournal!H$1),0),0)</f>
        <v>2304</v>
      </c>
      <c r="Q5222" s="29">
        <v>3000</v>
      </c>
      <c r="R5222" s="31">
        <v>45957</v>
      </c>
      <c r="S5222" s="31" t="s">
        <v>4457</v>
      </c>
      <c r="T5222" s="95" t="str">
        <f t="shared" si="390"/>
        <v>2025 10</v>
      </c>
      <c r="U5222" s="32">
        <f t="shared" si="387"/>
        <v>696</v>
      </c>
      <c r="V5222" s="22">
        <f t="shared" si="388"/>
        <v>0.30208333333333331</v>
      </c>
      <c r="X5222" s="33"/>
      <c r="Y5222" s="33"/>
    </row>
    <row r="5223" spans="1:25" x14ac:dyDescent="0.2">
      <c r="A5223" s="93" t="s">
        <v>4890</v>
      </c>
      <c r="B5223" s="94">
        <f>IFERROR(VLOOKUP($A5223,HeadJournal!$A$1:$NTR$890,COLUMN(HeadJournal!B$1),0),"")</f>
        <v>0</v>
      </c>
      <c r="C5223" s="94" t="str">
        <f>IFERROR(VLOOKUP($A5223,HeadJournal!$A$1:$NTR$890,COLUMN(HeadJournal!C$1),0),"")</f>
        <v>iHerb_MH DLE7202</v>
      </c>
      <c r="D5223" s="125" t="str">
        <f>IFERROR(VLOOKUP($A5223,HeadJournal!$A$1:$NTR$890,COLUMN(HeadJournal!D$1),0),"")</f>
        <v>Доставлен</v>
      </c>
      <c r="E5223" s="95">
        <f>IFERROR(VLOOKUP($A5223,HeadJournal!$A$1:$NTR$890,COLUMN(HeadJournal!G$1),0),"")</f>
        <v>45954</v>
      </c>
      <c r="F5223" s="95" t="str">
        <f t="shared" si="389"/>
        <v>2025 10</v>
      </c>
      <c r="G5223" s="97" t="s">
        <v>5</v>
      </c>
      <c r="H5223" s="161" t="s">
        <v>2615</v>
      </c>
      <c r="I5223" s="97" t="s">
        <v>2052</v>
      </c>
      <c r="J5223" s="198" t="s">
        <v>4889</v>
      </c>
      <c r="K5223" s="29">
        <v>49.92</v>
      </c>
      <c r="L5223" s="29">
        <v>-18.835000000000001</v>
      </c>
      <c r="M5223" s="30">
        <f>IFERROR(VLOOKUP($A5223,HeadJournal!$A$1:$J$890,COLUMN(HeadJournal!I$1),0)*($K5223+$L5223)/(SUMIF($A:$A,$A5223,$K:$K)+SUMIF($A:$A,$A5223,$L:$L)),0)</f>
        <v>-5.0507198779867828</v>
      </c>
      <c r="N5223" s="30">
        <f>IFERROR((VLOOKUP($A5223,HeadJournal!$A$1:$K$890,COLUMN(HeadJournal!K$1),0)-VLOOKUP($A5223,HeadJournal!$A$1:$K$890,COLUMN(HeadJournal!J$1),0))*($K5223+$L5223)/(SUMIF($A:$A,$A5223,$K:$K)+SUMIF($A:$A,$A5223,$L:$L)),0)</f>
        <v>4.4915548431322252E-15</v>
      </c>
      <c r="O5223" s="30">
        <f>IFERROR((VLOOKUP($A5223,HeadJournal!$A$1:$L$890,COLUMN(HeadJournal!L$1),0)*($K5223+$L5223)/(SUMIF($A:$A,$A5223,$K:$K)+SUMIF($A:$A,$A5223,$L:$L)))/VLOOKUP($A5223,HeadJournal!$A$1:$L$890,COLUMN(HeadJournal!H$1),0),0)</f>
        <v>1.2376340211942713</v>
      </c>
      <c r="P5223" s="30">
        <f>IFERROR(SUM(K5223:O5223)*VLOOKUP($A5223,HeadJournal!$A$1:$L$890,COLUMN(HeadJournal!H$1),0),0)</f>
        <v>2472.454125604766</v>
      </c>
      <c r="Q5223" s="29">
        <v>4900</v>
      </c>
      <c r="R5223" s="31">
        <v>45989</v>
      </c>
      <c r="S5223" s="31" t="s">
        <v>3252</v>
      </c>
      <c r="T5223" s="95" t="str">
        <f t="shared" si="390"/>
        <v>2025 11</v>
      </c>
      <c r="U5223" s="32">
        <f t="shared" si="387"/>
        <v>2427.545874395234</v>
      </c>
      <c r="V5223" s="22">
        <f t="shared" si="388"/>
        <v>0.9818365684748358</v>
      </c>
      <c r="X5223" s="33"/>
      <c r="Y5223" s="33"/>
    </row>
    <row r="5224" spans="1:25" x14ac:dyDescent="0.2">
      <c r="A5224" s="93" t="s">
        <v>4890</v>
      </c>
      <c r="B5224" s="94">
        <f>IFERROR(VLOOKUP($A5224,HeadJournal!$A$1:$NTR$890,COLUMN(HeadJournal!B$1),0),"")</f>
        <v>0</v>
      </c>
      <c r="C5224" s="94" t="str">
        <f>IFERROR(VLOOKUP($A5224,HeadJournal!$A$1:$NTR$890,COLUMN(HeadJournal!C$1),0),"")</f>
        <v>iHerb_MH DLE7202</v>
      </c>
      <c r="D5224" s="125" t="str">
        <f>IFERROR(VLOOKUP($A5224,HeadJournal!$A$1:$NTR$890,COLUMN(HeadJournal!D$1),0),"")</f>
        <v>Доставлен</v>
      </c>
      <c r="E5224" s="95">
        <f>IFERROR(VLOOKUP($A5224,HeadJournal!$A$1:$NTR$890,COLUMN(HeadJournal!G$1),0),"")</f>
        <v>45954</v>
      </c>
      <c r="F5224" s="95" t="str">
        <f t="shared" si="389"/>
        <v>2025 10</v>
      </c>
      <c r="G5224" s="97" t="s">
        <v>5</v>
      </c>
      <c r="H5224" s="161" t="s">
        <v>2615</v>
      </c>
      <c r="I5224" s="97" t="s">
        <v>2052</v>
      </c>
      <c r="J5224" s="198" t="s">
        <v>4889</v>
      </c>
      <c r="K5224" s="29">
        <v>49.92</v>
      </c>
      <c r="L5224" s="29">
        <v>-18.835000000000001</v>
      </c>
      <c r="M5224" s="30">
        <f>IFERROR(VLOOKUP($A5224,HeadJournal!$A$1:$J$890,COLUMN(HeadJournal!I$1),0)*($K5224+$L5224)/(SUMIF($A:$A,$A5224,$K:$K)+SUMIF($A:$A,$A5224,$L:$L)),0)</f>
        <v>-5.0507198779867828</v>
      </c>
      <c r="N5224" s="30">
        <f>IFERROR((VLOOKUP($A5224,HeadJournal!$A$1:$K$890,COLUMN(HeadJournal!K$1),0)-VLOOKUP($A5224,HeadJournal!$A$1:$K$890,COLUMN(HeadJournal!J$1),0))*($K5224+$L5224)/(SUMIF($A:$A,$A5224,$K:$K)+SUMIF($A:$A,$A5224,$L:$L)),0)</f>
        <v>4.4915548431322252E-15</v>
      </c>
      <c r="O5224" s="30">
        <f>IFERROR((VLOOKUP($A5224,HeadJournal!$A$1:$L$890,COLUMN(HeadJournal!L$1),0)*($K5224+$L5224)/(SUMIF($A:$A,$A5224,$K:$K)+SUMIF($A:$A,$A5224,$L:$L)))/VLOOKUP($A5224,HeadJournal!$A$1:$L$890,COLUMN(HeadJournal!H$1),0),0)</f>
        <v>1.2376340211942713</v>
      </c>
      <c r="P5224" s="30">
        <f>IFERROR(SUM(K5224:O5224)*VLOOKUP($A5224,HeadJournal!$A$1:$L$890,COLUMN(HeadJournal!H$1),0),0)</f>
        <v>2472.454125604766</v>
      </c>
      <c r="Q5224" s="29">
        <v>5100</v>
      </c>
      <c r="R5224" s="31">
        <v>46034</v>
      </c>
      <c r="S5224" s="31" t="s">
        <v>3235</v>
      </c>
      <c r="T5224" s="95" t="str">
        <f t="shared" si="390"/>
        <v>2026 01</v>
      </c>
      <c r="U5224" s="32">
        <f t="shared" si="387"/>
        <v>2627.545874395234</v>
      </c>
      <c r="V5224" s="22">
        <f t="shared" si="388"/>
        <v>1.0627278569840128</v>
      </c>
      <c r="X5224" s="33"/>
      <c r="Y5224" s="33"/>
    </row>
    <row r="5225" spans="1:25" x14ac:dyDescent="0.2">
      <c r="A5225" s="93" t="s">
        <v>4890</v>
      </c>
      <c r="B5225" s="94">
        <f>IFERROR(VLOOKUP($A5225,HeadJournal!$A$1:$NTR$890,COLUMN(HeadJournal!B$1),0),"")</f>
        <v>0</v>
      </c>
      <c r="C5225" s="94" t="str">
        <f>IFERROR(VLOOKUP($A5225,HeadJournal!$A$1:$NTR$890,COLUMN(HeadJournal!C$1),0),"")</f>
        <v>iHerb_MH DLE7202</v>
      </c>
      <c r="D5225" s="125" t="str">
        <f>IFERROR(VLOOKUP($A5225,HeadJournal!$A$1:$NTR$890,COLUMN(HeadJournal!D$1),0),"")</f>
        <v>Доставлен</v>
      </c>
      <c r="E5225" s="95">
        <f>IFERROR(VLOOKUP($A5225,HeadJournal!$A$1:$NTR$890,COLUMN(HeadJournal!G$1),0),"")</f>
        <v>45954</v>
      </c>
      <c r="F5225" s="95" t="str">
        <f t="shared" si="389"/>
        <v>2025 10</v>
      </c>
      <c r="G5225" s="97" t="s">
        <v>5</v>
      </c>
      <c r="H5225" s="161" t="s">
        <v>3656</v>
      </c>
      <c r="I5225" s="97" t="s">
        <v>2005</v>
      </c>
      <c r="J5225" s="198" t="s">
        <v>4428</v>
      </c>
      <c r="K5225" s="29">
        <v>21.74</v>
      </c>
      <c r="L5225" s="29">
        <v>-4.82</v>
      </c>
      <c r="M5225" s="30">
        <f>IFERROR(VLOOKUP($A5225,HeadJournal!$A$1:$J$890,COLUMN(HeadJournal!I$1),0)*($K5225+$L5225)/(SUMIF($A:$A,$A5225,$K:$K)+SUMIF($A:$A,$A5225,$L:$L)),0)</f>
        <v>-2.7491774275546517</v>
      </c>
      <c r="N5225" s="30">
        <f>IFERROR((VLOOKUP($A5225,HeadJournal!$A$1:$K$890,COLUMN(HeadJournal!K$1),0)-VLOOKUP($A5225,HeadJournal!$A$1:$K$890,COLUMN(HeadJournal!J$1),0))*($K5225+$L5225)/(SUMIF($A:$A,$A5225,$K:$K)+SUMIF($A:$A,$A5225,$L:$L)),0)</f>
        <v>2.444816083184727E-15</v>
      </c>
      <c r="O5225" s="30">
        <f>IFERROR((VLOOKUP($A5225,HeadJournal!$A$1:$L$890,COLUMN(HeadJournal!L$1),0)*($K5225+$L5225)/(SUMIF($A:$A,$A5225,$K:$K)+SUMIF($A:$A,$A5225,$L:$L)))/VLOOKUP($A5225,HeadJournal!$A$1:$L$890,COLUMN(HeadJournal!H$1),0),0)</f>
        <v>0.67366149714032708</v>
      </c>
      <c r="P5225" s="30">
        <f>IFERROR(SUM(K5225:O5225)*VLOOKUP($A5225,HeadJournal!$A$1:$L$890,COLUMN(HeadJournal!H$1),0),0)</f>
        <v>1345.7913400428706</v>
      </c>
      <c r="Q5225" s="29">
        <v>2400</v>
      </c>
      <c r="R5225" s="31">
        <v>46000</v>
      </c>
      <c r="S5225" s="31" t="s">
        <v>3497</v>
      </c>
      <c r="T5225" s="95" t="str">
        <f t="shared" si="390"/>
        <v>2025 12</v>
      </c>
      <c r="U5225" s="32">
        <f t="shared" si="387"/>
        <v>1054.2086599571294</v>
      </c>
      <c r="V5225" s="22">
        <f t="shared" si="388"/>
        <v>0.78333737823245853</v>
      </c>
      <c r="X5225" s="33"/>
      <c r="Y5225" s="33"/>
    </row>
    <row r="5226" spans="1:25" x14ac:dyDescent="0.2">
      <c r="A5226" s="93" t="s">
        <v>4890</v>
      </c>
      <c r="B5226" s="94">
        <f>IFERROR(VLOOKUP($A5226,HeadJournal!$A$1:$NTR$890,COLUMN(HeadJournal!B$1),0),"")</f>
        <v>0</v>
      </c>
      <c r="C5226" s="94" t="str">
        <f>IFERROR(VLOOKUP($A5226,HeadJournal!$A$1:$NTR$890,COLUMN(HeadJournal!C$1),0),"")</f>
        <v>iHerb_MH DLE7202</v>
      </c>
      <c r="D5226" s="125" t="str">
        <f>IFERROR(VLOOKUP($A5226,HeadJournal!$A$1:$NTR$890,COLUMN(HeadJournal!D$1),0),"")</f>
        <v>Доставлен</v>
      </c>
      <c r="E5226" s="95">
        <f>IFERROR(VLOOKUP($A5226,HeadJournal!$A$1:$NTR$890,COLUMN(HeadJournal!G$1),0),"")</f>
        <v>45954</v>
      </c>
      <c r="F5226" s="95" t="str">
        <f t="shared" si="389"/>
        <v>2025 10</v>
      </c>
      <c r="G5226" s="97" t="s">
        <v>5</v>
      </c>
      <c r="H5226" s="161" t="s">
        <v>2800</v>
      </c>
      <c r="I5226" s="97" t="s">
        <v>2207</v>
      </c>
      <c r="J5226" s="198" t="s">
        <v>2801</v>
      </c>
      <c r="K5226" s="29">
        <v>24.74</v>
      </c>
      <c r="L5226" s="29">
        <v>-5.48</v>
      </c>
      <c r="M5226" s="30">
        <f>IFERROR(VLOOKUP($A5226,HeadJournal!$A$1:$J$890,COLUMN(HeadJournal!I$1),0)*($K5226+$L5226)/(SUMIF($A:$A,$A5226,$K:$K)+SUMIF($A:$A,$A5226,$L:$L)),0)</f>
        <v>-3.1293828164717845</v>
      </c>
      <c r="N5226" s="30">
        <f>IFERROR((VLOOKUP($A5226,HeadJournal!$A$1:$K$890,COLUMN(HeadJournal!K$1),0)-VLOOKUP($A5226,HeadJournal!$A$1:$K$890,COLUMN(HeadJournal!J$1),0))*($K5226+$L5226)/(SUMIF($A:$A,$A5226,$K:$K)+SUMIF($A:$A,$A5226,$L:$L)),0)</f>
        <v>2.7829289457528275E-15</v>
      </c>
      <c r="O5226" s="30">
        <f>IFERROR((VLOOKUP($A5226,HeadJournal!$A$1:$L$890,COLUMN(HeadJournal!L$1),0)*($K5226+$L5226)/(SUMIF($A:$A,$A5226,$K:$K)+SUMIF($A:$A,$A5226,$L:$L)))/VLOOKUP($A5226,HeadJournal!$A$1:$L$890,COLUMN(HeadJournal!H$1),0),0)</f>
        <v>0.76682744887249987</v>
      </c>
      <c r="P5226" s="30">
        <f>IFERROR(SUM(K5226:O5226)*VLOOKUP($A5226,HeadJournal!$A$1:$L$890,COLUMN(HeadJournal!H$1),0),0)</f>
        <v>1531.9114189849699</v>
      </c>
      <c r="Q5226" s="29">
        <v>3200</v>
      </c>
      <c r="R5226" s="31">
        <v>46154</v>
      </c>
      <c r="S5226" s="31"/>
      <c r="T5226" s="95" t="str">
        <f t="shared" si="390"/>
        <v>2026 05</v>
      </c>
      <c r="U5226" s="32">
        <f t="shared" si="387"/>
        <v>1668.0885810150301</v>
      </c>
      <c r="V5226" s="22">
        <f t="shared" si="388"/>
        <v>1.0888936268392657</v>
      </c>
      <c r="X5226" s="33"/>
      <c r="Y5226" s="33"/>
    </row>
    <row r="5227" spans="1:25" x14ac:dyDescent="0.2">
      <c r="A5227" s="93" t="s">
        <v>4891</v>
      </c>
      <c r="B5227" s="94">
        <f>IFERROR(VLOOKUP($A5227,HeadJournal!$A$1:$NTR$890,COLUMN(HeadJournal!B$1),0),"")</f>
        <v>0</v>
      </c>
      <c r="C5227" s="94" t="str">
        <f>IFERROR(VLOOKUP($A5227,HeadJournal!$A$1:$NTR$890,COLUMN(HeadJournal!C$1),0),"")</f>
        <v>iHerb_MH DLE7202</v>
      </c>
      <c r="D5227" s="125" t="str">
        <f>IFERROR(VLOOKUP($A5227,HeadJournal!$A$1:$NTR$890,COLUMN(HeadJournal!D$1),0),"")</f>
        <v>Доставлен</v>
      </c>
      <c r="E5227" s="95">
        <f>IFERROR(VLOOKUP($A5227,HeadJournal!$A$1:$NTR$890,COLUMN(HeadJournal!G$1),0),"")</f>
        <v>45954</v>
      </c>
      <c r="F5227" s="95" t="str">
        <f t="shared" si="389"/>
        <v>2025 10</v>
      </c>
      <c r="G5227" s="97" t="s">
        <v>5</v>
      </c>
      <c r="H5227" s="161" t="s">
        <v>2089</v>
      </c>
      <c r="I5227" s="97" t="s">
        <v>2005</v>
      </c>
      <c r="J5227" s="97" t="s">
        <v>3781</v>
      </c>
      <c r="K5227" s="29">
        <v>22.47</v>
      </c>
      <c r="L5227" s="29">
        <v>-4.4933333333333332</v>
      </c>
      <c r="M5227" s="30">
        <f>IFERROR(VLOOKUP($A5227,HeadJournal!$A$1:$J$890,COLUMN(HeadJournal!I$1),0)*($K5227+$L5227)/(SUMIF($A:$A,$A5227,$K:$K)+SUMIF($A:$A,$A5227,$L:$L)),0)</f>
        <v>0</v>
      </c>
      <c r="N5227" s="30">
        <f>IFERROR((VLOOKUP($A5227,HeadJournal!$A$1:$K$890,COLUMN(HeadJournal!K$1),0)-VLOOKUP($A5227,HeadJournal!$A$1:$K$890,COLUMN(HeadJournal!J$1),0))*($K5227+$L5227)/(SUMIF($A:$A,$A5227,$K:$K)+SUMIF($A:$A,$A5227,$L:$L)),0)</f>
        <v>2.3684757858670009E-15</v>
      </c>
      <c r="O5227" s="30">
        <f>IFERROR((VLOOKUP($A5227,HeadJournal!$A$1:$L$890,COLUMN(HeadJournal!L$1),0)*($K5227+$L5227)/(SUMIF($A:$A,$A5227,$K:$K)+SUMIF($A:$A,$A5227,$L:$L)))/VLOOKUP($A5227,HeadJournal!$A$1:$L$890,COLUMN(HeadJournal!H$1),0),0)</f>
        <v>1.9486865763875363</v>
      </c>
      <c r="P5227" s="30">
        <f>IFERROR(SUM(K5227:O5227)*VLOOKUP($A5227,HeadJournal!$A$1:$L$890,COLUMN(HeadJournal!H$1),0),0)</f>
        <v>1806.4196583792707</v>
      </c>
      <c r="Q5227" s="29">
        <v>3000</v>
      </c>
      <c r="R5227" s="31">
        <v>45999</v>
      </c>
      <c r="S5227" s="31" t="s">
        <v>4483</v>
      </c>
      <c r="T5227" s="95" t="str">
        <f t="shared" si="390"/>
        <v>2025 12</v>
      </c>
      <c r="U5227" s="32">
        <f t="shared" si="387"/>
        <v>1193.5803416207293</v>
      </c>
      <c r="V5227" s="22">
        <f t="shared" si="388"/>
        <v>0.66074366279406849</v>
      </c>
      <c r="X5227" s="33"/>
      <c r="Y5227" s="33"/>
    </row>
    <row r="5228" spans="1:25" x14ac:dyDescent="0.2">
      <c r="A5228" s="93" t="s">
        <v>4891</v>
      </c>
      <c r="B5228" s="94">
        <f>IFERROR(VLOOKUP($A5228,HeadJournal!$A$1:$NTR$890,COLUMN(HeadJournal!B$1),0),"")</f>
        <v>0</v>
      </c>
      <c r="C5228" s="94" t="str">
        <f>IFERROR(VLOOKUP($A5228,HeadJournal!$A$1:$NTR$890,COLUMN(HeadJournal!C$1),0),"")</f>
        <v>iHerb_MH DLE7202</v>
      </c>
      <c r="D5228" s="125" t="str">
        <f>IFERROR(VLOOKUP($A5228,HeadJournal!$A$1:$NTR$890,COLUMN(HeadJournal!D$1),0),"")</f>
        <v>Доставлен</v>
      </c>
      <c r="E5228" s="95">
        <f>IFERROR(VLOOKUP($A5228,HeadJournal!$A$1:$NTR$890,COLUMN(HeadJournal!G$1),0),"")</f>
        <v>45954</v>
      </c>
      <c r="F5228" s="95" t="str">
        <f t="shared" si="389"/>
        <v>2025 10</v>
      </c>
      <c r="G5228" s="97" t="s">
        <v>5</v>
      </c>
      <c r="H5228" s="161" t="s">
        <v>2089</v>
      </c>
      <c r="I5228" s="97" t="s">
        <v>2005</v>
      </c>
      <c r="J5228" s="97" t="s">
        <v>3781</v>
      </c>
      <c r="K5228" s="29">
        <v>22.47</v>
      </c>
      <c r="L5228" s="29">
        <v>-4.4933333333333332</v>
      </c>
      <c r="M5228" s="30">
        <f>IFERROR(VLOOKUP($A5228,HeadJournal!$A$1:$J$890,COLUMN(HeadJournal!I$1),0)*($K5228+$L5228)/(SUMIF($A:$A,$A5228,$K:$K)+SUMIF($A:$A,$A5228,$L:$L)),0)</f>
        <v>0</v>
      </c>
      <c r="N5228" s="30">
        <f>IFERROR((VLOOKUP($A5228,HeadJournal!$A$1:$K$890,COLUMN(HeadJournal!K$1),0)-VLOOKUP($A5228,HeadJournal!$A$1:$K$890,COLUMN(HeadJournal!J$1),0))*($K5228+$L5228)/(SUMIF($A:$A,$A5228,$K:$K)+SUMIF($A:$A,$A5228,$L:$L)),0)</f>
        <v>2.3684757858670009E-15</v>
      </c>
      <c r="O5228" s="30">
        <f>IFERROR((VLOOKUP($A5228,HeadJournal!$A$1:$L$890,COLUMN(HeadJournal!L$1),0)*($K5228+$L5228)/(SUMIF($A:$A,$A5228,$K:$K)+SUMIF($A:$A,$A5228,$L:$L)))/VLOOKUP($A5228,HeadJournal!$A$1:$L$890,COLUMN(HeadJournal!H$1),0),0)</f>
        <v>1.9486865763875363</v>
      </c>
      <c r="P5228" s="30">
        <f>IFERROR(SUM(K5228:O5228)*VLOOKUP($A5228,HeadJournal!$A$1:$L$890,COLUMN(HeadJournal!H$1),0),0)</f>
        <v>1806.4196583792707</v>
      </c>
      <c r="Q5228" s="29">
        <v>2900</v>
      </c>
      <c r="R5228" s="31">
        <v>46020</v>
      </c>
      <c r="S5228" s="31"/>
      <c r="T5228" s="95" t="str">
        <f t="shared" si="390"/>
        <v>2025 12</v>
      </c>
      <c r="U5228" s="32">
        <f t="shared" si="387"/>
        <v>1093.5803416207293</v>
      </c>
      <c r="V5228" s="22">
        <f t="shared" si="388"/>
        <v>0.60538554070093287</v>
      </c>
      <c r="X5228" s="33"/>
      <c r="Y5228" s="33"/>
    </row>
    <row r="5229" spans="1:25" x14ac:dyDescent="0.2">
      <c r="A5229" s="93" t="s">
        <v>4891</v>
      </c>
      <c r="B5229" s="94">
        <f>IFERROR(VLOOKUP($A5229,HeadJournal!$A$1:$NTR$890,COLUMN(HeadJournal!B$1),0),"")</f>
        <v>0</v>
      </c>
      <c r="C5229" s="94" t="str">
        <f>IFERROR(VLOOKUP($A5229,HeadJournal!$A$1:$NTR$890,COLUMN(HeadJournal!C$1),0),"")</f>
        <v>iHerb_MH DLE7202</v>
      </c>
      <c r="D5229" s="125" t="str">
        <f>IFERROR(VLOOKUP($A5229,HeadJournal!$A$1:$NTR$890,COLUMN(HeadJournal!D$1),0),"")</f>
        <v>Доставлен</v>
      </c>
      <c r="E5229" s="95">
        <f>IFERROR(VLOOKUP($A5229,HeadJournal!$A$1:$NTR$890,COLUMN(HeadJournal!G$1),0),"")</f>
        <v>45954</v>
      </c>
      <c r="F5229" s="95" t="str">
        <f t="shared" si="389"/>
        <v>2025 10</v>
      </c>
      <c r="G5229" s="97" t="s">
        <v>5</v>
      </c>
      <c r="H5229" s="161" t="s">
        <v>2089</v>
      </c>
      <c r="I5229" s="97" t="s">
        <v>2005</v>
      </c>
      <c r="J5229" s="97" t="s">
        <v>3781</v>
      </c>
      <c r="K5229" s="29">
        <v>22.47</v>
      </c>
      <c r="L5229" s="29">
        <v>-4.4933333333333332</v>
      </c>
      <c r="M5229" s="30">
        <f>IFERROR(VLOOKUP($A5229,HeadJournal!$A$1:$J$890,COLUMN(HeadJournal!I$1),0)*($K5229+$L5229)/(SUMIF($A:$A,$A5229,$K:$K)+SUMIF($A:$A,$A5229,$L:$L)),0)</f>
        <v>0</v>
      </c>
      <c r="N5229" s="30">
        <f>IFERROR((VLOOKUP($A5229,HeadJournal!$A$1:$K$890,COLUMN(HeadJournal!K$1),0)-VLOOKUP($A5229,HeadJournal!$A$1:$K$890,COLUMN(HeadJournal!J$1),0))*($K5229+$L5229)/(SUMIF($A:$A,$A5229,$K:$K)+SUMIF($A:$A,$A5229,$L:$L)),0)</f>
        <v>2.3684757858670009E-15</v>
      </c>
      <c r="O5229" s="30">
        <f>IFERROR((VLOOKUP($A5229,HeadJournal!$A$1:$L$890,COLUMN(HeadJournal!L$1),0)*($K5229+$L5229)/(SUMIF($A:$A,$A5229,$K:$K)+SUMIF($A:$A,$A5229,$L:$L)))/VLOOKUP($A5229,HeadJournal!$A$1:$L$890,COLUMN(HeadJournal!H$1),0),0)</f>
        <v>1.9486865763875363</v>
      </c>
      <c r="P5229" s="30">
        <f>IFERROR(SUM(K5229:O5229)*VLOOKUP($A5229,HeadJournal!$A$1:$L$890,COLUMN(HeadJournal!H$1),0),0)</f>
        <v>1806.4196583792707</v>
      </c>
      <c r="Q5229" s="29">
        <v>2900</v>
      </c>
      <c r="R5229" s="31">
        <v>46020</v>
      </c>
      <c r="S5229" s="31"/>
      <c r="T5229" s="95" t="str">
        <f t="shared" si="390"/>
        <v>2025 12</v>
      </c>
      <c r="U5229" s="32">
        <f t="shared" si="387"/>
        <v>1093.5803416207293</v>
      </c>
      <c r="V5229" s="22">
        <f t="shared" si="388"/>
        <v>0.60538554070093287</v>
      </c>
      <c r="X5229" s="33"/>
      <c r="Y5229" s="33"/>
    </row>
    <row r="5230" spans="1:25" x14ac:dyDescent="0.2">
      <c r="A5230" s="93" t="s">
        <v>4893</v>
      </c>
      <c r="B5230" s="94">
        <f>IFERROR(VLOOKUP($A5230,HeadJournal!$A$1:$NTR$890,COLUMN(HeadJournal!B$1),0),"")</f>
        <v>0</v>
      </c>
      <c r="C5230" s="94" t="str">
        <f>IFERROR(VLOOKUP($A5230,HeadJournal!$A$1:$NTR$890,COLUMN(HeadJournal!C$1),0),"")</f>
        <v>iHerb_MH DLE7202</v>
      </c>
      <c r="D5230" s="125" t="str">
        <f>IFERROR(VLOOKUP($A5230,HeadJournal!$A$1:$NTR$890,COLUMN(HeadJournal!D$1),0),"")</f>
        <v>Доставлен</v>
      </c>
      <c r="E5230" s="95">
        <f>IFERROR(VLOOKUP($A5230,HeadJournal!$A$1:$NTR$890,COLUMN(HeadJournal!G$1),0),"")</f>
        <v>45959</v>
      </c>
      <c r="F5230" s="95" t="str">
        <f t="shared" si="389"/>
        <v>2025 10</v>
      </c>
      <c r="G5230" s="97" t="s">
        <v>5</v>
      </c>
      <c r="H5230" s="161" t="s">
        <v>2101</v>
      </c>
      <c r="I5230" s="97" t="s">
        <v>2102</v>
      </c>
      <c r="J5230" s="198" t="s">
        <v>4015</v>
      </c>
      <c r="K5230" s="29">
        <v>47.68</v>
      </c>
      <c r="L5230" s="29">
        <v>-9.5399999999999991</v>
      </c>
      <c r="M5230" s="30">
        <f>IFERROR(VLOOKUP($A5230,HeadJournal!$A$1:$J$890,COLUMN(HeadJournal!I$1),0)*($K5230+$L5230)/(SUMIF($A:$A,$A5230,$K:$K)+SUMIF($A:$A,$A5230,$L:$L)),0)</f>
        <v>-3.4493251294071681</v>
      </c>
      <c r="N5230" s="30">
        <f>IFERROR((VLOOKUP($A5230,HeadJournal!$A$1:$K$890,COLUMN(HeadJournal!K$1),0)-VLOOKUP($A5230,HeadJournal!$A$1:$K$890,COLUMN(HeadJournal!J$1),0))*($K5230+$L5230)/(SUMIF($A:$A,$A5230,$K:$K)+SUMIF($A:$A,$A5230,$L:$L)),0)</f>
        <v>-1.0587010427537931E-14</v>
      </c>
      <c r="O5230" s="30">
        <f>IFERROR((VLOOKUP($A5230,HeadJournal!$A$1:$L$890,COLUMN(HeadJournal!L$1),0)*($K5230+$L5230)/(SUMIF($A:$A,$A5230,$K:$K)+SUMIF($A:$A,$A5230,$L:$L)))/VLOOKUP($A5230,HeadJournal!$A$1:$L$890,COLUMN(HeadJournal!H$1),0),0)</f>
        <v>1.4571826318171435</v>
      </c>
      <c r="P5230" s="30">
        <f>IFERROR(SUM(K5230:O5230)*VLOOKUP($A5230,HeadJournal!$A$1:$L$890,COLUMN(HeadJournal!H$1),0),0)</f>
        <v>3280.3491727707778</v>
      </c>
      <c r="Q5230" s="29">
        <v>5000</v>
      </c>
      <c r="R5230" s="31">
        <v>46020</v>
      </c>
      <c r="S5230" s="31"/>
      <c r="T5230" s="95" t="str">
        <f t="shared" si="390"/>
        <v>2025 12</v>
      </c>
      <c r="U5230" s="32">
        <f t="shared" si="387"/>
        <v>1719.6508272292222</v>
      </c>
      <c r="V5230" s="22">
        <f t="shared" si="388"/>
        <v>0.52422798204030907</v>
      </c>
      <c r="X5230" s="33"/>
      <c r="Y5230" s="33"/>
    </row>
    <row r="5231" spans="1:25" x14ac:dyDescent="0.2">
      <c r="A5231" s="93" t="s">
        <v>4893</v>
      </c>
      <c r="B5231" s="94">
        <f>IFERROR(VLOOKUP($A5231,HeadJournal!$A$1:$NTR$890,COLUMN(HeadJournal!B$1),0),"")</f>
        <v>0</v>
      </c>
      <c r="C5231" s="94" t="str">
        <f>IFERROR(VLOOKUP($A5231,HeadJournal!$A$1:$NTR$890,COLUMN(HeadJournal!C$1),0),"")</f>
        <v>iHerb_MH DLE7202</v>
      </c>
      <c r="D5231" s="125" t="str">
        <f>IFERROR(VLOOKUP($A5231,HeadJournal!$A$1:$NTR$890,COLUMN(HeadJournal!D$1),0),"")</f>
        <v>Доставлен</v>
      </c>
      <c r="E5231" s="95">
        <f>IFERROR(VLOOKUP($A5231,HeadJournal!$A$1:$NTR$890,COLUMN(HeadJournal!G$1),0),"")</f>
        <v>45959</v>
      </c>
      <c r="F5231" s="95" t="str">
        <f t="shared" si="389"/>
        <v>2025 10</v>
      </c>
      <c r="G5231" s="97" t="s">
        <v>5</v>
      </c>
      <c r="H5231" s="161" t="s">
        <v>2997</v>
      </c>
      <c r="I5231" s="97" t="s">
        <v>2102</v>
      </c>
      <c r="J5231" s="198" t="s">
        <v>4364</v>
      </c>
      <c r="K5231" s="29">
        <v>32.43</v>
      </c>
      <c r="L5231" s="29">
        <v>-6.49</v>
      </c>
      <c r="M5231" s="30">
        <f>IFERROR(VLOOKUP($A5231,HeadJournal!$A$1:$J$890,COLUMN(HeadJournal!I$1),0)*($K5231+$L5231)/(SUMIF($A:$A,$A5231,$K:$K)+SUMIF($A:$A,$A5231,$L:$L)),0)</f>
        <v>-2.34597519288993</v>
      </c>
      <c r="N5231" s="30">
        <f>IFERROR((VLOOKUP($A5231,HeadJournal!$A$1:$K$890,COLUMN(HeadJournal!K$1),0)-VLOOKUP($A5231,HeadJournal!$A$1:$K$890,COLUMN(HeadJournal!J$1),0))*($K5231+$L5231)/(SUMIF($A:$A,$A5231,$K:$K)+SUMIF($A:$A,$A5231,$L:$L)),0)</f>
        <v>-7.2004994884723096E-15</v>
      </c>
      <c r="O5231" s="30">
        <f>IFERROR((VLOOKUP($A5231,HeadJournal!$A$1:$L$890,COLUMN(HeadJournal!L$1),0)*($K5231+$L5231)/(SUMIF($A:$A,$A5231,$K:$K)+SUMIF($A:$A,$A5231,$L:$L)))/VLOOKUP($A5231,HeadJournal!$A$1:$L$890,COLUMN(HeadJournal!H$1),0),0)</f>
        <v>0.99106757916456989</v>
      </c>
      <c r="P5231" s="30">
        <f>IFERROR(SUM(K5231:O5231)*VLOOKUP($A5231,HeadJournal!$A$1:$L$890,COLUMN(HeadJournal!H$1),0),0)</f>
        <v>2231.0502763941786</v>
      </c>
      <c r="Q5231" s="29">
        <v>3800</v>
      </c>
      <c r="R5231" s="31">
        <v>45985</v>
      </c>
      <c r="S5231" s="31" t="s">
        <v>4523</v>
      </c>
      <c r="T5231" s="95" t="str">
        <f t="shared" si="390"/>
        <v>2025 11</v>
      </c>
      <c r="U5231" s="32">
        <f t="shared" si="387"/>
        <v>1568.9497236058214</v>
      </c>
      <c r="V5231" s="22">
        <f t="shared" si="388"/>
        <v>0.70323369231353972</v>
      </c>
      <c r="X5231" s="33"/>
      <c r="Y5231" s="33"/>
    </row>
    <row r="5232" spans="1:25" x14ac:dyDescent="0.2">
      <c r="A5232" s="93" t="s">
        <v>4893</v>
      </c>
      <c r="B5232" s="94">
        <f>IFERROR(VLOOKUP($A5232,HeadJournal!$A$1:$NTR$890,COLUMN(HeadJournal!B$1),0),"")</f>
        <v>0</v>
      </c>
      <c r="C5232" s="94" t="str">
        <f>IFERROR(VLOOKUP($A5232,HeadJournal!$A$1:$NTR$890,COLUMN(HeadJournal!C$1),0),"")</f>
        <v>iHerb_MH DLE7202</v>
      </c>
      <c r="D5232" s="125" t="str">
        <f>IFERROR(VLOOKUP($A5232,HeadJournal!$A$1:$NTR$890,COLUMN(HeadJournal!D$1),0),"")</f>
        <v>Доставлен</v>
      </c>
      <c r="E5232" s="95">
        <f>IFERROR(VLOOKUP($A5232,HeadJournal!$A$1:$NTR$890,COLUMN(HeadJournal!G$1),0),"")</f>
        <v>45959</v>
      </c>
      <c r="F5232" s="95" t="str">
        <f t="shared" si="389"/>
        <v>2025 10</v>
      </c>
      <c r="G5232" s="97" t="s">
        <v>5</v>
      </c>
      <c r="H5232" s="161" t="s">
        <v>2018</v>
      </c>
      <c r="I5232" s="97" t="s">
        <v>2005</v>
      </c>
      <c r="J5232" s="198" t="s">
        <v>2019</v>
      </c>
      <c r="K5232" s="29">
        <v>22.86</v>
      </c>
      <c r="L5232" s="29">
        <v>-4.57</v>
      </c>
      <c r="M5232" s="30">
        <f>IFERROR(VLOOKUP($A5232,HeadJournal!$A$1:$J$890,COLUMN(HeadJournal!I$1),0)*($K5232+$L5232)/(SUMIF($A:$A,$A5232,$K:$K)+SUMIF($A:$A,$A5232,$L:$L)),0)</f>
        <v>-1.6541205195819901</v>
      </c>
      <c r="N5232" s="30">
        <f>IFERROR((VLOOKUP($A5232,HeadJournal!$A$1:$K$890,COLUMN(HeadJournal!K$1),0)-VLOOKUP($A5232,HeadJournal!$A$1:$K$890,COLUMN(HeadJournal!J$1),0))*($K5232+$L5232)/(SUMIF($A:$A,$A5232,$K:$K)+SUMIF($A:$A,$A5232,$L:$L)),0)</f>
        <v>-5.0769905799598513E-15</v>
      </c>
      <c r="O5232" s="30">
        <f>IFERROR((VLOOKUP($A5232,HeadJournal!$A$1:$L$890,COLUMN(HeadJournal!L$1),0)*($K5232+$L5232)/(SUMIF($A:$A,$A5232,$K:$K)+SUMIF($A:$A,$A5232,$L:$L)))/VLOOKUP($A5232,HeadJournal!$A$1:$L$890,COLUMN(HeadJournal!H$1),0),0)</f>
        <v>0.69879051746029242</v>
      </c>
      <c r="P5232" s="30">
        <f>IFERROR(SUM(K5232:O5232)*VLOOKUP($A5232,HeadJournal!$A$1:$L$890,COLUMN(HeadJournal!H$1),0),0)</f>
        <v>1573.0882635022949</v>
      </c>
      <c r="Q5232" s="29"/>
      <c r="R5232" s="31"/>
      <c r="S5232" s="31"/>
      <c r="T5232" s="95" t="str">
        <f t="shared" si="390"/>
        <v/>
      </c>
      <c r="U5232" s="32">
        <f t="shared" si="387"/>
        <v>-1573.0882635022949</v>
      </c>
      <c r="V5232" s="22" t="str">
        <f t="shared" si="388"/>
        <v/>
      </c>
      <c r="X5232" s="33"/>
      <c r="Y5232" s="33"/>
    </row>
    <row r="5233" spans="1:25" x14ac:dyDescent="0.2">
      <c r="A5233" s="93" t="s">
        <v>4893</v>
      </c>
      <c r="B5233" s="94">
        <f>IFERROR(VLOOKUP($A5233,HeadJournal!$A$1:$NTR$890,COLUMN(HeadJournal!B$1),0),"")</f>
        <v>0</v>
      </c>
      <c r="C5233" s="94" t="str">
        <f>IFERROR(VLOOKUP($A5233,HeadJournal!$A$1:$NTR$890,COLUMN(HeadJournal!C$1),0),"")</f>
        <v>iHerb_MH DLE7202</v>
      </c>
      <c r="D5233" s="125" t="str">
        <f>IFERROR(VLOOKUP($A5233,HeadJournal!$A$1:$NTR$890,COLUMN(HeadJournal!D$1),0),"")</f>
        <v>Доставлен</v>
      </c>
      <c r="E5233" s="95">
        <f>IFERROR(VLOOKUP($A5233,HeadJournal!$A$1:$NTR$890,COLUMN(HeadJournal!G$1),0),"")</f>
        <v>45959</v>
      </c>
      <c r="F5233" s="95" t="str">
        <f t="shared" si="389"/>
        <v>2025 10</v>
      </c>
      <c r="G5233" s="97" t="s">
        <v>5</v>
      </c>
      <c r="H5233" s="161" t="s">
        <v>2223</v>
      </c>
      <c r="I5233" s="97" t="s">
        <v>2008</v>
      </c>
      <c r="J5233" s="198" t="s">
        <v>4892</v>
      </c>
      <c r="K5233" s="29">
        <v>12.51</v>
      </c>
      <c r="L5233" s="29">
        <v>-2.5</v>
      </c>
      <c r="M5233" s="30">
        <f>IFERROR(VLOOKUP($A5233,HeadJournal!$A$1:$J$890,COLUMN(HeadJournal!I$1),0)*($K5233+$L5233)/(SUMIF($A:$A,$A5233,$K:$K)+SUMIF($A:$A,$A5233,$L:$L)),0)</f>
        <v>-0.90528957906045493</v>
      </c>
      <c r="N5233" s="30">
        <f>IFERROR((VLOOKUP($A5233,HeadJournal!$A$1:$K$890,COLUMN(HeadJournal!K$1),0)-VLOOKUP($A5233,HeadJournal!$A$1:$K$890,COLUMN(HeadJournal!J$1),0))*($K5233+$L5233)/(SUMIF($A:$A,$A5233,$K:$K)+SUMIF($A:$A,$A5233,$L:$L)),0)</f>
        <v>-2.7786044672169553E-15</v>
      </c>
      <c r="O5233" s="30">
        <f>IFERROR((VLOOKUP($A5233,HeadJournal!$A$1:$L$890,COLUMN(HeadJournal!L$1),0)*($K5233+$L5233)/(SUMIF($A:$A,$A5233,$K:$K)+SUMIF($A:$A,$A5233,$L:$L)))/VLOOKUP($A5233,HeadJournal!$A$1:$L$890,COLUMN(HeadJournal!H$1),0),0)</f>
        <v>0.38244358008625079</v>
      </c>
      <c r="P5233" s="30">
        <f>IFERROR(SUM(K5233:O5233)*VLOOKUP($A5233,HeadJournal!$A$1:$L$890,COLUMN(HeadJournal!H$1),0),0)</f>
        <v>860.94114366637359</v>
      </c>
      <c r="Q5233" s="29">
        <v>1800</v>
      </c>
      <c r="R5233" s="31">
        <v>45989</v>
      </c>
      <c r="S5233" s="31" t="s">
        <v>3231</v>
      </c>
      <c r="T5233" s="95" t="str">
        <f t="shared" si="390"/>
        <v>2025 11</v>
      </c>
      <c r="U5233" s="32">
        <f t="shared" si="387"/>
        <v>939.05885633362641</v>
      </c>
      <c r="V5233" s="22">
        <f t="shared" si="388"/>
        <v>1.0907352532074184</v>
      </c>
      <c r="X5233" s="33"/>
      <c r="Y5233" s="33"/>
    </row>
    <row r="5234" spans="1:25" x14ac:dyDescent="0.2">
      <c r="A5234" s="93" t="s">
        <v>4893</v>
      </c>
      <c r="B5234" s="94">
        <f>IFERROR(VLOOKUP($A5234,HeadJournal!$A$1:$NTR$890,COLUMN(HeadJournal!B$1),0),"")</f>
        <v>0</v>
      </c>
      <c r="C5234" s="94" t="str">
        <f>IFERROR(VLOOKUP($A5234,HeadJournal!$A$1:$NTR$890,COLUMN(HeadJournal!C$1),0),"")</f>
        <v>iHerb_MH DLE7202</v>
      </c>
      <c r="D5234" s="125" t="str">
        <f>IFERROR(VLOOKUP($A5234,HeadJournal!$A$1:$NTR$890,COLUMN(HeadJournal!D$1),0),"")</f>
        <v>Доставлен</v>
      </c>
      <c r="E5234" s="95">
        <f>IFERROR(VLOOKUP($A5234,HeadJournal!$A$1:$NTR$890,COLUMN(HeadJournal!G$1),0),"")</f>
        <v>45959</v>
      </c>
      <c r="F5234" s="95" t="str">
        <f t="shared" si="389"/>
        <v>2025 10</v>
      </c>
      <c r="G5234" s="97" t="s">
        <v>5</v>
      </c>
      <c r="H5234" s="161" t="s">
        <v>2223</v>
      </c>
      <c r="I5234" s="97" t="s">
        <v>2008</v>
      </c>
      <c r="J5234" s="97" t="s">
        <v>4892</v>
      </c>
      <c r="K5234" s="29">
        <v>12.51</v>
      </c>
      <c r="L5234" s="29">
        <v>-2.5</v>
      </c>
      <c r="M5234" s="30">
        <f>IFERROR(VLOOKUP($A5234,HeadJournal!$A$1:$J$890,COLUMN(HeadJournal!I$1),0)*($K5234+$L5234)/(SUMIF($A:$A,$A5234,$K:$K)+SUMIF($A:$A,$A5234,$L:$L)),0)</f>
        <v>-0.90528957906045493</v>
      </c>
      <c r="N5234" s="30">
        <f>IFERROR((VLOOKUP($A5234,HeadJournal!$A$1:$K$890,COLUMN(HeadJournal!K$1),0)-VLOOKUP($A5234,HeadJournal!$A$1:$K$890,COLUMN(HeadJournal!J$1),0))*($K5234+$L5234)/(SUMIF($A:$A,$A5234,$K:$K)+SUMIF($A:$A,$A5234,$L:$L)),0)</f>
        <v>-2.7786044672169553E-15</v>
      </c>
      <c r="O5234" s="30">
        <f>IFERROR((VLOOKUP($A5234,HeadJournal!$A$1:$L$890,COLUMN(HeadJournal!L$1),0)*($K5234+$L5234)/(SUMIF($A:$A,$A5234,$K:$K)+SUMIF($A:$A,$A5234,$L:$L)))/VLOOKUP($A5234,HeadJournal!$A$1:$L$890,COLUMN(HeadJournal!H$1),0),0)</f>
        <v>0.38244358008625079</v>
      </c>
      <c r="P5234" s="30">
        <f>IFERROR(SUM(K5234:O5234)*VLOOKUP($A5234,HeadJournal!$A$1:$L$890,COLUMN(HeadJournal!H$1),0),0)</f>
        <v>860.94114366637359</v>
      </c>
      <c r="Q5234" s="29"/>
      <c r="R5234" s="31"/>
      <c r="S5234" s="31"/>
      <c r="T5234" s="95" t="str">
        <f t="shared" si="390"/>
        <v/>
      </c>
      <c r="U5234" s="32">
        <f t="shared" si="387"/>
        <v>-860.94114366637359</v>
      </c>
      <c r="V5234" s="22" t="str">
        <f t="shared" si="388"/>
        <v/>
      </c>
      <c r="X5234" s="33"/>
      <c r="Y5234" s="33"/>
    </row>
    <row r="5235" spans="1:25" x14ac:dyDescent="0.2">
      <c r="A5235" s="93" t="s">
        <v>4900</v>
      </c>
      <c r="B5235" s="94">
        <f>IFERROR(VLOOKUP($A5235,HeadJournal!$A$1:$NTR$890,COLUMN(HeadJournal!B$1),0),"")</f>
        <v>0</v>
      </c>
      <c r="C5235" s="94" t="str">
        <f>IFERROR(VLOOKUP($A5235,HeadJournal!$A$1:$NTR$890,COLUMN(HeadJournal!C$1),0),"")</f>
        <v>iHerb_VP DFD1605</v>
      </c>
      <c r="D5235" s="125" t="str">
        <f>IFERROR(VLOOKUP($A5235,HeadJournal!$A$1:$NTR$890,COLUMN(HeadJournal!D$1),0),"")</f>
        <v>Доставлен</v>
      </c>
      <c r="E5235" s="95">
        <f>IFERROR(VLOOKUP($A5235,HeadJournal!$A$1:$NTR$890,COLUMN(HeadJournal!G$1),0),"")</f>
        <v>45958</v>
      </c>
      <c r="F5235" s="95" t="str">
        <f t="shared" si="389"/>
        <v>2025 10</v>
      </c>
      <c r="G5235" s="97" t="s">
        <v>5</v>
      </c>
      <c r="H5235" s="161" t="s">
        <v>2624</v>
      </c>
      <c r="I5235" s="97" t="s">
        <v>2005</v>
      </c>
      <c r="J5235" s="198" t="s">
        <v>2625</v>
      </c>
      <c r="K5235" s="29">
        <v>23.95</v>
      </c>
      <c r="L5235" s="29">
        <v>-4.79</v>
      </c>
      <c r="M5235" s="30">
        <f>IFERROR(VLOOKUP($A5235,HeadJournal!$A$1:$J$890,COLUMN(HeadJournal!I$1),0)*($K5235+$L5235)/(SUMIF($A:$A,$A5235,$K:$K)+SUMIF($A:$A,$A5235,$L:$L)),0)</f>
        <v>-1.176513542219862</v>
      </c>
      <c r="N5235" s="30">
        <f>IFERROR((VLOOKUP($A5235,HeadJournal!$A$1:$K$890,COLUMN(HeadJournal!K$1),0)-VLOOKUP($A5235,HeadJournal!$A$1:$K$890,COLUMN(HeadJournal!J$1),0))*($K5235+$L5235)/(SUMIF($A:$A,$A5235,$K:$K)+SUMIF($A:$A,$A5235,$L:$L)),0)</f>
        <v>0</v>
      </c>
      <c r="O5235" s="30">
        <f>IFERROR((VLOOKUP($A5235,HeadJournal!$A$1:$L$890,COLUMN(HeadJournal!L$1),0)*($K5235+$L5235)/(SUMIF($A:$A,$A5235,$K:$K)+SUMIF($A:$A,$A5235,$L:$L)))/VLOOKUP($A5235,HeadJournal!$A$1:$L$890,COLUMN(HeadJournal!H$1),0),0)</f>
        <v>0.49913588904410577</v>
      </c>
      <c r="P5235" s="30">
        <f>IFERROR(SUM(K5235:O5235)*VLOOKUP($A5235,HeadJournal!$A$1:$L$890,COLUMN(HeadJournal!H$1),0),0)</f>
        <v>1671.9694689325545</v>
      </c>
      <c r="Q5235" s="29">
        <v>2900</v>
      </c>
      <c r="R5235" s="31">
        <v>46076</v>
      </c>
      <c r="S5235" s="31" t="s">
        <v>4457</v>
      </c>
      <c r="T5235" s="95" t="str">
        <f t="shared" si="390"/>
        <v>2026 02</v>
      </c>
      <c r="U5235" s="32">
        <f t="shared" si="387"/>
        <v>1228.0305310674455</v>
      </c>
      <c r="V5235" s="22">
        <f t="shared" si="388"/>
        <v>0.73448143275694167</v>
      </c>
      <c r="X5235" s="33"/>
      <c r="Y5235" s="33"/>
    </row>
    <row r="5236" spans="1:25" x14ac:dyDescent="0.2">
      <c r="A5236" s="93" t="s">
        <v>4900</v>
      </c>
      <c r="B5236" s="94">
        <f>IFERROR(VLOOKUP($A5236,HeadJournal!$A$1:$NTR$890,COLUMN(HeadJournal!B$1),0),"")</f>
        <v>0</v>
      </c>
      <c r="C5236" s="94" t="str">
        <f>IFERROR(VLOOKUP($A5236,HeadJournal!$A$1:$NTR$890,COLUMN(HeadJournal!C$1),0),"")</f>
        <v>iHerb_VP DFD1605</v>
      </c>
      <c r="D5236" s="125" t="str">
        <f>IFERROR(VLOOKUP($A5236,HeadJournal!$A$1:$NTR$890,COLUMN(HeadJournal!D$1),0),"")</f>
        <v>Доставлен</v>
      </c>
      <c r="E5236" s="95">
        <f>IFERROR(VLOOKUP($A5236,HeadJournal!$A$1:$NTR$890,COLUMN(HeadJournal!G$1),0),"")</f>
        <v>45958</v>
      </c>
      <c r="F5236" s="95" t="str">
        <f t="shared" si="389"/>
        <v>2025 10</v>
      </c>
      <c r="G5236" s="97" t="s">
        <v>5</v>
      </c>
      <c r="H5236" s="161" t="s">
        <v>2624</v>
      </c>
      <c r="I5236" s="97" t="s">
        <v>2005</v>
      </c>
      <c r="J5236" s="198" t="s">
        <v>2625</v>
      </c>
      <c r="K5236" s="29">
        <v>23.95</v>
      </c>
      <c r="L5236" s="29">
        <v>-4.79</v>
      </c>
      <c r="M5236" s="30">
        <f>IFERROR(VLOOKUP($A5236,HeadJournal!$A$1:$J$890,COLUMN(HeadJournal!I$1),0)*($K5236+$L5236)/(SUMIF($A:$A,$A5236,$K:$K)+SUMIF($A:$A,$A5236,$L:$L)),0)</f>
        <v>-1.176513542219862</v>
      </c>
      <c r="N5236" s="30">
        <f>IFERROR((VLOOKUP($A5236,HeadJournal!$A$1:$K$890,COLUMN(HeadJournal!K$1),0)-VLOOKUP($A5236,HeadJournal!$A$1:$K$890,COLUMN(HeadJournal!J$1),0))*($K5236+$L5236)/(SUMIF($A:$A,$A5236,$K:$K)+SUMIF($A:$A,$A5236,$L:$L)),0)</f>
        <v>0</v>
      </c>
      <c r="O5236" s="30">
        <f>IFERROR((VLOOKUP($A5236,HeadJournal!$A$1:$L$890,COLUMN(HeadJournal!L$1),0)*($K5236+$L5236)/(SUMIF($A:$A,$A5236,$K:$K)+SUMIF($A:$A,$A5236,$L:$L)))/VLOOKUP($A5236,HeadJournal!$A$1:$L$890,COLUMN(HeadJournal!H$1),0),0)</f>
        <v>0.49913588904410577</v>
      </c>
      <c r="P5236" s="30">
        <f>IFERROR(SUM(K5236:O5236)*VLOOKUP($A5236,HeadJournal!$A$1:$L$890,COLUMN(HeadJournal!H$1),0),0)</f>
        <v>1671.9694689325545</v>
      </c>
      <c r="Q5236" s="29">
        <v>3000</v>
      </c>
      <c r="R5236" s="31">
        <v>46088</v>
      </c>
      <c r="S5236" s="31" t="s">
        <v>3226</v>
      </c>
      <c r="T5236" s="95" t="str">
        <f t="shared" si="390"/>
        <v>2026 03</v>
      </c>
      <c r="U5236" s="32">
        <f t="shared" si="387"/>
        <v>1328.0305310674455</v>
      </c>
      <c r="V5236" s="22">
        <f t="shared" si="388"/>
        <v>0.79429113733476731</v>
      </c>
      <c r="X5236" s="33"/>
      <c r="Y5236" s="33"/>
    </row>
    <row r="5237" spans="1:25" x14ac:dyDescent="0.2">
      <c r="A5237" s="93" t="s">
        <v>4900</v>
      </c>
      <c r="B5237" s="94">
        <f>IFERROR(VLOOKUP($A5237,HeadJournal!$A$1:$NTR$890,COLUMN(HeadJournal!B$1),0),"")</f>
        <v>0</v>
      </c>
      <c r="C5237" s="94" t="str">
        <f>IFERROR(VLOOKUP($A5237,HeadJournal!$A$1:$NTR$890,COLUMN(HeadJournal!C$1),0),"")</f>
        <v>iHerb_VP DFD1605</v>
      </c>
      <c r="D5237" s="125" t="str">
        <f>IFERROR(VLOOKUP($A5237,HeadJournal!$A$1:$NTR$890,COLUMN(HeadJournal!D$1),0),"")</f>
        <v>Доставлен</v>
      </c>
      <c r="E5237" s="95">
        <f>IFERROR(VLOOKUP($A5237,HeadJournal!$A$1:$NTR$890,COLUMN(HeadJournal!G$1),0),"")</f>
        <v>45958</v>
      </c>
      <c r="F5237" s="95" t="str">
        <f t="shared" si="389"/>
        <v>2025 10</v>
      </c>
      <c r="G5237" s="97" t="s">
        <v>5</v>
      </c>
      <c r="H5237" s="161" t="s">
        <v>2624</v>
      </c>
      <c r="I5237" s="97" t="s">
        <v>2005</v>
      </c>
      <c r="J5237" s="198" t="s">
        <v>2625</v>
      </c>
      <c r="K5237" s="29">
        <v>23.95</v>
      </c>
      <c r="L5237" s="29">
        <v>-4.79</v>
      </c>
      <c r="M5237" s="30">
        <f>IFERROR(VLOOKUP($A5237,HeadJournal!$A$1:$J$890,COLUMN(HeadJournal!I$1),0)*($K5237+$L5237)/(SUMIF($A:$A,$A5237,$K:$K)+SUMIF($A:$A,$A5237,$L:$L)),0)</f>
        <v>-1.176513542219862</v>
      </c>
      <c r="N5237" s="30">
        <f>IFERROR((VLOOKUP($A5237,HeadJournal!$A$1:$K$890,COLUMN(HeadJournal!K$1),0)-VLOOKUP($A5237,HeadJournal!$A$1:$K$890,COLUMN(HeadJournal!J$1),0))*($K5237+$L5237)/(SUMIF($A:$A,$A5237,$K:$K)+SUMIF($A:$A,$A5237,$L:$L)),0)</f>
        <v>0</v>
      </c>
      <c r="O5237" s="30">
        <f>IFERROR((VLOOKUP($A5237,HeadJournal!$A$1:$L$890,COLUMN(HeadJournal!L$1),0)*($K5237+$L5237)/(SUMIF($A:$A,$A5237,$K:$K)+SUMIF($A:$A,$A5237,$L:$L)))/VLOOKUP($A5237,HeadJournal!$A$1:$L$890,COLUMN(HeadJournal!H$1),0),0)</f>
        <v>0.49913588904410577</v>
      </c>
      <c r="P5237" s="30">
        <f>IFERROR(SUM(K5237:O5237)*VLOOKUP($A5237,HeadJournal!$A$1:$L$890,COLUMN(HeadJournal!H$1),0),0)</f>
        <v>1671.9694689325545</v>
      </c>
      <c r="Q5237" s="29">
        <v>3000</v>
      </c>
      <c r="R5237" s="31">
        <v>46093</v>
      </c>
      <c r="S5237" s="31" t="s">
        <v>3235</v>
      </c>
      <c r="T5237" s="95" t="str">
        <f t="shared" si="390"/>
        <v>2026 03</v>
      </c>
      <c r="U5237" s="32">
        <f t="shared" si="387"/>
        <v>1328.0305310674455</v>
      </c>
      <c r="V5237" s="22">
        <f t="shared" si="388"/>
        <v>0.79429113733476731</v>
      </c>
      <c r="X5237" s="33"/>
      <c r="Y5237" s="33"/>
    </row>
    <row r="5238" spans="1:25" x14ac:dyDescent="0.2">
      <c r="A5238" s="93" t="s">
        <v>4900</v>
      </c>
      <c r="B5238" s="94">
        <f>IFERROR(VLOOKUP($A5238,HeadJournal!$A$1:$NTR$890,COLUMN(HeadJournal!B$1),0),"")</f>
        <v>0</v>
      </c>
      <c r="C5238" s="94" t="str">
        <f>IFERROR(VLOOKUP($A5238,HeadJournal!$A$1:$NTR$890,COLUMN(HeadJournal!C$1),0),"")</f>
        <v>iHerb_VP DFD1605</v>
      </c>
      <c r="D5238" s="125" t="str">
        <f>IFERROR(VLOOKUP($A5238,HeadJournal!$A$1:$NTR$890,COLUMN(HeadJournal!D$1),0),"")</f>
        <v>Доставлен</v>
      </c>
      <c r="E5238" s="95">
        <f>IFERROR(VLOOKUP($A5238,HeadJournal!$A$1:$NTR$890,COLUMN(HeadJournal!G$1),0),"")</f>
        <v>45958</v>
      </c>
      <c r="F5238" s="95" t="str">
        <f t="shared" si="389"/>
        <v>2025 10</v>
      </c>
      <c r="G5238" s="97" t="s">
        <v>5</v>
      </c>
      <c r="H5238" s="161" t="s">
        <v>4894</v>
      </c>
      <c r="I5238" s="97" t="s">
        <v>2750</v>
      </c>
      <c r="J5238" s="198" t="s">
        <v>4895</v>
      </c>
      <c r="K5238" s="29">
        <v>12.39</v>
      </c>
      <c r="L5238" s="29">
        <v>-2.4766666666666666</v>
      </c>
      <c r="M5238" s="30">
        <f>IFERROR(VLOOKUP($A5238,HeadJournal!$A$1:$J$890,COLUMN(HeadJournal!I$1),0)*($K5238+$L5238)/(SUMIF($A:$A,$A5238,$K:$K)+SUMIF($A:$A,$A5238,$L:$L)),0)</f>
        <v>-0.60872499557443804</v>
      </c>
      <c r="N5238" s="30">
        <f>IFERROR((VLOOKUP($A5238,HeadJournal!$A$1:$K$890,COLUMN(HeadJournal!K$1),0)-VLOOKUP($A5238,HeadJournal!$A$1:$K$890,COLUMN(HeadJournal!J$1),0))*($K5238+$L5238)/(SUMIF($A:$A,$A5238,$K:$K)+SUMIF($A:$A,$A5238,$L:$L)),0)</f>
        <v>0</v>
      </c>
      <c r="O5238" s="30">
        <f>IFERROR((VLOOKUP($A5238,HeadJournal!$A$1:$L$890,COLUMN(HeadJournal!L$1),0)*($K5238+$L5238)/(SUMIF($A:$A,$A5238,$K:$K)+SUMIF($A:$A,$A5238,$L:$L)))/VLOOKUP($A5238,HeadJournal!$A$1:$L$890,COLUMN(HeadJournal!H$1),0),0)</f>
        <v>0.25825158907744794</v>
      </c>
      <c r="P5238" s="30">
        <f>IFERROR(SUM(K5238:O5238)*VLOOKUP($A5238,HeadJournal!$A$1:$L$890,COLUMN(HeadJournal!H$1),0),0)</f>
        <v>865.07258187289801</v>
      </c>
      <c r="Q5238" s="29">
        <v>1600</v>
      </c>
      <c r="R5238" s="31">
        <v>45985</v>
      </c>
      <c r="S5238" s="31" t="s">
        <v>3235</v>
      </c>
      <c r="T5238" s="95" t="str">
        <f t="shared" si="390"/>
        <v>2025 11</v>
      </c>
      <c r="U5238" s="32">
        <f t="shared" si="387"/>
        <v>734.92741812710199</v>
      </c>
      <c r="V5238" s="22">
        <f t="shared" si="388"/>
        <v>0.84955578702537382</v>
      </c>
      <c r="X5238" s="33"/>
      <c r="Y5238" s="33"/>
    </row>
    <row r="5239" spans="1:25" x14ac:dyDescent="0.2">
      <c r="A5239" s="93" t="s">
        <v>4900</v>
      </c>
      <c r="B5239" s="94">
        <f>IFERROR(VLOOKUP($A5239,HeadJournal!$A$1:$NTR$890,COLUMN(HeadJournal!B$1),0),"")</f>
        <v>0</v>
      </c>
      <c r="C5239" s="94" t="str">
        <f>IFERROR(VLOOKUP($A5239,HeadJournal!$A$1:$NTR$890,COLUMN(HeadJournal!C$1),0),"")</f>
        <v>iHerb_VP DFD1605</v>
      </c>
      <c r="D5239" s="125" t="str">
        <f>IFERROR(VLOOKUP($A5239,HeadJournal!$A$1:$NTR$890,COLUMN(HeadJournal!D$1),0),"")</f>
        <v>Доставлен</v>
      </c>
      <c r="E5239" s="95">
        <f>IFERROR(VLOOKUP($A5239,HeadJournal!$A$1:$NTR$890,COLUMN(HeadJournal!G$1),0),"")</f>
        <v>45958</v>
      </c>
      <c r="F5239" s="95" t="str">
        <f t="shared" si="389"/>
        <v>2025 10</v>
      </c>
      <c r="G5239" s="97" t="s">
        <v>5</v>
      </c>
      <c r="H5239" s="161" t="s">
        <v>4894</v>
      </c>
      <c r="I5239" s="97" t="s">
        <v>2750</v>
      </c>
      <c r="J5239" s="198" t="s">
        <v>4895</v>
      </c>
      <c r="K5239" s="29">
        <v>12.39</v>
      </c>
      <c r="L5239" s="29">
        <v>-2.4766666666666666</v>
      </c>
      <c r="M5239" s="30">
        <f>IFERROR(VLOOKUP($A5239,HeadJournal!$A$1:$J$890,COLUMN(HeadJournal!I$1),0)*($K5239+$L5239)/(SUMIF($A:$A,$A5239,$K:$K)+SUMIF($A:$A,$A5239,$L:$L)),0)</f>
        <v>-0.60872499557443804</v>
      </c>
      <c r="N5239" s="30">
        <f>IFERROR((VLOOKUP($A5239,HeadJournal!$A$1:$K$890,COLUMN(HeadJournal!K$1),0)-VLOOKUP($A5239,HeadJournal!$A$1:$K$890,COLUMN(HeadJournal!J$1),0))*($K5239+$L5239)/(SUMIF($A:$A,$A5239,$K:$K)+SUMIF($A:$A,$A5239,$L:$L)),0)</f>
        <v>0</v>
      </c>
      <c r="O5239" s="30">
        <f>IFERROR((VLOOKUP($A5239,HeadJournal!$A$1:$L$890,COLUMN(HeadJournal!L$1),0)*($K5239+$L5239)/(SUMIF($A:$A,$A5239,$K:$K)+SUMIF($A:$A,$A5239,$L:$L)))/VLOOKUP($A5239,HeadJournal!$A$1:$L$890,COLUMN(HeadJournal!H$1),0),0)</f>
        <v>0.25825158907744794</v>
      </c>
      <c r="P5239" s="30">
        <f>IFERROR(SUM(K5239:O5239)*VLOOKUP($A5239,HeadJournal!$A$1:$L$890,COLUMN(HeadJournal!H$1),0),0)</f>
        <v>865.07258187289801</v>
      </c>
      <c r="Q5239" s="29">
        <v>1600</v>
      </c>
      <c r="R5239" s="31">
        <v>45985</v>
      </c>
      <c r="S5239" s="31" t="s">
        <v>3226</v>
      </c>
      <c r="T5239" s="95" t="str">
        <f t="shared" si="390"/>
        <v>2025 11</v>
      </c>
      <c r="U5239" s="32">
        <f t="shared" si="387"/>
        <v>734.92741812710199</v>
      </c>
      <c r="V5239" s="22">
        <f t="shared" si="388"/>
        <v>0.84955578702537382</v>
      </c>
      <c r="X5239" s="33"/>
      <c r="Y5239" s="33"/>
    </row>
    <row r="5240" spans="1:25" x14ac:dyDescent="0.2">
      <c r="A5240" s="93" t="s">
        <v>4900</v>
      </c>
      <c r="B5240" s="94">
        <f>IFERROR(VLOOKUP($A5240,HeadJournal!$A$1:$NTR$890,COLUMN(HeadJournal!B$1),0),"")</f>
        <v>0</v>
      </c>
      <c r="C5240" s="94" t="str">
        <f>IFERROR(VLOOKUP($A5240,HeadJournal!$A$1:$NTR$890,COLUMN(HeadJournal!C$1),0),"")</f>
        <v>iHerb_VP DFD1605</v>
      </c>
      <c r="D5240" s="125" t="str">
        <f>IFERROR(VLOOKUP($A5240,HeadJournal!$A$1:$NTR$890,COLUMN(HeadJournal!D$1),0),"")</f>
        <v>Доставлен</v>
      </c>
      <c r="E5240" s="95">
        <f>IFERROR(VLOOKUP($A5240,HeadJournal!$A$1:$NTR$890,COLUMN(HeadJournal!G$1),0),"")</f>
        <v>45958</v>
      </c>
      <c r="F5240" s="95" t="str">
        <f t="shared" si="389"/>
        <v>2025 10</v>
      </c>
      <c r="G5240" s="97" t="s">
        <v>5</v>
      </c>
      <c r="H5240" s="161" t="s">
        <v>4894</v>
      </c>
      <c r="I5240" s="97" t="s">
        <v>2750</v>
      </c>
      <c r="J5240" s="198" t="s">
        <v>4895</v>
      </c>
      <c r="K5240" s="29">
        <v>12.39</v>
      </c>
      <c r="L5240" s="29">
        <v>-2.4766666666666666</v>
      </c>
      <c r="M5240" s="30">
        <f>IFERROR(VLOOKUP($A5240,HeadJournal!$A$1:$J$890,COLUMN(HeadJournal!I$1),0)*($K5240+$L5240)/(SUMIF($A:$A,$A5240,$K:$K)+SUMIF($A:$A,$A5240,$L:$L)),0)</f>
        <v>-0.60872499557443804</v>
      </c>
      <c r="N5240" s="30">
        <f>IFERROR((VLOOKUP($A5240,HeadJournal!$A$1:$K$890,COLUMN(HeadJournal!K$1),0)-VLOOKUP($A5240,HeadJournal!$A$1:$K$890,COLUMN(HeadJournal!J$1),0))*($K5240+$L5240)/(SUMIF($A:$A,$A5240,$K:$K)+SUMIF($A:$A,$A5240,$L:$L)),0)</f>
        <v>0</v>
      </c>
      <c r="O5240" s="30">
        <f>IFERROR((VLOOKUP($A5240,HeadJournal!$A$1:$L$890,COLUMN(HeadJournal!L$1),0)*($K5240+$L5240)/(SUMIF($A:$A,$A5240,$K:$K)+SUMIF($A:$A,$A5240,$L:$L)))/VLOOKUP($A5240,HeadJournal!$A$1:$L$890,COLUMN(HeadJournal!H$1),0),0)</f>
        <v>0.25825158907744794</v>
      </c>
      <c r="P5240" s="30">
        <f>IFERROR(SUM(K5240:O5240)*VLOOKUP($A5240,HeadJournal!$A$1:$L$890,COLUMN(HeadJournal!H$1),0),0)</f>
        <v>865.07258187289801</v>
      </c>
      <c r="Q5240" s="29">
        <v>1600</v>
      </c>
      <c r="R5240" s="31">
        <v>45985</v>
      </c>
      <c r="S5240" s="31" t="s">
        <v>3226</v>
      </c>
      <c r="T5240" s="95" t="str">
        <f t="shared" si="390"/>
        <v>2025 11</v>
      </c>
      <c r="U5240" s="32">
        <f t="shared" si="387"/>
        <v>734.92741812710199</v>
      </c>
      <c r="V5240" s="22">
        <f t="shared" si="388"/>
        <v>0.84955578702537382</v>
      </c>
      <c r="X5240" s="33"/>
      <c r="Y5240" s="33"/>
    </row>
    <row r="5241" spans="1:25" x14ac:dyDescent="0.2">
      <c r="A5241" s="93" t="s">
        <v>4900</v>
      </c>
      <c r="B5241" s="94">
        <f>IFERROR(VLOOKUP($A5241,HeadJournal!$A$1:$NTR$890,COLUMN(HeadJournal!B$1),0),"")</f>
        <v>0</v>
      </c>
      <c r="C5241" s="94" t="str">
        <f>IFERROR(VLOOKUP($A5241,HeadJournal!$A$1:$NTR$890,COLUMN(HeadJournal!C$1),0),"")</f>
        <v>iHerb_VP DFD1605</v>
      </c>
      <c r="D5241" s="125" t="str">
        <f>IFERROR(VLOOKUP($A5241,HeadJournal!$A$1:$NTR$890,COLUMN(HeadJournal!D$1),0),"")</f>
        <v>Доставлен</v>
      </c>
      <c r="E5241" s="95">
        <f>IFERROR(VLOOKUP($A5241,HeadJournal!$A$1:$NTR$890,COLUMN(HeadJournal!G$1),0),"")</f>
        <v>45958</v>
      </c>
      <c r="F5241" s="95" t="str">
        <f t="shared" si="389"/>
        <v>2025 10</v>
      </c>
      <c r="G5241" s="97" t="s">
        <v>5</v>
      </c>
      <c r="H5241" s="161" t="s">
        <v>3656</v>
      </c>
      <c r="I5241" s="97" t="s">
        <v>2005</v>
      </c>
      <c r="J5241" s="198" t="s">
        <v>4428</v>
      </c>
      <c r="K5241" s="29">
        <v>21.74</v>
      </c>
      <c r="L5241" s="29">
        <v>-4.3499999999999996</v>
      </c>
      <c r="M5241" s="30">
        <f>IFERROR(VLOOKUP($A5241,HeadJournal!$A$1:$J$890,COLUMN(HeadJournal!I$1),0)*($K5241+$L5241)/(SUMIF($A:$A,$A5241,$K:$K)+SUMIF($A:$A,$A5241,$L:$L)),0)</f>
        <v>-1.06782727031333</v>
      </c>
      <c r="N5241" s="30">
        <f>IFERROR((VLOOKUP($A5241,HeadJournal!$A$1:$K$890,COLUMN(HeadJournal!K$1),0)-VLOOKUP($A5241,HeadJournal!$A$1:$K$890,COLUMN(HeadJournal!J$1),0))*($K5241+$L5241)/(SUMIF($A:$A,$A5241,$K:$K)+SUMIF($A:$A,$A5241,$L:$L)),0)</f>
        <v>0</v>
      </c>
      <c r="O5241" s="30">
        <f>IFERROR((VLOOKUP($A5241,HeadJournal!$A$1:$L$890,COLUMN(HeadJournal!L$1),0)*($K5241+$L5241)/(SUMIF($A:$A,$A5241,$K:$K)+SUMIF($A:$A,$A5241,$L:$L)))/VLOOKUP($A5241,HeadJournal!$A$1:$L$890,COLUMN(HeadJournal!H$1),0),0)</f>
        <v>0.45302573645495819</v>
      </c>
      <c r="P5241" s="30">
        <f>IFERROR(SUM(K5241:O5241)*VLOOKUP($A5241,HeadJournal!$A$1:$L$890,COLUMN(HeadJournal!H$1),0),0)</f>
        <v>1517.512999203399</v>
      </c>
      <c r="Q5241" s="29">
        <v>2500</v>
      </c>
      <c r="R5241" s="31">
        <v>46061</v>
      </c>
      <c r="S5241" s="31"/>
      <c r="T5241" s="95" t="str">
        <f t="shared" si="390"/>
        <v>2026 02</v>
      </c>
      <c r="U5241" s="32">
        <f t="shared" si="387"/>
        <v>982.48700079660102</v>
      </c>
      <c r="V5241" s="22">
        <f t="shared" si="388"/>
        <v>0.64743234576069286</v>
      </c>
      <c r="X5241" s="33"/>
      <c r="Y5241" s="33"/>
    </row>
    <row r="5242" spans="1:25" x14ac:dyDescent="0.2">
      <c r="A5242" s="93" t="s">
        <v>4900</v>
      </c>
      <c r="B5242" s="94">
        <f>IFERROR(VLOOKUP($A5242,HeadJournal!$A$1:$NTR$890,COLUMN(HeadJournal!B$1),0),"")</f>
        <v>0</v>
      </c>
      <c r="C5242" s="94" t="str">
        <f>IFERROR(VLOOKUP($A5242,HeadJournal!$A$1:$NTR$890,COLUMN(HeadJournal!C$1),0),"")</f>
        <v>iHerb_VP DFD1605</v>
      </c>
      <c r="D5242" s="125" t="str">
        <f>IFERROR(VLOOKUP($A5242,HeadJournal!$A$1:$NTR$890,COLUMN(HeadJournal!D$1),0),"")</f>
        <v>Доставлен</v>
      </c>
      <c r="E5242" s="95">
        <f>IFERROR(VLOOKUP($A5242,HeadJournal!$A$1:$NTR$890,COLUMN(HeadJournal!G$1),0),"")</f>
        <v>45958</v>
      </c>
      <c r="F5242" s="95" t="str">
        <f t="shared" si="389"/>
        <v>2025 10</v>
      </c>
      <c r="G5242" s="97" t="s">
        <v>5</v>
      </c>
      <c r="H5242" s="161" t="s">
        <v>4896</v>
      </c>
      <c r="I5242" s="97" t="s">
        <v>2581</v>
      </c>
      <c r="J5242" s="198" t="s">
        <v>4897</v>
      </c>
      <c r="K5242" s="29">
        <v>14.01</v>
      </c>
      <c r="L5242" s="29">
        <v>-2.8</v>
      </c>
      <c r="M5242" s="30">
        <f>IFERROR(VLOOKUP($A5242,HeadJournal!$A$1:$J$890,COLUMN(HeadJournal!I$1),0)*($K5242+$L5242)/(SUMIF($A:$A,$A5242,$K:$K)+SUMIF($A:$A,$A5242,$L:$L)),0)</f>
        <v>-0.68834638874137033</v>
      </c>
      <c r="N5242" s="30">
        <f>IFERROR((VLOOKUP($A5242,HeadJournal!$A$1:$K$890,COLUMN(HeadJournal!K$1),0)-VLOOKUP($A5242,HeadJournal!$A$1:$K$890,COLUMN(HeadJournal!J$1),0))*($K5242+$L5242)/(SUMIF($A:$A,$A5242,$K:$K)+SUMIF($A:$A,$A5242,$L:$L)),0)</f>
        <v>0</v>
      </c>
      <c r="O5242" s="30">
        <f>IFERROR((VLOOKUP($A5242,HeadJournal!$A$1:$L$890,COLUMN(HeadJournal!L$1),0)*($K5242+$L5242)/(SUMIF($A:$A,$A5242,$K:$K)+SUMIF($A:$A,$A5242,$L:$L)))/VLOOKUP($A5242,HeadJournal!$A$1:$L$890,COLUMN(HeadJournal!H$1),0),0)</f>
        <v>0.29203096639793452</v>
      </c>
      <c r="P5242" s="30">
        <f>IFERROR(SUM(K5242:O5242)*VLOOKUP($A5242,HeadJournal!$A$1:$L$890,COLUMN(HeadJournal!H$1),0),0)</f>
        <v>978.22430828465224</v>
      </c>
      <c r="Q5242" s="29">
        <v>2000</v>
      </c>
      <c r="R5242" s="31">
        <v>46048</v>
      </c>
      <c r="S5242" s="31" t="s">
        <v>3505</v>
      </c>
      <c r="T5242" s="95" t="str">
        <f t="shared" si="390"/>
        <v>2026 01</v>
      </c>
      <c r="U5242" s="32">
        <f t="shared" si="387"/>
        <v>1021.7756917153478</v>
      </c>
      <c r="V5242" s="22">
        <f t="shared" si="388"/>
        <v>1.0445208558628687</v>
      </c>
      <c r="X5242" s="33"/>
      <c r="Y5242" s="33"/>
    </row>
    <row r="5243" spans="1:25" x14ac:dyDescent="0.2">
      <c r="A5243" s="93" t="s">
        <v>4900</v>
      </c>
      <c r="B5243" s="94">
        <f>IFERROR(VLOOKUP($A5243,HeadJournal!$A$1:$NTR$890,COLUMN(HeadJournal!B$1),0),"")</f>
        <v>0</v>
      </c>
      <c r="C5243" s="94" t="str">
        <f>IFERROR(VLOOKUP($A5243,HeadJournal!$A$1:$NTR$890,COLUMN(HeadJournal!C$1),0),"")</f>
        <v>iHerb_VP DFD1605</v>
      </c>
      <c r="D5243" s="125" t="str">
        <f>IFERROR(VLOOKUP($A5243,HeadJournal!$A$1:$NTR$890,COLUMN(HeadJournal!D$1),0),"")</f>
        <v>Доставлен</v>
      </c>
      <c r="E5243" s="95">
        <f>IFERROR(VLOOKUP($A5243,HeadJournal!$A$1:$NTR$890,COLUMN(HeadJournal!G$1),0),"")</f>
        <v>45958</v>
      </c>
      <c r="F5243" s="95" t="str">
        <f t="shared" si="389"/>
        <v>2025 10</v>
      </c>
      <c r="G5243" s="97" t="s">
        <v>5</v>
      </c>
      <c r="H5243" s="161" t="s">
        <v>2174</v>
      </c>
      <c r="I5243" s="97" t="s">
        <v>2005</v>
      </c>
      <c r="J5243" s="198" t="s">
        <v>2175</v>
      </c>
      <c r="K5243" s="29">
        <v>5.78</v>
      </c>
      <c r="L5243" s="29">
        <v>-1.1599999999999999</v>
      </c>
      <c r="M5243" s="30">
        <f>IFERROR(VLOOKUP($A5243,HeadJournal!$A$1:$J$890,COLUMN(HeadJournal!I$1),0)*($K5243+$L5243)/(SUMIF($A:$A,$A5243,$K:$K)+SUMIF($A:$A,$A5243,$L:$L)),0)</f>
        <v>-0.28368959107806696</v>
      </c>
      <c r="N5243" s="30">
        <f>IFERROR((VLOOKUP($A5243,HeadJournal!$A$1:$K$890,COLUMN(HeadJournal!K$1),0)-VLOOKUP($A5243,HeadJournal!$A$1:$K$890,COLUMN(HeadJournal!J$1),0))*($K5243+$L5243)/(SUMIF($A:$A,$A5243,$K:$K)+SUMIF($A:$A,$A5243,$L:$L)),0)</f>
        <v>0</v>
      </c>
      <c r="O5243" s="30">
        <f>IFERROR((VLOOKUP($A5243,HeadJournal!$A$1:$L$890,COLUMN(HeadJournal!L$1),0)*($K5243+$L5243)/(SUMIF($A:$A,$A5243,$K:$K)+SUMIF($A:$A,$A5243,$L:$L)))/VLOOKUP($A5243,HeadJournal!$A$1:$L$890,COLUMN(HeadJournal!H$1),0),0)</f>
        <v>0.12035531353777498</v>
      </c>
      <c r="P5243" s="30">
        <f>IFERROR(SUM(K5243:O5243)*VLOOKUP($A5243,HeadJournal!$A$1:$L$890,COLUMN(HeadJournal!H$1),0),0)</f>
        <v>403.15756505576212</v>
      </c>
      <c r="Q5243" s="29">
        <v>1100</v>
      </c>
      <c r="R5243" s="31">
        <v>45985</v>
      </c>
      <c r="S5243" s="31" t="s">
        <v>3235</v>
      </c>
      <c r="T5243" s="95" t="str">
        <f t="shared" si="390"/>
        <v>2025 11</v>
      </c>
      <c r="U5243" s="32">
        <f t="shared" si="387"/>
        <v>696.84243494423788</v>
      </c>
      <c r="V5243" s="22">
        <f t="shared" si="388"/>
        <v>1.728461761216995</v>
      </c>
      <c r="X5243" s="33"/>
      <c r="Y5243" s="33"/>
    </row>
    <row r="5244" spans="1:25" x14ac:dyDescent="0.2">
      <c r="A5244" s="93" t="s">
        <v>4900</v>
      </c>
      <c r="B5244" s="94">
        <f>IFERROR(VLOOKUP($A5244,HeadJournal!$A$1:$NTR$890,COLUMN(HeadJournal!B$1),0),"")</f>
        <v>0</v>
      </c>
      <c r="C5244" s="94" t="str">
        <f>IFERROR(VLOOKUP($A5244,HeadJournal!$A$1:$NTR$890,COLUMN(HeadJournal!C$1),0),"")</f>
        <v>iHerb_VP DFD1605</v>
      </c>
      <c r="D5244" s="125" t="str">
        <f>IFERROR(VLOOKUP($A5244,HeadJournal!$A$1:$NTR$890,COLUMN(HeadJournal!D$1),0),"")</f>
        <v>Доставлен</v>
      </c>
      <c r="E5244" s="95">
        <f>IFERROR(VLOOKUP($A5244,HeadJournal!$A$1:$NTR$890,COLUMN(HeadJournal!G$1),0),"")</f>
        <v>45958</v>
      </c>
      <c r="F5244" s="95" t="str">
        <f t="shared" si="389"/>
        <v>2025 10</v>
      </c>
      <c r="G5244" s="97" t="s">
        <v>5</v>
      </c>
      <c r="H5244" s="161" t="s">
        <v>4898</v>
      </c>
      <c r="I5244" s="97" t="s">
        <v>2008</v>
      </c>
      <c r="J5244" s="198" t="s">
        <v>4899</v>
      </c>
      <c r="K5244" s="29">
        <v>24.7</v>
      </c>
      <c r="L5244" s="29">
        <v>-4.9400000000000004</v>
      </c>
      <c r="M5244" s="30">
        <f>IFERROR(VLOOKUP($A5244,HeadJournal!$A$1:$J$890,COLUMN(HeadJournal!I$1),0)*($K5244+$L5244)/(SUMIF($A:$A,$A5244,$K:$K)+SUMIF($A:$A,$A5244,$L:$L)),0)</f>
        <v>-1.2133563462559744</v>
      </c>
      <c r="N5244" s="30">
        <f>IFERROR((VLOOKUP($A5244,HeadJournal!$A$1:$K$890,COLUMN(HeadJournal!K$1),0)-VLOOKUP($A5244,HeadJournal!$A$1:$K$890,COLUMN(HeadJournal!J$1),0))*($K5244+$L5244)/(SUMIF($A:$A,$A5244,$K:$K)+SUMIF($A:$A,$A5244,$L:$L)),0)</f>
        <v>0</v>
      </c>
      <c r="O5244" s="30">
        <f>IFERROR((VLOOKUP($A5244,HeadJournal!$A$1:$L$890,COLUMN(HeadJournal!L$1),0)*($K5244+$L5244)/(SUMIF($A:$A,$A5244,$K:$K)+SUMIF($A:$A,$A5244,$L:$L)))/VLOOKUP($A5244,HeadJournal!$A$1:$L$890,COLUMN(HeadJournal!H$1),0),0)</f>
        <v>0.51476644924381676</v>
      </c>
      <c r="P5244" s="30">
        <f>IFERROR(SUM(K5244:O5244)*VLOOKUP($A5244,HeadJournal!$A$1:$L$890,COLUMN(HeadJournal!H$1),0),0)</f>
        <v>1724.3275942644714</v>
      </c>
      <c r="Q5244" s="29">
        <v>2800</v>
      </c>
      <c r="R5244" s="31">
        <v>46018</v>
      </c>
      <c r="S5244" s="31" t="s">
        <v>3231</v>
      </c>
      <c r="T5244" s="95" t="str">
        <f t="shared" si="390"/>
        <v>2025 12</v>
      </c>
      <c r="U5244" s="32">
        <f t="shared" si="387"/>
        <v>1075.6724057355286</v>
      </c>
      <c r="V5244" s="22">
        <f t="shared" si="388"/>
        <v>0.62382137206031729</v>
      </c>
      <c r="X5244" s="33"/>
      <c r="Y5244" s="33"/>
    </row>
    <row r="5245" spans="1:25" x14ac:dyDescent="0.2">
      <c r="A5245" s="93" t="s">
        <v>4900</v>
      </c>
      <c r="B5245" s="94">
        <f>IFERROR(VLOOKUP($A5245,HeadJournal!$A$1:$NTR$890,COLUMN(HeadJournal!B$1),0),"")</f>
        <v>0</v>
      </c>
      <c r="C5245" s="94" t="str">
        <f>IFERROR(VLOOKUP($A5245,HeadJournal!$A$1:$NTR$890,COLUMN(HeadJournal!C$1),0),"")</f>
        <v>iHerb_VP DFD1605</v>
      </c>
      <c r="D5245" s="125" t="str">
        <f>IFERROR(VLOOKUP($A5245,HeadJournal!$A$1:$NTR$890,COLUMN(HeadJournal!D$1),0),"")</f>
        <v>Доставлен</v>
      </c>
      <c r="E5245" s="95">
        <f>IFERROR(VLOOKUP($A5245,HeadJournal!$A$1:$NTR$890,COLUMN(HeadJournal!G$1),0),"")</f>
        <v>45958</v>
      </c>
      <c r="F5245" s="95" t="str">
        <f t="shared" si="389"/>
        <v>2025 10</v>
      </c>
      <c r="G5245" s="97" t="s">
        <v>5</v>
      </c>
      <c r="H5245" s="161" t="s">
        <v>3794</v>
      </c>
      <c r="I5245" s="97" t="s">
        <v>2009</v>
      </c>
      <c r="J5245" s="198" t="s">
        <v>3795</v>
      </c>
      <c r="K5245" s="29">
        <v>13.05</v>
      </c>
      <c r="L5245" s="29">
        <v>-2.61</v>
      </c>
      <c r="M5245" s="30">
        <f>IFERROR(VLOOKUP($A5245,HeadJournal!$A$1:$J$890,COLUMN(HeadJournal!I$1),0)*($K5245+$L5245)/(SUMIF($A:$A,$A5245,$K:$K)+SUMIF($A:$A,$A5245,$L:$L)),0)</f>
        <v>-0.64106479022835916</v>
      </c>
      <c r="N5245" s="30">
        <f>IFERROR((VLOOKUP($A5245,HeadJournal!$A$1:$K$890,COLUMN(HeadJournal!K$1),0)-VLOOKUP($A5245,HeadJournal!$A$1:$K$890,COLUMN(HeadJournal!J$1),0))*($K5245+$L5245)/(SUMIF($A:$A,$A5245,$K:$K)+SUMIF($A:$A,$A5245,$L:$L)),0)</f>
        <v>0</v>
      </c>
      <c r="O5245" s="30">
        <f>IFERROR((VLOOKUP($A5245,HeadJournal!$A$1:$L$890,COLUMN(HeadJournal!L$1),0)*($K5245+$L5245)/(SUMIF($A:$A,$A5245,$K:$K)+SUMIF($A:$A,$A5245,$L:$L)))/VLOOKUP($A5245,HeadJournal!$A$1:$L$890,COLUMN(HeadJournal!H$1),0),0)</f>
        <v>0.27197174747497205</v>
      </c>
      <c r="P5245" s="30">
        <f>IFERROR(SUM(K5245:O5245)*VLOOKUP($A5245,HeadJournal!$A$1:$L$890,COLUMN(HeadJournal!H$1),0),0)</f>
        <v>911.03138077535857</v>
      </c>
      <c r="Q5245" s="29">
        <v>2000</v>
      </c>
      <c r="R5245" s="31">
        <v>45985</v>
      </c>
      <c r="S5245" s="31" t="s">
        <v>3235</v>
      </c>
      <c r="T5245" s="95" t="str">
        <f t="shared" si="390"/>
        <v>2025 11</v>
      </c>
      <c r="U5245" s="32">
        <f t="shared" si="387"/>
        <v>1088.9686192246413</v>
      </c>
      <c r="V5245" s="22">
        <f t="shared" si="388"/>
        <v>1.1953140607493062</v>
      </c>
      <c r="X5245" s="33"/>
      <c r="Y5245" s="33"/>
    </row>
    <row r="5246" spans="1:25" x14ac:dyDescent="0.2">
      <c r="A5246" s="93" t="s">
        <v>4934</v>
      </c>
      <c r="B5246" s="94">
        <f>IFERROR(VLOOKUP($A5246,HeadJournal!$A$1:$NTR$890,COLUMN(HeadJournal!B$1),0),"")</f>
        <v>0</v>
      </c>
      <c r="C5246" s="94" t="str">
        <f>IFERROR(VLOOKUP($A5246,HeadJournal!$A$1:$NTR$890,COLUMN(HeadJournal!C$1),0),"")</f>
        <v>iHerb_MH DLE7202</v>
      </c>
      <c r="D5246" s="125" t="str">
        <f>IFERROR(VLOOKUP($A5246,HeadJournal!$A$1:$NTR$890,COLUMN(HeadJournal!D$1),0),"")</f>
        <v>Доставлен</v>
      </c>
      <c r="E5246" s="95">
        <f>IFERROR(VLOOKUP($A5246,HeadJournal!$A$1:$NTR$890,COLUMN(HeadJournal!G$1),0),"")</f>
        <v>45969</v>
      </c>
      <c r="F5246" s="95" t="str">
        <f t="shared" si="389"/>
        <v>2025 11</v>
      </c>
      <c r="G5246" s="97" t="s">
        <v>5</v>
      </c>
      <c r="H5246" s="161" t="s">
        <v>4924</v>
      </c>
      <c r="I5246" s="97" t="s">
        <v>2666</v>
      </c>
      <c r="J5246" s="97" t="s">
        <v>4925</v>
      </c>
      <c r="K5246" s="29">
        <v>16.02</v>
      </c>
      <c r="L5246" s="29">
        <v>-6.41</v>
      </c>
      <c r="M5246" s="30">
        <f>IFERROR(VLOOKUP($A5246,HeadJournal!$A$1:$J$890,COLUMN(HeadJournal!I$1),0)*($K5246+$L5246)/(SUMIF($A:$A,$A5246,$K:$K)+SUMIF($A:$A,$A5246,$L:$L)),0)</f>
        <v>-0.66659435822687141</v>
      </c>
      <c r="N5246" s="30">
        <f>IFERROR((VLOOKUP($A5246,HeadJournal!$A$1:$K$890,COLUMN(HeadJournal!K$1),0)-VLOOKUP($A5246,HeadJournal!$A$1:$K$890,COLUMN(HeadJournal!J$1),0))*($K5246+$L5246)/(SUMIF($A:$A,$A5246,$K:$K)+SUMIF($A:$A,$A5246,$L:$L)),0)</f>
        <v>3.5128092380971781E-15</v>
      </c>
      <c r="O5246" s="30">
        <f>IFERROR((VLOOKUP($A5246,HeadJournal!$A$1:$L$890,COLUMN(HeadJournal!L$1),0)*($K5246+$L5246)/(SUMIF($A:$A,$A5246,$K:$K)+SUMIF($A:$A,$A5246,$L:$L)))/VLOOKUP($A5246,HeadJournal!$A$1:$L$890,COLUMN(HeadJournal!H$1),0),0)</f>
        <v>0.34949719339618662</v>
      </c>
      <c r="P5246" s="30">
        <f>IFERROR(SUM(K5246:O5246)*VLOOKUP($A5246,HeadJournal!$A$1:$L$890,COLUMN(HeadJournal!H$1),0),0)</f>
        <v>841.30223012946954</v>
      </c>
      <c r="Q5246" s="29"/>
      <c r="R5246" s="31"/>
      <c r="S5246" s="31"/>
      <c r="T5246" s="95" t="str">
        <f t="shared" si="390"/>
        <v/>
      </c>
      <c r="U5246" s="32">
        <f t="shared" si="387"/>
        <v>-841.30223012946954</v>
      </c>
      <c r="V5246" s="22" t="str">
        <f t="shared" si="388"/>
        <v/>
      </c>
      <c r="X5246" s="33"/>
      <c r="Y5246" s="33"/>
    </row>
    <row r="5247" spans="1:25" x14ac:dyDescent="0.2">
      <c r="A5247" s="93" t="s">
        <v>4934</v>
      </c>
      <c r="B5247" s="94">
        <f>IFERROR(VLOOKUP($A5247,HeadJournal!$A$1:$NTR$890,COLUMN(HeadJournal!B$1),0),"")</f>
        <v>0</v>
      </c>
      <c r="C5247" s="94" t="str">
        <f>IFERROR(VLOOKUP($A5247,HeadJournal!$A$1:$NTR$890,COLUMN(HeadJournal!C$1),0),"")</f>
        <v>iHerb_MH DLE7202</v>
      </c>
      <c r="D5247" s="125" t="str">
        <f>IFERROR(VLOOKUP($A5247,HeadJournal!$A$1:$NTR$890,COLUMN(HeadJournal!D$1),0),"")</f>
        <v>Доставлен</v>
      </c>
      <c r="E5247" s="95">
        <f>IFERROR(VLOOKUP($A5247,HeadJournal!$A$1:$NTR$890,COLUMN(HeadJournal!G$1),0),"")</f>
        <v>45969</v>
      </c>
      <c r="F5247" s="95" t="str">
        <f t="shared" si="389"/>
        <v>2025 11</v>
      </c>
      <c r="G5247" s="97" t="s">
        <v>5</v>
      </c>
      <c r="H5247" s="161" t="s">
        <v>4926</v>
      </c>
      <c r="I5247" s="97" t="s">
        <v>2750</v>
      </c>
      <c r="J5247" s="97" t="s">
        <v>4927</v>
      </c>
      <c r="K5247" s="29">
        <v>21.76</v>
      </c>
      <c r="L5247" s="29">
        <v>-4.3499999999999996</v>
      </c>
      <c r="M5247" s="30">
        <f>IFERROR(VLOOKUP($A5247,HeadJournal!$A$1:$J$890,COLUMN(HeadJournal!I$1),0)*($K5247+$L5247)/(SUMIF($A:$A,$A5247,$K:$K)+SUMIF($A:$A,$A5247,$L:$L)),0)</f>
        <v>-1.2076386864443116</v>
      </c>
      <c r="N5247" s="30">
        <f>IFERROR((VLOOKUP($A5247,HeadJournal!$A$1:$K$890,COLUMN(HeadJournal!K$1),0)-VLOOKUP($A5247,HeadJournal!$A$1:$K$890,COLUMN(HeadJournal!J$1),0))*($K5247+$L5247)/(SUMIF($A:$A,$A5247,$K:$K)+SUMIF($A:$A,$A5247,$L:$L)),0)</f>
        <v>6.3639967570522255E-15</v>
      </c>
      <c r="O5247" s="30">
        <f>IFERROR((VLOOKUP($A5247,HeadJournal!$A$1:$L$890,COLUMN(HeadJournal!L$1),0)*($K5247+$L5247)/(SUMIF($A:$A,$A5247,$K:$K)+SUMIF($A:$A,$A5247,$L:$L)))/VLOOKUP($A5247,HeadJournal!$A$1:$L$890,COLUMN(HeadJournal!H$1),0),0)</f>
        <v>0.63316817242743084</v>
      </c>
      <c r="P5247" s="30">
        <f>IFERROR(SUM(K5247:O5247)*VLOOKUP($A5247,HeadJournal!$A$1:$L$890,COLUMN(HeadJournal!H$1),0),0)</f>
        <v>1524.148993397926</v>
      </c>
      <c r="Q5247" s="29">
        <v>2500</v>
      </c>
      <c r="R5247" s="31">
        <v>45997</v>
      </c>
      <c r="S5247" s="31" t="s">
        <v>3226</v>
      </c>
      <c r="T5247" s="95" t="str">
        <f t="shared" si="390"/>
        <v>2025 12</v>
      </c>
      <c r="U5247" s="32">
        <f t="shared" si="387"/>
        <v>975.85100660207399</v>
      </c>
      <c r="V5247" s="22">
        <f t="shared" si="388"/>
        <v>0.64025958802526206</v>
      </c>
      <c r="X5247" s="33"/>
      <c r="Y5247" s="33"/>
    </row>
    <row r="5248" spans="1:25" x14ac:dyDescent="0.2">
      <c r="A5248" s="93" t="s">
        <v>4934</v>
      </c>
      <c r="B5248" s="94">
        <f>IFERROR(VLOOKUP($A5248,HeadJournal!$A$1:$NTR$890,COLUMN(HeadJournal!B$1),0),"")</f>
        <v>0</v>
      </c>
      <c r="C5248" s="94" t="str">
        <f>IFERROR(VLOOKUP($A5248,HeadJournal!$A$1:$NTR$890,COLUMN(HeadJournal!C$1),0),"")</f>
        <v>iHerb_MH DLE7202</v>
      </c>
      <c r="D5248" s="125" t="str">
        <f>IFERROR(VLOOKUP($A5248,HeadJournal!$A$1:$NTR$890,COLUMN(HeadJournal!D$1),0),"")</f>
        <v>Доставлен</v>
      </c>
      <c r="E5248" s="95">
        <f>IFERROR(VLOOKUP($A5248,HeadJournal!$A$1:$NTR$890,COLUMN(HeadJournal!G$1),0),"")</f>
        <v>45969</v>
      </c>
      <c r="F5248" s="95" t="str">
        <f t="shared" si="389"/>
        <v>2025 11</v>
      </c>
      <c r="G5248" s="97" t="s">
        <v>5</v>
      </c>
      <c r="H5248" s="161" t="s">
        <v>2986</v>
      </c>
      <c r="I5248" s="97" t="s">
        <v>2005</v>
      </c>
      <c r="J5248" s="97" t="s">
        <v>2987</v>
      </c>
      <c r="K5248" s="29">
        <v>9.41</v>
      </c>
      <c r="L5248" s="29">
        <v>-0.94</v>
      </c>
      <c r="M5248" s="30">
        <f>IFERROR(VLOOKUP($A5248,HeadJournal!$A$1:$J$890,COLUMN(HeadJournal!I$1),0)*($K5248+$L5248)/(SUMIF($A:$A,$A5248,$K:$K)+SUMIF($A:$A,$A5248,$L:$L)),0)</f>
        <v>-0.58751864871816872</v>
      </c>
      <c r="N5248" s="30">
        <f>IFERROR((VLOOKUP($A5248,HeadJournal!$A$1:$K$890,COLUMN(HeadJournal!K$1),0)-VLOOKUP($A5248,HeadJournal!$A$1:$K$890,COLUMN(HeadJournal!J$1),0))*($K5248+$L5248)/(SUMIF($A:$A,$A5248,$K:$K)+SUMIF($A:$A,$A5248,$L:$L)),0)</f>
        <v>3.0960972160960564E-15</v>
      </c>
      <c r="O5248" s="30">
        <f>IFERROR((VLOOKUP($A5248,HeadJournal!$A$1:$L$890,COLUMN(HeadJournal!L$1),0)*($K5248+$L5248)/(SUMIF($A:$A,$A5248,$K:$K)+SUMIF($A:$A,$A5248,$L:$L)))/VLOOKUP($A5248,HeadJournal!$A$1:$L$890,COLUMN(HeadJournal!H$1),0),0)</f>
        <v>0.30803758876854331</v>
      </c>
      <c r="P5248" s="30">
        <f>IFERROR(SUM(K5248:O5248)*VLOOKUP($A5248,HeadJournal!$A$1:$L$890,COLUMN(HeadJournal!H$1),0),0)</f>
        <v>741.50154934407976</v>
      </c>
      <c r="Q5248" s="29">
        <v>1500</v>
      </c>
      <c r="R5248" s="31">
        <v>45997</v>
      </c>
      <c r="S5248" s="31" t="s">
        <v>3226</v>
      </c>
      <c r="T5248" s="95" t="str">
        <f t="shared" si="390"/>
        <v>2025 12</v>
      </c>
      <c r="U5248" s="32">
        <f t="shared" si="387"/>
        <v>758.49845065592024</v>
      </c>
      <c r="V5248" s="22">
        <f t="shared" si="388"/>
        <v>1.0229222734960914</v>
      </c>
      <c r="X5248" s="33"/>
      <c r="Y5248" s="33"/>
    </row>
    <row r="5249" spans="1:25" x14ac:dyDescent="0.2">
      <c r="A5249" s="93" t="s">
        <v>4934</v>
      </c>
      <c r="B5249" s="94">
        <f>IFERROR(VLOOKUP($A5249,HeadJournal!$A$1:$NTR$890,COLUMN(HeadJournal!B$1),0),"")</f>
        <v>0</v>
      </c>
      <c r="C5249" s="94" t="str">
        <f>IFERROR(VLOOKUP($A5249,HeadJournal!$A$1:$NTR$890,COLUMN(HeadJournal!C$1),0),"")</f>
        <v>iHerb_MH DLE7202</v>
      </c>
      <c r="D5249" s="125" t="str">
        <f>IFERROR(VLOOKUP($A5249,HeadJournal!$A$1:$NTR$890,COLUMN(HeadJournal!D$1),0),"")</f>
        <v>Доставлен</v>
      </c>
      <c r="E5249" s="95">
        <f>IFERROR(VLOOKUP($A5249,HeadJournal!$A$1:$NTR$890,COLUMN(HeadJournal!G$1),0),"")</f>
        <v>45969</v>
      </c>
      <c r="F5249" s="95" t="str">
        <f t="shared" si="389"/>
        <v>2025 11</v>
      </c>
      <c r="G5249" s="97" t="s">
        <v>5</v>
      </c>
      <c r="H5249" s="161" t="s">
        <v>2771</v>
      </c>
      <c r="I5249" s="97" t="s">
        <v>2052</v>
      </c>
      <c r="J5249" s="97" t="s">
        <v>3858</v>
      </c>
      <c r="K5249" s="29">
        <v>13.66</v>
      </c>
      <c r="L5249" s="29">
        <v>-4.0999999999999996</v>
      </c>
      <c r="M5249" s="30">
        <f>IFERROR(VLOOKUP($A5249,HeadJournal!$A$1:$J$890,COLUMN(HeadJournal!I$1),0)*($K5249+$L5249)/(SUMIF($A:$A,$A5249,$K:$K)+SUMIF($A:$A,$A5249,$L:$L)),0)</f>
        <v>-0.66312612535368276</v>
      </c>
      <c r="N5249" s="30">
        <f>IFERROR((VLOOKUP($A5249,HeadJournal!$A$1:$K$890,COLUMN(HeadJournal!K$1),0)-VLOOKUP($A5249,HeadJournal!$A$1:$K$890,COLUMN(HeadJournal!J$1),0))*($K5249+$L5249)/(SUMIF($A:$A,$A5249,$K:$K)+SUMIF($A:$A,$A5249,$L:$L)),0)</f>
        <v>3.4945323950269534E-15</v>
      </c>
      <c r="O5249" s="30">
        <f>IFERROR((VLOOKUP($A5249,HeadJournal!$A$1:$L$890,COLUMN(HeadJournal!L$1),0)*($K5249+$L5249)/(SUMIF($A:$A,$A5249,$K:$K)+SUMIF($A:$A,$A5249,$L:$L)))/VLOOKUP($A5249,HeadJournal!$A$1:$L$890,COLUMN(HeadJournal!H$1),0),0)</f>
        <v>0.34767878968444788</v>
      </c>
      <c r="P5249" s="30">
        <f>IFERROR(SUM(K5249:O5249)*VLOOKUP($A5249,HeadJournal!$A$1:$L$890,COLUMN(HeadJournal!H$1),0),0)</f>
        <v>836.92500728800508</v>
      </c>
      <c r="Q5249" s="29">
        <v>1900</v>
      </c>
      <c r="R5249" s="31">
        <v>46038</v>
      </c>
      <c r="S5249" s="31"/>
      <c r="T5249" s="95" t="str">
        <f t="shared" si="390"/>
        <v>2026 01</v>
      </c>
      <c r="U5249" s="32">
        <f t="shared" si="387"/>
        <v>1063.074992711995</v>
      </c>
      <c r="V5249" s="22">
        <f t="shared" si="388"/>
        <v>1.2702153519785633</v>
      </c>
      <c r="X5249" s="33"/>
      <c r="Y5249" s="33"/>
    </row>
    <row r="5250" spans="1:25" x14ac:dyDescent="0.2">
      <c r="A5250" s="93" t="s">
        <v>4934</v>
      </c>
      <c r="B5250" s="94">
        <f>IFERROR(VLOOKUP($A5250,HeadJournal!$A$1:$NTR$890,COLUMN(HeadJournal!B$1),0),"")</f>
        <v>0</v>
      </c>
      <c r="C5250" s="94" t="str">
        <f>IFERROR(VLOOKUP($A5250,HeadJournal!$A$1:$NTR$890,COLUMN(HeadJournal!C$1),0),"")</f>
        <v>iHerb_MH DLE7202</v>
      </c>
      <c r="D5250" s="125" t="str">
        <f>IFERROR(VLOOKUP($A5250,HeadJournal!$A$1:$NTR$890,COLUMN(HeadJournal!D$1),0),"")</f>
        <v>Доставлен</v>
      </c>
      <c r="E5250" s="95">
        <f>IFERROR(VLOOKUP($A5250,HeadJournal!$A$1:$NTR$890,COLUMN(HeadJournal!G$1),0),"")</f>
        <v>45969</v>
      </c>
      <c r="F5250" s="95" t="str">
        <f t="shared" si="389"/>
        <v>2025 11</v>
      </c>
      <c r="G5250" s="97" t="s">
        <v>5</v>
      </c>
      <c r="H5250" s="161" t="s">
        <v>2174</v>
      </c>
      <c r="I5250" s="97" t="s">
        <v>2005</v>
      </c>
      <c r="J5250" s="97" t="s">
        <v>2175</v>
      </c>
      <c r="K5250" s="29">
        <v>5.78</v>
      </c>
      <c r="L5250" s="29">
        <v>-0.57999999999999996</v>
      </c>
      <c r="M5250" s="30">
        <f>IFERROR(VLOOKUP($A5250,HeadJournal!$A$1:$J$890,COLUMN(HeadJournal!I$1),0)*($K5250+$L5250)/(SUMIF($A:$A,$A5250,$K:$K)+SUMIF($A:$A,$A5250,$L:$L)),0)</f>
        <v>-0.36069621881162661</v>
      </c>
      <c r="N5250" s="30">
        <f>IFERROR((VLOOKUP($A5250,HeadJournal!$A$1:$K$890,COLUMN(HeadJournal!K$1),0)-VLOOKUP($A5250,HeadJournal!$A$1:$K$890,COLUMN(HeadJournal!J$1),0))*($K5250+$L5250)/(SUMIF($A:$A,$A5250,$K:$K)+SUMIF($A:$A,$A5250,$L:$L)),0)</f>
        <v>1.900791679303364E-15</v>
      </c>
      <c r="O5250" s="30">
        <f>IFERROR((VLOOKUP($A5250,HeadJournal!$A$1:$L$890,COLUMN(HeadJournal!L$1),0)*($K5250+$L5250)/(SUMIF($A:$A,$A5250,$K:$K)+SUMIF($A:$A,$A5250,$L:$L)))/VLOOKUP($A5250,HeadJournal!$A$1:$L$890,COLUMN(HeadJournal!H$1),0),0)</f>
        <v>0.18911398602082941</v>
      </c>
      <c r="P5250" s="30">
        <f>IFERROR(SUM(K5250:O5250)*VLOOKUP($A5250,HeadJournal!$A$1:$L$890,COLUMN(HeadJournal!H$1),0),0)</f>
        <v>455.23117551230399</v>
      </c>
      <c r="Q5250" s="29">
        <v>1100</v>
      </c>
      <c r="R5250" s="31">
        <v>46066</v>
      </c>
      <c r="S5250" s="31" t="s">
        <v>4872</v>
      </c>
      <c r="T5250" s="95" t="str">
        <f t="shared" si="390"/>
        <v>2026 02</v>
      </c>
      <c r="U5250" s="32">
        <f t="shared" si="387"/>
        <v>644.76882448769607</v>
      </c>
      <c r="V5250" s="22">
        <f t="shared" si="388"/>
        <v>1.416354720790139</v>
      </c>
      <c r="X5250" s="33"/>
      <c r="Y5250" s="33"/>
    </row>
    <row r="5251" spans="1:25" x14ac:dyDescent="0.2">
      <c r="A5251" s="93" t="s">
        <v>4934</v>
      </c>
      <c r="B5251" s="94">
        <f>IFERROR(VLOOKUP($A5251,HeadJournal!$A$1:$NTR$890,COLUMN(HeadJournal!B$1),0),"")</f>
        <v>0</v>
      </c>
      <c r="C5251" s="94" t="str">
        <f>IFERROR(VLOOKUP($A5251,HeadJournal!$A$1:$NTR$890,COLUMN(HeadJournal!C$1),0),"")</f>
        <v>iHerb_MH DLE7202</v>
      </c>
      <c r="D5251" s="125" t="str">
        <f>IFERROR(VLOOKUP($A5251,HeadJournal!$A$1:$NTR$890,COLUMN(HeadJournal!D$1),0),"")</f>
        <v>Доставлен</v>
      </c>
      <c r="E5251" s="95">
        <f>IFERROR(VLOOKUP($A5251,HeadJournal!$A$1:$NTR$890,COLUMN(HeadJournal!G$1),0),"")</f>
        <v>45969</v>
      </c>
      <c r="F5251" s="95" t="str">
        <f t="shared" si="389"/>
        <v>2025 11</v>
      </c>
      <c r="G5251" s="97" t="s">
        <v>5</v>
      </c>
      <c r="H5251" s="161" t="s">
        <v>4928</v>
      </c>
      <c r="I5251" s="97" t="s">
        <v>2750</v>
      </c>
      <c r="J5251" s="97" t="s">
        <v>4929</v>
      </c>
      <c r="K5251" s="29">
        <v>23.79</v>
      </c>
      <c r="L5251" s="29">
        <v>-4.76</v>
      </c>
      <c r="M5251" s="30">
        <f>IFERROR(VLOOKUP($A5251,HeadJournal!$A$1:$J$890,COLUMN(HeadJournal!I$1),0)*($K5251+$L5251)/(SUMIF($A:$A,$A5251,$K:$K)+SUMIF($A:$A,$A5251,$L:$L)),0)</f>
        <v>-1.3200094315356259</v>
      </c>
      <c r="N5251" s="30">
        <f>IFERROR((VLOOKUP($A5251,HeadJournal!$A$1:$K$890,COLUMN(HeadJournal!K$1),0)-VLOOKUP($A5251,HeadJournal!$A$1:$K$890,COLUMN(HeadJournal!J$1),0))*($K5251+$L5251)/(SUMIF($A:$A,$A5251,$K:$K)+SUMIF($A:$A,$A5251,$L:$L)),0)</f>
        <v>6.9561664725275027E-15</v>
      </c>
      <c r="O5251" s="30">
        <f>IFERROR((VLOOKUP($A5251,HeadJournal!$A$1:$L$890,COLUMN(HeadJournal!L$1),0)*($K5251+$L5251)/(SUMIF($A:$A,$A5251,$K:$K)+SUMIF($A:$A,$A5251,$L:$L)))/VLOOKUP($A5251,HeadJournal!$A$1:$L$890,COLUMN(HeadJournal!H$1),0),0)</f>
        <v>0.69208445268776608</v>
      </c>
      <c r="P5251" s="30">
        <f>IFERROR(SUM(K5251:O5251)*VLOOKUP($A5251,HeadJournal!$A$1:$L$890,COLUMN(HeadJournal!H$1),0),0)</f>
        <v>1665.971013461374</v>
      </c>
      <c r="Q5251" s="29"/>
      <c r="R5251" s="31"/>
      <c r="S5251" s="31"/>
      <c r="T5251" s="95" t="str">
        <f t="shared" si="390"/>
        <v/>
      </c>
      <c r="U5251" s="32">
        <f t="shared" si="387"/>
        <v>-1665.971013461374</v>
      </c>
      <c r="V5251" s="22" t="str">
        <f t="shared" si="388"/>
        <v/>
      </c>
      <c r="X5251" s="33"/>
      <c r="Y5251" s="33"/>
    </row>
    <row r="5252" spans="1:25" x14ac:dyDescent="0.2">
      <c r="A5252" s="93" t="s">
        <v>4934</v>
      </c>
      <c r="B5252" s="94">
        <f>IFERROR(VLOOKUP($A5252,HeadJournal!$A$1:$NTR$890,COLUMN(HeadJournal!B$1),0),"")</f>
        <v>0</v>
      </c>
      <c r="C5252" s="94" t="str">
        <f>IFERROR(VLOOKUP($A5252,HeadJournal!$A$1:$NTR$890,COLUMN(HeadJournal!C$1),0),"")</f>
        <v>iHerb_MH DLE7202</v>
      </c>
      <c r="D5252" s="125" t="str">
        <f>IFERROR(VLOOKUP($A5252,HeadJournal!$A$1:$NTR$890,COLUMN(HeadJournal!D$1),0),"")</f>
        <v>Доставлен</v>
      </c>
      <c r="E5252" s="95">
        <f>IFERROR(VLOOKUP($A5252,HeadJournal!$A$1:$NTR$890,COLUMN(HeadJournal!G$1),0),"")</f>
        <v>45969</v>
      </c>
      <c r="F5252" s="95" t="str">
        <f t="shared" ref="F5252:F5315" si="391">IFERROR(TEXT(E5252, "ГГГГ ММ"),"")</f>
        <v>2025 11</v>
      </c>
      <c r="G5252" s="97" t="s">
        <v>5</v>
      </c>
      <c r="H5252" s="161" t="s">
        <v>4930</v>
      </c>
      <c r="I5252" s="97" t="s">
        <v>2750</v>
      </c>
      <c r="J5252" s="97" t="s">
        <v>4931</v>
      </c>
      <c r="K5252" s="29">
        <v>15.5</v>
      </c>
      <c r="L5252" s="29">
        <v>-3.1</v>
      </c>
      <c r="M5252" s="30">
        <f>IFERROR(VLOOKUP($A5252,HeadJournal!$A$1:$J$890,COLUMN(HeadJournal!I$1),0)*($K5252+$L5252)/(SUMIF($A:$A,$A5252,$K:$K)+SUMIF($A:$A,$A5252,$L:$L)),0)</f>
        <v>-0.86012175255080192</v>
      </c>
      <c r="N5252" s="30">
        <f>IFERROR((VLOOKUP($A5252,HeadJournal!$A$1:$K$890,COLUMN(HeadJournal!K$1),0)-VLOOKUP($A5252,HeadJournal!$A$1:$K$890,COLUMN(HeadJournal!J$1),0))*($K5252+$L5252)/(SUMIF($A:$A,$A5252,$K:$K)+SUMIF($A:$A,$A5252,$L:$L)),0)</f>
        <v>4.5326570814157138E-15</v>
      </c>
      <c r="O5252" s="30">
        <f>IFERROR((VLOOKUP($A5252,HeadJournal!$A$1:$L$890,COLUMN(HeadJournal!L$1),0)*($K5252+$L5252)/(SUMIF($A:$A,$A5252,$K:$K)+SUMIF($A:$A,$A5252,$L:$L)))/VLOOKUP($A5252,HeadJournal!$A$1:$L$890,COLUMN(HeadJournal!H$1),0),0)</f>
        <v>0.45096412051120854</v>
      </c>
      <c r="P5252" s="30">
        <f>IFERROR(SUM(K5252:O5252)*VLOOKUP($A5252,HeadJournal!$A$1:$L$890,COLUMN(HeadJournal!H$1),0),0)</f>
        <v>1085.5512646831867</v>
      </c>
      <c r="Q5252" s="29">
        <v>2900</v>
      </c>
      <c r="R5252" s="31">
        <v>46015</v>
      </c>
      <c r="S5252" s="31" t="s">
        <v>3172</v>
      </c>
      <c r="T5252" s="95" t="str">
        <f t="shared" ref="T5252:T5315" si="392">IF(R5252="","",TEXT(R5252,"ГГГГ ММ"))</f>
        <v>2025 12</v>
      </c>
      <c r="U5252" s="32">
        <f t="shared" si="387"/>
        <v>1814.4487353168133</v>
      </c>
      <c r="V5252" s="22">
        <f t="shared" si="388"/>
        <v>1.671453752897015</v>
      </c>
      <c r="X5252" s="33"/>
      <c r="Y5252" s="33"/>
    </row>
    <row r="5253" spans="1:25" x14ac:dyDescent="0.2">
      <c r="A5253" s="93" t="s">
        <v>4934</v>
      </c>
      <c r="B5253" s="94">
        <f>IFERROR(VLOOKUP($A5253,HeadJournal!$A$1:$NTR$890,COLUMN(HeadJournal!B$1),0),"")</f>
        <v>0</v>
      </c>
      <c r="C5253" s="94" t="str">
        <f>IFERROR(VLOOKUP($A5253,HeadJournal!$A$1:$NTR$890,COLUMN(HeadJournal!C$1),0),"")</f>
        <v>iHerb_MH DLE7202</v>
      </c>
      <c r="D5253" s="125" t="str">
        <f>IFERROR(VLOOKUP($A5253,HeadJournal!$A$1:$NTR$890,COLUMN(HeadJournal!D$1),0),"")</f>
        <v>Доставлен</v>
      </c>
      <c r="E5253" s="95">
        <f>IFERROR(VLOOKUP($A5253,HeadJournal!$A$1:$NTR$890,COLUMN(HeadJournal!G$1),0),"")</f>
        <v>45969</v>
      </c>
      <c r="F5253" s="95" t="str">
        <f t="shared" si="391"/>
        <v>2025 11</v>
      </c>
      <c r="G5253" s="97" t="s">
        <v>5</v>
      </c>
      <c r="H5253" s="161" t="s">
        <v>3660</v>
      </c>
      <c r="I5253" s="97" t="s">
        <v>3689</v>
      </c>
      <c r="J5253" s="97" t="s">
        <v>4932</v>
      </c>
      <c r="K5253" s="29">
        <v>29.35</v>
      </c>
      <c r="L5253" s="29">
        <v>-2.94</v>
      </c>
      <c r="M5253" s="30">
        <f>IFERROR(VLOOKUP($A5253,HeadJournal!$A$1:$J$890,COLUMN(HeadJournal!I$1),0)*($K5253+$L5253)/(SUMIF($A:$A,$A5253,$K:$K)+SUMIF($A:$A,$A5253,$L:$L)),0)</f>
        <v>-1.8319206036182807</v>
      </c>
      <c r="N5253" s="30">
        <f>IFERROR((VLOOKUP($A5253,HeadJournal!$A$1:$K$890,COLUMN(HeadJournal!K$1),0)-VLOOKUP($A5253,HeadJournal!$A$1:$K$890,COLUMN(HeadJournal!J$1),0))*($K5253+$L5253)/(SUMIF($A:$A,$A5253,$K:$K)+SUMIF($A:$A,$A5253,$L:$L)),0)</f>
        <v>9.6538285096926618E-15</v>
      </c>
      <c r="O5253" s="30">
        <f>IFERROR((VLOOKUP($A5253,HeadJournal!$A$1:$L$890,COLUMN(HeadJournal!L$1),0)*($K5253+$L5253)/(SUMIF($A:$A,$A5253,$K:$K)+SUMIF($A:$A,$A5253,$L:$L)))/VLOOKUP($A5253,HeadJournal!$A$1:$L$890,COLUMN(HeadJournal!H$1),0),0)</f>
        <v>0.96048084054040472</v>
      </c>
      <c r="P5253" s="30">
        <f>IFERROR(SUM(K5253:O5253)*VLOOKUP($A5253,HeadJournal!$A$1:$L$890,COLUMN(HeadJournal!H$1),0),0)</f>
        <v>2312.049104861529</v>
      </c>
      <c r="Q5253" s="29">
        <v>3100</v>
      </c>
      <c r="R5253" s="31">
        <v>45997</v>
      </c>
      <c r="S5253" s="31"/>
      <c r="T5253" s="95" t="str">
        <f t="shared" si="392"/>
        <v>2025 12</v>
      </c>
      <c r="U5253" s="32">
        <f t="shared" si="387"/>
        <v>787.95089513847097</v>
      </c>
      <c r="V5253" s="22">
        <f t="shared" si="388"/>
        <v>0.34080197236367182</v>
      </c>
      <c r="X5253" s="33"/>
      <c r="Y5253" s="33"/>
    </row>
    <row r="5254" spans="1:25" x14ac:dyDescent="0.2">
      <c r="A5254" s="93" t="s">
        <v>4934</v>
      </c>
      <c r="B5254" s="94">
        <f>IFERROR(VLOOKUP($A5254,HeadJournal!$A$1:$NTR$890,COLUMN(HeadJournal!B$1),0),"")</f>
        <v>0</v>
      </c>
      <c r="C5254" s="94" t="str">
        <f>IFERROR(VLOOKUP($A5254,HeadJournal!$A$1:$NTR$890,COLUMN(HeadJournal!C$1),0),"")</f>
        <v>iHerb_MH DLE7202</v>
      </c>
      <c r="D5254" s="125" t="str">
        <f>IFERROR(VLOOKUP($A5254,HeadJournal!$A$1:$NTR$890,COLUMN(HeadJournal!D$1),0),"")</f>
        <v>Доставлен</v>
      </c>
      <c r="E5254" s="95">
        <f>IFERROR(VLOOKUP($A5254,HeadJournal!$A$1:$NTR$890,COLUMN(HeadJournal!G$1),0),"")</f>
        <v>45969</v>
      </c>
      <c r="F5254" s="95" t="str">
        <f t="shared" si="391"/>
        <v>2025 11</v>
      </c>
      <c r="G5254" s="97" t="s">
        <v>6</v>
      </c>
      <c r="H5254" s="161" t="s">
        <v>4399</v>
      </c>
      <c r="I5254" s="97" t="s">
        <v>4400</v>
      </c>
      <c r="J5254" s="97" t="s">
        <v>4933</v>
      </c>
      <c r="K5254" s="29">
        <v>19.13</v>
      </c>
      <c r="L5254" s="29">
        <v>-10.59</v>
      </c>
      <c r="M5254" s="30">
        <f>IFERROR(VLOOKUP($A5254,HeadJournal!$A$1:$J$890,COLUMN(HeadJournal!I$1),0)*($K5254+$L5254)/(SUMIF($A:$A,$A5254,$K:$K)+SUMIF($A:$A,$A5254,$L:$L)),0)</f>
        <v>-0.59237417474063281</v>
      </c>
      <c r="N5254" s="30">
        <f>IFERROR((VLOOKUP($A5254,HeadJournal!$A$1:$K$890,COLUMN(HeadJournal!K$1),0)-VLOOKUP($A5254,HeadJournal!$A$1:$K$890,COLUMN(HeadJournal!J$1),0))*($K5254+$L5254)/(SUMIF($A:$A,$A5254,$K:$K)+SUMIF($A:$A,$A5254,$L:$L)),0)</f>
        <v>3.1216847963943702E-15</v>
      </c>
      <c r="O5254" s="30">
        <f>IFERROR((VLOOKUP($A5254,HeadJournal!$A$1:$L$890,COLUMN(HeadJournal!L$1),0)*($K5254+$L5254)/(SUMIF($A:$A,$A5254,$K:$K)+SUMIF($A:$A,$A5254,$L:$L)))/VLOOKUP($A5254,HeadJournal!$A$1:$L$890,COLUMN(HeadJournal!H$1),0),0)</f>
        <v>0.31058335396497749</v>
      </c>
      <c r="P5254" s="30">
        <f>IFERROR(SUM(K5254:O5254)*VLOOKUP($A5254,HeadJournal!$A$1:$L$890,COLUMN(HeadJournal!H$1),0),0)</f>
        <v>747.62966132212989</v>
      </c>
      <c r="Q5254" s="29"/>
      <c r="R5254" s="31"/>
      <c r="S5254" s="31"/>
      <c r="T5254" s="95" t="str">
        <f t="shared" si="392"/>
        <v/>
      </c>
      <c r="U5254" s="32">
        <f t="shared" si="387"/>
        <v>-747.62966132212989</v>
      </c>
      <c r="V5254" s="22" t="str">
        <f t="shared" si="388"/>
        <v/>
      </c>
      <c r="X5254" s="33"/>
      <c r="Y5254" s="33"/>
    </row>
    <row r="5255" spans="1:25" x14ac:dyDescent="0.2">
      <c r="A5255" s="93" t="s">
        <v>4945</v>
      </c>
      <c r="B5255" s="94">
        <f>IFERROR(VLOOKUP($A5255,HeadJournal!$A$1:$NTR$890,COLUMN(HeadJournal!B$1),0),"")</f>
        <v>0</v>
      </c>
      <c r="C5255" s="94" t="str">
        <f>IFERROR(VLOOKUP($A5255,HeadJournal!$A$1:$NTR$890,COLUMN(HeadJournal!C$1),0),"")</f>
        <v>iHerb_OA CZN6870</v>
      </c>
      <c r="D5255" s="125" t="str">
        <f>IFERROR(VLOOKUP($A5255,HeadJournal!$A$1:$NTR$890,COLUMN(HeadJournal!D$1),0),"")</f>
        <v>Доставлен</v>
      </c>
      <c r="E5255" s="95">
        <f>IFERROR(VLOOKUP($A5255,HeadJournal!$A$1:$NTR$890,COLUMN(HeadJournal!G$1),0),"")</f>
        <v>45960</v>
      </c>
      <c r="F5255" s="95" t="str">
        <f t="shared" si="391"/>
        <v>2025 10</v>
      </c>
      <c r="G5255" s="97" t="s">
        <v>5</v>
      </c>
      <c r="H5255" s="161" t="s">
        <v>2466</v>
      </c>
      <c r="I5255" s="97" t="s">
        <v>2102</v>
      </c>
      <c r="J5255" s="97" t="s">
        <v>4935</v>
      </c>
      <c r="K5255" s="29">
        <v>33.67</v>
      </c>
      <c r="L5255" s="29">
        <v>-6.73</v>
      </c>
      <c r="M5255" s="30">
        <f>IFERROR(VLOOKUP($A5255,HeadJournal!$A$1:$J$890,COLUMN(HeadJournal!I$1),0)*($K5255+$L5255)/(SUMIF($A:$A,$A5255,$K:$K)+SUMIF($A:$A,$A5255,$L:$L)),0)</f>
        <v>-2.6940000000000008</v>
      </c>
      <c r="N5255" s="30">
        <f>IFERROR((VLOOKUP($A5255,HeadJournal!$A$1:$K$890,COLUMN(HeadJournal!K$1),0)-VLOOKUP($A5255,HeadJournal!$A$1:$K$890,COLUMN(HeadJournal!J$1),0))*($K5255+$L5255)/(SUMIF($A:$A,$A5255,$K:$K)+SUMIF($A:$A,$A5255,$L:$L)),0)</f>
        <v>2.6940000000000026</v>
      </c>
      <c r="O5255" s="30">
        <f>IFERROR((VLOOKUP($A5255,HeadJournal!$A$1:$L$890,COLUMN(HeadJournal!L$1),0)*($K5255+$L5255)/(SUMIF($A:$A,$A5255,$K:$K)+SUMIF($A:$A,$A5255,$L:$L)))/VLOOKUP($A5255,HeadJournal!$A$1:$L$890,COLUMN(HeadJournal!H$1),0),0)</f>
        <v>1.2841229408562549</v>
      </c>
      <c r="P5255" s="30">
        <f>IFERROR(SUM(K5255:O5255)*VLOOKUP($A5255,HeadJournal!$A$1:$L$890,COLUMN(HeadJournal!H$1),0),0)</f>
        <v>2537.6671428571431</v>
      </c>
      <c r="Q5255" s="29">
        <v>3900</v>
      </c>
      <c r="R5255" s="31">
        <v>46034</v>
      </c>
      <c r="S5255" s="31" t="s">
        <v>3231</v>
      </c>
      <c r="T5255" s="95" t="str">
        <f t="shared" si="392"/>
        <v>2026 01</v>
      </c>
      <c r="U5255" s="32">
        <f t="shared" si="387"/>
        <v>1362.3328571428569</v>
      </c>
      <c r="V5255" s="22">
        <f t="shared" si="388"/>
        <v>0.53684458222878484</v>
      </c>
      <c r="X5255" s="33"/>
      <c r="Y5255" s="33"/>
    </row>
    <row r="5256" spans="1:25" x14ac:dyDescent="0.2">
      <c r="A5256" s="93" t="s">
        <v>4945</v>
      </c>
      <c r="B5256" s="94">
        <f>IFERROR(VLOOKUP($A5256,HeadJournal!$A$1:$NTR$890,COLUMN(HeadJournal!B$1),0),"")</f>
        <v>0</v>
      </c>
      <c r="C5256" s="94" t="str">
        <f>IFERROR(VLOOKUP($A5256,HeadJournal!$A$1:$NTR$890,COLUMN(HeadJournal!C$1),0),"")</f>
        <v>iHerb_OA CZN6870</v>
      </c>
      <c r="D5256" s="125" t="str">
        <f>IFERROR(VLOOKUP($A5256,HeadJournal!$A$1:$NTR$890,COLUMN(HeadJournal!D$1),0),"")</f>
        <v>Доставлен</v>
      </c>
      <c r="E5256" s="95">
        <f>IFERROR(VLOOKUP($A5256,HeadJournal!$A$1:$NTR$890,COLUMN(HeadJournal!G$1),0),"")</f>
        <v>45960</v>
      </c>
      <c r="F5256" s="95" t="str">
        <f t="shared" si="391"/>
        <v>2025 10</v>
      </c>
      <c r="G5256" s="97" t="s">
        <v>5</v>
      </c>
      <c r="H5256" s="161" t="s">
        <v>4936</v>
      </c>
      <c r="I5256" s="97" t="s">
        <v>4937</v>
      </c>
      <c r="J5256" s="97" t="s">
        <v>4938</v>
      </c>
      <c r="K5256" s="29">
        <v>78.319999999999993</v>
      </c>
      <c r="L5256" s="29">
        <v>-15.66</v>
      </c>
      <c r="M5256" s="30">
        <f>IFERROR(VLOOKUP($A5256,HeadJournal!$A$1:$J$890,COLUMN(HeadJournal!I$1),0)*($K5256+$L5256)/(SUMIF($A:$A,$A5256,$K:$K)+SUMIF($A:$A,$A5256,$L:$L)),0)</f>
        <v>-6.2660000000000009</v>
      </c>
      <c r="N5256" s="30">
        <f>IFERROR((VLOOKUP($A5256,HeadJournal!$A$1:$K$890,COLUMN(HeadJournal!K$1),0)-VLOOKUP($A5256,HeadJournal!$A$1:$K$890,COLUMN(HeadJournal!J$1),0))*($K5256+$L5256)/(SUMIF($A:$A,$A5256,$K:$K)+SUMIF($A:$A,$A5256,$L:$L)),0)</f>
        <v>6.2660000000000062</v>
      </c>
      <c r="O5256" s="30">
        <f>IFERROR((VLOOKUP($A5256,HeadJournal!$A$1:$L$890,COLUMN(HeadJournal!L$1),0)*($K5256+$L5256)/(SUMIF($A:$A,$A5256,$K:$K)+SUMIF($A:$A,$A5256,$L:$L)))/VLOOKUP($A5256,HeadJournal!$A$1:$L$890,COLUMN(HeadJournal!H$1),0),0)</f>
        <v>2.9867536553100567</v>
      </c>
      <c r="P5256" s="30">
        <f>IFERROR(SUM(K5256:O5256)*VLOOKUP($A5256,HeadJournal!$A$1:$L$890,COLUMN(HeadJournal!H$1),0),0)</f>
        <v>5902.3839336090787</v>
      </c>
      <c r="Q5256" s="29">
        <v>7550</v>
      </c>
      <c r="R5256" s="31">
        <v>45997</v>
      </c>
      <c r="S5256" s="31" t="s">
        <v>3475</v>
      </c>
      <c r="T5256" s="95" t="str">
        <f t="shared" si="392"/>
        <v>2025 12</v>
      </c>
      <c r="U5256" s="32">
        <f t="shared" si="387"/>
        <v>1647.6160663909213</v>
      </c>
      <c r="V5256" s="22">
        <f t="shared" si="388"/>
        <v>0.27914417037650552</v>
      </c>
      <c r="X5256" s="33"/>
      <c r="Y5256" s="33"/>
    </row>
    <row r="5257" spans="1:25" x14ac:dyDescent="0.2">
      <c r="A5257" s="93" t="s">
        <v>4946</v>
      </c>
      <c r="B5257" s="94">
        <f>IFERROR(VLOOKUP($A5257,HeadJournal!$A$1:$NTR$890,COLUMN(HeadJournal!B$1),0),"")</f>
        <v>0</v>
      </c>
      <c r="C5257" s="94" t="str">
        <f>IFERROR(VLOOKUP($A5257,HeadJournal!$A$1:$NTR$890,COLUMN(HeadJournal!C$1),0),"")</f>
        <v>iHerb_OA CZN6870</v>
      </c>
      <c r="D5257" s="125" t="str">
        <f>IFERROR(VLOOKUP($A5257,HeadJournal!$A$1:$NTR$890,COLUMN(HeadJournal!D$1),0),"")</f>
        <v>Доставлен</v>
      </c>
      <c r="E5257" s="95">
        <f>IFERROR(VLOOKUP($A5257,HeadJournal!$A$1:$NTR$890,COLUMN(HeadJournal!G$1),0),"")</f>
        <v>45967</v>
      </c>
      <c r="F5257" s="95" t="str">
        <f t="shared" si="391"/>
        <v>2025 11</v>
      </c>
      <c r="G5257" s="97" t="s">
        <v>5</v>
      </c>
      <c r="H5257" s="161" t="s">
        <v>2146</v>
      </c>
      <c r="I5257" s="97" t="s">
        <v>2147</v>
      </c>
      <c r="J5257" s="97" t="s">
        <v>4939</v>
      </c>
      <c r="K5257" s="29">
        <v>29.61</v>
      </c>
      <c r="L5257" s="29">
        <v>-2.96</v>
      </c>
      <c r="M5257" s="30">
        <f>IFERROR(VLOOKUP($A5257,HeadJournal!$A$1:$J$890,COLUMN(HeadJournal!I$1),0)*($K5257+$L5257)/(SUMIF($A:$A,$A5257,$K:$K)+SUMIF($A:$A,$A5257,$L:$L)),0)</f>
        <v>-1.2769986466843766</v>
      </c>
      <c r="N5257" s="30">
        <f>IFERROR((VLOOKUP($A5257,HeadJournal!$A$1:$K$890,COLUMN(HeadJournal!K$1),0)-VLOOKUP($A5257,HeadJournal!$A$1:$K$890,COLUMN(HeadJournal!J$1),0))*($K5257+$L5257)/(SUMIF($A:$A,$A5257,$K:$K)+SUMIF($A:$A,$A5257,$L:$L)),0)</f>
        <v>-3.7964941923726462E-15</v>
      </c>
      <c r="O5257" s="30">
        <f>IFERROR((VLOOKUP($A5257,HeadJournal!$A$1:$L$890,COLUMN(HeadJournal!L$1),0)*($K5257+$L5257)/(SUMIF($A:$A,$A5257,$K:$K)+SUMIF($A:$A,$A5257,$L:$L)))/VLOOKUP($A5257,HeadJournal!$A$1:$L$890,COLUMN(HeadJournal!H$1),0),0)</f>
        <v>0.56783046033051432</v>
      </c>
      <c r="P5257" s="30">
        <f>IFERROR(SUM(K5257:O5257)*VLOOKUP($A5257,HeadJournal!$A$1:$L$890,COLUMN(HeadJournal!H$1),0),0)</f>
        <v>2343.3058743922611</v>
      </c>
      <c r="Q5257" s="29"/>
      <c r="R5257" s="31"/>
      <c r="S5257" s="31"/>
      <c r="T5257" s="95" t="str">
        <f t="shared" si="392"/>
        <v/>
      </c>
      <c r="U5257" s="32">
        <f t="shared" si="387"/>
        <v>-2343.3058743922611</v>
      </c>
      <c r="V5257" s="22" t="str">
        <f t="shared" si="388"/>
        <v/>
      </c>
      <c r="X5257" s="33"/>
      <c r="Y5257" s="33"/>
    </row>
    <row r="5258" spans="1:25" x14ac:dyDescent="0.2">
      <c r="A5258" s="93" t="s">
        <v>4946</v>
      </c>
      <c r="B5258" s="94">
        <f>IFERROR(VLOOKUP($A5258,HeadJournal!$A$1:$NTR$890,COLUMN(HeadJournal!B$1),0),"")</f>
        <v>0</v>
      </c>
      <c r="C5258" s="94" t="str">
        <f>IFERROR(VLOOKUP($A5258,HeadJournal!$A$1:$NTR$890,COLUMN(HeadJournal!C$1),0),"")</f>
        <v>iHerb_OA CZN6870</v>
      </c>
      <c r="D5258" s="125" t="str">
        <f>IFERROR(VLOOKUP($A5258,HeadJournal!$A$1:$NTR$890,COLUMN(HeadJournal!D$1),0),"")</f>
        <v>Доставлен</v>
      </c>
      <c r="E5258" s="95">
        <f>IFERROR(VLOOKUP($A5258,HeadJournal!$A$1:$NTR$890,COLUMN(HeadJournal!G$1),0),"")</f>
        <v>45967</v>
      </c>
      <c r="F5258" s="95" t="str">
        <f t="shared" si="391"/>
        <v>2025 11</v>
      </c>
      <c r="G5258" s="97" t="s">
        <v>5</v>
      </c>
      <c r="H5258" s="161" t="s">
        <v>2014</v>
      </c>
      <c r="I5258" s="97" t="s">
        <v>2052</v>
      </c>
      <c r="J5258" s="97" t="s">
        <v>2015</v>
      </c>
      <c r="K5258" s="29">
        <v>31.7</v>
      </c>
      <c r="L5258" s="29">
        <v>-12.68</v>
      </c>
      <c r="M5258" s="30">
        <f>IFERROR(VLOOKUP($A5258,HeadJournal!$A$1:$J$890,COLUMN(HeadJournal!I$1),0)*($K5258+$L5258)/(SUMIF($A:$A,$A5258,$K:$K)+SUMIF($A:$A,$A5258,$L:$L)),0)</f>
        <v>-0.911388902811889</v>
      </c>
      <c r="N5258" s="30">
        <f>IFERROR((VLOOKUP($A5258,HeadJournal!$A$1:$K$890,COLUMN(HeadJournal!K$1),0)-VLOOKUP($A5258,HeadJournal!$A$1:$K$890,COLUMN(HeadJournal!J$1),0))*($K5258+$L5258)/(SUMIF($A:$A,$A5258,$K:$K)+SUMIF($A:$A,$A5258,$L:$L)),0)</f>
        <v>-2.7095429470516976E-15</v>
      </c>
      <c r="O5258" s="30">
        <f>IFERROR((VLOOKUP($A5258,HeadJournal!$A$1:$L$890,COLUMN(HeadJournal!L$1),0)*($K5258+$L5258)/(SUMIF($A:$A,$A5258,$K:$K)+SUMIF($A:$A,$A5258,$L:$L)))/VLOOKUP($A5258,HeadJournal!$A$1:$L$890,COLUMN(HeadJournal!H$1),0),0)</f>
        <v>0.40525836230718137</v>
      </c>
      <c r="P5258" s="30">
        <f>IFERROR(SUM(K5258:O5258)*VLOOKUP($A5258,HeadJournal!$A$1:$L$890,COLUMN(HeadJournal!H$1),0),0)</f>
        <v>1672.4081700165402</v>
      </c>
      <c r="Q5258" s="29">
        <v>3300</v>
      </c>
      <c r="R5258" s="31">
        <v>46075</v>
      </c>
      <c r="S5258" s="31" t="s">
        <v>4992</v>
      </c>
      <c r="T5258" s="95" t="str">
        <f t="shared" si="392"/>
        <v>2026 02</v>
      </c>
      <c r="U5258" s="32">
        <f t="shared" si="387"/>
        <v>1627.5918299834598</v>
      </c>
      <c r="V5258" s="22">
        <f t="shared" si="388"/>
        <v>0.97320251070488539</v>
      </c>
      <c r="X5258" s="33"/>
      <c r="Y5258" s="33"/>
    </row>
    <row r="5259" spans="1:25" x14ac:dyDescent="0.2">
      <c r="A5259" s="93" t="s">
        <v>4946</v>
      </c>
      <c r="B5259" s="94">
        <f>IFERROR(VLOOKUP($A5259,HeadJournal!$A$1:$NTR$890,COLUMN(HeadJournal!B$1),0),"")</f>
        <v>0</v>
      </c>
      <c r="C5259" s="94" t="str">
        <f>IFERROR(VLOOKUP($A5259,HeadJournal!$A$1:$NTR$890,COLUMN(HeadJournal!C$1),0),"")</f>
        <v>iHerb_OA CZN6870</v>
      </c>
      <c r="D5259" s="125" t="str">
        <f>IFERROR(VLOOKUP($A5259,HeadJournal!$A$1:$NTR$890,COLUMN(HeadJournal!D$1),0),"")</f>
        <v>Доставлен</v>
      </c>
      <c r="E5259" s="95">
        <f>IFERROR(VLOOKUP($A5259,HeadJournal!$A$1:$NTR$890,COLUMN(HeadJournal!G$1),0),"")</f>
        <v>45967</v>
      </c>
      <c r="F5259" s="95" t="str">
        <f t="shared" si="391"/>
        <v>2025 11</v>
      </c>
      <c r="G5259" s="97" t="s">
        <v>5</v>
      </c>
      <c r="H5259" s="161" t="s">
        <v>2663</v>
      </c>
      <c r="I5259" s="97" t="s">
        <v>2005</v>
      </c>
      <c r="J5259" s="97" t="s">
        <v>2664</v>
      </c>
      <c r="K5259" s="29">
        <v>33.340000000000003</v>
      </c>
      <c r="L5259" s="29">
        <v>-3.33</v>
      </c>
      <c r="M5259" s="30">
        <f>IFERROR(VLOOKUP($A5259,HeadJournal!$A$1:$J$890,COLUMN(HeadJournal!I$1),0)*($K5259+$L5259)/(SUMIF($A:$A,$A5259,$K:$K)+SUMIF($A:$A,$A5259,$L:$L)),0)</f>
        <v>-1.4380011027016191</v>
      </c>
      <c r="N5259" s="30">
        <f>IFERROR((VLOOKUP($A5259,HeadJournal!$A$1:$K$890,COLUMN(HeadJournal!K$1),0)-VLOOKUP($A5259,HeadJournal!$A$1:$K$890,COLUMN(HeadJournal!J$1),0))*($K5259+$L5259)/(SUMIF($A:$A,$A5259,$K:$K)+SUMIF($A:$A,$A5259,$L:$L)),0)</f>
        <v>-4.2751516215048087E-15</v>
      </c>
      <c r="O5259" s="30">
        <f>IFERROR((VLOOKUP($A5259,HeadJournal!$A$1:$L$890,COLUMN(HeadJournal!L$1),0)*($K5259+$L5259)/(SUMIF($A:$A,$A5259,$K:$K)+SUMIF($A:$A,$A5259,$L:$L)))/VLOOKUP($A5259,HeadJournal!$A$1:$L$890,COLUMN(HeadJournal!H$1),0),0)</f>
        <v>0.63942184294629412</v>
      </c>
      <c r="P5259" s="30">
        <f>IFERROR(SUM(K5259:O5259)*VLOOKUP($A5259,HeadJournal!$A$1:$L$890,COLUMN(HeadJournal!H$1),0),0)</f>
        <v>2638.7470653100099</v>
      </c>
      <c r="Q5259" s="29">
        <v>3700</v>
      </c>
      <c r="R5259" s="31">
        <v>45999</v>
      </c>
      <c r="S5259" s="31" t="s">
        <v>3235</v>
      </c>
      <c r="T5259" s="95" t="str">
        <f t="shared" si="392"/>
        <v>2025 12</v>
      </c>
      <c r="U5259" s="32">
        <f t="shared" si="387"/>
        <v>1061.2529346899901</v>
      </c>
      <c r="V5259" s="22">
        <f t="shared" si="388"/>
        <v>0.40218062149329575</v>
      </c>
      <c r="X5259" s="33"/>
      <c r="Y5259" s="33"/>
    </row>
    <row r="5260" spans="1:25" x14ac:dyDescent="0.2">
      <c r="A5260" s="93" t="s">
        <v>4946</v>
      </c>
      <c r="B5260" s="94">
        <f>IFERROR(VLOOKUP($A5260,HeadJournal!$A$1:$NTR$890,COLUMN(HeadJournal!B$1),0),"")</f>
        <v>0</v>
      </c>
      <c r="C5260" s="94" t="str">
        <f>IFERROR(VLOOKUP($A5260,HeadJournal!$A$1:$NTR$890,COLUMN(HeadJournal!C$1),0),"")</f>
        <v>iHerb_OA CZN6870</v>
      </c>
      <c r="D5260" s="125" t="str">
        <f>IFERROR(VLOOKUP($A5260,HeadJournal!$A$1:$NTR$890,COLUMN(HeadJournal!D$1),0),"")</f>
        <v>Доставлен</v>
      </c>
      <c r="E5260" s="95">
        <f>IFERROR(VLOOKUP($A5260,HeadJournal!$A$1:$NTR$890,COLUMN(HeadJournal!G$1),0),"")</f>
        <v>45967</v>
      </c>
      <c r="F5260" s="95" t="str">
        <f t="shared" si="391"/>
        <v>2025 11</v>
      </c>
      <c r="G5260" s="97" t="s">
        <v>5</v>
      </c>
      <c r="H5260" s="161" t="s">
        <v>3787</v>
      </c>
      <c r="I5260" s="97" t="s">
        <v>2036</v>
      </c>
      <c r="J5260" s="97" t="s">
        <v>4060</v>
      </c>
      <c r="K5260" s="29">
        <v>15.08</v>
      </c>
      <c r="L5260" s="29">
        <v>-1.51</v>
      </c>
      <c r="M5260" s="30">
        <f>IFERROR(VLOOKUP($A5260,HeadJournal!$A$1:$J$890,COLUMN(HeadJournal!I$1),0)*($K5260+$L5260)/(SUMIF($A:$A,$A5260,$K:$K)+SUMIF($A:$A,$A5260,$L:$L)),0)</f>
        <v>-0.65023908576011236</v>
      </c>
      <c r="N5260" s="30">
        <f>IFERROR((VLOOKUP($A5260,HeadJournal!$A$1:$K$890,COLUMN(HeadJournal!K$1),0)-VLOOKUP($A5260,HeadJournal!$A$1:$K$890,COLUMN(HeadJournal!J$1),0))*($K5260+$L5260)/(SUMIF($A:$A,$A5260,$K:$K)+SUMIF($A:$A,$A5260,$L:$L)),0)</f>
        <v>-1.9331492003938767E-15</v>
      </c>
      <c r="O5260" s="30">
        <f>IFERROR((VLOOKUP($A5260,HeadJournal!$A$1:$L$890,COLUMN(HeadJournal!L$1),0)*($K5260+$L5260)/(SUMIF($A:$A,$A5260,$K:$K)+SUMIF($A:$A,$A5260,$L:$L)))/VLOOKUP($A5260,HeadJournal!$A$1:$L$890,COLUMN(HeadJournal!H$1),0),0)</f>
        <v>0.28913543514765783</v>
      </c>
      <c r="P5260" s="30">
        <f>IFERROR(SUM(K5260:O5260)*VLOOKUP($A5260,HeadJournal!$A$1:$L$890,COLUMN(HeadJournal!H$1),0),0)</f>
        <v>1193.195524033883</v>
      </c>
      <c r="Q5260" s="29">
        <v>1900</v>
      </c>
      <c r="R5260" s="31">
        <v>45999</v>
      </c>
      <c r="S5260" s="31" t="s">
        <v>3235</v>
      </c>
      <c r="T5260" s="95" t="str">
        <f t="shared" si="392"/>
        <v>2025 12</v>
      </c>
      <c r="U5260" s="32">
        <f t="shared" si="387"/>
        <v>706.80447596611702</v>
      </c>
      <c r="V5260" s="22">
        <f t="shared" si="388"/>
        <v>0.59236266121464765</v>
      </c>
      <c r="X5260" s="33"/>
      <c r="Y5260" s="33"/>
    </row>
    <row r="5261" spans="1:25" x14ac:dyDescent="0.2">
      <c r="A5261" s="93" t="s">
        <v>4946</v>
      </c>
      <c r="B5261" s="94">
        <f>IFERROR(VLOOKUP($A5261,HeadJournal!$A$1:$NTR$890,COLUMN(HeadJournal!B$1),0),"")</f>
        <v>0</v>
      </c>
      <c r="C5261" s="94" t="str">
        <f>IFERROR(VLOOKUP($A5261,HeadJournal!$A$1:$NTR$890,COLUMN(HeadJournal!C$1),0),"")</f>
        <v>iHerb_OA CZN6870</v>
      </c>
      <c r="D5261" s="125" t="str">
        <f>IFERROR(VLOOKUP($A5261,HeadJournal!$A$1:$NTR$890,COLUMN(HeadJournal!D$1),0),"")</f>
        <v>Доставлен</v>
      </c>
      <c r="E5261" s="95">
        <f>IFERROR(VLOOKUP($A5261,HeadJournal!$A$1:$NTR$890,COLUMN(HeadJournal!G$1),0),"")</f>
        <v>45967</v>
      </c>
      <c r="F5261" s="95" t="str">
        <f t="shared" si="391"/>
        <v>2025 11</v>
      </c>
      <c r="G5261" s="97" t="s">
        <v>5</v>
      </c>
      <c r="H5261" s="161" t="s">
        <v>2202</v>
      </c>
      <c r="I5261" s="97" t="s">
        <v>2005</v>
      </c>
      <c r="J5261" s="97" t="s">
        <v>4940</v>
      </c>
      <c r="K5261" s="29">
        <v>15.93</v>
      </c>
      <c r="L5261" s="29">
        <v>-1.59</v>
      </c>
      <c r="M5261" s="30">
        <f>IFERROR(VLOOKUP($A5261,HeadJournal!$A$1:$J$890,COLUMN(HeadJournal!I$1),0)*($K5261+$L5261)/(SUMIF($A:$A,$A5261,$K:$K)+SUMIF($A:$A,$A5261,$L:$L)),0)</f>
        <v>-0.68713548193073026</v>
      </c>
      <c r="N5261" s="30">
        <f>IFERROR((VLOOKUP($A5261,HeadJournal!$A$1:$K$890,COLUMN(HeadJournal!K$1),0)-VLOOKUP($A5261,HeadJournal!$A$1:$K$890,COLUMN(HeadJournal!J$1),0))*($K5261+$L5261)/(SUMIF($A:$A,$A5261,$K:$K)+SUMIF($A:$A,$A5261,$L:$L)),0)</f>
        <v>-2.0428415279033304E-15</v>
      </c>
      <c r="O5261" s="30">
        <f>IFERROR((VLOOKUP($A5261,HeadJournal!$A$1:$L$890,COLUMN(HeadJournal!L$1),0)*($K5261+$L5261)/(SUMIF($A:$A,$A5261,$K:$K)+SUMIF($A:$A,$A5261,$L:$L)))/VLOOKUP($A5261,HeadJournal!$A$1:$L$890,COLUMN(HeadJournal!H$1),0),0)</f>
        <v>0.30554179366377393</v>
      </c>
      <c r="P5261" s="30">
        <f>IFERROR(SUM(K5261:O5261)*VLOOKUP($A5261,HeadJournal!$A$1:$L$890,COLUMN(HeadJournal!H$1),0),0)</f>
        <v>1260.9007969525339</v>
      </c>
      <c r="Q5261" s="29">
        <v>2300</v>
      </c>
      <c r="R5261" s="31">
        <v>46090</v>
      </c>
      <c r="S5261" s="31"/>
      <c r="T5261" s="95" t="str">
        <f t="shared" si="392"/>
        <v>2026 03</v>
      </c>
      <c r="U5261" s="32">
        <f t="shared" si="354"/>
        <v>1039.0992030474661</v>
      </c>
      <c r="V5261" s="22">
        <f t="shared" si="355"/>
        <v>0.82409274826287737</v>
      </c>
      <c r="X5261" s="33"/>
      <c r="Y5261" s="33"/>
    </row>
    <row r="5262" spans="1:25" x14ac:dyDescent="0.2">
      <c r="A5262" s="93" t="s">
        <v>4946</v>
      </c>
      <c r="B5262" s="94">
        <f>IFERROR(VLOOKUP($A5262,HeadJournal!$A$1:$NTR$890,COLUMN(HeadJournal!B$1),0),"")</f>
        <v>0</v>
      </c>
      <c r="C5262" s="94" t="str">
        <f>IFERROR(VLOOKUP($A5262,HeadJournal!$A$1:$NTR$890,COLUMN(HeadJournal!C$1),0),"")</f>
        <v>iHerb_OA CZN6870</v>
      </c>
      <c r="D5262" s="125" t="str">
        <f>IFERROR(VLOOKUP($A5262,HeadJournal!$A$1:$NTR$890,COLUMN(HeadJournal!D$1),0),"")</f>
        <v>Доставлен</v>
      </c>
      <c r="E5262" s="95">
        <f>IFERROR(VLOOKUP($A5262,HeadJournal!$A$1:$NTR$890,COLUMN(HeadJournal!G$1),0),"")</f>
        <v>45967</v>
      </c>
      <c r="F5262" s="95" t="str">
        <f t="shared" si="391"/>
        <v>2025 11</v>
      </c>
      <c r="G5262" s="97" t="s">
        <v>5</v>
      </c>
      <c r="H5262" s="161" t="s">
        <v>2565</v>
      </c>
      <c r="I5262" s="97" t="s">
        <v>2052</v>
      </c>
      <c r="J5262" s="97" t="s">
        <v>3829</v>
      </c>
      <c r="K5262" s="29">
        <v>30.08</v>
      </c>
      <c r="L5262" s="29">
        <v>-9.02</v>
      </c>
      <c r="M5262" s="30">
        <f>IFERROR(VLOOKUP($A5262,HeadJournal!$A$1:$J$890,COLUMN(HeadJournal!I$1),0)*($K5262+$L5262)/(SUMIF($A:$A,$A5262,$K:$K)+SUMIF($A:$A,$A5262,$L:$L)),0)</f>
        <v>-1.0091403939652146</v>
      </c>
      <c r="N5262" s="30">
        <f>IFERROR((VLOOKUP($A5262,HeadJournal!$A$1:$K$890,COLUMN(HeadJournal!K$1),0)-VLOOKUP($A5262,HeadJournal!$A$1:$K$890,COLUMN(HeadJournal!J$1),0))*($K5262+$L5262)/(SUMIF($A:$A,$A5262,$K:$K)+SUMIF($A:$A,$A5262,$L:$L)),0)</f>
        <v>-3.0001563861676523E-15</v>
      </c>
      <c r="O5262" s="30">
        <f>IFERROR((VLOOKUP($A5262,HeadJournal!$A$1:$L$890,COLUMN(HeadJournal!L$1),0)*($K5262+$L5262)/(SUMIF($A:$A,$A5262,$K:$K)+SUMIF($A:$A,$A5262,$L:$L)))/VLOOKUP($A5262,HeadJournal!$A$1:$L$890,COLUMN(HeadJournal!H$1),0),0)</f>
        <v>0.4487245588953333</v>
      </c>
      <c r="P5262" s="30">
        <f>IFERROR(SUM(K5262:O5262)*VLOOKUP($A5262,HeadJournal!$A$1:$L$890,COLUMN(HeadJournal!H$1),0),0)</f>
        <v>1851.7831787880305</v>
      </c>
      <c r="Q5262" s="29">
        <v>3400</v>
      </c>
      <c r="R5262" s="31">
        <v>46113</v>
      </c>
      <c r="S5262" s="31" t="s">
        <v>3252</v>
      </c>
      <c r="T5262" s="95" t="str">
        <f t="shared" si="392"/>
        <v>2026 04</v>
      </c>
      <c r="U5262" s="32">
        <f t="shared" si="354"/>
        <v>1548.2168212119695</v>
      </c>
      <c r="V5262" s="22">
        <f t="shared" si="355"/>
        <v>0.836068087747324</v>
      </c>
      <c r="X5262" s="33"/>
      <c r="Y5262" s="33"/>
    </row>
    <row r="5263" spans="1:25" x14ac:dyDescent="0.2">
      <c r="A5263" s="93" t="s">
        <v>4946</v>
      </c>
      <c r="B5263" s="94">
        <f>IFERROR(VLOOKUP($A5263,HeadJournal!$A$1:$NTR$890,COLUMN(HeadJournal!B$1),0),"")</f>
        <v>0</v>
      </c>
      <c r="C5263" s="94" t="str">
        <f>IFERROR(VLOOKUP($A5263,HeadJournal!$A$1:$NTR$890,COLUMN(HeadJournal!C$1),0),"")</f>
        <v>iHerb_OA CZN6870</v>
      </c>
      <c r="D5263" s="125" t="str">
        <f>IFERROR(VLOOKUP($A5263,HeadJournal!$A$1:$NTR$890,COLUMN(HeadJournal!D$1),0),"")</f>
        <v>Доставлен</v>
      </c>
      <c r="E5263" s="95">
        <f>IFERROR(VLOOKUP($A5263,HeadJournal!$A$1:$NTR$890,COLUMN(HeadJournal!G$1),0),"")</f>
        <v>45967</v>
      </c>
      <c r="F5263" s="95" t="str">
        <f t="shared" si="391"/>
        <v>2025 11</v>
      </c>
      <c r="G5263" s="97" t="s">
        <v>5</v>
      </c>
      <c r="H5263" s="161" t="s">
        <v>2176</v>
      </c>
      <c r="I5263" s="97" t="s">
        <v>2005</v>
      </c>
      <c r="J5263" s="97" t="s">
        <v>4941</v>
      </c>
      <c r="K5263" s="29">
        <v>14.48</v>
      </c>
      <c r="L5263" s="29">
        <v>-1.45</v>
      </c>
      <c r="M5263" s="30">
        <f>IFERROR(VLOOKUP($A5263,HeadJournal!$A$1:$J$890,COLUMN(HeadJournal!I$1),0)*($K5263+$L5263)/(SUMIF($A:$A,$A5263,$K:$K)+SUMIF($A:$A,$A5263,$L:$L)),0)</f>
        <v>-0.62436369104305545</v>
      </c>
      <c r="N5263" s="30">
        <f>IFERROR((VLOOKUP($A5263,HeadJournal!$A$1:$K$890,COLUMN(HeadJournal!K$1),0)-VLOOKUP($A5263,HeadJournal!$A$1:$K$890,COLUMN(HeadJournal!J$1),0))*($K5263+$L5263)/(SUMIF($A:$A,$A5263,$K:$K)+SUMIF($A:$A,$A5263,$L:$L)),0)</f>
        <v>-1.8562221135690651E-15</v>
      </c>
      <c r="O5263" s="30">
        <f>IFERROR((VLOOKUP($A5263,HeadJournal!$A$1:$L$890,COLUMN(HeadJournal!L$1),0)*($K5263+$L5263)/(SUMIF($A:$A,$A5263,$K:$K)+SUMIF($A:$A,$A5263,$L:$L)))/VLOOKUP($A5263,HeadJournal!$A$1:$L$890,COLUMN(HeadJournal!H$1),0),0)</f>
        <v>0.27762967722726467</v>
      </c>
      <c r="P5263" s="30">
        <f>IFERROR(SUM(K5263:O5263)*VLOOKUP($A5263,HeadJournal!$A$1:$L$890,COLUMN(HeadJournal!H$1),0),0)</f>
        <v>1145.7139040649595</v>
      </c>
      <c r="Q5263" s="29">
        <v>1900</v>
      </c>
      <c r="R5263" s="31">
        <v>45999</v>
      </c>
      <c r="S5263" s="31" t="s">
        <v>3235</v>
      </c>
      <c r="T5263" s="95" t="str">
        <f t="shared" si="392"/>
        <v>2025 12</v>
      </c>
      <c r="U5263" s="32">
        <f t="shared" si="354"/>
        <v>754.28609593504052</v>
      </c>
      <c r="V5263" s="22">
        <f t="shared" si="355"/>
        <v>0.65835466712837776</v>
      </c>
      <c r="X5263" s="33"/>
      <c r="Y5263" s="33"/>
    </row>
    <row r="5264" spans="1:25" x14ac:dyDescent="0.2">
      <c r="A5264" s="93" t="s">
        <v>4946</v>
      </c>
      <c r="B5264" s="94">
        <f>IFERROR(VLOOKUP($A5264,HeadJournal!$A$1:$NTR$890,COLUMN(HeadJournal!B$1),0),"")</f>
        <v>0</v>
      </c>
      <c r="C5264" s="94" t="str">
        <f>IFERROR(VLOOKUP($A5264,HeadJournal!$A$1:$NTR$890,COLUMN(HeadJournal!C$1),0),"")</f>
        <v>iHerb_OA CZN6870</v>
      </c>
      <c r="D5264" s="125" t="str">
        <f>IFERROR(VLOOKUP($A5264,HeadJournal!$A$1:$NTR$890,COLUMN(HeadJournal!D$1),0),"")</f>
        <v>Доставлен</v>
      </c>
      <c r="E5264" s="95">
        <f>IFERROR(VLOOKUP($A5264,HeadJournal!$A$1:$NTR$890,COLUMN(HeadJournal!G$1),0),"")</f>
        <v>45967</v>
      </c>
      <c r="F5264" s="95" t="str">
        <f t="shared" si="391"/>
        <v>2025 11</v>
      </c>
      <c r="G5264" s="97" t="s">
        <v>5</v>
      </c>
      <c r="H5264" s="161" t="s">
        <v>2611</v>
      </c>
      <c r="I5264" s="97" t="s">
        <v>2005</v>
      </c>
      <c r="J5264" s="97" t="s">
        <v>4942</v>
      </c>
      <c r="K5264" s="29">
        <v>12.31</v>
      </c>
      <c r="L5264" s="29">
        <v>-1.23</v>
      </c>
      <c r="M5264" s="30">
        <f>IFERROR(VLOOKUP($A5264,HeadJournal!$A$1:$J$890,COLUMN(HeadJournal!I$1),0)*($K5264+$L5264)/(SUMIF($A:$A,$A5264,$K:$K)+SUMIF($A:$A,$A5264,$L:$L)),0)</f>
        <v>-0.53092476567590596</v>
      </c>
      <c r="N5264" s="30">
        <f>IFERROR((VLOOKUP($A5264,HeadJournal!$A$1:$K$890,COLUMN(HeadJournal!K$1),0)-VLOOKUP($A5264,HeadJournal!$A$1:$K$890,COLUMN(HeadJournal!J$1),0))*($K5264+$L5264)/(SUMIF($A:$A,$A5264,$K:$K)+SUMIF($A:$A,$A5264,$L:$L)),0)</f>
        <v>-1.5784298555905789E-15</v>
      </c>
      <c r="O5264" s="30">
        <f>IFERROR((VLOOKUP($A5264,HeadJournal!$A$1:$L$890,COLUMN(HeadJournal!L$1),0)*($K5264+$L5264)/(SUMIF($A:$A,$A5264,$K:$K)+SUMIF($A:$A,$A5264,$L:$L)))/VLOOKUP($A5264,HeadJournal!$A$1:$L$890,COLUMN(HeadJournal!H$1),0),0)</f>
        <v>0.23608110695917822</v>
      </c>
      <c r="P5264" s="30">
        <f>IFERROR(SUM(K5264:O5264)*VLOOKUP($A5264,HeadJournal!$A$1:$L$890,COLUMN(HeadJournal!H$1),0),0)</f>
        <v>974.25249862162298</v>
      </c>
      <c r="Q5264" s="29">
        <v>1600</v>
      </c>
      <c r="R5264" s="31">
        <v>45999</v>
      </c>
      <c r="S5264" s="31" t="s">
        <v>3150</v>
      </c>
      <c r="T5264" s="95" t="str">
        <f t="shared" si="392"/>
        <v>2025 12</v>
      </c>
      <c r="U5264" s="32">
        <f t="shared" si="354"/>
        <v>625.74750137837702</v>
      </c>
      <c r="V5264" s="22">
        <f t="shared" si="355"/>
        <v>0.64228472830573957</v>
      </c>
      <c r="X5264" s="33"/>
      <c r="Y5264" s="33"/>
    </row>
    <row r="5265" spans="1:25" x14ac:dyDescent="0.2">
      <c r="A5265" s="93" t="s">
        <v>4946</v>
      </c>
      <c r="B5265" s="94">
        <f>IFERROR(VLOOKUP($A5265,HeadJournal!$A$1:$NTR$890,COLUMN(HeadJournal!B$1),0),"")</f>
        <v>0</v>
      </c>
      <c r="C5265" s="94" t="str">
        <f>IFERROR(VLOOKUP($A5265,HeadJournal!$A$1:$NTR$890,COLUMN(HeadJournal!C$1),0),"")</f>
        <v>iHerb_OA CZN6870</v>
      </c>
      <c r="D5265" s="125" t="str">
        <f>IFERROR(VLOOKUP($A5265,HeadJournal!$A$1:$NTR$890,COLUMN(HeadJournal!D$1),0),"")</f>
        <v>Доставлен</v>
      </c>
      <c r="E5265" s="95">
        <f>IFERROR(VLOOKUP($A5265,HeadJournal!$A$1:$NTR$890,COLUMN(HeadJournal!G$1),0),"")</f>
        <v>45967</v>
      </c>
      <c r="F5265" s="95" t="str">
        <f t="shared" si="391"/>
        <v>2025 11</v>
      </c>
      <c r="G5265" s="97" t="s">
        <v>5</v>
      </c>
      <c r="H5265" s="161" t="s">
        <v>2611</v>
      </c>
      <c r="I5265" s="97" t="s">
        <v>2005</v>
      </c>
      <c r="J5265" s="97" t="s">
        <v>4942</v>
      </c>
      <c r="K5265" s="29">
        <v>12.31</v>
      </c>
      <c r="L5265" s="29">
        <v>-1.23</v>
      </c>
      <c r="M5265" s="30">
        <f>IFERROR(VLOOKUP($A5265,HeadJournal!$A$1:$J$890,COLUMN(HeadJournal!I$1),0)*($K5265+$L5265)/(SUMIF($A:$A,$A5265,$K:$K)+SUMIF($A:$A,$A5265,$L:$L)),0)</f>
        <v>-0.53092476567590596</v>
      </c>
      <c r="N5265" s="30">
        <f>IFERROR((VLOOKUP($A5265,HeadJournal!$A$1:$K$890,COLUMN(HeadJournal!K$1),0)-VLOOKUP($A5265,HeadJournal!$A$1:$K$890,COLUMN(HeadJournal!J$1),0))*($K5265+$L5265)/(SUMIF($A:$A,$A5265,$K:$K)+SUMIF($A:$A,$A5265,$L:$L)),0)</f>
        <v>-1.5784298555905789E-15</v>
      </c>
      <c r="O5265" s="30">
        <f>IFERROR((VLOOKUP($A5265,HeadJournal!$A$1:$L$890,COLUMN(HeadJournal!L$1),0)*($K5265+$L5265)/(SUMIF($A:$A,$A5265,$K:$K)+SUMIF($A:$A,$A5265,$L:$L)))/VLOOKUP($A5265,HeadJournal!$A$1:$L$890,COLUMN(HeadJournal!H$1),0),0)</f>
        <v>0.23608110695917822</v>
      </c>
      <c r="P5265" s="30">
        <f>IFERROR(SUM(K5265:O5265)*VLOOKUP($A5265,HeadJournal!$A$1:$L$890,COLUMN(HeadJournal!H$1),0),0)</f>
        <v>974.25249862162298</v>
      </c>
      <c r="Q5265" s="29">
        <v>1600</v>
      </c>
      <c r="R5265" s="31">
        <v>45999</v>
      </c>
      <c r="S5265" s="31" t="s">
        <v>3150</v>
      </c>
      <c r="T5265" s="95" t="str">
        <f t="shared" si="392"/>
        <v>2025 12</v>
      </c>
      <c r="U5265" s="32">
        <f t="shared" si="354"/>
        <v>625.74750137837702</v>
      </c>
      <c r="V5265" s="22">
        <f t="shared" si="355"/>
        <v>0.64228472830573957</v>
      </c>
      <c r="X5265" s="33"/>
      <c r="Y5265" s="33"/>
    </row>
    <row r="5266" spans="1:25" x14ac:dyDescent="0.2">
      <c r="A5266" s="93" t="s">
        <v>4946</v>
      </c>
      <c r="B5266" s="94">
        <f>IFERROR(VLOOKUP($A5266,HeadJournal!$A$1:$NTR$890,COLUMN(HeadJournal!B$1),0),"")</f>
        <v>0</v>
      </c>
      <c r="C5266" s="94" t="str">
        <f>IFERROR(VLOOKUP($A5266,HeadJournal!$A$1:$NTR$890,COLUMN(HeadJournal!C$1),0),"")</f>
        <v>iHerb_OA CZN6870</v>
      </c>
      <c r="D5266" s="125" t="str">
        <f>IFERROR(VLOOKUP($A5266,HeadJournal!$A$1:$NTR$890,COLUMN(HeadJournal!D$1),0),"")</f>
        <v>Доставлен</v>
      </c>
      <c r="E5266" s="95">
        <f>IFERROR(VLOOKUP($A5266,HeadJournal!$A$1:$NTR$890,COLUMN(HeadJournal!G$1),0),"")</f>
        <v>45967</v>
      </c>
      <c r="F5266" s="95" t="str">
        <f t="shared" si="391"/>
        <v>2025 11</v>
      </c>
      <c r="G5266" s="97" t="s">
        <v>5</v>
      </c>
      <c r="H5266" s="161" t="s">
        <v>2611</v>
      </c>
      <c r="I5266" s="97" t="s">
        <v>2005</v>
      </c>
      <c r="J5266" s="97" t="s">
        <v>4942</v>
      </c>
      <c r="K5266" s="29">
        <v>12.31</v>
      </c>
      <c r="L5266" s="29">
        <v>-1.23</v>
      </c>
      <c r="M5266" s="30">
        <f>IFERROR(VLOOKUP($A5266,HeadJournal!$A$1:$J$890,COLUMN(HeadJournal!I$1),0)*($K5266+$L5266)/(SUMIF($A:$A,$A5266,$K:$K)+SUMIF($A:$A,$A5266,$L:$L)),0)</f>
        <v>-0.53092476567590596</v>
      </c>
      <c r="N5266" s="30">
        <f>IFERROR((VLOOKUP($A5266,HeadJournal!$A$1:$K$890,COLUMN(HeadJournal!K$1),0)-VLOOKUP($A5266,HeadJournal!$A$1:$K$890,COLUMN(HeadJournal!J$1),0))*($K5266+$L5266)/(SUMIF($A:$A,$A5266,$K:$K)+SUMIF($A:$A,$A5266,$L:$L)),0)</f>
        <v>-1.5784298555905789E-15</v>
      </c>
      <c r="O5266" s="30">
        <f>IFERROR((VLOOKUP($A5266,HeadJournal!$A$1:$L$890,COLUMN(HeadJournal!L$1),0)*($K5266+$L5266)/(SUMIF($A:$A,$A5266,$K:$K)+SUMIF($A:$A,$A5266,$L:$L)))/VLOOKUP($A5266,HeadJournal!$A$1:$L$890,COLUMN(HeadJournal!H$1),0),0)</f>
        <v>0.23608110695917822</v>
      </c>
      <c r="P5266" s="30">
        <f>IFERROR(SUM(K5266:O5266)*VLOOKUP($A5266,HeadJournal!$A$1:$L$890,COLUMN(HeadJournal!H$1),0),0)</f>
        <v>974.25249862162298</v>
      </c>
      <c r="Q5266" s="29">
        <v>1600</v>
      </c>
      <c r="R5266" s="31">
        <v>45999</v>
      </c>
      <c r="S5266" s="31" t="s">
        <v>3150</v>
      </c>
      <c r="T5266" s="95" t="str">
        <f t="shared" si="392"/>
        <v>2025 12</v>
      </c>
      <c r="U5266" s="32">
        <f t="shared" si="354"/>
        <v>625.74750137837702</v>
      </c>
      <c r="V5266" s="22">
        <f t="shared" si="355"/>
        <v>0.64228472830573957</v>
      </c>
      <c r="X5266" s="33"/>
      <c r="Y5266" s="33"/>
    </row>
    <row r="5267" spans="1:25" x14ac:dyDescent="0.2">
      <c r="A5267" s="93" t="s">
        <v>4946</v>
      </c>
      <c r="B5267" s="94">
        <f>IFERROR(VLOOKUP($A5267,HeadJournal!$A$1:$NTR$890,COLUMN(HeadJournal!B$1),0),"")</f>
        <v>0</v>
      </c>
      <c r="C5267" s="94" t="str">
        <f>IFERROR(VLOOKUP($A5267,HeadJournal!$A$1:$NTR$890,COLUMN(HeadJournal!C$1),0),"")</f>
        <v>iHerb_OA CZN6870</v>
      </c>
      <c r="D5267" s="125" t="str">
        <f>IFERROR(VLOOKUP($A5267,HeadJournal!$A$1:$NTR$890,COLUMN(HeadJournal!D$1),0),"")</f>
        <v>Доставлен</v>
      </c>
      <c r="E5267" s="95">
        <f>IFERROR(VLOOKUP($A5267,HeadJournal!$A$1:$NTR$890,COLUMN(HeadJournal!G$1),0),"")</f>
        <v>45967</v>
      </c>
      <c r="F5267" s="95" t="str">
        <f t="shared" si="391"/>
        <v>2025 11</v>
      </c>
      <c r="G5267" s="97" t="s">
        <v>5</v>
      </c>
      <c r="H5267" s="161" t="s">
        <v>2174</v>
      </c>
      <c r="I5267" s="97" t="s">
        <v>2005</v>
      </c>
      <c r="J5267" s="97" t="s">
        <v>2175</v>
      </c>
      <c r="K5267" s="29">
        <v>5.78</v>
      </c>
      <c r="L5267" s="29">
        <v>-0.57999999999999996</v>
      </c>
      <c r="M5267" s="30">
        <f>IFERROR(VLOOKUP($A5267,HeadJournal!$A$1:$J$890,COLUMN(HeadJournal!I$1),0)*($K5267+$L5267)/(SUMIF($A:$A,$A5267,$K:$K)+SUMIF($A:$A,$A5267,$L:$L)),0)</f>
        <v>-0.24917046764573203</v>
      </c>
      <c r="N5267" s="30">
        <f>IFERROR((VLOOKUP($A5267,HeadJournal!$A$1:$K$890,COLUMN(HeadJournal!K$1),0)-VLOOKUP($A5267,HeadJournal!$A$1:$K$890,COLUMN(HeadJournal!J$1),0))*($K5267+$L5267)/(SUMIF($A:$A,$A5267,$K:$K)+SUMIF($A:$A,$A5267,$L:$L)),0)</f>
        <v>-7.4077935460929691E-16</v>
      </c>
      <c r="O5267" s="30">
        <f>IFERROR((VLOOKUP($A5267,HeadJournal!$A$1:$L$890,COLUMN(HeadJournal!L$1),0)*($K5267+$L5267)/(SUMIF($A:$A,$A5267,$K:$K)+SUMIF($A:$A,$A5267,$L:$L)))/VLOOKUP($A5267,HeadJournal!$A$1:$L$890,COLUMN(HeadJournal!H$1),0),0)</f>
        <v>0.11079618738156378</v>
      </c>
      <c r="P5267" s="30">
        <f>IFERROR(SUM(K5267:O5267)*VLOOKUP($A5267,HeadJournal!$A$1:$L$890,COLUMN(HeadJournal!H$1),0),0)</f>
        <v>457.23041451556315</v>
      </c>
      <c r="Q5267" s="29"/>
      <c r="R5267" s="31"/>
      <c r="S5267" s="31"/>
      <c r="T5267" s="95" t="str">
        <f t="shared" si="392"/>
        <v/>
      </c>
      <c r="U5267" s="32">
        <f t="shared" si="354"/>
        <v>-457.23041451556315</v>
      </c>
      <c r="V5267" s="22" t="str">
        <f t="shared" si="355"/>
        <v/>
      </c>
      <c r="X5267" s="33"/>
      <c r="Y5267" s="33"/>
    </row>
    <row r="5268" spans="1:25" x14ac:dyDescent="0.2">
      <c r="A5268" s="93" t="s">
        <v>4946</v>
      </c>
      <c r="B5268" s="94">
        <f>IFERROR(VLOOKUP($A5268,HeadJournal!$A$1:$NTR$890,COLUMN(HeadJournal!B$1),0),"")</f>
        <v>0</v>
      </c>
      <c r="C5268" s="94" t="str">
        <f>IFERROR(VLOOKUP($A5268,HeadJournal!$A$1:$NTR$890,COLUMN(HeadJournal!C$1),0),"")</f>
        <v>iHerb_OA CZN6870</v>
      </c>
      <c r="D5268" s="125" t="str">
        <f>IFERROR(VLOOKUP($A5268,HeadJournal!$A$1:$NTR$890,COLUMN(HeadJournal!D$1),0),"")</f>
        <v>Доставлен</v>
      </c>
      <c r="E5268" s="95">
        <f>IFERROR(VLOOKUP($A5268,HeadJournal!$A$1:$NTR$890,COLUMN(HeadJournal!G$1),0),"")</f>
        <v>45967</v>
      </c>
      <c r="F5268" s="95" t="str">
        <f t="shared" si="391"/>
        <v>2025 11</v>
      </c>
      <c r="G5268" s="97" t="s">
        <v>5</v>
      </c>
      <c r="H5268" s="161" t="s">
        <v>4943</v>
      </c>
      <c r="I5268" s="97" t="s">
        <v>2039</v>
      </c>
      <c r="J5268" s="97" t="s">
        <v>4944</v>
      </c>
      <c r="K5268" s="29">
        <v>25.99</v>
      </c>
      <c r="L5268" s="29">
        <v>-2.6</v>
      </c>
      <c r="M5268" s="30">
        <f>IFERROR(VLOOKUP($A5268,HeadJournal!$A$1:$J$890,COLUMN(HeadJournal!I$1),0)*($K5268+$L5268)/(SUMIF($A:$A,$A5268,$K:$K)+SUMIF($A:$A,$A5268,$L:$L)),0)</f>
        <v>-1.1207879304295523</v>
      </c>
      <c r="N5268" s="30">
        <f>IFERROR((VLOOKUP($A5268,HeadJournal!$A$1:$K$890,COLUMN(HeadJournal!K$1),0)-VLOOKUP($A5268,HeadJournal!$A$1:$K$890,COLUMN(HeadJournal!J$1),0))*($K5268+$L5268)/(SUMIF($A:$A,$A5268,$K:$K)+SUMIF($A:$A,$A5268,$L:$L)),0)</f>
        <v>-3.3320825200598945E-15</v>
      </c>
      <c r="O5268" s="30">
        <f>IFERROR((VLOOKUP($A5268,HeadJournal!$A$1:$L$890,COLUMN(HeadJournal!L$1),0)*($K5268+$L5268)/(SUMIF($A:$A,$A5268,$K:$K)+SUMIF($A:$A,$A5268,$L:$L)))/VLOOKUP($A5268,HeadJournal!$A$1:$L$890,COLUMN(HeadJournal!H$1),0),0)</f>
        <v>0.49836977362591856</v>
      </c>
      <c r="P5268" s="30">
        <f>IFERROR(SUM(K5268:O5268)*VLOOKUP($A5268,HeadJournal!$A$1:$L$890,COLUMN(HeadJournal!H$1),0),0)</f>
        <v>2056.6575760613496</v>
      </c>
      <c r="Q5268" s="29"/>
      <c r="R5268" s="31"/>
      <c r="S5268" s="31"/>
      <c r="T5268" s="95" t="str">
        <f t="shared" si="392"/>
        <v/>
      </c>
      <c r="U5268" s="32">
        <f t="shared" si="354"/>
        <v>-2056.6575760613496</v>
      </c>
      <c r="V5268" s="22" t="str">
        <f t="shared" si="355"/>
        <v/>
      </c>
      <c r="X5268" s="33"/>
      <c r="Y5268" s="33"/>
    </row>
    <row r="5269" spans="1:25" x14ac:dyDescent="0.2">
      <c r="A5269" s="93" t="s">
        <v>4949</v>
      </c>
      <c r="B5269" s="94">
        <f>IFERROR(VLOOKUP($A5269,HeadJournal!$A$1:$NTR$890,COLUMN(HeadJournal!B$1),0),"")</f>
        <v>0</v>
      </c>
      <c r="C5269" s="94" t="str">
        <f>IFERROR(VLOOKUP($A5269,HeadJournal!$A$1:$NTR$890,COLUMN(HeadJournal!C$1),0),"")</f>
        <v>iHerb_VP DFD1605</v>
      </c>
      <c r="D5269" s="125" t="str">
        <f>IFERROR(VLOOKUP($A5269,HeadJournal!$A$1:$NTR$890,COLUMN(HeadJournal!D$1),0),"")</f>
        <v>Доставлен</v>
      </c>
      <c r="E5269" s="95">
        <f>IFERROR(VLOOKUP($A5269,HeadJournal!$A$1:$NTR$890,COLUMN(HeadJournal!G$1),0),"")</f>
        <v>45961</v>
      </c>
      <c r="F5269" s="95" t="str">
        <f t="shared" si="391"/>
        <v>2025 10</v>
      </c>
      <c r="G5269" s="97" t="s">
        <v>5</v>
      </c>
      <c r="H5269" s="161" t="s">
        <v>2841</v>
      </c>
      <c r="I5269" s="97" t="s">
        <v>2839</v>
      </c>
      <c r="J5269" s="97" t="s">
        <v>2842</v>
      </c>
      <c r="K5269" s="29">
        <v>18.04</v>
      </c>
      <c r="L5269" s="29">
        <v>-4.51</v>
      </c>
      <c r="M5269" s="30">
        <f>IFERROR(VLOOKUP($A5269,HeadJournal!$A$1:$J$890,COLUMN(HeadJournal!I$1),0)*($K5269+$L5269)/(SUMIF($A:$A,$A5269,$K:$K)+SUMIF($A:$A,$A5269,$L:$L)),0)</f>
        <v>0</v>
      </c>
      <c r="N5269" s="30">
        <f>IFERROR((VLOOKUP($A5269,HeadJournal!$A$1:$K$890,COLUMN(HeadJournal!K$1),0)-VLOOKUP($A5269,HeadJournal!$A$1:$K$890,COLUMN(HeadJournal!J$1),0))*($K5269+$L5269)/(SUMIF($A:$A,$A5269,$K:$K)+SUMIF($A:$A,$A5269,$L:$L)),0)</f>
        <v>-1.7738985542640748E-15</v>
      </c>
      <c r="O5269" s="30">
        <f>IFERROR((VLOOKUP($A5269,HeadJournal!$A$1:$L$890,COLUMN(HeadJournal!L$1),0)*($K5269+$L5269)/(SUMIF($A:$A,$A5269,$K:$K)+SUMIF($A:$A,$A5269,$L:$L)))/VLOOKUP($A5269,HeadJournal!$A$1:$L$890,COLUMN(HeadJournal!H$1),0),0)</f>
        <v>0.49275433685678088</v>
      </c>
      <c r="P5269" s="30">
        <f>IFERROR(SUM(K5269:O5269)*VLOOKUP($A5269,HeadJournal!$A$1:$L$890,COLUMN(HeadJournal!H$1),0),0)</f>
        <v>1261.071769997232</v>
      </c>
      <c r="Q5269" s="29">
        <v>2400</v>
      </c>
      <c r="R5269" s="31">
        <v>45993</v>
      </c>
      <c r="S5269" s="31" t="s">
        <v>3384</v>
      </c>
      <c r="T5269" s="95" t="str">
        <f t="shared" si="392"/>
        <v>2025 12</v>
      </c>
      <c r="U5269" s="32">
        <f t="shared" si="354"/>
        <v>1138.928230002768</v>
      </c>
      <c r="V5269" s="22">
        <f t="shared" si="355"/>
        <v>0.9031430701246036</v>
      </c>
      <c r="X5269" s="33"/>
      <c r="Y5269" s="33"/>
    </row>
    <row r="5270" spans="1:25" x14ac:dyDescent="0.2">
      <c r="A5270" s="93" t="s">
        <v>4949</v>
      </c>
      <c r="B5270" s="94">
        <f>IFERROR(VLOOKUP($A5270,HeadJournal!$A$1:$NTR$890,COLUMN(HeadJournal!B$1),0),"")</f>
        <v>0</v>
      </c>
      <c r="C5270" s="94" t="str">
        <f>IFERROR(VLOOKUP($A5270,HeadJournal!$A$1:$NTR$890,COLUMN(HeadJournal!C$1),0),"")</f>
        <v>iHerb_VP DFD1605</v>
      </c>
      <c r="D5270" s="125" t="str">
        <f>IFERROR(VLOOKUP($A5270,HeadJournal!$A$1:$NTR$890,COLUMN(HeadJournal!D$1),0),"")</f>
        <v>Доставлен</v>
      </c>
      <c r="E5270" s="95">
        <f>IFERROR(VLOOKUP($A5270,HeadJournal!$A$1:$NTR$890,COLUMN(HeadJournal!G$1),0),"")</f>
        <v>45961</v>
      </c>
      <c r="F5270" s="95" t="str">
        <f t="shared" si="391"/>
        <v>2025 10</v>
      </c>
      <c r="G5270" s="97" t="s">
        <v>5</v>
      </c>
      <c r="H5270" s="161" t="s">
        <v>2841</v>
      </c>
      <c r="I5270" s="97" t="s">
        <v>2839</v>
      </c>
      <c r="J5270" s="97" t="s">
        <v>2842</v>
      </c>
      <c r="K5270" s="29">
        <v>18.04</v>
      </c>
      <c r="L5270" s="29">
        <v>-4.51</v>
      </c>
      <c r="M5270" s="30">
        <f>IFERROR(VLOOKUP($A5270,HeadJournal!$A$1:$J$890,COLUMN(HeadJournal!I$1),0)*($K5270+$L5270)/(SUMIF($A:$A,$A5270,$K:$K)+SUMIF($A:$A,$A5270,$L:$L)),0)</f>
        <v>0</v>
      </c>
      <c r="N5270" s="30">
        <f>IFERROR((VLOOKUP($A5270,HeadJournal!$A$1:$K$890,COLUMN(HeadJournal!K$1),0)-VLOOKUP($A5270,HeadJournal!$A$1:$K$890,COLUMN(HeadJournal!J$1),0))*($K5270+$L5270)/(SUMIF($A:$A,$A5270,$K:$K)+SUMIF($A:$A,$A5270,$L:$L)),0)</f>
        <v>-1.7738985542640748E-15</v>
      </c>
      <c r="O5270" s="30">
        <f>IFERROR((VLOOKUP($A5270,HeadJournal!$A$1:$L$890,COLUMN(HeadJournal!L$1),0)*($K5270+$L5270)/(SUMIF($A:$A,$A5270,$K:$K)+SUMIF($A:$A,$A5270,$L:$L)))/VLOOKUP($A5270,HeadJournal!$A$1:$L$890,COLUMN(HeadJournal!H$1),0),0)</f>
        <v>0.49275433685678088</v>
      </c>
      <c r="P5270" s="30">
        <f>IFERROR(SUM(K5270:O5270)*VLOOKUP($A5270,HeadJournal!$A$1:$L$890,COLUMN(HeadJournal!H$1),0),0)</f>
        <v>1261.071769997232</v>
      </c>
      <c r="Q5270" s="29">
        <v>2500</v>
      </c>
      <c r="R5270" s="31">
        <v>46020</v>
      </c>
      <c r="S5270" s="31" t="s">
        <v>3270</v>
      </c>
      <c r="T5270" s="95" t="str">
        <f t="shared" si="392"/>
        <v>2025 12</v>
      </c>
      <c r="U5270" s="32">
        <f t="shared" si="354"/>
        <v>1238.928230002768</v>
      </c>
      <c r="V5270" s="22">
        <f t="shared" si="355"/>
        <v>0.98244069804646206</v>
      </c>
      <c r="X5270" s="33"/>
      <c r="Y5270" s="33"/>
    </row>
    <row r="5271" spans="1:25" x14ac:dyDescent="0.2">
      <c r="A5271" s="93" t="s">
        <v>4949</v>
      </c>
      <c r="B5271" s="94">
        <f>IFERROR(VLOOKUP($A5271,HeadJournal!$A$1:$NTR$890,COLUMN(HeadJournal!B$1),0),"")</f>
        <v>0</v>
      </c>
      <c r="C5271" s="94" t="str">
        <f>IFERROR(VLOOKUP($A5271,HeadJournal!$A$1:$NTR$890,COLUMN(HeadJournal!C$1),0),"")</f>
        <v>iHerb_VP DFD1605</v>
      </c>
      <c r="D5271" s="125" t="str">
        <f>IFERROR(VLOOKUP($A5271,HeadJournal!$A$1:$NTR$890,COLUMN(HeadJournal!D$1),0),"")</f>
        <v>Доставлен</v>
      </c>
      <c r="E5271" s="95">
        <f>IFERROR(VLOOKUP($A5271,HeadJournal!$A$1:$NTR$890,COLUMN(HeadJournal!G$1),0),"")</f>
        <v>45961</v>
      </c>
      <c r="F5271" s="95" t="str">
        <f t="shared" si="391"/>
        <v>2025 10</v>
      </c>
      <c r="G5271" s="97" t="s">
        <v>5</v>
      </c>
      <c r="H5271" s="161" t="s">
        <v>2843</v>
      </c>
      <c r="I5271" s="97" t="s">
        <v>2839</v>
      </c>
      <c r="J5271" s="97" t="s">
        <v>2844</v>
      </c>
      <c r="K5271" s="29">
        <v>18.03</v>
      </c>
      <c r="L5271" s="29">
        <v>-4.51</v>
      </c>
      <c r="M5271" s="30">
        <f>IFERROR(VLOOKUP($A5271,HeadJournal!$A$1:$J$890,COLUMN(HeadJournal!I$1),0)*($K5271+$L5271)/(SUMIF($A:$A,$A5271,$K:$K)+SUMIF($A:$A,$A5271,$L:$L)),0)</f>
        <v>0</v>
      </c>
      <c r="N5271" s="30">
        <f>IFERROR((VLOOKUP($A5271,HeadJournal!$A$1:$K$890,COLUMN(HeadJournal!K$1),0)-VLOOKUP($A5271,HeadJournal!$A$1:$K$890,COLUMN(HeadJournal!J$1),0))*($K5271+$L5271)/(SUMIF($A:$A,$A5271,$K:$K)+SUMIF($A:$A,$A5271,$L:$L)),0)</f>
        <v>-1.7725874688581149E-15</v>
      </c>
      <c r="O5271" s="30">
        <f>IFERROR((VLOOKUP($A5271,HeadJournal!$A$1:$L$890,COLUMN(HeadJournal!L$1),0)*($K5271+$L5271)/(SUMIF($A:$A,$A5271,$K:$K)+SUMIF($A:$A,$A5271,$L:$L)))/VLOOKUP($A5271,HeadJournal!$A$1:$L$890,COLUMN(HeadJournal!H$1),0),0)</f>
        <v>0.49239014296405614</v>
      </c>
      <c r="P5271" s="30">
        <f>IFERROR(SUM(K5271:O5271)*VLOOKUP($A5271,HeadJournal!$A$1:$L$890,COLUMN(HeadJournal!H$1),0),0)</f>
        <v>1260.139713995756</v>
      </c>
      <c r="Q5271" s="29">
        <v>2500</v>
      </c>
      <c r="R5271" s="31">
        <v>46000</v>
      </c>
      <c r="S5271" s="31" t="s">
        <v>3384</v>
      </c>
      <c r="T5271" s="95" t="str">
        <f t="shared" si="392"/>
        <v>2025 12</v>
      </c>
      <c r="U5271" s="32">
        <f t="shared" si="354"/>
        <v>1239.860286004244</v>
      </c>
      <c r="V5271" s="22">
        <f t="shared" si="355"/>
        <v>0.98390700033791634</v>
      </c>
      <c r="X5271" s="33"/>
      <c r="Y5271" s="33"/>
    </row>
    <row r="5272" spans="1:25" x14ac:dyDescent="0.2">
      <c r="A5272" s="93" t="s">
        <v>4949</v>
      </c>
      <c r="B5272" s="94">
        <f>IFERROR(VLOOKUP($A5272,HeadJournal!$A$1:$NTR$890,COLUMN(HeadJournal!B$1),0),"")</f>
        <v>0</v>
      </c>
      <c r="C5272" s="94" t="str">
        <f>IFERROR(VLOOKUP($A5272,HeadJournal!$A$1:$NTR$890,COLUMN(HeadJournal!C$1),0),"")</f>
        <v>iHerb_VP DFD1605</v>
      </c>
      <c r="D5272" s="125" t="str">
        <f>IFERROR(VLOOKUP($A5272,HeadJournal!$A$1:$NTR$890,COLUMN(HeadJournal!D$1),0),"")</f>
        <v>Доставлен</v>
      </c>
      <c r="E5272" s="95">
        <f>IFERROR(VLOOKUP($A5272,HeadJournal!$A$1:$NTR$890,COLUMN(HeadJournal!G$1),0),"")</f>
        <v>45961</v>
      </c>
      <c r="F5272" s="95" t="str">
        <f t="shared" si="391"/>
        <v>2025 10</v>
      </c>
      <c r="G5272" s="97" t="s">
        <v>5</v>
      </c>
      <c r="H5272" s="161" t="s">
        <v>2843</v>
      </c>
      <c r="I5272" s="97" t="s">
        <v>2839</v>
      </c>
      <c r="J5272" s="97" t="s">
        <v>2844</v>
      </c>
      <c r="K5272" s="29">
        <v>18.03</v>
      </c>
      <c r="L5272" s="29">
        <v>-4.51</v>
      </c>
      <c r="M5272" s="30">
        <f>IFERROR(VLOOKUP($A5272,HeadJournal!$A$1:$J$890,COLUMN(HeadJournal!I$1),0)*($K5272+$L5272)/(SUMIF($A:$A,$A5272,$K:$K)+SUMIF($A:$A,$A5272,$L:$L)),0)</f>
        <v>0</v>
      </c>
      <c r="N5272" s="30">
        <f>IFERROR((VLOOKUP($A5272,HeadJournal!$A$1:$K$890,COLUMN(HeadJournal!K$1),0)-VLOOKUP($A5272,HeadJournal!$A$1:$K$890,COLUMN(HeadJournal!J$1),0))*($K5272+$L5272)/(SUMIF($A:$A,$A5272,$K:$K)+SUMIF($A:$A,$A5272,$L:$L)),0)</f>
        <v>-1.7725874688581149E-15</v>
      </c>
      <c r="O5272" s="30">
        <f>IFERROR((VLOOKUP($A5272,HeadJournal!$A$1:$L$890,COLUMN(HeadJournal!L$1),0)*($K5272+$L5272)/(SUMIF($A:$A,$A5272,$K:$K)+SUMIF($A:$A,$A5272,$L:$L)))/VLOOKUP($A5272,HeadJournal!$A$1:$L$890,COLUMN(HeadJournal!H$1),0),0)</f>
        <v>0.49239014296405614</v>
      </c>
      <c r="P5272" s="30">
        <f>IFERROR(SUM(K5272:O5272)*VLOOKUP($A5272,HeadJournal!$A$1:$L$890,COLUMN(HeadJournal!H$1),0),0)</f>
        <v>1260.139713995756</v>
      </c>
      <c r="Q5272" s="29">
        <v>2500</v>
      </c>
      <c r="R5272" s="31">
        <v>46027</v>
      </c>
      <c r="S5272" s="31" t="s">
        <v>3252</v>
      </c>
      <c r="T5272" s="95" t="str">
        <f t="shared" si="392"/>
        <v>2026 01</v>
      </c>
      <c r="U5272" s="32">
        <f t="shared" si="354"/>
        <v>1239.860286004244</v>
      </c>
      <c r="V5272" s="22">
        <f t="shared" si="355"/>
        <v>0.98390700033791634</v>
      </c>
      <c r="X5272" s="33"/>
      <c r="Y5272" s="33"/>
    </row>
    <row r="5273" spans="1:25" x14ac:dyDescent="0.2">
      <c r="A5273" s="93" t="s">
        <v>4949</v>
      </c>
      <c r="B5273" s="94">
        <f>IFERROR(VLOOKUP($A5273,HeadJournal!$A$1:$NTR$890,COLUMN(HeadJournal!B$1),0),"")</f>
        <v>0</v>
      </c>
      <c r="C5273" s="94" t="str">
        <f>IFERROR(VLOOKUP($A5273,HeadJournal!$A$1:$NTR$890,COLUMN(HeadJournal!C$1),0),"")</f>
        <v>iHerb_VP DFD1605</v>
      </c>
      <c r="D5273" s="125" t="str">
        <f>IFERROR(VLOOKUP($A5273,HeadJournal!$A$1:$NTR$890,COLUMN(HeadJournal!D$1),0),"")</f>
        <v>Доставлен</v>
      </c>
      <c r="E5273" s="95">
        <f>IFERROR(VLOOKUP($A5273,HeadJournal!$A$1:$NTR$890,COLUMN(HeadJournal!G$1),0),"")</f>
        <v>45961</v>
      </c>
      <c r="F5273" s="95" t="str">
        <f t="shared" si="391"/>
        <v>2025 10</v>
      </c>
      <c r="G5273" s="97" t="s">
        <v>5</v>
      </c>
      <c r="H5273" s="161" t="s">
        <v>2845</v>
      </c>
      <c r="I5273" s="97" t="s">
        <v>2839</v>
      </c>
      <c r="J5273" s="97" t="s">
        <v>2846</v>
      </c>
      <c r="K5273" s="29">
        <v>23.26</v>
      </c>
      <c r="L5273" s="29">
        <v>-5.8150000000000004</v>
      </c>
      <c r="M5273" s="30">
        <f>IFERROR(VLOOKUP($A5273,HeadJournal!$A$1:$J$890,COLUMN(HeadJournal!I$1),0)*($K5273+$L5273)/(SUMIF($A:$A,$A5273,$K:$K)+SUMIF($A:$A,$A5273,$L:$L)),0)</f>
        <v>0</v>
      </c>
      <c r="N5273" s="30">
        <f>IFERROR((VLOOKUP($A5273,HeadJournal!$A$1:$K$890,COLUMN(HeadJournal!K$1),0)-VLOOKUP($A5273,HeadJournal!$A$1:$K$890,COLUMN(HeadJournal!J$1),0))*($K5273+$L5273)/(SUMIF($A:$A,$A5273,$K:$K)+SUMIF($A:$A,$A5273,$L:$L)),0)</f>
        <v>-2.2871884906974712E-15</v>
      </c>
      <c r="O5273" s="30">
        <f>IFERROR((VLOOKUP($A5273,HeadJournal!$A$1:$L$890,COLUMN(HeadJournal!L$1),0)*($K5273+$L5273)/(SUMIF($A:$A,$A5273,$K:$K)+SUMIF($A:$A,$A5273,$L:$L)))/VLOOKUP($A5273,HeadJournal!$A$1:$L$890,COLUMN(HeadJournal!H$1),0),0)</f>
        <v>0.63533624585857684</v>
      </c>
      <c r="P5273" s="30">
        <f>IFERROR(SUM(K5273:O5273)*VLOOKUP($A5273,HeadJournal!$A$1:$L$890,COLUMN(HeadJournal!H$1),0),0)</f>
        <v>1625.971694575145</v>
      </c>
      <c r="Q5273" s="29">
        <v>3200</v>
      </c>
      <c r="R5273" s="31">
        <v>46020</v>
      </c>
      <c r="S5273" s="31"/>
      <c r="T5273" s="95" t="str">
        <f t="shared" si="392"/>
        <v>2025 12</v>
      </c>
      <c r="U5273" s="32">
        <f t="shared" si="354"/>
        <v>1574.028305424855</v>
      </c>
      <c r="V5273" s="22">
        <f t="shared" si="355"/>
        <v>0.96805394010019197</v>
      </c>
      <c r="X5273" s="33"/>
      <c r="Y5273" s="33"/>
    </row>
    <row r="5274" spans="1:25" x14ac:dyDescent="0.2">
      <c r="A5274" s="93" t="s">
        <v>4949</v>
      </c>
      <c r="B5274" s="94">
        <f>IFERROR(VLOOKUP($A5274,HeadJournal!$A$1:$NTR$890,COLUMN(HeadJournal!B$1),0),"")</f>
        <v>0</v>
      </c>
      <c r="C5274" s="94" t="str">
        <f>IFERROR(VLOOKUP($A5274,HeadJournal!$A$1:$NTR$890,COLUMN(HeadJournal!C$1),0),"")</f>
        <v>iHerb_VP DFD1605</v>
      </c>
      <c r="D5274" s="125" t="str">
        <f>IFERROR(VLOOKUP($A5274,HeadJournal!$A$1:$NTR$890,COLUMN(HeadJournal!D$1),0),"")</f>
        <v>Доставлен</v>
      </c>
      <c r="E5274" s="95">
        <f>IFERROR(VLOOKUP($A5274,HeadJournal!$A$1:$NTR$890,COLUMN(HeadJournal!G$1),0),"")</f>
        <v>45961</v>
      </c>
      <c r="F5274" s="95" t="str">
        <f t="shared" si="391"/>
        <v>2025 10</v>
      </c>
      <c r="G5274" s="97" t="s">
        <v>5</v>
      </c>
      <c r="H5274" s="161" t="s">
        <v>2845</v>
      </c>
      <c r="I5274" s="97" t="s">
        <v>2839</v>
      </c>
      <c r="J5274" s="97" t="s">
        <v>2846</v>
      </c>
      <c r="K5274" s="29">
        <v>23.26</v>
      </c>
      <c r="L5274" s="29">
        <v>-5.8150000000000004</v>
      </c>
      <c r="M5274" s="30">
        <f>IFERROR(VLOOKUP($A5274,HeadJournal!$A$1:$J$890,COLUMN(HeadJournal!I$1),0)*($K5274+$L5274)/(SUMIF($A:$A,$A5274,$K:$K)+SUMIF($A:$A,$A5274,$L:$L)),0)</f>
        <v>0</v>
      </c>
      <c r="N5274" s="30">
        <f>IFERROR((VLOOKUP($A5274,HeadJournal!$A$1:$K$890,COLUMN(HeadJournal!K$1),0)-VLOOKUP($A5274,HeadJournal!$A$1:$K$890,COLUMN(HeadJournal!J$1),0))*($K5274+$L5274)/(SUMIF($A:$A,$A5274,$K:$K)+SUMIF($A:$A,$A5274,$L:$L)),0)</f>
        <v>-2.2871884906974712E-15</v>
      </c>
      <c r="O5274" s="30">
        <f>IFERROR((VLOOKUP($A5274,HeadJournal!$A$1:$L$890,COLUMN(HeadJournal!L$1),0)*($K5274+$L5274)/(SUMIF($A:$A,$A5274,$K:$K)+SUMIF($A:$A,$A5274,$L:$L)))/VLOOKUP($A5274,HeadJournal!$A$1:$L$890,COLUMN(HeadJournal!H$1),0),0)</f>
        <v>0.63533624585857684</v>
      </c>
      <c r="P5274" s="30">
        <f>IFERROR(SUM(K5274:O5274)*VLOOKUP($A5274,HeadJournal!$A$1:$L$890,COLUMN(HeadJournal!H$1),0),0)</f>
        <v>1625.971694575145</v>
      </c>
      <c r="Q5274" s="29">
        <v>3200</v>
      </c>
      <c r="R5274" s="31">
        <v>46093</v>
      </c>
      <c r="S5274" s="31"/>
      <c r="T5274" s="95" t="str">
        <f t="shared" si="392"/>
        <v>2026 03</v>
      </c>
      <c r="U5274" s="32">
        <f t="shared" si="354"/>
        <v>1574.028305424855</v>
      </c>
      <c r="V5274" s="22">
        <f t="shared" si="355"/>
        <v>0.96805394010019197</v>
      </c>
      <c r="X5274" s="33"/>
      <c r="Y5274" s="33"/>
    </row>
    <row r="5275" spans="1:25" x14ac:dyDescent="0.2">
      <c r="A5275" s="93" t="s">
        <v>4949</v>
      </c>
      <c r="B5275" s="94">
        <f>IFERROR(VLOOKUP($A5275,HeadJournal!$A$1:$NTR$890,COLUMN(HeadJournal!B$1),0),"")</f>
        <v>0</v>
      </c>
      <c r="C5275" s="94" t="str">
        <f>IFERROR(VLOOKUP($A5275,HeadJournal!$A$1:$NTR$890,COLUMN(HeadJournal!C$1),0),"")</f>
        <v>iHerb_VP DFD1605</v>
      </c>
      <c r="D5275" s="125" t="str">
        <f>IFERROR(VLOOKUP($A5275,HeadJournal!$A$1:$NTR$890,COLUMN(HeadJournal!D$1),0),"")</f>
        <v>Доставлен</v>
      </c>
      <c r="E5275" s="95">
        <f>IFERROR(VLOOKUP($A5275,HeadJournal!$A$1:$NTR$890,COLUMN(HeadJournal!G$1),0),"")</f>
        <v>45961</v>
      </c>
      <c r="F5275" s="95" t="str">
        <f t="shared" si="391"/>
        <v>2025 10</v>
      </c>
      <c r="G5275" s="97" t="s">
        <v>5</v>
      </c>
      <c r="H5275" s="161" t="s">
        <v>4346</v>
      </c>
      <c r="I5275" s="97" t="s">
        <v>2839</v>
      </c>
      <c r="J5275" s="97" t="s">
        <v>4347</v>
      </c>
      <c r="K5275" s="29">
        <v>7.73</v>
      </c>
      <c r="L5275" s="29">
        <v>-1.93</v>
      </c>
      <c r="M5275" s="30">
        <f>IFERROR(VLOOKUP($A5275,HeadJournal!$A$1:$J$890,COLUMN(HeadJournal!I$1),0)*($K5275+$L5275)/(SUMIF($A:$A,$A5275,$K:$K)+SUMIF($A:$A,$A5275,$L:$L)),0)</f>
        <v>0</v>
      </c>
      <c r="N5275" s="30">
        <f>IFERROR((VLOOKUP($A5275,HeadJournal!$A$1:$K$890,COLUMN(HeadJournal!K$1),0)-VLOOKUP($A5275,HeadJournal!$A$1:$K$890,COLUMN(HeadJournal!J$1),0))*($K5275+$L5275)/(SUMIF($A:$A,$A5275,$K:$K)+SUMIF($A:$A,$A5275,$L:$L)),0)</f>
        <v>-7.6042953545688368E-16</v>
      </c>
      <c r="O5275" s="30">
        <f>IFERROR((VLOOKUP($A5275,HeadJournal!$A$1:$L$890,COLUMN(HeadJournal!L$1),0)*($K5275+$L5275)/(SUMIF($A:$A,$A5275,$K:$K)+SUMIF($A:$A,$A5275,$L:$L)))/VLOOKUP($A5275,HeadJournal!$A$1:$L$890,COLUMN(HeadJournal!H$1),0),0)</f>
        <v>0.21123245778043831</v>
      </c>
      <c r="P5275" s="30">
        <f>IFERROR(SUM(K5275:O5275)*VLOOKUP($A5275,HeadJournal!$A$1:$L$890,COLUMN(HeadJournal!H$1),0),0)</f>
        <v>540.59248085616753</v>
      </c>
      <c r="Q5275" s="29">
        <v>1300</v>
      </c>
      <c r="R5275" s="31">
        <v>46038</v>
      </c>
      <c r="S5275" s="31" t="s">
        <v>3487</v>
      </c>
      <c r="T5275" s="95" t="str">
        <f t="shared" si="392"/>
        <v>2026 01</v>
      </c>
      <c r="U5275" s="32">
        <f t="shared" si="354"/>
        <v>759.40751914383247</v>
      </c>
      <c r="V5275" s="22">
        <f t="shared" si="355"/>
        <v>1.4047689267544285</v>
      </c>
      <c r="X5275" s="33"/>
      <c r="Y5275" s="33"/>
    </row>
    <row r="5276" spans="1:25" x14ac:dyDescent="0.2">
      <c r="A5276" s="93" t="s">
        <v>4949</v>
      </c>
      <c r="B5276" s="94">
        <f>IFERROR(VLOOKUP($A5276,HeadJournal!$A$1:$NTR$890,COLUMN(HeadJournal!B$1),0),"")</f>
        <v>0</v>
      </c>
      <c r="C5276" s="94" t="str">
        <f>IFERROR(VLOOKUP($A5276,HeadJournal!$A$1:$NTR$890,COLUMN(HeadJournal!C$1),0),"")</f>
        <v>iHerb_VP DFD1605</v>
      </c>
      <c r="D5276" s="125" t="str">
        <f>IFERROR(VLOOKUP($A5276,HeadJournal!$A$1:$NTR$890,COLUMN(HeadJournal!D$1),0),"")</f>
        <v>Доставлен</v>
      </c>
      <c r="E5276" s="95">
        <f>IFERROR(VLOOKUP($A5276,HeadJournal!$A$1:$NTR$890,COLUMN(HeadJournal!G$1),0),"")</f>
        <v>45961</v>
      </c>
      <c r="F5276" s="95" t="str">
        <f t="shared" si="391"/>
        <v>2025 10</v>
      </c>
      <c r="G5276" s="97" t="s">
        <v>5</v>
      </c>
      <c r="H5276" s="161" t="s">
        <v>4947</v>
      </c>
      <c r="I5276" s="97" t="s">
        <v>2839</v>
      </c>
      <c r="J5276" s="97" t="s">
        <v>4948</v>
      </c>
      <c r="K5276" s="29">
        <v>18.13</v>
      </c>
      <c r="L5276" s="29">
        <v>-4.53</v>
      </c>
      <c r="M5276" s="30">
        <f>IFERROR(VLOOKUP($A5276,HeadJournal!$A$1:$J$890,COLUMN(HeadJournal!I$1),0)*($K5276+$L5276)/(SUMIF($A:$A,$A5276,$K:$K)+SUMIF($A:$A,$A5276,$L:$L)),0)</f>
        <v>0</v>
      </c>
      <c r="N5276" s="30">
        <f>IFERROR((VLOOKUP($A5276,HeadJournal!$A$1:$K$890,COLUMN(HeadJournal!K$1),0)-VLOOKUP($A5276,HeadJournal!$A$1:$K$890,COLUMN(HeadJournal!J$1),0))*($K5276+$L5276)/(SUMIF($A:$A,$A5276,$K:$K)+SUMIF($A:$A,$A5276,$L:$L)),0)</f>
        <v>-1.7830761521057956E-15</v>
      </c>
      <c r="O5276" s="30">
        <f>IFERROR((VLOOKUP($A5276,HeadJournal!$A$1:$L$890,COLUMN(HeadJournal!L$1),0)*($K5276+$L5276)/(SUMIF($A:$A,$A5276,$K:$K)+SUMIF($A:$A,$A5276,$L:$L)))/VLOOKUP($A5276,HeadJournal!$A$1:$L$890,COLUMN(HeadJournal!H$1),0),0)</f>
        <v>0.49530369410585512</v>
      </c>
      <c r="P5276" s="30">
        <f>IFERROR(SUM(K5276:O5276)*VLOOKUP($A5276,HeadJournal!$A$1:$L$890,COLUMN(HeadJournal!H$1),0),0)</f>
        <v>1267.5961620075648</v>
      </c>
      <c r="Q5276" s="29">
        <v>2400</v>
      </c>
      <c r="R5276" s="31">
        <v>45989</v>
      </c>
      <c r="S5276" s="31" t="s">
        <v>4457</v>
      </c>
      <c r="T5276" s="95" t="str">
        <f t="shared" si="392"/>
        <v>2025 11</v>
      </c>
      <c r="U5276" s="32">
        <f t="shared" si="354"/>
        <v>1132.4038379924352</v>
      </c>
      <c r="V5276" s="22">
        <f t="shared" si="355"/>
        <v>0.89334748079308024</v>
      </c>
      <c r="X5276" s="33"/>
      <c r="Y5276" s="33"/>
    </row>
    <row r="5277" spans="1:25" x14ac:dyDescent="0.2">
      <c r="A5277" s="93" t="s">
        <v>4951</v>
      </c>
      <c r="B5277" s="94">
        <f>IFERROR(VLOOKUP($A5277,HeadJournal!$A$1:$NTR$890,COLUMN(HeadJournal!B$1),0),"")</f>
        <v>0</v>
      </c>
      <c r="C5277" s="94" t="str">
        <f>IFERROR(VLOOKUP($A5277,HeadJournal!$A$1:$NTR$890,COLUMN(HeadJournal!C$1),0),"")</f>
        <v>iHerb_AV CYG0792</v>
      </c>
      <c r="D5277" s="125" t="str">
        <f>IFERROR(VLOOKUP($A5277,HeadJournal!$A$1:$NTR$890,COLUMN(HeadJournal!D$1),0),"")</f>
        <v>Доставлен</v>
      </c>
      <c r="E5277" s="95">
        <f>IFERROR(VLOOKUP($A5277,HeadJournal!$A$1:$NTR$890,COLUMN(HeadJournal!G$1),0),"")</f>
        <v>45973</v>
      </c>
      <c r="F5277" s="95" t="str">
        <f t="shared" si="391"/>
        <v>2025 11</v>
      </c>
      <c r="G5277" s="97" t="s">
        <v>5</v>
      </c>
      <c r="H5277" s="161" t="s">
        <v>4882</v>
      </c>
      <c r="I5277" s="97" t="s">
        <v>2166</v>
      </c>
      <c r="J5277" s="97" t="s">
        <v>4883</v>
      </c>
      <c r="K5277" s="29">
        <v>13.22</v>
      </c>
      <c r="L5277" s="29">
        <v>-2.64</v>
      </c>
      <c r="M5277" s="30">
        <f>IFERROR(VLOOKUP($A5277,HeadJournal!$A$1:$J$890,COLUMN(HeadJournal!I$1),0)*($K5277+$L5277)/(SUMIF($A:$A,$A5277,$K:$K)+SUMIF($A:$A,$A5277,$L:$L)),0)</f>
        <v>0</v>
      </c>
      <c r="N5277" s="30">
        <f>IFERROR((VLOOKUP($A5277,HeadJournal!$A$1:$K$890,COLUMN(HeadJournal!K$1),0)-VLOOKUP($A5277,HeadJournal!$A$1:$K$890,COLUMN(HeadJournal!J$1),0))*($K5277+$L5277)/(SUMIF($A:$A,$A5277,$K:$K)+SUMIF($A:$A,$A5277,$L:$L)),0)</f>
        <v>0</v>
      </c>
      <c r="O5277" s="30">
        <f>IFERROR((VLOOKUP($A5277,HeadJournal!$A$1:$L$890,COLUMN(HeadJournal!L$1),0)*($K5277+$L5277)/(SUMIF($A:$A,$A5277,$K:$K)+SUMIF($A:$A,$A5277,$L:$L)))/VLOOKUP($A5277,HeadJournal!$A$1:$L$890,COLUMN(HeadJournal!H$1),0),0)</f>
        <v>0.2616395102244794</v>
      </c>
      <c r="P5277" s="30">
        <f>IFERROR(SUM(K5277:O5277)*VLOOKUP($A5277,HeadJournal!$A$1:$L$890,COLUMN(HeadJournal!H$1),0),0)</f>
        <v>974.91440467917539</v>
      </c>
      <c r="Q5277" s="29">
        <v>1900</v>
      </c>
      <c r="R5277" s="31">
        <v>45999</v>
      </c>
      <c r="S5277" s="31" t="s">
        <v>3235</v>
      </c>
      <c r="T5277" s="95" t="str">
        <f t="shared" si="392"/>
        <v>2025 12</v>
      </c>
      <c r="U5277" s="32">
        <f t="shared" si="354"/>
        <v>925.08559532082461</v>
      </c>
      <c r="V5277" s="22">
        <f t="shared" si="355"/>
        <v>0.94888904182849931</v>
      </c>
      <c r="X5277" s="33"/>
      <c r="Y5277" s="33"/>
    </row>
    <row r="5278" spans="1:25" x14ac:dyDescent="0.2">
      <c r="A5278" s="93" t="s">
        <v>4951</v>
      </c>
      <c r="B5278" s="94">
        <f>IFERROR(VLOOKUP($A5278,HeadJournal!$A$1:$NTR$890,COLUMN(HeadJournal!B$1),0),"")</f>
        <v>0</v>
      </c>
      <c r="C5278" s="94" t="str">
        <f>IFERROR(VLOOKUP($A5278,HeadJournal!$A$1:$NTR$890,COLUMN(HeadJournal!C$1),0),"")</f>
        <v>iHerb_AV CYG0792</v>
      </c>
      <c r="D5278" s="125" t="str">
        <f>IFERROR(VLOOKUP($A5278,HeadJournal!$A$1:$NTR$890,COLUMN(HeadJournal!D$1),0),"")</f>
        <v>Доставлен</v>
      </c>
      <c r="E5278" s="95">
        <f>IFERROR(VLOOKUP($A5278,HeadJournal!$A$1:$NTR$890,COLUMN(HeadJournal!G$1),0),"")</f>
        <v>45973</v>
      </c>
      <c r="F5278" s="95" t="str">
        <f t="shared" si="391"/>
        <v>2025 11</v>
      </c>
      <c r="G5278" s="97" t="s">
        <v>5</v>
      </c>
      <c r="H5278" s="161" t="s">
        <v>3931</v>
      </c>
      <c r="I5278" s="97" t="s">
        <v>2036</v>
      </c>
      <c r="J5278" s="97" t="s">
        <v>3932</v>
      </c>
      <c r="K5278" s="29">
        <v>12.06</v>
      </c>
      <c r="L5278" s="29">
        <v>-2.41</v>
      </c>
      <c r="M5278" s="30">
        <f>IFERROR(VLOOKUP($A5278,HeadJournal!$A$1:$J$890,COLUMN(HeadJournal!I$1),0)*($K5278+$L5278)/(SUMIF($A:$A,$A5278,$K:$K)+SUMIF($A:$A,$A5278,$L:$L)),0)</f>
        <v>0</v>
      </c>
      <c r="N5278" s="30">
        <f>IFERROR((VLOOKUP($A5278,HeadJournal!$A$1:$K$890,COLUMN(HeadJournal!K$1),0)-VLOOKUP($A5278,HeadJournal!$A$1:$K$890,COLUMN(HeadJournal!J$1),0))*($K5278+$L5278)/(SUMIF($A:$A,$A5278,$K:$K)+SUMIF($A:$A,$A5278,$L:$L)),0)</f>
        <v>0</v>
      </c>
      <c r="O5278" s="30">
        <f>IFERROR((VLOOKUP($A5278,HeadJournal!$A$1:$L$890,COLUMN(HeadJournal!L$1),0)*($K5278+$L5278)/(SUMIF($A:$A,$A5278,$K:$K)+SUMIF($A:$A,$A5278,$L:$L)))/VLOOKUP($A5278,HeadJournal!$A$1:$L$890,COLUMN(HeadJournal!H$1),0),0)</f>
        <v>0.23864095214236541</v>
      </c>
      <c r="P5278" s="30">
        <f>IFERROR(SUM(K5278:O5278)*VLOOKUP($A5278,HeadJournal!$A$1:$L$890,COLUMN(HeadJournal!H$1),0),0)</f>
        <v>889.217769863331</v>
      </c>
      <c r="Q5278" s="29">
        <v>1600</v>
      </c>
      <c r="R5278" s="31">
        <v>45999</v>
      </c>
      <c r="S5278" s="31" t="s">
        <v>3235</v>
      </c>
      <c r="T5278" s="95" t="str">
        <f t="shared" si="392"/>
        <v>2025 12</v>
      </c>
      <c r="U5278" s="32">
        <f t="shared" si="354"/>
        <v>710.782230136669</v>
      </c>
      <c r="V5278" s="22">
        <f t="shared" si="355"/>
        <v>0.79933426234375993</v>
      </c>
      <c r="X5278" s="33"/>
      <c r="Y5278" s="33"/>
    </row>
    <row r="5279" spans="1:25" x14ac:dyDescent="0.2">
      <c r="A5279" s="93" t="s">
        <v>4951</v>
      </c>
      <c r="B5279" s="94">
        <f>IFERROR(VLOOKUP($A5279,HeadJournal!$A$1:$NTR$890,COLUMN(HeadJournal!B$1),0),"")</f>
        <v>0</v>
      </c>
      <c r="C5279" s="94" t="str">
        <f>IFERROR(VLOOKUP($A5279,HeadJournal!$A$1:$NTR$890,COLUMN(HeadJournal!C$1),0),"")</f>
        <v>iHerb_AV CYG0792</v>
      </c>
      <c r="D5279" s="125" t="str">
        <f>IFERROR(VLOOKUP($A5279,HeadJournal!$A$1:$NTR$890,COLUMN(HeadJournal!D$1),0),"")</f>
        <v>Доставлен</v>
      </c>
      <c r="E5279" s="95">
        <f>IFERROR(VLOOKUP($A5279,HeadJournal!$A$1:$NTR$890,COLUMN(HeadJournal!G$1),0),"")</f>
        <v>45973</v>
      </c>
      <c r="F5279" s="95" t="str">
        <f t="shared" si="391"/>
        <v>2025 11</v>
      </c>
      <c r="G5279" s="97" t="s">
        <v>5</v>
      </c>
      <c r="H5279" s="161" t="s">
        <v>3796</v>
      </c>
      <c r="I5279" s="97" t="s">
        <v>2009</v>
      </c>
      <c r="J5279" s="97" t="s">
        <v>3797</v>
      </c>
      <c r="K5279" s="29">
        <v>24.16</v>
      </c>
      <c r="L5279" s="29">
        <v>-4.83</v>
      </c>
      <c r="M5279" s="30">
        <f>IFERROR(VLOOKUP($A5279,HeadJournal!$A$1:$J$890,COLUMN(HeadJournal!I$1),0)*($K5279+$L5279)/(SUMIF($A:$A,$A5279,$K:$K)+SUMIF($A:$A,$A5279,$L:$L)),0)</f>
        <v>0</v>
      </c>
      <c r="N5279" s="30">
        <f>IFERROR((VLOOKUP($A5279,HeadJournal!$A$1:$K$890,COLUMN(HeadJournal!K$1),0)-VLOOKUP($A5279,HeadJournal!$A$1:$K$890,COLUMN(HeadJournal!J$1),0))*($K5279+$L5279)/(SUMIF($A:$A,$A5279,$K:$K)+SUMIF($A:$A,$A5279,$L:$L)),0)</f>
        <v>0</v>
      </c>
      <c r="O5279" s="30">
        <f>IFERROR((VLOOKUP($A5279,HeadJournal!$A$1:$L$890,COLUMN(HeadJournal!L$1),0)*($K5279+$L5279)/(SUMIF($A:$A,$A5279,$K:$K)+SUMIF($A:$A,$A5279,$L:$L)))/VLOOKUP($A5279,HeadJournal!$A$1:$L$890,COLUMN(HeadJournal!H$1),0),0)</f>
        <v>0.47802379325512157</v>
      </c>
      <c r="P5279" s="30">
        <f>IFERROR(SUM(K5279:O5279)*VLOOKUP($A5279,HeadJournal!$A$1:$L$890,COLUMN(HeadJournal!H$1),0),0)</f>
        <v>1781.1999473013666</v>
      </c>
      <c r="Q5279" s="29">
        <v>2900</v>
      </c>
      <c r="R5279" s="31">
        <v>45999</v>
      </c>
      <c r="S5279" s="31" t="s">
        <v>3235</v>
      </c>
      <c r="T5279" s="95" t="str">
        <f t="shared" si="392"/>
        <v>2025 12</v>
      </c>
      <c r="U5279" s="32">
        <f t="shared" si="354"/>
        <v>1118.8000526986334</v>
      </c>
      <c r="V5279" s="22">
        <f t="shared" si="355"/>
        <v>0.62811592510638015</v>
      </c>
      <c r="X5279" s="33"/>
      <c r="Y5279" s="33"/>
    </row>
    <row r="5280" spans="1:25" x14ac:dyDescent="0.2">
      <c r="A5280" s="93" t="s">
        <v>4951</v>
      </c>
      <c r="B5280" s="94">
        <f>IFERROR(VLOOKUP($A5280,HeadJournal!$A$1:$NTR$890,COLUMN(HeadJournal!B$1),0),"")</f>
        <v>0</v>
      </c>
      <c r="C5280" s="94" t="str">
        <f>IFERROR(VLOOKUP($A5280,HeadJournal!$A$1:$NTR$890,COLUMN(HeadJournal!C$1),0),"")</f>
        <v>iHerb_AV CYG0792</v>
      </c>
      <c r="D5280" s="125" t="str">
        <f>IFERROR(VLOOKUP($A5280,HeadJournal!$A$1:$NTR$890,COLUMN(HeadJournal!D$1),0),"")</f>
        <v>Доставлен</v>
      </c>
      <c r="E5280" s="95">
        <f>IFERROR(VLOOKUP($A5280,HeadJournal!$A$1:$NTR$890,COLUMN(HeadJournal!G$1),0),"")</f>
        <v>45973</v>
      </c>
      <c r="F5280" s="95" t="str">
        <f t="shared" si="391"/>
        <v>2025 11</v>
      </c>
      <c r="G5280" s="97" t="s">
        <v>5</v>
      </c>
      <c r="H5280" s="161" t="s">
        <v>3796</v>
      </c>
      <c r="I5280" s="97" t="s">
        <v>2009</v>
      </c>
      <c r="J5280" s="97" t="s">
        <v>3797</v>
      </c>
      <c r="K5280" s="29">
        <v>24.16</v>
      </c>
      <c r="L5280" s="29">
        <v>-4.83</v>
      </c>
      <c r="M5280" s="30">
        <f>IFERROR(VLOOKUP($A5280,HeadJournal!$A$1:$J$890,COLUMN(HeadJournal!I$1),0)*($K5280+$L5280)/(SUMIF($A:$A,$A5280,$K:$K)+SUMIF($A:$A,$A5280,$L:$L)),0)</f>
        <v>0</v>
      </c>
      <c r="N5280" s="30">
        <f>IFERROR((VLOOKUP($A5280,HeadJournal!$A$1:$K$890,COLUMN(HeadJournal!K$1),0)-VLOOKUP($A5280,HeadJournal!$A$1:$K$890,COLUMN(HeadJournal!J$1),0))*($K5280+$L5280)/(SUMIF($A:$A,$A5280,$K:$K)+SUMIF($A:$A,$A5280,$L:$L)),0)</f>
        <v>0</v>
      </c>
      <c r="O5280" s="30">
        <f>IFERROR((VLOOKUP($A5280,HeadJournal!$A$1:$L$890,COLUMN(HeadJournal!L$1),0)*($K5280+$L5280)/(SUMIF($A:$A,$A5280,$K:$K)+SUMIF($A:$A,$A5280,$L:$L)))/VLOOKUP($A5280,HeadJournal!$A$1:$L$890,COLUMN(HeadJournal!H$1),0),0)</f>
        <v>0.47802379325512157</v>
      </c>
      <c r="P5280" s="30">
        <f>IFERROR(SUM(K5280:O5280)*VLOOKUP($A5280,HeadJournal!$A$1:$L$890,COLUMN(HeadJournal!H$1),0),0)</f>
        <v>1781.1999473013666</v>
      </c>
      <c r="Q5280" s="29">
        <v>2900</v>
      </c>
      <c r="R5280" s="31">
        <v>45999</v>
      </c>
      <c r="S5280" s="31" t="s">
        <v>3235</v>
      </c>
      <c r="T5280" s="95" t="str">
        <f t="shared" si="392"/>
        <v>2025 12</v>
      </c>
      <c r="U5280" s="32">
        <f t="shared" si="354"/>
        <v>1118.8000526986334</v>
      </c>
      <c r="V5280" s="22">
        <f t="shared" si="355"/>
        <v>0.62811592510638015</v>
      </c>
      <c r="X5280" s="33"/>
      <c r="Y5280" s="33"/>
    </row>
    <row r="5281" spans="1:25" x14ac:dyDescent="0.2">
      <c r="A5281" s="93" t="s">
        <v>4951</v>
      </c>
      <c r="B5281" s="94">
        <f>IFERROR(VLOOKUP($A5281,HeadJournal!$A$1:$NTR$890,COLUMN(HeadJournal!B$1),0),"")</f>
        <v>0</v>
      </c>
      <c r="C5281" s="94" t="str">
        <f>IFERROR(VLOOKUP($A5281,HeadJournal!$A$1:$NTR$890,COLUMN(HeadJournal!C$1),0),"")</f>
        <v>iHerb_AV CYG0792</v>
      </c>
      <c r="D5281" s="125" t="str">
        <f>IFERROR(VLOOKUP($A5281,HeadJournal!$A$1:$NTR$890,COLUMN(HeadJournal!D$1),0),"")</f>
        <v>Доставлен</v>
      </c>
      <c r="E5281" s="95">
        <f>IFERROR(VLOOKUP($A5281,HeadJournal!$A$1:$NTR$890,COLUMN(HeadJournal!G$1),0),"")</f>
        <v>45973</v>
      </c>
      <c r="F5281" s="95" t="str">
        <f t="shared" si="391"/>
        <v>2025 11</v>
      </c>
      <c r="G5281" s="97" t="s">
        <v>5</v>
      </c>
      <c r="H5281" s="161" t="s">
        <v>3794</v>
      </c>
      <c r="I5281" s="97" t="s">
        <v>2009</v>
      </c>
      <c r="J5281" s="97" t="s">
        <v>3795</v>
      </c>
      <c r="K5281" s="29">
        <v>13.05</v>
      </c>
      <c r="L5281" s="29">
        <v>-2.61</v>
      </c>
      <c r="M5281" s="30">
        <f>IFERROR(VLOOKUP($A5281,HeadJournal!$A$1:$J$890,COLUMN(HeadJournal!I$1),0)*($K5281+$L5281)/(SUMIF($A:$A,$A5281,$K:$K)+SUMIF($A:$A,$A5281,$L:$L)),0)</f>
        <v>0</v>
      </c>
      <c r="N5281" s="30">
        <f>IFERROR((VLOOKUP($A5281,HeadJournal!$A$1:$K$890,COLUMN(HeadJournal!K$1),0)-VLOOKUP($A5281,HeadJournal!$A$1:$K$890,COLUMN(HeadJournal!J$1),0))*($K5281+$L5281)/(SUMIF($A:$A,$A5281,$K:$K)+SUMIF($A:$A,$A5281,$L:$L)),0)</f>
        <v>0</v>
      </c>
      <c r="O5281" s="30">
        <f>IFERROR((VLOOKUP($A5281,HeadJournal!$A$1:$L$890,COLUMN(HeadJournal!L$1),0)*($K5281+$L5281)/(SUMIF($A:$A,$A5281,$K:$K)+SUMIF($A:$A,$A5281,$L:$L)))/VLOOKUP($A5281,HeadJournal!$A$1:$L$890,COLUMN(HeadJournal!H$1),0),0)</f>
        <v>0.25817736169598915</v>
      </c>
      <c r="P5281" s="30">
        <f>IFERROR(SUM(K5281:O5281)*VLOOKUP($A5281,HeadJournal!$A$1:$L$890,COLUMN(HeadJournal!H$1),0),0)</f>
        <v>962.01383599722033</v>
      </c>
      <c r="Q5281" s="29">
        <v>2000</v>
      </c>
      <c r="R5281" s="31">
        <v>45999</v>
      </c>
      <c r="S5281" s="31" t="s">
        <v>3235</v>
      </c>
      <c r="T5281" s="95" t="str">
        <f t="shared" si="392"/>
        <v>2025 12</v>
      </c>
      <c r="U5281" s="32">
        <f t="shared" ref="U5281:U5300" si="393">Q5281-P5281</f>
        <v>1037.9861640027798</v>
      </c>
      <c r="V5281" s="22">
        <f t="shared" ref="V5281:V5300" si="394">IF(Q5281&lt;&gt;0,IFERROR(U5281/P5281,""),"")</f>
        <v>1.0789721781150963</v>
      </c>
      <c r="X5281" s="33"/>
      <c r="Y5281" s="33"/>
    </row>
    <row r="5282" spans="1:25" x14ac:dyDescent="0.2">
      <c r="A5282" s="93" t="s">
        <v>4951</v>
      </c>
      <c r="B5282" s="94">
        <f>IFERROR(VLOOKUP($A5282,HeadJournal!$A$1:$NTR$890,COLUMN(HeadJournal!B$1),0),"")</f>
        <v>0</v>
      </c>
      <c r="C5282" s="94" t="str">
        <f>IFERROR(VLOOKUP($A5282,HeadJournal!$A$1:$NTR$890,COLUMN(HeadJournal!C$1),0),"")</f>
        <v>iHerb_AV CYG0792</v>
      </c>
      <c r="D5282" s="125" t="str">
        <f>IFERROR(VLOOKUP($A5282,HeadJournal!$A$1:$NTR$890,COLUMN(HeadJournal!D$1),0),"")</f>
        <v>Доставлен</v>
      </c>
      <c r="E5282" s="95">
        <f>IFERROR(VLOOKUP($A5282,HeadJournal!$A$1:$NTR$890,COLUMN(HeadJournal!G$1),0),"")</f>
        <v>45973</v>
      </c>
      <c r="F5282" s="95" t="str">
        <f t="shared" si="391"/>
        <v>2025 11</v>
      </c>
      <c r="G5282" s="97" t="s">
        <v>5</v>
      </c>
      <c r="H5282" s="161" t="s">
        <v>3794</v>
      </c>
      <c r="I5282" s="97" t="s">
        <v>2009</v>
      </c>
      <c r="J5282" s="97" t="s">
        <v>3795</v>
      </c>
      <c r="K5282" s="29">
        <v>13.05</v>
      </c>
      <c r="L5282" s="29">
        <v>-2.61</v>
      </c>
      <c r="M5282" s="30">
        <f>IFERROR(VLOOKUP($A5282,HeadJournal!$A$1:$J$890,COLUMN(HeadJournal!I$1),0)*($K5282+$L5282)/(SUMIF($A:$A,$A5282,$K:$K)+SUMIF($A:$A,$A5282,$L:$L)),0)</f>
        <v>0</v>
      </c>
      <c r="N5282" s="30">
        <f>IFERROR((VLOOKUP($A5282,HeadJournal!$A$1:$K$890,COLUMN(HeadJournal!K$1),0)-VLOOKUP($A5282,HeadJournal!$A$1:$K$890,COLUMN(HeadJournal!J$1),0))*($K5282+$L5282)/(SUMIF($A:$A,$A5282,$K:$K)+SUMIF($A:$A,$A5282,$L:$L)),0)</f>
        <v>0</v>
      </c>
      <c r="O5282" s="30">
        <f>IFERROR((VLOOKUP($A5282,HeadJournal!$A$1:$L$890,COLUMN(HeadJournal!L$1),0)*($K5282+$L5282)/(SUMIF($A:$A,$A5282,$K:$K)+SUMIF($A:$A,$A5282,$L:$L)))/VLOOKUP($A5282,HeadJournal!$A$1:$L$890,COLUMN(HeadJournal!H$1),0),0)</f>
        <v>0.25817736169598915</v>
      </c>
      <c r="P5282" s="30">
        <f>IFERROR(SUM(K5282:O5282)*VLOOKUP($A5282,HeadJournal!$A$1:$L$890,COLUMN(HeadJournal!H$1),0),0)</f>
        <v>962.01383599722033</v>
      </c>
      <c r="Q5282" s="29">
        <v>2000</v>
      </c>
      <c r="R5282" s="31">
        <v>45999</v>
      </c>
      <c r="S5282" s="31" t="s">
        <v>3235</v>
      </c>
      <c r="T5282" s="95" t="str">
        <f t="shared" si="392"/>
        <v>2025 12</v>
      </c>
      <c r="U5282" s="32">
        <f t="shared" si="393"/>
        <v>1037.9861640027798</v>
      </c>
      <c r="V5282" s="22">
        <f t="shared" si="394"/>
        <v>1.0789721781150963</v>
      </c>
      <c r="X5282" s="33"/>
      <c r="Y5282" s="33"/>
    </row>
    <row r="5283" spans="1:25" x14ac:dyDescent="0.2">
      <c r="A5283" s="93" t="s">
        <v>4951</v>
      </c>
      <c r="B5283" s="94">
        <f>IFERROR(VLOOKUP($A5283,HeadJournal!$A$1:$NTR$890,COLUMN(HeadJournal!B$1),0),"")</f>
        <v>0</v>
      </c>
      <c r="C5283" s="94" t="str">
        <f>IFERROR(VLOOKUP($A5283,HeadJournal!$A$1:$NTR$890,COLUMN(HeadJournal!C$1),0),"")</f>
        <v>iHerb_AV CYG0792</v>
      </c>
      <c r="D5283" s="125" t="str">
        <f>IFERROR(VLOOKUP($A5283,HeadJournal!$A$1:$NTR$890,COLUMN(HeadJournal!D$1),0),"")</f>
        <v>Доставлен</v>
      </c>
      <c r="E5283" s="95">
        <f>IFERROR(VLOOKUP($A5283,HeadJournal!$A$1:$NTR$890,COLUMN(HeadJournal!G$1),0),"")</f>
        <v>45973</v>
      </c>
      <c r="F5283" s="95" t="str">
        <f t="shared" si="391"/>
        <v>2025 11</v>
      </c>
      <c r="G5283" s="97" t="s">
        <v>5</v>
      </c>
      <c r="H5283" s="161" t="s">
        <v>3763</v>
      </c>
      <c r="I5283" s="97" t="s">
        <v>2166</v>
      </c>
      <c r="J5283" s="97" t="s">
        <v>3764</v>
      </c>
      <c r="K5283" s="29">
        <v>31.6</v>
      </c>
      <c r="L5283" s="29">
        <v>0</v>
      </c>
      <c r="M5283" s="30">
        <f>IFERROR(VLOOKUP($A5283,HeadJournal!$A$1:$J$890,COLUMN(HeadJournal!I$1),0)*($K5283+$L5283)/(SUMIF($A:$A,$A5283,$K:$K)+SUMIF($A:$A,$A5283,$L:$L)),0)</f>
        <v>0</v>
      </c>
      <c r="N5283" s="30">
        <f>IFERROR((VLOOKUP($A5283,HeadJournal!$A$1:$K$890,COLUMN(HeadJournal!K$1),0)-VLOOKUP($A5283,HeadJournal!$A$1:$K$890,COLUMN(HeadJournal!J$1),0))*($K5283+$L5283)/(SUMIF($A:$A,$A5283,$K:$K)+SUMIF($A:$A,$A5283,$L:$L)),0)</f>
        <v>0</v>
      </c>
      <c r="O5283" s="30">
        <f>IFERROR((VLOOKUP($A5283,HeadJournal!$A$1:$L$890,COLUMN(HeadJournal!L$1),0)*($K5283+$L5283)/(SUMIF($A:$A,$A5283,$K:$K)+SUMIF($A:$A,$A5283,$L:$L)))/VLOOKUP($A5283,HeadJournal!$A$1:$L$890,COLUMN(HeadJournal!H$1),0),0)</f>
        <v>0.78145638214494784</v>
      </c>
      <c r="P5283" s="30">
        <f>IFERROR(SUM(K5283:O5283)*VLOOKUP($A5283,HeadJournal!$A$1:$L$890,COLUMN(HeadJournal!H$1),0),0)</f>
        <v>2911.8426453555708</v>
      </c>
      <c r="Q5283" s="29">
        <v>3600</v>
      </c>
      <c r="R5283" s="31">
        <v>45999</v>
      </c>
      <c r="S5283" s="31" t="s">
        <v>3235</v>
      </c>
      <c r="T5283" s="95" t="str">
        <f t="shared" si="392"/>
        <v>2025 12</v>
      </c>
      <c r="U5283" s="32">
        <f t="shared" si="393"/>
        <v>688.15735464442923</v>
      </c>
      <c r="V5283" s="22">
        <f t="shared" si="394"/>
        <v>0.23633054339047121</v>
      </c>
      <c r="X5283" s="33"/>
      <c r="Y5283" s="33"/>
    </row>
    <row r="5284" spans="1:25" x14ac:dyDescent="0.2">
      <c r="A5284" s="93" t="s">
        <v>4951</v>
      </c>
      <c r="B5284" s="94">
        <f>IFERROR(VLOOKUP($A5284,HeadJournal!$A$1:$NTR$890,COLUMN(HeadJournal!B$1),0),"")</f>
        <v>0</v>
      </c>
      <c r="C5284" s="94" t="str">
        <f>IFERROR(VLOOKUP($A5284,HeadJournal!$A$1:$NTR$890,COLUMN(HeadJournal!C$1),0),"")</f>
        <v>iHerb_AV CYG0792</v>
      </c>
      <c r="D5284" s="125" t="str">
        <f>IFERROR(VLOOKUP($A5284,HeadJournal!$A$1:$NTR$890,COLUMN(HeadJournal!D$1),0),"")</f>
        <v>Доставлен</v>
      </c>
      <c r="E5284" s="95">
        <f>IFERROR(VLOOKUP($A5284,HeadJournal!$A$1:$NTR$890,COLUMN(HeadJournal!G$1),0),"")</f>
        <v>45973</v>
      </c>
      <c r="F5284" s="95" t="str">
        <f t="shared" si="391"/>
        <v>2025 11</v>
      </c>
      <c r="G5284" s="97" t="s">
        <v>5</v>
      </c>
      <c r="H5284" s="161" t="s">
        <v>4044</v>
      </c>
      <c r="I5284" s="97" t="s">
        <v>2163</v>
      </c>
      <c r="J5284" s="97" t="s">
        <v>4045</v>
      </c>
      <c r="K5284" s="29">
        <v>31.95</v>
      </c>
      <c r="L5284" s="29">
        <v>-6.39</v>
      </c>
      <c r="M5284" s="30">
        <f>IFERROR(VLOOKUP($A5284,HeadJournal!$A$1:$J$890,COLUMN(HeadJournal!I$1),0)*($K5284+$L5284)/(SUMIF($A:$A,$A5284,$K:$K)+SUMIF($A:$A,$A5284,$L:$L)),0)</f>
        <v>0</v>
      </c>
      <c r="N5284" s="30">
        <f>IFERROR((VLOOKUP($A5284,HeadJournal!$A$1:$K$890,COLUMN(HeadJournal!K$1),0)-VLOOKUP($A5284,HeadJournal!$A$1:$K$890,COLUMN(HeadJournal!J$1),0))*($K5284+$L5284)/(SUMIF($A:$A,$A5284,$K:$K)+SUMIF($A:$A,$A5284,$L:$L)),0)</f>
        <v>0</v>
      </c>
      <c r="O5284" s="30">
        <f>IFERROR((VLOOKUP($A5284,HeadJournal!$A$1:$L$890,COLUMN(HeadJournal!L$1),0)*($K5284+$L5284)/(SUMIF($A:$A,$A5284,$K:$K)+SUMIF($A:$A,$A5284,$L:$L)))/VLOOKUP($A5284,HeadJournal!$A$1:$L$890,COLUMN(HeadJournal!H$1),0),0)</f>
        <v>0.63208940277293879</v>
      </c>
      <c r="P5284" s="30">
        <f>IFERROR(SUM(K5284:O5284)*VLOOKUP($A5284,HeadJournal!$A$1:$L$890,COLUMN(HeadJournal!H$1),0),0)</f>
        <v>2355.2752536483667</v>
      </c>
      <c r="Q5284" s="29">
        <v>3600</v>
      </c>
      <c r="R5284" s="31">
        <v>45999</v>
      </c>
      <c r="S5284" s="31" t="s">
        <v>3235</v>
      </c>
      <c r="T5284" s="95" t="str">
        <f t="shared" si="392"/>
        <v>2025 12</v>
      </c>
      <c r="U5284" s="32">
        <f t="shared" si="393"/>
        <v>1244.7247463516333</v>
      </c>
      <c r="V5284" s="22">
        <f t="shared" si="394"/>
        <v>0.52848377038884553</v>
      </c>
      <c r="X5284" s="33"/>
      <c r="Y5284" s="33"/>
    </row>
    <row r="5285" spans="1:25" x14ac:dyDescent="0.2">
      <c r="A5285" s="93" t="s">
        <v>4951</v>
      </c>
      <c r="B5285" s="94">
        <f>IFERROR(VLOOKUP($A5285,HeadJournal!$A$1:$NTR$890,COLUMN(HeadJournal!B$1),0),"")</f>
        <v>0</v>
      </c>
      <c r="C5285" s="94" t="str">
        <f>IFERROR(VLOOKUP($A5285,HeadJournal!$A$1:$NTR$890,COLUMN(HeadJournal!C$1),0),"")</f>
        <v>iHerb_AV CYG0792</v>
      </c>
      <c r="D5285" s="125" t="str">
        <f>IFERROR(VLOOKUP($A5285,HeadJournal!$A$1:$NTR$890,COLUMN(HeadJournal!D$1),0),"")</f>
        <v>Доставлен</v>
      </c>
      <c r="E5285" s="95">
        <f>IFERROR(VLOOKUP($A5285,HeadJournal!$A$1:$NTR$890,COLUMN(HeadJournal!G$1),0),"")</f>
        <v>45973</v>
      </c>
      <c r="F5285" s="95" t="str">
        <f t="shared" si="391"/>
        <v>2025 11</v>
      </c>
      <c r="G5285" s="97" t="s">
        <v>5</v>
      </c>
      <c r="H5285" s="161" t="s">
        <v>2034</v>
      </c>
      <c r="I5285" s="97" t="s">
        <v>2008</v>
      </c>
      <c r="J5285" s="97" t="s">
        <v>4950</v>
      </c>
      <c r="K5285" s="29">
        <v>23.89</v>
      </c>
      <c r="L5285" s="29">
        <v>-4.78</v>
      </c>
      <c r="M5285" s="30">
        <f>IFERROR(VLOOKUP($A5285,HeadJournal!$A$1:$J$890,COLUMN(HeadJournal!I$1),0)*($K5285+$L5285)/(SUMIF($A:$A,$A5285,$K:$K)+SUMIF($A:$A,$A5285,$L:$L)),0)</f>
        <v>0</v>
      </c>
      <c r="N5285" s="30">
        <f>IFERROR((VLOOKUP($A5285,HeadJournal!$A$1:$K$890,COLUMN(HeadJournal!K$1),0)-VLOOKUP($A5285,HeadJournal!$A$1:$K$890,COLUMN(HeadJournal!J$1),0))*($K5285+$L5285)/(SUMIF($A:$A,$A5285,$K:$K)+SUMIF($A:$A,$A5285,$L:$L)),0)</f>
        <v>0</v>
      </c>
      <c r="O5285" s="30">
        <f>IFERROR((VLOOKUP($A5285,HeadJournal!$A$1:$L$890,COLUMN(HeadJournal!L$1),0)*($K5285+$L5285)/(SUMIF($A:$A,$A5285,$K:$K)+SUMIF($A:$A,$A5285,$L:$L)))/VLOOKUP($A5285,HeadJournal!$A$1:$L$890,COLUMN(HeadJournal!H$1),0),0)</f>
        <v>0.47258327413892259</v>
      </c>
      <c r="P5285" s="30">
        <f>IFERROR(SUM(K5285:O5285)*VLOOKUP($A5285,HeadJournal!$A$1:$L$890,COLUMN(HeadJournal!H$1),0),0)</f>
        <v>1760.9276250868659</v>
      </c>
      <c r="Q5285" s="29">
        <v>2900</v>
      </c>
      <c r="R5285" s="31">
        <v>45997</v>
      </c>
      <c r="S5285" s="31" t="s">
        <v>3475</v>
      </c>
      <c r="T5285" s="95" t="str">
        <f t="shared" si="392"/>
        <v>2025 12</v>
      </c>
      <c r="U5285" s="32">
        <f t="shared" si="393"/>
        <v>1139.0723749131341</v>
      </c>
      <c r="V5285" s="22">
        <f t="shared" si="394"/>
        <v>0.64685927955553779</v>
      </c>
      <c r="X5285" s="33"/>
      <c r="Y5285" s="33"/>
    </row>
    <row r="5286" spans="1:25" x14ac:dyDescent="0.2">
      <c r="A5286" s="93" t="s">
        <v>4951</v>
      </c>
      <c r="B5286" s="94">
        <f>IFERROR(VLOOKUP($A5286,HeadJournal!$A$1:$NTR$890,COLUMN(HeadJournal!B$1),0),"")</f>
        <v>0</v>
      </c>
      <c r="C5286" s="94" t="str">
        <f>IFERROR(VLOOKUP($A5286,HeadJournal!$A$1:$NTR$890,COLUMN(HeadJournal!C$1),0),"")</f>
        <v>iHerb_AV CYG0792</v>
      </c>
      <c r="D5286" s="125" t="str">
        <f>IFERROR(VLOOKUP($A5286,HeadJournal!$A$1:$NTR$890,COLUMN(HeadJournal!D$1),0),"")</f>
        <v>Доставлен</v>
      </c>
      <c r="E5286" s="95">
        <f>IFERROR(VLOOKUP($A5286,HeadJournal!$A$1:$NTR$890,COLUMN(HeadJournal!G$1),0),"")</f>
        <v>45973</v>
      </c>
      <c r="F5286" s="95" t="str">
        <f t="shared" si="391"/>
        <v>2025 11</v>
      </c>
      <c r="G5286" s="97" t="s">
        <v>5</v>
      </c>
      <c r="H5286" s="161" t="s">
        <v>2573</v>
      </c>
      <c r="I5286" s="97" t="s">
        <v>2006</v>
      </c>
      <c r="J5286" s="97" t="s">
        <v>4429</v>
      </c>
      <c r="K5286" s="29">
        <v>20.8</v>
      </c>
      <c r="L5286" s="29">
        <v>-4.16</v>
      </c>
      <c r="M5286" s="30">
        <f>IFERROR(VLOOKUP($A5286,HeadJournal!$A$1:$J$890,COLUMN(HeadJournal!I$1),0)*($K5286+$L5286)/(SUMIF($A:$A,$A5286,$K:$K)+SUMIF($A:$A,$A5286,$L:$L)),0)</f>
        <v>0</v>
      </c>
      <c r="N5286" s="30">
        <f>IFERROR((VLOOKUP($A5286,HeadJournal!$A$1:$K$890,COLUMN(HeadJournal!K$1),0)-VLOOKUP($A5286,HeadJournal!$A$1:$K$890,COLUMN(HeadJournal!J$1),0))*($K5286+$L5286)/(SUMIF($A:$A,$A5286,$K:$K)+SUMIF($A:$A,$A5286,$L:$L)),0)</f>
        <v>0</v>
      </c>
      <c r="O5286" s="30">
        <f>IFERROR((VLOOKUP($A5286,HeadJournal!$A$1:$L$890,COLUMN(HeadJournal!L$1),0)*($K5286+$L5286)/(SUMIF($A:$A,$A5286,$K:$K)+SUMIF($A:$A,$A5286,$L:$L)))/VLOOKUP($A5286,HeadJournal!$A$1:$L$890,COLUMN(HeadJournal!H$1),0),0)</f>
        <v>0.41150108224341558</v>
      </c>
      <c r="P5286" s="30">
        <f>IFERROR(SUM(K5286:O5286)*VLOOKUP($A5286,HeadJournal!$A$1:$L$890,COLUMN(HeadJournal!H$1),0),0)</f>
        <v>1533.3247347695158</v>
      </c>
      <c r="Q5286" s="29"/>
      <c r="R5286" s="31"/>
      <c r="S5286" s="31"/>
      <c r="T5286" s="95" t="str">
        <f t="shared" si="392"/>
        <v/>
      </c>
      <c r="U5286" s="32">
        <f t="shared" si="393"/>
        <v>-1533.3247347695158</v>
      </c>
      <c r="V5286" s="22" t="str">
        <f t="shared" si="394"/>
        <v/>
      </c>
      <c r="X5286" s="33"/>
      <c r="Y5286" s="33"/>
    </row>
    <row r="5287" spans="1:25" x14ac:dyDescent="0.2">
      <c r="A5287" s="93" t="s">
        <v>4959</v>
      </c>
      <c r="B5287" s="94">
        <f>IFERROR(VLOOKUP($A5287,HeadJournal!$A$1:$NTR$890,COLUMN(HeadJournal!B$1),0),"")</f>
        <v>0</v>
      </c>
      <c r="C5287" s="94" t="str">
        <f>IFERROR(VLOOKUP($A5287,HeadJournal!$A$1:$NTR$890,COLUMN(HeadJournal!C$1),0),"")</f>
        <v>iHerb_VP DFD1605</v>
      </c>
      <c r="D5287" s="125" t="str">
        <f>IFERROR(VLOOKUP($A5287,HeadJournal!$A$1:$NTR$890,COLUMN(HeadJournal!D$1),0),"")</f>
        <v>Доставлен</v>
      </c>
      <c r="E5287" s="95">
        <f>IFERROR(VLOOKUP($A5287,HeadJournal!$A$1:$NTR$890,COLUMN(HeadJournal!G$1),0),"")</f>
        <v>45973</v>
      </c>
      <c r="F5287" s="95" t="str">
        <f t="shared" si="391"/>
        <v>2025 11</v>
      </c>
      <c r="G5287" s="97" t="s">
        <v>5</v>
      </c>
      <c r="H5287" s="161" t="s">
        <v>2997</v>
      </c>
      <c r="I5287" s="97" t="s">
        <v>2102</v>
      </c>
      <c r="J5287" s="97" t="s">
        <v>4952</v>
      </c>
      <c r="K5287" s="29">
        <v>32.43</v>
      </c>
      <c r="L5287" s="29">
        <v>-6.49</v>
      </c>
      <c r="M5287" s="30">
        <f>IFERROR(VLOOKUP($A5287,HeadJournal!$A$1:$J$890,COLUMN(HeadJournal!I$1),0)*($K5287+$L5287)/(SUMIF($A:$A,$A5287,$K:$K)+SUMIF($A:$A,$A5287,$L:$L)),0)</f>
        <v>-1.5672710611521781</v>
      </c>
      <c r="N5287" s="30">
        <f>IFERROR((VLOOKUP($A5287,HeadJournal!$A$1:$K$890,COLUMN(HeadJournal!K$1),0)-VLOOKUP($A5287,HeadJournal!$A$1:$K$890,COLUMN(HeadJournal!J$1),0))*($K5287+$L5287)/(SUMIF($A:$A,$A5287,$K:$K)+SUMIF($A:$A,$A5287,$L:$L)),0)</f>
        <v>0</v>
      </c>
      <c r="O5287" s="30">
        <f>IFERROR((VLOOKUP($A5287,HeadJournal!$A$1:$L$890,COLUMN(HeadJournal!L$1),0)*($K5287+$L5287)/(SUMIF($A:$A,$A5287,$K:$K)+SUMIF($A:$A,$A5287,$L:$L)))/VLOOKUP($A5287,HeadJournal!$A$1:$L$890,COLUMN(HeadJournal!H$1),0),0)</f>
        <v>0.67268990436401976</v>
      </c>
      <c r="P5287" s="30">
        <f>IFERROR(SUM(K5287:O5287)*VLOOKUP($A5287,HeadJournal!$A$1:$L$890,COLUMN(HeadJournal!H$1),0),0)</f>
        <v>2265.6479968232634</v>
      </c>
      <c r="Q5287" s="29">
        <v>4100</v>
      </c>
      <c r="R5287" s="31">
        <v>46020</v>
      </c>
      <c r="S5287" s="31" t="s">
        <v>3384</v>
      </c>
      <c r="T5287" s="95" t="str">
        <f t="shared" si="392"/>
        <v>2025 12</v>
      </c>
      <c r="U5287" s="32">
        <f t="shared" si="393"/>
        <v>1834.3520031767366</v>
      </c>
      <c r="V5287" s="22">
        <f t="shared" si="394"/>
        <v>0.80963680401754357</v>
      </c>
      <c r="X5287" s="33"/>
      <c r="Y5287" s="33"/>
    </row>
    <row r="5288" spans="1:25" x14ac:dyDescent="0.2">
      <c r="A5288" s="93" t="s">
        <v>4959</v>
      </c>
      <c r="B5288" s="94">
        <f>IFERROR(VLOOKUP($A5288,HeadJournal!$A$1:$NTR$890,COLUMN(HeadJournal!B$1),0),"")</f>
        <v>0</v>
      </c>
      <c r="C5288" s="94" t="str">
        <f>IFERROR(VLOOKUP($A5288,HeadJournal!$A$1:$NTR$890,COLUMN(HeadJournal!C$1),0),"")</f>
        <v>iHerb_VP DFD1605</v>
      </c>
      <c r="D5288" s="125" t="str">
        <f>IFERROR(VLOOKUP($A5288,HeadJournal!$A$1:$NTR$890,COLUMN(HeadJournal!D$1),0),"")</f>
        <v>Доставлен</v>
      </c>
      <c r="E5288" s="95">
        <f>IFERROR(VLOOKUP($A5288,HeadJournal!$A$1:$NTR$890,COLUMN(HeadJournal!G$1),0),"")</f>
        <v>45973</v>
      </c>
      <c r="F5288" s="95" t="str">
        <f t="shared" si="391"/>
        <v>2025 11</v>
      </c>
      <c r="G5288" s="97" t="s">
        <v>5</v>
      </c>
      <c r="H5288" s="161" t="s">
        <v>3633</v>
      </c>
      <c r="I5288" s="97" t="s">
        <v>2008</v>
      </c>
      <c r="J5288" s="97" t="s">
        <v>4953</v>
      </c>
      <c r="K5288" s="29">
        <v>17.38</v>
      </c>
      <c r="L5288" s="29">
        <v>-3.48</v>
      </c>
      <c r="M5288" s="30">
        <f>IFERROR(VLOOKUP($A5288,HeadJournal!$A$1:$J$890,COLUMN(HeadJournal!I$1),0)*($K5288+$L5288)/(SUMIF($A:$A,$A5288,$K:$K)+SUMIF($A:$A,$A5288,$L:$L)),0)</f>
        <v>-0.83982527949172214</v>
      </c>
      <c r="N5288" s="30">
        <f>IFERROR((VLOOKUP($A5288,HeadJournal!$A$1:$K$890,COLUMN(HeadJournal!K$1),0)-VLOOKUP($A5288,HeadJournal!$A$1:$K$890,COLUMN(HeadJournal!J$1),0))*($K5288+$L5288)/(SUMIF($A:$A,$A5288,$K:$K)+SUMIF($A:$A,$A5288,$L:$L)),0)</f>
        <v>0</v>
      </c>
      <c r="O5288" s="30">
        <f>IFERROR((VLOOKUP($A5288,HeadJournal!$A$1:$L$890,COLUMN(HeadJournal!L$1),0)*($K5288+$L5288)/(SUMIF($A:$A,$A5288,$K:$K)+SUMIF($A:$A,$A5288,$L:$L)))/VLOOKUP($A5288,HeadJournal!$A$1:$L$890,COLUMN(HeadJournal!H$1),0),0)</f>
        <v>0.36046220781263971</v>
      </c>
      <c r="P5288" s="30">
        <f>IFERROR(SUM(K5288:O5288)*VLOOKUP($A5288,HeadJournal!$A$1:$L$890,COLUMN(HeadJournal!H$1),0),0)</f>
        <v>1214.0519335328975</v>
      </c>
      <c r="Q5288" s="29">
        <v>2200</v>
      </c>
      <c r="R5288" s="31">
        <v>46020</v>
      </c>
      <c r="S5288" s="31" t="s">
        <v>3235</v>
      </c>
      <c r="T5288" s="95" t="str">
        <f t="shared" si="392"/>
        <v>2025 12</v>
      </c>
      <c r="U5288" s="32">
        <f t="shared" si="393"/>
        <v>985.94806646710254</v>
      </c>
      <c r="V5288" s="22">
        <f t="shared" si="394"/>
        <v>0.812113583640519</v>
      </c>
      <c r="X5288" s="33"/>
      <c r="Y5288" s="33"/>
    </row>
    <row r="5289" spans="1:25" x14ac:dyDescent="0.2">
      <c r="A5289" s="93" t="s">
        <v>4959</v>
      </c>
      <c r="B5289" s="94">
        <f>IFERROR(VLOOKUP($A5289,HeadJournal!$A$1:$NTR$890,COLUMN(HeadJournal!B$1),0),"")</f>
        <v>0</v>
      </c>
      <c r="C5289" s="94" t="str">
        <f>IFERROR(VLOOKUP($A5289,HeadJournal!$A$1:$NTR$890,COLUMN(HeadJournal!C$1),0),"")</f>
        <v>iHerb_VP DFD1605</v>
      </c>
      <c r="D5289" s="125" t="str">
        <f>IFERROR(VLOOKUP($A5289,HeadJournal!$A$1:$NTR$890,COLUMN(HeadJournal!D$1),0),"")</f>
        <v>Доставлен</v>
      </c>
      <c r="E5289" s="95">
        <f>IFERROR(VLOOKUP($A5289,HeadJournal!$A$1:$NTR$890,COLUMN(HeadJournal!G$1),0),"")</f>
        <v>45973</v>
      </c>
      <c r="F5289" s="95" t="str">
        <f t="shared" si="391"/>
        <v>2025 11</v>
      </c>
      <c r="G5289" s="97" t="s">
        <v>5</v>
      </c>
      <c r="H5289" s="161" t="s">
        <v>2174</v>
      </c>
      <c r="I5289" s="97" t="s">
        <v>2005</v>
      </c>
      <c r="J5289" s="97" t="s">
        <v>2175</v>
      </c>
      <c r="K5289" s="29">
        <v>5.78</v>
      </c>
      <c r="L5289" s="29">
        <v>-1.1599999999999999</v>
      </c>
      <c r="M5289" s="30">
        <f>IFERROR(VLOOKUP($A5289,HeadJournal!$A$1:$J$890,COLUMN(HeadJournal!I$1),0)*($K5289+$L5289)/(SUMIF($A:$A,$A5289,$K:$K)+SUMIF($A:$A,$A5289,$L:$L)),0)</f>
        <v>-0.27913617203250046</v>
      </c>
      <c r="N5289" s="30">
        <f>IFERROR((VLOOKUP($A5289,HeadJournal!$A$1:$K$890,COLUMN(HeadJournal!K$1),0)-VLOOKUP($A5289,HeadJournal!$A$1:$K$890,COLUMN(HeadJournal!J$1),0))*($K5289+$L5289)/(SUMIF($A:$A,$A5289,$K:$K)+SUMIF($A:$A,$A5289,$L:$L)),0)</f>
        <v>0</v>
      </c>
      <c r="O5289" s="30">
        <f>IFERROR((VLOOKUP($A5289,HeadJournal!$A$1:$L$890,COLUMN(HeadJournal!L$1),0)*($K5289+$L5289)/(SUMIF($A:$A,$A5289,$K:$K)+SUMIF($A:$A,$A5289,$L:$L)))/VLOOKUP($A5289,HeadJournal!$A$1:$L$890,COLUMN(HeadJournal!H$1),0),0)</f>
        <v>0.11980830216506443</v>
      </c>
      <c r="P5289" s="30">
        <f>IFERROR(SUM(K5289:O5289)*VLOOKUP($A5289,HeadJournal!$A$1:$L$890,COLUMN(HeadJournal!H$1),0),0)</f>
        <v>403.51941963467527</v>
      </c>
      <c r="Q5289" s="29"/>
      <c r="R5289" s="31"/>
      <c r="S5289" s="31"/>
      <c r="T5289" s="95" t="str">
        <f t="shared" si="392"/>
        <v/>
      </c>
      <c r="U5289" s="32">
        <f t="shared" si="393"/>
        <v>-403.51941963467527</v>
      </c>
      <c r="V5289" s="22" t="str">
        <f t="shared" si="394"/>
        <v/>
      </c>
      <c r="X5289" s="33"/>
      <c r="Y5289" s="33"/>
    </row>
    <row r="5290" spans="1:25" x14ac:dyDescent="0.2">
      <c r="A5290" s="93" t="s">
        <v>4959</v>
      </c>
      <c r="B5290" s="94">
        <f>IFERROR(VLOOKUP($A5290,HeadJournal!$A$1:$NTR$890,COLUMN(HeadJournal!B$1),0),"")</f>
        <v>0</v>
      </c>
      <c r="C5290" s="94" t="str">
        <f>IFERROR(VLOOKUP($A5290,HeadJournal!$A$1:$NTR$890,COLUMN(HeadJournal!C$1),0),"")</f>
        <v>iHerb_VP DFD1605</v>
      </c>
      <c r="D5290" s="125" t="str">
        <f>IFERROR(VLOOKUP($A5290,HeadJournal!$A$1:$NTR$890,COLUMN(HeadJournal!D$1),0),"")</f>
        <v>Доставлен</v>
      </c>
      <c r="E5290" s="95">
        <f>IFERROR(VLOOKUP($A5290,HeadJournal!$A$1:$NTR$890,COLUMN(HeadJournal!G$1),0),"")</f>
        <v>45973</v>
      </c>
      <c r="F5290" s="95" t="str">
        <f t="shared" si="391"/>
        <v>2025 11</v>
      </c>
      <c r="G5290" s="97" t="s">
        <v>5</v>
      </c>
      <c r="H5290" s="161" t="s">
        <v>4954</v>
      </c>
      <c r="I5290" s="97" t="s">
        <v>2163</v>
      </c>
      <c r="J5290" s="97" t="s">
        <v>4955</v>
      </c>
      <c r="K5290" s="29">
        <v>27.31</v>
      </c>
      <c r="L5290" s="29">
        <v>-5.46</v>
      </c>
      <c r="M5290" s="30">
        <f>IFERROR(VLOOKUP($A5290,HeadJournal!$A$1:$J$890,COLUMN(HeadJournal!I$1),0)*($K5290+$L5290)/(SUMIF($A:$A,$A5290,$K:$K)+SUMIF($A:$A,$A5290,$L:$L)),0)</f>
        <v>-1.3201570040931028</v>
      </c>
      <c r="N5290" s="30">
        <f>IFERROR((VLOOKUP($A5290,HeadJournal!$A$1:$K$890,COLUMN(HeadJournal!K$1),0)-VLOOKUP($A5290,HeadJournal!$A$1:$K$890,COLUMN(HeadJournal!J$1),0))*($K5290+$L5290)/(SUMIF($A:$A,$A5290,$K:$K)+SUMIF($A:$A,$A5290,$L:$L)),0)</f>
        <v>0</v>
      </c>
      <c r="O5290" s="30">
        <f>IFERROR((VLOOKUP($A5290,HeadJournal!$A$1:$L$890,COLUMN(HeadJournal!L$1),0)*($K5290+$L5290)/(SUMIF($A:$A,$A5290,$K:$K)+SUMIF($A:$A,$A5290,$L:$L)))/VLOOKUP($A5290,HeadJournal!$A$1:$L$890,COLUMN(HeadJournal!H$1),0),0)</f>
        <v>0.56662584465512078</v>
      </c>
      <c r="P5290" s="30">
        <f>IFERROR(SUM(K5290:O5290)*VLOOKUP($A5290,HeadJournal!$A$1:$L$890,COLUMN(HeadJournal!H$1),0),0)</f>
        <v>1908.4197660211373</v>
      </c>
      <c r="Q5290" s="29">
        <v>3100</v>
      </c>
      <c r="R5290" s="31">
        <v>46000</v>
      </c>
      <c r="S5290" s="31" t="s">
        <v>3384</v>
      </c>
      <c r="T5290" s="95" t="str">
        <f t="shared" si="392"/>
        <v>2025 12</v>
      </c>
      <c r="U5290" s="32">
        <f t="shared" si="393"/>
        <v>1191.5802339788627</v>
      </c>
      <c r="V5290" s="22">
        <f t="shared" si="394"/>
        <v>0.62438057663969138</v>
      </c>
      <c r="X5290" s="33"/>
      <c r="Y5290" s="33"/>
    </row>
    <row r="5291" spans="1:25" x14ac:dyDescent="0.2">
      <c r="A5291" s="93" t="s">
        <v>4959</v>
      </c>
      <c r="B5291" s="94">
        <f>IFERROR(VLOOKUP($A5291,HeadJournal!$A$1:$NTR$890,COLUMN(HeadJournal!B$1),0),"")</f>
        <v>0</v>
      </c>
      <c r="C5291" s="94" t="str">
        <f>IFERROR(VLOOKUP($A5291,HeadJournal!$A$1:$NTR$890,COLUMN(HeadJournal!C$1),0),"")</f>
        <v>iHerb_VP DFD1605</v>
      </c>
      <c r="D5291" s="125" t="str">
        <f>IFERROR(VLOOKUP($A5291,HeadJournal!$A$1:$NTR$890,COLUMN(HeadJournal!D$1),0),"")</f>
        <v>Доставлен</v>
      </c>
      <c r="E5291" s="95">
        <f>IFERROR(VLOOKUP($A5291,HeadJournal!$A$1:$NTR$890,COLUMN(HeadJournal!G$1),0),"")</f>
        <v>45973</v>
      </c>
      <c r="F5291" s="95" t="str">
        <f t="shared" si="391"/>
        <v>2025 11</v>
      </c>
      <c r="G5291" s="97" t="s">
        <v>5</v>
      </c>
      <c r="H5291" s="161" t="s">
        <v>2034</v>
      </c>
      <c r="I5291" s="97" t="s">
        <v>2008</v>
      </c>
      <c r="J5291" s="97" t="s">
        <v>4950</v>
      </c>
      <c r="K5291" s="29">
        <v>23.89</v>
      </c>
      <c r="L5291" s="29">
        <v>-4.78</v>
      </c>
      <c r="M5291" s="30">
        <f>IFERROR(VLOOKUP($A5291,HeadJournal!$A$1:$J$890,COLUMN(HeadJournal!I$1),0)*($K5291+$L5291)/(SUMIF($A:$A,$A5291,$K:$K)+SUMIF($A:$A,$A5291,$L:$L)),0)</f>
        <v>-1.1546087115889794</v>
      </c>
      <c r="N5291" s="30">
        <f>IFERROR((VLOOKUP($A5291,HeadJournal!$A$1:$K$890,COLUMN(HeadJournal!K$1),0)-VLOOKUP($A5291,HeadJournal!$A$1:$K$890,COLUMN(HeadJournal!J$1),0))*($K5291+$L5291)/(SUMIF($A:$A,$A5291,$K:$K)+SUMIF($A:$A,$A5291,$L:$L)),0)</f>
        <v>0</v>
      </c>
      <c r="O5291" s="30">
        <f>IFERROR((VLOOKUP($A5291,HeadJournal!$A$1:$L$890,COLUMN(HeadJournal!L$1),0)*($K5291+$L5291)/(SUMIF($A:$A,$A5291,$K:$K)+SUMIF($A:$A,$A5291,$L:$L)))/VLOOKUP($A5291,HeadJournal!$A$1:$L$890,COLUMN(HeadJournal!H$1),0),0)</f>
        <v>0.49557070441003925</v>
      </c>
      <c r="P5291" s="30">
        <f>IFERROR(SUM(K5291:O5291)*VLOOKUP($A5291,HeadJournal!$A$1:$L$890,COLUMN(HeadJournal!H$1),0),0)</f>
        <v>1669.1030539434296</v>
      </c>
      <c r="Q5291" s="29">
        <v>3000</v>
      </c>
      <c r="R5291" s="31">
        <v>45999</v>
      </c>
      <c r="S5291" s="31" t="s">
        <v>3235</v>
      </c>
      <c r="T5291" s="95" t="str">
        <f t="shared" si="392"/>
        <v>2025 12</v>
      </c>
      <c r="U5291" s="32">
        <f t="shared" si="393"/>
        <v>1330.8969460565704</v>
      </c>
      <c r="V5291" s="22">
        <f t="shared" si="394"/>
        <v>0.79737254264330049</v>
      </c>
      <c r="X5291" s="33"/>
      <c r="Y5291" s="33"/>
    </row>
    <row r="5292" spans="1:25" x14ac:dyDescent="0.2">
      <c r="A5292" s="93" t="s">
        <v>4959</v>
      </c>
      <c r="B5292" s="94">
        <f>IFERROR(VLOOKUP($A5292,HeadJournal!$A$1:$NTR$890,COLUMN(HeadJournal!B$1),0),"")</f>
        <v>0</v>
      </c>
      <c r="C5292" s="94" t="str">
        <f>IFERROR(VLOOKUP($A5292,HeadJournal!$A$1:$NTR$890,COLUMN(HeadJournal!C$1),0),"")</f>
        <v>iHerb_VP DFD1605</v>
      </c>
      <c r="D5292" s="125" t="str">
        <f>IFERROR(VLOOKUP($A5292,HeadJournal!$A$1:$NTR$890,COLUMN(HeadJournal!D$1),0),"")</f>
        <v>Доставлен</v>
      </c>
      <c r="E5292" s="95">
        <f>IFERROR(VLOOKUP($A5292,HeadJournal!$A$1:$NTR$890,COLUMN(HeadJournal!G$1),0),"")</f>
        <v>45973</v>
      </c>
      <c r="F5292" s="95" t="str">
        <f t="shared" si="391"/>
        <v>2025 11</v>
      </c>
      <c r="G5292" s="97" t="s">
        <v>5</v>
      </c>
      <c r="H5292" s="161" t="s">
        <v>3661</v>
      </c>
      <c r="I5292" s="97" t="s">
        <v>2009</v>
      </c>
      <c r="J5292" s="97" t="s">
        <v>4956</v>
      </c>
      <c r="K5292" s="29">
        <v>31.55</v>
      </c>
      <c r="L5292" s="29">
        <v>-6.31</v>
      </c>
      <c r="M5292" s="30">
        <f>IFERROR(VLOOKUP($A5292,HeadJournal!$A$1:$J$890,COLUMN(HeadJournal!I$1),0)*($K5292+$L5292)/(SUMIF($A:$A,$A5292,$K:$K)+SUMIF($A:$A,$A5292,$L:$L)),0)</f>
        <v>-1.5249777017533144</v>
      </c>
      <c r="N5292" s="30">
        <f>IFERROR((VLOOKUP($A5292,HeadJournal!$A$1:$K$890,COLUMN(HeadJournal!K$1),0)-VLOOKUP($A5292,HeadJournal!$A$1:$K$890,COLUMN(HeadJournal!J$1),0))*($K5292+$L5292)/(SUMIF($A:$A,$A5292,$K:$K)+SUMIF($A:$A,$A5292,$L:$L)),0)</f>
        <v>0</v>
      </c>
      <c r="O5292" s="30">
        <f>IFERROR((VLOOKUP($A5292,HeadJournal!$A$1:$L$890,COLUMN(HeadJournal!L$1),0)*($K5292+$L5292)/(SUMIF($A:$A,$A5292,$K:$K)+SUMIF($A:$A,$A5292,$L:$L)))/VLOOKUP($A5292,HeadJournal!$A$1:$L$890,COLUMN(HeadJournal!H$1),0),0)</f>
        <v>0.65453713130870705</v>
      </c>
      <c r="P5292" s="30">
        <f>IFERROR(SUM(K5292:O5292)*VLOOKUP($A5292,HeadJournal!$A$1:$L$890,COLUMN(HeadJournal!H$1),0),0)</f>
        <v>2204.5086908180097</v>
      </c>
      <c r="Q5292" s="29">
        <v>3350</v>
      </c>
      <c r="R5292" s="31">
        <v>46020</v>
      </c>
      <c r="S5292" s="31"/>
      <c r="T5292" s="95" t="str">
        <f t="shared" si="392"/>
        <v>2025 12</v>
      </c>
      <c r="U5292" s="32">
        <f t="shared" si="393"/>
        <v>1145.4913091819903</v>
      </c>
      <c r="V5292" s="22">
        <f t="shared" si="394"/>
        <v>0.51961297043330867</v>
      </c>
      <c r="X5292" s="33"/>
      <c r="Y5292" s="33"/>
    </row>
    <row r="5293" spans="1:25" x14ac:dyDescent="0.2">
      <c r="A5293" s="93" t="s">
        <v>4959</v>
      </c>
      <c r="B5293" s="94">
        <f>IFERROR(VLOOKUP($A5293,HeadJournal!$A$1:$NTR$890,COLUMN(HeadJournal!B$1),0),"")</f>
        <v>0</v>
      </c>
      <c r="C5293" s="94" t="str">
        <f>IFERROR(VLOOKUP($A5293,HeadJournal!$A$1:$NTR$890,COLUMN(HeadJournal!C$1),0),"")</f>
        <v>iHerb_VP DFD1605</v>
      </c>
      <c r="D5293" s="125" t="str">
        <f>IFERROR(VLOOKUP($A5293,HeadJournal!$A$1:$NTR$890,COLUMN(HeadJournal!D$1),0),"")</f>
        <v>Доставлен</v>
      </c>
      <c r="E5293" s="95">
        <f>IFERROR(VLOOKUP($A5293,HeadJournal!$A$1:$NTR$890,COLUMN(HeadJournal!G$1),0),"")</f>
        <v>45973</v>
      </c>
      <c r="F5293" s="95" t="str">
        <f t="shared" si="391"/>
        <v>2025 11</v>
      </c>
      <c r="G5293" s="97" t="s">
        <v>5</v>
      </c>
      <c r="H5293" s="161" t="s">
        <v>4385</v>
      </c>
      <c r="I5293" s="97" t="s">
        <v>3866</v>
      </c>
      <c r="J5293" s="97" t="s">
        <v>4386</v>
      </c>
      <c r="K5293" s="29">
        <v>38.75</v>
      </c>
      <c r="L5293" s="29">
        <v>-7.75</v>
      </c>
      <c r="M5293" s="30">
        <f>IFERROR(VLOOKUP($A5293,HeadJournal!$A$1:$J$890,COLUMN(HeadJournal!I$1),0)*($K5293+$L5293)/(SUMIF($A:$A,$A5293,$K:$K)+SUMIF($A:$A,$A5293,$L:$L)),0)</f>
        <v>-1.8729916305211072</v>
      </c>
      <c r="N5293" s="30">
        <f>IFERROR((VLOOKUP($A5293,HeadJournal!$A$1:$K$890,COLUMN(HeadJournal!K$1),0)-VLOOKUP($A5293,HeadJournal!$A$1:$K$890,COLUMN(HeadJournal!J$1),0))*($K5293+$L5293)/(SUMIF($A:$A,$A5293,$K:$K)+SUMIF($A:$A,$A5293,$L:$L)),0)</f>
        <v>0</v>
      </c>
      <c r="O5293" s="30">
        <f>IFERROR((VLOOKUP($A5293,HeadJournal!$A$1:$L$890,COLUMN(HeadJournal!L$1),0)*($K5293+$L5293)/(SUMIF($A:$A,$A5293,$K:$K)+SUMIF($A:$A,$A5293,$L:$L)))/VLOOKUP($A5293,HeadJournal!$A$1:$L$890,COLUMN(HeadJournal!H$1),0),0)</f>
        <v>0.80390852102099519</v>
      </c>
      <c r="P5293" s="30">
        <f>IFERROR(SUM(K5293:O5293)*VLOOKUP($A5293,HeadJournal!$A$1:$L$890,COLUMN(HeadJournal!H$1),0),0)</f>
        <v>2707.597837375527</v>
      </c>
      <c r="Q5293" s="29"/>
      <c r="R5293" s="31"/>
      <c r="S5293" s="31"/>
      <c r="T5293" s="95" t="str">
        <f t="shared" si="392"/>
        <v/>
      </c>
      <c r="U5293" s="32">
        <f t="shared" si="393"/>
        <v>-2707.597837375527</v>
      </c>
      <c r="V5293" s="22" t="str">
        <f t="shared" si="394"/>
        <v/>
      </c>
      <c r="X5293" s="33"/>
      <c r="Y5293" s="33"/>
    </row>
    <row r="5294" spans="1:25" x14ac:dyDescent="0.2">
      <c r="A5294" s="93" t="s">
        <v>4959</v>
      </c>
      <c r="B5294" s="94">
        <f>IFERROR(VLOOKUP($A5294,HeadJournal!$A$1:$NTR$890,COLUMN(HeadJournal!B$1),0),"")</f>
        <v>0</v>
      </c>
      <c r="C5294" s="94" t="str">
        <f>IFERROR(VLOOKUP($A5294,HeadJournal!$A$1:$NTR$890,COLUMN(HeadJournal!C$1),0),"")</f>
        <v>iHerb_VP DFD1605</v>
      </c>
      <c r="D5294" s="125" t="str">
        <f>IFERROR(VLOOKUP($A5294,HeadJournal!$A$1:$NTR$890,COLUMN(HeadJournal!D$1),0),"")</f>
        <v>Доставлен</v>
      </c>
      <c r="E5294" s="95">
        <f>IFERROR(VLOOKUP($A5294,HeadJournal!$A$1:$NTR$890,COLUMN(HeadJournal!G$1),0),"")</f>
        <v>45973</v>
      </c>
      <c r="F5294" s="95" t="str">
        <f t="shared" si="391"/>
        <v>2025 11</v>
      </c>
      <c r="G5294" s="97" t="s">
        <v>5</v>
      </c>
      <c r="H5294" s="161" t="s">
        <v>4957</v>
      </c>
      <c r="I5294" s="97" t="s">
        <v>2005</v>
      </c>
      <c r="J5294" s="97" t="s">
        <v>4958</v>
      </c>
      <c r="K5294" s="29">
        <v>27.54</v>
      </c>
      <c r="L5294" s="29">
        <v>-5.51</v>
      </c>
      <c r="M5294" s="30">
        <f>IFERROR(VLOOKUP($A5294,HeadJournal!$A$1:$J$890,COLUMN(HeadJournal!I$1),0)*($K5294+$L5294)/(SUMIF($A:$A,$A5294,$K:$K)+SUMIF($A:$A,$A5294,$L:$L)),0)</f>
        <v>-1.3310324393670965</v>
      </c>
      <c r="N5294" s="30">
        <f>IFERROR((VLOOKUP($A5294,HeadJournal!$A$1:$K$890,COLUMN(HeadJournal!K$1),0)-VLOOKUP($A5294,HeadJournal!$A$1:$K$890,COLUMN(HeadJournal!J$1),0))*($K5294+$L5294)/(SUMIF($A:$A,$A5294,$K:$K)+SUMIF($A:$A,$A5294,$L:$L)),0)</f>
        <v>0</v>
      </c>
      <c r="O5294" s="30">
        <f>IFERROR((VLOOKUP($A5294,HeadJournal!$A$1:$L$890,COLUMN(HeadJournal!L$1),0)*($K5294+$L5294)/(SUMIF($A:$A,$A5294,$K:$K)+SUMIF($A:$A,$A5294,$L:$L)))/VLOOKUP($A5294,HeadJournal!$A$1:$L$890,COLUMN(HeadJournal!H$1),0),0)</f>
        <v>0.57129370058362983</v>
      </c>
      <c r="P5294" s="30">
        <f>IFERROR(SUM(K5294:O5294)*VLOOKUP($A5294,HeadJournal!$A$1:$L$890,COLUMN(HeadJournal!H$1),0),0)</f>
        <v>1924.14130185106</v>
      </c>
      <c r="Q5294" s="29"/>
      <c r="R5294" s="31"/>
      <c r="S5294" s="31"/>
      <c r="T5294" s="95" t="str">
        <f t="shared" si="392"/>
        <v/>
      </c>
      <c r="U5294" s="32">
        <f t="shared" si="393"/>
        <v>-1924.14130185106</v>
      </c>
      <c r="V5294" s="22" t="str">
        <f t="shared" si="394"/>
        <v/>
      </c>
      <c r="X5294" s="33"/>
      <c r="Y5294" s="33"/>
    </row>
    <row r="5295" spans="1:25" x14ac:dyDescent="0.2">
      <c r="A5295" s="93" t="s">
        <v>4960</v>
      </c>
      <c r="B5295" s="94">
        <f>IFERROR(VLOOKUP($A5295,HeadJournal!$A$1:$NTR$890,COLUMN(HeadJournal!B$1),0),"")</f>
        <v>0</v>
      </c>
      <c r="C5295" s="94" t="str">
        <f>IFERROR(VLOOKUP($A5295,HeadJournal!$A$1:$NTR$890,COLUMN(HeadJournal!C$1),0),"")</f>
        <v>iHerb_VP DFD1605</v>
      </c>
      <c r="D5295" s="125" t="str">
        <f>IFERROR(VLOOKUP($A5295,HeadJournal!$A$1:$NTR$890,COLUMN(HeadJournal!D$1),0),"")</f>
        <v>Доставлен</v>
      </c>
      <c r="E5295" s="95">
        <f>IFERROR(VLOOKUP($A5295,HeadJournal!$A$1:$NTR$890,COLUMN(HeadJournal!G$1),0),"")</f>
        <v>45979</v>
      </c>
      <c r="F5295" s="95" t="str">
        <f t="shared" si="391"/>
        <v>2025 11</v>
      </c>
      <c r="G5295" s="97" t="s">
        <v>5</v>
      </c>
      <c r="H5295" s="161" t="s">
        <v>2988</v>
      </c>
      <c r="I5295" s="97" t="s">
        <v>2750</v>
      </c>
      <c r="J5295" s="97" t="s">
        <v>2989</v>
      </c>
      <c r="K5295" s="29">
        <v>22.75</v>
      </c>
      <c r="L5295" s="29">
        <v>-4.55</v>
      </c>
      <c r="M5295" s="30">
        <f>IFERROR(VLOOKUP($A5295,HeadJournal!$A$1:$J$890,COLUMN(HeadJournal!I$1),0)*($K5295+$L5295)/(SUMIF($A:$A,$A5295,$K:$K)+SUMIF($A:$A,$A5295,$L:$L)),0)</f>
        <v>-0.93170111287758317</v>
      </c>
      <c r="N5295" s="30">
        <f>IFERROR((VLOOKUP($A5295,HeadJournal!$A$1:$K$890,COLUMN(HeadJournal!K$1),0)-VLOOKUP($A5295,HeadJournal!$A$1:$K$890,COLUMN(HeadJournal!J$1),0))*($K5295+$L5295)/(SUMIF($A:$A,$A5295,$K:$K)+SUMIF($A:$A,$A5295,$L:$L)),0)</f>
        <v>-5.4825131068717834E-15</v>
      </c>
      <c r="O5295" s="30">
        <f>IFERROR((VLOOKUP($A5295,HeadJournal!$A$1:$L$890,COLUMN(HeadJournal!L$1),0)*($K5295+$L5295)/(SUMIF($A:$A,$A5295,$K:$K)+SUMIF($A:$A,$A5295,$L:$L)))/VLOOKUP($A5295,HeadJournal!$A$1:$L$890,COLUMN(HeadJournal!H$1),0),0)</f>
        <v>0.40982961469960405</v>
      </c>
      <c r="P5295" s="30">
        <f>IFERROR(SUM(K5295:O5295)*VLOOKUP($A5295,HeadJournal!$A$1:$L$890,COLUMN(HeadJournal!H$1),0),0)</f>
        <v>1597.5838473767878</v>
      </c>
      <c r="Q5295" s="29"/>
      <c r="R5295" s="31"/>
      <c r="S5295" s="31"/>
      <c r="T5295" s="95" t="str">
        <f t="shared" si="392"/>
        <v/>
      </c>
      <c r="U5295" s="32">
        <f t="shared" si="393"/>
        <v>-1597.5838473767878</v>
      </c>
      <c r="V5295" s="22" t="str">
        <f t="shared" si="394"/>
        <v/>
      </c>
      <c r="X5295" s="33"/>
      <c r="Y5295" s="33"/>
    </row>
    <row r="5296" spans="1:25" x14ac:dyDescent="0.2">
      <c r="A5296" s="93" t="s">
        <v>4960</v>
      </c>
      <c r="B5296" s="94">
        <f>IFERROR(VLOOKUP($A5296,HeadJournal!$A$1:$NTR$890,COLUMN(HeadJournal!B$1),0),"")</f>
        <v>0</v>
      </c>
      <c r="C5296" s="94" t="str">
        <f>IFERROR(VLOOKUP($A5296,HeadJournal!$A$1:$NTR$890,COLUMN(HeadJournal!C$1),0),"")</f>
        <v>iHerb_VP DFD1605</v>
      </c>
      <c r="D5296" s="125" t="str">
        <f>IFERROR(VLOOKUP($A5296,HeadJournal!$A$1:$NTR$890,COLUMN(HeadJournal!D$1),0),"")</f>
        <v>Доставлен</v>
      </c>
      <c r="E5296" s="95">
        <f>IFERROR(VLOOKUP($A5296,HeadJournal!$A$1:$NTR$890,COLUMN(HeadJournal!G$1),0),"")</f>
        <v>45979</v>
      </c>
      <c r="F5296" s="95" t="str">
        <f t="shared" si="391"/>
        <v>2025 11</v>
      </c>
      <c r="G5296" s="97" t="s">
        <v>5</v>
      </c>
      <c r="H5296" s="161" t="s">
        <v>2988</v>
      </c>
      <c r="I5296" s="97" t="s">
        <v>2750</v>
      </c>
      <c r="J5296" s="97" t="s">
        <v>2989</v>
      </c>
      <c r="K5296" s="29">
        <v>22.75</v>
      </c>
      <c r="L5296" s="29">
        <v>-4.55</v>
      </c>
      <c r="M5296" s="30">
        <f>IFERROR(VLOOKUP($A5296,HeadJournal!$A$1:$J$890,COLUMN(HeadJournal!I$1),0)*($K5296+$L5296)/(SUMIF($A:$A,$A5296,$K:$K)+SUMIF($A:$A,$A5296,$L:$L)),0)</f>
        <v>-0.93170111287758317</v>
      </c>
      <c r="N5296" s="30">
        <f>IFERROR((VLOOKUP($A5296,HeadJournal!$A$1:$K$890,COLUMN(HeadJournal!K$1),0)-VLOOKUP($A5296,HeadJournal!$A$1:$K$890,COLUMN(HeadJournal!J$1),0))*($K5296+$L5296)/(SUMIF($A:$A,$A5296,$K:$K)+SUMIF($A:$A,$A5296,$L:$L)),0)</f>
        <v>-5.4825131068717834E-15</v>
      </c>
      <c r="O5296" s="30">
        <f>IFERROR((VLOOKUP($A5296,HeadJournal!$A$1:$L$890,COLUMN(HeadJournal!L$1),0)*($K5296+$L5296)/(SUMIF($A:$A,$A5296,$K:$K)+SUMIF($A:$A,$A5296,$L:$L)))/VLOOKUP($A5296,HeadJournal!$A$1:$L$890,COLUMN(HeadJournal!H$1),0),0)</f>
        <v>0.40982961469960405</v>
      </c>
      <c r="P5296" s="30">
        <f>IFERROR(SUM(K5296:O5296)*VLOOKUP($A5296,HeadJournal!$A$1:$L$890,COLUMN(HeadJournal!H$1),0),0)</f>
        <v>1597.5838473767878</v>
      </c>
      <c r="Q5296" s="29"/>
      <c r="R5296" s="31"/>
      <c r="S5296" s="31"/>
      <c r="T5296" s="95" t="str">
        <f t="shared" si="392"/>
        <v/>
      </c>
      <c r="U5296" s="32">
        <f t="shared" si="393"/>
        <v>-1597.5838473767878</v>
      </c>
      <c r="V5296" s="22" t="str">
        <f t="shared" si="394"/>
        <v/>
      </c>
      <c r="X5296" s="33"/>
      <c r="Y5296" s="33"/>
    </row>
    <row r="5297" spans="1:25" x14ac:dyDescent="0.2">
      <c r="A5297" s="93" t="s">
        <v>4960</v>
      </c>
      <c r="B5297" s="94">
        <f>IFERROR(VLOOKUP($A5297,HeadJournal!$A$1:$NTR$890,COLUMN(HeadJournal!B$1),0),"")</f>
        <v>0</v>
      </c>
      <c r="C5297" s="94" t="str">
        <f>IFERROR(VLOOKUP($A5297,HeadJournal!$A$1:$NTR$890,COLUMN(HeadJournal!C$1),0),"")</f>
        <v>iHerb_VP DFD1605</v>
      </c>
      <c r="D5297" s="125" t="str">
        <f>IFERROR(VLOOKUP($A5297,HeadJournal!$A$1:$NTR$890,COLUMN(HeadJournal!D$1),0),"")</f>
        <v>Доставлен</v>
      </c>
      <c r="E5297" s="95">
        <f>IFERROR(VLOOKUP($A5297,HeadJournal!$A$1:$NTR$890,COLUMN(HeadJournal!G$1),0),"")</f>
        <v>45979</v>
      </c>
      <c r="F5297" s="95" t="str">
        <f t="shared" si="391"/>
        <v>2025 11</v>
      </c>
      <c r="G5297" s="97" t="s">
        <v>5</v>
      </c>
      <c r="H5297" s="161" t="s">
        <v>3922</v>
      </c>
      <c r="I5297" s="97" t="s">
        <v>2052</v>
      </c>
      <c r="J5297" s="97" t="s">
        <v>3923</v>
      </c>
      <c r="K5297" s="29">
        <v>44.62</v>
      </c>
      <c r="L5297" s="29">
        <v>-13.39</v>
      </c>
      <c r="M5297" s="30">
        <f>IFERROR(VLOOKUP($A5297,HeadJournal!$A$1:$J$890,COLUMN(HeadJournal!I$1),0)*($K5297+$L5297)/(SUMIF($A:$A,$A5297,$K:$K)+SUMIF($A:$A,$A5297,$L:$L)),0)</f>
        <v>-1.5987376788553254</v>
      </c>
      <c r="N5297" s="30">
        <f>IFERROR((VLOOKUP($A5297,HeadJournal!$A$1:$K$890,COLUMN(HeadJournal!K$1),0)-VLOOKUP($A5297,HeadJournal!$A$1:$K$890,COLUMN(HeadJournal!J$1),0))*($K5297+$L5297)/(SUMIF($A:$A,$A5297,$K:$K)+SUMIF($A:$A,$A5297,$L:$L)),0)</f>
        <v>-9.4076310070113074E-15</v>
      </c>
      <c r="O5297" s="30">
        <f>IFERROR((VLOOKUP($A5297,HeadJournal!$A$1:$L$890,COLUMN(HeadJournal!L$1),0)*($K5297+$L5297)/(SUMIF($A:$A,$A5297,$K:$K)+SUMIF($A:$A,$A5297,$L:$L)))/VLOOKUP($A5297,HeadJournal!$A$1:$L$890,COLUMN(HeadJournal!H$1),0),0)</f>
        <v>0.70324059709168329</v>
      </c>
      <c r="P5297" s="30">
        <f>IFERROR(SUM(K5297:O5297)*VLOOKUP($A5297,HeadJournal!$A$1:$L$890,COLUMN(HeadJournal!H$1),0),0)</f>
        <v>2741.3485468998397</v>
      </c>
      <c r="Q5297" s="29">
        <v>4700</v>
      </c>
      <c r="R5297" s="31">
        <v>46060</v>
      </c>
      <c r="S5297" s="31"/>
      <c r="T5297" s="95" t="str">
        <f t="shared" si="392"/>
        <v>2026 02</v>
      </c>
      <c r="U5297" s="32">
        <f t="shared" si="393"/>
        <v>1958.6514531001603</v>
      </c>
      <c r="V5297" s="22">
        <f t="shared" si="394"/>
        <v>0.71448464855560867</v>
      </c>
      <c r="X5297" s="33"/>
      <c r="Y5297" s="33"/>
    </row>
    <row r="5298" spans="1:25" x14ac:dyDescent="0.2">
      <c r="A5298" s="93" t="s">
        <v>4960</v>
      </c>
      <c r="B5298" s="94">
        <f>IFERROR(VLOOKUP($A5298,HeadJournal!$A$1:$NTR$890,COLUMN(HeadJournal!B$1),0),"")</f>
        <v>0</v>
      </c>
      <c r="C5298" s="94" t="str">
        <f>IFERROR(VLOOKUP($A5298,HeadJournal!$A$1:$NTR$890,COLUMN(HeadJournal!C$1),0),"")</f>
        <v>iHerb_VP DFD1605</v>
      </c>
      <c r="D5298" s="125" t="str">
        <f>IFERROR(VLOOKUP($A5298,HeadJournal!$A$1:$NTR$890,COLUMN(HeadJournal!D$1),0),"")</f>
        <v>Доставлен</v>
      </c>
      <c r="E5298" s="95">
        <f>IFERROR(VLOOKUP($A5298,HeadJournal!$A$1:$NTR$890,COLUMN(HeadJournal!G$1),0),"")</f>
        <v>45979</v>
      </c>
      <c r="F5298" s="95" t="str">
        <f t="shared" si="391"/>
        <v>2025 11</v>
      </c>
      <c r="G5298" s="97" t="s">
        <v>5</v>
      </c>
      <c r="H5298" s="161" t="s">
        <v>2051</v>
      </c>
      <c r="I5298" s="97" t="s">
        <v>2052</v>
      </c>
      <c r="J5298" s="97" t="s">
        <v>3097</v>
      </c>
      <c r="K5298" s="29">
        <v>21.62</v>
      </c>
      <c r="L5298" s="29">
        <v>-6.4862500000000001</v>
      </c>
      <c r="M5298" s="30">
        <f>IFERROR(VLOOKUP($A5298,HeadJournal!$A$1:$J$890,COLUMN(HeadJournal!I$1),0)*($K5298+$L5298)/(SUMIF($A:$A,$A5298,$K:$K)+SUMIF($A:$A,$A5298,$L:$L)),0)</f>
        <v>-0.77473251192368819</v>
      </c>
      <c r="N5298" s="30">
        <f>IFERROR((VLOOKUP($A5298,HeadJournal!$A$1:$K$890,COLUMN(HeadJournal!K$1),0)-VLOOKUP($A5298,HeadJournal!$A$1:$K$890,COLUMN(HeadJournal!J$1),0))*($K5298+$L5298)/(SUMIF($A:$A,$A5298,$K:$K)+SUMIF($A:$A,$A5298,$L:$L)),0)</f>
        <v>-4.558845205006641E-15</v>
      </c>
      <c r="O5298" s="30">
        <f>IFERROR((VLOOKUP($A5298,HeadJournal!$A$1:$L$890,COLUMN(HeadJournal!L$1),0)*($K5298+$L5298)/(SUMIF($A:$A,$A5298,$K:$K)+SUMIF($A:$A,$A5298,$L:$L)))/VLOOKUP($A5298,HeadJournal!$A$1:$L$890,COLUMN(HeadJournal!H$1),0),0)</f>
        <v>0.34078345777253483</v>
      </c>
      <c r="P5298" s="30">
        <f>IFERROR(SUM(K5298:O5298)*VLOOKUP($A5298,HeadJournal!$A$1:$L$890,COLUMN(HeadJournal!H$1),0),0)</f>
        <v>1328.4304697933223</v>
      </c>
      <c r="Q5298" s="29">
        <v>2400</v>
      </c>
      <c r="R5298" s="31">
        <v>46087</v>
      </c>
      <c r="S5298" s="31" t="s">
        <v>3252</v>
      </c>
      <c r="T5298" s="95" t="str">
        <f t="shared" si="392"/>
        <v>2026 03</v>
      </c>
      <c r="U5298" s="32">
        <f t="shared" si="393"/>
        <v>1071.5695302066777</v>
      </c>
      <c r="V5298" s="22">
        <f t="shared" si="394"/>
        <v>0.80664329415252933</v>
      </c>
      <c r="X5298" s="33"/>
      <c r="Y5298" s="33"/>
    </row>
    <row r="5299" spans="1:25" x14ac:dyDescent="0.2">
      <c r="A5299" s="93" t="s">
        <v>4960</v>
      </c>
      <c r="B5299" s="94">
        <f>IFERROR(VLOOKUP($A5299,HeadJournal!$A$1:$NTR$890,COLUMN(HeadJournal!B$1),0),"")</f>
        <v>0</v>
      </c>
      <c r="C5299" s="94" t="str">
        <f>IFERROR(VLOOKUP($A5299,HeadJournal!$A$1:$NTR$890,COLUMN(HeadJournal!C$1),0),"")</f>
        <v>iHerb_VP DFD1605</v>
      </c>
      <c r="D5299" s="125" t="str">
        <f>IFERROR(VLOOKUP($A5299,HeadJournal!$A$1:$NTR$890,COLUMN(HeadJournal!D$1),0),"")</f>
        <v>Доставлен</v>
      </c>
      <c r="E5299" s="95">
        <f>IFERROR(VLOOKUP($A5299,HeadJournal!$A$1:$NTR$890,COLUMN(HeadJournal!G$1),0),"")</f>
        <v>45979</v>
      </c>
      <c r="F5299" s="95" t="str">
        <f t="shared" si="391"/>
        <v>2025 11</v>
      </c>
      <c r="G5299" s="97" t="s">
        <v>5</v>
      </c>
      <c r="H5299" s="161" t="s">
        <v>2051</v>
      </c>
      <c r="I5299" s="97" t="s">
        <v>2052</v>
      </c>
      <c r="J5299" s="97" t="s">
        <v>3097</v>
      </c>
      <c r="K5299" s="29">
        <v>21.62</v>
      </c>
      <c r="L5299" s="29">
        <v>-6.4862500000000001</v>
      </c>
      <c r="M5299" s="30">
        <f>IFERROR(VLOOKUP($A5299,HeadJournal!$A$1:$J$890,COLUMN(HeadJournal!I$1),0)*($K5299+$L5299)/(SUMIF($A:$A,$A5299,$K:$K)+SUMIF($A:$A,$A5299,$L:$L)),0)</f>
        <v>-0.77473251192368819</v>
      </c>
      <c r="N5299" s="30">
        <f>IFERROR((VLOOKUP($A5299,HeadJournal!$A$1:$K$890,COLUMN(HeadJournal!K$1),0)-VLOOKUP($A5299,HeadJournal!$A$1:$K$890,COLUMN(HeadJournal!J$1),0))*($K5299+$L5299)/(SUMIF($A:$A,$A5299,$K:$K)+SUMIF($A:$A,$A5299,$L:$L)),0)</f>
        <v>-4.558845205006641E-15</v>
      </c>
      <c r="O5299" s="30">
        <f>IFERROR((VLOOKUP($A5299,HeadJournal!$A$1:$L$890,COLUMN(HeadJournal!L$1),0)*($K5299+$L5299)/(SUMIF($A:$A,$A5299,$K:$K)+SUMIF($A:$A,$A5299,$L:$L)))/VLOOKUP($A5299,HeadJournal!$A$1:$L$890,COLUMN(HeadJournal!H$1),0),0)</f>
        <v>0.34078345777253483</v>
      </c>
      <c r="P5299" s="30">
        <f>IFERROR(SUM(K5299:O5299)*VLOOKUP($A5299,HeadJournal!$A$1:$L$890,COLUMN(HeadJournal!H$1),0),0)</f>
        <v>1328.4304697933223</v>
      </c>
      <c r="Q5299" s="29">
        <v>2400</v>
      </c>
      <c r="R5299" s="31">
        <v>46087</v>
      </c>
      <c r="S5299" s="31" t="s">
        <v>3252</v>
      </c>
      <c r="T5299" s="95" t="str">
        <f t="shared" si="392"/>
        <v>2026 03</v>
      </c>
      <c r="U5299" s="32">
        <f t="shared" si="393"/>
        <v>1071.5695302066777</v>
      </c>
      <c r="V5299" s="22">
        <f t="shared" si="394"/>
        <v>0.80664329415252933</v>
      </c>
      <c r="X5299" s="33"/>
      <c r="Y5299" s="33"/>
    </row>
    <row r="5300" spans="1:25" x14ac:dyDescent="0.2">
      <c r="A5300" s="93" t="s">
        <v>4960</v>
      </c>
      <c r="B5300" s="94">
        <f>IFERROR(VLOOKUP($A5300,HeadJournal!$A$1:$NTR$890,COLUMN(HeadJournal!B$1),0),"")</f>
        <v>0</v>
      </c>
      <c r="C5300" s="94" t="str">
        <f>IFERROR(VLOOKUP($A5300,HeadJournal!$A$1:$NTR$890,COLUMN(HeadJournal!C$1),0),"")</f>
        <v>iHerb_VP DFD1605</v>
      </c>
      <c r="D5300" s="125" t="str">
        <f>IFERROR(VLOOKUP($A5300,HeadJournal!$A$1:$NTR$890,COLUMN(HeadJournal!D$1),0),"")</f>
        <v>Доставлен</v>
      </c>
      <c r="E5300" s="95">
        <f>IFERROR(VLOOKUP($A5300,HeadJournal!$A$1:$NTR$890,COLUMN(HeadJournal!G$1),0),"")</f>
        <v>45979</v>
      </c>
      <c r="F5300" s="95" t="str">
        <f t="shared" si="391"/>
        <v>2025 11</v>
      </c>
      <c r="G5300" s="97" t="s">
        <v>5</v>
      </c>
      <c r="H5300" s="161" t="s">
        <v>2051</v>
      </c>
      <c r="I5300" s="97" t="s">
        <v>2052</v>
      </c>
      <c r="J5300" s="97" t="s">
        <v>3097</v>
      </c>
      <c r="K5300" s="29">
        <v>21.62</v>
      </c>
      <c r="L5300" s="29">
        <v>-6.4862500000000001</v>
      </c>
      <c r="M5300" s="30">
        <f>IFERROR(VLOOKUP($A5300,HeadJournal!$A$1:$J$890,COLUMN(HeadJournal!I$1),0)*($K5300+$L5300)/(SUMIF($A:$A,$A5300,$K:$K)+SUMIF($A:$A,$A5300,$L:$L)),0)</f>
        <v>-0.77473251192368819</v>
      </c>
      <c r="N5300" s="30">
        <f>IFERROR((VLOOKUP($A5300,HeadJournal!$A$1:$K$890,COLUMN(HeadJournal!K$1),0)-VLOOKUP($A5300,HeadJournal!$A$1:$K$890,COLUMN(HeadJournal!J$1),0))*($K5300+$L5300)/(SUMIF($A:$A,$A5300,$K:$K)+SUMIF($A:$A,$A5300,$L:$L)),0)</f>
        <v>-4.558845205006641E-15</v>
      </c>
      <c r="O5300" s="30">
        <f>IFERROR((VLOOKUP($A5300,HeadJournal!$A$1:$L$890,COLUMN(HeadJournal!L$1),0)*($K5300+$L5300)/(SUMIF($A:$A,$A5300,$K:$K)+SUMIF($A:$A,$A5300,$L:$L)))/VLOOKUP($A5300,HeadJournal!$A$1:$L$890,COLUMN(HeadJournal!H$1),0),0)</f>
        <v>0.34078345777253483</v>
      </c>
      <c r="P5300" s="30">
        <f>IFERROR(SUM(K5300:O5300)*VLOOKUP($A5300,HeadJournal!$A$1:$L$890,COLUMN(HeadJournal!H$1),0),0)</f>
        <v>1328.4304697933223</v>
      </c>
      <c r="Q5300" s="29">
        <v>2400</v>
      </c>
      <c r="R5300" s="31">
        <v>46087</v>
      </c>
      <c r="S5300" s="31" t="s">
        <v>3252</v>
      </c>
      <c r="T5300" s="95" t="str">
        <f t="shared" si="392"/>
        <v>2026 03</v>
      </c>
      <c r="U5300" s="32">
        <f t="shared" si="393"/>
        <v>1071.5695302066777</v>
      </c>
      <c r="V5300" s="22">
        <f t="shared" si="394"/>
        <v>0.80664329415252933</v>
      </c>
      <c r="X5300" s="33"/>
      <c r="Y5300" s="33"/>
    </row>
    <row r="5301" spans="1:25" x14ac:dyDescent="0.2">
      <c r="A5301" s="93" t="s">
        <v>4960</v>
      </c>
      <c r="B5301" s="94">
        <f>IFERROR(VLOOKUP($A5301,HeadJournal!$A$1:$NTR$890,COLUMN(HeadJournal!B$1),0),"")</f>
        <v>0</v>
      </c>
      <c r="C5301" s="94" t="str">
        <f>IFERROR(VLOOKUP($A5301,HeadJournal!$A$1:$NTR$890,COLUMN(HeadJournal!C$1),0),"")</f>
        <v>iHerb_VP DFD1605</v>
      </c>
      <c r="D5301" s="125" t="str">
        <f>IFERROR(VLOOKUP($A5301,HeadJournal!$A$1:$NTR$890,COLUMN(HeadJournal!D$1),0),"")</f>
        <v>Доставлен</v>
      </c>
      <c r="E5301" s="95">
        <f>IFERROR(VLOOKUP($A5301,HeadJournal!$A$1:$NTR$890,COLUMN(HeadJournal!G$1),0),"")</f>
        <v>45979</v>
      </c>
      <c r="F5301" s="95" t="str">
        <f t="shared" si="391"/>
        <v>2025 11</v>
      </c>
      <c r="G5301" s="97" t="s">
        <v>5</v>
      </c>
      <c r="H5301" s="161" t="s">
        <v>2051</v>
      </c>
      <c r="I5301" s="97" t="s">
        <v>2052</v>
      </c>
      <c r="J5301" s="97" t="s">
        <v>3097</v>
      </c>
      <c r="K5301" s="29">
        <v>21.62</v>
      </c>
      <c r="L5301" s="29">
        <v>-6.4862500000000001</v>
      </c>
      <c r="M5301" s="30">
        <f>IFERROR(VLOOKUP($A5301,HeadJournal!$A$1:$J$890,COLUMN(HeadJournal!I$1),0)*($K5301+$L5301)/(SUMIF($A:$A,$A5301,$K:$K)+SUMIF($A:$A,$A5301,$L:$L)),0)</f>
        <v>-0.77473251192368819</v>
      </c>
      <c r="N5301" s="30">
        <f>IFERROR((VLOOKUP($A5301,HeadJournal!$A$1:$K$890,COLUMN(HeadJournal!K$1),0)-VLOOKUP($A5301,HeadJournal!$A$1:$K$890,COLUMN(HeadJournal!J$1),0))*($K5301+$L5301)/(SUMIF($A:$A,$A5301,$K:$K)+SUMIF($A:$A,$A5301,$L:$L)),0)</f>
        <v>-4.558845205006641E-15</v>
      </c>
      <c r="O5301" s="30">
        <f>IFERROR((VLOOKUP($A5301,HeadJournal!$A$1:$L$890,COLUMN(HeadJournal!L$1),0)*($K5301+$L5301)/(SUMIF($A:$A,$A5301,$K:$K)+SUMIF($A:$A,$A5301,$L:$L)))/VLOOKUP($A5301,HeadJournal!$A$1:$L$890,COLUMN(HeadJournal!H$1),0),0)</f>
        <v>0.34078345777253483</v>
      </c>
      <c r="P5301" s="30">
        <f>IFERROR(SUM(K5301:O5301)*VLOOKUP($A5301,HeadJournal!$A$1:$L$890,COLUMN(HeadJournal!H$1),0),0)</f>
        <v>1328.4304697933223</v>
      </c>
      <c r="Q5301" s="29">
        <v>2400</v>
      </c>
      <c r="R5301" s="31">
        <v>46087</v>
      </c>
      <c r="S5301" s="31" t="s">
        <v>3475</v>
      </c>
      <c r="T5301" s="95" t="str">
        <f t="shared" si="392"/>
        <v>2026 03</v>
      </c>
      <c r="U5301" s="32">
        <f t="shared" ref="U5301:U5320" si="395">Q5301-P5301</f>
        <v>1071.5695302066777</v>
      </c>
      <c r="V5301" s="22">
        <f t="shared" ref="V5301:V5320" si="396">IF(Q5301&lt;&gt;0,IFERROR(U5301/P5301,""),"")</f>
        <v>0.80664329415252933</v>
      </c>
      <c r="X5301" s="33"/>
      <c r="Y5301" s="33"/>
    </row>
    <row r="5302" spans="1:25" x14ac:dyDescent="0.2">
      <c r="A5302" s="93" t="s">
        <v>4960</v>
      </c>
      <c r="B5302" s="94">
        <f>IFERROR(VLOOKUP($A5302,HeadJournal!$A$1:$NTR$890,COLUMN(HeadJournal!B$1),0),"")</f>
        <v>0</v>
      </c>
      <c r="C5302" s="94" t="str">
        <f>IFERROR(VLOOKUP($A5302,HeadJournal!$A$1:$NTR$890,COLUMN(HeadJournal!C$1),0),"")</f>
        <v>iHerb_VP DFD1605</v>
      </c>
      <c r="D5302" s="125" t="str">
        <f>IFERROR(VLOOKUP($A5302,HeadJournal!$A$1:$NTR$890,COLUMN(HeadJournal!D$1),0),"")</f>
        <v>Доставлен</v>
      </c>
      <c r="E5302" s="95">
        <f>IFERROR(VLOOKUP($A5302,HeadJournal!$A$1:$NTR$890,COLUMN(HeadJournal!G$1),0),"")</f>
        <v>45979</v>
      </c>
      <c r="F5302" s="95" t="str">
        <f t="shared" si="391"/>
        <v>2025 11</v>
      </c>
      <c r="G5302" s="97" t="s">
        <v>5</v>
      </c>
      <c r="H5302" s="161" t="s">
        <v>2051</v>
      </c>
      <c r="I5302" s="97" t="s">
        <v>2052</v>
      </c>
      <c r="J5302" s="97" t="s">
        <v>3097</v>
      </c>
      <c r="K5302" s="29">
        <v>21.62</v>
      </c>
      <c r="L5302" s="29">
        <v>-6.4862500000000001</v>
      </c>
      <c r="M5302" s="30">
        <f>IFERROR(VLOOKUP($A5302,HeadJournal!$A$1:$J$890,COLUMN(HeadJournal!I$1),0)*($K5302+$L5302)/(SUMIF($A:$A,$A5302,$K:$K)+SUMIF($A:$A,$A5302,$L:$L)),0)</f>
        <v>-0.77473251192368819</v>
      </c>
      <c r="N5302" s="30">
        <f>IFERROR((VLOOKUP($A5302,HeadJournal!$A$1:$K$890,COLUMN(HeadJournal!K$1),0)-VLOOKUP($A5302,HeadJournal!$A$1:$K$890,COLUMN(HeadJournal!J$1),0))*($K5302+$L5302)/(SUMIF($A:$A,$A5302,$K:$K)+SUMIF($A:$A,$A5302,$L:$L)),0)</f>
        <v>-4.558845205006641E-15</v>
      </c>
      <c r="O5302" s="30">
        <f>IFERROR((VLOOKUP($A5302,HeadJournal!$A$1:$L$890,COLUMN(HeadJournal!L$1),0)*($K5302+$L5302)/(SUMIF($A:$A,$A5302,$K:$K)+SUMIF($A:$A,$A5302,$L:$L)))/VLOOKUP($A5302,HeadJournal!$A$1:$L$890,COLUMN(HeadJournal!H$1),0),0)</f>
        <v>0.34078345777253483</v>
      </c>
      <c r="P5302" s="30">
        <f>IFERROR(SUM(K5302:O5302)*VLOOKUP($A5302,HeadJournal!$A$1:$L$890,COLUMN(HeadJournal!H$1),0),0)</f>
        <v>1328.4304697933223</v>
      </c>
      <c r="Q5302" s="29">
        <v>2500</v>
      </c>
      <c r="R5302" s="31">
        <v>46088</v>
      </c>
      <c r="S5302" s="31" t="s">
        <v>3211</v>
      </c>
      <c r="T5302" s="95" t="str">
        <f t="shared" si="392"/>
        <v>2026 03</v>
      </c>
      <c r="U5302" s="32">
        <f t="shared" si="395"/>
        <v>1171.5695302066777</v>
      </c>
      <c r="V5302" s="22">
        <f t="shared" si="396"/>
        <v>0.88192009807555138</v>
      </c>
      <c r="X5302" s="33"/>
      <c r="Y5302" s="33"/>
    </row>
    <row r="5303" spans="1:25" x14ac:dyDescent="0.2">
      <c r="A5303" s="93" t="s">
        <v>4960</v>
      </c>
      <c r="B5303" s="94">
        <f>IFERROR(VLOOKUP($A5303,HeadJournal!$A$1:$NTR$890,COLUMN(HeadJournal!B$1),0),"")</f>
        <v>0</v>
      </c>
      <c r="C5303" s="94" t="str">
        <f>IFERROR(VLOOKUP($A5303,HeadJournal!$A$1:$NTR$890,COLUMN(HeadJournal!C$1),0),"")</f>
        <v>iHerb_VP DFD1605</v>
      </c>
      <c r="D5303" s="125" t="str">
        <f>IFERROR(VLOOKUP($A5303,HeadJournal!$A$1:$NTR$890,COLUMN(HeadJournal!D$1),0),"")</f>
        <v>Доставлен</v>
      </c>
      <c r="E5303" s="95">
        <f>IFERROR(VLOOKUP($A5303,HeadJournal!$A$1:$NTR$890,COLUMN(HeadJournal!G$1),0),"")</f>
        <v>45979</v>
      </c>
      <c r="F5303" s="95" t="str">
        <f t="shared" si="391"/>
        <v>2025 11</v>
      </c>
      <c r="G5303" s="97" t="s">
        <v>5</v>
      </c>
      <c r="H5303" s="161" t="s">
        <v>2051</v>
      </c>
      <c r="I5303" s="97" t="s">
        <v>2052</v>
      </c>
      <c r="J5303" s="97" t="s">
        <v>3097</v>
      </c>
      <c r="K5303" s="29">
        <v>21.62</v>
      </c>
      <c r="L5303" s="29">
        <v>-6.4862500000000001</v>
      </c>
      <c r="M5303" s="30">
        <f>IFERROR(VLOOKUP($A5303,HeadJournal!$A$1:$J$890,COLUMN(HeadJournal!I$1),0)*($K5303+$L5303)/(SUMIF($A:$A,$A5303,$K:$K)+SUMIF($A:$A,$A5303,$L:$L)),0)</f>
        <v>-0.77473251192368819</v>
      </c>
      <c r="N5303" s="30">
        <f>IFERROR((VLOOKUP($A5303,HeadJournal!$A$1:$K$890,COLUMN(HeadJournal!K$1),0)-VLOOKUP($A5303,HeadJournal!$A$1:$K$890,COLUMN(HeadJournal!J$1),0))*($K5303+$L5303)/(SUMIF($A:$A,$A5303,$K:$K)+SUMIF($A:$A,$A5303,$L:$L)),0)</f>
        <v>-4.558845205006641E-15</v>
      </c>
      <c r="O5303" s="30">
        <f>IFERROR((VLOOKUP($A5303,HeadJournal!$A$1:$L$890,COLUMN(HeadJournal!L$1),0)*($K5303+$L5303)/(SUMIF($A:$A,$A5303,$K:$K)+SUMIF($A:$A,$A5303,$L:$L)))/VLOOKUP($A5303,HeadJournal!$A$1:$L$890,COLUMN(HeadJournal!H$1),0),0)</f>
        <v>0.34078345777253483</v>
      </c>
      <c r="P5303" s="30">
        <f>IFERROR(SUM(K5303:O5303)*VLOOKUP($A5303,HeadJournal!$A$1:$L$890,COLUMN(HeadJournal!H$1),0),0)</f>
        <v>1328.4304697933223</v>
      </c>
      <c r="Q5303" s="29">
        <v>2400</v>
      </c>
      <c r="R5303" s="31">
        <v>46088</v>
      </c>
      <c r="S5303" s="31"/>
      <c r="T5303" s="95" t="str">
        <f t="shared" si="392"/>
        <v>2026 03</v>
      </c>
      <c r="U5303" s="32">
        <f t="shared" si="395"/>
        <v>1071.5695302066777</v>
      </c>
      <c r="V5303" s="22">
        <f t="shared" si="396"/>
        <v>0.80664329415252933</v>
      </c>
      <c r="X5303" s="33"/>
      <c r="Y5303" s="33"/>
    </row>
    <row r="5304" spans="1:25" x14ac:dyDescent="0.2">
      <c r="A5304" s="93" t="s">
        <v>4960</v>
      </c>
      <c r="B5304" s="94">
        <f>IFERROR(VLOOKUP($A5304,HeadJournal!$A$1:$NTR$890,COLUMN(HeadJournal!B$1),0),"")</f>
        <v>0</v>
      </c>
      <c r="C5304" s="94" t="str">
        <f>IFERROR(VLOOKUP($A5304,HeadJournal!$A$1:$NTR$890,COLUMN(HeadJournal!C$1),0),"")</f>
        <v>iHerb_VP DFD1605</v>
      </c>
      <c r="D5304" s="125" t="str">
        <f>IFERROR(VLOOKUP($A5304,HeadJournal!$A$1:$NTR$890,COLUMN(HeadJournal!D$1),0),"")</f>
        <v>Доставлен</v>
      </c>
      <c r="E5304" s="95">
        <f>IFERROR(VLOOKUP($A5304,HeadJournal!$A$1:$NTR$890,COLUMN(HeadJournal!G$1),0),"")</f>
        <v>45979</v>
      </c>
      <c r="F5304" s="95" t="str">
        <f t="shared" si="391"/>
        <v>2025 11</v>
      </c>
      <c r="G5304" s="97" t="s">
        <v>5</v>
      </c>
      <c r="H5304" s="161" t="s">
        <v>2051</v>
      </c>
      <c r="I5304" s="97" t="s">
        <v>2052</v>
      </c>
      <c r="J5304" s="97" t="s">
        <v>3097</v>
      </c>
      <c r="K5304" s="29">
        <v>21.62</v>
      </c>
      <c r="L5304" s="29">
        <v>-6.4862500000000001</v>
      </c>
      <c r="M5304" s="30">
        <f>IFERROR(VLOOKUP($A5304,HeadJournal!$A$1:$J$890,COLUMN(HeadJournal!I$1),0)*($K5304+$L5304)/(SUMIF($A:$A,$A5304,$K:$K)+SUMIF($A:$A,$A5304,$L:$L)),0)</f>
        <v>-0.77473251192368819</v>
      </c>
      <c r="N5304" s="30">
        <f>IFERROR((VLOOKUP($A5304,HeadJournal!$A$1:$K$890,COLUMN(HeadJournal!K$1),0)-VLOOKUP($A5304,HeadJournal!$A$1:$K$890,COLUMN(HeadJournal!J$1),0))*($K5304+$L5304)/(SUMIF($A:$A,$A5304,$K:$K)+SUMIF($A:$A,$A5304,$L:$L)),0)</f>
        <v>-4.558845205006641E-15</v>
      </c>
      <c r="O5304" s="30">
        <f>IFERROR((VLOOKUP($A5304,HeadJournal!$A$1:$L$890,COLUMN(HeadJournal!L$1),0)*($K5304+$L5304)/(SUMIF($A:$A,$A5304,$K:$K)+SUMIF($A:$A,$A5304,$L:$L)))/VLOOKUP($A5304,HeadJournal!$A$1:$L$890,COLUMN(HeadJournal!H$1),0),0)</f>
        <v>0.34078345777253483</v>
      </c>
      <c r="P5304" s="30">
        <f>IFERROR(SUM(K5304:O5304)*VLOOKUP($A5304,HeadJournal!$A$1:$L$890,COLUMN(HeadJournal!H$1),0),0)</f>
        <v>1328.4304697933223</v>
      </c>
      <c r="Q5304" s="29">
        <v>2500</v>
      </c>
      <c r="R5304" s="31">
        <v>46093</v>
      </c>
      <c r="S5304" s="31"/>
      <c r="T5304" s="95" t="str">
        <f t="shared" si="392"/>
        <v>2026 03</v>
      </c>
      <c r="U5304" s="32">
        <f t="shared" si="395"/>
        <v>1171.5695302066777</v>
      </c>
      <c r="V5304" s="22">
        <f t="shared" si="396"/>
        <v>0.88192009807555138</v>
      </c>
      <c r="X5304" s="33"/>
      <c r="Y5304" s="33"/>
    </row>
    <row r="5305" spans="1:25" x14ac:dyDescent="0.2">
      <c r="A5305" s="93" t="s">
        <v>4960</v>
      </c>
      <c r="B5305" s="94">
        <f>IFERROR(VLOOKUP($A5305,HeadJournal!$A$1:$NTR$890,COLUMN(HeadJournal!B$1),0),"")</f>
        <v>0</v>
      </c>
      <c r="C5305" s="94" t="str">
        <f>IFERROR(VLOOKUP($A5305,HeadJournal!$A$1:$NTR$890,COLUMN(HeadJournal!C$1),0),"")</f>
        <v>iHerb_VP DFD1605</v>
      </c>
      <c r="D5305" s="125" t="str">
        <f>IFERROR(VLOOKUP($A5305,HeadJournal!$A$1:$NTR$890,COLUMN(HeadJournal!D$1),0),"")</f>
        <v>Доставлен</v>
      </c>
      <c r="E5305" s="95">
        <f>IFERROR(VLOOKUP($A5305,HeadJournal!$A$1:$NTR$890,COLUMN(HeadJournal!G$1),0),"")</f>
        <v>45979</v>
      </c>
      <c r="F5305" s="95" t="str">
        <f t="shared" si="391"/>
        <v>2025 11</v>
      </c>
      <c r="G5305" s="97" t="s">
        <v>5</v>
      </c>
      <c r="H5305" s="161" t="s">
        <v>2051</v>
      </c>
      <c r="I5305" s="97" t="s">
        <v>2052</v>
      </c>
      <c r="J5305" s="97" t="s">
        <v>3097</v>
      </c>
      <c r="K5305" s="29">
        <v>21.62</v>
      </c>
      <c r="L5305" s="29">
        <v>-6.4862500000000001</v>
      </c>
      <c r="M5305" s="30">
        <f>IFERROR(VLOOKUP($A5305,HeadJournal!$A$1:$J$890,COLUMN(HeadJournal!I$1),0)*($K5305+$L5305)/(SUMIF($A:$A,$A5305,$K:$K)+SUMIF($A:$A,$A5305,$L:$L)),0)</f>
        <v>-0.77473251192368819</v>
      </c>
      <c r="N5305" s="30">
        <f>IFERROR((VLOOKUP($A5305,HeadJournal!$A$1:$K$890,COLUMN(HeadJournal!K$1),0)-VLOOKUP($A5305,HeadJournal!$A$1:$K$890,COLUMN(HeadJournal!J$1),0))*($K5305+$L5305)/(SUMIF($A:$A,$A5305,$K:$K)+SUMIF($A:$A,$A5305,$L:$L)),0)</f>
        <v>-4.558845205006641E-15</v>
      </c>
      <c r="O5305" s="30">
        <f>IFERROR((VLOOKUP($A5305,HeadJournal!$A$1:$L$890,COLUMN(HeadJournal!L$1),0)*($K5305+$L5305)/(SUMIF($A:$A,$A5305,$K:$K)+SUMIF($A:$A,$A5305,$L:$L)))/VLOOKUP($A5305,HeadJournal!$A$1:$L$890,COLUMN(HeadJournal!H$1),0),0)</f>
        <v>0.34078345777253483</v>
      </c>
      <c r="P5305" s="30">
        <f>IFERROR(SUM(K5305:O5305)*VLOOKUP($A5305,HeadJournal!$A$1:$L$890,COLUMN(HeadJournal!H$1),0),0)</f>
        <v>1328.4304697933223</v>
      </c>
      <c r="Q5305" s="29">
        <v>2500</v>
      </c>
      <c r="R5305" s="31">
        <v>46108</v>
      </c>
      <c r="S5305" s="31" t="s">
        <v>4630</v>
      </c>
      <c r="T5305" s="95" t="str">
        <f t="shared" si="392"/>
        <v>2026 03</v>
      </c>
      <c r="U5305" s="32">
        <f t="shared" si="395"/>
        <v>1171.5695302066777</v>
      </c>
      <c r="V5305" s="22">
        <f t="shared" si="396"/>
        <v>0.88192009807555138</v>
      </c>
      <c r="X5305" s="33"/>
      <c r="Y5305" s="33"/>
    </row>
    <row r="5306" spans="1:25" x14ac:dyDescent="0.2">
      <c r="A5306" s="93" t="s">
        <v>5041</v>
      </c>
      <c r="B5306" s="94">
        <f>IFERROR(VLOOKUP($A5306,HeadJournal!$A$1:$NTR$890,COLUMN(HeadJournal!B$1),0),"")</f>
        <v>0</v>
      </c>
      <c r="C5306" s="94" t="str">
        <f>IFERROR(VLOOKUP($A5306,HeadJournal!$A$1:$NTR$890,COLUMN(HeadJournal!C$1),0),"")</f>
        <v>iHerb_VP DFD1605</v>
      </c>
      <c r="D5306" s="125" t="str">
        <f>IFERROR(VLOOKUP($A5306,HeadJournal!$A$1:$NTR$890,COLUMN(HeadJournal!D$1),0),"")</f>
        <v>Доставлен</v>
      </c>
      <c r="E5306" s="95">
        <f>IFERROR(VLOOKUP($A5306,HeadJournal!$A$1:$NTR$890,COLUMN(HeadJournal!G$1),0),"")</f>
        <v>45985</v>
      </c>
      <c r="F5306" s="95" t="str">
        <f t="shared" si="391"/>
        <v>2025 11</v>
      </c>
      <c r="G5306" s="97" t="s">
        <v>5</v>
      </c>
      <c r="H5306" s="161" t="s">
        <v>5037</v>
      </c>
      <c r="I5306" s="97" t="s">
        <v>2460</v>
      </c>
      <c r="J5306" s="97" t="s">
        <v>5038</v>
      </c>
      <c r="K5306" s="29">
        <v>118.33</v>
      </c>
      <c r="L5306" s="29">
        <v>-23.67</v>
      </c>
      <c r="M5306" s="30">
        <f>IFERROR(VLOOKUP($A5306,HeadJournal!$A$1:$J$890,COLUMN(HeadJournal!I$1),0)*($K5306+$L5306)/(SUMIF($A:$A,$A5306,$K:$K)+SUMIF($A:$A,$A5306,$L:$L)),0)</f>
        <v>-4.1747262414631328</v>
      </c>
      <c r="N5306" s="30">
        <f>IFERROR((VLOOKUP($A5306,HeadJournal!$A$1:$K$890,COLUMN(HeadJournal!K$1),0)-VLOOKUP($A5306,HeadJournal!$A$1:$K$890,COLUMN(HeadJournal!J$1),0))*($K5306+$L5306)/(SUMIF($A:$A,$A5306,$K:$K)+SUMIF($A:$A,$A5306,$L:$L)),0)</f>
        <v>0</v>
      </c>
      <c r="O5306" s="30">
        <f>IFERROR((VLOOKUP($A5306,HeadJournal!$A$1:$L$890,COLUMN(HeadJournal!L$1),0)*($K5306+$L5306)/(SUMIF($A:$A,$A5306,$K:$K)+SUMIF($A:$A,$A5306,$L:$L)))/VLOOKUP($A5306,HeadJournal!$A$1:$L$890,COLUMN(HeadJournal!H$1),0),0)</f>
        <v>2.3295586127161121</v>
      </c>
      <c r="P5306" s="30">
        <f>IFERROR(SUM(K5306:O5306)*VLOOKUP($A5306,HeadJournal!$A$1:$L$890,COLUMN(HeadJournal!H$1),0),0)</f>
        <v>8382.0065817802988</v>
      </c>
      <c r="Q5306" s="29">
        <v>11100</v>
      </c>
      <c r="R5306" s="31">
        <v>46015</v>
      </c>
      <c r="S5306" s="31" t="s">
        <v>3475</v>
      </c>
      <c r="T5306" s="95" t="str">
        <f t="shared" si="392"/>
        <v>2025 12</v>
      </c>
      <c r="U5306" s="32">
        <f t="shared" si="395"/>
        <v>2717.9934182197012</v>
      </c>
      <c r="V5306" s="22">
        <f t="shared" si="396"/>
        <v>0.32426524504618226</v>
      </c>
      <c r="X5306" s="33"/>
      <c r="Y5306" s="33"/>
    </row>
    <row r="5307" spans="1:25" x14ac:dyDescent="0.2">
      <c r="A5307" s="93" t="s">
        <v>5041</v>
      </c>
      <c r="B5307" s="94">
        <f>IFERROR(VLOOKUP($A5307,HeadJournal!$A$1:$NTR$890,COLUMN(HeadJournal!B$1),0),"")</f>
        <v>0</v>
      </c>
      <c r="C5307" s="94" t="str">
        <f>IFERROR(VLOOKUP($A5307,HeadJournal!$A$1:$NTR$890,COLUMN(HeadJournal!C$1),0),"")</f>
        <v>iHerb_VP DFD1605</v>
      </c>
      <c r="D5307" s="125" t="str">
        <f>IFERROR(VLOOKUP($A5307,HeadJournal!$A$1:$NTR$890,COLUMN(HeadJournal!D$1),0),"")</f>
        <v>Доставлен</v>
      </c>
      <c r="E5307" s="95">
        <f>IFERROR(VLOOKUP($A5307,HeadJournal!$A$1:$NTR$890,COLUMN(HeadJournal!G$1),0),"")</f>
        <v>45985</v>
      </c>
      <c r="F5307" s="95" t="str">
        <f t="shared" si="391"/>
        <v>2025 11</v>
      </c>
      <c r="G5307" s="97" t="s">
        <v>5</v>
      </c>
      <c r="H5307" s="161" t="s">
        <v>5039</v>
      </c>
      <c r="I5307" s="97" t="s">
        <v>2960</v>
      </c>
      <c r="J5307" s="97" t="s">
        <v>5040</v>
      </c>
      <c r="K5307" s="29">
        <v>65.23</v>
      </c>
      <c r="L5307" s="29">
        <v>-13.05</v>
      </c>
      <c r="M5307" s="30">
        <f>IFERROR(VLOOKUP($A5307,HeadJournal!$A$1:$J$890,COLUMN(HeadJournal!I$1),0)*($K5307+$L5307)/(SUMIF($A:$A,$A5307,$K:$K)+SUMIF($A:$A,$A5307,$L:$L)),0)</f>
        <v>-2.3012594050237301</v>
      </c>
      <c r="N5307" s="30">
        <f>IFERROR((VLOOKUP($A5307,HeadJournal!$A$1:$K$890,COLUMN(HeadJournal!K$1),0)-VLOOKUP($A5307,HeadJournal!$A$1:$K$890,COLUMN(HeadJournal!J$1),0))*($K5307+$L5307)/(SUMIF($A:$A,$A5307,$K:$K)+SUMIF($A:$A,$A5307,$L:$L)),0)</f>
        <v>0</v>
      </c>
      <c r="O5307" s="30">
        <f>IFERROR((VLOOKUP($A5307,HeadJournal!$A$1:$L$890,COLUMN(HeadJournal!L$1),0)*($K5307+$L5307)/(SUMIF($A:$A,$A5307,$K:$K)+SUMIF($A:$A,$A5307,$L:$L)))/VLOOKUP($A5307,HeadJournal!$A$1:$L$890,COLUMN(HeadJournal!H$1),0),0)</f>
        <v>1.2841365773455182</v>
      </c>
      <c r="P5307" s="30">
        <f>IFERROR(SUM(K5307:O5307)*VLOOKUP($A5307,HeadJournal!$A$1:$L$890,COLUMN(HeadJournal!H$1),0),0)</f>
        <v>4620.4638013659005</v>
      </c>
      <c r="Q5307" s="29">
        <v>6400</v>
      </c>
      <c r="R5307" s="31">
        <v>46015</v>
      </c>
      <c r="S5307" s="31" t="s">
        <v>3475</v>
      </c>
      <c r="T5307" s="95" t="str">
        <f t="shared" si="392"/>
        <v>2025 12</v>
      </c>
      <c r="U5307" s="32">
        <f t="shared" si="395"/>
        <v>1779.5361986340995</v>
      </c>
      <c r="V5307" s="22">
        <f t="shared" si="396"/>
        <v>0.38514233097292816</v>
      </c>
      <c r="X5307" s="33"/>
      <c r="Y5307" s="33"/>
    </row>
    <row r="5308" spans="1:25" x14ac:dyDescent="0.2">
      <c r="A5308" s="93" t="s">
        <v>5041</v>
      </c>
      <c r="B5308" s="94">
        <f>IFERROR(VLOOKUP($A5308,HeadJournal!$A$1:$NTR$890,COLUMN(HeadJournal!B$1),0),"")</f>
        <v>0</v>
      </c>
      <c r="C5308" s="94" t="str">
        <f>IFERROR(VLOOKUP($A5308,HeadJournal!$A$1:$NTR$890,COLUMN(HeadJournal!C$1),0),"")</f>
        <v>iHerb_VP DFD1605</v>
      </c>
      <c r="D5308" s="125" t="str">
        <f>IFERROR(VLOOKUP($A5308,HeadJournal!$A$1:$NTR$890,COLUMN(HeadJournal!D$1),0),"")</f>
        <v>Доставлен</v>
      </c>
      <c r="E5308" s="95">
        <f>IFERROR(VLOOKUP($A5308,HeadJournal!$A$1:$NTR$890,COLUMN(HeadJournal!G$1),0),"")</f>
        <v>45985</v>
      </c>
      <c r="F5308" s="95" t="str">
        <f t="shared" si="391"/>
        <v>2025 11</v>
      </c>
      <c r="G5308" s="97" t="s">
        <v>5</v>
      </c>
      <c r="H5308" s="161" t="s">
        <v>2997</v>
      </c>
      <c r="I5308" s="97" t="s">
        <v>2102</v>
      </c>
      <c r="J5308" s="97" t="s">
        <v>4952</v>
      </c>
      <c r="K5308" s="29">
        <v>32.43</v>
      </c>
      <c r="L5308" s="29">
        <v>-6.49</v>
      </c>
      <c r="M5308" s="30">
        <f>IFERROR(VLOOKUP($A5308,HeadJournal!$A$1:$J$890,COLUMN(HeadJournal!I$1),0)*($K5308+$L5308)/(SUMIF($A:$A,$A5308,$K:$K)+SUMIF($A:$A,$A5308,$L:$L)),0)</f>
        <v>-1.144014353513138</v>
      </c>
      <c r="N5308" s="30">
        <f>IFERROR((VLOOKUP($A5308,HeadJournal!$A$1:$K$890,COLUMN(HeadJournal!K$1),0)-VLOOKUP($A5308,HeadJournal!$A$1:$K$890,COLUMN(HeadJournal!J$1),0))*($K5308+$L5308)/(SUMIF($A:$A,$A5308,$K:$K)+SUMIF($A:$A,$A5308,$L:$L)),0)</f>
        <v>0</v>
      </c>
      <c r="O5308" s="30">
        <f>IFERROR((VLOOKUP($A5308,HeadJournal!$A$1:$L$890,COLUMN(HeadJournal!L$1),0)*($K5308+$L5308)/(SUMIF($A:$A,$A5308,$K:$K)+SUMIF($A:$A,$A5308,$L:$L)))/VLOOKUP($A5308,HeadJournal!$A$1:$L$890,COLUMN(HeadJournal!H$1),0),0)</f>
        <v>0.63837682668345608</v>
      </c>
      <c r="P5308" s="30">
        <f>IFERROR(SUM(K5308:O5308)*VLOOKUP($A5308,HeadJournal!$A$1:$L$890,COLUMN(HeadJournal!H$1),0),0)</f>
        <v>2296.9496168538021</v>
      </c>
      <c r="Q5308" s="29">
        <v>4100</v>
      </c>
      <c r="R5308" s="31">
        <v>46040</v>
      </c>
      <c r="S5308" s="31" t="s">
        <v>4992</v>
      </c>
      <c r="T5308" s="95" t="str">
        <f t="shared" si="392"/>
        <v>2026 01</v>
      </c>
      <c r="U5308" s="32">
        <f t="shared" si="395"/>
        <v>1803.0503831461979</v>
      </c>
      <c r="V5308" s="22">
        <f t="shared" si="396"/>
        <v>0.78497602642929876</v>
      </c>
      <c r="X5308" s="33"/>
      <c r="Y5308" s="33"/>
    </row>
    <row r="5309" spans="1:25" x14ac:dyDescent="0.2">
      <c r="A5309" s="93" t="s">
        <v>5051</v>
      </c>
      <c r="B5309" s="94">
        <f>IFERROR(VLOOKUP($A5309,HeadJournal!$A$1:$NTR$890,COLUMN(HeadJournal!B$1),0),"")</f>
        <v>0</v>
      </c>
      <c r="C5309" s="94" t="str">
        <f>IFERROR(VLOOKUP($A5309,HeadJournal!$A$1:$NTR$890,COLUMN(HeadJournal!C$1),0),"")</f>
        <v>iHerb_MH DLE7202</v>
      </c>
      <c r="D5309" s="125" t="str">
        <f>IFERROR(VLOOKUP($A5309,HeadJournal!$A$1:$NTR$890,COLUMN(HeadJournal!D$1),0),"")</f>
        <v>Доставлен</v>
      </c>
      <c r="E5309" s="95">
        <f>IFERROR(VLOOKUP($A5309,HeadJournal!$A$1:$NTR$890,COLUMN(HeadJournal!G$1),0),"")</f>
        <v>45985</v>
      </c>
      <c r="F5309" s="95" t="str">
        <f t="shared" si="391"/>
        <v>2025 11</v>
      </c>
      <c r="G5309" s="97" t="s">
        <v>5</v>
      </c>
      <c r="H5309" s="161" t="s">
        <v>3898</v>
      </c>
      <c r="I5309" s="97" t="s">
        <v>2221</v>
      </c>
      <c r="J5309" s="97" t="s">
        <v>3899</v>
      </c>
      <c r="K5309" s="29">
        <v>11.42</v>
      </c>
      <c r="L5309" s="29">
        <v>-2.2799999999999998</v>
      </c>
      <c r="M5309" s="30">
        <f>IFERROR(VLOOKUP($A5309,HeadJournal!$A$1:$J$890,COLUMN(HeadJournal!I$1),0)*($K5309+$L5309)/(SUMIF($A:$A,$A5309,$K:$K)+SUMIF($A:$A,$A5309,$L:$L)),0)</f>
        <v>-0.88819558101473017</v>
      </c>
      <c r="N5309" s="30">
        <f>IFERROR((VLOOKUP($A5309,HeadJournal!$A$1:$K$890,COLUMN(HeadJournal!K$1),0)-VLOOKUP($A5309,HeadJournal!$A$1:$K$890,COLUMN(HeadJournal!J$1),0))*($K5309+$L5309)/(SUMIF($A:$A,$A5309,$K:$K)+SUMIF($A:$A,$A5309,$L:$L)),0)</f>
        <v>1.3286335116299748E-15</v>
      </c>
      <c r="O5309" s="30">
        <f>IFERROR((VLOOKUP($A5309,HeadJournal!$A$1:$L$890,COLUMN(HeadJournal!L$1),0)*($K5309+$L5309)/(SUMIF($A:$A,$A5309,$K:$K)+SUMIF($A:$A,$A5309,$L:$L)))/VLOOKUP($A5309,HeadJournal!$A$1:$L$890,COLUMN(HeadJournal!H$1),0),0)</f>
        <v>0.19768228877576979</v>
      </c>
      <c r="P5309" s="30">
        <f>IFERROR(SUM(K5309:O5309)*VLOOKUP($A5309,HeadJournal!$A$1:$L$890,COLUMN(HeadJournal!H$1),0),0)</f>
        <v>767.27102495908343</v>
      </c>
      <c r="Q5309" s="29">
        <v>1600</v>
      </c>
      <c r="R5309" s="31">
        <v>46018</v>
      </c>
      <c r="S5309" s="31" t="s">
        <v>3231</v>
      </c>
      <c r="T5309" s="95" t="str">
        <f t="shared" si="392"/>
        <v>2025 12</v>
      </c>
      <c r="U5309" s="32">
        <f t="shared" si="395"/>
        <v>832.72897504091657</v>
      </c>
      <c r="V5309" s="22">
        <f t="shared" si="396"/>
        <v>1.0853126834619147</v>
      </c>
      <c r="X5309" s="33"/>
      <c r="Y5309" s="33"/>
    </row>
    <row r="5310" spans="1:25" x14ac:dyDescent="0.2">
      <c r="A5310" s="93" t="s">
        <v>5051</v>
      </c>
      <c r="B5310" s="94">
        <f>IFERROR(VLOOKUP($A5310,HeadJournal!$A$1:$NTR$890,COLUMN(HeadJournal!B$1),0),"")</f>
        <v>0</v>
      </c>
      <c r="C5310" s="94" t="str">
        <f>IFERROR(VLOOKUP($A5310,HeadJournal!$A$1:$NTR$890,COLUMN(HeadJournal!C$1),0),"")</f>
        <v>iHerb_MH DLE7202</v>
      </c>
      <c r="D5310" s="125" t="str">
        <f>IFERROR(VLOOKUP($A5310,HeadJournal!$A$1:$NTR$890,COLUMN(HeadJournal!D$1),0),"")</f>
        <v>Доставлен</v>
      </c>
      <c r="E5310" s="95">
        <f>IFERROR(VLOOKUP($A5310,HeadJournal!$A$1:$NTR$890,COLUMN(HeadJournal!G$1),0),"")</f>
        <v>45985</v>
      </c>
      <c r="F5310" s="95" t="str">
        <f t="shared" si="391"/>
        <v>2025 11</v>
      </c>
      <c r="G5310" s="97" t="s">
        <v>5</v>
      </c>
      <c r="H5310" s="161" t="s">
        <v>2550</v>
      </c>
      <c r="I5310" s="97" t="s">
        <v>5042</v>
      </c>
      <c r="J5310" s="97" t="s">
        <v>5043</v>
      </c>
      <c r="K5310" s="29">
        <v>13.74</v>
      </c>
      <c r="L5310" s="29">
        <v>-2.06</v>
      </c>
      <c r="M5310" s="30">
        <f>IFERROR(VLOOKUP($A5310,HeadJournal!$A$1:$J$890,COLUMN(HeadJournal!I$1),0)*($K5310+$L5310)/(SUMIF($A:$A,$A5310,$K:$K)+SUMIF($A:$A,$A5310,$L:$L)),0)</f>
        <v>-1.135024549918167</v>
      </c>
      <c r="N5310" s="30">
        <f>IFERROR((VLOOKUP($A5310,HeadJournal!$A$1:$K$890,COLUMN(HeadJournal!K$1),0)-VLOOKUP($A5310,HeadJournal!$A$1:$K$890,COLUMN(HeadJournal!J$1),0))*($K5310+$L5310)/(SUMIF($A:$A,$A5310,$K:$K)+SUMIF($A:$A,$A5310,$L:$L)),0)</f>
        <v>1.6978598923236438E-15</v>
      </c>
      <c r="O5310" s="30">
        <f>IFERROR((VLOOKUP($A5310,HeadJournal!$A$1:$L$890,COLUMN(HeadJournal!L$1),0)*($K5310+$L5310)/(SUMIF($A:$A,$A5310,$K:$K)+SUMIF($A:$A,$A5310,$L:$L)))/VLOOKUP($A5310,HeadJournal!$A$1:$L$890,COLUMN(HeadJournal!H$1),0),0)</f>
        <v>0.25261806705700118</v>
      </c>
      <c r="P5310" s="30">
        <f>IFERROR(SUM(K5310:O5310)*VLOOKUP($A5310,HeadJournal!$A$1:$L$890,COLUMN(HeadJournal!H$1),0),0)</f>
        <v>980.49513911620295</v>
      </c>
      <c r="Q5310" s="29">
        <v>1700</v>
      </c>
      <c r="R5310" s="31">
        <v>46020</v>
      </c>
      <c r="S5310" s="31"/>
      <c r="T5310" s="95" t="str">
        <f t="shared" si="392"/>
        <v>2025 12</v>
      </c>
      <c r="U5310" s="32">
        <f t="shared" si="395"/>
        <v>719.50486088379705</v>
      </c>
      <c r="V5310" s="22">
        <f t="shared" si="396"/>
        <v>0.73381787647855468</v>
      </c>
      <c r="X5310" s="33"/>
      <c r="Y5310" s="33"/>
    </row>
    <row r="5311" spans="1:25" x14ac:dyDescent="0.2">
      <c r="A5311" s="93" t="s">
        <v>5051</v>
      </c>
      <c r="B5311" s="94">
        <f>IFERROR(VLOOKUP($A5311,HeadJournal!$A$1:$NTR$890,COLUMN(HeadJournal!B$1),0),"")</f>
        <v>0</v>
      </c>
      <c r="C5311" s="94" t="str">
        <f>IFERROR(VLOOKUP($A5311,HeadJournal!$A$1:$NTR$890,COLUMN(HeadJournal!C$1),0),"")</f>
        <v>iHerb_MH DLE7202</v>
      </c>
      <c r="D5311" s="125" t="str">
        <f>IFERROR(VLOOKUP($A5311,HeadJournal!$A$1:$NTR$890,COLUMN(HeadJournal!D$1),0),"")</f>
        <v>Доставлен</v>
      </c>
      <c r="E5311" s="95">
        <f>IFERROR(VLOOKUP($A5311,HeadJournal!$A$1:$NTR$890,COLUMN(HeadJournal!G$1),0),"")</f>
        <v>45985</v>
      </c>
      <c r="F5311" s="95" t="str">
        <f t="shared" si="391"/>
        <v>2025 11</v>
      </c>
      <c r="G5311" s="97" t="s">
        <v>7</v>
      </c>
      <c r="H5311" s="161" t="s">
        <v>3087</v>
      </c>
      <c r="I5311" s="97" t="s">
        <v>3088</v>
      </c>
      <c r="J5311" s="97" t="s">
        <v>3089</v>
      </c>
      <c r="K5311" s="29">
        <v>21.92</v>
      </c>
      <c r="L5311" s="29">
        <v>-10</v>
      </c>
      <c r="M5311" s="30">
        <f>IFERROR(VLOOKUP($A5311,HeadJournal!$A$1:$J$890,COLUMN(HeadJournal!I$1),0)*($K5311+$L5311)/(SUMIF($A:$A,$A5311,$K:$K)+SUMIF($A:$A,$A5311,$L:$L)),0)</f>
        <v>-1.1583469721767596</v>
      </c>
      <c r="N5311" s="30">
        <f>IFERROR((VLOOKUP($A5311,HeadJournal!$A$1:$K$890,COLUMN(HeadJournal!K$1),0)-VLOOKUP($A5311,HeadJournal!$A$1:$K$890,COLUMN(HeadJournal!J$1),0))*($K5311+$L5311)/(SUMIF($A:$A,$A5311,$K:$K)+SUMIF($A:$A,$A5311,$L:$L)),0)</f>
        <v>1.7327474243576916E-15</v>
      </c>
      <c r="O5311" s="30">
        <f>IFERROR((VLOOKUP($A5311,HeadJournal!$A$1:$L$890,COLUMN(HeadJournal!L$1),0)*($K5311+$L5311)/(SUMIF($A:$A,$A5311,$K:$K)+SUMIF($A:$A,$A5311,$L:$L)))/VLOOKUP($A5311,HeadJournal!$A$1:$L$890,COLUMN(HeadJournal!H$1),0),0)</f>
        <v>0.25780884925680264</v>
      </c>
      <c r="P5311" s="30">
        <f>IFERROR(SUM(K5311:O5311)*VLOOKUP($A5311,HeadJournal!$A$1:$L$890,COLUMN(HeadJournal!H$1),0),0)</f>
        <v>1000.6422995090018</v>
      </c>
      <c r="Q5311" s="29"/>
      <c r="R5311" s="31"/>
      <c r="S5311" s="31"/>
      <c r="T5311" s="95" t="str">
        <f t="shared" si="392"/>
        <v/>
      </c>
      <c r="U5311" s="32">
        <f t="shared" si="395"/>
        <v>-1000.6422995090018</v>
      </c>
      <c r="V5311" s="22" t="str">
        <f t="shared" si="396"/>
        <v/>
      </c>
      <c r="X5311" s="33"/>
      <c r="Y5311" s="33"/>
    </row>
    <row r="5312" spans="1:25" x14ac:dyDescent="0.2">
      <c r="A5312" s="93" t="s">
        <v>5051</v>
      </c>
      <c r="B5312" s="94">
        <f>IFERROR(VLOOKUP($A5312,HeadJournal!$A$1:$NTR$890,COLUMN(HeadJournal!B$1),0),"")</f>
        <v>0</v>
      </c>
      <c r="C5312" s="94" t="str">
        <f>IFERROR(VLOOKUP($A5312,HeadJournal!$A$1:$NTR$890,COLUMN(HeadJournal!C$1),0),"")</f>
        <v>iHerb_MH DLE7202</v>
      </c>
      <c r="D5312" s="125" t="str">
        <f>IFERROR(VLOOKUP($A5312,HeadJournal!$A$1:$NTR$890,COLUMN(HeadJournal!D$1),0),"")</f>
        <v>Доставлен</v>
      </c>
      <c r="E5312" s="95">
        <f>IFERROR(VLOOKUP($A5312,HeadJournal!$A$1:$NTR$890,COLUMN(HeadJournal!G$1),0),"")</f>
        <v>45985</v>
      </c>
      <c r="F5312" s="95" t="str">
        <f t="shared" si="391"/>
        <v>2025 11</v>
      </c>
      <c r="G5312" s="97" t="s">
        <v>5</v>
      </c>
      <c r="H5312" s="161" t="s">
        <v>2997</v>
      </c>
      <c r="I5312" s="97" t="s">
        <v>2102</v>
      </c>
      <c r="J5312" s="97" t="s">
        <v>4952</v>
      </c>
      <c r="K5312" s="29">
        <v>32.43</v>
      </c>
      <c r="L5312" s="29">
        <v>-6.49</v>
      </c>
      <c r="M5312" s="30">
        <f>IFERROR(VLOOKUP($A5312,HeadJournal!$A$1:$J$890,COLUMN(HeadJournal!I$1),0)*($K5312+$L5312)/(SUMIF($A:$A,$A5312,$K:$K)+SUMIF($A:$A,$A5312,$L:$L)),0)</f>
        <v>-2.5207651391162029</v>
      </c>
      <c r="N5312" s="30">
        <f>IFERROR((VLOOKUP($A5312,HeadJournal!$A$1:$K$890,COLUMN(HeadJournal!K$1),0)-VLOOKUP($A5312,HeadJournal!$A$1:$K$890,COLUMN(HeadJournal!J$1),0))*($K5312+$L5312)/(SUMIF($A:$A,$A5312,$K:$K)+SUMIF($A:$A,$A5312,$L:$L)),0)</f>
        <v>3.7707607540132979E-15</v>
      </c>
      <c r="O5312" s="30">
        <f>IFERROR((VLOOKUP($A5312,HeadJournal!$A$1:$L$890,COLUMN(HeadJournal!L$1),0)*($K5312+$L5312)/(SUMIF($A:$A,$A5312,$K:$K)+SUMIF($A:$A,$A5312,$L:$L)))/VLOOKUP($A5312,HeadJournal!$A$1:$L$890,COLUMN(HeadJournal!H$1),0),0)</f>
        <v>0.56103704276186728</v>
      </c>
      <c r="P5312" s="30">
        <f>IFERROR(SUM(K5312:O5312)*VLOOKUP($A5312,HeadJournal!$A$1:$L$890,COLUMN(HeadJournal!H$1),0),0)</f>
        <v>2177.5722524549915</v>
      </c>
      <c r="Q5312" s="29">
        <v>4100</v>
      </c>
      <c r="R5312" s="31">
        <v>46049</v>
      </c>
      <c r="S5312" s="31" t="s">
        <v>3256</v>
      </c>
      <c r="T5312" s="95" t="str">
        <f t="shared" si="392"/>
        <v>2026 01</v>
      </c>
      <c r="U5312" s="32">
        <f t="shared" si="395"/>
        <v>1922.4277475450085</v>
      </c>
      <c r="V5312" s="22">
        <f t="shared" si="396"/>
        <v>0.88283075125413935</v>
      </c>
      <c r="X5312" s="33"/>
      <c r="Y5312" s="33"/>
    </row>
    <row r="5313" spans="1:25" x14ac:dyDescent="0.2">
      <c r="A5313" s="93" t="s">
        <v>5051</v>
      </c>
      <c r="B5313" s="94">
        <f>IFERROR(VLOOKUP($A5313,HeadJournal!$A$1:$NTR$890,COLUMN(HeadJournal!B$1),0),"")</f>
        <v>0</v>
      </c>
      <c r="C5313" s="94" t="str">
        <f>IFERROR(VLOOKUP($A5313,HeadJournal!$A$1:$NTR$890,COLUMN(HeadJournal!C$1),0),"")</f>
        <v>iHerb_MH DLE7202</v>
      </c>
      <c r="D5313" s="125" t="str">
        <f>IFERROR(VLOOKUP($A5313,HeadJournal!$A$1:$NTR$890,COLUMN(HeadJournal!D$1),0),"")</f>
        <v>Доставлен</v>
      </c>
      <c r="E5313" s="95">
        <f>IFERROR(VLOOKUP($A5313,HeadJournal!$A$1:$NTR$890,COLUMN(HeadJournal!G$1),0),"")</f>
        <v>45985</v>
      </c>
      <c r="F5313" s="95" t="str">
        <f t="shared" si="391"/>
        <v>2025 11</v>
      </c>
      <c r="G5313" s="97" t="s">
        <v>5</v>
      </c>
      <c r="H5313" s="161" t="s">
        <v>3570</v>
      </c>
      <c r="I5313" s="97" t="s">
        <v>2102</v>
      </c>
      <c r="J5313" s="97" t="s">
        <v>3991</v>
      </c>
      <c r="K5313" s="29">
        <v>12.8</v>
      </c>
      <c r="L5313" s="29">
        <v>-2.56</v>
      </c>
      <c r="M5313" s="30">
        <f>IFERROR(VLOOKUP($A5313,HeadJournal!$A$1:$J$890,COLUMN(HeadJournal!I$1),0)*($K5313+$L5313)/(SUMIF($A:$A,$A5313,$K:$K)+SUMIF($A:$A,$A5313,$L:$L)),0)</f>
        <v>-0.99509001636661221</v>
      </c>
      <c r="N5313" s="30">
        <f>IFERROR((VLOOKUP($A5313,HeadJournal!$A$1:$K$890,COLUMN(HeadJournal!K$1),0)-VLOOKUP($A5313,HeadJournal!$A$1:$K$890,COLUMN(HeadJournal!J$1),0))*($K5313+$L5313)/(SUMIF($A:$A,$A5313,$K:$K)+SUMIF($A:$A,$A5313,$L:$L)),0)</f>
        <v>1.4885347001193591E-15</v>
      </c>
      <c r="O5313" s="30">
        <f>IFERROR((VLOOKUP($A5313,HeadJournal!$A$1:$L$890,COLUMN(HeadJournal!L$1),0)*($K5313+$L5313)/(SUMIF($A:$A,$A5313,$K:$K)+SUMIF($A:$A,$A5313,$L:$L)))/VLOOKUP($A5313,HeadJournal!$A$1:$L$890,COLUMN(HeadJournal!H$1),0),0)</f>
        <v>0.22147337385819282</v>
      </c>
      <c r="P5313" s="30">
        <f>IFERROR(SUM(K5313:O5313)*VLOOKUP($A5313,HeadJournal!$A$1:$L$890,COLUMN(HeadJournal!H$1),0),0)</f>
        <v>859.61217675941077</v>
      </c>
      <c r="Q5313" s="29"/>
      <c r="R5313" s="31"/>
      <c r="S5313" s="31"/>
      <c r="T5313" s="95" t="str">
        <f t="shared" si="392"/>
        <v/>
      </c>
      <c r="U5313" s="32">
        <f t="shared" si="395"/>
        <v>-859.61217675941077</v>
      </c>
      <c r="V5313" s="22" t="str">
        <f t="shared" si="396"/>
        <v/>
      </c>
      <c r="X5313" s="33"/>
      <c r="Y5313" s="33"/>
    </row>
    <row r="5314" spans="1:25" x14ac:dyDescent="0.2">
      <c r="A5314" s="93" t="s">
        <v>5051</v>
      </c>
      <c r="B5314" s="94">
        <f>IFERROR(VLOOKUP($A5314,HeadJournal!$A$1:$NTR$890,COLUMN(HeadJournal!B$1),0),"")</f>
        <v>0</v>
      </c>
      <c r="C5314" s="94" t="str">
        <f>IFERROR(VLOOKUP($A5314,HeadJournal!$A$1:$NTR$890,COLUMN(HeadJournal!C$1),0),"")</f>
        <v>iHerb_MH DLE7202</v>
      </c>
      <c r="D5314" s="125" t="str">
        <f>IFERROR(VLOOKUP($A5314,HeadJournal!$A$1:$NTR$890,COLUMN(HeadJournal!D$1),0),"")</f>
        <v>Доставлен</v>
      </c>
      <c r="E5314" s="95">
        <f>IFERROR(VLOOKUP($A5314,HeadJournal!$A$1:$NTR$890,COLUMN(HeadJournal!G$1),0),"")</f>
        <v>45985</v>
      </c>
      <c r="F5314" s="95" t="str">
        <f t="shared" si="391"/>
        <v>2025 11</v>
      </c>
      <c r="G5314" s="97" t="s">
        <v>5</v>
      </c>
      <c r="H5314" s="161" t="s">
        <v>2755</v>
      </c>
      <c r="I5314" s="97" t="s">
        <v>2005</v>
      </c>
      <c r="J5314" s="97" t="s">
        <v>2756</v>
      </c>
      <c r="K5314" s="29">
        <v>17.239999999999998</v>
      </c>
      <c r="L5314" s="29">
        <v>-3.45</v>
      </c>
      <c r="M5314" s="30">
        <f>IFERROR(VLOOKUP($A5314,HeadJournal!$A$1:$J$890,COLUMN(HeadJournal!I$1),0)*($K5314+$L5314)/(SUMIF($A:$A,$A5314,$K:$K)+SUMIF($A:$A,$A5314,$L:$L)),0)</f>
        <v>-1.3400675122749592</v>
      </c>
      <c r="N5314" s="30">
        <f>IFERROR((VLOOKUP($A5314,HeadJournal!$A$1:$K$890,COLUMN(HeadJournal!K$1),0)-VLOOKUP($A5314,HeadJournal!$A$1:$K$890,COLUMN(HeadJournal!J$1),0))*($K5314+$L5314)/(SUMIF($A:$A,$A5314,$K:$K)+SUMIF($A:$A,$A5314,$L:$L)),0)</f>
        <v>2.0045794447896443E-15</v>
      </c>
      <c r="O5314" s="30">
        <f>IFERROR((VLOOKUP($A5314,HeadJournal!$A$1:$L$890,COLUMN(HeadJournal!L$1),0)*($K5314+$L5314)/(SUMIF($A:$A,$A5314,$K:$K)+SUMIF($A:$A,$A5314,$L:$L)))/VLOOKUP($A5314,HeadJournal!$A$1:$L$890,COLUMN(HeadJournal!H$1),0),0)</f>
        <v>0.2982536938969218</v>
      </c>
      <c r="P5314" s="30">
        <f>IFERROR(SUM(K5314:O5314)*VLOOKUP($A5314,HeadJournal!$A$1:$L$890,COLUMN(HeadJournal!H$1),0),0)</f>
        <v>1157.6222575695579</v>
      </c>
      <c r="Q5314" s="29">
        <v>2400</v>
      </c>
      <c r="R5314" s="31">
        <v>46015</v>
      </c>
      <c r="S5314" s="31" t="s">
        <v>3280</v>
      </c>
      <c r="T5314" s="95" t="str">
        <f t="shared" si="392"/>
        <v>2025 12</v>
      </c>
      <c r="U5314" s="32">
        <f t="shared" si="395"/>
        <v>1242.3777424304421</v>
      </c>
      <c r="V5314" s="22">
        <f t="shared" si="396"/>
        <v>1.0732151479523462</v>
      </c>
      <c r="X5314" s="33"/>
      <c r="Y5314" s="33"/>
    </row>
    <row r="5315" spans="1:25" x14ac:dyDescent="0.2">
      <c r="A5315" s="93" t="s">
        <v>5051</v>
      </c>
      <c r="B5315" s="94">
        <f>IFERROR(VLOOKUP($A5315,HeadJournal!$A$1:$NTR$890,COLUMN(HeadJournal!B$1),0),"")</f>
        <v>0</v>
      </c>
      <c r="C5315" s="94" t="str">
        <f>IFERROR(VLOOKUP($A5315,HeadJournal!$A$1:$NTR$890,COLUMN(HeadJournal!C$1),0),"")</f>
        <v>iHerb_MH DLE7202</v>
      </c>
      <c r="D5315" s="125" t="str">
        <f>IFERROR(VLOOKUP($A5315,HeadJournal!$A$1:$NTR$890,COLUMN(HeadJournal!D$1),0),"")</f>
        <v>Доставлен</v>
      </c>
      <c r="E5315" s="95">
        <f>IFERROR(VLOOKUP($A5315,HeadJournal!$A$1:$NTR$890,COLUMN(HeadJournal!G$1),0),"")</f>
        <v>45985</v>
      </c>
      <c r="F5315" s="95" t="str">
        <f t="shared" si="391"/>
        <v>2025 11</v>
      </c>
      <c r="G5315" s="97" t="s">
        <v>5</v>
      </c>
      <c r="H5315" s="161" t="s">
        <v>2755</v>
      </c>
      <c r="I5315" s="97" t="s">
        <v>2005</v>
      </c>
      <c r="J5315" s="97" t="s">
        <v>2756</v>
      </c>
      <c r="K5315" s="29">
        <v>17.239999999999998</v>
      </c>
      <c r="L5315" s="29">
        <v>-3.45</v>
      </c>
      <c r="M5315" s="30">
        <f>IFERROR(VLOOKUP($A5315,HeadJournal!$A$1:$J$890,COLUMN(HeadJournal!I$1),0)*($K5315+$L5315)/(SUMIF($A:$A,$A5315,$K:$K)+SUMIF($A:$A,$A5315,$L:$L)),0)</f>
        <v>-1.3400675122749592</v>
      </c>
      <c r="N5315" s="30">
        <f>IFERROR((VLOOKUP($A5315,HeadJournal!$A$1:$K$890,COLUMN(HeadJournal!K$1),0)-VLOOKUP($A5315,HeadJournal!$A$1:$K$890,COLUMN(HeadJournal!J$1),0))*($K5315+$L5315)/(SUMIF($A:$A,$A5315,$K:$K)+SUMIF($A:$A,$A5315,$L:$L)),0)</f>
        <v>2.0045794447896443E-15</v>
      </c>
      <c r="O5315" s="30">
        <f>IFERROR((VLOOKUP($A5315,HeadJournal!$A$1:$L$890,COLUMN(HeadJournal!L$1),0)*($K5315+$L5315)/(SUMIF($A:$A,$A5315,$K:$K)+SUMIF($A:$A,$A5315,$L:$L)))/VLOOKUP($A5315,HeadJournal!$A$1:$L$890,COLUMN(HeadJournal!H$1),0),0)</f>
        <v>0.2982536938969218</v>
      </c>
      <c r="P5315" s="30">
        <f>IFERROR(SUM(K5315:O5315)*VLOOKUP($A5315,HeadJournal!$A$1:$L$890,COLUMN(HeadJournal!H$1),0),0)</f>
        <v>1157.6222575695579</v>
      </c>
      <c r="Q5315" s="29">
        <v>2400</v>
      </c>
      <c r="R5315" s="31">
        <v>46015</v>
      </c>
      <c r="S5315" s="31" t="s">
        <v>3280</v>
      </c>
      <c r="T5315" s="95" t="str">
        <f t="shared" si="392"/>
        <v>2025 12</v>
      </c>
      <c r="U5315" s="32">
        <f t="shared" si="395"/>
        <v>1242.3777424304421</v>
      </c>
      <c r="V5315" s="22">
        <f t="shared" si="396"/>
        <v>1.0732151479523462</v>
      </c>
      <c r="X5315" s="33"/>
      <c r="Y5315" s="33"/>
    </row>
    <row r="5316" spans="1:25" x14ac:dyDescent="0.2">
      <c r="A5316" s="93" t="s">
        <v>5051</v>
      </c>
      <c r="B5316" s="94">
        <f>IFERROR(VLOOKUP($A5316,HeadJournal!$A$1:$NTR$890,COLUMN(HeadJournal!B$1),0),"")</f>
        <v>0</v>
      </c>
      <c r="C5316" s="94" t="str">
        <f>IFERROR(VLOOKUP($A5316,HeadJournal!$A$1:$NTR$890,COLUMN(HeadJournal!C$1),0),"")</f>
        <v>iHerb_MH DLE7202</v>
      </c>
      <c r="D5316" s="125" t="str">
        <f>IFERROR(VLOOKUP($A5316,HeadJournal!$A$1:$NTR$890,COLUMN(HeadJournal!D$1),0),"")</f>
        <v>Доставлен</v>
      </c>
      <c r="E5316" s="95">
        <f>IFERROR(VLOOKUP($A5316,HeadJournal!$A$1:$NTR$890,COLUMN(HeadJournal!G$1),0),"")</f>
        <v>45985</v>
      </c>
      <c r="F5316" s="95" t="str">
        <f t="shared" ref="F5316:F5379" si="397">IFERROR(TEXT(E5316, "ГГГГ ММ"),"")</f>
        <v>2025 11</v>
      </c>
      <c r="G5316" s="97" t="s">
        <v>5</v>
      </c>
      <c r="H5316" s="161" t="s">
        <v>3822</v>
      </c>
      <c r="I5316" s="97" t="s">
        <v>2009</v>
      </c>
      <c r="J5316" s="97" t="s">
        <v>3823</v>
      </c>
      <c r="K5316" s="29">
        <v>11.42</v>
      </c>
      <c r="L5316" s="29">
        <v>-2.2850000000000001</v>
      </c>
      <c r="M5316" s="30">
        <f>IFERROR(VLOOKUP($A5316,HeadJournal!$A$1:$J$890,COLUMN(HeadJournal!I$1),0)*($K5316+$L5316)/(SUMIF($A:$A,$A5316,$K:$K)+SUMIF($A:$A,$A5316,$L:$L)),0)</f>
        <v>-0.88770969721767601</v>
      </c>
      <c r="N5316" s="30">
        <f>IFERROR((VLOOKUP($A5316,HeadJournal!$A$1:$K$890,COLUMN(HeadJournal!K$1),0)-VLOOKUP($A5316,HeadJournal!$A$1:$K$890,COLUMN(HeadJournal!J$1),0))*($K5316+$L5316)/(SUMIF($A:$A,$A5316,$K:$K)+SUMIF($A:$A,$A5316,$L:$L)),0)</f>
        <v>1.3279066880459321E-15</v>
      </c>
      <c r="O5316" s="30">
        <f>IFERROR((VLOOKUP($A5316,HeadJournal!$A$1:$L$890,COLUMN(HeadJournal!L$1),0)*($K5316+$L5316)/(SUMIF($A:$A,$A5316,$K:$K)+SUMIF($A:$A,$A5316,$L:$L)))/VLOOKUP($A5316,HeadJournal!$A$1:$L$890,COLUMN(HeadJournal!H$1),0),0)</f>
        <v>0.19757414747994059</v>
      </c>
      <c r="P5316" s="30">
        <f>IFERROR(SUM(K5316:O5316)*VLOOKUP($A5316,HeadJournal!$A$1:$L$890,COLUMN(HeadJournal!H$1),0),0)</f>
        <v>766.85129245090013</v>
      </c>
      <c r="Q5316" s="29">
        <v>1800</v>
      </c>
      <c r="R5316" s="31">
        <v>46018</v>
      </c>
      <c r="S5316" s="31" t="s">
        <v>3231</v>
      </c>
      <c r="T5316" s="95" t="str">
        <f t="shared" ref="T5316:T5379" si="398">IF(R5316="","",TEXT(R5316,"ГГГГ ММ"))</f>
        <v>2025 12</v>
      </c>
      <c r="U5316" s="32">
        <f t="shared" si="395"/>
        <v>1033.1487075491</v>
      </c>
      <c r="V5316" s="22">
        <f t="shared" si="396"/>
        <v>1.3472608284288057</v>
      </c>
      <c r="X5316" s="33"/>
      <c r="Y5316" s="33"/>
    </row>
    <row r="5317" spans="1:25" x14ac:dyDescent="0.2">
      <c r="A5317" s="93" t="s">
        <v>5051</v>
      </c>
      <c r="B5317" s="94">
        <f>IFERROR(VLOOKUP($A5317,HeadJournal!$A$1:$NTR$890,COLUMN(HeadJournal!B$1),0),"")</f>
        <v>0</v>
      </c>
      <c r="C5317" s="94" t="str">
        <f>IFERROR(VLOOKUP($A5317,HeadJournal!$A$1:$NTR$890,COLUMN(HeadJournal!C$1),0),"")</f>
        <v>iHerb_MH DLE7202</v>
      </c>
      <c r="D5317" s="125" t="str">
        <f>IFERROR(VLOOKUP($A5317,HeadJournal!$A$1:$NTR$890,COLUMN(HeadJournal!D$1),0),"")</f>
        <v>Доставлен</v>
      </c>
      <c r="E5317" s="95">
        <f>IFERROR(VLOOKUP($A5317,HeadJournal!$A$1:$NTR$890,COLUMN(HeadJournal!G$1),0),"")</f>
        <v>45985</v>
      </c>
      <c r="F5317" s="95" t="str">
        <f t="shared" si="397"/>
        <v>2025 11</v>
      </c>
      <c r="G5317" s="97" t="s">
        <v>5</v>
      </c>
      <c r="H5317" s="161" t="s">
        <v>3822</v>
      </c>
      <c r="I5317" s="97" t="s">
        <v>2009</v>
      </c>
      <c r="J5317" s="97" t="s">
        <v>3823</v>
      </c>
      <c r="K5317" s="29">
        <v>11.42</v>
      </c>
      <c r="L5317" s="29">
        <v>-2.2850000000000001</v>
      </c>
      <c r="M5317" s="30">
        <f>IFERROR(VLOOKUP($A5317,HeadJournal!$A$1:$J$890,COLUMN(HeadJournal!I$1),0)*($K5317+$L5317)/(SUMIF($A:$A,$A5317,$K:$K)+SUMIF($A:$A,$A5317,$L:$L)),0)</f>
        <v>-0.88770969721767601</v>
      </c>
      <c r="N5317" s="30">
        <f>IFERROR((VLOOKUP($A5317,HeadJournal!$A$1:$K$890,COLUMN(HeadJournal!K$1),0)-VLOOKUP($A5317,HeadJournal!$A$1:$K$890,COLUMN(HeadJournal!J$1),0))*($K5317+$L5317)/(SUMIF($A:$A,$A5317,$K:$K)+SUMIF($A:$A,$A5317,$L:$L)),0)</f>
        <v>1.3279066880459321E-15</v>
      </c>
      <c r="O5317" s="30">
        <f>IFERROR((VLOOKUP($A5317,HeadJournal!$A$1:$L$890,COLUMN(HeadJournal!L$1),0)*($K5317+$L5317)/(SUMIF($A:$A,$A5317,$K:$K)+SUMIF($A:$A,$A5317,$L:$L)))/VLOOKUP($A5317,HeadJournal!$A$1:$L$890,COLUMN(HeadJournal!H$1),0),0)</f>
        <v>0.19757414747994059</v>
      </c>
      <c r="P5317" s="30">
        <f>IFERROR(SUM(K5317:O5317)*VLOOKUP($A5317,HeadJournal!$A$1:$L$890,COLUMN(HeadJournal!H$1),0),0)</f>
        <v>766.85129245090013</v>
      </c>
      <c r="Q5317" s="29">
        <v>1800</v>
      </c>
      <c r="R5317" s="31">
        <v>46020</v>
      </c>
      <c r="S5317" s="31" t="s">
        <v>3235</v>
      </c>
      <c r="T5317" s="95" t="str">
        <f t="shared" si="398"/>
        <v>2025 12</v>
      </c>
      <c r="U5317" s="32">
        <f t="shared" si="395"/>
        <v>1033.1487075491</v>
      </c>
      <c r="V5317" s="22">
        <f t="shared" si="396"/>
        <v>1.3472608284288057</v>
      </c>
      <c r="X5317" s="33"/>
      <c r="Y5317" s="33"/>
    </row>
    <row r="5318" spans="1:25" x14ac:dyDescent="0.2">
      <c r="A5318" s="93" t="s">
        <v>5051</v>
      </c>
      <c r="B5318" s="94">
        <f>IFERROR(VLOOKUP($A5318,HeadJournal!$A$1:$NTR$890,COLUMN(HeadJournal!B$1),0),"")</f>
        <v>0</v>
      </c>
      <c r="C5318" s="94" t="str">
        <f>IFERROR(VLOOKUP($A5318,HeadJournal!$A$1:$NTR$890,COLUMN(HeadJournal!C$1),0),"")</f>
        <v>iHerb_MH DLE7202</v>
      </c>
      <c r="D5318" s="125" t="str">
        <f>IFERROR(VLOOKUP($A5318,HeadJournal!$A$1:$NTR$890,COLUMN(HeadJournal!D$1),0),"")</f>
        <v>Доставлен</v>
      </c>
      <c r="E5318" s="95">
        <f>IFERROR(VLOOKUP($A5318,HeadJournal!$A$1:$NTR$890,COLUMN(HeadJournal!G$1),0),"")</f>
        <v>45985</v>
      </c>
      <c r="F5318" s="95" t="str">
        <f t="shared" si="397"/>
        <v>2025 11</v>
      </c>
      <c r="G5318" s="97" t="s">
        <v>5</v>
      </c>
      <c r="H5318" s="161" t="s">
        <v>2562</v>
      </c>
      <c r="I5318" s="97" t="s">
        <v>2052</v>
      </c>
      <c r="J5318" s="97" t="s">
        <v>2563</v>
      </c>
      <c r="K5318" s="29">
        <v>91.52</v>
      </c>
      <c r="L5318" s="29">
        <v>-18.3</v>
      </c>
      <c r="M5318" s="30">
        <f>IFERROR(VLOOKUP($A5318,HeadJournal!$A$1:$J$890,COLUMN(HeadJournal!I$1),0)*($K5318+$L5318)/(SUMIF($A:$A,$A5318,$K:$K)+SUMIF($A:$A,$A5318,$L:$L)),0)</f>
        <v>-7.1152823240589207</v>
      </c>
      <c r="N5318" s="30">
        <f>IFERROR((VLOOKUP($A5318,HeadJournal!$A$1:$K$890,COLUMN(HeadJournal!K$1),0)-VLOOKUP($A5318,HeadJournal!$A$1:$K$890,COLUMN(HeadJournal!J$1),0))*($K5318+$L5318)/(SUMIF($A:$A,$A5318,$K:$K)+SUMIF($A:$A,$A5318,$L:$L)),0)</f>
        <v>1.064360456472065E-14</v>
      </c>
      <c r="O5318" s="30">
        <f>IFERROR((VLOOKUP($A5318,HeadJournal!$A$1:$L$890,COLUMN(HeadJournal!L$1),0)*($K5318+$L5318)/(SUMIF($A:$A,$A5318,$K:$K)+SUMIF($A:$A,$A5318,$L:$L)))/VLOOKUP($A5318,HeadJournal!$A$1:$L$890,COLUMN(HeadJournal!H$1),0),0)</f>
        <v>1.5836211361227424</v>
      </c>
      <c r="P5318" s="30">
        <f>IFERROR(SUM(K5318:O5318)*VLOOKUP($A5318,HeadJournal!$A$1:$L$890,COLUMN(HeadJournal!H$1),0),0)</f>
        <v>6146.562849836334</v>
      </c>
      <c r="Q5318" s="29">
        <v>9300</v>
      </c>
      <c r="R5318" s="31">
        <v>46018</v>
      </c>
      <c r="S5318" s="31" t="s">
        <v>3220</v>
      </c>
      <c r="T5318" s="95" t="str">
        <f t="shared" si="398"/>
        <v>2025 12</v>
      </c>
      <c r="U5318" s="32">
        <f t="shared" si="395"/>
        <v>3153.437150163666</v>
      </c>
      <c r="V5318" s="22">
        <f t="shared" si="396"/>
        <v>0.51304073954887375</v>
      </c>
      <c r="X5318" s="33"/>
      <c r="Y5318" s="33"/>
    </row>
    <row r="5319" spans="1:25" x14ac:dyDescent="0.2">
      <c r="A5319" s="93" t="s">
        <v>5051</v>
      </c>
      <c r="B5319" s="94">
        <f>IFERROR(VLOOKUP($A5319,HeadJournal!$A$1:$NTR$890,COLUMN(HeadJournal!B$1),0),"")</f>
        <v>0</v>
      </c>
      <c r="C5319" s="94" t="str">
        <f>IFERROR(VLOOKUP($A5319,HeadJournal!$A$1:$NTR$890,COLUMN(HeadJournal!C$1),0),"")</f>
        <v>iHerb_MH DLE7202</v>
      </c>
      <c r="D5319" s="125" t="str">
        <f>IFERROR(VLOOKUP($A5319,HeadJournal!$A$1:$NTR$890,COLUMN(HeadJournal!D$1),0),"")</f>
        <v>Доставлен</v>
      </c>
      <c r="E5319" s="95">
        <f>IFERROR(VLOOKUP($A5319,HeadJournal!$A$1:$NTR$890,COLUMN(HeadJournal!G$1),0),"")</f>
        <v>45985</v>
      </c>
      <c r="F5319" s="95" t="str">
        <f t="shared" si="397"/>
        <v>2025 11</v>
      </c>
      <c r="G5319" s="97" t="s">
        <v>5</v>
      </c>
      <c r="H5319" s="161" t="s">
        <v>2986</v>
      </c>
      <c r="I5319" s="97" t="s">
        <v>2005</v>
      </c>
      <c r="J5319" s="97" t="s">
        <v>2987</v>
      </c>
      <c r="K5319" s="29">
        <v>9.41</v>
      </c>
      <c r="L5319" s="29">
        <v>-1.88</v>
      </c>
      <c r="M5319" s="30">
        <f>IFERROR(VLOOKUP($A5319,HeadJournal!$A$1:$J$890,COLUMN(HeadJournal!I$1),0)*($K5319+$L5319)/(SUMIF($A:$A,$A5319,$K:$K)+SUMIF($A:$A,$A5319,$L:$L)),0)</f>
        <v>-0.73174099836333883</v>
      </c>
      <c r="N5319" s="30">
        <f>IFERROR((VLOOKUP($A5319,HeadJournal!$A$1:$K$890,COLUMN(HeadJournal!K$1),0)-VLOOKUP($A5319,HeadJournal!$A$1:$K$890,COLUMN(HeadJournal!J$1),0))*($K5319+$L5319)/(SUMIF($A:$A,$A5319,$K:$K)+SUMIF($A:$A,$A5319,$L:$L)),0)</f>
        <v>1.0945963175682396E-15</v>
      </c>
      <c r="O5319" s="30">
        <f>IFERROR((VLOOKUP($A5319,HeadJournal!$A$1:$L$890,COLUMN(HeadJournal!L$1),0)*($K5319+$L5319)/(SUMIF($A:$A,$A5319,$K:$K)+SUMIF($A:$A,$A5319,$L:$L)))/VLOOKUP($A5319,HeadJournal!$A$1:$L$890,COLUMN(HeadJournal!H$1),0),0)</f>
        <v>0.16286079151876875</v>
      </c>
      <c r="P5319" s="30">
        <f>IFERROR(SUM(K5319:O5319)*VLOOKUP($A5319,HeadJournal!$A$1:$L$890,COLUMN(HeadJournal!H$1),0),0)</f>
        <v>632.11715732405889</v>
      </c>
      <c r="Q5319" s="29">
        <v>1500</v>
      </c>
      <c r="R5319" s="31">
        <v>46015</v>
      </c>
      <c r="S5319" s="31" t="s">
        <v>3235</v>
      </c>
      <c r="T5319" s="95" t="str">
        <f t="shared" si="398"/>
        <v>2025 12</v>
      </c>
      <c r="U5319" s="32">
        <f t="shared" si="395"/>
        <v>867.88284267594111</v>
      </c>
      <c r="V5319" s="22">
        <f t="shared" si="396"/>
        <v>1.3729778295370891</v>
      </c>
      <c r="X5319" s="33"/>
      <c r="Y5319" s="33"/>
    </row>
    <row r="5320" spans="1:25" x14ac:dyDescent="0.2">
      <c r="A5320" s="93" t="s">
        <v>5052</v>
      </c>
      <c r="B5320" s="94">
        <f>IFERROR(VLOOKUP($A5320,HeadJournal!$A$1:$NTR$890,COLUMN(HeadJournal!B$1),0),"")</f>
        <v>0</v>
      </c>
      <c r="C5320" s="94" t="str">
        <f>IFERROR(VLOOKUP($A5320,HeadJournal!$A$1:$NTR$890,COLUMN(HeadJournal!C$1),0),"")</f>
        <v>iHerb_MH DLE7202</v>
      </c>
      <c r="D5320" s="125" t="str">
        <f>IFERROR(VLOOKUP($A5320,HeadJournal!$A$1:$NTR$890,COLUMN(HeadJournal!D$1),0),"")</f>
        <v>Доставлен</v>
      </c>
      <c r="E5320" s="95">
        <f>IFERROR(VLOOKUP($A5320,HeadJournal!$A$1:$NTR$890,COLUMN(HeadJournal!G$1),0),"")</f>
        <v>45988</v>
      </c>
      <c r="F5320" s="95" t="str">
        <f t="shared" si="397"/>
        <v>2025 11</v>
      </c>
      <c r="G5320" s="97" t="s">
        <v>5</v>
      </c>
      <c r="H5320" s="161" t="s">
        <v>2081</v>
      </c>
      <c r="I5320" s="97" t="s">
        <v>2005</v>
      </c>
      <c r="J5320" s="97" t="s">
        <v>5044</v>
      </c>
      <c r="K5320" s="29">
        <v>9.41</v>
      </c>
      <c r="L5320" s="29">
        <v>-2.35</v>
      </c>
      <c r="M5320" s="30">
        <f>IFERROR(VLOOKUP($A5320,HeadJournal!$A$1:$J$890,COLUMN(HeadJournal!I$1),0)*($K5320+$L5320)/(SUMIF($A:$A,$A5320,$K:$K)+SUMIF($A:$A,$A5320,$L:$L)),0)</f>
        <v>0</v>
      </c>
      <c r="N5320" s="30">
        <f>IFERROR((VLOOKUP($A5320,HeadJournal!$A$1:$K$890,COLUMN(HeadJournal!K$1),0)-VLOOKUP($A5320,HeadJournal!$A$1:$K$890,COLUMN(HeadJournal!J$1),0))*($K5320+$L5320)/(SUMIF($A:$A,$A5320,$K:$K)+SUMIF($A:$A,$A5320,$L:$L)),0)</f>
        <v>0</v>
      </c>
      <c r="O5320" s="30">
        <f>IFERROR((VLOOKUP($A5320,HeadJournal!$A$1:$L$890,COLUMN(HeadJournal!L$1),0)*($K5320+$L5320)/(SUMIF($A:$A,$A5320,$K:$K)+SUMIF($A:$A,$A5320,$L:$L)))/VLOOKUP($A5320,HeadJournal!$A$1:$L$890,COLUMN(HeadJournal!H$1),0),0)</f>
        <v>0.16369502093103719</v>
      </c>
      <c r="P5320" s="30">
        <f>IFERROR(SUM(K5320:O5320)*VLOOKUP($A5320,HeadJournal!$A$1:$L$890,COLUMN(HeadJournal!H$1),0),0)</f>
        <v>649.59245153933864</v>
      </c>
      <c r="Q5320" s="29">
        <v>1700</v>
      </c>
      <c r="R5320" s="31">
        <v>46037</v>
      </c>
      <c r="S5320" s="31" t="s">
        <v>5091</v>
      </c>
      <c r="T5320" s="95" t="str">
        <f t="shared" si="398"/>
        <v>2026 01</v>
      </c>
      <c r="U5320" s="32">
        <f t="shared" si="395"/>
        <v>1050.4075484606615</v>
      </c>
      <c r="V5320" s="22">
        <f t="shared" si="396"/>
        <v>1.6170254841655127</v>
      </c>
      <c r="X5320" s="33"/>
      <c r="Y5320" s="33"/>
    </row>
    <row r="5321" spans="1:25" x14ac:dyDescent="0.2">
      <c r="A5321" s="93" t="s">
        <v>5052</v>
      </c>
      <c r="B5321" s="94">
        <f>IFERROR(VLOOKUP($A5321,HeadJournal!$A$1:$NTR$890,COLUMN(HeadJournal!B$1),0),"")</f>
        <v>0</v>
      </c>
      <c r="C5321" s="94" t="str">
        <f>IFERROR(VLOOKUP($A5321,HeadJournal!$A$1:$NTR$890,COLUMN(HeadJournal!C$1),0),"")</f>
        <v>iHerb_MH DLE7202</v>
      </c>
      <c r="D5321" s="125" t="str">
        <f>IFERROR(VLOOKUP($A5321,HeadJournal!$A$1:$NTR$890,COLUMN(HeadJournal!D$1),0),"")</f>
        <v>Доставлен</v>
      </c>
      <c r="E5321" s="95">
        <f>IFERROR(VLOOKUP($A5321,HeadJournal!$A$1:$NTR$890,COLUMN(HeadJournal!G$1),0),"")</f>
        <v>45988</v>
      </c>
      <c r="F5321" s="95" t="str">
        <f t="shared" si="397"/>
        <v>2025 11</v>
      </c>
      <c r="G5321" s="97" t="s">
        <v>5</v>
      </c>
      <c r="H5321" s="161" t="s">
        <v>5045</v>
      </c>
      <c r="I5321" s="97" t="s">
        <v>2052</v>
      </c>
      <c r="J5321" s="97" t="s">
        <v>5046</v>
      </c>
      <c r="K5321" s="29">
        <v>11.99</v>
      </c>
      <c r="L5321" s="29">
        <v>-3</v>
      </c>
      <c r="M5321" s="30">
        <f>IFERROR(VLOOKUP($A5321,HeadJournal!$A$1:$J$890,COLUMN(HeadJournal!I$1),0)*($K5321+$L5321)/(SUMIF($A:$A,$A5321,$K:$K)+SUMIF($A:$A,$A5321,$L:$L)),0)</f>
        <v>0</v>
      </c>
      <c r="N5321" s="30">
        <f>IFERROR((VLOOKUP($A5321,HeadJournal!$A$1:$K$890,COLUMN(HeadJournal!K$1),0)-VLOOKUP($A5321,HeadJournal!$A$1:$K$890,COLUMN(HeadJournal!J$1),0))*($K5321+$L5321)/(SUMIF($A:$A,$A5321,$K:$K)+SUMIF($A:$A,$A5321,$L:$L)),0)</f>
        <v>0</v>
      </c>
      <c r="O5321" s="30">
        <f>IFERROR((VLOOKUP($A5321,HeadJournal!$A$1:$L$890,COLUMN(HeadJournal!L$1),0)*($K5321+$L5321)/(SUMIF($A:$A,$A5321,$K:$K)+SUMIF($A:$A,$A5321,$L:$L)))/VLOOKUP($A5321,HeadJournal!$A$1:$L$890,COLUMN(HeadJournal!H$1),0),0)</f>
        <v>0.20844450965581079</v>
      </c>
      <c r="P5321" s="30">
        <f>IFERROR(SUM(K5321:O5321)*VLOOKUP($A5321,HeadJournal!$A$1:$L$890,COLUMN(HeadJournal!H$1),0),0)</f>
        <v>827.17225769669324</v>
      </c>
      <c r="Q5321" s="29"/>
      <c r="R5321" s="31"/>
      <c r="S5321" s="31"/>
      <c r="T5321" s="95" t="str">
        <f t="shared" si="398"/>
        <v/>
      </c>
      <c r="U5321" s="32">
        <f t="shared" si="354"/>
        <v>-827.17225769669324</v>
      </c>
      <c r="V5321" s="22" t="str">
        <f t="shared" si="355"/>
        <v/>
      </c>
      <c r="X5321" s="33"/>
      <c r="Y5321" s="33"/>
    </row>
    <row r="5322" spans="1:25" x14ac:dyDescent="0.2">
      <c r="A5322" s="93" t="s">
        <v>5052</v>
      </c>
      <c r="B5322" s="94">
        <f>IFERROR(VLOOKUP($A5322,HeadJournal!$A$1:$NTR$890,COLUMN(HeadJournal!B$1),0),"")</f>
        <v>0</v>
      </c>
      <c r="C5322" s="94" t="str">
        <f>IFERROR(VLOOKUP($A5322,HeadJournal!$A$1:$NTR$890,COLUMN(HeadJournal!C$1),0),"")</f>
        <v>iHerb_MH DLE7202</v>
      </c>
      <c r="D5322" s="125" t="str">
        <f>IFERROR(VLOOKUP($A5322,HeadJournal!$A$1:$NTR$890,COLUMN(HeadJournal!D$1),0),"")</f>
        <v>Доставлен</v>
      </c>
      <c r="E5322" s="95">
        <f>IFERROR(VLOOKUP($A5322,HeadJournal!$A$1:$NTR$890,COLUMN(HeadJournal!G$1),0),"")</f>
        <v>45988</v>
      </c>
      <c r="F5322" s="95" t="str">
        <f t="shared" si="397"/>
        <v>2025 11</v>
      </c>
      <c r="G5322" s="97" t="s">
        <v>5</v>
      </c>
      <c r="H5322" s="161" t="s">
        <v>5047</v>
      </c>
      <c r="I5322" s="97" t="s">
        <v>2056</v>
      </c>
      <c r="J5322" s="97" t="s">
        <v>5048</v>
      </c>
      <c r="K5322" s="29">
        <v>67.19</v>
      </c>
      <c r="L5322" s="29">
        <v>-16.8</v>
      </c>
      <c r="M5322" s="30">
        <f>IFERROR(VLOOKUP($A5322,HeadJournal!$A$1:$J$890,COLUMN(HeadJournal!I$1),0)*($K5322+$L5322)/(SUMIF($A:$A,$A5322,$K:$K)+SUMIF($A:$A,$A5322,$L:$L)),0)</f>
        <v>0</v>
      </c>
      <c r="N5322" s="30">
        <f>IFERROR((VLOOKUP($A5322,HeadJournal!$A$1:$K$890,COLUMN(HeadJournal!K$1),0)-VLOOKUP($A5322,HeadJournal!$A$1:$K$890,COLUMN(HeadJournal!J$1),0))*($K5322+$L5322)/(SUMIF($A:$A,$A5322,$K:$K)+SUMIF($A:$A,$A5322,$L:$L)),0)</f>
        <v>0</v>
      </c>
      <c r="O5322" s="30">
        <f>IFERROR((VLOOKUP($A5322,HeadJournal!$A$1:$L$890,COLUMN(HeadJournal!L$1),0)*($K5322+$L5322)/(SUMIF($A:$A,$A5322,$K:$K)+SUMIF($A:$A,$A5322,$L:$L)))/VLOOKUP($A5322,HeadJournal!$A$1:$L$890,COLUMN(HeadJournal!H$1),0),0)</f>
        <v>1.1683558221975872</v>
      </c>
      <c r="P5322" s="30">
        <f>IFERROR(SUM(K5322:O5322)*VLOOKUP($A5322,HeadJournal!$A$1:$L$890,COLUMN(HeadJournal!H$1),0),0)</f>
        <v>4636.3971151653368</v>
      </c>
      <c r="Q5322" s="29">
        <v>6600</v>
      </c>
      <c r="R5322" s="31">
        <v>46016</v>
      </c>
      <c r="S5322" s="31"/>
      <c r="T5322" s="95" t="str">
        <f t="shared" si="398"/>
        <v>2025 12</v>
      </c>
      <c r="U5322" s="32">
        <f t="shared" si="354"/>
        <v>1963.6028848346632</v>
      </c>
      <c r="V5322" s="22">
        <f t="shared" si="355"/>
        <v>0.42351913264975793</v>
      </c>
      <c r="X5322" s="33"/>
      <c r="Y5322" s="33"/>
    </row>
    <row r="5323" spans="1:25" x14ac:dyDescent="0.2">
      <c r="A5323" s="93" t="s">
        <v>5052</v>
      </c>
      <c r="B5323" s="94">
        <f>IFERROR(VLOOKUP($A5323,HeadJournal!$A$1:$NTR$890,COLUMN(HeadJournal!B$1),0),"")</f>
        <v>0</v>
      </c>
      <c r="C5323" s="94" t="str">
        <f>IFERROR(VLOOKUP($A5323,HeadJournal!$A$1:$NTR$890,COLUMN(HeadJournal!C$1),0),"")</f>
        <v>iHerb_MH DLE7202</v>
      </c>
      <c r="D5323" s="125" t="str">
        <f>IFERROR(VLOOKUP($A5323,HeadJournal!$A$1:$NTR$890,COLUMN(HeadJournal!D$1),0),"")</f>
        <v>Доставлен</v>
      </c>
      <c r="E5323" s="95">
        <f>IFERROR(VLOOKUP($A5323,HeadJournal!$A$1:$NTR$890,COLUMN(HeadJournal!G$1),0),"")</f>
        <v>45988</v>
      </c>
      <c r="F5323" s="95" t="str">
        <f t="shared" si="397"/>
        <v>2025 11</v>
      </c>
      <c r="G5323" s="97" t="s">
        <v>5</v>
      </c>
      <c r="H5323" s="161" t="s">
        <v>5047</v>
      </c>
      <c r="I5323" s="97" t="s">
        <v>2056</v>
      </c>
      <c r="J5323" s="97" t="s">
        <v>5048</v>
      </c>
      <c r="K5323" s="29">
        <v>67.19</v>
      </c>
      <c r="L5323" s="29">
        <v>-16.8</v>
      </c>
      <c r="M5323" s="30">
        <f>IFERROR(VLOOKUP($A5323,HeadJournal!$A$1:$J$890,COLUMN(HeadJournal!I$1),0)*($K5323+$L5323)/(SUMIF($A:$A,$A5323,$K:$K)+SUMIF($A:$A,$A5323,$L:$L)),0)</f>
        <v>0</v>
      </c>
      <c r="N5323" s="30">
        <f>IFERROR((VLOOKUP($A5323,HeadJournal!$A$1:$K$890,COLUMN(HeadJournal!K$1),0)-VLOOKUP($A5323,HeadJournal!$A$1:$K$890,COLUMN(HeadJournal!J$1),0))*($K5323+$L5323)/(SUMIF($A:$A,$A5323,$K:$K)+SUMIF($A:$A,$A5323,$L:$L)),0)</f>
        <v>0</v>
      </c>
      <c r="O5323" s="30">
        <f>IFERROR((VLOOKUP($A5323,HeadJournal!$A$1:$L$890,COLUMN(HeadJournal!L$1),0)*($K5323+$L5323)/(SUMIF($A:$A,$A5323,$K:$K)+SUMIF($A:$A,$A5323,$L:$L)))/VLOOKUP($A5323,HeadJournal!$A$1:$L$890,COLUMN(HeadJournal!H$1),0),0)</f>
        <v>1.1683558221975872</v>
      </c>
      <c r="P5323" s="30">
        <f>IFERROR(SUM(K5323:O5323)*VLOOKUP($A5323,HeadJournal!$A$1:$L$890,COLUMN(HeadJournal!H$1),0),0)</f>
        <v>4636.3971151653368</v>
      </c>
      <c r="Q5323" s="29">
        <v>6600</v>
      </c>
      <c r="R5323" s="31">
        <v>46021</v>
      </c>
      <c r="S5323" s="31"/>
      <c r="T5323" s="95" t="str">
        <f t="shared" si="398"/>
        <v>2025 12</v>
      </c>
      <c r="U5323" s="32">
        <f t="shared" si="354"/>
        <v>1963.6028848346632</v>
      </c>
      <c r="V5323" s="22">
        <f t="shared" si="355"/>
        <v>0.42351913264975793</v>
      </c>
      <c r="X5323" s="33"/>
      <c r="Y5323" s="33"/>
    </row>
    <row r="5324" spans="1:25" x14ac:dyDescent="0.2">
      <c r="A5324" s="93" t="s">
        <v>5052</v>
      </c>
      <c r="B5324" s="94">
        <f>IFERROR(VLOOKUP($A5324,HeadJournal!$A$1:$NTR$890,COLUMN(HeadJournal!B$1),0),"")</f>
        <v>0</v>
      </c>
      <c r="C5324" s="94" t="str">
        <f>IFERROR(VLOOKUP($A5324,HeadJournal!$A$1:$NTR$890,COLUMN(HeadJournal!C$1),0),"")</f>
        <v>iHerb_MH DLE7202</v>
      </c>
      <c r="D5324" s="125" t="str">
        <f>IFERROR(VLOOKUP($A5324,HeadJournal!$A$1:$NTR$890,COLUMN(HeadJournal!D$1),0),"")</f>
        <v>Доставлен</v>
      </c>
      <c r="E5324" s="95">
        <f>IFERROR(VLOOKUP($A5324,HeadJournal!$A$1:$NTR$890,COLUMN(HeadJournal!G$1),0),"")</f>
        <v>45988</v>
      </c>
      <c r="F5324" s="95" t="str">
        <f t="shared" si="397"/>
        <v>2025 11</v>
      </c>
      <c r="G5324" s="97" t="s">
        <v>5</v>
      </c>
      <c r="H5324" s="161" t="s">
        <v>2546</v>
      </c>
      <c r="I5324" s="97" t="s">
        <v>2039</v>
      </c>
      <c r="J5324" s="97" t="s">
        <v>2547</v>
      </c>
      <c r="K5324" s="29">
        <v>10.36</v>
      </c>
      <c r="L5324" s="29">
        <v>-2.59</v>
      </c>
      <c r="M5324" s="30">
        <f>IFERROR(VLOOKUP($A5324,HeadJournal!$A$1:$J$890,COLUMN(HeadJournal!I$1),0)*($K5324+$L5324)/(SUMIF($A:$A,$A5324,$K:$K)+SUMIF($A:$A,$A5324,$L:$L)),0)</f>
        <v>0</v>
      </c>
      <c r="N5324" s="30">
        <f>IFERROR((VLOOKUP($A5324,HeadJournal!$A$1:$K$890,COLUMN(HeadJournal!K$1),0)-VLOOKUP($A5324,HeadJournal!$A$1:$K$890,COLUMN(HeadJournal!J$1),0))*($K5324+$L5324)/(SUMIF($A:$A,$A5324,$K:$K)+SUMIF($A:$A,$A5324,$L:$L)),0)</f>
        <v>0</v>
      </c>
      <c r="O5324" s="30">
        <f>IFERROR((VLOOKUP($A5324,HeadJournal!$A$1:$L$890,COLUMN(HeadJournal!L$1),0)*($K5324+$L5324)/(SUMIF($A:$A,$A5324,$K:$K)+SUMIF($A:$A,$A5324,$L:$L)))/VLOOKUP($A5324,HeadJournal!$A$1:$L$890,COLUMN(HeadJournal!H$1),0),0)</f>
        <v>0.18015726807849275</v>
      </c>
      <c r="P5324" s="30">
        <f>IFERROR(SUM(K5324:O5324)*VLOOKUP($A5324,HeadJournal!$A$1:$L$890,COLUMN(HeadJournal!H$1),0),0)</f>
        <v>714.91973774230325</v>
      </c>
      <c r="Q5324" s="29">
        <v>1350</v>
      </c>
      <c r="R5324" s="31">
        <v>46015</v>
      </c>
      <c r="S5324" s="31" t="s">
        <v>3466</v>
      </c>
      <c r="T5324" s="95" t="str">
        <f t="shared" si="398"/>
        <v>2025 12</v>
      </c>
      <c r="U5324" s="32">
        <f t="shared" si="354"/>
        <v>635.08026225769675</v>
      </c>
      <c r="V5324" s="22">
        <f t="shared" si="355"/>
        <v>0.88832386172923783</v>
      </c>
      <c r="X5324" s="33"/>
      <c r="Y5324" s="33"/>
    </row>
    <row r="5325" spans="1:25" x14ac:dyDescent="0.2">
      <c r="A5325" s="93" t="s">
        <v>5052</v>
      </c>
      <c r="B5325" s="94">
        <f>IFERROR(VLOOKUP($A5325,HeadJournal!$A$1:$NTR$890,COLUMN(HeadJournal!B$1),0),"")</f>
        <v>0</v>
      </c>
      <c r="C5325" s="94" t="str">
        <f>IFERROR(VLOOKUP($A5325,HeadJournal!$A$1:$NTR$890,COLUMN(HeadJournal!C$1),0),"")</f>
        <v>iHerb_MH DLE7202</v>
      </c>
      <c r="D5325" s="125" t="str">
        <f>IFERROR(VLOOKUP($A5325,HeadJournal!$A$1:$NTR$890,COLUMN(HeadJournal!D$1),0),"")</f>
        <v>Доставлен</v>
      </c>
      <c r="E5325" s="95">
        <f>IFERROR(VLOOKUP($A5325,HeadJournal!$A$1:$NTR$890,COLUMN(HeadJournal!G$1),0),"")</f>
        <v>45988</v>
      </c>
      <c r="F5325" s="95" t="str">
        <f t="shared" si="397"/>
        <v>2025 11</v>
      </c>
      <c r="G5325" s="97" t="s">
        <v>5</v>
      </c>
      <c r="H5325" s="161" t="s">
        <v>2546</v>
      </c>
      <c r="I5325" s="97" t="s">
        <v>2039</v>
      </c>
      <c r="J5325" s="97" t="s">
        <v>2547</v>
      </c>
      <c r="K5325" s="29">
        <v>10.36</v>
      </c>
      <c r="L5325" s="29">
        <v>-2.59</v>
      </c>
      <c r="M5325" s="30">
        <f>IFERROR(VLOOKUP($A5325,HeadJournal!$A$1:$J$890,COLUMN(HeadJournal!I$1),0)*($K5325+$L5325)/(SUMIF($A:$A,$A5325,$K:$K)+SUMIF($A:$A,$A5325,$L:$L)),0)</f>
        <v>0</v>
      </c>
      <c r="N5325" s="30">
        <f>IFERROR((VLOOKUP($A5325,HeadJournal!$A$1:$K$890,COLUMN(HeadJournal!K$1),0)-VLOOKUP($A5325,HeadJournal!$A$1:$K$890,COLUMN(HeadJournal!J$1),0))*($K5325+$L5325)/(SUMIF($A:$A,$A5325,$K:$K)+SUMIF($A:$A,$A5325,$L:$L)),0)</f>
        <v>0</v>
      </c>
      <c r="O5325" s="30">
        <f>IFERROR((VLOOKUP($A5325,HeadJournal!$A$1:$L$890,COLUMN(HeadJournal!L$1),0)*($K5325+$L5325)/(SUMIF($A:$A,$A5325,$K:$K)+SUMIF($A:$A,$A5325,$L:$L)))/VLOOKUP($A5325,HeadJournal!$A$1:$L$890,COLUMN(HeadJournal!H$1),0),0)</f>
        <v>0.18015726807849275</v>
      </c>
      <c r="P5325" s="30">
        <f>IFERROR(SUM(K5325:O5325)*VLOOKUP($A5325,HeadJournal!$A$1:$L$890,COLUMN(HeadJournal!H$1),0),0)</f>
        <v>714.91973774230325</v>
      </c>
      <c r="Q5325" s="29">
        <v>1350</v>
      </c>
      <c r="R5325" s="31">
        <v>46015</v>
      </c>
      <c r="S5325" s="31" t="s">
        <v>3466</v>
      </c>
      <c r="T5325" s="95" t="str">
        <f t="shared" si="398"/>
        <v>2025 12</v>
      </c>
      <c r="U5325" s="32">
        <f t="shared" si="354"/>
        <v>635.08026225769675</v>
      </c>
      <c r="V5325" s="22">
        <f t="shared" si="355"/>
        <v>0.88832386172923783</v>
      </c>
      <c r="X5325" s="33"/>
      <c r="Y5325" s="33"/>
    </row>
    <row r="5326" spans="1:25" x14ac:dyDescent="0.2">
      <c r="A5326" s="93" t="s">
        <v>5052</v>
      </c>
      <c r="B5326" s="94">
        <f>IFERROR(VLOOKUP($A5326,HeadJournal!$A$1:$NTR$890,COLUMN(HeadJournal!B$1),0),"")</f>
        <v>0</v>
      </c>
      <c r="C5326" s="94" t="str">
        <f>IFERROR(VLOOKUP($A5326,HeadJournal!$A$1:$NTR$890,COLUMN(HeadJournal!C$1),0),"")</f>
        <v>iHerb_MH DLE7202</v>
      </c>
      <c r="D5326" s="125" t="str">
        <f>IFERROR(VLOOKUP($A5326,HeadJournal!$A$1:$NTR$890,COLUMN(HeadJournal!D$1),0),"")</f>
        <v>Доставлен</v>
      </c>
      <c r="E5326" s="95">
        <f>IFERROR(VLOOKUP($A5326,HeadJournal!$A$1:$NTR$890,COLUMN(HeadJournal!G$1),0),"")</f>
        <v>45988</v>
      </c>
      <c r="F5326" s="95" t="str">
        <f t="shared" si="397"/>
        <v>2025 11</v>
      </c>
      <c r="G5326" s="97" t="s">
        <v>5</v>
      </c>
      <c r="H5326" s="161" t="s">
        <v>5049</v>
      </c>
      <c r="I5326" s="97" t="s">
        <v>2657</v>
      </c>
      <c r="J5326" s="97" t="s">
        <v>5050</v>
      </c>
      <c r="K5326" s="29">
        <v>20.65</v>
      </c>
      <c r="L5326" s="29">
        <v>-5.16</v>
      </c>
      <c r="M5326" s="30">
        <f>IFERROR(VLOOKUP($A5326,HeadJournal!$A$1:$J$890,COLUMN(HeadJournal!I$1),0)*($K5326+$L5326)/(SUMIF($A:$A,$A5326,$K:$K)+SUMIF($A:$A,$A5326,$L:$L)),0)</f>
        <v>0</v>
      </c>
      <c r="N5326" s="30">
        <f>IFERROR((VLOOKUP($A5326,HeadJournal!$A$1:$K$890,COLUMN(HeadJournal!K$1),0)-VLOOKUP($A5326,HeadJournal!$A$1:$K$890,COLUMN(HeadJournal!J$1),0))*($K5326+$L5326)/(SUMIF($A:$A,$A5326,$K:$K)+SUMIF($A:$A,$A5326,$L:$L)),0)</f>
        <v>0</v>
      </c>
      <c r="O5326" s="30">
        <f>IFERROR((VLOOKUP($A5326,HeadJournal!$A$1:$L$890,COLUMN(HeadJournal!L$1),0)*($K5326+$L5326)/(SUMIF($A:$A,$A5326,$K:$K)+SUMIF($A:$A,$A5326,$L:$L)))/VLOOKUP($A5326,HeadJournal!$A$1:$L$890,COLUMN(HeadJournal!H$1),0),0)</f>
        <v>0.35915522297758723</v>
      </c>
      <c r="P5326" s="30">
        <f>IFERROR(SUM(K5326:O5326)*VLOOKUP($A5326,HeadJournal!$A$1:$L$890,COLUMN(HeadJournal!H$1),0),0)</f>
        <v>1425.2389623717215</v>
      </c>
      <c r="Q5326" s="29">
        <v>2400</v>
      </c>
      <c r="R5326" s="31">
        <v>46016</v>
      </c>
      <c r="S5326" s="31" t="s">
        <v>4996</v>
      </c>
      <c r="T5326" s="95" t="str">
        <f t="shared" si="398"/>
        <v>2025 12</v>
      </c>
      <c r="U5326" s="32">
        <f t="shared" ref="U5326:U5330" si="399">Q5326-P5326</f>
        <v>974.76103762827847</v>
      </c>
      <c r="V5326" s="22">
        <f t="shared" ref="V5326:V5330" si="400">IF(Q5326&lt;&gt;0,IFERROR(U5326/P5326,""),"")</f>
        <v>0.68392814353474551</v>
      </c>
      <c r="X5326" s="33"/>
      <c r="Y5326" s="33"/>
    </row>
    <row r="5327" spans="1:25" x14ac:dyDescent="0.2">
      <c r="A5327" s="93" t="s">
        <v>5052</v>
      </c>
      <c r="B5327" s="94">
        <f>IFERROR(VLOOKUP($A5327,HeadJournal!$A$1:$NTR$890,COLUMN(HeadJournal!B$1),0),"")</f>
        <v>0</v>
      </c>
      <c r="C5327" s="94" t="str">
        <f>IFERROR(VLOOKUP($A5327,HeadJournal!$A$1:$NTR$890,COLUMN(HeadJournal!C$1),0),"")</f>
        <v>iHerb_MH DLE7202</v>
      </c>
      <c r="D5327" s="125" t="str">
        <f>IFERROR(VLOOKUP($A5327,HeadJournal!$A$1:$NTR$890,COLUMN(HeadJournal!D$1),0),"")</f>
        <v>Доставлен</v>
      </c>
      <c r="E5327" s="95">
        <f>IFERROR(VLOOKUP($A5327,HeadJournal!$A$1:$NTR$890,COLUMN(HeadJournal!G$1),0),"")</f>
        <v>45988</v>
      </c>
      <c r="F5327" s="95" t="str">
        <f t="shared" si="397"/>
        <v>2025 11</v>
      </c>
      <c r="G5327" s="97" t="s">
        <v>5</v>
      </c>
      <c r="H5327" s="161" t="s">
        <v>4093</v>
      </c>
      <c r="I5327" s="97" t="s">
        <v>2657</v>
      </c>
      <c r="J5327" s="97" t="s">
        <v>4094</v>
      </c>
      <c r="K5327" s="29">
        <v>12.92</v>
      </c>
      <c r="L5327" s="29">
        <v>-3.23</v>
      </c>
      <c r="M5327" s="30">
        <f>IFERROR(VLOOKUP($A5327,HeadJournal!$A$1:$J$890,COLUMN(HeadJournal!I$1),0)*($K5327+$L5327)/(SUMIF($A:$A,$A5327,$K:$K)+SUMIF($A:$A,$A5327,$L:$L)),0)</f>
        <v>0</v>
      </c>
      <c r="N5327" s="30">
        <f>IFERROR((VLOOKUP($A5327,HeadJournal!$A$1:$K$890,COLUMN(HeadJournal!K$1),0)-VLOOKUP($A5327,HeadJournal!$A$1:$K$890,COLUMN(HeadJournal!J$1),0))*($K5327+$L5327)/(SUMIF($A:$A,$A5327,$K:$K)+SUMIF($A:$A,$A5327,$L:$L)),0)</f>
        <v>0</v>
      </c>
      <c r="O5327" s="30">
        <f>IFERROR((VLOOKUP($A5327,HeadJournal!$A$1:$L$890,COLUMN(HeadJournal!L$1),0)*($K5327+$L5327)/(SUMIF($A:$A,$A5327,$K:$K)+SUMIF($A:$A,$A5327,$L:$L)))/VLOOKUP($A5327,HeadJournal!$A$1:$L$890,COLUMN(HeadJournal!H$1),0),0)</f>
        <v>0.22467489416738673</v>
      </c>
      <c r="P5327" s="30">
        <f>IFERROR(SUM(K5327:O5327)*VLOOKUP($A5327,HeadJournal!$A$1:$L$890,COLUMN(HeadJournal!H$1),0),0)</f>
        <v>891.57944127708095</v>
      </c>
      <c r="Q5327" s="29">
        <v>1800</v>
      </c>
      <c r="R5327" s="31">
        <v>46038</v>
      </c>
      <c r="S5327" s="31"/>
      <c r="T5327" s="95" t="str">
        <f t="shared" si="398"/>
        <v>2026 01</v>
      </c>
      <c r="U5327" s="32">
        <f t="shared" si="399"/>
        <v>908.42055872291905</v>
      </c>
      <c r="V5327" s="22">
        <f t="shared" si="400"/>
        <v>1.0188890823028796</v>
      </c>
      <c r="X5327" s="33"/>
      <c r="Y5327" s="33"/>
    </row>
    <row r="5328" spans="1:25" x14ac:dyDescent="0.2">
      <c r="A5328" s="93" t="s">
        <v>5052</v>
      </c>
      <c r="B5328" s="94">
        <f>IFERROR(VLOOKUP($A5328,HeadJournal!$A$1:$NTR$890,COLUMN(HeadJournal!B$1),0),"")</f>
        <v>0</v>
      </c>
      <c r="C5328" s="94" t="str">
        <f>IFERROR(VLOOKUP($A5328,HeadJournal!$A$1:$NTR$890,COLUMN(HeadJournal!C$1),0),"")</f>
        <v>iHerb_MH DLE7202</v>
      </c>
      <c r="D5328" s="125" t="str">
        <f>IFERROR(VLOOKUP($A5328,HeadJournal!$A$1:$NTR$890,COLUMN(HeadJournal!D$1),0),"")</f>
        <v>Доставлен</v>
      </c>
      <c r="E5328" s="95">
        <f>IFERROR(VLOOKUP($A5328,HeadJournal!$A$1:$NTR$890,COLUMN(HeadJournal!G$1),0),"")</f>
        <v>45988</v>
      </c>
      <c r="F5328" s="95" t="str">
        <f t="shared" si="397"/>
        <v>2025 11</v>
      </c>
      <c r="G5328" s="97" t="s">
        <v>5</v>
      </c>
      <c r="H5328" s="161" t="s">
        <v>2071</v>
      </c>
      <c r="I5328" s="97" t="s">
        <v>2005</v>
      </c>
      <c r="J5328" s="97" t="s">
        <v>2072</v>
      </c>
      <c r="K5328" s="29">
        <v>21.74</v>
      </c>
      <c r="L5328" s="29">
        <v>-5.44</v>
      </c>
      <c r="M5328" s="30">
        <f>IFERROR(VLOOKUP($A5328,HeadJournal!$A$1:$J$890,COLUMN(HeadJournal!I$1),0)*($K5328+$L5328)/(SUMIF($A:$A,$A5328,$K:$K)+SUMIF($A:$A,$A5328,$L:$L)),0)</f>
        <v>0</v>
      </c>
      <c r="N5328" s="30">
        <f>IFERROR((VLOOKUP($A5328,HeadJournal!$A$1:$K$890,COLUMN(HeadJournal!K$1),0)-VLOOKUP($A5328,HeadJournal!$A$1:$K$890,COLUMN(HeadJournal!J$1),0))*($K5328+$L5328)/(SUMIF($A:$A,$A5328,$K:$K)+SUMIF($A:$A,$A5328,$L:$L)),0)</f>
        <v>0</v>
      </c>
      <c r="O5328" s="30">
        <f>IFERROR((VLOOKUP($A5328,HeadJournal!$A$1:$L$890,COLUMN(HeadJournal!L$1),0)*($K5328+$L5328)/(SUMIF($A:$A,$A5328,$K:$K)+SUMIF($A:$A,$A5328,$L:$L)))/VLOOKUP($A5328,HeadJournal!$A$1:$L$890,COLUMN(HeadJournal!H$1),0),0)</f>
        <v>0.37793609648383936</v>
      </c>
      <c r="P5328" s="30">
        <f>IFERROR(SUM(K5328:O5328)*VLOOKUP($A5328,HeadJournal!$A$1:$L$890,COLUMN(HeadJournal!H$1),0),0)</f>
        <v>1499.7672748004559</v>
      </c>
      <c r="Q5328" s="29">
        <v>3100</v>
      </c>
      <c r="R5328" s="31">
        <v>46016</v>
      </c>
      <c r="S5328" s="31" t="s">
        <v>4610</v>
      </c>
      <c r="T5328" s="95" t="str">
        <f t="shared" si="398"/>
        <v>2025 12</v>
      </c>
      <c r="U5328" s="32">
        <f t="shared" si="399"/>
        <v>1600.2327251995441</v>
      </c>
      <c r="V5328" s="22">
        <f t="shared" si="400"/>
        <v>1.0669873600305455</v>
      </c>
      <c r="X5328" s="33"/>
      <c r="Y5328" s="33"/>
    </row>
    <row r="5329" spans="1:25" x14ac:dyDescent="0.2">
      <c r="A5329" s="93" t="s">
        <v>5052</v>
      </c>
      <c r="B5329" s="94">
        <f>IFERROR(VLOOKUP($A5329,HeadJournal!$A$1:$NTR$890,COLUMN(HeadJournal!B$1),0),"")</f>
        <v>0</v>
      </c>
      <c r="C5329" s="94" t="str">
        <f>IFERROR(VLOOKUP($A5329,HeadJournal!$A$1:$NTR$890,COLUMN(HeadJournal!C$1),0),"")</f>
        <v>iHerb_MH DLE7202</v>
      </c>
      <c r="D5329" s="125" t="str">
        <f>IFERROR(VLOOKUP($A5329,HeadJournal!$A$1:$NTR$890,COLUMN(HeadJournal!D$1),0),"")</f>
        <v>Доставлен</v>
      </c>
      <c r="E5329" s="95">
        <f>IFERROR(VLOOKUP($A5329,HeadJournal!$A$1:$NTR$890,COLUMN(HeadJournal!G$1),0),"")</f>
        <v>45988</v>
      </c>
      <c r="F5329" s="95" t="str">
        <f t="shared" si="397"/>
        <v>2025 11</v>
      </c>
      <c r="G5329" s="97" t="s">
        <v>5</v>
      </c>
      <c r="H5329" s="161" t="s">
        <v>2120</v>
      </c>
      <c r="I5329" s="97" t="s">
        <v>2005</v>
      </c>
      <c r="J5329" s="97" t="s">
        <v>2121</v>
      </c>
      <c r="K5329" s="29">
        <v>13.76</v>
      </c>
      <c r="L5329" s="29">
        <v>-3.44</v>
      </c>
      <c r="M5329" s="30">
        <f>IFERROR(VLOOKUP($A5329,HeadJournal!$A$1:$J$890,COLUMN(HeadJournal!I$1),0)*($K5329+$L5329)/(SUMIF($A:$A,$A5329,$K:$K)+SUMIF($A:$A,$A5329,$L:$L)),0)</f>
        <v>0</v>
      </c>
      <c r="N5329" s="30">
        <f>IFERROR((VLOOKUP($A5329,HeadJournal!$A$1:$K$890,COLUMN(HeadJournal!K$1),0)-VLOOKUP($A5329,HeadJournal!$A$1:$K$890,COLUMN(HeadJournal!J$1),0))*($K5329+$L5329)/(SUMIF($A:$A,$A5329,$K:$K)+SUMIF($A:$A,$A5329,$L:$L)),0)</f>
        <v>0</v>
      </c>
      <c r="O5329" s="30">
        <f>IFERROR((VLOOKUP($A5329,HeadJournal!$A$1:$L$890,COLUMN(HeadJournal!L$1),0)*($K5329+$L5329)/(SUMIF($A:$A,$A5329,$K:$K)+SUMIF($A:$A,$A5329,$L:$L)))/VLOOKUP($A5329,HeadJournal!$A$1:$L$890,COLUMN(HeadJournal!H$1),0),0)</f>
        <v>0.23928224022780506</v>
      </c>
      <c r="P5329" s="30">
        <f>IFERROR(SUM(K5329:O5329)*VLOOKUP($A5329,HeadJournal!$A$1:$L$890,COLUMN(HeadJournal!H$1),0),0)</f>
        <v>949.54590649942986</v>
      </c>
      <c r="Q5329" s="29">
        <v>2200</v>
      </c>
      <c r="R5329" s="31">
        <v>46088</v>
      </c>
      <c r="S5329" s="31"/>
      <c r="T5329" s="95" t="str">
        <f t="shared" si="398"/>
        <v>2026 03</v>
      </c>
      <c r="U5329" s="32">
        <f t="shared" si="399"/>
        <v>1250.4540935005703</v>
      </c>
      <c r="V5329" s="22">
        <f t="shared" si="400"/>
        <v>1.3168969345678718</v>
      </c>
      <c r="X5329" s="33"/>
      <c r="Y5329" s="33"/>
    </row>
    <row r="5330" spans="1:25" x14ac:dyDescent="0.2">
      <c r="A5330" s="93" t="s">
        <v>5063</v>
      </c>
      <c r="B5330" s="94">
        <f>IFERROR(VLOOKUP($A5330,HeadJournal!$A$1:$NTR$890,COLUMN(HeadJournal!B$1),0),"")</f>
        <v>0</v>
      </c>
      <c r="C5330" s="94" t="str">
        <f>IFERROR(VLOOKUP($A5330,HeadJournal!$A$1:$NTR$890,COLUMN(HeadJournal!C$1),0),"")</f>
        <v>iHerb_OA CZN6870</v>
      </c>
      <c r="D5330" s="125" t="str">
        <f>IFERROR(VLOOKUP($A5330,HeadJournal!$A$1:$NTR$890,COLUMN(HeadJournal!D$1),0),"")</f>
        <v>Доставлен</v>
      </c>
      <c r="E5330" s="95">
        <f>IFERROR(VLOOKUP($A5330,HeadJournal!$A$1:$NTR$890,COLUMN(HeadJournal!G$1),0),"")</f>
        <v>45985</v>
      </c>
      <c r="F5330" s="95" t="str">
        <f t="shared" si="397"/>
        <v>2025 11</v>
      </c>
      <c r="G5330" s="97" t="s">
        <v>5</v>
      </c>
      <c r="H5330" s="161" t="s">
        <v>5053</v>
      </c>
      <c r="I5330" s="97" t="s">
        <v>2039</v>
      </c>
      <c r="J5330" s="97" t="s">
        <v>5054</v>
      </c>
      <c r="K5330" s="29">
        <v>25.2</v>
      </c>
      <c r="L5330" s="29">
        <v>-5.04</v>
      </c>
      <c r="M5330" s="30">
        <f>IFERROR(VLOOKUP($A5330,HeadJournal!$A$1:$J$890,COLUMN(HeadJournal!I$1),0)*($K5330+$L5330)/(SUMIF($A:$A,$A5330,$K:$K)+SUMIF($A:$A,$A5330,$L:$L)),0)</f>
        <v>0</v>
      </c>
      <c r="N5330" s="30">
        <f>IFERROR((VLOOKUP($A5330,HeadJournal!$A$1:$K$890,COLUMN(HeadJournal!K$1),0)-VLOOKUP($A5330,HeadJournal!$A$1:$K$890,COLUMN(HeadJournal!J$1),0))*($K5330+$L5330)/(SUMIF($A:$A,$A5330,$K:$K)+SUMIF($A:$A,$A5330,$L:$L)),0)</f>
        <v>-3.4273337846449614E-15</v>
      </c>
      <c r="O5330" s="30">
        <f>IFERROR((VLOOKUP($A5330,HeadJournal!$A$1:$L$890,COLUMN(HeadJournal!L$1),0)*($K5330+$L5330)/(SUMIF($A:$A,$A5330,$K:$K)+SUMIF($A:$A,$A5330,$L:$L)))/VLOOKUP($A5330,HeadJournal!$A$1:$L$890,COLUMN(HeadJournal!H$1),0),0)</f>
        <v>0.51498226502151334</v>
      </c>
      <c r="P5330" s="30">
        <f>IFERROR(SUM(K5330:O5330)*VLOOKUP($A5330,HeadJournal!$A$1:$L$890,COLUMN(HeadJournal!H$1),0),0)</f>
        <v>1859.0467185069981</v>
      </c>
      <c r="Q5330" s="29">
        <v>2800</v>
      </c>
      <c r="R5330" s="31">
        <v>46015</v>
      </c>
      <c r="S5330" s="31" t="s">
        <v>3475</v>
      </c>
      <c r="T5330" s="95" t="str">
        <f t="shared" si="398"/>
        <v>2025 12</v>
      </c>
      <c r="U5330" s="32">
        <f t="shared" si="399"/>
        <v>940.9532814930019</v>
      </c>
      <c r="V5330" s="22">
        <f t="shared" si="400"/>
        <v>0.5061482705763749</v>
      </c>
      <c r="X5330" s="33"/>
      <c r="Y5330" s="33"/>
    </row>
    <row r="5331" spans="1:25" x14ac:dyDescent="0.2">
      <c r="A5331" s="93" t="s">
        <v>5063</v>
      </c>
      <c r="B5331" s="94">
        <f>IFERROR(VLOOKUP($A5331,HeadJournal!$A$1:$NTR$890,COLUMN(HeadJournal!B$1),0),"")</f>
        <v>0</v>
      </c>
      <c r="C5331" s="94" t="str">
        <f>IFERROR(VLOOKUP($A5331,HeadJournal!$A$1:$NTR$890,COLUMN(HeadJournal!C$1),0),"")</f>
        <v>iHerb_OA CZN6870</v>
      </c>
      <c r="D5331" s="125" t="str">
        <f>IFERROR(VLOOKUP($A5331,HeadJournal!$A$1:$NTR$890,COLUMN(HeadJournal!D$1),0),"")</f>
        <v>Доставлен</v>
      </c>
      <c r="E5331" s="95">
        <f>IFERROR(VLOOKUP($A5331,HeadJournal!$A$1:$NTR$890,COLUMN(HeadJournal!G$1),0),"")</f>
        <v>45985</v>
      </c>
      <c r="F5331" s="95" t="str">
        <f t="shared" si="397"/>
        <v>2025 11</v>
      </c>
      <c r="G5331" s="97" t="s">
        <v>5</v>
      </c>
      <c r="H5331" s="161" t="s">
        <v>5055</v>
      </c>
      <c r="I5331" s="97" t="s">
        <v>2460</v>
      </c>
      <c r="J5331" s="97" t="s">
        <v>5056</v>
      </c>
      <c r="K5331" s="29">
        <v>39.770000000000003</v>
      </c>
      <c r="L5331" s="29">
        <v>-7.95</v>
      </c>
      <c r="M5331" s="30">
        <f>IFERROR(VLOOKUP($A5331,HeadJournal!$A$1:$J$890,COLUMN(HeadJournal!I$1),0)*($K5331+$L5331)/(SUMIF($A:$A,$A5331,$K:$K)+SUMIF($A:$A,$A5331,$L:$L)),0)</f>
        <v>0</v>
      </c>
      <c r="N5331" s="30">
        <f>IFERROR((VLOOKUP($A5331,HeadJournal!$A$1:$K$890,COLUMN(HeadJournal!K$1),0)-VLOOKUP($A5331,HeadJournal!$A$1:$K$890,COLUMN(HeadJournal!J$1),0))*($K5331+$L5331)/(SUMIF($A:$A,$A5331,$K:$K)+SUMIF($A:$A,$A5331,$L:$L)),0)</f>
        <v>-5.4096111620735459E-15</v>
      </c>
      <c r="O5331" s="30">
        <f>IFERROR((VLOOKUP($A5331,HeadJournal!$A$1:$L$890,COLUMN(HeadJournal!L$1),0)*($K5331+$L5331)/(SUMIF($A:$A,$A5331,$K:$K)+SUMIF($A:$A,$A5331,$L:$L)))/VLOOKUP($A5331,HeadJournal!$A$1:$L$890,COLUMN(HeadJournal!H$1),0),0)</f>
        <v>0.81283411076312284</v>
      </c>
      <c r="P5331" s="30">
        <f>IFERROR(SUM(K5331:O5331)*VLOOKUP($A5331,HeadJournal!$A$1:$L$890,COLUMN(HeadJournal!H$1),0),0)</f>
        <v>2934.2691757387247</v>
      </c>
      <c r="Q5331" s="29">
        <v>4100</v>
      </c>
      <c r="R5331" s="31">
        <v>46015</v>
      </c>
      <c r="S5331" s="31" t="s">
        <v>3475</v>
      </c>
      <c r="T5331" s="95" t="str">
        <f t="shared" si="398"/>
        <v>2025 12</v>
      </c>
      <c r="U5331" s="32">
        <f t="shared" ref="U5331:U5650" si="401">Q5331-P5331</f>
        <v>1165.7308242612753</v>
      </c>
      <c r="V5331" s="22">
        <f t="shared" ref="V5331:V5650" si="402">IF(Q5331&lt;&gt;0,IFERROR(U5331/P5331,""),"")</f>
        <v>0.39728148797657381</v>
      </c>
      <c r="X5331" s="33"/>
      <c r="Y5331" s="33"/>
    </row>
    <row r="5332" spans="1:25" x14ac:dyDescent="0.2">
      <c r="A5332" s="93" t="s">
        <v>5063</v>
      </c>
      <c r="B5332" s="94">
        <f>IFERROR(VLOOKUP($A5332,HeadJournal!$A$1:$NTR$890,COLUMN(HeadJournal!B$1),0),"")</f>
        <v>0</v>
      </c>
      <c r="C5332" s="94" t="str">
        <f>IFERROR(VLOOKUP($A5332,HeadJournal!$A$1:$NTR$890,COLUMN(HeadJournal!C$1),0),"")</f>
        <v>iHerb_OA CZN6870</v>
      </c>
      <c r="D5332" s="125" t="str">
        <f>IFERROR(VLOOKUP($A5332,HeadJournal!$A$1:$NTR$890,COLUMN(HeadJournal!D$1),0),"")</f>
        <v>Доставлен</v>
      </c>
      <c r="E5332" s="95">
        <f>IFERROR(VLOOKUP($A5332,HeadJournal!$A$1:$NTR$890,COLUMN(HeadJournal!G$1),0),"")</f>
        <v>45985</v>
      </c>
      <c r="F5332" s="95" t="str">
        <f t="shared" si="397"/>
        <v>2025 11</v>
      </c>
      <c r="G5332" s="97" t="s">
        <v>5</v>
      </c>
      <c r="H5332" s="161" t="s">
        <v>4200</v>
      </c>
      <c r="I5332" s="97" t="s">
        <v>2460</v>
      </c>
      <c r="J5332" s="97" t="s">
        <v>4201</v>
      </c>
      <c r="K5332" s="29">
        <v>44.02</v>
      </c>
      <c r="L5332" s="29">
        <v>-8.8000000000000007</v>
      </c>
      <c r="M5332" s="30">
        <f>IFERROR(VLOOKUP($A5332,HeadJournal!$A$1:$J$890,COLUMN(HeadJournal!I$1),0)*($K5332+$L5332)/(SUMIF($A:$A,$A5332,$K:$K)+SUMIF($A:$A,$A5332,$L:$L)),0)</f>
        <v>0</v>
      </c>
      <c r="N5332" s="30">
        <f>IFERROR((VLOOKUP($A5332,HeadJournal!$A$1:$K$890,COLUMN(HeadJournal!K$1),0)-VLOOKUP($A5332,HeadJournal!$A$1:$K$890,COLUMN(HeadJournal!J$1),0))*($K5332+$L5332)/(SUMIF($A:$A,$A5332,$K:$K)+SUMIF($A:$A,$A5332,$L:$L)),0)</f>
        <v>-5.9876337249600962E-15</v>
      </c>
      <c r="O5332" s="30">
        <f>IFERROR((VLOOKUP($A5332,HeadJournal!$A$1:$L$890,COLUMN(HeadJournal!L$1),0)*($K5332+$L5332)/(SUMIF($A:$A,$A5332,$K:$K)+SUMIF($A:$A,$A5332,$L:$L)))/VLOOKUP($A5332,HeadJournal!$A$1:$L$890,COLUMN(HeadJournal!H$1),0),0)</f>
        <v>0.89968627847508431</v>
      </c>
      <c r="P5332" s="30">
        <f>IFERROR(SUM(K5332:O5332)*VLOOKUP($A5332,HeadJournal!$A$1:$L$890,COLUMN(HeadJournal!H$1),0),0)</f>
        <v>3247.798880248833</v>
      </c>
      <c r="Q5332" s="29">
        <v>4450</v>
      </c>
      <c r="R5332" s="31">
        <v>46015</v>
      </c>
      <c r="S5332" s="31" t="s">
        <v>3475</v>
      </c>
      <c r="T5332" s="95" t="str">
        <f t="shared" si="398"/>
        <v>2025 12</v>
      </c>
      <c r="U5332" s="32">
        <f t="shared" si="401"/>
        <v>1202.201119751167</v>
      </c>
      <c r="V5332" s="22">
        <f t="shared" si="402"/>
        <v>0.37015873336930866</v>
      </c>
      <c r="X5332" s="33"/>
      <c r="Y5332" s="33"/>
    </row>
    <row r="5333" spans="1:25" x14ac:dyDescent="0.2">
      <c r="A5333" s="93" t="s">
        <v>5063</v>
      </c>
      <c r="B5333" s="94">
        <f>IFERROR(VLOOKUP($A5333,HeadJournal!$A$1:$NTR$890,COLUMN(HeadJournal!B$1),0),"")</f>
        <v>0</v>
      </c>
      <c r="C5333" s="94" t="str">
        <f>IFERROR(VLOOKUP($A5333,HeadJournal!$A$1:$NTR$890,COLUMN(HeadJournal!C$1),0),"")</f>
        <v>iHerb_OA CZN6870</v>
      </c>
      <c r="D5333" s="125" t="str">
        <f>IFERROR(VLOOKUP($A5333,HeadJournal!$A$1:$NTR$890,COLUMN(HeadJournal!D$1),0),"")</f>
        <v>Доставлен</v>
      </c>
      <c r="E5333" s="95">
        <f>IFERROR(VLOOKUP($A5333,HeadJournal!$A$1:$NTR$890,COLUMN(HeadJournal!G$1),0),"")</f>
        <v>45985</v>
      </c>
      <c r="F5333" s="95" t="str">
        <f t="shared" si="397"/>
        <v>2025 11</v>
      </c>
      <c r="G5333" s="97" t="s">
        <v>5</v>
      </c>
      <c r="H5333" s="161" t="s">
        <v>5057</v>
      </c>
      <c r="I5333" s="97" t="s">
        <v>2460</v>
      </c>
      <c r="J5333" s="97" t="s">
        <v>5058</v>
      </c>
      <c r="K5333" s="29">
        <v>39.770000000000003</v>
      </c>
      <c r="L5333" s="29">
        <v>-7.95</v>
      </c>
      <c r="M5333" s="30">
        <f>IFERROR(VLOOKUP($A5333,HeadJournal!$A$1:$J$890,COLUMN(HeadJournal!I$1),0)*($K5333+$L5333)/(SUMIF($A:$A,$A5333,$K:$K)+SUMIF($A:$A,$A5333,$L:$L)),0)</f>
        <v>0</v>
      </c>
      <c r="N5333" s="30">
        <f>IFERROR((VLOOKUP($A5333,HeadJournal!$A$1:$K$890,COLUMN(HeadJournal!K$1),0)-VLOOKUP($A5333,HeadJournal!$A$1:$K$890,COLUMN(HeadJournal!J$1),0))*($K5333+$L5333)/(SUMIF($A:$A,$A5333,$K:$K)+SUMIF($A:$A,$A5333,$L:$L)),0)</f>
        <v>-5.4096111620735459E-15</v>
      </c>
      <c r="O5333" s="30">
        <f>IFERROR((VLOOKUP($A5333,HeadJournal!$A$1:$L$890,COLUMN(HeadJournal!L$1),0)*($K5333+$L5333)/(SUMIF($A:$A,$A5333,$K:$K)+SUMIF($A:$A,$A5333,$L:$L)))/VLOOKUP($A5333,HeadJournal!$A$1:$L$890,COLUMN(HeadJournal!H$1),0),0)</f>
        <v>0.81283411076312284</v>
      </c>
      <c r="P5333" s="30">
        <f>IFERROR(SUM(K5333:O5333)*VLOOKUP($A5333,HeadJournal!$A$1:$L$890,COLUMN(HeadJournal!H$1),0),0)</f>
        <v>2934.2691757387247</v>
      </c>
      <c r="Q5333" s="29">
        <v>4100</v>
      </c>
      <c r="R5333" s="31">
        <v>46015</v>
      </c>
      <c r="S5333" s="31" t="s">
        <v>3475</v>
      </c>
      <c r="T5333" s="95" t="str">
        <f t="shared" si="398"/>
        <v>2025 12</v>
      </c>
      <c r="U5333" s="32">
        <f t="shared" si="401"/>
        <v>1165.7308242612753</v>
      </c>
      <c r="V5333" s="22">
        <f t="shared" si="402"/>
        <v>0.39728148797657381</v>
      </c>
      <c r="X5333" s="33"/>
      <c r="Y5333" s="33"/>
    </row>
    <row r="5334" spans="1:25" x14ac:dyDescent="0.2">
      <c r="A5334" s="93" t="s">
        <v>5063</v>
      </c>
      <c r="B5334" s="94">
        <f>IFERROR(VLOOKUP($A5334,HeadJournal!$A$1:$NTR$890,COLUMN(HeadJournal!B$1),0),"")</f>
        <v>0</v>
      </c>
      <c r="C5334" s="94" t="str">
        <f>IFERROR(VLOOKUP($A5334,HeadJournal!$A$1:$NTR$890,COLUMN(HeadJournal!C$1),0),"")</f>
        <v>iHerb_OA CZN6870</v>
      </c>
      <c r="D5334" s="125" t="str">
        <f>IFERROR(VLOOKUP($A5334,HeadJournal!$A$1:$NTR$890,COLUMN(HeadJournal!D$1),0),"")</f>
        <v>Доставлен</v>
      </c>
      <c r="E5334" s="95">
        <f>IFERROR(VLOOKUP($A5334,HeadJournal!$A$1:$NTR$890,COLUMN(HeadJournal!G$1),0),"")</f>
        <v>45985</v>
      </c>
      <c r="F5334" s="95" t="str">
        <f t="shared" si="397"/>
        <v>2025 11</v>
      </c>
      <c r="G5334" s="97" t="s">
        <v>5</v>
      </c>
      <c r="H5334" s="161" t="s">
        <v>5059</v>
      </c>
      <c r="I5334" s="97" t="s">
        <v>2856</v>
      </c>
      <c r="J5334" s="97" t="s">
        <v>5060</v>
      </c>
      <c r="K5334" s="29">
        <v>27.21</v>
      </c>
      <c r="L5334" s="29">
        <v>-5.44</v>
      </c>
      <c r="M5334" s="30">
        <f>IFERROR(VLOOKUP($A5334,HeadJournal!$A$1:$J$890,COLUMN(HeadJournal!I$1),0)*($K5334+$L5334)/(SUMIF($A:$A,$A5334,$K:$K)+SUMIF($A:$A,$A5334,$L:$L)),0)</f>
        <v>0</v>
      </c>
      <c r="N5334" s="30">
        <f>IFERROR((VLOOKUP($A5334,HeadJournal!$A$1:$K$890,COLUMN(HeadJournal!K$1),0)-VLOOKUP($A5334,HeadJournal!$A$1:$K$890,COLUMN(HeadJournal!J$1),0))*($K5334+$L5334)/(SUMIF($A:$A,$A5334,$K:$K)+SUMIF($A:$A,$A5334,$L:$L)),0)</f>
        <v>-3.701044468835358E-15</v>
      </c>
      <c r="O5334" s="30">
        <f>IFERROR((VLOOKUP($A5334,HeadJournal!$A$1:$L$890,COLUMN(HeadJournal!L$1),0)*($K5334+$L5334)/(SUMIF($A:$A,$A5334,$K:$K)+SUMIF($A:$A,$A5334,$L:$L)))/VLOOKUP($A5334,HeadJournal!$A$1:$L$890,COLUMN(HeadJournal!H$1),0),0)</f>
        <v>0.55610932090864817</v>
      </c>
      <c r="P5334" s="30">
        <f>IFERROR(SUM(K5334:O5334)*VLOOKUP($A5334,HeadJournal!$A$1:$L$890,COLUMN(HeadJournal!H$1),0),0)</f>
        <v>2007.512255054432</v>
      </c>
      <c r="Q5334" s="29">
        <v>2950</v>
      </c>
      <c r="R5334" s="31">
        <v>46015</v>
      </c>
      <c r="S5334" s="31" t="s">
        <v>3475</v>
      </c>
      <c r="T5334" s="95" t="str">
        <f t="shared" si="398"/>
        <v>2025 12</v>
      </c>
      <c r="U5334" s="32">
        <f t="shared" si="401"/>
        <v>942.48774494556801</v>
      </c>
      <c r="V5334" s="22">
        <f t="shared" si="402"/>
        <v>0.46948044405338551</v>
      </c>
      <c r="X5334" s="33"/>
      <c r="Y5334" s="33"/>
    </row>
    <row r="5335" spans="1:25" x14ac:dyDescent="0.2">
      <c r="A5335" s="93" t="s">
        <v>5063</v>
      </c>
      <c r="B5335" s="94">
        <f>IFERROR(VLOOKUP($A5335,HeadJournal!$A$1:$NTR$890,COLUMN(HeadJournal!B$1),0),"")</f>
        <v>0</v>
      </c>
      <c r="C5335" s="94" t="str">
        <f>IFERROR(VLOOKUP($A5335,HeadJournal!$A$1:$NTR$890,COLUMN(HeadJournal!C$1),0),"")</f>
        <v>iHerb_OA CZN6870</v>
      </c>
      <c r="D5335" s="125" t="str">
        <f>IFERROR(VLOOKUP($A5335,HeadJournal!$A$1:$NTR$890,COLUMN(HeadJournal!D$1),0),"")</f>
        <v>Доставлен</v>
      </c>
      <c r="E5335" s="95">
        <f>IFERROR(VLOOKUP($A5335,HeadJournal!$A$1:$NTR$890,COLUMN(HeadJournal!G$1),0),"")</f>
        <v>45985</v>
      </c>
      <c r="F5335" s="95" t="str">
        <f t="shared" si="397"/>
        <v>2025 11</v>
      </c>
      <c r="G5335" s="97" t="s">
        <v>5</v>
      </c>
      <c r="H5335" s="161" t="s">
        <v>5061</v>
      </c>
      <c r="I5335" s="97" t="s">
        <v>2460</v>
      </c>
      <c r="J5335" s="97" t="s">
        <v>5062</v>
      </c>
      <c r="K5335" s="29">
        <v>32.99</v>
      </c>
      <c r="L5335" s="29">
        <v>-6.6</v>
      </c>
      <c r="M5335" s="30">
        <f>IFERROR(VLOOKUP($A5335,HeadJournal!$A$1:$J$890,COLUMN(HeadJournal!I$1),0)*($K5335+$L5335)/(SUMIF($A:$A,$A5335,$K:$K)+SUMIF($A:$A,$A5335,$L:$L)),0)</f>
        <v>0</v>
      </c>
      <c r="N5335" s="30">
        <f>IFERROR((VLOOKUP($A5335,HeadJournal!$A$1:$K$890,COLUMN(HeadJournal!K$1),0)-VLOOKUP($A5335,HeadJournal!$A$1:$K$890,COLUMN(HeadJournal!J$1),0))*($K5335+$L5335)/(SUMIF($A:$A,$A5335,$K:$K)+SUMIF($A:$A,$A5335,$L:$L)),0)</f>
        <v>-4.4864751278164949E-15</v>
      </c>
      <c r="O5335" s="30">
        <f>IFERROR((VLOOKUP($A5335,HeadJournal!$A$1:$L$890,COLUMN(HeadJournal!L$1),0)*($K5335+$L5335)/(SUMIF($A:$A,$A5335,$K:$K)+SUMIF($A:$A,$A5335,$L:$L)))/VLOOKUP($A5335,HeadJournal!$A$1:$L$890,COLUMN(HeadJournal!H$1),0),0)</f>
        <v>0.67412608997607826</v>
      </c>
      <c r="P5335" s="30">
        <f>IFERROR(SUM(K5335:O5335)*VLOOKUP($A5335,HeadJournal!$A$1:$L$890,COLUMN(HeadJournal!H$1),0),0)</f>
        <v>2433.5437947122859</v>
      </c>
      <c r="Q5335" s="29">
        <v>3500</v>
      </c>
      <c r="R5335" s="31">
        <v>46015</v>
      </c>
      <c r="S5335" s="31" t="s">
        <v>3475</v>
      </c>
      <c r="T5335" s="95" t="str">
        <f t="shared" si="398"/>
        <v>2025 12</v>
      </c>
      <c r="U5335" s="32">
        <f t="shared" si="401"/>
        <v>1066.4562052877141</v>
      </c>
      <c r="V5335" s="22">
        <f t="shared" si="402"/>
        <v>0.43823177031165755</v>
      </c>
      <c r="X5335" s="33"/>
      <c r="Y5335" s="33"/>
    </row>
    <row r="5336" spans="1:25" x14ac:dyDescent="0.2">
      <c r="A5336" s="93" t="s">
        <v>5064</v>
      </c>
      <c r="B5336" s="94">
        <f>IFERROR(VLOOKUP($A5336,HeadJournal!$A$1:$NTR$890,COLUMN(HeadJournal!B$1),0),"")</f>
        <v>0</v>
      </c>
      <c r="C5336" s="94" t="str">
        <f>IFERROR(VLOOKUP($A5336,HeadJournal!$A$1:$NTR$890,COLUMN(HeadJournal!C$1),0),"")</f>
        <v>OZON_OA</v>
      </c>
      <c r="D5336" s="125" t="str">
        <f>IFERROR(VLOOKUP($A5336,HeadJournal!$A$1:$NTR$890,COLUMN(HeadJournal!D$1),0),"")</f>
        <v>Доставлен</v>
      </c>
      <c r="E5336" s="95">
        <f>IFERROR(VLOOKUP($A5336,HeadJournal!$A$1:$NTR$890,COLUMN(HeadJournal!G$1),0),"")</f>
        <v>45984</v>
      </c>
      <c r="F5336" s="95" t="str">
        <f t="shared" si="397"/>
        <v>2025 11</v>
      </c>
      <c r="G5336" s="97" t="s">
        <v>6</v>
      </c>
      <c r="H5336" s="161" t="s">
        <v>2280</v>
      </c>
      <c r="I5336" s="97" t="s">
        <v>2281</v>
      </c>
      <c r="J5336" s="97" t="s">
        <v>737</v>
      </c>
      <c r="K5336" s="29">
        <v>804</v>
      </c>
      <c r="L5336" s="29">
        <v>0</v>
      </c>
      <c r="M5336" s="30">
        <f>IFERROR(VLOOKUP($A5336,HeadJournal!$A$1:$J$890,COLUMN(HeadJournal!I$1),0)*($K5336+$L5336)/(SUMIF($A:$A,$A5336,$K:$K)+SUMIF($A:$A,$A5336,$L:$L)),0)</f>
        <v>0</v>
      </c>
      <c r="N5336" s="30">
        <f>IFERROR((VLOOKUP($A5336,HeadJournal!$A$1:$K$890,COLUMN(HeadJournal!K$1),0)-VLOOKUP($A5336,HeadJournal!$A$1:$K$890,COLUMN(HeadJournal!J$1),0))*($K5336+$L5336)/(SUMIF($A:$A,$A5336,$K:$K)+SUMIF($A:$A,$A5336,$L:$L)),0)</f>
        <v>0</v>
      </c>
      <c r="O5336" s="30">
        <f>IFERROR((VLOOKUP($A5336,HeadJournal!$A$1:$L$890,COLUMN(HeadJournal!L$1),0)*($K5336+$L5336)/(SUMIF($A:$A,$A5336,$K:$K)+SUMIF($A:$A,$A5336,$L:$L)))/VLOOKUP($A5336,HeadJournal!$A$1:$L$890,COLUMN(HeadJournal!H$1),0),0)</f>
        <v>0</v>
      </c>
      <c r="P5336" s="30">
        <f>IFERROR(SUM(K5336:O5336)*VLOOKUP($A5336,HeadJournal!$A$1:$L$890,COLUMN(HeadJournal!H$1),0),0)</f>
        <v>804</v>
      </c>
      <c r="Q5336" s="29">
        <v>2000</v>
      </c>
      <c r="R5336" s="31">
        <v>45993</v>
      </c>
      <c r="S5336" s="31" t="s">
        <v>4613</v>
      </c>
      <c r="T5336" s="95" t="str">
        <f t="shared" si="398"/>
        <v>2025 12</v>
      </c>
      <c r="U5336" s="32">
        <f t="shared" ref="U5336:U5495" si="403">Q5336-P5336</f>
        <v>1196</v>
      </c>
      <c r="V5336" s="22">
        <f t="shared" ref="V5336:V5495" si="404">IF(Q5336&lt;&gt;0,IFERROR(U5336/P5336,""),"")</f>
        <v>1.4875621890547264</v>
      </c>
      <c r="X5336" s="33"/>
      <c r="Y5336" s="33"/>
    </row>
    <row r="5337" spans="1:25" x14ac:dyDescent="0.2">
      <c r="A5337" s="93" t="s">
        <v>5064</v>
      </c>
      <c r="B5337" s="94">
        <f>IFERROR(VLOOKUP($A5337,HeadJournal!$A$1:$NTR$890,COLUMN(HeadJournal!B$1),0),"")</f>
        <v>0</v>
      </c>
      <c r="C5337" s="94" t="str">
        <f>IFERROR(VLOOKUP($A5337,HeadJournal!$A$1:$NTR$890,COLUMN(HeadJournal!C$1),0),"")</f>
        <v>OZON_OA</v>
      </c>
      <c r="D5337" s="125" t="str">
        <f>IFERROR(VLOOKUP($A5337,HeadJournal!$A$1:$NTR$890,COLUMN(HeadJournal!D$1),0),"")</f>
        <v>Доставлен</v>
      </c>
      <c r="E5337" s="95">
        <f>IFERROR(VLOOKUP($A5337,HeadJournal!$A$1:$NTR$890,COLUMN(HeadJournal!G$1),0),"")</f>
        <v>45984</v>
      </c>
      <c r="F5337" s="95" t="str">
        <f t="shared" si="397"/>
        <v>2025 11</v>
      </c>
      <c r="G5337" s="97" t="s">
        <v>6</v>
      </c>
      <c r="H5337" s="161" t="s">
        <v>2280</v>
      </c>
      <c r="I5337" s="97" t="s">
        <v>2281</v>
      </c>
      <c r="J5337" s="97" t="s">
        <v>737</v>
      </c>
      <c r="K5337" s="29">
        <v>804</v>
      </c>
      <c r="L5337" s="29">
        <v>0</v>
      </c>
      <c r="M5337" s="30">
        <f>IFERROR(VLOOKUP($A5337,HeadJournal!$A$1:$J$890,COLUMN(HeadJournal!I$1),0)*($K5337+$L5337)/(SUMIF($A:$A,$A5337,$K:$K)+SUMIF($A:$A,$A5337,$L:$L)),0)</f>
        <v>0</v>
      </c>
      <c r="N5337" s="30">
        <f>IFERROR((VLOOKUP($A5337,HeadJournal!$A$1:$K$890,COLUMN(HeadJournal!K$1),0)-VLOOKUP($A5337,HeadJournal!$A$1:$K$890,COLUMN(HeadJournal!J$1),0))*($K5337+$L5337)/(SUMIF($A:$A,$A5337,$K:$K)+SUMIF($A:$A,$A5337,$L:$L)),0)</f>
        <v>0</v>
      </c>
      <c r="O5337" s="30">
        <f>IFERROR((VLOOKUP($A5337,HeadJournal!$A$1:$L$890,COLUMN(HeadJournal!L$1),0)*($K5337+$L5337)/(SUMIF($A:$A,$A5337,$K:$K)+SUMIF($A:$A,$A5337,$L:$L)))/VLOOKUP($A5337,HeadJournal!$A$1:$L$890,COLUMN(HeadJournal!H$1),0),0)</f>
        <v>0</v>
      </c>
      <c r="P5337" s="30">
        <f>IFERROR(SUM(K5337:O5337)*VLOOKUP($A5337,HeadJournal!$A$1:$L$890,COLUMN(HeadJournal!H$1),0),0)</f>
        <v>804</v>
      </c>
      <c r="Q5337" s="29">
        <v>2000</v>
      </c>
      <c r="R5337" s="31">
        <v>45993</v>
      </c>
      <c r="S5337" s="31" t="s">
        <v>4911</v>
      </c>
      <c r="T5337" s="95" t="str">
        <f t="shared" si="398"/>
        <v>2025 12</v>
      </c>
      <c r="U5337" s="32">
        <f t="shared" si="403"/>
        <v>1196</v>
      </c>
      <c r="V5337" s="22">
        <f t="shared" si="404"/>
        <v>1.4875621890547264</v>
      </c>
      <c r="X5337" s="33"/>
      <c r="Y5337" s="33"/>
    </row>
    <row r="5338" spans="1:25" x14ac:dyDescent="0.2">
      <c r="A5338" s="93" t="s">
        <v>5064</v>
      </c>
      <c r="B5338" s="94">
        <f>IFERROR(VLOOKUP($A5338,HeadJournal!$A$1:$NTR$890,COLUMN(HeadJournal!B$1),0),"")</f>
        <v>0</v>
      </c>
      <c r="C5338" s="94" t="str">
        <f>IFERROR(VLOOKUP($A5338,HeadJournal!$A$1:$NTR$890,COLUMN(HeadJournal!C$1),0),"")</f>
        <v>OZON_OA</v>
      </c>
      <c r="D5338" s="125" t="str">
        <f>IFERROR(VLOOKUP($A5338,HeadJournal!$A$1:$NTR$890,COLUMN(HeadJournal!D$1),0),"")</f>
        <v>Доставлен</v>
      </c>
      <c r="E5338" s="95">
        <f>IFERROR(VLOOKUP($A5338,HeadJournal!$A$1:$NTR$890,COLUMN(HeadJournal!G$1),0),"")</f>
        <v>45984</v>
      </c>
      <c r="F5338" s="95" t="str">
        <f t="shared" si="397"/>
        <v>2025 11</v>
      </c>
      <c r="G5338" s="97" t="s">
        <v>6</v>
      </c>
      <c r="H5338" s="161" t="s">
        <v>2280</v>
      </c>
      <c r="I5338" s="97" t="s">
        <v>2281</v>
      </c>
      <c r="J5338" s="97" t="s">
        <v>737</v>
      </c>
      <c r="K5338" s="29">
        <v>804</v>
      </c>
      <c r="L5338" s="29">
        <v>0</v>
      </c>
      <c r="M5338" s="30">
        <f>IFERROR(VLOOKUP($A5338,HeadJournal!$A$1:$J$890,COLUMN(HeadJournal!I$1),0)*($K5338+$L5338)/(SUMIF($A:$A,$A5338,$K:$K)+SUMIF($A:$A,$A5338,$L:$L)),0)</f>
        <v>0</v>
      </c>
      <c r="N5338" s="30">
        <f>IFERROR((VLOOKUP($A5338,HeadJournal!$A$1:$K$890,COLUMN(HeadJournal!K$1),0)-VLOOKUP($A5338,HeadJournal!$A$1:$K$890,COLUMN(HeadJournal!J$1),0))*($K5338+$L5338)/(SUMIF($A:$A,$A5338,$K:$K)+SUMIF($A:$A,$A5338,$L:$L)),0)</f>
        <v>0</v>
      </c>
      <c r="O5338" s="30">
        <f>IFERROR((VLOOKUP($A5338,HeadJournal!$A$1:$L$890,COLUMN(HeadJournal!L$1),0)*($K5338+$L5338)/(SUMIF($A:$A,$A5338,$K:$K)+SUMIF($A:$A,$A5338,$L:$L)))/VLOOKUP($A5338,HeadJournal!$A$1:$L$890,COLUMN(HeadJournal!H$1),0),0)</f>
        <v>0</v>
      </c>
      <c r="P5338" s="30">
        <f>IFERROR(SUM(K5338:O5338)*VLOOKUP($A5338,HeadJournal!$A$1:$L$890,COLUMN(HeadJournal!H$1),0),0)</f>
        <v>804</v>
      </c>
      <c r="Q5338" s="29">
        <v>2000</v>
      </c>
      <c r="R5338" s="31">
        <v>45993</v>
      </c>
      <c r="S5338" s="31" t="s">
        <v>4911</v>
      </c>
      <c r="T5338" s="95" t="str">
        <f t="shared" si="398"/>
        <v>2025 12</v>
      </c>
      <c r="U5338" s="32">
        <f t="shared" si="403"/>
        <v>1196</v>
      </c>
      <c r="V5338" s="22">
        <f t="shared" si="404"/>
        <v>1.4875621890547264</v>
      </c>
      <c r="X5338" s="33"/>
      <c r="Y5338" s="33"/>
    </row>
    <row r="5339" spans="1:25" x14ac:dyDescent="0.2">
      <c r="A5339" s="93" t="s">
        <v>5065</v>
      </c>
      <c r="B5339" s="94">
        <f>IFERROR(VLOOKUP($A5339,HeadJournal!$A$1:$NTR$890,COLUMN(HeadJournal!B$1),0),"")</f>
        <v>0</v>
      </c>
      <c r="C5339" s="94" t="str">
        <f>IFERROR(VLOOKUP($A5339,HeadJournal!$A$1:$NTR$890,COLUMN(HeadJournal!C$1),0),"")</f>
        <v>CoralClub_OA</v>
      </c>
      <c r="D5339" s="125" t="str">
        <f>IFERROR(VLOOKUP($A5339,HeadJournal!$A$1:$NTR$890,COLUMN(HeadJournal!D$1),0),"")</f>
        <v>Доставлен</v>
      </c>
      <c r="E5339" s="95">
        <f>IFERROR(VLOOKUP($A5339,HeadJournal!$A$1:$NTR$890,COLUMN(HeadJournal!G$1),0),"")</f>
        <v>45731</v>
      </c>
      <c r="F5339" s="95" t="str">
        <f t="shared" si="397"/>
        <v>2025 03</v>
      </c>
      <c r="G5339" s="97" t="s">
        <v>5</v>
      </c>
      <c r="H5339" s="161" t="s">
        <v>5066</v>
      </c>
      <c r="I5339" s="97" t="s">
        <v>2601</v>
      </c>
      <c r="J5339" s="97" t="s">
        <v>1092</v>
      </c>
      <c r="K5339" s="29">
        <v>2058</v>
      </c>
      <c r="L5339" s="29">
        <v>0</v>
      </c>
      <c r="M5339" s="30">
        <f>IFERROR(VLOOKUP($A5339,HeadJournal!$A$1:$J$890,COLUMN(HeadJournal!I$1),0)*($K5339+$L5339)/(SUMIF($A:$A,$A5339,$K:$K)+SUMIF($A:$A,$A5339,$L:$L)),0)</f>
        <v>0</v>
      </c>
      <c r="N5339" s="30">
        <f>IFERROR((VLOOKUP($A5339,HeadJournal!$A$1:$K$890,COLUMN(HeadJournal!K$1),0)-VLOOKUP($A5339,HeadJournal!$A$1:$K$890,COLUMN(HeadJournal!J$1),0))*($K5339+$L5339)/(SUMIF($A:$A,$A5339,$K:$K)+SUMIF($A:$A,$A5339,$L:$L)),0)</f>
        <v>0</v>
      </c>
      <c r="O5339" s="30">
        <f>IFERROR((VLOOKUP($A5339,HeadJournal!$A$1:$L$890,COLUMN(HeadJournal!L$1),0)*($K5339+$L5339)/(SUMIF($A:$A,$A5339,$K:$K)+SUMIF($A:$A,$A5339,$L:$L)))/VLOOKUP($A5339,HeadJournal!$A$1:$L$890,COLUMN(HeadJournal!H$1),0),0)</f>
        <v>0</v>
      </c>
      <c r="P5339" s="30">
        <f>IFERROR(SUM(K5339:O5339)*VLOOKUP($A5339,HeadJournal!$A$1:$L$890,COLUMN(HeadJournal!H$1),0),0)</f>
        <v>2058</v>
      </c>
      <c r="Q5339" s="29"/>
      <c r="R5339" s="31"/>
      <c r="S5339" s="31"/>
      <c r="T5339" s="95" t="str">
        <f t="shared" si="398"/>
        <v/>
      </c>
      <c r="U5339" s="32">
        <f t="shared" si="403"/>
        <v>-2058</v>
      </c>
      <c r="V5339" s="22" t="str">
        <f t="shared" si="404"/>
        <v/>
      </c>
      <c r="X5339" s="33"/>
      <c r="Y5339" s="33"/>
    </row>
    <row r="5340" spans="1:25" x14ac:dyDescent="0.2">
      <c r="A5340" s="93" t="s">
        <v>5076</v>
      </c>
      <c r="B5340" s="94">
        <f>IFERROR(VLOOKUP($A5340,HeadJournal!$A$1:$NTR$890,COLUMN(HeadJournal!B$1),0),"")</f>
        <v>0</v>
      </c>
      <c r="C5340" s="94" t="str">
        <f>IFERROR(VLOOKUP($A5340,HeadJournal!$A$1:$NTR$890,COLUMN(HeadJournal!C$1),0),"")</f>
        <v>iHerb_VP DFD1605</v>
      </c>
      <c r="D5340" s="125" t="str">
        <f>IFERROR(VLOOKUP($A5340,HeadJournal!$A$1:$NTR$890,COLUMN(HeadJournal!D$1),0),"")</f>
        <v>Доставлен</v>
      </c>
      <c r="E5340" s="95">
        <f>IFERROR(VLOOKUP($A5340,HeadJournal!$A$1:$NTR$890,COLUMN(HeadJournal!G$1),0),"")</f>
        <v>45989</v>
      </c>
      <c r="F5340" s="95" t="str">
        <f t="shared" si="397"/>
        <v>2025 11</v>
      </c>
      <c r="G5340" s="97" t="s">
        <v>5</v>
      </c>
      <c r="H5340" s="161" t="s">
        <v>2016</v>
      </c>
      <c r="I5340" s="97" t="s">
        <v>2005</v>
      </c>
      <c r="J5340" s="97" t="s">
        <v>2017</v>
      </c>
      <c r="K5340" s="29">
        <v>40.090000000000003</v>
      </c>
      <c r="L5340" s="29">
        <v>-10.02</v>
      </c>
      <c r="M5340" s="30">
        <f>IFERROR(VLOOKUP($A5340,HeadJournal!$A$1:$J$890,COLUMN(HeadJournal!I$1),0)*($K5340+$L5340)/(SUMIF($A:$A,$A5340,$K:$K)+SUMIF($A:$A,$A5340,$L:$L)),0)</f>
        <v>0</v>
      </c>
      <c r="N5340" s="30">
        <f>IFERROR((VLOOKUP($A5340,HeadJournal!$A$1:$K$890,COLUMN(HeadJournal!K$1),0)-VLOOKUP($A5340,HeadJournal!$A$1:$K$890,COLUMN(HeadJournal!J$1),0))*($K5340+$L5340)/(SUMIF($A:$A,$A5340,$K:$K)+SUMIF($A:$A,$A5340,$L:$L)),0)</f>
        <v>-4.4360054114618943E-15</v>
      </c>
      <c r="O5340" s="30">
        <f>IFERROR((VLOOKUP($A5340,HeadJournal!$A$1:$L$890,COLUMN(HeadJournal!L$1),0)*($K5340+$L5340)/(SUMIF($A:$A,$A5340,$K:$K)+SUMIF($A:$A,$A5340,$L:$L)))/VLOOKUP($A5340,HeadJournal!$A$1:$L$890,COLUMN(HeadJournal!H$1),0),0)</f>
        <v>0.66633542867332252</v>
      </c>
      <c r="P5340" s="30">
        <f>IFERROR(SUM(K5340:O5340)*VLOOKUP($A5340,HeadJournal!$A$1:$L$890,COLUMN(HeadJournal!H$1),0),0)</f>
        <v>2764.5998396138275</v>
      </c>
      <c r="Q5340" s="29">
        <v>4500</v>
      </c>
      <c r="R5340" s="31">
        <v>46053</v>
      </c>
      <c r="S5340" s="31" t="s">
        <v>3252</v>
      </c>
      <c r="T5340" s="95" t="str">
        <f t="shared" si="398"/>
        <v>2026 01</v>
      </c>
      <c r="U5340" s="32">
        <f t="shared" si="403"/>
        <v>1735.4001603861725</v>
      </c>
      <c r="V5340" s="22">
        <f t="shared" si="404"/>
        <v>0.62772200718516336</v>
      </c>
      <c r="X5340" s="33"/>
      <c r="Y5340" s="33"/>
    </row>
    <row r="5341" spans="1:25" x14ac:dyDescent="0.2">
      <c r="A5341" s="93" t="s">
        <v>5076</v>
      </c>
      <c r="B5341" s="94">
        <f>IFERROR(VLOOKUP($A5341,HeadJournal!$A$1:$NTR$890,COLUMN(HeadJournal!B$1),0),"")</f>
        <v>0</v>
      </c>
      <c r="C5341" s="94" t="str">
        <f>IFERROR(VLOOKUP($A5341,HeadJournal!$A$1:$NTR$890,COLUMN(HeadJournal!C$1),0),"")</f>
        <v>iHerb_VP DFD1605</v>
      </c>
      <c r="D5341" s="125" t="str">
        <f>IFERROR(VLOOKUP($A5341,HeadJournal!$A$1:$NTR$890,COLUMN(HeadJournal!D$1),0),"")</f>
        <v>Доставлен</v>
      </c>
      <c r="E5341" s="95">
        <f>IFERROR(VLOOKUP($A5341,HeadJournal!$A$1:$NTR$890,COLUMN(HeadJournal!G$1),0),"")</f>
        <v>45989</v>
      </c>
      <c r="F5341" s="95" t="str">
        <f t="shared" si="397"/>
        <v>2025 11</v>
      </c>
      <c r="G5341" s="97" t="s">
        <v>5</v>
      </c>
      <c r="H5341" s="161" t="s">
        <v>5067</v>
      </c>
      <c r="I5341" s="97" t="s">
        <v>2052</v>
      </c>
      <c r="J5341" s="97" t="s">
        <v>5068</v>
      </c>
      <c r="K5341" s="29">
        <v>10.91</v>
      </c>
      <c r="L5341" s="29">
        <v>-2.73</v>
      </c>
      <c r="M5341" s="30">
        <f>IFERROR(VLOOKUP($A5341,HeadJournal!$A$1:$J$890,COLUMN(HeadJournal!I$1),0)*($K5341+$L5341)/(SUMIF($A:$A,$A5341,$K:$K)+SUMIF($A:$A,$A5341,$L:$L)),0)</f>
        <v>0</v>
      </c>
      <c r="N5341" s="30">
        <f>IFERROR((VLOOKUP($A5341,HeadJournal!$A$1:$K$890,COLUMN(HeadJournal!K$1),0)-VLOOKUP($A5341,HeadJournal!$A$1:$K$890,COLUMN(HeadJournal!J$1),0))*($K5341+$L5341)/(SUMIF($A:$A,$A5341,$K:$K)+SUMIF($A:$A,$A5341,$L:$L)),0)</f>
        <v>-1.2067350936401159E-15</v>
      </c>
      <c r="O5341" s="30">
        <f>IFERROR((VLOOKUP($A5341,HeadJournal!$A$1:$L$890,COLUMN(HeadJournal!L$1),0)*($K5341+$L5341)/(SUMIF($A:$A,$A5341,$K:$K)+SUMIF($A:$A,$A5341,$L:$L)))/VLOOKUP($A5341,HeadJournal!$A$1:$L$890,COLUMN(HeadJournal!H$1),0),0)</f>
        <v>0.18126450969563609</v>
      </c>
      <c r="P5341" s="30">
        <f>IFERROR(SUM(K5341:O5341)*VLOOKUP($A5341,HeadJournal!$A$1:$L$890,COLUMN(HeadJournal!H$1),0),0)</f>
        <v>752.05941762690736</v>
      </c>
      <c r="Q5341" s="29">
        <v>1700</v>
      </c>
      <c r="R5341" s="31">
        <v>46044</v>
      </c>
      <c r="S5341" s="31"/>
      <c r="T5341" s="95" t="str">
        <f t="shared" si="398"/>
        <v>2026 01</v>
      </c>
      <c r="U5341" s="32">
        <f t="shared" si="403"/>
        <v>947.94058237309264</v>
      </c>
      <c r="V5341" s="22">
        <f t="shared" si="404"/>
        <v>1.2604596926188096</v>
      </c>
      <c r="X5341" s="33"/>
      <c r="Y5341" s="33"/>
    </row>
    <row r="5342" spans="1:25" x14ac:dyDescent="0.2">
      <c r="A5342" s="93" t="s">
        <v>5076</v>
      </c>
      <c r="B5342" s="94">
        <f>IFERROR(VLOOKUP($A5342,HeadJournal!$A$1:$NTR$890,COLUMN(HeadJournal!B$1),0),"")</f>
        <v>0</v>
      </c>
      <c r="C5342" s="94" t="str">
        <f>IFERROR(VLOOKUP($A5342,HeadJournal!$A$1:$NTR$890,COLUMN(HeadJournal!C$1),0),"")</f>
        <v>iHerb_VP DFD1605</v>
      </c>
      <c r="D5342" s="125" t="str">
        <f>IFERROR(VLOOKUP($A5342,HeadJournal!$A$1:$NTR$890,COLUMN(HeadJournal!D$1),0),"")</f>
        <v>Доставлен</v>
      </c>
      <c r="E5342" s="95">
        <f>IFERROR(VLOOKUP($A5342,HeadJournal!$A$1:$NTR$890,COLUMN(HeadJournal!G$1),0),"")</f>
        <v>45989</v>
      </c>
      <c r="F5342" s="95" t="str">
        <f t="shared" si="397"/>
        <v>2025 11</v>
      </c>
      <c r="G5342" s="97" t="s">
        <v>5</v>
      </c>
      <c r="H5342" s="161" t="s">
        <v>5067</v>
      </c>
      <c r="I5342" s="97" t="s">
        <v>2052</v>
      </c>
      <c r="J5342" s="97" t="s">
        <v>5068</v>
      </c>
      <c r="K5342" s="29">
        <v>10.91</v>
      </c>
      <c r="L5342" s="29">
        <v>-2.73</v>
      </c>
      <c r="M5342" s="30">
        <f>IFERROR(VLOOKUP($A5342,HeadJournal!$A$1:$J$890,COLUMN(HeadJournal!I$1),0)*($K5342+$L5342)/(SUMIF($A:$A,$A5342,$K:$K)+SUMIF($A:$A,$A5342,$L:$L)),0)</f>
        <v>0</v>
      </c>
      <c r="N5342" s="30">
        <f>IFERROR((VLOOKUP($A5342,HeadJournal!$A$1:$K$890,COLUMN(HeadJournal!K$1),0)-VLOOKUP($A5342,HeadJournal!$A$1:$K$890,COLUMN(HeadJournal!J$1),0))*($K5342+$L5342)/(SUMIF($A:$A,$A5342,$K:$K)+SUMIF($A:$A,$A5342,$L:$L)),0)</f>
        <v>-1.2067350936401159E-15</v>
      </c>
      <c r="O5342" s="30">
        <f>IFERROR((VLOOKUP($A5342,HeadJournal!$A$1:$L$890,COLUMN(HeadJournal!L$1),0)*($K5342+$L5342)/(SUMIF($A:$A,$A5342,$K:$K)+SUMIF($A:$A,$A5342,$L:$L)))/VLOOKUP($A5342,HeadJournal!$A$1:$L$890,COLUMN(HeadJournal!H$1),0),0)</f>
        <v>0.18126450969563609</v>
      </c>
      <c r="P5342" s="30">
        <f>IFERROR(SUM(K5342:O5342)*VLOOKUP($A5342,HeadJournal!$A$1:$L$890,COLUMN(HeadJournal!H$1),0),0)</f>
        <v>752.05941762690736</v>
      </c>
      <c r="Q5342" s="29"/>
      <c r="R5342" s="31"/>
      <c r="S5342" s="31"/>
      <c r="T5342" s="95" t="str">
        <f t="shared" si="398"/>
        <v/>
      </c>
      <c r="U5342" s="32">
        <f t="shared" si="403"/>
        <v>-752.05941762690736</v>
      </c>
      <c r="V5342" s="22" t="str">
        <f t="shared" si="404"/>
        <v/>
      </c>
      <c r="X5342" s="33"/>
      <c r="Y5342" s="33"/>
    </row>
    <row r="5343" spans="1:25" x14ac:dyDescent="0.2">
      <c r="A5343" s="93" t="s">
        <v>5076</v>
      </c>
      <c r="B5343" s="94">
        <f>IFERROR(VLOOKUP($A5343,HeadJournal!$A$1:$NTR$890,COLUMN(HeadJournal!B$1),0),"")</f>
        <v>0</v>
      </c>
      <c r="C5343" s="94" t="str">
        <f>IFERROR(VLOOKUP($A5343,HeadJournal!$A$1:$NTR$890,COLUMN(HeadJournal!C$1),0),"")</f>
        <v>iHerb_VP DFD1605</v>
      </c>
      <c r="D5343" s="125" t="str">
        <f>IFERROR(VLOOKUP($A5343,HeadJournal!$A$1:$NTR$890,COLUMN(HeadJournal!D$1),0),"")</f>
        <v>Доставлен</v>
      </c>
      <c r="E5343" s="95">
        <f>IFERROR(VLOOKUP($A5343,HeadJournal!$A$1:$NTR$890,COLUMN(HeadJournal!G$1),0),"")</f>
        <v>45989</v>
      </c>
      <c r="F5343" s="95" t="str">
        <f t="shared" si="397"/>
        <v>2025 11</v>
      </c>
      <c r="G5343" s="97" t="s">
        <v>5</v>
      </c>
      <c r="H5343" s="161" t="s">
        <v>3787</v>
      </c>
      <c r="I5343" s="97" t="s">
        <v>2036</v>
      </c>
      <c r="J5343" s="97" t="s">
        <v>4060</v>
      </c>
      <c r="K5343" s="29">
        <v>15.08</v>
      </c>
      <c r="L5343" s="29">
        <v>-3.77</v>
      </c>
      <c r="M5343" s="30">
        <f>IFERROR(VLOOKUP($A5343,HeadJournal!$A$1:$J$890,COLUMN(HeadJournal!I$1),0)*($K5343+$L5343)/(SUMIF($A:$A,$A5343,$K:$K)+SUMIF($A:$A,$A5343,$L:$L)),0)</f>
        <v>0</v>
      </c>
      <c r="N5343" s="30">
        <f>IFERROR((VLOOKUP($A5343,HeadJournal!$A$1:$K$890,COLUMN(HeadJournal!K$1),0)-VLOOKUP($A5343,HeadJournal!$A$1:$K$890,COLUMN(HeadJournal!J$1),0))*($K5343+$L5343)/(SUMIF($A:$A,$A5343,$K:$K)+SUMIF($A:$A,$A5343,$L:$L)),0)</f>
        <v>-1.6684809179791824E-15</v>
      </c>
      <c r="O5343" s="30">
        <f>IFERROR((VLOOKUP($A5343,HeadJournal!$A$1:$L$890,COLUMN(HeadJournal!L$1),0)*($K5343+$L5343)/(SUMIF($A:$A,$A5343,$K:$K)+SUMIF($A:$A,$A5343,$L:$L)))/VLOOKUP($A5343,HeadJournal!$A$1:$L$890,COLUMN(HeadJournal!H$1),0),0)</f>
        <v>0.25062366805105674</v>
      </c>
      <c r="P5343" s="30">
        <f>IFERROR(SUM(K5343:O5343)*VLOOKUP($A5343,HeadJournal!$A$1:$L$890,COLUMN(HeadJournal!H$1),0),0)</f>
        <v>1039.8278744939271</v>
      </c>
      <c r="Q5343" s="29">
        <v>1900</v>
      </c>
      <c r="R5343" s="31">
        <v>46032</v>
      </c>
      <c r="S5343" s="31" t="s">
        <v>3226</v>
      </c>
      <c r="T5343" s="95" t="str">
        <f t="shared" si="398"/>
        <v>2026 01</v>
      </c>
      <c r="U5343" s="32">
        <f t="shared" si="403"/>
        <v>860.17212550607292</v>
      </c>
      <c r="V5343" s="22">
        <f t="shared" si="404"/>
        <v>0.82722549241595333</v>
      </c>
      <c r="X5343" s="33"/>
      <c r="Y5343" s="33"/>
    </row>
    <row r="5344" spans="1:25" x14ac:dyDescent="0.2">
      <c r="A5344" s="93" t="s">
        <v>5076</v>
      </c>
      <c r="B5344" s="94">
        <f>IFERROR(VLOOKUP($A5344,HeadJournal!$A$1:$NTR$890,COLUMN(HeadJournal!B$1),0),"")</f>
        <v>0</v>
      </c>
      <c r="C5344" s="94" t="str">
        <f>IFERROR(VLOOKUP($A5344,HeadJournal!$A$1:$NTR$890,COLUMN(HeadJournal!C$1),0),"")</f>
        <v>iHerb_VP DFD1605</v>
      </c>
      <c r="D5344" s="125" t="str">
        <f>IFERROR(VLOOKUP($A5344,HeadJournal!$A$1:$NTR$890,COLUMN(HeadJournal!D$1),0),"")</f>
        <v>Доставлен</v>
      </c>
      <c r="E5344" s="95">
        <f>IFERROR(VLOOKUP($A5344,HeadJournal!$A$1:$NTR$890,COLUMN(HeadJournal!G$1),0),"")</f>
        <v>45989</v>
      </c>
      <c r="F5344" s="95" t="str">
        <f t="shared" si="397"/>
        <v>2025 11</v>
      </c>
      <c r="G5344" s="97" t="s">
        <v>5</v>
      </c>
      <c r="H5344" s="161" t="s">
        <v>3931</v>
      </c>
      <c r="I5344" s="97" t="s">
        <v>2036</v>
      </c>
      <c r="J5344" s="97" t="s">
        <v>3932</v>
      </c>
      <c r="K5344" s="29">
        <v>12.06</v>
      </c>
      <c r="L5344" s="29">
        <v>-3.02</v>
      </c>
      <c r="M5344" s="30">
        <f>IFERROR(VLOOKUP($A5344,HeadJournal!$A$1:$J$890,COLUMN(HeadJournal!I$1),0)*($K5344+$L5344)/(SUMIF($A:$A,$A5344,$K:$K)+SUMIF($A:$A,$A5344,$L:$L)),0)</f>
        <v>0</v>
      </c>
      <c r="N5344" s="30">
        <f>IFERROR((VLOOKUP($A5344,HeadJournal!$A$1:$K$890,COLUMN(HeadJournal!K$1),0)-VLOOKUP($A5344,HeadJournal!$A$1:$K$890,COLUMN(HeadJournal!J$1),0))*($K5344+$L5344)/(SUMIF($A:$A,$A5344,$K:$K)+SUMIF($A:$A,$A5344,$L:$L)),0)</f>
        <v>-1.3336045533626711E-15</v>
      </c>
      <c r="O5344" s="30">
        <f>IFERROR((VLOOKUP($A5344,HeadJournal!$A$1:$L$890,COLUMN(HeadJournal!L$1),0)*($K5344+$L5344)/(SUMIF($A:$A,$A5344,$K:$K)+SUMIF($A:$A,$A5344,$L:$L)))/VLOOKUP($A5344,HeadJournal!$A$1:$L$890,COLUMN(HeadJournal!H$1),0),0)</f>
        <v>0.20032165863674214</v>
      </c>
      <c r="P5344" s="30">
        <f>IFERROR(SUM(K5344:O5344)*VLOOKUP($A5344,HeadJournal!$A$1:$L$890,COLUMN(HeadJournal!H$1),0),0)</f>
        <v>831.12678916225479</v>
      </c>
      <c r="Q5344" s="29">
        <v>1800</v>
      </c>
      <c r="R5344" s="31">
        <v>46032</v>
      </c>
      <c r="S5344" s="31" t="s">
        <v>3226</v>
      </c>
      <c r="T5344" s="95" t="str">
        <f t="shared" si="398"/>
        <v>2026 01</v>
      </c>
      <c r="U5344" s="32">
        <f t="shared" si="403"/>
        <v>968.87321083774521</v>
      </c>
      <c r="V5344" s="22">
        <f t="shared" si="404"/>
        <v>1.1657345467282239</v>
      </c>
      <c r="X5344" s="33"/>
      <c r="Y5344" s="33"/>
    </row>
    <row r="5345" spans="1:25" x14ac:dyDescent="0.2">
      <c r="A5345" s="93" t="s">
        <v>5076</v>
      </c>
      <c r="B5345" s="94">
        <f>IFERROR(VLOOKUP($A5345,HeadJournal!$A$1:$NTR$890,COLUMN(HeadJournal!B$1),0),"")</f>
        <v>0</v>
      </c>
      <c r="C5345" s="94" t="str">
        <f>IFERROR(VLOOKUP($A5345,HeadJournal!$A$1:$NTR$890,COLUMN(HeadJournal!C$1),0),"")</f>
        <v>iHerb_VP DFD1605</v>
      </c>
      <c r="D5345" s="125" t="str">
        <f>IFERROR(VLOOKUP($A5345,HeadJournal!$A$1:$NTR$890,COLUMN(HeadJournal!D$1),0),"")</f>
        <v>Доставлен</v>
      </c>
      <c r="E5345" s="95">
        <f>IFERROR(VLOOKUP($A5345,HeadJournal!$A$1:$NTR$890,COLUMN(HeadJournal!G$1),0),"")</f>
        <v>45989</v>
      </c>
      <c r="F5345" s="95" t="str">
        <f t="shared" si="397"/>
        <v>2025 11</v>
      </c>
      <c r="G5345" s="97" t="s">
        <v>5</v>
      </c>
      <c r="H5345" s="161" t="s">
        <v>5069</v>
      </c>
      <c r="I5345" s="97" t="s">
        <v>2008</v>
      </c>
      <c r="J5345" s="97" t="s">
        <v>5070</v>
      </c>
      <c r="K5345" s="29">
        <v>12.87</v>
      </c>
      <c r="L5345" s="29">
        <v>-3.22</v>
      </c>
      <c r="M5345" s="30">
        <f>IFERROR(VLOOKUP($A5345,HeadJournal!$A$1:$J$890,COLUMN(HeadJournal!I$1),0)*($K5345+$L5345)/(SUMIF($A:$A,$A5345,$K:$K)+SUMIF($A:$A,$A5345,$L:$L)),0)</f>
        <v>0</v>
      </c>
      <c r="N5345" s="30">
        <f>IFERROR((VLOOKUP($A5345,HeadJournal!$A$1:$K$890,COLUMN(HeadJournal!K$1),0)-VLOOKUP($A5345,HeadJournal!$A$1:$K$890,COLUMN(HeadJournal!J$1),0))*($K5345+$L5345)/(SUMIF($A:$A,$A5345,$K:$K)+SUMIF($A:$A,$A5345,$L:$L)),0)</f>
        <v>-1.4235933561891342E-15</v>
      </c>
      <c r="O5345" s="30">
        <f>IFERROR((VLOOKUP($A5345,HeadJournal!$A$1:$L$890,COLUMN(HeadJournal!L$1),0)*($K5345+$L5345)/(SUMIF($A:$A,$A5345,$K:$K)+SUMIF($A:$A,$A5345,$L:$L)))/VLOOKUP($A5345,HeadJournal!$A$1:$L$890,COLUMN(HeadJournal!H$1),0),0)</f>
        <v>0.21383893869961959</v>
      </c>
      <c r="P5345" s="30">
        <f>IFERROR(SUM(K5345:O5345)*VLOOKUP($A5345,HeadJournal!$A$1:$L$890,COLUMN(HeadJournal!H$1),0),0)</f>
        <v>887.20945966988461</v>
      </c>
      <c r="Q5345" s="29">
        <v>1800</v>
      </c>
      <c r="R5345" s="31">
        <v>46034</v>
      </c>
      <c r="S5345" s="31" t="s">
        <v>3235</v>
      </c>
      <c r="T5345" s="95" t="str">
        <f t="shared" si="398"/>
        <v>2026 01</v>
      </c>
      <c r="U5345" s="32">
        <f t="shared" si="403"/>
        <v>912.79054033011539</v>
      </c>
      <c r="V5345" s="22">
        <f t="shared" si="404"/>
        <v>1.0288331919609481</v>
      </c>
      <c r="X5345" s="33"/>
      <c r="Y5345" s="33"/>
    </row>
    <row r="5346" spans="1:25" x14ac:dyDescent="0.2">
      <c r="A5346" s="93" t="s">
        <v>5076</v>
      </c>
      <c r="B5346" s="94">
        <f>IFERROR(VLOOKUP($A5346,HeadJournal!$A$1:$NTR$890,COLUMN(HeadJournal!B$1),0),"")</f>
        <v>0</v>
      </c>
      <c r="C5346" s="94" t="str">
        <f>IFERROR(VLOOKUP($A5346,HeadJournal!$A$1:$NTR$890,COLUMN(HeadJournal!C$1),0),"")</f>
        <v>iHerb_VP DFD1605</v>
      </c>
      <c r="D5346" s="125" t="str">
        <f>IFERROR(VLOOKUP($A5346,HeadJournal!$A$1:$NTR$890,COLUMN(HeadJournal!D$1),0),"")</f>
        <v>Доставлен</v>
      </c>
      <c r="E5346" s="95">
        <f>IFERROR(VLOOKUP($A5346,HeadJournal!$A$1:$NTR$890,COLUMN(HeadJournal!G$1),0),"")</f>
        <v>45989</v>
      </c>
      <c r="F5346" s="95" t="str">
        <f t="shared" si="397"/>
        <v>2025 11</v>
      </c>
      <c r="G5346" s="97" t="s">
        <v>5</v>
      </c>
      <c r="H5346" s="161" t="s">
        <v>5069</v>
      </c>
      <c r="I5346" s="97" t="s">
        <v>2008</v>
      </c>
      <c r="J5346" s="97" t="s">
        <v>5070</v>
      </c>
      <c r="K5346" s="29">
        <v>12.87</v>
      </c>
      <c r="L5346" s="29">
        <v>-3.22</v>
      </c>
      <c r="M5346" s="30">
        <f>IFERROR(VLOOKUP($A5346,HeadJournal!$A$1:$J$890,COLUMN(HeadJournal!I$1),0)*($K5346+$L5346)/(SUMIF($A:$A,$A5346,$K:$K)+SUMIF($A:$A,$A5346,$L:$L)),0)</f>
        <v>0</v>
      </c>
      <c r="N5346" s="30">
        <f>IFERROR((VLOOKUP($A5346,HeadJournal!$A$1:$K$890,COLUMN(HeadJournal!K$1),0)-VLOOKUP($A5346,HeadJournal!$A$1:$K$890,COLUMN(HeadJournal!J$1),0))*($K5346+$L5346)/(SUMIF($A:$A,$A5346,$K:$K)+SUMIF($A:$A,$A5346,$L:$L)),0)</f>
        <v>-1.4235933561891342E-15</v>
      </c>
      <c r="O5346" s="30">
        <f>IFERROR((VLOOKUP($A5346,HeadJournal!$A$1:$L$890,COLUMN(HeadJournal!L$1),0)*($K5346+$L5346)/(SUMIF($A:$A,$A5346,$K:$K)+SUMIF($A:$A,$A5346,$L:$L)))/VLOOKUP($A5346,HeadJournal!$A$1:$L$890,COLUMN(HeadJournal!H$1),0),0)</f>
        <v>0.21383893869961959</v>
      </c>
      <c r="P5346" s="30">
        <f>IFERROR(SUM(K5346:O5346)*VLOOKUP($A5346,HeadJournal!$A$1:$L$890,COLUMN(HeadJournal!H$1),0),0)</f>
        <v>887.20945966988461</v>
      </c>
      <c r="Q5346" s="29">
        <v>1800</v>
      </c>
      <c r="R5346" s="31">
        <v>46034</v>
      </c>
      <c r="S5346" s="31" t="s">
        <v>5105</v>
      </c>
      <c r="T5346" s="95" t="str">
        <f t="shared" si="398"/>
        <v>2026 01</v>
      </c>
      <c r="U5346" s="32">
        <f t="shared" si="403"/>
        <v>912.79054033011539</v>
      </c>
      <c r="V5346" s="22">
        <f t="shared" si="404"/>
        <v>1.0288331919609481</v>
      </c>
      <c r="X5346" s="33"/>
      <c r="Y5346" s="33"/>
    </row>
    <row r="5347" spans="1:25" x14ac:dyDescent="0.2">
      <c r="A5347" s="93" t="s">
        <v>5076</v>
      </c>
      <c r="B5347" s="94">
        <f>IFERROR(VLOOKUP($A5347,HeadJournal!$A$1:$NTR$890,COLUMN(HeadJournal!B$1),0),"")</f>
        <v>0</v>
      </c>
      <c r="C5347" s="94" t="str">
        <f>IFERROR(VLOOKUP($A5347,HeadJournal!$A$1:$NTR$890,COLUMN(HeadJournal!C$1),0),"")</f>
        <v>iHerb_VP DFD1605</v>
      </c>
      <c r="D5347" s="125" t="str">
        <f>IFERROR(VLOOKUP($A5347,HeadJournal!$A$1:$NTR$890,COLUMN(HeadJournal!D$1),0),"")</f>
        <v>Доставлен</v>
      </c>
      <c r="E5347" s="95">
        <f>IFERROR(VLOOKUP($A5347,HeadJournal!$A$1:$NTR$890,COLUMN(HeadJournal!G$1),0),"")</f>
        <v>45989</v>
      </c>
      <c r="F5347" s="95" t="str">
        <f t="shared" si="397"/>
        <v>2025 11</v>
      </c>
      <c r="G5347" s="97" t="s">
        <v>5</v>
      </c>
      <c r="H5347" s="161" t="s">
        <v>2548</v>
      </c>
      <c r="I5347" s="97" t="s">
        <v>2005</v>
      </c>
      <c r="J5347" s="97" t="s">
        <v>2549</v>
      </c>
      <c r="K5347" s="29">
        <v>13.03</v>
      </c>
      <c r="L5347" s="29">
        <v>-3.26</v>
      </c>
      <c r="M5347" s="30">
        <f>IFERROR(VLOOKUP($A5347,HeadJournal!$A$1:$J$890,COLUMN(HeadJournal!I$1),0)*($K5347+$L5347)/(SUMIF($A:$A,$A5347,$K:$K)+SUMIF($A:$A,$A5347,$L:$L)),0)</f>
        <v>0</v>
      </c>
      <c r="N5347" s="30">
        <f>IFERROR((VLOOKUP($A5347,HeadJournal!$A$1:$K$890,COLUMN(HeadJournal!K$1),0)-VLOOKUP($A5347,HeadJournal!$A$1:$K$890,COLUMN(HeadJournal!J$1),0))*($K5347+$L5347)/(SUMIF($A:$A,$A5347,$K:$K)+SUMIF($A:$A,$A5347,$L:$L)),0)</f>
        <v>-1.4412960714992582E-15</v>
      </c>
      <c r="O5347" s="30">
        <f>IFERROR((VLOOKUP($A5347,HeadJournal!$A$1:$L$890,COLUMN(HeadJournal!L$1),0)*($K5347+$L5347)/(SUMIF($A:$A,$A5347,$K:$K)+SUMIF($A:$A,$A5347,$L:$L)))/VLOOKUP($A5347,HeadJournal!$A$1:$L$890,COLUMN(HeadJournal!H$1),0),0)</f>
        <v>0.21649807576116925</v>
      </c>
      <c r="P5347" s="30">
        <f>IFERROR(SUM(K5347:O5347)*VLOOKUP($A5347,HeadJournal!$A$1:$L$890,COLUMN(HeadJournal!H$1),0),0)</f>
        <v>898.24211616318894</v>
      </c>
      <c r="Q5347" s="29">
        <v>1800</v>
      </c>
      <c r="R5347" s="31">
        <v>46034</v>
      </c>
      <c r="S5347" s="31" t="s">
        <v>5105</v>
      </c>
      <c r="T5347" s="95" t="str">
        <f t="shared" si="398"/>
        <v>2026 01</v>
      </c>
      <c r="U5347" s="32">
        <f t="shared" si="403"/>
        <v>901.75788383681106</v>
      </c>
      <c r="V5347" s="22">
        <f t="shared" si="404"/>
        <v>1.0039140534721747</v>
      </c>
      <c r="X5347" s="33"/>
      <c r="Y5347" s="33"/>
    </row>
    <row r="5348" spans="1:25" x14ac:dyDescent="0.2">
      <c r="A5348" s="93" t="s">
        <v>5076</v>
      </c>
      <c r="B5348" s="94">
        <f>IFERROR(VLOOKUP($A5348,HeadJournal!$A$1:$NTR$890,COLUMN(HeadJournal!B$1),0),"")</f>
        <v>0</v>
      </c>
      <c r="C5348" s="94" t="str">
        <f>IFERROR(VLOOKUP($A5348,HeadJournal!$A$1:$NTR$890,COLUMN(HeadJournal!C$1),0),"")</f>
        <v>iHerb_VP DFD1605</v>
      </c>
      <c r="D5348" s="125" t="str">
        <f>IFERROR(VLOOKUP($A5348,HeadJournal!$A$1:$NTR$890,COLUMN(HeadJournal!D$1),0),"")</f>
        <v>Доставлен</v>
      </c>
      <c r="E5348" s="95">
        <f>IFERROR(VLOOKUP($A5348,HeadJournal!$A$1:$NTR$890,COLUMN(HeadJournal!G$1),0),"")</f>
        <v>45989</v>
      </c>
      <c r="F5348" s="95" t="str">
        <f t="shared" si="397"/>
        <v>2025 11</v>
      </c>
      <c r="G5348" s="97" t="s">
        <v>5</v>
      </c>
      <c r="H5348" s="161" t="s">
        <v>4150</v>
      </c>
      <c r="I5348" s="97" t="s">
        <v>2163</v>
      </c>
      <c r="J5348" s="97" t="s">
        <v>4151</v>
      </c>
      <c r="K5348" s="29">
        <v>48.2</v>
      </c>
      <c r="L5348" s="29">
        <v>-12.05</v>
      </c>
      <c r="M5348" s="30">
        <f>IFERROR(VLOOKUP($A5348,HeadJournal!$A$1:$J$890,COLUMN(HeadJournal!I$1),0)*($K5348+$L5348)/(SUMIF($A:$A,$A5348,$K:$K)+SUMIF($A:$A,$A5348,$L:$L)),0)</f>
        <v>0</v>
      </c>
      <c r="N5348" s="30">
        <f>IFERROR((VLOOKUP($A5348,HeadJournal!$A$1:$K$890,COLUMN(HeadJournal!K$1),0)-VLOOKUP($A5348,HeadJournal!$A$1:$K$890,COLUMN(HeadJournal!J$1),0))*($K5348+$L5348)/(SUMIF($A:$A,$A5348,$K:$K)+SUMIF($A:$A,$A5348,$L:$L)),0)</f>
        <v>-5.3329429871748411E-15</v>
      </c>
      <c r="O5348" s="30">
        <f>IFERROR((VLOOKUP($A5348,HeadJournal!$A$1:$L$890,COLUMN(HeadJournal!L$1),0)*($K5348+$L5348)/(SUMIF($A:$A,$A5348,$K:$K)+SUMIF($A:$A,$A5348,$L:$L)))/VLOOKUP($A5348,HeadJournal!$A$1:$L$890,COLUMN(HeadJournal!H$1),0),0)</f>
        <v>0.80106503979183941</v>
      </c>
      <c r="P5348" s="30">
        <f>IFERROR(SUM(K5348:O5348)*VLOOKUP($A5348,HeadJournal!$A$1:$L$890,COLUMN(HeadJournal!H$1),0),0)</f>
        <v>3323.5877686079102</v>
      </c>
      <c r="Q5348" s="29">
        <v>4900</v>
      </c>
      <c r="R5348" s="31">
        <v>46032</v>
      </c>
      <c r="S5348" s="31" t="s">
        <v>3226</v>
      </c>
      <c r="T5348" s="95" t="str">
        <f t="shared" si="398"/>
        <v>2026 01</v>
      </c>
      <c r="U5348" s="32">
        <f t="shared" si="403"/>
        <v>1576.4122313920898</v>
      </c>
      <c r="V5348" s="22">
        <f t="shared" si="404"/>
        <v>0.47431039621751059</v>
      </c>
      <c r="X5348" s="33"/>
      <c r="Y5348" s="33"/>
    </row>
    <row r="5349" spans="1:25" x14ac:dyDescent="0.2">
      <c r="A5349" s="93" t="s">
        <v>5076</v>
      </c>
      <c r="B5349" s="94">
        <f>IFERROR(VLOOKUP($A5349,HeadJournal!$A$1:$NTR$890,COLUMN(HeadJournal!B$1),0),"")</f>
        <v>0</v>
      </c>
      <c r="C5349" s="94" t="str">
        <f>IFERROR(VLOOKUP($A5349,HeadJournal!$A$1:$NTR$890,COLUMN(HeadJournal!C$1),0),"")</f>
        <v>iHerb_VP DFD1605</v>
      </c>
      <c r="D5349" s="125" t="str">
        <f>IFERROR(VLOOKUP($A5349,HeadJournal!$A$1:$NTR$890,COLUMN(HeadJournal!D$1),0),"")</f>
        <v>Доставлен</v>
      </c>
      <c r="E5349" s="95">
        <f>IFERROR(VLOOKUP($A5349,HeadJournal!$A$1:$NTR$890,COLUMN(HeadJournal!G$1),0),"")</f>
        <v>45989</v>
      </c>
      <c r="F5349" s="95" t="str">
        <f t="shared" si="397"/>
        <v>2025 11</v>
      </c>
      <c r="G5349" s="97" t="s">
        <v>5</v>
      </c>
      <c r="H5349" s="161" t="s">
        <v>5071</v>
      </c>
      <c r="I5349" s="97" t="s">
        <v>2005</v>
      </c>
      <c r="J5349" s="97" t="s">
        <v>5072</v>
      </c>
      <c r="K5349" s="29">
        <v>14.48</v>
      </c>
      <c r="L5349" s="29">
        <v>0</v>
      </c>
      <c r="M5349" s="30">
        <f>IFERROR(VLOOKUP($A5349,HeadJournal!$A$1:$J$890,COLUMN(HeadJournal!I$1),0)*($K5349+$L5349)/(SUMIF($A:$A,$A5349,$K:$K)+SUMIF($A:$A,$A5349,$L:$L)),0)</f>
        <v>0</v>
      </c>
      <c r="N5349" s="30">
        <f>IFERROR((VLOOKUP($A5349,HeadJournal!$A$1:$K$890,COLUMN(HeadJournal!K$1),0)-VLOOKUP($A5349,HeadJournal!$A$1:$K$890,COLUMN(HeadJournal!J$1),0))*($K5349+$L5349)/(SUMIF($A:$A,$A5349,$K:$K)+SUMIF($A:$A,$A5349,$L:$L)),0)</f>
        <v>-2.1361276474216234E-15</v>
      </c>
      <c r="O5349" s="30">
        <f>IFERROR((VLOOKUP($A5349,HeadJournal!$A$1:$L$890,COLUMN(HeadJournal!L$1),0)*($K5349+$L5349)/(SUMIF($A:$A,$A5349,$K:$K)+SUMIF($A:$A,$A5349,$L:$L)))/VLOOKUP($A5349,HeadJournal!$A$1:$L$890,COLUMN(HeadJournal!H$1),0),0)</f>
        <v>0.32086920542699393</v>
      </c>
      <c r="P5349" s="30">
        <f>IFERROR(SUM(K5349:O5349)*VLOOKUP($A5349,HeadJournal!$A$1:$L$890,COLUMN(HeadJournal!H$1),0),0)</f>
        <v>1331.2738835253815</v>
      </c>
      <c r="Q5349" s="29">
        <v>1800</v>
      </c>
      <c r="R5349" s="31">
        <v>46032</v>
      </c>
      <c r="S5349" s="31" t="s">
        <v>4555</v>
      </c>
      <c r="T5349" s="95" t="str">
        <f t="shared" si="398"/>
        <v>2026 01</v>
      </c>
      <c r="U5349" s="32">
        <f t="shared" si="403"/>
        <v>468.72611647461849</v>
      </c>
      <c r="V5349" s="22">
        <f t="shared" si="404"/>
        <v>0.35208841867563156</v>
      </c>
      <c r="X5349" s="33"/>
      <c r="Y5349" s="33"/>
    </row>
    <row r="5350" spans="1:25" x14ac:dyDescent="0.2">
      <c r="A5350" s="93" t="s">
        <v>5076</v>
      </c>
      <c r="B5350" s="94">
        <f>IFERROR(VLOOKUP($A5350,HeadJournal!$A$1:$NTR$890,COLUMN(HeadJournal!B$1),0),"")</f>
        <v>0</v>
      </c>
      <c r="C5350" s="94" t="str">
        <f>IFERROR(VLOOKUP($A5350,HeadJournal!$A$1:$NTR$890,COLUMN(HeadJournal!C$1),0),"")</f>
        <v>iHerb_VP DFD1605</v>
      </c>
      <c r="D5350" s="125" t="str">
        <f>IFERROR(VLOOKUP($A5350,HeadJournal!$A$1:$NTR$890,COLUMN(HeadJournal!D$1),0),"")</f>
        <v>Доставлен</v>
      </c>
      <c r="E5350" s="95">
        <f>IFERROR(VLOOKUP($A5350,HeadJournal!$A$1:$NTR$890,COLUMN(HeadJournal!G$1),0),"")</f>
        <v>45989</v>
      </c>
      <c r="F5350" s="95" t="str">
        <f t="shared" si="397"/>
        <v>2025 11</v>
      </c>
      <c r="G5350" s="97" t="s">
        <v>5</v>
      </c>
      <c r="H5350" s="161" t="s">
        <v>3042</v>
      </c>
      <c r="I5350" s="97" t="s">
        <v>2750</v>
      </c>
      <c r="J5350" s="97" t="s">
        <v>3043</v>
      </c>
      <c r="K5350" s="29">
        <v>24.86</v>
      </c>
      <c r="L5350" s="29">
        <v>-6.22</v>
      </c>
      <c r="M5350" s="30">
        <f>IFERROR(VLOOKUP($A5350,HeadJournal!$A$1:$J$890,COLUMN(HeadJournal!I$1),0)*($K5350+$L5350)/(SUMIF($A:$A,$A5350,$K:$K)+SUMIF($A:$A,$A5350,$L:$L)),0)</f>
        <v>0</v>
      </c>
      <c r="N5350" s="30">
        <f>IFERROR((VLOOKUP($A5350,HeadJournal!$A$1:$K$890,COLUMN(HeadJournal!K$1),0)-VLOOKUP($A5350,HeadJournal!$A$1:$K$890,COLUMN(HeadJournal!J$1),0))*($K5350+$L5350)/(SUMIF($A:$A,$A5350,$K:$K)+SUMIF($A:$A,$A5350,$L:$L)),0)</f>
        <v>-2.749821778172587E-15</v>
      </c>
      <c r="O5350" s="30">
        <f>IFERROR((VLOOKUP($A5350,HeadJournal!$A$1:$L$890,COLUMN(HeadJournal!L$1),0)*($K5350+$L5350)/(SUMIF($A:$A,$A5350,$K:$K)+SUMIF($A:$A,$A5350,$L:$L)))/VLOOKUP($A5350,HeadJournal!$A$1:$L$890,COLUMN(HeadJournal!H$1),0),0)</f>
        <v>0.41305262356071604</v>
      </c>
      <c r="P5350" s="30">
        <f>IFERROR(SUM(K5350:O5350)*VLOOKUP($A5350,HeadJournal!$A$1:$L$890,COLUMN(HeadJournal!H$1),0),0)</f>
        <v>1713.7393086265959</v>
      </c>
      <c r="Q5350" s="29">
        <v>2900</v>
      </c>
      <c r="R5350" s="31">
        <v>46032</v>
      </c>
      <c r="S5350" s="31" t="s">
        <v>4555</v>
      </c>
      <c r="T5350" s="95" t="str">
        <f t="shared" si="398"/>
        <v>2026 01</v>
      </c>
      <c r="U5350" s="32">
        <f t="shared" si="403"/>
        <v>1186.2606913734041</v>
      </c>
      <c r="V5350" s="22">
        <f t="shared" si="404"/>
        <v>0.69220603472303077</v>
      </c>
      <c r="X5350" s="33"/>
      <c r="Y5350" s="33"/>
    </row>
    <row r="5351" spans="1:25" x14ac:dyDescent="0.2">
      <c r="A5351" s="93" t="s">
        <v>5076</v>
      </c>
      <c r="B5351" s="94">
        <f>IFERROR(VLOOKUP($A5351,HeadJournal!$A$1:$NTR$890,COLUMN(HeadJournal!B$1),0),"")</f>
        <v>0</v>
      </c>
      <c r="C5351" s="94" t="str">
        <f>IFERROR(VLOOKUP($A5351,HeadJournal!$A$1:$NTR$890,COLUMN(HeadJournal!C$1),0),"")</f>
        <v>iHerb_VP DFD1605</v>
      </c>
      <c r="D5351" s="125" t="str">
        <f>IFERROR(VLOOKUP($A5351,HeadJournal!$A$1:$NTR$890,COLUMN(HeadJournal!D$1),0),"")</f>
        <v>Доставлен</v>
      </c>
      <c r="E5351" s="95">
        <f>IFERROR(VLOOKUP($A5351,HeadJournal!$A$1:$NTR$890,COLUMN(HeadJournal!G$1),0),"")</f>
        <v>45989</v>
      </c>
      <c r="F5351" s="95" t="str">
        <f t="shared" si="397"/>
        <v>2025 11</v>
      </c>
      <c r="G5351" s="97" t="s">
        <v>5</v>
      </c>
      <c r="H5351" s="161" t="s">
        <v>5073</v>
      </c>
      <c r="I5351" s="97" t="s">
        <v>2009</v>
      </c>
      <c r="J5351" s="97" t="s">
        <v>5074</v>
      </c>
      <c r="K5351" s="29">
        <v>27.14</v>
      </c>
      <c r="L5351" s="29">
        <v>-6.79</v>
      </c>
      <c r="M5351" s="30">
        <f>IFERROR(VLOOKUP($A5351,HeadJournal!$A$1:$J$890,COLUMN(HeadJournal!I$1),0)*($K5351+$L5351)/(SUMIF($A:$A,$A5351,$K:$K)+SUMIF($A:$A,$A5351,$L:$L)),0)</f>
        <v>0</v>
      </c>
      <c r="N5351" s="30">
        <f>IFERROR((VLOOKUP($A5351,HeadJournal!$A$1:$K$890,COLUMN(HeadJournal!K$1),0)-VLOOKUP($A5351,HeadJournal!$A$1:$K$890,COLUMN(HeadJournal!J$1),0))*($K5351+$L5351)/(SUMIF($A:$A,$A5351,$K:$K)+SUMIF($A:$A,$A5351,$L:$L)),0)</f>
        <v>-3.0020854713418534E-15</v>
      </c>
      <c r="O5351" s="30">
        <f>IFERROR((VLOOKUP($A5351,HeadJournal!$A$1:$L$890,COLUMN(HeadJournal!L$1),0)*($K5351+$L5351)/(SUMIF($A:$A,$A5351,$K:$K)+SUMIF($A:$A,$A5351,$L:$L)))/VLOOKUP($A5351,HeadJournal!$A$1:$L$890,COLUMN(HeadJournal!H$1),0),0)</f>
        <v>0.45094532668779891</v>
      </c>
      <c r="P5351" s="30">
        <f>IFERROR(SUM(K5351:O5351)*VLOOKUP($A5351,HeadJournal!$A$1:$L$890,COLUMN(HeadJournal!H$1),0),0)</f>
        <v>1870.9546636561818</v>
      </c>
      <c r="Q5351" s="29">
        <v>3000</v>
      </c>
      <c r="R5351" s="31">
        <v>46032</v>
      </c>
      <c r="S5351" s="31" t="s">
        <v>4555</v>
      </c>
      <c r="T5351" s="95" t="str">
        <f t="shared" si="398"/>
        <v>2026 01</v>
      </c>
      <c r="U5351" s="32">
        <f t="shared" si="403"/>
        <v>1129.0453363438182</v>
      </c>
      <c r="V5351" s="22">
        <f t="shared" si="404"/>
        <v>0.60345948422793994</v>
      </c>
      <c r="X5351" s="33"/>
      <c r="Y5351" s="33"/>
    </row>
    <row r="5352" spans="1:25" x14ac:dyDescent="0.2">
      <c r="A5352" s="93" t="s">
        <v>5076</v>
      </c>
      <c r="B5352" s="94">
        <f>IFERROR(VLOOKUP($A5352,HeadJournal!$A$1:$NTR$890,COLUMN(HeadJournal!B$1),0),"")</f>
        <v>0</v>
      </c>
      <c r="C5352" s="94" t="str">
        <f>IFERROR(VLOOKUP($A5352,HeadJournal!$A$1:$NTR$890,COLUMN(HeadJournal!C$1),0),"")</f>
        <v>iHerb_VP DFD1605</v>
      </c>
      <c r="D5352" s="125" t="str">
        <f>IFERROR(VLOOKUP($A5352,HeadJournal!$A$1:$NTR$890,COLUMN(HeadJournal!D$1),0),"")</f>
        <v>Доставлен</v>
      </c>
      <c r="E5352" s="95">
        <f>IFERROR(VLOOKUP($A5352,HeadJournal!$A$1:$NTR$890,COLUMN(HeadJournal!G$1),0),"")</f>
        <v>45989</v>
      </c>
      <c r="F5352" s="95" t="str">
        <f t="shared" si="397"/>
        <v>2025 11</v>
      </c>
      <c r="G5352" s="97" t="s">
        <v>5</v>
      </c>
      <c r="H5352" s="161" t="s">
        <v>2790</v>
      </c>
      <c r="I5352" s="97" t="s">
        <v>2666</v>
      </c>
      <c r="J5352" s="97" t="s">
        <v>5075</v>
      </c>
      <c r="K5352" s="29">
        <v>9.59</v>
      </c>
      <c r="L5352" s="29">
        <v>-2.4</v>
      </c>
      <c r="M5352" s="30">
        <f>IFERROR(VLOOKUP($A5352,HeadJournal!$A$1:$J$890,COLUMN(HeadJournal!I$1),0)*($K5352+$L5352)/(SUMIF($A:$A,$A5352,$K:$K)+SUMIF($A:$A,$A5352,$L:$L)),0)</f>
        <v>0</v>
      </c>
      <c r="N5352" s="30">
        <f>IFERROR((VLOOKUP($A5352,HeadJournal!$A$1:$K$890,COLUMN(HeadJournal!K$1),0)-VLOOKUP($A5352,HeadJournal!$A$1:$K$890,COLUMN(HeadJournal!J$1),0))*($K5352+$L5352)/(SUMIF($A:$A,$A5352,$K:$K)+SUMIF($A:$A,$A5352,$L:$L)),0)</f>
        <v>-1.0606876923315933E-15</v>
      </c>
      <c r="O5352" s="30">
        <f>IFERROR((VLOOKUP($A5352,HeadJournal!$A$1:$L$890,COLUMN(HeadJournal!L$1),0)*($K5352+$L5352)/(SUMIF($A:$A,$A5352,$K:$K)+SUMIF($A:$A,$A5352,$L:$L)))/VLOOKUP($A5352,HeadJournal!$A$1:$L$890,COLUMN(HeadJournal!H$1),0),0)</f>
        <v>0.15932662893785129</v>
      </c>
      <c r="P5352" s="30">
        <f>IFERROR(SUM(K5352:O5352)*VLOOKUP($A5352,HeadJournal!$A$1:$L$890,COLUMN(HeadJournal!H$1),0),0)</f>
        <v>661.04000155714721</v>
      </c>
      <c r="Q5352" s="29"/>
      <c r="R5352" s="31"/>
      <c r="S5352" s="31"/>
      <c r="T5352" s="95" t="str">
        <f t="shared" si="398"/>
        <v/>
      </c>
      <c r="U5352" s="32">
        <f t="shared" si="403"/>
        <v>-661.04000155714721</v>
      </c>
      <c r="V5352" s="22" t="str">
        <f t="shared" si="404"/>
        <v/>
      </c>
      <c r="X5352" s="33"/>
      <c r="Y5352" s="33"/>
    </row>
    <row r="5353" spans="1:25" x14ac:dyDescent="0.2">
      <c r="A5353" s="93" t="s">
        <v>5077</v>
      </c>
      <c r="B5353" s="94">
        <f>IFERROR(VLOOKUP($A5353,HeadJournal!$A$1:$NTR$890,COLUMN(HeadJournal!B$1),0),"")</f>
        <v>0</v>
      </c>
      <c r="C5353" s="94" t="str">
        <f>IFERROR(VLOOKUP($A5353,HeadJournal!$A$1:$NTR$890,COLUMN(HeadJournal!C$1),0),"")</f>
        <v>OZON_AV</v>
      </c>
      <c r="D5353" s="125" t="str">
        <f>IFERROR(VLOOKUP($A5353,HeadJournal!$A$1:$NTR$890,COLUMN(HeadJournal!D$1),0),"")</f>
        <v>Доставлен</v>
      </c>
      <c r="E5353" s="95">
        <f>IFERROR(VLOOKUP($A5353,HeadJournal!$A$1:$NTR$890,COLUMN(HeadJournal!G$1),0),"")</f>
        <v>45959</v>
      </c>
      <c r="F5353" s="95" t="str">
        <f t="shared" si="397"/>
        <v>2025 10</v>
      </c>
      <c r="G5353" s="96" t="s">
        <v>6</v>
      </c>
      <c r="H5353" s="161" t="s">
        <v>2238</v>
      </c>
      <c r="I5353" s="97" t="s">
        <v>2239</v>
      </c>
      <c r="J5353" s="97" t="s">
        <v>275</v>
      </c>
      <c r="K5353" s="29">
        <v>1412</v>
      </c>
      <c r="L5353" s="29"/>
      <c r="M5353" s="30">
        <f>IFERROR(VLOOKUP($A5353,HeadJournal!$A$1:$J$890,COLUMN(HeadJournal!I$1),0)*($K5353+$L5353)/(SUMIF($A:$A,$A5353,$K:$K)+SUMIF($A:$A,$A5353,$L:$L)),0)</f>
        <v>0</v>
      </c>
      <c r="N5353" s="30">
        <f>IFERROR((VLOOKUP($A5353,HeadJournal!$A$1:$K$890,COLUMN(HeadJournal!K$1),0)-VLOOKUP($A5353,HeadJournal!$A$1:$K$890,COLUMN(HeadJournal!J$1),0))*($K5353+$L5353)/(SUMIF($A:$A,$A5353,$K:$K)+SUMIF($A:$A,$A5353,$L:$L)),0)</f>
        <v>0</v>
      </c>
      <c r="O5353" s="30">
        <f>IFERROR((VLOOKUP($A5353,HeadJournal!$A$1:$L$890,COLUMN(HeadJournal!L$1),0)*($K5353+$L5353)/(SUMIF($A:$A,$A5353,$K:$K)+SUMIF($A:$A,$A5353,$L:$L)))/VLOOKUP($A5353,HeadJournal!$A$1:$L$890,COLUMN(HeadJournal!H$1),0),0)</f>
        <v>0</v>
      </c>
      <c r="P5353" s="30">
        <f>IFERROR(SUM(K5353:O5353)*VLOOKUP($A5353,HeadJournal!$A$1:$L$890,COLUMN(HeadJournal!H$1),0),0)</f>
        <v>1412</v>
      </c>
      <c r="Q5353" s="29">
        <v>2200</v>
      </c>
      <c r="R5353" s="31">
        <v>45993</v>
      </c>
      <c r="S5353" s="31"/>
      <c r="T5353" s="95" t="str">
        <f t="shared" si="398"/>
        <v>2025 12</v>
      </c>
      <c r="U5353" s="32">
        <f t="shared" si="403"/>
        <v>788</v>
      </c>
      <c r="V5353" s="22">
        <f t="shared" si="404"/>
        <v>0.55807365439093481</v>
      </c>
      <c r="X5353" s="33"/>
      <c r="Y5353" s="33"/>
    </row>
    <row r="5354" spans="1:25" x14ac:dyDescent="0.2">
      <c r="A5354" s="93" t="s">
        <v>5077</v>
      </c>
      <c r="B5354" s="94">
        <f>IFERROR(VLOOKUP($A5354,HeadJournal!$A$1:$NTR$890,COLUMN(HeadJournal!B$1),0),"")</f>
        <v>0</v>
      </c>
      <c r="C5354" s="94" t="str">
        <f>IFERROR(VLOOKUP($A5354,HeadJournal!$A$1:$NTR$890,COLUMN(HeadJournal!C$1),0),"")</f>
        <v>OZON_AV</v>
      </c>
      <c r="D5354" s="125" t="str">
        <f>IFERROR(VLOOKUP($A5354,HeadJournal!$A$1:$NTR$890,COLUMN(HeadJournal!D$1),0),"")</f>
        <v>Доставлен</v>
      </c>
      <c r="E5354" s="95">
        <f>IFERROR(VLOOKUP($A5354,HeadJournal!$A$1:$NTR$890,COLUMN(HeadJournal!G$1),0),"")</f>
        <v>45959</v>
      </c>
      <c r="F5354" s="95" t="str">
        <f t="shared" si="397"/>
        <v>2025 10</v>
      </c>
      <c r="G5354" s="96" t="s">
        <v>6</v>
      </c>
      <c r="H5354" s="161" t="s">
        <v>2238</v>
      </c>
      <c r="I5354" s="97" t="s">
        <v>2239</v>
      </c>
      <c r="J5354" s="97" t="s">
        <v>275</v>
      </c>
      <c r="K5354" s="29">
        <v>1412</v>
      </c>
      <c r="L5354" s="29"/>
      <c r="M5354" s="30">
        <f>IFERROR(VLOOKUP($A5354,HeadJournal!$A$1:$J$890,COLUMN(HeadJournal!I$1),0)*($K5354+$L5354)/(SUMIF($A:$A,$A5354,$K:$K)+SUMIF($A:$A,$A5354,$L:$L)),0)</f>
        <v>0</v>
      </c>
      <c r="N5354" s="30">
        <f>IFERROR((VLOOKUP($A5354,HeadJournal!$A$1:$K$890,COLUMN(HeadJournal!K$1),0)-VLOOKUP($A5354,HeadJournal!$A$1:$K$890,COLUMN(HeadJournal!J$1),0))*($K5354+$L5354)/(SUMIF($A:$A,$A5354,$K:$K)+SUMIF($A:$A,$A5354,$L:$L)),0)</f>
        <v>0</v>
      </c>
      <c r="O5354" s="30">
        <f>IFERROR((VLOOKUP($A5354,HeadJournal!$A$1:$L$890,COLUMN(HeadJournal!L$1),0)*($K5354+$L5354)/(SUMIF($A:$A,$A5354,$K:$K)+SUMIF($A:$A,$A5354,$L:$L)))/VLOOKUP($A5354,HeadJournal!$A$1:$L$890,COLUMN(HeadJournal!H$1),0),0)</f>
        <v>0</v>
      </c>
      <c r="P5354" s="30">
        <f>IFERROR(SUM(K5354:O5354)*VLOOKUP($A5354,HeadJournal!$A$1:$L$890,COLUMN(HeadJournal!H$1),0),0)</f>
        <v>1412</v>
      </c>
      <c r="Q5354" s="29">
        <v>2200</v>
      </c>
      <c r="R5354" s="31">
        <v>45993</v>
      </c>
      <c r="S5354" s="31"/>
      <c r="T5354" s="95" t="str">
        <f t="shared" si="398"/>
        <v>2025 12</v>
      </c>
      <c r="U5354" s="32">
        <f t="shared" si="403"/>
        <v>788</v>
      </c>
      <c r="V5354" s="22">
        <f t="shared" si="404"/>
        <v>0.55807365439093481</v>
      </c>
      <c r="X5354" s="33"/>
      <c r="Y5354" s="33"/>
    </row>
    <row r="5355" spans="1:25" x14ac:dyDescent="0.2">
      <c r="A5355" s="93" t="s">
        <v>5078</v>
      </c>
      <c r="B5355" s="94">
        <f>IFERROR(VLOOKUP($A5355,HeadJournal!$A$1:$NTR$890,COLUMN(HeadJournal!B$1),0),"")</f>
        <v>0</v>
      </c>
      <c r="C5355" s="94" t="str">
        <f>IFERROR(VLOOKUP($A5355,HeadJournal!$A$1:$NTR$890,COLUMN(HeadJournal!C$1),0),"")</f>
        <v>iHerb_VP DFD1605</v>
      </c>
      <c r="D5355" s="125" t="str">
        <f>IFERROR(VLOOKUP($A5355,HeadJournal!$A$1:$NTR$890,COLUMN(HeadJournal!D$1),0),"")</f>
        <v>Доставлен</v>
      </c>
      <c r="E5355" s="95">
        <f>IFERROR(VLOOKUP($A5355,HeadJournal!$A$1:$NTR$890,COLUMN(HeadJournal!G$1),0),"")</f>
        <v>45993</v>
      </c>
      <c r="F5355" s="95" t="str">
        <f t="shared" si="397"/>
        <v>2025 12</v>
      </c>
      <c r="G5355" s="97" t="s">
        <v>5</v>
      </c>
      <c r="H5355" s="161" t="s">
        <v>3992</v>
      </c>
      <c r="I5355" s="97" t="s">
        <v>2666</v>
      </c>
      <c r="J5355" s="97" t="s">
        <v>3993</v>
      </c>
      <c r="K5355" s="29">
        <v>29.68</v>
      </c>
      <c r="L5355" s="29">
        <v>-7.42</v>
      </c>
      <c r="M5355" s="30">
        <f>IFERROR(VLOOKUP($A5355,HeadJournal!$A$1:$J$890,COLUMN(HeadJournal!I$1),0)*($K5355+$L5355)/(SUMIF($A:$A,$A5355,$K:$K)+SUMIF($A:$A,$A5355,$L:$L)),0)</f>
        <v>0</v>
      </c>
      <c r="N5355" s="30">
        <f>IFERROR((VLOOKUP($A5355,HeadJournal!$A$1:$K$890,COLUMN(HeadJournal!K$1),0)-VLOOKUP($A5355,HeadJournal!$A$1:$K$890,COLUMN(HeadJournal!J$1),0))*($K5355+$L5355)/(SUMIF($A:$A,$A5355,$K:$K)+SUMIF($A:$A,$A5355,$L:$L)),0)</f>
        <v>-3.4462754761999837E-15</v>
      </c>
      <c r="O5355" s="30">
        <f>IFERROR((VLOOKUP($A5355,HeadJournal!$A$1:$L$890,COLUMN(HeadJournal!L$1),0)*($K5355+$L5355)/(SUMIF($A:$A,$A5355,$K:$K)+SUMIF($A:$A,$A5355,$L:$L)))/VLOOKUP($A5355,HeadJournal!$A$1:$L$890,COLUMN(HeadJournal!H$1),0),0)</f>
        <v>0.52693146064091045</v>
      </c>
      <c r="P5355" s="30">
        <f>IFERROR(SUM(K5355:O5355)*VLOOKUP($A5355,HeadJournal!$A$1:$L$890,COLUMN(HeadJournal!H$1),0),0)</f>
        <v>2013.5514718378902</v>
      </c>
      <c r="Q5355" s="29">
        <v>3500</v>
      </c>
      <c r="R5355" s="31">
        <v>46038</v>
      </c>
      <c r="S5355" s="31"/>
      <c r="T5355" s="95" t="str">
        <f t="shared" si="398"/>
        <v>2026 01</v>
      </c>
      <c r="U5355" s="32">
        <f t="shared" si="403"/>
        <v>1486.4485281621098</v>
      </c>
      <c r="V5355" s="22">
        <f t="shared" si="404"/>
        <v>0.7382222649641722</v>
      </c>
      <c r="X5355" s="33"/>
      <c r="Y5355" s="33"/>
    </row>
    <row r="5356" spans="1:25" x14ac:dyDescent="0.2">
      <c r="A5356" s="93" t="s">
        <v>5078</v>
      </c>
      <c r="B5356" s="94">
        <f>IFERROR(VLOOKUP($A5356,HeadJournal!$A$1:$NTR$890,COLUMN(HeadJournal!B$1),0),"")</f>
        <v>0</v>
      </c>
      <c r="C5356" s="94" t="str">
        <f>IFERROR(VLOOKUP($A5356,HeadJournal!$A$1:$NTR$890,COLUMN(HeadJournal!C$1),0),"")</f>
        <v>iHerb_VP DFD1605</v>
      </c>
      <c r="D5356" s="125" t="str">
        <f>IFERROR(VLOOKUP($A5356,HeadJournal!$A$1:$NTR$890,COLUMN(HeadJournal!D$1),0),"")</f>
        <v>Доставлен</v>
      </c>
      <c r="E5356" s="95">
        <f>IFERROR(VLOOKUP($A5356,HeadJournal!$A$1:$NTR$890,COLUMN(HeadJournal!G$1),0),"")</f>
        <v>45993</v>
      </c>
      <c r="F5356" s="95" t="str">
        <f t="shared" si="397"/>
        <v>2025 12</v>
      </c>
      <c r="G5356" s="97" t="s">
        <v>5</v>
      </c>
      <c r="H5356" s="161" t="s">
        <v>2997</v>
      </c>
      <c r="I5356" s="97" t="s">
        <v>2102</v>
      </c>
      <c r="J5356" s="97" t="s">
        <v>4952</v>
      </c>
      <c r="K5356" s="29">
        <v>32.43</v>
      </c>
      <c r="L5356" s="29">
        <v>-8.11</v>
      </c>
      <c r="M5356" s="30">
        <f>IFERROR(VLOOKUP($A5356,HeadJournal!$A$1:$J$890,COLUMN(HeadJournal!I$1),0)*($K5356+$L5356)/(SUMIF($A:$A,$A5356,$K:$K)+SUMIF($A:$A,$A5356,$L:$L)),0)</f>
        <v>0</v>
      </c>
      <c r="N5356" s="30">
        <f>IFERROR((VLOOKUP($A5356,HeadJournal!$A$1:$K$890,COLUMN(HeadJournal!K$1),0)-VLOOKUP($A5356,HeadJournal!$A$1:$K$890,COLUMN(HeadJournal!J$1),0))*($K5356+$L5356)/(SUMIF($A:$A,$A5356,$K:$K)+SUMIF($A:$A,$A5356,$L:$L)),0)</f>
        <v>-3.7652030359920762E-15</v>
      </c>
      <c r="O5356" s="30">
        <f>IFERROR((VLOOKUP($A5356,HeadJournal!$A$1:$L$890,COLUMN(HeadJournal!L$1),0)*($K5356+$L5356)/(SUMIF($A:$A,$A5356,$K:$K)+SUMIF($A:$A,$A5356,$L:$L)))/VLOOKUP($A5356,HeadJournal!$A$1:$L$890,COLUMN(HeadJournal!H$1),0),0)</f>
        <v>0.57569510884038377</v>
      </c>
      <c r="P5356" s="30">
        <f>IFERROR(SUM(K5356:O5356)*VLOOKUP($A5356,HeadJournal!$A$1:$L$890,COLUMN(HeadJournal!H$1),0),0)</f>
        <v>2199.8909162218106</v>
      </c>
      <c r="Q5356" s="29">
        <v>4200</v>
      </c>
      <c r="R5356" s="31">
        <v>46065</v>
      </c>
      <c r="S5356" s="31" t="s">
        <v>4996</v>
      </c>
      <c r="T5356" s="95" t="str">
        <f t="shared" si="398"/>
        <v>2026 02</v>
      </c>
      <c r="U5356" s="32">
        <f t="shared" si="403"/>
        <v>2000.1090837781894</v>
      </c>
      <c r="V5356" s="22">
        <f t="shared" si="404"/>
        <v>0.90918557326163463</v>
      </c>
      <c r="X5356" s="33"/>
      <c r="Y5356" s="33"/>
    </row>
    <row r="5357" spans="1:25" x14ac:dyDescent="0.2">
      <c r="A5357" s="93" t="s">
        <v>5078</v>
      </c>
      <c r="B5357" s="94">
        <f>IFERROR(VLOOKUP($A5357,HeadJournal!$A$1:$NTR$890,COLUMN(HeadJournal!B$1),0),"")</f>
        <v>0</v>
      </c>
      <c r="C5357" s="94" t="str">
        <f>IFERROR(VLOOKUP($A5357,HeadJournal!$A$1:$NTR$890,COLUMN(HeadJournal!C$1),0),"")</f>
        <v>iHerb_VP DFD1605</v>
      </c>
      <c r="D5357" s="125" t="str">
        <f>IFERROR(VLOOKUP($A5357,HeadJournal!$A$1:$NTR$890,COLUMN(HeadJournal!D$1),0),"")</f>
        <v>Доставлен</v>
      </c>
      <c r="E5357" s="95">
        <f>IFERROR(VLOOKUP($A5357,HeadJournal!$A$1:$NTR$890,COLUMN(HeadJournal!G$1),0),"")</f>
        <v>45993</v>
      </c>
      <c r="F5357" s="95" t="str">
        <f t="shared" si="397"/>
        <v>2025 12</v>
      </c>
      <c r="G5357" s="97" t="s">
        <v>5</v>
      </c>
      <c r="H5357" s="161" t="s">
        <v>2016</v>
      </c>
      <c r="I5357" s="97" t="s">
        <v>2005</v>
      </c>
      <c r="J5357" s="97" t="s">
        <v>2017</v>
      </c>
      <c r="K5357" s="29">
        <v>40.090000000000003</v>
      </c>
      <c r="L5357" s="29">
        <v>-10.025</v>
      </c>
      <c r="M5357" s="30">
        <f>IFERROR(VLOOKUP($A5357,HeadJournal!$A$1:$J$890,COLUMN(HeadJournal!I$1),0)*($K5357+$L5357)/(SUMIF($A:$A,$A5357,$K:$K)+SUMIF($A:$A,$A5357,$L:$L)),0)</f>
        <v>0</v>
      </c>
      <c r="N5357" s="30">
        <f>IFERROR((VLOOKUP($A5357,HeadJournal!$A$1:$K$890,COLUMN(HeadJournal!K$1),0)-VLOOKUP($A5357,HeadJournal!$A$1:$K$890,COLUMN(HeadJournal!J$1),0))*($K5357+$L5357)/(SUMIF($A:$A,$A5357,$K:$K)+SUMIF($A:$A,$A5357,$L:$L)),0)</f>
        <v>-4.6546393617229349E-15</v>
      </c>
      <c r="O5357" s="30">
        <f>IFERROR((VLOOKUP($A5357,HeadJournal!$A$1:$L$890,COLUMN(HeadJournal!L$1),0)*($K5357+$L5357)/(SUMIF($A:$A,$A5357,$K:$K)+SUMIF($A:$A,$A5357,$L:$L)))/VLOOKUP($A5357,HeadJournal!$A$1:$L$890,COLUMN(HeadJournal!H$1),0),0)</f>
        <v>0.71168887529959468</v>
      </c>
      <c r="P5357" s="30">
        <f>IFERROR(SUM(K5357:O5357)*VLOOKUP($A5357,HeadJournal!$A$1:$L$890,COLUMN(HeadJournal!H$1),0),0)</f>
        <v>2719.5608715546355</v>
      </c>
      <c r="Q5357" s="29">
        <v>4500</v>
      </c>
      <c r="R5357" s="31">
        <v>46058</v>
      </c>
      <c r="S5357" s="31" t="s">
        <v>3321</v>
      </c>
      <c r="T5357" s="95" t="str">
        <f t="shared" si="398"/>
        <v>2026 02</v>
      </c>
      <c r="U5357" s="32">
        <f t="shared" si="403"/>
        <v>1780.4391284453645</v>
      </c>
      <c r="V5357" s="22">
        <f t="shared" si="404"/>
        <v>0.65467890315232302</v>
      </c>
      <c r="X5357" s="33"/>
      <c r="Y5357" s="33"/>
    </row>
    <row r="5358" spans="1:25" x14ac:dyDescent="0.2">
      <c r="A5358" s="93" t="s">
        <v>5078</v>
      </c>
      <c r="B5358" s="94">
        <f>IFERROR(VLOOKUP($A5358,HeadJournal!$A$1:$NTR$890,COLUMN(HeadJournal!B$1),0),"")</f>
        <v>0</v>
      </c>
      <c r="C5358" s="94" t="str">
        <f>IFERROR(VLOOKUP($A5358,HeadJournal!$A$1:$NTR$890,COLUMN(HeadJournal!C$1),0),"")</f>
        <v>iHerb_VP DFD1605</v>
      </c>
      <c r="D5358" s="125" t="str">
        <f>IFERROR(VLOOKUP($A5358,HeadJournal!$A$1:$NTR$890,COLUMN(HeadJournal!D$1),0),"")</f>
        <v>Доставлен</v>
      </c>
      <c r="E5358" s="95">
        <f>IFERROR(VLOOKUP($A5358,HeadJournal!$A$1:$NTR$890,COLUMN(HeadJournal!G$1),0),"")</f>
        <v>45993</v>
      </c>
      <c r="F5358" s="95" t="str">
        <f t="shared" si="397"/>
        <v>2025 12</v>
      </c>
      <c r="G5358" s="97" t="s">
        <v>5</v>
      </c>
      <c r="H5358" s="161" t="s">
        <v>2016</v>
      </c>
      <c r="I5358" s="97" t="s">
        <v>2005</v>
      </c>
      <c r="J5358" s="97" t="s">
        <v>2017</v>
      </c>
      <c r="K5358" s="29">
        <v>40.090000000000003</v>
      </c>
      <c r="L5358" s="29">
        <v>-10.025</v>
      </c>
      <c r="M5358" s="30">
        <f>IFERROR(VLOOKUP($A5358,HeadJournal!$A$1:$J$890,COLUMN(HeadJournal!I$1),0)*($K5358+$L5358)/(SUMIF($A:$A,$A5358,$K:$K)+SUMIF($A:$A,$A5358,$L:$L)),0)</f>
        <v>0</v>
      </c>
      <c r="N5358" s="30">
        <f>IFERROR((VLOOKUP($A5358,HeadJournal!$A$1:$K$890,COLUMN(HeadJournal!K$1),0)-VLOOKUP($A5358,HeadJournal!$A$1:$K$890,COLUMN(HeadJournal!J$1),0))*($K5358+$L5358)/(SUMIF($A:$A,$A5358,$K:$K)+SUMIF($A:$A,$A5358,$L:$L)),0)</f>
        <v>-4.6546393617229349E-15</v>
      </c>
      <c r="O5358" s="30">
        <f>IFERROR((VLOOKUP($A5358,HeadJournal!$A$1:$L$890,COLUMN(HeadJournal!L$1),0)*($K5358+$L5358)/(SUMIF($A:$A,$A5358,$K:$K)+SUMIF($A:$A,$A5358,$L:$L)))/VLOOKUP($A5358,HeadJournal!$A$1:$L$890,COLUMN(HeadJournal!H$1),0),0)</f>
        <v>0.71168887529959468</v>
      </c>
      <c r="P5358" s="30">
        <f>IFERROR(SUM(K5358:O5358)*VLOOKUP($A5358,HeadJournal!$A$1:$L$890,COLUMN(HeadJournal!H$1),0),0)</f>
        <v>2719.5608715546355</v>
      </c>
      <c r="Q5358" s="29">
        <v>4400</v>
      </c>
      <c r="R5358" s="31">
        <v>46079</v>
      </c>
      <c r="S5358" s="31"/>
      <c r="T5358" s="95" t="str">
        <f t="shared" si="398"/>
        <v>2026 02</v>
      </c>
      <c r="U5358" s="32">
        <f t="shared" si="403"/>
        <v>1680.4391284453645</v>
      </c>
      <c r="V5358" s="22">
        <f t="shared" si="404"/>
        <v>0.61790826086004924</v>
      </c>
      <c r="X5358" s="33"/>
      <c r="Y5358" s="33"/>
    </row>
    <row r="5359" spans="1:25" x14ac:dyDescent="0.2">
      <c r="A5359" s="93" t="s">
        <v>5078</v>
      </c>
      <c r="B5359" s="94">
        <f>IFERROR(VLOOKUP($A5359,HeadJournal!$A$1:$NTR$890,COLUMN(HeadJournal!B$1),0),"")</f>
        <v>0</v>
      </c>
      <c r="C5359" s="94" t="str">
        <f>IFERROR(VLOOKUP($A5359,HeadJournal!$A$1:$NTR$890,COLUMN(HeadJournal!C$1),0),"")</f>
        <v>iHerb_VP DFD1605</v>
      </c>
      <c r="D5359" s="125" t="str">
        <f>IFERROR(VLOOKUP($A5359,HeadJournal!$A$1:$NTR$890,COLUMN(HeadJournal!D$1),0),"")</f>
        <v>Доставлен</v>
      </c>
      <c r="E5359" s="95">
        <f>IFERROR(VLOOKUP($A5359,HeadJournal!$A$1:$NTR$890,COLUMN(HeadJournal!G$1),0),"")</f>
        <v>45993</v>
      </c>
      <c r="F5359" s="95" t="str">
        <f t="shared" si="397"/>
        <v>2025 12</v>
      </c>
      <c r="G5359" s="97" t="s">
        <v>5</v>
      </c>
      <c r="H5359" s="161" t="s">
        <v>2488</v>
      </c>
      <c r="I5359" s="97" t="s">
        <v>2005</v>
      </c>
      <c r="J5359" s="97" t="s">
        <v>2489</v>
      </c>
      <c r="K5359" s="29">
        <v>20.28</v>
      </c>
      <c r="L5359" s="29">
        <v>-5.07</v>
      </c>
      <c r="M5359" s="30">
        <f>IFERROR(VLOOKUP($A5359,HeadJournal!$A$1:$J$890,COLUMN(HeadJournal!I$1),0)*($K5359+$L5359)/(SUMIF($A:$A,$A5359,$K:$K)+SUMIF($A:$A,$A5359,$L:$L)),0)</f>
        <v>0</v>
      </c>
      <c r="N5359" s="30">
        <f>IFERROR((VLOOKUP($A5359,HeadJournal!$A$1:$K$890,COLUMN(HeadJournal!K$1),0)-VLOOKUP($A5359,HeadJournal!$A$1:$K$890,COLUMN(HeadJournal!J$1),0))*($K5359+$L5359)/(SUMIF($A:$A,$A5359,$K:$K)+SUMIF($A:$A,$A5359,$L:$L)),0)</f>
        <v>-2.3548000895328732E-15</v>
      </c>
      <c r="O5359" s="30">
        <f>IFERROR((VLOOKUP($A5359,HeadJournal!$A$1:$L$890,COLUMN(HeadJournal!L$1),0)*($K5359+$L5359)/(SUMIF($A:$A,$A5359,$K:$K)+SUMIF($A:$A,$A5359,$L:$L)))/VLOOKUP($A5359,HeadJournal!$A$1:$L$890,COLUMN(HeadJournal!H$1),0),0)</f>
        <v>0.36004615976407228</v>
      </c>
      <c r="P5359" s="30">
        <f>IFERROR(SUM(K5359:O5359)*VLOOKUP($A5359,HeadJournal!$A$1:$L$890,COLUMN(HeadJournal!H$1),0),0)</f>
        <v>1375.8363830482622</v>
      </c>
      <c r="Q5359" s="29">
        <v>2500</v>
      </c>
      <c r="R5359" s="31">
        <v>46135</v>
      </c>
      <c r="S5359" s="31"/>
      <c r="T5359" s="95" t="str">
        <f t="shared" si="398"/>
        <v>2026 04</v>
      </c>
      <c r="U5359" s="32">
        <f t="shared" si="403"/>
        <v>1124.1636169517378</v>
      </c>
      <c r="V5359" s="22">
        <f t="shared" si="404"/>
        <v>0.81707652944972597</v>
      </c>
      <c r="X5359" s="33"/>
      <c r="Y5359" s="33"/>
    </row>
    <row r="5360" spans="1:25" x14ac:dyDescent="0.2">
      <c r="A5360" s="93" t="s">
        <v>5078</v>
      </c>
      <c r="B5360" s="94">
        <f>IFERROR(VLOOKUP($A5360,HeadJournal!$A$1:$NTR$890,COLUMN(HeadJournal!B$1),0),"")</f>
        <v>0</v>
      </c>
      <c r="C5360" s="94" t="str">
        <f>IFERROR(VLOOKUP($A5360,HeadJournal!$A$1:$NTR$890,COLUMN(HeadJournal!C$1),0),"")</f>
        <v>iHerb_VP DFD1605</v>
      </c>
      <c r="D5360" s="125" t="str">
        <f>IFERROR(VLOOKUP($A5360,HeadJournal!$A$1:$NTR$890,COLUMN(HeadJournal!D$1),0),"")</f>
        <v>Доставлен</v>
      </c>
      <c r="E5360" s="95">
        <f>IFERROR(VLOOKUP($A5360,HeadJournal!$A$1:$NTR$890,COLUMN(HeadJournal!G$1),0),"")</f>
        <v>45993</v>
      </c>
      <c r="F5360" s="95" t="str">
        <f t="shared" si="397"/>
        <v>2025 12</v>
      </c>
      <c r="G5360" s="97" t="s">
        <v>5</v>
      </c>
      <c r="H5360" s="161" t="s">
        <v>2051</v>
      </c>
      <c r="I5360" s="97" t="s">
        <v>2052</v>
      </c>
      <c r="J5360" s="97" t="s">
        <v>3097</v>
      </c>
      <c r="K5360" s="29">
        <v>21.62</v>
      </c>
      <c r="L5360" s="29">
        <v>-5.4050000000000002</v>
      </c>
      <c r="M5360" s="30">
        <f>IFERROR(VLOOKUP($A5360,HeadJournal!$A$1:$J$890,COLUMN(HeadJournal!I$1),0)*($K5360+$L5360)/(SUMIF($A:$A,$A5360,$K:$K)+SUMIF($A:$A,$A5360,$L:$L)),0)</f>
        <v>0</v>
      </c>
      <c r="N5360" s="30">
        <f>IFERROR((VLOOKUP($A5360,HeadJournal!$A$1:$K$890,COLUMN(HeadJournal!K$1),0)-VLOOKUP($A5360,HeadJournal!$A$1:$K$890,COLUMN(HeadJournal!J$1),0))*($K5360+$L5360)/(SUMIF($A:$A,$A5360,$K:$K)+SUMIF($A:$A,$A5360,$L:$L)),0)</f>
        <v>-2.5103933893343548E-15</v>
      </c>
      <c r="O5360" s="30">
        <f>IFERROR((VLOOKUP($A5360,HeadJournal!$A$1:$L$890,COLUMN(HeadJournal!L$1),0)*($K5360+$L5360)/(SUMIF($A:$A,$A5360,$K:$K)+SUMIF($A:$A,$A5360,$L:$L)))/VLOOKUP($A5360,HeadJournal!$A$1:$L$890,COLUMN(HeadJournal!H$1),0),0)</f>
        <v>0.38383619201672786</v>
      </c>
      <c r="P5360" s="30">
        <f>IFERROR(SUM(K5360:O5360)*VLOOKUP($A5360,HeadJournal!$A$1:$L$890,COLUMN(HeadJournal!H$1),0),0)</f>
        <v>1466.744704216145</v>
      </c>
      <c r="Q5360" s="29">
        <v>2450</v>
      </c>
      <c r="R5360" s="31">
        <v>46113</v>
      </c>
      <c r="S5360" s="31" t="s">
        <v>3252</v>
      </c>
      <c r="T5360" s="95" t="str">
        <f t="shared" si="398"/>
        <v>2026 04</v>
      </c>
      <c r="U5360" s="32">
        <f t="shared" si="403"/>
        <v>983.25529578385499</v>
      </c>
      <c r="V5360" s="22">
        <f t="shared" si="404"/>
        <v>0.67036566960664401</v>
      </c>
      <c r="X5360" s="33"/>
      <c r="Y5360" s="33"/>
    </row>
    <row r="5361" spans="1:25" x14ac:dyDescent="0.2">
      <c r="A5361" s="93" t="s">
        <v>5078</v>
      </c>
      <c r="B5361" s="94">
        <f>IFERROR(VLOOKUP($A5361,HeadJournal!$A$1:$NTR$890,COLUMN(HeadJournal!B$1),0),"")</f>
        <v>0</v>
      </c>
      <c r="C5361" s="94" t="str">
        <f>IFERROR(VLOOKUP($A5361,HeadJournal!$A$1:$NTR$890,COLUMN(HeadJournal!C$1),0),"")</f>
        <v>iHerb_VP DFD1605</v>
      </c>
      <c r="D5361" s="125" t="str">
        <f>IFERROR(VLOOKUP($A5361,HeadJournal!$A$1:$NTR$890,COLUMN(HeadJournal!D$1),0),"")</f>
        <v>Доставлен</v>
      </c>
      <c r="E5361" s="95">
        <f>IFERROR(VLOOKUP($A5361,HeadJournal!$A$1:$NTR$890,COLUMN(HeadJournal!G$1),0),"")</f>
        <v>45993</v>
      </c>
      <c r="F5361" s="95" t="str">
        <f t="shared" si="397"/>
        <v>2025 12</v>
      </c>
      <c r="G5361" s="97" t="s">
        <v>5</v>
      </c>
      <c r="H5361" s="161" t="s">
        <v>2051</v>
      </c>
      <c r="I5361" s="97" t="s">
        <v>2052</v>
      </c>
      <c r="J5361" s="97" t="s">
        <v>3097</v>
      </c>
      <c r="K5361" s="29">
        <v>21.62</v>
      </c>
      <c r="L5361" s="29">
        <v>-5.4050000000000002</v>
      </c>
      <c r="M5361" s="30">
        <f>IFERROR(VLOOKUP($A5361,HeadJournal!$A$1:$J$890,COLUMN(HeadJournal!I$1),0)*($K5361+$L5361)/(SUMIF($A:$A,$A5361,$K:$K)+SUMIF($A:$A,$A5361,$L:$L)),0)</f>
        <v>0</v>
      </c>
      <c r="N5361" s="30">
        <f>IFERROR((VLOOKUP($A5361,HeadJournal!$A$1:$K$890,COLUMN(HeadJournal!K$1),0)-VLOOKUP($A5361,HeadJournal!$A$1:$K$890,COLUMN(HeadJournal!J$1),0))*($K5361+$L5361)/(SUMIF($A:$A,$A5361,$K:$K)+SUMIF($A:$A,$A5361,$L:$L)),0)</f>
        <v>-2.5103933893343548E-15</v>
      </c>
      <c r="O5361" s="30">
        <f>IFERROR((VLOOKUP($A5361,HeadJournal!$A$1:$L$890,COLUMN(HeadJournal!L$1),0)*($K5361+$L5361)/(SUMIF($A:$A,$A5361,$K:$K)+SUMIF($A:$A,$A5361,$L:$L)))/VLOOKUP($A5361,HeadJournal!$A$1:$L$890,COLUMN(HeadJournal!H$1),0),0)</f>
        <v>0.38383619201672786</v>
      </c>
      <c r="P5361" s="30">
        <f>IFERROR(SUM(K5361:O5361)*VLOOKUP($A5361,HeadJournal!$A$1:$L$890,COLUMN(HeadJournal!H$1),0),0)</f>
        <v>1466.744704216145</v>
      </c>
      <c r="Q5361" s="29">
        <v>2450</v>
      </c>
      <c r="R5361" s="31">
        <v>46113</v>
      </c>
      <c r="S5361" s="31" t="s">
        <v>3252</v>
      </c>
      <c r="T5361" s="95" t="str">
        <f t="shared" si="398"/>
        <v>2026 04</v>
      </c>
      <c r="U5361" s="32">
        <f t="shared" si="403"/>
        <v>983.25529578385499</v>
      </c>
      <c r="V5361" s="22">
        <f t="shared" si="404"/>
        <v>0.67036566960664401</v>
      </c>
      <c r="X5361" s="33"/>
      <c r="Y5361" s="33"/>
    </row>
    <row r="5362" spans="1:25" x14ac:dyDescent="0.2">
      <c r="A5362" s="93" t="s">
        <v>5078</v>
      </c>
      <c r="B5362" s="94">
        <f>IFERROR(VLOOKUP($A5362,HeadJournal!$A$1:$NTR$890,COLUMN(HeadJournal!B$1),0),"")</f>
        <v>0</v>
      </c>
      <c r="C5362" s="94" t="str">
        <f>IFERROR(VLOOKUP($A5362,HeadJournal!$A$1:$NTR$890,COLUMN(HeadJournal!C$1),0),"")</f>
        <v>iHerb_VP DFD1605</v>
      </c>
      <c r="D5362" s="125" t="str">
        <f>IFERROR(VLOOKUP($A5362,HeadJournal!$A$1:$NTR$890,COLUMN(HeadJournal!D$1),0),"")</f>
        <v>Доставлен</v>
      </c>
      <c r="E5362" s="95">
        <f>IFERROR(VLOOKUP($A5362,HeadJournal!$A$1:$NTR$890,COLUMN(HeadJournal!G$1),0),"")</f>
        <v>45993</v>
      </c>
      <c r="F5362" s="95" t="str">
        <f t="shared" si="397"/>
        <v>2025 12</v>
      </c>
      <c r="G5362" s="97" t="s">
        <v>5</v>
      </c>
      <c r="H5362" s="161" t="s">
        <v>2755</v>
      </c>
      <c r="I5362" s="97" t="s">
        <v>2005</v>
      </c>
      <c r="J5362" s="97" t="s">
        <v>2756</v>
      </c>
      <c r="K5362" s="29">
        <v>17.239999999999998</v>
      </c>
      <c r="L5362" s="29">
        <v>-4.3099999999999996</v>
      </c>
      <c r="M5362" s="30">
        <f>IFERROR(VLOOKUP($A5362,HeadJournal!$A$1:$J$890,COLUMN(HeadJournal!I$1),0)*($K5362+$L5362)/(SUMIF($A:$A,$A5362,$K:$K)+SUMIF($A:$A,$A5362,$L:$L)),0)</f>
        <v>0</v>
      </c>
      <c r="N5362" s="30">
        <f>IFERROR((VLOOKUP($A5362,HeadJournal!$A$1:$K$890,COLUMN(HeadJournal!K$1),0)-VLOOKUP($A5362,HeadJournal!$A$1:$K$890,COLUMN(HeadJournal!J$1),0))*($K5362+$L5362)/(SUMIF($A:$A,$A5362,$K:$K)+SUMIF($A:$A,$A5362,$L:$L)),0)</f>
        <v>-2.001812304908616E-15</v>
      </c>
      <c r="O5362" s="30">
        <f>IFERROR((VLOOKUP($A5362,HeadJournal!$A$1:$L$890,COLUMN(HeadJournal!L$1),0)*($K5362+$L5362)/(SUMIF($A:$A,$A5362,$K:$K)+SUMIF($A:$A,$A5362,$L:$L)))/VLOOKUP($A5362,HeadJournal!$A$1:$L$890,COLUMN(HeadJournal!H$1),0),0)</f>
        <v>0.30607474331028622</v>
      </c>
      <c r="P5362" s="30">
        <f>IFERROR(SUM(K5362:O5362)*VLOOKUP($A5362,HeadJournal!$A$1:$L$890,COLUMN(HeadJournal!H$1),0),0)</f>
        <v>1169.5966096524674</v>
      </c>
      <c r="Q5362" s="29">
        <v>2400</v>
      </c>
      <c r="R5362" s="31">
        <v>46066</v>
      </c>
      <c r="S5362" s="31" t="s">
        <v>4537</v>
      </c>
      <c r="T5362" s="95" t="str">
        <f t="shared" si="398"/>
        <v>2026 02</v>
      </c>
      <c r="U5362" s="32">
        <f t="shared" si="403"/>
        <v>1230.4033903475326</v>
      </c>
      <c r="V5362" s="22">
        <f t="shared" si="404"/>
        <v>1.0519895322825306</v>
      </c>
      <c r="X5362" s="33"/>
      <c r="Y5362" s="33"/>
    </row>
    <row r="5363" spans="1:25" x14ac:dyDescent="0.2">
      <c r="A5363" s="93" t="s">
        <v>5078</v>
      </c>
      <c r="B5363" s="94">
        <f>IFERROR(VLOOKUP($A5363,HeadJournal!$A$1:$NTR$890,COLUMN(HeadJournal!B$1),0),"")</f>
        <v>0</v>
      </c>
      <c r="C5363" s="94" t="str">
        <f>IFERROR(VLOOKUP($A5363,HeadJournal!$A$1:$NTR$890,COLUMN(HeadJournal!C$1),0),"")</f>
        <v>iHerb_VP DFD1605</v>
      </c>
      <c r="D5363" s="125" t="str">
        <f>IFERROR(VLOOKUP($A5363,HeadJournal!$A$1:$NTR$890,COLUMN(HeadJournal!D$1),0),"")</f>
        <v>Доставлен</v>
      </c>
      <c r="E5363" s="95">
        <f>IFERROR(VLOOKUP($A5363,HeadJournal!$A$1:$NTR$890,COLUMN(HeadJournal!G$1),0),"")</f>
        <v>45993</v>
      </c>
      <c r="F5363" s="95" t="str">
        <f t="shared" si="397"/>
        <v>2025 12</v>
      </c>
      <c r="G5363" s="97" t="s">
        <v>5</v>
      </c>
      <c r="H5363" s="161" t="s">
        <v>2731</v>
      </c>
      <c r="I5363" s="97" t="s">
        <v>2005</v>
      </c>
      <c r="J5363" s="97" t="s">
        <v>2732</v>
      </c>
      <c r="K5363" s="29">
        <v>21.74</v>
      </c>
      <c r="L5363" s="29">
        <v>-5.44</v>
      </c>
      <c r="M5363" s="30">
        <f>IFERROR(VLOOKUP($A5363,HeadJournal!$A$1:$J$890,COLUMN(HeadJournal!I$1),0)*($K5363+$L5363)/(SUMIF($A:$A,$A5363,$K:$K)+SUMIF($A:$A,$A5363,$L:$L)),0)</f>
        <v>0</v>
      </c>
      <c r="N5363" s="30">
        <f>IFERROR((VLOOKUP($A5363,HeadJournal!$A$1:$K$890,COLUMN(HeadJournal!K$1),0)-VLOOKUP($A5363,HeadJournal!$A$1:$K$890,COLUMN(HeadJournal!J$1),0))*($K5363+$L5363)/(SUMIF($A:$A,$A5363,$K:$K)+SUMIF($A:$A,$A5363,$L:$L)),0)</f>
        <v>-2.5235530216558727E-15</v>
      </c>
      <c r="O5363" s="30">
        <f>IFERROR((VLOOKUP($A5363,HeadJournal!$A$1:$L$890,COLUMN(HeadJournal!L$1),0)*($K5363+$L5363)/(SUMIF($A:$A,$A5363,$K:$K)+SUMIF($A:$A,$A5363,$L:$L)))/VLOOKUP($A5363,HeadJournal!$A$1:$L$890,COLUMN(HeadJournal!H$1),0),0)</f>
        <v>0.38584828429680318</v>
      </c>
      <c r="P5363" s="30">
        <f>IFERROR(SUM(K5363:O5363)*VLOOKUP($A5363,HeadJournal!$A$1:$L$890,COLUMN(HeadJournal!H$1),0),0)</f>
        <v>1474.4334676980056</v>
      </c>
      <c r="Q5363" s="29">
        <v>2800</v>
      </c>
      <c r="R5363" s="31">
        <v>46032</v>
      </c>
      <c r="S5363" s="31" t="s">
        <v>4622</v>
      </c>
      <c r="T5363" s="95" t="str">
        <f t="shared" si="398"/>
        <v>2026 01</v>
      </c>
      <c r="U5363" s="32">
        <f t="shared" si="403"/>
        <v>1325.5665323019944</v>
      </c>
      <c r="V5363" s="22">
        <f t="shared" si="404"/>
        <v>0.89903448432404798</v>
      </c>
      <c r="X5363" s="33"/>
      <c r="Y5363" s="33"/>
    </row>
    <row r="5364" spans="1:25" x14ac:dyDescent="0.2">
      <c r="A5364" s="93" t="s">
        <v>5087</v>
      </c>
      <c r="B5364" s="94">
        <f>IFERROR(VLOOKUP($A5364,HeadJournal!$A$1:$NTR$890,COLUMN(HeadJournal!B$1),0),"")</f>
        <v>0</v>
      </c>
      <c r="C5364" s="94" t="str">
        <f>IFERROR(VLOOKUP($A5364,HeadJournal!$A$1:$NTR$890,COLUMN(HeadJournal!C$1),0),"")</f>
        <v>iHerb_MH DLE7202</v>
      </c>
      <c r="D5364" s="125" t="str">
        <f>IFERROR(VLOOKUP($A5364,HeadJournal!$A$1:$NTR$890,COLUMN(HeadJournal!D$1),0),"")</f>
        <v>Доставлен</v>
      </c>
      <c r="E5364" s="95">
        <f>IFERROR(VLOOKUP($A5364,HeadJournal!$A$1:$NTR$890,COLUMN(HeadJournal!G$1),0),"")</f>
        <v>45993</v>
      </c>
      <c r="F5364" s="95" t="str">
        <f t="shared" si="397"/>
        <v>2025 12</v>
      </c>
      <c r="G5364" s="97" t="s">
        <v>5</v>
      </c>
      <c r="H5364" s="161" t="s">
        <v>2016</v>
      </c>
      <c r="I5364" s="97" t="s">
        <v>2005</v>
      </c>
      <c r="J5364" s="97" t="s">
        <v>2017</v>
      </c>
      <c r="K5364" s="29">
        <v>40.090000000000003</v>
      </c>
      <c r="L5364" s="29">
        <v>-10.02</v>
      </c>
      <c r="M5364" s="30">
        <f>IFERROR(VLOOKUP($A5364,HeadJournal!$A$1:$J$890,COLUMN(HeadJournal!I$1),0)*($K5364+$L5364)/(SUMIF($A:$A,$A5364,$K:$K)+SUMIF($A:$A,$A5364,$L:$L)),0)</f>
        <v>-1.1565384615384615</v>
      </c>
      <c r="N5364" s="30">
        <f>IFERROR((VLOOKUP($A5364,HeadJournal!$A$1:$K$890,COLUMN(HeadJournal!K$1),0)-VLOOKUP($A5364,HeadJournal!$A$1:$K$890,COLUMN(HeadJournal!J$1),0))*($K5364+$L5364)/(SUMIF($A:$A,$A5364,$K:$K)+SUMIF($A:$A,$A5364,$L:$L)),0)</f>
        <v>-4.3653120981318239E-15</v>
      </c>
      <c r="O5364" s="30">
        <f>IFERROR((VLOOKUP($A5364,HeadJournal!$A$1:$L$890,COLUMN(HeadJournal!L$1),0)*($K5364+$L5364)/(SUMIF($A:$A,$A5364,$K:$K)+SUMIF($A:$A,$A5364,$L:$L)))/VLOOKUP($A5364,HeadJournal!$A$1:$L$890,COLUMN(HeadJournal!H$1),0),0)</f>
        <v>0.66509574874811861</v>
      </c>
      <c r="P5364" s="30">
        <f>IFERROR(SUM(K5364:O5364)*VLOOKUP($A5364,HeadJournal!$A$1:$L$890,COLUMN(HeadJournal!H$1),0),0)</f>
        <v>2622.9447558484017</v>
      </c>
      <c r="Q5364" s="29">
        <v>4400</v>
      </c>
      <c r="R5364" s="31">
        <v>46119</v>
      </c>
      <c r="S5364" s="31" t="s">
        <v>4610</v>
      </c>
      <c r="T5364" s="95" t="str">
        <f t="shared" si="398"/>
        <v>2026 04</v>
      </c>
      <c r="U5364" s="32">
        <f t="shared" si="403"/>
        <v>1777.0552441515983</v>
      </c>
      <c r="V5364" s="22">
        <f t="shared" si="404"/>
        <v>0.67750387810848234</v>
      </c>
      <c r="X5364" s="33"/>
      <c r="Y5364" s="33"/>
    </row>
    <row r="5365" spans="1:25" x14ac:dyDescent="0.2">
      <c r="A5365" s="93" t="s">
        <v>5087</v>
      </c>
      <c r="B5365" s="94">
        <f>IFERROR(VLOOKUP($A5365,HeadJournal!$A$1:$NTR$890,COLUMN(HeadJournal!B$1),0),"")</f>
        <v>0</v>
      </c>
      <c r="C5365" s="94" t="str">
        <f>IFERROR(VLOOKUP($A5365,HeadJournal!$A$1:$NTR$890,COLUMN(HeadJournal!C$1),0),"")</f>
        <v>iHerb_MH DLE7202</v>
      </c>
      <c r="D5365" s="125" t="str">
        <f>IFERROR(VLOOKUP($A5365,HeadJournal!$A$1:$NTR$890,COLUMN(HeadJournal!D$1),0),"")</f>
        <v>Доставлен</v>
      </c>
      <c r="E5365" s="95">
        <f>IFERROR(VLOOKUP($A5365,HeadJournal!$A$1:$NTR$890,COLUMN(HeadJournal!G$1),0),"")</f>
        <v>45993</v>
      </c>
      <c r="F5365" s="95" t="str">
        <f t="shared" si="397"/>
        <v>2025 12</v>
      </c>
      <c r="G5365" s="97" t="s">
        <v>5</v>
      </c>
      <c r="H5365" s="161" t="s">
        <v>5079</v>
      </c>
      <c r="I5365" s="97" t="s">
        <v>2005</v>
      </c>
      <c r="J5365" s="97" t="s">
        <v>5080</v>
      </c>
      <c r="K5365" s="29">
        <v>15.72</v>
      </c>
      <c r="L5365" s="29">
        <v>-3.93</v>
      </c>
      <c r="M5365" s="30">
        <f>IFERROR(VLOOKUP($A5365,HeadJournal!$A$1:$J$890,COLUMN(HeadJournal!I$1),0)*($K5365+$L5365)/(SUMIF($A:$A,$A5365,$K:$K)+SUMIF($A:$A,$A5365,$L:$L)),0)</f>
        <v>-0.45346153846153847</v>
      </c>
      <c r="N5365" s="30">
        <f>IFERROR((VLOOKUP($A5365,HeadJournal!$A$1:$K$890,COLUMN(HeadJournal!K$1),0)-VLOOKUP($A5365,HeadJournal!$A$1:$K$890,COLUMN(HeadJournal!J$1),0))*($K5365+$L5365)/(SUMIF($A:$A,$A5365,$K:$K)+SUMIF($A:$A,$A5365,$L:$L)),0)</f>
        <v>-1.711573981941277E-15</v>
      </c>
      <c r="O5365" s="30">
        <f>IFERROR((VLOOKUP($A5365,HeadJournal!$A$1:$L$890,COLUMN(HeadJournal!L$1),0)*($K5365+$L5365)/(SUMIF($A:$A,$A5365,$K:$K)+SUMIF($A:$A,$A5365,$L:$L)))/VLOOKUP($A5365,HeadJournal!$A$1:$L$890,COLUMN(HeadJournal!H$1),0),0)</f>
        <v>0.26077415622681471</v>
      </c>
      <c r="P5365" s="30">
        <f>IFERROR(SUM(K5365:O5365)*VLOOKUP($A5365,HeadJournal!$A$1:$L$890,COLUMN(HeadJournal!H$1),0),0)</f>
        <v>1028.4176478700581</v>
      </c>
      <c r="Q5365" s="29">
        <v>2000</v>
      </c>
      <c r="R5365" s="31">
        <v>46032</v>
      </c>
      <c r="S5365" s="31" t="s">
        <v>3231</v>
      </c>
      <c r="T5365" s="95" t="str">
        <f t="shared" si="398"/>
        <v>2026 01</v>
      </c>
      <c r="U5365" s="32">
        <f t="shared" si="403"/>
        <v>971.58235212994191</v>
      </c>
      <c r="V5365" s="22">
        <f t="shared" si="404"/>
        <v>0.94473519988904608</v>
      </c>
      <c r="X5365" s="33"/>
      <c r="Y5365" s="33"/>
    </row>
    <row r="5366" spans="1:25" x14ac:dyDescent="0.2">
      <c r="A5366" s="93" t="s">
        <v>5087</v>
      </c>
      <c r="B5366" s="94">
        <f>IFERROR(VLOOKUP($A5366,HeadJournal!$A$1:$NTR$890,COLUMN(HeadJournal!B$1),0),"")</f>
        <v>0</v>
      </c>
      <c r="C5366" s="94" t="str">
        <f>IFERROR(VLOOKUP($A5366,HeadJournal!$A$1:$NTR$890,COLUMN(HeadJournal!C$1),0),"")</f>
        <v>iHerb_MH DLE7202</v>
      </c>
      <c r="D5366" s="125" t="str">
        <f>IFERROR(VLOOKUP($A5366,HeadJournal!$A$1:$NTR$890,COLUMN(HeadJournal!D$1),0),"")</f>
        <v>Доставлен</v>
      </c>
      <c r="E5366" s="95">
        <f>IFERROR(VLOOKUP($A5366,HeadJournal!$A$1:$NTR$890,COLUMN(HeadJournal!G$1),0),"")</f>
        <v>45993</v>
      </c>
      <c r="F5366" s="95" t="str">
        <f t="shared" si="397"/>
        <v>2025 12</v>
      </c>
      <c r="G5366" s="97" t="s">
        <v>5</v>
      </c>
      <c r="H5366" s="161" t="s">
        <v>2471</v>
      </c>
      <c r="I5366" s="97" t="s">
        <v>2039</v>
      </c>
      <c r="J5366" s="97" t="s">
        <v>2472</v>
      </c>
      <c r="K5366" s="29">
        <v>20.07</v>
      </c>
      <c r="L5366" s="29">
        <v>-5.0199999999999996</v>
      </c>
      <c r="M5366" s="30">
        <f>IFERROR(VLOOKUP($A5366,HeadJournal!$A$1:$J$890,COLUMN(HeadJournal!I$1),0)*($K5366+$L5366)/(SUMIF($A:$A,$A5366,$K:$K)+SUMIF($A:$A,$A5366,$L:$L)),0)</f>
        <v>-0.57884615384615379</v>
      </c>
      <c r="N5366" s="30">
        <f>IFERROR((VLOOKUP($A5366,HeadJournal!$A$1:$K$890,COLUMN(HeadJournal!K$1),0)-VLOOKUP($A5366,HeadJournal!$A$1:$K$890,COLUMN(HeadJournal!J$1),0))*($K5366+$L5366)/(SUMIF($A:$A,$A5366,$K:$K)+SUMIF($A:$A,$A5366,$L:$L)),0)</f>
        <v>-2.1848336241065493E-15</v>
      </c>
      <c r="O5366" s="30">
        <f>IFERROR((VLOOKUP($A5366,HeadJournal!$A$1:$L$890,COLUMN(HeadJournal!L$1),0)*($K5366+$L5366)/(SUMIF($A:$A,$A5366,$K:$K)+SUMIF($A:$A,$A5366,$L:$L)))/VLOOKUP($A5366,HeadJournal!$A$1:$L$890,COLUMN(HeadJournal!H$1),0),0)</f>
        <v>0.33287964810971682</v>
      </c>
      <c r="P5366" s="30">
        <f>IFERROR(SUM(K5366:O5366)*VLOOKUP($A5366,HeadJournal!$A$1:$L$890,COLUMN(HeadJournal!H$1),0),0)</f>
        <v>1312.7807973235265</v>
      </c>
      <c r="Q5366" s="29">
        <v>2600</v>
      </c>
      <c r="R5366" s="31">
        <v>46032</v>
      </c>
      <c r="S5366" s="31" t="s">
        <v>4630</v>
      </c>
      <c r="T5366" s="95" t="str">
        <f t="shared" si="398"/>
        <v>2026 01</v>
      </c>
      <c r="U5366" s="32">
        <f t="shared" si="403"/>
        <v>1287.2192026764735</v>
      </c>
      <c r="V5366" s="22">
        <f t="shared" si="404"/>
        <v>0.98052866502986069</v>
      </c>
      <c r="X5366" s="33"/>
      <c r="Y5366" s="33"/>
    </row>
    <row r="5367" spans="1:25" x14ac:dyDescent="0.2">
      <c r="A5367" s="93" t="s">
        <v>5087</v>
      </c>
      <c r="B5367" s="94">
        <f>IFERROR(VLOOKUP($A5367,HeadJournal!$A$1:$NTR$890,COLUMN(HeadJournal!B$1),0),"")</f>
        <v>0</v>
      </c>
      <c r="C5367" s="94" t="str">
        <f>IFERROR(VLOOKUP($A5367,HeadJournal!$A$1:$NTR$890,COLUMN(HeadJournal!C$1),0),"")</f>
        <v>iHerb_MH DLE7202</v>
      </c>
      <c r="D5367" s="125" t="str">
        <f>IFERROR(VLOOKUP($A5367,HeadJournal!$A$1:$NTR$890,COLUMN(HeadJournal!D$1),0),"")</f>
        <v>Доставлен</v>
      </c>
      <c r="E5367" s="95">
        <f>IFERROR(VLOOKUP($A5367,HeadJournal!$A$1:$NTR$890,COLUMN(HeadJournal!G$1),0),"")</f>
        <v>45993</v>
      </c>
      <c r="F5367" s="95" t="str">
        <f t="shared" si="397"/>
        <v>2025 12</v>
      </c>
      <c r="G5367" s="97" t="s">
        <v>5</v>
      </c>
      <c r="H5367" s="161" t="s">
        <v>5081</v>
      </c>
      <c r="I5367" s="97" t="s">
        <v>2005</v>
      </c>
      <c r="J5367" s="97" t="s">
        <v>5082</v>
      </c>
      <c r="K5367" s="29">
        <v>42.83</v>
      </c>
      <c r="L5367" s="29">
        <v>-10.71</v>
      </c>
      <c r="M5367" s="30">
        <f>IFERROR(VLOOKUP($A5367,HeadJournal!$A$1:$J$890,COLUMN(HeadJournal!I$1),0)*($K5367+$L5367)/(SUMIF($A:$A,$A5367,$K:$K)+SUMIF($A:$A,$A5367,$L:$L)),0)</f>
        <v>-1.2353846153846151</v>
      </c>
      <c r="N5367" s="30">
        <f>IFERROR((VLOOKUP($A5367,HeadJournal!$A$1:$K$890,COLUMN(HeadJournal!K$1),0)-VLOOKUP($A5367,HeadJournal!$A$1:$K$890,COLUMN(HeadJournal!J$1),0))*($K5367+$L5367)/(SUMIF($A:$A,$A5367,$K:$K)+SUMIF($A:$A,$A5367,$L:$L)),0)</f>
        <v>-4.6629140203523163E-15</v>
      </c>
      <c r="O5367" s="30">
        <f>IFERROR((VLOOKUP($A5367,HeadJournal!$A$1:$L$890,COLUMN(HeadJournal!L$1),0)*($K5367+$L5367)/(SUMIF($A:$A,$A5367,$K:$K)+SUMIF($A:$A,$A5367,$L:$L)))/VLOOKUP($A5367,HeadJournal!$A$1:$L$890,COLUMN(HeadJournal!H$1),0),0)</f>
        <v>0.71043815928798015</v>
      </c>
      <c r="P5367" s="30">
        <f>IFERROR(SUM(K5367:O5367)*VLOOKUP($A5367,HeadJournal!$A$1:$L$890,COLUMN(HeadJournal!H$1),0),0)</f>
        <v>2801.762073756257</v>
      </c>
      <c r="Q5367" s="29">
        <v>5100</v>
      </c>
      <c r="R5367" s="31">
        <v>46117</v>
      </c>
      <c r="S5367" s="31" t="s">
        <v>4610</v>
      </c>
      <c r="T5367" s="95" t="str">
        <f t="shared" si="398"/>
        <v>2026 04</v>
      </c>
      <c r="U5367" s="32">
        <f t="shared" si="403"/>
        <v>2298.237926243743</v>
      </c>
      <c r="V5367" s="22">
        <f t="shared" si="404"/>
        <v>0.820283045363145</v>
      </c>
      <c r="X5367" s="33"/>
      <c r="Y5367" s="33"/>
    </row>
    <row r="5368" spans="1:25" x14ac:dyDescent="0.2">
      <c r="A5368" s="93" t="s">
        <v>5087</v>
      </c>
      <c r="B5368" s="94">
        <f>IFERROR(VLOOKUP($A5368,HeadJournal!$A$1:$NTR$890,COLUMN(HeadJournal!B$1),0),"")</f>
        <v>0</v>
      </c>
      <c r="C5368" s="94" t="str">
        <f>IFERROR(VLOOKUP($A5368,HeadJournal!$A$1:$NTR$890,COLUMN(HeadJournal!C$1),0),"")</f>
        <v>iHerb_MH DLE7202</v>
      </c>
      <c r="D5368" s="125" t="str">
        <f>IFERROR(VLOOKUP($A5368,HeadJournal!$A$1:$NTR$890,COLUMN(HeadJournal!D$1),0),"")</f>
        <v>Доставлен</v>
      </c>
      <c r="E5368" s="95">
        <f>IFERROR(VLOOKUP($A5368,HeadJournal!$A$1:$NTR$890,COLUMN(HeadJournal!G$1),0),"")</f>
        <v>45993</v>
      </c>
      <c r="F5368" s="95" t="str">
        <f t="shared" si="397"/>
        <v>2025 12</v>
      </c>
      <c r="G5368" s="97" t="s">
        <v>5</v>
      </c>
      <c r="H5368" s="161" t="s">
        <v>2071</v>
      </c>
      <c r="I5368" s="97" t="s">
        <v>2005</v>
      </c>
      <c r="J5368" s="97" t="s">
        <v>2072</v>
      </c>
      <c r="K5368" s="29">
        <v>21.74</v>
      </c>
      <c r="L5368" s="29">
        <v>-5.44</v>
      </c>
      <c r="M5368" s="30">
        <f>IFERROR(VLOOKUP($A5368,HeadJournal!$A$1:$J$890,COLUMN(HeadJournal!I$1),0)*($K5368+$L5368)/(SUMIF($A:$A,$A5368,$K:$K)+SUMIF($A:$A,$A5368,$L:$L)),0)</f>
        <v>-0.62692307692307669</v>
      </c>
      <c r="N5368" s="30">
        <f>IFERROR((VLOOKUP($A5368,HeadJournal!$A$1:$K$890,COLUMN(HeadJournal!K$1),0)-VLOOKUP($A5368,HeadJournal!$A$1:$K$890,COLUMN(HeadJournal!J$1),0))*($K5368+$L5368)/(SUMIF($A:$A,$A5368,$K:$K)+SUMIF($A:$A,$A5368,$L:$L)),0)</f>
        <v>-2.3662982108263619E-15</v>
      </c>
      <c r="O5368" s="30">
        <f>IFERROR((VLOOKUP($A5368,HeadJournal!$A$1:$L$890,COLUMN(HeadJournal!L$1),0)*($K5368+$L5368)/(SUMIF($A:$A,$A5368,$K:$K)+SUMIF($A:$A,$A5368,$L:$L)))/VLOOKUP($A5368,HeadJournal!$A$1:$L$890,COLUMN(HeadJournal!H$1),0),0)</f>
        <v>0.36052745941451048</v>
      </c>
      <c r="P5368" s="30">
        <f>IFERROR(SUM(K5368:O5368)*VLOOKUP($A5368,HeadJournal!$A$1:$L$890,COLUMN(HeadJournal!H$1),0),0)</f>
        <v>1421.8157472673406</v>
      </c>
      <c r="Q5368" s="29">
        <v>3000</v>
      </c>
      <c r="R5368" s="31">
        <v>46075</v>
      </c>
      <c r="S5368" s="31" t="s">
        <v>4992</v>
      </c>
      <c r="T5368" s="95" t="str">
        <f t="shared" si="398"/>
        <v>2026 02</v>
      </c>
      <c r="U5368" s="32">
        <f t="shared" si="403"/>
        <v>1578.1842527326594</v>
      </c>
      <c r="V5368" s="22">
        <f t="shared" si="404"/>
        <v>1.1099780374256307</v>
      </c>
      <c r="X5368" s="33"/>
      <c r="Y5368" s="33"/>
    </row>
    <row r="5369" spans="1:25" x14ac:dyDescent="0.2">
      <c r="A5369" s="93" t="s">
        <v>5087</v>
      </c>
      <c r="B5369" s="94">
        <f>IFERROR(VLOOKUP($A5369,HeadJournal!$A$1:$NTR$890,COLUMN(HeadJournal!B$1),0),"")</f>
        <v>0</v>
      </c>
      <c r="C5369" s="94" t="str">
        <f>IFERROR(VLOOKUP($A5369,HeadJournal!$A$1:$NTR$890,COLUMN(HeadJournal!C$1),0),"")</f>
        <v>iHerb_MH DLE7202</v>
      </c>
      <c r="D5369" s="125" t="str">
        <f>IFERROR(VLOOKUP($A5369,HeadJournal!$A$1:$NTR$890,COLUMN(HeadJournal!D$1),0),"")</f>
        <v>Доставлен</v>
      </c>
      <c r="E5369" s="95">
        <f>IFERROR(VLOOKUP($A5369,HeadJournal!$A$1:$NTR$890,COLUMN(HeadJournal!G$1),0),"")</f>
        <v>45993</v>
      </c>
      <c r="F5369" s="95" t="str">
        <f t="shared" si="397"/>
        <v>2025 12</v>
      </c>
      <c r="G5369" s="97" t="s">
        <v>5</v>
      </c>
      <c r="H5369" s="161" t="s">
        <v>5083</v>
      </c>
      <c r="I5369" s="97" t="s">
        <v>2052</v>
      </c>
      <c r="J5369" s="97" t="s">
        <v>5084</v>
      </c>
      <c r="K5369" s="29">
        <v>19.809999999999999</v>
      </c>
      <c r="L5369" s="29">
        <v>-4.95</v>
      </c>
      <c r="M5369" s="30">
        <f>IFERROR(VLOOKUP($A5369,HeadJournal!$A$1:$J$890,COLUMN(HeadJournal!I$1),0)*($K5369+$L5369)/(SUMIF($A:$A,$A5369,$K:$K)+SUMIF($A:$A,$A5369,$L:$L)),0)</f>
        <v>-0.57153846153846144</v>
      </c>
      <c r="N5369" s="30">
        <f>IFERROR((VLOOKUP($A5369,HeadJournal!$A$1:$K$890,COLUMN(HeadJournal!K$1),0)-VLOOKUP($A5369,HeadJournal!$A$1:$K$890,COLUMN(HeadJournal!J$1),0))*($K5369+$L5369)/(SUMIF($A:$A,$A5369,$K:$K)+SUMIF($A:$A,$A5369,$L:$L)),0)</f>
        <v>-2.1572510069251376E-15</v>
      </c>
      <c r="O5369" s="30">
        <f>IFERROR((VLOOKUP($A5369,HeadJournal!$A$1:$L$890,COLUMN(HeadJournal!L$1),0)*($K5369+$L5369)/(SUMIF($A:$A,$A5369,$K:$K)+SUMIF($A:$A,$A5369,$L:$L)))/VLOOKUP($A5369,HeadJournal!$A$1:$L$890,COLUMN(HeadJournal!H$1),0),0)</f>
        <v>0.32867718079138808</v>
      </c>
      <c r="P5369" s="30">
        <f>IFERROR(SUM(K5369:O5369)*VLOOKUP($A5369,HeadJournal!$A$1:$L$890,COLUMN(HeadJournal!H$1),0),0)</f>
        <v>1296.2074849320666</v>
      </c>
      <c r="Q5369" s="29">
        <v>2200</v>
      </c>
      <c r="R5369" s="31">
        <v>46102</v>
      </c>
      <c r="S5369" s="31"/>
      <c r="T5369" s="95" t="str">
        <f t="shared" si="398"/>
        <v>2026 03</v>
      </c>
      <c r="U5369" s="32">
        <f t="shared" si="403"/>
        <v>903.79251506793344</v>
      </c>
      <c r="V5369" s="22">
        <f t="shared" si="404"/>
        <v>0.69725913912254611</v>
      </c>
      <c r="X5369" s="33"/>
      <c r="Y5369" s="33"/>
    </row>
    <row r="5370" spans="1:25" x14ac:dyDescent="0.2">
      <c r="A5370" s="93" t="s">
        <v>5087</v>
      </c>
      <c r="B5370" s="94">
        <f>IFERROR(VLOOKUP($A5370,HeadJournal!$A$1:$NTR$890,COLUMN(HeadJournal!B$1),0),"")</f>
        <v>0</v>
      </c>
      <c r="C5370" s="94" t="str">
        <f>IFERROR(VLOOKUP($A5370,HeadJournal!$A$1:$NTR$890,COLUMN(HeadJournal!C$1),0),"")</f>
        <v>iHerb_MH DLE7202</v>
      </c>
      <c r="D5370" s="125" t="str">
        <f>IFERROR(VLOOKUP($A5370,HeadJournal!$A$1:$NTR$890,COLUMN(HeadJournal!D$1),0),"")</f>
        <v>Доставлен</v>
      </c>
      <c r="E5370" s="95">
        <f>IFERROR(VLOOKUP($A5370,HeadJournal!$A$1:$NTR$890,COLUMN(HeadJournal!G$1),0),"")</f>
        <v>45993</v>
      </c>
      <c r="F5370" s="95" t="str">
        <f t="shared" si="397"/>
        <v>2025 12</v>
      </c>
      <c r="G5370" s="97" t="s">
        <v>5</v>
      </c>
      <c r="H5370" s="161" t="s">
        <v>5085</v>
      </c>
      <c r="I5370" s="97" t="s">
        <v>2056</v>
      </c>
      <c r="J5370" s="97" t="s">
        <v>5086</v>
      </c>
      <c r="K5370" s="29">
        <v>100.79</v>
      </c>
      <c r="L5370" s="29">
        <v>-25.2</v>
      </c>
      <c r="M5370" s="30">
        <f>IFERROR(VLOOKUP($A5370,HeadJournal!$A$1:$J$890,COLUMN(HeadJournal!I$1),0)*($K5370+$L5370)/(SUMIF($A:$A,$A5370,$K:$K)+SUMIF($A:$A,$A5370,$L:$L)),0)</f>
        <v>-2.9073076923076924</v>
      </c>
      <c r="N5370" s="30">
        <f>IFERROR((VLOOKUP($A5370,HeadJournal!$A$1:$K$890,COLUMN(HeadJournal!K$1),0)-VLOOKUP($A5370,HeadJournal!$A$1:$K$890,COLUMN(HeadJournal!J$1),0))*($K5370+$L5370)/(SUMIF($A:$A,$A5370,$K:$K)+SUMIF($A:$A,$A5370,$L:$L)),0)</f>
        <v>-1.0973526488120536E-14</v>
      </c>
      <c r="O5370" s="30">
        <f>IFERROR((VLOOKUP($A5370,HeadJournal!$A$1:$L$890,COLUMN(HeadJournal!L$1),0)*($K5370+$L5370)/(SUMIF($A:$A,$A5370,$K:$K)+SUMIF($A:$A,$A5370,$L:$L)))/VLOOKUP($A5370,HeadJournal!$A$1:$L$890,COLUMN(HeadJournal!H$1),0),0)</f>
        <v>1.6719184452234879</v>
      </c>
      <c r="P5370" s="30">
        <f>IFERROR(SUM(K5370:O5370)*VLOOKUP($A5370,HeadJournal!$A$1:$L$890,COLUMN(HeadJournal!H$1),0),0)</f>
        <v>6593.5614930023485</v>
      </c>
      <c r="Q5370" s="29">
        <v>9600</v>
      </c>
      <c r="R5370" s="31">
        <v>46032</v>
      </c>
      <c r="S5370" s="31" t="s">
        <v>3384</v>
      </c>
      <c r="T5370" s="95" t="str">
        <f t="shared" si="398"/>
        <v>2026 01</v>
      </c>
      <c r="U5370" s="32">
        <f t="shared" si="403"/>
        <v>3006.4385069976515</v>
      </c>
      <c r="V5370" s="22">
        <f t="shared" si="404"/>
        <v>0.45596579484218674</v>
      </c>
      <c r="X5370" s="33"/>
      <c r="Y5370" s="33"/>
    </row>
    <row r="5371" spans="1:25" x14ac:dyDescent="0.2">
      <c r="A5371" s="93" t="s">
        <v>5138</v>
      </c>
      <c r="B5371" s="94">
        <f>IFERROR(VLOOKUP($A5371,HeadJournal!$A$1:$NTR$890,COLUMN(HeadJournal!B$1),0),"")</f>
        <v>0</v>
      </c>
      <c r="C5371" s="94" t="str">
        <f>IFERROR(VLOOKUP($A5371,HeadJournal!$A$1:$NTR$890,COLUMN(HeadJournal!C$1),0),"")</f>
        <v>OZON_OA</v>
      </c>
      <c r="D5371" s="125" t="str">
        <f>IFERROR(VLOOKUP($A5371,HeadJournal!$A$1:$NTR$890,COLUMN(HeadJournal!D$1),0),"")</f>
        <v>Доставлен</v>
      </c>
      <c r="E5371" s="95">
        <f>IFERROR(VLOOKUP($A5371,HeadJournal!$A$1:$NTR$890,COLUMN(HeadJournal!G$1),0),"")</f>
        <v>46000</v>
      </c>
      <c r="F5371" s="95" t="str">
        <f t="shared" si="397"/>
        <v>2025 12</v>
      </c>
      <c r="G5371" s="97" t="s">
        <v>6</v>
      </c>
      <c r="H5371" s="161" t="s">
        <v>2280</v>
      </c>
      <c r="I5371" s="97" t="s">
        <v>2281</v>
      </c>
      <c r="J5371" s="97" t="s">
        <v>737</v>
      </c>
      <c r="K5371" s="29">
        <v>772</v>
      </c>
      <c r="L5371" s="29">
        <v>0</v>
      </c>
      <c r="M5371" s="30">
        <f>IFERROR(VLOOKUP($A5371,HeadJournal!$A$1:$J$890,COLUMN(HeadJournal!I$1),0)*($K5371+$L5371)/(SUMIF($A:$A,$A5371,$K:$K)+SUMIF($A:$A,$A5371,$L:$L)),0)</f>
        <v>0</v>
      </c>
      <c r="N5371" s="30">
        <f>IFERROR((VLOOKUP($A5371,HeadJournal!$A$1:$K$890,COLUMN(HeadJournal!K$1),0)-VLOOKUP($A5371,HeadJournal!$A$1:$K$890,COLUMN(HeadJournal!J$1),0))*($K5371+$L5371)/(SUMIF($A:$A,$A5371,$K:$K)+SUMIF($A:$A,$A5371,$L:$L)),0)</f>
        <v>0</v>
      </c>
      <c r="O5371" s="30">
        <f>IFERROR((VLOOKUP($A5371,HeadJournal!$A$1:$L$890,COLUMN(HeadJournal!L$1),0)*($K5371+$L5371)/(SUMIF($A:$A,$A5371,$K:$K)+SUMIF($A:$A,$A5371,$L:$L)))/VLOOKUP($A5371,HeadJournal!$A$1:$L$890,COLUMN(HeadJournal!H$1),0),0)</f>
        <v>0</v>
      </c>
      <c r="P5371" s="30">
        <f>IFERROR(SUM(K5371:O5371)*VLOOKUP($A5371,HeadJournal!$A$1:$L$890,COLUMN(HeadJournal!H$1),0),0)</f>
        <v>772</v>
      </c>
      <c r="Q5371" s="29">
        <v>2000</v>
      </c>
      <c r="R5371" s="31">
        <v>46005</v>
      </c>
      <c r="S5371" s="31" t="s">
        <v>4613</v>
      </c>
      <c r="T5371" s="95" t="str">
        <f t="shared" si="398"/>
        <v>2025 12</v>
      </c>
      <c r="U5371" s="32">
        <f t="shared" si="403"/>
        <v>1228</v>
      </c>
      <c r="V5371" s="22">
        <f t="shared" si="404"/>
        <v>1.5906735751295338</v>
      </c>
      <c r="X5371" s="33"/>
      <c r="Y5371" s="33"/>
    </row>
    <row r="5372" spans="1:25" x14ac:dyDescent="0.2">
      <c r="A5372" s="93" t="s">
        <v>5138</v>
      </c>
      <c r="B5372" s="94">
        <f>IFERROR(VLOOKUP($A5372,HeadJournal!$A$1:$NTR$890,COLUMN(HeadJournal!B$1),0),"")</f>
        <v>0</v>
      </c>
      <c r="C5372" s="94" t="str">
        <f>IFERROR(VLOOKUP($A5372,HeadJournal!$A$1:$NTR$890,COLUMN(HeadJournal!C$1),0),"")</f>
        <v>OZON_OA</v>
      </c>
      <c r="D5372" s="125" t="str">
        <f>IFERROR(VLOOKUP($A5372,HeadJournal!$A$1:$NTR$890,COLUMN(HeadJournal!D$1),0),"")</f>
        <v>Доставлен</v>
      </c>
      <c r="E5372" s="95">
        <f>IFERROR(VLOOKUP($A5372,HeadJournal!$A$1:$NTR$890,COLUMN(HeadJournal!G$1),0),"")</f>
        <v>46000</v>
      </c>
      <c r="F5372" s="95" t="str">
        <f t="shared" si="397"/>
        <v>2025 12</v>
      </c>
      <c r="G5372" s="97" t="s">
        <v>6</v>
      </c>
      <c r="H5372" s="161" t="s">
        <v>2280</v>
      </c>
      <c r="I5372" s="97" t="s">
        <v>2281</v>
      </c>
      <c r="J5372" s="97" t="s">
        <v>737</v>
      </c>
      <c r="K5372" s="29">
        <v>772</v>
      </c>
      <c r="L5372" s="29">
        <v>0</v>
      </c>
      <c r="M5372" s="30">
        <f>IFERROR(VLOOKUP($A5372,HeadJournal!$A$1:$J$890,COLUMN(HeadJournal!I$1),0)*($K5372+$L5372)/(SUMIF($A:$A,$A5372,$K:$K)+SUMIF($A:$A,$A5372,$L:$L)),0)</f>
        <v>0</v>
      </c>
      <c r="N5372" s="30">
        <f>IFERROR((VLOOKUP($A5372,HeadJournal!$A$1:$K$890,COLUMN(HeadJournal!K$1),0)-VLOOKUP($A5372,HeadJournal!$A$1:$K$890,COLUMN(HeadJournal!J$1),0))*($K5372+$L5372)/(SUMIF($A:$A,$A5372,$K:$K)+SUMIF($A:$A,$A5372,$L:$L)),0)</f>
        <v>0</v>
      </c>
      <c r="O5372" s="30">
        <f>IFERROR((VLOOKUP($A5372,HeadJournal!$A$1:$L$890,COLUMN(HeadJournal!L$1),0)*($K5372+$L5372)/(SUMIF($A:$A,$A5372,$K:$K)+SUMIF($A:$A,$A5372,$L:$L)))/VLOOKUP($A5372,HeadJournal!$A$1:$L$890,COLUMN(HeadJournal!H$1),0),0)</f>
        <v>0</v>
      </c>
      <c r="P5372" s="30">
        <f>IFERROR(SUM(K5372:O5372)*VLOOKUP($A5372,HeadJournal!$A$1:$L$890,COLUMN(HeadJournal!H$1),0),0)</f>
        <v>772</v>
      </c>
      <c r="Q5372" s="29">
        <v>2000</v>
      </c>
      <c r="R5372" s="31">
        <v>46020</v>
      </c>
      <c r="S5372" s="31"/>
      <c r="T5372" s="95" t="str">
        <f t="shared" si="398"/>
        <v>2025 12</v>
      </c>
      <c r="U5372" s="32">
        <f t="shared" si="403"/>
        <v>1228</v>
      </c>
      <c r="V5372" s="22">
        <f t="shared" si="404"/>
        <v>1.5906735751295338</v>
      </c>
      <c r="X5372" s="33"/>
      <c r="Y5372" s="33"/>
    </row>
    <row r="5373" spans="1:25" x14ac:dyDescent="0.2">
      <c r="A5373" s="93" t="s">
        <v>5147</v>
      </c>
      <c r="B5373" s="94">
        <f>IFERROR(VLOOKUP($A5373,HeadJournal!$A$1:$NTR$890,COLUMN(HeadJournal!B$1),0),"")</f>
        <v>0</v>
      </c>
      <c r="C5373" s="94" t="str">
        <f>IFERROR(VLOOKUP($A5373,HeadJournal!$A$1:$NTR$890,COLUMN(HeadJournal!C$1),0),"")</f>
        <v>iHerb_MH DLE7202</v>
      </c>
      <c r="D5373" s="125" t="str">
        <f>IFERROR(VLOOKUP($A5373,HeadJournal!$A$1:$NTR$890,COLUMN(HeadJournal!D$1),0),"")</f>
        <v>Доставлен</v>
      </c>
      <c r="E5373" s="95">
        <f>IFERROR(VLOOKUP($A5373,HeadJournal!$A$1:$NTR$890,COLUMN(HeadJournal!G$1),0),"")</f>
        <v>45999</v>
      </c>
      <c r="F5373" s="95" t="str">
        <f t="shared" si="397"/>
        <v>2025 12</v>
      </c>
      <c r="G5373" s="97" t="s">
        <v>5</v>
      </c>
      <c r="H5373" s="161" t="s">
        <v>5139</v>
      </c>
      <c r="I5373" s="97" t="s">
        <v>2750</v>
      </c>
      <c r="J5373" s="97" t="s">
        <v>5140</v>
      </c>
      <c r="K5373" s="29">
        <v>19.170000000000002</v>
      </c>
      <c r="L5373" s="29">
        <v>-6.6</v>
      </c>
      <c r="M5373" s="30">
        <f>IFERROR(VLOOKUP($A5373,HeadJournal!$A$1:$J$890,COLUMN(HeadJournal!I$1),0)*($K5373+$L5373)/(SUMIF($A:$A,$A5373,$K:$K)+SUMIF($A:$A,$A5373,$L:$L)),0)</f>
        <v>0</v>
      </c>
      <c r="N5373" s="30">
        <f>IFERROR((VLOOKUP($A5373,HeadJournal!$A$1:$K$890,COLUMN(HeadJournal!K$1),0)-VLOOKUP($A5373,HeadJournal!$A$1:$K$890,COLUMN(HeadJournal!J$1),0))*($K5373+$L5373)/(SUMIF($A:$A,$A5373,$K:$K)+SUMIF($A:$A,$A5373,$L:$L)),0)</f>
        <v>-3.7681772760276161E-15</v>
      </c>
      <c r="O5373" s="30">
        <f>IFERROR((VLOOKUP($A5373,HeadJournal!$A$1:$L$890,COLUMN(HeadJournal!L$1),0)*($K5373+$L5373)/(SUMIF($A:$A,$A5373,$K:$K)+SUMIF($A:$A,$A5373,$L:$L)))/VLOOKUP($A5373,HeadJournal!$A$1:$L$890,COLUMN(HeadJournal!H$1),0),0)</f>
        <v>0.5861420765027322</v>
      </c>
      <c r="P5373" s="30">
        <f>IFERROR(SUM(K5373:O5373)*VLOOKUP($A5373,HeadJournal!$A$1:$L$890,COLUMN(HeadJournal!H$1),0),0)</f>
        <v>1142.715219913511</v>
      </c>
      <c r="Q5373" s="29">
        <v>2000</v>
      </c>
      <c r="R5373" s="31">
        <v>46032</v>
      </c>
      <c r="S5373" s="31" t="s">
        <v>3231</v>
      </c>
      <c r="T5373" s="95" t="str">
        <f t="shared" si="398"/>
        <v>2026 01</v>
      </c>
      <c r="U5373" s="32">
        <f t="shared" si="403"/>
        <v>857.28478008648904</v>
      </c>
      <c r="V5373" s="22">
        <f t="shared" si="404"/>
        <v>0.75021734649808425</v>
      </c>
      <c r="X5373" s="33"/>
      <c r="Y5373" s="33"/>
    </row>
    <row r="5374" spans="1:25" x14ac:dyDescent="0.2">
      <c r="A5374" s="93" t="s">
        <v>5147</v>
      </c>
      <c r="B5374" s="94">
        <f>IFERROR(VLOOKUP($A5374,HeadJournal!$A$1:$NTR$890,COLUMN(HeadJournal!B$1),0),"")</f>
        <v>0</v>
      </c>
      <c r="C5374" s="94" t="str">
        <f>IFERROR(VLOOKUP($A5374,HeadJournal!$A$1:$NTR$890,COLUMN(HeadJournal!C$1),0),"")</f>
        <v>iHerb_MH DLE7202</v>
      </c>
      <c r="D5374" s="125" t="str">
        <f>IFERROR(VLOOKUP($A5374,HeadJournal!$A$1:$NTR$890,COLUMN(HeadJournal!D$1),0),"")</f>
        <v>Доставлен</v>
      </c>
      <c r="E5374" s="95">
        <f>IFERROR(VLOOKUP($A5374,HeadJournal!$A$1:$NTR$890,COLUMN(HeadJournal!G$1),0),"")</f>
        <v>45999</v>
      </c>
      <c r="F5374" s="95" t="str">
        <f t="shared" si="397"/>
        <v>2025 12</v>
      </c>
      <c r="G5374" s="97" t="s">
        <v>5</v>
      </c>
      <c r="H5374" s="161" t="s">
        <v>3931</v>
      </c>
      <c r="I5374" s="97" t="s">
        <v>2036</v>
      </c>
      <c r="J5374" s="97" t="s">
        <v>3932</v>
      </c>
      <c r="K5374" s="29">
        <v>12.06</v>
      </c>
      <c r="L5374" s="29">
        <v>-4.1500000000000004</v>
      </c>
      <c r="M5374" s="30">
        <f>IFERROR(VLOOKUP($A5374,HeadJournal!$A$1:$J$890,COLUMN(HeadJournal!I$1),0)*($K5374+$L5374)/(SUMIF($A:$A,$A5374,$K:$K)+SUMIF($A:$A,$A5374,$L:$L)),0)</f>
        <v>0</v>
      </c>
      <c r="N5374" s="30">
        <f>IFERROR((VLOOKUP($A5374,HeadJournal!$A$1:$K$890,COLUMN(HeadJournal!K$1),0)-VLOOKUP($A5374,HeadJournal!$A$1:$K$890,COLUMN(HeadJournal!J$1),0))*($K5374+$L5374)/(SUMIF($A:$A,$A5374,$K:$K)+SUMIF($A:$A,$A5374,$L:$L)),0)</f>
        <v>-2.3712237273968529E-15</v>
      </c>
      <c r="O5374" s="30">
        <f>IFERROR((VLOOKUP($A5374,HeadJournal!$A$1:$L$890,COLUMN(HeadJournal!L$1),0)*($K5374+$L5374)/(SUMIF($A:$A,$A5374,$K:$K)+SUMIF($A:$A,$A5374,$L:$L)))/VLOOKUP($A5374,HeadJournal!$A$1:$L$890,COLUMN(HeadJournal!H$1),0),0)</f>
        <v>0.36884517304189424</v>
      </c>
      <c r="P5374" s="30">
        <f>IFERROR(SUM(K5374:O5374)*VLOOKUP($A5374,HeadJournal!$A$1:$L$890,COLUMN(HeadJournal!H$1),0),0)</f>
        <v>719.08332454382423</v>
      </c>
      <c r="Q5374" s="29">
        <v>1700</v>
      </c>
      <c r="R5374" s="31">
        <v>46034</v>
      </c>
      <c r="S5374" s="31" t="s">
        <v>5105</v>
      </c>
      <c r="T5374" s="95" t="str">
        <f t="shared" si="398"/>
        <v>2026 01</v>
      </c>
      <c r="U5374" s="32">
        <f t="shared" si="403"/>
        <v>980.91667545617577</v>
      </c>
      <c r="V5374" s="22">
        <f t="shared" si="404"/>
        <v>1.364121016265333</v>
      </c>
      <c r="X5374" s="33"/>
      <c r="Y5374" s="33"/>
    </row>
    <row r="5375" spans="1:25" x14ac:dyDescent="0.2">
      <c r="A5375" s="93" t="s">
        <v>5147</v>
      </c>
      <c r="B5375" s="94">
        <f>IFERROR(VLOOKUP($A5375,HeadJournal!$A$1:$NTR$890,COLUMN(HeadJournal!B$1),0),"")</f>
        <v>0</v>
      </c>
      <c r="C5375" s="94" t="str">
        <f>IFERROR(VLOOKUP($A5375,HeadJournal!$A$1:$NTR$890,COLUMN(HeadJournal!C$1),0),"")</f>
        <v>iHerb_MH DLE7202</v>
      </c>
      <c r="D5375" s="125" t="str">
        <f>IFERROR(VLOOKUP($A5375,HeadJournal!$A$1:$NTR$890,COLUMN(HeadJournal!D$1),0),"")</f>
        <v>Доставлен</v>
      </c>
      <c r="E5375" s="95">
        <f>IFERROR(VLOOKUP($A5375,HeadJournal!$A$1:$NTR$890,COLUMN(HeadJournal!G$1),0),"")</f>
        <v>45999</v>
      </c>
      <c r="F5375" s="95" t="str">
        <f t="shared" si="397"/>
        <v>2025 12</v>
      </c>
      <c r="G5375" s="97" t="s">
        <v>5</v>
      </c>
      <c r="H5375" s="161" t="s">
        <v>3787</v>
      </c>
      <c r="I5375" s="97" t="s">
        <v>2036</v>
      </c>
      <c r="J5375" s="97" t="s">
        <v>4060</v>
      </c>
      <c r="K5375" s="29">
        <v>15.08</v>
      </c>
      <c r="L5375" s="29">
        <v>-5.18</v>
      </c>
      <c r="M5375" s="30">
        <f>IFERROR(VLOOKUP($A5375,HeadJournal!$A$1:$J$890,COLUMN(HeadJournal!I$1),0)*($K5375+$L5375)/(SUMIF($A:$A,$A5375,$K:$K)+SUMIF($A:$A,$A5375,$L:$L)),0)</f>
        <v>0</v>
      </c>
      <c r="N5375" s="30">
        <f>IFERROR((VLOOKUP($A5375,HeadJournal!$A$1:$K$890,COLUMN(HeadJournal!K$1),0)-VLOOKUP($A5375,HeadJournal!$A$1:$K$890,COLUMN(HeadJournal!J$1),0))*($K5375+$L5375)/(SUMIF($A:$A,$A5375,$K:$K)+SUMIF($A:$A,$A5375,$L:$L)),0)</f>
        <v>-2.9677768522413203E-15</v>
      </c>
      <c r="O5375" s="30">
        <f>IFERROR((VLOOKUP($A5375,HeadJournal!$A$1:$L$890,COLUMN(HeadJournal!L$1),0)*($K5375+$L5375)/(SUMIF($A:$A,$A5375,$K:$K)+SUMIF($A:$A,$A5375,$L:$L)))/VLOOKUP($A5375,HeadJournal!$A$1:$L$890,COLUMN(HeadJournal!H$1),0),0)</f>
        <v>0.46163934426229503</v>
      </c>
      <c r="P5375" s="30">
        <f>IFERROR(SUM(K5375:O5375)*VLOOKUP($A5375,HeadJournal!$A$1:$L$890,COLUMN(HeadJournal!H$1),0),0)</f>
        <v>899.99050733044999</v>
      </c>
      <c r="Q5375" s="29">
        <v>2000</v>
      </c>
      <c r="R5375" s="31">
        <v>46034</v>
      </c>
      <c r="S5375" s="31" t="s">
        <v>5105</v>
      </c>
      <c r="T5375" s="95" t="str">
        <f t="shared" si="398"/>
        <v>2026 01</v>
      </c>
      <c r="U5375" s="32">
        <f t="shared" si="403"/>
        <v>1100.0094926695501</v>
      </c>
      <c r="V5375" s="22">
        <f t="shared" si="404"/>
        <v>1.2222456611596895</v>
      </c>
      <c r="X5375" s="33"/>
      <c r="Y5375" s="33"/>
    </row>
    <row r="5376" spans="1:25" x14ac:dyDescent="0.2">
      <c r="A5376" s="93" t="s">
        <v>5147</v>
      </c>
      <c r="B5376" s="94">
        <f>IFERROR(VLOOKUP($A5376,HeadJournal!$A$1:$NTR$890,COLUMN(HeadJournal!B$1),0),"")</f>
        <v>0</v>
      </c>
      <c r="C5376" s="94" t="str">
        <f>IFERROR(VLOOKUP($A5376,HeadJournal!$A$1:$NTR$890,COLUMN(HeadJournal!C$1),0),"")</f>
        <v>iHerb_MH DLE7202</v>
      </c>
      <c r="D5376" s="125" t="str">
        <f>IFERROR(VLOOKUP($A5376,HeadJournal!$A$1:$NTR$890,COLUMN(HeadJournal!D$1),0),"")</f>
        <v>Доставлен</v>
      </c>
      <c r="E5376" s="95">
        <f>IFERROR(VLOOKUP($A5376,HeadJournal!$A$1:$NTR$890,COLUMN(HeadJournal!G$1),0),"")</f>
        <v>45999</v>
      </c>
      <c r="F5376" s="95" t="str">
        <f t="shared" si="397"/>
        <v>2025 12</v>
      </c>
      <c r="G5376" s="97" t="s">
        <v>5</v>
      </c>
      <c r="H5376" s="161" t="s">
        <v>5141</v>
      </c>
      <c r="I5376" s="97" t="s">
        <v>2163</v>
      </c>
      <c r="J5376" s="97" t="s">
        <v>5142</v>
      </c>
      <c r="K5376" s="29">
        <v>28.45</v>
      </c>
      <c r="L5376" s="29">
        <v>-10.88</v>
      </c>
      <c r="M5376" s="30">
        <f>IFERROR(VLOOKUP($A5376,HeadJournal!$A$1:$J$890,COLUMN(HeadJournal!I$1),0)*($K5376+$L5376)/(SUMIF($A:$A,$A5376,$K:$K)+SUMIF($A:$A,$A5376,$L:$L)),0)</f>
        <v>0</v>
      </c>
      <c r="N5376" s="30">
        <f>IFERROR((VLOOKUP($A5376,HeadJournal!$A$1:$K$890,COLUMN(HeadJournal!K$1),0)-VLOOKUP($A5376,HeadJournal!$A$1:$K$890,COLUMN(HeadJournal!J$1),0))*($K5376+$L5376)/(SUMIF($A:$A,$A5376,$K:$K)+SUMIF($A:$A,$A5376,$L:$L)),0)</f>
        <v>-5.2670544741292927E-15</v>
      </c>
      <c r="O5376" s="30">
        <f>IFERROR((VLOOKUP($A5376,HeadJournal!$A$1:$L$890,COLUMN(HeadJournal!L$1),0)*($K5376+$L5376)/(SUMIF($A:$A,$A5376,$K:$K)+SUMIF($A:$A,$A5376,$L:$L)))/VLOOKUP($A5376,HeadJournal!$A$1:$L$890,COLUMN(HeadJournal!H$1),0),0)</f>
        <v>0.81929326047358808</v>
      </c>
      <c r="P5376" s="30">
        <f>IFERROR(SUM(K5376:O5376)*VLOOKUP($A5376,HeadJournal!$A$1:$L$890,COLUMN(HeadJournal!H$1),0),0)</f>
        <v>1597.2558801814153</v>
      </c>
      <c r="Q5376" s="29">
        <v>1597.26</v>
      </c>
      <c r="R5376" s="31"/>
      <c r="S5376" s="31"/>
      <c r="T5376" s="95" t="str">
        <f t="shared" si="398"/>
        <v/>
      </c>
      <c r="U5376" s="32">
        <f t="shared" si="403"/>
        <v>4.1198185847406421E-3</v>
      </c>
      <c r="V5376" s="22">
        <f t="shared" si="404"/>
        <v>2.5793103258275161E-6</v>
      </c>
      <c r="X5376" s="33"/>
      <c r="Y5376" s="33"/>
    </row>
    <row r="5377" spans="1:25" x14ac:dyDescent="0.2">
      <c r="A5377" s="93" t="s">
        <v>5147</v>
      </c>
      <c r="B5377" s="94">
        <f>IFERROR(VLOOKUP($A5377,HeadJournal!$A$1:$NTR$890,COLUMN(HeadJournal!B$1),0),"")</f>
        <v>0</v>
      </c>
      <c r="C5377" s="94" t="str">
        <f>IFERROR(VLOOKUP($A5377,HeadJournal!$A$1:$NTR$890,COLUMN(HeadJournal!C$1),0),"")</f>
        <v>iHerb_MH DLE7202</v>
      </c>
      <c r="D5377" s="125" t="str">
        <f>IFERROR(VLOOKUP($A5377,HeadJournal!$A$1:$NTR$890,COLUMN(HeadJournal!D$1),0),"")</f>
        <v>Доставлен</v>
      </c>
      <c r="E5377" s="95">
        <f>IFERROR(VLOOKUP($A5377,HeadJournal!$A$1:$NTR$890,COLUMN(HeadJournal!G$1),0),"")</f>
        <v>45999</v>
      </c>
      <c r="F5377" s="95" t="str">
        <f t="shared" si="397"/>
        <v>2025 12</v>
      </c>
      <c r="G5377" s="97" t="s">
        <v>5</v>
      </c>
      <c r="H5377" s="161" t="s">
        <v>4150</v>
      </c>
      <c r="I5377" s="97" t="s">
        <v>2163</v>
      </c>
      <c r="J5377" s="97" t="s">
        <v>4151</v>
      </c>
      <c r="K5377" s="29">
        <v>48.2</v>
      </c>
      <c r="L5377" s="29">
        <v>-18.43</v>
      </c>
      <c r="M5377" s="30">
        <f>IFERROR(VLOOKUP($A5377,HeadJournal!$A$1:$J$890,COLUMN(HeadJournal!I$1),0)*($K5377+$L5377)/(SUMIF($A:$A,$A5377,$K:$K)+SUMIF($A:$A,$A5377,$L:$L)),0)</f>
        <v>0</v>
      </c>
      <c r="N5377" s="30">
        <f>IFERROR((VLOOKUP($A5377,HeadJournal!$A$1:$K$890,COLUMN(HeadJournal!K$1),0)-VLOOKUP($A5377,HeadJournal!$A$1:$K$890,COLUMN(HeadJournal!J$1),0))*($K5377+$L5377)/(SUMIF($A:$A,$A5377,$K:$K)+SUMIF($A:$A,$A5377,$L:$L)),0)</f>
        <v>-8.9243148374973853E-15</v>
      </c>
      <c r="O5377" s="30">
        <f>IFERROR((VLOOKUP($A5377,HeadJournal!$A$1:$L$890,COLUMN(HeadJournal!L$1),0)*($K5377+$L5377)/(SUMIF($A:$A,$A5377,$K:$K)+SUMIF($A:$A,$A5377,$L:$L)))/VLOOKUP($A5377,HeadJournal!$A$1:$L$890,COLUMN(HeadJournal!H$1),0),0)</f>
        <v>1.3881821493624769</v>
      </c>
      <c r="P5377" s="30">
        <f>IFERROR(SUM(K5377:O5377)*VLOOKUP($A5377,HeadJournal!$A$1:$L$890,COLUMN(HeadJournal!H$1),0),0)</f>
        <v>2706.3350912351011</v>
      </c>
      <c r="Q5377" s="29">
        <v>4900</v>
      </c>
      <c r="R5377" s="31">
        <v>46034</v>
      </c>
      <c r="S5377" s="31" t="s">
        <v>5105</v>
      </c>
      <c r="T5377" s="95" t="str">
        <f t="shared" si="398"/>
        <v>2026 01</v>
      </c>
      <c r="U5377" s="32">
        <f t="shared" si="403"/>
        <v>2193.6649087648989</v>
      </c>
      <c r="V5377" s="22">
        <f t="shared" si="404"/>
        <v>0.81056662786121103</v>
      </c>
      <c r="X5377" s="33"/>
      <c r="Y5377" s="33"/>
    </row>
    <row r="5378" spans="1:25" x14ac:dyDescent="0.2">
      <c r="A5378" s="93" t="s">
        <v>5147</v>
      </c>
      <c r="B5378" s="94">
        <f>IFERROR(VLOOKUP($A5378,HeadJournal!$A$1:$NTR$890,COLUMN(HeadJournal!B$1),0),"")</f>
        <v>0</v>
      </c>
      <c r="C5378" s="94" t="str">
        <f>IFERROR(VLOOKUP($A5378,HeadJournal!$A$1:$NTR$890,COLUMN(HeadJournal!C$1),0),"")</f>
        <v>iHerb_MH DLE7202</v>
      </c>
      <c r="D5378" s="125" t="str">
        <f>IFERROR(VLOOKUP($A5378,HeadJournal!$A$1:$NTR$890,COLUMN(HeadJournal!D$1),0),"")</f>
        <v>Доставлен</v>
      </c>
      <c r="E5378" s="95">
        <f>IFERROR(VLOOKUP($A5378,HeadJournal!$A$1:$NTR$890,COLUMN(HeadJournal!G$1),0),"")</f>
        <v>45999</v>
      </c>
      <c r="F5378" s="95" t="str">
        <f t="shared" si="397"/>
        <v>2025 12</v>
      </c>
      <c r="G5378" s="97" t="s">
        <v>5</v>
      </c>
      <c r="H5378" s="161" t="s">
        <v>5143</v>
      </c>
      <c r="I5378" s="97" t="s">
        <v>2657</v>
      </c>
      <c r="J5378" s="97" t="s">
        <v>5144</v>
      </c>
      <c r="K5378" s="29">
        <v>11.64</v>
      </c>
      <c r="L5378" s="29">
        <v>-4</v>
      </c>
      <c r="M5378" s="30">
        <f>IFERROR(VLOOKUP($A5378,HeadJournal!$A$1:$J$890,COLUMN(HeadJournal!I$1),0)*($K5378+$L5378)/(SUMIF($A:$A,$A5378,$K:$K)+SUMIF($A:$A,$A5378,$L:$L)),0)</f>
        <v>0</v>
      </c>
      <c r="N5378" s="30">
        <f>IFERROR((VLOOKUP($A5378,HeadJournal!$A$1:$K$890,COLUMN(HeadJournal!K$1),0)-VLOOKUP($A5378,HeadJournal!$A$1:$K$890,COLUMN(HeadJournal!J$1),0))*($K5378+$L5378)/(SUMIF($A:$A,$A5378,$K:$K)+SUMIF($A:$A,$A5378,$L:$L)),0)</f>
        <v>-2.2902843586993626E-15</v>
      </c>
      <c r="O5378" s="30">
        <f>IFERROR((VLOOKUP($A5378,HeadJournal!$A$1:$L$890,COLUMN(HeadJournal!L$1),0)*($K5378+$L5378)/(SUMIF($A:$A,$A5378,$K:$K)+SUMIF($A:$A,$A5378,$L:$L)))/VLOOKUP($A5378,HeadJournal!$A$1:$L$890,COLUMN(HeadJournal!H$1),0),0)</f>
        <v>0.35625500910746805</v>
      </c>
      <c r="P5378" s="30">
        <f>IFERROR(SUM(K5378:O5378)*VLOOKUP($A5378,HeadJournal!$A$1:$L$890,COLUMN(HeadJournal!H$1),0),0)</f>
        <v>694.53812888935738</v>
      </c>
      <c r="Q5378" s="29">
        <v>1800</v>
      </c>
      <c r="R5378" s="31">
        <v>46044</v>
      </c>
      <c r="S5378" s="31"/>
      <c r="T5378" s="95" t="str">
        <f t="shared" si="398"/>
        <v>2026 01</v>
      </c>
      <c r="U5378" s="32">
        <f t="shared" si="403"/>
        <v>1105.4618711106427</v>
      </c>
      <c r="V5378" s="22">
        <f t="shared" si="404"/>
        <v>1.5916503718498471</v>
      </c>
      <c r="X5378" s="33"/>
      <c r="Y5378" s="33"/>
    </row>
    <row r="5379" spans="1:25" x14ac:dyDescent="0.2">
      <c r="A5379" s="93" t="s">
        <v>5147</v>
      </c>
      <c r="B5379" s="94">
        <f>IFERROR(VLOOKUP($A5379,HeadJournal!$A$1:$NTR$890,COLUMN(HeadJournal!B$1),0),"")</f>
        <v>0</v>
      </c>
      <c r="C5379" s="94" t="str">
        <f>IFERROR(VLOOKUP($A5379,HeadJournal!$A$1:$NTR$890,COLUMN(HeadJournal!C$1),0),"")</f>
        <v>iHerb_MH DLE7202</v>
      </c>
      <c r="D5379" s="125" t="str">
        <f>IFERROR(VLOOKUP($A5379,HeadJournal!$A$1:$NTR$890,COLUMN(HeadJournal!D$1),0),"")</f>
        <v>Доставлен</v>
      </c>
      <c r="E5379" s="95">
        <f>IFERROR(VLOOKUP($A5379,HeadJournal!$A$1:$NTR$890,COLUMN(HeadJournal!G$1),0),"")</f>
        <v>45999</v>
      </c>
      <c r="F5379" s="95" t="str">
        <f t="shared" si="397"/>
        <v>2025 12</v>
      </c>
      <c r="G5379" s="97" t="s">
        <v>5</v>
      </c>
      <c r="H5379" s="161" t="s">
        <v>5145</v>
      </c>
      <c r="I5379" s="97" t="s">
        <v>2052</v>
      </c>
      <c r="J5379" s="97" t="s">
        <v>5146</v>
      </c>
      <c r="K5379" s="29">
        <v>20.399999999999999</v>
      </c>
      <c r="L5379" s="29">
        <v>-10.95</v>
      </c>
      <c r="M5379" s="30">
        <f>IFERROR(VLOOKUP($A5379,HeadJournal!$A$1:$J$890,COLUMN(HeadJournal!I$1),0)*($K5379+$L5379)/(SUMIF($A:$A,$A5379,$K:$K)+SUMIF($A:$A,$A5379,$L:$L)),0)</f>
        <v>0</v>
      </c>
      <c r="N5379" s="30">
        <f>IFERROR((VLOOKUP($A5379,HeadJournal!$A$1:$K$890,COLUMN(HeadJournal!K$1),0)-VLOOKUP($A5379,HeadJournal!$A$1:$K$890,COLUMN(HeadJournal!J$1),0))*($K5379+$L5379)/(SUMIF($A:$A,$A5379,$K:$K)+SUMIF($A:$A,$A5379,$L:$L)),0)</f>
        <v>-2.8328779044121692E-15</v>
      </c>
      <c r="O5379" s="30">
        <f>IFERROR((VLOOKUP($A5379,HeadJournal!$A$1:$L$890,COLUMN(HeadJournal!L$1),0)*($K5379+$L5379)/(SUMIF($A:$A,$A5379,$K:$K)+SUMIF($A:$A,$A5379,$L:$L)))/VLOOKUP($A5379,HeadJournal!$A$1:$L$890,COLUMN(HeadJournal!H$1),0),0)</f>
        <v>0.44065573770491784</v>
      </c>
      <c r="P5379" s="30">
        <f>IFERROR(SUM(K5379:O5379)*VLOOKUP($A5379,HeadJournal!$A$1:$L$890,COLUMN(HeadJournal!H$1),0),0)</f>
        <v>859.08184790633845</v>
      </c>
      <c r="Q5379" s="29"/>
      <c r="R5379" s="31"/>
      <c r="S5379" s="31"/>
      <c r="T5379" s="95" t="str">
        <f t="shared" si="398"/>
        <v/>
      </c>
      <c r="U5379" s="32">
        <f t="shared" si="403"/>
        <v>-859.08184790633845</v>
      </c>
      <c r="V5379" s="22" t="str">
        <f t="shared" si="404"/>
        <v/>
      </c>
      <c r="X5379" s="33"/>
      <c r="Y5379" s="33"/>
    </row>
    <row r="5380" spans="1:25" x14ac:dyDescent="0.2">
      <c r="A5380" s="93" t="s">
        <v>5161</v>
      </c>
      <c r="B5380" s="94">
        <f>IFERROR(VLOOKUP($A5380,HeadJournal!$A$1:$NTR$890,COLUMN(HeadJournal!B$1),0),"")</f>
        <v>0</v>
      </c>
      <c r="C5380" s="94" t="str">
        <f>IFERROR(VLOOKUP($A5380,HeadJournal!$A$1:$NTR$890,COLUMN(HeadJournal!C$1),0),"")</f>
        <v>iHerb_VP DFD1605</v>
      </c>
      <c r="D5380" s="125" t="str">
        <f>IFERROR(VLOOKUP($A5380,HeadJournal!$A$1:$NTR$890,COLUMN(HeadJournal!D$1),0),"")</f>
        <v>Доставлен</v>
      </c>
      <c r="E5380" s="95">
        <f>IFERROR(VLOOKUP($A5380,HeadJournal!$A$1:$NTR$890,COLUMN(HeadJournal!G$1),0),"")</f>
        <v>45999</v>
      </c>
      <c r="F5380" s="95" t="str">
        <f t="shared" ref="F5380:F5443" si="405">IFERROR(TEXT(E5380, "ГГГГ ММ"),"")</f>
        <v>2025 12</v>
      </c>
      <c r="G5380" s="97" t="s">
        <v>5</v>
      </c>
      <c r="H5380" s="161" t="s">
        <v>2034</v>
      </c>
      <c r="I5380" s="97" t="s">
        <v>2008</v>
      </c>
      <c r="J5380" s="97" t="s">
        <v>4950</v>
      </c>
      <c r="K5380" s="29">
        <v>23.89</v>
      </c>
      <c r="L5380" s="29">
        <v>-2.39</v>
      </c>
      <c r="M5380" s="30">
        <f>IFERROR(VLOOKUP($A5380,HeadJournal!$A$1:$J$890,COLUMN(HeadJournal!I$1),0)*($K5380+$L5380)/(SUMIF($A:$A,$A5380,$K:$K)+SUMIF($A:$A,$A5380,$L:$L)),0)</f>
        <v>0</v>
      </c>
      <c r="N5380" s="30">
        <f>IFERROR((VLOOKUP($A5380,HeadJournal!$A$1:$K$890,COLUMN(HeadJournal!K$1),0)-VLOOKUP($A5380,HeadJournal!$A$1:$K$890,COLUMN(HeadJournal!J$1),0))*($K5380+$L5380)/(SUMIF($A:$A,$A5380,$K:$K)+SUMIF($A:$A,$A5380,$L:$L)),0)</f>
        <v>0</v>
      </c>
      <c r="O5380" s="30">
        <f>IFERROR((VLOOKUP($A5380,HeadJournal!$A$1:$L$890,COLUMN(HeadJournal!L$1),0)*($K5380+$L5380)/(SUMIF($A:$A,$A5380,$K:$K)+SUMIF($A:$A,$A5380,$L:$L)))/VLOOKUP($A5380,HeadJournal!$A$1:$L$890,COLUMN(HeadJournal!H$1),0),0)</f>
        <v>0.48655577328245403</v>
      </c>
      <c r="P5380" s="30">
        <f>IFERROR(SUM(K5380:O5380)*VLOOKUP($A5380,HeadJournal!$A$1:$L$890,COLUMN(HeadJournal!H$1),0),0)</f>
        <v>1923.2569079286527</v>
      </c>
      <c r="Q5380" s="29">
        <v>3000</v>
      </c>
      <c r="R5380" s="31">
        <v>46032</v>
      </c>
      <c r="S5380" s="31" t="s">
        <v>3226</v>
      </c>
      <c r="T5380" s="95" t="str">
        <f t="shared" ref="T5380:T5443" si="406">IF(R5380="","",TEXT(R5380,"ГГГГ ММ"))</f>
        <v>2026 01</v>
      </c>
      <c r="U5380" s="32">
        <f t="shared" si="403"/>
        <v>1076.7430920713473</v>
      </c>
      <c r="V5380" s="22">
        <f t="shared" si="404"/>
        <v>0.55985400995179546</v>
      </c>
      <c r="X5380" s="33"/>
      <c r="Y5380" s="33"/>
    </row>
    <row r="5381" spans="1:25" x14ac:dyDescent="0.2">
      <c r="A5381" s="93" t="s">
        <v>5161</v>
      </c>
      <c r="B5381" s="94">
        <f>IFERROR(VLOOKUP($A5381,HeadJournal!$A$1:$NTR$890,COLUMN(HeadJournal!B$1),0),"")</f>
        <v>0</v>
      </c>
      <c r="C5381" s="94" t="str">
        <f>IFERROR(VLOOKUP($A5381,HeadJournal!$A$1:$NTR$890,COLUMN(HeadJournal!C$1),0),"")</f>
        <v>iHerb_VP DFD1605</v>
      </c>
      <c r="D5381" s="125" t="str">
        <f>IFERROR(VLOOKUP($A5381,HeadJournal!$A$1:$NTR$890,COLUMN(HeadJournal!D$1),0),"")</f>
        <v>Доставлен</v>
      </c>
      <c r="E5381" s="95">
        <f>IFERROR(VLOOKUP($A5381,HeadJournal!$A$1:$NTR$890,COLUMN(HeadJournal!G$1),0),"")</f>
        <v>45999</v>
      </c>
      <c r="F5381" s="95" t="str">
        <f t="shared" si="405"/>
        <v>2025 12</v>
      </c>
      <c r="G5381" s="97" t="s">
        <v>5</v>
      </c>
      <c r="H5381" s="161" t="s">
        <v>2548</v>
      </c>
      <c r="I5381" s="97" t="s">
        <v>2005</v>
      </c>
      <c r="J5381" s="97" t="s">
        <v>2549</v>
      </c>
      <c r="K5381" s="29">
        <v>13.03</v>
      </c>
      <c r="L5381" s="29">
        <v>-1.3</v>
      </c>
      <c r="M5381" s="30">
        <f>IFERROR(VLOOKUP($A5381,HeadJournal!$A$1:$J$890,COLUMN(HeadJournal!I$1),0)*($K5381+$L5381)/(SUMIF($A:$A,$A5381,$K:$K)+SUMIF($A:$A,$A5381,$L:$L)),0)</f>
        <v>0</v>
      </c>
      <c r="N5381" s="30">
        <f>IFERROR((VLOOKUP($A5381,HeadJournal!$A$1:$K$890,COLUMN(HeadJournal!K$1),0)-VLOOKUP($A5381,HeadJournal!$A$1:$K$890,COLUMN(HeadJournal!J$1),0))*($K5381+$L5381)/(SUMIF($A:$A,$A5381,$K:$K)+SUMIF($A:$A,$A5381,$L:$L)),0)</f>
        <v>0</v>
      </c>
      <c r="O5381" s="30">
        <f>IFERROR((VLOOKUP($A5381,HeadJournal!$A$1:$L$890,COLUMN(HeadJournal!L$1),0)*($K5381+$L5381)/(SUMIF($A:$A,$A5381,$K:$K)+SUMIF($A:$A,$A5381,$L:$L)))/VLOOKUP($A5381,HeadJournal!$A$1:$L$890,COLUMN(HeadJournal!H$1),0),0)</f>
        <v>0.26545577770247369</v>
      </c>
      <c r="P5381" s="30">
        <f>IFERROR(SUM(K5381:O5381)*VLOOKUP($A5381,HeadJournal!$A$1:$L$890,COLUMN(HeadJournal!H$1),0),0)</f>
        <v>1049.2931874420044</v>
      </c>
      <c r="Q5381" s="29">
        <v>1900</v>
      </c>
      <c r="R5381" s="31">
        <v>46032</v>
      </c>
      <c r="S5381" s="31" t="s">
        <v>3226</v>
      </c>
      <c r="T5381" s="95" t="str">
        <f t="shared" si="406"/>
        <v>2026 01</v>
      </c>
      <c r="U5381" s="32">
        <f t="shared" si="403"/>
        <v>850.70681255799559</v>
      </c>
      <c r="V5381" s="22">
        <f t="shared" si="404"/>
        <v>0.81074271970817979</v>
      </c>
      <c r="X5381" s="33"/>
      <c r="Y5381" s="33"/>
    </row>
    <row r="5382" spans="1:25" x14ac:dyDescent="0.2">
      <c r="A5382" s="93" t="s">
        <v>5161</v>
      </c>
      <c r="B5382" s="94">
        <f>IFERROR(VLOOKUP($A5382,HeadJournal!$A$1:$NTR$890,COLUMN(HeadJournal!B$1),0),"")</f>
        <v>0</v>
      </c>
      <c r="C5382" s="94" t="str">
        <f>IFERROR(VLOOKUP($A5382,HeadJournal!$A$1:$NTR$890,COLUMN(HeadJournal!C$1),0),"")</f>
        <v>iHerb_VP DFD1605</v>
      </c>
      <c r="D5382" s="125" t="str">
        <f>IFERROR(VLOOKUP($A5382,HeadJournal!$A$1:$NTR$890,COLUMN(HeadJournal!D$1),0),"")</f>
        <v>Доставлен</v>
      </c>
      <c r="E5382" s="95">
        <f>IFERROR(VLOOKUP($A5382,HeadJournal!$A$1:$NTR$890,COLUMN(HeadJournal!G$1),0),"")</f>
        <v>45999</v>
      </c>
      <c r="F5382" s="95" t="str">
        <f t="shared" si="405"/>
        <v>2025 12</v>
      </c>
      <c r="G5382" s="97" t="s">
        <v>5</v>
      </c>
      <c r="H5382" s="161" t="s">
        <v>5148</v>
      </c>
      <c r="I5382" s="97" t="s">
        <v>2442</v>
      </c>
      <c r="J5382" s="97" t="s">
        <v>5149</v>
      </c>
      <c r="K5382" s="29">
        <v>22.52</v>
      </c>
      <c r="L5382" s="29">
        <v>-2.25</v>
      </c>
      <c r="M5382" s="30">
        <f>IFERROR(VLOOKUP($A5382,HeadJournal!$A$1:$J$890,COLUMN(HeadJournal!I$1),0)*($K5382+$L5382)/(SUMIF($A:$A,$A5382,$K:$K)+SUMIF($A:$A,$A5382,$L:$L)),0)</f>
        <v>0</v>
      </c>
      <c r="N5382" s="30">
        <f>IFERROR((VLOOKUP($A5382,HeadJournal!$A$1:$K$890,COLUMN(HeadJournal!K$1),0)-VLOOKUP($A5382,HeadJournal!$A$1:$K$890,COLUMN(HeadJournal!J$1),0))*($K5382+$L5382)/(SUMIF($A:$A,$A5382,$K:$K)+SUMIF($A:$A,$A5382,$L:$L)),0)</f>
        <v>0</v>
      </c>
      <c r="O5382" s="30">
        <f>IFERROR((VLOOKUP($A5382,HeadJournal!$A$1:$L$890,COLUMN(HeadJournal!L$1),0)*($K5382+$L5382)/(SUMIF($A:$A,$A5382,$K:$K)+SUMIF($A:$A,$A5382,$L:$L)))/VLOOKUP($A5382,HeadJournal!$A$1:$L$890,COLUMN(HeadJournal!H$1),0),0)</f>
        <v>0.45872025695048102</v>
      </c>
      <c r="P5382" s="30">
        <f>IFERROR(SUM(K5382:O5382)*VLOOKUP($A5382,HeadJournal!$A$1:$L$890,COLUMN(HeadJournal!H$1),0),0)</f>
        <v>1813.2287220331996</v>
      </c>
      <c r="Q5382" s="29">
        <v>2500</v>
      </c>
      <c r="R5382" s="31">
        <v>46034</v>
      </c>
      <c r="S5382" s="31"/>
      <c r="T5382" s="95" t="str">
        <f t="shared" si="406"/>
        <v>2026 01</v>
      </c>
      <c r="U5382" s="32">
        <f t="shared" si="403"/>
        <v>686.77127796680043</v>
      </c>
      <c r="V5382" s="22">
        <f t="shared" si="404"/>
        <v>0.37875601109865159</v>
      </c>
      <c r="X5382" s="33"/>
      <c r="Y5382" s="33"/>
    </row>
    <row r="5383" spans="1:25" x14ac:dyDescent="0.2">
      <c r="A5383" s="93" t="s">
        <v>5161</v>
      </c>
      <c r="B5383" s="94">
        <f>IFERROR(VLOOKUP($A5383,HeadJournal!$A$1:$NTR$890,COLUMN(HeadJournal!B$1),0),"")</f>
        <v>0</v>
      </c>
      <c r="C5383" s="94" t="str">
        <f>IFERROR(VLOOKUP($A5383,HeadJournal!$A$1:$NTR$890,COLUMN(HeadJournal!C$1),0),"")</f>
        <v>iHerb_VP DFD1605</v>
      </c>
      <c r="D5383" s="125" t="str">
        <f>IFERROR(VLOOKUP($A5383,HeadJournal!$A$1:$NTR$890,COLUMN(HeadJournal!D$1),0),"")</f>
        <v>Доставлен</v>
      </c>
      <c r="E5383" s="95">
        <f>IFERROR(VLOOKUP($A5383,HeadJournal!$A$1:$NTR$890,COLUMN(HeadJournal!G$1),0),"")</f>
        <v>45999</v>
      </c>
      <c r="F5383" s="95" t="str">
        <f t="shared" si="405"/>
        <v>2025 12</v>
      </c>
      <c r="G5383" s="97" t="s">
        <v>5</v>
      </c>
      <c r="H5383" s="161" t="s">
        <v>5150</v>
      </c>
      <c r="I5383" s="97" t="s">
        <v>2666</v>
      </c>
      <c r="J5383" s="97" t="s">
        <v>5151</v>
      </c>
      <c r="K5383" s="29">
        <v>11.85</v>
      </c>
      <c r="L5383" s="29">
        <v>-1.19</v>
      </c>
      <c r="M5383" s="30">
        <f>IFERROR(VLOOKUP($A5383,HeadJournal!$A$1:$J$890,COLUMN(HeadJournal!I$1),0)*($K5383+$L5383)/(SUMIF($A:$A,$A5383,$K:$K)+SUMIF($A:$A,$A5383,$L:$L)),0)</f>
        <v>0</v>
      </c>
      <c r="N5383" s="30">
        <f>IFERROR((VLOOKUP($A5383,HeadJournal!$A$1:$K$890,COLUMN(HeadJournal!K$1),0)-VLOOKUP($A5383,HeadJournal!$A$1:$K$890,COLUMN(HeadJournal!J$1),0))*($K5383+$L5383)/(SUMIF($A:$A,$A5383,$K:$K)+SUMIF($A:$A,$A5383,$L:$L)),0)</f>
        <v>0</v>
      </c>
      <c r="O5383" s="30">
        <f>IFERROR((VLOOKUP($A5383,HeadJournal!$A$1:$L$890,COLUMN(HeadJournal!L$1),0)*($K5383+$L5383)/(SUMIF($A:$A,$A5383,$K:$K)+SUMIF($A:$A,$A5383,$L:$L)))/VLOOKUP($A5383,HeadJournal!$A$1:$L$890,COLUMN(HeadJournal!H$1),0),0)</f>
        <v>0.24124114154376555</v>
      </c>
      <c r="P5383" s="30">
        <f>IFERROR(SUM(K5383:O5383)*VLOOKUP($A5383,HeadJournal!$A$1:$L$890,COLUMN(HeadJournal!H$1),0),0)</f>
        <v>953.57761109392732</v>
      </c>
      <c r="Q5383" s="29">
        <v>1700</v>
      </c>
      <c r="R5383" s="31">
        <v>46034</v>
      </c>
      <c r="S5383" s="31"/>
      <c r="T5383" s="95" t="str">
        <f t="shared" si="406"/>
        <v>2026 01</v>
      </c>
      <c r="U5383" s="32">
        <f t="shared" si="403"/>
        <v>746.42238890607268</v>
      </c>
      <c r="V5383" s="22">
        <f t="shared" si="404"/>
        <v>0.78275997697742727</v>
      </c>
      <c r="X5383" s="33"/>
      <c r="Y5383" s="33"/>
    </row>
    <row r="5384" spans="1:25" x14ac:dyDescent="0.2">
      <c r="A5384" s="93" t="s">
        <v>5161</v>
      </c>
      <c r="B5384" s="94">
        <f>IFERROR(VLOOKUP($A5384,HeadJournal!$A$1:$NTR$890,COLUMN(HeadJournal!B$1),0),"")</f>
        <v>0</v>
      </c>
      <c r="C5384" s="94" t="str">
        <f>IFERROR(VLOOKUP($A5384,HeadJournal!$A$1:$NTR$890,COLUMN(HeadJournal!C$1),0),"")</f>
        <v>iHerb_VP DFD1605</v>
      </c>
      <c r="D5384" s="125" t="str">
        <f>IFERROR(VLOOKUP($A5384,HeadJournal!$A$1:$NTR$890,COLUMN(HeadJournal!D$1),0),"")</f>
        <v>Доставлен</v>
      </c>
      <c r="E5384" s="95">
        <f>IFERROR(VLOOKUP($A5384,HeadJournal!$A$1:$NTR$890,COLUMN(HeadJournal!G$1),0),"")</f>
        <v>45999</v>
      </c>
      <c r="F5384" s="95" t="str">
        <f t="shared" si="405"/>
        <v>2025 12</v>
      </c>
      <c r="G5384" s="97" t="s">
        <v>5</v>
      </c>
      <c r="H5384" s="161" t="s">
        <v>2016</v>
      </c>
      <c r="I5384" s="97" t="s">
        <v>2005</v>
      </c>
      <c r="J5384" s="97" t="s">
        <v>2017</v>
      </c>
      <c r="K5384" s="29">
        <v>40.090000000000003</v>
      </c>
      <c r="L5384" s="29">
        <v>-4.01</v>
      </c>
      <c r="M5384" s="30">
        <f>IFERROR(VLOOKUP($A5384,HeadJournal!$A$1:$J$890,COLUMN(HeadJournal!I$1),0)*($K5384+$L5384)/(SUMIF($A:$A,$A5384,$K:$K)+SUMIF($A:$A,$A5384,$L:$L)),0)</f>
        <v>0</v>
      </c>
      <c r="N5384" s="30">
        <f>IFERROR((VLOOKUP($A5384,HeadJournal!$A$1:$K$890,COLUMN(HeadJournal!K$1),0)-VLOOKUP($A5384,HeadJournal!$A$1:$K$890,COLUMN(HeadJournal!J$1),0))*($K5384+$L5384)/(SUMIF($A:$A,$A5384,$K:$K)+SUMIF($A:$A,$A5384,$L:$L)),0)</f>
        <v>0</v>
      </c>
      <c r="O5384" s="30">
        <f>IFERROR((VLOOKUP($A5384,HeadJournal!$A$1:$L$890,COLUMN(HeadJournal!L$1),0)*($K5384+$L5384)/(SUMIF($A:$A,$A5384,$K:$K)+SUMIF($A:$A,$A5384,$L:$L)))/VLOOKUP($A5384,HeadJournal!$A$1:$L$890,COLUMN(HeadJournal!H$1),0),0)</f>
        <v>0.81650847907120649</v>
      </c>
      <c r="P5384" s="30">
        <f>IFERROR(SUM(K5384:O5384)*VLOOKUP($A5384,HeadJournal!$A$1:$L$890,COLUMN(HeadJournal!H$1),0),0)</f>
        <v>3227.4934529332932</v>
      </c>
      <c r="Q5384" s="29">
        <v>4400</v>
      </c>
      <c r="R5384" s="31">
        <v>46135</v>
      </c>
      <c r="S5384" s="31"/>
      <c r="T5384" s="95" t="str">
        <f t="shared" si="406"/>
        <v>2026 04</v>
      </c>
      <c r="U5384" s="32">
        <f t="shared" si="403"/>
        <v>1172.5065470667068</v>
      </c>
      <c r="V5384" s="22">
        <f t="shared" si="404"/>
        <v>0.36328704121803235</v>
      </c>
      <c r="X5384" s="33"/>
      <c r="Y5384" s="33"/>
    </row>
    <row r="5385" spans="1:25" x14ac:dyDescent="0.2">
      <c r="A5385" s="93" t="s">
        <v>5161</v>
      </c>
      <c r="B5385" s="94">
        <f>IFERROR(VLOOKUP($A5385,HeadJournal!$A$1:$NTR$890,COLUMN(HeadJournal!B$1),0),"")</f>
        <v>0</v>
      </c>
      <c r="C5385" s="94" t="str">
        <f>IFERROR(VLOOKUP($A5385,HeadJournal!$A$1:$NTR$890,COLUMN(HeadJournal!C$1),0),"")</f>
        <v>iHerb_VP DFD1605</v>
      </c>
      <c r="D5385" s="125" t="str">
        <f>IFERROR(VLOOKUP($A5385,HeadJournal!$A$1:$NTR$890,COLUMN(HeadJournal!D$1),0),"")</f>
        <v>Доставлен</v>
      </c>
      <c r="E5385" s="95">
        <f>IFERROR(VLOOKUP($A5385,HeadJournal!$A$1:$NTR$890,COLUMN(HeadJournal!G$1),0),"")</f>
        <v>45999</v>
      </c>
      <c r="F5385" s="95" t="str">
        <f t="shared" si="405"/>
        <v>2025 12</v>
      </c>
      <c r="G5385" s="97" t="s">
        <v>5</v>
      </c>
      <c r="H5385" s="161" t="s">
        <v>5152</v>
      </c>
      <c r="I5385" s="97" t="s">
        <v>2005</v>
      </c>
      <c r="J5385" s="97" t="s">
        <v>5153</v>
      </c>
      <c r="K5385" s="29">
        <v>17.37</v>
      </c>
      <c r="L5385" s="29">
        <v>-1.74</v>
      </c>
      <c r="M5385" s="30">
        <f>IFERROR(VLOOKUP($A5385,HeadJournal!$A$1:$J$890,COLUMN(HeadJournal!I$1),0)*($K5385+$L5385)/(SUMIF($A:$A,$A5385,$K:$K)+SUMIF($A:$A,$A5385,$L:$L)),0)</f>
        <v>0</v>
      </c>
      <c r="N5385" s="30">
        <f>IFERROR((VLOOKUP($A5385,HeadJournal!$A$1:$K$890,COLUMN(HeadJournal!K$1),0)-VLOOKUP($A5385,HeadJournal!$A$1:$K$890,COLUMN(HeadJournal!J$1),0))*($K5385+$L5385)/(SUMIF($A:$A,$A5385,$K:$K)+SUMIF($A:$A,$A5385,$L:$L)),0)</f>
        <v>0</v>
      </c>
      <c r="O5385" s="30">
        <f>IFERROR((VLOOKUP($A5385,HeadJournal!$A$1:$L$890,COLUMN(HeadJournal!L$1),0)*($K5385+$L5385)/(SUMIF($A:$A,$A5385,$K:$K)+SUMIF($A:$A,$A5385,$L:$L)))/VLOOKUP($A5385,HeadJournal!$A$1:$L$890,COLUMN(HeadJournal!H$1),0),0)</f>
        <v>0.35371473192580261</v>
      </c>
      <c r="P5385" s="30">
        <f>IFERROR(SUM(K5385:O5385)*VLOOKUP($A5385,HeadJournal!$A$1:$L$890,COLUMN(HeadJournal!H$1),0),0)</f>
        <v>1398.1630451592948</v>
      </c>
      <c r="Q5385" s="29">
        <v>2100</v>
      </c>
      <c r="R5385" s="31">
        <v>46034</v>
      </c>
      <c r="S5385" s="31"/>
      <c r="T5385" s="95" t="str">
        <f t="shared" si="406"/>
        <v>2026 01</v>
      </c>
      <c r="U5385" s="32">
        <f t="shared" si="403"/>
        <v>701.83695484070518</v>
      </c>
      <c r="V5385" s="22">
        <f t="shared" si="404"/>
        <v>0.50197075174501116</v>
      </c>
      <c r="X5385" s="33"/>
      <c r="Y5385" s="33"/>
    </row>
    <row r="5386" spans="1:25" x14ac:dyDescent="0.2">
      <c r="A5386" s="93" t="s">
        <v>5161</v>
      </c>
      <c r="B5386" s="94">
        <f>IFERROR(VLOOKUP($A5386,HeadJournal!$A$1:$NTR$890,COLUMN(HeadJournal!B$1),0),"")</f>
        <v>0</v>
      </c>
      <c r="C5386" s="94" t="str">
        <f>IFERROR(VLOOKUP($A5386,HeadJournal!$A$1:$NTR$890,COLUMN(HeadJournal!C$1),0),"")</f>
        <v>iHerb_VP DFD1605</v>
      </c>
      <c r="D5386" s="125" t="str">
        <f>IFERROR(VLOOKUP($A5386,HeadJournal!$A$1:$NTR$890,COLUMN(HeadJournal!D$1),0),"")</f>
        <v>Доставлен</v>
      </c>
      <c r="E5386" s="95">
        <f>IFERROR(VLOOKUP($A5386,HeadJournal!$A$1:$NTR$890,COLUMN(HeadJournal!G$1),0),"")</f>
        <v>45999</v>
      </c>
      <c r="F5386" s="95" t="str">
        <f t="shared" si="405"/>
        <v>2025 12</v>
      </c>
      <c r="G5386" s="97" t="s">
        <v>5</v>
      </c>
      <c r="H5386" s="161" t="s">
        <v>5154</v>
      </c>
      <c r="I5386" s="97" t="s">
        <v>2039</v>
      </c>
      <c r="J5386" s="97" t="s">
        <v>5155</v>
      </c>
      <c r="K5386" s="29">
        <v>10.24</v>
      </c>
      <c r="L5386" s="29">
        <v>-1.02</v>
      </c>
      <c r="M5386" s="30">
        <f>IFERROR(VLOOKUP($A5386,HeadJournal!$A$1:$J$890,COLUMN(HeadJournal!I$1),0)*($K5386+$L5386)/(SUMIF($A:$A,$A5386,$K:$K)+SUMIF($A:$A,$A5386,$L:$L)),0)</f>
        <v>0</v>
      </c>
      <c r="N5386" s="30">
        <f>IFERROR((VLOOKUP($A5386,HeadJournal!$A$1:$K$890,COLUMN(HeadJournal!K$1),0)-VLOOKUP($A5386,HeadJournal!$A$1:$K$890,COLUMN(HeadJournal!J$1),0))*($K5386+$L5386)/(SUMIF($A:$A,$A5386,$K:$K)+SUMIF($A:$A,$A5386,$L:$L)),0)</f>
        <v>0</v>
      </c>
      <c r="O5386" s="30">
        <f>IFERROR((VLOOKUP($A5386,HeadJournal!$A$1:$L$890,COLUMN(HeadJournal!L$1),0)*($K5386+$L5386)/(SUMIF($A:$A,$A5386,$K:$K)+SUMIF($A:$A,$A5386,$L:$L)))/VLOOKUP($A5386,HeadJournal!$A$1:$L$890,COLUMN(HeadJournal!H$1),0),0)</f>
        <v>0.2086532199843826</v>
      </c>
      <c r="P5386" s="30">
        <f>IFERROR(SUM(K5386:O5386)*VLOOKUP($A5386,HeadJournal!$A$1:$L$890,COLUMN(HeadJournal!H$1),0),0)</f>
        <v>824.76412516754317</v>
      </c>
      <c r="Q5386" s="29">
        <v>1700</v>
      </c>
      <c r="R5386" s="31">
        <v>46045</v>
      </c>
      <c r="S5386" s="31" t="s">
        <v>4969</v>
      </c>
      <c r="T5386" s="95" t="str">
        <f t="shared" si="406"/>
        <v>2026 01</v>
      </c>
      <c r="U5386" s="32">
        <f t="shared" si="403"/>
        <v>875.23587483245683</v>
      </c>
      <c r="V5386" s="22">
        <f t="shared" si="404"/>
        <v>1.0611953746832294</v>
      </c>
      <c r="X5386" s="33"/>
      <c r="Y5386" s="33"/>
    </row>
    <row r="5387" spans="1:25" x14ac:dyDescent="0.2">
      <c r="A5387" s="93" t="s">
        <v>5161</v>
      </c>
      <c r="B5387" s="94">
        <f>IFERROR(VLOOKUP($A5387,HeadJournal!$A$1:$NTR$890,COLUMN(HeadJournal!B$1),0),"")</f>
        <v>0</v>
      </c>
      <c r="C5387" s="94" t="str">
        <f>IFERROR(VLOOKUP($A5387,HeadJournal!$A$1:$NTR$890,COLUMN(HeadJournal!C$1),0),"")</f>
        <v>iHerb_VP DFD1605</v>
      </c>
      <c r="D5387" s="125" t="str">
        <f>IFERROR(VLOOKUP($A5387,HeadJournal!$A$1:$NTR$890,COLUMN(HeadJournal!D$1),0),"")</f>
        <v>Доставлен</v>
      </c>
      <c r="E5387" s="95">
        <f>IFERROR(VLOOKUP($A5387,HeadJournal!$A$1:$NTR$890,COLUMN(HeadJournal!G$1),0),"")</f>
        <v>45999</v>
      </c>
      <c r="F5387" s="95" t="str">
        <f t="shared" si="405"/>
        <v>2025 12</v>
      </c>
      <c r="G5387" s="97" t="s">
        <v>5</v>
      </c>
      <c r="H5387" s="161" t="s">
        <v>5156</v>
      </c>
      <c r="I5387" s="97" t="s">
        <v>2618</v>
      </c>
      <c r="J5387" s="97" t="s">
        <v>5157</v>
      </c>
      <c r="K5387" s="29">
        <v>17.690000000000001</v>
      </c>
      <c r="L5387" s="29">
        <v>-1.77</v>
      </c>
      <c r="M5387" s="30">
        <f>IFERROR(VLOOKUP($A5387,HeadJournal!$A$1:$J$890,COLUMN(HeadJournal!I$1),0)*($K5387+$L5387)/(SUMIF($A:$A,$A5387,$K:$K)+SUMIF($A:$A,$A5387,$L:$L)),0)</f>
        <v>0</v>
      </c>
      <c r="N5387" s="30">
        <f>IFERROR((VLOOKUP($A5387,HeadJournal!$A$1:$K$890,COLUMN(HeadJournal!K$1),0)-VLOOKUP($A5387,HeadJournal!$A$1:$K$890,COLUMN(HeadJournal!J$1),0))*($K5387+$L5387)/(SUMIF($A:$A,$A5387,$K:$K)+SUMIF($A:$A,$A5387,$L:$L)),0)</f>
        <v>0</v>
      </c>
      <c r="O5387" s="30">
        <f>IFERROR((VLOOKUP($A5387,HeadJournal!$A$1:$L$890,COLUMN(HeadJournal!L$1),0)*($K5387+$L5387)/(SUMIF($A:$A,$A5387,$K:$K)+SUMIF($A:$A,$A5387,$L:$L)))/VLOOKUP($A5387,HeadJournal!$A$1:$L$890,COLUMN(HeadJournal!H$1),0),0)</f>
        <v>0.36027757723984505</v>
      </c>
      <c r="P5387" s="30">
        <f>IFERROR(SUM(K5387:O5387)*VLOOKUP($A5387,HeadJournal!$A$1:$L$890,COLUMN(HeadJournal!H$1),0),0)</f>
        <v>1424.1046499639142</v>
      </c>
      <c r="Q5387" s="29">
        <v>2100</v>
      </c>
      <c r="R5387" s="31">
        <v>46032</v>
      </c>
      <c r="S5387" s="31" t="s">
        <v>3226</v>
      </c>
      <c r="T5387" s="95" t="str">
        <f t="shared" si="406"/>
        <v>2026 01</v>
      </c>
      <c r="U5387" s="32">
        <f t="shared" si="403"/>
        <v>675.8953500360858</v>
      </c>
      <c r="V5387" s="22">
        <f t="shared" si="404"/>
        <v>0.47461073176975621</v>
      </c>
      <c r="X5387" s="33"/>
      <c r="Y5387" s="33"/>
    </row>
    <row r="5388" spans="1:25" x14ac:dyDescent="0.2">
      <c r="A5388" s="93" t="s">
        <v>5161</v>
      </c>
      <c r="B5388" s="94">
        <f>IFERROR(VLOOKUP($A5388,HeadJournal!$A$1:$NTR$890,COLUMN(HeadJournal!B$1),0),"")</f>
        <v>0</v>
      </c>
      <c r="C5388" s="94" t="str">
        <f>IFERROR(VLOOKUP($A5388,HeadJournal!$A$1:$NTR$890,COLUMN(HeadJournal!C$1),0),"")</f>
        <v>iHerb_VP DFD1605</v>
      </c>
      <c r="D5388" s="125" t="str">
        <f>IFERROR(VLOOKUP($A5388,HeadJournal!$A$1:$NTR$890,COLUMN(HeadJournal!D$1),0),"")</f>
        <v>Доставлен</v>
      </c>
      <c r="E5388" s="95">
        <f>IFERROR(VLOOKUP($A5388,HeadJournal!$A$1:$NTR$890,COLUMN(HeadJournal!G$1),0),"")</f>
        <v>45999</v>
      </c>
      <c r="F5388" s="95" t="str">
        <f t="shared" si="405"/>
        <v>2025 12</v>
      </c>
      <c r="G5388" s="97" t="s">
        <v>5</v>
      </c>
      <c r="H5388" s="161" t="s">
        <v>5158</v>
      </c>
      <c r="I5388" s="97" t="s">
        <v>2005</v>
      </c>
      <c r="J5388" s="97" t="s">
        <v>5159</v>
      </c>
      <c r="K5388" s="29">
        <v>14.48</v>
      </c>
      <c r="L5388" s="29">
        <v>-1.45</v>
      </c>
      <c r="M5388" s="30">
        <f>IFERROR(VLOOKUP($A5388,HeadJournal!$A$1:$J$890,COLUMN(HeadJournal!I$1),0)*($K5388+$L5388)/(SUMIF($A:$A,$A5388,$K:$K)+SUMIF($A:$A,$A5388,$L:$L)),0)</f>
        <v>0</v>
      </c>
      <c r="N5388" s="30">
        <f>IFERROR((VLOOKUP($A5388,HeadJournal!$A$1:$K$890,COLUMN(HeadJournal!K$1),0)-VLOOKUP($A5388,HeadJournal!$A$1:$K$890,COLUMN(HeadJournal!J$1),0))*($K5388+$L5388)/(SUMIF($A:$A,$A5388,$K:$K)+SUMIF($A:$A,$A5388,$L:$L)),0)</f>
        <v>0</v>
      </c>
      <c r="O5388" s="30">
        <f>IFERROR((VLOOKUP($A5388,HeadJournal!$A$1:$L$890,COLUMN(HeadJournal!L$1),0)*($K5388+$L5388)/(SUMIF($A:$A,$A5388,$K:$K)+SUMIF($A:$A,$A5388,$L:$L)))/VLOOKUP($A5388,HeadJournal!$A$1:$L$890,COLUMN(HeadJournal!H$1),0),0)</f>
        <v>0.29487542911025005</v>
      </c>
      <c r="P5388" s="30">
        <f>IFERROR(SUM(K5388:O5388)*VLOOKUP($A5388,HeadJournal!$A$1:$L$890,COLUMN(HeadJournal!H$1),0),0)</f>
        <v>1165.5831400144348</v>
      </c>
      <c r="Q5388" s="29">
        <v>2000</v>
      </c>
      <c r="R5388" s="31">
        <v>46036</v>
      </c>
      <c r="S5388" s="31" t="s">
        <v>3437</v>
      </c>
      <c r="T5388" s="95" t="str">
        <f t="shared" si="406"/>
        <v>2026 01</v>
      </c>
      <c r="U5388" s="32">
        <f t="shared" si="403"/>
        <v>834.41685998556522</v>
      </c>
      <c r="V5388" s="22">
        <f t="shared" si="404"/>
        <v>0.7158793151170938</v>
      </c>
      <c r="X5388" s="33"/>
      <c r="Y5388" s="33"/>
    </row>
    <row r="5389" spans="1:25" x14ac:dyDescent="0.2">
      <c r="A5389" s="93" t="s">
        <v>5161</v>
      </c>
      <c r="B5389" s="94">
        <f>IFERROR(VLOOKUP($A5389,HeadJournal!$A$1:$NTR$890,COLUMN(HeadJournal!B$1),0),"")</f>
        <v>0</v>
      </c>
      <c r="C5389" s="94" t="str">
        <f>IFERROR(VLOOKUP($A5389,HeadJournal!$A$1:$NTR$890,COLUMN(HeadJournal!C$1),0),"")</f>
        <v>iHerb_VP DFD1605</v>
      </c>
      <c r="D5389" s="125" t="str">
        <f>IFERROR(VLOOKUP($A5389,HeadJournal!$A$1:$NTR$890,COLUMN(HeadJournal!D$1),0),"")</f>
        <v>Доставлен</v>
      </c>
      <c r="E5389" s="95">
        <f>IFERROR(VLOOKUP($A5389,HeadJournal!$A$1:$NTR$890,COLUMN(HeadJournal!G$1),0),"")</f>
        <v>45999</v>
      </c>
      <c r="F5389" s="95" t="str">
        <f t="shared" si="405"/>
        <v>2025 12</v>
      </c>
      <c r="G5389" s="97" t="s">
        <v>5</v>
      </c>
      <c r="H5389" s="161" t="s">
        <v>2615</v>
      </c>
      <c r="I5389" s="97" t="s">
        <v>2052</v>
      </c>
      <c r="J5389" s="97" t="s">
        <v>5160</v>
      </c>
      <c r="K5389" s="29">
        <v>49.92</v>
      </c>
      <c r="L5389" s="29">
        <v>-9.98</v>
      </c>
      <c r="M5389" s="30">
        <f>IFERROR(VLOOKUP($A5389,HeadJournal!$A$1:$J$890,COLUMN(HeadJournal!I$1),0)*($K5389+$L5389)/(SUMIF($A:$A,$A5389,$K:$K)+SUMIF($A:$A,$A5389,$L:$L)),0)</f>
        <v>0</v>
      </c>
      <c r="N5389" s="30">
        <f>IFERROR((VLOOKUP($A5389,HeadJournal!$A$1:$K$890,COLUMN(HeadJournal!K$1),0)-VLOOKUP($A5389,HeadJournal!$A$1:$K$890,COLUMN(HeadJournal!J$1),0))*($K5389+$L5389)/(SUMIF($A:$A,$A5389,$K:$K)+SUMIF($A:$A,$A5389,$L:$L)),0)</f>
        <v>0</v>
      </c>
      <c r="O5389" s="30">
        <f>IFERROR((VLOOKUP($A5389,HeadJournal!$A$1:$L$890,COLUMN(HeadJournal!L$1),0)*($K5389+$L5389)/(SUMIF($A:$A,$A5389,$K:$K)+SUMIF($A:$A,$A5389,$L:$L)))/VLOOKUP($A5389,HeadJournal!$A$1:$L$890,COLUMN(HeadJournal!H$1),0),0)</f>
        <v>0.90386221325121918</v>
      </c>
      <c r="P5389" s="30">
        <f>IFERROR(SUM(K5389:O5389)*VLOOKUP($A5389,HeadJournal!$A$1:$L$890,COLUMN(HeadJournal!H$1),0),0)</f>
        <v>3572.7851582637381</v>
      </c>
      <c r="Q5389" s="29"/>
      <c r="R5389" s="31"/>
      <c r="S5389" s="31"/>
      <c r="T5389" s="95" t="str">
        <f t="shared" si="406"/>
        <v/>
      </c>
      <c r="U5389" s="32">
        <f t="shared" si="403"/>
        <v>-3572.7851582637381</v>
      </c>
      <c r="V5389" s="22" t="str">
        <f t="shared" si="404"/>
        <v/>
      </c>
      <c r="X5389" s="33"/>
      <c r="Y5389" s="33"/>
    </row>
    <row r="5390" spans="1:25" x14ac:dyDescent="0.2">
      <c r="A5390" s="93" t="s">
        <v>5168</v>
      </c>
      <c r="B5390" s="94">
        <f>IFERROR(VLOOKUP($A5390,HeadJournal!$A$1:$NTR$890,COLUMN(HeadJournal!B$1),0),"")</f>
        <v>0</v>
      </c>
      <c r="C5390" s="94" t="str">
        <f>IFERROR(VLOOKUP($A5390,HeadJournal!$A$1:$NTR$890,COLUMN(HeadJournal!C$1),0),"")</f>
        <v>iHerb_AV CYG0792</v>
      </c>
      <c r="D5390" s="125" t="str">
        <f>IFERROR(VLOOKUP($A5390,HeadJournal!$A$1:$NTR$890,COLUMN(HeadJournal!D$1),0),"")</f>
        <v>Доставлен</v>
      </c>
      <c r="E5390" s="95">
        <f>IFERROR(VLOOKUP($A5390,HeadJournal!$A$1:$NTR$890,COLUMN(HeadJournal!G$1),0),"")</f>
        <v>46012</v>
      </c>
      <c r="F5390" s="95" t="str">
        <f t="shared" si="405"/>
        <v>2025 12</v>
      </c>
      <c r="G5390" s="97" t="s">
        <v>5</v>
      </c>
      <c r="H5390" s="161" t="s">
        <v>5162</v>
      </c>
      <c r="I5390" s="97" t="s">
        <v>2009</v>
      </c>
      <c r="J5390" s="97" t="s">
        <v>5163</v>
      </c>
      <c r="K5390" s="29">
        <v>29.69</v>
      </c>
      <c r="L5390" s="29">
        <v>-2.97</v>
      </c>
      <c r="M5390" s="30">
        <f>IFERROR(VLOOKUP($A5390,HeadJournal!$A$1:$J$890,COLUMN(HeadJournal!I$1),0)*($K5390+$L5390)/(SUMIF($A:$A,$A5390,$K:$K)+SUMIF($A:$A,$A5390,$L:$L)),0)</f>
        <v>-4.5570313662945239</v>
      </c>
      <c r="N5390" s="30">
        <f>IFERROR((VLOOKUP($A5390,HeadJournal!$A$1:$K$890,COLUMN(HeadJournal!K$1),0)-VLOOKUP($A5390,HeadJournal!$A$1:$K$890,COLUMN(HeadJournal!J$1),0))*($K5390+$L5390)/(SUMIF($A:$A,$A5390,$K:$K)+SUMIF($A:$A,$A5390,$L:$L)),0)</f>
        <v>4.0373635086677046E-15</v>
      </c>
      <c r="O5390" s="30">
        <f>IFERROR((VLOOKUP($A5390,HeadJournal!$A$1:$L$890,COLUMN(HeadJournal!L$1),0)*($K5390+$L5390)/(SUMIF($A:$A,$A5390,$K:$K)+SUMIF($A:$A,$A5390,$L:$L)))/VLOOKUP($A5390,HeadJournal!$A$1:$L$890,COLUMN(HeadJournal!H$1),0),0)</f>
        <v>0.67719783841985759</v>
      </c>
      <c r="P5390" s="30">
        <f>IFERROR(SUM(K5390:O5390)*VLOOKUP($A5390,HeadJournal!$A$1:$L$890,COLUMN(HeadJournal!H$1),0),0)</f>
        <v>2060.1546156299846</v>
      </c>
      <c r="Q5390" s="29">
        <v>3300</v>
      </c>
      <c r="R5390" s="31">
        <v>46044</v>
      </c>
      <c r="S5390" s="31" t="s">
        <v>3235</v>
      </c>
      <c r="T5390" s="95" t="str">
        <f t="shared" si="406"/>
        <v>2026 01</v>
      </c>
      <c r="U5390" s="32">
        <f t="shared" si="403"/>
        <v>1239.8453843700154</v>
      </c>
      <c r="V5390" s="22">
        <f t="shared" si="404"/>
        <v>0.60182152104679631</v>
      </c>
      <c r="X5390" s="33"/>
      <c r="Y5390" s="33"/>
    </row>
    <row r="5391" spans="1:25" x14ac:dyDescent="0.2">
      <c r="A5391" s="93" t="s">
        <v>5168</v>
      </c>
      <c r="B5391" s="94">
        <f>IFERROR(VLOOKUP($A5391,HeadJournal!$A$1:$NTR$890,COLUMN(HeadJournal!B$1),0),"")</f>
        <v>0</v>
      </c>
      <c r="C5391" s="94" t="str">
        <f>IFERROR(VLOOKUP($A5391,HeadJournal!$A$1:$NTR$890,COLUMN(HeadJournal!C$1),0),"")</f>
        <v>iHerb_AV CYG0792</v>
      </c>
      <c r="D5391" s="125" t="str">
        <f>IFERROR(VLOOKUP($A5391,HeadJournal!$A$1:$NTR$890,COLUMN(HeadJournal!D$1),0),"")</f>
        <v>Доставлен</v>
      </c>
      <c r="E5391" s="95">
        <f>IFERROR(VLOOKUP($A5391,HeadJournal!$A$1:$NTR$890,COLUMN(HeadJournal!G$1),0),"")</f>
        <v>46012</v>
      </c>
      <c r="F5391" s="95" t="str">
        <f t="shared" si="405"/>
        <v>2025 12</v>
      </c>
      <c r="G5391" s="97" t="s">
        <v>5</v>
      </c>
      <c r="H5391" s="161" t="s">
        <v>3057</v>
      </c>
      <c r="I5391" s="97" t="s">
        <v>2006</v>
      </c>
      <c r="J5391" s="97" t="s">
        <v>5164</v>
      </c>
      <c r="K5391" s="29">
        <v>23.41</v>
      </c>
      <c r="L5391" s="29">
        <v>0</v>
      </c>
      <c r="M5391" s="30">
        <f>IFERROR(VLOOKUP($A5391,HeadJournal!$A$1:$J$890,COLUMN(HeadJournal!I$1),0)*($K5391+$L5391)/(SUMIF($A:$A,$A5391,$K:$K)+SUMIF($A:$A,$A5391,$L:$L)),0)</f>
        <v>-3.9925188729399257</v>
      </c>
      <c r="N5391" s="30">
        <f>IFERROR((VLOOKUP($A5391,HeadJournal!$A$1:$K$890,COLUMN(HeadJournal!K$1),0)-VLOOKUP($A5391,HeadJournal!$A$1:$K$890,COLUMN(HeadJournal!J$1),0))*($K5391+$L5391)/(SUMIF($A:$A,$A5391,$K:$K)+SUMIF($A:$A,$A5391,$L:$L)),0)</f>
        <v>3.5372260380954697E-15</v>
      </c>
      <c r="O5391" s="30">
        <f>IFERROR((VLOOKUP($A5391,HeadJournal!$A$1:$L$890,COLUMN(HeadJournal!L$1),0)*($K5391+$L5391)/(SUMIF($A:$A,$A5391,$K:$K)+SUMIF($A:$A,$A5391,$L:$L)))/VLOOKUP($A5391,HeadJournal!$A$1:$L$890,COLUMN(HeadJournal!H$1),0),0)</f>
        <v>0.59330843553176893</v>
      </c>
      <c r="P5391" s="30">
        <f>IFERROR(SUM(K5391:O5391)*VLOOKUP($A5391,HeadJournal!$A$1:$L$890,COLUMN(HeadJournal!H$1),0),0)</f>
        <v>1804.948336523126</v>
      </c>
      <c r="Q5391" s="29">
        <v>2800</v>
      </c>
      <c r="R5391" s="31">
        <v>46049</v>
      </c>
      <c r="S5391" s="31" t="s">
        <v>4523</v>
      </c>
      <c r="T5391" s="95" t="str">
        <f t="shared" si="406"/>
        <v>2026 01</v>
      </c>
      <c r="U5391" s="32">
        <f t="shared" si="403"/>
        <v>995.05166347687396</v>
      </c>
      <c r="V5391" s="22">
        <f t="shared" si="404"/>
        <v>0.55129093910446381</v>
      </c>
      <c r="X5391" s="33"/>
      <c r="Y5391" s="33"/>
    </row>
    <row r="5392" spans="1:25" x14ac:dyDescent="0.2">
      <c r="A5392" s="93" t="s">
        <v>5168</v>
      </c>
      <c r="B5392" s="94">
        <f>IFERROR(VLOOKUP($A5392,HeadJournal!$A$1:$NTR$890,COLUMN(HeadJournal!B$1),0),"")</f>
        <v>0</v>
      </c>
      <c r="C5392" s="94" t="str">
        <f>IFERROR(VLOOKUP($A5392,HeadJournal!$A$1:$NTR$890,COLUMN(HeadJournal!C$1),0),"")</f>
        <v>iHerb_AV CYG0792</v>
      </c>
      <c r="D5392" s="125" t="str">
        <f>IFERROR(VLOOKUP($A5392,HeadJournal!$A$1:$NTR$890,COLUMN(HeadJournal!D$1),0),"")</f>
        <v>Доставлен</v>
      </c>
      <c r="E5392" s="95">
        <f>IFERROR(VLOOKUP($A5392,HeadJournal!$A$1:$NTR$890,COLUMN(HeadJournal!G$1),0),"")</f>
        <v>46012</v>
      </c>
      <c r="F5392" s="95" t="str">
        <f t="shared" si="405"/>
        <v>2025 12</v>
      </c>
      <c r="G5392" s="97" t="s">
        <v>5</v>
      </c>
      <c r="H5392" s="161" t="s">
        <v>4006</v>
      </c>
      <c r="I5392" s="97" t="s">
        <v>2102</v>
      </c>
      <c r="J5392" s="97" t="s">
        <v>4007</v>
      </c>
      <c r="K5392" s="29">
        <v>24.93</v>
      </c>
      <c r="L5392" s="29">
        <v>-2.4900000000000002</v>
      </c>
      <c r="M5392" s="30">
        <f>IFERROR(VLOOKUP($A5392,HeadJournal!$A$1:$J$890,COLUMN(HeadJournal!I$1),0)*($K5392+$L5392)/(SUMIF($A:$A,$A5392,$K:$K)+SUMIF($A:$A,$A5392,$L:$L)),0)</f>
        <v>-3.8270877192982447</v>
      </c>
      <c r="N5392" s="30">
        <f>IFERROR((VLOOKUP($A5392,HeadJournal!$A$1:$K$890,COLUMN(HeadJournal!K$1),0)-VLOOKUP($A5392,HeadJournal!$A$1:$K$890,COLUMN(HeadJournal!J$1),0))*($K5392+$L5392)/(SUMIF($A:$A,$A5392,$K:$K)+SUMIF($A:$A,$A5392,$L:$L)),0)</f>
        <v>3.3906600723990745E-15</v>
      </c>
      <c r="O5392" s="30">
        <f>IFERROR((VLOOKUP($A5392,HeadJournal!$A$1:$L$890,COLUMN(HeadJournal!L$1),0)*($K5392+$L5392)/(SUMIF($A:$A,$A5392,$K:$K)+SUMIF($A:$A,$A5392,$L:$L)))/VLOOKUP($A5392,HeadJournal!$A$1:$L$890,COLUMN(HeadJournal!H$1),0),0)</f>
        <v>0.56872453196637729</v>
      </c>
      <c r="P5392" s="30">
        <f>IFERROR(SUM(K5392:O5392)*VLOOKUP($A5392,HeadJournal!$A$1:$L$890,COLUMN(HeadJournal!H$1),0),0)</f>
        <v>1730.1597894736844</v>
      </c>
      <c r="Q5392" s="29">
        <v>2800</v>
      </c>
      <c r="R5392" s="31">
        <v>46044</v>
      </c>
      <c r="S5392" s="31" t="s">
        <v>4875</v>
      </c>
      <c r="T5392" s="95" t="str">
        <f t="shared" si="406"/>
        <v>2026 01</v>
      </c>
      <c r="U5392" s="32">
        <f t="shared" si="403"/>
        <v>1069.8402105263156</v>
      </c>
      <c r="V5392" s="22">
        <f t="shared" si="404"/>
        <v>0.61834763299623419</v>
      </c>
      <c r="X5392" s="33"/>
      <c r="Y5392" s="33"/>
    </row>
    <row r="5393" spans="1:25" x14ac:dyDescent="0.2">
      <c r="A5393" s="93" t="s">
        <v>5168</v>
      </c>
      <c r="B5393" s="94">
        <f>IFERROR(VLOOKUP($A5393,HeadJournal!$A$1:$NTR$890,COLUMN(HeadJournal!B$1),0),"")</f>
        <v>0</v>
      </c>
      <c r="C5393" s="94" t="str">
        <f>IFERROR(VLOOKUP($A5393,HeadJournal!$A$1:$NTR$890,COLUMN(HeadJournal!C$1),0),"")</f>
        <v>iHerb_AV CYG0792</v>
      </c>
      <c r="D5393" s="125" t="str">
        <f>IFERROR(VLOOKUP($A5393,HeadJournal!$A$1:$NTR$890,COLUMN(HeadJournal!D$1),0),"")</f>
        <v>Доставлен</v>
      </c>
      <c r="E5393" s="95">
        <f>IFERROR(VLOOKUP($A5393,HeadJournal!$A$1:$NTR$890,COLUMN(HeadJournal!G$1),0),"")</f>
        <v>46012</v>
      </c>
      <c r="F5393" s="95" t="str">
        <f t="shared" si="405"/>
        <v>2025 12</v>
      </c>
      <c r="G5393" s="97" t="s">
        <v>5</v>
      </c>
      <c r="H5393" s="161" t="s">
        <v>2615</v>
      </c>
      <c r="I5393" s="97" t="s">
        <v>2052</v>
      </c>
      <c r="J5393" s="97" t="s">
        <v>5160</v>
      </c>
      <c r="K5393" s="29">
        <v>49.92</v>
      </c>
      <c r="L5393" s="29">
        <v>-9.98</v>
      </c>
      <c r="M5393" s="30">
        <f>IFERROR(VLOOKUP($A5393,HeadJournal!$A$1:$J$890,COLUMN(HeadJournal!I$1),0)*($K5393+$L5393)/(SUMIF($A:$A,$A5393,$K:$K)+SUMIF($A:$A,$A5393,$L:$L)),0)</f>
        <v>-6.8116703880914402</v>
      </c>
      <c r="N5393" s="30">
        <f>IFERROR((VLOOKUP($A5393,HeadJournal!$A$1:$K$890,COLUMN(HeadJournal!K$1),0)-VLOOKUP($A5393,HeadJournal!$A$1:$K$890,COLUMN(HeadJournal!J$1),0))*($K5393+$L5393)/(SUMIF($A:$A,$A5393,$K:$K)+SUMIF($A:$A,$A5393,$L:$L)),0)</f>
        <v>6.034891412282488E-15</v>
      </c>
      <c r="O5393" s="30">
        <f>IFERROR((VLOOKUP($A5393,HeadJournal!$A$1:$L$890,COLUMN(HeadJournal!L$1),0)*($K5393+$L5393)/(SUMIF($A:$A,$A5393,$K:$K)+SUMIF($A:$A,$A5393,$L:$L)))/VLOOKUP($A5393,HeadJournal!$A$1:$L$890,COLUMN(HeadJournal!H$1),0),0)</f>
        <v>1.0122485653626165</v>
      </c>
      <c r="P5393" s="30">
        <f>IFERROR(SUM(K5393:O5393)*VLOOKUP($A5393,HeadJournal!$A$1:$L$890,COLUMN(HeadJournal!H$1),0),0)</f>
        <v>3079.4377001594899</v>
      </c>
      <c r="Q5393" s="29"/>
      <c r="R5393" s="31"/>
      <c r="S5393" s="31"/>
      <c r="T5393" s="95" t="str">
        <f t="shared" si="406"/>
        <v/>
      </c>
      <c r="U5393" s="32">
        <f t="shared" si="403"/>
        <v>-3079.4377001594899</v>
      </c>
      <c r="V5393" s="22" t="str">
        <f t="shared" si="404"/>
        <v/>
      </c>
      <c r="X5393" s="33"/>
      <c r="Y5393" s="33"/>
    </row>
    <row r="5394" spans="1:25" x14ac:dyDescent="0.2">
      <c r="A5394" s="93" t="s">
        <v>5168</v>
      </c>
      <c r="B5394" s="94">
        <f>IFERROR(VLOOKUP($A5394,HeadJournal!$A$1:$NTR$890,COLUMN(HeadJournal!B$1),0),"")</f>
        <v>0</v>
      </c>
      <c r="C5394" s="94" t="str">
        <f>IFERROR(VLOOKUP($A5394,HeadJournal!$A$1:$NTR$890,COLUMN(HeadJournal!C$1),0),"")</f>
        <v>iHerb_AV CYG0792</v>
      </c>
      <c r="D5394" s="125" t="str">
        <f>IFERROR(VLOOKUP($A5394,HeadJournal!$A$1:$NTR$890,COLUMN(HeadJournal!D$1),0),"")</f>
        <v>Доставлен</v>
      </c>
      <c r="E5394" s="95">
        <f>IFERROR(VLOOKUP($A5394,HeadJournal!$A$1:$NTR$890,COLUMN(HeadJournal!G$1),0),"")</f>
        <v>46012</v>
      </c>
      <c r="F5394" s="95" t="str">
        <f t="shared" si="405"/>
        <v>2025 12</v>
      </c>
      <c r="G5394" s="97" t="s">
        <v>5</v>
      </c>
      <c r="H5394" s="161" t="s">
        <v>5165</v>
      </c>
      <c r="I5394" s="97" t="s">
        <v>5166</v>
      </c>
      <c r="J5394" s="97" t="s">
        <v>5167</v>
      </c>
      <c r="K5394" s="29">
        <v>45.56</v>
      </c>
      <c r="L5394" s="29">
        <v>-4.5599999999999996</v>
      </c>
      <c r="M5394" s="30">
        <f>IFERROR(VLOOKUP($A5394,HeadJournal!$A$1:$J$890,COLUMN(HeadJournal!I$1),0)*($K5394+$L5394)/(SUMIF($A:$A,$A5394,$K:$K)+SUMIF($A:$A,$A5394,$L:$L)),0)</f>
        <v>-6.9924508240297714</v>
      </c>
      <c r="N5394" s="30">
        <f>IFERROR((VLOOKUP($A5394,HeadJournal!$A$1:$K$890,COLUMN(HeadJournal!K$1),0)-VLOOKUP($A5394,HeadJournal!$A$1:$K$890,COLUMN(HeadJournal!J$1),0))*($K5394+$L5394)/(SUMIF($A:$A,$A5394,$K:$K)+SUMIF($A:$A,$A5394,$L:$L)),0)</f>
        <v>6.1950562820125696E-15</v>
      </c>
      <c r="O5394" s="30">
        <f>IFERROR((VLOOKUP($A5394,HeadJournal!$A$1:$L$890,COLUMN(HeadJournal!L$1),0)*($K5394+$L5394)/(SUMIF($A:$A,$A5394,$K:$K)+SUMIF($A:$A,$A5394,$L:$L)))/VLOOKUP($A5394,HeadJournal!$A$1:$L$890,COLUMN(HeadJournal!H$1),0),0)</f>
        <v>1.0391134496711887</v>
      </c>
      <c r="P5394" s="30">
        <f>IFERROR(SUM(K5394:O5394)*VLOOKUP($A5394,HeadJournal!$A$1:$L$890,COLUMN(HeadJournal!H$1),0),0)</f>
        <v>3161.1653907496016</v>
      </c>
      <c r="Q5394" s="29">
        <v>4600</v>
      </c>
      <c r="R5394" s="31">
        <v>46072</v>
      </c>
      <c r="S5394" s="31" t="s">
        <v>3231</v>
      </c>
      <c r="T5394" s="95" t="str">
        <f t="shared" si="406"/>
        <v>2026 02</v>
      </c>
      <c r="U5394" s="32">
        <f t="shared" si="403"/>
        <v>1438.8346092503984</v>
      </c>
      <c r="V5394" s="22">
        <f t="shared" si="404"/>
        <v>0.45515954763417493</v>
      </c>
      <c r="X5394" s="33"/>
      <c r="Y5394" s="33"/>
    </row>
    <row r="5395" spans="1:25" x14ac:dyDescent="0.2">
      <c r="A5395" s="93" t="s">
        <v>5168</v>
      </c>
      <c r="B5395" s="94">
        <f>IFERROR(VLOOKUP($A5395,HeadJournal!$A$1:$NTR$890,COLUMN(HeadJournal!B$1),0),"")</f>
        <v>0</v>
      </c>
      <c r="C5395" s="94" t="str">
        <f>IFERROR(VLOOKUP($A5395,HeadJournal!$A$1:$NTR$890,COLUMN(HeadJournal!C$1),0),"")</f>
        <v>iHerb_AV CYG0792</v>
      </c>
      <c r="D5395" s="125" t="str">
        <f>IFERROR(VLOOKUP($A5395,HeadJournal!$A$1:$NTR$890,COLUMN(HeadJournal!D$1),0),"")</f>
        <v>Доставлен</v>
      </c>
      <c r="E5395" s="95">
        <f>IFERROR(VLOOKUP($A5395,HeadJournal!$A$1:$NTR$890,COLUMN(HeadJournal!G$1),0),"")</f>
        <v>46012</v>
      </c>
      <c r="F5395" s="95" t="str">
        <f t="shared" si="405"/>
        <v>2025 12</v>
      </c>
      <c r="G5395" s="97" t="s">
        <v>5</v>
      </c>
      <c r="H5395" s="161" t="s">
        <v>2051</v>
      </c>
      <c r="I5395" s="97" t="s">
        <v>2052</v>
      </c>
      <c r="J5395" s="97" t="s">
        <v>3097</v>
      </c>
      <c r="K5395" s="29">
        <v>21.62</v>
      </c>
      <c r="L5395" s="29">
        <v>-4.3250000000000002</v>
      </c>
      <c r="M5395" s="30">
        <f>IFERROR(VLOOKUP($A5395,HeadJournal!$A$1:$J$890,COLUMN(HeadJournal!I$1),0)*($K5395+$L5395)/(SUMIF($A:$A,$A5395,$K:$K)+SUMIF($A:$A,$A5395,$L:$L)),0)</f>
        <v>-2.9496204146730465</v>
      </c>
      <c r="N5395" s="30">
        <f>IFERROR((VLOOKUP($A5395,HeadJournal!$A$1:$K$890,COLUMN(HeadJournal!K$1),0)-VLOOKUP($A5395,HeadJournal!$A$1:$K$890,COLUMN(HeadJournal!J$1),0))*($K5395+$L5395)/(SUMIF($A:$A,$A5395,$K:$K)+SUMIF($A:$A,$A5395,$L:$L)),0)</f>
        <v>2.6132560584733511E-15</v>
      </c>
      <c r="O5395" s="30">
        <f>IFERROR((VLOOKUP($A5395,HeadJournal!$A$1:$L$890,COLUMN(HeadJournal!L$1),0)*($K5395+$L5395)/(SUMIF($A:$A,$A5395,$K:$K)+SUMIF($A:$A,$A5395,$L:$L)))/VLOOKUP($A5395,HeadJournal!$A$1:$L$890,COLUMN(HeadJournal!H$1),0),0)</f>
        <v>0.43832846614788307</v>
      </c>
      <c r="P5395" s="30">
        <f>IFERROR(SUM(K5395:O5395)*VLOOKUP($A5395,HeadJournal!$A$1:$L$890,COLUMN(HeadJournal!H$1),0),0)</f>
        <v>1333.4720837320576</v>
      </c>
      <c r="Q5395" s="29">
        <v>2450</v>
      </c>
      <c r="R5395" s="31">
        <v>46113</v>
      </c>
      <c r="S5395" s="31" t="s">
        <v>3252</v>
      </c>
      <c r="T5395" s="95" t="str">
        <f t="shared" si="406"/>
        <v>2026 04</v>
      </c>
      <c r="U5395" s="32">
        <f t="shared" si="403"/>
        <v>1116.5279162679424</v>
      </c>
      <c r="V5395" s="22">
        <f t="shared" si="404"/>
        <v>0.83730880450309664</v>
      </c>
      <c r="X5395" s="33"/>
      <c r="Y5395" s="33"/>
    </row>
    <row r="5396" spans="1:25" x14ac:dyDescent="0.2">
      <c r="A5396" s="93" t="s">
        <v>5168</v>
      </c>
      <c r="B5396" s="94">
        <f>IFERROR(VLOOKUP($A5396,HeadJournal!$A$1:$NTR$890,COLUMN(HeadJournal!B$1),0),"")</f>
        <v>0</v>
      </c>
      <c r="C5396" s="94" t="str">
        <f>IFERROR(VLOOKUP($A5396,HeadJournal!$A$1:$NTR$890,COLUMN(HeadJournal!C$1),0),"")</f>
        <v>iHerb_AV CYG0792</v>
      </c>
      <c r="D5396" s="125" t="str">
        <f>IFERROR(VLOOKUP($A5396,HeadJournal!$A$1:$NTR$890,COLUMN(HeadJournal!D$1),0),"")</f>
        <v>Доставлен</v>
      </c>
      <c r="E5396" s="95">
        <f>IFERROR(VLOOKUP($A5396,HeadJournal!$A$1:$NTR$890,COLUMN(HeadJournal!G$1),0),"")</f>
        <v>46012</v>
      </c>
      <c r="F5396" s="95" t="str">
        <f t="shared" si="405"/>
        <v>2025 12</v>
      </c>
      <c r="G5396" s="97" t="s">
        <v>5</v>
      </c>
      <c r="H5396" s="161" t="s">
        <v>2051</v>
      </c>
      <c r="I5396" s="97" t="s">
        <v>2052</v>
      </c>
      <c r="J5396" s="97" t="s">
        <v>3097</v>
      </c>
      <c r="K5396" s="29">
        <v>21.62</v>
      </c>
      <c r="L5396" s="29">
        <v>-4.3250000000000002</v>
      </c>
      <c r="M5396" s="30">
        <f>IFERROR(VLOOKUP($A5396,HeadJournal!$A$1:$J$890,COLUMN(HeadJournal!I$1),0)*($K5396+$L5396)/(SUMIF($A:$A,$A5396,$K:$K)+SUMIF($A:$A,$A5396,$L:$L)),0)</f>
        <v>-2.9496204146730465</v>
      </c>
      <c r="N5396" s="30">
        <f>IFERROR((VLOOKUP($A5396,HeadJournal!$A$1:$K$890,COLUMN(HeadJournal!K$1),0)-VLOOKUP($A5396,HeadJournal!$A$1:$K$890,COLUMN(HeadJournal!J$1),0))*($K5396+$L5396)/(SUMIF($A:$A,$A5396,$K:$K)+SUMIF($A:$A,$A5396,$L:$L)),0)</f>
        <v>2.6132560584733511E-15</v>
      </c>
      <c r="O5396" s="30">
        <f>IFERROR((VLOOKUP($A5396,HeadJournal!$A$1:$L$890,COLUMN(HeadJournal!L$1),0)*($K5396+$L5396)/(SUMIF($A:$A,$A5396,$K:$K)+SUMIF($A:$A,$A5396,$L:$L)))/VLOOKUP($A5396,HeadJournal!$A$1:$L$890,COLUMN(HeadJournal!H$1),0),0)</f>
        <v>0.43832846614788307</v>
      </c>
      <c r="P5396" s="30">
        <f>IFERROR(SUM(K5396:O5396)*VLOOKUP($A5396,HeadJournal!$A$1:$L$890,COLUMN(HeadJournal!H$1),0),0)</f>
        <v>1333.4720837320576</v>
      </c>
      <c r="Q5396" s="29">
        <v>2600</v>
      </c>
      <c r="R5396" s="31">
        <v>46133</v>
      </c>
      <c r="S5396" s="31" t="s">
        <v>3290</v>
      </c>
      <c r="T5396" s="95" t="str">
        <f t="shared" si="406"/>
        <v>2026 04</v>
      </c>
      <c r="U5396" s="32">
        <f t="shared" si="403"/>
        <v>1266.5279162679424</v>
      </c>
      <c r="V5396" s="22">
        <f t="shared" si="404"/>
        <v>0.94979709865634743</v>
      </c>
      <c r="X5396" s="33"/>
      <c r="Y5396" s="33"/>
    </row>
    <row r="5397" spans="1:25" x14ac:dyDescent="0.2">
      <c r="A5397" s="93" t="s">
        <v>5171</v>
      </c>
      <c r="B5397" s="94">
        <f>IFERROR(VLOOKUP($A5397,HeadJournal!$A$1:$NTR$890,COLUMN(HeadJournal!B$1),0),"")</f>
        <v>0</v>
      </c>
      <c r="C5397" s="94" t="str">
        <f>IFERROR(VLOOKUP($A5397,HeadJournal!$A$1:$NTR$890,COLUMN(HeadJournal!C$1),0),"")</f>
        <v>iHerb_OA CZN6870</v>
      </c>
      <c r="D5397" s="125" t="str">
        <f>IFERROR(VLOOKUP($A5397,HeadJournal!$A$1:$NTR$890,COLUMN(HeadJournal!D$1),0),"")</f>
        <v>Доставлен</v>
      </c>
      <c r="E5397" s="95">
        <f>IFERROR(VLOOKUP($A5397,HeadJournal!$A$1:$NTR$890,COLUMN(HeadJournal!G$1),0),"")</f>
        <v>46012</v>
      </c>
      <c r="F5397" s="95" t="str">
        <f t="shared" si="405"/>
        <v>2025 12</v>
      </c>
      <c r="G5397" s="97" t="s">
        <v>5</v>
      </c>
      <c r="H5397" s="161" t="s">
        <v>3787</v>
      </c>
      <c r="I5397" s="97" t="s">
        <v>2036</v>
      </c>
      <c r="J5397" s="97" t="s">
        <v>4060</v>
      </c>
      <c r="K5397" s="29">
        <v>15.08</v>
      </c>
      <c r="L5397" s="29">
        <v>-2.2599999999999998</v>
      </c>
      <c r="M5397" s="30">
        <f>IFERROR(VLOOKUP($A5397,HeadJournal!$A$1:$J$890,COLUMN(HeadJournal!I$1),0)*($K5397+$L5397)/(SUMIF($A:$A,$A5397,$K:$K)+SUMIF($A:$A,$A5397,$L:$L)),0)</f>
        <v>-1.3872863932795401</v>
      </c>
      <c r="N5397" s="30">
        <f>IFERROR((VLOOKUP($A5397,HeadJournal!$A$1:$K$890,COLUMN(HeadJournal!K$1),0)-VLOOKUP($A5397,HeadJournal!$A$1:$K$890,COLUMN(HeadJournal!J$1),0))*($K5397+$L5397)/(SUMIF($A:$A,$A5397,$K:$K)+SUMIF($A:$A,$A5397,$L:$L)),0)</f>
        <v>2.013741101457828E-15</v>
      </c>
      <c r="O5397" s="30">
        <f>IFERROR((VLOOKUP($A5397,HeadJournal!$A$1:$L$890,COLUMN(HeadJournal!L$1),0)*($K5397+$L5397)/(SUMIF($A:$A,$A5397,$K:$K)+SUMIF($A:$A,$A5397,$L:$L)))/VLOOKUP($A5397,HeadJournal!$A$1:$L$890,COLUMN(HeadJournal!H$1),0),0)</f>
        <v>0.34031939821118751</v>
      </c>
      <c r="P5397" s="30">
        <f>IFERROR(SUM(K5397:O5397)*VLOOKUP($A5397,HeadJournal!$A$1:$L$890,COLUMN(HeadJournal!H$1),0),0)</f>
        <v>1053.9585995357579</v>
      </c>
      <c r="Q5397" s="29">
        <v>1900</v>
      </c>
      <c r="R5397" s="31">
        <v>46044</v>
      </c>
      <c r="S5397" s="31" t="s">
        <v>3235</v>
      </c>
      <c r="T5397" s="95" t="str">
        <f t="shared" si="406"/>
        <v>2026 01</v>
      </c>
      <c r="U5397" s="32">
        <f t="shared" si="403"/>
        <v>846.04140046424209</v>
      </c>
      <c r="V5397" s="22">
        <f t="shared" si="404"/>
        <v>0.80272735649853977</v>
      </c>
      <c r="X5397" s="33"/>
      <c r="Y5397" s="33"/>
    </row>
    <row r="5398" spans="1:25" x14ac:dyDescent="0.2">
      <c r="A5398" s="93" t="s">
        <v>5171</v>
      </c>
      <c r="B5398" s="94">
        <f>IFERROR(VLOOKUP($A5398,HeadJournal!$A$1:$NTR$890,COLUMN(HeadJournal!B$1),0),"")</f>
        <v>0</v>
      </c>
      <c r="C5398" s="94" t="str">
        <f>IFERROR(VLOOKUP($A5398,HeadJournal!$A$1:$NTR$890,COLUMN(HeadJournal!C$1),0),"")</f>
        <v>iHerb_OA CZN6870</v>
      </c>
      <c r="D5398" s="125" t="str">
        <f>IFERROR(VLOOKUP($A5398,HeadJournal!$A$1:$NTR$890,COLUMN(HeadJournal!D$1),0),"")</f>
        <v>Доставлен</v>
      </c>
      <c r="E5398" s="95">
        <f>IFERROR(VLOOKUP($A5398,HeadJournal!$A$1:$NTR$890,COLUMN(HeadJournal!G$1),0),"")</f>
        <v>46012</v>
      </c>
      <c r="F5398" s="95" t="str">
        <f t="shared" si="405"/>
        <v>2025 12</v>
      </c>
      <c r="G5398" s="97" t="s">
        <v>5</v>
      </c>
      <c r="H5398" s="161" t="s">
        <v>3931</v>
      </c>
      <c r="I5398" s="97" t="s">
        <v>2036</v>
      </c>
      <c r="J5398" s="97" t="s">
        <v>3932</v>
      </c>
      <c r="K5398" s="29">
        <v>12.06</v>
      </c>
      <c r="L5398" s="29">
        <v>-1.81</v>
      </c>
      <c r="M5398" s="30">
        <f>IFERROR(VLOOKUP($A5398,HeadJournal!$A$1:$J$890,COLUMN(HeadJournal!I$1),0)*($K5398+$L5398)/(SUMIF($A:$A,$A5398,$K:$K)+SUMIF($A:$A,$A5398,$L:$L)),0)</f>
        <v>-1.1091798386205372</v>
      </c>
      <c r="N5398" s="30">
        <f>IFERROR((VLOOKUP($A5398,HeadJournal!$A$1:$K$890,COLUMN(HeadJournal!K$1),0)-VLOOKUP($A5398,HeadJournal!$A$1:$K$890,COLUMN(HeadJournal!J$1),0))*($K5398+$L5398)/(SUMIF($A:$A,$A5398,$K:$K)+SUMIF($A:$A,$A5398,$L:$L)),0)</f>
        <v>1.6100504126320387E-15</v>
      </c>
      <c r="O5398" s="30">
        <f>IFERROR((VLOOKUP($A5398,HeadJournal!$A$1:$L$890,COLUMN(HeadJournal!L$1),0)*($K5398+$L5398)/(SUMIF($A:$A,$A5398,$K:$K)+SUMIF($A:$A,$A5398,$L:$L)))/VLOOKUP($A5398,HeadJournal!$A$1:$L$890,COLUMN(HeadJournal!H$1),0),0)</f>
        <v>0.27209624271955318</v>
      </c>
      <c r="P5398" s="30">
        <f>IFERROR(SUM(K5398:O5398)*VLOOKUP($A5398,HeadJournal!$A$1:$L$890,COLUMN(HeadJournal!H$1),0),0)</f>
        <v>842.67360727312928</v>
      </c>
      <c r="Q5398" s="29">
        <v>1600</v>
      </c>
      <c r="R5398" s="31">
        <v>46044</v>
      </c>
      <c r="S5398" s="31" t="s">
        <v>3235</v>
      </c>
      <c r="T5398" s="95" t="str">
        <f t="shared" si="406"/>
        <v>2026 01</v>
      </c>
      <c r="U5398" s="32">
        <f t="shared" si="403"/>
        <v>757.32639272687072</v>
      </c>
      <c r="V5398" s="22">
        <f t="shared" si="404"/>
        <v>0.89871853845946359</v>
      </c>
      <c r="X5398" s="33"/>
      <c r="Y5398" s="33"/>
    </row>
    <row r="5399" spans="1:25" x14ac:dyDescent="0.2">
      <c r="A5399" s="93" t="s">
        <v>5171</v>
      </c>
      <c r="B5399" s="94">
        <f>IFERROR(VLOOKUP($A5399,HeadJournal!$A$1:$NTR$890,COLUMN(HeadJournal!B$1),0),"")</f>
        <v>0</v>
      </c>
      <c r="C5399" s="94" t="str">
        <f>IFERROR(VLOOKUP($A5399,HeadJournal!$A$1:$NTR$890,COLUMN(HeadJournal!C$1),0),"")</f>
        <v>iHerb_OA CZN6870</v>
      </c>
      <c r="D5399" s="125" t="str">
        <f>IFERROR(VLOOKUP($A5399,HeadJournal!$A$1:$NTR$890,COLUMN(HeadJournal!D$1),0),"")</f>
        <v>Доставлен</v>
      </c>
      <c r="E5399" s="95">
        <f>IFERROR(VLOOKUP($A5399,HeadJournal!$A$1:$NTR$890,COLUMN(HeadJournal!G$1),0),"")</f>
        <v>46012</v>
      </c>
      <c r="F5399" s="95" t="str">
        <f t="shared" si="405"/>
        <v>2025 12</v>
      </c>
      <c r="G5399" s="97" t="s">
        <v>5</v>
      </c>
      <c r="H5399" s="161" t="s">
        <v>3931</v>
      </c>
      <c r="I5399" s="97" t="s">
        <v>2036</v>
      </c>
      <c r="J5399" s="97" t="s">
        <v>3932</v>
      </c>
      <c r="K5399" s="29">
        <v>12.06</v>
      </c>
      <c r="L5399" s="29">
        <v>-1.81</v>
      </c>
      <c r="M5399" s="30">
        <f>IFERROR(VLOOKUP($A5399,HeadJournal!$A$1:$J$890,COLUMN(HeadJournal!I$1),0)*($K5399+$L5399)/(SUMIF($A:$A,$A5399,$K:$K)+SUMIF($A:$A,$A5399,$L:$L)),0)</f>
        <v>-1.1091798386205372</v>
      </c>
      <c r="N5399" s="30">
        <f>IFERROR((VLOOKUP($A5399,HeadJournal!$A$1:$K$890,COLUMN(HeadJournal!K$1),0)-VLOOKUP($A5399,HeadJournal!$A$1:$K$890,COLUMN(HeadJournal!J$1),0))*($K5399+$L5399)/(SUMIF($A:$A,$A5399,$K:$K)+SUMIF($A:$A,$A5399,$L:$L)),0)</f>
        <v>1.6100504126320387E-15</v>
      </c>
      <c r="O5399" s="30">
        <f>IFERROR((VLOOKUP($A5399,HeadJournal!$A$1:$L$890,COLUMN(HeadJournal!L$1),0)*($K5399+$L5399)/(SUMIF($A:$A,$A5399,$K:$K)+SUMIF($A:$A,$A5399,$L:$L)))/VLOOKUP($A5399,HeadJournal!$A$1:$L$890,COLUMN(HeadJournal!H$1),0),0)</f>
        <v>0.27209624271955318</v>
      </c>
      <c r="P5399" s="30">
        <f>IFERROR(SUM(K5399:O5399)*VLOOKUP($A5399,HeadJournal!$A$1:$L$890,COLUMN(HeadJournal!H$1),0),0)</f>
        <v>842.67360727312928</v>
      </c>
      <c r="Q5399" s="29">
        <v>1600</v>
      </c>
      <c r="R5399" s="31">
        <v>46044</v>
      </c>
      <c r="S5399" s="31" t="s">
        <v>3235</v>
      </c>
      <c r="T5399" s="95" t="str">
        <f t="shared" si="406"/>
        <v>2026 01</v>
      </c>
      <c r="U5399" s="32">
        <f t="shared" si="403"/>
        <v>757.32639272687072</v>
      </c>
      <c r="V5399" s="22">
        <f t="shared" si="404"/>
        <v>0.89871853845946359</v>
      </c>
      <c r="X5399" s="33"/>
      <c r="Y5399" s="33"/>
    </row>
    <row r="5400" spans="1:25" x14ac:dyDescent="0.2">
      <c r="A5400" s="93" t="s">
        <v>5171</v>
      </c>
      <c r="B5400" s="94">
        <f>IFERROR(VLOOKUP($A5400,HeadJournal!$A$1:$NTR$890,COLUMN(HeadJournal!B$1),0),"")</f>
        <v>0</v>
      </c>
      <c r="C5400" s="94" t="str">
        <f>IFERROR(VLOOKUP($A5400,HeadJournal!$A$1:$NTR$890,COLUMN(HeadJournal!C$1),0),"")</f>
        <v>iHerb_OA CZN6870</v>
      </c>
      <c r="D5400" s="125" t="str">
        <f>IFERROR(VLOOKUP($A5400,HeadJournal!$A$1:$NTR$890,COLUMN(HeadJournal!D$1),0),"")</f>
        <v>Доставлен</v>
      </c>
      <c r="E5400" s="95">
        <f>IFERROR(VLOOKUP($A5400,HeadJournal!$A$1:$NTR$890,COLUMN(HeadJournal!G$1),0),"")</f>
        <v>46012</v>
      </c>
      <c r="F5400" s="95" t="str">
        <f t="shared" si="405"/>
        <v>2025 12</v>
      </c>
      <c r="G5400" s="97" t="s">
        <v>5</v>
      </c>
      <c r="H5400" s="161" t="s">
        <v>2176</v>
      </c>
      <c r="I5400" s="97" t="s">
        <v>2005</v>
      </c>
      <c r="J5400" s="97" t="s">
        <v>4941</v>
      </c>
      <c r="K5400" s="29">
        <v>14.48</v>
      </c>
      <c r="L5400" s="29">
        <v>-2.17</v>
      </c>
      <c r="M5400" s="30">
        <f>IFERROR(VLOOKUP($A5400,HeadJournal!$A$1:$J$890,COLUMN(HeadJournal!I$1),0)*($K5400+$L5400)/(SUMIF($A:$A,$A5400,$K:$K)+SUMIF($A:$A,$A5400,$L:$L)),0)</f>
        <v>-1.3320979330164695</v>
      </c>
      <c r="N5400" s="30">
        <f>IFERROR((VLOOKUP($A5400,HeadJournal!$A$1:$K$890,COLUMN(HeadJournal!K$1),0)-VLOOKUP($A5400,HeadJournal!$A$1:$K$890,COLUMN(HeadJournal!J$1),0))*($K5400+$L5400)/(SUMIF($A:$A,$A5400,$K:$K)+SUMIF($A:$A,$A5400,$L:$L)),0)</f>
        <v>1.9336312760488194E-15</v>
      </c>
      <c r="O5400" s="30">
        <f>IFERROR((VLOOKUP($A5400,HeadJournal!$A$1:$L$890,COLUMN(HeadJournal!L$1),0)*($K5400+$L5400)/(SUMIF($A:$A,$A5400,$K:$K)+SUMIF($A:$A,$A5400,$L:$L)))/VLOOKUP($A5400,HeadJournal!$A$1:$L$890,COLUMN(HeadJournal!H$1),0),0)</f>
        <v>0.32678095101245846</v>
      </c>
      <c r="P5400" s="30">
        <f>IFERROR(SUM(K5400:O5400)*VLOOKUP($A5400,HeadJournal!$A$1:$L$890,COLUMN(HeadJournal!H$1),0),0)</f>
        <v>1012.030449320217</v>
      </c>
      <c r="Q5400" s="29">
        <v>1900</v>
      </c>
      <c r="R5400" s="31">
        <v>46044</v>
      </c>
      <c r="S5400" s="31" t="s">
        <v>3235</v>
      </c>
      <c r="T5400" s="95" t="str">
        <f t="shared" si="406"/>
        <v>2026 01</v>
      </c>
      <c r="U5400" s="32">
        <f t="shared" si="403"/>
        <v>887.96955067978297</v>
      </c>
      <c r="V5400" s="22">
        <f t="shared" si="404"/>
        <v>0.87741386761261375</v>
      </c>
      <c r="X5400" s="33"/>
      <c r="Y5400" s="33"/>
    </row>
    <row r="5401" spans="1:25" x14ac:dyDescent="0.2">
      <c r="A5401" s="93" t="s">
        <v>5171</v>
      </c>
      <c r="B5401" s="94">
        <f>IFERROR(VLOOKUP($A5401,HeadJournal!$A$1:$NTR$890,COLUMN(HeadJournal!B$1),0),"")</f>
        <v>0</v>
      </c>
      <c r="C5401" s="94" t="str">
        <f>IFERROR(VLOOKUP($A5401,HeadJournal!$A$1:$NTR$890,COLUMN(HeadJournal!C$1),0),"")</f>
        <v>iHerb_OA CZN6870</v>
      </c>
      <c r="D5401" s="125" t="str">
        <f>IFERROR(VLOOKUP($A5401,HeadJournal!$A$1:$NTR$890,COLUMN(HeadJournal!D$1),0),"")</f>
        <v>Доставлен</v>
      </c>
      <c r="E5401" s="95">
        <f>IFERROR(VLOOKUP($A5401,HeadJournal!$A$1:$NTR$890,COLUMN(HeadJournal!G$1),0),"")</f>
        <v>46012</v>
      </c>
      <c r="F5401" s="95" t="str">
        <f t="shared" si="405"/>
        <v>2025 12</v>
      </c>
      <c r="G5401" s="97" t="s">
        <v>5</v>
      </c>
      <c r="H5401" s="161" t="s">
        <v>2176</v>
      </c>
      <c r="I5401" s="97" t="s">
        <v>2005</v>
      </c>
      <c r="J5401" s="97" t="s">
        <v>4941</v>
      </c>
      <c r="K5401" s="29">
        <v>14.48</v>
      </c>
      <c r="L5401" s="29">
        <v>-2.17</v>
      </c>
      <c r="M5401" s="30">
        <f>IFERROR(VLOOKUP($A5401,HeadJournal!$A$1:$J$890,COLUMN(HeadJournal!I$1),0)*($K5401+$L5401)/(SUMIF($A:$A,$A5401,$K:$K)+SUMIF($A:$A,$A5401,$L:$L)),0)</f>
        <v>-1.3320979330164695</v>
      </c>
      <c r="N5401" s="30">
        <f>IFERROR((VLOOKUP($A5401,HeadJournal!$A$1:$K$890,COLUMN(HeadJournal!K$1),0)-VLOOKUP($A5401,HeadJournal!$A$1:$K$890,COLUMN(HeadJournal!J$1),0))*($K5401+$L5401)/(SUMIF($A:$A,$A5401,$K:$K)+SUMIF($A:$A,$A5401,$L:$L)),0)</f>
        <v>1.9336312760488194E-15</v>
      </c>
      <c r="O5401" s="30">
        <f>IFERROR((VLOOKUP($A5401,HeadJournal!$A$1:$L$890,COLUMN(HeadJournal!L$1),0)*($K5401+$L5401)/(SUMIF($A:$A,$A5401,$K:$K)+SUMIF($A:$A,$A5401,$L:$L)))/VLOOKUP($A5401,HeadJournal!$A$1:$L$890,COLUMN(HeadJournal!H$1),0),0)</f>
        <v>0.32678095101245846</v>
      </c>
      <c r="P5401" s="30">
        <f>IFERROR(SUM(K5401:O5401)*VLOOKUP($A5401,HeadJournal!$A$1:$L$890,COLUMN(HeadJournal!H$1),0),0)</f>
        <v>1012.030449320217</v>
      </c>
      <c r="Q5401" s="29">
        <v>1900</v>
      </c>
      <c r="R5401" s="31">
        <v>46044</v>
      </c>
      <c r="S5401" s="31" t="s">
        <v>3235</v>
      </c>
      <c r="T5401" s="95" t="str">
        <f t="shared" si="406"/>
        <v>2026 01</v>
      </c>
      <c r="U5401" s="32">
        <f t="shared" si="403"/>
        <v>887.96955067978297</v>
      </c>
      <c r="V5401" s="22">
        <f t="shared" si="404"/>
        <v>0.87741386761261375</v>
      </c>
      <c r="X5401" s="33"/>
      <c r="Y5401" s="33"/>
    </row>
    <row r="5402" spans="1:25" x14ac:dyDescent="0.2">
      <c r="A5402" s="93" t="s">
        <v>5171</v>
      </c>
      <c r="B5402" s="94">
        <f>IFERROR(VLOOKUP($A5402,HeadJournal!$A$1:$NTR$890,COLUMN(HeadJournal!B$1),0),"")</f>
        <v>0</v>
      </c>
      <c r="C5402" s="94" t="str">
        <f>IFERROR(VLOOKUP($A5402,HeadJournal!$A$1:$NTR$890,COLUMN(HeadJournal!C$1),0),"")</f>
        <v>iHerb_OA CZN6870</v>
      </c>
      <c r="D5402" s="125" t="str">
        <f>IFERROR(VLOOKUP($A5402,HeadJournal!$A$1:$NTR$890,COLUMN(HeadJournal!D$1),0),"")</f>
        <v>Доставлен</v>
      </c>
      <c r="E5402" s="95">
        <f>IFERROR(VLOOKUP($A5402,HeadJournal!$A$1:$NTR$890,COLUMN(HeadJournal!G$1),0),"")</f>
        <v>46012</v>
      </c>
      <c r="F5402" s="95" t="str">
        <f t="shared" si="405"/>
        <v>2025 12</v>
      </c>
      <c r="G5402" s="97" t="s">
        <v>5</v>
      </c>
      <c r="H5402" s="161" t="s">
        <v>4044</v>
      </c>
      <c r="I5402" s="97" t="s">
        <v>2163</v>
      </c>
      <c r="J5402" s="97" t="s">
        <v>4045</v>
      </c>
      <c r="K5402" s="29">
        <v>31.95</v>
      </c>
      <c r="L5402" s="29">
        <v>-6.39</v>
      </c>
      <c r="M5402" s="30">
        <f>IFERROR(VLOOKUP($A5402,HeadJournal!$A$1:$J$890,COLUMN(HeadJournal!I$1),0)*($K5402+$L5402)/(SUMIF($A:$A,$A5402,$K:$K)+SUMIF($A:$A,$A5402,$L:$L)),0)</f>
        <v>-2.7659157731844806</v>
      </c>
      <c r="N5402" s="30">
        <f>IFERROR((VLOOKUP($A5402,HeadJournal!$A$1:$K$890,COLUMN(HeadJournal!K$1),0)-VLOOKUP($A5402,HeadJournal!$A$1:$K$890,COLUMN(HeadJournal!J$1),0))*($K5402+$L5402)/(SUMIF($A:$A,$A5402,$K:$K)+SUMIF($A:$A,$A5402,$L:$L)),0)</f>
        <v>4.0149159557926736E-15</v>
      </c>
      <c r="O5402" s="30">
        <f>IFERROR((VLOOKUP($A5402,HeadJournal!$A$1:$L$890,COLUMN(HeadJournal!L$1),0)*($K5402+$L5402)/(SUMIF($A:$A,$A5402,$K:$K)+SUMIF($A:$A,$A5402,$L:$L)))/VLOOKUP($A5402,HeadJournal!$A$1:$L$890,COLUMN(HeadJournal!H$1),0),0)</f>
        <v>0.67851511843041734</v>
      </c>
      <c r="P5402" s="30">
        <f>IFERROR(SUM(K5402:O5402)*VLOOKUP($A5402,HeadJournal!$A$1:$L$890,COLUMN(HeadJournal!H$1),0),0)</f>
        <v>2101.340234331823</v>
      </c>
      <c r="Q5402" s="29">
        <v>3600</v>
      </c>
      <c r="R5402" s="31">
        <v>46044</v>
      </c>
      <c r="S5402" s="31" t="s">
        <v>3235</v>
      </c>
      <c r="T5402" s="95" t="str">
        <f t="shared" si="406"/>
        <v>2026 01</v>
      </c>
      <c r="U5402" s="32">
        <f t="shared" si="403"/>
        <v>1498.659765668177</v>
      </c>
      <c r="V5402" s="22">
        <f t="shared" si="404"/>
        <v>0.71319234324027292</v>
      </c>
      <c r="X5402" s="33"/>
      <c r="Y5402" s="33"/>
    </row>
    <row r="5403" spans="1:25" x14ac:dyDescent="0.2">
      <c r="A5403" s="93" t="s">
        <v>5171</v>
      </c>
      <c r="B5403" s="94">
        <f>IFERROR(VLOOKUP($A5403,HeadJournal!$A$1:$NTR$890,COLUMN(HeadJournal!B$1),0),"")</f>
        <v>0</v>
      </c>
      <c r="C5403" s="94" t="str">
        <f>IFERROR(VLOOKUP($A5403,HeadJournal!$A$1:$NTR$890,COLUMN(HeadJournal!C$1),0),"")</f>
        <v>iHerb_OA CZN6870</v>
      </c>
      <c r="D5403" s="125" t="str">
        <f>IFERROR(VLOOKUP($A5403,HeadJournal!$A$1:$NTR$890,COLUMN(HeadJournal!D$1),0),"")</f>
        <v>Доставлен</v>
      </c>
      <c r="E5403" s="95">
        <f>IFERROR(VLOOKUP($A5403,HeadJournal!$A$1:$NTR$890,COLUMN(HeadJournal!G$1),0),"")</f>
        <v>46012</v>
      </c>
      <c r="F5403" s="95" t="str">
        <f t="shared" si="405"/>
        <v>2025 12</v>
      </c>
      <c r="G5403" s="97" t="s">
        <v>5</v>
      </c>
      <c r="H5403" s="161" t="s">
        <v>4930</v>
      </c>
      <c r="I5403" s="97" t="s">
        <v>2750</v>
      </c>
      <c r="J5403" s="97" t="s">
        <v>4931</v>
      </c>
      <c r="K5403" s="29">
        <v>15.5</v>
      </c>
      <c r="L5403" s="29">
        <v>-2.33</v>
      </c>
      <c r="M5403" s="30">
        <f>IFERROR(VLOOKUP($A5403,HeadJournal!$A$1:$J$890,COLUMN(HeadJournal!I$1),0)*($K5403+$L5403)/(SUMIF($A:$A,$A5403,$K:$K)+SUMIF($A:$A,$A5403,$L:$L)),0)</f>
        <v>-1.4251608267934119</v>
      </c>
      <c r="N5403" s="30">
        <f>IFERROR((VLOOKUP($A5403,HeadJournal!$A$1:$K$890,COLUMN(HeadJournal!K$1),0)-VLOOKUP($A5403,HeadJournal!$A$1:$K$890,COLUMN(HeadJournal!J$1),0))*($K5403+$L5403)/(SUMIF($A:$A,$A5403,$K:$K)+SUMIF($A:$A,$A5403,$L:$L)),0)</f>
        <v>2.0687184326208729E-15</v>
      </c>
      <c r="O5403" s="30">
        <f>IFERROR((VLOOKUP($A5403,HeadJournal!$A$1:$L$890,COLUMN(HeadJournal!L$1),0)*($K5403+$L5403)/(SUMIF($A:$A,$A5403,$K:$K)+SUMIF($A:$A,$A5403,$L:$L)))/VLOOKUP($A5403,HeadJournal!$A$1:$L$890,COLUMN(HeadJournal!H$1),0),0)</f>
        <v>0.34961048942600148</v>
      </c>
      <c r="P5403" s="30">
        <f>IFERROR(SUM(K5403:O5403)*VLOOKUP($A5403,HeadJournal!$A$1:$L$890,COLUMN(HeadJournal!H$1),0),0)</f>
        <v>1082.7328202719136</v>
      </c>
      <c r="Q5403" s="29">
        <v>2900</v>
      </c>
      <c r="R5403" s="31">
        <v>46072</v>
      </c>
      <c r="S5403" s="31" t="s">
        <v>3231</v>
      </c>
      <c r="T5403" s="95" t="str">
        <f t="shared" si="406"/>
        <v>2026 02</v>
      </c>
      <c r="U5403" s="32">
        <f t="shared" si="403"/>
        <v>1817.2671797280864</v>
      </c>
      <c r="V5403" s="22">
        <f t="shared" si="404"/>
        <v>1.6784077712465615</v>
      </c>
      <c r="X5403" s="33"/>
      <c r="Y5403" s="33"/>
    </row>
    <row r="5404" spans="1:25" x14ac:dyDescent="0.2">
      <c r="A5404" s="93" t="s">
        <v>5171</v>
      </c>
      <c r="B5404" s="94">
        <f>IFERROR(VLOOKUP($A5404,HeadJournal!$A$1:$NTR$890,COLUMN(HeadJournal!B$1),0),"")</f>
        <v>0</v>
      </c>
      <c r="C5404" s="94" t="str">
        <f>IFERROR(VLOOKUP($A5404,HeadJournal!$A$1:$NTR$890,COLUMN(HeadJournal!C$1),0),"")</f>
        <v>iHerb_OA CZN6870</v>
      </c>
      <c r="D5404" s="125" t="str">
        <f>IFERROR(VLOOKUP($A5404,HeadJournal!$A$1:$NTR$890,COLUMN(HeadJournal!D$1),0),"")</f>
        <v>Доставлен</v>
      </c>
      <c r="E5404" s="95">
        <f>IFERROR(VLOOKUP($A5404,HeadJournal!$A$1:$NTR$890,COLUMN(HeadJournal!G$1),0),"")</f>
        <v>46012</v>
      </c>
      <c r="F5404" s="95" t="str">
        <f t="shared" si="405"/>
        <v>2025 12</v>
      </c>
      <c r="G5404" s="97" t="s">
        <v>5</v>
      </c>
      <c r="H5404" s="161" t="s">
        <v>2804</v>
      </c>
      <c r="I5404" s="97" t="s">
        <v>2005</v>
      </c>
      <c r="J5404" s="97" t="s">
        <v>2805</v>
      </c>
      <c r="K5404" s="29">
        <v>10.55</v>
      </c>
      <c r="L5404" s="29">
        <v>-1.585</v>
      </c>
      <c r="M5404" s="30">
        <f>IFERROR(VLOOKUP($A5404,HeadJournal!$A$1:$J$890,COLUMN(HeadJournal!I$1),0)*($K5404+$L5404)/(SUMIF($A:$A,$A5404,$K:$K)+SUMIF($A:$A,$A5404,$L:$L)),0)</f>
        <v>-0.97012656129103569</v>
      </c>
      <c r="N5404" s="30">
        <f>IFERROR((VLOOKUP($A5404,HeadJournal!$A$1:$K$890,COLUMN(HeadJournal!K$1),0)-VLOOKUP($A5404,HeadJournal!$A$1:$K$890,COLUMN(HeadJournal!J$1),0))*($K5404+$L5404)/(SUMIF($A:$A,$A5404,$K:$K)+SUMIF($A:$A,$A5404,$L:$L)),0)</f>
        <v>1.4082050682191441E-15</v>
      </c>
      <c r="O5404" s="30">
        <f>IFERROR((VLOOKUP($A5404,HeadJournal!$A$1:$L$890,COLUMN(HeadJournal!L$1),0)*($K5404+$L5404)/(SUMIF($A:$A,$A5404,$K:$K)+SUMIF($A:$A,$A5404,$L:$L)))/VLOOKUP($A5404,HeadJournal!$A$1:$L$890,COLUMN(HeadJournal!H$1),0),0)</f>
        <v>0.23798466497373599</v>
      </c>
      <c r="P5404" s="30">
        <f>IFERROR(SUM(K5404:O5404)*VLOOKUP($A5404,HeadJournal!$A$1:$L$890,COLUMN(HeadJournal!H$1),0),0)</f>
        <v>737.03111114181513</v>
      </c>
      <c r="Q5404" s="29">
        <v>1700</v>
      </c>
      <c r="R5404" s="31">
        <v>46080</v>
      </c>
      <c r="S5404" s="31" t="s">
        <v>4872</v>
      </c>
      <c r="T5404" s="95" t="str">
        <f t="shared" si="406"/>
        <v>2026 02</v>
      </c>
      <c r="U5404" s="32">
        <f t="shared" si="403"/>
        <v>962.96888885818487</v>
      </c>
      <c r="V5404" s="22">
        <f t="shared" si="404"/>
        <v>1.3065512083558386</v>
      </c>
      <c r="X5404" s="33"/>
      <c r="Y5404" s="33"/>
    </row>
    <row r="5405" spans="1:25" x14ac:dyDescent="0.2">
      <c r="A5405" s="93" t="s">
        <v>5171</v>
      </c>
      <c r="B5405" s="94">
        <f>IFERROR(VLOOKUP($A5405,HeadJournal!$A$1:$NTR$890,COLUMN(HeadJournal!B$1),0),"")</f>
        <v>0</v>
      </c>
      <c r="C5405" s="94" t="str">
        <f>IFERROR(VLOOKUP($A5405,HeadJournal!$A$1:$NTR$890,COLUMN(HeadJournal!C$1),0),"")</f>
        <v>iHerb_OA CZN6870</v>
      </c>
      <c r="D5405" s="125" t="str">
        <f>IFERROR(VLOOKUP($A5405,HeadJournal!$A$1:$NTR$890,COLUMN(HeadJournal!D$1),0),"")</f>
        <v>Доставлен</v>
      </c>
      <c r="E5405" s="95">
        <f>IFERROR(VLOOKUP($A5405,HeadJournal!$A$1:$NTR$890,COLUMN(HeadJournal!G$1),0),"")</f>
        <v>46012</v>
      </c>
      <c r="F5405" s="95" t="str">
        <f t="shared" si="405"/>
        <v>2025 12</v>
      </c>
      <c r="G5405" s="97" t="s">
        <v>5</v>
      </c>
      <c r="H5405" s="161" t="s">
        <v>2804</v>
      </c>
      <c r="I5405" s="97" t="s">
        <v>2005</v>
      </c>
      <c r="J5405" s="97" t="s">
        <v>2805</v>
      </c>
      <c r="K5405" s="29">
        <v>10.55</v>
      </c>
      <c r="L5405" s="29">
        <v>-1.585</v>
      </c>
      <c r="M5405" s="30">
        <f>IFERROR(VLOOKUP($A5405,HeadJournal!$A$1:$J$890,COLUMN(HeadJournal!I$1),0)*($K5405+$L5405)/(SUMIF($A:$A,$A5405,$K:$K)+SUMIF($A:$A,$A5405,$L:$L)),0)</f>
        <v>-0.97012656129103569</v>
      </c>
      <c r="N5405" s="30">
        <f>IFERROR((VLOOKUP($A5405,HeadJournal!$A$1:$K$890,COLUMN(HeadJournal!K$1),0)-VLOOKUP($A5405,HeadJournal!$A$1:$K$890,COLUMN(HeadJournal!J$1),0))*($K5405+$L5405)/(SUMIF($A:$A,$A5405,$K:$K)+SUMIF($A:$A,$A5405,$L:$L)),0)</f>
        <v>1.4082050682191441E-15</v>
      </c>
      <c r="O5405" s="30">
        <f>IFERROR((VLOOKUP($A5405,HeadJournal!$A$1:$L$890,COLUMN(HeadJournal!L$1),0)*($K5405+$L5405)/(SUMIF($A:$A,$A5405,$K:$K)+SUMIF($A:$A,$A5405,$L:$L)))/VLOOKUP($A5405,HeadJournal!$A$1:$L$890,COLUMN(HeadJournal!H$1),0),0)</f>
        <v>0.23798466497373599</v>
      </c>
      <c r="P5405" s="30">
        <f>IFERROR(SUM(K5405:O5405)*VLOOKUP($A5405,HeadJournal!$A$1:$L$890,COLUMN(HeadJournal!H$1),0),0)</f>
        <v>737.03111114181513</v>
      </c>
      <c r="Q5405" s="29">
        <v>1800</v>
      </c>
      <c r="R5405" s="31">
        <v>46122</v>
      </c>
      <c r="S5405" s="31" t="s">
        <v>4630</v>
      </c>
      <c r="T5405" s="95" t="str">
        <f t="shared" si="406"/>
        <v>2026 04</v>
      </c>
      <c r="U5405" s="32">
        <f t="shared" si="403"/>
        <v>1062.968888858185</v>
      </c>
      <c r="V5405" s="22">
        <f t="shared" si="404"/>
        <v>1.4422306912002998</v>
      </c>
      <c r="X5405" s="33"/>
      <c r="Y5405" s="33"/>
    </row>
    <row r="5406" spans="1:25" x14ac:dyDescent="0.2">
      <c r="A5406" s="93" t="s">
        <v>5171</v>
      </c>
      <c r="B5406" s="94">
        <f>IFERROR(VLOOKUP($A5406,HeadJournal!$A$1:$NTR$890,COLUMN(HeadJournal!B$1),0),"")</f>
        <v>0</v>
      </c>
      <c r="C5406" s="94" t="str">
        <f>IFERROR(VLOOKUP($A5406,HeadJournal!$A$1:$NTR$890,COLUMN(HeadJournal!C$1),0),"")</f>
        <v>iHerb_OA CZN6870</v>
      </c>
      <c r="D5406" s="125" t="str">
        <f>IFERROR(VLOOKUP($A5406,HeadJournal!$A$1:$NTR$890,COLUMN(HeadJournal!D$1),0),"")</f>
        <v>Доставлен</v>
      </c>
      <c r="E5406" s="95">
        <f>IFERROR(VLOOKUP($A5406,HeadJournal!$A$1:$NTR$890,COLUMN(HeadJournal!G$1),0),"")</f>
        <v>46012</v>
      </c>
      <c r="F5406" s="95" t="str">
        <f t="shared" si="405"/>
        <v>2025 12</v>
      </c>
      <c r="G5406" s="97" t="s">
        <v>5</v>
      </c>
      <c r="H5406" s="161" t="s">
        <v>4898</v>
      </c>
      <c r="I5406" s="97" t="s">
        <v>2008</v>
      </c>
      <c r="J5406" s="97" t="s">
        <v>4899</v>
      </c>
      <c r="K5406" s="29">
        <v>24.7</v>
      </c>
      <c r="L5406" s="29">
        <v>-3.71</v>
      </c>
      <c r="M5406" s="30">
        <f>IFERROR(VLOOKUP($A5406,HeadJournal!$A$1:$J$890,COLUMN(HeadJournal!I$1),0)*($K5406+$L5406)/(SUMIF($A:$A,$A5406,$K:$K)+SUMIF($A:$A,$A5406,$L:$L)),0)</f>
        <v>-2.2713838841604947</v>
      </c>
      <c r="N5406" s="30">
        <f>IFERROR((VLOOKUP($A5406,HeadJournal!$A$1:$K$890,COLUMN(HeadJournal!K$1),0)-VLOOKUP($A5406,HeadJournal!$A$1:$K$890,COLUMN(HeadJournal!J$1),0))*($K5406+$L5406)/(SUMIF($A:$A,$A5406,$K:$K)+SUMIF($A:$A,$A5406,$L:$L)),0)</f>
        <v>3.2970690888923406E-15</v>
      </c>
      <c r="O5406" s="30">
        <f>IFERROR((VLOOKUP($A5406,HeadJournal!$A$1:$L$890,COLUMN(HeadJournal!L$1),0)*($K5406+$L5406)/(SUMIF($A:$A,$A5406,$K:$K)+SUMIF($A:$A,$A5406,$L:$L)))/VLOOKUP($A5406,HeadJournal!$A$1:$L$890,COLUMN(HeadJournal!H$1),0),0)</f>
        <v>0.5572000131398458</v>
      </c>
      <c r="P5406" s="30">
        <f>IFERROR(SUM(K5406:O5406)*VLOOKUP($A5406,HeadJournal!$A$1:$L$890,COLUMN(HeadJournal!H$1),0),0)</f>
        <v>1725.6311235768762</v>
      </c>
      <c r="Q5406" s="29"/>
      <c r="R5406" s="31"/>
      <c r="S5406" s="31"/>
      <c r="T5406" s="95" t="str">
        <f t="shared" si="406"/>
        <v/>
      </c>
      <c r="U5406" s="32">
        <f t="shared" si="403"/>
        <v>-1725.6311235768762</v>
      </c>
      <c r="V5406" s="22" t="str">
        <f t="shared" si="404"/>
        <v/>
      </c>
      <c r="X5406" s="33"/>
      <c r="Y5406" s="33"/>
    </row>
    <row r="5407" spans="1:25" x14ac:dyDescent="0.2">
      <c r="A5407" s="93" t="s">
        <v>5171</v>
      </c>
      <c r="B5407" s="94">
        <f>IFERROR(VLOOKUP($A5407,HeadJournal!$A$1:$NTR$890,COLUMN(HeadJournal!B$1),0),"")</f>
        <v>0</v>
      </c>
      <c r="C5407" s="94" t="str">
        <f>IFERROR(VLOOKUP($A5407,HeadJournal!$A$1:$NTR$890,COLUMN(HeadJournal!C$1),0),"")</f>
        <v>iHerb_OA CZN6870</v>
      </c>
      <c r="D5407" s="125" t="str">
        <f>IFERROR(VLOOKUP($A5407,HeadJournal!$A$1:$NTR$890,COLUMN(HeadJournal!D$1),0),"")</f>
        <v>Доставлен</v>
      </c>
      <c r="E5407" s="95">
        <f>IFERROR(VLOOKUP($A5407,HeadJournal!$A$1:$NTR$890,COLUMN(HeadJournal!G$1),0),"")</f>
        <v>46012</v>
      </c>
      <c r="F5407" s="95" t="str">
        <f t="shared" si="405"/>
        <v>2025 12</v>
      </c>
      <c r="G5407" s="97" t="s">
        <v>5</v>
      </c>
      <c r="H5407" s="161" t="s">
        <v>2614</v>
      </c>
      <c r="I5407" s="97" t="s">
        <v>2005</v>
      </c>
      <c r="J5407" s="97" t="s">
        <v>2641</v>
      </c>
      <c r="K5407" s="29">
        <v>5.57</v>
      </c>
      <c r="L5407" s="29">
        <v>-0.84</v>
      </c>
      <c r="M5407" s="30">
        <f>IFERROR(VLOOKUP($A5407,HeadJournal!$A$1:$J$890,COLUMN(HeadJournal!I$1),0)*($K5407+$L5407)/(SUMIF($A:$A,$A5407,$K:$K)+SUMIF($A:$A,$A5407,$L:$L)),0)</f>
        <v>-0.5118459157731845</v>
      </c>
      <c r="N5407" s="30">
        <f>IFERROR((VLOOKUP($A5407,HeadJournal!$A$1:$K$890,COLUMN(HeadJournal!K$1),0)-VLOOKUP($A5407,HeadJournal!$A$1:$K$890,COLUMN(HeadJournal!J$1),0))*($K5407+$L5407)/(SUMIF($A:$A,$A5407,$K:$K)+SUMIF($A:$A,$A5407,$L:$L)),0)</f>
        <v>7.4297936114629695E-16</v>
      </c>
      <c r="O5407" s="30">
        <f>IFERROR((VLOOKUP($A5407,HeadJournal!$A$1:$L$890,COLUMN(HeadJournal!L$1),0)*($K5407+$L5407)/(SUMIF($A:$A,$A5407,$K:$K)+SUMIF($A:$A,$A5407,$L:$L)))/VLOOKUP($A5407,HeadJournal!$A$1:$L$890,COLUMN(HeadJournal!H$1),0),0)</f>
        <v>0.12556246127448648</v>
      </c>
      <c r="P5407" s="30">
        <f>IFERROR(SUM(K5407:O5407)*VLOOKUP($A5407,HeadJournal!$A$1:$L$890,COLUMN(HeadJournal!H$1),0),0)</f>
        <v>388.86304023433195</v>
      </c>
      <c r="Q5407" s="29"/>
      <c r="R5407" s="31"/>
      <c r="S5407" s="31"/>
      <c r="T5407" s="95" t="str">
        <f t="shared" si="406"/>
        <v/>
      </c>
      <c r="U5407" s="32">
        <f t="shared" si="403"/>
        <v>-388.86304023433195</v>
      </c>
      <c r="V5407" s="22" t="str">
        <f t="shared" si="404"/>
        <v/>
      </c>
      <c r="X5407" s="33"/>
      <c r="Y5407" s="33"/>
    </row>
    <row r="5408" spans="1:25" x14ac:dyDescent="0.2">
      <c r="A5408" s="93" t="s">
        <v>5171</v>
      </c>
      <c r="B5408" s="94">
        <f>IFERROR(VLOOKUP($A5408,HeadJournal!$A$1:$NTR$890,COLUMN(HeadJournal!B$1),0),"")</f>
        <v>0</v>
      </c>
      <c r="C5408" s="94" t="str">
        <f>IFERROR(VLOOKUP($A5408,HeadJournal!$A$1:$NTR$890,COLUMN(HeadJournal!C$1),0),"")</f>
        <v>iHerb_OA CZN6870</v>
      </c>
      <c r="D5408" s="125" t="str">
        <f>IFERROR(VLOOKUP($A5408,HeadJournal!$A$1:$NTR$890,COLUMN(HeadJournal!D$1),0),"")</f>
        <v>Доставлен</v>
      </c>
      <c r="E5408" s="95">
        <f>IFERROR(VLOOKUP($A5408,HeadJournal!$A$1:$NTR$890,COLUMN(HeadJournal!G$1),0),"")</f>
        <v>46012</v>
      </c>
      <c r="F5408" s="95" t="str">
        <f t="shared" si="405"/>
        <v>2025 12</v>
      </c>
      <c r="G5408" s="97" t="s">
        <v>5</v>
      </c>
      <c r="H5408" s="161" t="s">
        <v>2202</v>
      </c>
      <c r="I5408" s="97" t="s">
        <v>2005</v>
      </c>
      <c r="J5408" s="97" t="s">
        <v>4940</v>
      </c>
      <c r="K5408" s="29">
        <v>15.93</v>
      </c>
      <c r="L5408" s="29">
        <v>-2.39</v>
      </c>
      <c r="M5408" s="30">
        <f>IFERROR(VLOOKUP($A5408,HeadJournal!$A$1:$J$890,COLUMN(HeadJournal!I$1),0)*($K5408+$L5408)/(SUMIF($A:$A,$A5408,$K:$K)+SUMIF($A:$A,$A5408,$L:$L)),0)</f>
        <v>-1.4651995136509337</v>
      </c>
      <c r="N5408" s="30">
        <f>IFERROR((VLOOKUP($A5408,HeadJournal!$A$1:$K$890,COLUMN(HeadJournal!K$1),0)-VLOOKUP($A5408,HeadJournal!$A$1:$K$890,COLUMN(HeadJournal!J$1),0))*($K5408+$L5408)/(SUMIF($A:$A,$A5408,$K:$K)+SUMIF($A:$A,$A5408,$L:$L)),0)</f>
        <v>2.1268373255646636E-15</v>
      </c>
      <c r="O5408" s="30">
        <f>IFERROR((VLOOKUP($A5408,HeadJournal!$A$1:$L$890,COLUMN(HeadJournal!L$1),0)*($K5408+$L5408)/(SUMIF($A:$A,$A5408,$K:$K)+SUMIF($A:$A,$A5408,$L:$L)))/VLOOKUP($A5408,HeadJournal!$A$1:$L$890,COLUMN(HeadJournal!H$1),0),0)</f>
        <v>0.35943250013880484</v>
      </c>
      <c r="P5408" s="30">
        <f>IFERROR(SUM(K5408:O5408)*VLOOKUP($A5408,HeadJournal!$A$1:$L$890,COLUMN(HeadJournal!H$1),0),0)</f>
        <v>1113.1512821929923</v>
      </c>
      <c r="Q5408" s="29"/>
      <c r="R5408" s="31"/>
      <c r="S5408" s="31"/>
      <c r="T5408" s="95" t="str">
        <f t="shared" si="406"/>
        <v/>
      </c>
      <c r="U5408" s="32">
        <f t="shared" si="403"/>
        <v>-1113.1512821929923</v>
      </c>
      <c r="V5408" s="22" t="str">
        <f t="shared" si="404"/>
        <v/>
      </c>
      <c r="X5408" s="33"/>
      <c r="Y5408" s="33"/>
    </row>
    <row r="5409" spans="1:25" x14ac:dyDescent="0.2">
      <c r="A5409" s="93" t="s">
        <v>5171</v>
      </c>
      <c r="B5409" s="94">
        <f>IFERROR(VLOOKUP($A5409,HeadJournal!$A$1:$NTR$890,COLUMN(HeadJournal!B$1),0),"")</f>
        <v>0</v>
      </c>
      <c r="C5409" s="94" t="str">
        <f>IFERROR(VLOOKUP($A5409,HeadJournal!$A$1:$NTR$890,COLUMN(HeadJournal!C$1),0),"")</f>
        <v>iHerb_OA CZN6870</v>
      </c>
      <c r="D5409" s="125" t="str">
        <f>IFERROR(VLOOKUP($A5409,HeadJournal!$A$1:$NTR$890,COLUMN(HeadJournal!D$1),0),"")</f>
        <v>Доставлен</v>
      </c>
      <c r="E5409" s="95">
        <f>IFERROR(VLOOKUP($A5409,HeadJournal!$A$1:$NTR$890,COLUMN(HeadJournal!G$1),0),"")</f>
        <v>46012</v>
      </c>
      <c r="F5409" s="95" t="str">
        <f t="shared" si="405"/>
        <v>2025 12</v>
      </c>
      <c r="G5409" s="97" t="s">
        <v>5</v>
      </c>
      <c r="H5409" s="161" t="s">
        <v>5169</v>
      </c>
      <c r="I5409" s="97" t="s">
        <v>2005</v>
      </c>
      <c r="J5409" s="97" t="s">
        <v>5170</v>
      </c>
      <c r="K5409" s="29">
        <v>18.63</v>
      </c>
      <c r="L5409" s="29">
        <v>-2.79</v>
      </c>
      <c r="M5409" s="30">
        <f>IFERROR(VLOOKUP($A5409,HeadJournal!$A$1:$J$890,COLUMN(HeadJournal!I$1),0)*($K5409+$L5409)/(SUMIF($A:$A,$A5409,$K:$K)+SUMIF($A:$A,$A5409,$L:$L)),0)</f>
        <v>-1.7140886481706643</v>
      </c>
      <c r="N5409" s="30">
        <f>IFERROR((VLOOKUP($A5409,HeadJournal!$A$1:$K$890,COLUMN(HeadJournal!K$1),0)-VLOOKUP($A5409,HeadJournal!$A$1:$K$890,COLUMN(HeadJournal!J$1),0))*($K5409+$L5409)/(SUMIF($A:$A,$A5409,$K:$K)+SUMIF($A:$A,$A5409,$L:$L)),0)</f>
        <v>2.4881169303503896E-15</v>
      </c>
      <c r="O5409" s="30">
        <f>IFERROR((VLOOKUP($A5409,HeadJournal!$A$1:$L$890,COLUMN(HeadJournal!L$1),0)*($K5409+$L5409)/(SUMIF($A:$A,$A5409,$K:$K)+SUMIF($A:$A,$A5409,$L:$L)))/VLOOKUP($A5409,HeadJournal!$A$1:$L$890,COLUMN(HeadJournal!H$1),0),0)</f>
        <v>0.42048824240758259</v>
      </c>
      <c r="P5409" s="30">
        <f>IFERROR(SUM(K5409:O5409)*VLOOKUP($A5409,HeadJournal!$A$1:$L$890,COLUMN(HeadJournal!H$1),0),0)</f>
        <v>1302.2390184591579</v>
      </c>
      <c r="Q5409" s="29">
        <v>2200</v>
      </c>
      <c r="R5409" s="31">
        <v>46067</v>
      </c>
      <c r="S5409" s="31" t="s">
        <v>4622</v>
      </c>
      <c r="T5409" s="95" t="str">
        <f t="shared" si="406"/>
        <v>2026 02</v>
      </c>
      <c r="U5409" s="32">
        <f t="shared" si="403"/>
        <v>897.76098154084207</v>
      </c>
      <c r="V5409" s="22">
        <f t="shared" si="404"/>
        <v>0.6893980051397135</v>
      </c>
      <c r="X5409" s="33"/>
      <c r="Y5409" s="33"/>
    </row>
    <row r="5410" spans="1:25" x14ac:dyDescent="0.2">
      <c r="A5410" s="93" t="s">
        <v>5171</v>
      </c>
      <c r="B5410" s="94">
        <f>IFERROR(VLOOKUP($A5410,HeadJournal!$A$1:$NTR$890,COLUMN(HeadJournal!B$1),0),"")</f>
        <v>0</v>
      </c>
      <c r="C5410" s="94" t="str">
        <f>IFERROR(VLOOKUP($A5410,HeadJournal!$A$1:$NTR$890,COLUMN(HeadJournal!C$1),0),"")</f>
        <v>iHerb_OA CZN6870</v>
      </c>
      <c r="D5410" s="125" t="str">
        <f>IFERROR(VLOOKUP($A5410,HeadJournal!$A$1:$NTR$890,COLUMN(HeadJournal!D$1),0),"")</f>
        <v>Доставлен</v>
      </c>
      <c r="E5410" s="95">
        <f>IFERROR(VLOOKUP($A5410,HeadJournal!$A$1:$NTR$890,COLUMN(HeadJournal!G$1),0),"")</f>
        <v>46012</v>
      </c>
      <c r="F5410" s="95" t="str">
        <f t="shared" si="405"/>
        <v>2025 12</v>
      </c>
      <c r="G5410" s="97" t="s">
        <v>5</v>
      </c>
      <c r="H5410" s="161" t="s">
        <v>4137</v>
      </c>
      <c r="I5410" s="97" t="s">
        <v>2666</v>
      </c>
      <c r="J5410" s="97" t="s">
        <v>4138</v>
      </c>
      <c r="K5410" s="29">
        <v>13.22</v>
      </c>
      <c r="L5410" s="29">
        <v>-1.98</v>
      </c>
      <c r="M5410" s="30">
        <f>IFERROR(VLOOKUP($A5410,HeadJournal!$A$1:$J$890,COLUMN(HeadJournal!I$1),0)*($K5410+$L5410)/(SUMIF($A:$A,$A5410,$K:$K)+SUMIF($A:$A,$A5410,$L:$L)),0)</f>
        <v>-1.2163103791312035</v>
      </c>
      <c r="N5410" s="30">
        <f>IFERROR((VLOOKUP($A5410,HeadJournal!$A$1:$K$890,COLUMN(HeadJournal!K$1),0)-VLOOKUP($A5410,HeadJournal!$A$1:$K$890,COLUMN(HeadJournal!J$1),0))*($K5410+$L5410)/(SUMIF($A:$A,$A5410,$K:$K)+SUMIF($A:$A,$A5410,$L:$L)),0)</f>
        <v>1.7655577207789381E-15</v>
      </c>
      <c r="O5410" s="30">
        <f>IFERROR((VLOOKUP($A5410,HeadJournal!$A$1:$L$890,COLUMN(HeadJournal!L$1),0)*($K5410+$L5410)/(SUMIF($A:$A,$A5410,$K:$K)+SUMIF($A:$A,$A5410,$L:$L)))/VLOOKUP($A5410,HeadJournal!$A$1:$L$890,COLUMN(HeadJournal!H$1),0),0)</f>
        <v>0.29837675787002704</v>
      </c>
      <c r="P5410" s="30">
        <f>IFERROR(SUM(K5410:O5410)*VLOOKUP($A5410,HeadJournal!$A$1:$L$890,COLUMN(HeadJournal!H$1),0),0)</f>
        <v>924.06354592682681</v>
      </c>
      <c r="Q5410" s="29">
        <v>2000</v>
      </c>
      <c r="R5410" s="31">
        <v>46044</v>
      </c>
      <c r="S5410" s="31"/>
      <c r="T5410" s="95" t="str">
        <f t="shared" si="406"/>
        <v>2026 01</v>
      </c>
      <c r="U5410" s="32">
        <f t="shared" si="403"/>
        <v>1075.9364540731731</v>
      </c>
      <c r="V5410" s="22">
        <f t="shared" si="404"/>
        <v>1.1643533161932269</v>
      </c>
      <c r="X5410" s="33"/>
      <c r="Y5410" s="33"/>
    </row>
    <row r="5411" spans="1:25" x14ac:dyDescent="0.2">
      <c r="A5411" s="93" t="s">
        <v>5172</v>
      </c>
      <c r="B5411" s="94">
        <f>IFERROR(VLOOKUP($A5411,HeadJournal!$A$1:$NTR$890,COLUMN(HeadJournal!B$1),0),"")</f>
        <v>0</v>
      </c>
      <c r="C5411" s="94" t="str">
        <f>IFERROR(VLOOKUP($A5411,HeadJournal!$A$1:$NTR$890,COLUMN(HeadJournal!C$1),0),"")</f>
        <v>OZON_OA</v>
      </c>
      <c r="D5411" s="125" t="str">
        <f>IFERROR(VLOOKUP($A5411,HeadJournal!$A$1:$NTR$890,COLUMN(HeadJournal!D$1),0),"")</f>
        <v>Доставлен</v>
      </c>
      <c r="E5411" s="95">
        <f>IFERROR(VLOOKUP($A5411,HeadJournal!$A$1:$NTR$890,COLUMN(HeadJournal!G$1),0),"")</f>
        <v>46015</v>
      </c>
      <c r="F5411" s="95" t="str">
        <f t="shared" si="405"/>
        <v>2025 12</v>
      </c>
      <c r="G5411" s="97" t="s">
        <v>5</v>
      </c>
      <c r="H5411" s="161" t="s">
        <v>5175</v>
      </c>
      <c r="I5411" s="97" t="s">
        <v>2005</v>
      </c>
      <c r="J5411" s="97" t="s">
        <v>1606</v>
      </c>
      <c r="K5411" s="29">
        <v>2190</v>
      </c>
      <c r="L5411" s="29">
        <v>0</v>
      </c>
      <c r="M5411" s="30">
        <f>IFERROR(VLOOKUP($A5411,HeadJournal!$A$1:$J$890,COLUMN(HeadJournal!I$1),0)*($K5411+$L5411)/(SUMIF($A:$A,$A5411,$K:$K)+SUMIF($A:$A,$A5411,$L:$L)),0)</f>
        <v>0</v>
      </c>
      <c r="N5411" s="30">
        <f>IFERROR((VLOOKUP($A5411,HeadJournal!$A$1:$K$890,COLUMN(HeadJournal!K$1),0)-VLOOKUP($A5411,HeadJournal!$A$1:$K$890,COLUMN(HeadJournal!J$1),0))*($K5411+$L5411)/(SUMIF($A:$A,$A5411,$K:$K)+SUMIF($A:$A,$A5411,$L:$L)),0)</f>
        <v>0</v>
      </c>
      <c r="O5411" s="30">
        <f>IFERROR((VLOOKUP($A5411,HeadJournal!$A$1:$L$890,COLUMN(HeadJournal!L$1),0)*($K5411+$L5411)/(SUMIF($A:$A,$A5411,$K:$K)+SUMIF($A:$A,$A5411,$L:$L)))/VLOOKUP($A5411,HeadJournal!$A$1:$L$890,COLUMN(HeadJournal!H$1),0),0)</f>
        <v>0</v>
      </c>
      <c r="P5411" s="30">
        <f>IFERROR(SUM(K5411:O5411)*VLOOKUP($A5411,HeadJournal!$A$1:$L$890,COLUMN(HeadJournal!H$1),0),0)</f>
        <v>2190</v>
      </c>
      <c r="Q5411" s="29">
        <v>2900</v>
      </c>
      <c r="R5411" s="31">
        <v>46020</v>
      </c>
      <c r="S5411" s="31"/>
      <c r="T5411" s="95" t="str">
        <f t="shared" si="406"/>
        <v>2025 12</v>
      </c>
      <c r="U5411" s="32">
        <f t="shared" si="403"/>
        <v>710</v>
      </c>
      <c r="V5411" s="22">
        <f t="shared" si="404"/>
        <v>0.32420091324200911</v>
      </c>
      <c r="X5411" s="33"/>
      <c r="Y5411" s="33"/>
    </row>
    <row r="5412" spans="1:25" x14ac:dyDescent="0.2">
      <c r="A5412" s="93" t="s">
        <v>5173</v>
      </c>
      <c r="B5412" s="94">
        <f>IFERROR(VLOOKUP($A5412,HeadJournal!$A$1:$NTR$890,COLUMN(HeadJournal!B$1),0),"")</f>
        <v>0</v>
      </c>
      <c r="C5412" s="94" t="str">
        <f>IFERROR(VLOOKUP($A5412,HeadJournal!$A$1:$NTR$890,COLUMN(HeadJournal!C$1),0),"")</f>
        <v>OZON_OA</v>
      </c>
      <c r="D5412" s="125" t="str">
        <f>IFERROR(VLOOKUP($A5412,HeadJournal!$A$1:$NTR$890,COLUMN(HeadJournal!D$1),0),"")</f>
        <v>Доставлен</v>
      </c>
      <c r="E5412" s="95">
        <f>IFERROR(VLOOKUP($A5412,HeadJournal!$A$1:$NTR$890,COLUMN(HeadJournal!G$1),0),"")</f>
        <v>46015</v>
      </c>
      <c r="F5412" s="95" t="str">
        <f t="shared" si="405"/>
        <v>2025 12</v>
      </c>
      <c r="G5412" s="97" t="s">
        <v>6</v>
      </c>
      <c r="H5412" s="161" t="s">
        <v>2280</v>
      </c>
      <c r="I5412" s="97" t="s">
        <v>2281</v>
      </c>
      <c r="J5412" s="97" t="s">
        <v>737</v>
      </c>
      <c r="K5412" s="29">
        <v>1177</v>
      </c>
      <c r="L5412" s="29">
        <v>0</v>
      </c>
      <c r="M5412" s="30">
        <f>IFERROR(VLOOKUP($A5412,HeadJournal!$A$1:$J$890,COLUMN(HeadJournal!I$1),0)*($K5412+$L5412)/(SUMIF($A:$A,$A5412,$K:$K)+SUMIF($A:$A,$A5412,$L:$L)),0)</f>
        <v>0</v>
      </c>
      <c r="N5412" s="30">
        <f>IFERROR((VLOOKUP($A5412,HeadJournal!$A$1:$K$890,COLUMN(HeadJournal!K$1),0)-VLOOKUP($A5412,HeadJournal!$A$1:$K$890,COLUMN(HeadJournal!J$1),0))*($K5412+$L5412)/(SUMIF($A:$A,$A5412,$K:$K)+SUMIF($A:$A,$A5412,$L:$L)),0)</f>
        <v>0</v>
      </c>
      <c r="O5412" s="30">
        <f>IFERROR((VLOOKUP($A5412,HeadJournal!$A$1:$L$890,COLUMN(HeadJournal!L$1),0)*($K5412+$L5412)/(SUMIF($A:$A,$A5412,$K:$K)+SUMIF($A:$A,$A5412,$L:$L)))/VLOOKUP($A5412,HeadJournal!$A$1:$L$890,COLUMN(HeadJournal!H$1),0),0)</f>
        <v>0</v>
      </c>
      <c r="P5412" s="30">
        <f>IFERROR(SUM(K5412:O5412)*VLOOKUP($A5412,HeadJournal!$A$1:$L$890,COLUMN(HeadJournal!H$1),0),0)</f>
        <v>1177</v>
      </c>
      <c r="Q5412" s="29">
        <v>2000</v>
      </c>
      <c r="R5412" s="31">
        <v>46020</v>
      </c>
      <c r="S5412" s="31"/>
      <c r="T5412" s="95" t="str">
        <f t="shared" si="406"/>
        <v>2025 12</v>
      </c>
      <c r="U5412" s="32">
        <f t="shared" si="403"/>
        <v>823</v>
      </c>
      <c r="V5412" s="22">
        <f t="shared" si="404"/>
        <v>0.6992353440951572</v>
      </c>
      <c r="X5412" s="33"/>
      <c r="Y5412" s="33"/>
    </row>
    <row r="5413" spans="1:25" x14ac:dyDescent="0.2">
      <c r="A5413" s="93" t="s">
        <v>5174</v>
      </c>
      <c r="B5413" s="94">
        <f>IFERROR(VLOOKUP($A5413,HeadJournal!$A$1:$NTR$890,COLUMN(HeadJournal!B$1),0),"")</f>
        <v>0</v>
      </c>
      <c r="C5413" s="94" t="str">
        <f>IFERROR(VLOOKUP($A5413,HeadJournal!$A$1:$NTR$890,COLUMN(HeadJournal!C$1),0),"")</f>
        <v>OZON_OA</v>
      </c>
      <c r="D5413" s="125" t="str">
        <f>IFERROR(VLOOKUP($A5413,HeadJournal!$A$1:$NTR$890,COLUMN(HeadJournal!D$1),0),"")</f>
        <v>Доставлен</v>
      </c>
      <c r="E5413" s="95">
        <f>IFERROR(VLOOKUP($A5413,HeadJournal!$A$1:$NTR$890,COLUMN(HeadJournal!G$1),0),"")</f>
        <v>46027</v>
      </c>
      <c r="F5413" s="95" t="str">
        <f t="shared" si="405"/>
        <v>2026 01</v>
      </c>
      <c r="G5413" s="97" t="s">
        <v>5</v>
      </c>
      <c r="H5413" s="161" t="s">
        <v>5175</v>
      </c>
      <c r="I5413" s="97" t="s">
        <v>2005</v>
      </c>
      <c r="J5413" s="97" t="s">
        <v>1606</v>
      </c>
      <c r="K5413" s="29">
        <v>2053</v>
      </c>
      <c r="L5413" s="29">
        <v>0</v>
      </c>
      <c r="M5413" s="30">
        <f>IFERROR(VLOOKUP($A5413,HeadJournal!$A$1:$J$890,COLUMN(HeadJournal!I$1),0)*($K5413+$L5413)/(SUMIF($A:$A,$A5413,$K:$K)+SUMIF($A:$A,$A5413,$L:$L)),0)</f>
        <v>0</v>
      </c>
      <c r="N5413" s="30">
        <f>IFERROR((VLOOKUP($A5413,HeadJournal!$A$1:$K$890,COLUMN(HeadJournal!K$1),0)-VLOOKUP($A5413,HeadJournal!$A$1:$K$890,COLUMN(HeadJournal!J$1),0))*($K5413+$L5413)/(SUMIF($A:$A,$A5413,$K:$K)+SUMIF($A:$A,$A5413,$L:$L)),0)</f>
        <v>0</v>
      </c>
      <c r="O5413" s="30">
        <f>IFERROR((VLOOKUP($A5413,HeadJournal!$A$1:$L$890,COLUMN(HeadJournal!L$1),0)*($K5413+$L5413)/(SUMIF($A:$A,$A5413,$K:$K)+SUMIF($A:$A,$A5413,$L:$L)))/VLOOKUP($A5413,HeadJournal!$A$1:$L$890,COLUMN(HeadJournal!H$1),0),0)</f>
        <v>0</v>
      </c>
      <c r="P5413" s="30">
        <f>IFERROR(SUM(K5413:O5413)*VLOOKUP($A5413,HeadJournal!$A$1:$L$890,COLUMN(HeadJournal!H$1),0),0)</f>
        <v>2053</v>
      </c>
      <c r="Q5413" s="29">
        <v>2900</v>
      </c>
      <c r="R5413" s="31">
        <v>46119</v>
      </c>
      <c r="S5413" s="31" t="s">
        <v>3252</v>
      </c>
      <c r="T5413" s="95" t="str">
        <f t="shared" si="406"/>
        <v>2026 04</v>
      </c>
      <c r="U5413" s="32">
        <f t="shared" si="403"/>
        <v>847</v>
      </c>
      <c r="V5413" s="22">
        <f t="shared" si="404"/>
        <v>0.41256697515830493</v>
      </c>
      <c r="X5413" s="33"/>
      <c r="Y5413" s="33"/>
    </row>
    <row r="5414" spans="1:25" x14ac:dyDescent="0.2">
      <c r="A5414" s="93" t="s">
        <v>5182</v>
      </c>
      <c r="B5414" s="94">
        <f>IFERROR(VLOOKUP($A5414,HeadJournal!$A$1:$NTR$890,COLUMN(HeadJournal!B$1),0),"")</f>
        <v>0</v>
      </c>
      <c r="C5414" s="94" t="str">
        <f>IFERROR(VLOOKUP($A5414,HeadJournal!$A$1:$NTR$890,COLUMN(HeadJournal!C$1),0),"")</f>
        <v>iHerb_MH DLE7202</v>
      </c>
      <c r="D5414" s="125" t="str">
        <f>IFERROR(VLOOKUP($A5414,HeadJournal!$A$1:$NTR$890,COLUMN(HeadJournal!D$1),0),"")</f>
        <v>Доставлен</v>
      </c>
      <c r="E5414" s="95">
        <f>IFERROR(VLOOKUP($A5414,HeadJournal!$A$1:$NTR$890,COLUMN(HeadJournal!G$1),0),"")</f>
        <v>46019</v>
      </c>
      <c r="F5414" s="95" t="str">
        <f t="shared" si="405"/>
        <v>2025 12</v>
      </c>
      <c r="G5414" s="97" t="s">
        <v>5</v>
      </c>
      <c r="H5414" s="161" t="s">
        <v>5047</v>
      </c>
      <c r="I5414" s="97" t="s">
        <v>2056</v>
      </c>
      <c r="J5414" s="97" t="s">
        <v>5048</v>
      </c>
      <c r="K5414" s="29">
        <v>67.19</v>
      </c>
      <c r="L5414" s="29">
        <v>-13.44</v>
      </c>
      <c r="M5414" s="30">
        <f>IFERROR(VLOOKUP($A5414,HeadJournal!$A$1:$J$890,COLUMN(HeadJournal!I$1),0)*($K5414+$L5414)/(SUMIF($A:$A,$A5414,$K:$K)+SUMIF($A:$A,$A5414,$L:$L)),0)</f>
        <v>-2.2696737044145867</v>
      </c>
      <c r="N5414" s="30">
        <f>IFERROR((VLOOKUP($A5414,HeadJournal!$A$1:$K$890,COLUMN(HeadJournal!K$1),0)-VLOOKUP($A5414,HeadJournal!$A$1:$K$890,COLUMN(HeadJournal!J$1),0))*($K5414+$L5414)/(SUMIF($A:$A,$A5414,$K:$K)+SUMIF($A:$A,$A5414,$L:$L)),0)</f>
        <v>-1.5432537447057431E-14</v>
      </c>
      <c r="O5414" s="30">
        <f>IFERROR((VLOOKUP($A5414,HeadJournal!$A$1:$L$890,COLUMN(HeadJournal!L$1),0)*($K5414+$L5414)/(SUMIF($A:$A,$A5414,$K:$K)+SUMIF($A:$A,$A5414,$L:$L)))/VLOOKUP($A5414,HeadJournal!$A$1:$L$890,COLUMN(HeadJournal!H$1),0),0)</f>
        <v>1.3088213390791956</v>
      </c>
      <c r="P5414" s="30">
        <f>IFERROR(SUM(K5414:O5414)*VLOOKUP($A5414,HeadJournal!$A$1:$L$890,COLUMN(HeadJournal!H$1),0),0)</f>
        <v>4708.5792756844112</v>
      </c>
      <c r="Q5414" s="29">
        <v>6900</v>
      </c>
      <c r="R5414" s="31">
        <v>46113</v>
      </c>
      <c r="S5414" s="31" t="s">
        <v>3457</v>
      </c>
      <c r="T5414" s="95" t="str">
        <f t="shared" si="406"/>
        <v>2026 04</v>
      </c>
      <c r="U5414" s="32">
        <f t="shared" si="403"/>
        <v>2191.4207243155888</v>
      </c>
      <c r="V5414" s="22">
        <f t="shared" si="404"/>
        <v>0.46541017916642319</v>
      </c>
      <c r="X5414" s="33"/>
      <c r="Y5414" s="33"/>
    </row>
    <row r="5415" spans="1:25" x14ac:dyDescent="0.2">
      <c r="A5415" s="93" t="s">
        <v>5182</v>
      </c>
      <c r="B5415" s="94">
        <f>IFERROR(VLOOKUP($A5415,HeadJournal!$A$1:$NTR$890,COLUMN(HeadJournal!B$1),0),"")</f>
        <v>0</v>
      </c>
      <c r="C5415" s="94" t="str">
        <f>IFERROR(VLOOKUP($A5415,HeadJournal!$A$1:$NTR$890,COLUMN(HeadJournal!C$1),0),"")</f>
        <v>iHerb_MH DLE7202</v>
      </c>
      <c r="D5415" s="125" t="str">
        <f>IFERROR(VLOOKUP($A5415,HeadJournal!$A$1:$NTR$890,COLUMN(HeadJournal!D$1),0),"")</f>
        <v>Доставлен</v>
      </c>
      <c r="E5415" s="95">
        <f>IFERROR(VLOOKUP($A5415,HeadJournal!$A$1:$NTR$890,COLUMN(HeadJournal!G$1),0),"")</f>
        <v>46019</v>
      </c>
      <c r="F5415" s="95" t="str">
        <f t="shared" si="405"/>
        <v>2025 12</v>
      </c>
      <c r="G5415" s="97" t="s">
        <v>5</v>
      </c>
      <c r="H5415" s="161" t="s">
        <v>2118</v>
      </c>
      <c r="I5415" s="97" t="s">
        <v>2005</v>
      </c>
      <c r="J5415" s="97" t="s">
        <v>2119</v>
      </c>
      <c r="K5415" s="29">
        <v>13.76</v>
      </c>
      <c r="L5415" s="29">
        <v>-2.75</v>
      </c>
      <c r="M5415" s="30">
        <f>IFERROR(VLOOKUP($A5415,HeadJournal!$A$1:$J$890,COLUMN(HeadJournal!I$1),0)*($K5415+$L5415)/(SUMIF($A:$A,$A5415,$K:$K)+SUMIF($A:$A,$A5415,$L:$L)),0)</f>
        <v>-0.46491362763915534</v>
      </c>
      <c r="N5415" s="30">
        <f>IFERROR((VLOOKUP($A5415,HeadJournal!$A$1:$K$890,COLUMN(HeadJournal!K$1),0)-VLOOKUP($A5415,HeadJournal!$A$1:$K$890,COLUMN(HeadJournal!J$1),0))*($K5415+$L5415)/(SUMIF($A:$A,$A5415,$K:$K)+SUMIF($A:$A,$A5415,$L:$L)),0)</f>
        <v>-3.1611579031088802E-15</v>
      </c>
      <c r="O5415" s="30">
        <f>IFERROR((VLOOKUP($A5415,HeadJournal!$A$1:$L$890,COLUMN(HeadJournal!L$1),0)*($K5415+$L5415)/(SUMIF($A:$A,$A5415,$K:$K)+SUMIF($A:$A,$A5415,$L:$L)))/VLOOKUP($A5415,HeadJournal!$A$1:$L$890,COLUMN(HeadJournal!H$1),0),0)</f>
        <v>0.26809531057231528</v>
      </c>
      <c r="P5415" s="30">
        <f>IFERROR(SUM(K5415:O5415)*VLOOKUP($A5415,HeadJournal!$A$1:$L$890,COLUMN(HeadJournal!H$1),0),0)</f>
        <v>964.49223860996017</v>
      </c>
      <c r="Q5415" s="29">
        <v>2000</v>
      </c>
      <c r="R5415" s="31">
        <v>46079</v>
      </c>
      <c r="S5415" s="31"/>
      <c r="T5415" s="95" t="str">
        <f t="shared" si="406"/>
        <v>2026 02</v>
      </c>
      <c r="U5415" s="32">
        <f t="shared" si="403"/>
        <v>1035.5077613900398</v>
      </c>
      <c r="V5415" s="22">
        <f t="shared" si="404"/>
        <v>1.0736299577510631</v>
      </c>
      <c r="X5415" s="33"/>
      <c r="Y5415" s="33"/>
    </row>
    <row r="5416" spans="1:25" x14ac:dyDescent="0.2">
      <c r="A5416" s="93" t="s">
        <v>5182</v>
      </c>
      <c r="B5416" s="94">
        <f>IFERROR(VLOOKUP($A5416,HeadJournal!$A$1:$NTR$890,COLUMN(HeadJournal!B$1),0),"")</f>
        <v>0</v>
      </c>
      <c r="C5416" s="94" t="str">
        <f>IFERROR(VLOOKUP($A5416,HeadJournal!$A$1:$NTR$890,COLUMN(HeadJournal!C$1),0),"")</f>
        <v>iHerb_MH DLE7202</v>
      </c>
      <c r="D5416" s="125" t="str">
        <f>IFERROR(VLOOKUP($A5416,HeadJournal!$A$1:$NTR$890,COLUMN(HeadJournal!D$1),0),"")</f>
        <v>Доставлен</v>
      </c>
      <c r="E5416" s="95">
        <f>IFERROR(VLOOKUP($A5416,HeadJournal!$A$1:$NTR$890,COLUMN(HeadJournal!G$1),0),"")</f>
        <v>46019</v>
      </c>
      <c r="F5416" s="95" t="str">
        <f t="shared" si="405"/>
        <v>2025 12</v>
      </c>
      <c r="G5416" s="97" t="s">
        <v>5</v>
      </c>
      <c r="H5416" s="161" t="s">
        <v>5176</v>
      </c>
      <c r="I5416" s="97" t="s">
        <v>2008</v>
      </c>
      <c r="J5416" s="97" t="s">
        <v>5177</v>
      </c>
      <c r="K5416" s="29">
        <v>27.83</v>
      </c>
      <c r="L5416" s="29">
        <v>-5.57</v>
      </c>
      <c r="M5416" s="30">
        <f>IFERROR(VLOOKUP($A5416,HeadJournal!$A$1:$J$890,COLUMN(HeadJournal!I$1),0)*($K5416+$L5416)/(SUMIF($A:$A,$A5416,$K:$K)+SUMIF($A:$A,$A5416,$L:$L)),0)</f>
        <v>-0.93996161228406883</v>
      </c>
      <c r="N5416" s="30">
        <f>IFERROR((VLOOKUP($A5416,HeadJournal!$A$1:$K$890,COLUMN(HeadJournal!K$1),0)-VLOOKUP($A5416,HeadJournal!$A$1:$K$890,COLUMN(HeadJournal!J$1),0))*($K5416+$L5416)/(SUMIF($A:$A,$A5416,$K:$K)+SUMIF($A:$A,$A5416,$L:$L)),0)</f>
        <v>-6.3912238803999697E-15</v>
      </c>
      <c r="O5416" s="30">
        <f>IFERROR((VLOOKUP($A5416,HeadJournal!$A$1:$L$890,COLUMN(HeadJournal!L$1),0)*($K5416+$L5416)/(SUMIF($A:$A,$A5416,$K:$K)+SUMIF($A:$A,$A5416,$L:$L)))/VLOOKUP($A5416,HeadJournal!$A$1:$L$890,COLUMN(HeadJournal!H$1),0),0)</f>
        <v>0.54203466061214689</v>
      </c>
      <c r="P5416" s="30">
        <f>IFERROR(SUM(K5416:O5416)*VLOOKUP($A5416,HeadJournal!$A$1:$L$890,COLUMN(HeadJournal!H$1),0),0)</f>
        <v>1950.0088311950692</v>
      </c>
      <c r="Q5416" s="29">
        <v>3600</v>
      </c>
      <c r="R5416" s="31">
        <v>46122</v>
      </c>
      <c r="S5416" s="31" t="s">
        <v>3493</v>
      </c>
      <c r="T5416" s="95" t="str">
        <f t="shared" si="406"/>
        <v>2026 04</v>
      </c>
      <c r="U5416" s="32">
        <f t="shared" si="403"/>
        <v>1649.9911688049308</v>
      </c>
      <c r="V5416" s="22">
        <f t="shared" si="404"/>
        <v>0.84614548529697087</v>
      </c>
      <c r="X5416" s="33"/>
      <c r="Y5416" s="33"/>
    </row>
    <row r="5417" spans="1:25" x14ac:dyDescent="0.2">
      <c r="A5417" s="93" t="s">
        <v>5182</v>
      </c>
      <c r="B5417" s="94">
        <f>IFERROR(VLOOKUP($A5417,HeadJournal!$A$1:$NTR$890,COLUMN(HeadJournal!B$1),0),"")</f>
        <v>0</v>
      </c>
      <c r="C5417" s="94" t="str">
        <f>IFERROR(VLOOKUP($A5417,HeadJournal!$A$1:$NTR$890,COLUMN(HeadJournal!C$1),0),"")</f>
        <v>iHerb_MH DLE7202</v>
      </c>
      <c r="D5417" s="125" t="str">
        <f>IFERROR(VLOOKUP($A5417,HeadJournal!$A$1:$NTR$890,COLUMN(HeadJournal!D$1),0),"")</f>
        <v>Доставлен</v>
      </c>
      <c r="E5417" s="95">
        <f>IFERROR(VLOOKUP($A5417,HeadJournal!$A$1:$NTR$890,COLUMN(HeadJournal!G$1),0),"")</f>
        <v>46019</v>
      </c>
      <c r="F5417" s="95" t="str">
        <f t="shared" si="405"/>
        <v>2025 12</v>
      </c>
      <c r="G5417" s="97" t="s">
        <v>5</v>
      </c>
      <c r="H5417" s="161" t="s">
        <v>2034</v>
      </c>
      <c r="I5417" s="97" t="s">
        <v>2008</v>
      </c>
      <c r="J5417" s="97" t="s">
        <v>5178</v>
      </c>
      <c r="K5417" s="29">
        <v>23.89</v>
      </c>
      <c r="L5417" s="29">
        <v>-4.78</v>
      </c>
      <c r="M5417" s="30">
        <f>IFERROR(VLOOKUP($A5417,HeadJournal!$A$1:$J$890,COLUMN(HeadJournal!I$1),0)*($K5417+$L5417)/(SUMIF($A:$A,$A5417,$K:$K)+SUMIF($A:$A,$A5417,$L:$L)),0)</f>
        <v>-0.80694817658349294</v>
      </c>
      <c r="N5417" s="30">
        <f>IFERROR((VLOOKUP($A5417,HeadJournal!$A$1:$K$890,COLUMN(HeadJournal!K$1),0)-VLOOKUP($A5417,HeadJournal!$A$1:$K$890,COLUMN(HeadJournal!J$1),0))*($K5417+$L5417)/(SUMIF($A:$A,$A5417,$K:$K)+SUMIF($A:$A,$A5417,$L:$L)),0)</f>
        <v>-5.4868054067584646E-15</v>
      </c>
      <c r="O5417" s="30">
        <f>IFERROR((VLOOKUP($A5417,HeadJournal!$A$1:$L$890,COLUMN(HeadJournal!L$1),0)*($K5417+$L5417)/(SUMIF($A:$A,$A5417,$K:$K)+SUMIF($A:$A,$A5417,$L:$L)))/VLOOKUP($A5417,HeadJournal!$A$1:$L$890,COLUMN(HeadJournal!H$1),0),0)</f>
        <v>0.46533164260099402</v>
      </c>
      <c r="P5417" s="30">
        <f>IFERROR(SUM(K5417:O5417)*VLOOKUP($A5417,HeadJournal!$A$1:$L$890,COLUMN(HeadJournal!H$1),0),0)</f>
        <v>1674.0641852712388</v>
      </c>
      <c r="Q5417" s="29">
        <v>3000</v>
      </c>
      <c r="R5417" s="31">
        <v>46072</v>
      </c>
      <c r="S5417" s="31" t="s">
        <v>3235</v>
      </c>
      <c r="T5417" s="95" t="str">
        <f t="shared" si="406"/>
        <v>2026 02</v>
      </c>
      <c r="U5417" s="32">
        <f t="shared" si="403"/>
        <v>1325.9358147287612</v>
      </c>
      <c r="V5417" s="22">
        <f t="shared" si="404"/>
        <v>0.79204598389632686</v>
      </c>
      <c r="X5417" s="33"/>
      <c r="Y5417" s="33"/>
    </row>
    <row r="5418" spans="1:25" x14ac:dyDescent="0.2">
      <c r="A5418" s="93" t="s">
        <v>5182</v>
      </c>
      <c r="B5418" s="94">
        <f>IFERROR(VLOOKUP($A5418,HeadJournal!$A$1:$NTR$890,COLUMN(HeadJournal!B$1),0),"")</f>
        <v>0</v>
      </c>
      <c r="C5418" s="94" t="str">
        <f>IFERROR(VLOOKUP($A5418,HeadJournal!$A$1:$NTR$890,COLUMN(HeadJournal!C$1),0),"")</f>
        <v>iHerb_MH DLE7202</v>
      </c>
      <c r="D5418" s="125" t="str">
        <f>IFERROR(VLOOKUP($A5418,HeadJournal!$A$1:$NTR$890,COLUMN(HeadJournal!D$1),0),"")</f>
        <v>Доставлен</v>
      </c>
      <c r="E5418" s="95">
        <f>IFERROR(VLOOKUP($A5418,HeadJournal!$A$1:$NTR$890,COLUMN(HeadJournal!G$1),0),"")</f>
        <v>46019</v>
      </c>
      <c r="F5418" s="95" t="str">
        <f t="shared" si="405"/>
        <v>2025 12</v>
      </c>
      <c r="G5418" s="97" t="s">
        <v>5</v>
      </c>
      <c r="H5418" s="161" t="s">
        <v>2468</v>
      </c>
      <c r="I5418" s="97" t="s">
        <v>2005</v>
      </c>
      <c r="J5418" s="97" t="s">
        <v>4109</v>
      </c>
      <c r="K5418" s="29">
        <v>24.42</v>
      </c>
      <c r="L5418" s="29">
        <v>-4.88</v>
      </c>
      <c r="M5418" s="30">
        <f>IFERROR(VLOOKUP($A5418,HeadJournal!$A$1:$J$890,COLUMN(HeadJournal!I$1),0)*($K5418+$L5418)/(SUMIF($A:$A,$A5418,$K:$K)+SUMIF($A:$A,$A5418,$L:$L)),0)</f>
        <v>-0.82510556621880982</v>
      </c>
      <c r="N5418" s="30">
        <f>IFERROR((VLOOKUP($A5418,HeadJournal!$A$1:$K$890,COLUMN(HeadJournal!K$1),0)-VLOOKUP($A5418,HeadJournal!$A$1:$K$890,COLUMN(HeadJournal!J$1),0))*($K5418+$L5418)/(SUMIF($A:$A,$A5418,$K:$K)+SUMIF($A:$A,$A5418,$L:$L)),0)</f>
        <v>-5.610265706334925E-15</v>
      </c>
      <c r="O5418" s="30">
        <f>IFERROR((VLOOKUP($A5418,HeadJournal!$A$1:$L$890,COLUMN(HeadJournal!L$1),0)*($K5418+$L5418)/(SUMIF($A:$A,$A5418,$K:$K)+SUMIF($A:$A,$A5418,$L:$L)))/VLOOKUP($A5418,HeadJournal!$A$1:$L$890,COLUMN(HeadJournal!H$1),0),0)</f>
        <v>0.47580221331362765</v>
      </c>
      <c r="P5418" s="30">
        <f>IFERROR(SUM(K5418:O5418)*VLOOKUP($A5418,HeadJournal!$A$1:$L$890,COLUMN(HeadJournal!H$1),0),0)</f>
        <v>1711.7328194767144</v>
      </c>
      <c r="Q5418" s="29">
        <v>2800</v>
      </c>
      <c r="R5418" s="31">
        <v>46044</v>
      </c>
      <c r="S5418" s="31" t="s">
        <v>4533</v>
      </c>
      <c r="T5418" s="95" t="str">
        <f t="shared" si="406"/>
        <v>2026 01</v>
      </c>
      <c r="U5418" s="32">
        <f t="shared" si="403"/>
        <v>1088.2671805232856</v>
      </c>
      <c r="V5418" s="22">
        <f t="shared" si="404"/>
        <v>0.63576930239380147</v>
      </c>
      <c r="X5418" s="33"/>
      <c r="Y5418" s="33"/>
    </row>
    <row r="5419" spans="1:25" x14ac:dyDescent="0.2">
      <c r="A5419" s="93" t="s">
        <v>5182</v>
      </c>
      <c r="B5419" s="94">
        <f>IFERROR(VLOOKUP($A5419,HeadJournal!$A$1:$NTR$890,COLUMN(HeadJournal!B$1),0),"")</f>
        <v>0</v>
      </c>
      <c r="C5419" s="94" t="str">
        <f>IFERROR(VLOOKUP($A5419,HeadJournal!$A$1:$NTR$890,COLUMN(HeadJournal!C$1),0),"")</f>
        <v>iHerb_MH DLE7202</v>
      </c>
      <c r="D5419" s="125" t="str">
        <f>IFERROR(VLOOKUP($A5419,HeadJournal!$A$1:$NTR$890,COLUMN(HeadJournal!D$1),0),"")</f>
        <v>Доставлен</v>
      </c>
      <c r="E5419" s="95">
        <f>IFERROR(VLOOKUP($A5419,HeadJournal!$A$1:$NTR$890,COLUMN(HeadJournal!G$1),0),"")</f>
        <v>46019</v>
      </c>
      <c r="F5419" s="95" t="str">
        <f t="shared" si="405"/>
        <v>2025 12</v>
      </c>
      <c r="G5419" s="97" t="s">
        <v>5</v>
      </c>
      <c r="H5419" s="161" t="s">
        <v>5179</v>
      </c>
      <c r="I5419" s="97" t="s">
        <v>5180</v>
      </c>
      <c r="J5419" s="97" t="s">
        <v>5181</v>
      </c>
      <c r="K5419" s="29">
        <v>44.55</v>
      </c>
      <c r="L5419" s="29">
        <v>-8.91</v>
      </c>
      <c r="M5419" s="30">
        <f>IFERROR(VLOOKUP($A5419,HeadJournal!$A$1:$J$890,COLUMN(HeadJournal!I$1),0)*($K5419+$L5419)/(SUMIF($A:$A,$A5419,$K:$K)+SUMIF($A:$A,$A5419,$L:$L)),0)</f>
        <v>-1.5049520153550859</v>
      </c>
      <c r="N5419" s="30">
        <f>IFERROR((VLOOKUP($A5419,HeadJournal!$A$1:$K$890,COLUMN(HeadJournal!K$1),0)-VLOOKUP($A5419,HeadJournal!$A$1:$K$890,COLUMN(HeadJournal!J$1),0))*($K5419+$L5419)/(SUMIF($A:$A,$A5419,$K:$K)+SUMIF($A:$A,$A5419,$L:$L)),0)</f>
        <v>-1.0232849016058173E-14</v>
      </c>
      <c r="O5419" s="30">
        <f>IFERROR((VLOOKUP($A5419,HeadJournal!$A$1:$L$890,COLUMN(HeadJournal!L$1),0)*($K5419+$L5419)/(SUMIF($A:$A,$A5419,$K:$K)+SUMIF($A:$A,$A5419,$L:$L)))/VLOOKUP($A5419,HeadJournal!$A$1:$L$890,COLUMN(HeadJournal!H$1),0),0)</f>
        <v>0.86783986092618681</v>
      </c>
      <c r="P5419" s="30">
        <f>IFERROR(SUM(K5419:O5419)*VLOOKUP($A5419,HeadJournal!$A$1:$L$890,COLUMN(HeadJournal!H$1),0),0)</f>
        <v>3122.1165653096264</v>
      </c>
      <c r="Q5419" s="29">
        <v>4600</v>
      </c>
      <c r="R5419" s="31">
        <v>46060</v>
      </c>
      <c r="S5419" s="31" t="s">
        <v>3344</v>
      </c>
      <c r="T5419" s="95" t="str">
        <f t="shared" si="406"/>
        <v>2026 02</v>
      </c>
      <c r="U5419" s="32">
        <f t="shared" si="403"/>
        <v>1477.8834346903736</v>
      </c>
      <c r="V5419" s="22">
        <f t="shared" si="404"/>
        <v>0.47335946745595292</v>
      </c>
      <c r="X5419" s="33"/>
      <c r="Y5419" s="33"/>
    </row>
    <row r="5420" spans="1:25" x14ac:dyDescent="0.2">
      <c r="A5420" s="93" t="s">
        <v>5182</v>
      </c>
      <c r="B5420" s="94">
        <f>IFERROR(VLOOKUP($A5420,HeadJournal!$A$1:$NTR$890,COLUMN(HeadJournal!B$1),0),"")</f>
        <v>0</v>
      </c>
      <c r="C5420" s="94" t="str">
        <f>IFERROR(VLOOKUP($A5420,HeadJournal!$A$1:$NTR$890,COLUMN(HeadJournal!C$1),0),"")</f>
        <v>iHerb_MH DLE7202</v>
      </c>
      <c r="D5420" s="125" t="str">
        <f>IFERROR(VLOOKUP($A5420,HeadJournal!$A$1:$NTR$890,COLUMN(HeadJournal!D$1),0),"")</f>
        <v>Доставлен</v>
      </c>
      <c r="E5420" s="95">
        <f>IFERROR(VLOOKUP($A5420,HeadJournal!$A$1:$NTR$890,COLUMN(HeadJournal!G$1),0),"")</f>
        <v>46019</v>
      </c>
      <c r="F5420" s="95" t="str">
        <f t="shared" si="405"/>
        <v>2025 12</v>
      </c>
      <c r="G5420" s="97" t="s">
        <v>5</v>
      </c>
      <c r="H5420" s="161" t="s">
        <v>2663</v>
      </c>
      <c r="I5420" s="97" t="s">
        <v>2005</v>
      </c>
      <c r="J5420" s="97" t="s">
        <v>2664</v>
      </c>
      <c r="K5420" s="29">
        <v>33.340000000000003</v>
      </c>
      <c r="L5420" s="29">
        <v>-6.67</v>
      </c>
      <c r="M5420" s="30">
        <f>IFERROR(VLOOKUP($A5420,HeadJournal!$A$1:$J$890,COLUMN(HeadJournal!I$1),0)*($K5420+$L5420)/(SUMIF($A:$A,$A5420,$K:$K)+SUMIF($A:$A,$A5420,$L:$L)),0)</f>
        <v>-1.126180422264875</v>
      </c>
      <c r="N5420" s="30">
        <f>IFERROR((VLOOKUP($A5420,HeadJournal!$A$1:$K$890,COLUMN(HeadJournal!K$1),0)-VLOOKUP($A5420,HeadJournal!$A$1:$K$890,COLUMN(HeadJournal!J$1),0))*($K5420+$L5420)/(SUMIF($A:$A,$A5420,$K:$K)+SUMIF($A:$A,$A5420,$L:$L)),0)</f>
        <v>-7.6574097434980774E-15</v>
      </c>
      <c r="O5420" s="30">
        <f>IFERROR((VLOOKUP($A5420,HeadJournal!$A$1:$L$890,COLUMN(HeadJournal!L$1),0)*($K5420+$L5420)/(SUMIF($A:$A,$A5420,$K:$K)+SUMIF($A:$A,$A5420,$L:$L)))/VLOOKUP($A5420,HeadJournal!$A$1:$L$890,COLUMN(HeadJournal!H$1),0),0)</f>
        <v>0.64941888582776097</v>
      </c>
      <c r="P5420" s="30">
        <f>IFERROR(SUM(K5420:O5420)*VLOOKUP($A5420,HeadJournal!$A$1:$L$890,COLUMN(HeadJournal!H$1),0),0)</f>
        <v>2336.3313354884326</v>
      </c>
      <c r="Q5420" s="29">
        <v>3500</v>
      </c>
      <c r="R5420" s="31">
        <v>46060</v>
      </c>
      <c r="S5420" s="31" t="s">
        <v>3344</v>
      </c>
      <c r="T5420" s="95" t="str">
        <f t="shared" si="406"/>
        <v>2026 02</v>
      </c>
      <c r="U5420" s="32">
        <f t="shared" si="403"/>
        <v>1163.6686645115674</v>
      </c>
      <c r="V5420" s="22">
        <f t="shared" si="404"/>
        <v>0.49807518601307088</v>
      </c>
      <c r="X5420" s="33"/>
      <c r="Y5420" s="33"/>
    </row>
    <row r="5421" spans="1:25" x14ac:dyDescent="0.2">
      <c r="A5421" s="93" t="s">
        <v>5182</v>
      </c>
      <c r="B5421" s="94">
        <f>IFERROR(VLOOKUP($A5421,HeadJournal!$A$1:$NTR$890,COLUMN(HeadJournal!B$1),0),"")</f>
        <v>0</v>
      </c>
      <c r="C5421" s="94" t="str">
        <f>IFERROR(VLOOKUP($A5421,HeadJournal!$A$1:$NTR$890,COLUMN(HeadJournal!C$1),0),"")</f>
        <v>iHerb_MH DLE7202</v>
      </c>
      <c r="D5421" s="125" t="str">
        <f>IFERROR(VLOOKUP($A5421,HeadJournal!$A$1:$NTR$890,COLUMN(HeadJournal!D$1),0),"")</f>
        <v>Доставлен</v>
      </c>
      <c r="E5421" s="95">
        <f>IFERROR(VLOOKUP($A5421,HeadJournal!$A$1:$NTR$890,COLUMN(HeadJournal!G$1),0),"")</f>
        <v>46019</v>
      </c>
      <c r="F5421" s="95" t="str">
        <f t="shared" si="405"/>
        <v>2025 12</v>
      </c>
      <c r="G5421" s="97" t="s">
        <v>5</v>
      </c>
      <c r="H5421" s="161" t="s">
        <v>4127</v>
      </c>
      <c r="I5421" s="97" t="s">
        <v>2005</v>
      </c>
      <c r="J5421" s="97" t="s">
        <v>4099</v>
      </c>
      <c r="K5421" s="29">
        <v>5.78</v>
      </c>
      <c r="L5421" s="29">
        <v>-1.1599999999999999</v>
      </c>
      <c r="M5421" s="30">
        <f>IFERROR(VLOOKUP($A5421,HeadJournal!$A$1:$J$890,COLUMN(HeadJournal!I$1),0)*($K5421+$L5421)/(SUMIF($A:$A,$A5421,$K:$K)+SUMIF($A:$A,$A5421,$L:$L)),0)</f>
        <v>-0.19508637236084447</v>
      </c>
      <c r="N5421" s="30">
        <f>IFERROR((VLOOKUP($A5421,HeadJournal!$A$1:$K$890,COLUMN(HeadJournal!K$1),0)-VLOOKUP($A5421,HeadJournal!$A$1:$K$890,COLUMN(HeadJournal!J$1),0))*($K5421+$L5421)/(SUMIF($A:$A,$A5421,$K:$K)+SUMIF($A:$A,$A5421,$L:$L)),0)</f>
        <v>-1.326480428007541E-15</v>
      </c>
      <c r="O5421" s="30">
        <f>IFERROR((VLOOKUP($A5421,HeadJournal!$A$1:$L$890,COLUMN(HeadJournal!L$1),0)*($K5421+$L5421)/(SUMIF($A:$A,$A5421,$K:$K)+SUMIF($A:$A,$A5421,$L:$L)))/VLOOKUP($A5421,HeadJournal!$A$1:$L$890,COLUMN(HeadJournal!H$1),0),0)</f>
        <v>0.11249775974969087</v>
      </c>
      <c r="P5421" s="30">
        <f>IFERROR(SUM(K5421:O5421)*VLOOKUP($A5421,HeadJournal!$A$1:$L$890,COLUMN(HeadJournal!H$1),0),0)</f>
        <v>404.7188140216183</v>
      </c>
      <c r="Q5421" s="29">
        <v>1100</v>
      </c>
      <c r="R5421" s="31">
        <v>46079</v>
      </c>
      <c r="S5421" s="31"/>
      <c r="T5421" s="95" t="str">
        <f t="shared" si="406"/>
        <v>2026 02</v>
      </c>
      <c r="U5421" s="32">
        <f t="shared" si="403"/>
        <v>695.2811859783817</v>
      </c>
      <c r="V5421" s="22">
        <f t="shared" si="404"/>
        <v>1.7179364089094282</v>
      </c>
      <c r="X5421" s="33"/>
      <c r="Y5421" s="33"/>
    </row>
    <row r="5422" spans="1:25" x14ac:dyDescent="0.2">
      <c r="A5422" s="93" t="s">
        <v>5182</v>
      </c>
      <c r="B5422" s="94">
        <f>IFERROR(VLOOKUP($A5422,HeadJournal!$A$1:$NTR$890,COLUMN(HeadJournal!B$1),0),"")</f>
        <v>0</v>
      </c>
      <c r="C5422" s="94" t="str">
        <f>IFERROR(VLOOKUP($A5422,HeadJournal!$A$1:$NTR$890,COLUMN(HeadJournal!C$1),0),"")</f>
        <v>iHerb_MH DLE7202</v>
      </c>
      <c r="D5422" s="125" t="str">
        <f>IFERROR(VLOOKUP($A5422,HeadJournal!$A$1:$NTR$890,COLUMN(HeadJournal!D$1),0),"")</f>
        <v>Доставлен</v>
      </c>
      <c r="E5422" s="95">
        <f>IFERROR(VLOOKUP($A5422,HeadJournal!$A$1:$NTR$890,COLUMN(HeadJournal!G$1),0),"")</f>
        <v>46019</v>
      </c>
      <c r="F5422" s="95" t="str">
        <f t="shared" si="405"/>
        <v>2025 12</v>
      </c>
      <c r="G5422" s="97" t="s">
        <v>5</v>
      </c>
      <c r="H5422" s="161" t="s">
        <v>2495</v>
      </c>
      <c r="I5422" s="97" t="s">
        <v>2102</v>
      </c>
      <c r="J5422" s="97" t="s">
        <v>2496</v>
      </c>
      <c r="K5422" s="29">
        <v>6.73</v>
      </c>
      <c r="L5422" s="29">
        <v>-1.35</v>
      </c>
      <c r="M5422" s="30">
        <f>IFERROR(VLOOKUP($A5422,HeadJournal!$A$1:$J$890,COLUMN(HeadJournal!I$1),0)*($K5422+$L5422)/(SUMIF($A:$A,$A5422,$K:$K)+SUMIF($A:$A,$A5422,$L:$L)),0)</f>
        <v>-0.22717850287907868</v>
      </c>
      <c r="N5422" s="30">
        <f>IFERROR((VLOOKUP($A5422,HeadJournal!$A$1:$K$890,COLUMN(HeadJournal!K$1),0)-VLOOKUP($A5422,HeadJournal!$A$1:$K$890,COLUMN(HeadJournal!J$1),0))*($K5422+$L5422)/(SUMIF($A:$A,$A5422,$K:$K)+SUMIF($A:$A,$A5422,$L:$L)),0)</f>
        <v>-1.5446893295845393E-15</v>
      </c>
      <c r="O5422" s="30">
        <f>IFERROR((VLOOKUP($A5422,HeadJournal!$A$1:$L$890,COLUMN(HeadJournal!L$1),0)*($K5422+$L5422)/(SUMIF($A:$A,$A5422,$K:$K)+SUMIF($A:$A,$A5422,$L:$L)))/VLOOKUP($A5422,HeadJournal!$A$1:$L$890,COLUMN(HeadJournal!H$1),0),0)</f>
        <v>0.13100388473015953</v>
      </c>
      <c r="P5422" s="30">
        <f>IFERROR(SUM(K5422:O5422)*VLOOKUP($A5422,HeadJournal!$A$1:$L$890,COLUMN(HeadJournal!H$1),0),0)</f>
        <v>471.2959349429234</v>
      </c>
      <c r="Q5422" s="29">
        <v>1300</v>
      </c>
      <c r="R5422" s="31">
        <v>46113</v>
      </c>
      <c r="S5422" s="31" t="s">
        <v>3457</v>
      </c>
      <c r="T5422" s="95" t="str">
        <f t="shared" si="406"/>
        <v>2026 04</v>
      </c>
      <c r="U5422" s="32">
        <f t="shared" si="403"/>
        <v>828.7040650570766</v>
      </c>
      <c r="V5422" s="22">
        <f t="shared" si="404"/>
        <v>1.7583518201943273</v>
      </c>
      <c r="X5422" s="33"/>
      <c r="Y5422" s="33"/>
    </row>
    <row r="5423" spans="1:25" x14ac:dyDescent="0.2">
      <c r="A5423" s="93" t="s">
        <v>5189</v>
      </c>
      <c r="B5423" s="94">
        <f>IFERROR(VLOOKUP($A5423,HeadJournal!$A$1:$NTR$890,COLUMN(HeadJournal!B$1),0),"")</f>
        <v>0</v>
      </c>
      <c r="C5423" s="94" t="str">
        <f>IFERROR(VLOOKUP($A5423,HeadJournal!$A$1:$NTR$890,COLUMN(HeadJournal!C$1),0),"")</f>
        <v>iHerb_AV CYG0792</v>
      </c>
      <c r="D5423" s="125" t="str">
        <f>IFERROR(VLOOKUP($A5423,HeadJournal!$A$1:$NTR$890,COLUMN(HeadJournal!D$1),0),"")</f>
        <v>Доставлен</v>
      </c>
      <c r="E5423" s="95">
        <f>IFERROR(VLOOKUP($A5423,HeadJournal!$A$1:$NTR$890,COLUMN(HeadJournal!G$1),0),"")</f>
        <v>46016</v>
      </c>
      <c r="F5423" s="95" t="str">
        <f t="shared" si="405"/>
        <v>2025 12</v>
      </c>
      <c r="G5423" s="97" t="s">
        <v>5</v>
      </c>
      <c r="H5423" s="161" t="s">
        <v>3628</v>
      </c>
      <c r="I5423" s="97" t="s">
        <v>3670</v>
      </c>
      <c r="J5423" s="97" t="s">
        <v>5183</v>
      </c>
      <c r="K5423" s="29">
        <v>22.19</v>
      </c>
      <c r="L5423" s="29">
        <v>-4.4400000000000004</v>
      </c>
      <c r="M5423" s="30">
        <f>IFERROR(VLOOKUP($A5423,HeadJournal!$A$1:$J$890,COLUMN(HeadJournal!I$1),0)*($K5423+$L5423)/(SUMIF($A:$A,$A5423,$K:$K)+SUMIF($A:$A,$A5423,$L:$L)),0)</f>
        <v>-0.82407307898979054</v>
      </c>
      <c r="N5423" s="30">
        <f>IFERROR((VLOOKUP($A5423,HeadJournal!$A$1:$K$890,COLUMN(HeadJournal!K$1),0)-VLOOKUP($A5423,HeadJournal!$A$1:$K$890,COLUMN(HeadJournal!J$1),0))*($K5423+$L5423)/(SUMIF($A:$A,$A5423,$K:$K)+SUMIF($A:$A,$A5423,$L:$L)),0)</f>
        <v>2.7108293519058095E-15</v>
      </c>
      <c r="O5423" s="30">
        <f>IFERROR((VLOOKUP($A5423,HeadJournal!$A$1:$L$890,COLUMN(HeadJournal!L$1),0)*($K5423+$L5423)/(SUMIF($A:$A,$A5423,$K:$K)+SUMIF($A:$A,$A5423,$L:$L)))/VLOOKUP($A5423,HeadJournal!$A$1:$L$890,COLUMN(HeadJournal!H$1),0),0)</f>
        <v>0.45960587460267704</v>
      </c>
      <c r="P5423" s="30">
        <f>IFERROR(SUM(K5423:O5423)*VLOOKUP($A5423,HeadJournal!$A$1:$L$890,COLUMN(HeadJournal!H$1),0),0)</f>
        <v>1551.3967356260075</v>
      </c>
      <c r="Q5423" s="29">
        <v>2600</v>
      </c>
      <c r="R5423" s="31">
        <v>46044</v>
      </c>
      <c r="S5423" s="31"/>
      <c r="T5423" s="95" t="str">
        <f t="shared" si="406"/>
        <v>2026 01</v>
      </c>
      <c r="U5423" s="32">
        <f t="shared" si="403"/>
        <v>1048.6032643739925</v>
      </c>
      <c r="V5423" s="22">
        <f t="shared" si="404"/>
        <v>0.67590915998084034</v>
      </c>
      <c r="X5423" s="33"/>
      <c r="Y5423" s="33"/>
    </row>
    <row r="5424" spans="1:25" x14ac:dyDescent="0.2">
      <c r="A5424" s="93" t="s">
        <v>5189</v>
      </c>
      <c r="B5424" s="94">
        <f>IFERROR(VLOOKUP($A5424,HeadJournal!$A$1:$NTR$890,COLUMN(HeadJournal!B$1),0),"")</f>
        <v>0</v>
      </c>
      <c r="C5424" s="94" t="str">
        <f>IFERROR(VLOOKUP($A5424,HeadJournal!$A$1:$NTR$890,COLUMN(HeadJournal!C$1),0),"")</f>
        <v>iHerb_AV CYG0792</v>
      </c>
      <c r="D5424" s="125" t="str">
        <f>IFERROR(VLOOKUP($A5424,HeadJournal!$A$1:$NTR$890,COLUMN(HeadJournal!D$1),0),"")</f>
        <v>Доставлен</v>
      </c>
      <c r="E5424" s="95">
        <f>IFERROR(VLOOKUP($A5424,HeadJournal!$A$1:$NTR$890,COLUMN(HeadJournal!G$1),0),"")</f>
        <v>46016</v>
      </c>
      <c r="F5424" s="95" t="str">
        <f t="shared" si="405"/>
        <v>2025 12</v>
      </c>
      <c r="G5424" s="97" t="s">
        <v>5</v>
      </c>
      <c r="H5424" s="161" t="s">
        <v>3024</v>
      </c>
      <c r="I5424" s="97" t="s">
        <v>2166</v>
      </c>
      <c r="J5424" s="97" t="s">
        <v>5184</v>
      </c>
      <c r="K5424" s="29">
        <v>32.72</v>
      </c>
      <c r="L5424" s="29">
        <v>-6.54</v>
      </c>
      <c r="M5424" s="30">
        <f>IFERROR(VLOOKUP($A5424,HeadJournal!$A$1:$J$890,COLUMN(HeadJournal!I$1),0)*($K5424+$L5424)/(SUMIF($A:$A,$A5424,$K:$K)+SUMIF($A:$A,$A5424,$L:$L)),0)</f>
        <v>-1.2154497581945192</v>
      </c>
      <c r="N5424" s="30">
        <f>IFERROR((VLOOKUP($A5424,HeadJournal!$A$1:$K$890,COLUMN(HeadJournal!K$1),0)-VLOOKUP($A5424,HeadJournal!$A$1:$K$890,COLUMN(HeadJournal!J$1),0))*($K5424+$L5424)/(SUMIF($A:$A,$A5424,$K:$K)+SUMIF($A:$A,$A5424,$L:$L)),0)</f>
        <v>3.9982823905855828E-15</v>
      </c>
      <c r="O5424" s="30">
        <f>IFERROR((VLOOKUP($A5424,HeadJournal!$A$1:$L$890,COLUMN(HeadJournal!L$1),0)*($K5424+$L5424)/(SUMIF($A:$A,$A5424,$K:$K)+SUMIF($A:$A,$A5424,$L:$L)))/VLOOKUP($A5424,HeadJournal!$A$1:$L$890,COLUMN(HeadJournal!H$1),0),0)</f>
        <v>0.67788629842806125</v>
      </c>
      <c r="P5424" s="30">
        <f>IFERROR(SUM(K5424:O5424)*VLOOKUP($A5424,HeadJournal!$A$1:$L$890,COLUMN(HeadJournal!H$1),0),0)</f>
        <v>2288.2009317571196</v>
      </c>
      <c r="Q5424" s="29"/>
      <c r="R5424" s="31"/>
      <c r="S5424" s="31"/>
      <c r="T5424" s="95" t="str">
        <f t="shared" si="406"/>
        <v/>
      </c>
      <c r="U5424" s="32">
        <f t="shared" si="403"/>
        <v>-2288.2009317571196</v>
      </c>
      <c r="V5424" s="22" t="str">
        <f t="shared" si="404"/>
        <v/>
      </c>
      <c r="X5424" s="33"/>
      <c r="Y5424" s="33"/>
    </row>
    <row r="5425" spans="1:25" x14ac:dyDescent="0.2">
      <c r="A5425" s="93" t="s">
        <v>5189</v>
      </c>
      <c r="B5425" s="94">
        <f>IFERROR(VLOOKUP($A5425,HeadJournal!$A$1:$NTR$890,COLUMN(HeadJournal!B$1),0),"")</f>
        <v>0</v>
      </c>
      <c r="C5425" s="94" t="str">
        <f>IFERROR(VLOOKUP($A5425,HeadJournal!$A$1:$NTR$890,COLUMN(HeadJournal!C$1),0),"")</f>
        <v>iHerb_AV CYG0792</v>
      </c>
      <c r="D5425" s="125" t="str">
        <f>IFERROR(VLOOKUP($A5425,HeadJournal!$A$1:$NTR$890,COLUMN(HeadJournal!D$1),0),"")</f>
        <v>Доставлен</v>
      </c>
      <c r="E5425" s="95">
        <f>IFERROR(VLOOKUP($A5425,HeadJournal!$A$1:$NTR$890,COLUMN(HeadJournal!G$1),0),"")</f>
        <v>46016</v>
      </c>
      <c r="F5425" s="95" t="str">
        <f t="shared" si="405"/>
        <v>2025 12</v>
      </c>
      <c r="G5425" s="97" t="s">
        <v>5</v>
      </c>
      <c r="H5425" s="161" t="s">
        <v>2101</v>
      </c>
      <c r="I5425" s="97" t="s">
        <v>2102</v>
      </c>
      <c r="J5425" s="97" t="s">
        <v>4015</v>
      </c>
      <c r="K5425" s="29">
        <v>47.68</v>
      </c>
      <c r="L5425" s="29">
        <v>-9.5399999999999991</v>
      </c>
      <c r="M5425" s="30">
        <f>IFERROR(VLOOKUP($A5425,HeadJournal!$A$1:$J$890,COLUMN(HeadJournal!I$1),0)*($K5425+$L5425)/(SUMIF($A:$A,$A5425,$K:$K)+SUMIF($A:$A,$A5425,$L:$L)),0)</f>
        <v>-1.770712520150457</v>
      </c>
      <c r="N5425" s="30">
        <f>IFERROR((VLOOKUP($A5425,HeadJournal!$A$1:$K$890,COLUMN(HeadJournal!K$1),0)-VLOOKUP($A5425,HeadJournal!$A$1:$K$890,COLUMN(HeadJournal!J$1),0))*($K5425+$L5425)/(SUMIF($A:$A,$A5425,$K:$K)+SUMIF($A:$A,$A5425,$L:$L)),0)</f>
        <v>5.8248468440387365E-15</v>
      </c>
      <c r="O5425" s="30">
        <f>IFERROR((VLOOKUP($A5425,HeadJournal!$A$1:$L$890,COLUMN(HeadJournal!L$1),0)*($K5425+$L5425)/(SUMIF($A:$A,$A5425,$K:$K)+SUMIF($A:$A,$A5425,$L:$L)))/VLOOKUP($A5425,HeadJournal!$A$1:$L$890,COLUMN(HeadJournal!H$1),0),0)</f>
        <v>0.9875700313997805</v>
      </c>
      <c r="P5425" s="30">
        <f>IFERROR(SUM(K5425:O5425)*VLOOKUP($A5425,HeadJournal!$A$1:$L$890,COLUMN(HeadJournal!H$1),0),0)</f>
        <v>3333.5364223535744</v>
      </c>
      <c r="Q5425" s="29">
        <v>5000</v>
      </c>
      <c r="R5425" s="31">
        <v>46044</v>
      </c>
      <c r="S5425" s="31"/>
      <c r="T5425" s="95" t="str">
        <f t="shared" si="406"/>
        <v>2026 01</v>
      </c>
      <c r="U5425" s="32">
        <f t="shared" si="403"/>
        <v>1666.4635776464256</v>
      </c>
      <c r="V5425" s="22">
        <f t="shared" si="404"/>
        <v>0.49990861550864757</v>
      </c>
      <c r="X5425" s="33"/>
      <c r="Y5425" s="33"/>
    </row>
    <row r="5426" spans="1:25" x14ac:dyDescent="0.2">
      <c r="A5426" s="93" t="s">
        <v>5189</v>
      </c>
      <c r="B5426" s="94">
        <f>IFERROR(VLOOKUP($A5426,HeadJournal!$A$1:$NTR$890,COLUMN(HeadJournal!B$1),0),"")</f>
        <v>0</v>
      </c>
      <c r="C5426" s="94" t="str">
        <f>IFERROR(VLOOKUP($A5426,HeadJournal!$A$1:$NTR$890,COLUMN(HeadJournal!C$1),0),"")</f>
        <v>iHerb_AV CYG0792</v>
      </c>
      <c r="D5426" s="125" t="str">
        <f>IFERROR(VLOOKUP($A5426,HeadJournal!$A$1:$NTR$890,COLUMN(HeadJournal!D$1),0),"")</f>
        <v>Доставлен</v>
      </c>
      <c r="E5426" s="95">
        <f>IFERROR(VLOOKUP($A5426,HeadJournal!$A$1:$NTR$890,COLUMN(HeadJournal!G$1),0),"")</f>
        <v>46016</v>
      </c>
      <c r="F5426" s="95" t="str">
        <f t="shared" si="405"/>
        <v>2025 12</v>
      </c>
      <c r="G5426" s="97" t="s">
        <v>5</v>
      </c>
      <c r="H5426" s="161" t="s">
        <v>2055</v>
      </c>
      <c r="I5426" s="97" t="s">
        <v>2056</v>
      </c>
      <c r="J5426" s="97" t="s">
        <v>5185</v>
      </c>
      <c r="K5426" s="29">
        <v>55.99</v>
      </c>
      <c r="L5426" s="29">
        <v>-11.2</v>
      </c>
      <c r="M5426" s="30">
        <f>IFERROR(VLOOKUP($A5426,HeadJournal!$A$1:$J$890,COLUMN(HeadJournal!I$1),0)*($K5426+$L5426)/(SUMIF($A:$A,$A5426,$K:$K)+SUMIF($A:$A,$A5426,$L:$L)),0)</f>
        <v>-2.0794497581945195</v>
      </c>
      <c r="N5426" s="30">
        <f>IFERROR((VLOOKUP($A5426,HeadJournal!$A$1:$K$890,COLUMN(HeadJournal!K$1),0)-VLOOKUP($A5426,HeadJournal!$A$1:$K$890,COLUMN(HeadJournal!J$1),0))*($K5426+$L5426)/(SUMIF($A:$A,$A5426,$K:$K)+SUMIF($A:$A,$A5426,$L:$L)),0)</f>
        <v>6.8404533336259845E-15</v>
      </c>
      <c r="O5426" s="30">
        <f>IFERROR((VLOOKUP($A5426,HeadJournal!$A$1:$L$890,COLUMN(HeadJournal!L$1),0)*($K5426+$L5426)/(SUMIF($A:$A,$A5426,$K:$K)+SUMIF($A:$A,$A5426,$L:$L)))/VLOOKUP($A5426,HeadJournal!$A$1:$L$890,COLUMN(HeadJournal!H$1),0),0)</f>
        <v>1.1597604013213472</v>
      </c>
      <c r="P5426" s="30">
        <f>IFERROR(SUM(K5426:O5426)*VLOOKUP($A5426,HeadJournal!$A$1:$L$890,COLUMN(HeadJournal!H$1),0),0)</f>
        <v>3914.7639317571206</v>
      </c>
      <c r="Q5426" s="29">
        <v>5500</v>
      </c>
      <c r="R5426" s="31">
        <v>46102</v>
      </c>
      <c r="S5426" s="31" t="s">
        <v>3475</v>
      </c>
      <c r="T5426" s="95" t="str">
        <f t="shared" si="406"/>
        <v>2026 03</v>
      </c>
      <c r="U5426" s="32">
        <f t="shared" si="403"/>
        <v>1585.2360682428794</v>
      </c>
      <c r="V5426" s="22">
        <f t="shared" si="404"/>
        <v>0.40493784449765141</v>
      </c>
      <c r="X5426" s="33"/>
      <c r="Y5426" s="33"/>
    </row>
    <row r="5427" spans="1:25" x14ac:dyDescent="0.2">
      <c r="A5427" s="93" t="s">
        <v>5189</v>
      </c>
      <c r="B5427" s="94">
        <f>IFERROR(VLOOKUP($A5427,HeadJournal!$A$1:$NTR$890,COLUMN(HeadJournal!B$1),0),"")</f>
        <v>0</v>
      </c>
      <c r="C5427" s="94" t="str">
        <f>IFERROR(VLOOKUP($A5427,HeadJournal!$A$1:$NTR$890,COLUMN(HeadJournal!C$1),0),"")</f>
        <v>iHerb_AV CYG0792</v>
      </c>
      <c r="D5427" s="125" t="str">
        <f>IFERROR(VLOOKUP($A5427,HeadJournal!$A$1:$NTR$890,COLUMN(HeadJournal!D$1),0),"")</f>
        <v>Доставлен</v>
      </c>
      <c r="E5427" s="95">
        <f>IFERROR(VLOOKUP($A5427,HeadJournal!$A$1:$NTR$890,COLUMN(HeadJournal!G$1),0),"")</f>
        <v>46016</v>
      </c>
      <c r="F5427" s="95" t="str">
        <f t="shared" si="405"/>
        <v>2025 12</v>
      </c>
      <c r="G5427" s="97" t="s">
        <v>5</v>
      </c>
      <c r="H5427" s="161" t="s">
        <v>5186</v>
      </c>
      <c r="I5427" s="97" t="s">
        <v>2750</v>
      </c>
      <c r="J5427" s="97" t="s">
        <v>5187</v>
      </c>
      <c r="K5427" s="29">
        <v>23.83</v>
      </c>
      <c r="L5427" s="29">
        <v>0</v>
      </c>
      <c r="M5427" s="30">
        <f>IFERROR(VLOOKUP($A5427,HeadJournal!$A$1:$J$890,COLUMN(HeadJournal!I$1),0)*($K5427+$L5427)/(SUMIF($A:$A,$A5427,$K:$K)+SUMIF($A:$A,$A5427,$L:$L)),0)</f>
        <v>-1.1063471252015047</v>
      </c>
      <c r="N5427" s="30">
        <f>IFERROR((VLOOKUP($A5427,HeadJournal!$A$1:$K$890,COLUMN(HeadJournal!K$1),0)-VLOOKUP($A5427,HeadJournal!$A$1:$K$890,COLUMN(HeadJournal!J$1),0))*($K5427+$L5427)/(SUMIF($A:$A,$A5427,$K:$K)+SUMIF($A:$A,$A5427,$L:$L)),0)</f>
        <v>3.6393838566712922E-15</v>
      </c>
      <c r="O5427" s="30">
        <f>IFERROR((VLOOKUP($A5427,HeadJournal!$A$1:$L$890,COLUMN(HeadJournal!L$1),0)*($K5427+$L5427)/(SUMIF($A:$A,$A5427,$K:$K)+SUMIF($A:$A,$A5427,$L:$L)))/VLOOKUP($A5427,HeadJournal!$A$1:$L$890,COLUMN(HeadJournal!H$1),0),0)</f>
        <v>0.61703706995953778</v>
      </c>
      <c r="P5427" s="30">
        <f>IFERROR(SUM(K5427:O5427)*VLOOKUP($A5427,HeadJournal!$A$1:$L$890,COLUMN(HeadJournal!H$1),0),0)</f>
        <v>2082.8047442235356</v>
      </c>
      <c r="Q5427" s="29">
        <v>2700</v>
      </c>
      <c r="R5427" s="31">
        <v>46044</v>
      </c>
      <c r="S5427" s="31" t="s">
        <v>3226</v>
      </c>
      <c r="T5427" s="95" t="str">
        <f t="shared" si="406"/>
        <v>2026 01</v>
      </c>
      <c r="U5427" s="32">
        <f t="shared" si="403"/>
        <v>617.19525577646436</v>
      </c>
      <c r="V5427" s="22">
        <f t="shared" si="404"/>
        <v>0.29632890816491453</v>
      </c>
      <c r="X5427" s="33"/>
      <c r="Y5427" s="33"/>
    </row>
    <row r="5428" spans="1:25" x14ac:dyDescent="0.2">
      <c r="A5428" s="93" t="s">
        <v>5189</v>
      </c>
      <c r="B5428" s="94">
        <f>IFERROR(VLOOKUP($A5428,HeadJournal!$A$1:$NTR$890,COLUMN(HeadJournal!B$1),0),"")</f>
        <v>0</v>
      </c>
      <c r="C5428" s="94" t="str">
        <f>IFERROR(VLOOKUP($A5428,HeadJournal!$A$1:$NTR$890,COLUMN(HeadJournal!C$1),0),"")</f>
        <v>iHerb_AV CYG0792</v>
      </c>
      <c r="D5428" s="125" t="str">
        <f>IFERROR(VLOOKUP($A5428,HeadJournal!$A$1:$NTR$890,COLUMN(HeadJournal!D$1),0),"")</f>
        <v>Доставлен</v>
      </c>
      <c r="E5428" s="95">
        <f>IFERROR(VLOOKUP($A5428,HeadJournal!$A$1:$NTR$890,COLUMN(HeadJournal!G$1),0),"")</f>
        <v>46016</v>
      </c>
      <c r="F5428" s="95" t="str">
        <f t="shared" si="405"/>
        <v>2025 12</v>
      </c>
      <c r="G5428" s="97" t="s">
        <v>5</v>
      </c>
      <c r="H5428" s="161" t="s">
        <v>5186</v>
      </c>
      <c r="I5428" s="97" t="s">
        <v>2750</v>
      </c>
      <c r="J5428" s="97" t="s">
        <v>5187</v>
      </c>
      <c r="K5428" s="29">
        <v>23.83</v>
      </c>
      <c r="L5428" s="29">
        <v>0</v>
      </c>
      <c r="M5428" s="30">
        <f>IFERROR(VLOOKUP($A5428,HeadJournal!$A$1:$J$890,COLUMN(HeadJournal!I$1),0)*($K5428+$L5428)/(SUMIF($A:$A,$A5428,$K:$K)+SUMIF($A:$A,$A5428,$L:$L)),0)</f>
        <v>-1.1063471252015047</v>
      </c>
      <c r="N5428" s="30">
        <f>IFERROR((VLOOKUP($A5428,HeadJournal!$A$1:$K$890,COLUMN(HeadJournal!K$1),0)-VLOOKUP($A5428,HeadJournal!$A$1:$K$890,COLUMN(HeadJournal!J$1),0))*($K5428+$L5428)/(SUMIF($A:$A,$A5428,$K:$K)+SUMIF($A:$A,$A5428,$L:$L)),0)</f>
        <v>3.6393838566712922E-15</v>
      </c>
      <c r="O5428" s="30">
        <f>IFERROR((VLOOKUP($A5428,HeadJournal!$A$1:$L$890,COLUMN(HeadJournal!L$1),0)*($K5428+$L5428)/(SUMIF($A:$A,$A5428,$K:$K)+SUMIF($A:$A,$A5428,$L:$L)))/VLOOKUP($A5428,HeadJournal!$A$1:$L$890,COLUMN(HeadJournal!H$1),0),0)</f>
        <v>0.61703706995953778</v>
      </c>
      <c r="P5428" s="30">
        <f>IFERROR(SUM(K5428:O5428)*VLOOKUP($A5428,HeadJournal!$A$1:$L$890,COLUMN(HeadJournal!H$1),0),0)</f>
        <v>2082.8047442235356</v>
      </c>
      <c r="Q5428" s="29">
        <v>2700</v>
      </c>
      <c r="R5428" s="31">
        <v>46044</v>
      </c>
      <c r="S5428" s="31" t="s">
        <v>3235</v>
      </c>
      <c r="T5428" s="95" t="str">
        <f t="shared" si="406"/>
        <v>2026 01</v>
      </c>
      <c r="U5428" s="32">
        <f t="shared" si="403"/>
        <v>617.19525577646436</v>
      </c>
      <c r="V5428" s="22">
        <f t="shared" si="404"/>
        <v>0.29632890816491453</v>
      </c>
      <c r="X5428" s="33"/>
      <c r="Y5428" s="33"/>
    </row>
    <row r="5429" spans="1:25" x14ac:dyDescent="0.2">
      <c r="A5429" s="93" t="s">
        <v>5189</v>
      </c>
      <c r="B5429" s="94">
        <f>IFERROR(VLOOKUP($A5429,HeadJournal!$A$1:$NTR$890,COLUMN(HeadJournal!B$1),0),"")</f>
        <v>0</v>
      </c>
      <c r="C5429" s="94" t="str">
        <f>IFERROR(VLOOKUP($A5429,HeadJournal!$A$1:$NTR$890,COLUMN(HeadJournal!C$1),0),"")</f>
        <v>iHerb_AV CYG0792</v>
      </c>
      <c r="D5429" s="125" t="str">
        <f>IFERROR(VLOOKUP($A5429,HeadJournal!$A$1:$NTR$890,COLUMN(HeadJournal!D$1),0),"")</f>
        <v>Доставлен</v>
      </c>
      <c r="E5429" s="95">
        <f>IFERROR(VLOOKUP($A5429,HeadJournal!$A$1:$NTR$890,COLUMN(HeadJournal!G$1),0),"")</f>
        <v>46016</v>
      </c>
      <c r="F5429" s="95" t="str">
        <f t="shared" si="405"/>
        <v>2025 12</v>
      </c>
      <c r="G5429" s="97" t="s">
        <v>5</v>
      </c>
      <c r="H5429" s="161" t="s">
        <v>2277</v>
      </c>
      <c r="I5429" s="97" t="s">
        <v>2005</v>
      </c>
      <c r="J5429" s="97" t="s">
        <v>5188</v>
      </c>
      <c r="K5429" s="29">
        <v>14.48</v>
      </c>
      <c r="L5429" s="29">
        <v>-2.9</v>
      </c>
      <c r="M5429" s="30">
        <f>IFERROR(VLOOKUP($A5429,HeadJournal!$A$1:$J$890,COLUMN(HeadJournal!I$1),0)*($K5429+$L5429)/(SUMIF($A:$A,$A5429,$K:$K)+SUMIF($A:$A,$A5429,$L:$L)),0)</f>
        <v>-0.53762063406770555</v>
      </c>
      <c r="N5429" s="30">
        <f>IFERROR((VLOOKUP($A5429,HeadJournal!$A$1:$K$890,COLUMN(HeadJournal!K$1),0)-VLOOKUP($A5429,HeadJournal!$A$1:$K$890,COLUMN(HeadJournal!J$1),0))*($K5429+$L5429)/(SUMIF($A:$A,$A5429,$K:$K)+SUMIF($A:$A,$A5429,$L:$L)),0)</f>
        <v>1.7685297969053113E-15</v>
      </c>
      <c r="O5429" s="30">
        <f>IFERROR((VLOOKUP($A5429,HeadJournal!$A$1:$L$890,COLUMN(HeadJournal!L$1),0)*($K5429+$L5429)/(SUMIF($A:$A,$A5429,$K:$K)+SUMIF($A:$A,$A5429,$L:$L)))/VLOOKUP($A5429,HeadJournal!$A$1:$L$890,COLUMN(HeadJournal!H$1),0),0)</f>
        <v>0.29984428326191553</v>
      </c>
      <c r="P5429" s="30">
        <f>IFERROR(SUM(K5429:O5429)*VLOOKUP($A5429,HeadJournal!$A$1:$L$890,COLUMN(HeadJournal!H$1),0),0)</f>
        <v>1012.122490059108</v>
      </c>
      <c r="Q5429" s="29">
        <v>1900</v>
      </c>
      <c r="R5429" s="31">
        <v>46144</v>
      </c>
      <c r="S5429" s="31"/>
      <c r="T5429" s="95" t="str">
        <f t="shared" si="406"/>
        <v>2026 05</v>
      </c>
      <c r="U5429" s="32">
        <f t="shared" si="403"/>
        <v>887.87750994089197</v>
      </c>
      <c r="V5429" s="22">
        <f t="shared" si="404"/>
        <v>0.87724313871242976</v>
      </c>
      <c r="X5429" s="33"/>
      <c r="Y5429" s="33"/>
    </row>
    <row r="5430" spans="1:25" x14ac:dyDescent="0.2">
      <c r="A5430" s="93" t="s">
        <v>5194</v>
      </c>
      <c r="B5430" s="94">
        <f>IFERROR(VLOOKUP($A5430,HeadJournal!$A$1:$NTR$890,COLUMN(HeadJournal!B$1),0),"")</f>
        <v>0</v>
      </c>
      <c r="C5430" s="94" t="str">
        <f>IFERROR(VLOOKUP($A5430,HeadJournal!$A$1:$NTR$890,COLUMN(HeadJournal!C$1),0),"")</f>
        <v>iHerb_VP DFD1605</v>
      </c>
      <c r="D5430" s="125" t="str">
        <f>IFERROR(VLOOKUP($A5430,HeadJournal!$A$1:$NTR$890,COLUMN(HeadJournal!D$1),0),"")</f>
        <v>Доставлен</v>
      </c>
      <c r="E5430" s="95">
        <f>IFERROR(VLOOKUP($A5430,HeadJournal!$A$1:$NTR$890,COLUMN(HeadJournal!G$1),0),"")</f>
        <v>46018</v>
      </c>
      <c r="F5430" s="95" t="str">
        <f t="shared" si="405"/>
        <v>2025 12</v>
      </c>
      <c r="G5430" s="97" t="s">
        <v>5</v>
      </c>
      <c r="H5430" s="161" t="s">
        <v>2101</v>
      </c>
      <c r="I5430" s="97" t="s">
        <v>2102</v>
      </c>
      <c r="J5430" s="97" t="s">
        <v>4015</v>
      </c>
      <c r="K5430" s="29">
        <v>47.68</v>
      </c>
      <c r="L5430" s="29">
        <v>-9.5399999999999991</v>
      </c>
      <c r="M5430" s="30">
        <f>IFERROR(VLOOKUP($A5430,HeadJournal!$A$1:$J$890,COLUMN(HeadJournal!I$1),0)*($K5430+$L5430)/(SUMIF($A:$A,$A5430,$K:$K)+SUMIF($A:$A,$A5430,$L:$L)),0)</f>
        <v>-1.8992321792260689</v>
      </c>
      <c r="N5430" s="30">
        <f>IFERROR((VLOOKUP($A5430,HeadJournal!$A$1:$K$890,COLUMN(HeadJournal!K$1),0)-VLOOKUP($A5430,HeadJournal!$A$1:$K$890,COLUMN(HeadJournal!J$1),0))*($K5430+$L5430)/(SUMIF($A:$A,$A5430,$K:$K)+SUMIF($A:$A,$A5430,$L:$L)),0)</f>
        <v>0</v>
      </c>
      <c r="O5430" s="30">
        <f>IFERROR((VLOOKUP($A5430,HeadJournal!$A$1:$L$890,COLUMN(HeadJournal!L$1),0)*($K5430+$L5430)/(SUMIF($A:$A,$A5430,$K:$K)+SUMIF($A:$A,$A5430,$L:$L)))/VLOOKUP($A5430,HeadJournal!$A$1:$L$890,COLUMN(HeadJournal!H$1),0),0)</f>
        <v>0.93552241791166368</v>
      </c>
      <c r="P5430" s="30">
        <f>IFERROR(SUM(K5430:O5430)*VLOOKUP($A5430,HeadJournal!$A$1:$L$890,COLUMN(HeadJournal!H$1),0),0)</f>
        <v>3318.3295305498982</v>
      </c>
      <c r="Q5430" s="29">
        <v>3318.33</v>
      </c>
      <c r="R5430" s="31"/>
      <c r="S5430" s="31"/>
      <c r="T5430" s="95" t="str">
        <f t="shared" si="406"/>
        <v/>
      </c>
      <c r="U5430" s="32">
        <f t="shared" si="403"/>
        <v>4.6945010171839385E-4</v>
      </c>
      <c r="V5430" s="22">
        <f t="shared" si="404"/>
        <v>1.4147181507937784E-7</v>
      </c>
      <c r="X5430" s="33"/>
      <c r="Y5430" s="33"/>
    </row>
    <row r="5431" spans="1:25" x14ac:dyDescent="0.2">
      <c r="A5431" s="93" t="s">
        <v>5194</v>
      </c>
      <c r="B5431" s="94">
        <f>IFERROR(VLOOKUP($A5431,HeadJournal!$A$1:$NTR$890,COLUMN(HeadJournal!B$1),0),"")</f>
        <v>0</v>
      </c>
      <c r="C5431" s="94" t="str">
        <f>IFERROR(VLOOKUP($A5431,HeadJournal!$A$1:$NTR$890,COLUMN(HeadJournal!C$1),0),"")</f>
        <v>iHerb_VP DFD1605</v>
      </c>
      <c r="D5431" s="125" t="str">
        <f>IFERROR(VLOOKUP($A5431,HeadJournal!$A$1:$NTR$890,COLUMN(HeadJournal!D$1),0),"")</f>
        <v>Доставлен</v>
      </c>
      <c r="E5431" s="95">
        <f>IFERROR(VLOOKUP($A5431,HeadJournal!$A$1:$NTR$890,COLUMN(HeadJournal!G$1),0),"")</f>
        <v>46018</v>
      </c>
      <c r="F5431" s="95" t="str">
        <f t="shared" si="405"/>
        <v>2025 12</v>
      </c>
      <c r="G5431" s="97" t="s">
        <v>5</v>
      </c>
      <c r="H5431" s="161" t="s">
        <v>4185</v>
      </c>
      <c r="I5431" s="97" t="s">
        <v>2052</v>
      </c>
      <c r="J5431" s="97" t="s">
        <v>5190</v>
      </c>
      <c r="K5431" s="29">
        <v>14.78</v>
      </c>
      <c r="L5431" s="29">
        <v>-2.96</v>
      </c>
      <c r="M5431" s="30">
        <f>IFERROR(VLOOKUP($A5431,HeadJournal!$A$1:$J$890,COLUMN(HeadJournal!I$1),0)*($K5431+$L5431)/(SUMIF($A:$A,$A5431,$K:$K)+SUMIF($A:$A,$A5431,$L:$L)),0)</f>
        <v>-0.58859266802443988</v>
      </c>
      <c r="N5431" s="30">
        <f>IFERROR((VLOOKUP($A5431,HeadJournal!$A$1:$K$890,COLUMN(HeadJournal!K$1),0)-VLOOKUP($A5431,HeadJournal!$A$1:$K$890,COLUMN(HeadJournal!J$1),0))*($K5431+$L5431)/(SUMIF($A:$A,$A5431,$K:$K)+SUMIF($A:$A,$A5431,$L:$L)),0)</f>
        <v>0</v>
      </c>
      <c r="O5431" s="30">
        <f>IFERROR((VLOOKUP($A5431,HeadJournal!$A$1:$L$890,COLUMN(HeadJournal!L$1),0)*($K5431+$L5431)/(SUMIF($A:$A,$A5431,$K:$K)+SUMIF($A:$A,$A5431,$L:$L)))/VLOOKUP($A5431,HeadJournal!$A$1:$L$890,COLUMN(HeadJournal!H$1),0),0)</f>
        <v>0.28992855216874314</v>
      </c>
      <c r="P5431" s="30">
        <f>IFERROR(SUM(K5431:O5431)*VLOOKUP($A5431,HeadJournal!$A$1:$L$890,COLUMN(HeadJournal!H$1),0),0)</f>
        <v>1028.3863411405296</v>
      </c>
      <c r="Q5431" s="29"/>
      <c r="R5431" s="31"/>
      <c r="S5431" s="31"/>
      <c r="T5431" s="95" t="str">
        <f t="shared" si="406"/>
        <v/>
      </c>
      <c r="U5431" s="32">
        <f t="shared" si="403"/>
        <v>-1028.3863411405296</v>
      </c>
      <c r="V5431" s="22" t="str">
        <f t="shared" si="404"/>
        <v/>
      </c>
      <c r="X5431" s="33"/>
      <c r="Y5431" s="33"/>
    </row>
    <row r="5432" spans="1:25" x14ac:dyDescent="0.2">
      <c r="A5432" s="93" t="s">
        <v>5194</v>
      </c>
      <c r="B5432" s="94">
        <f>IFERROR(VLOOKUP($A5432,HeadJournal!$A$1:$NTR$890,COLUMN(HeadJournal!B$1),0),"")</f>
        <v>0</v>
      </c>
      <c r="C5432" s="94" t="str">
        <f>IFERROR(VLOOKUP($A5432,HeadJournal!$A$1:$NTR$890,COLUMN(HeadJournal!C$1),0),"")</f>
        <v>iHerb_VP DFD1605</v>
      </c>
      <c r="D5432" s="125" t="str">
        <f>IFERROR(VLOOKUP($A5432,HeadJournal!$A$1:$NTR$890,COLUMN(HeadJournal!D$1),0),"")</f>
        <v>Доставлен</v>
      </c>
      <c r="E5432" s="95">
        <f>IFERROR(VLOOKUP($A5432,HeadJournal!$A$1:$NTR$890,COLUMN(HeadJournal!G$1),0),"")</f>
        <v>46018</v>
      </c>
      <c r="F5432" s="95" t="str">
        <f t="shared" si="405"/>
        <v>2025 12</v>
      </c>
      <c r="G5432" s="97" t="s">
        <v>5</v>
      </c>
      <c r="H5432" s="161" t="s">
        <v>5143</v>
      </c>
      <c r="I5432" s="97" t="s">
        <v>2657</v>
      </c>
      <c r="J5432" s="97" t="s">
        <v>5144</v>
      </c>
      <c r="K5432" s="29">
        <v>11.64</v>
      </c>
      <c r="L5432" s="29">
        <v>-2.33</v>
      </c>
      <c r="M5432" s="30">
        <f>IFERROR(VLOOKUP($A5432,HeadJournal!$A$1:$J$890,COLUMN(HeadJournal!I$1),0)*($K5432+$L5432)/(SUMIF($A:$A,$A5432,$K:$K)+SUMIF($A:$A,$A5432,$L:$L)),0)</f>
        <v>-0.46360386965376782</v>
      </c>
      <c r="N5432" s="30">
        <f>IFERROR((VLOOKUP($A5432,HeadJournal!$A$1:$K$890,COLUMN(HeadJournal!K$1),0)-VLOOKUP($A5432,HeadJournal!$A$1:$K$890,COLUMN(HeadJournal!J$1),0))*($K5432+$L5432)/(SUMIF($A:$A,$A5432,$K:$K)+SUMIF($A:$A,$A5432,$L:$L)),0)</f>
        <v>0</v>
      </c>
      <c r="O5432" s="30">
        <f>IFERROR((VLOOKUP($A5432,HeadJournal!$A$1:$L$890,COLUMN(HeadJournal!L$1),0)*($K5432+$L5432)/(SUMIF($A:$A,$A5432,$K:$K)+SUMIF($A:$A,$A5432,$L:$L)))/VLOOKUP($A5432,HeadJournal!$A$1:$L$890,COLUMN(HeadJournal!H$1),0),0)</f>
        <v>0.2283616599569373</v>
      </c>
      <c r="P5432" s="30">
        <f>IFERROR(SUM(K5432:O5432)*VLOOKUP($A5432,HeadJournal!$A$1:$L$890,COLUMN(HeadJournal!H$1),0),0)</f>
        <v>810.00650050916488</v>
      </c>
      <c r="Q5432" s="29">
        <v>1800</v>
      </c>
      <c r="R5432" s="31">
        <v>46048</v>
      </c>
      <c r="S5432" s="31"/>
      <c r="T5432" s="95" t="str">
        <f t="shared" si="406"/>
        <v>2026 01</v>
      </c>
      <c r="U5432" s="32">
        <f t="shared" si="403"/>
        <v>989.99349949083512</v>
      </c>
      <c r="V5432" s="22">
        <f t="shared" si="404"/>
        <v>1.222204388320997</v>
      </c>
      <c r="X5432" s="33"/>
      <c r="Y5432" s="33"/>
    </row>
    <row r="5433" spans="1:25" x14ac:dyDescent="0.2">
      <c r="A5433" s="93" t="s">
        <v>5194</v>
      </c>
      <c r="B5433" s="94">
        <f>IFERROR(VLOOKUP($A5433,HeadJournal!$A$1:$NTR$890,COLUMN(HeadJournal!B$1),0),"")</f>
        <v>0</v>
      </c>
      <c r="C5433" s="94" t="str">
        <f>IFERROR(VLOOKUP($A5433,HeadJournal!$A$1:$NTR$890,COLUMN(HeadJournal!C$1),0),"")</f>
        <v>iHerb_VP DFD1605</v>
      </c>
      <c r="D5433" s="125" t="str">
        <f>IFERROR(VLOOKUP($A5433,HeadJournal!$A$1:$NTR$890,COLUMN(HeadJournal!D$1),0),"")</f>
        <v>Доставлен</v>
      </c>
      <c r="E5433" s="95">
        <f>IFERROR(VLOOKUP($A5433,HeadJournal!$A$1:$NTR$890,COLUMN(HeadJournal!G$1),0),"")</f>
        <v>46018</v>
      </c>
      <c r="F5433" s="95" t="str">
        <f t="shared" si="405"/>
        <v>2025 12</v>
      </c>
      <c r="G5433" s="97" t="s">
        <v>5</v>
      </c>
      <c r="H5433" s="161" t="s">
        <v>2558</v>
      </c>
      <c r="I5433" s="97" t="s">
        <v>2166</v>
      </c>
      <c r="J5433" s="97" t="s">
        <v>2559</v>
      </c>
      <c r="K5433" s="29">
        <v>32.5</v>
      </c>
      <c r="L5433" s="29">
        <v>-6.5</v>
      </c>
      <c r="M5433" s="30">
        <f>IFERROR(VLOOKUP($A5433,HeadJournal!$A$1:$J$890,COLUMN(HeadJournal!I$1),0)*($K5433+$L5433)/(SUMIF($A:$A,$A5433,$K:$K)+SUMIF($A:$A,$A5433,$L:$L)),0)</f>
        <v>-1.2947046843177188</v>
      </c>
      <c r="N5433" s="30">
        <f>IFERROR((VLOOKUP($A5433,HeadJournal!$A$1:$K$890,COLUMN(HeadJournal!K$1),0)-VLOOKUP($A5433,HeadJournal!$A$1:$K$890,COLUMN(HeadJournal!J$1),0))*($K5433+$L5433)/(SUMIF($A:$A,$A5433,$K:$K)+SUMIF($A:$A,$A5433,$L:$L)),0)</f>
        <v>0</v>
      </c>
      <c r="O5433" s="30">
        <f>IFERROR((VLOOKUP($A5433,HeadJournal!$A$1:$L$890,COLUMN(HeadJournal!L$1),0)*($K5433+$L5433)/(SUMIF($A:$A,$A5433,$K:$K)+SUMIF($A:$A,$A5433,$L:$L)))/VLOOKUP($A5433,HeadJournal!$A$1:$L$890,COLUMN(HeadJournal!H$1),0),0)</f>
        <v>0.63774470020197305</v>
      </c>
      <c r="P5433" s="30">
        <f>IFERROR(SUM(K5433:O5433)*VLOOKUP($A5433,HeadJournal!$A$1:$L$890,COLUMN(HeadJournal!H$1),0),0)</f>
        <v>2262.1019348268842</v>
      </c>
      <c r="Q5433" s="29"/>
      <c r="R5433" s="31"/>
      <c r="S5433" s="31"/>
      <c r="T5433" s="95" t="str">
        <f t="shared" si="406"/>
        <v/>
      </c>
      <c r="U5433" s="32">
        <f t="shared" si="403"/>
        <v>-2262.1019348268842</v>
      </c>
      <c r="V5433" s="22" t="str">
        <f t="shared" si="404"/>
        <v/>
      </c>
      <c r="X5433" s="33"/>
      <c r="Y5433" s="33"/>
    </row>
    <row r="5434" spans="1:25" x14ac:dyDescent="0.2">
      <c r="A5434" s="93" t="s">
        <v>5194</v>
      </c>
      <c r="B5434" s="94">
        <f>IFERROR(VLOOKUP($A5434,HeadJournal!$A$1:$NTR$890,COLUMN(HeadJournal!B$1),0),"")</f>
        <v>0</v>
      </c>
      <c r="C5434" s="94" t="str">
        <f>IFERROR(VLOOKUP($A5434,HeadJournal!$A$1:$NTR$890,COLUMN(HeadJournal!C$1),0),"")</f>
        <v>iHerb_VP DFD1605</v>
      </c>
      <c r="D5434" s="125" t="str">
        <f>IFERROR(VLOOKUP($A5434,HeadJournal!$A$1:$NTR$890,COLUMN(HeadJournal!D$1),0),"")</f>
        <v>Доставлен</v>
      </c>
      <c r="E5434" s="95">
        <f>IFERROR(VLOOKUP($A5434,HeadJournal!$A$1:$NTR$890,COLUMN(HeadJournal!G$1),0),"")</f>
        <v>46018</v>
      </c>
      <c r="F5434" s="95" t="str">
        <f t="shared" si="405"/>
        <v>2025 12</v>
      </c>
      <c r="G5434" s="97" t="s">
        <v>5</v>
      </c>
      <c r="H5434" s="161" t="s">
        <v>2755</v>
      </c>
      <c r="I5434" s="97" t="s">
        <v>2005</v>
      </c>
      <c r="J5434" s="97" t="s">
        <v>2756</v>
      </c>
      <c r="K5434" s="29">
        <v>17.239999999999998</v>
      </c>
      <c r="L5434" s="29">
        <v>-3.45</v>
      </c>
      <c r="M5434" s="30">
        <f>IFERROR(VLOOKUP($A5434,HeadJournal!$A$1:$J$890,COLUMN(HeadJournal!I$1),0)*($K5434+$L5434)/(SUMIF($A:$A,$A5434,$K:$K)+SUMIF($A:$A,$A5434,$L:$L)),0)</f>
        <v>-0.68669144602851317</v>
      </c>
      <c r="N5434" s="30">
        <f>IFERROR((VLOOKUP($A5434,HeadJournal!$A$1:$K$890,COLUMN(HeadJournal!K$1),0)-VLOOKUP($A5434,HeadJournal!$A$1:$K$890,COLUMN(HeadJournal!J$1),0))*($K5434+$L5434)/(SUMIF($A:$A,$A5434,$K:$K)+SUMIF($A:$A,$A5434,$L:$L)),0)</f>
        <v>0</v>
      </c>
      <c r="O5434" s="30">
        <f>IFERROR((VLOOKUP($A5434,HeadJournal!$A$1:$L$890,COLUMN(HeadJournal!L$1),0)*($K5434+$L5434)/(SUMIF($A:$A,$A5434,$K:$K)+SUMIF($A:$A,$A5434,$L:$L)))/VLOOKUP($A5434,HeadJournal!$A$1:$L$890,COLUMN(HeadJournal!H$1),0),0)</f>
        <v>0.33824997753020031</v>
      </c>
      <c r="P5434" s="30">
        <f>IFERROR(SUM(K5434:O5434)*VLOOKUP($A5434,HeadJournal!$A$1:$L$890,COLUMN(HeadJournal!H$1),0),0)</f>
        <v>1199.7840646639511</v>
      </c>
      <c r="Q5434" s="29">
        <v>2400</v>
      </c>
      <c r="R5434" s="31">
        <v>46083</v>
      </c>
      <c r="S5434" s="31" t="s">
        <v>3437</v>
      </c>
      <c r="T5434" s="95" t="str">
        <f t="shared" si="406"/>
        <v>2026 03</v>
      </c>
      <c r="U5434" s="32">
        <f t="shared" si="403"/>
        <v>1200.2159353360489</v>
      </c>
      <c r="V5434" s="22">
        <f t="shared" si="404"/>
        <v>1.0003599569996113</v>
      </c>
      <c r="X5434" s="33"/>
      <c r="Y5434" s="33"/>
    </row>
    <row r="5435" spans="1:25" x14ac:dyDescent="0.2">
      <c r="A5435" s="93" t="s">
        <v>5194</v>
      </c>
      <c r="B5435" s="94">
        <f>IFERROR(VLOOKUP($A5435,HeadJournal!$A$1:$NTR$890,COLUMN(HeadJournal!B$1),0),"")</f>
        <v>0</v>
      </c>
      <c r="C5435" s="94" t="str">
        <f>IFERROR(VLOOKUP($A5435,HeadJournal!$A$1:$NTR$890,COLUMN(HeadJournal!C$1),0),"")</f>
        <v>iHerb_VP DFD1605</v>
      </c>
      <c r="D5435" s="125" t="str">
        <f>IFERROR(VLOOKUP($A5435,HeadJournal!$A$1:$NTR$890,COLUMN(HeadJournal!D$1),0),"")</f>
        <v>Доставлен</v>
      </c>
      <c r="E5435" s="95">
        <f>IFERROR(VLOOKUP($A5435,HeadJournal!$A$1:$NTR$890,COLUMN(HeadJournal!G$1),0),"")</f>
        <v>46018</v>
      </c>
      <c r="F5435" s="95" t="str">
        <f t="shared" si="405"/>
        <v>2025 12</v>
      </c>
      <c r="G5435" s="97" t="s">
        <v>5</v>
      </c>
      <c r="H5435" s="161" t="s">
        <v>3822</v>
      </c>
      <c r="I5435" s="97" t="s">
        <v>2009</v>
      </c>
      <c r="J5435" s="97" t="s">
        <v>3823</v>
      </c>
      <c r="K5435" s="29">
        <v>11.42</v>
      </c>
      <c r="L5435" s="29">
        <v>-2.2850000000000001</v>
      </c>
      <c r="M5435" s="30">
        <f>IFERROR(VLOOKUP($A5435,HeadJournal!$A$1:$J$890,COLUMN(HeadJournal!I$1),0)*($K5435+$L5435)/(SUMIF($A:$A,$A5435,$K:$K)+SUMIF($A:$A,$A5435,$L:$L)),0)</f>
        <v>-0.45488951120162929</v>
      </c>
      <c r="N5435" s="30">
        <f>IFERROR((VLOOKUP($A5435,HeadJournal!$A$1:$K$890,COLUMN(HeadJournal!K$1),0)-VLOOKUP($A5435,HeadJournal!$A$1:$K$890,COLUMN(HeadJournal!J$1),0))*($K5435+$L5435)/(SUMIF($A:$A,$A5435,$K:$K)+SUMIF($A:$A,$A5435,$L:$L)),0)</f>
        <v>0</v>
      </c>
      <c r="O5435" s="30">
        <f>IFERROR((VLOOKUP($A5435,HeadJournal!$A$1:$L$890,COLUMN(HeadJournal!L$1),0)*($K5435+$L5435)/(SUMIF($A:$A,$A5435,$K:$K)+SUMIF($A:$A,$A5435,$L:$L)))/VLOOKUP($A5435,HeadJournal!$A$1:$L$890,COLUMN(HeadJournal!H$1),0),0)</f>
        <v>0.22406914755173166</v>
      </c>
      <c r="P5435" s="30">
        <f>IFERROR(SUM(K5435:O5435)*VLOOKUP($A5435,HeadJournal!$A$1:$L$890,COLUMN(HeadJournal!H$1),0),0)</f>
        <v>794.78081440936853</v>
      </c>
      <c r="Q5435" s="29">
        <v>1800</v>
      </c>
      <c r="R5435" s="31">
        <v>46044</v>
      </c>
      <c r="S5435" s="31" t="s">
        <v>3226</v>
      </c>
      <c r="T5435" s="95" t="str">
        <f t="shared" si="406"/>
        <v>2026 01</v>
      </c>
      <c r="U5435" s="32">
        <f t="shared" si="403"/>
        <v>1005.2191855906315</v>
      </c>
      <c r="V5435" s="22">
        <f t="shared" si="404"/>
        <v>1.2647753536145026</v>
      </c>
      <c r="X5435" s="33"/>
      <c r="Y5435" s="33"/>
    </row>
    <row r="5436" spans="1:25" x14ac:dyDescent="0.2">
      <c r="A5436" s="93" t="s">
        <v>5194</v>
      </c>
      <c r="B5436" s="94">
        <f>IFERROR(VLOOKUP($A5436,HeadJournal!$A$1:$NTR$890,COLUMN(HeadJournal!B$1),0),"")</f>
        <v>0</v>
      </c>
      <c r="C5436" s="94" t="str">
        <f>IFERROR(VLOOKUP($A5436,HeadJournal!$A$1:$NTR$890,COLUMN(HeadJournal!C$1),0),"")</f>
        <v>iHerb_VP DFD1605</v>
      </c>
      <c r="D5436" s="125" t="str">
        <f>IFERROR(VLOOKUP($A5436,HeadJournal!$A$1:$NTR$890,COLUMN(HeadJournal!D$1),0),"")</f>
        <v>Доставлен</v>
      </c>
      <c r="E5436" s="95">
        <f>IFERROR(VLOOKUP($A5436,HeadJournal!$A$1:$NTR$890,COLUMN(HeadJournal!G$1),0),"")</f>
        <v>46018</v>
      </c>
      <c r="F5436" s="95" t="str">
        <f t="shared" si="405"/>
        <v>2025 12</v>
      </c>
      <c r="G5436" s="97" t="s">
        <v>5</v>
      </c>
      <c r="H5436" s="161" t="s">
        <v>3822</v>
      </c>
      <c r="I5436" s="97" t="s">
        <v>2009</v>
      </c>
      <c r="J5436" s="97" t="s">
        <v>3823</v>
      </c>
      <c r="K5436" s="29">
        <v>11.42</v>
      </c>
      <c r="L5436" s="29">
        <v>-2.2850000000000001</v>
      </c>
      <c r="M5436" s="30">
        <f>IFERROR(VLOOKUP($A5436,HeadJournal!$A$1:$J$890,COLUMN(HeadJournal!I$1),0)*($K5436+$L5436)/(SUMIF($A:$A,$A5436,$K:$K)+SUMIF($A:$A,$A5436,$L:$L)),0)</f>
        <v>-0.45488951120162929</v>
      </c>
      <c r="N5436" s="30">
        <f>IFERROR((VLOOKUP($A5436,HeadJournal!$A$1:$K$890,COLUMN(HeadJournal!K$1),0)-VLOOKUP($A5436,HeadJournal!$A$1:$K$890,COLUMN(HeadJournal!J$1),0))*($K5436+$L5436)/(SUMIF($A:$A,$A5436,$K:$K)+SUMIF($A:$A,$A5436,$L:$L)),0)</f>
        <v>0</v>
      </c>
      <c r="O5436" s="30">
        <f>IFERROR((VLOOKUP($A5436,HeadJournal!$A$1:$L$890,COLUMN(HeadJournal!L$1),0)*($K5436+$L5436)/(SUMIF($A:$A,$A5436,$K:$K)+SUMIF($A:$A,$A5436,$L:$L)))/VLOOKUP($A5436,HeadJournal!$A$1:$L$890,COLUMN(HeadJournal!H$1),0),0)</f>
        <v>0.22406914755173166</v>
      </c>
      <c r="P5436" s="30">
        <f>IFERROR(SUM(K5436:O5436)*VLOOKUP($A5436,HeadJournal!$A$1:$L$890,COLUMN(HeadJournal!H$1),0),0)</f>
        <v>794.78081440936853</v>
      </c>
      <c r="Q5436" s="29">
        <v>1800</v>
      </c>
      <c r="R5436" s="31">
        <v>46044</v>
      </c>
      <c r="S5436" s="31" t="s">
        <v>3226</v>
      </c>
      <c r="T5436" s="95" t="str">
        <f t="shared" si="406"/>
        <v>2026 01</v>
      </c>
      <c r="U5436" s="32">
        <f t="shared" si="403"/>
        <v>1005.2191855906315</v>
      </c>
      <c r="V5436" s="22">
        <f t="shared" si="404"/>
        <v>1.2647753536145026</v>
      </c>
      <c r="X5436" s="33"/>
      <c r="Y5436" s="33"/>
    </row>
    <row r="5437" spans="1:25" x14ac:dyDescent="0.2">
      <c r="A5437" s="93" t="s">
        <v>5194</v>
      </c>
      <c r="B5437" s="94">
        <f>IFERROR(VLOOKUP($A5437,HeadJournal!$A$1:$NTR$890,COLUMN(HeadJournal!B$1),0),"")</f>
        <v>0</v>
      </c>
      <c r="C5437" s="94" t="str">
        <f>IFERROR(VLOOKUP($A5437,HeadJournal!$A$1:$NTR$890,COLUMN(HeadJournal!C$1),0),"")</f>
        <v>iHerb_VP DFD1605</v>
      </c>
      <c r="D5437" s="125" t="str">
        <f>IFERROR(VLOOKUP($A5437,HeadJournal!$A$1:$NTR$890,COLUMN(HeadJournal!D$1),0),"")</f>
        <v>Доставлен</v>
      </c>
      <c r="E5437" s="95">
        <f>IFERROR(VLOOKUP($A5437,HeadJournal!$A$1:$NTR$890,COLUMN(HeadJournal!G$1),0),"")</f>
        <v>46018</v>
      </c>
      <c r="F5437" s="95" t="str">
        <f t="shared" si="405"/>
        <v>2025 12</v>
      </c>
      <c r="G5437" s="97" t="s">
        <v>5</v>
      </c>
      <c r="H5437" s="161" t="s">
        <v>2027</v>
      </c>
      <c r="I5437" s="97" t="s">
        <v>2005</v>
      </c>
      <c r="J5437" s="97" t="s">
        <v>5191</v>
      </c>
      <c r="K5437" s="29">
        <v>8.06</v>
      </c>
      <c r="L5437" s="29">
        <v>-1.61</v>
      </c>
      <c r="M5437" s="30">
        <f>IFERROR(VLOOKUP($A5437,HeadJournal!$A$1:$J$890,COLUMN(HeadJournal!I$1),0)*($K5437+$L5437)/(SUMIF($A:$A,$A5437,$K:$K)+SUMIF($A:$A,$A5437,$L:$L)),0)</f>
        <v>-0.32118635437881871</v>
      </c>
      <c r="N5437" s="30">
        <f>IFERROR((VLOOKUP($A5437,HeadJournal!$A$1:$K$890,COLUMN(HeadJournal!K$1),0)-VLOOKUP($A5437,HeadJournal!$A$1:$K$890,COLUMN(HeadJournal!J$1),0))*($K5437+$L5437)/(SUMIF($A:$A,$A5437,$K:$K)+SUMIF($A:$A,$A5437,$L:$L)),0)</f>
        <v>0</v>
      </c>
      <c r="O5437" s="30">
        <f>IFERROR((VLOOKUP($A5437,HeadJournal!$A$1:$L$890,COLUMN(HeadJournal!L$1),0)*($K5437+$L5437)/(SUMIF($A:$A,$A5437,$K:$K)+SUMIF($A:$A,$A5437,$L:$L)))/VLOOKUP($A5437,HeadJournal!$A$1:$L$890,COLUMN(HeadJournal!H$1),0),0)</f>
        <v>0.15820974293472023</v>
      </c>
      <c r="P5437" s="30">
        <f>IFERROR(SUM(K5437:O5437)*VLOOKUP($A5437,HeadJournal!$A$1:$L$890,COLUMN(HeadJournal!H$1),0),0)</f>
        <v>561.17528767820772</v>
      </c>
      <c r="Q5437" s="29">
        <v>1300</v>
      </c>
      <c r="R5437" s="31">
        <v>46108</v>
      </c>
      <c r="S5437" s="31" t="s">
        <v>4630</v>
      </c>
      <c r="T5437" s="95" t="str">
        <f t="shared" si="406"/>
        <v>2026 03</v>
      </c>
      <c r="U5437" s="32">
        <f t="shared" si="403"/>
        <v>738.82471232179228</v>
      </c>
      <c r="V5437" s="22">
        <f t="shared" si="404"/>
        <v>1.3165667279801054</v>
      </c>
      <c r="X5437" s="33"/>
      <c r="Y5437" s="33"/>
    </row>
    <row r="5438" spans="1:25" x14ac:dyDescent="0.2">
      <c r="A5438" s="93" t="s">
        <v>5194</v>
      </c>
      <c r="B5438" s="94">
        <f>IFERROR(VLOOKUP($A5438,HeadJournal!$A$1:$NTR$890,COLUMN(HeadJournal!B$1),0),"")</f>
        <v>0</v>
      </c>
      <c r="C5438" s="94" t="str">
        <f>IFERROR(VLOOKUP($A5438,HeadJournal!$A$1:$NTR$890,COLUMN(HeadJournal!C$1),0),"")</f>
        <v>iHerb_VP DFD1605</v>
      </c>
      <c r="D5438" s="125" t="str">
        <f>IFERROR(VLOOKUP($A5438,HeadJournal!$A$1:$NTR$890,COLUMN(HeadJournal!D$1),0),"")</f>
        <v>Доставлен</v>
      </c>
      <c r="E5438" s="95">
        <f>IFERROR(VLOOKUP($A5438,HeadJournal!$A$1:$NTR$890,COLUMN(HeadJournal!G$1),0),"")</f>
        <v>46018</v>
      </c>
      <c r="F5438" s="95" t="str">
        <f t="shared" si="405"/>
        <v>2025 12</v>
      </c>
      <c r="G5438" s="97" t="s">
        <v>5</v>
      </c>
      <c r="H5438" s="161" t="s">
        <v>2027</v>
      </c>
      <c r="I5438" s="97" t="s">
        <v>2005</v>
      </c>
      <c r="J5438" s="97" t="s">
        <v>5191</v>
      </c>
      <c r="K5438" s="29">
        <v>8.06</v>
      </c>
      <c r="L5438" s="29">
        <v>-1.61</v>
      </c>
      <c r="M5438" s="30">
        <f>IFERROR(VLOOKUP($A5438,HeadJournal!$A$1:$J$890,COLUMN(HeadJournal!I$1),0)*($K5438+$L5438)/(SUMIF($A:$A,$A5438,$K:$K)+SUMIF($A:$A,$A5438,$L:$L)),0)</f>
        <v>-0.32118635437881871</v>
      </c>
      <c r="N5438" s="30">
        <f>IFERROR((VLOOKUP($A5438,HeadJournal!$A$1:$K$890,COLUMN(HeadJournal!K$1),0)-VLOOKUP($A5438,HeadJournal!$A$1:$K$890,COLUMN(HeadJournal!J$1),0))*($K5438+$L5438)/(SUMIF($A:$A,$A5438,$K:$K)+SUMIF($A:$A,$A5438,$L:$L)),0)</f>
        <v>0</v>
      </c>
      <c r="O5438" s="30">
        <f>IFERROR((VLOOKUP($A5438,HeadJournal!$A$1:$L$890,COLUMN(HeadJournal!L$1),0)*($K5438+$L5438)/(SUMIF($A:$A,$A5438,$K:$K)+SUMIF($A:$A,$A5438,$L:$L)))/VLOOKUP($A5438,HeadJournal!$A$1:$L$890,COLUMN(HeadJournal!H$1),0),0)</f>
        <v>0.15820974293472023</v>
      </c>
      <c r="P5438" s="30">
        <f>IFERROR(SUM(K5438:O5438)*VLOOKUP($A5438,HeadJournal!$A$1:$L$890,COLUMN(HeadJournal!H$1),0),0)</f>
        <v>561.17528767820772</v>
      </c>
      <c r="Q5438" s="29">
        <v>1300</v>
      </c>
      <c r="R5438" s="31">
        <v>46119</v>
      </c>
      <c r="S5438" s="31"/>
      <c r="T5438" s="95" t="str">
        <f t="shared" si="406"/>
        <v>2026 04</v>
      </c>
      <c r="U5438" s="32">
        <f t="shared" si="403"/>
        <v>738.82471232179228</v>
      </c>
      <c r="V5438" s="22">
        <f t="shared" si="404"/>
        <v>1.3165667279801054</v>
      </c>
      <c r="X5438" s="33"/>
      <c r="Y5438" s="33"/>
    </row>
    <row r="5439" spans="1:25" x14ac:dyDescent="0.2">
      <c r="A5439" s="93" t="s">
        <v>5194</v>
      </c>
      <c r="B5439" s="94">
        <f>IFERROR(VLOOKUP($A5439,HeadJournal!$A$1:$NTR$890,COLUMN(HeadJournal!B$1),0),"")</f>
        <v>0</v>
      </c>
      <c r="C5439" s="94" t="str">
        <f>IFERROR(VLOOKUP($A5439,HeadJournal!$A$1:$NTR$890,COLUMN(HeadJournal!C$1),0),"")</f>
        <v>iHerb_VP DFD1605</v>
      </c>
      <c r="D5439" s="125" t="str">
        <f>IFERROR(VLOOKUP($A5439,HeadJournal!$A$1:$NTR$890,COLUMN(HeadJournal!D$1),0),"")</f>
        <v>Доставлен</v>
      </c>
      <c r="E5439" s="95">
        <f>IFERROR(VLOOKUP($A5439,HeadJournal!$A$1:$NTR$890,COLUMN(HeadJournal!G$1),0),"")</f>
        <v>46018</v>
      </c>
      <c r="F5439" s="95" t="str">
        <f t="shared" si="405"/>
        <v>2025 12</v>
      </c>
      <c r="G5439" s="97" t="s">
        <v>5</v>
      </c>
      <c r="H5439" s="161" t="s">
        <v>5192</v>
      </c>
      <c r="I5439" s="97" t="s">
        <v>2052</v>
      </c>
      <c r="J5439" s="97" t="s">
        <v>5193</v>
      </c>
      <c r="K5439" s="29">
        <v>47.42</v>
      </c>
      <c r="L5439" s="29">
        <v>-9.48</v>
      </c>
      <c r="M5439" s="30">
        <f>IFERROR(VLOOKUP($A5439,HeadJournal!$A$1:$J$890,COLUMN(HeadJournal!I$1),0)*($K5439+$L5439)/(SUMIF($A:$A,$A5439,$K:$K)+SUMIF($A:$A,$A5439,$L:$L)),0)</f>
        <v>-1.8892729124236249</v>
      </c>
      <c r="N5439" s="30">
        <f>IFERROR((VLOOKUP($A5439,HeadJournal!$A$1:$K$890,COLUMN(HeadJournal!K$1),0)-VLOOKUP($A5439,HeadJournal!$A$1:$K$890,COLUMN(HeadJournal!J$1),0))*($K5439+$L5439)/(SUMIF($A:$A,$A5439,$K:$K)+SUMIF($A:$A,$A5439,$L:$L)),0)</f>
        <v>0</v>
      </c>
      <c r="O5439" s="30">
        <f>IFERROR((VLOOKUP($A5439,HeadJournal!$A$1:$L$890,COLUMN(HeadJournal!L$1),0)*($K5439+$L5439)/(SUMIF($A:$A,$A5439,$K:$K)+SUMIF($A:$A,$A5439,$L:$L)))/VLOOKUP($A5439,HeadJournal!$A$1:$L$890,COLUMN(HeadJournal!H$1),0),0)</f>
        <v>0.93061668944857145</v>
      </c>
      <c r="P5439" s="30">
        <f>IFERROR(SUM(K5439:O5439)*VLOOKUP($A5439,HeadJournal!$A$1:$L$890,COLUMN(HeadJournal!H$1),0),0)</f>
        <v>3300.9287464358445</v>
      </c>
      <c r="Q5439" s="29">
        <v>4700</v>
      </c>
      <c r="R5439" s="31">
        <v>46044</v>
      </c>
      <c r="S5439" s="31"/>
      <c r="T5439" s="95" t="str">
        <f t="shared" si="406"/>
        <v>2026 01</v>
      </c>
      <c r="U5439" s="32">
        <f t="shared" si="403"/>
        <v>1399.0712535641555</v>
      </c>
      <c r="V5439" s="22">
        <f t="shared" si="404"/>
        <v>0.42384170063494803</v>
      </c>
      <c r="X5439" s="33"/>
      <c r="Y5439" s="33"/>
    </row>
    <row r="5440" spans="1:25" x14ac:dyDescent="0.2">
      <c r="A5440" s="93" t="s">
        <v>5194</v>
      </c>
      <c r="B5440" s="94">
        <f>IFERROR(VLOOKUP($A5440,HeadJournal!$A$1:$NTR$890,COLUMN(HeadJournal!B$1),0),"")</f>
        <v>0</v>
      </c>
      <c r="C5440" s="94" t="str">
        <f>IFERROR(VLOOKUP($A5440,HeadJournal!$A$1:$NTR$890,COLUMN(HeadJournal!C$1),0),"")</f>
        <v>iHerb_VP DFD1605</v>
      </c>
      <c r="D5440" s="125" t="str">
        <f>IFERROR(VLOOKUP($A5440,HeadJournal!$A$1:$NTR$890,COLUMN(HeadJournal!D$1),0),"")</f>
        <v>Доставлен</v>
      </c>
      <c r="E5440" s="95">
        <f>IFERROR(VLOOKUP($A5440,HeadJournal!$A$1:$NTR$890,COLUMN(HeadJournal!G$1),0),"")</f>
        <v>46018</v>
      </c>
      <c r="F5440" s="95" t="str">
        <f t="shared" si="405"/>
        <v>2025 12</v>
      </c>
      <c r="G5440" s="97" t="s">
        <v>5</v>
      </c>
      <c r="H5440" s="161" t="s">
        <v>2468</v>
      </c>
      <c r="I5440" s="97" t="s">
        <v>2005</v>
      </c>
      <c r="J5440" s="97" t="s">
        <v>4109</v>
      </c>
      <c r="K5440" s="29">
        <v>24.42</v>
      </c>
      <c r="L5440" s="29">
        <v>-4.88</v>
      </c>
      <c r="M5440" s="30">
        <f>IFERROR(VLOOKUP($A5440,HeadJournal!$A$1:$J$890,COLUMN(HeadJournal!I$1),0)*($K5440+$L5440)/(SUMIF($A:$A,$A5440,$K:$K)+SUMIF($A:$A,$A5440,$L:$L)),0)</f>
        <v>-0.973020366598778</v>
      </c>
      <c r="N5440" s="30">
        <f>IFERROR((VLOOKUP($A5440,HeadJournal!$A$1:$K$890,COLUMN(HeadJournal!K$1),0)-VLOOKUP($A5440,HeadJournal!$A$1:$K$890,COLUMN(HeadJournal!J$1),0))*($K5440+$L5440)/(SUMIF($A:$A,$A5440,$K:$K)+SUMIF($A:$A,$A5440,$L:$L)),0)</f>
        <v>0</v>
      </c>
      <c r="O5440" s="30">
        <f>IFERROR((VLOOKUP($A5440,HeadJournal!$A$1:$L$890,COLUMN(HeadJournal!L$1),0)*($K5440+$L5440)/(SUMIF($A:$A,$A5440,$K:$K)+SUMIF($A:$A,$A5440,$L:$L)))/VLOOKUP($A5440,HeadJournal!$A$1:$L$890,COLUMN(HeadJournal!H$1),0),0)</f>
        <v>0.47928967084409829</v>
      </c>
      <c r="P5440" s="30">
        <f>IFERROR(SUM(K5440:O5440)*VLOOKUP($A5440,HeadJournal!$A$1:$L$890,COLUMN(HeadJournal!H$1),0),0)</f>
        <v>1700.0566079429739</v>
      </c>
      <c r="Q5440" s="29">
        <v>2700</v>
      </c>
      <c r="R5440" s="31">
        <v>46093</v>
      </c>
      <c r="S5440" s="31" t="s">
        <v>3384</v>
      </c>
      <c r="T5440" s="95" t="str">
        <f t="shared" si="406"/>
        <v>2026 03</v>
      </c>
      <c r="U5440" s="32">
        <f t="shared" si="403"/>
        <v>999.94339205702613</v>
      </c>
      <c r="V5440" s="22">
        <f t="shared" si="404"/>
        <v>0.58818240956513368</v>
      </c>
      <c r="X5440" s="33"/>
      <c r="Y5440" s="33"/>
    </row>
    <row r="5441" spans="1:25" x14ac:dyDescent="0.2">
      <c r="A5441" s="93" t="s">
        <v>5194</v>
      </c>
      <c r="B5441" s="94">
        <f>IFERROR(VLOOKUP($A5441,HeadJournal!$A$1:$NTR$890,COLUMN(HeadJournal!B$1),0),"")</f>
        <v>0</v>
      </c>
      <c r="C5441" s="94" t="str">
        <f>IFERROR(VLOOKUP($A5441,HeadJournal!$A$1:$NTR$890,COLUMN(HeadJournal!C$1),0),"")</f>
        <v>iHerb_VP DFD1605</v>
      </c>
      <c r="D5441" s="125" t="str">
        <f>IFERROR(VLOOKUP($A5441,HeadJournal!$A$1:$NTR$890,COLUMN(HeadJournal!D$1),0),"")</f>
        <v>Доставлен</v>
      </c>
      <c r="E5441" s="95">
        <f>IFERROR(VLOOKUP($A5441,HeadJournal!$A$1:$NTR$890,COLUMN(HeadJournal!G$1),0),"")</f>
        <v>46018</v>
      </c>
      <c r="F5441" s="95" t="str">
        <f t="shared" si="405"/>
        <v>2025 12</v>
      </c>
      <c r="G5441" s="97" t="s">
        <v>5</v>
      </c>
      <c r="H5441" s="161" t="s">
        <v>2588</v>
      </c>
      <c r="I5441" s="97" t="s">
        <v>2005</v>
      </c>
      <c r="J5441" s="97" t="s">
        <v>2589</v>
      </c>
      <c r="K5441" s="29">
        <v>10.86</v>
      </c>
      <c r="L5441" s="29">
        <v>-2.17</v>
      </c>
      <c r="M5441" s="30">
        <f>IFERROR(VLOOKUP($A5441,HeadJournal!$A$1:$J$890,COLUMN(HeadJournal!I$1),0)*($K5441+$L5441)/(SUMIF($A:$A,$A5441,$K:$K)+SUMIF($A:$A,$A5441,$L:$L)),0)</f>
        <v>-0.43273014256619141</v>
      </c>
      <c r="N5441" s="30">
        <f>IFERROR((VLOOKUP($A5441,HeadJournal!$A$1:$K$890,COLUMN(HeadJournal!K$1),0)-VLOOKUP($A5441,HeadJournal!$A$1:$K$890,COLUMN(HeadJournal!J$1),0))*($K5441+$L5441)/(SUMIF($A:$A,$A5441,$K:$K)+SUMIF($A:$A,$A5441,$L:$L)),0)</f>
        <v>0</v>
      </c>
      <c r="O5441" s="30">
        <f>IFERROR((VLOOKUP($A5441,HeadJournal!$A$1:$L$890,COLUMN(HeadJournal!L$1),0)*($K5441+$L5441)/(SUMIF($A:$A,$A5441,$K:$K)+SUMIF($A:$A,$A5441,$L:$L)))/VLOOKUP($A5441,HeadJournal!$A$1:$L$890,COLUMN(HeadJournal!H$1),0),0)</f>
        <v>0.21315390172135176</v>
      </c>
      <c r="P5441" s="30">
        <f>IFERROR(SUM(K5441:O5441)*VLOOKUP($A5441,HeadJournal!$A$1:$L$890,COLUMN(HeadJournal!H$1),0),0)</f>
        <v>756.06406975560083</v>
      </c>
      <c r="Q5441" s="29">
        <v>1700</v>
      </c>
      <c r="R5441" s="31">
        <v>46142</v>
      </c>
      <c r="S5441" s="31" t="s">
        <v>3493</v>
      </c>
      <c r="T5441" s="95" t="str">
        <f t="shared" si="406"/>
        <v>2026 04</v>
      </c>
      <c r="U5441" s="32">
        <f t="shared" si="403"/>
        <v>943.93593024439917</v>
      </c>
      <c r="V5441" s="22">
        <f t="shared" si="404"/>
        <v>1.2484866931310838</v>
      </c>
      <c r="X5441" s="33"/>
      <c r="Y5441" s="33"/>
    </row>
    <row r="5442" spans="1:25" x14ac:dyDescent="0.2">
      <c r="A5442" s="93" t="s">
        <v>5195</v>
      </c>
      <c r="B5442" s="94">
        <f>IFERROR(VLOOKUP($A5442,HeadJournal!$A$1:$NTR$890,COLUMN(HeadJournal!B$1),0),"")</f>
        <v>0</v>
      </c>
      <c r="C5442" s="94" t="str">
        <f>IFERROR(VLOOKUP($A5442,HeadJournal!$A$1:$NTR$890,COLUMN(HeadJournal!C$1),0),"")</f>
        <v>iHerb_VP DFD1605</v>
      </c>
      <c r="D5442" s="125" t="str">
        <f>IFERROR(VLOOKUP($A5442,HeadJournal!$A$1:$NTR$890,COLUMN(HeadJournal!D$1),0),"")</f>
        <v>Доставлен</v>
      </c>
      <c r="E5442" s="95">
        <f>IFERROR(VLOOKUP($A5442,HeadJournal!$A$1:$NTR$890,COLUMN(HeadJournal!G$1),0),"")</f>
        <v>46020</v>
      </c>
      <c r="F5442" s="95" t="str">
        <f t="shared" si="405"/>
        <v>2025 12</v>
      </c>
      <c r="G5442" s="97" t="s">
        <v>5</v>
      </c>
      <c r="H5442" s="161" t="s">
        <v>4416</v>
      </c>
      <c r="I5442" s="97" t="s">
        <v>4417</v>
      </c>
      <c r="J5442" s="97" t="s">
        <v>4418</v>
      </c>
      <c r="K5442" s="29">
        <v>49.73</v>
      </c>
      <c r="L5442" s="29">
        <v>-9.9499999999999993</v>
      </c>
      <c r="M5442" s="30">
        <f>IFERROR(VLOOKUP($A5442,HeadJournal!$A$1:$J$890,COLUMN(HeadJournal!I$1),0)*($K5442+$L5442)/(SUMIF($A:$A,$A5442,$K:$K)+SUMIF($A:$A,$A5442,$L:$L)),0)</f>
        <v>-1.8341617021276599</v>
      </c>
      <c r="N5442" s="30">
        <f>IFERROR((VLOOKUP($A5442,HeadJournal!$A$1:$K$890,COLUMN(HeadJournal!K$1),0)-VLOOKUP($A5442,HeadJournal!$A$1:$K$890,COLUMN(HeadJournal!J$1),0))*($K5442+$L5442)/(SUMIF($A:$A,$A5442,$K:$K)+SUMIF($A:$A,$A5442,$L:$L)),0)</f>
        <v>5.6601531972038625E-15</v>
      </c>
      <c r="O5442" s="30">
        <f>IFERROR((VLOOKUP($A5442,HeadJournal!$A$1:$L$890,COLUMN(HeadJournal!L$1),0)*($K5442+$L5442)/(SUMIF($A:$A,$A5442,$K:$K)+SUMIF($A:$A,$A5442,$L:$L)))/VLOOKUP($A5442,HeadJournal!$A$1:$L$890,COLUMN(HeadJournal!H$1),0),0)</f>
        <v>0.95972068780233233</v>
      </c>
      <c r="P5442" s="30">
        <f>IFERROR(SUM(K5442:O5442)*VLOOKUP($A5442,HeadJournal!$A$1:$L$890,COLUMN(HeadJournal!H$1),0),0)</f>
        <v>3471.4686638297881</v>
      </c>
      <c r="Q5442" s="29">
        <v>5200</v>
      </c>
      <c r="R5442" s="31">
        <v>46060</v>
      </c>
      <c r="S5442" s="31"/>
      <c r="T5442" s="95" t="str">
        <f t="shared" si="406"/>
        <v>2026 02</v>
      </c>
      <c r="U5442" s="32">
        <f t="shared" si="403"/>
        <v>1728.5313361702119</v>
      </c>
      <c r="V5442" s="22">
        <f t="shared" si="404"/>
        <v>0.49792508691789961</v>
      </c>
      <c r="X5442" s="33"/>
      <c r="Y5442" s="33"/>
    </row>
    <row r="5443" spans="1:25" x14ac:dyDescent="0.2">
      <c r="A5443" s="93" t="s">
        <v>5195</v>
      </c>
      <c r="B5443" s="94">
        <f>IFERROR(VLOOKUP($A5443,HeadJournal!$A$1:$NTR$890,COLUMN(HeadJournal!B$1),0),"")</f>
        <v>0</v>
      </c>
      <c r="C5443" s="94" t="str">
        <f>IFERROR(VLOOKUP($A5443,HeadJournal!$A$1:$NTR$890,COLUMN(HeadJournal!C$1),0),"")</f>
        <v>iHerb_VP DFD1605</v>
      </c>
      <c r="D5443" s="125" t="str">
        <f>IFERROR(VLOOKUP($A5443,HeadJournal!$A$1:$NTR$890,COLUMN(HeadJournal!D$1),0),"")</f>
        <v>Доставлен</v>
      </c>
      <c r="E5443" s="95">
        <f>IFERROR(VLOOKUP($A5443,HeadJournal!$A$1:$NTR$890,COLUMN(HeadJournal!G$1),0),"")</f>
        <v>46020</v>
      </c>
      <c r="F5443" s="95" t="str">
        <f t="shared" si="405"/>
        <v>2025 12</v>
      </c>
      <c r="G5443" s="97" t="s">
        <v>5</v>
      </c>
      <c r="H5443" s="161" t="s">
        <v>3822</v>
      </c>
      <c r="I5443" s="97" t="s">
        <v>2009</v>
      </c>
      <c r="J5443" s="97" t="s">
        <v>3823</v>
      </c>
      <c r="K5443" s="29">
        <v>11.42</v>
      </c>
      <c r="L5443" s="29">
        <v>-2.2833333333333332</v>
      </c>
      <c r="M5443" s="30">
        <f>IFERROR(VLOOKUP($A5443,HeadJournal!$A$1:$J$890,COLUMN(HeadJournal!I$1),0)*($K5443+$L5443)/(SUMIF($A:$A,$A5443,$K:$K)+SUMIF($A:$A,$A5443,$L:$L)),0)</f>
        <v>-0.42127008760951196</v>
      </c>
      <c r="N5443" s="30">
        <f>IFERROR((VLOOKUP($A5443,HeadJournal!$A$1:$K$890,COLUMN(HeadJournal!K$1),0)-VLOOKUP($A5443,HeadJournal!$A$1:$K$890,COLUMN(HeadJournal!J$1),0))*($K5443+$L5443)/(SUMIF($A:$A,$A5443,$K:$K)+SUMIF($A:$A,$A5443,$L:$L)),0)</f>
        <v>1.3000234551312039E-15</v>
      </c>
      <c r="O5443" s="30">
        <f>IFERROR((VLOOKUP($A5443,HeadJournal!$A$1:$L$890,COLUMN(HeadJournal!L$1),0)*($K5443+$L5443)/(SUMIF($A:$A,$A5443,$K:$K)+SUMIF($A:$A,$A5443,$L:$L)))/VLOOKUP($A5443,HeadJournal!$A$1:$L$890,COLUMN(HeadJournal!H$1),0),0)</f>
        <v>0.2204285575051276</v>
      </c>
      <c r="P5443" s="30">
        <f>IFERROR(SUM(K5443:O5443)*VLOOKUP($A5443,HeadJournal!$A$1:$L$890,COLUMN(HeadJournal!H$1),0),0)</f>
        <v>797.32659691280787</v>
      </c>
      <c r="Q5443" s="29">
        <v>1800</v>
      </c>
      <c r="R5443" s="31">
        <v>46060</v>
      </c>
      <c r="S5443" s="31" t="s">
        <v>4875</v>
      </c>
      <c r="T5443" s="95" t="str">
        <f t="shared" si="406"/>
        <v>2026 02</v>
      </c>
      <c r="U5443" s="32">
        <f t="shared" si="403"/>
        <v>1002.6734030871921</v>
      </c>
      <c r="V5443" s="22">
        <f t="shared" si="404"/>
        <v>1.2575441568981551</v>
      </c>
      <c r="X5443" s="33"/>
      <c r="Y5443" s="33"/>
    </row>
    <row r="5444" spans="1:25" x14ac:dyDescent="0.2">
      <c r="A5444" s="93" t="s">
        <v>5195</v>
      </c>
      <c r="B5444" s="94">
        <f>IFERROR(VLOOKUP($A5444,HeadJournal!$A$1:$NTR$890,COLUMN(HeadJournal!B$1),0),"")</f>
        <v>0</v>
      </c>
      <c r="C5444" s="94" t="str">
        <f>IFERROR(VLOOKUP($A5444,HeadJournal!$A$1:$NTR$890,COLUMN(HeadJournal!C$1),0),"")</f>
        <v>iHerb_VP DFD1605</v>
      </c>
      <c r="D5444" s="125" t="str">
        <f>IFERROR(VLOOKUP($A5444,HeadJournal!$A$1:$NTR$890,COLUMN(HeadJournal!D$1),0),"")</f>
        <v>Доставлен</v>
      </c>
      <c r="E5444" s="95">
        <f>IFERROR(VLOOKUP($A5444,HeadJournal!$A$1:$NTR$890,COLUMN(HeadJournal!G$1),0),"")</f>
        <v>46020</v>
      </c>
      <c r="F5444" s="95" t="str">
        <f t="shared" ref="F5444:F5507" si="407">IFERROR(TEXT(E5444, "ГГГГ ММ"),"")</f>
        <v>2025 12</v>
      </c>
      <c r="G5444" s="97" t="s">
        <v>5</v>
      </c>
      <c r="H5444" s="161" t="s">
        <v>3822</v>
      </c>
      <c r="I5444" s="97" t="s">
        <v>2009</v>
      </c>
      <c r="J5444" s="97" t="s">
        <v>3823</v>
      </c>
      <c r="K5444" s="29">
        <v>11.42</v>
      </c>
      <c r="L5444" s="29">
        <v>-2.2833333333333332</v>
      </c>
      <c r="M5444" s="30">
        <f>IFERROR(VLOOKUP($A5444,HeadJournal!$A$1:$J$890,COLUMN(HeadJournal!I$1),0)*($K5444+$L5444)/(SUMIF($A:$A,$A5444,$K:$K)+SUMIF($A:$A,$A5444,$L:$L)),0)</f>
        <v>-0.42127008760951196</v>
      </c>
      <c r="N5444" s="30">
        <f>IFERROR((VLOOKUP($A5444,HeadJournal!$A$1:$K$890,COLUMN(HeadJournal!K$1),0)-VLOOKUP($A5444,HeadJournal!$A$1:$K$890,COLUMN(HeadJournal!J$1),0))*($K5444+$L5444)/(SUMIF($A:$A,$A5444,$K:$K)+SUMIF($A:$A,$A5444,$L:$L)),0)</f>
        <v>1.3000234551312039E-15</v>
      </c>
      <c r="O5444" s="30">
        <f>IFERROR((VLOOKUP($A5444,HeadJournal!$A$1:$L$890,COLUMN(HeadJournal!L$1),0)*($K5444+$L5444)/(SUMIF($A:$A,$A5444,$K:$K)+SUMIF($A:$A,$A5444,$L:$L)))/VLOOKUP($A5444,HeadJournal!$A$1:$L$890,COLUMN(HeadJournal!H$1),0),0)</f>
        <v>0.2204285575051276</v>
      </c>
      <c r="P5444" s="30">
        <f>IFERROR(SUM(K5444:O5444)*VLOOKUP($A5444,HeadJournal!$A$1:$L$890,COLUMN(HeadJournal!H$1),0),0)</f>
        <v>797.32659691280787</v>
      </c>
      <c r="Q5444" s="29">
        <v>1800</v>
      </c>
      <c r="R5444" s="31">
        <v>46060</v>
      </c>
      <c r="S5444" s="31" t="s">
        <v>4875</v>
      </c>
      <c r="T5444" s="95" t="str">
        <f t="shared" ref="T5444:T5507" si="408">IF(R5444="","",TEXT(R5444,"ГГГГ ММ"))</f>
        <v>2026 02</v>
      </c>
      <c r="U5444" s="32">
        <f t="shared" si="403"/>
        <v>1002.6734030871921</v>
      </c>
      <c r="V5444" s="22">
        <f t="shared" si="404"/>
        <v>1.2575441568981551</v>
      </c>
      <c r="X5444" s="33"/>
      <c r="Y5444" s="33"/>
    </row>
    <row r="5445" spans="1:25" x14ac:dyDescent="0.2">
      <c r="A5445" s="93" t="s">
        <v>5195</v>
      </c>
      <c r="B5445" s="94">
        <f>IFERROR(VLOOKUP($A5445,HeadJournal!$A$1:$NTR$890,COLUMN(HeadJournal!B$1),0),"")</f>
        <v>0</v>
      </c>
      <c r="C5445" s="94" t="str">
        <f>IFERROR(VLOOKUP($A5445,HeadJournal!$A$1:$NTR$890,COLUMN(HeadJournal!C$1),0),"")</f>
        <v>iHerb_VP DFD1605</v>
      </c>
      <c r="D5445" s="125" t="str">
        <f>IFERROR(VLOOKUP($A5445,HeadJournal!$A$1:$NTR$890,COLUMN(HeadJournal!D$1),0),"")</f>
        <v>Доставлен</v>
      </c>
      <c r="E5445" s="95">
        <f>IFERROR(VLOOKUP($A5445,HeadJournal!$A$1:$NTR$890,COLUMN(HeadJournal!G$1),0),"")</f>
        <v>46020</v>
      </c>
      <c r="F5445" s="95" t="str">
        <f t="shared" si="407"/>
        <v>2025 12</v>
      </c>
      <c r="G5445" s="97" t="s">
        <v>5</v>
      </c>
      <c r="H5445" s="161" t="s">
        <v>3822</v>
      </c>
      <c r="I5445" s="97" t="s">
        <v>2009</v>
      </c>
      <c r="J5445" s="97" t="s">
        <v>3823</v>
      </c>
      <c r="K5445" s="29">
        <v>11.42</v>
      </c>
      <c r="L5445" s="29">
        <v>-2.2833333333333332</v>
      </c>
      <c r="M5445" s="30">
        <f>IFERROR(VLOOKUP($A5445,HeadJournal!$A$1:$J$890,COLUMN(HeadJournal!I$1),0)*($K5445+$L5445)/(SUMIF($A:$A,$A5445,$K:$K)+SUMIF($A:$A,$A5445,$L:$L)),0)</f>
        <v>-0.42127008760951196</v>
      </c>
      <c r="N5445" s="30">
        <f>IFERROR((VLOOKUP($A5445,HeadJournal!$A$1:$K$890,COLUMN(HeadJournal!K$1),0)-VLOOKUP($A5445,HeadJournal!$A$1:$K$890,COLUMN(HeadJournal!J$1),0))*($K5445+$L5445)/(SUMIF($A:$A,$A5445,$K:$K)+SUMIF($A:$A,$A5445,$L:$L)),0)</f>
        <v>1.3000234551312039E-15</v>
      </c>
      <c r="O5445" s="30">
        <f>IFERROR((VLOOKUP($A5445,HeadJournal!$A$1:$L$890,COLUMN(HeadJournal!L$1),0)*($K5445+$L5445)/(SUMIF($A:$A,$A5445,$K:$K)+SUMIF($A:$A,$A5445,$L:$L)))/VLOOKUP($A5445,HeadJournal!$A$1:$L$890,COLUMN(HeadJournal!H$1),0),0)</f>
        <v>0.2204285575051276</v>
      </c>
      <c r="P5445" s="30">
        <f>IFERROR(SUM(K5445:O5445)*VLOOKUP($A5445,HeadJournal!$A$1:$L$890,COLUMN(HeadJournal!H$1),0),0)</f>
        <v>797.32659691280787</v>
      </c>
      <c r="Q5445" s="29">
        <v>1800</v>
      </c>
      <c r="R5445" s="31">
        <v>46060</v>
      </c>
      <c r="S5445" s="31" t="s">
        <v>3235</v>
      </c>
      <c r="T5445" s="95" t="str">
        <f t="shared" si="408"/>
        <v>2026 02</v>
      </c>
      <c r="U5445" s="32">
        <f t="shared" si="403"/>
        <v>1002.6734030871921</v>
      </c>
      <c r="V5445" s="22">
        <f t="shared" si="404"/>
        <v>1.2575441568981551</v>
      </c>
      <c r="X5445" s="33"/>
      <c r="Y5445" s="33"/>
    </row>
    <row r="5446" spans="1:25" x14ac:dyDescent="0.2">
      <c r="A5446" s="93" t="s">
        <v>5195</v>
      </c>
      <c r="B5446" s="94">
        <f>IFERROR(VLOOKUP($A5446,HeadJournal!$A$1:$NTR$890,COLUMN(HeadJournal!B$1),0),"")</f>
        <v>0</v>
      </c>
      <c r="C5446" s="94" t="str">
        <f>IFERROR(VLOOKUP($A5446,HeadJournal!$A$1:$NTR$890,COLUMN(HeadJournal!C$1),0),"")</f>
        <v>iHerb_VP DFD1605</v>
      </c>
      <c r="D5446" s="125" t="str">
        <f>IFERROR(VLOOKUP($A5446,HeadJournal!$A$1:$NTR$890,COLUMN(HeadJournal!D$1),0),"")</f>
        <v>Доставлен</v>
      </c>
      <c r="E5446" s="95">
        <f>IFERROR(VLOOKUP($A5446,HeadJournal!$A$1:$NTR$890,COLUMN(HeadJournal!G$1),0),"")</f>
        <v>46020</v>
      </c>
      <c r="F5446" s="95" t="str">
        <f t="shared" si="407"/>
        <v>2025 12</v>
      </c>
      <c r="G5446" s="97" t="s">
        <v>6</v>
      </c>
      <c r="H5446" s="161" t="s">
        <v>4399</v>
      </c>
      <c r="I5446" s="97" t="s">
        <v>4400</v>
      </c>
      <c r="J5446" s="97" t="s">
        <v>4933</v>
      </c>
      <c r="K5446" s="29">
        <v>19.13</v>
      </c>
      <c r="L5446" s="29">
        <v>-10.59</v>
      </c>
      <c r="M5446" s="30">
        <f>IFERROR(VLOOKUP($A5446,HeadJournal!$A$1:$J$890,COLUMN(HeadJournal!I$1),0)*($K5446+$L5446)/(SUMIF($A:$A,$A5446,$K:$K)+SUMIF($A:$A,$A5446,$L:$L)),0)</f>
        <v>-0.39375919899874851</v>
      </c>
      <c r="N5446" s="30">
        <f>IFERROR((VLOOKUP($A5446,HeadJournal!$A$1:$K$890,COLUMN(HeadJournal!K$1),0)-VLOOKUP($A5446,HeadJournal!$A$1:$K$890,COLUMN(HeadJournal!J$1),0))*($K5446+$L5446)/(SUMIF($A:$A,$A5446,$K:$K)+SUMIF($A:$A,$A5446,$L:$L)),0)</f>
        <v>1.2151259000533178E-15</v>
      </c>
      <c r="O5446" s="30">
        <f>IFERROR((VLOOKUP($A5446,HeadJournal!$A$1:$L$890,COLUMN(HeadJournal!L$1),0)*($K5446+$L5446)/(SUMIF($A:$A,$A5446,$K:$K)+SUMIF($A:$A,$A5446,$L:$L)))/VLOOKUP($A5446,HeadJournal!$A$1:$L$890,COLUMN(HeadJournal!H$1),0),0)</f>
        <v>0.20603355137837903</v>
      </c>
      <c r="P5446" s="30">
        <f>IFERROR(SUM(K5446:O5446)*VLOOKUP($A5446,HeadJournal!$A$1:$L$890,COLUMN(HeadJournal!H$1),0),0)</f>
        <v>745.25747584480609</v>
      </c>
      <c r="Q5446" s="29"/>
      <c r="R5446" s="31"/>
      <c r="S5446" s="31"/>
      <c r="T5446" s="95" t="str">
        <f t="shared" si="408"/>
        <v/>
      </c>
      <c r="U5446" s="32">
        <f t="shared" si="403"/>
        <v>-745.25747584480609</v>
      </c>
      <c r="V5446" s="22" t="str">
        <f t="shared" si="404"/>
        <v/>
      </c>
      <c r="X5446" s="33"/>
      <c r="Y5446" s="33"/>
    </row>
    <row r="5447" spans="1:25" x14ac:dyDescent="0.2">
      <c r="A5447" s="93" t="s">
        <v>5195</v>
      </c>
      <c r="B5447" s="94">
        <f>IFERROR(VLOOKUP($A5447,HeadJournal!$A$1:$NTR$890,COLUMN(HeadJournal!B$1),0),"")</f>
        <v>0</v>
      </c>
      <c r="C5447" s="94" t="str">
        <f>IFERROR(VLOOKUP($A5447,HeadJournal!$A$1:$NTR$890,COLUMN(HeadJournal!C$1),0),"")</f>
        <v>iHerb_VP DFD1605</v>
      </c>
      <c r="D5447" s="125" t="str">
        <f>IFERROR(VLOOKUP($A5447,HeadJournal!$A$1:$NTR$890,COLUMN(HeadJournal!D$1),0),"")</f>
        <v>Доставлен</v>
      </c>
      <c r="E5447" s="95">
        <f>IFERROR(VLOOKUP($A5447,HeadJournal!$A$1:$NTR$890,COLUMN(HeadJournal!G$1),0),"")</f>
        <v>46020</v>
      </c>
      <c r="F5447" s="95" t="str">
        <f t="shared" si="407"/>
        <v>2025 12</v>
      </c>
      <c r="G5447" s="97" t="s">
        <v>5</v>
      </c>
      <c r="H5447" s="161" t="s">
        <v>2841</v>
      </c>
      <c r="I5447" s="97" t="s">
        <v>2839</v>
      </c>
      <c r="J5447" s="97" t="s">
        <v>2842</v>
      </c>
      <c r="K5447" s="29">
        <v>18.04</v>
      </c>
      <c r="L5447" s="29">
        <v>0</v>
      </c>
      <c r="M5447" s="30">
        <f>IFERROR(VLOOKUP($A5447,HeadJournal!$A$1:$J$890,COLUMN(HeadJournal!I$1),0)*($K5447+$L5447)/(SUMIF($A:$A,$A5447,$K:$K)+SUMIF($A:$A,$A5447,$L:$L)),0)</f>
        <v>-0.83178172715894882</v>
      </c>
      <c r="N5447" s="30">
        <f>IFERROR((VLOOKUP($A5447,HeadJournal!$A$1:$K$890,COLUMN(HeadJournal!K$1),0)-VLOOKUP($A5447,HeadJournal!$A$1:$K$890,COLUMN(HeadJournal!J$1),0))*($K5447+$L5447)/(SUMIF($A:$A,$A5447,$K:$K)+SUMIF($A:$A,$A5447,$L:$L)),0)</f>
        <v>2.5668467490587652E-15</v>
      </c>
      <c r="O5447" s="30">
        <f>IFERROR((VLOOKUP($A5447,HeadJournal!$A$1:$L$890,COLUMN(HeadJournal!L$1),0)*($K5447+$L5447)/(SUMIF($A:$A,$A5447,$K:$K)+SUMIF($A:$A,$A5447,$L:$L)))/VLOOKUP($A5447,HeadJournal!$A$1:$L$890,COLUMN(HeadJournal!H$1),0),0)</f>
        <v>0.43522778300538151</v>
      </c>
      <c r="P5447" s="30">
        <f>IFERROR(SUM(K5447:O5447)*VLOOKUP($A5447,HeadJournal!$A$1:$L$890,COLUMN(HeadJournal!H$1),0),0)</f>
        <v>1574.2909677096375</v>
      </c>
      <c r="Q5447" s="29">
        <v>2500</v>
      </c>
      <c r="R5447" s="31">
        <v>46148</v>
      </c>
      <c r="S5447" s="31" t="s">
        <v>5712</v>
      </c>
      <c r="T5447" s="95" t="str">
        <f t="shared" si="408"/>
        <v>2026 05</v>
      </c>
      <c r="U5447" s="32">
        <f t="shared" si="403"/>
        <v>925.70903229036253</v>
      </c>
      <c r="V5447" s="22">
        <f t="shared" si="404"/>
        <v>0.5880164793406224</v>
      </c>
      <c r="X5447" s="33"/>
      <c r="Y5447" s="33"/>
    </row>
    <row r="5448" spans="1:25" x14ac:dyDescent="0.2">
      <c r="A5448" s="93" t="s">
        <v>5195</v>
      </c>
      <c r="B5448" s="94">
        <f>IFERROR(VLOOKUP($A5448,HeadJournal!$A$1:$NTR$890,COLUMN(HeadJournal!B$1),0),"")</f>
        <v>0</v>
      </c>
      <c r="C5448" s="94" t="str">
        <f>IFERROR(VLOOKUP($A5448,HeadJournal!$A$1:$NTR$890,COLUMN(HeadJournal!C$1),0),"")</f>
        <v>iHerb_VP DFD1605</v>
      </c>
      <c r="D5448" s="125" t="str">
        <f>IFERROR(VLOOKUP($A5448,HeadJournal!$A$1:$NTR$890,COLUMN(HeadJournal!D$1),0),"")</f>
        <v>Доставлен</v>
      </c>
      <c r="E5448" s="95">
        <f>IFERROR(VLOOKUP($A5448,HeadJournal!$A$1:$NTR$890,COLUMN(HeadJournal!G$1),0),"")</f>
        <v>46020</v>
      </c>
      <c r="F5448" s="95" t="str">
        <f t="shared" si="407"/>
        <v>2025 12</v>
      </c>
      <c r="G5448" s="97" t="s">
        <v>5</v>
      </c>
      <c r="H5448" s="161" t="s">
        <v>2841</v>
      </c>
      <c r="I5448" s="97" t="s">
        <v>2839</v>
      </c>
      <c r="J5448" s="97" t="s">
        <v>2842</v>
      </c>
      <c r="K5448" s="29">
        <v>18.04</v>
      </c>
      <c r="L5448" s="29">
        <v>0</v>
      </c>
      <c r="M5448" s="30">
        <f>IFERROR(VLOOKUP($A5448,HeadJournal!$A$1:$J$890,COLUMN(HeadJournal!I$1),0)*($K5448+$L5448)/(SUMIF($A:$A,$A5448,$K:$K)+SUMIF($A:$A,$A5448,$L:$L)),0)</f>
        <v>-0.83178172715894882</v>
      </c>
      <c r="N5448" s="30">
        <f>IFERROR((VLOOKUP($A5448,HeadJournal!$A$1:$K$890,COLUMN(HeadJournal!K$1),0)-VLOOKUP($A5448,HeadJournal!$A$1:$K$890,COLUMN(HeadJournal!J$1),0))*($K5448+$L5448)/(SUMIF($A:$A,$A5448,$K:$K)+SUMIF($A:$A,$A5448,$L:$L)),0)</f>
        <v>2.5668467490587652E-15</v>
      </c>
      <c r="O5448" s="30">
        <f>IFERROR((VLOOKUP($A5448,HeadJournal!$A$1:$L$890,COLUMN(HeadJournal!L$1),0)*($K5448+$L5448)/(SUMIF($A:$A,$A5448,$K:$K)+SUMIF($A:$A,$A5448,$L:$L)))/VLOOKUP($A5448,HeadJournal!$A$1:$L$890,COLUMN(HeadJournal!H$1),0),0)</f>
        <v>0.43522778300538151</v>
      </c>
      <c r="P5448" s="30">
        <f>IFERROR(SUM(K5448:O5448)*VLOOKUP($A5448,HeadJournal!$A$1:$L$890,COLUMN(HeadJournal!H$1),0),0)</f>
        <v>1574.2909677096375</v>
      </c>
      <c r="Q5448" s="29"/>
      <c r="R5448" s="31"/>
      <c r="S5448" s="31"/>
      <c r="T5448" s="95" t="str">
        <f t="shared" si="408"/>
        <v/>
      </c>
      <c r="U5448" s="32">
        <f t="shared" si="403"/>
        <v>-1574.2909677096375</v>
      </c>
      <c r="V5448" s="22" t="str">
        <f t="shared" si="404"/>
        <v/>
      </c>
      <c r="X5448" s="33"/>
      <c r="Y5448" s="33"/>
    </row>
    <row r="5449" spans="1:25" x14ac:dyDescent="0.2">
      <c r="A5449" s="93" t="s">
        <v>5195</v>
      </c>
      <c r="B5449" s="94">
        <f>IFERROR(VLOOKUP($A5449,HeadJournal!$A$1:$NTR$890,COLUMN(HeadJournal!B$1),0),"")</f>
        <v>0</v>
      </c>
      <c r="C5449" s="94" t="str">
        <f>IFERROR(VLOOKUP($A5449,HeadJournal!$A$1:$NTR$890,COLUMN(HeadJournal!C$1),0),"")</f>
        <v>iHerb_VP DFD1605</v>
      </c>
      <c r="D5449" s="125" t="str">
        <f>IFERROR(VLOOKUP($A5449,HeadJournal!$A$1:$NTR$890,COLUMN(HeadJournal!D$1),0),"")</f>
        <v>Доставлен</v>
      </c>
      <c r="E5449" s="95">
        <f>IFERROR(VLOOKUP($A5449,HeadJournal!$A$1:$NTR$890,COLUMN(HeadJournal!G$1),0),"")</f>
        <v>46020</v>
      </c>
      <c r="F5449" s="95" t="str">
        <f t="shared" si="407"/>
        <v>2025 12</v>
      </c>
      <c r="G5449" s="97" t="s">
        <v>5</v>
      </c>
      <c r="H5449" s="161" t="s">
        <v>4947</v>
      </c>
      <c r="I5449" s="97" t="s">
        <v>2839</v>
      </c>
      <c r="J5449" s="97" t="s">
        <v>4948</v>
      </c>
      <c r="K5449" s="29">
        <v>18.13</v>
      </c>
      <c r="L5449" s="29">
        <v>0</v>
      </c>
      <c r="M5449" s="30">
        <f>IFERROR(VLOOKUP($A5449,HeadJournal!$A$1:$J$890,COLUMN(HeadJournal!I$1),0)*($K5449+$L5449)/(SUMIF($A:$A,$A5449,$K:$K)+SUMIF($A:$A,$A5449,$L:$L)),0)</f>
        <v>-0.83593141426783502</v>
      </c>
      <c r="N5449" s="30">
        <f>IFERROR((VLOOKUP($A5449,HeadJournal!$A$1:$K$890,COLUMN(HeadJournal!K$1),0)-VLOOKUP($A5449,HeadJournal!$A$1:$K$890,COLUMN(HeadJournal!J$1),0))*($K5449+$L5449)/(SUMIF($A:$A,$A5449,$K:$K)+SUMIF($A:$A,$A5449,$L:$L)),0)</f>
        <v>2.5796525255230274E-15</v>
      </c>
      <c r="O5449" s="30">
        <f>IFERROR((VLOOKUP($A5449,HeadJournal!$A$1:$L$890,COLUMN(HeadJournal!L$1),0)*($K5449+$L5449)/(SUMIF($A:$A,$A5449,$K:$K)+SUMIF($A:$A,$A5449,$L:$L)))/VLOOKUP($A5449,HeadJournal!$A$1:$L$890,COLUMN(HeadJournal!H$1),0),0)</f>
        <v>0.43739909677868988</v>
      </c>
      <c r="P5449" s="30">
        <f>IFERROR(SUM(K5449:O5449)*VLOOKUP($A5449,HeadJournal!$A$1:$L$890,COLUMN(HeadJournal!H$1),0),0)</f>
        <v>1582.1449692115145</v>
      </c>
      <c r="Q5449" s="29">
        <v>2400</v>
      </c>
      <c r="R5449" s="31">
        <v>46060</v>
      </c>
      <c r="S5449" s="31" t="s">
        <v>4457</v>
      </c>
      <c r="T5449" s="95" t="str">
        <f t="shared" si="408"/>
        <v>2026 02</v>
      </c>
      <c r="U5449" s="32">
        <f t="shared" si="403"/>
        <v>817.85503078848546</v>
      </c>
      <c r="V5449" s="22">
        <f t="shared" si="404"/>
        <v>0.5169279975627491</v>
      </c>
      <c r="X5449" s="33"/>
      <c r="Y5449" s="33"/>
    </row>
    <row r="5450" spans="1:25" x14ac:dyDescent="0.2">
      <c r="A5450" s="93" t="s">
        <v>5195</v>
      </c>
      <c r="B5450" s="94">
        <f>IFERROR(VLOOKUP($A5450,HeadJournal!$A$1:$NTR$890,COLUMN(HeadJournal!B$1),0),"")</f>
        <v>0</v>
      </c>
      <c r="C5450" s="94" t="str">
        <f>IFERROR(VLOOKUP($A5450,HeadJournal!$A$1:$NTR$890,COLUMN(HeadJournal!C$1),0),"")</f>
        <v>iHerb_VP DFD1605</v>
      </c>
      <c r="D5450" s="125" t="str">
        <f>IFERROR(VLOOKUP($A5450,HeadJournal!$A$1:$NTR$890,COLUMN(HeadJournal!D$1),0),"")</f>
        <v>Доставлен</v>
      </c>
      <c r="E5450" s="95">
        <f>IFERROR(VLOOKUP($A5450,HeadJournal!$A$1:$NTR$890,COLUMN(HeadJournal!G$1),0),"")</f>
        <v>46020</v>
      </c>
      <c r="F5450" s="95" t="str">
        <f t="shared" si="407"/>
        <v>2025 12</v>
      </c>
      <c r="G5450" s="97" t="s">
        <v>5</v>
      </c>
      <c r="H5450" s="161" t="s">
        <v>5047</v>
      </c>
      <c r="I5450" s="97" t="s">
        <v>2056</v>
      </c>
      <c r="J5450" s="97" t="s">
        <v>5048</v>
      </c>
      <c r="K5450" s="29">
        <v>67.19</v>
      </c>
      <c r="L5450" s="29">
        <v>-13.44</v>
      </c>
      <c r="M5450" s="30">
        <f>IFERROR(VLOOKUP($A5450,HeadJournal!$A$1:$J$890,COLUMN(HeadJournal!I$1),0)*($K5450+$L5450)/(SUMIF($A:$A,$A5450,$K:$K)+SUMIF($A:$A,$A5450,$L:$L)),0)</f>
        <v>-2.4782853566958702</v>
      </c>
      <c r="N5450" s="30">
        <f>IFERROR((VLOOKUP($A5450,HeadJournal!$A$1:$K$890,COLUMN(HeadJournal!K$1),0)-VLOOKUP($A5450,HeadJournal!$A$1:$K$890,COLUMN(HeadJournal!J$1),0))*($K5450+$L5450)/(SUMIF($A:$A,$A5450,$K:$K)+SUMIF($A:$A,$A5450,$L:$L)),0)</f>
        <v>7.6478942772676632E-15</v>
      </c>
      <c r="O5450" s="30">
        <f>IFERROR((VLOOKUP($A5450,HeadJournal!$A$1:$L$890,COLUMN(HeadJournal!L$1),0)*($K5450+$L5450)/(SUMIF($A:$A,$A5450,$K:$K)+SUMIF($A:$A,$A5450,$L:$L)))/VLOOKUP($A5450,HeadJournal!$A$1:$L$890,COLUMN(HeadJournal!H$1),0),0)</f>
        <v>1.2967568368369875</v>
      </c>
      <c r="P5450" s="30">
        <f>IFERROR(SUM(K5450:O5450)*VLOOKUP($A5450,HeadJournal!$A$1:$L$890,COLUMN(HeadJournal!H$1),0),0)</f>
        <v>4690.5842302878609</v>
      </c>
      <c r="Q5450" s="29"/>
      <c r="R5450" s="31"/>
      <c r="S5450" s="31"/>
      <c r="T5450" s="95" t="str">
        <f t="shared" si="408"/>
        <v/>
      </c>
      <c r="U5450" s="32">
        <f t="shared" si="403"/>
        <v>-4690.5842302878609</v>
      </c>
      <c r="V5450" s="22" t="str">
        <f t="shared" si="404"/>
        <v/>
      </c>
      <c r="X5450" s="33"/>
      <c r="Y5450" s="33"/>
    </row>
    <row r="5451" spans="1:25" x14ac:dyDescent="0.2">
      <c r="A5451" s="93" t="s">
        <v>5195</v>
      </c>
      <c r="B5451" s="94">
        <f>IFERROR(VLOOKUP($A5451,HeadJournal!$A$1:$NTR$890,COLUMN(HeadJournal!B$1),0),"")</f>
        <v>0</v>
      </c>
      <c r="C5451" s="94" t="str">
        <f>IFERROR(VLOOKUP($A5451,HeadJournal!$A$1:$NTR$890,COLUMN(HeadJournal!C$1),0),"")</f>
        <v>iHerb_VP DFD1605</v>
      </c>
      <c r="D5451" s="125" t="str">
        <f>IFERROR(VLOOKUP($A5451,HeadJournal!$A$1:$NTR$890,COLUMN(HeadJournal!D$1),0),"")</f>
        <v>Доставлен</v>
      </c>
      <c r="E5451" s="95">
        <f>IFERROR(VLOOKUP($A5451,HeadJournal!$A$1:$NTR$890,COLUMN(HeadJournal!G$1),0),"")</f>
        <v>46020</v>
      </c>
      <c r="F5451" s="95" t="str">
        <f t="shared" si="407"/>
        <v>2025 12</v>
      </c>
      <c r="G5451" s="97" t="s">
        <v>5</v>
      </c>
      <c r="H5451" s="161" t="s">
        <v>2471</v>
      </c>
      <c r="I5451" s="97" t="s">
        <v>2039</v>
      </c>
      <c r="J5451" s="97" t="s">
        <v>2472</v>
      </c>
      <c r="K5451" s="29">
        <v>20.07</v>
      </c>
      <c r="L5451" s="29">
        <v>-4.01</v>
      </c>
      <c r="M5451" s="30">
        <f>IFERROR(VLOOKUP($A5451,HeadJournal!$A$1:$J$890,COLUMN(HeadJournal!I$1),0)*($K5451+$L5451)/(SUMIF($A:$A,$A5451,$K:$K)+SUMIF($A:$A,$A5451,$L:$L)),0)</f>
        <v>-0.74048861076345451</v>
      </c>
      <c r="N5451" s="30">
        <f>IFERROR((VLOOKUP($A5451,HeadJournal!$A$1:$K$890,COLUMN(HeadJournal!K$1),0)-VLOOKUP($A5451,HeadJournal!$A$1:$K$890,COLUMN(HeadJournal!J$1),0))*($K5451+$L5451)/(SUMIF($A:$A,$A5451,$K:$K)+SUMIF($A:$A,$A5451,$L:$L)),0)</f>
        <v>2.2851196668449985E-15</v>
      </c>
      <c r="O5451" s="30">
        <f>IFERROR((VLOOKUP($A5451,HeadJournal!$A$1:$L$890,COLUMN(HeadJournal!L$1),0)*($K5451+$L5451)/(SUMIF($A:$A,$A5451,$K:$K)+SUMIF($A:$A,$A5451,$L:$L)))/VLOOKUP($A5451,HeadJournal!$A$1:$L$890,COLUMN(HeadJournal!H$1),0),0)</f>
        <v>0.38745887999259576</v>
      </c>
      <c r="P5451" s="30">
        <f>IFERROR(SUM(K5451:O5451)*VLOOKUP($A5451,HeadJournal!$A$1:$L$890,COLUMN(HeadJournal!H$1),0),0)</f>
        <v>1401.5029346683359</v>
      </c>
      <c r="Q5451" s="29">
        <v>2600</v>
      </c>
      <c r="R5451" s="31">
        <v>46060</v>
      </c>
      <c r="S5451" s="31" t="s">
        <v>4630</v>
      </c>
      <c r="T5451" s="95" t="str">
        <f t="shared" si="408"/>
        <v>2026 02</v>
      </c>
      <c r="U5451" s="32">
        <f t="shared" si="403"/>
        <v>1198.4970653316641</v>
      </c>
      <c r="V5451" s="22">
        <f t="shared" si="404"/>
        <v>0.85515130627627767</v>
      </c>
      <c r="X5451" s="33"/>
      <c r="Y5451" s="33"/>
    </row>
    <row r="5452" spans="1:25" x14ac:dyDescent="0.2">
      <c r="A5452" s="93" t="s">
        <v>5204</v>
      </c>
      <c r="B5452" s="94">
        <f>IFERROR(VLOOKUP($A5452,HeadJournal!$A$1:$NTR$890,COLUMN(HeadJournal!B$1),0),"")</f>
        <v>0</v>
      </c>
      <c r="C5452" s="94" t="str">
        <f>IFERROR(VLOOKUP($A5452,HeadJournal!$A$1:$NTR$890,COLUMN(HeadJournal!C$1),0),"")</f>
        <v>iHerb_AV CYG0792</v>
      </c>
      <c r="D5452" s="125" t="str">
        <f>IFERROR(VLOOKUP($A5452,HeadJournal!$A$1:$NTR$890,COLUMN(HeadJournal!D$1),0),"")</f>
        <v>Доставлен</v>
      </c>
      <c r="E5452" s="95">
        <f>IFERROR(VLOOKUP($A5452,HeadJournal!$A$1:$NTR$890,COLUMN(HeadJournal!G$1),0),"")</f>
        <v>46021</v>
      </c>
      <c r="F5452" s="95" t="str">
        <f t="shared" si="407"/>
        <v>2025 12</v>
      </c>
      <c r="G5452" s="97" t="s">
        <v>5</v>
      </c>
      <c r="H5452" s="161" t="s">
        <v>4947</v>
      </c>
      <c r="I5452" s="97" t="s">
        <v>2839</v>
      </c>
      <c r="J5452" s="97" t="s">
        <v>4948</v>
      </c>
      <c r="K5452" s="29">
        <v>18.13</v>
      </c>
      <c r="L5452" s="29">
        <v>0</v>
      </c>
      <c r="M5452" s="30">
        <f>IFERROR(VLOOKUP($A5452,HeadJournal!$A$1:$J$890,COLUMN(HeadJournal!I$1),0)*($K5452+$L5452)/(SUMIF($A:$A,$A5452,$K:$K)+SUMIF($A:$A,$A5452,$L:$L)),0)</f>
        <v>-1.5720502431118315</v>
      </c>
      <c r="N5452" s="30">
        <f>IFERROR((VLOOKUP($A5452,HeadJournal!$A$1:$K$890,COLUMN(HeadJournal!K$1),0)-VLOOKUP($A5452,HeadJournal!$A$1:$K$890,COLUMN(HeadJournal!J$1),0))*($K5452+$L5452)/(SUMIF($A:$A,$A5452,$K:$K)+SUMIF($A:$A,$A5452,$L:$L)),0)</f>
        <v>0</v>
      </c>
      <c r="O5452" s="30">
        <f>IFERROR((VLOOKUP($A5452,HeadJournal!$A$1:$L$890,COLUMN(HeadJournal!L$1),0)*($K5452+$L5452)/(SUMIF($A:$A,$A5452,$K:$K)+SUMIF($A:$A,$A5452,$L:$L)))/VLOOKUP($A5452,HeadJournal!$A$1:$L$890,COLUMN(HeadJournal!H$1),0),0)</f>
        <v>0.78337190407346091</v>
      </c>
      <c r="P5452" s="30">
        <f>IFERROR(SUM(K5452:O5452)*VLOOKUP($A5452,HeadJournal!$A$1:$L$890,COLUMN(HeadJournal!H$1),0),0)</f>
        <v>1553.8990212497747</v>
      </c>
      <c r="Q5452" s="29">
        <v>2400</v>
      </c>
      <c r="R5452" s="31">
        <v>46066</v>
      </c>
      <c r="S5452" s="31"/>
      <c r="T5452" s="95" t="str">
        <f t="shared" si="408"/>
        <v>2026 02</v>
      </c>
      <c r="U5452" s="32">
        <f t="shared" si="403"/>
        <v>846.10097875022529</v>
      </c>
      <c r="V5452" s="22">
        <f t="shared" si="404"/>
        <v>0.54450190596665704</v>
      </c>
      <c r="X5452" s="33"/>
      <c r="Y5452" s="33"/>
    </row>
    <row r="5453" spans="1:25" x14ac:dyDescent="0.2">
      <c r="A5453" s="93" t="s">
        <v>5204</v>
      </c>
      <c r="B5453" s="94">
        <f>IFERROR(VLOOKUP($A5453,HeadJournal!$A$1:$NTR$890,COLUMN(HeadJournal!B$1),0),"")</f>
        <v>0</v>
      </c>
      <c r="C5453" s="94" t="str">
        <f>IFERROR(VLOOKUP($A5453,HeadJournal!$A$1:$NTR$890,COLUMN(HeadJournal!C$1),0),"")</f>
        <v>iHerb_AV CYG0792</v>
      </c>
      <c r="D5453" s="125" t="str">
        <f>IFERROR(VLOOKUP($A5453,HeadJournal!$A$1:$NTR$890,COLUMN(HeadJournal!D$1),0),"")</f>
        <v>Доставлен</v>
      </c>
      <c r="E5453" s="95">
        <f>IFERROR(VLOOKUP($A5453,HeadJournal!$A$1:$NTR$890,COLUMN(HeadJournal!G$1),0),"")</f>
        <v>46021</v>
      </c>
      <c r="F5453" s="95" t="str">
        <f t="shared" si="407"/>
        <v>2025 12</v>
      </c>
      <c r="G5453" s="97" t="s">
        <v>5</v>
      </c>
      <c r="H5453" s="161" t="s">
        <v>4346</v>
      </c>
      <c r="I5453" s="97" t="s">
        <v>2839</v>
      </c>
      <c r="J5453" s="97" t="s">
        <v>4347</v>
      </c>
      <c r="K5453" s="29">
        <v>7.73</v>
      </c>
      <c r="L5453" s="29">
        <v>0</v>
      </c>
      <c r="M5453" s="30">
        <f>IFERROR(VLOOKUP($A5453,HeadJournal!$A$1:$J$890,COLUMN(HeadJournal!I$1),0)*($K5453+$L5453)/(SUMIF($A:$A,$A5453,$K:$K)+SUMIF($A:$A,$A5453,$L:$L)),0)</f>
        <v>-0.67026742301458675</v>
      </c>
      <c r="N5453" s="30">
        <f>IFERROR((VLOOKUP($A5453,HeadJournal!$A$1:$K$890,COLUMN(HeadJournal!K$1),0)-VLOOKUP($A5453,HeadJournal!$A$1:$K$890,COLUMN(HeadJournal!J$1),0))*($K5453+$L5453)/(SUMIF($A:$A,$A5453,$K:$K)+SUMIF($A:$A,$A5453,$L:$L)),0)</f>
        <v>0</v>
      </c>
      <c r="O5453" s="30">
        <f>IFERROR((VLOOKUP($A5453,HeadJournal!$A$1:$L$890,COLUMN(HeadJournal!L$1),0)*($K5453+$L5453)/(SUMIF($A:$A,$A5453,$K:$K)+SUMIF($A:$A,$A5453,$L:$L)))/VLOOKUP($A5453,HeadJournal!$A$1:$L$890,COLUMN(HeadJournal!H$1),0),0)</f>
        <v>0.33400247206220929</v>
      </c>
      <c r="P5453" s="30">
        <f>IFERROR(SUM(K5453:O5453)*VLOOKUP($A5453,HeadJournal!$A$1:$L$890,COLUMN(HeadJournal!H$1),0),0)</f>
        <v>662.52837475238607</v>
      </c>
      <c r="Q5453" s="29">
        <v>1300</v>
      </c>
      <c r="R5453" s="31">
        <v>46076</v>
      </c>
      <c r="S5453" s="31" t="s">
        <v>4457</v>
      </c>
      <c r="T5453" s="95" t="str">
        <f t="shared" si="408"/>
        <v>2026 02</v>
      </c>
      <c r="U5453" s="32">
        <f t="shared" si="403"/>
        <v>637.47162524761393</v>
      </c>
      <c r="V5453" s="22">
        <f t="shared" si="404"/>
        <v>0.9621801111323921</v>
      </c>
      <c r="X5453" s="33"/>
      <c r="Y5453" s="33"/>
    </row>
    <row r="5454" spans="1:25" x14ac:dyDescent="0.2">
      <c r="A5454" s="93" t="s">
        <v>5204</v>
      </c>
      <c r="B5454" s="94">
        <f>IFERROR(VLOOKUP($A5454,HeadJournal!$A$1:$NTR$890,COLUMN(HeadJournal!B$1),0),"")</f>
        <v>0</v>
      </c>
      <c r="C5454" s="94" t="str">
        <f>IFERROR(VLOOKUP($A5454,HeadJournal!$A$1:$NTR$890,COLUMN(HeadJournal!C$1),0),"")</f>
        <v>iHerb_AV CYG0792</v>
      </c>
      <c r="D5454" s="125" t="str">
        <f>IFERROR(VLOOKUP($A5454,HeadJournal!$A$1:$NTR$890,COLUMN(HeadJournal!D$1),0),"")</f>
        <v>Доставлен</v>
      </c>
      <c r="E5454" s="95">
        <f>IFERROR(VLOOKUP($A5454,HeadJournal!$A$1:$NTR$890,COLUMN(HeadJournal!G$1),0),"")</f>
        <v>46021</v>
      </c>
      <c r="F5454" s="95" t="str">
        <f t="shared" si="407"/>
        <v>2025 12</v>
      </c>
      <c r="G5454" s="97" t="s">
        <v>5</v>
      </c>
      <c r="H5454" s="161" t="s">
        <v>5196</v>
      </c>
      <c r="I5454" s="97" t="s">
        <v>2839</v>
      </c>
      <c r="J5454" s="97" t="s">
        <v>5197</v>
      </c>
      <c r="K5454" s="29">
        <v>13.64</v>
      </c>
      <c r="L5454" s="29">
        <v>0</v>
      </c>
      <c r="M5454" s="30">
        <f>IFERROR(VLOOKUP($A5454,HeadJournal!$A$1:$J$890,COLUMN(HeadJournal!I$1),0)*($K5454+$L5454)/(SUMIF($A:$A,$A5454,$K:$K)+SUMIF($A:$A,$A5454,$L:$L)),0)</f>
        <v>-1.1827228525121558</v>
      </c>
      <c r="N5454" s="30">
        <f>IFERROR((VLOOKUP($A5454,HeadJournal!$A$1:$K$890,COLUMN(HeadJournal!K$1),0)-VLOOKUP($A5454,HeadJournal!$A$1:$K$890,COLUMN(HeadJournal!J$1),0))*($K5454+$L5454)/(SUMIF($A:$A,$A5454,$K:$K)+SUMIF($A:$A,$A5454,$L:$L)),0)</f>
        <v>0</v>
      </c>
      <c r="O5454" s="30">
        <f>IFERROR((VLOOKUP($A5454,HeadJournal!$A$1:$L$890,COLUMN(HeadJournal!L$1),0)*($K5454+$L5454)/(SUMIF($A:$A,$A5454,$K:$K)+SUMIF($A:$A,$A5454,$L:$L)))/VLOOKUP($A5454,HeadJournal!$A$1:$L$890,COLUMN(HeadJournal!H$1),0),0)</f>
        <v>0.58936529352244948</v>
      </c>
      <c r="P5454" s="30">
        <f>IFERROR(SUM(K5454:O5454)*VLOOKUP($A5454,HeadJournal!$A$1:$L$890,COLUMN(HeadJournal!H$1),0),0)</f>
        <v>1169.066886367729</v>
      </c>
      <c r="Q5454" s="29"/>
      <c r="R5454" s="31"/>
      <c r="S5454" s="31"/>
      <c r="T5454" s="95" t="str">
        <f t="shared" si="408"/>
        <v/>
      </c>
      <c r="U5454" s="32">
        <f t="shared" si="403"/>
        <v>-1169.066886367729</v>
      </c>
      <c r="V5454" s="22" t="str">
        <f t="shared" si="404"/>
        <v/>
      </c>
      <c r="X5454" s="33"/>
      <c r="Y5454" s="33"/>
    </row>
    <row r="5455" spans="1:25" x14ac:dyDescent="0.2">
      <c r="A5455" s="93" t="s">
        <v>5204</v>
      </c>
      <c r="B5455" s="94">
        <f>IFERROR(VLOOKUP($A5455,HeadJournal!$A$1:$NTR$890,COLUMN(HeadJournal!B$1),0),"")</f>
        <v>0</v>
      </c>
      <c r="C5455" s="94" t="str">
        <f>IFERROR(VLOOKUP($A5455,HeadJournal!$A$1:$NTR$890,COLUMN(HeadJournal!C$1),0),"")</f>
        <v>iHerb_AV CYG0792</v>
      </c>
      <c r="D5455" s="125" t="str">
        <f>IFERROR(VLOOKUP($A5455,HeadJournal!$A$1:$NTR$890,COLUMN(HeadJournal!D$1),0),"")</f>
        <v>Доставлен</v>
      </c>
      <c r="E5455" s="95">
        <f>IFERROR(VLOOKUP($A5455,HeadJournal!$A$1:$NTR$890,COLUMN(HeadJournal!G$1),0),"")</f>
        <v>46021</v>
      </c>
      <c r="F5455" s="95" t="str">
        <f t="shared" si="407"/>
        <v>2025 12</v>
      </c>
      <c r="G5455" s="97" t="s">
        <v>5</v>
      </c>
      <c r="H5455" s="161" t="s">
        <v>2845</v>
      </c>
      <c r="I5455" s="97" t="s">
        <v>2839</v>
      </c>
      <c r="J5455" s="97" t="s">
        <v>2846</v>
      </c>
      <c r="K5455" s="29">
        <v>23.26</v>
      </c>
      <c r="L5455" s="29">
        <v>0</v>
      </c>
      <c r="M5455" s="30">
        <f>IFERROR(VLOOKUP($A5455,HeadJournal!$A$1:$J$890,COLUMN(HeadJournal!I$1),0)*($K5455+$L5455)/(SUMIF($A:$A,$A5455,$K:$K)+SUMIF($A:$A,$A5455,$L:$L)),0)</f>
        <v>-2.0168719611021073</v>
      </c>
      <c r="N5455" s="30">
        <f>IFERROR((VLOOKUP($A5455,HeadJournal!$A$1:$K$890,COLUMN(HeadJournal!K$1),0)-VLOOKUP($A5455,HeadJournal!$A$1:$K$890,COLUMN(HeadJournal!J$1),0))*($K5455+$L5455)/(SUMIF($A:$A,$A5455,$K:$K)+SUMIF($A:$A,$A5455,$L:$L)),0)</f>
        <v>0</v>
      </c>
      <c r="O5455" s="30">
        <f>IFERROR((VLOOKUP($A5455,HeadJournal!$A$1:$L$890,COLUMN(HeadJournal!L$1),0)*($K5455+$L5455)/(SUMIF($A:$A,$A5455,$K:$K)+SUMIF($A:$A,$A5455,$L:$L)))/VLOOKUP($A5455,HeadJournal!$A$1:$L$890,COLUMN(HeadJournal!H$1),0),0)</f>
        <v>1.0050320181328574</v>
      </c>
      <c r="P5455" s="30">
        <f>IFERROR(SUM(K5455:O5455)*VLOOKUP($A5455,HeadJournal!$A$1:$L$890,COLUMN(HeadJournal!H$1),0),0)</f>
        <v>1993.5847343778137</v>
      </c>
      <c r="Q5455" s="29">
        <v>3200</v>
      </c>
      <c r="R5455" s="31">
        <v>46154</v>
      </c>
      <c r="S5455" s="31"/>
      <c r="T5455" s="95" t="str">
        <f t="shared" si="408"/>
        <v>2026 05</v>
      </c>
      <c r="U5455" s="32">
        <f t="shared" si="403"/>
        <v>1206.4152656221863</v>
      </c>
      <c r="V5455" s="22">
        <f t="shared" si="404"/>
        <v>0.60514872772573747</v>
      </c>
      <c r="X5455" s="33"/>
      <c r="Y5455" s="33"/>
    </row>
    <row r="5456" spans="1:25" x14ac:dyDescent="0.2">
      <c r="A5456" s="93" t="s">
        <v>5204</v>
      </c>
      <c r="B5456" s="94">
        <f>IFERROR(VLOOKUP($A5456,HeadJournal!$A$1:$NTR$890,COLUMN(HeadJournal!B$1),0),"")</f>
        <v>0</v>
      </c>
      <c r="C5456" s="94" t="str">
        <f>IFERROR(VLOOKUP($A5456,HeadJournal!$A$1:$NTR$890,COLUMN(HeadJournal!C$1),0),"")</f>
        <v>iHerb_AV CYG0792</v>
      </c>
      <c r="D5456" s="125" t="str">
        <f>IFERROR(VLOOKUP($A5456,HeadJournal!$A$1:$NTR$890,COLUMN(HeadJournal!D$1),0),"")</f>
        <v>Доставлен</v>
      </c>
      <c r="E5456" s="95">
        <f>IFERROR(VLOOKUP($A5456,HeadJournal!$A$1:$NTR$890,COLUMN(HeadJournal!G$1),0),"")</f>
        <v>46021</v>
      </c>
      <c r="F5456" s="95" t="str">
        <f t="shared" si="407"/>
        <v>2025 12</v>
      </c>
      <c r="G5456" s="97" t="s">
        <v>5</v>
      </c>
      <c r="H5456" s="161" t="s">
        <v>5198</v>
      </c>
      <c r="I5456" s="97" t="s">
        <v>2839</v>
      </c>
      <c r="J5456" s="97" t="s">
        <v>5199</v>
      </c>
      <c r="K5456" s="29">
        <v>11.87</v>
      </c>
      <c r="L5456" s="29">
        <v>0</v>
      </c>
      <c r="M5456" s="30">
        <f>IFERROR(VLOOKUP($A5456,HeadJournal!$A$1:$J$890,COLUMN(HeadJournal!I$1),0)*($K5456+$L5456)/(SUMIF($A:$A,$A5456,$K:$K)+SUMIF($A:$A,$A5456,$L:$L)),0)</f>
        <v>-1.0292463533225282</v>
      </c>
      <c r="N5456" s="30">
        <f>IFERROR((VLOOKUP($A5456,HeadJournal!$A$1:$K$890,COLUMN(HeadJournal!K$1),0)-VLOOKUP($A5456,HeadJournal!$A$1:$K$890,COLUMN(HeadJournal!J$1),0))*($K5456+$L5456)/(SUMIF($A:$A,$A5456,$K:$K)+SUMIF($A:$A,$A5456,$L:$L)),0)</f>
        <v>0</v>
      </c>
      <c r="O5456" s="30">
        <f>IFERROR((VLOOKUP($A5456,HeadJournal!$A$1:$L$890,COLUMN(HeadJournal!L$1),0)*($K5456+$L5456)/(SUMIF($A:$A,$A5456,$K:$K)+SUMIF($A:$A,$A5456,$L:$L)))/VLOOKUP($A5456,HeadJournal!$A$1:$L$890,COLUMN(HeadJournal!H$1),0),0)</f>
        <v>0.51288607288207289</v>
      </c>
      <c r="P5456" s="30">
        <f>IFERROR(SUM(K5456:O5456)*VLOOKUP($A5456,HeadJournal!$A$1:$L$890,COLUMN(HeadJournal!H$1),0),0)</f>
        <v>1017.3624590311541</v>
      </c>
      <c r="Q5456" s="29">
        <v>2000</v>
      </c>
      <c r="R5456" s="31">
        <v>46076</v>
      </c>
      <c r="S5456" s="31" t="s">
        <v>4457</v>
      </c>
      <c r="T5456" s="95" t="str">
        <f t="shared" si="408"/>
        <v>2026 02</v>
      </c>
      <c r="U5456" s="32">
        <f t="shared" si="403"/>
        <v>982.63754096884588</v>
      </c>
      <c r="V5456" s="22">
        <f t="shared" si="404"/>
        <v>0.96586770255374155</v>
      </c>
      <c r="X5456" s="33"/>
      <c r="Y5456" s="33"/>
    </row>
    <row r="5457" spans="1:25" x14ac:dyDescent="0.2">
      <c r="A5457" s="93" t="s">
        <v>5204</v>
      </c>
      <c r="B5457" s="94">
        <f>IFERROR(VLOOKUP($A5457,HeadJournal!$A$1:$NTR$890,COLUMN(HeadJournal!B$1),0),"")</f>
        <v>0</v>
      </c>
      <c r="C5457" s="94" t="str">
        <f>IFERROR(VLOOKUP($A5457,HeadJournal!$A$1:$NTR$890,COLUMN(HeadJournal!C$1),0),"")</f>
        <v>iHerb_AV CYG0792</v>
      </c>
      <c r="D5457" s="125" t="str">
        <f>IFERROR(VLOOKUP($A5457,HeadJournal!$A$1:$NTR$890,COLUMN(HeadJournal!D$1),0),"")</f>
        <v>Доставлен</v>
      </c>
      <c r="E5457" s="95">
        <f>IFERROR(VLOOKUP($A5457,HeadJournal!$A$1:$NTR$890,COLUMN(HeadJournal!G$1),0),"")</f>
        <v>46021</v>
      </c>
      <c r="F5457" s="95" t="str">
        <f t="shared" si="407"/>
        <v>2025 12</v>
      </c>
      <c r="G5457" s="97" t="s">
        <v>5</v>
      </c>
      <c r="H5457" s="161" t="s">
        <v>5200</v>
      </c>
      <c r="I5457" s="97" t="s">
        <v>2839</v>
      </c>
      <c r="J5457" s="97" t="s">
        <v>5201</v>
      </c>
      <c r="K5457" s="29">
        <v>9.68</v>
      </c>
      <c r="L5457" s="29">
        <v>0</v>
      </c>
      <c r="M5457" s="30">
        <f>IFERROR(VLOOKUP($A5457,HeadJournal!$A$1:$J$890,COLUMN(HeadJournal!I$1),0)*($K5457+$L5457)/(SUMIF($A:$A,$A5457,$K:$K)+SUMIF($A:$A,$A5457,$L:$L)),0)</f>
        <v>-0.83935170178282015</v>
      </c>
      <c r="N5457" s="30">
        <f>IFERROR((VLOOKUP($A5457,HeadJournal!$A$1:$K$890,COLUMN(HeadJournal!K$1),0)-VLOOKUP($A5457,HeadJournal!$A$1:$K$890,COLUMN(HeadJournal!J$1),0))*($K5457+$L5457)/(SUMIF($A:$A,$A5457,$K:$K)+SUMIF($A:$A,$A5457,$L:$L)),0)</f>
        <v>0</v>
      </c>
      <c r="O5457" s="30">
        <f>IFERROR((VLOOKUP($A5457,HeadJournal!$A$1:$L$890,COLUMN(HeadJournal!L$1),0)*($K5457+$L5457)/(SUMIF($A:$A,$A5457,$K:$K)+SUMIF($A:$A,$A5457,$L:$L)))/VLOOKUP($A5457,HeadJournal!$A$1:$L$890,COLUMN(HeadJournal!H$1),0),0)</f>
        <v>0.4182592405643189</v>
      </c>
      <c r="P5457" s="30">
        <f>IFERROR(SUM(K5457:O5457)*VLOOKUP($A5457,HeadJournal!$A$1:$L$890,COLUMN(HeadJournal!H$1),0),0)</f>
        <v>829.66037097064634</v>
      </c>
      <c r="Q5457" s="29">
        <v>1600</v>
      </c>
      <c r="R5457" s="31">
        <v>46060</v>
      </c>
      <c r="S5457" s="31" t="s">
        <v>4457</v>
      </c>
      <c r="T5457" s="95" t="str">
        <f t="shared" si="408"/>
        <v>2026 02</v>
      </c>
      <c r="U5457" s="32">
        <f t="shared" si="403"/>
        <v>770.33962902935366</v>
      </c>
      <c r="V5457" s="22">
        <f t="shared" si="404"/>
        <v>0.92849996936470347</v>
      </c>
      <c r="X5457" s="33"/>
      <c r="Y5457" s="33"/>
    </row>
    <row r="5458" spans="1:25" x14ac:dyDescent="0.2">
      <c r="A5458" s="93" t="s">
        <v>5204</v>
      </c>
      <c r="B5458" s="94">
        <f>IFERROR(VLOOKUP($A5458,HeadJournal!$A$1:$NTR$890,COLUMN(HeadJournal!B$1),0),"")</f>
        <v>0</v>
      </c>
      <c r="C5458" s="94" t="str">
        <f>IFERROR(VLOOKUP($A5458,HeadJournal!$A$1:$NTR$890,COLUMN(HeadJournal!C$1),0),"")</f>
        <v>iHerb_AV CYG0792</v>
      </c>
      <c r="D5458" s="125" t="str">
        <f>IFERROR(VLOOKUP($A5458,HeadJournal!$A$1:$NTR$890,COLUMN(HeadJournal!D$1),0),"")</f>
        <v>Доставлен</v>
      </c>
      <c r="E5458" s="95">
        <f>IFERROR(VLOOKUP($A5458,HeadJournal!$A$1:$NTR$890,COLUMN(HeadJournal!G$1),0),"")</f>
        <v>46021</v>
      </c>
      <c r="F5458" s="95" t="str">
        <f t="shared" si="407"/>
        <v>2025 12</v>
      </c>
      <c r="G5458" s="97" t="s">
        <v>5</v>
      </c>
      <c r="H5458" s="161" t="s">
        <v>5202</v>
      </c>
      <c r="I5458" s="97" t="s">
        <v>2839</v>
      </c>
      <c r="J5458" s="97" t="s">
        <v>5203</v>
      </c>
      <c r="K5458" s="29">
        <v>26.75</v>
      </c>
      <c r="L5458" s="29">
        <v>0</v>
      </c>
      <c r="M5458" s="30">
        <f>IFERROR(VLOOKUP($A5458,HeadJournal!$A$1:$J$890,COLUMN(HeadJournal!I$1),0)*($K5458+$L5458)/(SUMIF($A:$A,$A5458,$K:$K)+SUMIF($A:$A,$A5458,$L:$L)),0)</f>
        <v>-2.3194894651539708</v>
      </c>
      <c r="N5458" s="30">
        <f>IFERROR((VLOOKUP($A5458,HeadJournal!$A$1:$K$890,COLUMN(HeadJournal!K$1),0)-VLOOKUP($A5458,HeadJournal!$A$1:$K$890,COLUMN(HeadJournal!J$1),0))*($K5458+$L5458)/(SUMIF($A:$A,$A5458,$K:$K)+SUMIF($A:$A,$A5458,$L:$L)),0)</f>
        <v>0</v>
      </c>
      <c r="O5458" s="30">
        <f>IFERROR((VLOOKUP($A5458,HeadJournal!$A$1:$L$890,COLUMN(HeadJournal!L$1),0)*($K5458+$L5458)/(SUMIF($A:$A,$A5458,$K:$K)+SUMIF($A:$A,$A5458,$L:$L)))/VLOOKUP($A5458,HeadJournal!$A$1:$L$890,COLUMN(HeadJournal!H$1),0),0)</f>
        <v>1.1558300294520178</v>
      </c>
      <c r="P5458" s="30">
        <f>IFERROR(SUM(K5458:O5458)*VLOOKUP($A5458,HeadJournal!$A$1:$L$890,COLUMN(HeadJournal!H$1),0),0)</f>
        <v>2292.7081532504949</v>
      </c>
      <c r="Q5458" s="29">
        <v>3000</v>
      </c>
      <c r="R5458" s="31">
        <v>46088</v>
      </c>
      <c r="S5458" s="31"/>
      <c r="T5458" s="95" t="str">
        <f t="shared" si="408"/>
        <v>2026 03</v>
      </c>
      <c r="U5458" s="32">
        <f t="shared" si="403"/>
        <v>707.29184674950511</v>
      </c>
      <c r="V5458" s="22">
        <f t="shared" si="404"/>
        <v>0.3084962408960511</v>
      </c>
      <c r="X5458" s="33"/>
      <c r="Y5458" s="33"/>
    </row>
    <row r="5459" spans="1:25" x14ac:dyDescent="0.2">
      <c r="A5459" s="93" t="s">
        <v>5205</v>
      </c>
      <c r="B5459" s="94">
        <f>IFERROR(VLOOKUP($A5459,HeadJournal!$A$1:$NTR$890,COLUMN(HeadJournal!B$1),0),"")</f>
        <v>0</v>
      </c>
      <c r="C5459" s="94" t="str">
        <f>IFERROR(VLOOKUP($A5459,HeadJournal!$A$1:$NTR$890,COLUMN(HeadJournal!C$1),0),"")</f>
        <v>CoralClub_OA</v>
      </c>
      <c r="D5459" s="125" t="str">
        <f>IFERROR(VLOOKUP($A5459,HeadJournal!$A$1:$NTR$890,COLUMN(HeadJournal!D$1),0),"")</f>
        <v>Доставлен</v>
      </c>
      <c r="E5459" s="95">
        <f>IFERROR(VLOOKUP($A5459,HeadJournal!$A$1:$NTR$890,COLUMN(HeadJournal!G$1),0),"")</f>
        <v>46028</v>
      </c>
      <c r="F5459" s="95" t="str">
        <f t="shared" si="407"/>
        <v>2026 01</v>
      </c>
      <c r="G5459" s="97" t="s">
        <v>5</v>
      </c>
      <c r="H5459" s="161" t="s">
        <v>5206</v>
      </c>
      <c r="I5459" s="97" t="s">
        <v>2601</v>
      </c>
      <c r="J5459" s="97" t="s">
        <v>701</v>
      </c>
      <c r="K5459" s="29">
        <v>1548</v>
      </c>
      <c r="L5459" s="29">
        <v>0</v>
      </c>
      <c r="M5459" s="30">
        <f>IFERROR(VLOOKUP($A5459,HeadJournal!$A$1:$J$890,COLUMN(HeadJournal!I$1),0)*($K5459+$L5459)/(SUMIF($A:$A,$A5459,$K:$K)+SUMIF($A:$A,$A5459,$L:$L)),0)</f>
        <v>0</v>
      </c>
      <c r="N5459" s="30">
        <f>IFERROR((VLOOKUP($A5459,HeadJournal!$A$1:$K$890,COLUMN(HeadJournal!K$1),0)-VLOOKUP($A5459,HeadJournal!$A$1:$K$890,COLUMN(HeadJournal!J$1),0))*($K5459+$L5459)/(SUMIF($A:$A,$A5459,$K:$K)+SUMIF($A:$A,$A5459,$L:$L)),0)</f>
        <v>0</v>
      </c>
      <c r="O5459" s="30">
        <f>IFERROR((VLOOKUP($A5459,HeadJournal!$A$1:$L$890,COLUMN(HeadJournal!L$1),0)*($K5459+$L5459)/(SUMIF($A:$A,$A5459,$K:$K)+SUMIF($A:$A,$A5459,$L:$L)))/VLOOKUP($A5459,HeadJournal!$A$1:$L$890,COLUMN(HeadJournal!H$1),0),0)</f>
        <v>0</v>
      </c>
      <c r="P5459" s="30">
        <f>IFERROR(SUM(K5459:O5459)*VLOOKUP($A5459,HeadJournal!$A$1:$L$890,COLUMN(HeadJournal!H$1),0),0)</f>
        <v>1548</v>
      </c>
      <c r="Q5459" s="29">
        <v>1950</v>
      </c>
      <c r="R5459" s="31">
        <v>46028</v>
      </c>
      <c r="S5459" s="31"/>
      <c r="T5459" s="95" t="str">
        <f t="shared" si="408"/>
        <v>2026 01</v>
      </c>
      <c r="U5459" s="32">
        <f t="shared" si="403"/>
        <v>402</v>
      </c>
      <c r="V5459" s="22">
        <f t="shared" si="404"/>
        <v>0.25968992248062017</v>
      </c>
      <c r="X5459" s="33"/>
      <c r="Y5459" s="33"/>
    </row>
    <row r="5460" spans="1:25" x14ac:dyDescent="0.2">
      <c r="A5460" s="93" t="s">
        <v>5368</v>
      </c>
      <c r="B5460" s="94">
        <f>IFERROR(VLOOKUP($A5460,HeadJournal!$A$1:$NTR$890,COLUMN(HeadJournal!B$1),0),"")</f>
        <v>0</v>
      </c>
      <c r="C5460" s="94" t="str">
        <f>IFERROR(VLOOKUP($A5460,HeadJournal!$A$1:$NTR$890,COLUMN(HeadJournal!C$1),0),"")</f>
        <v>OZON_OA</v>
      </c>
      <c r="D5460" s="125" t="str">
        <f>IFERROR(VLOOKUP($A5460,HeadJournal!$A$1:$NTR$890,COLUMN(HeadJournal!D$1),0),"")</f>
        <v>Доставлен</v>
      </c>
      <c r="E5460" s="95">
        <f>IFERROR(VLOOKUP($A5460,HeadJournal!$A$1:$NTR$890,COLUMN(HeadJournal!G$1),0),"")</f>
        <v>46031</v>
      </c>
      <c r="F5460" s="95" t="str">
        <f t="shared" si="407"/>
        <v>2026 01</v>
      </c>
      <c r="G5460" s="97" t="s">
        <v>6</v>
      </c>
      <c r="H5460" s="161" t="s">
        <v>2280</v>
      </c>
      <c r="I5460" s="97" t="s">
        <v>2281</v>
      </c>
      <c r="J5460" s="97" t="s">
        <v>737</v>
      </c>
      <c r="K5460" s="29">
        <v>1007</v>
      </c>
      <c r="L5460" s="29">
        <v>0</v>
      </c>
      <c r="M5460" s="30">
        <f>IFERROR(VLOOKUP($A5460,HeadJournal!$A$1:$J$890,COLUMN(HeadJournal!I$1),0)*($K5460+$L5460)/(SUMIF($A:$A,$A5460,$K:$K)+SUMIF($A:$A,$A5460,$L:$L)),0)</f>
        <v>0</v>
      </c>
      <c r="N5460" s="30">
        <f>IFERROR((VLOOKUP($A5460,HeadJournal!$A$1:$K$890,COLUMN(HeadJournal!K$1),0)-VLOOKUP($A5460,HeadJournal!$A$1:$K$890,COLUMN(HeadJournal!J$1),0))*($K5460+$L5460)/(SUMIF($A:$A,$A5460,$K:$K)+SUMIF($A:$A,$A5460,$L:$L)),0)</f>
        <v>0</v>
      </c>
      <c r="O5460" s="30">
        <f>IFERROR((VLOOKUP($A5460,HeadJournal!$A$1:$L$890,COLUMN(HeadJournal!L$1),0)*($K5460+$L5460)/(SUMIF($A:$A,$A5460,$K:$K)+SUMIF($A:$A,$A5460,$L:$L)))/VLOOKUP($A5460,HeadJournal!$A$1:$L$890,COLUMN(HeadJournal!H$1),0),0)</f>
        <v>0</v>
      </c>
      <c r="P5460" s="30">
        <f>IFERROR(SUM(K5460:O5460)*VLOOKUP($A5460,HeadJournal!$A$1:$L$890,COLUMN(HeadJournal!H$1),0),0)</f>
        <v>1007</v>
      </c>
      <c r="Q5460" s="29">
        <v>2000</v>
      </c>
      <c r="R5460" s="31">
        <v>46039</v>
      </c>
      <c r="S5460" s="31" t="s">
        <v>4911</v>
      </c>
      <c r="T5460" s="95" t="str">
        <f t="shared" si="408"/>
        <v>2026 01</v>
      </c>
      <c r="U5460" s="32">
        <f t="shared" si="403"/>
        <v>993</v>
      </c>
      <c r="V5460" s="22">
        <f t="shared" si="404"/>
        <v>0.98609731876861961</v>
      </c>
      <c r="X5460" s="33"/>
      <c r="Y5460" s="33"/>
    </row>
    <row r="5461" spans="1:25" x14ac:dyDescent="0.2">
      <c r="A5461" s="93" t="s">
        <v>5375</v>
      </c>
      <c r="B5461" s="94">
        <f>IFERROR(VLOOKUP($A5461,HeadJournal!$A$1:$NTR$890,COLUMN(HeadJournal!B$1),0),"")</f>
        <v>0</v>
      </c>
      <c r="C5461" s="94" t="str">
        <f>IFERROR(VLOOKUP($A5461,HeadJournal!$A$1:$NTR$890,COLUMN(HeadJournal!C$1),0),"")</f>
        <v>iHerb_VP DFD1605</v>
      </c>
      <c r="D5461" s="125" t="str">
        <f>IFERROR(VLOOKUP($A5461,HeadJournal!$A$1:$NTR$890,COLUMN(HeadJournal!D$1),0),"")</f>
        <v>Доставлен</v>
      </c>
      <c r="E5461" s="95">
        <f>IFERROR(VLOOKUP($A5461,HeadJournal!$A$1:$NTR$890,COLUMN(HeadJournal!G$1),0),"")</f>
        <v>46028</v>
      </c>
      <c r="F5461" s="95" t="str">
        <f t="shared" si="407"/>
        <v>2026 01</v>
      </c>
      <c r="G5461" s="97" t="s">
        <v>5</v>
      </c>
      <c r="H5461" s="161" t="s">
        <v>5369</v>
      </c>
      <c r="I5461" s="97" t="s">
        <v>2621</v>
      </c>
      <c r="J5461" s="97" t="s">
        <v>5370</v>
      </c>
      <c r="K5461" s="29">
        <v>47.92</v>
      </c>
      <c r="L5461" s="29">
        <v>-11.98</v>
      </c>
      <c r="M5461" s="30">
        <f>IFERROR(VLOOKUP($A5461,HeadJournal!$A$1:$J$890,COLUMN(HeadJournal!I$1),0)*($K5461+$L5461)/(SUMIF($A:$A,$A5461,$K:$K)+SUMIF($A:$A,$A5461,$L:$L)),0)</f>
        <v>-1.8712577780141464</v>
      </c>
      <c r="N5461" s="30">
        <f>IFERROR((VLOOKUP($A5461,HeadJournal!$A$1:$K$890,COLUMN(HeadJournal!K$1),0)-VLOOKUP($A5461,HeadJournal!$A$1:$K$890,COLUMN(HeadJournal!J$1),0))*($K5461+$L5461)/(SUMIF($A:$A,$A5461,$K:$K)+SUMIF($A:$A,$A5461,$L:$L)),0)</f>
        <v>0</v>
      </c>
      <c r="O5461" s="30">
        <f>IFERROR((VLOOKUP($A5461,HeadJournal!$A$1:$L$890,COLUMN(HeadJournal!L$1),0)*($K5461+$L5461)/(SUMIF($A:$A,$A5461,$K:$K)+SUMIF($A:$A,$A5461,$L:$L)))/VLOOKUP($A5461,HeadJournal!$A$1:$L$890,COLUMN(HeadJournal!H$1),0),0)</f>
        <v>0.92058702891257593</v>
      </c>
      <c r="P5461" s="30">
        <f>IFERROR(SUM(K5461:O5461)*VLOOKUP($A5461,HeadJournal!$A$1:$L$890,COLUMN(HeadJournal!H$1),0),0)</f>
        <v>3123.8498282189012</v>
      </c>
      <c r="Q5461" s="29">
        <v>3900</v>
      </c>
      <c r="R5461" s="31">
        <v>46060</v>
      </c>
      <c r="S5461" s="31" t="s">
        <v>3437</v>
      </c>
      <c r="T5461" s="95" t="str">
        <f t="shared" si="408"/>
        <v>2026 02</v>
      </c>
      <c r="U5461" s="32">
        <f t="shared" si="403"/>
        <v>776.15017178109883</v>
      </c>
      <c r="V5461" s="22">
        <f t="shared" si="404"/>
        <v>0.24845950172439299</v>
      </c>
      <c r="X5461" s="33"/>
      <c r="Y5461" s="33"/>
    </row>
    <row r="5462" spans="1:25" x14ac:dyDescent="0.2">
      <c r="A5462" s="93" t="s">
        <v>5375</v>
      </c>
      <c r="B5462" s="94">
        <f>IFERROR(VLOOKUP($A5462,HeadJournal!$A$1:$NTR$890,COLUMN(HeadJournal!B$1),0),"")</f>
        <v>0</v>
      </c>
      <c r="C5462" s="94" t="str">
        <f>IFERROR(VLOOKUP($A5462,HeadJournal!$A$1:$NTR$890,COLUMN(HeadJournal!C$1),0),"")</f>
        <v>iHerb_VP DFD1605</v>
      </c>
      <c r="D5462" s="125" t="str">
        <f>IFERROR(VLOOKUP($A5462,HeadJournal!$A$1:$NTR$890,COLUMN(HeadJournal!D$1),0),"")</f>
        <v>Доставлен</v>
      </c>
      <c r="E5462" s="95">
        <f>IFERROR(VLOOKUP($A5462,HeadJournal!$A$1:$NTR$890,COLUMN(HeadJournal!G$1),0),"")</f>
        <v>46028</v>
      </c>
      <c r="F5462" s="95" t="str">
        <f t="shared" si="407"/>
        <v>2026 01</v>
      </c>
      <c r="G5462" s="97" t="s">
        <v>5</v>
      </c>
      <c r="H5462" s="161" t="s">
        <v>2223</v>
      </c>
      <c r="I5462" s="97" t="s">
        <v>2008</v>
      </c>
      <c r="J5462" s="97" t="s">
        <v>5371</v>
      </c>
      <c r="K5462" s="29">
        <v>12.96</v>
      </c>
      <c r="L5462" s="29">
        <v>-3.24</v>
      </c>
      <c r="M5462" s="30">
        <f>IFERROR(VLOOKUP($A5462,HeadJournal!$A$1:$J$890,COLUMN(HeadJournal!I$1),0)*($K5462+$L5462)/(SUMIF($A:$A,$A5462,$K:$K)+SUMIF($A:$A,$A5462,$L:$L)),0)</f>
        <v>-0.50608307185023671</v>
      </c>
      <c r="N5462" s="30">
        <f>IFERROR((VLOOKUP($A5462,HeadJournal!$A$1:$K$890,COLUMN(HeadJournal!K$1),0)-VLOOKUP($A5462,HeadJournal!$A$1:$K$890,COLUMN(HeadJournal!J$1),0))*($K5462+$L5462)/(SUMIF($A:$A,$A5462,$K:$K)+SUMIF($A:$A,$A5462,$L:$L)),0)</f>
        <v>0</v>
      </c>
      <c r="O5462" s="30">
        <f>IFERROR((VLOOKUP($A5462,HeadJournal!$A$1:$L$890,COLUMN(HeadJournal!L$1),0)*($K5462+$L5462)/(SUMIF($A:$A,$A5462,$K:$K)+SUMIF($A:$A,$A5462,$L:$L)))/VLOOKUP($A5462,HeadJournal!$A$1:$L$890,COLUMN(HeadJournal!H$1),0),0)</f>
        <v>0.24897345356233275</v>
      </c>
      <c r="P5462" s="30">
        <f>IFERROR(SUM(K5462:O5462)*VLOOKUP($A5462,HeadJournal!$A$1:$L$890,COLUMN(HeadJournal!H$1),0),0)</f>
        <v>844.84753284050419</v>
      </c>
      <c r="Q5462" s="29"/>
      <c r="R5462" s="31"/>
      <c r="S5462" s="31"/>
      <c r="T5462" s="95" t="str">
        <f t="shared" si="408"/>
        <v/>
      </c>
      <c r="U5462" s="32">
        <f t="shared" si="403"/>
        <v>-844.84753284050419</v>
      </c>
      <c r="V5462" s="22" t="str">
        <f t="shared" si="404"/>
        <v/>
      </c>
      <c r="X5462" s="33"/>
      <c r="Y5462" s="33"/>
    </row>
    <row r="5463" spans="1:25" x14ac:dyDescent="0.2">
      <c r="A5463" s="93" t="s">
        <v>5375</v>
      </c>
      <c r="B5463" s="94">
        <f>IFERROR(VLOOKUP($A5463,HeadJournal!$A$1:$NTR$890,COLUMN(HeadJournal!B$1),0),"")</f>
        <v>0</v>
      </c>
      <c r="C5463" s="94" t="str">
        <f>IFERROR(VLOOKUP($A5463,HeadJournal!$A$1:$NTR$890,COLUMN(HeadJournal!C$1),0),"")</f>
        <v>iHerb_VP DFD1605</v>
      </c>
      <c r="D5463" s="125" t="str">
        <f>IFERROR(VLOOKUP($A5463,HeadJournal!$A$1:$NTR$890,COLUMN(HeadJournal!D$1),0),"")</f>
        <v>Доставлен</v>
      </c>
      <c r="E5463" s="95">
        <f>IFERROR(VLOOKUP($A5463,HeadJournal!$A$1:$NTR$890,COLUMN(HeadJournal!G$1),0),"")</f>
        <v>46028</v>
      </c>
      <c r="F5463" s="95" t="str">
        <f t="shared" si="407"/>
        <v>2026 01</v>
      </c>
      <c r="G5463" s="97" t="s">
        <v>5</v>
      </c>
      <c r="H5463" s="161" t="s">
        <v>2615</v>
      </c>
      <c r="I5463" s="97" t="s">
        <v>2052</v>
      </c>
      <c r="J5463" s="97" t="s">
        <v>5160</v>
      </c>
      <c r="K5463" s="29">
        <v>51.7</v>
      </c>
      <c r="L5463" s="29">
        <v>-12.93</v>
      </c>
      <c r="M5463" s="30">
        <f>IFERROR(VLOOKUP($A5463,HeadJournal!$A$1:$J$890,COLUMN(HeadJournal!I$1),0)*($K5463+$L5463)/(SUMIF($A:$A,$A5463,$K:$K)+SUMIF($A:$A,$A5463,$L:$L)),0)</f>
        <v>-2.0186050098388555</v>
      </c>
      <c r="N5463" s="30">
        <f>IFERROR((VLOOKUP($A5463,HeadJournal!$A$1:$K$890,COLUMN(HeadJournal!K$1),0)-VLOOKUP($A5463,HeadJournal!$A$1:$K$890,COLUMN(HeadJournal!J$1),0))*($K5463+$L5463)/(SUMIF($A:$A,$A5463,$K:$K)+SUMIF($A:$A,$A5463,$L:$L)),0)</f>
        <v>0</v>
      </c>
      <c r="O5463" s="30">
        <f>IFERROR((VLOOKUP($A5463,HeadJournal!$A$1:$L$890,COLUMN(HeadJournal!L$1),0)*($K5463+$L5463)/(SUMIF($A:$A,$A5463,$K:$K)+SUMIF($A:$A,$A5463,$L:$L)))/VLOOKUP($A5463,HeadJournal!$A$1:$L$890,COLUMN(HeadJournal!H$1),0),0)</f>
        <v>0.99307621343741159</v>
      </c>
      <c r="P5463" s="30">
        <f>IFERROR(SUM(K5463:O5463)*VLOOKUP($A5463,HeadJournal!$A$1:$L$890,COLUMN(HeadJournal!H$1),0),0)</f>
        <v>3369.8290996117644</v>
      </c>
      <c r="Q5463" s="29"/>
      <c r="R5463" s="31"/>
      <c r="S5463" s="31"/>
      <c r="T5463" s="95" t="str">
        <f t="shared" si="408"/>
        <v/>
      </c>
      <c r="U5463" s="32">
        <f t="shared" si="403"/>
        <v>-3369.8290996117644</v>
      </c>
      <c r="V5463" s="22" t="str">
        <f t="shared" si="404"/>
        <v/>
      </c>
      <c r="X5463" s="33"/>
      <c r="Y5463" s="33"/>
    </row>
    <row r="5464" spans="1:25" x14ac:dyDescent="0.2">
      <c r="A5464" s="93" t="s">
        <v>5375</v>
      </c>
      <c r="B5464" s="94">
        <f>IFERROR(VLOOKUP($A5464,HeadJournal!$A$1:$NTR$890,COLUMN(HeadJournal!B$1),0),"")</f>
        <v>0</v>
      </c>
      <c r="C5464" s="94" t="str">
        <f>IFERROR(VLOOKUP($A5464,HeadJournal!$A$1:$NTR$890,COLUMN(HeadJournal!C$1),0),"")</f>
        <v>iHerb_VP DFD1605</v>
      </c>
      <c r="D5464" s="125" t="str">
        <f>IFERROR(VLOOKUP($A5464,HeadJournal!$A$1:$NTR$890,COLUMN(HeadJournal!D$1),0),"")</f>
        <v>Доставлен</v>
      </c>
      <c r="E5464" s="95">
        <f>IFERROR(VLOOKUP($A5464,HeadJournal!$A$1:$NTR$890,COLUMN(HeadJournal!G$1),0),"")</f>
        <v>46028</v>
      </c>
      <c r="F5464" s="95" t="str">
        <f t="shared" si="407"/>
        <v>2026 01</v>
      </c>
      <c r="G5464" s="97" t="s">
        <v>5</v>
      </c>
      <c r="H5464" s="161" t="s">
        <v>2702</v>
      </c>
      <c r="I5464" s="97" t="s">
        <v>2703</v>
      </c>
      <c r="J5464" s="97" t="s">
        <v>2704</v>
      </c>
      <c r="K5464" s="29">
        <v>6.52</v>
      </c>
      <c r="L5464" s="29">
        <v>-1.63</v>
      </c>
      <c r="M5464" s="30">
        <f>IFERROR(VLOOKUP($A5464,HeadJournal!$A$1:$J$890,COLUMN(HeadJournal!I$1),0)*($K5464+$L5464)/(SUMIF($A:$A,$A5464,$K:$K)+SUMIF($A:$A,$A5464,$L:$L)),0)</f>
        <v>-0.25460352071477954</v>
      </c>
      <c r="N5464" s="30">
        <f>IFERROR((VLOOKUP($A5464,HeadJournal!$A$1:$K$890,COLUMN(HeadJournal!K$1),0)-VLOOKUP($A5464,HeadJournal!$A$1:$K$890,COLUMN(HeadJournal!J$1),0))*($K5464+$L5464)/(SUMIF($A:$A,$A5464,$K:$K)+SUMIF($A:$A,$A5464,$L:$L)),0)</f>
        <v>0</v>
      </c>
      <c r="O5464" s="30">
        <f>IFERROR((VLOOKUP($A5464,HeadJournal!$A$1:$L$890,COLUMN(HeadJournal!L$1),0)*($K5464+$L5464)/(SUMIF($A:$A,$A5464,$K:$K)+SUMIF($A:$A,$A5464,$L:$L)))/VLOOKUP($A5464,HeadJournal!$A$1:$L$890,COLUMN(HeadJournal!H$1),0),0)</f>
        <v>0.12525516336623529</v>
      </c>
      <c r="P5464" s="30">
        <f>IFERROR(SUM(K5464:O5464)*VLOOKUP($A5464,HeadJournal!$A$1:$L$890,COLUMN(HeadJournal!H$1),0),0)</f>
        <v>425.03132053395734</v>
      </c>
      <c r="Q5464" s="29">
        <v>1100</v>
      </c>
      <c r="R5464" s="31">
        <v>46060</v>
      </c>
      <c r="S5464" s="31" t="s">
        <v>4862</v>
      </c>
      <c r="T5464" s="95" t="str">
        <f t="shared" si="408"/>
        <v>2026 02</v>
      </c>
      <c r="U5464" s="32">
        <f t="shared" si="403"/>
        <v>674.96867946604266</v>
      </c>
      <c r="V5464" s="22">
        <f t="shared" si="404"/>
        <v>1.5880445672052934</v>
      </c>
      <c r="X5464" s="33"/>
      <c r="Y5464" s="33"/>
    </row>
    <row r="5465" spans="1:25" x14ac:dyDescent="0.2">
      <c r="A5465" s="93" t="s">
        <v>5375</v>
      </c>
      <c r="B5465" s="94">
        <f>IFERROR(VLOOKUP($A5465,HeadJournal!$A$1:$NTR$890,COLUMN(HeadJournal!B$1),0),"")</f>
        <v>0</v>
      </c>
      <c r="C5465" s="94" t="str">
        <f>IFERROR(VLOOKUP($A5465,HeadJournal!$A$1:$NTR$890,COLUMN(HeadJournal!C$1),0),"")</f>
        <v>iHerb_VP DFD1605</v>
      </c>
      <c r="D5465" s="125" t="str">
        <f>IFERROR(VLOOKUP($A5465,HeadJournal!$A$1:$NTR$890,COLUMN(HeadJournal!D$1),0),"")</f>
        <v>Доставлен</v>
      </c>
      <c r="E5465" s="95">
        <f>IFERROR(VLOOKUP($A5465,HeadJournal!$A$1:$NTR$890,COLUMN(HeadJournal!G$1),0),"")</f>
        <v>46028</v>
      </c>
      <c r="F5465" s="95" t="str">
        <f t="shared" si="407"/>
        <v>2026 01</v>
      </c>
      <c r="G5465" s="97" t="s">
        <v>5</v>
      </c>
      <c r="H5465" s="161" t="s">
        <v>2702</v>
      </c>
      <c r="I5465" s="97" t="s">
        <v>2703</v>
      </c>
      <c r="J5465" s="97" t="s">
        <v>2704</v>
      </c>
      <c r="K5465" s="29">
        <v>6.52</v>
      </c>
      <c r="L5465" s="29">
        <v>-1.63</v>
      </c>
      <c r="M5465" s="30">
        <f>IFERROR(VLOOKUP($A5465,HeadJournal!$A$1:$J$890,COLUMN(HeadJournal!I$1),0)*($K5465+$L5465)/(SUMIF($A:$A,$A5465,$K:$K)+SUMIF($A:$A,$A5465,$L:$L)),0)</f>
        <v>-0.25460352071477954</v>
      </c>
      <c r="N5465" s="30">
        <f>IFERROR((VLOOKUP($A5465,HeadJournal!$A$1:$K$890,COLUMN(HeadJournal!K$1),0)-VLOOKUP($A5465,HeadJournal!$A$1:$K$890,COLUMN(HeadJournal!J$1),0))*($K5465+$L5465)/(SUMIF($A:$A,$A5465,$K:$K)+SUMIF($A:$A,$A5465,$L:$L)),0)</f>
        <v>0</v>
      </c>
      <c r="O5465" s="30">
        <f>IFERROR((VLOOKUP($A5465,HeadJournal!$A$1:$L$890,COLUMN(HeadJournal!L$1),0)*($K5465+$L5465)/(SUMIF($A:$A,$A5465,$K:$K)+SUMIF($A:$A,$A5465,$L:$L)))/VLOOKUP($A5465,HeadJournal!$A$1:$L$890,COLUMN(HeadJournal!H$1),0),0)</f>
        <v>0.12525516336623529</v>
      </c>
      <c r="P5465" s="30">
        <f>IFERROR(SUM(K5465:O5465)*VLOOKUP($A5465,HeadJournal!$A$1:$L$890,COLUMN(HeadJournal!H$1),0),0)</f>
        <v>425.03132053395734</v>
      </c>
      <c r="Q5465" s="29">
        <v>1100</v>
      </c>
      <c r="R5465" s="31">
        <v>46060</v>
      </c>
      <c r="S5465" s="31" t="s">
        <v>4862</v>
      </c>
      <c r="T5465" s="95" t="str">
        <f t="shared" si="408"/>
        <v>2026 02</v>
      </c>
      <c r="U5465" s="32">
        <f t="shared" si="403"/>
        <v>674.96867946604266</v>
      </c>
      <c r="V5465" s="22">
        <f t="shared" si="404"/>
        <v>1.5880445672052934</v>
      </c>
      <c r="X5465" s="33"/>
      <c r="Y5465" s="33"/>
    </row>
    <row r="5466" spans="1:25" x14ac:dyDescent="0.2">
      <c r="A5466" s="93" t="s">
        <v>5375</v>
      </c>
      <c r="B5466" s="94">
        <f>IFERROR(VLOOKUP($A5466,HeadJournal!$A$1:$NTR$890,COLUMN(HeadJournal!B$1),0),"")</f>
        <v>0</v>
      </c>
      <c r="C5466" s="94" t="str">
        <f>IFERROR(VLOOKUP($A5466,HeadJournal!$A$1:$NTR$890,COLUMN(HeadJournal!C$1),0),"")</f>
        <v>iHerb_VP DFD1605</v>
      </c>
      <c r="D5466" s="125" t="str">
        <f>IFERROR(VLOOKUP($A5466,HeadJournal!$A$1:$NTR$890,COLUMN(HeadJournal!D$1),0),"")</f>
        <v>Доставлен</v>
      </c>
      <c r="E5466" s="95">
        <f>IFERROR(VLOOKUP($A5466,HeadJournal!$A$1:$NTR$890,COLUMN(HeadJournal!G$1),0),"")</f>
        <v>46028</v>
      </c>
      <c r="F5466" s="95" t="str">
        <f t="shared" si="407"/>
        <v>2026 01</v>
      </c>
      <c r="G5466" s="97" t="s">
        <v>5</v>
      </c>
      <c r="H5466" s="161" t="s">
        <v>2497</v>
      </c>
      <c r="I5466" s="97" t="s">
        <v>2498</v>
      </c>
      <c r="J5466" s="97" t="s">
        <v>2499</v>
      </c>
      <c r="K5466" s="29">
        <v>28.97</v>
      </c>
      <c r="L5466" s="29">
        <v>-7.24</v>
      </c>
      <c r="M5466" s="30">
        <f>IFERROR(VLOOKUP($A5466,HeadJournal!$A$1:$J$890,COLUMN(HeadJournal!I$1),0)*($K5466+$L5466)/(SUMIF($A:$A,$A5466,$K:$K)+SUMIF($A:$A,$A5466,$L:$L)),0)</f>
        <v>-1.1313976493112798</v>
      </c>
      <c r="N5466" s="30">
        <f>IFERROR((VLOOKUP($A5466,HeadJournal!$A$1:$K$890,COLUMN(HeadJournal!K$1),0)-VLOOKUP($A5466,HeadJournal!$A$1:$K$890,COLUMN(HeadJournal!J$1),0))*($K5466+$L5466)/(SUMIF($A:$A,$A5466,$K:$K)+SUMIF($A:$A,$A5466,$L:$L)),0)</f>
        <v>0</v>
      </c>
      <c r="O5466" s="30">
        <f>IFERROR((VLOOKUP($A5466,HeadJournal!$A$1:$L$890,COLUMN(HeadJournal!L$1),0)*($K5466+$L5466)/(SUMIF($A:$A,$A5466,$K:$K)+SUMIF($A:$A,$A5466,$L:$L)))/VLOOKUP($A5466,HeadJournal!$A$1:$L$890,COLUMN(HeadJournal!H$1),0),0)</f>
        <v>0.55660423311826013</v>
      </c>
      <c r="P5466" s="30">
        <f>IFERROR(SUM(K5466:O5466)*VLOOKUP($A5466,HeadJournal!$A$1:$L$890,COLUMN(HeadJournal!H$1),0),0)</f>
        <v>1888.7383630271765</v>
      </c>
      <c r="Q5466" s="29">
        <v>3100</v>
      </c>
      <c r="R5466" s="31">
        <v>46060</v>
      </c>
      <c r="S5466" s="31" t="s">
        <v>4862</v>
      </c>
      <c r="T5466" s="95" t="str">
        <f t="shared" si="408"/>
        <v>2026 02</v>
      </c>
      <c r="U5466" s="32">
        <f t="shared" si="403"/>
        <v>1211.2616369728235</v>
      </c>
      <c r="V5466" s="22">
        <f t="shared" si="404"/>
        <v>0.6413072666303411</v>
      </c>
      <c r="X5466" s="33"/>
      <c r="Y5466" s="33"/>
    </row>
    <row r="5467" spans="1:25" x14ac:dyDescent="0.2">
      <c r="A5467" s="93" t="s">
        <v>5375</v>
      </c>
      <c r="B5467" s="94">
        <f>IFERROR(VLOOKUP($A5467,HeadJournal!$A$1:$NTR$890,COLUMN(HeadJournal!B$1),0),"")</f>
        <v>0</v>
      </c>
      <c r="C5467" s="94" t="str">
        <f>IFERROR(VLOOKUP($A5467,HeadJournal!$A$1:$NTR$890,COLUMN(HeadJournal!C$1),0),"")</f>
        <v>iHerb_VP DFD1605</v>
      </c>
      <c r="D5467" s="125" t="str">
        <f>IFERROR(VLOOKUP($A5467,HeadJournal!$A$1:$NTR$890,COLUMN(HeadJournal!D$1),0),"")</f>
        <v>Доставлен</v>
      </c>
      <c r="E5467" s="95">
        <f>IFERROR(VLOOKUP($A5467,HeadJournal!$A$1:$NTR$890,COLUMN(HeadJournal!G$1),0),"")</f>
        <v>46028</v>
      </c>
      <c r="F5467" s="95" t="str">
        <f t="shared" si="407"/>
        <v>2026 01</v>
      </c>
      <c r="G5467" s="97" t="s">
        <v>5</v>
      </c>
      <c r="H5467" s="161" t="s">
        <v>2047</v>
      </c>
      <c r="I5467" s="97" t="s">
        <v>2052</v>
      </c>
      <c r="J5467" s="97" t="s">
        <v>5372</v>
      </c>
      <c r="K5467" s="29">
        <v>38.799999999999997</v>
      </c>
      <c r="L5467" s="29">
        <v>-9.6999999999999993</v>
      </c>
      <c r="M5467" s="30">
        <f>IFERROR(VLOOKUP($A5467,HeadJournal!$A$1:$J$890,COLUMN(HeadJournal!I$1),0)*($K5467+$L5467)/(SUMIF($A:$A,$A5467,$K:$K)+SUMIF($A:$A,$A5467,$L:$L)),0)</f>
        <v>-1.5151252459713873</v>
      </c>
      <c r="N5467" s="30">
        <f>IFERROR((VLOOKUP($A5467,HeadJournal!$A$1:$K$890,COLUMN(HeadJournal!K$1),0)-VLOOKUP($A5467,HeadJournal!$A$1:$K$890,COLUMN(HeadJournal!J$1),0))*($K5467+$L5467)/(SUMIF($A:$A,$A5467,$K:$K)+SUMIF($A:$A,$A5467,$L:$L)),0)</f>
        <v>0</v>
      </c>
      <c r="O5467" s="30">
        <f>IFERROR((VLOOKUP($A5467,HeadJournal!$A$1:$L$890,COLUMN(HeadJournal!L$1),0)*($K5467+$L5467)/(SUMIF($A:$A,$A5467,$K:$K)+SUMIF($A:$A,$A5467,$L:$L)))/VLOOKUP($A5467,HeadJournal!$A$1:$L$890,COLUMN(HeadJournal!H$1),0),0)</f>
        <v>0.74538348751686012</v>
      </c>
      <c r="P5467" s="30">
        <f>IFERROR(SUM(K5467:O5467)*VLOOKUP($A5467,HeadJournal!$A$1:$L$890,COLUMN(HeadJournal!H$1),0),0)</f>
        <v>2529.3274902941021</v>
      </c>
      <c r="Q5467" s="29">
        <v>4500</v>
      </c>
      <c r="R5467" s="31">
        <v>46060</v>
      </c>
      <c r="S5467" s="31" t="s">
        <v>4862</v>
      </c>
      <c r="T5467" s="95" t="str">
        <f t="shared" si="408"/>
        <v>2026 02</v>
      </c>
      <c r="U5467" s="32">
        <f t="shared" si="403"/>
        <v>1970.6725097058979</v>
      </c>
      <c r="V5467" s="22">
        <f t="shared" si="404"/>
        <v>0.7791290440909866</v>
      </c>
      <c r="X5467" s="33"/>
      <c r="Y5467" s="33"/>
    </row>
    <row r="5468" spans="1:25" x14ac:dyDescent="0.2">
      <c r="A5468" s="93" t="s">
        <v>5375</v>
      </c>
      <c r="B5468" s="94">
        <f>IFERROR(VLOOKUP($A5468,HeadJournal!$A$1:$NTR$890,COLUMN(HeadJournal!B$1),0),"")</f>
        <v>0</v>
      </c>
      <c r="C5468" s="94" t="str">
        <f>IFERROR(VLOOKUP($A5468,HeadJournal!$A$1:$NTR$890,COLUMN(HeadJournal!C$1),0),"")</f>
        <v>iHerb_VP DFD1605</v>
      </c>
      <c r="D5468" s="125" t="str">
        <f>IFERROR(VLOOKUP($A5468,HeadJournal!$A$1:$NTR$890,COLUMN(HeadJournal!D$1),0),"")</f>
        <v>Доставлен</v>
      </c>
      <c r="E5468" s="95">
        <f>IFERROR(VLOOKUP($A5468,HeadJournal!$A$1:$NTR$890,COLUMN(HeadJournal!G$1),0),"")</f>
        <v>46028</v>
      </c>
      <c r="F5468" s="95" t="str">
        <f t="shared" si="407"/>
        <v>2026 01</v>
      </c>
      <c r="G5468" s="97" t="s">
        <v>5</v>
      </c>
      <c r="H5468" s="161" t="s">
        <v>3929</v>
      </c>
      <c r="I5468" s="97" t="s">
        <v>2750</v>
      </c>
      <c r="J5468" s="97" t="s">
        <v>2499</v>
      </c>
      <c r="K5468" s="29">
        <v>28.93</v>
      </c>
      <c r="L5468" s="29">
        <v>-7.23</v>
      </c>
      <c r="M5468" s="30">
        <f>IFERROR(VLOOKUP($A5468,HeadJournal!$A$1:$J$890,COLUMN(HeadJournal!I$1),0)*($K5468+$L5468)/(SUMIF($A:$A,$A5468,$K:$K)+SUMIF($A:$A,$A5468,$L:$L)),0)</f>
        <v>-1.1298356645216188</v>
      </c>
      <c r="N5468" s="30">
        <f>IFERROR((VLOOKUP($A5468,HeadJournal!$A$1:$K$890,COLUMN(HeadJournal!K$1),0)-VLOOKUP($A5468,HeadJournal!$A$1:$K$890,COLUMN(HeadJournal!J$1),0))*($K5468+$L5468)/(SUMIF($A:$A,$A5468,$K:$K)+SUMIF($A:$A,$A5468,$L:$L)),0)</f>
        <v>0</v>
      </c>
      <c r="O5468" s="30">
        <f>IFERROR((VLOOKUP($A5468,HeadJournal!$A$1:$L$890,COLUMN(HeadJournal!L$1),0)*($K5468+$L5468)/(SUMIF($A:$A,$A5468,$K:$K)+SUMIF($A:$A,$A5468,$L:$L)))/VLOOKUP($A5468,HeadJournal!$A$1:$L$890,COLUMN(HeadJournal!H$1),0),0)</f>
        <v>0.55583579653319137</v>
      </c>
      <c r="P5468" s="30">
        <f>IFERROR(SUM(K5468:O5468)*VLOOKUP($A5468,HeadJournal!$A$1:$L$890,COLUMN(HeadJournal!H$1),0),0)</f>
        <v>1886.1308089134714</v>
      </c>
      <c r="Q5468" s="29">
        <v>3000</v>
      </c>
      <c r="R5468" s="31">
        <v>46150</v>
      </c>
      <c r="S5468" s="31" t="s">
        <v>3252</v>
      </c>
      <c r="T5468" s="95" t="str">
        <f t="shared" si="408"/>
        <v>2026 05</v>
      </c>
      <c r="U5468" s="32">
        <f t="shared" si="403"/>
        <v>1113.8691910865286</v>
      </c>
      <c r="V5468" s="22">
        <f t="shared" si="404"/>
        <v>0.59055776292005246</v>
      </c>
      <c r="X5468" s="33"/>
      <c r="Y5468" s="33"/>
    </row>
    <row r="5469" spans="1:25" x14ac:dyDescent="0.2">
      <c r="A5469" s="93" t="s">
        <v>5375</v>
      </c>
      <c r="B5469" s="94">
        <f>IFERROR(VLOOKUP($A5469,HeadJournal!$A$1:$NTR$890,COLUMN(HeadJournal!B$1),0),"")</f>
        <v>0</v>
      </c>
      <c r="C5469" s="94" t="str">
        <f>IFERROR(VLOOKUP($A5469,HeadJournal!$A$1:$NTR$890,COLUMN(HeadJournal!C$1),0),"")</f>
        <v>iHerb_VP DFD1605</v>
      </c>
      <c r="D5469" s="125" t="str">
        <f>IFERROR(VLOOKUP($A5469,HeadJournal!$A$1:$NTR$890,COLUMN(HeadJournal!D$1),0),"")</f>
        <v>Доставлен</v>
      </c>
      <c r="E5469" s="95">
        <f>IFERROR(VLOOKUP($A5469,HeadJournal!$A$1:$NTR$890,COLUMN(HeadJournal!G$1),0),"")</f>
        <v>46028</v>
      </c>
      <c r="F5469" s="95" t="str">
        <f t="shared" si="407"/>
        <v>2026 01</v>
      </c>
      <c r="G5469" s="97" t="s">
        <v>5</v>
      </c>
      <c r="H5469" s="161" t="s">
        <v>2051</v>
      </c>
      <c r="I5469" s="97" t="s">
        <v>2052</v>
      </c>
      <c r="J5469" s="97" t="s">
        <v>3097</v>
      </c>
      <c r="K5469" s="29">
        <v>22.39</v>
      </c>
      <c r="L5469" s="29">
        <v>-5.6</v>
      </c>
      <c r="M5469" s="30">
        <f>IFERROR(VLOOKUP($A5469,HeadJournal!$A$1:$J$890,COLUMN(HeadJournal!I$1),0)*($K5469+$L5469)/(SUMIF($A:$A,$A5469,$K:$K)+SUMIF($A:$A,$A5469,$L:$L)),0)</f>
        <v>-0.87419082061373166</v>
      </c>
      <c r="N5469" s="30">
        <f>IFERROR((VLOOKUP($A5469,HeadJournal!$A$1:$K$890,COLUMN(HeadJournal!K$1),0)-VLOOKUP($A5469,HeadJournal!$A$1:$K$890,COLUMN(HeadJournal!J$1),0))*($K5469+$L5469)/(SUMIF($A:$A,$A5469,$K:$K)+SUMIF($A:$A,$A5469,$L:$L)),0)</f>
        <v>0</v>
      </c>
      <c r="O5469" s="30">
        <f>IFERROR((VLOOKUP($A5469,HeadJournal!$A$1:$L$890,COLUMN(HeadJournal!L$1),0)*($K5469+$L5469)/(SUMIF($A:$A,$A5469,$K:$K)+SUMIF($A:$A,$A5469,$L:$L)))/VLOOKUP($A5469,HeadJournal!$A$1:$L$890,COLUMN(HeadJournal!H$1),0),0)</f>
        <v>0.43006834211024347</v>
      </c>
      <c r="P5469" s="30">
        <f>IFERROR(SUM(K5469:O5469)*VLOOKUP($A5469,HeadJournal!$A$1:$L$890,COLUMN(HeadJournal!H$1),0),0)</f>
        <v>1459.361118970377</v>
      </c>
      <c r="Q5469" s="29">
        <v>2600</v>
      </c>
      <c r="R5469" s="31">
        <v>46134</v>
      </c>
      <c r="S5469" s="31" t="s">
        <v>4627</v>
      </c>
      <c r="T5469" s="95" t="str">
        <f t="shared" si="408"/>
        <v>2026 04</v>
      </c>
      <c r="U5469" s="32">
        <f t="shared" si="403"/>
        <v>1140.638881029623</v>
      </c>
      <c r="V5469" s="22">
        <f t="shared" si="404"/>
        <v>0.78160152836905639</v>
      </c>
      <c r="X5469" s="33"/>
      <c r="Y5469" s="33"/>
    </row>
    <row r="5470" spans="1:25" x14ac:dyDescent="0.2">
      <c r="A5470" s="93" t="s">
        <v>5375</v>
      </c>
      <c r="B5470" s="94">
        <f>IFERROR(VLOOKUP($A5470,HeadJournal!$A$1:$NTR$890,COLUMN(HeadJournal!B$1),0),"")</f>
        <v>0</v>
      </c>
      <c r="C5470" s="94" t="str">
        <f>IFERROR(VLOOKUP($A5470,HeadJournal!$A$1:$NTR$890,COLUMN(HeadJournal!C$1),0),"")</f>
        <v>iHerb_VP DFD1605</v>
      </c>
      <c r="D5470" s="125" t="str">
        <f>IFERROR(VLOOKUP($A5470,HeadJournal!$A$1:$NTR$890,COLUMN(HeadJournal!D$1),0),"")</f>
        <v>Доставлен</v>
      </c>
      <c r="E5470" s="95">
        <f>IFERROR(VLOOKUP($A5470,HeadJournal!$A$1:$NTR$890,COLUMN(HeadJournal!G$1),0),"")</f>
        <v>46028</v>
      </c>
      <c r="F5470" s="95" t="str">
        <f t="shared" si="407"/>
        <v>2026 01</v>
      </c>
      <c r="G5470" s="97" t="s">
        <v>5</v>
      </c>
      <c r="H5470" s="161" t="s">
        <v>5373</v>
      </c>
      <c r="I5470" s="97" t="s">
        <v>2581</v>
      </c>
      <c r="J5470" s="97" t="s">
        <v>5374</v>
      </c>
      <c r="K5470" s="29">
        <v>11.35</v>
      </c>
      <c r="L5470" s="29">
        <v>-6.85</v>
      </c>
      <c r="M5470" s="30">
        <f>IFERROR(VLOOKUP($A5470,HeadJournal!$A$1:$J$890,COLUMN(HeadJournal!I$1),0)*($K5470+$L5470)/(SUMIF($A:$A,$A5470,$K:$K)+SUMIF($A:$A,$A5470,$L:$L)),0)</f>
        <v>-0.2342977184491836</v>
      </c>
      <c r="N5470" s="30">
        <f>IFERROR((VLOOKUP($A5470,HeadJournal!$A$1:$K$890,COLUMN(HeadJournal!K$1),0)-VLOOKUP($A5470,HeadJournal!$A$1:$K$890,COLUMN(HeadJournal!J$1),0))*($K5470+$L5470)/(SUMIF($A:$A,$A5470,$K:$K)+SUMIF($A:$A,$A5470,$L:$L)),0)</f>
        <v>0</v>
      </c>
      <c r="O5470" s="30">
        <f>IFERROR((VLOOKUP($A5470,HeadJournal!$A$1:$L$890,COLUMN(HeadJournal!L$1),0)*($K5470+$L5470)/(SUMIF($A:$A,$A5470,$K:$K)+SUMIF($A:$A,$A5470,$L:$L)))/VLOOKUP($A5470,HeadJournal!$A$1:$L$890,COLUMN(HeadJournal!H$1),0),0)</f>
        <v>0.11526548776033924</v>
      </c>
      <c r="P5470" s="30">
        <f>IFERROR(SUM(K5470:O5470)*VLOOKUP($A5470,HeadJournal!$A$1:$L$890,COLUMN(HeadJournal!H$1),0),0)</f>
        <v>391.13311705578906</v>
      </c>
      <c r="Q5470" s="29">
        <v>2300</v>
      </c>
      <c r="R5470" s="31">
        <v>46164</v>
      </c>
      <c r="S5470" s="31"/>
      <c r="T5470" s="95" t="str">
        <f t="shared" si="408"/>
        <v>2026 05</v>
      </c>
      <c r="U5470" s="32">
        <f t="shared" si="403"/>
        <v>1908.8668829442108</v>
      </c>
      <c r="V5470" s="22">
        <f t="shared" si="404"/>
        <v>4.8803509590622074</v>
      </c>
      <c r="X5470" s="33"/>
      <c r="Y5470" s="33"/>
    </row>
    <row r="5471" spans="1:25" x14ac:dyDescent="0.2">
      <c r="A5471" s="93" t="s">
        <v>5386</v>
      </c>
      <c r="B5471" s="94">
        <f>IFERROR(VLOOKUP($A5471,HeadJournal!$A$1:$NTR$890,COLUMN(HeadJournal!B$1),0),"")</f>
        <v>0</v>
      </c>
      <c r="C5471" s="94" t="str">
        <f>IFERROR(VLOOKUP($A5471,HeadJournal!$A$1:$NTR$890,COLUMN(HeadJournal!C$1),0),"")</f>
        <v>iHerb_VP DFD1605</v>
      </c>
      <c r="D5471" s="125" t="str">
        <f>IFERROR(VLOOKUP($A5471,HeadJournal!$A$1:$NTR$890,COLUMN(HeadJournal!D$1),0),"")</f>
        <v>Доставлен</v>
      </c>
      <c r="E5471" s="95">
        <f>IFERROR(VLOOKUP($A5471,HeadJournal!$A$1:$NTR$890,COLUMN(HeadJournal!G$1),0),"")</f>
        <v>46032</v>
      </c>
      <c r="F5471" s="95" t="str">
        <f t="shared" si="407"/>
        <v>2026 01</v>
      </c>
      <c r="G5471" s="97" t="s">
        <v>5</v>
      </c>
      <c r="H5471" s="161" t="s">
        <v>3796</v>
      </c>
      <c r="I5471" s="97" t="s">
        <v>2009</v>
      </c>
      <c r="J5471" s="97" t="s">
        <v>3797</v>
      </c>
      <c r="K5471" s="29">
        <v>25.02</v>
      </c>
      <c r="L5471" s="29">
        <v>-2.5</v>
      </c>
      <c r="M5471" s="30">
        <f>IFERROR(VLOOKUP($A5471,HeadJournal!$A$1:$J$890,COLUMN(HeadJournal!I$1),0)*($K5471+$L5471)/(SUMIF($A:$A,$A5471,$K:$K)+SUMIF($A:$A,$A5471,$L:$L)),0)</f>
        <v>-0.72081031804983453</v>
      </c>
      <c r="N5471" s="30">
        <f>IFERROR((VLOOKUP($A5471,HeadJournal!$A$1:$K$890,COLUMN(HeadJournal!K$1),0)-VLOOKUP($A5471,HeadJournal!$A$1:$K$890,COLUMN(HeadJournal!J$1),0))*($K5471+$L5471)/(SUMIF($A:$A,$A5471,$K:$K)+SUMIF($A:$A,$A5471,$L:$L)),0)</f>
        <v>0</v>
      </c>
      <c r="O5471" s="30">
        <f>IFERROR((VLOOKUP($A5471,HeadJournal!$A$1:$L$890,COLUMN(HeadJournal!L$1),0)*($K5471+$L5471)/(SUMIF($A:$A,$A5471,$K:$K)+SUMIF($A:$A,$A5471,$L:$L)))/VLOOKUP($A5471,HeadJournal!$A$1:$L$890,COLUMN(HeadJournal!H$1),0),0)</f>
        <v>0.86555633652392749</v>
      </c>
      <c r="P5471" s="30">
        <f>IFERROR(SUM(K5471:O5471)*VLOOKUP($A5471,HeadJournal!$A$1:$L$890,COLUMN(HeadJournal!H$1),0),0)</f>
        <v>2022.8416260382198</v>
      </c>
      <c r="Q5471" s="29">
        <v>2900</v>
      </c>
      <c r="R5471" s="31">
        <v>46067</v>
      </c>
      <c r="S5471" s="31" t="s">
        <v>3226</v>
      </c>
      <c r="T5471" s="95" t="str">
        <f t="shared" si="408"/>
        <v>2026 02</v>
      </c>
      <c r="U5471" s="32">
        <f t="shared" si="403"/>
        <v>877.15837396178017</v>
      </c>
      <c r="V5471" s="22">
        <f t="shared" si="404"/>
        <v>0.43362681619307702</v>
      </c>
      <c r="X5471" s="33"/>
      <c r="Y5471" s="33"/>
    </row>
    <row r="5472" spans="1:25" x14ac:dyDescent="0.2">
      <c r="A5472" s="93" t="s">
        <v>5386</v>
      </c>
      <c r="B5472" s="94">
        <f>IFERROR(VLOOKUP($A5472,HeadJournal!$A$1:$NTR$890,COLUMN(HeadJournal!B$1),0),"")</f>
        <v>0</v>
      </c>
      <c r="C5472" s="94" t="str">
        <f>IFERROR(VLOOKUP($A5472,HeadJournal!$A$1:$NTR$890,COLUMN(HeadJournal!C$1),0),"")</f>
        <v>iHerb_VP DFD1605</v>
      </c>
      <c r="D5472" s="125" t="str">
        <f>IFERROR(VLOOKUP($A5472,HeadJournal!$A$1:$NTR$890,COLUMN(HeadJournal!D$1),0),"")</f>
        <v>Доставлен</v>
      </c>
      <c r="E5472" s="95">
        <f>IFERROR(VLOOKUP($A5472,HeadJournal!$A$1:$NTR$890,COLUMN(HeadJournal!G$1),0),"")</f>
        <v>46032</v>
      </c>
      <c r="F5472" s="95" t="str">
        <f t="shared" si="407"/>
        <v>2026 01</v>
      </c>
      <c r="G5472" s="97" t="s">
        <v>5</v>
      </c>
      <c r="H5472" s="161" t="s">
        <v>5059</v>
      </c>
      <c r="I5472" s="97" t="s">
        <v>2856</v>
      </c>
      <c r="J5472" s="97" t="s">
        <v>5060</v>
      </c>
      <c r="K5472" s="29">
        <v>28.18</v>
      </c>
      <c r="L5472" s="29">
        <v>-2.82</v>
      </c>
      <c r="M5472" s="30">
        <f>IFERROR(VLOOKUP($A5472,HeadJournal!$A$1:$J$890,COLUMN(HeadJournal!I$1),0)*($K5472+$L5472)/(SUMIF($A:$A,$A5472,$K:$K)+SUMIF($A:$A,$A5472,$L:$L)),0)</f>
        <v>-0.8117117968802755</v>
      </c>
      <c r="N5472" s="30">
        <f>IFERROR((VLOOKUP($A5472,HeadJournal!$A$1:$K$890,COLUMN(HeadJournal!K$1),0)-VLOOKUP($A5472,HeadJournal!$A$1:$K$890,COLUMN(HeadJournal!J$1),0))*($K5472+$L5472)/(SUMIF($A:$A,$A5472,$K:$K)+SUMIF($A:$A,$A5472,$L:$L)),0)</f>
        <v>0</v>
      </c>
      <c r="O5472" s="30">
        <f>IFERROR((VLOOKUP($A5472,HeadJournal!$A$1:$L$890,COLUMN(HeadJournal!L$1),0)*($K5472+$L5472)/(SUMIF($A:$A,$A5472,$K:$K)+SUMIF($A:$A,$A5472,$L:$L)))/VLOOKUP($A5472,HeadJournal!$A$1:$L$890,COLUMN(HeadJournal!H$1),0),0)</f>
        <v>0.97471175374097685</v>
      </c>
      <c r="P5472" s="30">
        <f>IFERROR(SUM(K5472:O5472)*VLOOKUP($A5472,HeadJournal!$A$1:$L$890,COLUMN(HeadJournal!H$1),0),0)</f>
        <v>2277.9424350057398</v>
      </c>
      <c r="Q5472" s="29">
        <v>3000</v>
      </c>
      <c r="R5472" s="31">
        <v>46067</v>
      </c>
      <c r="S5472" s="31" t="s">
        <v>3475</v>
      </c>
      <c r="T5472" s="95" t="str">
        <f t="shared" si="408"/>
        <v>2026 02</v>
      </c>
      <c r="U5472" s="32">
        <f t="shared" si="403"/>
        <v>722.05756499426025</v>
      </c>
      <c r="V5472" s="22">
        <f t="shared" si="404"/>
        <v>0.31697796831834379</v>
      </c>
      <c r="X5472" s="33"/>
      <c r="Y5472" s="33"/>
    </row>
    <row r="5473" spans="1:25" x14ac:dyDescent="0.2">
      <c r="A5473" s="93" t="s">
        <v>5386</v>
      </c>
      <c r="B5473" s="94">
        <f>IFERROR(VLOOKUP($A5473,HeadJournal!$A$1:$NTR$890,COLUMN(HeadJournal!B$1),0),"")</f>
        <v>0</v>
      </c>
      <c r="C5473" s="94" t="str">
        <f>IFERROR(VLOOKUP($A5473,HeadJournal!$A$1:$NTR$890,COLUMN(HeadJournal!C$1),0),"")</f>
        <v>iHerb_VP DFD1605</v>
      </c>
      <c r="D5473" s="125" t="str">
        <f>IFERROR(VLOOKUP($A5473,HeadJournal!$A$1:$NTR$890,COLUMN(HeadJournal!D$1),0),"")</f>
        <v>Доставлен</v>
      </c>
      <c r="E5473" s="95">
        <f>IFERROR(VLOOKUP($A5473,HeadJournal!$A$1:$NTR$890,COLUMN(HeadJournal!G$1),0),"")</f>
        <v>46032</v>
      </c>
      <c r="F5473" s="95" t="str">
        <f t="shared" si="407"/>
        <v>2026 01</v>
      </c>
      <c r="G5473" s="97" t="s">
        <v>5</v>
      </c>
      <c r="H5473" s="161" t="s">
        <v>3798</v>
      </c>
      <c r="I5473" s="97" t="s">
        <v>2102</v>
      </c>
      <c r="J5473" s="97" t="s">
        <v>5376</v>
      </c>
      <c r="K5473" s="29">
        <v>20.239999999999998</v>
      </c>
      <c r="L5473" s="29">
        <v>-2.02</v>
      </c>
      <c r="M5473" s="30">
        <f>IFERROR(VLOOKUP($A5473,HeadJournal!$A$1:$J$890,COLUMN(HeadJournal!I$1),0)*($K5473+$L5473)/(SUMIF($A:$A,$A5473,$K:$K)+SUMIF($A:$A,$A5473,$L:$L)),0)</f>
        <v>-0.58317779728543451</v>
      </c>
      <c r="N5473" s="30">
        <f>IFERROR((VLOOKUP($A5473,HeadJournal!$A$1:$K$890,COLUMN(HeadJournal!K$1),0)-VLOOKUP($A5473,HeadJournal!$A$1:$K$890,COLUMN(HeadJournal!J$1),0))*($K5473+$L5473)/(SUMIF($A:$A,$A5473,$K:$K)+SUMIF($A:$A,$A5473,$L:$L)),0)</f>
        <v>0</v>
      </c>
      <c r="O5473" s="30">
        <f>IFERROR((VLOOKUP($A5473,HeadJournal!$A$1:$L$890,COLUMN(HeadJournal!L$1),0)*($K5473+$L5473)/(SUMIF($A:$A,$A5473,$K:$K)+SUMIF($A:$A,$A5473,$L:$L)))/VLOOKUP($A5473,HeadJournal!$A$1:$L$890,COLUMN(HeadJournal!H$1),0),0)</f>
        <v>0.70028581045585958</v>
      </c>
      <c r="P5473" s="30">
        <f>IFERROR(SUM(K5473:O5473)*VLOOKUP($A5473,HeadJournal!$A$1:$L$890,COLUMN(HeadJournal!H$1),0),0)</f>
        <v>1636.5974434465527</v>
      </c>
      <c r="Q5473" s="29">
        <v>2300</v>
      </c>
      <c r="R5473" s="31">
        <v>46067</v>
      </c>
      <c r="S5473" s="31" t="s">
        <v>3475</v>
      </c>
      <c r="T5473" s="95" t="str">
        <f t="shared" si="408"/>
        <v>2026 02</v>
      </c>
      <c r="U5473" s="32">
        <f t="shared" si="403"/>
        <v>663.40255655344731</v>
      </c>
      <c r="V5473" s="22">
        <f t="shared" si="404"/>
        <v>0.40535475550809291</v>
      </c>
      <c r="X5473" s="33"/>
      <c r="Y5473" s="33"/>
    </row>
    <row r="5474" spans="1:25" x14ac:dyDescent="0.2">
      <c r="A5474" s="93" t="s">
        <v>5386</v>
      </c>
      <c r="B5474" s="94">
        <f>IFERROR(VLOOKUP($A5474,HeadJournal!$A$1:$NTR$890,COLUMN(HeadJournal!B$1),0),"")</f>
        <v>0</v>
      </c>
      <c r="C5474" s="94" t="str">
        <f>IFERROR(VLOOKUP($A5474,HeadJournal!$A$1:$NTR$890,COLUMN(HeadJournal!C$1),0),"")</f>
        <v>iHerb_VP DFD1605</v>
      </c>
      <c r="D5474" s="125" t="str">
        <f>IFERROR(VLOOKUP($A5474,HeadJournal!$A$1:$NTR$890,COLUMN(HeadJournal!D$1),0),"")</f>
        <v>Доставлен</v>
      </c>
      <c r="E5474" s="95">
        <f>IFERROR(VLOOKUP($A5474,HeadJournal!$A$1:$NTR$890,COLUMN(HeadJournal!G$1),0),"")</f>
        <v>46032</v>
      </c>
      <c r="F5474" s="95" t="str">
        <f t="shared" si="407"/>
        <v>2026 01</v>
      </c>
      <c r="G5474" s="97" t="s">
        <v>5</v>
      </c>
      <c r="H5474" s="161" t="s">
        <v>5377</v>
      </c>
      <c r="I5474" s="97" t="s">
        <v>2052</v>
      </c>
      <c r="J5474" s="97" t="s">
        <v>5378</v>
      </c>
      <c r="K5474" s="29">
        <v>9.41</v>
      </c>
      <c r="L5474" s="29">
        <v>-1.88</v>
      </c>
      <c r="M5474" s="30">
        <f>IFERROR(VLOOKUP($A5474,HeadJournal!$A$1:$J$890,COLUMN(HeadJournal!I$1),0)*($K5474+$L5474)/(SUMIF($A:$A,$A5474,$K:$K)+SUMIF($A:$A,$A5474,$L:$L)),0)</f>
        <v>-0.24101694915254238</v>
      </c>
      <c r="N5474" s="30">
        <f>IFERROR((VLOOKUP($A5474,HeadJournal!$A$1:$K$890,COLUMN(HeadJournal!K$1),0)-VLOOKUP($A5474,HeadJournal!$A$1:$K$890,COLUMN(HeadJournal!J$1),0))*($K5474+$L5474)/(SUMIF($A:$A,$A5474,$K:$K)+SUMIF($A:$A,$A5474,$L:$L)),0)</f>
        <v>0</v>
      </c>
      <c r="O5474" s="30">
        <f>IFERROR((VLOOKUP($A5474,HeadJournal!$A$1:$L$890,COLUMN(HeadJournal!L$1),0)*($K5474+$L5474)/(SUMIF($A:$A,$A5474,$K:$K)+SUMIF($A:$A,$A5474,$L:$L)))/VLOOKUP($A5474,HeadJournal!$A$1:$L$890,COLUMN(HeadJournal!H$1),0),0)</f>
        <v>0.28941559564943048</v>
      </c>
      <c r="P5474" s="30">
        <f>IFERROR(SUM(K5474:O5474)*VLOOKUP($A5474,HeadJournal!$A$1:$L$890,COLUMN(HeadJournal!H$1),0),0)</f>
        <v>676.37644067796612</v>
      </c>
      <c r="Q5474" s="29">
        <v>1300</v>
      </c>
      <c r="R5474" s="31">
        <v>46067</v>
      </c>
      <c r="S5474" s="31" t="s">
        <v>3475</v>
      </c>
      <c r="T5474" s="95" t="str">
        <f t="shared" si="408"/>
        <v>2026 02</v>
      </c>
      <c r="U5474" s="32">
        <f t="shared" si="403"/>
        <v>623.62355932203388</v>
      </c>
      <c r="V5474" s="22">
        <f t="shared" si="404"/>
        <v>0.92200662503404851</v>
      </c>
      <c r="X5474" s="33"/>
      <c r="Y5474" s="33"/>
    </row>
    <row r="5475" spans="1:25" x14ac:dyDescent="0.2">
      <c r="A5475" s="93" t="s">
        <v>5386</v>
      </c>
      <c r="B5475" s="94">
        <f>IFERROR(VLOOKUP($A5475,HeadJournal!$A$1:$NTR$890,COLUMN(HeadJournal!B$1),0),"")</f>
        <v>0</v>
      </c>
      <c r="C5475" s="94" t="str">
        <f>IFERROR(VLOOKUP($A5475,HeadJournal!$A$1:$NTR$890,COLUMN(HeadJournal!C$1),0),"")</f>
        <v>iHerb_VP DFD1605</v>
      </c>
      <c r="D5475" s="125" t="str">
        <f>IFERROR(VLOOKUP($A5475,HeadJournal!$A$1:$NTR$890,COLUMN(HeadJournal!D$1),0),"")</f>
        <v>Доставлен</v>
      </c>
      <c r="E5475" s="95">
        <f>IFERROR(VLOOKUP($A5475,HeadJournal!$A$1:$NTR$890,COLUMN(HeadJournal!G$1),0),"")</f>
        <v>46032</v>
      </c>
      <c r="F5475" s="95" t="str">
        <f t="shared" si="407"/>
        <v>2026 01</v>
      </c>
      <c r="G5475" s="97" t="s">
        <v>5</v>
      </c>
      <c r="H5475" s="161" t="s">
        <v>5379</v>
      </c>
      <c r="I5475" s="97" t="s">
        <v>5380</v>
      </c>
      <c r="J5475" s="97" t="s">
        <v>5381</v>
      </c>
      <c r="K5475" s="29">
        <v>23.69</v>
      </c>
      <c r="L5475" s="29">
        <v>-2.37</v>
      </c>
      <c r="M5475" s="30">
        <f>IFERROR(VLOOKUP($A5475,HeadJournal!$A$1:$J$890,COLUMN(HeadJournal!I$1),0)*($K5475+$L5475)/(SUMIF($A:$A,$A5475,$K:$K)+SUMIF($A:$A,$A5475,$L:$L)),0)</f>
        <v>-0.68240124248767642</v>
      </c>
      <c r="N5475" s="30">
        <f>IFERROR((VLOOKUP($A5475,HeadJournal!$A$1:$K$890,COLUMN(HeadJournal!K$1),0)-VLOOKUP($A5475,HeadJournal!$A$1:$K$890,COLUMN(HeadJournal!J$1),0))*($K5475+$L5475)/(SUMIF($A:$A,$A5475,$K:$K)+SUMIF($A:$A,$A5475,$L:$L)),0)</f>
        <v>0</v>
      </c>
      <c r="O5475" s="30">
        <f>IFERROR((VLOOKUP($A5475,HeadJournal!$A$1:$L$890,COLUMN(HeadJournal!L$1),0)*($K5475+$L5475)/(SUMIF($A:$A,$A5475,$K:$K)+SUMIF($A:$A,$A5475,$L:$L)))/VLOOKUP($A5475,HeadJournal!$A$1:$L$890,COLUMN(HeadJournal!H$1),0),0)</f>
        <v>0.81943432924911774</v>
      </c>
      <c r="P5475" s="30">
        <f>IFERROR(SUM(K5475:O5475)*VLOOKUP($A5475,HeadJournal!$A$1:$L$890,COLUMN(HeadJournal!H$1),0),0)</f>
        <v>1915.052551826592</v>
      </c>
      <c r="Q5475" s="29">
        <v>2600</v>
      </c>
      <c r="R5475" s="31">
        <v>46067</v>
      </c>
      <c r="S5475" s="31" t="s">
        <v>3475</v>
      </c>
      <c r="T5475" s="95" t="str">
        <f t="shared" si="408"/>
        <v>2026 02</v>
      </c>
      <c r="U5475" s="32">
        <f t="shared" si="403"/>
        <v>684.94744817340802</v>
      </c>
      <c r="V5475" s="22">
        <f t="shared" si="404"/>
        <v>0.35766509254281292</v>
      </c>
      <c r="X5475" s="33"/>
      <c r="Y5475" s="33"/>
    </row>
    <row r="5476" spans="1:25" x14ac:dyDescent="0.2">
      <c r="A5476" s="93" t="s">
        <v>5386</v>
      </c>
      <c r="B5476" s="94">
        <f>IFERROR(VLOOKUP($A5476,HeadJournal!$A$1:$NTR$890,COLUMN(HeadJournal!B$1),0),"")</f>
        <v>0</v>
      </c>
      <c r="C5476" s="94" t="str">
        <f>IFERROR(VLOOKUP($A5476,HeadJournal!$A$1:$NTR$890,COLUMN(HeadJournal!C$1),0),"")</f>
        <v>iHerb_VP DFD1605</v>
      </c>
      <c r="D5476" s="125" t="str">
        <f>IFERROR(VLOOKUP($A5476,HeadJournal!$A$1:$NTR$890,COLUMN(HeadJournal!D$1),0),"")</f>
        <v>Доставлен</v>
      </c>
      <c r="E5476" s="95">
        <f>IFERROR(VLOOKUP($A5476,HeadJournal!$A$1:$NTR$890,COLUMN(HeadJournal!G$1),0),"")</f>
        <v>46032</v>
      </c>
      <c r="F5476" s="95" t="str">
        <f t="shared" si="407"/>
        <v>2026 01</v>
      </c>
      <c r="G5476" s="97" t="s">
        <v>5</v>
      </c>
      <c r="H5476" s="161" t="s">
        <v>5382</v>
      </c>
      <c r="I5476" s="97" t="s">
        <v>3521</v>
      </c>
      <c r="J5476" s="97" t="s">
        <v>5383</v>
      </c>
      <c r="K5476" s="29">
        <v>20.92</v>
      </c>
      <c r="L5476" s="29">
        <v>-3.14</v>
      </c>
      <c r="M5476" s="30">
        <f>IFERROR(VLOOKUP($A5476,HeadJournal!$A$1:$J$890,COLUMN(HeadJournal!I$1),0)*($K5476+$L5476)/(SUMIF($A:$A,$A5476,$K:$K)+SUMIF($A:$A,$A5476,$L:$L)),0)</f>
        <v>-0.56909446957930987</v>
      </c>
      <c r="N5476" s="30">
        <f>IFERROR((VLOOKUP($A5476,HeadJournal!$A$1:$K$890,COLUMN(HeadJournal!K$1),0)-VLOOKUP($A5476,HeadJournal!$A$1:$K$890,COLUMN(HeadJournal!J$1),0))*($K5476+$L5476)/(SUMIF($A:$A,$A5476,$K:$K)+SUMIF($A:$A,$A5476,$L:$L)),0)</f>
        <v>0</v>
      </c>
      <c r="O5476" s="30">
        <f>IFERROR((VLOOKUP($A5476,HeadJournal!$A$1:$L$890,COLUMN(HeadJournal!L$1),0)*($K5476+$L5476)/(SUMIF($A:$A,$A5476,$K:$K)+SUMIF($A:$A,$A5476,$L:$L)))/VLOOKUP($A5476,HeadJournal!$A$1:$L$890,COLUMN(HeadJournal!H$1),0),0)</f>
        <v>0.68337440778842939</v>
      </c>
      <c r="P5476" s="30">
        <f>IFERROR(SUM(K5476:O5476)*VLOOKUP($A5476,HeadJournal!$A$1:$L$890,COLUMN(HeadJournal!H$1),0),0)</f>
        <v>1597.0747829022896</v>
      </c>
      <c r="Q5476" s="29">
        <v>2600</v>
      </c>
      <c r="R5476" s="31">
        <v>46072</v>
      </c>
      <c r="S5476" s="31" t="s">
        <v>3231</v>
      </c>
      <c r="T5476" s="95" t="str">
        <f t="shared" si="408"/>
        <v>2026 02</v>
      </c>
      <c r="U5476" s="32">
        <f t="shared" si="403"/>
        <v>1002.9252170977104</v>
      </c>
      <c r="V5476" s="22">
        <f t="shared" si="404"/>
        <v>0.62797636518631961</v>
      </c>
      <c r="X5476" s="33"/>
      <c r="Y5476" s="33"/>
    </row>
    <row r="5477" spans="1:25" x14ac:dyDescent="0.2">
      <c r="A5477" s="93" t="s">
        <v>5386</v>
      </c>
      <c r="B5477" s="94">
        <f>IFERROR(VLOOKUP($A5477,HeadJournal!$A$1:$NTR$890,COLUMN(HeadJournal!B$1),0),"")</f>
        <v>0</v>
      </c>
      <c r="C5477" s="94" t="str">
        <f>IFERROR(VLOOKUP($A5477,HeadJournal!$A$1:$NTR$890,COLUMN(HeadJournal!C$1),0),"")</f>
        <v>iHerb_VP DFD1605</v>
      </c>
      <c r="D5477" s="125" t="str">
        <f>IFERROR(VLOOKUP($A5477,HeadJournal!$A$1:$NTR$890,COLUMN(HeadJournal!D$1),0),"")</f>
        <v>Доставлен</v>
      </c>
      <c r="E5477" s="95">
        <f>IFERROR(VLOOKUP($A5477,HeadJournal!$A$1:$NTR$890,COLUMN(HeadJournal!G$1),0),"")</f>
        <v>46032</v>
      </c>
      <c r="F5477" s="95" t="str">
        <f t="shared" si="407"/>
        <v>2026 01</v>
      </c>
      <c r="G5477" s="97" t="s">
        <v>5</v>
      </c>
      <c r="H5477" s="161" t="s">
        <v>2203</v>
      </c>
      <c r="I5477" s="97" t="s">
        <v>2166</v>
      </c>
      <c r="J5477" s="97" t="s">
        <v>4099</v>
      </c>
      <c r="K5477" s="29">
        <v>9.61</v>
      </c>
      <c r="L5477" s="29">
        <v>-0.96</v>
      </c>
      <c r="M5477" s="30">
        <f>IFERROR(VLOOKUP($A5477,HeadJournal!$A$1:$J$890,COLUMN(HeadJournal!I$1),0)*($K5477+$L5477)/(SUMIF($A:$A,$A5477,$K:$K)+SUMIF($A:$A,$A5477,$L:$L)),0)</f>
        <v>-0.27686541967722328</v>
      </c>
      <c r="N5477" s="30">
        <f>IFERROR((VLOOKUP($A5477,HeadJournal!$A$1:$K$890,COLUMN(HeadJournal!K$1),0)-VLOOKUP($A5477,HeadJournal!$A$1:$K$890,COLUMN(HeadJournal!J$1),0))*($K5477+$L5477)/(SUMIF($A:$A,$A5477,$K:$K)+SUMIF($A:$A,$A5477,$L:$L)),0)</f>
        <v>0</v>
      </c>
      <c r="O5477" s="30">
        <f>IFERROR((VLOOKUP($A5477,HeadJournal!$A$1:$L$890,COLUMN(HeadJournal!L$1),0)*($K5477+$L5477)/(SUMIF($A:$A,$A5477,$K:$K)+SUMIF($A:$A,$A5477,$L:$L)))/VLOOKUP($A5477,HeadJournal!$A$1:$L$890,COLUMN(HeadJournal!H$1),0),0)</f>
        <v>0.33246280243925269</v>
      </c>
      <c r="P5477" s="30">
        <f>IFERROR(SUM(K5477:O5477)*VLOOKUP($A5477,HeadJournal!$A$1:$L$890,COLUMN(HeadJournal!H$1),0),0)</f>
        <v>776.97957660881877</v>
      </c>
      <c r="Q5477" s="29">
        <v>1600</v>
      </c>
      <c r="R5477" s="31">
        <v>46069</v>
      </c>
      <c r="S5477" s="31"/>
      <c r="T5477" s="95" t="str">
        <f t="shared" si="408"/>
        <v>2026 02</v>
      </c>
      <c r="U5477" s="32">
        <f t="shared" si="403"/>
        <v>823.02042339118123</v>
      </c>
      <c r="V5477" s="22">
        <f t="shared" si="404"/>
        <v>1.0592561866082901</v>
      </c>
      <c r="X5477" s="33"/>
      <c r="Y5477" s="33"/>
    </row>
    <row r="5478" spans="1:25" x14ac:dyDescent="0.2">
      <c r="A5478" s="93" t="s">
        <v>5386</v>
      </c>
      <c r="B5478" s="94">
        <f>IFERROR(VLOOKUP($A5478,HeadJournal!$A$1:$NTR$890,COLUMN(HeadJournal!B$1),0),"")</f>
        <v>0</v>
      </c>
      <c r="C5478" s="94" t="str">
        <f>IFERROR(VLOOKUP($A5478,HeadJournal!$A$1:$NTR$890,COLUMN(HeadJournal!C$1),0),"")</f>
        <v>iHerb_VP DFD1605</v>
      </c>
      <c r="D5478" s="125" t="str">
        <f>IFERROR(VLOOKUP($A5478,HeadJournal!$A$1:$NTR$890,COLUMN(HeadJournal!D$1),0),"")</f>
        <v>Доставлен</v>
      </c>
      <c r="E5478" s="95">
        <f>IFERROR(VLOOKUP($A5478,HeadJournal!$A$1:$NTR$890,COLUMN(HeadJournal!G$1),0),"")</f>
        <v>46032</v>
      </c>
      <c r="F5478" s="95" t="str">
        <f t="shared" si="407"/>
        <v>2026 01</v>
      </c>
      <c r="G5478" s="97" t="s">
        <v>5</v>
      </c>
      <c r="H5478" s="161" t="s">
        <v>2203</v>
      </c>
      <c r="I5478" s="97" t="s">
        <v>2166</v>
      </c>
      <c r="J5478" s="97" t="s">
        <v>4099</v>
      </c>
      <c r="K5478" s="29">
        <v>9.61</v>
      </c>
      <c r="L5478" s="29">
        <v>-0.96</v>
      </c>
      <c r="M5478" s="30">
        <f>IFERROR(VLOOKUP($A5478,HeadJournal!$A$1:$J$890,COLUMN(HeadJournal!I$1),0)*($K5478+$L5478)/(SUMIF($A:$A,$A5478,$K:$K)+SUMIF($A:$A,$A5478,$L:$L)),0)</f>
        <v>-0.27686541967722328</v>
      </c>
      <c r="N5478" s="30">
        <f>IFERROR((VLOOKUP($A5478,HeadJournal!$A$1:$K$890,COLUMN(HeadJournal!K$1),0)-VLOOKUP($A5478,HeadJournal!$A$1:$K$890,COLUMN(HeadJournal!J$1),0))*($K5478+$L5478)/(SUMIF($A:$A,$A5478,$K:$K)+SUMIF($A:$A,$A5478,$L:$L)),0)</f>
        <v>0</v>
      </c>
      <c r="O5478" s="30">
        <f>IFERROR((VLOOKUP($A5478,HeadJournal!$A$1:$L$890,COLUMN(HeadJournal!L$1),0)*($K5478+$L5478)/(SUMIF($A:$A,$A5478,$K:$K)+SUMIF($A:$A,$A5478,$L:$L)))/VLOOKUP($A5478,HeadJournal!$A$1:$L$890,COLUMN(HeadJournal!H$1),0),0)</f>
        <v>0.33246280243925269</v>
      </c>
      <c r="P5478" s="30">
        <f>IFERROR(SUM(K5478:O5478)*VLOOKUP($A5478,HeadJournal!$A$1:$L$890,COLUMN(HeadJournal!H$1),0),0)</f>
        <v>776.97957660881877</v>
      </c>
      <c r="Q5478" s="29">
        <v>1600</v>
      </c>
      <c r="R5478" s="31">
        <v>46118</v>
      </c>
      <c r="S5478" s="31" t="s">
        <v>4457</v>
      </c>
      <c r="T5478" s="95" t="str">
        <f t="shared" si="408"/>
        <v>2026 04</v>
      </c>
      <c r="U5478" s="32">
        <f t="shared" si="403"/>
        <v>823.02042339118123</v>
      </c>
      <c r="V5478" s="22">
        <f t="shared" si="404"/>
        <v>1.0592561866082901</v>
      </c>
      <c r="X5478" s="33"/>
      <c r="Y5478" s="33"/>
    </row>
    <row r="5479" spans="1:25" x14ac:dyDescent="0.2">
      <c r="A5479" s="93" t="s">
        <v>5386</v>
      </c>
      <c r="B5479" s="94">
        <f>IFERROR(VLOOKUP($A5479,HeadJournal!$A$1:$NTR$890,COLUMN(HeadJournal!B$1),0),"")</f>
        <v>0</v>
      </c>
      <c r="C5479" s="94" t="str">
        <f>IFERROR(VLOOKUP($A5479,HeadJournal!$A$1:$NTR$890,COLUMN(HeadJournal!C$1),0),"")</f>
        <v>iHerb_VP DFD1605</v>
      </c>
      <c r="D5479" s="125" t="str">
        <f>IFERROR(VLOOKUP($A5479,HeadJournal!$A$1:$NTR$890,COLUMN(HeadJournal!D$1),0),"")</f>
        <v>Доставлен</v>
      </c>
      <c r="E5479" s="95">
        <f>IFERROR(VLOOKUP($A5479,HeadJournal!$A$1:$NTR$890,COLUMN(HeadJournal!G$1),0),"")</f>
        <v>46032</v>
      </c>
      <c r="F5479" s="95" t="str">
        <f t="shared" si="407"/>
        <v>2026 01</v>
      </c>
      <c r="G5479" s="97" t="s">
        <v>5</v>
      </c>
      <c r="H5479" s="161" t="s">
        <v>2471</v>
      </c>
      <c r="I5479" s="97" t="s">
        <v>2039</v>
      </c>
      <c r="J5479" s="97" t="s">
        <v>2472</v>
      </c>
      <c r="K5479" s="29">
        <v>20.07</v>
      </c>
      <c r="L5479" s="29">
        <v>-2.0099999999999998</v>
      </c>
      <c r="M5479" s="30">
        <f>IFERROR(VLOOKUP($A5479,HeadJournal!$A$1:$J$890,COLUMN(HeadJournal!I$1),0)*($K5479+$L5479)/(SUMIF($A:$A,$A5479,$K:$K)+SUMIF($A:$A,$A5479,$L:$L)),0)</f>
        <v>-0.57805658721048014</v>
      </c>
      <c r="N5479" s="30">
        <f>IFERROR((VLOOKUP($A5479,HeadJournal!$A$1:$K$890,COLUMN(HeadJournal!K$1),0)-VLOOKUP($A5479,HeadJournal!$A$1:$K$890,COLUMN(HeadJournal!J$1),0))*($K5479+$L5479)/(SUMIF($A:$A,$A5479,$K:$K)+SUMIF($A:$A,$A5479,$L:$L)),0)</f>
        <v>0</v>
      </c>
      <c r="O5479" s="30">
        <f>IFERROR((VLOOKUP($A5479,HeadJournal!$A$1:$L$890,COLUMN(HeadJournal!L$1),0)*($K5479+$L5479)/(SUMIF($A:$A,$A5479,$K:$K)+SUMIF($A:$A,$A5479,$L:$L)))/VLOOKUP($A5479,HeadJournal!$A$1:$L$890,COLUMN(HeadJournal!H$1),0),0)</f>
        <v>0.69413620948588506</v>
      </c>
      <c r="P5479" s="30">
        <f>IFERROR(SUM(K5479:O5479)*VLOOKUP($A5479,HeadJournal!$A$1:$L$890,COLUMN(HeadJournal!H$1),0),0)</f>
        <v>1622.2255668850028</v>
      </c>
      <c r="Q5479" s="29">
        <v>2600</v>
      </c>
      <c r="R5479" s="31">
        <v>46067</v>
      </c>
      <c r="S5479" s="31" t="s">
        <v>4457</v>
      </c>
      <c r="T5479" s="95" t="str">
        <f t="shared" si="408"/>
        <v>2026 02</v>
      </c>
      <c r="U5479" s="32">
        <f t="shared" si="403"/>
        <v>977.77443311499724</v>
      </c>
      <c r="V5479" s="22">
        <f t="shared" si="404"/>
        <v>0.60273642154002016</v>
      </c>
      <c r="X5479" s="33"/>
      <c r="Y5479" s="33"/>
    </row>
    <row r="5480" spans="1:25" x14ac:dyDescent="0.2">
      <c r="A5480" s="93" t="s">
        <v>5387</v>
      </c>
      <c r="B5480" s="94">
        <f>IFERROR(VLOOKUP($A5480,HeadJournal!$A$1:$NTR$890,COLUMN(HeadJournal!B$1),0),"")</f>
        <v>0</v>
      </c>
      <c r="C5480" s="94" t="str">
        <f>IFERROR(VLOOKUP($A5480,HeadJournal!$A$1:$NTR$890,COLUMN(HeadJournal!C$1),0),"")</f>
        <v>iHerb_VP DFD1605</v>
      </c>
      <c r="D5480" s="125" t="str">
        <f>IFERROR(VLOOKUP($A5480,HeadJournal!$A$1:$NTR$890,COLUMN(HeadJournal!D$1),0),"")</f>
        <v>Доставлен</v>
      </c>
      <c r="E5480" s="95">
        <f>IFERROR(VLOOKUP($A5480,HeadJournal!$A$1:$NTR$890,COLUMN(HeadJournal!G$1),0),"")</f>
        <v>46038</v>
      </c>
      <c r="F5480" s="95" t="str">
        <f t="shared" si="407"/>
        <v>2026 01</v>
      </c>
      <c r="G5480" s="97" t="s">
        <v>5</v>
      </c>
      <c r="H5480" s="161" t="s">
        <v>5141</v>
      </c>
      <c r="I5480" s="97" t="s">
        <v>2163</v>
      </c>
      <c r="J5480" s="97" t="s">
        <v>5142</v>
      </c>
      <c r="K5480" s="29">
        <v>29.46</v>
      </c>
      <c r="L5480" s="29">
        <v>-4.42</v>
      </c>
      <c r="M5480" s="30">
        <f>IFERROR(VLOOKUP($A5480,HeadJournal!$A$1:$J$890,COLUMN(HeadJournal!I$1),0)*($K5480+$L5480)/(SUMIF($A:$A,$A5480,$K:$K)+SUMIF($A:$A,$A5480,$L:$L)),0)</f>
        <v>0</v>
      </c>
      <c r="N5480" s="30">
        <f>IFERROR((VLOOKUP($A5480,HeadJournal!$A$1:$K$890,COLUMN(HeadJournal!K$1),0)-VLOOKUP($A5480,HeadJournal!$A$1:$K$890,COLUMN(HeadJournal!J$1),0))*($K5480+$L5480)/(SUMIF($A:$A,$A5480,$K:$K)+SUMIF($A:$A,$A5480,$L:$L)),0)</f>
        <v>4.0040486336070463E-15</v>
      </c>
      <c r="O5480" s="30">
        <f>IFERROR((VLOOKUP($A5480,HeadJournal!$A$1:$L$890,COLUMN(HeadJournal!L$1),0)*($K5480+$L5480)/(SUMIF($A:$A,$A5480,$K:$K)+SUMIF($A:$A,$A5480,$L:$L)))/VLOOKUP($A5480,HeadJournal!$A$1:$L$890,COLUMN(HeadJournal!H$1),0),0)</f>
        <v>0.80426451796872678</v>
      </c>
      <c r="P5480" s="30">
        <f>IFERROR(SUM(K5480:O5480)*VLOOKUP($A5480,HeadJournal!$A$1:$L$890,COLUMN(HeadJournal!H$1),0),0)</f>
        <v>2299.7367705637448</v>
      </c>
      <c r="Q5480" s="29">
        <v>3200</v>
      </c>
      <c r="R5480" s="31">
        <v>46067</v>
      </c>
      <c r="S5480" s="31" t="s">
        <v>3181</v>
      </c>
      <c r="T5480" s="95" t="str">
        <f t="shared" si="408"/>
        <v>2026 02</v>
      </c>
      <c r="U5480" s="32">
        <f t="shared" si="403"/>
        <v>900.26322943625519</v>
      </c>
      <c r="V5480" s="22">
        <f t="shared" si="404"/>
        <v>0.39146359746883969</v>
      </c>
      <c r="X5480" s="33"/>
      <c r="Y5480" s="33"/>
    </row>
    <row r="5481" spans="1:25" x14ac:dyDescent="0.2">
      <c r="A5481" s="93" t="s">
        <v>5387</v>
      </c>
      <c r="B5481" s="94">
        <f>IFERROR(VLOOKUP($A5481,HeadJournal!$A$1:$NTR$890,COLUMN(HeadJournal!B$1),0),"")</f>
        <v>0</v>
      </c>
      <c r="C5481" s="94" t="str">
        <f>IFERROR(VLOOKUP($A5481,HeadJournal!$A$1:$NTR$890,COLUMN(HeadJournal!C$1),0),"")</f>
        <v>iHerb_VP DFD1605</v>
      </c>
      <c r="D5481" s="125" t="str">
        <f>IFERROR(VLOOKUP($A5481,HeadJournal!$A$1:$NTR$890,COLUMN(HeadJournal!D$1),0),"")</f>
        <v>Доставлен</v>
      </c>
      <c r="E5481" s="95">
        <f>IFERROR(VLOOKUP($A5481,HeadJournal!$A$1:$NTR$890,COLUMN(HeadJournal!G$1),0),"")</f>
        <v>46038</v>
      </c>
      <c r="F5481" s="95" t="str">
        <f t="shared" si="407"/>
        <v>2026 01</v>
      </c>
      <c r="G5481" s="97" t="s">
        <v>5</v>
      </c>
      <c r="H5481" s="161" t="s">
        <v>5384</v>
      </c>
      <c r="I5481" s="97" t="s">
        <v>2839</v>
      </c>
      <c r="J5481" s="97" t="s">
        <v>5385</v>
      </c>
      <c r="K5481" s="29">
        <v>17.52</v>
      </c>
      <c r="L5481" s="29">
        <v>0</v>
      </c>
      <c r="M5481" s="30">
        <f>IFERROR(VLOOKUP($A5481,HeadJournal!$A$1:$J$890,COLUMN(HeadJournal!I$1),0)*($K5481+$L5481)/(SUMIF($A:$A,$A5481,$K:$K)+SUMIF($A:$A,$A5481,$L:$L)),0)</f>
        <v>0</v>
      </c>
      <c r="N5481" s="30">
        <f>IFERROR((VLOOKUP($A5481,HeadJournal!$A$1:$K$890,COLUMN(HeadJournal!K$1),0)-VLOOKUP($A5481,HeadJournal!$A$1:$K$890,COLUMN(HeadJournal!J$1),0))*($K5481+$L5481)/(SUMIF($A:$A,$A5481,$K:$K)+SUMIF($A:$A,$A5481,$L:$L)),0)</f>
        <v>2.8015547947602015E-15</v>
      </c>
      <c r="O5481" s="30">
        <f>IFERROR((VLOOKUP($A5481,HeadJournal!$A$1:$L$890,COLUMN(HeadJournal!L$1),0)*($K5481+$L5481)/(SUMIF($A:$A,$A5481,$K:$K)+SUMIF($A:$A,$A5481,$L:$L)))/VLOOKUP($A5481,HeadJournal!$A$1:$L$890,COLUMN(HeadJournal!H$1),0),0)</f>
        <v>0.56272820905799104</v>
      </c>
      <c r="P5481" s="30">
        <f>IFERROR(SUM(K5481:O5481)*VLOOKUP($A5481,HeadJournal!$A$1:$L$890,COLUMN(HeadJournal!H$1),0),0)</f>
        <v>1609.0809992123329</v>
      </c>
      <c r="Q5481" s="29"/>
      <c r="R5481" s="31"/>
      <c r="S5481" s="31"/>
      <c r="T5481" s="95" t="str">
        <f t="shared" si="408"/>
        <v/>
      </c>
      <c r="U5481" s="32">
        <f t="shared" si="403"/>
        <v>-1609.0809992123329</v>
      </c>
      <c r="V5481" s="22" t="str">
        <f t="shared" si="404"/>
        <v/>
      </c>
      <c r="X5481" s="33"/>
      <c r="Y5481" s="33"/>
    </row>
    <row r="5482" spans="1:25" x14ac:dyDescent="0.2">
      <c r="A5482" s="93" t="s">
        <v>5387</v>
      </c>
      <c r="B5482" s="94">
        <f>IFERROR(VLOOKUP($A5482,HeadJournal!$A$1:$NTR$890,COLUMN(HeadJournal!B$1),0),"")</f>
        <v>0</v>
      </c>
      <c r="C5482" s="94" t="str">
        <f>IFERROR(VLOOKUP($A5482,HeadJournal!$A$1:$NTR$890,COLUMN(HeadJournal!C$1),0),"")</f>
        <v>iHerb_VP DFD1605</v>
      </c>
      <c r="D5482" s="125" t="str">
        <f>IFERROR(VLOOKUP($A5482,HeadJournal!$A$1:$NTR$890,COLUMN(HeadJournal!D$1),0),"")</f>
        <v>Доставлен</v>
      </c>
      <c r="E5482" s="95">
        <f>IFERROR(VLOOKUP($A5482,HeadJournal!$A$1:$NTR$890,COLUMN(HeadJournal!G$1),0),"")</f>
        <v>46038</v>
      </c>
      <c r="F5482" s="95" t="str">
        <f t="shared" si="407"/>
        <v>2026 01</v>
      </c>
      <c r="G5482" s="97" t="s">
        <v>5</v>
      </c>
      <c r="H5482" s="161" t="s">
        <v>2101</v>
      </c>
      <c r="I5482" s="97" t="s">
        <v>2102</v>
      </c>
      <c r="J5482" s="97" t="s">
        <v>4015</v>
      </c>
      <c r="K5482" s="29">
        <v>49.39</v>
      </c>
      <c r="L5482" s="29">
        <v>-7.41</v>
      </c>
      <c r="M5482" s="30">
        <f>IFERROR(VLOOKUP($A5482,HeadJournal!$A$1:$J$890,COLUMN(HeadJournal!I$1),0)*($K5482+$L5482)/(SUMIF($A:$A,$A5482,$K:$K)+SUMIF($A:$A,$A5482,$L:$L)),0)</f>
        <v>0</v>
      </c>
      <c r="N5482" s="30">
        <f>IFERROR((VLOOKUP($A5482,HeadJournal!$A$1:$K$890,COLUMN(HeadJournal!K$1),0)-VLOOKUP($A5482,HeadJournal!$A$1:$K$890,COLUMN(HeadJournal!J$1),0))*($K5482+$L5482)/(SUMIF($A:$A,$A5482,$K:$K)+SUMIF($A:$A,$A5482,$L:$L)),0)</f>
        <v>6.7128578929242738E-15</v>
      </c>
      <c r="O5482" s="30">
        <f>IFERROR((VLOOKUP($A5482,HeadJournal!$A$1:$L$890,COLUMN(HeadJournal!L$1),0)*($K5482+$L5482)/(SUMIF($A:$A,$A5482,$K:$K)+SUMIF($A:$A,$A5482,$L:$L)))/VLOOKUP($A5482,HeadJournal!$A$1:$L$890,COLUMN(HeadJournal!H$1),0),0)</f>
        <v>1.3483635968181773</v>
      </c>
      <c r="P5482" s="30">
        <f>IFERROR(SUM(K5482:O5482)*VLOOKUP($A5482,HeadJournal!$A$1:$L$890,COLUMN(HeadJournal!H$1),0),0)</f>
        <v>3855.549106560145</v>
      </c>
      <c r="Q5482" s="29">
        <v>5200</v>
      </c>
      <c r="R5482" s="31">
        <v>46069</v>
      </c>
      <c r="S5482" s="31" t="s">
        <v>4555</v>
      </c>
      <c r="T5482" s="95" t="str">
        <f t="shared" si="408"/>
        <v>2026 02</v>
      </c>
      <c r="U5482" s="32">
        <f t="shared" si="403"/>
        <v>1344.450893439855</v>
      </c>
      <c r="V5482" s="22">
        <f t="shared" si="404"/>
        <v>0.34870542594109277</v>
      </c>
      <c r="X5482" s="33"/>
      <c r="Y5482" s="33"/>
    </row>
    <row r="5483" spans="1:25" x14ac:dyDescent="0.2">
      <c r="A5483" s="93" t="s">
        <v>5387</v>
      </c>
      <c r="B5483" s="94">
        <f>IFERROR(VLOOKUP($A5483,HeadJournal!$A$1:$NTR$890,COLUMN(HeadJournal!B$1),0),"")</f>
        <v>0</v>
      </c>
      <c r="C5483" s="94" t="str">
        <f>IFERROR(VLOOKUP($A5483,HeadJournal!$A$1:$NTR$890,COLUMN(HeadJournal!C$1),0),"")</f>
        <v>iHerb_VP DFD1605</v>
      </c>
      <c r="D5483" s="125" t="str">
        <f>IFERROR(VLOOKUP($A5483,HeadJournal!$A$1:$NTR$890,COLUMN(HeadJournal!D$1),0),"")</f>
        <v>Доставлен</v>
      </c>
      <c r="E5483" s="95">
        <f>IFERROR(VLOOKUP($A5483,HeadJournal!$A$1:$NTR$890,COLUMN(HeadJournal!G$1),0),"")</f>
        <v>46038</v>
      </c>
      <c r="F5483" s="95" t="str">
        <f t="shared" si="407"/>
        <v>2026 01</v>
      </c>
      <c r="G5483" s="97" t="s">
        <v>5</v>
      </c>
      <c r="H5483" s="161" t="s">
        <v>2101</v>
      </c>
      <c r="I5483" s="97" t="s">
        <v>2102</v>
      </c>
      <c r="J5483" s="97" t="s">
        <v>4015</v>
      </c>
      <c r="K5483" s="29">
        <v>49.39</v>
      </c>
      <c r="L5483" s="29">
        <v>-7.41</v>
      </c>
      <c r="M5483" s="30">
        <f>IFERROR(VLOOKUP($A5483,HeadJournal!$A$1:$J$890,COLUMN(HeadJournal!I$1),0)*($K5483+$L5483)/(SUMIF($A:$A,$A5483,$K:$K)+SUMIF($A:$A,$A5483,$L:$L)),0)</f>
        <v>0</v>
      </c>
      <c r="N5483" s="30">
        <f>IFERROR((VLOOKUP($A5483,HeadJournal!$A$1:$K$890,COLUMN(HeadJournal!K$1),0)-VLOOKUP($A5483,HeadJournal!$A$1:$K$890,COLUMN(HeadJournal!J$1),0))*($K5483+$L5483)/(SUMIF($A:$A,$A5483,$K:$K)+SUMIF($A:$A,$A5483,$L:$L)),0)</f>
        <v>6.7128578929242738E-15</v>
      </c>
      <c r="O5483" s="30">
        <f>IFERROR((VLOOKUP($A5483,HeadJournal!$A$1:$L$890,COLUMN(HeadJournal!L$1),0)*($K5483+$L5483)/(SUMIF($A:$A,$A5483,$K:$K)+SUMIF($A:$A,$A5483,$L:$L)))/VLOOKUP($A5483,HeadJournal!$A$1:$L$890,COLUMN(HeadJournal!H$1),0),0)</f>
        <v>1.3483635968181773</v>
      </c>
      <c r="P5483" s="30">
        <f>IFERROR(SUM(K5483:O5483)*VLOOKUP($A5483,HeadJournal!$A$1:$L$890,COLUMN(HeadJournal!H$1),0),0)</f>
        <v>3855.549106560145</v>
      </c>
      <c r="Q5483" s="29">
        <v>5200</v>
      </c>
      <c r="R5483" s="31">
        <v>46069</v>
      </c>
      <c r="S5483" s="31" t="s">
        <v>4555</v>
      </c>
      <c r="T5483" s="95" t="str">
        <f t="shared" si="408"/>
        <v>2026 02</v>
      </c>
      <c r="U5483" s="32">
        <f t="shared" si="403"/>
        <v>1344.450893439855</v>
      </c>
      <c r="V5483" s="22">
        <f t="shared" si="404"/>
        <v>0.34870542594109277</v>
      </c>
      <c r="X5483" s="33"/>
      <c r="Y5483" s="33"/>
    </row>
    <row r="5484" spans="1:25" x14ac:dyDescent="0.2">
      <c r="A5484" s="93" t="s">
        <v>5387</v>
      </c>
      <c r="B5484" s="94">
        <f>IFERROR(VLOOKUP($A5484,HeadJournal!$A$1:$NTR$890,COLUMN(HeadJournal!B$1),0),"")</f>
        <v>0</v>
      </c>
      <c r="C5484" s="94" t="str">
        <f>IFERROR(VLOOKUP($A5484,HeadJournal!$A$1:$NTR$890,COLUMN(HeadJournal!C$1),0),"")</f>
        <v>iHerb_VP DFD1605</v>
      </c>
      <c r="D5484" s="125" t="str">
        <f>IFERROR(VLOOKUP($A5484,HeadJournal!$A$1:$NTR$890,COLUMN(HeadJournal!D$1),0),"")</f>
        <v>Доставлен</v>
      </c>
      <c r="E5484" s="95">
        <f>IFERROR(VLOOKUP($A5484,HeadJournal!$A$1:$NTR$890,COLUMN(HeadJournal!G$1),0),"")</f>
        <v>46038</v>
      </c>
      <c r="F5484" s="95" t="str">
        <f t="shared" si="407"/>
        <v>2026 01</v>
      </c>
      <c r="G5484" s="97" t="s">
        <v>5</v>
      </c>
      <c r="H5484" s="161" t="s">
        <v>2118</v>
      </c>
      <c r="I5484" s="97" t="s">
        <v>2005</v>
      </c>
      <c r="J5484" s="97" t="s">
        <v>2119</v>
      </c>
      <c r="K5484" s="29">
        <v>14.25</v>
      </c>
      <c r="L5484" s="29">
        <v>-2.14</v>
      </c>
      <c r="M5484" s="30">
        <f>IFERROR(VLOOKUP($A5484,HeadJournal!$A$1:$J$890,COLUMN(HeadJournal!I$1),0)*($K5484+$L5484)/(SUMIF($A:$A,$A5484,$K:$K)+SUMIF($A:$A,$A5484,$L:$L)),0)</f>
        <v>0</v>
      </c>
      <c r="N5484" s="30">
        <f>IFERROR((VLOOKUP($A5484,HeadJournal!$A$1:$K$890,COLUMN(HeadJournal!K$1),0)-VLOOKUP($A5484,HeadJournal!$A$1:$K$890,COLUMN(HeadJournal!J$1),0))*($K5484+$L5484)/(SUMIF($A:$A,$A5484,$K:$K)+SUMIF($A:$A,$A5484,$L:$L)),0)</f>
        <v>1.9364628176110754E-15</v>
      </c>
      <c r="O5484" s="30">
        <f>IFERROR((VLOOKUP($A5484,HeadJournal!$A$1:$L$890,COLUMN(HeadJournal!L$1),0)*($K5484+$L5484)/(SUMIF($A:$A,$A5484,$K:$K)+SUMIF($A:$A,$A5484,$L:$L)))/VLOOKUP($A5484,HeadJournal!$A$1:$L$890,COLUMN(HeadJournal!H$1),0),0)</f>
        <v>0.38896339107832595</v>
      </c>
      <c r="P5484" s="30">
        <f>IFERROR(SUM(K5484:O5484)*VLOOKUP($A5484,HeadJournal!$A$1:$L$890,COLUMN(HeadJournal!H$1),0),0)</f>
        <v>1112.2129509395747</v>
      </c>
      <c r="Q5484" s="29">
        <v>2000</v>
      </c>
      <c r="R5484" s="31">
        <v>46164</v>
      </c>
      <c r="S5484" s="31" t="s">
        <v>4868</v>
      </c>
      <c r="T5484" s="95" t="str">
        <f t="shared" si="408"/>
        <v>2026 05</v>
      </c>
      <c r="U5484" s="32">
        <f t="shared" si="403"/>
        <v>887.78704906042526</v>
      </c>
      <c r="V5484" s="22">
        <f t="shared" si="404"/>
        <v>0.79821678781068039</v>
      </c>
      <c r="X5484" s="33"/>
      <c r="Y5484" s="33"/>
    </row>
    <row r="5485" spans="1:25" x14ac:dyDescent="0.2">
      <c r="A5485" s="93" t="s">
        <v>5387</v>
      </c>
      <c r="B5485" s="94">
        <f>IFERROR(VLOOKUP($A5485,HeadJournal!$A$1:$NTR$890,COLUMN(HeadJournal!B$1),0),"")</f>
        <v>0</v>
      </c>
      <c r="C5485" s="94" t="str">
        <f>IFERROR(VLOOKUP($A5485,HeadJournal!$A$1:$NTR$890,COLUMN(HeadJournal!C$1),0),"")</f>
        <v>iHerb_VP DFD1605</v>
      </c>
      <c r="D5485" s="125" t="str">
        <f>IFERROR(VLOOKUP($A5485,HeadJournal!$A$1:$NTR$890,COLUMN(HeadJournal!D$1),0),"")</f>
        <v>Доставлен</v>
      </c>
      <c r="E5485" s="95">
        <f>IFERROR(VLOOKUP($A5485,HeadJournal!$A$1:$NTR$890,COLUMN(HeadJournal!G$1),0),"")</f>
        <v>46038</v>
      </c>
      <c r="F5485" s="95" t="str">
        <f t="shared" si="407"/>
        <v>2026 01</v>
      </c>
      <c r="G5485" s="97" t="s">
        <v>5</v>
      </c>
      <c r="H5485" s="161" t="s">
        <v>2468</v>
      </c>
      <c r="I5485" s="97" t="s">
        <v>2005</v>
      </c>
      <c r="J5485" s="97" t="s">
        <v>4109</v>
      </c>
      <c r="K5485" s="29">
        <v>25.29</v>
      </c>
      <c r="L5485" s="29">
        <v>-3.79</v>
      </c>
      <c r="M5485" s="30">
        <f>IFERROR(VLOOKUP($A5485,HeadJournal!$A$1:$J$890,COLUMN(HeadJournal!I$1),0)*($K5485+$L5485)/(SUMIF($A:$A,$A5485,$K:$K)+SUMIF($A:$A,$A5485,$L:$L)),0)</f>
        <v>0</v>
      </c>
      <c r="N5485" s="30">
        <f>IFERROR((VLOOKUP($A5485,HeadJournal!$A$1:$K$890,COLUMN(HeadJournal!K$1),0)-VLOOKUP($A5485,HeadJournal!$A$1:$K$890,COLUMN(HeadJournal!J$1),0))*($K5485+$L5485)/(SUMIF($A:$A,$A5485,$K:$K)+SUMIF($A:$A,$A5485,$L:$L)),0)</f>
        <v>3.4379810552137179E-15</v>
      </c>
      <c r="O5485" s="30">
        <f>IFERROR((VLOOKUP($A5485,HeadJournal!$A$1:$L$890,COLUMN(HeadJournal!L$1),0)*($K5485+$L5485)/(SUMIF($A:$A,$A5485,$K:$K)+SUMIF($A:$A,$A5485,$L:$L)))/VLOOKUP($A5485,HeadJournal!$A$1:$L$890,COLUMN(HeadJournal!H$1),0),0)</f>
        <v>0.69056258531659853</v>
      </c>
      <c r="P5485" s="30">
        <f>IFERROR(SUM(K5485:O5485)*VLOOKUP($A5485,HeadJournal!$A$1:$L$890,COLUMN(HeadJournal!H$1),0),0)</f>
        <v>1974.6142399009793</v>
      </c>
      <c r="Q5485" s="29">
        <v>2900</v>
      </c>
      <c r="R5485" s="31">
        <v>46133</v>
      </c>
      <c r="S5485" s="31" t="s">
        <v>3290</v>
      </c>
      <c r="T5485" s="95" t="str">
        <f t="shared" si="408"/>
        <v>2026 04</v>
      </c>
      <c r="U5485" s="32">
        <f t="shared" si="403"/>
        <v>925.38576009902067</v>
      </c>
      <c r="V5485" s="22">
        <f t="shared" si="404"/>
        <v>0.46864128770054136</v>
      </c>
      <c r="X5485" s="33"/>
      <c r="Y5485" s="33"/>
    </row>
    <row r="5486" spans="1:25" x14ac:dyDescent="0.2">
      <c r="A5486" s="93" t="s">
        <v>5387</v>
      </c>
      <c r="B5486" s="94">
        <f>IFERROR(VLOOKUP($A5486,HeadJournal!$A$1:$NTR$890,COLUMN(HeadJournal!B$1),0),"")</f>
        <v>0</v>
      </c>
      <c r="C5486" s="94" t="str">
        <f>IFERROR(VLOOKUP($A5486,HeadJournal!$A$1:$NTR$890,COLUMN(HeadJournal!C$1),0),"")</f>
        <v>iHerb_VP DFD1605</v>
      </c>
      <c r="D5486" s="125" t="str">
        <f>IFERROR(VLOOKUP($A5486,HeadJournal!$A$1:$NTR$890,COLUMN(HeadJournal!D$1),0),"")</f>
        <v>Доставлен</v>
      </c>
      <c r="E5486" s="95">
        <f>IFERROR(VLOOKUP($A5486,HeadJournal!$A$1:$NTR$890,COLUMN(HeadJournal!G$1),0),"")</f>
        <v>46038</v>
      </c>
      <c r="F5486" s="95" t="str">
        <f t="shared" si="407"/>
        <v>2026 01</v>
      </c>
      <c r="G5486" s="97" t="s">
        <v>5</v>
      </c>
      <c r="H5486" s="161" t="s">
        <v>2546</v>
      </c>
      <c r="I5486" s="97" t="s">
        <v>2039</v>
      </c>
      <c r="J5486" s="97" t="s">
        <v>2547</v>
      </c>
      <c r="K5486" s="29">
        <v>10.36</v>
      </c>
      <c r="L5486" s="29">
        <v>-1.5549999999999999</v>
      </c>
      <c r="M5486" s="30">
        <f>IFERROR(VLOOKUP($A5486,HeadJournal!$A$1:$J$890,COLUMN(HeadJournal!I$1),0)*($K5486+$L5486)/(SUMIF($A:$A,$A5486,$K:$K)+SUMIF($A:$A,$A5486,$L:$L)),0)</f>
        <v>0</v>
      </c>
      <c r="N5486" s="30">
        <f>IFERROR((VLOOKUP($A5486,HeadJournal!$A$1:$K$890,COLUMN(HeadJournal!K$1),0)-VLOOKUP($A5486,HeadJournal!$A$1:$K$890,COLUMN(HeadJournal!J$1),0))*($K5486+$L5486)/(SUMIF($A:$A,$A5486,$K:$K)+SUMIF($A:$A,$A5486,$L:$L)),0)</f>
        <v>1.4079731716817109E-15</v>
      </c>
      <c r="O5486" s="30">
        <f>IFERROR((VLOOKUP($A5486,HeadJournal!$A$1:$L$890,COLUMN(HeadJournal!L$1),0)*($K5486+$L5486)/(SUMIF($A:$A,$A5486,$K:$K)+SUMIF($A:$A,$A5486,$L:$L)))/VLOOKUP($A5486,HeadJournal!$A$1:$L$890,COLUMN(HeadJournal!H$1),0),0)</f>
        <v>0.28280946807965812</v>
      </c>
      <c r="P5486" s="30">
        <f>IFERROR(SUM(K5486:O5486)*VLOOKUP($A5486,HeadJournal!$A$1:$L$890,COLUMN(HeadJournal!H$1),0),0)</f>
        <v>808.67341313154066</v>
      </c>
      <c r="Q5486" s="29">
        <v>1300</v>
      </c>
      <c r="R5486" s="31">
        <v>46069</v>
      </c>
      <c r="S5486" s="31" t="s">
        <v>3466</v>
      </c>
      <c r="T5486" s="95" t="str">
        <f t="shared" si="408"/>
        <v>2026 02</v>
      </c>
      <c r="U5486" s="32">
        <f t="shared" si="403"/>
        <v>491.32658686845934</v>
      </c>
      <c r="V5486" s="22">
        <f t="shared" si="404"/>
        <v>0.6075710897503428</v>
      </c>
      <c r="X5486" s="33"/>
      <c r="Y5486" s="33"/>
    </row>
    <row r="5487" spans="1:25" x14ac:dyDescent="0.2">
      <c r="A5487" s="93" t="s">
        <v>5387</v>
      </c>
      <c r="B5487" s="94">
        <f>IFERROR(VLOOKUP($A5487,HeadJournal!$A$1:$NTR$890,COLUMN(HeadJournal!B$1),0),"")</f>
        <v>0</v>
      </c>
      <c r="C5487" s="94" t="str">
        <f>IFERROR(VLOOKUP($A5487,HeadJournal!$A$1:$NTR$890,COLUMN(HeadJournal!C$1),0),"")</f>
        <v>iHerb_VP DFD1605</v>
      </c>
      <c r="D5487" s="125" t="str">
        <f>IFERROR(VLOOKUP($A5487,HeadJournal!$A$1:$NTR$890,COLUMN(HeadJournal!D$1),0),"")</f>
        <v>Доставлен</v>
      </c>
      <c r="E5487" s="95">
        <f>IFERROR(VLOOKUP($A5487,HeadJournal!$A$1:$NTR$890,COLUMN(HeadJournal!G$1),0),"")</f>
        <v>46038</v>
      </c>
      <c r="F5487" s="95" t="str">
        <f t="shared" si="407"/>
        <v>2026 01</v>
      </c>
      <c r="G5487" s="97" t="s">
        <v>5</v>
      </c>
      <c r="H5487" s="161" t="s">
        <v>2546</v>
      </c>
      <c r="I5487" s="97" t="s">
        <v>2039</v>
      </c>
      <c r="J5487" s="97" t="s">
        <v>2547</v>
      </c>
      <c r="K5487" s="29">
        <v>10.36</v>
      </c>
      <c r="L5487" s="29">
        <v>-1.5549999999999999</v>
      </c>
      <c r="M5487" s="30">
        <f>IFERROR(VLOOKUP($A5487,HeadJournal!$A$1:$J$890,COLUMN(HeadJournal!I$1),0)*($K5487+$L5487)/(SUMIF($A:$A,$A5487,$K:$K)+SUMIF($A:$A,$A5487,$L:$L)),0)</f>
        <v>0</v>
      </c>
      <c r="N5487" s="30">
        <f>IFERROR((VLOOKUP($A5487,HeadJournal!$A$1:$K$890,COLUMN(HeadJournal!K$1),0)-VLOOKUP($A5487,HeadJournal!$A$1:$K$890,COLUMN(HeadJournal!J$1),0))*($K5487+$L5487)/(SUMIF($A:$A,$A5487,$K:$K)+SUMIF($A:$A,$A5487,$L:$L)),0)</f>
        <v>1.4079731716817109E-15</v>
      </c>
      <c r="O5487" s="30">
        <f>IFERROR((VLOOKUP($A5487,HeadJournal!$A$1:$L$890,COLUMN(HeadJournal!L$1),0)*($K5487+$L5487)/(SUMIF($A:$A,$A5487,$K:$K)+SUMIF($A:$A,$A5487,$L:$L)))/VLOOKUP($A5487,HeadJournal!$A$1:$L$890,COLUMN(HeadJournal!H$1),0),0)</f>
        <v>0.28280946807965812</v>
      </c>
      <c r="P5487" s="30">
        <f>IFERROR(SUM(K5487:O5487)*VLOOKUP($A5487,HeadJournal!$A$1:$L$890,COLUMN(HeadJournal!H$1),0),0)</f>
        <v>808.67341313154066</v>
      </c>
      <c r="Q5487" s="29">
        <v>1300</v>
      </c>
      <c r="R5487" s="31">
        <v>46069</v>
      </c>
      <c r="S5487" s="31" t="s">
        <v>3466</v>
      </c>
      <c r="T5487" s="95" t="str">
        <f t="shared" si="408"/>
        <v>2026 02</v>
      </c>
      <c r="U5487" s="32">
        <f t="shared" si="403"/>
        <v>491.32658686845934</v>
      </c>
      <c r="V5487" s="22">
        <f t="shared" si="404"/>
        <v>0.6075710897503428</v>
      </c>
      <c r="X5487" s="33"/>
      <c r="Y5487" s="33"/>
    </row>
    <row r="5488" spans="1:25" x14ac:dyDescent="0.2">
      <c r="A5488" s="93" t="s">
        <v>5397</v>
      </c>
      <c r="B5488" s="94">
        <f>IFERROR(VLOOKUP($A5488,HeadJournal!$A$1:$NTR$890,COLUMN(HeadJournal!B$1),0),"")</f>
        <v>0</v>
      </c>
      <c r="C5488" s="94" t="str">
        <f>IFERROR(VLOOKUP($A5488,HeadJournal!$A$1:$NTR$890,COLUMN(HeadJournal!C$1),0),"")</f>
        <v>iHerb_AV CYG0792</v>
      </c>
      <c r="D5488" s="125" t="str">
        <f>IFERROR(VLOOKUP($A5488,HeadJournal!$A$1:$NTR$890,COLUMN(HeadJournal!D$1),0),"")</f>
        <v>Доставлен</v>
      </c>
      <c r="E5488" s="95">
        <f>IFERROR(VLOOKUP($A5488,HeadJournal!$A$1:$NTR$890,COLUMN(HeadJournal!G$1),0),"")</f>
        <v>46032</v>
      </c>
      <c r="F5488" s="95" t="str">
        <f t="shared" si="407"/>
        <v>2026 01</v>
      </c>
      <c r="G5488" s="97" t="s">
        <v>5</v>
      </c>
      <c r="H5488" s="161" t="s">
        <v>5388</v>
      </c>
      <c r="I5488" s="97" t="s">
        <v>5389</v>
      </c>
      <c r="J5488" s="97" t="s">
        <v>5390</v>
      </c>
      <c r="K5488" s="29">
        <v>66.39</v>
      </c>
      <c r="L5488" s="29">
        <v>-6.64</v>
      </c>
      <c r="M5488" s="30">
        <f>IFERROR(VLOOKUP($A5488,HeadJournal!$A$1:$J$890,COLUMN(HeadJournal!I$1),0)*($K5488+$L5488)/(SUMIF($A:$A,$A5488,$K:$K)+SUMIF($A:$A,$A5488,$L:$L)),0)</f>
        <v>-5.7782103160374936</v>
      </c>
      <c r="N5488" s="30">
        <f>IFERROR((VLOOKUP($A5488,HeadJournal!$A$1:$K$890,COLUMN(HeadJournal!K$1),0)-VLOOKUP($A5488,HeadJournal!$A$1:$K$890,COLUMN(HeadJournal!J$1),0))*($K5488+$L5488)/(SUMIF($A:$A,$A5488,$K:$K)+SUMIF($A:$A,$A5488,$L:$L)),0)</f>
        <v>-8.6984435715138E-15</v>
      </c>
      <c r="O5488" s="30">
        <f>IFERROR((VLOOKUP($A5488,HeadJournal!$A$1:$L$890,COLUMN(HeadJournal!L$1),0)*($K5488+$L5488)/(SUMIF($A:$A,$A5488,$K:$K)+SUMIF($A:$A,$A5488,$L:$L)))/VLOOKUP($A5488,HeadJournal!$A$1:$L$890,COLUMN(HeadJournal!H$1),0),0)</f>
        <v>1.7300021410862447</v>
      </c>
      <c r="P5488" s="30">
        <f>IFERROR(SUM(K5488:O5488)*VLOOKUP($A5488,HeadJournal!$A$1:$L$890,COLUMN(HeadJournal!H$1),0),0)</f>
        <v>5005.8472452388105</v>
      </c>
      <c r="Q5488" s="29">
        <v>6400</v>
      </c>
      <c r="R5488" s="31">
        <v>46067</v>
      </c>
      <c r="S5488" s="31" t="s">
        <v>3475</v>
      </c>
      <c r="T5488" s="95" t="str">
        <f t="shared" si="408"/>
        <v>2026 02</v>
      </c>
      <c r="U5488" s="32">
        <f t="shared" si="403"/>
        <v>1394.1527547611895</v>
      </c>
      <c r="V5488" s="22">
        <f t="shared" si="404"/>
        <v>0.27850485371626227</v>
      </c>
      <c r="X5488" s="33"/>
      <c r="Y5488" s="33"/>
    </row>
    <row r="5489" spans="1:25" x14ac:dyDescent="0.2">
      <c r="A5489" s="93" t="s">
        <v>5397</v>
      </c>
      <c r="B5489" s="94">
        <f>IFERROR(VLOOKUP($A5489,HeadJournal!$A$1:$NTR$890,COLUMN(HeadJournal!B$1),0),"")</f>
        <v>0</v>
      </c>
      <c r="C5489" s="94" t="str">
        <f>IFERROR(VLOOKUP($A5489,HeadJournal!$A$1:$NTR$890,COLUMN(HeadJournal!C$1),0),"")</f>
        <v>iHerb_AV CYG0792</v>
      </c>
      <c r="D5489" s="125" t="str">
        <f>IFERROR(VLOOKUP($A5489,HeadJournal!$A$1:$NTR$890,COLUMN(HeadJournal!D$1),0),"")</f>
        <v>Доставлен</v>
      </c>
      <c r="E5489" s="95">
        <f>IFERROR(VLOOKUP($A5489,HeadJournal!$A$1:$NTR$890,COLUMN(HeadJournal!G$1),0),"")</f>
        <v>46032</v>
      </c>
      <c r="F5489" s="95" t="str">
        <f t="shared" si="407"/>
        <v>2026 01</v>
      </c>
      <c r="G5489" s="97" t="s">
        <v>5</v>
      </c>
      <c r="H5489" s="161" t="s">
        <v>3778</v>
      </c>
      <c r="I5489" s="97" t="s">
        <v>3779</v>
      </c>
      <c r="J5489" s="97" t="s">
        <v>3780</v>
      </c>
      <c r="K5489" s="29">
        <v>19.739999999999998</v>
      </c>
      <c r="L5489" s="29">
        <v>-1.97</v>
      </c>
      <c r="M5489" s="30">
        <f>IFERROR(VLOOKUP($A5489,HeadJournal!$A$1:$J$890,COLUMN(HeadJournal!I$1),0)*($K5489+$L5489)/(SUMIF($A:$A,$A5489,$K:$K)+SUMIF($A:$A,$A5489,$L:$L)),0)</f>
        <v>-1.7184735952466319</v>
      </c>
      <c r="N5489" s="30">
        <f>IFERROR((VLOOKUP($A5489,HeadJournal!$A$1:$K$890,COLUMN(HeadJournal!K$1),0)-VLOOKUP($A5489,HeadJournal!$A$1:$K$890,COLUMN(HeadJournal!J$1),0))*($K5489+$L5489)/(SUMIF($A:$A,$A5489,$K:$K)+SUMIF($A:$A,$A5489,$L:$L)),0)</f>
        <v>-2.5869680713941462E-15</v>
      </c>
      <c r="O5489" s="30">
        <f>IFERROR((VLOOKUP($A5489,HeadJournal!$A$1:$L$890,COLUMN(HeadJournal!L$1),0)*($K5489+$L5489)/(SUMIF($A:$A,$A5489,$K:$K)+SUMIF($A:$A,$A5489,$L:$L)))/VLOOKUP($A5489,HeadJournal!$A$1:$L$890,COLUMN(HeadJournal!H$1),0),0)</f>
        <v>0.51451277066280443</v>
      </c>
      <c r="P5489" s="30">
        <f>IFERROR(SUM(K5489:O5489)*VLOOKUP($A5489,HeadJournal!$A$1:$L$890,COLUMN(HeadJournal!H$1),0),0)</f>
        <v>1488.7682936885967</v>
      </c>
      <c r="Q5489" s="29">
        <v>2250</v>
      </c>
      <c r="R5489" s="31">
        <v>46067</v>
      </c>
      <c r="S5489" s="31" t="s">
        <v>3475</v>
      </c>
      <c r="T5489" s="95" t="str">
        <f t="shared" si="408"/>
        <v>2026 02</v>
      </c>
      <c r="U5489" s="32">
        <f t="shared" si="403"/>
        <v>761.23170631140329</v>
      </c>
      <c r="V5489" s="22">
        <f t="shared" si="404"/>
        <v>0.5113164416105096</v>
      </c>
      <c r="X5489" s="33"/>
      <c r="Y5489" s="33"/>
    </row>
    <row r="5490" spans="1:25" x14ac:dyDescent="0.2">
      <c r="A5490" s="93" t="s">
        <v>5397</v>
      </c>
      <c r="B5490" s="94">
        <f>IFERROR(VLOOKUP($A5490,HeadJournal!$A$1:$NTR$890,COLUMN(HeadJournal!B$1),0),"")</f>
        <v>0</v>
      </c>
      <c r="C5490" s="94" t="str">
        <f>IFERROR(VLOOKUP($A5490,HeadJournal!$A$1:$NTR$890,COLUMN(HeadJournal!C$1),0),"")</f>
        <v>iHerb_AV CYG0792</v>
      </c>
      <c r="D5490" s="125" t="str">
        <f>IFERROR(VLOOKUP($A5490,HeadJournal!$A$1:$NTR$890,COLUMN(HeadJournal!D$1),0),"")</f>
        <v>Доставлен</v>
      </c>
      <c r="E5490" s="95">
        <f>IFERROR(VLOOKUP($A5490,HeadJournal!$A$1:$NTR$890,COLUMN(HeadJournal!G$1),0),"")</f>
        <v>46032</v>
      </c>
      <c r="F5490" s="95" t="str">
        <f t="shared" si="407"/>
        <v>2026 01</v>
      </c>
      <c r="G5490" s="97" t="s">
        <v>5</v>
      </c>
      <c r="H5490" s="161" t="s">
        <v>5391</v>
      </c>
      <c r="I5490" s="97" t="s">
        <v>5392</v>
      </c>
      <c r="J5490" s="97" t="s">
        <v>5393</v>
      </c>
      <c r="K5490" s="29">
        <v>28.46</v>
      </c>
      <c r="L5490" s="29">
        <v>-2.85</v>
      </c>
      <c r="M5490" s="30">
        <f>IFERROR(VLOOKUP($A5490,HeadJournal!$A$1:$J$890,COLUMN(HeadJournal!I$1),0)*($K5490+$L5490)/(SUMIF($A:$A,$A5490,$K:$K)+SUMIF($A:$A,$A5490,$L:$L)),0)</f>
        <v>-2.4766521538697943</v>
      </c>
      <c r="N5490" s="30">
        <f>IFERROR((VLOOKUP($A5490,HeadJournal!$A$1:$K$890,COLUMN(HeadJournal!K$1),0)-VLOOKUP($A5490,HeadJournal!$A$1:$K$890,COLUMN(HeadJournal!J$1),0))*($K5490+$L5490)/(SUMIF($A:$A,$A5490,$K:$K)+SUMIF($A:$A,$A5490,$L:$L)),0)</f>
        <v>-3.7283203324931954E-15</v>
      </c>
      <c r="O5490" s="30">
        <f>IFERROR((VLOOKUP($A5490,HeadJournal!$A$1:$L$890,COLUMN(HeadJournal!L$1),0)*($K5490+$L5490)/(SUMIF($A:$A,$A5490,$K:$K)+SUMIF($A:$A,$A5490,$L:$L)))/VLOOKUP($A5490,HeadJournal!$A$1:$L$890,COLUMN(HeadJournal!H$1),0),0)</f>
        <v>0.74151221478190332</v>
      </c>
      <c r="P5490" s="30">
        <f>IFERROR(SUM(K5490:O5490)*VLOOKUP($A5490,HeadJournal!$A$1:$L$890,COLUMN(HeadJournal!H$1),0),0)</f>
        <v>2145.6024761600993</v>
      </c>
      <c r="Q5490" s="29">
        <v>3000</v>
      </c>
      <c r="R5490" s="31">
        <v>46067</v>
      </c>
      <c r="S5490" s="31" t="s">
        <v>3475</v>
      </c>
      <c r="T5490" s="95" t="str">
        <f t="shared" si="408"/>
        <v>2026 02</v>
      </c>
      <c r="U5490" s="32">
        <f t="shared" si="403"/>
        <v>854.39752383990071</v>
      </c>
      <c r="V5490" s="22">
        <f t="shared" si="404"/>
        <v>0.39820867720519343</v>
      </c>
      <c r="X5490" s="33"/>
      <c r="Y5490" s="33"/>
    </row>
    <row r="5491" spans="1:25" x14ac:dyDescent="0.2">
      <c r="A5491" s="93" t="s">
        <v>5397</v>
      </c>
      <c r="B5491" s="94">
        <f>IFERROR(VLOOKUP($A5491,HeadJournal!$A$1:$NTR$890,COLUMN(HeadJournal!B$1),0),"")</f>
        <v>0</v>
      </c>
      <c r="C5491" s="94" t="str">
        <f>IFERROR(VLOOKUP($A5491,HeadJournal!$A$1:$NTR$890,COLUMN(HeadJournal!C$1),0),"")</f>
        <v>iHerb_AV CYG0792</v>
      </c>
      <c r="D5491" s="125" t="str">
        <f>IFERROR(VLOOKUP($A5491,HeadJournal!$A$1:$NTR$890,COLUMN(HeadJournal!D$1),0),"")</f>
        <v>Доставлен</v>
      </c>
      <c r="E5491" s="95">
        <f>IFERROR(VLOOKUP($A5491,HeadJournal!$A$1:$NTR$890,COLUMN(HeadJournal!G$1),0),"")</f>
        <v>46032</v>
      </c>
      <c r="F5491" s="95" t="str">
        <f t="shared" si="407"/>
        <v>2026 01</v>
      </c>
      <c r="G5491" s="97" t="s">
        <v>5</v>
      </c>
      <c r="H5491" s="161" t="s">
        <v>5394</v>
      </c>
      <c r="I5491" s="97" t="s">
        <v>5395</v>
      </c>
      <c r="J5491" s="97" t="s">
        <v>5396</v>
      </c>
      <c r="K5491" s="29">
        <v>90.51</v>
      </c>
      <c r="L5491" s="29">
        <v>-9.0500000000000007</v>
      </c>
      <c r="M5491" s="30">
        <f>IFERROR(VLOOKUP($A5491,HeadJournal!$A$1:$J$890,COLUMN(HeadJournal!I$1),0)*($K5491+$L5491)/(SUMIF($A:$A,$A5491,$K:$K)+SUMIF($A:$A,$A5491,$L:$L)),0)</f>
        <v>-7.8777073195717859</v>
      </c>
      <c r="N5491" s="30">
        <f>IFERROR((VLOOKUP($A5491,HeadJournal!$A$1:$K$890,COLUMN(HeadJournal!K$1),0)-VLOOKUP($A5491,HeadJournal!$A$1:$K$890,COLUMN(HeadJournal!J$1),0))*($K5491+$L5491)/(SUMIF($A:$A,$A5491,$K:$K)+SUMIF($A:$A,$A5491,$L:$L)),0)</f>
        <v>-1.1858999386368439E-14</v>
      </c>
      <c r="O5491" s="30">
        <f>IFERROR((VLOOKUP($A5491,HeadJournal!$A$1:$L$890,COLUMN(HeadJournal!L$1),0)*($K5491+$L5491)/(SUMIF($A:$A,$A5491,$K:$K)+SUMIF($A:$A,$A5491,$L:$L)))/VLOOKUP($A5491,HeadJournal!$A$1:$L$890,COLUMN(HeadJournal!H$1),0),0)</f>
        <v>2.3585937140231885</v>
      </c>
      <c r="P5491" s="30">
        <f>IFERROR(SUM(K5491:O5491)*VLOOKUP($A5491,HeadJournal!$A$1:$L$890,COLUMN(HeadJournal!H$1),0),0)</f>
        <v>6824.7082275674229</v>
      </c>
      <c r="Q5491" s="29">
        <v>8550</v>
      </c>
      <c r="R5491" s="31">
        <v>46067</v>
      </c>
      <c r="S5491" s="31" t="s">
        <v>3475</v>
      </c>
      <c r="T5491" s="95" t="str">
        <f t="shared" si="408"/>
        <v>2026 02</v>
      </c>
      <c r="U5491" s="32">
        <f t="shared" si="403"/>
        <v>1725.2917724325771</v>
      </c>
      <c r="V5491" s="22">
        <f t="shared" si="404"/>
        <v>0.25280081065788429</v>
      </c>
      <c r="X5491" s="33"/>
      <c r="Y5491" s="33"/>
    </row>
    <row r="5492" spans="1:25" x14ac:dyDescent="0.2">
      <c r="A5492" s="93" t="s">
        <v>5397</v>
      </c>
      <c r="B5492" s="94">
        <f>IFERROR(VLOOKUP($A5492,HeadJournal!$A$1:$NTR$890,COLUMN(HeadJournal!B$1),0),"")</f>
        <v>0</v>
      </c>
      <c r="C5492" s="94" t="str">
        <f>IFERROR(VLOOKUP($A5492,HeadJournal!$A$1:$NTR$890,COLUMN(HeadJournal!C$1),0),"")</f>
        <v>iHerb_AV CYG0792</v>
      </c>
      <c r="D5492" s="125" t="str">
        <f>IFERROR(VLOOKUP($A5492,HeadJournal!$A$1:$NTR$890,COLUMN(HeadJournal!D$1),0),"")</f>
        <v>Доставлен</v>
      </c>
      <c r="E5492" s="95">
        <f>IFERROR(VLOOKUP($A5492,HeadJournal!$A$1:$NTR$890,COLUMN(HeadJournal!G$1),0),"")</f>
        <v>46032</v>
      </c>
      <c r="F5492" s="95" t="str">
        <f t="shared" si="407"/>
        <v>2026 01</v>
      </c>
      <c r="G5492" s="97" t="s">
        <v>5</v>
      </c>
      <c r="H5492" s="161" t="s">
        <v>3822</v>
      </c>
      <c r="I5492" s="97" t="s">
        <v>2009</v>
      </c>
      <c r="J5492" s="97" t="s">
        <v>3823</v>
      </c>
      <c r="K5492" s="29">
        <v>11.82</v>
      </c>
      <c r="L5492" s="29">
        <v>-1.18</v>
      </c>
      <c r="M5492" s="30">
        <f>IFERROR(VLOOKUP($A5492,HeadJournal!$A$1:$J$890,COLUMN(HeadJournal!I$1),0)*($K5492+$L5492)/(SUMIF($A:$A,$A5492,$K:$K)+SUMIF($A:$A,$A5492,$L:$L)),0)</f>
        <v>-1.0289566152742917</v>
      </c>
      <c r="N5492" s="30">
        <f>IFERROR((VLOOKUP($A5492,HeadJournal!$A$1:$K$890,COLUMN(HeadJournal!K$1),0)-VLOOKUP($A5492,HeadJournal!$A$1:$K$890,COLUMN(HeadJournal!J$1),0))*($K5492+$L5492)/(SUMIF($A:$A,$A5492,$K:$K)+SUMIF($A:$A,$A5492,$L:$L)),0)</f>
        <v>-1.5489780686344241E-15</v>
      </c>
      <c r="O5492" s="30">
        <f>IFERROR((VLOOKUP($A5492,HeadJournal!$A$1:$L$890,COLUMN(HeadJournal!L$1),0)*($K5492+$L5492)/(SUMIF($A:$A,$A5492,$K:$K)+SUMIF($A:$A,$A5492,$L:$L)))/VLOOKUP($A5492,HeadJournal!$A$1:$L$890,COLUMN(HeadJournal!H$1),0),0)</f>
        <v>0.30807067416163419</v>
      </c>
      <c r="P5492" s="30">
        <f>IFERROR(SUM(K5492:O5492)*VLOOKUP($A5492,HeadJournal!$A$1:$L$890,COLUMN(HeadJournal!H$1),0),0)</f>
        <v>891.41781906846768</v>
      </c>
      <c r="Q5492" s="29">
        <v>1800</v>
      </c>
      <c r="R5492" s="31">
        <v>46067</v>
      </c>
      <c r="S5492" s="31" t="s">
        <v>3235</v>
      </c>
      <c r="T5492" s="95" t="str">
        <f t="shared" si="408"/>
        <v>2026 02</v>
      </c>
      <c r="U5492" s="32">
        <f t="shared" si="403"/>
        <v>908.58218093153232</v>
      </c>
      <c r="V5492" s="22">
        <f t="shared" si="404"/>
        <v>1.019255125369831</v>
      </c>
      <c r="X5492" s="33"/>
      <c r="Y5492" s="33"/>
    </row>
    <row r="5493" spans="1:25" x14ac:dyDescent="0.2">
      <c r="A5493" s="93" t="s">
        <v>5400</v>
      </c>
      <c r="B5493" s="94">
        <f>IFERROR(VLOOKUP($A5493,HeadJournal!$A$1:$NTR$890,COLUMN(HeadJournal!B$1),0),"")</f>
        <v>0</v>
      </c>
      <c r="C5493" s="94" t="str">
        <f>IFERROR(VLOOKUP($A5493,HeadJournal!$A$1:$NTR$890,COLUMN(HeadJournal!C$1),0),"")</f>
        <v>iHerb_VP DFD1605</v>
      </c>
      <c r="D5493" s="125" t="str">
        <f>IFERROR(VLOOKUP($A5493,HeadJournal!$A$1:$NTR$890,COLUMN(HeadJournal!D$1),0),"")</f>
        <v>Доставлен</v>
      </c>
      <c r="E5493" s="95">
        <f>IFERROR(VLOOKUP($A5493,HeadJournal!$A$1:$NTR$890,COLUMN(HeadJournal!G$1),0),"")</f>
        <v>46044</v>
      </c>
      <c r="F5493" s="95" t="str">
        <f t="shared" si="407"/>
        <v>2026 01</v>
      </c>
      <c r="G5493" s="97" t="s">
        <v>5</v>
      </c>
      <c r="H5493" s="161" t="s">
        <v>5162</v>
      </c>
      <c r="I5493" s="97" t="s">
        <v>2009</v>
      </c>
      <c r="J5493" s="97" t="s">
        <v>5163</v>
      </c>
      <c r="K5493" s="29">
        <v>30.75</v>
      </c>
      <c r="L5493" s="29">
        <v>-3.08</v>
      </c>
      <c r="M5493" s="30">
        <f>IFERROR(VLOOKUP($A5493,HeadJournal!$A$1:$J$890,COLUMN(HeadJournal!I$1),0)*($K5493+$L5493)/(SUMIF($A:$A,$A5493,$K:$K)+SUMIF($A:$A,$A5493,$L:$L)),0)</f>
        <v>-1.4433258567628189</v>
      </c>
      <c r="N5493" s="30">
        <f>IFERROR((VLOOKUP($A5493,HeadJournal!$A$1:$K$890,COLUMN(HeadJournal!K$1),0)-VLOOKUP($A5493,HeadJournal!$A$1:$K$890,COLUMN(HeadJournal!J$1),0))*($K5493+$L5493)/(SUMIF($A:$A,$A5493,$K:$K)+SUMIF($A:$A,$A5493,$L:$L)),0)</f>
        <v>-4.102178811430175E-15</v>
      </c>
      <c r="O5493" s="30">
        <f>IFERROR((VLOOKUP($A5493,HeadJournal!$A$1:$L$890,COLUMN(HeadJournal!L$1),0)*($K5493+$L5493)/(SUMIF($A:$A,$A5493,$K:$K)+SUMIF($A:$A,$A5493,$L:$L)))/VLOOKUP($A5493,HeadJournal!$A$1:$L$890,COLUMN(HeadJournal!H$1),0),0)</f>
        <v>0.82273105987809458</v>
      </c>
      <c r="P5493" s="30">
        <f>IFERROR(SUM(K5493:O5493)*VLOOKUP($A5493,HeadJournal!$A$1:$L$890,COLUMN(HeadJournal!H$1),0),0)</f>
        <v>2410.6154227739812</v>
      </c>
      <c r="Q5493" s="29">
        <v>3300</v>
      </c>
      <c r="R5493" s="31">
        <v>46067</v>
      </c>
      <c r="S5493" s="31" t="s">
        <v>3226</v>
      </c>
      <c r="T5493" s="95" t="str">
        <f t="shared" si="408"/>
        <v>2026 02</v>
      </c>
      <c r="U5493" s="32">
        <f t="shared" si="403"/>
        <v>889.38457722601879</v>
      </c>
      <c r="V5493" s="22">
        <f t="shared" si="404"/>
        <v>0.36894502906754501</v>
      </c>
      <c r="X5493" s="33"/>
      <c r="Y5493" s="33"/>
    </row>
    <row r="5494" spans="1:25" x14ac:dyDescent="0.2">
      <c r="A5494" s="93" t="s">
        <v>5400</v>
      </c>
      <c r="B5494" s="94">
        <f>IFERROR(VLOOKUP($A5494,HeadJournal!$A$1:$NTR$890,COLUMN(HeadJournal!B$1),0),"")</f>
        <v>0</v>
      </c>
      <c r="C5494" s="94" t="str">
        <f>IFERROR(VLOOKUP($A5494,HeadJournal!$A$1:$NTR$890,COLUMN(HeadJournal!C$1),0),"")</f>
        <v>iHerb_VP DFD1605</v>
      </c>
      <c r="D5494" s="125" t="str">
        <f>IFERROR(VLOOKUP($A5494,HeadJournal!$A$1:$NTR$890,COLUMN(HeadJournal!D$1),0),"")</f>
        <v>Доставлен</v>
      </c>
      <c r="E5494" s="95">
        <f>IFERROR(VLOOKUP($A5494,HeadJournal!$A$1:$NTR$890,COLUMN(HeadJournal!G$1),0),"")</f>
        <v>46044</v>
      </c>
      <c r="F5494" s="95" t="str">
        <f t="shared" si="407"/>
        <v>2026 01</v>
      </c>
      <c r="G5494" s="97" t="s">
        <v>5</v>
      </c>
      <c r="H5494" s="161" t="s">
        <v>2986</v>
      </c>
      <c r="I5494" s="97" t="s">
        <v>2005</v>
      </c>
      <c r="J5494" s="97" t="s">
        <v>2987</v>
      </c>
      <c r="K5494" s="29">
        <v>9.74</v>
      </c>
      <c r="L5494" s="29">
        <v>-0.97</v>
      </c>
      <c r="M5494" s="30">
        <f>IFERROR(VLOOKUP($A5494,HeadJournal!$A$1:$J$890,COLUMN(HeadJournal!I$1),0)*($K5494+$L5494)/(SUMIF($A:$A,$A5494,$K:$K)+SUMIF($A:$A,$A5494,$L:$L)),0)</f>
        <v>-0.45746179124719616</v>
      </c>
      <c r="N5494" s="30">
        <f>IFERROR((VLOOKUP($A5494,HeadJournal!$A$1:$K$890,COLUMN(HeadJournal!K$1),0)-VLOOKUP($A5494,HeadJournal!$A$1:$K$890,COLUMN(HeadJournal!J$1),0))*($K5494+$L5494)/(SUMIF($A:$A,$A5494,$K:$K)+SUMIF($A:$A,$A5494,$L:$L)),0)</f>
        <v>-1.3001846106339944E-15</v>
      </c>
      <c r="O5494" s="30">
        <f>IFERROR((VLOOKUP($A5494,HeadJournal!$A$1:$L$890,COLUMN(HeadJournal!L$1),0)*($K5494+$L5494)/(SUMIF($A:$A,$A5494,$K:$K)+SUMIF($A:$A,$A5494,$L:$L)))/VLOOKUP($A5494,HeadJournal!$A$1:$L$890,COLUMN(HeadJournal!H$1),0),0)</f>
        <v>0.26076441615941054</v>
      </c>
      <c r="P5494" s="30">
        <f>IFERROR(SUM(K5494:O5494)*VLOOKUP($A5494,HeadJournal!$A$1:$L$890,COLUMN(HeadJournal!H$1),0),0)</f>
        <v>764.04399196703332</v>
      </c>
      <c r="Q5494" s="29">
        <v>1500</v>
      </c>
      <c r="R5494" s="31">
        <v>46067</v>
      </c>
      <c r="S5494" s="31" t="s">
        <v>3226</v>
      </c>
      <c r="T5494" s="95" t="str">
        <f t="shared" si="408"/>
        <v>2026 02</v>
      </c>
      <c r="U5494" s="32">
        <f t="shared" si="403"/>
        <v>735.95600803296668</v>
      </c>
      <c r="V5494" s="22">
        <f t="shared" si="404"/>
        <v>0.96323773993464168</v>
      </c>
      <c r="X5494" s="33"/>
      <c r="Y5494" s="33"/>
    </row>
    <row r="5495" spans="1:25" x14ac:dyDescent="0.2">
      <c r="A5495" s="93" t="s">
        <v>5400</v>
      </c>
      <c r="B5495" s="94">
        <f>IFERROR(VLOOKUP($A5495,HeadJournal!$A$1:$NTR$890,COLUMN(HeadJournal!B$1),0),"")</f>
        <v>0</v>
      </c>
      <c r="C5495" s="94" t="str">
        <f>IFERROR(VLOOKUP($A5495,HeadJournal!$A$1:$NTR$890,COLUMN(HeadJournal!C$1),0),"")</f>
        <v>iHerb_VP DFD1605</v>
      </c>
      <c r="D5495" s="125" t="str">
        <f>IFERROR(VLOOKUP($A5495,HeadJournal!$A$1:$NTR$890,COLUMN(HeadJournal!D$1),0),"")</f>
        <v>Доставлен</v>
      </c>
      <c r="E5495" s="95">
        <f>IFERROR(VLOOKUP($A5495,HeadJournal!$A$1:$NTR$890,COLUMN(HeadJournal!G$1),0),"")</f>
        <v>46044</v>
      </c>
      <c r="F5495" s="95" t="str">
        <f t="shared" si="407"/>
        <v>2026 01</v>
      </c>
      <c r="G5495" s="97" t="s">
        <v>5</v>
      </c>
      <c r="H5495" s="161" t="s">
        <v>4107</v>
      </c>
      <c r="I5495" s="97" t="s">
        <v>2750</v>
      </c>
      <c r="J5495" s="97" t="s">
        <v>4108</v>
      </c>
      <c r="K5495" s="29">
        <v>40.770000000000003</v>
      </c>
      <c r="L5495" s="29">
        <v>-4.08</v>
      </c>
      <c r="M5495" s="30">
        <f>IFERROR(VLOOKUP($A5495,HeadJournal!$A$1:$J$890,COLUMN(HeadJournal!I$1),0)*($K5495+$L5495)/(SUMIF($A:$A,$A5495,$K:$K)+SUMIF($A:$A,$A5495,$L:$L)),0)</f>
        <v>-1.9138281779771529</v>
      </c>
      <c r="N5495" s="30">
        <f>IFERROR((VLOOKUP($A5495,HeadJournal!$A$1:$K$890,COLUMN(HeadJournal!K$1),0)-VLOOKUP($A5495,HeadJournal!$A$1:$K$890,COLUMN(HeadJournal!J$1),0))*($K5495+$L5495)/(SUMIF($A:$A,$A5495,$K:$K)+SUMIF($A:$A,$A5495,$L:$L)),0)</f>
        <v>-5.4394268374186167E-15</v>
      </c>
      <c r="O5495" s="30">
        <f>IFERROR((VLOOKUP($A5495,HeadJournal!$A$1:$L$890,COLUMN(HeadJournal!L$1),0)*($K5495+$L5495)/(SUMIF($A:$A,$A5495,$K:$K)+SUMIF($A:$A,$A5495,$L:$L)))/VLOOKUP($A5495,HeadJournal!$A$1:$L$890,COLUMN(HeadJournal!H$1),0),0)</f>
        <v>1.0909288972507156</v>
      </c>
      <c r="P5495" s="30">
        <f>IFERROR(SUM(K5495:O5495)*VLOOKUP($A5495,HeadJournal!$A$1:$L$890,COLUMN(HeadJournal!H$1),0),0)</f>
        <v>3196.4394601220588</v>
      </c>
      <c r="Q5495" s="29">
        <v>4200</v>
      </c>
      <c r="R5495" s="31">
        <v>46067</v>
      </c>
      <c r="S5495" s="31" t="s">
        <v>3226</v>
      </c>
      <c r="T5495" s="95" t="str">
        <f t="shared" si="408"/>
        <v>2026 02</v>
      </c>
      <c r="U5495" s="32">
        <f t="shared" si="403"/>
        <v>1003.5605398779412</v>
      </c>
      <c r="V5495" s="22">
        <f t="shared" si="404"/>
        <v>0.31396200441087641</v>
      </c>
      <c r="X5495" s="33"/>
      <c r="Y5495" s="33"/>
    </row>
    <row r="5496" spans="1:25" x14ac:dyDescent="0.2">
      <c r="A5496" s="93" t="s">
        <v>5400</v>
      </c>
      <c r="B5496" s="94">
        <f>IFERROR(VLOOKUP($A5496,HeadJournal!$A$1:$NTR$890,COLUMN(HeadJournal!B$1),0),"")</f>
        <v>0</v>
      </c>
      <c r="C5496" s="94" t="str">
        <f>IFERROR(VLOOKUP($A5496,HeadJournal!$A$1:$NTR$890,COLUMN(HeadJournal!C$1),0),"")</f>
        <v>iHerb_VP DFD1605</v>
      </c>
      <c r="D5496" s="125" t="str">
        <f>IFERROR(VLOOKUP($A5496,HeadJournal!$A$1:$NTR$890,COLUMN(HeadJournal!D$1),0),"")</f>
        <v>Доставлен</v>
      </c>
      <c r="E5496" s="95">
        <f>IFERROR(VLOOKUP($A5496,HeadJournal!$A$1:$NTR$890,COLUMN(HeadJournal!G$1),0),"")</f>
        <v>46044</v>
      </c>
      <c r="F5496" s="95" t="str">
        <f t="shared" si="407"/>
        <v>2026 01</v>
      </c>
      <c r="G5496" s="97" t="s">
        <v>5</v>
      </c>
      <c r="H5496" s="161" t="s">
        <v>4044</v>
      </c>
      <c r="I5496" s="97" t="s">
        <v>2163</v>
      </c>
      <c r="J5496" s="97" t="s">
        <v>4045</v>
      </c>
      <c r="K5496" s="29">
        <v>35.979999999999997</v>
      </c>
      <c r="L5496" s="29">
        <v>-3.6</v>
      </c>
      <c r="M5496" s="30">
        <f>IFERROR(VLOOKUP($A5496,HeadJournal!$A$1:$J$890,COLUMN(HeadJournal!I$1),0)*($K5496+$L5496)/(SUMIF($A:$A,$A5496,$K:$K)+SUMIF($A:$A,$A5496,$L:$L)),0)</f>
        <v>-1.6890094413436956</v>
      </c>
      <c r="N5496" s="30">
        <f>IFERROR((VLOOKUP($A5496,HeadJournal!$A$1:$K$890,COLUMN(HeadJournal!K$1),0)-VLOOKUP($A5496,HeadJournal!$A$1:$K$890,COLUMN(HeadJournal!J$1),0))*($K5496+$L5496)/(SUMIF($A:$A,$A5496,$K:$K)+SUMIF($A:$A,$A5496,$L:$L)),0)</f>
        <v>-4.800453556707952E-15</v>
      </c>
      <c r="O5496" s="30">
        <f>IFERROR((VLOOKUP($A5496,HeadJournal!$A$1:$L$890,COLUMN(HeadJournal!L$1),0)*($K5496+$L5496)/(SUMIF($A:$A,$A5496,$K:$K)+SUMIF($A:$A,$A5496,$L:$L)))/VLOOKUP($A5496,HeadJournal!$A$1:$L$890,COLUMN(HeadJournal!H$1),0),0)</f>
        <v>0.96277671553497279</v>
      </c>
      <c r="P5496" s="30">
        <f>IFERROR(SUM(K5496:O5496)*VLOOKUP($A5496,HeadJournal!$A$1:$L$890,COLUMN(HeadJournal!H$1),0),0)</f>
        <v>2820.9514777528548</v>
      </c>
      <c r="Q5496" s="29">
        <v>4000</v>
      </c>
      <c r="R5496" s="31">
        <v>46067</v>
      </c>
      <c r="S5496" s="31" t="s">
        <v>3235</v>
      </c>
      <c r="T5496" s="95" t="str">
        <f t="shared" si="408"/>
        <v>2026 02</v>
      </c>
      <c r="U5496" s="32">
        <f t="shared" si="401"/>
        <v>1179.0485222471452</v>
      </c>
      <c r="V5496" s="22">
        <f t="shared" si="402"/>
        <v>0.41796129126842158</v>
      </c>
      <c r="X5496" s="33"/>
      <c r="Y5496" s="33"/>
    </row>
    <row r="5497" spans="1:25" x14ac:dyDescent="0.2">
      <c r="A5497" s="93" t="s">
        <v>5400</v>
      </c>
      <c r="B5497" s="94">
        <f>IFERROR(VLOOKUP($A5497,HeadJournal!$A$1:$NTR$890,COLUMN(HeadJournal!B$1),0),"")</f>
        <v>0</v>
      </c>
      <c r="C5497" s="94" t="str">
        <f>IFERROR(VLOOKUP($A5497,HeadJournal!$A$1:$NTR$890,COLUMN(HeadJournal!C$1),0),"")</f>
        <v>iHerb_VP DFD1605</v>
      </c>
      <c r="D5497" s="125" t="str">
        <f>IFERROR(VLOOKUP($A5497,HeadJournal!$A$1:$NTR$890,COLUMN(HeadJournal!D$1),0),"")</f>
        <v>Доставлен</v>
      </c>
      <c r="E5497" s="95">
        <f>IFERROR(VLOOKUP($A5497,HeadJournal!$A$1:$NTR$890,COLUMN(HeadJournal!G$1),0),"")</f>
        <v>46044</v>
      </c>
      <c r="F5497" s="95" t="str">
        <f t="shared" si="407"/>
        <v>2026 01</v>
      </c>
      <c r="G5497" s="97" t="s">
        <v>5</v>
      </c>
      <c r="H5497" s="161" t="s">
        <v>5398</v>
      </c>
      <c r="I5497" s="97" t="s">
        <v>2750</v>
      </c>
      <c r="J5497" s="97" t="s">
        <v>5399</v>
      </c>
      <c r="K5497" s="29">
        <v>11.8</v>
      </c>
      <c r="L5497" s="29">
        <v>-1.18</v>
      </c>
      <c r="M5497" s="30">
        <f>IFERROR(VLOOKUP($A5497,HeadJournal!$A$1:$J$890,COLUMN(HeadJournal!I$1),0)*($K5497+$L5497)/(SUMIF($A:$A,$A5497,$K:$K)+SUMIF($A:$A,$A5497,$L:$L)),0)</f>
        <v>-0.55396171300401642</v>
      </c>
      <c r="N5497" s="30">
        <f>IFERROR((VLOOKUP($A5497,HeadJournal!$A$1:$K$890,COLUMN(HeadJournal!K$1),0)-VLOOKUP($A5497,HeadJournal!$A$1:$K$890,COLUMN(HeadJournal!J$1),0))*($K5497+$L5497)/(SUMIF($A:$A,$A5497,$K:$K)+SUMIF($A:$A,$A5497,$L:$L)),0)</f>
        <v>-1.5744538842569012E-15</v>
      </c>
      <c r="O5497" s="30">
        <f>IFERROR((VLOOKUP($A5497,HeadJournal!$A$1:$L$890,COLUMN(HeadJournal!L$1),0)*($K5497+$L5497)/(SUMIF($A:$A,$A5497,$K:$K)+SUMIF($A:$A,$A5497,$L:$L)))/VLOOKUP($A5497,HeadJournal!$A$1:$L$890,COLUMN(HeadJournal!H$1),0),0)</f>
        <v>0.31577173313716539</v>
      </c>
      <c r="P5497" s="30">
        <f>IFERROR(SUM(K5497:O5497)*VLOOKUP($A5497,HeadJournal!$A$1:$L$890,COLUMN(HeadJournal!H$1),0),0)</f>
        <v>925.2163277867611</v>
      </c>
      <c r="Q5497" s="29">
        <v>1600</v>
      </c>
      <c r="R5497" s="31">
        <v>46067</v>
      </c>
      <c r="S5497" s="31" t="s">
        <v>3235</v>
      </c>
      <c r="T5497" s="95" t="str">
        <f t="shared" si="408"/>
        <v>2026 02</v>
      </c>
      <c r="U5497" s="32">
        <f t="shared" si="401"/>
        <v>674.7836722132389</v>
      </c>
      <c r="V5497" s="22">
        <f t="shared" si="402"/>
        <v>0.72932529609308783</v>
      </c>
      <c r="X5497" s="33"/>
      <c r="Y5497" s="33"/>
    </row>
    <row r="5498" spans="1:25" x14ac:dyDescent="0.2">
      <c r="A5498" s="93" t="s">
        <v>5400</v>
      </c>
      <c r="B5498" s="94">
        <f>IFERROR(VLOOKUP($A5498,HeadJournal!$A$1:$NTR$890,COLUMN(HeadJournal!B$1),0),"")</f>
        <v>0</v>
      </c>
      <c r="C5498" s="94" t="str">
        <f>IFERROR(VLOOKUP($A5498,HeadJournal!$A$1:$NTR$890,COLUMN(HeadJournal!C$1),0),"")</f>
        <v>iHerb_VP DFD1605</v>
      </c>
      <c r="D5498" s="125" t="str">
        <f>IFERROR(VLOOKUP($A5498,HeadJournal!$A$1:$NTR$890,COLUMN(HeadJournal!D$1),0),"")</f>
        <v>Доставлен</v>
      </c>
      <c r="E5498" s="95">
        <f>IFERROR(VLOOKUP($A5498,HeadJournal!$A$1:$NTR$890,COLUMN(HeadJournal!G$1),0),"")</f>
        <v>46044</v>
      </c>
      <c r="F5498" s="95" t="str">
        <f t="shared" si="407"/>
        <v>2026 01</v>
      </c>
      <c r="G5498" s="97" t="s">
        <v>5</v>
      </c>
      <c r="H5498" s="161" t="s">
        <v>4150</v>
      </c>
      <c r="I5498" s="97" t="s">
        <v>2163</v>
      </c>
      <c r="J5498" s="97" t="s">
        <v>4151</v>
      </c>
      <c r="K5498" s="29">
        <v>49.92</v>
      </c>
      <c r="L5498" s="29">
        <v>-4.99</v>
      </c>
      <c r="M5498" s="30">
        <f>IFERROR(VLOOKUP($A5498,HeadJournal!$A$1:$J$890,COLUMN(HeadJournal!I$1),0)*($K5498+$L5498)/(SUMIF($A:$A,$A5498,$K:$K)+SUMIF($A:$A,$A5498,$L:$L)),0)</f>
        <v>-2.3436440456940164</v>
      </c>
      <c r="N5498" s="30">
        <f>IFERROR((VLOOKUP($A5498,HeadJournal!$A$1:$K$890,COLUMN(HeadJournal!K$1),0)-VLOOKUP($A5498,HeadJournal!$A$1:$K$890,COLUMN(HeadJournal!J$1),0))*($K5498+$L5498)/(SUMIF($A:$A,$A5498,$K:$K)+SUMIF($A:$A,$A5498,$L:$L)),0)</f>
        <v>-6.6610370075011833E-15</v>
      </c>
      <c r="O5498" s="30">
        <f>IFERROR((VLOOKUP($A5498,HeadJournal!$A$1:$L$890,COLUMN(HeadJournal!L$1),0)*($K5498+$L5498)/(SUMIF($A:$A,$A5498,$K:$K)+SUMIF($A:$A,$A5498,$L:$L)))/VLOOKUP($A5498,HeadJournal!$A$1:$L$890,COLUMN(HeadJournal!H$1),0),0)</f>
        <v>1.3359344604381203</v>
      </c>
      <c r="P5498" s="30">
        <f>IFERROR(SUM(K5498:O5498)*VLOOKUP($A5498,HeadJournal!$A$1:$L$890,COLUMN(HeadJournal!H$1),0),0)</f>
        <v>3914.3097558812779</v>
      </c>
      <c r="Q5498" s="29">
        <v>5200</v>
      </c>
      <c r="R5498" s="31">
        <v>46067</v>
      </c>
      <c r="S5498" s="31" t="s">
        <v>3235</v>
      </c>
      <c r="T5498" s="95" t="str">
        <f t="shared" si="408"/>
        <v>2026 02</v>
      </c>
      <c r="U5498" s="32">
        <f t="shared" si="401"/>
        <v>1285.6902441187221</v>
      </c>
      <c r="V5498" s="22">
        <f t="shared" si="402"/>
        <v>0.32845899387164329</v>
      </c>
      <c r="X5498" s="33"/>
      <c r="Y5498" s="33"/>
    </row>
    <row r="5499" spans="1:25" x14ac:dyDescent="0.2">
      <c r="A5499" s="93" t="s">
        <v>5400</v>
      </c>
      <c r="B5499" s="94">
        <f>IFERROR(VLOOKUP($A5499,HeadJournal!$A$1:$NTR$890,COLUMN(HeadJournal!B$1),0),"")</f>
        <v>0</v>
      </c>
      <c r="C5499" s="94" t="str">
        <f>IFERROR(VLOOKUP($A5499,HeadJournal!$A$1:$NTR$890,COLUMN(HeadJournal!C$1),0),"")</f>
        <v>iHerb_VP DFD1605</v>
      </c>
      <c r="D5499" s="125" t="str">
        <f>IFERROR(VLOOKUP($A5499,HeadJournal!$A$1:$NTR$890,COLUMN(HeadJournal!D$1),0),"")</f>
        <v>Доставлен</v>
      </c>
      <c r="E5499" s="95">
        <f>IFERROR(VLOOKUP($A5499,HeadJournal!$A$1:$NTR$890,COLUMN(HeadJournal!G$1),0),"")</f>
        <v>46044</v>
      </c>
      <c r="F5499" s="95" t="str">
        <f t="shared" si="407"/>
        <v>2026 01</v>
      </c>
      <c r="G5499" s="97" t="s">
        <v>5</v>
      </c>
      <c r="H5499" s="161" t="s">
        <v>5186</v>
      </c>
      <c r="I5499" s="97" t="s">
        <v>2750</v>
      </c>
      <c r="J5499" s="97" t="s">
        <v>5187</v>
      </c>
      <c r="K5499" s="29">
        <v>24.68</v>
      </c>
      <c r="L5499" s="29">
        <v>-2.4700000000000002</v>
      </c>
      <c r="M5499" s="30">
        <f>IFERROR(VLOOKUP($A5499,HeadJournal!$A$1:$J$890,COLUMN(HeadJournal!I$1),0)*($K5499+$L5499)/(SUMIF($A:$A,$A5499,$K:$K)+SUMIF($A:$A,$A5499,$L:$L)),0)</f>
        <v>-1.1585206822805278</v>
      </c>
      <c r="N5499" s="30">
        <f>IFERROR((VLOOKUP($A5499,HeadJournal!$A$1:$K$890,COLUMN(HeadJournal!K$1),0)-VLOOKUP($A5499,HeadJournal!$A$1:$K$890,COLUMN(HeadJournal!J$1),0))*($K5499+$L5499)/(SUMIF($A:$A,$A5499,$K:$K)+SUMIF($A:$A,$A5499,$L:$L)),0)</f>
        <v>-3.292713820089056E-15</v>
      </c>
      <c r="O5499" s="30">
        <f>IFERROR((VLOOKUP($A5499,HeadJournal!$A$1:$L$890,COLUMN(HeadJournal!L$1),0)*($K5499+$L5499)/(SUMIF($A:$A,$A5499,$K:$K)+SUMIF($A:$A,$A5499,$L:$L)))/VLOOKUP($A5499,HeadJournal!$A$1:$L$890,COLUMN(HeadJournal!H$1),0),0)</f>
        <v>0.66038514058158593</v>
      </c>
      <c r="P5499" s="30">
        <f>IFERROR(SUM(K5499:O5499)*VLOOKUP($A5499,HeadJournal!$A$1:$L$890,COLUMN(HeadJournal!H$1),0),0)</f>
        <v>1934.9392316519738</v>
      </c>
      <c r="Q5499" s="29">
        <v>2700</v>
      </c>
      <c r="R5499" s="31">
        <v>46067</v>
      </c>
      <c r="S5499" s="31" t="s">
        <v>3235</v>
      </c>
      <c r="T5499" s="95" t="str">
        <f t="shared" si="408"/>
        <v>2026 02</v>
      </c>
      <c r="U5499" s="32">
        <f t="shared" si="401"/>
        <v>765.06076834802616</v>
      </c>
      <c r="V5499" s="22">
        <f t="shared" si="402"/>
        <v>0.39539265927997536</v>
      </c>
      <c r="X5499" s="33"/>
      <c r="Y5499" s="33"/>
    </row>
    <row r="5500" spans="1:25" x14ac:dyDescent="0.2">
      <c r="A5500" s="93" t="s">
        <v>5400</v>
      </c>
      <c r="B5500" s="94">
        <f>IFERROR(VLOOKUP($A5500,HeadJournal!$A$1:$NTR$890,COLUMN(HeadJournal!B$1),0),"")</f>
        <v>0</v>
      </c>
      <c r="C5500" s="94" t="str">
        <f>IFERROR(VLOOKUP($A5500,HeadJournal!$A$1:$NTR$890,COLUMN(HeadJournal!C$1),0),"")</f>
        <v>iHerb_VP DFD1605</v>
      </c>
      <c r="D5500" s="125" t="str">
        <f>IFERROR(VLOOKUP($A5500,HeadJournal!$A$1:$NTR$890,COLUMN(HeadJournal!D$1),0),"")</f>
        <v>Доставлен</v>
      </c>
      <c r="E5500" s="95">
        <f>IFERROR(VLOOKUP($A5500,HeadJournal!$A$1:$NTR$890,COLUMN(HeadJournal!G$1),0),"")</f>
        <v>46044</v>
      </c>
      <c r="F5500" s="95" t="str">
        <f t="shared" si="407"/>
        <v>2026 01</v>
      </c>
      <c r="G5500" s="97" t="s">
        <v>5</v>
      </c>
      <c r="H5500" s="161" t="s">
        <v>2793</v>
      </c>
      <c r="I5500" s="97" t="s">
        <v>2218</v>
      </c>
      <c r="J5500" s="97" t="s">
        <v>2794</v>
      </c>
      <c r="K5500" s="29">
        <v>9.3800000000000008</v>
      </c>
      <c r="L5500" s="29">
        <v>-0.94</v>
      </c>
      <c r="M5500" s="30">
        <f>IFERROR(VLOOKUP($A5500,HeadJournal!$A$1:$J$890,COLUMN(HeadJournal!I$1),0)*($K5500+$L5500)/(SUMIF($A:$A,$A5500,$K:$K)+SUMIF($A:$A,$A5500,$L:$L)),0)</f>
        <v>-0.44024829169057428</v>
      </c>
      <c r="N5500" s="30">
        <f>IFERROR((VLOOKUP($A5500,HeadJournal!$A$1:$K$890,COLUMN(HeadJournal!K$1),0)-VLOOKUP($A5500,HeadJournal!$A$1:$K$890,COLUMN(HeadJournal!J$1),0))*($K5500+$L5500)/(SUMIF($A:$A,$A5500,$K:$K)+SUMIF($A:$A,$A5500,$L:$L)),0)</f>
        <v>-1.251260902366125E-15</v>
      </c>
      <c r="O5500" s="30">
        <f>IFERROR((VLOOKUP($A5500,HeadJournal!$A$1:$L$890,COLUMN(HeadJournal!L$1),0)*($K5500+$L5500)/(SUMIF($A:$A,$A5500,$K:$K)+SUMIF($A:$A,$A5500,$L:$L)))/VLOOKUP($A5500,HeadJournal!$A$1:$L$890,COLUMN(HeadJournal!H$1),0),0)</f>
        <v>0.25095230015797321</v>
      </c>
      <c r="P5500" s="30">
        <f>IFERROR(SUM(K5500:O5500)*VLOOKUP($A5500,HeadJournal!$A$1:$L$890,COLUMN(HeadJournal!H$1),0),0)</f>
        <v>735.29433206405508</v>
      </c>
      <c r="Q5500" s="29">
        <v>1700</v>
      </c>
      <c r="R5500" s="31">
        <v>46067</v>
      </c>
      <c r="S5500" s="31"/>
      <c r="T5500" s="95" t="str">
        <f t="shared" si="408"/>
        <v>2026 02</v>
      </c>
      <c r="U5500" s="32">
        <f t="shared" si="401"/>
        <v>964.70566793594492</v>
      </c>
      <c r="V5500" s="22">
        <f t="shared" si="402"/>
        <v>1.3119993258045468</v>
      </c>
      <c r="X5500" s="33"/>
      <c r="Y5500" s="33"/>
    </row>
    <row r="5501" spans="1:25" x14ac:dyDescent="0.2">
      <c r="A5501" s="93" t="s">
        <v>5406</v>
      </c>
      <c r="B5501" s="94">
        <f>IFERROR(VLOOKUP($A5501,HeadJournal!$A$1:$NTR$890,COLUMN(HeadJournal!B$1),0),"")</f>
        <v>0</v>
      </c>
      <c r="C5501" s="94" t="str">
        <f>IFERROR(VLOOKUP($A5501,HeadJournal!$A$1:$NTR$890,COLUMN(HeadJournal!C$1),0),"")</f>
        <v>iHerb_VP DFD1605</v>
      </c>
      <c r="D5501" s="125" t="str">
        <f>IFERROR(VLOOKUP($A5501,HeadJournal!$A$1:$NTR$890,COLUMN(HeadJournal!D$1),0),"")</f>
        <v>Доставлен</v>
      </c>
      <c r="E5501" s="95">
        <f>IFERROR(VLOOKUP($A5501,HeadJournal!$A$1:$NTR$890,COLUMN(HeadJournal!G$1),0),"")</f>
        <v>46047</v>
      </c>
      <c r="F5501" s="95" t="str">
        <f t="shared" si="407"/>
        <v>2026 01</v>
      </c>
      <c r="G5501" s="97" t="s">
        <v>5</v>
      </c>
      <c r="H5501" s="161" t="s">
        <v>4074</v>
      </c>
      <c r="I5501" s="97" t="s">
        <v>2005</v>
      </c>
      <c r="J5501" s="97" t="s">
        <v>4075</v>
      </c>
      <c r="K5501" s="29">
        <v>24.01</v>
      </c>
      <c r="L5501" s="29">
        <v>-2.4</v>
      </c>
      <c r="M5501" s="30">
        <f>IFERROR(VLOOKUP($A5501,HeadJournal!$A$1:$J$890,COLUMN(HeadJournal!I$1),0)*($K5501+$L5501)/(SUMIF($A:$A,$A5501,$K:$K)+SUMIF($A:$A,$A5501,$L:$L)),0)</f>
        <v>-1.3507622725886779</v>
      </c>
      <c r="N5501" s="30">
        <f>IFERROR((VLOOKUP($A5501,HeadJournal!$A$1:$K$890,COLUMN(HeadJournal!K$1),0)-VLOOKUP($A5501,HeadJournal!$A$1:$K$890,COLUMN(HeadJournal!J$1),0))*($K5501+$L5501)/(SUMIF($A:$A,$A5501,$K:$K)+SUMIF($A:$A,$A5501,$L:$L)),0)</f>
        <v>-3.1212173025258186E-15</v>
      </c>
      <c r="O5501" s="30">
        <f>IFERROR((VLOOKUP($A5501,HeadJournal!$A$1:$L$890,COLUMN(HeadJournal!L$1),0)*($K5501+$L5501)/(SUMIF($A:$A,$A5501,$K:$K)+SUMIF($A:$A,$A5501,$L:$L)))/VLOOKUP($A5501,HeadJournal!$A$1:$L$890,COLUMN(HeadJournal!H$1),0),0)</f>
        <v>0.48230478770075697</v>
      </c>
      <c r="P5501" s="30">
        <f>IFERROR(SUM(K5501:O5501)*VLOOKUP($A5501,HeadJournal!$A$1:$L$890,COLUMN(HeadJournal!H$1),0),0)</f>
        <v>1813.5290344547209</v>
      </c>
      <c r="Q5501" s="29">
        <v>2700</v>
      </c>
      <c r="R5501" s="31">
        <v>46088</v>
      </c>
      <c r="S5501" s="31" t="s">
        <v>3505</v>
      </c>
      <c r="T5501" s="95" t="str">
        <f t="shared" si="408"/>
        <v>2026 03</v>
      </c>
      <c r="U5501" s="32">
        <f t="shared" si="401"/>
        <v>886.47096554527911</v>
      </c>
      <c r="V5501" s="22">
        <f t="shared" si="402"/>
        <v>0.4888099107891134</v>
      </c>
      <c r="X5501" s="33"/>
      <c r="Y5501" s="33"/>
    </row>
    <row r="5502" spans="1:25" x14ac:dyDescent="0.2">
      <c r="A5502" s="93" t="s">
        <v>5406</v>
      </c>
      <c r="B5502" s="94">
        <f>IFERROR(VLOOKUP($A5502,HeadJournal!$A$1:$NTR$890,COLUMN(HeadJournal!B$1),0),"")</f>
        <v>0</v>
      </c>
      <c r="C5502" s="94" t="str">
        <f>IFERROR(VLOOKUP($A5502,HeadJournal!$A$1:$NTR$890,COLUMN(HeadJournal!C$1),0),"")</f>
        <v>iHerb_VP DFD1605</v>
      </c>
      <c r="D5502" s="125" t="str">
        <f>IFERROR(VLOOKUP($A5502,HeadJournal!$A$1:$NTR$890,COLUMN(HeadJournal!D$1),0),"")</f>
        <v>Доставлен</v>
      </c>
      <c r="E5502" s="95">
        <f>IFERROR(VLOOKUP($A5502,HeadJournal!$A$1:$NTR$890,COLUMN(HeadJournal!G$1),0),"")</f>
        <v>46047</v>
      </c>
      <c r="F5502" s="95" t="str">
        <f t="shared" si="407"/>
        <v>2026 01</v>
      </c>
      <c r="G5502" s="97" t="s">
        <v>5</v>
      </c>
      <c r="H5502" s="161" t="s">
        <v>4074</v>
      </c>
      <c r="I5502" s="97" t="s">
        <v>2005</v>
      </c>
      <c r="J5502" s="97" t="s">
        <v>4075</v>
      </c>
      <c r="K5502" s="29">
        <v>24.01</v>
      </c>
      <c r="L5502" s="29">
        <v>-2.4</v>
      </c>
      <c r="M5502" s="30">
        <f>IFERROR(VLOOKUP($A5502,HeadJournal!$A$1:$J$890,COLUMN(HeadJournal!I$1),0)*($K5502+$L5502)/(SUMIF($A:$A,$A5502,$K:$K)+SUMIF($A:$A,$A5502,$L:$L)),0)</f>
        <v>-1.3507622725886779</v>
      </c>
      <c r="N5502" s="30">
        <f>IFERROR((VLOOKUP($A5502,HeadJournal!$A$1:$K$890,COLUMN(HeadJournal!K$1),0)-VLOOKUP($A5502,HeadJournal!$A$1:$K$890,COLUMN(HeadJournal!J$1),0))*($K5502+$L5502)/(SUMIF($A:$A,$A5502,$K:$K)+SUMIF($A:$A,$A5502,$L:$L)),0)</f>
        <v>-3.1212173025258186E-15</v>
      </c>
      <c r="O5502" s="30">
        <f>IFERROR((VLOOKUP($A5502,HeadJournal!$A$1:$L$890,COLUMN(HeadJournal!L$1),0)*($K5502+$L5502)/(SUMIF($A:$A,$A5502,$K:$K)+SUMIF($A:$A,$A5502,$L:$L)))/VLOOKUP($A5502,HeadJournal!$A$1:$L$890,COLUMN(HeadJournal!H$1),0),0)</f>
        <v>0.48230478770075697</v>
      </c>
      <c r="P5502" s="30">
        <f>IFERROR(SUM(K5502:O5502)*VLOOKUP($A5502,HeadJournal!$A$1:$L$890,COLUMN(HeadJournal!H$1),0),0)</f>
        <v>1813.5290344547209</v>
      </c>
      <c r="Q5502" s="29">
        <v>2700</v>
      </c>
      <c r="R5502" s="31">
        <v>46088</v>
      </c>
      <c r="S5502" s="31" t="s">
        <v>3505</v>
      </c>
      <c r="T5502" s="95" t="str">
        <f t="shared" si="408"/>
        <v>2026 03</v>
      </c>
      <c r="U5502" s="32">
        <f t="shared" si="401"/>
        <v>886.47096554527911</v>
      </c>
      <c r="V5502" s="22">
        <f t="shared" si="402"/>
        <v>0.4888099107891134</v>
      </c>
      <c r="X5502" s="33"/>
      <c r="Y5502" s="33"/>
    </row>
    <row r="5503" spans="1:25" x14ac:dyDescent="0.2">
      <c r="A5503" s="93" t="s">
        <v>5406</v>
      </c>
      <c r="B5503" s="94">
        <f>IFERROR(VLOOKUP($A5503,HeadJournal!$A$1:$NTR$890,COLUMN(HeadJournal!B$1),0),"")</f>
        <v>0</v>
      </c>
      <c r="C5503" s="94" t="str">
        <f>IFERROR(VLOOKUP($A5503,HeadJournal!$A$1:$NTR$890,COLUMN(HeadJournal!C$1),0),"")</f>
        <v>iHerb_VP DFD1605</v>
      </c>
      <c r="D5503" s="125" t="str">
        <f>IFERROR(VLOOKUP($A5503,HeadJournal!$A$1:$NTR$890,COLUMN(HeadJournal!D$1),0),"")</f>
        <v>Доставлен</v>
      </c>
      <c r="E5503" s="95">
        <f>IFERROR(VLOOKUP($A5503,HeadJournal!$A$1:$NTR$890,COLUMN(HeadJournal!G$1),0),"")</f>
        <v>46047</v>
      </c>
      <c r="F5503" s="95" t="str">
        <f t="shared" si="407"/>
        <v>2026 01</v>
      </c>
      <c r="G5503" s="97" t="s">
        <v>5</v>
      </c>
      <c r="H5503" s="161" t="s">
        <v>3794</v>
      </c>
      <c r="I5503" s="97" t="s">
        <v>2009</v>
      </c>
      <c r="J5503" s="97" t="s">
        <v>5401</v>
      </c>
      <c r="K5503" s="29">
        <v>13.52</v>
      </c>
      <c r="L5503" s="29">
        <v>-1.35</v>
      </c>
      <c r="M5503" s="30">
        <f>IFERROR(VLOOKUP($A5503,HeadJournal!$A$1:$J$890,COLUMN(HeadJournal!I$1),0)*($K5503+$L5503)/(SUMIF($A:$A,$A5503,$K:$K)+SUMIF($A:$A,$A5503,$L:$L)),0)</f>
        <v>-0.76070230714503495</v>
      </c>
      <c r="N5503" s="30">
        <f>IFERROR((VLOOKUP($A5503,HeadJournal!$A$1:$K$890,COLUMN(HeadJournal!K$1),0)-VLOOKUP($A5503,HeadJournal!$A$1:$K$890,COLUMN(HeadJournal!J$1),0))*($K5503+$L5503)/(SUMIF($A:$A,$A5503,$K:$K)+SUMIF($A:$A,$A5503,$L:$L)),0)</f>
        <v>-1.757760970464563E-15</v>
      </c>
      <c r="O5503" s="30">
        <f>IFERROR((VLOOKUP($A5503,HeadJournal!$A$1:$L$890,COLUMN(HeadJournal!L$1),0)*($K5503+$L5503)/(SUMIF($A:$A,$A5503,$K:$K)+SUMIF($A:$A,$A5503,$L:$L)))/VLOOKUP($A5503,HeadJournal!$A$1:$L$890,COLUMN(HeadJournal!H$1),0),0)</f>
        <v>0.27161727285137488</v>
      </c>
      <c r="P5503" s="30">
        <f>IFERROR(SUM(K5503:O5503)*VLOOKUP($A5503,HeadJournal!$A$1:$L$890,COLUMN(HeadJournal!H$1),0),0)</f>
        <v>1021.3164437442828</v>
      </c>
      <c r="Q5503" s="29">
        <v>2000</v>
      </c>
      <c r="R5503" s="31">
        <v>46088</v>
      </c>
      <c r="S5503" s="31" t="s">
        <v>3235</v>
      </c>
      <c r="T5503" s="95" t="str">
        <f t="shared" si="408"/>
        <v>2026 03</v>
      </c>
      <c r="U5503" s="32">
        <f t="shared" si="401"/>
        <v>978.68355625571724</v>
      </c>
      <c r="V5503" s="22">
        <f t="shared" si="402"/>
        <v>0.95825692639171889</v>
      </c>
      <c r="X5503" s="33"/>
      <c r="Y5503" s="33"/>
    </row>
    <row r="5504" spans="1:25" x14ac:dyDescent="0.2">
      <c r="A5504" s="93" t="s">
        <v>5406</v>
      </c>
      <c r="B5504" s="94">
        <f>IFERROR(VLOOKUP($A5504,HeadJournal!$A$1:$NTR$890,COLUMN(HeadJournal!B$1),0),"")</f>
        <v>0</v>
      </c>
      <c r="C5504" s="94" t="str">
        <f>IFERROR(VLOOKUP($A5504,HeadJournal!$A$1:$NTR$890,COLUMN(HeadJournal!C$1),0),"")</f>
        <v>iHerb_VP DFD1605</v>
      </c>
      <c r="D5504" s="125" t="str">
        <f>IFERROR(VLOOKUP($A5504,HeadJournal!$A$1:$NTR$890,COLUMN(HeadJournal!D$1),0),"")</f>
        <v>Доставлен</v>
      </c>
      <c r="E5504" s="95">
        <f>IFERROR(VLOOKUP($A5504,HeadJournal!$A$1:$NTR$890,COLUMN(HeadJournal!G$1),0),"")</f>
        <v>46047</v>
      </c>
      <c r="F5504" s="95" t="str">
        <f t="shared" si="407"/>
        <v>2026 01</v>
      </c>
      <c r="G5504" s="97" t="s">
        <v>5</v>
      </c>
      <c r="H5504" s="161" t="s">
        <v>3796</v>
      </c>
      <c r="I5504" s="97" t="s">
        <v>2009</v>
      </c>
      <c r="J5504" s="97" t="s">
        <v>3797</v>
      </c>
      <c r="K5504" s="29">
        <v>25.02</v>
      </c>
      <c r="L5504" s="29">
        <v>-2.5</v>
      </c>
      <c r="M5504" s="30">
        <f>IFERROR(VLOOKUP($A5504,HeadJournal!$A$1:$J$890,COLUMN(HeadJournal!I$1),0)*($K5504+$L5504)/(SUMIF($A:$A,$A5504,$K:$K)+SUMIF($A:$A,$A5504,$L:$L)),0)</f>
        <v>-1.4076430531558084</v>
      </c>
      <c r="N5504" s="30">
        <f>IFERROR((VLOOKUP($A5504,HeadJournal!$A$1:$K$890,COLUMN(HeadJournal!K$1),0)-VLOOKUP($A5504,HeadJournal!$A$1:$K$890,COLUMN(HeadJournal!J$1),0))*($K5504+$L5504)/(SUMIF($A:$A,$A5504,$K:$K)+SUMIF($A:$A,$A5504,$L:$L)),0)</f>
        <v>-3.2526521819935873E-15</v>
      </c>
      <c r="O5504" s="30">
        <f>IFERROR((VLOOKUP($A5504,HeadJournal!$A$1:$L$890,COLUMN(HeadJournal!L$1),0)*($K5504+$L5504)/(SUMIF($A:$A,$A5504,$K:$K)+SUMIF($A:$A,$A5504,$L:$L)))/VLOOKUP($A5504,HeadJournal!$A$1:$L$890,COLUMN(HeadJournal!H$1),0),0)</f>
        <v>0.50261470703475453</v>
      </c>
      <c r="P5504" s="30">
        <f>IFERROR(SUM(K5504:O5504)*VLOOKUP($A5504,HeadJournal!$A$1:$L$890,COLUMN(HeadJournal!H$1),0),0)</f>
        <v>1889.8969854660024</v>
      </c>
      <c r="Q5504" s="29">
        <v>2900</v>
      </c>
      <c r="R5504" s="31">
        <v>46088</v>
      </c>
      <c r="S5504" s="31" t="s">
        <v>3226</v>
      </c>
      <c r="T5504" s="95" t="str">
        <f t="shared" si="408"/>
        <v>2026 03</v>
      </c>
      <c r="U5504" s="32">
        <f t="shared" si="401"/>
        <v>1010.1030145339976</v>
      </c>
      <c r="V5504" s="22">
        <f t="shared" si="402"/>
        <v>0.53447517102892828</v>
      </c>
      <c r="X5504" s="33"/>
      <c r="Y5504" s="33"/>
    </row>
    <row r="5505" spans="1:25" x14ac:dyDescent="0.2">
      <c r="A5505" s="93" t="s">
        <v>5406</v>
      </c>
      <c r="B5505" s="94">
        <f>IFERROR(VLOOKUP($A5505,HeadJournal!$A$1:$NTR$890,COLUMN(HeadJournal!B$1),0),"")</f>
        <v>0</v>
      </c>
      <c r="C5505" s="94" t="str">
        <f>IFERROR(VLOOKUP($A5505,HeadJournal!$A$1:$NTR$890,COLUMN(HeadJournal!C$1),0),"")</f>
        <v>iHerb_VP DFD1605</v>
      </c>
      <c r="D5505" s="125" t="str">
        <f>IFERROR(VLOOKUP($A5505,HeadJournal!$A$1:$NTR$890,COLUMN(HeadJournal!D$1),0),"")</f>
        <v>Доставлен</v>
      </c>
      <c r="E5505" s="95">
        <f>IFERROR(VLOOKUP($A5505,HeadJournal!$A$1:$NTR$890,COLUMN(HeadJournal!G$1),0),"")</f>
        <v>46047</v>
      </c>
      <c r="F5505" s="95" t="str">
        <f t="shared" si="407"/>
        <v>2026 01</v>
      </c>
      <c r="G5505" s="97" t="s">
        <v>5</v>
      </c>
      <c r="H5505" s="161" t="s">
        <v>5402</v>
      </c>
      <c r="I5505" s="97" t="s">
        <v>2284</v>
      </c>
      <c r="J5505" s="97" t="s">
        <v>5403</v>
      </c>
      <c r="K5505" s="29">
        <v>59.81</v>
      </c>
      <c r="L5505" s="29">
        <v>-5.98</v>
      </c>
      <c r="M5505" s="30">
        <f>IFERROR(VLOOKUP($A5505,HeadJournal!$A$1:$J$890,COLUMN(HeadJournal!I$1),0)*($K5505+$L5505)/(SUMIF($A:$A,$A5505,$K:$K)+SUMIF($A:$A,$A5505,$L:$L)),0)</f>
        <v>-3.3647169427787373</v>
      </c>
      <c r="N5505" s="30">
        <f>IFERROR((VLOOKUP($A5505,HeadJournal!$A$1:$K$890,COLUMN(HeadJournal!K$1),0)-VLOOKUP($A5505,HeadJournal!$A$1:$K$890,COLUMN(HeadJournal!J$1),0))*($K5505+$L5505)/(SUMIF($A:$A,$A5505,$K:$K)+SUMIF($A:$A,$A5505,$L:$L)),0)</f>
        <v>-7.774878639285737E-15</v>
      </c>
      <c r="O5505" s="30">
        <f>IFERROR((VLOOKUP($A5505,HeadJournal!$A$1:$L$890,COLUMN(HeadJournal!L$1),0)*($K5505+$L5505)/(SUMIF($A:$A,$A5505,$K:$K)+SUMIF($A:$A,$A5505,$L:$L)))/VLOOKUP($A5505,HeadJournal!$A$1:$L$890,COLUMN(HeadJournal!H$1),0),0)</f>
        <v>1.2014098436803213</v>
      </c>
      <c r="P5505" s="30">
        <f>IFERROR(SUM(K5505:O5505)*VLOOKUP($A5505,HeadJournal!$A$1:$L$890,COLUMN(HeadJournal!H$1),0),0)</f>
        <v>4517.4580252058131</v>
      </c>
      <c r="Q5505" s="29">
        <v>5800</v>
      </c>
      <c r="R5505" s="31">
        <v>46089</v>
      </c>
      <c r="S5505" s="31" t="s">
        <v>4992</v>
      </c>
      <c r="T5505" s="95" t="str">
        <f t="shared" si="408"/>
        <v>2026 03</v>
      </c>
      <c r="U5505" s="32">
        <f t="shared" si="401"/>
        <v>1282.5419747941869</v>
      </c>
      <c r="V5505" s="22">
        <f t="shared" si="402"/>
        <v>0.28390788971099623</v>
      </c>
      <c r="X5505" s="33"/>
      <c r="Y5505" s="33"/>
    </row>
    <row r="5506" spans="1:25" x14ac:dyDescent="0.2">
      <c r="A5506" s="93" t="s">
        <v>5406</v>
      </c>
      <c r="B5506" s="94">
        <f>IFERROR(VLOOKUP($A5506,HeadJournal!$A$1:$NTR$890,COLUMN(HeadJournal!B$1),0),"")</f>
        <v>0</v>
      </c>
      <c r="C5506" s="94" t="str">
        <f>IFERROR(VLOOKUP($A5506,HeadJournal!$A$1:$NTR$890,COLUMN(HeadJournal!C$1),0),"")</f>
        <v>iHerb_VP DFD1605</v>
      </c>
      <c r="D5506" s="125" t="str">
        <f>IFERROR(VLOOKUP($A5506,HeadJournal!$A$1:$NTR$890,COLUMN(HeadJournal!D$1),0),"")</f>
        <v>Доставлен</v>
      </c>
      <c r="E5506" s="95">
        <f>IFERROR(VLOOKUP($A5506,HeadJournal!$A$1:$NTR$890,COLUMN(HeadJournal!G$1),0),"")</f>
        <v>46047</v>
      </c>
      <c r="F5506" s="95" t="str">
        <f t="shared" si="407"/>
        <v>2026 01</v>
      </c>
      <c r="G5506" s="97" t="s">
        <v>5</v>
      </c>
      <c r="H5506" s="161" t="s">
        <v>5404</v>
      </c>
      <c r="I5506" s="97" t="s">
        <v>2284</v>
      </c>
      <c r="J5506" s="97" t="s">
        <v>5405</v>
      </c>
      <c r="K5506" s="29">
        <v>41.44</v>
      </c>
      <c r="L5506" s="29">
        <v>-4.1399999999999997</v>
      </c>
      <c r="M5506" s="30">
        <f>IFERROR(VLOOKUP($A5506,HeadJournal!$A$1:$J$890,COLUMN(HeadJournal!I$1),0)*($K5506+$L5506)/(SUMIF($A:$A,$A5506,$K:$K)+SUMIF($A:$A,$A5506,$L:$L)),0)</f>
        <v>-2.3314869397296469</v>
      </c>
      <c r="N5506" s="30">
        <f>IFERROR((VLOOKUP($A5506,HeadJournal!$A$1:$K$890,COLUMN(HeadJournal!K$1),0)-VLOOKUP($A5506,HeadJournal!$A$1:$K$890,COLUMN(HeadJournal!J$1),0))*($K5506+$L5506)/(SUMIF($A:$A,$A5506,$K:$K)+SUMIF($A:$A,$A5506,$L:$L)),0)</f>
        <v>-5.3873857188437304E-15</v>
      </c>
      <c r="O5506" s="30">
        <f>IFERROR((VLOOKUP($A5506,HeadJournal!$A$1:$L$890,COLUMN(HeadJournal!L$1),0)*($K5506+$L5506)/(SUMIF($A:$A,$A5506,$K:$K)+SUMIF($A:$A,$A5506,$L:$L)))/VLOOKUP($A5506,HeadJournal!$A$1:$L$890,COLUMN(HeadJournal!H$1),0),0)</f>
        <v>0.83248350676715543</v>
      </c>
      <c r="P5506" s="30">
        <f>IFERROR(SUM(K5506:O5506)*VLOOKUP($A5506,HeadJournal!$A$1:$L$890,COLUMN(HeadJournal!H$1),0),0)</f>
        <v>3130.2467832096754</v>
      </c>
      <c r="Q5506" s="29">
        <v>4200</v>
      </c>
      <c r="R5506" s="31">
        <v>46089</v>
      </c>
      <c r="S5506" s="31" t="s">
        <v>4992</v>
      </c>
      <c r="T5506" s="95" t="str">
        <f t="shared" si="408"/>
        <v>2026 03</v>
      </c>
      <c r="U5506" s="32">
        <f t="shared" si="401"/>
        <v>1069.7532167903246</v>
      </c>
      <c r="V5506" s="22">
        <f t="shared" si="402"/>
        <v>0.34174724578533927</v>
      </c>
      <c r="X5506" s="33"/>
      <c r="Y5506" s="33"/>
    </row>
    <row r="5507" spans="1:25" x14ac:dyDescent="0.2">
      <c r="A5507" s="93" t="s">
        <v>5406</v>
      </c>
      <c r="B5507" s="94">
        <f>IFERROR(VLOOKUP($A5507,HeadJournal!$A$1:$NTR$890,COLUMN(HeadJournal!B$1),0),"")</f>
        <v>0</v>
      </c>
      <c r="C5507" s="94" t="str">
        <f>IFERROR(VLOOKUP($A5507,HeadJournal!$A$1:$NTR$890,COLUMN(HeadJournal!C$1),0),"")</f>
        <v>iHerb_VP DFD1605</v>
      </c>
      <c r="D5507" s="125" t="str">
        <f>IFERROR(VLOOKUP($A5507,HeadJournal!$A$1:$NTR$890,COLUMN(HeadJournal!D$1),0),"")</f>
        <v>Доставлен</v>
      </c>
      <c r="E5507" s="95">
        <f>IFERROR(VLOOKUP($A5507,HeadJournal!$A$1:$NTR$890,COLUMN(HeadJournal!G$1),0),"")</f>
        <v>46047</v>
      </c>
      <c r="F5507" s="95" t="str">
        <f t="shared" si="407"/>
        <v>2026 01</v>
      </c>
      <c r="G5507" s="97" t="s">
        <v>5</v>
      </c>
      <c r="H5507" s="161" t="s">
        <v>2826</v>
      </c>
      <c r="I5507" s="97" t="s">
        <v>2207</v>
      </c>
      <c r="J5507" s="97" t="s">
        <v>2827</v>
      </c>
      <c r="K5507" s="29">
        <v>9.1199999999999992</v>
      </c>
      <c r="L5507" s="29">
        <v>-0.91</v>
      </c>
      <c r="M5507" s="30">
        <f>IFERROR(VLOOKUP($A5507,HeadJournal!$A$1:$J$890,COLUMN(HeadJournal!I$1),0)*($K5507+$L5507)/(SUMIF($A:$A,$A5507,$K:$K)+SUMIF($A:$A,$A5507,$L:$L)),0)</f>
        <v>-0.51317715214960857</v>
      </c>
      <c r="N5507" s="30">
        <f>IFERROR((VLOOKUP($A5507,HeadJournal!$A$1:$K$890,COLUMN(HeadJournal!K$1),0)-VLOOKUP($A5507,HeadJournal!$A$1:$K$890,COLUMN(HeadJournal!J$1),0))*($K5507+$L5507)/(SUMIF($A:$A,$A5507,$K:$K)+SUMIF($A:$A,$A5507,$L:$L)),0)</f>
        <v>-1.185802593879545E-15</v>
      </c>
      <c r="O5507" s="30">
        <f>IFERROR((VLOOKUP($A5507,HeadJournal!$A$1:$L$890,COLUMN(HeadJournal!L$1),0)*($K5507+$L5507)/(SUMIF($A:$A,$A5507,$K:$K)+SUMIF($A:$A,$A5507,$L:$L)))/VLOOKUP($A5507,HeadJournal!$A$1:$L$890,COLUMN(HeadJournal!H$1),0),0)</f>
        <v>0.18323564585947308</v>
      </c>
      <c r="P5507" s="30">
        <f>IFERROR(SUM(K5507:O5507)*VLOOKUP($A5507,HeadJournal!$A$1:$L$890,COLUMN(HeadJournal!H$1),0),0)</f>
        <v>688.98997560727707</v>
      </c>
      <c r="Q5507" s="29">
        <v>1400</v>
      </c>
      <c r="R5507" s="31">
        <v>46048</v>
      </c>
      <c r="S5507" s="31"/>
      <c r="T5507" s="95" t="str">
        <f t="shared" si="408"/>
        <v>2026 01</v>
      </c>
      <c r="U5507" s="32">
        <f t="shared" si="401"/>
        <v>711.01002439272293</v>
      </c>
      <c r="V5507" s="22">
        <f t="shared" si="402"/>
        <v>1.0319598971901403</v>
      </c>
      <c r="X5507" s="33"/>
      <c r="Y5507" s="33"/>
    </row>
    <row r="5508" spans="1:25" x14ac:dyDescent="0.2">
      <c r="A5508" s="93" t="s">
        <v>5406</v>
      </c>
      <c r="B5508" s="94">
        <f>IFERROR(VLOOKUP($A5508,HeadJournal!$A$1:$NTR$890,COLUMN(HeadJournal!B$1),0),"")</f>
        <v>0</v>
      </c>
      <c r="C5508" s="94" t="str">
        <f>IFERROR(VLOOKUP($A5508,HeadJournal!$A$1:$NTR$890,COLUMN(HeadJournal!C$1),0),"")</f>
        <v>iHerb_VP DFD1605</v>
      </c>
      <c r="D5508" s="125" t="str">
        <f>IFERROR(VLOOKUP($A5508,HeadJournal!$A$1:$NTR$890,COLUMN(HeadJournal!D$1),0),"")</f>
        <v>Доставлен</v>
      </c>
      <c r="E5508" s="95">
        <f>IFERROR(VLOOKUP($A5508,HeadJournal!$A$1:$NTR$890,COLUMN(HeadJournal!G$1),0),"")</f>
        <v>46047</v>
      </c>
      <c r="F5508" s="95" t="str">
        <f t="shared" ref="F5508:F5571" si="409">IFERROR(TEXT(E5508, "ГГГГ ММ"),"")</f>
        <v>2026 01</v>
      </c>
      <c r="G5508" s="97" t="s">
        <v>5</v>
      </c>
      <c r="H5508" s="161" t="s">
        <v>2826</v>
      </c>
      <c r="I5508" s="97" t="s">
        <v>2207</v>
      </c>
      <c r="J5508" s="97" t="s">
        <v>2827</v>
      </c>
      <c r="K5508" s="29">
        <v>9.1199999999999992</v>
      </c>
      <c r="L5508" s="29">
        <v>-0.91</v>
      </c>
      <c r="M5508" s="30">
        <f>IFERROR(VLOOKUP($A5508,HeadJournal!$A$1:$J$890,COLUMN(HeadJournal!I$1),0)*($K5508+$L5508)/(SUMIF($A:$A,$A5508,$K:$K)+SUMIF($A:$A,$A5508,$L:$L)),0)</f>
        <v>-0.51317715214960857</v>
      </c>
      <c r="N5508" s="30">
        <f>IFERROR((VLOOKUP($A5508,HeadJournal!$A$1:$K$890,COLUMN(HeadJournal!K$1),0)-VLOOKUP($A5508,HeadJournal!$A$1:$K$890,COLUMN(HeadJournal!J$1),0))*($K5508+$L5508)/(SUMIF($A:$A,$A5508,$K:$K)+SUMIF($A:$A,$A5508,$L:$L)),0)</f>
        <v>-1.185802593879545E-15</v>
      </c>
      <c r="O5508" s="30">
        <f>IFERROR((VLOOKUP($A5508,HeadJournal!$A$1:$L$890,COLUMN(HeadJournal!L$1),0)*($K5508+$L5508)/(SUMIF($A:$A,$A5508,$K:$K)+SUMIF($A:$A,$A5508,$L:$L)))/VLOOKUP($A5508,HeadJournal!$A$1:$L$890,COLUMN(HeadJournal!H$1),0),0)</f>
        <v>0.18323564585947308</v>
      </c>
      <c r="P5508" s="30">
        <f>IFERROR(SUM(K5508:O5508)*VLOOKUP($A5508,HeadJournal!$A$1:$L$890,COLUMN(HeadJournal!H$1),0),0)</f>
        <v>688.98997560727707</v>
      </c>
      <c r="Q5508" s="29">
        <v>1400</v>
      </c>
      <c r="R5508" s="31">
        <v>46048</v>
      </c>
      <c r="S5508" s="31"/>
      <c r="T5508" s="95" t="str">
        <f t="shared" ref="T5508:T5571" si="410">IF(R5508="","",TEXT(R5508,"ГГГГ ММ"))</f>
        <v>2026 01</v>
      </c>
      <c r="U5508" s="32">
        <f t="shared" si="401"/>
        <v>711.01002439272293</v>
      </c>
      <c r="V5508" s="22">
        <f t="shared" si="402"/>
        <v>1.0319598971901403</v>
      </c>
      <c r="X5508" s="33"/>
      <c r="Y5508" s="33"/>
    </row>
    <row r="5509" spans="1:25" x14ac:dyDescent="0.2">
      <c r="A5509" s="93" t="s">
        <v>5406</v>
      </c>
      <c r="B5509" s="94">
        <f>IFERROR(VLOOKUP($A5509,HeadJournal!$A$1:$NTR$890,COLUMN(HeadJournal!B$1),0),"")</f>
        <v>0</v>
      </c>
      <c r="C5509" s="94" t="str">
        <f>IFERROR(VLOOKUP($A5509,HeadJournal!$A$1:$NTR$890,COLUMN(HeadJournal!C$1),0),"")</f>
        <v>iHerb_VP DFD1605</v>
      </c>
      <c r="D5509" s="125" t="str">
        <f>IFERROR(VLOOKUP($A5509,HeadJournal!$A$1:$NTR$890,COLUMN(HeadJournal!D$1),0),"")</f>
        <v>Доставлен</v>
      </c>
      <c r="E5509" s="95">
        <f>IFERROR(VLOOKUP($A5509,HeadJournal!$A$1:$NTR$890,COLUMN(HeadJournal!G$1),0),"")</f>
        <v>46047</v>
      </c>
      <c r="F5509" s="95" t="str">
        <f t="shared" si="409"/>
        <v>2026 01</v>
      </c>
      <c r="G5509" s="97" t="s">
        <v>5</v>
      </c>
      <c r="H5509" s="161" t="s">
        <v>2771</v>
      </c>
      <c r="I5509" s="97" t="s">
        <v>2052</v>
      </c>
      <c r="J5509" s="97" t="s">
        <v>3858</v>
      </c>
      <c r="K5509" s="29">
        <v>14.15</v>
      </c>
      <c r="L5509" s="29">
        <v>-2.83</v>
      </c>
      <c r="M5509" s="30">
        <f>IFERROR(VLOOKUP($A5509,HeadJournal!$A$1:$J$890,COLUMN(HeadJournal!I$1),0)*($K5509+$L5509)/(SUMIF($A:$A,$A5509,$K:$K)+SUMIF($A:$A,$A5509,$L:$L)),0)</f>
        <v>-0.70757190771419853</v>
      </c>
      <c r="N5509" s="30">
        <f>IFERROR((VLOOKUP($A5509,HeadJournal!$A$1:$K$890,COLUMN(HeadJournal!K$1),0)-VLOOKUP($A5509,HeadJournal!$A$1:$K$890,COLUMN(HeadJournal!J$1),0))*($K5509+$L5509)/(SUMIF($A:$A,$A5509,$K:$K)+SUMIF($A:$A,$A5509,$L:$L)),0)</f>
        <v>-1.6349921270056577E-15</v>
      </c>
      <c r="O5509" s="30">
        <f>IFERROR((VLOOKUP($A5509,HeadJournal!$A$1:$L$890,COLUMN(HeadJournal!L$1),0)*($K5509+$L5509)/(SUMIF($A:$A,$A5509,$K:$K)+SUMIF($A:$A,$A5509,$L:$L)))/VLOOKUP($A5509,HeadJournal!$A$1:$L$890,COLUMN(HeadJournal!H$1),0),0)</f>
        <v>0.25264646907786059</v>
      </c>
      <c r="P5509" s="30">
        <f>IFERROR(SUM(K5509:O5509)*VLOOKUP($A5509,HeadJournal!$A$1:$L$890,COLUMN(HeadJournal!H$1),0),0)</f>
        <v>949.98374225022872</v>
      </c>
      <c r="Q5509" s="29">
        <v>2000</v>
      </c>
      <c r="R5509" s="31">
        <v>46133</v>
      </c>
      <c r="S5509" s="31"/>
      <c r="T5509" s="95" t="str">
        <f t="shared" si="410"/>
        <v>2026 04</v>
      </c>
      <c r="U5509" s="32">
        <f t="shared" si="401"/>
        <v>1050.0162577497713</v>
      </c>
      <c r="V5509" s="22">
        <f t="shared" si="402"/>
        <v>1.105299186765655</v>
      </c>
      <c r="X5509" s="33"/>
      <c r="Y5509" s="33"/>
    </row>
    <row r="5510" spans="1:25" x14ac:dyDescent="0.2">
      <c r="A5510" s="93" t="s">
        <v>5413</v>
      </c>
      <c r="B5510" s="94">
        <f>IFERROR(VLOOKUP($A5510,HeadJournal!$A$1:$NTR$890,COLUMN(HeadJournal!B$1),0),"")</f>
        <v>0</v>
      </c>
      <c r="C5510" s="94" t="str">
        <f>IFERROR(VLOOKUP($A5510,HeadJournal!$A$1:$NTR$890,COLUMN(HeadJournal!C$1),0),"")</f>
        <v>iHerb_AV CYG0792</v>
      </c>
      <c r="D5510" s="125" t="str">
        <f>IFERROR(VLOOKUP($A5510,HeadJournal!$A$1:$NTR$890,COLUMN(HeadJournal!D$1),0),"")</f>
        <v>Доставлен</v>
      </c>
      <c r="E5510" s="95">
        <f>IFERROR(VLOOKUP($A5510,HeadJournal!$A$1:$NTR$890,COLUMN(HeadJournal!G$1),0),"")</f>
        <v>46043</v>
      </c>
      <c r="F5510" s="95" t="str">
        <f t="shared" si="409"/>
        <v>2026 01</v>
      </c>
      <c r="G5510" s="97" t="s">
        <v>5</v>
      </c>
      <c r="H5510" s="161" t="s">
        <v>3101</v>
      </c>
      <c r="I5510" s="97" t="s">
        <v>2102</v>
      </c>
      <c r="J5510" s="97" t="s">
        <v>5407</v>
      </c>
      <c r="K5510" s="29">
        <v>12.55</v>
      </c>
      <c r="L5510" s="29">
        <v>-1.26</v>
      </c>
      <c r="M5510" s="30">
        <f>IFERROR(VLOOKUP($A5510,HeadJournal!$A$1:$J$890,COLUMN(HeadJournal!I$1),0)*($K5510+$L5510)/(SUMIF($A:$A,$A5510,$K:$K)+SUMIF($A:$A,$A5510,$L:$L)),0)</f>
        <v>-0.53365977227619366</v>
      </c>
      <c r="N5510" s="30">
        <f>IFERROR((VLOOKUP($A5510,HeadJournal!$A$1:$K$890,COLUMN(HeadJournal!K$1),0)-VLOOKUP($A5510,HeadJournal!$A$1:$K$890,COLUMN(HeadJournal!J$1),0))*($K5510+$L5510)/(SUMIF($A:$A,$A5510,$K:$K)+SUMIF($A:$A,$A5510,$L:$L)),0)</f>
        <v>1.6759693903126569E-15</v>
      </c>
      <c r="O5510" s="30">
        <f>IFERROR((VLOOKUP($A5510,HeadJournal!$A$1:$L$890,COLUMN(HeadJournal!L$1),0)*($K5510+$L5510)/(SUMIF($A:$A,$A5510,$K:$K)+SUMIF($A:$A,$A5510,$L:$L)))/VLOOKUP($A5510,HeadJournal!$A$1:$L$890,COLUMN(HeadJournal!H$1),0),0)</f>
        <v>0.33508169958071687</v>
      </c>
      <c r="P5510" s="30">
        <f>IFERROR(SUM(K5510:O5510)*VLOOKUP($A5510,HeadJournal!$A$1:$L$890,COLUMN(HeadJournal!H$1),0),0)</f>
        <v>991.55341951321452</v>
      </c>
      <c r="Q5510" s="29">
        <v>1600</v>
      </c>
      <c r="R5510" s="31">
        <v>46067</v>
      </c>
      <c r="S5510" s="31" t="s">
        <v>3475</v>
      </c>
      <c r="T5510" s="95" t="str">
        <f t="shared" si="410"/>
        <v>2026 02</v>
      </c>
      <c r="U5510" s="32">
        <f t="shared" si="401"/>
        <v>608.44658048678548</v>
      </c>
      <c r="V5510" s="22">
        <f t="shared" si="402"/>
        <v>0.61362965273771275</v>
      </c>
      <c r="X5510" s="33"/>
      <c r="Y5510" s="33"/>
    </row>
    <row r="5511" spans="1:25" x14ac:dyDescent="0.2">
      <c r="A5511" s="93" t="s">
        <v>5413</v>
      </c>
      <c r="B5511" s="94">
        <f>IFERROR(VLOOKUP($A5511,HeadJournal!$A$1:$NTR$890,COLUMN(HeadJournal!B$1),0),"")</f>
        <v>0</v>
      </c>
      <c r="C5511" s="94" t="str">
        <f>IFERROR(VLOOKUP($A5511,HeadJournal!$A$1:$NTR$890,COLUMN(HeadJournal!C$1),0),"")</f>
        <v>iHerb_AV CYG0792</v>
      </c>
      <c r="D5511" s="125" t="str">
        <f>IFERROR(VLOOKUP($A5511,HeadJournal!$A$1:$NTR$890,COLUMN(HeadJournal!D$1),0),"")</f>
        <v>Доставлен</v>
      </c>
      <c r="E5511" s="95">
        <f>IFERROR(VLOOKUP($A5511,HeadJournal!$A$1:$NTR$890,COLUMN(HeadJournal!G$1),0),"")</f>
        <v>46043</v>
      </c>
      <c r="F5511" s="95" t="str">
        <f t="shared" si="409"/>
        <v>2026 01</v>
      </c>
      <c r="G5511" s="97" t="s">
        <v>5</v>
      </c>
      <c r="H5511" s="161" t="s">
        <v>4198</v>
      </c>
      <c r="I5511" s="97" t="s">
        <v>3759</v>
      </c>
      <c r="J5511" s="97" t="s">
        <v>4199</v>
      </c>
      <c r="K5511" s="29">
        <v>37.06</v>
      </c>
      <c r="L5511" s="29">
        <v>-3.71</v>
      </c>
      <c r="M5511" s="30">
        <f>IFERROR(VLOOKUP($A5511,HeadJournal!$A$1:$J$890,COLUMN(HeadJournal!I$1),0)*($K5511+$L5511)/(SUMIF($A:$A,$A5511,$K:$K)+SUMIF($A:$A,$A5511,$L:$L)),0)</f>
        <v>-1.5763997701869847</v>
      </c>
      <c r="N5511" s="30">
        <f>IFERROR((VLOOKUP($A5511,HeadJournal!$A$1:$K$890,COLUMN(HeadJournal!K$1),0)-VLOOKUP($A5511,HeadJournal!$A$1:$K$890,COLUMN(HeadJournal!J$1),0))*($K5511+$L5511)/(SUMIF($A:$A,$A5511,$K:$K)+SUMIF($A:$A,$A5511,$L:$L)),0)</f>
        <v>4.9507156038022237E-15</v>
      </c>
      <c r="O5511" s="30">
        <f>IFERROR((VLOOKUP($A5511,HeadJournal!$A$1:$L$890,COLUMN(HeadJournal!L$1),0)*($K5511+$L5511)/(SUMIF($A:$A,$A5511,$K:$K)+SUMIF($A:$A,$A5511,$L:$L)))/VLOOKUP($A5511,HeadJournal!$A$1:$L$890,COLUMN(HeadJournal!H$1),0),0)</f>
        <v>0.98981175208298533</v>
      </c>
      <c r="P5511" s="30">
        <f>IFERROR(SUM(K5511:O5511)*VLOOKUP($A5511,HeadJournal!$A$1:$L$890,COLUMN(HeadJournal!H$1),0),0)</f>
        <v>2928.9908362059964</v>
      </c>
      <c r="Q5511" s="29">
        <v>3800</v>
      </c>
      <c r="R5511" s="31">
        <v>46067</v>
      </c>
      <c r="S5511" s="31" t="s">
        <v>3475</v>
      </c>
      <c r="T5511" s="95" t="str">
        <f t="shared" si="410"/>
        <v>2026 02</v>
      </c>
      <c r="U5511" s="32">
        <f t="shared" si="401"/>
        <v>871.0091637940036</v>
      </c>
      <c r="V5511" s="22">
        <f t="shared" si="402"/>
        <v>0.29737517544515302</v>
      </c>
      <c r="X5511" s="33"/>
      <c r="Y5511" s="33"/>
    </row>
    <row r="5512" spans="1:25" x14ac:dyDescent="0.2">
      <c r="A5512" s="93" t="s">
        <v>5413</v>
      </c>
      <c r="B5512" s="94">
        <f>IFERROR(VLOOKUP($A5512,HeadJournal!$A$1:$NTR$890,COLUMN(HeadJournal!B$1),0),"")</f>
        <v>0</v>
      </c>
      <c r="C5512" s="94" t="str">
        <f>IFERROR(VLOOKUP($A5512,HeadJournal!$A$1:$NTR$890,COLUMN(HeadJournal!C$1),0),"")</f>
        <v>iHerb_AV CYG0792</v>
      </c>
      <c r="D5512" s="125" t="str">
        <f>IFERROR(VLOOKUP($A5512,HeadJournal!$A$1:$NTR$890,COLUMN(HeadJournal!D$1),0),"")</f>
        <v>Доставлен</v>
      </c>
      <c r="E5512" s="95">
        <f>IFERROR(VLOOKUP($A5512,HeadJournal!$A$1:$NTR$890,COLUMN(HeadJournal!G$1),0),"")</f>
        <v>46043</v>
      </c>
      <c r="F5512" s="95" t="str">
        <f t="shared" si="409"/>
        <v>2026 01</v>
      </c>
      <c r="G5512" s="97" t="s">
        <v>5</v>
      </c>
      <c r="H5512" s="161" t="s">
        <v>4010</v>
      </c>
      <c r="I5512" s="97" t="s">
        <v>4011</v>
      </c>
      <c r="J5512" s="97" t="s">
        <v>4012</v>
      </c>
      <c r="K5512" s="29">
        <v>19.27</v>
      </c>
      <c r="L5512" s="29">
        <v>-3.85</v>
      </c>
      <c r="M5512" s="30">
        <f>IFERROR(VLOOKUP($A5512,HeadJournal!$A$1:$J$890,COLUMN(HeadJournal!I$1),0)*($K5512+$L5512)/(SUMIF($A:$A,$A5512,$K:$K)+SUMIF($A:$A,$A5512,$L:$L)),0)</f>
        <v>-0.72887809464117848</v>
      </c>
      <c r="N5512" s="30">
        <f>IFERROR((VLOOKUP($A5512,HeadJournal!$A$1:$K$890,COLUMN(HeadJournal!K$1),0)-VLOOKUP($A5512,HeadJournal!$A$1:$K$890,COLUMN(HeadJournal!J$1),0))*($K5512+$L5512)/(SUMIF($A:$A,$A5512,$K:$K)+SUMIF($A:$A,$A5512,$L:$L)),0)</f>
        <v>2.2890565100638768E-15</v>
      </c>
      <c r="O5512" s="30">
        <f>IFERROR((VLOOKUP($A5512,HeadJournal!$A$1:$L$890,COLUMN(HeadJournal!L$1),0)*($K5512+$L5512)/(SUMIF($A:$A,$A5512,$K:$K)+SUMIF($A:$A,$A5512,$L:$L)))/VLOOKUP($A5512,HeadJournal!$A$1:$L$890,COLUMN(HeadJournal!H$1),0),0)</f>
        <v>0.45765808746985415</v>
      </c>
      <c r="P5512" s="30">
        <f>IFERROR(SUM(K5512:O5512)*VLOOKUP($A5512,HeadJournal!$A$1:$L$890,COLUMN(HeadJournal!H$1),0),0)</f>
        <v>1354.2740238169854</v>
      </c>
      <c r="Q5512" s="29">
        <v>2200</v>
      </c>
      <c r="R5512" s="31">
        <v>46067</v>
      </c>
      <c r="S5512" s="31" t="s">
        <v>3475</v>
      </c>
      <c r="T5512" s="95" t="str">
        <f t="shared" si="410"/>
        <v>2026 02</v>
      </c>
      <c r="U5512" s="32">
        <f t="shared" si="401"/>
        <v>845.72597618301461</v>
      </c>
      <c r="V5512" s="22">
        <f t="shared" si="402"/>
        <v>0.62448659673716433</v>
      </c>
      <c r="X5512" s="33"/>
      <c r="Y5512" s="33"/>
    </row>
    <row r="5513" spans="1:25" x14ac:dyDescent="0.2">
      <c r="A5513" s="93" t="s">
        <v>5413</v>
      </c>
      <c r="B5513" s="94">
        <f>IFERROR(VLOOKUP($A5513,HeadJournal!$A$1:$NTR$890,COLUMN(HeadJournal!B$1),0),"")</f>
        <v>0</v>
      </c>
      <c r="C5513" s="94" t="str">
        <f>IFERROR(VLOOKUP($A5513,HeadJournal!$A$1:$NTR$890,COLUMN(HeadJournal!C$1),0),"")</f>
        <v>iHerb_AV CYG0792</v>
      </c>
      <c r="D5513" s="125" t="str">
        <f>IFERROR(VLOOKUP($A5513,HeadJournal!$A$1:$NTR$890,COLUMN(HeadJournal!D$1),0),"")</f>
        <v>Доставлен</v>
      </c>
      <c r="E5513" s="95">
        <f>IFERROR(VLOOKUP($A5513,HeadJournal!$A$1:$NTR$890,COLUMN(HeadJournal!G$1),0),"")</f>
        <v>46043</v>
      </c>
      <c r="F5513" s="95" t="str">
        <f t="shared" si="409"/>
        <v>2026 01</v>
      </c>
      <c r="G5513" s="97" t="s">
        <v>5</v>
      </c>
      <c r="H5513" s="161" t="s">
        <v>5408</v>
      </c>
      <c r="I5513" s="97" t="s">
        <v>5409</v>
      </c>
      <c r="J5513" s="97" t="s">
        <v>5410</v>
      </c>
      <c r="K5513" s="29">
        <v>81.86</v>
      </c>
      <c r="L5513" s="29">
        <v>-8.19</v>
      </c>
      <c r="M5513" s="30">
        <f>IFERROR(VLOOKUP($A5513,HeadJournal!$A$1:$J$890,COLUMN(HeadJournal!I$1),0)*($K5513+$L5513)/(SUMIF($A:$A,$A5513,$K:$K)+SUMIF($A:$A,$A5513,$L:$L)),0)</f>
        <v>-3.4822600020892098</v>
      </c>
      <c r="N5513" s="30">
        <f>IFERROR((VLOOKUP($A5513,HeadJournal!$A$1:$K$890,COLUMN(HeadJournal!K$1),0)-VLOOKUP($A5513,HeadJournal!$A$1:$K$890,COLUMN(HeadJournal!J$1),0))*($K5513+$L5513)/(SUMIF($A:$A,$A5513,$K:$K)+SUMIF($A:$A,$A5513,$L:$L)),0)</f>
        <v>1.0936108501712439E-14</v>
      </c>
      <c r="O5513" s="30">
        <f>IFERROR((VLOOKUP($A5513,HeadJournal!$A$1:$L$890,COLUMN(HeadJournal!L$1),0)*($K5513+$L5513)/(SUMIF($A:$A,$A5513,$K:$K)+SUMIF($A:$A,$A5513,$L:$L)))/VLOOKUP($A5513,HeadJournal!$A$1:$L$890,COLUMN(HeadJournal!H$1),0),0)</f>
        <v>2.1864897084243942</v>
      </c>
      <c r="P5513" s="30">
        <f>IFERROR(SUM(K5513:O5513)*VLOOKUP($A5513,HeadJournal!$A$1:$L$890,COLUMN(HeadJournal!H$1),0),0)</f>
        <v>6470.1275833072186</v>
      </c>
      <c r="Q5513" s="29">
        <v>7800</v>
      </c>
      <c r="R5513" s="31">
        <v>46067</v>
      </c>
      <c r="S5513" s="31" t="s">
        <v>3475</v>
      </c>
      <c r="T5513" s="95" t="str">
        <f t="shared" si="410"/>
        <v>2026 02</v>
      </c>
      <c r="U5513" s="32">
        <f t="shared" si="401"/>
        <v>1329.8724166927814</v>
      </c>
      <c r="V5513" s="22">
        <f t="shared" si="402"/>
        <v>0.20554036988757715</v>
      </c>
      <c r="X5513" s="33"/>
      <c r="Y5513" s="33"/>
    </row>
    <row r="5514" spans="1:25" x14ac:dyDescent="0.2">
      <c r="A5514" s="93" t="s">
        <v>5413</v>
      </c>
      <c r="B5514" s="94">
        <f>IFERROR(VLOOKUP($A5514,HeadJournal!$A$1:$NTR$890,COLUMN(HeadJournal!B$1),0),"")</f>
        <v>0</v>
      </c>
      <c r="C5514" s="94" t="str">
        <f>IFERROR(VLOOKUP($A5514,HeadJournal!$A$1:$NTR$890,COLUMN(HeadJournal!C$1),0),"")</f>
        <v>iHerb_AV CYG0792</v>
      </c>
      <c r="D5514" s="125" t="str">
        <f>IFERROR(VLOOKUP($A5514,HeadJournal!$A$1:$NTR$890,COLUMN(HeadJournal!D$1),0),"")</f>
        <v>Доставлен</v>
      </c>
      <c r="E5514" s="95">
        <f>IFERROR(VLOOKUP($A5514,HeadJournal!$A$1:$NTR$890,COLUMN(HeadJournal!G$1),0),"")</f>
        <v>46043</v>
      </c>
      <c r="F5514" s="95" t="str">
        <f t="shared" si="409"/>
        <v>2026 01</v>
      </c>
      <c r="G5514" s="97" t="s">
        <v>5</v>
      </c>
      <c r="H5514" s="161" t="s">
        <v>5411</v>
      </c>
      <c r="I5514" s="97" t="s">
        <v>2005</v>
      </c>
      <c r="J5514" s="97" t="s">
        <v>5412</v>
      </c>
      <c r="K5514" s="29">
        <v>15</v>
      </c>
      <c r="L5514" s="29">
        <v>-1.5</v>
      </c>
      <c r="M5514" s="30">
        <f>IFERROR(VLOOKUP($A5514,HeadJournal!$A$1:$J$890,COLUMN(HeadJournal!I$1),0)*($K5514+$L5514)/(SUMIF($A:$A,$A5514,$K:$K)+SUMIF($A:$A,$A5514,$L:$L)),0)</f>
        <v>-0.63812284550297727</v>
      </c>
      <c r="N5514" s="30">
        <f>IFERROR((VLOOKUP($A5514,HeadJournal!$A$1:$K$890,COLUMN(HeadJournal!K$1),0)-VLOOKUP($A5514,HeadJournal!$A$1:$K$890,COLUMN(HeadJournal!J$1),0))*($K5514+$L5514)/(SUMIF($A:$A,$A5514,$K:$K)+SUMIF($A:$A,$A5514,$L:$L)),0)</f>
        <v>2.0040378006395809E-15</v>
      </c>
      <c r="O5514" s="30">
        <f>IFERROR((VLOOKUP($A5514,HeadJournal!$A$1:$L$890,COLUMN(HeadJournal!L$1),0)*($K5514+$L5514)/(SUMIF($A:$A,$A5514,$K:$K)+SUMIF($A:$A,$A5514,$L:$L)))/VLOOKUP($A5514,HeadJournal!$A$1:$L$890,COLUMN(HeadJournal!H$1),0),0)</f>
        <v>0.40067342288216801</v>
      </c>
      <c r="P5514" s="30">
        <f>IFERROR(SUM(K5514:O5514)*VLOOKUP($A5514,HeadJournal!$A$1:$L$890,COLUMN(HeadJournal!H$1),0),0)</f>
        <v>1185.6484644312129</v>
      </c>
      <c r="Q5514" s="29">
        <v>2000</v>
      </c>
      <c r="R5514" s="31">
        <v>46067</v>
      </c>
      <c r="S5514" s="31" t="s">
        <v>3235</v>
      </c>
      <c r="T5514" s="95" t="str">
        <f t="shared" si="410"/>
        <v>2026 02</v>
      </c>
      <c r="U5514" s="32">
        <f t="shared" si="401"/>
        <v>814.35153556878709</v>
      </c>
      <c r="V5514" s="22">
        <f t="shared" si="402"/>
        <v>0.68684062772303522</v>
      </c>
      <c r="X5514" s="33"/>
      <c r="Y5514" s="33"/>
    </row>
    <row r="5515" spans="1:25" x14ac:dyDescent="0.2">
      <c r="A5515" s="93" t="s">
        <v>5413</v>
      </c>
      <c r="B5515" s="94">
        <f>IFERROR(VLOOKUP($A5515,HeadJournal!$A$1:$NTR$890,COLUMN(HeadJournal!B$1),0),"")</f>
        <v>0</v>
      </c>
      <c r="C5515" s="94" t="str">
        <f>IFERROR(VLOOKUP($A5515,HeadJournal!$A$1:$NTR$890,COLUMN(HeadJournal!C$1),0),"")</f>
        <v>iHerb_AV CYG0792</v>
      </c>
      <c r="D5515" s="125" t="str">
        <f>IFERROR(VLOOKUP($A5515,HeadJournal!$A$1:$NTR$890,COLUMN(HeadJournal!D$1),0),"")</f>
        <v>Доставлен</v>
      </c>
      <c r="E5515" s="95">
        <f>IFERROR(VLOOKUP($A5515,HeadJournal!$A$1:$NTR$890,COLUMN(HeadJournal!G$1),0),"")</f>
        <v>46043</v>
      </c>
      <c r="F5515" s="95" t="str">
        <f t="shared" si="409"/>
        <v>2026 01</v>
      </c>
      <c r="G5515" s="97" t="s">
        <v>5</v>
      </c>
      <c r="H5515" s="161" t="s">
        <v>3633</v>
      </c>
      <c r="I5515" s="97" t="s">
        <v>2008</v>
      </c>
      <c r="J5515" s="97" t="s">
        <v>4953</v>
      </c>
      <c r="K5515" s="29">
        <v>18</v>
      </c>
      <c r="L5515" s="29">
        <v>-1.8</v>
      </c>
      <c r="M5515" s="30">
        <f>IFERROR(VLOOKUP($A5515,HeadJournal!$A$1:$J$890,COLUMN(HeadJournal!I$1),0)*($K5515+$L5515)/(SUMIF($A:$A,$A5515,$K:$K)+SUMIF($A:$A,$A5515,$L:$L)),0)</f>
        <v>-0.76574741460357265</v>
      </c>
      <c r="N5515" s="30">
        <f>IFERROR((VLOOKUP($A5515,HeadJournal!$A$1:$K$890,COLUMN(HeadJournal!K$1),0)-VLOOKUP($A5515,HeadJournal!$A$1:$K$890,COLUMN(HeadJournal!J$1),0))*($K5515+$L5515)/(SUMIF($A:$A,$A5515,$K:$K)+SUMIF($A:$A,$A5515,$L:$L)),0)</f>
        <v>2.404845360767497E-15</v>
      </c>
      <c r="O5515" s="30">
        <f>IFERROR((VLOOKUP($A5515,HeadJournal!$A$1:$L$890,COLUMN(HeadJournal!L$1),0)*($K5515+$L5515)/(SUMIF($A:$A,$A5515,$K:$K)+SUMIF($A:$A,$A5515,$L:$L)))/VLOOKUP($A5515,HeadJournal!$A$1:$L$890,COLUMN(HeadJournal!H$1),0),0)</f>
        <v>0.4808081074586017</v>
      </c>
      <c r="P5515" s="30">
        <f>IFERROR(SUM(K5515:O5515)*VLOOKUP($A5515,HeadJournal!$A$1:$L$890,COLUMN(HeadJournal!H$1),0),0)</f>
        <v>1422.7781573174555</v>
      </c>
      <c r="Q5515" s="29">
        <v>2200</v>
      </c>
      <c r="R5515" s="31">
        <v>46067</v>
      </c>
      <c r="S5515" s="31" t="s">
        <v>3235</v>
      </c>
      <c r="T5515" s="95" t="str">
        <f t="shared" si="410"/>
        <v>2026 02</v>
      </c>
      <c r="U5515" s="32">
        <f t="shared" si="401"/>
        <v>777.22184268254455</v>
      </c>
      <c r="V5515" s="22">
        <f t="shared" si="402"/>
        <v>0.54627057541278234</v>
      </c>
      <c r="X5515" s="33"/>
      <c r="Y5515" s="33"/>
    </row>
    <row r="5516" spans="1:25" x14ac:dyDescent="0.2">
      <c r="A5516" s="93" t="s">
        <v>5413</v>
      </c>
      <c r="B5516" s="94">
        <f>IFERROR(VLOOKUP($A5516,HeadJournal!$A$1:$NTR$890,COLUMN(HeadJournal!B$1),0),"")</f>
        <v>0</v>
      </c>
      <c r="C5516" s="94" t="str">
        <f>IFERROR(VLOOKUP($A5516,HeadJournal!$A$1:$NTR$890,COLUMN(HeadJournal!C$1),0),"")</f>
        <v>iHerb_AV CYG0792</v>
      </c>
      <c r="D5516" s="125" t="str">
        <f>IFERROR(VLOOKUP($A5516,HeadJournal!$A$1:$NTR$890,COLUMN(HeadJournal!D$1),0),"")</f>
        <v>Доставлен</v>
      </c>
      <c r="E5516" s="95">
        <f>IFERROR(VLOOKUP($A5516,HeadJournal!$A$1:$NTR$890,COLUMN(HeadJournal!G$1),0),"")</f>
        <v>46043</v>
      </c>
      <c r="F5516" s="95" t="str">
        <f t="shared" si="409"/>
        <v>2026 01</v>
      </c>
      <c r="G5516" s="97" t="s">
        <v>5</v>
      </c>
      <c r="H5516" s="161" t="s">
        <v>4091</v>
      </c>
      <c r="I5516" s="97" t="s">
        <v>2005</v>
      </c>
      <c r="J5516" s="97" t="s">
        <v>4092</v>
      </c>
      <c r="K5516" s="29">
        <v>17.89</v>
      </c>
      <c r="L5516" s="29">
        <v>-1.79</v>
      </c>
      <c r="M5516" s="30">
        <f>IFERROR(VLOOKUP($A5516,HeadJournal!$A$1:$J$890,COLUMN(HeadJournal!I$1),0)*($K5516+$L5516)/(SUMIF($A:$A,$A5516,$K:$K)+SUMIF($A:$A,$A5516,$L:$L)),0)</f>
        <v>-0.76102057871095807</v>
      </c>
      <c r="N5516" s="30">
        <f>IFERROR((VLOOKUP($A5516,HeadJournal!$A$1:$K$890,COLUMN(HeadJournal!K$1),0)-VLOOKUP($A5516,HeadJournal!$A$1:$K$890,COLUMN(HeadJournal!J$1),0))*($K5516+$L5516)/(SUMIF($A:$A,$A5516,$K:$K)+SUMIF($A:$A,$A5516,$L:$L)),0)</f>
        <v>2.3900006363183152E-15</v>
      </c>
      <c r="O5516" s="30">
        <f>IFERROR((VLOOKUP($A5516,HeadJournal!$A$1:$L$890,COLUMN(HeadJournal!L$1),0)*($K5516+$L5516)/(SUMIF($A:$A,$A5516,$K:$K)+SUMIF($A:$A,$A5516,$L:$L)))/VLOOKUP($A5516,HeadJournal!$A$1:$L$890,COLUMN(HeadJournal!H$1),0),0)</f>
        <v>0.47784015617799303</v>
      </c>
      <c r="P5516" s="30">
        <f>IFERROR(SUM(K5516:O5516)*VLOOKUP($A5516,HeadJournal!$A$1:$L$890,COLUMN(HeadJournal!H$1),0),0)</f>
        <v>1413.9955760994465</v>
      </c>
      <c r="Q5516" s="29">
        <v>2200</v>
      </c>
      <c r="R5516" s="31">
        <v>46088</v>
      </c>
      <c r="S5516" s="31" t="s">
        <v>4996</v>
      </c>
      <c r="T5516" s="95" t="str">
        <f t="shared" si="410"/>
        <v>2026 03</v>
      </c>
      <c r="U5516" s="32">
        <f t="shared" si="401"/>
        <v>786.00442390055355</v>
      </c>
      <c r="V5516" s="22">
        <f t="shared" si="402"/>
        <v>0.555874740477458</v>
      </c>
      <c r="X5516" s="33"/>
      <c r="Y5516" s="33"/>
    </row>
    <row r="5517" spans="1:25" x14ac:dyDescent="0.2">
      <c r="A5517" s="93" t="s">
        <v>5413</v>
      </c>
      <c r="B5517" s="94">
        <f>IFERROR(VLOOKUP($A5517,HeadJournal!$A$1:$NTR$890,COLUMN(HeadJournal!B$1),0),"")</f>
        <v>0</v>
      </c>
      <c r="C5517" s="94" t="str">
        <f>IFERROR(VLOOKUP($A5517,HeadJournal!$A$1:$NTR$890,COLUMN(HeadJournal!C$1),0),"")</f>
        <v>iHerb_AV CYG0792</v>
      </c>
      <c r="D5517" s="125" t="str">
        <f>IFERROR(VLOOKUP($A5517,HeadJournal!$A$1:$NTR$890,COLUMN(HeadJournal!D$1),0),"")</f>
        <v>Доставлен</v>
      </c>
      <c r="E5517" s="95">
        <f>IFERROR(VLOOKUP($A5517,HeadJournal!$A$1:$NTR$890,COLUMN(HeadJournal!G$1),0),"")</f>
        <v>46043</v>
      </c>
      <c r="F5517" s="95" t="str">
        <f t="shared" si="409"/>
        <v>2026 01</v>
      </c>
      <c r="G5517" s="97" t="s">
        <v>5</v>
      </c>
      <c r="H5517" s="161" t="s">
        <v>3570</v>
      </c>
      <c r="I5517" s="97" t="s">
        <v>2102</v>
      </c>
      <c r="J5517" s="97" t="s">
        <v>3991</v>
      </c>
      <c r="K5517" s="29">
        <v>13.26</v>
      </c>
      <c r="L5517" s="29">
        <v>-1.33</v>
      </c>
      <c r="M5517" s="30">
        <f>IFERROR(VLOOKUP($A5517,HeadJournal!$A$1:$J$890,COLUMN(HeadJournal!I$1),0)*($K5517+$L5517)/(SUMIF($A:$A,$A5517,$K:$K)+SUMIF($A:$A,$A5517,$L:$L)),0)</f>
        <v>-0.56391152198892736</v>
      </c>
      <c r="N5517" s="30">
        <f>IFERROR((VLOOKUP($A5517,HeadJournal!$A$1:$K$890,COLUMN(HeadJournal!K$1),0)-VLOOKUP($A5517,HeadJournal!$A$1:$K$890,COLUMN(HeadJournal!J$1),0))*($K5517+$L5517)/(SUMIF($A:$A,$A5517,$K:$K)+SUMIF($A:$A,$A5517,$L:$L)),0)</f>
        <v>1.7709756267874222E-15</v>
      </c>
      <c r="O5517" s="30">
        <f>IFERROR((VLOOKUP($A5517,HeadJournal!$A$1:$L$890,COLUMN(HeadJournal!L$1),0)*($K5517+$L5517)/(SUMIF($A:$A,$A5517,$K:$K)+SUMIF($A:$A,$A5517,$L:$L)))/VLOOKUP($A5517,HeadJournal!$A$1:$L$890,COLUMN(HeadJournal!H$1),0),0)</f>
        <v>0.35407658777661216</v>
      </c>
      <c r="P5517" s="30">
        <f>IFERROR(SUM(K5517:O5517)*VLOOKUP($A5517,HeadJournal!$A$1:$L$890,COLUMN(HeadJournal!H$1),0),0)</f>
        <v>1047.7619393084717</v>
      </c>
      <c r="Q5517" s="29">
        <v>1800</v>
      </c>
      <c r="R5517" s="31">
        <v>46151</v>
      </c>
      <c r="S5517" s="31"/>
      <c r="T5517" s="95" t="str">
        <f t="shared" si="410"/>
        <v>2026 05</v>
      </c>
      <c r="U5517" s="32">
        <f t="shared" si="401"/>
        <v>752.23806069152829</v>
      </c>
      <c r="V5517" s="22">
        <f t="shared" si="402"/>
        <v>0.71794749596268914</v>
      </c>
      <c r="X5517" s="33"/>
      <c r="Y5517" s="33"/>
    </row>
    <row r="5518" spans="1:25" x14ac:dyDescent="0.2">
      <c r="A5518" s="93" t="s">
        <v>5415</v>
      </c>
      <c r="B5518" s="94" t="str">
        <f>IFERROR(VLOOKUP($A5518,HeadJournal!$A$1:$NTR$890,COLUMN(HeadJournal!B$1),0),"")</f>
        <v>1695189134</v>
      </c>
      <c r="C5518" s="94" t="str">
        <f>IFERROR(VLOOKUP($A5518,HeadJournal!$A$1:$NTR$890,COLUMN(HeadJournal!C$1),0),"")</f>
        <v>essens_AV</v>
      </c>
      <c r="D5518" s="125" t="str">
        <f>IFERROR(VLOOKUP($A5518,HeadJournal!$A$1:$NTR$890,COLUMN(HeadJournal!D$1),0),"")</f>
        <v>Доставлен</v>
      </c>
      <c r="E5518" s="95">
        <f>IFERROR(VLOOKUP($A5518,HeadJournal!$A$1:$NTR$890,COLUMN(HeadJournal!G$1),0),"")</f>
        <v>46037</v>
      </c>
      <c r="F5518" s="95" t="str">
        <f t="shared" si="409"/>
        <v>2026 01</v>
      </c>
      <c r="G5518" s="97" t="s">
        <v>8</v>
      </c>
      <c r="H5518" s="161" t="s">
        <v>3965</v>
      </c>
      <c r="I5518" s="97" t="s">
        <v>2243</v>
      </c>
      <c r="J5518" s="97" t="s">
        <v>3966</v>
      </c>
      <c r="K5518" s="29">
        <v>1595</v>
      </c>
      <c r="L5518" s="29">
        <v>-265.83333333333297</v>
      </c>
      <c r="M5518" s="30">
        <f>IFERROR(VLOOKUP($A5518,HeadJournal!$A$1:$J$890,COLUMN(HeadJournal!I$1),0)*($K5518+$L5518)/(SUMIF($A:$A,$A5518,$K:$K)+SUMIF($A:$A,$A5518,$L:$L)),0)</f>
        <v>0</v>
      </c>
      <c r="N5518" s="30">
        <f>IFERROR((VLOOKUP($A5518,HeadJournal!$A$1:$K$890,COLUMN(HeadJournal!K$1),0)-VLOOKUP($A5518,HeadJournal!$A$1:$K$890,COLUMN(HeadJournal!J$1),0))*($K5518+$L5518)/(SUMIF($A:$A,$A5518,$K:$K)+SUMIF($A:$A,$A5518,$L:$L)),0)</f>
        <v>-3.0316490059097606E-13</v>
      </c>
      <c r="O5518" s="30">
        <f>IFERROR((VLOOKUP($A5518,HeadJournal!$A$1:$L$890,COLUMN(HeadJournal!L$1),0)*($K5518+$L5518)/(SUMIF($A:$A,$A5518,$K:$K)+SUMIF($A:$A,$A5518,$L:$L)))/VLOOKUP($A5518,HeadJournal!$A$1:$L$890,COLUMN(HeadJournal!H$1),0),0)</f>
        <v>130.83333333333334</v>
      </c>
      <c r="P5518" s="30">
        <f>IFERROR(SUM(K5518:O5518)*VLOOKUP($A5518,HeadJournal!$A$1:$L$890,COLUMN(HeadJournal!H$1),0),0)</f>
        <v>1460</v>
      </c>
      <c r="Q5518" s="29"/>
      <c r="R5518" s="31"/>
      <c r="S5518" s="31"/>
      <c r="T5518" s="95" t="str">
        <f t="shared" si="410"/>
        <v/>
      </c>
      <c r="U5518" s="32">
        <f t="shared" si="401"/>
        <v>-1460</v>
      </c>
      <c r="V5518" s="22" t="str">
        <f t="shared" si="402"/>
        <v/>
      </c>
      <c r="X5518" s="33"/>
      <c r="Y5518" s="33"/>
    </row>
    <row r="5519" spans="1:25" x14ac:dyDescent="0.2">
      <c r="A5519" s="93" t="s">
        <v>5415</v>
      </c>
      <c r="B5519" s="94" t="str">
        <f>IFERROR(VLOOKUP($A5519,HeadJournal!$A$1:$NTR$890,COLUMN(HeadJournal!B$1),0),"")</f>
        <v>1695189134</v>
      </c>
      <c r="C5519" s="94" t="str">
        <f>IFERROR(VLOOKUP($A5519,HeadJournal!$A$1:$NTR$890,COLUMN(HeadJournal!C$1),0),"")</f>
        <v>essens_AV</v>
      </c>
      <c r="D5519" s="125" t="str">
        <f>IFERROR(VLOOKUP($A5519,HeadJournal!$A$1:$NTR$890,COLUMN(HeadJournal!D$1),0),"")</f>
        <v>Доставлен</v>
      </c>
      <c r="E5519" s="95">
        <f>IFERROR(VLOOKUP($A5519,HeadJournal!$A$1:$NTR$890,COLUMN(HeadJournal!G$1),0),"")</f>
        <v>46037</v>
      </c>
      <c r="F5519" s="95" t="str">
        <f t="shared" si="409"/>
        <v>2026 01</v>
      </c>
      <c r="G5519" s="97" t="s">
        <v>8</v>
      </c>
      <c r="H5519" s="161" t="s">
        <v>5417</v>
      </c>
      <c r="I5519" s="97" t="s">
        <v>2243</v>
      </c>
      <c r="J5519" s="97" t="s">
        <v>5416</v>
      </c>
      <c r="K5519" s="29">
        <v>1595</v>
      </c>
      <c r="L5519" s="29">
        <v>-265.83333333333297</v>
      </c>
      <c r="M5519" s="30">
        <f>IFERROR(VLOOKUP($A5519,HeadJournal!$A$1:$J$890,COLUMN(HeadJournal!I$1),0)*($K5519+$L5519)/(SUMIF($A:$A,$A5519,$K:$K)+SUMIF($A:$A,$A5519,$L:$L)),0)</f>
        <v>0</v>
      </c>
      <c r="N5519" s="30">
        <f>IFERROR((VLOOKUP($A5519,HeadJournal!$A$1:$K$890,COLUMN(HeadJournal!K$1),0)-VLOOKUP($A5519,HeadJournal!$A$1:$K$890,COLUMN(HeadJournal!J$1),0))*($K5519+$L5519)/(SUMIF($A:$A,$A5519,$K:$K)+SUMIF($A:$A,$A5519,$L:$L)),0)</f>
        <v>-3.0316490059097606E-13</v>
      </c>
      <c r="O5519" s="30">
        <f>IFERROR((VLOOKUP($A5519,HeadJournal!$A$1:$L$890,COLUMN(HeadJournal!L$1),0)*($K5519+$L5519)/(SUMIF($A:$A,$A5519,$K:$K)+SUMIF($A:$A,$A5519,$L:$L)))/VLOOKUP($A5519,HeadJournal!$A$1:$L$890,COLUMN(HeadJournal!H$1),0),0)</f>
        <v>130.83333333333334</v>
      </c>
      <c r="P5519" s="30">
        <f>IFERROR(SUM(K5519:O5519)*VLOOKUP($A5519,HeadJournal!$A$1:$L$890,COLUMN(HeadJournal!H$1),0),0)</f>
        <v>1460</v>
      </c>
      <c r="Q5519" s="29"/>
      <c r="R5519" s="31"/>
      <c r="S5519" s="31"/>
      <c r="T5519" s="95" t="str">
        <f t="shared" si="410"/>
        <v/>
      </c>
      <c r="U5519" s="32">
        <f t="shared" si="401"/>
        <v>-1460</v>
      </c>
      <c r="V5519" s="22" t="str">
        <f t="shared" si="402"/>
        <v/>
      </c>
      <c r="X5519" s="33"/>
      <c r="Y5519" s="33"/>
    </row>
    <row r="5520" spans="1:25" x14ac:dyDescent="0.2">
      <c r="A5520" s="93" t="s">
        <v>5415</v>
      </c>
      <c r="B5520" s="94" t="str">
        <f>IFERROR(VLOOKUP($A5520,HeadJournal!$A$1:$NTR$890,COLUMN(HeadJournal!B$1),0),"")</f>
        <v>1695189134</v>
      </c>
      <c r="C5520" s="94" t="str">
        <f>IFERROR(VLOOKUP($A5520,HeadJournal!$A$1:$NTR$890,COLUMN(HeadJournal!C$1),0),"")</f>
        <v>essens_AV</v>
      </c>
      <c r="D5520" s="125" t="str">
        <f>IFERROR(VLOOKUP($A5520,HeadJournal!$A$1:$NTR$890,COLUMN(HeadJournal!D$1),0),"")</f>
        <v>Доставлен</v>
      </c>
      <c r="E5520" s="95">
        <f>IFERROR(VLOOKUP($A5520,HeadJournal!$A$1:$NTR$890,COLUMN(HeadJournal!G$1),0),"")</f>
        <v>46037</v>
      </c>
      <c r="F5520" s="95" t="str">
        <f t="shared" si="409"/>
        <v>2026 01</v>
      </c>
      <c r="G5520" s="97" t="s">
        <v>8</v>
      </c>
      <c r="H5520" s="161" t="s">
        <v>3980</v>
      </c>
      <c r="I5520" s="97" t="s">
        <v>2243</v>
      </c>
      <c r="J5520" s="97" t="s">
        <v>3978</v>
      </c>
      <c r="K5520" s="29">
        <v>1595</v>
      </c>
      <c r="L5520" s="29">
        <v>-265.83333333333297</v>
      </c>
      <c r="M5520" s="30">
        <f>IFERROR(VLOOKUP($A5520,HeadJournal!$A$1:$J$890,COLUMN(HeadJournal!I$1),0)*($K5520+$L5520)/(SUMIF($A:$A,$A5520,$K:$K)+SUMIF($A:$A,$A5520,$L:$L)),0)</f>
        <v>0</v>
      </c>
      <c r="N5520" s="30">
        <f>IFERROR((VLOOKUP($A5520,HeadJournal!$A$1:$K$890,COLUMN(HeadJournal!K$1),0)-VLOOKUP($A5520,HeadJournal!$A$1:$K$890,COLUMN(HeadJournal!J$1),0))*($K5520+$L5520)/(SUMIF($A:$A,$A5520,$K:$K)+SUMIF($A:$A,$A5520,$L:$L)),0)</f>
        <v>-3.0316490059097606E-13</v>
      </c>
      <c r="O5520" s="30">
        <f>IFERROR((VLOOKUP($A5520,HeadJournal!$A$1:$L$890,COLUMN(HeadJournal!L$1),0)*($K5520+$L5520)/(SUMIF($A:$A,$A5520,$K:$K)+SUMIF($A:$A,$A5520,$L:$L)))/VLOOKUP($A5520,HeadJournal!$A$1:$L$890,COLUMN(HeadJournal!H$1),0),0)</f>
        <v>130.83333333333334</v>
      </c>
      <c r="P5520" s="30">
        <f>IFERROR(SUM(K5520:O5520)*VLOOKUP($A5520,HeadJournal!$A$1:$L$890,COLUMN(HeadJournal!H$1),0),0)</f>
        <v>1460</v>
      </c>
      <c r="Q5520" s="29">
        <v>2600</v>
      </c>
      <c r="R5520" s="31">
        <v>46072</v>
      </c>
      <c r="S5520" s="31" t="s">
        <v>3231</v>
      </c>
      <c r="T5520" s="95" t="str">
        <f t="shared" si="410"/>
        <v>2026 02</v>
      </c>
      <c r="U5520" s="32">
        <f t="shared" si="401"/>
        <v>1140</v>
      </c>
      <c r="V5520" s="22">
        <f t="shared" si="402"/>
        <v>0.78082191780821919</v>
      </c>
      <c r="X5520" s="33"/>
      <c r="Y5520" s="33"/>
    </row>
    <row r="5521" spans="1:25" x14ac:dyDescent="0.2">
      <c r="A5521" s="93" t="s">
        <v>5415</v>
      </c>
      <c r="B5521" s="94" t="str">
        <f>IFERROR(VLOOKUP($A5521,HeadJournal!$A$1:$NTR$890,COLUMN(HeadJournal!B$1),0),"")</f>
        <v>1695189134</v>
      </c>
      <c r="C5521" s="94" t="str">
        <f>IFERROR(VLOOKUP($A5521,HeadJournal!$A$1:$NTR$890,COLUMN(HeadJournal!C$1),0),"")</f>
        <v>essens_AV</v>
      </c>
      <c r="D5521" s="125" t="str">
        <f>IFERROR(VLOOKUP($A5521,HeadJournal!$A$1:$NTR$890,COLUMN(HeadJournal!D$1),0),"")</f>
        <v>Доставлен</v>
      </c>
      <c r="E5521" s="95">
        <f>IFERROR(VLOOKUP($A5521,HeadJournal!$A$1:$NTR$890,COLUMN(HeadJournal!G$1),0),"")</f>
        <v>46037</v>
      </c>
      <c r="F5521" s="95" t="str">
        <f t="shared" si="409"/>
        <v>2026 01</v>
      </c>
      <c r="G5521" s="97" t="s">
        <v>8</v>
      </c>
      <c r="H5521" s="161" t="s">
        <v>5420</v>
      </c>
      <c r="I5521" s="97" t="s">
        <v>2243</v>
      </c>
      <c r="J5521" s="97" t="s">
        <v>5418</v>
      </c>
      <c r="K5521" s="29">
        <v>1595</v>
      </c>
      <c r="L5521" s="29">
        <v>-265.83333333333297</v>
      </c>
      <c r="M5521" s="30">
        <f>IFERROR(VLOOKUP($A5521,HeadJournal!$A$1:$J$890,COLUMN(HeadJournal!I$1),0)*($K5521+$L5521)/(SUMIF($A:$A,$A5521,$K:$K)+SUMIF($A:$A,$A5521,$L:$L)),0)</f>
        <v>0</v>
      </c>
      <c r="N5521" s="30">
        <f>IFERROR((VLOOKUP($A5521,HeadJournal!$A$1:$K$890,COLUMN(HeadJournal!K$1),0)-VLOOKUP($A5521,HeadJournal!$A$1:$K$890,COLUMN(HeadJournal!J$1),0))*($K5521+$L5521)/(SUMIF($A:$A,$A5521,$K:$K)+SUMIF($A:$A,$A5521,$L:$L)),0)</f>
        <v>-3.0316490059097606E-13</v>
      </c>
      <c r="O5521" s="30">
        <f>IFERROR((VLOOKUP($A5521,HeadJournal!$A$1:$L$890,COLUMN(HeadJournal!L$1),0)*($K5521+$L5521)/(SUMIF($A:$A,$A5521,$K:$K)+SUMIF($A:$A,$A5521,$L:$L)))/VLOOKUP($A5521,HeadJournal!$A$1:$L$890,COLUMN(HeadJournal!H$1),0),0)</f>
        <v>130.83333333333334</v>
      </c>
      <c r="P5521" s="30">
        <f>IFERROR(SUM(K5521:O5521)*VLOOKUP($A5521,HeadJournal!$A$1:$L$890,COLUMN(HeadJournal!H$1),0),0)</f>
        <v>1460</v>
      </c>
      <c r="Q5521" s="29">
        <v>2700</v>
      </c>
      <c r="R5521" s="31">
        <v>46050</v>
      </c>
      <c r="S5521" s="31"/>
      <c r="T5521" s="95" t="str">
        <f t="shared" si="410"/>
        <v>2026 01</v>
      </c>
      <c r="U5521" s="32">
        <f t="shared" si="401"/>
        <v>1240</v>
      </c>
      <c r="V5521" s="22">
        <f t="shared" si="402"/>
        <v>0.84931506849315064</v>
      </c>
      <c r="X5521" s="33"/>
      <c r="Y5521" s="33"/>
    </row>
    <row r="5522" spans="1:25" x14ac:dyDescent="0.2">
      <c r="A5522" s="93" t="s">
        <v>5415</v>
      </c>
      <c r="B5522" s="94" t="str">
        <f>IFERROR(VLOOKUP($A5522,HeadJournal!$A$1:$NTR$890,COLUMN(HeadJournal!B$1),0),"")</f>
        <v>1695189134</v>
      </c>
      <c r="C5522" s="94" t="str">
        <f>IFERROR(VLOOKUP($A5522,HeadJournal!$A$1:$NTR$890,COLUMN(HeadJournal!C$1),0),"")</f>
        <v>essens_AV</v>
      </c>
      <c r="D5522" s="125" t="str">
        <f>IFERROR(VLOOKUP($A5522,HeadJournal!$A$1:$NTR$890,COLUMN(HeadJournal!D$1),0),"")</f>
        <v>Доставлен</v>
      </c>
      <c r="E5522" s="95">
        <f>IFERROR(VLOOKUP($A5522,HeadJournal!$A$1:$NTR$890,COLUMN(HeadJournal!G$1),0),"")</f>
        <v>46037</v>
      </c>
      <c r="F5522" s="95" t="str">
        <f t="shared" si="409"/>
        <v>2026 01</v>
      </c>
      <c r="G5522" s="97" t="s">
        <v>8</v>
      </c>
      <c r="H5522" s="161" t="s">
        <v>3971</v>
      </c>
      <c r="I5522" s="97" t="s">
        <v>2243</v>
      </c>
      <c r="J5522" s="97" t="s">
        <v>3972</v>
      </c>
      <c r="K5522" s="29">
        <v>1595</v>
      </c>
      <c r="L5522" s="29">
        <v>-265.83333333333297</v>
      </c>
      <c r="M5522" s="30">
        <f>IFERROR(VLOOKUP($A5522,HeadJournal!$A$1:$J$890,COLUMN(HeadJournal!I$1),0)*($K5522+$L5522)/(SUMIF($A:$A,$A5522,$K:$K)+SUMIF($A:$A,$A5522,$L:$L)),0)</f>
        <v>0</v>
      </c>
      <c r="N5522" s="30">
        <f>IFERROR((VLOOKUP($A5522,HeadJournal!$A$1:$K$890,COLUMN(HeadJournal!K$1),0)-VLOOKUP($A5522,HeadJournal!$A$1:$K$890,COLUMN(HeadJournal!J$1),0))*($K5522+$L5522)/(SUMIF($A:$A,$A5522,$K:$K)+SUMIF($A:$A,$A5522,$L:$L)),0)</f>
        <v>-3.0316490059097606E-13</v>
      </c>
      <c r="O5522" s="30">
        <f>IFERROR((VLOOKUP($A5522,HeadJournal!$A$1:$L$890,COLUMN(HeadJournal!L$1),0)*($K5522+$L5522)/(SUMIF($A:$A,$A5522,$K:$K)+SUMIF($A:$A,$A5522,$L:$L)))/VLOOKUP($A5522,HeadJournal!$A$1:$L$890,COLUMN(HeadJournal!H$1),0),0)</f>
        <v>130.83333333333334</v>
      </c>
      <c r="P5522" s="30">
        <f>IFERROR(SUM(K5522:O5522)*VLOOKUP($A5522,HeadJournal!$A$1:$L$890,COLUMN(HeadJournal!H$1),0),0)</f>
        <v>1460</v>
      </c>
      <c r="Q5522" s="29"/>
      <c r="R5522" s="31"/>
      <c r="S5522" s="31"/>
      <c r="T5522" s="95" t="str">
        <f t="shared" si="410"/>
        <v/>
      </c>
      <c r="U5522" s="32">
        <f t="shared" si="401"/>
        <v>-1460</v>
      </c>
      <c r="V5522" s="22" t="str">
        <f t="shared" si="402"/>
        <v/>
      </c>
      <c r="X5522" s="33"/>
      <c r="Y5522" s="33"/>
    </row>
    <row r="5523" spans="1:25" x14ac:dyDescent="0.2">
      <c r="A5523" s="93" t="s">
        <v>5415</v>
      </c>
      <c r="B5523" s="94" t="str">
        <f>IFERROR(VLOOKUP($A5523,HeadJournal!$A$1:$NTR$890,COLUMN(HeadJournal!B$1),0),"")</f>
        <v>1695189134</v>
      </c>
      <c r="C5523" s="94" t="str">
        <f>IFERROR(VLOOKUP($A5523,HeadJournal!$A$1:$NTR$890,COLUMN(HeadJournal!C$1),0),"")</f>
        <v>essens_AV</v>
      </c>
      <c r="D5523" s="125" t="str">
        <f>IFERROR(VLOOKUP($A5523,HeadJournal!$A$1:$NTR$890,COLUMN(HeadJournal!D$1),0),"")</f>
        <v>Доставлен</v>
      </c>
      <c r="E5523" s="95">
        <f>IFERROR(VLOOKUP($A5523,HeadJournal!$A$1:$NTR$890,COLUMN(HeadJournal!G$1),0),"")</f>
        <v>46037</v>
      </c>
      <c r="F5523" s="95" t="str">
        <f t="shared" si="409"/>
        <v>2026 01</v>
      </c>
      <c r="G5523" s="97" t="s">
        <v>8</v>
      </c>
      <c r="H5523" s="161" t="s">
        <v>5421</v>
      </c>
      <c r="I5523" s="97" t="s">
        <v>2243</v>
      </c>
      <c r="J5523" s="97" t="s">
        <v>5419</v>
      </c>
      <c r="K5523" s="29">
        <v>1595</v>
      </c>
      <c r="L5523" s="29">
        <v>-265.83333333333297</v>
      </c>
      <c r="M5523" s="30">
        <f>IFERROR(VLOOKUP($A5523,HeadJournal!$A$1:$J$890,COLUMN(HeadJournal!I$1),0)*($K5523+$L5523)/(SUMIF($A:$A,$A5523,$K:$K)+SUMIF($A:$A,$A5523,$L:$L)),0)</f>
        <v>0</v>
      </c>
      <c r="N5523" s="30">
        <f>IFERROR((VLOOKUP($A5523,HeadJournal!$A$1:$K$890,COLUMN(HeadJournal!K$1),0)-VLOOKUP($A5523,HeadJournal!$A$1:$K$890,COLUMN(HeadJournal!J$1),0))*($K5523+$L5523)/(SUMIF($A:$A,$A5523,$K:$K)+SUMIF($A:$A,$A5523,$L:$L)),0)</f>
        <v>-3.0316490059097606E-13</v>
      </c>
      <c r="O5523" s="30">
        <f>IFERROR((VLOOKUP($A5523,HeadJournal!$A$1:$L$890,COLUMN(HeadJournal!L$1),0)*($K5523+$L5523)/(SUMIF($A:$A,$A5523,$K:$K)+SUMIF($A:$A,$A5523,$L:$L)))/VLOOKUP($A5523,HeadJournal!$A$1:$L$890,COLUMN(HeadJournal!H$1),0),0)</f>
        <v>130.83333333333334</v>
      </c>
      <c r="P5523" s="30">
        <f>IFERROR(SUM(K5523:O5523)*VLOOKUP($A5523,HeadJournal!$A$1:$L$890,COLUMN(HeadJournal!H$1),0),0)</f>
        <v>1460</v>
      </c>
      <c r="Q5523" s="29"/>
      <c r="R5523" s="31"/>
      <c r="S5523" s="31"/>
      <c r="T5523" s="95" t="str">
        <f t="shared" si="410"/>
        <v/>
      </c>
      <c r="U5523" s="32">
        <f t="shared" si="401"/>
        <v>-1460</v>
      </c>
      <c r="V5523" s="22" t="str">
        <f t="shared" si="402"/>
        <v/>
      </c>
      <c r="X5523" s="33"/>
      <c r="Y5523" s="33"/>
    </row>
    <row r="5524" spans="1:25" x14ac:dyDescent="0.2">
      <c r="A5524" s="93" t="s">
        <v>5435</v>
      </c>
      <c r="B5524" s="94">
        <f>IFERROR(VLOOKUP($A5524,HeadJournal!$A$1:$NTR$890,COLUMN(HeadJournal!B$1),0),"")</f>
        <v>0</v>
      </c>
      <c r="C5524" s="94" t="str">
        <f>IFERROR(VLOOKUP($A5524,HeadJournal!$A$1:$NTR$890,COLUMN(HeadJournal!C$1),0),"")</f>
        <v>iHerb_OA CZN6870</v>
      </c>
      <c r="D5524" s="125" t="str">
        <f>IFERROR(VLOOKUP($A5524,HeadJournal!$A$1:$NTR$890,COLUMN(HeadJournal!D$1),0),"")</f>
        <v>Доставлен</v>
      </c>
      <c r="E5524" s="95">
        <f>IFERROR(VLOOKUP($A5524,HeadJournal!$A$1:$NTR$890,COLUMN(HeadJournal!G$1),0),"")</f>
        <v>46051</v>
      </c>
      <c r="F5524" s="95" t="str">
        <f t="shared" si="409"/>
        <v>2026 01</v>
      </c>
      <c r="G5524" s="97" t="s">
        <v>5</v>
      </c>
      <c r="H5524" s="161" t="s">
        <v>5422</v>
      </c>
      <c r="I5524" s="97" t="s">
        <v>2009</v>
      </c>
      <c r="J5524" s="97" t="s">
        <v>5423</v>
      </c>
      <c r="K5524" s="29">
        <v>9.18</v>
      </c>
      <c r="L5524" s="29">
        <v>-0.92</v>
      </c>
      <c r="M5524" s="30">
        <f>IFERROR(VLOOKUP($A5524,HeadJournal!$A$1:$J$890,COLUMN(HeadJournal!I$1),0)*($K5524+$L5524)/(SUMIF($A:$A,$A5524,$K:$K)+SUMIF($A:$A,$A5524,$L:$L)),0)</f>
        <v>-0.47483233321567236</v>
      </c>
      <c r="N5524" s="30">
        <f>IFERROR((VLOOKUP($A5524,HeadJournal!$A$1:$K$890,COLUMN(HeadJournal!K$1),0)-VLOOKUP($A5524,HeadJournal!$A$1:$K$890,COLUMN(HeadJournal!J$1),0))*($K5524+$L5524)/(SUMIF($A:$A,$A5524,$K:$K)+SUMIF($A:$A,$A5524,$L:$L)),0)</f>
        <v>-1.1838198774400537E-15</v>
      </c>
      <c r="O5524" s="30">
        <f>IFERROR((VLOOKUP($A5524,HeadJournal!$A$1:$L$890,COLUMN(HeadJournal!L$1),0)*($K5524+$L5524)/(SUMIF($A:$A,$A5524,$K:$K)+SUMIF($A:$A,$A5524,$L:$L)))/VLOOKUP($A5524,HeadJournal!$A$1:$L$890,COLUMN(HeadJournal!H$1),0),0)</f>
        <v>0.1840262372611606</v>
      </c>
      <c r="P5524" s="30">
        <f>IFERROR(SUM(K5524:O5524)*VLOOKUP($A5524,HeadJournal!$A$1:$L$890,COLUMN(HeadJournal!H$1),0),0)</f>
        <v>692.630010589481</v>
      </c>
      <c r="Q5524" s="29">
        <v>1500</v>
      </c>
      <c r="R5524" s="31">
        <v>46088</v>
      </c>
      <c r="S5524" s="31" t="s">
        <v>4523</v>
      </c>
      <c r="T5524" s="95" t="str">
        <f t="shared" si="410"/>
        <v>2026 03</v>
      </c>
      <c r="U5524" s="32">
        <f t="shared" si="401"/>
        <v>807.369989410519</v>
      </c>
      <c r="V5524" s="22">
        <f t="shared" si="402"/>
        <v>1.1656583992417331</v>
      </c>
      <c r="X5524" s="33"/>
      <c r="Y5524" s="33"/>
    </row>
    <row r="5525" spans="1:25" x14ac:dyDescent="0.2">
      <c r="A5525" s="93" t="s">
        <v>5435</v>
      </c>
      <c r="B5525" s="94">
        <f>IFERROR(VLOOKUP($A5525,HeadJournal!$A$1:$NTR$890,COLUMN(HeadJournal!B$1),0),"")</f>
        <v>0</v>
      </c>
      <c r="C5525" s="94" t="str">
        <f>IFERROR(VLOOKUP($A5525,HeadJournal!$A$1:$NTR$890,COLUMN(HeadJournal!C$1),0),"")</f>
        <v>iHerb_OA CZN6870</v>
      </c>
      <c r="D5525" s="125" t="str">
        <f>IFERROR(VLOOKUP($A5525,HeadJournal!$A$1:$NTR$890,COLUMN(HeadJournal!D$1),0),"")</f>
        <v>Доставлен</v>
      </c>
      <c r="E5525" s="95">
        <f>IFERROR(VLOOKUP($A5525,HeadJournal!$A$1:$NTR$890,COLUMN(HeadJournal!G$1),0),"")</f>
        <v>46051</v>
      </c>
      <c r="F5525" s="95" t="str">
        <f t="shared" si="409"/>
        <v>2026 01</v>
      </c>
      <c r="G5525" s="97" t="s">
        <v>5</v>
      </c>
      <c r="H5525" s="161" t="s">
        <v>5049</v>
      </c>
      <c r="I5525" s="97" t="s">
        <v>2657</v>
      </c>
      <c r="J5525" s="97" t="s">
        <v>5050</v>
      </c>
      <c r="K5525" s="29">
        <v>21.39</v>
      </c>
      <c r="L5525" s="29">
        <v>-2.14</v>
      </c>
      <c r="M5525" s="30">
        <f>IFERROR(VLOOKUP($A5525,HeadJournal!$A$1:$J$890,COLUMN(HeadJournal!I$1),0)*($K5525+$L5525)/(SUMIF($A:$A,$A5525,$K:$K)+SUMIF($A:$A,$A5525,$L:$L)),0)</f>
        <v>-1.1066007765619483</v>
      </c>
      <c r="N5525" s="30">
        <f>IFERROR((VLOOKUP($A5525,HeadJournal!$A$1:$K$890,COLUMN(HeadJournal!K$1),0)-VLOOKUP($A5525,HeadJournal!$A$1:$K$890,COLUMN(HeadJournal!J$1),0))*($K5525+$L5525)/(SUMIF($A:$A,$A5525,$K:$K)+SUMIF($A:$A,$A5525,$L:$L)),0)</f>
        <v>-2.7589022567458879E-15</v>
      </c>
      <c r="O5525" s="30">
        <f>IFERROR((VLOOKUP($A5525,HeadJournal!$A$1:$L$890,COLUMN(HeadJournal!L$1),0)*($K5525+$L5525)/(SUMIF($A:$A,$A5525,$K:$K)+SUMIF($A:$A,$A5525,$L:$L)))/VLOOKUP($A5525,HeadJournal!$A$1:$L$890,COLUMN(HeadJournal!H$1),0),0)</f>
        <v>0.42887470548151829</v>
      </c>
      <c r="P5525" s="30">
        <f>IFERROR(SUM(K5525:O5525)*VLOOKUP($A5525,HeadJournal!$A$1:$L$890,COLUMN(HeadJournal!H$1),0),0)</f>
        <v>1614.180109424638</v>
      </c>
      <c r="Q5525" s="29"/>
      <c r="R5525" s="31"/>
      <c r="S5525" s="31"/>
      <c r="T5525" s="95" t="str">
        <f t="shared" si="410"/>
        <v/>
      </c>
      <c r="U5525" s="32">
        <f t="shared" si="401"/>
        <v>-1614.180109424638</v>
      </c>
      <c r="V5525" s="22" t="str">
        <f t="shared" si="402"/>
        <v/>
      </c>
      <c r="X5525" s="33"/>
      <c r="Y5525" s="33"/>
    </row>
    <row r="5526" spans="1:25" x14ac:dyDescent="0.2">
      <c r="A5526" s="93" t="s">
        <v>5435</v>
      </c>
      <c r="B5526" s="94">
        <f>IFERROR(VLOOKUP($A5526,HeadJournal!$A$1:$NTR$890,COLUMN(HeadJournal!B$1),0),"")</f>
        <v>0</v>
      </c>
      <c r="C5526" s="94" t="str">
        <f>IFERROR(VLOOKUP($A5526,HeadJournal!$A$1:$NTR$890,COLUMN(HeadJournal!C$1),0),"")</f>
        <v>iHerb_OA CZN6870</v>
      </c>
      <c r="D5526" s="125" t="str">
        <f>IFERROR(VLOOKUP($A5526,HeadJournal!$A$1:$NTR$890,COLUMN(HeadJournal!D$1),0),"")</f>
        <v>Доставлен</v>
      </c>
      <c r="E5526" s="95">
        <f>IFERROR(VLOOKUP($A5526,HeadJournal!$A$1:$NTR$890,COLUMN(HeadJournal!G$1),0),"")</f>
        <v>46051</v>
      </c>
      <c r="F5526" s="95" t="str">
        <f t="shared" si="409"/>
        <v>2026 01</v>
      </c>
      <c r="G5526" s="97" t="s">
        <v>5</v>
      </c>
      <c r="H5526" s="161" t="s">
        <v>5143</v>
      </c>
      <c r="I5526" s="97" t="s">
        <v>2657</v>
      </c>
      <c r="J5526" s="97" t="s">
        <v>5144</v>
      </c>
      <c r="K5526" s="29">
        <v>12.06</v>
      </c>
      <c r="L5526" s="29">
        <v>-1.21</v>
      </c>
      <c r="M5526" s="30">
        <f>IFERROR(VLOOKUP($A5526,HeadJournal!$A$1:$J$890,COLUMN(HeadJournal!I$1),0)*($K5526+$L5526)/(SUMIF($A:$A,$A5526,$K:$K)+SUMIF($A:$A,$A5526,$L:$L)),0)</f>
        <v>-0.62372043769855279</v>
      </c>
      <c r="N5526" s="30">
        <f>IFERROR((VLOOKUP($A5526,HeadJournal!$A$1:$K$890,COLUMN(HeadJournal!K$1),0)-VLOOKUP($A5526,HeadJournal!$A$1:$K$890,COLUMN(HeadJournal!J$1),0))*($K5526+$L5526)/(SUMIF($A:$A,$A5526,$K:$K)+SUMIF($A:$A,$A5526,$L:$L)),0)</f>
        <v>-1.5550176356204099E-15</v>
      </c>
      <c r="O5526" s="30">
        <f>IFERROR((VLOOKUP($A5526,HeadJournal!$A$1:$L$890,COLUMN(HeadJournal!L$1),0)*($K5526+$L5526)/(SUMIF($A:$A,$A5526,$K:$K)+SUMIF($A:$A,$A5526,$L:$L)))/VLOOKUP($A5526,HeadJournal!$A$1:$L$890,COLUMN(HeadJournal!H$1),0),0)</f>
        <v>0.24172937945321946</v>
      </c>
      <c r="P5526" s="30">
        <f>IFERROR(SUM(K5526:O5526)*VLOOKUP($A5526,HeadJournal!$A$1:$L$890,COLUMN(HeadJournal!H$1),0),0)</f>
        <v>909.81060713025056</v>
      </c>
      <c r="Q5526" s="29"/>
      <c r="R5526" s="31"/>
      <c r="S5526" s="31"/>
      <c r="T5526" s="95" t="str">
        <f t="shared" si="410"/>
        <v/>
      </c>
      <c r="U5526" s="32">
        <f t="shared" si="401"/>
        <v>-909.81060713025056</v>
      </c>
      <c r="V5526" s="22" t="str">
        <f t="shared" si="402"/>
        <v/>
      </c>
      <c r="X5526" s="33"/>
      <c r="Y5526" s="33"/>
    </row>
    <row r="5527" spans="1:25" x14ac:dyDescent="0.2">
      <c r="A5527" s="93" t="s">
        <v>5435</v>
      </c>
      <c r="B5527" s="94">
        <f>IFERROR(VLOOKUP($A5527,HeadJournal!$A$1:$NTR$890,COLUMN(HeadJournal!B$1),0),"")</f>
        <v>0</v>
      </c>
      <c r="C5527" s="94" t="str">
        <f>IFERROR(VLOOKUP($A5527,HeadJournal!$A$1:$NTR$890,COLUMN(HeadJournal!C$1),0),"")</f>
        <v>iHerb_OA CZN6870</v>
      </c>
      <c r="D5527" s="125" t="str">
        <f>IFERROR(VLOOKUP($A5527,HeadJournal!$A$1:$NTR$890,COLUMN(HeadJournal!D$1),0),"")</f>
        <v>Доставлен</v>
      </c>
      <c r="E5527" s="95">
        <f>IFERROR(VLOOKUP($A5527,HeadJournal!$A$1:$NTR$890,COLUMN(HeadJournal!G$1),0),"")</f>
        <v>46051</v>
      </c>
      <c r="F5527" s="95" t="str">
        <f t="shared" si="409"/>
        <v>2026 01</v>
      </c>
      <c r="G5527" s="97" t="s">
        <v>5</v>
      </c>
      <c r="H5527" s="161" t="s">
        <v>4093</v>
      </c>
      <c r="I5527" s="97" t="s">
        <v>2657</v>
      </c>
      <c r="J5527" s="97" t="s">
        <v>4094</v>
      </c>
      <c r="K5527" s="29">
        <v>13.38</v>
      </c>
      <c r="L5527" s="29">
        <v>-1.34</v>
      </c>
      <c r="M5527" s="30">
        <f>IFERROR(VLOOKUP($A5527,HeadJournal!$A$1:$J$890,COLUMN(HeadJournal!I$1),0)*($K5527+$L5527)/(SUMIF($A:$A,$A5527,$K:$K)+SUMIF($A:$A,$A5527,$L:$L)),0)</f>
        <v>-0.69212848570420049</v>
      </c>
      <c r="N5527" s="30">
        <f>IFERROR((VLOOKUP($A5527,HeadJournal!$A$1:$K$890,COLUMN(HeadJournal!K$1),0)-VLOOKUP($A5527,HeadJournal!$A$1:$K$890,COLUMN(HeadJournal!J$1),0))*($K5527+$L5527)/(SUMIF($A:$A,$A5527,$K:$K)+SUMIF($A:$A,$A5527,$L:$L)),0)</f>
        <v>-1.7255679569465191E-15</v>
      </c>
      <c r="O5527" s="30">
        <f>IFERROR((VLOOKUP($A5527,HeadJournal!$A$1:$L$890,COLUMN(HeadJournal!L$1),0)*($K5527+$L5527)/(SUMIF($A:$A,$A5527,$K:$K)+SUMIF($A:$A,$A5527,$L:$L)))/VLOOKUP($A5527,HeadJournal!$A$1:$L$890,COLUMN(HeadJournal!H$1),0),0)</f>
        <v>0.26824163397389517</v>
      </c>
      <c r="P5527" s="30">
        <f>IFERROR(SUM(K5527:O5527)*VLOOKUP($A5527,HeadJournal!$A$1:$L$890,COLUMN(HeadJournal!H$1),0),0)</f>
        <v>1009.5962866219554</v>
      </c>
      <c r="Q5527" s="29"/>
      <c r="R5527" s="31"/>
      <c r="S5527" s="31"/>
      <c r="T5527" s="95" t="str">
        <f t="shared" si="410"/>
        <v/>
      </c>
      <c r="U5527" s="32">
        <f t="shared" si="401"/>
        <v>-1009.5962866219554</v>
      </c>
      <c r="V5527" s="22" t="str">
        <f t="shared" si="402"/>
        <v/>
      </c>
      <c r="X5527" s="33"/>
      <c r="Y5527" s="33"/>
    </row>
    <row r="5528" spans="1:25" x14ac:dyDescent="0.2">
      <c r="A5528" s="93" t="s">
        <v>5435</v>
      </c>
      <c r="B5528" s="94">
        <f>IFERROR(VLOOKUP($A5528,HeadJournal!$A$1:$NTR$890,COLUMN(HeadJournal!B$1),0),"")</f>
        <v>0</v>
      </c>
      <c r="C5528" s="94" t="str">
        <f>IFERROR(VLOOKUP($A5528,HeadJournal!$A$1:$NTR$890,COLUMN(HeadJournal!C$1),0),"")</f>
        <v>iHerb_OA CZN6870</v>
      </c>
      <c r="D5528" s="125" t="str">
        <f>IFERROR(VLOOKUP($A5528,HeadJournal!$A$1:$NTR$890,COLUMN(HeadJournal!D$1),0),"")</f>
        <v>Доставлен</v>
      </c>
      <c r="E5528" s="95">
        <f>IFERROR(VLOOKUP($A5528,HeadJournal!$A$1:$NTR$890,COLUMN(HeadJournal!G$1),0),"")</f>
        <v>46051</v>
      </c>
      <c r="F5528" s="95" t="str">
        <f t="shared" si="409"/>
        <v>2026 01</v>
      </c>
      <c r="G5528" s="97" t="s">
        <v>5</v>
      </c>
      <c r="H5528" s="161" t="s">
        <v>5424</v>
      </c>
      <c r="I5528" s="97" t="s">
        <v>2005</v>
      </c>
      <c r="J5528" s="97" t="s">
        <v>5425</v>
      </c>
      <c r="K5528" s="29">
        <v>16.5</v>
      </c>
      <c r="L5528" s="29">
        <v>-1.65</v>
      </c>
      <c r="M5528" s="30">
        <f>IFERROR(VLOOKUP($A5528,HeadJournal!$A$1:$J$890,COLUMN(HeadJournal!I$1),0)*($K5528+$L5528)/(SUMIF($A:$A,$A5528,$K:$K)+SUMIF($A:$A,$A5528,$L:$L)),0)</f>
        <v>-0.85366345620493145</v>
      </c>
      <c r="N5528" s="30">
        <f>IFERROR((VLOOKUP($A5528,HeadJournal!$A$1:$K$890,COLUMN(HeadJournal!K$1),0)-VLOOKUP($A5528,HeadJournal!$A$1:$K$890,COLUMN(HeadJournal!J$1),0))*($K5528+$L5528)/(SUMIF($A:$A,$A5528,$K:$K)+SUMIF($A:$A,$A5528,$L:$L)),0)</f>
        <v>-2.1282960266325423E-15</v>
      </c>
      <c r="O5528" s="30">
        <f>IFERROR((VLOOKUP($A5528,HeadJournal!$A$1:$L$890,COLUMN(HeadJournal!L$1),0)*($K5528+$L5528)/(SUMIF($A:$A,$A5528,$K:$K)+SUMIF($A:$A,$A5528,$L:$L)))/VLOOKUP($A5528,HeadJournal!$A$1:$L$890,COLUMN(HeadJournal!H$1),0),0)</f>
        <v>0.33084620137145698</v>
      </c>
      <c r="P5528" s="30">
        <f>IFERROR(SUM(K5528:O5528)*VLOOKUP($A5528,HeadJournal!$A$1:$L$890,COLUMN(HeadJournal!H$1),0),0)</f>
        <v>1245.2246558418638</v>
      </c>
      <c r="Q5528" s="29">
        <v>2100</v>
      </c>
      <c r="R5528" s="31">
        <v>46113</v>
      </c>
      <c r="S5528" s="31" t="s">
        <v>3252</v>
      </c>
      <c r="T5528" s="95" t="str">
        <f t="shared" si="410"/>
        <v>2026 04</v>
      </c>
      <c r="U5528" s="32">
        <f t="shared" si="401"/>
        <v>854.77534415813625</v>
      </c>
      <c r="V5528" s="22">
        <f t="shared" si="402"/>
        <v>0.68644267534218162</v>
      </c>
      <c r="X5528" s="33"/>
      <c r="Y5528" s="33"/>
    </row>
    <row r="5529" spans="1:25" x14ac:dyDescent="0.2">
      <c r="A5529" s="93" t="s">
        <v>5435</v>
      </c>
      <c r="B5529" s="94">
        <f>IFERROR(VLOOKUP($A5529,HeadJournal!$A$1:$NTR$890,COLUMN(HeadJournal!B$1),0),"")</f>
        <v>0</v>
      </c>
      <c r="C5529" s="94" t="str">
        <f>IFERROR(VLOOKUP($A5529,HeadJournal!$A$1:$NTR$890,COLUMN(HeadJournal!C$1),0),"")</f>
        <v>iHerb_OA CZN6870</v>
      </c>
      <c r="D5529" s="125" t="str">
        <f>IFERROR(VLOOKUP($A5529,HeadJournal!$A$1:$NTR$890,COLUMN(HeadJournal!D$1),0),"")</f>
        <v>Доставлен</v>
      </c>
      <c r="E5529" s="95">
        <f>IFERROR(VLOOKUP($A5529,HeadJournal!$A$1:$NTR$890,COLUMN(HeadJournal!G$1),0),"")</f>
        <v>46051</v>
      </c>
      <c r="F5529" s="95" t="str">
        <f t="shared" si="409"/>
        <v>2026 01</v>
      </c>
      <c r="G5529" s="97" t="s">
        <v>5</v>
      </c>
      <c r="H5529" s="161" t="s">
        <v>5426</v>
      </c>
      <c r="I5529" s="97" t="s">
        <v>2005</v>
      </c>
      <c r="J5529" s="97" t="s">
        <v>5427</v>
      </c>
      <c r="K5529" s="29">
        <v>12</v>
      </c>
      <c r="L5529" s="29">
        <v>-1.2</v>
      </c>
      <c r="M5529" s="30">
        <f>IFERROR(VLOOKUP($A5529,HeadJournal!$A$1:$J$890,COLUMN(HeadJournal!I$1),0)*($K5529+$L5529)/(SUMIF($A:$A,$A5529,$K:$K)+SUMIF($A:$A,$A5529,$L:$L)),0)</f>
        <v>-0.62084614996722298</v>
      </c>
      <c r="N5529" s="30">
        <f>IFERROR((VLOOKUP($A5529,HeadJournal!$A$1:$K$890,COLUMN(HeadJournal!K$1),0)-VLOOKUP($A5529,HeadJournal!$A$1:$K$890,COLUMN(HeadJournal!J$1),0))*($K5529+$L5529)/(SUMIF($A:$A,$A5529,$K:$K)+SUMIF($A:$A,$A5529,$L:$L)),0)</f>
        <v>-1.5478516557327581E-15</v>
      </c>
      <c r="O5529" s="30">
        <f>IFERROR((VLOOKUP($A5529,HeadJournal!$A$1:$L$890,COLUMN(HeadJournal!L$1),0)*($K5529+$L5529)/(SUMIF($A:$A,$A5529,$K:$K)+SUMIF($A:$A,$A5529,$L:$L)))/VLOOKUP($A5529,HeadJournal!$A$1:$L$890,COLUMN(HeadJournal!H$1),0),0)</f>
        <v>0.24061541917924151</v>
      </c>
      <c r="P5529" s="30">
        <f>IFERROR(SUM(K5529:O5529)*VLOOKUP($A5529,HeadJournal!$A$1:$L$890,COLUMN(HeadJournal!H$1),0),0)</f>
        <v>905.61793152135533</v>
      </c>
      <c r="Q5529" s="29">
        <v>905.62</v>
      </c>
      <c r="R5529" s="31"/>
      <c r="S5529" s="31"/>
      <c r="T5529" s="95" t="str">
        <f t="shared" si="410"/>
        <v/>
      </c>
      <c r="U5529" s="32">
        <f t="shared" si="401"/>
        <v>2.0684786446736325E-3</v>
      </c>
      <c r="V5529" s="22">
        <f t="shared" si="402"/>
        <v>2.2840522174718618E-6</v>
      </c>
      <c r="X5529" s="33"/>
      <c r="Y5529" s="33"/>
    </row>
    <row r="5530" spans="1:25" x14ac:dyDescent="0.2">
      <c r="A5530" s="93" t="s">
        <v>5435</v>
      </c>
      <c r="B5530" s="94">
        <f>IFERROR(VLOOKUP($A5530,HeadJournal!$A$1:$NTR$890,COLUMN(HeadJournal!B$1),0),"")</f>
        <v>0</v>
      </c>
      <c r="C5530" s="94" t="str">
        <f>IFERROR(VLOOKUP($A5530,HeadJournal!$A$1:$NTR$890,COLUMN(HeadJournal!C$1),0),"")</f>
        <v>iHerb_OA CZN6870</v>
      </c>
      <c r="D5530" s="125" t="str">
        <f>IFERROR(VLOOKUP($A5530,HeadJournal!$A$1:$NTR$890,COLUMN(HeadJournal!D$1),0),"")</f>
        <v>Доставлен</v>
      </c>
      <c r="E5530" s="95">
        <f>IFERROR(VLOOKUP($A5530,HeadJournal!$A$1:$NTR$890,COLUMN(HeadJournal!G$1),0),"")</f>
        <v>46051</v>
      </c>
      <c r="F5530" s="95" t="str">
        <f t="shared" si="409"/>
        <v>2026 01</v>
      </c>
      <c r="G5530" s="97" t="s">
        <v>5</v>
      </c>
      <c r="H5530" s="161" t="s">
        <v>2997</v>
      </c>
      <c r="I5530" s="97" t="s">
        <v>2102</v>
      </c>
      <c r="J5530" s="97" t="s">
        <v>4952</v>
      </c>
      <c r="K5530" s="29">
        <v>33.590000000000003</v>
      </c>
      <c r="L5530" s="29">
        <v>-3.36</v>
      </c>
      <c r="M5530" s="30">
        <f>IFERROR(VLOOKUP($A5530,HeadJournal!$A$1:$J$890,COLUMN(HeadJournal!I$1),0)*($K5530+$L5530)/(SUMIF($A:$A,$A5530,$K:$K)+SUMIF($A:$A,$A5530,$L:$L)),0)</f>
        <v>-1.7377943623619587</v>
      </c>
      <c r="N5530" s="30">
        <f>IFERROR((VLOOKUP($A5530,HeadJournal!$A$1:$K$890,COLUMN(HeadJournal!K$1),0)-VLOOKUP($A5530,HeadJournal!$A$1:$K$890,COLUMN(HeadJournal!J$1),0))*($K5530+$L5530)/(SUMIF($A:$A,$A5530,$K:$K)+SUMIF($A:$A,$A5530,$L:$L)),0)</f>
        <v>-4.3325514400741927E-15</v>
      </c>
      <c r="O5530" s="30">
        <f>IFERROR((VLOOKUP($A5530,HeadJournal!$A$1:$L$890,COLUMN(HeadJournal!L$1),0)*($K5530+$L5530)/(SUMIF($A:$A,$A5530,$K:$K)+SUMIF($A:$A,$A5530,$L:$L)))/VLOOKUP($A5530,HeadJournal!$A$1:$L$890,COLUMN(HeadJournal!H$1),0),0)</f>
        <v>0.67350038164708059</v>
      </c>
      <c r="P5530" s="30">
        <f>IFERROR(SUM(K5530:O5530)*VLOOKUP($A5530,HeadJournal!$A$1:$L$890,COLUMN(HeadJournal!H$1),0),0)</f>
        <v>2534.8916731380159</v>
      </c>
      <c r="Q5530" s="29">
        <v>3900</v>
      </c>
      <c r="R5530" s="31">
        <v>46098</v>
      </c>
      <c r="S5530" s="31"/>
      <c r="T5530" s="95" t="str">
        <f t="shared" si="410"/>
        <v>2026 03</v>
      </c>
      <c r="U5530" s="32">
        <f t="shared" si="401"/>
        <v>1365.1083268619841</v>
      </c>
      <c r="V5530" s="22">
        <f t="shared" si="402"/>
        <v>0.53852728356319735</v>
      </c>
      <c r="X5530" s="33"/>
      <c r="Y5530" s="33"/>
    </row>
    <row r="5531" spans="1:25" x14ac:dyDescent="0.2">
      <c r="A5531" s="93" t="s">
        <v>5435</v>
      </c>
      <c r="B5531" s="94">
        <f>IFERROR(VLOOKUP($A5531,HeadJournal!$A$1:$NTR$890,COLUMN(HeadJournal!B$1),0),"")</f>
        <v>0</v>
      </c>
      <c r="C5531" s="94" t="str">
        <f>IFERROR(VLOOKUP($A5531,HeadJournal!$A$1:$NTR$890,COLUMN(HeadJournal!C$1),0),"")</f>
        <v>iHerb_OA CZN6870</v>
      </c>
      <c r="D5531" s="125" t="str">
        <f>IFERROR(VLOOKUP($A5531,HeadJournal!$A$1:$NTR$890,COLUMN(HeadJournal!D$1),0),"")</f>
        <v>Доставлен</v>
      </c>
      <c r="E5531" s="95">
        <f>IFERROR(VLOOKUP($A5531,HeadJournal!$A$1:$NTR$890,COLUMN(HeadJournal!G$1),0),"")</f>
        <v>46051</v>
      </c>
      <c r="F5531" s="95" t="str">
        <f t="shared" si="409"/>
        <v>2026 01</v>
      </c>
      <c r="G5531" s="97" t="s">
        <v>5</v>
      </c>
      <c r="H5531" s="161" t="s">
        <v>2997</v>
      </c>
      <c r="I5531" s="97" t="s">
        <v>2102</v>
      </c>
      <c r="J5531" s="97" t="s">
        <v>4952</v>
      </c>
      <c r="K5531" s="29">
        <v>33.590000000000003</v>
      </c>
      <c r="L5531" s="29">
        <v>-3.36</v>
      </c>
      <c r="M5531" s="30">
        <f>IFERROR(VLOOKUP($A5531,HeadJournal!$A$1:$J$890,COLUMN(HeadJournal!I$1),0)*($K5531+$L5531)/(SUMIF($A:$A,$A5531,$K:$K)+SUMIF($A:$A,$A5531,$L:$L)),0)</f>
        <v>-1.7377943623619587</v>
      </c>
      <c r="N5531" s="30">
        <f>IFERROR((VLOOKUP($A5531,HeadJournal!$A$1:$K$890,COLUMN(HeadJournal!K$1),0)-VLOOKUP($A5531,HeadJournal!$A$1:$K$890,COLUMN(HeadJournal!J$1),0))*($K5531+$L5531)/(SUMIF($A:$A,$A5531,$K:$K)+SUMIF($A:$A,$A5531,$L:$L)),0)</f>
        <v>-4.3325514400741927E-15</v>
      </c>
      <c r="O5531" s="30">
        <f>IFERROR((VLOOKUP($A5531,HeadJournal!$A$1:$L$890,COLUMN(HeadJournal!L$1),0)*($K5531+$L5531)/(SUMIF($A:$A,$A5531,$K:$K)+SUMIF($A:$A,$A5531,$L:$L)))/VLOOKUP($A5531,HeadJournal!$A$1:$L$890,COLUMN(HeadJournal!H$1),0),0)</f>
        <v>0.67350038164708059</v>
      </c>
      <c r="P5531" s="30">
        <f>IFERROR(SUM(K5531:O5531)*VLOOKUP($A5531,HeadJournal!$A$1:$L$890,COLUMN(HeadJournal!H$1),0),0)</f>
        <v>2534.8916731380159</v>
      </c>
      <c r="Q5531" s="29">
        <v>4100</v>
      </c>
      <c r="R5531" s="31">
        <v>46117</v>
      </c>
      <c r="S5531" s="31" t="s">
        <v>4610</v>
      </c>
      <c r="T5531" s="95" t="str">
        <f t="shared" si="410"/>
        <v>2026 04</v>
      </c>
      <c r="U5531" s="32">
        <f t="shared" si="401"/>
        <v>1565.1083268619841</v>
      </c>
      <c r="V5531" s="22">
        <f t="shared" si="402"/>
        <v>0.61742611861772034</v>
      </c>
      <c r="X5531" s="33"/>
      <c r="Y5531" s="33"/>
    </row>
    <row r="5532" spans="1:25" x14ac:dyDescent="0.2">
      <c r="A5532" s="93" t="s">
        <v>5435</v>
      </c>
      <c r="B5532" s="94">
        <f>IFERROR(VLOOKUP($A5532,HeadJournal!$A$1:$NTR$890,COLUMN(HeadJournal!B$1),0),"")</f>
        <v>0</v>
      </c>
      <c r="C5532" s="94" t="str">
        <f>IFERROR(VLOOKUP($A5532,HeadJournal!$A$1:$NTR$890,COLUMN(HeadJournal!C$1),0),"")</f>
        <v>iHerb_OA CZN6870</v>
      </c>
      <c r="D5532" s="125" t="str">
        <f>IFERROR(VLOOKUP($A5532,HeadJournal!$A$1:$NTR$890,COLUMN(HeadJournal!D$1),0),"")</f>
        <v>Доставлен</v>
      </c>
      <c r="E5532" s="95">
        <f>IFERROR(VLOOKUP($A5532,HeadJournal!$A$1:$NTR$890,COLUMN(HeadJournal!G$1),0),"")</f>
        <v>46051</v>
      </c>
      <c r="F5532" s="95" t="str">
        <f t="shared" si="409"/>
        <v>2026 01</v>
      </c>
      <c r="G5532" s="97" t="s">
        <v>5</v>
      </c>
      <c r="H5532" s="161" t="s">
        <v>5428</v>
      </c>
      <c r="I5532" s="97" t="s">
        <v>5429</v>
      </c>
      <c r="J5532" s="97" t="s">
        <v>5430</v>
      </c>
      <c r="K5532" s="29">
        <v>11.58</v>
      </c>
      <c r="L5532" s="29">
        <v>-6.59</v>
      </c>
      <c r="M5532" s="30">
        <f>IFERROR(VLOOKUP($A5532,HeadJournal!$A$1:$J$890,COLUMN(HeadJournal!I$1),0)*($K5532+$L5532)/(SUMIF($A:$A,$A5532,$K:$K)+SUMIF($A:$A,$A5532,$L:$L)),0)</f>
        <v>-0.28685391558670764</v>
      </c>
      <c r="N5532" s="30">
        <f>IFERROR((VLOOKUP($A5532,HeadJournal!$A$1:$K$890,COLUMN(HeadJournal!K$1),0)-VLOOKUP($A5532,HeadJournal!$A$1:$K$890,COLUMN(HeadJournal!J$1),0))*($K5532+$L5532)/(SUMIF($A:$A,$A5532,$K:$K)+SUMIF($A:$A,$A5532,$L:$L)),0)</f>
        <v>-7.1516479278763544E-16</v>
      </c>
      <c r="O5532" s="30">
        <f>IFERROR((VLOOKUP($A5532,HeadJournal!$A$1:$L$890,COLUMN(HeadJournal!L$1),0)*($K5532+$L5532)/(SUMIF($A:$A,$A5532,$K:$K)+SUMIF($A:$A,$A5532,$L:$L)))/VLOOKUP($A5532,HeadJournal!$A$1:$L$890,COLUMN(HeadJournal!H$1),0),0)</f>
        <v>0.11117323534300139</v>
      </c>
      <c r="P5532" s="30">
        <f>IFERROR(SUM(K5532:O5532)*VLOOKUP($A5532,HeadJournal!$A$1:$L$890,COLUMN(HeadJournal!H$1),0),0)</f>
        <v>418.4290257677373</v>
      </c>
      <c r="Q5532" s="29"/>
      <c r="R5532" s="31"/>
      <c r="S5532" s="31"/>
      <c r="T5532" s="95" t="str">
        <f t="shared" si="410"/>
        <v/>
      </c>
      <c r="U5532" s="32">
        <f t="shared" si="401"/>
        <v>-418.4290257677373</v>
      </c>
      <c r="V5532" s="22" t="str">
        <f t="shared" si="402"/>
        <v/>
      </c>
      <c r="X5532" s="33"/>
      <c r="Y5532" s="33"/>
    </row>
    <row r="5533" spans="1:25" x14ac:dyDescent="0.2">
      <c r="A5533" s="93" t="s">
        <v>5435</v>
      </c>
      <c r="B5533" s="94">
        <f>IFERROR(VLOOKUP($A5533,HeadJournal!$A$1:$NTR$890,COLUMN(HeadJournal!B$1),0),"")</f>
        <v>0</v>
      </c>
      <c r="C5533" s="94" t="str">
        <f>IFERROR(VLOOKUP($A5533,HeadJournal!$A$1:$NTR$890,COLUMN(HeadJournal!C$1),0),"")</f>
        <v>iHerb_OA CZN6870</v>
      </c>
      <c r="D5533" s="125" t="str">
        <f>IFERROR(VLOOKUP($A5533,HeadJournal!$A$1:$NTR$890,COLUMN(HeadJournal!D$1),0),"")</f>
        <v>Доставлен</v>
      </c>
      <c r="E5533" s="95">
        <f>IFERROR(VLOOKUP($A5533,HeadJournal!$A$1:$NTR$890,COLUMN(HeadJournal!G$1),0),"")</f>
        <v>46051</v>
      </c>
      <c r="F5533" s="95" t="str">
        <f t="shared" si="409"/>
        <v>2026 01</v>
      </c>
      <c r="G5533" s="97" t="s">
        <v>5</v>
      </c>
      <c r="H5533" s="161" t="s">
        <v>5431</v>
      </c>
      <c r="I5533" s="97" t="s">
        <v>2581</v>
      </c>
      <c r="J5533" s="97" t="s">
        <v>5432</v>
      </c>
      <c r="K5533" s="29">
        <v>10.73</v>
      </c>
      <c r="L5533" s="29">
        <v>-1.07</v>
      </c>
      <c r="M5533" s="30">
        <f>IFERROR(VLOOKUP($A5533,HeadJournal!$A$1:$J$890,COLUMN(HeadJournal!I$1),0)*($K5533+$L5533)/(SUMIF($A:$A,$A5533,$K:$K)+SUMIF($A:$A,$A5533,$L:$L)),0)</f>
        <v>-0.55531238969290497</v>
      </c>
      <c r="N5533" s="30">
        <f>IFERROR((VLOOKUP($A5533,HeadJournal!$A$1:$K$890,COLUMN(HeadJournal!K$1),0)-VLOOKUP($A5533,HeadJournal!$A$1:$K$890,COLUMN(HeadJournal!J$1),0))*($K5533+$L5533)/(SUMIF($A:$A,$A5533,$K:$K)+SUMIF($A:$A,$A5533,$L:$L)),0)</f>
        <v>-1.3844673142943003E-15</v>
      </c>
      <c r="O5533" s="30">
        <f>IFERROR((VLOOKUP($A5533,HeadJournal!$A$1:$L$890,COLUMN(HeadJournal!L$1),0)*($K5533+$L5533)/(SUMIF($A:$A,$A5533,$K:$K)+SUMIF($A:$A,$A5533,$L:$L)))/VLOOKUP($A5533,HeadJournal!$A$1:$L$890,COLUMN(HeadJournal!H$1),0),0)</f>
        <v>0.21521712493254375</v>
      </c>
      <c r="P5533" s="30">
        <f>IFERROR(SUM(K5533:O5533)*VLOOKUP($A5533,HeadJournal!$A$1:$L$890,COLUMN(HeadJournal!H$1),0),0)</f>
        <v>810.02492763854559</v>
      </c>
      <c r="Q5533" s="29">
        <v>1600</v>
      </c>
      <c r="R5533" s="31">
        <v>46088</v>
      </c>
      <c r="S5533" s="31"/>
      <c r="T5533" s="95" t="str">
        <f t="shared" si="410"/>
        <v>2026 03</v>
      </c>
      <c r="U5533" s="32">
        <f t="shared" si="401"/>
        <v>789.97507236145441</v>
      </c>
      <c r="V5533" s="22">
        <f t="shared" si="402"/>
        <v>0.97524785399439218</v>
      </c>
      <c r="X5533" s="33"/>
      <c r="Y5533" s="33"/>
    </row>
    <row r="5534" spans="1:25" x14ac:dyDescent="0.2">
      <c r="A5534" s="93" t="s">
        <v>5435</v>
      </c>
      <c r="B5534" s="94">
        <f>IFERROR(VLOOKUP($A5534,HeadJournal!$A$1:$NTR$890,COLUMN(HeadJournal!B$1),0),"")</f>
        <v>0</v>
      </c>
      <c r="C5534" s="94" t="str">
        <f>IFERROR(VLOOKUP($A5534,HeadJournal!$A$1:$NTR$890,COLUMN(HeadJournal!C$1),0),"")</f>
        <v>iHerb_OA CZN6870</v>
      </c>
      <c r="D5534" s="125" t="str">
        <f>IFERROR(VLOOKUP($A5534,HeadJournal!$A$1:$NTR$890,COLUMN(HeadJournal!D$1),0),"")</f>
        <v>Доставлен</v>
      </c>
      <c r="E5534" s="95">
        <f>IFERROR(VLOOKUP($A5534,HeadJournal!$A$1:$NTR$890,COLUMN(HeadJournal!G$1),0),"")</f>
        <v>46051</v>
      </c>
      <c r="F5534" s="95" t="str">
        <f t="shared" si="409"/>
        <v>2026 01</v>
      </c>
      <c r="G5534" s="97" t="s">
        <v>5</v>
      </c>
      <c r="H5534" s="161" t="s">
        <v>2471</v>
      </c>
      <c r="I5534" s="97" t="s">
        <v>2039</v>
      </c>
      <c r="J5534" s="97" t="s">
        <v>2472</v>
      </c>
      <c r="K5534" s="29">
        <v>20.07</v>
      </c>
      <c r="L5534" s="29">
        <v>-2.0099999999999998</v>
      </c>
      <c r="M5534" s="30">
        <f>IFERROR(VLOOKUP($A5534,HeadJournal!$A$1:$J$890,COLUMN(HeadJournal!I$1),0)*($K5534+$L5534)/(SUMIF($A:$A,$A5534,$K:$K)+SUMIF($A:$A,$A5534,$L:$L)),0)</f>
        <v>-1.0381927285563008</v>
      </c>
      <c r="N5534" s="30">
        <f>IFERROR((VLOOKUP($A5534,HeadJournal!$A$1:$K$890,COLUMN(HeadJournal!K$1),0)-VLOOKUP($A5534,HeadJournal!$A$1:$K$890,COLUMN(HeadJournal!J$1),0))*($K5534+$L5534)/(SUMIF($A:$A,$A5534,$K:$K)+SUMIF($A:$A,$A5534,$L:$L)),0)</f>
        <v>-2.5883519354197789E-15</v>
      </c>
      <c r="O5534" s="30">
        <f>IFERROR((VLOOKUP($A5534,HeadJournal!$A$1:$L$890,COLUMN(HeadJournal!L$1),0)*($K5534+$L5534)/(SUMIF($A:$A,$A5534,$K:$K)+SUMIF($A:$A,$A5534,$L:$L)))/VLOOKUP($A5534,HeadJournal!$A$1:$L$890,COLUMN(HeadJournal!H$1),0),0)</f>
        <v>0.40236245096084272</v>
      </c>
      <c r="P5534" s="30">
        <f>IFERROR(SUM(K5534:O5534)*VLOOKUP($A5534,HeadJournal!$A$1:$L$890,COLUMN(HeadJournal!H$1),0),0)</f>
        <v>1514.3944299329332</v>
      </c>
      <c r="Q5534" s="29">
        <v>2600</v>
      </c>
      <c r="R5534" s="31">
        <v>46090</v>
      </c>
      <c r="S5534" s="31" t="s">
        <v>3497</v>
      </c>
      <c r="T5534" s="95" t="str">
        <f t="shared" si="410"/>
        <v>2026 03</v>
      </c>
      <c r="U5534" s="32">
        <f t="shared" si="401"/>
        <v>1085.6055700670668</v>
      </c>
      <c r="V5534" s="22">
        <f t="shared" si="402"/>
        <v>0.71685787309396276</v>
      </c>
      <c r="X5534" s="33"/>
      <c r="Y5534" s="33"/>
    </row>
    <row r="5535" spans="1:25" x14ac:dyDescent="0.2">
      <c r="A5535" s="93" t="s">
        <v>5435</v>
      </c>
      <c r="B5535" s="94">
        <f>IFERROR(VLOOKUP($A5535,HeadJournal!$A$1:$NTR$890,COLUMN(HeadJournal!B$1),0),"")</f>
        <v>0</v>
      </c>
      <c r="C5535" s="94" t="str">
        <f>IFERROR(VLOOKUP($A5535,HeadJournal!$A$1:$NTR$890,COLUMN(HeadJournal!C$1),0),"")</f>
        <v>iHerb_OA CZN6870</v>
      </c>
      <c r="D5535" s="125" t="str">
        <f>IFERROR(VLOOKUP($A5535,HeadJournal!$A$1:$NTR$890,COLUMN(HeadJournal!D$1),0),"")</f>
        <v>Доставлен</v>
      </c>
      <c r="E5535" s="95">
        <f>IFERROR(VLOOKUP($A5535,HeadJournal!$A$1:$NTR$890,COLUMN(HeadJournal!G$1),0),"")</f>
        <v>46051</v>
      </c>
      <c r="F5535" s="95" t="str">
        <f t="shared" si="409"/>
        <v>2026 01</v>
      </c>
      <c r="G5535" s="97" t="s">
        <v>5</v>
      </c>
      <c r="H5535" s="161" t="s">
        <v>2546</v>
      </c>
      <c r="I5535" s="97" t="s">
        <v>2039</v>
      </c>
      <c r="J5535" s="97" t="s">
        <v>2547</v>
      </c>
      <c r="K5535" s="29">
        <v>10.36</v>
      </c>
      <c r="L5535" s="29">
        <v>-1.04</v>
      </c>
      <c r="M5535" s="30">
        <f>IFERROR(VLOOKUP($A5535,HeadJournal!$A$1:$J$890,COLUMN(HeadJournal!I$1),0)*($K5535+$L5535)/(SUMIF($A:$A,$A5535,$K:$K)+SUMIF($A:$A,$A5535,$L:$L)),0)</f>
        <v>-0.53576723311986274</v>
      </c>
      <c r="N5535" s="30">
        <f>IFERROR((VLOOKUP($A5535,HeadJournal!$A$1:$K$890,COLUMN(HeadJournal!K$1),0)-VLOOKUP($A5535,HeadJournal!$A$1:$K$890,COLUMN(HeadJournal!J$1),0))*($K5535+$L5535)/(SUMIF($A:$A,$A5535,$K:$K)+SUMIF($A:$A,$A5535,$L:$L)),0)</f>
        <v>-1.3357386510582689E-15</v>
      </c>
      <c r="O5535" s="30">
        <f>IFERROR((VLOOKUP($A5535,HeadJournal!$A$1:$L$890,COLUMN(HeadJournal!L$1),0)*($K5535+$L5535)/(SUMIF($A:$A,$A5535,$K:$K)+SUMIF($A:$A,$A5535,$L:$L)))/VLOOKUP($A5535,HeadJournal!$A$1:$L$890,COLUMN(HeadJournal!H$1),0),0)</f>
        <v>0.20764219506949355</v>
      </c>
      <c r="P5535" s="30">
        <f>IFERROR(SUM(K5535:O5535)*VLOOKUP($A5535,HeadJournal!$A$1:$L$890,COLUMN(HeadJournal!H$1),0),0)</f>
        <v>781.51473349805838</v>
      </c>
      <c r="Q5535" s="29"/>
      <c r="R5535" s="31"/>
      <c r="S5535" s="31"/>
      <c r="T5535" s="95" t="str">
        <f t="shared" si="410"/>
        <v/>
      </c>
      <c r="U5535" s="32">
        <f t="shared" si="401"/>
        <v>-781.51473349805838</v>
      </c>
      <c r="V5535" s="22" t="str">
        <f t="shared" si="402"/>
        <v/>
      </c>
      <c r="X5535" s="33"/>
      <c r="Y5535" s="33"/>
    </row>
    <row r="5536" spans="1:25" x14ac:dyDescent="0.2">
      <c r="A5536" s="93" t="s">
        <v>5435</v>
      </c>
      <c r="B5536" s="94">
        <f>IFERROR(VLOOKUP($A5536,HeadJournal!$A$1:$NTR$890,COLUMN(HeadJournal!B$1),0),"")</f>
        <v>0</v>
      </c>
      <c r="C5536" s="94" t="str">
        <f>IFERROR(VLOOKUP($A5536,HeadJournal!$A$1:$NTR$890,COLUMN(HeadJournal!C$1),0),"")</f>
        <v>iHerb_OA CZN6870</v>
      </c>
      <c r="D5536" s="125" t="str">
        <f>IFERROR(VLOOKUP($A5536,HeadJournal!$A$1:$NTR$890,COLUMN(HeadJournal!D$1),0),"")</f>
        <v>Доставлен</v>
      </c>
      <c r="E5536" s="95">
        <f>IFERROR(VLOOKUP($A5536,HeadJournal!$A$1:$NTR$890,COLUMN(HeadJournal!G$1),0),"")</f>
        <v>46051</v>
      </c>
      <c r="F5536" s="95" t="str">
        <f t="shared" si="409"/>
        <v>2026 01</v>
      </c>
      <c r="G5536" s="97" t="s">
        <v>5</v>
      </c>
      <c r="H5536" s="161" t="s">
        <v>5433</v>
      </c>
      <c r="I5536" s="97" t="s">
        <v>2544</v>
      </c>
      <c r="J5536" s="97" t="s">
        <v>5434</v>
      </c>
      <c r="K5536" s="29">
        <v>12.02</v>
      </c>
      <c r="L5536" s="29">
        <v>-1.2</v>
      </c>
      <c r="M5536" s="30">
        <f>IFERROR(VLOOKUP($A5536,HeadJournal!$A$1:$J$890,COLUMN(HeadJournal!I$1),0)*($K5536+$L5536)/(SUMIF($A:$A,$A5536,$K:$K)+SUMIF($A:$A,$A5536,$L:$L)),0)</f>
        <v>-0.6219958650597549</v>
      </c>
      <c r="N5536" s="30">
        <f>IFERROR((VLOOKUP($A5536,HeadJournal!$A$1:$K$890,COLUMN(HeadJournal!K$1),0)-VLOOKUP($A5536,HeadJournal!$A$1:$K$890,COLUMN(HeadJournal!J$1),0))*($K5536+$L5536)/(SUMIF($A:$A,$A5536,$K:$K)+SUMIF($A:$A,$A5536,$L:$L)),0)</f>
        <v>-1.5507180476878187E-15</v>
      </c>
      <c r="O5536" s="30">
        <f>IFERROR((VLOOKUP($A5536,HeadJournal!$A$1:$L$890,COLUMN(HeadJournal!L$1),0)*($K5536+$L5536)/(SUMIF($A:$A,$A5536,$K:$K)+SUMIF($A:$A,$A5536,$L:$L)))/VLOOKUP($A5536,HeadJournal!$A$1:$L$890,COLUMN(HeadJournal!H$1),0),0)</f>
        <v>0.24106100328883265</v>
      </c>
      <c r="P5536" s="30">
        <f>IFERROR(SUM(K5536:O5536)*VLOOKUP($A5536,HeadJournal!$A$1:$L$890,COLUMN(HeadJournal!H$1),0),0)</f>
        <v>907.29500176491331</v>
      </c>
      <c r="Q5536" s="29"/>
      <c r="R5536" s="31"/>
      <c r="S5536" s="31"/>
      <c r="T5536" s="95" t="str">
        <f t="shared" si="410"/>
        <v/>
      </c>
      <c r="U5536" s="32">
        <f t="shared" ref="U5536:U5575" si="411">Q5536-P5536</f>
        <v>-907.29500176491331</v>
      </c>
      <c r="V5536" s="22" t="str">
        <f t="shared" ref="V5536:V5575" si="412">IF(Q5536&lt;&gt;0,IFERROR(U5536/P5536,""),"")</f>
        <v/>
      </c>
      <c r="X5536" s="33"/>
      <c r="Y5536" s="33"/>
    </row>
    <row r="5537" spans="1:25" x14ac:dyDescent="0.2">
      <c r="A5537" s="93" t="s">
        <v>5435</v>
      </c>
      <c r="B5537" s="94">
        <f>IFERROR(VLOOKUP($A5537,HeadJournal!$A$1:$NTR$890,COLUMN(HeadJournal!B$1),0),"")</f>
        <v>0</v>
      </c>
      <c r="C5537" s="94" t="str">
        <f>IFERROR(VLOOKUP($A5537,HeadJournal!$A$1:$NTR$890,COLUMN(HeadJournal!C$1),0),"")</f>
        <v>iHerb_OA CZN6870</v>
      </c>
      <c r="D5537" s="125" t="str">
        <f>IFERROR(VLOOKUP($A5537,HeadJournal!$A$1:$NTR$890,COLUMN(HeadJournal!D$1),0),"")</f>
        <v>Доставлен</v>
      </c>
      <c r="E5537" s="95">
        <f>IFERROR(VLOOKUP($A5537,HeadJournal!$A$1:$NTR$890,COLUMN(HeadJournal!G$1),0),"")</f>
        <v>46051</v>
      </c>
      <c r="F5537" s="95" t="str">
        <f t="shared" si="409"/>
        <v>2026 01</v>
      </c>
      <c r="G5537" s="97" t="s">
        <v>5</v>
      </c>
      <c r="H5537" s="161" t="s">
        <v>4160</v>
      </c>
      <c r="I5537" s="97" t="s">
        <v>2045</v>
      </c>
      <c r="J5537" s="97" t="s">
        <v>4161</v>
      </c>
      <c r="K5537" s="29">
        <v>9.94</v>
      </c>
      <c r="L5537" s="29">
        <v>-0.99</v>
      </c>
      <c r="M5537" s="30">
        <f>IFERROR(VLOOKUP($A5537,HeadJournal!$A$1:$J$890,COLUMN(HeadJournal!I$1),0)*($K5537+$L5537)/(SUMIF($A:$A,$A5537,$K:$K)+SUMIF($A:$A,$A5537,$L:$L)),0)</f>
        <v>-0.51449750390802274</v>
      </c>
      <c r="N5537" s="30">
        <f>IFERROR((VLOOKUP($A5537,HeadJournal!$A$1:$K$890,COLUMN(HeadJournal!K$1),0)-VLOOKUP($A5537,HeadJournal!$A$1:$K$890,COLUMN(HeadJournal!J$1),0))*($K5537+$L5537)/(SUMIF($A:$A,$A5537,$K:$K)+SUMIF($A:$A,$A5537,$L:$L)),0)</f>
        <v>-1.2827103998896465E-15</v>
      </c>
      <c r="O5537" s="30">
        <f>IFERROR((VLOOKUP($A5537,HeadJournal!$A$1:$L$890,COLUMN(HeadJournal!L$1),0)*($K5537+$L5537)/(SUMIF($A:$A,$A5537,$K:$K)+SUMIF($A:$A,$A5537,$L:$L)))/VLOOKUP($A5537,HeadJournal!$A$1:$L$890,COLUMN(HeadJournal!H$1),0),0)</f>
        <v>0.19939888904205658</v>
      </c>
      <c r="P5537" s="30">
        <f>IFERROR(SUM(K5537:O5537)*VLOOKUP($A5537,HeadJournal!$A$1:$L$890,COLUMN(HeadJournal!H$1),0),0)</f>
        <v>750.48893399223414</v>
      </c>
      <c r="Q5537" s="29"/>
      <c r="R5537" s="31"/>
      <c r="S5537" s="31"/>
      <c r="T5537" s="95" t="str">
        <f t="shared" si="410"/>
        <v/>
      </c>
      <c r="U5537" s="32">
        <f t="shared" si="411"/>
        <v>-750.48893399223414</v>
      </c>
      <c r="V5537" s="22" t="str">
        <f t="shared" si="412"/>
        <v/>
      </c>
      <c r="X5537" s="33"/>
      <c r="Y5537" s="33"/>
    </row>
    <row r="5538" spans="1:25" x14ac:dyDescent="0.2">
      <c r="A5538" s="93" t="s">
        <v>5436</v>
      </c>
      <c r="B5538" s="94">
        <f>IFERROR(VLOOKUP($A5538,HeadJournal!$A$1:$NTR$890,COLUMN(HeadJournal!B$1),0),"")</f>
        <v>0</v>
      </c>
      <c r="C5538" s="94" t="str">
        <f>IFERROR(VLOOKUP($A5538,HeadJournal!$A$1:$NTR$890,COLUMN(HeadJournal!C$1),0),"")</f>
        <v>WBRS</v>
      </c>
      <c r="D5538" s="125" t="str">
        <f>IFERROR(VLOOKUP($A5538,HeadJournal!$A$1:$NTR$890,COLUMN(HeadJournal!D$1),0),"")</f>
        <v>Доставлен</v>
      </c>
      <c r="E5538" s="95">
        <f>IFERROR(VLOOKUP($A5538,HeadJournal!$A$1:$NTR$890,COLUMN(HeadJournal!G$1),0),"")</f>
        <v>45986</v>
      </c>
      <c r="F5538" s="95" t="str">
        <f t="shared" si="409"/>
        <v>2025 11</v>
      </c>
      <c r="G5538" s="97" t="s">
        <v>5</v>
      </c>
      <c r="H5538" s="161" t="s">
        <v>3677</v>
      </c>
      <c r="I5538" s="97" t="s">
        <v>1368</v>
      </c>
      <c r="J5538" s="97" t="s">
        <v>3678</v>
      </c>
      <c r="K5538" s="29">
        <v>2399</v>
      </c>
      <c r="L5538" s="29">
        <v>0</v>
      </c>
      <c r="M5538" s="30">
        <f>IFERROR(VLOOKUP($A5538,HeadJournal!$A$1:$J$890,COLUMN(HeadJournal!I$1),0)*($K5538+$L5538)/(SUMIF($A:$A,$A5538,$K:$K)+SUMIF($A:$A,$A5538,$L:$L)),0)</f>
        <v>0</v>
      </c>
      <c r="N5538" s="30">
        <f>IFERROR((VLOOKUP($A5538,HeadJournal!$A$1:$K$890,COLUMN(HeadJournal!K$1),0)-VLOOKUP($A5538,HeadJournal!$A$1:$K$890,COLUMN(HeadJournal!J$1),0))*($K5538+$L5538)/(SUMIF($A:$A,$A5538,$K:$K)+SUMIF($A:$A,$A5538,$L:$L)),0)</f>
        <v>0</v>
      </c>
      <c r="O5538" s="30">
        <f>IFERROR((VLOOKUP($A5538,HeadJournal!$A$1:$L$890,COLUMN(HeadJournal!L$1),0)*($K5538+$L5538)/(SUMIF($A:$A,$A5538,$K:$K)+SUMIF($A:$A,$A5538,$L:$L)))/VLOOKUP($A5538,HeadJournal!$A$1:$L$890,COLUMN(HeadJournal!H$1),0),0)</f>
        <v>0</v>
      </c>
      <c r="P5538" s="30">
        <f>IFERROR(SUM(K5538:O5538)*VLOOKUP($A5538,HeadJournal!$A$1:$L$890,COLUMN(HeadJournal!H$1),0),0)</f>
        <v>2399</v>
      </c>
      <c r="Q5538" s="29">
        <v>4200</v>
      </c>
      <c r="R5538" s="31">
        <v>46102</v>
      </c>
      <c r="S5538" s="31"/>
      <c r="T5538" s="95" t="str">
        <f t="shared" si="410"/>
        <v>2026 03</v>
      </c>
      <c r="U5538" s="32">
        <f t="shared" si="411"/>
        <v>1801</v>
      </c>
      <c r="V5538" s="22">
        <f t="shared" si="412"/>
        <v>0.7507294706127553</v>
      </c>
      <c r="X5538" s="33"/>
      <c r="Y5538" s="33"/>
    </row>
    <row r="5539" spans="1:25" x14ac:dyDescent="0.2">
      <c r="A5539" s="93" t="s">
        <v>5437</v>
      </c>
      <c r="B5539" s="94">
        <f>IFERROR(VLOOKUP($A5539,HeadJournal!$A$1:$NTR$890,COLUMN(HeadJournal!B$1),0),"")</f>
        <v>0</v>
      </c>
      <c r="C5539" s="94" t="str">
        <f>IFERROR(VLOOKUP($A5539,HeadJournal!$A$1:$NTR$890,COLUMN(HeadJournal!C$1),0),"")</f>
        <v>WBRS</v>
      </c>
      <c r="D5539" s="125" t="str">
        <f>IFERROR(VLOOKUP($A5539,HeadJournal!$A$1:$NTR$890,COLUMN(HeadJournal!D$1),0),"")</f>
        <v>Доставлен</v>
      </c>
      <c r="E5539" s="95">
        <f>IFERROR(VLOOKUP($A5539,HeadJournal!$A$1:$NTR$890,COLUMN(HeadJournal!G$1),0),"")</f>
        <v>46064</v>
      </c>
      <c r="F5539" s="95" t="str">
        <f t="shared" si="409"/>
        <v>2026 02</v>
      </c>
      <c r="G5539" s="97" t="s">
        <v>5</v>
      </c>
      <c r="H5539" s="161" t="s">
        <v>2596</v>
      </c>
      <c r="I5539" s="97" t="s">
        <v>2594</v>
      </c>
      <c r="J5539" s="97" t="s">
        <v>2595</v>
      </c>
      <c r="K5539" s="29">
        <v>2556</v>
      </c>
      <c r="L5539" s="29">
        <v>0</v>
      </c>
      <c r="M5539" s="30">
        <f>IFERROR(VLOOKUP($A5539,HeadJournal!$A$1:$J$890,COLUMN(HeadJournal!I$1),0)*($K5539+$L5539)/(SUMIF($A:$A,$A5539,$K:$K)+SUMIF($A:$A,$A5539,$L:$L)),0)</f>
        <v>0</v>
      </c>
      <c r="N5539" s="30">
        <f>IFERROR((VLOOKUP($A5539,HeadJournal!$A$1:$K$890,COLUMN(HeadJournal!K$1),0)-VLOOKUP($A5539,HeadJournal!$A$1:$K$890,COLUMN(HeadJournal!J$1),0))*($K5539+$L5539)/(SUMIF($A:$A,$A5539,$K:$K)+SUMIF($A:$A,$A5539,$L:$L)),0)</f>
        <v>0</v>
      </c>
      <c r="O5539" s="30">
        <f>IFERROR((VLOOKUP($A5539,HeadJournal!$A$1:$L$890,COLUMN(HeadJournal!L$1),0)*($K5539+$L5539)/(SUMIF($A:$A,$A5539,$K:$K)+SUMIF($A:$A,$A5539,$L:$L)))/VLOOKUP($A5539,HeadJournal!$A$1:$L$890,COLUMN(HeadJournal!H$1),0),0)</f>
        <v>0</v>
      </c>
      <c r="P5539" s="30">
        <f>IFERROR(SUM(K5539:O5539)*VLOOKUP($A5539,HeadJournal!$A$1:$L$890,COLUMN(HeadJournal!H$1),0),0)</f>
        <v>2556</v>
      </c>
      <c r="Q5539" s="29">
        <v>3200</v>
      </c>
      <c r="R5539" s="31">
        <v>46067</v>
      </c>
      <c r="S5539" s="31" t="s">
        <v>4457</v>
      </c>
      <c r="T5539" s="95" t="str">
        <f t="shared" si="410"/>
        <v>2026 02</v>
      </c>
      <c r="U5539" s="32">
        <f t="shared" si="411"/>
        <v>644</v>
      </c>
      <c r="V5539" s="22">
        <f t="shared" si="412"/>
        <v>0.2519561815336463</v>
      </c>
      <c r="X5539" s="33"/>
      <c r="Y5539" s="33"/>
    </row>
    <row r="5540" spans="1:25" x14ac:dyDescent="0.2">
      <c r="A5540" s="93" t="s">
        <v>5438</v>
      </c>
      <c r="B5540" s="94">
        <f>IFERROR(VLOOKUP($A5540,HeadJournal!$A$1:$NTR$890,COLUMN(HeadJournal!B$1),0),"")</f>
        <v>0</v>
      </c>
      <c r="C5540" s="94" t="str">
        <f>IFERROR(VLOOKUP($A5540,HeadJournal!$A$1:$NTR$890,COLUMN(HeadJournal!C$1),0),"")</f>
        <v>OZON_OA</v>
      </c>
      <c r="D5540" s="125" t="str">
        <f>IFERROR(VLOOKUP($A5540,HeadJournal!$A$1:$NTR$890,COLUMN(HeadJournal!D$1),0),"")</f>
        <v>Доставлен</v>
      </c>
      <c r="E5540" s="95">
        <f>IFERROR(VLOOKUP($A5540,HeadJournal!$A$1:$NTR$890,COLUMN(HeadJournal!G$1),0),"")</f>
        <v>46059</v>
      </c>
      <c r="F5540" s="95" t="str">
        <f t="shared" si="409"/>
        <v>2026 02</v>
      </c>
      <c r="G5540" s="97" t="s">
        <v>5</v>
      </c>
      <c r="H5540" s="161" t="s">
        <v>2596</v>
      </c>
      <c r="I5540" s="97" t="s">
        <v>2594</v>
      </c>
      <c r="J5540" s="97" t="s">
        <v>2595</v>
      </c>
      <c r="K5540" s="29">
        <v>2662</v>
      </c>
      <c r="L5540" s="29">
        <v>0</v>
      </c>
      <c r="M5540" s="30">
        <f>IFERROR(VLOOKUP($A5540,HeadJournal!$A$1:$J$890,COLUMN(HeadJournal!I$1),0)*($K5540+$L5540)/(SUMIF($A:$A,$A5540,$K:$K)+SUMIF($A:$A,$A5540,$L:$L)),0)</f>
        <v>0</v>
      </c>
      <c r="N5540" s="30">
        <f>IFERROR((VLOOKUP($A5540,HeadJournal!$A$1:$K$890,COLUMN(HeadJournal!K$1),0)-VLOOKUP($A5540,HeadJournal!$A$1:$K$890,COLUMN(HeadJournal!J$1),0))*($K5540+$L5540)/(SUMIF($A:$A,$A5540,$K:$K)+SUMIF($A:$A,$A5540,$L:$L)),0)</f>
        <v>0</v>
      </c>
      <c r="O5540" s="30">
        <f>IFERROR((VLOOKUP($A5540,HeadJournal!$A$1:$L$890,COLUMN(HeadJournal!L$1),0)*($K5540+$L5540)/(SUMIF($A:$A,$A5540,$K:$K)+SUMIF($A:$A,$A5540,$L:$L)))/VLOOKUP($A5540,HeadJournal!$A$1:$L$890,COLUMN(HeadJournal!H$1),0),0)</f>
        <v>0</v>
      </c>
      <c r="P5540" s="30">
        <f>IFERROR(SUM(K5540:O5540)*VLOOKUP($A5540,HeadJournal!$A$1:$L$890,COLUMN(HeadJournal!H$1),0),0)</f>
        <v>2662</v>
      </c>
      <c r="Q5540" s="29"/>
      <c r="R5540" s="31"/>
      <c r="S5540" s="31"/>
      <c r="T5540" s="95" t="str">
        <f t="shared" si="410"/>
        <v/>
      </c>
      <c r="U5540" s="32">
        <f t="shared" si="411"/>
        <v>-2662</v>
      </c>
      <c r="V5540" s="22" t="str">
        <f t="shared" si="412"/>
        <v/>
      </c>
      <c r="X5540" s="33"/>
      <c r="Y5540" s="33"/>
    </row>
    <row r="5541" spans="1:25" x14ac:dyDescent="0.2">
      <c r="A5541" s="93" t="s">
        <v>5439</v>
      </c>
      <c r="B5541" s="94">
        <f>IFERROR(VLOOKUP($A5541,HeadJournal!$A$1:$NTR$890,COLUMN(HeadJournal!B$1),0),"")</f>
        <v>0</v>
      </c>
      <c r="C5541" s="94" t="str">
        <f>IFERROR(VLOOKUP($A5541,HeadJournal!$A$1:$NTR$890,COLUMN(HeadJournal!C$1),0),"")</f>
        <v>OZON_OA</v>
      </c>
      <c r="D5541" s="125" t="str">
        <f>IFERROR(VLOOKUP($A5541,HeadJournal!$A$1:$NTR$890,COLUMN(HeadJournal!D$1),0),"")</f>
        <v>Доставлен</v>
      </c>
      <c r="E5541" s="95">
        <f>IFERROR(VLOOKUP($A5541,HeadJournal!$A$1:$NTR$890,COLUMN(HeadJournal!G$1),0),"")</f>
        <v>46055</v>
      </c>
      <c r="F5541" s="95" t="str">
        <f t="shared" si="409"/>
        <v>2026 02</v>
      </c>
      <c r="G5541" s="97" t="s">
        <v>6</v>
      </c>
      <c r="H5541" s="161" t="s">
        <v>2280</v>
      </c>
      <c r="I5541" s="97" t="s">
        <v>2281</v>
      </c>
      <c r="J5541" s="97" t="s">
        <v>737</v>
      </c>
      <c r="K5541" s="29">
        <v>656</v>
      </c>
      <c r="L5541" s="29">
        <v>0</v>
      </c>
      <c r="M5541" s="30">
        <f>IFERROR(VLOOKUP($A5541,HeadJournal!$A$1:$J$890,COLUMN(HeadJournal!I$1),0)*($K5541+$L5541)/(SUMIF($A:$A,$A5541,$K:$K)+SUMIF($A:$A,$A5541,$L:$L)),0)</f>
        <v>0</v>
      </c>
      <c r="N5541" s="30">
        <f>IFERROR((VLOOKUP($A5541,HeadJournal!$A$1:$K$890,COLUMN(HeadJournal!K$1),0)-VLOOKUP($A5541,HeadJournal!$A$1:$K$890,COLUMN(HeadJournal!J$1),0))*($K5541+$L5541)/(SUMIF($A:$A,$A5541,$K:$K)+SUMIF($A:$A,$A5541,$L:$L)),0)</f>
        <v>0</v>
      </c>
      <c r="O5541" s="30">
        <f>IFERROR((VLOOKUP($A5541,HeadJournal!$A$1:$L$890,COLUMN(HeadJournal!L$1),0)*($K5541+$L5541)/(SUMIF($A:$A,$A5541,$K:$K)+SUMIF($A:$A,$A5541,$L:$L)))/VLOOKUP($A5541,HeadJournal!$A$1:$L$890,COLUMN(HeadJournal!H$1),0),0)</f>
        <v>0</v>
      </c>
      <c r="P5541" s="30">
        <f>IFERROR(SUM(K5541:O5541)*VLOOKUP($A5541,HeadJournal!$A$1:$L$890,COLUMN(HeadJournal!H$1),0),0)</f>
        <v>656</v>
      </c>
      <c r="Q5541" s="29">
        <v>2000</v>
      </c>
      <c r="R5541" s="31">
        <v>46056</v>
      </c>
      <c r="S5541" s="31" t="s">
        <v>4613</v>
      </c>
      <c r="T5541" s="95" t="str">
        <f t="shared" si="410"/>
        <v>2026 02</v>
      </c>
      <c r="U5541" s="32">
        <f t="shared" si="411"/>
        <v>1344</v>
      </c>
      <c r="V5541" s="22">
        <f t="shared" si="412"/>
        <v>2.0487804878048781</v>
      </c>
      <c r="X5541" s="33"/>
      <c r="Y5541" s="33"/>
    </row>
    <row r="5542" spans="1:25" x14ac:dyDescent="0.2">
      <c r="A5542" s="93" t="s">
        <v>5440</v>
      </c>
      <c r="B5542" s="94">
        <f>IFERROR(VLOOKUP($A5542,HeadJournal!$A$1:$NTR$890,COLUMN(HeadJournal!B$1),0),"")</f>
        <v>0</v>
      </c>
      <c r="C5542" s="94" t="str">
        <f>IFERROR(VLOOKUP($A5542,HeadJournal!$A$1:$NTR$890,COLUMN(HeadJournal!C$1),0),"")</f>
        <v>OZON_OA</v>
      </c>
      <c r="D5542" s="125" t="str">
        <f>IFERROR(VLOOKUP($A5542,HeadJournal!$A$1:$NTR$890,COLUMN(HeadJournal!D$1),0),"")</f>
        <v>Доставлен</v>
      </c>
      <c r="E5542" s="95">
        <f>IFERROR(VLOOKUP($A5542,HeadJournal!$A$1:$NTR$890,COLUMN(HeadJournal!G$1),0),"")</f>
        <v>46055</v>
      </c>
      <c r="F5542" s="95" t="str">
        <f t="shared" si="409"/>
        <v>2026 02</v>
      </c>
      <c r="G5542" s="97" t="s">
        <v>6</v>
      </c>
      <c r="H5542" s="161" t="s">
        <v>2280</v>
      </c>
      <c r="I5542" s="97" t="s">
        <v>2281</v>
      </c>
      <c r="J5542" s="97" t="s">
        <v>737</v>
      </c>
      <c r="K5542" s="29">
        <v>950.42</v>
      </c>
      <c r="L5542" s="29">
        <v>0</v>
      </c>
      <c r="M5542" s="30">
        <f>IFERROR(VLOOKUP($A5542,HeadJournal!$A$1:$J$890,COLUMN(HeadJournal!I$1),0)*($K5542+$L5542)/(SUMIF($A:$A,$A5542,$K:$K)+SUMIF($A:$A,$A5542,$L:$L)),0)</f>
        <v>0</v>
      </c>
      <c r="N5542" s="30">
        <f>IFERROR((VLOOKUP($A5542,HeadJournal!$A$1:$K$890,COLUMN(HeadJournal!K$1),0)-VLOOKUP($A5542,HeadJournal!$A$1:$K$890,COLUMN(HeadJournal!J$1),0))*($K5542+$L5542)/(SUMIF($A:$A,$A5542,$K:$K)+SUMIF($A:$A,$A5542,$L:$L)),0)</f>
        <v>0</v>
      </c>
      <c r="O5542" s="30">
        <f>IFERROR((VLOOKUP($A5542,HeadJournal!$A$1:$L$890,COLUMN(HeadJournal!L$1),0)*($K5542+$L5542)/(SUMIF($A:$A,$A5542,$K:$K)+SUMIF($A:$A,$A5542,$L:$L)))/VLOOKUP($A5542,HeadJournal!$A$1:$L$890,COLUMN(HeadJournal!H$1),0),0)</f>
        <v>0</v>
      </c>
      <c r="P5542" s="30">
        <f>IFERROR(SUM(K5542:O5542)*VLOOKUP($A5542,HeadJournal!$A$1:$L$890,COLUMN(HeadJournal!H$1),0),0)</f>
        <v>950.42</v>
      </c>
      <c r="Q5542" s="29">
        <v>2000</v>
      </c>
      <c r="R5542" s="31">
        <v>46056</v>
      </c>
      <c r="S5542" s="31" t="s">
        <v>4613</v>
      </c>
      <c r="T5542" s="95" t="str">
        <f t="shared" si="410"/>
        <v>2026 02</v>
      </c>
      <c r="U5542" s="32">
        <f t="shared" si="411"/>
        <v>1049.58</v>
      </c>
      <c r="V5542" s="22">
        <f t="shared" si="412"/>
        <v>1.1043328212790136</v>
      </c>
      <c r="X5542" s="33"/>
      <c r="Y5542" s="33"/>
    </row>
    <row r="5543" spans="1:25" x14ac:dyDescent="0.2">
      <c r="A5543" s="93" t="s">
        <v>5441</v>
      </c>
      <c r="B5543" s="94">
        <f>IFERROR(VLOOKUP($A5543,HeadJournal!$A$1:$NTR$890,COLUMN(HeadJournal!B$1),0),"")</f>
        <v>0</v>
      </c>
      <c r="C5543" s="94" t="str">
        <f>IFERROR(VLOOKUP($A5543,HeadJournal!$A$1:$NTR$890,COLUMN(HeadJournal!C$1),0),"")</f>
        <v>OZON_OA</v>
      </c>
      <c r="D5543" s="125" t="str">
        <f>IFERROR(VLOOKUP($A5543,HeadJournal!$A$1:$NTR$890,COLUMN(HeadJournal!D$1),0),"")</f>
        <v>Доставлен</v>
      </c>
      <c r="E5543" s="95">
        <f>IFERROR(VLOOKUP($A5543,HeadJournal!$A$1:$NTR$890,COLUMN(HeadJournal!G$1),0),"")</f>
        <v>46060</v>
      </c>
      <c r="F5543" s="95" t="str">
        <f t="shared" si="409"/>
        <v>2026 02</v>
      </c>
      <c r="G5543" s="97" t="s">
        <v>6</v>
      </c>
      <c r="H5543" s="161" t="s">
        <v>2280</v>
      </c>
      <c r="I5543" s="97" t="s">
        <v>2281</v>
      </c>
      <c r="J5543" s="97" t="s">
        <v>737</v>
      </c>
      <c r="K5543" s="29">
        <v>969.29</v>
      </c>
      <c r="L5543" s="29">
        <v>0</v>
      </c>
      <c r="M5543" s="30">
        <f>IFERROR(VLOOKUP($A5543,HeadJournal!$A$1:$J$890,COLUMN(HeadJournal!I$1),0)*($K5543+$L5543)/(SUMIF($A:$A,$A5543,$K:$K)+SUMIF($A:$A,$A5543,$L:$L)),0)</f>
        <v>0</v>
      </c>
      <c r="N5543" s="30">
        <f>IFERROR((VLOOKUP($A5543,HeadJournal!$A$1:$K$890,COLUMN(HeadJournal!K$1),0)-VLOOKUP($A5543,HeadJournal!$A$1:$K$890,COLUMN(HeadJournal!J$1),0))*($K5543+$L5543)/(SUMIF($A:$A,$A5543,$K:$K)+SUMIF($A:$A,$A5543,$L:$L)),0)</f>
        <v>0</v>
      </c>
      <c r="O5543" s="30">
        <f>IFERROR((VLOOKUP($A5543,HeadJournal!$A$1:$L$890,COLUMN(HeadJournal!L$1),0)*($K5543+$L5543)/(SUMIF($A:$A,$A5543,$K:$K)+SUMIF($A:$A,$A5543,$L:$L)))/VLOOKUP($A5543,HeadJournal!$A$1:$L$890,COLUMN(HeadJournal!H$1),0),0)</f>
        <v>0</v>
      </c>
      <c r="P5543" s="30">
        <f>IFERROR(SUM(K5543:O5543)*VLOOKUP($A5543,HeadJournal!$A$1:$L$890,COLUMN(HeadJournal!H$1),0),0)</f>
        <v>969.29</v>
      </c>
      <c r="Q5543" s="29">
        <v>2000</v>
      </c>
      <c r="R5543" s="31">
        <v>46060</v>
      </c>
      <c r="S5543" s="31" t="s">
        <v>4911</v>
      </c>
      <c r="T5543" s="95" t="str">
        <f t="shared" si="410"/>
        <v>2026 02</v>
      </c>
      <c r="U5543" s="32">
        <f t="shared" si="411"/>
        <v>1030.71</v>
      </c>
      <c r="V5543" s="22">
        <f t="shared" si="412"/>
        <v>1.063365968905075</v>
      </c>
      <c r="X5543" s="33"/>
      <c r="Y5543" s="33"/>
    </row>
    <row r="5544" spans="1:25" x14ac:dyDescent="0.2">
      <c r="A5544" s="93" t="s">
        <v>5441</v>
      </c>
      <c r="B5544" s="94">
        <f>IFERROR(VLOOKUP($A5544,HeadJournal!$A$1:$NTR$890,COLUMN(HeadJournal!B$1),0),"")</f>
        <v>0</v>
      </c>
      <c r="C5544" s="94" t="str">
        <f>IFERROR(VLOOKUP($A5544,HeadJournal!$A$1:$NTR$890,COLUMN(HeadJournal!C$1),0),"")</f>
        <v>OZON_OA</v>
      </c>
      <c r="D5544" s="125" t="str">
        <f>IFERROR(VLOOKUP($A5544,HeadJournal!$A$1:$NTR$890,COLUMN(HeadJournal!D$1),0),"")</f>
        <v>Доставлен</v>
      </c>
      <c r="E5544" s="95">
        <f>IFERROR(VLOOKUP($A5544,HeadJournal!$A$1:$NTR$890,COLUMN(HeadJournal!G$1),0),"")</f>
        <v>46060</v>
      </c>
      <c r="F5544" s="95" t="str">
        <f t="shared" si="409"/>
        <v>2026 02</v>
      </c>
      <c r="G5544" s="97" t="s">
        <v>6</v>
      </c>
      <c r="H5544" s="161" t="s">
        <v>2280</v>
      </c>
      <c r="I5544" s="97" t="s">
        <v>2281</v>
      </c>
      <c r="J5544" s="97" t="s">
        <v>737</v>
      </c>
      <c r="K5544" s="29">
        <v>969.29</v>
      </c>
      <c r="L5544" s="29">
        <v>0</v>
      </c>
      <c r="M5544" s="30">
        <f>IFERROR(VLOOKUP($A5544,HeadJournal!$A$1:$J$890,COLUMN(HeadJournal!I$1),0)*($K5544+$L5544)/(SUMIF($A:$A,$A5544,$K:$K)+SUMIF($A:$A,$A5544,$L:$L)),0)</f>
        <v>0</v>
      </c>
      <c r="N5544" s="30">
        <f>IFERROR((VLOOKUP($A5544,HeadJournal!$A$1:$K$890,COLUMN(HeadJournal!K$1),0)-VLOOKUP($A5544,HeadJournal!$A$1:$K$890,COLUMN(HeadJournal!J$1),0))*($K5544+$L5544)/(SUMIF($A:$A,$A5544,$K:$K)+SUMIF($A:$A,$A5544,$L:$L)),0)</f>
        <v>0</v>
      </c>
      <c r="O5544" s="30">
        <f>IFERROR((VLOOKUP($A5544,HeadJournal!$A$1:$L$890,COLUMN(HeadJournal!L$1),0)*($K5544+$L5544)/(SUMIF($A:$A,$A5544,$K:$K)+SUMIF($A:$A,$A5544,$L:$L)))/VLOOKUP($A5544,HeadJournal!$A$1:$L$890,COLUMN(HeadJournal!H$1),0),0)</f>
        <v>0</v>
      </c>
      <c r="P5544" s="30">
        <f>IFERROR(SUM(K5544:O5544)*VLOOKUP($A5544,HeadJournal!$A$1:$L$890,COLUMN(HeadJournal!H$1),0),0)</f>
        <v>969.29</v>
      </c>
      <c r="Q5544" s="29">
        <v>2000</v>
      </c>
      <c r="R5544" s="31">
        <v>46066</v>
      </c>
      <c r="S5544" s="31" t="s">
        <v>4613</v>
      </c>
      <c r="T5544" s="95" t="str">
        <f t="shared" si="410"/>
        <v>2026 02</v>
      </c>
      <c r="U5544" s="32">
        <f t="shared" si="411"/>
        <v>1030.71</v>
      </c>
      <c r="V5544" s="22">
        <f t="shared" si="412"/>
        <v>1.063365968905075</v>
      </c>
      <c r="X5544" s="33"/>
      <c r="Y5544" s="33"/>
    </row>
    <row r="5545" spans="1:25" x14ac:dyDescent="0.2">
      <c r="A5545" s="93" t="s">
        <v>5456</v>
      </c>
      <c r="B5545" s="94">
        <f>IFERROR(VLOOKUP($A5545,HeadJournal!$A$1:$NTR$890,COLUMN(HeadJournal!B$1),0),"")</f>
        <v>0</v>
      </c>
      <c r="C5545" s="94" t="str">
        <f>IFERROR(VLOOKUP($A5545,HeadJournal!$A$1:$NTR$890,COLUMN(HeadJournal!C$1),0),"")</f>
        <v>iHerb_AV CYG0792</v>
      </c>
      <c r="D5545" s="125" t="str">
        <f>IFERROR(VLOOKUP($A5545,HeadJournal!$A$1:$NTR$890,COLUMN(HeadJournal!D$1),0),"")</f>
        <v>Доставлен</v>
      </c>
      <c r="E5545" s="95">
        <f>IFERROR(VLOOKUP($A5545,HeadJournal!$A$1:$NTR$890,COLUMN(HeadJournal!G$1),0),"")</f>
        <v>46057</v>
      </c>
      <c r="F5545" s="95" t="str">
        <f t="shared" si="409"/>
        <v>2026 02</v>
      </c>
      <c r="G5545" s="97" t="s">
        <v>5</v>
      </c>
      <c r="H5545" s="161" t="s">
        <v>2471</v>
      </c>
      <c r="I5545" s="97" t="s">
        <v>2039</v>
      </c>
      <c r="J5545" s="97" t="s">
        <v>5442</v>
      </c>
      <c r="K5545" s="29">
        <v>20.07</v>
      </c>
      <c r="L5545" s="29">
        <v>-2.0099999999999998</v>
      </c>
      <c r="M5545" s="30">
        <f>IFERROR(VLOOKUP($A5545,HeadJournal!$A$1:$J$890,COLUMN(HeadJournal!I$1),0)*($K5545+$L5545)/(SUMIF($A:$A,$A5545,$K:$K)+SUMIF($A:$A,$A5545,$L:$L)),0)</f>
        <v>-1.8162686567164179</v>
      </c>
      <c r="N5545" s="30">
        <f>IFERROR((VLOOKUP($A5545,HeadJournal!$A$1:$K$890,COLUMN(HeadJournal!K$1),0)-VLOOKUP($A5545,HeadJournal!$A$1:$K$890,COLUMN(HeadJournal!J$1),0))*($K5545+$L5545)/(SUMIF($A:$A,$A5545,$K:$K)+SUMIF($A:$A,$A5545,$L:$L)),0)</f>
        <v>-2.6058283699517535E-15</v>
      </c>
      <c r="O5545" s="30">
        <f>IFERROR((VLOOKUP($A5545,HeadJournal!$A$1:$L$890,COLUMN(HeadJournal!L$1),0)*($K5545+$L5545)/(SUMIF($A:$A,$A5545,$K:$K)+SUMIF($A:$A,$A5545,$L:$L)))/VLOOKUP($A5545,HeadJournal!$A$1:$L$890,COLUMN(HeadJournal!H$1),0),0)</f>
        <v>0.40321590756463122</v>
      </c>
      <c r="P5545" s="30">
        <f>IFERROR(SUM(K5545:O5545)*VLOOKUP($A5545,HeadJournal!$A$1:$L$890,COLUMN(HeadJournal!H$1),0),0)</f>
        <v>1453.5292750533051</v>
      </c>
      <c r="Q5545" s="29"/>
      <c r="R5545" s="31"/>
      <c r="S5545" s="31"/>
      <c r="T5545" s="95" t="str">
        <f t="shared" si="410"/>
        <v/>
      </c>
      <c r="U5545" s="32">
        <f t="shared" si="411"/>
        <v>-1453.5292750533051</v>
      </c>
      <c r="V5545" s="22" t="str">
        <f t="shared" si="412"/>
        <v/>
      </c>
      <c r="X5545" s="33"/>
      <c r="Y5545" s="33"/>
    </row>
    <row r="5546" spans="1:25" x14ac:dyDescent="0.2">
      <c r="A5546" s="93" t="s">
        <v>5456</v>
      </c>
      <c r="B5546" s="94">
        <f>IFERROR(VLOOKUP($A5546,HeadJournal!$A$1:$NTR$890,COLUMN(HeadJournal!B$1),0),"")</f>
        <v>0</v>
      </c>
      <c r="C5546" s="94" t="str">
        <f>IFERROR(VLOOKUP($A5546,HeadJournal!$A$1:$NTR$890,COLUMN(HeadJournal!C$1),0),"")</f>
        <v>iHerb_AV CYG0792</v>
      </c>
      <c r="D5546" s="125" t="str">
        <f>IFERROR(VLOOKUP($A5546,HeadJournal!$A$1:$NTR$890,COLUMN(HeadJournal!D$1),0),"")</f>
        <v>Доставлен</v>
      </c>
      <c r="E5546" s="95">
        <f>IFERROR(VLOOKUP($A5546,HeadJournal!$A$1:$NTR$890,COLUMN(HeadJournal!G$1),0),"")</f>
        <v>46057</v>
      </c>
      <c r="F5546" s="95" t="str">
        <f t="shared" si="409"/>
        <v>2026 02</v>
      </c>
      <c r="G5546" s="97" t="s">
        <v>5</v>
      </c>
      <c r="H5546" s="161" t="s">
        <v>2771</v>
      </c>
      <c r="I5546" s="97" t="s">
        <v>2052</v>
      </c>
      <c r="J5546" s="97" t="s">
        <v>5443</v>
      </c>
      <c r="K5546" s="29">
        <v>14.15</v>
      </c>
      <c r="L5546" s="29">
        <v>-2.83</v>
      </c>
      <c r="M5546" s="30">
        <f>IFERROR(VLOOKUP($A5546,HeadJournal!$A$1:$J$890,COLUMN(HeadJournal!I$1),0)*($K5546+$L5546)/(SUMIF($A:$A,$A5546,$K:$K)+SUMIF($A:$A,$A5546,$L:$L)),0)</f>
        <v>-1.1384363894811655</v>
      </c>
      <c r="N5546" s="30">
        <f>IFERROR((VLOOKUP($A5546,HeadJournal!$A$1:$K$890,COLUMN(HeadJournal!K$1),0)-VLOOKUP($A5546,HeadJournal!$A$1:$K$890,COLUMN(HeadJournal!J$1),0))*($K5546+$L5546)/(SUMIF($A:$A,$A5546,$K:$K)+SUMIF($A:$A,$A5546,$L:$L)),0)</f>
        <v>-1.6333320679874777E-15</v>
      </c>
      <c r="O5546" s="30">
        <f>IFERROR((VLOOKUP($A5546,HeadJournal!$A$1:$L$890,COLUMN(HeadJournal!L$1),0)*($K5546+$L5546)/(SUMIF($A:$A,$A5546,$K:$K)+SUMIF($A:$A,$A5546,$L:$L)))/VLOOKUP($A5546,HeadJournal!$A$1:$L$890,COLUMN(HeadJournal!H$1),0),0)</f>
        <v>0.25273555224981314</v>
      </c>
      <c r="P5546" s="30">
        <f>IFERROR(SUM(K5546:O5546)*VLOOKUP($A5546,HeadJournal!$A$1:$L$890,COLUMN(HeadJournal!H$1),0),0)</f>
        <v>911.07150573662295</v>
      </c>
      <c r="Q5546" s="29"/>
      <c r="R5546" s="31"/>
      <c r="S5546" s="31"/>
      <c r="T5546" s="95" t="str">
        <f t="shared" si="410"/>
        <v/>
      </c>
      <c r="U5546" s="32">
        <f t="shared" si="411"/>
        <v>-911.07150573662295</v>
      </c>
      <c r="V5546" s="22" t="str">
        <f t="shared" si="412"/>
        <v/>
      </c>
      <c r="X5546" s="33"/>
      <c r="Y5546" s="33"/>
    </row>
    <row r="5547" spans="1:25" x14ac:dyDescent="0.2">
      <c r="A5547" s="93" t="s">
        <v>5456</v>
      </c>
      <c r="B5547" s="94">
        <f>IFERROR(VLOOKUP($A5547,HeadJournal!$A$1:$NTR$890,COLUMN(HeadJournal!B$1),0),"")</f>
        <v>0</v>
      </c>
      <c r="C5547" s="94" t="str">
        <f>IFERROR(VLOOKUP($A5547,HeadJournal!$A$1:$NTR$890,COLUMN(HeadJournal!C$1),0),"")</f>
        <v>iHerb_AV CYG0792</v>
      </c>
      <c r="D5547" s="125" t="str">
        <f>IFERROR(VLOOKUP($A5547,HeadJournal!$A$1:$NTR$890,COLUMN(HeadJournal!D$1),0),"")</f>
        <v>Доставлен</v>
      </c>
      <c r="E5547" s="95">
        <f>IFERROR(VLOOKUP($A5547,HeadJournal!$A$1:$NTR$890,COLUMN(HeadJournal!G$1),0),"")</f>
        <v>46057</v>
      </c>
      <c r="F5547" s="95" t="str">
        <f t="shared" si="409"/>
        <v>2026 02</v>
      </c>
      <c r="G5547" s="97" t="s">
        <v>5</v>
      </c>
      <c r="H5547" s="161" t="s">
        <v>5141</v>
      </c>
      <c r="I5547" s="97" t="s">
        <v>2163</v>
      </c>
      <c r="J5547" s="97" t="s">
        <v>5444</v>
      </c>
      <c r="K5547" s="29">
        <v>29.46</v>
      </c>
      <c r="L5547" s="29">
        <v>-2.9449999999999998</v>
      </c>
      <c r="M5547" s="30">
        <f>IFERROR(VLOOKUP($A5547,HeadJournal!$A$1:$J$890,COLUMN(HeadJournal!I$1),0)*($K5547+$L5547)/(SUMIF($A:$A,$A5547,$K:$K)+SUMIF($A:$A,$A5547,$L:$L)),0)</f>
        <v>-2.6665760483297793</v>
      </c>
      <c r="N5547" s="30">
        <f>IFERROR((VLOOKUP($A5547,HeadJournal!$A$1:$K$890,COLUMN(HeadJournal!K$1),0)-VLOOKUP($A5547,HeadJournal!$A$1:$K$890,COLUMN(HeadJournal!J$1),0))*($K5547+$L5547)/(SUMIF($A:$A,$A5547,$K:$K)+SUMIF($A:$A,$A5547,$L:$L)),0)</f>
        <v>-3.8257773659618345E-15</v>
      </c>
      <c r="O5547" s="30">
        <f>IFERROR((VLOOKUP($A5547,HeadJournal!$A$1:$L$890,COLUMN(HeadJournal!L$1),0)*($K5547+$L5547)/(SUMIF($A:$A,$A5547,$K:$K)+SUMIF($A:$A,$A5547,$L:$L)))/VLOOKUP($A5547,HeadJournal!$A$1:$L$890,COLUMN(HeadJournal!H$1),0),0)</f>
        <v>0.59198614557454021</v>
      </c>
      <c r="P5547" s="30">
        <f>IFERROR(SUM(K5547:O5547)*VLOOKUP($A5547,HeadJournal!$A$1:$L$890,COLUMN(HeadJournal!H$1),0),0)</f>
        <v>2134.0159871560563</v>
      </c>
      <c r="Q5547" s="29">
        <v>3100</v>
      </c>
      <c r="R5547" s="31">
        <v>46088</v>
      </c>
      <c r="S5547" s="31" t="s">
        <v>3344</v>
      </c>
      <c r="T5547" s="95" t="str">
        <f t="shared" si="410"/>
        <v>2026 03</v>
      </c>
      <c r="U5547" s="32">
        <f t="shared" si="411"/>
        <v>965.98401284394367</v>
      </c>
      <c r="V5547" s="22">
        <f t="shared" si="412"/>
        <v>0.45266015749548516</v>
      </c>
      <c r="X5547" s="33"/>
      <c r="Y5547" s="33"/>
    </row>
    <row r="5548" spans="1:25" x14ac:dyDescent="0.2">
      <c r="A5548" s="93" t="s">
        <v>5456</v>
      </c>
      <c r="B5548" s="94">
        <f>IFERROR(VLOOKUP($A5548,HeadJournal!$A$1:$NTR$890,COLUMN(HeadJournal!B$1),0),"")</f>
        <v>0</v>
      </c>
      <c r="C5548" s="94" t="str">
        <f>IFERROR(VLOOKUP($A5548,HeadJournal!$A$1:$NTR$890,COLUMN(HeadJournal!C$1),0),"")</f>
        <v>iHerb_AV CYG0792</v>
      </c>
      <c r="D5548" s="125" t="str">
        <f>IFERROR(VLOOKUP($A5548,HeadJournal!$A$1:$NTR$890,COLUMN(HeadJournal!D$1),0),"")</f>
        <v>Доставлен</v>
      </c>
      <c r="E5548" s="95">
        <f>IFERROR(VLOOKUP($A5548,HeadJournal!$A$1:$NTR$890,COLUMN(HeadJournal!G$1),0),"")</f>
        <v>46057</v>
      </c>
      <c r="F5548" s="95" t="str">
        <f t="shared" si="409"/>
        <v>2026 02</v>
      </c>
      <c r="G5548" s="97" t="s">
        <v>5</v>
      </c>
      <c r="H5548" s="161" t="s">
        <v>5141</v>
      </c>
      <c r="I5548" s="97" t="s">
        <v>2163</v>
      </c>
      <c r="J5548" s="97" t="s">
        <v>5444</v>
      </c>
      <c r="K5548" s="29">
        <v>29.46</v>
      </c>
      <c r="L5548" s="29">
        <v>-2.9449999999999998</v>
      </c>
      <c r="M5548" s="30">
        <f>IFERROR(VLOOKUP($A5548,HeadJournal!$A$1:$J$890,COLUMN(HeadJournal!I$1),0)*($K5548+$L5548)/(SUMIF($A:$A,$A5548,$K:$K)+SUMIF($A:$A,$A5548,$L:$L)),0)</f>
        <v>-2.6665760483297793</v>
      </c>
      <c r="N5548" s="30">
        <f>IFERROR((VLOOKUP($A5548,HeadJournal!$A$1:$K$890,COLUMN(HeadJournal!K$1),0)-VLOOKUP($A5548,HeadJournal!$A$1:$K$890,COLUMN(HeadJournal!J$1),0))*($K5548+$L5548)/(SUMIF($A:$A,$A5548,$K:$K)+SUMIF($A:$A,$A5548,$L:$L)),0)</f>
        <v>-3.8257773659618345E-15</v>
      </c>
      <c r="O5548" s="30">
        <f>IFERROR((VLOOKUP($A5548,HeadJournal!$A$1:$L$890,COLUMN(HeadJournal!L$1),0)*($K5548+$L5548)/(SUMIF($A:$A,$A5548,$K:$K)+SUMIF($A:$A,$A5548,$L:$L)))/VLOOKUP($A5548,HeadJournal!$A$1:$L$890,COLUMN(HeadJournal!H$1),0),0)</f>
        <v>0.59198614557454021</v>
      </c>
      <c r="P5548" s="30">
        <f>IFERROR(SUM(K5548:O5548)*VLOOKUP($A5548,HeadJournal!$A$1:$L$890,COLUMN(HeadJournal!H$1),0),0)</f>
        <v>2134.0159871560563</v>
      </c>
      <c r="Q5548" s="29">
        <v>3100</v>
      </c>
      <c r="R5548" s="31">
        <v>46088</v>
      </c>
      <c r="S5548" s="31" t="s">
        <v>3344</v>
      </c>
      <c r="T5548" s="95" t="str">
        <f t="shared" si="410"/>
        <v>2026 03</v>
      </c>
      <c r="U5548" s="32">
        <f t="shared" si="411"/>
        <v>965.98401284394367</v>
      </c>
      <c r="V5548" s="22">
        <f t="shared" si="412"/>
        <v>0.45266015749548516</v>
      </c>
      <c r="X5548" s="33"/>
      <c r="Y5548" s="33"/>
    </row>
    <row r="5549" spans="1:25" x14ac:dyDescent="0.2">
      <c r="A5549" s="93" t="s">
        <v>5456</v>
      </c>
      <c r="B5549" s="94">
        <f>IFERROR(VLOOKUP($A5549,HeadJournal!$A$1:$NTR$890,COLUMN(HeadJournal!B$1),0),"")</f>
        <v>0</v>
      </c>
      <c r="C5549" s="94" t="str">
        <f>IFERROR(VLOOKUP($A5549,HeadJournal!$A$1:$NTR$890,COLUMN(HeadJournal!C$1),0),"")</f>
        <v>iHerb_AV CYG0792</v>
      </c>
      <c r="D5549" s="125" t="str">
        <f>IFERROR(VLOOKUP($A5549,HeadJournal!$A$1:$NTR$890,COLUMN(HeadJournal!D$1),0),"")</f>
        <v>Доставлен</v>
      </c>
      <c r="E5549" s="95">
        <f>IFERROR(VLOOKUP($A5549,HeadJournal!$A$1:$NTR$890,COLUMN(HeadJournal!G$1),0),"")</f>
        <v>46057</v>
      </c>
      <c r="F5549" s="95" t="str">
        <f t="shared" si="409"/>
        <v>2026 02</v>
      </c>
      <c r="G5549" s="97" t="s">
        <v>5</v>
      </c>
      <c r="H5549" s="161" t="s">
        <v>2014</v>
      </c>
      <c r="I5549" s="97" t="s">
        <v>2052</v>
      </c>
      <c r="J5549" s="97" t="s">
        <v>5445</v>
      </c>
      <c r="K5549" s="29">
        <v>32.840000000000003</v>
      </c>
      <c r="L5549" s="29">
        <v>-13.14</v>
      </c>
      <c r="M5549" s="30">
        <f>IFERROR(VLOOKUP($A5549,HeadJournal!$A$1:$J$890,COLUMN(HeadJournal!I$1),0)*($K5549+$L5549)/(SUMIF($A:$A,$A5549,$K:$K)+SUMIF($A:$A,$A5549,$L:$L)),0)</f>
        <v>-1.9812011371712863</v>
      </c>
      <c r="N5549" s="30">
        <f>IFERROR((VLOOKUP($A5549,HeadJournal!$A$1:$K$890,COLUMN(HeadJournal!K$1),0)-VLOOKUP($A5549,HeadJournal!$A$1:$K$890,COLUMN(HeadJournal!J$1),0))*($K5549+$L5549)/(SUMIF($A:$A,$A5549,$K:$K)+SUMIF($A:$A,$A5549,$L:$L)),0)</f>
        <v>-2.8424595176107168E-15</v>
      </c>
      <c r="O5549" s="30">
        <f>IFERROR((VLOOKUP($A5549,HeadJournal!$A$1:$L$890,COLUMN(HeadJournal!L$1),0)*($K5549+$L5549)/(SUMIF($A:$A,$A5549,$K:$K)+SUMIF($A:$A,$A5549,$L:$L)))/VLOOKUP($A5549,HeadJournal!$A$1:$L$890,COLUMN(HeadJournal!H$1),0),0)</f>
        <v>0.43983130559375616</v>
      </c>
      <c r="P5549" s="30">
        <f>IFERROR(SUM(K5549:O5549)*VLOOKUP($A5549,HeadJournal!$A$1:$L$890,COLUMN(HeadJournal!H$1),0),0)</f>
        <v>1585.5219666971268</v>
      </c>
      <c r="Q5549" s="29">
        <v>3400</v>
      </c>
      <c r="R5549" s="31">
        <v>46106</v>
      </c>
      <c r="S5549" s="31" t="s">
        <v>4992</v>
      </c>
      <c r="T5549" s="95" t="str">
        <f t="shared" si="410"/>
        <v>2026 03</v>
      </c>
      <c r="U5549" s="32">
        <f t="shared" si="411"/>
        <v>1814.4780333028732</v>
      </c>
      <c r="V5549" s="22">
        <f t="shared" si="412"/>
        <v>1.1444042223411734</v>
      </c>
      <c r="X5549" s="33"/>
      <c r="Y5549" s="33"/>
    </row>
    <row r="5550" spans="1:25" x14ac:dyDescent="0.2">
      <c r="A5550" s="93" t="s">
        <v>5456</v>
      </c>
      <c r="B5550" s="94">
        <f>IFERROR(VLOOKUP($A5550,HeadJournal!$A$1:$NTR$890,COLUMN(HeadJournal!B$1),0),"")</f>
        <v>0</v>
      </c>
      <c r="C5550" s="94" t="str">
        <f>IFERROR(VLOOKUP($A5550,HeadJournal!$A$1:$NTR$890,COLUMN(HeadJournal!C$1),0),"")</f>
        <v>iHerb_AV CYG0792</v>
      </c>
      <c r="D5550" s="125" t="str">
        <f>IFERROR(VLOOKUP($A5550,HeadJournal!$A$1:$NTR$890,COLUMN(HeadJournal!D$1),0),"")</f>
        <v>Доставлен</v>
      </c>
      <c r="E5550" s="95">
        <f>IFERROR(VLOOKUP($A5550,HeadJournal!$A$1:$NTR$890,COLUMN(HeadJournal!G$1),0),"")</f>
        <v>46057</v>
      </c>
      <c r="F5550" s="95" t="str">
        <f t="shared" si="409"/>
        <v>2026 02</v>
      </c>
      <c r="G5550" s="97" t="s">
        <v>5</v>
      </c>
      <c r="H5550" s="161" t="s">
        <v>5446</v>
      </c>
      <c r="I5550" s="97" t="s">
        <v>2666</v>
      </c>
      <c r="J5550" s="97" t="s">
        <v>5447</v>
      </c>
      <c r="K5550" s="29">
        <v>22</v>
      </c>
      <c r="L5550" s="29">
        <v>-2.2000000000000002</v>
      </c>
      <c r="M5550" s="30">
        <f>IFERROR(VLOOKUP($A5550,HeadJournal!$A$1:$J$890,COLUMN(HeadJournal!I$1),0)*($K5550+$L5550)/(SUMIF($A:$A,$A5550,$K:$K)+SUMIF($A:$A,$A5550,$L:$L)),0)</f>
        <v>-1.9912579957356076</v>
      </c>
      <c r="N5550" s="30">
        <f>IFERROR((VLOOKUP($A5550,HeadJournal!$A$1:$K$890,COLUMN(HeadJournal!K$1),0)-VLOOKUP($A5550,HeadJournal!$A$1:$K$890,COLUMN(HeadJournal!J$1),0))*($K5550+$L5550)/(SUMIF($A:$A,$A5550,$K:$K)+SUMIF($A:$A,$A5550,$L:$L)),0)</f>
        <v>-2.8568882461265069E-15</v>
      </c>
      <c r="O5550" s="30">
        <f>IFERROR((VLOOKUP($A5550,HeadJournal!$A$1:$L$890,COLUMN(HeadJournal!L$1),0)*($K5550+$L5550)/(SUMIF($A:$A,$A5550,$K:$K)+SUMIF($A:$A,$A5550,$L:$L)))/VLOOKUP($A5550,HeadJournal!$A$1:$L$890,COLUMN(HeadJournal!H$1),0),0)</f>
        <v>0.44206395181504415</v>
      </c>
      <c r="P5550" s="30">
        <f>IFERROR(SUM(K5550:O5550)*VLOOKUP($A5550,HeadJournal!$A$1:$L$890,COLUMN(HeadJournal!H$1),0),0)</f>
        <v>1593.5703015534571</v>
      </c>
      <c r="Q5550" s="29">
        <v>2600</v>
      </c>
      <c r="R5550" s="31">
        <v>46088</v>
      </c>
      <c r="S5550" s="31"/>
      <c r="T5550" s="95" t="str">
        <f t="shared" si="410"/>
        <v>2026 03</v>
      </c>
      <c r="U5550" s="32">
        <f t="shared" si="411"/>
        <v>1006.4296984465429</v>
      </c>
      <c r="V5550" s="22">
        <f t="shared" si="412"/>
        <v>0.63155651022452353</v>
      </c>
      <c r="X5550" s="33"/>
      <c r="Y5550" s="33"/>
    </row>
    <row r="5551" spans="1:25" x14ac:dyDescent="0.2">
      <c r="A5551" s="93" t="s">
        <v>5456</v>
      </c>
      <c r="B5551" s="94">
        <f>IFERROR(VLOOKUP($A5551,HeadJournal!$A$1:$NTR$890,COLUMN(HeadJournal!B$1),0),"")</f>
        <v>0</v>
      </c>
      <c r="C5551" s="94" t="str">
        <f>IFERROR(VLOOKUP($A5551,HeadJournal!$A$1:$NTR$890,COLUMN(HeadJournal!C$1),0),"")</f>
        <v>iHerb_AV CYG0792</v>
      </c>
      <c r="D5551" s="125" t="str">
        <f>IFERROR(VLOOKUP($A5551,HeadJournal!$A$1:$NTR$890,COLUMN(HeadJournal!D$1),0),"")</f>
        <v>Доставлен</v>
      </c>
      <c r="E5551" s="95">
        <f>IFERROR(VLOOKUP($A5551,HeadJournal!$A$1:$NTR$890,COLUMN(HeadJournal!G$1),0),"")</f>
        <v>46057</v>
      </c>
      <c r="F5551" s="95" t="str">
        <f t="shared" si="409"/>
        <v>2026 02</v>
      </c>
      <c r="G5551" s="97" t="s">
        <v>5</v>
      </c>
      <c r="H5551" s="161" t="s">
        <v>5446</v>
      </c>
      <c r="I5551" s="97" t="s">
        <v>2666</v>
      </c>
      <c r="J5551" s="97" t="s">
        <v>5447</v>
      </c>
      <c r="K5551" s="29">
        <v>22</v>
      </c>
      <c r="L5551" s="29">
        <v>-2.2000000000000002</v>
      </c>
      <c r="M5551" s="30">
        <f>IFERROR(VLOOKUP($A5551,HeadJournal!$A$1:$J$890,COLUMN(HeadJournal!I$1),0)*($K5551+$L5551)/(SUMIF($A:$A,$A5551,$K:$K)+SUMIF($A:$A,$A5551,$L:$L)),0)</f>
        <v>-1.9912579957356076</v>
      </c>
      <c r="N5551" s="30">
        <f>IFERROR((VLOOKUP($A5551,HeadJournal!$A$1:$K$890,COLUMN(HeadJournal!K$1),0)-VLOOKUP($A5551,HeadJournal!$A$1:$K$890,COLUMN(HeadJournal!J$1),0))*($K5551+$L5551)/(SUMIF($A:$A,$A5551,$K:$K)+SUMIF($A:$A,$A5551,$L:$L)),0)</f>
        <v>-2.8568882461265069E-15</v>
      </c>
      <c r="O5551" s="30">
        <f>IFERROR((VLOOKUP($A5551,HeadJournal!$A$1:$L$890,COLUMN(HeadJournal!L$1),0)*($K5551+$L5551)/(SUMIF($A:$A,$A5551,$K:$K)+SUMIF($A:$A,$A5551,$L:$L)))/VLOOKUP($A5551,HeadJournal!$A$1:$L$890,COLUMN(HeadJournal!H$1),0),0)</f>
        <v>0.44206395181504415</v>
      </c>
      <c r="P5551" s="30">
        <f>IFERROR(SUM(K5551:O5551)*VLOOKUP($A5551,HeadJournal!$A$1:$L$890,COLUMN(HeadJournal!H$1),0),0)</f>
        <v>1593.5703015534571</v>
      </c>
      <c r="Q5551" s="29">
        <v>2600</v>
      </c>
      <c r="R5551" s="31">
        <v>46088</v>
      </c>
      <c r="S5551" s="31"/>
      <c r="T5551" s="95" t="str">
        <f t="shared" si="410"/>
        <v>2026 03</v>
      </c>
      <c r="U5551" s="32">
        <f t="shared" si="411"/>
        <v>1006.4296984465429</v>
      </c>
      <c r="V5551" s="22">
        <f t="shared" si="412"/>
        <v>0.63155651022452353</v>
      </c>
      <c r="X5551" s="33"/>
      <c r="Y5551" s="33"/>
    </row>
    <row r="5552" spans="1:25" x14ac:dyDescent="0.2">
      <c r="A5552" s="93" t="s">
        <v>5456</v>
      </c>
      <c r="B5552" s="94">
        <f>IFERROR(VLOOKUP($A5552,HeadJournal!$A$1:$NTR$890,COLUMN(HeadJournal!B$1),0),"")</f>
        <v>0</v>
      </c>
      <c r="C5552" s="94" t="str">
        <f>IFERROR(VLOOKUP($A5552,HeadJournal!$A$1:$NTR$890,COLUMN(HeadJournal!C$1),0),"")</f>
        <v>iHerb_AV CYG0792</v>
      </c>
      <c r="D5552" s="125" t="str">
        <f>IFERROR(VLOOKUP($A5552,HeadJournal!$A$1:$NTR$890,COLUMN(HeadJournal!D$1),0),"")</f>
        <v>Доставлен</v>
      </c>
      <c r="E5552" s="95">
        <f>IFERROR(VLOOKUP($A5552,HeadJournal!$A$1:$NTR$890,COLUMN(HeadJournal!G$1),0),"")</f>
        <v>46057</v>
      </c>
      <c r="F5552" s="95" t="str">
        <f t="shared" si="409"/>
        <v>2026 02</v>
      </c>
      <c r="G5552" s="97" t="s">
        <v>5</v>
      </c>
      <c r="H5552" s="161" t="s">
        <v>5448</v>
      </c>
      <c r="I5552" s="97" t="s">
        <v>2666</v>
      </c>
      <c r="J5552" s="97" t="s">
        <v>5449</v>
      </c>
      <c r="K5552" s="29">
        <v>13.26</v>
      </c>
      <c r="L5552" s="29">
        <v>-1.33</v>
      </c>
      <c r="M5552" s="30">
        <f>IFERROR(VLOOKUP($A5552,HeadJournal!$A$1:$J$890,COLUMN(HeadJournal!I$1),0)*($K5552+$L5552)/(SUMIF($A:$A,$A5552,$K:$K)+SUMIF($A:$A,$A5552,$L:$L)),0)</f>
        <v>-1.1997832267235251</v>
      </c>
      <c r="N5552" s="30">
        <f>IFERROR((VLOOKUP($A5552,HeadJournal!$A$1:$K$890,COLUMN(HeadJournal!K$1),0)-VLOOKUP($A5552,HeadJournal!$A$1:$K$890,COLUMN(HeadJournal!J$1),0))*($K5552+$L5552)/(SUMIF($A:$A,$A5552,$K:$K)+SUMIF($A:$A,$A5552,$L:$L)),0)</f>
        <v>-1.7213473119337992E-15</v>
      </c>
      <c r="O5552" s="30">
        <f>IFERROR((VLOOKUP($A5552,HeadJournal!$A$1:$L$890,COLUMN(HeadJournal!L$1),0)*($K5552+$L5552)/(SUMIF($A:$A,$A5552,$K:$K)+SUMIF($A:$A,$A5552,$L:$L)))/VLOOKUP($A5552,HeadJournal!$A$1:$L$890,COLUMN(HeadJournal!H$1),0),0)</f>
        <v>0.26635469419967051</v>
      </c>
      <c r="P5552" s="30">
        <f>IFERROR(SUM(K5552:O5552)*VLOOKUP($A5552,HeadJournal!$A$1:$L$890,COLUMN(HeadJournal!H$1),0),0)</f>
        <v>960.16634836023945</v>
      </c>
      <c r="Q5552" s="29">
        <v>2000</v>
      </c>
      <c r="R5552" s="31">
        <v>46087</v>
      </c>
      <c r="S5552" s="31" t="s">
        <v>3252</v>
      </c>
      <c r="T5552" s="95" t="str">
        <f t="shared" si="410"/>
        <v>2026 03</v>
      </c>
      <c r="U5552" s="32">
        <f t="shared" si="411"/>
        <v>1039.8336516397605</v>
      </c>
      <c r="V5552" s="22">
        <f t="shared" si="412"/>
        <v>1.0829723968305867</v>
      </c>
      <c r="X5552" s="33"/>
      <c r="Y5552" s="33"/>
    </row>
    <row r="5553" spans="1:25" x14ac:dyDescent="0.2">
      <c r="A5553" s="93" t="s">
        <v>5456</v>
      </c>
      <c r="B5553" s="94">
        <f>IFERROR(VLOOKUP($A5553,HeadJournal!$A$1:$NTR$890,COLUMN(HeadJournal!B$1),0),"")</f>
        <v>0</v>
      </c>
      <c r="C5553" s="94" t="str">
        <f>IFERROR(VLOOKUP($A5553,HeadJournal!$A$1:$NTR$890,COLUMN(HeadJournal!C$1),0),"")</f>
        <v>iHerb_AV CYG0792</v>
      </c>
      <c r="D5553" s="125" t="str">
        <f>IFERROR(VLOOKUP($A5553,HeadJournal!$A$1:$NTR$890,COLUMN(HeadJournal!D$1),0),"")</f>
        <v>Доставлен</v>
      </c>
      <c r="E5553" s="95">
        <f>IFERROR(VLOOKUP($A5553,HeadJournal!$A$1:$NTR$890,COLUMN(HeadJournal!G$1),0),"")</f>
        <v>46057</v>
      </c>
      <c r="F5553" s="95" t="str">
        <f t="shared" si="409"/>
        <v>2026 02</v>
      </c>
      <c r="G5553" s="97" t="s">
        <v>5</v>
      </c>
      <c r="H5553" s="161" t="s">
        <v>5450</v>
      </c>
      <c r="I5553" s="97" t="s">
        <v>2229</v>
      </c>
      <c r="J5553" s="97" t="s">
        <v>5451</v>
      </c>
      <c r="K5553" s="29">
        <v>16.52</v>
      </c>
      <c r="L5553" s="29">
        <v>-1.65</v>
      </c>
      <c r="M5553" s="30">
        <f>IFERROR(VLOOKUP($A5553,HeadJournal!$A$1:$J$890,COLUMN(HeadJournal!I$1),0)*($K5553+$L5553)/(SUMIF($A:$A,$A5553,$K:$K)+SUMIF($A:$A,$A5553,$L:$L)),0)</f>
        <v>-1.4954548685145697</v>
      </c>
      <c r="N5553" s="30">
        <f>IFERROR((VLOOKUP($A5553,HeadJournal!$A$1:$K$890,COLUMN(HeadJournal!K$1),0)-VLOOKUP($A5553,HeadJournal!$A$1:$K$890,COLUMN(HeadJournal!J$1),0))*($K5553+$L5553)/(SUMIF($A:$A,$A5553,$K:$K)+SUMIF($A:$A,$A5553,$L:$L)),0)</f>
        <v>-2.1455519302980379E-15</v>
      </c>
      <c r="O5553" s="30">
        <f>IFERROR((VLOOKUP($A5553,HeadJournal!$A$1:$L$890,COLUMN(HeadJournal!L$1),0)*($K5553+$L5553)/(SUMIF($A:$A,$A5553,$K:$K)+SUMIF($A:$A,$A5553,$L:$L)))/VLOOKUP($A5553,HeadJournal!$A$1:$L$890,COLUMN(HeadJournal!H$1),0),0)</f>
        <v>0.33199449310554074</v>
      </c>
      <c r="P5553" s="30">
        <f>IFERROR(SUM(K5553:O5553)*VLOOKUP($A5553,HeadJournal!$A$1:$L$890,COLUMN(HeadJournal!H$1),0),0)</f>
        <v>1196.787393136359</v>
      </c>
      <c r="Q5553" s="29">
        <v>1900</v>
      </c>
      <c r="R5553" s="31">
        <v>46088</v>
      </c>
      <c r="S5553" s="31"/>
      <c r="T5553" s="95" t="str">
        <f t="shared" si="410"/>
        <v>2026 03</v>
      </c>
      <c r="U5553" s="32">
        <f t="shared" si="411"/>
        <v>703.21260686364099</v>
      </c>
      <c r="V5553" s="22">
        <f t="shared" si="412"/>
        <v>0.58758356822323132</v>
      </c>
      <c r="X5553" s="33"/>
      <c r="Y5553" s="33"/>
    </row>
    <row r="5554" spans="1:25" x14ac:dyDescent="0.2">
      <c r="A5554" s="93" t="s">
        <v>5456</v>
      </c>
      <c r="B5554" s="94">
        <f>IFERROR(VLOOKUP($A5554,HeadJournal!$A$1:$NTR$890,COLUMN(HeadJournal!B$1),0),"")</f>
        <v>0</v>
      </c>
      <c r="C5554" s="94" t="str">
        <f>IFERROR(VLOOKUP($A5554,HeadJournal!$A$1:$NTR$890,COLUMN(HeadJournal!C$1),0),"")</f>
        <v>iHerb_AV CYG0792</v>
      </c>
      <c r="D5554" s="125" t="str">
        <f>IFERROR(VLOOKUP($A5554,HeadJournal!$A$1:$NTR$890,COLUMN(HeadJournal!D$1),0),"")</f>
        <v>Доставлен</v>
      </c>
      <c r="E5554" s="95">
        <f>IFERROR(VLOOKUP($A5554,HeadJournal!$A$1:$NTR$890,COLUMN(HeadJournal!G$1),0),"")</f>
        <v>46057</v>
      </c>
      <c r="F5554" s="95" t="str">
        <f t="shared" si="409"/>
        <v>2026 02</v>
      </c>
      <c r="G5554" s="97" t="s">
        <v>5</v>
      </c>
      <c r="H5554" s="161" t="s">
        <v>5452</v>
      </c>
      <c r="I5554" s="97" t="s">
        <v>3846</v>
      </c>
      <c r="J5554" s="97" t="s">
        <v>5453</v>
      </c>
      <c r="K5554" s="29">
        <v>6.15</v>
      </c>
      <c r="L5554" s="29">
        <v>-0.62</v>
      </c>
      <c r="M5554" s="30">
        <f>IFERROR(VLOOKUP($A5554,HeadJournal!$A$1:$J$890,COLUMN(HeadJournal!I$1),0)*($K5554+$L5554)/(SUMIF($A:$A,$A5554,$K:$K)+SUMIF($A:$A,$A5554,$L:$L)),0)</f>
        <v>-0.55614427860696514</v>
      </c>
      <c r="N5554" s="30">
        <f>IFERROR((VLOOKUP($A5554,HeadJournal!$A$1:$K$890,COLUMN(HeadJournal!K$1),0)-VLOOKUP($A5554,HeadJournal!$A$1:$K$890,COLUMN(HeadJournal!J$1),0))*($K5554+$L5554)/(SUMIF($A:$A,$A5554,$K:$K)+SUMIF($A:$A,$A5554,$L:$L)),0)</f>
        <v>-7.9790868692321126E-16</v>
      </c>
      <c r="O5554" s="30">
        <f>IFERROR((VLOOKUP($A5554,HeadJournal!$A$1:$L$890,COLUMN(HeadJournal!L$1),0)*($K5554+$L5554)/(SUMIF($A:$A,$A5554,$K:$K)+SUMIF($A:$A,$A5554,$L:$L)))/VLOOKUP($A5554,HeadJournal!$A$1:$L$890,COLUMN(HeadJournal!H$1),0),0)</f>
        <v>0.12346533603723202</v>
      </c>
      <c r="P5554" s="30">
        <f>IFERROR(SUM(K5554:O5554)*VLOOKUP($A5554,HeadJournal!$A$1:$L$890,COLUMN(HeadJournal!H$1),0),0)</f>
        <v>445.0729175550818</v>
      </c>
      <c r="Q5554" s="29"/>
      <c r="R5554" s="31"/>
      <c r="S5554" s="31"/>
      <c r="T5554" s="95" t="str">
        <f t="shared" si="410"/>
        <v/>
      </c>
      <c r="U5554" s="32">
        <f t="shared" si="411"/>
        <v>-445.0729175550818</v>
      </c>
      <c r="V5554" s="22" t="str">
        <f t="shared" si="412"/>
        <v/>
      </c>
      <c r="X5554" s="33"/>
      <c r="Y5554" s="33"/>
    </row>
    <row r="5555" spans="1:25" x14ac:dyDescent="0.2">
      <c r="A5555" s="93" t="s">
        <v>5456</v>
      </c>
      <c r="B5555" s="94">
        <f>IFERROR(VLOOKUP($A5555,HeadJournal!$A$1:$NTR$890,COLUMN(HeadJournal!B$1),0),"")</f>
        <v>0</v>
      </c>
      <c r="C5555" s="94" t="str">
        <f>IFERROR(VLOOKUP($A5555,HeadJournal!$A$1:$NTR$890,COLUMN(HeadJournal!C$1),0),"")</f>
        <v>iHerb_AV CYG0792</v>
      </c>
      <c r="D5555" s="125" t="str">
        <f>IFERROR(VLOOKUP($A5555,HeadJournal!$A$1:$NTR$890,COLUMN(HeadJournal!D$1),0),"")</f>
        <v>Доставлен</v>
      </c>
      <c r="E5555" s="95">
        <f>IFERROR(VLOOKUP($A5555,HeadJournal!$A$1:$NTR$890,COLUMN(HeadJournal!G$1),0),"")</f>
        <v>46057</v>
      </c>
      <c r="F5555" s="95" t="str">
        <f t="shared" si="409"/>
        <v>2026 02</v>
      </c>
      <c r="G5555" s="97" t="s">
        <v>5</v>
      </c>
      <c r="H5555" s="161" t="s">
        <v>2081</v>
      </c>
      <c r="I5555" s="97" t="s">
        <v>2005</v>
      </c>
      <c r="J5555" s="97" t="s">
        <v>5454</v>
      </c>
      <c r="K5555" s="29">
        <v>11.25</v>
      </c>
      <c r="L5555" s="29">
        <v>-1.1299999999999999</v>
      </c>
      <c r="M5555" s="30">
        <f>IFERROR(VLOOKUP($A5555,HeadJournal!$A$1:$J$890,COLUMN(HeadJournal!I$1),0)*($K5555+$L5555)/(SUMIF($A:$A,$A5555,$K:$K)+SUMIF($A:$A,$A5555,$L:$L)),0)</f>
        <v>-1.0177540867093104</v>
      </c>
      <c r="N5555" s="30">
        <f>IFERROR((VLOOKUP($A5555,HeadJournal!$A$1:$K$890,COLUMN(HeadJournal!K$1),0)-VLOOKUP($A5555,HeadJournal!$A$1:$K$890,COLUMN(HeadJournal!J$1),0))*($K5555+$L5555)/(SUMIF($A:$A,$A5555,$K:$K)+SUMIF($A:$A,$A5555,$L:$L)),0)</f>
        <v>-1.4601873257979924E-15</v>
      </c>
      <c r="O5555" s="30">
        <f>IFERROR((VLOOKUP($A5555,HeadJournal!$A$1:$L$890,COLUMN(HeadJournal!L$1),0)*($K5555+$L5555)/(SUMIF($A:$A,$A5555,$K:$K)+SUMIF($A:$A,$A5555,$L:$L)))/VLOOKUP($A5555,HeadJournal!$A$1:$L$890,COLUMN(HeadJournal!H$1),0),0)</f>
        <v>0.22594379759435593</v>
      </c>
      <c r="P5555" s="30">
        <f>IFERROR(SUM(K5555:O5555)*VLOOKUP($A5555,HeadJournal!$A$1:$L$890,COLUMN(HeadJournal!H$1),0),0)</f>
        <v>814.491487460656</v>
      </c>
      <c r="Q5555" s="29">
        <v>1700</v>
      </c>
      <c r="R5555" s="31">
        <v>46088</v>
      </c>
      <c r="S5555" s="31"/>
      <c r="T5555" s="95" t="str">
        <f t="shared" si="410"/>
        <v>2026 03</v>
      </c>
      <c r="U5555" s="32">
        <f t="shared" si="411"/>
        <v>885.508512539344</v>
      </c>
      <c r="V5555" s="22">
        <f t="shared" si="412"/>
        <v>1.0871918567253516</v>
      </c>
      <c r="X5555" s="33"/>
      <c r="Y5555" s="33"/>
    </row>
    <row r="5556" spans="1:25" x14ac:dyDescent="0.2">
      <c r="A5556" s="93" t="s">
        <v>5456</v>
      </c>
      <c r="B5556" s="94">
        <f>IFERROR(VLOOKUP($A5556,HeadJournal!$A$1:$NTR$890,COLUMN(HeadJournal!B$1),0),"")</f>
        <v>0</v>
      </c>
      <c r="C5556" s="94" t="str">
        <f>IFERROR(VLOOKUP($A5556,HeadJournal!$A$1:$NTR$890,COLUMN(HeadJournal!C$1),0),"")</f>
        <v>iHerb_AV CYG0792</v>
      </c>
      <c r="D5556" s="125" t="str">
        <f>IFERROR(VLOOKUP($A5556,HeadJournal!$A$1:$NTR$890,COLUMN(HeadJournal!D$1),0),"")</f>
        <v>Доставлен</v>
      </c>
      <c r="E5556" s="95">
        <f>IFERROR(VLOOKUP($A5556,HeadJournal!$A$1:$NTR$890,COLUMN(HeadJournal!G$1),0),"")</f>
        <v>46057</v>
      </c>
      <c r="F5556" s="95" t="str">
        <f t="shared" si="409"/>
        <v>2026 02</v>
      </c>
      <c r="G5556" s="97" t="s">
        <v>5</v>
      </c>
      <c r="H5556" s="161" t="s">
        <v>2475</v>
      </c>
      <c r="I5556" s="97" t="s">
        <v>2005</v>
      </c>
      <c r="J5556" s="97" t="s">
        <v>5455</v>
      </c>
      <c r="K5556" s="29">
        <v>14.25</v>
      </c>
      <c r="L5556" s="29">
        <v>-1.43</v>
      </c>
      <c r="M5556" s="30">
        <f>IFERROR(VLOOKUP($A5556,HeadJournal!$A$1:$J$890,COLUMN(HeadJournal!I$1),0)*($K5556+$L5556)/(SUMIF($A:$A,$A5556,$K:$K)+SUMIF($A:$A,$A5556,$L:$L)),0)</f>
        <v>-1.2892892679459842</v>
      </c>
      <c r="N5556" s="30">
        <f>IFERROR((VLOOKUP($A5556,HeadJournal!$A$1:$K$890,COLUMN(HeadJournal!K$1),0)-VLOOKUP($A5556,HeadJournal!$A$1:$K$890,COLUMN(HeadJournal!J$1),0))*($K5556+$L5556)/(SUMIF($A:$A,$A5556,$K:$K)+SUMIF($A:$A,$A5556,$L:$L)),0)</f>
        <v>-1.8497629957243342E-15</v>
      </c>
      <c r="O5556" s="30">
        <f>IFERROR((VLOOKUP($A5556,HeadJournal!$A$1:$L$890,COLUMN(HeadJournal!L$1),0)*($K5556+$L5556)/(SUMIF($A:$A,$A5556,$K:$K)+SUMIF($A:$A,$A5556,$L:$L)))/VLOOKUP($A5556,HeadJournal!$A$1:$L$890,COLUMN(HeadJournal!H$1),0),0)</f>
        <v>0.28622524556913465</v>
      </c>
      <c r="P5556" s="30">
        <f>IFERROR(SUM(K5556:O5556)*VLOOKUP($A5556,HeadJournal!$A$1:$L$890,COLUMN(HeadJournal!H$1),0),0)</f>
        <v>1031.7965285815819</v>
      </c>
      <c r="Q5556" s="29"/>
      <c r="R5556" s="31"/>
      <c r="S5556" s="31"/>
      <c r="T5556" s="95" t="str">
        <f t="shared" si="410"/>
        <v/>
      </c>
      <c r="U5556" s="32">
        <f t="shared" si="411"/>
        <v>-1031.7965285815819</v>
      </c>
      <c r="V5556" s="22" t="str">
        <f t="shared" si="412"/>
        <v/>
      </c>
      <c r="X5556" s="33"/>
      <c r="Y5556" s="33"/>
    </row>
    <row r="5557" spans="1:25" x14ac:dyDescent="0.2">
      <c r="A5557" s="93" t="s">
        <v>5466</v>
      </c>
      <c r="B5557" s="94">
        <f>IFERROR(VLOOKUP($A5557,HeadJournal!$A$1:$NTR$890,COLUMN(HeadJournal!B$1),0),"")</f>
        <v>0</v>
      </c>
      <c r="C5557" s="94" t="str">
        <f>IFERROR(VLOOKUP($A5557,HeadJournal!$A$1:$NTR$890,COLUMN(HeadJournal!C$1),0),"")</f>
        <v>iHerb_OA CZN6870</v>
      </c>
      <c r="D5557" s="125" t="str">
        <f>IFERROR(VLOOKUP($A5557,HeadJournal!$A$1:$NTR$890,COLUMN(HeadJournal!D$1),0),"")</f>
        <v>Доставлен</v>
      </c>
      <c r="E5557" s="95">
        <f>IFERROR(VLOOKUP($A5557,HeadJournal!$A$1:$NTR$890,COLUMN(HeadJournal!G$1),0),"")</f>
        <v>46064</v>
      </c>
      <c r="F5557" s="95" t="str">
        <f t="shared" si="409"/>
        <v>2026 02</v>
      </c>
      <c r="G5557" s="97" t="s">
        <v>5</v>
      </c>
      <c r="H5557" s="161" t="s">
        <v>2081</v>
      </c>
      <c r="I5557" s="97" t="s">
        <v>2005</v>
      </c>
      <c r="J5557" s="97" t="s">
        <v>5454</v>
      </c>
      <c r="K5557" s="29">
        <v>11.25</v>
      </c>
      <c r="L5557" s="29">
        <v>-1.125</v>
      </c>
      <c r="M5557" s="30">
        <f>IFERROR(VLOOKUP($A5557,HeadJournal!$A$1:$J$890,COLUMN(HeadJournal!I$1),0)*($K5557+$L5557)/(SUMIF($A:$A,$A5557,$K:$K)+SUMIF($A:$A,$A5557,$L:$L)),0)</f>
        <v>-0.82797644482427102</v>
      </c>
      <c r="N5557" s="30">
        <f>IFERROR((VLOOKUP($A5557,HeadJournal!$A$1:$K$890,COLUMN(HeadJournal!K$1),0)-VLOOKUP($A5557,HeadJournal!$A$1:$K$890,COLUMN(HeadJournal!J$1),0))*($K5557+$L5557)/(SUMIF($A:$A,$A5557,$K:$K)+SUMIF($A:$A,$A5557,$L:$L)),0)</f>
        <v>0</v>
      </c>
      <c r="O5557" s="30">
        <f>IFERROR((VLOOKUP($A5557,HeadJournal!$A$1:$L$890,COLUMN(HeadJournal!L$1),0)*($K5557+$L5557)/(SUMIF($A:$A,$A5557,$K:$K)+SUMIF($A:$A,$A5557,$L:$L)))/VLOOKUP($A5557,HeadJournal!$A$1:$L$890,COLUMN(HeadJournal!H$1),0),0)</f>
        <v>0.23835577504030817</v>
      </c>
      <c r="P5557" s="30">
        <f>IFERROR(SUM(K5557:O5557)*VLOOKUP($A5557,HeadJournal!$A$1:$L$890,COLUMN(HeadJournal!H$1),0),0)</f>
        <v>830.78053226151053</v>
      </c>
      <c r="Q5557" s="29">
        <v>1700</v>
      </c>
      <c r="R5557" s="31">
        <v>46088</v>
      </c>
      <c r="S5557" s="31" t="s">
        <v>3321</v>
      </c>
      <c r="T5557" s="95" t="str">
        <f t="shared" si="410"/>
        <v>2026 03</v>
      </c>
      <c r="U5557" s="32">
        <f t="shared" si="411"/>
        <v>869.21946773848947</v>
      </c>
      <c r="V5557" s="22">
        <f t="shared" si="412"/>
        <v>1.0462684595802243</v>
      </c>
      <c r="X5557" s="33"/>
      <c r="Y5557" s="33"/>
    </row>
    <row r="5558" spans="1:25" x14ac:dyDescent="0.2">
      <c r="A5558" s="93" t="s">
        <v>5466</v>
      </c>
      <c r="B5558" s="94">
        <f>IFERROR(VLOOKUP($A5558,HeadJournal!$A$1:$NTR$890,COLUMN(HeadJournal!B$1),0),"")</f>
        <v>0</v>
      </c>
      <c r="C5558" s="94" t="str">
        <f>IFERROR(VLOOKUP($A5558,HeadJournal!$A$1:$NTR$890,COLUMN(HeadJournal!C$1),0),"")</f>
        <v>iHerb_OA CZN6870</v>
      </c>
      <c r="D5558" s="125" t="str">
        <f>IFERROR(VLOOKUP($A5558,HeadJournal!$A$1:$NTR$890,COLUMN(HeadJournal!D$1),0),"")</f>
        <v>Доставлен</v>
      </c>
      <c r="E5558" s="95">
        <f>IFERROR(VLOOKUP($A5558,HeadJournal!$A$1:$NTR$890,COLUMN(HeadJournal!G$1),0),"")</f>
        <v>46064</v>
      </c>
      <c r="F5558" s="95" t="str">
        <f t="shared" si="409"/>
        <v>2026 02</v>
      </c>
      <c r="G5558" s="97" t="s">
        <v>5</v>
      </c>
      <c r="H5558" s="161" t="s">
        <v>2081</v>
      </c>
      <c r="I5558" s="97" t="s">
        <v>2005</v>
      </c>
      <c r="J5558" s="97" t="s">
        <v>5454</v>
      </c>
      <c r="K5558" s="29">
        <v>11.25</v>
      </c>
      <c r="L5558" s="29">
        <v>-1.125</v>
      </c>
      <c r="M5558" s="30">
        <f>IFERROR(VLOOKUP($A5558,HeadJournal!$A$1:$J$890,COLUMN(HeadJournal!I$1),0)*($K5558+$L5558)/(SUMIF($A:$A,$A5558,$K:$K)+SUMIF($A:$A,$A5558,$L:$L)),0)</f>
        <v>-0.82797644482427102</v>
      </c>
      <c r="N5558" s="30">
        <f>IFERROR((VLOOKUP($A5558,HeadJournal!$A$1:$K$890,COLUMN(HeadJournal!K$1),0)-VLOOKUP($A5558,HeadJournal!$A$1:$K$890,COLUMN(HeadJournal!J$1),0))*($K5558+$L5558)/(SUMIF($A:$A,$A5558,$K:$K)+SUMIF($A:$A,$A5558,$L:$L)),0)</f>
        <v>0</v>
      </c>
      <c r="O5558" s="30">
        <f>IFERROR((VLOOKUP($A5558,HeadJournal!$A$1:$L$890,COLUMN(HeadJournal!L$1),0)*($K5558+$L5558)/(SUMIF($A:$A,$A5558,$K:$K)+SUMIF($A:$A,$A5558,$L:$L)))/VLOOKUP($A5558,HeadJournal!$A$1:$L$890,COLUMN(HeadJournal!H$1),0),0)</f>
        <v>0.23835577504030817</v>
      </c>
      <c r="P5558" s="30">
        <f>IFERROR(SUM(K5558:O5558)*VLOOKUP($A5558,HeadJournal!$A$1:$L$890,COLUMN(HeadJournal!H$1),0),0)</f>
        <v>830.78053226151053</v>
      </c>
      <c r="Q5558" s="29">
        <v>1700</v>
      </c>
      <c r="R5558" s="31">
        <v>46088</v>
      </c>
      <c r="S5558" s="31" t="s">
        <v>3321</v>
      </c>
      <c r="T5558" s="95" t="str">
        <f t="shared" si="410"/>
        <v>2026 03</v>
      </c>
      <c r="U5558" s="32">
        <f t="shared" si="411"/>
        <v>869.21946773848947</v>
      </c>
      <c r="V5558" s="22">
        <f t="shared" si="412"/>
        <v>1.0462684595802243</v>
      </c>
      <c r="X5558" s="33"/>
      <c r="Y5558" s="33"/>
    </row>
    <row r="5559" spans="1:25" x14ac:dyDescent="0.2">
      <c r="A5559" s="93" t="s">
        <v>5466</v>
      </c>
      <c r="B5559" s="94">
        <f>IFERROR(VLOOKUP($A5559,HeadJournal!$A$1:$NTR$890,COLUMN(HeadJournal!B$1),0),"")</f>
        <v>0</v>
      </c>
      <c r="C5559" s="94" t="str">
        <f>IFERROR(VLOOKUP($A5559,HeadJournal!$A$1:$NTR$890,COLUMN(HeadJournal!C$1),0),"")</f>
        <v>iHerb_OA CZN6870</v>
      </c>
      <c r="D5559" s="125" t="str">
        <f>IFERROR(VLOOKUP($A5559,HeadJournal!$A$1:$NTR$890,COLUMN(HeadJournal!D$1),0),"")</f>
        <v>Доставлен</v>
      </c>
      <c r="E5559" s="95">
        <f>IFERROR(VLOOKUP($A5559,HeadJournal!$A$1:$NTR$890,COLUMN(HeadJournal!G$1),0),"")</f>
        <v>46064</v>
      </c>
      <c r="F5559" s="95" t="str">
        <f t="shared" si="409"/>
        <v>2026 02</v>
      </c>
      <c r="G5559" s="97" t="s">
        <v>5</v>
      </c>
      <c r="H5559" s="161" t="s">
        <v>2771</v>
      </c>
      <c r="I5559" s="97" t="s">
        <v>2052</v>
      </c>
      <c r="J5559" s="97" t="s">
        <v>5443</v>
      </c>
      <c r="K5559" s="29">
        <v>14.15</v>
      </c>
      <c r="L5559" s="29">
        <v>-2.83</v>
      </c>
      <c r="M5559" s="30">
        <f>IFERROR(VLOOKUP($A5559,HeadJournal!$A$1:$J$890,COLUMN(HeadJournal!I$1),0)*($K5559+$L5559)/(SUMIF($A:$A,$A5559,$K:$K)+SUMIF($A:$A,$A5559,$L:$L)),0)</f>
        <v>-0.92569810917637008</v>
      </c>
      <c r="N5559" s="30">
        <f>IFERROR((VLOOKUP($A5559,HeadJournal!$A$1:$K$890,COLUMN(HeadJournal!K$1),0)-VLOOKUP($A5559,HeadJournal!$A$1:$K$890,COLUMN(HeadJournal!J$1),0))*($K5559+$L5559)/(SUMIF($A:$A,$A5559,$K:$K)+SUMIF($A:$A,$A5559,$L:$L)),0)</f>
        <v>0</v>
      </c>
      <c r="O5559" s="30">
        <f>IFERROR((VLOOKUP($A5559,HeadJournal!$A$1:$L$890,COLUMN(HeadJournal!L$1),0)*($K5559+$L5559)/(SUMIF($A:$A,$A5559,$K:$K)+SUMIF($A:$A,$A5559,$L:$L)))/VLOOKUP($A5559,HeadJournal!$A$1:$L$890,COLUMN(HeadJournal!H$1),0),0)</f>
        <v>0.26648764182284329</v>
      </c>
      <c r="P5559" s="30">
        <f>IFERROR(SUM(K5559:O5559)*VLOOKUP($A5559,HeadJournal!$A$1:$L$890,COLUMN(HeadJournal!H$1),0),0)</f>
        <v>928.83314816793086</v>
      </c>
      <c r="Q5559" s="29"/>
      <c r="R5559" s="31"/>
      <c r="S5559" s="31"/>
      <c r="T5559" s="95" t="str">
        <f t="shared" si="410"/>
        <v/>
      </c>
      <c r="U5559" s="32">
        <f t="shared" si="411"/>
        <v>-928.83314816793086</v>
      </c>
      <c r="V5559" s="22" t="str">
        <f t="shared" si="412"/>
        <v/>
      </c>
      <c r="X5559" s="33"/>
      <c r="Y5559" s="33"/>
    </row>
    <row r="5560" spans="1:25" x14ac:dyDescent="0.2">
      <c r="A5560" s="93" t="s">
        <v>5466</v>
      </c>
      <c r="B5560" s="94">
        <f>IFERROR(VLOOKUP($A5560,HeadJournal!$A$1:$NTR$890,COLUMN(HeadJournal!B$1),0),"")</f>
        <v>0</v>
      </c>
      <c r="C5560" s="94" t="str">
        <f>IFERROR(VLOOKUP($A5560,HeadJournal!$A$1:$NTR$890,COLUMN(HeadJournal!C$1),0),"")</f>
        <v>iHerb_OA CZN6870</v>
      </c>
      <c r="D5560" s="125" t="str">
        <f>IFERROR(VLOOKUP($A5560,HeadJournal!$A$1:$NTR$890,COLUMN(HeadJournal!D$1),0),"")</f>
        <v>Доставлен</v>
      </c>
      <c r="E5560" s="95">
        <f>IFERROR(VLOOKUP($A5560,HeadJournal!$A$1:$NTR$890,COLUMN(HeadJournal!G$1),0),"")</f>
        <v>46064</v>
      </c>
      <c r="F5560" s="95" t="str">
        <f t="shared" si="409"/>
        <v>2026 02</v>
      </c>
      <c r="G5560" s="97" t="s">
        <v>5</v>
      </c>
      <c r="H5560" s="161" t="s">
        <v>2471</v>
      </c>
      <c r="I5560" s="97" t="s">
        <v>2039</v>
      </c>
      <c r="J5560" s="97" t="s">
        <v>5442</v>
      </c>
      <c r="K5560" s="29">
        <v>20.07</v>
      </c>
      <c r="L5560" s="29">
        <v>-2.0099999999999998</v>
      </c>
      <c r="M5560" s="30">
        <f>IFERROR(VLOOKUP($A5560,HeadJournal!$A$1:$J$890,COLUMN(HeadJournal!I$1),0)*($K5560+$L5560)/(SUMIF($A:$A,$A5560,$K:$K)+SUMIF($A:$A,$A5560,$L:$L)),0)</f>
        <v>-1.4768646512124777</v>
      </c>
      <c r="N5560" s="30">
        <f>IFERROR((VLOOKUP($A5560,HeadJournal!$A$1:$K$890,COLUMN(HeadJournal!K$1),0)-VLOOKUP($A5560,HeadJournal!$A$1:$K$890,COLUMN(HeadJournal!J$1),0))*($K5560+$L5560)/(SUMIF($A:$A,$A5560,$K:$K)+SUMIF($A:$A,$A5560,$L:$L)),0)</f>
        <v>0</v>
      </c>
      <c r="O5560" s="30">
        <f>IFERROR((VLOOKUP($A5560,HeadJournal!$A$1:$L$890,COLUMN(HeadJournal!L$1),0)*($K5560+$L5560)/(SUMIF($A:$A,$A5560,$K:$K)+SUMIF($A:$A,$A5560,$L:$L)))/VLOOKUP($A5560,HeadJournal!$A$1:$L$890,COLUMN(HeadJournal!H$1),0),0)</f>
        <v>0.42515607873856459</v>
      </c>
      <c r="P5560" s="30">
        <f>IFERROR(SUM(K5560:O5560)*VLOOKUP($A5560,HeadJournal!$A$1:$L$890,COLUMN(HeadJournal!H$1),0),0)</f>
        <v>1481.866312359791</v>
      </c>
      <c r="Q5560" s="29"/>
      <c r="R5560" s="31"/>
      <c r="S5560" s="31"/>
      <c r="T5560" s="95" t="str">
        <f t="shared" si="410"/>
        <v/>
      </c>
      <c r="U5560" s="32">
        <f t="shared" si="411"/>
        <v>-1481.866312359791</v>
      </c>
      <c r="V5560" s="22" t="str">
        <f t="shared" si="412"/>
        <v/>
      </c>
      <c r="X5560" s="33"/>
      <c r="Y5560" s="33"/>
    </row>
    <row r="5561" spans="1:25" x14ac:dyDescent="0.2">
      <c r="A5561" s="93" t="s">
        <v>5466</v>
      </c>
      <c r="B5561" s="94">
        <f>IFERROR(VLOOKUP($A5561,HeadJournal!$A$1:$NTR$890,COLUMN(HeadJournal!B$1),0),"")</f>
        <v>0</v>
      </c>
      <c r="C5561" s="94" t="str">
        <f>IFERROR(VLOOKUP($A5561,HeadJournal!$A$1:$NTR$890,COLUMN(HeadJournal!C$1),0),"")</f>
        <v>iHerb_OA CZN6870</v>
      </c>
      <c r="D5561" s="125" t="str">
        <f>IFERROR(VLOOKUP($A5561,HeadJournal!$A$1:$NTR$890,COLUMN(HeadJournal!D$1),0),"")</f>
        <v>Доставлен</v>
      </c>
      <c r="E5561" s="95">
        <f>IFERROR(VLOOKUP($A5561,HeadJournal!$A$1:$NTR$890,COLUMN(HeadJournal!G$1),0),"")</f>
        <v>46064</v>
      </c>
      <c r="F5561" s="95" t="str">
        <f t="shared" si="409"/>
        <v>2026 02</v>
      </c>
      <c r="G5561" s="97" t="s">
        <v>5</v>
      </c>
      <c r="H5561" s="161" t="s">
        <v>2073</v>
      </c>
      <c r="I5561" s="97" t="s">
        <v>2005</v>
      </c>
      <c r="J5561" s="97" t="s">
        <v>5457</v>
      </c>
      <c r="K5561" s="29">
        <v>19.510000000000002</v>
      </c>
      <c r="L5561" s="29">
        <v>-1.95</v>
      </c>
      <c r="M5561" s="30">
        <f>IFERROR(VLOOKUP($A5561,HeadJournal!$A$1:$J$890,COLUMN(HeadJournal!I$1),0)*($K5561+$L5561)/(SUMIF($A:$A,$A5561,$K:$K)+SUMIF($A:$A,$A5561,$L:$L)),0)</f>
        <v>-1.4359769255421431</v>
      </c>
      <c r="N5561" s="30">
        <f>IFERROR((VLOOKUP($A5561,HeadJournal!$A$1:$K$890,COLUMN(HeadJournal!K$1),0)-VLOOKUP($A5561,HeadJournal!$A$1:$K$890,COLUMN(HeadJournal!J$1),0))*($K5561+$L5561)/(SUMIF($A:$A,$A5561,$K:$K)+SUMIF($A:$A,$A5561,$L:$L)),0)</f>
        <v>0</v>
      </c>
      <c r="O5561" s="30">
        <f>IFERROR((VLOOKUP($A5561,HeadJournal!$A$1:$L$890,COLUMN(HeadJournal!L$1),0)*($K5561+$L5561)/(SUMIF($A:$A,$A5561,$K:$K)+SUMIF($A:$A,$A5561,$L:$L)))/VLOOKUP($A5561,HeadJournal!$A$1:$L$890,COLUMN(HeadJournal!H$1),0),0)</f>
        <v>0.41338542318101851</v>
      </c>
      <c r="P5561" s="30">
        <f>IFERROR(SUM(K5561:O5561)*VLOOKUP($A5561,HeadJournal!$A$1:$L$890,COLUMN(HeadJournal!H$1),0),0)</f>
        <v>1440.8401132357658</v>
      </c>
      <c r="Q5561" s="29">
        <v>2500</v>
      </c>
      <c r="R5561" s="31">
        <v>46087</v>
      </c>
      <c r="S5561" s="31" t="s">
        <v>3252</v>
      </c>
      <c r="T5561" s="95" t="str">
        <f t="shared" si="410"/>
        <v>2026 03</v>
      </c>
      <c r="U5561" s="32">
        <f t="shared" si="411"/>
        <v>1059.1598867642342</v>
      </c>
      <c r="V5561" s="22">
        <f t="shared" si="412"/>
        <v>0.73509883368365314</v>
      </c>
      <c r="X5561" s="33"/>
      <c r="Y5561" s="33"/>
    </row>
    <row r="5562" spans="1:25" x14ac:dyDescent="0.2">
      <c r="A5562" s="93" t="s">
        <v>5466</v>
      </c>
      <c r="B5562" s="94">
        <f>IFERROR(VLOOKUP($A5562,HeadJournal!$A$1:$NTR$890,COLUMN(HeadJournal!B$1),0),"")</f>
        <v>0</v>
      </c>
      <c r="C5562" s="94" t="str">
        <f>IFERROR(VLOOKUP($A5562,HeadJournal!$A$1:$NTR$890,COLUMN(HeadJournal!C$1),0),"")</f>
        <v>iHerb_OA CZN6870</v>
      </c>
      <c r="D5562" s="125" t="str">
        <f>IFERROR(VLOOKUP($A5562,HeadJournal!$A$1:$NTR$890,COLUMN(HeadJournal!D$1),0),"")</f>
        <v>Доставлен</v>
      </c>
      <c r="E5562" s="95">
        <f>IFERROR(VLOOKUP($A5562,HeadJournal!$A$1:$NTR$890,COLUMN(HeadJournal!G$1),0),"")</f>
        <v>46064</v>
      </c>
      <c r="F5562" s="95" t="str">
        <f t="shared" si="409"/>
        <v>2026 02</v>
      </c>
      <c r="G5562" s="97" t="s">
        <v>5</v>
      </c>
      <c r="H5562" s="161" t="s">
        <v>2073</v>
      </c>
      <c r="I5562" s="97" t="s">
        <v>2005</v>
      </c>
      <c r="J5562" s="97" t="s">
        <v>5457</v>
      </c>
      <c r="K5562" s="29">
        <v>19.510000000000002</v>
      </c>
      <c r="L5562" s="29">
        <v>-1.95</v>
      </c>
      <c r="M5562" s="30">
        <f>IFERROR(VLOOKUP($A5562,HeadJournal!$A$1:$J$890,COLUMN(HeadJournal!I$1),0)*($K5562+$L5562)/(SUMIF($A:$A,$A5562,$K:$K)+SUMIF($A:$A,$A5562,$L:$L)),0)</f>
        <v>-1.4359769255421431</v>
      </c>
      <c r="N5562" s="30">
        <f>IFERROR((VLOOKUP($A5562,HeadJournal!$A$1:$K$890,COLUMN(HeadJournal!K$1),0)-VLOOKUP($A5562,HeadJournal!$A$1:$K$890,COLUMN(HeadJournal!J$1),0))*($K5562+$L5562)/(SUMIF($A:$A,$A5562,$K:$K)+SUMIF($A:$A,$A5562,$L:$L)),0)</f>
        <v>0</v>
      </c>
      <c r="O5562" s="30">
        <f>IFERROR((VLOOKUP($A5562,HeadJournal!$A$1:$L$890,COLUMN(HeadJournal!L$1),0)*($K5562+$L5562)/(SUMIF($A:$A,$A5562,$K:$K)+SUMIF($A:$A,$A5562,$L:$L)))/VLOOKUP($A5562,HeadJournal!$A$1:$L$890,COLUMN(HeadJournal!H$1),0),0)</f>
        <v>0.41338542318101851</v>
      </c>
      <c r="P5562" s="30">
        <f>IFERROR(SUM(K5562:O5562)*VLOOKUP($A5562,HeadJournal!$A$1:$L$890,COLUMN(HeadJournal!H$1),0),0)</f>
        <v>1440.8401132357658</v>
      </c>
      <c r="Q5562" s="29"/>
      <c r="R5562" s="31"/>
      <c r="S5562" s="31"/>
      <c r="T5562" s="95" t="str">
        <f t="shared" si="410"/>
        <v/>
      </c>
      <c r="U5562" s="32">
        <f t="shared" si="411"/>
        <v>-1440.8401132357658</v>
      </c>
      <c r="V5562" s="22" t="str">
        <f t="shared" si="412"/>
        <v/>
      </c>
      <c r="X5562" s="33"/>
      <c r="Y5562" s="33"/>
    </row>
    <row r="5563" spans="1:25" x14ac:dyDescent="0.2">
      <c r="A5563" s="93" t="s">
        <v>5466</v>
      </c>
      <c r="B5563" s="94">
        <f>IFERROR(VLOOKUP($A5563,HeadJournal!$A$1:$NTR$890,COLUMN(HeadJournal!B$1),0),"")</f>
        <v>0</v>
      </c>
      <c r="C5563" s="94" t="str">
        <f>IFERROR(VLOOKUP($A5563,HeadJournal!$A$1:$NTR$890,COLUMN(HeadJournal!C$1),0),"")</f>
        <v>iHerb_OA CZN6870</v>
      </c>
      <c r="D5563" s="125" t="str">
        <f>IFERROR(VLOOKUP($A5563,HeadJournal!$A$1:$NTR$890,COLUMN(HeadJournal!D$1),0),"")</f>
        <v>Доставлен</v>
      </c>
      <c r="E5563" s="95">
        <f>IFERROR(VLOOKUP($A5563,HeadJournal!$A$1:$NTR$890,COLUMN(HeadJournal!G$1),0),"")</f>
        <v>46064</v>
      </c>
      <c r="F5563" s="95" t="str">
        <f t="shared" si="409"/>
        <v>2026 02</v>
      </c>
      <c r="G5563" s="97" t="s">
        <v>5</v>
      </c>
      <c r="H5563" s="161" t="s">
        <v>3822</v>
      </c>
      <c r="I5563" s="97" t="s">
        <v>2009</v>
      </c>
      <c r="J5563" s="97" t="s">
        <v>5458</v>
      </c>
      <c r="K5563" s="29">
        <v>11.82</v>
      </c>
      <c r="L5563" s="29">
        <v>-1.18</v>
      </c>
      <c r="M5563" s="30">
        <f>IFERROR(VLOOKUP($A5563,HeadJournal!$A$1:$J$890,COLUMN(HeadJournal!I$1),0)*($K5563+$L5563)/(SUMIF($A:$A,$A5563,$K:$K)+SUMIF($A:$A,$A5563,$L:$L)),0)</f>
        <v>-0.87009080226471536</v>
      </c>
      <c r="N5563" s="30">
        <f>IFERROR((VLOOKUP($A5563,HeadJournal!$A$1:$K$890,COLUMN(HeadJournal!K$1),0)-VLOOKUP($A5563,HeadJournal!$A$1:$K$890,COLUMN(HeadJournal!J$1),0))*($K5563+$L5563)/(SUMIF($A:$A,$A5563,$K:$K)+SUMIF($A:$A,$A5563,$L:$L)),0)</f>
        <v>0</v>
      </c>
      <c r="O5563" s="30">
        <f>IFERROR((VLOOKUP($A5563,HeadJournal!$A$1:$L$890,COLUMN(HeadJournal!L$1),0)*($K5563+$L5563)/(SUMIF($A:$A,$A5563,$K:$K)+SUMIF($A:$A,$A5563,$L:$L)))/VLOOKUP($A5563,HeadJournal!$A$1:$L$890,COLUMN(HeadJournal!H$1),0),0)</f>
        <v>0.25047955026458069</v>
      </c>
      <c r="P5563" s="30">
        <f>IFERROR(SUM(K5563:O5563)*VLOOKUP($A5563,HeadJournal!$A$1:$L$890,COLUMN(HeadJournal!H$1),0),0)</f>
        <v>873.03751735925653</v>
      </c>
      <c r="Q5563" s="29">
        <v>1800</v>
      </c>
      <c r="R5563" s="31">
        <v>46088</v>
      </c>
      <c r="S5563" s="31" t="s">
        <v>3235</v>
      </c>
      <c r="T5563" s="95" t="str">
        <f t="shared" si="410"/>
        <v>2026 03</v>
      </c>
      <c r="U5563" s="32">
        <f t="shared" si="411"/>
        <v>926.96248264074347</v>
      </c>
      <c r="V5563" s="22">
        <f t="shared" si="412"/>
        <v>1.0617670652283053</v>
      </c>
      <c r="X5563" s="33"/>
      <c r="Y5563" s="33"/>
    </row>
    <row r="5564" spans="1:25" x14ac:dyDescent="0.2">
      <c r="A5564" s="93" t="s">
        <v>5466</v>
      </c>
      <c r="B5564" s="94">
        <f>IFERROR(VLOOKUP($A5564,HeadJournal!$A$1:$NTR$890,COLUMN(HeadJournal!B$1),0),"")</f>
        <v>0</v>
      </c>
      <c r="C5564" s="94" t="str">
        <f>IFERROR(VLOOKUP($A5564,HeadJournal!$A$1:$NTR$890,COLUMN(HeadJournal!C$1),0),"")</f>
        <v>iHerb_OA CZN6870</v>
      </c>
      <c r="D5564" s="125" t="str">
        <f>IFERROR(VLOOKUP($A5564,HeadJournal!$A$1:$NTR$890,COLUMN(HeadJournal!D$1),0),"")</f>
        <v>Доставлен</v>
      </c>
      <c r="E5564" s="95">
        <f>IFERROR(VLOOKUP($A5564,HeadJournal!$A$1:$NTR$890,COLUMN(HeadJournal!G$1),0),"")</f>
        <v>46064</v>
      </c>
      <c r="F5564" s="95" t="str">
        <f t="shared" si="409"/>
        <v>2026 02</v>
      </c>
      <c r="G5564" s="97" t="s">
        <v>5</v>
      </c>
      <c r="H5564" s="161" t="s">
        <v>4389</v>
      </c>
      <c r="I5564" s="97" t="s">
        <v>2045</v>
      </c>
      <c r="J5564" s="97" t="s">
        <v>5459</v>
      </c>
      <c r="K5564" s="29">
        <v>17.68</v>
      </c>
      <c r="L5564" s="29">
        <v>-1.77</v>
      </c>
      <c r="M5564" s="30">
        <f>IFERROR(VLOOKUP($A5564,HeadJournal!$A$1:$J$890,COLUMN(HeadJournal!I$1),0)*($K5564+$L5564)/(SUMIF($A:$A,$A5564,$K:$K)+SUMIF($A:$A,$A5564,$L:$L)),0)</f>
        <v>-1.3010474308300395</v>
      </c>
      <c r="N5564" s="30">
        <f>IFERROR((VLOOKUP($A5564,HeadJournal!$A$1:$K$890,COLUMN(HeadJournal!K$1),0)-VLOOKUP($A5564,HeadJournal!$A$1:$K$890,COLUMN(HeadJournal!J$1),0))*($K5564+$L5564)/(SUMIF($A:$A,$A5564,$K:$K)+SUMIF($A:$A,$A5564,$L:$L)),0)</f>
        <v>0</v>
      </c>
      <c r="O5564" s="30">
        <f>IFERROR((VLOOKUP($A5564,HeadJournal!$A$1:$L$890,COLUMN(HeadJournal!L$1),0)*($K5564+$L5564)/(SUMIF($A:$A,$A5564,$K:$K)+SUMIF($A:$A,$A5564,$L:$L)))/VLOOKUP($A5564,HeadJournal!$A$1:$L$890,COLUMN(HeadJournal!H$1),0),0)</f>
        <v>0.37454225984111639</v>
      </c>
      <c r="P5564" s="30">
        <f>IFERROR(SUM(K5564:O5564)*VLOOKUP($A5564,HeadJournal!$A$1:$L$890,COLUMN(HeadJournal!H$1),0),0)</f>
        <v>1305.4536561264824</v>
      </c>
      <c r="Q5564" s="29">
        <v>2200</v>
      </c>
      <c r="R5564" s="31">
        <v>46117</v>
      </c>
      <c r="S5564" s="31" t="s">
        <v>4610</v>
      </c>
      <c r="T5564" s="95" t="str">
        <f t="shared" si="410"/>
        <v>2026 04</v>
      </c>
      <c r="U5564" s="32">
        <f t="shared" si="411"/>
        <v>894.54634387351757</v>
      </c>
      <c r="V5564" s="22">
        <f t="shared" si="412"/>
        <v>0.68523791685397606</v>
      </c>
      <c r="X5564" s="33"/>
      <c r="Y5564" s="33"/>
    </row>
    <row r="5565" spans="1:25" x14ac:dyDescent="0.2">
      <c r="A5565" s="93" t="s">
        <v>5466</v>
      </c>
      <c r="B5565" s="94">
        <f>IFERROR(VLOOKUP($A5565,HeadJournal!$A$1:$NTR$890,COLUMN(HeadJournal!B$1),0),"")</f>
        <v>0</v>
      </c>
      <c r="C5565" s="94" t="str">
        <f>IFERROR(VLOOKUP($A5565,HeadJournal!$A$1:$NTR$890,COLUMN(HeadJournal!C$1),0),"")</f>
        <v>iHerb_OA CZN6870</v>
      </c>
      <c r="D5565" s="125" t="str">
        <f>IFERROR(VLOOKUP($A5565,HeadJournal!$A$1:$NTR$890,COLUMN(HeadJournal!D$1),0),"")</f>
        <v>Доставлен</v>
      </c>
      <c r="E5565" s="95">
        <f>IFERROR(VLOOKUP($A5565,HeadJournal!$A$1:$NTR$890,COLUMN(HeadJournal!G$1),0),"")</f>
        <v>46064</v>
      </c>
      <c r="F5565" s="95" t="str">
        <f t="shared" si="409"/>
        <v>2026 02</v>
      </c>
      <c r="G5565" s="97" t="s">
        <v>5</v>
      </c>
      <c r="H5565" s="161" t="s">
        <v>5460</v>
      </c>
      <c r="I5565" s="97" t="s">
        <v>2839</v>
      </c>
      <c r="J5565" s="97" t="s">
        <v>5461</v>
      </c>
      <c r="K5565" s="29">
        <v>19.57</v>
      </c>
      <c r="L5565" s="29">
        <v>0</v>
      </c>
      <c r="M5565" s="30">
        <f>IFERROR(VLOOKUP($A5565,HeadJournal!$A$1:$J$890,COLUMN(HeadJournal!I$1),0)*($K5565+$L5565)/(SUMIF($A:$A,$A5565,$K:$K)+SUMIF($A:$A,$A5565,$L:$L)),0)</f>
        <v>-1.6003455827368873</v>
      </c>
      <c r="N5565" s="30">
        <f>IFERROR((VLOOKUP($A5565,HeadJournal!$A$1:$K$890,COLUMN(HeadJournal!K$1),0)-VLOOKUP($A5565,HeadJournal!$A$1:$K$890,COLUMN(HeadJournal!J$1),0))*($K5565+$L5565)/(SUMIF($A:$A,$A5565,$K:$K)+SUMIF($A:$A,$A5565,$L:$L)),0)</f>
        <v>0</v>
      </c>
      <c r="O5565" s="30">
        <f>IFERROR((VLOOKUP($A5565,HeadJournal!$A$1:$L$890,COLUMN(HeadJournal!L$1),0)*($K5565+$L5565)/(SUMIF($A:$A,$A5565,$K:$K)+SUMIF($A:$A,$A5565,$L:$L)))/VLOOKUP($A5565,HeadJournal!$A$1:$L$890,COLUMN(HeadJournal!H$1),0),0)</f>
        <v>0.46070345852235367</v>
      </c>
      <c r="P5565" s="30">
        <f>IFERROR(SUM(K5565:O5565)*VLOOKUP($A5565,HeadJournal!$A$1:$L$890,COLUMN(HeadJournal!H$1),0),0)</f>
        <v>1605.7654337143467</v>
      </c>
      <c r="Q5565" s="29">
        <v>2400</v>
      </c>
      <c r="R5565" s="31">
        <v>46088</v>
      </c>
      <c r="S5565" s="31" t="s">
        <v>5091</v>
      </c>
      <c r="T5565" s="95" t="str">
        <f t="shared" si="410"/>
        <v>2026 03</v>
      </c>
      <c r="U5565" s="32">
        <f t="shared" si="411"/>
        <v>794.23456628565327</v>
      </c>
      <c r="V5565" s="22">
        <f t="shared" si="412"/>
        <v>0.49461431265741235</v>
      </c>
      <c r="X5565" s="33"/>
      <c r="Y5565" s="33"/>
    </row>
    <row r="5566" spans="1:25" x14ac:dyDescent="0.2">
      <c r="A5566" s="93" t="s">
        <v>5466</v>
      </c>
      <c r="B5566" s="94">
        <f>IFERROR(VLOOKUP($A5566,HeadJournal!$A$1:$NTR$890,COLUMN(HeadJournal!B$1),0),"")</f>
        <v>0</v>
      </c>
      <c r="C5566" s="94" t="str">
        <f>IFERROR(VLOOKUP($A5566,HeadJournal!$A$1:$NTR$890,COLUMN(HeadJournal!C$1),0),"")</f>
        <v>iHerb_OA CZN6870</v>
      </c>
      <c r="D5566" s="125" t="str">
        <f>IFERROR(VLOOKUP($A5566,HeadJournal!$A$1:$NTR$890,COLUMN(HeadJournal!D$1),0),"")</f>
        <v>Доставлен</v>
      </c>
      <c r="E5566" s="95">
        <f>IFERROR(VLOOKUP($A5566,HeadJournal!$A$1:$NTR$890,COLUMN(HeadJournal!G$1),0),"")</f>
        <v>46064</v>
      </c>
      <c r="F5566" s="95" t="str">
        <f t="shared" si="409"/>
        <v>2026 02</v>
      </c>
      <c r="G5566" s="97" t="s">
        <v>5</v>
      </c>
      <c r="H5566" s="161" t="s">
        <v>5196</v>
      </c>
      <c r="I5566" s="97" t="s">
        <v>2839</v>
      </c>
      <c r="J5566" s="97" t="s">
        <v>5462</v>
      </c>
      <c r="K5566" s="29">
        <v>13.64</v>
      </c>
      <c r="L5566" s="29">
        <v>0</v>
      </c>
      <c r="M5566" s="30">
        <f>IFERROR(VLOOKUP($A5566,HeadJournal!$A$1:$J$890,COLUMN(HeadJournal!I$1),0)*($K5566+$L5566)/(SUMIF($A:$A,$A5566,$K:$K)+SUMIF($A:$A,$A5566,$L:$L)),0)</f>
        <v>-1.1154171562867217</v>
      </c>
      <c r="N5566" s="30">
        <f>IFERROR((VLOOKUP($A5566,HeadJournal!$A$1:$K$890,COLUMN(HeadJournal!K$1),0)-VLOOKUP($A5566,HeadJournal!$A$1:$K$890,COLUMN(HeadJournal!J$1),0))*($K5566+$L5566)/(SUMIF($A:$A,$A5566,$K:$K)+SUMIF($A:$A,$A5566,$L:$L)),0)</f>
        <v>0</v>
      </c>
      <c r="O5566" s="30">
        <f>IFERROR((VLOOKUP($A5566,HeadJournal!$A$1:$L$890,COLUMN(HeadJournal!L$1),0)*($K5566+$L5566)/(SUMIF($A:$A,$A5566,$K:$K)+SUMIF($A:$A,$A5566,$L:$L)))/VLOOKUP($A5566,HeadJournal!$A$1:$L$890,COLUMN(HeadJournal!H$1),0),0)</f>
        <v>0.32110348360985713</v>
      </c>
      <c r="P5566" s="30">
        <f>IFERROR(SUM(K5566:O5566)*VLOOKUP($A5566,HeadJournal!$A$1:$L$890,COLUMN(HeadJournal!H$1),0),0)</f>
        <v>1119.1947121034079</v>
      </c>
      <c r="Q5566" s="29"/>
      <c r="R5566" s="31"/>
      <c r="S5566" s="31"/>
      <c r="T5566" s="95" t="str">
        <f t="shared" si="410"/>
        <v/>
      </c>
      <c r="U5566" s="32">
        <f t="shared" si="411"/>
        <v>-1119.1947121034079</v>
      </c>
      <c r="V5566" s="22" t="str">
        <f t="shared" si="412"/>
        <v/>
      </c>
      <c r="X5566" s="33"/>
      <c r="Y5566" s="33"/>
    </row>
    <row r="5567" spans="1:25" x14ac:dyDescent="0.2">
      <c r="A5567" s="93" t="s">
        <v>5466</v>
      </c>
      <c r="B5567" s="94">
        <f>IFERROR(VLOOKUP($A5567,HeadJournal!$A$1:$NTR$890,COLUMN(HeadJournal!B$1),0),"")</f>
        <v>0</v>
      </c>
      <c r="C5567" s="94" t="str">
        <f>IFERROR(VLOOKUP($A5567,HeadJournal!$A$1:$NTR$890,COLUMN(HeadJournal!C$1),0),"")</f>
        <v>iHerb_OA CZN6870</v>
      </c>
      <c r="D5567" s="125" t="str">
        <f>IFERROR(VLOOKUP($A5567,HeadJournal!$A$1:$NTR$890,COLUMN(HeadJournal!D$1),0),"")</f>
        <v>Доставлен</v>
      </c>
      <c r="E5567" s="95">
        <f>IFERROR(VLOOKUP($A5567,HeadJournal!$A$1:$NTR$890,COLUMN(HeadJournal!G$1),0),"")</f>
        <v>46064</v>
      </c>
      <c r="F5567" s="95" t="str">
        <f t="shared" si="409"/>
        <v>2026 02</v>
      </c>
      <c r="G5567" s="97" t="s">
        <v>5</v>
      </c>
      <c r="H5567" s="161" t="s">
        <v>5463</v>
      </c>
      <c r="I5567" s="97" t="s">
        <v>2005</v>
      </c>
      <c r="J5567" s="97" t="s">
        <v>5464</v>
      </c>
      <c r="K5567" s="29">
        <v>29.71</v>
      </c>
      <c r="L5567" s="29">
        <v>-2.97</v>
      </c>
      <c r="M5567" s="30">
        <f>IFERROR(VLOOKUP($A5567,HeadJournal!$A$1:$J$890,COLUMN(HeadJournal!I$1),0)*($K5567+$L5567)/(SUMIF($A:$A,$A5567,$K:$K)+SUMIF($A:$A,$A5567,$L:$L)),0)</f>
        <v>-2.1866755688494819</v>
      </c>
      <c r="N5567" s="30">
        <f>IFERROR((VLOOKUP($A5567,HeadJournal!$A$1:$K$890,COLUMN(HeadJournal!K$1),0)-VLOOKUP($A5567,HeadJournal!$A$1:$K$890,COLUMN(HeadJournal!J$1),0))*($K5567+$L5567)/(SUMIF($A:$A,$A5567,$K:$K)+SUMIF($A:$A,$A5567,$L:$L)),0)</f>
        <v>0</v>
      </c>
      <c r="O5567" s="30">
        <f>IFERROR((VLOOKUP($A5567,HeadJournal!$A$1:$L$890,COLUMN(HeadJournal!L$1),0)*($K5567+$L5567)/(SUMIF($A:$A,$A5567,$K:$K)+SUMIF($A:$A,$A5567,$L:$L)))/VLOOKUP($A5567,HeadJournal!$A$1:$L$890,COLUMN(HeadJournal!H$1),0),0)</f>
        <v>0.62949465921756442</v>
      </c>
      <c r="P5567" s="30">
        <f>IFERROR(SUM(K5567:O5567)*VLOOKUP($A5567,HeadJournal!$A$1:$L$890,COLUMN(HeadJournal!H$1),0),0)</f>
        <v>2194.0811291528685</v>
      </c>
      <c r="Q5567" s="29"/>
      <c r="R5567" s="31"/>
      <c r="S5567" s="31"/>
      <c r="T5567" s="95" t="str">
        <f t="shared" si="410"/>
        <v/>
      </c>
      <c r="U5567" s="32">
        <f t="shared" si="411"/>
        <v>-2194.0811291528685</v>
      </c>
      <c r="V5567" s="22" t="str">
        <f t="shared" si="412"/>
        <v/>
      </c>
      <c r="X5567" s="33"/>
      <c r="Y5567" s="33"/>
    </row>
    <row r="5568" spans="1:25" x14ac:dyDescent="0.2">
      <c r="A5568" s="93" t="s">
        <v>5466</v>
      </c>
      <c r="B5568" s="94">
        <f>IFERROR(VLOOKUP($A5568,HeadJournal!$A$1:$NTR$890,COLUMN(HeadJournal!B$1),0),"")</f>
        <v>0</v>
      </c>
      <c r="C5568" s="94" t="str">
        <f>IFERROR(VLOOKUP($A5568,HeadJournal!$A$1:$NTR$890,COLUMN(HeadJournal!C$1),0),"")</f>
        <v>iHerb_OA CZN6870</v>
      </c>
      <c r="D5568" s="125" t="str">
        <f>IFERROR(VLOOKUP($A5568,HeadJournal!$A$1:$NTR$890,COLUMN(HeadJournal!D$1),0),"")</f>
        <v>Доставлен</v>
      </c>
      <c r="E5568" s="95">
        <f>IFERROR(VLOOKUP($A5568,HeadJournal!$A$1:$NTR$890,COLUMN(HeadJournal!G$1),0),"")</f>
        <v>46064</v>
      </c>
      <c r="F5568" s="95" t="str">
        <f t="shared" si="409"/>
        <v>2026 02</v>
      </c>
      <c r="G5568" s="97" t="s">
        <v>5</v>
      </c>
      <c r="H5568" s="161" t="s">
        <v>4589</v>
      </c>
      <c r="I5568" s="97" t="s">
        <v>2005</v>
      </c>
      <c r="J5568" s="97" t="s">
        <v>5465</v>
      </c>
      <c r="K5568" s="29">
        <v>17.75</v>
      </c>
      <c r="L5568" s="29">
        <v>-1.78</v>
      </c>
      <c r="M5568" s="30">
        <f>IFERROR(VLOOKUP($A5568,HeadJournal!$A$1:$J$890,COLUMN(HeadJournal!I$1),0)*($K5568+$L5568)/(SUMIF($A:$A,$A5568,$K:$K)+SUMIF($A:$A,$A5568,$L:$L)),0)</f>
        <v>-1.3059539579104797</v>
      </c>
      <c r="N5568" s="30">
        <f>IFERROR((VLOOKUP($A5568,HeadJournal!$A$1:$K$890,COLUMN(HeadJournal!K$1),0)-VLOOKUP($A5568,HeadJournal!$A$1:$K$890,COLUMN(HeadJournal!J$1),0))*($K5568+$L5568)/(SUMIF($A:$A,$A5568,$K:$K)+SUMIF($A:$A,$A5568,$L:$L)),0)</f>
        <v>0</v>
      </c>
      <c r="O5568" s="30">
        <f>IFERROR((VLOOKUP($A5568,HeadJournal!$A$1:$L$890,COLUMN(HeadJournal!L$1),0)*($K5568+$L5568)/(SUMIF($A:$A,$A5568,$K:$K)+SUMIF($A:$A,$A5568,$L:$L)))/VLOOKUP($A5568,HeadJournal!$A$1:$L$890,COLUMN(HeadJournal!H$1),0),0)</f>
        <v>0.37595473850802191</v>
      </c>
      <c r="P5568" s="30">
        <f>IFERROR(SUM(K5568:O5568)*VLOOKUP($A5568,HeadJournal!$A$1:$L$890,COLUMN(HeadJournal!H$1),0),0)</f>
        <v>1310.3768000213652</v>
      </c>
      <c r="Q5568" s="29"/>
      <c r="R5568" s="31"/>
      <c r="S5568" s="31"/>
      <c r="T5568" s="95" t="str">
        <f t="shared" si="410"/>
        <v/>
      </c>
      <c r="U5568" s="32">
        <f t="shared" si="411"/>
        <v>-1310.3768000213652</v>
      </c>
      <c r="V5568" s="22" t="str">
        <f t="shared" si="412"/>
        <v/>
      </c>
      <c r="X5568" s="33"/>
      <c r="Y5568" s="33"/>
    </row>
    <row r="5569" spans="1:25" x14ac:dyDescent="0.2">
      <c r="A5569" s="93" t="s">
        <v>5476</v>
      </c>
      <c r="B5569" s="94">
        <f>IFERROR(VLOOKUP($A5569,HeadJournal!$A$1:$NTR$890,COLUMN(HeadJournal!B$1),0),"")</f>
        <v>0</v>
      </c>
      <c r="C5569" s="94" t="str">
        <f>IFERROR(VLOOKUP($A5569,HeadJournal!$A$1:$NTR$890,COLUMN(HeadJournal!C$1),0),"")</f>
        <v>iHerb_VP DFD1605</v>
      </c>
      <c r="D5569" s="125" t="str">
        <f>IFERROR(VLOOKUP($A5569,HeadJournal!$A$1:$NTR$890,COLUMN(HeadJournal!D$1),0),"")</f>
        <v>Доставлен</v>
      </c>
      <c r="E5569" s="95">
        <f>IFERROR(VLOOKUP($A5569,HeadJournal!$A$1:$NTR$890,COLUMN(HeadJournal!G$1),0),"")</f>
        <v>46059</v>
      </c>
      <c r="F5569" s="95" t="str">
        <f t="shared" si="409"/>
        <v>2026 02</v>
      </c>
      <c r="G5569" s="97" t="s">
        <v>5</v>
      </c>
      <c r="H5569" s="161" t="s">
        <v>2103</v>
      </c>
      <c r="I5569" s="97" t="s">
        <v>2039</v>
      </c>
      <c r="J5569" s="97" t="s">
        <v>2104</v>
      </c>
      <c r="K5569" s="29">
        <v>20.48</v>
      </c>
      <c r="L5569" s="29">
        <v>-2.0499999999999998</v>
      </c>
      <c r="M5569" s="30">
        <f>IFERROR(VLOOKUP($A5569,HeadJournal!$A$1:$J$890,COLUMN(HeadJournal!I$1),0)*($K5569+$L5569)/(SUMIF($A:$A,$A5569,$K:$K)+SUMIF($A:$A,$A5569,$L:$L)),0)</f>
        <v>-0.93304525696752738</v>
      </c>
      <c r="N5569" s="30">
        <f>IFERROR((VLOOKUP($A5569,HeadJournal!$A$1:$K$890,COLUMN(HeadJournal!K$1),0)-VLOOKUP($A5569,HeadJournal!$A$1:$K$890,COLUMN(HeadJournal!J$1),0))*($K5569+$L5569)/(SUMIF($A:$A,$A5569,$K:$K)+SUMIF($A:$A,$A5569,$L:$L)),0)</f>
        <v>0</v>
      </c>
      <c r="O5569" s="30">
        <f>IFERROR((VLOOKUP($A5569,HeadJournal!$A$1:$L$890,COLUMN(HeadJournal!L$1),0)*($K5569+$L5569)/(SUMIF($A:$A,$A5569,$K:$K)+SUMIF($A:$A,$A5569,$L:$L)))/VLOOKUP($A5569,HeadJournal!$A$1:$L$890,COLUMN(HeadJournal!H$1),0),0)</f>
        <v>0.41674584073720217</v>
      </c>
      <c r="P5569" s="30">
        <f>IFERROR(SUM(K5569:O5569)*VLOOKUP($A5569,HeadJournal!$A$1:$L$890,COLUMN(HeadJournal!H$1),0),0)</f>
        <v>1555.6531623625672</v>
      </c>
      <c r="Q5569" s="29">
        <v>2300</v>
      </c>
      <c r="R5569" s="31">
        <v>46088</v>
      </c>
      <c r="S5569" s="31" t="s">
        <v>4868</v>
      </c>
      <c r="T5569" s="95" t="str">
        <f t="shared" si="410"/>
        <v>2026 03</v>
      </c>
      <c r="U5569" s="32">
        <f t="shared" si="411"/>
        <v>744.34683763743283</v>
      </c>
      <c r="V5569" s="22">
        <f t="shared" si="412"/>
        <v>0.47847865812646495</v>
      </c>
      <c r="X5569" s="33"/>
      <c r="Y5569" s="33"/>
    </row>
    <row r="5570" spans="1:25" x14ac:dyDescent="0.2">
      <c r="A5570" s="93" t="s">
        <v>5476</v>
      </c>
      <c r="B5570" s="94">
        <f>IFERROR(VLOOKUP($A5570,HeadJournal!$A$1:$NTR$890,COLUMN(HeadJournal!B$1),0),"")</f>
        <v>0</v>
      </c>
      <c r="C5570" s="94" t="str">
        <f>IFERROR(VLOOKUP($A5570,HeadJournal!$A$1:$NTR$890,COLUMN(HeadJournal!C$1),0),"")</f>
        <v>iHerb_VP DFD1605</v>
      </c>
      <c r="D5570" s="125" t="str">
        <f>IFERROR(VLOOKUP($A5570,HeadJournal!$A$1:$NTR$890,COLUMN(HeadJournal!D$1),0),"")</f>
        <v>Доставлен</v>
      </c>
      <c r="E5570" s="95">
        <f>IFERROR(VLOOKUP($A5570,HeadJournal!$A$1:$NTR$890,COLUMN(HeadJournal!G$1),0),"")</f>
        <v>46059</v>
      </c>
      <c r="F5570" s="95" t="str">
        <f t="shared" si="409"/>
        <v>2026 02</v>
      </c>
      <c r="G5570" s="97" t="s">
        <v>5</v>
      </c>
      <c r="H5570" s="161" t="s">
        <v>2105</v>
      </c>
      <c r="I5570" s="97" t="s">
        <v>2039</v>
      </c>
      <c r="J5570" s="97" t="s">
        <v>2106</v>
      </c>
      <c r="K5570" s="29">
        <v>12.6</v>
      </c>
      <c r="L5570" s="29">
        <v>-1.26</v>
      </c>
      <c r="M5570" s="30">
        <f>IFERROR(VLOOKUP($A5570,HeadJournal!$A$1:$J$890,COLUMN(HeadJournal!I$1),0)*($K5570+$L5570)/(SUMIF($A:$A,$A5570,$K:$K)+SUMIF($A:$A,$A5570,$L:$L)),0)</f>
        <v>-0.57410380976732289</v>
      </c>
      <c r="N5570" s="30">
        <f>IFERROR((VLOOKUP($A5570,HeadJournal!$A$1:$K$890,COLUMN(HeadJournal!K$1),0)-VLOOKUP($A5570,HeadJournal!$A$1:$K$890,COLUMN(HeadJournal!J$1),0))*($K5570+$L5570)/(SUMIF($A:$A,$A5570,$K:$K)+SUMIF($A:$A,$A5570,$L:$L)),0)</f>
        <v>0</v>
      </c>
      <c r="O5570" s="30">
        <f>IFERROR((VLOOKUP($A5570,HeadJournal!$A$1:$L$890,COLUMN(HeadJournal!L$1),0)*($K5570+$L5570)/(SUMIF($A:$A,$A5570,$K:$K)+SUMIF($A:$A,$A5570,$L:$L)))/VLOOKUP($A5570,HeadJournal!$A$1:$L$890,COLUMN(HeadJournal!H$1),0),0)</f>
        <v>0.25642419066521283</v>
      </c>
      <c r="P5570" s="30">
        <f>IFERROR(SUM(K5570:O5570)*VLOOKUP($A5570,HeadJournal!$A$1:$L$890,COLUMN(HeadJournal!H$1),0),0)</f>
        <v>957.19516338532344</v>
      </c>
      <c r="Q5570" s="29">
        <v>1700</v>
      </c>
      <c r="R5570" s="31">
        <v>46088</v>
      </c>
      <c r="S5570" s="31" t="s">
        <v>4868</v>
      </c>
      <c r="T5570" s="95" t="str">
        <f t="shared" si="410"/>
        <v>2026 03</v>
      </c>
      <c r="U5570" s="32">
        <f t="shared" si="411"/>
        <v>742.80483661467656</v>
      </c>
      <c r="V5570" s="22">
        <f t="shared" si="412"/>
        <v>0.77602234635995226</v>
      </c>
      <c r="X5570" s="33"/>
      <c r="Y5570" s="33"/>
    </row>
    <row r="5571" spans="1:25" x14ac:dyDescent="0.2">
      <c r="A5571" s="93" t="s">
        <v>5476</v>
      </c>
      <c r="B5571" s="94">
        <f>IFERROR(VLOOKUP($A5571,HeadJournal!$A$1:$NTR$890,COLUMN(HeadJournal!B$1),0),"")</f>
        <v>0</v>
      </c>
      <c r="C5571" s="94" t="str">
        <f>IFERROR(VLOOKUP($A5571,HeadJournal!$A$1:$NTR$890,COLUMN(HeadJournal!C$1),0),"")</f>
        <v>iHerb_VP DFD1605</v>
      </c>
      <c r="D5571" s="125" t="str">
        <f>IFERROR(VLOOKUP($A5571,HeadJournal!$A$1:$NTR$890,COLUMN(HeadJournal!D$1),0),"")</f>
        <v>Доставлен</v>
      </c>
      <c r="E5571" s="95">
        <f>IFERROR(VLOOKUP($A5571,HeadJournal!$A$1:$NTR$890,COLUMN(HeadJournal!G$1),0),"")</f>
        <v>46059</v>
      </c>
      <c r="F5571" s="95" t="str">
        <f t="shared" si="409"/>
        <v>2026 02</v>
      </c>
      <c r="G5571" s="97" t="s">
        <v>5</v>
      </c>
      <c r="H5571" s="161" t="s">
        <v>2146</v>
      </c>
      <c r="I5571" s="97" t="s">
        <v>2147</v>
      </c>
      <c r="J5571" s="97" t="s">
        <v>4939</v>
      </c>
      <c r="K5571" s="29">
        <v>30.67</v>
      </c>
      <c r="L5571" s="29">
        <v>-3.07</v>
      </c>
      <c r="M5571" s="30">
        <f>IFERROR(VLOOKUP($A5571,HeadJournal!$A$1:$J$890,COLUMN(HeadJournal!I$1),0)*($K5571+$L5571)/(SUMIF($A:$A,$A5571,$K:$K)+SUMIF($A:$A,$A5571,$L:$L)),0)</f>
        <v>-1.3972896957299923</v>
      </c>
      <c r="N5571" s="30">
        <f>IFERROR((VLOOKUP($A5571,HeadJournal!$A$1:$K$890,COLUMN(HeadJournal!K$1),0)-VLOOKUP($A5571,HeadJournal!$A$1:$K$890,COLUMN(HeadJournal!J$1),0))*($K5571+$L5571)/(SUMIF($A:$A,$A5571,$K:$K)+SUMIF($A:$A,$A5571,$L:$L)),0)</f>
        <v>0</v>
      </c>
      <c r="O5571" s="30">
        <f>IFERROR((VLOOKUP($A5571,HeadJournal!$A$1:$L$890,COLUMN(HeadJournal!L$1),0)*($K5571+$L5571)/(SUMIF($A:$A,$A5571,$K:$K)+SUMIF($A:$A,$A5571,$L:$L)))/VLOOKUP($A5571,HeadJournal!$A$1:$L$890,COLUMN(HeadJournal!H$1),0),0)</f>
        <v>0.62410120479363984</v>
      </c>
      <c r="P5571" s="30">
        <f>IFERROR(SUM(K5571:O5571)*VLOOKUP($A5571,HeadJournal!$A$1:$L$890,COLUMN(HeadJournal!H$1),0),0)</f>
        <v>2329.6813500383532</v>
      </c>
      <c r="Q5571" s="29">
        <v>3200</v>
      </c>
      <c r="R5571" s="31">
        <v>46088</v>
      </c>
      <c r="S5571" s="31"/>
      <c r="T5571" s="95" t="str">
        <f t="shared" si="410"/>
        <v>2026 03</v>
      </c>
      <c r="U5571" s="32">
        <f t="shared" si="411"/>
        <v>870.31864996164677</v>
      </c>
      <c r="V5571" s="22">
        <f t="shared" si="412"/>
        <v>0.37357840802877135</v>
      </c>
      <c r="X5571" s="33"/>
      <c r="Y5571" s="33"/>
    </row>
    <row r="5572" spans="1:25" x14ac:dyDescent="0.2">
      <c r="A5572" s="93" t="s">
        <v>5476</v>
      </c>
      <c r="B5572" s="94">
        <f>IFERROR(VLOOKUP($A5572,HeadJournal!$A$1:$NTR$890,COLUMN(HeadJournal!B$1),0),"")</f>
        <v>0</v>
      </c>
      <c r="C5572" s="94" t="str">
        <f>IFERROR(VLOOKUP($A5572,HeadJournal!$A$1:$NTR$890,COLUMN(HeadJournal!C$1),0),"")</f>
        <v>iHerb_VP DFD1605</v>
      </c>
      <c r="D5572" s="125" t="str">
        <f>IFERROR(VLOOKUP($A5572,HeadJournal!$A$1:$NTR$890,COLUMN(HeadJournal!D$1),0),"")</f>
        <v>Доставлен</v>
      </c>
      <c r="E5572" s="95">
        <f>IFERROR(VLOOKUP($A5572,HeadJournal!$A$1:$NTR$890,COLUMN(HeadJournal!G$1),0),"")</f>
        <v>46059</v>
      </c>
      <c r="F5572" s="95" t="str">
        <f t="shared" ref="F5572:F5635" si="413">IFERROR(TEXT(E5572, "ГГГГ ММ"),"")</f>
        <v>2026 02</v>
      </c>
      <c r="G5572" s="97" t="s">
        <v>5</v>
      </c>
      <c r="H5572" s="161" t="s">
        <v>5467</v>
      </c>
      <c r="I5572" s="97" t="s">
        <v>4417</v>
      </c>
      <c r="J5572" s="97" t="s">
        <v>5468</v>
      </c>
      <c r="K5572" s="29">
        <v>21.46</v>
      </c>
      <c r="L5572" s="29">
        <v>-2.15</v>
      </c>
      <c r="M5572" s="30">
        <f>IFERROR(VLOOKUP($A5572,HeadJournal!$A$1:$J$890,COLUMN(HeadJournal!I$1),0)*($K5572+$L5572)/(SUMIF($A:$A,$A5572,$K:$K)+SUMIF($A:$A,$A5572,$L:$L)),0)</f>
        <v>-0.97759652262848395</v>
      </c>
      <c r="N5572" s="30">
        <f>IFERROR((VLOOKUP($A5572,HeadJournal!$A$1:$K$890,COLUMN(HeadJournal!K$1),0)-VLOOKUP($A5572,HeadJournal!$A$1:$K$890,COLUMN(HeadJournal!J$1),0))*($K5572+$L5572)/(SUMIF($A:$A,$A5572,$K:$K)+SUMIF($A:$A,$A5572,$L:$L)),0)</f>
        <v>0</v>
      </c>
      <c r="O5572" s="30">
        <f>IFERROR((VLOOKUP($A5572,HeadJournal!$A$1:$L$890,COLUMN(HeadJournal!L$1),0)*($K5572+$L5572)/(SUMIF($A:$A,$A5572,$K:$K)+SUMIF($A:$A,$A5572,$L:$L)))/VLOOKUP($A5572,HeadJournal!$A$1:$L$890,COLUMN(HeadJournal!H$1),0),0)</f>
        <v>0.43664471973062258</v>
      </c>
      <c r="P5572" s="30">
        <f>IFERROR(SUM(K5572:O5572)*VLOOKUP($A5572,HeadJournal!$A$1:$L$890,COLUMN(HeadJournal!H$1),0),0)</f>
        <v>1629.9328575811815</v>
      </c>
      <c r="Q5572" s="29">
        <v>2700</v>
      </c>
      <c r="R5572" s="31">
        <v>46088</v>
      </c>
      <c r="S5572" s="31" t="s">
        <v>3235</v>
      </c>
      <c r="T5572" s="95" t="str">
        <f t="shared" ref="T5572:T5635" si="414">IF(R5572="","",TEXT(R5572,"ГГГГ ММ"))</f>
        <v>2026 03</v>
      </c>
      <c r="U5572" s="32">
        <f t="shared" si="411"/>
        <v>1070.0671424188185</v>
      </c>
      <c r="V5572" s="22">
        <f t="shared" si="412"/>
        <v>0.65650995219937891</v>
      </c>
      <c r="X5572" s="33"/>
      <c r="Y5572" s="33"/>
    </row>
    <row r="5573" spans="1:25" x14ac:dyDescent="0.2">
      <c r="A5573" s="93" t="s">
        <v>5476</v>
      </c>
      <c r="B5573" s="94">
        <f>IFERROR(VLOOKUP($A5573,HeadJournal!$A$1:$NTR$890,COLUMN(HeadJournal!B$1),0),"")</f>
        <v>0</v>
      </c>
      <c r="C5573" s="94" t="str">
        <f>IFERROR(VLOOKUP($A5573,HeadJournal!$A$1:$NTR$890,COLUMN(HeadJournal!C$1),0),"")</f>
        <v>iHerb_VP DFD1605</v>
      </c>
      <c r="D5573" s="125" t="str">
        <f>IFERROR(VLOOKUP($A5573,HeadJournal!$A$1:$NTR$890,COLUMN(HeadJournal!D$1),0),"")</f>
        <v>Доставлен</v>
      </c>
      <c r="E5573" s="95">
        <f>IFERROR(VLOOKUP($A5573,HeadJournal!$A$1:$NTR$890,COLUMN(HeadJournal!G$1),0),"")</f>
        <v>46059</v>
      </c>
      <c r="F5573" s="95" t="str">
        <f t="shared" si="413"/>
        <v>2026 02</v>
      </c>
      <c r="G5573" s="97" t="s">
        <v>5</v>
      </c>
      <c r="H5573" s="161" t="s">
        <v>2431</v>
      </c>
      <c r="I5573" s="97" t="s">
        <v>2221</v>
      </c>
      <c r="J5573" s="97" t="s">
        <v>5469</v>
      </c>
      <c r="K5573" s="29">
        <v>13.5</v>
      </c>
      <c r="L5573" s="29">
        <v>-1.35</v>
      </c>
      <c r="M5573" s="30">
        <f>IFERROR(VLOOKUP($A5573,HeadJournal!$A$1:$J$890,COLUMN(HeadJournal!I$1),0)*($K5573+$L5573)/(SUMIF($A:$A,$A5573,$K:$K)+SUMIF($A:$A,$A5573,$L:$L)),0)</f>
        <v>-0.61511122475070312</v>
      </c>
      <c r="N5573" s="30">
        <f>IFERROR((VLOOKUP($A5573,HeadJournal!$A$1:$K$890,COLUMN(HeadJournal!K$1),0)-VLOOKUP($A5573,HeadJournal!$A$1:$K$890,COLUMN(HeadJournal!J$1),0))*($K5573+$L5573)/(SUMIF($A:$A,$A5573,$K:$K)+SUMIF($A:$A,$A5573,$L:$L)),0)</f>
        <v>0</v>
      </c>
      <c r="O5573" s="30">
        <f>IFERROR((VLOOKUP($A5573,HeadJournal!$A$1:$L$890,COLUMN(HeadJournal!L$1),0)*($K5573+$L5573)/(SUMIF($A:$A,$A5573,$K:$K)+SUMIF($A:$A,$A5573,$L:$L)))/VLOOKUP($A5573,HeadJournal!$A$1:$L$890,COLUMN(HeadJournal!H$1),0),0)</f>
        <v>0.27474020428415663</v>
      </c>
      <c r="P5573" s="30">
        <f>IFERROR(SUM(K5573:O5573)*VLOOKUP($A5573,HeadJournal!$A$1:$L$890,COLUMN(HeadJournal!H$1),0),0)</f>
        <v>1025.5662464842751</v>
      </c>
      <c r="Q5573" s="29">
        <v>2300</v>
      </c>
      <c r="R5573" s="31">
        <v>46089</v>
      </c>
      <c r="S5573" s="31" t="s">
        <v>4992</v>
      </c>
      <c r="T5573" s="95" t="str">
        <f t="shared" si="414"/>
        <v>2026 03</v>
      </c>
      <c r="U5573" s="32">
        <f t="shared" si="411"/>
        <v>1274.4337535157249</v>
      </c>
      <c r="V5573" s="22">
        <f t="shared" si="412"/>
        <v>1.2426635118741358</v>
      </c>
      <c r="X5573" s="33"/>
      <c r="Y5573" s="33"/>
    </row>
    <row r="5574" spans="1:25" x14ac:dyDescent="0.2">
      <c r="A5574" s="93" t="s">
        <v>5476</v>
      </c>
      <c r="B5574" s="94">
        <f>IFERROR(VLOOKUP($A5574,HeadJournal!$A$1:$NTR$890,COLUMN(HeadJournal!B$1),0),"")</f>
        <v>0</v>
      </c>
      <c r="C5574" s="94" t="str">
        <f>IFERROR(VLOOKUP($A5574,HeadJournal!$A$1:$NTR$890,COLUMN(HeadJournal!C$1),0),"")</f>
        <v>iHerb_VP DFD1605</v>
      </c>
      <c r="D5574" s="125" t="str">
        <f>IFERROR(VLOOKUP($A5574,HeadJournal!$A$1:$NTR$890,COLUMN(HeadJournal!D$1),0),"")</f>
        <v>Доставлен</v>
      </c>
      <c r="E5574" s="95">
        <f>IFERROR(VLOOKUP($A5574,HeadJournal!$A$1:$NTR$890,COLUMN(HeadJournal!G$1),0),"")</f>
        <v>46059</v>
      </c>
      <c r="F5574" s="95" t="str">
        <f t="shared" si="413"/>
        <v>2026 02</v>
      </c>
      <c r="G5574" s="97" t="s">
        <v>5</v>
      </c>
      <c r="H5574" s="161" t="s">
        <v>2081</v>
      </c>
      <c r="I5574" s="97" t="s">
        <v>2005</v>
      </c>
      <c r="J5574" s="97" t="s">
        <v>5470</v>
      </c>
      <c r="K5574" s="29">
        <v>11.25</v>
      </c>
      <c r="L5574" s="29">
        <v>-1.125</v>
      </c>
      <c r="M5574" s="30">
        <f>IFERROR(VLOOKUP($A5574,HeadJournal!$A$1:$J$890,COLUMN(HeadJournal!I$1),0)*($K5574+$L5574)/(SUMIF($A:$A,$A5574,$K:$K)+SUMIF($A:$A,$A5574,$L:$L)),0)</f>
        <v>-0.5125926872922526</v>
      </c>
      <c r="N5574" s="30">
        <f>IFERROR((VLOOKUP($A5574,HeadJournal!$A$1:$K$890,COLUMN(HeadJournal!K$1),0)-VLOOKUP($A5574,HeadJournal!$A$1:$K$890,COLUMN(HeadJournal!J$1),0))*($K5574+$L5574)/(SUMIF($A:$A,$A5574,$K:$K)+SUMIF($A:$A,$A5574,$L:$L)),0)</f>
        <v>0</v>
      </c>
      <c r="O5574" s="30">
        <f>IFERROR((VLOOKUP($A5574,HeadJournal!$A$1:$L$890,COLUMN(HeadJournal!L$1),0)*($K5574+$L5574)/(SUMIF($A:$A,$A5574,$K:$K)+SUMIF($A:$A,$A5574,$L:$L)))/VLOOKUP($A5574,HeadJournal!$A$1:$L$890,COLUMN(HeadJournal!H$1),0),0)</f>
        <v>0.22895017023679717</v>
      </c>
      <c r="P5574" s="30">
        <f>IFERROR(SUM(K5574:O5574)*VLOOKUP($A5574,HeadJournal!$A$1:$L$890,COLUMN(HeadJournal!H$1),0),0)</f>
        <v>854.63853873689584</v>
      </c>
      <c r="Q5574" s="29">
        <v>1700</v>
      </c>
      <c r="R5574" s="31">
        <v>46088</v>
      </c>
      <c r="S5574" s="31"/>
      <c r="T5574" s="95" t="str">
        <f t="shared" si="414"/>
        <v>2026 03</v>
      </c>
      <c r="U5574" s="32">
        <f t="shared" si="411"/>
        <v>845.36146126310416</v>
      </c>
      <c r="V5574" s="22">
        <f t="shared" si="412"/>
        <v>0.98914502792314674</v>
      </c>
      <c r="X5574" s="33"/>
      <c r="Y5574" s="33"/>
    </row>
    <row r="5575" spans="1:25" x14ac:dyDescent="0.2">
      <c r="A5575" s="93" t="s">
        <v>5476</v>
      </c>
      <c r="B5575" s="94">
        <f>IFERROR(VLOOKUP($A5575,HeadJournal!$A$1:$NTR$890,COLUMN(HeadJournal!B$1),0),"")</f>
        <v>0</v>
      </c>
      <c r="C5575" s="94" t="str">
        <f>IFERROR(VLOOKUP($A5575,HeadJournal!$A$1:$NTR$890,COLUMN(HeadJournal!C$1),0),"")</f>
        <v>iHerb_VP DFD1605</v>
      </c>
      <c r="D5575" s="125" t="str">
        <f>IFERROR(VLOOKUP($A5575,HeadJournal!$A$1:$NTR$890,COLUMN(HeadJournal!D$1),0),"")</f>
        <v>Доставлен</v>
      </c>
      <c r="E5575" s="95">
        <f>IFERROR(VLOOKUP($A5575,HeadJournal!$A$1:$NTR$890,COLUMN(HeadJournal!G$1),0),"")</f>
        <v>46059</v>
      </c>
      <c r="F5575" s="95" t="str">
        <f t="shared" si="413"/>
        <v>2026 02</v>
      </c>
      <c r="G5575" s="97" t="s">
        <v>5</v>
      </c>
      <c r="H5575" s="161" t="s">
        <v>2081</v>
      </c>
      <c r="I5575" s="97" t="s">
        <v>2005</v>
      </c>
      <c r="J5575" s="97" t="s">
        <v>5470</v>
      </c>
      <c r="K5575" s="29">
        <v>11.25</v>
      </c>
      <c r="L5575" s="29">
        <v>-1.125</v>
      </c>
      <c r="M5575" s="30">
        <f>IFERROR(VLOOKUP($A5575,HeadJournal!$A$1:$J$890,COLUMN(HeadJournal!I$1),0)*($K5575+$L5575)/(SUMIF($A:$A,$A5575,$K:$K)+SUMIF($A:$A,$A5575,$L:$L)),0)</f>
        <v>-0.5125926872922526</v>
      </c>
      <c r="N5575" s="30">
        <f>IFERROR((VLOOKUP($A5575,HeadJournal!$A$1:$K$890,COLUMN(HeadJournal!K$1),0)-VLOOKUP($A5575,HeadJournal!$A$1:$K$890,COLUMN(HeadJournal!J$1),0))*($K5575+$L5575)/(SUMIF($A:$A,$A5575,$K:$K)+SUMIF($A:$A,$A5575,$L:$L)),0)</f>
        <v>0</v>
      </c>
      <c r="O5575" s="30">
        <f>IFERROR((VLOOKUP($A5575,HeadJournal!$A$1:$L$890,COLUMN(HeadJournal!L$1),0)*($K5575+$L5575)/(SUMIF($A:$A,$A5575,$K:$K)+SUMIF($A:$A,$A5575,$L:$L)))/VLOOKUP($A5575,HeadJournal!$A$1:$L$890,COLUMN(HeadJournal!H$1),0),0)</f>
        <v>0.22895017023679717</v>
      </c>
      <c r="P5575" s="30">
        <f>IFERROR(SUM(K5575:O5575)*VLOOKUP($A5575,HeadJournal!$A$1:$L$890,COLUMN(HeadJournal!H$1),0),0)</f>
        <v>854.63853873689584</v>
      </c>
      <c r="Q5575" s="29">
        <v>1700</v>
      </c>
      <c r="R5575" s="31">
        <v>46088</v>
      </c>
      <c r="S5575" s="31"/>
      <c r="T5575" s="95" t="str">
        <f t="shared" si="414"/>
        <v>2026 03</v>
      </c>
      <c r="U5575" s="32">
        <f t="shared" si="411"/>
        <v>845.36146126310416</v>
      </c>
      <c r="V5575" s="22">
        <f t="shared" si="412"/>
        <v>0.98914502792314674</v>
      </c>
      <c r="X5575" s="33"/>
      <c r="Y5575" s="33"/>
    </row>
    <row r="5576" spans="1:25" x14ac:dyDescent="0.2">
      <c r="A5576" s="93" t="s">
        <v>5476</v>
      </c>
      <c r="B5576" s="94">
        <f>IFERROR(VLOOKUP($A5576,HeadJournal!$A$1:$NTR$890,COLUMN(HeadJournal!B$1),0),"")</f>
        <v>0</v>
      </c>
      <c r="C5576" s="94" t="str">
        <f>IFERROR(VLOOKUP($A5576,HeadJournal!$A$1:$NTR$890,COLUMN(HeadJournal!C$1),0),"")</f>
        <v>iHerb_VP DFD1605</v>
      </c>
      <c r="D5576" s="125" t="str">
        <f>IFERROR(VLOOKUP($A5576,HeadJournal!$A$1:$NTR$890,COLUMN(HeadJournal!D$1),0),"")</f>
        <v>Доставлен</v>
      </c>
      <c r="E5576" s="95">
        <f>IFERROR(VLOOKUP($A5576,HeadJournal!$A$1:$NTR$890,COLUMN(HeadJournal!G$1),0),"")</f>
        <v>46059</v>
      </c>
      <c r="F5576" s="95" t="str">
        <f t="shared" si="413"/>
        <v>2026 02</v>
      </c>
      <c r="G5576" s="97" t="s">
        <v>5</v>
      </c>
      <c r="H5576" s="161" t="s">
        <v>3656</v>
      </c>
      <c r="I5576" s="97" t="s">
        <v>2005</v>
      </c>
      <c r="J5576" s="97" t="s">
        <v>4428</v>
      </c>
      <c r="K5576" s="29">
        <v>22.51</v>
      </c>
      <c r="L5576" s="29">
        <v>-2.25</v>
      </c>
      <c r="M5576" s="30">
        <f>IFERROR(VLOOKUP($A5576,HeadJournal!$A$1:$J$890,COLUMN(HeadJournal!I$1),0)*($K5576+$L5576)/(SUMIF($A:$A,$A5576,$K:$K)+SUMIF($A:$A,$A5576,$L:$L)),0)</f>
        <v>-1.0256916389670161</v>
      </c>
      <c r="N5576" s="30">
        <f>IFERROR((VLOOKUP($A5576,HeadJournal!$A$1:$K$890,COLUMN(HeadJournal!K$1),0)-VLOOKUP($A5576,HeadJournal!$A$1:$K$890,COLUMN(HeadJournal!J$1),0))*($K5576+$L5576)/(SUMIF($A:$A,$A5576,$K:$K)+SUMIF($A:$A,$A5576,$L:$L)),0)</f>
        <v>0</v>
      </c>
      <c r="O5576" s="30">
        <f>IFERROR((VLOOKUP($A5576,HeadJournal!$A$1:$L$890,COLUMN(HeadJournal!L$1),0)*($K5576+$L5576)/(SUMIF($A:$A,$A5576,$K:$K)+SUMIF($A:$A,$A5576,$L:$L)))/VLOOKUP($A5576,HeadJournal!$A$1:$L$890,COLUMN(HeadJournal!H$1),0),0)</f>
        <v>0.45812646409851959</v>
      </c>
      <c r="P5576" s="30">
        <f>IFERROR(SUM(K5576:O5576)*VLOOKUP($A5576,HeadJournal!$A$1:$L$890,COLUMN(HeadJournal!H$1),0),0)</f>
        <v>1710.1211649194581</v>
      </c>
      <c r="Q5576" s="29">
        <v>2400</v>
      </c>
      <c r="R5576" s="31">
        <v>46090</v>
      </c>
      <c r="S5576" s="31" t="s">
        <v>3497</v>
      </c>
      <c r="T5576" s="95" t="str">
        <f t="shared" si="414"/>
        <v>2026 03</v>
      </c>
      <c r="U5576" s="32">
        <f t="shared" ref="U5576:U5615" si="415">Q5576-P5576</f>
        <v>689.87883508054188</v>
      </c>
      <c r="V5576" s="22">
        <f t="shared" ref="V5576:V5615" si="416">IF(Q5576&lt;&gt;0,IFERROR(U5576/P5576,""),"")</f>
        <v>0.40340933100669113</v>
      </c>
      <c r="X5576" s="33"/>
      <c r="Y5576" s="33"/>
    </row>
    <row r="5577" spans="1:25" x14ac:dyDescent="0.2">
      <c r="A5577" s="93" t="s">
        <v>5476</v>
      </c>
      <c r="B5577" s="94">
        <f>IFERROR(VLOOKUP($A5577,HeadJournal!$A$1:$NTR$890,COLUMN(HeadJournal!B$1),0),"")</f>
        <v>0</v>
      </c>
      <c r="C5577" s="94" t="str">
        <f>IFERROR(VLOOKUP($A5577,HeadJournal!$A$1:$NTR$890,COLUMN(HeadJournal!C$1),0),"")</f>
        <v>iHerb_VP DFD1605</v>
      </c>
      <c r="D5577" s="125" t="str">
        <f>IFERROR(VLOOKUP($A5577,HeadJournal!$A$1:$NTR$890,COLUMN(HeadJournal!D$1),0),"")</f>
        <v>Доставлен</v>
      </c>
      <c r="E5577" s="95">
        <f>IFERROR(VLOOKUP($A5577,HeadJournal!$A$1:$NTR$890,COLUMN(HeadJournal!G$1),0),"")</f>
        <v>46059</v>
      </c>
      <c r="F5577" s="95" t="str">
        <f t="shared" si="413"/>
        <v>2026 02</v>
      </c>
      <c r="G5577" s="97" t="s">
        <v>5</v>
      </c>
      <c r="H5577" s="161" t="s">
        <v>4896</v>
      </c>
      <c r="I5577" s="97" t="s">
        <v>2581</v>
      </c>
      <c r="J5577" s="97" t="s">
        <v>4897</v>
      </c>
      <c r="K5577" s="29">
        <v>14.51</v>
      </c>
      <c r="L5577" s="29">
        <v>-1.45</v>
      </c>
      <c r="M5577" s="30">
        <f>IFERROR(VLOOKUP($A5577,HeadJournal!$A$1:$J$890,COLUMN(HeadJournal!I$1),0)*($K5577+$L5577)/(SUMIF($A:$A,$A5577,$K:$K)+SUMIF($A:$A,$A5577,$L:$L)),0)</f>
        <v>-0.66118128355919203</v>
      </c>
      <c r="N5577" s="30">
        <f>IFERROR((VLOOKUP($A5577,HeadJournal!$A$1:$K$890,COLUMN(HeadJournal!K$1),0)-VLOOKUP($A5577,HeadJournal!$A$1:$K$890,COLUMN(HeadJournal!J$1),0))*($K5577+$L5577)/(SUMIF($A:$A,$A5577,$K:$K)+SUMIF($A:$A,$A5577,$L:$L)),0)</f>
        <v>0</v>
      </c>
      <c r="O5577" s="30">
        <f>IFERROR((VLOOKUP($A5577,HeadJournal!$A$1:$L$890,COLUMN(HeadJournal!L$1),0)*($K5577+$L5577)/(SUMIF($A:$A,$A5577,$K:$K)+SUMIF($A:$A,$A5577,$L:$L)))/VLOOKUP($A5577,HeadJournal!$A$1:$L$890,COLUMN(HeadJournal!H$1),0),0)</f>
        <v>0.29531745415235272</v>
      </c>
      <c r="P5577" s="30">
        <f>IFERROR(SUM(K5577:O5577)*VLOOKUP($A5577,HeadJournal!$A$1:$L$890,COLUMN(HeadJournal!H$1),0),0)</f>
        <v>1102.3782040398876</v>
      </c>
      <c r="Q5577" s="29"/>
      <c r="R5577" s="31"/>
      <c r="S5577" s="31"/>
      <c r="T5577" s="95" t="str">
        <f t="shared" si="414"/>
        <v/>
      </c>
      <c r="U5577" s="32">
        <f t="shared" si="415"/>
        <v>-1102.3782040398876</v>
      </c>
      <c r="V5577" s="22" t="str">
        <f t="shared" si="416"/>
        <v/>
      </c>
      <c r="X5577" s="33"/>
      <c r="Y5577" s="33"/>
    </row>
    <row r="5578" spans="1:25" x14ac:dyDescent="0.2">
      <c r="A5578" s="93" t="s">
        <v>5476</v>
      </c>
      <c r="B5578" s="94">
        <f>IFERROR(VLOOKUP($A5578,HeadJournal!$A$1:$NTR$890,COLUMN(HeadJournal!B$1),0),"")</f>
        <v>0</v>
      </c>
      <c r="C5578" s="94" t="str">
        <f>IFERROR(VLOOKUP($A5578,HeadJournal!$A$1:$NTR$890,COLUMN(HeadJournal!C$1),0),"")</f>
        <v>iHerb_VP DFD1605</v>
      </c>
      <c r="D5578" s="125" t="str">
        <f>IFERROR(VLOOKUP($A5578,HeadJournal!$A$1:$NTR$890,COLUMN(HeadJournal!D$1),0),"")</f>
        <v>Доставлен</v>
      </c>
      <c r="E5578" s="95">
        <f>IFERROR(VLOOKUP($A5578,HeadJournal!$A$1:$NTR$890,COLUMN(HeadJournal!G$1),0),"")</f>
        <v>46059</v>
      </c>
      <c r="F5578" s="95" t="str">
        <f t="shared" si="413"/>
        <v>2026 02</v>
      </c>
      <c r="G5578" s="97" t="s">
        <v>5</v>
      </c>
      <c r="H5578" s="161" t="s">
        <v>5471</v>
      </c>
      <c r="I5578" s="97" t="s">
        <v>2009</v>
      </c>
      <c r="J5578" s="97" t="s">
        <v>5472</v>
      </c>
      <c r="K5578" s="29">
        <v>15.94</v>
      </c>
      <c r="L5578" s="29">
        <v>-1.59</v>
      </c>
      <c r="M5578" s="30">
        <f>IFERROR(VLOOKUP($A5578,HeadJournal!$A$1:$J$890,COLUMN(HeadJournal!I$1),0)*($K5578+$L5578)/(SUMIF($A:$A,$A5578,$K:$K)+SUMIF($A:$A,$A5578,$L:$L)),0)</f>
        <v>-0.72648938890309378</v>
      </c>
      <c r="N5578" s="30">
        <f>IFERROR((VLOOKUP($A5578,HeadJournal!$A$1:$K$890,COLUMN(HeadJournal!K$1),0)-VLOOKUP($A5578,HeadJournal!$A$1:$K$890,COLUMN(HeadJournal!J$1),0))*($K5578+$L5578)/(SUMIF($A:$A,$A5578,$K:$K)+SUMIF($A:$A,$A5578,$L:$L)),0)</f>
        <v>0</v>
      </c>
      <c r="O5578" s="30">
        <f>IFERROR((VLOOKUP($A5578,HeadJournal!$A$1:$L$890,COLUMN(HeadJournal!L$1),0)*($K5578+$L5578)/(SUMIF($A:$A,$A5578,$K:$K)+SUMIF($A:$A,$A5578,$L:$L)))/VLOOKUP($A5578,HeadJournal!$A$1:$L$890,COLUMN(HeadJournal!H$1),0),0)</f>
        <v>0.32448740176770757</v>
      </c>
      <c r="P5578" s="30">
        <f>IFERROR(SUM(K5578:O5578)*VLOOKUP($A5578,HeadJournal!$A$1:$L$890,COLUMN(HeadJournal!H$1),0),0)</f>
        <v>1211.2654845308105</v>
      </c>
      <c r="Q5578" s="29">
        <v>2000</v>
      </c>
      <c r="R5578" s="31">
        <v>46119</v>
      </c>
      <c r="S5578" s="31" t="s">
        <v>3437</v>
      </c>
      <c r="T5578" s="95" t="str">
        <f t="shared" si="414"/>
        <v>2026 04</v>
      </c>
      <c r="U5578" s="32">
        <f t="shared" si="415"/>
        <v>788.73451546918955</v>
      </c>
      <c r="V5578" s="22">
        <f t="shared" si="416"/>
        <v>0.65116568212517811</v>
      </c>
      <c r="X5578" s="33"/>
      <c r="Y5578" s="33"/>
    </row>
    <row r="5579" spans="1:25" x14ac:dyDescent="0.2">
      <c r="A5579" s="93" t="s">
        <v>5476</v>
      </c>
      <c r="B5579" s="94">
        <f>IFERROR(VLOOKUP($A5579,HeadJournal!$A$1:$NTR$890,COLUMN(HeadJournal!B$1),0),"")</f>
        <v>0</v>
      </c>
      <c r="C5579" s="94" t="str">
        <f>IFERROR(VLOOKUP($A5579,HeadJournal!$A$1:$NTR$890,COLUMN(HeadJournal!C$1),0),"")</f>
        <v>iHerb_VP DFD1605</v>
      </c>
      <c r="D5579" s="125" t="str">
        <f>IFERROR(VLOOKUP($A5579,HeadJournal!$A$1:$NTR$890,COLUMN(HeadJournal!D$1),0),"")</f>
        <v>Доставлен</v>
      </c>
      <c r="E5579" s="95">
        <f>IFERROR(VLOOKUP($A5579,HeadJournal!$A$1:$NTR$890,COLUMN(HeadJournal!G$1),0),"")</f>
        <v>46059</v>
      </c>
      <c r="F5579" s="95" t="str">
        <f t="shared" si="413"/>
        <v>2026 02</v>
      </c>
      <c r="G5579" s="97" t="s">
        <v>5</v>
      </c>
      <c r="H5579" s="161" t="s">
        <v>5473</v>
      </c>
      <c r="I5579" s="97" t="s">
        <v>2621</v>
      </c>
      <c r="J5579" s="97" t="s">
        <v>5474</v>
      </c>
      <c r="K5579" s="29">
        <v>25.58</v>
      </c>
      <c r="L5579" s="29">
        <v>-2.56</v>
      </c>
      <c r="M5579" s="30">
        <f>IFERROR(VLOOKUP($A5579,HeadJournal!$A$1:$J$890,COLUMN(HeadJournal!I$1),0)*($K5579+$L5579)/(SUMIF($A:$A,$A5579,$K:$K)+SUMIF($A:$A,$A5579,$L:$L)),0)</f>
        <v>-1.1654206085400152</v>
      </c>
      <c r="N5579" s="30">
        <f>IFERROR((VLOOKUP($A5579,HeadJournal!$A$1:$K$890,COLUMN(HeadJournal!K$1),0)-VLOOKUP($A5579,HeadJournal!$A$1:$K$890,COLUMN(HeadJournal!J$1),0))*($K5579+$L5579)/(SUMIF($A:$A,$A5579,$K:$K)+SUMIF($A:$A,$A5579,$L:$L)),0)</f>
        <v>0</v>
      </c>
      <c r="O5579" s="30">
        <f>IFERROR((VLOOKUP($A5579,HeadJournal!$A$1:$L$890,COLUMN(HeadJournal!L$1),0)*($K5579+$L5579)/(SUMIF($A:$A,$A5579,$K:$K)+SUMIF($A:$A,$A5579,$L:$L)))/VLOOKUP($A5579,HeadJournal!$A$1:$L$890,COLUMN(HeadJournal!H$1),0),0)</f>
        <v>0.52053658457788354</v>
      </c>
      <c r="P5579" s="30">
        <f>IFERROR(SUM(K5579:O5579)*VLOOKUP($A5579,HeadJournal!$A$1:$L$890,COLUMN(HeadJournal!H$1),0),0)</f>
        <v>1943.0892999232933</v>
      </c>
      <c r="Q5579" s="29"/>
      <c r="R5579" s="31"/>
      <c r="S5579" s="31"/>
      <c r="T5579" s="95" t="str">
        <f t="shared" si="414"/>
        <v/>
      </c>
      <c r="U5579" s="32">
        <f t="shared" si="415"/>
        <v>-1943.0892999232933</v>
      </c>
      <c r="V5579" s="22" t="str">
        <f t="shared" si="416"/>
        <v/>
      </c>
      <c r="X5579" s="33"/>
      <c r="Y5579" s="33"/>
    </row>
    <row r="5580" spans="1:25" x14ac:dyDescent="0.2">
      <c r="A5580" s="93" t="s">
        <v>5476</v>
      </c>
      <c r="B5580" s="94">
        <f>IFERROR(VLOOKUP($A5580,HeadJournal!$A$1:$NTR$890,COLUMN(HeadJournal!B$1),0),"")</f>
        <v>0</v>
      </c>
      <c r="C5580" s="94" t="str">
        <f>IFERROR(VLOOKUP($A5580,HeadJournal!$A$1:$NTR$890,COLUMN(HeadJournal!C$1),0),"")</f>
        <v>iHerb_VP DFD1605</v>
      </c>
      <c r="D5580" s="125" t="str">
        <f>IFERROR(VLOOKUP($A5580,HeadJournal!$A$1:$NTR$890,COLUMN(HeadJournal!D$1),0),"")</f>
        <v>Доставлен</v>
      </c>
      <c r="E5580" s="95">
        <f>IFERROR(VLOOKUP($A5580,HeadJournal!$A$1:$NTR$890,COLUMN(HeadJournal!G$1),0),"")</f>
        <v>46059</v>
      </c>
      <c r="F5580" s="95" t="str">
        <f t="shared" si="413"/>
        <v>2026 02</v>
      </c>
      <c r="G5580" s="97" t="s">
        <v>5</v>
      </c>
      <c r="H5580" s="161" t="s">
        <v>2094</v>
      </c>
      <c r="I5580" s="97" t="s">
        <v>2042</v>
      </c>
      <c r="J5580" s="97" t="s">
        <v>5475</v>
      </c>
      <c r="K5580" s="29">
        <v>17.53</v>
      </c>
      <c r="L5580" s="29">
        <v>-1.75</v>
      </c>
      <c r="M5580" s="30">
        <f>IFERROR(VLOOKUP($A5580,HeadJournal!$A$1:$J$890,COLUMN(HeadJournal!I$1),0)*($K5580+$L5580)/(SUMIF($A:$A,$A5580,$K:$K)+SUMIF($A:$A,$A5580,$L:$L)),0)</f>
        <v>-0.79888519560214777</v>
      </c>
      <c r="N5580" s="30">
        <f>IFERROR((VLOOKUP($A5580,HeadJournal!$A$1:$K$890,COLUMN(HeadJournal!K$1),0)-VLOOKUP($A5580,HeadJournal!$A$1:$K$890,COLUMN(HeadJournal!J$1),0))*($K5580+$L5580)/(SUMIF($A:$A,$A5580,$K:$K)+SUMIF($A:$A,$A5580,$L:$L)),0)</f>
        <v>0</v>
      </c>
      <c r="O5580" s="30">
        <f>IFERROR((VLOOKUP($A5580,HeadJournal!$A$1:$L$890,COLUMN(HeadJournal!L$1),0)*($K5580+$L5580)/(SUMIF($A:$A,$A5580,$K:$K)+SUMIF($A:$A,$A5580,$L:$L)))/VLOOKUP($A5580,HeadJournal!$A$1:$L$890,COLUMN(HeadJournal!H$1),0),0)</f>
        <v>0.35682308013201575</v>
      </c>
      <c r="P5580" s="30">
        <f>IFERROR(SUM(K5580:O5580)*VLOOKUP($A5580,HeadJournal!$A$1:$L$890,COLUMN(HeadJournal!H$1),0),0)</f>
        <v>1331.9699892610586</v>
      </c>
      <c r="Q5580" s="29">
        <v>2200</v>
      </c>
      <c r="R5580" s="31">
        <v>46088</v>
      </c>
      <c r="S5580" s="31" t="s">
        <v>3321</v>
      </c>
      <c r="T5580" s="95" t="str">
        <f t="shared" si="414"/>
        <v>2026 03</v>
      </c>
      <c r="U5580" s="32">
        <f t="shared" si="415"/>
        <v>868.03001073894143</v>
      </c>
      <c r="V5580" s="22">
        <f t="shared" si="416"/>
        <v>0.65168886516767643</v>
      </c>
      <c r="X5580" s="33"/>
      <c r="Y5580" s="33"/>
    </row>
    <row r="5581" spans="1:25" x14ac:dyDescent="0.2">
      <c r="A5581" s="93" t="s">
        <v>5477</v>
      </c>
      <c r="B5581" s="94">
        <f>IFERROR(VLOOKUP($A5581,HeadJournal!$A$1:$NTR$890,COLUMN(HeadJournal!B$1),0),"")</f>
        <v>0</v>
      </c>
      <c r="C5581" s="94" t="str">
        <f>IFERROR(VLOOKUP($A5581,HeadJournal!$A$1:$NTR$890,COLUMN(HeadJournal!C$1),0),"")</f>
        <v>OZON_OA</v>
      </c>
      <c r="D5581" s="125" t="str">
        <f>IFERROR(VLOOKUP($A5581,HeadJournal!$A$1:$NTR$890,COLUMN(HeadJournal!D$1),0),"")</f>
        <v>Доставлен</v>
      </c>
      <c r="E5581" s="95">
        <f>IFERROR(VLOOKUP($A5581,HeadJournal!$A$1:$NTR$890,COLUMN(HeadJournal!G$1),0),"")</f>
        <v>46062</v>
      </c>
      <c r="F5581" s="95" t="str">
        <f t="shared" si="413"/>
        <v>2026 02</v>
      </c>
      <c r="G5581" s="97" t="s">
        <v>6</v>
      </c>
      <c r="H5581" s="161" t="s">
        <v>2280</v>
      </c>
      <c r="I5581" s="97" t="s">
        <v>2281</v>
      </c>
      <c r="J5581" s="97" t="s">
        <v>737</v>
      </c>
      <c r="K5581" s="29">
        <v>940</v>
      </c>
      <c r="L5581" s="29">
        <v>0</v>
      </c>
      <c r="M5581" s="30">
        <f>IFERROR(VLOOKUP($A5581,HeadJournal!$A$1:$J$890,COLUMN(HeadJournal!I$1),0)*($K5581+$L5581)/(SUMIF($A:$A,$A5581,$K:$K)+SUMIF($A:$A,$A5581,$L:$L)),0)</f>
        <v>0</v>
      </c>
      <c r="N5581" s="30">
        <f>IFERROR((VLOOKUP($A5581,HeadJournal!$A$1:$K$890,COLUMN(HeadJournal!K$1),0)-VLOOKUP($A5581,HeadJournal!$A$1:$K$890,COLUMN(HeadJournal!J$1),0))*($K5581+$L5581)/(SUMIF($A:$A,$A5581,$K:$K)+SUMIF($A:$A,$A5581,$L:$L)),0)</f>
        <v>0</v>
      </c>
      <c r="O5581" s="30">
        <f>IFERROR((VLOOKUP($A5581,HeadJournal!$A$1:$L$890,COLUMN(HeadJournal!L$1),0)*($K5581+$L5581)/(SUMIF($A:$A,$A5581,$K:$K)+SUMIF($A:$A,$A5581,$L:$L)))/VLOOKUP($A5581,HeadJournal!$A$1:$L$890,COLUMN(HeadJournal!H$1),0),0)</f>
        <v>0</v>
      </c>
      <c r="P5581" s="30">
        <f>IFERROR(SUM(K5581:O5581)*VLOOKUP($A5581,HeadJournal!$A$1:$L$890,COLUMN(HeadJournal!H$1),0),0)</f>
        <v>940</v>
      </c>
      <c r="Q5581" s="29">
        <v>2000</v>
      </c>
      <c r="R5581" s="31">
        <v>46069</v>
      </c>
      <c r="S5581" s="31" t="s">
        <v>4911</v>
      </c>
      <c r="T5581" s="95" t="str">
        <f t="shared" si="414"/>
        <v>2026 02</v>
      </c>
      <c r="U5581" s="32">
        <f t="shared" si="415"/>
        <v>1060</v>
      </c>
      <c r="V5581" s="22">
        <f t="shared" si="416"/>
        <v>1.1276595744680851</v>
      </c>
      <c r="X5581" s="33"/>
      <c r="Y5581" s="33"/>
    </row>
    <row r="5582" spans="1:25" x14ac:dyDescent="0.2">
      <c r="A5582" s="93" t="s">
        <v>5478</v>
      </c>
      <c r="B5582" s="94">
        <f>IFERROR(VLOOKUP($A5582,HeadJournal!$A$1:$NTR$890,COLUMN(HeadJournal!B$1),0),"")</f>
        <v>0</v>
      </c>
      <c r="C5582" s="94" t="str">
        <f>IFERROR(VLOOKUP($A5582,HeadJournal!$A$1:$NTR$890,COLUMN(HeadJournal!C$1),0),"")</f>
        <v>OZON_OA</v>
      </c>
      <c r="D5582" s="125" t="str">
        <f>IFERROR(VLOOKUP($A5582,HeadJournal!$A$1:$NTR$890,COLUMN(HeadJournal!D$1),0),"")</f>
        <v>Доставлен</v>
      </c>
      <c r="E5582" s="95">
        <f>IFERROR(VLOOKUP($A5582,HeadJournal!$A$1:$NTR$890,COLUMN(HeadJournal!G$1),0),"")</f>
        <v>46060</v>
      </c>
      <c r="F5582" s="95" t="str">
        <f t="shared" si="413"/>
        <v>2026 02</v>
      </c>
      <c r="G5582" s="97" t="s">
        <v>6</v>
      </c>
      <c r="H5582" s="161" t="s">
        <v>2280</v>
      </c>
      <c r="I5582" s="97" t="s">
        <v>2281</v>
      </c>
      <c r="J5582" s="97" t="s">
        <v>737</v>
      </c>
      <c r="K5582" s="29">
        <v>1001</v>
      </c>
      <c r="L5582" s="29">
        <v>0</v>
      </c>
      <c r="M5582" s="30">
        <f>IFERROR(VLOOKUP($A5582,HeadJournal!$A$1:$J$890,COLUMN(HeadJournal!I$1),0)*($K5582+$L5582)/(SUMIF($A:$A,$A5582,$K:$K)+SUMIF($A:$A,$A5582,$L:$L)),0)</f>
        <v>0</v>
      </c>
      <c r="N5582" s="30">
        <f>IFERROR((VLOOKUP($A5582,HeadJournal!$A$1:$K$890,COLUMN(HeadJournal!K$1),0)-VLOOKUP($A5582,HeadJournal!$A$1:$K$890,COLUMN(HeadJournal!J$1),0))*($K5582+$L5582)/(SUMIF($A:$A,$A5582,$K:$K)+SUMIF($A:$A,$A5582,$L:$L)),0)</f>
        <v>0</v>
      </c>
      <c r="O5582" s="30">
        <f>IFERROR((VLOOKUP($A5582,HeadJournal!$A$1:$L$890,COLUMN(HeadJournal!L$1),0)*($K5582+$L5582)/(SUMIF($A:$A,$A5582,$K:$K)+SUMIF($A:$A,$A5582,$L:$L)))/VLOOKUP($A5582,HeadJournal!$A$1:$L$890,COLUMN(HeadJournal!H$1),0),0)</f>
        <v>0</v>
      </c>
      <c r="P5582" s="30">
        <f>IFERROR(SUM(K5582:O5582)*VLOOKUP($A5582,HeadJournal!$A$1:$L$890,COLUMN(HeadJournal!H$1),0),0)</f>
        <v>1001</v>
      </c>
      <c r="Q5582" s="29">
        <v>2000</v>
      </c>
      <c r="R5582" s="31">
        <v>46069</v>
      </c>
      <c r="S5582" s="31" t="s">
        <v>4911</v>
      </c>
      <c r="T5582" s="95" t="str">
        <f t="shared" si="414"/>
        <v>2026 02</v>
      </c>
      <c r="U5582" s="32">
        <f t="shared" si="415"/>
        <v>999</v>
      </c>
      <c r="V5582" s="22">
        <f t="shared" si="416"/>
        <v>0.99800199800199796</v>
      </c>
      <c r="X5582" s="33"/>
      <c r="Y5582" s="33"/>
    </row>
    <row r="5583" spans="1:25" x14ac:dyDescent="0.2">
      <c r="A5583" s="93" t="s">
        <v>5478</v>
      </c>
      <c r="B5583" s="94">
        <f>IFERROR(VLOOKUP($A5583,HeadJournal!$A$1:$NTR$890,COLUMN(HeadJournal!B$1),0),"")</f>
        <v>0</v>
      </c>
      <c r="C5583" s="94" t="str">
        <f>IFERROR(VLOOKUP($A5583,HeadJournal!$A$1:$NTR$890,COLUMN(HeadJournal!C$1),0),"")</f>
        <v>OZON_OA</v>
      </c>
      <c r="D5583" s="125" t="str">
        <f>IFERROR(VLOOKUP($A5583,HeadJournal!$A$1:$NTR$890,COLUMN(HeadJournal!D$1),0),"")</f>
        <v>Доставлен</v>
      </c>
      <c r="E5583" s="95">
        <f>IFERROR(VLOOKUP($A5583,HeadJournal!$A$1:$NTR$890,COLUMN(HeadJournal!G$1),0),"")</f>
        <v>46060</v>
      </c>
      <c r="F5583" s="95" t="str">
        <f t="shared" si="413"/>
        <v>2026 02</v>
      </c>
      <c r="G5583" s="97" t="s">
        <v>6</v>
      </c>
      <c r="H5583" s="161" t="s">
        <v>2280</v>
      </c>
      <c r="I5583" s="97" t="s">
        <v>2281</v>
      </c>
      <c r="J5583" s="97" t="s">
        <v>737</v>
      </c>
      <c r="K5583" s="29">
        <v>1001</v>
      </c>
      <c r="L5583" s="29">
        <v>0</v>
      </c>
      <c r="M5583" s="30">
        <f>IFERROR(VLOOKUP($A5583,HeadJournal!$A$1:$J$890,COLUMN(HeadJournal!I$1),0)*($K5583+$L5583)/(SUMIF($A:$A,$A5583,$K:$K)+SUMIF($A:$A,$A5583,$L:$L)),0)</f>
        <v>0</v>
      </c>
      <c r="N5583" s="30">
        <f>IFERROR((VLOOKUP($A5583,HeadJournal!$A$1:$K$890,COLUMN(HeadJournal!K$1),0)-VLOOKUP($A5583,HeadJournal!$A$1:$K$890,COLUMN(HeadJournal!J$1),0))*($K5583+$L5583)/(SUMIF($A:$A,$A5583,$K:$K)+SUMIF($A:$A,$A5583,$L:$L)),0)</f>
        <v>0</v>
      </c>
      <c r="O5583" s="30">
        <f>IFERROR((VLOOKUP($A5583,HeadJournal!$A$1:$L$890,COLUMN(HeadJournal!L$1),0)*($K5583+$L5583)/(SUMIF($A:$A,$A5583,$K:$K)+SUMIF($A:$A,$A5583,$L:$L)))/VLOOKUP($A5583,HeadJournal!$A$1:$L$890,COLUMN(HeadJournal!H$1),0),0)</f>
        <v>0</v>
      </c>
      <c r="P5583" s="30">
        <f>IFERROR(SUM(K5583:O5583)*VLOOKUP($A5583,HeadJournal!$A$1:$L$890,COLUMN(HeadJournal!H$1),0),0)</f>
        <v>1001</v>
      </c>
      <c r="Q5583" s="29">
        <v>2000</v>
      </c>
      <c r="R5583" s="31">
        <v>46079</v>
      </c>
      <c r="S5583" s="31" t="s">
        <v>4613</v>
      </c>
      <c r="T5583" s="95" t="str">
        <f t="shared" si="414"/>
        <v>2026 02</v>
      </c>
      <c r="U5583" s="32">
        <f t="shared" si="415"/>
        <v>999</v>
      </c>
      <c r="V5583" s="22">
        <f t="shared" si="416"/>
        <v>0.99800199800199796</v>
      </c>
      <c r="X5583" s="33"/>
      <c r="Y5583" s="33"/>
    </row>
    <row r="5584" spans="1:25" x14ac:dyDescent="0.2">
      <c r="A5584" s="93" t="s">
        <v>5492</v>
      </c>
      <c r="B5584" s="94">
        <f>IFERROR(VLOOKUP($A5584,HeadJournal!$A$1:$NTR$890,COLUMN(HeadJournal!B$1),0),"")</f>
        <v>0</v>
      </c>
      <c r="C5584" s="94" t="str">
        <f>IFERROR(VLOOKUP($A5584,HeadJournal!$A$1:$NTR$890,COLUMN(HeadJournal!C$1),0),"")</f>
        <v>iHerb_AV CYG0792</v>
      </c>
      <c r="D5584" s="125" t="str">
        <f>IFERROR(VLOOKUP($A5584,HeadJournal!$A$1:$NTR$890,COLUMN(HeadJournal!D$1),0),"")</f>
        <v>Доставлен</v>
      </c>
      <c r="E5584" s="95">
        <f>IFERROR(VLOOKUP($A5584,HeadJournal!$A$1:$NTR$890,COLUMN(HeadJournal!G$1),0),"")</f>
        <v>46071</v>
      </c>
      <c r="F5584" s="95" t="str">
        <f t="shared" si="413"/>
        <v>2026 02</v>
      </c>
      <c r="G5584" s="97" t="s">
        <v>5</v>
      </c>
      <c r="H5584" s="161" t="s">
        <v>5479</v>
      </c>
      <c r="I5584" s="97" t="s">
        <v>2005</v>
      </c>
      <c r="J5584" s="97" t="s">
        <v>5480</v>
      </c>
      <c r="K5584" s="29">
        <v>11.25</v>
      </c>
      <c r="L5584" s="29">
        <v>-2.25</v>
      </c>
      <c r="M5584" s="30">
        <f>IFERROR(VLOOKUP($A5584,HeadJournal!$A$1:$J$890,COLUMN(HeadJournal!I$1),0)*($K5584+$L5584)/(SUMIF($A:$A,$A5584,$K:$K)+SUMIF($A:$A,$A5584,$L:$L)),0)</f>
        <v>-0.84946846939828646</v>
      </c>
      <c r="N5584" s="30">
        <f>IFERROR((VLOOKUP($A5584,HeadJournal!$A$1:$K$890,COLUMN(HeadJournal!K$1),0)-VLOOKUP($A5584,HeadJournal!$A$1:$K$890,COLUMN(HeadJournal!J$1),0))*($K5584+$L5584)/(SUMIF($A:$A,$A5584,$K:$K)+SUMIF($A:$A,$A5584,$L:$L)),0)</f>
        <v>-1.3200298527899475E-15</v>
      </c>
      <c r="O5584" s="30">
        <f>IFERROR((VLOOKUP($A5584,HeadJournal!$A$1:$L$890,COLUMN(HeadJournal!L$1),0)*($K5584+$L5584)/(SUMIF($A:$A,$A5584,$K:$K)+SUMIF($A:$A,$A5584,$L:$L)))/VLOOKUP($A5584,HeadJournal!$A$1:$L$890,COLUMN(HeadJournal!H$1),0),0)</f>
        <v>0.22571485658774038</v>
      </c>
      <c r="P5584" s="30">
        <f>IFERROR(SUM(K5584:O5584)*VLOOKUP($A5584,HeadJournal!$A$1:$L$890,COLUMN(HeadJournal!H$1),0),0)</f>
        <v>730.78346578594267</v>
      </c>
      <c r="Q5584" s="29">
        <v>1500</v>
      </c>
      <c r="R5584" s="31">
        <v>46106</v>
      </c>
      <c r="S5584" s="31" t="s">
        <v>4483</v>
      </c>
      <c r="T5584" s="95" t="str">
        <f t="shared" si="414"/>
        <v>2026 03</v>
      </c>
      <c r="U5584" s="32">
        <f t="shared" si="415"/>
        <v>769.21653421405733</v>
      </c>
      <c r="V5584" s="22">
        <f t="shared" si="416"/>
        <v>1.0525915954964591</v>
      </c>
      <c r="X5584" s="33"/>
      <c r="Y5584" s="33"/>
    </row>
    <row r="5585" spans="1:25" x14ac:dyDescent="0.2">
      <c r="A5585" s="93" t="s">
        <v>5492</v>
      </c>
      <c r="B5585" s="94">
        <f>IFERROR(VLOOKUP($A5585,HeadJournal!$A$1:$NTR$890,COLUMN(HeadJournal!B$1),0),"")</f>
        <v>0</v>
      </c>
      <c r="C5585" s="94" t="str">
        <f>IFERROR(VLOOKUP($A5585,HeadJournal!$A$1:$NTR$890,COLUMN(HeadJournal!C$1),0),"")</f>
        <v>iHerb_AV CYG0792</v>
      </c>
      <c r="D5585" s="125" t="str">
        <f>IFERROR(VLOOKUP($A5585,HeadJournal!$A$1:$NTR$890,COLUMN(HeadJournal!D$1),0),"")</f>
        <v>Доставлен</v>
      </c>
      <c r="E5585" s="95">
        <f>IFERROR(VLOOKUP($A5585,HeadJournal!$A$1:$NTR$890,COLUMN(HeadJournal!G$1),0),"")</f>
        <v>46071</v>
      </c>
      <c r="F5585" s="95" t="str">
        <f t="shared" si="413"/>
        <v>2026 02</v>
      </c>
      <c r="G5585" s="97" t="s">
        <v>5</v>
      </c>
      <c r="H5585" s="161" t="s">
        <v>5481</v>
      </c>
      <c r="I5585" s="97" t="s">
        <v>2460</v>
      </c>
      <c r="J5585" s="97" t="s">
        <v>5482</v>
      </c>
      <c r="K5585" s="29">
        <v>45.31</v>
      </c>
      <c r="L5585" s="29">
        <v>-9.06</v>
      </c>
      <c r="M5585" s="30">
        <f>IFERROR(VLOOKUP($A5585,HeadJournal!$A$1:$J$890,COLUMN(HeadJournal!I$1),0)*($K5585+$L5585)/(SUMIF($A:$A,$A5585,$K:$K)+SUMIF($A:$A,$A5585,$L:$L)),0)</f>
        <v>-3.4214702239653207</v>
      </c>
      <c r="N5585" s="30">
        <f>IFERROR((VLOOKUP($A5585,HeadJournal!$A$1:$K$890,COLUMN(HeadJournal!K$1),0)-VLOOKUP($A5585,HeadJournal!$A$1:$K$890,COLUMN(HeadJournal!J$1),0))*($K5585+$L5585)/(SUMIF($A:$A,$A5585,$K:$K)+SUMIF($A:$A,$A5585,$L:$L)),0)</f>
        <v>-5.3167869070706218E-15</v>
      </c>
      <c r="O5585" s="30">
        <f>IFERROR((VLOOKUP($A5585,HeadJournal!$A$1:$L$890,COLUMN(HeadJournal!L$1),0)*($K5585+$L5585)/(SUMIF($A:$A,$A5585,$K:$K)+SUMIF($A:$A,$A5585,$L:$L)))/VLOOKUP($A5585,HeadJournal!$A$1:$L$890,COLUMN(HeadJournal!H$1),0),0)</f>
        <v>0.90912928347839872</v>
      </c>
      <c r="P5585" s="30">
        <f>IFERROR(SUM(K5585:O5585)*VLOOKUP($A5585,HeadJournal!$A$1:$L$890,COLUMN(HeadJournal!H$1),0),0)</f>
        <v>2943.4334038600468</v>
      </c>
      <c r="Q5585" s="29">
        <v>4400</v>
      </c>
      <c r="R5585" s="31">
        <v>46108</v>
      </c>
      <c r="S5585" s="31"/>
      <c r="T5585" s="95" t="str">
        <f t="shared" si="414"/>
        <v>2026 03</v>
      </c>
      <c r="U5585" s="32">
        <f t="shared" si="415"/>
        <v>1456.5665961399532</v>
      </c>
      <c r="V5585" s="22">
        <f t="shared" si="416"/>
        <v>0.494852913685697</v>
      </c>
      <c r="X5585" s="33"/>
      <c r="Y5585" s="33"/>
    </row>
    <row r="5586" spans="1:25" x14ac:dyDescent="0.2">
      <c r="A5586" s="93" t="s">
        <v>5492</v>
      </c>
      <c r="B5586" s="94">
        <f>IFERROR(VLOOKUP($A5586,HeadJournal!$A$1:$NTR$890,COLUMN(HeadJournal!B$1),0),"")</f>
        <v>0</v>
      </c>
      <c r="C5586" s="94" t="str">
        <f>IFERROR(VLOOKUP($A5586,HeadJournal!$A$1:$NTR$890,COLUMN(HeadJournal!C$1),0),"")</f>
        <v>iHerb_AV CYG0792</v>
      </c>
      <c r="D5586" s="125" t="str">
        <f>IFERROR(VLOOKUP($A5586,HeadJournal!$A$1:$NTR$890,COLUMN(HeadJournal!D$1),0),"")</f>
        <v>Доставлен</v>
      </c>
      <c r="E5586" s="95">
        <f>IFERROR(VLOOKUP($A5586,HeadJournal!$A$1:$NTR$890,COLUMN(HeadJournal!G$1),0),"")</f>
        <v>46071</v>
      </c>
      <c r="F5586" s="95" t="str">
        <f t="shared" si="413"/>
        <v>2026 02</v>
      </c>
      <c r="G5586" s="97" t="s">
        <v>5</v>
      </c>
      <c r="H5586" s="161" t="s">
        <v>2727</v>
      </c>
      <c r="I5586" s="97" t="s">
        <v>2221</v>
      </c>
      <c r="J5586" s="97" t="s">
        <v>5483</v>
      </c>
      <c r="K5586" s="29">
        <v>17.66</v>
      </c>
      <c r="L5586" s="29">
        <v>-3.53</v>
      </c>
      <c r="M5586" s="30">
        <f>IFERROR(VLOOKUP($A5586,HeadJournal!$A$1:$J$890,COLUMN(HeadJournal!I$1),0)*($K5586+$L5586)/(SUMIF($A:$A,$A5586,$K:$K)+SUMIF($A:$A,$A5586,$L:$L)),0)</f>
        <v>-1.3336654969553099</v>
      </c>
      <c r="N5586" s="30">
        <f>IFERROR((VLOOKUP($A5586,HeadJournal!$A$1:$K$890,COLUMN(HeadJournal!K$1),0)-VLOOKUP($A5586,HeadJournal!$A$1:$K$890,COLUMN(HeadJournal!J$1),0))*($K5586+$L5586)/(SUMIF($A:$A,$A5586,$K:$K)+SUMIF($A:$A,$A5586,$L:$L)),0)</f>
        <v>-2.0724468688802176E-15</v>
      </c>
      <c r="O5586" s="30">
        <f>IFERROR((VLOOKUP($A5586,HeadJournal!$A$1:$L$890,COLUMN(HeadJournal!L$1),0)*($K5586+$L5586)/(SUMIF($A:$A,$A5586,$K:$K)+SUMIF($A:$A,$A5586,$L:$L)))/VLOOKUP($A5586,HeadJournal!$A$1:$L$890,COLUMN(HeadJournal!H$1),0),0)</f>
        <v>0.35437232484275238</v>
      </c>
      <c r="P5586" s="30">
        <f>IFERROR(SUM(K5586:O5586)*VLOOKUP($A5586,HeadJournal!$A$1:$L$890,COLUMN(HeadJournal!H$1),0),0)</f>
        <v>1147.3300412839301</v>
      </c>
      <c r="Q5586" s="29">
        <v>2300</v>
      </c>
      <c r="R5586" s="31">
        <v>46108</v>
      </c>
      <c r="S5586" s="31" t="s">
        <v>4622</v>
      </c>
      <c r="T5586" s="95" t="str">
        <f t="shared" si="414"/>
        <v>2026 03</v>
      </c>
      <c r="U5586" s="32">
        <f t="shared" si="415"/>
        <v>1152.6699587160699</v>
      </c>
      <c r="V5586" s="22">
        <f t="shared" si="416"/>
        <v>1.0046542121621467</v>
      </c>
      <c r="X5586" s="33"/>
      <c r="Y5586" s="33"/>
    </row>
    <row r="5587" spans="1:25" x14ac:dyDescent="0.2">
      <c r="A5587" s="93" t="s">
        <v>5492</v>
      </c>
      <c r="B5587" s="94">
        <f>IFERROR(VLOOKUP($A5587,HeadJournal!$A$1:$NTR$890,COLUMN(HeadJournal!B$1),0),"")</f>
        <v>0</v>
      </c>
      <c r="C5587" s="94" t="str">
        <f>IFERROR(VLOOKUP($A5587,HeadJournal!$A$1:$NTR$890,COLUMN(HeadJournal!C$1),0),"")</f>
        <v>iHerb_AV CYG0792</v>
      </c>
      <c r="D5587" s="125" t="str">
        <f>IFERROR(VLOOKUP($A5587,HeadJournal!$A$1:$NTR$890,COLUMN(HeadJournal!D$1),0),"")</f>
        <v>Доставлен</v>
      </c>
      <c r="E5587" s="95">
        <f>IFERROR(VLOOKUP($A5587,HeadJournal!$A$1:$NTR$890,COLUMN(HeadJournal!G$1),0),"")</f>
        <v>46071</v>
      </c>
      <c r="F5587" s="95" t="str">
        <f t="shared" si="413"/>
        <v>2026 02</v>
      </c>
      <c r="G5587" s="97" t="s">
        <v>5</v>
      </c>
      <c r="H5587" s="161" t="s">
        <v>3796</v>
      </c>
      <c r="I5587" s="97" t="s">
        <v>2009</v>
      </c>
      <c r="J5587" s="97" t="s">
        <v>3797</v>
      </c>
      <c r="K5587" s="29">
        <v>25.02</v>
      </c>
      <c r="L5587" s="29">
        <v>-5</v>
      </c>
      <c r="M5587" s="30">
        <f>IFERROR(VLOOKUP($A5587,HeadJournal!$A$1:$J$890,COLUMN(HeadJournal!I$1),0)*($K5587+$L5587)/(SUMIF($A:$A,$A5587,$K:$K)+SUMIF($A:$A,$A5587,$L:$L)),0)</f>
        <v>-1.8895954174837442</v>
      </c>
      <c r="N5587" s="30">
        <f>IFERROR((VLOOKUP($A5587,HeadJournal!$A$1:$K$890,COLUMN(HeadJournal!K$1),0)-VLOOKUP($A5587,HeadJournal!$A$1:$K$890,COLUMN(HeadJournal!J$1),0))*($K5587+$L5587)/(SUMIF($A:$A,$A5587,$K:$K)+SUMIF($A:$A,$A5587,$L:$L)),0)</f>
        <v>-2.9363330725394166E-15</v>
      </c>
      <c r="O5587" s="30">
        <f>IFERROR((VLOOKUP($A5587,HeadJournal!$A$1:$L$890,COLUMN(HeadJournal!L$1),0)*($K5587+$L5587)/(SUMIF($A:$A,$A5587,$K:$K)+SUMIF($A:$A,$A5587,$L:$L)))/VLOOKUP($A5587,HeadJournal!$A$1:$L$890,COLUMN(HeadJournal!H$1),0),0)</f>
        <v>0.50209015876517349</v>
      </c>
      <c r="P5587" s="30">
        <f>IFERROR(SUM(K5587:O5587)*VLOOKUP($A5587,HeadJournal!$A$1:$L$890,COLUMN(HeadJournal!H$1),0),0)</f>
        <v>1625.5872205593971</v>
      </c>
      <c r="Q5587" s="29">
        <v>2900</v>
      </c>
      <c r="R5587" s="31">
        <v>46106</v>
      </c>
      <c r="S5587" s="31" t="s">
        <v>3235</v>
      </c>
      <c r="T5587" s="95" t="str">
        <f t="shared" si="414"/>
        <v>2026 03</v>
      </c>
      <c r="U5587" s="32">
        <f t="shared" si="415"/>
        <v>1274.4127794406029</v>
      </c>
      <c r="V5587" s="22">
        <f t="shared" si="416"/>
        <v>0.78397071736455448</v>
      </c>
      <c r="X5587" s="33"/>
      <c r="Y5587" s="33"/>
    </row>
    <row r="5588" spans="1:25" x14ac:dyDescent="0.2">
      <c r="A5588" s="93" t="s">
        <v>5492</v>
      </c>
      <c r="B5588" s="94">
        <f>IFERROR(VLOOKUP($A5588,HeadJournal!$A$1:$NTR$890,COLUMN(HeadJournal!B$1),0),"")</f>
        <v>0</v>
      </c>
      <c r="C5588" s="94" t="str">
        <f>IFERROR(VLOOKUP($A5588,HeadJournal!$A$1:$NTR$890,COLUMN(HeadJournal!C$1),0),"")</f>
        <v>iHerb_AV CYG0792</v>
      </c>
      <c r="D5588" s="125" t="str">
        <f>IFERROR(VLOOKUP($A5588,HeadJournal!$A$1:$NTR$890,COLUMN(HeadJournal!D$1),0),"")</f>
        <v>Доставлен</v>
      </c>
      <c r="E5588" s="95">
        <f>IFERROR(VLOOKUP($A5588,HeadJournal!$A$1:$NTR$890,COLUMN(HeadJournal!G$1),0),"")</f>
        <v>46071</v>
      </c>
      <c r="F5588" s="95" t="str">
        <f t="shared" si="413"/>
        <v>2026 02</v>
      </c>
      <c r="G5588" s="97" t="s">
        <v>5</v>
      </c>
      <c r="H5588" s="161" t="s">
        <v>3794</v>
      </c>
      <c r="I5588" s="97" t="s">
        <v>2009</v>
      </c>
      <c r="J5588" s="97" t="s">
        <v>5401</v>
      </c>
      <c r="K5588" s="29">
        <v>13.52</v>
      </c>
      <c r="L5588" s="29">
        <v>-2.7</v>
      </c>
      <c r="M5588" s="30">
        <f>IFERROR(VLOOKUP($A5588,HeadJournal!$A$1:$J$890,COLUMN(HeadJournal!I$1),0)*($K5588+$L5588)/(SUMIF($A:$A,$A5588,$K:$K)+SUMIF($A:$A,$A5588,$L:$L)),0)</f>
        <v>-1.0212498709877178</v>
      </c>
      <c r="N5588" s="30">
        <f>IFERROR((VLOOKUP($A5588,HeadJournal!$A$1:$K$890,COLUMN(HeadJournal!K$1),0)-VLOOKUP($A5588,HeadJournal!$A$1:$K$890,COLUMN(HeadJournal!J$1),0))*($K5588+$L5588)/(SUMIF($A:$A,$A5588,$K:$K)+SUMIF($A:$A,$A5588,$L:$L)),0)</f>
        <v>-1.5869692230208036E-15</v>
      </c>
      <c r="O5588" s="30">
        <f>IFERROR((VLOOKUP($A5588,HeadJournal!$A$1:$L$890,COLUMN(HeadJournal!L$1),0)*($K5588+$L5588)/(SUMIF($A:$A,$A5588,$K:$K)+SUMIF($A:$A,$A5588,$L:$L)))/VLOOKUP($A5588,HeadJournal!$A$1:$L$890,COLUMN(HeadJournal!H$1),0),0)</f>
        <v>0.27135941647548345</v>
      </c>
      <c r="P5588" s="30">
        <f>IFERROR(SUM(K5588:O5588)*VLOOKUP($A5588,HeadJournal!$A$1:$L$890,COLUMN(HeadJournal!H$1),0),0)</f>
        <v>878.5641222004333</v>
      </c>
      <c r="Q5588" s="29">
        <v>2000</v>
      </c>
      <c r="R5588" s="31">
        <v>46106</v>
      </c>
      <c r="S5588" s="31" t="s">
        <v>3235</v>
      </c>
      <c r="T5588" s="95" t="str">
        <f t="shared" si="414"/>
        <v>2026 03</v>
      </c>
      <c r="U5588" s="32">
        <f t="shared" si="415"/>
        <v>1121.4358777995667</v>
      </c>
      <c r="V5588" s="22">
        <f t="shared" si="416"/>
        <v>1.2764416955598437</v>
      </c>
      <c r="X5588" s="33"/>
      <c r="Y5588" s="33"/>
    </row>
    <row r="5589" spans="1:25" x14ac:dyDescent="0.2">
      <c r="A5589" s="93" t="s">
        <v>5492</v>
      </c>
      <c r="B5589" s="94">
        <f>IFERROR(VLOOKUP($A5589,HeadJournal!$A$1:$NTR$890,COLUMN(HeadJournal!B$1),0),"")</f>
        <v>0</v>
      </c>
      <c r="C5589" s="94" t="str">
        <f>IFERROR(VLOOKUP($A5589,HeadJournal!$A$1:$NTR$890,COLUMN(HeadJournal!C$1),0),"")</f>
        <v>iHerb_AV CYG0792</v>
      </c>
      <c r="D5589" s="125" t="str">
        <f>IFERROR(VLOOKUP($A5589,HeadJournal!$A$1:$NTR$890,COLUMN(HeadJournal!D$1),0),"")</f>
        <v>Доставлен</v>
      </c>
      <c r="E5589" s="95">
        <f>IFERROR(VLOOKUP($A5589,HeadJournal!$A$1:$NTR$890,COLUMN(HeadJournal!G$1),0),"")</f>
        <v>46071</v>
      </c>
      <c r="F5589" s="95" t="str">
        <f t="shared" si="413"/>
        <v>2026 02</v>
      </c>
      <c r="G5589" s="97" t="s">
        <v>5</v>
      </c>
      <c r="H5589" s="161" t="s">
        <v>4004</v>
      </c>
      <c r="I5589" s="97" t="s">
        <v>2042</v>
      </c>
      <c r="J5589" s="97" t="s">
        <v>5484</v>
      </c>
      <c r="K5589" s="29">
        <v>9.74</v>
      </c>
      <c r="L5589" s="29">
        <v>-1.95</v>
      </c>
      <c r="M5589" s="30">
        <f>IFERROR(VLOOKUP($A5589,HeadJournal!$A$1:$J$890,COLUMN(HeadJournal!I$1),0)*($K5589+$L5589)/(SUMIF($A:$A,$A5589,$K:$K)+SUMIF($A:$A,$A5589,$L:$L)),0)</f>
        <v>-0.73526215295696129</v>
      </c>
      <c r="N5589" s="30">
        <f>IFERROR((VLOOKUP($A5589,HeadJournal!$A$1:$K$890,COLUMN(HeadJournal!K$1),0)-VLOOKUP($A5589,HeadJournal!$A$1:$K$890,COLUMN(HeadJournal!J$1),0))*($K5589+$L5589)/(SUMIF($A:$A,$A5589,$K:$K)+SUMIF($A:$A,$A5589,$L:$L)),0)</f>
        <v>-1.1425591725815212E-15</v>
      </c>
      <c r="O5589" s="30">
        <f>IFERROR((VLOOKUP($A5589,HeadJournal!$A$1:$L$890,COLUMN(HeadJournal!L$1),0)*($K5589+$L5589)/(SUMIF($A:$A,$A5589,$K:$K)+SUMIF($A:$A,$A5589,$L:$L)))/VLOOKUP($A5589,HeadJournal!$A$1:$L$890,COLUMN(HeadJournal!H$1),0),0)</f>
        <v>0.19536874809094415</v>
      </c>
      <c r="P5589" s="30">
        <f>IFERROR(SUM(K5589:O5589)*VLOOKUP($A5589,HeadJournal!$A$1:$L$890,COLUMN(HeadJournal!H$1),0),0)</f>
        <v>632.53368871916598</v>
      </c>
      <c r="Q5589" s="29">
        <v>1500</v>
      </c>
      <c r="R5589" s="31">
        <v>46119</v>
      </c>
      <c r="S5589" s="31" t="s">
        <v>3437</v>
      </c>
      <c r="T5589" s="95" t="str">
        <f t="shared" si="414"/>
        <v>2026 04</v>
      </c>
      <c r="U5589" s="32">
        <f t="shared" si="415"/>
        <v>867.46631128083402</v>
      </c>
      <c r="V5589" s="22">
        <f t="shared" si="416"/>
        <v>1.3714151937699781</v>
      </c>
      <c r="X5589" s="33"/>
      <c r="Y5589" s="33"/>
    </row>
    <row r="5590" spans="1:25" x14ac:dyDescent="0.2">
      <c r="A5590" s="93" t="s">
        <v>5492</v>
      </c>
      <c r="B5590" s="94">
        <f>IFERROR(VLOOKUP($A5590,HeadJournal!$A$1:$NTR$890,COLUMN(HeadJournal!B$1),0),"")</f>
        <v>0</v>
      </c>
      <c r="C5590" s="94" t="str">
        <f>IFERROR(VLOOKUP($A5590,HeadJournal!$A$1:$NTR$890,COLUMN(HeadJournal!C$1),0),"")</f>
        <v>iHerb_AV CYG0792</v>
      </c>
      <c r="D5590" s="125" t="str">
        <f>IFERROR(VLOOKUP($A5590,HeadJournal!$A$1:$NTR$890,COLUMN(HeadJournal!D$1),0),"")</f>
        <v>Доставлен</v>
      </c>
      <c r="E5590" s="95">
        <f>IFERROR(VLOOKUP($A5590,HeadJournal!$A$1:$NTR$890,COLUMN(HeadJournal!G$1),0),"")</f>
        <v>46071</v>
      </c>
      <c r="F5590" s="95" t="str">
        <f t="shared" si="413"/>
        <v>2026 02</v>
      </c>
      <c r="G5590" s="97" t="s">
        <v>5</v>
      </c>
      <c r="H5590" s="161" t="s">
        <v>5379</v>
      </c>
      <c r="I5590" s="97" t="s">
        <v>5380</v>
      </c>
      <c r="J5590" s="97" t="s">
        <v>5381</v>
      </c>
      <c r="K5590" s="29">
        <v>23.69</v>
      </c>
      <c r="L5590" s="29">
        <v>-4.74</v>
      </c>
      <c r="M5590" s="30">
        <f>IFERROR(VLOOKUP($A5590,HeadJournal!$A$1:$J$890,COLUMN(HeadJournal!I$1),0)*($K5590+$L5590)/(SUMIF($A:$A,$A5590,$K:$K)+SUMIF($A:$A,$A5590,$L:$L)),0)</f>
        <v>-1.7886030550108369</v>
      </c>
      <c r="N5590" s="30">
        <f>IFERROR((VLOOKUP($A5590,HeadJournal!$A$1:$K$890,COLUMN(HeadJournal!K$1),0)-VLOOKUP($A5590,HeadJournal!$A$1:$K$890,COLUMN(HeadJournal!J$1),0))*($K5590+$L5590)/(SUMIF($A:$A,$A5590,$K:$K)+SUMIF($A:$A,$A5590,$L:$L)),0)</f>
        <v>-2.7793961900410567E-15</v>
      </c>
      <c r="O5590" s="30">
        <f>IFERROR((VLOOKUP($A5590,HeadJournal!$A$1:$L$890,COLUMN(HeadJournal!L$1),0)*($K5590+$L5590)/(SUMIF($A:$A,$A5590,$K:$K)+SUMIF($A:$A,$A5590,$L:$L)))/VLOOKUP($A5590,HeadJournal!$A$1:$L$890,COLUMN(HeadJournal!H$1),0),0)</f>
        <v>0.47525517025974229</v>
      </c>
      <c r="P5590" s="30">
        <f>IFERROR(SUM(K5590:O5590)*VLOOKUP($A5590,HeadJournal!$A$1:$L$890,COLUMN(HeadJournal!H$1),0),0)</f>
        <v>1538.7051862937349</v>
      </c>
      <c r="Q5590" s="29">
        <v>1538.71</v>
      </c>
      <c r="R5590" s="31"/>
      <c r="S5590" s="31"/>
      <c r="T5590" s="95" t="str">
        <f t="shared" si="414"/>
        <v/>
      </c>
      <c r="U5590" s="32">
        <f t="shared" si="415"/>
        <v>4.8137062651676388E-3</v>
      </c>
      <c r="V5590" s="22">
        <f t="shared" si="416"/>
        <v>3.1284136220807634E-6</v>
      </c>
      <c r="X5590" s="33"/>
      <c r="Y5590" s="33"/>
    </row>
    <row r="5591" spans="1:25" x14ac:dyDescent="0.2">
      <c r="A5591" s="93" t="s">
        <v>5492</v>
      </c>
      <c r="B5591" s="94">
        <f>IFERROR(VLOOKUP($A5591,HeadJournal!$A$1:$NTR$890,COLUMN(HeadJournal!B$1),0),"")</f>
        <v>0</v>
      </c>
      <c r="C5591" s="94" t="str">
        <f>IFERROR(VLOOKUP($A5591,HeadJournal!$A$1:$NTR$890,COLUMN(HeadJournal!C$1),0),"")</f>
        <v>iHerb_AV CYG0792</v>
      </c>
      <c r="D5591" s="125" t="str">
        <f>IFERROR(VLOOKUP($A5591,HeadJournal!$A$1:$NTR$890,COLUMN(HeadJournal!D$1),0),"")</f>
        <v>Доставлен</v>
      </c>
      <c r="E5591" s="95">
        <f>IFERROR(VLOOKUP($A5591,HeadJournal!$A$1:$NTR$890,COLUMN(HeadJournal!G$1),0),"")</f>
        <v>46071</v>
      </c>
      <c r="F5591" s="95" t="str">
        <f t="shared" si="413"/>
        <v>2026 02</v>
      </c>
      <c r="G5591" s="97" t="s">
        <v>5</v>
      </c>
      <c r="H5591" s="161" t="s">
        <v>5485</v>
      </c>
      <c r="I5591" s="97" t="s">
        <v>2750</v>
      </c>
      <c r="J5591" s="97" t="s">
        <v>5486</v>
      </c>
      <c r="K5591" s="29">
        <v>20.34</v>
      </c>
      <c r="L5591" s="29">
        <v>-4.07</v>
      </c>
      <c r="M5591" s="30">
        <f>IFERROR(VLOOKUP($A5591,HeadJournal!$A$1:$J$890,COLUMN(HeadJournal!I$1),0)*($K5591+$L5591)/(SUMIF($A:$A,$A5591,$K:$K)+SUMIF($A:$A,$A5591,$L:$L)),0)</f>
        <v>-1.5356502219011245</v>
      </c>
      <c r="N5591" s="30">
        <f>IFERROR((VLOOKUP($A5591,HeadJournal!$A$1:$K$890,COLUMN(HeadJournal!K$1),0)-VLOOKUP($A5591,HeadJournal!$A$1:$K$890,COLUMN(HeadJournal!J$1),0))*($K5591+$L5591)/(SUMIF($A:$A,$A5591,$K:$K)+SUMIF($A:$A,$A5591,$L:$L)),0)</f>
        <v>-2.3863206338769385E-15</v>
      </c>
      <c r="O5591" s="30">
        <f>IFERROR((VLOOKUP($A5591,HeadJournal!$A$1:$L$890,COLUMN(HeadJournal!L$1),0)*($K5591+$L5591)/(SUMIF($A:$A,$A5591,$K:$K)+SUMIF($A:$A,$A5591,$L:$L)))/VLOOKUP($A5591,HeadJournal!$A$1:$L$890,COLUMN(HeadJournal!H$1),0),0)</f>
        <v>0.40804230185361506</v>
      </c>
      <c r="P5591" s="30">
        <f>IFERROR(SUM(K5591:O5591)*VLOOKUP($A5591,HeadJournal!$A$1:$L$890,COLUMN(HeadJournal!H$1),0),0)</f>
        <v>1321.0941098152541</v>
      </c>
      <c r="Q5591" s="29">
        <v>2400</v>
      </c>
      <c r="R5591" s="31">
        <v>46106</v>
      </c>
      <c r="S5591" s="31" t="s">
        <v>3226</v>
      </c>
      <c r="T5591" s="95" t="str">
        <f t="shared" si="414"/>
        <v>2026 03</v>
      </c>
      <c r="U5591" s="32">
        <f t="shared" si="415"/>
        <v>1078.9058901847459</v>
      </c>
      <c r="V5591" s="22">
        <f t="shared" si="416"/>
        <v>0.81667602797473937</v>
      </c>
      <c r="X5591" s="33"/>
      <c r="Y5591" s="33"/>
    </row>
    <row r="5592" spans="1:25" x14ac:dyDescent="0.2">
      <c r="A5592" s="93" t="s">
        <v>5492</v>
      </c>
      <c r="B5592" s="94">
        <f>IFERROR(VLOOKUP($A5592,HeadJournal!$A$1:$NTR$890,COLUMN(HeadJournal!B$1),0),"")</f>
        <v>0</v>
      </c>
      <c r="C5592" s="94" t="str">
        <f>IFERROR(VLOOKUP($A5592,HeadJournal!$A$1:$NTR$890,COLUMN(HeadJournal!C$1),0),"")</f>
        <v>iHerb_AV CYG0792</v>
      </c>
      <c r="D5592" s="125" t="str">
        <f>IFERROR(VLOOKUP($A5592,HeadJournal!$A$1:$NTR$890,COLUMN(HeadJournal!D$1),0),"")</f>
        <v>Доставлен</v>
      </c>
      <c r="E5592" s="95">
        <f>IFERROR(VLOOKUP($A5592,HeadJournal!$A$1:$NTR$890,COLUMN(HeadJournal!G$1),0),"")</f>
        <v>46071</v>
      </c>
      <c r="F5592" s="95" t="str">
        <f t="shared" si="413"/>
        <v>2026 02</v>
      </c>
      <c r="G5592" s="97" t="s">
        <v>5</v>
      </c>
      <c r="H5592" s="161" t="s">
        <v>3787</v>
      </c>
      <c r="I5592" s="97" t="s">
        <v>2036</v>
      </c>
      <c r="J5592" s="97" t="s">
        <v>4060</v>
      </c>
      <c r="K5592" s="29">
        <v>15.62</v>
      </c>
      <c r="L5592" s="29">
        <v>-3.12</v>
      </c>
      <c r="M5592" s="30">
        <f>IFERROR(VLOOKUP($A5592,HeadJournal!$A$1:$J$890,COLUMN(HeadJournal!I$1),0)*($K5592+$L5592)/(SUMIF($A:$A,$A5592,$K:$K)+SUMIF($A:$A,$A5592,$L:$L)),0)</f>
        <v>-1.1798173186087313</v>
      </c>
      <c r="N5592" s="30">
        <f>IFERROR((VLOOKUP($A5592,HeadJournal!$A$1:$K$890,COLUMN(HeadJournal!K$1),0)-VLOOKUP($A5592,HeadJournal!$A$1:$K$890,COLUMN(HeadJournal!J$1),0))*($K5592+$L5592)/(SUMIF($A:$A,$A5592,$K:$K)+SUMIF($A:$A,$A5592,$L:$L)),0)</f>
        <v>-1.8333747955415936E-15</v>
      </c>
      <c r="O5592" s="30">
        <f>IFERROR((VLOOKUP($A5592,HeadJournal!$A$1:$L$890,COLUMN(HeadJournal!L$1),0)*($K5592+$L5592)/(SUMIF($A:$A,$A5592,$K:$K)+SUMIF($A:$A,$A5592,$L:$L)))/VLOOKUP($A5592,HeadJournal!$A$1:$L$890,COLUMN(HeadJournal!H$1),0),0)</f>
        <v>0.31349285637186164</v>
      </c>
      <c r="P5592" s="30">
        <f>IFERROR(SUM(K5592:O5592)*VLOOKUP($A5592,HeadJournal!$A$1:$L$890,COLUMN(HeadJournal!H$1),0),0)</f>
        <v>1014.9770358138095</v>
      </c>
      <c r="Q5592" s="29">
        <v>2000</v>
      </c>
      <c r="R5592" s="31">
        <v>46106</v>
      </c>
      <c r="S5592" s="31" t="s">
        <v>3226</v>
      </c>
      <c r="T5592" s="95" t="str">
        <f t="shared" si="414"/>
        <v>2026 03</v>
      </c>
      <c r="U5592" s="32">
        <f t="shared" si="415"/>
        <v>985.02296418619051</v>
      </c>
      <c r="V5592" s="22">
        <f t="shared" si="416"/>
        <v>0.97048793167660019</v>
      </c>
      <c r="X5592" s="33"/>
      <c r="Y5592" s="33"/>
    </row>
    <row r="5593" spans="1:25" x14ac:dyDescent="0.2">
      <c r="A5593" s="93" t="s">
        <v>5492</v>
      </c>
      <c r="B5593" s="94">
        <f>IFERROR(VLOOKUP($A5593,HeadJournal!$A$1:$NTR$890,COLUMN(HeadJournal!B$1),0),"")</f>
        <v>0</v>
      </c>
      <c r="C5593" s="94" t="str">
        <f>IFERROR(VLOOKUP($A5593,HeadJournal!$A$1:$NTR$890,COLUMN(HeadJournal!C$1),0),"")</f>
        <v>iHerb_AV CYG0792</v>
      </c>
      <c r="D5593" s="125" t="str">
        <f>IFERROR(VLOOKUP($A5593,HeadJournal!$A$1:$NTR$890,COLUMN(HeadJournal!D$1),0),"")</f>
        <v>Доставлен</v>
      </c>
      <c r="E5593" s="95">
        <f>IFERROR(VLOOKUP($A5593,HeadJournal!$A$1:$NTR$890,COLUMN(HeadJournal!G$1),0),"")</f>
        <v>46071</v>
      </c>
      <c r="F5593" s="95" t="str">
        <f t="shared" si="413"/>
        <v>2026 02</v>
      </c>
      <c r="G5593" s="97" t="s">
        <v>5</v>
      </c>
      <c r="H5593" s="161" t="s">
        <v>5487</v>
      </c>
      <c r="I5593" s="97" t="s">
        <v>5380</v>
      </c>
      <c r="J5593" s="97" t="s">
        <v>5488</v>
      </c>
      <c r="K5593" s="29">
        <v>26.83</v>
      </c>
      <c r="L5593" s="29">
        <v>-5.37</v>
      </c>
      <c r="M5593" s="30">
        <f>IFERROR(VLOOKUP($A5593,HeadJournal!$A$1:$J$890,COLUMN(HeadJournal!I$1),0)*($K5593+$L5593)/(SUMIF($A:$A,$A5593,$K:$K)+SUMIF($A:$A,$A5593,$L:$L)),0)</f>
        <v>-2.0255103725874699</v>
      </c>
      <c r="N5593" s="30">
        <f>IFERROR((VLOOKUP($A5593,HeadJournal!$A$1:$K$890,COLUMN(HeadJournal!K$1),0)-VLOOKUP($A5593,HeadJournal!$A$1:$K$890,COLUMN(HeadJournal!J$1),0))*($K5593+$L5593)/(SUMIF($A:$A,$A5593,$K:$K)+SUMIF($A:$A,$A5593,$L:$L)),0)</f>
        <v>-3.1475378489858079E-15</v>
      </c>
      <c r="O5593" s="30">
        <f>IFERROR((VLOOKUP($A5593,HeadJournal!$A$1:$L$890,COLUMN(HeadJournal!L$1),0)*($K5593+$L5593)/(SUMIF($A:$A,$A5593,$K:$K)+SUMIF($A:$A,$A5593,$L:$L)))/VLOOKUP($A5593,HeadJournal!$A$1:$L$890,COLUMN(HeadJournal!H$1),0),0)</f>
        <v>0.53820453581921202</v>
      </c>
      <c r="P5593" s="30">
        <f>IFERROR(SUM(K5593:O5593)*VLOOKUP($A5593,HeadJournal!$A$1:$L$890,COLUMN(HeadJournal!H$1),0),0)</f>
        <v>1742.5125750851475</v>
      </c>
      <c r="Q5593" s="29">
        <v>3000</v>
      </c>
      <c r="R5593" s="31">
        <v>46106</v>
      </c>
      <c r="S5593" s="31" t="s">
        <v>3231</v>
      </c>
      <c r="T5593" s="95" t="str">
        <f t="shared" si="414"/>
        <v>2026 03</v>
      </c>
      <c r="U5593" s="32">
        <f t="shared" si="415"/>
        <v>1257.4874249148525</v>
      </c>
      <c r="V5593" s="22">
        <f t="shared" si="416"/>
        <v>0.72165185083579986</v>
      </c>
      <c r="X5593" s="33"/>
      <c r="Y5593" s="33"/>
    </row>
    <row r="5594" spans="1:25" x14ac:dyDescent="0.2">
      <c r="A5594" s="93" t="s">
        <v>5492</v>
      </c>
      <c r="B5594" s="94">
        <f>IFERROR(VLOOKUP($A5594,HeadJournal!$A$1:$NTR$890,COLUMN(HeadJournal!B$1),0),"")</f>
        <v>0</v>
      </c>
      <c r="C5594" s="94" t="str">
        <f>IFERROR(VLOOKUP($A5594,HeadJournal!$A$1:$NTR$890,COLUMN(HeadJournal!C$1),0),"")</f>
        <v>iHerb_AV CYG0792</v>
      </c>
      <c r="D5594" s="125" t="str">
        <f>IFERROR(VLOOKUP($A5594,HeadJournal!$A$1:$NTR$890,COLUMN(HeadJournal!D$1),0),"")</f>
        <v>Доставлен</v>
      </c>
      <c r="E5594" s="95">
        <f>IFERROR(VLOOKUP($A5594,HeadJournal!$A$1:$NTR$890,COLUMN(HeadJournal!G$1),0),"")</f>
        <v>46071</v>
      </c>
      <c r="F5594" s="95" t="str">
        <f t="shared" si="413"/>
        <v>2026 02</v>
      </c>
      <c r="G5594" s="97" t="s">
        <v>5</v>
      </c>
      <c r="H5594" s="161" t="s">
        <v>2623</v>
      </c>
      <c r="I5594" s="97" t="s">
        <v>2052</v>
      </c>
      <c r="J5594" s="97" t="s">
        <v>5489</v>
      </c>
      <c r="K5594" s="29">
        <v>6.46</v>
      </c>
      <c r="L5594" s="29">
        <v>-1.29</v>
      </c>
      <c r="M5594" s="30">
        <f>IFERROR(VLOOKUP($A5594,HeadJournal!$A$1:$J$890,COLUMN(HeadJournal!I$1),0)*($K5594+$L5594)/(SUMIF($A:$A,$A5594,$K:$K)+SUMIF($A:$A,$A5594,$L:$L)),0)</f>
        <v>-0.48797244297657127</v>
      </c>
      <c r="N5594" s="30">
        <f>IFERROR((VLOOKUP($A5594,HeadJournal!$A$1:$K$890,COLUMN(HeadJournal!K$1),0)-VLOOKUP($A5594,HeadJournal!$A$1:$K$890,COLUMN(HeadJournal!J$1),0))*($K5594+$L5594)/(SUMIF($A:$A,$A5594,$K:$K)+SUMIF($A:$A,$A5594,$L:$L)),0)</f>
        <v>-7.582838154360032E-16</v>
      </c>
      <c r="O5594" s="30">
        <f>IFERROR((VLOOKUP($A5594,HeadJournal!$A$1:$L$890,COLUMN(HeadJournal!L$1),0)*($K5594+$L5594)/(SUMIF($A:$A,$A5594,$K:$K)+SUMIF($A:$A,$A5594,$L:$L)))/VLOOKUP($A5594,HeadJournal!$A$1:$L$890,COLUMN(HeadJournal!H$1),0),0)</f>
        <v>0.12966064539540198</v>
      </c>
      <c r="P5594" s="30">
        <f>IFERROR(SUM(K5594:O5594)*VLOOKUP($A5594,HeadJournal!$A$1:$L$890,COLUMN(HeadJournal!H$1),0),0)</f>
        <v>419.79450201259158</v>
      </c>
      <c r="Q5594" s="29"/>
      <c r="R5594" s="31"/>
      <c r="S5594" s="31"/>
      <c r="T5594" s="95" t="str">
        <f t="shared" si="414"/>
        <v/>
      </c>
      <c r="U5594" s="32">
        <f t="shared" si="415"/>
        <v>-419.79450201259158</v>
      </c>
      <c r="V5594" s="22" t="str">
        <f t="shared" si="416"/>
        <v/>
      </c>
      <c r="X5594" s="33"/>
      <c r="Y5594" s="33"/>
    </row>
    <row r="5595" spans="1:25" x14ac:dyDescent="0.2">
      <c r="A5595" s="93" t="s">
        <v>5492</v>
      </c>
      <c r="B5595" s="94">
        <f>IFERROR(VLOOKUP($A5595,HeadJournal!$A$1:$NTR$890,COLUMN(HeadJournal!B$1),0),"")</f>
        <v>0</v>
      </c>
      <c r="C5595" s="94" t="str">
        <f>IFERROR(VLOOKUP($A5595,HeadJournal!$A$1:$NTR$890,COLUMN(HeadJournal!C$1),0),"")</f>
        <v>iHerb_AV CYG0792</v>
      </c>
      <c r="D5595" s="125" t="str">
        <f>IFERROR(VLOOKUP($A5595,HeadJournal!$A$1:$NTR$890,COLUMN(HeadJournal!D$1),0),"")</f>
        <v>Доставлен</v>
      </c>
      <c r="E5595" s="95">
        <f>IFERROR(VLOOKUP($A5595,HeadJournal!$A$1:$NTR$890,COLUMN(HeadJournal!G$1),0),"")</f>
        <v>46071</v>
      </c>
      <c r="F5595" s="95" t="str">
        <f t="shared" si="413"/>
        <v>2026 02</v>
      </c>
      <c r="G5595" s="97" t="s">
        <v>5</v>
      </c>
      <c r="H5595" s="161" t="s">
        <v>5490</v>
      </c>
      <c r="I5595" s="97" t="s">
        <v>5380</v>
      </c>
      <c r="J5595" s="97" t="s">
        <v>5491</v>
      </c>
      <c r="K5595" s="29">
        <v>26.78</v>
      </c>
      <c r="L5595" s="29">
        <v>-5.36</v>
      </c>
      <c r="M5595" s="30">
        <f>IFERROR(VLOOKUP($A5595,HeadJournal!$A$1:$J$890,COLUMN(HeadJournal!I$1),0)*($K5595+$L5595)/(SUMIF($A:$A,$A5595,$K:$K)+SUMIF($A:$A,$A5595,$L:$L)),0)</f>
        <v>-2.0217349571679222</v>
      </c>
      <c r="N5595" s="30">
        <f>IFERROR((VLOOKUP($A5595,HeadJournal!$A$1:$K$890,COLUMN(HeadJournal!K$1),0)-VLOOKUP($A5595,HeadJournal!$A$1:$K$890,COLUMN(HeadJournal!J$1),0))*($K5595+$L5595)/(SUMIF($A:$A,$A5595,$K:$K)+SUMIF($A:$A,$A5595,$L:$L)),0)</f>
        <v>-3.1416710496400753E-15</v>
      </c>
      <c r="O5595" s="30">
        <f>IFERROR((VLOOKUP($A5595,HeadJournal!$A$1:$L$890,COLUMN(HeadJournal!L$1),0)*($K5595+$L5595)/(SUMIF($A:$A,$A5595,$K:$K)+SUMIF($A:$A,$A5595,$L:$L)))/VLOOKUP($A5595,HeadJournal!$A$1:$L$890,COLUMN(HeadJournal!H$1),0),0)</f>
        <v>0.53720135867882202</v>
      </c>
      <c r="P5595" s="30">
        <f>IFERROR(SUM(K5595:O5595)*VLOOKUP($A5595,HeadJournal!$A$1:$L$890,COLUMN(HeadJournal!H$1),0),0)</f>
        <v>1739.2646485705436</v>
      </c>
      <c r="Q5595" s="29">
        <v>3200</v>
      </c>
      <c r="R5595" s="31">
        <v>46158</v>
      </c>
      <c r="S5595" s="31"/>
      <c r="T5595" s="95" t="str">
        <f t="shared" si="414"/>
        <v>2026 05</v>
      </c>
      <c r="U5595" s="32">
        <f t="shared" si="415"/>
        <v>1460.7353514294564</v>
      </c>
      <c r="V5595" s="22">
        <f t="shared" si="416"/>
        <v>0.8398580127699351</v>
      </c>
      <c r="X5595" s="33"/>
      <c r="Y5595" s="33"/>
    </row>
    <row r="5596" spans="1:25" x14ac:dyDescent="0.2">
      <c r="A5596" s="93" t="s">
        <v>5499</v>
      </c>
      <c r="B5596" s="94">
        <f>IFERROR(VLOOKUP($A5596,HeadJournal!$A$1:$NTR$890,COLUMN(HeadJournal!B$1),0),"")</f>
        <v>0</v>
      </c>
      <c r="C5596" s="94" t="str">
        <f>IFERROR(VLOOKUP($A5596,HeadJournal!$A$1:$NTR$890,COLUMN(HeadJournal!C$1),0),"")</f>
        <v>iHerb_MH DLE7202</v>
      </c>
      <c r="D5596" s="125" t="str">
        <f>IFERROR(VLOOKUP($A5596,HeadJournal!$A$1:$NTR$890,COLUMN(HeadJournal!D$1),0),"")</f>
        <v>Доставлен</v>
      </c>
      <c r="E5596" s="95">
        <f>IFERROR(VLOOKUP($A5596,HeadJournal!$A$1:$NTR$890,COLUMN(HeadJournal!G$1),0),"")</f>
        <v>46066</v>
      </c>
      <c r="F5596" s="95" t="str">
        <f t="shared" si="413"/>
        <v>2026 02</v>
      </c>
      <c r="G5596" s="97" t="s">
        <v>5</v>
      </c>
      <c r="H5596" s="161" t="s">
        <v>5493</v>
      </c>
      <c r="I5596" s="97" t="s">
        <v>5494</v>
      </c>
      <c r="J5596" s="97" t="s">
        <v>5495</v>
      </c>
      <c r="K5596" s="29">
        <v>47.19</v>
      </c>
      <c r="L5596" s="29">
        <v>-4.72</v>
      </c>
      <c r="M5596" s="30">
        <f>IFERROR(VLOOKUP($A5596,HeadJournal!$A$1:$J$890,COLUMN(HeadJournal!I$1),0)*($K5596+$L5596)/(SUMIF($A:$A,$A5596,$K:$K)+SUMIF($A:$A,$A5596,$L:$L)),0)</f>
        <v>-2.7385751430057201</v>
      </c>
      <c r="N5596" s="30">
        <f>IFERROR((VLOOKUP($A5596,HeadJournal!$A$1:$K$890,COLUMN(HeadJournal!K$1),0)-VLOOKUP($A5596,HeadJournal!$A$1:$K$890,COLUMN(HeadJournal!J$1),0))*($K5596+$L5596)/(SUMIF($A:$A,$A5596,$K:$K)+SUMIF($A:$A,$A5596,$L:$L)),0)</f>
        <v>0</v>
      </c>
      <c r="O5596" s="30">
        <f>IFERROR((VLOOKUP($A5596,HeadJournal!$A$1:$L$890,COLUMN(HeadJournal!L$1),0)*($K5596+$L5596)/(SUMIF($A:$A,$A5596,$K:$K)+SUMIF($A:$A,$A5596,$L:$L)))/VLOOKUP($A5596,HeadJournal!$A$1:$L$890,COLUMN(HeadJournal!H$1),0),0)</f>
        <v>1.076700036454239</v>
      </c>
      <c r="P5596" s="30">
        <f>IFERROR(SUM(K5596:O5596)*VLOOKUP($A5596,HeadJournal!$A$1:$L$890,COLUMN(HeadJournal!H$1),0),0)</f>
        <v>3549.1205039001561</v>
      </c>
      <c r="Q5596" s="29">
        <v>4600</v>
      </c>
      <c r="R5596" s="31">
        <v>46106</v>
      </c>
      <c r="S5596" s="31" t="s">
        <v>3475</v>
      </c>
      <c r="T5596" s="95" t="str">
        <f t="shared" si="414"/>
        <v>2026 03</v>
      </c>
      <c r="U5596" s="32">
        <f t="shared" si="415"/>
        <v>1050.8794960998439</v>
      </c>
      <c r="V5596" s="22">
        <f t="shared" si="416"/>
        <v>0.29609574962163843</v>
      </c>
      <c r="X5596" s="33"/>
      <c r="Y5596" s="33"/>
    </row>
    <row r="5597" spans="1:25" x14ac:dyDescent="0.2">
      <c r="A5597" s="93" t="s">
        <v>5499</v>
      </c>
      <c r="B5597" s="94">
        <f>IFERROR(VLOOKUP($A5597,HeadJournal!$A$1:$NTR$890,COLUMN(HeadJournal!B$1),0),"")</f>
        <v>0</v>
      </c>
      <c r="C5597" s="94" t="str">
        <f>IFERROR(VLOOKUP($A5597,HeadJournal!$A$1:$NTR$890,COLUMN(HeadJournal!C$1),0),"")</f>
        <v>iHerb_MH DLE7202</v>
      </c>
      <c r="D5597" s="125" t="str">
        <f>IFERROR(VLOOKUP($A5597,HeadJournal!$A$1:$NTR$890,COLUMN(HeadJournal!D$1),0),"")</f>
        <v>Доставлен</v>
      </c>
      <c r="E5597" s="95">
        <f>IFERROR(VLOOKUP($A5597,HeadJournal!$A$1:$NTR$890,COLUMN(HeadJournal!G$1),0),"")</f>
        <v>46066</v>
      </c>
      <c r="F5597" s="95" t="str">
        <f t="shared" si="413"/>
        <v>2026 02</v>
      </c>
      <c r="G5597" s="97" t="s">
        <v>5</v>
      </c>
      <c r="H5597" s="161" t="s">
        <v>4200</v>
      </c>
      <c r="I5597" s="97" t="s">
        <v>2460</v>
      </c>
      <c r="J5597" s="97" t="s">
        <v>4201</v>
      </c>
      <c r="K5597" s="29">
        <v>45.59</v>
      </c>
      <c r="L5597" s="29">
        <v>-4.5599999999999996</v>
      </c>
      <c r="M5597" s="30">
        <f>IFERROR(VLOOKUP($A5597,HeadJournal!$A$1:$J$890,COLUMN(HeadJournal!I$1),0)*($K5597+$L5597)/(SUMIF($A:$A,$A5597,$K:$K)+SUMIF($A:$A,$A5597,$L:$L)),0)</f>
        <v>-2.6457202288091524</v>
      </c>
      <c r="N5597" s="30">
        <f>IFERROR((VLOOKUP($A5597,HeadJournal!$A$1:$K$890,COLUMN(HeadJournal!K$1),0)-VLOOKUP($A5597,HeadJournal!$A$1:$K$890,COLUMN(HeadJournal!J$1),0))*($K5597+$L5597)/(SUMIF($A:$A,$A5597,$K:$K)+SUMIF($A:$A,$A5597,$L:$L)),0)</f>
        <v>0</v>
      </c>
      <c r="O5597" s="30">
        <f>IFERROR((VLOOKUP($A5597,HeadJournal!$A$1:$L$890,COLUMN(HeadJournal!L$1),0)*($K5597+$L5597)/(SUMIF($A:$A,$A5597,$K:$K)+SUMIF($A:$A,$A5597,$L:$L)))/VLOOKUP($A5597,HeadJournal!$A$1:$L$890,COLUMN(HeadJournal!H$1),0),0)</f>
        <v>1.0401931362306907</v>
      </c>
      <c r="P5597" s="30">
        <f>IFERROR(SUM(K5597:O5597)*VLOOKUP($A5597,HeadJournal!$A$1:$L$890,COLUMN(HeadJournal!H$1),0),0)</f>
        <v>3428.7830062402495</v>
      </c>
      <c r="Q5597" s="29">
        <v>4400</v>
      </c>
      <c r="R5597" s="31">
        <v>46106</v>
      </c>
      <c r="S5597" s="31" t="s">
        <v>3475</v>
      </c>
      <c r="T5597" s="95" t="str">
        <f t="shared" si="414"/>
        <v>2026 03</v>
      </c>
      <c r="U5597" s="32">
        <f t="shared" si="415"/>
        <v>971.21699375975049</v>
      </c>
      <c r="V5597" s="22">
        <f t="shared" si="416"/>
        <v>0.28325414352327749</v>
      </c>
      <c r="X5597" s="33"/>
      <c r="Y5597" s="33"/>
    </row>
    <row r="5598" spans="1:25" x14ac:dyDescent="0.2">
      <c r="A5598" s="93" t="s">
        <v>5499</v>
      </c>
      <c r="B5598" s="94">
        <f>IFERROR(VLOOKUP($A5598,HeadJournal!$A$1:$NTR$890,COLUMN(HeadJournal!B$1),0),"")</f>
        <v>0</v>
      </c>
      <c r="C5598" s="94" t="str">
        <f>IFERROR(VLOOKUP($A5598,HeadJournal!$A$1:$NTR$890,COLUMN(HeadJournal!C$1),0),"")</f>
        <v>iHerb_MH DLE7202</v>
      </c>
      <c r="D5598" s="125" t="str">
        <f>IFERROR(VLOOKUP($A5598,HeadJournal!$A$1:$NTR$890,COLUMN(HeadJournal!D$1),0),"")</f>
        <v>Доставлен</v>
      </c>
      <c r="E5598" s="95">
        <f>IFERROR(VLOOKUP($A5598,HeadJournal!$A$1:$NTR$890,COLUMN(HeadJournal!G$1),0),"")</f>
        <v>46066</v>
      </c>
      <c r="F5598" s="95" t="str">
        <f t="shared" si="413"/>
        <v>2026 02</v>
      </c>
      <c r="G5598" s="97" t="s">
        <v>5</v>
      </c>
      <c r="H5598" s="161" t="s">
        <v>5496</v>
      </c>
      <c r="I5598" s="97" t="s">
        <v>2544</v>
      </c>
      <c r="J5598" s="97" t="s">
        <v>5497</v>
      </c>
      <c r="K5598" s="29">
        <v>20.77</v>
      </c>
      <c r="L5598" s="29">
        <v>-2.08</v>
      </c>
      <c r="M5598" s="30">
        <f>IFERROR(VLOOKUP($A5598,HeadJournal!$A$1:$J$890,COLUMN(HeadJournal!I$1),0)*($K5598+$L5598)/(SUMIF($A:$A,$A5598,$K:$K)+SUMIF($A:$A,$A5598,$L:$L)),0)</f>
        <v>-1.2051794071762869</v>
      </c>
      <c r="N5598" s="30">
        <f>IFERROR((VLOOKUP($A5598,HeadJournal!$A$1:$K$890,COLUMN(HeadJournal!K$1),0)-VLOOKUP($A5598,HeadJournal!$A$1:$K$890,COLUMN(HeadJournal!J$1),0))*($K5598+$L5598)/(SUMIF($A:$A,$A5598,$K:$K)+SUMIF($A:$A,$A5598,$L:$L)),0)</f>
        <v>0</v>
      </c>
      <c r="O5598" s="30">
        <f>IFERROR((VLOOKUP($A5598,HeadJournal!$A$1:$L$890,COLUMN(HeadJournal!L$1),0)*($K5598+$L5598)/(SUMIF($A:$A,$A5598,$K:$K)+SUMIF($A:$A,$A5598,$L:$L)))/VLOOKUP($A5598,HeadJournal!$A$1:$L$890,COLUMN(HeadJournal!H$1),0),0)</f>
        <v>0.47382914248480629</v>
      </c>
      <c r="P5598" s="30">
        <f>IFERROR(SUM(K5598:O5598)*VLOOKUP($A5598,HeadJournal!$A$1:$L$890,COLUMN(HeadJournal!H$1),0),0)</f>
        <v>1561.8804383775348</v>
      </c>
      <c r="Q5598" s="29">
        <v>2300</v>
      </c>
      <c r="R5598" s="31">
        <v>46106</v>
      </c>
      <c r="S5598" s="31" t="s">
        <v>3231</v>
      </c>
      <c r="T5598" s="95" t="str">
        <f t="shared" si="414"/>
        <v>2026 03</v>
      </c>
      <c r="U5598" s="32">
        <f t="shared" si="415"/>
        <v>738.1195616224652</v>
      </c>
      <c r="V5598" s="22">
        <f t="shared" si="416"/>
        <v>0.47258390814422141</v>
      </c>
      <c r="X5598" s="33"/>
      <c r="Y5598" s="33"/>
    </row>
    <row r="5599" spans="1:25" x14ac:dyDescent="0.2">
      <c r="A5599" s="93" t="s">
        <v>5499</v>
      </c>
      <c r="B5599" s="94">
        <f>IFERROR(VLOOKUP($A5599,HeadJournal!$A$1:$NTR$890,COLUMN(HeadJournal!B$1),0),"")</f>
        <v>0</v>
      </c>
      <c r="C5599" s="94" t="str">
        <f>IFERROR(VLOOKUP($A5599,HeadJournal!$A$1:$NTR$890,COLUMN(HeadJournal!C$1),0),"")</f>
        <v>iHerb_MH DLE7202</v>
      </c>
      <c r="D5599" s="125" t="str">
        <f>IFERROR(VLOOKUP($A5599,HeadJournal!$A$1:$NTR$890,COLUMN(HeadJournal!D$1),0),"")</f>
        <v>Доставлен</v>
      </c>
      <c r="E5599" s="95">
        <f>IFERROR(VLOOKUP($A5599,HeadJournal!$A$1:$NTR$890,COLUMN(HeadJournal!G$1),0),"")</f>
        <v>46066</v>
      </c>
      <c r="F5599" s="95" t="str">
        <f t="shared" si="413"/>
        <v>2026 02</v>
      </c>
      <c r="G5599" s="97" t="s">
        <v>5</v>
      </c>
      <c r="H5599" s="161" t="s">
        <v>2806</v>
      </c>
      <c r="I5599" s="97" t="s">
        <v>2009</v>
      </c>
      <c r="J5599" s="97" t="s">
        <v>4398</v>
      </c>
      <c r="K5599" s="29">
        <v>27.04</v>
      </c>
      <c r="L5599" s="29">
        <v>-2.7</v>
      </c>
      <c r="M5599" s="30">
        <f>IFERROR(VLOOKUP($A5599,HeadJournal!$A$1:$J$890,COLUMN(HeadJournal!I$1),0)*($K5599+$L5599)/(SUMIF($A:$A,$A5599,$K:$K)+SUMIF($A:$A,$A5599,$L:$L)),0)</f>
        <v>-1.5695059802392097</v>
      </c>
      <c r="N5599" s="30">
        <f>IFERROR((VLOOKUP($A5599,HeadJournal!$A$1:$K$890,COLUMN(HeadJournal!K$1),0)-VLOOKUP($A5599,HeadJournal!$A$1:$K$890,COLUMN(HeadJournal!J$1),0))*($K5599+$L5599)/(SUMIF($A:$A,$A5599,$K:$K)+SUMIF($A:$A,$A5599,$L:$L)),0)</f>
        <v>0</v>
      </c>
      <c r="O5599" s="30">
        <f>IFERROR((VLOOKUP($A5599,HeadJournal!$A$1:$L$890,COLUMN(HeadJournal!L$1),0)*($K5599+$L5599)/(SUMIF($A:$A,$A5599,$K:$K)+SUMIF($A:$A,$A5599,$L:$L)))/VLOOKUP($A5599,HeadJournal!$A$1:$L$890,COLUMN(HeadJournal!H$1),0),0)</f>
        <v>0.61706802183414589</v>
      </c>
      <c r="P5599" s="30">
        <f>IFERROR(SUM(K5599:O5599)*VLOOKUP($A5599,HeadJournal!$A$1:$L$890,COLUMN(HeadJournal!H$1),0),0)</f>
        <v>2034.0379812792512</v>
      </c>
      <c r="Q5599" s="29">
        <v>3000</v>
      </c>
      <c r="R5599" s="31">
        <v>46106</v>
      </c>
      <c r="S5599" s="31"/>
      <c r="T5599" s="95" t="str">
        <f t="shared" si="414"/>
        <v>2026 03</v>
      </c>
      <c r="U5599" s="32">
        <f t="shared" si="415"/>
        <v>965.9620187207488</v>
      </c>
      <c r="V5599" s="22">
        <f t="shared" si="416"/>
        <v>0.47489871261559929</v>
      </c>
      <c r="X5599" s="33"/>
      <c r="Y5599" s="33"/>
    </row>
    <row r="5600" spans="1:25" x14ac:dyDescent="0.2">
      <c r="A5600" s="93" t="s">
        <v>5499</v>
      </c>
      <c r="B5600" s="94">
        <f>IFERROR(VLOOKUP($A5600,HeadJournal!$A$1:$NTR$890,COLUMN(HeadJournal!B$1),0),"")</f>
        <v>0</v>
      </c>
      <c r="C5600" s="94" t="str">
        <f>IFERROR(VLOOKUP($A5600,HeadJournal!$A$1:$NTR$890,COLUMN(HeadJournal!C$1),0),"")</f>
        <v>iHerb_MH DLE7202</v>
      </c>
      <c r="D5600" s="125" t="str">
        <f>IFERROR(VLOOKUP($A5600,HeadJournal!$A$1:$NTR$890,COLUMN(HeadJournal!D$1),0),"")</f>
        <v>Доставлен</v>
      </c>
      <c r="E5600" s="95">
        <f>IFERROR(VLOOKUP($A5600,HeadJournal!$A$1:$NTR$890,COLUMN(HeadJournal!G$1),0),"")</f>
        <v>46066</v>
      </c>
      <c r="F5600" s="95" t="str">
        <f t="shared" si="413"/>
        <v>2026 02</v>
      </c>
      <c r="G5600" s="97" t="s">
        <v>5</v>
      </c>
      <c r="H5600" s="161" t="s">
        <v>4348</v>
      </c>
      <c r="I5600" s="97" t="s">
        <v>2008</v>
      </c>
      <c r="J5600" s="97" t="s">
        <v>4349</v>
      </c>
      <c r="K5600" s="29">
        <v>21.75</v>
      </c>
      <c r="L5600" s="29">
        <v>-2.1800000000000002</v>
      </c>
      <c r="M5600" s="30">
        <f>IFERROR(VLOOKUP($A5600,HeadJournal!$A$1:$J$890,COLUMN(HeadJournal!I$1),0)*($K5600+$L5600)/(SUMIF($A:$A,$A5600,$K:$K)+SUMIF($A:$A,$A5600,$L:$L)),0)</f>
        <v>-1.2619240769630784</v>
      </c>
      <c r="N5600" s="30">
        <f>IFERROR((VLOOKUP($A5600,HeadJournal!$A$1:$K$890,COLUMN(HeadJournal!K$1),0)-VLOOKUP($A5600,HeadJournal!$A$1:$K$890,COLUMN(HeadJournal!J$1),0))*($K5600+$L5600)/(SUMIF($A:$A,$A5600,$K:$K)+SUMIF($A:$A,$A5600,$L:$L)),0)</f>
        <v>0</v>
      </c>
      <c r="O5600" s="30">
        <f>IFERROR((VLOOKUP($A5600,HeadJournal!$A$1:$L$890,COLUMN(HeadJournal!L$1),0)*($K5600+$L5600)/(SUMIF($A:$A,$A5600,$K:$K)+SUMIF($A:$A,$A5600,$L:$L)))/VLOOKUP($A5600,HeadJournal!$A$1:$L$890,COLUMN(HeadJournal!H$1),0),0)</f>
        <v>0.49613891484364153</v>
      </c>
      <c r="P5600" s="30">
        <f>IFERROR(SUM(K5600:O5600)*VLOOKUP($A5600,HeadJournal!$A$1:$L$890,COLUMN(HeadJournal!H$1),0),0)</f>
        <v>1635.4200202808111</v>
      </c>
      <c r="Q5600" s="29"/>
      <c r="R5600" s="31"/>
      <c r="S5600" s="31"/>
      <c r="T5600" s="95" t="str">
        <f t="shared" si="414"/>
        <v/>
      </c>
      <c r="U5600" s="32">
        <f t="shared" si="415"/>
        <v>-1635.4200202808111</v>
      </c>
      <c r="V5600" s="22" t="str">
        <f t="shared" si="416"/>
        <v/>
      </c>
      <c r="X5600" s="33"/>
      <c r="Y5600" s="33"/>
    </row>
    <row r="5601" spans="1:25" x14ac:dyDescent="0.2">
      <c r="A5601" s="93" t="s">
        <v>5499</v>
      </c>
      <c r="B5601" s="94">
        <f>IFERROR(VLOOKUP($A5601,HeadJournal!$A$1:$NTR$890,COLUMN(HeadJournal!B$1),0),"")</f>
        <v>0</v>
      </c>
      <c r="C5601" s="94" t="str">
        <f>IFERROR(VLOOKUP($A5601,HeadJournal!$A$1:$NTR$890,COLUMN(HeadJournal!C$1),0),"")</f>
        <v>iHerb_MH DLE7202</v>
      </c>
      <c r="D5601" s="125" t="str">
        <f>IFERROR(VLOOKUP($A5601,HeadJournal!$A$1:$NTR$890,COLUMN(HeadJournal!D$1),0),"")</f>
        <v>Доставлен</v>
      </c>
      <c r="E5601" s="95">
        <f>IFERROR(VLOOKUP($A5601,HeadJournal!$A$1:$NTR$890,COLUMN(HeadJournal!G$1),0),"")</f>
        <v>46066</v>
      </c>
      <c r="F5601" s="95" t="str">
        <f t="shared" si="413"/>
        <v>2026 02</v>
      </c>
      <c r="G5601" s="97" t="s">
        <v>5</v>
      </c>
      <c r="H5601" s="161" t="s">
        <v>2997</v>
      </c>
      <c r="I5601" s="97" t="s">
        <v>2102</v>
      </c>
      <c r="J5601" s="97" t="s">
        <v>4952</v>
      </c>
      <c r="K5601" s="29">
        <v>33.590000000000003</v>
      </c>
      <c r="L5601" s="29">
        <v>-3.36</v>
      </c>
      <c r="M5601" s="30">
        <f>IFERROR(VLOOKUP($A5601,HeadJournal!$A$1:$J$890,COLUMN(HeadJournal!I$1),0)*($K5601+$L5601)/(SUMIF($A:$A,$A5601,$K:$K)+SUMIF($A:$A,$A5601,$L:$L)),0)</f>
        <v>-1.9493083723348934</v>
      </c>
      <c r="N5601" s="30">
        <f>IFERROR((VLOOKUP($A5601,HeadJournal!$A$1:$K$890,COLUMN(HeadJournal!K$1),0)-VLOOKUP($A5601,HeadJournal!$A$1:$K$890,COLUMN(HeadJournal!J$1),0))*($K5601+$L5601)/(SUMIF($A:$A,$A5601,$K:$K)+SUMIF($A:$A,$A5601,$L:$L)),0)</f>
        <v>0</v>
      </c>
      <c r="O5601" s="30">
        <f>IFERROR((VLOOKUP($A5601,HeadJournal!$A$1:$L$890,COLUMN(HeadJournal!L$1),0)*($K5601+$L5601)/(SUMIF($A:$A,$A5601,$K:$K)+SUMIF($A:$A,$A5601,$L:$L)))/VLOOKUP($A5601,HeadJournal!$A$1:$L$890,COLUMN(HeadJournal!H$1),0),0)</f>
        <v>0.76639138455407696</v>
      </c>
      <c r="P5601" s="30">
        <f>IFERROR(SUM(K5601:O5601)*VLOOKUP($A5601,HeadJournal!$A$1:$L$890,COLUMN(HeadJournal!H$1),0),0)</f>
        <v>2526.251773790952</v>
      </c>
      <c r="Q5601" s="29"/>
      <c r="R5601" s="31"/>
      <c r="S5601" s="31"/>
      <c r="T5601" s="95" t="str">
        <f t="shared" si="414"/>
        <v/>
      </c>
      <c r="U5601" s="32">
        <f t="shared" si="415"/>
        <v>-2526.251773790952</v>
      </c>
      <c r="V5601" s="22" t="str">
        <f t="shared" si="416"/>
        <v/>
      </c>
      <c r="X5601" s="33"/>
      <c r="Y5601" s="33"/>
    </row>
    <row r="5602" spans="1:25" x14ac:dyDescent="0.2">
      <c r="A5602" s="93" t="s">
        <v>5499</v>
      </c>
      <c r="B5602" s="94">
        <f>IFERROR(VLOOKUP($A5602,HeadJournal!$A$1:$NTR$890,COLUMN(HeadJournal!B$1),0),"")</f>
        <v>0</v>
      </c>
      <c r="C5602" s="94" t="str">
        <f>IFERROR(VLOOKUP($A5602,HeadJournal!$A$1:$NTR$890,COLUMN(HeadJournal!C$1),0),"")</f>
        <v>iHerb_MH DLE7202</v>
      </c>
      <c r="D5602" s="125" t="str">
        <f>IFERROR(VLOOKUP($A5602,HeadJournal!$A$1:$NTR$890,COLUMN(HeadJournal!D$1),0),"")</f>
        <v>Доставлен</v>
      </c>
      <c r="E5602" s="95">
        <f>IFERROR(VLOOKUP($A5602,HeadJournal!$A$1:$NTR$890,COLUMN(HeadJournal!G$1),0),"")</f>
        <v>46066</v>
      </c>
      <c r="F5602" s="95" t="str">
        <f t="shared" si="413"/>
        <v>2026 02</v>
      </c>
      <c r="G5602" s="97" t="s">
        <v>5</v>
      </c>
      <c r="H5602" s="161" t="s">
        <v>2623</v>
      </c>
      <c r="I5602" s="97" t="s">
        <v>2052</v>
      </c>
      <c r="J5602" s="97" t="s">
        <v>5489</v>
      </c>
      <c r="K5602" s="29">
        <v>6.46</v>
      </c>
      <c r="L5602" s="29">
        <v>-1.29</v>
      </c>
      <c r="M5602" s="30">
        <f>IFERROR(VLOOKUP($A5602,HeadJournal!$A$1:$J$890,COLUMN(HeadJournal!I$1),0)*($K5602+$L5602)/(SUMIF($A:$A,$A5602,$K:$K)+SUMIF($A:$A,$A5602,$L:$L)),0)</f>
        <v>-0.3333749349973999</v>
      </c>
      <c r="N5602" s="30">
        <f>IFERROR((VLOOKUP($A5602,HeadJournal!$A$1:$K$890,COLUMN(HeadJournal!K$1),0)-VLOOKUP($A5602,HeadJournal!$A$1:$K$890,COLUMN(HeadJournal!J$1),0))*($K5602+$L5602)/(SUMIF($A:$A,$A5602,$K:$K)+SUMIF($A:$A,$A5602,$L:$L)),0)</f>
        <v>0</v>
      </c>
      <c r="O5602" s="30">
        <f>IFERROR((VLOOKUP($A5602,HeadJournal!$A$1:$L$890,COLUMN(HeadJournal!L$1),0)*($K5602+$L5602)/(SUMIF($A:$A,$A5602,$K:$K)+SUMIF($A:$A,$A5602,$L:$L)))/VLOOKUP($A5602,HeadJournal!$A$1:$L$890,COLUMN(HeadJournal!H$1),0),0)</f>
        <v>0.1310699126081567</v>
      </c>
      <c r="P5602" s="30">
        <f>IFERROR(SUM(K5602:O5602)*VLOOKUP($A5602,HeadJournal!$A$1:$L$890,COLUMN(HeadJournal!H$1),0),0)</f>
        <v>432.04504368174725</v>
      </c>
      <c r="Q5602" s="29">
        <v>1000</v>
      </c>
      <c r="R5602" s="31">
        <v>46164</v>
      </c>
      <c r="S5602" s="31"/>
      <c r="T5602" s="95" t="str">
        <f t="shared" si="414"/>
        <v>2026 05</v>
      </c>
      <c r="U5602" s="32">
        <f t="shared" si="415"/>
        <v>567.9549563182527</v>
      </c>
      <c r="V5602" s="22">
        <f t="shared" si="416"/>
        <v>1.3145734793722557</v>
      </c>
      <c r="X5602" s="33"/>
      <c r="Y5602" s="33"/>
    </row>
    <row r="5603" spans="1:25" x14ac:dyDescent="0.2">
      <c r="A5603" s="93" t="s">
        <v>5499</v>
      </c>
      <c r="B5603" s="94">
        <f>IFERROR(VLOOKUP($A5603,HeadJournal!$A$1:$NTR$890,COLUMN(HeadJournal!B$1),0),"")</f>
        <v>0</v>
      </c>
      <c r="C5603" s="94" t="str">
        <f>IFERROR(VLOOKUP($A5603,HeadJournal!$A$1:$NTR$890,COLUMN(HeadJournal!C$1),0),"")</f>
        <v>iHerb_MH DLE7202</v>
      </c>
      <c r="D5603" s="125" t="str">
        <f>IFERROR(VLOOKUP($A5603,HeadJournal!$A$1:$NTR$890,COLUMN(HeadJournal!D$1),0),"")</f>
        <v>Доставлен</v>
      </c>
      <c r="E5603" s="95">
        <f>IFERROR(VLOOKUP($A5603,HeadJournal!$A$1:$NTR$890,COLUMN(HeadJournal!G$1),0),"")</f>
        <v>46066</v>
      </c>
      <c r="F5603" s="95" t="str">
        <f t="shared" si="413"/>
        <v>2026 02</v>
      </c>
      <c r="G5603" s="97" t="s">
        <v>5</v>
      </c>
      <c r="H5603" s="161" t="s">
        <v>2661</v>
      </c>
      <c r="I5603" s="97" t="s">
        <v>2005</v>
      </c>
      <c r="J5603" s="97" t="s">
        <v>5498</v>
      </c>
      <c r="K5603" s="29">
        <v>12</v>
      </c>
      <c r="L5603" s="29">
        <v>-1.2</v>
      </c>
      <c r="M5603" s="30">
        <f>IFERROR(VLOOKUP($A5603,HeadJournal!$A$1:$J$890,COLUMN(HeadJournal!I$1),0)*($K5603+$L5603)/(SUMIF($A:$A,$A5603,$K:$K)+SUMIF($A:$A,$A5603,$L:$L)),0)</f>
        <v>-0.69641185647425896</v>
      </c>
      <c r="N5603" s="30">
        <f>IFERROR((VLOOKUP($A5603,HeadJournal!$A$1:$K$890,COLUMN(HeadJournal!K$1),0)-VLOOKUP($A5603,HeadJournal!$A$1:$K$890,COLUMN(HeadJournal!J$1),0))*($K5603+$L5603)/(SUMIF($A:$A,$A5603,$K:$K)+SUMIF($A:$A,$A5603,$L:$L)),0)</f>
        <v>0</v>
      </c>
      <c r="O5603" s="30">
        <f>IFERROR((VLOOKUP($A5603,HeadJournal!$A$1:$L$890,COLUMN(HeadJournal!L$1),0)*($K5603+$L5603)/(SUMIF($A:$A,$A5603,$K:$K)+SUMIF($A:$A,$A5603,$L:$L)))/VLOOKUP($A5603,HeadJournal!$A$1:$L$890,COLUMN(HeadJournal!H$1),0),0)</f>
        <v>0.27380175167661364</v>
      </c>
      <c r="P5603" s="30">
        <f>IFERROR(SUM(K5603:O5603)*VLOOKUP($A5603,HeadJournal!$A$1:$L$890,COLUMN(HeadJournal!H$1),0),0)</f>
        <v>902.53123244929793</v>
      </c>
      <c r="Q5603" s="29">
        <v>1600</v>
      </c>
      <c r="R5603" s="31">
        <v>46106</v>
      </c>
      <c r="S5603" s="31"/>
      <c r="T5603" s="95" t="str">
        <f t="shared" si="414"/>
        <v>2026 03</v>
      </c>
      <c r="U5603" s="32">
        <f t="shared" si="415"/>
        <v>697.46876755070207</v>
      </c>
      <c r="V5603" s="22">
        <f t="shared" si="416"/>
        <v>0.77279183531178708</v>
      </c>
      <c r="X5603" s="33"/>
      <c r="Y5603" s="33"/>
    </row>
    <row r="5604" spans="1:25" x14ac:dyDescent="0.2">
      <c r="A5604" s="93" t="s">
        <v>5505</v>
      </c>
      <c r="B5604" s="94">
        <f>IFERROR(VLOOKUP($A5604,HeadJournal!$A$1:$NTR$890,COLUMN(HeadJournal!B$1),0),"")</f>
        <v>0</v>
      </c>
      <c r="C5604" s="94" t="str">
        <f>IFERROR(VLOOKUP($A5604,HeadJournal!$A$1:$NTR$890,COLUMN(HeadJournal!C$1),0),"")</f>
        <v>iHerb_VP DFD1605</v>
      </c>
      <c r="D5604" s="125" t="str">
        <f>IFERROR(VLOOKUP($A5604,HeadJournal!$A$1:$NTR$890,COLUMN(HeadJournal!D$1),0),"")</f>
        <v>Доставлен</v>
      </c>
      <c r="E5604" s="95">
        <f>IFERROR(VLOOKUP($A5604,HeadJournal!$A$1:$NTR$890,COLUMN(HeadJournal!G$1),0),"")</f>
        <v>46066</v>
      </c>
      <c r="F5604" s="95" t="str">
        <f t="shared" si="413"/>
        <v>2026 02</v>
      </c>
      <c r="G5604" s="97" t="s">
        <v>5</v>
      </c>
      <c r="H5604" s="161" t="s">
        <v>2196</v>
      </c>
      <c r="I5604" s="97" t="s">
        <v>2006</v>
      </c>
      <c r="J5604" s="97" t="s">
        <v>5500</v>
      </c>
      <c r="K5604" s="29">
        <v>18.88</v>
      </c>
      <c r="L5604" s="29">
        <v>-2.8333333333333335</v>
      </c>
      <c r="M5604" s="30">
        <f>IFERROR(VLOOKUP($A5604,HeadJournal!$A$1:$J$890,COLUMN(HeadJournal!I$1),0)*($K5604+$L5604)/(SUMIF($A:$A,$A5604,$K:$K)+SUMIF($A:$A,$A5604,$L:$L)),0)</f>
        <v>0</v>
      </c>
      <c r="N5604" s="30">
        <f>IFERROR((VLOOKUP($A5604,HeadJournal!$A$1:$K$890,COLUMN(HeadJournal!K$1),0)-VLOOKUP($A5604,HeadJournal!$A$1:$K$890,COLUMN(HeadJournal!J$1),0))*($K5604+$L5604)/(SUMIF($A:$A,$A5604,$K:$K)+SUMIF($A:$A,$A5604,$L:$L)),0)</f>
        <v>0</v>
      </c>
      <c r="O5604" s="30">
        <f>IFERROR((VLOOKUP($A5604,HeadJournal!$A$1:$L$890,COLUMN(HeadJournal!L$1),0)*($K5604+$L5604)/(SUMIF($A:$A,$A5604,$K:$K)+SUMIF($A:$A,$A5604,$L:$L)))/VLOOKUP($A5604,HeadJournal!$A$1:$L$890,COLUMN(HeadJournal!H$1),0),0)</f>
        <v>0.47841890859315311</v>
      </c>
      <c r="P5604" s="30">
        <f>IFERROR(SUM(K5604:O5604)*VLOOKUP($A5604,HeadJournal!$A$1:$L$890,COLUMN(HeadJournal!H$1),0),0)</f>
        <v>1428.2840160447306</v>
      </c>
      <c r="Q5604" s="29">
        <v>2400</v>
      </c>
      <c r="R5604" s="31">
        <v>46135</v>
      </c>
      <c r="S5604" s="31" t="s">
        <v>3384</v>
      </c>
      <c r="T5604" s="95" t="str">
        <f t="shared" si="414"/>
        <v>2026 04</v>
      </c>
      <c r="U5604" s="32">
        <f t="shared" si="415"/>
        <v>971.71598395526939</v>
      </c>
      <c r="V5604" s="22">
        <f t="shared" si="416"/>
        <v>0.68033806514630735</v>
      </c>
      <c r="X5604" s="33"/>
      <c r="Y5604" s="33"/>
    </row>
    <row r="5605" spans="1:25" x14ac:dyDescent="0.2">
      <c r="A5605" s="93" t="s">
        <v>5505</v>
      </c>
      <c r="B5605" s="94">
        <f>IFERROR(VLOOKUP($A5605,HeadJournal!$A$1:$NTR$890,COLUMN(HeadJournal!B$1),0),"")</f>
        <v>0</v>
      </c>
      <c r="C5605" s="94" t="str">
        <f>IFERROR(VLOOKUP($A5605,HeadJournal!$A$1:$NTR$890,COLUMN(HeadJournal!C$1),0),"")</f>
        <v>iHerb_VP DFD1605</v>
      </c>
      <c r="D5605" s="125" t="str">
        <f>IFERROR(VLOOKUP($A5605,HeadJournal!$A$1:$NTR$890,COLUMN(HeadJournal!D$1),0),"")</f>
        <v>Доставлен</v>
      </c>
      <c r="E5605" s="95">
        <f>IFERROR(VLOOKUP($A5605,HeadJournal!$A$1:$NTR$890,COLUMN(HeadJournal!G$1),0),"")</f>
        <v>46066</v>
      </c>
      <c r="F5605" s="95" t="str">
        <f t="shared" si="413"/>
        <v>2026 02</v>
      </c>
      <c r="G5605" s="97" t="s">
        <v>5</v>
      </c>
      <c r="H5605" s="161" t="s">
        <v>2196</v>
      </c>
      <c r="I5605" s="97" t="s">
        <v>2006</v>
      </c>
      <c r="J5605" s="97" t="s">
        <v>5500</v>
      </c>
      <c r="K5605" s="29">
        <v>18.88</v>
      </c>
      <c r="L5605" s="29">
        <v>-2.8333333333333335</v>
      </c>
      <c r="M5605" s="30">
        <f>IFERROR(VLOOKUP($A5605,HeadJournal!$A$1:$J$890,COLUMN(HeadJournal!I$1),0)*($K5605+$L5605)/(SUMIF($A:$A,$A5605,$K:$K)+SUMIF($A:$A,$A5605,$L:$L)),0)</f>
        <v>0</v>
      </c>
      <c r="N5605" s="30">
        <f>IFERROR((VLOOKUP($A5605,HeadJournal!$A$1:$K$890,COLUMN(HeadJournal!K$1),0)-VLOOKUP($A5605,HeadJournal!$A$1:$K$890,COLUMN(HeadJournal!J$1),0))*($K5605+$L5605)/(SUMIF($A:$A,$A5605,$K:$K)+SUMIF($A:$A,$A5605,$L:$L)),0)</f>
        <v>0</v>
      </c>
      <c r="O5605" s="30">
        <f>IFERROR((VLOOKUP($A5605,HeadJournal!$A$1:$L$890,COLUMN(HeadJournal!L$1),0)*($K5605+$L5605)/(SUMIF($A:$A,$A5605,$K:$K)+SUMIF($A:$A,$A5605,$L:$L)))/VLOOKUP($A5605,HeadJournal!$A$1:$L$890,COLUMN(HeadJournal!H$1),0),0)</f>
        <v>0.47841890859315311</v>
      </c>
      <c r="P5605" s="30">
        <f>IFERROR(SUM(K5605:O5605)*VLOOKUP($A5605,HeadJournal!$A$1:$L$890,COLUMN(HeadJournal!H$1),0),0)</f>
        <v>1428.2840160447306</v>
      </c>
      <c r="Q5605" s="29">
        <v>2400</v>
      </c>
      <c r="R5605" s="31">
        <v>46135</v>
      </c>
      <c r="S5605" s="31" t="s">
        <v>3384</v>
      </c>
      <c r="T5605" s="95" t="str">
        <f t="shared" si="414"/>
        <v>2026 04</v>
      </c>
      <c r="U5605" s="32">
        <f t="shared" si="415"/>
        <v>971.71598395526939</v>
      </c>
      <c r="V5605" s="22">
        <f t="shared" si="416"/>
        <v>0.68033806514630735</v>
      </c>
      <c r="X5605" s="33"/>
      <c r="Y5605" s="33"/>
    </row>
    <row r="5606" spans="1:25" x14ac:dyDescent="0.2">
      <c r="A5606" s="93" t="s">
        <v>5505</v>
      </c>
      <c r="B5606" s="94">
        <f>IFERROR(VLOOKUP($A5606,HeadJournal!$A$1:$NTR$890,COLUMN(HeadJournal!B$1),0),"")</f>
        <v>0</v>
      </c>
      <c r="C5606" s="94" t="str">
        <f>IFERROR(VLOOKUP($A5606,HeadJournal!$A$1:$NTR$890,COLUMN(HeadJournal!C$1),0),"")</f>
        <v>iHerb_VP DFD1605</v>
      </c>
      <c r="D5606" s="125" t="str">
        <f>IFERROR(VLOOKUP($A5606,HeadJournal!$A$1:$NTR$890,COLUMN(HeadJournal!D$1),0),"")</f>
        <v>Доставлен</v>
      </c>
      <c r="E5606" s="95">
        <f>IFERROR(VLOOKUP($A5606,HeadJournal!$A$1:$NTR$890,COLUMN(HeadJournal!G$1),0),"")</f>
        <v>46066</v>
      </c>
      <c r="F5606" s="95" t="str">
        <f t="shared" si="413"/>
        <v>2026 02</v>
      </c>
      <c r="G5606" s="97" t="s">
        <v>5</v>
      </c>
      <c r="H5606" s="161" t="s">
        <v>2196</v>
      </c>
      <c r="I5606" s="97" t="s">
        <v>2006</v>
      </c>
      <c r="J5606" s="97" t="s">
        <v>5500</v>
      </c>
      <c r="K5606" s="29">
        <v>18.88</v>
      </c>
      <c r="L5606" s="29">
        <v>-2.8333333333333335</v>
      </c>
      <c r="M5606" s="30">
        <f>IFERROR(VLOOKUP($A5606,HeadJournal!$A$1:$J$890,COLUMN(HeadJournal!I$1),0)*($K5606+$L5606)/(SUMIF($A:$A,$A5606,$K:$K)+SUMIF($A:$A,$A5606,$L:$L)),0)</f>
        <v>0</v>
      </c>
      <c r="N5606" s="30">
        <f>IFERROR((VLOOKUP($A5606,HeadJournal!$A$1:$K$890,COLUMN(HeadJournal!K$1),0)-VLOOKUP($A5606,HeadJournal!$A$1:$K$890,COLUMN(HeadJournal!J$1),0))*($K5606+$L5606)/(SUMIF($A:$A,$A5606,$K:$K)+SUMIF($A:$A,$A5606,$L:$L)),0)</f>
        <v>0</v>
      </c>
      <c r="O5606" s="30">
        <f>IFERROR((VLOOKUP($A5606,HeadJournal!$A$1:$L$890,COLUMN(HeadJournal!L$1),0)*($K5606+$L5606)/(SUMIF($A:$A,$A5606,$K:$K)+SUMIF($A:$A,$A5606,$L:$L)))/VLOOKUP($A5606,HeadJournal!$A$1:$L$890,COLUMN(HeadJournal!H$1),0),0)</f>
        <v>0.47841890859315311</v>
      </c>
      <c r="P5606" s="30">
        <f>IFERROR(SUM(K5606:O5606)*VLOOKUP($A5606,HeadJournal!$A$1:$L$890,COLUMN(HeadJournal!H$1),0),0)</f>
        <v>1428.2840160447306</v>
      </c>
      <c r="Q5606" s="29"/>
      <c r="R5606" s="31"/>
      <c r="S5606" s="31"/>
      <c r="T5606" s="95" t="str">
        <f t="shared" si="414"/>
        <v/>
      </c>
      <c r="U5606" s="32">
        <f t="shared" si="415"/>
        <v>-1428.2840160447306</v>
      </c>
      <c r="V5606" s="22" t="str">
        <f t="shared" si="416"/>
        <v/>
      </c>
      <c r="X5606" s="33"/>
      <c r="Y5606" s="33"/>
    </row>
    <row r="5607" spans="1:25" x14ac:dyDescent="0.2">
      <c r="A5607" s="93" t="s">
        <v>5505</v>
      </c>
      <c r="B5607" s="94">
        <f>IFERROR(VLOOKUP($A5607,HeadJournal!$A$1:$NTR$890,COLUMN(HeadJournal!B$1),0),"")</f>
        <v>0</v>
      </c>
      <c r="C5607" s="94" t="str">
        <f>IFERROR(VLOOKUP($A5607,HeadJournal!$A$1:$NTR$890,COLUMN(HeadJournal!C$1),0),"")</f>
        <v>iHerb_VP DFD1605</v>
      </c>
      <c r="D5607" s="125" t="str">
        <f>IFERROR(VLOOKUP($A5607,HeadJournal!$A$1:$NTR$890,COLUMN(HeadJournal!D$1),0),"")</f>
        <v>Доставлен</v>
      </c>
      <c r="E5607" s="95">
        <f>IFERROR(VLOOKUP($A5607,HeadJournal!$A$1:$NTR$890,COLUMN(HeadJournal!G$1),0),"")</f>
        <v>46066</v>
      </c>
      <c r="F5607" s="95" t="str">
        <f t="shared" si="413"/>
        <v>2026 02</v>
      </c>
      <c r="G5607" s="97" t="s">
        <v>5</v>
      </c>
      <c r="H5607" s="161" t="s">
        <v>3787</v>
      </c>
      <c r="I5607" s="97" t="s">
        <v>2036</v>
      </c>
      <c r="J5607" s="97" t="s">
        <v>4060</v>
      </c>
      <c r="K5607" s="29">
        <v>15.62</v>
      </c>
      <c r="L5607" s="29">
        <v>-2.3433333333333333</v>
      </c>
      <c r="M5607" s="30">
        <f>IFERROR(VLOOKUP($A5607,HeadJournal!$A$1:$J$890,COLUMN(HeadJournal!I$1),0)*($K5607+$L5607)/(SUMIF($A:$A,$A5607,$K:$K)+SUMIF($A:$A,$A5607,$L:$L)),0)</f>
        <v>0</v>
      </c>
      <c r="N5607" s="30">
        <f>IFERROR((VLOOKUP($A5607,HeadJournal!$A$1:$K$890,COLUMN(HeadJournal!K$1),0)-VLOOKUP($A5607,HeadJournal!$A$1:$K$890,COLUMN(HeadJournal!J$1),0))*($K5607+$L5607)/(SUMIF($A:$A,$A5607,$K:$K)+SUMIF($A:$A,$A5607,$L:$L)),0)</f>
        <v>0</v>
      </c>
      <c r="O5607" s="30">
        <f>IFERROR((VLOOKUP($A5607,HeadJournal!$A$1:$L$890,COLUMN(HeadJournal!L$1),0)*($K5607+$L5607)/(SUMIF($A:$A,$A5607,$K:$K)+SUMIF($A:$A,$A5607,$L:$L)))/VLOOKUP($A5607,HeadJournal!$A$1:$L$890,COLUMN(HeadJournal!H$1),0),0)</f>
        <v>0.3958335091247463</v>
      </c>
      <c r="P5607" s="30">
        <f>IFERROR(SUM(K5607:O5607)*VLOOKUP($A5607,HeadJournal!$A$1:$L$890,COLUMN(HeadJournal!H$1),0),0)</f>
        <v>1181.7314573963777</v>
      </c>
      <c r="Q5607" s="29">
        <v>1900</v>
      </c>
      <c r="R5607" s="31">
        <v>46135</v>
      </c>
      <c r="S5607" s="31" t="s">
        <v>3384</v>
      </c>
      <c r="T5607" s="95" t="str">
        <f t="shared" si="414"/>
        <v>2026 04</v>
      </c>
      <c r="U5607" s="32">
        <f t="shared" si="415"/>
        <v>718.26854260362234</v>
      </c>
      <c r="V5607" s="22">
        <f t="shared" si="416"/>
        <v>0.60781029235367123</v>
      </c>
      <c r="X5607" s="33"/>
      <c r="Y5607" s="33"/>
    </row>
    <row r="5608" spans="1:25" x14ac:dyDescent="0.2">
      <c r="A5608" s="93" t="s">
        <v>5505</v>
      </c>
      <c r="B5608" s="94">
        <f>IFERROR(VLOOKUP($A5608,HeadJournal!$A$1:$NTR$890,COLUMN(HeadJournal!B$1),0),"")</f>
        <v>0</v>
      </c>
      <c r="C5608" s="94" t="str">
        <f>IFERROR(VLOOKUP($A5608,HeadJournal!$A$1:$NTR$890,COLUMN(HeadJournal!C$1),0),"")</f>
        <v>iHerb_VP DFD1605</v>
      </c>
      <c r="D5608" s="125" t="str">
        <f>IFERROR(VLOOKUP($A5608,HeadJournal!$A$1:$NTR$890,COLUMN(HeadJournal!D$1),0),"")</f>
        <v>Доставлен</v>
      </c>
      <c r="E5608" s="95">
        <f>IFERROR(VLOOKUP($A5608,HeadJournal!$A$1:$NTR$890,COLUMN(HeadJournal!G$1),0),"")</f>
        <v>46066</v>
      </c>
      <c r="F5608" s="95" t="str">
        <f t="shared" si="413"/>
        <v>2026 02</v>
      </c>
      <c r="G5608" s="97" t="s">
        <v>5</v>
      </c>
      <c r="H5608" s="161" t="s">
        <v>3787</v>
      </c>
      <c r="I5608" s="97" t="s">
        <v>2036</v>
      </c>
      <c r="J5608" s="97" t="s">
        <v>4060</v>
      </c>
      <c r="K5608" s="29">
        <v>15.62</v>
      </c>
      <c r="L5608" s="29">
        <v>-2.3433333333333333</v>
      </c>
      <c r="M5608" s="30">
        <f>IFERROR(VLOOKUP($A5608,HeadJournal!$A$1:$J$890,COLUMN(HeadJournal!I$1),0)*($K5608+$L5608)/(SUMIF($A:$A,$A5608,$K:$K)+SUMIF($A:$A,$A5608,$L:$L)),0)</f>
        <v>0</v>
      </c>
      <c r="N5608" s="30">
        <f>IFERROR((VLOOKUP($A5608,HeadJournal!$A$1:$K$890,COLUMN(HeadJournal!K$1),0)-VLOOKUP($A5608,HeadJournal!$A$1:$K$890,COLUMN(HeadJournal!J$1),0))*($K5608+$L5608)/(SUMIF($A:$A,$A5608,$K:$K)+SUMIF($A:$A,$A5608,$L:$L)),0)</f>
        <v>0</v>
      </c>
      <c r="O5608" s="30">
        <f>IFERROR((VLOOKUP($A5608,HeadJournal!$A$1:$L$890,COLUMN(HeadJournal!L$1),0)*($K5608+$L5608)/(SUMIF($A:$A,$A5608,$K:$K)+SUMIF($A:$A,$A5608,$L:$L)))/VLOOKUP($A5608,HeadJournal!$A$1:$L$890,COLUMN(HeadJournal!H$1),0),0)</f>
        <v>0.3958335091247463</v>
      </c>
      <c r="P5608" s="30">
        <f>IFERROR(SUM(K5608:O5608)*VLOOKUP($A5608,HeadJournal!$A$1:$L$890,COLUMN(HeadJournal!H$1),0),0)</f>
        <v>1181.7314573963777</v>
      </c>
      <c r="Q5608" s="29">
        <v>2000</v>
      </c>
      <c r="R5608" s="31">
        <v>46160</v>
      </c>
      <c r="S5608" s="31"/>
      <c r="T5608" s="95" t="str">
        <f t="shared" si="414"/>
        <v>2026 05</v>
      </c>
      <c r="U5608" s="32">
        <f t="shared" si="415"/>
        <v>818.26854260362234</v>
      </c>
      <c r="V5608" s="22">
        <f t="shared" si="416"/>
        <v>0.69243188668807498</v>
      </c>
      <c r="X5608" s="33"/>
      <c r="Y5608" s="33"/>
    </row>
    <row r="5609" spans="1:25" x14ac:dyDescent="0.2">
      <c r="A5609" s="93" t="s">
        <v>5505</v>
      </c>
      <c r="B5609" s="94">
        <f>IFERROR(VLOOKUP($A5609,HeadJournal!$A$1:$NTR$890,COLUMN(HeadJournal!B$1),0),"")</f>
        <v>0</v>
      </c>
      <c r="C5609" s="94" t="str">
        <f>IFERROR(VLOOKUP($A5609,HeadJournal!$A$1:$NTR$890,COLUMN(HeadJournal!C$1),0),"")</f>
        <v>iHerb_VP DFD1605</v>
      </c>
      <c r="D5609" s="125" t="str">
        <f>IFERROR(VLOOKUP($A5609,HeadJournal!$A$1:$NTR$890,COLUMN(HeadJournal!D$1),0),"")</f>
        <v>Доставлен</v>
      </c>
      <c r="E5609" s="95">
        <f>IFERROR(VLOOKUP($A5609,HeadJournal!$A$1:$NTR$890,COLUMN(HeadJournal!G$1),0),"")</f>
        <v>46066</v>
      </c>
      <c r="F5609" s="95" t="str">
        <f t="shared" si="413"/>
        <v>2026 02</v>
      </c>
      <c r="G5609" s="97" t="s">
        <v>5</v>
      </c>
      <c r="H5609" s="161" t="s">
        <v>3787</v>
      </c>
      <c r="I5609" s="97" t="s">
        <v>2036</v>
      </c>
      <c r="J5609" s="97" t="s">
        <v>4060</v>
      </c>
      <c r="K5609" s="29">
        <v>15.62</v>
      </c>
      <c r="L5609" s="29">
        <v>-2.3433333333333333</v>
      </c>
      <c r="M5609" s="30">
        <f>IFERROR(VLOOKUP($A5609,HeadJournal!$A$1:$J$890,COLUMN(HeadJournal!I$1),0)*($K5609+$L5609)/(SUMIF($A:$A,$A5609,$K:$K)+SUMIF($A:$A,$A5609,$L:$L)),0)</f>
        <v>0</v>
      </c>
      <c r="N5609" s="30">
        <f>IFERROR((VLOOKUP($A5609,HeadJournal!$A$1:$K$890,COLUMN(HeadJournal!K$1),0)-VLOOKUP($A5609,HeadJournal!$A$1:$K$890,COLUMN(HeadJournal!J$1),0))*($K5609+$L5609)/(SUMIF($A:$A,$A5609,$K:$K)+SUMIF($A:$A,$A5609,$L:$L)),0)</f>
        <v>0</v>
      </c>
      <c r="O5609" s="30">
        <f>IFERROR((VLOOKUP($A5609,HeadJournal!$A$1:$L$890,COLUMN(HeadJournal!L$1),0)*($K5609+$L5609)/(SUMIF($A:$A,$A5609,$K:$K)+SUMIF($A:$A,$A5609,$L:$L)))/VLOOKUP($A5609,HeadJournal!$A$1:$L$890,COLUMN(HeadJournal!H$1),0),0)</f>
        <v>0.3958335091247463</v>
      </c>
      <c r="P5609" s="30">
        <f>IFERROR(SUM(K5609:O5609)*VLOOKUP($A5609,HeadJournal!$A$1:$L$890,COLUMN(HeadJournal!H$1),0),0)</f>
        <v>1181.7314573963777</v>
      </c>
      <c r="Q5609" s="29"/>
      <c r="R5609" s="31"/>
      <c r="S5609" s="31"/>
      <c r="T5609" s="95" t="str">
        <f t="shared" si="414"/>
        <v/>
      </c>
      <c r="U5609" s="32">
        <f t="shared" si="415"/>
        <v>-1181.7314573963777</v>
      </c>
      <c r="V5609" s="22" t="str">
        <f t="shared" si="416"/>
        <v/>
      </c>
      <c r="X5609" s="33"/>
      <c r="Y5609" s="33"/>
    </row>
    <row r="5610" spans="1:25" x14ac:dyDescent="0.2">
      <c r="A5610" s="93" t="s">
        <v>5505</v>
      </c>
      <c r="B5610" s="94">
        <f>IFERROR(VLOOKUP($A5610,HeadJournal!$A$1:$NTR$890,COLUMN(HeadJournal!B$1),0),"")</f>
        <v>0</v>
      </c>
      <c r="C5610" s="94" t="str">
        <f>IFERROR(VLOOKUP($A5610,HeadJournal!$A$1:$NTR$890,COLUMN(HeadJournal!C$1),0),"")</f>
        <v>iHerb_VP DFD1605</v>
      </c>
      <c r="D5610" s="125" t="str">
        <f>IFERROR(VLOOKUP($A5610,HeadJournal!$A$1:$NTR$890,COLUMN(HeadJournal!D$1),0),"")</f>
        <v>Доставлен</v>
      </c>
      <c r="E5610" s="95">
        <f>IFERROR(VLOOKUP($A5610,HeadJournal!$A$1:$NTR$890,COLUMN(HeadJournal!G$1),0),"")</f>
        <v>46066</v>
      </c>
      <c r="F5610" s="95" t="str">
        <f t="shared" si="413"/>
        <v>2026 02</v>
      </c>
      <c r="G5610" s="97" t="s">
        <v>5</v>
      </c>
      <c r="H5610" s="161" t="s">
        <v>5501</v>
      </c>
      <c r="I5610" s="97" t="s">
        <v>2006</v>
      </c>
      <c r="J5610" s="97" t="s">
        <v>5502</v>
      </c>
      <c r="K5610" s="29">
        <v>35.979999999999997</v>
      </c>
      <c r="L5610" s="29">
        <v>-5.4</v>
      </c>
      <c r="M5610" s="30">
        <f>IFERROR(VLOOKUP($A5610,HeadJournal!$A$1:$J$890,COLUMN(HeadJournal!I$1),0)*($K5610+$L5610)/(SUMIF($A:$A,$A5610,$K:$K)+SUMIF($A:$A,$A5610,$L:$L)),0)</f>
        <v>0</v>
      </c>
      <c r="N5610" s="30">
        <f>IFERROR((VLOOKUP($A5610,HeadJournal!$A$1:$K$890,COLUMN(HeadJournal!K$1),0)-VLOOKUP($A5610,HeadJournal!$A$1:$K$890,COLUMN(HeadJournal!J$1),0))*($K5610+$L5610)/(SUMIF($A:$A,$A5610,$K:$K)+SUMIF($A:$A,$A5610,$L:$L)),0)</f>
        <v>0</v>
      </c>
      <c r="O5610" s="30">
        <f>IFERROR((VLOOKUP($A5610,HeadJournal!$A$1:$L$890,COLUMN(HeadJournal!L$1),0)*($K5610+$L5610)/(SUMIF($A:$A,$A5610,$K:$K)+SUMIF($A:$A,$A5610,$L:$L)))/VLOOKUP($A5610,HeadJournal!$A$1:$L$890,COLUMN(HeadJournal!H$1),0),0)</f>
        <v>0.91171895875230291</v>
      </c>
      <c r="P5610" s="30">
        <f>IFERROR(SUM(K5610:O5610)*VLOOKUP($A5610,HeadJournal!$A$1:$L$890,COLUMN(HeadJournal!H$1),0),0)</f>
        <v>2721.8690409626838</v>
      </c>
      <c r="Q5610" s="29">
        <v>4000</v>
      </c>
      <c r="R5610" s="31">
        <v>46118</v>
      </c>
      <c r="S5610" s="31"/>
      <c r="T5610" s="95" t="str">
        <f t="shared" si="414"/>
        <v>2026 04</v>
      </c>
      <c r="U5610" s="32">
        <f t="shared" si="415"/>
        <v>1278.1309590373162</v>
      </c>
      <c r="V5610" s="22">
        <f t="shared" si="416"/>
        <v>0.46957841828615704</v>
      </c>
      <c r="X5610" s="33"/>
      <c r="Y5610" s="33"/>
    </row>
    <row r="5611" spans="1:25" x14ac:dyDescent="0.2">
      <c r="A5611" s="93" t="s">
        <v>5505</v>
      </c>
      <c r="B5611" s="94">
        <f>IFERROR(VLOOKUP($A5611,HeadJournal!$A$1:$NTR$890,COLUMN(HeadJournal!B$1),0),"")</f>
        <v>0</v>
      </c>
      <c r="C5611" s="94" t="str">
        <f>IFERROR(VLOOKUP($A5611,HeadJournal!$A$1:$NTR$890,COLUMN(HeadJournal!C$1),0),"")</f>
        <v>iHerb_VP DFD1605</v>
      </c>
      <c r="D5611" s="125" t="str">
        <f>IFERROR(VLOOKUP($A5611,HeadJournal!$A$1:$NTR$890,COLUMN(HeadJournal!D$1),0),"")</f>
        <v>Доставлен</v>
      </c>
      <c r="E5611" s="95">
        <f>IFERROR(VLOOKUP($A5611,HeadJournal!$A$1:$NTR$890,COLUMN(HeadJournal!G$1),0),"")</f>
        <v>46066</v>
      </c>
      <c r="F5611" s="95" t="str">
        <f t="shared" si="413"/>
        <v>2026 02</v>
      </c>
      <c r="G5611" s="97" t="s">
        <v>5</v>
      </c>
      <c r="H5611" s="161" t="s">
        <v>2468</v>
      </c>
      <c r="I5611" s="97" t="s">
        <v>2005</v>
      </c>
      <c r="J5611" s="97" t="s">
        <v>4109</v>
      </c>
      <c r="K5611" s="29">
        <v>25.29</v>
      </c>
      <c r="L5611" s="29">
        <v>-3.79</v>
      </c>
      <c r="M5611" s="30">
        <f>IFERROR(VLOOKUP($A5611,HeadJournal!$A$1:$J$890,COLUMN(HeadJournal!I$1),0)*($K5611+$L5611)/(SUMIF($A:$A,$A5611,$K:$K)+SUMIF($A:$A,$A5611,$L:$L)),0)</f>
        <v>0</v>
      </c>
      <c r="N5611" s="30">
        <f>IFERROR((VLOOKUP($A5611,HeadJournal!$A$1:$K$890,COLUMN(HeadJournal!K$1),0)-VLOOKUP($A5611,HeadJournal!$A$1:$K$890,COLUMN(HeadJournal!J$1),0))*($K5611+$L5611)/(SUMIF($A:$A,$A5611,$K:$K)+SUMIF($A:$A,$A5611,$L:$L)),0)</f>
        <v>0</v>
      </c>
      <c r="O5611" s="30">
        <f>IFERROR((VLOOKUP($A5611,HeadJournal!$A$1:$L$890,COLUMN(HeadJournal!L$1),0)*($K5611+$L5611)/(SUMIF($A:$A,$A5611,$K:$K)+SUMIF($A:$A,$A5611,$L:$L)))/VLOOKUP($A5611,HeadJournal!$A$1:$L$890,COLUMN(HeadJournal!H$1),0),0)</f>
        <v>0.64100580814828356</v>
      </c>
      <c r="P5611" s="30">
        <f>IFERROR(SUM(K5611:O5611)*VLOOKUP($A5611,HeadJournal!$A$1:$L$890,COLUMN(HeadJournal!H$1),0),0)</f>
        <v>1913.6750942020176</v>
      </c>
      <c r="Q5611" s="29"/>
      <c r="R5611" s="31"/>
      <c r="S5611" s="31"/>
      <c r="T5611" s="95" t="str">
        <f t="shared" si="414"/>
        <v/>
      </c>
      <c r="U5611" s="32">
        <f t="shared" si="415"/>
        <v>-1913.6750942020176</v>
      </c>
      <c r="V5611" s="22" t="str">
        <f t="shared" si="416"/>
        <v/>
      </c>
      <c r="X5611" s="33"/>
      <c r="Y5611" s="33"/>
    </row>
    <row r="5612" spans="1:25" x14ac:dyDescent="0.2">
      <c r="A5612" s="93" t="s">
        <v>5505</v>
      </c>
      <c r="B5612" s="94">
        <f>IFERROR(VLOOKUP($A5612,HeadJournal!$A$1:$NTR$890,COLUMN(HeadJournal!B$1),0),"")</f>
        <v>0</v>
      </c>
      <c r="C5612" s="94" t="str">
        <f>IFERROR(VLOOKUP($A5612,HeadJournal!$A$1:$NTR$890,COLUMN(HeadJournal!C$1),0),"")</f>
        <v>iHerb_VP DFD1605</v>
      </c>
      <c r="D5612" s="125" t="str">
        <f>IFERROR(VLOOKUP($A5612,HeadJournal!$A$1:$NTR$890,COLUMN(HeadJournal!D$1),0),"")</f>
        <v>Доставлен</v>
      </c>
      <c r="E5612" s="95">
        <f>IFERROR(VLOOKUP($A5612,HeadJournal!$A$1:$NTR$890,COLUMN(HeadJournal!G$1),0),"")</f>
        <v>46066</v>
      </c>
      <c r="F5612" s="95" t="str">
        <f t="shared" si="413"/>
        <v>2026 02</v>
      </c>
      <c r="G5612" s="97" t="s">
        <v>5</v>
      </c>
      <c r="H5612" s="161" t="s">
        <v>5503</v>
      </c>
      <c r="I5612" s="97" t="s">
        <v>2039</v>
      </c>
      <c r="J5612" s="97" t="s">
        <v>5504</v>
      </c>
      <c r="K5612" s="29">
        <v>9.4499999999999993</v>
      </c>
      <c r="L5612" s="29">
        <v>-1.42</v>
      </c>
      <c r="M5612" s="30">
        <f>IFERROR(VLOOKUP($A5612,HeadJournal!$A$1:$J$890,COLUMN(HeadJournal!I$1),0)*($K5612+$L5612)/(SUMIF($A:$A,$A5612,$K:$K)+SUMIF($A:$A,$A5612,$L:$L)),0)</f>
        <v>0</v>
      </c>
      <c r="N5612" s="30">
        <f>IFERROR((VLOOKUP($A5612,HeadJournal!$A$1:$K$890,COLUMN(HeadJournal!K$1),0)-VLOOKUP($A5612,HeadJournal!$A$1:$K$890,COLUMN(HeadJournal!J$1),0))*($K5612+$L5612)/(SUMIF($A:$A,$A5612,$K:$K)+SUMIF($A:$A,$A5612,$L:$L)),0)</f>
        <v>0</v>
      </c>
      <c r="O5612" s="30">
        <f>IFERROR((VLOOKUP($A5612,HeadJournal!$A$1:$L$890,COLUMN(HeadJournal!L$1),0)*($K5612+$L5612)/(SUMIF($A:$A,$A5612,$K:$K)+SUMIF($A:$A,$A5612,$L:$L)))/VLOOKUP($A5612,HeadJournal!$A$1:$L$890,COLUMN(HeadJournal!H$1),0),0)</f>
        <v>0.2394082157874752</v>
      </c>
      <c r="P5612" s="30">
        <f>IFERROR(SUM(K5612:O5612)*VLOOKUP($A5612,HeadJournal!$A$1:$L$890,COLUMN(HeadJournal!H$1),0),0)</f>
        <v>714.73539564847454</v>
      </c>
      <c r="Q5612" s="29"/>
      <c r="R5612" s="31"/>
      <c r="S5612" s="31"/>
      <c r="T5612" s="95" t="str">
        <f t="shared" si="414"/>
        <v/>
      </c>
      <c r="U5612" s="32">
        <f t="shared" si="415"/>
        <v>-714.73539564847454</v>
      </c>
      <c r="V5612" s="22" t="str">
        <f t="shared" si="416"/>
        <v/>
      </c>
      <c r="X5612" s="33"/>
      <c r="Y5612" s="33"/>
    </row>
    <row r="5613" spans="1:25" x14ac:dyDescent="0.2">
      <c r="A5613" s="93" t="s">
        <v>5505</v>
      </c>
      <c r="B5613" s="94">
        <f>IFERROR(VLOOKUP($A5613,HeadJournal!$A$1:$NTR$890,COLUMN(HeadJournal!B$1),0),"")</f>
        <v>0</v>
      </c>
      <c r="C5613" s="94" t="str">
        <f>IFERROR(VLOOKUP($A5613,HeadJournal!$A$1:$NTR$890,COLUMN(HeadJournal!C$1),0),"")</f>
        <v>iHerb_VP DFD1605</v>
      </c>
      <c r="D5613" s="125" t="str">
        <f>IFERROR(VLOOKUP($A5613,HeadJournal!$A$1:$NTR$890,COLUMN(HeadJournal!D$1),0),"")</f>
        <v>Доставлен</v>
      </c>
      <c r="E5613" s="95">
        <f>IFERROR(VLOOKUP($A5613,HeadJournal!$A$1:$NTR$890,COLUMN(HeadJournal!G$1),0),"")</f>
        <v>46066</v>
      </c>
      <c r="F5613" s="95" t="str">
        <f t="shared" si="413"/>
        <v>2026 02</v>
      </c>
      <c r="G5613" s="97" t="s">
        <v>5</v>
      </c>
      <c r="H5613" s="161" t="s">
        <v>2755</v>
      </c>
      <c r="I5613" s="97" t="s">
        <v>2005</v>
      </c>
      <c r="J5613" s="97" t="s">
        <v>2756</v>
      </c>
      <c r="K5613" s="29">
        <v>19.36</v>
      </c>
      <c r="L5613" s="29">
        <v>-2.9</v>
      </c>
      <c r="M5613" s="30">
        <f>IFERROR(VLOOKUP($A5613,HeadJournal!$A$1:$J$890,COLUMN(HeadJournal!I$1),0)*($K5613+$L5613)/(SUMIF($A:$A,$A5613,$K:$K)+SUMIF($A:$A,$A5613,$L:$L)),0)</f>
        <v>0</v>
      </c>
      <c r="N5613" s="30">
        <f>IFERROR((VLOOKUP($A5613,HeadJournal!$A$1:$K$890,COLUMN(HeadJournal!K$1),0)-VLOOKUP($A5613,HeadJournal!$A$1:$K$890,COLUMN(HeadJournal!J$1),0))*($K5613+$L5613)/(SUMIF($A:$A,$A5613,$K:$K)+SUMIF($A:$A,$A5613,$L:$L)),0)</f>
        <v>0</v>
      </c>
      <c r="O5613" s="30">
        <f>IFERROR((VLOOKUP($A5613,HeadJournal!$A$1:$L$890,COLUMN(HeadJournal!L$1),0)*($K5613+$L5613)/(SUMIF($A:$A,$A5613,$K:$K)+SUMIF($A:$A,$A5613,$L:$L)))/VLOOKUP($A5613,HeadJournal!$A$1:$L$890,COLUMN(HeadJournal!H$1),0),0)</f>
        <v>0.49074212102887199</v>
      </c>
      <c r="P5613" s="30">
        <f>IFERROR(SUM(K5613:O5613)*VLOOKUP($A5613,HeadJournal!$A$1:$L$890,COLUMN(HeadJournal!H$1),0),0)</f>
        <v>1465.0740488634983</v>
      </c>
      <c r="Q5613" s="29">
        <v>2500</v>
      </c>
      <c r="R5613" s="31">
        <v>46161</v>
      </c>
      <c r="S5613" s="31" t="s">
        <v>3280</v>
      </c>
      <c r="T5613" s="95" t="str">
        <f t="shared" si="414"/>
        <v>2026 05</v>
      </c>
      <c r="U5613" s="32">
        <f t="shared" si="415"/>
        <v>1034.9259511365017</v>
      </c>
      <c r="V5613" s="22">
        <f t="shared" si="416"/>
        <v>0.70639839122078818</v>
      </c>
      <c r="X5613" s="33"/>
      <c r="Y5613" s="33"/>
    </row>
    <row r="5614" spans="1:25" x14ac:dyDescent="0.2">
      <c r="A5614" s="93" t="s">
        <v>5507</v>
      </c>
      <c r="B5614" s="94">
        <f>IFERROR(VLOOKUP($A5614,HeadJournal!$A$1:$NTR$890,COLUMN(HeadJournal!B$1),0),"")</f>
        <v>0</v>
      </c>
      <c r="C5614" s="94" t="str">
        <f>IFERROR(VLOOKUP($A5614,HeadJournal!$A$1:$NTR$890,COLUMN(HeadJournal!C$1),0),"")</f>
        <v>OZON_OA</v>
      </c>
      <c r="D5614" s="125" t="str">
        <f>IFERROR(VLOOKUP($A5614,HeadJournal!$A$1:$NTR$890,COLUMN(HeadJournal!D$1),0),"")</f>
        <v>Доставлен</v>
      </c>
      <c r="E5614" s="95">
        <f>IFERROR(VLOOKUP($A5614,HeadJournal!$A$1:$NTR$890,COLUMN(HeadJournal!G$1),0),"")</f>
        <v>46061</v>
      </c>
      <c r="F5614" s="95" t="str">
        <f t="shared" si="413"/>
        <v>2026 02</v>
      </c>
      <c r="G5614" s="97" t="s">
        <v>6</v>
      </c>
      <c r="H5614" s="161" t="s">
        <v>2280</v>
      </c>
      <c r="I5614" s="97" t="s">
        <v>2281</v>
      </c>
      <c r="J5614" s="97" t="s">
        <v>737</v>
      </c>
      <c r="K5614" s="29">
        <v>1001</v>
      </c>
      <c r="L5614" s="29">
        <v>0</v>
      </c>
      <c r="M5614" s="30">
        <f>IFERROR(VLOOKUP($A5614,HeadJournal!$A$1:$J$890,COLUMN(HeadJournal!I$1),0)*($K5614+$L5614)/(SUMIF($A:$A,$A5614,$K:$K)+SUMIF($A:$A,$A5614,$L:$L)),0)</f>
        <v>0</v>
      </c>
      <c r="N5614" s="30">
        <f>IFERROR((VLOOKUP($A5614,HeadJournal!$A$1:$K$890,COLUMN(HeadJournal!K$1),0)-VLOOKUP($A5614,HeadJournal!$A$1:$K$890,COLUMN(HeadJournal!J$1),0))*($K5614+$L5614)/(SUMIF($A:$A,$A5614,$K:$K)+SUMIF($A:$A,$A5614,$L:$L)),0)</f>
        <v>0</v>
      </c>
      <c r="O5614" s="30">
        <f>IFERROR((VLOOKUP($A5614,HeadJournal!$A$1:$L$890,COLUMN(HeadJournal!L$1),0)*($K5614+$L5614)/(SUMIF($A:$A,$A5614,$K:$K)+SUMIF($A:$A,$A5614,$L:$L)))/VLOOKUP($A5614,HeadJournal!$A$1:$L$890,COLUMN(HeadJournal!H$1),0),0)</f>
        <v>0</v>
      </c>
      <c r="P5614" s="30">
        <f>IFERROR(SUM(K5614:O5614)*VLOOKUP($A5614,HeadJournal!$A$1:$L$890,COLUMN(HeadJournal!H$1),0),0)</f>
        <v>1001</v>
      </c>
      <c r="Q5614" s="29">
        <v>2000</v>
      </c>
      <c r="R5614" s="31">
        <v>46079</v>
      </c>
      <c r="S5614" s="31" t="s">
        <v>4613</v>
      </c>
      <c r="T5614" s="95" t="str">
        <f t="shared" si="414"/>
        <v>2026 02</v>
      </c>
      <c r="U5614" s="32">
        <f t="shared" si="415"/>
        <v>999</v>
      </c>
      <c r="V5614" s="22">
        <f t="shared" si="416"/>
        <v>0.99800199800199796</v>
      </c>
      <c r="X5614" s="33"/>
      <c r="Y5614" s="33"/>
    </row>
    <row r="5615" spans="1:25" x14ac:dyDescent="0.2">
      <c r="A5615" s="93" t="s">
        <v>5510</v>
      </c>
      <c r="B5615" s="94">
        <f>IFERROR(VLOOKUP($A5615,HeadJournal!$A$1:$NTR$890,COLUMN(HeadJournal!B$1),0),"")</f>
        <v>0</v>
      </c>
      <c r="C5615" s="94" t="str">
        <f>IFERROR(VLOOKUP($A5615,HeadJournal!$A$1:$NTR$890,COLUMN(HeadJournal!C$1),0),"")</f>
        <v>iHerb_VP DFD1605</v>
      </c>
      <c r="D5615" s="125" t="str">
        <f>IFERROR(VLOOKUP($A5615,HeadJournal!$A$1:$NTR$890,COLUMN(HeadJournal!D$1),0),"")</f>
        <v>Доставлен</v>
      </c>
      <c r="E5615" s="95">
        <f>IFERROR(VLOOKUP($A5615,HeadJournal!$A$1:$NTR$890,COLUMN(HeadJournal!G$1),0),"")</f>
        <v>46079</v>
      </c>
      <c r="F5615" s="95" t="str">
        <f t="shared" si="413"/>
        <v>2026 02</v>
      </c>
      <c r="G5615" s="97" t="s">
        <v>5</v>
      </c>
      <c r="H5615" s="161" t="s">
        <v>2034</v>
      </c>
      <c r="I5615" s="97" t="s">
        <v>2008</v>
      </c>
      <c r="J5615" s="97" t="s">
        <v>5508</v>
      </c>
      <c r="K5615" s="29">
        <v>25.67</v>
      </c>
      <c r="L5615" s="29">
        <v>-2.5649999999999999</v>
      </c>
      <c r="M5615" s="30">
        <f>IFERROR(VLOOKUP($A5615,HeadJournal!$A$1:$J$890,COLUMN(HeadJournal!I$1),0)*($K5615+$L5615)/(SUMIF($A:$A,$A5615,$K:$K)+SUMIF($A:$A,$A5615,$L:$L)),0)</f>
        <v>-1.4741599319438536</v>
      </c>
      <c r="N5615" s="30">
        <f>IFERROR((VLOOKUP($A5615,HeadJournal!$A$1:$K$890,COLUMN(HeadJournal!K$1),0)-VLOOKUP($A5615,HeadJournal!$A$1:$K$890,COLUMN(HeadJournal!J$1),0))*($K5615+$L5615)/(SUMIF($A:$A,$A5615,$K:$K)+SUMIF($A:$A,$A5615,$L:$L)),0)</f>
        <v>0</v>
      </c>
      <c r="O5615" s="30">
        <f>IFERROR((VLOOKUP($A5615,HeadJournal!$A$1:$L$890,COLUMN(HeadJournal!L$1),0)*($K5615+$L5615)/(SUMIF($A:$A,$A5615,$K:$K)+SUMIF($A:$A,$A5615,$L:$L)))/VLOOKUP($A5615,HeadJournal!$A$1:$L$890,COLUMN(HeadJournal!H$1),0),0)</f>
        <v>0.59900322762154357</v>
      </c>
      <c r="P5615" s="30">
        <f>IFERROR(SUM(K5615:O5615)*VLOOKUP($A5615,HeadJournal!$A$1:$L$890,COLUMN(HeadJournal!H$1),0),0)</f>
        <v>1933.0204654934071</v>
      </c>
      <c r="Q5615" s="29">
        <v>3000</v>
      </c>
      <c r="R5615" s="31">
        <v>46106</v>
      </c>
      <c r="S5615" s="31" t="s">
        <v>3235</v>
      </c>
      <c r="T5615" s="95" t="str">
        <f t="shared" si="414"/>
        <v>2026 03</v>
      </c>
      <c r="U5615" s="32">
        <f t="shared" si="415"/>
        <v>1066.9795345065929</v>
      </c>
      <c r="V5615" s="22">
        <f t="shared" si="416"/>
        <v>0.55197529128810563</v>
      </c>
      <c r="X5615" s="33"/>
      <c r="Y5615" s="33"/>
    </row>
    <row r="5616" spans="1:25" x14ac:dyDescent="0.2">
      <c r="A5616" s="93" t="s">
        <v>5510</v>
      </c>
      <c r="B5616" s="94">
        <f>IFERROR(VLOOKUP($A5616,HeadJournal!$A$1:$NTR$890,COLUMN(HeadJournal!B$1),0),"")</f>
        <v>0</v>
      </c>
      <c r="C5616" s="94" t="str">
        <f>IFERROR(VLOOKUP($A5616,HeadJournal!$A$1:$NTR$890,COLUMN(HeadJournal!C$1),0),"")</f>
        <v>iHerb_VP DFD1605</v>
      </c>
      <c r="D5616" s="125" t="str">
        <f>IFERROR(VLOOKUP($A5616,HeadJournal!$A$1:$NTR$890,COLUMN(HeadJournal!D$1),0),"")</f>
        <v>Доставлен</v>
      </c>
      <c r="E5616" s="95">
        <f>IFERROR(VLOOKUP($A5616,HeadJournal!$A$1:$NTR$890,COLUMN(HeadJournal!G$1),0),"")</f>
        <v>46079</v>
      </c>
      <c r="F5616" s="95" t="str">
        <f t="shared" si="413"/>
        <v>2026 02</v>
      </c>
      <c r="G5616" s="97" t="s">
        <v>5</v>
      </c>
      <c r="H5616" s="161" t="s">
        <v>2034</v>
      </c>
      <c r="I5616" s="97" t="s">
        <v>2008</v>
      </c>
      <c r="J5616" s="97" t="s">
        <v>5508</v>
      </c>
      <c r="K5616" s="29">
        <v>25.67</v>
      </c>
      <c r="L5616" s="29">
        <v>-2.5649999999999999</v>
      </c>
      <c r="M5616" s="30">
        <f>IFERROR(VLOOKUP($A5616,HeadJournal!$A$1:$J$890,COLUMN(HeadJournal!I$1),0)*($K5616+$L5616)/(SUMIF($A:$A,$A5616,$K:$K)+SUMIF($A:$A,$A5616,$L:$L)),0)</f>
        <v>-1.4741599319438536</v>
      </c>
      <c r="N5616" s="30">
        <f>IFERROR((VLOOKUP($A5616,HeadJournal!$A$1:$K$890,COLUMN(HeadJournal!K$1),0)-VLOOKUP($A5616,HeadJournal!$A$1:$K$890,COLUMN(HeadJournal!J$1),0))*($K5616+$L5616)/(SUMIF($A:$A,$A5616,$K:$K)+SUMIF($A:$A,$A5616,$L:$L)),0)</f>
        <v>0</v>
      </c>
      <c r="O5616" s="30">
        <f>IFERROR((VLOOKUP($A5616,HeadJournal!$A$1:$L$890,COLUMN(HeadJournal!L$1),0)*($K5616+$L5616)/(SUMIF($A:$A,$A5616,$K:$K)+SUMIF($A:$A,$A5616,$L:$L)))/VLOOKUP($A5616,HeadJournal!$A$1:$L$890,COLUMN(HeadJournal!H$1),0),0)</f>
        <v>0.59900322762154357</v>
      </c>
      <c r="P5616" s="30">
        <f>IFERROR(SUM(K5616:O5616)*VLOOKUP($A5616,HeadJournal!$A$1:$L$890,COLUMN(HeadJournal!H$1),0),0)</f>
        <v>1933.0204654934071</v>
      </c>
      <c r="Q5616" s="29">
        <v>3000</v>
      </c>
      <c r="R5616" s="31">
        <v>46106</v>
      </c>
      <c r="S5616" s="31" t="s">
        <v>3226</v>
      </c>
      <c r="T5616" s="95" t="str">
        <f t="shared" si="414"/>
        <v>2026 03</v>
      </c>
      <c r="U5616" s="32">
        <f t="shared" si="401"/>
        <v>1066.9795345065929</v>
      </c>
      <c r="V5616" s="22">
        <f t="shared" si="402"/>
        <v>0.55197529128810563</v>
      </c>
      <c r="X5616" s="33"/>
      <c r="Y5616" s="33"/>
    </row>
    <row r="5617" spans="1:25" x14ac:dyDescent="0.2">
      <c r="A5617" s="93" t="s">
        <v>5510</v>
      </c>
      <c r="B5617" s="94">
        <f>IFERROR(VLOOKUP($A5617,HeadJournal!$A$1:$NTR$890,COLUMN(HeadJournal!B$1),0),"")</f>
        <v>0</v>
      </c>
      <c r="C5617" s="94" t="str">
        <f>IFERROR(VLOOKUP($A5617,HeadJournal!$A$1:$NTR$890,COLUMN(HeadJournal!C$1),0),"")</f>
        <v>iHerb_VP DFD1605</v>
      </c>
      <c r="D5617" s="125" t="str">
        <f>IFERROR(VLOOKUP($A5617,HeadJournal!$A$1:$NTR$890,COLUMN(HeadJournal!D$1),0),"")</f>
        <v>Доставлен</v>
      </c>
      <c r="E5617" s="95">
        <f>IFERROR(VLOOKUP($A5617,HeadJournal!$A$1:$NTR$890,COLUMN(HeadJournal!G$1),0),"")</f>
        <v>46079</v>
      </c>
      <c r="F5617" s="95" t="str">
        <f t="shared" si="413"/>
        <v>2026 02</v>
      </c>
      <c r="G5617" s="97" t="s">
        <v>5</v>
      </c>
      <c r="H5617" s="161" t="s">
        <v>2101</v>
      </c>
      <c r="I5617" s="97" t="s">
        <v>2102</v>
      </c>
      <c r="J5617" s="97" t="s">
        <v>4015</v>
      </c>
      <c r="K5617" s="29">
        <v>49.39</v>
      </c>
      <c r="L5617" s="29">
        <v>-4.9400000000000004</v>
      </c>
      <c r="M5617" s="30">
        <f>IFERROR(VLOOKUP($A5617,HeadJournal!$A$1:$J$890,COLUMN(HeadJournal!I$1),0)*($K5617+$L5617)/(SUMIF($A:$A,$A5617,$K:$K)+SUMIF($A:$A,$A5617,$L:$L)),0)</f>
        <v>-2.8360272224585286</v>
      </c>
      <c r="N5617" s="30">
        <f>IFERROR((VLOOKUP($A5617,HeadJournal!$A$1:$K$890,COLUMN(HeadJournal!K$1),0)-VLOOKUP($A5617,HeadJournal!$A$1:$K$890,COLUMN(HeadJournal!J$1),0))*($K5617+$L5617)/(SUMIF($A:$A,$A5617,$K:$K)+SUMIF($A:$A,$A5617,$L:$L)),0)</f>
        <v>0</v>
      </c>
      <c r="O5617" s="30">
        <f>IFERROR((VLOOKUP($A5617,HeadJournal!$A$1:$L$890,COLUMN(HeadJournal!L$1),0)*($K5617+$L5617)/(SUMIF($A:$A,$A5617,$K:$K)+SUMIF($A:$A,$A5617,$L:$L)))/VLOOKUP($A5617,HeadJournal!$A$1:$L$890,COLUMN(HeadJournal!H$1),0),0)</f>
        <v>1.1523779903820652</v>
      </c>
      <c r="P5617" s="30">
        <f>IFERROR(SUM(K5617:O5617)*VLOOKUP($A5617,HeadJournal!$A$1:$L$890,COLUMN(HeadJournal!H$1),0),0)</f>
        <v>3718.7950526371756</v>
      </c>
      <c r="Q5617" s="29">
        <v>4800</v>
      </c>
      <c r="R5617" s="31">
        <v>46106</v>
      </c>
      <c r="S5617" s="31" t="s">
        <v>3475</v>
      </c>
      <c r="T5617" s="95" t="str">
        <f t="shared" si="414"/>
        <v>2026 03</v>
      </c>
      <c r="U5617" s="32">
        <f t="shared" si="401"/>
        <v>1081.2049473628244</v>
      </c>
      <c r="V5617" s="22">
        <f t="shared" si="402"/>
        <v>0.29074066520447001</v>
      </c>
      <c r="X5617" s="33"/>
      <c r="Y5617" s="33"/>
    </row>
    <row r="5618" spans="1:25" x14ac:dyDescent="0.2">
      <c r="A5618" s="93" t="s">
        <v>5510</v>
      </c>
      <c r="B5618" s="94">
        <f>IFERROR(VLOOKUP($A5618,HeadJournal!$A$1:$NTR$890,COLUMN(HeadJournal!B$1),0),"")</f>
        <v>0</v>
      </c>
      <c r="C5618" s="94" t="str">
        <f>IFERROR(VLOOKUP($A5618,HeadJournal!$A$1:$NTR$890,COLUMN(HeadJournal!C$1),0),"")</f>
        <v>iHerb_VP DFD1605</v>
      </c>
      <c r="D5618" s="125" t="str">
        <f>IFERROR(VLOOKUP($A5618,HeadJournal!$A$1:$NTR$890,COLUMN(HeadJournal!D$1),0),"")</f>
        <v>Доставлен</v>
      </c>
      <c r="E5618" s="95">
        <f>IFERROR(VLOOKUP($A5618,HeadJournal!$A$1:$NTR$890,COLUMN(HeadJournal!G$1),0),"")</f>
        <v>46079</v>
      </c>
      <c r="F5618" s="95" t="str">
        <f t="shared" si="413"/>
        <v>2026 02</v>
      </c>
      <c r="G5618" s="97" t="s">
        <v>5</v>
      </c>
      <c r="H5618" s="161" t="s">
        <v>5369</v>
      </c>
      <c r="I5618" s="97" t="s">
        <v>2621</v>
      </c>
      <c r="J5618" s="97" t="s">
        <v>5370</v>
      </c>
      <c r="K5618" s="29">
        <v>47.92</v>
      </c>
      <c r="L5618" s="29">
        <v>-4.79</v>
      </c>
      <c r="M5618" s="30">
        <f>IFERROR(VLOOKUP($A5618,HeadJournal!$A$1:$J$890,COLUMN(HeadJournal!I$1),0)*($K5618+$L5618)/(SUMIF($A:$A,$A5618,$K:$K)+SUMIF($A:$A,$A5618,$L:$L)),0)</f>
        <v>-2.751807741386644</v>
      </c>
      <c r="N5618" s="30">
        <f>IFERROR((VLOOKUP($A5618,HeadJournal!$A$1:$K$890,COLUMN(HeadJournal!K$1),0)-VLOOKUP($A5618,HeadJournal!$A$1:$K$890,COLUMN(HeadJournal!J$1),0))*($K5618+$L5618)/(SUMIF($A:$A,$A5618,$K:$K)+SUMIF($A:$A,$A5618,$L:$L)),0)</f>
        <v>0</v>
      </c>
      <c r="O5618" s="30">
        <f>IFERROR((VLOOKUP($A5618,HeadJournal!$A$1:$L$890,COLUMN(HeadJournal!L$1),0)*($K5618+$L5618)/(SUMIF($A:$A,$A5618,$K:$K)+SUMIF($A:$A,$A5618,$L:$L)))/VLOOKUP($A5618,HeadJournal!$A$1:$L$890,COLUMN(HeadJournal!H$1),0),0)</f>
        <v>1.1181566417362987</v>
      </c>
      <c r="P5618" s="30">
        <f>IFERROR(SUM(K5618:O5618)*VLOOKUP($A5618,HeadJournal!$A$1:$L$890,COLUMN(HeadJournal!H$1),0),0)</f>
        <v>3608.3606438749466</v>
      </c>
      <c r="Q5618" s="29"/>
      <c r="R5618" s="31"/>
      <c r="S5618" s="31"/>
      <c r="T5618" s="95" t="str">
        <f t="shared" si="414"/>
        <v/>
      </c>
      <c r="U5618" s="32">
        <f t="shared" si="401"/>
        <v>-3608.3606438749466</v>
      </c>
      <c r="V5618" s="22" t="str">
        <f t="shared" si="402"/>
        <v/>
      </c>
      <c r="X5618" s="33"/>
      <c r="Y5618" s="33"/>
    </row>
    <row r="5619" spans="1:25" x14ac:dyDescent="0.2">
      <c r="A5619" s="93" t="s">
        <v>5510</v>
      </c>
      <c r="B5619" s="94">
        <f>IFERROR(VLOOKUP($A5619,HeadJournal!$A$1:$NTR$890,COLUMN(HeadJournal!B$1),0),"")</f>
        <v>0</v>
      </c>
      <c r="C5619" s="94" t="str">
        <f>IFERROR(VLOOKUP($A5619,HeadJournal!$A$1:$NTR$890,COLUMN(HeadJournal!C$1),0),"")</f>
        <v>iHerb_VP DFD1605</v>
      </c>
      <c r="D5619" s="125" t="str">
        <f>IFERROR(VLOOKUP($A5619,HeadJournal!$A$1:$NTR$890,COLUMN(HeadJournal!D$1),0),"")</f>
        <v>Доставлен</v>
      </c>
      <c r="E5619" s="95">
        <f>IFERROR(VLOOKUP($A5619,HeadJournal!$A$1:$NTR$890,COLUMN(HeadJournal!G$1),0),"")</f>
        <v>46079</v>
      </c>
      <c r="F5619" s="95" t="str">
        <f t="shared" si="413"/>
        <v>2026 02</v>
      </c>
      <c r="G5619" s="97" t="s">
        <v>5</v>
      </c>
      <c r="H5619" s="161" t="s">
        <v>2565</v>
      </c>
      <c r="I5619" s="97" t="s">
        <v>2052</v>
      </c>
      <c r="J5619" s="97" t="s">
        <v>3829</v>
      </c>
      <c r="K5619" s="29">
        <v>31.16</v>
      </c>
      <c r="L5619" s="29">
        <v>-6.23</v>
      </c>
      <c r="M5619" s="30">
        <f>IFERROR(VLOOKUP($A5619,HeadJournal!$A$1:$J$890,COLUMN(HeadJournal!I$1),0)*($K5619+$L5619)/(SUMIF($A:$A,$A5619,$K:$K)+SUMIF($A:$A,$A5619,$L:$L)),0)</f>
        <v>-1.5905997447894511</v>
      </c>
      <c r="N5619" s="30">
        <f>IFERROR((VLOOKUP($A5619,HeadJournal!$A$1:$K$890,COLUMN(HeadJournal!K$1),0)-VLOOKUP($A5619,HeadJournal!$A$1:$K$890,COLUMN(HeadJournal!J$1),0))*($K5619+$L5619)/(SUMIF($A:$A,$A5619,$K:$K)+SUMIF($A:$A,$A5619,$L:$L)),0)</f>
        <v>0</v>
      </c>
      <c r="O5619" s="30">
        <f>IFERROR((VLOOKUP($A5619,HeadJournal!$A$1:$L$890,COLUMN(HeadJournal!L$1),0)*($K5619+$L5619)/(SUMIF($A:$A,$A5619,$K:$K)+SUMIF($A:$A,$A5619,$L:$L)))/VLOOKUP($A5619,HeadJournal!$A$1:$L$890,COLUMN(HeadJournal!H$1),0),0)</f>
        <v>0.64631683465072842</v>
      </c>
      <c r="P5619" s="30">
        <f>IFERROR(SUM(K5619:O5619)*VLOOKUP($A5619,HeadJournal!$A$1:$L$890,COLUMN(HeadJournal!H$1),0),0)</f>
        <v>2085.7044018502761</v>
      </c>
      <c r="Q5619" s="29">
        <v>3300</v>
      </c>
      <c r="R5619" s="31">
        <v>46146</v>
      </c>
      <c r="S5619" s="31" t="s">
        <v>3493</v>
      </c>
      <c r="T5619" s="95" t="str">
        <f t="shared" si="414"/>
        <v>2026 05</v>
      </c>
      <c r="U5619" s="32">
        <f t="shared" si="401"/>
        <v>1214.2955981497239</v>
      </c>
      <c r="V5619" s="22">
        <f t="shared" si="402"/>
        <v>0.58219927860942067</v>
      </c>
      <c r="X5619" s="33"/>
      <c r="Y5619" s="33"/>
    </row>
    <row r="5620" spans="1:25" x14ac:dyDescent="0.2">
      <c r="A5620" s="93" t="s">
        <v>5510</v>
      </c>
      <c r="B5620" s="94">
        <f>IFERROR(VLOOKUP($A5620,HeadJournal!$A$1:$NTR$890,COLUMN(HeadJournal!B$1),0),"")</f>
        <v>0</v>
      </c>
      <c r="C5620" s="94" t="str">
        <f>IFERROR(VLOOKUP($A5620,HeadJournal!$A$1:$NTR$890,COLUMN(HeadJournal!C$1),0),"")</f>
        <v>iHerb_VP DFD1605</v>
      </c>
      <c r="D5620" s="125" t="str">
        <f>IFERROR(VLOOKUP($A5620,HeadJournal!$A$1:$NTR$890,COLUMN(HeadJournal!D$1),0),"")</f>
        <v>Доставлен</v>
      </c>
      <c r="E5620" s="95">
        <f>IFERROR(VLOOKUP($A5620,HeadJournal!$A$1:$NTR$890,COLUMN(HeadJournal!G$1),0),"")</f>
        <v>46079</v>
      </c>
      <c r="F5620" s="95" t="str">
        <f t="shared" si="413"/>
        <v>2026 02</v>
      </c>
      <c r="G5620" s="97" t="s">
        <v>5</v>
      </c>
      <c r="H5620" s="161" t="s">
        <v>2189</v>
      </c>
      <c r="I5620" s="97" t="s">
        <v>2005</v>
      </c>
      <c r="J5620" s="97" t="s">
        <v>5509</v>
      </c>
      <c r="K5620" s="29">
        <v>32.619999999999997</v>
      </c>
      <c r="L5620" s="29">
        <v>-3.26</v>
      </c>
      <c r="M5620" s="30">
        <f>IFERROR(VLOOKUP($A5620,HeadJournal!$A$1:$J$890,COLUMN(HeadJournal!I$1),0)*($K5620+$L5620)/(SUMIF($A:$A,$A5620,$K:$K)+SUMIF($A:$A,$A5620,$L:$L)),0)</f>
        <v>-1.8732454274776689</v>
      </c>
      <c r="N5620" s="30">
        <f>IFERROR((VLOOKUP($A5620,HeadJournal!$A$1:$K$890,COLUMN(HeadJournal!K$1),0)-VLOOKUP($A5620,HeadJournal!$A$1:$K$890,COLUMN(HeadJournal!J$1),0))*($K5620+$L5620)/(SUMIF($A:$A,$A5620,$K:$K)+SUMIF($A:$A,$A5620,$L:$L)),0)</f>
        <v>0</v>
      </c>
      <c r="O5620" s="30">
        <f>IFERROR((VLOOKUP($A5620,HeadJournal!$A$1:$L$890,COLUMN(HeadJournal!L$1),0)*($K5620+$L5620)/(SUMIF($A:$A,$A5620,$K:$K)+SUMIF($A:$A,$A5620,$L:$L)))/VLOOKUP($A5620,HeadJournal!$A$1:$L$890,COLUMN(HeadJournal!H$1),0),0)</f>
        <v>0.76116575472705128</v>
      </c>
      <c r="P5620" s="30">
        <f>IFERROR(SUM(K5620:O5620)*VLOOKUP($A5620,HeadJournal!$A$1:$L$890,COLUMN(HeadJournal!H$1),0),0)</f>
        <v>2456.3289706507862</v>
      </c>
      <c r="Q5620" s="29">
        <v>3800</v>
      </c>
      <c r="R5620" s="31">
        <v>46118</v>
      </c>
      <c r="S5620" s="31"/>
      <c r="T5620" s="95" t="str">
        <f t="shared" si="414"/>
        <v>2026 04</v>
      </c>
      <c r="U5620" s="32">
        <f t="shared" si="401"/>
        <v>1343.6710293492138</v>
      </c>
      <c r="V5620" s="22">
        <f t="shared" si="402"/>
        <v>0.54702405313129454</v>
      </c>
      <c r="X5620" s="33"/>
      <c r="Y5620" s="33"/>
    </row>
    <row r="5621" spans="1:25" x14ac:dyDescent="0.2">
      <c r="A5621" s="93" t="s">
        <v>5514</v>
      </c>
      <c r="B5621" s="94">
        <f>IFERROR(VLOOKUP($A5621,HeadJournal!$A$1:$NTR$890,COLUMN(HeadJournal!B$1),0),"")</f>
        <v>0</v>
      </c>
      <c r="C5621" s="94" t="str">
        <f>IFERROR(VLOOKUP($A5621,HeadJournal!$A$1:$NTR$890,COLUMN(HeadJournal!C$1),0),"")</f>
        <v>iHerb_VP DFD1605</v>
      </c>
      <c r="D5621" s="125" t="str">
        <f>IFERROR(VLOOKUP($A5621,HeadJournal!$A$1:$NTR$890,COLUMN(HeadJournal!D$1),0),"")</f>
        <v>Доставлен</v>
      </c>
      <c r="E5621" s="95">
        <f>IFERROR(VLOOKUP($A5621,HeadJournal!$A$1:$NTR$890,COLUMN(HeadJournal!G$1),0),"")</f>
        <v>46085</v>
      </c>
      <c r="F5621" s="95" t="str">
        <f t="shared" si="413"/>
        <v>2026 03</v>
      </c>
      <c r="G5621" s="97" t="s">
        <v>5</v>
      </c>
      <c r="H5621" s="161" t="s">
        <v>3787</v>
      </c>
      <c r="I5621" s="97" t="s">
        <v>2036</v>
      </c>
      <c r="J5621" s="97" t="s">
        <v>4060</v>
      </c>
      <c r="K5621" s="29">
        <v>15.62</v>
      </c>
      <c r="L5621" s="29">
        <v>-3.125</v>
      </c>
      <c r="M5621" s="30">
        <f>IFERROR(VLOOKUP($A5621,HeadJournal!$A$1:$J$890,COLUMN(HeadJournal!I$1),0)*($K5621+$L5621)/(SUMIF($A:$A,$A5621,$K:$K)+SUMIF($A:$A,$A5621,$L:$L)),0)</f>
        <v>0</v>
      </c>
      <c r="N5621" s="30">
        <f>IFERROR((VLOOKUP($A5621,HeadJournal!$A$1:$K$890,COLUMN(HeadJournal!K$1),0)-VLOOKUP($A5621,HeadJournal!$A$1:$K$890,COLUMN(HeadJournal!J$1),0))*($K5621+$L5621)/(SUMIF($A:$A,$A5621,$K:$K)+SUMIF($A:$A,$A5621,$L:$L)),0)</f>
        <v>2.2349229662233989E-15</v>
      </c>
      <c r="O5621" s="30">
        <f>IFERROR((VLOOKUP($A5621,HeadJournal!$A$1:$L$890,COLUMN(HeadJournal!L$1),0)*($K5621+$L5621)/(SUMIF($A:$A,$A5621,$K:$K)+SUMIF($A:$A,$A5621,$L:$L)))/VLOOKUP($A5621,HeadJournal!$A$1:$L$890,COLUMN(HeadJournal!H$1),0),0)</f>
        <v>0.72881852300815053</v>
      </c>
      <c r="P5621" s="30">
        <f>IFERROR(SUM(K5621:O5621)*VLOOKUP($A5621,HeadJournal!$A$1:$L$890,COLUMN(HeadJournal!H$1),0),0)</f>
        <v>1143.0697026431719</v>
      </c>
      <c r="Q5621" s="29"/>
      <c r="R5621" s="31"/>
      <c r="S5621" s="31"/>
      <c r="T5621" s="95" t="str">
        <f t="shared" si="414"/>
        <v/>
      </c>
      <c r="U5621" s="32">
        <f t="shared" si="401"/>
        <v>-1143.0697026431719</v>
      </c>
      <c r="V5621" s="22" t="str">
        <f t="shared" si="402"/>
        <v/>
      </c>
      <c r="X5621" s="33"/>
      <c r="Y5621" s="33"/>
    </row>
    <row r="5622" spans="1:25" x14ac:dyDescent="0.2">
      <c r="A5622" s="93" t="s">
        <v>5514</v>
      </c>
      <c r="B5622" s="94">
        <f>IFERROR(VLOOKUP($A5622,HeadJournal!$A$1:$NTR$890,COLUMN(HeadJournal!B$1),0),"")</f>
        <v>0</v>
      </c>
      <c r="C5622" s="94" t="str">
        <f>IFERROR(VLOOKUP($A5622,HeadJournal!$A$1:$NTR$890,COLUMN(HeadJournal!C$1),0),"")</f>
        <v>iHerb_VP DFD1605</v>
      </c>
      <c r="D5622" s="125" t="str">
        <f>IFERROR(VLOOKUP($A5622,HeadJournal!$A$1:$NTR$890,COLUMN(HeadJournal!D$1),0),"")</f>
        <v>Доставлен</v>
      </c>
      <c r="E5622" s="95">
        <f>IFERROR(VLOOKUP($A5622,HeadJournal!$A$1:$NTR$890,COLUMN(HeadJournal!G$1),0),"")</f>
        <v>46085</v>
      </c>
      <c r="F5622" s="95" t="str">
        <f t="shared" si="413"/>
        <v>2026 03</v>
      </c>
      <c r="G5622" s="97" t="s">
        <v>5</v>
      </c>
      <c r="H5622" s="161" t="s">
        <v>3787</v>
      </c>
      <c r="I5622" s="97" t="s">
        <v>2036</v>
      </c>
      <c r="J5622" s="97" t="s">
        <v>4060</v>
      </c>
      <c r="K5622" s="29">
        <v>15.62</v>
      </c>
      <c r="L5622" s="29">
        <v>-3.125</v>
      </c>
      <c r="M5622" s="30">
        <f>IFERROR(VLOOKUP($A5622,HeadJournal!$A$1:$J$890,COLUMN(HeadJournal!I$1),0)*($K5622+$L5622)/(SUMIF($A:$A,$A5622,$K:$K)+SUMIF($A:$A,$A5622,$L:$L)),0)</f>
        <v>0</v>
      </c>
      <c r="N5622" s="30">
        <f>IFERROR((VLOOKUP($A5622,HeadJournal!$A$1:$K$890,COLUMN(HeadJournal!K$1),0)-VLOOKUP($A5622,HeadJournal!$A$1:$K$890,COLUMN(HeadJournal!J$1),0))*($K5622+$L5622)/(SUMIF($A:$A,$A5622,$K:$K)+SUMIF($A:$A,$A5622,$L:$L)),0)</f>
        <v>2.2349229662233989E-15</v>
      </c>
      <c r="O5622" s="30">
        <f>IFERROR((VLOOKUP($A5622,HeadJournal!$A$1:$L$890,COLUMN(HeadJournal!L$1),0)*($K5622+$L5622)/(SUMIF($A:$A,$A5622,$K:$K)+SUMIF($A:$A,$A5622,$L:$L)))/VLOOKUP($A5622,HeadJournal!$A$1:$L$890,COLUMN(HeadJournal!H$1),0),0)</f>
        <v>0.72881852300815053</v>
      </c>
      <c r="P5622" s="30">
        <f>IFERROR(SUM(K5622:O5622)*VLOOKUP($A5622,HeadJournal!$A$1:$L$890,COLUMN(HeadJournal!H$1),0),0)</f>
        <v>1143.0697026431719</v>
      </c>
      <c r="Q5622" s="29"/>
      <c r="R5622" s="31"/>
      <c r="S5622" s="31"/>
      <c r="T5622" s="95" t="str">
        <f t="shared" si="414"/>
        <v/>
      </c>
      <c r="U5622" s="32">
        <f t="shared" si="401"/>
        <v>-1143.0697026431719</v>
      </c>
      <c r="V5622" s="22" t="str">
        <f t="shared" si="402"/>
        <v/>
      </c>
      <c r="X5622" s="33"/>
      <c r="Y5622" s="33"/>
    </row>
    <row r="5623" spans="1:25" x14ac:dyDescent="0.2">
      <c r="A5623" s="93" t="s">
        <v>5514</v>
      </c>
      <c r="B5623" s="94">
        <f>IFERROR(VLOOKUP($A5623,HeadJournal!$A$1:$NTR$890,COLUMN(HeadJournal!B$1),0),"")</f>
        <v>0</v>
      </c>
      <c r="C5623" s="94" t="str">
        <f>IFERROR(VLOOKUP($A5623,HeadJournal!$A$1:$NTR$890,COLUMN(HeadJournal!C$1),0),"")</f>
        <v>iHerb_VP DFD1605</v>
      </c>
      <c r="D5623" s="125" t="str">
        <f>IFERROR(VLOOKUP($A5623,HeadJournal!$A$1:$NTR$890,COLUMN(HeadJournal!D$1),0),"")</f>
        <v>Доставлен</v>
      </c>
      <c r="E5623" s="95">
        <f>IFERROR(VLOOKUP($A5623,HeadJournal!$A$1:$NTR$890,COLUMN(HeadJournal!G$1),0),"")</f>
        <v>46085</v>
      </c>
      <c r="F5623" s="95" t="str">
        <f t="shared" si="413"/>
        <v>2026 03</v>
      </c>
      <c r="G5623" s="97" t="s">
        <v>5</v>
      </c>
      <c r="H5623" s="161" t="s">
        <v>2504</v>
      </c>
      <c r="I5623" s="97" t="s">
        <v>2036</v>
      </c>
      <c r="J5623" s="97" t="s">
        <v>3739</v>
      </c>
      <c r="K5623" s="29">
        <v>15.62</v>
      </c>
      <c r="L5623" s="29">
        <v>-3.125</v>
      </c>
      <c r="M5623" s="30">
        <f>IFERROR(VLOOKUP($A5623,HeadJournal!$A$1:$J$890,COLUMN(HeadJournal!I$1),0)*($K5623+$L5623)/(SUMIF($A:$A,$A5623,$K:$K)+SUMIF($A:$A,$A5623,$L:$L)),0)</f>
        <v>0</v>
      </c>
      <c r="N5623" s="30">
        <f>IFERROR((VLOOKUP($A5623,HeadJournal!$A$1:$K$890,COLUMN(HeadJournal!K$1),0)-VLOOKUP($A5623,HeadJournal!$A$1:$K$890,COLUMN(HeadJournal!J$1),0))*($K5623+$L5623)/(SUMIF($A:$A,$A5623,$K:$K)+SUMIF($A:$A,$A5623,$L:$L)),0)</f>
        <v>2.2349229662233989E-15</v>
      </c>
      <c r="O5623" s="30">
        <f>IFERROR((VLOOKUP($A5623,HeadJournal!$A$1:$L$890,COLUMN(HeadJournal!L$1),0)*($K5623+$L5623)/(SUMIF($A:$A,$A5623,$K:$K)+SUMIF($A:$A,$A5623,$L:$L)))/VLOOKUP($A5623,HeadJournal!$A$1:$L$890,COLUMN(HeadJournal!H$1),0),0)</f>
        <v>0.72881852300815053</v>
      </c>
      <c r="P5623" s="30">
        <f>IFERROR(SUM(K5623:O5623)*VLOOKUP($A5623,HeadJournal!$A$1:$L$890,COLUMN(HeadJournal!H$1),0),0)</f>
        <v>1143.0697026431719</v>
      </c>
      <c r="Q5623" s="29">
        <v>2000</v>
      </c>
      <c r="R5623" s="31">
        <v>46116</v>
      </c>
      <c r="S5623" s="31" t="s">
        <v>3226</v>
      </c>
      <c r="T5623" s="95" t="str">
        <f t="shared" si="414"/>
        <v>2026 04</v>
      </c>
      <c r="U5623" s="32">
        <f t="shared" si="401"/>
        <v>856.93029735682808</v>
      </c>
      <c r="V5623" s="22">
        <f t="shared" si="402"/>
        <v>0.7496745783527542</v>
      </c>
      <c r="X5623" s="33"/>
      <c r="Y5623" s="33"/>
    </row>
    <row r="5624" spans="1:25" x14ac:dyDescent="0.2">
      <c r="A5624" s="93" t="s">
        <v>5514</v>
      </c>
      <c r="B5624" s="94">
        <f>IFERROR(VLOOKUP($A5624,HeadJournal!$A$1:$NTR$890,COLUMN(HeadJournal!B$1),0),"")</f>
        <v>0</v>
      </c>
      <c r="C5624" s="94" t="str">
        <f>IFERROR(VLOOKUP($A5624,HeadJournal!$A$1:$NTR$890,COLUMN(HeadJournal!C$1),0),"")</f>
        <v>iHerb_VP DFD1605</v>
      </c>
      <c r="D5624" s="125" t="str">
        <f>IFERROR(VLOOKUP($A5624,HeadJournal!$A$1:$NTR$890,COLUMN(HeadJournal!D$1),0),"")</f>
        <v>Доставлен</v>
      </c>
      <c r="E5624" s="95">
        <f>IFERROR(VLOOKUP($A5624,HeadJournal!$A$1:$NTR$890,COLUMN(HeadJournal!G$1),0),"")</f>
        <v>46085</v>
      </c>
      <c r="F5624" s="95" t="str">
        <f t="shared" si="413"/>
        <v>2026 03</v>
      </c>
      <c r="G5624" s="97" t="s">
        <v>5</v>
      </c>
      <c r="H5624" s="161" t="s">
        <v>2504</v>
      </c>
      <c r="I5624" s="97" t="s">
        <v>2036</v>
      </c>
      <c r="J5624" s="97" t="s">
        <v>3739</v>
      </c>
      <c r="K5624" s="29">
        <v>15.62</v>
      </c>
      <c r="L5624" s="29">
        <v>-3.125</v>
      </c>
      <c r="M5624" s="30">
        <f>IFERROR(VLOOKUP($A5624,HeadJournal!$A$1:$J$890,COLUMN(HeadJournal!I$1),0)*($K5624+$L5624)/(SUMIF($A:$A,$A5624,$K:$K)+SUMIF($A:$A,$A5624,$L:$L)),0)</f>
        <v>0</v>
      </c>
      <c r="N5624" s="30">
        <f>IFERROR((VLOOKUP($A5624,HeadJournal!$A$1:$K$890,COLUMN(HeadJournal!K$1),0)-VLOOKUP($A5624,HeadJournal!$A$1:$K$890,COLUMN(HeadJournal!J$1),0))*($K5624+$L5624)/(SUMIF($A:$A,$A5624,$K:$K)+SUMIF($A:$A,$A5624,$L:$L)),0)</f>
        <v>2.2349229662233989E-15</v>
      </c>
      <c r="O5624" s="30">
        <f>IFERROR((VLOOKUP($A5624,HeadJournal!$A$1:$L$890,COLUMN(HeadJournal!L$1),0)*($K5624+$L5624)/(SUMIF($A:$A,$A5624,$K:$K)+SUMIF($A:$A,$A5624,$L:$L)))/VLOOKUP($A5624,HeadJournal!$A$1:$L$890,COLUMN(HeadJournal!H$1),0),0)</f>
        <v>0.72881852300815053</v>
      </c>
      <c r="P5624" s="30">
        <f>IFERROR(SUM(K5624:O5624)*VLOOKUP($A5624,HeadJournal!$A$1:$L$890,COLUMN(HeadJournal!H$1),0),0)</f>
        <v>1143.0697026431719</v>
      </c>
      <c r="Q5624" s="29">
        <v>2000</v>
      </c>
      <c r="R5624" s="31">
        <v>46144</v>
      </c>
      <c r="S5624" s="31"/>
      <c r="T5624" s="95" t="str">
        <f t="shared" si="414"/>
        <v>2026 05</v>
      </c>
      <c r="U5624" s="32">
        <f t="shared" si="401"/>
        <v>856.93029735682808</v>
      </c>
      <c r="V5624" s="22">
        <f t="shared" si="402"/>
        <v>0.7496745783527542</v>
      </c>
      <c r="X5624" s="33"/>
      <c r="Y5624" s="33"/>
    </row>
    <row r="5625" spans="1:25" x14ac:dyDescent="0.2">
      <c r="A5625" s="93" t="s">
        <v>5514</v>
      </c>
      <c r="B5625" s="94">
        <f>IFERROR(VLOOKUP($A5625,HeadJournal!$A$1:$NTR$890,COLUMN(HeadJournal!B$1),0),"")</f>
        <v>0</v>
      </c>
      <c r="C5625" s="94" t="str">
        <f>IFERROR(VLOOKUP($A5625,HeadJournal!$A$1:$NTR$890,COLUMN(HeadJournal!C$1),0),"")</f>
        <v>iHerb_VP DFD1605</v>
      </c>
      <c r="D5625" s="125" t="str">
        <f>IFERROR(VLOOKUP($A5625,HeadJournal!$A$1:$NTR$890,COLUMN(HeadJournal!D$1),0),"")</f>
        <v>Доставлен</v>
      </c>
      <c r="E5625" s="95">
        <f>IFERROR(VLOOKUP($A5625,HeadJournal!$A$1:$NTR$890,COLUMN(HeadJournal!G$1),0),"")</f>
        <v>46085</v>
      </c>
      <c r="F5625" s="95" t="str">
        <f t="shared" si="413"/>
        <v>2026 03</v>
      </c>
      <c r="G5625" s="97" t="s">
        <v>5</v>
      </c>
      <c r="H5625" s="161" t="s">
        <v>2471</v>
      </c>
      <c r="I5625" s="97" t="s">
        <v>2039</v>
      </c>
      <c r="J5625" s="97" t="s">
        <v>2472</v>
      </c>
      <c r="K5625" s="29">
        <v>20.07</v>
      </c>
      <c r="L5625" s="29">
        <v>-4.0149999999999997</v>
      </c>
      <c r="M5625" s="30">
        <f>IFERROR(VLOOKUP($A5625,HeadJournal!$A$1:$J$890,COLUMN(HeadJournal!I$1),0)*($K5625+$L5625)/(SUMIF($A:$A,$A5625,$K:$K)+SUMIF($A:$A,$A5625,$L:$L)),0)</f>
        <v>0</v>
      </c>
      <c r="N5625" s="30">
        <f>IFERROR((VLOOKUP($A5625,HeadJournal!$A$1:$K$890,COLUMN(HeadJournal!K$1),0)-VLOOKUP($A5625,HeadJournal!$A$1:$K$890,COLUMN(HeadJournal!J$1),0))*($K5625+$L5625)/(SUMIF($A:$A,$A5625,$K:$K)+SUMIF($A:$A,$A5625,$L:$L)),0)</f>
        <v>2.8716837313098577E-15</v>
      </c>
      <c r="O5625" s="30">
        <f>IFERROR((VLOOKUP($A5625,HeadJournal!$A$1:$L$890,COLUMN(HeadJournal!L$1),0)*($K5625+$L5625)/(SUMIF($A:$A,$A5625,$K:$K)+SUMIF($A:$A,$A5625,$L:$L)))/VLOOKUP($A5625,HeadJournal!$A$1:$L$890,COLUMN(HeadJournal!H$1),0),0)</f>
        <v>0.93646909859110494</v>
      </c>
      <c r="P5625" s="30">
        <f>IFERROR(SUM(K5625:O5625)*VLOOKUP($A5625,HeadJournal!$A$1:$L$890,COLUMN(HeadJournal!H$1),0),0)</f>
        <v>1468.7462245647159</v>
      </c>
      <c r="Q5625" s="29">
        <v>2700</v>
      </c>
      <c r="R5625" s="31">
        <v>46093</v>
      </c>
      <c r="S5625" s="31"/>
      <c r="T5625" s="95" t="str">
        <f t="shared" si="414"/>
        <v>2026 03</v>
      </c>
      <c r="U5625" s="32">
        <f t="shared" si="401"/>
        <v>1231.2537754352841</v>
      </c>
      <c r="V5625" s="22">
        <f t="shared" si="402"/>
        <v>0.83830259771403592</v>
      </c>
      <c r="X5625" s="33"/>
      <c r="Y5625" s="33"/>
    </row>
    <row r="5626" spans="1:25" x14ac:dyDescent="0.2">
      <c r="A5626" s="93" t="s">
        <v>5514</v>
      </c>
      <c r="B5626" s="94">
        <f>IFERROR(VLOOKUP($A5626,HeadJournal!$A$1:$NTR$890,COLUMN(HeadJournal!B$1),0),"")</f>
        <v>0</v>
      </c>
      <c r="C5626" s="94" t="str">
        <f>IFERROR(VLOOKUP($A5626,HeadJournal!$A$1:$NTR$890,COLUMN(HeadJournal!C$1),0),"")</f>
        <v>iHerb_VP DFD1605</v>
      </c>
      <c r="D5626" s="125" t="str">
        <f>IFERROR(VLOOKUP($A5626,HeadJournal!$A$1:$NTR$890,COLUMN(HeadJournal!D$1),0),"")</f>
        <v>Доставлен</v>
      </c>
      <c r="E5626" s="95">
        <f>IFERROR(VLOOKUP($A5626,HeadJournal!$A$1:$NTR$890,COLUMN(HeadJournal!G$1),0),"")</f>
        <v>46085</v>
      </c>
      <c r="F5626" s="95" t="str">
        <f t="shared" si="413"/>
        <v>2026 03</v>
      </c>
      <c r="G5626" s="97" t="s">
        <v>5</v>
      </c>
      <c r="H5626" s="161" t="s">
        <v>2471</v>
      </c>
      <c r="I5626" s="97" t="s">
        <v>2039</v>
      </c>
      <c r="J5626" s="97" t="s">
        <v>2472</v>
      </c>
      <c r="K5626" s="29">
        <v>20.07</v>
      </c>
      <c r="L5626" s="29">
        <v>-4.0149999999999997</v>
      </c>
      <c r="M5626" s="30">
        <f>IFERROR(VLOOKUP($A5626,HeadJournal!$A$1:$J$890,COLUMN(HeadJournal!I$1),0)*($K5626+$L5626)/(SUMIF($A:$A,$A5626,$K:$K)+SUMIF($A:$A,$A5626,$L:$L)),0)</f>
        <v>0</v>
      </c>
      <c r="N5626" s="30">
        <f>IFERROR((VLOOKUP($A5626,HeadJournal!$A$1:$K$890,COLUMN(HeadJournal!K$1),0)-VLOOKUP($A5626,HeadJournal!$A$1:$K$890,COLUMN(HeadJournal!J$1),0))*($K5626+$L5626)/(SUMIF($A:$A,$A5626,$K:$K)+SUMIF($A:$A,$A5626,$L:$L)),0)</f>
        <v>2.8716837313098577E-15</v>
      </c>
      <c r="O5626" s="30">
        <f>IFERROR((VLOOKUP($A5626,HeadJournal!$A$1:$L$890,COLUMN(HeadJournal!L$1),0)*($K5626+$L5626)/(SUMIF($A:$A,$A5626,$K:$K)+SUMIF($A:$A,$A5626,$L:$L)))/VLOOKUP($A5626,HeadJournal!$A$1:$L$890,COLUMN(HeadJournal!H$1),0),0)</f>
        <v>0.93646909859110494</v>
      </c>
      <c r="P5626" s="30">
        <f>IFERROR(SUM(K5626:O5626)*VLOOKUP($A5626,HeadJournal!$A$1:$L$890,COLUMN(HeadJournal!H$1),0),0)</f>
        <v>1468.7462245647159</v>
      </c>
      <c r="Q5626" s="29"/>
      <c r="R5626" s="31"/>
      <c r="S5626" s="31"/>
      <c r="T5626" s="95" t="str">
        <f t="shared" si="414"/>
        <v/>
      </c>
      <c r="U5626" s="32">
        <f t="shared" ref="U5626:U5635" si="417">Q5626-P5626</f>
        <v>-1468.7462245647159</v>
      </c>
      <c r="V5626" s="22" t="str">
        <f t="shared" ref="V5626:V5635" si="418">IF(Q5626&lt;&gt;0,IFERROR(U5626/P5626,""),"")</f>
        <v/>
      </c>
      <c r="X5626" s="33"/>
      <c r="Y5626" s="33"/>
    </row>
    <row r="5627" spans="1:25" x14ac:dyDescent="0.2">
      <c r="A5627" s="93" t="s">
        <v>5514</v>
      </c>
      <c r="B5627" s="94">
        <f>IFERROR(VLOOKUP($A5627,HeadJournal!$A$1:$NTR$890,COLUMN(HeadJournal!B$1),0),"")</f>
        <v>0</v>
      </c>
      <c r="C5627" s="94" t="str">
        <f>IFERROR(VLOOKUP($A5627,HeadJournal!$A$1:$NTR$890,COLUMN(HeadJournal!C$1),0),"")</f>
        <v>iHerb_VP DFD1605</v>
      </c>
      <c r="D5627" s="125" t="str">
        <f>IFERROR(VLOOKUP($A5627,HeadJournal!$A$1:$NTR$890,COLUMN(HeadJournal!D$1),0),"")</f>
        <v>Доставлен</v>
      </c>
      <c r="E5627" s="95">
        <f>IFERROR(VLOOKUP($A5627,HeadJournal!$A$1:$NTR$890,COLUMN(HeadJournal!G$1),0),"")</f>
        <v>46085</v>
      </c>
      <c r="F5627" s="95" t="str">
        <f t="shared" si="413"/>
        <v>2026 03</v>
      </c>
      <c r="G5627" s="97" t="s">
        <v>5</v>
      </c>
      <c r="H5627" s="161" t="s">
        <v>3011</v>
      </c>
      <c r="I5627" s="97" t="s">
        <v>2052</v>
      </c>
      <c r="J5627" s="97" t="s">
        <v>3012</v>
      </c>
      <c r="K5627" s="29">
        <v>6.4</v>
      </c>
      <c r="L5627" s="29">
        <v>-1.28</v>
      </c>
      <c r="M5627" s="30">
        <f>IFERROR(VLOOKUP($A5627,HeadJournal!$A$1:$J$890,COLUMN(HeadJournal!I$1),0)*($K5627+$L5627)/(SUMIF($A:$A,$A5627,$K:$K)+SUMIF($A:$A,$A5627,$L:$L)),0)</f>
        <v>0</v>
      </c>
      <c r="N5627" s="30">
        <f>IFERROR((VLOOKUP($A5627,HeadJournal!$A$1:$K$890,COLUMN(HeadJournal!K$1),0)-VLOOKUP($A5627,HeadJournal!$A$1:$K$890,COLUMN(HeadJournal!J$1),0))*($K5627+$L5627)/(SUMIF($A:$A,$A5627,$K:$K)+SUMIF($A:$A,$A5627,$L:$L)),0)</f>
        <v>9.157907632704125E-16</v>
      </c>
      <c r="O5627" s="30">
        <f>IFERROR((VLOOKUP($A5627,HeadJournal!$A$1:$L$890,COLUMN(HeadJournal!L$1),0)*($K5627+$L5627)/(SUMIF($A:$A,$A5627,$K:$K)+SUMIF($A:$A,$A5627,$L:$L)))/VLOOKUP($A5627,HeadJournal!$A$1:$L$890,COLUMN(HeadJournal!H$1),0),0)</f>
        <v>0.29864352443391201</v>
      </c>
      <c r="P5627" s="30">
        <f>IFERROR(SUM(K5627:O5627)*VLOOKUP($A5627,HeadJournal!$A$1:$L$890,COLUMN(HeadJournal!H$1),0),0)</f>
        <v>468.38870568491723</v>
      </c>
      <c r="Q5627" s="29">
        <v>1000</v>
      </c>
      <c r="R5627" s="31">
        <v>46170</v>
      </c>
      <c r="S5627" s="31"/>
      <c r="T5627" s="95" t="str">
        <f t="shared" si="414"/>
        <v>2026 05</v>
      </c>
      <c r="U5627" s="32">
        <f t="shared" si="417"/>
        <v>531.61129431508277</v>
      </c>
      <c r="V5627" s="22">
        <f t="shared" si="418"/>
        <v>1.134978892238053</v>
      </c>
      <c r="X5627" s="33"/>
      <c r="Y5627" s="33"/>
    </row>
    <row r="5628" spans="1:25" x14ac:dyDescent="0.2">
      <c r="A5628" s="93" t="s">
        <v>5514</v>
      </c>
      <c r="B5628" s="94">
        <f>IFERROR(VLOOKUP($A5628,HeadJournal!$A$1:$NTR$890,COLUMN(HeadJournal!B$1),0),"")</f>
        <v>0</v>
      </c>
      <c r="C5628" s="94" t="str">
        <f>IFERROR(VLOOKUP($A5628,HeadJournal!$A$1:$NTR$890,COLUMN(HeadJournal!C$1),0),"")</f>
        <v>iHerb_VP DFD1605</v>
      </c>
      <c r="D5628" s="125" t="str">
        <f>IFERROR(VLOOKUP($A5628,HeadJournal!$A$1:$NTR$890,COLUMN(HeadJournal!D$1),0),"")</f>
        <v>Доставлен</v>
      </c>
      <c r="E5628" s="95">
        <f>IFERROR(VLOOKUP($A5628,HeadJournal!$A$1:$NTR$890,COLUMN(HeadJournal!G$1),0),"")</f>
        <v>46085</v>
      </c>
      <c r="F5628" s="95" t="str">
        <f t="shared" si="413"/>
        <v>2026 03</v>
      </c>
      <c r="G5628" s="97" t="s">
        <v>5</v>
      </c>
      <c r="H5628" s="161" t="s">
        <v>2047</v>
      </c>
      <c r="I5628" s="97" t="s">
        <v>2052</v>
      </c>
      <c r="J5628" s="97" t="s">
        <v>5372</v>
      </c>
      <c r="K5628" s="29">
        <v>38.94</v>
      </c>
      <c r="L5628" s="29">
        <v>-7.79</v>
      </c>
      <c r="M5628" s="30">
        <f>IFERROR(VLOOKUP($A5628,HeadJournal!$A$1:$J$890,COLUMN(HeadJournal!I$1),0)*($K5628+$L5628)/(SUMIF($A:$A,$A5628,$K:$K)+SUMIF($A:$A,$A5628,$L:$L)),0)</f>
        <v>0</v>
      </c>
      <c r="N5628" s="30">
        <f>IFERROR((VLOOKUP($A5628,HeadJournal!$A$1:$K$890,COLUMN(HeadJournal!K$1),0)-VLOOKUP($A5628,HeadJournal!$A$1:$K$890,COLUMN(HeadJournal!J$1),0))*($K5628+$L5628)/(SUMIF($A:$A,$A5628,$K:$K)+SUMIF($A:$A,$A5628,$L:$L)),0)</f>
        <v>5.5716566945065132E-15</v>
      </c>
      <c r="O5628" s="30">
        <f>IFERROR((VLOOKUP($A5628,HeadJournal!$A$1:$L$890,COLUMN(HeadJournal!L$1),0)*($K5628+$L5628)/(SUMIF($A:$A,$A5628,$K:$K)+SUMIF($A:$A,$A5628,$L:$L)))/VLOOKUP($A5628,HeadJournal!$A$1:$L$890,COLUMN(HeadJournal!H$1),0),0)</f>
        <v>1.8169425363508513</v>
      </c>
      <c r="P5628" s="30">
        <f>IFERROR(SUM(K5628:O5628)*VLOOKUP($A5628,HeadJournal!$A$1:$L$890,COLUMN(HeadJournal!H$1),0),0)</f>
        <v>2849.6695668135103</v>
      </c>
      <c r="Q5628" s="29">
        <v>4000</v>
      </c>
      <c r="R5628" s="31">
        <v>46119</v>
      </c>
      <c r="S5628" s="31" t="s">
        <v>4469</v>
      </c>
      <c r="T5628" s="95" t="str">
        <f t="shared" si="414"/>
        <v>2026 04</v>
      </c>
      <c r="U5628" s="32">
        <f t="shared" si="417"/>
        <v>1150.3304331864897</v>
      </c>
      <c r="V5628" s="22">
        <f t="shared" si="418"/>
        <v>0.40367151566726556</v>
      </c>
      <c r="X5628" s="33"/>
      <c r="Y5628" s="33"/>
    </row>
    <row r="5629" spans="1:25" x14ac:dyDescent="0.2">
      <c r="A5629" s="93" t="s">
        <v>5514</v>
      </c>
      <c r="B5629" s="94">
        <f>IFERROR(VLOOKUP($A5629,HeadJournal!$A$1:$NTR$890,COLUMN(HeadJournal!B$1),0),"")</f>
        <v>0</v>
      </c>
      <c r="C5629" s="94" t="str">
        <f>IFERROR(VLOOKUP($A5629,HeadJournal!$A$1:$NTR$890,COLUMN(HeadJournal!C$1),0),"")</f>
        <v>iHerb_VP DFD1605</v>
      </c>
      <c r="D5629" s="125" t="str">
        <f>IFERROR(VLOOKUP($A5629,HeadJournal!$A$1:$NTR$890,COLUMN(HeadJournal!D$1),0),"")</f>
        <v>Доставлен</v>
      </c>
      <c r="E5629" s="95">
        <f>IFERROR(VLOOKUP($A5629,HeadJournal!$A$1:$NTR$890,COLUMN(HeadJournal!G$1),0),"")</f>
        <v>46085</v>
      </c>
      <c r="F5629" s="95" t="str">
        <f t="shared" si="413"/>
        <v>2026 03</v>
      </c>
      <c r="G5629" s="97" t="s">
        <v>5</v>
      </c>
      <c r="H5629" s="161" t="s">
        <v>2617</v>
      </c>
      <c r="I5629" s="97" t="s">
        <v>2618</v>
      </c>
      <c r="J5629" s="97" t="s">
        <v>5511</v>
      </c>
      <c r="K5629" s="29">
        <v>13.91</v>
      </c>
      <c r="L5629" s="29">
        <v>-2.78</v>
      </c>
      <c r="M5629" s="30">
        <f>IFERROR(VLOOKUP($A5629,HeadJournal!$A$1:$J$890,COLUMN(HeadJournal!I$1),0)*($K5629+$L5629)/(SUMIF($A:$A,$A5629,$K:$K)+SUMIF($A:$A,$A5629,$L:$L)),0)</f>
        <v>0</v>
      </c>
      <c r="N5629" s="30">
        <f>IFERROR((VLOOKUP($A5629,HeadJournal!$A$1:$K$890,COLUMN(HeadJournal!K$1),0)-VLOOKUP($A5629,HeadJournal!$A$1:$K$890,COLUMN(HeadJournal!J$1),0))*($K5629+$L5629)/(SUMIF($A:$A,$A5629,$K:$K)+SUMIF($A:$A,$A5629,$L:$L)),0)</f>
        <v>1.9907717178124397E-15</v>
      </c>
      <c r="O5629" s="30">
        <f>IFERROR((VLOOKUP($A5629,HeadJournal!$A$1:$L$890,COLUMN(HeadJournal!L$1),0)*($K5629+$L5629)/(SUMIF($A:$A,$A5629,$K:$K)+SUMIF($A:$A,$A5629,$L:$L)))/VLOOKUP($A5629,HeadJournal!$A$1:$L$890,COLUMN(HeadJournal!H$1),0),0)</f>
        <v>0.64919969276356271</v>
      </c>
      <c r="P5629" s="30">
        <f>IFERROR(SUM(K5629:O5629)*VLOOKUP($A5629,HeadJournal!$A$1:$L$890,COLUMN(HeadJournal!H$1),0),0)</f>
        <v>1018.1965418502206</v>
      </c>
      <c r="Q5629" s="29">
        <v>2100</v>
      </c>
      <c r="R5629" s="31">
        <v>46119</v>
      </c>
      <c r="S5629" s="31" t="s">
        <v>4469</v>
      </c>
      <c r="T5629" s="95" t="str">
        <f t="shared" si="414"/>
        <v>2026 04</v>
      </c>
      <c r="U5629" s="32">
        <f t="shared" si="417"/>
        <v>1081.8034581497795</v>
      </c>
      <c r="V5629" s="22">
        <f t="shared" si="418"/>
        <v>1.0624701751431755</v>
      </c>
      <c r="X5629" s="33"/>
      <c r="Y5629" s="33"/>
    </row>
    <row r="5630" spans="1:25" x14ac:dyDescent="0.2">
      <c r="A5630" s="93" t="s">
        <v>5514</v>
      </c>
      <c r="B5630" s="94">
        <f>IFERROR(VLOOKUP($A5630,HeadJournal!$A$1:$NTR$890,COLUMN(HeadJournal!B$1),0),"")</f>
        <v>0</v>
      </c>
      <c r="C5630" s="94" t="str">
        <f>IFERROR(VLOOKUP($A5630,HeadJournal!$A$1:$NTR$890,COLUMN(HeadJournal!C$1),0),"")</f>
        <v>iHerb_VP DFD1605</v>
      </c>
      <c r="D5630" s="125" t="str">
        <f>IFERROR(VLOOKUP($A5630,HeadJournal!$A$1:$NTR$890,COLUMN(HeadJournal!D$1),0),"")</f>
        <v>Доставлен</v>
      </c>
      <c r="E5630" s="95">
        <f>IFERROR(VLOOKUP($A5630,HeadJournal!$A$1:$NTR$890,COLUMN(HeadJournal!G$1),0),"")</f>
        <v>46085</v>
      </c>
      <c r="F5630" s="95" t="str">
        <f t="shared" si="413"/>
        <v>2026 03</v>
      </c>
      <c r="G5630" s="97" t="s">
        <v>5</v>
      </c>
      <c r="H5630" s="161" t="s">
        <v>2617</v>
      </c>
      <c r="I5630" s="97" t="s">
        <v>2618</v>
      </c>
      <c r="J5630" s="97" t="s">
        <v>5511</v>
      </c>
      <c r="K5630" s="29">
        <v>13.91</v>
      </c>
      <c r="L5630" s="29">
        <v>-2.78</v>
      </c>
      <c r="M5630" s="30">
        <f>IFERROR(VLOOKUP($A5630,HeadJournal!$A$1:$J$890,COLUMN(HeadJournal!I$1),0)*($K5630+$L5630)/(SUMIF($A:$A,$A5630,$K:$K)+SUMIF($A:$A,$A5630,$L:$L)),0)</f>
        <v>0</v>
      </c>
      <c r="N5630" s="30">
        <f>IFERROR((VLOOKUP($A5630,HeadJournal!$A$1:$K$890,COLUMN(HeadJournal!K$1),0)-VLOOKUP($A5630,HeadJournal!$A$1:$K$890,COLUMN(HeadJournal!J$1),0))*($K5630+$L5630)/(SUMIF($A:$A,$A5630,$K:$K)+SUMIF($A:$A,$A5630,$L:$L)),0)</f>
        <v>1.9907717178124397E-15</v>
      </c>
      <c r="O5630" s="30">
        <f>IFERROR((VLOOKUP($A5630,HeadJournal!$A$1:$L$890,COLUMN(HeadJournal!L$1),0)*($K5630+$L5630)/(SUMIF($A:$A,$A5630,$K:$K)+SUMIF($A:$A,$A5630,$L:$L)))/VLOOKUP($A5630,HeadJournal!$A$1:$L$890,COLUMN(HeadJournal!H$1),0),0)</f>
        <v>0.64919969276356271</v>
      </c>
      <c r="P5630" s="30">
        <f>IFERROR(SUM(K5630:O5630)*VLOOKUP($A5630,HeadJournal!$A$1:$L$890,COLUMN(HeadJournal!H$1),0),0)</f>
        <v>1018.1965418502206</v>
      </c>
      <c r="Q5630" s="29">
        <v>2100</v>
      </c>
      <c r="R5630" s="31">
        <v>46119</v>
      </c>
      <c r="S5630" s="31" t="s">
        <v>4469</v>
      </c>
      <c r="T5630" s="95" t="str">
        <f t="shared" si="414"/>
        <v>2026 04</v>
      </c>
      <c r="U5630" s="32">
        <f t="shared" si="417"/>
        <v>1081.8034581497795</v>
      </c>
      <c r="V5630" s="22">
        <f t="shared" si="418"/>
        <v>1.0624701751431755</v>
      </c>
      <c r="X5630" s="33"/>
      <c r="Y5630" s="33"/>
    </row>
    <row r="5631" spans="1:25" x14ac:dyDescent="0.2">
      <c r="A5631" s="93" t="s">
        <v>5514</v>
      </c>
      <c r="B5631" s="94">
        <f>IFERROR(VLOOKUP($A5631,HeadJournal!$A$1:$NTR$890,COLUMN(HeadJournal!B$1),0),"")</f>
        <v>0</v>
      </c>
      <c r="C5631" s="94" t="str">
        <f>IFERROR(VLOOKUP($A5631,HeadJournal!$A$1:$NTR$890,COLUMN(HeadJournal!C$1),0),"")</f>
        <v>iHerb_VP DFD1605</v>
      </c>
      <c r="D5631" s="125" t="str">
        <f>IFERROR(VLOOKUP($A5631,HeadJournal!$A$1:$NTR$890,COLUMN(HeadJournal!D$1),0),"")</f>
        <v>Доставлен</v>
      </c>
      <c r="E5631" s="95">
        <f>IFERROR(VLOOKUP($A5631,HeadJournal!$A$1:$NTR$890,COLUMN(HeadJournal!G$1),0),"")</f>
        <v>46085</v>
      </c>
      <c r="F5631" s="95" t="str">
        <f t="shared" si="413"/>
        <v>2026 03</v>
      </c>
      <c r="G5631" s="97" t="s">
        <v>5</v>
      </c>
      <c r="H5631" s="161" t="s">
        <v>5512</v>
      </c>
      <c r="I5631" s="97" t="s">
        <v>2045</v>
      </c>
      <c r="J5631" s="97" t="s">
        <v>5513</v>
      </c>
      <c r="K5631" s="29">
        <v>22.85</v>
      </c>
      <c r="L5631" s="29">
        <v>-4.57</v>
      </c>
      <c r="M5631" s="30">
        <f>IFERROR(VLOOKUP($A5631,HeadJournal!$A$1:$J$890,COLUMN(HeadJournal!I$1),0)*($K5631+$L5631)/(SUMIF($A:$A,$A5631,$K:$K)+SUMIF($A:$A,$A5631,$L:$L)),0)</f>
        <v>0</v>
      </c>
      <c r="N5631" s="30">
        <f>IFERROR((VLOOKUP($A5631,HeadJournal!$A$1:$K$890,COLUMN(HeadJournal!K$1),0)-VLOOKUP($A5631,HeadJournal!$A$1:$K$890,COLUMN(HeadJournal!J$1),0))*($K5631+$L5631)/(SUMIF($A:$A,$A5631,$K:$K)+SUMIF($A:$A,$A5631,$L:$L)),0)</f>
        <v>3.2696592094888948E-15</v>
      </c>
      <c r="O5631" s="30">
        <f>IFERROR((VLOOKUP($A5631,HeadJournal!$A$1:$L$890,COLUMN(HeadJournal!L$1),0)*($K5631+$L5631)/(SUMIF($A:$A,$A5631,$K:$K)+SUMIF($A:$A,$A5631,$L:$L)))/VLOOKUP($A5631,HeadJournal!$A$1:$L$890,COLUMN(HeadJournal!H$1),0),0)</f>
        <v>1.0662507083304515</v>
      </c>
      <c r="P5631" s="30">
        <f>IFERROR(SUM(K5631:O5631)*VLOOKUP($A5631,HeadJournal!$A$1:$L$890,COLUMN(HeadJournal!H$1),0),0)</f>
        <v>1672.294050765681</v>
      </c>
      <c r="Q5631" s="29">
        <v>2600</v>
      </c>
      <c r="R5631" s="31">
        <v>46116</v>
      </c>
      <c r="S5631" s="31" t="s">
        <v>3226</v>
      </c>
      <c r="T5631" s="95" t="str">
        <f t="shared" si="414"/>
        <v>2026 04</v>
      </c>
      <c r="U5631" s="32">
        <f t="shared" si="417"/>
        <v>927.70594923431895</v>
      </c>
      <c r="V5631" s="22">
        <f t="shared" si="418"/>
        <v>0.55475049307838953</v>
      </c>
      <c r="X5631" s="33"/>
      <c r="Y5631" s="33"/>
    </row>
    <row r="5632" spans="1:25" x14ac:dyDescent="0.2">
      <c r="A5632" s="93" t="s">
        <v>5520</v>
      </c>
      <c r="B5632" s="94">
        <f>IFERROR(VLOOKUP($A5632,HeadJournal!$A$1:$NTR$890,COLUMN(HeadJournal!B$1),0),"")</f>
        <v>0</v>
      </c>
      <c r="C5632" s="94" t="str">
        <f>IFERROR(VLOOKUP($A5632,HeadJournal!$A$1:$NTR$890,COLUMN(HeadJournal!C$1),0),"")</f>
        <v>iHerb_AV CYG0792</v>
      </c>
      <c r="D5632" s="125" t="str">
        <f>IFERROR(VLOOKUP($A5632,HeadJournal!$A$1:$NTR$890,COLUMN(HeadJournal!D$1),0),"")</f>
        <v>Доставлен</v>
      </c>
      <c r="E5632" s="95">
        <f>IFERROR(VLOOKUP($A5632,HeadJournal!$A$1:$NTR$890,COLUMN(HeadJournal!G$1),0),"")</f>
        <v>46077</v>
      </c>
      <c r="F5632" s="95" t="str">
        <f t="shared" si="413"/>
        <v>2026 02</v>
      </c>
      <c r="G5632" s="97" t="s">
        <v>5</v>
      </c>
      <c r="H5632" s="161" t="s">
        <v>5411</v>
      </c>
      <c r="I5632" s="97" t="s">
        <v>2005</v>
      </c>
      <c r="J5632" s="97" t="s">
        <v>5412</v>
      </c>
      <c r="K5632" s="29">
        <v>15</v>
      </c>
      <c r="L5632" s="29">
        <v>-3</v>
      </c>
      <c r="M5632" s="30">
        <f>IFERROR(VLOOKUP($A5632,HeadJournal!$A$1:$J$890,COLUMN(HeadJournal!I$1),0)*($K5632+$L5632)/(SUMIF($A:$A,$A5632,$K:$K)+SUMIF($A:$A,$A5632,$L:$L)),0)</f>
        <v>-0.68451106352605295</v>
      </c>
      <c r="N5632" s="30">
        <f>IFERROR((VLOOKUP($A5632,HeadJournal!$A$1:$K$890,COLUMN(HeadJournal!K$1),0)-VLOOKUP($A5632,HeadJournal!$A$1:$K$890,COLUMN(HeadJournal!J$1),0))*($K5632+$L5632)/(SUMIF($A:$A,$A5632,$K:$K)+SUMIF($A:$A,$A5632,$L:$L)),0)</f>
        <v>2.0286730499931485E-15</v>
      </c>
      <c r="O5632" s="30">
        <f>IFERROR((VLOOKUP($A5632,HeadJournal!$A$1:$L$890,COLUMN(HeadJournal!L$1),0)*($K5632+$L5632)/(SUMIF($A:$A,$A5632,$K:$K)+SUMIF($A:$A,$A5632,$L:$L)))/VLOOKUP($A5632,HeadJournal!$A$1:$L$890,COLUMN(HeadJournal!H$1),0),0)</f>
        <v>0.3482454639202201</v>
      </c>
      <c r="P5632" s="30">
        <f>IFERROR(SUM(K5632:O5632)*VLOOKUP($A5632,HeadJournal!$A$1:$L$890,COLUMN(HeadJournal!H$1),0),0)</f>
        <v>1013.6309778729479</v>
      </c>
      <c r="Q5632" s="29">
        <v>2000</v>
      </c>
      <c r="R5632" s="31">
        <v>46113</v>
      </c>
      <c r="S5632" s="31" t="s">
        <v>3457</v>
      </c>
      <c r="T5632" s="95" t="str">
        <f t="shared" si="414"/>
        <v>2026 04</v>
      </c>
      <c r="U5632" s="32">
        <f t="shared" si="417"/>
        <v>986.36902212705206</v>
      </c>
      <c r="V5632" s="22">
        <f t="shared" si="418"/>
        <v>0.9731046541186974</v>
      </c>
      <c r="X5632" s="33"/>
      <c r="Y5632" s="33"/>
    </row>
    <row r="5633" spans="1:25" x14ac:dyDescent="0.2">
      <c r="A5633" s="93" t="s">
        <v>5520</v>
      </c>
      <c r="B5633" s="94">
        <f>IFERROR(VLOOKUP($A5633,HeadJournal!$A$1:$NTR$890,COLUMN(HeadJournal!B$1),0),"")</f>
        <v>0</v>
      </c>
      <c r="C5633" s="94" t="str">
        <f>IFERROR(VLOOKUP($A5633,HeadJournal!$A$1:$NTR$890,COLUMN(HeadJournal!C$1),0),"")</f>
        <v>iHerb_AV CYG0792</v>
      </c>
      <c r="D5633" s="125" t="str">
        <f>IFERROR(VLOOKUP($A5633,HeadJournal!$A$1:$NTR$890,COLUMN(HeadJournal!D$1),0),"")</f>
        <v>Доставлен</v>
      </c>
      <c r="E5633" s="95">
        <f>IFERROR(VLOOKUP($A5633,HeadJournal!$A$1:$NTR$890,COLUMN(HeadJournal!G$1),0),"")</f>
        <v>46077</v>
      </c>
      <c r="F5633" s="95" t="str">
        <f t="shared" si="413"/>
        <v>2026 02</v>
      </c>
      <c r="G5633" s="97" t="s">
        <v>5</v>
      </c>
      <c r="H5633" s="161" t="s">
        <v>2076</v>
      </c>
      <c r="I5633" s="97" t="s">
        <v>2005</v>
      </c>
      <c r="J5633" s="97" t="s">
        <v>5515</v>
      </c>
      <c r="K5633" s="29">
        <v>22.51</v>
      </c>
      <c r="L5633" s="29">
        <v>-4.5</v>
      </c>
      <c r="M5633" s="30">
        <f>IFERROR(VLOOKUP($A5633,HeadJournal!$A$1:$J$890,COLUMN(HeadJournal!I$1),0)*($K5633+$L5633)/(SUMIF($A:$A,$A5633,$K:$K)+SUMIF($A:$A,$A5633,$L:$L)),0)</f>
        <v>-1.0273370211753512</v>
      </c>
      <c r="N5633" s="30">
        <f>IFERROR((VLOOKUP($A5633,HeadJournal!$A$1:$K$890,COLUMN(HeadJournal!K$1),0)-VLOOKUP($A5633,HeadJournal!$A$1:$K$890,COLUMN(HeadJournal!J$1),0))*($K5633+$L5633)/(SUMIF($A:$A,$A5633,$K:$K)+SUMIF($A:$A,$A5633,$L:$L)),0)</f>
        <v>3.0447001358647173E-15</v>
      </c>
      <c r="O5633" s="30">
        <f>IFERROR((VLOOKUP($A5633,HeadJournal!$A$1:$L$890,COLUMN(HeadJournal!L$1),0)*($K5633+$L5633)/(SUMIF($A:$A,$A5633,$K:$K)+SUMIF($A:$A,$A5633,$L:$L)))/VLOOKUP($A5633,HeadJournal!$A$1:$L$890,COLUMN(HeadJournal!H$1),0),0)</f>
        <v>0.52265840043359701</v>
      </c>
      <c r="P5633" s="30">
        <f>IFERROR(SUM(K5633:O5633)*VLOOKUP($A5633,HeadJournal!$A$1:$L$890,COLUMN(HeadJournal!H$1),0),0)</f>
        <v>1521.2911592909827</v>
      </c>
      <c r="Q5633" s="29">
        <v>2600</v>
      </c>
      <c r="R5633" s="31">
        <v>46106</v>
      </c>
      <c r="S5633" s="31" t="s">
        <v>3441</v>
      </c>
      <c r="T5633" s="95" t="str">
        <f t="shared" si="414"/>
        <v>2026 03</v>
      </c>
      <c r="U5633" s="32">
        <f t="shared" si="417"/>
        <v>1078.7088407090173</v>
      </c>
      <c r="V5633" s="22">
        <f t="shared" si="418"/>
        <v>0.70907454770969902</v>
      </c>
      <c r="X5633" s="33"/>
      <c r="Y5633" s="33"/>
    </row>
    <row r="5634" spans="1:25" x14ac:dyDescent="0.2">
      <c r="A5634" s="93" t="s">
        <v>5520</v>
      </c>
      <c r="B5634" s="94">
        <f>IFERROR(VLOOKUP($A5634,HeadJournal!$A$1:$NTR$890,COLUMN(HeadJournal!B$1),0),"")</f>
        <v>0</v>
      </c>
      <c r="C5634" s="94" t="str">
        <f>IFERROR(VLOOKUP($A5634,HeadJournal!$A$1:$NTR$890,COLUMN(HeadJournal!C$1),0),"")</f>
        <v>iHerb_AV CYG0792</v>
      </c>
      <c r="D5634" s="125" t="str">
        <f>IFERROR(VLOOKUP($A5634,HeadJournal!$A$1:$NTR$890,COLUMN(HeadJournal!D$1),0),"")</f>
        <v>Доставлен</v>
      </c>
      <c r="E5634" s="95">
        <f>IFERROR(VLOOKUP($A5634,HeadJournal!$A$1:$NTR$890,COLUMN(HeadJournal!G$1),0),"")</f>
        <v>46077</v>
      </c>
      <c r="F5634" s="95" t="str">
        <f t="shared" si="413"/>
        <v>2026 02</v>
      </c>
      <c r="G5634" s="97" t="s">
        <v>5</v>
      </c>
      <c r="H5634" s="161" t="s">
        <v>2076</v>
      </c>
      <c r="I5634" s="97" t="s">
        <v>2005</v>
      </c>
      <c r="J5634" s="97" t="s">
        <v>5515</v>
      </c>
      <c r="K5634" s="29">
        <v>22.51</v>
      </c>
      <c r="L5634" s="29">
        <v>-4.5</v>
      </c>
      <c r="M5634" s="30">
        <f>IFERROR(VLOOKUP($A5634,HeadJournal!$A$1:$J$890,COLUMN(HeadJournal!I$1),0)*($K5634+$L5634)/(SUMIF($A:$A,$A5634,$K:$K)+SUMIF($A:$A,$A5634,$L:$L)),0)</f>
        <v>-1.0273370211753512</v>
      </c>
      <c r="N5634" s="30">
        <f>IFERROR((VLOOKUP($A5634,HeadJournal!$A$1:$K$890,COLUMN(HeadJournal!K$1),0)-VLOOKUP($A5634,HeadJournal!$A$1:$K$890,COLUMN(HeadJournal!J$1),0))*($K5634+$L5634)/(SUMIF($A:$A,$A5634,$K:$K)+SUMIF($A:$A,$A5634,$L:$L)),0)</f>
        <v>3.0447001358647173E-15</v>
      </c>
      <c r="O5634" s="30">
        <f>IFERROR((VLOOKUP($A5634,HeadJournal!$A$1:$L$890,COLUMN(HeadJournal!L$1),0)*($K5634+$L5634)/(SUMIF($A:$A,$A5634,$K:$K)+SUMIF($A:$A,$A5634,$L:$L)))/VLOOKUP($A5634,HeadJournal!$A$1:$L$890,COLUMN(HeadJournal!H$1),0),0)</f>
        <v>0.52265840043359701</v>
      </c>
      <c r="P5634" s="30">
        <f>IFERROR(SUM(K5634:O5634)*VLOOKUP($A5634,HeadJournal!$A$1:$L$890,COLUMN(HeadJournal!H$1),0),0)</f>
        <v>1521.2911592909827</v>
      </c>
      <c r="Q5634" s="29">
        <v>2600</v>
      </c>
      <c r="R5634" s="31">
        <v>46106</v>
      </c>
      <c r="S5634" s="31" t="s">
        <v>3441</v>
      </c>
      <c r="T5634" s="95" t="str">
        <f t="shared" si="414"/>
        <v>2026 03</v>
      </c>
      <c r="U5634" s="32">
        <f t="shared" si="417"/>
        <v>1078.7088407090173</v>
      </c>
      <c r="V5634" s="22">
        <f t="shared" si="418"/>
        <v>0.70907454770969902</v>
      </c>
      <c r="X5634" s="33"/>
      <c r="Y5634" s="33"/>
    </row>
    <row r="5635" spans="1:25" x14ac:dyDescent="0.2">
      <c r="A5635" s="93" t="s">
        <v>5520</v>
      </c>
      <c r="B5635" s="94">
        <f>IFERROR(VLOOKUP($A5635,HeadJournal!$A$1:$NTR$890,COLUMN(HeadJournal!B$1),0),"")</f>
        <v>0</v>
      </c>
      <c r="C5635" s="94" t="str">
        <f>IFERROR(VLOOKUP($A5635,HeadJournal!$A$1:$NTR$890,COLUMN(HeadJournal!C$1),0),"")</f>
        <v>iHerb_AV CYG0792</v>
      </c>
      <c r="D5635" s="125" t="str">
        <f>IFERROR(VLOOKUP($A5635,HeadJournal!$A$1:$NTR$890,COLUMN(HeadJournal!D$1),0),"")</f>
        <v>Доставлен</v>
      </c>
      <c r="E5635" s="95">
        <f>IFERROR(VLOOKUP($A5635,HeadJournal!$A$1:$NTR$890,COLUMN(HeadJournal!G$1),0),"")</f>
        <v>46077</v>
      </c>
      <c r="F5635" s="95" t="str">
        <f t="shared" si="413"/>
        <v>2026 02</v>
      </c>
      <c r="G5635" s="97" t="s">
        <v>5</v>
      </c>
      <c r="H5635" s="161" t="s">
        <v>3573</v>
      </c>
      <c r="I5635" s="97" t="s">
        <v>2052</v>
      </c>
      <c r="J5635" s="97" t="s">
        <v>3574</v>
      </c>
      <c r="K5635" s="29">
        <v>16.79</v>
      </c>
      <c r="L5635" s="29">
        <v>-3.36</v>
      </c>
      <c r="M5635" s="30">
        <f>IFERROR(VLOOKUP($A5635,HeadJournal!$A$1:$J$890,COLUMN(HeadJournal!I$1),0)*($K5635+$L5635)/(SUMIF($A:$A,$A5635,$K:$K)+SUMIF($A:$A,$A5635,$L:$L)),0)</f>
        <v>-0.76608196526290762</v>
      </c>
      <c r="N5635" s="30">
        <f>IFERROR((VLOOKUP($A5635,HeadJournal!$A$1:$K$890,COLUMN(HeadJournal!K$1),0)-VLOOKUP($A5635,HeadJournal!$A$1:$K$890,COLUMN(HeadJournal!J$1),0))*($K5635+$L5635)/(SUMIF($A:$A,$A5635,$K:$K)+SUMIF($A:$A,$A5635,$L:$L)),0)</f>
        <v>2.2704232551173321E-15</v>
      </c>
      <c r="O5635" s="30">
        <f>IFERROR((VLOOKUP($A5635,HeadJournal!$A$1:$L$890,COLUMN(HeadJournal!L$1),0)*($K5635+$L5635)/(SUMIF($A:$A,$A5635,$K:$K)+SUMIF($A:$A,$A5635,$L:$L)))/VLOOKUP($A5635,HeadJournal!$A$1:$L$890,COLUMN(HeadJournal!H$1),0),0)</f>
        <v>0.38974471503737962</v>
      </c>
      <c r="P5635" s="30">
        <f>IFERROR(SUM(K5635:O5635)*VLOOKUP($A5635,HeadJournal!$A$1:$L$890,COLUMN(HeadJournal!H$1),0),0)</f>
        <v>1134.4220027361407</v>
      </c>
      <c r="Q5635" s="29"/>
      <c r="R5635" s="31"/>
      <c r="S5635" s="31"/>
      <c r="T5635" s="95" t="str">
        <f t="shared" si="414"/>
        <v/>
      </c>
      <c r="U5635" s="32">
        <f t="shared" si="417"/>
        <v>-1134.4220027361407</v>
      </c>
      <c r="V5635" s="22" t="str">
        <f t="shared" si="418"/>
        <v/>
      </c>
      <c r="X5635" s="33"/>
      <c r="Y5635" s="33"/>
    </row>
    <row r="5636" spans="1:25" x14ac:dyDescent="0.2">
      <c r="A5636" s="93" t="s">
        <v>5520</v>
      </c>
      <c r="B5636" s="94">
        <f>IFERROR(VLOOKUP($A5636,HeadJournal!$A$1:$NTR$890,COLUMN(HeadJournal!B$1),0),"")</f>
        <v>0</v>
      </c>
      <c r="C5636" s="94" t="str">
        <f>IFERROR(VLOOKUP($A5636,HeadJournal!$A$1:$NTR$890,COLUMN(HeadJournal!C$1),0),"")</f>
        <v>iHerb_AV CYG0792</v>
      </c>
      <c r="D5636" s="125" t="str">
        <f>IFERROR(VLOOKUP($A5636,HeadJournal!$A$1:$NTR$890,COLUMN(HeadJournal!D$1),0),"")</f>
        <v>Доставлен</v>
      </c>
      <c r="E5636" s="95">
        <f>IFERROR(VLOOKUP($A5636,HeadJournal!$A$1:$NTR$890,COLUMN(HeadJournal!G$1),0),"")</f>
        <v>46077</v>
      </c>
      <c r="F5636" s="95" t="str">
        <f t="shared" ref="F5636:F6343" si="419">IFERROR(TEXT(E5636, "ГГГГ ММ"),"")</f>
        <v>2026 02</v>
      </c>
      <c r="G5636" s="97" t="s">
        <v>5</v>
      </c>
      <c r="H5636" s="161" t="s">
        <v>2083</v>
      </c>
      <c r="I5636" s="97" t="s">
        <v>2005</v>
      </c>
      <c r="J5636" s="97" t="s">
        <v>5516</v>
      </c>
      <c r="K5636" s="29">
        <v>65.14</v>
      </c>
      <c r="L5636" s="29">
        <v>-13.03</v>
      </c>
      <c r="M5636" s="30">
        <f>IFERROR(VLOOKUP($A5636,HeadJournal!$A$1:$J$890,COLUMN(HeadJournal!I$1),0)*($K5636+$L5636)/(SUMIF($A:$A,$A5636,$K:$K)+SUMIF($A:$A,$A5636,$L:$L)),0)</f>
        <v>-2.9724892933618845</v>
      </c>
      <c r="N5636" s="30">
        <f>IFERROR((VLOOKUP($A5636,HeadJournal!$A$1:$K$890,COLUMN(HeadJournal!K$1),0)-VLOOKUP($A5636,HeadJournal!$A$1:$K$890,COLUMN(HeadJournal!J$1),0))*($K5636+$L5636)/(SUMIF($A:$A,$A5636,$K:$K)+SUMIF($A:$A,$A5636,$L:$L)),0)</f>
        <v>8.8095127195952482E-15</v>
      </c>
      <c r="O5636" s="30">
        <f>IFERROR((VLOOKUP($A5636,HeadJournal!$A$1:$L$890,COLUMN(HeadJournal!L$1),0)*($K5636+$L5636)/(SUMIF($A:$A,$A5636,$K:$K)+SUMIF($A:$A,$A5636,$L:$L)))/VLOOKUP($A5636,HeadJournal!$A$1:$L$890,COLUMN(HeadJournal!H$1),0),0)</f>
        <v>1.5122559270735556</v>
      </c>
      <c r="P5636" s="30">
        <f>IFERROR(SUM(K5636:O5636)*VLOOKUP($A5636,HeadJournal!$A$1:$L$890,COLUMN(HeadJournal!H$1),0),0)</f>
        <v>4401.6925214132762</v>
      </c>
      <c r="Q5636" s="29">
        <v>6500</v>
      </c>
      <c r="R5636" s="31">
        <v>46106</v>
      </c>
      <c r="S5636" s="31" t="s">
        <v>4992</v>
      </c>
      <c r="T5636" s="95" t="str">
        <f t="shared" ref="T5636:T6343" si="420">IF(R5636="","",TEXT(R5636,"ГГГГ ММ"))</f>
        <v>2026 03</v>
      </c>
      <c r="U5636" s="32">
        <f t="shared" ref="U5636:U5645" si="421">Q5636-P5636</f>
        <v>2098.3074785867238</v>
      </c>
      <c r="V5636" s="22">
        <f t="shared" ref="V5636:V5645" si="422">IF(Q5636&lt;&gt;0,IFERROR(U5636/P5636,""),"")</f>
        <v>0.4767046922016735</v>
      </c>
      <c r="X5636" s="33"/>
      <c r="Y5636" s="33"/>
    </row>
    <row r="5637" spans="1:25" x14ac:dyDescent="0.2">
      <c r="A5637" s="93" t="s">
        <v>5520</v>
      </c>
      <c r="B5637" s="94">
        <f>IFERROR(VLOOKUP($A5637,HeadJournal!$A$1:$NTR$890,COLUMN(HeadJournal!B$1),0),"")</f>
        <v>0</v>
      </c>
      <c r="C5637" s="94" t="str">
        <f>IFERROR(VLOOKUP($A5637,HeadJournal!$A$1:$NTR$890,COLUMN(HeadJournal!C$1),0),"")</f>
        <v>iHerb_AV CYG0792</v>
      </c>
      <c r="D5637" s="125" t="str">
        <f>IFERROR(VLOOKUP($A5637,HeadJournal!$A$1:$NTR$890,COLUMN(HeadJournal!D$1),0),"")</f>
        <v>Доставлен</v>
      </c>
      <c r="E5637" s="95">
        <f>IFERROR(VLOOKUP($A5637,HeadJournal!$A$1:$NTR$890,COLUMN(HeadJournal!G$1),0),"")</f>
        <v>46077</v>
      </c>
      <c r="F5637" s="95" t="str">
        <f t="shared" si="419"/>
        <v>2026 02</v>
      </c>
      <c r="G5637" s="97" t="s">
        <v>7</v>
      </c>
      <c r="H5637" s="161" t="s">
        <v>5517</v>
      </c>
      <c r="I5637" s="97" t="s">
        <v>5518</v>
      </c>
      <c r="J5637" s="97" t="s">
        <v>5519</v>
      </c>
      <c r="K5637" s="29">
        <v>23.18</v>
      </c>
      <c r="L5637" s="29">
        <v>-4.6399999999999997</v>
      </c>
      <c r="M5637" s="30">
        <f>IFERROR(VLOOKUP($A5637,HeadJournal!$A$1:$J$890,COLUMN(HeadJournal!I$1),0)*($K5637+$L5637)/(SUMIF($A:$A,$A5637,$K:$K)+SUMIF($A:$A,$A5637,$L:$L)),0)</f>
        <v>-1.0575695931477518</v>
      </c>
      <c r="N5637" s="30">
        <f>IFERROR((VLOOKUP($A5637,HeadJournal!$A$1:$K$890,COLUMN(HeadJournal!K$1),0)-VLOOKUP($A5637,HeadJournal!$A$1:$K$890,COLUMN(HeadJournal!J$1),0))*($K5637+$L5637)/(SUMIF($A:$A,$A5637,$K:$K)+SUMIF($A:$A,$A5637,$L:$L)),0)</f>
        <v>3.1342998622394145E-15</v>
      </c>
      <c r="O5637" s="30">
        <f>IFERROR((VLOOKUP($A5637,HeadJournal!$A$1:$L$890,COLUMN(HeadJournal!L$1),0)*($K5637+$L5637)/(SUMIF($A:$A,$A5637,$K:$K)+SUMIF($A:$A,$A5637,$L:$L)))/VLOOKUP($A5637,HeadJournal!$A$1:$L$890,COLUMN(HeadJournal!H$1),0),0)</f>
        <v>0.53803924175674012</v>
      </c>
      <c r="P5637" s="30">
        <f>IFERROR(SUM(K5637:O5637)*VLOOKUP($A5637,HeadJournal!$A$1:$L$890,COLUMN(HeadJournal!H$1),0),0)</f>
        <v>1566.0598608137045</v>
      </c>
      <c r="Q5637" s="29"/>
      <c r="R5637" s="31"/>
      <c r="S5637" s="31"/>
      <c r="T5637" s="95" t="str">
        <f t="shared" si="420"/>
        <v/>
      </c>
      <c r="U5637" s="32">
        <f t="shared" si="421"/>
        <v>-1566.0598608137045</v>
      </c>
      <c r="V5637" s="22" t="str">
        <f t="shared" si="422"/>
        <v/>
      </c>
      <c r="X5637" s="33"/>
      <c r="Y5637" s="33"/>
    </row>
    <row r="5638" spans="1:25" x14ac:dyDescent="0.2">
      <c r="A5638" s="93" t="s">
        <v>5520</v>
      </c>
      <c r="B5638" s="94">
        <f>IFERROR(VLOOKUP($A5638,HeadJournal!$A$1:$NTR$890,COLUMN(HeadJournal!B$1),0),"")</f>
        <v>0</v>
      </c>
      <c r="C5638" s="94" t="str">
        <f>IFERROR(VLOOKUP($A5638,HeadJournal!$A$1:$NTR$890,COLUMN(HeadJournal!C$1),0),"")</f>
        <v>iHerb_AV CYG0792</v>
      </c>
      <c r="D5638" s="125" t="str">
        <f>IFERROR(VLOOKUP($A5638,HeadJournal!$A$1:$NTR$890,COLUMN(HeadJournal!D$1),0),"")</f>
        <v>Доставлен</v>
      </c>
      <c r="E5638" s="95">
        <f>IFERROR(VLOOKUP($A5638,HeadJournal!$A$1:$NTR$890,COLUMN(HeadJournal!G$1),0),"")</f>
        <v>46077</v>
      </c>
      <c r="F5638" s="95" t="str">
        <f t="shared" si="419"/>
        <v>2026 02</v>
      </c>
      <c r="G5638" s="97" t="s">
        <v>5</v>
      </c>
      <c r="H5638" s="161" t="s">
        <v>3656</v>
      </c>
      <c r="I5638" s="97" t="s">
        <v>2005</v>
      </c>
      <c r="J5638" s="97" t="s">
        <v>4428</v>
      </c>
      <c r="K5638" s="29">
        <v>22.51</v>
      </c>
      <c r="L5638" s="29">
        <v>-4.5</v>
      </c>
      <c r="M5638" s="30">
        <f>IFERROR(VLOOKUP($A5638,HeadJournal!$A$1:$J$890,COLUMN(HeadJournal!I$1),0)*($K5638+$L5638)/(SUMIF($A:$A,$A5638,$K:$K)+SUMIF($A:$A,$A5638,$L:$L)),0)</f>
        <v>-1.0273370211753512</v>
      </c>
      <c r="N5638" s="30">
        <f>IFERROR((VLOOKUP($A5638,HeadJournal!$A$1:$K$890,COLUMN(HeadJournal!K$1),0)-VLOOKUP($A5638,HeadJournal!$A$1:$K$890,COLUMN(HeadJournal!J$1),0))*($K5638+$L5638)/(SUMIF($A:$A,$A5638,$K:$K)+SUMIF($A:$A,$A5638,$L:$L)),0)</f>
        <v>3.0447001358647173E-15</v>
      </c>
      <c r="O5638" s="30">
        <f>IFERROR((VLOOKUP($A5638,HeadJournal!$A$1:$L$890,COLUMN(HeadJournal!L$1),0)*($K5638+$L5638)/(SUMIF($A:$A,$A5638,$K:$K)+SUMIF($A:$A,$A5638,$L:$L)))/VLOOKUP($A5638,HeadJournal!$A$1:$L$890,COLUMN(HeadJournal!H$1),0),0)</f>
        <v>0.52265840043359701</v>
      </c>
      <c r="P5638" s="30">
        <f>IFERROR(SUM(K5638:O5638)*VLOOKUP($A5638,HeadJournal!$A$1:$L$890,COLUMN(HeadJournal!H$1),0),0)</f>
        <v>1521.2911592909827</v>
      </c>
      <c r="Q5638" s="29">
        <v>2500</v>
      </c>
      <c r="R5638" s="31">
        <v>46106</v>
      </c>
      <c r="S5638" s="31" t="s">
        <v>3497</v>
      </c>
      <c r="T5638" s="95" t="str">
        <f t="shared" si="420"/>
        <v>2026 03</v>
      </c>
      <c r="U5638" s="32">
        <f t="shared" si="421"/>
        <v>978.7088407090173</v>
      </c>
      <c r="V5638" s="22">
        <f t="shared" si="422"/>
        <v>0.64334091125932602</v>
      </c>
      <c r="X5638" s="33"/>
      <c r="Y5638" s="33"/>
    </row>
    <row r="5639" spans="1:25" x14ac:dyDescent="0.2">
      <c r="A5639" s="93" t="s">
        <v>5520</v>
      </c>
      <c r="B5639" s="94">
        <f>IFERROR(VLOOKUP($A5639,HeadJournal!$A$1:$NTR$890,COLUMN(HeadJournal!B$1),0),"")</f>
        <v>0</v>
      </c>
      <c r="C5639" s="94" t="str">
        <f>IFERROR(VLOOKUP($A5639,HeadJournal!$A$1:$NTR$890,COLUMN(HeadJournal!C$1),0),"")</f>
        <v>iHerb_AV CYG0792</v>
      </c>
      <c r="D5639" s="125" t="str">
        <f>IFERROR(VLOOKUP($A5639,HeadJournal!$A$1:$NTR$890,COLUMN(HeadJournal!D$1),0),"")</f>
        <v>Доставлен</v>
      </c>
      <c r="E5639" s="95">
        <f>IFERROR(VLOOKUP($A5639,HeadJournal!$A$1:$NTR$890,COLUMN(HeadJournal!G$1),0),"")</f>
        <v>46077</v>
      </c>
      <c r="F5639" s="95" t="str">
        <f t="shared" si="419"/>
        <v>2026 02</v>
      </c>
      <c r="G5639" s="97" t="s">
        <v>5</v>
      </c>
      <c r="H5639" s="161" t="s">
        <v>3656</v>
      </c>
      <c r="I5639" s="97" t="s">
        <v>2005</v>
      </c>
      <c r="J5639" s="97" t="s">
        <v>4428</v>
      </c>
      <c r="K5639" s="29">
        <v>22.51</v>
      </c>
      <c r="L5639" s="29">
        <v>-4.5</v>
      </c>
      <c r="M5639" s="30">
        <f>IFERROR(VLOOKUP($A5639,HeadJournal!$A$1:$J$890,COLUMN(HeadJournal!I$1),0)*($K5639+$L5639)/(SUMIF($A:$A,$A5639,$K:$K)+SUMIF($A:$A,$A5639,$L:$L)),0)</f>
        <v>-1.0273370211753512</v>
      </c>
      <c r="N5639" s="30">
        <f>IFERROR((VLOOKUP($A5639,HeadJournal!$A$1:$K$890,COLUMN(HeadJournal!K$1),0)-VLOOKUP($A5639,HeadJournal!$A$1:$K$890,COLUMN(HeadJournal!J$1),0))*($K5639+$L5639)/(SUMIF($A:$A,$A5639,$K:$K)+SUMIF($A:$A,$A5639,$L:$L)),0)</f>
        <v>3.0447001358647173E-15</v>
      </c>
      <c r="O5639" s="30">
        <f>IFERROR((VLOOKUP($A5639,HeadJournal!$A$1:$L$890,COLUMN(HeadJournal!L$1),0)*($K5639+$L5639)/(SUMIF($A:$A,$A5639,$K:$K)+SUMIF($A:$A,$A5639,$L:$L)))/VLOOKUP($A5639,HeadJournal!$A$1:$L$890,COLUMN(HeadJournal!H$1),0),0)</f>
        <v>0.52265840043359701</v>
      </c>
      <c r="P5639" s="30">
        <f>IFERROR(SUM(K5639:O5639)*VLOOKUP($A5639,HeadJournal!$A$1:$L$890,COLUMN(HeadJournal!H$1),0),0)</f>
        <v>1521.2911592909827</v>
      </c>
      <c r="Q5639" s="29"/>
      <c r="R5639" s="31"/>
      <c r="S5639" s="31"/>
      <c r="T5639" s="95" t="str">
        <f t="shared" si="420"/>
        <v/>
      </c>
      <c r="U5639" s="32">
        <f t="shared" si="421"/>
        <v>-1521.2911592909827</v>
      </c>
      <c r="V5639" s="22" t="str">
        <f t="shared" si="422"/>
        <v/>
      </c>
      <c r="X5639" s="33"/>
      <c r="Y5639" s="33"/>
    </row>
    <row r="5640" spans="1:25" x14ac:dyDescent="0.2">
      <c r="A5640" s="93" t="s">
        <v>5531</v>
      </c>
      <c r="B5640" s="94">
        <f>IFERROR(VLOOKUP($A5640,HeadJournal!$A$1:$NTR$890,COLUMN(HeadJournal!B$1),0),"")</f>
        <v>0</v>
      </c>
      <c r="C5640" s="94" t="str">
        <f>IFERROR(VLOOKUP($A5640,HeadJournal!$A$1:$NTR$890,COLUMN(HeadJournal!C$1),0),"")</f>
        <v>iHerb_AV CYG0792</v>
      </c>
      <c r="D5640" s="125" t="str">
        <f>IFERROR(VLOOKUP($A5640,HeadJournal!$A$1:$NTR$890,COLUMN(HeadJournal!D$1),0),"")</f>
        <v>Доставлен</v>
      </c>
      <c r="E5640" s="95">
        <f>IFERROR(VLOOKUP($A5640,HeadJournal!$A$1:$NTR$890,COLUMN(HeadJournal!G$1),0),"")</f>
        <v>46083</v>
      </c>
      <c r="F5640" s="95" t="str">
        <f t="shared" si="419"/>
        <v>2026 03</v>
      </c>
      <c r="G5640" s="97" t="s">
        <v>5</v>
      </c>
      <c r="H5640" s="161" t="s">
        <v>5521</v>
      </c>
      <c r="I5640" s="97" t="s">
        <v>2750</v>
      </c>
      <c r="J5640" s="97" t="s">
        <v>5522</v>
      </c>
      <c r="K5640" s="29">
        <v>12.83</v>
      </c>
      <c r="L5640" s="29">
        <v>-2.57</v>
      </c>
      <c r="M5640" s="30">
        <f>IFERROR(VLOOKUP($A5640,HeadJournal!$A$1:$J$890,COLUMN(HeadJournal!I$1),0)*($K5640+$L5640)/(SUMIF($A:$A,$A5640,$K:$K)+SUMIF($A:$A,$A5640,$L:$L)),0)</f>
        <v>-0.52094117647058813</v>
      </c>
      <c r="N5640" s="30">
        <f>IFERROR((VLOOKUP($A5640,HeadJournal!$A$1:$K$890,COLUMN(HeadJournal!K$1),0)-VLOOKUP($A5640,HeadJournal!$A$1:$K$890,COLUMN(HeadJournal!J$1),0))*($K5640+$L5640)/(SUMIF($A:$A,$A5640,$K:$K)+SUMIF($A:$A,$A5640,$L:$L)),0)</f>
        <v>-1.5046787345508E-15</v>
      </c>
      <c r="O5640" s="30">
        <f>IFERROR((VLOOKUP($A5640,HeadJournal!$A$1:$L$890,COLUMN(HeadJournal!L$1),0)*($K5640+$L5640)/(SUMIF($A:$A,$A5640,$K:$K)+SUMIF($A:$A,$A5640,$L:$L)))/VLOOKUP($A5640,HeadJournal!$A$1:$L$890,COLUMN(HeadJournal!H$1),0),0)</f>
        <v>0.48836174340150657</v>
      </c>
      <c r="P5640" s="30">
        <f>IFERROR(SUM(K5640:O5640)*VLOOKUP($A5640,HeadJournal!$A$1:$L$890,COLUMN(HeadJournal!H$1),0),0)</f>
        <v>888.26170588235277</v>
      </c>
      <c r="Q5640" s="29"/>
      <c r="R5640" s="31"/>
      <c r="S5640" s="31"/>
      <c r="T5640" s="95" t="str">
        <f t="shared" si="420"/>
        <v/>
      </c>
      <c r="U5640" s="32">
        <f t="shared" si="421"/>
        <v>-888.26170588235277</v>
      </c>
      <c r="V5640" s="22" t="str">
        <f t="shared" si="422"/>
        <v/>
      </c>
      <c r="X5640" s="33"/>
      <c r="Y5640" s="33"/>
    </row>
    <row r="5641" spans="1:25" x14ac:dyDescent="0.2">
      <c r="A5641" s="93" t="s">
        <v>5531</v>
      </c>
      <c r="B5641" s="94">
        <f>IFERROR(VLOOKUP($A5641,HeadJournal!$A$1:$NTR$890,COLUMN(HeadJournal!B$1),0),"")</f>
        <v>0</v>
      </c>
      <c r="C5641" s="94" t="str">
        <f>IFERROR(VLOOKUP($A5641,HeadJournal!$A$1:$NTR$890,COLUMN(HeadJournal!C$1),0),"")</f>
        <v>iHerb_AV CYG0792</v>
      </c>
      <c r="D5641" s="125" t="str">
        <f>IFERROR(VLOOKUP($A5641,HeadJournal!$A$1:$NTR$890,COLUMN(HeadJournal!D$1),0),"")</f>
        <v>Доставлен</v>
      </c>
      <c r="E5641" s="95">
        <f>IFERROR(VLOOKUP($A5641,HeadJournal!$A$1:$NTR$890,COLUMN(HeadJournal!G$1),0),"")</f>
        <v>46083</v>
      </c>
      <c r="F5641" s="95" t="str">
        <f t="shared" si="419"/>
        <v>2026 03</v>
      </c>
      <c r="G5641" s="97" t="s">
        <v>5</v>
      </c>
      <c r="H5641" s="161" t="s">
        <v>5523</v>
      </c>
      <c r="I5641" s="97" t="s">
        <v>2009</v>
      </c>
      <c r="J5641" s="97" t="s">
        <v>5524</v>
      </c>
      <c r="K5641" s="29">
        <v>24.94</v>
      </c>
      <c r="L5641" s="29">
        <v>-4.99</v>
      </c>
      <c r="M5641" s="30">
        <f>IFERROR(VLOOKUP($A5641,HeadJournal!$A$1:$J$890,COLUMN(HeadJournal!I$1),0)*($K5641+$L5641)/(SUMIF($A:$A,$A5641,$K:$K)+SUMIF($A:$A,$A5641,$L:$L)),0)</f>
        <v>-1.0129411764705882</v>
      </c>
      <c r="N5641" s="30">
        <f>IFERROR((VLOOKUP($A5641,HeadJournal!$A$1:$K$890,COLUMN(HeadJournal!K$1),0)-VLOOKUP($A5641,HeadJournal!$A$1:$K$890,COLUMN(HeadJournal!J$1),0))*($K5641+$L5641)/(SUMIF($A:$A,$A5641,$K:$K)+SUMIF($A:$A,$A5641,$L:$L)),0)</f>
        <v>-2.9257642060710006E-15</v>
      </c>
      <c r="O5641" s="30">
        <f>IFERROR((VLOOKUP($A5641,HeadJournal!$A$1:$L$890,COLUMN(HeadJournal!L$1),0)*($K5641+$L5641)/(SUMIF($A:$A,$A5641,$K:$K)+SUMIF($A:$A,$A5641,$L:$L)))/VLOOKUP($A5641,HeadJournal!$A$1:$L$890,COLUMN(HeadJournal!H$1),0),0)</f>
        <v>0.94959227883626307</v>
      </c>
      <c r="P5641" s="30">
        <f>IFERROR(SUM(K5641:O5641)*VLOOKUP($A5641,HeadJournal!$A$1:$L$890,COLUMN(HeadJournal!H$1),0),0)</f>
        <v>1727.1755392156863</v>
      </c>
      <c r="Q5641" s="29"/>
      <c r="R5641" s="31"/>
      <c r="S5641" s="31"/>
      <c r="T5641" s="95" t="str">
        <f t="shared" si="420"/>
        <v/>
      </c>
      <c r="U5641" s="32">
        <f t="shared" si="421"/>
        <v>-1727.1755392156863</v>
      </c>
      <c r="V5641" s="22" t="str">
        <f t="shared" si="422"/>
        <v/>
      </c>
      <c r="X5641" s="33"/>
      <c r="Y5641" s="33"/>
    </row>
    <row r="5642" spans="1:25" x14ac:dyDescent="0.2">
      <c r="A5642" s="93" t="s">
        <v>5531</v>
      </c>
      <c r="B5642" s="94">
        <f>IFERROR(VLOOKUP($A5642,HeadJournal!$A$1:$NTR$890,COLUMN(HeadJournal!B$1),0),"")</f>
        <v>0</v>
      </c>
      <c r="C5642" s="94" t="str">
        <f>IFERROR(VLOOKUP($A5642,HeadJournal!$A$1:$NTR$890,COLUMN(HeadJournal!C$1),0),"")</f>
        <v>iHerb_AV CYG0792</v>
      </c>
      <c r="D5642" s="125" t="str">
        <f>IFERROR(VLOOKUP($A5642,HeadJournal!$A$1:$NTR$890,COLUMN(HeadJournal!D$1),0),"")</f>
        <v>Доставлен</v>
      </c>
      <c r="E5642" s="95">
        <f>IFERROR(VLOOKUP($A5642,HeadJournal!$A$1:$NTR$890,COLUMN(HeadJournal!G$1),0),"")</f>
        <v>46083</v>
      </c>
      <c r="F5642" s="95" t="str">
        <f t="shared" si="419"/>
        <v>2026 03</v>
      </c>
      <c r="G5642" s="97" t="s">
        <v>5</v>
      </c>
      <c r="H5642" s="161" t="s">
        <v>2204</v>
      </c>
      <c r="I5642" s="97" t="s">
        <v>2005</v>
      </c>
      <c r="J5642" s="97" t="s">
        <v>2205</v>
      </c>
      <c r="K5642" s="29">
        <v>26.16</v>
      </c>
      <c r="L5642" s="29">
        <v>-5.23</v>
      </c>
      <c r="M5642" s="30">
        <f>IFERROR(VLOOKUP($A5642,HeadJournal!$A$1:$J$890,COLUMN(HeadJournal!I$1),0)*($K5642+$L5642)/(SUMIF($A:$A,$A5642,$K:$K)+SUMIF($A:$A,$A5642,$L:$L)),0)</f>
        <v>-1.0626996904024766</v>
      </c>
      <c r="N5642" s="30">
        <f>IFERROR((VLOOKUP($A5642,HeadJournal!$A$1:$K$890,COLUMN(HeadJournal!K$1),0)-VLOOKUP($A5642,HeadJournal!$A$1:$K$890,COLUMN(HeadJournal!J$1),0))*($K5642+$L5642)/(SUMIF($A:$A,$A5642,$K:$K)+SUMIF($A:$A,$A5642,$L:$L)),0)</f>
        <v>-3.0694859565446635E-15</v>
      </c>
      <c r="O5642" s="30">
        <f>IFERROR((VLOOKUP($A5642,HeadJournal!$A$1:$L$890,COLUMN(HeadJournal!L$1),0)*($K5642+$L5642)/(SUMIF($A:$A,$A5642,$K:$K)+SUMIF($A:$A,$A5642,$L:$L)))/VLOOKUP($A5642,HeadJournal!$A$1:$L$890,COLUMN(HeadJournal!H$1),0),0)</f>
        <v>0.99623891709488621</v>
      </c>
      <c r="P5642" s="30">
        <f>IFERROR(SUM(K5642:O5642)*VLOOKUP($A5642,HeadJournal!$A$1:$L$890,COLUMN(HeadJournal!H$1),0),0)</f>
        <v>1812.0192499140003</v>
      </c>
      <c r="Q5642" s="29">
        <v>2800</v>
      </c>
      <c r="R5642" s="31">
        <v>46116</v>
      </c>
      <c r="S5642" s="31" t="s">
        <v>3475</v>
      </c>
      <c r="T5642" s="95" t="str">
        <f t="shared" si="420"/>
        <v>2026 04</v>
      </c>
      <c r="U5642" s="32">
        <f t="shared" si="421"/>
        <v>987.98075008599972</v>
      </c>
      <c r="V5642" s="22">
        <f t="shared" si="422"/>
        <v>0.54523744719207035</v>
      </c>
      <c r="X5642" s="33"/>
      <c r="Y5642" s="33"/>
    </row>
    <row r="5643" spans="1:25" x14ac:dyDescent="0.2">
      <c r="A5643" s="93" t="s">
        <v>5531</v>
      </c>
      <c r="B5643" s="94">
        <f>IFERROR(VLOOKUP($A5643,HeadJournal!$A$1:$NTR$890,COLUMN(HeadJournal!B$1),0),"")</f>
        <v>0</v>
      </c>
      <c r="C5643" s="94" t="str">
        <f>IFERROR(VLOOKUP($A5643,HeadJournal!$A$1:$NTR$890,COLUMN(HeadJournal!C$1),0),"")</f>
        <v>iHerb_AV CYG0792</v>
      </c>
      <c r="D5643" s="125" t="str">
        <f>IFERROR(VLOOKUP($A5643,HeadJournal!$A$1:$NTR$890,COLUMN(HeadJournal!D$1),0),"")</f>
        <v>Доставлен</v>
      </c>
      <c r="E5643" s="95">
        <f>IFERROR(VLOOKUP($A5643,HeadJournal!$A$1:$NTR$890,COLUMN(HeadJournal!G$1),0),"")</f>
        <v>46083</v>
      </c>
      <c r="F5643" s="95" t="str">
        <f t="shared" si="419"/>
        <v>2026 03</v>
      </c>
      <c r="G5643" s="97" t="s">
        <v>5</v>
      </c>
      <c r="H5643" s="161" t="s">
        <v>5525</v>
      </c>
      <c r="I5643" s="97" t="s">
        <v>3524</v>
      </c>
      <c r="J5643" s="97" t="s">
        <v>5526</v>
      </c>
      <c r="K5643" s="29">
        <v>25.75</v>
      </c>
      <c r="L5643" s="29">
        <v>-5.15</v>
      </c>
      <c r="M5643" s="30">
        <f>IFERROR(VLOOKUP($A5643,HeadJournal!$A$1:$J$890,COLUMN(HeadJournal!I$1),0)*($K5643+$L5643)/(SUMIF($A:$A,$A5643,$K:$K)+SUMIF($A:$A,$A5643,$L:$L)),0)</f>
        <v>-1.0459442724458203</v>
      </c>
      <c r="N5643" s="30">
        <f>IFERROR((VLOOKUP($A5643,HeadJournal!$A$1:$K$890,COLUMN(HeadJournal!K$1),0)-VLOOKUP($A5643,HeadJournal!$A$1:$K$890,COLUMN(HeadJournal!J$1),0))*($K5643+$L5643)/(SUMIF($A:$A,$A5643,$K:$K)+SUMIF($A:$A,$A5643,$L:$L)),0)</f>
        <v>-3.0210898568953689E-15</v>
      </c>
      <c r="O5643" s="30">
        <f>IFERROR((VLOOKUP($A5643,HeadJournal!$A$1:$L$890,COLUMN(HeadJournal!L$1),0)*($K5643+$L5643)/(SUMIF($A:$A,$A5643,$K:$K)+SUMIF($A:$A,$A5643,$L:$L)))/VLOOKUP($A5643,HeadJournal!$A$1:$L$890,COLUMN(HeadJournal!H$1),0),0)</f>
        <v>0.98053137564045201</v>
      </c>
      <c r="P5643" s="30">
        <f>IFERROR(SUM(K5643:O5643)*VLOOKUP($A5643,HeadJournal!$A$1:$L$890,COLUMN(HeadJournal!H$1),0),0)</f>
        <v>1783.4494289645681</v>
      </c>
      <c r="Q5643" s="29">
        <v>2800</v>
      </c>
      <c r="R5643" s="31">
        <v>46119</v>
      </c>
      <c r="S5643" s="31" t="s">
        <v>3437</v>
      </c>
      <c r="T5643" s="95" t="str">
        <f t="shared" si="420"/>
        <v>2026 04</v>
      </c>
      <c r="U5643" s="32">
        <f t="shared" si="421"/>
        <v>1016.5505710354319</v>
      </c>
      <c r="V5643" s="22">
        <f t="shared" si="422"/>
        <v>0.56999125095776837</v>
      </c>
      <c r="X5643" s="33"/>
      <c r="Y5643" s="33"/>
    </row>
    <row r="5644" spans="1:25" x14ac:dyDescent="0.2">
      <c r="A5644" s="93" t="s">
        <v>5531</v>
      </c>
      <c r="B5644" s="94">
        <f>IFERROR(VLOOKUP($A5644,HeadJournal!$A$1:$NTR$890,COLUMN(HeadJournal!B$1),0),"")</f>
        <v>0</v>
      </c>
      <c r="C5644" s="94" t="str">
        <f>IFERROR(VLOOKUP($A5644,HeadJournal!$A$1:$NTR$890,COLUMN(HeadJournal!C$1),0),"")</f>
        <v>iHerb_AV CYG0792</v>
      </c>
      <c r="D5644" s="125" t="str">
        <f>IFERROR(VLOOKUP($A5644,HeadJournal!$A$1:$NTR$890,COLUMN(HeadJournal!D$1),0),"")</f>
        <v>Доставлен</v>
      </c>
      <c r="E5644" s="95">
        <f>IFERROR(VLOOKUP($A5644,HeadJournal!$A$1:$NTR$890,COLUMN(HeadJournal!G$1),0),"")</f>
        <v>46083</v>
      </c>
      <c r="F5644" s="95" t="str">
        <f t="shared" si="419"/>
        <v>2026 03</v>
      </c>
      <c r="G5644" s="97" t="s">
        <v>5</v>
      </c>
      <c r="H5644" s="161" t="s">
        <v>5527</v>
      </c>
      <c r="I5644" s="97" t="s">
        <v>4417</v>
      </c>
      <c r="J5644" s="97" t="s">
        <v>5528</v>
      </c>
      <c r="K5644" s="29">
        <v>57.3</v>
      </c>
      <c r="L5644" s="29">
        <v>-11.46</v>
      </c>
      <c r="M5644" s="30">
        <f>IFERROR(VLOOKUP($A5644,HeadJournal!$A$1:$J$890,COLUMN(HeadJournal!I$1),0)*($K5644+$L5644)/(SUMIF($A:$A,$A5644,$K:$K)+SUMIF($A:$A,$A5644,$L:$L)),0)</f>
        <v>-2.3274798761609898</v>
      </c>
      <c r="N5644" s="30">
        <f>IFERROR((VLOOKUP($A5644,HeadJournal!$A$1:$K$890,COLUMN(HeadJournal!K$1),0)-VLOOKUP($A5644,HeadJournal!$A$1:$K$890,COLUMN(HeadJournal!J$1),0))*($K5644+$L5644)/(SUMIF($A:$A,$A5644,$K:$K)+SUMIF($A:$A,$A5644,$L:$L)),0)</f>
        <v>-6.7226582058293048E-15</v>
      </c>
      <c r="O5644" s="30">
        <f>IFERROR((VLOOKUP($A5644,HeadJournal!$A$1:$L$890,COLUMN(HeadJournal!L$1),0)*($K5644+$L5644)/(SUMIF($A:$A,$A5644,$K:$K)+SUMIF($A:$A,$A5644,$L:$L)))/VLOOKUP($A5644,HeadJournal!$A$1:$L$890,COLUMN(HeadJournal!H$1),0),0)</f>
        <v>2.1819203038523454</v>
      </c>
      <c r="P5644" s="30">
        <f>IFERROR(SUM(K5644:O5644)*VLOOKUP($A5644,HeadJournal!$A$1:$L$890,COLUMN(HeadJournal!H$1),0),0)</f>
        <v>3968.6078555211543</v>
      </c>
      <c r="Q5644" s="29">
        <v>5500</v>
      </c>
      <c r="R5644" s="31">
        <v>46116</v>
      </c>
      <c r="S5644" s="31" t="s">
        <v>3475</v>
      </c>
      <c r="T5644" s="95" t="str">
        <f t="shared" si="420"/>
        <v>2026 04</v>
      </c>
      <c r="U5644" s="32">
        <f t="shared" si="421"/>
        <v>1531.3921444788457</v>
      </c>
      <c r="V5644" s="22">
        <f t="shared" si="422"/>
        <v>0.38587640810828977</v>
      </c>
      <c r="X5644" s="33"/>
      <c r="Y5644" s="33"/>
    </row>
    <row r="5645" spans="1:25" x14ac:dyDescent="0.2">
      <c r="A5645" s="93" t="s">
        <v>5531</v>
      </c>
      <c r="B5645" s="94">
        <f>IFERROR(VLOOKUP($A5645,HeadJournal!$A$1:$NTR$890,COLUMN(HeadJournal!B$1),0),"")</f>
        <v>0</v>
      </c>
      <c r="C5645" s="94" t="str">
        <f>IFERROR(VLOOKUP($A5645,HeadJournal!$A$1:$NTR$890,COLUMN(HeadJournal!C$1),0),"")</f>
        <v>iHerb_AV CYG0792</v>
      </c>
      <c r="D5645" s="125" t="str">
        <f>IFERROR(VLOOKUP($A5645,HeadJournal!$A$1:$NTR$890,COLUMN(HeadJournal!D$1),0),"")</f>
        <v>Доставлен</v>
      </c>
      <c r="E5645" s="95">
        <f>IFERROR(VLOOKUP($A5645,HeadJournal!$A$1:$NTR$890,COLUMN(HeadJournal!G$1),0),"")</f>
        <v>46083</v>
      </c>
      <c r="F5645" s="95" t="str">
        <f t="shared" si="419"/>
        <v>2026 03</v>
      </c>
      <c r="G5645" s="97" t="s">
        <v>5</v>
      </c>
      <c r="H5645" s="161" t="s">
        <v>5527</v>
      </c>
      <c r="I5645" s="97" t="s">
        <v>4417</v>
      </c>
      <c r="J5645" s="97" t="s">
        <v>5528</v>
      </c>
      <c r="K5645" s="29">
        <v>57.3</v>
      </c>
      <c r="L5645" s="29">
        <v>-11.46</v>
      </c>
      <c r="M5645" s="30">
        <f>IFERROR(VLOOKUP($A5645,HeadJournal!$A$1:$J$890,COLUMN(HeadJournal!I$1),0)*($K5645+$L5645)/(SUMIF($A:$A,$A5645,$K:$K)+SUMIF($A:$A,$A5645,$L:$L)),0)</f>
        <v>-2.3274798761609898</v>
      </c>
      <c r="N5645" s="30">
        <f>IFERROR((VLOOKUP($A5645,HeadJournal!$A$1:$K$890,COLUMN(HeadJournal!K$1),0)-VLOOKUP($A5645,HeadJournal!$A$1:$K$890,COLUMN(HeadJournal!J$1),0))*($K5645+$L5645)/(SUMIF($A:$A,$A5645,$K:$K)+SUMIF($A:$A,$A5645,$L:$L)),0)</f>
        <v>-6.7226582058293048E-15</v>
      </c>
      <c r="O5645" s="30">
        <f>IFERROR((VLOOKUP($A5645,HeadJournal!$A$1:$L$890,COLUMN(HeadJournal!L$1),0)*($K5645+$L5645)/(SUMIF($A:$A,$A5645,$K:$K)+SUMIF($A:$A,$A5645,$L:$L)))/VLOOKUP($A5645,HeadJournal!$A$1:$L$890,COLUMN(HeadJournal!H$1),0),0)</f>
        <v>2.1819203038523454</v>
      </c>
      <c r="P5645" s="30">
        <f>IFERROR(SUM(K5645:O5645)*VLOOKUP($A5645,HeadJournal!$A$1:$L$890,COLUMN(HeadJournal!H$1),0),0)</f>
        <v>3968.6078555211543</v>
      </c>
      <c r="Q5645" s="29">
        <v>5800</v>
      </c>
      <c r="R5645" s="31">
        <v>46119</v>
      </c>
      <c r="S5645" s="31" t="s">
        <v>3252</v>
      </c>
      <c r="T5645" s="95" t="str">
        <f t="shared" si="420"/>
        <v>2026 04</v>
      </c>
      <c r="U5645" s="32">
        <f t="shared" si="421"/>
        <v>1831.3921444788457</v>
      </c>
      <c r="V5645" s="22">
        <f t="shared" si="422"/>
        <v>0.46146966673237833</v>
      </c>
      <c r="X5645" s="33"/>
      <c r="Y5645" s="33"/>
    </row>
    <row r="5646" spans="1:25" x14ac:dyDescent="0.2">
      <c r="A5646" s="93" t="s">
        <v>5531</v>
      </c>
      <c r="B5646" s="94">
        <f>IFERROR(VLOOKUP($A5646,HeadJournal!$A$1:$NTR$890,COLUMN(HeadJournal!B$1),0),"")</f>
        <v>0</v>
      </c>
      <c r="C5646" s="94" t="str">
        <f>IFERROR(VLOOKUP($A5646,HeadJournal!$A$1:$NTR$890,COLUMN(HeadJournal!C$1),0),"")</f>
        <v>iHerb_AV CYG0792</v>
      </c>
      <c r="D5646" s="125" t="str">
        <f>IFERROR(VLOOKUP($A5646,HeadJournal!$A$1:$NTR$890,COLUMN(HeadJournal!D$1),0),"")</f>
        <v>Доставлен</v>
      </c>
      <c r="E5646" s="95">
        <f>IFERROR(VLOOKUP($A5646,HeadJournal!$A$1:$NTR$890,COLUMN(HeadJournal!G$1),0),"")</f>
        <v>46083</v>
      </c>
      <c r="F5646" s="95" t="str">
        <f t="shared" si="419"/>
        <v>2026 03</v>
      </c>
      <c r="G5646" s="97" t="s">
        <v>5</v>
      </c>
      <c r="H5646" s="161" t="s">
        <v>2504</v>
      </c>
      <c r="I5646" s="97" t="s">
        <v>2036</v>
      </c>
      <c r="J5646" s="97" t="s">
        <v>3739</v>
      </c>
      <c r="K5646" s="29">
        <v>15.62</v>
      </c>
      <c r="L5646" s="29">
        <v>-3.125</v>
      </c>
      <c r="M5646" s="30">
        <f>IFERROR(VLOOKUP($A5646,HeadJournal!$A$1:$J$890,COLUMN(HeadJournal!I$1),0)*($K5646+$L5646)/(SUMIF($A:$A,$A5646,$K:$K)+SUMIF($A:$A,$A5646,$L:$L)),0)</f>
        <v>-0.63442105263157877</v>
      </c>
      <c r="N5646" s="30">
        <f>IFERROR((VLOOKUP($A5646,HeadJournal!$A$1:$K$890,COLUMN(HeadJournal!K$1),0)-VLOOKUP($A5646,HeadJournal!$A$1:$K$890,COLUMN(HeadJournal!J$1),0))*($K5646+$L5646)/(SUMIF($A:$A,$A5646,$K:$K)+SUMIF($A:$A,$A5646,$L:$L)),0)</f>
        <v>-1.8324523185392051E-15</v>
      </c>
      <c r="O5646" s="30">
        <f>IFERROR((VLOOKUP($A5646,HeadJournal!$A$1:$L$890,COLUMN(HeadJournal!L$1),0)*($K5646+$L5646)/(SUMIF($A:$A,$A5646,$K:$K)+SUMIF($A:$A,$A5646,$L:$L)))/VLOOKUP($A5646,HeadJournal!$A$1:$L$890,COLUMN(HeadJournal!H$1),0),0)</f>
        <v>0.59474463779744891</v>
      </c>
      <c r="P5646" s="30">
        <f>IFERROR(SUM(K5646:O5646)*VLOOKUP($A5646,HeadJournal!$A$1:$L$890,COLUMN(HeadJournal!H$1),0),0)</f>
        <v>1081.7573114035085</v>
      </c>
      <c r="Q5646" s="29">
        <v>2000</v>
      </c>
      <c r="R5646" s="31">
        <v>46145</v>
      </c>
      <c r="S5646" s="31" t="s">
        <v>4533</v>
      </c>
      <c r="T5646" s="95" t="str">
        <f t="shared" si="420"/>
        <v>2026 05</v>
      </c>
      <c r="U5646" s="32">
        <f t="shared" si="401"/>
        <v>918.24268859649146</v>
      </c>
      <c r="V5646" s="22">
        <f t="shared" si="402"/>
        <v>0.84884352425141674</v>
      </c>
      <c r="X5646" s="33"/>
      <c r="Y5646" s="33"/>
    </row>
    <row r="5647" spans="1:25" x14ac:dyDescent="0.2">
      <c r="A5647" s="93" t="s">
        <v>5531</v>
      </c>
      <c r="B5647" s="94">
        <f>IFERROR(VLOOKUP($A5647,HeadJournal!$A$1:$NTR$890,COLUMN(HeadJournal!B$1),0),"")</f>
        <v>0</v>
      </c>
      <c r="C5647" s="94" t="str">
        <f>IFERROR(VLOOKUP($A5647,HeadJournal!$A$1:$NTR$890,COLUMN(HeadJournal!C$1),0),"")</f>
        <v>iHerb_AV CYG0792</v>
      </c>
      <c r="D5647" s="125" t="str">
        <f>IFERROR(VLOOKUP($A5647,HeadJournal!$A$1:$NTR$890,COLUMN(HeadJournal!D$1),0),"")</f>
        <v>Доставлен</v>
      </c>
      <c r="E5647" s="95">
        <f>IFERROR(VLOOKUP($A5647,HeadJournal!$A$1:$NTR$890,COLUMN(HeadJournal!G$1),0),"")</f>
        <v>46083</v>
      </c>
      <c r="F5647" s="95" t="str">
        <f t="shared" si="419"/>
        <v>2026 03</v>
      </c>
      <c r="G5647" s="97" t="s">
        <v>5</v>
      </c>
      <c r="H5647" s="161" t="s">
        <v>2504</v>
      </c>
      <c r="I5647" s="97" t="s">
        <v>2036</v>
      </c>
      <c r="J5647" s="97" t="s">
        <v>3739</v>
      </c>
      <c r="K5647" s="29">
        <v>15.62</v>
      </c>
      <c r="L5647" s="29">
        <v>-3.125</v>
      </c>
      <c r="M5647" s="30">
        <f>IFERROR(VLOOKUP($A5647,HeadJournal!$A$1:$J$890,COLUMN(HeadJournal!I$1),0)*($K5647+$L5647)/(SUMIF($A:$A,$A5647,$K:$K)+SUMIF($A:$A,$A5647,$L:$L)),0)</f>
        <v>-0.63442105263157877</v>
      </c>
      <c r="N5647" s="30">
        <f>IFERROR((VLOOKUP($A5647,HeadJournal!$A$1:$K$890,COLUMN(HeadJournal!K$1),0)-VLOOKUP($A5647,HeadJournal!$A$1:$K$890,COLUMN(HeadJournal!J$1),0))*($K5647+$L5647)/(SUMIF($A:$A,$A5647,$K:$K)+SUMIF($A:$A,$A5647,$L:$L)),0)</f>
        <v>-1.8324523185392051E-15</v>
      </c>
      <c r="O5647" s="30">
        <f>IFERROR((VLOOKUP($A5647,HeadJournal!$A$1:$L$890,COLUMN(HeadJournal!L$1),0)*($K5647+$L5647)/(SUMIF($A:$A,$A5647,$K:$K)+SUMIF($A:$A,$A5647,$L:$L)))/VLOOKUP($A5647,HeadJournal!$A$1:$L$890,COLUMN(HeadJournal!H$1),0),0)</f>
        <v>0.59474463779744891</v>
      </c>
      <c r="P5647" s="30">
        <f>IFERROR(SUM(K5647:O5647)*VLOOKUP($A5647,HeadJournal!$A$1:$L$890,COLUMN(HeadJournal!H$1),0),0)</f>
        <v>1081.7573114035085</v>
      </c>
      <c r="Q5647" s="29"/>
      <c r="R5647" s="31"/>
      <c r="S5647" s="31"/>
      <c r="T5647" s="95" t="str">
        <f t="shared" si="420"/>
        <v/>
      </c>
      <c r="U5647" s="32">
        <f t="shared" si="401"/>
        <v>-1081.7573114035085</v>
      </c>
      <c r="V5647" s="22" t="str">
        <f t="shared" si="402"/>
        <v/>
      </c>
      <c r="X5647" s="33"/>
      <c r="Y5647" s="33"/>
    </row>
    <row r="5648" spans="1:25" x14ac:dyDescent="0.2">
      <c r="A5648" s="93" t="s">
        <v>5531</v>
      </c>
      <c r="B5648" s="94">
        <f>IFERROR(VLOOKUP($A5648,HeadJournal!$A$1:$NTR$890,COLUMN(HeadJournal!B$1),0),"")</f>
        <v>0</v>
      </c>
      <c r="C5648" s="94" t="str">
        <f>IFERROR(VLOOKUP($A5648,HeadJournal!$A$1:$NTR$890,COLUMN(HeadJournal!C$1),0),"")</f>
        <v>iHerb_AV CYG0792</v>
      </c>
      <c r="D5648" s="125" t="str">
        <f>IFERROR(VLOOKUP($A5648,HeadJournal!$A$1:$NTR$890,COLUMN(HeadJournal!D$1),0),"")</f>
        <v>Доставлен</v>
      </c>
      <c r="E5648" s="95">
        <f>IFERROR(VLOOKUP($A5648,HeadJournal!$A$1:$NTR$890,COLUMN(HeadJournal!G$1),0),"")</f>
        <v>46083</v>
      </c>
      <c r="F5648" s="95" t="str">
        <f t="shared" si="419"/>
        <v>2026 03</v>
      </c>
      <c r="G5648" s="97" t="s">
        <v>5</v>
      </c>
      <c r="H5648" s="161" t="s">
        <v>5529</v>
      </c>
      <c r="I5648" s="97" t="s">
        <v>2005</v>
      </c>
      <c r="J5648" s="97" t="s">
        <v>5530</v>
      </c>
      <c r="K5648" s="29">
        <v>6.74</v>
      </c>
      <c r="L5648" s="29">
        <v>-1.35</v>
      </c>
      <c r="M5648" s="30">
        <f>IFERROR(VLOOKUP($A5648,HeadJournal!$A$1:$J$890,COLUMN(HeadJournal!I$1),0)*($K5648+$L5648)/(SUMIF($A:$A,$A5648,$K:$K)+SUMIF($A:$A,$A5648,$L:$L)),0)</f>
        <v>-0.27367182662538697</v>
      </c>
      <c r="N5648" s="30">
        <f>IFERROR((VLOOKUP($A5648,HeadJournal!$A$1:$K$890,COLUMN(HeadJournal!K$1),0)-VLOOKUP($A5648,HeadJournal!$A$1:$K$890,COLUMN(HeadJournal!J$1),0))*($K5648+$L5648)/(SUMIF($A:$A,$A5648,$K:$K)+SUMIF($A:$A,$A5648,$L:$L)),0)</f>
        <v>-7.9046962760514754E-16</v>
      </c>
      <c r="O5648" s="30">
        <f>IFERROR((VLOOKUP($A5648,HeadJournal!$A$1:$L$890,COLUMN(HeadJournal!L$1),0)*($K5648+$L5648)/(SUMIF($A:$A,$A5648,$K:$K)+SUMIF($A:$A,$A5648,$L:$L)))/VLOOKUP($A5648,HeadJournal!$A$1:$L$890,COLUMN(HeadJournal!H$1),0),0)</f>
        <v>0.25655651042242894</v>
      </c>
      <c r="P5648" s="30">
        <f>IFERROR(SUM(K5648:O5648)*VLOOKUP($A5648,HeadJournal!$A$1:$L$890,COLUMN(HeadJournal!H$1),0),0)</f>
        <v>466.64040884072915</v>
      </c>
      <c r="Q5648" s="29">
        <v>1100</v>
      </c>
      <c r="R5648" s="31">
        <v>46164</v>
      </c>
      <c r="S5648" s="31"/>
      <c r="T5648" s="95" t="str">
        <f t="shared" si="420"/>
        <v>2026 05</v>
      </c>
      <c r="U5648" s="32">
        <f t="shared" si="401"/>
        <v>633.35959115927085</v>
      </c>
      <c r="V5648" s="22">
        <f t="shared" si="402"/>
        <v>1.3572754934205564</v>
      </c>
      <c r="X5648" s="33"/>
      <c r="Y5648" s="33"/>
    </row>
    <row r="5649" spans="1:25" x14ac:dyDescent="0.2">
      <c r="A5649" s="93" t="s">
        <v>5535</v>
      </c>
      <c r="B5649" s="94">
        <f>IFERROR(VLOOKUP($A5649,HeadJournal!$A$1:$NTR$890,COLUMN(HeadJournal!B$1),0),"")</f>
        <v>0</v>
      </c>
      <c r="C5649" s="94" t="str">
        <f>IFERROR(VLOOKUP($A5649,HeadJournal!$A$1:$NTR$890,COLUMN(HeadJournal!C$1),0),"")</f>
        <v>iHerb_OA CZN6870</v>
      </c>
      <c r="D5649" s="125" t="str">
        <f>IFERROR(VLOOKUP($A5649,HeadJournal!$A$1:$NTR$890,COLUMN(HeadJournal!D$1),0),"")</f>
        <v>Доставлен</v>
      </c>
      <c r="E5649" s="95">
        <f>IFERROR(VLOOKUP($A5649,HeadJournal!$A$1:$NTR$890,COLUMN(HeadJournal!G$1),0),"")</f>
        <v>46074</v>
      </c>
      <c r="F5649" s="95" t="str">
        <f t="shared" si="419"/>
        <v>2026 02</v>
      </c>
      <c r="G5649" s="97" t="s">
        <v>5</v>
      </c>
      <c r="H5649" s="161" t="s">
        <v>2101</v>
      </c>
      <c r="I5649" s="97" t="s">
        <v>2102</v>
      </c>
      <c r="J5649" s="97" t="s">
        <v>4015</v>
      </c>
      <c r="K5649" s="29">
        <v>49.39</v>
      </c>
      <c r="L5649" s="29">
        <v>-4.9400000000000004</v>
      </c>
      <c r="M5649" s="30">
        <f>IFERROR(VLOOKUP($A5649,HeadJournal!$A$1:$J$890,COLUMN(HeadJournal!I$1),0)*($K5649+$L5649)/(SUMIF($A:$A,$A5649,$K:$K)+SUMIF($A:$A,$A5649,$L:$L)),0)</f>
        <v>-3.4854771002637106</v>
      </c>
      <c r="N5649" s="30">
        <f>IFERROR((VLOOKUP($A5649,HeadJournal!$A$1:$K$890,COLUMN(HeadJournal!K$1),0)-VLOOKUP($A5649,HeadJournal!$A$1:$K$890,COLUMN(HeadJournal!J$1),0))*($K5649+$L5649)/(SUMIF($A:$A,$A5649,$K:$K)+SUMIF($A:$A,$A5649,$L:$L)),0)</f>
        <v>0</v>
      </c>
      <c r="O5649" s="30">
        <f>IFERROR((VLOOKUP($A5649,HeadJournal!$A$1:$L$890,COLUMN(HeadJournal!L$1),0)*($K5649+$L5649)/(SUMIF($A:$A,$A5649,$K:$K)+SUMIF($A:$A,$A5649,$L:$L)))/VLOOKUP($A5649,HeadJournal!$A$1:$L$890,COLUMN(HeadJournal!H$1),0),0)</f>
        <v>1.1645771439186043</v>
      </c>
      <c r="P5649" s="30">
        <f>IFERROR(SUM(K5649:O5649)*VLOOKUP($A5649,HeadJournal!$A$1:$L$890,COLUMN(HeadJournal!H$1),0),0)</f>
        <v>3669.2935552446047</v>
      </c>
      <c r="Q5649" s="29">
        <v>5000</v>
      </c>
      <c r="R5649" s="31">
        <v>46108</v>
      </c>
      <c r="S5649" s="31"/>
      <c r="T5649" s="95" t="str">
        <f t="shared" si="420"/>
        <v>2026 03</v>
      </c>
      <c r="U5649" s="32">
        <f t="shared" si="401"/>
        <v>1330.7064447553953</v>
      </c>
      <c r="V5649" s="22">
        <f t="shared" si="402"/>
        <v>0.36266012100704953</v>
      </c>
      <c r="X5649" s="33"/>
      <c r="Y5649" s="33"/>
    </row>
    <row r="5650" spans="1:25" x14ac:dyDescent="0.2">
      <c r="A5650" s="93" t="s">
        <v>5535</v>
      </c>
      <c r="B5650" s="94">
        <f>IFERROR(VLOOKUP($A5650,HeadJournal!$A$1:$NTR$890,COLUMN(HeadJournal!B$1),0),"")</f>
        <v>0</v>
      </c>
      <c r="C5650" s="94" t="str">
        <f>IFERROR(VLOOKUP($A5650,HeadJournal!$A$1:$NTR$890,COLUMN(HeadJournal!C$1),0),"")</f>
        <v>iHerb_OA CZN6870</v>
      </c>
      <c r="D5650" s="125" t="str">
        <f>IFERROR(VLOOKUP($A5650,HeadJournal!$A$1:$NTR$890,COLUMN(HeadJournal!D$1),0),"")</f>
        <v>Доставлен</v>
      </c>
      <c r="E5650" s="95">
        <f>IFERROR(VLOOKUP($A5650,HeadJournal!$A$1:$NTR$890,COLUMN(HeadJournal!G$1),0),"")</f>
        <v>46074</v>
      </c>
      <c r="F5650" s="95" t="str">
        <f t="shared" si="419"/>
        <v>2026 02</v>
      </c>
      <c r="G5650" s="97" t="s">
        <v>5</v>
      </c>
      <c r="H5650" s="161" t="s">
        <v>4044</v>
      </c>
      <c r="I5650" s="97" t="s">
        <v>2163</v>
      </c>
      <c r="J5650" s="97" t="s">
        <v>5532</v>
      </c>
      <c r="K5650" s="29">
        <v>35.979999999999997</v>
      </c>
      <c r="L5650" s="29">
        <v>-3.6</v>
      </c>
      <c r="M5650" s="30">
        <f>IFERROR(VLOOKUP($A5650,HeadJournal!$A$1:$J$890,COLUMN(HeadJournal!I$1),0)*($K5650+$L5650)/(SUMIF($A:$A,$A5650,$K:$K)+SUMIF($A:$A,$A5650,$L:$L)),0)</f>
        <v>-2.5390269630267475</v>
      </c>
      <c r="N5650" s="30">
        <f>IFERROR((VLOOKUP($A5650,HeadJournal!$A$1:$K$890,COLUMN(HeadJournal!K$1),0)-VLOOKUP($A5650,HeadJournal!$A$1:$K$890,COLUMN(HeadJournal!J$1),0))*($K5650+$L5650)/(SUMIF($A:$A,$A5650,$K:$K)+SUMIF($A:$A,$A5650,$L:$L)),0)</f>
        <v>0</v>
      </c>
      <c r="O5650" s="30">
        <f>IFERROR((VLOOKUP($A5650,HeadJournal!$A$1:$L$890,COLUMN(HeadJournal!L$1),0)*($K5650+$L5650)/(SUMIF($A:$A,$A5650,$K:$K)+SUMIF($A:$A,$A5650,$L:$L)))/VLOOKUP($A5650,HeadJournal!$A$1:$L$890,COLUMN(HeadJournal!H$1),0),0)</f>
        <v>0.84834663487253981</v>
      </c>
      <c r="P5650" s="30">
        <f>IFERROR(SUM(K5650:O5650)*VLOOKUP($A5650,HeadJournal!$A$1:$L$890,COLUMN(HeadJournal!H$1),0),0)</f>
        <v>2672.9297034605238</v>
      </c>
      <c r="Q5650" s="29">
        <v>2672.93</v>
      </c>
      <c r="R5650" s="31"/>
      <c r="S5650" s="31"/>
      <c r="T5650" s="95" t="str">
        <f t="shared" si="420"/>
        <v/>
      </c>
      <c r="U5650" s="32">
        <f t="shared" si="401"/>
        <v>2.9653947603947017E-4</v>
      </c>
      <c r="V5650" s="22">
        <f t="shared" si="402"/>
        <v>1.1094174143657936E-7</v>
      </c>
      <c r="X5650" s="33"/>
      <c r="Y5650" s="33"/>
    </row>
    <row r="5651" spans="1:25" x14ac:dyDescent="0.2">
      <c r="A5651" s="93" t="s">
        <v>5535</v>
      </c>
      <c r="B5651" s="94">
        <f>IFERROR(VLOOKUP($A5651,HeadJournal!$A$1:$NTR$890,COLUMN(HeadJournal!B$1),0),"")</f>
        <v>0</v>
      </c>
      <c r="C5651" s="94" t="str">
        <f>IFERROR(VLOOKUP($A5651,HeadJournal!$A$1:$NTR$890,COLUMN(HeadJournal!C$1),0),"")</f>
        <v>iHerb_OA CZN6870</v>
      </c>
      <c r="D5651" s="125" t="str">
        <f>IFERROR(VLOOKUP($A5651,HeadJournal!$A$1:$NTR$890,COLUMN(HeadJournal!D$1),0),"")</f>
        <v>Доставлен</v>
      </c>
      <c r="E5651" s="95">
        <f>IFERROR(VLOOKUP($A5651,HeadJournal!$A$1:$NTR$890,COLUMN(HeadJournal!G$1),0),"")</f>
        <v>46074</v>
      </c>
      <c r="F5651" s="95" t="str">
        <f t="shared" si="419"/>
        <v>2026 02</v>
      </c>
      <c r="G5651" s="97" t="s">
        <v>5</v>
      </c>
      <c r="H5651" s="161" t="s">
        <v>2684</v>
      </c>
      <c r="I5651" s="97" t="s">
        <v>2166</v>
      </c>
      <c r="J5651" s="97" t="s">
        <v>2685</v>
      </c>
      <c r="K5651" s="29">
        <v>22.18</v>
      </c>
      <c r="L5651" s="29">
        <v>-2.2200000000000002</v>
      </c>
      <c r="M5651" s="30">
        <f>IFERROR(VLOOKUP($A5651,HeadJournal!$A$1:$J$890,COLUMN(HeadJournal!I$1),0)*($K5651+$L5651)/(SUMIF($A:$A,$A5651,$K:$K)+SUMIF($A:$A,$A5651,$L:$L)),0)</f>
        <v>-1.5651321242129057</v>
      </c>
      <c r="N5651" s="30">
        <f>IFERROR((VLOOKUP($A5651,HeadJournal!$A$1:$K$890,COLUMN(HeadJournal!K$1),0)-VLOOKUP($A5651,HeadJournal!$A$1:$K$890,COLUMN(HeadJournal!J$1),0))*($K5651+$L5651)/(SUMIF($A:$A,$A5651,$K:$K)+SUMIF($A:$A,$A5651,$L:$L)),0)</f>
        <v>0</v>
      </c>
      <c r="O5651" s="30">
        <f>IFERROR((VLOOKUP($A5651,HeadJournal!$A$1:$L$890,COLUMN(HeadJournal!L$1),0)*($K5651+$L5651)/(SUMIF($A:$A,$A5651,$K:$K)+SUMIF($A:$A,$A5651,$L:$L)))/VLOOKUP($A5651,HeadJournal!$A$1:$L$890,COLUMN(HeadJournal!H$1),0),0)</f>
        <v>0.52294622705546323</v>
      </c>
      <c r="P5651" s="30">
        <f>IFERROR(SUM(K5651:O5651)*VLOOKUP($A5651,HeadJournal!$A$1:$L$890,COLUMN(HeadJournal!H$1),0),0)</f>
        <v>1647.673776438297</v>
      </c>
      <c r="Q5651" s="29"/>
      <c r="R5651" s="31"/>
      <c r="S5651" s="31"/>
      <c r="T5651" s="95" t="str">
        <f t="shared" si="420"/>
        <v/>
      </c>
      <c r="U5651" s="32">
        <f t="shared" si="354"/>
        <v>-1647.673776438297</v>
      </c>
      <c r="V5651" s="22" t="str">
        <f t="shared" si="355"/>
        <v/>
      </c>
      <c r="X5651" s="33"/>
      <c r="Y5651" s="33"/>
    </row>
    <row r="5652" spans="1:25" x14ac:dyDescent="0.2">
      <c r="A5652" s="93" t="s">
        <v>5535</v>
      </c>
      <c r="B5652" s="94">
        <f>IFERROR(VLOOKUP($A5652,HeadJournal!$A$1:$NTR$890,COLUMN(HeadJournal!B$1),0),"")</f>
        <v>0</v>
      </c>
      <c r="C5652" s="94" t="str">
        <f>IFERROR(VLOOKUP($A5652,HeadJournal!$A$1:$NTR$890,COLUMN(HeadJournal!C$1),0),"")</f>
        <v>iHerb_OA CZN6870</v>
      </c>
      <c r="D5652" s="125" t="str">
        <f>IFERROR(VLOOKUP($A5652,HeadJournal!$A$1:$NTR$890,COLUMN(HeadJournal!D$1),0),"")</f>
        <v>Доставлен</v>
      </c>
      <c r="E5652" s="95">
        <f>IFERROR(VLOOKUP($A5652,HeadJournal!$A$1:$NTR$890,COLUMN(HeadJournal!G$1),0),"")</f>
        <v>46074</v>
      </c>
      <c r="F5652" s="95" t="str">
        <f t="shared" si="419"/>
        <v>2026 02</v>
      </c>
      <c r="G5652" s="97" t="s">
        <v>5</v>
      </c>
      <c r="H5652" s="161" t="s">
        <v>2092</v>
      </c>
      <c r="I5652" s="97" t="s">
        <v>2052</v>
      </c>
      <c r="J5652" s="97" t="s">
        <v>5533</v>
      </c>
      <c r="K5652" s="29">
        <v>73.86</v>
      </c>
      <c r="L5652" s="29">
        <v>-14.77</v>
      </c>
      <c r="M5652" s="30">
        <f>IFERROR(VLOOKUP($A5652,HeadJournal!$A$1:$J$890,COLUMN(HeadJournal!I$1),0)*($K5652+$L5652)/(SUMIF($A:$A,$A5652,$K:$K)+SUMIF($A:$A,$A5652,$L:$L)),0)</f>
        <v>-4.6334497605080465</v>
      </c>
      <c r="N5652" s="30">
        <f>IFERROR((VLOOKUP($A5652,HeadJournal!$A$1:$K$890,COLUMN(HeadJournal!K$1),0)-VLOOKUP($A5652,HeadJournal!$A$1:$K$890,COLUMN(HeadJournal!J$1),0))*($K5652+$L5652)/(SUMIF($A:$A,$A5652,$K:$K)+SUMIF($A:$A,$A5652,$L:$L)),0)</f>
        <v>0</v>
      </c>
      <c r="O5652" s="30">
        <f>IFERROR((VLOOKUP($A5652,HeadJournal!$A$1:$L$890,COLUMN(HeadJournal!L$1),0)*($K5652+$L5652)/(SUMIF($A:$A,$A5652,$K:$K)+SUMIF($A:$A,$A5652,$L:$L)))/VLOOKUP($A5652,HeadJournal!$A$1:$L$890,COLUMN(HeadJournal!H$1),0),0)</f>
        <v>1.5481409096546754</v>
      </c>
      <c r="P5652" s="30">
        <f>IFERROR(SUM(K5652:O5652)*VLOOKUP($A5652,HeadJournal!$A$1:$L$890,COLUMN(HeadJournal!H$1),0),0)</f>
        <v>4877.8077880630753</v>
      </c>
      <c r="Q5652" s="29">
        <v>7200</v>
      </c>
      <c r="R5652" s="31">
        <v>46106</v>
      </c>
      <c r="S5652" s="31" t="s">
        <v>3321</v>
      </c>
      <c r="T5652" s="95" t="str">
        <f t="shared" si="420"/>
        <v>2026 03</v>
      </c>
      <c r="U5652" s="32">
        <f t="shared" si="354"/>
        <v>2322.1922119369247</v>
      </c>
      <c r="V5652" s="22">
        <f t="shared" si="355"/>
        <v>0.47607292309052668</v>
      </c>
      <c r="X5652" s="33"/>
      <c r="Y5652" s="33"/>
    </row>
    <row r="5653" spans="1:25" x14ac:dyDescent="0.2">
      <c r="A5653" s="93" t="s">
        <v>5535</v>
      </c>
      <c r="B5653" s="94">
        <f>IFERROR(VLOOKUP($A5653,HeadJournal!$A$1:$NTR$890,COLUMN(HeadJournal!B$1),0),"")</f>
        <v>0</v>
      </c>
      <c r="C5653" s="94" t="str">
        <f>IFERROR(VLOOKUP($A5653,HeadJournal!$A$1:$NTR$890,COLUMN(HeadJournal!C$1),0),"")</f>
        <v>iHerb_OA CZN6870</v>
      </c>
      <c r="D5653" s="125" t="str">
        <f>IFERROR(VLOOKUP($A5653,HeadJournal!$A$1:$NTR$890,COLUMN(HeadJournal!D$1),0),"")</f>
        <v>Доставлен</v>
      </c>
      <c r="E5653" s="95">
        <f>IFERROR(VLOOKUP($A5653,HeadJournal!$A$1:$NTR$890,COLUMN(HeadJournal!G$1),0),"")</f>
        <v>46074</v>
      </c>
      <c r="F5653" s="95" t="str">
        <f t="shared" si="419"/>
        <v>2026 02</v>
      </c>
      <c r="G5653" s="97" t="s">
        <v>5</v>
      </c>
      <c r="H5653" s="161" t="s">
        <v>2564</v>
      </c>
      <c r="I5653" s="97" t="s">
        <v>2052</v>
      </c>
      <c r="J5653" s="97" t="s">
        <v>5534</v>
      </c>
      <c r="K5653" s="29">
        <v>37.409999999999997</v>
      </c>
      <c r="L5653" s="29">
        <v>-7.48</v>
      </c>
      <c r="M5653" s="30">
        <f>IFERROR(VLOOKUP($A5653,HeadJournal!$A$1:$J$890,COLUMN(HeadJournal!I$1),0)*($K5653+$L5653)/(SUMIF($A:$A,$A5653,$K:$K)+SUMIF($A:$A,$A5653,$L:$L)),0)</f>
        <v>-2.3469140519885903</v>
      </c>
      <c r="N5653" s="30">
        <f>IFERROR((VLOOKUP($A5653,HeadJournal!$A$1:$K$890,COLUMN(HeadJournal!K$1),0)-VLOOKUP($A5653,HeadJournal!$A$1:$K$890,COLUMN(HeadJournal!J$1),0))*($K5653+$L5653)/(SUMIF($A:$A,$A5653,$K:$K)+SUMIF($A:$A,$A5653,$L:$L)),0)</f>
        <v>0</v>
      </c>
      <c r="O5653" s="30">
        <f>IFERROR((VLOOKUP($A5653,HeadJournal!$A$1:$L$890,COLUMN(HeadJournal!L$1),0)*($K5653+$L5653)/(SUMIF($A:$A,$A5653,$K:$K)+SUMIF($A:$A,$A5653,$L:$L)))/VLOOKUP($A5653,HeadJournal!$A$1:$L$890,COLUMN(HeadJournal!H$1),0),0)</f>
        <v>0.78415734347545141</v>
      </c>
      <c r="P5653" s="30">
        <f>IFERROR(SUM(K5653:O5653)*VLOOKUP($A5653,HeadJournal!$A$1:$L$890,COLUMN(HeadJournal!H$1),0),0)</f>
        <v>2470.6851767934982</v>
      </c>
      <c r="Q5653" s="29">
        <v>4000</v>
      </c>
      <c r="R5653" s="31">
        <v>46106</v>
      </c>
      <c r="S5653" s="31" t="s">
        <v>3231</v>
      </c>
      <c r="T5653" s="95" t="str">
        <f t="shared" si="420"/>
        <v>2026 03</v>
      </c>
      <c r="U5653" s="32">
        <f t="shared" si="354"/>
        <v>1529.3148232065018</v>
      </c>
      <c r="V5653" s="22">
        <f t="shared" si="355"/>
        <v>0.61898409298398571</v>
      </c>
      <c r="X5653" s="33"/>
      <c r="Y5653" s="33"/>
    </row>
    <row r="5654" spans="1:25" x14ac:dyDescent="0.2">
      <c r="A5654" s="93" t="s">
        <v>5537</v>
      </c>
      <c r="B5654" s="94">
        <f>IFERROR(VLOOKUP($A5654,HeadJournal!$A$1:$NTR$890,COLUMN(HeadJournal!B$1),0),"")</f>
        <v>0</v>
      </c>
      <c r="C5654" s="94" t="str">
        <f>IFERROR(VLOOKUP($A5654,HeadJournal!$A$1:$NTR$890,COLUMN(HeadJournal!C$1),0),"")</f>
        <v>OZON_OA</v>
      </c>
      <c r="D5654" s="125" t="str">
        <f>IFERROR(VLOOKUP($A5654,HeadJournal!$A$1:$NTR$890,COLUMN(HeadJournal!D$1),0),"")</f>
        <v>Доставлен</v>
      </c>
      <c r="E5654" s="95">
        <f>IFERROR(VLOOKUP($A5654,HeadJournal!$A$1:$NTR$890,COLUMN(HeadJournal!G$1),0),"")</f>
        <v>46077</v>
      </c>
      <c r="F5654" s="95" t="str">
        <f t="shared" ref="F5654:F5778" si="423">IFERROR(TEXT(E5654, "ГГГГ ММ"),"")</f>
        <v>2026 02</v>
      </c>
      <c r="G5654" s="97" t="s">
        <v>5</v>
      </c>
      <c r="H5654" s="161" t="s">
        <v>2081</v>
      </c>
      <c r="I5654" s="97" t="s">
        <v>2005</v>
      </c>
      <c r="J5654" s="97" t="s">
        <v>5470</v>
      </c>
      <c r="K5654" s="29">
        <v>1000</v>
      </c>
      <c r="L5654" s="29">
        <v>0</v>
      </c>
      <c r="M5654" s="30">
        <f>IFERROR(VLOOKUP($A5654,HeadJournal!$A$1:$J$890,COLUMN(HeadJournal!I$1),0)*($K5654+$L5654)/(SUMIF($A:$A,$A5654,$K:$K)+SUMIF($A:$A,$A5654,$L:$L)),0)</f>
        <v>0</v>
      </c>
      <c r="N5654" s="30">
        <f>IFERROR((VLOOKUP($A5654,HeadJournal!$A$1:$K$890,COLUMN(HeadJournal!K$1),0)-VLOOKUP($A5654,HeadJournal!$A$1:$K$890,COLUMN(HeadJournal!J$1),0))*($K5654+$L5654)/(SUMIF($A:$A,$A5654,$K:$K)+SUMIF($A:$A,$A5654,$L:$L)),0)</f>
        <v>0</v>
      </c>
      <c r="O5654" s="30">
        <f>IFERROR((VLOOKUP($A5654,HeadJournal!$A$1:$L$890,COLUMN(HeadJournal!L$1),0)*($K5654+$L5654)/(SUMIF($A:$A,$A5654,$K:$K)+SUMIF($A:$A,$A5654,$L:$L)))/VLOOKUP($A5654,HeadJournal!$A$1:$L$890,COLUMN(HeadJournal!H$1),0),0)</f>
        <v>0</v>
      </c>
      <c r="P5654" s="30">
        <f>IFERROR(SUM(K5654:O5654)*VLOOKUP($A5654,HeadJournal!$A$1:$L$890,COLUMN(HeadJournal!H$1),0),0)</f>
        <v>1000</v>
      </c>
      <c r="Q5654" s="29">
        <v>1700</v>
      </c>
      <c r="R5654" s="31">
        <v>46088</v>
      </c>
      <c r="S5654" s="31"/>
      <c r="T5654" s="95" t="str">
        <f t="shared" ref="T5654:T5778" si="424">IF(R5654="","",TEXT(R5654,"ГГГГ ММ"))</f>
        <v>2026 03</v>
      </c>
      <c r="U5654" s="32">
        <f t="shared" ref="U5654:U5778" si="425">Q5654-P5654</f>
        <v>700</v>
      </c>
      <c r="V5654" s="22">
        <f t="shared" ref="V5654:V5778" si="426">IF(Q5654&lt;&gt;0,IFERROR(U5654/P5654,""),"")</f>
        <v>0.7</v>
      </c>
      <c r="X5654" s="33"/>
      <c r="Y5654" s="33"/>
    </row>
    <row r="5655" spans="1:25" x14ac:dyDescent="0.2">
      <c r="A5655" s="93" t="s">
        <v>5538</v>
      </c>
      <c r="B5655" s="94">
        <f>IFERROR(VLOOKUP($A5655,HeadJournal!$A$1:$NTR$890,COLUMN(HeadJournal!B$1),0),"")</f>
        <v>0</v>
      </c>
      <c r="C5655" s="94" t="str">
        <f>IFERROR(VLOOKUP($A5655,HeadJournal!$A$1:$NTR$890,COLUMN(HeadJournal!C$1),0),"")</f>
        <v>OZON_OA</v>
      </c>
      <c r="D5655" s="125" t="str">
        <f>IFERROR(VLOOKUP($A5655,HeadJournal!$A$1:$NTR$890,COLUMN(HeadJournal!D$1),0),"")</f>
        <v>Доставлен</v>
      </c>
      <c r="E5655" s="95">
        <f>IFERROR(VLOOKUP($A5655,HeadJournal!$A$1:$NTR$890,COLUMN(HeadJournal!G$1),0),"")</f>
        <v>46077</v>
      </c>
      <c r="F5655" s="95" t="str">
        <f t="shared" si="423"/>
        <v>2026 02</v>
      </c>
      <c r="G5655" s="97" t="s">
        <v>5</v>
      </c>
      <c r="H5655" s="161" t="s">
        <v>2081</v>
      </c>
      <c r="I5655" s="97" t="s">
        <v>2005</v>
      </c>
      <c r="J5655" s="97" t="s">
        <v>5470</v>
      </c>
      <c r="K5655" s="29">
        <v>1107</v>
      </c>
      <c r="L5655" s="29">
        <v>0</v>
      </c>
      <c r="M5655" s="30">
        <f>IFERROR(VLOOKUP($A5655,HeadJournal!$A$1:$J$890,COLUMN(HeadJournal!I$1),0)*($K5655+$L5655)/(SUMIF($A:$A,$A5655,$K:$K)+SUMIF($A:$A,$A5655,$L:$L)),0)</f>
        <v>0</v>
      </c>
      <c r="N5655" s="30">
        <f>IFERROR((VLOOKUP($A5655,HeadJournal!$A$1:$K$890,COLUMN(HeadJournal!K$1),0)-VLOOKUP($A5655,HeadJournal!$A$1:$K$890,COLUMN(HeadJournal!J$1),0))*($K5655+$L5655)/(SUMIF($A:$A,$A5655,$K:$K)+SUMIF($A:$A,$A5655,$L:$L)),0)</f>
        <v>0</v>
      </c>
      <c r="O5655" s="30">
        <f>IFERROR((VLOOKUP($A5655,HeadJournal!$A$1:$L$890,COLUMN(HeadJournal!L$1),0)*($K5655+$L5655)/(SUMIF($A:$A,$A5655,$K:$K)+SUMIF($A:$A,$A5655,$L:$L)))/VLOOKUP($A5655,HeadJournal!$A$1:$L$890,COLUMN(HeadJournal!H$1),0),0)</f>
        <v>0</v>
      </c>
      <c r="P5655" s="30">
        <f>IFERROR(SUM(K5655:O5655)*VLOOKUP($A5655,HeadJournal!$A$1:$L$890,COLUMN(HeadJournal!H$1),0),0)</f>
        <v>1107</v>
      </c>
      <c r="Q5655" s="29">
        <v>1700</v>
      </c>
      <c r="R5655" s="31">
        <v>46088</v>
      </c>
      <c r="S5655" s="31"/>
      <c r="T5655" s="95" t="str">
        <f t="shared" si="424"/>
        <v>2026 03</v>
      </c>
      <c r="U5655" s="32">
        <f t="shared" si="425"/>
        <v>593</v>
      </c>
      <c r="V5655" s="22">
        <f t="shared" si="426"/>
        <v>0.53568202348690153</v>
      </c>
      <c r="X5655" s="33"/>
      <c r="Y5655" s="33"/>
    </row>
    <row r="5656" spans="1:25" x14ac:dyDescent="0.2">
      <c r="A5656" s="93" t="s">
        <v>5539</v>
      </c>
      <c r="B5656" s="94">
        <f>IFERROR(VLOOKUP($A5656,HeadJournal!$A$1:$NTR$890,COLUMN(HeadJournal!B$1),0),"")</f>
        <v>0</v>
      </c>
      <c r="C5656" s="94" t="str">
        <f>IFERROR(VLOOKUP($A5656,HeadJournal!$A$1:$NTR$890,COLUMN(HeadJournal!C$1),0),"")</f>
        <v>OZON_OA</v>
      </c>
      <c r="D5656" s="125" t="str">
        <f>IFERROR(VLOOKUP($A5656,HeadJournal!$A$1:$NTR$890,COLUMN(HeadJournal!D$1),0),"")</f>
        <v>Доставлен</v>
      </c>
      <c r="E5656" s="95">
        <f>IFERROR(VLOOKUP($A5656,HeadJournal!$A$1:$NTR$890,COLUMN(HeadJournal!G$1),0),"")</f>
        <v>46078</v>
      </c>
      <c r="F5656" s="95" t="str">
        <f t="shared" si="423"/>
        <v>2026 02</v>
      </c>
      <c r="G5656" s="97" t="s">
        <v>6</v>
      </c>
      <c r="H5656" s="161" t="s">
        <v>2280</v>
      </c>
      <c r="I5656" s="97" t="s">
        <v>2281</v>
      </c>
      <c r="J5656" s="97" t="s">
        <v>737</v>
      </c>
      <c r="K5656" s="29">
        <v>993</v>
      </c>
      <c r="L5656" s="29">
        <v>0</v>
      </c>
      <c r="M5656" s="30">
        <f>IFERROR(VLOOKUP($A5656,HeadJournal!$A$1:$J$890,COLUMN(HeadJournal!I$1),0)*($K5656+$L5656)/(SUMIF($A:$A,$A5656,$K:$K)+SUMIF($A:$A,$A5656,$L:$L)),0)</f>
        <v>0</v>
      </c>
      <c r="N5656" s="30">
        <f>IFERROR((VLOOKUP($A5656,HeadJournal!$A$1:$K$890,COLUMN(HeadJournal!K$1),0)-VLOOKUP($A5656,HeadJournal!$A$1:$K$890,COLUMN(HeadJournal!J$1),0))*($K5656+$L5656)/(SUMIF($A:$A,$A5656,$K:$K)+SUMIF($A:$A,$A5656,$L:$L)),0)</f>
        <v>0</v>
      </c>
      <c r="O5656" s="30">
        <f>IFERROR((VLOOKUP($A5656,HeadJournal!$A$1:$L$890,COLUMN(HeadJournal!L$1),0)*($K5656+$L5656)/(SUMIF($A:$A,$A5656,$K:$K)+SUMIF($A:$A,$A5656,$L:$L)))/VLOOKUP($A5656,HeadJournal!$A$1:$L$890,COLUMN(HeadJournal!H$1),0),0)</f>
        <v>0</v>
      </c>
      <c r="P5656" s="30">
        <f>IFERROR(SUM(K5656:O5656)*VLOOKUP($A5656,HeadJournal!$A$1:$L$890,COLUMN(HeadJournal!H$1),0),0)</f>
        <v>993</v>
      </c>
      <c r="Q5656" s="29">
        <v>2000</v>
      </c>
      <c r="R5656" s="31">
        <v>46084</v>
      </c>
      <c r="S5656" s="31" t="s">
        <v>4911</v>
      </c>
      <c r="T5656" s="95" t="str">
        <f t="shared" si="424"/>
        <v>2026 03</v>
      </c>
      <c r="U5656" s="32">
        <f t="shared" si="425"/>
        <v>1007</v>
      </c>
      <c r="V5656" s="22">
        <f t="shared" si="426"/>
        <v>1.0140986908358509</v>
      </c>
      <c r="X5656" s="33"/>
      <c r="Y5656" s="33"/>
    </row>
    <row r="5657" spans="1:25" x14ac:dyDescent="0.2">
      <c r="A5657" s="93" t="s">
        <v>5540</v>
      </c>
      <c r="B5657" s="94">
        <f>IFERROR(VLOOKUP($A5657,HeadJournal!$A$1:$NTR$890,COLUMN(HeadJournal!B$1),0),"")</f>
        <v>0</v>
      </c>
      <c r="C5657" s="94" t="str">
        <f>IFERROR(VLOOKUP($A5657,HeadJournal!$A$1:$NTR$890,COLUMN(HeadJournal!C$1),0),"")</f>
        <v>OZON_OA</v>
      </c>
      <c r="D5657" s="125" t="str">
        <f>IFERROR(VLOOKUP($A5657,HeadJournal!$A$1:$NTR$890,COLUMN(HeadJournal!D$1),0),"")</f>
        <v>Доставлен</v>
      </c>
      <c r="E5657" s="95">
        <f>IFERROR(VLOOKUP($A5657,HeadJournal!$A$1:$NTR$890,COLUMN(HeadJournal!G$1),0),"")</f>
        <v>46084</v>
      </c>
      <c r="F5657" s="95" t="str">
        <f t="shared" si="423"/>
        <v>2026 03</v>
      </c>
      <c r="G5657" s="97" t="s">
        <v>6</v>
      </c>
      <c r="H5657" s="161" t="s">
        <v>2280</v>
      </c>
      <c r="I5657" s="97" t="s">
        <v>2281</v>
      </c>
      <c r="J5657" s="97" t="s">
        <v>737</v>
      </c>
      <c r="K5657" s="29">
        <v>1038</v>
      </c>
      <c r="L5657" s="29">
        <v>0</v>
      </c>
      <c r="M5657" s="30">
        <f>IFERROR(VLOOKUP($A5657,HeadJournal!$A$1:$J$890,COLUMN(HeadJournal!I$1),0)*($K5657+$L5657)/(SUMIF($A:$A,$A5657,$K:$K)+SUMIF($A:$A,$A5657,$L:$L)),0)</f>
        <v>0</v>
      </c>
      <c r="N5657" s="30">
        <f>IFERROR((VLOOKUP($A5657,HeadJournal!$A$1:$K$890,COLUMN(HeadJournal!K$1),0)-VLOOKUP($A5657,HeadJournal!$A$1:$K$890,COLUMN(HeadJournal!J$1),0))*($K5657+$L5657)/(SUMIF($A:$A,$A5657,$K:$K)+SUMIF($A:$A,$A5657,$L:$L)),0)</f>
        <v>0</v>
      </c>
      <c r="O5657" s="30">
        <f>IFERROR((VLOOKUP($A5657,HeadJournal!$A$1:$L$890,COLUMN(HeadJournal!L$1),0)*($K5657+$L5657)/(SUMIF($A:$A,$A5657,$K:$K)+SUMIF($A:$A,$A5657,$L:$L)))/VLOOKUP($A5657,HeadJournal!$A$1:$L$890,COLUMN(HeadJournal!H$1),0),0)</f>
        <v>0</v>
      </c>
      <c r="P5657" s="30">
        <f>IFERROR(SUM(K5657:O5657)*VLOOKUP($A5657,HeadJournal!$A$1:$L$890,COLUMN(HeadJournal!H$1),0),0)</f>
        <v>1038</v>
      </c>
      <c r="Q5657" s="29">
        <v>2000</v>
      </c>
      <c r="R5657" s="31">
        <v>46096</v>
      </c>
      <c r="S5657" s="31" t="s">
        <v>4911</v>
      </c>
      <c r="T5657" s="95" t="str">
        <f t="shared" si="424"/>
        <v>2026 03</v>
      </c>
      <c r="U5657" s="32">
        <f t="shared" si="425"/>
        <v>962</v>
      </c>
      <c r="V5657" s="22">
        <f t="shared" si="426"/>
        <v>0.92678227360308285</v>
      </c>
      <c r="X5657" s="33"/>
      <c r="Y5657" s="33"/>
    </row>
    <row r="5658" spans="1:25" x14ac:dyDescent="0.2">
      <c r="A5658" s="93" t="s">
        <v>5541</v>
      </c>
      <c r="B5658" s="94">
        <f>IFERROR(VLOOKUP($A5658,HeadJournal!$A$1:$NTR$890,COLUMN(HeadJournal!B$1),0),"")</f>
        <v>0</v>
      </c>
      <c r="C5658" s="94" t="str">
        <f>IFERROR(VLOOKUP($A5658,HeadJournal!$A$1:$NTR$890,COLUMN(HeadJournal!C$1),0),"")</f>
        <v>OZON_OA</v>
      </c>
      <c r="D5658" s="125" t="str">
        <f>IFERROR(VLOOKUP($A5658,HeadJournal!$A$1:$NTR$890,COLUMN(HeadJournal!D$1),0),"")</f>
        <v>Доставлен</v>
      </c>
      <c r="E5658" s="95">
        <f>IFERROR(VLOOKUP($A5658,HeadJournal!$A$1:$NTR$890,COLUMN(HeadJournal!G$1),0),"")</f>
        <v>46090</v>
      </c>
      <c r="F5658" s="95" t="str">
        <f t="shared" si="423"/>
        <v>2026 03</v>
      </c>
      <c r="G5658" s="97" t="s">
        <v>5</v>
      </c>
      <c r="H5658" s="161" t="s">
        <v>2081</v>
      </c>
      <c r="I5658" s="97" t="s">
        <v>2005</v>
      </c>
      <c r="J5658" s="97" t="s">
        <v>5470</v>
      </c>
      <c r="K5658" s="29">
        <v>1086</v>
      </c>
      <c r="L5658" s="29">
        <v>0</v>
      </c>
      <c r="M5658" s="30">
        <f>IFERROR(VLOOKUP($A5658,HeadJournal!$A$1:$J$890,COLUMN(HeadJournal!I$1),0)*($K5658+$L5658)/(SUMIF($A:$A,$A5658,$K:$K)+SUMIF($A:$A,$A5658,$L:$L)),0)</f>
        <v>0</v>
      </c>
      <c r="N5658" s="30">
        <f>IFERROR((VLOOKUP($A5658,HeadJournal!$A$1:$K$890,COLUMN(HeadJournal!K$1),0)-VLOOKUP($A5658,HeadJournal!$A$1:$K$890,COLUMN(HeadJournal!J$1),0))*($K5658+$L5658)/(SUMIF($A:$A,$A5658,$K:$K)+SUMIF($A:$A,$A5658,$L:$L)),0)</f>
        <v>0</v>
      </c>
      <c r="O5658" s="30">
        <f>IFERROR((VLOOKUP($A5658,HeadJournal!$A$1:$L$890,COLUMN(HeadJournal!L$1),0)*($K5658+$L5658)/(SUMIF($A:$A,$A5658,$K:$K)+SUMIF($A:$A,$A5658,$L:$L)))/VLOOKUP($A5658,HeadJournal!$A$1:$L$890,COLUMN(HeadJournal!H$1),0),0)</f>
        <v>0</v>
      </c>
      <c r="P5658" s="30">
        <f>IFERROR(SUM(K5658:O5658)*VLOOKUP($A5658,HeadJournal!$A$1:$L$890,COLUMN(HeadJournal!H$1),0),0)</f>
        <v>1086</v>
      </c>
      <c r="Q5658" s="29">
        <v>1700</v>
      </c>
      <c r="R5658" s="31">
        <v>46093</v>
      </c>
      <c r="S5658" s="31"/>
      <c r="T5658" s="95" t="str">
        <f t="shared" si="424"/>
        <v>2026 03</v>
      </c>
      <c r="U5658" s="32">
        <f t="shared" si="425"/>
        <v>614</v>
      </c>
      <c r="V5658" s="22">
        <f t="shared" si="426"/>
        <v>0.56537753222836096</v>
      </c>
      <c r="X5658" s="33"/>
      <c r="Y5658" s="33"/>
    </row>
    <row r="5659" spans="1:25" x14ac:dyDescent="0.2">
      <c r="A5659" s="93" t="s">
        <v>5542</v>
      </c>
      <c r="B5659" s="94">
        <f>IFERROR(VLOOKUP($A5659,HeadJournal!$A$1:$NTR$890,COLUMN(HeadJournal!B$1),0),"")</f>
        <v>0</v>
      </c>
      <c r="C5659" s="94" t="str">
        <f>IFERROR(VLOOKUP($A5659,HeadJournal!$A$1:$NTR$890,COLUMN(HeadJournal!C$1),0),"")</f>
        <v>OZON_OA</v>
      </c>
      <c r="D5659" s="125" t="str">
        <f>IFERROR(VLOOKUP($A5659,HeadJournal!$A$1:$NTR$890,COLUMN(HeadJournal!D$1),0),"")</f>
        <v>Доставлен</v>
      </c>
      <c r="E5659" s="95">
        <f>IFERROR(VLOOKUP($A5659,HeadJournal!$A$1:$NTR$890,COLUMN(HeadJournal!G$1),0),"")</f>
        <v>46094</v>
      </c>
      <c r="F5659" s="95" t="str">
        <f t="shared" ref="F5659" si="427">IFERROR(TEXT(E5659, "ГГГГ ММ"),"")</f>
        <v>2026 03</v>
      </c>
      <c r="G5659" s="97" t="s">
        <v>6</v>
      </c>
      <c r="H5659" s="161" t="s">
        <v>2280</v>
      </c>
      <c r="I5659" s="97" t="s">
        <v>2281</v>
      </c>
      <c r="J5659" s="97" t="s">
        <v>737</v>
      </c>
      <c r="K5659" s="29">
        <v>938</v>
      </c>
      <c r="L5659" s="29">
        <v>0</v>
      </c>
      <c r="M5659" s="30">
        <f>IFERROR(VLOOKUP($A5659,HeadJournal!$A$1:$J$890,COLUMN(HeadJournal!I$1),0)*($K5659+$L5659)/(SUMIF($A:$A,$A5659,$K:$K)+SUMIF($A:$A,$A5659,$L:$L)),0)</f>
        <v>0</v>
      </c>
      <c r="N5659" s="30">
        <f>IFERROR((VLOOKUP($A5659,HeadJournal!$A$1:$K$890,COLUMN(HeadJournal!K$1),0)-VLOOKUP($A5659,HeadJournal!$A$1:$K$890,COLUMN(HeadJournal!J$1),0))*($K5659+$L5659)/(SUMIF($A:$A,$A5659,$K:$K)+SUMIF($A:$A,$A5659,$L:$L)),0)</f>
        <v>0</v>
      </c>
      <c r="O5659" s="30">
        <f>IFERROR((VLOOKUP($A5659,HeadJournal!$A$1:$L$890,COLUMN(HeadJournal!L$1),0)*($K5659+$L5659)/(SUMIF($A:$A,$A5659,$K:$K)+SUMIF($A:$A,$A5659,$L:$L)))/VLOOKUP($A5659,HeadJournal!$A$1:$L$890,COLUMN(HeadJournal!H$1),0),0)</f>
        <v>0</v>
      </c>
      <c r="P5659" s="30">
        <f>IFERROR(SUM(K5659:O5659)*VLOOKUP($A5659,HeadJournal!$A$1:$L$890,COLUMN(HeadJournal!H$1),0),0)</f>
        <v>938</v>
      </c>
      <c r="Q5659" s="29">
        <v>2000</v>
      </c>
      <c r="R5659" s="31">
        <v>46096</v>
      </c>
      <c r="S5659" s="31" t="s">
        <v>4911</v>
      </c>
      <c r="T5659" s="95" t="str">
        <f t="shared" ref="T5659" si="428">IF(R5659="","",TEXT(R5659,"ГГГГ ММ"))</f>
        <v>2026 03</v>
      </c>
      <c r="U5659" s="32">
        <f t="shared" ref="U5659" si="429">Q5659-P5659</f>
        <v>1062</v>
      </c>
      <c r="V5659" s="22">
        <f t="shared" ref="V5659" si="430">IF(Q5659&lt;&gt;0,IFERROR(U5659/P5659,""),"")</f>
        <v>1.1321961620469083</v>
      </c>
      <c r="X5659" s="33"/>
      <c r="Y5659" s="33"/>
    </row>
    <row r="5660" spans="1:25" x14ac:dyDescent="0.2">
      <c r="A5660" s="93" t="s">
        <v>5542</v>
      </c>
      <c r="B5660" s="94">
        <f>IFERROR(VLOOKUP($A5660,HeadJournal!$A$1:$NTR$890,COLUMN(HeadJournal!B$1),0),"")</f>
        <v>0</v>
      </c>
      <c r="C5660" s="94" t="str">
        <f>IFERROR(VLOOKUP($A5660,HeadJournal!$A$1:$NTR$890,COLUMN(HeadJournal!C$1),0),"")</f>
        <v>OZON_OA</v>
      </c>
      <c r="D5660" s="125" t="str">
        <f>IFERROR(VLOOKUP($A5660,HeadJournal!$A$1:$NTR$890,COLUMN(HeadJournal!D$1),0),"")</f>
        <v>Доставлен</v>
      </c>
      <c r="E5660" s="95">
        <f>IFERROR(VLOOKUP($A5660,HeadJournal!$A$1:$NTR$890,COLUMN(HeadJournal!G$1),0),"")</f>
        <v>46094</v>
      </c>
      <c r="F5660" s="95" t="str">
        <f t="shared" si="423"/>
        <v>2026 03</v>
      </c>
      <c r="G5660" s="97" t="s">
        <v>6</v>
      </c>
      <c r="H5660" s="161" t="s">
        <v>2280</v>
      </c>
      <c r="I5660" s="97" t="s">
        <v>2281</v>
      </c>
      <c r="J5660" s="97" t="s">
        <v>737</v>
      </c>
      <c r="K5660" s="29">
        <v>1032</v>
      </c>
      <c r="L5660" s="29">
        <v>0</v>
      </c>
      <c r="M5660" s="30">
        <f>IFERROR(VLOOKUP($A5660,HeadJournal!$A$1:$J$890,COLUMN(HeadJournal!I$1),0)*($K5660+$L5660)/(SUMIF($A:$A,$A5660,$K:$K)+SUMIF($A:$A,$A5660,$L:$L)),0)</f>
        <v>0</v>
      </c>
      <c r="N5660" s="30">
        <f>IFERROR((VLOOKUP($A5660,HeadJournal!$A$1:$K$890,COLUMN(HeadJournal!K$1),0)-VLOOKUP($A5660,HeadJournal!$A$1:$K$890,COLUMN(HeadJournal!J$1),0))*($K5660+$L5660)/(SUMIF($A:$A,$A5660,$K:$K)+SUMIF($A:$A,$A5660,$L:$L)),0)</f>
        <v>0</v>
      </c>
      <c r="O5660" s="30">
        <f>IFERROR((VLOOKUP($A5660,HeadJournal!$A$1:$L$890,COLUMN(HeadJournal!L$1),0)*($K5660+$L5660)/(SUMIF($A:$A,$A5660,$K:$K)+SUMIF($A:$A,$A5660,$L:$L)))/VLOOKUP($A5660,HeadJournal!$A$1:$L$890,COLUMN(HeadJournal!H$1),0),0)</f>
        <v>0</v>
      </c>
      <c r="P5660" s="30">
        <f>IFERROR(SUM(K5660:O5660)*VLOOKUP($A5660,HeadJournal!$A$1:$L$890,COLUMN(HeadJournal!H$1),0),0)</f>
        <v>1032</v>
      </c>
      <c r="Q5660" s="29">
        <v>2000</v>
      </c>
      <c r="R5660" s="31">
        <v>46107</v>
      </c>
      <c r="S5660" s="31" t="s">
        <v>4911</v>
      </c>
      <c r="T5660" s="95" t="str">
        <f t="shared" si="424"/>
        <v>2026 03</v>
      </c>
      <c r="U5660" s="32">
        <f t="shared" si="425"/>
        <v>968</v>
      </c>
      <c r="V5660" s="22">
        <f t="shared" si="426"/>
        <v>0.93798449612403101</v>
      </c>
      <c r="X5660" s="33"/>
      <c r="Y5660" s="33"/>
    </row>
    <row r="5661" spans="1:25" x14ac:dyDescent="0.2">
      <c r="A5661" s="93" t="s">
        <v>5543</v>
      </c>
      <c r="B5661" s="94">
        <f>IFERROR(VLOOKUP($A5661,HeadJournal!$A$1:$NTR$890,COLUMN(HeadJournal!B$1),0),"")</f>
        <v>0</v>
      </c>
      <c r="C5661" s="94" t="str">
        <f>IFERROR(VLOOKUP($A5661,HeadJournal!$A$1:$NTR$890,COLUMN(HeadJournal!C$1),0),"")</f>
        <v>OZON_OA</v>
      </c>
      <c r="D5661" s="125" t="str">
        <f>IFERROR(VLOOKUP($A5661,HeadJournal!$A$1:$NTR$890,COLUMN(HeadJournal!D$1),0),"")</f>
        <v>Доставлен</v>
      </c>
      <c r="E5661" s="95">
        <f>IFERROR(VLOOKUP($A5661,HeadJournal!$A$1:$NTR$890,COLUMN(HeadJournal!G$1),0),"")</f>
        <v>46094</v>
      </c>
      <c r="F5661" s="95" t="str">
        <f t="shared" si="423"/>
        <v>2026 03</v>
      </c>
      <c r="G5661" s="97" t="s">
        <v>6</v>
      </c>
      <c r="H5661" s="161" t="s">
        <v>2280</v>
      </c>
      <c r="I5661" s="97" t="s">
        <v>2281</v>
      </c>
      <c r="J5661" s="97" t="s">
        <v>737</v>
      </c>
      <c r="K5661" s="29">
        <v>938</v>
      </c>
      <c r="L5661" s="29">
        <v>0</v>
      </c>
      <c r="M5661" s="30">
        <f>IFERROR(VLOOKUP($A5661,HeadJournal!$A$1:$J$890,COLUMN(HeadJournal!I$1),0)*($K5661+$L5661)/(SUMIF($A:$A,$A5661,$K:$K)+SUMIF($A:$A,$A5661,$L:$L)),0)</f>
        <v>0</v>
      </c>
      <c r="N5661" s="30">
        <f>IFERROR((VLOOKUP($A5661,HeadJournal!$A$1:$K$890,COLUMN(HeadJournal!K$1),0)-VLOOKUP($A5661,HeadJournal!$A$1:$K$890,COLUMN(HeadJournal!J$1),0))*($K5661+$L5661)/(SUMIF($A:$A,$A5661,$K:$K)+SUMIF($A:$A,$A5661,$L:$L)),0)</f>
        <v>0</v>
      </c>
      <c r="O5661" s="30">
        <f>IFERROR((VLOOKUP($A5661,HeadJournal!$A$1:$L$890,COLUMN(HeadJournal!L$1),0)*($K5661+$L5661)/(SUMIF($A:$A,$A5661,$K:$K)+SUMIF($A:$A,$A5661,$L:$L)))/VLOOKUP($A5661,HeadJournal!$A$1:$L$890,COLUMN(HeadJournal!H$1),0),0)</f>
        <v>0</v>
      </c>
      <c r="P5661" s="30">
        <f>IFERROR(SUM(K5661:O5661)*VLOOKUP($A5661,HeadJournal!$A$1:$L$890,COLUMN(HeadJournal!H$1),0),0)</f>
        <v>938</v>
      </c>
      <c r="Q5661" s="29">
        <v>2000</v>
      </c>
      <c r="R5661" s="31">
        <v>46118</v>
      </c>
      <c r="S5661" s="31" t="s">
        <v>4613</v>
      </c>
      <c r="T5661" s="95" t="str">
        <f t="shared" si="424"/>
        <v>2026 04</v>
      </c>
      <c r="U5661" s="32">
        <f t="shared" si="425"/>
        <v>1062</v>
      </c>
      <c r="V5661" s="22">
        <f t="shared" si="426"/>
        <v>1.1321961620469083</v>
      </c>
      <c r="X5661" s="33"/>
      <c r="Y5661" s="33"/>
    </row>
    <row r="5662" spans="1:25" x14ac:dyDescent="0.2">
      <c r="A5662" s="93" t="s">
        <v>1866</v>
      </c>
      <c r="B5662" s="94">
        <f>IFERROR(VLOOKUP($A5662,HeadJournal!$A$1:$NTR$890,COLUMN(HeadJournal!B$1),0),"")</f>
        <v>0</v>
      </c>
      <c r="C5662" s="94" t="str">
        <f>IFERROR(VLOOKUP($A5662,HeadJournal!$A$1:$NTR$890,COLUMN(HeadJournal!C$1),0),"")</f>
        <v>OZON_OA</v>
      </c>
      <c r="D5662" s="125" t="str">
        <f>IFERROR(VLOOKUP($A5662,HeadJournal!$A$1:$NTR$890,COLUMN(HeadJournal!D$1),0),"")</f>
        <v>Доставлен</v>
      </c>
      <c r="E5662" s="95">
        <f>IFERROR(VLOOKUP($A5662,HeadJournal!$A$1:$NTR$890,COLUMN(HeadJournal!G$1),0),"")</f>
        <v>46100</v>
      </c>
      <c r="F5662" s="95" t="str">
        <f t="shared" si="423"/>
        <v>2026 03</v>
      </c>
      <c r="G5662" s="97" t="s">
        <v>5</v>
      </c>
      <c r="H5662" s="161" t="s">
        <v>2081</v>
      </c>
      <c r="I5662" s="97" t="s">
        <v>2005</v>
      </c>
      <c r="J5662" s="97" t="s">
        <v>5470</v>
      </c>
      <c r="K5662" s="29">
        <v>1127</v>
      </c>
      <c r="L5662" s="29">
        <v>0</v>
      </c>
      <c r="M5662" s="30">
        <f>IFERROR(VLOOKUP($A5662,HeadJournal!$A$1:$J$890,COLUMN(HeadJournal!I$1),0)*($K5662+$L5662)/(SUMIF($A:$A,$A5662,$K:$K)+SUMIF($A:$A,$A5662,$L:$L)),0)</f>
        <v>0</v>
      </c>
      <c r="N5662" s="30">
        <f>IFERROR((VLOOKUP($A5662,HeadJournal!$A$1:$K$890,COLUMN(HeadJournal!K$1),0)-VLOOKUP($A5662,HeadJournal!$A$1:$K$890,COLUMN(HeadJournal!J$1),0))*($K5662+$L5662)/(SUMIF($A:$A,$A5662,$K:$K)+SUMIF($A:$A,$A5662,$L:$L)),0)</f>
        <v>0</v>
      </c>
      <c r="O5662" s="30">
        <f>IFERROR((VLOOKUP($A5662,HeadJournal!$A$1:$L$890,COLUMN(HeadJournal!L$1),0)*($K5662+$L5662)/(SUMIF($A:$A,$A5662,$K:$K)+SUMIF($A:$A,$A5662,$L:$L)))/VLOOKUP($A5662,HeadJournal!$A$1:$L$890,COLUMN(HeadJournal!H$1),0),0)</f>
        <v>0</v>
      </c>
      <c r="P5662" s="30">
        <f>IFERROR(SUM(K5662:O5662)*VLOOKUP($A5662,HeadJournal!$A$1:$L$890,COLUMN(HeadJournal!H$1),0),0)</f>
        <v>1127</v>
      </c>
      <c r="Q5662" s="29">
        <v>1700</v>
      </c>
      <c r="R5662" s="31">
        <v>46106</v>
      </c>
      <c r="S5662" s="31"/>
      <c r="T5662" s="95" t="str">
        <f t="shared" si="424"/>
        <v>2026 03</v>
      </c>
      <c r="U5662" s="32">
        <f t="shared" si="425"/>
        <v>573</v>
      </c>
      <c r="V5662" s="22">
        <f t="shared" si="426"/>
        <v>0.50842945874001777</v>
      </c>
      <c r="X5662" s="33"/>
      <c r="Y5662" s="33"/>
    </row>
    <row r="5663" spans="1:25" x14ac:dyDescent="0.2">
      <c r="A5663" s="93" t="s">
        <v>5554</v>
      </c>
      <c r="B5663" s="94">
        <f>IFERROR(VLOOKUP($A5663,HeadJournal!$A$1:$NTR$890,COLUMN(HeadJournal!B$1),0),"")</f>
        <v>0</v>
      </c>
      <c r="C5663" s="94" t="str">
        <f>IFERROR(VLOOKUP($A5663,HeadJournal!$A$1:$NTR$890,COLUMN(HeadJournal!C$1),0),"")</f>
        <v>iHerb_AV CYG0792</v>
      </c>
      <c r="D5663" s="125" t="str">
        <f>IFERROR(VLOOKUP($A5663,HeadJournal!$A$1:$NTR$890,COLUMN(HeadJournal!D$1),0),"")</f>
        <v>Доставлен</v>
      </c>
      <c r="E5663" s="95">
        <f>IFERROR(VLOOKUP($A5663,HeadJournal!$A$1:$NTR$890,COLUMN(HeadJournal!G$1),0),"")</f>
        <v>46093</v>
      </c>
      <c r="F5663" s="95" t="str">
        <f t="shared" si="423"/>
        <v>2026 03</v>
      </c>
      <c r="G5663" s="97" t="s">
        <v>5</v>
      </c>
      <c r="H5663" s="161" t="s">
        <v>5545</v>
      </c>
      <c r="I5663" s="97" t="s">
        <v>2005</v>
      </c>
      <c r="J5663" s="97" t="s">
        <v>5546</v>
      </c>
      <c r="K5663" s="29">
        <v>34.53</v>
      </c>
      <c r="L5663" s="29">
        <v>-3.4550000000000001</v>
      </c>
      <c r="M5663" s="30">
        <f>IFERROR(VLOOKUP($A5663,HeadJournal!$A$1:$J$890,COLUMN(HeadJournal!I$1),0)*($K5663+$L5663)/(SUMIF($A:$A,$A5663,$K:$K)+SUMIF($A:$A,$A5663,$L:$L)),0)</f>
        <v>-1.5835426219258022</v>
      </c>
      <c r="N5663" s="30">
        <f>IFERROR((VLOOKUP($A5663,HeadJournal!$A$1:$K$890,COLUMN(HeadJournal!K$1),0)-VLOOKUP($A5663,HeadJournal!$A$1:$K$890,COLUMN(HeadJournal!J$1),0))*($K5663+$L5663)/(SUMIF($A:$A,$A5663,$K:$K)+SUMIF($A:$A,$A5663,$L:$L)),0)</f>
        <v>-4.6019415410056506E-15</v>
      </c>
      <c r="O5663" s="30">
        <f>IFERROR((VLOOKUP($A5663,HeadJournal!$A$1:$L$890,COLUMN(HeadJournal!L$1),0)*($K5663+$L5663)/(SUMIF($A:$A,$A5663,$K:$K)+SUMIF($A:$A,$A5663,$L:$L)))/VLOOKUP($A5663,HeadJournal!$A$1:$L$890,COLUMN(HeadJournal!H$1),0),0)</f>
        <v>1.4714582262052205</v>
      </c>
      <c r="P5663" s="30">
        <f>IFERROR(SUM(K5663:O5663)*VLOOKUP($A5663,HeadJournal!$A$1:$L$890,COLUMN(HeadJournal!H$1),0),0)</f>
        <v>2729.6545327045997</v>
      </c>
      <c r="Q5663" s="29">
        <v>3700</v>
      </c>
      <c r="R5663" s="31">
        <v>46118</v>
      </c>
      <c r="S5663" s="31" t="s">
        <v>3235</v>
      </c>
      <c r="T5663" s="95" t="str">
        <f t="shared" si="424"/>
        <v>2026 04</v>
      </c>
      <c r="U5663" s="32">
        <f t="shared" si="425"/>
        <v>970.34546729540034</v>
      </c>
      <c r="V5663" s="22">
        <f t="shared" si="426"/>
        <v>0.35548288461762284</v>
      </c>
      <c r="X5663" s="33"/>
      <c r="Y5663" s="33"/>
    </row>
    <row r="5664" spans="1:25" x14ac:dyDescent="0.2">
      <c r="A5664" s="93" t="s">
        <v>5554</v>
      </c>
      <c r="B5664" s="94">
        <f>IFERROR(VLOOKUP($A5664,HeadJournal!$A$1:$NTR$890,COLUMN(HeadJournal!B$1),0),"")</f>
        <v>0</v>
      </c>
      <c r="C5664" s="94" t="str">
        <f>IFERROR(VLOOKUP($A5664,HeadJournal!$A$1:$NTR$890,COLUMN(HeadJournal!C$1),0),"")</f>
        <v>iHerb_AV CYG0792</v>
      </c>
      <c r="D5664" s="125" t="str">
        <f>IFERROR(VLOOKUP($A5664,HeadJournal!$A$1:$NTR$890,COLUMN(HeadJournal!D$1),0),"")</f>
        <v>Доставлен</v>
      </c>
      <c r="E5664" s="95">
        <f>IFERROR(VLOOKUP($A5664,HeadJournal!$A$1:$NTR$890,COLUMN(HeadJournal!G$1),0),"")</f>
        <v>46093</v>
      </c>
      <c r="F5664" s="95" t="str">
        <f t="shared" si="423"/>
        <v>2026 03</v>
      </c>
      <c r="G5664" s="97" t="s">
        <v>5</v>
      </c>
      <c r="H5664" s="161" t="s">
        <v>5545</v>
      </c>
      <c r="I5664" s="97" t="s">
        <v>2005</v>
      </c>
      <c r="J5664" s="97" t="s">
        <v>5546</v>
      </c>
      <c r="K5664" s="29">
        <v>34.53</v>
      </c>
      <c r="L5664" s="29">
        <v>-3.4550000000000001</v>
      </c>
      <c r="M5664" s="30">
        <f>IFERROR(VLOOKUP($A5664,HeadJournal!$A$1:$J$890,COLUMN(HeadJournal!I$1),0)*($K5664+$L5664)/(SUMIF($A:$A,$A5664,$K:$K)+SUMIF($A:$A,$A5664,$L:$L)),0)</f>
        <v>-1.5835426219258022</v>
      </c>
      <c r="N5664" s="30">
        <f>IFERROR((VLOOKUP($A5664,HeadJournal!$A$1:$K$890,COLUMN(HeadJournal!K$1),0)-VLOOKUP($A5664,HeadJournal!$A$1:$K$890,COLUMN(HeadJournal!J$1),0))*($K5664+$L5664)/(SUMIF($A:$A,$A5664,$K:$K)+SUMIF($A:$A,$A5664,$L:$L)),0)</f>
        <v>-4.6019415410056506E-15</v>
      </c>
      <c r="O5664" s="30">
        <f>IFERROR((VLOOKUP($A5664,HeadJournal!$A$1:$L$890,COLUMN(HeadJournal!L$1),0)*($K5664+$L5664)/(SUMIF($A:$A,$A5664,$K:$K)+SUMIF($A:$A,$A5664,$L:$L)))/VLOOKUP($A5664,HeadJournal!$A$1:$L$890,COLUMN(HeadJournal!H$1),0),0)</f>
        <v>1.4714582262052205</v>
      </c>
      <c r="P5664" s="30">
        <f>IFERROR(SUM(K5664:O5664)*VLOOKUP($A5664,HeadJournal!$A$1:$L$890,COLUMN(HeadJournal!H$1),0),0)</f>
        <v>2729.6545327045997</v>
      </c>
      <c r="Q5664" s="29">
        <v>3700</v>
      </c>
      <c r="R5664" s="31">
        <v>46118</v>
      </c>
      <c r="S5664" s="31" t="s">
        <v>3235</v>
      </c>
      <c r="T5664" s="95" t="str">
        <f t="shared" si="424"/>
        <v>2026 04</v>
      </c>
      <c r="U5664" s="32">
        <f t="shared" si="425"/>
        <v>970.34546729540034</v>
      </c>
      <c r="V5664" s="22">
        <f t="shared" si="426"/>
        <v>0.35548288461762284</v>
      </c>
      <c r="X5664" s="33"/>
      <c r="Y5664" s="33"/>
    </row>
    <row r="5665" spans="1:25" x14ac:dyDescent="0.2">
      <c r="A5665" s="93" t="s">
        <v>5554</v>
      </c>
      <c r="B5665" s="94">
        <f>IFERROR(VLOOKUP($A5665,HeadJournal!$A$1:$NTR$890,COLUMN(HeadJournal!B$1),0),"")</f>
        <v>0</v>
      </c>
      <c r="C5665" s="94" t="str">
        <f>IFERROR(VLOOKUP($A5665,HeadJournal!$A$1:$NTR$890,COLUMN(HeadJournal!C$1),0),"")</f>
        <v>iHerb_AV CYG0792</v>
      </c>
      <c r="D5665" s="125" t="str">
        <f>IFERROR(VLOOKUP($A5665,HeadJournal!$A$1:$NTR$890,COLUMN(HeadJournal!D$1),0),"")</f>
        <v>Доставлен</v>
      </c>
      <c r="E5665" s="95">
        <f>IFERROR(VLOOKUP($A5665,HeadJournal!$A$1:$NTR$890,COLUMN(HeadJournal!G$1),0),"")</f>
        <v>46093</v>
      </c>
      <c r="F5665" s="95" t="str">
        <f t="shared" si="423"/>
        <v>2026 03</v>
      </c>
      <c r="G5665" s="97" t="s">
        <v>5</v>
      </c>
      <c r="H5665" s="161" t="s">
        <v>5547</v>
      </c>
      <c r="I5665" s="97" t="s">
        <v>2009</v>
      </c>
      <c r="J5665" s="97" t="s">
        <v>5548</v>
      </c>
      <c r="K5665" s="29">
        <v>8.93</v>
      </c>
      <c r="L5665" s="29">
        <v>-0.89</v>
      </c>
      <c r="M5665" s="30">
        <f>IFERROR(VLOOKUP($A5665,HeadJournal!$A$1:$J$890,COLUMN(HeadJournal!I$1),0)*($K5665+$L5665)/(SUMIF($A:$A,$A5665,$K:$K)+SUMIF($A:$A,$A5665,$L:$L)),0)</f>
        <v>-0.4097082117548978</v>
      </c>
      <c r="N5665" s="30">
        <f>IFERROR((VLOOKUP($A5665,HeadJournal!$A$1:$K$890,COLUMN(HeadJournal!K$1),0)-VLOOKUP($A5665,HeadJournal!$A$1:$K$890,COLUMN(HeadJournal!J$1),0))*($K5665+$L5665)/(SUMIF($A:$A,$A5665,$K:$K)+SUMIF($A:$A,$A5665,$L:$L)),0)</f>
        <v>-1.1906551887268037E-15</v>
      </c>
      <c r="O5665" s="30">
        <f>IFERROR((VLOOKUP($A5665,HeadJournal!$A$1:$L$890,COLUMN(HeadJournal!L$1),0)*($K5665+$L5665)/(SUMIF($A:$A,$A5665,$K:$K)+SUMIF($A:$A,$A5665,$L:$L)))/VLOOKUP($A5665,HeadJournal!$A$1:$L$890,COLUMN(HeadJournal!H$1),0),0)</f>
        <v>0.38070874138986227</v>
      </c>
      <c r="P5665" s="30">
        <f>IFERROR(SUM(K5665:O5665)*VLOOKUP($A5665,HeadJournal!$A$1:$L$890,COLUMN(HeadJournal!H$1),0),0)</f>
        <v>706.24046477699039</v>
      </c>
      <c r="Q5665" s="29">
        <v>1600</v>
      </c>
      <c r="R5665" s="31">
        <v>46118</v>
      </c>
      <c r="S5665" s="31" t="s">
        <v>3235</v>
      </c>
      <c r="T5665" s="95" t="str">
        <f t="shared" si="424"/>
        <v>2026 04</v>
      </c>
      <c r="U5665" s="32">
        <f t="shared" si="425"/>
        <v>893.75953522300961</v>
      </c>
      <c r="V5665" s="22">
        <f t="shared" si="426"/>
        <v>1.265517312867696</v>
      </c>
      <c r="X5665" s="33"/>
      <c r="Y5665" s="33"/>
    </row>
    <row r="5666" spans="1:25" x14ac:dyDescent="0.2">
      <c r="A5666" s="93" t="s">
        <v>5554</v>
      </c>
      <c r="B5666" s="94">
        <f>IFERROR(VLOOKUP($A5666,HeadJournal!$A$1:$NTR$890,COLUMN(HeadJournal!B$1),0),"")</f>
        <v>0</v>
      </c>
      <c r="C5666" s="94" t="str">
        <f>IFERROR(VLOOKUP($A5666,HeadJournal!$A$1:$NTR$890,COLUMN(HeadJournal!C$1),0),"")</f>
        <v>iHerb_AV CYG0792</v>
      </c>
      <c r="D5666" s="125" t="str">
        <f>IFERROR(VLOOKUP($A5666,HeadJournal!$A$1:$NTR$890,COLUMN(HeadJournal!D$1),0),"")</f>
        <v>Доставлен</v>
      </c>
      <c r="E5666" s="95">
        <f>IFERROR(VLOOKUP($A5666,HeadJournal!$A$1:$NTR$890,COLUMN(HeadJournal!G$1),0),"")</f>
        <v>46093</v>
      </c>
      <c r="F5666" s="95" t="str">
        <f t="shared" si="423"/>
        <v>2026 03</v>
      </c>
      <c r="G5666" s="97" t="s">
        <v>7</v>
      </c>
      <c r="H5666" s="161" t="s">
        <v>2228</v>
      </c>
      <c r="I5666" s="97" t="s">
        <v>2229</v>
      </c>
      <c r="J5666" s="97" t="s">
        <v>5549</v>
      </c>
      <c r="K5666" s="29">
        <v>9.43</v>
      </c>
      <c r="L5666" s="29">
        <v>-0.94499999999999995</v>
      </c>
      <c r="M5666" s="30">
        <f>IFERROR(VLOOKUP($A5666,HeadJournal!$A$1:$J$890,COLUMN(HeadJournal!I$1),0)*($K5666+$L5666)/(SUMIF($A:$A,$A5666,$K:$K)+SUMIF($A:$A,$A5666,$L:$L)),0)</f>
        <v>-0.43238484785327208</v>
      </c>
      <c r="N5666" s="30">
        <f>IFERROR((VLOOKUP($A5666,HeadJournal!$A$1:$K$890,COLUMN(HeadJournal!K$1),0)-VLOOKUP($A5666,HeadJournal!$A$1:$K$890,COLUMN(HeadJournal!J$1),0))*($K5666+$L5666)/(SUMIF($A:$A,$A5666,$K:$K)+SUMIF($A:$A,$A5666,$L:$L)),0)</f>
        <v>-1.2565558801426531E-15</v>
      </c>
      <c r="O5666" s="30">
        <f>IFERROR((VLOOKUP($A5666,HeadJournal!$A$1:$L$890,COLUMN(HeadJournal!L$1),0)*($K5666+$L5666)/(SUMIF($A:$A,$A5666,$K:$K)+SUMIF($A:$A,$A5666,$L:$L)))/VLOOKUP($A5666,HeadJournal!$A$1:$L$890,COLUMN(HeadJournal!H$1),0),0)</f>
        <v>0.40178030730012204</v>
      </c>
      <c r="P5666" s="30">
        <f>IFERROR(SUM(K5666:O5666)*VLOOKUP($A5666,HeadJournal!$A$1:$L$890,COLUMN(HeadJournal!H$1),0),0)</f>
        <v>745.32964473044308</v>
      </c>
      <c r="Q5666" s="29">
        <v>1300</v>
      </c>
      <c r="R5666" s="31">
        <v>46118</v>
      </c>
      <c r="S5666" s="31"/>
      <c r="T5666" s="95" t="str">
        <f t="shared" si="424"/>
        <v>2026 04</v>
      </c>
      <c r="U5666" s="32">
        <f t="shared" si="425"/>
        <v>554.67035526955692</v>
      </c>
      <c r="V5666" s="22">
        <f t="shared" si="426"/>
        <v>0.74419467840992659</v>
      </c>
      <c r="X5666" s="33"/>
      <c r="Y5666" s="33"/>
    </row>
    <row r="5667" spans="1:25" x14ac:dyDescent="0.2">
      <c r="A5667" s="93" t="s">
        <v>5554</v>
      </c>
      <c r="B5667" s="94">
        <f>IFERROR(VLOOKUP($A5667,HeadJournal!$A$1:$NTR$890,COLUMN(HeadJournal!B$1),0),"")</f>
        <v>0</v>
      </c>
      <c r="C5667" s="94" t="str">
        <f>IFERROR(VLOOKUP($A5667,HeadJournal!$A$1:$NTR$890,COLUMN(HeadJournal!C$1),0),"")</f>
        <v>iHerb_AV CYG0792</v>
      </c>
      <c r="D5667" s="125" t="str">
        <f>IFERROR(VLOOKUP($A5667,HeadJournal!$A$1:$NTR$890,COLUMN(HeadJournal!D$1),0),"")</f>
        <v>Доставлен</v>
      </c>
      <c r="E5667" s="95">
        <f>IFERROR(VLOOKUP($A5667,HeadJournal!$A$1:$NTR$890,COLUMN(HeadJournal!G$1),0),"")</f>
        <v>46093</v>
      </c>
      <c r="F5667" s="95" t="str">
        <f t="shared" si="423"/>
        <v>2026 03</v>
      </c>
      <c r="G5667" s="97" t="s">
        <v>7</v>
      </c>
      <c r="H5667" s="161" t="s">
        <v>2228</v>
      </c>
      <c r="I5667" s="97" t="s">
        <v>2229</v>
      </c>
      <c r="J5667" s="97" t="s">
        <v>5549</v>
      </c>
      <c r="K5667" s="29">
        <v>9.43</v>
      </c>
      <c r="L5667" s="29">
        <v>-0.94499999999999995</v>
      </c>
      <c r="M5667" s="30">
        <f>IFERROR(VLOOKUP($A5667,HeadJournal!$A$1:$J$890,COLUMN(HeadJournal!I$1),0)*($K5667+$L5667)/(SUMIF($A:$A,$A5667,$K:$K)+SUMIF($A:$A,$A5667,$L:$L)),0)</f>
        <v>-0.43238484785327208</v>
      </c>
      <c r="N5667" s="30">
        <f>IFERROR((VLOOKUP($A5667,HeadJournal!$A$1:$K$890,COLUMN(HeadJournal!K$1),0)-VLOOKUP($A5667,HeadJournal!$A$1:$K$890,COLUMN(HeadJournal!J$1),0))*($K5667+$L5667)/(SUMIF($A:$A,$A5667,$K:$K)+SUMIF($A:$A,$A5667,$L:$L)),0)</f>
        <v>-1.2565558801426531E-15</v>
      </c>
      <c r="O5667" s="30">
        <f>IFERROR((VLOOKUP($A5667,HeadJournal!$A$1:$L$890,COLUMN(HeadJournal!L$1),0)*($K5667+$L5667)/(SUMIF($A:$A,$A5667,$K:$K)+SUMIF($A:$A,$A5667,$L:$L)))/VLOOKUP($A5667,HeadJournal!$A$1:$L$890,COLUMN(HeadJournal!H$1),0),0)</f>
        <v>0.40178030730012204</v>
      </c>
      <c r="P5667" s="30">
        <f>IFERROR(SUM(K5667:O5667)*VLOOKUP($A5667,HeadJournal!$A$1:$L$890,COLUMN(HeadJournal!H$1),0),0)</f>
        <v>745.32964473044308</v>
      </c>
      <c r="Q5667" s="29">
        <v>1300</v>
      </c>
      <c r="R5667" s="31">
        <v>46118</v>
      </c>
      <c r="S5667" s="31"/>
      <c r="T5667" s="95" t="str">
        <f t="shared" si="424"/>
        <v>2026 04</v>
      </c>
      <c r="U5667" s="32">
        <f t="shared" si="425"/>
        <v>554.67035526955692</v>
      </c>
      <c r="V5667" s="22">
        <f t="shared" si="426"/>
        <v>0.74419467840992659</v>
      </c>
      <c r="X5667" s="33"/>
      <c r="Y5667" s="33"/>
    </row>
    <row r="5668" spans="1:25" x14ac:dyDescent="0.2">
      <c r="A5668" s="93" t="s">
        <v>5554</v>
      </c>
      <c r="B5668" s="94">
        <f>IFERROR(VLOOKUP($A5668,HeadJournal!$A$1:$NTR$890,COLUMN(HeadJournal!B$1),0),"")</f>
        <v>0</v>
      </c>
      <c r="C5668" s="94" t="str">
        <f>IFERROR(VLOOKUP($A5668,HeadJournal!$A$1:$NTR$890,COLUMN(HeadJournal!C$1),0),"")</f>
        <v>iHerb_AV CYG0792</v>
      </c>
      <c r="D5668" s="125" t="str">
        <f>IFERROR(VLOOKUP($A5668,HeadJournal!$A$1:$NTR$890,COLUMN(HeadJournal!D$1),0),"")</f>
        <v>Доставлен</v>
      </c>
      <c r="E5668" s="95">
        <f>IFERROR(VLOOKUP($A5668,HeadJournal!$A$1:$NTR$890,COLUMN(HeadJournal!G$1),0),"")</f>
        <v>46093</v>
      </c>
      <c r="F5668" s="95" t="str">
        <f t="shared" si="423"/>
        <v>2026 03</v>
      </c>
      <c r="G5668" s="97" t="s">
        <v>5</v>
      </c>
      <c r="H5668" s="161" t="s">
        <v>5550</v>
      </c>
      <c r="I5668" s="97" t="s">
        <v>5380</v>
      </c>
      <c r="J5668" s="97" t="s">
        <v>5551</v>
      </c>
      <c r="K5668" s="29">
        <v>32.15</v>
      </c>
      <c r="L5668" s="29">
        <v>-3.22</v>
      </c>
      <c r="M5668" s="30">
        <f>IFERROR(VLOOKUP($A5668,HeadJournal!$A$1:$J$890,COLUMN(HeadJournal!I$1),0)*($K5668+$L5668)/(SUMIF($A:$A,$A5668,$K:$K)+SUMIF($A:$A,$A5668,$L:$L)),0)</f>
        <v>-1.4742361400583572</v>
      </c>
      <c r="N5668" s="30">
        <f>IFERROR((VLOOKUP($A5668,HeadJournal!$A$1:$K$890,COLUMN(HeadJournal!K$1),0)-VLOOKUP($A5668,HeadJournal!$A$1:$K$890,COLUMN(HeadJournal!J$1),0))*($K5668+$L5668)/(SUMIF($A:$A,$A5668,$K:$K)+SUMIF($A:$A,$A5668,$L:$L)),0)</f>
        <v>-4.2842853992371187E-15</v>
      </c>
      <c r="O5668" s="30">
        <f>IFERROR((VLOOKUP($A5668,HeadJournal!$A$1:$L$890,COLUMN(HeadJournal!L$1),0)*($K5668+$L5668)/(SUMIF($A:$A,$A5668,$K:$K)+SUMIF($A:$A,$A5668,$L:$L)))/VLOOKUP($A5668,HeadJournal!$A$1:$L$890,COLUMN(HeadJournal!H$1),0),0)</f>
        <v>1.3698885433344175</v>
      </c>
      <c r="P5668" s="30">
        <f>IFERROR(SUM(K5668:O5668)*VLOOKUP($A5668,HeadJournal!$A$1:$L$890,COLUMN(HeadJournal!H$1),0),0)</f>
        <v>2541.2359012435736</v>
      </c>
      <c r="Q5668" s="29">
        <v>3300</v>
      </c>
      <c r="R5668" s="31">
        <v>46116</v>
      </c>
      <c r="S5668" s="31" t="s">
        <v>3475</v>
      </c>
      <c r="T5668" s="95" t="str">
        <f t="shared" si="424"/>
        <v>2026 04</v>
      </c>
      <c r="U5668" s="32">
        <f t="shared" si="425"/>
        <v>758.76409875642639</v>
      </c>
      <c r="V5668" s="22">
        <f t="shared" si="426"/>
        <v>0.29858074112093225</v>
      </c>
      <c r="X5668" s="33"/>
      <c r="Y5668" s="33"/>
    </row>
    <row r="5669" spans="1:25" x14ac:dyDescent="0.2">
      <c r="A5669" s="93" t="s">
        <v>5554</v>
      </c>
      <c r="B5669" s="94">
        <f>IFERROR(VLOOKUP($A5669,HeadJournal!$A$1:$NTR$890,COLUMN(HeadJournal!B$1),0),"")</f>
        <v>0</v>
      </c>
      <c r="C5669" s="94" t="str">
        <f>IFERROR(VLOOKUP($A5669,HeadJournal!$A$1:$NTR$890,COLUMN(HeadJournal!C$1),0),"")</f>
        <v>iHerb_AV CYG0792</v>
      </c>
      <c r="D5669" s="125" t="str">
        <f>IFERROR(VLOOKUP($A5669,HeadJournal!$A$1:$NTR$890,COLUMN(HeadJournal!D$1),0),"")</f>
        <v>Доставлен</v>
      </c>
      <c r="E5669" s="95">
        <f>IFERROR(VLOOKUP($A5669,HeadJournal!$A$1:$NTR$890,COLUMN(HeadJournal!G$1),0),"")</f>
        <v>46093</v>
      </c>
      <c r="F5669" s="95" t="str">
        <f t="shared" si="423"/>
        <v>2026 03</v>
      </c>
      <c r="G5669" s="97" t="s">
        <v>5</v>
      </c>
      <c r="H5669" s="161" t="s">
        <v>5552</v>
      </c>
      <c r="I5669" s="97" t="s">
        <v>2960</v>
      </c>
      <c r="J5669" s="97" t="s">
        <v>5553</v>
      </c>
      <c r="K5669" s="29">
        <v>34.29</v>
      </c>
      <c r="L5669" s="29">
        <v>-3.43</v>
      </c>
      <c r="M5669" s="30">
        <f>IFERROR(VLOOKUP($A5669,HeadJournal!$A$1:$J$890,COLUMN(HeadJournal!I$1),0)*($K5669+$L5669)/(SUMIF($A:$A,$A5669,$K:$K)+SUMIF($A:$A,$A5669,$L:$L)),0)</f>
        <v>-1.5725864943726551</v>
      </c>
      <c r="N5669" s="30">
        <f>IFERROR((VLOOKUP($A5669,HeadJournal!$A$1:$K$890,COLUMN(HeadJournal!K$1),0)-VLOOKUP($A5669,HeadJournal!$A$1:$K$890,COLUMN(HeadJournal!J$1),0))*($K5669+$L5669)/(SUMIF($A:$A,$A5669,$K:$K)+SUMIF($A:$A,$A5669,$L:$L)),0)</f>
        <v>-4.5701018811081053E-15</v>
      </c>
      <c r="O5669" s="30">
        <f>IFERROR((VLOOKUP($A5669,HeadJournal!$A$1:$L$890,COLUMN(HeadJournal!L$1),0)*($K5669+$L5669)/(SUMIF($A:$A,$A5669,$K:$K)+SUMIF($A:$A,$A5669,$L:$L)))/VLOOKUP($A5669,HeadJournal!$A$1:$L$890,COLUMN(HeadJournal!H$1),0),0)</f>
        <v>1.4612775820013866</v>
      </c>
      <c r="P5669" s="30">
        <f>IFERROR(SUM(K5669:O5669)*VLOOKUP($A5669,HeadJournal!$A$1:$L$890,COLUMN(HeadJournal!H$1),0),0)</f>
        <v>2710.7687491315828</v>
      </c>
      <c r="Q5669" s="29">
        <v>3500</v>
      </c>
      <c r="R5669" s="31">
        <v>46116</v>
      </c>
      <c r="S5669" s="31" t="s">
        <v>3475</v>
      </c>
      <c r="T5669" s="95" t="str">
        <f t="shared" si="424"/>
        <v>2026 04</v>
      </c>
      <c r="U5669" s="32">
        <f t="shared" si="425"/>
        <v>789.23125086841719</v>
      </c>
      <c r="V5669" s="22">
        <f t="shared" si="426"/>
        <v>0.29114665392289696</v>
      </c>
      <c r="X5669" s="33"/>
      <c r="Y5669" s="33"/>
    </row>
    <row r="5670" spans="1:25" x14ac:dyDescent="0.2">
      <c r="A5670" s="93" t="s">
        <v>5554</v>
      </c>
      <c r="B5670" s="94">
        <f>IFERROR(VLOOKUP($A5670,HeadJournal!$A$1:$NTR$890,COLUMN(HeadJournal!B$1),0),"")</f>
        <v>0</v>
      </c>
      <c r="C5670" s="94" t="str">
        <f>IFERROR(VLOOKUP($A5670,HeadJournal!$A$1:$NTR$890,COLUMN(HeadJournal!C$1),0),"")</f>
        <v>iHerb_AV CYG0792</v>
      </c>
      <c r="D5670" s="125" t="str">
        <f>IFERROR(VLOOKUP($A5670,HeadJournal!$A$1:$NTR$890,COLUMN(HeadJournal!D$1),0),"")</f>
        <v>Доставлен</v>
      </c>
      <c r="E5670" s="95">
        <f>IFERROR(VLOOKUP($A5670,HeadJournal!$A$1:$NTR$890,COLUMN(HeadJournal!G$1),0),"")</f>
        <v>46093</v>
      </c>
      <c r="F5670" s="95" t="str">
        <f t="shared" si="423"/>
        <v>2026 03</v>
      </c>
      <c r="G5670" s="97" t="s">
        <v>5</v>
      </c>
      <c r="H5670" s="161" t="s">
        <v>3067</v>
      </c>
      <c r="I5670" s="97" t="s">
        <v>2460</v>
      </c>
      <c r="J5670" s="97" t="s">
        <v>3068</v>
      </c>
      <c r="K5670" s="29">
        <v>34.32</v>
      </c>
      <c r="L5670" s="29">
        <v>-3.43</v>
      </c>
      <c r="M5670" s="30">
        <f>IFERROR(VLOOKUP($A5670,HeadJournal!$A$1:$J$890,COLUMN(HeadJournal!I$1),0)*($K5670+$L5670)/(SUMIF($A:$A,$A5670,$K:$K)+SUMIF($A:$A,$A5670,$L:$L)),0)</f>
        <v>-1.5741152563568153</v>
      </c>
      <c r="N5670" s="30">
        <f>IFERROR((VLOOKUP($A5670,HeadJournal!$A$1:$K$890,COLUMN(HeadJournal!K$1),0)-VLOOKUP($A5670,HeadJournal!$A$1:$K$890,COLUMN(HeadJournal!J$1),0))*($K5670+$L5670)/(SUMIF($A:$A,$A5670,$K:$K)+SUMIF($A:$A,$A5670,$L:$L)),0)</f>
        <v>-4.5745446243496232E-15</v>
      </c>
      <c r="O5670" s="30">
        <f>IFERROR((VLOOKUP($A5670,HeadJournal!$A$1:$L$890,COLUMN(HeadJournal!L$1),0)*($K5670+$L5670)/(SUMIF($A:$A,$A5670,$K:$K)+SUMIF($A:$A,$A5670,$L:$L)))/VLOOKUP($A5670,HeadJournal!$A$1:$L$890,COLUMN(HeadJournal!H$1),0),0)</f>
        <v>1.462698137006573</v>
      </c>
      <c r="P5670" s="30">
        <f>IFERROR(SUM(K5670:O5670)*VLOOKUP($A5670,HeadJournal!$A$1:$L$890,COLUMN(HeadJournal!H$1),0),0)</f>
        <v>2713.4039747464221</v>
      </c>
      <c r="Q5670" s="29">
        <v>3500</v>
      </c>
      <c r="R5670" s="31">
        <v>46116</v>
      </c>
      <c r="S5670" s="31" t="s">
        <v>3475</v>
      </c>
      <c r="T5670" s="95" t="str">
        <f t="shared" si="424"/>
        <v>2026 04</v>
      </c>
      <c r="U5670" s="32">
        <f t="shared" si="425"/>
        <v>786.59602525357786</v>
      </c>
      <c r="V5670" s="22">
        <f t="shared" si="426"/>
        <v>0.28989270767434777</v>
      </c>
      <c r="X5670" s="33"/>
      <c r="Y5670" s="33"/>
    </row>
    <row r="5671" spans="1:25" x14ac:dyDescent="0.2">
      <c r="A5671" s="93" t="s">
        <v>5554</v>
      </c>
      <c r="B5671" s="94">
        <f>IFERROR(VLOOKUP($A5671,HeadJournal!$A$1:$NTR$890,COLUMN(HeadJournal!B$1),0),"")</f>
        <v>0</v>
      </c>
      <c r="C5671" s="94" t="str">
        <f>IFERROR(VLOOKUP($A5671,HeadJournal!$A$1:$NTR$890,COLUMN(HeadJournal!C$1),0),"")</f>
        <v>iHerb_AV CYG0792</v>
      </c>
      <c r="D5671" s="125" t="str">
        <f>IFERROR(VLOOKUP($A5671,HeadJournal!$A$1:$NTR$890,COLUMN(HeadJournal!D$1),0),"")</f>
        <v>Доставлен</v>
      </c>
      <c r="E5671" s="95">
        <f>IFERROR(VLOOKUP($A5671,HeadJournal!$A$1:$NTR$890,COLUMN(HeadJournal!G$1),0),"")</f>
        <v>46093</v>
      </c>
      <c r="F5671" s="95" t="str">
        <f t="shared" si="423"/>
        <v>2026 03</v>
      </c>
      <c r="G5671" s="97" t="s">
        <v>7</v>
      </c>
      <c r="H5671" s="161" t="s">
        <v>2718</v>
      </c>
      <c r="I5671" s="97" t="s">
        <v>2719</v>
      </c>
      <c r="J5671" s="97" t="s">
        <v>2720</v>
      </c>
      <c r="K5671" s="29">
        <v>15.64</v>
      </c>
      <c r="L5671" s="29">
        <v>-1.56</v>
      </c>
      <c r="M5671" s="30">
        <f>IFERROR(VLOOKUP($A5671,HeadJournal!$A$1:$J$890,COLUMN(HeadJournal!I$1),0)*($K5671+$L5671)/(SUMIF($A:$A,$A5671,$K:$K)+SUMIF($A:$A,$A5671,$L:$L)),0)</f>
        <v>-0.71749895789912443</v>
      </c>
      <c r="N5671" s="30">
        <f>IFERROR((VLOOKUP($A5671,HeadJournal!$A$1:$K$890,COLUMN(HeadJournal!K$1),0)-VLOOKUP($A5671,HeadJournal!$A$1:$K$890,COLUMN(HeadJournal!J$1),0))*($K5671+$L5671)/(SUMIF($A:$A,$A5671,$K:$K)+SUMIF($A:$A,$A5671,$L:$L)),0)</f>
        <v>-2.0851274946857463E-15</v>
      </c>
      <c r="O5671" s="30">
        <f>IFERROR((VLOOKUP($A5671,HeadJournal!$A$1:$L$890,COLUMN(HeadJournal!L$1),0)*($K5671+$L5671)/(SUMIF($A:$A,$A5671,$K:$K)+SUMIF($A:$A,$A5671,$L:$L)))/VLOOKUP($A5671,HeadJournal!$A$1:$L$890,COLUMN(HeadJournal!H$1),0),0)</f>
        <v>0.66671381576732103</v>
      </c>
      <c r="P5671" s="30">
        <f>IFERROR(SUM(K5671:O5671)*VLOOKUP($A5671,HeadJournal!$A$1:$L$890,COLUMN(HeadJournal!H$1),0),0)</f>
        <v>1236.7992218980132</v>
      </c>
      <c r="Q5671" s="29"/>
      <c r="R5671" s="31"/>
      <c r="S5671" s="31"/>
      <c r="T5671" s="95" t="str">
        <f t="shared" si="424"/>
        <v/>
      </c>
      <c r="U5671" s="32">
        <f t="shared" si="425"/>
        <v>-1236.7992218980132</v>
      </c>
      <c r="V5671" s="22" t="str">
        <f t="shared" si="426"/>
        <v/>
      </c>
      <c r="X5671" s="33"/>
      <c r="Y5671" s="33"/>
    </row>
    <row r="5672" spans="1:25" x14ac:dyDescent="0.2">
      <c r="A5672" s="93" t="s">
        <v>5577</v>
      </c>
      <c r="B5672" s="94">
        <f>IFERROR(VLOOKUP($A5672,HeadJournal!$A$1:$NTR$890,COLUMN(HeadJournal!B$1),0),"")</f>
        <v>0</v>
      </c>
      <c r="C5672" s="94" t="str">
        <f>IFERROR(VLOOKUP($A5672,HeadJournal!$A$1:$NTR$890,COLUMN(HeadJournal!C$1),0),"")</f>
        <v>iHerb_MH DLE7202</v>
      </c>
      <c r="D5672" s="125" t="str">
        <f>IFERROR(VLOOKUP($A5672,HeadJournal!$A$1:$NTR$890,COLUMN(HeadJournal!D$1),0),"")</f>
        <v>Доставлен</v>
      </c>
      <c r="E5672" s="95">
        <f>IFERROR(VLOOKUP($A5672,HeadJournal!$A$1:$NTR$890,COLUMN(HeadJournal!G$1),0),"")</f>
        <v>46094</v>
      </c>
      <c r="F5672" s="95" t="str">
        <f t="shared" si="423"/>
        <v>2026 03</v>
      </c>
      <c r="G5672" s="97" t="s">
        <v>5</v>
      </c>
      <c r="H5672" s="161" t="s">
        <v>5555</v>
      </c>
      <c r="I5672" s="97" t="s">
        <v>5556</v>
      </c>
      <c r="J5672" s="97" t="s">
        <v>5557</v>
      </c>
      <c r="K5672" s="29">
        <v>112.69</v>
      </c>
      <c r="L5672" s="29">
        <v>-11.27</v>
      </c>
      <c r="M5672" s="30">
        <f>IFERROR(VLOOKUP($A5672,HeadJournal!$A$1:$J$890,COLUMN(HeadJournal!I$1),0)*($K5672+$L5672)/(SUMIF($A:$A,$A5672,$K:$K)+SUMIF($A:$A,$A5672,$L:$L)),0)</f>
        <v>-5.1464852422118792</v>
      </c>
      <c r="N5672" s="30">
        <f>IFERROR((VLOOKUP($A5672,HeadJournal!$A$1:$K$890,COLUMN(HeadJournal!K$1),0)-VLOOKUP($A5672,HeadJournal!$A$1:$K$890,COLUMN(HeadJournal!J$1),0))*($K5672+$L5672)/(SUMIF($A:$A,$A5672,$K:$K)+SUMIF($A:$A,$A5672,$L:$L)),0)</f>
        <v>2.9490304060888795E-14</v>
      </c>
      <c r="O5672" s="30">
        <f>IFERROR((VLOOKUP($A5672,HeadJournal!$A$1:$L$890,COLUMN(HeadJournal!L$1),0)*($K5672+$L5672)/(SUMIF($A:$A,$A5672,$K:$K)+SUMIF($A:$A,$A5672,$L:$L)))/VLOOKUP($A5672,HeadJournal!$A$1:$L$890,COLUMN(HeadJournal!H$1),0),0)</f>
        <v>4.7151961155851838</v>
      </c>
      <c r="P5672" s="30">
        <f>IFERROR(SUM(K5672:O5672)*VLOOKUP($A5672,HeadJournal!$A$1:$L$890,COLUMN(HeadJournal!H$1),0),0)</f>
        <v>8902.151870342901</v>
      </c>
      <c r="Q5672" s="29">
        <v>10400</v>
      </c>
      <c r="R5672" s="31">
        <v>46116</v>
      </c>
      <c r="S5672" s="31" t="s">
        <v>3475</v>
      </c>
      <c r="T5672" s="95" t="str">
        <f t="shared" si="424"/>
        <v>2026 04</v>
      </c>
      <c r="U5672" s="32">
        <f t="shared" si="425"/>
        <v>1497.848129657099</v>
      </c>
      <c r="V5672" s="22">
        <f t="shared" si="426"/>
        <v>0.16825686097842357</v>
      </c>
      <c r="X5672" s="33"/>
      <c r="Y5672" s="33"/>
    </row>
    <row r="5673" spans="1:25" x14ac:dyDescent="0.2">
      <c r="A5673" s="93" t="s">
        <v>5577</v>
      </c>
      <c r="B5673" s="94">
        <f>IFERROR(VLOOKUP($A5673,HeadJournal!$A$1:$NTR$890,COLUMN(HeadJournal!B$1),0),"")</f>
        <v>0</v>
      </c>
      <c r="C5673" s="94" t="str">
        <f>IFERROR(VLOOKUP($A5673,HeadJournal!$A$1:$NTR$890,COLUMN(HeadJournal!C$1),0),"")</f>
        <v>iHerb_MH DLE7202</v>
      </c>
      <c r="D5673" s="125" t="str">
        <f>IFERROR(VLOOKUP($A5673,HeadJournal!$A$1:$NTR$890,COLUMN(HeadJournal!D$1),0),"")</f>
        <v>Доставлен</v>
      </c>
      <c r="E5673" s="95">
        <f>IFERROR(VLOOKUP($A5673,HeadJournal!$A$1:$NTR$890,COLUMN(HeadJournal!G$1),0),"")</f>
        <v>46094</v>
      </c>
      <c r="F5673" s="95" t="str">
        <f t="shared" si="423"/>
        <v>2026 03</v>
      </c>
      <c r="G5673" s="97" t="s">
        <v>5</v>
      </c>
      <c r="H5673" s="161" t="s">
        <v>5558</v>
      </c>
      <c r="I5673" s="97" t="s">
        <v>2052</v>
      </c>
      <c r="J5673" s="97" t="s">
        <v>5559</v>
      </c>
      <c r="K5673" s="29">
        <v>11.94</v>
      </c>
      <c r="L5673" s="29">
        <v>-5.52</v>
      </c>
      <c r="M5673" s="30">
        <f>IFERROR(VLOOKUP($A5673,HeadJournal!$A$1:$J$890,COLUMN(HeadJournal!I$1),0)*($K5673+$L5673)/(SUMIF($A:$A,$A5673,$K:$K)+SUMIF($A:$A,$A5673,$L:$L)),0)</f>
        <v>-0.3257783006803418</v>
      </c>
      <c r="N5673" s="30">
        <f>IFERROR((VLOOKUP($A5673,HeadJournal!$A$1:$K$890,COLUMN(HeadJournal!K$1),0)-VLOOKUP($A5673,HeadJournal!$A$1:$K$890,COLUMN(HeadJournal!J$1),0))*($K5673+$L5673)/(SUMIF($A:$A,$A5673,$K:$K)+SUMIF($A:$A,$A5673,$L:$L)),0)</f>
        <v>1.8667693952958594E-15</v>
      </c>
      <c r="O5673" s="30">
        <f>IFERROR((VLOOKUP($A5673,HeadJournal!$A$1:$L$890,COLUMN(HeadJournal!L$1),0)*($K5673+$L5673)/(SUMIF($A:$A,$A5673,$K:$K)+SUMIF($A:$A,$A5673,$L:$L)))/VLOOKUP($A5673,HeadJournal!$A$1:$L$890,COLUMN(HeadJournal!H$1),0),0)</f>
        <v>0.29847721417922379</v>
      </c>
      <c r="P5673" s="30">
        <f>IFERROR(SUM(K5673:O5673)*VLOOKUP($A5673,HeadJournal!$A$1:$L$890,COLUMN(HeadJournal!H$1),0),0)</f>
        <v>563.5162197554863</v>
      </c>
      <c r="Q5673" s="29"/>
      <c r="R5673" s="31"/>
      <c r="S5673" s="31"/>
      <c r="T5673" s="95" t="str">
        <f t="shared" si="424"/>
        <v/>
      </c>
      <c r="U5673" s="32">
        <f t="shared" si="425"/>
        <v>-563.5162197554863</v>
      </c>
      <c r="V5673" s="22" t="str">
        <f t="shared" si="426"/>
        <v/>
      </c>
      <c r="X5673" s="33"/>
      <c r="Y5673" s="33"/>
    </row>
    <row r="5674" spans="1:25" x14ac:dyDescent="0.2">
      <c r="A5674" s="93" t="s">
        <v>5577</v>
      </c>
      <c r="B5674" s="94">
        <f>IFERROR(VLOOKUP($A5674,HeadJournal!$A$1:$NTR$890,COLUMN(HeadJournal!B$1),0),"")</f>
        <v>0</v>
      </c>
      <c r="C5674" s="94" t="str">
        <f>IFERROR(VLOOKUP($A5674,HeadJournal!$A$1:$NTR$890,COLUMN(HeadJournal!C$1),0),"")</f>
        <v>iHerb_MH DLE7202</v>
      </c>
      <c r="D5674" s="125" t="str">
        <f>IFERROR(VLOOKUP($A5674,HeadJournal!$A$1:$NTR$890,COLUMN(HeadJournal!D$1),0),"")</f>
        <v>Доставлен</v>
      </c>
      <c r="E5674" s="95">
        <f>IFERROR(VLOOKUP($A5674,HeadJournal!$A$1:$NTR$890,COLUMN(HeadJournal!G$1),0),"")</f>
        <v>46094</v>
      </c>
      <c r="F5674" s="95" t="str">
        <f t="shared" si="423"/>
        <v>2026 03</v>
      </c>
      <c r="G5674" s="97" t="s">
        <v>5</v>
      </c>
      <c r="H5674" s="161" t="s">
        <v>5560</v>
      </c>
      <c r="I5674" s="97" t="s">
        <v>2581</v>
      </c>
      <c r="J5674" s="97" t="s">
        <v>5561</v>
      </c>
      <c r="K5674" s="29">
        <v>9.44</v>
      </c>
      <c r="L5674" s="29">
        <v>-3.5</v>
      </c>
      <c r="M5674" s="30">
        <f>IFERROR(VLOOKUP($A5674,HeadJournal!$A$1:$J$890,COLUMN(HeadJournal!I$1),0)*($K5674+$L5674)/(SUMIF($A:$A,$A5674,$K:$K)+SUMIF($A:$A,$A5674,$L:$L)),0)</f>
        <v>-0.30142104455470875</v>
      </c>
      <c r="N5674" s="30">
        <f>IFERROR((VLOOKUP($A5674,HeadJournal!$A$1:$K$890,COLUMN(HeadJournal!K$1),0)-VLOOKUP($A5674,HeadJournal!$A$1:$K$890,COLUMN(HeadJournal!J$1),0))*($K5674+$L5674)/(SUMIF($A:$A,$A5674,$K:$K)+SUMIF($A:$A,$A5674,$L:$L)),0)</f>
        <v>1.7271978517223371E-15</v>
      </c>
      <c r="O5674" s="30">
        <f>IFERROR((VLOOKUP($A5674,HeadJournal!$A$1:$L$890,COLUMN(HeadJournal!L$1),0)*($K5674+$L5674)/(SUMIF($A:$A,$A5674,$K:$K)+SUMIF($A:$A,$A5674,$L:$L)))/VLOOKUP($A5674,HeadJournal!$A$1:$L$890,COLUMN(HeadJournal!H$1),0),0)</f>
        <v>0.27616116078264624</v>
      </c>
      <c r="P5674" s="30">
        <f>IFERROR(SUM(K5674:O5674)*VLOOKUP($A5674,HeadJournal!$A$1:$L$890,COLUMN(HeadJournal!H$1),0),0)</f>
        <v>521.38416594199202</v>
      </c>
      <c r="Q5674" s="29">
        <v>1700</v>
      </c>
      <c r="R5674" s="31">
        <v>46128</v>
      </c>
      <c r="S5674" s="31" t="s">
        <v>5101</v>
      </c>
      <c r="T5674" s="95" t="str">
        <f t="shared" si="424"/>
        <v>2026 04</v>
      </c>
      <c r="U5674" s="32">
        <f t="shared" si="425"/>
        <v>1178.615834058008</v>
      </c>
      <c r="V5674" s="22">
        <f t="shared" si="426"/>
        <v>2.2605516451167755</v>
      </c>
      <c r="X5674" s="33"/>
      <c r="Y5674" s="33"/>
    </row>
    <row r="5675" spans="1:25" x14ac:dyDescent="0.2">
      <c r="A5675" s="93" t="s">
        <v>5577</v>
      </c>
      <c r="B5675" s="94">
        <f>IFERROR(VLOOKUP($A5675,HeadJournal!$A$1:$NTR$890,COLUMN(HeadJournal!B$1),0),"")</f>
        <v>0</v>
      </c>
      <c r="C5675" s="94" t="str">
        <f>IFERROR(VLOOKUP($A5675,HeadJournal!$A$1:$NTR$890,COLUMN(HeadJournal!C$1),0),"")</f>
        <v>iHerb_MH DLE7202</v>
      </c>
      <c r="D5675" s="125" t="str">
        <f>IFERROR(VLOOKUP($A5675,HeadJournal!$A$1:$NTR$890,COLUMN(HeadJournal!D$1),0),"")</f>
        <v>Доставлен</v>
      </c>
      <c r="E5675" s="95">
        <f>IFERROR(VLOOKUP($A5675,HeadJournal!$A$1:$NTR$890,COLUMN(HeadJournal!G$1),0),"")</f>
        <v>46094</v>
      </c>
      <c r="F5675" s="95" t="str">
        <f t="shared" si="423"/>
        <v>2026 03</v>
      </c>
      <c r="G5675" s="97" t="s">
        <v>5</v>
      </c>
      <c r="H5675" s="161" t="s">
        <v>5562</v>
      </c>
      <c r="I5675" s="97" t="s">
        <v>2052</v>
      </c>
      <c r="J5675" s="97" t="s">
        <v>5563</v>
      </c>
      <c r="K5675" s="29">
        <v>22.63</v>
      </c>
      <c r="L5675" s="29">
        <v>-6.41</v>
      </c>
      <c r="M5675" s="30">
        <f>IFERROR(VLOOKUP($A5675,HeadJournal!$A$1:$J$890,COLUMN(HeadJournal!I$1),0)*($K5675+$L5675)/(SUMIF($A:$A,$A5675,$K:$K)+SUMIF($A:$A,$A5675,$L:$L)),0)</f>
        <v>-0.82307227991201615</v>
      </c>
      <c r="N5675" s="30">
        <f>IFERROR((VLOOKUP($A5675,HeadJournal!$A$1:$K$890,COLUMN(HeadJournal!K$1),0)-VLOOKUP($A5675,HeadJournal!$A$1:$K$890,COLUMN(HeadJournal!J$1),0))*($K5675+$L5675)/(SUMIF($A:$A,$A5675,$K:$K)+SUMIF($A:$A,$A5675,$L:$L)),0)</f>
        <v>4.7163550765886034E-15</v>
      </c>
      <c r="O5675" s="30">
        <f>IFERROR((VLOOKUP($A5675,HeadJournal!$A$1:$L$890,COLUMN(HeadJournal!L$1),0)*($K5675+$L5675)/(SUMIF($A:$A,$A5675,$K:$K)+SUMIF($A:$A,$A5675,$L:$L)))/VLOOKUP($A5675,HeadJournal!$A$1:$L$890,COLUMN(HeadJournal!H$1),0),0)</f>
        <v>0.75409663769268065</v>
      </c>
      <c r="P5675" s="30">
        <f>IFERROR(SUM(K5675:O5675)*VLOOKUP($A5675,HeadJournal!$A$1:$L$890,COLUMN(HeadJournal!H$1),0),0)</f>
        <v>1423.7123184476616</v>
      </c>
      <c r="Q5675" s="29">
        <v>2600</v>
      </c>
      <c r="R5675" s="31">
        <v>46164</v>
      </c>
      <c r="S5675" s="31" t="s">
        <v>3475</v>
      </c>
      <c r="T5675" s="95" t="str">
        <f t="shared" si="424"/>
        <v>2026 05</v>
      </c>
      <c r="U5675" s="32">
        <f t="shared" si="425"/>
        <v>1176.2876815523384</v>
      </c>
      <c r="V5675" s="22">
        <f t="shared" si="426"/>
        <v>0.82621163440862722</v>
      </c>
      <c r="X5675" s="33"/>
      <c r="Y5675" s="33"/>
    </row>
    <row r="5676" spans="1:25" x14ac:dyDescent="0.2">
      <c r="A5676" s="93" t="s">
        <v>5577</v>
      </c>
      <c r="B5676" s="94">
        <f>IFERROR(VLOOKUP($A5676,HeadJournal!$A$1:$NTR$890,COLUMN(HeadJournal!B$1),0),"")</f>
        <v>0</v>
      </c>
      <c r="C5676" s="94" t="str">
        <f>IFERROR(VLOOKUP($A5676,HeadJournal!$A$1:$NTR$890,COLUMN(HeadJournal!C$1),0),"")</f>
        <v>iHerb_MH DLE7202</v>
      </c>
      <c r="D5676" s="125" t="str">
        <f>IFERROR(VLOOKUP($A5676,HeadJournal!$A$1:$NTR$890,COLUMN(HeadJournal!D$1),0),"")</f>
        <v>Доставлен</v>
      </c>
      <c r="E5676" s="95">
        <f>IFERROR(VLOOKUP($A5676,HeadJournal!$A$1:$NTR$890,COLUMN(HeadJournal!G$1),0),"")</f>
        <v>46094</v>
      </c>
      <c r="F5676" s="95" t="str">
        <f t="shared" si="423"/>
        <v>2026 03</v>
      </c>
      <c r="G5676" s="97" t="s">
        <v>5</v>
      </c>
      <c r="H5676" s="161" t="s">
        <v>5564</v>
      </c>
      <c r="I5676" s="97" t="s">
        <v>2750</v>
      </c>
      <c r="J5676" s="97" t="s">
        <v>5565</v>
      </c>
      <c r="K5676" s="29">
        <v>16.05</v>
      </c>
      <c r="L5676" s="29">
        <v>-5.94</v>
      </c>
      <c r="M5676" s="30">
        <f>IFERROR(VLOOKUP($A5676,HeadJournal!$A$1:$J$890,COLUMN(HeadJournal!I$1),0)*($K5676+$L5676)/(SUMIF($A:$A,$A5676,$K:$K)+SUMIF($A:$A,$A5676,$L:$L)),0)</f>
        <v>-0.51302470714614568</v>
      </c>
      <c r="N5676" s="30">
        <f>IFERROR((VLOOKUP($A5676,HeadJournal!$A$1:$K$890,COLUMN(HeadJournal!K$1),0)-VLOOKUP($A5676,HeadJournal!$A$1:$K$890,COLUMN(HeadJournal!J$1),0))*($K5676+$L5676)/(SUMIF($A:$A,$A5676,$K:$K)+SUMIF($A:$A,$A5676,$L:$L)),0)</f>
        <v>2.939725636517311E-15</v>
      </c>
      <c r="O5676" s="30">
        <f>IFERROR((VLOOKUP($A5676,HeadJournal!$A$1:$L$890,COLUMN(HeadJournal!L$1),0)*($K5676+$L5676)/(SUMIF($A:$A,$A5676,$K:$K)+SUMIF($A:$A,$A5676,$L:$L)))/VLOOKUP($A5676,HeadJournal!$A$1:$L$890,COLUMN(HeadJournal!H$1),0),0)</f>
        <v>0.47003187466541319</v>
      </c>
      <c r="P5676" s="30">
        <f>IFERROR(SUM(K5676:O5676)*VLOOKUP($A5676,HeadJournal!$A$1:$L$890,COLUMN(HeadJournal!H$1),0),0)</f>
        <v>887.40638344672379</v>
      </c>
      <c r="Q5676" s="29"/>
      <c r="R5676" s="31"/>
      <c r="S5676" s="31"/>
      <c r="T5676" s="95" t="str">
        <f t="shared" si="424"/>
        <v/>
      </c>
      <c r="U5676" s="32">
        <f t="shared" si="425"/>
        <v>-887.40638344672379</v>
      </c>
      <c r="V5676" s="22" t="str">
        <f t="shared" si="426"/>
        <v/>
      </c>
      <c r="X5676" s="33"/>
      <c r="Y5676" s="33"/>
    </row>
    <row r="5677" spans="1:25" x14ac:dyDescent="0.2">
      <c r="A5677" s="93" t="s">
        <v>5577</v>
      </c>
      <c r="B5677" s="94">
        <f>IFERROR(VLOOKUP($A5677,HeadJournal!$A$1:$NTR$890,COLUMN(HeadJournal!B$1),0),"")</f>
        <v>0</v>
      </c>
      <c r="C5677" s="94" t="str">
        <f>IFERROR(VLOOKUP($A5677,HeadJournal!$A$1:$NTR$890,COLUMN(HeadJournal!C$1),0),"")</f>
        <v>iHerb_MH DLE7202</v>
      </c>
      <c r="D5677" s="125" t="str">
        <f>IFERROR(VLOOKUP($A5677,HeadJournal!$A$1:$NTR$890,COLUMN(HeadJournal!D$1),0),"")</f>
        <v>Доставлен</v>
      </c>
      <c r="E5677" s="95">
        <f>IFERROR(VLOOKUP($A5677,HeadJournal!$A$1:$NTR$890,COLUMN(HeadJournal!G$1),0),"")</f>
        <v>46094</v>
      </c>
      <c r="F5677" s="95" t="str">
        <f t="shared" si="423"/>
        <v>2026 03</v>
      </c>
      <c r="G5677" s="97" t="s">
        <v>7</v>
      </c>
      <c r="H5677" s="161" t="s">
        <v>5566</v>
      </c>
      <c r="I5677" s="97" t="s">
        <v>2716</v>
      </c>
      <c r="J5677" s="97" t="s">
        <v>5567</v>
      </c>
      <c r="K5677" s="29">
        <v>8.94</v>
      </c>
      <c r="L5677" s="29">
        <v>-2.5299999999999998</v>
      </c>
      <c r="M5677" s="30">
        <f>IFERROR(VLOOKUP($A5677,HeadJournal!$A$1:$J$890,COLUMN(HeadJournal!I$1),0)*($K5677+$L5677)/(SUMIF($A:$A,$A5677,$K:$K)+SUMIF($A:$A,$A5677,$L:$L)),0)</f>
        <v>-0.32527085784439114</v>
      </c>
      <c r="N5677" s="30">
        <f>IFERROR((VLOOKUP($A5677,HeadJournal!$A$1:$K$890,COLUMN(HeadJournal!K$1),0)-VLOOKUP($A5677,HeadJournal!$A$1:$K$890,COLUMN(HeadJournal!J$1),0))*($K5677+$L5677)/(SUMIF($A:$A,$A5677,$K:$K)+SUMIF($A:$A,$A5677,$L:$L)),0)</f>
        <v>1.8638616548047443E-15</v>
      </c>
      <c r="O5677" s="30">
        <f>IFERROR((VLOOKUP($A5677,HeadJournal!$A$1:$L$890,COLUMN(HeadJournal!L$1),0)*($K5677+$L5677)/(SUMIF($A:$A,$A5677,$K:$K)+SUMIF($A:$A,$A5677,$L:$L)))/VLOOKUP($A5677,HeadJournal!$A$1:$L$890,COLUMN(HeadJournal!H$1),0),0)</f>
        <v>0.29801229640012844</v>
      </c>
      <c r="P5677" s="30">
        <f>IFERROR(SUM(K5677:O5677)*VLOOKUP($A5677,HeadJournal!$A$1:$L$890,COLUMN(HeadJournal!H$1),0),0)</f>
        <v>562.63846863437186</v>
      </c>
      <c r="Q5677" s="29"/>
      <c r="R5677" s="31"/>
      <c r="S5677" s="31"/>
      <c r="T5677" s="95" t="str">
        <f t="shared" si="424"/>
        <v/>
      </c>
      <c r="U5677" s="32">
        <f t="shared" si="425"/>
        <v>-562.63846863437186</v>
      </c>
      <c r="V5677" s="22" t="str">
        <f t="shared" si="426"/>
        <v/>
      </c>
      <c r="X5677" s="33"/>
      <c r="Y5677" s="33"/>
    </row>
    <row r="5678" spans="1:25" x14ac:dyDescent="0.2">
      <c r="A5678" s="93" t="s">
        <v>5577</v>
      </c>
      <c r="B5678" s="94">
        <f>IFERROR(VLOOKUP($A5678,HeadJournal!$A$1:$NTR$890,COLUMN(HeadJournal!B$1),0),"")</f>
        <v>0</v>
      </c>
      <c r="C5678" s="94" t="str">
        <f>IFERROR(VLOOKUP($A5678,HeadJournal!$A$1:$NTR$890,COLUMN(HeadJournal!C$1),0),"")</f>
        <v>iHerb_MH DLE7202</v>
      </c>
      <c r="D5678" s="125" t="str">
        <f>IFERROR(VLOOKUP($A5678,HeadJournal!$A$1:$NTR$890,COLUMN(HeadJournal!D$1),0),"")</f>
        <v>Доставлен</v>
      </c>
      <c r="E5678" s="95">
        <f>IFERROR(VLOOKUP($A5678,HeadJournal!$A$1:$NTR$890,COLUMN(HeadJournal!G$1),0),"")</f>
        <v>46094</v>
      </c>
      <c r="F5678" s="95" t="str">
        <f t="shared" si="423"/>
        <v>2026 03</v>
      </c>
      <c r="G5678" s="97" t="s">
        <v>7</v>
      </c>
      <c r="H5678" s="161" t="s">
        <v>5568</v>
      </c>
      <c r="I5678" s="97" t="s">
        <v>5569</v>
      </c>
      <c r="J5678" s="97" t="s">
        <v>5570</v>
      </c>
      <c r="K5678" s="29">
        <v>6.44</v>
      </c>
      <c r="L5678" s="29">
        <v>-1.34</v>
      </c>
      <c r="M5678" s="30">
        <f>IFERROR(VLOOKUP($A5678,HeadJournal!$A$1:$J$890,COLUMN(HeadJournal!I$1),0)*($K5678+$L5678)/(SUMIF($A:$A,$A5678,$K:$K)+SUMIF($A:$A,$A5678,$L:$L)),0)</f>
        <v>-0.25879584633485098</v>
      </c>
      <c r="N5678" s="30">
        <f>IFERROR((VLOOKUP($A5678,HeadJournal!$A$1:$K$890,COLUMN(HeadJournal!K$1),0)-VLOOKUP($A5678,HeadJournal!$A$1:$K$890,COLUMN(HeadJournal!J$1),0))*($K5678+$L5678)/(SUMIF($A:$A,$A5678,$K:$K)+SUMIF($A:$A,$A5678,$L:$L)),0)</f>
        <v>1.4829476504686735E-15</v>
      </c>
      <c r="O5678" s="30">
        <f>IFERROR((VLOOKUP($A5678,HeadJournal!$A$1:$L$890,COLUMN(HeadJournal!L$1),0)*($K5678+$L5678)/(SUMIF($A:$A,$A5678,$K:$K)+SUMIF($A:$A,$A5678,$L:$L)))/VLOOKUP($A5678,HeadJournal!$A$1:$L$890,COLUMN(HeadJournal!H$1),0),0)</f>
        <v>0.23710806733863576</v>
      </c>
      <c r="P5678" s="30">
        <f>IFERROR(SUM(K5678:O5678)*VLOOKUP($A5678,HeadJournal!$A$1:$L$890,COLUMN(HeadJournal!H$1),0),0)</f>
        <v>447.65307176837712</v>
      </c>
      <c r="Q5678" s="29"/>
      <c r="R5678" s="31"/>
      <c r="S5678" s="31"/>
      <c r="T5678" s="95" t="str">
        <f t="shared" si="424"/>
        <v/>
      </c>
      <c r="U5678" s="32">
        <f t="shared" si="425"/>
        <v>-447.65307176837712</v>
      </c>
      <c r="V5678" s="22" t="str">
        <f t="shared" si="426"/>
        <v/>
      </c>
      <c r="X5678" s="33"/>
      <c r="Y5678" s="33"/>
    </row>
    <row r="5679" spans="1:25" x14ac:dyDescent="0.2">
      <c r="A5679" s="93" t="s">
        <v>5577</v>
      </c>
      <c r="B5679" s="94">
        <f>IFERROR(VLOOKUP($A5679,HeadJournal!$A$1:$NTR$890,COLUMN(HeadJournal!B$1),0),"")</f>
        <v>0</v>
      </c>
      <c r="C5679" s="94" t="str">
        <f>IFERROR(VLOOKUP($A5679,HeadJournal!$A$1:$NTR$890,COLUMN(HeadJournal!C$1),0),"")</f>
        <v>iHerb_MH DLE7202</v>
      </c>
      <c r="D5679" s="125" t="str">
        <f>IFERROR(VLOOKUP($A5679,HeadJournal!$A$1:$NTR$890,COLUMN(HeadJournal!D$1),0),"")</f>
        <v>Доставлен</v>
      </c>
      <c r="E5679" s="95">
        <f>IFERROR(VLOOKUP($A5679,HeadJournal!$A$1:$NTR$890,COLUMN(HeadJournal!G$1),0),"")</f>
        <v>46094</v>
      </c>
      <c r="F5679" s="95" t="str">
        <f t="shared" si="423"/>
        <v>2026 03</v>
      </c>
      <c r="G5679" s="97" t="s">
        <v>7</v>
      </c>
      <c r="H5679" s="161" t="s">
        <v>5571</v>
      </c>
      <c r="I5679" s="97" t="s">
        <v>5569</v>
      </c>
      <c r="J5679" s="97" t="s">
        <v>5572</v>
      </c>
      <c r="K5679" s="29">
        <v>6.44</v>
      </c>
      <c r="L5679" s="29">
        <v>-1.93</v>
      </c>
      <c r="M5679" s="30">
        <f>IFERROR(VLOOKUP($A5679,HeadJournal!$A$1:$J$890,COLUMN(HeadJournal!I$1),0)*($K5679+$L5679)/(SUMIF($A:$A,$A5679,$K:$K)+SUMIF($A:$A,$A5679,$L:$L)),0)</f>
        <v>-0.22885671901376037</v>
      </c>
      <c r="N5679" s="30">
        <f>IFERROR((VLOOKUP($A5679,HeadJournal!$A$1:$K$890,COLUMN(HeadJournal!K$1),0)-VLOOKUP($A5679,HeadJournal!$A$1:$K$890,COLUMN(HeadJournal!J$1),0))*($K5679+$L5679)/(SUMIF($A:$A,$A5679,$K:$K)+SUMIF($A:$A,$A5679,$L:$L)),0)</f>
        <v>1.3113909614928858E-15</v>
      </c>
      <c r="O5679" s="30">
        <f>IFERROR((VLOOKUP($A5679,HeadJournal!$A$1:$L$890,COLUMN(HeadJournal!L$1),0)*($K5679+$L5679)/(SUMIF($A:$A,$A5679,$K:$K)+SUMIF($A:$A,$A5679,$L:$L)))/VLOOKUP($A5679,HeadJournal!$A$1:$L$890,COLUMN(HeadJournal!H$1),0),0)</f>
        <v>0.20967791837200928</v>
      </c>
      <c r="P5679" s="30">
        <f>IFERROR(SUM(K5679:O5679)*VLOOKUP($A5679,HeadJournal!$A$1:$L$890,COLUMN(HeadJournal!H$1),0),0)</f>
        <v>395.86575562262368</v>
      </c>
      <c r="Q5679" s="29"/>
      <c r="R5679" s="31"/>
      <c r="S5679" s="31"/>
      <c r="T5679" s="95" t="str">
        <f t="shared" si="424"/>
        <v/>
      </c>
      <c r="U5679" s="32">
        <f t="shared" si="425"/>
        <v>-395.86575562262368</v>
      </c>
      <c r="V5679" s="22" t="str">
        <f t="shared" si="426"/>
        <v/>
      </c>
      <c r="X5679" s="33"/>
      <c r="Y5679" s="33"/>
    </row>
    <row r="5680" spans="1:25" x14ac:dyDescent="0.2">
      <c r="A5680" s="93" t="s">
        <v>5577</v>
      </c>
      <c r="B5680" s="94">
        <f>IFERROR(VLOOKUP($A5680,HeadJournal!$A$1:$NTR$890,COLUMN(HeadJournal!B$1),0),"")</f>
        <v>0</v>
      </c>
      <c r="C5680" s="94" t="str">
        <f>IFERROR(VLOOKUP($A5680,HeadJournal!$A$1:$NTR$890,COLUMN(HeadJournal!C$1),0),"")</f>
        <v>iHerb_MH DLE7202</v>
      </c>
      <c r="D5680" s="125" t="str">
        <f>IFERROR(VLOOKUP($A5680,HeadJournal!$A$1:$NTR$890,COLUMN(HeadJournal!D$1),0),"")</f>
        <v>Доставлен</v>
      </c>
      <c r="E5680" s="95">
        <f>IFERROR(VLOOKUP($A5680,HeadJournal!$A$1:$NTR$890,COLUMN(HeadJournal!G$1),0),"")</f>
        <v>46094</v>
      </c>
      <c r="F5680" s="95" t="str">
        <f t="shared" si="423"/>
        <v>2026 03</v>
      </c>
      <c r="G5680" s="97" t="s">
        <v>5</v>
      </c>
      <c r="H5680" s="161" t="s">
        <v>5573</v>
      </c>
      <c r="I5680" s="97" t="s">
        <v>2750</v>
      </c>
      <c r="J5680" s="97" t="s">
        <v>5574</v>
      </c>
      <c r="K5680" s="29">
        <v>13.91</v>
      </c>
      <c r="L5680" s="29">
        <v>-6.42</v>
      </c>
      <c r="M5680" s="30">
        <f>IFERROR(VLOOKUP($A5680,HeadJournal!$A$1:$J$890,COLUMN(HeadJournal!I$1),0)*($K5680+$L5680)/(SUMIF($A:$A,$A5680,$K:$K)+SUMIF($A:$A,$A5680,$L:$L)),0)</f>
        <v>-0.38007468412706541</v>
      </c>
      <c r="N5680" s="30">
        <f>IFERROR((VLOOKUP($A5680,HeadJournal!$A$1:$K$890,COLUMN(HeadJournal!K$1),0)-VLOOKUP($A5680,HeadJournal!$A$1:$K$890,COLUMN(HeadJournal!J$1),0))*($K5680+$L5680)/(SUMIF($A:$A,$A5680,$K:$K)+SUMIF($A:$A,$A5680,$L:$L)),0)</f>
        <v>2.1778976278451694E-15</v>
      </c>
      <c r="O5680" s="30">
        <f>IFERROR((VLOOKUP($A5680,HeadJournal!$A$1:$L$890,COLUMN(HeadJournal!L$1),0)*($K5680+$L5680)/(SUMIF($A:$A,$A5680,$K:$K)+SUMIF($A:$A,$A5680,$L:$L)))/VLOOKUP($A5680,HeadJournal!$A$1:$L$890,COLUMN(HeadJournal!H$1),0),0)</f>
        <v>0.34822341654242772</v>
      </c>
      <c r="P5680" s="30">
        <f>IFERROR(SUM(K5680:O5680)*VLOOKUP($A5680,HeadJournal!$A$1:$L$890,COLUMN(HeadJournal!H$1),0),0)</f>
        <v>657.43558971473408</v>
      </c>
      <c r="Q5680" s="29"/>
      <c r="R5680" s="31"/>
      <c r="S5680" s="31"/>
      <c r="T5680" s="95" t="str">
        <f t="shared" si="424"/>
        <v/>
      </c>
      <c r="U5680" s="32">
        <f t="shared" si="425"/>
        <v>-657.43558971473408</v>
      </c>
      <c r="V5680" s="22" t="str">
        <f t="shared" si="426"/>
        <v/>
      </c>
      <c r="X5680" s="33"/>
      <c r="Y5680" s="33"/>
    </row>
    <row r="5681" spans="1:25" x14ac:dyDescent="0.2">
      <c r="A5681" s="93" t="s">
        <v>5577</v>
      </c>
      <c r="B5681" s="94">
        <f>IFERROR(VLOOKUP($A5681,HeadJournal!$A$1:$NTR$890,COLUMN(HeadJournal!B$1),0),"")</f>
        <v>0</v>
      </c>
      <c r="C5681" s="94" t="str">
        <f>IFERROR(VLOOKUP($A5681,HeadJournal!$A$1:$NTR$890,COLUMN(HeadJournal!C$1),0),"")</f>
        <v>iHerb_MH DLE7202</v>
      </c>
      <c r="D5681" s="125" t="str">
        <f>IFERROR(VLOOKUP($A5681,HeadJournal!$A$1:$NTR$890,COLUMN(HeadJournal!D$1),0),"")</f>
        <v>Доставлен</v>
      </c>
      <c r="E5681" s="95">
        <f>IFERROR(VLOOKUP($A5681,HeadJournal!$A$1:$NTR$890,COLUMN(HeadJournal!G$1),0),"")</f>
        <v>46094</v>
      </c>
      <c r="F5681" s="95" t="str">
        <f t="shared" si="423"/>
        <v>2026 03</v>
      </c>
      <c r="G5681" s="97" t="s">
        <v>5</v>
      </c>
      <c r="H5681" s="161" t="s">
        <v>5575</v>
      </c>
      <c r="I5681" s="97" t="s">
        <v>4142</v>
      </c>
      <c r="J5681" s="97" t="s">
        <v>5576</v>
      </c>
      <c r="K5681" s="29">
        <v>24.53</v>
      </c>
      <c r="L5681" s="29">
        <v>-5.0999999999999996</v>
      </c>
      <c r="M5681" s="30">
        <f>IFERROR(VLOOKUP($A5681,HeadJournal!$A$1:$J$890,COLUMN(HeadJournal!I$1),0)*($K5681+$L5681)/(SUMIF($A:$A,$A5681,$K:$K)+SUMIF($A:$A,$A5681,$L:$L)),0)</f>
        <v>-0.98596143025218708</v>
      </c>
      <c r="N5681" s="30">
        <f>IFERROR((VLOOKUP($A5681,HeadJournal!$A$1:$K$890,COLUMN(HeadJournal!K$1),0)-VLOOKUP($A5681,HeadJournal!$A$1:$K$890,COLUMN(HeadJournal!J$1),0))*($K5681+$L5681)/(SUMIF($A:$A,$A5681,$K:$K)+SUMIF($A:$A,$A5681,$L:$L)),0)</f>
        <v>5.6497397742365335E-15</v>
      </c>
      <c r="O5681" s="30">
        <f>IFERROR((VLOOKUP($A5681,HeadJournal!$A$1:$L$890,COLUMN(HeadJournal!L$1),0)*($K5681+$L5681)/(SUMIF($A:$A,$A5681,$K:$K)+SUMIF($A:$A,$A5681,$L:$L)))/VLOOKUP($A5681,HeadJournal!$A$1:$L$890,COLUMN(HeadJournal!H$1),0),0)</f>
        <v>0.90333524478229255</v>
      </c>
      <c r="P5681" s="30">
        <f>IFERROR(SUM(K5681:O5681)*VLOOKUP($A5681,HeadJournal!$A$1:$L$890,COLUMN(HeadJournal!H$1),0),0)</f>
        <v>1705.4704283254052</v>
      </c>
      <c r="Q5681" s="29"/>
      <c r="R5681" s="31"/>
      <c r="S5681" s="31"/>
      <c r="T5681" s="95" t="str">
        <f t="shared" si="424"/>
        <v/>
      </c>
      <c r="U5681" s="32">
        <f t="shared" si="425"/>
        <v>-1705.4704283254052</v>
      </c>
      <c r="V5681" s="22" t="str">
        <f t="shared" si="426"/>
        <v/>
      </c>
      <c r="X5681" s="33"/>
      <c r="Y5681" s="33"/>
    </row>
    <row r="5682" spans="1:25" x14ac:dyDescent="0.2">
      <c r="A5682" s="93" t="s">
        <v>5577</v>
      </c>
      <c r="B5682" s="94">
        <f>IFERROR(VLOOKUP($A5682,HeadJournal!$A$1:$NTR$890,COLUMN(HeadJournal!B$1),0),"")</f>
        <v>0</v>
      </c>
      <c r="C5682" s="94" t="str">
        <f>IFERROR(VLOOKUP($A5682,HeadJournal!$A$1:$NTR$890,COLUMN(HeadJournal!C$1),0),"")</f>
        <v>iHerb_MH DLE7202</v>
      </c>
      <c r="D5682" s="125" t="str">
        <f>IFERROR(VLOOKUP($A5682,HeadJournal!$A$1:$NTR$890,COLUMN(HeadJournal!D$1),0),"")</f>
        <v>Доставлен</v>
      </c>
      <c r="E5682" s="95">
        <f>IFERROR(VLOOKUP($A5682,HeadJournal!$A$1:$NTR$890,COLUMN(HeadJournal!G$1),0),"")</f>
        <v>46094</v>
      </c>
      <c r="F5682" s="95" t="str">
        <f t="shared" si="423"/>
        <v>2026 03</v>
      </c>
      <c r="G5682" s="97" t="s">
        <v>7</v>
      </c>
      <c r="H5682" s="161" t="s">
        <v>2152</v>
      </c>
      <c r="I5682" s="97" t="s">
        <v>2153</v>
      </c>
      <c r="J5682" s="97" t="s">
        <v>2644</v>
      </c>
      <c r="K5682" s="29">
        <v>14.64</v>
      </c>
      <c r="L5682" s="29">
        <v>-2.2000000000000002</v>
      </c>
      <c r="M5682" s="30">
        <f>IFERROR(VLOOKUP($A5682,HeadJournal!$A$1:$J$890,COLUMN(HeadJournal!I$1),0)*($K5682+$L5682)/(SUMIF($A:$A,$A5682,$K:$K)+SUMIF($A:$A,$A5682,$L:$L)),0)</f>
        <v>-0.63125888792265605</v>
      </c>
      <c r="N5682" s="30">
        <f>IFERROR((VLOOKUP($A5682,HeadJournal!$A$1:$K$890,COLUMN(HeadJournal!K$1),0)-VLOOKUP($A5682,HeadJournal!$A$1:$K$890,COLUMN(HeadJournal!J$1),0))*($K5682+$L5682)/(SUMIF($A:$A,$A5682,$K:$K)+SUMIF($A:$A,$A5682,$L:$L)),0)</f>
        <v>3.6172291709471174E-15</v>
      </c>
      <c r="O5682" s="30">
        <f>IFERROR((VLOOKUP($A5682,HeadJournal!$A$1:$L$890,COLUMN(HeadJournal!L$1),0)*($K5682+$L5682)/(SUMIF($A:$A,$A5682,$K:$K)+SUMIF($A:$A,$A5682,$L:$L)))/VLOOKUP($A5682,HeadJournal!$A$1:$L$890,COLUMN(HeadJournal!H$1),0),0)</f>
        <v>0.57835771719463303</v>
      </c>
      <c r="P5682" s="30">
        <f>IFERROR(SUM(K5682:O5682)*VLOOKUP($A5682,HeadJournal!$A$1:$L$890,COLUMN(HeadJournal!H$1),0),0)</f>
        <v>1091.9223946663942</v>
      </c>
      <c r="Q5682" s="29"/>
      <c r="R5682" s="31"/>
      <c r="S5682" s="31"/>
      <c r="T5682" s="95" t="str">
        <f t="shared" si="424"/>
        <v/>
      </c>
      <c r="U5682" s="32">
        <f t="shared" si="425"/>
        <v>-1091.9223946663942</v>
      </c>
      <c r="V5682" s="22" t="str">
        <f t="shared" si="426"/>
        <v/>
      </c>
      <c r="X5682" s="33"/>
      <c r="Y5682" s="33"/>
    </row>
    <row r="5683" spans="1:25" x14ac:dyDescent="0.2">
      <c r="A5683" s="93" t="s">
        <v>5586</v>
      </c>
      <c r="B5683" s="94">
        <f>IFERROR(VLOOKUP($A5683,HeadJournal!$A$1:$NTR$890,COLUMN(HeadJournal!B$1),0),"")</f>
        <v>0</v>
      </c>
      <c r="C5683" s="94" t="str">
        <f>IFERROR(VLOOKUP($A5683,HeadJournal!$A$1:$NTR$890,COLUMN(HeadJournal!C$1),0),"")</f>
        <v>iHerb_OA CZN6870</v>
      </c>
      <c r="D5683" s="125" t="str">
        <f>IFERROR(VLOOKUP($A5683,HeadJournal!$A$1:$NTR$890,COLUMN(HeadJournal!D$1),0),"")</f>
        <v>Доставлен</v>
      </c>
      <c r="E5683" s="95">
        <f>IFERROR(VLOOKUP($A5683,HeadJournal!$A$1:$NTR$890,COLUMN(HeadJournal!G$1),0),"")</f>
        <v>46093</v>
      </c>
      <c r="F5683" s="95" t="str">
        <f t="shared" si="423"/>
        <v>2026 03</v>
      </c>
      <c r="G5683" s="97" t="s">
        <v>5</v>
      </c>
      <c r="H5683" s="161" t="s">
        <v>5578</v>
      </c>
      <c r="I5683" s="97" t="s">
        <v>2221</v>
      </c>
      <c r="J5683" s="97" t="s">
        <v>5579</v>
      </c>
      <c r="K5683" s="29">
        <v>33.78</v>
      </c>
      <c r="L5683" s="29">
        <v>-5.07</v>
      </c>
      <c r="M5683" s="30">
        <f>IFERROR(VLOOKUP($A5683,HeadJournal!$A$1:$J$890,COLUMN(HeadJournal!I$1),0)*($K5683+$L5683)/(SUMIF($A:$A,$A5683,$K:$K)+SUMIF($A:$A,$A5683,$L:$L)),0)</f>
        <v>-1.5442226833397041</v>
      </c>
      <c r="N5683" s="30">
        <f>IFERROR((VLOOKUP($A5683,HeadJournal!$A$1:$K$890,COLUMN(HeadJournal!K$1),0)-VLOOKUP($A5683,HeadJournal!$A$1:$K$890,COLUMN(HeadJournal!J$1),0))*($K5683+$L5683)/(SUMIF($A:$A,$A5683,$K:$K)+SUMIF($A:$A,$A5683,$L:$L)),0)</f>
        <v>0</v>
      </c>
      <c r="O5683" s="30">
        <f>IFERROR((VLOOKUP($A5683,HeadJournal!$A$1:$L$890,COLUMN(HeadJournal!L$1),0)*($K5683+$L5683)/(SUMIF($A:$A,$A5683,$K:$K)+SUMIF($A:$A,$A5683,$L:$L)))/VLOOKUP($A5683,HeadJournal!$A$1:$L$890,COLUMN(HeadJournal!H$1),0),0)</f>
        <v>1.4242711062610791</v>
      </c>
      <c r="P5683" s="30">
        <f>IFERROR(SUM(K5683:O5683)*VLOOKUP($A5683,HeadJournal!$A$1:$L$890,COLUMN(HeadJournal!H$1),0),0)</f>
        <v>2521.2667460274124</v>
      </c>
      <c r="Q5683" s="29">
        <v>3600</v>
      </c>
      <c r="R5683" s="31">
        <v>46118</v>
      </c>
      <c r="S5683" s="31" t="s">
        <v>3235</v>
      </c>
      <c r="T5683" s="95" t="str">
        <f t="shared" si="424"/>
        <v>2026 04</v>
      </c>
      <c r="U5683" s="32">
        <f t="shared" si="425"/>
        <v>1078.7332539725876</v>
      </c>
      <c r="V5683" s="22">
        <f t="shared" si="426"/>
        <v>0.42785367937457386</v>
      </c>
      <c r="X5683" s="33"/>
      <c r="Y5683" s="33"/>
    </row>
    <row r="5684" spans="1:25" x14ac:dyDescent="0.2">
      <c r="A5684" s="93" t="s">
        <v>5586</v>
      </c>
      <c r="B5684" s="94">
        <f>IFERROR(VLOOKUP($A5684,HeadJournal!$A$1:$NTR$890,COLUMN(HeadJournal!B$1),0),"")</f>
        <v>0</v>
      </c>
      <c r="C5684" s="94" t="str">
        <f>IFERROR(VLOOKUP($A5684,HeadJournal!$A$1:$NTR$890,COLUMN(HeadJournal!C$1),0),"")</f>
        <v>iHerb_OA CZN6870</v>
      </c>
      <c r="D5684" s="125" t="str">
        <f>IFERROR(VLOOKUP($A5684,HeadJournal!$A$1:$NTR$890,COLUMN(HeadJournal!D$1),0),"")</f>
        <v>Доставлен</v>
      </c>
      <c r="E5684" s="95">
        <f>IFERROR(VLOOKUP($A5684,HeadJournal!$A$1:$NTR$890,COLUMN(HeadJournal!G$1),0),"")</f>
        <v>46093</v>
      </c>
      <c r="F5684" s="95" t="str">
        <f t="shared" si="423"/>
        <v>2026 03</v>
      </c>
      <c r="G5684" s="97" t="s">
        <v>5</v>
      </c>
      <c r="H5684" s="161" t="s">
        <v>5580</v>
      </c>
      <c r="I5684" s="97" t="s">
        <v>2004</v>
      </c>
      <c r="J5684" s="97" t="s">
        <v>5581</v>
      </c>
      <c r="K5684" s="29">
        <v>21.22</v>
      </c>
      <c r="L5684" s="29">
        <v>-3.18</v>
      </c>
      <c r="M5684" s="30">
        <f>IFERROR(VLOOKUP($A5684,HeadJournal!$A$1:$J$890,COLUMN(HeadJournal!I$1),0)*($K5684+$L5684)/(SUMIF($A:$A,$A5684,$K:$K)+SUMIF($A:$A,$A5684,$L:$L)),0)</f>
        <v>-0.97031616884180638</v>
      </c>
      <c r="N5684" s="30">
        <f>IFERROR((VLOOKUP($A5684,HeadJournal!$A$1:$K$890,COLUMN(HeadJournal!K$1),0)-VLOOKUP($A5684,HeadJournal!$A$1:$K$890,COLUMN(HeadJournal!J$1),0))*($K5684+$L5684)/(SUMIF($A:$A,$A5684,$K:$K)+SUMIF($A:$A,$A5684,$L:$L)),0)</f>
        <v>0</v>
      </c>
      <c r="O5684" s="30">
        <f>IFERROR((VLOOKUP($A5684,HeadJournal!$A$1:$L$890,COLUMN(HeadJournal!L$1),0)*($K5684+$L5684)/(SUMIF($A:$A,$A5684,$K:$K)+SUMIF($A:$A,$A5684,$L:$L)))/VLOOKUP($A5684,HeadJournal!$A$1:$L$890,COLUMN(HeadJournal!H$1),0),0)</f>
        <v>0.89494429665447106</v>
      </c>
      <c r="P5684" s="30">
        <f>IFERROR(SUM(K5684:O5684)*VLOOKUP($A5684,HeadJournal!$A$1:$L$890,COLUMN(HeadJournal!H$1),0),0)</f>
        <v>1584.244238883125</v>
      </c>
      <c r="Q5684" s="29">
        <v>3000</v>
      </c>
      <c r="R5684" s="31">
        <v>46118</v>
      </c>
      <c r="S5684" s="31" t="s">
        <v>3235</v>
      </c>
      <c r="T5684" s="95" t="str">
        <f t="shared" si="424"/>
        <v>2026 04</v>
      </c>
      <c r="U5684" s="32">
        <f t="shared" si="425"/>
        <v>1415.755761116875</v>
      </c>
      <c r="V5684" s="22">
        <f t="shared" si="426"/>
        <v>0.89364741014615734</v>
      </c>
      <c r="X5684" s="33"/>
      <c r="Y5684" s="33"/>
    </row>
    <row r="5685" spans="1:25" x14ac:dyDescent="0.2">
      <c r="A5685" s="93" t="s">
        <v>5586</v>
      </c>
      <c r="B5685" s="94">
        <f>IFERROR(VLOOKUP($A5685,HeadJournal!$A$1:$NTR$890,COLUMN(HeadJournal!B$1),0),"")</f>
        <v>0</v>
      </c>
      <c r="C5685" s="94" t="str">
        <f>IFERROR(VLOOKUP($A5685,HeadJournal!$A$1:$NTR$890,COLUMN(HeadJournal!C$1),0),"")</f>
        <v>iHerb_OA CZN6870</v>
      </c>
      <c r="D5685" s="125" t="str">
        <f>IFERROR(VLOOKUP($A5685,HeadJournal!$A$1:$NTR$890,COLUMN(HeadJournal!D$1),0),"")</f>
        <v>Доставлен</v>
      </c>
      <c r="E5685" s="95">
        <f>IFERROR(VLOOKUP($A5685,HeadJournal!$A$1:$NTR$890,COLUMN(HeadJournal!G$1),0),"")</f>
        <v>46093</v>
      </c>
      <c r="F5685" s="95" t="str">
        <f t="shared" si="423"/>
        <v>2026 03</v>
      </c>
      <c r="G5685" s="97" t="s">
        <v>5</v>
      </c>
      <c r="H5685" s="161" t="s">
        <v>4947</v>
      </c>
      <c r="I5685" s="97" t="s">
        <v>2839</v>
      </c>
      <c r="J5685" s="97" t="s">
        <v>5582</v>
      </c>
      <c r="K5685" s="29">
        <v>18.010000000000002</v>
      </c>
      <c r="L5685" s="29">
        <v>0</v>
      </c>
      <c r="M5685" s="30">
        <f>IFERROR(VLOOKUP($A5685,HeadJournal!$A$1:$J$890,COLUMN(HeadJournal!I$1),0)*($K5685+$L5685)/(SUMIF($A:$A,$A5685,$K:$K)+SUMIF($A:$A,$A5685,$L:$L)),0)</f>
        <v>-0.96870256102222474</v>
      </c>
      <c r="N5685" s="30">
        <f>IFERROR((VLOOKUP($A5685,HeadJournal!$A$1:$K$890,COLUMN(HeadJournal!K$1),0)-VLOOKUP($A5685,HeadJournal!$A$1:$K$890,COLUMN(HeadJournal!J$1),0))*($K5685+$L5685)/(SUMIF($A:$A,$A5685,$K:$K)+SUMIF($A:$A,$A5685,$L:$L)),0)</f>
        <v>0</v>
      </c>
      <c r="O5685" s="30">
        <f>IFERROR((VLOOKUP($A5685,HeadJournal!$A$1:$L$890,COLUMN(HeadJournal!L$1),0)*($K5685+$L5685)/(SUMIF($A:$A,$A5685,$K:$K)+SUMIF($A:$A,$A5685,$L:$L)))/VLOOKUP($A5685,HeadJournal!$A$1:$L$890,COLUMN(HeadJournal!H$1),0),0)</f>
        <v>0.89345603008575536</v>
      </c>
      <c r="P5685" s="30">
        <f>IFERROR(SUM(K5685:O5685)*VLOOKUP($A5685,HeadJournal!$A$1:$L$890,COLUMN(HeadJournal!H$1),0),0)</f>
        <v>1581.6096863794389</v>
      </c>
      <c r="Q5685" s="29">
        <v>2400</v>
      </c>
      <c r="R5685" s="31">
        <v>46118</v>
      </c>
      <c r="S5685" s="31" t="s">
        <v>4457</v>
      </c>
      <c r="T5685" s="95" t="str">
        <f t="shared" si="424"/>
        <v>2026 04</v>
      </c>
      <c r="U5685" s="32">
        <f t="shared" si="425"/>
        <v>818.39031362056107</v>
      </c>
      <c r="V5685" s="22">
        <f t="shared" si="426"/>
        <v>0.51744138940751505</v>
      </c>
      <c r="X5685" s="33"/>
      <c r="Y5685" s="33"/>
    </row>
    <row r="5686" spans="1:25" x14ac:dyDescent="0.2">
      <c r="A5686" s="93" t="s">
        <v>5586</v>
      </c>
      <c r="B5686" s="94">
        <f>IFERROR(VLOOKUP($A5686,HeadJournal!$A$1:$NTR$890,COLUMN(HeadJournal!B$1),0),"")</f>
        <v>0</v>
      </c>
      <c r="C5686" s="94" t="str">
        <f>IFERROR(VLOOKUP($A5686,HeadJournal!$A$1:$NTR$890,COLUMN(HeadJournal!C$1),0),"")</f>
        <v>iHerb_OA CZN6870</v>
      </c>
      <c r="D5686" s="125" t="str">
        <f>IFERROR(VLOOKUP($A5686,HeadJournal!$A$1:$NTR$890,COLUMN(HeadJournal!D$1),0),"")</f>
        <v>Доставлен</v>
      </c>
      <c r="E5686" s="95">
        <f>IFERROR(VLOOKUP($A5686,HeadJournal!$A$1:$NTR$890,COLUMN(HeadJournal!G$1),0),"")</f>
        <v>46093</v>
      </c>
      <c r="F5686" s="95" t="str">
        <f t="shared" si="423"/>
        <v>2026 03</v>
      </c>
      <c r="G5686" s="97" t="s">
        <v>5</v>
      </c>
      <c r="H5686" s="161" t="s">
        <v>4947</v>
      </c>
      <c r="I5686" s="97" t="s">
        <v>2839</v>
      </c>
      <c r="J5686" s="97" t="s">
        <v>5582</v>
      </c>
      <c r="K5686" s="29">
        <v>18.010000000000002</v>
      </c>
      <c r="L5686" s="29">
        <v>0</v>
      </c>
      <c r="M5686" s="30">
        <f>IFERROR(VLOOKUP($A5686,HeadJournal!$A$1:$J$890,COLUMN(HeadJournal!I$1),0)*($K5686+$L5686)/(SUMIF($A:$A,$A5686,$K:$K)+SUMIF($A:$A,$A5686,$L:$L)),0)</f>
        <v>-0.96870256102222474</v>
      </c>
      <c r="N5686" s="30">
        <f>IFERROR((VLOOKUP($A5686,HeadJournal!$A$1:$K$890,COLUMN(HeadJournal!K$1),0)-VLOOKUP($A5686,HeadJournal!$A$1:$K$890,COLUMN(HeadJournal!J$1),0))*($K5686+$L5686)/(SUMIF($A:$A,$A5686,$K:$K)+SUMIF($A:$A,$A5686,$L:$L)),0)</f>
        <v>0</v>
      </c>
      <c r="O5686" s="30">
        <f>IFERROR((VLOOKUP($A5686,HeadJournal!$A$1:$L$890,COLUMN(HeadJournal!L$1),0)*($K5686+$L5686)/(SUMIF($A:$A,$A5686,$K:$K)+SUMIF($A:$A,$A5686,$L:$L)))/VLOOKUP($A5686,HeadJournal!$A$1:$L$890,COLUMN(HeadJournal!H$1),0),0)</f>
        <v>0.89345603008575536</v>
      </c>
      <c r="P5686" s="30">
        <f>IFERROR(SUM(K5686:O5686)*VLOOKUP($A5686,HeadJournal!$A$1:$L$890,COLUMN(HeadJournal!H$1),0),0)</f>
        <v>1581.6096863794389</v>
      </c>
      <c r="Q5686" s="29">
        <v>2700</v>
      </c>
      <c r="R5686" s="31">
        <v>46165</v>
      </c>
      <c r="S5686" s="31" t="s">
        <v>4457</v>
      </c>
      <c r="T5686" s="95" t="str">
        <f t="shared" si="424"/>
        <v>2026 05</v>
      </c>
      <c r="U5686" s="32">
        <f t="shared" si="425"/>
        <v>1118.3903136205611</v>
      </c>
      <c r="V5686" s="22">
        <f t="shared" si="426"/>
        <v>0.70712156308345453</v>
      </c>
      <c r="X5686" s="33"/>
      <c r="Y5686" s="33"/>
    </row>
    <row r="5687" spans="1:25" x14ac:dyDescent="0.2">
      <c r="A5687" s="93" t="s">
        <v>5586</v>
      </c>
      <c r="B5687" s="94">
        <f>IFERROR(VLOOKUP($A5687,HeadJournal!$A$1:$NTR$890,COLUMN(HeadJournal!B$1),0),"")</f>
        <v>0</v>
      </c>
      <c r="C5687" s="94" t="str">
        <f>IFERROR(VLOOKUP($A5687,HeadJournal!$A$1:$NTR$890,COLUMN(HeadJournal!C$1),0),"")</f>
        <v>iHerb_OA CZN6870</v>
      </c>
      <c r="D5687" s="125" t="str">
        <f>IFERROR(VLOOKUP($A5687,HeadJournal!$A$1:$NTR$890,COLUMN(HeadJournal!D$1),0),"")</f>
        <v>Доставлен</v>
      </c>
      <c r="E5687" s="95">
        <f>IFERROR(VLOOKUP($A5687,HeadJournal!$A$1:$NTR$890,COLUMN(HeadJournal!G$1),0),"")</f>
        <v>46093</v>
      </c>
      <c r="F5687" s="95" t="str">
        <f t="shared" si="423"/>
        <v>2026 03</v>
      </c>
      <c r="G5687" s="97" t="s">
        <v>5</v>
      </c>
      <c r="H5687" s="161" t="s">
        <v>2051</v>
      </c>
      <c r="I5687" s="97" t="s">
        <v>2052</v>
      </c>
      <c r="J5687" s="97" t="s">
        <v>5583</v>
      </c>
      <c r="K5687" s="29">
        <v>20.25</v>
      </c>
      <c r="L5687" s="29">
        <v>-3.0366666666666666</v>
      </c>
      <c r="M5687" s="30">
        <f>IFERROR(VLOOKUP($A5687,HeadJournal!$A$1:$J$890,COLUMN(HeadJournal!I$1),0)*($K5687+$L5687)/(SUMIF($A:$A,$A5687,$K:$K)+SUMIF($A:$A,$A5687,$L:$L)),0)</f>
        <v>-0.92585230892444348</v>
      </c>
      <c r="N5687" s="30">
        <f>IFERROR((VLOOKUP($A5687,HeadJournal!$A$1:$K$890,COLUMN(HeadJournal!K$1),0)-VLOOKUP($A5687,HeadJournal!$A$1:$K$890,COLUMN(HeadJournal!J$1),0))*($K5687+$L5687)/(SUMIF($A:$A,$A5687,$K:$K)+SUMIF($A:$A,$A5687,$L:$L)),0)</f>
        <v>0</v>
      </c>
      <c r="O5687" s="30">
        <f>IFERROR((VLOOKUP($A5687,HeadJournal!$A$1:$L$890,COLUMN(HeadJournal!L$1),0)*($K5687+$L5687)/(SUMIF($A:$A,$A5687,$K:$K)+SUMIF($A:$A,$A5687,$L:$L)))/VLOOKUP($A5687,HeadJournal!$A$1:$L$890,COLUMN(HeadJournal!H$1),0),0)</f>
        <v>0.8539342845387452</v>
      </c>
      <c r="P5687" s="30">
        <f>IFERROR(SUM(K5687:O5687)*VLOOKUP($A5687,HeadJournal!$A$1:$L$890,COLUMN(HeadJournal!H$1),0),0)</f>
        <v>1511.64768100378</v>
      </c>
      <c r="Q5687" s="29">
        <v>2300</v>
      </c>
      <c r="R5687" s="31">
        <v>46116</v>
      </c>
      <c r="S5687" s="31" t="s">
        <v>3475</v>
      </c>
      <c r="T5687" s="95" t="str">
        <f t="shared" si="424"/>
        <v>2026 04</v>
      </c>
      <c r="U5687" s="32">
        <f t="shared" si="425"/>
        <v>788.35231899621999</v>
      </c>
      <c r="V5687" s="22">
        <f t="shared" si="426"/>
        <v>0.52151855812905434</v>
      </c>
      <c r="X5687" s="33"/>
      <c r="Y5687" s="33"/>
    </row>
    <row r="5688" spans="1:25" x14ac:dyDescent="0.2">
      <c r="A5688" s="93" t="s">
        <v>5586</v>
      </c>
      <c r="B5688" s="94">
        <f>IFERROR(VLOOKUP($A5688,HeadJournal!$A$1:$NTR$890,COLUMN(HeadJournal!B$1),0),"")</f>
        <v>0</v>
      </c>
      <c r="C5688" s="94" t="str">
        <f>IFERROR(VLOOKUP($A5688,HeadJournal!$A$1:$NTR$890,COLUMN(HeadJournal!C$1),0),"")</f>
        <v>iHerb_OA CZN6870</v>
      </c>
      <c r="D5688" s="125" t="str">
        <f>IFERROR(VLOOKUP($A5688,HeadJournal!$A$1:$NTR$890,COLUMN(HeadJournal!D$1),0),"")</f>
        <v>Доставлен</v>
      </c>
      <c r="E5688" s="95">
        <f>IFERROR(VLOOKUP($A5688,HeadJournal!$A$1:$NTR$890,COLUMN(HeadJournal!G$1),0),"")</f>
        <v>46093</v>
      </c>
      <c r="F5688" s="95" t="str">
        <f t="shared" si="423"/>
        <v>2026 03</v>
      </c>
      <c r="G5688" s="97" t="s">
        <v>5</v>
      </c>
      <c r="H5688" s="161" t="s">
        <v>2051</v>
      </c>
      <c r="I5688" s="97" t="s">
        <v>2052</v>
      </c>
      <c r="J5688" s="97" t="s">
        <v>5583</v>
      </c>
      <c r="K5688" s="29">
        <v>20.25</v>
      </c>
      <c r="L5688" s="29">
        <v>-3.0366666666666666</v>
      </c>
      <c r="M5688" s="30">
        <f>IFERROR(VLOOKUP($A5688,HeadJournal!$A$1:$J$890,COLUMN(HeadJournal!I$1),0)*($K5688+$L5688)/(SUMIF($A:$A,$A5688,$K:$K)+SUMIF($A:$A,$A5688,$L:$L)),0)</f>
        <v>-0.92585230892444348</v>
      </c>
      <c r="N5688" s="30">
        <f>IFERROR((VLOOKUP($A5688,HeadJournal!$A$1:$K$890,COLUMN(HeadJournal!K$1),0)-VLOOKUP($A5688,HeadJournal!$A$1:$K$890,COLUMN(HeadJournal!J$1),0))*($K5688+$L5688)/(SUMIF($A:$A,$A5688,$K:$K)+SUMIF($A:$A,$A5688,$L:$L)),0)</f>
        <v>0</v>
      </c>
      <c r="O5688" s="30">
        <f>IFERROR((VLOOKUP($A5688,HeadJournal!$A$1:$L$890,COLUMN(HeadJournal!L$1),0)*($K5688+$L5688)/(SUMIF($A:$A,$A5688,$K:$K)+SUMIF($A:$A,$A5688,$L:$L)))/VLOOKUP($A5688,HeadJournal!$A$1:$L$890,COLUMN(HeadJournal!H$1),0),0)</f>
        <v>0.8539342845387452</v>
      </c>
      <c r="P5688" s="30">
        <f>IFERROR(SUM(K5688:O5688)*VLOOKUP($A5688,HeadJournal!$A$1:$L$890,COLUMN(HeadJournal!H$1),0),0)</f>
        <v>1511.64768100378</v>
      </c>
      <c r="Q5688" s="29">
        <v>2600</v>
      </c>
      <c r="R5688" s="31">
        <v>46162</v>
      </c>
      <c r="S5688" s="31" t="s">
        <v>4483</v>
      </c>
      <c r="T5688" s="95" t="str">
        <f t="shared" si="424"/>
        <v>2026 05</v>
      </c>
      <c r="U5688" s="32">
        <f t="shared" si="425"/>
        <v>1088.35231899622</v>
      </c>
      <c r="V5688" s="22">
        <f t="shared" si="426"/>
        <v>0.71997750049371356</v>
      </c>
      <c r="X5688" s="33"/>
      <c r="Y5688" s="33"/>
    </row>
    <row r="5689" spans="1:25" x14ac:dyDescent="0.2">
      <c r="A5689" s="93" t="s">
        <v>5586</v>
      </c>
      <c r="B5689" s="94">
        <f>IFERROR(VLOOKUP($A5689,HeadJournal!$A$1:$NTR$890,COLUMN(HeadJournal!B$1),0),"")</f>
        <v>0</v>
      </c>
      <c r="C5689" s="94" t="str">
        <f>IFERROR(VLOOKUP($A5689,HeadJournal!$A$1:$NTR$890,COLUMN(HeadJournal!C$1),0),"")</f>
        <v>iHerb_OA CZN6870</v>
      </c>
      <c r="D5689" s="125" t="str">
        <f>IFERROR(VLOOKUP($A5689,HeadJournal!$A$1:$NTR$890,COLUMN(HeadJournal!D$1),0),"")</f>
        <v>Доставлен</v>
      </c>
      <c r="E5689" s="95">
        <f>IFERROR(VLOOKUP($A5689,HeadJournal!$A$1:$NTR$890,COLUMN(HeadJournal!G$1),0),"")</f>
        <v>46093</v>
      </c>
      <c r="F5689" s="95" t="str">
        <f t="shared" si="423"/>
        <v>2026 03</v>
      </c>
      <c r="G5689" s="97" t="s">
        <v>5</v>
      </c>
      <c r="H5689" s="161" t="s">
        <v>2051</v>
      </c>
      <c r="I5689" s="97" t="s">
        <v>2052</v>
      </c>
      <c r="J5689" s="97" t="s">
        <v>5583</v>
      </c>
      <c r="K5689" s="29">
        <v>20.25</v>
      </c>
      <c r="L5689" s="29">
        <v>-3.0366666666666666</v>
      </c>
      <c r="M5689" s="30">
        <f>IFERROR(VLOOKUP($A5689,HeadJournal!$A$1:$J$890,COLUMN(HeadJournal!I$1),0)*($K5689+$L5689)/(SUMIF($A:$A,$A5689,$K:$K)+SUMIF($A:$A,$A5689,$L:$L)),0)</f>
        <v>-0.92585230892444348</v>
      </c>
      <c r="N5689" s="30">
        <f>IFERROR((VLOOKUP($A5689,HeadJournal!$A$1:$K$890,COLUMN(HeadJournal!K$1),0)-VLOOKUP($A5689,HeadJournal!$A$1:$K$890,COLUMN(HeadJournal!J$1),0))*($K5689+$L5689)/(SUMIF($A:$A,$A5689,$K:$K)+SUMIF($A:$A,$A5689,$L:$L)),0)</f>
        <v>0</v>
      </c>
      <c r="O5689" s="30">
        <f>IFERROR((VLOOKUP($A5689,HeadJournal!$A$1:$L$890,COLUMN(HeadJournal!L$1),0)*($K5689+$L5689)/(SUMIF($A:$A,$A5689,$K:$K)+SUMIF($A:$A,$A5689,$L:$L)))/VLOOKUP($A5689,HeadJournal!$A$1:$L$890,COLUMN(HeadJournal!H$1),0),0)</f>
        <v>0.8539342845387452</v>
      </c>
      <c r="P5689" s="30">
        <f>IFERROR(SUM(K5689:O5689)*VLOOKUP($A5689,HeadJournal!$A$1:$L$890,COLUMN(HeadJournal!H$1),0),0)</f>
        <v>1511.64768100378</v>
      </c>
      <c r="Q5689" s="29">
        <v>2500</v>
      </c>
      <c r="R5689" s="31">
        <v>46164</v>
      </c>
      <c r="S5689" s="31" t="s">
        <v>3475</v>
      </c>
      <c r="T5689" s="95" t="str">
        <f t="shared" si="424"/>
        <v>2026 05</v>
      </c>
      <c r="U5689" s="32">
        <f t="shared" si="425"/>
        <v>988.35231899621999</v>
      </c>
      <c r="V5689" s="22">
        <f t="shared" si="426"/>
        <v>0.65382451970549382</v>
      </c>
      <c r="X5689" s="33"/>
      <c r="Y5689" s="33"/>
    </row>
    <row r="5690" spans="1:25" x14ac:dyDescent="0.2">
      <c r="A5690" s="93" t="s">
        <v>5586</v>
      </c>
      <c r="B5690" s="94">
        <f>IFERROR(VLOOKUP($A5690,HeadJournal!$A$1:$NTR$890,COLUMN(HeadJournal!B$1),0),"")</f>
        <v>0</v>
      </c>
      <c r="C5690" s="94" t="str">
        <f>IFERROR(VLOOKUP($A5690,HeadJournal!$A$1:$NTR$890,COLUMN(HeadJournal!C$1),0),"")</f>
        <v>iHerb_OA CZN6870</v>
      </c>
      <c r="D5690" s="125" t="str">
        <f>IFERROR(VLOOKUP($A5690,HeadJournal!$A$1:$NTR$890,COLUMN(HeadJournal!D$1),0),"")</f>
        <v>Доставлен</v>
      </c>
      <c r="E5690" s="95">
        <f>IFERROR(VLOOKUP($A5690,HeadJournal!$A$1:$NTR$890,COLUMN(HeadJournal!G$1),0),"")</f>
        <v>46093</v>
      </c>
      <c r="F5690" s="95" t="str">
        <f t="shared" si="423"/>
        <v>2026 03</v>
      </c>
      <c r="G5690" s="97" t="s">
        <v>5</v>
      </c>
      <c r="H5690" s="161" t="s">
        <v>5584</v>
      </c>
      <c r="I5690" s="97" t="s">
        <v>2960</v>
      </c>
      <c r="J5690" s="97" t="s">
        <v>5585</v>
      </c>
      <c r="K5690" s="29">
        <v>39.659999999999997</v>
      </c>
      <c r="L5690" s="29">
        <v>-5.95</v>
      </c>
      <c r="M5690" s="30">
        <f>IFERROR(VLOOKUP($A5690,HeadJournal!$A$1:$J$890,COLUMN(HeadJournal!I$1),0)*($K5690+$L5690)/(SUMIF($A:$A,$A5690,$K:$K)+SUMIF($A:$A,$A5690,$L:$L)),0)</f>
        <v>-1.8131573199366566</v>
      </c>
      <c r="N5690" s="30">
        <f>IFERROR((VLOOKUP($A5690,HeadJournal!$A$1:$K$890,COLUMN(HeadJournal!K$1),0)-VLOOKUP($A5690,HeadJournal!$A$1:$K$890,COLUMN(HeadJournal!J$1),0))*($K5690+$L5690)/(SUMIF($A:$A,$A5690,$K:$K)+SUMIF($A:$A,$A5690,$L:$L)),0)</f>
        <v>0</v>
      </c>
      <c r="O5690" s="30">
        <f>IFERROR((VLOOKUP($A5690,HeadJournal!$A$1:$L$890,COLUMN(HeadJournal!L$1),0)*($K5690+$L5690)/(SUMIF($A:$A,$A5690,$K:$K)+SUMIF($A:$A,$A5690,$L:$L)))/VLOOKUP($A5690,HeadJournal!$A$1:$L$890,COLUMN(HeadJournal!H$1),0),0)</f>
        <v>1.672315534380389</v>
      </c>
      <c r="P5690" s="30">
        <f>IFERROR(SUM(K5690:O5690)*VLOOKUP($A5690,HeadJournal!$A$1:$L$890,COLUMN(HeadJournal!H$1),0),0)</f>
        <v>2960.3588299750627</v>
      </c>
      <c r="Q5690" s="29">
        <v>4000</v>
      </c>
      <c r="R5690" s="31">
        <v>46116</v>
      </c>
      <c r="S5690" s="31" t="s">
        <v>3475</v>
      </c>
      <c r="T5690" s="95" t="str">
        <f t="shared" si="424"/>
        <v>2026 04</v>
      </c>
      <c r="U5690" s="32">
        <f t="shared" si="425"/>
        <v>1039.6411700249373</v>
      </c>
      <c r="V5690" s="22">
        <f t="shared" si="426"/>
        <v>0.35118755182583555</v>
      </c>
      <c r="X5690" s="33"/>
      <c r="Y5690" s="33"/>
    </row>
    <row r="5691" spans="1:25" x14ac:dyDescent="0.2">
      <c r="A5691" s="93" t="s">
        <v>5586</v>
      </c>
      <c r="B5691" s="94">
        <f>IFERROR(VLOOKUP($A5691,HeadJournal!$A$1:$NTR$890,COLUMN(HeadJournal!B$1),0),"")</f>
        <v>0</v>
      </c>
      <c r="C5691" s="94" t="str">
        <f>IFERROR(VLOOKUP($A5691,HeadJournal!$A$1:$NTR$890,COLUMN(HeadJournal!C$1),0),"")</f>
        <v>iHerb_OA CZN6870</v>
      </c>
      <c r="D5691" s="125" t="str">
        <f>IFERROR(VLOOKUP($A5691,HeadJournal!$A$1:$NTR$890,COLUMN(HeadJournal!D$1),0),"")</f>
        <v>Доставлен</v>
      </c>
      <c r="E5691" s="95">
        <f>IFERROR(VLOOKUP($A5691,HeadJournal!$A$1:$NTR$890,COLUMN(HeadJournal!G$1),0),"")</f>
        <v>46093</v>
      </c>
      <c r="F5691" s="95" t="str">
        <f t="shared" si="423"/>
        <v>2026 03</v>
      </c>
      <c r="G5691" s="97" t="s">
        <v>5</v>
      </c>
      <c r="H5691" s="161" t="s">
        <v>2727</v>
      </c>
      <c r="I5691" s="97" t="s">
        <v>2221</v>
      </c>
      <c r="J5691" s="97" t="s">
        <v>5483</v>
      </c>
      <c r="K5691" s="29">
        <v>17.66</v>
      </c>
      <c r="L5691" s="29">
        <v>-2.65</v>
      </c>
      <c r="M5691" s="30">
        <f>IFERROR(VLOOKUP($A5691,HeadJournal!$A$1:$J$890,COLUMN(HeadJournal!I$1),0)*($K5691+$L5691)/(SUMIF($A:$A,$A5691,$K:$K)+SUMIF($A:$A,$A5691,$L:$L)),0)</f>
        <v>-0.80734177906405291</v>
      </c>
      <c r="N5691" s="30">
        <f>IFERROR((VLOOKUP($A5691,HeadJournal!$A$1:$K$890,COLUMN(HeadJournal!K$1),0)-VLOOKUP($A5691,HeadJournal!$A$1:$K$890,COLUMN(HeadJournal!J$1),0))*($K5691+$L5691)/(SUMIF($A:$A,$A5691,$K:$K)+SUMIF($A:$A,$A5691,$L:$L)),0)</f>
        <v>0</v>
      </c>
      <c r="O5691" s="30">
        <f>IFERROR((VLOOKUP($A5691,HeadJournal!$A$1:$L$890,COLUMN(HeadJournal!L$1),0)*($K5691+$L5691)/(SUMIF($A:$A,$A5691,$K:$K)+SUMIF($A:$A,$A5691,$L:$L)))/VLOOKUP($A5691,HeadJournal!$A$1:$L$890,COLUMN(HeadJournal!H$1),0),0)</f>
        <v>0.74462937321416922</v>
      </c>
      <c r="P5691" s="30">
        <f>IFERROR(SUM(K5691:O5691)*VLOOKUP($A5691,HeadJournal!$A$1:$L$890,COLUMN(HeadJournal!H$1),0),0)</f>
        <v>1318.1544360108483</v>
      </c>
      <c r="Q5691" s="29">
        <v>2200</v>
      </c>
      <c r="R5691" s="31">
        <v>46116</v>
      </c>
      <c r="S5691" s="31" t="s">
        <v>3475</v>
      </c>
      <c r="T5691" s="95" t="str">
        <f t="shared" si="424"/>
        <v>2026 04</v>
      </c>
      <c r="U5691" s="32">
        <f t="shared" si="425"/>
        <v>881.84556398915174</v>
      </c>
      <c r="V5691" s="22">
        <f t="shared" si="426"/>
        <v>0.66900018685055984</v>
      </c>
      <c r="X5691" s="33"/>
      <c r="Y5691" s="33"/>
    </row>
    <row r="5692" spans="1:25" x14ac:dyDescent="0.2">
      <c r="A5692" s="93" t="s">
        <v>5605</v>
      </c>
      <c r="B5692" s="94">
        <f>IFERROR(VLOOKUP($A5692,HeadJournal!$A$1:$NTR$890,COLUMN(HeadJournal!B$1),0),"")</f>
        <v>0</v>
      </c>
      <c r="C5692" s="94" t="str">
        <f>IFERROR(VLOOKUP($A5692,HeadJournal!$A$1:$NTR$890,COLUMN(HeadJournal!C$1),0),"")</f>
        <v>iHerb_OA CZN6870</v>
      </c>
      <c r="D5692" s="125" t="str">
        <f>IFERROR(VLOOKUP($A5692,HeadJournal!$A$1:$NTR$890,COLUMN(HeadJournal!D$1),0),"")</f>
        <v>Доставлен</v>
      </c>
      <c r="E5692" s="95">
        <f>IFERROR(VLOOKUP($A5692,HeadJournal!$A$1:$NTR$890,COLUMN(HeadJournal!G$1),0),"")</f>
        <v>46098</v>
      </c>
      <c r="F5692" s="95" t="str">
        <f t="shared" si="423"/>
        <v>2026 03</v>
      </c>
      <c r="G5692" s="97" t="s">
        <v>7</v>
      </c>
      <c r="H5692" s="161" t="s">
        <v>5587</v>
      </c>
      <c r="I5692" s="97" t="s">
        <v>3846</v>
      </c>
      <c r="J5692" s="97" t="s">
        <v>5588</v>
      </c>
      <c r="K5692" s="29">
        <v>12.28</v>
      </c>
      <c r="L5692" s="29">
        <v>-1.23</v>
      </c>
      <c r="M5692" s="30">
        <f>IFERROR(VLOOKUP($A5692,HeadJournal!$A$1:$J$890,COLUMN(HeadJournal!I$1),0)*($K5692+$L5692)/(SUMIF($A:$A,$A5692,$K:$K)+SUMIF($A:$A,$A5692,$L:$L)),0)</f>
        <v>-0.5457770703907171</v>
      </c>
      <c r="N5692" s="30">
        <f>IFERROR((VLOOKUP($A5692,HeadJournal!$A$1:$K$890,COLUMN(HeadJournal!K$1),0)-VLOOKUP($A5692,HeadJournal!$A$1:$K$890,COLUMN(HeadJournal!J$1),0))*($K5692+$L5692)/(SUMIF($A:$A,$A5692,$K:$K)+SUMIF($A:$A,$A5692,$L:$L)),0)</f>
        <v>-1.6124654166758955E-15</v>
      </c>
      <c r="O5692" s="30">
        <f>IFERROR((VLOOKUP($A5692,HeadJournal!$A$1:$L$890,COLUMN(HeadJournal!L$1),0)*($K5692+$L5692)/(SUMIF($A:$A,$A5692,$K:$K)+SUMIF($A:$A,$A5692,$L:$L)))/VLOOKUP($A5692,HeadJournal!$A$1:$L$890,COLUMN(HeadJournal!H$1),0),0)</f>
        <v>0.56451055351800661</v>
      </c>
      <c r="P5692" s="30">
        <f>IFERROR(SUM(K5692:O5692)*VLOOKUP($A5692,HeadJournal!$A$1:$L$890,COLUMN(HeadJournal!H$1),0),0)</f>
        <v>981.1483185295474</v>
      </c>
      <c r="Q5692" s="29"/>
      <c r="R5692" s="31"/>
      <c r="S5692" s="31"/>
      <c r="T5692" s="95" t="str">
        <f t="shared" si="424"/>
        <v/>
      </c>
      <c r="U5692" s="32">
        <f t="shared" si="425"/>
        <v>-981.1483185295474</v>
      </c>
      <c r="V5692" s="22" t="str">
        <f t="shared" si="426"/>
        <v/>
      </c>
      <c r="X5692" s="33"/>
      <c r="Y5692" s="33"/>
    </row>
    <row r="5693" spans="1:25" x14ac:dyDescent="0.2">
      <c r="A5693" s="93" t="s">
        <v>5605</v>
      </c>
      <c r="B5693" s="94">
        <f>IFERROR(VLOOKUP($A5693,HeadJournal!$A$1:$NTR$890,COLUMN(HeadJournal!B$1),0),"")</f>
        <v>0</v>
      </c>
      <c r="C5693" s="94" t="str">
        <f>IFERROR(VLOOKUP($A5693,HeadJournal!$A$1:$NTR$890,COLUMN(HeadJournal!C$1),0),"")</f>
        <v>iHerb_OA CZN6870</v>
      </c>
      <c r="D5693" s="125" t="str">
        <f>IFERROR(VLOOKUP($A5693,HeadJournal!$A$1:$NTR$890,COLUMN(HeadJournal!D$1),0),"")</f>
        <v>Доставлен</v>
      </c>
      <c r="E5693" s="95">
        <f>IFERROR(VLOOKUP($A5693,HeadJournal!$A$1:$NTR$890,COLUMN(HeadJournal!G$1),0),"")</f>
        <v>46098</v>
      </c>
      <c r="F5693" s="95" t="str">
        <f t="shared" si="423"/>
        <v>2026 03</v>
      </c>
      <c r="G5693" s="97" t="s">
        <v>5</v>
      </c>
      <c r="H5693" s="161" t="s">
        <v>5589</v>
      </c>
      <c r="I5693" s="97" t="s">
        <v>2618</v>
      </c>
      <c r="J5693" s="97" t="s">
        <v>5590</v>
      </c>
      <c r="K5693" s="29">
        <v>18.07</v>
      </c>
      <c r="L5693" s="29">
        <v>-1.81</v>
      </c>
      <c r="M5693" s="30">
        <f>IFERROR(VLOOKUP($A5693,HeadJournal!$A$1:$J$890,COLUMN(HeadJournal!I$1),0)*($K5693+$L5693)/(SUMIF($A:$A,$A5693,$K:$K)+SUMIF($A:$A,$A5693,$L:$L)),0)</f>
        <v>-0.80310725471068423</v>
      </c>
      <c r="N5693" s="30">
        <f>IFERROR((VLOOKUP($A5693,HeadJournal!$A$1:$K$890,COLUMN(HeadJournal!K$1),0)-VLOOKUP($A5693,HeadJournal!$A$1:$K$890,COLUMN(HeadJournal!J$1),0))*($K5693+$L5693)/(SUMIF($A:$A,$A5693,$K:$K)+SUMIF($A:$A,$A5693,$L:$L)),0)</f>
        <v>-2.3727319163031736E-15</v>
      </c>
      <c r="O5693" s="30">
        <f>IFERROR((VLOOKUP($A5693,HeadJournal!$A$1:$L$890,COLUMN(HeadJournal!L$1),0)*($K5693+$L5693)/(SUMIF($A:$A,$A5693,$K:$K)+SUMIF($A:$A,$A5693,$L:$L)))/VLOOKUP($A5693,HeadJournal!$A$1:$L$890,COLUMN(HeadJournal!H$1),0),0)</f>
        <v>0.83067344798215292</v>
      </c>
      <c r="P5693" s="30">
        <f>IFERROR(SUM(K5693:O5693)*VLOOKUP($A5693,HeadJournal!$A$1:$L$890,COLUMN(HeadJournal!H$1),0),0)</f>
        <v>1443.7530913385019</v>
      </c>
      <c r="Q5693" s="29">
        <v>2100</v>
      </c>
      <c r="R5693" s="31">
        <v>46135</v>
      </c>
      <c r="S5693" s="31" t="s">
        <v>3475</v>
      </c>
      <c r="T5693" s="95" t="str">
        <f t="shared" si="424"/>
        <v>2026 04</v>
      </c>
      <c r="U5693" s="32">
        <f t="shared" si="425"/>
        <v>656.24690866149808</v>
      </c>
      <c r="V5693" s="22">
        <f t="shared" si="426"/>
        <v>0.454542340098536</v>
      </c>
      <c r="X5693" s="33"/>
      <c r="Y5693" s="33"/>
    </row>
    <row r="5694" spans="1:25" x14ac:dyDescent="0.2">
      <c r="A5694" s="93" t="s">
        <v>5605</v>
      </c>
      <c r="B5694" s="94">
        <f>IFERROR(VLOOKUP($A5694,HeadJournal!$A$1:$NTR$890,COLUMN(HeadJournal!B$1),0),"")</f>
        <v>0</v>
      </c>
      <c r="C5694" s="94" t="str">
        <f>IFERROR(VLOOKUP($A5694,HeadJournal!$A$1:$NTR$890,COLUMN(HeadJournal!C$1),0),"")</f>
        <v>iHerb_OA CZN6870</v>
      </c>
      <c r="D5694" s="125" t="str">
        <f>IFERROR(VLOOKUP($A5694,HeadJournal!$A$1:$NTR$890,COLUMN(HeadJournal!D$1),0),"")</f>
        <v>Доставлен</v>
      </c>
      <c r="E5694" s="95">
        <f>IFERROR(VLOOKUP($A5694,HeadJournal!$A$1:$NTR$890,COLUMN(HeadJournal!G$1),0),"")</f>
        <v>46098</v>
      </c>
      <c r="F5694" s="95" t="str">
        <f t="shared" si="423"/>
        <v>2026 03</v>
      </c>
      <c r="G5694" s="97" t="s">
        <v>5</v>
      </c>
      <c r="H5694" s="161" t="s">
        <v>5591</v>
      </c>
      <c r="I5694" s="97" t="s">
        <v>4023</v>
      </c>
      <c r="J5694" s="97" t="s">
        <v>5592</v>
      </c>
      <c r="K5694" s="29">
        <v>40.090000000000003</v>
      </c>
      <c r="L5694" s="29">
        <v>-4.01</v>
      </c>
      <c r="M5694" s="30">
        <f>IFERROR(VLOOKUP($A5694,HeadJournal!$A$1:$J$890,COLUMN(HeadJournal!I$1),0)*($K5694+$L5694)/(SUMIF($A:$A,$A5694,$K:$K)+SUMIF($A:$A,$A5694,$L:$L)),0)</f>
        <v>-1.7820485701083326</v>
      </c>
      <c r="N5694" s="30">
        <f>IFERROR((VLOOKUP($A5694,HeadJournal!$A$1:$K$890,COLUMN(HeadJournal!K$1),0)-VLOOKUP($A5694,HeadJournal!$A$1:$K$890,COLUMN(HeadJournal!J$1),0))*($K5694+$L5694)/(SUMIF($A:$A,$A5694,$K:$K)+SUMIF($A:$A,$A5694,$L:$L)),0)</f>
        <v>-5.2649549532729709E-15</v>
      </c>
      <c r="O5694" s="30">
        <f>IFERROR((VLOOKUP($A5694,HeadJournal!$A$1:$L$890,COLUMN(HeadJournal!L$1),0)*($K5694+$L5694)/(SUMIF($A:$A,$A5694,$K:$K)+SUMIF($A:$A,$A5694,$L:$L)))/VLOOKUP($A5694,HeadJournal!$A$1:$L$890,COLUMN(HeadJournal!H$1),0),0)</f>
        <v>1.8432163593601525</v>
      </c>
      <c r="P5694" s="30">
        <f>IFERROR(SUM(K5694:O5694)*VLOOKUP($A5694,HeadJournal!$A$1:$L$890,COLUMN(HeadJournal!H$1),0),0)</f>
        <v>3203.6046454792836</v>
      </c>
      <c r="Q5694" s="29">
        <v>4000</v>
      </c>
      <c r="R5694" s="31">
        <v>46135</v>
      </c>
      <c r="S5694" s="31" t="s">
        <v>3475</v>
      </c>
      <c r="T5694" s="95" t="str">
        <f t="shared" si="424"/>
        <v>2026 04</v>
      </c>
      <c r="U5694" s="32">
        <f t="shared" si="425"/>
        <v>796.39535452071641</v>
      </c>
      <c r="V5694" s="22">
        <f t="shared" si="426"/>
        <v>0.24859351969180629</v>
      </c>
      <c r="X5694" s="33"/>
      <c r="Y5694" s="33"/>
    </row>
    <row r="5695" spans="1:25" x14ac:dyDescent="0.2">
      <c r="A5695" s="93" t="s">
        <v>5605</v>
      </c>
      <c r="B5695" s="94">
        <f>IFERROR(VLOOKUP($A5695,HeadJournal!$A$1:$NTR$890,COLUMN(HeadJournal!B$1),0),"")</f>
        <v>0</v>
      </c>
      <c r="C5695" s="94" t="str">
        <f>IFERROR(VLOOKUP($A5695,HeadJournal!$A$1:$NTR$890,COLUMN(HeadJournal!C$1),0),"")</f>
        <v>iHerb_OA CZN6870</v>
      </c>
      <c r="D5695" s="125" t="str">
        <f>IFERROR(VLOOKUP($A5695,HeadJournal!$A$1:$NTR$890,COLUMN(HeadJournal!D$1),0),"")</f>
        <v>Доставлен</v>
      </c>
      <c r="E5695" s="95">
        <f>IFERROR(VLOOKUP($A5695,HeadJournal!$A$1:$NTR$890,COLUMN(HeadJournal!G$1),0),"")</f>
        <v>46098</v>
      </c>
      <c r="F5695" s="95" t="str">
        <f t="shared" si="423"/>
        <v>2026 03</v>
      </c>
      <c r="G5695" s="97" t="s">
        <v>5</v>
      </c>
      <c r="H5695" s="161" t="s">
        <v>4584</v>
      </c>
      <c r="I5695" s="97" t="s">
        <v>2207</v>
      </c>
      <c r="J5695" s="97" t="s">
        <v>4585</v>
      </c>
      <c r="K5695" s="29">
        <v>12.47</v>
      </c>
      <c r="L5695" s="29">
        <v>-3.88</v>
      </c>
      <c r="M5695" s="30">
        <f>IFERROR(VLOOKUP($A5695,HeadJournal!$A$1:$J$890,COLUMN(HeadJournal!I$1),0)*($K5695+$L5695)/(SUMIF($A:$A,$A5695,$K:$K)+SUMIF($A:$A,$A5695,$L:$L)),0)</f>
        <v>-0.42427375879242168</v>
      </c>
      <c r="N5695" s="30">
        <f>IFERROR((VLOOKUP($A5695,HeadJournal!$A$1:$K$890,COLUMN(HeadJournal!K$1),0)-VLOOKUP($A5695,HeadJournal!$A$1:$K$890,COLUMN(HeadJournal!J$1),0))*($K5695+$L5695)/(SUMIF($A:$A,$A5695,$K:$K)+SUMIF($A:$A,$A5695,$L:$L)),0)</f>
        <v>-1.253491215316375E-15</v>
      </c>
      <c r="O5695" s="30">
        <f>IFERROR((VLOOKUP($A5695,HeadJournal!$A$1:$L$890,COLUMN(HeadJournal!L$1),0)*($K5695+$L5695)/(SUMIF($A:$A,$A5695,$K:$K)+SUMIF($A:$A,$A5695,$L:$L)))/VLOOKUP($A5695,HeadJournal!$A$1:$L$890,COLUMN(HeadJournal!H$1),0),0)</f>
        <v>0.43883671083435999</v>
      </c>
      <c r="P5695" s="30">
        <f>IFERROR(SUM(K5695:O5695)*VLOOKUP($A5695,HeadJournal!$A$1:$L$890,COLUMN(HeadJournal!H$1),0),0)</f>
        <v>762.72072906505093</v>
      </c>
      <c r="Q5695" s="29"/>
      <c r="R5695" s="31"/>
      <c r="S5695" s="31"/>
      <c r="T5695" s="95" t="str">
        <f t="shared" si="424"/>
        <v/>
      </c>
      <c r="U5695" s="32">
        <f t="shared" si="425"/>
        <v>-762.72072906505093</v>
      </c>
      <c r="V5695" s="22" t="str">
        <f t="shared" si="426"/>
        <v/>
      </c>
      <c r="X5695" s="33"/>
      <c r="Y5695" s="33"/>
    </row>
    <row r="5696" spans="1:25" x14ac:dyDescent="0.2">
      <c r="A5696" s="93" t="s">
        <v>5605</v>
      </c>
      <c r="B5696" s="94">
        <f>IFERROR(VLOOKUP($A5696,HeadJournal!$A$1:$NTR$890,COLUMN(HeadJournal!B$1),0),"")</f>
        <v>0</v>
      </c>
      <c r="C5696" s="94" t="str">
        <f>IFERROR(VLOOKUP($A5696,HeadJournal!$A$1:$NTR$890,COLUMN(HeadJournal!C$1),0),"")</f>
        <v>iHerb_OA CZN6870</v>
      </c>
      <c r="D5696" s="125" t="str">
        <f>IFERROR(VLOOKUP($A5696,HeadJournal!$A$1:$NTR$890,COLUMN(HeadJournal!D$1),0),"")</f>
        <v>Доставлен</v>
      </c>
      <c r="E5696" s="95">
        <f>IFERROR(VLOOKUP($A5696,HeadJournal!$A$1:$NTR$890,COLUMN(HeadJournal!G$1),0),"")</f>
        <v>46098</v>
      </c>
      <c r="F5696" s="95" t="str">
        <f t="shared" si="423"/>
        <v>2026 03</v>
      </c>
      <c r="G5696" s="97" t="s">
        <v>5</v>
      </c>
      <c r="H5696" s="161" t="s">
        <v>5593</v>
      </c>
      <c r="I5696" s="97" t="s">
        <v>2750</v>
      </c>
      <c r="J5696" s="97" t="s">
        <v>5594</v>
      </c>
      <c r="K5696" s="29">
        <v>17.13</v>
      </c>
      <c r="L5696" s="29">
        <v>-2.57</v>
      </c>
      <c r="M5696" s="30">
        <f>IFERROR(VLOOKUP($A5696,HeadJournal!$A$1:$J$890,COLUMN(HeadJournal!I$1),0)*($K5696+$L5696)/(SUMIF($A:$A,$A5696,$K:$K)+SUMIF($A:$A,$A5696,$L:$L)),0)</f>
        <v>-0.71914155157365078</v>
      </c>
      <c r="N5696" s="30">
        <f>IFERROR((VLOOKUP($A5696,HeadJournal!$A$1:$K$890,COLUMN(HeadJournal!K$1),0)-VLOOKUP($A5696,HeadJournal!$A$1:$K$890,COLUMN(HeadJournal!J$1),0))*($K5696+$L5696)/(SUMIF($A:$A,$A5696,$K:$K)+SUMIF($A:$A,$A5696,$L:$L)),0)</f>
        <v>-2.1246603137376506E-15</v>
      </c>
      <c r="O5696" s="30">
        <f>IFERROR((VLOOKUP($A5696,HeadJournal!$A$1:$L$890,COLUMN(HeadJournal!L$1),0)*($K5696+$L5696)/(SUMIF($A:$A,$A5696,$K:$K)+SUMIF($A:$A,$A5696,$L:$L)))/VLOOKUP($A5696,HeadJournal!$A$1:$L$890,COLUMN(HeadJournal!H$1),0),0)</f>
        <v>0.7438256705178441</v>
      </c>
      <c r="P5696" s="30">
        <f>IFERROR(SUM(K5696:O5696)*VLOOKUP($A5696,HeadJournal!$A$1:$L$890,COLUMN(HeadJournal!H$1),0),0)</f>
        <v>1292.8071961801095</v>
      </c>
      <c r="Q5696" s="29"/>
      <c r="R5696" s="31"/>
      <c r="S5696" s="31"/>
      <c r="T5696" s="95" t="str">
        <f t="shared" si="424"/>
        <v/>
      </c>
      <c r="U5696" s="32">
        <f t="shared" si="425"/>
        <v>-1292.8071961801095</v>
      </c>
      <c r="V5696" s="22" t="str">
        <f t="shared" si="426"/>
        <v/>
      </c>
      <c r="X5696" s="33"/>
      <c r="Y5696" s="33"/>
    </row>
    <row r="5697" spans="1:25" x14ac:dyDescent="0.2">
      <c r="A5697" s="93" t="s">
        <v>5605</v>
      </c>
      <c r="B5697" s="94">
        <f>IFERROR(VLOOKUP($A5697,HeadJournal!$A$1:$NTR$890,COLUMN(HeadJournal!B$1),0),"")</f>
        <v>0</v>
      </c>
      <c r="C5697" s="94" t="str">
        <f>IFERROR(VLOOKUP($A5697,HeadJournal!$A$1:$NTR$890,COLUMN(HeadJournal!C$1),0),"")</f>
        <v>iHerb_OA CZN6870</v>
      </c>
      <c r="D5697" s="125" t="str">
        <f>IFERROR(VLOOKUP($A5697,HeadJournal!$A$1:$NTR$890,COLUMN(HeadJournal!D$1),0),"")</f>
        <v>Доставлен</v>
      </c>
      <c r="E5697" s="95">
        <f>IFERROR(VLOOKUP($A5697,HeadJournal!$A$1:$NTR$890,COLUMN(HeadJournal!G$1),0),"")</f>
        <v>46098</v>
      </c>
      <c r="F5697" s="95" t="str">
        <f t="shared" si="423"/>
        <v>2026 03</v>
      </c>
      <c r="G5697" s="97" t="s">
        <v>5</v>
      </c>
      <c r="H5697" s="161" t="s">
        <v>5595</v>
      </c>
      <c r="I5697" s="97" t="s">
        <v>5596</v>
      </c>
      <c r="J5697" s="97" t="s">
        <v>5597</v>
      </c>
      <c r="K5697" s="29">
        <v>23.61</v>
      </c>
      <c r="L5697" s="29">
        <v>-3.54</v>
      </c>
      <c r="M5697" s="30">
        <f>IFERROR(VLOOKUP($A5697,HeadJournal!$A$1:$J$890,COLUMN(HeadJournal!I$1),0)*($K5697+$L5697)/(SUMIF($A:$A,$A5697,$K:$K)+SUMIF($A:$A,$A5697,$L:$L)),0)</f>
        <v>-0.99128921291780026</v>
      </c>
      <c r="N5697" s="30">
        <f>IFERROR((VLOOKUP($A5697,HeadJournal!$A$1:$K$890,COLUMN(HeadJournal!K$1),0)-VLOOKUP($A5697,HeadJournal!$A$1:$K$890,COLUMN(HeadJournal!J$1),0))*($K5697+$L5697)/(SUMIF($A:$A,$A5697,$K:$K)+SUMIF($A:$A,$A5697,$L:$L)),0)</f>
        <v>-2.9287041549941385E-15</v>
      </c>
      <c r="O5697" s="30">
        <f>IFERROR((VLOOKUP($A5697,HeadJournal!$A$1:$L$890,COLUMN(HeadJournal!L$1),0)*($K5697+$L5697)/(SUMIF($A:$A,$A5697,$K:$K)+SUMIF($A:$A,$A5697,$L:$L)))/VLOOKUP($A5697,HeadJournal!$A$1:$L$890,COLUMN(HeadJournal!H$1),0),0)</f>
        <v>1.0253146433580449</v>
      </c>
      <c r="P5697" s="30">
        <f>IFERROR(SUM(K5697:O5697)*VLOOKUP($A5697,HeadJournal!$A$1:$L$890,COLUMN(HeadJournal!H$1),0),0)</f>
        <v>1782.0494798993682</v>
      </c>
      <c r="Q5697" s="29"/>
      <c r="R5697" s="31"/>
      <c r="S5697" s="31"/>
      <c r="T5697" s="95" t="str">
        <f t="shared" si="424"/>
        <v/>
      </c>
      <c r="U5697" s="32">
        <f t="shared" si="425"/>
        <v>-1782.0494798993682</v>
      </c>
      <c r="V5697" s="22" t="str">
        <f t="shared" si="426"/>
        <v/>
      </c>
      <c r="X5697" s="33"/>
      <c r="Y5697" s="33"/>
    </row>
    <row r="5698" spans="1:25" x14ac:dyDescent="0.2">
      <c r="A5698" s="93" t="s">
        <v>5605</v>
      </c>
      <c r="B5698" s="94">
        <f>IFERROR(VLOOKUP($A5698,HeadJournal!$A$1:$NTR$890,COLUMN(HeadJournal!B$1),0),"")</f>
        <v>0</v>
      </c>
      <c r="C5698" s="94" t="str">
        <f>IFERROR(VLOOKUP($A5698,HeadJournal!$A$1:$NTR$890,COLUMN(HeadJournal!C$1),0),"")</f>
        <v>iHerb_OA CZN6870</v>
      </c>
      <c r="D5698" s="125" t="str">
        <f>IFERROR(VLOOKUP($A5698,HeadJournal!$A$1:$NTR$890,COLUMN(HeadJournal!D$1),0),"")</f>
        <v>Доставлен</v>
      </c>
      <c r="E5698" s="95">
        <f>IFERROR(VLOOKUP($A5698,HeadJournal!$A$1:$NTR$890,COLUMN(HeadJournal!G$1),0),"")</f>
        <v>46098</v>
      </c>
      <c r="F5698" s="95" t="str">
        <f t="shared" si="423"/>
        <v>2026 03</v>
      </c>
      <c r="G5698" s="97" t="s">
        <v>5</v>
      </c>
      <c r="H5698" s="161" t="s">
        <v>5598</v>
      </c>
      <c r="I5698" s="97" t="s">
        <v>5596</v>
      </c>
      <c r="J5698" s="97" t="s">
        <v>5599</v>
      </c>
      <c r="K5698" s="29">
        <v>16.100000000000001</v>
      </c>
      <c r="L5698" s="29">
        <v>-6.62</v>
      </c>
      <c r="M5698" s="30">
        <f>IFERROR(VLOOKUP($A5698,HeadJournal!$A$1:$J$890,COLUMN(HeadJournal!I$1),0)*($K5698+$L5698)/(SUMIF($A:$A,$A5698,$K:$K)+SUMIF($A:$A,$A5698,$L:$L)),0)</f>
        <v>-0.46823227396416273</v>
      </c>
      <c r="N5698" s="30">
        <f>IFERROR((VLOOKUP($A5698,HeadJournal!$A$1:$K$890,COLUMN(HeadJournal!K$1),0)-VLOOKUP($A5698,HeadJournal!$A$1:$K$890,COLUMN(HeadJournal!J$1),0))*($K5698+$L5698)/(SUMIF($A:$A,$A5698,$K:$K)+SUMIF($A:$A,$A5698,$L:$L)),0)</f>
        <v>-1.3833639954830311E-15</v>
      </c>
      <c r="O5698" s="30">
        <f>IFERROR((VLOOKUP($A5698,HeadJournal!$A$1:$L$890,COLUMN(HeadJournal!L$1),0)*($K5698+$L5698)/(SUMIF($A:$A,$A5698,$K:$K)+SUMIF($A:$A,$A5698,$L:$L)))/VLOOKUP($A5698,HeadJournal!$A$1:$L$890,COLUMN(HeadJournal!H$1),0),0)</f>
        <v>0.48430407668332165</v>
      </c>
      <c r="P5698" s="30">
        <f>IFERROR(SUM(K5698:O5698)*VLOOKUP($A5698,HeadJournal!$A$1:$L$890,COLUMN(HeadJournal!H$1),0),0)</f>
        <v>841.74534476562087</v>
      </c>
      <c r="Q5698" s="29"/>
      <c r="R5698" s="31"/>
      <c r="S5698" s="31"/>
      <c r="T5698" s="95" t="str">
        <f t="shared" si="424"/>
        <v/>
      </c>
      <c r="U5698" s="32">
        <f t="shared" si="425"/>
        <v>-841.74534476562087</v>
      </c>
      <c r="V5698" s="22" t="str">
        <f t="shared" si="426"/>
        <v/>
      </c>
      <c r="X5698" s="33"/>
      <c r="Y5698" s="33"/>
    </row>
    <row r="5699" spans="1:25" x14ac:dyDescent="0.2">
      <c r="A5699" s="93" t="s">
        <v>5605</v>
      </c>
      <c r="B5699" s="94">
        <f>IFERROR(VLOOKUP($A5699,HeadJournal!$A$1:$NTR$890,COLUMN(HeadJournal!B$1),0),"")</f>
        <v>0</v>
      </c>
      <c r="C5699" s="94" t="str">
        <f>IFERROR(VLOOKUP($A5699,HeadJournal!$A$1:$NTR$890,COLUMN(HeadJournal!C$1),0),"")</f>
        <v>iHerb_OA CZN6870</v>
      </c>
      <c r="D5699" s="125" t="str">
        <f>IFERROR(VLOOKUP($A5699,HeadJournal!$A$1:$NTR$890,COLUMN(HeadJournal!D$1),0),"")</f>
        <v>Доставлен</v>
      </c>
      <c r="E5699" s="95">
        <f>IFERROR(VLOOKUP($A5699,HeadJournal!$A$1:$NTR$890,COLUMN(HeadJournal!G$1),0),"")</f>
        <v>46098</v>
      </c>
      <c r="F5699" s="95" t="str">
        <f t="shared" si="423"/>
        <v>2026 03</v>
      </c>
      <c r="G5699" s="97" t="s">
        <v>5</v>
      </c>
      <c r="H5699" s="161" t="s">
        <v>5600</v>
      </c>
      <c r="I5699" s="97" t="s">
        <v>2993</v>
      </c>
      <c r="J5699" s="97" t="s">
        <v>5601</v>
      </c>
      <c r="K5699" s="29">
        <v>27</v>
      </c>
      <c r="L5699" s="29">
        <v>-2.7</v>
      </c>
      <c r="M5699" s="30">
        <f>IFERROR(VLOOKUP($A5699,HeadJournal!$A$1:$J$890,COLUMN(HeadJournal!I$1),0)*($K5699+$L5699)/(SUMIF($A:$A,$A5699,$K:$K)+SUMIF($A:$A,$A5699,$L:$L)),0)</f>
        <v>-1.2002156389587717</v>
      </c>
      <c r="N5699" s="30">
        <f>IFERROR((VLOOKUP($A5699,HeadJournal!$A$1:$K$890,COLUMN(HeadJournal!K$1),0)-VLOOKUP($A5699,HeadJournal!$A$1:$K$890,COLUMN(HeadJournal!J$1),0))*($K5699+$L5699)/(SUMIF($A:$A,$A5699,$K:$K)+SUMIF($A:$A,$A5699,$L:$L)),0)</f>
        <v>-3.5459646719659973E-15</v>
      </c>
      <c r="O5699" s="30">
        <f>IFERROR((VLOOKUP($A5699,HeadJournal!$A$1:$L$890,COLUMN(HeadJournal!L$1),0)*($K5699+$L5699)/(SUMIF($A:$A,$A5699,$K:$K)+SUMIF($A:$A,$A5699,$L:$L)))/VLOOKUP($A5699,HeadJournal!$A$1:$L$890,COLUMN(HeadJournal!H$1),0),0)</f>
        <v>1.2414123484604132</v>
      </c>
      <c r="P5699" s="30">
        <f>IFERROR(SUM(K5699:O5699)*VLOOKUP($A5699,HeadJournal!$A$1:$L$890,COLUMN(HeadJournal!H$1),0),0)</f>
        <v>2157.6383837346611</v>
      </c>
      <c r="Q5699" s="29">
        <v>2850</v>
      </c>
      <c r="R5699" s="31">
        <v>46136</v>
      </c>
      <c r="S5699" s="31"/>
      <c r="T5699" s="95" t="str">
        <f t="shared" si="424"/>
        <v>2026 04</v>
      </c>
      <c r="U5699" s="32">
        <f t="shared" si="425"/>
        <v>692.36161626533885</v>
      </c>
      <c r="V5699" s="22">
        <f t="shared" si="426"/>
        <v>0.32088862595544326</v>
      </c>
      <c r="X5699" s="33"/>
      <c r="Y5699" s="33"/>
    </row>
    <row r="5700" spans="1:25" x14ac:dyDescent="0.2">
      <c r="A5700" s="93" t="s">
        <v>5605</v>
      </c>
      <c r="B5700" s="94">
        <f>IFERROR(VLOOKUP($A5700,HeadJournal!$A$1:$NTR$890,COLUMN(HeadJournal!B$1),0),"")</f>
        <v>0</v>
      </c>
      <c r="C5700" s="94" t="str">
        <f>IFERROR(VLOOKUP($A5700,HeadJournal!$A$1:$NTR$890,COLUMN(HeadJournal!C$1),0),"")</f>
        <v>iHerb_OA CZN6870</v>
      </c>
      <c r="D5700" s="125" t="str">
        <f>IFERROR(VLOOKUP($A5700,HeadJournal!$A$1:$NTR$890,COLUMN(HeadJournal!D$1),0),"")</f>
        <v>Доставлен</v>
      </c>
      <c r="E5700" s="95">
        <f>IFERROR(VLOOKUP($A5700,HeadJournal!$A$1:$NTR$890,COLUMN(HeadJournal!G$1),0),"")</f>
        <v>46098</v>
      </c>
      <c r="F5700" s="95" t="str">
        <f t="shared" si="423"/>
        <v>2026 03</v>
      </c>
      <c r="G5700" s="97" t="s">
        <v>5</v>
      </c>
      <c r="H5700" s="161" t="s">
        <v>3931</v>
      </c>
      <c r="I5700" s="97" t="s">
        <v>2036</v>
      </c>
      <c r="J5700" s="97" t="s">
        <v>3932</v>
      </c>
      <c r="K5700" s="29">
        <v>12.49</v>
      </c>
      <c r="L5700" s="29">
        <v>-1.25</v>
      </c>
      <c r="M5700" s="30">
        <f>IFERROR(VLOOKUP($A5700,HeadJournal!$A$1:$J$890,COLUMN(HeadJournal!I$1),0)*($K5700+$L5700)/(SUMIF($A:$A,$A5700,$K:$K)+SUMIF($A:$A,$A5700,$L:$L)),0)</f>
        <v>-0.55516147250603265</v>
      </c>
      <c r="N5700" s="30">
        <f>IFERROR((VLOOKUP($A5700,HeadJournal!$A$1:$K$890,COLUMN(HeadJournal!K$1),0)-VLOOKUP($A5700,HeadJournal!$A$1:$K$890,COLUMN(HeadJournal!J$1),0))*($K5700+$L5700)/(SUMIF($A:$A,$A5700,$K:$K)+SUMIF($A:$A,$A5700,$L:$L)),0)</f>
        <v>-1.6401910663743954E-15</v>
      </c>
      <c r="O5700" s="30">
        <f>IFERROR((VLOOKUP($A5700,HeadJournal!$A$1:$L$890,COLUMN(HeadJournal!L$1),0)*($K5700+$L5700)/(SUMIF($A:$A,$A5700,$K:$K)+SUMIF($A:$A,$A5700,$L:$L)))/VLOOKUP($A5700,HeadJournal!$A$1:$L$890,COLUMN(HeadJournal!H$1),0),0)</f>
        <v>0.57421706982284126</v>
      </c>
      <c r="P5700" s="30">
        <f>IFERROR(SUM(K5700:O5700)*VLOOKUP($A5700,HeadJournal!$A$1:$L$890,COLUMN(HeadJournal!H$1),0),0)</f>
        <v>998.01874210607366</v>
      </c>
      <c r="Q5700" s="29">
        <v>1800</v>
      </c>
      <c r="R5700" s="31">
        <v>46135</v>
      </c>
      <c r="S5700" s="31" t="s">
        <v>3235</v>
      </c>
      <c r="T5700" s="95" t="str">
        <f t="shared" si="424"/>
        <v>2026 04</v>
      </c>
      <c r="U5700" s="32">
        <f t="shared" si="425"/>
        <v>801.98125789392634</v>
      </c>
      <c r="V5700" s="22">
        <f t="shared" si="426"/>
        <v>0.80357334392492641</v>
      </c>
      <c r="X5700" s="33"/>
      <c r="Y5700" s="33"/>
    </row>
    <row r="5701" spans="1:25" x14ac:dyDescent="0.2">
      <c r="A5701" s="93" t="s">
        <v>5605</v>
      </c>
      <c r="B5701" s="94">
        <f>IFERROR(VLOOKUP($A5701,HeadJournal!$A$1:$NTR$890,COLUMN(HeadJournal!B$1),0),"")</f>
        <v>0</v>
      </c>
      <c r="C5701" s="94" t="str">
        <f>IFERROR(VLOOKUP($A5701,HeadJournal!$A$1:$NTR$890,COLUMN(HeadJournal!C$1),0),"")</f>
        <v>iHerb_OA CZN6870</v>
      </c>
      <c r="D5701" s="125" t="str">
        <f>IFERROR(VLOOKUP($A5701,HeadJournal!$A$1:$NTR$890,COLUMN(HeadJournal!D$1),0),"")</f>
        <v>Доставлен</v>
      </c>
      <c r="E5701" s="95">
        <f>IFERROR(VLOOKUP($A5701,HeadJournal!$A$1:$NTR$890,COLUMN(HeadJournal!G$1),0),"")</f>
        <v>46098</v>
      </c>
      <c r="F5701" s="95" t="str">
        <f t="shared" si="423"/>
        <v>2026 03</v>
      </c>
      <c r="G5701" s="97" t="s">
        <v>5</v>
      </c>
      <c r="H5701" s="161" t="s">
        <v>5398</v>
      </c>
      <c r="I5701" s="97" t="s">
        <v>2750</v>
      </c>
      <c r="J5701" s="97" t="s">
        <v>5399</v>
      </c>
      <c r="K5701" s="29">
        <v>11.8</v>
      </c>
      <c r="L5701" s="29">
        <v>-1.18</v>
      </c>
      <c r="M5701" s="30">
        <f>IFERROR(VLOOKUP($A5701,HeadJournal!$A$1:$J$890,COLUMN(HeadJournal!I$1),0)*($K5701+$L5701)/(SUMIF($A:$A,$A5701,$K:$K)+SUMIF($A:$A,$A5701,$L:$L)),0)</f>
        <v>-0.52453868665605574</v>
      </c>
      <c r="N5701" s="30">
        <f>IFERROR((VLOOKUP($A5701,HeadJournal!$A$1:$K$890,COLUMN(HeadJournal!K$1),0)-VLOOKUP($A5701,HeadJournal!$A$1:$K$890,COLUMN(HeadJournal!J$1),0))*($K5701+$L5701)/(SUMIF($A:$A,$A5701,$K:$K)+SUMIF($A:$A,$A5701,$L:$L)),0)</f>
        <v>-1.5497178936740284E-15</v>
      </c>
      <c r="O5701" s="30">
        <f>IFERROR((VLOOKUP($A5701,HeadJournal!$A$1:$L$890,COLUMN(HeadJournal!L$1),0)*($K5701+$L5701)/(SUMIF($A:$A,$A5701,$K:$K)+SUMIF($A:$A,$A5701,$L:$L)))/VLOOKUP($A5701,HeadJournal!$A$1:$L$890,COLUMN(HeadJournal!H$1),0),0)</f>
        <v>0.54254317451232859</v>
      </c>
      <c r="P5701" s="30">
        <f>IFERROR(SUM(K5701:O5701)*VLOOKUP($A5701,HeadJournal!$A$1:$L$890,COLUMN(HeadJournal!H$1),0),0)</f>
        <v>942.96788622477777</v>
      </c>
      <c r="Q5701" s="29">
        <v>1700</v>
      </c>
      <c r="R5701" s="31">
        <v>46135</v>
      </c>
      <c r="S5701" s="31" t="s">
        <v>3235</v>
      </c>
      <c r="T5701" s="95" t="str">
        <f t="shared" si="424"/>
        <v>2026 04</v>
      </c>
      <c r="U5701" s="32">
        <f t="shared" si="425"/>
        <v>757.03211377522223</v>
      </c>
      <c r="V5701" s="22">
        <f t="shared" si="426"/>
        <v>0.80281855282054271</v>
      </c>
      <c r="X5701" s="33"/>
      <c r="Y5701" s="33"/>
    </row>
    <row r="5702" spans="1:25" x14ac:dyDescent="0.2">
      <c r="A5702" s="93" t="s">
        <v>5605</v>
      </c>
      <c r="B5702" s="94">
        <f>IFERROR(VLOOKUP($A5702,HeadJournal!$A$1:$NTR$890,COLUMN(HeadJournal!B$1),0),"")</f>
        <v>0</v>
      </c>
      <c r="C5702" s="94" t="str">
        <f>IFERROR(VLOOKUP($A5702,HeadJournal!$A$1:$NTR$890,COLUMN(HeadJournal!C$1),0),"")</f>
        <v>iHerb_OA CZN6870</v>
      </c>
      <c r="D5702" s="125" t="str">
        <f>IFERROR(VLOOKUP($A5702,HeadJournal!$A$1:$NTR$890,COLUMN(HeadJournal!D$1),0),"")</f>
        <v>Доставлен</v>
      </c>
      <c r="E5702" s="95">
        <f>IFERROR(VLOOKUP($A5702,HeadJournal!$A$1:$NTR$890,COLUMN(HeadJournal!G$1),0),"")</f>
        <v>46098</v>
      </c>
      <c r="F5702" s="95" t="str">
        <f t="shared" si="423"/>
        <v>2026 03</v>
      </c>
      <c r="G5702" s="97" t="s">
        <v>7</v>
      </c>
      <c r="H5702" s="161" t="s">
        <v>5602</v>
      </c>
      <c r="I5702" s="97" t="s">
        <v>2813</v>
      </c>
      <c r="J5702" s="97" t="s">
        <v>5603</v>
      </c>
      <c r="K5702" s="29">
        <v>23.03</v>
      </c>
      <c r="L5702" s="29">
        <v>-9.48</v>
      </c>
      <c r="M5702" s="30">
        <f>IFERROR(VLOOKUP($A5702,HeadJournal!$A$1:$J$890,COLUMN(HeadJournal!I$1),0)*($K5702+$L5702)/(SUMIF($A:$A,$A5702,$K:$K)+SUMIF($A:$A,$A5702,$L:$L)),0)</f>
        <v>-0.66925604559223684</v>
      </c>
      <c r="N5702" s="30">
        <f>IFERROR((VLOOKUP($A5702,HeadJournal!$A$1:$K$890,COLUMN(HeadJournal!K$1),0)-VLOOKUP($A5702,HeadJournal!$A$1:$K$890,COLUMN(HeadJournal!J$1),0))*($K5702+$L5702)/(SUMIF($A:$A,$A5702,$K:$K)+SUMIF($A:$A,$A5702,$L:$L)),0)</f>
        <v>-1.9772765969193111E-15</v>
      </c>
      <c r="O5702" s="30">
        <f>IFERROR((VLOOKUP($A5702,HeadJournal!$A$1:$L$890,COLUMN(HeadJournal!L$1),0)*($K5702+$L5702)/(SUMIF($A:$A,$A5702,$K:$K)+SUMIF($A:$A,$A5702,$L:$L)))/VLOOKUP($A5702,HeadJournal!$A$1:$L$890,COLUMN(HeadJournal!H$1),0),0)</f>
        <v>0.69222787331846081</v>
      </c>
      <c r="P5702" s="30">
        <f>IFERROR(SUM(K5702:O5702)*VLOOKUP($A5702,HeadJournal!$A$1:$L$890,COLUMN(HeadJournal!H$1),0),0)</f>
        <v>1203.1275761154179</v>
      </c>
      <c r="Q5702" s="29"/>
      <c r="R5702" s="31"/>
      <c r="S5702" s="31"/>
      <c r="T5702" s="95" t="str">
        <f t="shared" si="424"/>
        <v/>
      </c>
      <c r="U5702" s="32">
        <f t="shared" si="425"/>
        <v>-1203.1275761154179</v>
      </c>
      <c r="V5702" s="22" t="str">
        <f t="shared" si="426"/>
        <v/>
      </c>
      <c r="X5702" s="33"/>
      <c r="Y5702" s="33"/>
    </row>
    <row r="5703" spans="1:25" x14ac:dyDescent="0.2">
      <c r="A5703" s="93" t="s">
        <v>5605</v>
      </c>
      <c r="B5703" s="94">
        <f>IFERROR(VLOOKUP($A5703,HeadJournal!$A$1:$NTR$890,COLUMN(HeadJournal!B$1),0),"")</f>
        <v>0</v>
      </c>
      <c r="C5703" s="94" t="str">
        <f>IFERROR(VLOOKUP($A5703,HeadJournal!$A$1:$NTR$890,COLUMN(HeadJournal!C$1),0),"")</f>
        <v>iHerb_OA CZN6870</v>
      </c>
      <c r="D5703" s="125" t="str">
        <f>IFERROR(VLOOKUP($A5703,HeadJournal!$A$1:$NTR$890,COLUMN(HeadJournal!D$1),0),"")</f>
        <v>Доставлен</v>
      </c>
      <c r="E5703" s="95">
        <f>IFERROR(VLOOKUP($A5703,HeadJournal!$A$1:$NTR$890,COLUMN(HeadJournal!G$1),0),"")</f>
        <v>46098</v>
      </c>
      <c r="F5703" s="95" t="str">
        <f t="shared" si="423"/>
        <v>2026 03</v>
      </c>
      <c r="G5703" s="97" t="s">
        <v>5</v>
      </c>
      <c r="H5703" s="161" t="s">
        <v>4090</v>
      </c>
      <c r="I5703" s="97" t="s">
        <v>2052</v>
      </c>
      <c r="J5703" s="97" t="s">
        <v>5604</v>
      </c>
      <c r="K5703" s="29">
        <v>27.56</v>
      </c>
      <c r="L5703" s="29">
        <v>-8.59</v>
      </c>
      <c r="M5703" s="30">
        <f>IFERROR(VLOOKUP($A5703,HeadJournal!$A$1:$J$890,COLUMN(HeadJournal!I$1),0)*($K5703+$L5703)/(SUMIF($A:$A,$A5703,$K:$K)+SUMIF($A:$A,$A5703,$L:$L)),0)</f>
        <v>-0.9369584638291315</v>
      </c>
      <c r="N5703" s="30">
        <f>IFERROR((VLOOKUP($A5703,HeadJournal!$A$1:$K$890,COLUMN(HeadJournal!K$1),0)-VLOOKUP($A5703,HeadJournal!$A$1:$K$890,COLUMN(HeadJournal!J$1),0))*($K5703+$L5703)/(SUMIF($A:$A,$A5703,$K:$K)+SUMIF($A:$A,$A5703,$L:$L)),0)</f>
        <v>-2.7681872356870354E-15</v>
      </c>
      <c r="O5703" s="30">
        <f>IFERROR((VLOOKUP($A5703,HeadJournal!$A$1:$L$890,COLUMN(HeadJournal!L$1),0)*($K5703+$L5703)/(SUMIF($A:$A,$A5703,$K:$K)+SUMIF($A:$A,$A5703,$L:$L)))/VLOOKUP($A5703,HeadJournal!$A$1:$L$890,COLUMN(HeadJournal!H$1),0),0)</f>
        <v>0.96911902264584493</v>
      </c>
      <c r="P5703" s="30">
        <f>IFERROR(SUM(K5703:O5703)*VLOOKUP($A5703,HeadJournal!$A$1:$L$890,COLUMN(HeadJournal!H$1),0),0)</f>
        <v>1684.378606561585</v>
      </c>
      <c r="Q5703" s="29"/>
      <c r="R5703" s="31"/>
      <c r="S5703" s="31"/>
      <c r="T5703" s="95" t="str">
        <f t="shared" si="424"/>
        <v/>
      </c>
      <c r="U5703" s="32">
        <f t="shared" si="425"/>
        <v>-1684.378606561585</v>
      </c>
      <c r="V5703" s="22" t="str">
        <f t="shared" si="426"/>
        <v/>
      </c>
      <c r="X5703" s="33"/>
      <c r="Y5703" s="33"/>
    </row>
    <row r="5704" spans="1:25" x14ac:dyDescent="0.2">
      <c r="A5704" s="93" t="s">
        <v>5612</v>
      </c>
      <c r="B5704" s="94">
        <f>IFERROR(VLOOKUP($A5704,HeadJournal!$A$1:$NTR$890,COLUMN(HeadJournal!B$1),0),"")</f>
        <v>0</v>
      </c>
      <c r="C5704" s="94" t="str">
        <f>IFERROR(VLOOKUP($A5704,HeadJournal!$A$1:$NTR$890,COLUMN(HeadJournal!C$1),0),"")</f>
        <v>iHerb_VP DFD1605</v>
      </c>
      <c r="D5704" s="125" t="str">
        <f>IFERROR(VLOOKUP($A5704,HeadJournal!$A$1:$NTR$890,COLUMN(HeadJournal!D$1),0),"")</f>
        <v>Доставлен</v>
      </c>
      <c r="E5704" s="95">
        <f>IFERROR(VLOOKUP($A5704,HeadJournal!$A$1:$NTR$890,COLUMN(HeadJournal!G$1),0),"")</f>
        <v>46090</v>
      </c>
      <c r="F5704" s="95" t="str">
        <f t="shared" si="423"/>
        <v>2026 03</v>
      </c>
      <c r="G5704" s="97" t="s">
        <v>5</v>
      </c>
      <c r="H5704" s="161" t="s">
        <v>5606</v>
      </c>
      <c r="I5704" s="97" t="s">
        <v>2750</v>
      </c>
      <c r="J5704" s="97" t="s">
        <v>5607</v>
      </c>
      <c r="K5704" s="29">
        <v>27.9</v>
      </c>
      <c r="L5704" s="29">
        <v>-4.1849999999999996</v>
      </c>
      <c r="M5704" s="30">
        <f>IFERROR(VLOOKUP($A5704,HeadJournal!$A$1:$J$890,COLUMN(HeadJournal!I$1),0)*($K5704+$L5704)/(SUMIF($A:$A,$A5704,$K:$K)+SUMIF($A:$A,$A5704,$L:$L)),0)</f>
        <v>-1.1523714129543592</v>
      </c>
      <c r="N5704" s="30">
        <f>IFERROR((VLOOKUP($A5704,HeadJournal!$A$1:$K$890,COLUMN(HeadJournal!K$1),0)-VLOOKUP($A5704,HeadJournal!$A$1:$K$890,COLUMN(HeadJournal!J$1),0))*($K5704+$L5704)/(SUMIF($A:$A,$A5704,$K:$K)+SUMIF($A:$A,$A5704,$L:$L)),0)</f>
        <v>0</v>
      </c>
      <c r="O5704" s="30">
        <f>IFERROR((VLOOKUP($A5704,HeadJournal!$A$1:$L$890,COLUMN(HeadJournal!L$1),0)*($K5704+$L5704)/(SUMIF($A:$A,$A5704,$K:$K)+SUMIF($A:$A,$A5704,$L:$L)))/VLOOKUP($A5704,HeadJournal!$A$1:$L$890,COLUMN(HeadJournal!H$1),0),0)</f>
        <v>1.1863226921409873</v>
      </c>
      <c r="P5704" s="30">
        <f>IFERROR(SUM(K5704:O5704)*VLOOKUP($A5704,HeadJournal!$A$1:$L$890,COLUMN(HeadJournal!H$1),0),0)</f>
        <v>2079.0033336977317</v>
      </c>
      <c r="Q5704" s="29">
        <v>2950</v>
      </c>
      <c r="R5704" s="31">
        <v>46116</v>
      </c>
      <c r="S5704" s="31" t="s">
        <v>3226</v>
      </c>
      <c r="T5704" s="95" t="str">
        <f t="shared" si="424"/>
        <v>2026 04</v>
      </c>
      <c r="U5704" s="32">
        <f t="shared" si="425"/>
        <v>870.9966663022683</v>
      </c>
      <c r="V5704" s="22">
        <f t="shared" si="426"/>
        <v>0.41894914365197616</v>
      </c>
      <c r="X5704" s="33"/>
      <c r="Y5704" s="33"/>
    </row>
    <row r="5705" spans="1:25" x14ac:dyDescent="0.2">
      <c r="A5705" s="93" t="s">
        <v>5612</v>
      </c>
      <c r="B5705" s="94">
        <f>IFERROR(VLOOKUP($A5705,HeadJournal!$A$1:$NTR$890,COLUMN(HeadJournal!B$1),0),"")</f>
        <v>0</v>
      </c>
      <c r="C5705" s="94" t="str">
        <f>IFERROR(VLOOKUP($A5705,HeadJournal!$A$1:$NTR$890,COLUMN(HeadJournal!C$1),0),"")</f>
        <v>iHerb_VP DFD1605</v>
      </c>
      <c r="D5705" s="125" t="str">
        <f>IFERROR(VLOOKUP($A5705,HeadJournal!$A$1:$NTR$890,COLUMN(HeadJournal!D$1),0),"")</f>
        <v>Доставлен</v>
      </c>
      <c r="E5705" s="95">
        <f>IFERROR(VLOOKUP($A5705,HeadJournal!$A$1:$NTR$890,COLUMN(HeadJournal!G$1),0),"")</f>
        <v>46090</v>
      </c>
      <c r="F5705" s="95" t="str">
        <f t="shared" si="423"/>
        <v>2026 03</v>
      </c>
      <c r="G5705" s="97" t="s">
        <v>5</v>
      </c>
      <c r="H5705" s="161" t="s">
        <v>5606</v>
      </c>
      <c r="I5705" s="97" t="s">
        <v>2750</v>
      </c>
      <c r="J5705" s="97" t="s">
        <v>5607</v>
      </c>
      <c r="K5705" s="29">
        <v>27.9</v>
      </c>
      <c r="L5705" s="29">
        <v>-4.1849999999999996</v>
      </c>
      <c r="M5705" s="30">
        <f>IFERROR(VLOOKUP($A5705,HeadJournal!$A$1:$J$890,COLUMN(HeadJournal!I$1),0)*($K5705+$L5705)/(SUMIF($A:$A,$A5705,$K:$K)+SUMIF($A:$A,$A5705,$L:$L)),0)</f>
        <v>-1.1523714129543592</v>
      </c>
      <c r="N5705" s="30">
        <f>IFERROR((VLOOKUP($A5705,HeadJournal!$A$1:$K$890,COLUMN(HeadJournal!K$1),0)-VLOOKUP($A5705,HeadJournal!$A$1:$K$890,COLUMN(HeadJournal!J$1),0))*($K5705+$L5705)/(SUMIF($A:$A,$A5705,$K:$K)+SUMIF($A:$A,$A5705,$L:$L)),0)</f>
        <v>0</v>
      </c>
      <c r="O5705" s="30">
        <f>IFERROR((VLOOKUP($A5705,HeadJournal!$A$1:$L$890,COLUMN(HeadJournal!L$1),0)*($K5705+$L5705)/(SUMIF($A:$A,$A5705,$K:$K)+SUMIF($A:$A,$A5705,$L:$L)))/VLOOKUP($A5705,HeadJournal!$A$1:$L$890,COLUMN(HeadJournal!H$1),0),0)</f>
        <v>1.1863226921409873</v>
      </c>
      <c r="P5705" s="30">
        <f>IFERROR(SUM(K5705:O5705)*VLOOKUP($A5705,HeadJournal!$A$1:$L$890,COLUMN(HeadJournal!H$1),0),0)</f>
        <v>2079.0033336977317</v>
      </c>
      <c r="Q5705" s="29">
        <v>2950</v>
      </c>
      <c r="R5705" s="31">
        <v>46118</v>
      </c>
      <c r="S5705" s="31" t="s">
        <v>3235</v>
      </c>
      <c r="T5705" s="95" t="str">
        <f t="shared" si="424"/>
        <v>2026 04</v>
      </c>
      <c r="U5705" s="32">
        <f t="shared" si="425"/>
        <v>870.9966663022683</v>
      </c>
      <c r="V5705" s="22">
        <f t="shared" si="426"/>
        <v>0.41894914365197616</v>
      </c>
      <c r="X5705" s="33"/>
      <c r="Y5705" s="33"/>
    </row>
    <row r="5706" spans="1:25" x14ac:dyDescent="0.2">
      <c r="A5706" s="93" t="s">
        <v>5612</v>
      </c>
      <c r="B5706" s="94">
        <f>IFERROR(VLOOKUP($A5706,HeadJournal!$A$1:$NTR$890,COLUMN(HeadJournal!B$1),0),"")</f>
        <v>0</v>
      </c>
      <c r="C5706" s="94" t="str">
        <f>IFERROR(VLOOKUP($A5706,HeadJournal!$A$1:$NTR$890,COLUMN(HeadJournal!C$1),0),"")</f>
        <v>iHerb_VP DFD1605</v>
      </c>
      <c r="D5706" s="125" t="str">
        <f>IFERROR(VLOOKUP($A5706,HeadJournal!$A$1:$NTR$890,COLUMN(HeadJournal!D$1),0),"")</f>
        <v>Доставлен</v>
      </c>
      <c r="E5706" s="95">
        <f>IFERROR(VLOOKUP($A5706,HeadJournal!$A$1:$NTR$890,COLUMN(HeadJournal!G$1),0),"")</f>
        <v>46090</v>
      </c>
      <c r="F5706" s="95" t="str">
        <f t="shared" si="423"/>
        <v>2026 03</v>
      </c>
      <c r="G5706" s="97" t="s">
        <v>5</v>
      </c>
      <c r="H5706" s="161" t="s">
        <v>5608</v>
      </c>
      <c r="I5706" s="97" t="s">
        <v>3670</v>
      </c>
      <c r="J5706" s="97" t="s">
        <v>5609</v>
      </c>
      <c r="K5706" s="29">
        <v>41.5</v>
      </c>
      <c r="L5706" s="29">
        <v>-4.1500000000000004</v>
      </c>
      <c r="M5706" s="30">
        <f>IFERROR(VLOOKUP($A5706,HeadJournal!$A$1:$J$890,COLUMN(HeadJournal!I$1),0)*($K5706+$L5706)/(SUMIF($A:$A,$A5706,$K:$K)+SUMIF($A:$A,$A5706,$L:$L)),0)</f>
        <v>-1.8149303088275486</v>
      </c>
      <c r="N5706" s="30">
        <f>IFERROR((VLOOKUP($A5706,HeadJournal!$A$1:$K$890,COLUMN(HeadJournal!K$1),0)-VLOOKUP($A5706,HeadJournal!$A$1:$K$890,COLUMN(HeadJournal!J$1),0))*($K5706+$L5706)/(SUMIF($A:$A,$A5706,$K:$K)+SUMIF($A:$A,$A5706,$L:$L)),0)</f>
        <v>0</v>
      </c>
      <c r="O5706" s="30">
        <f>IFERROR((VLOOKUP($A5706,HeadJournal!$A$1:$L$890,COLUMN(HeadJournal!L$1),0)*($K5706+$L5706)/(SUMIF($A:$A,$A5706,$K:$K)+SUMIF($A:$A,$A5706,$L:$L)))/VLOOKUP($A5706,HeadJournal!$A$1:$L$890,COLUMN(HeadJournal!H$1),0),0)</f>
        <v>1.8684019629544963</v>
      </c>
      <c r="P5706" s="30">
        <f>IFERROR(SUM(K5706:O5706)*VLOOKUP($A5706,HeadJournal!$A$1:$L$890,COLUMN(HeadJournal!H$1),0),0)</f>
        <v>3274.3316261273571</v>
      </c>
      <c r="Q5706" s="29">
        <v>4300</v>
      </c>
      <c r="R5706" s="31">
        <v>46116</v>
      </c>
      <c r="S5706" s="31" t="s">
        <v>3226</v>
      </c>
      <c r="T5706" s="95" t="str">
        <f t="shared" si="424"/>
        <v>2026 04</v>
      </c>
      <c r="U5706" s="32">
        <f t="shared" si="425"/>
        <v>1025.6683738726429</v>
      </c>
      <c r="V5706" s="22">
        <f t="shared" si="426"/>
        <v>0.31324511105972774</v>
      </c>
      <c r="X5706" s="33"/>
      <c r="Y5706" s="33"/>
    </row>
    <row r="5707" spans="1:25" x14ac:dyDescent="0.2">
      <c r="A5707" s="93" t="s">
        <v>5612</v>
      </c>
      <c r="B5707" s="94">
        <f>IFERROR(VLOOKUP($A5707,HeadJournal!$A$1:$NTR$890,COLUMN(HeadJournal!B$1),0),"")</f>
        <v>0</v>
      </c>
      <c r="C5707" s="94" t="str">
        <f>IFERROR(VLOOKUP($A5707,HeadJournal!$A$1:$NTR$890,COLUMN(HeadJournal!C$1),0),"")</f>
        <v>iHerb_VP DFD1605</v>
      </c>
      <c r="D5707" s="125" t="str">
        <f>IFERROR(VLOOKUP($A5707,HeadJournal!$A$1:$NTR$890,COLUMN(HeadJournal!D$1),0),"")</f>
        <v>Доставлен</v>
      </c>
      <c r="E5707" s="95">
        <f>IFERROR(VLOOKUP($A5707,HeadJournal!$A$1:$NTR$890,COLUMN(HeadJournal!G$1),0),"")</f>
        <v>46090</v>
      </c>
      <c r="F5707" s="95" t="str">
        <f t="shared" si="423"/>
        <v>2026 03</v>
      </c>
      <c r="G5707" s="97" t="s">
        <v>5</v>
      </c>
      <c r="H5707" s="161" t="s">
        <v>5448</v>
      </c>
      <c r="I5707" s="97" t="s">
        <v>2666</v>
      </c>
      <c r="J5707" s="97" t="s">
        <v>5610</v>
      </c>
      <c r="K5707" s="29">
        <v>13.26</v>
      </c>
      <c r="L5707" s="29">
        <v>-1.325</v>
      </c>
      <c r="M5707" s="30">
        <f>IFERROR(VLOOKUP($A5707,HeadJournal!$A$1:$J$890,COLUMN(HeadJournal!I$1),0)*($K5707+$L5707)/(SUMIF($A:$A,$A5707,$K:$K)+SUMIF($A:$A,$A5707,$L:$L)),0)</f>
        <v>-0.57995162612735718</v>
      </c>
      <c r="N5707" s="30">
        <f>IFERROR((VLOOKUP($A5707,HeadJournal!$A$1:$K$890,COLUMN(HeadJournal!K$1),0)-VLOOKUP($A5707,HeadJournal!$A$1:$K$890,COLUMN(HeadJournal!J$1),0))*($K5707+$L5707)/(SUMIF($A:$A,$A5707,$K:$K)+SUMIF($A:$A,$A5707,$L:$L)),0)</f>
        <v>0</v>
      </c>
      <c r="O5707" s="30">
        <f>IFERROR((VLOOKUP($A5707,HeadJournal!$A$1:$L$890,COLUMN(HeadJournal!L$1),0)*($K5707+$L5707)/(SUMIF($A:$A,$A5707,$K:$K)+SUMIF($A:$A,$A5707,$L:$L)))/VLOOKUP($A5707,HeadJournal!$A$1:$L$890,COLUMN(HeadJournal!H$1),0),0)</f>
        <v>0.59703821761343812</v>
      </c>
      <c r="P5707" s="30">
        <f>IFERROR(SUM(K5707:O5707)*VLOOKUP($A5707,HeadJournal!$A$1:$L$890,COLUMN(HeadJournal!H$1),0),0)</f>
        <v>1046.2957953903617</v>
      </c>
      <c r="Q5707" s="29">
        <v>2000</v>
      </c>
      <c r="R5707" s="31">
        <v>46119</v>
      </c>
      <c r="S5707" s="31" t="s">
        <v>3252</v>
      </c>
      <c r="T5707" s="95" t="str">
        <f t="shared" si="424"/>
        <v>2026 04</v>
      </c>
      <c r="U5707" s="32">
        <f t="shared" si="425"/>
        <v>953.70420460963828</v>
      </c>
      <c r="V5707" s="22">
        <f t="shared" si="426"/>
        <v>0.91150533989656479</v>
      </c>
      <c r="X5707" s="33"/>
      <c r="Y5707" s="33"/>
    </row>
    <row r="5708" spans="1:25" x14ac:dyDescent="0.2">
      <c r="A5708" s="93" t="s">
        <v>5612</v>
      </c>
      <c r="B5708" s="94">
        <f>IFERROR(VLOOKUP($A5708,HeadJournal!$A$1:$NTR$890,COLUMN(HeadJournal!B$1),0),"")</f>
        <v>0</v>
      </c>
      <c r="C5708" s="94" t="str">
        <f>IFERROR(VLOOKUP($A5708,HeadJournal!$A$1:$NTR$890,COLUMN(HeadJournal!C$1),0),"")</f>
        <v>iHerb_VP DFD1605</v>
      </c>
      <c r="D5708" s="125" t="str">
        <f>IFERROR(VLOOKUP($A5708,HeadJournal!$A$1:$NTR$890,COLUMN(HeadJournal!D$1),0),"")</f>
        <v>Доставлен</v>
      </c>
      <c r="E5708" s="95">
        <f>IFERROR(VLOOKUP($A5708,HeadJournal!$A$1:$NTR$890,COLUMN(HeadJournal!G$1),0),"")</f>
        <v>46090</v>
      </c>
      <c r="F5708" s="95" t="str">
        <f t="shared" si="423"/>
        <v>2026 03</v>
      </c>
      <c r="G5708" s="97" t="s">
        <v>5</v>
      </c>
      <c r="H5708" s="161" t="s">
        <v>5448</v>
      </c>
      <c r="I5708" s="97" t="s">
        <v>2666</v>
      </c>
      <c r="J5708" s="97" t="s">
        <v>5610</v>
      </c>
      <c r="K5708" s="29">
        <v>13.26</v>
      </c>
      <c r="L5708" s="29">
        <v>-1.325</v>
      </c>
      <c r="M5708" s="30">
        <f>IFERROR(VLOOKUP($A5708,HeadJournal!$A$1:$J$890,COLUMN(HeadJournal!I$1),0)*($K5708+$L5708)/(SUMIF($A:$A,$A5708,$K:$K)+SUMIF($A:$A,$A5708,$L:$L)),0)</f>
        <v>-0.57995162612735718</v>
      </c>
      <c r="N5708" s="30">
        <f>IFERROR((VLOOKUP($A5708,HeadJournal!$A$1:$K$890,COLUMN(HeadJournal!K$1),0)-VLOOKUP($A5708,HeadJournal!$A$1:$K$890,COLUMN(HeadJournal!J$1),0))*($K5708+$L5708)/(SUMIF($A:$A,$A5708,$K:$K)+SUMIF($A:$A,$A5708,$L:$L)),0)</f>
        <v>0</v>
      </c>
      <c r="O5708" s="30">
        <f>IFERROR((VLOOKUP($A5708,HeadJournal!$A$1:$L$890,COLUMN(HeadJournal!L$1),0)*($K5708+$L5708)/(SUMIF($A:$A,$A5708,$K:$K)+SUMIF($A:$A,$A5708,$L:$L)))/VLOOKUP($A5708,HeadJournal!$A$1:$L$890,COLUMN(HeadJournal!H$1),0),0)</f>
        <v>0.59703821761343812</v>
      </c>
      <c r="P5708" s="30">
        <f>IFERROR(SUM(K5708:O5708)*VLOOKUP($A5708,HeadJournal!$A$1:$L$890,COLUMN(HeadJournal!H$1),0),0)</f>
        <v>1046.2957953903617</v>
      </c>
      <c r="Q5708" s="29">
        <v>2000</v>
      </c>
      <c r="R5708" s="31">
        <v>46119</v>
      </c>
      <c r="S5708" s="31"/>
      <c r="T5708" s="95" t="str">
        <f t="shared" si="424"/>
        <v>2026 04</v>
      </c>
      <c r="U5708" s="32">
        <f t="shared" si="425"/>
        <v>953.70420460963828</v>
      </c>
      <c r="V5708" s="22">
        <f t="shared" si="426"/>
        <v>0.91150533989656479</v>
      </c>
      <c r="X5708" s="33"/>
      <c r="Y5708" s="33"/>
    </row>
    <row r="5709" spans="1:25" x14ac:dyDescent="0.2">
      <c r="A5709" s="93" t="s">
        <v>5612</v>
      </c>
      <c r="B5709" s="94">
        <f>IFERROR(VLOOKUP($A5709,HeadJournal!$A$1:$NTR$890,COLUMN(HeadJournal!B$1),0),"")</f>
        <v>0</v>
      </c>
      <c r="C5709" s="94" t="str">
        <f>IFERROR(VLOOKUP($A5709,HeadJournal!$A$1:$NTR$890,COLUMN(HeadJournal!C$1),0),"")</f>
        <v>iHerb_VP DFD1605</v>
      </c>
      <c r="D5709" s="125" t="str">
        <f>IFERROR(VLOOKUP($A5709,HeadJournal!$A$1:$NTR$890,COLUMN(HeadJournal!D$1),0),"")</f>
        <v>Доставлен</v>
      </c>
      <c r="E5709" s="95">
        <f>IFERROR(VLOOKUP($A5709,HeadJournal!$A$1:$NTR$890,COLUMN(HeadJournal!G$1),0),"")</f>
        <v>46090</v>
      </c>
      <c r="F5709" s="95" t="str">
        <f t="shared" si="423"/>
        <v>2026 03</v>
      </c>
      <c r="G5709" s="97" t="s">
        <v>5</v>
      </c>
      <c r="H5709" s="161" t="s">
        <v>2094</v>
      </c>
      <c r="I5709" s="97" t="s">
        <v>2042</v>
      </c>
      <c r="J5709" s="97" t="s">
        <v>5475</v>
      </c>
      <c r="K5709" s="29">
        <v>17.53</v>
      </c>
      <c r="L5709" s="29">
        <v>-1.75</v>
      </c>
      <c r="M5709" s="30">
        <f>IFERROR(VLOOKUP($A5709,HeadJournal!$A$1:$J$890,COLUMN(HeadJournal!I$1),0)*($K5709+$L5709)/(SUMIF($A:$A,$A5709,$K:$K)+SUMIF($A:$A,$A5709,$L:$L)),0)</f>
        <v>-0.76678983328778361</v>
      </c>
      <c r="N5709" s="30">
        <f>IFERROR((VLOOKUP($A5709,HeadJournal!$A$1:$K$890,COLUMN(HeadJournal!K$1),0)-VLOOKUP($A5709,HeadJournal!$A$1:$K$890,COLUMN(HeadJournal!J$1),0))*($K5709+$L5709)/(SUMIF($A:$A,$A5709,$K:$K)+SUMIF($A:$A,$A5709,$L:$L)),0)</f>
        <v>0</v>
      </c>
      <c r="O5709" s="30">
        <f>IFERROR((VLOOKUP($A5709,HeadJournal!$A$1:$L$890,COLUMN(HeadJournal!L$1),0)*($K5709+$L5709)/(SUMIF($A:$A,$A5709,$K:$K)+SUMIF($A:$A,$A5709,$L:$L)))/VLOOKUP($A5709,HeadJournal!$A$1:$L$890,COLUMN(HeadJournal!H$1),0),0)</f>
        <v>0.78938107029242166</v>
      </c>
      <c r="P5709" s="30">
        <f>IFERROR(SUM(K5709:O5709)*VLOOKUP($A5709,HeadJournal!$A$1:$L$890,COLUMN(HeadJournal!H$1),0),0)</f>
        <v>1383.3722372232853</v>
      </c>
      <c r="Q5709" s="29">
        <v>2200</v>
      </c>
      <c r="R5709" s="31">
        <v>46119</v>
      </c>
      <c r="S5709" s="31" t="s">
        <v>3172</v>
      </c>
      <c r="T5709" s="95" t="str">
        <f t="shared" si="424"/>
        <v>2026 04</v>
      </c>
      <c r="U5709" s="32">
        <f t="shared" si="425"/>
        <v>816.62776277671469</v>
      </c>
      <c r="V5709" s="22">
        <f t="shared" si="426"/>
        <v>0.59031672083853282</v>
      </c>
      <c r="X5709" s="33"/>
      <c r="Y5709" s="33"/>
    </row>
    <row r="5710" spans="1:25" x14ac:dyDescent="0.2">
      <c r="A5710" s="93" t="s">
        <v>5612</v>
      </c>
      <c r="B5710" s="94">
        <f>IFERROR(VLOOKUP($A5710,HeadJournal!$A$1:$NTR$890,COLUMN(HeadJournal!B$1),0),"")</f>
        <v>0</v>
      </c>
      <c r="C5710" s="94" t="str">
        <f>IFERROR(VLOOKUP($A5710,HeadJournal!$A$1:$NTR$890,COLUMN(HeadJournal!C$1),0),"")</f>
        <v>iHerb_VP DFD1605</v>
      </c>
      <c r="D5710" s="125" t="str">
        <f>IFERROR(VLOOKUP($A5710,HeadJournal!$A$1:$NTR$890,COLUMN(HeadJournal!D$1),0),"")</f>
        <v>Доставлен</v>
      </c>
      <c r="E5710" s="95">
        <f>IFERROR(VLOOKUP($A5710,HeadJournal!$A$1:$NTR$890,COLUMN(HeadJournal!G$1),0),"")</f>
        <v>46090</v>
      </c>
      <c r="F5710" s="95" t="str">
        <f t="shared" si="423"/>
        <v>2026 03</v>
      </c>
      <c r="G5710" s="97" t="s">
        <v>5</v>
      </c>
      <c r="H5710" s="161" t="s">
        <v>2680</v>
      </c>
      <c r="I5710" s="97" t="s">
        <v>2681</v>
      </c>
      <c r="J5710" s="97" t="s">
        <v>3853</v>
      </c>
      <c r="K5710" s="29">
        <v>7.7</v>
      </c>
      <c r="L5710" s="29">
        <v>-0.77</v>
      </c>
      <c r="M5710" s="30">
        <f>IFERROR(VLOOKUP($A5710,HeadJournal!$A$1:$J$890,COLUMN(HeadJournal!I$1),0)*($K5710+$L5710)/(SUMIF($A:$A,$A5710,$K:$K)+SUMIF($A:$A,$A5710,$L:$L)),0)</f>
        <v>-0.33674610549330414</v>
      </c>
      <c r="N5710" s="30">
        <f>IFERROR((VLOOKUP($A5710,HeadJournal!$A$1:$K$890,COLUMN(HeadJournal!K$1),0)-VLOOKUP($A5710,HeadJournal!$A$1:$K$890,COLUMN(HeadJournal!J$1),0))*($K5710+$L5710)/(SUMIF($A:$A,$A5710,$K:$K)+SUMIF($A:$A,$A5710,$L:$L)),0)</f>
        <v>0</v>
      </c>
      <c r="O5710" s="30">
        <f>IFERROR((VLOOKUP($A5710,HeadJournal!$A$1:$L$890,COLUMN(HeadJournal!L$1),0)*($K5710+$L5710)/(SUMIF($A:$A,$A5710,$K:$K)+SUMIF($A:$A,$A5710,$L:$L)))/VLOOKUP($A5710,HeadJournal!$A$1:$L$890,COLUMN(HeadJournal!H$1),0),0)</f>
        <v>0.34666735216264144</v>
      </c>
      <c r="P5710" s="30">
        <f>IFERROR(SUM(K5710:O5710)*VLOOKUP($A5710,HeadJournal!$A$1:$L$890,COLUMN(HeadJournal!H$1),0),0)</f>
        <v>607.5265908718228</v>
      </c>
      <c r="Q5710" s="29">
        <v>1100</v>
      </c>
      <c r="R5710" s="31">
        <v>46118</v>
      </c>
      <c r="S5710" s="31"/>
      <c r="T5710" s="95" t="str">
        <f t="shared" si="424"/>
        <v>2026 04</v>
      </c>
      <c r="U5710" s="32">
        <f t="shared" si="425"/>
        <v>492.4734091281772</v>
      </c>
      <c r="V5710" s="22">
        <f t="shared" si="426"/>
        <v>0.81062033584646875</v>
      </c>
      <c r="X5710" s="33"/>
      <c r="Y5710" s="33"/>
    </row>
    <row r="5711" spans="1:25" x14ac:dyDescent="0.2">
      <c r="A5711" s="93" t="s">
        <v>5612</v>
      </c>
      <c r="B5711" s="94">
        <f>IFERROR(VLOOKUP($A5711,HeadJournal!$A$1:$NTR$890,COLUMN(HeadJournal!B$1),0),"")</f>
        <v>0</v>
      </c>
      <c r="C5711" s="94" t="str">
        <f>IFERROR(VLOOKUP($A5711,HeadJournal!$A$1:$NTR$890,COLUMN(HeadJournal!C$1),0),"")</f>
        <v>iHerb_VP DFD1605</v>
      </c>
      <c r="D5711" s="125" t="str">
        <f>IFERROR(VLOOKUP($A5711,HeadJournal!$A$1:$NTR$890,COLUMN(HeadJournal!D$1),0),"")</f>
        <v>Доставлен</v>
      </c>
      <c r="E5711" s="95">
        <f>IFERROR(VLOOKUP($A5711,HeadJournal!$A$1:$NTR$890,COLUMN(HeadJournal!G$1),0),"")</f>
        <v>46090</v>
      </c>
      <c r="F5711" s="95" t="str">
        <f t="shared" si="423"/>
        <v>2026 03</v>
      </c>
      <c r="G5711" s="97" t="s">
        <v>5</v>
      </c>
      <c r="H5711" s="161" t="s">
        <v>2680</v>
      </c>
      <c r="I5711" s="97" t="s">
        <v>2681</v>
      </c>
      <c r="J5711" s="97" t="s">
        <v>3853</v>
      </c>
      <c r="K5711" s="29">
        <v>7.7</v>
      </c>
      <c r="L5711" s="29">
        <v>-0.77</v>
      </c>
      <c r="M5711" s="30">
        <f>IFERROR(VLOOKUP($A5711,HeadJournal!$A$1:$J$890,COLUMN(HeadJournal!I$1),0)*($K5711+$L5711)/(SUMIF($A:$A,$A5711,$K:$K)+SUMIF($A:$A,$A5711,$L:$L)),0)</f>
        <v>-0.33674610549330414</v>
      </c>
      <c r="N5711" s="30">
        <f>IFERROR((VLOOKUP($A5711,HeadJournal!$A$1:$K$890,COLUMN(HeadJournal!K$1),0)-VLOOKUP($A5711,HeadJournal!$A$1:$K$890,COLUMN(HeadJournal!J$1),0))*($K5711+$L5711)/(SUMIF($A:$A,$A5711,$K:$K)+SUMIF($A:$A,$A5711,$L:$L)),0)</f>
        <v>0</v>
      </c>
      <c r="O5711" s="30">
        <f>IFERROR((VLOOKUP($A5711,HeadJournal!$A$1:$L$890,COLUMN(HeadJournal!L$1),0)*($K5711+$L5711)/(SUMIF($A:$A,$A5711,$K:$K)+SUMIF($A:$A,$A5711,$L:$L)))/VLOOKUP($A5711,HeadJournal!$A$1:$L$890,COLUMN(HeadJournal!H$1),0),0)</f>
        <v>0.34666735216264144</v>
      </c>
      <c r="P5711" s="30">
        <f>IFERROR(SUM(K5711:O5711)*VLOOKUP($A5711,HeadJournal!$A$1:$L$890,COLUMN(HeadJournal!H$1),0),0)</f>
        <v>607.5265908718228</v>
      </c>
      <c r="Q5711" s="29">
        <v>1100</v>
      </c>
      <c r="R5711" s="31">
        <v>46144</v>
      </c>
      <c r="S5711" s="31"/>
      <c r="T5711" s="95" t="str">
        <f t="shared" si="424"/>
        <v>2026 05</v>
      </c>
      <c r="U5711" s="32">
        <f t="shared" si="425"/>
        <v>492.4734091281772</v>
      </c>
      <c r="V5711" s="22">
        <f t="shared" si="426"/>
        <v>0.81062033584646875</v>
      </c>
      <c r="X5711" s="33"/>
      <c r="Y5711" s="33"/>
    </row>
    <row r="5712" spans="1:25" x14ac:dyDescent="0.2">
      <c r="A5712" s="93" t="s">
        <v>5612</v>
      </c>
      <c r="B5712" s="94">
        <f>IFERROR(VLOOKUP($A5712,HeadJournal!$A$1:$NTR$890,COLUMN(HeadJournal!B$1),0),"")</f>
        <v>0</v>
      </c>
      <c r="C5712" s="94" t="str">
        <f>IFERROR(VLOOKUP($A5712,HeadJournal!$A$1:$NTR$890,COLUMN(HeadJournal!C$1),0),"")</f>
        <v>iHerb_VP DFD1605</v>
      </c>
      <c r="D5712" s="125" t="str">
        <f>IFERROR(VLOOKUP($A5712,HeadJournal!$A$1:$NTR$890,COLUMN(HeadJournal!D$1),0),"")</f>
        <v>Доставлен</v>
      </c>
      <c r="E5712" s="95">
        <f>IFERROR(VLOOKUP($A5712,HeadJournal!$A$1:$NTR$890,COLUMN(HeadJournal!G$1),0),"")</f>
        <v>46090</v>
      </c>
      <c r="F5712" s="95" t="str">
        <f t="shared" si="423"/>
        <v>2026 03</v>
      </c>
      <c r="G5712" s="97" t="s">
        <v>5</v>
      </c>
      <c r="H5712" s="161" t="s">
        <v>2624</v>
      </c>
      <c r="I5712" s="97" t="s">
        <v>2005</v>
      </c>
      <c r="J5712" s="97" t="s">
        <v>5611</v>
      </c>
      <c r="K5712" s="29">
        <v>24.81</v>
      </c>
      <c r="L5712" s="29">
        <v>-2.48</v>
      </c>
      <c r="M5712" s="30">
        <f>IFERROR(VLOOKUP($A5712,HeadJournal!$A$1:$J$890,COLUMN(HeadJournal!I$1),0)*($K5712+$L5712)/(SUMIF($A:$A,$A5712,$K:$K)+SUMIF($A:$A,$A5712,$L:$L)),0)</f>
        <v>-1.0850707843673133</v>
      </c>
      <c r="N5712" s="30">
        <f>IFERROR((VLOOKUP($A5712,HeadJournal!$A$1:$K$890,COLUMN(HeadJournal!K$1),0)-VLOOKUP($A5712,HeadJournal!$A$1:$K$890,COLUMN(HeadJournal!J$1),0))*($K5712+$L5712)/(SUMIF($A:$A,$A5712,$K:$K)+SUMIF($A:$A,$A5712,$L:$L)),0)</f>
        <v>0</v>
      </c>
      <c r="O5712" s="30">
        <f>IFERROR((VLOOKUP($A5712,HeadJournal!$A$1:$L$890,COLUMN(HeadJournal!L$1),0)*($K5712+$L5712)/(SUMIF($A:$A,$A5712,$K:$K)+SUMIF($A:$A,$A5712,$L:$L)))/VLOOKUP($A5712,HeadJournal!$A$1:$L$890,COLUMN(HeadJournal!H$1),0),0)</f>
        <v>1.1170392458574001</v>
      </c>
      <c r="P5712" s="30">
        <f>IFERROR(SUM(K5712:O5712)*VLOOKUP($A5712,HeadJournal!$A$1:$L$890,COLUMN(HeadJournal!H$1),0),0)</f>
        <v>1957.5856816980956</v>
      </c>
      <c r="Q5712" s="29">
        <v>3000</v>
      </c>
      <c r="R5712" s="31">
        <v>46116</v>
      </c>
      <c r="S5712" s="31" t="s">
        <v>3226</v>
      </c>
      <c r="T5712" s="95" t="str">
        <f t="shared" si="424"/>
        <v>2026 04</v>
      </c>
      <c r="U5712" s="32">
        <f t="shared" si="425"/>
        <v>1042.4143183019044</v>
      </c>
      <c r="V5712" s="22">
        <f t="shared" si="426"/>
        <v>0.53249997077914279</v>
      </c>
      <c r="X5712" s="33"/>
      <c r="Y5712" s="33"/>
    </row>
    <row r="5713" spans="1:25" x14ac:dyDescent="0.2">
      <c r="A5713" s="93" t="s">
        <v>5612</v>
      </c>
      <c r="B5713" s="94">
        <f>IFERROR(VLOOKUP($A5713,HeadJournal!$A$1:$NTR$890,COLUMN(HeadJournal!B$1),0),"")</f>
        <v>0</v>
      </c>
      <c r="C5713" s="94" t="str">
        <f>IFERROR(VLOOKUP($A5713,HeadJournal!$A$1:$NTR$890,COLUMN(HeadJournal!C$1),0),"")</f>
        <v>iHerb_VP DFD1605</v>
      </c>
      <c r="D5713" s="125" t="str">
        <f>IFERROR(VLOOKUP($A5713,HeadJournal!$A$1:$NTR$890,COLUMN(HeadJournal!D$1),0),"")</f>
        <v>Доставлен</v>
      </c>
      <c r="E5713" s="95">
        <f>IFERROR(VLOOKUP($A5713,HeadJournal!$A$1:$NTR$890,COLUMN(HeadJournal!G$1),0),"")</f>
        <v>46090</v>
      </c>
      <c r="F5713" s="95" t="str">
        <f t="shared" si="423"/>
        <v>2026 03</v>
      </c>
      <c r="G5713" s="97" t="s">
        <v>5</v>
      </c>
      <c r="H5713" s="161" t="s">
        <v>2624</v>
      </c>
      <c r="I5713" s="97" t="s">
        <v>2005</v>
      </c>
      <c r="J5713" s="97" t="s">
        <v>5611</v>
      </c>
      <c r="K5713" s="29">
        <v>24.81</v>
      </c>
      <c r="L5713" s="29">
        <v>-2.48</v>
      </c>
      <c r="M5713" s="30">
        <f>IFERROR(VLOOKUP($A5713,HeadJournal!$A$1:$J$890,COLUMN(HeadJournal!I$1),0)*($K5713+$L5713)/(SUMIF($A:$A,$A5713,$K:$K)+SUMIF($A:$A,$A5713,$L:$L)),0)</f>
        <v>-1.0850707843673133</v>
      </c>
      <c r="N5713" s="30">
        <f>IFERROR((VLOOKUP($A5713,HeadJournal!$A$1:$K$890,COLUMN(HeadJournal!K$1),0)-VLOOKUP($A5713,HeadJournal!$A$1:$K$890,COLUMN(HeadJournal!J$1),0))*($K5713+$L5713)/(SUMIF($A:$A,$A5713,$K:$K)+SUMIF($A:$A,$A5713,$L:$L)),0)</f>
        <v>0</v>
      </c>
      <c r="O5713" s="30">
        <f>IFERROR((VLOOKUP($A5713,HeadJournal!$A$1:$L$890,COLUMN(HeadJournal!L$1),0)*($K5713+$L5713)/(SUMIF($A:$A,$A5713,$K:$K)+SUMIF($A:$A,$A5713,$L:$L)))/VLOOKUP($A5713,HeadJournal!$A$1:$L$890,COLUMN(HeadJournal!H$1),0),0)</f>
        <v>1.1170392458574001</v>
      </c>
      <c r="P5713" s="30">
        <f>IFERROR(SUM(K5713:O5713)*VLOOKUP($A5713,HeadJournal!$A$1:$L$890,COLUMN(HeadJournal!H$1),0),0)</f>
        <v>1957.5856816980956</v>
      </c>
      <c r="Q5713" s="29">
        <v>3000</v>
      </c>
      <c r="R5713" s="31">
        <v>46118</v>
      </c>
      <c r="S5713" s="31" t="s">
        <v>3235</v>
      </c>
      <c r="T5713" s="95" t="str">
        <f t="shared" si="424"/>
        <v>2026 04</v>
      </c>
      <c r="U5713" s="32">
        <f t="shared" si="425"/>
        <v>1042.4143183019044</v>
      </c>
      <c r="V5713" s="22">
        <f t="shared" si="426"/>
        <v>0.53249997077914279</v>
      </c>
      <c r="X5713" s="33"/>
      <c r="Y5713" s="33"/>
    </row>
    <row r="5714" spans="1:25" x14ac:dyDescent="0.2">
      <c r="A5714" s="93" t="s">
        <v>5619</v>
      </c>
      <c r="B5714" s="94">
        <f>IFERROR(VLOOKUP($A5714,HeadJournal!$A$1:$NTR$890,COLUMN(HeadJournal!B$1),0),"")</f>
        <v>0</v>
      </c>
      <c r="C5714" s="94" t="str">
        <f>IFERROR(VLOOKUP($A5714,HeadJournal!$A$1:$NTR$890,COLUMN(HeadJournal!C$1),0),"")</f>
        <v>iHerb_MH DLE7202</v>
      </c>
      <c r="D5714" s="125" t="str">
        <f>IFERROR(VLOOKUP($A5714,HeadJournal!$A$1:$NTR$890,COLUMN(HeadJournal!D$1),0),"")</f>
        <v>Доставлен</v>
      </c>
      <c r="E5714" s="95">
        <f>IFERROR(VLOOKUP($A5714,HeadJournal!$A$1:$NTR$890,COLUMN(HeadJournal!G$1),0),"")</f>
        <v>46102</v>
      </c>
      <c r="F5714" s="95" t="str">
        <f t="shared" si="423"/>
        <v>2026 03</v>
      </c>
      <c r="G5714" s="97" t="s">
        <v>5</v>
      </c>
      <c r="H5714" s="161" t="s">
        <v>5613</v>
      </c>
      <c r="I5714" s="97" t="s">
        <v>2544</v>
      </c>
      <c r="J5714" s="97" t="s">
        <v>5614</v>
      </c>
      <c r="K5714" s="29">
        <v>14.21</v>
      </c>
      <c r="L5714" s="29">
        <v>-2.84</v>
      </c>
      <c r="M5714" s="30">
        <f>IFERROR(VLOOKUP($A5714,HeadJournal!$A$1:$J$890,COLUMN(HeadJournal!I$1),0)*($K5714+$L5714)/(SUMIF($A:$A,$A5714,$K:$K)+SUMIF($A:$A,$A5714,$L:$L)),0)</f>
        <v>-1.0334266585514305</v>
      </c>
      <c r="N5714" s="30">
        <f>IFERROR((VLOOKUP($A5714,HeadJournal!$A$1:$K$890,COLUMN(HeadJournal!K$1),0)-VLOOKUP($A5714,HeadJournal!$A$1:$K$890,COLUMN(HeadJournal!J$1),0))*($K5714+$L5714)/(SUMIF($A:$A,$A5714,$K:$K)+SUMIF($A:$A,$A5714,$L:$L)),0)</f>
        <v>0</v>
      </c>
      <c r="O5714" s="30">
        <f>IFERROR((VLOOKUP($A5714,HeadJournal!$A$1:$L$890,COLUMN(HeadJournal!L$1),0)*($K5714+$L5714)/(SUMIF($A:$A,$A5714,$K:$K)+SUMIF($A:$A,$A5714,$L:$L)))/VLOOKUP($A5714,HeadJournal!$A$1:$L$890,COLUMN(HeadJournal!H$1),0),0)</f>
        <v>0.54637799058717151</v>
      </c>
      <c r="P5714" s="30">
        <f>IFERROR(SUM(K5714:O5714)*VLOOKUP($A5714,HeadJournal!$A$1:$L$890,COLUMN(HeadJournal!H$1),0),0)</f>
        <v>1013.1266296409008</v>
      </c>
      <c r="Q5714" s="29"/>
      <c r="R5714" s="31"/>
      <c r="S5714" s="31"/>
      <c r="T5714" s="95" t="str">
        <f t="shared" si="424"/>
        <v/>
      </c>
      <c r="U5714" s="32">
        <f t="shared" si="425"/>
        <v>-1013.1266296409008</v>
      </c>
      <c r="V5714" s="22" t="str">
        <f t="shared" si="426"/>
        <v/>
      </c>
      <c r="X5714" s="33"/>
      <c r="Y5714" s="33"/>
    </row>
    <row r="5715" spans="1:25" x14ac:dyDescent="0.2">
      <c r="A5715" s="93" t="s">
        <v>5619</v>
      </c>
      <c r="B5715" s="94">
        <f>IFERROR(VLOOKUP($A5715,HeadJournal!$A$1:$NTR$890,COLUMN(HeadJournal!B$1),0),"")</f>
        <v>0</v>
      </c>
      <c r="C5715" s="94" t="str">
        <f>IFERROR(VLOOKUP($A5715,HeadJournal!$A$1:$NTR$890,COLUMN(HeadJournal!C$1),0),"")</f>
        <v>iHerb_MH DLE7202</v>
      </c>
      <c r="D5715" s="125" t="str">
        <f>IFERROR(VLOOKUP($A5715,HeadJournal!$A$1:$NTR$890,COLUMN(HeadJournal!D$1),0),"")</f>
        <v>Доставлен</v>
      </c>
      <c r="E5715" s="95">
        <f>IFERROR(VLOOKUP($A5715,HeadJournal!$A$1:$NTR$890,COLUMN(HeadJournal!G$1),0),"")</f>
        <v>46102</v>
      </c>
      <c r="F5715" s="95" t="str">
        <f t="shared" si="423"/>
        <v>2026 03</v>
      </c>
      <c r="G5715" s="97" t="s">
        <v>5</v>
      </c>
      <c r="H5715" s="161" t="s">
        <v>5615</v>
      </c>
      <c r="I5715" s="97" t="s">
        <v>2544</v>
      </c>
      <c r="J5715" s="97" t="s">
        <v>5616</v>
      </c>
      <c r="K5715" s="29">
        <v>21.87</v>
      </c>
      <c r="L5715" s="29">
        <v>-4.37</v>
      </c>
      <c r="M5715" s="30">
        <f>IFERROR(VLOOKUP($A5715,HeadJournal!$A$1:$J$890,COLUMN(HeadJournal!I$1),0)*($K5715+$L5715)/(SUMIF($A:$A,$A5715,$K:$K)+SUMIF($A:$A,$A5715,$L:$L)),0)</f>
        <v>-1.5905863258267399</v>
      </c>
      <c r="N5715" s="30">
        <f>IFERROR((VLOOKUP($A5715,HeadJournal!$A$1:$K$890,COLUMN(HeadJournal!K$1),0)-VLOOKUP($A5715,HeadJournal!$A$1:$K$890,COLUMN(HeadJournal!J$1),0))*($K5715+$L5715)/(SUMIF($A:$A,$A5715,$K:$K)+SUMIF($A:$A,$A5715,$L:$L)),0)</f>
        <v>0</v>
      </c>
      <c r="O5715" s="30">
        <f>IFERROR((VLOOKUP($A5715,HeadJournal!$A$1:$L$890,COLUMN(HeadJournal!L$1),0)*($K5715+$L5715)/(SUMIF($A:$A,$A5715,$K:$K)+SUMIF($A:$A,$A5715,$L:$L)))/VLOOKUP($A5715,HeadJournal!$A$1:$L$890,COLUMN(HeadJournal!H$1),0),0)</f>
        <v>0.84095117284744958</v>
      </c>
      <c r="P5715" s="30">
        <f>IFERROR(SUM(K5715:O5715)*VLOOKUP($A5715,HeadJournal!$A$1:$L$890,COLUMN(HeadJournal!H$1),0),0)</f>
        <v>1559.3417782511665</v>
      </c>
      <c r="Q5715" s="29">
        <v>2500</v>
      </c>
      <c r="R5715" s="31">
        <v>46135</v>
      </c>
      <c r="S5715" s="31" t="s">
        <v>3226</v>
      </c>
      <c r="T5715" s="95" t="str">
        <f t="shared" si="424"/>
        <v>2026 04</v>
      </c>
      <c r="U5715" s="32">
        <f t="shared" si="425"/>
        <v>940.65822174883351</v>
      </c>
      <c r="V5715" s="22">
        <f t="shared" si="426"/>
        <v>0.60324056910974377</v>
      </c>
      <c r="X5715" s="33"/>
      <c r="Y5715" s="33"/>
    </row>
    <row r="5716" spans="1:25" x14ac:dyDescent="0.2">
      <c r="A5716" s="93" t="s">
        <v>5619</v>
      </c>
      <c r="B5716" s="94">
        <f>IFERROR(VLOOKUP($A5716,HeadJournal!$A$1:$NTR$890,COLUMN(HeadJournal!B$1),0),"")</f>
        <v>0</v>
      </c>
      <c r="C5716" s="94" t="str">
        <f>IFERROR(VLOOKUP($A5716,HeadJournal!$A$1:$NTR$890,COLUMN(HeadJournal!C$1),0),"")</f>
        <v>iHerb_MH DLE7202</v>
      </c>
      <c r="D5716" s="125" t="str">
        <f>IFERROR(VLOOKUP($A5716,HeadJournal!$A$1:$NTR$890,COLUMN(HeadJournal!D$1),0),"")</f>
        <v>Доставлен</v>
      </c>
      <c r="E5716" s="95">
        <f>IFERROR(VLOOKUP($A5716,HeadJournal!$A$1:$NTR$890,COLUMN(HeadJournal!G$1),0),"")</f>
        <v>46102</v>
      </c>
      <c r="F5716" s="95" t="str">
        <f t="shared" si="423"/>
        <v>2026 03</v>
      </c>
      <c r="G5716" s="97" t="s">
        <v>5</v>
      </c>
      <c r="H5716" s="161" t="s">
        <v>5141</v>
      </c>
      <c r="I5716" s="97" t="s">
        <v>2163</v>
      </c>
      <c r="J5716" s="97" t="s">
        <v>5142</v>
      </c>
      <c r="K5716" s="29">
        <v>29.46</v>
      </c>
      <c r="L5716" s="29">
        <v>-5.89</v>
      </c>
      <c r="M5716" s="30">
        <f>IFERROR(VLOOKUP($A5716,HeadJournal!$A$1:$J$890,COLUMN(HeadJournal!I$1),0)*($K5716+$L5716)/(SUMIF($A:$A,$A5716,$K:$K)+SUMIF($A:$A,$A5716,$L:$L)),0)</f>
        <v>-2.1422925542706435</v>
      </c>
      <c r="N5716" s="30">
        <f>IFERROR((VLOOKUP($A5716,HeadJournal!$A$1:$K$890,COLUMN(HeadJournal!K$1),0)-VLOOKUP($A5716,HeadJournal!$A$1:$K$890,COLUMN(HeadJournal!J$1),0))*($K5716+$L5716)/(SUMIF($A:$A,$A5716,$K:$K)+SUMIF($A:$A,$A5716,$L:$L)),0)</f>
        <v>0</v>
      </c>
      <c r="O5716" s="30">
        <f>IFERROR((VLOOKUP($A5716,HeadJournal!$A$1:$L$890,COLUMN(HeadJournal!L$1),0)*($K5716+$L5716)/(SUMIF($A:$A,$A5716,$K:$K)+SUMIF($A:$A,$A5716,$L:$L)))/VLOOKUP($A5716,HeadJournal!$A$1:$L$890,COLUMN(HeadJournal!H$1),0),0)</f>
        <v>1.1326410939436795</v>
      </c>
      <c r="P5716" s="30">
        <f>IFERROR(SUM(K5716:O5716)*VLOOKUP($A5716,HeadJournal!$A$1:$L$890,COLUMN(HeadJournal!H$1),0),0)</f>
        <v>2100.2106121931429</v>
      </c>
      <c r="Q5716" s="29">
        <v>3100</v>
      </c>
      <c r="R5716" s="31">
        <v>46154</v>
      </c>
      <c r="S5716" s="31"/>
      <c r="T5716" s="95" t="str">
        <f t="shared" si="424"/>
        <v>2026 05</v>
      </c>
      <c r="U5716" s="32">
        <f t="shared" si="425"/>
        <v>999.78938780685712</v>
      </c>
      <c r="V5716" s="22">
        <f t="shared" si="426"/>
        <v>0.47604244164961534</v>
      </c>
      <c r="X5716" s="33"/>
      <c r="Y5716" s="33"/>
    </row>
    <row r="5717" spans="1:25" x14ac:dyDescent="0.2">
      <c r="A5717" s="93" t="s">
        <v>5619</v>
      </c>
      <c r="B5717" s="94">
        <f>IFERROR(VLOOKUP($A5717,HeadJournal!$A$1:$NTR$890,COLUMN(HeadJournal!B$1),0),"")</f>
        <v>0</v>
      </c>
      <c r="C5717" s="94" t="str">
        <f>IFERROR(VLOOKUP($A5717,HeadJournal!$A$1:$NTR$890,COLUMN(HeadJournal!C$1),0),"")</f>
        <v>iHerb_MH DLE7202</v>
      </c>
      <c r="D5717" s="125" t="str">
        <f>IFERROR(VLOOKUP($A5717,HeadJournal!$A$1:$NTR$890,COLUMN(HeadJournal!D$1),0),"")</f>
        <v>Доставлен</v>
      </c>
      <c r="E5717" s="95">
        <f>IFERROR(VLOOKUP($A5717,HeadJournal!$A$1:$NTR$890,COLUMN(HeadJournal!G$1),0),"")</f>
        <v>46102</v>
      </c>
      <c r="F5717" s="95" t="str">
        <f t="shared" si="423"/>
        <v>2026 03</v>
      </c>
      <c r="G5717" s="97" t="s">
        <v>5</v>
      </c>
      <c r="H5717" s="161" t="s">
        <v>5198</v>
      </c>
      <c r="I5717" s="97" t="s">
        <v>2839</v>
      </c>
      <c r="J5717" s="97" t="s">
        <v>5199</v>
      </c>
      <c r="K5717" s="29">
        <v>11.87</v>
      </c>
      <c r="L5717" s="29">
        <v>0</v>
      </c>
      <c r="M5717" s="30">
        <f>IFERROR(VLOOKUP($A5717,HeadJournal!$A$1:$J$890,COLUMN(HeadJournal!I$1),0)*($K5717+$L5717)/(SUMIF($A:$A,$A5717,$K:$K)+SUMIF($A:$A,$A5717,$L:$L)),0)</f>
        <v>-1.0788719821464801</v>
      </c>
      <c r="N5717" s="30">
        <f>IFERROR((VLOOKUP($A5717,HeadJournal!$A$1:$K$890,COLUMN(HeadJournal!K$1),0)-VLOOKUP($A5717,HeadJournal!$A$1:$K$890,COLUMN(HeadJournal!J$1),0))*($K5717+$L5717)/(SUMIF($A:$A,$A5717,$K:$K)+SUMIF($A:$A,$A5717,$L:$L)),0)</f>
        <v>0</v>
      </c>
      <c r="O5717" s="30">
        <f>IFERROR((VLOOKUP($A5717,HeadJournal!$A$1:$L$890,COLUMN(HeadJournal!L$1),0)*($K5717+$L5717)/(SUMIF($A:$A,$A5717,$K:$K)+SUMIF($A:$A,$A5717,$L:$L)))/VLOOKUP($A5717,HeadJournal!$A$1:$L$890,COLUMN(HeadJournal!H$1),0),0)</f>
        <v>0.57040516695424148</v>
      </c>
      <c r="P5717" s="30">
        <f>IFERROR(SUM(K5717:O5717)*VLOOKUP($A5717,HeadJournal!$A$1:$L$890,COLUMN(HeadJournal!H$1),0),0)</f>
        <v>1057.6792518766486</v>
      </c>
      <c r="Q5717" s="29"/>
      <c r="R5717" s="31"/>
      <c r="S5717" s="31"/>
      <c r="T5717" s="95" t="str">
        <f t="shared" si="424"/>
        <v/>
      </c>
      <c r="U5717" s="32">
        <f t="shared" si="425"/>
        <v>-1057.6792518766486</v>
      </c>
      <c r="V5717" s="22" t="str">
        <f t="shared" si="426"/>
        <v/>
      </c>
      <c r="X5717" s="33"/>
      <c r="Y5717" s="33"/>
    </row>
    <row r="5718" spans="1:25" x14ac:dyDescent="0.2">
      <c r="A5718" s="93" t="s">
        <v>5619</v>
      </c>
      <c r="B5718" s="94">
        <f>IFERROR(VLOOKUP($A5718,HeadJournal!$A$1:$NTR$890,COLUMN(HeadJournal!B$1),0),"")</f>
        <v>0</v>
      </c>
      <c r="C5718" s="94" t="str">
        <f>IFERROR(VLOOKUP($A5718,HeadJournal!$A$1:$NTR$890,COLUMN(HeadJournal!C$1),0),"")</f>
        <v>iHerb_MH DLE7202</v>
      </c>
      <c r="D5718" s="125" t="str">
        <f>IFERROR(VLOOKUP($A5718,HeadJournal!$A$1:$NTR$890,COLUMN(HeadJournal!D$1),0),"")</f>
        <v>Доставлен</v>
      </c>
      <c r="E5718" s="95">
        <f>IFERROR(VLOOKUP($A5718,HeadJournal!$A$1:$NTR$890,COLUMN(HeadJournal!G$1),0),"")</f>
        <v>46102</v>
      </c>
      <c r="F5718" s="95" t="str">
        <f t="shared" si="423"/>
        <v>2026 03</v>
      </c>
      <c r="G5718" s="97" t="s">
        <v>5</v>
      </c>
      <c r="H5718" s="161" t="s">
        <v>2684</v>
      </c>
      <c r="I5718" s="97" t="s">
        <v>2166</v>
      </c>
      <c r="J5718" s="97" t="s">
        <v>2685</v>
      </c>
      <c r="K5718" s="29">
        <v>22.18</v>
      </c>
      <c r="L5718" s="29">
        <v>-4.4400000000000004</v>
      </c>
      <c r="M5718" s="30">
        <f>IFERROR(VLOOKUP($A5718,HeadJournal!$A$1:$J$890,COLUMN(HeadJournal!I$1),0)*($K5718+$L5718)/(SUMIF($A:$A,$A5718,$K:$K)+SUMIF($A:$A,$A5718,$L:$L)),0)</f>
        <v>-1.6124000811523636</v>
      </c>
      <c r="N5718" s="30">
        <f>IFERROR((VLOOKUP($A5718,HeadJournal!$A$1:$K$890,COLUMN(HeadJournal!K$1),0)-VLOOKUP($A5718,HeadJournal!$A$1:$K$890,COLUMN(HeadJournal!J$1),0))*($K5718+$L5718)/(SUMIF($A:$A,$A5718,$K:$K)+SUMIF($A:$A,$A5718,$L:$L)),0)</f>
        <v>0</v>
      </c>
      <c r="O5718" s="30">
        <f>IFERROR((VLOOKUP($A5718,HeadJournal!$A$1:$L$890,COLUMN(HeadJournal!L$1),0)*($K5718+$L5718)/(SUMIF($A:$A,$A5718,$K:$K)+SUMIF($A:$A,$A5718,$L:$L)))/VLOOKUP($A5718,HeadJournal!$A$1:$L$890,COLUMN(HeadJournal!H$1),0),0)</f>
        <v>0.85248421750364312</v>
      </c>
      <c r="P5718" s="30">
        <f>IFERROR(SUM(K5718:O5718)*VLOOKUP($A5718,HeadJournal!$A$1:$L$890,COLUMN(HeadJournal!H$1),0),0)</f>
        <v>1580.7270369243256</v>
      </c>
      <c r="Q5718" s="29"/>
      <c r="R5718" s="31"/>
      <c r="S5718" s="31"/>
      <c r="T5718" s="95" t="str">
        <f t="shared" si="424"/>
        <v/>
      </c>
      <c r="U5718" s="32">
        <f t="shared" si="425"/>
        <v>-1580.7270369243256</v>
      </c>
      <c r="V5718" s="22" t="str">
        <f t="shared" si="426"/>
        <v/>
      </c>
      <c r="X5718" s="33"/>
      <c r="Y5718" s="33"/>
    </row>
    <row r="5719" spans="1:25" x14ac:dyDescent="0.2">
      <c r="A5719" s="93" t="s">
        <v>5619</v>
      </c>
      <c r="B5719" s="94">
        <f>IFERROR(VLOOKUP($A5719,HeadJournal!$A$1:$NTR$890,COLUMN(HeadJournal!B$1),0),"")</f>
        <v>0</v>
      </c>
      <c r="C5719" s="94" t="str">
        <f>IFERROR(VLOOKUP($A5719,HeadJournal!$A$1:$NTR$890,COLUMN(HeadJournal!C$1),0),"")</f>
        <v>iHerb_MH DLE7202</v>
      </c>
      <c r="D5719" s="125" t="str">
        <f>IFERROR(VLOOKUP($A5719,HeadJournal!$A$1:$NTR$890,COLUMN(HeadJournal!D$1),0),"")</f>
        <v>Доставлен</v>
      </c>
      <c r="E5719" s="95">
        <f>IFERROR(VLOOKUP($A5719,HeadJournal!$A$1:$NTR$890,COLUMN(HeadJournal!G$1),0),"")</f>
        <v>46102</v>
      </c>
      <c r="F5719" s="95" t="str">
        <f t="shared" si="423"/>
        <v>2026 03</v>
      </c>
      <c r="G5719" s="97" t="s">
        <v>5</v>
      </c>
      <c r="H5719" s="161" t="s">
        <v>2791</v>
      </c>
      <c r="I5719" s="97" t="s">
        <v>2008</v>
      </c>
      <c r="J5719" s="97" t="s">
        <v>2792</v>
      </c>
      <c r="K5719" s="29">
        <v>28.82</v>
      </c>
      <c r="L5719" s="29">
        <v>-5.76</v>
      </c>
      <c r="M5719" s="30">
        <f>IFERROR(VLOOKUP($A5719,HeadJournal!$A$1:$J$890,COLUMN(HeadJournal!I$1),0)*($K5719+$L5719)/(SUMIF($A:$A,$A5719,$K:$K)+SUMIF($A:$A,$A5719,$L:$L)),0)</f>
        <v>-2.0959383242036931</v>
      </c>
      <c r="N5719" s="30">
        <f>IFERROR((VLOOKUP($A5719,HeadJournal!$A$1:$K$890,COLUMN(HeadJournal!K$1),0)-VLOOKUP($A5719,HeadJournal!$A$1:$K$890,COLUMN(HeadJournal!J$1),0))*($K5719+$L5719)/(SUMIF($A:$A,$A5719,$K:$K)+SUMIF($A:$A,$A5719,$L:$L)),0)</f>
        <v>0</v>
      </c>
      <c r="O5719" s="30">
        <f>IFERROR((VLOOKUP($A5719,HeadJournal!$A$1:$L$890,COLUMN(HeadJournal!L$1),0)*($K5719+$L5719)/(SUMIF($A:$A,$A5719,$K:$K)+SUMIF($A:$A,$A5719,$L:$L)))/VLOOKUP($A5719,HeadJournal!$A$1:$L$890,COLUMN(HeadJournal!H$1),0),0)</f>
        <v>1.108133374049268</v>
      </c>
      <c r="P5719" s="30">
        <f>IFERROR(SUM(K5719:O5719)*VLOOKUP($A5719,HeadJournal!$A$1:$L$890,COLUMN(HeadJournal!H$1),0),0)</f>
        <v>2054.7669375126802</v>
      </c>
      <c r="Q5719" s="29"/>
      <c r="R5719" s="31"/>
      <c r="S5719" s="31"/>
      <c r="T5719" s="95" t="str">
        <f t="shared" si="424"/>
        <v/>
      </c>
      <c r="U5719" s="32">
        <f t="shared" si="425"/>
        <v>-2054.7669375126802</v>
      </c>
      <c r="V5719" s="22" t="str">
        <f t="shared" si="426"/>
        <v/>
      </c>
      <c r="X5719" s="33"/>
      <c r="Y5719" s="33"/>
    </row>
    <row r="5720" spans="1:25" x14ac:dyDescent="0.2">
      <c r="A5720" s="93" t="s">
        <v>5619</v>
      </c>
      <c r="B5720" s="94">
        <f>IFERROR(VLOOKUP($A5720,HeadJournal!$A$1:$NTR$890,COLUMN(HeadJournal!B$1),0),"")</f>
        <v>0</v>
      </c>
      <c r="C5720" s="94" t="str">
        <f>IFERROR(VLOOKUP($A5720,HeadJournal!$A$1:$NTR$890,COLUMN(HeadJournal!C$1),0),"")</f>
        <v>iHerb_MH DLE7202</v>
      </c>
      <c r="D5720" s="125" t="str">
        <f>IFERROR(VLOOKUP($A5720,HeadJournal!$A$1:$NTR$890,COLUMN(HeadJournal!D$1),0),"")</f>
        <v>Доставлен</v>
      </c>
      <c r="E5720" s="95">
        <f>IFERROR(VLOOKUP($A5720,HeadJournal!$A$1:$NTR$890,COLUMN(HeadJournal!G$1),0),"")</f>
        <v>46102</v>
      </c>
      <c r="F5720" s="95" t="str">
        <f t="shared" si="423"/>
        <v>2026 03</v>
      </c>
      <c r="G5720" s="97" t="s">
        <v>5</v>
      </c>
      <c r="H5720" s="161" t="s">
        <v>4016</v>
      </c>
      <c r="I5720" s="97" t="s">
        <v>2207</v>
      </c>
      <c r="J5720" s="97" t="s">
        <v>4017</v>
      </c>
      <c r="K5720" s="29">
        <v>63.51</v>
      </c>
      <c r="L5720" s="29">
        <v>-12.7</v>
      </c>
      <c r="M5720" s="30">
        <f>IFERROR(VLOOKUP($A5720,HeadJournal!$A$1:$J$890,COLUMN(HeadJournal!I$1),0)*($K5720+$L5720)/(SUMIF($A:$A,$A5720,$K:$K)+SUMIF($A:$A,$A5720,$L:$L)),0)</f>
        <v>-4.6181537837289524</v>
      </c>
      <c r="N5720" s="30">
        <f>IFERROR((VLOOKUP($A5720,HeadJournal!$A$1:$K$890,COLUMN(HeadJournal!K$1),0)-VLOOKUP($A5720,HeadJournal!$A$1:$K$890,COLUMN(HeadJournal!J$1),0))*($K5720+$L5720)/(SUMIF($A:$A,$A5720,$K:$K)+SUMIF($A:$A,$A5720,$L:$L)),0)</f>
        <v>0</v>
      </c>
      <c r="O5720" s="30">
        <f>IFERROR((VLOOKUP($A5720,HeadJournal!$A$1:$L$890,COLUMN(HeadJournal!L$1),0)*($K5720+$L5720)/(SUMIF($A:$A,$A5720,$K:$K)+SUMIF($A:$A,$A5720,$L:$L)))/VLOOKUP($A5720,HeadJournal!$A$1:$L$890,COLUMN(HeadJournal!H$1),0),0)</f>
        <v>2.4416416624216524</v>
      </c>
      <c r="P5720" s="30">
        <f>IFERROR(SUM(K5720:O5720)*VLOOKUP($A5720,HeadJournal!$A$1:$L$890,COLUMN(HeadJournal!H$1),0),0)</f>
        <v>4527.4374715966733</v>
      </c>
      <c r="Q5720" s="29">
        <v>6400</v>
      </c>
      <c r="R5720" s="31">
        <v>46135</v>
      </c>
      <c r="S5720" s="31" t="s">
        <v>3226</v>
      </c>
      <c r="T5720" s="95" t="str">
        <f t="shared" si="424"/>
        <v>2026 04</v>
      </c>
      <c r="U5720" s="32">
        <f t="shared" si="425"/>
        <v>1872.5625284033267</v>
      </c>
      <c r="V5720" s="22">
        <f t="shared" si="426"/>
        <v>0.41360317843173605</v>
      </c>
      <c r="X5720" s="33"/>
      <c r="Y5720" s="33"/>
    </row>
    <row r="5721" spans="1:25" x14ac:dyDescent="0.2">
      <c r="A5721" s="93" t="s">
        <v>5619</v>
      </c>
      <c r="B5721" s="94">
        <f>IFERROR(VLOOKUP($A5721,HeadJournal!$A$1:$NTR$890,COLUMN(HeadJournal!B$1),0),"")</f>
        <v>0</v>
      </c>
      <c r="C5721" s="94" t="str">
        <f>IFERROR(VLOOKUP($A5721,HeadJournal!$A$1:$NTR$890,COLUMN(HeadJournal!C$1),0),"")</f>
        <v>iHerb_MH DLE7202</v>
      </c>
      <c r="D5721" s="125" t="str">
        <f>IFERROR(VLOOKUP($A5721,HeadJournal!$A$1:$NTR$890,COLUMN(HeadJournal!D$1),0),"")</f>
        <v>Доставлен</v>
      </c>
      <c r="E5721" s="95">
        <f>IFERROR(VLOOKUP($A5721,HeadJournal!$A$1:$NTR$890,COLUMN(HeadJournal!G$1),0),"")</f>
        <v>46102</v>
      </c>
      <c r="F5721" s="95" t="str">
        <f t="shared" si="423"/>
        <v>2026 03</v>
      </c>
      <c r="G5721" s="97" t="s">
        <v>5</v>
      </c>
      <c r="H5721" s="161" t="s">
        <v>5617</v>
      </c>
      <c r="I5721" s="97" t="s">
        <v>5380</v>
      </c>
      <c r="J5721" s="97" t="s">
        <v>5618</v>
      </c>
      <c r="K5721" s="29">
        <v>20.39</v>
      </c>
      <c r="L5721" s="29">
        <v>-4.08</v>
      </c>
      <c r="M5721" s="30">
        <f>IFERROR(VLOOKUP($A5721,HeadJournal!$A$1:$J$890,COLUMN(HeadJournal!I$1),0)*($K5721+$L5721)/(SUMIF($A:$A,$A5721,$K:$K)+SUMIF($A:$A,$A5721,$L:$L)),0)</f>
        <v>-1.4824264556705216</v>
      </c>
      <c r="N5721" s="30">
        <f>IFERROR((VLOOKUP($A5721,HeadJournal!$A$1:$K$890,COLUMN(HeadJournal!K$1),0)-VLOOKUP($A5721,HeadJournal!$A$1:$K$890,COLUMN(HeadJournal!J$1),0))*($K5721+$L5721)/(SUMIF($A:$A,$A5721,$K:$K)+SUMIF($A:$A,$A5721,$L:$L)),0)</f>
        <v>0</v>
      </c>
      <c r="O5721" s="30">
        <f>IFERROR((VLOOKUP($A5721,HeadJournal!$A$1:$L$890,COLUMN(HeadJournal!L$1),0)*($K5721+$L5721)/(SUMIF($A:$A,$A5721,$K:$K)+SUMIF($A:$A,$A5721,$L:$L)))/VLOOKUP($A5721,HeadJournal!$A$1:$L$890,COLUMN(HeadJournal!H$1),0),0)</f>
        <v>0.78376649309382318</v>
      </c>
      <c r="P5721" s="30">
        <f>IFERROR(SUM(K5721:O5721)*VLOOKUP($A5721,HeadJournal!$A$1:$L$890,COLUMN(HeadJournal!H$1),0),0)</f>
        <v>1453.3065373300874</v>
      </c>
      <c r="Q5721" s="29"/>
      <c r="R5721" s="31"/>
      <c r="S5721" s="31"/>
      <c r="T5721" s="95" t="str">
        <f t="shared" si="424"/>
        <v/>
      </c>
      <c r="U5721" s="32">
        <f t="shared" si="425"/>
        <v>-1453.3065373300874</v>
      </c>
      <c r="V5721" s="22" t="str">
        <f t="shared" si="426"/>
        <v/>
      </c>
      <c r="X5721" s="33"/>
      <c r="Y5721" s="33"/>
    </row>
    <row r="5722" spans="1:25" x14ac:dyDescent="0.2">
      <c r="A5722" s="93" t="s">
        <v>5619</v>
      </c>
      <c r="B5722" s="94">
        <f>IFERROR(VLOOKUP($A5722,HeadJournal!$A$1:$NTR$890,COLUMN(HeadJournal!B$1),0),"")</f>
        <v>0</v>
      </c>
      <c r="C5722" s="94" t="str">
        <f>IFERROR(VLOOKUP($A5722,HeadJournal!$A$1:$NTR$890,COLUMN(HeadJournal!C$1),0),"")</f>
        <v>iHerb_MH DLE7202</v>
      </c>
      <c r="D5722" s="125" t="str">
        <f>IFERROR(VLOOKUP($A5722,HeadJournal!$A$1:$NTR$890,COLUMN(HeadJournal!D$1),0),"")</f>
        <v>Доставлен</v>
      </c>
      <c r="E5722" s="95">
        <f>IFERROR(VLOOKUP($A5722,HeadJournal!$A$1:$NTR$890,COLUMN(HeadJournal!G$1),0),"")</f>
        <v>46102</v>
      </c>
      <c r="F5722" s="95" t="str">
        <f t="shared" si="423"/>
        <v>2026 03</v>
      </c>
      <c r="G5722" s="97" t="s">
        <v>5</v>
      </c>
      <c r="H5722" s="161" t="s">
        <v>2565</v>
      </c>
      <c r="I5722" s="97" t="s">
        <v>2052</v>
      </c>
      <c r="J5722" s="97" t="s">
        <v>3829</v>
      </c>
      <c r="K5722" s="29">
        <v>31.16</v>
      </c>
      <c r="L5722" s="29">
        <v>-6.23</v>
      </c>
      <c r="M5722" s="30">
        <f>IFERROR(VLOOKUP($A5722,HeadJournal!$A$1:$J$890,COLUMN(HeadJournal!I$1),0)*($K5722+$L5722)/(SUMIF($A:$A,$A5722,$K:$K)+SUMIF($A:$A,$A5722,$L:$L)),0)</f>
        <v>-2.2659038344491784</v>
      </c>
      <c r="N5722" s="30">
        <f>IFERROR((VLOOKUP($A5722,HeadJournal!$A$1:$K$890,COLUMN(HeadJournal!K$1),0)-VLOOKUP($A5722,HeadJournal!$A$1:$K$890,COLUMN(HeadJournal!J$1),0))*($K5722+$L5722)/(SUMIF($A:$A,$A5722,$K:$K)+SUMIF($A:$A,$A5722,$L:$L)),0)</f>
        <v>0</v>
      </c>
      <c r="O5722" s="30">
        <f>IFERROR((VLOOKUP($A5722,HeadJournal!$A$1:$L$890,COLUMN(HeadJournal!L$1),0)*($K5722+$L5722)/(SUMIF($A:$A,$A5722,$K:$K)+SUMIF($A:$A,$A5722,$L:$L)))/VLOOKUP($A5722,HeadJournal!$A$1:$L$890,COLUMN(HeadJournal!H$1),0),0)</f>
        <v>1.1979950136621096</v>
      </c>
      <c r="P5722" s="30">
        <f>IFERROR(SUM(K5722:O5722)*VLOOKUP($A5722,HeadJournal!$A$1:$L$890,COLUMN(HeadJournal!H$1),0),0)</f>
        <v>2221.3937446743757</v>
      </c>
      <c r="Q5722" s="29"/>
      <c r="R5722" s="31"/>
      <c r="S5722" s="31"/>
      <c r="T5722" s="95" t="str">
        <f t="shared" si="424"/>
        <v/>
      </c>
      <c r="U5722" s="32">
        <f t="shared" si="425"/>
        <v>-2221.3937446743757</v>
      </c>
      <c r="V5722" s="22" t="str">
        <f t="shared" si="426"/>
        <v/>
      </c>
      <c r="X5722" s="33"/>
      <c r="Y5722" s="33"/>
    </row>
    <row r="5723" spans="1:25" x14ac:dyDescent="0.2">
      <c r="A5723" s="93" t="s">
        <v>5620</v>
      </c>
      <c r="B5723" s="94">
        <f>IFERROR(VLOOKUP($A5723,HeadJournal!$A$1:$NTR$890,COLUMN(HeadJournal!B$1),0),"")</f>
        <v>0</v>
      </c>
      <c r="C5723" s="94" t="str">
        <f>IFERROR(VLOOKUP($A5723,HeadJournal!$A$1:$NTR$890,COLUMN(HeadJournal!C$1),0),"")</f>
        <v>WBRS</v>
      </c>
      <c r="D5723" s="125" t="str">
        <f>IFERROR(VLOOKUP($A5723,HeadJournal!$A$1:$NTR$890,COLUMN(HeadJournal!D$1),0),"")</f>
        <v>Доставлен</v>
      </c>
      <c r="E5723" s="95">
        <f>IFERROR(VLOOKUP($A5723,HeadJournal!$A$1:$NTR$890,COLUMN(HeadJournal!G$1),0),"")</f>
        <v>46080</v>
      </c>
      <c r="F5723" s="95" t="str">
        <f t="shared" si="423"/>
        <v>2026 02</v>
      </c>
      <c r="G5723" s="97" t="s">
        <v>7</v>
      </c>
      <c r="H5723" s="161" t="s">
        <v>2552</v>
      </c>
      <c r="I5723" s="97" t="s">
        <v>2553</v>
      </c>
      <c r="J5723" s="97" t="s">
        <v>2554</v>
      </c>
      <c r="K5723" s="29">
        <v>143</v>
      </c>
      <c r="L5723" s="29">
        <v>0</v>
      </c>
      <c r="M5723" s="30">
        <f>IFERROR(VLOOKUP($A5723,HeadJournal!$A$1:$J$890,COLUMN(HeadJournal!I$1),0)*($K5723+$L5723)/(SUMIF($A:$A,$A5723,$K:$K)+SUMIF($A:$A,$A5723,$L:$L)),0)</f>
        <v>0</v>
      </c>
      <c r="N5723" s="30">
        <f>IFERROR((VLOOKUP($A5723,HeadJournal!$A$1:$K$890,COLUMN(HeadJournal!K$1),0)-VLOOKUP($A5723,HeadJournal!$A$1:$K$890,COLUMN(HeadJournal!J$1),0))*($K5723+$L5723)/(SUMIF($A:$A,$A5723,$K:$K)+SUMIF($A:$A,$A5723,$L:$L)),0)</f>
        <v>0</v>
      </c>
      <c r="O5723" s="30">
        <f>IFERROR((VLOOKUP($A5723,HeadJournal!$A$1:$L$890,COLUMN(HeadJournal!L$1),0)*($K5723+$L5723)/(SUMIF($A:$A,$A5723,$K:$K)+SUMIF($A:$A,$A5723,$L:$L)))/VLOOKUP($A5723,HeadJournal!$A$1:$L$890,COLUMN(HeadJournal!H$1),0),0)</f>
        <v>0</v>
      </c>
      <c r="P5723" s="30">
        <f>IFERROR(SUM(K5723:O5723)*VLOOKUP($A5723,HeadJournal!$A$1:$L$890,COLUMN(HeadJournal!H$1),0),0)</f>
        <v>143</v>
      </c>
      <c r="Q5723" s="29">
        <v>600</v>
      </c>
      <c r="R5723" s="31">
        <v>46106</v>
      </c>
      <c r="S5723" s="31" t="s">
        <v>3121</v>
      </c>
      <c r="T5723" s="95" t="str">
        <f t="shared" si="424"/>
        <v>2026 03</v>
      </c>
      <c r="U5723" s="32">
        <f t="shared" si="425"/>
        <v>457</v>
      </c>
      <c r="V5723" s="22">
        <f t="shared" si="426"/>
        <v>3.1958041958041958</v>
      </c>
      <c r="X5723" s="33"/>
      <c r="Y5723" s="33"/>
    </row>
    <row r="5724" spans="1:25" x14ac:dyDescent="0.2">
      <c r="A5724" s="93" t="s">
        <v>5629</v>
      </c>
      <c r="B5724" s="94">
        <f>IFERROR(VLOOKUP($A5724,HeadJournal!$A$1:$NTR$890,COLUMN(HeadJournal!B$1),0),"")</f>
        <v>0</v>
      </c>
      <c r="C5724" s="94" t="str">
        <f>IFERROR(VLOOKUP($A5724,HeadJournal!$A$1:$NTR$890,COLUMN(HeadJournal!C$1),0),"")</f>
        <v>iHerb_OA CZN6870</v>
      </c>
      <c r="D5724" s="125" t="str">
        <f>IFERROR(VLOOKUP($A5724,HeadJournal!$A$1:$NTR$890,COLUMN(HeadJournal!D$1),0),"")</f>
        <v>Доставлен</v>
      </c>
      <c r="E5724" s="95">
        <f>IFERROR(VLOOKUP($A5724,HeadJournal!$A$1:$NTR$890,COLUMN(HeadJournal!G$1),0),"")</f>
        <v>46112</v>
      </c>
      <c r="F5724" s="95" t="str">
        <f t="shared" si="423"/>
        <v>2026 03</v>
      </c>
      <c r="G5724" s="97" t="s">
        <v>5</v>
      </c>
      <c r="H5724" s="161" t="s">
        <v>5622</v>
      </c>
      <c r="I5724" s="97" t="s">
        <v>5623</v>
      </c>
      <c r="J5724" s="97" t="s">
        <v>5624</v>
      </c>
      <c r="K5724" s="29">
        <v>66.12</v>
      </c>
      <c r="L5724" s="29">
        <v>-6.61</v>
      </c>
      <c r="M5724" s="30">
        <f>IFERROR(VLOOKUP($A5724,HeadJournal!$A$1:$J$890,COLUMN(HeadJournal!I$1),0)*($K5724+$L5724)/(SUMIF($A:$A,$A5724,$K:$K)+SUMIF($A:$A,$A5724,$L:$L)),0)</f>
        <v>-2.5049004004004005</v>
      </c>
      <c r="N5724" s="30">
        <f>IFERROR((VLOOKUP($A5724,HeadJournal!$A$1:$K$890,COLUMN(HeadJournal!K$1),0)-VLOOKUP($A5724,HeadJournal!$A$1:$K$890,COLUMN(HeadJournal!J$1),0))*($K5724+$L5724)/(SUMIF($A:$A,$A5724,$K:$K)+SUMIF($A:$A,$A5724,$L:$L)),0)</f>
        <v>-8.4653449860027151E-15</v>
      </c>
      <c r="O5724" s="30">
        <f>IFERROR((VLOOKUP($A5724,HeadJournal!$A$1:$L$890,COLUMN(HeadJournal!L$1),0)*($K5724+$L5724)/(SUMIF($A:$A,$A5724,$K:$K)+SUMIF($A:$A,$A5724,$L:$L)))/VLOOKUP($A5724,HeadJournal!$A$1:$L$890,COLUMN(HeadJournal!H$1),0),0)</f>
        <v>2.840678158546377</v>
      </c>
      <c r="P5724" s="30">
        <f>IFERROR(SUM(K5724:O5724)*VLOOKUP($A5724,HeadJournal!$A$1:$L$890,COLUMN(HeadJournal!H$1),0),0)</f>
        <v>5534.4508493493495</v>
      </c>
      <c r="Q5724" s="29">
        <v>6600</v>
      </c>
      <c r="R5724" s="31">
        <v>46135</v>
      </c>
      <c r="S5724" s="31" t="s">
        <v>3475</v>
      </c>
      <c r="T5724" s="95" t="str">
        <f t="shared" si="424"/>
        <v>2026 04</v>
      </c>
      <c r="U5724" s="32">
        <f t="shared" si="425"/>
        <v>1065.5491506506505</v>
      </c>
      <c r="V5724" s="22">
        <f t="shared" si="426"/>
        <v>0.19253024006454414</v>
      </c>
      <c r="X5724" s="33"/>
      <c r="Y5724" s="33"/>
    </row>
    <row r="5725" spans="1:25" x14ac:dyDescent="0.2">
      <c r="A5725" s="93" t="s">
        <v>5629</v>
      </c>
      <c r="B5725" s="94">
        <f>IFERROR(VLOOKUP($A5725,HeadJournal!$A$1:$NTR$890,COLUMN(HeadJournal!B$1),0),"")</f>
        <v>0</v>
      </c>
      <c r="C5725" s="94" t="str">
        <f>IFERROR(VLOOKUP($A5725,HeadJournal!$A$1:$NTR$890,COLUMN(HeadJournal!C$1),0),"")</f>
        <v>iHerb_OA CZN6870</v>
      </c>
      <c r="D5725" s="125" t="str">
        <f>IFERROR(VLOOKUP($A5725,HeadJournal!$A$1:$NTR$890,COLUMN(HeadJournal!D$1),0),"")</f>
        <v>Доставлен</v>
      </c>
      <c r="E5725" s="95">
        <f>IFERROR(VLOOKUP($A5725,HeadJournal!$A$1:$NTR$890,COLUMN(HeadJournal!G$1),0),"")</f>
        <v>46112</v>
      </c>
      <c r="F5725" s="95" t="str">
        <f t="shared" si="423"/>
        <v>2026 03</v>
      </c>
      <c r="G5725" s="97" t="s">
        <v>5</v>
      </c>
      <c r="H5725" s="161" t="s">
        <v>5625</v>
      </c>
      <c r="I5725" s="97" t="s">
        <v>2451</v>
      </c>
      <c r="J5725" s="97" t="s">
        <v>5626</v>
      </c>
      <c r="K5725" s="29">
        <v>20.3</v>
      </c>
      <c r="L5725" s="29">
        <v>-2.0299999999999998</v>
      </c>
      <c r="M5725" s="30">
        <f>IFERROR(VLOOKUP($A5725,HeadJournal!$A$1:$J$890,COLUMN(HeadJournal!I$1),0)*($K5725+$L5725)/(SUMIF($A:$A,$A5725,$K:$K)+SUMIF($A:$A,$A5725,$L:$L)),0)</f>
        <v>-0.76902252252252246</v>
      </c>
      <c r="N5725" s="30">
        <f>IFERROR((VLOOKUP($A5725,HeadJournal!$A$1:$K$890,COLUMN(HeadJournal!K$1),0)-VLOOKUP($A5725,HeadJournal!$A$1:$K$890,COLUMN(HeadJournal!J$1),0))*($K5725+$L5725)/(SUMIF($A:$A,$A5725,$K:$K)+SUMIF($A:$A,$A5725,$L:$L)),0)</f>
        <v>-2.5989220785459519E-15</v>
      </c>
      <c r="O5725" s="30">
        <f>IFERROR((VLOOKUP($A5725,HeadJournal!$A$1:$L$890,COLUMN(HeadJournal!L$1),0)*($K5725+$L5725)/(SUMIF($A:$A,$A5725,$K:$K)+SUMIF($A:$A,$A5725,$L:$L)))/VLOOKUP($A5725,HeadJournal!$A$1:$L$890,COLUMN(HeadJournal!H$1),0),0)</f>
        <v>0.87210872049474542</v>
      </c>
      <c r="P5725" s="30">
        <f>IFERROR(SUM(K5725:O5725)*VLOOKUP($A5725,HeadJournal!$A$1:$L$890,COLUMN(HeadJournal!H$1),0),0)</f>
        <v>1699.1164009009005</v>
      </c>
      <c r="Q5725" s="29">
        <v>2500</v>
      </c>
      <c r="R5725" s="31">
        <v>46135</v>
      </c>
      <c r="S5725" s="31" t="s">
        <v>3475</v>
      </c>
      <c r="T5725" s="95" t="str">
        <f t="shared" si="424"/>
        <v>2026 04</v>
      </c>
      <c r="U5725" s="32">
        <f t="shared" si="425"/>
        <v>800.88359909909946</v>
      </c>
      <c r="V5725" s="22">
        <f t="shared" si="426"/>
        <v>0.47135299186945478</v>
      </c>
      <c r="X5725" s="33"/>
      <c r="Y5725" s="33"/>
    </row>
    <row r="5726" spans="1:25" x14ac:dyDescent="0.2">
      <c r="A5726" s="93" t="s">
        <v>5629</v>
      </c>
      <c r="B5726" s="94">
        <f>IFERROR(VLOOKUP($A5726,HeadJournal!$A$1:$NTR$890,COLUMN(HeadJournal!B$1),0),"")</f>
        <v>0</v>
      </c>
      <c r="C5726" s="94" t="str">
        <f>IFERROR(VLOOKUP($A5726,HeadJournal!$A$1:$NTR$890,COLUMN(HeadJournal!C$1),0),"")</f>
        <v>iHerb_OA CZN6870</v>
      </c>
      <c r="D5726" s="125" t="str">
        <f>IFERROR(VLOOKUP($A5726,HeadJournal!$A$1:$NTR$890,COLUMN(HeadJournal!D$1),0),"")</f>
        <v>Доставлен</v>
      </c>
      <c r="E5726" s="95">
        <f>IFERROR(VLOOKUP($A5726,HeadJournal!$A$1:$NTR$890,COLUMN(HeadJournal!G$1),0),"")</f>
        <v>46112</v>
      </c>
      <c r="F5726" s="95" t="str">
        <f t="shared" si="423"/>
        <v>2026 03</v>
      </c>
      <c r="G5726" s="97" t="s">
        <v>5</v>
      </c>
      <c r="H5726" s="161" t="s">
        <v>5059</v>
      </c>
      <c r="I5726" s="97" t="s">
        <v>2856</v>
      </c>
      <c r="J5726" s="97" t="s">
        <v>5060</v>
      </c>
      <c r="K5726" s="29">
        <v>28.18</v>
      </c>
      <c r="L5726" s="29">
        <v>-2.82</v>
      </c>
      <c r="M5726" s="30">
        <f>IFERROR(VLOOKUP($A5726,HeadJournal!$A$1:$J$890,COLUMN(HeadJournal!I$1),0)*($K5726+$L5726)/(SUMIF($A:$A,$A5726,$K:$K)+SUMIF($A:$A,$A5726,$L:$L)),0)</f>
        <v>-1.0674554554554554</v>
      </c>
      <c r="N5726" s="30">
        <f>IFERROR((VLOOKUP($A5726,HeadJournal!$A$1:$K$890,COLUMN(HeadJournal!K$1),0)-VLOOKUP($A5726,HeadJournal!$A$1:$K$890,COLUMN(HeadJournal!J$1),0))*($K5726+$L5726)/(SUMIF($A:$A,$A5726,$K:$K)+SUMIF($A:$A,$A5726,$L:$L)),0)</f>
        <v>-3.6074802360112392E-15</v>
      </c>
      <c r="O5726" s="30">
        <f>IFERROR((VLOOKUP($A5726,HeadJournal!$A$1:$L$890,COLUMN(HeadJournal!L$1),0)*($K5726+$L5726)/(SUMIF($A:$A,$A5726,$K:$K)+SUMIF($A:$A,$A5726,$L:$L)))/VLOOKUP($A5726,HeadJournal!$A$1:$L$890,COLUMN(HeadJournal!H$1),0),0)</f>
        <v>1.2105460947863571</v>
      </c>
      <c r="P5726" s="30">
        <f>IFERROR(SUM(K5726:O5726)*VLOOKUP($A5726,HeadJournal!$A$1:$L$890,COLUMN(HeadJournal!H$1),0),0)</f>
        <v>2358.4888848848846</v>
      </c>
      <c r="Q5726" s="29">
        <v>3200</v>
      </c>
      <c r="R5726" s="31">
        <v>46135</v>
      </c>
      <c r="S5726" s="31" t="s">
        <v>3475</v>
      </c>
      <c r="T5726" s="95" t="str">
        <f t="shared" si="424"/>
        <v>2026 04</v>
      </c>
      <c r="U5726" s="32">
        <f t="shared" si="425"/>
        <v>841.51111511511544</v>
      </c>
      <c r="V5726" s="22">
        <f t="shared" si="426"/>
        <v>0.35680096713968135</v>
      </c>
      <c r="X5726" s="33"/>
      <c r="Y5726" s="33"/>
    </row>
    <row r="5727" spans="1:25" x14ac:dyDescent="0.2">
      <c r="A5727" s="93" t="s">
        <v>5629</v>
      </c>
      <c r="B5727" s="94">
        <f>IFERROR(VLOOKUP($A5727,HeadJournal!$A$1:$NTR$890,COLUMN(HeadJournal!B$1),0),"")</f>
        <v>0</v>
      </c>
      <c r="C5727" s="94" t="str">
        <f>IFERROR(VLOOKUP($A5727,HeadJournal!$A$1:$NTR$890,COLUMN(HeadJournal!C$1),0),"")</f>
        <v>iHerb_OA CZN6870</v>
      </c>
      <c r="D5727" s="125" t="str">
        <f>IFERROR(VLOOKUP($A5727,HeadJournal!$A$1:$NTR$890,COLUMN(HeadJournal!D$1),0),"")</f>
        <v>Доставлен</v>
      </c>
      <c r="E5727" s="95">
        <f>IFERROR(VLOOKUP($A5727,HeadJournal!$A$1:$NTR$890,COLUMN(HeadJournal!G$1),0),"")</f>
        <v>46112</v>
      </c>
      <c r="F5727" s="95" t="str">
        <f t="shared" si="423"/>
        <v>2026 03</v>
      </c>
      <c r="G5727" s="97" t="s">
        <v>5</v>
      </c>
      <c r="H5727" s="161" t="s">
        <v>5627</v>
      </c>
      <c r="I5727" s="97" t="s">
        <v>5395</v>
      </c>
      <c r="J5727" s="97" t="s">
        <v>5628</v>
      </c>
      <c r="K5727" s="29">
        <v>76.48</v>
      </c>
      <c r="L5727" s="29">
        <v>-7.65</v>
      </c>
      <c r="M5727" s="30">
        <f>IFERROR(VLOOKUP($A5727,HeadJournal!$A$1:$J$890,COLUMN(HeadJournal!I$1),0)*($K5727+$L5727)/(SUMIF($A:$A,$A5727,$K:$K)+SUMIF($A:$A,$A5727,$L:$L)),0)</f>
        <v>-2.8971986986986988</v>
      </c>
      <c r="N5727" s="30">
        <f>IFERROR((VLOOKUP($A5727,HeadJournal!$A$1:$K$890,COLUMN(HeadJournal!K$1),0)-VLOOKUP($A5727,HeadJournal!$A$1:$K$890,COLUMN(HeadJournal!J$1),0))*($K5727+$L5727)/(SUMIF($A:$A,$A5727,$K:$K)+SUMIF($A:$A,$A5727,$L:$L)),0)</f>
        <v>-9.7911224228964353E-15</v>
      </c>
      <c r="O5727" s="30">
        <f>IFERROR((VLOOKUP($A5727,HeadJournal!$A$1:$L$890,COLUMN(HeadJournal!L$1),0)*($K5727+$L5727)/(SUMIF($A:$A,$A5727,$K:$K)+SUMIF($A:$A,$A5727,$L:$L)))/VLOOKUP($A5727,HeadJournal!$A$1:$L$890,COLUMN(HeadJournal!H$1),0),0)</f>
        <v>3.2855633952738552</v>
      </c>
      <c r="P5727" s="30">
        <f>IFERROR(SUM(K5727:O5727)*VLOOKUP($A5727,HeadJournal!$A$1:$L$890,COLUMN(HeadJournal!H$1),0),0)</f>
        <v>6401.2141146146132</v>
      </c>
      <c r="Q5727" s="29">
        <v>7600</v>
      </c>
      <c r="R5727" s="31">
        <v>46135</v>
      </c>
      <c r="S5727" s="31" t="s">
        <v>3475</v>
      </c>
      <c r="T5727" s="95" t="str">
        <f t="shared" si="424"/>
        <v>2026 04</v>
      </c>
      <c r="U5727" s="32">
        <f t="shared" si="425"/>
        <v>1198.7858853853868</v>
      </c>
      <c r="V5727" s="22">
        <f t="shared" si="426"/>
        <v>0.18727476755517966</v>
      </c>
      <c r="X5727" s="33"/>
      <c r="Y5727" s="33"/>
    </row>
    <row r="5728" spans="1:25" x14ac:dyDescent="0.2">
      <c r="A5728" s="93" t="s">
        <v>5629</v>
      </c>
      <c r="B5728" s="94">
        <f>IFERROR(VLOOKUP($A5728,HeadJournal!$A$1:$NTR$890,COLUMN(HeadJournal!B$1),0),"")</f>
        <v>0</v>
      </c>
      <c r="C5728" s="94" t="str">
        <f>IFERROR(VLOOKUP($A5728,HeadJournal!$A$1:$NTR$890,COLUMN(HeadJournal!C$1),0),"")</f>
        <v>iHerb_OA CZN6870</v>
      </c>
      <c r="D5728" s="125" t="str">
        <f>IFERROR(VLOOKUP($A5728,HeadJournal!$A$1:$NTR$890,COLUMN(HeadJournal!D$1),0),"")</f>
        <v>Доставлен</v>
      </c>
      <c r="E5728" s="95">
        <f>IFERROR(VLOOKUP($A5728,HeadJournal!$A$1:$NTR$890,COLUMN(HeadJournal!G$1),0),"")</f>
        <v>46112</v>
      </c>
      <c r="F5728" s="95" t="str">
        <f t="shared" si="423"/>
        <v>2026 03</v>
      </c>
      <c r="G5728" s="97" t="s">
        <v>5</v>
      </c>
      <c r="H5728" s="161" t="s">
        <v>2984</v>
      </c>
      <c r="I5728" s="97" t="s">
        <v>2218</v>
      </c>
      <c r="J5728" s="97" t="s">
        <v>2985</v>
      </c>
      <c r="K5728" s="29">
        <v>10.58</v>
      </c>
      <c r="L5728" s="29">
        <v>-1.06</v>
      </c>
      <c r="M5728" s="30">
        <f>IFERROR(VLOOKUP($A5728,HeadJournal!$A$1:$J$890,COLUMN(HeadJournal!I$1),0)*($K5728+$L5728)/(SUMIF($A:$A,$A5728,$K:$K)+SUMIF($A:$A,$A5728,$L:$L)),0)</f>
        <v>-0.40071671671671666</v>
      </c>
      <c r="N5728" s="30">
        <f>IFERROR((VLOOKUP($A5728,HeadJournal!$A$1:$K$890,COLUMN(HeadJournal!K$1),0)-VLOOKUP($A5728,HeadJournal!$A$1:$K$890,COLUMN(HeadJournal!J$1),0))*($K5728+$L5728)/(SUMIF($A:$A,$A5728,$K:$K)+SUMIF($A:$A,$A5728,$L:$L)),0)</f>
        <v>-1.3542275964837144E-15</v>
      </c>
      <c r="O5728" s="30">
        <f>IFERROR((VLOOKUP($A5728,HeadJournal!$A$1:$L$890,COLUMN(HeadJournal!L$1),0)*($K5728+$L5728)/(SUMIF($A:$A,$A5728,$K:$K)+SUMIF($A:$A,$A5728,$L:$L)))/VLOOKUP($A5728,HeadJournal!$A$1:$L$890,COLUMN(HeadJournal!H$1),0),0)</f>
        <v>0.4544321302194842</v>
      </c>
      <c r="P5728" s="30">
        <f>IFERROR(SUM(K5728:O5728)*VLOOKUP($A5728,HeadJournal!$A$1:$L$890,COLUMN(HeadJournal!H$1),0),0)</f>
        <v>885.36333533533514</v>
      </c>
      <c r="Q5728" s="29">
        <v>1500</v>
      </c>
      <c r="R5728" s="31">
        <v>46162</v>
      </c>
      <c r="S5728" s="31" t="s">
        <v>4969</v>
      </c>
      <c r="T5728" s="95" t="str">
        <f t="shared" si="424"/>
        <v>2026 05</v>
      </c>
      <c r="U5728" s="32">
        <f t="shared" si="425"/>
        <v>614.63666466466486</v>
      </c>
      <c r="V5728" s="22">
        <f t="shared" si="426"/>
        <v>0.69421969504968106</v>
      </c>
      <c r="X5728" s="33"/>
      <c r="Y5728" s="33"/>
    </row>
    <row r="5729" spans="1:25" x14ac:dyDescent="0.2">
      <c r="A5729" s="93" t="s">
        <v>5629</v>
      </c>
      <c r="B5729" s="94">
        <f>IFERROR(VLOOKUP($A5729,HeadJournal!$A$1:$NTR$890,COLUMN(HeadJournal!B$1),0),"")</f>
        <v>0</v>
      </c>
      <c r="C5729" s="94" t="str">
        <f>IFERROR(VLOOKUP($A5729,HeadJournal!$A$1:$NTR$890,COLUMN(HeadJournal!C$1),0),"")</f>
        <v>iHerb_OA CZN6870</v>
      </c>
      <c r="D5729" s="125" t="str">
        <f>IFERROR(VLOOKUP($A5729,HeadJournal!$A$1:$NTR$890,COLUMN(HeadJournal!D$1),0),"")</f>
        <v>Доставлен</v>
      </c>
      <c r="E5729" s="95">
        <f>IFERROR(VLOOKUP($A5729,HeadJournal!$A$1:$NTR$890,COLUMN(HeadJournal!G$1),0),"")</f>
        <v>46112</v>
      </c>
      <c r="F5729" s="95" t="str">
        <f t="shared" si="423"/>
        <v>2026 03</v>
      </c>
      <c r="G5729" s="97" t="s">
        <v>5</v>
      </c>
      <c r="H5729" s="161" t="s">
        <v>5485</v>
      </c>
      <c r="I5729" s="97" t="s">
        <v>2750</v>
      </c>
      <c r="J5729" s="97" t="s">
        <v>5486</v>
      </c>
      <c r="K5729" s="29">
        <v>20.34</v>
      </c>
      <c r="L5729" s="29">
        <v>-2.0299999999999998</v>
      </c>
      <c r="M5729" s="30">
        <f>IFERROR(VLOOKUP($A5729,HeadJournal!$A$1:$J$890,COLUMN(HeadJournal!I$1),0)*($K5729+$L5729)/(SUMIF($A:$A,$A5729,$K:$K)+SUMIF($A:$A,$A5729,$L:$L)),0)</f>
        <v>-0.77070620620620611</v>
      </c>
      <c r="N5729" s="30">
        <f>IFERROR((VLOOKUP($A5729,HeadJournal!$A$1:$K$890,COLUMN(HeadJournal!K$1),0)-VLOOKUP($A5729,HeadJournal!$A$1:$K$890,COLUMN(HeadJournal!J$1),0))*($K5729+$L5729)/(SUMIF($A:$A,$A5729,$K:$K)+SUMIF($A:$A,$A5729,$L:$L)),0)</f>
        <v>-2.6046121104639503E-15</v>
      </c>
      <c r="O5729" s="30">
        <f>IFERROR((VLOOKUP($A5729,HeadJournal!$A$1:$L$890,COLUMN(HeadJournal!L$1),0)*($K5729+$L5729)/(SUMIF($A:$A,$A5729,$K:$K)+SUMIF($A:$A,$A5729,$L:$L)))/VLOOKUP($A5729,HeadJournal!$A$1:$L$890,COLUMN(HeadJournal!H$1),0),0)</f>
        <v>0.87401809919314655</v>
      </c>
      <c r="P5729" s="30">
        <f>IFERROR(SUM(K5729:O5729)*VLOOKUP($A5729,HeadJournal!$A$1:$L$890,COLUMN(HeadJournal!H$1),0),0)</f>
        <v>1702.8364149149147</v>
      </c>
      <c r="Q5729" s="29">
        <v>2500</v>
      </c>
      <c r="R5729" s="31">
        <v>46135</v>
      </c>
      <c r="S5729" s="31" t="s">
        <v>3226</v>
      </c>
      <c r="T5729" s="95" t="str">
        <f t="shared" si="424"/>
        <v>2026 04</v>
      </c>
      <c r="U5729" s="32">
        <f t="shared" si="425"/>
        <v>797.16358508508529</v>
      </c>
      <c r="V5729" s="22">
        <f t="shared" si="426"/>
        <v>0.46813867621272182</v>
      </c>
      <c r="X5729" s="33"/>
      <c r="Y5729" s="33"/>
    </row>
    <row r="5730" spans="1:25" x14ac:dyDescent="0.2">
      <c r="A5730" s="93" t="s">
        <v>5631</v>
      </c>
      <c r="B5730" s="94">
        <f>IFERROR(VLOOKUP($A5730,HeadJournal!$A$1:$NTR$890,COLUMN(HeadJournal!B$1),0),"")</f>
        <v>0</v>
      </c>
      <c r="C5730" s="94" t="str">
        <f>IFERROR(VLOOKUP($A5730,HeadJournal!$A$1:$NTR$890,COLUMN(HeadJournal!C$1),0),"")</f>
        <v>iHerb_AV CYG0792</v>
      </c>
      <c r="D5730" s="125" t="str">
        <f>IFERROR(VLOOKUP($A5730,HeadJournal!$A$1:$NTR$890,COLUMN(HeadJournal!D$1),0),"")</f>
        <v>Доставлен</v>
      </c>
      <c r="E5730" s="95">
        <f>IFERROR(VLOOKUP($A5730,HeadJournal!$A$1:$NTR$890,COLUMN(HeadJournal!G$1),0),"")</f>
        <v>46105</v>
      </c>
      <c r="F5730" s="95" t="str">
        <f t="shared" si="423"/>
        <v>2026 03</v>
      </c>
      <c r="G5730" s="97" t="s">
        <v>5</v>
      </c>
      <c r="H5730" s="161" t="s">
        <v>2016</v>
      </c>
      <c r="I5730" s="97" t="s">
        <v>2005</v>
      </c>
      <c r="J5730" s="97" t="s">
        <v>2017</v>
      </c>
      <c r="K5730" s="29">
        <v>41.53</v>
      </c>
      <c r="L5730" s="29">
        <v>-8.31</v>
      </c>
      <c r="M5730" s="30">
        <f>IFERROR(VLOOKUP($A5730,HeadJournal!$A$1:$J$890,COLUMN(HeadJournal!I$1),0)*($K5730+$L5730)/(SUMIF($A:$A,$A5730,$K:$K)+SUMIF($A:$A,$A5730,$L:$L)),0)</f>
        <v>-3.1045951092403286</v>
      </c>
      <c r="N5730" s="30">
        <f>IFERROR((VLOOKUP($A5730,HeadJournal!$A$1:$K$890,COLUMN(HeadJournal!K$1),0)-VLOOKUP($A5730,HeadJournal!$A$1:$K$890,COLUMN(HeadJournal!J$1),0))*($K5730+$L5730)/(SUMIF($A:$A,$A5730,$K:$K)+SUMIF($A:$A,$A5730,$L:$L)),0)</f>
        <v>4.7312546967228963E-15</v>
      </c>
      <c r="O5730" s="30">
        <f>IFERROR((VLOOKUP($A5730,HeadJournal!$A$1:$L$890,COLUMN(HeadJournal!L$1),0)*($K5730+$L5730)/(SUMIF($A:$A,$A5730,$K:$K)+SUMIF($A:$A,$A5730,$L:$L)))/VLOOKUP($A5730,HeadJournal!$A$1:$L$890,COLUMN(HeadJournal!H$1),0),0)</f>
        <v>1.5348967373879405</v>
      </c>
      <c r="P5730" s="30">
        <f>IFERROR(SUM(K5730:O5730)*VLOOKUP($A5730,HeadJournal!$A$1:$L$890,COLUMN(HeadJournal!H$1),0),0)</f>
        <v>3027.5645279615155</v>
      </c>
      <c r="Q5730" s="29">
        <v>4400</v>
      </c>
      <c r="R5730" s="31">
        <v>46141</v>
      </c>
      <c r="S5730" s="31" t="s">
        <v>3252</v>
      </c>
      <c r="T5730" s="95" t="str">
        <f t="shared" si="424"/>
        <v>2026 04</v>
      </c>
      <c r="U5730" s="32">
        <f t="shared" si="425"/>
        <v>1372.4354720384845</v>
      </c>
      <c r="V5730" s="22">
        <f t="shared" si="426"/>
        <v>0.45331336767991426</v>
      </c>
      <c r="X5730" s="33"/>
      <c r="Y5730" s="33"/>
    </row>
    <row r="5731" spans="1:25" x14ac:dyDescent="0.2">
      <c r="A5731" s="93" t="s">
        <v>5631</v>
      </c>
      <c r="B5731" s="94">
        <f>IFERROR(VLOOKUP($A5731,HeadJournal!$A$1:$NTR$890,COLUMN(HeadJournal!B$1),0),"")</f>
        <v>0</v>
      </c>
      <c r="C5731" s="94" t="str">
        <f>IFERROR(VLOOKUP($A5731,HeadJournal!$A$1:$NTR$890,COLUMN(HeadJournal!C$1),0),"")</f>
        <v>iHerb_AV CYG0792</v>
      </c>
      <c r="D5731" s="125" t="str">
        <f>IFERROR(VLOOKUP($A5731,HeadJournal!$A$1:$NTR$890,COLUMN(HeadJournal!D$1),0),"")</f>
        <v>Доставлен</v>
      </c>
      <c r="E5731" s="95">
        <f>IFERROR(VLOOKUP($A5731,HeadJournal!$A$1:$NTR$890,COLUMN(HeadJournal!G$1),0),"")</f>
        <v>46105</v>
      </c>
      <c r="F5731" s="95" t="str">
        <f t="shared" si="423"/>
        <v>2026 03</v>
      </c>
      <c r="G5731" s="97" t="s">
        <v>7</v>
      </c>
      <c r="H5731" s="161" t="s">
        <v>2673</v>
      </c>
      <c r="I5731" s="97" t="s">
        <v>2674</v>
      </c>
      <c r="J5731" s="97" t="s">
        <v>2675</v>
      </c>
      <c r="K5731" s="29">
        <v>10.94</v>
      </c>
      <c r="L5731" s="29">
        <v>-2.19</v>
      </c>
      <c r="M5731" s="30">
        <f>IFERROR(VLOOKUP($A5731,HeadJournal!$A$1:$J$890,COLUMN(HeadJournal!I$1),0)*($K5731+$L5731)/(SUMIF($A:$A,$A5731,$K:$K)+SUMIF($A:$A,$A5731,$L:$L)),0)</f>
        <v>-0.81773652034475852</v>
      </c>
      <c r="N5731" s="30">
        <f>IFERROR((VLOOKUP($A5731,HeadJournal!$A$1:$K$890,COLUMN(HeadJournal!K$1),0)-VLOOKUP($A5731,HeadJournal!$A$1:$K$890,COLUMN(HeadJournal!J$1),0))*($K5731+$L5731)/(SUMIF($A:$A,$A5731,$K:$K)+SUMIF($A:$A,$A5731,$L:$L)),0)</f>
        <v>1.2461914086792699E-15</v>
      </c>
      <c r="O5731" s="30">
        <f>IFERROR((VLOOKUP($A5731,HeadJournal!$A$1:$L$890,COLUMN(HeadJournal!L$1),0)*($K5731+$L5731)/(SUMIF($A:$A,$A5731,$K:$K)+SUMIF($A:$A,$A5731,$L:$L)))/VLOOKUP($A5731,HeadJournal!$A$1:$L$890,COLUMN(HeadJournal!H$1),0),0)</f>
        <v>0.40428496243661893</v>
      </c>
      <c r="P5731" s="30">
        <f>IFERROR(SUM(K5731:O5731)*VLOOKUP($A5731,HeadJournal!$A$1:$L$890,COLUMN(HeadJournal!H$1),0),0)</f>
        <v>797.4470084185208</v>
      </c>
      <c r="Q5731" s="29"/>
      <c r="R5731" s="31"/>
      <c r="S5731" s="31"/>
      <c r="T5731" s="95" t="str">
        <f t="shared" si="424"/>
        <v/>
      </c>
      <c r="U5731" s="32">
        <f t="shared" si="425"/>
        <v>-797.4470084185208</v>
      </c>
      <c r="V5731" s="22" t="str">
        <f t="shared" si="426"/>
        <v/>
      </c>
      <c r="X5731" s="33"/>
      <c r="Y5731" s="33"/>
    </row>
    <row r="5732" spans="1:25" x14ac:dyDescent="0.2">
      <c r="A5732" s="93" t="s">
        <v>5631</v>
      </c>
      <c r="B5732" s="94">
        <f>IFERROR(VLOOKUP($A5732,HeadJournal!$A$1:$NTR$890,COLUMN(HeadJournal!B$1),0),"")</f>
        <v>0</v>
      </c>
      <c r="C5732" s="94" t="str">
        <f>IFERROR(VLOOKUP($A5732,HeadJournal!$A$1:$NTR$890,COLUMN(HeadJournal!C$1),0),"")</f>
        <v>iHerb_AV CYG0792</v>
      </c>
      <c r="D5732" s="125" t="str">
        <f>IFERROR(VLOOKUP($A5732,HeadJournal!$A$1:$NTR$890,COLUMN(HeadJournal!D$1),0),"")</f>
        <v>Доставлен</v>
      </c>
      <c r="E5732" s="95">
        <f>IFERROR(VLOOKUP($A5732,HeadJournal!$A$1:$NTR$890,COLUMN(HeadJournal!G$1),0),"")</f>
        <v>46105</v>
      </c>
      <c r="F5732" s="95" t="str">
        <f t="shared" si="423"/>
        <v>2026 03</v>
      </c>
      <c r="G5732" s="97" t="s">
        <v>5</v>
      </c>
      <c r="H5732" s="161" t="s">
        <v>2614</v>
      </c>
      <c r="I5732" s="97" t="s">
        <v>2005</v>
      </c>
      <c r="J5732" s="97" t="s">
        <v>5630</v>
      </c>
      <c r="K5732" s="29">
        <v>5.77</v>
      </c>
      <c r="L5732" s="29">
        <v>-1.1533333333333333</v>
      </c>
      <c r="M5732" s="30">
        <f>IFERROR(VLOOKUP($A5732,HeadJournal!$A$1:$J$890,COLUMN(HeadJournal!I$1),0)*($K5732+$L5732)/(SUMIF($A:$A,$A5732,$K:$K)+SUMIF($A:$A,$A5732,$L:$L)),0)</f>
        <v>-0.43145336406761536</v>
      </c>
      <c r="N5732" s="30">
        <f>IFERROR((VLOOKUP($A5732,HeadJournal!$A$1:$K$890,COLUMN(HeadJournal!K$1),0)-VLOOKUP($A5732,HeadJournal!$A$1:$K$890,COLUMN(HeadJournal!J$1),0))*($K5732+$L5732)/(SUMIF($A:$A,$A5732,$K:$K)+SUMIF($A:$A,$A5732,$L:$L)),0)</f>
        <v>6.5751432419839566E-16</v>
      </c>
      <c r="O5732" s="30">
        <f>IFERROR((VLOOKUP($A5732,HeadJournal!$A$1:$L$890,COLUMN(HeadJournal!L$1),0)*($K5732+$L5732)/(SUMIF($A:$A,$A5732,$K:$K)+SUMIF($A:$A,$A5732,$L:$L)))/VLOOKUP($A5732,HeadJournal!$A$1:$L$890,COLUMN(HeadJournal!H$1),0),0)</f>
        <v>0.21330844684751132</v>
      </c>
      <c r="P5732" s="30">
        <f>IFERROR(SUM(K5732:O5732)*VLOOKUP($A5732,HeadJournal!$A$1:$L$890,COLUMN(HeadJournal!H$1),0),0)</f>
        <v>420.74823110843863</v>
      </c>
      <c r="Q5732" s="29"/>
      <c r="R5732" s="31"/>
      <c r="S5732" s="31"/>
      <c r="T5732" s="95" t="str">
        <f t="shared" si="424"/>
        <v/>
      </c>
      <c r="U5732" s="32">
        <f t="shared" si="425"/>
        <v>-420.74823110843863</v>
      </c>
      <c r="V5732" s="22" t="str">
        <f t="shared" si="426"/>
        <v/>
      </c>
      <c r="X5732" s="33"/>
      <c r="Y5732" s="33"/>
    </row>
    <row r="5733" spans="1:25" x14ac:dyDescent="0.2">
      <c r="A5733" s="93" t="s">
        <v>5631</v>
      </c>
      <c r="B5733" s="94">
        <f>IFERROR(VLOOKUP($A5733,HeadJournal!$A$1:$NTR$890,COLUMN(HeadJournal!B$1),0),"")</f>
        <v>0</v>
      </c>
      <c r="C5733" s="94" t="str">
        <f>IFERROR(VLOOKUP($A5733,HeadJournal!$A$1:$NTR$890,COLUMN(HeadJournal!C$1),0),"")</f>
        <v>iHerb_AV CYG0792</v>
      </c>
      <c r="D5733" s="125" t="str">
        <f>IFERROR(VLOOKUP($A5733,HeadJournal!$A$1:$NTR$890,COLUMN(HeadJournal!D$1),0),"")</f>
        <v>Доставлен</v>
      </c>
      <c r="E5733" s="95">
        <f>IFERROR(VLOOKUP($A5733,HeadJournal!$A$1:$NTR$890,COLUMN(HeadJournal!G$1),0),"")</f>
        <v>46105</v>
      </c>
      <c r="F5733" s="95" t="str">
        <f t="shared" si="423"/>
        <v>2026 03</v>
      </c>
      <c r="G5733" s="97" t="s">
        <v>5</v>
      </c>
      <c r="H5733" s="161" t="s">
        <v>2614</v>
      </c>
      <c r="I5733" s="97" t="s">
        <v>2005</v>
      </c>
      <c r="J5733" s="97" t="s">
        <v>5630</v>
      </c>
      <c r="K5733" s="29">
        <v>5.77</v>
      </c>
      <c r="L5733" s="29">
        <v>-1.1533333333333333</v>
      </c>
      <c r="M5733" s="30">
        <f>IFERROR(VLOOKUP($A5733,HeadJournal!$A$1:$J$890,COLUMN(HeadJournal!I$1),0)*($K5733+$L5733)/(SUMIF($A:$A,$A5733,$K:$K)+SUMIF($A:$A,$A5733,$L:$L)),0)</f>
        <v>-0.43145336406761536</v>
      </c>
      <c r="N5733" s="30">
        <f>IFERROR((VLOOKUP($A5733,HeadJournal!$A$1:$K$890,COLUMN(HeadJournal!K$1),0)-VLOOKUP($A5733,HeadJournal!$A$1:$K$890,COLUMN(HeadJournal!J$1),0))*($K5733+$L5733)/(SUMIF($A:$A,$A5733,$K:$K)+SUMIF($A:$A,$A5733,$L:$L)),0)</f>
        <v>6.5751432419839566E-16</v>
      </c>
      <c r="O5733" s="30">
        <f>IFERROR((VLOOKUP($A5733,HeadJournal!$A$1:$L$890,COLUMN(HeadJournal!L$1),0)*($K5733+$L5733)/(SUMIF($A:$A,$A5733,$K:$K)+SUMIF($A:$A,$A5733,$L:$L)))/VLOOKUP($A5733,HeadJournal!$A$1:$L$890,COLUMN(HeadJournal!H$1),0),0)</f>
        <v>0.21330844684751132</v>
      </c>
      <c r="P5733" s="30">
        <f>IFERROR(SUM(K5733:O5733)*VLOOKUP($A5733,HeadJournal!$A$1:$L$890,COLUMN(HeadJournal!H$1),0),0)</f>
        <v>420.74823110843863</v>
      </c>
      <c r="Q5733" s="29"/>
      <c r="R5733" s="31"/>
      <c r="S5733" s="31"/>
      <c r="T5733" s="95" t="str">
        <f t="shared" si="424"/>
        <v/>
      </c>
      <c r="U5733" s="32">
        <f t="shared" si="425"/>
        <v>-420.74823110843863</v>
      </c>
      <c r="V5733" s="22" t="str">
        <f t="shared" si="426"/>
        <v/>
      </c>
      <c r="X5733" s="33"/>
      <c r="Y5733" s="33"/>
    </row>
    <row r="5734" spans="1:25" x14ac:dyDescent="0.2">
      <c r="A5734" s="93" t="s">
        <v>5631</v>
      </c>
      <c r="B5734" s="94">
        <f>IFERROR(VLOOKUP($A5734,HeadJournal!$A$1:$NTR$890,COLUMN(HeadJournal!B$1),0),"")</f>
        <v>0</v>
      </c>
      <c r="C5734" s="94" t="str">
        <f>IFERROR(VLOOKUP($A5734,HeadJournal!$A$1:$NTR$890,COLUMN(HeadJournal!C$1),0),"")</f>
        <v>iHerb_AV CYG0792</v>
      </c>
      <c r="D5734" s="125" t="str">
        <f>IFERROR(VLOOKUP($A5734,HeadJournal!$A$1:$NTR$890,COLUMN(HeadJournal!D$1),0),"")</f>
        <v>Доставлен</v>
      </c>
      <c r="E5734" s="95">
        <f>IFERROR(VLOOKUP($A5734,HeadJournal!$A$1:$NTR$890,COLUMN(HeadJournal!G$1),0),"")</f>
        <v>46105</v>
      </c>
      <c r="F5734" s="95" t="str">
        <f t="shared" si="423"/>
        <v>2026 03</v>
      </c>
      <c r="G5734" s="97" t="s">
        <v>5</v>
      </c>
      <c r="H5734" s="161" t="s">
        <v>2614</v>
      </c>
      <c r="I5734" s="97" t="s">
        <v>2005</v>
      </c>
      <c r="J5734" s="97" t="s">
        <v>5630</v>
      </c>
      <c r="K5734" s="29">
        <v>5.77</v>
      </c>
      <c r="L5734" s="29">
        <v>-1.1533333333333333</v>
      </c>
      <c r="M5734" s="30">
        <f>IFERROR(VLOOKUP($A5734,HeadJournal!$A$1:$J$890,COLUMN(HeadJournal!I$1),0)*($K5734+$L5734)/(SUMIF($A:$A,$A5734,$K:$K)+SUMIF($A:$A,$A5734,$L:$L)),0)</f>
        <v>-0.43145336406761536</v>
      </c>
      <c r="N5734" s="30">
        <f>IFERROR((VLOOKUP($A5734,HeadJournal!$A$1:$K$890,COLUMN(HeadJournal!K$1),0)-VLOOKUP($A5734,HeadJournal!$A$1:$K$890,COLUMN(HeadJournal!J$1),0))*($K5734+$L5734)/(SUMIF($A:$A,$A5734,$K:$K)+SUMIF($A:$A,$A5734,$L:$L)),0)</f>
        <v>6.5751432419839566E-16</v>
      </c>
      <c r="O5734" s="30">
        <f>IFERROR((VLOOKUP($A5734,HeadJournal!$A$1:$L$890,COLUMN(HeadJournal!L$1),0)*($K5734+$L5734)/(SUMIF($A:$A,$A5734,$K:$K)+SUMIF($A:$A,$A5734,$L:$L)))/VLOOKUP($A5734,HeadJournal!$A$1:$L$890,COLUMN(HeadJournal!H$1),0),0)</f>
        <v>0.21330844684751132</v>
      </c>
      <c r="P5734" s="30">
        <f>IFERROR(SUM(K5734:O5734)*VLOOKUP($A5734,HeadJournal!$A$1:$L$890,COLUMN(HeadJournal!H$1),0),0)</f>
        <v>420.74823110843863</v>
      </c>
      <c r="Q5734" s="29"/>
      <c r="R5734" s="31"/>
      <c r="S5734" s="31"/>
      <c r="T5734" s="95" t="str">
        <f t="shared" si="424"/>
        <v/>
      </c>
      <c r="U5734" s="32">
        <f t="shared" si="425"/>
        <v>-420.74823110843863</v>
      </c>
      <c r="V5734" s="22" t="str">
        <f t="shared" si="426"/>
        <v/>
      </c>
      <c r="X5734" s="33"/>
      <c r="Y5734" s="33"/>
    </row>
    <row r="5735" spans="1:25" x14ac:dyDescent="0.2">
      <c r="A5735" s="93" t="s">
        <v>5631</v>
      </c>
      <c r="B5735" s="94">
        <f>IFERROR(VLOOKUP($A5735,HeadJournal!$A$1:$NTR$890,COLUMN(HeadJournal!B$1),0),"")</f>
        <v>0</v>
      </c>
      <c r="C5735" s="94" t="str">
        <f>IFERROR(VLOOKUP($A5735,HeadJournal!$A$1:$NTR$890,COLUMN(HeadJournal!C$1),0),"")</f>
        <v>iHerb_AV CYG0792</v>
      </c>
      <c r="D5735" s="125" t="str">
        <f>IFERROR(VLOOKUP($A5735,HeadJournal!$A$1:$NTR$890,COLUMN(HeadJournal!D$1),0),"")</f>
        <v>Доставлен</v>
      </c>
      <c r="E5735" s="95">
        <f>IFERROR(VLOOKUP($A5735,HeadJournal!$A$1:$NTR$890,COLUMN(HeadJournal!G$1),0),"")</f>
        <v>46105</v>
      </c>
      <c r="F5735" s="95" t="str">
        <f t="shared" si="423"/>
        <v>2026 03</v>
      </c>
      <c r="G5735" s="97" t="s">
        <v>5</v>
      </c>
      <c r="H5735" s="161" t="s">
        <v>2027</v>
      </c>
      <c r="I5735" s="97" t="s">
        <v>2005</v>
      </c>
      <c r="J5735" s="97" t="s">
        <v>5191</v>
      </c>
      <c r="K5735" s="29">
        <v>8.35</v>
      </c>
      <c r="L5735" s="29">
        <v>-1.67</v>
      </c>
      <c r="M5735" s="30">
        <f>IFERROR(VLOOKUP($A5735,HeadJournal!$A$1:$J$890,COLUMN(HeadJournal!I$1),0)*($K5735+$L5735)/(SUMIF($A:$A,$A5735,$K:$K)+SUMIF($A:$A,$A5735,$L:$L)),0)</f>
        <v>-0.62428342353176991</v>
      </c>
      <c r="N5735" s="30">
        <f>IFERROR((VLOOKUP($A5735,HeadJournal!$A$1:$K$890,COLUMN(HeadJournal!K$1),0)-VLOOKUP($A5735,HeadJournal!$A$1:$K$890,COLUMN(HeadJournal!J$1),0))*($K5735+$L5735)/(SUMIF($A:$A,$A5735,$K:$K)+SUMIF($A:$A,$A5735,$L:$L)),0)</f>
        <v>9.5137812685457396E-16</v>
      </c>
      <c r="O5735" s="30">
        <f>IFERROR((VLOOKUP($A5735,HeadJournal!$A$1:$L$890,COLUMN(HeadJournal!L$1),0)*($K5735+$L5735)/(SUMIF($A:$A,$A5735,$K:$K)+SUMIF($A:$A,$A5735,$L:$L)))/VLOOKUP($A5735,HeadJournal!$A$1:$L$890,COLUMN(HeadJournal!H$1),0),0)</f>
        <v>0.30864269132304162</v>
      </c>
      <c r="P5735" s="30">
        <f>IFERROR(SUM(K5735:O5735)*VLOOKUP($A5735,HeadJournal!$A$1:$L$890,COLUMN(HeadJournal!H$1),0),0)</f>
        <v>608.79383042693928</v>
      </c>
      <c r="Q5735" s="29">
        <v>1300</v>
      </c>
      <c r="R5735" s="31">
        <v>46137</v>
      </c>
      <c r="S5735" s="31" t="s">
        <v>3282</v>
      </c>
      <c r="T5735" s="95" t="str">
        <f t="shared" si="424"/>
        <v>2026 04</v>
      </c>
      <c r="U5735" s="32">
        <f t="shared" si="425"/>
        <v>691.20616957306072</v>
      </c>
      <c r="V5735" s="22">
        <f t="shared" si="426"/>
        <v>1.1353698658350837</v>
      </c>
      <c r="X5735" s="33"/>
      <c r="Y5735" s="33"/>
    </row>
    <row r="5736" spans="1:25" x14ac:dyDescent="0.2">
      <c r="A5736" s="93" t="s">
        <v>5631</v>
      </c>
      <c r="B5736" s="94">
        <f>IFERROR(VLOOKUP($A5736,HeadJournal!$A$1:$NTR$890,COLUMN(HeadJournal!B$1),0),"")</f>
        <v>0</v>
      </c>
      <c r="C5736" s="94" t="str">
        <f>IFERROR(VLOOKUP($A5736,HeadJournal!$A$1:$NTR$890,COLUMN(HeadJournal!C$1),0),"")</f>
        <v>iHerb_AV CYG0792</v>
      </c>
      <c r="D5736" s="125" t="str">
        <f>IFERROR(VLOOKUP($A5736,HeadJournal!$A$1:$NTR$890,COLUMN(HeadJournal!D$1),0),"")</f>
        <v>Доставлен</v>
      </c>
      <c r="E5736" s="95">
        <f>IFERROR(VLOOKUP($A5736,HeadJournal!$A$1:$NTR$890,COLUMN(HeadJournal!G$1),0),"")</f>
        <v>46105</v>
      </c>
      <c r="F5736" s="95" t="str">
        <f t="shared" si="423"/>
        <v>2026 03</v>
      </c>
      <c r="G5736" s="97" t="s">
        <v>5</v>
      </c>
      <c r="H5736" s="161" t="s">
        <v>3628</v>
      </c>
      <c r="I5736" s="97" t="s">
        <v>3670</v>
      </c>
      <c r="J5736" s="97" t="s">
        <v>5183</v>
      </c>
      <c r="K5736" s="29">
        <v>22.98</v>
      </c>
      <c r="L5736" s="29">
        <v>-4.5999999999999996</v>
      </c>
      <c r="M5736" s="30">
        <f>IFERROR(VLOOKUP($A5736,HeadJournal!$A$1:$J$890,COLUMN(HeadJournal!I$1),0)*($K5736+$L5736)/(SUMIF($A:$A,$A5736,$K:$K)+SUMIF($A:$A,$A5736,$L:$L)),0)</f>
        <v>-1.7177139707356188</v>
      </c>
      <c r="N5736" s="30">
        <f>IFERROR((VLOOKUP($A5736,HeadJournal!$A$1:$K$890,COLUMN(HeadJournal!K$1),0)-VLOOKUP($A5736,HeadJournal!$A$1:$K$890,COLUMN(HeadJournal!J$1),0))*($K5736+$L5736)/(SUMIF($A:$A,$A5736,$K:$K)+SUMIF($A:$A,$A5736,$L:$L)),0)</f>
        <v>2.6177140676028554E-15</v>
      </c>
      <c r="O5736" s="30">
        <f>IFERROR((VLOOKUP($A5736,HeadJournal!$A$1:$L$890,COLUMN(HeadJournal!L$1),0)*($K5736+$L5736)/(SUMIF($A:$A,$A5736,$K:$K)+SUMIF($A:$A,$A5736,$L:$L)))/VLOOKUP($A5736,HeadJournal!$A$1:$L$890,COLUMN(HeadJournal!H$1),0),0)</f>
        <v>0.84922944109543508</v>
      </c>
      <c r="P5736" s="30">
        <f>IFERROR(SUM(K5736:O5736)*VLOOKUP($A5736,HeadJournal!$A$1:$L$890,COLUMN(HeadJournal!H$1),0),0)</f>
        <v>1675.0944016837045</v>
      </c>
      <c r="Q5736" s="29">
        <v>2700</v>
      </c>
      <c r="R5736" s="31">
        <v>46136</v>
      </c>
      <c r="S5736" s="31"/>
      <c r="T5736" s="95" t="str">
        <f t="shared" si="424"/>
        <v>2026 04</v>
      </c>
      <c r="U5736" s="32">
        <f t="shared" si="425"/>
        <v>1024.9055983162955</v>
      </c>
      <c r="V5736" s="22">
        <f t="shared" si="426"/>
        <v>0.6118494559387947</v>
      </c>
      <c r="X5736" s="33"/>
      <c r="Y5736" s="33"/>
    </row>
    <row r="5737" spans="1:25" x14ac:dyDescent="0.2">
      <c r="A5737" s="93" t="s">
        <v>5631</v>
      </c>
      <c r="B5737" s="94">
        <f>IFERROR(VLOOKUP($A5737,HeadJournal!$A$1:$NTR$890,COLUMN(HeadJournal!B$1),0),"")</f>
        <v>0</v>
      </c>
      <c r="C5737" s="94" t="str">
        <f>IFERROR(VLOOKUP($A5737,HeadJournal!$A$1:$NTR$890,COLUMN(HeadJournal!C$1),0),"")</f>
        <v>iHerb_AV CYG0792</v>
      </c>
      <c r="D5737" s="125" t="str">
        <f>IFERROR(VLOOKUP($A5737,HeadJournal!$A$1:$NTR$890,COLUMN(HeadJournal!D$1),0),"")</f>
        <v>Доставлен</v>
      </c>
      <c r="E5737" s="95">
        <f>IFERROR(VLOOKUP($A5737,HeadJournal!$A$1:$NTR$890,COLUMN(HeadJournal!G$1),0),"")</f>
        <v>46105</v>
      </c>
      <c r="F5737" s="95" t="str">
        <f t="shared" si="423"/>
        <v>2026 03</v>
      </c>
      <c r="G5737" s="97" t="s">
        <v>5</v>
      </c>
      <c r="H5737" s="161" t="s">
        <v>2076</v>
      </c>
      <c r="I5737" s="97" t="s">
        <v>2005</v>
      </c>
      <c r="J5737" s="97" t="s">
        <v>5515</v>
      </c>
      <c r="K5737" s="29">
        <v>22.51</v>
      </c>
      <c r="L5737" s="29">
        <v>-4.5</v>
      </c>
      <c r="M5737" s="30">
        <f>IFERROR(VLOOKUP($A5737,HeadJournal!$A$1:$J$890,COLUMN(HeadJournal!I$1),0)*($K5737+$L5737)/(SUMIF($A:$A,$A5737,$K:$K)+SUMIF($A:$A,$A5737,$L:$L)),0)</f>
        <v>-1.6831353978753261</v>
      </c>
      <c r="N5737" s="30">
        <f>IFERROR((VLOOKUP($A5737,HeadJournal!$A$1:$K$890,COLUMN(HeadJournal!K$1),0)-VLOOKUP($A5737,HeadJournal!$A$1:$K$890,COLUMN(HeadJournal!J$1),0))*($K5737+$L5737)/(SUMIF($A:$A,$A5737,$K:$K)+SUMIF($A:$A,$A5737,$L:$L)),0)</f>
        <v>2.5650179737501315E-15</v>
      </c>
      <c r="O5737" s="30">
        <f>IFERROR((VLOOKUP($A5737,HeadJournal!$A$1:$L$890,COLUMN(HeadJournal!L$1),0)*($K5737+$L5737)/(SUMIF($A:$A,$A5737,$K:$K)+SUMIF($A:$A,$A5737,$L:$L)))/VLOOKUP($A5737,HeadJournal!$A$1:$L$890,COLUMN(HeadJournal!H$1),0),0)</f>
        <v>0.83213396268382944</v>
      </c>
      <c r="P5737" s="30">
        <f>IFERROR(SUM(K5737:O5737)*VLOOKUP($A5737,HeadJournal!$A$1:$L$890,COLUMN(HeadJournal!H$1),0),0)</f>
        <v>1641.3737853277216</v>
      </c>
      <c r="Q5737" s="29">
        <v>2400</v>
      </c>
      <c r="R5737" s="31">
        <v>46170</v>
      </c>
      <c r="S5737" s="31" t="s">
        <v>3206</v>
      </c>
      <c r="T5737" s="95" t="str">
        <f t="shared" si="424"/>
        <v>2026 05</v>
      </c>
      <c r="U5737" s="32">
        <f t="shared" si="425"/>
        <v>758.62621467227837</v>
      </c>
      <c r="V5737" s="22">
        <f t="shared" si="426"/>
        <v>0.4621897958001131</v>
      </c>
      <c r="X5737" s="33"/>
      <c r="Y5737" s="33"/>
    </row>
    <row r="5738" spans="1:25" x14ac:dyDescent="0.2">
      <c r="A5738" s="93" t="s">
        <v>5631</v>
      </c>
      <c r="B5738" s="94">
        <f>IFERROR(VLOOKUP($A5738,HeadJournal!$A$1:$NTR$890,COLUMN(HeadJournal!B$1),0),"")</f>
        <v>0</v>
      </c>
      <c r="C5738" s="94" t="str">
        <f>IFERROR(VLOOKUP($A5738,HeadJournal!$A$1:$NTR$890,COLUMN(HeadJournal!C$1),0),"")</f>
        <v>iHerb_AV CYG0792</v>
      </c>
      <c r="D5738" s="125" t="str">
        <f>IFERROR(VLOOKUP($A5738,HeadJournal!$A$1:$NTR$890,COLUMN(HeadJournal!D$1),0),"")</f>
        <v>Доставлен</v>
      </c>
      <c r="E5738" s="95">
        <f>IFERROR(VLOOKUP($A5738,HeadJournal!$A$1:$NTR$890,COLUMN(HeadJournal!G$1),0),"")</f>
        <v>46105</v>
      </c>
      <c r="F5738" s="95" t="str">
        <f t="shared" si="423"/>
        <v>2026 03</v>
      </c>
      <c r="G5738" s="97" t="s">
        <v>5</v>
      </c>
      <c r="H5738" s="161" t="s">
        <v>5487</v>
      </c>
      <c r="I5738" s="97" t="s">
        <v>5380</v>
      </c>
      <c r="J5738" s="97" t="s">
        <v>5488</v>
      </c>
      <c r="K5738" s="29">
        <v>26.83</v>
      </c>
      <c r="L5738" s="29">
        <v>-5.37</v>
      </c>
      <c r="M5738" s="30">
        <f>IFERROR(VLOOKUP($A5738,HeadJournal!$A$1:$J$890,COLUMN(HeadJournal!I$1),0)*($K5738+$L5738)/(SUMIF($A:$A,$A5738,$K:$K)+SUMIF($A:$A,$A5738,$L:$L)),0)</f>
        <v>-2.0055572258969732</v>
      </c>
      <c r="N5738" s="30">
        <f>IFERROR((VLOOKUP($A5738,HeadJournal!$A$1:$K$890,COLUMN(HeadJournal!K$1),0)-VLOOKUP($A5738,HeadJournal!$A$1:$K$890,COLUMN(HeadJournal!J$1),0))*($K5738+$L5738)/(SUMIF($A:$A,$A5738,$K:$K)+SUMIF($A:$A,$A5738,$L:$L)),0)</f>
        <v>3.0563734434579574E-15</v>
      </c>
      <c r="O5738" s="30">
        <f>IFERROR((VLOOKUP($A5738,HeadJournal!$A$1:$L$890,COLUMN(HeadJournal!L$1),0)*($K5738+$L5738)/(SUMIF($A:$A,$A5738,$K:$K)+SUMIF($A:$A,$A5738,$L:$L)))/VLOOKUP($A5738,HeadJournal!$A$1:$L$890,COLUMN(HeadJournal!H$1),0),0)</f>
        <v>0.99153774787312465</v>
      </c>
      <c r="P5738" s="30">
        <f>IFERROR(SUM(K5738:O5738)*VLOOKUP($A5738,HeadJournal!$A$1:$L$890,COLUMN(HeadJournal!H$1),0),0)</f>
        <v>1955.7957486470236</v>
      </c>
      <c r="Q5738" s="29">
        <v>3100</v>
      </c>
      <c r="R5738" s="31">
        <v>46135</v>
      </c>
      <c r="S5738" s="31" t="s">
        <v>3475</v>
      </c>
      <c r="T5738" s="95" t="str">
        <f t="shared" si="424"/>
        <v>2026 04</v>
      </c>
      <c r="U5738" s="32">
        <f t="shared" si="425"/>
        <v>1144.2042513529764</v>
      </c>
      <c r="V5738" s="22">
        <f t="shared" si="426"/>
        <v>0.58503258949433323</v>
      </c>
      <c r="X5738" s="33"/>
      <c r="Y5738" s="33"/>
    </row>
    <row r="5739" spans="1:25" x14ac:dyDescent="0.2">
      <c r="A5739" s="93" t="s">
        <v>5631</v>
      </c>
      <c r="B5739" s="94">
        <f>IFERROR(VLOOKUP($A5739,HeadJournal!$A$1:$NTR$890,COLUMN(HeadJournal!B$1),0),"")</f>
        <v>0</v>
      </c>
      <c r="C5739" s="94" t="str">
        <f>IFERROR(VLOOKUP($A5739,HeadJournal!$A$1:$NTR$890,COLUMN(HeadJournal!C$1),0),"")</f>
        <v>iHerb_AV CYG0792</v>
      </c>
      <c r="D5739" s="125" t="str">
        <f>IFERROR(VLOOKUP($A5739,HeadJournal!$A$1:$NTR$890,COLUMN(HeadJournal!D$1),0),"")</f>
        <v>Доставлен</v>
      </c>
      <c r="E5739" s="95">
        <f>IFERROR(VLOOKUP($A5739,HeadJournal!$A$1:$NTR$890,COLUMN(HeadJournal!G$1),0),"")</f>
        <v>46105</v>
      </c>
      <c r="F5739" s="95" t="str">
        <f t="shared" si="423"/>
        <v>2026 03</v>
      </c>
      <c r="G5739" s="97" t="s">
        <v>5</v>
      </c>
      <c r="H5739" s="161" t="s">
        <v>2101</v>
      </c>
      <c r="I5739" s="97" t="s">
        <v>2102</v>
      </c>
      <c r="J5739" s="97" t="s">
        <v>4015</v>
      </c>
      <c r="K5739" s="29">
        <v>49.39</v>
      </c>
      <c r="L5739" s="29">
        <v>-9.8800000000000008</v>
      </c>
      <c r="M5739" s="30">
        <f>IFERROR(VLOOKUP($A5739,HeadJournal!$A$1:$J$890,COLUMN(HeadJournal!I$1),0)*($K5739+$L5739)/(SUMIF($A:$A,$A5739,$K:$K)+SUMIF($A:$A,$A5739,$L:$L)),0)</f>
        <v>-3.6924308478653036</v>
      </c>
      <c r="N5739" s="30">
        <f>IFERROR((VLOOKUP($A5739,HeadJournal!$A$1:$K$890,COLUMN(HeadJournal!K$1),0)-VLOOKUP($A5739,HeadJournal!$A$1:$K$890,COLUMN(HeadJournal!J$1),0))*($K5739+$L5739)/(SUMIF($A:$A,$A5739,$K:$K)+SUMIF($A:$A,$A5739,$L:$L)),0)</f>
        <v>5.6270882922191943E-15</v>
      </c>
      <c r="O5739" s="30">
        <f>IFERROR((VLOOKUP($A5739,HeadJournal!$A$1:$L$890,COLUMN(HeadJournal!L$1),0)*($K5739+$L5739)/(SUMIF($A:$A,$A5739,$K:$K)+SUMIF($A:$A,$A5739,$L:$L)))/VLOOKUP($A5739,HeadJournal!$A$1:$L$890,COLUMN(HeadJournal!H$1),0),0)</f>
        <v>1.8255198703852358</v>
      </c>
      <c r="P5739" s="30">
        <f>IFERROR(SUM(K5739:O5739)*VLOOKUP($A5739,HeadJournal!$A$1:$L$890,COLUMN(HeadJournal!H$1),0),0)</f>
        <v>3600.8150060132298</v>
      </c>
      <c r="Q5739" s="29"/>
      <c r="R5739" s="31"/>
      <c r="S5739" s="31"/>
      <c r="T5739" s="95" t="str">
        <f t="shared" si="424"/>
        <v/>
      </c>
      <c r="U5739" s="32">
        <f t="shared" si="425"/>
        <v>-3600.8150060132298</v>
      </c>
      <c r="V5739" s="22" t="str">
        <f t="shared" si="426"/>
        <v/>
      </c>
      <c r="X5739" s="33"/>
      <c r="Y5739" s="33"/>
    </row>
    <row r="5740" spans="1:25" x14ac:dyDescent="0.2">
      <c r="A5740" s="93" t="s">
        <v>5631</v>
      </c>
      <c r="B5740" s="94">
        <f>IFERROR(VLOOKUP($A5740,HeadJournal!$A$1:$NTR$890,COLUMN(HeadJournal!B$1),0),"")</f>
        <v>0</v>
      </c>
      <c r="C5740" s="94" t="str">
        <f>IFERROR(VLOOKUP($A5740,HeadJournal!$A$1:$NTR$890,COLUMN(HeadJournal!C$1),0),"")</f>
        <v>iHerb_AV CYG0792</v>
      </c>
      <c r="D5740" s="125" t="str">
        <f>IFERROR(VLOOKUP($A5740,HeadJournal!$A$1:$NTR$890,COLUMN(HeadJournal!D$1),0),"")</f>
        <v>Доставлен</v>
      </c>
      <c r="E5740" s="95">
        <f>IFERROR(VLOOKUP($A5740,HeadJournal!$A$1:$NTR$890,COLUMN(HeadJournal!G$1),0),"")</f>
        <v>46105</v>
      </c>
      <c r="F5740" s="95" t="str">
        <f t="shared" si="423"/>
        <v>2026 03</v>
      </c>
      <c r="G5740" s="97" t="s">
        <v>5</v>
      </c>
      <c r="H5740" s="161" t="s">
        <v>2624</v>
      </c>
      <c r="I5740" s="97" t="s">
        <v>2005</v>
      </c>
      <c r="J5740" s="97" t="s">
        <v>5611</v>
      </c>
      <c r="K5740" s="29">
        <v>24.81</v>
      </c>
      <c r="L5740" s="29">
        <v>-4.96</v>
      </c>
      <c r="M5740" s="30">
        <f>IFERROR(VLOOKUP($A5740,HeadJournal!$A$1:$J$890,COLUMN(HeadJournal!I$1),0)*($K5740+$L5740)/(SUMIF($A:$A,$A5740,$K:$K)+SUMIF($A:$A,$A5740,$L:$L)),0)</f>
        <v>-1.8550937061535377</v>
      </c>
      <c r="N5740" s="30">
        <f>IFERROR((VLOOKUP($A5740,HeadJournal!$A$1:$K$890,COLUMN(HeadJournal!K$1),0)-VLOOKUP($A5740,HeadJournal!$A$1:$K$890,COLUMN(HeadJournal!J$1),0))*($K5740+$L5740)/(SUMIF($A:$A,$A5740,$K:$K)+SUMIF($A:$A,$A5740,$L:$L)),0)</f>
        <v>2.8270742242609719E-15</v>
      </c>
      <c r="O5740" s="30">
        <f>IFERROR((VLOOKUP($A5740,HeadJournal!$A$1:$L$890,COLUMN(HeadJournal!L$1),0)*($K5740+$L5740)/(SUMIF($A:$A,$A5740,$K:$K)+SUMIF($A:$A,$A5740,$L:$L)))/VLOOKUP($A5740,HeadJournal!$A$1:$L$890,COLUMN(HeadJournal!H$1),0),0)</f>
        <v>0.91714931478478678</v>
      </c>
      <c r="P5740" s="30">
        <f>IFERROR(SUM(K5740:O5740)*VLOOKUP($A5740,HeadJournal!$A$1:$L$890,COLUMN(HeadJournal!H$1),0),0)</f>
        <v>1809.0654990980156</v>
      </c>
      <c r="Q5740" s="29">
        <v>3000</v>
      </c>
      <c r="R5740" s="31">
        <v>46137</v>
      </c>
      <c r="S5740" s="31" t="s">
        <v>3282</v>
      </c>
      <c r="T5740" s="95" t="str">
        <f t="shared" si="424"/>
        <v>2026 04</v>
      </c>
      <c r="U5740" s="32">
        <f t="shared" si="425"/>
        <v>1190.9345009019844</v>
      </c>
      <c r="V5740" s="22">
        <f t="shared" si="426"/>
        <v>0.65831474951889468</v>
      </c>
      <c r="X5740" s="33"/>
      <c r="Y5740" s="33"/>
    </row>
    <row r="5741" spans="1:25" x14ac:dyDescent="0.2">
      <c r="A5741" s="93" t="s">
        <v>5631</v>
      </c>
      <c r="B5741" s="94">
        <f>IFERROR(VLOOKUP($A5741,HeadJournal!$A$1:$NTR$890,COLUMN(HeadJournal!B$1),0),"")</f>
        <v>0</v>
      </c>
      <c r="C5741" s="94" t="str">
        <f>IFERROR(VLOOKUP($A5741,HeadJournal!$A$1:$NTR$890,COLUMN(HeadJournal!C$1),0),"")</f>
        <v>iHerb_AV CYG0792</v>
      </c>
      <c r="D5741" s="125" t="str">
        <f>IFERROR(VLOOKUP($A5741,HeadJournal!$A$1:$NTR$890,COLUMN(HeadJournal!D$1),0),"")</f>
        <v>Доставлен</v>
      </c>
      <c r="E5741" s="95">
        <f>IFERROR(VLOOKUP($A5741,HeadJournal!$A$1:$NTR$890,COLUMN(HeadJournal!G$1),0),"")</f>
        <v>46105</v>
      </c>
      <c r="F5741" s="95" t="str">
        <f t="shared" si="423"/>
        <v>2026 03</v>
      </c>
      <c r="G5741" s="97" t="s">
        <v>5</v>
      </c>
      <c r="H5741" s="161" t="s">
        <v>2624</v>
      </c>
      <c r="I5741" s="97" t="s">
        <v>2005</v>
      </c>
      <c r="J5741" s="97" t="s">
        <v>5611</v>
      </c>
      <c r="K5741" s="29">
        <v>24.81</v>
      </c>
      <c r="L5741" s="29">
        <v>-4.96</v>
      </c>
      <c r="M5741" s="30">
        <f>IFERROR(VLOOKUP($A5741,HeadJournal!$A$1:$J$890,COLUMN(HeadJournal!I$1),0)*($K5741+$L5741)/(SUMIF($A:$A,$A5741,$K:$K)+SUMIF($A:$A,$A5741,$L:$L)),0)</f>
        <v>-1.8550937061535377</v>
      </c>
      <c r="N5741" s="30">
        <f>IFERROR((VLOOKUP($A5741,HeadJournal!$A$1:$K$890,COLUMN(HeadJournal!K$1),0)-VLOOKUP($A5741,HeadJournal!$A$1:$K$890,COLUMN(HeadJournal!J$1),0))*($K5741+$L5741)/(SUMIF($A:$A,$A5741,$K:$K)+SUMIF($A:$A,$A5741,$L:$L)),0)</f>
        <v>2.8270742242609719E-15</v>
      </c>
      <c r="O5741" s="30">
        <f>IFERROR((VLOOKUP($A5741,HeadJournal!$A$1:$L$890,COLUMN(HeadJournal!L$1),0)*($K5741+$L5741)/(SUMIF($A:$A,$A5741,$K:$K)+SUMIF($A:$A,$A5741,$L:$L)))/VLOOKUP($A5741,HeadJournal!$A$1:$L$890,COLUMN(HeadJournal!H$1),0),0)</f>
        <v>0.91714931478478678</v>
      </c>
      <c r="P5741" s="30">
        <f>IFERROR(SUM(K5741:O5741)*VLOOKUP($A5741,HeadJournal!$A$1:$L$890,COLUMN(HeadJournal!H$1),0),0)</f>
        <v>1809.0654990980156</v>
      </c>
      <c r="Q5741" s="29">
        <v>3000</v>
      </c>
      <c r="R5741" s="31">
        <v>46145</v>
      </c>
      <c r="S5741" s="31" t="s">
        <v>4533</v>
      </c>
      <c r="T5741" s="95" t="str">
        <f t="shared" si="424"/>
        <v>2026 05</v>
      </c>
      <c r="U5741" s="32">
        <f t="shared" si="425"/>
        <v>1190.9345009019844</v>
      </c>
      <c r="V5741" s="22">
        <f t="shared" si="426"/>
        <v>0.65831474951889468</v>
      </c>
      <c r="X5741" s="33"/>
      <c r="Y5741" s="33"/>
    </row>
    <row r="5742" spans="1:25" x14ac:dyDescent="0.2">
      <c r="A5742" s="93" t="s">
        <v>1870</v>
      </c>
      <c r="B5742" s="94">
        <f>IFERROR(VLOOKUP($A5742,HeadJournal!$A$1:$NTR$890,COLUMN(HeadJournal!B$1),0),"")</f>
        <v>0</v>
      </c>
      <c r="C5742" s="94" t="str">
        <f>IFERROR(VLOOKUP($A5742,HeadJournal!$A$1:$NTR$890,COLUMN(HeadJournal!C$1),0),"")</f>
        <v>OZON_OA</v>
      </c>
      <c r="D5742" s="125" t="str">
        <f>IFERROR(VLOOKUP($A5742,HeadJournal!$A$1:$NTR$890,COLUMN(HeadJournal!D$1),0),"")</f>
        <v>Доставлен</v>
      </c>
      <c r="E5742" s="95">
        <f>IFERROR(VLOOKUP($A5742,HeadJournal!$A$1:$NTR$890,COLUMN(HeadJournal!G$1),0),"")</f>
        <v>46113</v>
      </c>
      <c r="F5742" s="95" t="str">
        <f t="shared" si="423"/>
        <v>2026 04</v>
      </c>
      <c r="G5742" s="97" t="s">
        <v>5</v>
      </c>
      <c r="H5742" s="161" t="s">
        <v>2280</v>
      </c>
      <c r="I5742" s="97" t="s">
        <v>2281</v>
      </c>
      <c r="J5742" s="97" t="s">
        <v>737</v>
      </c>
      <c r="K5742" s="29">
        <v>985</v>
      </c>
      <c r="L5742" s="29">
        <v>0</v>
      </c>
      <c r="M5742" s="30">
        <f>IFERROR(VLOOKUP($A5742,HeadJournal!$A$1:$J$890,COLUMN(HeadJournal!I$1),0)*($K5742+$L5742)/(SUMIF($A:$A,$A5742,$K:$K)+SUMIF($A:$A,$A5742,$L:$L)),0)</f>
        <v>0</v>
      </c>
      <c r="N5742" s="30">
        <f>IFERROR((VLOOKUP($A5742,HeadJournal!$A$1:$K$890,COLUMN(HeadJournal!K$1),0)-VLOOKUP($A5742,HeadJournal!$A$1:$K$890,COLUMN(HeadJournal!J$1),0))*($K5742+$L5742)/(SUMIF($A:$A,$A5742,$K:$K)+SUMIF($A:$A,$A5742,$L:$L)),0)</f>
        <v>0</v>
      </c>
      <c r="O5742" s="30">
        <f>IFERROR((VLOOKUP($A5742,HeadJournal!$A$1:$L$890,COLUMN(HeadJournal!L$1),0)*($K5742+$L5742)/(SUMIF($A:$A,$A5742,$K:$K)+SUMIF($A:$A,$A5742,$L:$L)))/VLOOKUP($A5742,HeadJournal!$A$1:$L$890,COLUMN(HeadJournal!H$1),0),0)</f>
        <v>0</v>
      </c>
      <c r="P5742" s="30">
        <f>IFERROR(SUM(K5742:O5742)*VLOOKUP($A5742,HeadJournal!$A$1:$L$890,COLUMN(HeadJournal!H$1),0),0)</f>
        <v>985</v>
      </c>
      <c r="Q5742" s="29">
        <v>2000</v>
      </c>
      <c r="R5742" s="31">
        <v>46118</v>
      </c>
      <c r="S5742" s="31" t="s">
        <v>4613</v>
      </c>
      <c r="T5742" s="95" t="str">
        <f t="shared" si="424"/>
        <v>2026 04</v>
      </c>
      <c r="U5742" s="32">
        <f t="shared" si="425"/>
        <v>1015</v>
      </c>
      <c r="V5742" s="22">
        <f t="shared" si="426"/>
        <v>1.0304568527918783</v>
      </c>
      <c r="X5742" s="33"/>
      <c r="Y5742" s="33"/>
    </row>
    <row r="5743" spans="1:25" x14ac:dyDescent="0.2">
      <c r="A5743" s="93" t="s">
        <v>5632</v>
      </c>
      <c r="B5743" s="94">
        <f>IFERROR(VLOOKUP($A5743,HeadJournal!$A$1:$NTR$890,COLUMN(HeadJournal!B$1),0),"")</f>
        <v>0</v>
      </c>
      <c r="C5743" s="94" t="str">
        <f>IFERROR(VLOOKUP($A5743,HeadJournal!$A$1:$NTR$890,COLUMN(HeadJournal!C$1),0),"")</f>
        <v>OZON_OA</v>
      </c>
      <c r="D5743" s="125" t="str">
        <f>IFERROR(VLOOKUP($A5743,HeadJournal!$A$1:$NTR$890,COLUMN(HeadJournal!D$1),0),"")</f>
        <v>Доставлен</v>
      </c>
      <c r="E5743" s="95">
        <f>IFERROR(VLOOKUP($A5743,HeadJournal!$A$1:$NTR$890,COLUMN(HeadJournal!G$1),0),"")</f>
        <v>46117</v>
      </c>
      <c r="F5743" s="95" t="str">
        <f t="shared" si="423"/>
        <v>2026 04</v>
      </c>
      <c r="G5743" s="97" t="s">
        <v>7</v>
      </c>
      <c r="H5743" s="161" t="s">
        <v>5635</v>
      </c>
      <c r="I5743" s="97" t="s">
        <v>2553</v>
      </c>
      <c r="J5743" s="97" t="s">
        <v>5636</v>
      </c>
      <c r="K5743" s="29">
        <v>707</v>
      </c>
      <c r="L5743" s="29">
        <v>0</v>
      </c>
      <c r="M5743" s="30">
        <f>IFERROR(VLOOKUP($A5743,HeadJournal!$A$1:$J$890,COLUMN(HeadJournal!I$1),0)*($K5743+$L5743)/(SUMIF($A:$A,$A5743,$K:$K)+SUMIF($A:$A,$A5743,$L:$L)),0)</f>
        <v>0</v>
      </c>
      <c r="N5743" s="30">
        <f>IFERROR((VLOOKUP($A5743,HeadJournal!$A$1:$K$890,COLUMN(HeadJournal!K$1),0)-VLOOKUP($A5743,HeadJournal!$A$1:$K$890,COLUMN(HeadJournal!J$1),0))*($K5743+$L5743)/(SUMIF($A:$A,$A5743,$K:$K)+SUMIF($A:$A,$A5743,$L:$L)),0)</f>
        <v>0</v>
      </c>
      <c r="O5743" s="30">
        <f>IFERROR((VLOOKUP($A5743,HeadJournal!$A$1:$L$890,COLUMN(HeadJournal!L$1),0)*($K5743+$L5743)/(SUMIF($A:$A,$A5743,$K:$K)+SUMIF($A:$A,$A5743,$L:$L)))/VLOOKUP($A5743,HeadJournal!$A$1:$L$890,COLUMN(HeadJournal!H$1),0),0)</f>
        <v>0</v>
      </c>
      <c r="P5743" s="30">
        <f>IFERROR(SUM(K5743:O5743)*VLOOKUP($A5743,HeadJournal!$A$1:$L$890,COLUMN(HeadJournal!H$1),0),0)</f>
        <v>707</v>
      </c>
      <c r="Q5743" s="29">
        <v>1200</v>
      </c>
      <c r="R5743" s="31">
        <v>46135</v>
      </c>
      <c r="S5743" s="31"/>
      <c r="T5743" s="95" t="str">
        <f t="shared" si="424"/>
        <v>2026 04</v>
      </c>
      <c r="U5743" s="32">
        <f t="shared" si="425"/>
        <v>493</v>
      </c>
      <c r="V5743" s="22">
        <f t="shared" si="426"/>
        <v>0.6973125884016973</v>
      </c>
      <c r="X5743" s="33"/>
      <c r="Y5743" s="33"/>
    </row>
    <row r="5744" spans="1:25" x14ac:dyDescent="0.2">
      <c r="A5744" s="93" t="s">
        <v>5633</v>
      </c>
      <c r="B5744" s="94">
        <f>IFERROR(VLOOKUP($A5744,HeadJournal!$A$1:$NTR$890,COLUMN(HeadJournal!B$1),0),"")</f>
        <v>0</v>
      </c>
      <c r="C5744" s="94" t="str">
        <f>IFERROR(VLOOKUP($A5744,HeadJournal!$A$1:$NTR$890,COLUMN(HeadJournal!C$1),0),"")</f>
        <v>OZON_OA</v>
      </c>
      <c r="D5744" s="125" t="str">
        <f>IFERROR(VLOOKUP($A5744,HeadJournal!$A$1:$NTR$890,COLUMN(HeadJournal!D$1),0),"")</f>
        <v>Доставлен</v>
      </c>
      <c r="E5744" s="95">
        <f>IFERROR(VLOOKUP($A5744,HeadJournal!$A$1:$NTR$890,COLUMN(HeadJournal!G$1),0),"")</f>
        <v>46117</v>
      </c>
      <c r="F5744" s="95" t="str">
        <f t="shared" si="423"/>
        <v>2026 04</v>
      </c>
      <c r="G5744" s="97" t="s">
        <v>5</v>
      </c>
      <c r="H5744" s="161" t="s">
        <v>2614</v>
      </c>
      <c r="I5744" s="97" t="s">
        <v>2005</v>
      </c>
      <c r="J5744" s="97" t="s">
        <v>5630</v>
      </c>
      <c r="K5744" s="29">
        <v>741</v>
      </c>
      <c r="L5744" s="29">
        <v>0</v>
      </c>
      <c r="M5744" s="30">
        <f>IFERROR(VLOOKUP($A5744,HeadJournal!$A$1:$J$890,COLUMN(HeadJournal!I$1),0)*($K5744+$L5744)/(SUMIF($A:$A,$A5744,$K:$K)+SUMIF($A:$A,$A5744,$L:$L)),0)</f>
        <v>0</v>
      </c>
      <c r="N5744" s="30">
        <f>IFERROR((VLOOKUP($A5744,HeadJournal!$A$1:$K$890,COLUMN(HeadJournal!K$1),0)-VLOOKUP($A5744,HeadJournal!$A$1:$K$890,COLUMN(HeadJournal!J$1),0))*($K5744+$L5744)/(SUMIF($A:$A,$A5744,$K:$K)+SUMIF($A:$A,$A5744,$L:$L)),0)</f>
        <v>0</v>
      </c>
      <c r="O5744" s="30">
        <f>IFERROR((VLOOKUP($A5744,HeadJournal!$A$1:$L$890,COLUMN(HeadJournal!L$1),0)*($K5744+$L5744)/(SUMIF($A:$A,$A5744,$K:$K)+SUMIF($A:$A,$A5744,$L:$L)))/VLOOKUP($A5744,HeadJournal!$A$1:$L$890,COLUMN(HeadJournal!H$1),0),0)</f>
        <v>0</v>
      </c>
      <c r="P5744" s="30">
        <f>IFERROR(SUM(K5744:O5744)*VLOOKUP($A5744,HeadJournal!$A$1:$L$890,COLUMN(HeadJournal!H$1),0),0)</f>
        <v>741</v>
      </c>
      <c r="Q5744" s="29">
        <v>1100</v>
      </c>
      <c r="R5744" s="31">
        <v>46118</v>
      </c>
      <c r="S5744" s="31"/>
      <c r="T5744" s="95" t="str">
        <f t="shared" si="424"/>
        <v>2026 04</v>
      </c>
      <c r="U5744" s="32">
        <f t="shared" si="425"/>
        <v>359</v>
      </c>
      <c r="V5744" s="22">
        <f t="shared" si="426"/>
        <v>0.48448043184885292</v>
      </c>
      <c r="X5744" s="33"/>
      <c r="Y5744" s="33"/>
    </row>
    <row r="5745" spans="1:25" x14ac:dyDescent="0.2">
      <c r="A5745" s="93" t="s">
        <v>5633</v>
      </c>
      <c r="B5745" s="94">
        <f>IFERROR(VLOOKUP($A5745,HeadJournal!$A$1:$NTR$890,COLUMN(HeadJournal!B$1),0),"")</f>
        <v>0</v>
      </c>
      <c r="C5745" s="94" t="str">
        <f>IFERROR(VLOOKUP($A5745,HeadJournal!$A$1:$NTR$890,COLUMN(HeadJournal!C$1),0),"")</f>
        <v>OZON_OA</v>
      </c>
      <c r="D5745" s="125" t="str">
        <f>IFERROR(VLOOKUP($A5745,HeadJournal!$A$1:$NTR$890,COLUMN(HeadJournal!D$1),0),"")</f>
        <v>Доставлен</v>
      </c>
      <c r="E5745" s="95">
        <f>IFERROR(VLOOKUP($A5745,HeadJournal!$A$1:$NTR$890,COLUMN(HeadJournal!G$1),0),"")</f>
        <v>46117</v>
      </c>
      <c r="F5745" s="95" t="str">
        <f t="shared" si="423"/>
        <v>2026 04</v>
      </c>
      <c r="G5745" s="97" t="s">
        <v>5</v>
      </c>
      <c r="H5745" s="161" t="s">
        <v>2614</v>
      </c>
      <c r="I5745" s="97" t="s">
        <v>2005</v>
      </c>
      <c r="J5745" s="97" t="s">
        <v>5630</v>
      </c>
      <c r="K5745" s="29">
        <v>741</v>
      </c>
      <c r="L5745" s="29">
        <v>0</v>
      </c>
      <c r="M5745" s="30">
        <f>IFERROR(VLOOKUP($A5745,HeadJournal!$A$1:$J$890,COLUMN(HeadJournal!I$1),0)*($K5745+$L5745)/(SUMIF($A:$A,$A5745,$K:$K)+SUMIF($A:$A,$A5745,$L:$L)),0)</f>
        <v>0</v>
      </c>
      <c r="N5745" s="30">
        <f>IFERROR((VLOOKUP($A5745,HeadJournal!$A$1:$K$890,COLUMN(HeadJournal!K$1),0)-VLOOKUP($A5745,HeadJournal!$A$1:$K$890,COLUMN(HeadJournal!J$1),0))*($K5745+$L5745)/(SUMIF($A:$A,$A5745,$K:$K)+SUMIF($A:$A,$A5745,$L:$L)),0)</f>
        <v>0</v>
      </c>
      <c r="O5745" s="30">
        <f>IFERROR((VLOOKUP($A5745,HeadJournal!$A$1:$L$890,COLUMN(HeadJournal!L$1),0)*($K5745+$L5745)/(SUMIF($A:$A,$A5745,$K:$K)+SUMIF($A:$A,$A5745,$L:$L)))/VLOOKUP($A5745,HeadJournal!$A$1:$L$890,COLUMN(HeadJournal!H$1),0),0)</f>
        <v>0</v>
      </c>
      <c r="P5745" s="30">
        <f>IFERROR(SUM(K5745:O5745)*VLOOKUP($A5745,HeadJournal!$A$1:$L$890,COLUMN(HeadJournal!H$1),0),0)</f>
        <v>741</v>
      </c>
      <c r="Q5745" s="29">
        <v>1100</v>
      </c>
      <c r="R5745" s="31">
        <v>46118</v>
      </c>
      <c r="S5745" s="31"/>
      <c r="T5745" s="95" t="str">
        <f t="shared" si="424"/>
        <v>2026 04</v>
      </c>
      <c r="U5745" s="32">
        <f t="shared" si="425"/>
        <v>359</v>
      </c>
      <c r="V5745" s="22">
        <f t="shared" si="426"/>
        <v>0.48448043184885292</v>
      </c>
      <c r="X5745" s="33"/>
      <c r="Y5745" s="33"/>
    </row>
    <row r="5746" spans="1:25" x14ac:dyDescent="0.2">
      <c r="A5746" s="93" t="s">
        <v>5637</v>
      </c>
      <c r="B5746" s="94">
        <f>IFERROR(VLOOKUP($A5746,HeadJournal!$A$1:$NTR$890,COLUMN(HeadJournal!B$1),0),"")</f>
        <v>0</v>
      </c>
      <c r="C5746" s="94" t="str">
        <f>IFERROR(VLOOKUP($A5746,HeadJournal!$A$1:$NTR$890,COLUMN(HeadJournal!C$1),0),"")</f>
        <v>OZON_OA</v>
      </c>
      <c r="D5746" s="125" t="str">
        <f>IFERROR(VLOOKUP($A5746,HeadJournal!$A$1:$NTR$890,COLUMN(HeadJournal!D$1),0),"")</f>
        <v>Доставлен</v>
      </c>
      <c r="E5746" s="95">
        <f>IFERROR(VLOOKUP($A5746,HeadJournal!$A$1:$NTR$890,COLUMN(HeadJournal!G$1),0),"")</f>
        <v>46122</v>
      </c>
      <c r="F5746" s="95" t="str">
        <f t="shared" si="423"/>
        <v>2026 04</v>
      </c>
      <c r="G5746" s="97" t="s">
        <v>5</v>
      </c>
      <c r="H5746" s="161" t="s">
        <v>2280</v>
      </c>
      <c r="I5746" s="97" t="s">
        <v>2281</v>
      </c>
      <c r="J5746" s="97" t="s">
        <v>737</v>
      </c>
      <c r="K5746" s="29">
        <v>1034</v>
      </c>
      <c r="L5746" s="29">
        <v>0</v>
      </c>
      <c r="M5746" s="30">
        <f>IFERROR(VLOOKUP($A5746,HeadJournal!$A$1:$J$890,COLUMN(HeadJournal!I$1),0)*($K5746+$L5746)/(SUMIF($A:$A,$A5746,$K:$K)+SUMIF($A:$A,$A5746,$L:$L)),0)</f>
        <v>0</v>
      </c>
      <c r="N5746" s="30">
        <f>IFERROR((VLOOKUP($A5746,HeadJournal!$A$1:$K$890,COLUMN(HeadJournal!K$1),0)-VLOOKUP($A5746,HeadJournal!$A$1:$K$890,COLUMN(HeadJournal!J$1),0))*($K5746+$L5746)/(SUMIF($A:$A,$A5746,$K:$K)+SUMIF($A:$A,$A5746,$L:$L)),0)</f>
        <v>0</v>
      </c>
      <c r="O5746" s="30">
        <f>IFERROR((VLOOKUP($A5746,HeadJournal!$A$1:$L$890,COLUMN(HeadJournal!L$1),0)*($K5746+$L5746)/(SUMIF($A:$A,$A5746,$K:$K)+SUMIF($A:$A,$A5746,$L:$L)))/VLOOKUP($A5746,HeadJournal!$A$1:$L$890,COLUMN(HeadJournal!H$1),0),0)</f>
        <v>0</v>
      </c>
      <c r="P5746" s="30">
        <f>IFERROR(SUM(K5746:O5746)*VLOOKUP($A5746,HeadJournal!$A$1:$L$890,COLUMN(HeadJournal!H$1),0),0)</f>
        <v>1034</v>
      </c>
      <c r="Q5746" s="29">
        <v>2000</v>
      </c>
      <c r="R5746" s="31">
        <v>46122</v>
      </c>
      <c r="S5746" s="31" t="s">
        <v>4911</v>
      </c>
      <c r="T5746" s="95" t="str">
        <f t="shared" si="424"/>
        <v>2026 04</v>
      </c>
      <c r="U5746" s="32">
        <f t="shared" si="425"/>
        <v>966</v>
      </c>
      <c r="V5746" s="22">
        <f t="shared" si="426"/>
        <v>0.93423597678916825</v>
      </c>
      <c r="X5746" s="33"/>
      <c r="Y5746" s="33"/>
    </row>
    <row r="5747" spans="1:25" x14ac:dyDescent="0.2">
      <c r="A5747" s="93" t="s">
        <v>5637</v>
      </c>
      <c r="B5747" s="94">
        <f>IFERROR(VLOOKUP($A5747,HeadJournal!$A$1:$NTR$890,COLUMN(HeadJournal!B$1),0),"")</f>
        <v>0</v>
      </c>
      <c r="C5747" s="94" t="str">
        <f>IFERROR(VLOOKUP($A5747,HeadJournal!$A$1:$NTR$890,COLUMN(HeadJournal!C$1),0),"")</f>
        <v>OZON_OA</v>
      </c>
      <c r="D5747" s="125" t="str">
        <f>IFERROR(VLOOKUP($A5747,HeadJournal!$A$1:$NTR$890,COLUMN(HeadJournal!D$1),0),"")</f>
        <v>Доставлен</v>
      </c>
      <c r="E5747" s="95">
        <f>IFERROR(VLOOKUP($A5747,HeadJournal!$A$1:$NTR$890,COLUMN(HeadJournal!G$1),0),"")</f>
        <v>46122</v>
      </c>
      <c r="F5747" s="95" t="str">
        <f t="shared" si="423"/>
        <v>2026 04</v>
      </c>
      <c r="G5747" s="97" t="s">
        <v>5</v>
      </c>
      <c r="H5747" s="161" t="s">
        <v>2280</v>
      </c>
      <c r="I5747" s="97" t="s">
        <v>2281</v>
      </c>
      <c r="J5747" s="97" t="s">
        <v>737</v>
      </c>
      <c r="K5747" s="29">
        <v>1010</v>
      </c>
      <c r="L5747" s="29">
        <v>0</v>
      </c>
      <c r="M5747" s="30">
        <f>IFERROR(VLOOKUP($A5747,HeadJournal!$A$1:$J$890,COLUMN(HeadJournal!I$1),0)*($K5747+$L5747)/(SUMIF($A:$A,$A5747,$K:$K)+SUMIF($A:$A,$A5747,$L:$L)),0)</f>
        <v>0</v>
      </c>
      <c r="N5747" s="30">
        <f>IFERROR((VLOOKUP($A5747,HeadJournal!$A$1:$K$890,COLUMN(HeadJournal!K$1),0)-VLOOKUP($A5747,HeadJournal!$A$1:$K$890,COLUMN(HeadJournal!J$1),0))*($K5747+$L5747)/(SUMIF($A:$A,$A5747,$K:$K)+SUMIF($A:$A,$A5747,$L:$L)),0)</f>
        <v>0</v>
      </c>
      <c r="O5747" s="30">
        <f>IFERROR((VLOOKUP($A5747,HeadJournal!$A$1:$L$890,COLUMN(HeadJournal!L$1),0)*($K5747+$L5747)/(SUMIF($A:$A,$A5747,$K:$K)+SUMIF($A:$A,$A5747,$L:$L)))/VLOOKUP($A5747,HeadJournal!$A$1:$L$890,COLUMN(HeadJournal!H$1),0),0)</f>
        <v>0</v>
      </c>
      <c r="P5747" s="30">
        <f>IFERROR(SUM(K5747:O5747)*VLOOKUP($A5747,HeadJournal!$A$1:$L$890,COLUMN(HeadJournal!H$1),0),0)</f>
        <v>1010</v>
      </c>
      <c r="Q5747" s="29">
        <v>2000</v>
      </c>
      <c r="R5747" s="31">
        <v>46122</v>
      </c>
      <c r="S5747" s="31" t="s">
        <v>4911</v>
      </c>
      <c r="T5747" s="95" t="str">
        <f t="shared" si="424"/>
        <v>2026 04</v>
      </c>
      <c r="U5747" s="32">
        <f t="shared" si="425"/>
        <v>990</v>
      </c>
      <c r="V5747" s="22">
        <f t="shared" si="426"/>
        <v>0.98019801980198018</v>
      </c>
      <c r="X5747" s="33"/>
      <c r="Y5747" s="33"/>
    </row>
    <row r="5748" spans="1:25" x14ac:dyDescent="0.2">
      <c r="A5748" s="93" t="s">
        <v>5640</v>
      </c>
      <c r="B5748" s="94">
        <f>IFERROR(VLOOKUP($A5748,HeadJournal!$A$1:$NTR$890,COLUMN(HeadJournal!B$1),0),"")</f>
        <v>0</v>
      </c>
      <c r="C5748" s="94" t="str">
        <f>IFERROR(VLOOKUP($A5748,HeadJournal!$A$1:$NTR$890,COLUMN(HeadJournal!C$1),0),"")</f>
        <v>iHerb_VP DFD1605</v>
      </c>
      <c r="D5748" s="125" t="str">
        <f>IFERROR(VLOOKUP($A5748,HeadJournal!$A$1:$NTR$890,COLUMN(HeadJournal!D$1),0),"")</f>
        <v>Доставлен</v>
      </c>
      <c r="E5748" s="95">
        <f>IFERROR(VLOOKUP($A5748,HeadJournal!$A$1:$NTR$890,COLUMN(HeadJournal!G$1),0),"")</f>
        <v>46121</v>
      </c>
      <c r="F5748" s="95" t="str">
        <f t="shared" si="423"/>
        <v>2026 04</v>
      </c>
      <c r="G5748" s="97" t="s">
        <v>5</v>
      </c>
      <c r="H5748" s="161" t="s">
        <v>2089</v>
      </c>
      <c r="I5748" s="97" t="s">
        <v>2005</v>
      </c>
      <c r="J5748" s="97" t="s">
        <v>3781</v>
      </c>
      <c r="K5748" s="29">
        <v>25.77</v>
      </c>
      <c r="L5748" s="29">
        <v>-5.1550000000000002</v>
      </c>
      <c r="M5748" s="30">
        <f>IFERROR(VLOOKUP($A5748,HeadJournal!$A$1:$J$890,COLUMN(HeadJournal!I$1),0)*($K5748+$L5748)/(SUMIF($A:$A,$A5748,$K:$K)+SUMIF($A:$A,$A5748,$L:$L)),0)</f>
        <v>0</v>
      </c>
      <c r="N5748" s="30">
        <f>IFERROR((VLOOKUP($A5748,HeadJournal!$A$1:$K$890,COLUMN(HeadJournal!K$1),0)-VLOOKUP($A5748,HeadJournal!$A$1:$K$890,COLUMN(HeadJournal!J$1),0))*($K5748+$L5748)/(SUMIF($A:$A,$A5748,$K:$K)+SUMIF($A:$A,$A5748,$L:$L)),0)</f>
        <v>-2.9405949305283737E-15</v>
      </c>
      <c r="O5748" s="30">
        <f>IFERROR((VLOOKUP($A5748,HeadJournal!$A$1:$L$890,COLUMN(HeadJournal!L$1),0)*($K5748+$L5748)/(SUMIF($A:$A,$A5748,$K:$K)+SUMIF($A:$A,$A5748,$L:$L)))/VLOOKUP($A5748,HeadJournal!$A$1:$L$890,COLUMN(HeadJournal!H$1),0),0)</f>
        <v>0.96170807456848262</v>
      </c>
      <c r="P5748" s="30">
        <f>IFERROR(SUM(K5748:O5748)*VLOOKUP($A5748,HeadJournal!$A$1:$L$890,COLUMN(HeadJournal!H$1),0),0)</f>
        <v>1959.7379452948551</v>
      </c>
      <c r="Q5748" s="29">
        <v>3000</v>
      </c>
      <c r="R5748" s="31">
        <v>46149</v>
      </c>
      <c r="S5748" s="31" t="s">
        <v>3493</v>
      </c>
      <c r="T5748" s="95" t="str">
        <f t="shared" si="424"/>
        <v>2026 05</v>
      </c>
      <c r="U5748" s="32">
        <f t="shared" si="425"/>
        <v>1040.2620547051449</v>
      </c>
      <c r="V5748" s="22">
        <f t="shared" si="426"/>
        <v>0.53081691723258995</v>
      </c>
      <c r="X5748" s="33"/>
      <c r="Y5748" s="33"/>
    </row>
    <row r="5749" spans="1:25" x14ac:dyDescent="0.2">
      <c r="A5749" s="93" t="s">
        <v>5640</v>
      </c>
      <c r="B5749" s="94">
        <f>IFERROR(VLOOKUP($A5749,HeadJournal!$A$1:$NTR$890,COLUMN(HeadJournal!B$1),0),"")</f>
        <v>0</v>
      </c>
      <c r="C5749" s="94" t="str">
        <f>IFERROR(VLOOKUP($A5749,HeadJournal!$A$1:$NTR$890,COLUMN(HeadJournal!C$1),0),"")</f>
        <v>iHerb_VP DFD1605</v>
      </c>
      <c r="D5749" s="125" t="str">
        <f>IFERROR(VLOOKUP($A5749,HeadJournal!$A$1:$NTR$890,COLUMN(HeadJournal!D$1),0),"")</f>
        <v>Доставлен</v>
      </c>
      <c r="E5749" s="95">
        <f>IFERROR(VLOOKUP($A5749,HeadJournal!$A$1:$NTR$890,COLUMN(HeadJournal!G$1),0),"")</f>
        <v>46121</v>
      </c>
      <c r="F5749" s="95" t="str">
        <f t="shared" si="423"/>
        <v>2026 04</v>
      </c>
      <c r="G5749" s="97" t="s">
        <v>5</v>
      </c>
      <c r="H5749" s="161" t="s">
        <v>2089</v>
      </c>
      <c r="I5749" s="97" t="s">
        <v>2005</v>
      </c>
      <c r="J5749" s="97" t="s">
        <v>3781</v>
      </c>
      <c r="K5749" s="29">
        <v>25.77</v>
      </c>
      <c r="L5749" s="29">
        <v>-5.1550000000000002</v>
      </c>
      <c r="M5749" s="30">
        <f>IFERROR(VLOOKUP($A5749,HeadJournal!$A$1:$J$890,COLUMN(HeadJournal!I$1),0)*($K5749+$L5749)/(SUMIF($A:$A,$A5749,$K:$K)+SUMIF($A:$A,$A5749,$L:$L)),0)</f>
        <v>0</v>
      </c>
      <c r="N5749" s="30">
        <f>IFERROR((VLOOKUP($A5749,HeadJournal!$A$1:$K$890,COLUMN(HeadJournal!K$1),0)-VLOOKUP($A5749,HeadJournal!$A$1:$K$890,COLUMN(HeadJournal!J$1),0))*($K5749+$L5749)/(SUMIF($A:$A,$A5749,$K:$K)+SUMIF($A:$A,$A5749,$L:$L)),0)</f>
        <v>-2.9405949305283737E-15</v>
      </c>
      <c r="O5749" s="30">
        <f>IFERROR((VLOOKUP($A5749,HeadJournal!$A$1:$L$890,COLUMN(HeadJournal!L$1),0)*($K5749+$L5749)/(SUMIF($A:$A,$A5749,$K:$K)+SUMIF($A:$A,$A5749,$L:$L)))/VLOOKUP($A5749,HeadJournal!$A$1:$L$890,COLUMN(HeadJournal!H$1),0),0)</f>
        <v>0.96170807456848262</v>
      </c>
      <c r="P5749" s="30">
        <f>IFERROR(SUM(K5749:O5749)*VLOOKUP($A5749,HeadJournal!$A$1:$L$890,COLUMN(HeadJournal!H$1),0),0)</f>
        <v>1959.7379452948551</v>
      </c>
      <c r="Q5749" s="29">
        <v>3000</v>
      </c>
      <c r="R5749" s="31">
        <v>46158</v>
      </c>
      <c r="S5749" s="31"/>
      <c r="T5749" s="95" t="str">
        <f t="shared" si="424"/>
        <v>2026 05</v>
      </c>
      <c r="U5749" s="32">
        <f t="shared" si="425"/>
        <v>1040.2620547051449</v>
      </c>
      <c r="V5749" s="22">
        <f t="shared" si="426"/>
        <v>0.53081691723258995</v>
      </c>
      <c r="X5749" s="33"/>
      <c r="Y5749" s="33"/>
    </row>
    <row r="5750" spans="1:25" x14ac:dyDescent="0.2">
      <c r="A5750" s="93" t="s">
        <v>5640</v>
      </c>
      <c r="B5750" s="94">
        <f>IFERROR(VLOOKUP($A5750,HeadJournal!$A$1:$NTR$890,COLUMN(HeadJournal!B$1),0),"")</f>
        <v>0</v>
      </c>
      <c r="C5750" s="94" t="str">
        <f>IFERROR(VLOOKUP($A5750,HeadJournal!$A$1:$NTR$890,COLUMN(HeadJournal!C$1),0),"")</f>
        <v>iHerb_VP DFD1605</v>
      </c>
      <c r="D5750" s="125" t="str">
        <f>IFERROR(VLOOKUP($A5750,HeadJournal!$A$1:$NTR$890,COLUMN(HeadJournal!D$1),0),"")</f>
        <v>Доставлен</v>
      </c>
      <c r="E5750" s="95">
        <f>IFERROR(VLOOKUP($A5750,HeadJournal!$A$1:$NTR$890,COLUMN(HeadJournal!G$1),0),"")</f>
        <v>46121</v>
      </c>
      <c r="F5750" s="95" t="str">
        <f t="shared" si="423"/>
        <v>2026 04</v>
      </c>
      <c r="G5750" s="97" t="s">
        <v>5</v>
      </c>
      <c r="H5750" s="161" t="s">
        <v>2016</v>
      </c>
      <c r="I5750" s="97" t="s">
        <v>2005</v>
      </c>
      <c r="J5750" s="97" t="s">
        <v>2017</v>
      </c>
      <c r="K5750" s="29">
        <v>41.96</v>
      </c>
      <c r="L5750" s="29">
        <v>-8.39</v>
      </c>
      <c r="M5750" s="30">
        <f>IFERROR(VLOOKUP($A5750,HeadJournal!$A$1:$J$890,COLUMN(HeadJournal!I$1),0)*($K5750+$L5750)/(SUMIF($A:$A,$A5750,$K:$K)+SUMIF($A:$A,$A5750,$L:$L)),0)</f>
        <v>0</v>
      </c>
      <c r="N5750" s="30">
        <f>IFERROR((VLOOKUP($A5750,HeadJournal!$A$1:$K$890,COLUMN(HeadJournal!K$1),0)-VLOOKUP($A5750,HeadJournal!$A$1:$K$890,COLUMN(HeadJournal!J$1),0))*($K5750+$L5750)/(SUMIF($A:$A,$A5750,$K:$K)+SUMIF($A:$A,$A5750,$L:$L)),0)</f>
        <v>-4.7885409564801122E-15</v>
      </c>
      <c r="O5750" s="30">
        <f>IFERROR((VLOOKUP($A5750,HeadJournal!$A$1:$L$890,COLUMN(HeadJournal!L$1),0)*($K5750+$L5750)/(SUMIF($A:$A,$A5750,$K:$K)+SUMIF($A:$A,$A5750,$L:$L)))/VLOOKUP($A5750,HeadJournal!$A$1:$L$890,COLUMN(HeadJournal!H$1),0),0)</f>
        <v>1.5660703402019871</v>
      </c>
      <c r="P5750" s="30">
        <f>IFERROR(SUM(K5750:O5750)*VLOOKUP($A5750,HeadJournal!$A$1:$L$890,COLUMN(HeadJournal!H$1),0),0)</f>
        <v>3191.2880341279792</v>
      </c>
      <c r="Q5750" s="29">
        <v>4500</v>
      </c>
      <c r="R5750" s="31">
        <v>46149</v>
      </c>
      <c r="S5750" s="31"/>
      <c r="T5750" s="95" t="str">
        <f t="shared" si="424"/>
        <v>2026 05</v>
      </c>
      <c r="U5750" s="32">
        <f t="shared" si="425"/>
        <v>1308.7119658720208</v>
      </c>
      <c r="V5750" s="22">
        <f t="shared" si="426"/>
        <v>0.4100889521335942</v>
      </c>
      <c r="X5750" s="33"/>
      <c r="Y5750" s="33"/>
    </row>
    <row r="5751" spans="1:25" x14ac:dyDescent="0.2">
      <c r="A5751" s="93" t="s">
        <v>5640</v>
      </c>
      <c r="B5751" s="94">
        <f>IFERROR(VLOOKUP($A5751,HeadJournal!$A$1:$NTR$890,COLUMN(HeadJournal!B$1),0),"")</f>
        <v>0</v>
      </c>
      <c r="C5751" s="94" t="str">
        <f>IFERROR(VLOOKUP($A5751,HeadJournal!$A$1:$NTR$890,COLUMN(HeadJournal!C$1),0),"")</f>
        <v>iHerb_VP DFD1605</v>
      </c>
      <c r="D5751" s="125" t="str">
        <f>IFERROR(VLOOKUP($A5751,HeadJournal!$A$1:$NTR$890,COLUMN(HeadJournal!D$1),0),"")</f>
        <v>Доставлен</v>
      </c>
      <c r="E5751" s="95">
        <f>IFERROR(VLOOKUP($A5751,HeadJournal!$A$1:$NTR$890,COLUMN(HeadJournal!G$1),0),"")</f>
        <v>46121</v>
      </c>
      <c r="F5751" s="95" t="str">
        <f t="shared" si="423"/>
        <v>2026 04</v>
      </c>
      <c r="G5751" s="97" t="s">
        <v>5</v>
      </c>
      <c r="H5751" s="161" t="s">
        <v>2016</v>
      </c>
      <c r="I5751" s="97" t="s">
        <v>2005</v>
      </c>
      <c r="J5751" s="97" t="s">
        <v>2017</v>
      </c>
      <c r="K5751" s="29">
        <v>41.96</v>
      </c>
      <c r="L5751" s="29">
        <v>-8.39</v>
      </c>
      <c r="M5751" s="30">
        <f>IFERROR(VLOOKUP($A5751,HeadJournal!$A$1:$J$890,COLUMN(HeadJournal!I$1),0)*($K5751+$L5751)/(SUMIF($A:$A,$A5751,$K:$K)+SUMIF($A:$A,$A5751,$L:$L)),0)</f>
        <v>0</v>
      </c>
      <c r="N5751" s="30">
        <f>IFERROR((VLOOKUP($A5751,HeadJournal!$A$1:$K$890,COLUMN(HeadJournal!K$1),0)-VLOOKUP($A5751,HeadJournal!$A$1:$K$890,COLUMN(HeadJournal!J$1),0))*($K5751+$L5751)/(SUMIF($A:$A,$A5751,$K:$K)+SUMIF($A:$A,$A5751,$L:$L)),0)</f>
        <v>-4.7885409564801122E-15</v>
      </c>
      <c r="O5751" s="30">
        <f>IFERROR((VLOOKUP($A5751,HeadJournal!$A$1:$L$890,COLUMN(HeadJournal!L$1),0)*($K5751+$L5751)/(SUMIF($A:$A,$A5751,$K:$K)+SUMIF($A:$A,$A5751,$L:$L)))/VLOOKUP($A5751,HeadJournal!$A$1:$L$890,COLUMN(HeadJournal!H$1),0),0)</f>
        <v>1.5660703402019871</v>
      </c>
      <c r="P5751" s="30">
        <f>IFERROR(SUM(K5751:O5751)*VLOOKUP($A5751,HeadJournal!$A$1:$L$890,COLUMN(HeadJournal!H$1),0),0)</f>
        <v>3191.2880341279792</v>
      </c>
      <c r="Q5751" s="29">
        <v>4500</v>
      </c>
      <c r="R5751" s="31">
        <v>46165</v>
      </c>
      <c r="S5751" s="31" t="s">
        <v>4630</v>
      </c>
      <c r="T5751" s="95" t="str">
        <f t="shared" si="424"/>
        <v>2026 05</v>
      </c>
      <c r="U5751" s="32">
        <f t="shared" si="425"/>
        <v>1308.7119658720208</v>
      </c>
      <c r="V5751" s="22">
        <f t="shared" si="426"/>
        <v>0.4100889521335942</v>
      </c>
      <c r="X5751" s="33"/>
      <c r="Y5751" s="33"/>
    </row>
    <row r="5752" spans="1:25" x14ac:dyDescent="0.2">
      <c r="A5752" s="93" t="s">
        <v>5640</v>
      </c>
      <c r="B5752" s="94">
        <f>IFERROR(VLOOKUP($A5752,HeadJournal!$A$1:$NTR$890,COLUMN(HeadJournal!B$1),0),"")</f>
        <v>0</v>
      </c>
      <c r="C5752" s="94" t="str">
        <f>IFERROR(VLOOKUP($A5752,HeadJournal!$A$1:$NTR$890,COLUMN(HeadJournal!C$1),0),"")</f>
        <v>iHerb_VP DFD1605</v>
      </c>
      <c r="D5752" s="125" t="str">
        <f>IFERROR(VLOOKUP($A5752,HeadJournal!$A$1:$NTR$890,COLUMN(HeadJournal!D$1),0),"")</f>
        <v>Доставлен</v>
      </c>
      <c r="E5752" s="95">
        <f>IFERROR(VLOOKUP($A5752,HeadJournal!$A$1:$NTR$890,COLUMN(HeadJournal!G$1),0),"")</f>
        <v>46121</v>
      </c>
      <c r="F5752" s="95" t="str">
        <f t="shared" si="423"/>
        <v>2026 04</v>
      </c>
      <c r="G5752" s="97" t="s">
        <v>5</v>
      </c>
      <c r="H5752" s="161" t="s">
        <v>5638</v>
      </c>
      <c r="I5752" s="97" t="s">
        <v>2750</v>
      </c>
      <c r="J5752" s="97" t="s">
        <v>5639</v>
      </c>
      <c r="K5752" s="29">
        <v>14.06</v>
      </c>
      <c r="L5752" s="29">
        <v>-2.81</v>
      </c>
      <c r="M5752" s="30">
        <f>IFERROR(VLOOKUP($A5752,HeadJournal!$A$1:$J$890,COLUMN(HeadJournal!I$1),0)*($K5752+$L5752)/(SUMIF($A:$A,$A5752,$K:$K)+SUMIF($A:$A,$A5752,$L:$L)),0)</f>
        <v>0</v>
      </c>
      <c r="N5752" s="30">
        <f>IFERROR((VLOOKUP($A5752,HeadJournal!$A$1:$K$890,COLUMN(HeadJournal!K$1),0)-VLOOKUP($A5752,HeadJournal!$A$1:$K$890,COLUMN(HeadJournal!J$1),0))*($K5752+$L5752)/(SUMIF($A:$A,$A5752,$K:$K)+SUMIF($A:$A,$A5752,$L:$L)),0)</f>
        <v>-1.6047389264343539E-15</v>
      </c>
      <c r="O5752" s="30">
        <f>IFERROR((VLOOKUP($A5752,HeadJournal!$A$1:$L$890,COLUMN(HeadJournal!L$1),0)*($K5752+$L5752)/(SUMIF($A:$A,$A5752,$K:$K)+SUMIF($A:$A,$A5752,$L:$L)))/VLOOKUP($A5752,HeadJournal!$A$1:$L$890,COLUMN(HeadJournal!H$1),0),0)</f>
        <v>0.52482250006769005</v>
      </c>
      <c r="P5752" s="30">
        <f>IFERROR(SUM(K5752:O5752)*VLOOKUP($A5752,HeadJournal!$A$1:$L$890,COLUMN(HeadJournal!H$1),0),0)</f>
        <v>1069.4664993726474</v>
      </c>
      <c r="Q5752" s="29"/>
      <c r="R5752" s="31"/>
      <c r="S5752" s="31"/>
      <c r="T5752" s="95" t="str">
        <f t="shared" si="424"/>
        <v/>
      </c>
      <c r="U5752" s="32">
        <f t="shared" si="425"/>
        <v>-1069.4664993726474</v>
      </c>
      <c r="V5752" s="22" t="str">
        <f t="shared" si="426"/>
        <v/>
      </c>
      <c r="X5752" s="33"/>
      <c r="Y5752" s="33"/>
    </row>
    <row r="5753" spans="1:25" x14ac:dyDescent="0.2">
      <c r="A5753" s="93" t="s">
        <v>5640</v>
      </c>
      <c r="B5753" s="94">
        <f>IFERROR(VLOOKUP($A5753,HeadJournal!$A$1:$NTR$890,COLUMN(HeadJournal!B$1),0),"")</f>
        <v>0</v>
      </c>
      <c r="C5753" s="94" t="str">
        <f>IFERROR(VLOOKUP($A5753,HeadJournal!$A$1:$NTR$890,COLUMN(HeadJournal!C$1),0),"")</f>
        <v>iHerb_VP DFD1605</v>
      </c>
      <c r="D5753" s="125" t="str">
        <f>IFERROR(VLOOKUP($A5753,HeadJournal!$A$1:$NTR$890,COLUMN(HeadJournal!D$1),0),"")</f>
        <v>Доставлен</v>
      </c>
      <c r="E5753" s="95">
        <f>IFERROR(VLOOKUP($A5753,HeadJournal!$A$1:$NTR$890,COLUMN(HeadJournal!G$1),0),"")</f>
        <v>46121</v>
      </c>
      <c r="F5753" s="95" t="str">
        <f t="shared" si="423"/>
        <v>2026 04</v>
      </c>
      <c r="G5753" s="97" t="s">
        <v>5</v>
      </c>
      <c r="H5753" s="161" t="s">
        <v>2051</v>
      </c>
      <c r="I5753" s="97" t="s">
        <v>2052</v>
      </c>
      <c r="J5753" s="97" t="s">
        <v>5583</v>
      </c>
      <c r="K5753" s="29">
        <v>20.25</v>
      </c>
      <c r="L5753" s="29">
        <v>-4.05</v>
      </c>
      <c r="M5753" s="30">
        <f>IFERROR(VLOOKUP($A5753,HeadJournal!$A$1:$J$890,COLUMN(HeadJournal!I$1),0)*($K5753+$L5753)/(SUMIF($A:$A,$A5753,$K:$K)+SUMIF($A:$A,$A5753,$L:$L)),0)</f>
        <v>0</v>
      </c>
      <c r="N5753" s="30">
        <f>IFERROR((VLOOKUP($A5753,HeadJournal!$A$1:$K$890,COLUMN(HeadJournal!K$1),0)-VLOOKUP($A5753,HeadJournal!$A$1:$K$890,COLUMN(HeadJournal!J$1),0))*($K5753+$L5753)/(SUMIF($A:$A,$A5753,$K:$K)+SUMIF($A:$A,$A5753,$L:$L)),0)</f>
        <v>-2.3108240540654696E-15</v>
      </c>
      <c r="O5753" s="30">
        <f>IFERROR((VLOOKUP($A5753,HeadJournal!$A$1:$L$890,COLUMN(HeadJournal!L$1),0)*($K5753+$L5753)/(SUMIF($A:$A,$A5753,$K:$K)+SUMIF($A:$A,$A5753,$L:$L)))/VLOOKUP($A5753,HeadJournal!$A$1:$L$890,COLUMN(HeadJournal!H$1),0),0)</f>
        <v>0.75574440009747346</v>
      </c>
      <c r="P5753" s="30">
        <f>IFERROR(SUM(K5753:O5753)*VLOOKUP($A5753,HeadJournal!$A$1:$L$890,COLUMN(HeadJournal!H$1),0),0)</f>
        <v>1540.0317590966117</v>
      </c>
      <c r="Q5753" s="29"/>
      <c r="R5753" s="31"/>
      <c r="S5753" s="31"/>
      <c r="T5753" s="95" t="str">
        <f t="shared" si="424"/>
        <v/>
      </c>
      <c r="U5753" s="32">
        <f t="shared" si="425"/>
        <v>-1540.0317590966117</v>
      </c>
      <c r="V5753" s="22" t="str">
        <f t="shared" si="426"/>
        <v/>
      </c>
      <c r="X5753" s="33"/>
      <c r="Y5753" s="33"/>
    </row>
    <row r="5754" spans="1:25" x14ac:dyDescent="0.2">
      <c r="A5754" s="93" t="s">
        <v>5640</v>
      </c>
      <c r="B5754" s="94">
        <f>IFERROR(VLOOKUP($A5754,HeadJournal!$A$1:$NTR$890,COLUMN(HeadJournal!B$1),0),"")</f>
        <v>0</v>
      </c>
      <c r="C5754" s="94" t="str">
        <f>IFERROR(VLOOKUP($A5754,HeadJournal!$A$1:$NTR$890,COLUMN(HeadJournal!C$1),0),"")</f>
        <v>iHerb_VP DFD1605</v>
      </c>
      <c r="D5754" s="125" t="str">
        <f>IFERROR(VLOOKUP($A5754,HeadJournal!$A$1:$NTR$890,COLUMN(HeadJournal!D$1),0),"")</f>
        <v>Доставлен</v>
      </c>
      <c r="E5754" s="95">
        <f>IFERROR(VLOOKUP($A5754,HeadJournal!$A$1:$NTR$890,COLUMN(HeadJournal!G$1),0),"")</f>
        <v>46121</v>
      </c>
      <c r="F5754" s="95" t="str">
        <f t="shared" si="423"/>
        <v>2026 04</v>
      </c>
      <c r="G5754" s="97" t="s">
        <v>5</v>
      </c>
      <c r="H5754" s="161" t="s">
        <v>2051</v>
      </c>
      <c r="I5754" s="97" t="s">
        <v>2052</v>
      </c>
      <c r="J5754" s="97" t="s">
        <v>5583</v>
      </c>
      <c r="K5754" s="29">
        <v>20.25</v>
      </c>
      <c r="L5754" s="29">
        <v>-4.05</v>
      </c>
      <c r="M5754" s="30">
        <f>IFERROR(VLOOKUP($A5754,HeadJournal!$A$1:$J$890,COLUMN(HeadJournal!I$1),0)*($K5754+$L5754)/(SUMIF($A:$A,$A5754,$K:$K)+SUMIF($A:$A,$A5754,$L:$L)),0)</f>
        <v>0</v>
      </c>
      <c r="N5754" s="30">
        <f>IFERROR((VLOOKUP($A5754,HeadJournal!$A$1:$K$890,COLUMN(HeadJournal!K$1),0)-VLOOKUP($A5754,HeadJournal!$A$1:$K$890,COLUMN(HeadJournal!J$1),0))*($K5754+$L5754)/(SUMIF($A:$A,$A5754,$K:$K)+SUMIF($A:$A,$A5754,$L:$L)),0)</f>
        <v>-2.3108240540654696E-15</v>
      </c>
      <c r="O5754" s="30">
        <f>IFERROR((VLOOKUP($A5754,HeadJournal!$A$1:$L$890,COLUMN(HeadJournal!L$1),0)*($K5754+$L5754)/(SUMIF($A:$A,$A5754,$K:$K)+SUMIF($A:$A,$A5754,$L:$L)))/VLOOKUP($A5754,HeadJournal!$A$1:$L$890,COLUMN(HeadJournal!H$1),0),0)</f>
        <v>0.75574440009747346</v>
      </c>
      <c r="P5754" s="30">
        <f>IFERROR(SUM(K5754:O5754)*VLOOKUP($A5754,HeadJournal!$A$1:$L$890,COLUMN(HeadJournal!H$1),0),0)</f>
        <v>1540.0317590966117</v>
      </c>
      <c r="Q5754" s="29"/>
      <c r="R5754" s="31"/>
      <c r="S5754" s="31"/>
      <c r="T5754" s="95" t="str">
        <f t="shared" si="424"/>
        <v/>
      </c>
      <c r="U5754" s="32">
        <f t="shared" si="425"/>
        <v>-1540.0317590966117</v>
      </c>
      <c r="V5754" s="22" t="str">
        <f t="shared" si="426"/>
        <v/>
      </c>
      <c r="X5754" s="33"/>
      <c r="Y5754" s="33"/>
    </row>
    <row r="5755" spans="1:25" x14ac:dyDescent="0.2">
      <c r="A5755" s="93" t="s">
        <v>5640</v>
      </c>
      <c r="B5755" s="94">
        <f>IFERROR(VLOOKUP($A5755,HeadJournal!$A$1:$NTR$890,COLUMN(HeadJournal!B$1),0),"")</f>
        <v>0</v>
      </c>
      <c r="C5755" s="94" t="str">
        <f>IFERROR(VLOOKUP($A5755,HeadJournal!$A$1:$NTR$890,COLUMN(HeadJournal!C$1),0),"")</f>
        <v>iHerb_VP DFD1605</v>
      </c>
      <c r="D5755" s="125" t="str">
        <f>IFERROR(VLOOKUP($A5755,HeadJournal!$A$1:$NTR$890,COLUMN(HeadJournal!D$1),0),"")</f>
        <v>Доставлен</v>
      </c>
      <c r="E5755" s="95">
        <f>IFERROR(VLOOKUP($A5755,HeadJournal!$A$1:$NTR$890,COLUMN(HeadJournal!G$1),0),"")</f>
        <v>46121</v>
      </c>
      <c r="F5755" s="95" t="str">
        <f t="shared" si="423"/>
        <v>2026 04</v>
      </c>
      <c r="G5755" s="97" t="s">
        <v>5</v>
      </c>
      <c r="H5755" s="161" t="s">
        <v>2468</v>
      </c>
      <c r="I5755" s="97" t="s">
        <v>2005</v>
      </c>
      <c r="J5755" s="97" t="s">
        <v>4109</v>
      </c>
      <c r="K5755" s="29">
        <v>25.55</v>
      </c>
      <c r="L5755" s="29">
        <v>-5.1100000000000003</v>
      </c>
      <c r="M5755" s="30">
        <f>IFERROR(VLOOKUP($A5755,HeadJournal!$A$1:$J$890,COLUMN(HeadJournal!I$1),0)*($K5755+$L5755)/(SUMIF($A:$A,$A5755,$K:$K)+SUMIF($A:$A,$A5755,$L:$L)),0)</f>
        <v>0</v>
      </c>
      <c r="N5755" s="30">
        <f>IFERROR((VLOOKUP($A5755,HeadJournal!$A$1:$K$890,COLUMN(HeadJournal!K$1),0)-VLOOKUP($A5755,HeadJournal!$A$1:$K$890,COLUMN(HeadJournal!J$1),0))*($K5755+$L5755)/(SUMIF($A:$A,$A5755,$K:$K)+SUMIF($A:$A,$A5755,$L:$L)),0)</f>
        <v>-2.915632325006062E-15</v>
      </c>
      <c r="O5755" s="30">
        <f>IFERROR((VLOOKUP($A5755,HeadJournal!$A$1:$L$890,COLUMN(HeadJournal!L$1),0)*($K5755+$L5755)/(SUMIF($A:$A,$A5755,$K:$K)+SUMIF($A:$A,$A5755,$L:$L)))/VLOOKUP($A5755,HeadJournal!$A$1:$L$890,COLUMN(HeadJournal!H$1),0),0)</f>
        <v>0.95354416901187422</v>
      </c>
      <c r="P5755" s="30">
        <f>IFERROR(SUM(K5755:O5755)*VLOOKUP($A5755,HeadJournal!$A$1:$L$890,COLUMN(HeadJournal!H$1),0),0)</f>
        <v>1943.1017997490587</v>
      </c>
      <c r="Q5755" s="29"/>
      <c r="R5755" s="31"/>
      <c r="S5755" s="31"/>
      <c r="T5755" s="95" t="str">
        <f t="shared" si="424"/>
        <v/>
      </c>
      <c r="U5755" s="32">
        <f t="shared" si="425"/>
        <v>-1943.1017997490587</v>
      </c>
      <c r="V5755" s="22" t="str">
        <f t="shared" si="426"/>
        <v/>
      </c>
      <c r="X5755" s="33"/>
      <c r="Y5755" s="33"/>
    </row>
    <row r="5756" spans="1:25" x14ac:dyDescent="0.2">
      <c r="A5756" s="93" t="s">
        <v>5640</v>
      </c>
      <c r="B5756" s="94">
        <f>IFERROR(VLOOKUP($A5756,HeadJournal!$A$1:$NTR$890,COLUMN(HeadJournal!B$1),0),"")</f>
        <v>0</v>
      </c>
      <c r="C5756" s="94" t="str">
        <f>IFERROR(VLOOKUP($A5756,HeadJournal!$A$1:$NTR$890,COLUMN(HeadJournal!C$1),0),"")</f>
        <v>iHerb_VP DFD1605</v>
      </c>
      <c r="D5756" s="125" t="str">
        <f>IFERROR(VLOOKUP($A5756,HeadJournal!$A$1:$NTR$890,COLUMN(HeadJournal!D$1),0),"")</f>
        <v>Доставлен</v>
      </c>
      <c r="E5756" s="95">
        <f>IFERROR(VLOOKUP($A5756,HeadJournal!$A$1:$NTR$890,COLUMN(HeadJournal!G$1),0),"")</f>
        <v>46121</v>
      </c>
      <c r="F5756" s="95" t="str">
        <f t="shared" si="423"/>
        <v>2026 04</v>
      </c>
      <c r="G5756" s="97" t="s">
        <v>5</v>
      </c>
      <c r="H5756" s="161" t="s">
        <v>2624</v>
      </c>
      <c r="I5756" s="97" t="s">
        <v>2005</v>
      </c>
      <c r="J5756" s="97" t="s">
        <v>5611</v>
      </c>
      <c r="K5756" s="29">
        <v>25.05</v>
      </c>
      <c r="L5756" s="29">
        <v>-5.01</v>
      </c>
      <c r="M5756" s="30">
        <f>IFERROR(VLOOKUP($A5756,HeadJournal!$A$1:$J$890,COLUMN(HeadJournal!I$1),0)*($K5756+$L5756)/(SUMIF($A:$A,$A5756,$K:$K)+SUMIF($A:$A,$A5756,$L:$L)),0)</f>
        <v>0</v>
      </c>
      <c r="N5756" s="30">
        <f>IFERROR((VLOOKUP($A5756,HeadJournal!$A$1:$K$890,COLUMN(HeadJournal!K$1),0)-VLOOKUP($A5756,HeadJournal!$A$1:$K$890,COLUMN(HeadJournal!J$1),0))*($K5756+$L5756)/(SUMIF($A:$A,$A5756,$K:$K)+SUMIF($A:$A,$A5756,$L:$L)),0)</f>
        <v>-2.8585749409550626E-15</v>
      </c>
      <c r="O5756" s="30">
        <f>IFERROR((VLOOKUP($A5756,HeadJournal!$A$1:$L$890,COLUMN(HeadJournal!L$1),0)*($K5756+$L5756)/(SUMIF($A:$A,$A5756,$K:$K)+SUMIF($A:$A,$A5756,$L:$L)))/VLOOKUP($A5756,HeadJournal!$A$1:$L$890,COLUMN(HeadJournal!H$1),0),0)</f>
        <v>0.9348838134539118</v>
      </c>
      <c r="P5756" s="30">
        <f>IFERROR(SUM(K5756:O5756)*VLOOKUP($A5756,HeadJournal!$A$1:$L$890,COLUMN(HeadJournal!H$1),0),0)</f>
        <v>1905.0763242158087</v>
      </c>
      <c r="Q5756" s="29">
        <v>2900</v>
      </c>
      <c r="R5756" s="31">
        <v>46150</v>
      </c>
      <c r="S5756" s="31" t="s">
        <v>3252</v>
      </c>
      <c r="T5756" s="95" t="str">
        <f t="shared" si="424"/>
        <v>2026 05</v>
      </c>
      <c r="U5756" s="32">
        <f t="shared" si="425"/>
        <v>994.92367578419135</v>
      </c>
      <c r="V5756" s="22">
        <f t="shared" si="426"/>
        <v>0.5222487220787515</v>
      </c>
      <c r="X5756" s="33"/>
      <c r="Y5756" s="33"/>
    </row>
    <row r="5757" spans="1:25" x14ac:dyDescent="0.2">
      <c r="A5757" s="93" t="s">
        <v>5640</v>
      </c>
      <c r="B5757" s="94">
        <f>IFERROR(VLOOKUP($A5757,HeadJournal!$A$1:$NTR$890,COLUMN(HeadJournal!B$1),0),"")</f>
        <v>0</v>
      </c>
      <c r="C5757" s="94" t="str">
        <f>IFERROR(VLOOKUP($A5757,HeadJournal!$A$1:$NTR$890,COLUMN(HeadJournal!C$1),0),"")</f>
        <v>iHerb_VP DFD1605</v>
      </c>
      <c r="D5757" s="125" t="str">
        <f>IFERROR(VLOOKUP($A5757,HeadJournal!$A$1:$NTR$890,COLUMN(HeadJournal!D$1),0),"")</f>
        <v>Доставлен</v>
      </c>
      <c r="E5757" s="95">
        <f>IFERROR(VLOOKUP($A5757,HeadJournal!$A$1:$NTR$890,COLUMN(HeadJournal!G$1),0),"")</f>
        <v>46121</v>
      </c>
      <c r="F5757" s="95" t="str">
        <f t="shared" si="423"/>
        <v>2026 04</v>
      </c>
      <c r="G5757" s="97" t="s">
        <v>5</v>
      </c>
      <c r="H5757" s="161" t="s">
        <v>2027</v>
      </c>
      <c r="I5757" s="97" t="s">
        <v>2005</v>
      </c>
      <c r="J5757" s="97" t="s">
        <v>5191</v>
      </c>
      <c r="K5757" s="29">
        <v>8.44</v>
      </c>
      <c r="L5757" s="29">
        <v>-1.69</v>
      </c>
      <c r="M5757" s="30">
        <f>IFERROR(VLOOKUP($A5757,HeadJournal!$A$1:$J$890,COLUMN(HeadJournal!I$1),0)*($K5757+$L5757)/(SUMIF($A:$A,$A5757,$K:$K)+SUMIF($A:$A,$A5757,$L:$L)),0)</f>
        <v>0</v>
      </c>
      <c r="N5757" s="30">
        <f>IFERROR((VLOOKUP($A5757,HeadJournal!$A$1:$K$890,COLUMN(HeadJournal!K$1),0)-VLOOKUP($A5757,HeadJournal!$A$1:$K$890,COLUMN(HeadJournal!J$1),0))*($K5757+$L5757)/(SUMIF($A:$A,$A5757,$K:$K)+SUMIF($A:$A,$A5757,$L:$L)),0)</f>
        <v>-9.6284335586061241E-16</v>
      </c>
      <c r="O5757" s="30">
        <f>IFERROR((VLOOKUP($A5757,HeadJournal!$A$1:$L$890,COLUMN(HeadJournal!L$1),0)*($K5757+$L5757)/(SUMIF($A:$A,$A5757,$K:$K)+SUMIF($A:$A,$A5757,$L:$L)))/VLOOKUP($A5757,HeadJournal!$A$1:$L$890,COLUMN(HeadJournal!H$1),0),0)</f>
        <v>0.31489350004061401</v>
      </c>
      <c r="P5757" s="30">
        <f>IFERROR(SUM(K5757:O5757)*VLOOKUP($A5757,HeadJournal!$A$1:$L$890,COLUMN(HeadJournal!H$1),0),0)</f>
        <v>641.67989962358831</v>
      </c>
      <c r="Q5757" s="29">
        <v>1300</v>
      </c>
      <c r="R5757" s="31">
        <v>46164</v>
      </c>
      <c r="S5757" s="31" t="s">
        <v>4872</v>
      </c>
      <c r="T5757" s="95" t="str">
        <f t="shared" si="424"/>
        <v>2026 05</v>
      </c>
      <c r="U5757" s="32">
        <f t="shared" si="425"/>
        <v>658.32010037641169</v>
      </c>
      <c r="V5757" s="22">
        <f t="shared" si="426"/>
        <v>1.025932245598755</v>
      </c>
      <c r="X5757" s="33"/>
      <c r="Y5757" s="33"/>
    </row>
    <row r="5758" spans="1:25" x14ac:dyDescent="0.2">
      <c r="A5758" s="93" t="s">
        <v>5644</v>
      </c>
      <c r="B5758" s="94">
        <f>IFERROR(VLOOKUP($A5758,HeadJournal!$A$1:$NTR$890,COLUMN(HeadJournal!B$1),0),"")</f>
        <v>0</v>
      </c>
      <c r="C5758" s="94" t="str">
        <f>IFERROR(VLOOKUP($A5758,HeadJournal!$A$1:$NTR$890,COLUMN(HeadJournal!C$1),0),"")</f>
        <v>iHerb_MH DLE7202</v>
      </c>
      <c r="D5758" s="125" t="str">
        <f>IFERROR(VLOOKUP($A5758,HeadJournal!$A$1:$NTR$890,COLUMN(HeadJournal!D$1),0),"")</f>
        <v>Доставлен</v>
      </c>
      <c r="E5758" s="95">
        <f>IFERROR(VLOOKUP($A5758,HeadJournal!$A$1:$NTR$890,COLUMN(HeadJournal!G$1),0),"")</f>
        <v>46119</v>
      </c>
      <c r="F5758" s="95" t="str">
        <f t="shared" si="423"/>
        <v>2026 04</v>
      </c>
      <c r="G5758" s="97" t="s">
        <v>5</v>
      </c>
      <c r="H5758" s="161" t="s">
        <v>5641</v>
      </c>
      <c r="I5758" s="97" t="s">
        <v>2578</v>
      </c>
      <c r="J5758" s="97" t="s">
        <v>5642</v>
      </c>
      <c r="K5758" s="29">
        <v>53.34</v>
      </c>
      <c r="L5758" s="29">
        <v>-10.67</v>
      </c>
      <c r="M5758" s="30">
        <f>IFERROR(VLOOKUP($A5758,HeadJournal!$A$1:$J$890,COLUMN(HeadJournal!I$1),0)*($K5758+$L5758)/(SUMIF($A:$A,$A5758,$K:$K)+SUMIF($A:$A,$A5758,$L:$L)),0)</f>
        <v>-2.1776317932569627</v>
      </c>
      <c r="N5758" s="30">
        <f>IFERROR((VLOOKUP($A5758,HeadJournal!$A$1:$K$890,COLUMN(HeadJournal!K$1),0)-VLOOKUP($A5758,HeadJournal!$A$1:$K$890,COLUMN(HeadJournal!J$1),0))*($K5758+$L5758)/(SUMIF($A:$A,$A5758,$K:$K)+SUMIF($A:$A,$A5758,$L:$L)),0)</f>
        <v>-6.5842572419530854E-15</v>
      </c>
      <c r="O5758" s="30">
        <f>IFERROR((VLOOKUP($A5758,HeadJournal!$A$1:$L$890,COLUMN(HeadJournal!L$1),0)*($K5758+$L5758)/(SUMIF($A:$A,$A5758,$K:$K)+SUMIF($A:$A,$A5758,$L:$L)))/VLOOKUP($A5758,HeadJournal!$A$1:$L$890,COLUMN(HeadJournal!H$1),0),0)</f>
        <v>2.1275179550932335</v>
      </c>
      <c r="P5758" s="30">
        <f>IFERROR(SUM(K5758:O5758)*VLOOKUP($A5758,HeadJournal!$A$1:$L$890,COLUMN(HeadJournal!H$1),0),0)</f>
        <v>3918.0206053531674</v>
      </c>
      <c r="Q5758" s="29">
        <v>5600</v>
      </c>
      <c r="R5758" s="31">
        <v>46149</v>
      </c>
      <c r="S5758" s="31" t="s">
        <v>3172</v>
      </c>
      <c r="T5758" s="95" t="str">
        <f t="shared" si="424"/>
        <v>2026 05</v>
      </c>
      <c r="U5758" s="32">
        <f t="shared" si="425"/>
        <v>1681.9793946468326</v>
      </c>
      <c r="V5758" s="22">
        <f t="shared" si="426"/>
        <v>0.42929314673556196</v>
      </c>
      <c r="X5758" s="33"/>
      <c r="Y5758" s="33"/>
    </row>
    <row r="5759" spans="1:25" x14ac:dyDescent="0.2">
      <c r="A5759" s="93" t="s">
        <v>5644</v>
      </c>
      <c r="B5759" s="94">
        <f>IFERROR(VLOOKUP($A5759,HeadJournal!$A$1:$NTR$890,COLUMN(HeadJournal!B$1),0),"")</f>
        <v>0</v>
      </c>
      <c r="C5759" s="94" t="str">
        <f>IFERROR(VLOOKUP($A5759,HeadJournal!$A$1:$NTR$890,COLUMN(HeadJournal!C$1),0),"")</f>
        <v>iHerb_MH DLE7202</v>
      </c>
      <c r="D5759" s="125" t="str">
        <f>IFERROR(VLOOKUP($A5759,HeadJournal!$A$1:$NTR$890,COLUMN(HeadJournal!D$1),0),"")</f>
        <v>Доставлен</v>
      </c>
      <c r="E5759" s="95">
        <f>IFERROR(VLOOKUP($A5759,HeadJournal!$A$1:$NTR$890,COLUMN(HeadJournal!G$1),0),"")</f>
        <v>46119</v>
      </c>
      <c r="F5759" s="95" t="str">
        <f t="shared" si="423"/>
        <v>2026 04</v>
      </c>
      <c r="G5759" s="97" t="s">
        <v>5</v>
      </c>
      <c r="H5759" s="161" t="s">
        <v>4113</v>
      </c>
      <c r="I5759" s="97" t="s">
        <v>2102</v>
      </c>
      <c r="J5759" s="97" t="s">
        <v>4114</v>
      </c>
      <c r="K5759" s="29">
        <v>45.97</v>
      </c>
      <c r="L5759" s="29">
        <v>-9.19</v>
      </c>
      <c r="M5759" s="30">
        <f>IFERROR(VLOOKUP($A5759,HeadJournal!$A$1:$J$890,COLUMN(HeadJournal!I$1),0)*($K5759+$L5759)/(SUMIF($A:$A,$A5759,$K:$K)+SUMIF($A:$A,$A5759,$L:$L)),0)</f>
        <v>-1.8770400130300233</v>
      </c>
      <c r="N5759" s="30">
        <f>IFERROR((VLOOKUP($A5759,HeadJournal!$A$1:$K$890,COLUMN(HeadJournal!K$1),0)-VLOOKUP($A5759,HeadJournal!$A$1:$K$890,COLUMN(HeadJournal!J$1),0))*($K5759+$L5759)/(SUMIF($A:$A,$A5759,$K:$K)+SUMIF($A:$A,$A5759,$L:$L)),0)</f>
        <v>-5.6753921105937312E-15</v>
      </c>
      <c r="O5759" s="30">
        <f>IFERROR((VLOOKUP($A5759,HeadJournal!$A$1:$L$890,COLUMN(HeadJournal!L$1),0)*($K5759+$L5759)/(SUMIF($A:$A,$A5759,$K:$K)+SUMIF($A:$A,$A5759,$L:$L)))/VLOOKUP($A5759,HeadJournal!$A$1:$L$890,COLUMN(HeadJournal!H$1),0),0)</f>
        <v>1.8338436931879334</v>
      </c>
      <c r="P5759" s="30">
        <f>IFERROR(SUM(K5759:O5759)*VLOOKUP($A5759,HeadJournal!$A$1:$L$890,COLUMN(HeadJournal!H$1),0),0)</f>
        <v>3377.1923568054717</v>
      </c>
      <c r="Q5759" s="29">
        <v>4800</v>
      </c>
      <c r="R5759" s="31">
        <v>46149</v>
      </c>
      <c r="S5759" s="31" t="s">
        <v>4483</v>
      </c>
      <c r="T5759" s="95" t="str">
        <f t="shared" si="424"/>
        <v>2026 05</v>
      </c>
      <c r="U5759" s="32">
        <f t="shared" si="425"/>
        <v>1422.8076431945283</v>
      </c>
      <c r="V5759" s="22">
        <f t="shared" si="426"/>
        <v>0.42129896460513722</v>
      </c>
      <c r="X5759" s="33"/>
      <c r="Y5759" s="33"/>
    </row>
    <row r="5760" spans="1:25" x14ac:dyDescent="0.2">
      <c r="A5760" s="93" t="s">
        <v>5644</v>
      </c>
      <c r="B5760" s="94">
        <f>IFERROR(VLOOKUP($A5760,HeadJournal!$A$1:$NTR$890,COLUMN(HeadJournal!B$1),0),"")</f>
        <v>0</v>
      </c>
      <c r="C5760" s="94" t="str">
        <f>IFERROR(VLOOKUP($A5760,HeadJournal!$A$1:$NTR$890,COLUMN(HeadJournal!C$1),0),"")</f>
        <v>iHerb_MH DLE7202</v>
      </c>
      <c r="D5760" s="125" t="str">
        <f>IFERROR(VLOOKUP($A5760,HeadJournal!$A$1:$NTR$890,COLUMN(HeadJournal!D$1),0),"")</f>
        <v>Доставлен</v>
      </c>
      <c r="E5760" s="95">
        <f>IFERROR(VLOOKUP($A5760,HeadJournal!$A$1:$NTR$890,COLUMN(HeadJournal!G$1),0),"")</f>
        <v>46119</v>
      </c>
      <c r="F5760" s="95" t="str">
        <f t="shared" si="423"/>
        <v>2026 04</v>
      </c>
      <c r="G5760" s="97" t="s">
        <v>5</v>
      </c>
      <c r="H5760" s="161" t="s">
        <v>2565</v>
      </c>
      <c r="I5760" s="97" t="s">
        <v>2052</v>
      </c>
      <c r="J5760" s="97" t="s">
        <v>3829</v>
      </c>
      <c r="K5760" s="29">
        <v>31.16</v>
      </c>
      <c r="L5760" s="29">
        <v>-6.23</v>
      </c>
      <c r="M5760" s="30">
        <f>IFERROR(VLOOKUP($A5760,HeadJournal!$A$1:$J$890,COLUMN(HeadJournal!I$1),0)*($K5760+$L5760)/(SUMIF($A:$A,$A5760,$K:$K)+SUMIF($A:$A,$A5760,$L:$L)),0)</f>
        <v>-1.2722840545089309</v>
      </c>
      <c r="N5760" s="30">
        <f>IFERROR((VLOOKUP($A5760,HeadJournal!$A$1:$K$890,COLUMN(HeadJournal!K$1),0)-VLOOKUP($A5760,HeadJournal!$A$1:$K$890,COLUMN(HeadJournal!J$1),0))*($K5760+$L5760)/(SUMIF($A:$A,$A5760,$K:$K)+SUMIF($A:$A,$A5760,$L:$L)),0)</f>
        <v>-3.8468603947009707E-15</v>
      </c>
      <c r="O5760" s="30">
        <f>IFERROR((VLOOKUP($A5760,HeadJournal!$A$1:$L$890,COLUMN(HeadJournal!L$1),0)*($K5760+$L5760)/(SUMIF($A:$A,$A5760,$K:$K)+SUMIF($A:$A,$A5760,$L:$L)))/VLOOKUP($A5760,HeadJournal!$A$1:$L$890,COLUMN(HeadJournal!H$1),0),0)</f>
        <v>1.2430049829030771</v>
      </c>
      <c r="P5760" s="30">
        <f>IFERROR(SUM(K5760:O5760)*VLOOKUP($A5760,HeadJournal!$A$1:$L$890,COLUMN(HeadJournal!H$1),0),0)</f>
        <v>2289.1083593028934</v>
      </c>
      <c r="Q5760" s="29"/>
      <c r="R5760" s="31"/>
      <c r="S5760" s="31"/>
      <c r="T5760" s="95" t="str">
        <f t="shared" si="424"/>
        <v/>
      </c>
      <c r="U5760" s="32">
        <f t="shared" si="425"/>
        <v>-2289.1083593028934</v>
      </c>
      <c r="V5760" s="22" t="str">
        <f t="shared" si="426"/>
        <v/>
      </c>
      <c r="X5760" s="33"/>
      <c r="Y5760" s="33"/>
    </row>
    <row r="5761" spans="1:25" x14ac:dyDescent="0.2">
      <c r="A5761" s="93" t="s">
        <v>5644</v>
      </c>
      <c r="B5761" s="94">
        <f>IFERROR(VLOOKUP($A5761,HeadJournal!$A$1:$NTR$890,COLUMN(HeadJournal!B$1),0),"")</f>
        <v>0</v>
      </c>
      <c r="C5761" s="94" t="str">
        <f>IFERROR(VLOOKUP($A5761,HeadJournal!$A$1:$NTR$890,COLUMN(HeadJournal!C$1),0),"")</f>
        <v>iHerb_MH DLE7202</v>
      </c>
      <c r="D5761" s="125" t="str">
        <f>IFERROR(VLOOKUP($A5761,HeadJournal!$A$1:$NTR$890,COLUMN(HeadJournal!D$1),0),"")</f>
        <v>Доставлен</v>
      </c>
      <c r="E5761" s="95">
        <f>IFERROR(VLOOKUP($A5761,HeadJournal!$A$1:$NTR$890,COLUMN(HeadJournal!G$1),0),"")</f>
        <v>46119</v>
      </c>
      <c r="F5761" s="95" t="str">
        <f t="shared" si="423"/>
        <v>2026 04</v>
      </c>
      <c r="G5761" s="97" t="s">
        <v>5</v>
      </c>
      <c r="H5761" s="161" t="s">
        <v>2089</v>
      </c>
      <c r="I5761" s="97" t="s">
        <v>2005</v>
      </c>
      <c r="J5761" s="97" t="s">
        <v>3781</v>
      </c>
      <c r="K5761" s="29">
        <v>25.77</v>
      </c>
      <c r="L5761" s="29">
        <v>-5.15</v>
      </c>
      <c r="M5761" s="30">
        <f>IFERROR(VLOOKUP($A5761,HeadJournal!$A$1:$J$890,COLUMN(HeadJournal!I$1),0)*($K5761+$L5761)/(SUMIF($A:$A,$A5761,$K:$K)+SUMIF($A:$A,$A5761,$L:$L)),0)</f>
        <v>-1.0523264020848035</v>
      </c>
      <c r="N5761" s="30">
        <f>IFERROR((VLOOKUP($A5761,HeadJournal!$A$1:$K$890,COLUMN(HeadJournal!K$1),0)-VLOOKUP($A5761,HeadJournal!$A$1:$K$890,COLUMN(HeadJournal!J$1),0))*($K5761+$L5761)/(SUMIF($A:$A,$A5761,$K:$K)+SUMIF($A:$A,$A5761,$L:$L)),0)</f>
        <v>-3.1817994921273167E-15</v>
      </c>
      <c r="O5761" s="30">
        <f>IFERROR((VLOOKUP($A5761,HeadJournal!$A$1:$L$890,COLUMN(HeadJournal!L$1),0)*($K5761+$L5761)/(SUMIF($A:$A,$A5761,$K:$K)+SUMIF($A:$A,$A5761,$L:$L)))/VLOOKUP($A5761,HeadJournal!$A$1:$L$890,COLUMN(HeadJournal!H$1),0),0)</f>
        <v>1.0281092157024248</v>
      </c>
      <c r="P5761" s="30">
        <f>IFERROR(SUM(K5761:O5761)*VLOOKUP($A5761,HeadJournal!$A$1:$L$890,COLUMN(HeadJournal!H$1),0),0)</f>
        <v>1893.3579770888753</v>
      </c>
      <c r="Q5761" s="29">
        <v>3000</v>
      </c>
      <c r="R5761" s="31">
        <v>46160</v>
      </c>
      <c r="S5761" s="31" t="s">
        <v>3493</v>
      </c>
      <c r="T5761" s="95" t="str">
        <f t="shared" si="424"/>
        <v>2026 05</v>
      </c>
      <c r="U5761" s="32">
        <f t="shared" si="425"/>
        <v>1106.6420229111247</v>
      </c>
      <c r="V5761" s="22">
        <f t="shared" si="426"/>
        <v>0.58448641847044558</v>
      </c>
      <c r="X5761" s="33"/>
      <c r="Y5761" s="33"/>
    </row>
    <row r="5762" spans="1:25" x14ac:dyDescent="0.2">
      <c r="A5762" s="93" t="s">
        <v>5644</v>
      </c>
      <c r="B5762" s="94">
        <f>IFERROR(VLOOKUP($A5762,HeadJournal!$A$1:$NTR$890,COLUMN(HeadJournal!B$1),0),"")</f>
        <v>0</v>
      </c>
      <c r="C5762" s="94" t="str">
        <f>IFERROR(VLOOKUP($A5762,HeadJournal!$A$1:$NTR$890,COLUMN(HeadJournal!C$1),0),"")</f>
        <v>iHerb_MH DLE7202</v>
      </c>
      <c r="D5762" s="125" t="str">
        <f>IFERROR(VLOOKUP($A5762,HeadJournal!$A$1:$NTR$890,COLUMN(HeadJournal!D$1),0),"")</f>
        <v>Доставлен</v>
      </c>
      <c r="E5762" s="95">
        <f>IFERROR(VLOOKUP($A5762,HeadJournal!$A$1:$NTR$890,COLUMN(HeadJournal!G$1),0),"")</f>
        <v>46119</v>
      </c>
      <c r="F5762" s="95" t="str">
        <f t="shared" si="423"/>
        <v>2026 04</v>
      </c>
      <c r="G5762" s="97" t="s">
        <v>5</v>
      </c>
      <c r="H5762" s="161" t="s">
        <v>2190</v>
      </c>
      <c r="I5762" s="97" t="s">
        <v>2005</v>
      </c>
      <c r="J5762" s="97" t="s">
        <v>2191</v>
      </c>
      <c r="K5762" s="29">
        <v>15.16</v>
      </c>
      <c r="L5762" s="29">
        <v>-3.03</v>
      </c>
      <c r="M5762" s="30">
        <f>IFERROR(VLOOKUP($A5762,HeadJournal!$A$1:$J$890,COLUMN(HeadJournal!I$1),0)*($K5762+$L5762)/(SUMIF($A:$A,$A5762,$K:$K)+SUMIF($A:$A,$A5762,$L:$L)),0)</f>
        <v>-0.61904555078994505</v>
      </c>
      <c r="N5762" s="30">
        <f>IFERROR((VLOOKUP($A5762,HeadJournal!$A$1:$K$890,COLUMN(HeadJournal!K$1),0)-VLOOKUP($A5762,HeadJournal!$A$1:$K$890,COLUMN(HeadJournal!J$1),0))*($K5762+$L5762)/(SUMIF($A:$A,$A5762,$K:$K)+SUMIF($A:$A,$A5762,$L:$L)),0)</f>
        <v>-1.8717375285889601E-15</v>
      </c>
      <c r="O5762" s="30">
        <f>IFERROR((VLOOKUP($A5762,HeadJournal!$A$1:$L$890,COLUMN(HeadJournal!L$1),0)*($K5762+$L5762)/(SUMIF($A:$A,$A5762,$K:$K)+SUMIF($A:$A,$A5762,$L:$L)))/VLOOKUP($A5762,HeadJournal!$A$1:$L$890,COLUMN(HeadJournal!H$1),0),0)</f>
        <v>0.60479945618188236</v>
      </c>
      <c r="P5762" s="30">
        <f>IFERROR(SUM(K5762:O5762)*VLOOKUP($A5762,HeadJournal!$A$1:$L$890,COLUMN(HeadJournal!H$1),0),0)</f>
        <v>1113.7939991313317</v>
      </c>
      <c r="Q5762" s="29">
        <v>2000</v>
      </c>
      <c r="R5762" s="31">
        <v>46149</v>
      </c>
      <c r="S5762" s="31"/>
      <c r="T5762" s="95" t="str">
        <f t="shared" si="424"/>
        <v>2026 05</v>
      </c>
      <c r="U5762" s="32">
        <f t="shared" si="425"/>
        <v>886.2060008686683</v>
      </c>
      <c r="V5762" s="22">
        <f t="shared" si="426"/>
        <v>0.79566419064911154</v>
      </c>
      <c r="X5762" s="33"/>
      <c r="Y5762" s="33"/>
    </row>
    <row r="5763" spans="1:25" x14ac:dyDescent="0.2">
      <c r="A5763" s="93" t="s">
        <v>5644</v>
      </c>
      <c r="B5763" s="94">
        <f>IFERROR(VLOOKUP($A5763,HeadJournal!$A$1:$NTR$890,COLUMN(HeadJournal!B$1),0),"")</f>
        <v>0</v>
      </c>
      <c r="C5763" s="94" t="str">
        <f>IFERROR(VLOOKUP($A5763,HeadJournal!$A$1:$NTR$890,COLUMN(HeadJournal!C$1),0),"")</f>
        <v>iHerb_MH DLE7202</v>
      </c>
      <c r="D5763" s="125" t="str">
        <f>IFERROR(VLOOKUP($A5763,HeadJournal!$A$1:$NTR$890,COLUMN(HeadJournal!D$1),0),"")</f>
        <v>Доставлен</v>
      </c>
      <c r="E5763" s="95">
        <f>IFERROR(VLOOKUP($A5763,HeadJournal!$A$1:$NTR$890,COLUMN(HeadJournal!G$1),0),"")</f>
        <v>46119</v>
      </c>
      <c r="F5763" s="95" t="str">
        <f t="shared" si="423"/>
        <v>2026 04</v>
      </c>
      <c r="G5763" s="97" t="s">
        <v>5</v>
      </c>
      <c r="H5763" s="161" t="s">
        <v>2189</v>
      </c>
      <c r="I5763" s="97" t="s">
        <v>2005</v>
      </c>
      <c r="J5763" s="97" t="s">
        <v>5643</v>
      </c>
      <c r="K5763" s="29">
        <v>32.950000000000003</v>
      </c>
      <c r="L5763" s="29">
        <v>-6.59</v>
      </c>
      <c r="M5763" s="30">
        <f>IFERROR(VLOOKUP($A5763,HeadJournal!$A$1:$J$890,COLUMN(HeadJournal!I$1),0)*($K5763+$L5763)/(SUMIF($A:$A,$A5763,$K:$K)+SUMIF($A:$A,$A5763,$L:$L)),0)</f>
        <v>-1.3452630435962865</v>
      </c>
      <c r="N5763" s="30">
        <f>IFERROR((VLOOKUP($A5763,HeadJournal!$A$1:$K$890,COLUMN(HeadJournal!K$1),0)-VLOOKUP($A5763,HeadJournal!$A$1:$K$890,COLUMN(HeadJournal!J$1),0))*($K5763+$L5763)/(SUMIF($A:$A,$A5763,$K:$K)+SUMIF($A:$A,$A5763,$L:$L)),0)</f>
        <v>-4.0675186523994227E-15</v>
      </c>
      <c r="O5763" s="30">
        <f>IFERROR((VLOOKUP($A5763,HeadJournal!$A$1:$L$890,COLUMN(HeadJournal!L$1),0)*($K5763+$L5763)/(SUMIF($A:$A,$A5763,$K:$K)+SUMIF($A:$A,$A5763,$L:$L)))/VLOOKUP($A5763,HeadJournal!$A$1:$L$890,COLUMN(HeadJournal!H$1),0),0)</f>
        <v>1.3143045065914609</v>
      </c>
      <c r="P5763" s="30">
        <f>IFERROR(SUM(K5763:O5763)*VLOOKUP($A5763,HeadJournal!$A$1:$L$890,COLUMN(HeadJournal!H$1),0),0)</f>
        <v>2420.4130104783108</v>
      </c>
      <c r="Q5763" s="29">
        <v>3800</v>
      </c>
      <c r="R5763" s="31">
        <v>46170</v>
      </c>
      <c r="S5763" s="31" t="s">
        <v>3282</v>
      </c>
      <c r="T5763" s="95" t="str">
        <f t="shared" si="424"/>
        <v>2026 05</v>
      </c>
      <c r="U5763" s="32">
        <f t="shared" si="425"/>
        <v>1379.5869895216892</v>
      </c>
      <c r="V5763" s="22">
        <f t="shared" si="426"/>
        <v>0.56997999248444864</v>
      </c>
      <c r="X5763" s="33"/>
      <c r="Y5763" s="33"/>
    </row>
    <row r="5764" spans="1:25" x14ac:dyDescent="0.2">
      <c r="A5764" s="93" t="s">
        <v>5644</v>
      </c>
      <c r="B5764" s="94">
        <f>IFERROR(VLOOKUP($A5764,HeadJournal!$A$1:$NTR$890,COLUMN(HeadJournal!B$1),0),"")</f>
        <v>0</v>
      </c>
      <c r="C5764" s="94" t="str">
        <f>IFERROR(VLOOKUP($A5764,HeadJournal!$A$1:$NTR$890,COLUMN(HeadJournal!C$1),0),"")</f>
        <v>iHerb_MH DLE7202</v>
      </c>
      <c r="D5764" s="125" t="str">
        <f>IFERROR(VLOOKUP($A5764,HeadJournal!$A$1:$NTR$890,COLUMN(HeadJournal!D$1),0),"")</f>
        <v>Доставлен</v>
      </c>
      <c r="E5764" s="95">
        <f>IFERROR(VLOOKUP($A5764,HeadJournal!$A$1:$NTR$890,COLUMN(HeadJournal!G$1),0),"")</f>
        <v>46119</v>
      </c>
      <c r="F5764" s="95" t="str">
        <f t="shared" si="423"/>
        <v>2026 04</v>
      </c>
      <c r="G5764" s="97" t="s">
        <v>5</v>
      </c>
      <c r="H5764" s="161" t="s">
        <v>2866</v>
      </c>
      <c r="I5764" s="97" t="s">
        <v>2618</v>
      </c>
      <c r="J5764" s="97" t="s">
        <v>2867</v>
      </c>
      <c r="K5764" s="29">
        <v>25.88</v>
      </c>
      <c r="L5764" s="29">
        <v>-5.18</v>
      </c>
      <c r="M5764" s="30">
        <f>IFERROR(VLOOKUP($A5764,HeadJournal!$A$1:$J$890,COLUMN(HeadJournal!I$1),0)*($K5764+$L5764)/(SUMIF($A:$A,$A5764,$K:$K)+SUMIF($A:$A,$A5764,$L:$L)),0)</f>
        <v>-1.0564091427330473</v>
      </c>
      <c r="N5764" s="30">
        <f>IFERROR((VLOOKUP($A5764,HeadJournal!$A$1:$K$890,COLUMN(HeadJournal!K$1),0)-VLOOKUP($A5764,HeadJournal!$A$1:$K$890,COLUMN(HeadJournal!J$1),0))*($K5764+$L5764)/(SUMIF($A:$A,$A5764,$K:$K)+SUMIF($A:$A,$A5764,$L:$L)),0)</f>
        <v>-3.194144010040517E-15</v>
      </c>
      <c r="O5764" s="30">
        <f>IFERROR((VLOOKUP($A5764,HeadJournal!$A$1:$L$890,COLUMN(HeadJournal!L$1),0)*($K5764+$L5764)/(SUMIF($A:$A,$A5764,$K:$K)+SUMIF($A:$A,$A5764,$L:$L)))/VLOOKUP($A5764,HeadJournal!$A$1:$L$890,COLUMN(HeadJournal!H$1),0),0)</f>
        <v>1.0320980002444322</v>
      </c>
      <c r="P5764" s="30">
        <f>IFERROR(SUM(K5764:O5764)*VLOOKUP($A5764,HeadJournal!$A$1:$L$890,COLUMN(HeadJournal!H$1),0),0)</f>
        <v>1900.7036918399474</v>
      </c>
      <c r="Q5764" s="29">
        <v>3000</v>
      </c>
      <c r="R5764" s="31">
        <v>46162</v>
      </c>
      <c r="S5764" s="31" t="s">
        <v>4969</v>
      </c>
      <c r="T5764" s="95" t="str">
        <f t="shared" si="424"/>
        <v>2026 05</v>
      </c>
      <c r="U5764" s="32">
        <f t="shared" si="425"/>
        <v>1099.2963081600526</v>
      </c>
      <c r="V5764" s="22">
        <f t="shared" si="426"/>
        <v>0.57836279946186431</v>
      </c>
      <c r="X5764" s="33"/>
      <c r="Y5764" s="33"/>
    </row>
    <row r="5765" spans="1:25" x14ac:dyDescent="0.2">
      <c r="A5765" s="93" t="s">
        <v>5650</v>
      </c>
      <c r="B5765" s="94">
        <f>IFERROR(VLOOKUP($A5765,HeadJournal!$A$1:$NTR$890,COLUMN(HeadJournal!B$1),0),"")</f>
        <v>0</v>
      </c>
      <c r="C5765" s="94" t="str">
        <f>IFERROR(VLOOKUP($A5765,HeadJournal!$A$1:$NTR$890,COLUMN(HeadJournal!C$1),0),"")</f>
        <v>iHerb_AV CYG0792</v>
      </c>
      <c r="D5765" s="125" t="str">
        <f>IFERROR(VLOOKUP($A5765,HeadJournal!$A$1:$NTR$890,COLUMN(HeadJournal!D$1),0),"")</f>
        <v>Доставлен</v>
      </c>
      <c r="E5765" s="95">
        <f>IFERROR(VLOOKUP($A5765,HeadJournal!$A$1:$NTR$890,COLUMN(HeadJournal!G$1),0),"")</f>
        <v>46120</v>
      </c>
      <c r="F5765" s="95" t="str">
        <f t="shared" si="423"/>
        <v>2026 04</v>
      </c>
      <c r="G5765" s="97" t="s">
        <v>5</v>
      </c>
      <c r="H5765" s="161" t="s">
        <v>5448</v>
      </c>
      <c r="I5765" s="97" t="s">
        <v>2666</v>
      </c>
      <c r="J5765" s="97" t="s">
        <v>5610</v>
      </c>
      <c r="K5765" s="29">
        <v>13.41</v>
      </c>
      <c r="L5765" s="29">
        <v>-2.68</v>
      </c>
      <c r="M5765" s="30">
        <f>IFERROR(VLOOKUP($A5765,HeadJournal!$A$1:$J$890,COLUMN(HeadJournal!I$1),0)*($K5765+$L5765)/(SUMIF($A:$A,$A5765,$K:$K)+SUMIF($A:$A,$A5765,$L:$L)),0)</f>
        <v>-0.44006301652892571</v>
      </c>
      <c r="N5765" s="30">
        <f>IFERROR((VLOOKUP($A5765,HeadJournal!$A$1:$K$890,COLUMN(HeadJournal!K$1),0)-VLOOKUP($A5765,HeadJournal!$A$1:$K$890,COLUMN(HeadJournal!J$1),0))*($K5765+$L5765)/(SUMIF($A:$A,$A5765,$K:$K)+SUMIF($A:$A,$A5765,$L:$L)),0)</f>
        <v>1.5752321394020406E-15</v>
      </c>
      <c r="O5765" s="30">
        <f>IFERROR((VLOOKUP($A5765,HeadJournal!$A$1:$L$890,COLUMN(HeadJournal!L$1),0)*($K5765+$L5765)/(SUMIF($A:$A,$A5765,$K:$K)+SUMIF($A:$A,$A5765,$L:$L)))/VLOOKUP($A5765,HeadJournal!$A$1:$L$890,COLUMN(HeadJournal!H$1),0),0)</f>
        <v>0.5131199191447442</v>
      </c>
      <c r="P5765" s="30">
        <f>IFERROR(SUM(K5765:O5765)*VLOOKUP($A5765,HeadJournal!$A$1:$L$890,COLUMN(HeadJournal!H$1),0),0)</f>
        <v>985.12928099173575</v>
      </c>
      <c r="Q5765" s="29"/>
      <c r="R5765" s="31"/>
      <c r="S5765" s="31"/>
      <c r="T5765" s="95" t="str">
        <f t="shared" si="424"/>
        <v/>
      </c>
      <c r="U5765" s="32">
        <f t="shared" si="425"/>
        <v>-985.12928099173575</v>
      </c>
      <c r="V5765" s="22" t="str">
        <f t="shared" si="426"/>
        <v/>
      </c>
      <c r="X5765" s="33"/>
      <c r="Y5765" s="33"/>
    </row>
    <row r="5766" spans="1:25" x14ac:dyDescent="0.2">
      <c r="A5766" s="93" t="s">
        <v>5650</v>
      </c>
      <c r="B5766" s="94">
        <f>IFERROR(VLOOKUP($A5766,HeadJournal!$A$1:$NTR$890,COLUMN(HeadJournal!B$1),0),"")</f>
        <v>0</v>
      </c>
      <c r="C5766" s="94" t="str">
        <f>IFERROR(VLOOKUP($A5766,HeadJournal!$A$1:$NTR$890,COLUMN(HeadJournal!C$1),0),"")</f>
        <v>iHerb_AV CYG0792</v>
      </c>
      <c r="D5766" s="125" t="str">
        <f>IFERROR(VLOOKUP($A5766,HeadJournal!$A$1:$NTR$890,COLUMN(HeadJournal!D$1),0),"")</f>
        <v>Доставлен</v>
      </c>
      <c r="E5766" s="95">
        <f>IFERROR(VLOOKUP($A5766,HeadJournal!$A$1:$NTR$890,COLUMN(HeadJournal!G$1),0),"")</f>
        <v>46120</v>
      </c>
      <c r="F5766" s="95" t="str">
        <f t="shared" si="423"/>
        <v>2026 04</v>
      </c>
      <c r="G5766" s="97" t="s">
        <v>5</v>
      </c>
      <c r="H5766" s="161" t="s">
        <v>5645</v>
      </c>
      <c r="I5766" s="97" t="s">
        <v>2009</v>
      </c>
      <c r="J5766" s="97" t="s">
        <v>5646</v>
      </c>
      <c r="K5766" s="29">
        <v>7.44</v>
      </c>
      <c r="L5766" s="29">
        <v>-1.49</v>
      </c>
      <c r="M5766" s="30">
        <f>IFERROR(VLOOKUP($A5766,HeadJournal!$A$1:$J$890,COLUMN(HeadJournal!I$1),0)*($K5766+$L5766)/(SUMIF($A:$A,$A5766,$K:$K)+SUMIF($A:$A,$A5766,$L:$L)),0)</f>
        <v>-0.24402376033057857</v>
      </c>
      <c r="N5766" s="30">
        <f>IFERROR((VLOOKUP($A5766,HeadJournal!$A$1:$K$890,COLUMN(HeadJournal!K$1),0)-VLOOKUP($A5766,HeadJournal!$A$1:$K$890,COLUMN(HeadJournal!J$1),0))*($K5766+$L5766)/(SUMIF($A:$A,$A5766,$K:$K)+SUMIF($A:$A,$A5766,$L:$L)),0)</f>
        <v>8.7349778466375967E-16</v>
      </c>
      <c r="O5766" s="30">
        <f>IFERROR((VLOOKUP($A5766,HeadJournal!$A$1:$L$890,COLUMN(HeadJournal!L$1),0)*($K5766+$L5766)/(SUMIF($A:$A,$A5766,$K:$K)+SUMIF($A:$A,$A5766,$L:$L)))/VLOOKUP($A5766,HeadJournal!$A$1:$L$890,COLUMN(HeadJournal!H$1),0),0)</f>
        <v>0.28453527669256556</v>
      </c>
      <c r="P5766" s="30">
        <f>IFERROR(SUM(K5766:O5766)*VLOOKUP($A5766,HeadJournal!$A$1:$L$890,COLUMN(HeadJournal!H$1),0),0)</f>
        <v>546.27392561983493</v>
      </c>
      <c r="Q5766" s="29">
        <v>1600</v>
      </c>
      <c r="R5766" s="31">
        <v>46149</v>
      </c>
      <c r="S5766" s="31" t="s">
        <v>3226</v>
      </c>
      <c r="T5766" s="95" t="str">
        <f t="shared" si="424"/>
        <v>2026 05</v>
      </c>
      <c r="U5766" s="32">
        <f t="shared" si="425"/>
        <v>1053.7260743801651</v>
      </c>
      <c r="V5766" s="22">
        <f t="shared" si="426"/>
        <v>1.9289334983077304</v>
      </c>
      <c r="X5766" s="33"/>
      <c r="Y5766" s="33"/>
    </row>
    <row r="5767" spans="1:25" x14ac:dyDescent="0.2">
      <c r="A5767" s="93" t="s">
        <v>5650</v>
      </c>
      <c r="B5767" s="94">
        <f>IFERROR(VLOOKUP($A5767,HeadJournal!$A$1:$NTR$890,COLUMN(HeadJournal!B$1),0),"")</f>
        <v>0</v>
      </c>
      <c r="C5767" s="94" t="str">
        <f>IFERROR(VLOOKUP($A5767,HeadJournal!$A$1:$NTR$890,COLUMN(HeadJournal!C$1),0),"")</f>
        <v>iHerb_AV CYG0792</v>
      </c>
      <c r="D5767" s="125" t="str">
        <f>IFERROR(VLOOKUP($A5767,HeadJournal!$A$1:$NTR$890,COLUMN(HeadJournal!D$1),0),"")</f>
        <v>Доставлен</v>
      </c>
      <c r="E5767" s="95">
        <f>IFERROR(VLOOKUP($A5767,HeadJournal!$A$1:$NTR$890,COLUMN(HeadJournal!G$1),0),"")</f>
        <v>46120</v>
      </c>
      <c r="F5767" s="95" t="str">
        <f t="shared" si="423"/>
        <v>2026 04</v>
      </c>
      <c r="G5767" s="97" t="s">
        <v>5</v>
      </c>
      <c r="H5767" s="161" t="s">
        <v>2548</v>
      </c>
      <c r="I5767" s="97" t="s">
        <v>2005</v>
      </c>
      <c r="J5767" s="97" t="s">
        <v>2549</v>
      </c>
      <c r="K5767" s="29">
        <v>13.64</v>
      </c>
      <c r="L5767" s="29">
        <v>-2.73</v>
      </c>
      <c r="M5767" s="30">
        <f>IFERROR(VLOOKUP($A5767,HeadJournal!$A$1:$J$890,COLUMN(HeadJournal!I$1),0)*($K5767+$L5767)/(SUMIF($A:$A,$A5767,$K:$K)+SUMIF($A:$A,$A5767,$L:$L)),0)</f>
        <v>-0.44744524793388435</v>
      </c>
      <c r="N5767" s="30">
        <f>IFERROR((VLOOKUP($A5767,HeadJournal!$A$1:$K$890,COLUMN(HeadJournal!K$1),0)-VLOOKUP($A5767,HeadJournal!$A$1:$K$890,COLUMN(HeadJournal!J$1),0))*($K5767+$L5767)/(SUMIF($A:$A,$A5767,$K:$K)+SUMIF($A:$A,$A5767,$L:$L)),0)</f>
        <v>1.6016572824674989E-15</v>
      </c>
      <c r="O5767" s="30">
        <f>IFERROR((VLOOKUP($A5767,HeadJournal!$A$1:$L$890,COLUMN(HeadJournal!L$1),0)*($K5767+$L5767)/(SUMIF($A:$A,$A5767,$K:$K)+SUMIF($A:$A,$A5767,$L:$L)))/VLOOKUP($A5767,HeadJournal!$A$1:$L$890,COLUMN(HeadJournal!H$1),0),0)</f>
        <v>0.52172770902788068</v>
      </c>
      <c r="P5767" s="30">
        <f>IFERROR(SUM(K5767:O5767)*VLOOKUP($A5767,HeadJournal!$A$1:$L$890,COLUMN(HeadJournal!H$1),0),0)</f>
        <v>1001.6552148760333</v>
      </c>
      <c r="Q5767" s="29">
        <v>1900</v>
      </c>
      <c r="R5767" s="163">
        <v>46149</v>
      </c>
      <c r="S5767" s="31" t="s">
        <v>3226</v>
      </c>
      <c r="T5767" s="95" t="str">
        <f t="shared" si="424"/>
        <v>2026 05</v>
      </c>
      <c r="U5767" s="32">
        <f t="shared" si="425"/>
        <v>898.34478512396674</v>
      </c>
      <c r="V5767" s="22">
        <f t="shared" si="426"/>
        <v>0.89686028863249878</v>
      </c>
      <c r="X5767" s="33"/>
      <c r="Y5767" s="33"/>
    </row>
    <row r="5768" spans="1:25" x14ac:dyDescent="0.2">
      <c r="A5768" s="93" t="s">
        <v>5650</v>
      </c>
      <c r="B5768" s="94">
        <f>IFERROR(VLOOKUP($A5768,HeadJournal!$A$1:$NTR$890,COLUMN(HeadJournal!B$1),0),"")</f>
        <v>0</v>
      </c>
      <c r="C5768" s="94" t="str">
        <f>IFERROR(VLOOKUP($A5768,HeadJournal!$A$1:$NTR$890,COLUMN(HeadJournal!C$1),0),"")</f>
        <v>iHerb_AV CYG0792</v>
      </c>
      <c r="D5768" s="125" t="str">
        <f>IFERROR(VLOOKUP($A5768,HeadJournal!$A$1:$NTR$890,COLUMN(HeadJournal!D$1),0),"")</f>
        <v>Доставлен</v>
      </c>
      <c r="E5768" s="95">
        <f>IFERROR(VLOOKUP($A5768,HeadJournal!$A$1:$NTR$890,COLUMN(HeadJournal!G$1),0),"")</f>
        <v>46120</v>
      </c>
      <c r="F5768" s="95" t="str">
        <f t="shared" si="423"/>
        <v>2026 04</v>
      </c>
      <c r="G5768" s="97" t="s">
        <v>5</v>
      </c>
      <c r="H5768" s="161" t="s">
        <v>2483</v>
      </c>
      <c r="I5768" s="97" t="s">
        <v>2484</v>
      </c>
      <c r="J5768" s="97" t="s">
        <v>5647</v>
      </c>
      <c r="K5768" s="29">
        <v>22.33</v>
      </c>
      <c r="L5768" s="29">
        <v>-4.47</v>
      </c>
      <c r="M5768" s="30">
        <f>IFERROR(VLOOKUP($A5768,HeadJournal!$A$1:$J$890,COLUMN(HeadJournal!I$1),0)*($K5768+$L5768)/(SUMIF($A:$A,$A5768,$K:$K)+SUMIF($A:$A,$A5768,$L:$L)),0)</f>
        <v>-0.73248140495867786</v>
      </c>
      <c r="N5768" s="30">
        <f>IFERROR((VLOOKUP($A5768,HeadJournal!$A$1:$K$890,COLUMN(HeadJournal!K$1),0)-VLOOKUP($A5768,HeadJournal!$A$1:$K$890,COLUMN(HeadJournal!J$1),0))*($K5768+$L5768)/(SUMIF($A:$A,$A5768,$K:$K)+SUMIF($A:$A,$A5768,$L:$L)),0)</f>
        <v>2.6219614174949156E-15</v>
      </c>
      <c r="O5768" s="30">
        <f>IFERROR((VLOOKUP($A5768,HeadJournal!$A$1:$L$890,COLUMN(HeadJournal!L$1),0)*($K5768+$L5768)/(SUMIF($A:$A,$A5768,$K:$K)+SUMIF($A:$A,$A5768,$L:$L)))/VLOOKUP($A5768,HeadJournal!$A$1:$L$890,COLUMN(HeadJournal!H$1),0),0)</f>
        <v>0.85408404062675991</v>
      </c>
      <c r="P5768" s="30">
        <f>IFERROR(SUM(K5768:O5768)*VLOOKUP($A5768,HeadJournal!$A$1:$L$890,COLUMN(HeadJournal!H$1),0),0)</f>
        <v>1639.7398842975213</v>
      </c>
      <c r="Q5768" s="29">
        <v>2700</v>
      </c>
      <c r="R5768" s="31">
        <v>46149</v>
      </c>
      <c r="S5768" s="31" t="s">
        <v>3226</v>
      </c>
      <c r="T5768" s="95" t="str">
        <f t="shared" si="424"/>
        <v>2026 05</v>
      </c>
      <c r="U5768" s="32">
        <f t="shared" si="425"/>
        <v>1060.2601157024787</v>
      </c>
      <c r="V5768" s="22">
        <f t="shared" si="426"/>
        <v>0.6466026263407646</v>
      </c>
      <c r="X5768" s="33"/>
      <c r="Y5768" s="33"/>
    </row>
    <row r="5769" spans="1:25" x14ac:dyDescent="0.2">
      <c r="A5769" s="93" t="s">
        <v>5650</v>
      </c>
      <c r="B5769" s="94">
        <f>IFERROR(VLOOKUP($A5769,HeadJournal!$A$1:$NTR$890,COLUMN(HeadJournal!B$1),0),"")</f>
        <v>0</v>
      </c>
      <c r="C5769" s="94" t="str">
        <f>IFERROR(VLOOKUP($A5769,HeadJournal!$A$1:$NTR$890,COLUMN(HeadJournal!C$1),0),"")</f>
        <v>iHerb_AV CYG0792</v>
      </c>
      <c r="D5769" s="125" t="str">
        <f>IFERROR(VLOOKUP($A5769,HeadJournal!$A$1:$NTR$890,COLUMN(HeadJournal!D$1),0),"")</f>
        <v>Доставлен</v>
      </c>
      <c r="E5769" s="95">
        <f>IFERROR(VLOOKUP($A5769,HeadJournal!$A$1:$NTR$890,COLUMN(HeadJournal!G$1),0),"")</f>
        <v>46120</v>
      </c>
      <c r="F5769" s="95" t="str">
        <f t="shared" si="423"/>
        <v>2026 04</v>
      </c>
      <c r="G5769" s="97" t="s">
        <v>5</v>
      </c>
      <c r="H5769" s="161" t="s">
        <v>5648</v>
      </c>
      <c r="I5769" s="97" t="s">
        <v>2166</v>
      </c>
      <c r="J5769" s="97" t="s">
        <v>5649</v>
      </c>
      <c r="K5769" s="29">
        <v>21.24</v>
      </c>
      <c r="L5769" s="29">
        <v>-4.25</v>
      </c>
      <c r="M5769" s="30">
        <f>IFERROR(VLOOKUP($A5769,HeadJournal!$A$1:$J$890,COLUMN(HeadJournal!I$1),0)*($K5769+$L5769)/(SUMIF($A:$A,$A5769,$K:$K)+SUMIF($A:$A,$A5769,$L:$L)),0)</f>
        <v>-0.69680061983471087</v>
      </c>
      <c r="N5769" s="30">
        <f>IFERROR((VLOOKUP($A5769,HeadJournal!$A$1:$K$890,COLUMN(HeadJournal!K$1),0)-VLOOKUP($A5769,HeadJournal!$A$1:$K$890,COLUMN(HeadJournal!J$1),0))*($K5769+$L5769)/(SUMIF($A:$A,$A5769,$K:$K)+SUMIF($A:$A,$A5769,$L:$L)),0)</f>
        <v>2.4942398926785335E-15</v>
      </c>
      <c r="O5769" s="30">
        <f>IFERROR((VLOOKUP($A5769,HeadJournal!$A$1:$L$890,COLUMN(HeadJournal!L$1),0)*($K5769+$L5769)/(SUMIF($A:$A,$A5769,$K:$K)+SUMIF($A:$A,$A5769,$L:$L)))/VLOOKUP($A5769,HeadJournal!$A$1:$L$890,COLUMN(HeadJournal!H$1),0),0)</f>
        <v>0.81247972285826697</v>
      </c>
      <c r="P5769" s="30">
        <f>IFERROR(SUM(K5769:O5769)*VLOOKUP($A5769,HeadJournal!$A$1:$L$890,COLUMN(HeadJournal!H$1),0),0)</f>
        <v>1559.864537190083</v>
      </c>
      <c r="Q5769" s="29">
        <v>2600</v>
      </c>
      <c r="R5769" s="31">
        <v>46149</v>
      </c>
      <c r="S5769" s="31" t="s">
        <v>3226</v>
      </c>
      <c r="T5769" s="95" t="str">
        <f t="shared" si="424"/>
        <v>2026 05</v>
      </c>
      <c r="U5769" s="32">
        <f t="shared" si="425"/>
        <v>1040.135462809917</v>
      </c>
      <c r="V5769" s="22">
        <f t="shared" si="426"/>
        <v>0.66681140445926268</v>
      </c>
      <c r="X5769" s="33"/>
      <c r="Y5769" s="33"/>
    </row>
    <row r="5770" spans="1:25" x14ac:dyDescent="0.2">
      <c r="A5770" s="93" t="s">
        <v>5650</v>
      </c>
      <c r="B5770" s="94">
        <f>IFERROR(VLOOKUP($A5770,HeadJournal!$A$1:$NTR$890,COLUMN(HeadJournal!B$1),0),"")</f>
        <v>0</v>
      </c>
      <c r="C5770" s="94" t="str">
        <f>IFERROR(VLOOKUP($A5770,HeadJournal!$A$1:$NTR$890,COLUMN(HeadJournal!C$1),0),"")</f>
        <v>iHerb_AV CYG0792</v>
      </c>
      <c r="D5770" s="125" t="str">
        <f>IFERROR(VLOOKUP($A5770,HeadJournal!$A$1:$NTR$890,COLUMN(HeadJournal!D$1),0),"")</f>
        <v>Доставлен</v>
      </c>
      <c r="E5770" s="95">
        <f>IFERROR(VLOOKUP($A5770,HeadJournal!$A$1:$NTR$890,COLUMN(HeadJournal!G$1),0),"")</f>
        <v>46120</v>
      </c>
      <c r="F5770" s="95" t="str">
        <f t="shared" si="423"/>
        <v>2026 04</v>
      </c>
      <c r="G5770" s="97" t="s">
        <v>5</v>
      </c>
      <c r="H5770" s="161" t="s">
        <v>2047</v>
      </c>
      <c r="I5770" s="97" t="s">
        <v>2052</v>
      </c>
      <c r="J5770" s="97" t="s">
        <v>5372</v>
      </c>
      <c r="K5770" s="29">
        <v>38.94</v>
      </c>
      <c r="L5770" s="29">
        <v>-7.79</v>
      </c>
      <c r="M5770" s="30">
        <f>IFERROR(VLOOKUP($A5770,HeadJournal!$A$1:$J$890,COLUMN(HeadJournal!I$1),0)*($K5770+$L5770)/(SUMIF($A:$A,$A5770,$K:$K)+SUMIF($A:$A,$A5770,$L:$L)),0)</f>
        <v>-1.2775361570247936</v>
      </c>
      <c r="N5770" s="30">
        <f>IFERROR((VLOOKUP($A5770,HeadJournal!$A$1:$K$890,COLUMN(HeadJournal!K$1),0)-VLOOKUP($A5770,HeadJournal!$A$1:$K$890,COLUMN(HeadJournal!J$1),0))*($K5770+$L5770)/(SUMIF($A:$A,$A5770,$K:$K)+SUMIF($A:$A,$A5770,$L:$L)),0)</f>
        <v>4.5730178138279183E-15</v>
      </c>
      <c r="O5770" s="30">
        <f>IFERROR((VLOOKUP($A5770,HeadJournal!$A$1:$L$890,COLUMN(HeadJournal!L$1),0)*($K5770+$L5770)/(SUMIF($A:$A,$A5770,$K:$K)+SUMIF($A:$A,$A5770,$L:$L)))/VLOOKUP($A5770,HeadJournal!$A$1:$L$890,COLUMN(HeadJournal!H$1),0),0)</f>
        <v>1.4896258603316663</v>
      </c>
      <c r="P5770" s="30">
        <f>IFERROR(SUM(K5770:O5770)*VLOOKUP($A5770,HeadJournal!$A$1:$L$890,COLUMN(HeadJournal!H$1),0),0)</f>
        <v>2859.9046694214881</v>
      </c>
      <c r="Q5770" s="29">
        <v>4200</v>
      </c>
      <c r="R5770" s="31">
        <v>46149</v>
      </c>
      <c r="S5770" s="31" t="s">
        <v>3226</v>
      </c>
      <c r="T5770" s="95" t="str">
        <f t="shared" si="424"/>
        <v>2026 05</v>
      </c>
      <c r="U5770" s="32">
        <f t="shared" si="425"/>
        <v>1340.0953305785119</v>
      </c>
      <c r="V5770" s="22">
        <f t="shared" si="426"/>
        <v>0.46858041979755616</v>
      </c>
      <c r="X5770" s="33"/>
      <c r="Y5770" s="33"/>
    </row>
    <row r="5771" spans="1:25" x14ac:dyDescent="0.2">
      <c r="A5771" s="93" t="s">
        <v>5650</v>
      </c>
      <c r="B5771" s="94">
        <f>IFERROR(VLOOKUP($A5771,HeadJournal!$A$1:$NTR$890,COLUMN(HeadJournal!B$1),0),"")</f>
        <v>0</v>
      </c>
      <c r="C5771" s="94" t="str">
        <f>IFERROR(VLOOKUP($A5771,HeadJournal!$A$1:$NTR$890,COLUMN(HeadJournal!C$1),0),"")</f>
        <v>iHerb_AV CYG0792</v>
      </c>
      <c r="D5771" s="125" t="str">
        <f>IFERROR(VLOOKUP($A5771,HeadJournal!$A$1:$NTR$890,COLUMN(HeadJournal!D$1),0),"")</f>
        <v>Доставлен</v>
      </c>
      <c r="E5771" s="95">
        <f>IFERROR(VLOOKUP($A5771,HeadJournal!$A$1:$NTR$890,COLUMN(HeadJournal!G$1),0),"")</f>
        <v>46120</v>
      </c>
      <c r="F5771" s="95" t="str">
        <f t="shared" si="423"/>
        <v>2026 04</v>
      </c>
      <c r="G5771" s="97" t="s">
        <v>5</v>
      </c>
      <c r="H5771" s="161" t="s">
        <v>5162</v>
      </c>
      <c r="I5771" s="97" t="s">
        <v>2009</v>
      </c>
      <c r="J5771" s="97" t="s">
        <v>5163</v>
      </c>
      <c r="K5771" s="29">
        <v>31.08</v>
      </c>
      <c r="L5771" s="29">
        <v>-6.2149999999999999</v>
      </c>
      <c r="M5771" s="30">
        <f>IFERROR(VLOOKUP($A5771,HeadJournal!$A$1:$J$890,COLUMN(HeadJournal!I$1),0)*($K5771+$L5771)/(SUMIF($A:$A,$A5771,$K:$K)+SUMIF($A:$A,$A5771,$L:$L)),0)</f>
        <v>-1.0197732438016531</v>
      </c>
      <c r="N5771" s="30">
        <f>IFERROR((VLOOKUP($A5771,HeadJournal!$A$1:$K$890,COLUMN(HeadJournal!K$1),0)-VLOOKUP($A5771,HeadJournal!$A$1:$K$890,COLUMN(HeadJournal!J$1),0))*($K5771+$L5771)/(SUMIF($A:$A,$A5771,$K:$K)+SUMIF($A:$A,$A5771,$L:$L)),0)</f>
        <v>3.6503399017923331E-15</v>
      </c>
      <c r="O5771" s="30">
        <f>IFERROR((VLOOKUP($A5771,HeadJournal!$A$1:$L$890,COLUMN(HeadJournal!L$1),0)*($K5771+$L5771)/(SUMIF($A:$A,$A5771,$K:$K)+SUMIF($A:$A,$A5771,$L:$L)))/VLOOKUP($A5771,HeadJournal!$A$1:$L$890,COLUMN(HeadJournal!H$1),0),0)</f>
        <v>1.189070530245486</v>
      </c>
      <c r="P5771" s="30">
        <f>IFERROR(SUM(K5771:O5771)*VLOOKUP($A5771,HeadJournal!$A$1:$L$890,COLUMN(HeadJournal!H$1),0),0)</f>
        <v>2282.8741446280997</v>
      </c>
      <c r="Q5771" s="29">
        <v>3500</v>
      </c>
      <c r="R5771" s="31">
        <v>46149</v>
      </c>
      <c r="S5771" s="31" t="s">
        <v>3235</v>
      </c>
      <c r="T5771" s="95" t="str">
        <f t="shared" si="424"/>
        <v>2026 05</v>
      </c>
      <c r="U5771" s="32">
        <f t="shared" si="425"/>
        <v>1217.1258553719003</v>
      </c>
      <c r="V5771" s="22">
        <f t="shared" si="426"/>
        <v>0.53315503977122702</v>
      </c>
      <c r="X5771" s="33"/>
      <c r="Y5771" s="33"/>
    </row>
    <row r="5772" spans="1:25" x14ac:dyDescent="0.2">
      <c r="A5772" s="93" t="s">
        <v>5650</v>
      </c>
      <c r="B5772" s="94">
        <f>IFERROR(VLOOKUP($A5772,HeadJournal!$A$1:$NTR$890,COLUMN(HeadJournal!B$1),0),"")</f>
        <v>0</v>
      </c>
      <c r="C5772" s="94" t="str">
        <f>IFERROR(VLOOKUP($A5772,HeadJournal!$A$1:$NTR$890,COLUMN(HeadJournal!C$1),0),"")</f>
        <v>iHerb_AV CYG0792</v>
      </c>
      <c r="D5772" s="125" t="str">
        <f>IFERROR(VLOOKUP($A5772,HeadJournal!$A$1:$NTR$890,COLUMN(HeadJournal!D$1),0),"")</f>
        <v>Доставлен</v>
      </c>
      <c r="E5772" s="95">
        <f>IFERROR(VLOOKUP($A5772,HeadJournal!$A$1:$NTR$890,COLUMN(HeadJournal!G$1),0),"")</f>
        <v>46120</v>
      </c>
      <c r="F5772" s="95" t="str">
        <f t="shared" si="423"/>
        <v>2026 04</v>
      </c>
      <c r="G5772" s="97" t="s">
        <v>5</v>
      </c>
      <c r="H5772" s="161" t="s">
        <v>5162</v>
      </c>
      <c r="I5772" s="97" t="s">
        <v>2009</v>
      </c>
      <c r="J5772" s="97" t="s">
        <v>5163</v>
      </c>
      <c r="K5772" s="29">
        <v>31.08</v>
      </c>
      <c r="L5772" s="29">
        <v>-6.2149999999999999</v>
      </c>
      <c r="M5772" s="30">
        <f>IFERROR(VLOOKUP($A5772,HeadJournal!$A$1:$J$890,COLUMN(HeadJournal!I$1),0)*($K5772+$L5772)/(SUMIF($A:$A,$A5772,$K:$K)+SUMIF($A:$A,$A5772,$L:$L)),0)</f>
        <v>-1.0197732438016531</v>
      </c>
      <c r="N5772" s="30">
        <f>IFERROR((VLOOKUP($A5772,HeadJournal!$A$1:$K$890,COLUMN(HeadJournal!K$1),0)-VLOOKUP($A5772,HeadJournal!$A$1:$K$890,COLUMN(HeadJournal!J$1),0))*($K5772+$L5772)/(SUMIF($A:$A,$A5772,$K:$K)+SUMIF($A:$A,$A5772,$L:$L)),0)</f>
        <v>3.6503399017923331E-15</v>
      </c>
      <c r="O5772" s="30">
        <f>IFERROR((VLOOKUP($A5772,HeadJournal!$A$1:$L$890,COLUMN(HeadJournal!L$1),0)*($K5772+$L5772)/(SUMIF($A:$A,$A5772,$K:$K)+SUMIF($A:$A,$A5772,$L:$L)))/VLOOKUP($A5772,HeadJournal!$A$1:$L$890,COLUMN(HeadJournal!H$1),0),0)</f>
        <v>1.189070530245486</v>
      </c>
      <c r="P5772" s="30">
        <f>IFERROR(SUM(K5772:O5772)*VLOOKUP($A5772,HeadJournal!$A$1:$L$890,COLUMN(HeadJournal!H$1),0),0)</f>
        <v>2282.8741446280997</v>
      </c>
      <c r="Q5772" s="29">
        <v>3500</v>
      </c>
      <c r="R5772" s="31">
        <v>46149</v>
      </c>
      <c r="S5772" s="31" t="s">
        <v>3235</v>
      </c>
      <c r="T5772" s="95" t="str">
        <f t="shared" si="424"/>
        <v>2026 05</v>
      </c>
      <c r="U5772" s="32">
        <f t="shared" si="425"/>
        <v>1217.1258553719003</v>
      </c>
      <c r="V5772" s="22">
        <f t="shared" si="426"/>
        <v>0.53315503977122702</v>
      </c>
      <c r="X5772" s="33"/>
      <c r="Y5772" s="33"/>
    </row>
    <row r="5773" spans="1:25" x14ac:dyDescent="0.2">
      <c r="A5773" s="93" t="s">
        <v>5650</v>
      </c>
      <c r="B5773" s="94">
        <f>IFERROR(VLOOKUP($A5773,HeadJournal!$A$1:$NTR$890,COLUMN(HeadJournal!B$1),0),"")</f>
        <v>0</v>
      </c>
      <c r="C5773" s="94" t="str">
        <f>IFERROR(VLOOKUP($A5773,HeadJournal!$A$1:$NTR$890,COLUMN(HeadJournal!C$1),0),"")</f>
        <v>iHerb_AV CYG0792</v>
      </c>
      <c r="D5773" s="125" t="str">
        <f>IFERROR(VLOOKUP($A5773,HeadJournal!$A$1:$NTR$890,COLUMN(HeadJournal!D$1),0),"")</f>
        <v>Доставлен</v>
      </c>
      <c r="E5773" s="95">
        <f>IFERROR(VLOOKUP($A5773,HeadJournal!$A$1:$NTR$890,COLUMN(HeadJournal!G$1),0),"")</f>
        <v>46120</v>
      </c>
      <c r="F5773" s="95" t="str">
        <f t="shared" si="423"/>
        <v>2026 04</v>
      </c>
      <c r="G5773" s="97" t="s">
        <v>5</v>
      </c>
      <c r="H5773" s="161" t="s">
        <v>5141</v>
      </c>
      <c r="I5773" s="97" t="s">
        <v>2163</v>
      </c>
      <c r="J5773" s="97" t="s">
        <v>5142</v>
      </c>
      <c r="K5773" s="29">
        <v>29.77</v>
      </c>
      <c r="L5773" s="29">
        <v>-5.95</v>
      </c>
      <c r="M5773" s="30">
        <f>IFERROR(VLOOKUP($A5773,HeadJournal!$A$1:$J$890,COLUMN(HeadJournal!I$1),0)*($K5773+$L5773)/(SUMIF($A:$A,$A5773,$K:$K)+SUMIF($A:$A,$A5773,$L:$L)),0)</f>
        <v>-0.97691528925619864</v>
      </c>
      <c r="N5773" s="30">
        <f>IFERROR((VLOOKUP($A5773,HeadJournal!$A$1:$K$890,COLUMN(HeadJournal!K$1),0)-VLOOKUP($A5773,HeadJournal!$A$1:$K$890,COLUMN(HeadJournal!J$1),0))*($K5773+$L5773)/(SUMIF($A:$A,$A5773,$K:$K)+SUMIF($A:$A,$A5773,$L:$L)),0)</f>
        <v>3.4969272656623117E-15</v>
      </c>
      <c r="O5773" s="30">
        <f>IFERROR((VLOOKUP($A5773,HeadJournal!$A$1:$L$890,COLUMN(HeadJournal!L$1),0)*($K5773+$L5773)/(SUMIF($A:$A,$A5773,$K:$K)+SUMIF($A:$A,$A5773,$L:$L)))/VLOOKUP($A5773,HeadJournal!$A$1:$L$890,COLUMN(HeadJournal!H$1),0),0)</f>
        <v>1.1390975278683884</v>
      </c>
      <c r="P5773" s="30">
        <f>IFERROR(SUM(K5773:O5773)*VLOOKUP($A5773,HeadJournal!$A$1:$L$890,COLUMN(HeadJournal!H$1),0),0)</f>
        <v>2186.9319173553722</v>
      </c>
      <c r="Q5773" s="29">
        <v>3400</v>
      </c>
      <c r="R5773" s="31">
        <v>46149</v>
      </c>
      <c r="S5773" s="31" t="s">
        <v>3226</v>
      </c>
      <c r="T5773" s="95" t="str">
        <f t="shared" si="424"/>
        <v>2026 05</v>
      </c>
      <c r="U5773" s="32">
        <f t="shared" si="425"/>
        <v>1213.0680826446278</v>
      </c>
      <c r="V5773" s="22">
        <f t="shared" si="426"/>
        <v>0.55468945924552371</v>
      </c>
      <c r="X5773" s="33"/>
      <c r="Y5773" s="33"/>
    </row>
    <row r="5774" spans="1:25" x14ac:dyDescent="0.2">
      <c r="A5774" s="93" t="s">
        <v>5650</v>
      </c>
      <c r="B5774" s="94">
        <f>IFERROR(VLOOKUP($A5774,HeadJournal!$A$1:$NTR$890,COLUMN(HeadJournal!B$1),0),"")</f>
        <v>0</v>
      </c>
      <c r="C5774" s="94" t="str">
        <f>IFERROR(VLOOKUP($A5774,HeadJournal!$A$1:$NTR$890,COLUMN(HeadJournal!C$1),0),"")</f>
        <v>iHerb_AV CYG0792</v>
      </c>
      <c r="D5774" s="125" t="str">
        <f>IFERROR(VLOOKUP($A5774,HeadJournal!$A$1:$NTR$890,COLUMN(HeadJournal!D$1),0),"")</f>
        <v>Доставлен</v>
      </c>
      <c r="E5774" s="95">
        <f>IFERROR(VLOOKUP($A5774,HeadJournal!$A$1:$NTR$890,COLUMN(HeadJournal!G$1),0),"")</f>
        <v>46120</v>
      </c>
      <c r="F5774" s="95" t="str">
        <f t="shared" si="423"/>
        <v>2026 04</v>
      </c>
      <c r="G5774" s="97" t="s">
        <v>5</v>
      </c>
      <c r="H5774" s="161" t="s">
        <v>2103</v>
      </c>
      <c r="I5774" s="97" t="s">
        <v>2039</v>
      </c>
      <c r="J5774" s="97" t="s">
        <v>2104</v>
      </c>
      <c r="K5774" s="29">
        <v>20.48</v>
      </c>
      <c r="L5774" s="29">
        <v>-4.0999999999999996</v>
      </c>
      <c r="M5774" s="30">
        <f>IFERROR(VLOOKUP($A5774,HeadJournal!$A$1:$J$890,COLUMN(HeadJournal!I$1),0)*($K5774+$L5774)/(SUMIF($A:$A,$A5774,$K:$K)+SUMIF($A:$A,$A5774,$L:$L)),0)</f>
        <v>-0.67178305785123993</v>
      </c>
      <c r="N5774" s="30">
        <f>IFERROR((VLOOKUP($A5774,HeadJournal!$A$1:$K$890,COLUMN(HeadJournal!K$1),0)-VLOOKUP($A5774,HeadJournal!$A$1:$K$890,COLUMN(HeadJournal!J$1),0))*($K5774+$L5774)/(SUMIF($A:$A,$A5774,$K:$K)+SUMIF($A:$A,$A5774,$L:$L)),0)</f>
        <v>2.4046880189567034E-15</v>
      </c>
      <c r="O5774" s="30">
        <f>IFERROR((VLOOKUP($A5774,HeadJournal!$A$1:$L$890,COLUMN(HeadJournal!L$1),0)*($K5774+$L5774)/(SUMIF($A:$A,$A5774,$K:$K)+SUMIF($A:$A,$A5774,$L:$L)))/VLOOKUP($A5774,HeadJournal!$A$1:$L$890,COLUMN(HeadJournal!H$1),0),0)</f>
        <v>0.78330887936541582</v>
      </c>
      <c r="P5774" s="30">
        <f>IFERROR(SUM(K5774:O5774)*VLOOKUP($A5774,HeadJournal!$A$1:$L$890,COLUMN(HeadJournal!H$1),0),0)</f>
        <v>1503.8599834710749</v>
      </c>
      <c r="Q5774" s="29">
        <v>2300</v>
      </c>
      <c r="R5774" s="31">
        <v>46157</v>
      </c>
      <c r="S5774" s="31" t="s">
        <v>4868</v>
      </c>
      <c r="T5774" s="95" t="str">
        <f t="shared" si="424"/>
        <v>2026 05</v>
      </c>
      <c r="U5774" s="32">
        <f t="shared" si="425"/>
        <v>796.14001652892512</v>
      </c>
      <c r="V5774" s="22">
        <f t="shared" si="426"/>
        <v>0.52939770010459752</v>
      </c>
      <c r="X5774" s="33"/>
      <c r="Y5774" s="33"/>
    </row>
    <row r="5775" spans="1:25" x14ac:dyDescent="0.2">
      <c r="A5775" s="93" t="s">
        <v>5650</v>
      </c>
      <c r="B5775" s="94">
        <f>IFERROR(VLOOKUP($A5775,HeadJournal!$A$1:$NTR$890,COLUMN(HeadJournal!B$1),0),"")</f>
        <v>0</v>
      </c>
      <c r="C5775" s="94" t="str">
        <f>IFERROR(VLOOKUP($A5775,HeadJournal!$A$1:$NTR$890,COLUMN(HeadJournal!C$1),0),"")</f>
        <v>iHerb_AV CYG0792</v>
      </c>
      <c r="D5775" s="125" t="str">
        <f>IFERROR(VLOOKUP($A5775,HeadJournal!$A$1:$NTR$890,COLUMN(HeadJournal!D$1),0),"")</f>
        <v>Доставлен</v>
      </c>
      <c r="E5775" s="95">
        <f>IFERROR(VLOOKUP($A5775,HeadJournal!$A$1:$NTR$890,COLUMN(HeadJournal!G$1),0),"")</f>
        <v>46120</v>
      </c>
      <c r="F5775" s="95" t="str">
        <f t="shared" si="423"/>
        <v>2026 04</v>
      </c>
      <c r="G5775" s="97" t="s">
        <v>5</v>
      </c>
      <c r="H5775" s="161" t="s">
        <v>2105</v>
      </c>
      <c r="I5775" s="97" t="s">
        <v>2039</v>
      </c>
      <c r="J5775" s="97" t="s">
        <v>2106</v>
      </c>
      <c r="K5775" s="29">
        <v>12.6</v>
      </c>
      <c r="L5775" s="29">
        <v>-2.52</v>
      </c>
      <c r="M5775" s="30">
        <f>IFERROR(VLOOKUP($A5775,HeadJournal!$A$1:$J$890,COLUMN(HeadJournal!I$1),0)*($K5775+$L5775)/(SUMIF($A:$A,$A5775,$K:$K)+SUMIF($A:$A,$A5775,$L:$L)),0)</f>
        <v>-0.41340495867768606</v>
      </c>
      <c r="N5775" s="30">
        <f>IFERROR((VLOOKUP($A5775,HeadJournal!$A$1:$K$890,COLUMN(HeadJournal!K$1),0)-VLOOKUP($A5775,HeadJournal!$A$1:$K$890,COLUMN(HeadJournal!J$1),0))*($K5775+$L5775)/(SUMIF($A:$A,$A5775,$K:$K)+SUMIF($A:$A,$A5775,$L:$L)),0)</f>
        <v>1.4798080116656635E-15</v>
      </c>
      <c r="O5775" s="30">
        <f>IFERROR((VLOOKUP($A5775,HeadJournal!$A$1:$L$890,COLUMN(HeadJournal!L$1),0)*($K5775+$L5775)/(SUMIF($A:$A,$A5775,$K:$K)+SUMIF($A:$A,$A5775,$L:$L)))/VLOOKUP($A5775,HeadJournal!$A$1:$L$890,COLUMN(HeadJournal!H$1),0),0)</f>
        <v>0.48203623345564051</v>
      </c>
      <c r="P5775" s="30">
        <f>IFERROR(SUM(K5775:O5775)*VLOOKUP($A5775,HeadJournal!$A$1:$L$890,COLUMN(HeadJournal!H$1),0),0)</f>
        <v>925.45229752066132</v>
      </c>
      <c r="Q5775" s="29">
        <v>1700</v>
      </c>
      <c r="R5775" s="31">
        <v>46157</v>
      </c>
      <c r="S5775" s="31" t="s">
        <v>4868</v>
      </c>
      <c r="T5775" s="95" t="str">
        <f t="shared" si="424"/>
        <v>2026 05</v>
      </c>
      <c r="U5775" s="32">
        <f t="shared" si="425"/>
        <v>774.54770247933868</v>
      </c>
      <c r="V5775" s="22">
        <f t="shared" si="426"/>
        <v>0.83693962892997886</v>
      </c>
      <c r="X5775" s="33"/>
      <c r="Y5775" s="33"/>
    </row>
    <row r="5776" spans="1:25" x14ac:dyDescent="0.2">
      <c r="A5776" s="93" t="s">
        <v>5660</v>
      </c>
      <c r="B5776" s="94">
        <f>IFERROR(VLOOKUP($A5776,HeadJournal!$A$1:$NTR$890,COLUMN(HeadJournal!B$1),0),"")</f>
        <v>0</v>
      </c>
      <c r="C5776" s="94" t="str">
        <f>IFERROR(VLOOKUP($A5776,HeadJournal!$A$1:$NTR$890,COLUMN(HeadJournal!C$1),0),"")</f>
        <v>iHerb_OA CZN6870</v>
      </c>
      <c r="D5776" s="125" t="str">
        <f>IFERROR(VLOOKUP($A5776,HeadJournal!$A$1:$NTR$890,COLUMN(HeadJournal!D$1),0),"")</f>
        <v>Доставлен</v>
      </c>
      <c r="E5776" s="95">
        <f>IFERROR(VLOOKUP($A5776,HeadJournal!$A$1:$NTR$890,COLUMN(HeadJournal!G$1),0),"")</f>
        <v>46118</v>
      </c>
      <c r="F5776" s="95" t="str">
        <f t="shared" si="423"/>
        <v>2026 04</v>
      </c>
      <c r="G5776" s="97" t="s">
        <v>5</v>
      </c>
      <c r="H5776" s="161" t="s">
        <v>5651</v>
      </c>
      <c r="I5776" s="97" t="s">
        <v>2839</v>
      </c>
      <c r="J5776" s="97" t="s">
        <v>5652</v>
      </c>
      <c r="K5776" s="29">
        <v>15.67</v>
      </c>
      <c r="L5776" s="29">
        <v>0</v>
      </c>
      <c r="M5776" s="30">
        <f>IFERROR(VLOOKUP($A5776,HeadJournal!$A$1:$J$890,COLUMN(HeadJournal!I$1),0)*($K5776+$L5776)/(SUMIF($A:$A,$A5776,$K:$K)+SUMIF($A:$A,$A5776,$L:$L)),0)</f>
        <v>-0.77788063524590167</v>
      </c>
      <c r="N5776" s="30">
        <f>IFERROR((VLOOKUP($A5776,HeadJournal!$A$1:$K$890,COLUMN(HeadJournal!K$1),0)-VLOOKUP($A5776,HeadJournal!$A$1:$K$890,COLUMN(HeadJournal!J$1),0))*($K5776+$L5776)/(SUMIF($A:$A,$A5776,$K:$K)+SUMIF($A:$A,$A5776,$L:$L)),0)</f>
        <v>0</v>
      </c>
      <c r="O5776" s="30">
        <f>IFERROR((VLOOKUP($A5776,HeadJournal!$A$1:$L$890,COLUMN(HeadJournal!L$1),0)*($K5776+$L5776)/(SUMIF($A:$A,$A5776,$K:$K)+SUMIF($A:$A,$A5776,$L:$L)))/VLOOKUP($A5776,HeadJournal!$A$1:$L$890,COLUMN(HeadJournal!H$1),0),0)</f>
        <v>0.73416804225466337</v>
      </c>
      <c r="P5776" s="30">
        <f>IFERROR(SUM(K5776:O5776)*VLOOKUP($A5776,HeadJournal!$A$1:$L$890,COLUMN(HeadJournal!H$1),0),0)</f>
        <v>1442.515818135246</v>
      </c>
      <c r="Q5776" s="29">
        <v>2100</v>
      </c>
      <c r="R5776" s="31">
        <v>46149</v>
      </c>
      <c r="S5776" s="31"/>
      <c r="T5776" s="95" t="str">
        <f t="shared" si="424"/>
        <v>2026 05</v>
      </c>
      <c r="U5776" s="32">
        <f t="shared" si="425"/>
        <v>657.48418186475396</v>
      </c>
      <c r="V5776" s="22">
        <f t="shared" si="426"/>
        <v>0.45578992867800233</v>
      </c>
      <c r="X5776" s="33"/>
      <c r="Y5776" s="33"/>
    </row>
    <row r="5777" spans="1:25" x14ac:dyDescent="0.2">
      <c r="A5777" s="93" t="s">
        <v>5660</v>
      </c>
      <c r="B5777" s="94">
        <f>IFERROR(VLOOKUP($A5777,HeadJournal!$A$1:$NTR$890,COLUMN(HeadJournal!B$1),0),"")</f>
        <v>0</v>
      </c>
      <c r="C5777" s="94" t="str">
        <f>IFERROR(VLOOKUP($A5777,HeadJournal!$A$1:$NTR$890,COLUMN(HeadJournal!C$1),0),"")</f>
        <v>iHerb_OA CZN6870</v>
      </c>
      <c r="D5777" s="125" t="str">
        <f>IFERROR(VLOOKUP($A5777,HeadJournal!$A$1:$NTR$890,COLUMN(HeadJournal!D$1),0),"")</f>
        <v>Доставлен</v>
      </c>
      <c r="E5777" s="95">
        <f>IFERROR(VLOOKUP($A5777,HeadJournal!$A$1:$NTR$890,COLUMN(HeadJournal!G$1),0),"")</f>
        <v>46118</v>
      </c>
      <c r="F5777" s="95" t="str">
        <f t="shared" si="423"/>
        <v>2026 04</v>
      </c>
      <c r="G5777" s="97" t="s">
        <v>5</v>
      </c>
      <c r="H5777" s="161" t="s">
        <v>5651</v>
      </c>
      <c r="I5777" s="97" t="s">
        <v>2839</v>
      </c>
      <c r="J5777" s="97" t="s">
        <v>5652</v>
      </c>
      <c r="K5777" s="29">
        <v>15.67</v>
      </c>
      <c r="L5777" s="29">
        <v>0</v>
      </c>
      <c r="M5777" s="30">
        <f>IFERROR(VLOOKUP($A5777,HeadJournal!$A$1:$J$890,COLUMN(HeadJournal!I$1),0)*($K5777+$L5777)/(SUMIF($A:$A,$A5777,$K:$K)+SUMIF($A:$A,$A5777,$L:$L)),0)</f>
        <v>-0.77788063524590167</v>
      </c>
      <c r="N5777" s="30">
        <f>IFERROR((VLOOKUP($A5777,HeadJournal!$A$1:$K$890,COLUMN(HeadJournal!K$1),0)-VLOOKUP($A5777,HeadJournal!$A$1:$K$890,COLUMN(HeadJournal!J$1),0))*($K5777+$L5777)/(SUMIF($A:$A,$A5777,$K:$K)+SUMIF($A:$A,$A5777,$L:$L)),0)</f>
        <v>0</v>
      </c>
      <c r="O5777" s="30">
        <f>IFERROR((VLOOKUP($A5777,HeadJournal!$A$1:$L$890,COLUMN(HeadJournal!L$1),0)*($K5777+$L5777)/(SUMIF($A:$A,$A5777,$K:$K)+SUMIF($A:$A,$A5777,$L:$L)))/VLOOKUP($A5777,HeadJournal!$A$1:$L$890,COLUMN(HeadJournal!H$1),0),0)</f>
        <v>0.73416804225466337</v>
      </c>
      <c r="P5777" s="30">
        <f>IFERROR(SUM(K5777:O5777)*VLOOKUP($A5777,HeadJournal!$A$1:$L$890,COLUMN(HeadJournal!H$1),0),0)</f>
        <v>1442.515818135246</v>
      </c>
      <c r="Q5777" s="29">
        <v>2100</v>
      </c>
      <c r="R5777" s="31">
        <v>46149</v>
      </c>
      <c r="S5777" s="31"/>
      <c r="T5777" s="95" t="str">
        <f t="shared" si="424"/>
        <v>2026 05</v>
      </c>
      <c r="U5777" s="32">
        <f t="shared" si="425"/>
        <v>657.48418186475396</v>
      </c>
      <c r="V5777" s="22">
        <f t="shared" si="426"/>
        <v>0.45578992867800233</v>
      </c>
      <c r="X5777" s="33"/>
      <c r="Y5777" s="33"/>
    </row>
    <row r="5778" spans="1:25" x14ac:dyDescent="0.2">
      <c r="A5778" s="93" t="s">
        <v>5660</v>
      </c>
      <c r="B5778" s="94">
        <f>IFERROR(VLOOKUP($A5778,HeadJournal!$A$1:$NTR$890,COLUMN(HeadJournal!B$1),0),"")</f>
        <v>0</v>
      </c>
      <c r="C5778" s="94" t="str">
        <f>IFERROR(VLOOKUP($A5778,HeadJournal!$A$1:$NTR$890,COLUMN(HeadJournal!C$1),0),"")</f>
        <v>iHerb_OA CZN6870</v>
      </c>
      <c r="D5778" s="125" t="str">
        <f>IFERROR(VLOOKUP($A5778,HeadJournal!$A$1:$NTR$890,COLUMN(HeadJournal!D$1),0),"")</f>
        <v>Доставлен</v>
      </c>
      <c r="E5778" s="95">
        <f>IFERROR(VLOOKUP($A5778,HeadJournal!$A$1:$NTR$890,COLUMN(HeadJournal!G$1),0),"")</f>
        <v>46118</v>
      </c>
      <c r="F5778" s="95" t="str">
        <f t="shared" si="423"/>
        <v>2026 04</v>
      </c>
      <c r="G5778" s="97" t="s">
        <v>5</v>
      </c>
      <c r="H5778" s="161" t="s">
        <v>5653</v>
      </c>
      <c r="I5778" s="97" t="s">
        <v>2005</v>
      </c>
      <c r="J5778" s="97" t="s">
        <v>5654</v>
      </c>
      <c r="K5778" s="29">
        <v>34.53</v>
      </c>
      <c r="L5778" s="29">
        <v>-6.91</v>
      </c>
      <c r="M5778" s="30">
        <f>IFERROR(VLOOKUP($A5778,HeadJournal!$A$1:$J$890,COLUMN(HeadJournal!I$1),0)*($K5778+$L5778)/(SUMIF($A:$A,$A5778,$K:$K)+SUMIF($A:$A,$A5778,$L:$L)),0)</f>
        <v>-1.3710952868852457</v>
      </c>
      <c r="N5778" s="30">
        <f>IFERROR((VLOOKUP($A5778,HeadJournal!$A$1:$K$890,COLUMN(HeadJournal!K$1),0)-VLOOKUP($A5778,HeadJournal!$A$1:$K$890,COLUMN(HeadJournal!J$1),0))*($K5778+$L5778)/(SUMIF($A:$A,$A5778,$K:$K)+SUMIF($A:$A,$A5778,$L:$L)),0)</f>
        <v>0</v>
      </c>
      <c r="O5778" s="30">
        <f>IFERROR((VLOOKUP($A5778,HeadJournal!$A$1:$L$890,COLUMN(HeadJournal!L$1),0)*($K5778+$L5778)/(SUMIF($A:$A,$A5778,$K:$K)+SUMIF($A:$A,$A5778,$L:$L)))/VLOOKUP($A5778,HeadJournal!$A$1:$L$890,COLUMN(HeadJournal!H$1),0),0)</f>
        <v>1.2940473086837143</v>
      </c>
      <c r="P5778" s="30">
        <f>IFERROR(SUM(K5778:O5778)*VLOOKUP($A5778,HeadJournal!$A$1:$L$890,COLUMN(HeadJournal!H$1),0),0)</f>
        <v>2542.5837202868856</v>
      </c>
      <c r="Q5778" s="29">
        <v>3900</v>
      </c>
      <c r="R5778" s="31">
        <v>46149</v>
      </c>
      <c r="S5778" s="31"/>
      <c r="T5778" s="95" t="str">
        <f t="shared" si="424"/>
        <v>2026 05</v>
      </c>
      <c r="U5778" s="32">
        <f t="shared" si="425"/>
        <v>1357.4162797131144</v>
      </c>
      <c r="V5778" s="22">
        <f t="shared" si="426"/>
        <v>0.53387279596046255</v>
      </c>
      <c r="X5778" s="33"/>
      <c r="Y5778" s="33"/>
    </row>
    <row r="5779" spans="1:25" x14ac:dyDescent="0.2">
      <c r="A5779" s="93" t="s">
        <v>5660</v>
      </c>
      <c r="B5779" s="94">
        <f>IFERROR(VLOOKUP($A5779,HeadJournal!$A$1:$NTR$890,COLUMN(HeadJournal!B$1),0),"")</f>
        <v>0</v>
      </c>
      <c r="C5779" s="94" t="str">
        <f>IFERROR(VLOOKUP($A5779,HeadJournal!$A$1:$NTR$890,COLUMN(HeadJournal!C$1),0),"")</f>
        <v>iHerb_OA CZN6870</v>
      </c>
      <c r="D5779" s="125" t="str">
        <f>IFERROR(VLOOKUP($A5779,HeadJournal!$A$1:$NTR$890,COLUMN(HeadJournal!D$1),0),"")</f>
        <v>Доставлен</v>
      </c>
      <c r="E5779" s="95">
        <f>IFERROR(VLOOKUP($A5779,HeadJournal!$A$1:$NTR$890,COLUMN(HeadJournal!G$1),0),"")</f>
        <v>46118</v>
      </c>
      <c r="F5779" s="95" t="str">
        <f t="shared" si="419"/>
        <v>2026 04</v>
      </c>
      <c r="G5779" s="97" t="s">
        <v>5</v>
      </c>
      <c r="H5779" s="161" t="s">
        <v>5655</v>
      </c>
      <c r="I5779" s="97" t="s">
        <v>5656</v>
      </c>
      <c r="J5779" s="97" t="s">
        <v>5657</v>
      </c>
      <c r="K5779" s="29">
        <v>46.54</v>
      </c>
      <c r="L5779" s="29">
        <v>-13.96</v>
      </c>
      <c r="M5779" s="30">
        <f>IFERROR(VLOOKUP($A5779,HeadJournal!$A$1:$J$890,COLUMN(HeadJournal!I$1),0)*($K5779+$L5779)/(SUMIF($A:$A,$A5779,$K:$K)+SUMIF($A:$A,$A5779,$L:$L)),0)</f>
        <v>-1.6173165983606559</v>
      </c>
      <c r="N5779" s="30">
        <f>IFERROR((VLOOKUP($A5779,HeadJournal!$A$1:$K$890,COLUMN(HeadJournal!K$1),0)-VLOOKUP($A5779,HeadJournal!$A$1:$K$890,COLUMN(HeadJournal!J$1),0))*($K5779+$L5779)/(SUMIF($A:$A,$A5779,$K:$K)+SUMIF($A:$A,$A5779,$L:$L)),0)</f>
        <v>0</v>
      </c>
      <c r="O5779" s="30">
        <f>IFERROR((VLOOKUP($A5779,HeadJournal!$A$1:$L$890,COLUMN(HeadJournal!L$1),0)*($K5779+$L5779)/(SUMIF($A:$A,$A5779,$K:$K)+SUMIF($A:$A,$A5779,$L:$L)))/VLOOKUP($A5779,HeadJournal!$A$1:$L$890,COLUMN(HeadJournal!H$1),0),0)</f>
        <v>1.5264323431178641</v>
      </c>
      <c r="P5779" s="30">
        <f>IFERROR(SUM(K5779:O5779)*VLOOKUP($A5779,HeadJournal!$A$1:$L$890,COLUMN(HeadJournal!H$1),0),0)</f>
        <v>2999.1809415983607</v>
      </c>
      <c r="Q5779" s="29"/>
      <c r="R5779" s="31"/>
      <c r="S5779" s="31"/>
      <c r="T5779" s="95" t="str">
        <f t="shared" si="420"/>
        <v/>
      </c>
      <c r="U5779" s="32">
        <f t="shared" si="354"/>
        <v>-2999.1809415983607</v>
      </c>
      <c r="V5779" s="22" t="str">
        <f t="shared" si="355"/>
        <v/>
      </c>
      <c r="X5779" s="33"/>
      <c r="Y5779" s="33"/>
    </row>
    <row r="5780" spans="1:25" x14ac:dyDescent="0.2">
      <c r="A5780" s="93" t="s">
        <v>5660</v>
      </c>
      <c r="B5780" s="94">
        <f>IFERROR(VLOOKUP($A5780,HeadJournal!$A$1:$NTR$890,COLUMN(HeadJournal!B$1),0),"")</f>
        <v>0</v>
      </c>
      <c r="C5780" s="94" t="str">
        <f>IFERROR(VLOOKUP($A5780,HeadJournal!$A$1:$NTR$890,COLUMN(HeadJournal!C$1),0),"")</f>
        <v>iHerb_OA CZN6870</v>
      </c>
      <c r="D5780" s="125" t="str">
        <f>IFERROR(VLOOKUP($A5780,HeadJournal!$A$1:$NTR$890,COLUMN(HeadJournal!D$1),0),"")</f>
        <v>Доставлен</v>
      </c>
      <c r="E5780" s="95">
        <f>IFERROR(VLOOKUP($A5780,HeadJournal!$A$1:$NTR$890,COLUMN(HeadJournal!G$1),0),"")</f>
        <v>46118</v>
      </c>
      <c r="F5780" s="95" t="str">
        <f t="shared" si="419"/>
        <v>2026 04</v>
      </c>
      <c r="G5780" s="97" t="s">
        <v>5</v>
      </c>
      <c r="H5780" s="161" t="s">
        <v>4150</v>
      </c>
      <c r="I5780" s="97" t="s">
        <v>2163</v>
      </c>
      <c r="J5780" s="97" t="s">
        <v>4151</v>
      </c>
      <c r="K5780" s="29">
        <v>49.92</v>
      </c>
      <c r="L5780" s="29">
        <v>-9.98</v>
      </c>
      <c r="M5780" s="30">
        <f>IFERROR(VLOOKUP($A5780,HeadJournal!$A$1:$J$890,COLUMN(HeadJournal!I$1),0)*($K5780+$L5780)/(SUMIF($A:$A,$A5780,$K:$K)+SUMIF($A:$A,$A5780,$L:$L)),0)</f>
        <v>-1.9826772540983604</v>
      </c>
      <c r="N5780" s="30">
        <f>IFERROR((VLOOKUP($A5780,HeadJournal!$A$1:$K$890,COLUMN(HeadJournal!K$1),0)-VLOOKUP($A5780,HeadJournal!$A$1:$K$890,COLUMN(HeadJournal!J$1),0))*($K5780+$L5780)/(SUMIF($A:$A,$A5780,$K:$K)+SUMIF($A:$A,$A5780,$L:$L)),0)</f>
        <v>0</v>
      </c>
      <c r="O5780" s="30">
        <f>IFERROR((VLOOKUP($A5780,HeadJournal!$A$1:$L$890,COLUMN(HeadJournal!L$1),0)*($K5780+$L5780)/(SUMIF($A:$A,$A5780,$K:$K)+SUMIF($A:$A,$A5780,$L:$L)))/VLOOKUP($A5780,HeadJournal!$A$1:$L$890,COLUMN(HeadJournal!H$1),0),0)</f>
        <v>1.8712617490524097</v>
      </c>
      <c r="P5780" s="30">
        <f>IFERROR(SUM(K5780:O5780)*VLOOKUP($A5780,HeadJournal!$A$1:$L$890,COLUMN(HeadJournal!H$1),0),0)</f>
        <v>3676.7123022540982</v>
      </c>
      <c r="Q5780" s="29">
        <v>5300</v>
      </c>
      <c r="R5780" s="31">
        <v>46149</v>
      </c>
      <c r="S5780" s="31" t="s">
        <v>3235</v>
      </c>
      <c r="T5780" s="95" t="str">
        <f t="shared" si="420"/>
        <v>2026 05</v>
      </c>
      <c r="U5780" s="32">
        <f t="shared" si="354"/>
        <v>1623.2876977459018</v>
      </c>
      <c r="V5780" s="22">
        <f t="shared" si="355"/>
        <v>0.44150522649017321</v>
      </c>
      <c r="X5780" s="33"/>
      <c r="Y5780" s="33"/>
    </row>
    <row r="5781" spans="1:25" x14ac:dyDescent="0.2">
      <c r="A5781" s="93" t="s">
        <v>5660</v>
      </c>
      <c r="B5781" s="94">
        <f>IFERROR(VLOOKUP($A5781,HeadJournal!$A$1:$NTR$890,COLUMN(HeadJournal!B$1),0),"")</f>
        <v>0</v>
      </c>
      <c r="C5781" s="94" t="str">
        <f>IFERROR(VLOOKUP($A5781,HeadJournal!$A$1:$NTR$890,COLUMN(HeadJournal!C$1),0),"")</f>
        <v>iHerb_OA CZN6870</v>
      </c>
      <c r="D5781" s="125" t="str">
        <f>IFERROR(VLOOKUP($A5781,HeadJournal!$A$1:$NTR$890,COLUMN(HeadJournal!D$1),0),"")</f>
        <v>Доставлен</v>
      </c>
      <c r="E5781" s="95">
        <f>IFERROR(VLOOKUP($A5781,HeadJournal!$A$1:$NTR$890,COLUMN(HeadJournal!G$1),0),"")</f>
        <v>46118</v>
      </c>
      <c r="F5781" s="95" t="str">
        <f t="shared" si="419"/>
        <v>2026 04</v>
      </c>
      <c r="G5781" s="97" t="s">
        <v>5</v>
      </c>
      <c r="H5781" s="161" t="s">
        <v>5658</v>
      </c>
      <c r="I5781" s="97" t="s">
        <v>2005</v>
      </c>
      <c r="J5781" s="97" t="s">
        <v>5659</v>
      </c>
      <c r="K5781" s="29">
        <v>30.02</v>
      </c>
      <c r="L5781" s="29">
        <v>-6</v>
      </c>
      <c r="M5781" s="30">
        <f>IFERROR(VLOOKUP($A5781,HeadJournal!$A$1:$J$890,COLUMN(HeadJournal!I$1),0)*($K5781+$L5781)/(SUMIF($A:$A,$A5781,$K:$K)+SUMIF($A:$A,$A5781,$L:$L)),0)</f>
        <v>-1.1923862704918033</v>
      </c>
      <c r="N5781" s="30">
        <f>IFERROR((VLOOKUP($A5781,HeadJournal!$A$1:$K$890,COLUMN(HeadJournal!K$1),0)-VLOOKUP($A5781,HeadJournal!$A$1:$K$890,COLUMN(HeadJournal!J$1),0))*($K5781+$L5781)/(SUMIF($A:$A,$A5781,$K:$K)+SUMIF($A:$A,$A5781,$L:$L)),0)</f>
        <v>0</v>
      </c>
      <c r="O5781" s="30">
        <f>IFERROR((VLOOKUP($A5781,HeadJournal!$A$1:$L$890,COLUMN(HeadJournal!L$1),0)*($K5781+$L5781)/(SUMIF($A:$A,$A5781,$K:$K)+SUMIF($A:$A,$A5781,$L:$L)))/VLOOKUP($A5781,HeadJournal!$A$1:$L$890,COLUMN(HeadJournal!H$1),0),0)</f>
        <v>1.1253807514331216</v>
      </c>
      <c r="P5781" s="30">
        <f>IFERROR(SUM(K5781:O5781)*VLOOKUP($A5781,HeadJournal!$A$1:$L$890,COLUMN(HeadJournal!H$1),0),0)</f>
        <v>2211.1825112704919</v>
      </c>
      <c r="Q5781" s="29">
        <v>3300</v>
      </c>
      <c r="R5781" s="31">
        <v>46149</v>
      </c>
      <c r="S5781" s="31"/>
      <c r="T5781" s="95" t="str">
        <f t="shared" si="420"/>
        <v>2026 05</v>
      </c>
      <c r="U5781" s="32">
        <f t="shared" si="354"/>
        <v>1088.8174887295081</v>
      </c>
      <c r="V5781" s="22">
        <f t="shared" si="355"/>
        <v>0.49241411922342854</v>
      </c>
      <c r="X5781" s="33"/>
      <c r="Y5781" s="33"/>
    </row>
    <row r="5782" spans="1:25" x14ac:dyDescent="0.2">
      <c r="A5782" s="93" t="s">
        <v>5660</v>
      </c>
      <c r="B5782" s="94">
        <f>IFERROR(VLOOKUP($A5782,HeadJournal!$A$1:$NTR$890,COLUMN(HeadJournal!B$1),0),"")</f>
        <v>0</v>
      </c>
      <c r="C5782" s="94" t="str">
        <f>IFERROR(VLOOKUP($A5782,HeadJournal!$A$1:$NTR$890,COLUMN(HeadJournal!C$1),0),"")</f>
        <v>iHerb_OA CZN6870</v>
      </c>
      <c r="D5782" s="125" t="str">
        <f>IFERROR(VLOOKUP($A5782,HeadJournal!$A$1:$NTR$890,COLUMN(HeadJournal!D$1),0),"")</f>
        <v>Доставлен</v>
      </c>
      <c r="E5782" s="95">
        <f>IFERROR(VLOOKUP($A5782,HeadJournal!$A$1:$NTR$890,COLUMN(HeadJournal!G$1),0),"")</f>
        <v>46118</v>
      </c>
      <c r="F5782" s="95" t="str">
        <f t="shared" si="419"/>
        <v>2026 04</v>
      </c>
      <c r="G5782" s="97" t="s">
        <v>5</v>
      </c>
      <c r="H5782" s="161" t="s">
        <v>2624</v>
      </c>
      <c r="I5782" s="97" t="s">
        <v>2005</v>
      </c>
      <c r="J5782" s="97" t="s">
        <v>5611</v>
      </c>
      <c r="K5782" s="29">
        <v>24.81</v>
      </c>
      <c r="L5782" s="29">
        <v>-4.96</v>
      </c>
      <c r="M5782" s="30">
        <f>IFERROR(VLOOKUP($A5782,HeadJournal!$A$1:$J$890,COLUMN(HeadJournal!I$1),0)*($K5782+$L5782)/(SUMIF($A:$A,$A5782,$K:$K)+SUMIF($A:$A,$A5782,$L:$L)),0)</f>
        <v>-0.9853816598360654</v>
      </c>
      <c r="N5782" s="30">
        <f>IFERROR((VLOOKUP($A5782,HeadJournal!$A$1:$K$890,COLUMN(HeadJournal!K$1),0)-VLOOKUP($A5782,HeadJournal!$A$1:$K$890,COLUMN(HeadJournal!J$1),0))*($K5782+$L5782)/(SUMIF($A:$A,$A5782,$K:$K)+SUMIF($A:$A,$A5782,$L:$L)),0)</f>
        <v>0</v>
      </c>
      <c r="O5782" s="30">
        <f>IFERROR((VLOOKUP($A5782,HeadJournal!$A$1:$L$890,COLUMN(HeadJournal!L$1),0)*($K5782+$L5782)/(SUMIF($A:$A,$A5782,$K:$K)+SUMIF($A:$A,$A5782,$L:$L)))/VLOOKUP($A5782,HeadJournal!$A$1:$L$890,COLUMN(HeadJournal!H$1),0),0)</f>
        <v>0.93000865595118498</v>
      </c>
      <c r="P5782" s="30">
        <f>IFERROR(SUM(K5782:O5782)*VLOOKUP($A5782,HeadJournal!$A$1:$L$890,COLUMN(HeadJournal!H$1),0),0)</f>
        <v>1827.3094441598359</v>
      </c>
      <c r="Q5782" s="29"/>
      <c r="R5782" s="31"/>
      <c r="S5782" s="31"/>
      <c r="T5782" s="95" t="str">
        <f t="shared" si="420"/>
        <v/>
      </c>
      <c r="U5782" s="32">
        <f t="shared" si="354"/>
        <v>-1827.3094441598359</v>
      </c>
      <c r="V5782" s="22" t="str">
        <f t="shared" si="355"/>
        <v/>
      </c>
      <c r="X5782" s="33"/>
      <c r="Y5782" s="33"/>
    </row>
    <row r="5783" spans="1:25" x14ac:dyDescent="0.2">
      <c r="A5783" s="93" t="s">
        <v>5660</v>
      </c>
      <c r="B5783" s="94">
        <f>IFERROR(VLOOKUP($A5783,HeadJournal!$A$1:$NTR$890,COLUMN(HeadJournal!B$1),0),"")</f>
        <v>0</v>
      </c>
      <c r="C5783" s="94" t="str">
        <f>IFERROR(VLOOKUP($A5783,HeadJournal!$A$1:$NTR$890,COLUMN(HeadJournal!C$1),0),"")</f>
        <v>iHerb_OA CZN6870</v>
      </c>
      <c r="D5783" s="125" t="str">
        <f>IFERROR(VLOOKUP($A5783,HeadJournal!$A$1:$NTR$890,COLUMN(HeadJournal!D$1),0),"")</f>
        <v>Доставлен</v>
      </c>
      <c r="E5783" s="95">
        <f>IFERROR(VLOOKUP($A5783,HeadJournal!$A$1:$NTR$890,COLUMN(HeadJournal!G$1),0),"")</f>
        <v>46118</v>
      </c>
      <c r="F5783" s="95" t="str">
        <f t="shared" si="419"/>
        <v>2026 04</v>
      </c>
      <c r="G5783" s="97" t="s">
        <v>5</v>
      </c>
      <c r="H5783" s="161" t="s">
        <v>2624</v>
      </c>
      <c r="I5783" s="97" t="s">
        <v>2005</v>
      </c>
      <c r="J5783" s="97" t="s">
        <v>5611</v>
      </c>
      <c r="K5783" s="29">
        <v>24.81</v>
      </c>
      <c r="L5783" s="29">
        <v>-4.96</v>
      </c>
      <c r="M5783" s="30">
        <f>IFERROR(VLOOKUP($A5783,HeadJournal!$A$1:$J$890,COLUMN(HeadJournal!I$1),0)*($K5783+$L5783)/(SUMIF($A:$A,$A5783,$K:$K)+SUMIF($A:$A,$A5783,$L:$L)),0)</f>
        <v>-0.9853816598360654</v>
      </c>
      <c r="N5783" s="30">
        <f>IFERROR((VLOOKUP($A5783,HeadJournal!$A$1:$K$890,COLUMN(HeadJournal!K$1),0)-VLOOKUP($A5783,HeadJournal!$A$1:$K$890,COLUMN(HeadJournal!J$1),0))*($K5783+$L5783)/(SUMIF($A:$A,$A5783,$K:$K)+SUMIF($A:$A,$A5783,$L:$L)),0)</f>
        <v>0</v>
      </c>
      <c r="O5783" s="30">
        <f>IFERROR((VLOOKUP($A5783,HeadJournal!$A$1:$L$890,COLUMN(HeadJournal!L$1),0)*($K5783+$L5783)/(SUMIF($A:$A,$A5783,$K:$K)+SUMIF($A:$A,$A5783,$L:$L)))/VLOOKUP($A5783,HeadJournal!$A$1:$L$890,COLUMN(HeadJournal!H$1),0),0)</f>
        <v>0.93000865595118498</v>
      </c>
      <c r="P5783" s="30">
        <f>IFERROR(SUM(K5783:O5783)*VLOOKUP($A5783,HeadJournal!$A$1:$L$890,COLUMN(HeadJournal!H$1),0),0)</f>
        <v>1827.3094441598359</v>
      </c>
      <c r="Q5783" s="29"/>
      <c r="R5783" s="31"/>
      <c r="S5783" s="31"/>
      <c r="T5783" s="95" t="str">
        <f t="shared" si="420"/>
        <v/>
      </c>
      <c r="U5783" s="32">
        <f t="shared" si="354"/>
        <v>-1827.3094441598359</v>
      </c>
      <c r="V5783" s="22" t="str">
        <f t="shared" si="355"/>
        <v/>
      </c>
      <c r="X5783" s="33"/>
      <c r="Y5783" s="33"/>
    </row>
    <row r="5784" spans="1:25" x14ac:dyDescent="0.2">
      <c r="A5784" s="93" t="s">
        <v>5661</v>
      </c>
      <c r="B5784" s="94">
        <f>IFERROR(VLOOKUP($A5784,HeadJournal!$A$1:$NTR$890,COLUMN(HeadJournal!B$1),0),"")</f>
        <v>0</v>
      </c>
      <c r="C5784" s="94" t="str">
        <f>IFERROR(VLOOKUP($A5784,HeadJournal!$A$1:$NTR$890,COLUMN(HeadJournal!C$1),0),"")</f>
        <v>NSP_OA</v>
      </c>
      <c r="D5784" s="125" t="str">
        <f>IFERROR(VLOOKUP($A5784,HeadJournal!$A$1:$NTR$890,COLUMN(HeadJournal!D$1),0),"")</f>
        <v>Доставлен</v>
      </c>
      <c r="E5784" s="95">
        <f>IFERROR(VLOOKUP($A5784,HeadJournal!$A$1:$NTR$890,COLUMN(HeadJournal!G$1),0),"")</f>
        <v>46125</v>
      </c>
      <c r="F5784" s="95" t="str">
        <f t="shared" si="419"/>
        <v>2026 04</v>
      </c>
      <c r="G5784" s="97" t="s">
        <v>5</v>
      </c>
      <c r="H5784" s="161" t="s">
        <v>5663</v>
      </c>
      <c r="I5784" s="97" t="s">
        <v>1395</v>
      </c>
      <c r="J5784" s="97" t="s">
        <v>5670</v>
      </c>
      <c r="K5784" s="29">
        <v>2503.38</v>
      </c>
      <c r="L5784" s="29">
        <v>0</v>
      </c>
      <c r="M5784" s="30">
        <f>IFERROR(VLOOKUP($A5784,HeadJournal!$A$1:$J$890,COLUMN(HeadJournal!I$1),0)*($K5784+$L5784)/(SUMIF($A:$A,$A5784,$K:$K)+SUMIF($A:$A,$A5784,$L:$L)),0)</f>
        <v>0</v>
      </c>
      <c r="N5784" s="30">
        <f>IFERROR((VLOOKUP($A5784,HeadJournal!$A$1:$K$890,COLUMN(HeadJournal!K$1),0)-VLOOKUP($A5784,HeadJournal!$A$1:$K$890,COLUMN(HeadJournal!J$1),0))*($K5784+$L5784)/(SUMIF($A:$A,$A5784,$K:$K)+SUMIF($A:$A,$A5784,$L:$L)),0)</f>
        <v>-2.9201600725987647E-13</v>
      </c>
      <c r="O5784" s="30">
        <f>IFERROR((VLOOKUP($A5784,HeadJournal!$A$1:$L$890,COLUMN(HeadJournal!L$1),0)*($K5784+$L5784)/(SUMIF($A:$A,$A5784,$K:$K)+SUMIF($A:$A,$A5784,$L:$L)))/VLOOKUP($A5784,HeadJournal!$A$1:$L$890,COLUMN(HeadJournal!H$1),0),0)</f>
        <v>8.0268748869738751</v>
      </c>
      <c r="P5784" s="30">
        <f>IFERROR(SUM(K5784:O5784)*VLOOKUP($A5784,HeadJournal!$A$1:$L$890,COLUMN(HeadJournal!H$1),0),0)</f>
        <v>2511.4068748869736</v>
      </c>
      <c r="Q5784" s="29"/>
      <c r="R5784" s="31"/>
      <c r="S5784" s="31"/>
      <c r="T5784" s="95" t="str">
        <f t="shared" si="420"/>
        <v/>
      </c>
      <c r="U5784" s="32">
        <f t="shared" si="354"/>
        <v>-2511.4068748869736</v>
      </c>
      <c r="V5784" s="22" t="str">
        <f t="shared" si="355"/>
        <v/>
      </c>
      <c r="X5784" s="33"/>
      <c r="Y5784" s="33"/>
    </row>
    <row r="5785" spans="1:25" x14ac:dyDescent="0.2">
      <c r="A5785" s="93" t="s">
        <v>5661</v>
      </c>
      <c r="B5785" s="94">
        <f>IFERROR(VLOOKUP($A5785,HeadJournal!$A$1:$NTR$890,COLUMN(HeadJournal!B$1),0),"")</f>
        <v>0</v>
      </c>
      <c r="C5785" s="94" t="str">
        <f>IFERROR(VLOOKUP($A5785,HeadJournal!$A$1:$NTR$890,COLUMN(HeadJournal!C$1),0),"")</f>
        <v>NSP_OA</v>
      </c>
      <c r="D5785" s="125" t="str">
        <f>IFERROR(VLOOKUP($A5785,HeadJournal!$A$1:$NTR$890,COLUMN(HeadJournal!D$1),0),"")</f>
        <v>Доставлен</v>
      </c>
      <c r="E5785" s="95">
        <f>IFERROR(VLOOKUP($A5785,HeadJournal!$A$1:$NTR$890,COLUMN(HeadJournal!G$1),0),"")</f>
        <v>46125</v>
      </c>
      <c r="F5785" s="95" t="str">
        <f t="shared" si="419"/>
        <v>2026 04</v>
      </c>
      <c r="G5785" s="97" t="s">
        <v>5</v>
      </c>
      <c r="H5785" s="161" t="s">
        <v>5664</v>
      </c>
      <c r="I5785" s="97" t="s">
        <v>1395</v>
      </c>
      <c r="J5785" s="97" t="s">
        <v>5671</v>
      </c>
      <c r="K5785" s="29">
        <v>2008.46</v>
      </c>
      <c r="L5785" s="29">
        <v>0</v>
      </c>
      <c r="M5785" s="30">
        <f>IFERROR(VLOOKUP($A5785,HeadJournal!$A$1:$J$890,COLUMN(HeadJournal!I$1),0)*($K5785+$L5785)/(SUMIF($A:$A,$A5785,$K:$K)+SUMIF($A:$A,$A5785,$L:$L)),0)</f>
        <v>0</v>
      </c>
      <c r="N5785" s="30">
        <f>IFERROR((VLOOKUP($A5785,HeadJournal!$A$1:$K$890,COLUMN(HeadJournal!K$1),0)-VLOOKUP($A5785,HeadJournal!$A$1:$K$890,COLUMN(HeadJournal!J$1),0))*($K5785+$L5785)/(SUMIF($A:$A,$A5785,$K:$K)+SUMIF($A:$A,$A5785,$L:$L)),0)</f>
        <v>-2.3428423568981596E-13</v>
      </c>
      <c r="O5785" s="30">
        <f>IFERROR((VLOOKUP($A5785,HeadJournal!$A$1:$L$890,COLUMN(HeadJournal!L$1),0)*($K5785+$L5785)/(SUMIF($A:$A,$A5785,$K:$K)+SUMIF($A:$A,$A5785,$L:$L)))/VLOOKUP($A5785,HeadJournal!$A$1:$L$890,COLUMN(HeadJournal!H$1),0),0)</f>
        <v>6.439956033639139</v>
      </c>
      <c r="P5785" s="30">
        <f>IFERROR(SUM(K5785:O5785)*VLOOKUP($A5785,HeadJournal!$A$1:$L$890,COLUMN(HeadJournal!H$1),0),0)</f>
        <v>2014.899956033639</v>
      </c>
      <c r="Q5785" s="29"/>
      <c r="R5785" s="31"/>
      <c r="S5785" s="31"/>
      <c r="T5785" s="95" t="str">
        <f t="shared" si="420"/>
        <v/>
      </c>
      <c r="U5785" s="32">
        <f t="shared" si="354"/>
        <v>-2014.899956033639</v>
      </c>
      <c r="V5785" s="22" t="str">
        <f t="shared" si="355"/>
        <v/>
      </c>
      <c r="X5785" s="33"/>
      <c r="Y5785" s="33"/>
    </row>
    <row r="5786" spans="1:25" x14ac:dyDescent="0.2">
      <c r="A5786" s="93" t="s">
        <v>5661</v>
      </c>
      <c r="B5786" s="94">
        <f>IFERROR(VLOOKUP($A5786,HeadJournal!$A$1:$NTR$890,COLUMN(HeadJournal!B$1),0),"")</f>
        <v>0</v>
      </c>
      <c r="C5786" s="94" t="str">
        <f>IFERROR(VLOOKUP($A5786,HeadJournal!$A$1:$NTR$890,COLUMN(HeadJournal!C$1),0),"")</f>
        <v>NSP_OA</v>
      </c>
      <c r="D5786" s="125" t="str">
        <f>IFERROR(VLOOKUP($A5786,HeadJournal!$A$1:$NTR$890,COLUMN(HeadJournal!D$1),0),"")</f>
        <v>Доставлен</v>
      </c>
      <c r="E5786" s="95">
        <f>IFERROR(VLOOKUP($A5786,HeadJournal!$A$1:$NTR$890,COLUMN(HeadJournal!G$1),0),"")</f>
        <v>46125</v>
      </c>
      <c r="F5786" s="95" t="str">
        <f t="shared" si="419"/>
        <v>2026 04</v>
      </c>
      <c r="G5786" s="97" t="s">
        <v>5</v>
      </c>
      <c r="H5786" s="161" t="s">
        <v>5665</v>
      </c>
      <c r="I5786" s="97" t="s">
        <v>1395</v>
      </c>
      <c r="J5786" s="97" t="s">
        <v>5672</v>
      </c>
      <c r="K5786" s="29">
        <v>1790.25</v>
      </c>
      <c r="L5786" s="29">
        <v>0</v>
      </c>
      <c r="M5786" s="30">
        <f>IFERROR(VLOOKUP($A5786,HeadJournal!$A$1:$J$890,COLUMN(HeadJournal!I$1),0)*($K5786+$L5786)/(SUMIF($A:$A,$A5786,$K:$K)+SUMIF($A:$A,$A5786,$L:$L)),0)</f>
        <v>0</v>
      </c>
      <c r="N5786" s="30">
        <f>IFERROR((VLOOKUP($A5786,HeadJournal!$A$1:$K$890,COLUMN(HeadJournal!K$1),0)-VLOOKUP($A5786,HeadJournal!$A$1:$K$890,COLUMN(HeadJournal!J$1),0))*($K5786+$L5786)/(SUMIF($A:$A,$A5786,$K:$K)+SUMIF($A:$A,$A5786,$L:$L)),0)</f>
        <v>-2.0883032420047848E-13</v>
      </c>
      <c r="O5786" s="30">
        <f>IFERROR((VLOOKUP($A5786,HeadJournal!$A$1:$L$890,COLUMN(HeadJournal!L$1),0)*($K5786+$L5786)/(SUMIF($A:$A,$A5786,$K:$K)+SUMIF($A:$A,$A5786,$L:$L)))/VLOOKUP($A5786,HeadJournal!$A$1:$L$890,COLUMN(HeadJournal!H$1),0),0)</f>
        <v>5.7402842422664477</v>
      </c>
      <c r="P5786" s="30">
        <f>IFERROR(SUM(K5786:O5786)*VLOOKUP($A5786,HeadJournal!$A$1:$L$890,COLUMN(HeadJournal!H$1),0),0)</f>
        <v>1795.9902842422662</v>
      </c>
      <c r="Q5786" s="29"/>
      <c r="R5786" s="31"/>
      <c r="S5786" s="31"/>
      <c r="T5786" s="95" t="str">
        <f t="shared" si="420"/>
        <v/>
      </c>
      <c r="U5786" s="32">
        <f t="shared" si="354"/>
        <v>-1795.9902842422662</v>
      </c>
      <c r="V5786" s="22" t="str">
        <f t="shared" si="355"/>
        <v/>
      </c>
      <c r="X5786" s="33"/>
      <c r="Y5786" s="33"/>
    </row>
    <row r="5787" spans="1:25" x14ac:dyDescent="0.2">
      <c r="A5787" s="93" t="s">
        <v>5661</v>
      </c>
      <c r="B5787" s="94">
        <f>IFERROR(VLOOKUP($A5787,HeadJournal!$A$1:$NTR$890,COLUMN(HeadJournal!B$1),0),"")</f>
        <v>0</v>
      </c>
      <c r="C5787" s="94" t="str">
        <f>IFERROR(VLOOKUP($A5787,HeadJournal!$A$1:$NTR$890,COLUMN(HeadJournal!C$1),0),"")</f>
        <v>NSP_OA</v>
      </c>
      <c r="D5787" s="125" t="str">
        <f>IFERROR(VLOOKUP($A5787,HeadJournal!$A$1:$NTR$890,COLUMN(HeadJournal!D$1),0),"")</f>
        <v>Доставлен</v>
      </c>
      <c r="E5787" s="95">
        <f>IFERROR(VLOOKUP($A5787,HeadJournal!$A$1:$NTR$890,COLUMN(HeadJournal!G$1),0),"")</f>
        <v>46125</v>
      </c>
      <c r="F5787" s="95" t="str">
        <f t="shared" si="419"/>
        <v>2026 04</v>
      </c>
      <c r="G5787" s="97" t="s">
        <v>5</v>
      </c>
      <c r="H5787" s="161" t="s">
        <v>5666</v>
      </c>
      <c r="I5787" s="97" t="s">
        <v>1395</v>
      </c>
      <c r="J5787" s="97" t="s">
        <v>5673</v>
      </c>
      <c r="K5787" s="29">
        <v>2553.13</v>
      </c>
      <c r="L5787" s="29">
        <v>0</v>
      </c>
      <c r="M5787" s="30">
        <f>IFERROR(VLOOKUP($A5787,HeadJournal!$A$1:$J$890,COLUMN(HeadJournal!I$1),0)*($K5787+$L5787)/(SUMIF($A:$A,$A5787,$K:$K)+SUMIF($A:$A,$A5787,$L:$L)),0)</f>
        <v>0</v>
      </c>
      <c r="N5787" s="30">
        <f>IFERROR((VLOOKUP($A5787,HeadJournal!$A$1:$K$890,COLUMN(HeadJournal!K$1),0)-VLOOKUP($A5787,HeadJournal!$A$1:$K$890,COLUMN(HeadJournal!J$1),0))*($K5787+$L5787)/(SUMIF($A:$A,$A5787,$K:$K)+SUMIF($A:$A,$A5787,$L:$L)),0)</f>
        <v>-2.9781927977990091E-13</v>
      </c>
      <c r="O5787" s="30">
        <f>IFERROR((VLOOKUP($A5787,HeadJournal!$A$1:$L$890,COLUMN(HeadJournal!L$1),0)*($K5787+$L5787)/(SUMIF($A:$A,$A5787,$K:$K)+SUMIF($A:$A,$A5787,$L:$L)))/VLOOKUP($A5787,HeadJournal!$A$1:$L$890,COLUMN(HeadJournal!H$1),0),0)</f>
        <v>8.1863940273468696</v>
      </c>
      <c r="P5787" s="30">
        <f>IFERROR(SUM(K5787:O5787)*VLOOKUP($A5787,HeadJournal!$A$1:$L$890,COLUMN(HeadJournal!H$1),0),0)</f>
        <v>2561.3163940273466</v>
      </c>
      <c r="Q5787" s="29"/>
      <c r="R5787" s="31"/>
      <c r="S5787" s="31"/>
      <c r="T5787" s="95" t="str">
        <f t="shared" si="420"/>
        <v/>
      </c>
      <c r="U5787" s="32">
        <f t="shared" si="354"/>
        <v>-2561.3163940273466</v>
      </c>
      <c r="V5787" s="22" t="str">
        <f t="shared" si="355"/>
        <v/>
      </c>
      <c r="X5787" s="33"/>
      <c r="Y5787" s="33"/>
    </row>
    <row r="5788" spans="1:25" x14ac:dyDescent="0.2">
      <c r="A5788" s="93" t="s">
        <v>5661</v>
      </c>
      <c r="B5788" s="94">
        <f>IFERROR(VLOOKUP($A5788,HeadJournal!$A$1:$NTR$890,COLUMN(HeadJournal!B$1),0),"")</f>
        <v>0</v>
      </c>
      <c r="C5788" s="94" t="str">
        <f>IFERROR(VLOOKUP($A5788,HeadJournal!$A$1:$NTR$890,COLUMN(HeadJournal!C$1),0),"")</f>
        <v>NSP_OA</v>
      </c>
      <c r="D5788" s="125" t="str">
        <f>IFERROR(VLOOKUP($A5788,HeadJournal!$A$1:$NTR$890,COLUMN(HeadJournal!D$1),0),"")</f>
        <v>Доставлен</v>
      </c>
      <c r="E5788" s="95">
        <f>IFERROR(VLOOKUP($A5788,HeadJournal!$A$1:$NTR$890,COLUMN(HeadJournal!G$1),0),"")</f>
        <v>46125</v>
      </c>
      <c r="F5788" s="95" t="str">
        <f t="shared" si="419"/>
        <v>2026 04</v>
      </c>
      <c r="G5788" s="97" t="s">
        <v>5</v>
      </c>
      <c r="H5788" s="161" t="s">
        <v>5667</v>
      </c>
      <c r="I5788" s="97" t="s">
        <v>1395</v>
      </c>
      <c r="J5788" s="97" t="s">
        <v>5674</v>
      </c>
      <c r="K5788" s="29">
        <v>3095.18</v>
      </c>
      <c r="L5788" s="29">
        <v>0</v>
      </c>
      <c r="M5788" s="30">
        <f>IFERROR(VLOOKUP($A5788,HeadJournal!$A$1:$J$890,COLUMN(HeadJournal!I$1),0)*($K5788+$L5788)/(SUMIF($A:$A,$A5788,$K:$K)+SUMIF($A:$A,$A5788,$L:$L)),0)</f>
        <v>0</v>
      </c>
      <c r="N5788" s="30">
        <f>IFERROR((VLOOKUP($A5788,HeadJournal!$A$1:$K$890,COLUMN(HeadJournal!K$1),0)-VLOOKUP($A5788,HeadJournal!$A$1:$K$890,COLUMN(HeadJournal!J$1),0))*($K5788+$L5788)/(SUMIF($A:$A,$A5788,$K:$K)+SUMIF($A:$A,$A5788,$L:$L)),0)</f>
        <v>-3.610487042920469E-13</v>
      </c>
      <c r="O5788" s="30">
        <f>IFERROR((VLOOKUP($A5788,HeadJournal!$A$1:$L$890,COLUMN(HeadJournal!L$1),0)*($K5788+$L5788)/(SUMIF($A:$A,$A5788,$K:$K)+SUMIF($A:$A,$A5788,$L:$L)))/VLOOKUP($A5788,HeadJournal!$A$1:$L$890,COLUMN(HeadJournal!H$1),0),0)</f>
        <v>9.9244312140641036</v>
      </c>
      <c r="P5788" s="30">
        <f>IFERROR(SUM(K5788:O5788)*VLOOKUP($A5788,HeadJournal!$A$1:$L$890,COLUMN(HeadJournal!H$1),0),0)</f>
        <v>3105.1044312140634</v>
      </c>
      <c r="Q5788" s="29"/>
      <c r="R5788" s="31"/>
      <c r="S5788" s="31"/>
      <c r="T5788" s="95" t="str">
        <f t="shared" si="420"/>
        <v/>
      </c>
      <c r="U5788" s="32">
        <f t="shared" si="354"/>
        <v>-3105.1044312140634</v>
      </c>
      <c r="V5788" s="22" t="str">
        <f t="shared" si="355"/>
        <v/>
      </c>
      <c r="X5788" s="33"/>
      <c r="Y5788" s="33"/>
    </row>
    <row r="5789" spans="1:25" x14ac:dyDescent="0.2">
      <c r="A5789" s="93" t="s">
        <v>5661</v>
      </c>
      <c r="B5789" s="94">
        <f>IFERROR(VLOOKUP($A5789,HeadJournal!$A$1:$NTR$890,COLUMN(HeadJournal!B$1),0),"")</f>
        <v>0</v>
      </c>
      <c r="C5789" s="94" t="str">
        <f>IFERROR(VLOOKUP($A5789,HeadJournal!$A$1:$NTR$890,COLUMN(HeadJournal!C$1),0),"")</f>
        <v>NSP_OA</v>
      </c>
      <c r="D5789" s="125" t="str">
        <f>IFERROR(VLOOKUP($A5789,HeadJournal!$A$1:$NTR$890,COLUMN(HeadJournal!D$1),0),"")</f>
        <v>Доставлен</v>
      </c>
      <c r="E5789" s="95">
        <f>IFERROR(VLOOKUP($A5789,HeadJournal!$A$1:$NTR$890,COLUMN(HeadJournal!G$1),0),"")</f>
        <v>46125</v>
      </c>
      <c r="F5789" s="95" t="str">
        <f t="shared" si="419"/>
        <v>2026 04</v>
      </c>
      <c r="G5789" s="97" t="s">
        <v>5</v>
      </c>
      <c r="H5789" s="161" t="s">
        <v>5668</v>
      </c>
      <c r="I5789" s="97" t="s">
        <v>1395</v>
      </c>
      <c r="J5789" s="97" t="s">
        <v>5669</v>
      </c>
      <c r="K5789" s="29">
        <v>3643.34</v>
      </c>
      <c r="L5789" s="29">
        <v>0</v>
      </c>
      <c r="M5789" s="30">
        <f>IFERROR(VLOOKUP($A5789,HeadJournal!$A$1:$J$890,COLUMN(HeadJournal!I$1),0)*($K5789+$L5789)/(SUMIF($A:$A,$A5789,$K:$K)+SUMIF($A:$A,$A5789,$L:$L)),0)</f>
        <v>0</v>
      </c>
      <c r="N5789" s="30">
        <f>IFERROR((VLOOKUP($A5789,HeadJournal!$A$1:$K$890,COLUMN(HeadJournal!K$1),0)-VLOOKUP($A5789,HeadJournal!$A$1:$K$890,COLUMN(HeadJournal!J$1),0))*($K5789+$L5789)/(SUMIF($A:$A,$A5789,$K:$K)+SUMIF($A:$A,$A5789,$L:$L)),0)</f>
        <v>-4.2499085232373762E-13</v>
      </c>
      <c r="O5789" s="30">
        <f>IFERROR((VLOOKUP($A5789,HeadJournal!$A$1:$L$890,COLUMN(HeadJournal!L$1),0)*($K5789+$L5789)/(SUMIF($A:$A,$A5789,$K:$K)+SUMIF($A:$A,$A5789,$L:$L)))/VLOOKUP($A5789,HeadJournal!$A$1:$L$890,COLUMN(HeadJournal!H$1),0),0)</f>
        <v>11.682059595709559</v>
      </c>
      <c r="P5789" s="30">
        <f>IFERROR(SUM(K5789:O5789)*VLOOKUP($A5789,HeadJournal!$A$1:$L$890,COLUMN(HeadJournal!H$1),0),0)</f>
        <v>3655.0220595957094</v>
      </c>
      <c r="Q5789" s="29"/>
      <c r="R5789" s="31"/>
      <c r="S5789" s="31"/>
      <c r="T5789" s="95" t="str">
        <f t="shared" si="420"/>
        <v/>
      </c>
      <c r="U5789" s="32">
        <f t="shared" si="354"/>
        <v>-3655.0220595957094</v>
      </c>
      <c r="V5789" s="22" t="str">
        <f t="shared" si="355"/>
        <v/>
      </c>
      <c r="X5789" s="33"/>
      <c r="Y5789" s="33"/>
    </row>
    <row r="5790" spans="1:25" x14ac:dyDescent="0.2">
      <c r="A5790" s="93" t="s">
        <v>5675</v>
      </c>
      <c r="B5790" s="94">
        <f>IFERROR(VLOOKUP($A5790,HeadJournal!$A$1:$NTR$890,COLUMN(HeadJournal!B$1),0),"")</f>
        <v>0</v>
      </c>
      <c r="C5790" s="94" t="str">
        <f>IFERROR(VLOOKUP($A5790,HeadJournal!$A$1:$NTR$890,COLUMN(HeadJournal!C$1),0),"")</f>
        <v>WBRS</v>
      </c>
      <c r="D5790" s="125" t="str">
        <f>IFERROR(VLOOKUP($A5790,HeadJournal!$A$1:$NTR$890,COLUMN(HeadJournal!D$1),0),"")</f>
        <v>Доставлен</v>
      </c>
      <c r="E5790" s="95">
        <f>IFERROR(VLOOKUP($A5790,HeadJournal!$A$1:$NTR$890,COLUMN(HeadJournal!G$1),0),"")</f>
        <v>46113</v>
      </c>
      <c r="F5790" s="95" t="str">
        <f t="shared" si="419"/>
        <v>2026 04</v>
      </c>
      <c r="G5790" s="97" t="s">
        <v>5</v>
      </c>
      <c r="H5790" s="161" t="s">
        <v>3677</v>
      </c>
      <c r="I5790" s="97" t="s">
        <v>1368</v>
      </c>
      <c r="J5790" s="97" t="s">
        <v>3678</v>
      </c>
      <c r="K5790" s="29">
        <v>3092</v>
      </c>
      <c r="L5790" s="29">
        <v>0</v>
      </c>
      <c r="M5790" s="30">
        <f>IFERROR(VLOOKUP($A5790,HeadJournal!$A$1:$J$890,COLUMN(HeadJournal!I$1),0)*($K5790+$L5790)/(SUMIF($A:$A,$A5790,$K:$K)+SUMIF($A:$A,$A5790,$L:$L)),0)</f>
        <v>0</v>
      </c>
      <c r="N5790" s="30">
        <f>IFERROR((VLOOKUP($A5790,HeadJournal!$A$1:$K$890,COLUMN(HeadJournal!K$1),0)-VLOOKUP($A5790,HeadJournal!$A$1:$K$890,COLUMN(HeadJournal!J$1),0))*($K5790+$L5790)/(SUMIF($A:$A,$A5790,$K:$K)+SUMIF($A:$A,$A5790,$L:$L)),0)</f>
        <v>0</v>
      </c>
      <c r="O5790" s="30">
        <f>IFERROR((VLOOKUP($A5790,HeadJournal!$A$1:$L$890,COLUMN(HeadJournal!L$1),0)*($K5790+$L5790)/(SUMIF($A:$A,$A5790,$K:$K)+SUMIF($A:$A,$A5790,$L:$L)))/VLOOKUP($A5790,HeadJournal!$A$1:$L$890,COLUMN(HeadJournal!H$1),0),0)</f>
        <v>0</v>
      </c>
      <c r="P5790" s="30">
        <f>IFERROR(SUM(K5790:O5790)*VLOOKUP($A5790,HeadJournal!$A$1:$L$890,COLUMN(HeadJournal!H$1),0),0)</f>
        <v>3092</v>
      </c>
      <c r="Q5790" s="29">
        <v>4200</v>
      </c>
      <c r="R5790" s="31">
        <v>46133</v>
      </c>
      <c r="S5790" s="31"/>
      <c r="T5790" s="95" t="str">
        <f t="shared" si="420"/>
        <v>2026 04</v>
      </c>
      <c r="U5790" s="32">
        <f t="shared" si="354"/>
        <v>1108</v>
      </c>
      <c r="V5790" s="22">
        <f t="shared" si="355"/>
        <v>0.35834411384217335</v>
      </c>
      <c r="X5790" s="33"/>
      <c r="Y5790" s="33"/>
    </row>
    <row r="5791" spans="1:25" x14ac:dyDescent="0.2">
      <c r="A5791" s="93" t="s">
        <v>5676</v>
      </c>
      <c r="B5791" s="94">
        <f>IFERROR(VLOOKUP($A5791,HeadJournal!$A$1:$NTR$890,COLUMN(HeadJournal!B$1),0),"")</f>
        <v>0</v>
      </c>
      <c r="C5791" s="94" t="str">
        <f>IFERROR(VLOOKUP($A5791,HeadJournal!$A$1:$NTR$890,COLUMN(HeadJournal!C$1),0),"")</f>
        <v>OZON_OA</v>
      </c>
      <c r="D5791" s="125" t="str">
        <f>IFERROR(VLOOKUP($A5791,HeadJournal!$A$1:$NTR$890,COLUMN(HeadJournal!D$1),0),"")</f>
        <v>Доставлен</v>
      </c>
      <c r="E5791" s="95">
        <f>IFERROR(VLOOKUP($A5791,HeadJournal!$A$1:$NTR$890,COLUMN(HeadJournal!G$1),0),"")</f>
        <v>46125</v>
      </c>
      <c r="F5791" s="95" t="str">
        <f t="shared" si="419"/>
        <v>2026 04</v>
      </c>
      <c r="G5791" s="97" t="s">
        <v>5</v>
      </c>
      <c r="H5791" s="161" t="s">
        <v>2280</v>
      </c>
      <c r="I5791" s="97" t="s">
        <v>2281</v>
      </c>
      <c r="J5791" s="97" t="s">
        <v>737</v>
      </c>
      <c r="K5791" s="29">
        <v>1042</v>
      </c>
      <c r="L5791" s="29">
        <v>0</v>
      </c>
      <c r="M5791" s="30">
        <f>IFERROR(VLOOKUP($A5791,HeadJournal!$A$1:$J$890,COLUMN(HeadJournal!I$1),0)*($K5791+$L5791)/(SUMIF($A:$A,$A5791,$K:$K)+SUMIF($A:$A,$A5791,$L:$L)),0)</f>
        <v>0</v>
      </c>
      <c r="N5791" s="30">
        <f>IFERROR((VLOOKUP($A5791,HeadJournal!$A$1:$K$890,COLUMN(HeadJournal!K$1),0)-VLOOKUP($A5791,HeadJournal!$A$1:$K$890,COLUMN(HeadJournal!J$1),0))*($K5791+$L5791)/(SUMIF($A:$A,$A5791,$K:$K)+SUMIF($A:$A,$A5791,$L:$L)),0)</f>
        <v>0</v>
      </c>
      <c r="O5791" s="30">
        <f>IFERROR((VLOOKUP($A5791,HeadJournal!$A$1:$L$890,COLUMN(HeadJournal!L$1),0)*($K5791+$L5791)/(SUMIF($A:$A,$A5791,$K:$K)+SUMIF($A:$A,$A5791,$L:$L)))/VLOOKUP($A5791,HeadJournal!$A$1:$L$890,COLUMN(HeadJournal!H$1),0),0)</f>
        <v>0</v>
      </c>
      <c r="P5791" s="30">
        <f>IFERROR(SUM(K5791:O5791)*VLOOKUP($A5791,HeadJournal!$A$1:$L$890,COLUMN(HeadJournal!H$1),0),0)</f>
        <v>1042</v>
      </c>
      <c r="Q5791" s="29">
        <v>2000</v>
      </c>
      <c r="R5791" s="31">
        <v>46133</v>
      </c>
      <c r="S5791" s="31" t="s">
        <v>4911</v>
      </c>
      <c r="T5791" s="95" t="str">
        <f t="shared" si="420"/>
        <v>2026 04</v>
      </c>
      <c r="U5791" s="32">
        <f t="shared" si="354"/>
        <v>958</v>
      </c>
      <c r="V5791" s="22">
        <f t="shared" si="355"/>
        <v>0.91938579654510555</v>
      </c>
      <c r="X5791" s="33"/>
      <c r="Y5791" s="33"/>
    </row>
    <row r="5792" spans="1:25" x14ac:dyDescent="0.2">
      <c r="A5792" s="93" t="s">
        <v>5677</v>
      </c>
      <c r="B5792" s="94">
        <f>IFERROR(VLOOKUP($A5792,HeadJournal!$A$1:$NTR$890,COLUMN(HeadJournal!B$1),0),"")</f>
        <v>0</v>
      </c>
      <c r="C5792" s="94" t="str">
        <f>IFERROR(VLOOKUP($A5792,HeadJournal!$A$1:$NTR$890,COLUMN(HeadJournal!C$1),0),"")</f>
        <v>OZON_OA</v>
      </c>
      <c r="D5792" s="125" t="str">
        <f>IFERROR(VLOOKUP($A5792,HeadJournal!$A$1:$NTR$890,COLUMN(HeadJournal!D$1),0),"")</f>
        <v>Доставлен</v>
      </c>
      <c r="E5792" s="95">
        <f>IFERROR(VLOOKUP($A5792,HeadJournal!$A$1:$NTR$890,COLUMN(HeadJournal!G$1),0),"")</f>
        <v>46128</v>
      </c>
      <c r="F5792" s="95" t="str">
        <f t="shared" si="419"/>
        <v>2026 04</v>
      </c>
      <c r="G5792" s="97" t="s">
        <v>5</v>
      </c>
      <c r="H5792" s="161" t="s">
        <v>2280</v>
      </c>
      <c r="I5792" s="97" t="s">
        <v>2281</v>
      </c>
      <c r="J5792" s="97" t="s">
        <v>737</v>
      </c>
      <c r="K5792" s="29">
        <v>882</v>
      </c>
      <c r="L5792" s="29">
        <v>0</v>
      </c>
      <c r="M5792" s="30">
        <f>IFERROR(VLOOKUP($A5792,HeadJournal!$A$1:$J$890,COLUMN(HeadJournal!I$1),0)*($K5792+$L5792)/(SUMIF($A:$A,$A5792,$K:$K)+SUMIF($A:$A,$A5792,$L:$L)),0)</f>
        <v>0</v>
      </c>
      <c r="N5792" s="30">
        <f>IFERROR((VLOOKUP($A5792,HeadJournal!$A$1:$K$890,COLUMN(HeadJournal!K$1),0)-VLOOKUP($A5792,HeadJournal!$A$1:$K$890,COLUMN(HeadJournal!J$1),0))*($K5792+$L5792)/(SUMIF($A:$A,$A5792,$K:$K)+SUMIF($A:$A,$A5792,$L:$L)),0)</f>
        <v>0</v>
      </c>
      <c r="O5792" s="30">
        <f>IFERROR((VLOOKUP($A5792,HeadJournal!$A$1:$L$890,COLUMN(HeadJournal!L$1),0)*($K5792+$L5792)/(SUMIF($A:$A,$A5792,$K:$K)+SUMIF($A:$A,$A5792,$L:$L)))/VLOOKUP($A5792,HeadJournal!$A$1:$L$890,COLUMN(HeadJournal!H$1),0),0)</f>
        <v>0</v>
      </c>
      <c r="P5792" s="30">
        <f>IFERROR(SUM(K5792:O5792)*VLOOKUP($A5792,HeadJournal!$A$1:$L$890,COLUMN(HeadJournal!H$1),0),0)</f>
        <v>882</v>
      </c>
      <c r="Q5792" s="29">
        <v>2000</v>
      </c>
      <c r="R5792" s="31">
        <v>46143</v>
      </c>
      <c r="S5792" s="31" t="s">
        <v>4911</v>
      </c>
      <c r="T5792" s="95" t="str">
        <f t="shared" si="420"/>
        <v>2026 05</v>
      </c>
      <c r="U5792" s="32">
        <f t="shared" si="354"/>
        <v>1118</v>
      </c>
      <c r="V5792" s="22">
        <f t="shared" si="355"/>
        <v>1.2675736961451247</v>
      </c>
      <c r="X5792" s="33"/>
      <c r="Y5792" s="33"/>
    </row>
    <row r="5793" spans="1:25" x14ac:dyDescent="0.2">
      <c r="A5793" s="93" t="s">
        <v>5678</v>
      </c>
      <c r="B5793" s="94">
        <f>IFERROR(VLOOKUP($A5793,HeadJournal!$A$1:$NTR$890,COLUMN(HeadJournal!B$1),0),"")</f>
        <v>0</v>
      </c>
      <c r="C5793" s="94" t="str">
        <f>IFERROR(VLOOKUP($A5793,HeadJournal!$A$1:$NTR$890,COLUMN(HeadJournal!C$1),0),"")</f>
        <v>OZON_OA</v>
      </c>
      <c r="D5793" s="125" t="str">
        <f>IFERROR(VLOOKUP($A5793,HeadJournal!$A$1:$NTR$890,COLUMN(HeadJournal!D$1),0),"")</f>
        <v>Доставлен</v>
      </c>
      <c r="E5793" s="95">
        <f>IFERROR(VLOOKUP($A5793,HeadJournal!$A$1:$NTR$890,COLUMN(HeadJournal!G$1),0),"")</f>
        <v>46128</v>
      </c>
      <c r="F5793" s="95" t="str">
        <f t="shared" si="419"/>
        <v>2026 04</v>
      </c>
      <c r="G5793" s="97" t="s">
        <v>5</v>
      </c>
      <c r="H5793" s="161" t="s">
        <v>2280</v>
      </c>
      <c r="I5793" s="97" t="s">
        <v>2281</v>
      </c>
      <c r="J5793" s="97" t="s">
        <v>737</v>
      </c>
      <c r="K5793" s="29">
        <v>882</v>
      </c>
      <c r="L5793" s="29">
        <v>0</v>
      </c>
      <c r="M5793" s="30">
        <f>IFERROR(VLOOKUP($A5793,HeadJournal!$A$1:$J$890,COLUMN(HeadJournal!I$1),0)*($K5793+$L5793)/(SUMIF($A:$A,$A5793,$K:$K)+SUMIF($A:$A,$A5793,$L:$L)),0)</f>
        <v>0</v>
      </c>
      <c r="N5793" s="30">
        <f>IFERROR((VLOOKUP($A5793,HeadJournal!$A$1:$K$890,COLUMN(HeadJournal!K$1),0)-VLOOKUP($A5793,HeadJournal!$A$1:$K$890,COLUMN(HeadJournal!J$1),0))*($K5793+$L5793)/(SUMIF($A:$A,$A5793,$K:$K)+SUMIF($A:$A,$A5793,$L:$L)),0)</f>
        <v>0</v>
      </c>
      <c r="O5793" s="30">
        <f>IFERROR((VLOOKUP($A5793,HeadJournal!$A$1:$L$890,COLUMN(HeadJournal!L$1),0)*($K5793+$L5793)/(SUMIF($A:$A,$A5793,$K:$K)+SUMIF($A:$A,$A5793,$L:$L)))/VLOOKUP($A5793,HeadJournal!$A$1:$L$890,COLUMN(HeadJournal!H$1),0),0)</f>
        <v>0</v>
      </c>
      <c r="P5793" s="30">
        <f>IFERROR(SUM(K5793:O5793)*VLOOKUP($A5793,HeadJournal!$A$1:$L$890,COLUMN(HeadJournal!H$1),0),0)</f>
        <v>882</v>
      </c>
      <c r="Q5793" s="29">
        <v>2000</v>
      </c>
      <c r="R5793" s="31">
        <v>46146</v>
      </c>
      <c r="S5793" s="31" t="s">
        <v>3493</v>
      </c>
      <c r="T5793" s="95" t="str">
        <f t="shared" si="420"/>
        <v>2026 05</v>
      </c>
      <c r="U5793" s="32">
        <f t="shared" si="354"/>
        <v>1118</v>
      </c>
      <c r="V5793" s="22">
        <f t="shared" si="355"/>
        <v>1.2675736961451247</v>
      </c>
      <c r="X5793" s="33"/>
      <c r="Y5793" s="33"/>
    </row>
    <row r="5794" spans="1:25" x14ac:dyDescent="0.2">
      <c r="A5794" s="93" t="s">
        <v>5685</v>
      </c>
      <c r="B5794" s="94">
        <f>IFERROR(VLOOKUP($A5794,HeadJournal!$A$1:$NTR$890,COLUMN(HeadJournal!B$1),0),"")</f>
        <v>0</v>
      </c>
      <c r="C5794" s="94" t="str">
        <f>IFERROR(VLOOKUP($A5794,HeadJournal!$A$1:$NTR$890,COLUMN(HeadJournal!C$1),0),"")</f>
        <v>iHerb_AV CYG0792</v>
      </c>
      <c r="D5794" s="125" t="str">
        <f>IFERROR(VLOOKUP($A5794,HeadJournal!$A$1:$NTR$890,COLUMN(HeadJournal!D$1),0),"")</f>
        <v>Доставлен</v>
      </c>
      <c r="E5794" s="95">
        <f>IFERROR(VLOOKUP($A5794,HeadJournal!$A$1:$NTR$890,COLUMN(HeadJournal!G$1),0),"")</f>
        <v>46128</v>
      </c>
      <c r="F5794" s="95" t="str">
        <f t="shared" si="419"/>
        <v>2026 04</v>
      </c>
      <c r="G5794" s="97" t="s">
        <v>5</v>
      </c>
      <c r="H5794" s="161" t="s">
        <v>4044</v>
      </c>
      <c r="I5794" s="97" t="s">
        <v>2163</v>
      </c>
      <c r="J5794" s="97" t="s">
        <v>5679</v>
      </c>
      <c r="K5794" s="29">
        <v>36.33</v>
      </c>
      <c r="L5794" s="29">
        <v>-3.63</v>
      </c>
      <c r="M5794" s="30">
        <f>IFERROR(VLOOKUP($A5794,HeadJournal!$A$1:$J$890,COLUMN(HeadJournal!I$1),0)*($K5794+$L5794)/(SUMIF($A:$A,$A5794,$K:$K)+SUMIF($A:$A,$A5794,$L:$L)),0)</f>
        <v>-1.5389816575039819</v>
      </c>
      <c r="N5794" s="30">
        <f>IFERROR((VLOOKUP($A5794,HeadJournal!$A$1:$K$890,COLUMN(HeadJournal!K$1),0)-VLOOKUP($A5794,HeadJournal!$A$1:$K$890,COLUMN(HeadJournal!J$1),0))*($K5794+$L5794)/(SUMIF($A:$A,$A5794,$K:$K)+SUMIF($A:$A,$A5794,$L:$L)),0)</f>
        <v>0</v>
      </c>
      <c r="O5794" s="30">
        <f>IFERROR((VLOOKUP($A5794,HeadJournal!$A$1:$L$890,COLUMN(HeadJournal!L$1),0)*($K5794+$L5794)/(SUMIF($A:$A,$A5794,$K:$K)+SUMIF($A:$A,$A5794,$L:$L)))/VLOOKUP($A5794,HeadJournal!$A$1:$L$890,COLUMN(HeadJournal!H$1),0),0)</f>
        <v>1.3380707431250312</v>
      </c>
      <c r="P5794" s="30">
        <f>IFERROR(SUM(K5794:O5794)*VLOOKUP($A5794,HeadJournal!$A$1:$L$890,COLUMN(HeadJournal!H$1),0),0)</f>
        <v>2844.2178749421973</v>
      </c>
      <c r="Q5794" s="29">
        <v>3800</v>
      </c>
      <c r="R5794" s="31">
        <v>46164</v>
      </c>
      <c r="S5794" s="31" t="s">
        <v>3235</v>
      </c>
      <c r="T5794" s="95" t="str">
        <f t="shared" si="420"/>
        <v>2026 05</v>
      </c>
      <c r="U5794" s="32">
        <f t="shared" si="354"/>
        <v>955.78212505780266</v>
      </c>
      <c r="V5794" s="22">
        <f t="shared" si="355"/>
        <v>0.33604392036149022</v>
      </c>
      <c r="X5794" s="33"/>
      <c r="Y5794" s="33"/>
    </row>
    <row r="5795" spans="1:25" x14ac:dyDescent="0.2">
      <c r="A5795" s="93" t="s">
        <v>5685</v>
      </c>
      <c r="B5795" s="94">
        <f>IFERROR(VLOOKUP($A5795,HeadJournal!$A$1:$NTR$890,COLUMN(HeadJournal!B$1),0),"")</f>
        <v>0</v>
      </c>
      <c r="C5795" s="94" t="str">
        <f>IFERROR(VLOOKUP($A5795,HeadJournal!$A$1:$NTR$890,COLUMN(HeadJournal!C$1),0),"")</f>
        <v>iHerb_AV CYG0792</v>
      </c>
      <c r="D5795" s="125" t="str">
        <f>IFERROR(VLOOKUP($A5795,HeadJournal!$A$1:$NTR$890,COLUMN(HeadJournal!D$1),0),"")</f>
        <v>Доставлен</v>
      </c>
      <c r="E5795" s="95">
        <f>IFERROR(VLOOKUP($A5795,HeadJournal!$A$1:$NTR$890,COLUMN(HeadJournal!G$1),0),"")</f>
        <v>46128</v>
      </c>
      <c r="F5795" s="95" t="str">
        <f t="shared" si="419"/>
        <v>2026 04</v>
      </c>
      <c r="G5795" s="97" t="s">
        <v>5</v>
      </c>
      <c r="H5795" s="161" t="s">
        <v>3633</v>
      </c>
      <c r="I5795" s="97" t="s">
        <v>2008</v>
      </c>
      <c r="J5795" s="97" t="s">
        <v>4953</v>
      </c>
      <c r="K5795" s="29">
        <v>18.739999999999998</v>
      </c>
      <c r="L5795" s="29">
        <v>-1.87</v>
      </c>
      <c r="M5795" s="30">
        <f>IFERROR(VLOOKUP($A5795,HeadJournal!$A$1:$J$890,COLUMN(HeadJournal!I$1),0)*($K5795+$L5795)/(SUMIF($A:$A,$A5795,$K:$K)+SUMIF($A:$A,$A5795,$L:$L)),0)</f>
        <v>-0.79396393156245171</v>
      </c>
      <c r="N5795" s="30">
        <f>IFERROR((VLOOKUP($A5795,HeadJournal!$A$1:$K$890,COLUMN(HeadJournal!K$1),0)-VLOOKUP($A5795,HeadJournal!$A$1:$K$890,COLUMN(HeadJournal!J$1),0))*($K5795+$L5795)/(SUMIF($A:$A,$A5795,$K:$K)+SUMIF($A:$A,$A5795,$L:$L)),0)</f>
        <v>0</v>
      </c>
      <c r="O5795" s="30">
        <f>IFERROR((VLOOKUP($A5795,HeadJournal!$A$1:$L$890,COLUMN(HeadJournal!L$1),0)*($K5795+$L5795)/(SUMIF($A:$A,$A5795,$K:$K)+SUMIF($A:$A,$A5795,$L:$L)))/VLOOKUP($A5795,HeadJournal!$A$1:$L$890,COLUMN(HeadJournal!H$1),0),0)</f>
        <v>0.69031356074982486</v>
      </c>
      <c r="P5795" s="30">
        <f>IFERROR(SUM(K5795:O5795)*VLOOKUP($A5795,HeadJournal!$A$1:$L$890,COLUMN(HeadJournal!H$1),0),0)</f>
        <v>1467.3380902224731</v>
      </c>
      <c r="Q5795" s="29">
        <v>2300</v>
      </c>
      <c r="R5795" s="31">
        <v>46164</v>
      </c>
      <c r="S5795" s="31" t="s">
        <v>3235</v>
      </c>
      <c r="T5795" s="95" t="str">
        <f t="shared" si="420"/>
        <v>2026 05</v>
      </c>
      <c r="U5795" s="32">
        <f t="shared" si="354"/>
        <v>832.66190977752694</v>
      </c>
      <c r="V5795" s="22">
        <f t="shared" si="355"/>
        <v>0.56746425062221439</v>
      </c>
      <c r="X5795" s="33"/>
      <c r="Y5795" s="33"/>
    </row>
    <row r="5796" spans="1:25" x14ac:dyDescent="0.2">
      <c r="A5796" s="93" t="s">
        <v>5685</v>
      </c>
      <c r="B5796" s="94">
        <f>IFERROR(VLOOKUP($A5796,HeadJournal!$A$1:$NTR$890,COLUMN(HeadJournal!B$1),0),"")</f>
        <v>0</v>
      </c>
      <c r="C5796" s="94" t="str">
        <f>IFERROR(VLOOKUP($A5796,HeadJournal!$A$1:$NTR$890,COLUMN(HeadJournal!C$1),0),"")</f>
        <v>iHerb_AV CYG0792</v>
      </c>
      <c r="D5796" s="125" t="str">
        <f>IFERROR(VLOOKUP($A5796,HeadJournal!$A$1:$NTR$890,COLUMN(HeadJournal!D$1),0),"")</f>
        <v>Доставлен</v>
      </c>
      <c r="E5796" s="95">
        <f>IFERROR(VLOOKUP($A5796,HeadJournal!$A$1:$NTR$890,COLUMN(HeadJournal!G$1),0),"")</f>
        <v>46128</v>
      </c>
      <c r="F5796" s="95" t="str">
        <f t="shared" si="419"/>
        <v>2026 04</v>
      </c>
      <c r="G5796" s="97" t="s">
        <v>5</v>
      </c>
      <c r="H5796" s="161" t="s">
        <v>2546</v>
      </c>
      <c r="I5796" s="97" t="s">
        <v>2039</v>
      </c>
      <c r="J5796" s="97" t="s">
        <v>2547</v>
      </c>
      <c r="K5796" s="29">
        <v>10.47</v>
      </c>
      <c r="L5796" s="29">
        <v>-1.0449999999999999</v>
      </c>
      <c r="M5796" s="30">
        <f>IFERROR(VLOOKUP($A5796,HeadJournal!$A$1:$J$890,COLUMN(HeadJournal!I$1),0)*($K5796+$L5796)/(SUMIF($A:$A,$A5796,$K:$K)+SUMIF($A:$A,$A5796,$L:$L)),0)</f>
        <v>-0.44357498843960341</v>
      </c>
      <c r="N5796" s="30">
        <f>IFERROR((VLOOKUP($A5796,HeadJournal!$A$1:$K$890,COLUMN(HeadJournal!K$1),0)-VLOOKUP($A5796,HeadJournal!$A$1:$K$890,COLUMN(HeadJournal!J$1),0))*($K5796+$L5796)/(SUMIF($A:$A,$A5796,$K:$K)+SUMIF($A:$A,$A5796,$L:$L)),0)</f>
        <v>0</v>
      </c>
      <c r="O5796" s="30">
        <f>IFERROR((VLOOKUP($A5796,HeadJournal!$A$1:$L$890,COLUMN(HeadJournal!L$1),0)*($K5796+$L5796)/(SUMIF($A:$A,$A5796,$K:$K)+SUMIF($A:$A,$A5796,$L:$L)))/VLOOKUP($A5796,HeadJournal!$A$1:$L$890,COLUMN(HeadJournal!H$1),0),0)</f>
        <v>0.38566717901998226</v>
      </c>
      <c r="P5796" s="30">
        <f>IFERROR(SUM(K5796:O5796)*VLOOKUP($A5796,HeadJournal!$A$1:$L$890,COLUMN(HeadJournal!H$1),0),0)</f>
        <v>819.77839361866108</v>
      </c>
      <c r="Q5796" s="29">
        <v>1400</v>
      </c>
      <c r="R5796" s="31">
        <v>46164</v>
      </c>
      <c r="S5796" s="31" t="s">
        <v>3466</v>
      </c>
      <c r="T5796" s="95" t="str">
        <f t="shared" si="420"/>
        <v>2026 05</v>
      </c>
      <c r="U5796" s="32">
        <f t="shared" si="354"/>
        <v>580.22160638133892</v>
      </c>
      <c r="V5796" s="22">
        <f t="shared" si="355"/>
        <v>0.70777860321510555</v>
      </c>
      <c r="X5796" s="33"/>
      <c r="Y5796" s="33"/>
    </row>
    <row r="5797" spans="1:25" x14ac:dyDescent="0.2">
      <c r="A5797" s="93" t="s">
        <v>5685</v>
      </c>
      <c r="B5797" s="94">
        <f>IFERROR(VLOOKUP($A5797,HeadJournal!$A$1:$NTR$890,COLUMN(HeadJournal!B$1),0),"")</f>
        <v>0</v>
      </c>
      <c r="C5797" s="94" t="str">
        <f>IFERROR(VLOOKUP($A5797,HeadJournal!$A$1:$NTR$890,COLUMN(HeadJournal!C$1),0),"")</f>
        <v>iHerb_AV CYG0792</v>
      </c>
      <c r="D5797" s="125" t="str">
        <f>IFERROR(VLOOKUP($A5797,HeadJournal!$A$1:$NTR$890,COLUMN(HeadJournal!D$1),0),"")</f>
        <v>Доставлен</v>
      </c>
      <c r="E5797" s="95">
        <f>IFERROR(VLOOKUP($A5797,HeadJournal!$A$1:$NTR$890,COLUMN(HeadJournal!G$1),0),"")</f>
        <v>46128</v>
      </c>
      <c r="F5797" s="95" t="str">
        <f t="shared" si="419"/>
        <v>2026 04</v>
      </c>
      <c r="G5797" s="97" t="s">
        <v>5</v>
      </c>
      <c r="H5797" s="161" t="s">
        <v>2546</v>
      </c>
      <c r="I5797" s="97" t="s">
        <v>2039</v>
      </c>
      <c r="J5797" s="97" t="s">
        <v>2547</v>
      </c>
      <c r="K5797" s="29">
        <v>10.47</v>
      </c>
      <c r="L5797" s="29">
        <v>-1.0449999999999999</v>
      </c>
      <c r="M5797" s="30">
        <f>IFERROR(VLOOKUP($A5797,HeadJournal!$A$1:$J$890,COLUMN(HeadJournal!I$1),0)*($K5797+$L5797)/(SUMIF($A:$A,$A5797,$K:$K)+SUMIF($A:$A,$A5797,$L:$L)),0)</f>
        <v>-0.44357498843960341</v>
      </c>
      <c r="N5797" s="30">
        <f>IFERROR((VLOOKUP($A5797,HeadJournal!$A$1:$K$890,COLUMN(HeadJournal!K$1),0)-VLOOKUP($A5797,HeadJournal!$A$1:$K$890,COLUMN(HeadJournal!J$1),0))*($K5797+$L5797)/(SUMIF($A:$A,$A5797,$K:$K)+SUMIF($A:$A,$A5797,$L:$L)),0)</f>
        <v>0</v>
      </c>
      <c r="O5797" s="30">
        <f>IFERROR((VLOOKUP($A5797,HeadJournal!$A$1:$L$890,COLUMN(HeadJournal!L$1),0)*($K5797+$L5797)/(SUMIF($A:$A,$A5797,$K:$K)+SUMIF($A:$A,$A5797,$L:$L)))/VLOOKUP($A5797,HeadJournal!$A$1:$L$890,COLUMN(HeadJournal!H$1),0),0)</f>
        <v>0.38566717901998226</v>
      </c>
      <c r="P5797" s="30">
        <f>IFERROR(SUM(K5797:O5797)*VLOOKUP($A5797,HeadJournal!$A$1:$L$890,COLUMN(HeadJournal!H$1),0),0)</f>
        <v>819.77839361866108</v>
      </c>
      <c r="Q5797" s="29">
        <v>1400</v>
      </c>
      <c r="R5797" s="31">
        <v>46164</v>
      </c>
      <c r="S5797" s="31" t="s">
        <v>3466</v>
      </c>
      <c r="T5797" s="95" t="str">
        <f t="shared" si="420"/>
        <v>2026 05</v>
      </c>
      <c r="U5797" s="32">
        <f t="shared" si="354"/>
        <v>580.22160638133892</v>
      </c>
      <c r="V5797" s="22">
        <f t="shared" si="355"/>
        <v>0.70777860321510555</v>
      </c>
      <c r="X5797" s="33"/>
      <c r="Y5797" s="33"/>
    </row>
    <row r="5798" spans="1:25" x14ac:dyDescent="0.2">
      <c r="A5798" s="93" t="s">
        <v>5685</v>
      </c>
      <c r="B5798" s="94">
        <f>IFERROR(VLOOKUP($A5798,HeadJournal!$A$1:$NTR$890,COLUMN(HeadJournal!B$1),0),"")</f>
        <v>0</v>
      </c>
      <c r="C5798" s="94" t="str">
        <f>IFERROR(VLOOKUP($A5798,HeadJournal!$A$1:$NTR$890,COLUMN(HeadJournal!C$1),0),"")</f>
        <v>iHerb_AV CYG0792</v>
      </c>
      <c r="D5798" s="125" t="str">
        <f>IFERROR(VLOOKUP($A5798,HeadJournal!$A$1:$NTR$890,COLUMN(HeadJournal!D$1),0),"")</f>
        <v>Доставлен</v>
      </c>
      <c r="E5798" s="95">
        <f>IFERROR(VLOOKUP($A5798,HeadJournal!$A$1:$NTR$890,COLUMN(HeadJournal!G$1),0),"")</f>
        <v>46128</v>
      </c>
      <c r="F5798" s="95" t="str">
        <f t="shared" si="419"/>
        <v>2026 04</v>
      </c>
      <c r="G5798" s="97" t="s">
        <v>5</v>
      </c>
      <c r="H5798" s="161" t="s">
        <v>5680</v>
      </c>
      <c r="I5798" s="97" t="s">
        <v>2052</v>
      </c>
      <c r="J5798" s="97" t="s">
        <v>5681</v>
      </c>
      <c r="K5798" s="29">
        <v>45.6</v>
      </c>
      <c r="L5798" s="29">
        <v>-4.5599999999999996</v>
      </c>
      <c r="M5798" s="30">
        <f>IFERROR(VLOOKUP($A5798,HeadJournal!$A$1:$J$890,COLUMN(HeadJournal!I$1),0)*($K5798+$L5798)/(SUMIF($A:$A,$A5798,$K:$K)+SUMIF($A:$A,$A5798,$L:$L)),0)</f>
        <v>-1.9314925756563737</v>
      </c>
      <c r="N5798" s="30">
        <f>IFERROR((VLOOKUP($A5798,HeadJournal!$A$1:$K$890,COLUMN(HeadJournal!K$1),0)-VLOOKUP($A5798,HeadJournal!$A$1:$K$890,COLUMN(HeadJournal!J$1),0))*($K5798+$L5798)/(SUMIF($A:$A,$A5798,$K:$K)+SUMIF($A:$A,$A5798,$L:$L)),0)</f>
        <v>0</v>
      </c>
      <c r="O5798" s="30">
        <f>IFERROR((VLOOKUP($A5798,HeadJournal!$A$1:$L$890,COLUMN(HeadJournal!L$1),0)*($K5798+$L5798)/(SUMIF($A:$A,$A5798,$K:$K)+SUMIF($A:$A,$A5798,$L:$L)))/VLOOKUP($A5798,HeadJournal!$A$1:$L$890,COLUMN(HeadJournal!H$1),0),0)</f>
        <v>1.6793401620138007</v>
      </c>
      <c r="P5798" s="30">
        <f>IFERROR(SUM(K5798:O5798)*VLOOKUP($A5798,HeadJournal!$A$1:$L$890,COLUMN(HeadJournal!H$1),0),0)</f>
        <v>3569.6239017623184</v>
      </c>
      <c r="Q5798" s="29">
        <v>4500</v>
      </c>
      <c r="R5798" s="31">
        <v>46164</v>
      </c>
      <c r="S5798" s="31" t="s">
        <v>3466</v>
      </c>
      <c r="T5798" s="95" t="str">
        <f t="shared" si="420"/>
        <v>2026 05</v>
      </c>
      <c r="U5798" s="32">
        <f t="shared" si="354"/>
        <v>930.37609823768162</v>
      </c>
      <c r="V5798" s="22">
        <f t="shared" si="355"/>
        <v>0.26063700934385725</v>
      </c>
      <c r="X5798" s="33"/>
      <c r="Y5798" s="33"/>
    </row>
    <row r="5799" spans="1:25" x14ac:dyDescent="0.2">
      <c r="A5799" s="93" t="s">
        <v>5685</v>
      </c>
      <c r="B5799" s="94">
        <f>IFERROR(VLOOKUP($A5799,HeadJournal!$A$1:$NTR$890,COLUMN(HeadJournal!B$1),0),"")</f>
        <v>0</v>
      </c>
      <c r="C5799" s="94" t="str">
        <f>IFERROR(VLOOKUP($A5799,HeadJournal!$A$1:$NTR$890,COLUMN(HeadJournal!C$1),0),"")</f>
        <v>iHerb_AV CYG0792</v>
      </c>
      <c r="D5799" s="125" t="str">
        <f>IFERROR(VLOOKUP($A5799,HeadJournal!$A$1:$NTR$890,COLUMN(HeadJournal!D$1),0),"")</f>
        <v>Доставлен</v>
      </c>
      <c r="E5799" s="95">
        <f>IFERROR(VLOOKUP($A5799,HeadJournal!$A$1:$NTR$890,COLUMN(HeadJournal!G$1),0),"")</f>
        <v>46128</v>
      </c>
      <c r="F5799" s="95" t="str">
        <f t="shared" si="419"/>
        <v>2026 04</v>
      </c>
      <c r="G5799" s="97" t="s">
        <v>5</v>
      </c>
      <c r="H5799" s="161" t="s">
        <v>5682</v>
      </c>
      <c r="I5799" s="97" t="s">
        <v>2750</v>
      </c>
      <c r="J5799" s="97" t="s">
        <v>5683</v>
      </c>
      <c r="K5799" s="29">
        <v>35.869999999999997</v>
      </c>
      <c r="L5799" s="29">
        <v>-3.59</v>
      </c>
      <c r="M5799" s="30">
        <f>IFERROR(VLOOKUP($A5799,HeadJournal!$A$1:$J$890,COLUMN(HeadJournal!I$1),0)*($K5799+$L5799)/(SUMIF($A:$A,$A5799,$K:$K)+SUMIF($A:$A,$A5799,$L:$L)),0)</f>
        <v>-1.5192149206186096</v>
      </c>
      <c r="N5799" s="30">
        <f>IFERROR((VLOOKUP($A5799,HeadJournal!$A$1:$K$890,COLUMN(HeadJournal!K$1),0)-VLOOKUP($A5799,HeadJournal!$A$1:$K$890,COLUMN(HeadJournal!J$1),0))*($K5799+$L5799)/(SUMIF($A:$A,$A5799,$K:$K)+SUMIF($A:$A,$A5799,$L:$L)),0)</f>
        <v>0</v>
      </c>
      <c r="O5799" s="30">
        <f>IFERROR((VLOOKUP($A5799,HeadJournal!$A$1:$L$890,COLUMN(HeadJournal!L$1),0)*($K5799+$L5799)/(SUMIF($A:$A,$A5799,$K:$K)+SUMIF($A:$A,$A5799,$L:$L)))/VLOOKUP($A5799,HeadJournal!$A$1:$L$890,COLUMN(HeadJournal!H$1),0),0)</f>
        <v>1.3208845133968199</v>
      </c>
      <c r="P5799" s="30">
        <f>IFERROR(SUM(K5799:O5799)*VLOOKUP($A5799,HeadJournal!$A$1:$L$890,COLUMN(HeadJournal!H$1),0),0)</f>
        <v>2807.6866361814727</v>
      </c>
      <c r="Q5799" s="29">
        <v>3650</v>
      </c>
      <c r="R5799" s="31">
        <v>46164</v>
      </c>
      <c r="S5799" s="31" t="s">
        <v>3466</v>
      </c>
      <c r="T5799" s="95" t="str">
        <f t="shared" si="420"/>
        <v>2026 05</v>
      </c>
      <c r="U5799" s="32">
        <f t="shared" si="354"/>
        <v>842.31336381852725</v>
      </c>
      <c r="V5799" s="22">
        <f t="shared" si="355"/>
        <v>0.30000262599251298</v>
      </c>
      <c r="X5799" s="33"/>
      <c r="Y5799" s="33"/>
    </row>
    <row r="5800" spans="1:25" x14ac:dyDescent="0.2">
      <c r="A5800" s="93" t="s">
        <v>5685</v>
      </c>
      <c r="B5800" s="94">
        <f>IFERROR(VLOOKUP($A5800,HeadJournal!$A$1:$NTR$890,COLUMN(HeadJournal!B$1),0),"")</f>
        <v>0</v>
      </c>
      <c r="C5800" s="94" t="str">
        <f>IFERROR(VLOOKUP($A5800,HeadJournal!$A$1:$NTR$890,COLUMN(HeadJournal!C$1),0),"")</f>
        <v>iHerb_AV CYG0792</v>
      </c>
      <c r="D5800" s="125" t="str">
        <f>IFERROR(VLOOKUP($A5800,HeadJournal!$A$1:$NTR$890,COLUMN(HeadJournal!D$1),0),"")</f>
        <v>Доставлен</v>
      </c>
      <c r="E5800" s="95">
        <f>IFERROR(VLOOKUP($A5800,HeadJournal!$A$1:$NTR$890,COLUMN(HeadJournal!G$1),0),"")</f>
        <v>46128</v>
      </c>
      <c r="F5800" s="95" t="str">
        <f t="shared" si="419"/>
        <v>2026 04</v>
      </c>
      <c r="G5800" s="97" t="s">
        <v>5</v>
      </c>
      <c r="H5800" s="161" t="s">
        <v>3938</v>
      </c>
      <c r="I5800" s="97" t="s">
        <v>2750</v>
      </c>
      <c r="J5800" s="97" t="s">
        <v>5684</v>
      </c>
      <c r="K5800" s="29">
        <v>47.72</v>
      </c>
      <c r="L5800" s="29">
        <v>-4.7699999999999996</v>
      </c>
      <c r="M5800" s="30">
        <f>IFERROR(VLOOKUP($A5800,HeadJournal!$A$1:$J$890,COLUMN(HeadJournal!I$1),0)*($K5800+$L5800)/(SUMIF($A:$A,$A5800,$K:$K)+SUMIF($A:$A,$A5800,$L:$L)),0)</f>
        <v>-2.0213841648255668</v>
      </c>
      <c r="N5800" s="30">
        <f>IFERROR((VLOOKUP($A5800,HeadJournal!$A$1:$K$890,COLUMN(HeadJournal!K$1),0)-VLOOKUP($A5800,HeadJournal!$A$1:$K$890,COLUMN(HeadJournal!J$1),0))*($K5800+$L5800)/(SUMIF($A:$A,$A5800,$K:$K)+SUMIF($A:$A,$A5800,$L:$L)),0)</f>
        <v>0</v>
      </c>
      <c r="O5800" s="30">
        <f>IFERROR((VLOOKUP($A5800,HeadJournal!$A$1:$L$890,COLUMN(HeadJournal!L$1),0)*($K5800+$L5800)/(SUMIF($A:$A,$A5800,$K:$K)+SUMIF($A:$A,$A5800,$L:$L)))/VLOOKUP($A5800,HeadJournal!$A$1:$L$890,COLUMN(HeadJournal!H$1),0),0)</f>
        <v>1.7574965876825717</v>
      </c>
      <c r="P5800" s="30">
        <f>IFERROR(SUM(K5800:O5800)*VLOOKUP($A5800,HeadJournal!$A$1:$L$890,COLUMN(HeadJournal!H$1),0),0)</f>
        <v>3735.7540589837126</v>
      </c>
      <c r="Q5800" s="29">
        <v>4700</v>
      </c>
      <c r="R5800" s="31">
        <v>46164</v>
      </c>
      <c r="S5800" s="31" t="s">
        <v>3466</v>
      </c>
      <c r="T5800" s="95" t="str">
        <f t="shared" si="420"/>
        <v>2026 05</v>
      </c>
      <c r="U5800" s="32">
        <f t="shared" si="354"/>
        <v>964.24594101628736</v>
      </c>
      <c r="V5800" s="22">
        <f t="shared" si="355"/>
        <v>0.25811280019825611</v>
      </c>
      <c r="X5800" s="33"/>
      <c r="Y5800" s="33"/>
    </row>
    <row r="5801" spans="1:25" x14ac:dyDescent="0.2">
      <c r="A5801" s="93" t="s">
        <v>5685</v>
      </c>
      <c r="B5801" s="94">
        <f>IFERROR(VLOOKUP($A5801,HeadJournal!$A$1:$NTR$890,COLUMN(HeadJournal!B$1),0),"")</f>
        <v>0</v>
      </c>
      <c r="C5801" s="94" t="str">
        <f>IFERROR(VLOOKUP($A5801,HeadJournal!$A$1:$NTR$890,COLUMN(HeadJournal!C$1),0),"")</f>
        <v>iHerb_AV CYG0792</v>
      </c>
      <c r="D5801" s="125" t="str">
        <f>IFERROR(VLOOKUP($A5801,HeadJournal!$A$1:$NTR$890,COLUMN(HeadJournal!D$1),0),"")</f>
        <v>Доставлен</v>
      </c>
      <c r="E5801" s="95">
        <f>IFERROR(VLOOKUP($A5801,HeadJournal!$A$1:$NTR$890,COLUMN(HeadJournal!G$1),0),"")</f>
        <v>46128</v>
      </c>
      <c r="F5801" s="95" t="str">
        <f t="shared" si="419"/>
        <v>2026 04</v>
      </c>
      <c r="G5801" s="97" t="s">
        <v>5</v>
      </c>
      <c r="H5801" s="161" t="s">
        <v>2804</v>
      </c>
      <c r="I5801" s="97" t="s">
        <v>2005</v>
      </c>
      <c r="J5801" s="97" t="s">
        <v>2805</v>
      </c>
      <c r="K5801" s="29">
        <v>11.04</v>
      </c>
      <c r="L5801" s="29">
        <v>-1.1000000000000001</v>
      </c>
      <c r="M5801" s="30">
        <f>IFERROR(VLOOKUP($A5801,HeadJournal!$A$1:$J$890,COLUMN(HeadJournal!I$1),0)*($K5801+$L5801)/(SUMIF($A:$A,$A5801,$K:$K)+SUMIF($A:$A,$A5801,$L:$L)),0)</f>
        <v>-0.4678127729538098</v>
      </c>
      <c r="N5801" s="30">
        <f>IFERROR((VLOOKUP($A5801,HeadJournal!$A$1:$K$890,COLUMN(HeadJournal!K$1),0)-VLOOKUP($A5801,HeadJournal!$A$1:$K$890,COLUMN(HeadJournal!J$1),0))*($K5801+$L5801)/(SUMIF($A:$A,$A5801,$K:$K)+SUMIF($A:$A,$A5801,$L:$L)),0)</f>
        <v>0</v>
      </c>
      <c r="O5801" s="30">
        <f>IFERROR((VLOOKUP($A5801,HeadJournal!$A$1:$L$890,COLUMN(HeadJournal!L$1),0)*($K5801+$L5801)/(SUMIF($A:$A,$A5801,$K:$K)+SUMIF($A:$A,$A5801,$L:$L)))/VLOOKUP($A5801,HeadJournal!$A$1:$L$890,COLUMN(HeadJournal!H$1),0),0)</f>
        <v>0.40674077023433675</v>
      </c>
      <c r="P5801" s="30">
        <f>IFERROR(SUM(K5801:O5801)*VLOOKUP($A5801,HeadJournal!$A$1:$L$890,COLUMN(HeadJournal!H$1),0),0)</f>
        <v>864.57265067050287</v>
      </c>
      <c r="Q5801" s="29">
        <v>1700</v>
      </c>
      <c r="R5801" s="31">
        <v>46164</v>
      </c>
      <c r="S5801" s="31" t="s">
        <v>4872</v>
      </c>
      <c r="T5801" s="95" t="str">
        <f t="shared" si="420"/>
        <v>2026 05</v>
      </c>
      <c r="U5801" s="32">
        <f t="shared" si="354"/>
        <v>835.42734932949713</v>
      </c>
      <c r="V5801" s="22">
        <f t="shared" si="355"/>
        <v>0.96628935541923211</v>
      </c>
      <c r="X5801" s="33"/>
      <c r="Y5801" s="33"/>
    </row>
    <row r="5802" spans="1:25" x14ac:dyDescent="0.2">
      <c r="A5802" s="93" t="s">
        <v>5693</v>
      </c>
      <c r="B5802" s="94">
        <f>IFERROR(VLOOKUP($A5802,HeadJournal!$A$1:$NTR$890,COLUMN(HeadJournal!B$1),0),"")</f>
        <v>0</v>
      </c>
      <c r="C5802" s="94" t="str">
        <f>IFERROR(VLOOKUP($A5802,HeadJournal!$A$1:$NTR$890,COLUMN(HeadJournal!C$1),0),"")</f>
        <v>iHerb_VP DFD1605</v>
      </c>
      <c r="D5802" s="125" t="str">
        <f>IFERROR(VLOOKUP($A5802,HeadJournal!$A$1:$NTR$890,COLUMN(HeadJournal!D$1),0),"")</f>
        <v>Доставлен</v>
      </c>
      <c r="E5802" s="95">
        <f>IFERROR(VLOOKUP($A5802,HeadJournal!$A$1:$NTR$890,COLUMN(HeadJournal!G$1),0),"")</f>
        <v>46138</v>
      </c>
      <c r="F5802" s="95" t="str">
        <f t="shared" si="419"/>
        <v>2026 04</v>
      </c>
      <c r="G5802" s="97" t="s">
        <v>5</v>
      </c>
      <c r="H5802" s="161" t="s">
        <v>5686</v>
      </c>
      <c r="I5802" s="97" t="s">
        <v>2005</v>
      </c>
      <c r="J5802" s="97" t="s">
        <v>5687</v>
      </c>
      <c r="K5802" s="29">
        <v>20.96</v>
      </c>
      <c r="L5802" s="29">
        <v>-2.1</v>
      </c>
      <c r="M5802" s="30">
        <f>IFERROR(VLOOKUP($A5802,HeadJournal!$A$1:$J$890,COLUMN(HeadJournal!I$1),0)*($K5802+$L5802)/(SUMIF($A:$A,$A5802,$K:$K)+SUMIF($A:$A,$A5802,$L:$L)),0)</f>
        <v>-1.8956944373759477</v>
      </c>
      <c r="N5802" s="30">
        <f>IFERROR((VLOOKUP($A5802,HeadJournal!$A$1:$K$890,COLUMN(HeadJournal!K$1),0)-VLOOKUP($A5802,HeadJournal!$A$1:$K$890,COLUMN(HeadJournal!J$1),0))*($K5802+$L5802)/(SUMIF($A:$A,$A5802,$K:$K)+SUMIF($A:$A,$A5802,$L:$L)),0)</f>
        <v>-2.7280443781231588E-15</v>
      </c>
      <c r="O5802" s="30">
        <f>IFERROR((VLOOKUP($A5802,HeadJournal!$A$1:$L$890,COLUMN(HeadJournal!L$1),0)*($K5802+$L5802)/(SUMIF($A:$A,$A5802,$K:$K)+SUMIF($A:$A,$A5802,$L:$L)))/VLOOKUP($A5802,HeadJournal!$A$1:$L$890,COLUMN(HeadJournal!H$1),0),0)</f>
        <v>0.77228634503740301</v>
      </c>
      <c r="P5802" s="30">
        <f>IFERROR(SUM(K5802:O5802)*VLOOKUP($A5802,HeadJournal!$A$1:$L$890,COLUMN(HeadJournal!H$1),0),0)</f>
        <v>1536.476178940404</v>
      </c>
      <c r="Q5802" s="29">
        <v>2600</v>
      </c>
      <c r="R5802" s="31">
        <v>46164</v>
      </c>
      <c r="S5802" s="31"/>
      <c r="T5802" s="95" t="str">
        <f t="shared" si="420"/>
        <v>2026 05</v>
      </c>
      <c r="U5802" s="32">
        <f t="shared" si="354"/>
        <v>1063.523821059596</v>
      </c>
      <c r="V5802" s="22">
        <f t="shared" si="355"/>
        <v>0.69218373550902113</v>
      </c>
      <c r="X5802" s="33"/>
      <c r="Y5802" s="33"/>
    </row>
    <row r="5803" spans="1:25" x14ac:dyDescent="0.2">
      <c r="A5803" s="93" t="s">
        <v>5693</v>
      </c>
      <c r="B5803" s="94">
        <f>IFERROR(VLOOKUP($A5803,HeadJournal!$A$1:$NTR$890,COLUMN(HeadJournal!B$1),0),"")</f>
        <v>0</v>
      </c>
      <c r="C5803" s="94" t="str">
        <f>IFERROR(VLOOKUP($A5803,HeadJournal!$A$1:$NTR$890,COLUMN(HeadJournal!C$1),0),"")</f>
        <v>iHerb_VP DFD1605</v>
      </c>
      <c r="D5803" s="125" t="str">
        <f>IFERROR(VLOOKUP($A5803,HeadJournal!$A$1:$NTR$890,COLUMN(HeadJournal!D$1),0),"")</f>
        <v>Доставлен</v>
      </c>
      <c r="E5803" s="95">
        <f>IFERROR(VLOOKUP($A5803,HeadJournal!$A$1:$NTR$890,COLUMN(HeadJournal!G$1),0),"")</f>
        <v>46138</v>
      </c>
      <c r="F5803" s="95" t="str">
        <f t="shared" si="419"/>
        <v>2026 04</v>
      </c>
      <c r="G5803" s="97" t="s">
        <v>5</v>
      </c>
      <c r="H5803" s="161" t="s">
        <v>4170</v>
      </c>
      <c r="I5803" s="97" t="s">
        <v>2052</v>
      </c>
      <c r="J5803" s="97" t="s">
        <v>5688</v>
      </c>
      <c r="K5803" s="29">
        <v>11.75</v>
      </c>
      <c r="L5803" s="29">
        <v>-1.18</v>
      </c>
      <c r="M5803" s="30">
        <f>IFERROR(VLOOKUP($A5803,HeadJournal!$A$1:$J$890,COLUMN(HeadJournal!I$1),0)*($K5803+$L5803)/(SUMIF($A:$A,$A5803,$K:$K)+SUMIF($A:$A,$A5803,$L:$L)),0)</f>
        <v>-1.0624332027075167</v>
      </c>
      <c r="N5803" s="30">
        <f>IFERROR((VLOOKUP($A5803,HeadJournal!$A$1:$K$890,COLUMN(HeadJournal!K$1),0)-VLOOKUP($A5803,HeadJournal!$A$1:$K$890,COLUMN(HeadJournal!J$1),0))*($K5803+$L5803)/(SUMIF($A:$A,$A5803,$K:$K)+SUMIF($A:$A,$A5803,$L:$L)),0)</f>
        <v>-1.5289198874210916E-15</v>
      </c>
      <c r="O5803" s="30">
        <f>IFERROR((VLOOKUP($A5803,HeadJournal!$A$1:$L$890,COLUMN(HeadJournal!L$1),0)*($K5803+$L5803)/(SUMIF($A:$A,$A5803,$K:$K)+SUMIF($A:$A,$A5803,$L:$L)))/VLOOKUP($A5803,HeadJournal!$A$1:$L$890,COLUMN(HeadJournal!H$1),0),0)</f>
        <v>0.43282431956762196</v>
      </c>
      <c r="P5803" s="30">
        <f>IFERROR(SUM(K5803:O5803)*VLOOKUP($A5803,HeadJournal!$A$1:$L$890,COLUMN(HeadJournal!H$1),0),0)</f>
        <v>861.11098681866758</v>
      </c>
      <c r="Q5803" s="29">
        <v>1600</v>
      </c>
      <c r="R5803" s="31">
        <v>46170</v>
      </c>
      <c r="S5803" s="31" t="s">
        <v>3282</v>
      </c>
      <c r="T5803" s="95" t="str">
        <f t="shared" si="420"/>
        <v>2026 05</v>
      </c>
      <c r="U5803" s="32">
        <f t="shared" si="354"/>
        <v>738.88901318133242</v>
      </c>
      <c r="V5803" s="22">
        <f t="shared" si="355"/>
        <v>0.858064784321382</v>
      </c>
      <c r="X5803" s="33"/>
      <c r="Y5803" s="33"/>
    </row>
    <row r="5804" spans="1:25" x14ac:dyDescent="0.2">
      <c r="A5804" s="93" t="s">
        <v>5693</v>
      </c>
      <c r="B5804" s="94">
        <f>IFERROR(VLOOKUP($A5804,HeadJournal!$A$1:$NTR$890,COLUMN(HeadJournal!B$1),0),"")</f>
        <v>0</v>
      </c>
      <c r="C5804" s="94" t="str">
        <f>IFERROR(VLOOKUP($A5804,HeadJournal!$A$1:$NTR$890,COLUMN(HeadJournal!C$1),0),"")</f>
        <v>iHerb_VP DFD1605</v>
      </c>
      <c r="D5804" s="125" t="str">
        <f>IFERROR(VLOOKUP($A5804,HeadJournal!$A$1:$NTR$890,COLUMN(HeadJournal!D$1),0),"")</f>
        <v>Доставлен</v>
      </c>
      <c r="E5804" s="95">
        <f>IFERROR(VLOOKUP($A5804,HeadJournal!$A$1:$NTR$890,COLUMN(HeadJournal!G$1),0),"")</f>
        <v>46138</v>
      </c>
      <c r="F5804" s="95" t="str">
        <f t="shared" si="419"/>
        <v>2026 04</v>
      </c>
      <c r="G5804" s="97" t="s">
        <v>5</v>
      </c>
      <c r="H5804" s="161" t="s">
        <v>2101</v>
      </c>
      <c r="I5804" s="97" t="s">
        <v>2102</v>
      </c>
      <c r="J5804" s="97" t="s">
        <v>4015</v>
      </c>
      <c r="K5804" s="29">
        <v>49.9</v>
      </c>
      <c r="L5804" s="29">
        <v>-4.99</v>
      </c>
      <c r="M5804" s="30">
        <f>IFERROR(VLOOKUP($A5804,HeadJournal!$A$1:$J$890,COLUMN(HeadJournal!I$1),0)*($K5804+$L5804)/(SUMIF($A:$A,$A5804,$K:$K)+SUMIF($A:$A,$A5804,$L:$L)),0)</f>
        <v>-4.5140846862435735</v>
      </c>
      <c r="N5804" s="30">
        <f>IFERROR((VLOOKUP($A5804,HeadJournal!$A$1:$K$890,COLUMN(HeadJournal!K$1),0)-VLOOKUP($A5804,HeadJournal!$A$1:$K$890,COLUMN(HeadJournal!J$1),0))*($K5804+$L5804)/(SUMIF($A:$A,$A5804,$K:$K)+SUMIF($A:$A,$A5804,$L:$L)),0)</f>
        <v>-6.4961014327418373E-15</v>
      </c>
      <c r="O5804" s="30">
        <f>IFERROR((VLOOKUP($A5804,HeadJournal!$A$1:$L$890,COLUMN(HeadJournal!L$1),0)*($K5804+$L5804)/(SUMIF($A:$A,$A5804,$K:$K)+SUMIF($A:$A,$A5804,$L:$L)))/VLOOKUP($A5804,HeadJournal!$A$1:$L$890,COLUMN(HeadJournal!H$1),0),0)</f>
        <v>1.8389915034798394</v>
      </c>
      <c r="P5804" s="30">
        <f>IFERROR(SUM(K5804:O5804)*VLOOKUP($A5804,HeadJournal!$A$1:$L$890,COLUMN(HeadJournal!H$1),0),0)</f>
        <v>3658.7033508066565</v>
      </c>
      <c r="Q5804" s="29">
        <v>5000</v>
      </c>
      <c r="R5804" s="31">
        <v>46170</v>
      </c>
      <c r="S5804" s="31" t="s">
        <v>3282</v>
      </c>
      <c r="T5804" s="95" t="str">
        <f t="shared" si="420"/>
        <v>2026 05</v>
      </c>
      <c r="U5804" s="32">
        <f t="shared" si="354"/>
        <v>1341.2966491933435</v>
      </c>
      <c r="V5804" s="22">
        <f t="shared" si="355"/>
        <v>0.3666043733492686</v>
      </c>
      <c r="X5804" s="33"/>
      <c r="Y5804" s="33"/>
    </row>
    <row r="5805" spans="1:25" x14ac:dyDescent="0.2">
      <c r="A5805" s="93" t="s">
        <v>5693</v>
      </c>
      <c r="B5805" s="94">
        <f>IFERROR(VLOOKUP($A5805,HeadJournal!$A$1:$NTR$890,COLUMN(HeadJournal!B$1),0),"")</f>
        <v>0</v>
      </c>
      <c r="C5805" s="94" t="str">
        <f>IFERROR(VLOOKUP($A5805,HeadJournal!$A$1:$NTR$890,COLUMN(HeadJournal!C$1),0),"")</f>
        <v>iHerb_VP DFD1605</v>
      </c>
      <c r="D5805" s="125" t="str">
        <f>IFERROR(VLOOKUP($A5805,HeadJournal!$A$1:$NTR$890,COLUMN(HeadJournal!D$1),0),"")</f>
        <v>Доставлен</v>
      </c>
      <c r="E5805" s="95">
        <f>IFERROR(VLOOKUP($A5805,HeadJournal!$A$1:$NTR$890,COLUMN(HeadJournal!G$1),0),"")</f>
        <v>46138</v>
      </c>
      <c r="F5805" s="95" t="str">
        <f t="shared" si="419"/>
        <v>2026 04</v>
      </c>
      <c r="G5805" s="97" t="s">
        <v>5</v>
      </c>
      <c r="H5805" s="161" t="s">
        <v>2105</v>
      </c>
      <c r="I5805" s="97" t="s">
        <v>2039</v>
      </c>
      <c r="J5805" s="97" t="s">
        <v>2106</v>
      </c>
      <c r="K5805" s="29">
        <v>12.6</v>
      </c>
      <c r="L5805" s="29">
        <v>-1.26</v>
      </c>
      <c r="M5805" s="30">
        <f>IFERROR(VLOOKUP($A5805,HeadJournal!$A$1:$J$890,COLUMN(HeadJournal!I$1),0)*($K5805+$L5805)/(SUMIF($A:$A,$A5805,$K:$K)+SUMIF($A:$A,$A5805,$L:$L)),0)</f>
        <v>-1.1398289989312431</v>
      </c>
      <c r="N5805" s="30">
        <f>IFERROR((VLOOKUP($A5805,HeadJournal!$A$1:$K$890,COLUMN(HeadJournal!K$1),0)-VLOOKUP($A5805,HeadJournal!$A$1:$K$890,COLUMN(HeadJournal!J$1),0))*($K5805+$L5805)/(SUMIF($A:$A,$A5805,$K:$K)+SUMIF($A:$A,$A5805,$L:$L)),0)</f>
        <v>-1.6402981573656745E-15</v>
      </c>
      <c r="O5805" s="30">
        <f>IFERROR((VLOOKUP($A5805,HeadJournal!$A$1:$L$890,COLUMN(HeadJournal!L$1),0)*($K5805+$L5805)/(SUMIF($A:$A,$A5805,$K:$K)+SUMIF($A:$A,$A5805,$L:$L)))/VLOOKUP($A5805,HeadJournal!$A$1:$L$890,COLUMN(HeadJournal!H$1),0),0)</f>
        <v>0.46435456801294545</v>
      </c>
      <c r="P5805" s="30">
        <f>IFERROR(SUM(K5805:O5805)*VLOOKUP($A5805,HeadJournal!$A$1:$L$890,COLUMN(HeadJournal!H$1),0),0)</f>
        <v>923.84092625578899</v>
      </c>
      <c r="Q5805" s="29">
        <v>1700</v>
      </c>
      <c r="R5805" s="31">
        <v>46164</v>
      </c>
      <c r="S5805" s="31" t="s">
        <v>4868</v>
      </c>
      <c r="T5805" s="95" t="str">
        <f t="shared" si="420"/>
        <v>2026 05</v>
      </c>
      <c r="U5805" s="32">
        <f t="shared" si="354"/>
        <v>776.15907374421101</v>
      </c>
      <c r="V5805" s="22">
        <f t="shared" si="355"/>
        <v>0.84014363478124532</v>
      </c>
      <c r="X5805" s="33"/>
      <c r="Y5805" s="33"/>
    </row>
    <row r="5806" spans="1:25" x14ac:dyDescent="0.2">
      <c r="A5806" s="93" t="s">
        <v>5693</v>
      </c>
      <c r="B5806" s="94">
        <f>IFERROR(VLOOKUP($A5806,HeadJournal!$A$1:$NTR$890,COLUMN(HeadJournal!B$1),0),"")</f>
        <v>0</v>
      </c>
      <c r="C5806" s="94" t="str">
        <f>IFERROR(VLOOKUP($A5806,HeadJournal!$A$1:$NTR$890,COLUMN(HeadJournal!C$1),0),"")</f>
        <v>iHerb_VP DFD1605</v>
      </c>
      <c r="D5806" s="125" t="str">
        <f>IFERROR(VLOOKUP($A5806,HeadJournal!$A$1:$NTR$890,COLUMN(HeadJournal!D$1),0),"")</f>
        <v>Доставлен</v>
      </c>
      <c r="E5806" s="95">
        <f>IFERROR(VLOOKUP($A5806,HeadJournal!$A$1:$NTR$890,COLUMN(HeadJournal!G$1),0),"")</f>
        <v>46138</v>
      </c>
      <c r="F5806" s="95" t="str">
        <f t="shared" si="419"/>
        <v>2026 04</v>
      </c>
      <c r="G5806" s="97" t="s">
        <v>5</v>
      </c>
      <c r="H5806" s="161" t="s">
        <v>2103</v>
      </c>
      <c r="I5806" s="97" t="s">
        <v>2039</v>
      </c>
      <c r="J5806" s="97" t="s">
        <v>2104</v>
      </c>
      <c r="K5806" s="29">
        <v>20.48</v>
      </c>
      <c r="L5806" s="29">
        <v>-2.0499999999999998</v>
      </c>
      <c r="M5806" s="30">
        <f>IFERROR(VLOOKUP($A5806,HeadJournal!$A$1:$J$890,COLUMN(HeadJournal!I$1),0)*($K5806+$L5806)/(SUMIF($A:$A,$A5806,$K:$K)+SUMIF($A:$A,$A5806,$L:$L)),0)</f>
        <v>-1.8524734083159444</v>
      </c>
      <c r="N5806" s="30">
        <f>IFERROR((VLOOKUP($A5806,HeadJournal!$A$1:$K$890,COLUMN(HeadJournal!K$1),0)-VLOOKUP($A5806,HeadJournal!$A$1:$K$890,COLUMN(HeadJournal!J$1),0))*($K5806+$L5806)/(SUMIF($A:$A,$A5806,$K:$K)+SUMIF($A:$A,$A5806,$L:$L)),0)</f>
        <v>-2.6658461234787812E-15</v>
      </c>
      <c r="O5806" s="30">
        <f>IFERROR((VLOOKUP($A5806,HeadJournal!$A$1:$L$890,COLUMN(HeadJournal!L$1),0)*($K5806+$L5806)/(SUMIF($A:$A,$A5806,$K:$K)+SUMIF($A:$A,$A5806,$L:$L)))/VLOOKUP($A5806,HeadJournal!$A$1:$L$890,COLUMN(HeadJournal!H$1),0),0)</f>
        <v>0.75467854395754708</v>
      </c>
      <c r="P5806" s="30">
        <f>IFERROR(SUM(K5806:O5806)*VLOOKUP($A5806,HeadJournal!$A$1:$L$890,COLUMN(HeadJournal!H$1),0),0)</f>
        <v>1501.4451738001931</v>
      </c>
      <c r="Q5806" s="29">
        <v>2300</v>
      </c>
      <c r="R5806" s="31">
        <v>46164</v>
      </c>
      <c r="S5806" s="31" t="s">
        <v>4868</v>
      </c>
      <c r="T5806" s="95" t="str">
        <f t="shared" si="420"/>
        <v>2026 05</v>
      </c>
      <c r="U5806" s="32">
        <f t="shared" si="354"/>
        <v>798.55482619980694</v>
      </c>
      <c r="V5806" s="22">
        <f t="shared" si="355"/>
        <v>0.53185746648253951</v>
      </c>
      <c r="X5806" s="33"/>
      <c r="Y5806" s="33"/>
    </row>
    <row r="5807" spans="1:25" x14ac:dyDescent="0.2">
      <c r="A5807" s="93" t="s">
        <v>5693</v>
      </c>
      <c r="B5807" s="94">
        <f>IFERROR(VLOOKUP($A5807,HeadJournal!$A$1:$NTR$890,COLUMN(HeadJournal!B$1),0),"")</f>
        <v>0</v>
      </c>
      <c r="C5807" s="94" t="str">
        <f>IFERROR(VLOOKUP($A5807,HeadJournal!$A$1:$NTR$890,COLUMN(HeadJournal!C$1),0),"")</f>
        <v>iHerb_VP DFD1605</v>
      </c>
      <c r="D5807" s="125" t="str">
        <f>IFERROR(VLOOKUP($A5807,HeadJournal!$A$1:$NTR$890,COLUMN(HeadJournal!D$1),0),"")</f>
        <v>Доставлен</v>
      </c>
      <c r="E5807" s="95">
        <f>IFERROR(VLOOKUP($A5807,HeadJournal!$A$1:$NTR$890,COLUMN(HeadJournal!G$1),0),"")</f>
        <v>46138</v>
      </c>
      <c r="F5807" s="95" t="str">
        <f t="shared" si="419"/>
        <v>2026 04</v>
      </c>
      <c r="G5807" s="97" t="s">
        <v>5</v>
      </c>
      <c r="H5807" s="161" t="s">
        <v>5615</v>
      </c>
      <c r="I5807" s="97" t="s">
        <v>2544</v>
      </c>
      <c r="J5807" s="97" t="s">
        <v>5616</v>
      </c>
      <c r="K5807" s="29">
        <v>22.1</v>
      </c>
      <c r="L5807" s="29">
        <v>-2.21</v>
      </c>
      <c r="M5807" s="30">
        <f>IFERROR(VLOOKUP($A5807,HeadJournal!$A$1:$J$890,COLUMN(HeadJournal!I$1),0)*($K5807+$L5807)/(SUMIF($A:$A,$A5807,$K:$K)+SUMIF($A:$A,$A5807,$L:$L)),0)</f>
        <v>-1.9992238790778152</v>
      </c>
      <c r="N5807" s="30">
        <f>IFERROR((VLOOKUP($A5807,HeadJournal!$A$1:$K$890,COLUMN(HeadJournal!K$1),0)-VLOOKUP($A5807,HeadJournal!$A$1:$K$890,COLUMN(HeadJournal!J$1),0))*($K5807+$L5807)/(SUMIF($A:$A,$A5807,$K:$K)+SUMIF($A:$A,$A5807,$L:$L)),0)</f>
        <v>-2.8770308950620167E-15</v>
      </c>
      <c r="O5807" s="30">
        <f>IFERROR((VLOOKUP($A5807,HeadJournal!$A$1:$L$890,COLUMN(HeadJournal!L$1),0)*($K5807+$L5807)/(SUMIF($A:$A,$A5807,$K:$K)+SUMIF($A:$A,$A5807,$L:$L)))/VLOOKUP($A5807,HeadJournal!$A$1:$L$890,COLUMN(HeadJournal!H$1),0),0)</f>
        <v>0.81446317087984876</v>
      </c>
      <c r="P5807" s="30">
        <f>IFERROR(SUM(K5807:O5807)*VLOOKUP($A5807,HeadJournal!$A$1:$L$890,COLUMN(HeadJournal!H$1),0),0)</f>
        <v>1620.3876563692806</v>
      </c>
      <c r="Q5807" s="29"/>
      <c r="R5807" s="31"/>
      <c r="S5807" s="31"/>
      <c r="T5807" s="95" t="str">
        <f t="shared" si="420"/>
        <v/>
      </c>
      <c r="U5807" s="32">
        <f t="shared" si="354"/>
        <v>-1620.3876563692806</v>
      </c>
      <c r="V5807" s="22" t="str">
        <f t="shared" si="355"/>
        <v/>
      </c>
      <c r="X5807" s="33"/>
      <c r="Y5807" s="33"/>
    </row>
    <row r="5808" spans="1:25" x14ac:dyDescent="0.2">
      <c r="A5808" s="93" t="s">
        <v>5693</v>
      </c>
      <c r="B5808" s="94">
        <f>IFERROR(VLOOKUP($A5808,HeadJournal!$A$1:$NTR$890,COLUMN(HeadJournal!B$1),0),"")</f>
        <v>0</v>
      </c>
      <c r="C5808" s="94" t="str">
        <f>IFERROR(VLOOKUP($A5808,HeadJournal!$A$1:$NTR$890,COLUMN(HeadJournal!C$1),0),"")</f>
        <v>iHerb_VP DFD1605</v>
      </c>
      <c r="D5808" s="125" t="str">
        <f>IFERROR(VLOOKUP($A5808,HeadJournal!$A$1:$NTR$890,COLUMN(HeadJournal!D$1),0),"")</f>
        <v>Доставлен</v>
      </c>
      <c r="E5808" s="95">
        <f>IFERROR(VLOOKUP($A5808,HeadJournal!$A$1:$NTR$890,COLUMN(HeadJournal!G$1),0),"")</f>
        <v>46138</v>
      </c>
      <c r="F5808" s="95" t="str">
        <f t="shared" si="419"/>
        <v>2026 04</v>
      </c>
      <c r="G5808" s="97" t="s">
        <v>5</v>
      </c>
      <c r="H5808" s="161" t="s">
        <v>4055</v>
      </c>
      <c r="I5808" s="97" t="s">
        <v>2009</v>
      </c>
      <c r="J5808" s="97" t="s">
        <v>4056</v>
      </c>
      <c r="K5808" s="29">
        <v>20.3</v>
      </c>
      <c r="L5808" s="29">
        <v>-2.0299999999999998</v>
      </c>
      <c r="M5808" s="30">
        <f>IFERROR(VLOOKUP($A5808,HeadJournal!$A$1:$J$890,COLUMN(HeadJournal!I$1),0)*($K5808+$L5808)/(SUMIF($A:$A,$A5808,$K:$K)+SUMIF($A:$A,$A5808,$L:$L)),0)</f>
        <v>-1.8363911649447804</v>
      </c>
      <c r="N5808" s="30">
        <f>IFERROR((VLOOKUP($A5808,HeadJournal!$A$1:$K$890,COLUMN(HeadJournal!K$1),0)-VLOOKUP($A5808,HeadJournal!$A$1:$K$890,COLUMN(HeadJournal!J$1),0))*($K5808+$L5808)/(SUMIF($A:$A,$A5808,$K:$K)+SUMIF($A:$A,$A5808,$L:$L)),0)</f>
        <v>-2.6427025868669199E-15</v>
      </c>
      <c r="O5808" s="30">
        <f>IFERROR((VLOOKUP($A5808,HeadJournal!$A$1:$L$890,COLUMN(HeadJournal!L$1),0)*($K5808+$L5808)/(SUMIF($A:$A,$A5808,$K:$K)+SUMIF($A:$A,$A5808,$L:$L)))/VLOOKUP($A5808,HeadJournal!$A$1:$L$890,COLUMN(HeadJournal!H$1),0),0)</f>
        <v>0.74812680402085652</v>
      </c>
      <c r="P5808" s="30">
        <f>IFERROR(SUM(K5808:O5808)*VLOOKUP($A5808,HeadJournal!$A$1:$L$890,COLUMN(HeadJournal!H$1),0),0)</f>
        <v>1488.4103811898819</v>
      </c>
      <c r="Q5808" s="29">
        <v>2600</v>
      </c>
      <c r="R5808" s="31">
        <v>46164</v>
      </c>
      <c r="S5808" s="31" t="s">
        <v>3235</v>
      </c>
      <c r="T5808" s="95" t="str">
        <f t="shared" si="420"/>
        <v>2026 05</v>
      </c>
      <c r="U5808" s="32">
        <f t="shared" si="354"/>
        <v>1111.5896188101181</v>
      </c>
      <c r="V5808" s="22">
        <f t="shared" si="355"/>
        <v>0.74683006303777488</v>
      </c>
      <c r="X5808" s="33"/>
      <c r="Y5808" s="33"/>
    </row>
    <row r="5809" spans="1:25" x14ac:dyDescent="0.2">
      <c r="A5809" s="93" t="s">
        <v>5693</v>
      </c>
      <c r="B5809" s="94">
        <f>IFERROR(VLOOKUP($A5809,HeadJournal!$A$1:$NTR$890,COLUMN(HeadJournal!B$1),0),"")</f>
        <v>0</v>
      </c>
      <c r="C5809" s="94" t="str">
        <f>IFERROR(VLOOKUP($A5809,HeadJournal!$A$1:$NTR$890,COLUMN(HeadJournal!C$1),0),"")</f>
        <v>iHerb_VP DFD1605</v>
      </c>
      <c r="D5809" s="125" t="str">
        <f>IFERROR(VLOOKUP($A5809,HeadJournal!$A$1:$NTR$890,COLUMN(HeadJournal!D$1),0),"")</f>
        <v>Доставлен</v>
      </c>
      <c r="E5809" s="95">
        <f>IFERROR(VLOOKUP($A5809,HeadJournal!$A$1:$NTR$890,COLUMN(HeadJournal!G$1),0),"")</f>
        <v>46138</v>
      </c>
      <c r="F5809" s="95" t="str">
        <f t="shared" si="419"/>
        <v>2026 04</v>
      </c>
      <c r="G5809" s="97" t="s">
        <v>5</v>
      </c>
      <c r="H5809" s="161" t="s">
        <v>4055</v>
      </c>
      <c r="I5809" s="97" t="s">
        <v>2009</v>
      </c>
      <c r="J5809" s="97" t="s">
        <v>4056</v>
      </c>
      <c r="K5809" s="29">
        <v>20.3</v>
      </c>
      <c r="L5809" s="29">
        <v>-2.0299999999999998</v>
      </c>
      <c r="M5809" s="30">
        <f>IFERROR(VLOOKUP($A5809,HeadJournal!$A$1:$J$890,COLUMN(HeadJournal!I$1),0)*($K5809+$L5809)/(SUMIF($A:$A,$A5809,$K:$K)+SUMIF($A:$A,$A5809,$L:$L)),0)</f>
        <v>-1.8363911649447804</v>
      </c>
      <c r="N5809" s="30">
        <f>IFERROR((VLOOKUP($A5809,HeadJournal!$A$1:$K$890,COLUMN(HeadJournal!K$1),0)-VLOOKUP($A5809,HeadJournal!$A$1:$K$890,COLUMN(HeadJournal!J$1),0))*($K5809+$L5809)/(SUMIF($A:$A,$A5809,$K:$K)+SUMIF($A:$A,$A5809,$L:$L)),0)</f>
        <v>-2.6427025868669199E-15</v>
      </c>
      <c r="O5809" s="30">
        <f>IFERROR((VLOOKUP($A5809,HeadJournal!$A$1:$L$890,COLUMN(HeadJournal!L$1),0)*($K5809+$L5809)/(SUMIF($A:$A,$A5809,$K:$K)+SUMIF($A:$A,$A5809,$L:$L)))/VLOOKUP($A5809,HeadJournal!$A$1:$L$890,COLUMN(HeadJournal!H$1),0),0)</f>
        <v>0.74812680402085652</v>
      </c>
      <c r="P5809" s="30">
        <f>IFERROR(SUM(K5809:O5809)*VLOOKUP($A5809,HeadJournal!$A$1:$L$890,COLUMN(HeadJournal!H$1),0),0)</f>
        <v>1488.4103811898819</v>
      </c>
      <c r="Q5809" s="29">
        <v>2600</v>
      </c>
      <c r="R5809" s="31">
        <v>46164</v>
      </c>
      <c r="S5809" s="31" t="s">
        <v>3235</v>
      </c>
      <c r="T5809" s="95" t="str">
        <f t="shared" si="420"/>
        <v>2026 05</v>
      </c>
      <c r="U5809" s="32">
        <f t="shared" si="354"/>
        <v>1111.5896188101181</v>
      </c>
      <c r="V5809" s="22">
        <f t="shared" si="355"/>
        <v>0.74683006303777488</v>
      </c>
      <c r="X5809" s="33"/>
      <c r="Y5809" s="33"/>
    </row>
    <row r="5810" spans="1:25" x14ac:dyDescent="0.2">
      <c r="A5810" s="93" t="s">
        <v>5693</v>
      </c>
      <c r="B5810" s="94">
        <f>IFERROR(VLOOKUP($A5810,HeadJournal!$A$1:$NTR$890,COLUMN(HeadJournal!B$1),0),"")</f>
        <v>0</v>
      </c>
      <c r="C5810" s="94" t="str">
        <f>IFERROR(VLOOKUP($A5810,HeadJournal!$A$1:$NTR$890,COLUMN(HeadJournal!C$1),0),"")</f>
        <v>iHerb_VP DFD1605</v>
      </c>
      <c r="D5810" s="125" t="str">
        <f>IFERROR(VLOOKUP($A5810,HeadJournal!$A$1:$NTR$890,COLUMN(HeadJournal!D$1),0),"")</f>
        <v>Доставлен</v>
      </c>
      <c r="E5810" s="95">
        <f>IFERROR(VLOOKUP($A5810,HeadJournal!$A$1:$NTR$890,COLUMN(HeadJournal!G$1),0),"")</f>
        <v>46138</v>
      </c>
      <c r="F5810" s="95" t="str">
        <f t="shared" ref="F5810:F5840" si="431">IFERROR(TEXT(E5810, "ГГГГ ММ"),"")</f>
        <v>2026 04</v>
      </c>
      <c r="G5810" s="97" t="s">
        <v>5</v>
      </c>
      <c r="H5810" s="161" t="s">
        <v>4055</v>
      </c>
      <c r="I5810" s="97" t="s">
        <v>2009</v>
      </c>
      <c r="J5810" s="97" t="s">
        <v>4056</v>
      </c>
      <c r="K5810" s="29">
        <v>20.3</v>
      </c>
      <c r="L5810" s="29">
        <v>-2.0299999999999998</v>
      </c>
      <c r="M5810" s="30">
        <f>IFERROR(VLOOKUP($A5810,HeadJournal!$A$1:$J$890,COLUMN(HeadJournal!I$1),0)*($K5810+$L5810)/(SUMIF($A:$A,$A5810,$K:$K)+SUMIF($A:$A,$A5810,$L:$L)),0)</f>
        <v>-1.8363911649447804</v>
      </c>
      <c r="N5810" s="30">
        <f>IFERROR((VLOOKUP($A5810,HeadJournal!$A$1:$K$890,COLUMN(HeadJournal!K$1),0)-VLOOKUP($A5810,HeadJournal!$A$1:$K$890,COLUMN(HeadJournal!J$1),0))*($K5810+$L5810)/(SUMIF($A:$A,$A5810,$K:$K)+SUMIF($A:$A,$A5810,$L:$L)),0)</f>
        <v>-2.6427025868669199E-15</v>
      </c>
      <c r="O5810" s="30">
        <f>IFERROR((VLOOKUP($A5810,HeadJournal!$A$1:$L$890,COLUMN(HeadJournal!L$1),0)*($K5810+$L5810)/(SUMIF($A:$A,$A5810,$K:$K)+SUMIF($A:$A,$A5810,$L:$L)))/VLOOKUP($A5810,HeadJournal!$A$1:$L$890,COLUMN(HeadJournal!H$1),0),0)</f>
        <v>0.74812680402085652</v>
      </c>
      <c r="P5810" s="30">
        <f>IFERROR(SUM(K5810:O5810)*VLOOKUP($A5810,HeadJournal!$A$1:$L$890,COLUMN(HeadJournal!H$1),0),0)</f>
        <v>1488.4103811898819</v>
      </c>
      <c r="Q5810" s="29"/>
      <c r="R5810" s="31"/>
      <c r="S5810" s="31"/>
      <c r="T5810" s="95" t="str">
        <f t="shared" ref="T5810:T5840" si="432">IF(R5810="","",TEXT(R5810,"ГГГГ ММ"))</f>
        <v/>
      </c>
      <c r="U5810" s="32">
        <f t="shared" ref="U5810:U5840" si="433">Q5810-P5810</f>
        <v>-1488.4103811898819</v>
      </c>
      <c r="V5810" s="22" t="str">
        <f t="shared" ref="V5810:V5840" si="434">IF(Q5810&lt;&gt;0,IFERROR(U5810/P5810,""),"")</f>
        <v/>
      </c>
      <c r="X5810" s="33"/>
      <c r="Y5810" s="33"/>
    </row>
    <row r="5811" spans="1:25" x14ac:dyDescent="0.2">
      <c r="A5811" s="93" t="s">
        <v>5693</v>
      </c>
      <c r="B5811" s="94">
        <f>IFERROR(VLOOKUP($A5811,HeadJournal!$A$1:$NTR$890,COLUMN(HeadJournal!B$1),0),"")</f>
        <v>0</v>
      </c>
      <c r="C5811" s="94" t="str">
        <f>IFERROR(VLOOKUP($A5811,HeadJournal!$A$1:$NTR$890,COLUMN(HeadJournal!C$1),0),"")</f>
        <v>iHerb_VP DFD1605</v>
      </c>
      <c r="D5811" s="125" t="str">
        <f>IFERROR(VLOOKUP($A5811,HeadJournal!$A$1:$NTR$890,COLUMN(HeadJournal!D$1),0),"")</f>
        <v>Доставлен</v>
      </c>
      <c r="E5811" s="95">
        <f>IFERROR(VLOOKUP($A5811,HeadJournal!$A$1:$NTR$890,COLUMN(HeadJournal!G$1),0),"")</f>
        <v>46138</v>
      </c>
      <c r="F5811" s="95" t="str">
        <f t="shared" si="431"/>
        <v>2026 04</v>
      </c>
      <c r="G5811" s="97" t="s">
        <v>5</v>
      </c>
      <c r="H5811" s="161" t="s">
        <v>5689</v>
      </c>
      <c r="I5811" s="97" t="s">
        <v>2052</v>
      </c>
      <c r="J5811" s="97" t="s">
        <v>5690</v>
      </c>
      <c r="K5811" s="29">
        <v>17.68</v>
      </c>
      <c r="L5811" s="29">
        <v>-7.49</v>
      </c>
      <c r="M5811" s="30">
        <f>IFERROR(VLOOKUP($A5811,HeadJournal!$A$1:$J$890,COLUMN(HeadJournal!I$1),0)*($K5811+$L5811)/(SUMIF($A:$A,$A5811,$K:$K)+SUMIF($A:$A,$A5811,$L:$L)),0)</f>
        <v>-1.0242378747010024</v>
      </c>
      <c r="N5811" s="30">
        <f>IFERROR((VLOOKUP($A5811,HeadJournal!$A$1:$K$890,COLUMN(HeadJournal!K$1),0)-VLOOKUP($A5811,HeadJournal!$A$1:$K$890,COLUMN(HeadJournal!J$1),0))*($K5811+$L5811)/(SUMIF($A:$A,$A5811,$K:$K)+SUMIF($A:$A,$A5811,$L:$L)),0)</f>
        <v>-1.4739539879679208E-15</v>
      </c>
      <c r="O5811" s="30">
        <f>IFERROR((VLOOKUP($A5811,HeadJournal!$A$1:$L$890,COLUMN(HeadJournal!L$1),0)*($K5811+$L5811)/(SUMIF($A:$A,$A5811,$K:$K)+SUMIF($A:$A,$A5811,$L:$L)))/VLOOKUP($A5811,HeadJournal!$A$1:$L$890,COLUMN(HeadJournal!H$1),0),0)</f>
        <v>0.41726393721798177</v>
      </c>
      <c r="P5811" s="30">
        <f>IFERROR(SUM(K5811:O5811)*VLOOKUP($A5811,HeadJournal!$A$1:$L$890,COLUMN(HeadJournal!H$1),0),0)</f>
        <v>830.15335436917894</v>
      </c>
      <c r="Q5811" s="29"/>
      <c r="R5811" s="31"/>
      <c r="S5811" s="31"/>
      <c r="T5811" s="95" t="str">
        <f t="shared" si="432"/>
        <v/>
      </c>
      <c r="U5811" s="32">
        <f t="shared" si="433"/>
        <v>-830.15335436917894</v>
      </c>
      <c r="V5811" s="22" t="str">
        <f t="shared" si="434"/>
        <v/>
      </c>
      <c r="X5811" s="33"/>
      <c r="Y5811" s="33"/>
    </row>
    <row r="5812" spans="1:25" x14ac:dyDescent="0.2">
      <c r="A5812" s="93" t="s">
        <v>5693</v>
      </c>
      <c r="B5812" s="94">
        <f>IFERROR(VLOOKUP($A5812,HeadJournal!$A$1:$NTR$890,COLUMN(HeadJournal!B$1),0),"")</f>
        <v>0</v>
      </c>
      <c r="C5812" s="94" t="str">
        <f>IFERROR(VLOOKUP($A5812,HeadJournal!$A$1:$NTR$890,COLUMN(HeadJournal!C$1),0),"")</f>
        <v>iHerb_VP DFD1605</v>
      </c>
      <c r="D5812" s="125" t="str">
        <f>IFERROR(VLOOKUP($A5812,HeadJournal!$A$1:$NTR$890,COLUMN(HeadJournal!D$1),0),"")</f>
        <v>Доставлен</v>
      </c>
      <c r="E5812" s="95">
        <f>IFERROR(VLOOKUP($A5812,HeadJournal!$A$1:$NTR$890,COLUMN(HeadJournal!G$1),0),"")</f>
        <v>46138</v>
      </c>
      <c r="F5812" s="95" t="str">
        <f t="shared" si="431"/>
        <v>2026 04</v>
      </c>
      <c r="G5812" s="97" t="s">
        <v>5</v>
      </c>
      <c r="H5812" s="161" t="s">
        <v>5691</v>
      </c>
      <c r="I5812" s="97" t="s">
        <v>2052</v>
      </c>
      <c r="J5812" s="97" t="s">
        <v>5692</v>
      </c>
      <c r="K5812" s="29">
        <v>13</v>
      </c>
      <c r="L5812" s="29">
        <v>-5.51</v>
      </c>
      <c r="M5812" s="30">
        <f>IFERROR(VLOOKUP($A5812,HeadJournal!$A$1:$J$890,COLUMN(HeadJournal!I$1),0)*($K5812+$L5812)/(SUMIF($A:$A,$A5812,$K:$K)+SUMIF($A:$A,$A5812,$L:$L)),0)</f>
        <v>-0.75285001781261118</v>
      </c>
      <c r="N5812" s="30">
        <f>IFERROR((VLOOKUP($A5812,HeadJournal!$A$1:$K$890,COLUMN(HeadJournal!K$1),0)-VLOOKUP($A5812,HeadJournal!$A$1:$K$890,COLUMN(HeadJournal!J$1),0))*($K5812+$L5812)/(SUMIF($A:$A,$A5812,$K:$K)+SUMIF($A:$A,$A5812,$L:$L)),0)</f>
        <v>-1.0834068076427603E-15</v>
      </c>
      <c r="O5812" s="30">
        <f>IFERROR((VLOOKUP($A5812,HeadJournal!$A$1:$L$890,COLUMN(HeadJournal!L$1),0)*($K5812+$L5812)/(SUMIF($A:$A,$A5812,$K:$K)+SUMIF($A:$A,$A5812,$L:$L)))/VLOOKUP($A5812,HeadJournal!$A$1:$L$890,COLUMN(HeadJournal!H$1),0),0)</f>
        <v>0.30670332578632814</v>
      </c>
      <c r="P5812" s="30">
        <f>IFERROR(SUM(K5812:O5812)*VLOOKUP($A5812,HeadJournal!$A$1:$L$890,COLUMN(HeadJournal!H$1),0),0)</f>
        <v>610.19122907018163</v>
      </c>
      <c r="Q5812" s="29"/>
      <c r="R5812" s="31"/>
      <c r="S5812" s="31"/>
      <c r="T5812" s="95" t="str">
        <f t="shared" si="432"/>
        <v/>
      </c>
      <c r="U5812" s="32">
        <f t="shared" si="433"/>
        <v>-610.19122907018163</v>
      </c>
      <c r="V5812" s="22" t="str">
        <f t="shared" si="434"/>
        <v/>
      </c>
      <c r="X5812" s="33"/>
      <c r="Y5812" s="33"/>
    </row>
    <row r="5813" spans="1:25" x14ac:dyDescent="0.2">
      <c r="A5813" s="93" t="s">
        <v>5699</v>
      </c>
      <c r="B5813" s="94">
        <f>IFERROR(VLOOKUP($A5813,HeadJournal!$A$1:$NTR$890,COLUMN(HeadJournal!B$1),0),"")</f>
        <v>0</v>
      </c>
      <c r="C5813" s="94" t="str">
        <f>IFERROR(VLOOKUP($A5813,HeadJournal!$A$1:$NTR$890,COLUMN(HeadJournal!C$1),0),"")</f>
        <v>iHerb_MH DLE7202</v>
      </c>
      <c r="D5813" s="125" t="str">
        <f>IFERROR(VLOOKUP($A5813,HeadJournal!$A$1:$NTR$890,COLUMN(HeadJournal!D$1),0),"")</f>
        <v>Доставлен</v>
      </c>
      <c r="E5813" s="95">
        <f>IFERROR(VLOOKUP($A5813,HeadJournal!$A$1:$NTR$890,COLUMN(HeadJournal!G$1),0),"")</f>
        <v>46135</v>
      </c>
      <c r="F5813" s="95" t="str">
        <f t="shared" si="431"/>
        <v>2026 04</v>
      </c>
      <c r="G5813" s="97" t="s">
        <v>5</v>
      </c>
      <c r="H5813" s="161" t="s">
        <v>5694</v>
      </c>
      <c r="I5813" s="97" t="s">
        <v>2839</v>
      </c>
      <c r="J5813" s="97" t="s">
        <v>5695</v>
      </c>
      <c r="K5813" s="29">
        <v>35.130000000000003</v>
      </c>
      <c r="L5813" s="29">
        <v>0</v>
      </c>
      <c r="M5813" s="30">
        <f>IFERROR(VLOOKUP($A5813,HeadJournal!$A$1:$J$890,COLUMN(HeadJournal!I$1),0)*($K5813+$L5813)/(SUMIF($A:$A,$A5813,$K:$K)+SUMIF($A:$A,$A5813,$L:$L)),0)</f>
        <v>-3.4613274567076986</v>
      </c>
      <c r="N5813" s="30">
        <f>IFERROR((VLOOKUP($A5813,HeadJournal!$A$1:$K$890,COLUMN(HeadJournal!K$1),0)-VLOOKUP($A5813,HeadJournal!$A$1:$K$890,COLUMN(HeadJournal!J$1),0))*($K5813+$L5813)/(SUMIF($A:$A,$A5813,$K:$K)+SUMIF($A:$A,$A5813,$L:$L)),0)</f>
        <v>-5.2078794715736109E-15</v>
      </c>
      <c r="O5813" s="30">
        <f>IFERROR((VLOOKUP($A5813,HeadJournal!$A$1:$L$890,COLUMN(HeadJournal!L$1),0)*($K5813+$L5813)/(SUMIF($A:$A,$A5813,$K:$K)+SUMIF($A:$A,$A5813,$L:$L)))/VLOOKUP($A5813,HeadJournal!$A$1:$L$890,COLUMN(HeadJournal!H$1),0),0)</f>
        <v>1.4748304556422795</v>
      </c>
      <c r="P5813" s="30">
        <f>IFERROR(SUM(K5813:O5813)*VLOOKUP($A5813,HeadJournal!$A$1:$L$890,COLUMN(HeadJournal!H$1),0),0)</f>
        <v>2870.1184346964319</v>
      </c>
      <c r="Q5813" s="29">
        <v>3800</v>
      </c>
      <c r="R5813" s="31">
        <v>46164</v>
      </c>
      <c r="S5813" s="31"/>
      <c r="T5813" s="95" t="str">
        <f t="shared" si="432"/>
        <v>2026 05</v>
      </c>
      <c r="U5813" s="32">
        <f t="shared" si="433"/>
        <v>929.8815653035681</v>
      </c>
      <c r="V5813" s="22">
        <f t="shared" si="434"/>
        <v>0.32398717560305845</v>
      </c>
      <c r="X5813" s="33"/>
      <c r="Y5813" s="33"/>
    </row>
    <row r="5814" spans="1:25" x14ac:dyDescent="0.2">
      <c r="A5814" s="93" t="s">
        <v>5699</v>
      </c>
      <c r="B5814" s="94">
        <f>IFERROR(VLOOKUP($A5814,HeadJournal!$A$1:$NTR$890,COLUMN(HeadJournal!B$1),0),"")</f>
        <v>0</v>
      </c>
      <c r="C5814" s="94" t="str">
        <f>IFERROR(VLOOKUP($A5814,HeadJournal!$A$1:$NTR$890,COLUMN(HeadJournal!C$1),0),"")</f>
        <v>iHerb_MH DLE7202</v>
      </c>
      <c r="D5814" s="125" t="str">
        <f>IFERROR(VLOOKUP($A5814,HeadJournal!$A$1:$NTR$890,COLUMN(HeadJournal!D$1),0),"")</f>
        <v>Доставлен</v>
      </c>
      <c r="E5814" s="95">
        <f>IFERROR(VLOOKUP($A5814,HeadJournal!$A$1:$NTR$890,COLUMN(HeadJournal!G$1),0),"")</f>
        <v>46135</v>
      </c>
      <c r="F5814" s="95" t="str">
        <f t="shared" si="431"/>
        <v>2026 04</v>
      </c>
      <c r="G5814" s="97" t="s">
        <v>5</v>
      </c>
      <c r="H5814" s="161" t="s">
        <v>2884</v>
      </c>
      <c r="I5814" s="97" t="s">
        <v>2839</v>
      </c>
      <c r="J5814" s="97" t="s">
        <v>5696</v>
      </c>
      <c r="K5814" s="29">
        <v>38.99</v>
      </c>
      <c r="L5814" s="29">
        <v>0</v>
      </c>
      <c r="M5814" s="30">
        <f>IFERROR(VLOOKUP($A5814,HeadJournal!$A$1:$J$890,COLUMN(HeadJournal!I$1),0)*($K5814+$L5814)/(SUMIF($A:$A,$A5814,$K:$K)+SUMIF($A:$A,$A5814,$L:$L)),0)</f>
        <v>-3.8416498017942828</v>
      </c>
      <c r="N5814" s="30">
        <f>IFERROR((VLOOKUP($A5814,HeadJournal!$A$1:$K$890,COLUMN(HeadJournal!K$1),0)-VLOOKUP($A5814,HeadJournal!$A$1:$K$890,COLUMN(HeadJournal!J$1),0))*($K5814+$L5814)/(SUMIF($A:$A,$A5814,$K:$K)+SUMIF($A:$A,$A5814,$L:$L)),0)</f>
        <v>-5.7801087559537456E-15</v>
      </c>
      <c r="O5814" s="30">
        <f>IFERROR((VLOOKUP($A5814,HeadJournal!$A$1:$L$890,COLUMN(HeadJournal!L$1),0)*($K5814+$L5814)/(SUMIF($A:$A,$A5814,$K:$K)+SUMIF($A:$A,$A5814,$L:$L)))/VLOOKUP($A5814,HeadJournal!$A$1:$L$890,COLUMN(HeadJournal!H$1),0),0)</f>
        <v>1.6368812828207369</v>
      </c>
      <c r="P5814" s="30">
        <f>IFERROR(SUM(K5814:O5814)*VLOOKUP($A5814,HeadJournal!$A$1:$L$890,COLUMN(HeadJournal!H$1),0),0)</f>
        <v>3185.4801528270386</v>
      </c>
      <c r="Q5814" s="29">
        <v>4300</v>
      </c>
      <c r="R5814" s="31">
        <v>46164</v>
      </c>
      <c r="S5814" s="31"/>
      <c r="T5814" s="95" t="str">
        <f t="shared" si="432"/>
        <v>2026 05</v>
      </c>
      <c r="U5814" s="32">
        <f t="shared" si="433"/>
        <v>1114.5198471729614</v>
      </c>
      <c r="V5814" s="22">
        <f t="shared" si="434"/>
        <v>0.3498749933142265</v>
      </c>
      <c r="X5814" s="33"/>
      <c r="Y5814" s="33"/>
    </row>
    <row r="5815" spans="1:25" x14ac:dyDescent="0.2">
      <c r="A5815" s="93" t="s">
        <v>5699</v>
      </c>
      <c r="B5815" s="94">
        <f>IFERROR(VLOOKUP($A5815,HeadJournal!$A$1:$NTR$890,COLUMN(HeadJournal!B$1),0),"")</f>
        <v>0</v>
      </c>
      <c r="C5815" s="94" t="str">
        <f>IFERROR(VLOOKUP($A5815,HeadJournal!$A$1:$NTR$890,COLUMN(HeadJournal!C$1),0),"")</f>
        <v>iHerb_MH DLE7202</v>
      </c>
      <c r="D5815" s="125" t="str">
        <f>IFERROR(VLOOKUP($A5815,HeadJournal!$A$1:$NTR$890,COLUMN(HeadJournal!D$1),0),"")</f>
        <v>Доставлен</v>
      </c>
      <c r="E5815" s="95">
        <f>IFERROR(VLOOKUP($A5815,HeadJournal!$A$1:$NTR$890,COLUMN(HeadJournal!G$1),0),"")</f>
        <v>46135</v>
      </c>
      <c r="F5815" s="95" t="str">
        <f t="shared" si="431"/>
        <v>2026 04</v>
      </c>
      <c r="G5815" s="97" t="s">
        <v>5</v>
      </c>
      <c r="H5815" s="161" t="s">
        <v>5527</v>
      </c>
      <c r="I5815" s="97" t="s">
        <v>4417</v>
      </c>
      <c r="J5815" s="97" t="s">
        <v>5528</v>
      </c>
      <c r="K5815" s="29">
        <v>57.92</v>
      </c>
      <c r="L5815" s="29">
        <v>-5.79</v>
      </c>
      <c r="M5815" s="30">
        <f>IFERROR(VLOOKUP($A5815,HeadJournal!$A$1:$J$890,COLUMN(HeadJournal!I$1),0)*($K5815+$L5815)/(SUMIF($A:$A,$A5815,$K:$K)+SUMIF($A:$A,$A5815,$L:$L)),0)</f>
        <v>-5.136322240767786</v>
      </c>
      <c r="N5815" s="30">
        <f>IFERROR((VLOOKUP($A5815,HeadJournal!$A$1:$K$890,COLUMN(HeadJournal!K$1),0)-VLOOKUP($A5815,HeadJournal!$A$1:$K$890,COLUMN(HeadJournal!J$1),0))*($K5815+$L5815)/(SUMIF($A:$A,$A5815,$K:$K)+SUMIF($A:$A,$A5815,$L:$L)),0)</f>
        <v>-7.7280602577037391E-15</v>
      </c>
      <c r="O5815" s="30">
        <f>IFERROR((VLOOKUP($A5815,HeadJournal!$A$1:$L$890,COLUMN(HeadJournal!L$1),0)*($K5815+$L5815)/(SUMIF($A:$A,$A5815,$K:$K)+SUMIF($A:$A,$A5815,$L:$L)))/VLOOKUP($A5815,HeadJournal!$A$1:$L$890,COLUMN(HeadJournal!H$1),0),0)</f>
        <v>2.1885258085007697</v>
      </c>
      <c r="P5815" s="30">
        <f>IFERROR(SUM(K5815:O5815)*VLOOKUP($A5815,HeadJournal!$A$1:$L$890,COLUMN(HeadJournal!H$1),0),0)</f>
        <v>4259.0171933027323</v>
      </c>
      <c r="Q5815" s="29">
        <v>5800</v>
      </c>
      <c r="R5815" s="31">
        <v>46167</v>
      </c>
      <c r="S5815" s="31" t="s">
        <v>4555</v>
      </c>
      <c r="T5815" s="95" t="str">
        <f t="shared" si="432"/>
        <v>2026 05</v>
      </c>
      <c r="U5815" s="32">
        <f t="shared" si="433"/>
        <v>1540.9828066972677</v>
      </c>
      <c r="V5815" s="22">
        <f t="shared" si="434"/>
        <v>0.36181652638558254</v>
      </c>
      <c r="X5815" s="33"/>
      <c r="Y5815" s="33"/>
    </row>
    <row r="5816" spans="1:25" x14ac:dyDescent="0.2">
      <c r="A5816" s="93" t="s">
        <v>5699</v>
      </c>
      <c r="B5816" s="94">
        <f>IFERROR(VLOOKUP($A5816,HeadJournal!$A$1:$NTR$890,COLUMN(HeadJournal!B$1),0),"")</f>
        <v>0</v>
      </c>
      <c r="C5816" s="94" t="str">
        <f>IFERROR(VLOOKUP($A5816,HeadJournal!$A$1:$NTR$890,COLUMN(HeadJournal!C$1),0),"")</f>
        <v>iHerb_MH DLE7202</v>
      </c>
      <c r="D5816" s="125" t="str">
        <f>IFERROR(VLOOKUP($A5816,HeadJournal!$A$1:$NTR$890,COLUMN(HeadJournal!D$1),0),"")</f>
        <v>Доставлен</v>
      </c>
      <c r="E5816" s="95">
        <f>IFERROR(VLOOKUP($A5816,HeadJournal!$A$1:$NTR$890,COLUMN(HeadJournal!G$1),0),"")</f>
        <v>46135</v>
      </c>
      <c r="F5816" s="95" t="str">
        <f t="shared" si="431"/>
        <v>2026 04</v>
      </c>
      <c r="G5816" s="97" t="s">
        <v>5</v>
      </c>
      <c r="H5816" s="161" t="s">
        <v>5697</v>
      </c>
      <c r="I5816" s="97" t="s">
        <v>2750</v>
      </c>
      <c r="J5816" s="97" t="s">
        <v>5698</v>
      </c>
      <c r="K5816" s="29">
        <v>72.739999999999995</v>
      </c>
      <c r="L5816" s="29">
        <v>-7.27</v>
      </c>
      <c r="M5816" s="30">
        <f>IFERROR(VLOOKUP($A5816,HeadJournal!$A$1:$J$890,COLUMN(HeadJournal!I$1),0)*($K5816+$L5816)/(SUMIF($A:$A,$A5816,$K:$K)+SUMIF($A:$A,$A5816,$L:$L)),0)</f>
        <v>-6.4507005007302309</v>
      </c>
      <c r="N5816" s="30">
        <f>IFERROR((VLOOKUP($A5816,HeadJournal!$A$1:$K$890,COLUMN(HeadJournal!K$1),0)-VLOOKUP($A5816,HeadJournal!$A$1:$K$890,COLUMN(HeadJournal!J$1),0))*($K5816+$L5816)/(SUMIF($A:$A,$A5816,$K:$K)+SUMIF($A:$A,$A5816,$L:$L)),0)</f>
        <v>-9.7056609451729087E-15</v>
      </c>
      <c r="O5816" s="30">
        <f>IFERROR((VLOOKUP($A5816,HeadJournal!$A$1:$L$890,COLUMN(HeadJournal!L$1),0)*($K5816+$L5816)/(SUMIF($A:$A,$A5816,$K:$K)+SUMIF($A:$A,$A5816,$L:$L)))/VLOOKUP($A5816,HeadJournal!$A$1:$L$890,COLUMN(HeadJournal!H$1),0),0)</f>
        <v>2.7485667500967845</v>
      </c>
      <c r="P5816" s="30">
        <f>IFERROR(SUM(K5816:O5816)*VLOOKUP($A5816,HeadJournal!$A$1:$L$890,COLUMN(HeadJournal!H$1),0),0)</f>
        <v>5348.8942191737942</v>
      </c>
      <c r="Q5816" s="29">
        <v>7000</v>
      </c>
      <c r="R5816" s="31">
        <v>46164</v>
      </c>
      <c r="S5816" s="31" t="s">
        <v>4638</v>
      </c>
      <c r="T5816" s="95" t="str">
        <f t="shared" si="432"/>
        <v>2026 05</v>
      </c>
      <c r="U5816" s="32">
        <f t="shared" si="433"/>
        <v>1651.1057808262058</v>
      </c>
      <c r="V5816" s="22">
        <f t="shared" si="434"/>
        <v>0.30868170376366882</v>
      </c>
      <c r="X5816" s="33"/>
      <c r="Y5816" s="33"/>
    </row>
    <row r="5817" spans="1:25" x14ac:dyDescent="0.2">
      <c r="A5817" s="93" t="s">
        <v>5706</v>
      </c>
      <c r="B5817" s="94">
        <f>IFERROR(VLOOKUP($A5817,HeadJournal!$A$1:$NTR$890,COLUMN(HeadJournal!B$1),0),"")</f>
        <v>0</v>
      </c>
      <c r="C5817" s="94" t="str">
        <f>IFERROR(VLOOKUP($A5817,HeadJournal!$A$1:$NTR$890,COLUMN(HeadJournal!C$1),0),"")</f>
        <v>iHerb_MH DLE7202</v>
      </c>
      <c r="D5817" s="125" t="str">
        <f>IFERROR(VLOOKUP($A5817,HeadJournal!$A$1:$NTR$890,COLUMN(HeadJournal!D$1),0),"")</f>
        <v>Доставлен</v>
      </c>
      <c r="E5817" s="95">
        <f>IFERROR(VLOOKUP($A5817,HeadJournal!$A$1:$NTR$890,COLUMN(HeadJournal!G$1),0),"")</f>
        <v>46142</v>
      </c>
      <c r="F5817" s="95" t="str">
        <f t="shared" si="431"/>
        <v>2026 04</v>
      </c>
      <c r="G5817" s="97" t="s">
        <v>5</v>
      </c>
      <c r="H5817" s="161" t="s">
        <v>2034</v>
      </c>
      <c r="I5817" s="97" t="s">
        <v>2008</v>
      </c>
      <c r="J5817" s="97" t="s">
        <v>5508</v>
      </c>
      <c r="K5817" s="29">
        <v>25.93</v>
      </c>
      <c r="L5817" s="29">
        <v>-2.59</v>
      </c>
      <c r="M5817" s="30">
        <f>IFERROR(VLOOKUP($A5817,HeadJournal!$A$1:$J$890,COLUMN(HeadJournal!I$1),0)*($K5817+$L5817)/(SUMIF($A:$A,$A5817,$K:$K)+SUMIF($A:$A,$A5817,$L:$L)),0)</f>
        <v>-1.1900505282498852</v>
      </c>
      <c r="N5817" s="30">
        <f>IFERROR((VLOOKUP($A5817,HeadJournal!$A$1:$K$890,COLUMN(HeadJournal!K$1),0)-VLOOKUP($A5817,HeadJournal!$A$1:$K$890,COLUMN(HeadJournal!J$1),0))*($K5817+$L5817)/(SUMIF($A:$A,$A5817,$K:$K)+SUMIF($A:$A,$A5817,$L:$L)),0)</f>
        <v>0</v>
      </c>
      <c r="O5817" s="30">
        <f>IFERROR((VLOOKUP($A5817,HeadJournal!$A$1:$L$890,COLUMN(HeadJournal!L$1),0)*($K5817+$L5817)/(SUMIF($A:$A,$A5817,$K:$K)+SUMIF($A:$A,$A5817,$L:$L)))/VLOOKUP($A5817,HeadJournal!$A$1:$L$890,COLUMN(HeadJournal!H$1),0),0)</f>
        <v>0.96369292078292779</v>
      </c>
      <c r="P5817" s="30">
        <f>IFERROR(SUM(K5817:O5817)*VLOOKUP($A5817,HeadJournal!$A$1:$L$890,COLUMN(HeadJournal!H$1),0),0)</f>
        <v>1991.4179268105959</v>
      </c>
      <c r="Q5817" s="29"/>
      <c r="R5817" s="31"/>
      <c r="S5817" s="31"/>
      <c r="T5817" s="95" t="str">
        <f t="shared" si="432"/>
        <v/>
      </c>
      <c r="U5817" s="32">
        <f t="shared" si="433"/>
        <v>-1991.4179268105959</v>
      </c>
      <c r="V5817" s="22" t="str">
        <f t="shared" si="434"/>
        <v/>
      </c>
      <c r="X5817" s="33"/>
      <c r="Y5817" s="33"/>
    </row>
    <row r="5818" spans="1:25" x14ac:dyDescent="0.2">
      <c r="A5818" s="93" t="s">
        <v>5706</v>
      </c>
      <c r="B5818" s="94">
        <f>IFERROR(VLOOKUP($A5818,HeadJournal!$A$1:$NTR$890,COLUMN(HeadJournal!B$1),0),"")</f>
        <v>0</v>
      </c>
      <c r="C5818" s="94" t="str">
        <f>IFERROR(VLOOKUP($A5818,HeadJournal!$A$1:$NTR$890,COLUMN(HeadJournal!C$1),0),"")</f>
        <v>iHerb_MH DLE7202</v>
      </c>
      <c r="D5818" s="125" t="str">
        <f>IFERROR(VLOOKUP($A5818,HeadJournal!$A$1:$NTR$890,COLUMN(HeadJournal!D$1),0),"")</f>
        <v>Доставлен</v>
      </c>
      <c r="E5818" s="95">
        <f>IFERROR(VLOOKUP($A5818,HeadJournal!$A$1:$NTR$890,COLUMN(HeadJournal!G$1),0),"")</f>
        <v>46142</v>
      </c>
      <c r="F5818" s="95" t="str">
        <f t="shared" si="431"/>
        <v>2026 04</v>
      </c>
      <c r="G5818" s="97" t="s">
        <v>7</v>
      </c>
      <c r="H5818" s="161" t="s">
        <v>5700</v>
      </c>
      <c r="I5818" s="97" t="s">
        <v>5701</v>
      </c>
      <c r="J5818" s="97" t="s">
        <v>5702</v>
      </c>
      <c r="K5818" s="29">
        <v>38.44</v>
      </c>
      <c r="L5818" s="29">
        <v>-3.84</v>
      </c>
      <c r="M5818" s="30">
        <f>IFERROR(VLOOKUP($A5818,HeadJournal!$A$1:$J$890,COLUMN(HeadJournal!I$1),0)*($K5818+$L5818)/(SUMIF($A:$A,$A5818,$K:$K)+SUMIF($A:$A,$A5818,$L:$L)),0)</f>
        <v>-1.7641708773541567</v>
      </c>
      <c r="N5818" s="30">
        <f>IFERROR((VLOOKUP($A5818,HeadJournal!$A$1:$K$890,COLUMN(HeadJournal!K$1),0)-VLOOKUP($A5818,HeadJournal!$A$1:$K$890,COLUMN(HeadJournal!J$1),0))*($K5818+$L5818)/(SUMIF($A:$A,$A5818,$K:$K)+SUMIF($A:$A,$A5818,$L:$L)),0)</f>
        <v>0</v>
      </c>
      <c r="O5818" s="30">
        <f>IFERROR((VLOOKUP($A5818,HeadJournal!$A$1:$L$890,COLUMN(HeadJournal!L$1),0)*($K5818+$L5818)/(SUMIF($A:$A,$A5818,$K:$K)+SUMIF($A:$A,$A5818,$L:$L)))/VLOOKUP($A5818,HeadJournal!$A$1:$L$890,COLUMN(HeadJournal!H$1),0),0)</f>
        <v>1.4286107566019408</v>
      </c>
      <c r="P5818" s="30">
        <f>IFERROR(SUM(K5818:O5818)*VLOOKUP($A5818,HeadJournal!$A$1:$L$890,COLUMN(HeadJournal!H$1),0),0)</f>
        <v>2952.1448272342163</v>
      </c>
      <c r="Q5818" s="29">
        <v>3800</v>
      </c>
      <c r="R5818" s="31">
        <v>46164</v>
      </c>
      <c r="S5818" s="31" t="s">
        <v>3466</v>
      </c>
      <c r="T5818" s="95" t="str">
        <f t="shared" si="432"/>
        <v>2026 05</v>
      </c>
      <c r="U5818" s="32">
        <f t="shared" si="433"/>
        <v>847.85517276578366</v>
      </c>
      <c r="V5818" s="22">
        <f t="shared" si="434"/>
        <v>0.28719972168849045</v>
      </c>
      <c r="X5818" s="33"/>
      <c r="Y5818" s="33"/>
    </row>
    <row r="5819" spans="1:25" x14ac:dyDescent="0.2">
      <c r="A5819" s="93" t="s">
        <v>5706</v>
      </c>
      <c r="B5819" s="94">
        <f>IFERROR(VLOOKUP($A5819,HeadJournal!$A$1:$NTR$890,COLUMN(HeadJournal!B$1),0),"")</f>
        <v>0</v>
      </c>
      <c r="C5819" s="94" t="str">
        <f>IFERROR(VLOOKUP($A5819,HeadJournal!$A$1:$NTR$890,COLUMN(HeadJournal!C$1),0),"")</f>
        <v>iHerb_MH DLE7202</v>
      </c>
      <c r="D5819" s="125" t="str">
        <f>IFERROR(VLOOKUP($A5819,HeadJournal!$A$1:$NTR$890,COLUMN(HeadJournal!D$1),0),"")</f>
        <v>Доставлен</v>
      </c>
      <c r="E5819" s="95">
        <f>IFERROR(VLOOKUP($A5819,HeadJournal!$A$1:$NTR$890,COLUMN(HeadJournal!G$1),0),"")</f>
        <v>46142</v>
      </c>
      <c r="F5819" s="95" t="str">
        <f t="shared" si="431"/>
        <v>2026 04</v>
      </c>
      <c r="G5819" s="97" t="s">
        <v>7</v>
      </c>
      <c r="H5819" s="161" t="s">
        <v>3087</v>
      </c>
      <c r="I5819" s="97" t="s">
        <v>3088</v>
      </c>
      <c r="J5819" s="97" t="s">
        <v>3089</v>
      </c>
      <c r="K5819" s="29">
        <v>22.93</v>
      </c>
      <c r="L5819" s="29">
        <v>-13.96</v>
      </c>
      <c r="M5819" s="30">
        <f>IFERROR(VLOOKUP($A5819,HeadJournal!$A$1:$J$890,COLUMN(HeadJournal!I$1),0)*($K5819+$L5819)/(SUMIF($A:$A,$A5819,$K:$K)+SUMIF($A:$A,$A5819,$L:$L)),0)</f>
        <v>-0.45735875057418462</v>
      </c>
      <c r="N5819" s="30">
        <f>IFERROR((VLOOKUP($A5819,HeadJournal!$A$1:$K$890,COLUMN(HeadJournal!K$1),0)-VLOOKUP($A5819,HeadJournal!$A$1:$K$890,COLUMN(HeadJournal!J$1),0))*($K5819+$L5819)/(SUMIF($A:$A,$A5819,$K:$K)+SUMIF($A:$A,$A5819,$L:$L)),0)</f>
        <v>0</v>
      </c>
      <c r="O5819" s="30">
        <f>IFERROR((VLOOKUP($A5819,HeadJournal!$A$1:$L$890,COLUMN(HeadJournal!L$1),0)*($K5819+$L5819)/(SUMIF($A:$A,$A5819,$K:$K)+SUMIF($A:$A,$A5819,$L:$L)))/VLOOKUP($A5819,HeadJournal!$A$1:$L$890,COLUMN(HeadJournal!H$1),0),0)</f>
        <v>0.37036527418264187</v>
      </c>
      <c r="P5819" s="30">
        <f>IFERROR(SUM(K5819:O5819)*VLOOKUP($A5819,HeadJournal!$A$1:$L$890,COLUMN(HeadJournal!H$1),0),0)</f>
        <v>765.33928035522888</v>
      </c>
      <c r="Q5819" s="29"/>
      <c r="R5819" s="31"/>
      <c r="S5819" s="31"/>
      <c r="T5819" s="95" t="str">
        <f t="shared" si="432"/>
        <v/>
      </c>
      <c r="U5819" s="32">
        <f t="shared" si="433"/>
        <v>-765.33928035522888</v>
      </c>
      <c r="V5819" s="22" t="str">
        <f t="shared" si="434"/>
        <v/>
      </c>
      <c r="X5819" s="33"/>
      <c r="Y5819" s="33"/>
    </row>
    <row r="5820" spans="1:25" x14ac:dyDescent="0.2">
      <c r="A5820" s="93" t="s">
        <v>5706</v>
      </c>
      <c r="B5820" s="94">
        <f>IFERROR(VLOOKUP($A5820,HeadJournal!$A$1:$NTR$890,COLUMN(HeadJournal!B$1),0),"")</f>
        <v>0</v>
      </c>
      <c r="C5820" s="94" t="str">
        <f>IFERROR(VLOOKUP($A5820,HeadJournal!$A$1:$NTR$890,COLUMN(HeadJournal!C$1),0),"")</f>
        <v>iHerb_MH DLE7202</v>
      </c>
      <c r="D5820" s="125" t="str">
        <f>IFERROR(VLOOKUP($A5820,HeadJournal!$A$1:$NTR$890,COLUMN(HeadJournal!D$1),0),"")</f>
        <v>Доставлен</v>
      </c>
      <c r="E5820" s="95">
        <f>IFERROR(VLOOKUP($A5820,HeadJournal!$A$1:$NTR$890,COLUMN(HeadJournal!G$1),0),"")</f>
        <v>46142</v>
      </c>
      <c r="F5820" s="95" t="str">
        <f t="shared" si="431"/>
        <v>2026 04</v>
      </c>
      <c r="G5820" s="97" t="s">
        <v>5</v>
      </c>
      <c r="H5820" s="161" t="s">
        <v>2899</v>
      </c>
      <c r="I5820" s="97" t="s">
        <v>2042</v>
      </c>
      <c r="J5820" s="97" t="s">
        <v>2900</v>
      </c>
      <c r="K5820" s="29">
        <v>10.24</v>
      </c>
      <c r="L5820" s="29">
        <v>-1.02</v>
      </c>
      <c r="M5820" s="30">
        <f>IFERROR(VLOOKUP($A5820,HeadJournal!$A$1:$J$890,COLUMN(HeadJournal!I$1),0)*($K5820+$L5820)/(SUMIF($A:$A,$A5820,$K:$K)+SUMIF($A:$A,$A5820,$L:$L)),0)</f>
        <v>-0.47010564997703264</v>
      </c>
      <c r="N5820" s="30">
        <f>IFERROR((VLOOKUP($A5820,HeadJournal!$A$1:$K$890,COLUMN(HeadJournal!K$1),0)-VLOOKUP($A5820,HeadJournal!$A$1:$K$890,COLUMN(HeadJournal!J$1),0))*($K5820+$L5820)/(SUMIF($A:$A,$A5820,$K:$K)+SUMIF($A:$A,$A5820,$L:$L)),0)</f>
        <v>0</v>
      </c>
      <c r="O5820" s="30">
        <f>IFERROR((VLOOKUP($A5820,HeadJournal!$A$1:$L$890,COLUMN(HeadJournal!L$1),0)*($K5820+$L5820)/(SUMIF($A:$A,$A5820,$K:$K)+SUMIF($A:$A,$A5820,$L:$L)))/VLOOKUP($A5820,HeadJournal!$A$1:$L$890,COLUMN(HeadJournal!H$1),0),0)</f>
        <v>0.38068760623901432</v>
      </c>
      <c r="P5820" s="30">
        <f>IFERROR(SUM(K5820:O5820)*VLOOKUP($A5820,HeadJournal!$A$1:$L$890,COLUMN(HeadJournal!H$1),0),0)</f>
        <v>786.66980656356873</v>
      </c>
      <c r="Q5820" s="29"/>
      <c r="R5820" s="31"/>
      <c r="S5820" s="31"/>
      <c r="T5820" s="95" t="str">
        <f t="shared" si="432"/>
        <v/>
      </c>
      <c r="U5820" s="32">
        <f t="shared" si="433"/>
        <v>-786.66980656356873</v>
      </c>
      <c r="V5820" s="22" t="str">
        <f t="shared" si="434"/>
        <v/>
      </c>
      <c r="X5820" s="33"/>
      <c r="Y5820" s="33"/>
    </row>
    <row r="5821" spans="1:25" x14ac:dyDescent="0.2">
      <c r="A5821" s="93" t="s">
        <v>5706</v>
      </c>
      <c r="B5821" s="94">
        <f>IFERROR(VLOOKUP($A5821,HeadJournal!$A$1:$NTR$890,COLUMN(HeadJournal!B$1),0),"")</f>
        <v>0</v>
      </c>
      <c r="C5821" s="94" t="str">
        <f>IFERROR(VLOOKUP($A5821,HeadJournal!$A$1:$NTR$890,COLUMN(HeadJournal!C$1),0),"")</f>
        <v>iHerb_MH DLE7202</v>
      </c>
      <c r="D5821" s="125" t="str">
        <f>IFERROR(VLOOKUP($A5821,HeadJournal!$A$1:$NTR$890,COLUMN(HeadJournal!D$1),0),"")</f>
        <v>Доставлен</v>
      </c>
      <c r="E5821" s="95">
        <f>IFERROR(VLOOKUP($A5821,HeadJournal!$A$1:$NTR$890,COLUMN(HeadJournal!G$1),0),"")</f>
        <v>46142</v>
      </c>
      <c r="F5821" s="95" t="str">
        <f t="shared" si="431"/>
        <v>2026 04</v>
      </c>
      <c r="G5821" s="97" t="s">
        <v>5</v>
      </c>
      <c r="H5821" s="161" t="s">
        <v>2081</v>
      </c>
      <c r="I5821" s="97" t="s">
        <v>2005</v>
      </c>
      <c r="J5821" s="97" t="s">
        <v>5703</v>
      </c>
      <c r="K5821" s="29">
        <v>11.37</v>
      </c>
      <c r="L5821" s="29">
        <v>-1.135</v>
      </c>
      <c r="M5821" s="30">
        <f>IFERROR(VLOOKUP($A5821,HeadJournal!$A$1:$J$890,COLUMN(HeadJournal!I$1),0)*($K5821+$L5821)/(SUMIF($A:$A,$A5821,$K:$K)+SUMIF($A:$A,$A5821,$L:$L)),0)</f>
        <v>-0.52185806155259529</v>
      </c>
      <c r="N5821" s="30">
        <f>IFERROR((VLOOKUP($A5821,HeadJournal!$A$1:$K$890,COLUMN(HeadJournal!K$1),0)-VLOOKUP($A5821,HeadJournal!$A$1:$K$890,COLUMN(HeadJournal!J$1),0))*($K5821+$L5821)/(SUMIF($A:$A,$A5821,$K:$K)+SUMIF($A:$A,$A5821,$L:$L)),0)</f>
        <v>0</v>
      </c>
      <c r="O5821" s="30">
        <f>IFERROR((VLOOKUP($A5821,HeadJournal!$A$1:$L$890,COLUMN(HeadJournal!L$1),0)*($K5821+$L5821)/(SUMIF($A:$A,$A5821,$K:$K)+SUMIF($A:$A,$A5821,$L:$L)))/VLOOKUP($A5821,HeadJournal!$A$1:$L$890,COLUMN(HeadJournal!H$1),0),0)</f>
        <v>0.42259627438788622</v>
      </c>
      <c r="P5821" s="30">
        <f>IFERROR(SUM(K5821:O5821)*VLOOKUP($A5821,HeadJournal!$A$1:$L$890,COLUMN(HeadJournal!H$1),0),0)</f>
        <v>873.27174296942792</v>
      </c>
      <c r="Q5821" s="29">
        <v>1700</v>
      </c>
      <c r="R5821" s="31">
        <v>46167</v>
      </c>
      <c r="S5821" s="31" t="s">
        <v>4627</v>
      </c>
      <c r="T5821" s="95" t="str">
        <f t="shared" si="432"/>
        <v>2026 05</v>
      </c>
      <c r="U5821" s="32">
        <f t="shared" si="433"/>
        <v>826.72825703057208</v>
      </c>
      <c r="V5821" s="22">
        <f t="shared" si="434"/>
        <v>0.94670217339153584</v>
      </c>
      <c r="X5821" s="33"/>
      <c r="Y5821" s="33"/>
    </row>
    <row r="5822" spans="1:25" x14ac:dyDescent="0.2">
      <c r="A5822" s="93" t="s">
        <v>5706</v>
      </c>
      <c r="B5822" s="94">
        <f>IFERROR(VLOOKUP($A5822,HeadJournal!$A$1:$NTR$890,COLUMN(HeadJournal!B$1),0),"")</f>
        <v>0</v>
      </c>
      <c r="C5822" s="94" t="str">
        <f>IFERROR(VLOOKUP($A5822,HeadJournal!$A$1:$NTR$890,COLUMN(HeadJournal!C$1),0),"")</f>
        <v>iHerb_MH DLE7202</v>
      </c>
      <c r="D5822" s="125" t="str">
        <f>IFERROR(VLOOKUP($A5822,HeadJournal!$A$1:$NTR$890,COLUMN(HeadJournal!D$1),0),"")</f>
        <v>Доставлен</v>
      </c>
      <c r="E5822" s="95">
        <f>IFERROR(VLOOKUP($A5822,HeadJournal!$A$1:$NTR$890,COLUMN(HeadJournal!G$1),0),"")</f>
        <v>46142</v>
      </c>
      <c r="F5822" s="95" t="str">
        <f t="shared" si="431"/>
        <v>2026 04</v>
      </c>
      <c r="G5822" s="97" t="s">
        <v>5</v>
      </c>
      <c r="H5822" s="161" t="s">
        <v>2081</v>
      </c>
      <c r="I5822" s="97" t="s">
        <v>2005</v>
      </c>
      <c r="J5822" s="97" t="s">
        <v>5703</v>
      </c>
      <c r="K5822" s="29">
        <v>11.37</v>
      </c>
      <c r="L5822" s="29">
        <v>-1.135</v>
      </c>
      <c r="M5822" s="30">
        <f>IFERROR(VLOOKUP($A5822,HeadJournal!$A$1:$J$890,COLUMN(HeadJournal!I$1),0)*($K5822+$L5822)/(SUMIF($A:$A,$A5822,$K:$K)+SUMIF($A:$A,$A5822,$L:$L)),0)</f>
        <v>-0.52185806155259529</v>
      </c>
      <c r="N5822" s="30">
        <f>IFERROR((VLOOKUP($A5822,HeadJournal!$A$1:$K$890,COLUMN(HeadJournal!K$1),0)-VLOOKUP($A5822,HeadJournal!$A$1:$K$890,COLUMN(HeadJournal!J$1),0))*($K5822+$L5822)/(SUMIF($A:$A,$A5822,$K:$K)+SUMIF($A:$A,$A5822,$L:$L)),0)</f>
        <v>0</v>
      </c>
      <c r="O5822" s="30">
        <f>IFERROR((VLOOKUP($A5822,HeadJournal!$A$1:$L$890,COLUMN(HeadJournal!L$1),0)*($K5822+$L5822)/(SUMIF($A:$A,$A5822,$K:$K)+SUMIF($A:$A,$A5822,$L:$L)))/VLOOKUP($A5822,HeadJournal!$A$1:$L$890,COLUMN(HeadJournal!H$1),0),0)</f>
        <v>0.42259627438788622</v>
      </c>
      <c r="P5822" s="30">
        <f>IFERROR(SUM(K5822:O5822)*VLOOKUP($A5822,HeadJournal!$A$1:$L$890,COLUMN(HeadJournal!H$1),0),0)</f>
        <v>873.27174296942792</v>
      </c>
      <c r="Q5822" s="29"/>
      <c r="R5822" s="31"/>
      <c r="S5822" s="31"/>
      <c r="T5822" s="95" t="str">
        <f t="shared" si="432"/>
        <v/>
      </c>
      <c r="U5822" s="32">
        <f t="shared" si="433"/>
        <v>-873.27174296942792</v>
      </c>
      <c r="V5822" s="22" t="str">
        <f t="shared" si="434"/>
        <v/>
      </c>
      <c r="X5822" s="33"/>
      <c r="Y5822" s="33"/>
    </row>
    <row r="5823" spans="1:25" x14ac:dyDescent="0.2">
      <c r="A5823" s="93" t="s">
        <v>5706</v>
      </c>
      <c r="B5823" s="94">
        <f>IFERROR(VLOOKUP($A5823,HeadJournal!$A$1:$NTR$890,COLUMN(HeadJournal!B$1),0),"")</f>
        <v>0</v>
      </c>
      <c r="C5823" s="94" t="str">
        <f>IFERROR(VLOOKUP($A5823,HeadJournal!$A$1:$NTR$890,COLUMN(HeadJournal!C$1),0),"")</f>
        <v>iHerb_MH DLE7202</v>
      </c>
      <c r="D5823" s="125" t="str">
        <f>IFERROR(VLOOKUP($A5823,HeadJournal!$A$1:$NTR$890,COLUMN(HeadJournal!D$1),0),"")</f>
        <v>Доставлен</v>
      </c>
      <c r="E5823" s="95">
        <f>IFERROR(VLOOKUP($A5823,HeadJournal!$A$1:$NTR$890,COLUMN(HeadJournal!G$1),0),"")</f>
        <v>46142</v>
      </c>
      <c r="F5823" s="95" t="str">
        <f t="shared" si="431"/>
        <v>2026 04</v>
      </c>
      <c r="G5823" s="97" t="s">
        <v>5</v>
      </c>
      <c r="H5823" s="161" t="s">
        <v>2909</v>
      </c>
      <c r="I5823" s="97" t="s">
        <v>2045</v>
      </c>
      <c r="J5823" s="97" t="s">
        <v>4102</v>
      </c>
      <c r="K5823" s="29">
        <v>16.59</v>
      </c>
      <c r="L5823" s="29">
        <v>-1.66</v>
      </c>
      <c r="M5823" s="30">
        <f>IFERROR(VLOOKUP($A5823,HeadJournal!$A$1:$J$890,COLUMN(HeadJournal!I$1),0)*($K5823+$L5823)/(SUMIF($A:$A,$A5823,$K:$K)+SUMIF($A:$A,$A5823,$L:$L)),0)</f>
        <v>-0.76124483233807994</v>
      </c>
      <c r="N5823" s="30">
        <f>IFERROR((VLOOKUP($A5823,HeadJournal!$A$1:$K$890,COLUMN(HeadJournal!K$1),0)-VLOOKUP($A5823,HeadJournal!$A$1:$K$890,COLUMN(HeadJournal!J$1),0))*($K5823+$L5823)/(SUMIF($A:$A,$A5823,$K:$K)+SUMIF($A:$A,$A5823,$L:$L)),0)</f>
        <v>0</v>
      </c>
      <c r="O5823" s="30">
        <f>IFERROR((VLOOKUP($A5823,HeadJournal!$A$1:$L$890,COLUMN(HeadJournal!L$1),0)*($K5823+$L5823)/(SUMIF($A:$A,$A5823,$K:$K)+SUMIF($A:$A,$A5823,$L:$L)))/VLOOKUP($A5823,HeadJournal!$A$1:$L$890,COLUMN(HeadJournal!H$1),0),0)</f>
        <v>0.61644967040655996</v>
      </c>
      <c r="P5823" s="30">
        <f>IFERROR(SUM(K5823:O5823)*VLOOKUP($A5823,HeadJournal!$A$1:$L$890,COLUMN(HeadJournal!H$1),0),0)</f>
        <v>1273.8590251620476</v>
      </c>
      <c r="Q5823" s="29">
        <v>2000</v>
      </c>
      <c r="R5823" s="31">
        <v>46164</v>
      </c>
      <c r="S5823" s="31"/>
      <c r="T5823" s="95" t="str">
        <f t="shared" si="432"/>
        <v>2026 05</v>
      </c>
      <c r="U5823" s="32">
        <f t="shared" si="433"/>
        <v>726.1409748379524</v>
      </c>
      <c r="V5823" s="22">
        <f t="shared" si="434"/>
        <v>0.57003244510952067</v>
      </c>
      <c r="X5823" s="33"/>
      <c r="Y5823" s="33"/>
    </row>
    <row r="5824" spans="1:25" x14ac:dyDescent="0.2">
      <c r="A5824" s="93" t="s">
        <v>5706</v>
      </c>
      <c r="B5824" s="94">
        <f>IFERROR(VLOOKUP($A5824,HeadJournal!$A$1:$NTR$890,COLUMN(HeadJournal!B$1),0),"")</f>
        <v>0</v>
      </c>
      <c r="C5824" s="94" t="str">
        <f>IFERROR(VLOOKUP($A5824,HeadJournal!$A$1:$NTR$890,COLUMN(HeadJournal!C$1),0),"")</f>
        <v>iHerb_MH DLE7202</v>
      </c>
      <c r="D5824" s="125" t="str">
        <f>IFERROR(VLOOKUP($A5824,HeadJournal!$A$1:$NTR$890,COLUMN(HeadJournal!D$1),0),"")</f>
        <v>Доставлен</v>
      </c>
      <c r="E5824" s="95">
        <f>IFERROR(VLOOKUP($A5824,HeadJournal!$A$1:$NTR$890,COLUMN(HeadJournal!G$1),0),"")</f>
        <v>46142</v>
      </c>
      <c r="F5824" s="95" t="str">
        <f t="shared" si="431"/>
        <v>2026 04</v>
      </c>
      <c r="G5824" s="97" t="s">
        <v>5</v>
      </c>
      <c r="H5824" s="161" t="s">
        <v>2952</v>
      </c>
      <c r="I5824" s="97" t="s">
        <v>2045</v>
      </c>
      <c r="J5824" s="97" t="s">
        <v>5704</v>
      </c>
      <c r="K5824" s="29">
        <v>11.28</v>
      </c>
      <c r="L5824" s="29">
        <v>-1.1299999999999999</v>
      </c>
      <c r="M5824" s="30">
        <f>IFERROR(VLOOKUP($A5824,HeadJournal!$A$1:$J$890,COLUMN(HeadJournal!I$1),0)*($K5824+$L5824)/(SUMIF($A:$A,$A5824,$K:$K)+SUMIF($A:$A,$A5824,$L:$L)),0)</f>
        <v>-0.51752411575562696</v>
      </c>
      <c r="N5824" s="30">
        <f>IFERROR((VLOOKUP($A5824,HeadJournal!$A$1:$K$890,COLUMN(HeadJournal!K$1),0)-VLOOKUP($A5824,HeadJournal!$A$1:$K$890,COLUMN(HeadJournal!J$1),0))*($K5824+$L5824)/(SUMIF($A:$A,$A5824,$K:$K)+SUMIF($A:$A,$A5824,$L:$L)),0)</f>
        <v>0</v>
      </c>
      <c r="O5824" s="30">
        <f>IFERROR((VLOOKUP($A5824,HeadJournal!$A$1:$L$890,COLUMN(HeadJournal!L$1),0)*($K5824+$L5824)/(SUMIF($A:$A,$A5824,$K:$K)+SUMIF($A:$A,$A5824,$L:$L)))/VLOOKUP($A5824,HeadJournal!$A$1:$L$890,COLUMN(HeadJournal!H$1),0),0)</f>
        <v>0.41908668148871964</v>
      </c>
      <c r="P5824" s="30">
        <f>IFERROR(SUM(K5824:O5824)*VLOOKUP($A5824,HeadJournal!$A$1:$L$890,COLUMN(HeadJournal!H$1),0),0)</f>
        <v>866.01936405859226</v>
      </c>
      <c r="Q5824" s="29">
        <v>1500</v>
      </c>
      <c r="R5824" s="31">
        <v>46164</v>
      </c>
      <c r="S5824" s="31" t="s">
        <v>3475</v>
      </c>
      <c r="T5824" s="95" t="str">
        <f t="shared" si="432"/>
        <v>2026 05</v>
      </c>
      <c r="U5824" s="32">
        <f t="shared" si="433"/>
        <v>633.98063594140774</v>
      </c>
      <c r="V5824" s="22">
        <f t="shared" si="434"/>
        <v>0.73206288710481371</v>
      </c>
      <c r="X5824" s="33"/>
      <c r="Y5824" s="33"/>
    </row>
    <row r="5825" spans="1:25" x14ac:dyDescent="0.2">
      <c r="A5825" s="93" t="s">
        <v>5706</v>
      </c>
      <c r="B5825" s="94">
        <f>IFERROR(VLOOKUP($A5825,HeadJournal!$A$1:$NTR$890,COLUMN(HeadJournal!B$1),0),"")</f>
        <v>0</v>
      </c>
      <c r="C5825" s="94" t="str">
        <f>IFERROR(VLOOKUP($A5825,HeadJournal!$A$1:$NTR$890,COLUMN(HeadJournal!C$1),0),"")</f>
        <v>iHerb_MH DLE7202</v>
      </c>
      <c r="D5825" s="125" t="str">
        <f>IFERROR(VLOOKUP($A5825,HeadJournal!$A$1:$NTR$890,COLUMN(HeadJournal!D$1),0),"")</f>
        <v>Доставлен</v>
      </c>
      <c r="E5825" s="95">
        <f>IFERROR(VLOOKUP($A5825,HeadJournal!$A$1:$NTR$890,COLUMN(HeadJournal!G$1),0),"")</f>
        <v>46142</v>
      </c>
      <c r="F5825" s="95" t="str">
        <f t="shared" si="431"/>
        <v>2026 04</v>
      </c>
      <c r="G5825" s="97" t="s">
        <v>5</v>
      </c>
      <c r="H5825" s="161" t="s">
        <v>2995</v>
      </c>
      <c r="I5825" s="97" t="s">
        <v>2102</v>
      </c>
      <c r="J5825" s="97" t="s">
        <v>5705</v>
      </c>
      <c r="K5825" s="29">
        <v>62.05</v>
      </c>
      <c r="L5825" s="29">
        <v>-6.21</v>
      </c>
      <c r="M5825" s="30">
        <f>IFERROR(VLOOKUP($A5825,HeadJournal!$A$1:$J$890,COLUMN(HeadJournal!I$1),0)*($K5825+$L5825)/(SUMIF($A:$A,$A5825,$K:$K)+SUMIF($A:$A,$A5825,$L:$L)),0)</f>
        <v>-2.8471474506201191</v>
      </c>
      <c r="N5825" s="30">
        <f>IFERROR((VLOOKUP($A5825,HeadJournal!$A$1:$K$890,COLUMN(HeadJournal!K$1),0)-VLOOKUP($A5825,HeadJournal!$A$1:$K$890,COLUMN(HeadJournal!J$1),0))*($K5825+$L5825)/(SUMIF($A:$A,$A5825,$K:$K)+SUMIF($A:$A,$A5825,$L:$L)),0)</f>
        <v>0</v>
      </c>
      <c r="O5825" s="30">
        <f>IFERROR((VLOOKUP($A5825,HeadJournal!$A$1:$L$890,COLUMN(HeadJournal!L$1),0)*($K5825+$L5825)/(SUMIF($A:$A,$A5825,$K:$K)+SUMIF($A:$A,$A5825,$L:$L)))/VLOOKUP($A5825,HeadJournal!$A$1:$L$890,COLUMN(HeadJournal!H$1),0),0)</f>
        <v>2.3055960881113404</v>
      </c>
      <c r="P5825" s="30">
        <f>IFERROR(SUM(K5825:O5825)*VLOOKUP($A5825,HeadJournal!$A$1:$L$890,COLUMN(HeadJournal!H$1),0),0)</f>
        <v>4764.3863338947585</v>
      </c>
      <c r="Q5825" s="29">
        <v>5900</v>
      </c>
      <c r="R5825" s="31">
        <v>46164</v>
      </c>
      <c r="S5825" s="31" t="s">
        <v>3475</v>
      </c>
      <c r="T5825" s="95" t="str">
        <f t="shared" si="432"/>
        <v>2026 05</v>
      </c>
      <c r="U5825" s="32">
        <f t="shared" si="433"/>
        <v>1135.6136661052415</v>
      </c>
      <c r="V5825" s="22">
        <f t="shared" si="434"/>
        <v>0.2383546560920696</v>
      </c>
      <c r="X5825" s="33"/>
      <c r="Y5825" s="33"/>
    </row>
    <row r="5826" spans="1:25" x14ac:dyDescent="0.2">
      <c r="A5826" s="93" t="s">
        <v>5706</v>
      </c>
      <c r="B5826" s="94">
        <f>IFERROR(VLOOKUP($A5826,HeadJournal!$A$1:$NTR$890,COLUMN(HeadJournal!B$1),0),"")</f>
        <v>0</v>
      </c>
      <c r="C5826" s="94" t="str">
        <f>IFERROR(VLOOKUP($A5826,HeadJournal!$A$1:$NTR$890,COLUMN(HeadJournal!C$1),0),"")</f>
        <v>iHerb_MH DLE7202</v>
      </c>
      <c r="D5826" s="125" t="str">
        <f>IFERROR(VLOOKUP($A5826,HeadJournal!$A$1:$NTR$890,COLUMN(HeadJournal!D$1),0),"")</f>
        <v>Доставлен</v>
      </c>
      <c r="E5826" s="95">
        <f>IFERROR(VLOOKUP($A5826,HeadJournal!$A$1:$NTR$890,COLUMN(HeadJournal!G$1),0),"")</f>
        <v>46142</v>
      </c>
      <c r="F5826" s="95" t="str">
        <f t="shared" si="431"/>
        <v>2026 04</v>
      </c>
      <c r="G5826" s="97" t="s">
        <v>5</v>
      </c>
      <c r="H5826" s="161" t="s">
        <v>3798</v>
      </c>
      <c r="I5826" s="97" t="s">
        <v>2102</v>
      </c>
      <c r="J5826" s="97" t="s">
        <v>5376</v>
      </c>
      <c r="K5826" s="29">
        <v>20.46</v>
      </c>
      <c r="L5826" s="29">
        <v>-2.0499999999999998</v>
      </c>
      <c r="M5826" s="30">
        <f>IFERROR(VLOOKUP($A5826,HeadJournal!$A$1:$J$890,COLUMN(HeadJournal!I$1),0)*($K5826+$L5826)/(SUMIF($A:$A,$A5826,$K:$K)+SUMIF($A:$A,$A5826,$L:$L)),0)</f>
        <v>-0.93868167202572339</v>
      </c>
      <c r="N5826" s="30">
        <f>IFERROR((VLOOKUP($A5826,HeadJournal!$A$1:$K$890,COLUMN(HeadJournal!K$1),0)-VLOOKUP($A5826,HeadJournal!$A$1:$K$890,COLUMN(HeadJournal!J$1),0))*($K5826+$L5826)/(SUMIF($A:$A,$A5826,$K:$K)+SUMIF($A:$A,$A5826,$L:$L)),0)</f>
        <v>0</v>
      </c>
      <c r="O5826" s="30">
        <f>IFERROR((VLOOKUP($A5826,HeadJournal!$A$1:$L$890,COLUMN(HeadJournal!L$1),0)*($K5826+$L5826)/(SUMIF($A:$A,$A5826,$K:$K)+SUMIF($A:$A,$A5826,$L:$L)))/VLOOKUP($A5826,HeadJournal!$A$1:$L$890,COLUMN(HeadJournal!H$1),0),0)</f>
        <v>0.76013653263126391</v>
      </c>
      <c r="P5826" s="30">
        <f>IFERROR(SUM(K5826:O5826)*VLOOKUP($A5826,HeadJournal!$A$1:$L$890,COLUMN(HeadJournal!H$1),0),0)</f>
        <v>1570.7799499821367</v>
      </c>
      <c r="Q5826" s="29"/>
      <c r="R5826" s="31"/>
      <c r="S5826" s="31"/>
      <c r="T5826" s="95" t="str">
        <f t="shared" si="432"/>
        <v/>
      </c>
      <c r="U5826" s="32">
        <f t="shared" si="433"/>
        <v>-1570.7799499821367</v>
      </c>
      <c r="V5826" s="22" t="str">
        <f t="shared" si="434"/>
        <v/>
      </c>
      <c r="X5826" s="33"/>
      <c r="Y5826" s="33"/>
    </row>
    <row r="5827" spans="1:25" x14ac:dyDescent="0.2">
      <c r="A5827" s="93" t="s">
        <v>5711</v>
      </c>
      <c r="B5827" s="94">
        <f>IFERROR(VLOOKUP($A5827,HeadJournal!$A$1:$NTR$890,COLUMN(HeadJournal!B$1),0),"")</f>
        <v>0</v>
      </c>
      <c r="C5827" s="94" t="str">
        <f>IFERROR(VLOOKUP($A5827,HeadJournal!$A$1:$NTR$890,COLUMN(HeadJournal!C$1),0),"")</f>
        <v>iHerb_OA CZN6870</v>
      </c>
      <c r="D5827" s="125" t="str">
        <f>IFERROR(VLOOKUP($A5827,HeadJournal!$A$1:$NTR$890,COLUMN(HeadJournal!D$1),0),"")</f>
        <v>Доставлен</v>
      </c>
      <c r="E5827" s="95">
        <f>IFERROR(VLOOKUP($A5827,HeadJournal!$A$1:$NTR$890,COLUMN(HeadJournal!G$1),0),"")</f>
        <v>46136</v>
      </c>
      <c r="F5827" s="95" t="str">
        <f t="shared" si="431"/>
        <v>2026 04</v>
      </c>
      <c r="G5827" s="97" t="s">
        <v>5</v>
      </c>
      <c r="H5827" s="161" t="s">
        <v>2196</v>
      </c>
      <c r="I5827" s="97" t="s">
        <v>2006</v>
      </c>
      <c r="J5827" s="97" t="s">
        <v>5500</v>
      </c>
      <c r="K5827" s="29">
        <v>19.07</v>
      </c>
      <c r="L5827" s="29">
        <v>-1.905</v>
      </c>
      <c r="M5827" s="30">
        <f>IFERROR(VLOOKUP($A5827,HeadJournal!$A$1:$J$890,COLUMN(HeadJournal!I$1),0)*($K5827+$L5827)/(SUMIF($A:$A,$A5827,$K:$K)+SUMIF($A:$A,$A5827,$L:$L)),0)</f>
        <v>-1.6906964620134639</v>
      </c>
      <c r="N5827" s="30">
        <f>IFERROR((VLOOKUP($A5827,HeadJournal!$A$1:$K$890,COLUMN(HeadJournal!K$1),0)-VLOOKUP($A5827,HeadJournal!$A$1:$K$890,COLUMN(HeadJournal!J$1),0))*($K5827+$L5827)/(SUMIF($A:$A,$A5827,$K:$K)+SUMIF($A:$A,$A5827,$L:$L)),0)</f>
        <v>7.4078854437346495E-15</v>
      </c>
      <c r="O5827" s="30">
        <f>IFERROR((VLOOKUP($A5827,HeadJournal!$A$1:$L$890,COLUMN(HeadJournal!L$1),0)*($K5827+$L5827)/(SUMIF($A:$A,$A5827,$K:$K)+SUMIF($A:$A,$A5827,$L:$L)))/VLOOKUP($A5827,HeadJournal!$A$1:$L$890,COLUMN(HeadJournal!H$1),0),0)</f>
        <v>0.69925459489060648</v>
      </c>
      <c r="P5827" s="30">
        <f>IFERROR(SUM(K5827:O5827)*VLOOKUP($A5827,HeadJournal!$A$1:$L$890,COLUMN(HeadJournal!H$1),0),0)</f>
        <v>1400.6377620590176</v>
      </c>
      <c r="Q5827" s="29"/>
      <c r="R5827" s="31"/>
      <c r="S5827" s="31"/>
      <c r="T5827" s="95" t="str">
        <f t="shared" si="432"/>
        <v/>
      </c>
      <c r="U5827" s="32">
        <f t="shared" si="433"/>
        <v>-1400.6377620590176</v>
      </c>
      <c r="V5827" s="22" t="str">
        <f t="shared" si="434"/>
        <v/>
      </c>
      <c r="X5827" s="33"/>
      <c r="Y5827" s="33"/>
    </row>
    <row r="5828" spans="1:25" x14ac:dyDescent="0.2">
      <c r="A5828" s="93" t="s">
        <v>5711</v>
      </c>
      <c r="B5828" s="94">
        <f>IFERROR(VLOOKUP($A5828,HeadJournal!$A$1:$NTR$890,COLUMN(HeadJournal!B$1),0),"")</f>
        <v>0</v>
      </c>
      <c r="C5828" s="94" t="str">
        <f>IFERROR(VLOOKUP($A5828,HeadJournal!$A$1:$NTR$890,COLUMN(HeadJournal!C$1),0),"")</f>
        <v>iHerb_OA CZN6870</v>
      </c>
      <c r="D5828" s="125" t="str">
        <f>IFERROR(VLOOKUP($A5828,HeadJournal!$A$1:$NTR$890,COLUMN(HeadJournal!D$1),0),"")</f>
        <v>Доставлен</v>
      </c>
      <c r="E5828" s="95">
        <f>IFERROR(VLOOKUP($A5828,HeadJournal!$A$1:$NTR$890,COLUMN(HeadJournal!G$1),0),"")</f>
        <v>46136</v>
      </c>
      <c r="F5828" s="95" t="str">
        <f t="shared" si="431"/>
        <v>2026 04</v>
      </c>
      <c r="G5828" s="97" t="s">
        <v>5</v>
      </c>
      <c r="H5828" s="161" t="s">
        <v>2196</v>
      </c>
      <c r="I5828" s="97" t="s">
        <v>2006</v>
      </c>
      <c r="J5828" s="97" t="s">
        <v>5500</v>
      </c>
      <c r="K5828" s="29">
        <v>19.07</v>
      </c>
      <c r="L5828" s="29">
        <v>-1.905</v>
      </c>
      <c r="M5828" s="30">
        <f>IFERROR(VLOOKUP($A5828,HeadJournal!$A$1:$J$890,COLUMN(HeadJournal!I$1),0)*($K5828+$L5828)/(SUMIF($A:$A,$A5828,$K:$K)+SUMIF($A:$A,$A5828,$L:$L)),0)</f>
        <v>-1.6906964620134639</v>
      </c>
      <c r="N5828" s="30">
        <f>IFERROR((VLOOKUP($A5828,HeadJournal!$A$1:$K$890,COLUMN(HeadJournal!K$1),0)-VLOOKUP($A5828,HeadJournal!$A$1:$K$890,COLUMN(HeadJournal!J$1),0))*($K5828+$L5828)/(SUMIF($A:$A,$A5828,$K:$K)+SUMIF($A:$A,$A5828,$L:$L)),0)</f>
        <v>7.4078854437346495E-15</v>
      </c>
      <c r="O5828" s="30">
        <f>IFERROR((VLOOKUP($A5828,HeadJournal!$A$1:$L$890,COLUMN(HeadJournal!L$1),0)*($K5828+$L5828)/(SUMIF($A:$A,$A5828,$K:$K)+SUMIF($A:$A,$A5828,$L:$L)))/VLOOKUP($A5828,HeadJournal!$A$1:$L$890,COLUMN(HeadJournal!H$1),0),0)</f>
        <v>0.69925459489060648</v>
      </c>
      <c r="P5828" s="30">
        <f>IFERROR(SUM(K5828:O5828)*VLOOKUP($A5828,HeadJournal!$A$1:$L$890,COLUMN(HeadJournal!H$1),0),0)</f>
        <v>1400.6377620590176</v>
      </c>
      <c r="Q5828" s="29"/>
      <c r="R5828" s="31"/>
      <c r="S5828" s="31"/>
      <c r="T5828" s="95" t="str">
        <f t="shared" si="432"/>
        <v/>
      </c>
      <c r="U5828" s="32">
        <f t="shared" si="433"/>
        <v>-1400.6377620590176</v>
      </c>
      <c r="V5828" s="22" t="str">
        <f t="shared" si="434"/>
        <v/>
      </c>
      <c r="X5828" s="33"/>
      <c r="Y5828" s="33"/>
    </row>
    <row r="5829" spans="1:25" x14ac:dyDescent="0.2">
      <c r="A5829" s="93" t="s">
        <v>5711</v>
      </c>
      <c r="B5829" s="94">
        <f>IFERROR(VLOOKUP($A5829,HeadJournal!$A$1:$NTR$890,COLUMN(HeadJournal!B$1),0),"")</f>
        <v>0</v>
      </c>
      <c r="C5829" s="94" t="str">
        <f>IFERROR(VLOOKUP($A5829,HeadJournal!$A$1:$NTR$890,COLUMN(HeadJournal!C$1),0),"")</f>
        <v>iHerb_OA CZN6870</v>
      </c>
      <c r="D5829" s="125" t="str">
        <f>IFERROR(VLOOKUP($A5829,HeadJournal!$A$1:$NTR$890,COLUMN(HeadJournal!D$1),0),"")</f>
        <v>Доставлен</v>
      </c>
      <c r="E5829" s="95">
        <f>IFERROR(VLOOKUP($A5829,HeadJournal!$A$1:$NTR$890,COLUMN(HeadJournal!G$1),0),"")</f>
        <v>46136</v>
      </c>
      <c r="F5829" s="95" t="str">
        <f t="shared" si="431"/>
        <v>2026 04</v>
      </c>
      <c r="G5829" s="97" t="s">
        <v>5</v>
      </c>
      <c r="H5829" s="161" t="s">
        <v>2081</v>
      </c>
      <c r="I5829" s="97" t="s">
        <v>2005</v>
      </c>
      <c r="J5829" s="97" t="s">
        <v>5703</v>
      </c>
      <c r="K5829" s="29">
        <v>11.37</v>
      </c>
      <c r="L5829" s="29">
        <v>-1.1399999999999999</v>
      </c>
      <c r="M5829" s="30">
        <f>IFERROR(VLOOKUP($A5829,HeadJournal!$A$1:$J$890,COLUMN(HeadJournal!I$1),0)*($K5829+$L5829)/(SUMIF($A:$A,$A5829,$K:$K)+SUMIF($A:$A,$A5829,$L:$L)),0)</f>
        <v>-1.0076216024700109</v>
      </c>
      <c r="N5829" s="30">
        <f>IFERROR((VLOOKUP($A5829,HeadJournal!$A$1:$K$890,COLUMN(HeadJournal!K$1),0)-VLOOKUP($A5829,HeadJournal!$A$1:$K$890,COLUMN(HeadJournal!J$1),0))*($K5829+$L5829)/(SUMIF($A:$A,$A5829,$K:$K)+SUMIF($A:$A,$A5829,$L:$L)),0)</f>
        <v>4.414952990935361E-15</v>
      </c>
      <c r="O5829" s="30">
        <f>IFERROR((VLOOKUP($A5829,HeadJournal!$A$1:$L$890,COLUMN(HeadJournal!L$1),0)*($K5829+$L5829)/(SUMIF($A:$A,$A5829,$K:$K)+SUMIF($A:$A,$A5829,$L:$L)))/VLOOKUP($A5829,HeadJournal!$A$1:$L$890,COLUMN(HeadJournal!H$1),0),0)</f>
        <v>0.41674188789577077</v>
      </c>
      <c r="P5829" s="30">
        <f>IFERROR(SUM(K5829:O5829)*VLOOKUP($A5829,HeadJournal!$A$1:$L$890,COLUMN(HeadJournal!H$1),0),0)</f>
        <v>834.75236270688879</v>
      </c>
      <c r="Q5829" s="29"/>
      <c r="R5829" s="31"/>
      <c r="S5829" s="31"/>
      <c r="T5829" s="95" t="str">
        <f t="shared" si="432"/>
        <v/>
      </c>
      <c r="U5829" s="32">
        <f t="shared" si="433"/>
        <v>-834.75236270688879</v>
      </c>
      <c r="V5829" s="22" t="str">
        <f t="shared" si="434"/>
        <v/>
      </c>
      <c r="X5829" s="33"/>
      <c r="Y5829" s="33"/>
    </row>
    <row r="5830" spans="1:25" x14ac:dyDescent="0.2">
      <c r="A5830" s="93" t="s">
        <v>5711</v>
      </c>
      <c r="B5830" s="94">
        <f>IFERROR(VLOOKUP($A5830,HeadJournal!$A$1:$NTR$890,COLUMN(HeadJournal!B$1),0),"")</f>
        <v>0</v>
      </c>
      <c r="C5830" s="94" t="str">
        <f>IFERROR(VLOOKUP($A5830,HeadJournal!$A$1:$NTR$890,COLUMN(HeadJournal!C$1),0),"")</f>
        <v>iHerb_OA CZN6870</v>
      </c>
      <c r="D5830" s="125" t="str">
        <f>IFERROR(VLOOKUP($A5830,HeadJournal!$A$1:$NTR$890,COLUMN(HeadJournal!D$1),0),"")</f>
        <v>Доставлен</v>
      </c>
      <c r="E5830" s="95">
        <f>IFERROR(VLOOKUP($A5830,HeadJournal!$A$1:$NTR$890,COLUMN(HeadJournal!G$1),0),"")</f>
        <v>46136</v>
      </c>
      <c r="F5830" s="95" t="str">
        <f t="shared" si="431"/>
        <v>2026 04</v>
      </c>
      <c r="G5830" s="97" t="s">
        <v>5</v>
      </c>
      <c r="H5830" s="161" t="s">
        <v>2087</v>
      </c>
      <c r="I5830" s="97" t="s">
        <v>2005</v>
      </c>
      <c r="J5830" s="97" t="s">
        <v>2088</v>
      </c>
      <c r="K5830" s="29">
        <v>22.75</v>
      </c>
      <c r="L5830" s="29">
        <v>-2.2799999999999998</v>
      </c>
      <c r="M5830" s="30">
        <f>IFERROR(VLOOKUP($A5830,HeadJournal!$A$1:$J$890,COLUMN(HeadJournal!I$1),0)*($K5830+$L5830)/(SUMIF($A:$A,$A5830,$K:$K)+SUMIF($A:$A,$A5830,$L:$L)),0)</f>
        <v>-2.0162281722933653</v>
      </c>
      <c r="N5830" s="30">
        <f>IFERROR((VLOOKUP($A5830,HeadJournal!$A$1:$K$890,COLUMN(HeadJournal!K$1),0)-VLOOKUP($A5830,HeadJournal!$A$1:$K$890,COLUMN(HeadJournal!J$1),0))*($K5830+$L5830)/(SUMIF($A:$A,$A5830,$K:$K)+SUMIF($A:$A,$A5830,$L:$L)),0)</f>
        <v>8.8342216739439723E-15</v>
      </c>
      <c r="O5830" s="30">
        <f>IFERROR((VLOOKUP($A5830,HeadJournal!$A$1:$L$890,COLUMN(HeadJournal!L$1),0)*($K5830+$L5830)/(SUMIF($A:$A,$A5830,$K:$K)+SUMIF($A:$A,$A5830,$L:$L)))/VLOOKUP($A5830,HeadJournal!$A$1:$L$890,COLUMN(HeadJournal!H$1),0),0)</f>
        <v>0.83389114811597531</v>
      </c>
      <c r="P5830" s="30">
        <f>IFERROR(SUM(K5830:O5830)*VLOOKUP($A5830,HeadJournal!$A$1:$L$890,COLUMN(HeadJournal!H$1),0),0)</f>
        <v>1670.3207101280559</v>
      </c>
      <c r="Q5830" s="29">
        <v>2500</v>
      </c>
      <c r="R5830" s="31">
        <v>46167</v>
      </c>
      <c r="S5830" s="31" t="s">
        <v>4627</v>
      </c>
      <c r="T5830" s="95" t="str">
        <f t="shared" si="432"/>
        <v>2026 05</v>
      </c>
      <c r="U5830" s="32">
        <f t="shared" si="433"/>
        <v>829.67928987194409</v>
      </c>
      <c r="V5830" s="22">
        <f t="shared" si="434"/>
        <v>0.49671855520987723</v>
      </c>
      <c r="X5830" s="33"/>
      <c r="Y5830" s="33"/>
    </row>
    <row r="5831" spans="1:25" x14ac:dyDescent="0.2">
      <c r="A5831" s="93" t="s">
        <v>5711</v>
      </c>
      <c r="B5831" s="94">
        <f>IFERROR(VLOOKUP($A5831,HeadJournal!$A$1:$NTR$890,COLUMN(HeadJournal!B$1),0),"")</f>
        <v>0</v>
      </c>
      <c r="C5831" s="94" t="str">
        <f>IFERROR(VLOOKUP($A5831,HeadJournal!$A$1:$NTR$890,COLUMN(HeadJournal!C$1),0),"")</f>
        <v>iHerb_OA CZN6870</v>
      </c>
      <c r="D5831" s="125" t="str">
        <f>IFERROR(VLOOKUP($A5831,HeadJournal!$A$1:$NTR$890,COLUMN(HeadJournal!D$1),0),"")</f>
        <v>Доставлен</v>
      </c>
      <c r="E5831" s="95">
        <f>IFERROR(VLOOKUP($A5831,HeadJournal!$A$1:$NTR$890,COLUMN(HeadJournal!G$1),0),"")</f>
        <v>46136</v>
      </c>
      <c r="F5831" s="95" t="str">
        <f t="shared" si="431"/>
        <v>2026 04</v>
      </c>
      <c r="G5831" s="97" t="s">
        <v>5</v>
      </c>
      <c r="H5831" s="161" t="s">
        <v>4016</v>
      </c>
      <c r="I5831" s="97" t="s">
        <v>2207</v>
      </c>
      <c r="J5831" s="97" t="s">
        <v>4017</v>
      </c>
      <c r="K5831" s="29">
        <v>64.14</v>
      </c>
      <c r="L5831" s="29">
        <v>-6.41</v>
      </c>
      <c r="M5831" s="30">
        <f>IFERROR(VLOOKUP($A5831,HeadJournal!$A$1:$J$890,COLUMN(HeadJournal!I$1),0)*($K5831+$L5831)/(SUMIF($A:$A,$A5831,$K:$K)+SUMIF($A:$A,$A5831,$L:$L)),0)</f>
        <v>-5.686216530849828</v>
      </c>
      <c r="N5831" s="30">
        <f>IFERROR((VLOOKUP($A5831,HeadJournal!$A$1:$K$890,COLUMN(HeadJournal!K$1),0)-VLOOKUP($A5831,HeadJournal!$A$1:$K$890,COLUMN(HeadJournal!J$1),0))*($K5831+$L5831)/(SUMIF($A:$A,$A5831,$K:$K)+SUMIF($A:$A,$A5831,$L:$L)),0)</f>
        <v>2.4914490338875697E-14</v>
      </c>
      <c r="O5831" s="30">
        <f>IFERROR((VLOOKUP($A5831,HeadJournal!$A$1:$L$890,COLUMN(HeadJournal!L$1),0)*($K5831+$L5831)/(SUMIF($A:$A,$A5831,$K:$K)+SUMIF($A:$A,$A5831,$L:$L)))/VLOOKUP($A5831,HeadJournal!$A$1:$L$890,COLUMN(HeadJournal!H$1),0),0)</f>
        <v>2.3517604289562901</v>
      </c>
      <c r="P5831" s="30">
        <f>IFERROR(SUM(K5831:O5831)*VLOOKUP($A5831,HeadJournal!$A$1:$L$890,COLUMN(HeadJournal!H$1),0),0)</f>
        <v>4710.679755529688</v>
      </c>
      <c r="Q5831" s="29">
        <v>6400</v>
      </c>
      <c r="R5831" s="31">
        <v>46164</v>
      </c>
      <c r="S5831" s="31" t="s">
        <v>3235</v>
      </c>
      <c r="T5831" s="95" t="str">
        <f t="shared" si="432"/>
        <v>2026 05</v>
      </c>
      <c r="U5831" s="32">
        <f t="shared" si="433"/>
        <v>1689.320244470312</v>
      </c>
      <c r="V5831" s="22">
        <f t="shared" si="434"/>
        <v>0.3586149626255708</v>
      </c>
      <c r="X5831" s="33"/>
      <c r="Y5831" s="33"/>
    </row>
    <row r="5832" spans="1:25" x14ac:dyDescent="0.2">
      <c r="A5832" s="93" t="s">
        <v>5711</v>
      </c>
      <c r="B5832" s="94">
        <f>IFERROR(VLOOKUP($A5832,HeadJournal!$A$1:$NTR$890,COLUMN(HeadJournal!B$1),0),"")</f>
        <v>0</v>
      </c>
      <c r="C5832" s="94" t="str">
        <f>IFERROR(VLOOKUP($A5832,HeadJournal!$A$1:$NTR$890,COLUMN(HeadJournal!C$1),0),"")</f>
        <v>iHerb_OA CZN6870</v>
      </c>
      <c r="D5832" s="125" t="str">
        <f>IFERROR(VLOOKUP($A5832,HeadJournal!$A$1:$NTR$890,COLUMN(HeadJournal!D$1),0),"")</f>
        <v>Доставлен</v>
      </c>
      <c r="E5832" s="95">
        <f>IFERROR(VLOOKUP($A5832,HeadJournal!$A$1:$NTR$890,COLUMN(HeadJournal!G$1),0),"")</f>
        <v>46136</v>
      </c>
      <c r="F5832" s="95" t="str">
        <f t="shared" si="431"/>
        <v>2026 04</v>
      </c>
      <c r="G5832" s="97" t="s">
        <v>5</v>
      </c>
      <c r="H5832" s="161" t="s">
        <v>2051</v>
      </c>
      <c r="I5832" s="97" t="s">
        <v>2052</v>
      </c>
      <c r="J5832" s="97" t="s">
        <v>5583</v>
      </c>
      <c r="K5832" s="29">
        <v>20.25</v>
      </c>
      <c r="L5832" s="29">
        <v>-6.0750000000000002</v>
      </c>
      <c r="M5832" s="30">
        <f>IFERROR(VLOOKUP($A5832,HeadJournal!$A$1:$J$890,COLUMN(HeadJournal!I$1),0)*($K5832+$L5832)/(SUMIF($A:$A,$A5832,$K:$K)+SUMIF($A:$A,$A5832,$L:$L)),0)</f>
        <v>-1.3961912233638716</v>
      </c>
      <c r="N5832" s="30">
        <f>IFERROR((VLOOKUP($A5832,HeadJournal!$A$1:$K$890,COLUMN(HeadJournal!K$1),0)-VLOOKUP($A5832,HeadJournal!$A$1:$K$890,COLUMN(HeadJournal!J$1),0))*($K5832+$L5832)/(SUMIF($A:$A,$A5832,$K:$K)+SUMIF($A:$A,$A5832,$L:$L)),0)</f>
        <v>6.1174935138327226E-15</v>
      </c>
      <c r="O5832" s="30">
        <f>IFERROR((VLOOKUP($A5832,HeadJournal!$A$1:$L$890,COLUMN(HeadJournal!L$1),0)*($K5832+$L5832)/(SUMIF($A:$A,$A5832,$K:$K)+SUMIF($A:$A,$A5832,$L:$L)))/VLOOKUP($A5832,HeadJournal!$A$1:$L$890,COLUMN(HeadJournal!H$1),0),0)</f>
        <v>0.57745026988490233</v>
      </c>
      <c r="P5832" s="30">
        <f>IFERROR(SUM(K5832:O5832)*VLOOKUP($A5832,HeadJournal!$A$1:$L$890,COLUMN(HeadJournal!H$1),0),0)</f>
        <v>1156.6583324897508</v>
      </c>
      <c r="Q5832" s="29"/>
      <c r="R5832" s="31"/>
      <c r="S5832" s="31"/>
      <c r="T5832" s="95" t="str">
        <f t="shared" si="432"/>
        <v/>
      </c>
      <c r="U5832" s="32">
        <f t="shared" si="433"/>
        <v>-1156.6583324897508</v>
      </c>
      <c r="V5832" s="22" t="str">
        <f t="shared" si="434"/>
        <v/>
      </c>
      <c r="X5832" s="33"/>
      <c r="Y5832" s="33"/>
    </row>
    <row r="5833" spans="1:25" x14ac:dyDescent="0.2">
      <c r="A5833" s="93" t="s">
        <v>5711</v>
      </c>
      <c r="B5833" s="94">
        <f>IFERROR(VLOOKUP($A5833,HeadJournal!$A$1:$NTR$890,COLUMN(HeadJournal!B$1),0),"")</f>
        <v>0</v>
      </c>
      <c r="C5833" s="94" t="str">
        <f>IFERROR(VLOOKUP($A5833,HeadJournal!$A$1:$NTR$890,COLUMN(HeadJournal!C$1),0),"")</f>
        <v>iHerb_OA CZN6870</v>
      </c>
      <c r="D5833" s="125" t="str">
        <f>IFERROR(VLOOKUP($A5833,HeadJournal!$A$1:$NTR$890,COLUMN(HeadJournal!D$1),0),"")</f>
        <v>Доставлен</v>
      </c>
      <c r="E5833" s="95">
        <f>IFERROR(VLOOKUP($A5833,HeadJournal!$A$1:$NTR$890,COLUMN(HeadJournal!G$1),0),"")</f>
        <v>46136</v>
      </c>
      <c r="F5833" s="95" t="str">
        <f t="shared" si="431"/>
        <v>2026 04</v>
      </c>
      <c r="G5833" s="97" t="s">
        <v>5</v>
      </c>
      <c r="H5833" s="161" t="s">
        <v>2051</v>
      </c>
      <c r="I5833" s="97" t="s">
        <v>2052</v>
      </c>
      <c r="J5833" s="97" t="s">
        <v>5583</v>
      </c>
      <c r="K5833" s="29">
        <v>20.25</v>
      </c>
      <c r="L5833" s="29">
        <v>-6.0750000000000002</v>
      </c>
      <c r="M5833" s="30">
        <f>IFERROR(VLOOKUP($A5833,HeadJournal!$A$1:$J$890,COLUMN(HeadJournal!I$1),0)*($K5833+$L5833)/(SUMIF($A:$A,$A5833,$K:$K)+SUMIF($A:$A,$A5833,$L:$L)),0)</f>
        <v>-1.3961912233638716</v>
      </c>
      <c r="N5833" s="30">
        <f>IFERROR((VLOOKUP($A5833,HeadJournal!$A$1:$K$890,COLUMN(HeadJournal!K$1),0)-VLOOKUP($A5833,HeadJournal!$A$1:$K$890,COLUMN(HeadJournal!J$1),0))*($K5833+$L5833)/(SUMIF($A:$A,$A5833,$K:$K)+SUMIF($A:$A,$A5833,$L:$L)),0)</f>
        <v>6.1174935138327226E-15</v>
      </c>
      <c r="O5833" s="30">
        <f>IFERROR((VLOOKUP($A5833,HeadJournal!$A$1:$L$890,COLUMN(HeadJournal!L$1),0)*($K5833+$L5833)/(SUMIF($A:$A,$A5833,$K:$K)+SUMIF($A:$A,$A5833,$L:$L)))/VLOOKUP($A5833,HeadJournal!$A$1:$L$890,COLUMN(HeadJournal!H$1),0),0)</f>
        <v>0.57745026988490233</v>
      </c>
      <c r="P5833" s="30">
        <f>IFERROR(SUM(K5833:O5833)*VLOOKUP($A5833,HeadJournal!$A$1:$L$890,COLUMN(HeadJournal!H$1),0),0)</f>
        <v>1156.6583324897508</v>
      </c>
      <c r="Q5833" s="29"/>
      <c r="R5833" s="31"/>
      <c r="S5833" s="31"/>
      <c r="T5833" s="95" t="str">
        <f t="shared" si="432"/>
        <v/>
      </c>
      <c r="U5833" s="32">
        <f t="shared" si="433"/>
        <v>-1156.6583324897508</v>
      </c>
      <c r="V5833" s="22" t="str">
        <f t="shared" si="434"/>
        <v/>
      </c>
      <c r="X5833" s="33"/>
      <c r="Y5833" s="33"/>
    </row>
    <row r="5834" spans="1:25" x14ac:dyDescent="0.2">
      <c r="A5834" s="93" t="s">
        <v>5711</v>
      </c>
      <c r="B5834" s="94">
        <f>IFERROR(VLOOKUP($A5834,HeadJournal!$A$1:$NTR$890,COLUMN(HeadJournal!B$1),0),"")</f>
        <v>0</v>
      </c>
      <c r="C5834" s="94" t="str">
        <f>IFERROR(VLOOKUP($A5834,HeadJournal!$A$1:$NTR$890,COLUMN(HeadJournal!C$1),0),"")</f>
        <v>iHerb_OA CZN6870</v>
      </c>
      <c r="D5834" s="125" t="str">
        <f>IFERROR(VLOOKUP($A5834,HeadJournal!$A$1:$NTR$890,COLUMN(HeadJournal!D$1),0),"")</f>
        <v>Доставлен</v>
      </c>
      <c r="E5834" s="95">
        <f>IFERROR(VLOOKUP($A5834,HeadJournal!$A$1:$NTR$890,COLUMN(HeadJournal!G$1),0),"")</f>
        <v>46136</v>
      </c>
      <c r="F5834" s="95" t="str">
        <f t="shared" si="431"/>
        <v>2026 04</v>
      </c>
      <c r="G5834" s="97" t="s">
        <v>5</v>
      </c>
      <c r="H5834" s="161" t="s">
        <v>2051</v>
      </c>
      <c r="I5834" s="97" t="s">
        <v>2052</v>
      </c>
      <c r="J5834" s="97" t="s">
        <v>5583</v>
      </c>
      <c r="K5834" s="29">
        <v>20.25</v>
      </c>
      <c r="L5834" s="29">
        <v>-6.0750000000000002</v>
      </c>
      <c r="M5834" s="30">
        <f>IFERROR(VLOOKUP($A5834,HeadJournal!$A$1:$J$890,COLUMN(HeadJournal!I$1),0)*($K5834+$L5834)/(SUMIF($A:$A,$A5834,$K:$K)+SUMIF($A:$A,$A5834,$L:$L)),0)</f>
        <v>-1.3961912233638716</v>
      </c>
      <c r="N5834" s="30">
        <f>IFERROR((VLOOKUP($A5834,HeadJournal!$A$1:$K$890,COLUMN(HeadJournal!K$1),0)-VLOOKUP($A5834,HeadJournal!$A$1:$K$890,COLUMN(HeadJournal!J$1),0))*($K5834+$L5834)/(SUMIF($A:$A,$A5834,$K:$K)+SUMIF($A:$A,$A5834,$L:$L)),0)</f>
        <v>6.1174935138327226E-15</v>
      </c>
      <c r="O5834" s="30">
        <f>IFERROR((VLOOKUP($A5834,HeadJournal!$A$1:$L$890,COLUMN(HeadJournal!L$1),0)*($K5834+$L5834)/(SUMIF($A:$A,$A5834,$K:$K)+SUMIF($A:$A,$A5834,$L:$L)))/VLOOKUP($A5834,HeadJournal!$A$1:$L$890,COLUMN(HeadJournal!H$1),0),0)</f>
        <v>0.57745026988490233</v>
      </c>
      <c r="P5834" s="30">
        <f>IFERROR(SUM(K5834:O5834)*VLOOKUP($A5834,HeadJournal!$A$1:$L$890,COLUMN(HeadJournal!H$1),0),0)</f>
        <v>1156.6583324897508</v>
      </c>
      <c r="Q5834" s="29"/>
      <c r="R5834" s="31"/>
      <c r="S5834" s="31"/>
      <c r="T5834" s="95" t="str">
        <f t="shared" si="432"/>
        <v/>
      </c>
      <c r="U5834" s="32">
        <f t="shared" si="433"/>
        <v>-1156.6583324897508</v>
      </c>
      <c r="V5834" s="22" t="str">
        <f t="shared" si="434"/>
        <v/>
      </c>
      <c r="X5834" s="33"/>
      <c r="Y5834" s="33"/>
    </row>
    <row r="5835" spans="1:25" x14ac:dyDescent="0.2">
      <c r="A5835" s="93" t="s">
        <v>5711</v>
      </c>
      <c r="B5835" s="94">
        <f>IFERROR(VLOOKUP($A5835,HeadJournal!$A$1:$NTR$890,COLUMN(HeadJournal!B$1),0),"")</f>
        <v>0</v>
      </c>
      <c r="C5835" s="94" t="str">
        <f>IFERROR(VLOOKUP($A5835,HeadJournal!$A$1:$NTR$890,COLUMN(HeadJournal!C$1),0),"")</f>
        <v>iHerb_OA CZN6870</v>
      </c>
      <c r="D5835" s="125" t="str">
        <f>IFERROR(VLOOKUP($A5835,HeadJournal!$A$1:$NTR$890,COLUMN(HeadJournal!D$1),0),"")</f>
        <v>Доставлен</v>
      </c>
      <c r="E5835" s="95">
        <f>IFERROR(VLOOKUP($A5835,HeadJournal!$A$1:$NTR$890,COLUMN(HeadJournal!G$1),0),"")</f>
        <v>46136</v>
      </c>
      <c r="F5835" s="95" t="str">
        <f t="shared" si="431"/>
        <v>2026 04</v>
      </c>
      <c r="G5835" s="97" t="s">
        <v>5</v>
      </c>
      <c r="H5835" s="161" t="s">
        <v>2051</v>
      </c>
      <c r="I5835" s="97" t="s">
        <v>2052</v>
      </c>
      <c r="J5835" s="97" t="s">
        <v>5583</v>
      </c>
      <c r="K5835" s="29">
        <v>20.25</v>
      </c>
      <c r="L5835" s="29">
        <v>-6.0750000000000002</v>
      </c>
      <c r="M5835" s="30">
        <f>IFERROR(VLOOKUP($A5835,HeadJournal!$A$1:$J$890,COLUMN(HeadJournal!I$1),0)*($K5835+$L5835)/(SUMIF($A:$A,$A5835,$K:$K)+SUMIF($A:$A,$A5835,$L:$L)),0)</f>
        <v>-1.3961912233638716</v>
      </c>
      <c r="N5835" s="30">
        <f>IFERROR((VLOOKUP($A5835,HeadJournal!$A$1:$K$890,COLUMN(HeadJournal!K$1),0)-VLOOKUP($A5835,HeadJournal!$A$1:$K$890,COLUMN(HeadJournal!J$1),0))*($K5835+$L5835)/(SUMIF($A:$A,$A5835,$K:$K)+SUMIF($A:$A,$A5835,$L:$L)),0)</f>
        <v>6.1174935138327226E-15</v>
      </c>
      <c r="O5835" s="30">
        <f>IFERROR((VLOOKUP($A5835,HeadJournal!$A$1:$L$890,COLUMN(HeadJournal!L$1),0)*($K5835+$L5835)/(SUMIF($A:$A,$A5835,$K:$K)+SUMIF($A:$A,$A5835,$L:$L)))/VLOOKUP($A5835,HeadJournal!$A$1:$L$890,COLUMN(HeadJournal!H$1),0),0)</f>
        <v>0.57745026988490233</v>
      </c>
      <c r="P5835" s="30">
        <f>IFERROR(SUM(K5835:O5835)*VLOOKUP($A5835,HeadJournal!$A$1:$L$890,COLUMN(HeadJournal!H$1),0),0)</f>
        <v>1156.6583324897508</v>
      </c>
      <c r="Q5835" s="29"/>
      <c r="R5835" s="31"/>
      <c r="S5835" s="31"/>
      <c r="T5835" s="95" t="str">
        <f t="shared" si="432"/>
        <v/>
      </c>
      <c r="U5835" s="32">
        <f t="shared" si="433"/>
        <v>-1156.6583324897508</v>
      </c>
      <c r="V5835" s="22" t="str">
        <f t="shared" si="434"/>
        <v/>
      </c>
      <c r="X5835" s="33"/>
      <c r="Y5835" s="33"/>
    </row>
    <row r="5836" spans="1:25" x14ac:dyDescent="0.2">
      <c r="A5836" s="93" t="s">
        <v>5711</v>
      </c>
      <c r="B5836" s="94">
        <f>IFERROR(VLOOKUP($A5836,HeadJournal!$A$1:$NTR$890,COLUMN(HeadJournal!B$1),0),"")</f>
        <v>0</v>
      </c>
      <c r="C5836" s="94" t="str">
        <f>IFERROR(VLOOKUP($A5836,HeadJournal!$A$1:$NTR$890,COLUMN(HeadJournal!C$1),0),"")</f>
        <v>iHerb_OA CZN6870</v>
      </c>
      <c r="D5836" s="125" t="str">
        <f>IFERROR(VLOOKUP($A5836,HeadJournal!$A$1:$NTR$890,COLUMN(HeadJournal!D$1),0),"")</f>
        <v>Доставлен</v>
      </c>
      <c r="E5836" s="95">
        <f>IFERROR(VLOOKUP($A5836,HeadJournal!$A$1:$NTR$890,COLUMN(HeadJournal!G$1),0),"")</f>
        <v>46136</v>
      </c>
      <c r="F5836" s="95" t="str">
        <f t="shared" si="431"/>
        <v>2026 04</v>
      </c>
      <c r="G5836" s="97" t="s">
        <v>5</v>
      </c>
      <c r="H5836" s="161" t="s">
        <v>2650</v>
      </c>
      <c r="I5836" s="97" t="s">
        <v>2005</v>
      </c>
      <c r="J5836" s="97" t="s">
        <v>2651</v>
      </c>
      <c r="K5836" s="29">
        <v>12.89</v>
      </c>
      <c r="L5836" s="29">
        <v>-1.29</v>
      </c>
      <c r="M5836" s="30">
        <f>IFERROR(VLOOKUP($A5836,HeadJournal!$A$1:$J$890,COLUMN(HeadJournal!I$1),0)*($K5836+$L5836)/(SUMIF($A:$A,$A5836,$K:$K)+SUMIF($A:$A,$A5836,$L:$L)),0)</f>
        <v>-1.1425621298780184</v>
      </c>
      <c r="N5836" s="30">
        <f>IFERROR((VLOOKUP($A5836,HeadJournal!$A$1:$K$890,COLUMN(HeadJournal!K$1),0)-VLOOKUP($A5836,HeadJournal!$A$1:$K$890,COLUMN(HeadJournal!J$1),0))*($K5836+$L5836)/(SUMIF($A:$A,$A5836,$K:$K)+SUMIF($A:$A,$A5836,$L:$L)),0)</f>
        <v>5.0062028049706933E-15</v>
      </c>
      <c r="O5836" s="30">
        <f>IFERROR((VLOOKUP($A5836,HeadJournal!$A$1:$L$890,COLUMN(HeadJournal!L$1),0)*($K5836+$L5836)/(SUMIF($A:$A,$A5836,$K:$K)+SUMIF($A:$A,$A5836,$L:$L)))/VLOOKUP($A5836,HeadJournal!$A$1:$L$890,COLUMN(HeadJournal!H$1),0),0)</f>
        <v>0.47255189634320049</v>
      </c>
      <c r="P5836" s="30">
        <f>IFERROR(SUM(K5836:O5836)*VLOOKUP($A5836,HeadJournal!$A$1:$L$890,COLUMN(HeadJournal!H$1),0),0)</f>
        <v>946.54226856304126</v>
      </c>
      <c r="Q5836" s="29"/>
      <c r="R5836" s="31"/>
      <c r="S5836" s="31"/>
      <c r="T5836" s="95" t="str">
        <f t="shared" si="432"/>
        <v/>
      </c>
      <c r="U5836" s="32">
        <f t="shared" si="433"/>
        <v>-946.54226856304126</v>
      </c>
      <c r="V5836" s="22" t="str">
        <f t="shared" si="434"/>
        <v/>
      </c>
      <c r="X5836" s="33"/>
      <c r="Y5836" s="33"/>
    </row>
    <row r="5837" spans="1:25" x14ac:dyDescent="0.2">
      <c r="A5837" s="93" t="s">
        <v>5711</v>
      </c>
      <c r="B5837" s="94">
        <f>IFERROR(VLOOKUP($A5837,HeadJournal!$A$1:$NTR$890,COLUMN(HeadJournal!B$1),0),"")</f>
        <v>0</v>
      </c>
      <c r="C5837" s="94" t="str">
        <f>IFERROR(VLOOKUP($A5837,HeadJournal!$A$1:$NTR$890,COLUMN(HeadJournal!C$1),0),"")</f>
        <v>iHerb_OA CZN6870</v>
      </c>
      <c r="D5837" s="125" t="str">
        <f>IFERROR(VLOOKUP($A5837,HeadJournal!$A$1:$NTR$890,COLUMN(HeadJournal!D$1),0),"")</f>
        <v>Доставлен</v>
      </c>
      <c r="E5837" s="95">
        <f>IFERROR(VLOOKUP($A5837,HeadJournal!$A$1:$NTR$890,COLUMN(HeadJournal!G$1),0),"")</f>
        <v>46136</v>
      </c>
      <c r="F5837" s="95" t="str">
        <f t="shared" si="431"/>
        <v>2026 04</v>
      </c>
      <c r="G5837" s="97" t="s">
        <v>7</v>
      </c>
      <c r="H5837" s="161" t="s">
        <v>5707</v>
      </c>
      <c r="I5837" s="97" t="s">
        <v>5569</v>
      </c>
      <c r="J5837" s="97" t="s">
        <v>5708</v>
      </c>
      <c r="K5837" s="29">
        <v>6.51</v>
      </c>
      <c r="L5837" s="29">
        <v>-3.26</v>
      </c>
      <c r="M5837" s="30">
        <f>IFERROR(VLOOKUP($A5837,HeadJournal!$A$1:$J$890,COLUMN(HeadJournal!I$1),0)*($K5837+$L5837)/(SUMIF($A:$A,$A5837,$K:$K)+SUMIF($A:$A,$A5837,$L:$L)),0)</f>
        <v>-0.32011438983651375</v>
      </c>
      <c r="N5837" s="30">
        <f>IFERROR((VLOOKUP($A5837,HeadJournal!$A$1:$K$890,COLUMN(HeadJournal!K$1),0)-VLOOKUP($A5837,HeadJournal!$A$1:$K$890,COLUMN(HeadJournal!J$1),0))*($K5837+$L5837)/(SUMIF($A:$A,$A5837,$K:$K)+SUMIF($A:$A,$A5837,$L:$L)),0)</f>
        <v>1.4025999238064441E-15</v>
      </c>
      <c r="O5837" s="30">
        <f>IFERROR((VLOOKUP($A5837,HeadJournal!$A$1:$L$890,COLUMN(HeadJournal!L$1),0)*($K5837+$L5837)/(SUMIF($A:$A,$A5837,$K:$K)+SUMIF($A:$A,$A5837,$L:$L)))/VLOOKUP($A5837,HeadJournal!$A$1:$L$890,COLUMN(HeadJournal!H$1),0),0)</f>
        <v>0.1323960054409829</v>
      </c>
      <c r="P5837" s="30">
        <f>IFERROR(SUM(K5837:O5837)*VLOOKUP($A5837,HeadJournal!$A$1:$L$890,COLUMN(HeadJournal!H$1),0),0)</f>
        <v>265.19503214050724</v>
      </c>
      <c r="Q5837" s="29"/>
      <c r="R5837" s="31"/>
      <c r="S5837" s="31"/>
      <c r="T5837" s="95" t="str">
        <f t="shared" si="432"/>
        <v/>
      </c>
      <c r="U5837" s="32">
        <f t="shared" si="433"/>
        <v>-265.19503214050724</v>
      </c>
      <c r="V5837" s="22" t="str">
        <f t="shared" si="434"/>
        <v/>
      </c>
      <c r="X5837" s="33"/>
      <c r="Y5837" s="33"/>
    </row>
    <row r="5838" spans="1:25" x14ac:dyDescent="0.2">
      <c r="A5838" s="93" t="s">
        <v>5711</v>
      </c>
      <c r="B5838" s="94">
        <f>IFERROR(VLOOKUP($A5838,HeadJournal!$A$1:$NTR$890,COLUMN(HeadJournal!B$1),0),"")</f>
        <v>0</v>
      </c>
      <c r="C5838" s="94" t="str">
        <f>IFERROR(VLOOKUP($A5838,HeadJournal!$A$1:$NTR$890,COLUMN(HeadJournal!C$1),0),"")</f>
        <v>iHerb_OA CZN6870</v>
      </c>
      <c r="D5838" s="125" t="str">
        <f>IFERROR(VLOOKUP($A5838,HeadJournal!$A$1:$NTR$890,COLUMN(HeadJournal!D$1),0),"")</f>
        <v>Доставлен</v>
      </c>
      <c r="E5838" s="95">
        <f>IFERROR(VLOOKUP($A5838,HeadJournal!$A$1:$NTR$890,COLUMN(HeadJournal!G$1),0),"")</f>
        <v>46136</v>
      </c>
      <c r="F5838" s="95" t="str">
        <f t="shared" si="431"/>
        <v>2026 04</v>
      </c>
      <c r="G5838" s="97" t="s">
        <v>7</v>
      </c>
      <c r="H5838" s="161" t="s">
        <v>5709</v>
      </c>
      <c r="I5838" s="97" t="s">
        <v>5569</v>
      </c>
      <c r="J5838" s="97" t="s">
        <v>5710</v>
      </c>
      <c r="K5838" s="29">
        <v>6.51</v>
      </c>
      <c r="L5838" s="29">
        <v>-3.25</v>
      </c>
      <c r="M5838" s="30">
        <f>IFERROR(VLOOKUP($A5838,HeadJournal!$A$1:$J$890,COLUMN(HeadJournal!I$1),0)*($K5838+$L5838)/(SUMIF($A:$A,$A5838,$K:$K)+SUMIF($A:$A,$A5838,$L:$L)),0)</f>
        <v>-0.32109935718985688</v>
      </c>
      <c r="N5838" s="30">
        <f>IFERROR((VLOOKUP($A5838,HeadJournal!$A$1:$K$890,COLUMN(HeadJournal!K$1),0)-VLOOKUP($A5838,HeadJournal!$A$1:$K$890,COLUMN(HeadJournal!J$1),0))*($K5838+$L5838)/(SUMIF($A:$A,$A5838,$K:$K)+SUMIF($A:$A,$A5838,$L:$L)),0)</f>
        <v>1.4069156158796947E-15</v>
      </c>
      <c r="O5838" s="30">
        <f>IFERROR((VLOOKUP($A5838,HeadJournal!$A$1:$L$890,COLUMN(HeadJournal!L$1),0)*($K5838+$L5838)/(SUMIF($A:$A,$A5838,$K:$K)+SUMIF($A:$A,$A5838,$L:$L)))/VLOOKUP($A5838,HeadJournal!$A$1:$L$890,COLUMN(HeadJournal!H$1),0),0)</f>
        <v>0.13280337776541667</v>
      </c>
      <c r="P5838" s="30">
        <f>IFERROR(SUM(K5838:O5838)*VLOOKUP($A5838,HeadJournal!$A$1:$L$890,COLUMN(HeadJournal!H$1),0),0)</f>
        <v>266.01101685478568</v>
      </c>
      <c r="Q5838" s="29"/>
      <c r="R5838" s="31"/>
      <c r="S5838" s="31"/>
      <c r="T5838" s="95" t="str">
        <f t="shared" si="432"/>
        <v/>
      </c>
      <c r="U5838" s="32">
        <f t="shared" si="433"/>
        <v>-266.01101685478568</v>
      </c>
      <c r="V5838" s="22" t="str">
        <f t="shared" si="434"/>
        <v/>
      </c>
      <c r="X5838" s="33"/>
      <c r="Y5838" s="33"/>
    </row>
    <row r="5839" spans="1:25" x14ac:dyDescent="0.2">
      <c r="A5839" s="93" t="s">
        <v>5713</v>
      </c>
      <c r="B5839" s="94">
        <f>IFERROR(VLOOKUP($A5839,HeadJournal!$A$1:$NTR$890,COLUMN(HeadJournal!B$1),0),"")</f>
        <v>0</v>
      </c>
      <c r="C5839" s="94" t="str">
        <f>IFERROR(VLOOKUP($A5839,HeadJournal!$A$1:$NTR$890,COLUMN(HeadJournal!C$1),0),"")</f>
        <v>OZON_OA</v>
      </c>
      <c r="D5839" s="125" t="str">
        <f>IFERROR(VLOOKUP($A5839,HeadJournal!$A$1:$NTR$890,COLUMN(HeadJournal!D$1),0),"")</f>
        <v>Доставлен</v>
      </c>
      <c r="E5839" s="95">
        <f>IFERROR(VLOOKUP($A5839,HeadJournal!$A$1:$NTR$890,COLUMN(HeadJournal!G$1),0),"")</f>
        <v>46141</v>
      </c>
      <c r="F5839" s="95" t="str">
        <f t="shared" si="431"/>
        <v>2026 04</v>
      </c>
      <c r="G5839" s="97" t="s">
        <v>5</v>
      </c>
      <c r="H5839" s="161" t="s">
        <v>2081</v>
      </c>
      <c r="I5839" s="97" t="s">
        <v>2005</v>
      </c>
      <c r="J5839" s="97" t="s">
        <v>5703</v>
      </c>
      <c r="K5839" s="29">
        <v>972</v>
      </c>
      <c r="L5839" s="29">
        <v>0</v>
      </c>
      <c r="M5839" s="30">
        <f>IFERROR(VLOOKUP($A5839,HeadJournal!$A$1:$J$890,COLUMN(HeadJournal!I$1),0)*($K5839+$L5839)/(SUMIF($A:$A,$A5839,$K:$K)+SUMIF($A:$A,$A5839,$L:$L)),0)</f>
        <v>0</v>
      </c>
      <c r="N5839" s="30">
        <f>IFERROR((VLOOKUP($A5839,HeadJournal!$A$1:$K$890,COLUMN(HeadJournal!K$1),0)-VLOOKUP($A5839,HeadJournal!$A$1:$K$890,COLUMN(HeadJournal!J$1),0))*($K5839+$L5839)/(SUMIF($A:$A,$A5839,$K:$K)+SUMIF($A:$A,$A5839,$L:$L)),0)</f>
        <v>0</v>
      </c>
      <c r="O5839" s="30">
        <f>IFERROR((VLOOKUP($A5839,HeadJournal!$A$1:$L$890,COLUMN(HeadJournal!L$1),0)*($K5839+$L5839)/(SUMIF($A:$A,$A5839,$K:$K)+SUMIF($A:$A,$A5839,$L:$L)))/VLOOKUP($A5839,HeadJournal!$A$1:$L$890,COLUMN(HeadJournal!H$1),0),0)</f>
        <v>0</v>
      </c>
      <c r="P5839" s="30">
        <f>IFERROR(SUM(K5839:O5839)*VLOOKUP($A5839,HeadJournal!$A$1:$L$890,COLUMN(HeadJournal!H$1),0),0)</f>
        <v>972</v>
      </c>
      <c r="Q5839" s="29"/>
      <c r="R5839" s="31"/>
      <c r="S5839" s="31"/>
      <c r="T5839" s="95" t="str">
        <f t="shared" si="432"/>
        <v/>
      </c>
      <c r="U5839" s="32">
        <f t="shared" si="433"/>
        <v>-972</v>
      </c>
      <c r="V5839" s="22" t="str">
        <f t="shared" si="434"/>
        <v/>
      </c>
      <c r="X5839" s="33"/>
      <c r="Y5839" s="33"/>
    </row>
    <row r="5840" spans="1:25" x14ac:dyDescent="0.2">
      <c r="A5840" s="93" t="s">
        <v>5714</v>
      </c>
      <c r="B5840" s="94">
        <f>IFERROR(VLOOKUP($A5840,HeadJournal!$A$1:$NTR$890,COLUMN(HeadJournal!B$1),0),"")</f>
        <v>0</v>
      </c>
      <c r="C5840" s="94" t="str">
        <f>IFERROR(VLOOKUP($A5840,HeadJournal!$A$1:$NTR$890,COLUMN(HeadJournal!C$1),0),"")</f>
        <v>OZON_OA</v>
      </c>
      <c r="D5840" s="125" t="str">
        <f>IFERROR(VLOOKUP($A5840,HeadJournal!$A$1:$NTR$890,COLUMN(HeadJournal!D$1),0),"")</f>
        <v>Доставлен</v>
      </c>
      <c r="E5840" s="95">
        <f>IFERROR(VLOOKUP($A5840,HeadJournal!$A$1:$NTR$890,COLUMN(HeadJournal!G$1),0),"")</f>
        <v>46143</v>
      </c>
      <c r="F5840" s="95" t="str">
        <f t="shared" si="431"/>
        <v>2026 05</v>
      </c>
      <c r="G5840" s="97" t="s">
        <v>5</v>
      </c>
      <c r="H5840" s="161" t="s">
        <v>2280</v>
      </c>
      <c r="I5840" s="97" t="s">
        <v>2281</v>
      </c>
      <c r="J5840" s="97" t="s">
        <v>737</v>
      </c>
      <c r="K5840" s="29">
        <v>1028</v>
      </c>
      <c r="L5840" s="29">
        <v>0</v>
      </c>
      <c r="M5840" s="30">
        <f>IFERROR(VLOOKUP($A5840,HeadJournal!$A$1:$J$890,COLUMN(HeadJournal!I$1),0)*($K5840+$L5840)/(SUMIF($A:$A,$A5840,$K:$K)+SUMIF($A:$A,$A5840,$L:$L)),0)</f>
        <v>0</v>
      </c>
      <c r="N5840" s="30">
        <f>IFERROR((VLOOKUP($A5840,HeadJournal!$A$1:$K$890,COLUMN(HeadJournal!K$1),0)-VLOOKUP($A5840,HeadJournal!$A$1:$K$890,COLUMN(HeadJournal!J$1),0))*($K5840+$L5840)/(SUMIF($A:$A,$A5840,$K:$K)+SUMIF($A:$A,$A5840,$L:$L)),0)</f>
        <v>0</v>
      </c>
      <c r="O5840" s="30">
        <f>IFERROR((VLOOKUP($A5840,HeadJournal!$A$1:$L$890,COLUMN(HeadJournal!L$1),0)*($K5840+$L5840)/(SUMIF($A:$A,$A5840,$K:$K)+SUMIF($A:$A,$A5840,$L:$L)))/VLOOKUP($A5840,HeadJournal!$A$1:$L$890,COLUMN(HeadJournal!H$1),0),0)</f>
        <v>0</v>
      </c>
      <c r="P5840" s="30">
        <f>IFERROR(SUM(K5840:O5840)*VLOOKUP($A5840,HeadJournal!$A$1:$L$890,COLUMN(HeadJournal!H$1),0),0)</f>
        <v>1028</v>
      </c>
      <c r="Q5840" s="29">
        <v>2000</v>
      </c>
      <c r="R5840" s="31">
        <v>46149</v>
      </c>
      <c r="S5840" s="31" t="s">
        <v>4911</v>
      </c>
      <c r="T5840" s="95" t="str">
        <f t="shared" si="432"/>
        <v>2026 05</v>
      </c>
      <c r="U5840" s="32">
        <f t="shared" si="433"/>
        <v>972</v>
      </c>
      <c r="V5840" s="22">
        <f t="shared" si="434"/>
        <v>0.94552529182879375</v>
      </c>
      <c r="X5840" s="33"/>
      <c r="Y5840" s="33"/>
    </row>
    <row r="5841" spans="1:25" x14ac:dyDescent="0.2">
      <c r="A5841" s="93" t="s">
        <v>5715</v>
      </c>
      <c r="B5841" s="94">
        <f>IFERROR(VLOOKUP($A5841,HeadJournal!$A$1:$NTR$890,COLUMN(HeadJournal!B$1),0),"")</f>
        <v>0</v>
      </c>
      <c r="C5841" s="94" t="str">
        <f>IFERROR(VLOOKUP($A5841,HeadJournal!$A$1:$NTR$890,COLUMN(HeadJournal!C$1),0),"")</f>
        <v>OZON_OA</v>
      </c>
      <c r="D5841" s="125" t="str">
        <f>IFERROR(VLOOKUP($A5841,HeadJournal!$A$1:$NTR$890,COLUMN(HeadJournal!D$1),0),"")</f>
        <v>Доставлен</v>
      </c>
      <c r="E5841" s="95">
        <f>IFERROR(VLOOKUP($A5841,HeadJournal!$A$1:$NTR$890,COLUMN(HeadJournal!G$1),0),"")</f>
        <v>46143</v>
      </c>
      <c r="F5841" s="95" t="str">
        <f t="shared" ref="F5841:F5871" si="435">IFERROR(TEXT(E5841, "ГГГГ ММ"),"")</f>
        <v>2026 05</v>
      </c>
      <c r="G5841" s="97" t="s">
        <v>5</v>
      </c>
      <c r="H5841" s="161" t="s">
        <v>2280</v>
      </c>
      <c r="I5841" s="97" t="s">
        <v>2281</v>
      </c>
      <c r="J5841" s="97" t="s">
        <v>737</v>
      </c>
      <c r="K5841" s="29">
        <v>1028</v>
      </c>
      <c r="L5841" s="29">
        <v>0</v>
      </c>
      <c r="M5841" s="30">
        <f>IFERROR(VLOOKUP($A5841,HeadJournal!$A$1:$J$890,COLUMN(HeadJournal!I$1),0)*($K5841+$L5841)/(SUMIF($A:$A,$A5841,$K:$K)+SUMIF($A:$A,$A5841,$L:$L)),0)</f>
        <v>0</v>
      </c>
      <c r="N5841" s="30">
        <f>IFERROR((VLOOKUP($A5841,HeadJournal!$A$1:$K$890,COLUMN(HeadJournal!K$1),0)-VLOOKUP($A5841,HeadJournal!$A$1:$K$890,COLUMN(HeadJournal!J$1),0))*($K5841+$L5841)/(SUMIF($A:$A,$A5841,$K:$K)+SUMIF($A:$A,$A5841,$L:$L)),0)</f>
        <v>0</v>
      </c>
      <c r="O5841" s="30">
        <f>IFERROR((VLOOKUP($A5841,HeadJournal!$A$1:$L$890,COLUMN(HeadJournal!L$1),0)*($K5841+$L5841)/(SUMIF($A:$A,$A5841,$K:$K)+SUMIF($A:$A,$A5841,$L:$L)))/VLOOKUP($A5841,HeadJournal!$A$1:$L$890,COLUMN(HeadJournal!H$1),0),0)</f>
        <v>0</v>
      </c>
      <c r="P5841" s="30">
        <f>IFERROR(SUM(K5841:O5841)*VLOOKUP($A5841,HeadJournal!$A$1:$L$890,COLUMN(HeadJournal!H$1),0),0)</f>
        <v>1028</v>
      </c>
      <c r="Q5841" s="29">
        <v>2000</v>
      </c>
      <c r="R5841" s="31">
        <v>46160</v>
      </c>
      <c r="S5841" s="31" t="s">
        <v>4911</v>
      </c>
      <c r="T5841" s="95" t="str">
        <f t="shared" ref="T5841:T5871" si="436">IF(R5841="","",TEXT(R5841,"ГГГГ ММ"))</f>
        <v>2026 05</v>
      </c>
      <c r="U5841" s="32">
        <f t="shared" ref="U5841:U5871" si="437">Q5841-P5841</f>
        <v>972</v>
      </c>
      <c r="V5841" s="22">
        <f t="shared" ref="V5841:V5871" si="438">IF(Q5841&lt;&gt;0,IFERROR(U5841/P5841,""),"")</f>
        <v>0.94552529182879375</v>
      </c>
      <c r="X5841" s="33"/>
      <c r="Y5841" s="33"/>
    </row>
    <row r="5842" spans="1:25" x14ac:dyDescent="0.2">
      <c r="A5842" s="93" t="s">
        <v>5725</v>
      </c>
      <c r="B5842" s="94" t="str">
        <f>IFERROR(VLOOKUP($A5842,HeadJournal!$A$1:$NTR$890,COLUMN(HeadJournal!B$1),0),"")</f>
        <v>722500700833</v>
      </c>
      <c r="C5842" s="94" t="str">
        <f>IFERROR(VLOOKUP($A5842,HeadJournal!$A$1:$NTR$890,COLUMN(HeadJournal!C$1),0),"")</f>
        <v>iHerb_MH DLE7202</v>
      </c>
      <c r="D5842" s="125" t="str">
        <f>IFERROR(VLOOKUP($A5842,HeadJournal!$A$1:$NTR$890,COLUMN(HeadJournal!D$1),0),"")</f>
        <v>В пути</v>
      </c>
      <c r="E5842" s="95">
        <f>IFERROR(VLOOKUP($A5842,HeadJournal!$A$1:$NTR$890,COLUMN(HeadJournal!G$1),0),"")</f>
        <v>46148</v>
      </c>
      <c r="F5842" s="95" t="str">
        <f t="shared" si="435"/>
        <v>2026 05</v>
      </c>
      <c r="G5842" s="97" t="s">
        <v>5</v>
      </c>
      <c r="H5842" s="161" t="s">
        <v>4044</v>
      </c>
      <c r="I5842" s="97" t="s">
        <v>2163</v>
      </c>
      <c r="J5842" s="97" t="s">
        <v>5679</v>
      </c>
      <c r="K5842" s="29">
        <v>36.33</v>
      </c>
      <c r="L5842" s="29">
        <v>-10.9</v>
      </c>
      <c r="M5842" s="30">
        <f>IFERROR(VLOOKUP($A5842,HeadJournal!$A$1:$J$890,COLUMN(HeadJournal!I$1),0)*($K5842+$L5842)/(SUMIF($A:$A,$A5842,$K:$K)+SUMIF($A:$A,$A5842,$L:$L)),0)</f>
        <v>-1.2862603648424542</v>
      </c>
      <c r="N5842" s="30">
        <f>IFERROR((VLOOKUP($A5842,HeadJournal!$A$1:$K$890,COLUMN(HeadJournal!K$1),0)-VLOOKUP($A5842,HeadJournal!$A$1:$K$890,COLUMN(HeadJournal!J$1),0))*($K5842+$L5842)/(SUMIF($A:$A,$A5842,$K:$K)+SUMIF($A:$A,$A5842,$L:$L)),0)</f>
        <v>-7.4913357256962454E-15</v>
      </c>
      <c r="O5842" s="30">
        <f>IFERROR((VLOOKUP($A5842,HeadJournal!$A$1:$L$890,COLUMN(HeadJournal!L$1),0)*($K5842+$L5842)/(SUMIF($A:$A,$A5842,$K:$K)+SUMIF($A:$A,$A5842,$L:$L)))/VLOOKUP($A5842,HeadJournal!$A$1:$L$890,COLUMN(HeadJournal!H$1),0),0)</f>
        <v>0</v>
      </c>
      <c r="P5842" s="30">
        <f>IFERROR(SUM(K5842:O5842)*VLOOKUP($A5842,HeadJournal!$A$1:$L$890,COLUMN(HeadJournal!H$1),0),0)</f>
        <v>2080.3337282338302</v>
      </c>
      <c r="Q5842" s="29"/>
      <c r="R5842" s="31"/>
      <c r="S5842" s="31"/>
      <c r="T5842" s="95" t="str">
        <f t="shared" si="436"/>
        <v/>
      </c>
      <c r="U5842" s="32">
        <f t="shared" si="437"/>
        <v>-2080.3337282338302</v>
      </c>
      <c r="V5842" s="22" t="str">
        <f t="shared" si="438"/>
        <v/>
      </c>
      <c r="X5842" s="33"/>
      <c r="Y5842" s="33"/>
    </row>
    <row r="5843" spans="1:25" x14ac:dyDescent="0.2">
      <c r="A5843" s="93" t="s">
        <v>5725</v>
      </c>
      <c r="B5843" s="94" t="str">
        <f>IFERROR(VLOOKUP($A5843,HeadJournal!$A$1:$NTR$890,COLUMN(HeadJournal!B$1),0),"")</f>
        <v>722500700833</v>
      </c>
      <c r="C5843" s="94" t="str">
        <f>IFERROR(VLOOKUP($A5843,HeadJournal!$A$1:$NTR$890,COLUMN(HeadJournal!C$1),0),"")</f>
        <v>iHerb_MH DLE7202</v>
      </c>
      <c r="D5843" s="125" t="str">
        <f>IFERROR(VLOOKUP($A5843,HeadJournal!$A$1:$NTR$890,COLUMN(HeadJournal!D$1),0),"")</f>
        <v>В пути</v>
      </c>
      <c r="E5843" s="95">
        <f>IFERROR(VLOOKUP($A5843,HeadJournal!$A$1:$NTR$890,COLUMN(HeadJournal!G$1),0),"")</f>
        <v>46148</v>
      </c>
      <c r="F5843" s="95" t="str">
        <f t="shared" si="435"/>
        <v>2026 05</v>
      </c>
      <c r="G5843" s="97" t="s">
        <v>5</v>
      </c>
      <c r="H5843" s="161" t="s">
        <v>4055</v>
      </c>
      <c r="I5843" s="97" t="s">
        <v>2009</v>
      </c>
      <c r="J5843" s="97" t="s">
        <v>4056</v>
      </c>
      <c r="K5843" s="29">
        <v>20.3</v>
      </c>
      <c r="L5843" s="29">
        <v>-3.05</v>
      </c>
      <c r="M5843" s="30">
        <f>IFERROR(VLOOKUP($A5843,HeadJournal!$A$1:$J$890,COLUMN(HeadJournal!I$1),0)*($K5843+$L5843)/(SUMIF($A:$A,$A5843,$K:$K)+SUMIF($A:$A,$A5843,$L:$L)),0)</f>
        <v>-0.87251243781094501</v>
      </c>
      <c r="N5843" s="30">
        <f>IFERROR((VLOOKUP($A5843,HeadJournal!$A$1:$K$890,COLUMN(HeadJournal!K$1),0)-VLOOKUP($A5843,HeadJournal!$A$1:$K$890,COLUMN(HeadJournal!J$1),0))*($K5843+$L5843)/(SUMIF($A:$A,$A5843,$K:$K)+SUMIF($A:$A,$A5843,$L:$L)),0)</f>
        <v>-5.0816178241549441E-15</v>
      </c>
      <c r="O5843" s="30">
        <f>IFERROR((VLOOKUP($A5843,HeadJournal!$A$1:$L$890,COLUMN(HeadJournal!L$1),0)*($K5843+$L5843)/(SUMIF($A:$A,$A5843,$K:$K)+SUMIF($A:$A,$A5843,$L:$L)))/VLOOKUP($A5843,HeadJournal!$A$1:$L$890,COLUMN(HeadJournal!H$1),0),0)</f>
        <v>0</v>
      </c>
      <c r="P5843" s="30">
        <f>IFERROR(SUM(K5843:O5843)*VLOOKUP($A5843,HeadJournal!$A$1:$L$890,COLUMN(HeadJournal!H$1),0),0)</f>
        <v>1411.1583488805968</v>
      </c>
      <c r="Q5843" s="29"/>
      <c r="R5843" s="31"/>
      <c r="S5843" s="31"/>
      <c r="T5843" s="95" t="str">
        <f t="shared" si="436"/>
        <v/>
      </c>
      <c r="U5843" s="32">
        <f t="shared" si="437"/>
        <v>-1411.1583488805968</v>
      </c>
      <c r="V5843" s="22" t="str">
        <f t="shared" si="438"/>
        <v/>
      </c>
      <c r="X5843" s="33"/>
      <c r="Y5843" s="33"/>
    </row>
    <row r="5844" spans="1:25" x14ac:dyDescent="0.2">
      <c r="A5844" s="93" t="s">
        <v>5725</v>
      </c>
      <c r="B5844" s="94" t="str">
        <f>IFERROR(VLOOKUP($A5844,HeadJournal!$A$1:$NTR$890,COLUMN(HeadJournal!B$1),0),"")</f>
        <v>722500700833</v>
      </c>
      <c r="C5844" s="94" t="str">
        <f>IFERROR(VLOOKUP($A5844,HeadJournal!$A$1:$NTR$890,COLUMN(HeadJournal!C$1),0),"")</f>
        <v>iHerb_MH DLE7202</v>
      </c>
      <c r="D5844" s="125" t="str">
        <f>IFERROR(VLOOKUP($A5844,HeadJournal!$A$1:$NTR$890,COLUMN(HeadJournal!D$1),0),"")</f>
        <v>В пути</v>
      </c>
      <c r="E5844" s="95">
        <f>IFERROR(VLOOKUP($A5844,HeadJournal!$A$1:$NTR$890,COLUMN(HeadJournal!G$1),0),"")</f>
        <v>46148</v>
      </c>
      <c r="F5844" s="95" t="str">
        <f t="shared" si="435"/>
        <v>2026 05</v>
      </c>
      <c r="G5844" s="97" t="s">
        <v>5</v>
      </c>
      <c r="H5844" s="161" t="s">
        <v>5718</v>
      </c>
      <c r="I5844" s="97" t="s">
        <v>2005</v>
      </c>
      <c r="J5844" s="97" t="s">
        <v>5719</v>
      </c>
      <c r="K5844" s="29">
        <v>21.24</v>
      </c>
      <c r="L5844" s="29">
        <v>-3.19</v>
      </c>
      <c r="M5844" s="30">
        <f>IFERROR(VLOOKUP($A5844,HeadJournal!$A$1:$J$890,COLUMN(HeadJournal!I$1),0)*($K5844+$L5844)/(SUMIF($A:$A,$A5844,$K:$K)+SUMIF($A:$A,$A5844,$L:$L)),0)</f>
        <v>-0.91297678275290184</v>
      </c>
      <c r="N5844" s="30">
        <f>IFERROR((VLOOKUP($A5844,HeadJournal!$A$1:$K$890,COLUMN(HeadJournal!K$1),0)-VLOOKUP($A5844,HeadJournal!$A$1:$K$890,COLUMN(HeadJournal!J$1),0))*($K5844+$L5844)/(SUMIF($A:$A,$A5844,$K:$K)+SUMIF($A:$A,$A5844,$L:$L)),0)</f>
        <v>-5.317287056579521E-15</v>
      </c>
      <c r="O5844" s="30">
        <f>IFERROR((VLOOKUP($A5844,HeadJournal!$A$1:$L$890,COLUMN(HeadJournal!L$1),0)*($K5844+$L5844)/(SUMIF($A:$A,$A5844,$K:$K)+SUMIF($A:$A,$A5844,$L:$L)))/VLOOKUP($A5844,HeadJournal!$A$1:$L$890,COLUMN(HeadJournal!H$1),0),0)</f>
        <v>0</v>
      </c>
      <c r="P5844" s="30">
        <f>IFERROR(SUM(K5844:O5844)*VLOOKUP($A5844,HeadJournal!$A$1:$L$890,COLUMN(HeadJournal!H$1),0),0)</f>
        <v>1476.6033737562184</v>
      </c>
      <c r="Q5844" s="29"/>
      <c r="R5844" s="31"/>
      <c r="S5844" s="31"/>
      <c r="T5844" s="95" t="str">
        <f t="shared" si="436"/>
        <v/>
      </c>
      <c r="U5844" s="32">
        <f t="shared" si="437"/>
        <v>-1476.6033737562184</v>
      </c>
      <c r="V5844" s="22" t="str">
        <f t="shared" si="438"/>
        <v/>
      </c>
      <c r="X5844" s="33"/>
      <c r="Y5844" s="33"/>
    </row>
    <row r="5845" spans="1:25" x14ac:dyDescent="0.2">
      <c r="A5845" s="93" t="s">
        <v>5725</v>
      </c>
      <c r="B5845" s="94" t="str">
        <f>IFERROR(VLOOKUP($A5845,HeadJournal!$A$1:$NTR$890,COLUMN(HeadJournal!B$1),0),"")</f>
        <v>722500700833</v>
      </c>
      <c r="C5845" s="94" t="str">
        <f>IFERROR(VLOOKUP($A5845,HeadJournal!$A$1:$NTR$890,COLUMN(HeadJournal!C$1),0),"")</f>
        <v>iHerb_MH DLE7202</v>
      </c>
      <c r="D5845" s="125" t="str">
        <f>IFERROR(VLOOKUP($A5845,HeadJournal!$A$1:$NTR$890,COLUMN(HeadJournal!D$1),0),"")</f>
        <v>В пути</v>
      </c>
      <c r="E5845" s="95">
        <f>IFERROR(VLOOKUP($A5845,HeadJournal!$A$1:$NTR$890,COLUMN(HeadJournal!G$1),0),"")</f>
        <v>46148</v>
      </c>
      <c r="F5845" s="95" t="str">
        <f t="shared" si="435"/>
        <v>2026 05</v>
      </c>
      <c r="G5845" s="97" t="s">
        <v>5</v>
      </c>
      <c r="H5845" s="161" t="s">
        <v>5463</v>
      </c>
      <c r="I5845" s="97" t="s">
        <v>2005</v>
      </c>
      <c r="J5845" s="97" t="s">
        <v>5720</v>
      </c>
      <c r="K5845" s="29">
        <v>30</v>
      </c>
      <c r="L5845" s="29">
        <v>-4.5</v>
      </c>
      <c r="M5845" s="30">
        <f>IFERROR(VLOOKUP($A5845,HeadJournal!$A$1:$J$890,COLUMN(HeadJournal!I$1),0)*($K5845+$L5845)/(SUMIF($A:$A,$A5845,$K:$K)+SUMIF($A:$A,$A5845,$L:$L)),0)</f>
        <v>-1.2898009950248754</v>
      </c>
      <c r="N5845" s="30">
        <f>IFERROR((VLOOKUP($A5845,HeadJournal!$A$1:$K$890,COLUMN(HeadJournal!K$1),0)-VLOOKUP($A5845,HeadJournal!$A$1:$K$890,COLUMN(HeadJournal!J$1),0))*($K5845+$L5845)/(SUMIF($A:$A,$A5845,$K:$K)+SUMIF($A:$A,$A5845,$L:$L)),0)</f>
        <v>-7.5119567835333968E-15</v>
      </c>
      <c r="O5845" s="30">
        <f>IFERROR((VLOOKUP($A5845,HeadJournal!$A$1:$L$890,COLUMN(HeadJournal!L$1),0)*($K5845+$L5845)/(SUMIF($A:$A,$A5845,$K:$K)+SUMIF($A:$A,$A5845,$L:$L)))/VLOOKUP($A5845,HeadJournal!$A$1:$L$890,COLUMN(HeadJournal!H$1),0),0)</f>
        <v>0</v>
      </c>
      <c r="P5845" s="30">
        <f>IFERROR(SUM(K5845:O5845)*VLOOKUP($A5845,HeadJournal!$A$1:$L$890,COLUMN(HeadJournal!H$1),0),0)</f>
        <v>2086.060167910447</v>
      </c>
      <c r="Q5845" s="29"/>
      <c r="R5845" s="31"/>
      <c r="S5845" s="31"/>
      <c r="T5845" s="95" t="str">
        <f t="shared" si="436"/>
        <v/>
      </c>
      <c r="U5845" s="32">
        <f t="shared" si="437"/>
        <v>-2086.060167910447</v>
      </c>
      <c r="V5845" s="22" t="str">
        <f t="shared" si="438"/>
        <v/>
      </c>
      <c r="X5845" s="33"/>
      <c r="Y5845" s="33"/>
    </row>
    <row r="5846" spans="1:25" x14ac:dyDescent="0.2">
      <c r="A5846" s="93" t="s">
        <v>5725</v>
      </c>
      <c r="B5846" s="94" t="str">
        <f>IFERROR(VLOOKUP($A5846,HeadJournal!$A$1:$NTR$890,COLUMN(HeadJournal!B$1),0),"")</f>
        <v>722500700833</v>
      </c>
      <c r="C5846" s="94" t="str">
        <f>IFERROR(VLOOKUP($A5846,HeadJournal!$A$1:$NTR$890,COLUMN(HeadJournal!C$1),0),"")</f>
        <v>iHerb_MH DLE7202</v>
      </c>
      <c r="D5846" s="125" t="str">
        <f>IFERROR(VLOOKUP($A5846,HeadJournal!$A$1:$NTR$890,COLUMN(HeadJournal!D$1),0),"")</f>
        <v>В пути</v>
      </c>
      <c r="E5846" s="95">
        <f>IFERROR(VLOOKUP($A5846,HeadJournal!$A$1:$NTR$890,COLUMN(HeadJournal!G$1),0),"")</f>
        <v>46148</v>
      </c>
      <c r="F5846" s="95" t="str">
        <f t="shared" si="435"/>
        <v>2026 05</v>
      </c>
      <c r="G5846" s="97" t="s">
        <v>5</v>
      </c>
      <c r="H5846" s="161" t="s">
        <v>3633</v>
      </c>
      <c r="I5846" s="97" t="s">
        <v>2008</v>
      </c>
      <c r="J5846" s="97" t="s">
        <v>4953</v>
      </c>
      <c r="K5846" s="29">
        <v>18.739999999999998</v>
      </c>
      <c r="L5846" s="29">
        <v>-2.81</v>
      </c>
      <c r="M5846" s="30">
        <f>IFERROR(VLOOKUP($A5846,HeadJournal!$A$1:$J$890,COLUMN(HeadJournal!I$1),0)*($K5846+$L5846)/(SUMIF($A:$A,$A5846,$K:$K)+SUMIF($A:$A,$A5846,$L:$L)),0)</f>
        <v>-0.80574626865671606</v>
      </c>
      <c r="N5846" s="30">
        <f>IFERROR((VLOOKUP($A5846,HeadJournal!$A$1:$K$890,COLUMN(HeadJournal!K$1),0)-VLOOKUP($A5846,HeadJournal!$A$1:$K$890,COLUMN(HeadJournal!J$1),0))*($K5846+$L5846)/(SUMIF($A:$A,$A5846,$K:$K)+SUMIF($A:$A,$A5846,$L:$L)),0)</f>
        <v>-4.6927635906543912E-15</v>
      </c>
      <c r="O5846" s="30">
        <f>IFERROR((VLOOKUP($A5846,HeadJournal!$A$1:$L$890,COLUMN(HeadJournal!L$1),0)*($K5846+$L5846)/(SUMIF($A:$A,$A5846,$K:$K)+SUMIF($A:$A,$A5846,$L:$L)))/VLOOKUP($A5846,HeadJournal!$A$1:$L$890,COLUMN(HeadJournal!H$1),0),0)</f>
        <v>0</v>
      </c>
      <c r="P5846" s="30">
        <f>IFERROR(SUM(K5846:O5846)*VLOOKUP($A5846,HeadJournal!$A$1:$L$890,COLUMN(HeadJournal!H$1),0),0)</f>
        <v>1303.1740578358203</v>
      </c>
      <c r="Q5846" s="29"/>
      <c r="R5846" s="31"/>
      <c r="S5846" s="31"/>
      <c r="T5846" s="95" t="str">
        <f t="shared" si="436"/>
        <v/>
      </c>
      <c r="U5846" s="32">
        <f t="shared" si="437"/>
        <v>-1303.1740578358203</v>
      </c>
      <c r="V5846" s="22" t="str">
        <f t="shared" si="438"/>
        <v/>
      </c>
      <c r="X5846" s="33"/>
      <c r="Y5846" s="33"/>
    </row>
    <row r="5847" spans="1:25" x14ac:dyDescent="0.2">
      <c r="A5847" s="93" t="s">
        <v>5725</v>
      </c>
      <c r="B5847" s="94" t="str">
        <f>IFERROR(VLOOKUP($A5847,HeadJournal!$A$1:$NTR$890,COLUMN(HeadJournal!B$1),0),"")</f>
        <v>722500700833</v>
      </c>
      <c r="C5847" s="94" t="str">
        <f>IFERROR(VLOOKUP($A5847,HeadJournal!$A$1:$NTR$890,COLUMN(HeadJournal!C$1),0),"")</f>
        <v>iHerb_MH DLE7202</v>
      </c>
      <c r="D5847" s="125" t="str">
        <f>IFERROR(VLOOKUP($A5847,HeadJournal!$A$1:$NTR$890,COLUMN(HeadJournal!D$1),0),"")</f>
        <v>В пути</v>
      </c>
      <c r="E5847" s="95">
        <f>IFERROR(VLOOKUP($A5847,HeadJournal!$A$1:$NTR$890,COLUMN(HeadJournal!G$1),0),"")</f>
        <v>46148</v>
      </c>
      <c r="F5847" s="95" t="str">
        <f t="shared" si="435"/>
        <v>2026 05</v>
      </c>
      <c r="G5847" s="97" t="s">
        <v>5</v>
      </c>
      <c r="H5847" s="161" t="s">
        <v>3633</v>
      </c>
      <c r="I5847" s="97" t="s">
        <v>2008</v>
      </c>
      <c r="J5847" s="97" t="s">
        <v>4953</v>
      </c>
      <c r="K5847" s="29">
        <v>18.739999999999998</v>
      </c>
      <c r="L5847" s="29">
        <v>-2.81</v>
      </c>
      <c r="M5847" s="30">
        <f>IFERROR(VLOOKUP($A5847,HeadJournal!$A$1:$J$890,COLUMN(HeadJournal!I$1),0)*($K5847+$L5847)/(SUMIF($A:$A,$A5847,$K:$K)+SUMIF($A:$A,$A5847,$L:$L)),0)</f>
        <v>-0.80574626865671606</v>
      </c>
      <c r="N5847" s="30">
        <f>IFERROR((VLOOKUP($A5847,HeadJournal!$A$1:$K$890,COLUMN(HeadJournal!K$1),0)-VLOOKUP($A5847,HeadJournal!$A$1:$K$890,COLUMN(HeadJournal!J$1),0))*($K5847+$L5847)/(SUMIF($A:$A,$A5847,$K:$K)+SUMIF($A:$A,$A5847,$L:$L)),0)</f>
        <v>-4.6927635906543912E-15</v>
      </c>
      <c r="O5847" s="30">
        <f>IFERROR((VLOOKUP($A5847,HeadJournal!$A$1:$L$890,COLUMN(HeadJournal!L$1),0)*($K5847+$L5847)/(SUMIF($A:$A,$A5847,$K:$K)+SUMIF($A:$A,$A5847,$L:$L)))/VLOOKUP($A5847,HeadJournal!$A$1:$L$890,COLUMN(HeadJournal!H$1),0),0)</f>
        <v>0</v>
      </c>
      <c r="P5847" s="30">
        <f>IFERROR(SUM(K5847:O5847)*VLOOKUP($A5847,HeadJournal!$A$1:$L$890,COLUMN(HeadJournal!H$1),0),0)</f>
        <v>1303.1740578358203</v>
      </c>
      <c r="Q5847" s="29"/>
      <c r="R5847" s="31"/>
      <c r="S5847" s="31"/>
      <c r="T5847" s="95" t="str">
        <f t="shared" si="436"/>
        <v/>
      </c>
      <c r="U5847" s="32">
        <f t="shared" si="437"/>
        <v>-1303.1740578358203</v>
      </c>
      <c r="V5847" s="22" t="str">
        <f t="shared" si="438"/>
        <v/>
      </c>
      <c r="X5847" s="33"/>
      <c r="Y5847" s="33"/>
    </row>
    <row r="5848" spans="1:25" x14ac:dyDescent="0.2">
      <c r="A5848" s="93" t="s">
        <v>5725</v>
      </c>
      <c r="B5848" s="94" t="str">
        <f>IFERROR(VLOOKUP($A5848,HeadJournal!$A$1:$NTR$890,COLUMN(HeadJournal!B$1),0),"")</f>
        <v>722500700833</v>
      </c>
      <c r="C5848" s="94" t="str">
        <f>IFERROR(VLOOKUP($A5848,HeadJournal!$A$1:$NTR$890,COLUMN(HeadJournal!C$1),0),"")</f>
        <v>iHerb_MH DLE7202</v>
      </c>
      <c r="D5848" s="125" t="str">
        <f>IFERROR(VLOOKUP($A5848,HeadJournal!$A$1:$NTR$890,COLUMN(HeadJournal!D$1),0),"")</f>
        <v>В пути</v>
      </c>
      <c r="E5848" s="95">
        <f>IFERROR(VLOOKUP($A5848,HeadJournal!$A$1:$NTR$890,COLUMN(HeadJournal!G$1),0),"")</f>
        <v>46148</v>
      </c>
      <c r="F5848" s="95" t="str">
        <f t="shared" si="435"/>
        <v>2026 05</v>
      </c>
      <c r="G5848" s="97" t="s">
        <v>5</v>
      </c>
      <c r="H5848" s="161" t="s">
        <v>5721</v>
      </c>
      <c r="I5848" s="97" t="s">
        <v>5722</v>
      </c>
      <c r="J5848" s="97" t="s">
        <v>5723</v>
      </c>
      <c r="K5848" s="29">
        <v>16.8</v>
      </c>
      <c r="L5848" s="29">
        <v>-2.52</v>
      </c>
      <c r="M5848" s="30">
        <f>IFERROR(VLOOKUP($A5848,HeadJournal!$A$1:$J$890,COLUMN(HeadJournal!I$1),0)*($K5848+$L5848)/(SUMIF($A:$A,$A5848,$K:$K)+SUMIF($A:$A,$A5848,$L:$L)),0)</f>
        <v>-0.72228855721393026</v>
      </c>
      <c r="N5848" s="30">
        <f>IFERROR((VLOOKUP($A5848,HeadJournal!$A$1:$K$890,COLUMN(HeadJournal!K$1),0)-VLOOKUP($A5848,HeadJournal!$A$1:$K$890,COLUMN(HeadJournal!J$1),0))*($K5848+$L5848)/(SUMIF($A:$A,$A5848,$K:$K)+SUMIF($A:$A,$A5848,$L:$L)),0)</f>
        <v>-4.2066957987787024E-15</v>
      </c>
      <c r="O5848" s="30">
        <f>IFERROR((VLOOKUP($A5848,HeadJournal!$A$1:$L$890,COLUMN(HeadJournal!L$1),0)*($K5848+$L5848)/(SUMIF($A:$A,$A5848,$K:$K)+SUMIF($A:$A,$A5848,$L:$L)))/VLOOKUP($A5848,HeadJournal!$A$1:$L$890,COLUMN(HeadJournal!H$1),0),0)</f>
        <v>0</v>
      </c>
      <c r="P5848" s="30">
        <f>IFERROR(SUM(K5848:O5848)*VLOOKUP($A5848,HeadJournal!$A$1:$L$890,COLUMN(HeadJournal!H$1),0),0)</f>
        <v>1168.1936940298506</v>
      </c>
      <c r="Q5848" s="29"/>
      <c r="R5848" s="31"/>
      <c r="S5848" s="31"/>
      <c r="T5848" s="95" t="str">
        <f t="shared" si="436"/>
        <v/>
      </c>
      <c r="U5848" s="32">
        <f t="shared" si="437"/>
        <v>-1168.1936940298506</v>
      </c>
      <c r="V5848" s="22" t="str">
        <f t="shared" si="438"/>
        <v/>
      </c>
      <c r="X5848" s="33"/>
      <c r="Y5848" s="33"/>
    </row>
    <row r="5849" spans="1:25" x14ac:dyDescent="0.2">
      <c r="A5849" s="93" t="s">
        <v>5725</v>
      </c>
      <c r="B5849" s="94" t="str">
        <f>IFERROR(VLOOKUP($A5849,HeadJournal!$A$1:$NTR$890,COLUMN(HeadJournal!B$1),0),"")</f>
        <v>722500700833</v>
      </c>
      <c r="C5849" s="94" t="str">
        <f>IFERROR(VLOOKUP($A5849,HeadJournal!$A$1:$NTR$890,COLUMN(HeadJournal!C$1),0),"")</f>
        <v>iHerb_MH DLE7202</v>
      </c>
      <c r="D5849" s="125" t="str">
        <f>IFERROR(VLOOKUP($A5849,HeadJournal!$A$1:$NTR$890,COLUMN(HeadJournal!D$1),0),"")</f>
        <v>В пути</v>
      </c>
      <c r="E5849" s="95">
        <f>IFERROR(VLOOKUP($A5849,HeadJournal!$A$1:$NTR$890,COLUMN(HeadJournal!G$1),0),"")</f>
        <v>46148</v>
      </c>
      <c r="F5849" s="95" t="str">
        <f t="shared" si="435"/>
        <v>2026 05</v>
      </c>
      <c r="G5849" s="97" t="s">
        <v>5</v>
      </c>
      <c r="H5849" s="161" t="s">
        <v>2488</v>
      </c>
      <c r="I5849" s="97" t="s">
        <v>2005</v>
      </c>
      <c r="J5849" s="97" t="s">
        <v>2489</v>
      </c>
      <c r="K5849" s="29">
        <v>21.24</v>
      </c>
      <c r="L5849" s="29">
        <v>-3.1850000000000001</v>
      </c>
      <c r="M5849" s="30">
        <f>IFERROR(VLOOKUP($A5849,HeadJournal!$A$1:$J$890,COLUMN(HeadJournal!I$1),0)*($K5849+$L5849)/(SUMIF($A:$A,$A5849,$K:$K)+SUMIF($A:$A,$A5849,$L:$L)),0)</f>
        <v>-0.9132296849087892</v>
      </c>
      <c r="N5849" s="30">
        <f>IFERROR((VLOOKUP($A5849,HeadJournal!$A$1:$K$890,COLUMN(HeadJournal!K$1),0)-VLOOKUP($A5849,HeadJournal!$A$1:$K$890,COLUMN(HeadJournal!J$1),0))*($K5849+$L5849)/(SUMIF($A:$A,$A5849,$K:$K)+SUMIF($A:$A,$A5849,$L:$L)),0)</f>
        <v>-5.3187599892821749E-15</v>
      </c>
      <c r="O5849" s="30">
        <f>IFERROR((VLOOKUP($A5849,HeadJournal!$A$1:$L$890,COLUMN(HeadJournal!L$1),0)*($K5849+$L5849)/(SUMIF($A:$A,$A5849,$K:$K)+SUMIF($A:$A,$A5849,$L:$L)))/VLOOKUP($A5849,HeadJournal!$A$1:$L$890,COLUMN(HeadJournal!H$1),0),0)</f>
        <v>0</v>
      </c>
      <c r="P5849" s="30">
        <f>IFERROR(SUM(K5849:O5849)*VLOOKUP($A5849,HeadJournal!$A$1:$L$890,COLUMN(HeadJournal!H$1),0),0)</f>
        <v>1477.0124051616913</v>
      </c>
      <c r="Q5849" s="29"/>
      <c r="R5849" s="31"/>
      <c r="S5849" s="31"/>
      <c r="T5849" s="95" t="str">
        <f t="shared" si="436"/>
        <v/>
      </c>
      <c r="U5849" s="32">
        <f t="shared" si="437"/>
        <v>-1477.0124051616913</v>
      </c>
      <c r="V5849" s="22" t="str">
        <f t="shared" si="438"/>
        <v/>
      </c>
      <c r="X5849" s="33"/>
      <c r="Y5849" s="33"/>
    </row>
    <row r="5850" spans="1:25" x14ac:dyDescent="0.2">
      <c r="A5850" s="93" t="s">
        <v>5725</v>
      </c>
      <c r="B5850" s="94" t="str">
        <f>IFERROR(VLOOKUP($A5850,HeadJournal!$A$1:$NTR$890,COLUMN(HeadJournal!B$1),0),"")</f>
        <v>722500700833</v>
      </c>
      <c r="C5850" s="94" t="str">
        <f>IFERROR(VLOOKUP($A5850,HeadJournal!$A$1:$NTR$890,COLUMN(HeadJournal!C$1),0),"")</f>
        <v>iHerb_MH DLE7202</v>
      </c>
      <c r="D5850" s="125" t="str">
        <f>IFERROR(VLOOKUP($A5850,HeadJournal!$A$1:$NTR$890,COLUMN(HeadJournal!D$1),0),"")</f>
        <v>В пути</v>
      </c>
      <c r="E5850" s="95">
        <f>IFERROR(VLOOKUP($A5850,HeadJournal!$A$1:$NTR$890,COLUMN(HeadJournal!G$1),0),"")</f>
        <v>46148</v>
      </c>
      <c r="F5850" s="95" t="str">
        <f t="shared" si="435"/>
        <v>2026 05</v>
      </c>
      <c r="G5850" s="97" t="s">
        <v>5</v>
      </c>
      <c r="H5850" s="161" t="s">
        <v>2488</v>
      </c>
      <c r="I5850" s="97" t="s">
        <v>2005</v>
      </c>
      <c r="J5850" s="97" t="s">
        <v>2489</v>
      </c>
      <c r="K5850" s="29">
        <v>21.24</v>
      </c>
      <c r="L5850" s="29">
        <v>-3.1850000000000001</v>
      </c>
      <c r="M5850" s="30">
        <f>IFERROR(VLOOKUP($A5850,HeadJournal!$A$1:$J$890,COLUMN(HeadJournal!I$1),0)*($K5850+$L5850)/(SUMIF($A:$A,$A5850,$K:$K)+SUMIF($A:$A,$A5850,$L:$L)),0)</f>
        <v>-0.9132296849087892</v>
      </c>
      <c r="N5850" s="30">
        <f>IFERROR((VLOOKUP($A5850,HeadJournal!$A$1:$K$890,COLUMN(HeadJournal!K$1),0)-VLOOKUP($A5850,HeadJournal!$A$1:$K$890,COLUMN(HeadJournal!J$1),0))*($K5850+$L5850)/(SUMIF($A:$A,$A5850,$K:$K)+SUMIF($A:$A,$A5850,$L:$L)),0)</f>
        <v>-5.3187599892821749E-15</v>
      </c>
      <c r="O5850" s="30">
        <f>IFERROR((VLOOKUP($A5850,HeadJournal!$A$1:$L$890,COLUMN(HeadJournal!L$1),0)*($K5850+$L5850)/(SUMIF($A:$A,$A5850,$K:$K)+SUMIF($A:$A,$A5850,$L:$L)))/VLOOKUP($A5850,HeadJournal!$A$1:$L$890,COLUMN(HeadJournal!H$1),0),0)</f>
        <v>0</v>
      </c>
      <c r="P5850" s="30">
        <f>IFERROR(SUM(K5850:O5850)*VLOOKUP($A5850,HeadJournal!$A$1:$L$890,COLUMN(HeadJournal!H$1),0),0)</f>
        <v>1477.0124051616913</v>
      </c>
      <c r="Q5850" s="29"/>
      <c r="R5850" s="31"/>
      <c r="S5850" s="31"/>
      <c r="T5850" s="95" t="str">
        <f t="shared" si="436"/>
        <v/>
      </c>
      <c r="U5850" s="32">
        <f t="shared" si="437"/>
        <v>-1477.0124051616913</v>
      </c>
      <c r="V5850" s="22" t="str">
        <f t="shared" si="438"/>
        <v/>
      </c>
      <c r="X5850" s="33"/>
      <c r="Y5850" s="33"/>
    </row>
    <row r="5851" spans="1:25" x14ac:dyDescent="0.2">
      <c r="A5851" s="93" t="s">
        <v>5725</v>
      </c>
      <c r="B5851" s="94" t="str">
        <f>IFERROR(VLOOKUP($A5851,HeadJournal!$A$1:$NTR$890,COLUMN(HeadJournal!B$1),0),"")</f>
        <v>722500700833</v>
      </c>
      <c r="C5851" s="94" t="str">
        <f>IFERROR(VLOOKUP($A5851,HeadJournal!$A$1:$NTR$890,COLUMN(HeadJournal!C$1),0),"")</f>
        <v>iHerb_MH DLE7202</v>
      </c>
      <c r="D5851" s="125" t="str">
        <f>IFERROR(VLOOKUP($A5851,HeadJournal!$A$1:$NTR$890,COLUMN(HeadJournal!D$1),0),"")</f>
        <v>В пути</v>
      </c>
      <c r="E5851" s="95">
        <f>IFERROR(VLOOKUP($A5851,HeadJournal!$A$1:$NTR$890,COLUMN(HeadJournal!G$1),0),"")</f>
        <v>46148</v>
      </c>
      <c r="F5851" s="95" t="str">
        <f t="shared" si="435"/>
        <v>2026 05</v>
      </c>
      <c r="G5851" s="97" t="s">
        <v>5</v>
      </c>
      <c r="H5851" s="161" t="s">
        <v>2475</v>
      </c>
      <c r="I5851" s="97" t="s">
        <v>2005</v>
      </c>
      <c r="J5851" s="97" t="s">
        <v>5724</v>
      </c>
      <c r="K5851" s="29">
        <v>14.4</v>
      </c>
      <c r="L5851" s="29">
        <v>-2.16</v>
      </c>
      <c r="M5851" s="30">
        <f>IFERROR(VLOOKUP($A5851,HeadJournal!$A$1:$J$890,COLUMN(HeadJournal!I$1),0)*($K5851+$L5851)/(SUMIF($A:$A,$A5851,$K:$K)+SUMIF($A:$A,$A5851,$L:$L)),0)</f>
        <v>-0.61910447761194021</v>
      </c>
      <c r="N5851" s="30">
        <f>IFERROR((VLOOKUP($A5851,HeadJournal!$A$1:$K$890,COLUMN(HeadJournal!K$1),0)-VLOOKUP($A5851,HeadJournal!$A$1:$K$890,COLUMN(HeadJournal!J$1),0))*($K5851+$L5851)/(SUMIF($A:$A,$A5851,$K:$K)+SUMIF($A:$A,$A5851,$L:$L)),0)</f>
        <v>-3.6057392560960302E-15</v>
      </c>
      <c r="O5851" s="30">
        <f>IFERROR((VLOOKUP($A5851,HeadJournal!$A$1:$L$890,COLUMN(HeadJournal!L$1),0)*($K5851+$L5851)/(SUMIF($A:$A,$A5851,$K:$K)+SUMIF($A:$A,$A5851,$L:$L)))/VLOOKUP($A5851,HeadJournal!$A$1:$L$890,COLUMN(HeadJournal!H$1),0),0)</f>
        <v>0</v>
      </c>
      <c r="P5851" s="30">
        <f>IFERROR(SUM(K5851:O5851)*VLOOKUP($A5851,HeadJournal!$A$1:$L$890,COLUMN(HeadJournal!H$1),0),0)</f>
        <v>1001.3088805970148</v>
      </c>
      <c r="Q5851" s="29"/>
      <c r="R5851" s="31"/>
      <c r="S5851" s="31"/>
      <c r="T5851" s="95" t="str">
        <f t="shared" si="436"/>
        <v/>
      </c>
      <c r="U5851" s="32">
        <f t="shared" si="437"/>
        <v>-1001.3088805970148</v>
      </c>
      <c r="V5851" s="22" t="str">
        <f t="shared" si="438"/>
        <v/>
      </c>
      <c r="X5851" s="33"/>
      <c r="Y5851" s="33"/>
    </row>
    <row r="5852" spans="1:25" x14ac:dyDescent="0.2">
      <c r="A5852" s="93" t="s">
        <v>5725</v>
      </c>
      <c r="B5852" s="94" t="str">
        <f>IFERROR(VLOOKUP($A5852,HeadJournal!$A$1:$NTR$890,COLUMN(HeadJournal!B$1),0),"")</f>
        <v>722500700833</v>
      </c>
      <c r="C5852" s="94" t="str">
        <f>IFERROR(VLOOKUP($A5852,HeadJournal!$A$1:$NTR$890,COLUMN(HeadJournal!C$1),0),"")</f>
        <v>iHerb_MH DLE7202</v>
      </c>
      <c r="D5852" s="125" t="str">
        <f>IFERROR(VLOOKUP($A5852,HeadJournal!$A$1:$NTR$890,COLUMN(HeadJournal!D$1),0),"")</f>
        <v>В пути</v>
      </c>
      <c r="E5852" s="95">
        <f>IFERROR(VLOOKUP($A5852,HeadJournal!$A$1:$NTR$890,COLUMN(HeadJournal!G$1),0),"")</f>
        <v>46148</v>
      </c>
      <c r="F5852" s="95" t="str">
        <f t="shared" si="435"/>
        <v>2026 05</v>
      </c>
      <c r="G5852" s="97" t="s">
        <v>5</v>
      </c>
      <c r="H5852" s="161" t="s">
        <v>2475</v>
      </c>
      <c r="I5852" s="97" t="s">
        <v>2005</v>
      </c>
      <c r="J5852" s="97" t="s">
        <v>5724</v>
      </c>
      <c r="K5852" s="29">
        <v>14.4</v>
      </c>
      <c r="L5852" s="29">
        <v>-2.16</v>
      </c>
      <c r="M5852" s="30">
        <f>IFERROR(VLOOKUP($A5852,HeadJournal!$A$1:$J$890,COLUMN(HeadJournal!I$1),0)*($K5852+$L5852)/(SUMIF($A:$A,$A5852,$K:$K)+SUMIF($A:$A,$A5852,$L:$L)),0)</f>
        <v>-0.61910447761194021</v>
      </c>
      <c r="N5852" s="30">
        <f>IFERROR((VLOOKUP($A5852,HeadJournal!$A$1:$K$890,COLUMN(HeadJournal!K$1),0)-VLOOKUP($A5852,HeadJournal!$A$1:$K$890,COLUMN(HeadJournal!J$1),0))*($K5852+$L5852)/(SUMIF($A:$A,$A5852,$K:$K)+SUMIF($A:$A,$A5852,$L:$L)),0)</f>
        <v>-3.6057392560960302E-15</v>
      </c>
      <c r="O5852" s="30">
        <f>IFERROR((VLOOKUP($A5852,HeadJournal!$A$1:$L$890,COLUMN(HeadJournal!L$1),0)*($K5852+$L5852)/(SUMIF($A:$A,$A5852,$K:$K)+SUMIF($A:$A,$A5852,$L:$L)))/VLOOKUP($A5852,HeadJournal!$A$1:$L$890,COLUMN(HeadJournal!H$1),0),0)</f>
        <v>0</v>
      </c>
      <c r="P5852" s="30">
        <f>IFERROR(SUM(K5852:O5852)*VLOOKUP($A5852,HeadJournal!$A$1:$L$890,COLUMN(HeadJournal!H$1),0),0)</f>
        <v>1001.3088805970148</v>
      </c>
      <c r="Q5852" s="29"/>
      <c r="R5852" s="31"/>
      <c r="S5852" s="31"/>
      <c r="T5852" s="95" t="str">
        <f t="shared" si="436"/>
        <v/>
      </c>
      <c r="U5852" s="32">
        <f t="shared" si="437"/>
        <v>-1001.3088805970148</v>
      </c>
      <c r="V5852" s="22" t="str">
        <f t="shared" si="438"/>
        <v/>
      </c>
      <c r="X5852" s="33"/>
      <c r="Y5852" s="33"/>
    </row>
    <row r="5853" spans="1:25" x14ac:dyDescent="0.2">
      <c r="A5853" s="93" t="s">
        <v>5732</v>
      </c>
      <c r="B5853" s="94" t="str">
        <f>IFERROR(VLOOKUP($A5853,HeadJournal!$A$1:$NTR$890,COLUMN(HeadJournal!B$1),0),"")</f>
        <v>720001038216</v>
      </c>
      <c r="C5853" s="94" t="str">
        <f>IFERROR(VLOOKUP($A5853,HeadJournal!$A$1:$NTR$890,COLUMN(HeadJournal!C$1),0),"")</f>
        <v>iHerb_AV CYG0792</v>
      </c>
      <c r="D5853" s="125" t="str">
        <f>IFERROR(VLOOKUP($A5853,HeadJournal!$A$1:$NTR$890,COLUMN(HeadJournal!D$1),0),"")</f>
        <v>В пути</v>
      </c>
      <c r="E5853" s="95">
        <f>IFERROR(VLOOKUP($A5853,HeadJournal!$A$1:$NTR$890,COLUMN(HeadJournal!G$1),0),"")</f>
        <v>46156</v>
      </c>
      <c r="F5853" s="95" t="str">
        <f t="shared" si="435"/>
        <v>2026 05</v>
      </c>
      <c r="G5853" s="97" t="s">
        <v>5</v>
      </c>
      <c r="H5853" s="161" t="s">
        <v>5727</v>
      </c>
      <c r="I5853" s="97" t="s">
        <v>2005</v>
      </c>
      <c r="J5853" s="97" t="s">
        <v>5728</v>
      </c>
      <c r="K5853" s="29">
        <v>27.31</v>
      </c>
      <c r="L5853" s="29">
        <v>-5.46</v>
      </c>
      <c r="M5853" s="30">
        <f>IFERROR(VLOOKUP($A5853,HeadJournal!$A$1:$J$890,COLUMN(HeadJournal!I$1),0)*($K5853+$L5853)/(SUMIF($A:$A,$A5853,$K:$K)+SUMIF($A:$A,$A5853,$L:$L)),0)</f>
        <v>-1.1053176900807558</v>
      </c>
      <c r="N5853" s="30">
        <f>IFERROR((VLOOKUP($A5853,HeadJournal!$A$1:$K$890,COLUMN(HeadJournal!K$1),0)-VLOOKUP($A5853,HeadJournal!$A$1:$K$890,COLUMN(HeadJournal!J$1),0))*($K5853+$L5853)/(SUMIF($A:$A,$A5853,$K:$K)+SUMIF($A:$A,$A5853,$L:$L)),0)</f>
        <v>3.1541182947550792E-15</v>
      </c>
      <c r="O5853" s="30">
        <f>IFERROR((VLOOKUP($A5853,HeadJournal!$A$1:$L$890,COLUMN(HeadJournal!L$1),0)*($K5853+$L5853)/(SUMIF($A:$A,$A5853,$K:$K)+SUMIF($A:$A,$A5853,$L:$L)))/VLOOKUP($A5853,HeadJournal!$A$1:$L$890,COLUMN(HeadJournal!H$1),0),0)</f>
        <v>0</v>
      </c>
      <c r="P5853" s="30">
        <f>IFERROR(SUM(K5853:O5853)*VLOOKUP($A5853,HeadJournal!$A$1:$L$890,COLUMN(HeadJournal!H$1),0),0)</f>
        <v>1755.3033089542387</v>
      </c>
      <c r="Q5853" s="29"/>
      <c r="R5853" s="31"/>
      <c r="S5853" s="31"/>
      <c r="T5853" s="95" t="str">
        <f t="shared" si="436"/>
        <v/>
      </c>
      <c r="U5853" s="32">
        <f t="shared" si="437"/>
        <v>-1755.3033089542387</v>
      </c>
      <c r="V5853" s="22" t="str">
        <f t="shared" si="438"/>
        <v/>
      </c>
      <c r="X5853" s="33"/>
      <c r="Y5853" s="33"/>
    </row>
    <row r="5854" spans="1:25" x14ac:dyDescent="0.2">
      <c r="A5854" s="93" t="s">
        <v>5732</v>
      </c>
      <c r="B5854" s="94" t="str">
        <f>IFERROR(VLOOKUP($A5854,HeadJournal!$A$1:$NTR$890,COLUMN(HeadJournal!B$1),0),"")</f>
        <v>720001038216</v>
      </c>
      <c r="C5854" s="94" t="str">
        <f>IFERROR(VLOOKUP($A5854,HeadJournal!$A$1:$NTR$890,COLUMN(HeadJournal!C$1),0),"")</f>
        <v>iHerb_AV CYG0792</v>
      </c>
      <c r="D5854" s="125" t="str">
        <f>IFERROR(VLOOKUP($A5854,HeadJournal!$A$1:$NTR$890,COLUMN(HeadJournal!D$1),0),"")</f>
        <v>В пути</v>
      </c>
      <c r="E5854" s="95">
        <f>IFERROR(VLOOKUP($A5854,HeadJournal!$A$1:$NTR$890,COLUMN(HeadJournal!G$1),0),"")</f>
        <v>46156</v>
      </c>
      <c r="F5854" s="95" t="str">
        <f t="shared" si="435"/>
        <v>2026 05</v>
      </c>
      <c r="G5854" s="97" t="s">
        <v>5</v>
      </c>
      <c r="H5854" s="161" t="s">
        <v>2016</v>
      </c>
      <c r="I5854" s="97" t="s">
        <v>2005</v>
      </c>
      <c r="J5854" s="97" t="s">
        <v>2017</v>
      </c>
      <c r="K5854" s="29">
        <v>41.96</v>
      </c>
      <c r="L5854" s="29">
        <v>-8.39</v>
      </c>
      <c r="M5854" s="30">
        <f>IFERROR(VLOOKUP($A5854,HeadJournal!$A$1:$J$890,COLUMN(HeadJournal!I$1),0)*($K5854+$L5854)/(SUMIF($A:$A,$A5854,$K:$K)+SUMIF($A:$A,$A5854,$L:$L)),0)</f>
        <v>-1.6981928995886031</v>
      </c>
      <c r="N5854" s="30">
        <f>IFERROR((VLOOKUP($A5854,HeadJournal!$A$1:$K$890,COLUMN(HeadJournal!K$1),0)-VLOOKUP($A5854,HeadJournal!$A$1:$K$890,COLUMN(HeadJournal!J$1),0))*($K5854+$L5854)/(SUMIF($A:$A,$A5854,$K:$K)+SUMIF($A:$A,$A5854,$L:$L)),0)</f>
        <v>4.8459382679600928E-15</v>
      </c>
      <c r="O5854" s="30">
        <f>IFERROR((VLOOKUP($A5854,HeadJournal!$A$1:$L$890,COLUMN(HeadJournal!L$1),0)*($K5854+$L5854)/(SUMIF($A:$A,$A5854,$K:$K)+SUMIF($A:$A,$A5854,$L:$L)))/VLOOKUP($A5854,HeadJournal!$A$1:$L$890,COLUMN(HeadJournal!H$1),0),0)</f>
        <v>0</v>
      </c>
      <c r="P5854" s="30">
        <f>IFERROR(SUM(K5854:O5854)*VLOOKUP($A5854,HeadJournal!$A$1:$L$890,COLUMN(HeadJournal!H$1),0),0)</f>
        <v>2696.8206902331258</v>
      </c>
      <c r="Q5854" s="29"/>
      <c r="R5854" s="31"/>
      <c r="S5854" s="31"/>
      <c r="T5854" s="95" t="str">
        <f t="shared" si="436"/>
        <v/>
      </c>
      <c r="U5854" s="32">
        <f t="shared" si="437"/>
        <v>-2696.8206902331258</v>
      </c>
      <c r="V5854" s="22" t="str">
        <f t="shared" si="438"/>
        <v/>
      </c>
      <c r="X5854" s="33"/>
      <c r="Y5854" s="33"/>
    </row>
    <row r="5855" spans="1:25" x14ac:dyDescent="0.2">
      <c r="A5855" s="93" t="s">
        <v>5732</v>
      </c>
      <c r="B5855" s="94" t="str">
        <f>IFERROR(VLOOKUP($A5855,HeadJournal!$A$1:$NTR$890,COLUMN(HeadJournal!B$1),0),"")</f>
        <v>720001038216</v>
      </c>
      <c r="C5855" s="94" t="str">
        <f>IFERROR(VLOOKUP($A5855,HeadJournal!$A$1:$NTR$890,COLUMN(HeadJournal!C$1),0),"")</f>
        <v>iHerb_AV CYG0792</v>
      </c>
      <c r="D5855" s="125" t="str">
        <f>IFERROR(VLOOKUP($A5855,HeadJournal!$A$1:$NTR$890,COLUMN(HeadJournal!D$1),0),"")</f>
        <v>В пути</v>
      </c>
      <c r="E5855" s="95">
        <f>IFERROR(VLOOKUP($A5855,HeadJournal!$A$1:$NTR$890,COLUMN(HeadJournal!G$1),0),"")</f>
        <v>46156</v>
      </c>
      <c r="F5855" s="95" t="str">
        <f t="shared" si="435"/>
        <v>2026 05</v>
      </c>
      <c r="G5855" s="97" t="s">
        <v>5</v>
      </c>
      <c r="H5855" s="161" t="s">
        <v>2624</v>
      </c>
      <c r="I5855" s="97" t="s">
        <v>2005</v>
      </c>
      <c r="J5855" s="97" t="s">
        <v>5611</v>
      </c>
      <c r="K5855" s="29">
        <v>25.05</v>
      </c>
      <c r="L5855" s="29">
        <v>-5.01</v>
      </c>
      <c r="M5855" s="30">
        <f>IFERROR(VLOOKUP($A5855,HeadJournal!$A$1:$J$890,COLUMN(HeadJournal!I$1),0)*($K5855+$L5855)/(SUMIF($A:$A,$A5855,$K:$K)+SUMIF($A:$A,$A5855,$L:$L)),0)</f>
        <v>-1.0137559043120525</v>
      </c>
      <c r="N5855" s="30">
        <f>IFERROR((VLOOKUP($A5855,HeadJournal!$A$1:$K$890,COLUMN(HeadJournal!K$1),0)-VLOOKUP($A5855,HeadJournal!$A$1:$K$890,COLUMN(HeadJournal!J$1),0))*($K5855+$L5855)/(SUMIF($A:$A,$A5855,$K:$K)+SUMIF($A:$A,$A5855,$L:$L)),0)</f>
        <v>2.8928389302925306E-15</v>
      </c>
      <c r="O5855" s="30">
        <f>IFERROR((VLOOKUP($A5855,HeadJournal!$A$1:$L$890,COLUMN(HeadJournal!L$1),0)*($K5855+$L5855)/(SUMIF($A:$A,$A5855,$K:$K)+SUMIF($A:$A,$A5855,$L:$L)))/VLOOKUP($A5855,HeadJournal!$A$1:$L$890,COLUMN(HeadJournal!H$1),0),0)</f>
        <v>0</v>
      </c>
      <c r="P5855" s="30">
        <f>IFERROR(SUM(K5855:O5855)*VLOOKUP($A5855,HeadJournal!$A$1:$L$890,COLUMN(HeadJournal!H$1),0),0)</f>
        <v>1609.8983208898374</v>
      </c>
      <c r="Q5855" s="29"/>
      <c r="R5855" s="31"/>
      <c r="S5855" s="31"/>
      <c r="T5855" s="95" t="str">
        <f t="shared" si="436"/>
        <v/>
      </c>
      <c r="U5855" s="32">
        <f t="shared" si="437"/>
        <v>-1609.8983208898374</v>
      </c>
      <c r="V5855" s="22" t="str">
        <f t="shared" si="438"/>
        <v/>
      </c>
      <c r="X5855" s="33"/>
      <c r="Y5855" s="33"/>
    </row>
    <row r="5856" spans="1:25" x14ac:dyDescent="0.2">
      <c r="A5856" s="93" t="s">
        <v>5732</v>
      </c>
      <c r="B5856" s="94" t="str">
        <f>IFERROR(VLOOKUP($A5856,HeadJournal!$A$1:$NTR$890,COLUMN(HeadJournal!B$1),0),"")</f>
        <v>720001038216</v>
      </c>
      <c r="C5856" s="94" t="str">
        <f>IFERROR(VLOOKUP($A5856,HeadJournal!$A$1:$NTR$890,COLUMN(HeadJournal!C$1),0),"")</f>
        <v>iHerb_AV CYG0792</v>
      </c>
      <c r="D5856" s="125" t="str">
        <f>IFERROR(VLOOKUP($A5856,HeadJournal!$A$1:$NTR$890,COLUMN(HeadJournal!D$1),0),"")</f>
        <v>В пути</v>
      </c>
      <c r="E5856" s="95">
        <f>IFERROR(VLOOKUP($A5856,HeadJournal!$A$1:$NTR$890,COLUMN(HeadJournal!G$1),0),"")</f>
        <v>46156</v>
      </c>
      <c r="F5856" s="95" t="str">
        <f t="shared" si="435"/>
        <v>2026 05</v>
      </c>
      <c r="G5856" s="97" t="s">
        <v>5</v>
      </c>
      <c r="H5856" s="161" t="s">
        <v>2051</v>
      </c>
      <c r="I5856" s="97" t="s">
        <v>2052</v>
      </c>
      <c r="J5856" s="97" t="s">
        <v>5583</v>
      </c>
      <c r="K5856" s="29">
        <v>20.25</v>
      </c>
      <c r="L5856" s="29">
        <v>-4.05</v>
      </c>
      <c r="M5856" s="30">
        <f>IFERROR(VLOOKUP($A5856,HeadJournal!$A$1:$J$890,COLUMN(HeadJournal!I$1),0)*($K5856+$L5856)/(SUMIF($A:$A,$A5856,$K:$K)+SUMIF($A:$A,$A5856,$L:$L)),0)</f>
        <v>-0.81950327594088079</v>
      </c>
      <c r="N5856" s="30">
        <f>IFERROR((VLOOKUP($A5856,HeadJournal!$A$1:$K$890,COLUMN(HeadJournal!K$1),0)-VLOOKUP($A5856,HeadJournal!$A$1:$K$890,COLUMN(HeadJournal!J$1),0))*($K5856+$L5856)/(SUMIF($A:$A,$A5856,$K:$K)+SUMIF($A:$A,$A5856,$L:$L)),0)</f>
        <v>2.3385224885598298E-15</v>
      </c>
      <c r="O5856" s="30">
        <f>IFERROR((VLOOKUP($A5856,HeadJournal!$A$1:$L$890,COLUMN(HeadJournal!L$1),0)*($K5856+$L5856)/(SUMIF($A:$A,$A5856,$K:$K)+SUMIF($A:$A,$A5856,$L:$L)))/VLOOKUP($A5856,HeadJournal!$A$1:$L$890,COLUMN(HeadJournal!H$1),0),0)</f>
        <v>0</v>
      </c>
      <c r="P5856" s="30">
        <f>IFERROR(SUM(K5856:O5856)*VLOOKUP($A5856,HeadJournal!$A$1:$L$890,COLUMN(HeadJournal!H$1),0),0)</f>
        <v>1301.4148103001678</v>
      </c>
      <c r="Q5856" s="29"/>
      <c r="R5856" s="31"/>
      <c r="S5856" s="31"/>
      <c r="T5856" s="95" t="str">
        <f t="shared" si="436"/>
        <v/>
      </c>
      <c r="U5856" s="32">
        <f t="shared" si="437"/>
        <v>-1301.4148103001678</v>
      </c>
      <c r="V5856" s="22" t="str">
        <f t="shared" si="438"/>
        <v/>
      </c>
      <c r="X5856" s="33"/>
      <c r="Y5856" s="33"/>
    </row>
    <row r="5857" spans="1:25" x14ac:dyDescent="0.2">
      <c r="A5857" s="93" t="s">
        <v>5732</v>
      </c>
      <c r="B5857" s="94" t="str">
        <f>IFERROR(VLOOKUP($A5857,HeadJournal!$A$1:$NTR$890,COLUMN(HeadJournal!B$1),0),"")</f>
        <v>720001038216</v>
      </c>
      <c r="C5857" s="94" t="str">
        <f>IFERROR(VLOOKUP($A5857,HeadJournal!$A$1:$NTR$890,COLUMN(HeadJournal!C$1),0),"")</f>
        <v>iHerb_AV CYG0792</v>
      </c>
      <c r="D5857" s="125" t="str">
        <f>IFERROR(VLOOKUP($A5857,HeadJournal!$A$1:$NTR$890,COLUMN(HeadJournal!D$1),0),"")</f>
        <v>В пути</v>
      </c>
      <c r="E5857" s="95">
        <f>IFERROR(VLOOKUP($A5857,HeadJournal!$A$1:$NTR$890,COLUMN(HeadJournal!G$1),0),"")</f>
        <v>46156</v>
      </c>
      <c r="F5857" s="95" t="str">
        <f t="shared" si="435"/>
        <v>2026 05</v>
      </c>
      <c r="G5857" s="97" t="s">
        <v>5</v>
      </c>
      <c r="H5857" s="161" t="s">
        <v>5729</v>
      </c>
      <c r="I5857" s="97" t="s">
        <v>5730</v>
      </c>
      <c r="J5857" s="97" t="s">
        <v>5731</v>
      </c>
      <c r="K5857" s="29">
        <v>15.6</v>
      </c>
      <c r="L5857" s="29">
        <v>-3.12</v>
      </c>
      <c r="M5857" s="30">
        <f>IFERROR(VLOOKUP($A5857,HeadJournal!$A$1:$J$890,COLUMN(HeadJournal!I$1),0)*($K5857+$L5857)/(SUMIF($A:$A,$A5857,$K:$K)+SUMIF($A:$A,$A5857,$L:$L)),0)</f>
        <v>-0.63132104220630814</v>
      </c>
      <c r="N5857" s="30">
        <f>IFERROR((VLOOKUP($A5857,HeadJournal!$A$1:$K$890,COLUMN(HeadJournal!K$1),0)-VLOOKUP($A5857,HeadJournal!$A$1:$K$890,COLUMN(HeadJournal!J$1),0))*($K5857+$L5857)/(SUMIF($A:$A,$A5857,$K:$K)+SUMIF($A:$A,$A5857,$L:$L)),0)</f>
        <v>1.8015284356312767E-15</v>
      </c>
      <c r="O5857" s="30">
        <f>IFERROR((VLOOKUP($A5857,HeadJournal!$A$1:$L$890,COLUMN(HeadJournal!L$1),0)*($K5857+$L5857)/(SUMIF($A:$A,$A5857,$K:$K)+SUMIF($A:$A,$A5857,$L:$L)))/VLOOKUP($A5857,HeadJournal!$A$1:$L$890,COLUMN(HeadJournal!H$1),0),0)</f>
        <v>0</v>
      </c>
      <c r="P5857" s="30">
        <f>IFERROR(SUM(K5857:O5857)*VLOOKUP($A5857,HeadJournal!$A$1:$L$890,COLUMN(HeadJournal!H$1),0),0)</f>
        <v>1002.5714094164257</v>
      </c>
      <c r="Q5857" s="29"/>
      <c r="R5857" s="31"/>
      <c r="S5857" s="31"/>
      <c r="T5857" s="95" t="str">
        <f t="shared" si="436"/>
        <v/>
      </c>
      <c r="U5857" s="32">
        <f t="shared" si="437"/>
        <v>-1002.5714094164257</v>
      </c>
      <c r="V5857" s="22" t="str">
        <f t="shared" si="438"/>
        <v/>
      </c>
      <c r="X5857" s="33"/>
      <c r="Y5857" s="33"/>
    </row>
    <row r="5858" spans="1:25" x14ac:dyDescent="0.2">
      <c r="A5858" s="93" t="s">
        <v>5732</v>
      </c>
      <c r="B5858" s="94" t="str">
        <f>IFERROR(VLOOKUP($A5858,HeadJournal!$A$1:$NTR$890,COLUMN(HeadJournal!B$1),0),"")</f>
        <v>720001038216</v>
      </c>
      <c r="C5858" s="94" t="str">
        <f>IFERROR(VLOOKUP($A5858,HeadJournal!$A$1:$NTR$890,COLUMN(HeadJournal!C$1),0),"")</f>
        <v>iHerb_AV CYG0792</v>
      </c>
      <c r="D5858" s="125" t="str">
        <f>IFERROR(VLOOKUP($A5858,HeadJournal!$A$1:$NTR$890,COLUMN(HeadJournal!D$1),0),"")</f>
        <v>В пути</v>
      </c>
      <c r="E5858" s="95">
        <f>IFERROR(VLOOKUP($A5858,HeadJournal!$A$1:$NTR$890,COLUMN(HeadJournal!G$1),0),"")</f>
        <v>46156</v>
      </c>
      <c r="F5858" s="95" t="str">
        <f t="shared" si="435"/>
        <v>2026 05</v>
      </c>
      <c r="G5858" s="97" t="s">
        <v>5</v>
      </c>
      <c r="H5858" s="161" t="s">
        <v>2997</v>
      </c>
      <c r="I5858" s="97" t="s">
        <v>2102</v>
      </c>
      <c r="J5858" s="97" t="s">
        <v>4952</v>
      </c>
      <c r="K5858" s="29">
        <v>33.94</v>
      </c>
      <c r="L5858" s="29">
        <v>-6.79</v>
      </c>
      <c r="M5858" s="30">
        <f>IFERROR(VLOOKUP($A5858,HeadJournal!$A$1:$J$890,COLUMN(HeadJournal!I$1),0)*($K5858+$L5858)/(SUMIF($A:$A,$A5858,$K:$K)+SUMIF($A:$A,$A5858,$L:$L)),0)</f>
        <v>-1.3734267865305501</v>
      </c>
      <c r="N5858" s="30">
        <f>IFERROR((VLOOKUP($A5858,HeadJournal!$A$1:$K$890,COLUMN(HeadJournal!K$1),0)-VLOOKUP($A5858,HeadJournal!$A$1:$K$890,COLUMN(HeadJournal!J$1),0))*($K5858+$L5858)/(SUMIF($A:$A,$A5858,$K:$K)+SUMIF($A:$A,$A5858,$L:$L)),0)</f>
        <v>3.9191904669382332E-15</v>
      </c>
      <c r="O5858" s="30">
        <f>IFERROR((VLOOKUP($A5858,HeadJournal!$A$1:$L$890,COLUMN(HeadJournal!L$1),0)*($K5858+$L5858)/(SUMIF($A:$A,$A5858,$K:$K)+SUMIF($A:$A,$A5858,$L:$L)))/VLOOKUP($A5858,HeadJournal!$A$1:$L$890,COLUMN(HeadJournal!H$1),0),0)</f>
        <v>0</v>
      </c>
      <c r="P5858" s="30">
        <f>IFERROR(SUM(K5858:O5858)*VLOOKUP($A5858,HeadJournal!$A$1:$L$890,COLUMN(HeadJournal!H$1),0),0)</f>
        <v>2181.0748209660219</v>
      </c>
      <c r="Q5858" s="29"/>
      <c r="R5858" s="31"/>
      <c r="S5858" s="31"/>
      <c r="T5858" s="95" t="str">
        <f t="shared" si="436"/>
        <v/>
      </c>
      <c r="U5858" s="32">
        <f t="shared" si="437"/>
        <v>-2181.0748209660219</v>
      </c>
      <c r="V5858" s="22" t="str">
        <f t="shared" si="438"/>
        <v/>
      </c>
      <c r="X5858" s="33"/>
      <c r="Y5858" s="33"/>
    </row>
    <row r="5859" spans="1:25" x14ac:dyDescent="0.2">
      <c r="A5859" s="93" t="s">
        <v>5732</v>
      </c>
      <c r="B5859" s="94" t="str">
        <f>IFERROR(VLOOKUP($A5859,HeadJournal!$A$1:$NTR$890,COLUMN(HeadJournal!B$1),0),"")</f>
        <v>720001038216</v>
      </c>
      <c r="C5859" s="94" t="str">
        <f>IFERROR(VLOOKUP($A5859,HeadJournal!$A$1:$NTR$890,COLUMN(HeadJournal!C$1),0),"")</f>
        <v>iHerb_AV CYG0792</v>
      </c>
      <c r="D5859" s="125" t="str">
        <f>IFERROR(VLOOKUP($A5859,HeadJournal!$A$1:$NTR$890,COLUMN(HeadJournal!D$1),0),"")</f>
        <v>В пути</v>
      </c>
      <c r="E5859" s="95">
        <f>IFERROR(VLOOKUP($A5859,HeadJournal!$A$1:$NTR$890,COLUMN(HeadJournal!G$1),0),"")</f>
        <v>46156</v>
      </c>
      <c r="F5859" s="95" t="str">
        <f t="shared" si="435"/>
        <v>2026 05</v>
      </c>
      <c r="G5859" s="97" t="s">
        <v>5</v>
      </c>
      <c r="H5859" s="161" t="s">
        <v>4150</v>
      </c>
      <c r="I5859" s="97" t="s">
        <v>2163</v>
      </c>
      <c r="J5859" s="97" t="s">
        <v>4151</v>
      </c>
      <c r="K5859" s="29">
        <v>50.44</v>
      </c>
      <c r="L5859" s="29">
        <v>-10.09</v>
      </c>
      <c r="M5859" s="30">
        <f>IFERROR(VLOOKUP($A5859,HeadJournal!$A$1:$J$890,COLUMN(HeadJournal!I$1),0)*($K5859+$L5859)/(SUMIF($A:$A,$A5859,$K:$K)+SUMIF($A:$A,$A5859,$L:$L)),0)</f>
        <v>-2.0411701965564526</v>
      </c>
      <c r="N5859" s="30">
        <f>IFERROR((VLOOKUP($A5859,HeadJournal!$A$1:$K$890,COLUMN(HeadJournal!K$1),0)-VLOOKUP($A5859,HeadJournal!$A$1:$K$890,COLUMN(HeadJournal!J$1),0))*($K5859+$L5859)/(SUMIF($A:$A,$A5859,$K:$K)+SUMIF($A:$A,$A5859,$L:$L)),0)</f>
        <v>5.8246532353943909E-15</v>
      </c>
      <c r="O5859" s="30">
        <f>IFERROR((VLOOKUP($A5859,HeadJournal!$A$1:$L$890,COLUMN(HeadJournal!L$1),0)*($K5859+$L5859)/(SUMIF($A:$A,$A5859,$K:$K)+SUMIF($A:$A,$A5859,$L:$L)))/VLOOKUP($A5859,HeadJournal!$A$1:$L$890,COLUMN(HeadJournal!H$1),0),0)</f>
        <v>0</v>
      </c>
      <c r="P5859" s="30">
        <f>IFERROR(SUM(K5859:O5859)*VLOOKUP($A5859,HeadJournal!$A$1:$L$890,COLUMN(HeadJournal!H$1),0),0)</f>
        <v>3241.4868886180107</v>
      </c>
      <c r="Q5859" s="29"/>
      <c r="R5859" s="31"/>
      <c r="S5859" s="31"/>
      <c r="T5859" s="95" t="str">
        <f t="shared" si="436"/>
        <v/>
      </c>
      <c r="U5859" s="32">
        <f t="shared" si="437"/>
        <v>-3241.4868886180107</v>
      </c>
      <c r="V5859" s="22" t="str">
        <f t="shared" si="438"/>
        <v/>
      </c>
      <c r="X5859" s="33"/>
      <c r="Y5859" s="33"/>
    </row>
    <row r="5860" spans="1:25" x14ac:dyDescent="0.2">
      <c r="A5860" s="93" t="s">
        <v>5732</v>
      </c>
      <c r="B5860" s="94" t="str">
        <f>IFERROR(VLOOKUP($A5860,HeadJournal!$A$1:$NTR$890,COLUMN(HeadJournal!B$1),0),"")</f>
        <v>720001038216</v>
      </c>
      <c r="C5860" s="94" t="str">
        <f>IFERROR(VLOOKUP($A5860,HeadJournal!$A$1:$NTR$890,COLUMN(HeadJournal!C$1),0),"")</f>
        <v>iHerb_AV CYG0792</v>
      </c>
      <c r="D5860" s="125" t="str">
        <f>IFERROR(VLOOKUP($A5860,HeadJournal!$A$1:$NTR$890,COLUMN(HeadJournal!D$1),0),"")</f>
        <v>В пути</v>
      </c>
      <c r="E5860" s="95">
        <f>IFERROR(VLOOKUP($A5860,HeadJournal!$A$1:$NTR$890,COLUMN(HeadJournal!G$1),0),"")</f>
        <v>46156</v>
      </c>
      <c r="F5860" s="95" t="str">
        <f t="shared" si="435"/>
        <v>2026 05</v>
      </c>
      <c r="G5860" s="97" t="s">
        <v>5</v>
      </c>
      <c r="H5860" s="161" t="s">
        <v>2211</v>
      </c>
      <c r="I5860" s="97" t="s">
        <v>2212</v>
      </c>
      <c r="J5860" s="97" t="s">
        <v>2213</v>
      </c>
      <c r="K5860" s="29">
        <v>31.56</v>
      </c>
      <c r="L5860" s="29">
        <v>-6.31</v>
      </c>
      <c r="M5860" s="30">
        <f>IFERROR(VLOOKUP($A5860,HeadJournal!$A$1:$J$890,COLUMN(HeadJournal!I$1),0)*($K5860+$L5860)/(SUMIF($A:$A,$A5860,$K:$K)+SUMIF($A:$A,$A5860,$L:$L)),0)</f>
        <v>-1.2773122047843974</v>
      </c>
      <c r="N5860" s="30">
        <f>IFERROR((VLOOKUP($A5860,HeadJournal!$A$1:$K$890,COLUMN(HeadJournal!K$1),0)-VLOOKUP($A5860,HeadJournal!$A$1:$K$890,COLUMN(HeadJournal!J$1),0))*($K5860+$L5860)/(SUMIF($A:$A,$A5860,$K:$K)+SUMIF($A:$A,$A5860,$L:$L)),0)</f>
        <v>3.644919310872575E-15</v>
      </c>
      <c r="O5860" s="30">
        <f>IFERROR((VLOOKUP($A5860,HeadJournal!$A$1:$L$890,COLUMN(HeadJournal!L$1),0)*($K5860+$L5860)/(SUMIF($A:$A,$A5860,$K:$K)+SUMIF($A:$A,$A5860,$L:$L)))/VLOOKUP($A5860,HeadJournal!$A$1:$L$890,COLUMN(HeadJournal!H$1),0),0)</f>
        <v>0</v>
      </c>
      <c r="P5860" s="30">
        <f>IFERROR(SUM(K5860:O5860)*VLOOKUP($A5860,HeadJournal!$A$1:$L$890,COLUMN(HeadJournal!H$1),0),0)</f>
        <v>2028.4397506221753</v>
      </c>
      <c r="Q5860" s="29"/>
      <c r="R5860" s="31"/>
      <c r="S5860" s="31"/>
      <c r="T5860" s="95" t="str">
        <f t="shared" si="436"/>
        <v/>
      </c>
      <c r="U5860" s="32">
        <f t="shared" si="437"/>
        <v>-2028.4397506221753</v>
      </c>
      <c r="V5860" s="22" t="str">
        <f t="shared" si="438"/>
        <v/>
      </c>
      <c r="X5860" s="33"/>
      <c r="Y5860" s="33"/>
    </row>
    <row r="5861" spans="1:25" x14ac:dyDescent="0.2">
      <c r="A5861" s="93" t="s">
        <v>5737</v>
      </c>
      <c r="B5861" s="94" t="str">
        <f>IFERROR(VLOOKUP($A5861,HeadJournal!$A$1:$NTR$890,COLUMN(HeadJournal!B$1),0),"")</f>
        <v>720001036170</v>
      </c>
      <c r="C5861" s="94" t="str">
        <f>IFERROR(VLOOKUP($A5861,HeadJournal!$A$1:$NTR$890,COLUMN(HeadJournal!C$1),0),"")</f>
        <v>iHerb_VP DFD1605</v>
      </c>
      <c r="D5861" s="125" t="str">
        <f>IFERROR(VLOOKUP($A5861,HeadJournal!$A$1:$NTR$890,COLUMN(HeadJournal!D$1),0),"")</f>
        <v>В пути</v>
      </c>
      <c r="E5861" s="95">
        <f>IFERROR(VLOOKUP($A5861,HeadJournal!$A$1:$NTR$890,COLUMN(HeadJournal!G$1),0),"")</f>
        <v>46155</v>
      </c>
      <c r="F5861" s="95" t="str">
        <f t="shared" si="435"/>
        <v>2026 05</v>
      </c>
      <c r="G5861" s="97" t="s">
        <v>5</v>
      </c>
      <c r="H5861" s="161" t="s">
        <v>5734</v>
      </c>
      <c r="I5861" s="97" t="s">
        <v>5735</v>
      </c>
      <c r="J5861" s="97" t="s">
        <v>5736</v>
      </c>
      <c r="K5861" s="29">
        <v>19.760000000000002</v>
      </c>
      <c r="L5861" s="29">
        <v>-3.95</v>
      </c>
      <c r="M5861" s="30">
        <f>IFERROR(VLOOKUP($A5861,HeadJournal!$A$1:$J$890,COLUMN(HeadJournal!I$1),0)*($K5861+$L5861)/(SUMIF($A:$A,$A5861,$K:$K)+SUMIF($A:$A,$A5861,$L:$L)),0)</f>
        <v>-1.5133058018748418</v>
      </c>
      <c r="N5861" s="30">
        <f>IFERROR((VLOOKUP($A5861,HeadJournal!$A$1:$K$890,COLUMN(HeadJournal!K$1),0)-VLOOKUP($A5861,HeadJournal!$A$1:$K$890,COLUMN(HeadJournal!J$1),0))*($K5861+$L5861)/(SUMIF($A:$A,$A5861,$K:$K)+SUMIF($A:$A,$A5861,$L:$L)),0)</f>
        <v>-2.2769051233579295E-15</v>
      </c>
      <c r="O5861" s="30">
        <f>IFERROR((VLOOKUP($A5861,HeadJournal!$A$1:$L$890,COLUMN(HeadJournal!L$1),0)*($K5861+$L5861)/(SUMIF($A:$A,$A5861,$K:$K)+SUMIF($A:$A,$A5861,$L:$L)))/VLOOKUP($A5861,HeadJournal!$A$1:$L$890,COLUMN(HeadJournal!H$1),0),0)</f>
        <v>0</v>
      </c>
      <c r="P5861" s="30">
        <f>IFERROR(SUM(K5861:O5861)*VLOOKUP($A5861,HeadJournal!$A$1:$L$890,COLUMN(HeadJournal!H$1),0),0)</f>
        <v>1225.4324190524449</v>
      </c>
      <c r="Q5861" s="29"/>
      <c r="R5861" s="31"/>
      <c r="S5861" s="31"/>
      <c r="T5861" s="95" t="str">
        <f t="shared" si="436"/>
        <v/>
      </c>
      <c r="U5861" s="32">
        <f t="shared" si="437"/>
        <v>-1225.4324190524449</v>
      </c>
      <c r="V5861" s="22" t="str">
        <f t="shared" si="438"/>
        <v/>
      </c>
      <c r="X5861" s="33"/>
      <c r="Y5861" s="33"/>
    </row>
    <row r="5862" spans="1:25" x14ac:dyDescent="0.2">
      <c r="A5862" s="93" t="s">
        <v>5737</v>
      </c>
      <c r="B5862" s="94" t="str">
        <f>IFERROR(VLOOKUP($A5862,HeadJournal!$A$1:$NTR$890,COLUMN(HeadJournal!B$1),0),"")</f>
        <v>720001036170</v>
      </c>
      <c r="C5862" s="94" t="str">
        <f>IFERROR(VLOOKUP($A5862,HeadJournal!$A$1:$NTR$890,COLUMN(HeadJournal!C$1),0),"")</f>
        <v>iHerb_VP DFD1605</v>
      </c>
      <c r="D5862" s="125" t="str">
        <f>IFERROR(VLOOKUP($A5862,HeadJournal!$A$1:$NTR$890,COLUMN(HeadJournal!D$1),0),"")</f>
        <v>В пути</v>
      </c>
      <c r="E5862" s="95">
        <f>IFERROR(VLOOKUP($A5862,HeadJournal!$A$1:$NTR$890,COLUMN(HeadJournal!G$1),0),"")</f>
        <v>46155</v>
      </c>
      <c r="F5862" s="95" t="str">
        <f t="shared" si="435"/>
        <v>2026 05</v>
      </c>
      <c r="G5862" s="97" t="s">
        <v>5</v>
      </c>
      <c r="H5862" s="161" t="s">
        <v>5734</v>
      </c>
      <c r="I5862" s="97" t="s">
        <v>5735</v>
      </c>
      <c r="J5862" s="97" t="s">
        <v>5736</v>
      </c>
      <c r="K5862" s="29">
        <v>19.760000000000002</v>
      </c>
      <c r="L5862" s="29">
        <v>-3.95</v>
      </c>
      <c r="M5862" s="30">
        <f>IFERROR(VLOOKUP($A5862,HeadJournal!$A$1:$J$890,COLUMN(HeadJournal!I$1),0)*($K5862+$L5862)/(SUMIF($A:$A,$A5862,$K:$K)+SUMIF($A:$A,$A5862,$L:$L)),0)</f>
        <v>-1.5133058018748418</v>
      </c>
      <c r="N5862" s="30">
        <f>IFERROR((VLOOKUP($A5862,HeadJournal!$A$1:$K$890,COLUMN(HeadJournal!K$1),0)-VLOOKUP($A5862,HeadJournal!$A$1:$K$890,COLUMN(HeadJournal!J$1),0))*($K5862+$L5862)/(SUMIF($A:$A,$A5862,$K:$K)+SUMIF($A:$A,$A5862,$L:$L)),0)</f>
        <v>-2.2769051233579295E-15</v>
      </c>
      <c r="O5862" s="30">
        <f>IFERROR((VLOOKUP($A5862,HeadJournal!$A$1:$L$890,COLUMN(HeadJournal!L$1),0)*($K5862+$L5862)/(SUMIF($A:$A,$A5862,$K:$K)+SUMIF($A:$A,$A5862,$L:$L)))/VLOOKUP($A5862,HeadJournal!$A$1:$L$890,COLUMN(HeadJournal!H$1),0),0)</f>
        <v>0</v>
      </c>
      <c r="P5862" s="30">
        <f>IFERROR(SUM(K5862:O5862)*VLOOKUP($A5862,HeadJournal!$A$1:$L$890,COLUMN(HeadJournal!H$1),0),0)</f>
        <v>1225.4324190524449</v>
      </c>
      <c r="Q5862" s="29"/>
      <c r="R5862" s="31"/>
      <c r="S5862" s="31"/>
      <c r="T5862" s="95" t="str">
        <f t="shared" si="436"/>
        <v/>
      </c>
      <c r="U5862" s="32">
        <f t="shared" si="437"/>
        <v>-1225.4324190524449</v>
      </c>
      <c r="V5862" s="22" t="str">
        <f t="shared" si="438"/>
        <v/>
      </c>
      <c r="X5862" s="33"/>
      <c r="Y5862" s="33"/>
    </row>
    <row r="5863" spans="1:25" x14ac:dyDescent="0.2">
      <c r="A5863" s="93" t="s">
        <v>5737</v>
      </c>
      <c r="B5863" s="94" t="str">
        <f>IFERROR(VLOOKUP($A5863,HeadJournal!$A$1:$NTR$890,COLUMN(HeadJournal!B$1),0),"")</f>
        <v>720001036170</v>
      </c>
      <c r="C5863" s="94" t="str">
        <f>IFERROR(VLOOKUP($A5863,HeadJournal!$A$1:$NTR$890,COLUMN(HeadJournal!C$1),0),"")</f>
        <v>iHerb_VP DFD1605</v>
      </c>
      <c r="D5863" s="125" t="str">
        <f>IFERROR(VLOOKUP($A5863,HeadJournal!$A$1:$NTR$890,COLUMN(HeadJournal!D$1),0),"")</f>
        <v>В пути</v>
      </c>
      <c r="E5863" s="95">
        <f>IFERROR(VLOOKUP($A5863,HeadJournal!$A$1:$NTR$890,COLUMN(HeadJournal!G$1),0),"")</f>
        <v>46155</v>
      </c>
      <c r="F5863" s="95" t="str">
        <f t="shared" si="435"/>
        <v>2026 05</v>
      </c>
      <c r="G5863" s="97" t="s">
        <v>5</v>
      </c>
      <c r="H5863" s="161" t="s">
        <v>2120</v>
      </c>
      <c r="I5863" s="97" t="s">
        <v>2005</v>
      </c>
      <c r="J5863" s="97" t="s">
        <v>2121</v>
      </c>
      <c r="K5863" s="29">
        <v>14.4</v>
      </c>
      <c r="L5863" s="29">
        <v>-2.88</v>
      </c>
      <c r="M5863" s="30">
        <f>IFERROR(VLOOKUP($A5863,HeadJournal!$A$1:$J$890,COLUMN(HeadJournal!I$1),0)*($K5863+$L5863)/(SUMIF($A:$A,$A5863,$K:$K)+SUMIF($A:$A,$A5863,$L:$L)),0)</f>
        <v>-1.1026744362807193</v>
      </c>
      <c r="N5863" s="30">
        <f>IFERROR((VLOOKUP($A5863,HeadJournal!$A$1:$K$890,COLUMN(HeadJournal!K$1),0)-VLOOKUP($A5863,HeadJournal!$A$1:$K$890,COLUMN(HeadJournal!J$1),0))*($K5863+$L5863)/(SUMIF($A:$A,$A5863,$K:$K)+SUMIF($A:$A,$A5863,$L:$L)),0)</f>
        <v>-1.6590731828642216E-15</v>
      </c>
      <c r="O5863" s="30">
        <f>IFERROR((VLOOKUP($A5863,HeadJournal!$A$1:$L$890,COLUMN(HeadJournal!L$1),0)*($K5863+$L5863)/(SUMIF($A:$A,$A5863,$K:$K)+SUMIF($A:$A,$A5863,$L:$L)))/VLOOKUP($A5863,HeadJournal!$A$1:$L$890,COLUMN(HeadJournal!H$1),0),0)</f>
        <v>0</v>
      </c>
      <c r="P5863" s="30">
        <f>IFERROR(SUM(K5863:O5863)*VLOOKUP($A5863,HeadJournal!$A$1:$L$890,COLUMN(HeadJournal!H$1),0),0)</f>
        <v>892.91470382569025</v>
      </c>
      <c r="Q5863" s="29"/>
      <c r="R5863" s="31"/>
      <c r="S5863" s="31"/>
      <c r="T5863" s="95" t="str">
        <f t="shared" si="436"/>
        <v/>
      </c>
      <c r="U5863" s="32">
        <f t="shared" si="437"/>
        <v>-892.91470382569025</v>
      </c>
      <c r="V5863" s="22" t="str">
        <f t="shared" si="438"/>
        <v/>
      </c>
      <c r="X5863" s="33"/>
      <c r="Y5863" s="33"/>
    </row>
    <row r="5864" spans="1:25" x14ac:dyDescent="0.2">
      <c r="A5864" s="93" t="s">
        <v>5737</v>
      </c>
      <c r="B5864" s="94" t="str">
        <f>IFERROR(VLOOKUP($A5864,HeadJournal!$A$1:$NTR$890,COLUMN(HeadJournal!B$1),0),"")</f>
        <v>720001036170</v>
      </c>
      <c r="C5864" s="94" t="str">
        <f>IFERROR(VLOOKUP($A5864,HeadJournal!$A$1:$NTR$890,COLUMN(HeadJournal!C$1),0),"")</f>
        <v>iHerb_VP DFD1605</v>
      </c>
      <c r="D5864" s="125" t="str">
        <f>IFERROR(VLOOKUP($A5864,HeadJournal!$A$1:$NTR$890,COLUMN(HeadJournal!D$1),0),"")</f>
        <v>В пути</v>
      </c>
      <c r="E5864" s="95">
        <f>IFERROR(VLOOKUP($A5864,HeadJournal!$A$1:$NTR$890,COLUMN(HeadJournal!G$1),0),"")</f>
        <v>46155</v>
      </c>
      <c r="F5864" s="95" t="str">
        <f t="shared" si="435"/>
        <v>2026 05</v>
      </c>
      <c r="G5864" s="97" t="s">
        <v>5</v>
      </c>
      <c r="H5864" s="161" t="s">
        <v>2071</v>
      </c>
      <c r="I5864" s="97" t="s">
        <v>2005</v>
      </c>
      <c r="J5864" s="97" t="s">
        <v>2072</v>
      </c>
      <c r="K5864" s="29">
        <v>22.75</v>
      </c>
      <c r="L5864" s="29">
        <v>-4.55</v>
      </c>
      <c r="M5864" s="30">
        <f>IFERROR(VLOOKUP($A5864,HeadJournal!$A$1:$J$890,COLUMN(HeadJournal!I$1),0)*($K5864+$L5864)/(SUMIF($A:$A,$A5864,$K:$K)+SUMIF($A:$A,$A5864,$L:$L)),0)</f>
        <v>-1.7420724600962754</v>
      </c>
      <c r="N5864" s="30">
        <f>IFERROR((VLOOKUP($A5864,HeadJournal!$A$1:$K$890,COLUMN(HeadJournal!K$1),0)-VLOOKUP($A5864,HeadJournal!$A$1:$K$890,COLUMN(HeadJournal!J$1),0))*($K5864+$L5864)/(SUMIF($A:$A,$A5864,$K:$K)+SUMIF($A:$A,$A5864,$L:$L)),0)</f>
        <v>-2.6211052020945166E-15</v>
      </c>
      <c r="O5864" s="30">
        <f>IFERROR((VLOOKUP($A5864,HeadJournal!$A$1:$L$890,COLUMN(HeadJournal!L$1),0)*($K5864+$L5864)/(SUMIF($A:$A,$A5864,$K:$K)+SUMIF($A:$A,$A5864,$L:$L)))/VLOOKUP($A5864,HeadJournal!$A$1:$L$890,COLUMN(HeadJournal!H$1),0),0)</f>
        <v>0</v>
      </c>
      <c r="P5864" s="30">
        <f>IFERROR(SUM(K5864:O5864)*VLOOKUP($A5864,HeadJournal!$A$1:$L$890,COLUMN(HeadJournal!H$1),0),0)</f>
        <v>1410.6812161135035</v>
      </c>
      <c r="Q5864" s="29"/>
      <c r="R5864" s="31"/>
      <c r="S5864" s="31"/>
      <c r="T5864" s="95" t="str">
        <f t="shared" si="436"/>
        <v/>
      </c>
      <c r="U5864" s="32">
        <f t="shared" si="437"/>
        <v>-1410.6812161135035</v>
      </c>
      <c r="V5864" s="22" t="str">
        <f t="shared" si="438"/>
        <v/>
      </c>
      <c r="X5864" s="33"/>
      <c r="Y5864" s="33"/>
    </row>
    <row r="5865" spans="1:25" x14ac:dyDescent="0.2">
      <c r="A5865" s="93" t="s">
        <v>5737</v>
      </c>
      <c r="B5865" s="94" t="str">
        <f>IFERROR(VLOOKUP($A5865,HeadJournal!$A$1:$NTR$890,COLUMN(HeadJournal!B$1),0),"")</f>
        <v>720001036170</v>
      </c>
      <c r="C5865" s="94" t="str">
        <f>IFERROR(VLOOKUP($A5865,HeadJournal!$A$1:$NTR$890,COLUMN(HeadJournal!C$1),0),"")</f>
        <v>iHerb_VP DFD1605</v>
      </c>
      <c r="D5865" s="125" t="str">
        <f>IFERROR(VLOOKUP($A5865,HeadJournal!$A$1:$NTR$890,COLUMN(HeadJournal!D$1),0),"")</f>
        <v>В пути</v>
      </c>
      <c r="E5865" s="95">
        <f>IFERROR(VLOOKUP($A5865,HeadJournal!$A$1:$NTR$890,COLUMN(HeadJournal!G$1),0),"")</f>
        <v>46155</v>
      </c>
      <c r="F5865" s="95" t="str">
        <f t="shared" si="435"/>
        <v>2026 05</v>
      </c>
      <c r="G5865" s="97" t="s">
        <v>5</v>
      </c>
      <c r="H5865" s="161" t="s">
        <v>4044</v>
      </c>
      <c r="I5865" s="97" t="s">
        <v>2163</v>
      </c>
      <c r="J5865" s="97" t="s">
        <v>5679</v>
      </c>
      <c r="K5865" s="29">
        <v>36.33</v>
      </c>
      <c r="L5865" s="29">
        <v>-10.41</v>
      </c>
      <c r="M5865" s="30">
        <f>IFERROR(VLOOKUP($A5865,HeadJournal!$A$1:$J$890,COLUMN(HeadJournal!I$1),0)*($K5865+$L5865)/(SUMIF($A:$A,$A5865,$K:$K)+SUMIF($A:$A,$A5865,$L:$L)),0)</f>
        <v>-2.4810174816316186</v>
      </c>
      <c r="N5865" s="30">
        <f>IFERROR((VLOOKUP($A5865,HeadJournal!$A$1:$K$890,COLUMN(HeadJournal!K$1),0)-VLOOKUP($A5865,HeadJournal!$A$1:$K$890,COLUMN(HeadJournal!J$1),0))*($K5865+$L5865)/(SUMIF($A:$A,$A5865,$K:$K)+SUMIF($A:$A,$A5865,$L:$L)),0)</f>
        <v>-3.7329146614444983E-15</v>
      </c>
      <c r="O5865" s="30">
        <f>IFERROR((VLOOKUP($A5865,HeadJournal!$A$1:$L$890,COLUMN(HeadJournal!L$1),0)*($K5865+$L5865)/(SUMIF($A:$A,$A5865,$K:$K)+SUMIF($A:$A,$A5865,$L:$L)))/VLOOKUP($A5865,HeadJournal!$A$1:$L$890,COLUMN(HeadJournal!H$1),0),0)</f>
        <v>0</v>
      </c>
      <c r="P5865" s="30">
        <f>IFERROR(SUM(K5865:O5865)*VLOOKUP($A5865,HeadJournal!$A$1:$L$890,COLUMN(HeadJournal!H$1),0),0)</f>
        <v>2009.0580836078029</v>
      </c>
      <c r="Q5865" s="29"/>
      <c r="R5865" s="31"/>
      <c r="S5865" s="31"/>
      <c r="T5865" s="95" t="str">
        <f t="shared" si="436"/>
        <v/>
      </c>
      <c r="U5865" s="32">
        <f t="shared" si="437"/>
        <v>-2009.0580836078029</v>
      </c>
      <c r="V5865" s="22" t="str">
        <f t="shared" si="438"/>
        <v/>
      </c>
      <c r="X5865" s="33"/>
      <c r="Y5865" s="33"/>
    </row>
    <row r="5866" spans="1:25" x14ac:dyDescent="0.2">
      <c r="A5866" s="93" t="s">
        <v>5737</v>
      </c>
      <c r="B5866" s="94" t="str">
        <f>IFERROR(VLOOKUP($A5866,HeadJournal!$A$1:$NTR$890,COLUMN(HeadJournal!B$1),0),"")</f>
        <v>720001036170</v>
      </c>
      <c r="C5866" s="94" t="str">
        <f>IFERROR(VLOOKUP($A5866,HeadJournal!$A$1:$NTR$890,COLUMN(HeadJournal!C$1),0),"")</f>
        <v>iHerb_VP DFD1605</v>
      </c>
      <c r="D5866" s="125" t="str">
        <f>IFERROR(VLOOKUP($A5866,HeadJournal!$A$1:$NTR$890,COLUMN(HeadJournal!D$1),0),"")</f>
        <v>В пути</v>
      </c>
      <c r="E5866" s="95">
        <f>IFERROR(VLOOKUP($A5866,HeadJournal!$A$1:$NTR$890,COLUMN(HeadJournal!G$1),0),"")</f>
        <v>46155</v>
      </c>
      <c r="F5866" s="95" t="str">
        <f t="shared" si="435"/>
        <v>2026 05</v>
      </c>
      <c r="G5866" s="97" t="s">
        <v>5</v>
      </c>
      <c r="H5866" s="161" t="s">
        <v>2190</v>
      </c>
      <c r="I5866" s="97" t="s">
        <v>2005</v>
      </c>
      <c r="J5866" s="97" t="s">
        <v>2191</v>
      </c>
      <c r="K5866" s="29">
        <v>15.16</v>
      </c>
      <c r="L5866" s="29">
        <v>-3.03</v>
      </c>
      <c r="M5866" s="30">
        <f>IFERROR(VLOOKUP($A5866,HeadJournal!$A$1:$J$890,COLUMN(HeadJournal!I$1),0)*($K5866+$L5866)/(SUMIF($A:$A,$A5866,$K:$K)+SUMIF($A:$A,$A5866,$L:$L)),0)</f>
        <v>-1.1610625791740561</v>
      </c>
      <c r="N5866" s="30">
        <f>IFERROR((VLOOKUP($A5866,HeadJournal!$A$1:$K$890,COLUMN(HeadJournal!K$1),0)-VLOOKUP($A5866,HeadJournal!$A$1:$K$890,COLUMN(HeadJournal!J$1),0))*($K5866+$L5866)/(SUMIF($A:$A,$A5866,$K:$K)+SUMIF($A:$A,$A5866,$L:$L)),0)</f>
        <v>-1.7469234121651918E-15</v>
      </c>
      <c r="O5866" s="30">
        <f>IFERROR((VLOOKUP($A5866,HeadJournal!$A$1:$L$890,COLUMN(HeadJournal!L$1),0)*($K5866+$L5866)/(SUMIF($A:$A,$A5866,$K:$K)+SUMIF($A:$A,$A5866,$L:$L)))/VLOOKUP($A5866,HeadJournal!$A$1:$L$890,COLUMN(HeadJournal!H$1),0),0)</f>
        <v>0</v>
      </c>
      <c r="P5866" s="30">
        <f>IFERROR(SUM(K5866:O5866)*VLOOKUP($A5866,HeadJournal!$A$1:$L$890,COLUMN(HeadJournal!H$1),0),0)</f>
        <v>940.19577755257149</v>
      </c>
      <c r="Q5866" s="29"/>
      <c r="R5866" s="31"/>
      <c r="S5866" s="31"/>
      <c r="T5866" s="95" t="str">
        <f t="shared" si="436"/>
        <v/>
      </c>
      <c r="U5866" s="32">
        <f t="shared" si="437"/>
        <v>-940.19577755257149</v>
      </c>
      <c r="V5866" s="22" t="str">
        <f t="shared" si="438"/>
        <v/>
      </c>
      <c r="X5866" s="33"/>
      <c r="Y5866" s="33"/>
    </row>
    <row r="5867" spans="1:25" x14ac:dyDescent="0.2">
      <c r="A5867" s="93" t="s">
        <v>5737</v>
      </c>
      <c r="B5867" s="94" t="str">
        <f>IFERROR(VLOOKUP($A5867,HeadJournal!$A$1:$NTR$890,COLUMN(HeadJournal!B$1),0),"")</f>
        <v>720001036170</v>
      </c>
      <c r="C5867" s="94" t="str">
        <f>IFERROR(VLOOKUP($A5867,HeadJournal!$A$1:$NTR$890,COLUMN(HeadJournal!C$1),0),"")</f>
        <v>iHerb_VP DFD1605</v>
      </c>
      <c r="D5867" s="125" t="str">
        <f>IFERROR(VLOOKUP($A5867,HeadJournal!$A$1:$NTR$890,COLUMN(HeadJournal!D$1),0),"")</f>
        <v>В пути</v>
      </c>
      <c r="E5867" s="95">
        <f>IFERROR(VLOOKUP($A5867,HeadJournal!$A$1:$NTR$890,COLUMN(HeadJournal!G$1),0),"")</f>
        <v>46155</v>
      </c>
      <c r="F5867" s="95" t="str">
        <f t="shared" si="435"/>
        <v>2026 05</v>
      </c>
      <c r="G5867" s="97" t="s">
        <v>5</v>
      </c>
      <c r="H5867" s="161" t="s">
        <v>2189</v>
      </c>
      <c r="I5867" s="97" t="s">
        <v>2005</v>
      </c>
      <c r="J5867" s="97" t="s">
        <v>5643</v>
      </c>
      <c r="K5867" s="29">
        <v>32.950000000000003</v>
      </c>
      <c r="L5867" s="29">
        <v>-6.59</v>
      </c>
      <c r="M5867" s="30">
        <f>IFERROR(VLOOKUP($A5867,HeadJournal!$A$1:$J$890,COLUMN(HeadJournal!I$1),0)*($K5867+$L5867)/(SUMIF($A:$A,$A5867,$K:$K)+SUMIF($A:$A,$A5867,$L:$L)),0)</f>
        <v>-2.5231335191284519</v>
      </c>
      <c r="N5867" s="30">
        <f>IFERROR((VLOOKUP($A5867,HeadJournal!$A$1:$K$890,COLUMN(HeadJournal!K$1),0)-VLOOKUP($A5867,HeadJournal!$A$1:$K$890,COLUMN(HeadJournal!J$1),0))*($K5867+$L5867)/(SUMIF($A:$A,$A5867,$K:$K)+SUMIF($A:$A,$A5867,$L:$L)),0)</f>
        <v>-3.796282039956674E-15</v>
      </c>
      <c r="O5867" s="30">
        <f>IFERROR((VLOOKUP($A5867,HeadJournal!$A$1:$L$890,COLUMN(HeadJournal!L$1),0)*($K5867+$L5867)/(SUMIF($A:$A,$A5867,$K:$K)+SUMIF($A:$A,$A5867,$L:$L)))/VLOOKUP($A5867,HeadJournal!$A$1:$L$890,COLUMN(HeadJournal!H$1),0),0)</f>
        <v>0</v>
      </c>
      <c r="P5867" s="30">
        <f>IFERROR(SUM(K5867:O5867)*VLOOKUP($A5867,HeadJournal!$A$1:$L$890,COLUMN(HeadJournal!H$1),0),0)</f>
        <v>2043.1624646567011</v>
      </c>
      <c r="Q5867" s="29"/>
      <c r="R5867" s="31"/>
      <c r="S5867" s="31"/>
      <c r="T5867" s="95" t="str">
        <f t="shared" si="436"/>
        <v/>
      </c>
      <c r="U5867" s="32">
        <f t="shared" si="437"/>
        <v>-2043.1624646567011</v>
      </c>
      <c r="V5867" s="22" t="str">
        <f t="shared" si="438"/>
        <v/>
      </c>
      <c r="X5867" s="33"/>
      <c r="Y5867" s="33"/>
    </row>
    <row r="5868" spans="1:25" x14ac:dyDescent="0.2">
      <c r="A5868" s="93" t="s">
        <v>5737</v>
      </c>
      <c r="B5868" s="94" t="str">
        <f>IFERROR(VLOOKUP($A5868,HeadJournal!$A$1:$NTR$890,COLUMN(HeadJournal!B$1),0),"")</f>
        <v>720001036170</v>
      </c>
      <c r="C5868" s="94" t="str">
        <f>IFERROR(VLOOKUP($A5868,HeadJournal!$A$1:$NTR$890,COLUMN(HeadJournal!C$1),0),"")</f>
        <v>iHerb_VP DFD1605</v>
      </c>
      <c r="D5868" s="125" t="str">
        <f>IFERROR(VLOOKUP($A5868,HeadJournal!$A$1:$NTR$890,COLUMN(HeadJournal!D$1),0),"")</f>
        <v>В пути</v>
      </c>
      <c r="E5868" s="95">
        <f>IFERROR(VLOOKUP($A5868,HeadJournal!$A$1:$NTR$890,COLUMN(HeadJournal!G$1),0),"")</f>
        <v>46155</v>
      </c>
      <c r="F5868" s="95" t="str">
        <f t="shared" si="435"/>
        <v>2026 05</v>
      </c>
      <c r="G5868" s="97" t="s">
        <v>5</v>
      </c>
      <c r="H5868" s="161" t="s">
        <v>5083</v>
      </c>
      <c r="I5868" s="97" t="s">
        <v>2052</v>
      </c>
      <c r="J5868" s="97" t="s">
        <v>5084</v>
      </c>
      <c r="K5868" s="29">
        <v>20.52</v>
      </c>
      <c r="L5868" s="29">
        <v>0</v>
      </c>
      <c r="M5868" s="30">
        <f>IFERROR(VLOOKUP($A5868,HeadJournal!$A$1:$J$890,COLUMN(HeadJournal!I$1),0)*($K5868+$L5868)/(SUMIF($A:$A,$A5868,$K:$K)+SUMIF($A:$A,$A5868,$L:$L)),0)</f>
        <v>-1.9641388396250314</v>
      </c>
      <c r="N5868" s="30">
        <f>IFERROR((VLOOKUP($A5868,HeadJournal!$A$1:$K$890,COLUMN(HeadJournal!K$1),0)-VLOOKUP($A5868,HeadJournal!$A$1:$K$890,COLUMN(HeadJournal!J$1),0))*($K5868+$L5868)/(SUMIF($A:$A,$A5868,$K:$K)+SUMIF($A:$A,$A5868,$L:$L)),0)</f>
        <v>-2.9552241069768945E-15</v>
      </c>
      <c r="O5868" s="30">
        <f>IFERROR((VLOOKUP($A5868,HeadJournal!$A$1:$L$890,COLUMN(HeadJournal!L$1),0)*($K5868+$L5868)/(SUMIF($A:$A,$A5868,$K:$K)+SUMIF($A:$A,$A5868,$L:$L)))/VLOOKUP($A5868,HeadJournal!$A$1:$L$890,COLUMN(HeadJournal!H$1),0),0)</f>
        <v>0</v>
      </c>
      <c r="P5868" s="30">
        <f>IFERROR(SUM(K5868:O5868)*VLOOKUP($A5868,HeadJournal!$A$1:$L$890,COLUMN(HeadJournal!H$1),0),0)</f>
        <v>1590.5043161895105</v>
      </c>
      <c r="Q5868" s="29"/>
      <c r="R5868" s="31"/>
      <c r="S5868" s="31"/>
      <c r="T5868" s="95" t="str">
        <f t="shared" si="436"/>
        <v/>
      </c>
      <c r="U5868" s="32">
        <f t="shared" si="437"/>
        <v>-1590.5043161895105</v>
      </c>
      <c r="V5868" s="22" t="str">
        <f t="shared" si="438"/>
        <v/>
      </c>
      <c r="X5868" s="33"/>
      <c r="Y5868" s="33"/>
    </row>
    <row r="5869" spans="1:25" x14ac:dyDescent="0.2">
      <c r="A5869" s="93" t="s">
        <v>5737</v>
      </c>
      <c r="B5869" s="94" t="str">
        <f>IFERROR(VLOOKUP($A5869,HeadJournal!$A$1:$NTR$890,COLUMN(HeadJournal!B$1),0),"")</f>
        <v>720001036170</v>
      </c>
      <c r="C5869" s="94" t="str">
        <f>IFERROR(VLOOKUP($A5869,HeadJournal!$A$1:$NTR$890,COLUMN(HeadJournal!C$1),0),"")</f>
        <v>iHerb_VP DFD1605</v>
      </c>
      <c r="D5869" s="125" t="str">
        <f>IFERROR(VLOOKUP($A5869,HeadJournal!$A$1:$NTR$890,COLUMN(HeadJournal!D$1),0),"")</f>
        <v>В пути</v>
      </c>
      <c r="E5869" s="95">
        <f>IFERROR(VLOOKUP($A5869,HeadJournal!$A$1:$NTR$890,COLUMN(HeadJournal!G$1),0),"")</f>
        <v>46155</v>
      </c>
      <c r="F5869" s="95" t="str">
        <f t="shared" si="435"/>
        <v>2026 05</v>
      </c>
      <c r="G5869" s="97" t="s">
        <v>5</v>
      </c>
      <c r="H5869" s="161" t="s">
        <v>5083</v>
      </c>
      <c r="I5869" s="97" t="s">
        <v>2052</v>
      </c>
      <c r="J5869" s="97" t="s">
        <v>5084</v>
      </c>
      <c r="K5869" s="29">
        <v>20.52</v>
      </c>
      <c r="L5869" s="29">
        <v>0</v>
      </c>
      <c r="M5869" s="30">
        <f>IFERROR(VLOOKUP($A5869,HeadJournal!$A$1:$J$890,COLUMN(HeadJournal!I$1),0)*($K5869+$L5869)/(SUMIF($A:$A,$A5869,$K:$K)+SUMIF($A:$A,$A5869,$L:$L)),0)</f>
        <v>-1.9641388396250314</v>
      </c>
      <c r="N5869" s="30">
        <f>IFERROR((VLOOKUP($A5869,HeadJournal!$A$1:$K$890,COLUMN(HeadJournal!K$1),0)-VLOOKUP($A5869,HeadJournal!$A$1:$K$890,COLUMN(HeadJournal!J$1),0))*($K5869+$L5869)/(SUMIF($A:$A,$A5869,$K:$K)+SUMIF($A:$A,$A5869,$L:$L)),0)</f>
        <v>-2.9552241069768945E-15</v>
      </c>
      <c r="O5869" s="30">
        <f>IFERROR((VLOOKUP($A5869,HeadJournal!$A$1:$L$890,COLUMN(HeadJournal!L$1),0)*($K5869+$L5869)/(SUMIF($A:$A,$A5869,$K:$K)+SUMIF($A:$A,$A5869,$L:$L)))/VLOOKUP($A5869,HeadJournal!$A$1:$L$890,COLUMN(HeadJournal!H$1),0),0)</f>
        <v>0</v>
      </c>
      <c r="P5869" s="30">
        <f>IFERROR(SUM(K5869:O5869)*VLOOKUP($A5869,HeadJournal!$A$1:$L$890,COLUMN(HeadJournal!H$1),0),0)</f>
        <v>1590.5043161895105</v>
      </c>
      <c r="Q5869" s="29"/>
      <c r="R5869" s="31"/>
      <c r="S5869" s="31"/>
      <c r="T5869" s="95" t="str">
        <f t="shared" si="436"/>
        <v/>
      </c>
      <c r="U5869" s="32">
        <f t="shared" si="437"/>
        <v>-1590.5043161895105</v>
      </c>
      <c r="V5869" s="22" t="str">
        <f t="shared" si="438"/>
        <v/>
      </c>
      <c r="X5869" s="33"/>
      <c r="Y5869" s="33"/>
    </row>
    <row r="5870" spans="1:25" x14ac:dyDescent="0.2">
      <c r="A5870" s="93" t="s">
        <v>5737</v>
      </c>
      <c r="B5870" s="94" t="str">
        <f>IFERROR(VLOOKUP($A5870,HeadJournal!$A$1:$NTR$890,COLUMN(HeadJournal!B$1),0),"")</f>
        <v>720001036170</v>
      </c>
      <c r="C5870" s="94" t="str">
        <f>IFERROR(VLOOKUP($A5870,HeadJournal!$A$1:$NTR$890,COLUMN(HeadJournal!C$1),0),"")</f>
        <v>iHerb_VP DFD1605</v>
      </c>
      <c r="D5870" s="125" t="str">
        <f>IFERROR(VLOOKUP($A5870,HeadJournal!$A$1:$NTR$890,COLUMN(HeadJournal!D$1),0),"")</f>
        <v>В пути</v>
      </c>
      <c r="E5870" s="95">
        <f>IFERROR(VLOOKUP($A5870,HeadJournal!$A$1:$NTR$890,COLUMN(HeadJournal!G$1),0),"")</f>
        <v>46155</v>
      </c>
      <c r="F5870" s="95" t="str">
        <f t="shared" si="435"/>
        <v>2026 05</v>
      </c>
      <c r="G5870" s="97" t="s">
        <v>5</v>
      </c>
      <c r="H5870" s="161" t="s">
        <v>2051</v>
      </c>
      <c r="I5870" s="97" t="s">
        <v>2052</v>
      </c>
      <c r="J5870" s="97" t="s">
        <v>5583</v>
      </c>
      <c r="K5870" s="29">
        <v>20.25</v>
      </c>
      <c r="L5870" s="29">
        <v>-8.1</v>
      </c>
      <c r="M5870" s="30">
        <f>IFERROR(VLOOKUP($A5870,HeadJournal!$A$1:$J$890,COLUMN(HeadJournal!I$1),0)*($K5870+$L5870)/(SUMIF($A:$A,$A5870,$K:$K)+SUMIF($A:$A,$A5870,$L:$L)),0)</f>
        <v>-1.1629769445148213</v>
      </c>
      <c r="N5870" s="30">
        <f>IFERROR((VLOOKUP($A5870,HeadJournal!$A$1:$K$890,COLUMN(HeadJournal!K$1),0)-VLOOKUP($A5870,HeadJournal!$A$1:$K$890,COLUMN(HeadJournal!J$1),0))*($K5870+$L5870)/(SUMIF($A:$A,$A5870,$K:$K)+SUMIF($A:$A,$A5870,$L:$L)),0)</f>
        <v>-1.7498037475521087E-15</v>
      </c>
      <c r="O5870" s="30">
        <f>IFERROR((VLOOKUP($A5870,HeadJournal!$A$1:$L$890,COLUMN(HeadJournal!L$1),0)*($K5870+$L5870)/(SUMIF($A:$A,$A5870,$K:$K)+SUMIF($A:$A,$A5870,$L:$L)))/VLOOKUP($A5870,HeadJournal!$A$1:$L$890,COLUMN(HeadJournal!H$1),0),0)</f>
        <v>0</v>
      </c>
      <c r="P5870" s="30">
        <f>IFERROR(SUM(K5870:O5870)*VLOOKUP($A5870,HeadJournal!$A$1:$L$890,COLUMN(HeadJournal!H$1),0),0)</f>
        <v>941.74597669115769</v>
      </c>
      <c r="Q5870" s="29"/>
      <c r="R5870" s="31"/>
      <c r="S5870" s="31"/>
      <c r="T5870" s="95" t="str">
        <f t="shared" si="436"/>
        <v/>
      </c>
      <c r="U5870" s="32">
        <f t="shared" si="437"/>
        <v>-941.74597669115769</v>
      </c>
      <c r="V5870" s="22" t="str">
        <f t="shared" si="438"/>
        <v/>
      </c>
      <c r="X5870" s="33"/>
      <c r="Y5870" s="33"/>
    </row>
    <row r="5871" spans="1:25" x14ac:dyDescent="0.2">
      <c r="A5871" s="93" t="s">
        <v>5737</v>
      </c>
      <c r="B5871" s="94" t="str">
        <f>IFERROR(VLOOKUP($A5871,HeadJournal!$A$1:$NTR$890,COLUMN(HeadJournal!B$1),0),"")</f>
        <v>720001036170</v>
      </c>
      <c r="C5871" s="94" t="str">
        <f>IFERROR(VLOOKUP($A5871,HeadJournal!$A$1:$NTR$890,COLUMN(HeadJournal!C$1),0),"")</f>
        <v>iHerb_VP DFD1605</v>
      </c>
      <c r="D5871" s="125" t="str">
        <f>IFERROR(VLOOKUP($A5871,HeadJournal!$A$1:$NTR$890,COLUMN(HeadJournal!D$1),0),"")</f>
        <v>В пути</v>
      </c>
      <c r="E5871" s="95">
        <f>IFERROR(VLOOKUP($A5871,HeadJournal!$A$1:$NTR$890,COLUMN(HeadJournal!G$1),0),"")</f>
        <v>46155</v>
      </c>
      <c r="F5871" s="95" t="str">
        <f t="shared" si="435"/>
        <v>2026 05</v>
      </c>
      <c r="G5871" s="97" t="s">
        <v>5</v>
      </c>
      <c r="H5871" s="161" t="s">
        <v>2051</v>
      </c>
      <c r="I5871" s="97" t="s">
        <v>2052</v>
      </c>
      <c r="J5871" s="97" t="s">
        <v>5583</v>
      </c>
      <c r="K5871" s="29">
        <v>20.25</v>
      </c>
      <c r="L5871" s="29">
        <v>-8.1</v>
      </c>
      <c r="M5871" s="30">
        <f>IFERROR(VLOOKUP($A5871,HeadJournal!$A$1:$J$890,COLUMN(HeadJournal!I$1),0)*($K5871+$L5871)/(SUMIF($A:$A,$A5871,$K:$K)+SUMIF($A:$A,$A5871,$L:$L)),0)</f>
        <v>-1.1629769445148213</v>
      </c>
      <c r="N5871" s="30">
        <f>IFERROR((VLOOKUP($A5871,HeadJournal!$A$1:$K$890,COLUMN(HeadJournal!K$1),0)-VLOOKUP($A5871,HeadJournal!$A$1:$K$890,COLUMN(HeadJournal!J$1),0))*($K5871+$L5871)/(SUMIF($A:$A,$A5871,$K:$K)+SUMIF($A:$A,$A5871,$L:$L)),0)</f>
        <v>-1.7498037475521087E-15</v>
      </c>
      <c r="O5871" s="30">
        <f>IFERROR((VLOOKUP($A5871,HeadJournal!$A$1:$L$890,COLUMN(HeadJournal!L$1),0)*($K5871+$L5871)/(SUMIF($A:$A,$A5871,$K:$K)+SUMIF($A:$A,$A5871,$L:$L)))/VLOOKUP($A5871,HeadJournal!$A$1:$L$890,COLUMN(HeadJournal!H$1),0),0)</f>
        <v>0</v>
      </c>
      <c r="P5871" s="30">
        <f>IFERROR(SUM(K5871:O5871)*VLOOKUP($A5871,HeadJournal!$A$1:$L$890,COLUMN(HeadJournal!H$1),0),0)</f>
        <v>941.74597669115769</v>
      </c>
      <c r="Q5871" s="29"/>
      <c r="R5871" s="31"/>
      <c r="S5871" s="31"/>
      <c r="T5871" s="95" t="str">
        <f t="shared" si="436"/>
        <v/>
      </c>
      <c r="U5871" s="32">
        <f t="shared" si="437"/>
        <v>-941.74597669115769</v>
      </c>
      <c r="V5871" s="22" t="str">
        <f t="shared" si="438"/>
        <v/>
      </c>
      <c r="X5871" s="33"/>
      <c r="Y5871" s="33"/>
    </row>
    <row r="5872" spans="1:25" x14ac:dyDescent="0.2">
      <c r="A5872" s="93" t="s">
        <v>5737</v>
      </c>
      <c r="B5872" s="94" t="str">
        <f>IFERROR(VLOOKUP($A5872,HeadJournal!$A$1:$NTR$890,COLUMN(HeadJournal!B$1),0),"")</f>
        <v>720001036170</v>
      </c>
      <c r="C5872" s="94" t="str">
        <f>IFERROR(VLOOKUP($A5872,HeadJournal!$A$1:$NTR$890,COLUMN(HeadJournal!C$1),0),"")</f>
        <v>iHerb_VP DFD1605</v>
      </c>
      <c r="D5872" s="125" t="str">
        <f>IFERROR(VLOOKUP($A5872,HeadJournal!$A$1:$NTR$890,COLUMN(HeadJournal!D$1),0),"")</f>
        <v>В пути</v>
      </c>
      <c r="E5872" s="95">
        <f>IFERROR(VLOOKUP($A5872,HeadJournal!$A$1:$NTR$890,COLUMN(HeadJournal!G$1),0),"")</f>
        <v>46155</v>
      </c>
      <c r="F5872" s="95" t="str">
        <f t="shared" si="419"/>
        <v>2026 05</v>
      </c>
      <c r="G5872" s="97" t="s">
        <v>7</v>
      </c>
      <c r="H5872" s="161" t="s">
        <v>5566</v>
      </c>
      <c r="I5872" s="97" t="s">
        <v>2716</v>
      </c>
      <c r="J5872" s="97" t="s">
        <v>5567</v>
      </c>
      <c r="K5872" s="29">
        <v>8.94</v>
      </c>
      <c r="L5872" s="29">
        <v>-2.68</v>
      </c>
      <c r="M5872" s="30">
        <f>IFERROR(VLOOKUP($A5872,HeadJournal!$A$1:$J$890,COLUMN(HeadJournal!I$1),0)*($K5872+$L5872)/(SUMIF($A:$A,$A5872,$K:$K)+SUMIF($A:$A,$A5872,$L:$L)),0)</f>
        <v>-0.59919635165948815</v>
      </c>
      <c r="N5872" s="30">
        <f>IFERROR((VLOOKUP($A5872,HeadJournal!$A$1:$K$890,COLUMN(HeadJournal!K$1),0)-VLOOKUP($A5872,HeadJournal!$A$1:$K$890,COLUMN(HeadJournal!J$1),0))*($K5872+$L5872)/(SUMIF($A:$A,$A5872,$K:$K)+SUMIF($A:$A,$A5872,$L:$L)),0)</f>
        <v>-9.0154497610503709E-16</v>
      </c>
      <c r="O5872" s="30">
        <f>IFERROR((VLOOKUP($A5872,HeadJournal!$A$1:$L$890,COLUMN(HeadJournal!L$1),0)*($K5872+$L5872)/(SUMIF($A:$A,$A5872,$K:$K)+SUMIF($A:$A,$A5872,$L:$L)))/VLOOKUP($A5872,HeadJournal!$A$1:$L$890,COLUMN(HeadJournal!H$1),0),0)</f>
        <v>0</v>
      </c>
      <c r="P5872" s="30">
        <f>IFERROR(SUM(K5872:O5872)*VLOOKUP($A5872,HeadJournal!$A$1:$L$890,COLUMN(HeadJournal!H$1),0),0)</f>
        <v>485.21233037750176</v>
      </c>
      <c r="Q5872" s="29"/>
      <c r="R5872" s="31"/>
      <c r="S5872" s="31"/>
      <c r="T5872" s="95" t="str">
        <f t="shared" si="420"/>
        <v/>
      </c>
      <c r="U5872" s="32">
        <f t="shared" si="354"/>
        <v>-485.21233037750176</v>
      </c>
      <c r="V5872" s="22" t="str">
        <f t="shared" si="355"/>
        <v/>
      </c>
      <c r="X5872" s="33"/>
      <c r="Y5872" s="33"/>
    </row>
    <row r="5873" spans="1:25" x14ac:dyDescent="0.2">
      <c r="A5873" s="93" t="s">
        <v>5740</v>
      </c>
      <c r="B5873" s="94">
        <f>IFERROR(VLOOKUP($A5873,HeadJournal!$A$1:$NTR$890,COLUMN(HeadJournal!B$1),0),"")</f>
        <v>0</v>
      </c>
      <c r="C5873" s="94" t="str">
        <f>IFERROR(VLOOKUP($A5873,HeadJournal!$A$1:$NTR$890,COLUMN(HeadJournal!C$1),0),"")</f>
        <v>Наташа KZ</v>
      </c>
      <c r="D5873" s="125" t="str">
        <f>IFERROR(VLOOKUP($A5873,HeadJournal!$A$1:$NTR$890,COLUMN(HeadJournal!D$1),0),"")</f>
        <v>Доставлен</v>
      </c>
      <c r="E5873" s="95">
        <f>IFERROR(VLOOKUP($A5873,HeadJournal!$A$1:$NTR$890,COLUMN(HeadJournal!G$1),0),"")</f>
        <v>46129</v>
      </c>
      <c r="F5873" s="95" t="str">
        <f t="shared" si="419"/>
        <v>2026 04</v>
      </c>
      <c r="G5873" s="97" t="s">
        <v>5</v>
      </c>
      <c r="H5873" s="161" t="s">
        <v>2051</v>
      </c>
      <c r="I5873" s="97" t="s">
        <v>2052</v>
      </c>
      <c r="J5873" s="97" t="s">
        <v>5583</v>
      </c>
      <c r="K5873" s="29">
        <v>1223</v>
      </c>
      <c r="L5873" s="29">
        <v>0</v>
      </c>
      <c r="M5873" s="30">
        <f>IFERROR(VLOOKUP($A5873,HeadJournal!$A$1:$J$890,COLUMN(HeadJournal!I$1),0)*($K5873+$L5873)/(SUMIF($A:$A,$A5873,$K:$K)+SUMIF($A:$A,$A5873,$L:$L)),0)</f>
        <v>0</v>
      </c>
      <c r="N5873" s="30">
        <f>IFERROR((VLOOKUP($A5873,HeadJournal!$A$1:$K$890,COLUMN(HeadJournal!K$1),0)-VLOOKUP($A5873,HeadJournal!$A$1:$K$890,COLUMN(HeadJournal!J$1),0))*($K5873+$L5873)/(SUMIF($A:$A,$A5873,$K:$K)+SUMIF($A:$A,$A5873,$L:$L)),0)</f>
        <v>0</v>
      </c>
      <c r="O5873" s="30">
        <f>IFERROR((VLOOKUP($A5873,HeadJournal!$A$1:$L$890,COLUMN(HeadJournal!L$1),0)*($K5873+$L5873)/(SUMIF($A:$A,$A5873,$K:$K)+SUMIF($A:$A,$A5873,$L:$L)))/VLOOKUP($A5873,HeadJournal!$A$1:$L$890,COLUMN(HeadJournal!H$1),0),0)</f>
        <v>0</v>
      </c>
      <c r="P5873" s="30">
        <f>IFERROR(SUM(K5873:O5873)*VLOOKUP($A5873,HeadJournal!$A$1:$L$890,COLUMN(HeadJournal!H$1),0),0)</f>
        <v>1223</v>
      </c>
      <c r="Q5873" s="29"/>
      <c r="R5873" s="31"/>
      <c r="S5873" s="31"/>
      <c r="T5873" s="95" t="str">
        <f t="shared" si="420"/>
        <v/>
      </c>
      <c r="U5873" s="32">
        <f t="shared" si="354"/>
        <v>-1223</v>
      </c>
      <c r="V5873" s="22" t="str">
        <f t="shared" si="355"/>
        <v/>
      </c>
      <c r="X5873" s="33"/>
      <c r="Y5873" s="33"/>
    </row>
    <row r="5874" spans="1:25" x14ac:dyDescent="0.2">
      <c r="A5874" s="93" t="s">
        <v>5740</v>
      </c>
      <c r="B5874" s="94">
        <f>IFERROR(VLOOKUP($A5874,HeadJournal!$A$1:$NTR$890,COLUMN(HeadJournal!B$1),0),"")</f>
        <v>0</v>
      </c>
      <c r="C5874" s="94" t="str">
        <f>IFERROR(VLOOKUP($A5874,HeadJournal!$A$1:$NTR$890,COLUMN(HeadJournal!C$1),0),"")</f>
        <v>Наташа KZ</v>
      </c>
      <c r="D5874" s="125" t="str">
        <f>IFERROR(VLOOKUP($A5874,HeadJournal!$A$1:$NTR$890,COLUMN(HeadJournal!D$1),0),"")</f>
        <v>Доставлен</v>
      </c>
      <c r="E5874" s="95">
        <f>IFERROR(VLOOKUP($A5874,HeadJournal!$A$1:$NTR$890,COLUMN(HeadJournal!G$1),0),"")</f>
        <v>46129</v>
      </c>
      <c r="F5874" s="95" t="str">
        <f t="shared" si="419"/>
        <v>2026 04</v>
      </c>
      <c r="G5874" s="97" t="s">
        <v>5</v>
      </c>
      <c r="H5874" s="161" t="s">
        <v>2051</v>
      </c>
      <c r="I5874" s="97" t="s">
        <v>2052</v>
      </c>
      <c r="J5874" s="97" t="s">
        <v>5583</v>
      </c>
      <c r="K5874" s="29">
        <v>1223</v>
      </c>
      <c r="L5874" s="29">
        <v>0</v>
      </c>
      <c r="M5874" s="30">
        <f>IFERROR(VLOOKUP($A5874,HeadJournal!$A$1:$J$890,COLUMN(HeadJournal!I$1),0)*($K5874+$L5874)/(SUMIF($A:$A,$A5874,$K:$K)+SUMIF($A:$A,$A5874,$L:$L)),0)</f>
        <v>0</v>
      </c>
      <c r="N5874" s="30">
        <f>IFERROR((VLOOKUP($A5874,HeadJournal!$A$1:$K$890,COLUMN(HeadJournal!K$1),0)-VLOOKUP($A5874,HeadJournal!$A$1:$K$890,COLUMN(HeadJournal!J$1),0))*($K5874+$L5874)/(SUMIF($A:$A,$A5874,$K:$K)+SUMIF($A:$A,$A5874,$L:$L)),0)</f>
        <v>0</v>
      </c>
      <c r="O5874" s="30">
        <f>IFERROR((VLOOKUP($A5874,HeadJournal!$A$1:$L$890,COLUMN(HeadJournal!L$1),0)*($K5874+$L5874)/(SUMIF($A:$A,$A5874,$K:$K)+SUMIF($A:$A,$A5874,$L:$L)))/VLOOKUP($A5874,HeadJournal!$A$1:$L$890,COLUMN(HeadJournal!H$1),0),0)</f>
        <v>0</v>
      </c>
      <c r="P5874" s="30">
        <f>IFERROR(SUM(K5874:O5874)*VLOOKUP($A5874,HeadJournal!$A$1:$L$890,COLUMN(HeadJournal!H$1),0),0)</f>
        <v>1223</v>
      </c>
      <c r="Q5874" s="29"/>
      <c r="R5874" s="31"/>
      <c r="S5874" s="31"/>
      <c r="T5874" s="95" t="str">
        <f t="shared" si="420"/>
        <v/>
      </c>
      <c r="U5874" s="32">
        <f t="shared" si="354"/>
        <v>-1223</v>
      </c>
      <c r="V5874" s="22" t="str">
        <f t="shared" si="355"/>
        <v/>
      </c>
      <c r="X5874" s="33"/>
      <c r="Y5874" s="33"/>
    </row>
    <row r="5875" spans="1:25" x14ac:dyDescent="0.2">
      <c r="A5875" s="93" t="s">
        <v>5740</v>
      </c>
      <c r="B5875" s="94">
        <f>IFERROR(VLOOKUP($A5875,HeadJournal!$A$1:$NTR$890,COLUMN(HeadJournal!B$1),0),"")</f>
        <v>0</v>
      </c>
      <c r="C5875" s="94" t="str">
        <f>IFERROR(VLOOKUP($A5875,HeadJournal!$A$1:$NTR$890,COLUMN(HeadJournal!C$1),0),"")</f>
        <v>Наташа KZ</v>
      </c>
      <c r="D5875" s="125" t="str">
        <f>IFERROR(VLOOKUP($A5875,HeadJournal!$A$1:$NTR$890,COLUMN(HeadJournal!D$1),0),"")</f>
        <v>Доставлен</v>
      </c>
      <c r="E5875" s="95">
        <f>IFERROR(VLOOKUP($A5875,HeadJournal!$A$1:$NTR$890,COLUMN(HeadJournal!G$1),0),"")</f>
        <v>46129</v>
      </c>
      <c r="F5875" s="95" t="str">
        <f t="shared" si="419"/>
        <v>2026 04</v>
      </c>
      <c r="G5875" s="97" t="s">
        <v>5</v>
      </c>
      <c r="H5875" s="161" t="s">
        <v>2051</v>
      </c>
      <c r="I5875" s="97" t="s">
        <v>2052</v>
      </c>
      <c r="J5875" s="97" t="s">
        <v>5583</v>
      </c>
      <c r="K5875" s="29">
        <v>1223</v>
      </c>
      <c r="L5875" s="29">
        <v>0</v>
      </c>
      <c r="M5875" s="30">
        <f>IFERROR(VLOOKUP($A5875,HeadJournal!$A$1:$J$890,COLUMN(HeadJournal!I$1),0)*($K5875+$L5875)/(SUMIF($A:$A,$A5875,$K:$K)+SUMIF($A:$A,$A5875,$L:$L)),0)</f>
        <v>0</v>
      </c>
      <c r="N5875" s="30">
        <f>IFERROR((VLOOKUP($A5875,HeadJournal!$A$1:$K$890,COLUMN(HeadJournal!K$1),0)-VLOOKUP($A5875,HeadJournal!$A$1:$K$890,COLUMN(HeadJournal!J$1),0))*($K5875+$L5875)/(SUMIF($A:$A,$A5875,$K:$K)+SUMIF($A:$A,$A5875,$L:$L)),0)</f>
        <v>0</v>
      </c>
      <c r="O5875" s="30">
        <f>IFERROR((VLOOKUP($A5875,HeadJournal!$A$1:$L$890,COLUMN(HeadJournal!L$1),0)*($K5875+$L5875)/(SUMIF($A:$A,$A5875,$K:$K)+SUMIF($A:$A,$A5875,$L:$L)))/VLOOKUP($A5875,HeadJournal!$A$1:$L$890,COLUMN(HeadJournal!H$1),0),0)</f>
        <v>0</v>
      </c>
      <c r="P5875" s="30">
        <f>IFERROR(SUM(K5875:O5875)*VLOOKUP($A5875,HeadJournal!$A$1:$L$890,COLUMN(HeadJournal!H$1),0),0)</f>
        <v>1223</v>
      </c>
      <c r="Q5875" s="29"/>
      <c r="R5875" s="31"/>
      <c r="S5875" s="31"/>
      <c r="T5875" s="95" t="str">
        <f t="shared" si="420"/>
        <v/>
      </c>
      <c r="U5875" s="32">
        <f t="shared" si="354"/>
        <v>-1223</v>
      </c>
      <c r="V5875" s="22" t="str">
        <f t="shared" si="355"/>
        <v/>
      </c>
      <c r="X5875" s="33"/>
      <c r="Y5875" s="33"/>
    </row>
    <row r="5876" spans="1:25" x14ac:dyDescent="0.2">
      <c r="A5876" s="93" t="s">
        <v>5740</v>
      </c>
      <c r="B5876" s="94">
        <f>IFERROR(VLOOKUP($A5876,HeadJournal!$A$1:$NTR$890,COLUMN(HeadJournal!B$1),0),"")</f>
        <v>0</v>
      </c>
      <c r="C5876" s="94" t="str">
        <f>IFERROR(VLOOKUP($A5876,HeadJournal!$A$1:$NTR$890,COLUMN(HeadJournal!C$1),0),"")</f>
        <v>Наташа KZ</v>
      </c>
      <c r="D5876" s="125" t="str">
        <f>IFERROR(VLOOKUP($A5876,HeadJournal!$A$1:$NTR$890,COLUMN(HeadJournal!D$1),0),"")</f>
        <v>Доставлен</v>
      </c>
      <c r="E5876" s="95">
        <f>IFERROR(VLOOKUP($A5876,HeadJournal!$A$1:$NTR$890,COLUMN(HeadJournal!G$1),0),"")</f>
        <v>46129</v>
      </c>
      <c r="F5876" s="95" t="str">
        <f t="shared" si="419"/>
        <v>2026 04</v>
      </c>
      <c r="G5876" s="97" t="s">
        <v>5</v>
      </c>
      <c r="H5876" s="161" t="s">
        <v>2051</v>
      </c>
      <c r="I5876" s="97" t="s">
        <v>2052</v>
      </c>
      <c r="J5876" s="97" t="s">
        <v>5583</v>
      </c>
      <c r="K5876" s="29">
        <v>1223</v>
      </c>
      <c r="L5876" s="29">
        <v>0</v>
      </c>
      <c r="M5876" s="30">
        <f>IFERROR(VLOOKUP($A5876,HeadJournal!$A$1:$J$890,COLUMN(HeadJournal!I$1),0)*($K5876+$L5876)/(SUMIF($A:$A,$A5876,$K:$K)+SUMIF($A:$A,$A5876,$L:$L)),0)</f>
        <v>0</v>
      </c>
      <c r="N5876" s="30">
        <f>IFERROR((VLOOKUP($A5876,HeadJournal!$A$1:$K$890,COLUMN(HeadJournal!K$1),0)-VLOOKUP($A5876,HeadJournal!$A$1:$K$890,COLUMN(HeadJournal!J$1),0))*($K5876+$L5876)/(SUMIF($A:$A,$A5876,$K:$K)+SUMIF($A:$A,$A5876,$L:$L)),0)</f>
        <v>0</v>
      </c>
      <c r="O5876" s="30">
        <f>IFERROR((VLOOKUP($A5876,HeadJournal!$A$1:$L$890,COLUMN(HeadJournal!L$1),0)*($K5876+$L5876)/(SUMIF($A:$A,$A5876,$K:$K)+SUMIF($A:$A,$A5876,$L:$L)))/VLOOKUP($A5876,HeadJournal!$A$1:$L$890,COLUMN(HeadJournal!H$1),0),0)</f>
        <v>0</v>
      </c>
      <c r="P5876" s="30">
        <f>IFERROR(SUM(K5876:O5876)*VLOOKUP($A5876,HeadJournal!$A$1:$L$890,COLUMN(HeadJournal!H$1),0),0)</f>
        <v>1223</v>
      </c>
      <c r="Q5876" s="29"/>
      <c r="R5876" s="31"/>
      <c r="S5876" s="31"/>
      <c r="T5876" s="95" t="str">
        <f t="shared" si="420"/>
        <v/>
      </c>
      <c r="U5876" s="32">
        <f t="shared" si="354"/>
        <v>-1223</v>
      </c>
      <c r="V5876" s="22" t="str">
        <f t="shared" si="355"/>
        <v/>
      </c>
      <c r="X5876" s="33"/>
      <c r="Y5876" s="33"/>
    </row>
    <row r="5877" spans="1:25" x14ac:dyDescent="0.2">
      <c r="A5877" s="93" t="s">
        <v>5741</v>
      </c>
      <c r="B5877" s="94">
        <f>IFERROR(VLOOKUP($A5877,HeadJournal!$A$1:$NTR$890,COLUMN(HeadJournal!B$1),0),"")</f>
        <v>0</v>
      </c>
      <c r="C5877" s="94" t="str">
        <f>IFERROR(VLOOKUP($A5877,HeadJournal!$A$1:$NTR$890,COLUMN(HeadJournal!C$1),0),"")</f>
        <v>OZON_OA</v>
      </c>
      <c r="D5877" s="125" t="str">
        <f>IFERROR(VLOOKUP($A5877,HeadJournal!$A$1:$NTR$890,COLUMN(HeadJournal!D$1),0),"")</f>
        <v>Доставлен</v>
      </c>
      <c r="E5877" s="95">
        <f>IFERROR(VLOOKUP($A5877,HeadJournal!$A$1:$NTR$890,COLUMN(HeadJournal!G$1),0),"")</f>
        <v>46160</v>
      </c>
      <c r="F5877" s="95" t="str">
        <f t="shared" si="419"/>
        <v>2026 05</v>
      </c>
      <c r="G5877" s="97" t="s">
        <v>5</v>
      </c>
      <c r="H5877" s="161" t="s">
        <v>2089</v>
      </c>
      <c r="I5877" s="97" t="s">
        <v>2005</v>
      </c>
      <c r="J5877" s="97" t="s">
        <v>3781</v>
      </c>
      <c r="K5877" s="29">
        <v>2643</v>
      </c>
      <c r="L5877" s="29">
        <v>0</v>
      </c>
      <c r="M5877" s="30">
        <f>IFERROR(VLOOKUP($A5877,HeadJournal!$A$1:$J$890,COLUMN(HeadJournal!I$1),0)*($K5877+$L5877)/(SUMIF($A:$A,$A5877,$K:$K)+SUMIF($A:$A,$A5877,$L:$L)),0)</f>
        <v>0</v>
      </c>
      <c r="N5877" s="30">
        <f>IFERROR((VLOOKUP($A5877,HeadJournal!$A$1:$K$890,COLUMN(HeadJournal!K$1),0)-VLOOKUP($A5877,HeadJournal!$A$1:$K$890,COLUMN(HeadJournal!J$1),0))*($K5877+$L5877)/(SUMIF($A:$A,$A5877,$K:$K)+SUMIF($A:$A,$A5877,$L:$L)),0)</f>
        <v>0</v>
      </c>
      <c r="O5877" s="30">
        <f>IFERROR((VLOOKUP($A5877,HeadJournal!$A$1:$L$890,COLUMN(HeadJournal!L$1),0)*($K5877+$L5877)/(SUMIF($A:$A,$A5877,$K:$K)+SUMIF($A:$A,$A5877,$L:$L)))/VLOOKUP($A5877,HeadJournal!$A$1:$L$890,COLUMN(HeadJournal!H$1),0),0)</f>
        <v>0</v>
      </c>
      <c r="P5877" s="30">
        <f>IFERROR(SUM(K5877:O5877)*VLOOKUP($A5877,HeadJournal!$A$1:$L$890,COLUMN(HeadJournal!H$1),0),0)</f>
        <v>2643</v>
      </c>
      <c r="Q5877" s="29">
        <v>3000</v>
      </c>
      <c r="R5877" s="31">
        <v>46167</v>
      </c>
      <c r="S5877" s="31" t="s">
        <v>3493</v>
      </c>
      <c r="T5877" s="95" t="str">
        <f t="shared" si="420"/>
        <v>2026 05</v>
      </c>
      <c r="U5877" s="32">
        <f t="shared" si="354"/>
        <v>357</v>
      </c>
      <c r="V5877" s="22">
        <f t="shared" si="355"/>
        <v>0.13507377979568672</v>
      </c>
      <c r="X5877" s="33"/>
      <c r="Y5877" s="33"/>
    </row>
    <row r="5878" spans="1:25" x14ac:dyDescent="0.2">
      <c r="A5878" s="93" t="s">
        <v>5742</v>
      </c>
      <c r="B5878" s="94">
        <f>IFERROR(VLOOKUP($A5878,HeadJournal!$A$1:$NTR$890,COLUMN(HeadJournal!B$1),0),"")</f>
        <v>0</v>
      </c>
      <c r="C5878" s="94" t="str">
        <f>IFERROR(VLOOKUP($A5878,HeadJournal!$A$1:$NTR$890,COLUMN(HeadJournal!C$1),0),"")</f>
        <v>OZON_OA</v>
      </c>
      <c r="D5878" s="125" t="str">
        <f>IFERROR(VLOOKUP($A5878,HeadJournal!$A$1:$NTR$890,COLUMN(HeadJournal!D$1),0),"")</f>
        <v>Доставлен</v>
      </c>
      <c r="E5878" s="95">
        <f>IFERROR(VLOOKUP($A5878,HeadJournal!$A$1:$NTR$890,COLUMN(HeadJournal!G$1),0),"")</f>
        <v>46160</v>
      </c>
      <c r="F5878" s="95" t="str">
        <f t="shared" si="419"/>
        <v>2026 05</v>
      </c>
      <c r="G5878" s="97" t="s">
        <v>6</v>
      </c>
      <c r="H5878" s="161" t="s">
        <v>2280</v>
      </c>
      <c r="I5878" s="97" t="s">
        <v>2281</v>
      </c>
      <c r="J5878" s="97" t="s">
        <v>737</v>
      </c>
      <c r="K5878" s="29">
        <v>894</v>
      </c>
      <c r="L5878" s="29">
        <v>0</v>
      </c>
      <c r="M5878" s="30">
        <f>IFERROR(VLOOKUP($A5878,HeadJournal!$A$1:$J$890,COLUMN(HeadJournal!I$1),0)*($K5878+$L5878)/(SUMIF($A:$A,$A5878,$K:$K)+SUMIF($A:$A,$A5878,$L:$L)),0)</f>
        <v>0</v>
      </c>
      <c r="N5878" s="30">
        <f>IFERROR((VLOOKUP($A5878,HeadJournal!$A$1:$K$890,COLUMN(HeadJournal!K$1),0)-VLOOKUP($A5878,HeadJournal!$A$1:$K$890,COLUMN(HeadJournal!J$1),0))*($K5878+$L5878)/(SUMIF($A:$A,$A5878,$K:$K)+SUMIF($A:$A,$A5878,$L:$L)),0)</f>
        <v>0</v>
      </c>
      <c r="O5878" s="30">
        <f>IFERROR((VLOOKUP($A5878,HeadJournal!$A$1:$L$890,COLUMN(HeadJournal!L$1),0)*($K5878+$L5878)/(SUMIF($A:$A,$A5878,$K:$K)+SUMIF($A:$A,$A5878,$L:$L)))/VLOOKUP($A5878,HeadJournal!$A$1:$L$890,COLUMN(HeadJournal!H$1),0),0)</f>
        <v>0</v>
      </c>
      <c r="P5878" s="30">
        <f>IFERROR(SUM(K5878:O5878)*VLOOKUP($A5878,HeadJournal!$A$1:$L$890,COLUMN(HeadJournal!H$1),0),0)</f>
        <v>894</v>
      </c>
      <c r="Q5878" s="29">
        <v>2000</v>
      </c>
      <c r="R5878" s="31">
        <v>46167</v>
      </c>
      <c r="S5878" s="31"/>
      <c r="T5878" s="95" t="str">
        <f t="shared" si="420"/>
        <v>2026 05</v>
      </c>
      <c r="U5878" s="32">
        <f t="shared" si="354"/>
        <v>1106</v>
      </c>
      <c r="V5878" s="22">
        <f t="shared" si="355"/>
        <v>1.2371364653243848</v>
      </c>
      <c r="X5878" s="33"/>
      <c r="Y5878" s="33"/>
    </row>
    <row r="5879" spans="1:25" x14ac:dyDescent="0.2">
      <c r="A5879" s="93" t="s">
        <v>5743</v>
      </c>
      <c r="B5879" s="94">
        <f>IFERROR(VLOOKUP($A5879,HeadJournal!$A$1:$NTR$890,COLUMN(HeadJournal!B$1),0),"")</f>
        <v>0</v>
      </c>
      <c r="C5879" s="94" t="str">
        <f>IFERROR(VLOOKUP($A5879,HeadJournal!$A$1:$NTR$890,COLUMN(HeadJournal!C$1),0),"")</f>
        <v>OZON_OA</v>
      </c>
      <c r="D5879" s="125" t="str">
        <f>IFERROR(VLOOKUP($A5879,HeadJournal!$A$1:$NTR$890,COLUMN(HeadJournal!D$1),0),"")</f>
        <v>Доставлен</v>
      </c>
      <c r="E5879" s="95">
        <f>IFERROR(VLOOKUP($A5879,HeadJournal!$A$1:$NTR$890,COLUMN(HeadJournal!G$1),0),"")</f>
        <v>46160</v>
      </c>
      <c r="F5879" s="95" t="str">
        <f t="shared" ref="F5879:F5886" si="439">IFERROR(TEXT(E5879, "ГГГГ ММ"),"")</f>
        <v>2026 05</v>
      </c>
      <c r="G5879" s="97" t="s">
        <v>6</v>
      </c>
      <c r="H5879" s="161" t="s">
        <v>2280</v>
      </c>
      <c r="I5879" s="97" t="s">
        <v>2281</v>
      </c>
      <c r="J5879" s="97" t="s">
        <v>737</v>
      </c>
      <c r="K5879" s="29">
        <v>649</v>
      </c>
      <c r="L5879" s="29">
        <v>0</v>
      </c>
      <c r="M5879" s="30">
        <f>IFERROR(VLOOKUP($A5879,HeadJournal!$A$1:$J$890,COLUMN(HeadJournal!I$1),0)*($K5879+$L5879)/(SUMIF($A:$A,$A5879,$K:$K)+SUMIF($A:$A,$A5879,$L:$L)),0)</f>
        <v>0</v>
      </c>
      <c r="N5879" s="30">
        <f>IFERROR((VLOOKUP($A5879,HeadJournal!$A$1:$K$890,COLUMN(HeadJournal!K$1),0)-VLOOKUP($A5879,HeadJournal!$A$1:$K$890,COLUMN(HeadJournal!J$1),0))*($K5879+$L5879)/(SUMIF($A:$A,$A5879,$K:$K)+SUMIF($A:$A,$A5879,$L:$L)),0)</f>
        <v>0</v>
      </c>
      <c r="O5879" s="30">
        <f>IFERROR((VLOOKUP($A5879,HeadJournal!$A$1:$L$890,COLUMN(HeadJournal!L$1),0)*($K5879+$L5879)/(SUMIF($A:$A,$A5879,$K:$K)+SUMIF($A:$A,$A5879,$L:$L)))/VLOOKUP($A5879,HeadJournal!$A$1:$L$890,COLUMN(HeadJournal!H$1),0),0)</f>
        <v>0</v>
      </c>
      <c r="P5879" s="30">
        <f>IFERROR(SUM(K5879:O5879)*VLOOKUP($A5879,HeadJournal!$A$1:$L$890,COLUMN(HeadJournal!H$1),0),0)</f>
        <v>649</v>
      </c>
      <c r="Q5879" s="29">
        <v>2000</v>
      </c>
      <c r="R5879" s="31">
        <v>46167</v>
      </c>
      <c r="S5879" s="31" t="s">
        <v>3493</v>
      </c>
      <c r="T5879" s="95" t="str">
        <f t="shared" ref="T5879:T5886" si="440">IF(R5879="","",TEXT(R5879,"ГГГГ ММ"))</f>
        <v>2026 05</v>
      </c>
      <c r="U5879" s="32">
        <f t="shared" ref="U5879:U5886" si="441">Q5879-P5879</f>
        <v>1351</v>
      </c>
      <c r="V5879" s="22">
        <f t="shared" ref="V5879:V5886" si="442">IF(Q5879&lt;&gt;0,IFERROR(U5879/P5879,""),"")</f>
        <v>2.0816640986132513</v>
      </c>
      <c r="X5879" s="33"/>
      <c r="Y5879" s="33"/>
    </row>
    <row r="5880" spans="1:25" x14ac:dyDescent="0.2">
      <c r="A5880" s="93" t="s">
        <v>5744</v>
      </c>
      <c r="B5880" s="94">
        <f>IFERROR(VLOOKUP($A5880,HeadJournal!$A$1:$NTR$890,COLUMN(HeadJournal!B$1),0),"")</f>
        <v>0</v>
      </c>
      <c r="C5880" s="94" t="str">
        <f>IFERROR(VLOOKUP($A5880,HeadJournal!$A$1:$NTR$890,COLUMN(HeadJournal!C$1),0),"")</f>
        <v>OZON_OA</v>
      </c>
      <c r="D5880" s="125" t="str">
        <f>IFERROR(VLOOKUP($A5880,HeadJournal!$A$1:$NTR$890,COLUMN(HeadJournal!D$1),0),"")</f>
        <v>Доставлен</v>
      </c>
      <c r="E5880" s="95">
        <f>IFERROR(VLOOKUP($A5880,HeadJournal!$A$1:$NTR$890,COLUMN(HeadJournal!G$1),0),"")</f>
        <v>46160</v>
      </c>
      <c r="F5880" s="95" t="str">
        <f t="shared" si="439"/>
        <v>2026 05</v>
      </c>
      <c r="G5880" s="97" t="s">
        <v>6</v>
      </c>
      <c r="H5880" s="161" t="s">
        <v>2280</v>
      </c>
      <c r="I5880" s="97" t="s">
        <v>2281</v>
      </c>
      <c r="J5880" s="97" t="s">
        <v>737</v>
      </c>
      <c r="K5880" s="29">
        <v>649</v>
      </c>
      <c r="L5880" s="29">
        <v>0</v>
      </c>
      <c r="M5880" s="30">
        <f>IFERROR(VLOOKUP($A5880,HeadJournal!$A$1:$J$890,COLUMN(HeadJournal!I$1),0)*($K5880+$L5880)/(SUMIF($A:$A,$A5880,$K:$K)+SUMIF($A:$A,$A5880,$L:$L)),0)</f>
        <v>0</v>
      </c>
      <c r="N5880" s="30">
        <f>IFERROR((VLOOKUP($A5880,HeadJournal!$A$1:$K$890,COLUMN(HeadJournal!K$1),0)-VLOOKUP($A5880,HeadJournal!$A$1:$K$890,COLUMN(HeadJournal!J$1),0))*($K5880+$L5880)/(SUMIF($A:$A,$A5880,$K:$K)+SUMIF($A:$A,$A5880,$L:$L)),0)</f>
        <v>0</v>
      </c>
      <c r="O5880" s="30">
        <f>IFERROR((VLOOKUP($A5880,HeadJournal!$A$1:$L$890,COLUMN(HeadJournal!L$1),0)*($K5880+$L5880)/(SUMIF($A:$A,$A5880,$K:$K)+SUMIF($A:$A,$A5880,$L:$L)))/VLOOKUP($A5880,HeadJournal!$A$1:$L$890,COLUMN(HeadJournal!H$1),0),0)</f>
        <v>0</v>
      </c>
      <c r="P5880" s="30">
        <f>IFERROR(SUM(K5880:O5880)*VLOOKUP($A5880,HeadJournal!$A$1:$L$890,COLUMN(HeadJournal!H$1),0),0)</f>
        <v>649</v>
      </c>
      <c r="Q5880" s="29"/>
      <c r="R5880" s="31"/>
      <c r="S5880" s="31"/>
      <c r="T5880" s="95" t="str">
        <f t="shared" si="440"/>
        <v/>
      </c>
      <c r="U5880" s="32">
        <f t="shared" si="441"/>
        <v>-649</v>
      </c>
      <c r="V5880" s="22" t="str">
        <f t="shared" si="442"/>
        <v/>
      </c>
      <c r="X5880" s="33"/>
      <c r="Y5880" s="33"/>
    </row>
    <row r="5881" spans="1:25" x14ac:dyDescent="0.2">
      <c r="A5881" s="93" t="s">
        <v>5745</v>
      </c>
      <c r="B5881" s="94">
        <f>IFERROR(VLOOKUP($A5881,HeadJournal!$A$1:$NTR$890,COLUMN(HeadJournal!B$1),0),"")</f>
        <v>0</v>
      </c>
      <c r="C5881" s="94" t="str">
        <f>IFERROR(VLOOKUP($A5881,HeadJournal!$A$1:$NTR$890,COLUMN(HeadJournal!C$1),0),"")</f>
        <v>OZON_OA</v>
      </c>
      <c r="D5881" s="125" t="str">
        <f>IFERROR(VLOOKUP($A5881,HeadJournal!$A$1:$NTR$890,COLUMN(HeadJournal!D$1),0),"")</f>
        <v>Доставлен</v>
      </c>
      <c r="E5881" s="95">
        <f>IFERROR(VLOOKUP($A5881,HeadJournal!$A$1:$NTR$890,COLUMN(HeadJournal!G$1),0),"")</f>
        <v>46166</v>
      </c>
      <c r="F5881" s="95" t="str">
        <f t="shared" si="439"/>
        <v>2026 05</v>
      </c>
      <c r="G5881" s="97" t="s">
        <v>6</v>
      </c>
      <c r="H5881" s="161" t="s">
        <v>2280</v>
      </c>
      <c r="I5881" s="97" t="s">
        <v>2281</v>
      </c>
      <c r="J5881" s="97" t="s">
        <v>737</v>
      </c>
      <c r="K5881" s="29">
        <v>749</v>
      </c>
      <c r="L5881" s="29">
        <v>0</v>
      </c>
      <c r="M5881" s="30">
        <f>IFERROR(VLOOKUP($A5881,HeadJournal!$A$1:$J$890,COLUMN(HeadJournal!I$1),0)*($K5881+$L5881)/(SUMIF($A:$A,$A5881,$K:$K)+SUMIF($A:$A,$A5881,$L:$L)),0)</f>
        <v>0</v>
      </c>
      <c r="N5881" s="30">
        <f>IFERROR((VLOOKUP($A5881,HeadJournal!$A$1:$K$890,COLUMN(HeadJournal!K$1),0)-VLOOKUP($A5881,HeadJournal!$A$1:$K$890,COLUMN(HeadJournal!J$1),0))*($K5881+$L5881)/(SUMIF($A:$A,$A5881,$K:$K)+SUMIF($A:$A,$A5881,$L:$L)),0)</f>
        <v>0</v>
      </c>
      <c r="O5881" s="30">
        <f>IFERROR((VLOOKUP($A5881,HeadJournal!$A$1:$L$890,COLUMN(HeadJournal!L$1),0)*($K5881+$L5881)/(SUMIF($A:$A,$A5881,$K:$K)+SUMIF($A:$A,$A5881,$L:$L)))/VLOOKUP($A5881,HeadJournal!$A$1:$L$890,COLUMN(HeadJournal!H$1),0),0)</f>
        <v>0</v>
      </c>
      <c r="P5881" s="30">
        <f>IFERROR(SUM(K5881:O5881)*VLOOKUP($A5881,HeadJournal!$A$1:$L$890,COLUMN(HeadJournal!H$1),0),0)</f>
        <v>749</v>
      </c>
      <c r="Q5881" s="29"/>
      <c r="R5881" s="31"/>
      <c r="S5881" s="31"/>
      <c r="T5881" s="95" t="str">
        <f t="shared" si="440"/>
        <v/>
      </c>
      <c r="U5881" s="32">
        <f t="shared" si="441"/>
        <v>-749</v>
      </c>
      <c r="V5881" s="22" t="str">
        <f t="shared" si="442"/>
        <v/>
      </c>
      <c r="X5881" s="33"/>
      <c r="Y5881" s="33"/>
    </row>
    <row r="5882" spans="1:25" x14ac:dyDescent="0.2">
      <c r="A5882" s="93" t="s">
        <v>5745</v>
      </c>
      <c r="B5882" s="94">
        <f>IFERROR(VLOOKUP($A5882,HeadJournal!$A$1:$NTR$890,COLUMN(HeadJournal!B$1),0),"")</f>
        <v>0</v>
      </c>
      <c r="C5882" s="94" t="str">
        <f>IFERROR(VLOOKUP($A5882,HeadJournal!$A$1:$NTR$890,COLUMN(HeadJournal!C$1),0),"")</f>
        <v>OZON_OA</v>
      </c>
      <c r="D5882" s="125" t="str">
        <f>IFERROR(VLOOKUP($A5882,HeadJournal!$A$1:$NTR$890,COLUMN(HeadJournal!D$1),0),"")</f>
        <v>Доставлен</v>
      </c>
      <c r="E5882" s="95">
        <f>IFERROR(VLOOKUP($A5882,HeadJournal!$A$1:$NTR$890,COLUMN(HeadJournal!G$1),0),"")</f>
        <v>46166</v>
      </c>
      <c r="F5882" s="95" t="str">
        <f t="shared" si="439"/>
        <v>2026 05</v>
      </c>
      <c r="G5882" s="97" t="s">
        <v>6</v>
      </c>
      <c r="H5882" s="161" t="s">
        <v>2280</v>
      </c>
      <c r="I5882" s="97" t="s">
        <v>2281</v>
      </c>
      <c r="J5882" s="97" t="s">
        <v>737</v>
      </c>
      <c r="K5882" s="29">
        <v>866</v>
      </c>
      <c r="L5882" s="29">
        <v>0</v>
      </c>
      <c r="M5882" s="30">
        <f>IFERROR(VLOOKUP($A5882,HeadJournal!$A$1:$J$890,COLUMN(HeadJournal!I$1),0)*($K5882+$L5882)/(SUMIF($A:$A,$A5882,$K:$K)+SUMIF($A:$A,$A5882,$L:$L)),0)</f>
        <v>0</v>
      </c>
      <c r="N5882" s="30">
        <f>IFERROR((VLOOKUP($A5882,HeadJournal!$A$1:$K$890,COLUMN(HeadJournal!K$1),0)-VLOOKUP($A5882,HeadJournal!$A$1:$K$890,COLUMN(HeadJournal!J$1),0))*($K5882+$L5882)/(SUMIF($A:$A,$A5882,$K:$K)+SUMIF($A:$A,$A5882,$L:$L)),0)</f>
        <v>0</v>
      </c>
      <c r="O5882" s="30">
        <f>IFERROR((VLOOKUP($A5882,HeadJournal!$A$1:$L$890,COLUMN(HeadJournal!L$1),0)*($K5882+$L5882)/(SUMIF($A:$A,$A5882,$K:$K)+SUMIF($A:$A,$A5882,$L:$L)))/VLOOKUP($A5882,HeadJournal!$A$1:$L$890,COLUMN(HeadJournal!H$1),0),0)</f>
        <v>0</v>
      </c>
      <c r="P5882" s="30">
        <f>IFERROR(SUM(K5882:O5882)*VLOOKUP($A5882,HeadJournal!$A$1:$L$890,COLUMN(HeadJournal!H$1),0),0)</f>
        <v>866</v>
      </c>
      <c r="Q5882" s="29"/>
      <c r="R5882" s="31"/>
      <c r="S5882" s="31"/>
      <c r="T5882" s="95" t="str">
        <f t="shared" si="440"/>
        <v/>
      </c>
      <c r="U5882" s="32">
        <f t="shared" si="441"/>
        <v>-866</v>
      </c>
      <c r="V5882" s="22" t="str">
        <f t="shared" si="442"/>
        <v/>
      </c>
      <c r="X5882" s="33"/>
      <c r="Y5882" s="33"/>
    </row>
    <row r="5883" spans="1:25" x14ac:dyDescent="0.2">
      <c r="A5883" s="93" t="s">
        <v>5755</v>
      </c>
      <c r="B5883" s="94">
        <f>IFERROR(VLOOKUP($A5883,HeadJournal!$A$1:$NTR$890,COLUMN(HeadJournal!B$1),0),"")</f>
        <v>0</v>
      </c>
      <c r="C5883" s="94" t="str">
        <f>IFERROR(VLOOKUP($A5883,HeadJournal!$A$1:$NTR$890,COLUMN(HeadJournal!C$1),0),"")</f>
        <v>iHerb_VP DFD1605</v>
      </c>
      <c r="D5883" s="125" t="str">
        <f>IFERROR(VLOOKUP($A5883,HeadJournal!$A$1:$NTR$890,COLUMN(HeadJournal!D$1),0),"")</f>
        <v>В пути</v>
      </c>
      <c r="E5883" s="95">
        <f>IFERROR(VLOOKUP($A5883,HeadJournal!$A$1:$NTR$890,COLUMN(HeadJournal!G$1),0),"")</f>
        <v>46161</v>
      </c>
      <c r="F5883" s="95" t="str">
        <f t="shared" si="439"/>
        <v>2026 05</v>
      </c>
      <c r="G5883" s="97" t="s">
        <v>5</v>
      </c>
      <c r="H5883" s="161" t="s">
        <v>2190</v>
      </c>
      <c r="I5883" s="97" t="s">
        <v>2005</v>
      </c>
      <c r="J5883" s="97" t="s">
        <v>2191</v>
      </c>
      <c r="K5883" s="29">
        <v>15.16</v>
      </c>
      <c r="L5883" s="29">
        <v>-3.03</v>
      </c>
      <c r="M5883" s="30">
        <f>IFERROR(VLOOKUP($A5883,HeadJournal!$A$1:$J$890,COLUMN(HeadJournal!I$1),0)*($K5883+$L5883)/(SUMIF($A:$A,$A5883,$K:$K)+SUMIF($A:$A,$A5883,$L:$L)),0)</f>
        <v>-0.60525589743589736</v>
      </c>
      <c r="N5883" s="30">
        <f>IFERROR((VLOOKUP($A5883,HeadJournal!$A$1:$K$890,COLUMN(HeadJournal!K$1),0)-VLOOKUP($A5883,HeadJournal!$A$1:$K$890,COLUMN(HeadJournal!J$1),0))*($K5883+$L5883)/(SUMIF($A:$A,$A5883,$K:$K)+SUMIF($A:$A,$A5883,$L:$L)),0)</f>
        <v>-3.5359521578543644E-15</v>
      </c>
      <c r="O5883" s="30">
        <f>IFERROR((VLOOKUP($A5883,HeadJournal!$A$1:$L$890,COLUMN(HeadJournal!L$1),0)*($K5883+$L5883)/(SUMIF($A:$A,$A5883,$K:$K)+SUMIF($A:$A,$A5883,$L:$L)))/VLOOKUP($A5883,HeadJournal!$A$1:$L$890,COLUMN(HeadJournal!H$1),0),0)</f>
        <v>0</v>
      </c>
      <c r="P5883" s="30">
        <f>IFERROR(SUM(K5883:O5883)*VLOOKUP($A5883,HeadJournal!$A$1:$L$890,COLUMN(HeadJournal!H$1),0),0)</f>
        <v>964.92594871794847</v>
      </c>
      <c r="Q5883" s="29"/>
      <c r="R5883" s="31"/>
      <c r="S5883" s="31"/>
      <c r="T5883" s="95" t="str">
        <f t="shared" si="440"/>
        <v/>
      </c>
      <c r="U5883" s="32">
        <f t="shared" si="441"/>
        <v>-964.92594871794847</v>
      </c>
      <c r="V5883" s="22" t="str">
        <f t="shared" si="442"/>
        <v/>
      </c>
      <c r="X5883" s="33"/>
      <c r="Y5883" s="33"/>
    </row>
    <row r="5884" spans="1:25" x14ac:dyDescent="0.2">
      <c r="A5884" s="93" t="s">
        <v>5755</v>
      </c>
      <c r="B5884" s="94">
        <f>IFERROR(VLOOKUP($A5884,HeadJournal!$A$1:$NTR$890,COLUMN(HeadJournal!B$1),0),"")</f>
        <v>0</v>
      </c>
      <c r="C5884" s="94" t="str">
        <f>IFERROR(VLOOKUP($A5884,HeadJournal!$A$1:$NTR$890,COLUMN(HeadJournal!C$1),0),"")</f>
        <v>iHerb_VP DFD1605</v>
      </c>
      <c r="D5884" s="125" t="str">
        <f>IFERROR(VLOOKUP($A5884,HeadJournal!$A$1:$NTR$890,COLUMN(HeadJournal!D$1),0),"")</f>
        <v>В пути</v>
      </c>
      <c r="E5884" s="95">
        <f>IFERROR(VLOOKUP($A5884,HeadJournal!$A$1:$NTR$890,COLUMN(HeadJournal!G$1),0),"")</f>
        <v>46161</v>
      </c>
      <c r="F5884" s="95" t="str">
        <f t="shared" si="439"/>
        <v>2026 05</v>
      </c>
      <c r="G5884" s="97" t="s">
        <v>5</v>
      </c>
      <c r="H5884" s="161" t="s">
        <v>2680</v>
      </c>
      <c r="I5884" s="97" t="s">
        <v>2681</v>
      </c>
      <c r="J5884" s="97" t="s">
        <v>3853</v>
      </c>
      <c r="K5884" s="29">
        <v>7.79</v>
      </c>
      <c r="L5884" s="29">
        <v>-1.56</v>
      </c>
      <c r="M5884" s="30">
        <f>IFERROR(VLOOKUP($A5884,HeadJournal!$A$1:$J$890,COLUMN(HeadJournal!I$1),0)*($K5884+$L5884)/(SUMIF($A:$A,$A5884,$K:$K)+SUMIF($A:$A,$A5884,$L:$L)),0)</f>
        <v>-0.31086102564102558</v>
      </c>
      <c r="N5884" s="30">
        <f>IFERROR((VLOOKUP($A5884,HeadJournal!$A$1:$K$890,COLUMN(HeadJournal!K$1),0)-VLOOKUP($A5884,HeadJournal!$A$1:$K$890,COLUMN(HeadJournal!J$1),0))*($K5884+$L5884)/(SUMIF($A:$A,$A5884,$K:$K)+SUMIF($A:$A,$A5884,$L:$L)),0)</f>
        <v>-1.8160743564247888E-15</v>
      </c>
      <c r="O5884" s="30">
        <f>IFERROR((VLOOKUP($A5884,HeadJournal!$A$1:$L$890,COLUMN(HeadJournal!L$1),0)*($K5884+$L5884)/(SUMIF($A:$A,$A5884,$K:$K)+SUMIF($A:$A,$A5884,$L:$L)))/VLOOKUP($A5884,HeadJournal!$A$1:$L$890,COLUMN(HeadJournal!H$1),0),0)</f>
        <v>0</v>
      </c>
      <c r="P5884" s="30">
        <f>IFERROR(SUM(K5884:O5884)*VLOOKUP($A5884,HeadJournal!$A$1:$L$890,COLUMN(HeadJournal!H$1),0),0)</f>
        <v>495.58851282051273</v>
      </c>
      <c r="Q5884" s="29"/>
      <c r="R5884" s="31"/>
      <c r="S5884" s="31"/>
      <c r="T5884" s="95" t="str">
        <f t="shared" si="440"/>
        <v/>
      </c>
      <c r="U5884" s="32">
        <f t="shared" si="441"/>
        <v>-495.58851282051273</v>
      </c>
      <c r="V5884" s="22" t="str">
        <f t="shared" si="442"/>
        <v/>
      </c>
      <c r="X5884" s="33"/>
      <c r="Y5884" s="33"/>
    </row>
    <row r="5885" spans="1:25" x14ac:dyDescent="0.2">
      <c r="A5885" s="93" t="s">
        <v>5755</v>
      </c>
      <c r="B5885" s="94">
        <f>IFERROR(VLOOKUP($A5885,HeadJournal!$A$1:$NTR$890,COLUMN(HeadJournal!B$1),0),"")</f>
        <v>0</v>
      </c>
      <c r="C5885" s="94" t="str">
        <f>IFERROR(VLOOKUP($A5885,HeadJournal!$A$1:$NTR$890,COLUMN(HeadJournal!C$1),0),"")</f>
        <v>iHerb_VP DFD1605</v>
      </c>
      <c r="D5885" s="125" t="str">
        <f>IFERROR(VLOOKUP($A5885,HeadJournal!$A$1:$NTR$890,COLUMN(HeadJournal!D$1),0),"")</f>
        <v>В пути</v>
      </c>
      <c r="E5885" s="95">
        <f>IFERROR(VLOOKUP($A5885,HeadJournal!$A$1:$NTR$890,COLUMN(HeadJournal!G$1),0),"")</f>
        <v>46161</v>
      </c>
      <c r="F5885" s="95" t="str">
        <f t="shared" si="439"/>
        <v>2026 05</v>
      </c>
      <c r="G5885" s="97" t="s">
        <v>5</v>
      </c>
      <c r="H5885" s="161" t="s">
        <v>2089</v>
      </c>
      <c r="I5885" s="97" t="s">
        <v>2005</v>
      </c>
      <c r="J5885" s="97" t="s">
        <v>3781</v>
      </c>
      <c r="K5885" s="29">
        <v>25.77</v>
      </c>
      <c r="L5885" s="29">
        <v>-5.15</v>
      </c>
      <c r="M5885" s="30">
        <f>IFERROR(VLOOKUP($A5885,HeadJournal!$A$1:$J$890,COLUMN(HeadJournal!I$1),0)*($K5885+$L5885)/(SUMIF($A:$A,$A5885,$K:$K)+SUMIF($A:$A,$A5885,$L:$L)),0)</f>
        <v>-1.0288851282051279</v>
      </c>
      <c r="N5885" s="30">
        <f>IFERROR((VLOOKUP($A5885,HeadJournal!$A$1:$K$890,COLUMN(HeadJournal!K$1),0)-VLOOKUP($A5885,HeadJournal!$A$1:$K$890,COLUMN(HeadJournal!J$1),0))*($K5885+$L5885)/(SUMIF($A:$A,$A5885,$K:$K)+SUMIF($A:$A,$A5885,$L:$L)),0)</f>
        <v>-6.0108271636403119E-15</v>
      </c>
      <c r="O5885" s="30">
        <f>IFERROR((VLOOKUP($A5885,HeadJournal!$A$1:$L$890,COLUMN(HeadJournal!L$1),0)*($K5885+$L5885)/(SUMIF($A:$A,$A5885,$K:$K)+SUMIF($A:$A,$A5885,$L:$L)))/VLOOKUP($A5885,HeadJournal!$A$1:$L$890,COLUMN(HeadJournal!H$1),0),0)</f>
        <v>0</v>
      </c>
      <c r="P5885" s="30">
        <f>IFERROR(SUM(K5885:O5885)*VLOOKUP($A5885,HeadJournal!$A$1:$L$890,COLUMN(HeadJournal!H$1),0),0)</f>
        <v>1640.2945641025633</v>
      </c>
      <c r="Q5885" s="29"/>
      <c r="R5885" s="31"/>
      <c r="S5885" s="31"/>
      <c r="T5885" s="95" t="str">
        <f t="shared" si="440"/>
        <v/>
      </c>
      <c r="U5885" s="32">
        <f t="shared" si="441"/>
        <v>-1640.2945641025633</v>
      </c>
      <c r="V5885" s="22" t="str">
        <f t="shared" si="442"/>
        <v/>
      </c>
      <c r="X5885" s="33"/>
      <c r="Y5885" s="33"/>
    </row>
    <row r="5886" spans="1:25" x14ac:dyDescent="0.2">
      <c r="A5886" s="93" t="s">
        <v>5755</v>
      </c>
      <c r="B5886" s="94">
        <f>IFERROR(VLOOKUP($A5886,HeadJournal!$A$1:$NTR$890,COLUMN(HeadJournal!B$1),0),"")</f>
        <v>0</v>
      </c>
      <c r="C5886" s="94" t="str">
        <f>IFERROR(VLOOKUP($A5886,HeadJournal!$A$1:$NTR$890,COLUMN(HeadJournal!C$1),0),"")</f>
        <v>iHerb_VP DFD1605</v>
      </c>
      <c r="D5886" s="125" t="str">
        <f>IFERROR(VLOOKUP($A5886,HeadJournal!$A$1:$NTR$890,COLUMN(HeadJournal!D$1),0),"")</f>
        <v>В пути</v>
      </c>
      <c r="E5886" s="95">
        <f>IFERROR(VLOOKUP($A5886,HeadJournal!$A$1:$NTR$890,COLUMN(HeadJournal!G$1),0),"")</f>
        <v>46161</v>
      </c>
      <c r="F5886" s="95" t="str">
        <f t="shared" si="439"/>
        <v>2026 05</v>
      </c>
      <c r="G5886" s="97" t="s">
        <v>7</v>
      </c>
      <c r="H5886" s="161" t="s">
        <v>5746</v>
      </c>
      <c r="I5886" s="97" t="s">
        <v>5747</v>
      </c>
      <c r="J5886" s="97" t="s">
        <v>5748</v>
      </c>
      <c r="K5886" s="29">
        <v>32.520000000000003</v>
      </c>
      <c r="L5886" s="29">
        <v>0</v>
      </c>
      <c r="M5886" s="30">
        <f>IFERROR(VLOOKUP($A5886,HeadJournal!$A$1:$J$890,COLUMN(HeadJournal!I$1),0)*($K5886+$L5886)/(SUMIF($A:$A,$A5886,$K:$K)+SUMIF($A:$A,$A5886,$L:$L)),0)</f>
        <v>-1.6226646153846151</v>
      </c>
      <c r="N5886" s="30">
        <f>IFERROR((VLOOKUP($A5886,HeadJournal!$A$1:$K$890,COLUMN(HeadJournal!K$1),0)-VLOOKUP($A5886,HeadJournal!$A$1:$K$890,COLUMN(HeadJournal!J$1),0))*($K5886+$L5886)/(SUMIF($A:$A,$A5886,$K:$K)+SUMIF($A:$A,$A5886,$L:$L)),0)</f>
        <v>-9.4797332377101341E-15</v>
      </c>
      <c r="O5886" s="30">
        <f>IFERROR((VLOOKUP($A5886,HeadJournal!$A$1:$L$890,COLUMN(HeadJournal!L$1),0)*($K5886+$L5886)/(SUMIF($A:$A,$A5886,$K:$K)+SUMIF($A:$A,$A5886,$L:$L)))/VLOOKUP($A5886,HeadJournal!$A$1:$L$890,COLUMN(HeadJournal!H$1),0),0)</f>
        <v>0</v>
      </c>
      <c r="P5886" s="30">
        <f>IFERROR(SUM(K5886:O5886)*VLOOKUP($A5886,HeadJournal!$A$1:$L$890,COLUMN(HeadJournal!H$1),0),0)</f>
        <v>2586.9243076923071</v>
      </c>
      <c r="Q5886" s="29"/>
      <c r="R5886" s="31"/>
      <c r="S5886" s="31"/>
      <c r="T5886" s="95" t="str">
        <f t="shared" si="440"/>
        <v/>
      </c>
      <c r="U5886" s="32">
        <f t="shared" si="441"/>
        <v>-2586.9243076923071</v>
      </c>
      <c r="V5886" s="22" t="str">
        <f t="shared" si="442"/>
        <v/>
      </c>
      <c r="X5886" s="33"/>
      <c r="Y5886" s="33"/>
    </row>
    <row r="5887" spans="1:25" x14ac:dyDescent="0.2">
      <c r="A5887" s="93" t="s">
        <v>5755</v>
      </c>
      <c r="B5887" s="94">
        <f>IFERROR(VLOOKUP($A5887,HeadJournal!$A$1:$NTR$890,COLUMN(HeadJournal!B$1),0),"")</f>
        <v>0</v>
      </c>
      <c r="C5887" s="94" t="str">
        <f>IFERROR(VLOOKUP($A5887,HeadJournal!$A$1:$NTR$890,COLUMN(HeadJournal!C$1),0),"")</f>
        <v>iHerb_VP DFD1605</v>
      </c>
      <c r="D5887" s="125" t="str">
        <f>IFERROR(VLOOKUP($A5887,HeadJournal!$A$1:$NTR$890,COLUMN(HeadJournal!D$1),0),"")</f>
        <v>В пути</v>
      </c>
      <c r="E5887" s="95">
        <f>IFERROR(VLOOKUP($A5887,HeadJournal!$A$1:$NTR$890,COLUMN(HeadJournal!G$1),0),"")</f>
        <v>46161</v>
      </c>
      <c r="F5887" s="95" t="str">
        <f t="shared" ref="F5887:F5894" si="443">IFERROR(TEXT(E5887, "ГГГГ ММ"),"")</f>
        <v>2026 05</v>
      </c>
      <c r="G5887" s="97" t="s">
        <v>5</v>
      </c>
      <c r="H5887" s="161" t="s">
        <v>5749</v>
      </c>
      <c r="I5887" s="97" t="s">
        <v>2207</v>
      </c>
      <c r="J5887" s="97" t="s">
        <v>5750</v>
      </c>
      <c r="K5887" s="29">
        <v>20.74</v>
      </c>
      <c r="L5887" s="29">
        <v>-16.59</v>
      </c>
      <c r="M5887" s="30">
        <f>IFERROR(VLOOKUP($A5887,HeadJournal!$A$1:$J$890,COLUMN(HeadJournal!I$1),0)*($K5887+$L5887)/(SUMIF($A:$A,$A5887,$K:$K)+SUMIF($A:$A,$A5887,$L:$L)),0)</f>
        <v>-0.20707435897435883</v>
      </c>
      <c r="N5887" s="30">
        <f>IFERROR((VLOOKUP($A5887,HeadJournal!$A$1:$K$890,COLUMN(HeadJournal!K$1),0)-VLOOKUP($A5887,HeadJournal!$A$1:$K$890,COLUMN(HeadJournal!J$1),0))*($K5887+$L5887)/(SUMIF($A:$A,$A5887,$K:$K)+SUMIF($A:$A,$A5887,$L:$L)),0)</f>
        <v>-1.2097445552428364E-15</v>
      </c>
      <c r="O5887" s="30">
        <f>IFERROR((VLOOKUP($A5887,HeadJournal!$A$1:$L$890,COLUMN(HeadJournal!L$1),0)*($K5887+$L5887)/(SUMIF($A:$A,$A5887,$K:$K)+SUMIF($A:$A,$A5887,$L:$L)))/VLOOKUP($A5887,HeadJournal!$A$1:$L$890,COLUMN(HeadJournal!H$1),0),0)</f>
        <v>0</v>
      </c>
      <c r="P5887" s="30">
        <f>IFERROR(SUM(K5887:O5887)*VLOOKUP($A5887,HeadJournal!$A$1:$L$890,COLUMN(HeadJournal!H$1),0),0)</f>
        <v>330.12717948717926</v>
      </c>
      <c r="Q5887" s="29"/>
      <c r="R5887" s="31"/>
      <c r="S5887" s="31"/>
      <c r="T5887" s="95" t="str">
        <f t="shared" ref="T5887:T5894" si="444">IF(R5887="","",TEXT(R5887,"ГГГГ ММ"))</f>
        <v/>
      </c>
      <c r="U5887" s="32">
        <f t="shared" ref="U5887:U5894" si="445">Q5887-P5887</f>
        <v>-330.12717948717926</v>
      </c>
      <c r="V5887" s="22" t="str">
        <f t="shared" ref="V5887:V5894" si="446">IF(Q5887&lt;&gt;0,IFERROR(U5887/P5887,""),"")</f>
        <v/>
      </c>
      <c r="X5887" s="33"/>
      <c r="Y5887" s="33"/>
    </row>
    <row r="5888" spans="1:25" x14ac:dyDescent="0.2">
      <c r="A5888" s="93" t="s">
        <v>5755</v>
      </c>
      <c r="B5888" s="94">
        <f>IFERROR(VLOOKUP($A5888,HeadJournal!$A$1:$NTR$890,COLUMN(HeadJournal!B$1),0),"")</f>
        <v>0</v>
      </c>
      <c r="C5888" s="94" t="str">
        <f>IFERROR(VLOOKUP($A5888,HeadJournal!$A$1:$NTR$890,COLUMN(HeadJournal!C$1),0),"")</f>
        <v>iHerb_VP DFD1605</v>
      </c>
      <c r="D5888" s="125" t="str">
        <f>IFERROR(VLOOKUP($A5888,HeadJournal!$A$1:$NTR$890,COLUMN(HeadJournal!D$1),0),"")</f>
        <v>В пути</v>
      </c>
      <c r="E5888" s="95">
        <f>IFERROR(VLOOKUP($A5888,HeadJournal!$A$1:$NTR$890,COLUMN(HeadJournal!G$1),0),"")</f>
        <v>46161</v>
      </c>
      <c r="F5888" s="95" t="str">
        <f t="shared" si="443"/>
        <v>2026 05</v>
      </c>
      <c r="G5888" s="97" t="s">
        <v>5</v>
      </c>
      <c r="H5888" s="161" t="s">
        <v>2755</v>
      </c>
      <c r="I5888" s="97" t="s">
        <v>2005</v>
      </c>
      <c r="J5888" s="97" t="s">
        <v>2756</v>
      </c>
      <c r="K5888" s="29">
        <v>19.559999999999999</v>
      </c>
      <c r="L5888" s="29">
        <v>-3.91</v>
      </c>
      <c r="M5888" s="30">
        <f>IFERROR(VLOOKUP($A5888,HeadJournal!$A$1:$J$890,COLUMN(HeadJournal!I$1),0)*($K5888+$L5888)/(SUMIF($A:$A,$A5888,$K:$K)+SUMIF($A:$A,$A5888,$L:$L)),0)</f>
        <v>-0.78089487179487149</v>
      </c>
      <c r="N5888" s="30">
        <f>IFERROR((VLOOKUP($A5888,HeadJournal!$A$1:$K$890,COLUMN(HeadJournal!K$1),0)-VLOOKUP($A5888,HeadJournal!$A$1:$K$890,COLUMN(HeadJournal!J$1),0))*($K5888+$L5888)/(SUMIF($A:$A,$A5888,$K:$K)+SUMIF($A:$A,$A5888,$L:$L)),0)</f>
        <v>-4.5620487444699749E-15</v>
      </c>
      <c r="O5888" s="30">
        <f>IFERROR((VLOOKUP($A5888,HeadJournal!$A$1:$L$890,COLUMN(HeadJournal!L$1),0)*($K5888+$L5888)/(SUMIF($A:$A,$A5888,$K:$K)+SUMIF($A:$A,$A5888,$L:$L)))/VLOOKUP($A5888,HeadJournal!$A$1:$L$890,COLUMN(HeadJournal!H$1),0),0)</f>
        <v>0</v>
      </c>
      <c r="P5888" s="30">
        <f>IFERROR(SUM(K5888:O5888)*VLOOKUP($A5888,HeadJournal!$A$1:$L$890,COLUMN(HeadJournal!H$1),0),0)</f>
        <v>1244.9374358974353</v>
      </c>
      <c r="Q5888" s="29"/>
      <c r="R5888" s="31"/>
      <c r="S5888" s="31"/>
      <c r="T5888" s="95" t="str">
        <f t="shared" si="444"/>
        <v/>
      </c>
      <c r="U5888" s="32">
        <f t="shared" si="445"/>
        <v>-1244.9374358974353</v>
      </c>
      <c r="V5888" s="22" t="str">
        <f t="shared" si="446"/>
        <v/>
      </c>
      <c r="X5888" s="33"/>
      <c r="Y5888" s="33"/>
    </row>
    <row r="5889" spans="1:25" x14ac:dyDescent="0.2">
      <c r="A5889" s="93" t="s">
        <v>5755</v>
      </c>
      <c r="B5889" s="94">
        <f>IFERROR(VLOOKUP($A5889,HeadJournal!$A$1:$NTR$890,COLUMN(HeadJournal!B$1),0),"")</f>
        <v>0</v>
      </c>
      <c r="C5889" s="94" t="str">
        <f>IFERROR(VLOOKUP($A5889,HeadJournal!$A$1:$NTR$890,COLUMN(HeadJournal!C$1),0),"")</f>
        <v>iHerb_VP DFD1605</v>
      </c>
      <c r="D5889" s="125" t="str">
        <f>IFERROR(VLOOKUP($A5889,HeadJournal!$A$1:$NTR$890,COLUMN(HeadJournal!D$1),0),"")</f>
        <v>В пути</v>
      </c>
      <c r="E5889" s="95">
        <f>IFERROR(VLOOKUP($A5889,HeadJournal!$A$1:$NTR$890,COLUMN(HeadJournal!G$1),0),"")</f>
        <v>46161</v>
      </c>
      <c r="F5889" s="95" t="str">
        <f t="shared" si="443"/>
        <v>2026 05</v>
      </c>
      <c r="G5889" s="97" t="s">
        <v>5</v>
      </c>
      <c r="H5889" s="161" t="s">
        <v>3570</v>
      </c>
      <c r="I5889" s="97" t="s">
        <v>2102</v>
      </c>
      <c r="J5889" s="97" t="s">
        <v>3991</v>
      </c>
      <c r="K5889" s="29">
        <v>13.41</v>
      </c>
      <c r="L5889" s="29">
        <v>-2.68</v>
      </c>
      <c r="M5889" s="30">
        <f>IFERROR(VLOOKUP($A5889,HeadJournal!$A$1:$J$890,COLUMN(HeadJournal!I$1),0)*($K5889+$L5889)/(SUMIF($A:$A,$A5889,$K:$K)+SUMIF($A:$A,$A5889,$L:$L)),0)</f>
        <v>-0.53539948717948704</v>
      </c>
      <c r="N5889" s="30">
        <f>IFERROR((VLOOKUP($A5889,HeadJournal!$A$1:$K$890,COLUMN(HeadJournal!K$1),0)-VLOOKUP($A5889,HeadJournal!$A$1:$K$890,COLUMN(HeadJournal!J$1),0))*($K5889+$L5889)/(SUMIF($A:$A,$A5889,$K:$K)+SUMIF($A:$A,$A5889,$L:$L)),0)</f>
        <v>-3.1278455609049735E-15</v>
      </c>
      <c r="O5889" s="30">
        <f>IFERROR((VLOOKUP($A5889,HeadJournal!$A$1:$L$890,COLUMN(HeadJournal!L$1),0)*($K5889+$L5889)/(SUMIF($A:$A,$A5889,$K:$K)+SUMIF($A:$A,$A5889,$L:$L)))/VLOOKUP($A5889,HeadJournal!$A$1:$L$890,COLUMN(HeadJournal!H$1),0),0)</f>
        <v>0</v>
      </c>
      <c r="P5889" s="30">
        <f>IFERROR(SUM(K5889:O5889)*VLOOKUP($A5889,HeadJournal!$A$1:$L$890,COLUMN(HeadJournal!H$1),0),0)</f>
        <v>853.55774358974327</v>
      </c>
      <c r="Q5889" s="29"/>
      <c r="R5889" s="31"/>
      <c r="S5889" s="31"/>
      <c r="T5889" s="95" t="str">
        <f t="shared" si="444"/>
        <v/>
      </c>
      <c r="U5889" s="32">
        <f t="shared" si="445"/>
        <v>-853.55774358974327</v>
      </c>
      <c r="V5889" s="22" t="str">
        <f t="shared" si="446"/>
        <v/>
      </c>
      <c r="X5889" s="33"/>
      <c r="Y5889" s="33"/>
    </row>
    <row r="5890" spans="1:25" x14ac:dyDescent="0.2">
      <c r="A5890" s="93" t="s">
        <v>5755</v>
      </c>
      <c r="B5890" s="94">
        <f>IFERROR(VLOOKUP($A5890,HeadJournal!$A$1:$NTR$890,COLUMN(HeadJournal!B$1),0),"")</f>
        <v>0</v>
      </c>
      <c r="C5890" s="94" t="str">
        <f>IFERROR(VLOOKUP($A5890,HeadJournal!$A$1:$NTR$890,COLUMN(HeadJournal!C$1),0),"")</f>
        <v>iHerb_VP DFD1605</v>
      </c>
      <c r="D5890" s="125" t="str">
        <f>IFERROR(VLOOKUP($A5890,HeadJournal!$A$1:$NTR$890,COLUMN(HeadJournal!D$1),0),"")</f>
        <v>В пути</v>
      </c>
      <c r="E5890" s="95">
        <f>IFERROR(VLOOKUP($A5890,HeadJournal!$A$1:$NTR$890,COLUMN(HeadJournal!G$1),0),"")</f>
        <v>46161</v>
      </c>
      <c r="F5890" s="95" t="str">
        <f t="shared" si="443"/>
        <v>2026 05</v>
      </c>
      <c r="G5890" s="97" t="s">
        <v>5</v>
      </c>
      <c r="H5890" s="161" t="s">
        <v>2800</v>
      </c>
      <c r="I5890" s="97" t="s">
        <v>2207</v>
      </c>
      <c r="J5890" s="97" t="s">
        <v>2801</v>
      </c>
      <c r="K5890" s="29">
        <v>31.74</v>
      </c>
      <c r="L5890" s="29">
        <v>-6.35</v>
      </c>
      <c r="M5890" s="30">
        <f>IFERROR(VLOOKUP($A5890,HeadJournal!$A$1:$J$890,COLUMN(HeadJournal!I$1),0)*($K5890+$L5890)/(SUMIF($A:$A,$A5890,$K:$K)+SUMIF($A:$A,$A5890,$L:$L)),0)</f>
        <v>-1.266895897435897</v>
      </c>
      <c r="N5890" s="30">
        <f>IFERROR((VLOOKUP($A5890,HeadJournal!$A$1:$K$890,COLUMN(HeadJournal!K$1),0)-VLOOKUP($A5890,HeadJournal!$A$1:$K$890,COLUMN(HeadJournal!J$1),0))*($K5890+$L5890)/(SUMIF($A:$A,$A5890,$K:$K)+SUMIF($A:$A,$A5890,$L:$L)),0)</f>
        <v>-7.4013046403893081E-15</v>
      </c>
      <c r="O5890" s="30">
        <f>IFERROR((VLOOKUP($A5890,HeadJournal!$A$1:$L$890,COLUMN(HeadJournal!L$1),0)*($K5890+$L5890)/(SUMIF($A:$A,$A5890,$K:$K)+SUMIF($A:$A,$A5890,$L:$L)))/VLOOKUP($A5890,HeadJournal!$A$1:$L$890,COLUMN(HeadJournal!H$1),0),0)</f>
        <v>0</v>
      </c>
      <c r="P5890" s="30">
        <f>IFERROR(SUM(K5890:O5890)*VLOOKUP($A5890,HeadJournal!$A$1:$L$890,COLUMN(HeadJournal!H$1),0),0)</f>
        <v>2019.7419487179482</v>
      </c>
      <c r="Q5890" s="29"/>
      <c r="R5890" s="31"/>
      <c r="S5890" s="31"/>
      <c r="T5890" s="95" t="str">
        <f t="shared" si="444"/>
        <v/>
      </c>
      <c r="U5890" s="32">
        <f t="shared" si="445"/>
        <v>-2019.7419487179482</v>
      </c>
      <c r="V5890" s="22" t="str">
        <f t="shared" si="446"/>
        <v/>
      </c>
      <c r="X5890" s="33"/>
      <c r="Y5890" s="33"/>
    </row>
    <row r="5891" spans="1:25" x14ac:dyDescent="0.2">
      <c r="A5891" s="93" t="s">
        <v>5755</v>
      </c>
      <c r="B5891" s="94">
        <f>IFERROR(VLOOKUP($A5891,HeadJournal!$A$1:$NTR$890,COLUMN(HeadJournal!B$1),0),"")</f>
        <v>0</v>
      </c>
      <c r="C5891" s="94" t="str">
        <f>IFERROR(VLOOKUP($A5891,HeadJournal!$A$1:$NTR$890,COLUMN(HeadJournal!C$1),0),"")</f>
        <v>iHerb_VP DFD1605</v>
      </c>
      <c r="D5891" s="125" t="str">
        <f>IFERROR(VLOOKUP($A5891,HeadJournal!$A$1:$NTR$890,COLUMN(HeadJournal!D$1),0),"")</f>
        <v>В пути</v>
      </c>
      <c r="E5891" s="95">
        <f>IFERROR(VLOOKUP($A5891,HeadJournal!$A$1:$NTR$890,COLUMN(HeadJournal!G$1),0),"")</f>
        <v>46161</v>
      </c>
      <c r="F5891" s="95" t="str">
        <f t="shared" si="443"/>
        <v>2026 05</v>
      </c>
      <c r="G5891" s="97" t="s">
        <v>5</v>
      </c>
      <c r="H5891" s="161" t="s">
        <v>2051</v>
      </c>
      <c r="I5891" s="97" t="s">
        <v>2052</v>
      </c>
      <c r="J5891" s="97" t="s">
        <v>5583</v>
      </c>
      <c r="K5891" s="29">
        <v>20.25</v>
      </c>
      <c r="L5891" s="29">
        <v>-4.05</v>
      </c>
      <c r="M5891" s="30">
        <f>IFERROR(VLOOKUP($A5891,HeadJournal!$A$1:$J$890,COLUMN(HeadJournal!I$1),0)*($K5891+$L5891)/(SUMIF($A:$A,$A5891,$K:$K)+SUMIF($A:$A,$A5891,$L:$L)),0)</f>
        <v>-0.80833846153846134</v>
      </c>
      <c r="N5891" s="30">
        <f>IFERROR((VLOOKUP($A5891,HeadJournal!$A$1:$K$890,COLUMN(HeadJournal!K$1),0)-VLOOKUP($A5891,HeadJournal!$A$1:$K$890,COLUMN(HeadJournal!J$1),0))*($K5891+$L5891)/(SUMIF($A:$A,$A5891,$K:$K)+SUMIF($A:$A,$A5891,$L:$L)),0)</f>
        <v>-4.7223763361286642E-15</v>
      </c>
      <c r="O5891" s="30">
        <f>IFERROR((VLOOKUP($A5891,HeadJournal!$A$1:$L$890,COLUMN(HeadJournal!L$1),0)*($K5891+$L5891)/(SUMIF($A:$A,$A5891,$K:$K)+SUMIF($A:$A,$A5891,$L:$L)))/VLOOKUP($A5891,HeadJournal!$A$1:$L$890,COLUMN(HeadJournal!H$1),0),0)</f>
        <v>0</v>
      </c>
      <c r="P5891" s="30">
        <f>IFERROR(SUM(K5891:O5891)*VLOOKUP($A5891,HeadJournal!$A$1:$L$890,COLUMN(HeadJournal!H$1),0),0)</f>
        <v>1288.6892307692303</v>
      </c>
      <c r="Q5891" s="29"/>
      <c r="R5891" s="31"/>
      <c r="S5891" s="31"/>
      <c r="T5891" s="95" t="str">
        <f t="shared" si="444"/>
        <v/>
      </c>
      <c r="U5891" s="32">
        <f t="shared" si="445"/>
        <v>-1288.6892307692303</v>
      </c>
      <c r="V5891" s="22" t="str">
        <f t="shared" si="446"/>
        <v/>
      </c>
      <c r="X5891" s="33"/>
      <c r="Y5891" s="33"/>
    </row>
    <row r="5892" spans="1:25" x14ac:dyDescent="0.2">
      <c r="A5892" s="93" t="s">
        <v>5755</v>
      </c>
      <c r="B5892" s="94">
        <f>IFERROR(VLOOKUP($A5892,HeadJournal!$A$1:$NTR$890,COLUMN(HeadJournal!B$1),0),"")</f>
        <v>0</v>
      </c>
      <c r="C5892" s="94" t="str">
        <f>IFERROR(VLOOKUP($A5892,HeadJournal!$A$1:$NTR$890,COLUMN(HeadJournal!C$1),0),"")</f>
        <v>iHerb_VP DFD1605</v>
      </c>
      <c r="D5892" s="125" t="str">
        <f>IFERROR(VLOOKUP($A5892,HeadJournal!$A$1:$NTR$890,COLUMN(HeadJournal!D$1),0),"")</f>
        <v>В пути</v>
      </c>
      <c r="E5892" s="95">
        <f>IFERROR(VLOOKUP($A5892,HeadJournal!$A$1:$NTR$890,COLUMN(HeadJournal!G$1),0),"")</f>
        <v>46161</v>
      </c>
      <c r="F5892" s="95" t="str">
        <f t="shared" si="443"/>
        <v>2026 05</v>
      </c>
      <c r="G5892" s="97" t="s">
        <v>5</v>
      </c>
      <c r="H5892" s="161" t="s">
        <v>5751</v>
      </c>
      <c r="I5892" s="97" t="s">
        <v>5752</v>
      </c>
      <c r="J5892" s="97" t="s">
        <v>5753</v>
      </c>
      <c r="K5892" s="29">
        <v>10.72</v>
      </c>
      <c r="L5892" s="29">
        <v>-2.14</v>
      </c>
      <c r="M5892" s="30">
        <f>IFERROR(VLOOKUP($A5892,HeadJournal!$A$1:$J$890,COLUMN(HeadJournal!I$1),0)*($K5892+$L5892)/(SUMIF($A:$A,$A5892,$K:$K)+SUMIF($A:$A,$A5892,$L:$L)),0)</f>
        <v>-0.42811999999999989</v>
      </c>
      <c r="N5892" s="30">
        <f>IFERROR((VLOOKUP($A5892,HeadJournal!$A$1:$K$890,COLUMN(HeadJournal!K$1),0)-VLOOKUP($A5892,HeadJournal!$A$1:$K$890,COLUMN(HeadJournal!J$1),0))*($K5892+$L5892)/(SUMIF($A:$A,$A5892,$K:$K)+SUMIF($A:$A,$A5892,$L:$L)),0)</f>
        <v>-2.5011104298755521E-15</v>
      </c>
      <c r="O5892" s="30">
        <f>IFERROR((VLOOKUP($A5892,HeadJournal!$A$1:$L$890,COLUMN(HeadJournal!L$1),0)*($K5892+$L5892)/(SUMIF($A:$A,$A5892,$K:$K)+SUMIF($A:$A,$A5892,$L:$L)))/VLOOKUP($A5892,HeadJournal!$A$1:$L$890,COLUMN(HeadJournal!H$1),0),0)</f>
        <v>0</v>
      </c>
      <c r="P5892" s="30">
        <f>IFERROR(SUM(K5892:O5892)*VLOOKUP($A5892,HeadJournal!$A$1:$L$890,COLUMN(HeadJournal!H$1),0),0)</f>
        <v>682.52799999999991</v>
      </c>
      <c r="Q5892" s="29"/>
      <c r="R5892" s="31"/>
      <c r="S5892" s="31"/>
      <c r="T5892" s="95" t="str">
        <f t="shared" si="444"/>
        <v/>
      </c>
      <c r="U5892" s="32">
        <f t="shared" si="445"/>
        <v>-682.52799999999991</v>
      </c>
      <c r="V5892" s="22" t="str">
        <f t="shared" si="446"/>
        <v/>
      </c>
      <c r="X5892" s="33"/>
      <c r="Y5892" s="33"/>
    </row>
    <row r="5893" spans="1:25" x14ac:dyDescent="0.2">
      <c r="A5893" s="93" t="s">
        <v>5755</v>
      </c>
      <c r="B5893" s="94">
        <f>IFERROR(VLOOKUP($A5893,HeadJournal!$A$1:$NTR$890,COLUMN(HeadJournal!B$1),0),"")</f>
        <v>0</v>
      </c>
      <c r="C5893" s="94" t="str">
        <f>IFERROR(VLOOKUP($A5893,HeadJournal!$A$1:$NTR$890,COLUMN(HeadJournal!C$1),0),"")</f>
        <v>iHerb_VP DFD1605</v>
      </c>
      <c r="D5893" s="125" t="str">
        <f>IFERROR(VLOOKUP($A5893,HeadJournal!$A$1:$NTR$890,COLUMN(HeadJournal!D$1),0),"")</f>
        <v>В пути</v>
      </c>
      <c r="E5893" s="95">
        <f>IFERROR(VLOOKUP($A5893,HeadJournal!$A$1:$NTR$890,COLUMN(HeadJournal!G$1),0),"")</f>
        <v>46161</v>
      </c>
      <c r="F5893" s="95" t="str">
        <f t="shared" si="443"/>
        <v>2026 05</v>
      </c>
      <c r="G5893" s="97" t="s">
        <v>5</v>
      </c>
      <c r="H5893" s="161" t="s">
        <v>3798</v>
      </c>
      <c r="I5893" s="97" t="s">
        <v>2102</v>
      </c>
      <c r="J5893" s="97" t="s">
        <v>5376</v>
      </c>
      <c r="K5893" s="29">
        <v>20.46</v>
      </c>
      <c r="L5893" s="29">
        <v>-4.09</v>
      </c>
      <c r="M5893" s="30">
        <f>IFERROR(VLOOKUP($A5893,HeadJournal!$A$1:$J$890,COLUMN(HeadJournal!I$1),0)*($K5893+$L5893)/(SUMIF($A:$A,$A5893,$K:$K)+SUMIF($A:$A,$A5893,$L:$L)),0)</f>
        <v>-0.81682102564102543</v>
      </c>
      <c r="N5893" s="30">
        <f>IFERROR((VLOOKUP($A5893,HeadJournal!$A$1:$K$890,COLUMN(HeadJournal!K$1),0)-VLOOKUP($A5893,HeadJournal!$A$1:$K$890,COLUMN(HeadJournal!J$1),0))*($K5893+$L5893)/(SUMIF($A:$A,$A5893,$K:$K)+SUMIF($A:$A,$A5893,$L:$L)),0)</f>
        <v>-4.7719321371868051E-15</v>
      </c>
      <c r="O5893" s="30">
        <f>IFERROR((VLOOKUP($A5893,HeadJournal!$A$1:$L$890,COLUMN(HeadJournal!L$1),0)*($K5893+$L5893)/(SUMIF($A:$A,$A5893,$K:$K)+SUMIF($A:$A,$A5893,$L:$L)))/VLOOKUP($A5893,HeadJournal!$A$1:$L$890,COLUMN(HeadJournal!H$1),0),0)</f>
        <v>0</v>
      </c>
      <c r="P5893" s="30">
        <f>IFERROR(SUM(K5893:O5893)*VLOOKUP($A5893,HeadJournal!$A$1:$L$890,COLUMN(HeadJournal!H$1),0),0)</f>
        <v>1302.2125128205123</v>
      </c>
      <c r="Q5893" s="29"/>
      <c r="R5893" s="31"/>
      <c r="S5893" s="31"/>
      <c r="T5893" s="95" t="str">
        <f t="shared" si="444"/>
        <v/>
      </c>
      <c r="U5893" s="32">
        <f t="shared" si="445"/>
        <v>-1302.2125128205123</v>
      </c>
      <c r="V5893" s="22" t="str">
        <f t="shared" si="446"/>
        <v/>
      </c>
      <c r="X5893" s="33"/>
      <c r="Y5893" s="33"/>
    </row>
    <row r="5894" spans="1:25" x14ac:dyDescent="0.2">
      <c r="A5894" s="93" t="s">
        <v>5755</v>
      </c>
      <c r="B5894" s="94">
        <f>IFERROR(VLOOKUP($A5894,HeadJournal!$A$1:$NTR$890,COLUMN(HeadJournal!B$1),0),"")</f>
        <v>0</v>
      </c>
      <c r="C5894" s="94" t="str">
        <f>IFERROR(VLOOKUP($A5894,HeadJournal!$A$1:$NTR$890,COLUMN(HeadJournal!C$1),0),"")</f>
        <v>iHerb_VP DFD1605</v>
      </c>
      <c r="D5894" s="125" t="str">
        <f>IFERROR(VLOOKUP($A5894,HeadJournal!$A$1:$NTR$890,COLUMN(HeadJournal!D$1),0),"")</f>
        <v>В пути</v>
      </c>
      <c r="E5894" s="95">
        <f>IFERROR(VLOOKUP($A5894,HeadJournal!$A$1:$NTR$890,COLUMN(HeadJournal!G$1),0),"")</f>
        <v>46161</v>
      </c>
      <c r="F5894" s="95" t="str">
        <f t="shared" si="443"/>
        <v>2026 05</v>
      </c>
      <c r="G5894" s="97" t="s">
        <v>7</v>
      </c>
      <c r="H5894" s="161" t="s">
        <v>5450</v>
      </c>
      <c r="I5894" s="97" t="s">
        <v>2229</v>
      </c>
      <c r="J5894" s="97" t="s">
        <v>5754</v>
      </c>
      <c r="K5894" s="29">
        <v>16.52</v>
      </c>
      <c r="L5894" s="29">
        <v>-3.3050000000000002</v>
      </c>
      <c r="M5894" s="30">
        <f>IFERROR(VLOOKUP($A5894,HeadJournal!$A$1:$J$890,COLUMN(HeadJournal!I$1),0)*($K5894+$L5894)/(SUMIF($A:$A,$A5894,$K:$K)+SUMIF($A:$A,$A5894,$L:$L)),0)</f>
        <v>-0.65939461538461519</v>
      </c>
      <c r="N5894" s="30">
        <f>IFERROR((VLOOKUP($A5894,HeadJournal!$A$1:$K$890,COLUMN(HeadJournal!K$1),0)-VLOOKUP($A5894,HeadJournal!$A$1:$K$890,COLUMN(HeadJournal!J$1),0))*($K5894+$L5894)/(SUMIF($A:$A,$A5894,$K:$K)+SUMIF($A:$A,$A5894,$L:$L)),0)</f>
        <v>-3.852234770490142E-15</v>
      </c>
      <c r="O5894" s="30">
        <f>IFERROR((VLOOKUP($A5894,HeadJournal!$A$1:$L$890,COLUMN(HeadJournal!L$1),0)*($K5894+$L5894)/(SUMIF($A:$A,$A5894,$K:$K)+SUMIF($A:$A,$A5894,$L:$L)))/VLOOKUP($A5894,HeadJournal!$A$1:$L$890,COLUMN(HeadJournal!H$1),0),0)</f>
        <v>0</v>
      </c>
      <c r="P5894" s="30">
        <f>IFERROR(SUM(K5894:O5894)*VLOOKUP($A5894,HeadJournal!$A$1:$L$890,COLUMN(HeadJournal!H$1),0),0)</f>
        <v>1051.2363076923075</v>
      </c>
      <c r="Q5894" s="29"/>
      <c r="R5894" s="31"/>
      <c r="S5894" s="31"/>
      <c r="T5894" s="95" t="str">
        <f t="shared" si="444"/>
        <v/>
      </c>
      <c r="U5894" s="32">
        <f t="shared" si="445"/>
        <v>-1051.2363076923075</v>
      </c>
      <c r="V5894" s="22" t="str">
        <f t="shared" si="446"/>
        <v/>
      </c>
      <c r="X5894" s="33"/>
      <c r="Y5894" s="33"/>
    </row>
    <row r="5895" spans="1:25" x14ac:dyDescent="0.2">
      <c r="A5895" s="93" t="s">
        <v>5755</v>
      </c>
      <c r="B5895" s="94">
        <f>IFERROR(VLOOKUP($A5895,HeadJournal!$A$1:$NTR$890,COLUMN(HeadJournal!B$1),0),"")</f>
        <v>0</v>
      </c>
      <c r="C5895" s="94" t="str">
        <f>IFERROR(VLOOKUP($A5895,HeadJournal!$A$1:$NTR$890,COLUMN(HeadJournal!C$1),0),"")</f>
        <v>iHerb_VP DFD1605</v>
      </c>
      <c r="D5895" s="125" t="str">
        <f>IFERROR(VLOOKUP($A5895,HeadJournal!$A$1:$NTR$890,COLUMN(HeadJournal!D$1),0),"")</f>
        <v>В пути</v>
      </c>
      <c r="E5895" s="95">
        <f>IFERROR(VLOOKUP($A5895,HeadJournal!$A$1:$NTR$890,COLUMN(HeadJournal!G$1),0),"")</f>
        <v>46161</v>
      </c>
      <c r="F5895" s="95" t="str">
        <f t="shared" si="419"/>
        <v>2026 05</v>
      </c>
      <c r="G5895" s="97" t="s">
        <v>7</v>
      </c>
      <c r="H5895" s="161" t="s">
        <v>5450</v>
      </c>
      <c r="I5895" s="97" t="s">
        <v>2229</v>
      </c>
      <c r="J5895" s="97" t="s">
        <v>5754</v>
      </c>
      <c r="K5895" s="29">
        <v>16.52</v>
      </c>
      <c r="L5895" s="29">
        <v>-3.3050000000000002</v>
      </c>
      <c r="M5895" s="30">
        <f>IFERROR(VLOOKUP($A5895,HeadJournal!$A$1:$J$890,COLUMN(HeadJournal!I$1),0)*($K5895+$L5895)/(SUMIF($A:$A,$A5895,$K:$K)+SUMIF($A:$A,$A5895,$L:$L)),0)</f>
        <v>-0.65939461538461519</v>
      </c>
      <c r="N5895" s="30">
        <f>IFERROR((VLOOKUP($A5895,HeadJournal!$A$1:$K$890,COLUMN(HeadJournal!K$1),0)-VLOOKUP($A5895,HeadJournal!$A$1:$K$890,COLUMN(HeadJournal!J$1),0))*($K5895+$L5895)/(SUMIF($A:$A,$A5895,$K:$K)+SUMIF($A:$A,$A5895,$L:$L)),0)</f>
        <v>-3.852234770490142E-15</v>
      </c>
      <c r="O5895" s="30">
        <f>IFERROR((VLOOKUP($A5895,HeadJournal!$A$1:$L$890,COLUMN(HeadJournal!L$1),0)*($K5895+$L5895)/(SUMIF($A:$A,$A5895,$K:$K)+SUMIF($A:$A,$A5895,$L:$L)))/VLOOKUP($A5895,HeadJournal!$A$1:$L$890,COLUMN(HeadJournal!H$1),0),0)</f>
        <v>0</v>
      </c>
      <c r="P5895" s="30">
        <f>IFERROR(SUM(K5895:O5895)*VLOOKUP($A5895,HeadJournal!$A$1:$L$890,COLUMN(HeadJournal!H$1),0),0)</f>
        <v>1051.2363076923075</v>
      </c>
      <c r="Q5895" s="29"/>
      <c r="R5895" s="31"/>
      <c r="S5895" s="31"/>
      <c r="T5895" s="95" t="str">
        <f t="shared" si="420"/>
        <v/>
      </c>
      <c r="U5895" s="32">
        <f t="shared" si="354"/>
        <v>-1051.2363076923075</v>
      </c>
      <c r="V5895" s="22" t="str">
        <f t="shared" si="355"/>
        <v/>
      </c>
      <c r="X5895" s="33"/>
      <c r="Y5895" s="33"/>
    </row>
    <row r="5896" spans="1:25" x14ac:dyDescent="0.2">
      <c r="A5896" s="93" t="s">
        <v>5756</v>
      </c>
      <c r="B5896" s="94">
        <f>IFERROR(VLOOKUP($A5896,HeadJournal!$A$1:$NTR$890,COLUMN(HeadJournal!B$1),0),"")</f>
        <v>0</v>
      </c>
      <c r="C5896" s="94" t="str">
        <f>IFERROR(VLOOKUP($A5896,HeadJournal!$A$1:$NTR$890,COLUMN(HeadJournal!C$1),0),"")</f>
        <v>iHerb_OA CZN6870</v>
      </c>
      <c r="D5896" s="125" t="str">
        <f>IFERROR(VLOOKUP($A5896,HeadJournal!$A$1:$NTR$890,COLUMN(HeadJournal!D$1),0),"")</f>
        <v>В пути</v>
      </c>
      <c r="E5896" s="95">
        <f>IFERROR(VLOOKUP($A5896,HeadJournal!$A$1:$NTR$890,COLUMN(HeadJournal!G$1),0),"")</f>
        <v>46159</v>
      </c>
      <c r="F5896" s="95" t="str">
        <f t="shared" si="419"/>
        <v>2026 05</v>
      </c>
      <c r="G5896" s="97" t="s">
        <v>5</v>
      </c>
      <c r="H5896" s="161" t="s">
        <v>2089</v>
      </c>
      <c r="I5896" s="97" t="s">
        <v>2005</v>
      </c>
      <c r="J5896" s="97" t="s">
        <v>3781</v>
      </c>
      <c r="K5896" s="29">
        <v>25.77</v>
      </c>
      <c r="L5896" s="29">
        <v>-5.1550000000000002</v>
      </c>
      <c r="M5896" s="30">
        <f>IFERROR(VLOOKUP($A5896,HeadJournal!$A$1:$J$890,COLUMN(HeadJournal!I$1),0)*($K5896+$L5896)/(SUMIF($A:$A,$A5896,$K:$K)+SUMIF($A:$A,$A5896,$L:$L)),0)</f>
        <v>-1.0637254901960784</v>
      </c>
      <c r="N5896" s="30">
        <f>IFERROR((VLOOKUP($A5896,HeadJournal!$A$1:$K$890,COLUMN(HeadJournal!K$1),0)-VLOOKUP($A5896,HeadJournal!$A$1:$K$890,COLUMN(HeadJournal!J$1),0))*($K5896+$L5896)/(SUMIF($A:$A,$A5896,$K:$K)+SUMIF($A:$A,$A5896,$L:$L)),0)</f>
        <v>3.0232896796067007E-15</v>
      </c>
      <c r="O5896" s="30">
        <f>IFERROR((VLOOKUP($A5896,HeadJournal!$A$1:$L$890,COLUMN(HeadJournal!L$1),0)*($K5896+$L5896)/(SUMIF($A:$A,$A5896,$K:$K)+SUMIF($A:$A,$A5896,$L:$L)))/VLOOKUP($A5896,HeadJournal!$A$1:$L$890,COLUMN(HeadJournal!H$1),0),0)</f>
        <v>0</v>
      </c>
      <c r="P5896" s="30">
        <f>IFERROR(SUM(K5896:O5896)*VLOOKUP($A5896,HeadJournal!$A$1:$L$890,COLUMN(HeadJournal!H$1),0),0)</f>
        <v>1646.9321372549023</v>
      </c>
      <c r="Q5896" s="29"/>
      <c r="R5896" s="31"/>
      <c r="S5896" s="31"/>
      <c r="T5896" s="95" t="str">
        <f t="shared" si="420"/>
        <v/>
      </c>
      <c r="U5896" s="32">
        <f t="shared" si="354"/>
        <v>-1646.9321372549023</v>
      </c>
      <c r="V5896" s="22" t="str">
        <f t="shared" si="355"/>
        <v/>
      </c>
      <c r="X5896" s="33"/>
      <c r="Y5896" s="33"/>
    </row>
    <row r="5897" spans="1:25" x14ac:dyDescent="0.2">
      <c r="A5897" s="93" t="s">
        <v>5756</v>
      </c>
      <c r="B5897" s="94">
        <f>IFERROR(VLOOKUP($A5897,HeadJournal!$A$1:$NTR$890,COLUMN(HeadJournal!B$1),0),"")</f>
        <v>0</v>
      </c>
      <c r="C5897" s="94" t="str">
        <f>IFERROR(VLOOKUP($A5897,HeadJournal!$A$1:$NTR$890,COLUMN(HeadJournal!C$1),0),"")</f>
        <v>iHerb_OA CZN6870</v>
      </c>
      <c r="D5897" s="125" t="str">
        <f>IFERROR(VLOOKUP($A5897,HeadJournal!$A$1:$NTR$890,COLUMN(HeadJournal!D$1),0),"")</f>
        <v>В пути</v>
      </c>
      <c r="E5897" s="95">
        <f>IFERROR(VLOOKUP($A5897,HeadJournal!$A$1:$NTR$890,COLUMN(HeadJournal!G$1),0),"")</f>
        <v>46159</v>
      </c>
      <c r="F5897" s="95" t="str">
        <f t="shared" si="419"/>
        <v>2026 05</v>
      </c>
      <c r="G5897" s="97" t="s">
        <v>5</v>
      </c>
      <c r="H5897" s="161" t="s">
        <v>2089</v>
      </c>
      <c r="I5897" s="97" t="s">
        <v>2005</v>
      </c>
      <c r="J5897" s="97" t="s">
        <v>3781</v>
      </c>
      <c r="K5897" s="29">
        <v>25.77</v>
      </c>
      <c r="L5897" s="29">
        <v>-5.1550000000000002</v>
      </c>
      <c r="M5897" s="30">
        <f>IFERROR(VLOOKUP($A5897,HeadJournal!$A$1:$J$890,COLUMN(HeadJournal!I$1),0)*($K5897+$L5897)/(SUMIF($A:$A,$A5897,$K:$K)+SUMIF($A:$A,$A5897,$L:$L)),0)</f>
        <v>-1.0637254901960784</v>
      </c>
      <c r="N5897" s="30">
        <f>IFERROR((VLOOKUP($A5897,HeadJournal!$A$1:$K$890,COLUMN(HeadJournal!K$1),0)-VLOOKUP($A5897,HeadJournal!$A$1:$K$890,COLUMN(HeadJournal!J$1),0))*($K5897+$L5897)/(SUMIF($A:$A,$A5897,$K:$K)+SUMIF($A:$A,$A5897,$L:$L)),0)</f>
        <v>3.0232896796067007E-15</v>
      </c>
      <c r="O5897" s="30">
        <f>IFERROR((VLOOKUP($A5897,HeadJournal!$A$1:$L$890,COLUMN(HeadJournal!L$1),0)*($K5897+$L5897)/(SUMIF($A:$A,$A5897,$K:$K)+SUMIF($A:$A,$A5897,$L:$L)))/VLOOKUP($A5897,HeadJournal!$A$1:$L$890,COLUMN(HeadJournal!H$1),0),0)</f>
        <v>0</v>
      </c>
      <c r="P5897" s="30">
        <f>IFERROR(SUM(K5897:O5897)*VLOOKUP($A5897,HeadJournal!$A$1:$L$890,COLUMN(HeadJournal!H$1),0),0)</f>
        <v>1646.9321372549023</v>
      </c>
      <c r="Q5897" s="29"/>
      <c r="R5897" s="31"/>
      <c r="S5897" s="31"/>
      <c r="T5897" s="95" t="str">
        <f t="shared" si="420"/>
        <v/>
      </c>
      <c r="U5897" s="32">
        <f t="shared" si="354"/>
        <v>-1646.9321372549023</v>
      </c>
      <c r="V5897" s="22" t="str">
        <f t="shared" si="355"/>
        <v/>
      </c>
      <c r="X5897" s="33"/>
      <c r="Y5897" s="33"/>
    </row>
    <row r="5898" spans="1:25" x14ac:dyDescent="0.2">
      <c r="A5898" s="93" t="s">
        <v>5756</v>
      </c>
      <c r="B5898" s="94">
        <f>IFERROR(VLOOKUP($A5898,HeadJournal!$A$1:$NTR$890,COLUMN(HeadJournal!B$1),0),"")</f>
        <v>0</v>
      </c>
      <c r="C5898" s="94" t="str">
        <f>IFERROR(VLOOKUP($A5898,HeadJournal!$A$1:$NTR$890,COLUMN(HeadJournal!C$1),0),"")</f>
        <v>iHerb_OA CZN6870</v>
      </c>
      <c r="D5898" s="125" t="str">
        <f>IFERROR(VLOOKUP($A5898,HeadJournal!$A$1:$NTR$890,COLUMN(HeadJournal!D$1),0),"")</f>
        <v>В пути</v>
      </c>
      <c r="E5898" s="95">
        <f>IFERROR(VLOOKUP($A5898,HeadJournal!$A$1:$NTR$890,COLUMN(HeadJournal!G$1),0),"")</f>
        <v>46159</v>
      </c>
      <c r="F5898" s="95" t="str">
        <f t="shared" si="419"/>
        <v>2026 05</v>
      </c>
      <c r="G5898" s="97" t="s">
        <v>5</v>
      </c>
      <c r="H5898" s="161" t="s">
        <v>2497</v>
      </c>
      <c r="I5898" s="97" t="s">
        <v>2498</v>
      </c>
      <c r="J5898" s="97" t="s">
        <v>2499</v>
      </c>
      <c r="K5898" s="29">
        <v>29.28</v>
      </c>
      <c r="L5898" s="29">
        <v>-5.8550000000000004</v>
      </c>
      <c r="M5898" s="30">
        <f>IFERROR(VLOOKUP($A5898,HeadJournal!$A$1:$J$890,COLUMN(HeadJournal!I$1),0)*($K5898+$L5898)/(SUMIF($A:$A,$A5898,$K:$K)+SUMIF($A:$A,$A5898,$L:$L)),0)</f>
        <v>-1.2087203302373581</v>
      </c>
      <c r="N5898" s="30">
        <f>IFERROR((VLOOKUP($A5898,HeadJournal!$A$1:$K$890,COLUMN(HeadJournal!K$1),0)-VLOOKUP($A5898,HeadJournal!$A$1:$K$890,COLUMN(HeadJournal!J$1),0))*($K5898+$L5898)/(SUMIF($A:$A,$A5898,$K:$K)+SUMIF($A:$A,$A5898,$L:$L)),0)</f>
        <v>3.435389800862817E-15</v>
      </c>
      <c r="O5898" s="30">
        <f>IFERROR((VLOOKUP($A5898,HeadJournal!$A$1:$L$890,COLUMN(HeadJournal!L$1),0)*($K5898+$L5898)/(SUMIF($A:$A,$A5898,$K:$K)+SUMIF($A:$A,$A5898,$L:$L)))/VLOOKUP($A5898,HeadJournal!$A$1:$L$890,COLUMN(HeadJournal!H$1),0),0)</f>
        <v>0</v>
      </c>
      <c r="P5898" s="30">
        <f>IFERROR(SUM(K5898:O5898)*VLOOKUP($A5898,HeadJournal!$A$1:$L$890,COLUMN(HeadJournal!H$1),0),0)</f>
        <v>1871.4230082559343</v>
      </c>
      <c r="Q5898" s="29"/>
      <c r="R5898" s="31"/>
      <c r="S5898" s="31"/>
      <c r="T5898" s="95" t="str">
        <f t="shared" si="420"/>
        <v/>
      </c>
      <c r="U5898" s="32">
        <f t="shared" si="354"/>
        <v>-1871.4230082559343</v>
      </c>
      <c r="V5898" s="22" t="str">
        <f t="shared" si="355"/>
        <v/>
      </c>
      <c r="X5898" s="33"/>
      <c r="Y5898" s="33"/>
    </row>
    <row r="5899" spans="1:25" x14ac:dyDescent="0.2">
      <c r="A5899" s="93" t="s">
        <v>5756</v>
      </c>
      <c r="B5899" s="94">
        <f>IFERROR(VLOOKUP($A5899,HeadJournal!$A$1:$NTR$890,COLUMN(HeadJournal!B$1),0),"")</f>
        <v>0</v>
      </c>
      <c r="C5899" s="94" t="str">
        <f>IFERROR(VLOOKUP($A5899,HeadJournal!$A$1:$NTR$890,COLUMN(HeadJournal!C$1),0),"")</f>
        <v>iHerb_OA CZN6870</v>
      </c>
      <c r="D5899" s="125" t="str">
        <f>IFERROR(VLOOKUP($A5899,HeadJournal!$A$1:$NTR$890,COLUMN(HeadJournal!D$1),0),"")</f>
        <v>В пути</v>
      </c>
      <c r="E5899" s="95">
        <f>IFERROR(VLOOKUP($A5899,HeadJournal!$A$1:$NTR$890,COLUMN(HeadJournal!G$1),0),"")</f>
        <v>46159</v>
      </c>
      <c r="F5899" s="95" t="str">
        <f t="shared" si="419"/>
        <v>2026 05</v>
      </c>
      <c r="G5899" s="97" t="s">
        <v>5</v>
      </c>
      <c r="H5899" s="161" t="s">
        <v>2497</v>
      </c>
      <c r="I5899" s="97" t="s">
        <v>2498</v>
      </c>
      <c r="J5899" s="97" t="s">
        <v>2499</v>
      </c>
      <c r="K5899" s="29">
        <v>29.28</v>
      </c>
      <c r="L5899" s="29">
        <v>-5.8550000000000004</v>
      </c>
      <c r="M5899" s="30">
        <f>IFERROR(VLOOKUP($A5899,HeadJournal!$A$1:$J$890,COLUMN(HeadJournal!I$1),0)*($K5899+$L5899)/(SUMIF($A:$A,$A5899,$K:$K)+SUMIF($A:$A,$A5899,$L:$L)),0)</f>
        <v>-1.2087203302373581</v>
      </c>
      <c r="N5899" s="30">
        <f>IFERROR((VLOOKUP($A5899,HeadJournal!$A$1:$K$890,COLUMN(HeadJournal!K$1),0)-VLOOKUP($A5899,HeadJournal!$A$1:$K$890,COLUMN(HeadJournal!J$1),0))*($K5899+$L5899)/(SUMIF($A:$A,$A5899,$K:$K)+SUMIF($A:$A,$A5899,$L:$L)),0)</f>
        <v>3.435389800862817E-15</v>
      </c>
      <c r="O5899" s="30">
        <f>IFERROR((VLOOKUP($A5899,HeadJournal!$A$1:$L$890,COLUMN(HeadJournal!L$1),0)*($K5899+$L5899)/(SUMIF($A:$A,$A5899,$K:$K)+SUMIF($A:$A,$A5899,$L:$L)))/VLOOKUP($A5899,HeadJournal!$A$1:$L$890,COLUMN(HeadJournal!H$1),0),0)</f>
        <v>0</v>
      </c>
      <c r="P5899" s="30">
        <f>IFERROR(SUM(K5899:O5899)*VLOOKUP($A5899,HeadJournal!$A$1:$L$890,COLUMN(HeadJournal!H$1),0),0)</f>
        <v>1871.4230082559343</v>
      </c>
      <c r="Q5899" s="29"/>
      <c r="R5899" s="31"/>
      <c r="S5899" s="31"/>
      <c r="T5899" s="95" t="str">
        <f t="shared" si="420"/>
        <v/>
      </c>
      <c r="U5899" s="32">
        <f t="shared" si="354"/>
        <v>-1871.4230082559343</v>
      </c>
      <c r="V5899" s="22" t="str">
        <f t="shared" si="355"/>
        <v/>
      </c>
      <c r="X5899" s="33"/>
      <c r="Y5899" s="33"/>
    </row>
    <row r="5900" spans="1:25" x14ac:dyDescent="0.2">
      <c r="A5900" s="93" t="s">
        <v>5756</v>
      </c>
      <c r="B5900" s="94">
        <f>IFERROR(VLOOKUP($A5900,HeadJournal!$A$1:$NTR$890,COLUMN(HeadJournal!B$1),0),"")</f>
        <v>0</v>
      </c>
      <c r="C5900" s="94" t="str">
        <f>IFERROR(VLOOKUP($A5900,HeadJournal!$A$1:$NTR$890,COLUMN(HeadJournal!C$1),0),"")</f>
        <v>iHerb_OA CZN6870</v>
      </c>
      <c r="D5900" s="125" t="str">
        <f>IFERROR(VLOOKUP($A5900,HeadJournal!$A$1:$NTR$890,COLUMN(HeadJournal!D$1),0),"")</f>
        <v>В пути</v>
      </c>
      <c r="E5900" s="95">
        <f>IFERROR(VLOOKUP($A5900,HeadJournal!$A$1:$NTR$890,COLUMN(HeadJournal!G$1),0),"")</f>
        <v>46159</v>
      </c>
      <c r="F5900" s="95" t="str">
        <f t="shared" si="419"/>
        <v>2026 05</v>
      </c>
      <c r="G5900" s="97" t="s">
        <v>5</v>
      </c>
      <c r="H5900" s="161" t="s">
        <v>2804</v>
      </c>
      <c r="I5900" s="97" t="s">
        <v>2005</v>
      </c>
      <c r="J5900" s="97" t="s">
        <v>2805</v>
      </c>
      <c r="K5900" s="29">
        <v>11.04</v>
      </c>
      <c r="L5900" s="29">
        <v>-2.21</v>
      </c>
      <c r="M5900" s="30">
        <f>IFERROR(VLOOKUP($A5900,HeadJournal!$A$1:$J$890,COLUMN(HeadJournal!I$1),0)*($K5900+$L5900)/(SUMIF($A:$A,$A5900,$K:$K)+SUMIF($A:$A,$A5900,$L:$L)),0)</f>
        <v>-0.45562435500515991</v>
      </c>
      <c r="N5900" s="30">
        <f>IFERROR((VLOOKUP($A5900,HeadJournal!$A$1:$K$890,COLUMN(HeadJournal!K$1),0)-VLOOKUP($A5900,HeadJournal!$A$1:$K$890,COLUMN(HeadJournal!J$1),0))*($K5900+$L5900)/(SUMIF($A:$A,$A5900,$K:$K)+SUMIF($A:$A,$A5900,$L:$L)),0)</f>
        <v>1.2949623027371896E-15</v>
      </c>
      <c r="O5900" s="30">
        <f>IFERROR((VLOOKUP($A5900,HeadJournal!$A$1:$L$890,COLUMN(HeadJournal!L$1),0)*($K5900+$L5900)/(SUMIF($A:$A,$A5900,$K:$K)+SUMIF($A:$A,$A5900,$L:$L)))/VLOOKUP($A5900,HeadJournal!$A$1:$L$890,COLUMN(HeadJournal!H$1),0),0)</f>
        <v>0</v>
      </c>
      <c r="P5900" s="30">
        <f>IFERROR(SUM(K5900:O5900)*VLOOKUP($A5900,HeadJournal!$A$1:$L$890,COLUMN(HeadJournal!H$1),0),0)</f>
        <v>705.42860887512904</v>
      </c>
      <c r="Q5900" s="29"/>
      <c r="R5900" s="31"/>
      <c r="S5900" s="31"/>
      <c r="T5900" s="95" t="str">
        <f t="shared" si="420"/>
        <v/>
      </c>
      <c r="U5900" s="32">
        <f t="shared" si="354"/>
        <v>-705.42860887512904</v>
      </c>
      <c r="V5900" s="22" t="str">
        <f t="shared" si="355"/>
        <v/>
      </c>
      <c r="X5900" s="33"/>
      <c r="Y5900" s="33"/>
    </row>
    <row r="5901" spans="1:25" x14ac:dyDescent="0.2">
      <c r="A5901" s="93" t="s">
        <v>5756</v>
      </c>
      <c r="B5901" s="94">
        <f>IFERROR(VLOOKUP($A5901,HeadJournal!$A$1:$NTR$890,COLUMN(HeadJournal!B$1),0),"")</f>
        <v>0</v>
      </c>
      <c r="C5901" s="94" t="str">
        <f>IFERROR(VLOOKUP($A5901,HeadJournal!$A$1:$NTR$890,COLUMN(HeadJournal!C$1),0),"")</f>
        <v>iHerb_OA CZN6870</v>
      </c>
      <c r="D5901" s="125" t="str">
        <f>IFERROR(VLOOKUP($A5901,HeadJournal!$A$1:$NTR$890,COLUMN(HeadJournal!D$1),0),"")</f>
        <v>В пути</v>
      </c>
      <c r="E5901" s="95">
        <f>IFERROR(VLOOKUP($A5901,HeadJournal!$A$1:$NTR$890,COLUMN(HeadJournal!G$1),0),"")</f>
        <v>46159</v>
      </c>
      <c r="F5901" s="95" t="str">
        <f t="shared" si="419"/>
        <v>2026 05</v>
      </c>
      <c r="G5901" s="97" t="s">
        <v>5</v>
      </c>
      <c r="H5901" s="161" t="s">
        <v>5426</v>
      </c>
      <c r="I5901" s="97" t="s">
        <v>2005</v>
      </c>
      <c r="J5901" s="97" t="s">
        <v>5427</v>
      </c>
      <c r="K5901" s="29">
        <v>12.13</v>
      </c>
      <c r="L5901" s="29">
        <v>-2.4300000000000002</v>
      </c>
      <c r="M5901" s="30">
        <f>IFERROR(VLOOKUP($A5901,HeadJournal!$A$1:$J$890,COLUMN(HeadJournal!I$1),0)*($K5901+$L5901)/(SUMIF($A:$A,$A5901,$K:$K)+SUMIF($A:$A,$A5901,$L:$L)),0)</f>
        <v>-0.5005159958720331</v>
      </c>
      <c r="N5901" s="30">
        <f>IFERROR((VLOOKUP($A5901,HeadJournal!$A$1:$K$890,COLUMN(HeadJournal!K$1),0)-VLOOKUP($A5901,HeadJournal!$A$1:$K$890,COLUMN(HeadJournal!J$1),0))*($K5901+$L5901)/(SUMIF($A:$A,$A5901,$K:$K)+SUMIF($A:$A,$A5901,$L:$L)),0)</f>
        <v>1.4225520199944216E-15</v>
      </c>
      <c r="O5901" s="30">
        <f>IFERROR((VLOOKUP($A5901,HeadJournal!$A$1:$L$890,COLUMN(HeadJournal!L$1),0)*($K5901+$L5901)/(SUMIF($A:$A,$A5901,$K:$K)+SUMIF($A:$A,$A5901,$L:$L)))/VLOOKUP($A5901,HeadJournal!$A$1:$L$890,COLUMN(HeadJournal!H$1),0),0)</f>
        <v>0</v>
      </c>
      <c r="P5901" s="30">
        <f>IFERROR(SUM(K5901:O5901)*VLOOKUP($A5901,HeadJournal!$A$1:$L$890,COLUMN(HeadJournal!H$1),0),0)</f>
        <v>774.93289989680102</v>
      </c>
      <c r="Q5901" s="29"/>
      <c r="R5901" s="31"/>
      <c r="S5901" s="31"/>
      <c r="T5901" s="95" t="str">
        <f t="shared" si="420"/>
        <v/>
      </c>
      <c r="U5901" s="32">
        <f t="shared" si="354"/>
        <v>-774.93289989680102</v>
      </c>
      <c r="V5901" s="22" t="str">
        <f t="shared" si="355"/>
        <v/>
      </c>
      <c r="X5901" s="33"/>
      <c r="Y5901" s="33"/>
    </row>
    <row r="5902" spans="1:25" x14ac:dyDescent="0.2">
      <c r="A5902" s="93" t="s">
        <v>5756</v>
      </c>
      <c r="B5902" s="94">
        <f>IFERROR(VLOOKUP($A5902,HeadJournal!$A$1:$NTR$890,COLUMN(HeadJournal!B$1),0),"")</f>
        <v>0</v>
      </c>
      <c r="C5902" s="94" t="str">
        <f>IFERROR(VLOOKUP($A5902,HeadJournal!$A$1:$NTR$890,COLUMN(HeadJournal!C$1),0),"")</f>
        <v>iHerb_OA CZN6870</v>
      </c>
      <c r="D5902" s="125" t="str">
        <f>IFERROR(VLOOKUP($A5902,HeadJournal!$A$1:$NTR$890,COLUMN(HeadJournal!D$1),0),"")</f>
        <v>В пути</v>
      </c>
      <c r="E5902" s="95">
        <f>IFERROR(VLOOKUP($A5902,HeadJournal!$A$1:$NTR$890,COLUMN(HeadJournal!G$1),0),"")</f>
        <v>46159</v>
      </c>
      <c r="F5902" s="95" t="str">
        <f t="shared" si="419"/>
        <v>2026 05</v>
      </c>
      <c r="G5902" s="97" t="s">
        <v>5</v>
      </c>
      <c r="H5902" s="161" t="s">
        <v>2504</v>
      </c>
      <c r="I5902" s="97" t="s">
        <v>2036</v>
      </c>
      <c r="J5902" s="97" t="s">
        <v>3739</v>
      </c>
      <c r="K5902" s="29">
        <v>17.53</v>
      </c>
      <c r="L5902" s="29">
        <v>-3.51</v>
      </c>
      <c r="M5902" s="30">
        <f>IFERROR(VLOOKUP($A5902,HeadJournal!$A$1:$J$890,COLUMN(HeadJournal!I$1),0)*($K5902+$L5902)/(SUMIF($A:$A,$A5902,$K:$K)+SUMIF($A:$A,$A5902,$L:$L)),0)</f>
        <v>-0.72342621259029938</v>
      </c>
      <c r="N5902" s="30">
        <f>IFERROR((VLOOKUP($A5902,HeadJournal!$A$1:$K$890,COLUMN(HeadJournal!K$1),0)-VLOOKUP($A5902,HeadJournal!$A$1:$K$890,COLUMN(HeadJournal!J$1),0))*($K5902+$L5902)/(SUMIF($A:$A,$A5902,$K:$K)+SUMIF($A:$A,$A5902,$L:$L)),0)</f>
        <v>2.0561009608579168E-15</v>
      </c>
      <c r="O5902" s="30">
        <f>IFERROR((VLOOKUP($A5902,HeadJournal!$A$1:$L$890,COLUMN(HeadJournal!L$1),0)*($K5902+$L5902)/(SUMIF($A:$A,$A5902,$K:$K)+SUMIF($A:$A,$A5902,$L:$L)))/VLOOKUP($A5902,HeadJournal!$A$1:$L$890,COLUMN(HeadJournal!H$1),0),0)</f>
        <v>0</v>
      </c>
      <c r="P5902" s="30">
        <f>IFERROR(SUM(K5902:O5902)*VLOOKUP($A5902,HeadJournal!$A$1:$L$890,COLUMN(HeadJournal!H$1),0),0)</f>
        <v>1120.0576553147578</v>
      </c>
      <c r="Q5902" s="29"/>
      <c r="R5902" s="31"/>
      <c r="S5902" s="31"/>
      <c r="T5902" s="95" t="str">
        <f t="shared" si="420"/>
        <v/>
      </c>
      <c r="U5902" s="32">
        <f t="shared" si="354"/>
        <v>-1120.0576553147578</v>
      </c>
      <c r="V5902" s="22" t="str">
        <f t="shared" si="355"/>
        <v/>
      </c>
      <c r="X5902" s="33"/>
      <c r="Y5902" s="33"/>
    </row>
    <row r="5903" spans="1:25" x14ac:dyDescent="0.2">
      <c r="A5903" s="93" t="s">
        <v>5756</v>
      </c>
      <c r="B5903" s="94">
        <f>IFERROR(VLOOKUP($A5903,HeadJournal!$A$1:$NTR$890,COLUMN(HeadJournal!B$1),0),"")</f>
        <v>0</v>
      </c>
      <c r="C5903" s="94" t="str">
        <f>IFERROR(VLOOKUP($A5903,HeadJournal!$A$1:$NTR$890,COLUMN(HeadJournal!C$1),0),"")</f>
        <v>iHerb_OA CZN6870</v>
      </c>
      <c r="D5903" s="125" t="str">
        <f>IFERROR(VLOOKUP($A5903,HeadJournal!$A$1:$NTR$890,COLUMN(HeadJournal!D$1),0),"")</f>
        <v>В пути</v>
      </c>
      <c r="E5903" s="95">
        <f>IFERROR(VLOOKUP($A5903,HeadJournal!$A$1:$NTR$890,COLUMN(HeadJournal!G$1),0),"")</f>
        <v>46159</v>
      </c>
      <c r="F5903" s="95" t="str">
        <f t="shared" si="419"/>
        <v>2026 05</v>
      </c>
      <c r="G5903" s="97" t="s">
        <v>5</v>
      </c>
      <c r="H5903" s="161" t="s">
        <v>4016</v>
      </c>
      <c r="I5903" s="97" t="s">
        <v>2207</v>
      </c>
      <c r="J5903" s="97" t="s">
        <v>4017</v>
      </c>
      <c r="K5903" s="29">
        <v>64.14</v>
      </c>
      <c r="L5903" s="29">
        <v>-12.83</v>
      </c>
      <c r="M5903" s="30">
        <f>IFERROR(VLOOKUP($A5903,HeadJournal!$A$1:$J$890,COLUMN(HeadJournal!I$1),0)*($K5903+$L5903)/(SUMIF($A:$A,$A5903,$K:$K)+SUMIF($A:$A,$A5903,$L:$L)),0)</f>
        <v>-2.647574819401445</v>
      </c>
      <c r="N5903" s="30">
        <f>IFERROR((VLOOKUP($A5903,HeadJournal!$A$1:$K$890,COLUMN(HeadJournal!K$1),0)-VLOOKUP($A5903,HeadJournal!$A$1:$K$890,COLUMN(HeadJournal!J$1),0))*($K5903+$L5903)/(SUMIF($A:$A,$A5903,$K:$K)+SUMIF($A:$A,$A5903,$L:$L)),0)</f>
        <v>7.5248602212282246E-15</v>
      </c>
      <c r="O5903" s="30">
        <f>IFERROR((VLOOKUP($A5903,HeadJournal!$A$1:$L$890,COLUMN(HeadJournal!L$1),0)*($K5903+$L5903)/(SUMIF($A:$A,$A5903,$K:$K)+SUMIF($A:$A,$A5903,$L:$L)))/VLOOKUP($A5903,HeadJournal!$A$1:$L$890,COLUMN(HeadJournal!H$1),0),0)</f>
        <v>0</v>
      </c>
      <c r="P5903" s="30">
        <f>IFERROR(SUM(K5903:O5903)*VLOOKUP($A5903,HeadJournal!$A$1:$L$890,COLUMN(HeadJournal!H$1),0),0)</f>
        <v>4099.1553704850376</v>
      </c>
      <c r="Q5903" s="29"/>
      <c r="R5903" s="31"/>
      <c r="S5903" s="31"/>
      <c r="T5903" s="95" t="str">
        <f t="shared" si="420"/>
        <v/>
      </c>
      <c r="U5903" s="32">
        <f t="shared" si="354"/>
        <v>-4099.1553704850376</v>
      </c>
      <c r="V5903" s="22" t="str">
        <f t="shared" si="355"/>
        <v/>
      </c>
      <c r="X5903" s="33"/>
      <c r="Y5903" s="33"/>
    </row>
    <row r="5904" spans="1:25" x14ac:dyDescent="0.2">
      <c r="A5904" s="93" t="s">
        <v>5756</v>
      </c>
      <c r="B5904" s="94">
        <f>IFERROR(VLOOKUP($A5904,HeadJournal!$A$1:$NTR$890,COLUMN(HeadJournal!B$1),0),"")</f>
        <v>0</v>
      </c>
      <c r="C5904" s="94" t="str">
        <f>IFERROR(VLOOKUP($A5904,HeadJournal!$A$1:$NTR$890,COLUMN(HeadJournal!C$1),0),"")</f>
        <v>iHerb_OA CZN6870</v>
      </c>
      <c r="D5904" s="125" t="str">
        <f>IFERROR(VLOOKUP($A5904,HeadJournal!$A$1:$NTR$890,COLUMN(HeadJournal!D$1),0),"")</f>
        <v>В пути</v>
      </c>
      <c r="E5904" s="95">
        <f>IFERROR(VLOOKUP($A5904,HeadJournal!$A$1:$NTR$890,COLUMN(HeadJournal!G$1),0),"")</f>
        <v>46159</v>
      </c>
      <c r="F5904" s="95" t="str">
        <f t="shared" si="419"/>
        <v>2026 05</v>
      </c>
      <c r="G5904" s="97" t="s">
        <v>5</v>
      </c>
      <c r="H5904" s="161" t="s">
        <v>2806</v>
      </c>
      <c r="I5904" s="97" t="s">
        <v>2009</v>
      </c>
      <c r="J5904" s="97" t="s">
        <v>4398</v>
      </c>
      <c r="K5904" s="29">
        <v>27.33</v>
      </c>
      <c r="L5904" s="29">
        <v>-5.47</v>
      </c>
      <c r="M5904" s="30">
        <f>IFERROR(VLOOKUP($A5904,HeadJournal!$A$1:$J$890,COLUMN(HeadJournal!I$1),0)*($K5904+$L5904)/(SUMIF($A:$A,$A5904,$K:$K)+SUMIF($A:$A,$A5904,$L:$L)),0)</f>
        <v>-1.12796697626419</v>
      </c>
      <c r="N5904" s="30">
        <f>IFERROR((VLOOKUP($A5904,HeadJournal!$A$1:$K$890,COLUMN(HeadJournal!K$1),0)-VLOOKUP($A5904,HeadJournal!$A$1:$K$890,COLUMN(HeadJournal!J$1),0))*($K5904+$L5904)/(SUMIF($A:$A,$A5904,$K:$K)+SUMIF($A:$A,$A5904,$L:$L)),0)</f>
        <v>3.2058749646472223E-15</v>
      </c>
      <c r="O5904" s="30">
        <f>IFERROR((VLOOKUP($A5904,HeadJournal!$A$1:$L$890,COLUMN(HeadJournal!L$1),0)*($K5904+$L5904)/(SUMIF($A:$A,$A5904,$K:$K)+SUMIF($A:$A,$A5904,$L:$L)))/VLOOKUP($A5904,HeadJournal!$A$1:$L$890,COLUMN(HeadJournal!H$1),0),0)</f>
        <v>0</v>
      </c>
      <c r="P5904" s="30">
        <f>IFERROR(SUM(K5904:O5904)*VLOOKUP($A5904,HeadJournal!$A$1:$L$890,COLUMN(HeadJournal!H$1),0),0)</f>
        <v>1746.3951744066051</v>
      </c>
      <c r="Q5904" s="29"/>
      <c r="R5904" s="31"/>
      <c r="S5904" s="31"/>
      <c r="T5904" s="95" t="str">
        <f t="shared" si="420"/>
        <v/>
      </c>
      <c r="U5904" s="32">
        <f t="shared" si="354"/>
        <v>-1746.3951744066051</v>
      </c>
      <c r="V5904" s="22" t="str">
        <f t="shared" si="355"/>
        <v/>
      </c>
      <c r="X5904" s="33"/>
      <c r="Y5904" s="33"/>
    </row>
    <row r="5905" spans="1:25" x14ac:dyDescent="0.2">
      <c r="A5905" s="93" t="s">
        <v>5765</v>
      </c>
      <c r="B5905" s="94">
        <f>IFERROR(VLOOKUP($A5905,HeadJournal!$A$1:$NTR$890,COLUMN(HeadJournal!B$1),0),"")</f>
        <v>0</v>
      </c>
      <c r="C5905" s="94" t="str">
        <f>IFERROR(VLOOKUP($A5905,HeadJournal!$A$1:$NTR$890,COLUMN(HeadJournal!C$1),0),"")</f>
        <v>iHerb_OA CZN6870</v>
      </c>
      <c r="D5905" s="125" t="str">
        <f>IFERROR(VLOOKUP($A5905,HeadJournal!$A$1:$NTR$890,COLUMN(HeadJournal!D$1),0),"")</f>
        <v>В пути</v>
      </c>
      <c r="E5905" s="95">
        <f>IFERROR(VLOOKUP($A5905,HeadJournal!$A$1:$NTR$890,COLUMN(HeadJournal!G$1),0),"")</f>
        <v>46167</v>
      </c>
      <c r="F5905" s="95" t="str">
        <f t="shared" si="419"/>
        <v>2026 05</v>
      </c>
      <c r="G5905" s="97" t="s">
        <v>5</v>
      </c>
      <c r="H5905" s="161" t="s">
        <v>5757</v>
      </c>
      <c r="I5905" s="97" t="s">
        <v>5380</v>
      </c>
      <c r="J5905" s="97" t="s">
        <v>5758</v>
      </c>
      <c r="K5905" s="29">
        <v>29.06</v>
      </c>
      <c r="L5905" s="29">
        <v>-2.91</v>
      </c>
      <c r="M5905" s="30">
        <f>IFERROR(VLOOKUP($A5905,HeadJournal!$A$1:$J$890,COLUMN(HeadJournal!I$1),0)*($K5905+$L5905)/(SUMIF($A:$A,$A5905,$K:$K)+SUMIF($A:$A,$A5905,$L:$L)),0)</f>
        <v>-1.2785036961509049</v>
      </c>
      <c r="N5905" s="30">
        <f>IFERROR((VLOOKUP($A5905,HeadJournal!$A$1:$K$890,COLUMN(HeadJournal!K$1),0)-VLOOKUP($A5905,HeadJournal!$A$1:$K$890,COLUMN(HeadJournal!J$1),0))*($K5905+$L5905)/(SUMIF($A:$A,$A5905,$K:$K)+SUMIF($A:$A,$A5905,$L:$L)),0)</f>
        <v>3.7890782646192444E-15</v>
      </c>
      <c r="O5905" s="30">
        <f>IFERROR((VLOOKUP($A5905,HeadJournal!$A$1:$L$890,COLUMN(HeadJournal!L$1),0)*($K5905+$L5905)/(SUMIF($A:$A,$A5905,$K:$K)+SUMIF($A:$A,$A5905,$L:$L)))/VLOOKUP($A5905,HeadJournal!$A$1:$L$890,COLUMN(HeadJournal!H$1),0),0)</f>
        <v>0</v>
      </c>
      <c r="P5905" s="30">
        <f>IFERROR(SUM(K5905:O5905)*VLOOKUP($A5905,HeadJournal!$A$1:$L$890,COLUMN(HeadJournal!H$1),0),0)</f>
        <v>2035.4832041804739</v>
      </c>
      <c r="Q5905" s="29"/>
      <c r="R5905" s="31"/>
      <c r="S5905" s="31"/>
      <c r="T5905" s="95" t="str">
        <f t="shared" si="420"/>
        <v/>
      </c>
      <c r="U5905" s="32">
        <f t="shared" si="354"/>
        <v>-2035.4832041804739</v>
      </c>
      <c r="V5905" s="22" t="str">
        <f t="shared" si="355"/>
        <v/>
      </c>
      <c r="X5905" s="33"/>
      <c r="Y5905" s="33"/>
    </row>
    <row r="5906" spans="1:25" x14ac:dyDescent="0.2">
      <c r="A5906" s="93" t="s">
        <v>5765</v>
      </c>
      <c r="B5906" s="94">
        <f>IFERROR(VLOOKUP($A5906,HeadJournal!$A$1:$NTR$890,COLUMN(HeadJournal!B$1),0),"")</f>
        <v>0</v>
      </c>
      <c r="C5906" s="94" t="str">
        <f>IFERROR(VLOOKUP($A5906,HeadJournal!$A$1:$NTR$890,COLUMN(HeadJournal!C$1),0),"")</f>
        <v>iHerb_OA CZN6870</v>
      </c>
      <c r="D5906" s="125" t="str">
        <f>IFERROR(VLOOKUP($A5906,HeadJournal!$A$1:$NTR$890,COLUMN(HeadJournal!D$1),0),"")</f>
        <v>В пути</v>
      </c>
      <c r="E5906" s="95">
        <f>IFERROR(VLOOKUP($A5906,HeadJournal!$A$1:$NTR$890,COLUMN(HeadJournal!G$1),0),"")</f>
        <v>46167</v>
      </c>
      <c r="F5906" s="95" t="str">
        <f t="shared" si="419"/>
        <v>2026 05</v>
      </c>
      <c r="G5906" s="97" t="s">
        <v>5</v>
      </c>
      <c r="H5906" s="161" t="s">
        <v>5759</v>
      </c>
      <c r="I5906" s="97" t="s">
        <v>5380</v>
      </c>
      <c r="J5906" s="97" t="s">
        <v>5760</v>
      </c>
      <c r="K5906" s="29">
        <v>32.54</v>
      </c>
      <c r="L5906" s="29">
        <v>-3.25</v>
      </c>
      <c r="M5906" s="30">
        <f>IFERROR(VLOOKUP($A5906,HeadJournal!$A$1:$J$890,COLUMN(HeadJournal!I$1),0)*($K5906+$L5906)/(SUMIF($A:$A,$A5906,$K:$K)+SUMIF($A:$A,$A5906,$L:$L)),0)</f>
        <v>-1.4320219219984707</v>
      </c>
      <c r="N5906" s="30">
        <f>IFERROR((VLOOKUP($A5906,HeadJournal!$A$1:$K$890,COLUMN(HeadJournal!K$1),0)-VLOOKUP($A5906,HeadJournal!$A$1:$K$890,COLUMN(HeadJournal!J$1),0))*($K5906+$L5906)/(SUMIF($A:$A,$A5906,$K:$K)+SUMIF($A:$A,$A5906,$L:$L)),0)</f>
        <v>4.2440574520343282E-15</v>
      </c>
      <c r="O5906" s="30">
        <f>IFERROR((VLOOKUP($A5906,HeadJournal!$A$1:$L$890,COLUMN(HeadJournal!L$1),0)*($K5906+$L5906)/(SUMIF($A:$A,$A5906,$K:$K)+SUMIF($A:$A,$A5906,$L:$L)))/VLOOKUP($A5906,HeadJournal!$A$1:$L$890,COLUMN(HeadJournal!H$1),0),0)</f>
        <v>0</v>
      </c>
      <c r="P5906" s="30">
        <f>IFERROR(SUM(K5906:O5906)*VLOOKUP($A5906,HeadJournal!$A$1:$L$890,COLUMN(HeadJournal!H$1),0),0)</f>
        <v>2279.8968661738468</v>
      </c>
      <c r="Q5906" s="29"/>
      <c r="R5906" s="31"/>
      <c r="S5906" s="31"/>
      <c r="T5906" s="95" t="str">
        <f t="shared" si="420"/>
        <v/>
      </c>
      <c r="U5906" s="32">
        <f t="shared" si="354"/>
        <v>-2279.8968661738468</v>
      </c>
      <c r="V5906" s="22" t="str">
        <f t="shared" si="355"/>
        <v/>
      </c>
      <c r="X5906" s="33"/>
      <c r="Y5906" s="33"/>
    </row>
    <row r="5907" spans="1:25" x14ac:dyDescent="0.2">
      <c r="A5907" s="93" t="s">
        <v>5765</v>
      </c>
      <c r="B5907" s="94">
        <f>IFERROR(VLOOKUP($A5907,HeadJournal!$A$1:$NTR$890,COLUMN(HeadJournal!B$1),0),"")</f>
        <v>0</v>
      </c>
      <c r="C5907" s="94" t="str">
        <f>IFERROR(VLOOKUP($A5907,HeadJournal!$A$1:$NTR$890,COLUMN(HeadJournal!C$1),0),"")</f>
        <v>iHerb_OA CZN6870</v>
      </c>
      <c r="D5907" s="125" t="str">
        <f>IFERROR(VLOOKUP($A5907,HeadJournal!$A$1:$NTR$890,COLUMN(HeadJournal!D$1),0),"")</f>
        <v>В пути</v>
      </c>
      <c r="E5907" s="95">
        <f>IFERROR(VLOOKUP($A5907,HeadJournal!$A$1:$NTR$890,COLUMN(HeadJournal!G$1),0),"")</f>
        <v>46167</v>
      </c>
      <c r="F5907" s="95" t="str">
        <f t="shared" si="419"/>
        <v>2026 05</v>
      </c>
      <c r="G5907" s="97" t="s">
        <v>5</v>
      </c>
      <c r="H5907" s="161" t="s">
        <v>5761</v>
      </c>
      <c r="I5907" s="97" t="s">
        <v>5380</v>
      </c>
      <c r="J5907" s="97" t="s">
        <v>5762</v>
      </c>
      <c r="K5907" s="29">
        <v>27.12</v>
      </c>
      <c r="L5907" s="29">
        <v>-2.71</v>
      </c>
      <c r="M5907" s="30">
        <f>IFERROR(VLOOKUP($A5907,HeadJournal!$A$1:$J$890,COLUMN(HeadJournal!I$1),0)*($K5907+$L5907)/(SUMIF($A:$A,$A5907,$K:$K)+SUMIF($A:$A,$A5907,$L:$L)),0)</f>
        <v>-1.1934330869232732</v>
      </c>
      <c r="N5907" s="30">
        <f>IFERROR((VLOOKUP($A5907,HeadJournal!$A$1:$K$890,COLUMN(HeadJournal!K$1),0)-VLOOKUP($A5907,HeadJournal!$A$1:$K$890,COLUMN(HeadJournal!J$1),0))*($K5907+$L5907)/(SUMIF($A:$A,$A5907,$K:$K)+SUMIF($A:$A,$A5907,$L:$L)),0)</f>
        <v>3.5369560397459183E-15</v>
      </c>
      <c r="O5907" s="30">
        <f>IFERROR((VLOOKUP($A5907,HeadJournal!$A$1:$L$890,COLUMN(HeadJournal!L$1),0)*($K5907+$L5907)/(SUMIF($A:$A,$A5907,$K:$K)+SUMIF($A:$A,$A5907,$L:$L)))/VLOOKUP($A5907,HeadJournal!$A$1:$L$890,COLUMN(HeadJournal!H$1),0),0)</f>
        <v>0</v>
      </c>
      <c r="P5907" s="30">
        <f>IFERROR(SUM(K5907:O5907)*VLOOKUP($A5907,HeadJournal!$A$1:$L$890,COLUMN(HeadJournal!H$1),0),0)</f>
        <v>1900.0437863879683</v>
      </c>
      <c r="Q5907" s="29"/>
      <c r="R5907" s="31"/>
      <c r="S5907" s="31"/>
      <c r="T5907" s="95" t="str">
        <f t="shared" si="420"/>
        <v/>
      </c>
      <c r="U5907" s="32">
        <f t="shared" si="354"/>
        <v>-1900.0437863879683</v>
      </c>
      <c r="V5907" s="22" t="str">
        <f t="shared" si="355"/>
        <v/>
      </c>
      <c r="X5907" s="33"/>
      <c r="Y5907" s="33"/>
    </row>
    <row r="5908" spans="1:25" x14ac:dyDescent="0.2">
      <c r="A5908" s="93" t="s">
        <v>5765</v>
      </c>
      <c r="B5908" s="94">
        <f>IFERROR(VLOOKUP($A5908,HeadJournal!$A$1:$NTR$890,COLUMN(HeadJournal!B$1),0),"")</f>
        <v>0</v>
      </c>
      <c r="C5908" s="94" t="str">
        <f>IFERROR(VLOOKUP($A5908,HeadJournal!$A$1:$NTR$890,COLUMN(HeadJournal!C$1),0),"")</f>
        <v>iHerb_OA CZN6870</v>
      </c>
      <c r="D5908" s="125" t="str">
        <f>IFERROR(VLOOKUP($A5908,HeadJournal!$A$1:$NTR$890,COLUMN(HeadJournal!D$1),0),"")</f>
        <v>В пути</v>
      </c>
      <c r="E5908" s="95">
        <f>IFERROR(VLOOKUP($A5908,HeadJournal!$A$1:$NTR$890,COLUMN(HeadJournal!G$1),0),"")</f>
        <v>46167</v>
      </c>
      <c r="F5908" s="95" t="str">
        <f t="shared" si="419"/>
        <v>2026 05</v>
      </c>
      <c r="G5908" s="97" t="s">
        <v>5</v>
      </c>
      <c r="H5908" s="161" t="s">
        <v>2089</v>
      </c>
      <c r="I5908" s="97" t="s">
        <v>2005</v>
      </c>
      <c r="J5908" s="97" t="s">
        <v>3781</v>
      </c>
      <c r="K5908" s="29">
        <v>25.77</v>
      </c>
      <c r="L5908" s="29">
        <v>-2.58</v>
      </c>
      <c r="M5908" s="30">
        <f>IFERROR(VLOOKUP($A5908,HeadJournal!$A$1:$J$890,COLUMN(HeadJournal!I$1),0)*($K5908+$L5908)/(SUMIF($A:$A,$A5908,$K:$K)+SUMIF($A:$A,$A5908,$L:$L)),0)</f>
        <v>-1.1337858781544736</v>
      </c>
      <c r="N5908" s="30">
        <f>IFERROR((VLOOKUP($A5908,HeadJournal!$A$1:$K$890,COLUMN(HeadJournal!K$1),0)-VLOOKUP($A5908,HeadJournal!$A$1:$K$890,COLUMN(HeadJournal!J$1),0))*($K5908+$L5908)/(SUMIF($A:$A,$A5908,$K:$K)+SUMIF($A:$A,$A5908,$L:$L)),0)</f>
        <v>3.3601806866738157E-15</v>
      </c>
      <c r="O5908" s="30">
        <f>IFERROR((VLOOKUP($A5908,HeadJournal!$A$1:$L$890,COLUMN(HeadJournal!L$1),0)*($K5908+$L5908)/(SUMIF($A:$A,$A5908,$K:$K)+SUMIF($A:$A,$A5908,$L:$L)))/VLOOKUP($A5908,HeadJournal!$A$1:$L$890,COLUMN(HeadJournal!H$1),0),0)</f>
        <v>0</v>
      </c>
      <c r="P5908" s="30">
        <f>IFERROR(SUM(K5908:O5908)*VLOOKUP($A5908,HeadJournal!$A$1:$L$890,COLUMN(HeadJournal!H$1),0),0)</f>
        <v>1805.0805164414987</v>
      </c>
      <c r="Q5908" s="29"/>
      <c r="R5908" s="31"/>
      <c r="S5908" s="31"/>
      <c r="T5908" s="95" t="str">
        <f t="shared" si="420"/>
        <v/>
      </c>
      <c r="U5908" s="32">
        <f t="shared" si="354"/>
        <v>-1805.0805164414987</v>
      </c>
      <c r="V5908" s="22" t="str">
        <f t="shared" si="355"/>
        <v/>
      </c>
      <c r="X5908" s="33"/>
      <c r="Y5908" s="33"/>
    </row>
    <row r="5909" spans="1:25" x14ac:dyDescent="0.2">
      <c r="A5909" s="93" t="s">
        <v>5765</v>
      </c>
      <c r="B5909" s="94">
        <f>IFERROR(VLOOKUP($A5909,HeadJournal!$A$1:$NTR$890,COLUMN(HeadJournal!B$1),0),"")</f>
        <v>0</v>
      </c>
      <c r="C5909" s="94" t="str">
        <f>IFERROR(VLOOKUP($A5909,HeadJournal!$A$1:$NTR$890,COLUMN(HeadJournal!C$1),0),"")</f>
        <v>iHerb_OA CZN6870</v>
      </c>
      <c r="D5909" s="125" t="str">
        <f>IFERROR(VLOOKUP($A5909,HeadJournal!$A$1:$NTR$890,COLUMN(HeadJournal!D$1),0),"")</f>
        <v>В пути</v>
      </c>
      <c r="E5909" s="95">
        <f>IFERROR(VLOOKUP($A5909,HeadJournal!$A$1:$NTR$890,COLUMN(HeadJournal!G$1),0),"")</f>
        <v>46167</v>
      </c>
      <c r="F5909" s="95" t="str">
        <f t="shared" si="419"/>
        <v>2026 05</v>
      </c>
      <c r="G5909" s="97" t="s">
        <v>5</v>
      </c>
      <c r="H5909" s="161" t="s">
        <v>2661</v>
      </c>
      <c r="I5909" s="97" t="s">
        <v>2005</v>
      </c>
      <c r="J5909" s="97" t="s">
        <v>5498</v>
      </c>
      <c r="K5909" s="29">
        <v>12.13</v>
      </c>
      <c r="L5909" s="29">
        <v>-1.21</v>
      </c>
      <c r="M5909" s="30">
        <f>IFERROR(VLOOKUP($A5909,HeadJournal!$A$1:$J$890,COLUMN(HeadJournal!I$1),0)*($K5909+$L5909)/(SUMIF($A:$A,$A5909,$K:$K)+SUMIF($A:$A,$A5909,$L:$L)),0)</f>
        <v>-0.53389140963548321</v>
      </c>
      <c r="N5909" s="30">
        <f>IFERROR((VLOOKUP($A5909,HeadJournal!$A$1:$K$890,COLUMN(HeadJournal!K$1),0)-VLOOKUP($A5909,HeadJournal!$A$1:$K$890,COLUMN(HeadJournal!J$1),0))*($K5909+$L5909)/(SUMIF($A:$A,$A5909,$K:$K)+SUMIF($A:$A,$A5909,$L:$L)),0)</f>
        <v>1.5822843078257041E-15</v>
      </c>
      <c r="O5909" s="30">
        <f>IFERROR((VLOOKUP($A5909,HeadJournal!$A$1:$L$890,COLUMN(HeadJournal!L$1),0)*($K5909+$L5909)/(SUMIF($A:$A,$A5909,$K:$K)+SUMIF($A:$A,$A5909,$L:$L)))/VLOOKUP($A5909,HeadJournal!$A$1:$L$890,COLUMN(HeadJournal!H$1),0),0)</f>
        <v>0</v>
      </c>
      <c r="P5909" s="30">
        <f>IFERROR(SUM(K5909:O5909)*VLOOKUP($A5909,HeadJournal!$A$1:$L$890,COLUMN(HeadJournal!H$1),0),0)</f>
        <v>849.9991047667603</v>
      </c>
      <c r="Q5909" s="29"/>
      <c r="R5909" s="31"/>
      <c r="S5909" s="31"/>
      <c r="T5909" s="95" t="str">
        <f t="shared" si="420"/>
        <v/>
      </c>
      <c r="U5909" s="32">
        <f t="shared" si="354"/>
        <v>-849.9991047667603</v>
      </c>
      <c r="V5909" s="22" t="str">
        <f t="shared" si="355"/>
        <v/>
      </c>
      <c r="X5909" s="33"/>
      <c r="Y5909" s="33"/>
    </row>
    <row r="5910" spans="1:25" x14ac:dyDescent="0.2">
      <c r="A5910" s="93" t="s">
        <v>5765</v>
      </c>
      <c r="B5910" s="94">
        <f>IFERROR(VLOOKUP($A5910,HeadJournal!$A$1:$NTR$890,COLUMN(HeadJournal!B$1),0),"")</f>
        <v>0</v>
      </c>
      <c r="C5910" s="94" t="str">
        <f>IFERROR(VLOOKUP($A5910,HeadJournal!$A$1:$NTR$890,COLUMN(HeadJournal!C$1),0),"")</f>
        <v>iHerb_OA CZN6870</v>
      </c>
      <c r="D5910" s="125" t="str">
        <f>IFERROR(VLOOKUP($A5910,HeadJournal!$A$1:$NTR$890,COLUMN(HeadJournal!D$1),0),"")</f>
        <v>В пути</v>
      </c>
      <c r="E5910" s="95">
        <f>IFERROR(VLOOKUP($A5910,HeadJournal!$A$1:$NTR$890,COLUMN(HeadJournal!G$1),0),"")</f>
        <v>46167</v>
      </c>
      <c r="F5910" s="95" t="str">
        <f t="shared" si="419"/>
        <v>2026 05</v>
      </c>
      <c r="G5910" s="97" t="s">
        <v>5</v>
      </c>
      <c r="H5910" s="161" t="s">
        <v>2804</v>
      </c>
      <c r="I5910" s="97" t="s">
        <v>2005</v>
      </c>
      <c r="J5910" s="97" t="s">
        <v>2805</v>
      </c>
      <c r="K5910" s="29">
        <v>11.04</v>
      </c>
      <c r="L5910" s="29">
        <v>-1.1033333333333333</v>
      </c>
      <c r="M5910" s="30">
        <f>IFERROR(VLOOKUP($A5910,HeadJournal!$A$1:$J$890,COLUMN(HeadJournal!I$1),0)*($K5910+$L5910)/(SUMIF($A:$A,$A5910,$K:$K)+SUMIF($A:$A,$A5910,$L:$L)),0)</f>
        <v>-0.48581510748576773</v>
      </c>
      <c r="N5910" s="30">
        <f>IFERROR((VLOOKUP($A5910,HeadJournal!$A$1:$K$890,COLUMN(HeadJournal!K$1),0)-VLOOKUP($A5910,HeadJournal!$A$1:$K$890,COLUMN(HeadJournal!J$1),0))*($K5910+$L5910)/(SUMIF($A:$A,$A5910,$K:$K)+SUMIF($A:$A,$A5910,$L:$L)),0)</f>
        <v>1.4398014412785173E-15</v>
      </c>
      <c r="O5910" s="30">
        <f>IFERROR((VLOOKUP($A5910,HeadJournal!$A$1:$L$890,COLUMN(HeadJournal!L$1),0)*($K5910+$L5910)/(SUMIF($A:$A,$A5910,$K:$K)+SUMIF($A:$A,$A5910,$L:$L)))/VLOOKUP($A5910,HeadJournal!$A$1:$L$890,COLUMN(HeadJournal!H$1),0),0)</f>
        <v>0</v>
      </c>
      <c r="P5910" s="30">
        <f>IFERROR(SUM(K5910:O5910)*VLOOKUP($A5910,HeadJournal!$A$1:$L$890,COLUMN(HeadJournal!H$1),0),0)</f>
        <v>773.45767133996083</v>
      </c>
      <c r="Q5910" s="29"/>
      <c r="R5910" s="31"/>
      <c r="S5910" s="31"/>
      <c r="T5910" s="95" t="str">
        <f t="shared" si="420"/>
        <v/>
      </c>
      <c r="U5910" s="32">
        <f t="shared" si="354"/>
        <v>-773.45767133996083</v>
      </c>
      <c r="V5910" s="22" t="str">
        <f t="shared" si="355"/>
        <v/>
      </c>
      <c r="X5910" s="33"/>
      <c r="Y5910" s="33"/>
    </row>
    <row r="5911" spans="1:25" x14ac:dyDescent="0.2">
      <c r="A5911" s="93" t="s">
        <v>5765</v>
      </c>
      <c r="B5911" s="94">
        <f>IFERROR(VLOOKUP($A5911,HeadJournal!$A$1:$NTR$890,COLUMN(HeadJournal!B$1),0),"")</f>
        <v>0</v>
      </c>
      <c r="C5911" s="94" t="str">
        <f>IFERROR(VLOOKUP($A5911,HeadJournal!$A$1:$NTR$890,COLUMN(HeadJournal!C$1),0),"")</f>
        <v>iHerb_OA CZN6870</v>
      </c>
      <c r="D5911" s="125" t="str">
        <f>IFERROR(VLOOKUP($A5911,HeadJournal!$A$1:$NTR$890,COLUMN(HeadJournal!D$1),0),"")</f>
        <v>В пути</v>
      </c>
      <c r="E5911" s="95">
        <f>IFERROR(VLOOKUP($A5911,HeadJournal!$A$1:$NTR$890,COLUMN(HeadJournal!G$1),0),"")</f>
        <v>46167</v>
      </c>
      <c r="F5911" s="95" t="str">
        <f t="shared" si="419"/>
        <v>2026 05</v>
      </c>
      <c r="G5911" s="97" t="s">
        <v>5</v>
      </c>
      <c r="H5911" s="161" t="s">
        <v>2804</v>
      </c>
      <c r="I5911" s="97" t="s">
        <v>2005</v>
      </c>
      <c r="J5911" s="97" t="s">
        <v>2805</v>
      </c>
      <c r="K5911" s="29">
        <v>11.04</v>
      </c>
      <c r="L5911" s="29">
        <v>-1.1033333333333333</v>
      </c>
      <c r="M5911" s="30">
        <f>IFERROR(VLOOKUP($A5911,HeadJournal!$A$1:$J$890,COLUMN(HeadJournal!I$1),0)*($K5911+$L5911)/(SUMIF($A:$A,$A5911,$K:$K)+SUMIF($A:$A,$A5911,$L:$L)),0)</f>
        <v>-0.48581510748576773</v>
      </c>
      <c r="N5911" s="30">
        <f>IFERROR((VLOOKUP($A5911,HeadJournal!$A$1:$K$890,COLUMN(HeadJournal!K$1),0)-VLOOKUP($A5911,HeadJournal!$A$1:$K$890,COLUMN(HeadJournal!J$1),0))*($K5911+$L5911)/(SUMIF($A:$A,$A5911,$K:$K)+SUMIF($A:$A,$A5911,$L:$L)),0)</f>
        <v>1.4398014412785173E-15</v>
      </c>
      <c r="O5911" s="30">
        <f>IFERROR((VLOOKUP($A5911,HeadJournal!$A$1:$L$890,COLUMN(HeadJournal!L$1),0)*($K5911+$L5911)/(SUMIF($A:$A,$A5911,$K:$K)+SUMIF($A:$A,$A5911,$L:$L)))/VLOOKUP($A5911,HeadJournal!$A$1:$L$890,COLUMN(HeadJournal!H$1),0),0)</f>
        <v>0</v>
      </c>
      <c r="P5911" s="30">
        <f>IFERROR(SUM(K5911:O5911)*VLOOKUP($A5911,HeadJournal!$A$1:$L$890,COLUMN(HeadJournal!H$1),0),0)</f>
        <v>773.45767133996083</v>
      </c>
      <c r="Q5911" s="29"/>
      <c r="R5911" s="31"/>
      <c r="S5911" s="31"/>
      <c r="T5911" s="95" t="str">
        <f t="shared" si="420"/>
        <v/>
      </c>
      <c r="U5911" s="32">
        <f t="shared" si="354"/>
        <v>-773.45767133996083</v>
      </c>
      <c r="V5911" s="22" t="str">
        <f t="shared" si="355"/>
        <v/>
      </c>
      <c r="X5911" s="33"/>
      <c r="Y5911" s="33"/>
    </row>
    <row r="5912" spans="1:25" x14ac:dyDescent="0.2">
      <c r="A5912" s="93" t="s">
        <v>5765</v>
      </c>
      <c r="B5912" s="94">
        <f>IFERROR(VLOOKUP($A5912,HeadJournal!$A$1:$NTR$890,COLUMN(HeadJournal!B$1),0),"")</f>
        <v>0</v>
      </c>
      <c r="C5912" s="94" t="str">
        <f>IFERROR(VLOOKUP($A5912,HeadJournal!$A$1:$NTR$890,COLUMN(HeadJournal!C$1),0),"")</f>
        <v>iHerb_OA CZN6870</v>
      </c>
      <c r="D5912" s="125" t="str">
        <f>IFERROR(VLOOKUP($A5912,HeadJournal!$A$1:$NTR$890,COLUMN(HeadJournal!D$1),0),"")</f>
        <v>В пути</v>
      </c>
      <c r="E5912" s="95">
        <f>IFERROR(VLOOKUP($A5912,HeadJournal!$A$1:$NTR$890,COLUMN(HeadJournal!G$1),0),"")</f>
        <v>46167</v>
      </c>
      <c r="F5912" s="95" t="str">
        <f t="shared" si="419"/>
        <v>2026 05</v>
      </c>
      <c r="G5912" s="97" t="s">
        <v>5</v>
      </c>
      <c r="H5912" s="161" t="s">
        <v>2804</v>
      </c>
      <c r="I5912" s="97" t="s">
        <v>2005</v>
      </c>
      <c r="J5912" s="97" t="s">
        <v>2805</v>
      </c>
      <c r="K5912" s="29">
        <v>11.04</v>
      </c>
      <c r="L5912" s="29">
        <v>-1.1033333333333333</v>
      </c>
      <c r="M5912" s="30">
        <f>IFERROR(VLOOKUP($A5912,HeadJournal!$A$1:$J$890,COLUMN(HeadJournal!I$1),0)*($K5912+$L5912)/(SUMIF($A:$A,$A5912,$K:$K)+SUMIF($A:$A,$A5912,$L:$L)),0)</f>
        <v>-0.48581510748576773</v>
      </c>
      <c r="N5912" s="30">
        <f>IFERROR((VLOOKUP($A5912,HeadJournal!$A$1:$K$890,COLUMN(HeadJournal!K$1),0)-VLOOKUP($A5912,HeadJournal!$A$1:$K$890,COLUMN(HeadJournal!J$1),0))*($K5912+$L5912)/(SUMIF($A:$A,$A5912,$K:$K)+SUMIF($A:$A,$A5912,$L:$L)),0)</f>
        <v>1.4398014412785173E-15</v>
      </c>
      <c r="O5912" s="30">
        <f>IFERROR((VLOOKUP($A5912,HeadJournal!$A$1:$L$890,COLUMN(HeadJournal!L$1),0)*($K5912+$L5912)/(SUMIF($A:$A,$A5912,$K:$K)+SUMIF($A:$A,$A5912,$L:$L)))/VLOOKUP($A5912,HeadJournal!$A$1:$L$890,COLUMN(HeadJournal!H$1),0),0)</f>
        <v>0</v>
      </c>
      <c r="P5912" s="30">
        <f>IFERROR(SUM(K5912:O5912)*VLOOKUP($A5912,HeadJournal!$A$1:$L$890,COLUMN(HeadJournal!H$1),0),0)</f>
        <v>773.45767133996083</v>
      </c>
      <c r="Q5912" s="29"/>
      <c r="R5912" s="31"/>
      <c r="S5912" s="31"/>
      <c r="T5912" s="95" t="str">
        <f t="shared" si="420"/>
        <v/>
      </c>
      <c r="U5912" s="32">
        <f t="shared" si="354"/>
        <v>-773.45767133996083</v>
      </c>
      <c r="V5912" s="22" t="str">
        <f t="shared" si="355"/>
        <v/>
      </c>
      <c r="X5912" s="33"/>
      <c r="Y5912" s="33"/>
    </row>
    <row r="5913" spans="1:25" x14ac:dyDescent="0.2">
      <c r="A5913" s="93" t="s">
        <v>5765</v>
      </c>
      <c r="B5913" s="94">
        <f>IFERROR(VLOOKUP($A5913,HeadJournal!$A$1:$NTR$890,COLUMN(HeadJournal!B$1),0),"")</f>
        <v>0</v>
      </c>
      <c r="C5913" s="94" t="str">
        <f>IFERROR(VLOOKUP($A5913,HeadJournal!$A$1:$NTR$890,COLUMN(HeadJournal!C$1),0),"")</f>
        <v>iHerb_OA CZN6870</v>
      </c>
      <c r="D5913" s="125" t="str">
        <f>IFERROR(VLOOKUP($A5913,HeadJournal!$A$1:$NTR$890,COLUMN(HeadJournal!D$1),0),"")</f>
        <v>В пути</v>
      </c>
      <c r="E5913" s="95">
        <f>IFERROR(VLOOKUP($A5913,HeadJournal!$A$1:$NTR$890,COLUMN(HeadJournal!G$1),0),"")</f>
        <v>46167</v>
      </c>
      <c r="F5913" s="95" t="str">
        <f t="shared" si="419"/>
        <v>2026 05</v>
      </c>
      <c r="G5913" s="97" t="s">
        <v>5</v>
      </c>
      <c r="H5913" s="161" t="s">
        <v>5763</v>
      </c>
      <c r="I5913" s="97" t="s">
        <v>2750</v>
      </c>
      <c r="J5913" s="97" t="s">
        <v>5764</v>
      </c>
      <c r="K5913" s="29">
        <v>22.73</v>
      </c>
      <c r="L5913" s="29">
        <v>-2.27</v>
      </c>
      <c r="M5913" s="30">
        <f>IFERROR(VLOOKUP($A5913,HeadJournal!$A$1:$J$890,COLUMN(HeadJournal!I$1),0)*($K5913+$L5913)/(SUMIF($A:$A,$A5913,$K:$K)+SUMIF($A:$A,$A5913,$L:$L)),0)</f>
        <v>-1.000313025745603</v>
      </c>
      <c r="N5913" s="30">
        <f>IFERROR((VLOOKUP($A5913,HeadJournal!$A$1:$K$890,COLUMN(HeadJournal!K$1),0)-VLOOKUP($A5913,HeadJournal!$A$1:$K$890,COLUMN(HeadJournal!J$1),0))*($K5913+$L5913)/(SUMIF($A:$A,$A5913,$K:$K)+SUMIF($A:$A,$A5913,$L:$L)),0)</f>
        <v>2.9646096097173901E-15</v>
      </c>
      <c r="O5913" s="30">
        <f>IFERROR((VLOOKUP($A5913,HeadJournal!$A$1:$L$890,COLUMN(HeadJournal!L$1),0)*($K5913+$L5913)/(SUMIF($A:$A,$A5913,$K:$K)+SUMIF($A:$A,$A5913,$L:$L)))/VLOOKUP($A5913,HeadJournal!$A$1:$L$890,COLUMN(HeadJournal!H$1),0),0)</f>
        <v>0</v>
      </c>
      <c r="P5913" s="30">
        <f>IFERROR(SUM(K5913:O5913)*VLOOKUP($A5913,HeadJournal!$A$1:$L$890,COLUMN(HeadJournal!H$1),0),0)</f>
        <v>1592.5807402498092</v>
      </c>
      <c r="Q5913" s="29"/>
      <c r="R5913" s="31"/>
      <c r="S5913" s="31"/>
      <c r="T5913" s="95" t="str">
        <f t="shared" si="420"/>
        <v/>
      </c>
      <c r="U5913" s="32">
        <f t="shared" si="354"/>
        <v>-1592.5807402498092</v>
      </c>
      <c r="V5913" s="22" t="str">
        <f t="shared" si="355"/>
        <v/>
      </c>
      <c r="X5913" s="33"/>
      <c r="Y5913" s="33"/>
    </row>
    <row r="5914" spans="1:25" x14ac:dyDescent="0.2">
      <c r="A5914" s="93" t="s">
        <v>5765</v>
      </c>
      <c r="B5914" s="94">
        <f>IFERROR(VLOOKUP($A5914,HeadJournal!$A$1:$NTR$890,COLUMN(HeadJournal!B$1),0),"")</f>
        <v>0</v>
      </c>
      <c r="C5914" s="94" t="str">
        <f>IFERROR(VLOOKUP($A5914,HeadJournal!$A$1:$NTR$890,COLUMN(HeadJournal!C$1),0),"")</f>
        <v>iHerb_OA CZN6870</v>
      </c>
      <c r="D5914" s="125" t="str">
        <f>IFERROR(VLOOKUP($A5914,HeadJournal!$A$1:$NTR$890,COLUMN(HeadJournal!D$1),0),"")</f>
        <v>В пути</v>
      </c>
      <c r="E5914" s="95">
        <f>IFERROR(VLOOKUP($A5914,HeadJournal!$A$1:$NTR$890,COLUMN(HeadJournal!G$1),0),"")</f>
        <v>46167</v>
      </c>
      <c r="F5914" s="95" t="str">
        <f t="shared" si="419"/>
        <v>2026 05</v>
      </c>
      <c r="G5914" s="97" t="s">
        <v>5</v>
      </c>
      <c r="H5914" s="161" t="s">
        <v>5625</v>
      </c>
      <c r="I5914" s="97" t="s">
        <v>2451</v>
      </c>
      <c r="J5914" s="97" t="s">
        <v>5626</v>
      </c>
      <c r="K5914" s="29">
        <v>20.52</v>
      </c>
      <c r="L5914" s="29">
        <v>-2.0499999999999998</v>
      </c>
      <c r="M5914" s="30">
        <f>IFERROR(VLOOKUP($A5914,HeadJournal!$A$1:$J$890,COLUMN(HeadJournal!I$1),0)*($K5914+$L5914)/(SUMIF($A:$A,$A5914,$K:$K)+SUMIF($A:$A,$A5914,$L:$L)),0)</f>
        <v>-0.90301962783584</v>
      </c>
      <c r="N5914" s="30">
        <f>IFERROR((VLOOKUP($A5914,HeadJournal!$A$1:$K$890,COLUMN(HeadJournal!K$1),0)-VLOOKUP($A5914,HeadJournal!$A$1:$K$890,COLUMN(HeadJournal!J$1),0))*($K5914+$L5914)/(SUMIF($A:$A,$A5914,$K:$K)+SUMIF($A:$A,$A5914,$L:$L)),0)</f>
        <v>2.6762629272473212E-15</v>
      </c>
      <c r="O5914" s="30">
        <f>IFERROR((VLOOKUP($A5914,HeadJournal!$A$1:$L$890,COLUMN(HeadJournal!L$1),0)*($K5914+$L5914)/(SUMIF($A:$A,$A5914,$K:$K)+SUMIF($A:$A,$A5914,$L:$L)))/VLOOKUP($A5914,HeadJournal!$A$1:$L$890,COLUMN(HeadJournal!H$1),0),0)</f>
        <v>0</v>
      </c>
      <c r="P5914" s="30">
        <f>IFERROR(SUM(K5914:O5914)*VLOOKUP($A5914,HeadJournal!$A$1:$L$890,COLUMN(HeadJournal!H$1),0),0)</f>
        <v>1437.6816359928628</v>
      </c>
      <c r="Q5914" s="29"/>
      <c r="R5914" s="31"/>
      <c r="S5914" s="31"/>
      <c r="T5914" s="95" t="str">
        <f t="shared" si="420"/>
        <v/>
      </c>
      <c r="U5914" s="32">
        <f t="shared" si="354"/>
        <v>-1437.6816359928628</v>
      </c>
      <c r="V5914" s="22" t="str">
        <f t="shared" si="355"/>
        <v/>
      </c>
      <c r="X5914" s="33"/>
      <c r="Y5914" s="33"/>
    </row>
    <row r="5915" spans="1:25" x14ac:dyDescent="0.2">
      <c r="A5915" s="93" t="s">
        <v>5765</v>
      </c>
      <c r="B5915" s="94">
        <f>IFERROR(VLOOKUP($A5915,HeadJournal!$A$1:$NTR$890,COLUMN(HeadJournal!B$1),0),"")</f>
        <v>0</v>
      </c>
      <c r="C5915" s="94" t="str">
        <f>IFERROR(VLOOKUP($A5915,HeadJournal!$A$1:$NTR$890,COLUMN(HeadJournal!C$1),0),"")</f>
        <v>iHerb_OA CZN6870</v>
      </c>
      <c r="D5915" s="125" t="str">
        <f>IFERROR(VLOOKUP($A5915,HeadJournal!$A$1:$NTR$890,COLUMN(HeadJournal!D$1),0),"")</f>
        <v>В пути</v>
      </c>
      <c r="E5915" s="95">
        <f>IFERROR(VLOOKUP($A5915,HeadJournal!$A$1:$NTR$890,COLUMN(HeadJournal!G$1),0),"")</f>
        <v>46167</v>
      </c>
      <c r="F5915" s="95" t="str">
        <f t="shared" si="419"/>
        <v>2026 05</v>
      </c>
      <c r="G5915" s="97" t="s">
        <v>5</v>
      </c>
      <c r="H5915" s="161" t="s">
        <v>2773</v>
      </c>
      <c r="I5915" s="97" t="s">
        <v>2005</v>
      </c>
      <c r="J5915" s="97" t="s">
        <v>2774</v>
      </c>
      <c r="K5915" s="29">
        <v>14.95</v>
      </c>
      <c r="L5915" s="29">
        <v>-1.5</v>
      </c>
      <c r="M5915" s="30">
        <f>IFERROR(VLOOKUP($A5915,HeadJournal!$A$1:$J$890,COLUMN(HeadJournal!I$1),0)*($K5915+$L5915)/(SUMIF($A:$A,$A5915,$K:$K)+SUMIF($A:$A,$A5915,$L:$L)),0)</f>
        <v>-0.6575860310986491</v>
      </c>
      <c r="N5915" s="30">
        <f>IFERROR((VLOOKUP($A5915,HeadJournal!$A$1:$K$890,COLUMN(HeadJournal!K$1),0)-VLOOKUP($A5915,HeadJournal!$A$1:$K$890,COLUMN(HeadJournal!J$1),0))*($K5915+$L5915)/(SUMIF($A:$A,$A5915,$K:$K)+SUMIF($A:$A,$A5915,$L:$L)),0)</f>
        <v>1.9488758187047359E-15</v>
      </c>
      <c r="O5915" s="30">
        <f>IFERROR((VLOOKUP($A5915,HeadJournal!$A$1:$L$890,COLUMN(HeadJournal!L$1),0)*($K5915+$L5915)/(SUMIF($A:$A,$A5915,$K:$K)+SUMIF($A:$A,$A5915,$L:$L)))/VLOOKUP($A5915,HeadJournal!$A$1:$L$890,COLUMN(HeadJournal!H$1),0),0)</f>
        <v>0</v>
      </c>
      <c r="P5915" s="30">
        <f>IFERROR(SUM(K5915:O5915)*VLOOKUP($A5915,HeadJournal!$A$1:$L$890,COLUMN(HeadJournal!H$1),0),0)</f>
        <v>1046.9311317868978</v>
      </c>
      <c r="Q5915" s="29"/>
      <c r="R5915" s="31"/>
      <c r="S5915" s="31"/>
      <c r="T5915" s="95" t="str">
        <f t="shared" si="420"/>
        <v/>
      </c>
      <c r="U5915" s="32">
        <f t="shared" si="354"/>
        <v>-1046.9311317868978</v>
      </c>
      <c r="V5915" s="22" t="str">
        <f t="shared" si="355"/>
        <v/>
      </c>
      <c r="X5915" s="33"/>
      <c r="Y5915" s="33"/>
    </row>
    <row r="5916" spans="1:25" x14ac:dyDescent="0.2">
      <c r="A5916" s="93" t="s">
        <v>5770</v>
      </c>
      <c r="B5916" s="94">
        <f>IFERROR(VLOOKUP($A5916,HeadJournal!$A$1:$NTR$890,COLUMN(HeadJournal!B$1),0),"")</f>
        <v>0</v>
      </c>
      <c r="C5916" s="94" t="str">
        <f>IFERROR(VLOOKUP($A5916,HeadJournal!$A$1:$NTR$890,COLUMN(HeadJournal!C$1),0),"")</f>
        <v>iHerb_MH DLE7202</v>
      </c>
      <c r="D5916" s="125" t="str">
        <f>IFERROR(VLOOKUP($A5916,HeadJournal!$A$1:$NTR$890,COLUMN(HeadJournal!D$1),0),"")</f>
        <v>В пути</v>
      </c>
      <c r="E5916" s="95">
        <f>IFERROR(VLOOKUP($A5916,HeadJournal!$A$1:$NTR$890,COLUMN(HeadJournal!G$1),0),"")</f>
        <v>46170</v>
      </c>
      <c r="F5916" s="95" t="str">
        <f t="shared" si="419"/>
        <v>2026 05</v>
      </c>
      <c r="G5916" s="97" t="s">
        <v>5</v>
      </c>
      <c r="H5916" s="161" t="s">
        <v>5083</v>
      </c>
      <c r="I5916" s="97" t="s">
        <v>2052</v>
      </c>
      <c r="J5916" s="97" t="s">
        <v>5084</v>
      </c>
      <c r="K5916" s="29">
        <v>20.52</v>
      </c>
      <c r="L5916" s="29">
        <v>-6.16</v>
      </c>
      <c r="M5916" s="30">
        <f>IFERROR(VLOOKUP($A5916,HeadJournal!$A$1:$J$890,COLUMN(HeadJournal!I$1),0)*($K5916+$L5916)/(SUMIF($A:$A,$A5916,$K:$K)+SUMIF($A:$A,$A5916,$L:$L)),0)</f>
        <v>-0.71876854070034146</v>
      </c>
      <c r="N5916" s="30">
        <f>IFERROR((VLOOKUP($A5916,HeadJournal!$A$1:$K$890,COLUMN(HeadJournal!K$1),0)-VLOOKUP($A5916,HeadJournal!$A$1:$K$890,COLUMN(HeadJournal!J$1),0))*($K5916+$L5916)/(SUMIF($A:$A,$A5916,$K:$K)+SUMIF($A:$A,$A5916,$L:$L)),0)</f>
        <v>0</v>
      </c>
      <c r="O5916" s="30">
        <f>IFERROR((VLOOKUP($A5916,HeadJournal!$A$1:$L$890,COLUMN(HeadJournal!L$1),0)*($K5916+$L5916)/(SUMIF($A:$A,$A5916,$K:$K)+SUMIF($A:$A,$A5916,$L:$L)))/VLOOKUP($A5916,HeadJournal!$A$1:$L$890,COLUMN(HeadJournal!H$1),0),0)</f>
        <v>0</v>
      </c>
      <c r="P5916" s="30">
        <f>IFERROR(SUM(K5916:O5916)*VLOOKUP($A5916,HeadJournal!$A$1:$L$890,COLUMN(HeadJournal!H$1),0),0)</f>
        <v>1116.4781059177326</v>
      </c>
      <c r="Q5916" s="29"/>
      <c r="R5916" s="31"/>
      <c r="S5916" s="31"/>
      <c r="T5916" s="95" t="str">
        <f t="shared" si="420"/>
        <v/>
      </c>
      <c r="U5916" s="32">
        <f t="shared" si="354"/>
        <v>-1116.4781059177326</v>
      </c>
      <c r="V5916" s="22" t="str">
        <f t="shared" si="355"/>
        <v/>
      </c>
      <c r="X5916" s="33"/>
      <c r="Y5916" s="33"/>
    </row>
    <row r="5917" spans="1:25" x14ac:dyDescent="0.2">
      <c r="A5917" s="93" t="s">
        <v>5770</v>
      </c>
      <c r="B5917" s="94">
        <f>IFERROR(VLOOKUP($A5917,HeadJournal!$A$1:$NTR$890,COLUMN(HeadJournal!B$1),0),"")</f>
        <v>0</v>
      </c>
      <c r="C5917" s="94" t="str">
        <f>IFERROR(VLOOKUP($A5917,HeadJournal!$A$1:$NTR$890,COLUMN(HeadJournal!C$1),0),"")</f>
        <v>iHerb_MH DLE7202</v>
      </c>
      <c r="D5917" s="125" t="str">
        <f>IFERROR(VLOOKUP($A5917,HeadJournal!$A$1:$NTR$890,COLUMN(HeadJournal!D$1),0),"")</f>
        <v>В пути</v>
      </c>
      <c r="E5917" s="95">
        <f>IFERROR(VLOOKUP($A5917,HeadJournal!$A$1:$NTR$890,COLUMN(HeadJournal!G$1),0),"")</f>
        <v>46170</v>
      </c>
      <c r="F5917" s="95" t="str">
        <f t="shared" si="419"/>
        <v>2026 05</v>
      </c>
      <c r="G5917" s="97" t="s">
        <v>5</v>
      </c>
      <c r="H5917" s="161" t="s">
        <v>2073</v>
      </c>
      <c r="I5917" s="97" t="s">
        <v>2005</v>
      </c>
      <c r="J5917" s="97" t="s">
        <v>2074</v>
      </c>
      <c r="K5917" s="29">
        <v>19.72</v>
      </c>
      <c r="L5917" s="29">
        <v>-1.97</v>
      </c>
      <c r="M5917" s="30">
        <f>IFERROR(VLOOKUP($A5917,HeadJournal!$A$1:$J$890,COLUMN(HeadJournal!I$1),0)*($K5917+$L5917)/(SUMIF($A:$A,$A5917,$K:$K)+SUMIF($A:$A,$A5917,$L:$L)),0)</f>
        <v>-0.88844997196595143</v>
      </c>
      <c r="N5917" s="30">
        <f>IFERROR((VLOOKUP($A5917,HeadJournal!$A$1:$K$890,COLUMN(HeadJournal!K$1),0)-VLOOKUP($A5917,HeadJournal!$A$1:$K$890,COLUMN(HeadJournal!J$1),0))*($K5917+$L5917)/(SUMIF($A:$A,$A5917,$K:$K)+SUMIF($A:$A,$A5917,$L:$L)),0)</f>
        <v>0</v>
      </c>
      <c r="O5917" s="30">
        <f>IFERROR((VLOOKUP($A5917,HeadJournal!$A$1:$L$890,COLUMN(HeadJournal!L$1),0)*($K5917+$L5917)/(SUMIF($A:$A,$A5917,$K:$K)+SUMIF($A:$A,$A5917,$L:$L)))/VLOOKUP($A5917,HeadJournal!$A$1:$L$890,COLUMN(HeadJournal!H$1),0),0)</f>
        <v>0</v>
      </c>
      <c r="P5917" s="30">
        <f>IFERROR(SUM(K5917:O5917)*VLOOKUP($A5917,HeadJournal!$A$1:$L$890,COLUMN(HeadJournal!H$1),0),0)</f>
        <v>1380.0477980529079</v>
      </c>
      <c r="Q5917" s="29"/>
      <c r="R5917" s="31"/>
      <c r="S5917" s="31"/>
      <c r="T5917" s="95" t="str">
        <f t="shared" si="420"/>
        <v/>
      </c>
      <c r="U5917" s="32">
        <f t="shared" si="354"/>
        <v>-1380.0477980529079</v>
      </c>
      <c r="V5917" s="22" t="str">
        <f t="shared" si="355"/>
        <v/>
      </c>
      <c r="X5917" s="33"/>
      <c r="Y5917" s="33"/>
    </row>
    <row r="5918" spans="1:25" x14ac:dyDescent="0.2">
      <c r="A5918" s="93" t="s">
        <v>5770</v>
      </c>
      <c r="B5918" s="94">
        <f>IFERROR(VLOOKUP($A5918,HeadJournal!$A$1:$NTR$890,COLUMN(HeadJournal!B$1),0),"")</f>
        <v>0</v>
      </c>
      <c r="C5918" s="94" t="str">
        <f>IFERROR(VLOOKUP($A5918,HeadJournal!$A$1:$NTR$890,COLUMN(HeadJournal!C$1),0),"")</f>
        <v>iHerb_MH DLE7202</v>
      </c>
      <c r="D5918" s="125" t="str">
        <f>IFERROR(VLOOKUP($A5918,HeadJournal!$A$1:$NTR$890,COLUMN(HeadJournal!D$1),0),"")</f>
        <v>В пути</v>
      </c>
      <c r="E5918" s="95">
        <f>IFERROR(VLOOKUP($A5918,HeadJournal!$A$1:$NTR$890,COLUMN(HeadJournal!G$1),0),"")</f>
        <v>46170</v>
      </c>
      <c r="F5918" s="95" t="str">
        <f t="shared" si="419"/>
        <v>2026 05</v>
      </c>
      <c r="G5918" s="97" t="s">
        <v>5</v>
      </c>
      <c r="H5918" s="161" t="s">
        <v>5448</v>
      </c>
      <c r="I5918" s="97" t="s">
        <v>2666</v>
      </c>
      <c r="J5918" s="97" t="s">
        <v>5610</v>
      </c>
      <c r="K5918" s="29">
        <v>13.41</v>
      </c>
      <c r="L5918" s="29">
        <v>-1.34</v>
      </c>
      <c r="M5918" s="30">
        <f>IFERROR(VLOOKUP($A5918,HeadJournal!$A$1:$J$890,COLUMN(HeadJournal!I$1),0)*($K5918+$L5918)/(SUMIF($A:$A,$A5918,$K:$K)+SUMIF($A:$A,$A5918,$L:$L)),0)</f>
        <v>-0.6041459809368469</v>
      </c>
      <c r="N5918" s="30">
        <f>IFERROR((VLOOKUP($A5918,HeadJournal!$A$1:$K$890,COLUMN(HeadJournal!K$1),0)-VLOOKUP($A5918,HeadJournal!$A$1:$K$890,COLUMN(HeadJournal!J$1),0))*($K5918+$L5918)/(SUMIF($A:$A,$A5918,$K:$K)+SUMIF($A:$A,$A5918,$L:$L)),0)</f>
        <v>0</v>
      </c>
      <c r="O5918" s="30">
        <f>IFERROR((VLOOKUP($A5918,HeadJournal!$A$1:$L$890,COLUMN(HeadJournal!L$1),0)*($K5918+$L5918)/(SUMIF($A:$A,$A5918,$K:$K)+SUMIF($A:$A,$A5918,$L:$L)))/VLOOKUP($A5918,HeadJournal!$A$1:$L$890,COLUMN(HeadJournal!H$1),0),0)</f>
        <v>0</v>
      </c>
      <c r="P5918" s="30">
        <f>IFERROR(SUM(K5918:O5918)*VLOOKUP($A5918,HeadJournal!$A$1:$L$890,COLUMN(HeadJournal!H$1),0),0)</f>
        <v>938.43250267597728</v>
      </c>
      <c r="Q5918" s="29"/>
      <c r="R5918" s="31"/>
      <c r="S5918" s="31"/>
      <c r="T5918" s="95" t="str">
        <f t="shared" si="420"/>
        <v/>
      </c>
      <c r="U5918" s="32">
        <f t="shared" ref="U5918:U6029" si="447">Q5918-P5918</f>
        <v>-938.43250267597728</v>
      </c>
      <c r="V5918" s="22" t="str">
        <f t="shared" ref="V5918:V6029" si="448">IF(Q5918&lt;&gt;0,IFERROR(U5918/P5918,""),"")</f>
        <v/>
      </c>
      <c r="X5918" s="33"/>
      <c r="Y5918" s="33"/>
    </row>
    <row r="5919" spans="1:25" x14ac:dyDescent="0.2">
      <c r="A5919" s="93" t="s">
        <v>5770</v>
      </c>
      <c r="B5919" s="94">
        <f>IFERROR(VLOOKUP($A5919,HeadJournal!$A$1:$NTR$890,COLUMN(HeadJournal!B$1),0),"")</f>
        <v>0</v>
      </c>
      <c r="C5919" s="94" t="str">
        <f>IFERROR(VLOOKUP($A5919,HeadJournal!$A$1:$NTR$890,COLUMN(HeadJournal!C$1),0),"")</f>
        <v>iHerb_MH DLE7202</v>
      </c>
      <c r="D5919" s="125" t="str">
        <f>IFERROR(VLOOKUP($A5919,HeadJournal!$A$1:$NTR$890,COLUMN(HeadJournal!D$1),0),"")</f>
        <v>В пути</v>
      </c>
      <c r="E5919" s="95">
        <f>IFERROR(VLOOKUP($A5919,HeadJournal!$A$1:$NTR$890,COLUMN(HeadJournal!G$1),0),"")</f>
        <v>46170</v>
      </c>
      <c r="F5919" s="95" t="str">
        <f t="shared" si="419"/>
        <v>2026 05</v>
      </c>
      <c r="G5919" s="97" t="s">
        <v>5</v>
      </c>
      <c r="H5919" s="161" t="s">
        <v>2804</v>
      </c>
      <c r="I5919" s="97" t="s">
        <v>2005</v>
      </c>
      <c r="J5919" s="97" t="s">
        <v>2805</v>
      </c>
      <c r="K5919" s="29">
        <v>11.04</v>
      </c>
      <c r="L5919" s="29">
        <v>-1.105</v>
      </c>
      <c r="M5919" s="30">
        <f>IFERROR(VLOOKUP($A5919,HeadJournal!$A$1:$J$890,COLUMN(HeadJournal!I$1),0)*($K5919+$L5919)/(SUMIF($A:$A,$A5919,$K:$K)+SUMIF($A:$A,$A5919,$L:$L)),0)</f>
        <v>-0.49728171670319582</v>
      </c>
      <c r="N5919" s="30">
        <f>IFERROR((VLOOKUP($A5919,HeadJournal!$A$1:$K$890,COLUMN(HeadJournal!K$1),0)-VLOOKUP($A5919,HeadJournal!$A$1:$K$890,COLUMN(HeadJournal!J$1),0))*($K5919+$L5919)/(SUMIF($A:$A,$A5919,$K:$K)+SUMIF($A:$A,$A5919,$L:$L)),0)</f>
        <v>0</v>
      </c>
      <c r="O5919" s="30">
        <f>IFERROR((VLOOKUP($A5919,HeadJournal!$A$1:$L$890,COLUMN(HeadJournal!L$1),0)*($K5919+$L5919)/(SUMIF($A:$A,$A5919,$K:$K)+SUMIF($A:$A,$A5919,$L:$L)))/VLOOKUP($A5919,HeadJournal!$A$1:$L$890,COLUMN(HeadJournal!H$1),0),0)</f>
        <v>0</v>
      </c>
      <c r="P5919" s="30">
        <f>IFERROR(SUM(K5919:O5919)*VLOOKUP($A5919,HeadJournal!$A$1:$L$890,COLUMN(HeadJournal!H$1),0),0)</f>
        <v>772.43802105102179</v>
      </c>
      <c r="Q5919" s="29"/>
      <c r="R5919" s="31"/>
      <c r="S5919" s="31"/>
      <c r="T5919" s="95" t="str">
        <f t="shared" si="420"/>
        <v/>
      </c>
      <c r="U5919" s="32">
        <f t="shared" si="447"/>
        <v>-772.43802105102179</v>
      </c>
      <c r="V5919" s="22" t="str">
        <f t="shared" si="448"/>
        <v/>
      </c>
      <c r="X5919" s="33"/>
      <c r="Y5919" s="33"/>
    </row>
    <row r="5920" spans="1:25" x14ac:dyDescent="0.2">
      <c r="A5920" s="93" t="s">
        <v>5770</v>
      </c>
      <c r="B5920" s="94">
        <f>IFERROR(VLOOKUP($A5920,HeadJournal!$A$1:$NTR$890,COLUMN(HeadJournal!B$1),0),"")</f>
        <v>0</v>
      </c>
      <c r="C5920" s="94" t="str">
        <f>IFERROR(VLOOKUP($A5920,HeadJournal!$A$1:$NTR$890,COLUMN(HeadJournal!C$1),0),"")</f>
        <v>iHerb_MH DLE7202</v>
      </c>
      <c r="D5920" s="125" t="str">
        <f>IFERROR(VLOOKUP($A5920,HeadJournal!$A$1:$NTR$890,COLUMN(HeadJournal!D$1),0),"")</f>
        <v>В пути</v>
      </c>
      <c r="E5920" s="95">
        <f>IFERROR(VLOOKUP($A5920,HeadJournal!$A$1:$NTR$890,COLUMN(HeadJournal!G$1),0),"")</f>
        <v>46170</v>
      </c>
      <c r="F5920" s="95" t="str">
        <f t="shared" si="419"/>
        <v>2026 05</v>
      </c>
      <c r="G5920" s="97" t="s">
        <v>5</v>
      </c>
      <c r="H5920" s="161" t="s">
        <v>2804</v>
      </c>
      <c r="I5920" s="97" t="s">
        <v>2005</v>
      </c>
      <c r="J5920" s="97" t="s">
        <v>2805</v>
      </c>
      <c r="K5920" s="29">
        <v>11.04</v>
      </c>
      <c r="L5920" s="29">
        <v>-1.105</v>
      </c>
      <c r="M5920" s="30">
        <f>IFERROR(VLOOKUP($A5920,HeadJournal!$A$1:$J$890,COLUMN(HeadJournal!I$1),0)*($K5920+$L5920)/(SUMIF($A:$A,$A5920,$K:$K)+SUMIF($A:$A,$A5920,$L:$L)),0)</f>
        <v>-0.49728171670319582</v>
      </c>
      <c r="N5920" s="30">
        <f>IFERROR((VLOOKUP($A5920,HeadJournal!$A$1:$K$890,COLUMN(HeadJournal!K$1),0)-VLOOKUP($A5920,HeadJournal!$A$1:$K$890,COLUMN(HeadJournal!J$1),0))*($K5920+$L5920)/(SUMIF($A:$A,$A5920,$K:$K)+SUMIF($A:$A,$A5920,$L:$L)),0)</f>
        <v>0</v>
      </c>
      <c r="O5920" s="30">
        <f>IFERROR((VLOOKUP($A5920,HeadJournal!$A$1:$L$890,COLUMN(HeadJournal!L$1),0)*($K5920+$L5920)/(SUMIF($A:$A,$A5920,$K:$K)+SUMIF($A:$A,$A5920,$L:$L)))/VLOOKUP($A5920,HeadJournal!$A$1:$L$890,COLUMN(HeadJournal!H$1),0),0)</f>
        <v>0</v>
      </c>
      <c r="P5920" s="30">
        <f>IFERROR(SUM(K5920:O5920)*VLOOKUP($A5920,HeadJournal!$A$1:$L$890,COLUMN(HeadJournal!H$1),0),0)</f>
        <v>772.43802105102179</v>
      </c>
      <c r="Q5920" s="29"/>
      <c r="R5920" s="31"/>
      <c r="S5920" s="31"/>
      <c r="T5920" s="95" t="str">
        <f t="shared" si="420"/>
        <v/>
      </c>
      <c r="U5920" s="32">
        <f t="shared" si="447"/>
        <v>-772.43802105102179</v>
      </c>
      <c r="V5920" s="22" t="str">
        <f t="shared" si="448"/>
        <v/>
      </c>
      <c r="X5920" s="33"/>
      <c r="Y5920" s="33"/>
    </row>
    <row r="5921" spans="1:25" x14ac:dyDescent="0.2">
      <c r="A5921" s="93" t="s">
        <v>5770</v>
      </c>
      <c r="B5921" s="94">
        <f>IFERROR(VLOOKUP($A5921,HeadJournal!$A$1:$NTR$890,COLUMN(HeadJournal!B$1),0),"")</f>
        <v>0</v>
      </c>
      <c r="C5921" s="94" t="str">
        <f>IFERROR(VLOOKUP($A5921,HeadJournal!$A$1:$NTR$890,COLUMN(HeadJournal!C$1),0),"")</f>
        <v>iHerb_MH DLE7202</v>
      </c>
      <c r="D5921" s="125" t="str">
        <f>IFERROR(VLOOKUP($A5921,HeadJournal!$A$1:$NTR$890,COLUMN(HeadJournal!D$1),0),"")</f>
        <v>В пути</v>
      </c>
      <c r="E5921" s="95">
        <f>IFERROR(VLOOKUP($A5921,HeadJournal!$A$1:$NTR$890,COLUMN(HeadJournal!G$1),0),"")</f>
        <v>46170</v>
      </c>
      <c r="F5921" s="95" t="str">
        <f t="shared" si="419"/>
        <v>2026 05</v>
      </c>
      <c r="G5921" s="97" t="s">
        <v>5</v>
      </c>
      <c r="H5921" s="161" t="s">
        <v>2027</v>
      </c>
      <c r="I5921" s="97" t="s">
        <v>2005</v>
      </c>
      <c r="J5921" s="97" t="s">
        <v>5191</v>
      </c>
      <c r="K5921" s="29">
        <v>8.44</v>
      </c>
      <c r="L5921" s="29">
        <v>-0.84499999999999997</v>
      </c>
      <c r="M5921" s="30">
        <f>IFERROR(VLOOKUP($A5921,HeadJournal!$A$1:$J$890,COLUMN(HeadJournal!I$1),0)*($K5921+$L5921)/(SUMIF($A:$A,$A5921,$K:$K)+SUMIF($A:$A,$A5921,$L:$L)),0)</f>
        <v>-0.3801564809623324</v>
      </c>
      <c r="N5921" s="30">
        <f>IFERROR((VLOOKUP($A5921,HeadJournal!$A$1:$K$890,COLUMN(HeadJournal!K$1),0)-VLOOKUP($A5921,HeadJournal!$A$1:$K$890,COLUMN(HeadJournal!J$1),0))*($K5921+$L5921)/(SUMIF($A:$A,$A5921,$K:$K)+SUMIF($A:$A,$A5921,$L:$L)),0)</f>
        <v>0</v>
      </c>
      <c r="O5921" s="30">
        <f>IFERROR((VLOOKUP($A5921,HeadJournal!$A$1:$L$890,COLUMN(HeadJournal!L$1),0)*($K5921+$L5921)/(SUMIF($A:$A,$A5921,$K:$K)+SUMIF($A:$A,$A5921,$L:$L)))/VLOOKUP($A5921,HeadJournal!$A$1:$L$890,COLUMN(HeadJournal!H$1),0),0)</f>
        <v>0</v>
      </c>
      <c r="P5921" s="30">
        <f>IFERROR(SUM(K5921:O5921)*VLOOKUP($A5921,HeadJournal!$A$1:$L$890,COLUMN(HeadJournal!H$1),0),0)</f>
        <v>590.50495922320192</v>
      </c>
      <c r="Q5921" s="29"/>
      <c r="R5921" s="31"/>
      <c r="S5921" s="31"/>
      <c r="T5921" s="95" t="str">
        <f t="shared" si="420"/>
        <v/>
      </c>
      <c r="U5921" s="32">
        <f t="shared" si="447"/>
        <v>-590.50495922320192</v>
      </c>
      <c r="V5921" s="22" t="str">
        <f t="shared" si="448"/>
        <v/>
      </c>
      <c r="X5921" s="33"/>
      <c r="Y5921" s="33"/>
    </row>
    <row r="5922" spans="1:25" x14ac:dyDescent="0.2">
      <c r="A5922" s="93" t="s">
        <v>5770</v>
      </c>
      <c r="B5922" s="94">
        <f>IFERROR(VLOOKUP($A5922,HeadJournal!$A$1:$NTR$890,COLUMN(HeadJournal!B$1),0),"")</f>
        <v>0</v>
      </c>
      <c r="C5922" s="94" t="str">
        <f>IFERROR(VLOOKUP($A5922,HeadJournal!$A$1:$NTR$890,COLUMN(HeadJournal!C$1),0),"")</f>
        <v>iHerb_MH DLE7202</v>
      </c>
      <c r="D5922" s="125" t="str">
        <f>IFERROR(VLOOKUP($A5922,HeadJournal!$A$1:$NTR$890,COLUMN(HeadJournal!D$1),0),"")</f>
        <v>В пути</v>
      </c>
      <c r="E5922" s="95">
        <f>IFERROR(VLOOKUP($A5922,HeadJournal!$A$1:$NTR$890,COLUMN(HeadJournal!G$1),0),"")</f>
        <v>46170</v>
      </c>
      <c r="F5922" s="95" t="str">
        <f t="shared" si="419"/>
        <v>2026 05</v>
      </c>
      <c r="G5922" s="97" t="s">
        <v>5</v>
      </c>
      <c r="H5922" s="161" t="s">
        <v>2027</v>
      </c>
      <c r="I5922" s="97" t="s">
        <v>2005</v>
      </c>
      <c r="J5922" s="97" t="s">
        <v>5191</v>
      </c>
      <c r="K5922" s="29">
        <v>8.44</v>
      </c>
      <c r="L5922" s="29">
        <v>-0.84499999999999997</v>
      </c>
      <c r="M5922" s="30">
        <f>IFERROR(VLOOKUP($A5922,HeadJournal!$A$1:$J$890,COLUMN(HeadJournal!I$1),0)*($K5922+$L5922)/(SUMIF($A:$A,$A5922,$K:$K)+SUMIF($A:$A,$A5922,$L:$L)),0)</f>
        <v>-0.3801564809623324</v>
      </c>
      <c r="N5922" s="30">
        <f>IFERROR((VLOOKUP($A5922,HeadJournal!$A$1:$K$890,COLUMN(HeadJournal!K$1),0)-VLOOKUP($A5922,HeadJournal!$A$1:$K$890,COLUMN(HeadJournal!J$1),0))*($K5922+$L5922)/(SUMIF($A:$A,$A5922,$K:$K)+SUMIF($A:$A,$A5922,$L:$L)),0)</f>
        <v>0</v>
      </c>
      <c r="O5922" s="30">
        <f>IFERROR((VLOOKUP($A5922,HeadJournal!$A$1:$L$890,COLUMN(HeadJournal!L$1),0)*($K5922+$L5922)/(SUMIF($A:$A,$A5922,$K:$K)+SUMIF($A:$A,$A5922,$L:$L)))/VLOOKUP($A5922,HeadJournal!$A$1:$L$890,COLUMN(HeadJournal!H$1),0),0)</f>
        <v>0</v>
      </c>
      <c r="P5922" s="30">
        <f>IFERROR(SUM(K5922:O5922)*VLOOKUP($A5922,HeadJournal!$A$1:$L$890,COLUMN(HeadJournal!H$1),0),0)</f>
        <v>590.50495922320192</v>
      </c>
      <c r="Q5922" s="29"/>
      <c r="R5922" s="31"/>
      <c r="S5922" s="31"/>
      <c r="T5922" s="95" t="str">
        <f t="shared" si="420"/>
        <v/>
      </c>
      <c r="U5922" s="32">
        <f t="shared" si="447"/>
        <v>-590.50495922320192</v>
      </c>
      <c r="V5922" s="22" t="str">
        <f t="shared" si="448"/>
        <v/>
      </c>
      <c r="X5922" s="33"/>
      <c r="Y5922" s="33"/>
    </row>
    <row r="5923" spans="1:25" x14ac:dyDescent="0.2">
      <c r="A5923" s="93" t="s">
        <v>5770</v>
      </c>
      <c r="B5923" s="94">
        <f>IFERROR(VLOOKUP($A5923,HeadJournal!$A$1:$NTR$890,COLUMN(HeadJournal!B$1),0),"")</f>
        <v>0</v>
      </c>
      <c r="C5923" s="94" t="str">
        <f>IFERROR(VLOOKUP($A5923,HeadJournal!$A$1:$NTR$890,COLUMN(HeadJournal!C$1),0),"")</f>
        <v>iHerb_MH DLE7202</v>
      </c>
      <c r="D5923" s="125" t="str">
        <f>IFERROR(VLOOKUP($A5923,HeadJournal!$A$1:$NTR$890,COLUMN(HeadJournal!D$1),0),"")</f>
        <v>В пути</v>
      </c>
      <c r="E5923" s="95">
        <f>IFERROR(VLOOKUP($A5923,HeadJournal!$A$1:$NTR$890,COLUMN(HeadJournal!G$1),0),"")</f>
        <v>46170</v>
      </c>
      <c r="F5923" s="95" t="str">
        <f t="shared" si="419"/>
        <v>2026 05</v>
      </c>
      <c r="G5923" s="97" t="s">
        <v>5</v>
      </c>
      <c r="H5923" s="161" t="s">
        <v>2076</v>
      </c>
      <c r="I5923" s="97" t="s">
        <v>2005</v>
      </c>
      <c r="J5923" s="97" t="s">
        <v>5515</v>
      </c>
      <c r="K5923" s="29">
        <v>22.75</v>
      </c>
      <c r="L5923" s="29">
        <v>-2.2799999999999998</v>
      </c>
      <c r="M5923" s="30">
        <f>IFERROR(VLOOKUP($A5923,HeadJournal!$A$1:$J$890,COLUMN(HeadJournal!I$1),0)*($K5923+$L5923)/(SUMIF($A:$A,$A5923,$K:$K)+SUMIF($A:$A,$A5923,$L:$L)),0)</f>
        <v>-1.0245955451348183</v>
      </c>
      <c r="N5923" s="30">
        <f>IFERROR((VLOOKUP($A5923,HeadJournal!$A$1:$K$890,COLUMN(HeadJournal!K$1),0)-VLOOKUP($A5923,HeadJournal!$A$1:$K$890,COLUMN(HeadJournal!J$1),0))*($K5923+$L5923)/(SUMIF($A:$A,$A5923,$K:$K)+SUMIF($A:$A,$A5923,$L:$L)),0)</f>
        <v>0</v>
      </c>
      <c r="O5923" s="30">
        <f>IFERROR((VLOOKUP($A5923,HeadJournal!$A$1:$L$890,COLUMN(HeadJournal!L$1),0)*($K5923+$L5923)/(SUMIF($A:$A,$A5923,$K:$K)+SUMIF($A:$A,$A5923,$L:$L)))/VLOOKUP($A5923,HeadJournal!$A$1:$L$890,COLUMN(HeadJournal!H$1),0),0)</f>
        <v>0</v>
      </c>
      <c r="P5923" s="30">
        <f>IFERROR(SUM(K5923:O5923)*VLOOKUP($A5923,HeadJournal!$A$1:$L$890,COLUMN(HeadJournal!H$1),0),0)</f>
        <v>1591.525545134818</v>
      </c>
      <c r="Q5923" s="29"/>
      <c r="R5923" s="31"/>
      <c r="S5923" s="31"/>
      <c r="T5923" s="95" t="str">
        <f t="shared" si="420"/>
        <v/>
      </c>
      <c r="U5923" s="32">
        <f t="shared" si="447"/>
        <v>-1591.525545134818</v>
      </c>
      <c r="V5923" s="22" t="str">
        <f t="shared" si="448"/>
        <v/>
      </c>
      <c r="X5923" s="33"/>
      <c r="Y5923" s="33"/>
    </row>
    <row r="5924" spans="1:25" x14ac:dyDescent="0.2">
      <c r="A5924" s="93" t="s">
        <v>5770</v>
      </c>
      <c r="B5924" s="94">
        <f>IFERROR(VLOOKUP($A5924,HeadJournal!$A$1:$NTR$890,COLUMN(HeadJournal!B$1),0),"")</f>
        <v>0</v>
      </c>
      <c r="C5924" s="94" t="str">
        <f>IFERROR(VLOOKUP($A5924,HeadJournal!$A$1:$NTR$890,COLUMN(HeadJournal!C$1),0),"")</f>
        <v>iHerb_MH DLE7202</v>
      </c>
      <c r="D5924" s="125" t="str">
        <f>IFERROR(VLOOKUP($A5924,HeadJournal!$A$1:$NTR$890,COLUMN(HeadJournal!D$1),0),"")</f>
        <v>В пути</v>
      </c>
      <c r="E5924" s="95">
        <f>IFERROR(VLOOKUP($A5924,HeadJournal!$A$1:$NTR$890,COLUMN(HeadJournal!G$1),0),"")</f>
        <v>46170</v>
      </c>
      <c r="F5924" s="95" t="str">
        <f t="shared" si="419"/>
        <v>2026 05</v>
      </c>
      <c r="G5924" s="97" t="s">
        <v>5</v>
      </c>
      <c r="H5924" s="161" t="s">
        <v>2238</v>
      </c>
      <c r="I5924" s="97" t="s">
        <v>2239</v>
      </c>
      <c r="J5924" s="97" t="s">
        <v>5766</v>
      </c>
      <c r="K5924" s="29">
        <v>19.309999999999999</v>
      </c>
      <c r="L5924" s="29">
        <v>-1.93</v>
      </c>
      <c r="M5924" s="30">
        <f>IFERROR(VLOOKUP($A5924,HeadJournal!$A$1:$J$890,COLUMN(HeadJournal!I$1),0)*($K5924+$L5924)/(SUMIF($A:$A,$A5924,$K:$K)+SUMIF($A:$A,$A5924,$L:$L)),0)</f>
        <v>-0.86993016973342163</v>
      </c>
      <c r="N5924" s="30">
        <f>IFERROR((VLOOKUP($A5924,HeadJournal!$A$1:$K$890,COLUMN(HeadJournal!K$1),0)-VLOOKUP($A5924,HeadJournal!$A$1:$K$890,COLUMN(HeadJournal!J$1),0))*($K5924+$L5924)/(SUMIF($A:$A,$A5924,$K:$K)+SUMIF($A:$A,$A5924,$L:$L)),0)</f>
        <v>0</v>
      </c>
      <c r="O5924" s="30">
        <f>IFERROR((VLOOKUP($A5924,HeadJournal!$A$1:$L$890,COLUMN(HeadJournal!L$1),0)*($K5924+$L5924)/(SUMIF($A:$A,$A5924,$K:$K)+SUMIF($A:$A,$A5924,$L:$L)))/VLOOKUP($A5924,HeadJournal!$A$1:$L$890,COLUMN(HeadJournal!H$1),0),0)</f>
        <v>0</v>
      </c>
      <c r="P5924" s="30">
        <f>IFERROR(SUM(K5924:O5924)*VLOOKUP($A5924,HeadJournal!$A$1:$L$890,COLUMN(HeadJournal!H$1),0),0)</f>
        <v>1351.2806045160303</v>
      </c>
      <c r="Q5924" s="29"/>
      <c r="R5924" s="31"/>
      <c r="S5924" s="31"/>
      <c r="T5924" s="95" t="str">
        <f t="shared" si="420"/>
        <v/>
      </c>
      <c r="U5924" s="32">
        <f t="shared" si="447"/>
        <v>-1351.2806045160303</v>
      </c>
      <c r="V5924" s="22" t="str">
        <f t="shared" si="448"/>
        <v/>
      </c>
      <c r="X5924" s="33"/>
      <c r="Y5924" s="33"/>
    </row>
    <row r="5925" spans="1:25" x14ac:dyDescent="0.2">
      <c r="A5925" s="93" t="s">
        <v>5770</v>
      </c>
      <c r="B5925" s="94">
        <f>IFERROR(VLOOKUP($A5925,HeadJournal!$A$1:$NTR$890,COLUMN(HeadJournal!B$1),0),"")</f>
        <v>0</v>
      </c>
      <c r="C5925" s="94" t="str">
        <f>IFERROR(VLOOKUP($A5925,HeadJournal!$A$1:$NTR$890,COLUMN(HeadJournal!C$1),0),"")</f>
        <v>iHerb_MH DLE7202</v>
      </c>
      <c r="D5925" s="125" t="str">
        <f>IFERROR(VLOOKUP($A5925,HeadJournal!$A$1:$NTR$890,COLUMN(HeadJournal!D$1),0),"")</f>
        <v>В пути</v>
      </c>
      <c r="E5925" s="95">
        <f>IFERROR(VLOOKUP($A5925,HeadJournal!$A$1:$NTR$890,COLUMN(HeadJournal!G$1),0),"")</f>
        <v>46170</v>
      </c>
      <c r="F5925" s="95" t="str">
        <f t="shared" si="419"/>
        <v>2026 05</v>
      </c>
      <c r="G5925" s="97" t="s">
        <v>5</v>
      </c>
      <c r="H5925" s="161" t="s">
        <v>2238</v>
      </c>
      <c r="I5925" s="97" t="s">
        <v>2239</v>
      </c>
      <c r="J5925" s="97" t="s">
        <v>5766</v>
      </c>
      <c r="K5925" s="29">
        <v>19.309999999999999</v>
      </c>
      <c r="L5925" s="29">
        <v>-1.93</v>
      </c>
      <c r="M5925" s="30">
        <f>IFERROR(VLOOKUP($A5925,HeadJournal!$A$1:$J$890,COLUMN(HeadJournal!I$1),0)*($K5925+$L5925)/(SUMIF($A:$A,$A5925,$K:$K)+SUMIF($A:$A,$A5925,$L:$L)),0)</f>
        <v>-0.86993016973342163</v>
      </c>
      <c r="N5925" s="30">
        <f>IFERROR((VLOOKUP($A5925,HeadJournal!$A$1:$K$890,COLUMN(HeadJournal!K$1),0)-VLOOKUP($A5925,HeadJournal!$A$1:$K$890,COLUMN(HeadJournal!J$1),0))*($K5925+$L5925)/(SUMIF($A:$A,$A5925,$K:$K)+SUMIF($A:$A,$A5925,$L:$L)),0)</f>
        <v>0</v>
      </c>
      <c r="O5925" s="30">
        <f>IFERROR((VLOOKUP($A5925,HeadJournal!$A$1:$L$890,COLUMN(HeadJournal!L$1),0)*($K5925+$L5925)/(SUMIF($A:$A,$A5925,$K:$K)+SUMIF($A:$A,$A5925,$L:$L)))/VLOOKUP($A5925,HeadJournal!$A$1:$L$890,COLUMN(HeadJournal!H$1),0),0)</f>
        <v>0</v>
      </c>
      <c r="P5925" s="30">
        <f>IFERROR(SUM(K5925:O5925)*VLOOKUP($A5925,HeadJournal!$A$1:$L$890,COLUMN(HeadJournal!H$1),0),0)</f>
        <v>1351.2806045160303</v>
      </c>
      <c r="Q5925" s="29"/>
      <c r="R5925" s="31"/>
      <c r="S5925" s="31"/>
      <c r="T5925" s="95" t="str">
        <f t="shared" si="420"/>
        <v/>
      </c>
      <c r="U5925" s="32">
        <f t="shared" si="447"/>
        <v>-1351.2806045160303</v>
      </c>
      <c r="V5925" s="22" t="str">
        <f t="shared" si="448"/>
        <v/>
      </c>
      <c r="X5925" s="33"/>
      <c r="Y5925" s="33"/>
    </row>
    <row r="5926" spans="1:25" x14ac:dyDescent="0.2">
      <c r="A5926" s="93" t="s">
        <v>5770</v>
      </c>
      <c r="B5926" s="94">
        <f>IFERROR(VLOOKUP($A5926,HeadJournal!$A$1:$NTR$890,COLUMN(HeadJournal!B$1),0),"")</f>
        <v>0</v>
      </c>
      <c r="C5926" s="94" t="str">
        <f>IFERROR(VLOOKUP($A5926,HeadJournal!$A$1:$NTR$890,COLUMN(HeadJournal!C$1),0),"")</f>
        <v>iHerb_MH DLE7202</v>
      </c>
      <c r="D5926" s="125" t="str">
        <f>IFERROR(VLOOKUP($A5926,HeadJournal!$A$1:$NTR$890,COLUMN(HeadJournal!D$1),0),"")</f>
        <v>В пути</v>
      </c>
      <c r="E5926" s="95">
        <f>IFERROR(VLOOKUP($A5926,HeadJournal!$A$1:$NTR$890,COLUMN(HeadJournal!G$1),0),"")</f>
        <v>46170</v>
      </c>
      <c r="F5926" s="95" t="str">
        <f t="shared" si="419"/>
        <v>2026 05</v>
      </c>
      <c r="G5926" s="97" t="s">
        <v>5</v>
      </c>
      <c r="H5926" s="161" t="s">
        <v>5767</v>
      </c>
      <c r="I5926" s="97" t="s">
        <v>5768</v>
      </c>
      <c r="J5926" s="97" t="s">
        <v>5769</v>
      </c>
      <c r="K5926" s="29">
        <v>47.33</v>
      </c>
      <c r="L5926" s="29">
        <v>-4.7300000000000004</v>
      </c>
      <c r="M5926" s="30">
        <f>IFERROR(VLOOKUP($A5926,HeadJournal!$A$1:$J$890,COLUMN(HeadJournal!I$1),0)*($K5926+$L5926)/(SUMIF($A:$A,$A5926,$K:$K)+SUMIF($A:$A,$A5926,$L:$L)),0)</f>
        <v>-2.1322799327182831</v>
      </c>
      <c r="N5926" s="30">
        <f>IFERROR((VLOOKUP($A5926,HeadJournal!$A$1:$K$890,COLUMN(HeadJournal!K$1),0)-VLOOKUP($A5926,HeadJournal!$A$1:$K$890,COLUMN(HeadJournal!J$1),0))*($K5926+$L5926)/(SUMIF($A:$A,$A5926,$K:$K)+SUMIF($A:$A,$A5926,$L:$L)),0)</f>
        <v>0</v>
      </c>
      <c r="O5926" s="30">
        <f>IFERROR((VLOOKUP($A5926,HeadJournal!$A$1:$L$890,COLUMN(HeadJournal!L$1),0)*($K5926+$L5926)/(SUMIF($A:$A,$A5926,$K:$K)+SUMIF($A:$A,$A5926,$L:$L)))/VLOOKUP($A5926,HeadJournal!$A$1:$L$890,COLUMN(HeadJournal!H$1),0),0)</f>
        <v>0</v>
      </c>
      <c r="P5926" s="30">
        <f>IFERROR(SUM(K5926:O5926)*VLOOKUP($A5926,HeadJournal!$A$1:$L$890,COLUMN(HeadJournal!H$1),0),0)</f>
        <v>3312.1147153269781</v>
      </c>
      <c r="Q5926" s="29"/>
      <c r="R5926" s="31"/>
      <c r="S5926" s="31"/>
      <c r="T5926" s="95" t="str">
        <f t="shared" si="420"/>
        <v/>
      </c>
      <c r="U5926" s="32">
        <f t="shared" si="447"/>
        <v>-3312.1147153269781</v>
      </c>
      <c r="V5926" s="22" t="str">
        <f t="shared" si="448"/>
        <v/>
      </c>
      <c r="X5926" s="33"/>
      <c r="Y5926" s="33"/>
    </row>
    <row r="5927" spans="1:25" x14ac:dyDescent="0.2">
      <c r="A5927" s="93" t="s">
        <v>5770</v>
      </c>
      <c r="B5927" s="94">
        <f>IFERROR(VLOOKUP($A5927,HeadJournal!$A$1:$NTR$890,COLUMN(HeadJournal!B$1),0),"")</f>
        <v>0</v>
      </c>
      <c r="C5927" s="94" t="str">
        <f>IFERROR(VLOOKUP($A5927,HeadJournal!$A$1:$NTR$890,COLUMN(HeadJournal!C$1),0),"")</f>
        <v>iHerb_MH DLE7202</v>
      </c>
      <c r="D5927" s="125" t="str">
        <f>IFERROR(VLOOKUP($A5927,HeadJournal!$A$1:$NTR$890,COLUMN(HeadJournal!D$1),0),"")</f>
        <v>В пути</v>
      </c>
      <c r="E5927" s="95">
        <f>IFERROR(VLOOKUP($A5927,HeadJournal!$A$1:$NTR$890,COLUMN(HeadJournal!G$1),0),"")</f>
        <v>46170</v>
      </c>
      <c r="F5927" s="95" t="str">
        <f t="shared" si="419"/>
        <v>2026 05</v>
      </c>
      <c r="G5927" s="97" t="s">
        <v>5</v>
      </c>
      <c r="H5927" s="161" t="s">
        <v>2488</v>
      </c>
      <c r="I5927" s="97" t="s">
        <v>2005</v>
      </c>
      <c r="J5927" s="97" t="s">
        <v>2489</v>
      </c>
      <c r="K5927" s="29">
        <v>21.24</v>
      </c>
      <c r="L5927" s="29">
        <v>-2.12</v>
      </c>
      <c r="M5927" s="30">
        <f>IFERROR(VLOOKUP($A5927,HeadJournal!$A$1:$J$890,COLUMN(HeadJournal!I$1),0)*($K5927+$L5927)/(SUMIF($A:$A,$A5927,$K:$K)+SUMIF($A:$A,$A5927,$L:$L)),0)</f>
        <v>-0.95702329374585848</v>
      </c>
      <c r="N5927" s="30">
        <f>IFERROR((VLOOKUP($A5927,HeadJournal!$A$1:$K$890,COLUMN(HeadJournal!K$1),0)-VLOOKUP($A5927,HeadJournal!$A$1:$K$890,COLUMN(HeadJournal!J$1),0))*($K5927+$L5927)/(SUMIF($A:$A,$A5927,$K:$K)+SUMIF($A:$A,$A5927,$L:$L)),0)</f>
        <v>0</v>
      </c>
      <c r="O5927" s="30">
        <f>IFERROR((VLOOKUP($A5927,HeadJournal!$A$1:$L$890,COLUMN(HeadJournal!L$1),0)*($K5927+$L5927)/(SUMIF($A:$A,$A5927,$K:$K)+SUMIF($A:$A,$A5927,$L:$L)))/VLOOKUP($A5927,HeadJournal!$A$1:$L$890,COLUMN(HeadJournal!H$1),0),0)</f>
        <v>0</v>
      </c>
      <c r="P5927" s="30">
        <f>IFERROR(SUM(K5927:O5927)*VLOOKUP($A5927,HeadJournal!$A$1:$L$890,COLUMN(HeadJournal!H$1),0),0)</f>
        <v>1486.5641633110756</v>
      </c>
      <c r="Q5927" s="29"/>
      <c r="R5927" s="31"/>
      <c r="S5927" s="31"/>
      <c r="T5927" s="95" t="str">
        <f t="shared" si="420"/>
        <v/>
      </c>
      <c r="U5927" s="32">
        <f t="shared" si="447"/>
        <v>-1486.5641633110756</v>
      </c>
      <c r="V5927" s="22" t="str">
        <f t="shared" si="448"/>
        <v/>
      </c>
      <c r="X5927" s="33"/>
      <c r="Y5927" s="33"/>
    </row>
    <row r="5928" spans="1:25" x14ac:dyDescent="0.2">
      <c r="A5928" s="93" t="s">
        <v>5776</v>
      </c>
      <c r="B5928" s="94">
        <f>IFERROR(VLOOKUP($A5928,HeadJournal!$A$1:$NTR$890,COLUMN(HeadJournal!B$1),0),"")</f>
        <v>0</v>
      </c>
      <c r="C5928" s="94" t="str">
        <f>IFERROR(VLOOKUP($A5928,HeadJournal!$A$1:$NTR$890,COLUMN(HeadJournal!C$1),0),"")</f>
        <v>iHerb_AV CYG0792</v>
      </c>
      <c r="D5928" s="125" t="str">
        <f>IFERROR(VLOOKUP($A5928,HeadJournal!$A$1:$NTR$890,COLUMN(HeadJournal!D$1),0),"")</f>
        <v>В пути</v>
      </c>
      <c r="E5928" s="95">
        <f>IFERROR(VLOOKUP($A5928,HeadJournal!$A$1:$NTR$890,COLUMN(HeadJournal!G$1),0),"")</f>
        <v>46171</v>
      </c>
      <c r="F5928" s="95" t="str">
        <f t="shared" si="419"/>
        <v>2026 05</v>
      </c>
      <c r="G5928" s="97" t="s">
        <v>5</v>
      </c>
      <c r="H5928" s="161" t="s">
        <v>2488</v>
      </c>
      <c r="I5928" s="97" t="s">
        <v>2005</v>
      </c>
      <c r="J5928" s="97" t="s">
        <v>2489</v>
      </c>
      <c r="K5928" s="29">
        <v>21.24</v>
      </c>
      <c r="L5928" s="29">
        <v>-3.19</v>
      </c>
      <c r="M5928" s="30">
        <f>IFERROR(VLOOKUP($A5928,HeadJournal!$A$1:$J$890,COLUMN(HeadJournal!I$1),0)*($K5928+$L5928)/(SUMIF($A:$A,$A5928,$K:$K)+SUMIF($A:$A,$A5928,$L:$L)),0)</f>
        <v>-0.94959531416400389</v>
      </c>
      <c r="N5928" s="30">
        <f>IFERROR((VLOOKUP($A5928,HeadJournal!$A$1:$K$890,COLUMN(HeadJournal!K$1),0)-VLOOKUP($A5928,HeadJournal!$A$1:$K$890,COLUMN(HeadJournal!J$1),0))*($K5928+$L5928)/(SUMIF($A:$A,$A5928,$K:$K)+SUMIF($A:$A,$A5928,$L:$L)),0)</f>
        <v>-5.4633850396037504E-15</v>
      </c>
      <c r="O5928" s="30">
        <f>IFERROR((VLOOKUP($A5928,HeadJournal!$A$1:$L$890,COLUMN(HeadJournal!L$1),0)*($K5928+$L5928)/(SUMIF($A:$A,$A5928,$K:$K)+SUMIF($A:$A,$A5928,$L:$L)))/VLOOKUP($A5928,HeadJournal!$A$1:$L$890,COLUMN(HeadJournal!H$1),0),0)</f>
        <v>0</v>
      </c>
      <c r="P5928" s="30">
        <f>IFERROR(SUM(K5928:O5928)*VLOOKUP($A5928,HeadJournal!$A$1:$L$890,COLUMN(HeadJournal!H$1),0),0)</f>
        <v>1400.0350825346106</v>
      </c>
      <c r="Q5928" s="29"/>
      <c r="R5928" s="31"/>
      <c r="S5928" s="31"/>
      <c r="T5928" s="95" t="str">
        <f t="shared" si="420"/>
        <v/>
      </c>
      <c r="U5928" s="32">
        <f t="shared" si="447"/>
        <v>-1400.0350825346106</v>
      </c>
      <c r="V5928" s="22" t="str">
        <f t="shared" si="448"/>
        <v/>
      </c>
      <c r="X5928" s="33"/>
      <c r="Y5928" s="33"/>
    </row>
    <row r="5929" spans="1:25" x14ac:dyDescent="0.2">
      <c r="A5929" s="93" t="s">
        <v>5776</v>
      </c>
      <c r="B5929" s="94">
        <f>IFERROR(VLOOKUP($A5929,HeadJournal!$A$1:$NTR$890,COLUMN(HeadJournal!B$1),0),"")</f>
        <v>0</v>
      </c>
      <c r="C5929" s="94" t="str">
        <f>IFERROR(VLOOKUP($A5929,HeadJournal!$A$1:$NTR$890,COLUMN(HeadJournal!C$1),0),"")</f>
        <v>iHerb_AV CYG0792</v>
      </c>
      <c r="D5929" s="125" t="str">
        <f>IFERROR(VLOOKUP($A5929,HeadJournal!$A$1:$NTR$890,COLUMN(HeadJournal!D$1),0),"")</f>
        <v>В пути</v>
      </c>
      <c r="E5929" s="95">
        <f>IFERROR(VLOOKUP($A5929,HeadJournal!$A$1:$NTR$890,COLUMN(HeadJournal!G$1),0),"")</f>
        <v>46171</v>
      </c>
      <c r="F5929" s="95" t="str">
        <f t="shared" si="419"/>
        <v>2026 05</v>
      </c>
      <c r="G5929" s="97" t="s">
        <v>5</v>
      </c>
      <c r="H5929" s="161" t="s">
        <v>2016</v>
      </c>
      <c r="I5929" s="97" t="s">
        <v>2005</v>
      </c>
      <c r="J5929" s="97" t="s">
        <v>2017</v>
      </c>
      <c r="K5929" s="29">
        <v>41.96</v>
      </c>
      <c r="L5929" s="29">
        <v>-6.293333333333333</v>
      </c>
      <c r="M5929" s="30">
        <f>IFERROR(VLOOKUP($A5929,HeadJournal!$A$1:$J$890,COLUMN(HeadJournal!I$1),0)*($K5929+$L5929)/(SUMIF($A:$A,$A5929,$K:$K)+SUMIF($A:$A,$A5929,$L:$L)),0)</f>
        <v>-1.8763933262335819</v>
      </c>
      <c r="N5929" s="30">
        <f>IFERROR((VLOOKUP($A5929,HeadJournal!$A$1:$K$890,COLUMN(HeadJournal!K$1),0)-VLOOKUP($A5929,HeadJournal!$A$1:$K$890,COLUMN(HeadJournal!J$1),0))*($K5929+$L5929)/(SUMIF($A:$A,$A5929,$K:$K)+SUMIF($A:$A,$A5929,$L:$L)),0)</f>
        <v>-1.0795608480842132E-14</v>
      </c>
      <c r="O5929" s="30">
        <f>IFERROR((VLOOKUP($A5929,HeadJournal!$A$1:$L$890,COLUMN(HeadJournal!L$1),0)*($K5929+$L5929)/(SUMIF($A:$A,$A5929,$K:$K)+SUMIF($A:$A,$A5929,$L:$L)))/VLOOKUP($A5929,HeadJournal!$A$1:$L$890,COLUMN(HeadJournal!H$1),0),0)</f>
        <v>0</v>
      </c>
      <c r="P5929" s="30">
        <f>IFERROR(SUM(K5929:O5929)*VLOOKUP($A5929,HeadJournal!$A$1:$L$890,COLUMN(HeadJournal!H$1),0),0)</f>
        <v>2766.4589811856581</v>
      </c>
      <c r="Q5929" s="29"/>
      <c r="R5929" s="31"/>
      <c r="S5929" s="31"/>
      <c r="T5929" s="95" t="str">
        <f t="shared" si="420"/>
        <v/>
      </c>
      <c r="U5929" s="32">
        <f t="shared" si="447"/>
        <v>-2766.4589811856581</v>
      </c>
      <c r="V5929" s="22" t="str">
        <f t="shared" si="448"/>
        <v/>
      </c>
      <c r="X5929" s="33"/>
      <c r="Y5929" s="33"/>
    </row>
    <row r="5930" spans="1:25" x14ac:dyDescent="0.2">
      <c r="A5930" s="93" t="s">
        <v>5776</v>
      </c>
      <c r="B5930" s="94">
        <f>IFERROR(VLOOKUP($A5930,HeadJournal!$A$1:$NTR$890,COLUMN(HeadJournal!B$1),0),"")</f>
        <v>0</v>
      </c>
      <c r="C5930" s="94" t="str">
        <f>IFERROR(VLOOKUP($A5930,HeadJournal!$A$1:$NTR$890,COLUMN(HeadJournal!C$1),0),"")</f>
        <v>iHerb_AV CYG0792</v>
      </c>
      <c r="D5930" s="125" t="str">
        <f>IFERROR(VLOOKUP($A5930,HeadJournal!$A$1:$NTR$890,COLUMN(HeadJournal!D$1),0),"")</f>
        <v>В пути</v>
      </c>
      <c r="E5930" s="95">
        <f>IFERROR(VLOOKUP($A5930,HeadJournal!$A$1:$NTR$890,COLUMN(HeadJournal!G$1),0),"")</f>
        <v>46171</v>
      </c>
      <c r="F5930" s="95" t="str">
        <f t="shared" si="419"/>
        <v>2026 05</v>
      </c>
      <c r="G5930" s="97" t="s">
        <v>5</v>
      </c>
      <c r="H5930" s="161" t="s">
        <v>2016</v>
      </c>
      <c r="I5930" s="97" t="s">
        <v>2005</v>
      </c>
      <c r="J5930" s="97" t="s">
        <v>2017</v>
      </c>
      <c r="K5930" s="29">
        <v>41.96</v>
      </c>
      <c r="L5930" s="29">
        <v>-6.293333333333333</v>
      </c>
      <c r="M5930" s="30">
        <f>IFERROR(VLOOKUP($A5930,HeadJournal!$A$1:$J$890,COLUMN(HeadJournal!I$1),0)*($K5930+$L5930)/(SUMIF($A:$A,$A5930,$K:$K)+SUMIF($A:$A,$A5930,$L:$L)),0)</f>
        <v>-1.8763933262335819</v>
      </c>
      <c r="N5930" s="30">
        <f>IFERROR((VLOOKUP($A5930,HeadJournal!$A$1:$K$890,COLUMN(HeadJournal!K$1),0)-VLOOKUP($A5930,HeadJournal!$A$1:$K$890,COLUMN(HeadJournal!J$1),0))*($K5930+$L5930)/(SUMIF($A:$A,$A5930,$K:$K)+SUMIF($A:$A,$A5930,$L:$L)),0)</f>
        <v>-1.0795608480842132E-14</v>
      </c>
      <c r="O5930" s="30">
        <f>IFERROR((VLOOKUP($A5930,HeadJournal!$A$1:$L$890,COLUMN(HeadJournal!L$1),0)*($K5930+$L5930)/(SUMIF($A:$A,$A5930,$K:$K)+SUMIF($A:$A,$A5930,$L:$L)))/VLOOKUP($A5930,HeadJournal!$A$1:$L$890,COLUMN(HeadJournal!H$1),0),0)</f>
        <v>0</v>
      </c>
      <c r="P5930" s="30">
        <f>IFERROR(SUM(K5930:O5930)*VLOOKUP($A5930,HeadJournal!$A$1:$L$890,COLUMN(HeadJournal!H$1),0),0)</f>
        <v>2766.4589811856581</v>
      </c>
      <c r="Q5930" s="29"/>
      <c r="R5930" s="31"/>
      <c r="S5930" s="31"/>
      <c r="T5930" s="95" t="str">
        <f t="shared" si="420"/>
        <v/>
      </c>
      <c r="U5930" s="32">
        <f t="shared" si="447"/>
        <v>-2766.4589811856581</v>
      </c>
      <c r="V5930" s="22" t="str">
        <f t="shared" si="448"/>
        <v/>
      </c>
      <c r="X5930" s="33"/>
      <c r="Y5930" s="33"/>
    </row>
    <row r="5931" spans="1:25" x14ac:dyDescent="0.2">
      <c r="A5931" s="93" t="s">
        <v>5776</v>
      </c>
      <c r="B5931" s="94">
        <f>IFERROR(VLOOKUP($A5931,HeadJournal!$A$1:$NTR$890,COLUMN(HeadJournal!B$1),0),"")</f>
        <v>0</v>
      </c>
      <c r="C5931" s="94" t="str">
        <f>IFERROR(VLOOKUP($A5931,HeadJournal!$A$1:$NTR$890,COLUMN(HeadJournal!C$1),0),"")</f>
        <v>iHerb_AV CYG0792</v>
      </c>
      <c r="D5931" s="125" t="str">
        <f>IFERROR(VLOOKUP($A5931,HeadJournal!$A$1:$NTR$890,COLUMN(HeadJournal!D$1),0),"")</f>
        <v>В пути</v>
      </c>
      <c r="E5931" s="95">
        <f>IFERROR(VLOOKUP($A5931,HeadJournal!$A$1:$NTR$890,COLUMN(HeadJournal!G$1),0),"")</f>
        <v>46171</v>
      </c>
      <c r="F5931" s="95" t="str">
        <f t="shared" si="419"/>
        <v>2026 05</v>
      </c>
      <c r="G5931" s="97" t="s">
        <v>5</v>
      </c>
      <c r="H5931" s="161" t="s">
        <v>2016</v>
      </c>
      <c r="I5931" s="97" t="s">
        <v>2005</v>
      </c>
      <c r="J5931" s="97" t="s">
        <v>2017</v>
      </c>
      <c r="K5931" s="29">
        <v>41.96</v>
      </c>
      <c r="L5931" s="29">
        <v>-6.293333333333333</v>
      </c>
      <c r="M5931" s="30">
        <f>IFERROR(VLOOKUP($A5931,HeadJournal!$A$1:$J$890,COLUMN(HeadJournal!I$1),0)*($K5931+$L5931)/(SUMIF($A:$A,$A5931,$K:$K)+SUMIF($A:$A,$A5931,$L:$L)),0)</f>
        <v>-1.8763933262335819</v>
      </c>
      <c r="N5931" s="30">
        <f>IFERROR((VLOOKUP($A5931,HeadJournal!$A$1:$K$890,COLUMN(HeadJournal!K$1),0)-VLOOKUP($A5931,HeadJournal!$A$1:$K$890,COLUMN(HeadJournal!J$1),0))*($K5931+$L5931)/(SUMIF($A:$A,$A5931,$K:$K)+SUMIF($A:$A,$A5931,$L:$L)),0)</f>
        <v>-1.0795608480842132E-14</v>
      </c>
      <c r="O5931" s="30">
        <f>IFERROR((VLOOKUP($A5931,HeadJournal!$A$1:$L$890,COLUMN(HeadJournal!L$1),0)*($K5931+$L5931)/(SUMIF($A:$A,$A5931,$K:$K)+SUMIF($A:$A,$A5931,$L:$L)))/VLOOKUP($A5931,HeadJournal!$A$1:$L$890,COLUMN(HeadJournal!H$1),0),0)</f>
        <v>0</v>
      </c>
      <c r="P5931" s="30">
        <f>IFERROR(SUM(K5931:O5931)*VLOOKUP($A5931,HeadJournal!$A$1:$L$890,COLUMN(HeadJournal!H$1),0),0)</f>
        <v>2766.4589811856581</v>
      </c>
      <c r="Q5931" s="29"/>
      <c r="R5931" s="31"/>
      <c r="S5931" s="31"/>
      <c r="T5931" s="95" t="str">
        <f t="shared" si="420"/>
        <v/>
      </c>
      <c r="U5931" s="32">
        <f t="shared" si="447"/>
        <v>-2766.4589811856581</v>
      </c>
      <c r="V5931" s="22" t="str">
        <f t="shared" si="448"/>
        <v/>
      </c>
      <c r="X5931" s="33"/>
      <c r="Y5931" s="33"/>
    </row>
    <row r="5932" spans="1:25" x14ac:dyDescent="0.2">
      <c r="A5932" s="93" t="s">
        <v>5776</v>
      </c>
      <c r="B5932" s="94">
        <f>IFERROR(VLOOKUP($A5932,HeadJournal!$A$1:$NTR$890,COLUMN(HeadJournal!B$1),0),"")</f>
        <v>0</v>
      </c>
      <c r="C5932" s="94" t="str">
        <f>IFERROR(VLOOKUP($A5932,HeadJournal!$A$1:$NTR$890,COLUMN(HeadJournal!C$1),0),"")</f>
        <v>iHerb_AV CYG0792</v>
      </c>
      <c r="D5932" s="125" t="str">
        <f>IFERROR(VLOOKUP($A5932,HeadJournal!$A$1:$NTR$890,COLUMN(HeadJournal!D$1),0),"")</f>
        <v>В пути</v>
      </c>
      <c r="E5932" s="95">
        <f>IFERROR(VLOOKUP($A5932,HeadJournal!$A$1:$NTR$890,COLUMN(HeadJournal!G$1),0),"")</f>
        <v>46171</v>
      </c>
      <c r="F5932" s="95" t="str">
        <f t="shared" si="419"/>
        <v>2026 05</v>
      </c>
      <c r="G5932" s="97" t="s">
        <v>5</v>
      </c>
      <c r="H5932" s="161" t="s">
        <v>5083</v>
      </c>
      <c r="I5932" s="97" t="s">
        <v>2052</v>
      </c>
      <c r="J5932" s="97" t="s">
        <v>5084</v>
      </c>
      <c r="K5932" s="29">
        <v>20.52</v>
      </c>
      <c r="L5932" s="29">
        <v>-6.16</v>
      </c>
      <c r="M5932" s="30">
        <f>IFERROR(VLOOKUP($A5932,HeadJournal!$A$1:$J$890,COLUMN(HeadJournal!I$1),0)*($K5932+$L5932)/(SUMIF($A:$A,$A5932,$K:$K)+SUMIF($A:$A,$A5932,$L:$L)),0)</f>
        <v>-0.75546751863684758</v>
      </c>
      <c r="N5932" s="30">
        <f>IFERROR((VLOOKUP($A5932,HeadJournal!$A$1:$K$890,COLUMN(HeadJournal!K$1),0)-VLOOKUP($A5932,HeadJournal!$A$1:$K$890,COLUMN(HeadJournal!J$1),0))*($K5932+$L5932)/(SUMIF($A:$A,$A5932,$K:$K)+SUMIF($A:$A,$A5932,$L:$L)),0)</f>
        <v>-4.3464935827540092E-15</v>
      </c>
      <c r="O5932" s="30">
        <f>IFERROR((VLOOKUP($A5932,HeadJournal!$A$1:$L$890,COLUMN(HeadJournal!L$1),0)*($K5932+$L5932)/(SUMIF($A:$A,$A5932,$K:$K)+SUMIF($A:$A,$A5932,$L:$L)))/VLOOKUP($A5932,HeadJournal!$A$1:$L$890,COLUMN(HeadJournal!H$1),0),0)</f>
        <v>0</v>
      </c>
      <c r="P5932" s="30">
        <f>IFERROR(SUM(K5932:O5932)*VLOOKUP($A5932,HeadJournal!$A$1:$L$890,COLUMN(HeadJournal!H$1),0),0)</f>
        <v>1113.8229243876463</v>
      </c>
      <c r="Q5932" s="29"/>
      <c r="R5932" s="31"/>
      <c r="S5932" s="31"/>
      <c r="T5932" s="95" t="str">
        <f t="shared" si="420"/>
        <v/>
      </c>
      <c r="U5932" s="32">
        <f t="shared" si="447"/>
        <v>-1113.8229243876463</v>
      </c>
      <c r="V5932" s="22" t="str">
        <f t="shared" si="448"/>
        <v/>
      </c>
      <c r="X5932" s="33"/>
      <c r="Y5932" s="33"/>
    </row>
    <row r="5933" spans="1:25" x14ac:dyDescent="0.2">
      <c r="A5933" s="93" t="s">
        <v>5776</v>
      </c>
      <c r="B5933" s="94">
        <f>IFERROR(VLOOKUP($A5933,HeadJournal!$A$1:$NTR$890,COLUMN(HeadJournal!B$1),0),"")</f>
        <v>0</v>
      </c>
      <c r="C5933" s="94" t="str">
        <f>IFERROR(VLOOKUP($A5933,HeadJournal!$A$1:$NTR$890,COLUMN(HeadJournal!C$1),0),"")</f>
        <v>iHerb_AV CYG0792</v>
      </c>
      <c r="D5933" s="125" t="str">
        <f>IFERROR(VLOOKUP($A5933,HeadJournal!$A$1:$NTR$890,COLUMN(HeadJournal!D$1),0),"")</f>
        <v>В пути</v>
      </c>
      <c r="E5933" s="95">
        <f>IFERROR(VLOOKUP($A5933,HeadJournal!$A$1:$NTR$890,COLUMN(HeadJournal!G$1),0),"")</f>
        <v>46171</v>
      </c>
      <c r="F5933" s="95" t="str">
        <f t="shared" si="419"/>
        <v>2026 05</v>
      </c>
      <c r="G5933" s="97" t="s">
        <v>5</v>
      </c>
      <c r="H5933" s="161" t="s">
        <v>5771</v>
      </c>
      <c r="I5933" s="97" t="s">
        <v>5772</v>
      </c>
      <c r="J5933" s="97" t="s">
        <v>5773</v>
      </c>
      <c r="K5933" s="29">
        <v>22.15</v>
      </c>
      <c r="L5933" s="29">
        <v>-17.72</v>
      </c>
      <c r="M5933" s="30">
        <f>IFERROR(VLOOKUP($A5933,HeadJournal!$A$1:$J$890,COLUMN(HeadJournal!I$1),0)*($K5933+$L5933)/(SUMIF($A:$A,$A5933,$K:$K)+SUMIF($A:$A,$A5933,$L:$L)),0)</f>
        <v>-0.2330585729499467</v>
      </c>
      <c r="N5933" s="30">
        <f>IFERROR((VLOOKUP($A5933,HeadJournal!$A$1:$K$890,COLUMN(HeadJournal!K$1),0)-VLOOKUP($A5933,HeadJournal!$A$1:$K$890,COLUMN(HeadJournal!J$1),0))*($K5933+$L5933)/(SUMIF($A:$A,$A5933,$K:$K)+SUMIF($A:$A,$A5933,$L:$L)),0)</f>
        <v>-1.340875109442915E-15</v>
      </c>
      <c r="O5933" s="30">
        <f>IFERROR((VLOOKUP($A5933,HeadJournal!$A$1:$L$890,COLUMN(HeadJournal!L$1),0)*($K5933+$L5933)/(SUMIF($A:$A,$A5933,$K:$K)+SUMIF($A:$A,$A5933,$L:$L)))/VLOOKUP($A5933,HeadJournal!$A$1:$L$890,COLUMN(HeadJournal!H$1),0),0)</f>
        <v>0</v>
      </c>
      <c r="P5933" s="30">
        <f>IFERROR(SUM(K5933:O5933)*VLOOKUP($A5933,HeadJournal!$A$1:$L$890,COLUMN(HeadJournal!H$1),0),0)</f>
        <v>343.60971831735873</v>
      </c>
      <c r="Q5933" s="29"/>
      <c r="R5933" s="31"/>
      <c r="S5933" s="31"/>
      <c r="T5933" s="95" t="str">
        <f t="shared" si="420"/>
        <v/>
      </c>
      <c r="U5933" s="32">
        <f t="shared" si="447"/>
        <v>-343.60971831735873</v>
      </c>
      <c r="V5933" s="22" t="str">
        <f t="shared" si="448"/>
        <v/>
      </c>
      <c r="X5933" s="33"/>
      <c r="Y5933" s="33"/>
    </row>
    <row r="5934" spans="1:25" x14ac:dyDescent="0.2">
      <c r="A5934" s="93" t="s">
        <v>5776</v>
      </c>
      <c r="B5934" s="94">
        <f>IFERROR(VLOOKUP($A5934,HeadJournal!$A$1:$NTR$890,COLUMN(HeadJournal!B$1),0),"")</f>
        <v>0</v>
      </c>
      <c r="C5934" s="94" t="str">
        <f>IFERROR(VLOOKUP($A5934,HeadJournal!$A$1:$NTR$890,COLUMN(HeadJournal!C$1),0),"")</f>
        <v>iHerb_AV CYG0792</v>
      </c>
      <c r="D5934" s="125" t="str">
        <f>IFERROR(VLOOKUP($A5934,HeadJournal!$A$1:$NTR$890,COLUMN(HeadJournal!D$1),0),"")</f>
        <v>В пути</v>
      </c>
      <c r="E5934" s="95">
        <f>IFERROR(VLOOKUP($A5934,HeadJournal!$A$1:$NTR$890,COLUMN(HeadJournal!G$1),0),"")</f>
        <v>46171</v>
      </c>
      <c r="F5934" s="95" t="str">
        <f t="shared" si="419"/>
        <v>2026 05</v>
      </c>
      <c r="G5934" s="97" t="s">
        <v>5</v>
      </c>
      <c r="H5934" s="161" t="s">
        <v>5774</v>
      </c>
      <c r="I5934" s="97" t="s">
        <v>2581</v>
      </c>
      <c r="J5934" s="97" t="s">
        <v>5775</v>
      </c>
      <c r="K5934" s="29">
        <v>22.67</v>
      </c>
      <c r="L5934" s="29">
        <v>0</v>
      </c>
      <c r="M5934" s="30">
        <f>IFERROR(VLOOKUP($A5934,HeadJournal!$A$1:$J$890,COLUMN(HeadJournal!I$1),0)*($K5934+$L5934)/(SUMIF($A:$A,$A5934,$K:$K)+SUMIF($A:$A,$A5934,$L:$L)),0)</f>
        <v>-1.1926496272630458</v>
      </c>
      <c r="N5934" s="30">
        <f>IFERROR((VLOOKUP($A5934,HeadJournal!$A$1:$K$890,COLUMN(HeadJournal!K$1),0)-VLOOKUP($A5934,HeadJournal!$A$1:$K$890,COLUMN(HeadJournal!J$1),0))*($K5934+$L5934)/(SUMIF($A:$A,$A5934,$K:$K)+SUMIF($A:$A,$A5934,$L:$L)),0)</f>
        <v>-6.861769465253022E-15</v>
      </c>
      <c r="O5934" s="30">
        <f>IFERROR((VLOOKUP($A5934,HeadJournal!$A$1:$L$890,COLUMN(HeadJournal!L$1),0)*($K5934+$L5934)/(SUMIF($A:$A,$A5934,$K:$K)+SUMIF($A:$A,$A5934,$L:$L)))/VLOOKUP($A5934,HeadJournal!$A$1:$L$890,COLUMN(HeadJournal!H$1),0),0)</f>
        <v>0</v>
      </c>
      <c r="P5934" s="30">
        <f>IFERROR(SUM(K5934:O5934)*VLOOKUP($A5934,HeadJournal!$A$1:$L$890,COLUMN(HeadJournal!H$1),0),0)</f>
        <v>1758.3820122470711</v>
      </c>
      <c r="Q5934" s="29"/>
      <c r="R5934" s="31"/>
      <c r="S5934" s="31"/>
      <c r="T5934" s="95" t="str">
        <f t="shared" si="420"/>
        <v/>
      </c>
      <c r="U5934" s="32">
        <f t="shared" si="447"/>
        <v>-1758.3820122470711</v>
      </c>
      <c r="V5934" s="22" t="str">
        <f t="shared" si="448"/>
        <v/>
      </c>
      <c r="X5934" s="33"/>
      <c r="Y5934" s="33"/>
    </row>
    <row r="5935" spans="1:25" x14ac:dyDescent="0.2">
      <c r="A5935" s="93" t="s">
        <v>5776</v>
      </c>
      <c r="B5935" s="94">
        <f>IFERROR(VLOOKUP($A5935,HeadJournal!$A$1:$NTR$890,COLUMN(HeadJournal!B$1),0),"")</f>
        <v>0</v>
      </c>
      <c r="C5935" s="94" t="str">
        <f>IFERROR(VLOOKUP($A5935,HeadJournal!$A$1:$NTR$890,COLUMN(HeadJournal!C$1),0),"")</f>
        <v>iHerb_AV CYG0792</v>
      </c>
      <c r="D5935" s="125" t="str">
        <f>IFERROR(VLOOKUP($A5935,HeadJournal!$A$1:$NTR$890,COLUMN(HeadJournal!D$1),0),"")</f>
        <v>В пути</v>
      </c>
      <c r="E5935" s="95">
        <f>IFERROR(VLOOKUP($A5935,HeadJournal!$A$1:$NTR$890,COLUMN(HeadJournal!G$1),0),"")</f>
        <v>46171</v>
      </c>
      <c r="F5935" s="95" t="str">
        <f t="shared" si="419"/>
        <v>2026 05</v>
      </c>
      <c r="G5935" s="97" t="s">
        <v>5</v>
      </c>
      <c r="H5935" s="161" t="s">
        <v>2624</v>
      </c>
      <c r="I5935" s="97" t="s">
        <v>2005</v>
      </c>
      <c r="J5935" s="97" t="s">
        <v>5611</v>
      </c>
      <c r="K5935" s="29">
        <v>25.05</v>
      </c>
      <c r="L5935" s="29">
        <v>-3.76</v>
      </c>
      <c r="M5935" s="30">
        <f>IFERROR(VLOOKUP($A5935,HeadJournal!$A$1:$J$890,COLUMN(HeadJournal!I$1),0)*($K5935+$L5935)/(SUMIF($A:$A,$A5935,$K:$K)+SUMIF($A:$A,$A5935,$L:$L)),0)</f>
        <v>-1.1200489882854099</v>
      </c>
      <c r="N5935" s="30">
        <f>IFERROR((VLOOKUP($A5935,HeadJournal!$A$1:$K$890,COLUMN(HeadJournal!K$1),0)-VLOOKUP($A5935,HeadJournal!$A$1:$K$890,COLUMN(HeadJournal!J$1),0))*($K5935+$L5935)/(SUMIF($A:$A,$A5935,$K:$K)+SUMIF($A:$A,$A5935,$L:$L)),0)</f>
        <v>-6.4440702212279146E-15</v>
      </c>
      <c r="O5935" s="30">
        <f>IFERROR((VLOOKUP($A5935,HeadJournal!$A$1:$L$890,COLUMN(HeadJournal!L$1),0)*($K5935+$L5935)/(SUMIF($A:$A,$A5935,$K:$K)+SUMIF($A:$A,$A5935,$L:$L)))/VLOOKUP($A5935,HeadJournal!$A$1:$L$890,COLUMN(HeadJournal!H$1),0),0)</f>
        <v>0</v>
      </c>
      <c r="P5935" s="30">
        <f>IFERROR(SUM(K5935:O5935)*VLOOKUP($A5935,HeadJournal!$A$1:$L$890,COLUMN(HeadJournal!H$1),0),0)</f>
        <v>1651.3433189563359</v>
      </c>
      <c r="Q5935" s="29"/>
      <c r="R5935" s="31"/>
      <c r="S5935" s="31"/>
      <c r="T5935" s="95" t="str">
        <f t="shared" si="420"/>
        <v/>
      </c>
      <c r="U5935" s="32">
        <f t="shared" si="447"/>
        <v>-1651.3433189563359</v>
      </c>
      <c r="V5935" s="22" t="str">
        <f t="shared" si="448"/>
        <v/>
      </c>
      <c r="X5935" s="33"/>
      <c r="Y5935" s="33"/>
    </row>
    <row r="5936" spans="1:25" x14ac:dyDescent="0.2">
      <c r="A5936" s="93" t="s">
        <v>5777</v>
      </c>
      <c r="B5936" s="94">
        <f>IFERROR(VLOOKUP($A5936,HeadJournal!$A$1:$NTR$890,COLUMN(HeadJournal!B$1),0),"")</f>
        <v>0</v>
      </c>
      <c r="C5936" s="94" t="str">
        <f>IFERROR(VLOOKUP($A5936,HeadJournal!$A$1:$NTR$890,COLUMN(HeadJournal!C$1),0),"")</f>
        <v>OZON_OA</v>
      </c>
      <c r="D5936" s="125" t="str">
        <f>IFERROR(VLOOKUP($A5936,HeadJournal!$A$1:$NTR$890,COLUMN(HeadJournal!D$1),0),"")</f>
        <v>Доставлен</v>
      </c>
      <c r="E5936" s="95">
        <f>IFERROR(VLOOKUP($A5936,HeadJournal!$A$1:$NTR$890,COLUMN(HeadJournal!G$1),0),"")</f>
        <v>46174</v>
      </c>
      <c r="F5936" s="95" t="str">
        <f t="shared" si="419"/>
        <v>2026 06</v>
      </c>
      <c r="G5936" s="97" t="s">
        <v>6</v>
      </c>
      <c r="H5936" s="161" t="s">
        <v>2280</v>
      </c>
      <c r="I5936" s="97" t="s">
        <v>2281</v>
      </c>
      <c r="J5936" s="97" t="s">
        <v>737</v>
      </c>
      <c r="K5936" s="29">
        <v>742.05</v>
      </c>
      <c r="L5936" s="29">
        <v>0</v>
      </c>
      <c r="M5936" s="30">
        <f>IFERROR(VLOOKUP($A5936,HeadJournal!$A$1:$J$890,COLUMN(HeadJournal!I$1),0)*($K5936+$L5936)/(SUMIF($A:$A,$A5936,$K:$K)+SUMIF($A:$A,$A5936,$L:$L)),0)</f>
        <v>0</v>
      </c>
      <c r="N5936" s="30">
        <f>IFERROR((VLOOKUP($A5936,HeadJournal!$A$1:$K$890,COLUMN(HeadJournal!K$1),0)-VLOOKUP($A5936,HeadJournal!$A$1:$K$890,COLUMN(HeadJournal!J$1),0))*($K5936+$L5936)/(SUMIF($A:$A,$A5936,$K:$K)+SUMIF($A:$A,$A5936,$L:$L)),0)</f>
        <v>0</v>
      </c>
      <c r="O5936" s="30">
        <f>IFERROR((VLOOKUP($A5936,HeadJournal!$A$1:$L$890,COLUMN(HeadJournal!L$1),0)*($K5936+$L5936)/(SUMIF($A:$A,$A5936,$K:$K)+SUMIF($A:$A,$A5936,$L:$L)))/VLOOKUP($A5936,HeadJournal!$A$1:$L$890,COLUMN(HeadJournal!H$1),0),0)</f>
        <v>0</v>
      </c>
      <c r="P5936" s="30">
        <f>IFERROR(SUM(K5936:O5936)*VLOOKUP($A5936,HeadJournal!$A$1:$L$890,COLUMN(HeadJournal!H$1),0),0)</f>
        <v>742.05</v>
      </c>
      <c r="Q5936" s="29"/>
      <c r="R5936" s="31"/>
      <c r="S5936" s="31"/>
      <c r="T5936" s="95" t="str">
        <f t="shared" si="420"/>
        <v/>
      </c>
      <c r="U5936" s="32">
        <f t="shared" si="447"/>
        <v>-742.05</v>
      </c>
      <c r="V5936" s="22" t="str">
        <f t="shared" si="448"/>
        <v/>
      </c>
      <c r="X5936" s="33"/>
      <c r="Y5936" s="33"/>
    </row>
    <row r="5937" spans="1:25" x14ac:dyDescent="0.2">
      <c r="A5937" s="93" t="s">
        <v>5778</v>
      </c>
      <c r="B5937" s="94">
        <f>IFERROR(VLOOKUP($A5937,HeadJournal!$A$1:$NTR$890,COLUMN(HeadJournal!B$1),0),"")</f>
        <v>0</v>
      </c>
      <c r="C5937" s="94" t="str">
        <f>IFERROR(VLOOKUP($A5937,HeadJournal!$A$1:$NTR$890,COLUMN(HeadJournal!C$1),0),"")</f>
        <v>OZON_OA</v>
      </c>
      <c r="D5937" s="125" t="str">
        <f>IFERROR(VLOOKUP($A5937,HeadJournal!$A$1:$NTR$890,COLUMN(HeadJournal!D$1),0),"")</f>
        <v>Доставлен</v>
      </c>
      <c r="E5937" s="95">
        <f>IFERROR(VLOOKUP($A5937,HeadJournal!$A$1:$NTR$890,COLUMN(HeadJournal!G$1),0),"")</f>
        <v>46180</v>
      </c>
      <c r="F5937" s="95" t="str">
        <f t="shared" si="419"/>
        <v>2026 06</v>
      </c>
      <c r="G5937" s="97" t="s">
        <v>6</v>
      </c>
      <c r="H5937" s="161" t="s">
        <v>2280</v>
      </c>
      <c r="I5937" s="97" t="s">
        <v>2281</v>
      </c>
      <c r="J5937" s="97" t="s">
        <v>737</v>
      </c>
      <c r="K5937" s="29">
        <v>772</v>
      </c>
      <c r="L5937" s="29">
        <v>0</v>
      </c>
      <c r="M5937" s="30">
        <f>IFERROR(VLOOKUP($A5937,HeadJournal!$A$1:$J$890,COLUMN(HeadJournal!I$1),0)*($K5937+$L5937)/(SUMIF($A:$A,$A5937,$K:$K)+SUMIF($A:$A,$A5937,$L:$L)),0)</f>
        <v>0</v>
      </c>
      <c r="N5937" s="30">
        <f>IFERROR((VLOOKUP($A5937,HeadJournal!$A$1:$K$890,COLUMN(HeadJournal!K$1),0)-VLOOKUP($A5937,HeadJournal!$A$1:$K$890,COLUMN(HeadJournal!J$1),0))*($K5937+$L5937)/(SUMIF($A:$A,$A5937,$K:$K)+SUMIF($A:$A,$A5937,$L:$L)),0)</f>
        <v>0</v>
      </c>
      <c r="O5937" s="30">
        <f>IFERROR((VLOOKUP($A5937,HeadJournal!$A$1:$L$890,COLUMN(HeadJournal!L$1),0)*($K5937+$L5937)/(SUMIF($A:$A,$A5937,$K:$K)+SUMIF($A:$A,$A5937,$L:$L)))/VLOOKUP($A5937,HeadJournal!$A$1:$L$890,COLUMN(HeadJournal!H$1),0),0)</f>
        <v>0</v>
      </c>
      <c r="P5937" s="30">
        <f>IFERROR(SUM(K5937:O5937)*VLOOKUP($A5937,HeadJournal!$A$1:$L$890,COLUMN(HeadJournal!H$1),0),0)</f>
        <v>772</v>
      </c>
      <c r="Q5937" s="29"/>
      <c r="R5937" s="31"/>
      <c r="S5937" s="31"/>
      <c r="T5937" s="95" t="str">
        <f t="shared" si="420"/>
        <v/>
      </c>
      <c r="U5937" s="32">
        <f t="shared" si="447"/>
        <v>-772</v>
      </c>
      <c r="V5937" s="22" t="str">
        <f t="shared" si="448"/>
        <v/>
      </c>
      <c r="X5937" s="33"/>
      <c r="Y5937" s="33"/>
    </row>
    <row r="5938" spans="1:25" x14ac:dyDescent="0.2">
      <c r="A5938" s="93"/>
      <c r="B5938" s="94" t="str">
        <f>IFERROR(VLOOKUP($A5938,HeadJournal!$A$1:$NTR$890,COLUMN(HeadJournal!B$1),0),"")</f>
        <v/>
      </c>
      <c r="C5938" s="94" t="str">
        <f>IFERROR(VLOOKUP($A5938,HeadJournal!$A$1:$NTR$890,COLUMN(HeadJournal!C$1),0),"")</f>
        <v/>
      </c>
      <c r="D5938" s="125" t="str">
        <f>IFERROR(VLOOKUP($A5938,HeadJournal!$A$1:$NTR$890,COLUMN(HeadJournal!D$1),0),"")</f>
        <v/>
      </c>
      <c r="E5938" s="95" t="str">
        <f>IFERROR(VLOOKUP($A5938,HeadJournal!$A$1:$NTR$890,COLUMN(HeadJournal!G$1),0),"")</f>
        <v/>
      </c>
      <c r="F5938" s="95" t="str">
        <f t="shared" si="419"/>
        <v/>
      </c>
      <c r="G5938" s="97"/>
      <c r="H5938" s="161"/>
      <c r="I5938" s="97"/>
      <c r="J5938" s="97"/>
      <c r="K5938" s="29"/>
      <c r="L5938" s="29"/>
      <c r="M5938" s="30">
        <f>IFERROR(VLOOKUP($A5938,HeadJournal!$A$1:$J$890,COLUMN(HeadJournal!I$1),0)*($K5938+$L5938)/(SUMIF($A:$A,$A5938,$K:$K)+SUMIF($A:$A,$A5938,$L:$L)),0)</f>
        <v>0</v>
      </c>
      <c r="N5938" s="30">
        <f>IFERROR((VLOOKUP($A5938,HeadJournal!$A$1:$K$890,COLUMN(HeadJournal!K$1),0)-VLOOKUP($A5938,HeadJournal!$A$1:$K$890,COLUMN(HeadJournal!J$1),0))*($K5938+$L5938)/(SUMIF($A:$A,$A5938,$K:$K)+SUMIF($A:$A,$A5938,$L:$L)),0)</f>
        <v>0</v>
      </c>
      <c r="O5938" s="30">
        <f>IFERROR((VLOOKUP($A5938,HeadJournal!$A$1:$L$890,COLUMN(HeadJournal!L$1),0)*($K5938+$L5938)/(SUMIF($A:$A,$A5938,$K:$K)+SUMIF($A:$A,$A5938,$L:$L)))/VLOOKUP($A5938,HeadJournal!$A$1:$L$890,COLUMN(HeadJournal!H$1),0),0)</f>
        <v>0</v>
      </c>
      <c r="P5938" s="30">
        <f>IFERROR(SUM(K5938:O5938)*VLOOKUP($A5938,HeadJournal!$A$1:$L$890,COLUMN(HeadJournal!H$1),0),0)</f>
        <v>0</v>
      </c>
      <c r="Q5938" s="29"/>
      <c r="R5938" s="31"/>
      <c r="S5938" s="31"/>
      <c r="T5938" s="95" t="str">
        <f t="shared" si="420"/>
        <v/>
      </c>
      <c r="U5938" s="32">
        <f t="shared" si="447"/>
        <v>0</v>
      </c>
      <c r="V5938" s="22" t="str">
        <f t="shared" si="448"/>
        <v/>
      </c>
      <c r="X5938" s="33"/>
      <c r="Y5938" s="33"/>
    </row>
    <row r="5939" spans="1:25" x14ac:dyDescent="0.2">
      <c r="A5939" s="93"/>
      <c r="B5939" s="94" t="str">
        <f>IFERROR(VLOOKUP($A5939,HeadJournal!$A$1:$NTR$890,COLUMN(HeadJournal!B$1),0),"")</f>
        <v/>
      </c>
      <c r="C5939" s="94" t="str">
        <f>IFERROR(VLOOKUP($A5939,HeadJournal!$A$1:$NTR$890,COLUMN(HeadJournal!C$1),0),"")</f>
        <v/>
      </c>
      <c r="D5939" s="125" t="str">
        <f>IFERROR(VLOOKUP($A5939,HeadJournal!$A$1:$NTR$890,COLUMN(HeadJournal!D$1),0),"")</f>
        <v/>
      </c>
      <c r="E5939" s="95" t="str">
        <f>IFERROR(VLOOKUP($A5939,HeadJournal!$A$1:$NTR$890,COLUMN(HeadJournal!G$1),0),"")</f>
        <v/>
      </c>
      <c r="F5939" s="95" t="str">
        <f t="shared" si="419"/>
        <v/>
      </c>
      <c r="G5939" s="97"/>
      <c r="H5939" s="161"/>
      <c r="I5939" s="97"/>
      <c r="J5939" s="97"/>
      <c r="K5939" s="29"/>
      <c r="L5939" s="29"/>
      <c r="M5939" s="30">
        <f>IFERROR(VLOOKUP($A5939,HeadJournal!$A$1:$J$890,COLUMN(HeadJournal!I$1),0)*($K5939+$L5939)/(SUMIF($A:$A,$A5939,$K:$K)+SUMIF($A:$A,$A5939,$L:$L)),0)</f>
        <v>0</v>
      </c>
      <c r="N5939" s="30">
        <f>IFERROR((VLOOKUP($A5939,HeadJournal!$A$1:$K$890,COLUMN(HeadJournal!K$1),0)-VLOOKUP($A5939,HeadJournal!$A$1:$K$890,COLUMN(HeadJournal!J$1),0))*($K5939+$L5939)/(SUMIF($A:$A,$A5939,$K:$K)+SUMIF($A:$A,$A5939,$L:$L)),0)</f>
        <v>0</v>
      </c>
      <c r="O5939" s="30">
        <f>IFERROR((VLOOKUP($A5939,HeadJournal!$A$1:$L$890,COLUMN(HeadJournal!L$1),0)*($K5939+$L5939)/(SUMIF($A:$A,$A5939,$K:$K)+SUMIF($A:$A,$A5939,$L:$L)))/VLOOKUP($A5939,HeadJournal!$A$1:$L$890,COLUMN(HeadJournal!H$1),0),0)</f>
        <v>0</v>
      </c>
      <c r="P5939" s="30">
        <f>IFERROR(SUM(K5939:O5939)*VLOOKUP($A5939,HeadJournal!$A$1:$L$890,COLUMN(HeadJournal!H$1),0),0)</f>
        <v>0</v>
      </c>
      <c r="Q5939" s="29"/>
      <c r="R5939" s="31"/>
      <c r="S5939" s="31"/>
      <c r="T5939" s="95" t="str">
        <f t="shared" si="420"/>
        <v/>
      </c>
      <c r="U5939" s="32">
        <f t="shared" si="447"/>
        <v>0</v>
      </c>
      <c r="V5939" s="22" t="str">
        <f t="shared" si="448"/>
        <v/>
      </c>
      <c r="X5939" s="33"/>
      <c r="Y5939" s="33"/>
    </row>
    <row r="5940" spans="1:25" x14ac:dyDescent="0.2">
      <c r="A5940" s="93"/>
      <c r="B5940" s="94" t="str">
        <f>IFERROR(VLOOKUP($A5940,HeadJournal!$A$1:$NTR$890,COLUMN(HeadJournal!B$1),0),"")</f>
        <v/>
      </c>
      <c r="C5940" s="94" t="str">
        <f>IFERROR(VLOOKUP($A5940,HeadJournal!$A$1:$NTR$890,COLUMN(HeadJournal!C$1),0),"")</f>
        <v/>
      </c>
      <c r="D5940" s="125" t="str">
        <f>IFERROR(VLOOKUP($A5940,HeadJournal!$A$1:$NTR$890,COLUMN(HeadJournal!D$1),0),"")</f>
        <v/>
      </c>
      <c r="E5940" s="95" t="str">
        <f>IFERROR(VLOOKUP($A5940,HeadJournal!$A$1:$NTR$890,COLUMN(HeadJournal!G$1),0),"")</f>
        <v/>
      </c>
      <c r="F5940" s="95" t="str">
        <f t="shared" si="419"/>
        <v/>
      </c>
      <c r="G5940" s="97"/>
      <c r="H5940" s="161"/>
      <c r="I5940" s="97"/>
      <c r="J5940" s="97"/>
      <c r="K5940" s="29"/>
      <c r="L5940" s="29"/>
      <c r="M5940" s="30">
        <f>IFERROR(VLOOKUP($A5940,HeadJournal!$A$1:$J$890,COLUMN(HeadJournal!I$1),0)*($K5940+$L5940)/(SUMIF($A:$A,$A5940,$K:$K)+SUMIF($A:$A,$A5940,$L:$L)),0)</f>
        <v>0</v>
      </c>
      <c r="N5940" s="30">
        <f>IFERROR((VLOOKUP($A5940,HeadJournal!$A$1:$K$890,COLUMN(HeadJournal!K$1),0)-VLOOKUP($A5940,HeadJournal!$A$1:$K$890,COLUMN(HeadJournal!J$1),0))*($K5940+$L5940)/(SUMIF($A:$A,$A5940,$K:$K)+SUMIF($A:$A,$A5940,$L:$L)),0)</f>
        <v>0</v>
      </c>
      <c r="O5940" s="30">
        <f>IFERROR((VLOOKUP($A5940,HeadJournal!$A$1:$L$890,COLUMN(HeadJournal!L$1),0)*($K5940+$L5940)/(SUMIF($A:$A,$A5940,$K:$K)+SUMIF($A:$A,$A5940,$L:$L)))/VLOOKUP($A5940,HeadJournal!$A$1:$L$890,COLUMN(HeadJournal!H$1),0),0)</f>
        <v>0</v>
      </c>
      <c r="P5940" s="30">
        <f>IFERROR(SUM(K5940:O5940)*VLOOKUP($A5940,HeadJournal!$A$1:$L$890,COLUMN(HeadJournal!H$1),0),0)</f>
        <v>0</v>
      </c>
      <c r="Q5940" s="29"/>
      <c r="R5940" s="31"/>
      <c r="S5940" s="31"/>
      <c r="T5940" s="95" t="str">
        <f t="shared" si="420"/>
        <v/>
      </c>
      <c r="U5940" s="32">
        <f t="shared" si="447"/>
        <v>0</v>
      </c>
      <c r="V5940" s="22" t="str">
        <f t="shared" si="448"/>
        <v/>
      </c>
      <c r="X5940" s="33"/>
      <c r="Y5940" s="33"/>
    </row>
    <row r="5941" spans="1:25" x14ac:dyDescent="0.2">
      <c r="A5941" s="93"/>
      <c r="B5941" s="94" t="str">
        <f>IFERROR(VLOOKUP($A5941,HeadJournal!$A$1:$NTR$890,COLUMN(HeadJournal!B$1),0),"")</f>
        <v/>
      </c>
      <c r="C5941" s="94" t="str">
        <f>IFERROR(VLOOKUP($A5941,HeadJournal!$A$1:$NTR$890,COLUMN(HeadJournal!C$1),0),"")</f>
        <v/>
      </c>
      <c r="D5941" s="125" t="str">
        <f>IFERROR(VLOOKUP($A5941,HeadJournal!$A$1:$NTR$890,COLUMN(HeadJournal!D$1),0),"")</f>
        <v/>
      </c>
      <c r="E5941" s="95" t="str">
        <f>IFERROR(VLOOKUP($A5941,HeadJournal!$A$1:$NTR$890,COLUMN(HeadJournal!G$1),0),"")</f>
        <v/>
      </c>
      <c r="F5941" s="95" t="str">
        <f t="shared" si="419"/>
        <v/>
      </c>
      <c r="G5941" s="97"/>
      <c r="H5941" s="161"/>
      <c r="I5941" s="97"/>
      <c r="J5941" s="97"/>
      <c r="K5941" s="29"/>
      <c r="L5941" s="29"/>
      <c r="M5941" s="30">
        <f>IFERROR(VLOOKUP($A5941,HeadJournal!$A$1:$J$890,COLUMN(HeadJournal!I$1),0)*($K5941+$L5941)/(SUMIF($A:$A,$A5941,$K:$K)+SUMIF($A:$A,$A5941,$L:$L)),0)</f>
        <v>0</v>
      </c>
      <c r="N5941" s="30">
        <f>IFERROR((VLOOKUP($A5941,HeadJournal!$A$1:$K$890,COLUMN(HeadJournal!K$1),0)-VLOOKUP($A5941,HeadJournal!$A$1:$K$890,COLUMN(HeadJournal!J$1),0))*($K5941+$L5941)/(SUMIF($A:$A,$A5941,$K:$K)+SUMIF($A:$A,$A5941,$L:$L)),0)</f>
        <v>0</v>
      </c>
      <c r="O5941" s="30">
        <f>IFERROR((VLOOKUP($A5941,HeadJournal!$A$1:$L$890,COLUMN(HeadJournal!L$1),0)*($K5941+$L5941)/(SUMIF($A:$A,$A5941,$K:$K)+SUMIF($A:$A,$A5941,$L:$L)))/VLOOKUP($A5941,HeadJournal!$A$1:$L$890,COLUMN(HeadJournal!H$1),0),0)</f>
        <v>0</v>
      </c>
      <c r="P5941" s="30">
        <f>IFERROR(SUM(K5941:O5941)*VLOOKUP($A5941,HeadJournal!$A$1:$L$890,COLUMN(HeadJournal!H$1),0),0)</f>
        <v>0</v>
      </c>
      <c r="Q5941" s="29"/>
      <c r="R5941" s="31"/>
      <c r="S5941" s="31"/>
      <c r="T5941" s="95" t="str">
        <f t="shared" si="420"/>
        <v/>
      </c>
      <c r="U5941" s="32">
        <f t="shared" si="447"/>
        <v>0</v>
      </c>
      <c r="V5941" s="22" t="str">
        <f t="shared" si="448"/>
        <v/>
      </c>
      <c r="X5941" s="33"/>
      <c r="Y5941" s="33"/>
    </row>
    <row r="5942" spans="1:25" x14ac:dyDescent="0.2">
      <c r="A5942" s="93"/>
      <c r="B5942" s="94" t="str">
        <f>IFERROR(VLOOKUP($A5942,HeadJournal!$A$1:$NTR$890,COLUMN(HeadJournal!B$1),0),"")</f>
        <v/>
      </c>
      <c r="C5942" s="94" t="str">
        <f>IFERROR(VLOOKUP($A5942,HeadJournal!$A$1:$NTR$890,COLUMN(HeadJournal!C$1),0),"")</f>
        <v/>
      </c>
      <c r="D5942" s="125" t="str">
        <f>IFERROR(VLOOKUP($A5942,HeadJournal!$A$1:$NTR$890,COLUMN(HeadJournal!D$1),0),"")</f>
        <v/>
      </c>
      <c r="E5942" s="95" t="str">
        <f>IFERROR(VLOOKUP($A5942,HeadJournal!$A$1:$NTR$890,COLUMN(HeadJournal!G$1),0),"")</f>
        <v/>
      </c>
      <c r="F5942" s="95" t="str">
        <f t="shared" si="419"/>
        <v/>
      </c>
      <c r="G5942" s="97"/>
      <c r="H5942" s="161"/>
      <c r="I5942" s="97"/>
      <c r="J5942" s="97"/>
      <c r="K5942" s="29"/>
      <c r="L5942" s="29"/>
      <c r="M5942" s="30">
        <f>IFERROR(VLOOKUP($A5942,HeadJournal!$A$1:$J$890,COLUMN(HeadJournal!I$1),0)*($K5942+$L5942)/(SUMIF($A:$A,$A5942,$K:$K)+SUMIF($A:$A,$A5942,$L:$L)),0)</f>
        <v>0</v>
      </c>
      <c r="N5942" s="30">
        <f>IFERROR((VLOOKUP($A5942,HeadJournal!$A$1:$K$890,COLUMN(HeadJournal!K$1),0)-VLOOKUP($A5942,HeadJournal!$A$1:$K$890,COLUMN(HeadJournal!J$1),0))*($K5942+$L5942)/(SUMIF($A:$A,$A5942,$K:$K)+SUMIF($A:$A,$A5942,$L:$L)),0)</f>
        <v>0</v>
      </c>
      <c r="O5942" s="30">
        <f>IFERROR((VLOOKUP($A5942,HeadJournal!$A$1:$L$890,COLUMN(HeadJournal!L$1),0)*($K5942+$L5942)/(SUMIF($A:$A,$A5942,$K:$K)+SUMIF($A:$A,$A5942,$L:$L)))/VLOOKUP($A5942,HeadJournal!$A$1:$L$890,COLUMN(HeadJournal!H$1),0),0)</f>
        <v>0</v>
      </c>
      <c r="P5942" s="30">
        <f>IFERROR(SUM(K5942:O5942)*VLOOKUP($A5942,HeadJournal!$A$1:$L$890,COLUMN(HeadJournal!H$1),0),0)</f>
        <v>0</v>
      </c>
      <c r="Q5942" s="29"/>
      <c r="R5942" s="31"/>
      <c r="S5942" s="31"/>
      <c r="T5942" s="95" t="str">
        <f t="shared" si="420"/>
        <v/>
      </c>
      <c r="U5942" s="32">
        <f t="shared" si="447"/>
        <v>0</v>
      </c>
      <c r="V5942" s="22" t="str">
        <f t="shared" si="448"/>
        <v/>
      </c>
      <c r="X5942" s="33"/>
      <c r="Y5942" s="33"/>
    </row>
    <row r="5943" spans="1:25" x14ac:dyDescent="0.2">
      <c r="A5943" s="93"/>
      <c r="B5943" s="94" t="str">
        <f>IFERROR(VLOOKUP($A5943,HeadJournal!$A$1:$NTR$890,COLUMN(HeadJournal!B$1),0),"")</f>
        <v/>
      </c>
      <c r="C5943" s="94" t="str">
        <f>IFERROR(VLOOKUP($A5943,HeadJournal!$A$1:$NTR$890,COLUMN(HeadJournal!C$1),0),"")</f>
        <v/>
      </c>
      <c r="D5943" s="125" t="str">
        <f>IFERROR(VLOOKUP($A5943,HeadJournal!$A$1:$NTR$890,COLUMN(HeadJournal!D$1),0),"")</f>
        <v/>
      </c>
      <c r="E5943" s="95" t="str">
        <f>IFERROR(VLOOKUP($A5943,HeadJournal!$A$1:$NTR$890,COLUMN(HeadJournal!G$1),0),"")</f>
        <v/>
      </c>
      <c r="F5943" s="95" t="str">
        <f t="shared" si="419"/>
        <v/>
      </c>
      <c r="G5943" s="97"/>
      <c r="H5943" s="161"/>
      <c r="I5943" s="97"/>
      <c r="J5943" s="97"/>
      <c r="K5943" s="29"/>
      <c r="L5943" s="29"/>
      <c r="M5943" s="30">
        <f>IFERROR(VLOOKUP($A5943,HeadJournal!$A$1:$J$890,COLUMN(HeadJournal!I$1),0)*($K5943+$L5943)/(SUMIF($A:$A,$A5943,$K:$K)+SUMIF($A:$A,$A5943,$L:$L)),0)</f>
        <v>0</v>
      </c>
      <c r="N5943" s="30">
        <f>IFERROR((VLOOKUP($A5943,HeadJournal!$A$1:$K$890,COLUMN(HeadJournal!K$1),0)-VLOOKUP($A5943,HeadJournal!$A$1:$K$890,COLUMN(HeadJournal!J$1),0))*($K5943+$L5943)/(SUMIF($A:$A,$A5943,$K:$K)+SUMIF($A:$A,$A5943,$L:$L)),0)</f>
        <v>0</v>
      </c>
      <c r="O5943" s="30">
        <f>IFERROR((VLOOKUP($A5943,HeadJournal!$A$1:$L$890,COLUMN(HeadJournal!L$1),0)*($K5943+$L5943)/(SUMIF($A:$A,$A5943,$K:$K)+SUMIF($A:$A,$A5943,$L:$L)))/VLOOKUP($A5943,HeadJournal!$A$1:$L$890,COLUMN(HeadJournal!H$1),0),0)</f>
        <v>0</v>
      </c>
      <c r="P5943" s="30">
        <f>IFERROR(SUM(K5943:O5943)*VLOOKUP($A5943,HeadJournal!$A$1:$L$890,COLUMN(HeadJournal!H$1),0),0)</f>
        <v>0</v>
      </c>
      <c r="Q5943" s="29"/>
      <c r="R5943" s="31"/>
      <c r="S5943" s="31"/>
      <c r="T5943" s="95" t="str">
        <f t="shared" si="420"/>
        <v/>
      </c>
      <c r="U5943" s="32">
        <f t="shared" si="447"/>
        <v>0</v>
      </c>
      <c r="V5943" s="22" t="str">
        <f t="shared" si="448"/>
        <v/>
      </c>
      <c r="X5943" s="33"/>
      <c r="Y5943" s="33"/>
    </row>
    <row r="5944" spans="1:25" x14ac:dyDescent="0.2">
      <c r="A5944" s="93"/>
      <c r="B5944" s="94" t="str">
        <f>IFERROR(VLOOKUP($A5944,HeadJournal!$A$1:$NTR$890,COLUMN(HeadJournal!B$1),0),"")</f>
        <v/>
      </c>
      <c r="C5944" s="94" t="str">
        <f>IFERROR(VLOOKUP($A5944,HeadJournal!$A$1:$NTR$890,COLUMN(HeadJournal!C$1),0),"")</f>
        <v/>
      </c>
      <c r="D5944" s="125" t="str">
        <f>IFERROR(VLOOKUP($A5944,HeadJournal!$A$1:$NTR$890,COLUMN(HeadJournal!D$1),0),"")</f>
        <v/>
      </c>
      <c r="E5944" s="95" t="str">
        <f>IFERROR(VLOOKUP($A5944,HeadJournal!$A$1:$NTR$890,COLUMN(HeadJournal!G$1),0),"")</f>
        <v/>
      </c>
      <c r="F5944" s="95" t="str">
        <f t="shared" si="419"/>
        <v/>
      </c>
      <c r="G5944" s="97"/>
      <c r="H5944" s="161"/>
      <c r="I5944" s="97"/>
      <c r="J5944" s="97"/>
      <c r="K5944" s="29"/>
      <c r="L5944" s="29"/>
      <c r="M5944" s="30">
        <f>IFERROR(VLOOKUP($A5944,HeadJournal!$A$1:$J$890,COLUMN(HeadJournal!I$1),0)*($K5944+$L5944)/(SUMIF($A:$A,$A5944,$K:$K)+SUMIF($A:$A,$A5944,$L:$L)),0)</f>
        <v>0</v>
      </c>
      <c r="N5944" s="30">
        <f>IFERROR((VLOOKUP($A5944,HeadJournal!$A$1:$K$890,COLUMN(HeadJournal!K$1),0)-VLOOKUP($A5944,HeadJournal!$A$1:$K$890,COLUMN(HeadJournal!J$1),0))*($K5944+$L5944)/(SUMIF($A:$A,$A5944,$K:$K)+SUMIF($A:$A,$A5944,$L:$L)),0)</f>
        <v>0</v>
      </c>
      <c r="O5944" s="30">
        <f>IFERROR((VLOOKUP($A5944,HeadJournal!$A$1:$L$890,COLUMN(HeadJournal!L$1),0)*($K5944+$L5944)/(SUMIF($A:$A,$A5944,$K:$K)+SUMIF($A:$A,$A5944,$L:$L)))/VLOOKUP($A5944,HeadJournal!$A$1:$L$890,COLUMN(HeadJournal!H$1),0),0)</f>
        <v>0</v>
      </c>
      <c r="P5944" s="30">
        <f>IFERROR(SUM(K5944:O5944)*VLOOKUP($A5944,HeadJournal!$A$1:$L$890,COLUMN(HeadJournal!H$1),0),0)</f>
        <v>0</v>
      </c>
      <c r="Q5944" s="29"/>
      <c r="R5944" s="31"/>
      <c r="S5944" s="31"/>
      <c r="T5944" s="95" t="str">
        <f t="shared" si="420"/>
        <v/>
      </c>
      <c r="U5944" s="32">
        <f t="shared" si="447"/>
        <v>0</v>
      </c>
      <c r="V5944" s="22" t="str">
        <f t="shared" si="448"/>
        <v/>
      </c>
      <c r="X5944" s="33"/>
      <c r="Y5944" s="33"/>
    </row>
    <row r="5945" spans="1:25" x14ac:dyDescent="0.2">
      <c r="A5945" s="93"/>
      <c r="B5945" s="94" t="str">
        <f>IFERROR(VLOOKUP($A5945,HeadJournal!$A$1:$NTR$890,COLUMN(HeadJournal!B$1),0),"")</f>
        <v/>
      </c>
      <c r="C5945" s="94" t="str">
        <f>IFERROR(VLOOKUP($A5945,HeadJournal!$A$1:$NTR$890,COLUMN(HeadJournal!C$1),0),"")</f>
        <v/>
      </c>
      <c r="D5945" s="125" t="str">
        <f>IFERROR(VLOOKUP($A5945,HeadJournal!$A$1:$NTR$890,COLUMN(HeadJournal!D$1),0),"")</f>
        <v/>
      </c>
      <c r="E5945" s="95" t="str">
        <f>IFERROR(VLOOKUP($A5945,HeadJournal!$A$1:$NTR$890,COLUMN(HeadJournal!G$1),0),"")</f>
        <v/>
      </c>
      <c r="F5945" s="95" t="str">
        <f t="shared" si="419"/>
        <v/>
      </c>
      <c r="G5945" s="97"/>
      <c r="H5945" s="161"/>
      <c r="I5945" s="97"/>
      <c r="J5945" s="97"/>
      <c r="K5945" s="29"/>
      <c r="L5945" s="29"/>
      <c r="M5945" s="30">
        <f>IFERROR(VLOOKUP($A5945,HeadJournal!$A$1:$J$890,COLUMN(HeadJournal!I$1),0)*($K5945+$L5945)/(SUMIF($A:$A,$A5945,$K:$K)+SUMIF($A:$A,$A5945,$L:$L)),0)</f>
        <v>0</v>
      </c>
      <c r="N5945" s="30">
        <f>IFERROR((VLOOKUP($A5945,HeadJournal!$A$1:$K$890,COLUMN(HeadJournal!K$1),0)-VLOOKUP($A5945,HeadJournal!$A$1:$K$890,COLUMN(HeadJournal!J$1),0))*($K5945+$L5945)/(SUMIF($A:$A,$A5945,$K:$K)+SUMIF($A:$A,$A5945,$L:$L)),0)</f>
        <v>0</v>
      </c>
      <c r="O5945" s="30">
        <f>IFERROR((VLOOKUP($A5945,HeadJournal!$A$1:$L$890,COLUMN(HeadJournal!L$1),0)*($K5945+$L5945)/(SUMIF($A:$A,$A5945,$K:$K)+SUMIF($A:$A,$A5945,$L:$L)))/VLOOKUP($A5945,HeadJournal!$A$1:$L$890,COLUMN(HeadJournal!H$1),0),0)</f>
        <v>0</v>
      </c>
      <c r="P5945" s="30">
        <f>IFERROR(SUM(K5945:O5945)*VLOOKUP($A5945,HeadJournal!$A$1:$L$890,COLUMN(HeadJournal!H$1),0),0)</f>
        <v>0</v>
      </c>
      <c r="Q5945" s="29"/>
      <c r="R5945" s="31"/>
      <c r="S5945" s="31"/>
      <c r="T5945" s="95" t="str">
        <f t="shared" si="420"/>
        <v/>
      </c>
      <c r="U5945" s="32">
        <f t="shared" si="447"/>
        <v>0</v>
      </c>
      <c r="V5945" s="22" t="str">
        <f t="shared" si="448"/>
        <v/>
      </c>
      <c r="X5945" s="33"/>
      <c r="Y5945" s="33"/>
    </row>
    <row r="5946" spans="1:25" x14ac:dyDescent="0.2">
      <c r="A5946" s="93"/>
      <c r="B5946" s="94" t="str">
        <f>IFERROR(VLOOKUP($A5946,HeadJournal!$A$1:$NTR$890,COLUMN(HeadJournal!B$1),0),"")</f>
        <v/>
      </c>
      <c r="C5946" s="94" t="str">
        <f>IFERROR(VLOOKUP($A5946,HeadJournal!$A$1:$NTR$890,COLUMN(HeadJournal!C$1),0),"")</f>
        <v/>
      </c>
      <c r="D5946" s="125" t="str">
        <f>IFERROR(VLOOKUP($A5946,HeadJournal!$A$1:$NTR$890,COLUMN(HeadJournal!D$1),0),"")</f>
        <v/>
      </c>
      <c r="E5946" s="95" t="str">
        <f>IFERROR(VLOOKUP($A5946,HeadJournal!$A$1:$NTR$890,COLUMN(HeadJournal!G$1),0),"")</f>
        <v/>
      </c>
      <c r="F5946" s="95" t="str">
        <f t="shared" si="419"/>
        <v/>
      </c>
      <c r="G5946" s="97"/>
      <c r="H5946" s="161"/>
      <c r="I5946" s="97"/>
      <c r="J5946" s="97"/>
      <c r="K5946" s="29"/>
      <c r="L5946" s="29"/>
      <c r="M5946" s="30">
        <f>IFERROR(VLOOKUP($A5946,HeadJournal!$A$1:$J$890,COLUMN(HeadJournal!I$1),0)*($K5946+$L5946)/(SUMIF($A:$A,$A5946,$K:$K)+SUMIF($A:$A,$A5946,$L:$L)),0)</f>
        <v>0</v>
      </c>
      <c r="N5946" s="30">
        <f>IFERROR((VLOOKUP($A5946,HeadJournal!$A$1:$K$890,COLUMN(HeadJournal!K$1),0)-VLOOKUP($A5946,HeadJournal!$A$1:$K$890,COLUMN(HeadJournal!J$1),0))*($K5946+$L5946)/(SUMIF($A:$A,$A5946,$K:$K)+SUMIF($A:$A,$A5946,$L:$L)),0)</f>
        <v>0</v>
      </c>
      <c r="O5946" s="30">
        <f>IFERROR((VLOOKUP($A5946,HeadJournal!$A$1:$L$890,COLUMN(HeadJournal!L$1),0)*($K5946+$L5946)/(SUMIF($A:$A,$A5946,$K:$K)+SUMIF($A:$A,$A5946,$L:$L)))/VLOOKUP($A5946,HeadJournal!$A$1:$L$890,COLUMN(HeadJournal!H$1),0),0)</f>
        <v>0</v>
      </c>
      <c r="P5946" s="30">
        <f>IFERROR(SUM(K5946:O5946)*VLOOKUP($A5946,HeadJournal!$A$1:$L$890,COLUMN(HeadJournal!H$1),0),0)</f>
        <v>0</v>
      </c>
      <c r="Q5946" s="29"/>
      <c r="R5946" s="31"/>
      <c r="S5946" s="31"/>
      <c r="T5946" s="95" t="str">
        <f t="shared" si="420"/>
        <v/>
      </c>
      <c r="U5946" s="32">
        <f t="shared" si="447"/>
        <v>0</v>
      </c>
      <c r="V5946" s="22" t="str">
        <f t="shared" si="448"/>
        <v/>
      </c>
      <c r="X5946" s="33"/>
      <c r="Y5946" s="33"/>
    </row>
    <row r="5947" spans="1:25" x14ac:dyDescent="0.2">
      <c r="A5947" s="93"/>
      <c r="B5947" s="94" t="str">
        <f>IFERROR(VLOOKUP($A5947,HeadJournal!$A$1:$NTR$890,COLUMN(HeadJournal!B$1),0),"")</f>
        <v/>
      </c>
      <c r="C5947" s="94" t="str">
        <f>IFERROR(VLOOKUP($A5947,HeadJournal!$A$1:$NTR$890,COLUMN(HeadJournal!C$1),0),"")</f>
        <v/>
      </c>
      <c r="D5947" s="125" t="str">
        <f>IFERROR(VLOOKUP($A5947,HeadJournal!$A$1:$NTR$890,COLUMN(HeadJournal!D$1),0),"")</f>
        <v/>
      </c>
      <c r="E5947" s="95" t="str">
        <f>IFERROR(VLOOKUP($A5947,HeadJournal!$A$1:$NTR$890,COLUMN(HeadJournal!G$1),0),"")</f>
        <v/>
      </c>
      <c r="F5947" s="95" t="str">
        <f t="shared" si="419"/>
        <v/>
      </c>
      <c r="G5947" s="97"/>
      <c r="H5947" s="161"/>
      <c r="I5947" s="97"/>
      <c r="J5947" s="97"/>
      <c r="K5947" s="29"/>
      <c r="L5947" s="29"/>
      <c r="M5947" s="30">
        <f>IFERROR(VLOOKUP($A5947,HeadJournal!$A$1:$J$890,COLUMN(HeadJournal!I$1),0)*($K5947+$L5947)/(SUMIF($A:$A,$A5947,$K:$K)+SUMIF($A:$A,$A5947,$L:$L)),0)</f>
        <v>0</v>
      </c>
      <c r="N5947" s="30">
        <f>IFERROR((VLOOKUP($A5947,HeadJournal!$A$1:$K$890,COLUMN(HeadJournal!K$1),0)-VLOOKUP($A5947,HeadJournal!$A$1:$K$890,COLUMN(HeadJournal!J$1),0))*($K5947+$L5947)/(SUMIF($A:$A,$A5947,$K:$K)+SUMIF($A:$A,$A5947,$L:$L)),0)</f>
        <v>0</v>
      </c>
      <c r="O5947" s="30">
        <f>IFERROR((VLOOKUP($A5947,HeadJournal!$A$1:$L$890,COLUMN(HeadJournal!L$1),0)*($K5947+$L5947)/(SUMIF($A:$A,$A5947,$K:$K)+SUMIF($A:$A,$A5947,$L:$L)))/VLOOKUP($A5947,HeadJournal!$A$1:$L$890,COLUMN(HeadJournal!H$1),0),0)</f>
        <v>0</v>
      </c>
      <c r="P5947" s="30">
        <f>IFERROR(SUM(K5947:O5947)*VLOOKUP($A5947,HeadJournal!$A$1:$L$890,COLUMN(HeadJournal!H$1),0),0)</f>
        <v>0</v>
      </c>
      <c r="Q5947" s="29"/>
      <c r="R5947" s="31"/>
      <c r="S5947" s="31"/>
      <c r="T5947" s="95" t="str">
        <f t="shared" si="420"/>
        <v/>
      </c>
      <c r="U5947" s="32">
        <f t="shared" si="447"/>
        <v>0</v>
      </c>
      <c r="V5947" s="22" t="str">
        <f t="shared" si="448"/>
        <v/>
      </c>
      <c r="X5947" s="33"/>
      <c r="Y5947" s="33"/>
    </row>
    <row r="5948" spans="1:25" x14ac:dyDescent="0.2">
      <c r="A5948" s="93"/>
      <c r="B5948" s="94" t="str">
        <f>IFERROR(VLOOKUP($A5948,HeadJournal!$A$1:$NTR$890,COLUMN(HeadJournal!B$1),0),"")</f>
        <v/>
      </c>
      <c r="C5948" s="94" t="str">
        <f>IFERROR(VLOOKUP($A5948,HeadJournal!$A$1:$NTR$890,COLUMN(HeadJournal!C$1),0),"")</f>
        <v/>
      </c>
      <c r="D5948" s="125" t="str">
        <f>IFERROR(VLOOKUP($A5948,HeadJournal!$A$1:$NTR$890,COLUMN(HeadJournal!D$1),0),"")</f>
        <v/>
      </c>
      <c r="E5948" s="95" t="str">
        <f>IFERROR(VLOOKUP($A5948,HeadJournal!$A$1:$NTR$890,COLUMN(HeadJournal!G$1),0),"")</f>
        <v/>
      </c>
      <c r="F5948" s="95" t="str">
        <f t="shared" si="419"/>
        <v/>
      </c>
      <c r="G5948" s="97"/>
      <c r="H5948" s="161"/>
      <c r="I5948" s="97"/>
      <c r="J5948" s="97"/>
      <c r="K5948" s="29"/>
      <c r="L5948" s="29"/>
      <c r="M5948" s="30">
        <f>IFERROR(VLOOKUP($A5948,HeadJournal!$A$1:$J$890,COLUMN(HeadJournal!I$1),0)*($K5948+$L5948)/(SUMIF($A:$A,$A5948,$K:$K)+SUMIF($A:$A,$A5948,$L:$L)),0)</f>
        <v>0</v>
      </c>
      <c r="N5948" s="30">
        <f>IFERROR((VLOOKUP($A5948,HeadJournal!$A$1:$K$890,COLUMN(HeadJournal!K$1),0)-VLOOKUP($A5948,HeadJournal!$A$1:$K$890,COLUMN(HeadJournal!J$1),0))*($K5948+$L5948)/(SUMIF($A:$A,$A5948,$K:$K)+SUMIF($A:$A,$A5948,$L:$L)),0)</f>
        <v>0</v>
      </c>
      <c r="O5948" s="30">
        <f>IFERROR((VLOOKUP($A5948,HeadJournal!$A$1:$L$890,COLUMN(HeadJournal!L$1),0)*($K5948+$L5948)/(SUMIF($A:$A,$A5948,$K:$K)+SUMIF($A:$A,$A5948,$L:$L)))/VLOOKUP($A5948,HeadJournal!$A$1:$L$890,COLUMN(HeadJournal!H$1),0),0)</f>
        <v>0</v>
      </c>
      <c r="P5948" s="30">
        <f>IFERROR(SUM(K5948:O5948)*VLOOKUP($A5948,HeadJournal!$A$1:$L$890,COLUMN(HeadJournal!H$1),0),0)</f>
        <v>0</v>
      </c>
      <c r="Q5948" s="29"/>
      <c r="R5948" s="31"/>
      <c r="S5948" s="31"/>
      <c r="T5948" s="95" t="str">
        <f t="shared" si="420"/>
        <v/>
      </c>
      <c r="U5948" s="32">
        <f t="shared" si="447"/>
        <v>0</v>
      </c>
      <c r="V5948" s="22" t="str">
        <f t="shared" si="448"/>
        <v/>
      </c>
      <c r="X5948" s="33"/>
      <c r="Y5948" s="33"/>
    </row>
    <row r="5949" spans="1:25" x14ac:dyDescent="0.2">
      <c r="A5949" s="93"/>
      <c r="B5949" s="94" t="str">
        <f>IFERROR(VLOOKUP($A5949,HeadJournal!$A$1:$NTR$890,COLUMN(HeadJournal!B$1),0),"")</f>
        <v/>
      </c>
      <c r="C5949" s="94" t="str">
        <f>IFERROR(VLOOKUP($A5949,HeadJournal!$A$1:$NTR$890,COLUMN(HeadJournal!C$1),0),"")</f>
        <v/>
      </c>
      <c r="D5949" s="125" t="str">
        <f>IFERROR(VLOOKUP($A5949,HeadJournal!$A$1:$NTR$890,COLUMN(HeadJournal!D$1),0),"")</f>
        <v/>
      </c>
      <c r="E5949" s="95" t="str">
        <f>IFERROR(VLOOKUP($A5949,HeadJournal!$A$1:$NTR$890,COLUMN(HeadJournal!G$1),0),"")</f>
        <v/>
      </c>
      <c r="F5949" s="95" t="str">
        <f t="shared" si="419"/>
        <v/>
      </c>
      <c r="G5949" s="97"/>
      <c r="H5949" s="161"/>
      <c r="I5949" s="97"/>
      <c r="J5949" s="97"/>
      <c r="K5949" s="29"/>
      <c r="L5949" s="29"/>
      <c r="M5949" s="30">
        <f>IFERROR(VLOOKUP($A5949,HeadJournal!$A$1:$J$890,COLUMN(HeadJournal!I$1),0)*($K5949+$L5949)/(SUMIF($A:$A,$A5949,$K:$K)+SUMIF($A:$A,$A5949,$L:$L)),0)</f>
        <v>0</v>
      </c>
      <c r="N5949" s="30">
        <f>IFERROR((VLOOKUP($A5949,HeadJournal!$A$1:$K$890,COLUMN(HeadJournal!K$1),0)-VLOOKUP($A5949,HeadJournal!$A$1:$K$890,COLUMN(HeadJournal!J$1),0))*($K5949+$L5949)/(SUMIF($A:$A,$A5949,$K:$K)+SUMIF($A:$A,$A5949,$L:$L)),0)</f>
        <v>0</v>
      </c>
      <c r="O5949" s="30">
        <f>IFERROR((VLOOKUP($A5949,HeadJournal!$A$1:$L$890,COLUMN(HeadJournal!L$1),0)*($K5949+$L5949)/(SUMIF($A:$A,$A5949,$K:$K)+SUMIF($A:$A,$A5949,$L:$L)))/VLOOKUP($A5949,HeadJournal!$A$1:$L$890,COLUMN(HeadJournal!H$1),0),0)</f>
        <v>0</v>
      </c>
      <c r="P5949" s="30">
        <f>IFERROR(SUM(K5949:O5949)*VLOOKUP($A5949,HeadJournal!$A$1:$L$890,COLUMN(HeadJournal!H$1),0),0)</f>
        <v>0</v>
      </c>
      <c r="Q5949" s="29"/>
      <c r="R5949" s="31"/>
      <c r="S5949" s="31"/>
      <c r="T5949" s="95" t="str">
        <f t="shared" si="420"/>
        <v/>
      </c>
      <c r="U5949" s="32">
        <f t="shared" si="447"/>
        <v>0</v>
      </c>
      <c r="V5949" s="22" t="str">
        <f t="shared" si="448"/>
        <v/>
      </c>
      <c r="X5949" s="33"/>
      <c r="Y5949" s="33"/>
    </row>
    <row r="5950" spans="1:25" x14ac:dyDescent="0.2">
      <c r="A5950" s="93"/>
      <c r="B5950" s="94" t="str">
        <f>IFERROR(VLOOKUP($A5950,HeadJournal!$A$1:$NTR$890,COLUMN(HeadJournal!B$1),0),"")</f>
        <v/>
      </c>
      <c r="C5950" s="94" t="str">
        <f>IFERROR(VLOOKUP($A5950,HeadJournal!$A$1:$NTR$890,COLUMN(HeadJournal!C$1),0),"")</f>
        <v/>
      </c>
      <c r="D5950" s="125" t="str">
        <f>IFERROR(VLOOKUP($A5950,HeadJournal!$A$1:$NTR$890,COLUMN(HeadJournal!D$1),0),"")</f>
        <v/>
      </c>
      <c r="E5950" s="95" t="str">
        <f>IFERROR(VLOOKUP($A5950,HeadJournal!$A$1:$NTR$890,COLUMN(HeadJournal!G$1),0),"")</f>
        <v/>
      </c>
      <c r="F5950" s="95" t="str">
        <f t="shared" si="419"/>
        <v/>
      </c>
      <c r="G5950" s="97"/>
      <c r="H5950" s="161"/>
      <c r="I5950" s="97"/>
      <c r="J5950" s="97"/>
      <c r="K5950" s="29"/>
      <c r="L5950" s="29"/>
      <c r="M5950" s="30">
        <f>IFERROR(VLOOKUP($A5950,HeadJournal!$A$1:$J$890,COLUMN(HeadJournal!I$1),0)*($K5950+$L5950)/(SUMIF($A:$A,$A5950,$K:$K)+SUMIF($A:$A,$A5950,$L:$L)),0)</f>
        <v>0</v>
      </c>
      <c r="N5950" s="30">
        <f>IFERROR((VLOOKUP($A5950,HeadJournal!$A$1:$K$890,COLUMN(HeadJournal!K$1),0)-VLOOKUP($A5950,HeadJournal!$A$1:$K$890,COLUMN(HeadJournal!J$1),0))*($K5950+$L5950)/(SUMIF($A:$A,$A5950,$K:$K)+SUMIF($A:$A,$A5950,$L:$L)),0)</f>
        <v>0</v>
      </c>
      <c r="O5950" s="30">
        <f>IFERROR((VLOOKUP($A5950,HeadJournal!$A$1:$L$890,COLUMN(HeadJournal!L$1),0)*($K5950+$L5950)/(SUMIF($A:$A,$A5950,$K:$K)+SUMIF($A:$A,$A5950,$L:$L)))/VLOOKUP($A5950,HeadJournal!$A$1:$L$890,COLUMN(HeadJournal!H$1),0),0)</f>
        <v>0</v>
      </c>
      <c r="P5950" s="30">
        <f>IFERROR(SUM(K5950:O5950)*VLOOKUP($A5950,HeadJournal!$A$1:$L$890,COLUMN(HeadJournal!H$1),0),0)</f>
        <v>0</v>
      </c>
      <c r="Q5950" s="29"/>
      <c r="R5950" s="31"/>
      <c r="S5950" s="31"/>
      <c r="T5950" s="95" t="str">
        <f t="shared" si="420"/>
        <v/>
      </c>
      <c r="U5950" s="32">
        <f t="shared" si="447"/>
        <v>0</v>
      </c>
      <c r="V5950" s="22" t="str">
        <f t="shared" si="448"/>
        <v/>
      </c>
      <c r="X5950" s="33"/>
      <c r="Y5950" s="33"/>
    </row>
    <row r="5951" spans="1:25" x14ac:dyDescent="0.2">
      <c r="A5951" s="93"/>
      <c r="B5951" s="94" t="str">
        <f>IFERROR(VLOOKUP($A5951,HeadJournal!$A$1:$NTR$890,COLUMN(HeadJournal!B$1),0),"")</f>
        <v/>
      </c>
      <c r="C5951" s="94" t="str">
        <f>IFERROR(VLOOKUP($A5951,HeadJournal!$A$1:$NTR$890,COLUMN(HeadJournal!C$1),0),"")</f>
        <v/>
      </c>
      <c r="D5951" s="125" t="str">
        <f>IFERROR(VLOOKUP($A5951,HeadJournal!$A$1:$NTR$890,COLUMN(HeadJournal!D$1),0),"")</f>
        <v/>
      </c>
      <c r="E5951" s="95" t="str">
        <f>IFERROR(VLOOKUP($A5951,HeadJournal!$A$1:$NTR$890,COLUMN(HeadJournal!G$1),0),"")</f>
        <v/>
      </c>
      <c r="F5951" s="95" t="str">
        <f t="shared" si="419"/>
        <v/>
      </c>
      <c r="G5951" s="97"/>
      <c r="H5951" s="161"/>
      <c r="I5951" s="97"/>
      <c r="J5951" s="97"/>
      <c r="K5951" s="29"/>
      <c r="L5951" s="29"/>
      <c r="M5951" s="30">
        <f>IFERROR(VLOOKUP($A5951,HeadJournal!$A$1:$J$890,COLUMN(HeadJournal!I$1),0)*($K5951+$L5951)/(SUMIF($A:$A,$A5951,$K:$K)+SUMIF($A:$A,$A5951,$L:$L)),0)</f>
        <v>0</v>
      </c>
      <c r="N5951" s="30">
        <f>IFERROR((VLOOKUP($A5951,HeadJournal!$A$1:$K$890,COLUMN(HeadJournal!K$1),0)-VLOOKUP($A5951,HeadJournal!$A$1:$K$890,COLUMN(HeadJournal!J$1),0))*($K5951+$L5951)/(SUMIF($A:$A,$A5951,$K:$K)+SUMIF($A:$A,$A5951,$L:$L)),0)</f>
        <v>0</v>
      </c>
      <c r="O5951" s="30">
        <f>IFERROR((VLOOKUP($A5951,HeadJournal!$A$1:$L$890,COLUMN(HeadJournal!L$1),0)*($K5951+$L5951)/(SUMIF($A:$A,$A5951,$K:$K)+SUMIF($A:$A,$A5951,$L:$L)))/VLOOKUP($A5951,HeadJournal!$A$1:$L$890,COLUMN(HeadJournal!H$1),0),0)</f>
        <v>0</v>
      </c>
      <c r="P5951" s="30">
        <f>IFERROR(SUM(K5951:O5951)*VLOOKUP($A5951,HeadJournal!$A$1:$L$890,COLUMN(HeadJournal!H$1),0),0)</f>
        <v>0</v>
      </c>
      <c r="Q5951" s="29"/>
      <c r="R5951" s="31"/>
      <c r="S5951" s="31"/>
      <c r="T5951" s="95" t="str">
        <f t="shared" si="420"/>
        <v/>
      </c>
      <c r="U5951" s="32">
        <f t="shared" si="447"/>
        <v>0</v>
      </c>
      <c r="V5951" s="22" t="str">
        <f t="shared" si="448"/>
        <v/>
      </c>
      <c r="X5951" s="33"/>
      <c r="Y5951" s="33"/>
    </row>
    <row r="5952" spans="1:25" x14ac:dyDescent="0.2">
      <c r="A5952" s="93"/>
      <c r="B5952" s="94" t="str">
        <f>IFERROR(VLOOKUP($A5952,HeadJournal!$A$1:$NTR$890,COLUMN(HeadJournal!B$1),0),"")</f>
        <v/>
      </c>
      <c r="C5952" s="94" t="str">
        <f>IFERROR(VLOOKUP($A5952,HeadJournal!$A$1:$NTR$890,COLUMN(HeadJournal!C$1),0),"")</f>
        <v/>
      </c>
      <c r="D5952" s="125" t="str">
        <f>IFERROR(VLOOKUP($A5952,HeadJournal!$A$1:$NTR$890,COLUMN(HeadJournal!D$1),0),"")</f>
        <v/>
      </c>
      <c r="E5952" s="95" t="str">
        <f>IFERROR(VLOOKUP($A5952,HeadJournal!$A$1:$NTR$890,COLUMN(HeadJournal!G$1),0),"")</f>
        <v/>
      </c>
      <c r="F5952" s="95" t="str">
        <f t="shared" si="419"/>
        <v/>
      </c>
      <c r="G5952" s="97"/>
      <c r="H5952" s="161"/>
      <c r="I5952" s="97"/>
      <c r="J5952" s="97"/>
      <c r="K5952" s="29"/>
      <c r="L5952" s="29"/>
      <c r="M5952" s="30">
        <f>IFERROR(VLOOKUP($A5952,HeadJournal!$A$1:$J$890,COLUMN(HeadJournal!I$1),0)*($K5952+$L5952)/(SUMIF($A:$A,$A5952,$K:$K)+SUMIF($A:$A,$A5952,$L:$L)),0)</f>
        <v>0</v>
      </c>
      <c r="N5952" s="30">
        <f>IFERROR((VLOOKUP($A5952,HeadJournal!$A$1:$K$890,COLUMN(HeadJournal!K$1),0)-VLOOKUP($A5952,HeadJournal!$A$1:$K$890,COLUMN(HeadJournal!J$1),0))*($K5952+$L5952)/(SUMIF($A:$A,$A5952,$K:$K)+SUMIF($A:$A,$A5952,$L:$L)),0)</f>
        <v>0</v>
      </c>
      <c r="O5952" s="30">
        <f>IFERROR((VLOOKUP($A5952,HeadJournal!$A$1:$L$890,COLUMN(HeadJournal!L$1),0)*($K5952+$L5952)/(SUMIF($A:$A,$A5952,$K:$K)+SUMIF($A:$A,$A5952,$L:$L)))/VLOOKUP($A5952,HeadJournal!$A$1:$L$890,COLUMN(HeadJournal!H$1),0),0)</f>
        <v>0</v>
      </c>
      <c r="P5952" s="30">
        <f>IFERROR(SUM(K5952:O5952)*VLOOKUP($A5952,HeadJournal!$A$1:$L$890,COLUMN(HeadJournal!H$1),0),0)</f>
        <v>0</v>
      </c>
      <c r="Q5952" s="29"/>
      <c r="R5952" s="31"/>
      <c r="S5952" s="31"/>
      <c r="T5952" s="95" t="str">
        <f t="shared" si="420"/>
        <v/>
      </c>
      <c r="U5952" s="32">
        <f t="shared" si="447"/>
        <v>0</v>
      </c>
      <c r="V5952" s="22" t="str">
        <f t="shared" si="448"/>
        <v/>
      </c>
      <c r="X5952" s="33"/>
      <c r="Y5952" s="33"/>
    </row>
    <row r="5953" spans="1:25" x14ac:dyDescent="0.2">
      <c r="A5953" s="93"/>
      <c r="B5953" s="94" t="str">
        <f>IFERROR(VLOOKUP($A5953,HeadJournal!$A$1:$NTR$890,COLUMN(HeadJournal!B$1),0),"")</f>
        <v/>
      </c>
      <c r="C5953" s="94" t="str">
        <f>IFERROR(VLOOKUP($A5953,HeadJournal!$A$1:$NTR$890,COLUMN(HeadJournal!C$1),0),"")</f>
        <v/>
      </c>
      <c r="D5953" s="125" t="str">
        <f>IFERROR(VLOOKUP($A5953,HeadJournal!$A$1:$NTR$890,COLUMN(HeadJournal!D$1),0),"")</f>
        <v/>
      </c>
      <c r="E5953" s="95" t="str">
        <f>IFERROR(VLOOKUP($A5953,HeadJournal!$A$1:$NTR$890,COLUMN(HeadJournal!G$1),0),"")</f>
        <v/>
      </c>
      <c r="F5953" s="95" t="str">
        <f t="shared" si="419"/>
        <v/>
      </c>
      <c r="G5953" s="97"/>
      <c r="H5953" s="161"/>
      <c r="I5953" s="97"/>
      <c r="J5953" s="97"/>
      <c r="K5953" s="29"/>
      <c r="L5953" s="29"/>
      <c r="M5953" s="30">
        <f>IFERROR(VLOOKUP($A5953,HeadJournal!$A$1:$J$890,COLUMN(HeadJournal!I$1),0)*($K5953+$L5953)/(SUMIF($A:$A,$A5953,$K:$K)+SUMIF($A:$A,$A5953,$L:$L)),0)</f>
        <v>0</v>
      </c>
      <c r="N5953" s="30">
        <f>IFERROR((VLOOKUP($A5953,HeadJournal!$A$1:$K$890,COLUMN(HeadJournal!K$1),0)-VLOOKUP($A5953,HeadJournal!$A$1:$K$890,COLUMN(HeadJournal!J$1),0))*($K5953+$L5953)/(SUMIF($A:$A,$A5953,$K:$K)+SUMIF($A:$A,$A5953,$L:$L)),0)</f>
        <v>0</v>
      </c>
      <c r="O5953" s="30">
        <f>IFERROR((VLOOKUP($A5953,HeadJournal!$A$1:$L$890,COLUMN(HeadJournal!L$1),0)*($K5953+$L5953)/(SUMIF($A:$A,$A5953,$K:$K)+SUMIF($A:$A,$A5953,$L:$L)))/VLOOKUP($A5953,HeadJournal!$A$1:$L$890,COLUMN(HeadJournal!H$1),0),0)</f>
        <v>0</v>
      </c>
      <c r="P5953" s="30">
        <f>IFERROR(SUM(K5953:O5953)*VLOOKUP($A5953,HeadJournal!$A$1:$L$890,COLUMN(HeadJournal!H$1),0),0)</f>
        <v>0</v>
      </c>
      <c r="Q5953" s="29"/>
      <c r="R5953" s="31"/>
      <c r="S5953" s="31"/>
      <c r="T5953" s="95" t="str">
        <f t="shared" si="420"/>
        <v/>
      </c>
      <c r="U5953" s="32">
        <f t="shared" si="447"/>
        <v>0</v>
      </c>
      <c r="V5953" s="22" t="str">
        <f t="shared" si="448"/>
        <v/>
      </c>
      <c r="X5953" s="33"/>
      <c r="Y5953" s="33"/>
    </row>
    <row r="5954" spans="1:25" x14ac:dyDescent="0.2">
      <c r="A5954" s="93"/>
      <c r="B5954" s="94" t="str">
        <f>IFERROR(VLOOKUP($A5954,HeadJournal!$A$1:$NTR$890,COLUMN(HeadJournal!B$1),0),"")</f>
        <v/>
      </c>
      <c r="C5954" s="94" t="str">
        <f>IFERROR(VLOOKUP($A5954,HeadJournal!$A$1:$NTR$890,COLUMN(HeadJournal!C$1),0),"")</f>
        <v/>
      </c>
      <c r="D5954" s="125" t="str">
        <f>IFERROR(VLOOKUP($A5954,HeadJournal!$A$1:$NTR$890,COLUMN(HeadJournal!D$1),0),"")</f>
        <v/>
      </c>
      <c r="E5954" s="95" t="str">
        <f>IFERROR(VLOOKUP($A5954,HeadJournal!$A$1:$NTR$890,COLUMN(HeadJournal!G$1),0),"")</f>
        <v/>
      </c>
      <c r="F5954" s="95" t="str">
        <f t="shared" si="419"/>
        <v/>
      </c>
      <c r="G5954" s="97"/>
      <c r="H5954" s="161"/>
      <c r="I5954" s="97"/>
      <c r="J5954" s="97"/>
      <c r="K5954" s="29"/>
      <c r="L5954" s="29"/>
      <c r="M5954" s="30">
        <f>IFERROR(VLOOKUP($A5954,HeadJournal!$A$1:$J$890,COLUMN(HeadJournal!I$1),0)*($K5954+$L5954)/(SUMIF($A:$A,$A5954,$K:$K)+SUMIF($A:$A,$A5954,$L:$L)),0)</f>
        <v>0</v>
      </c>
      <c r="N5954" s="30">
        <f>IFERROR((VLOOKUP($A5954,HeadJournal!$A$1:$K$890,COLUMN(HeadJournal!K$1),0)-VLOOKUP($A5954,HeadJournal!$A$1:$K$890,COLUMN(HeadJournal!J$1),0))*($K5954+$L5954)/(SUMIF($A:$A,$A5954,$K:$K)+SUMIF($A:$A,$A5954,$L:$L)),0)</f>
        <v>0</v>
      </c>
      <c r="O5954" s="30">
        <f>IFERROR((VLOOKUP($A5954,HeadJournal!$A$1:$L$890,COLUMN(HeadJournal!L$1),0)*($K5954+$L5954)/(SUMIF($A:$A,$A5954,$K:$K)+SUMIF($A:$A,$A5954,$L:$L)))/VLOOKUP($A5954,HeadJournal!$A$1:$L$890,COLUMN(HeadJournal!H$1),0),0)</f>
        <v>0</v>
      </c>
      <c r="P5954" s="30">
        <f>IFERROR(SUM(K5954:O5954)*VLOOKUP($A5954,HeadJournal!$A$1:$L$890,COLUMN(HeadJournal!H$1),0),0)</f>
        <v>0</v>
      </c>
      <c r="Q5954" s="29"/>
      <c r="R5954" s="31"/>
      <c r="S5954" s="31"/>
      <c r="T5954" s="95" t="str">
        <f t="shared" si="420"/>
        <v/>
      </c>
      <c r="U5954" s="32">
        <f t="shared" si="447"/>
        <v>0</v>
      </c>
      <c r="V5954" s="22" t="str">
        <f t="shared" si="448"/>
        <v/>
      </c>
      <c r="X5954" s="33"/>
      <c r="Y5954" s="33"/>
    </row>
    <row r="5955" spans="1:25" x14ac:dyDescent="0.2">
      <c r="A5955" s="93"/>
      <c r="B5955" s="94" t="str">
        <f>IFERROR(VLOOKUP($A5955,HeadJournal!$A$1:$NTR$890,COLUMN(HeadJournal!B$1),0),"")</f>
        <v/>
      </c>
      <c r="C5955" s="94" t="str">
        <f>IFERROR(VLOOKUP($A5955,HeadJournal!$A$1:$NTR$890,COLUMN(HeadJournal!C$1),0),"")</f>
        <v/>
      </c>
      <c r="D5955" s="125" t="str">
        <f>IFERROR(VLOOKUP($A5955,HeadJournal!$A$1:$NTR$890,COLUMN(HeadJournal!D$1),0),"")</f>
        <v/>
      </c>
      <c r="E5955" s="95" t="str">
        <f>IFERROR(VLOOKUP($A5955,HeadJournal!$A$1:$NTR$890,COLUMN(HeadJournal!G$1),0),"")</f>
        <v/>
      </c>
      <c r="F5955" s="95" t="str">
        <f t="shared" si="419"/>
        <v/>
      </c>
      <c r="G5955" s="97"/>
      <c r="H5955" s="161"/>
      <c r="I5955" s="97"/>
      <c r="J5955" s="97"/>
      <c r="K5955" s="29"/>
      <c r="L5955" s="29"/>
      <c r="M5955" s="30">
        <f>IFERROR(VLOOKUP($A5955,HeadJournal!$A$1:$J$890,COLUMN(HeadJournal!I$1),0)*($K5955+$L5955)/(SUMIF($A:$A,$A5955,$K:$K)+SUMIF($A:$A,$A5955,$L:$L)),0)</f>
        <v>0</v>
      </c>
      <c r="N5955" s="30">
        <f>IFERROR((VLOOKUP($A5955,HeadJournal!$A$1:$K$890,COLUMN(HeadJournal!K$1),0)-VLOOKUP($A5955,HeadJournal!$A$1:$K$890,COLUMN(HeadJournal!J$1),0))*($K5955+$L5955)/(SUMIF($A:$A,$A5955,$K:$K)+SUMIF($A:$A,$A5955,$L:$L)),0)</f>
        <v>0</v>
      </c>
      <c r="O5955" s="30">
        <f>IFERROR((VLOOKUP($A5955,HeadJournal!$A$1:$L$890,COLUMN(HeadJournal!L$1),0)*($K5955+$L5955)/(SUMIF($A:$A,$A5955,$K:$K)+SUMIF($A:$A,$A5955,$L:$L)))/VLOOKUP($A5955,HeadJournal!$A$1:$L$890,COLUMN(HeadJournal!H$1),0),0)</f>
        <v>0</v>
      </c>
      <c r="P5955" s="30">
        <f>IFERROR(SUM(K5955:O5955)*VLOOKUP($A5955,HeadJournal!$A$1:$L$890,COLUMN(HeadJournal!H$1),0),0)</f>
        <v>0</v>
      </c>
      <c r="Q5955" s="29"/>
      <c r="R5955" s="31"/>
      <c r="S5955" s="31"/>
      <c r="T5955" s="95" t="str">
        <f t="shared" si="420"/>
        <v/>
      </c>
      <c r="U5955" s="32">
        <f t="shared" si="447"/>
        <v>0</v>
      </c>
      <c r="V5955" s="22" t="str">
        <f t="shared" si="448"/>
        <v/>
      </c>
      <c r="X5955" s="33"/>
      <c r="Y5955" s="33"/>
    </row>
    <row r="5956" spans="1:25" x14ac:dyDescent="0.2">
      <c r="A5956" s="93"/>
      <c r="B5956" s="94" t="str">
        <f>IFERROR(VLOOKUP($A5956,HeadJournal!$A$1:$NTR$890,COLUMN(HeadJournal!B$1),0),"")</f>
        <v/>
      </c>
      <c r="C5956" s="94" t="str">
        <f>IFERROR(VLOOKUP($A5956,HeadJournal!$A$1:$NTR$890,COLUMN(HeadJournal!C$1),0),"")</f>
        <v/>
      </c>
      <c r="D5956" s="125" t="str">
        <f>IFERROR(VLOOKUP($A5956,HeadJournal!$A$1:$NTR$890,COLUMN(HeadJournal!D$1),0),"")</f>
        <v/>
      </c>
      <c r="E5956" s="95" t="str">
        <f>IFERROR(VLOOKUP($A5956,HeadJournal!$A$1:$NTR$890,COLUMN(HeadJournal!G$1),0),"")</f>
        <v/>
      </c>
      <c r="F5956" s="95" t="str">
        <f t="shared" si="419"/>
        <v/>
      </c>
      <c r="G5956" s="97"/>
      <c r="H5956" s="161"/>
      <c r="I5956" s="97"/>
      <c r="J5956" s="97"/>
      <c r="K5956" s="29"/>
      <c r="L5956" s="29"/>
      <c r="M5956" s="30">
        <f>IFERROR(VLOOKUP($A5956,HeadJournal!$A$1:$J$890,COLUMN(HeadJournal!I$1),0)*($K5956+$L5956)/(SUMIF($A:$A,$A5956,$K:$K)+SUMIF($A:$A,$A5956,$L:$L)),0)</f>
        <v>0</v>
      </c>
      <c r="N5956" s="30">
        <f>IFERROR((VLOOKUP($A5956,HeadJournal!$A$1:$K$890,COLUMN(HeadJournal!K$1),0)-VLOOKUP($A5956,HeadJournal!$A$1:$K$890,COLUMN(HeadJournal!J$1),0))*($K5956+$L5956)/(SUMIF($A:$A,$A5956,$K:$K)+SUMIF($A:$A,$A5956,$L:$L)),0)</f>
        <v>0</v>
      </c>
      <c r="O5956" s="30">
        <f>IFERROR((VLOOKUP($A5956,HeadJournal!$A$1:$L$890,COLUMN(HeadJournal!L$1),0)*($K5956+$L5956)/(SUMIF($A:$A,$A5956,$K:$K)+SUMIF($A:$A,$A5956,$L:$L)))/VLOOKUP($A5956,HeadJournal!$A$1:$L$890,COLUMN(HeadJournal!H$1),0),0)</f>
        <v>0</v>
      </c>
      <c r="P5956" s="30">
        <f>IFERROR(SUM(K5956:O5956)*VLOOKUP($A5956,HeadJournal!$A$1:$L$890,COLUMN(HeadJournal!H$1),0),0)</f>
        <v>0</v>
      </c>
      <c r="Q5956" s="29"/>
      <c r="R5956" s="31"/>
      <c r="S5956" s="31"/>
      <c r="T5956" s="95" t="str">
        <f t="shared" si="420"/>
        <v/>
      </c>
      <c r="U5956" s="32">
        <f t="shared" si="447"/>
        <v>0</v>
      </c>
      <c r="V5956" s="22" t="str">
        <f t="shared" si="448"/>
        <v/>
      </c>
      <c r="X5956" s="33"/>
      <c r="Y5956" s="33"/>
    </row>
    <row r="5957" spans="1:25" x14ac:dyDescent="0.2">
      <c r="A5957" s="93"/>
      <c r="B5957" s="94" t="str">
        <f>IFERROR(VLOOKUP($A5957,HeadJournal!$A$1:$NTR$890,COLUMN(HeadJournal!B$1),0),"")</f>
        <v/>
      </c>
      <c r="C5957" s="94" t="str">
        <f>IFERROR(VLOOKUP($A5957,HeadJournal!$A$1:$NTR$890,COLUMN(HeadJournal!C$1),0),"")</f>
        <v/>
      </c>
      <c r="D5957" s="125" t="str">
        <f>IFERROR(VLOOKUP($A5957,HeadJournal!$A$1:$NTR$890,COLUMN(HeadJournal!D$1),0),"")</f>
        <v/>
      </c>
      <c r="E5957" s="95" t="str">
        <f>IFERROR(VLOOKUP($A5957,HeadJournal!$A$1:$NTR$890,COLUMN(HeadJournal!G$1),0),"")</f>
        <v/>
      </c>
      <c r="F5957" s="95" t="str">
        <f t="shared" si="419"/>
        <v/>
      </c>
      <c r="G5957" s="97"/>
      <c r="H5957" s="161"/>
      <c r="I5957" s="97"/>
      <c r="J5957" s="97"/>
      <c r="K5957" s="29"/>
      <c r="L5957" s="29"/>
      <c r="M5957" s="30">
        <f>IFERROR(VLOOKUP($A5957,HeadJournal!$A$1:$J$890,COLUMN(HeadJournal!I$1),0)*($K5957+$L5957)/(SUMIF($A:$A,$A5957,$K:$K)+SUMIF($A:$A,$A5957,$L:$L)),0)</f>
        <v>0</v>
      </c>
      <c r="N5957" s="30">
        <f>IFERROR((VLOOKUP($A5957,HeadJournal!$A$1:$K$890,COLUMN(HeadJournal!K$1),0)-VLOOKUP($A5957,HeadJournal!$A$1:$K$890,COLUMN(HeadJournal!J$1),0))*($K5957+$L5957)/(SUMIF($A:$A,$A5957,$K:$K)+SUMIF($A:$A,$A5957,$L:$L)),0)</f>
        <v>0</v>
      </c>
      <c r="O5957" s="30">
        <f>IFERROR((VLOOKUP($A5957,HeadJournal!$A$1:$L$890,COLUMN(HeadJournal!L$1),0)*($K5957+$L5957)/(SUMIF($A:$A,$A5957,$K:$K)+SUMIF($A:$A,$A5957,$L:$L)))/VLOOKUP($A5957,HeadJournal!$A$1:$L$890,COLUMN(HeadJournal!H$1),0),0)</f>
        <v>0</v>
      </c>
      <c r="P5957" s="30">
        <f>IFERROR(SUM(K5957:O5957)*VLOOKUP($A5957,HeadJournal!$A$1:$L$890,COLUMN(HeadJournal!H$1),0),0)</f>
        <v>0</v>
      </c>
      <c r="Q5957" s="29"/>
      <c r="R5957" s="31"/>
      <c r="S5957" s="31"/>
      <c r="T5957" s="95" t="str">
        <f t="shared" si="420"/>
        <v/>
      </c>
      <c r="U5957" s="32">
        <f t="shared" si="447"/>
        <v>0</v>
      </c>
      <c r="V5957" s="22" t="str">
        <f t="shared" si="448"/>
        <v/>
      </c>
      <c r="X5957" s="33"/>
      <c r="Y5957" s="33"/>
    </row>
    <row r="5958" spans="1:25" x14ac:dyDescent="0.2">
      <c r="A5958" s="93"/>
      <c r="B5958" s="94" t="str">
        <f>IFERROR(VLOOKUP($A5958,HeadJournal!$A$1:$NTR$890,COLUMN(HeadJournal!B$1),0),"")</f>
        <v/>
      </c>
      <c r="C5958" s="94" t="str">
        <f>IFERROR(VLOOKUP($A5958,HeadJournal!$A$1:$NTR$890,COLUMN(HeadJournal!C$1),0),"")</f>
        <v/>
      </c>
      <c r="D5958" s="125" t="str">
        <f>IFERROR(VLOOKUP($A5958,HeadJournal!$A$1:$NTR$890,COLUMN(HeadJournal!D$1),0),"")</f>
        <v/>
      </c>
      <c r="E5958" s="95" t="str">
        <f>IFERROR(VLOOKUP($A5958,HeadJournal!$A$1:$NTR$890,COLUMN(HeadJournal!G$1),0),"")</f>
        <v/>
      </c>
      <c r="F5958" s="95" t="str">
        <f t="shared" si="419"/>
        <v/>
      </c>
      <c r="G5958" s="97"/>
      <c r="H5958" s="161"/>
      <c r="I5958" s="97"/>
      <c r="J5958" s="97"/>
      <c r="K5958" s="29"/>
      <c r="L5958" s="29"/>
      <c r="M5958" s="30">
        <f>IFERROR(VLOOKUP($A5958,HeadJournal!$A$1:$J$890,COLUMN(HeadJournal!I$1),0)*($K5958+$L5958)/(SUMIF($A:$A,$A5958,$K:$K)+SUMIF($A:$A,$A5958,$L:$L)),0)</f>
        <v>0</v>
      </c>
      <c r="N5958" s="30">
        <f>IFERROR((VLOOKUP($A5958,HeadJournal!$A$1:$K$890,COLUMN(HeadJournal!K$1),0)-VLOOKUP($A5958,HeadJournal!$A$1:$K$890,COLUMN(HeadJournal!J$1),0))*($K5958+$L5958)/(SUMIF($A:$A,$A5958,$K:$K)+SUMIF($A:$A,$A5958,$L:$L)),0)</f>
        <v>0</v>
      </c>
      <c r="O5958" s="30">
        <f>IFERROR((VLOOKUP($A5958,HeadJournal!$A$1:$L$890,COLUMN(HeadJournal!L$1),0)*($K5958+$L5958)/(SUMIF($A:$A,$A5958,$K:$K)+SUMIF($A:$A,$A5958,$L:$L)))/VLOOKUP($A5958,HeadJournal!$A$1:$L$890,COLUMN(HeadJournal!H$1),0),0)</f>
        <v>0</v>
      </c>
      <c r="P5958" s="30">
        <f>IFERROR(SUM(K5958:O5958)*VLOOKUP($A5958,HeadJournal!$A$1:$L$890,COLUMN(HeadJournal!H$1),0),0)</f>
        <v>0</v>
      </c>
      <c r="Q5958" s="29"/>
      <c r="R5958" s="31"/>
      <c r="S5958" s="31"/>
      <c r="T5958" s="95" t="str">
        <f t="shared" si="420"/>
        <v/>
      </c>
      <c r="U5958" s="32">
        <f t="shared" si="447"/>
        <v>0</v>
      </c>
      <c r="V5958" s="22" t="str">
        <f t="shared" si="448"/>
        <v/>
      </c>
      <c r="X5958" s="33"/>
      <c r="Y5958" s="33"/>
    </row>
    <row r="5959" spans="1:25" x14ac:dyDescent="0.2">
      <c r="A5959" s="93"/>
      <c r="B5959" s="94" t="str">
        <f>IFERROR(VLOOKUP($A5959,HeadJournal!$A$1:$NTR$890,COLUMN(HeadJournal!B$1),0),"")</f>
        <v/>
      </c>
      <c r="C5959" s="94" t="str">
        <f>IFERROR(VLOOKUP($A5959,HeadJournal!$A$1:$NTR$890,COLUMN(HeadJournal!C$1),0),"")</f>
        <v/>
      </c>
      <c r="D5959" s="125" t="str">
        <f>IFERROR(VLOOKUP($A5959,HeadJournal!$A$1:$NTR$890,COLUMN(HeadJournal!D$1),0),"")</f>
        <v/>
      </c>
      <c r="E5959" s="95" t="str">
        <f>IFERROR(VLOOKUP($A5959,HeadJournal!$A$1:$NTR$890,COLUMN(HeadJournal!G$1),0),"")</f>
        <v/>
      </c>
      <c r="F5959" s="95" t="str">
        <f t="shared" si="419"/>
        <v/>
      </c>
      <c r="G5959" s="97"/>
      <c r="H5959" s="161"/>
      <c r="I5959" s="97"/>
      <c r="J5959" s="97"/>
      <c r="K5959" s="29"/>
      <c r="L5959" s="29"/>
      <c r="M5959" s="30">
        <f>IFERROR(VLOOKUP($A5959,HeadJournal!$A$1:$J$890,COLUMN(HeadJournal!I$1),0)*($K5959+$L5959)/(SUMIF($A:$A,$A5959,$K:$K)+SUMIF($A:$A,$A5959,$L:$L)),0)</f>
        <v>0</v>
      </c>
      <c r="N5959" s="30">
        <f>IFERROR((VLOOKUP($A5959,HeadJournal!$A$1:$K$890,COLUMN(HeadJournal!K$1),0)-VLOOKUP($A5959,HeadJournal!$A$1:$K$890,COLUMN(HeadJournal!J$1),0))*($K5959+$L5959)/(SUMIF($A:$A,$A5959,$K:$K)+SUMIF($A:$A,$A5959,$L:$L)),0)</f>
        <v>0</v>
      </c>
      <c r="O5959" s="30">
        <f>IFERROR((VLOOKUP($A5959,HeadJournal!$A$1:$L$890,COLUMN(HeadJournal!L$1),0)*($K5959+$L5959)/(SUMIF($A:$A,$A5959,$K:$K)+SUMIF($A:$A,$A5959,$L:$L)))/VLOOKUP($A5959,HeadJournal!$A$1:$L$890,COLUMN(HeadJournal!H$1),0),0)</f>
        <v>0</v>
      </c>
      <c r="P5959" s="30">
        <f>IFERROR(SUM(K5959:O5959)*VLOOKUP($A5959,HeadJournal!$A$1:$L$890,COLUMN(HeadJournal!H$1),0),0)</f>
        <v>0</v>
      </c>
      <c r="Q5959" s="29"/>
      <c r="R5959" s="31"/>
      <c r="S5959" s="31"/>
      <c r="T5959" s="95" t="str">
        <f t="shared" si="420"/>
        <v/>
      </c>
      <c r="U5959" s="32">
        <f t="shared" si="447"/>
        <v>0</v>
      </c>
      <c r="V5959" s="22" t="str">
        <f t="shared" si="448"/>
        <v/>
      </c>
      <c r="X5959" s="33"/>
      <c r="Y5959" s="33"/>
    </row>
    <row r="5960" spans="1:25" x14ac:dyDescent="0.2">
      <c r="A5960" s="93"/>
      <c r="B5960" s="94" t="str">
        <f>IFERROR(VLOOKUP($A5960,HeadJournal!$A$1:$NTR$890,COLUMN(HeadJournal!B$1),0),"")</f>
        <v/>
      </c>
      <c r="C5960" s="94" t="str">
        <f>IFERROR(VLOOKUP($A5960,HeadJournal!$A$1:$NTR$890,COLUMN(HeadJournal!C$1),0),"")</f>
        <v/>
      </c>
      <c r="D5960" s="125" t="str">
        <f>IFERROR(VLOOKUP($A5960,HeadJournal!$A$1:$NTR$890,COLUMN(HeadJournal!D$1),0),"")</f>
        <v/>
      </c>
      <c r="E5960" s="95" t="str">
        <f>IFERROR(VLOOKUP($A5960,HeadJournal!$A$1:$NTR$890,COLUMN(HeadJournal!G$1),0),"")</f>
        <v/>
      </c>
      <c r="F5960" s="95" t="str">
        <f t="shared" si="419"/>
        <v/>
      </c>
      <c r="G5960" s="97"/>
      <c r="H5960" s="161"/>
      <c r="I5960" s="97"/>
      <c r="J5960" s="97"/>
      <c r="K5960" s="29"/>
      <c r="L5960" s="29"/>
      <c r="M5960" s="30">
        <f>IFERROR(VLOOKUP($A5960,HeadJournal!$A$1:$J$890,COLUMN(HeadJournal!I$1),0)*($K5960+$L5960)/(SUMIF($A:$A,$A5960,$K:$K)+SUMIF($A:$A,$A5960,$L:$L)),0)</f>
        <v>0</v>
      </c>
      <c r="N5960" s="30">
        <f>IFERROR((VLOOKUP($A5960,HeadJournal!$A$1:$K$890,COLUMN(HeadJournal!K$1),0)-VLOOKUP($A5960,HeadJournal!$A$1:$K$890,COLUMN(HeadJournal!J$1),0))*($K5960+$L5960)/(SUMIF($A:$A,$A5960,$K:$K)+SUMIF($A:$A,$A5960,$L:$L)),0)</f>
        <v>0</v>
      </c>
      <c r="O5960" s="30">
        <f>IFERROR((VLOOKUP($A5960,HeadJournal!$A$1:$L$890,COLUMN(HeadJournal!L$1),0)*($K5960+$L5960)/(SUMIF($A:$A,$A5960,$K:$K)+SUMIF($A:$A,$A5960,$L:$L)))/VLOOKUP($A5960,HeadJournal!$A$1:$L$890,COLUMN(HeadJournal!H$1),0),0)</f>
        <v>0</v>
      </c>
      <c r="P5960" s="30">
        <f>IFERROR(SUM(K5960:O5960)*VLOOKUP($A5960,HeadJournal!$A$1:$L$890,COLUMN(HeadJournal!H$1),0),0)</f>
        <v>0</v>
      </c>
      <c r="Q5960" s="29"/>
      <c r="R5960" s="31"/>
      <c r="S5960" s="31"/>
      <c r="T5960" s="95" t="str">
        <f t="shared" si="420"/>
        <v/>
      </c>
      <c r="U5960" s="32">
        <f t="shared" si="447"/>
        <v>0</v>
      </c>
      <c r="V5960" s="22" t="str">
        <f t="shared" si="448"/>
        <v/>
      </c>
      <c r="X5960" s="33"/>
      <c r="Y5960" s="33"/>
    </row>
    <row r="5961" spans="1:25" x14ac:dyDescent="0.2">
      <c r="A5961" s="93"/>
      <c r="B5961" s="94" t="str">
        <f>IFERROR(VLOOKUP($A5961,HeadJournal!$A$1:$NTR$890,COLUMN(HeadJournal!B$1),0),"")</f>
        <v/>
      </c>
      <c r="C5961" s="94" t="str">
        <f>IFERROR(VLOOKUP($A5961,HeadJournal!$A$1:$NTR$890,COLUMN(HeadJournal!C$1),0),"")</f>
        <v/>
      </c>
      <c r="D5961" s="125" t="str">
        <f>IFERROR(VLOOKUP($A5961,HeadJournal!$A$1:$NTR$890,COLUMN(HeadJournal!D$1),0),"")</f>
        <v/>
      </c>
      <c r="E5961" s="95" t="str">
        <f>IFERROR(VLOOKUP($A5961,HeadJournal!$A$1:$NTR$890,COLUMN(HeadJournal!G$1),0),"")</f>
        <v/>
      </c>
      <c r="F5961" s="95" t="str">
        <f t="shared" si="419"/>
        <v/>
      </c>
      <c r="G5961" s="97"/>
      <c r="H5961" s="161"/>
      <c r="I5961" s="97"/>
      <c r="J5961" s="97"/>
      <c r="K5961" s="29"/>
      <c r="L5961" s="29"/>
      <c r="M5961" s="30">
        <f>IFERROR(VLOOKUP($A5961,HeadJournal!$A$1:$J$890,COLUMN(HeadJournal!I$1),0)*($K5961+$L5961)/(SUMIF($A:$A,$A5961,$K:$K)+SUMIF($A:$A,$A5961,$L:$L)),0)</f>
        <v>0</v>
      </c>
      <c r="N5961" s="30">
        <f>IFERROR((VLOOKUP($A5961,HeadJournal!$A$1:$K$890,COLUMN(HeadJournal!K$1),0)-VLOOKUP($A5961,HeadJournal!$A$1:$K$890,COLUMN(HeadJournal!J$1),0))*($K5961+$L5961)/(SUMIF($A:$A,$A5961,$K:$K)+SUMIF($A:$A,$A5961,$L:$L)),0)</f>
        <v>0</v>
      </c>
      <c r="O5961" s="30">
        <f>IFERROR((VLOOKUP($A5961,HeadJournal!$A$1:$L$890,COLUMN(HeadJournal!L$1),0)*($K5961+$L5961)/(SUMIF($A:$A,$A5961,$K:$K)+SUMIF($A:$A,$A5961,$L:$L)))/VLOOKUP($A5961,HeadJournal!$A$1:$L$890,COLUMN(HeadJournal!H$1),0),0)</f>
        <v>0</v>
      </c>
      <c r="P5961" s="30">
        <f>IFERROR(SUM(K5961:O5961)*VLOOKUP($A5961,HeadJournal!$A$1:$L$890,COLUMN(HeadJournal!H$1),0),0)</f>
        <v>0</v>
      </c>
      <c r="Q5961" s="29"/>
      <c r="R5961" s="31"/>
      <c r="S5961" s="31"/>
      <c r="T5961" s="95" t="str">
        <f t="shared" si="420"/>
        <v/>
      </c>
      <c r="U5961" s="32">
        <f t="shared" si="447"/>
        <v>0</v>
      </c>
      <c r="V5961" s="22" t="str">
        <f t="shared" si="448"/>
        <v/>
      </c>
      <c r="X5961" s="33"/>
      <c r="Y5961" s="33"/>
    </row>
    <row r="5962" spans="1:25" x14ac:dyDescent="0.2">
      <c r="A5962" s="93"/>
      <c r="B5962" s="94" t="str">
        <f>IFERROR(VLOOKUP($A5962,HeadJournal!$A$1:$NTR$890,COLUMN(HeadJournal!B$1),0),"")</f>
        <v/>
      </c>
      <c r="C5962" s="94" t="str">
        <f>IFERROR(VLOOKUP($A5962,HeadJournal!$A$1:$NTR$890,COLUMN(HeadJournal!C$1),0),"")</f>
        <v/>
      </c>
      <c r="D5962" s="125" t="str">
        <f>IFERROR(VLOOKUP($A5962,HeadJournal!$A$1:$NTR$890,COLUMN(HeadJournal!D$1),0),"")</f>
        <v/>
      </c>
      <c r="E5962" s="95" t="str">
        <f>IFERROR(VLOOKUP($A5962,HeadJournal!$A$1:$NTR$890,COLUMN(HeadJournal!G$1),0),"")</f>
        <v/>
      </c>
      <c r="F5962" s="95" t="str">
        <f t="shared" si="419"/>
        <v/>
      </c>
      <c r="G5962" s="97"/>
      <c r="H5962" s="161"/>
      <c r="I5962" s="97"/>
      <c r="J5962" s="97"/>
      <c r="K5962" s="29"/>
      <c r="L5962" s="29"/>
      <c r="M5962" s="30">
        <f>IFERROR(VLOOKUP($A5962,HeadJournal!$A$1:$J$890,COLUMN(HeadJournal!I$1),0)*($K5962+$L5962)/(SUMIF($A:$A,$A5962,$K:$K)+SUMIF($A:$A,$A5962,$L:$L)),0)</f>
        <v>0</v>
      </c>
      <c r="N5962" s="30">
        <f>IFERROR((VLOOKUP($A5962,HeadJournal!$A$1:$K$890,COLUMN(HeadJournal!K$1),0)-VLOOKUP($A5962,HeadJournal!$A$1:$K$890,COLUMN(HeadJournal!J$1),0))*($K5962+$L5962)/(SUMIF($A:$A,$A5962,$K:$K)+SUMIF($A:$A,$A5962,$L:$L)),0)</f>
        <v>0</v>
      </c>
      <c r="O5962" s="30">
        <f>IFERROR((VLOOKUP($A5962,HeadJournal!$A$1:$L$890,COLUMN(HeadJournal!L$1),0)*($K5962+$L5962)/(SUMIF($A:$A,$A5962,$K:$K)+SUMIF($A:$A,$A5962,$L:$L)))/VLOOKUP($A5962,HeadJournal!$A$1:$L$890,COLUMN(HeadJournal!H$1),0),0)</f>
        <v>0</v>
      </c>
      <c r="P5962" s="30">
        <f>IFERROR(SUM(K5962:O5962)*VLOOKUP($A5962,HeadJournal!$A$1:$L$890,COLUMN(HeadJournal!H$1),0),0)</f>
        <v>0</v>
      </c>
      <c r="Q5962" s="29"/>
      <c r="R5962" s="31"/>
      <c r="S5962" s="31"/>
      <c r="T5962" s="95" t="str">
        <f t="shared" si="420"/>
        <v/>
      </c>
      <c r="U5962" s="32">
        <f t="shared" si="447"/>
        <v>0</v>
      </c>
      <c r="V5962" s="22" t="str">
        <f t="shared" si="448"/>
        <v/>
      </c>
      <c r="X5962" s="33"/>
      <c r="Y5962" s="33"/>
    </row>
    <row r="5963" spans="1:25" x14ac:dyDescent="0.2">
      <c r="A5963" s="93"/>
      <c r="B5963" s="94" t="str">
        <f>IFERROR(VLOOKUP($A5963,HeadJournal!$A$1:$NTR$890,COLUMN(HeadJournal!B$1),0),"")</f>
        <v/>
      </c>
      <c r="C5963" s="94" t="str">
        <f>IFERROR(VLOOKUP($A5963,HeadJournal!$A$1:$NTR$890,COLUMN(HeadJournal!C$1),0),"")</f>
        <v/>
      </c>
      <c r="D5963" s="125" t="str">
        <f>IFERROR(VLOOKUP($A5963,HeadJournal!$A$1:$NTR$890,COLUMN(HeadJournal!D$1),0),"")</f>
        <v/>
      </c>
      <c r="E5963" s="95" t="str">
        <f>IFERROR(VLOOKUP($A5963,HeadJournal!$A$1:$NTR$890,COLUMN(HeadJournal!G$1),0),"")</f>
        <v/>
      </c>
      <c r="F5963" s="95" t="str">
        <f t="shared" si="419"/>
        <v/>
      </c>
      <c r="G5963" s="97"/>
      <c r="H5963" s="161"/>
      <c r="I5963" s="97"/>
      <c r="J5963" s="97"/>
      <c r="K5963" s="29"/>
      <c r="L5963" s="29"/>
      <c r="M5963" s="30">
        <f>IFERROR(VLOOKUP($A5963,HeadJournal!$A$1:$J$890,COLUMN(HeadJournal!I$1),0)*($K5963+$L5963)/(SUMIF($A:$A,$A5963,$K:$K)+SUMIF($A:$A,$A5963,$L:$L)),0)</f>
        <v>0</v>
      </c>
      <c r="N5963" s="30">
        <f>IFERROR((VLOOKUP($A5963,HeadJournal!$A$1:$K$890,COLUMN(HeadJournal!K$1),0)-VLOOKUP($A5963,HeadJournal!$A$1:$K$890,COLUMN(HeadJournal!J$1),0))*($K5963+$L5963)/(SUMIF($A:$A,$A5963,$K:$K)+SUMIF($A:$A,$A5963,$L:$L)),0)</f>
        <v>0</v>
      </c>
      <c r="O5963" s="30">
        <f>IFERROR((VLOOKUP($A5963,HeadJournal!$A$1:$L$890,COLUMN(HeadJournal!L$1),0)*($K5963+$L5963)/(SUMIF($A:$A,$A5963,$K:$K)+SUMIF($A:$A,$A5963,$L:$L)))/VLOOKUP($A5963,HeadJournal!$A$1:$L$890,COLUMN(HeadJournal!H$1),0),0)</f>
        <v>0</v>
      </c>
      <c r="P5963" s="30">
        <f>IFERROR(SUM(K5963:O5963)*VLOOKUP($A5963,HeadJournal!$A$1:$L$890,COLUMN(HeadJournal!H$1),0),0)</f>
        <v>0</v>
      </c>
      <c r="Q5963" s="29"/>
      <c r="R5963" s="31"/>
      <c r="S5963" s="31"/>
      <c r="T5963" s="95" t="str">
        <f t="shared" si="420"/>
        <v/>
      </c>
      <c r="U5963" s="32">
        <f t="shared" si="447"/>
        <v>0</v>
      </c>
      <c r="V5963" s="22" t="str">
        <f t="shared" si="448"/>
        <v/>
      </c>
      <c r="X5963" s="33"/>
      <c r="Y5963" s="33"/>
    </row>
    <row r="5964" spans="1:25" x14ac:dyDescent="0.2">
      <c r="A5964" s="93"/>
      <c r="B5964" s="94" t="str">
        <f>IFERROR(VLOOKUP($A5964,HeadJournal!$A$1:$NTR$890,COLUMN(HeadJournal!B$1),0),"")</f>
        <v/>
      </c>
      <c r="C5964" s="94" t="str">
        <f>IFERROR(VLOOKUP($A5964,HeadJournal!$A$1:$NTR$890,COLUMN(HeadJournal!C$1),0),"")</f>
        <v/>
      </c>
      <c r="D5964" s="125" t="str">
        <f>IFERROR(VLOOKUP($A5964,HeadJournal!$A$1:$NTR$890,COLUMN(HeadJournal!D$1),0),"")</f>
        <v/>
      </c>
      <c r="E5964" s="95" t="str">
        <f>IFERROR(VLOOKUP($A5964,HeadJournal!$A$1:$NTR$890,COLUMN(HeadJournal!G$1),0),"")</f>
        <v/>
      </c>
      <c r="F5964" s="95" t="str">
        <f t="shared" si="419"/>
        <v/>
      </c>
      <c r="G5964" s="97"/>
      <c r="H5964" s="161"/>
      <c r="I5964" s="97"/>
      <c r="J5964" s="97"/>
      <c r="K5964" s="29"/>
      <c r="L5964" s="29"/>
      <c r="M5964" s="30">
        <f>IFERROR(VLOOKUP($A5964,HeadJournal!$A$1:$J$890,COLUMN(HeadJournal!I$1),0)*($K5964+$L5964)/(SUMIF($A:$A,$A5964,$K:$K)+SUMIF($A:$A,$A5964,$L:$L)),0)</f>
        <v>0</v>
      </c>
      <c r="N5964" s="30">
        <f>IFERROR((VLOOKUP($A5964,HeadJournal!$A$1:$K$890,COLUMN(HeadJournal!K$1),0)-VLOOKUP($A5964,HeadJournal!$A$1:$K$890,COLUMN(HeadJournal!J$1),0))*($K5964+$L5964)/(SUMIF($A:$A,$A5964,$K:$K)+SUMIF($A:$A,$A5964,$L:$L)),0)</f>
        <v>0</v>
      </c>
      <c r="O5964" s="30">
        <f>IFERROR((VLOOKUP($A5964,HeadJournal!$A$1:$L$890,COLUMN(HeadJournal!L$1),0)*($K5964+$L5964)/(SUMIF($A:$A,$A5964,$K:$K)+SUMIF($A:$A,$A5964,$L:$L)))/VLOOKUP($A5964,HeadJournal!$A$1:$L$890,COLUMN(HeadJournal!H$1),0),0)</f>
        <v>0</v>
      </c>
      <c r="P5964" s="30">
        <f>IFERROR(SUM(K5964:O5964)*VLOOKUP($A5964,HeadJournal!$A$1:$L$890,COLUMN(HeadJournal!H$1),0),0)</f>
        <v>0</v>
      </c>
      <c r="Q5964" s="29"/>
      <c r="R5964" s="31"/>
      <c r="S5964" s="31"/>
      <c r="T5964" s="95" t="str">
        <f t="shared" si="420"/>
        <v/>
      </c>
      <c r="U5964" s="32">
        <f t="shared" si="447"/>
        <v>0</v>
      </c>
      <c r="V5964" s="22" t="str">
        <f t="shared" si="448"/>
        <v/>
      </c>
      <c r="X5964" s="33"/>
      <c r="Y5964" s="33"/>
    </row>
    <row r="5965" spans="1:25" x14ac:dyDescent="0.2">
      <c r="A5965" s="93"/>
      <c r="B5965" s="94" t="str">
        <f>IFERROR(VLOOKUP($A5965,HeadJournal!$A$1:$NTR$890,COLUMN(HeadJournal!B$1),0),"")</f>
        <v/>
      </c>
      <c r="C5965" s="94" t="str">
        <f>IFERROR(VLOOKUP($A5965,HeadJournal!$A$1:$NTR$890,COLUMN(HeadJournal!C$1),0),"")</f>
        <v/>
      </c>
      <c r="D5965" s="125" t="str">
        <f>IFERROR(VLOOKUP($A5965,HeadJournal!$A$1:$NTR$890,COLUMN(HeadJournal!D$1),0),"")</f>
        <v/>
      </c>
      <c r="E5965" s="95" t="str">
        <f>IFERROR(VLOOKUP($A5965,HeadJournal!$A$1:$NTR$890,COLUMN(HeadJournal!G$1),0),"")</f>
        <v/>
      </c>
      <c r="F5965" s="95" t="str">
        <f t="shared" si="419"/>
        <v/>
      </c>
      <c r="G5965" s="97"/>
      <c r="H5965" s="161"/>
      <c r="I5965" s="97"/>
      <c r="J5965" s="97"/>
      <c r="K5965" s="29"/>
      <c r="L5965" s="29"/>
      <c r="M5965" s="30">
        <f>IFERROR(VLOOKUP($A5965,HeadJournal!$A$1:$J$890,COLUMN(HeadJournal!I$1),0)*($K5965+$L5965)/(SUMIF($A:$A,$A5965,$K:$K)+SUMIF($A:$A,$A5965,$L:$L)),0)</f>
        <v>0</v>
      </c>
      <c r="N5965" s="30">
        <f>IFERROR((VLOOKUP($A5965,HeadJournal!$A$1:$K$890,COLUMN(HeadJournal!K$1),0)-VLOOKUP($A5965,HeadJournal!$A$1:$K$890,COLUMN(HeadJournal!J$1),0))*($K5965+$L5965)/(SUMIF($A:$A,$A5965,$K:$K)+SUMIF($A:$A,$A5965,$L:$L)),0)</f>
        <v>0</v>
      </c>
      <c r="O5965" s="30">
        <f>IFERROR((VLOOKUP($A5965,HeadJournal!$A$1:$L$890,COLUMN(HeadJournal!L$1),0)*($K5965+$L5965)/(SUMIF($A:$A,$A5965,$K:$K)+SUMIF($A:$A,$A5965,$L:$L)))/VLOOKUP($A5965,HeadJournal!$A$1:$L$890,COLUMN(HeadJournal!H$1),0),0)</f>
        <v>0</v>
      </c>
      <c r="P5965" s="30">
        <f>IFERROR(SUM(K5965:O5965)*VLOOKUP($A5965,HeadJournal!$A$1:$L$890,COLUMN(HeadJournal!H$1),0),0)</f>
        <v>0</v>
      </c>
      <c r="Q5965" s="29"/>
      <c r="R5965" s="31"/>
      <c r="S5965" s="31"/>
      <c r="T5965" s="95" t="str">
        <f t="shared" si="420"/>
        <v/>
      </c>
      <c r="U5965" s="32">
        <f t="shared" si="447"/>
        <v>0</v>
      </c>
      <c r="V5965" s="22" t="str">
        <f t="shared" si="448"/>
        <v/>
      </c>
      <c r="X5965" s="33"/>
      <c r="Y5965" s="33"/>
    </row>
    <row r="5966" spans="1:25" x14ac:dyDescent="0.2">
      <c r="A5966" s="93"/>
      <c r="B5966" s="94" t="str">
        <f>IFERROR(VLOOKUP($A5966,HeadJournal!$A$1:$NTR$890,COLUMN(HeadJournal!B$1),0),"")</f>
        <v/>
      </c>
      <c r="C5966" s="94" t="str">
        <f>IFERROR(VLOOKUP($A5966,HeadJournal!$A$1:$NTR$890,COLUMN(HeadJournal!C$1),0),"")</f>
        <v/>
      </c>
      <c r="D5966" s="125" t="str">
        <f>IFERROR(VLOOKUP($A5966,HeadJournal!$A$1:$NTR$890,COLUMN(HeadJournal!D$1),0),"")</f>
        <v/>
      </c>
      <c r="E5966" s="95" t="str">
        <f>IFERROR(VLOOKUP($A5966,HeadJournal!$A$1:$NTR$890,COLUMN(HeadJournal!G$1),0),"")</f>
        <v/>
      </c>
      <c r="F5966" s="95" t="str">
        <f t="shared" si="419"/>
        <v/>
      </c>
      <c r="G5966" s="97"/>
      <c r="H5966" s="161"/>
      <c r="I5966" s="97"/>
      <c r="J5966" s="97"/>
      <c r="K5966" s="29"/>
      <c r="L5966" s="29"/>
      <c r="M5966" s="30">
        <f>IFERROR(VLOOKUP($A5966,HeadJournal!$A$1:$J$890,COLUMN(HeadJournal!I$1),0)*($K5966+$L5966)/(SUMIF($A:$A,$A5966,$K:$K)+SUMIF($A:$A,$A5966,$L:$L)),0)</f>
        <v>0</v>
      </c>
      <c r="N5966" s="30">
        <f>IFERROR((VLOOKUP($A5966,HeadJournal!$A$1:$K$890,COLUMN(HeadJournal!K$1),0)-VLOOKUP($A5966,HeadJournal!$A$1:$K$890,COLUMN(HeadJournal!J$1),0))*($K5966+$L5966)/(SUMIF($A:$A,$A5966,$K:$K)+SUMIF($A:$A,$A5966,$L:$L)),0)</f>
        <v>0</v>
      </c>
      <c r="O5966" s="30">
        <f>IFERROR((VLOOKUP($A5966,HeadJournal!$A$1:$L$890,COLUMN(HeadJournal!L$1),0)*($K5966+$L5966)/(SUMIF($A:$A,$A5966,$K:$K)+SUMIF($A:$A,$A5966,$L:$L)))/VLOOKUP($A5966,HeadJournal!$A$1:$L$890,COLUMN(HeadJournal!H$1),0),0)</f>
        <v>0</v>
      </c>
      <c r="P5966" s="30">
        <f>IFERROR(SUM(K5966:O5966)*VLOOKUP($A5966,HeadJournal!$A$1:$L$890,COLUMN(HeadJournal!H$1),0),0)</f>
        <v>0</v>
      </c>
      <c r="Q5966" s="29"/>
      <c r="R5966" s="31"/>
      <c r="S5966" s="31"/>
      <c r="T5966" s="95" t="str">
        <f t="shared" si="420"/>
        <v/>
      </c>
      <c r="U5966" s="32">
        <f t="shared" si="447"/>
        <v>0</v>
      </c>
      <c r="V5966" s="22" t="str">
        <f t="shared" si="448"/>
        <v/>
      </c>
      <c r="X5966" s="33"/>
      <c r="Y5966" s="33"/>
    </row>
    <row r="5967" spans="1:25" x14ac:dyDescent="0.2">
      <c r="A5967" s="93"/>
      <c r="B5967" s="94" t="str">
        <f>IFERROR(VLOOKUP($A5967,HeadJournal!$A$1:$NTR$890,COLUMN(HeadJournal!B$1),0),"")</f>
        <v/>
      </c>
      <c r="C5967" s="94" t="str">
        <f>IFERROR(VLOOKUP($A5967,HeadJournal!$A$1:$NTR$890,COLUMN(HeadJournal!C$1),0),"")</f>
        <v/>
      </c>
      <c r="D5967" s="125" t="str">
        <f>IFERROR(VLOOKUP($A5967,HeadJournal!$A$1:$NTR$890,COLUMN(HeadJournal!D$1),0),"")</f>
        <v/>
      </c>
      <c r="E5967" s="95" t="str">
        <f>IFERROR(VLOOKUP($A5967,HeadJournal!$A$1:$NTR$890,COLUMN(HeadJournal!G$1),0),"")</f>
        <v/>
      </c>
      <c r="F5967" s="95" t="str">
        <f t="shared" si="419"/>
        <v/>
      </c>
      <c r="G5967" s="97"/>
      <c r="H5967" s="161"/>
      <c r="I5967" s="97"/>
      <c r="J5967" s="97"/>
      <c r="K5967" s="29"/>
      <c r="L5967" s="29"/>
      <c r="M5967" s="30">
        <f>IFERROR(VLOOKUP($A5967,HeadJournal!$A$1:$J$890,COLUMN(HeadJournal!I$1),0)*($K5967+$L5967)/(SUMIF($A:$A,$A5967,$K:$K)+SUMIF($A:$A,$A5967,$L:$L)),0)</f>
        <v>0</v>
      </c>
      <c r="N5967" s="30">
        <f>IFERROR((VLOOKUP($A5967,HeadJournal!$A$1:$K$890,COLUMN(HeadJournal!K$1),0)-VLOOKUP($A5967,HeadJournal!$A$1:$K$890,COLUMN(HeadJournal!J$1),0))*($K5967+$L5967)/(SUMIF($A:$A,$A5967,$K:$K)+SUMIF($A:$A,$A5967,$L:$L)),0)</f>
        <v>0</v>
      </c>
      <c r="O5967" s="30">
        <f>IFERROR((VLOOKUP($A5967,HeadJournal!$A$1:$L$890,COLUMN(HeadJournal!L$1),0)*($K5967+$L5967)/(SUMIF($A:$A,$A5967,$K:$K)+SUMIF($A:$A,$A5967,$L:$L)))/VLOOKUP($A5967,HeadJournal!$A$1:$L$890,COLUMN(HeadJournal!H$1),0),0)</f>
        <v>0</v>
      </c>
      <c r="P5967" s="30">
        <f>IFERROR(SUM(K5967:O5967)*VLOOKUP($A5967,HeadJournal!$A$1:$L$890,COLUMN(HeadJournal!H$1),0),0)</f>
        <v>0</v>
      </c>
      <c r="Q5967" s="29"/>
      <c r="R5967" s="31"/>
      <c r="S5967" s="31"/>
      <c r="T5967" s="95" t="str">
        <f t="shared" si="420"/>
        <v/>
      </c>
      <c r="U5967" s="32">
        <f t="shared" si="447"/>
        <v>0</v>
      </c>
      <c r="V5967" s="22" t="str">
        <f t="shared" si="448"/>
        <v/>
      </c>
      <c r="X5967" s="33"/>
      <c r="Y5967" s="33"/>
    </row>
    <row r="5968" spans="1:25" x14ac:dyDescent="0.2">
      <c r="A5968" s="93"/>
      <c r="B5968" s="94" t="str">
        <f>IFERROR(VLOOKUP($A5968,HeadJournal!$A$1:$NTR$890,COLUMN(HeadJournal!B$1),0),"")</f>
        <v/>
      </c>
      <c r="C5968" s="94" t="str">
        <f>IFERROR(VLOOKUP($A5968,HeadJournal!$A$1:$NTR$890,COLUMN(HeadJournal!C$1),0),"")</f>
        <v/>
      </c>
      <c r="D5968" s="125" t="str">
        <f>IFERROR(VLOOKUP($A5968,HeadJournal!$A$1:$NTR$890,COLUMN(HeadJournal!D$1),0),"")</f>
        <v/>
      </c>
      <c r="E5968" s="95" t="str">
        <f>IFERROR(VLOOKUP($A5968,HeadJournal!$A$1:$NTR$890,COLUMN(HeadJournal!G$1),0),"")</f>
        <v/>
      </c>
      <c r="F5968" s="95" t="str">
        <f t="shared" si="419"/>
        <v/>
      </c>
      <c r="G5968" s="97"/>
      <c r="H5968" s="161"/>
      <c r="I5968" s="97"/>
      <c r="J5968" s="97"/>
      <c r="K5968" s="29"/>
      <c r="L5968" s="29"/>
      <c r="M5968" s="30">
        <f>IFERROR(VLOOKUP($A5968,HeadJournal!$A$1:$J$890,COLUMN(HeadJournal!I$1),0)*($K5968+$L5968)/(SUMIF($A:$A,$A5968,$K:$K)+SUMIF($A:$A,$A5968,$L:$L)),0)</f>
        <v>0</v>
      </c>
      <c r="N5968" s="30">
        <f>IFERROR((VLOOKUP($A5968,HeadJournal!$A$1:$K$890,COLUMN(HeadJournal!K$1),0)-VLOOKUP($A5968,HeadJournal!$A$1:$K$890,COLUMN(HeadJournal!J$1),0))*($K5968+$L5968)/(SUMIF($A:$A,$A5968,$K:$K)+SUMIF($A:$A,$A5968,$L:$L)),0)</f>
        <v>0</v>
      </c>
      <c r="O5968" s="30">
        <f>IFERROR((VLOOKUP($A5968,HeadJournal!$A$1:$L$890,COLUMN(HeadJournal!L$1),0)*($K5968+$L5968)/(SUMIF($A:$A,$A5968,$K:$K)+SUMIF($A:$A,$A5968,$L:$L)))/VLOOKUP($A5968,HeadJournal!$A$1:$L$890,COLUMN(HeadJournal!H$1),0),0)</f>
        <v>0</v>
      </c>
      <c r="P5968" s="30">
        <f>IFERROR(SUM(K5968:O5968)*VLOOKUP($A5968,HeadJournal!$A$1:$L$890,COLUMN(HeadJournal!H$1),0),0)</f>
        <v>0</v>
      </c>
      <c r="Q5968" s="29"/>
      <c r="R5968" s="31"/>
      <c r="S5968" s="31"/>
      <c r="T5968" s="95" t="str">
        <f t="shared" si="420"/>
        <v/>
      </c>
      <c r="U5968" s="32">
        <f t="shared" si="447"/>
        <v>0</v>
      </c>
      <c r="V5968" s="22" t="str">
        <f t="shared" si="448"/>
        <v/>
      </c>
      <c r="X5968" s="33"/>
      <c r="Y5968" s="33"/>
    </row>
    <row r="5969" spans="1:25" x14ac:dyDescent="0.2">
      <c r="A5969" s="93"/>
      <c r="B5969" s="94" t="str">
        <f>IFERROR(VLOOKUP($A5969,HeadJournal!$A$1:$NTR$890,COLUMN(HeadJournal!B$1),0),"")</f>
        <v/>
      </c>
      <c r="C5969" s="94" t="str">
        <f>IFERROR(VLOOKUP($A5969,HeadJournal!$A$1:$NTR$890,COLUMN(HeadJournal!C$1),0),"")</f>
        <v/>
      </c>
      <c r="D5969" s="125" t="str">
        <f>IFERROR(VLOOKUP($A5969,HeadJournal!$A$1:$NTR$890,COLUMN(HeadJournal!D$1),0),"")</f>
        <v/>
      </c>
      <c r="E5969" s="95" t="str">
        <f>IFERROR(VLOOKUP($A5969,HeadJournal!$A$1:$NTR$890,COLUMN(HeadJournal!G$1),0),"")</f>
        <v/>
      </c>
      <c r="F5969" s="95" t="str">
        <f t="shared" si="419"/>
        <v/>
      </c>
      <c r="G5969" s="97"/>
      <c r="H5969" s="161"/>
      <c r="I5969" s="97"/>
      <c r="J5969" s="97"/>
      <c r="K5969" s="29"/>
      <c r="L5969" s="29"/>
      <c r="M5969" s="30">
        <f>IFERROR(VLOOKUP($A5969,HeadJournal!$A$1:$J$890,COLUMN(HeadJournal!I$1),0)*($K5969+$L5969)/(SUMIF($A:$A,$A5969,$K:$K)+SUMIF($A:$A,$A5969,$L:$L)),0)</f>
        <v>0</v>
      </c>
      <c r="N5969" s="30">
        <f>IFERROR((VLOOKUP($A5969,HeadJournal!$A$1:$K$890,COLUMN(HeadJournal!K$1),0)-VLOOKUP($A5969,HeadJournal!$A$1:$K$890,COLUMN(HeadJournal!J$1),0))*($K5969+$L5969)/(SUMIF($A:$A,$A5969,$K:$K)+SUMIF($A:$A,$A5969,$L:$L)),0)</f>
        <v>0</v>
      </c>
      <c r="O5969" s="30">
        <f>IFERROR((VLOOKUP($A5969,HeadJournal!$A$1:$L$890,COLUMN(HeadJournal!L$1),0)*($K5969+$L5969)/(SUMIF($A:$A,$A5969,$K:$K)+SUMIF($A:$A,$A5969,$L:$L)))/VLOOKUP($A5969,HeadJournal!$A$1:$L$890,COLUMN(HeadJournal!H$1),0),0)</f>
        <v>0</v>
      </c>
      <c r="P5969" s="30">
        <f>IFERROR(SUM(K5969:O5969)*VLOOKUP($A5969,HeadJournal!$A$1:$L$890,COLUMN(HeadJournal!H$1),0),0)</f>
        <v>0</v>
      </c>
      <c r="Q5969" s="29"/>
      <c r="R5969" s="31"/>
      <c r="S5969" s="31"/>
      <c r="T5969" s="95" t="str">
        <f t="shared" si="420"/>
        <v/>
      </c>
      <c r="U5969" s="32">
        <f t="shared" si="447"/>
        <v>0</v>
      </c>
      <c r="V5969" s="22" t="str">
        <f t="shared" si="448"/>
        <v/>
      </c>
      <c r="X5969" s="33"/>
      <c r="Y5969" s="33"/>
    </row>
    <row r="5970" spans="1:25" x14ac:dyDescent="0.2">
      <c r="A5970" s="93"/>
      <c r="B5970" s="94" t="str">
        <f>IFERROR(VLOOKUP($A5970,HeadJournal!$A$1:$NTR$890,COLUMN(HeadJournal!B$1),0),"")</f>
        <v/>
      </c>
      <c r="C5970" s="94" t="str">
        <f>IFERROR(VLOOKUP($A5970,HeadJournal!$A$1:$NTR$890,COLUMN(HeadJournal!C$1),0),"")</f>
        <v/>
      </c>
      <c r="D5970" s="125" t="str">
        <f>IFERROR(VLOOKUP($A5970,HeadJournal!$A$1:$NTR$890,COLUMN(HeadJournal!D$1),0),"")</f>
        <v/>
      </c>
      <c r="E5970" s="95" t="str">
        <f>IFERROR(VLOOKUP($A5970,HeadJournal!$A$1:$NTR$890,COLUMN(HeadJournal!G$1),0),"")</f>
        <v/>
      </c>
      <c r="F5970" s="95" t="str">
        <f t="shared" si="419"/>
        <v/>
      </c>
      <c r="G5970" s="97"/>
      <c r="H5970" s="161"/>
      <c r="I5970" s="97"/>
      <c r="J5970" s="97"/>
      <c r="K5970" s="29"/>
      <c r="L5970" s="29"/>
      <c r="M5970" s="30">
        <f>IFERROR(VLOOKUP($A5970,HeadJournal!$A$1:$J$890,COLUMN(HeadJournal!I$1),0)*($K5970+$L5970)/(SUMIF($A:$A,$A5970,$K:$K)+SUMIF($A:$A,$A5970,$L:$L)),0)</f>
        <v>0</v>
      </c>
      <c r="N5970" s="30">
        <f>IFERROR((VLOOKUP($A5970,HeadJournal!$A$1:$K$890,COLUMN(HeadJournal!K$1),0)-VLOOKUP($A5970,HeadJournal!$A$1:$K$890,COLUMN(HeadJournal!J$1),0))*($K5970+$L5970)/(SUMIF($A:$A,$A5970,$K:$K)+SUMIF($A:$A,$A5970,$L:$L)),0)</f>
        <v>0</v>
      </c>
      <c r="O5970" s="30">
        <f>IFERROR((VLOOKUP($A5970,HeadJournal!$A$1:$L$890,COLUMN(HeadJournal!L$1),0)*($K5970+$L5970)/(SUMIF($A:$A,$A5970,$K:$K)+SUMIF($A:$A,$A5970,$L:$L)))/VLOOKUP($A5970,HeadJournal!$A$1:$L$890,COLUMN(HeadJournal!H$1),0),0)</f>
        <v>0</v>
      </c>
      <c r="P5970" s="30">
        <f>IFERROR(SUM(K5970:O5970)*VLOOKUP($A5970,HeadJournal!$A$1:$L$890,COLUMN(HeadJournal!H$1),0),0)</f>
        <v>0</v>
      </c>
      <c r="Q5970" s="29"/>
      <c r="R5970" s="31"/>
      <c r="S5970" s="31"/>
      <c r="T5970" s="95" t="str">
        <f t="shared" si="420"/>
        <v/>
      </c>
      <c r="U5970" s="32">
        <f t="shared" si="447"/>
        <v>0</v>
      </c>
      <c r="V5970" s="22" t="str">
        <f t="shared" si="448"/>
        <v/>
      </c>
      <c r="X5970" s="33"/>
      <c r="Y5970" s="33"/>
    </row>
    <row r="5971" spans="1:25" x14ac:dyDescent="0.2">
      <c r="A5971" s="93"/>
      <c r="B5971" s="94" t="str">
        <f>IFERROR(VLOOKUP($A5971,HeadJournal!$A$1:$NTR$890,COLUMN(HeadJournal!B$1),0),"")</f>
        <v/>
      </c>
      <c r="C5971" s="94" t="str">
        <f>IFERROR(VLOOKUP($A5971,HeadJournal!$A$1:$NTR$890,COLUMN(HeadJournal!C$1),0),"")</f>
        <v/>
      </c>
      <c r="D5971" s="125" t="str">
        <f>IFERROR(VLOOKUP($A5971,HeadJournal!$A$1:$NTR$890,COLUMN(HeadJournal!D$1),0),"")</f>
        <v/>
      </c>
      <c r="E5971" s="95" t="str">
        <f>IFERROR(VLOOKUP($A5971,HeadJournal!$A$1:$NTR$890,COLUMN(HeadJournal!G$1),0),"")</f>
        <v/>
      </c>
      <c r="F5971" s="95" t="str">
        <f t="shared" si="419"/>
        <v/>
      </c>
      <c r="G5971" s="97"/>
      <c r="H5971" s="161"/>
      <c r="I5971" s="97"/>
      <c r="J5971" s="97"/>
      <c r="K5971" s="29"/>
      <c r="L5971" s="29"/>
      <c r="M5971" s="30">
        <f>IFERROR(VLOOKUP($A5971,HeadJournal!$A$1:$J$890,COLUMN(HeadJournal!I$1),0)*($K5971+$L5971)/(SUMIF($A:$A,$A5971,$K:$K)+SUMIF($A:$A,$A5971,$L:$L)),0)</f>
        <v>0</v>
      </c>
      <c r="N5971" s="30">
        <f>IFERROR((VLOOKUP($A5971,HeadJournal!$A$1:$K$890,COLUMN(HeadJournal!K$1),0)-VLOOKUP($A5971,HeadJournal!$A$1:$K$890,COLUMN(HeadJournal!J$1),0))*($K5971+$L5971)/(SUMIF($A:$A,$A5971,$K:$K)+SUMIF($A:$A,$A5971,$L:$L)),0)</f>
        <v>0</v>
      </c>
      <c r="O5971" s="30">
        <f>IFERROR((VLOOKUP($A5971,HeadJournal!$A$1:$L$890,COLUMN(HeadJournal!L$1),0)*($K5971+$L5971)/(SUMIF($A:$A,$A5971,$K:$K)+SUMIF($A:$A,$A5971,$L:$L)))/VLOOKUP($A5971,HeadJournal!$A$1:$L$890,COLUMN(HeadJournal!H$1),0),0)</f>
        <v>0</v>
      </c>
      <c r="P5971" s="30">
        <f>IFERROR(SUM(K5971:O5971)*VLOOKUP($A5971,HeadJournal!$A$1:$L$890,COLUMN(HeadJournal!H$1),0),0)</f>
        <v>0</v>
      </c>
      <c r="Q5971" s="29"/>
      <c r="R5971" s="31"/>
      <c r="S5971" s="31"/>
      <c r="T5971" s="95" t="str">
        <f t="shared" si="420"/>
        <v/>
      </c>
      <c r="U5971" s="32">
        <f t="shared" si="447"/>
        <v>0</v>
      </c>
      <c r="V5971" s="22" t="str">
        <f t="shared" si="448"/>
        <v/>
      </c>
      <c r="X5971" s="33"/>
      <c r="Y5971" s="33"/>
    </row>
    <row r="5972" spans="1:25" x14ac:dyDescent="0.2">
      <c r="A5972" s="93"/>
      <c r="B5972" s="94" t="str">
        <f>IFERROR(VLOOKUP($A5972,HeadJournal!$A$1:$NTR$890,COLUMN(HeadJournal!B$1),0),"")</f>
        <v/>
      </c>
      <c r="C5972" s="94" t="str">
        <f>IFERROR(VLOOKUP($A5972,HeadJournal!$A$1:$NTR$890,COLUMN(HeadJournal!C$1),0),"")</f>
        <v/>
      </c>
      <c r="D5972" s="125" t="str">
        <f>IFERROR(VLOOKUP($A5972,HeadJournal!$A$1:$NTR$890,COLUMN(HeadJournal!D$1),0),"")</f>
        <v/>
      </c>
      <c r="E5972" s="95" t="str">
        <f>IFERROR(VLOOKUP($A5972,HeadJournal!$A$1:$NTR$890,COLUMN(HeadJournal!G$1),0),"")</f>
        <v/>
      </c>
      <c r="F5972" s="95" t="str">
        <f t="shared" si="419"/>
        <v/>
      </c>
      <c r="G5972" s="97"/>
      <c r="H5972" s="161"/>
      <c r="I5972" s="97"/>
      <c r="J5972" s="97"/>
      <c r="K5972" s="29"/>
      <c r="L5972" s="29"/>
      <c r="M5972" s="30">
        <f>IFERROR(VLOOKUP($A5972,HeadJournal!$A$1:$J$890,COLUMN(HeadJournal!I$1),0)*($K5972+$L5972)/(SUMIF($A:$A,$A5972,$K:$K)+SUMIF($A:$A,$A5972,$L:$L)),0)</f>
        <v>0</v>
      </c>
      <c r="N5972" s="30">
        <f>IFERROR((VLOOKUP($A5972,HeadJournal!$A$1:$K$890,COLUMN(HeadJournal!K$1),0)-VLOOKUP($A5972,HeadJournal!$A$1:$K$890,COLUMN(HeadJournal!J$1),0))*($K5972+$L5972)/(SUMIF($A:$A,$A5972,$K:$K)+SUMIF($A:$A,$A5972,$L:$L)),0)</f>
        <v>0</v>
      </c>
      <c r="O5972" s="30">
        <f>IFERROR((VLOOKUP($A5972,HeadJournal!$A$1:$L$890,COLUMN(HeadJournal!L$1),0)*($K5972+$L5972)/(SUMIF($A:$A,$A5972,$K:$K)+SUMIF($A:$A,$A5972,$L:$L)))/VLOOKUP($A5972,HeadJournal!$A$1:$L$890,COLUMN(HeadJournal!H$1),0),0)</f>
        <v>0</v>
      </c>
      <c r="P5972" s="30">
        <f>IFERROR(SUM(K5972:O5972)*VLOOKUP($A5972,HeadJournal!$A$1:$L$890,COLUMN(HeadJournal!H$1),0),0)</f>
        <v>0</v>
      </c>
      <c r="Q5972" s="29"/>
      <c r="R5972" s="31"/>
      <c r="S5972" s="31"/>
      <c r="T5972" s="95" t="str">
        <f t="shared" si="420"/>
        <v/>
      </c>
      <c r="U5972" s="32">
        <f t="shared" si="447"/>
        <v>0</v>
      </c>
      <c r="V5972" s="22" t="str">
        <f t="shared" si="448"/>
        <v/>
      </c>
      <c r="X5972" s="33"/>
      <c r="Y5972" s="33"/>
    </row>
    <row r="5973" spans="1:25" x14ac:dyDescent="0.2">
      <c r="A5973" s="93"/>
      <c r="B5973" s="94" t="str">
        <f>IFERROR(VLOOKUP($A5973,HeadJournal!$A$1:$NTR$890,COLUMN(HeadJournal!B$1),0),"")</f>
        <v/>
      </c>
      <c r="C5973" s="94" t="str">
        <f>IFERROR(VLOOKUP($A5973,HeadJournal!$A$1:$NTR$890,COLUMN(HeadJournal!C$1),0),"")</f>
        <v/>
      </c>
      <c r="D5973" s="125" t="str">
        <f>IFERROR(VLOOKUP($A5973,HeadJournal!$A$1:$NTR$890,COLUMN(HeadJournal!D$1),0),"")</f>
        <v/>
      </c>
      <c r="E5973" s="95" t="str">
        <f>IFERROR(VLOOKUP($A5973,HeadJournal!$A$1:$NTR$890,COLUMN(HeadJournal!G$1),0),"")</f>
        <v/>
      </c>
      <c r="F5973" s="95" t="str">
        <f t="shared" si="419"/>
        <v/>
      </c>
      <c r="G5973" s="97"/>
      <c r="H5973" s="161"/>
      <c r="I5973" s="97"/>
      <c r="J5973" s="97"/>
      <c r="K5973" s="29"/>
      <c r="L5973" s="29"/>
      <c r="M5973" s="30">
        <f>IFERROR(VLOOKUP($A5973,HeadJournal!$A$1:$J$890,COLUMN(HeadJournal!I$1),0)*($K5973+$L5973)/(SUMIF($A:$A,$A5973,$K:$K)+SUMIF($A:$A,$A5973,$L:$L)),0)</f>
        <v>0</v>
      </c>
      <c r="N5973" s="30">
        <f>IFERROR((VLOOKUP($A5973,HeadJournal!$A$1:$K$890,COLUMN(HeadJournal!K$1),0)-VLOOKUP($A5973,HeadJournal!$A$1:$K$890,COLUMN(HeadJournal!J$1),0))*($K5973+$L5973)/(SUMIF($A:$A,$A5973,$K:$K)+SUMIF($A:$A,$A5973,$L:$L)),0)</f>
        <v>0</v>
      </c>
      <c r="O5973" s="30">
        <f>IFERROR((VLOOKUP($A5973,HeadJournal!$A$1:$L$890,COLUMN(HeadJournal!L$1),0)*($K5973+$L5973)/(SUMIF($A:$A,$A5973,$K:$K)+SUMIF($A:$A,$A5973,$L:$L)))/VLOOKUP($A5973,HeadJournal!$A$1:$L$890,COLUMN(HeadJournal!H$1),0),0)</f>
        <v>0</v>
      </c>
      <c r="P5973" s="30">
        <f>IFERROR(SUM(K5973:O5973)*VLOOKUP($A5973,HeadJournal!$A$1:$L$890,COLUMN(HeadJournal!H$1),0),0)</f>
        <v>0</v>
      </c>
      <c r="Q5973" s="29"/>
      <c r="R5973" s="31"/>
      <c r="S5973" s="31"/>
      <c r="T5973" s="95" t="str">
        <f t="shared" si="420"/>
        <v/>
      </c>
      <c r="U5973" s="32">
        <f t="shared" si="447"/>
        <v>0</v>
      </c>
      <c r="V5973" s="22" t="str">
        <f t="shared" si="448"/>
        <v/>
      </c>
      <c r="X5973" s="33"/>
      <c r="Y5973" s="33"/>
    </row>
    <row r="5974" spans="1:25" x14ac:dyDescent="0.2">
      <c r="A5974" s="93"/>
      <c r="B5974" s="94" t="str">
        <f>IFERROR(VLOOKUP($A5974,HeadJournal!$A$1:$NTR$890,COLUMN(HeadJournal!B$1),0),"")</f>
        <v/>
      </c>
      <c r="C5974" s="94" t="str">
        <f>IFERROR(VLOOKUP($A5974,HeadJournal!$A$1:$NTR$890,COLUMN(HeadJournal!C$1),0),"")</f>
        <v/>
      </c>
      <c r="D5974" s="125" t="str">
        <f>IFERROR(VLOOKUP($A5974,HeadJournal!$A$1:$NTR$890,COLUMN(HeadJournal!D$1),0),"")</f>
        <v/>
      </c>
      <c r="E5974" s="95" t="str">
        <f>IFERROR(VLOOKUP($A5974,HeadJournal!$A$1:$NTR$890,COLUMN(HeadJournal!G$1),0),"")</f>
        <v/>
      </c>
      <c r="F5974" s="95" t="str">
        <f t="shared" si="419"/>
        <v/>
      </c>
      <c r="G5974" s="97"/>
      <c r="H5974" s="161"/>
      <c r="I5974" s="97"/>
      <c r="J5974" s="97"/>
      <c r="K5974" s="29"/>
      <c r="L5974" s="29"/>
      <c r="M5974" s="30">
        <f>IFERROR(VLOOKUP($A5974,HeadJournal!$A$1:$J$890,COLUMN(HeadJournal!I$1),0)*($K5974+$L5974)/(SUMIF($A:$A,$A5974,$K:$K)+SUMIF($A:$A,$A5974,$L:$L)),0)</f>
        <v>0</v>
      </c>
      <c r="N5974" s="30">
        <f>IFERROR((VLOOKUP($A5974,HeadJournal!$A$1:$K$890,COLUMN(HeadJournal!K$1),0)-VLOOKUP($A5974,HeadJournal!$A$1:$K$890,COLUMN(HeadJournal!J$1),0))*($K5974+$L5974)/(SUMIF($A:$A,$A5974,$K:$K)+SUMIF($A:$A,$A5974,$L:$L)),0)</f>
        <v>0</v>
      </c>
      <c r="O5974" s="30">
        <f>IFERROR((VLOOKUP($A5974,HeadJournal!$A$1:$L$890,COLUMN(HeadJournal!L$1),0)*($K5974+$L5974)/(SUMIF($A:$A,$A5974,$K:$K)+SUMIF($A:$A,$A5974,$L:$L)))/VLOOKUP($A5974,HeadJournal!$A$1:$L$890,COLUMN(HeadJournal!H$1),0),0)</f>
        <v>0</v>
      </c>
      <c r="P5974" s="30">
        <f>IFERROR(SUM(K5974:O5974)*VLOOKUP($A5974,HeadJournal!$A$1:$L$890,COLUMN(HeadJournal!H$1),0),0)</f>
        <v>0</v>
      </c>
      <c r="Q5974" s="29"/>
      <c r="R5974" s="31"/>
      <c r="S5974" s="31"/>
      <c r="T5974" s="95" t="str">
        <f t="shared" si="420"/>
        <v/>
      </c>
      <c r="U5974" s="32">
        <f t="shared" si="447"/>
        <v>0</v>
      </c>
      <c r="V5974" s="22" t="str">
        <f t="shared" si="448"/>
        <v/>
      </c>
      <c r="X5974" s="33"/>
      <c r="Y5974" s="33"/>
    </row>
    <row r="5975" spans="1:25" x14ac:dyDescent="0.2">
      <c r="A5975" s="93"/>
      <c r="B5975" s="94" t="str">
        <f>IFERROR(VLOOKUP($A5975,HeadJournal!$A$1:$NTR$890,COLUMN(HeadJournal!B$1),0),"")</f>
        <v/>
      </c>
      <c r="C5975" s="94" t="str">
        <f>IFERROR(VLOOKUP($A5975,HeadJournal!$A$1:$NTR$890,COLUMN(HeadJournal!C$1),0),"")</f>
        <v/>
      </c>
      <c r="D5975" s="125" t="str">
        <f>IFERROR(VLOOKUP($A5975,HeadJournal!$A$1:$NTR$890,COLUMN(HeadJournal!D$1),0),"")</f>
        <v/>
      </c>
      <c r="E5975" s="95" t="str">
        <f>IFERROR(VLOOKUP($A5975,HeadJournal!$A$1:$NTR$890,COLUMN(HeadJournal!G$1),0),"")</f>
        <v/>
      </c>
      <c r="F5975" s="95" t="str">
        <f t="shared" si="419"/>
        <v/>
      </c>
      <c r="G5975" s="97"/>
      <c r="H5975" s="161"/>
      <c r="I5975" s="97"/>
      <c r="J5975" s="97"/>
      <c r="K5975" s="29"/>
      <c r="L5975" s="29"/>
      <c r="M5975" s="30">
        <f>IFERROR(VLOOKUP($A5975,HeadJournal!$A$1:$J$890,COLUMN(HeadJournal!I$1),0)*($K5975+$L5975)/(SUMIF($A:$A,$A5975,$K:$K)+SUMIF($A:$A,$A5975,$L:$L)),0)</f>
        <v>0</v>
      </c>
      <c r="N5975" s="30">
        <f>IFERROR((VLOOKUP($A5975,HeadJournal!$A$1:$K$890,COLUMN(HeadJournal!K$1),0)-VLOOKUP($A5975,HeadJournal!$A$1:$K$890,COLUMN(HeadJournal!J$1),0))*($K5975+$L5975)/(SUMIF($A:$A,$A5975,$K:$K)+SUMIF($A:$A,$A5975,$L:$L)),0)</f>
        <v>0</v>
      </c>
      <c r="O5975" s="30">
        <f>IFERROR((VLOOKUP($A5975,HeadJournal!$A$1:$L$890,COLUMN(HeadJournal!L$1),0)*($K5975+$L5975)/(SUMIF($A:$A,$A5975,$K:$K)+SUMIF($A:$A,$A5975,$L:$L)))/VLOOKUP($A5975,HeadJournal!$A$1:$L$890,COLUMN(HeadJournal!H$1),0),0)</f>
        <v>0</v>
      </c>
      <c r="P5975" s="30">
        <f>IFERROR(SUM(K5975:O5975)*VLOOKUP($A5975,HeadJournal!$A$1:$L$890,COLUMN(HeadJournal!H$1),0),0)</f>
        <v>0</v>
      </c>
      <c r="Q5975" s="29"/>
      <c r="R5975" s="31"/>
      <c r="S5975" s="31"/>
      <c r="T5975" s="95" t="str">
        <f t="shared" si="420"/>
        <v/>
      </c>
      <c r="U5975" s="32">
        <f t="shared" si="447"/>
        <v>0</v>
      </c>
      <c r="V5975" s="22" t="str">
        <f t="shared" si="448"/>
        <v/>
      </c>
      <c r="X5975" s="33"/>
      <c r="Y5975" s="33"/>
    </row>
    <row r="5976" spans="1:25" x14ac:dyDescent="0.2">
      <c r="A5976" s="93"/>
      <c r="B5976" s="94" t="str">
        <f>IFERROR(VLOOKUP($A5976,HeadJournal!$A$1:$NTR$890,COLUMN(HeadJournal!B$1),0),"")</f>
        <v/>
      </c>
      <c r="C5976" s="94" t="str">
        <f>IFERROR(VLOOKUP($A5976,HeadJournal!$A$1:$NTR$890,COLUMN(HeadJournal!C$1),0),"")</f>
        <v/>
      </c>
      <c r="D5976" s="125" t="str">
        <f>IFERROR(VLOOKUP($A5976,HeadJournal!$A$1:$NTR$890,COLUMN(HeadJournal!D$1),0),"")</f>
        <v/>
      </c>
      <c r="E5976" s="95" t="str">
        <f>IFERROR(VLOOKUP($A5976,HeadJournal!$A$1:$NTR$890,COLUMN(HeadJournal!G$1),0),"")</f>
        <v/>
      </c>
      <c r="F5976" s="95" t="str">
        <f t="shared" si="419"/>
        <v/>
      </c>
      <c r="G5976" s="97"/>
      <c r="H5976" s="161"/>
      <c r="I5976" s="97"/>
      <c r="J5976" s="97"/>
      <c r="K5976" s="29"/>
      <c r="L5976" s="29"/>
      <c r="M5976" s="30">
        <f>IFERROR(VLOOKUP($A5976,HeadJournal!$A$1:$J$890,COLUMN(HeadJournal!I$1),0)*($K5976+$L5976)/(SUMIF($A:$A,$A5976,$K:$K)+SUMIF($A:$A,$A5976,$L:$L)),0)</f>
        <v>0</v>
      </c>
      <c r="N5976" s="30">
        <f>IFERROR((VLOOKUP($A5976,HeadJournal!$A$1:$K$890,COLUMN(HeadJournal!K$1),0)-VLOOKUP($A5976,HeadJournal!$A$1:$K$890,COLUMN(HeadJournal!J$1),0))*($K5976+$L5976)/(SUMIF($A:$A,$A5976,$K:$K)+SUMIF($A:$A,$A5976,$L:$L)),0)</f>
        <v>0</v>
      </c>
      <c r="O5976" s="30">
        <f>IFERROR((VLOOKUP($A5976,HeadJournal!$A$1:$L$890,COLUMN(HeadJournal!L$1),0)*($K5976+$L5976)/(SUMIF($A:$A,$A5976,$K:$K)+SUMIF($A:$A,$A5976,$L:$L)))/VLOOKUP($A5976,HeadJournal!$A$1:$L$890,COLUMN(HeadJournal!H$1),0),0)</f>
        <v>0</v>
      </c>
      <c r="P5976" s="30">
        <f>IFERROR(SUM(K5976:O5976)*VLOOKUP($A5976,HeadJournal!$A$1:$L$890,COLUMN(HeadJournal!H$1),0),0)</f>
        <v>0</v>
      </c>
      <c r="Q5976" s="29"/>
      <c r="R5976" s="31"/>
      <c r="S5976" s="31"/>
      <c r="T5976" s="95" t="str">
        <f t="shared" si="420"/>
        <v/>
      </c>
      <c r="U5976" s="32">
        <f t="shared" si="447"/>
        <v>0</v>
      </c>
      <c r="V5976" s="22" t="str">
        <f t="shared" si="448"/>
        <v/>
      </c>
      <c r="X5976" s="33"/>
      <c r="Y5976" s="33"/>
    </row>
    <row r="5977" spans="1:25" x14ac:dyDescent="0.2">
      <c r="A5977" s="93"/>
      <c r="B5977" s="94" t="str">
        <f>IFERROR(VLOOKUP($A5977,HeadJournal!$A$1:$NTR$890,COLUMN(HeadJournal!B$1),0),"")</f>
        <v/>
      </c>
      <c r="C5977" s="94" t="str">
        <f>IFERROR(VLOOKUP($A5977,HeadJournal!$A$1:$NTR$890,COLUMN(HeadJournal!C$1),0),"")</f>
        <v/>
      </c>
      <c r="D5977" s="125" t="str">
        <f>IFERROR(VLOOKUP($A5977,HeadJournal!$A$1:$NTR$890,COLUMN(HeadJournal!D$1),0),"")</f>
        <v/>
      </c>
      <c r="E5977" s="95" t="str">
        <f>IFERROR(VLOOKUP($A5977,HeadJournal!$A$1:$NTR$890,COLUMN(HeadJournal!G$1),0),"")</f>
        <v/>
      </c>
      <c r="F5977" s="95" t="str">
        <f t="shared" si="419"/>
        <v/>
      </c>
      <c r="G5977" s="97"/>
      <c r="H5977" s="161"/>
      <c r="I5977" s="97"/>
      <c r="J5977" s="97"/>
      <c r="K5977" s="29"/>
      <c r="L5977" s="29"/>
      <c r="M5977" s="30">
        <f>IFERROR(VLOOKUP($A5977,HeadJournal!$A$1:$J$890,COLUMN(HeadJournal!I$1),0)*($K5977+$L5977)/(SUMIF($A:$A,$A5977,$K:$K)+SUMIF($A:$A,$A5977,$L:$L)),0)</f>
        <v>0</v>
      </c>
      <c r="N5977" s="30">
        <f>IFERROR((VLOOKUP($A5977,HeadJournal!$A$1:$K$890,COLUMN(HeadJournal!K$1),0)-VLOOKUP($A5977,HeadJournal!$A$1:$K$890,COLUMN(HeadJournal!J$1),0))*($K5977+$L5977)/(SUMIF($A:$A,$A5977,$K:$K)+SUMIF($A:$A,$A5977,$L:$L)),0)</f>
        <v>0</v>
      </c>
      <c r="O5977" s="30">
        <f>IFERROR((VLOOKUP($A5977,HeadJournal!$A$1:$L$890,COLUMN(HeadJournal!L$1),0)*($K5977+$L5977)/(SUMIF($A:$A,$A5977,$K:$K)+SUMIF($A:$A,$A5977,$L:$L)))/VLOOKUP($A5977,HeadJournal!$A$1:$L$890,COLUMN(HeadJournal!H$1),0),0)</f>
        <v>0</v>
      </c>
      <c r="P5977" s="30">
        <f>IFERROR(SUM(K5977:O5977)*VLOOKUP($A5977,HeadJournal!$A$1:$L$890,COLUMN(HeadJournal!H$1),0),0)</f>
        <v>0</v>
      </c>
      <c r="Q5977" s="29"/>
      <c r="R5977" s="31"/>
      <c r="S5977" s="31"/>
      <c r="T5977" s="95" t="str">
        <f t="shared" si="420"/>
        <v/>
      </c>
      <c r="U5977" s="32">
        <f t="shared" si="447"/>
        <v>0</v>
      </c>
      <c r="V5977" s="22" t="str">
        <f t="shared" si="448"/>
        <v/>
      </c>
      <c r="X5977" s="33"/>
      <c r="Y5977" s="33"/>
    </row>
    <row r="5978" spans="1:25" x14ac:dyDescent="0.2">
      <c r="A5978" s="93"/>
      <c r="B5978" s="94" t="str">
        <f>IFERROR(VLOOKUP($A5978,HeadJournal!$A$1:$NTR$890,COLUMN(HeadJournal!B$1),0),"")</f>
        <v/>
      </c>
      <c r="C5978" s="94" t="str">
        <f>IFERROR(VLOOKUP($A5978,HeadJournal!$A$1:$NTR$890,COLUMN(HeadJournal!C$1),0),"")</f>
        <v/>
      </c>
      <c r="D5978" s="125" t="str">
        <f>IFERROR(VLOOKUP($A5978,HeadJournal!$A$1:$NTR$890,COLUMN(HeadJournal!D$1),0),"")</f>
        <v/>
      </c>
      <c r="E5978" s="95" t="str">
        <f>IFERROR(VLOOKUP($A5978,HeadJournal!$A$1:$NTR$890,COLUMN(HeadJournal!G$1),0),"")</f>
        <v/>
      </c>
      <c r="F5978" s="95" t="str">
        <f t="shared" si="419"/>
        <v/>
      </c>
      <c r="G5978" s="97"/>
      <c r="H5978" s="161"/>
      <c r="I5978" s="97"/>
      <c r="J5978" s="97"/>
      <c r="K5978" s="29"/>
      <c r="L5978" s="29"/>
      <c r="M5978" s="30">
        <f>IFERROR(VLOOKUP($A5978,HeadJournal!$A$1:$J$890,COLUMN(HeadJournal!I$1),0)*($K5978+$L5978)/(SUMIF($A:$A,$A5978,$K:$K)+SUMIF($A:$A,$A5978,$L:$L)),0)</f>
        <v>0</v>
      </c>
      <c r="N5978" s="30">
        <f>IFERROR((VLOOKUP($A5978,HeadJournal!$A$1:$K$890,COLUMN(HeadJournal!K$1),0)-VLOOKUP($A5978,HeadJournal!$A$1:$K$890,COLUMN(HeadJournal!J$1),0))*($K5978+$L5978)/(SUMIF($A:$A,$A5978,$K:$K)+SUMIF($A:$A,$A5978,$L:$L)),0)</f>
        <v>0</v>
      </c>
      <c r="O5978" s="30">
        <f>IFERROR((VLOOKUP($A5978,HeadJournal!$A$1:$L$890,COLUMN(HeadJournal!L$1),0)*($K5978+$L5978)/(SUMIF($A:$A,$A5978,$K:$K)+SUMIF($A:$A,$A5978,$L:$L)))/VLOOKUP($A5978,HeadJournal!$A$1:$L$890,COLUMN(HeadJournal!H$1),0),0)</f>
        <v>0</v>
      </c>
      <c r="P5978" s="30">
        <f>IFERROR(SUM(K5978:O5978)*VLOOKUP($A5978,HeadJournal!$A$1:$L$890,COLUMN(HeadJournal!H$1),0),0)</f>
        <v>0</v>
      </c>
      <c r="Q5978" s="29"/>
      <c r="R5978" s="31"/>
      <c r="S5978" s="31"/>
      <c r="T5978" s="95" t="str">
        <f t="shared" si="420"/>
        <v/>
      </c>
      <c r="U5978" s="32">
        <f t="shared" si="447"/>
        <v>0</v>
      </c>
      <c r="V5978" s="22" t="str">
        <f t="shared" si="448"/>
        <v/>
      </c>
      <c r="X5978" s="33"/>
      <c r="Y5978" s="33"/>
    </row>
    <row r="5979" spans="1:25" x14ac:dyDescent="0.2">
      <c r="A5979" s="93"/>
      <c r="B5979" s="94" t="str">
        <f>IFERROR(VLOOKUP($A5979,HeadJournal!$A$1:$NTR$890,COLUMN(HeadJournal!B$1),0),"")</f>
        <v/>
      </c>
      <c r="C5979" s="94" t="str">
        <f>IFERROR(VLOOKUP($A5979,HeadJournal!$A$1:$NTR$890,COLUMN(HeadJournal!C$1),0),"")</f>
        <v/>
      </c>
      <c r="D5979" s="125" t="str">
        <f>IFERROR(VLOOKUP($A5979,HeadJournal!$A$1:$NTR$890,COLUMN(HeadJournal!D$1),0),"")</f>
        <v/>
      </c>
      <c r="E5979" s="95" t="str">
        <f>IFERROR(VLOOKUP($A5979,HeadJournal!$A$1:$NTR$890,COLUMN(HeadJournal!G$1),0),"")</f>
        <v/>
      </c>
      <c r="F5979" s="95" t="str">
        <f t="shared" si="419"/>
        <v/>
      </c>
      <c r="G5979" s="97"/>
      <c r="H5979" s="161"/>
      <c r="I5979" s="97"/>
      <c r="J5979" s="97"/>
      <c r="K5979" s="29"/>
      <c r="L5979" s="29"/>
      <c r="M5979" s="30">
        <f>IFERROR(VLOOKUP($A5979,HeadJournal!$A$1:$J$890,COLUMN(HeadJournal!I$1),0)*($K5979+$L5979)/(SUMIF($A:$A,$A5979,$K:$K)+SUMIF($A:$A,$A5979,$L:$L)),0)</f>
        <v>0</v>
      </c>
      <c r="N5979" s="30">
        <f>IFERROR((VLOOKUP($A5979,HeadJournal!$A$1:$K$890,COLUMN(HeadJournal!K$1),0)-VLOOKUP($A5979,HeadJournal!$A$1:$K$890,COLUMN(HeadJournal!J$1),0))*($K5979+$L5979)/(SUMIF($A:$A,$A5979,$K:$K)+SUMIF($A:$A,$A5979,$L:$L)),0)</f>
        <v>0</v>
      </c>
      <c r="O5979" s="30">
        <f>IFERROR((VLOOKUP($A5979,HeadJournal!$A$1:$L$890,COLUMN(HeadJournal!L$1),0)*($K5979+$L5979)/(SUMIF($A:$A,$A5979,$K:$K)+SUMIF($A:$A,$A5979,$L:$L)))/VLOOKUP($A5979,HeadJournal!$A$1:$L$890,COLUMN(HeadJournal!H$1),0),0)</f>
        <v>0</v>
      </c>
      <c r="P5979" s="30">
        <f>IFERROR(SUM(K5979:O5979)*VLOOKUP($A5979,HeadJournal!$A$1:$L$890,COLUMN(HeadJournal!H$1),0),0)</f>
        <v>0</v>
      </c>
      <c r="Q5979" s="29"/>
      <c r="R5979" s="31"/>
      <c r="S5979" s="31"/>
      <c r="T5979" s="95" t="str">
        <f t="shared" si="420"/>
        <v/>
      </c>
      <c r="U5979" s="32">
        <f t="shared" si="447"/>
        <v>0</v>
      </c>
      <c r="V5979" s="22" t="str">
        <f t="shared" si="448"/>
        <v/>
      </c>
      <c r="X5979" s="33"/>
      <c r="Y5979" s="33"/>
    </row>
    <row r="5980" spans="1:25" x14ac:dyDescent="0.2">
      <c r="A5980" s="93"/>
      <c r="B5980" s="94" t="str">
        <f>IFERROR(VLOOKUP($A5980,HeadJournal!$A$1:$NTR$890,COLUMN(HeadJournal!B$1),0),"")</f>
        <v/>
      </c>
      <c r="C5980" s="94" t="str">
        <f>IFERROR(VLOOKUP($A5980,HeadJournal!$A$1:$NTR$890,COLUMN(HeadJournal!C$1),0),"")</f>
        <v/>
      </c>
      <c r="D5980" s="125" t="str">
        <f>IFERROR(VLOOKUP($A5980,HeadJournal!$A$1:$NTR$890,COLUMN(HeadJournal!D$1),0),"")</f>
        <v/>
      </c>
      <c r="E5980" s="95" t="str">
        <f>IFERROR(VLOOKUP($A5980,HeadJournal!$A$1:$NTR$890,COLUMN(HeadJournal!G$1),0),"")</f>
        <v/>
      </c>
      <c r="F5980" s="95" t="str">
        <f t="shared" si="419"/>
        <v/>
      </c>
      <c r="G5980" s="97"/>
      <c r="H5980" s="161"/>
      <c r="I5980" s="97"/>
      <c r="J5980" s="97"/>
      <c r="K5980" s="29"/>
      <c r="L5980" s="29"/>
      <c r="M5980" s="30">
        <f>IFERROR(VLOOKUP($A5980,HeadJournal!$A$1:$J$890,COLUMN(HeadJournal!I$1),0)*($K5980+$L5980)/(SUMIF($A:$A,$A5980,$K:$K)+SUMIF($A:$A,$A5980,$L:$L)),0)</f>
        <v>0</v>
      </c>
      <c r="N5980" s="30">
        <f>IFERROR((VLOOKUP($A5980,HeadJournal!$A$1:$K$890,COLUMN(HeadJournal!K$1),0)-VLOOKUP($A5980,HeadJournal!$A$1:$K$890,COLUMN(HeadJournal!J$1),0))*($K5980+$L5980)/(SUMIF($A:$A,$A5980,$K:$K)+SUMIF($A:$A,$A5980,$L:$L)),0)</f>
        <v>0</v>
      </c>
      <c r="O5980" s="30">
        <f>IFERROR((VLOOKUP($A5980,HeadJournal!$A$1:$L$890,COLUMN(HeadJournal!L$1),0)*($K5980+$L5980)/(SUMIF($A:$A,$A5980,$K:$K)+SUMIF($A:$A,$A5980,$L:$L)))/VLOOKUP($A5980,HeadJournal!$A$1:$L$890,COLUMN(HeadJournal!H$1),0),0)</f>
        <v>0</v>
      </c>
      <c r="P5980" s="30">
        <f>IFERROR(SUM(K5980:O5980)*VLOOKUP($A5980,HeadJournal!$A$1:$L$890,COLUMN(HeadJournal!H$1),0),0)</f>
        <v>0</v>
      </c>
      <c r="Q5980" s="29"/>
      <c r="R5980" s="31"/>
      <c r="S5980" s="31"/>
      <c r="T5980" s="95" t="str">
        <f t="shared" si="420"/>
        <v/>
      </c>
      <c r="U5980" s="32">
        <f t="shared" si="447"/>
        <v>0</v>
      </c>
      <c r="V5980" s="22" t="str">
        <f t="shared" si="448"/>
        <v/>
      </c>
      <c r="X5980" s="33"/>
      <c r="Y5980" s="33"/>
    </row>
    <row r="5981" spans="1:25" x14ac:dyDescent="0.2">
      <c r="A5981" s="93"/>
      <c r="B5981" s="94" t="str">
        <f>IFERROR(VLOOKUP($A5981,HeadJournal!$A$1:$NTR$890,COLUMN(HeadJournal!B$1),0),"")</f>
        <v/>
      </c>
      <c r="C5981" s="94" t="str">
        <f>IFERROR(VLOOKUP($A5981,HeadJournal!$A$1:$NTR$890,COLUMN(HeadJournal!C$1),0),"")</f>
        <v/>
      </c>
      <c r="D5981" s="125" t="str">
        <f>IFERROR(VLOOKUP($A5981,HeadJournal!$A$1:$NTR$890,COLUMN(HeadJournal!D$1),0),"")</f>
        <v/>
      </c>
      <c r="E5981" s="95" t="str">
        <f>IFERROR(VLOOKUP($A5981,HeadJournal!$A$1:$NTR$890,COLUMN(HeadJournal!G$1),0),"")</f>
        <v/>
      </c>
      <c r="F5981" s="95" t="str">
        <f t="shared" si="419"/>
        <v/>
      </c>
      <c r="G5981" s="97"/>
      <c r="H5981" s="161"/>
      <c r="I5981" s="97"/>
      <c r="J5981" s="97"/>
      <c r="K5981" s="29"/>
      <c r="L5981" s="29"/>
      <c r="M5981" s="30">
        <f>IFERROR(VLOOKUP($A5981,HeadJournal!$A$1:$J$890,COLUMN(HeadJournal!I$1),0)*($K5981+$L5981)/(SUMIF($A:$A,$A5981,$K:$K)+SUMIF($A:$A,$A5981,$L:$L)),0)</f>
        <v>0</v>
      </c>
      <c r="N5981" s="30">
        <f>IFERROR((VLOOKUP($A5981,HeadJournal!$A$1:$K$890,COLUMN(HeadJournal!K$1),0)-VLOOKUP($A5981,HeadJournal!$A$1:$K$890,COLUMN(HeadJournal!J$1),0))*($K5981+$L5981)/(SUMIF($A:$A,$A5981,$K:$K)+SUMIF($A:$A,$A5981,$L:$L)),0)</f>
        <v>0</v>
      </c>
      <c r="O5981" s="30">
        <f>IFERROR((VLOOKUP($A5981,HeadJournal!$A$1:$L$890,COLUMN(HeadJournal!L$1),0)*($K5981+$L5981)/(SUMIF($A:$A,$A5981,$K:$K)+SUMIF($A:$A,$A5981,$L:$L)))/VLOOKUP($A5981,HeadJournal!$A$1:$L$890,COLUMN(HeadJournal!H$1),0),0)</f>
        <v>0</v>
      </c>
      <c r="P5981" s="30">
        <f>IFERROR(SUM(K5981:O5981)*VLOOKUP($A5981,HeadJournal!$A$1:$L$890,COLUMN(HeadJournal!H$1),0),0)</f>
        <v>0</v>
      </c>
      <c r="Q5981" s="29"/>
      <c r="R5981" s="31"/>
      <c r="S5981" s="31"/>
      <c r="T5981" s="95" t="str">
        <f t="shared" si="420"/>
        <v/>
      </c>
      <c r="U5981" s="32">
        <f t="shared" si="447"/>
        <v>0</v>
      </c>
      <c r="V5981" s="22" t="str">
        <f t="shared" si="448"/>
        <v/>
      </c>
      <c r="X5981" s="33"/>
      <c r="Y5981" s="33"/>
    </row>
    <row r="5982" spans="1:25" x14ac:dyDescent="0.2">
      <c r="A5982" s="93"/>
      <c r="B5982" s="94" t="str">
        <f>IFERROR(VLOOKUP($A5982,HeadJournal!$A$1:$NTR$890,COLUMN(HeadJournal!B$1),0),"")</f>
        <v/>
      </c>
      <c r="C5982" s="94" t="str">
        <f>IFERROR(VLOOKUP($A5982,HeadJournal!$A$1:$NTR$890,COLUMN(HeadJournal!C$1),0),"")</f>
        <v/>
      </c>
      <c r="D5982" s="125" t="str">
        <f>IFERROR(VLOOKUP($A5982,HeadJournal!$A$1:$NTR$890,COLUMN(HeadJournal!D$1),0),"")</f>
        <v/>
      </c>
      <c r="E5982" s="95" t="str">
        <f>IFERROR(VLOOKUP($A5982,HeadJournal!$A$1:$NTR$890,COLUMN(HeadJournal!G$1),0),"")</f>
        <v/>
      </c>
      <c r="F5982" s="95" t="str">
        <f t="shared" si="419"/>
        <v/>
      </c>
      <c r="G5982" s="97"/>
      <c r="H5982" s="161"/>
      <c r="I5982" s="97"/>
      <c r="J5982" s="97"/>
      <c r="K5982" s="29"/>
      <c r="L5982" s="29"/>
      <c r="M5982" s="30">
        <f>IFERROR(VLOOKUP($A5982,HeadJournal!$A$1:$J$890,COLUMN(HeadJournal!I$1),0)*($K5982+$L5982)/(SUMIF($A:$A,$A5982,$K:$K)+SUMIF($A:$A,$A5982,$L:$L)),0)</f>
        <v>0</v>
      </c>
      <c r="N5982" s="30">
        <f>IFERROR((VLOOKUP($A5982,HeadJournal!$A$1:$K$890,COLUMN(HeadJournal!K$1),0)-VLOOKUP($A5982,HeadJournal!$A$1:$K$890,COLUMN(HeadJournal!J$1),0))*($K5982+$L5982)/(SUMIF($A:$A,$A5982,$K:$K)+SUMIF($A:$A,$A5982,$L:$L)),0)</f>
        <v>0</v>
      </c>
      <c r="O5982" s="30">
        <f>IFERROR((VLOOKUP($A5982,HeadJournal!$A$1:$L$890,COLUMN(HeadJournal!L$1),0)*($K5982+$L5982)/(SUMIF($A:$A,$A5982,$K:$K)+SUMIF($A:$A,$A5982,$L:$L)))/VLOOKUP($A5982,HeadJournal!$A$1:$L$890,COLUMN(HeadJournal!H$1),0),0)</f>
        <v>0</v>
      </c>
      <c r="P5982" s="30">
        <f>IFERROR(SUM(K5982:O5982)*VLOOKUP($A5982,HeadJournal!$A$1:$L$890,COLUMN(HeadJournal!H$1),0),0)</f>
        <v>0</v>
      </c>
      <c r="Q5982" s="29"/>
      <c r="R5982" s="31"/>
      <c r="S5982" s="31"/>
      <c r="T5982" s="95" t="str">
        <f t="shared" si="420"/>
        <v/>
      </c>
      <c r="U5982" s="32">
        <f t="shared" si="447"/>
        <v>0</v>
      </c>
      <c r="V5982" s="22" t="str">
        <f t="shared" si="448"/>
        <v/>
      </c>
      <c r="X5982" s="33"/>
      <c r="Y5982" s="33"/>
    </row>
    <row r="5983" spans="1:25" x14ac:dyDescent="0.2">
      <c r="A5983" s="93"/>
      <c r="B5983" s="94" t="str">
        <f>IFERROR(VLOOKUP($A5983,HeadJournal!$A$1:$NTR$890,COLUMN(HeadJournal!B$1),0),"")</f>
        <v/>
      </c>
      <c r="C5983" s="94" t="str">
        <f>IFERROR(VLOOKUP($A5983,HeadJournal!$A$1:$NTR$890,COLUMN(HeadJournal!C$1),0),"")</f>
        <v/>
      </c>
      <c r="D5983" s="125" t="str">
        <f>IFERROR(VLOOKUP($A5983,HeadJournal!$A$1:$NTR$890,COLUMN(HeadJournal!D$1),0),"")</f>
        <v/>
      </c>
      <c r="E5983" s="95" t="str">
        <f>IFERROR(VLOOKUP($A5983,HeadJournal!$A$1:$NTR$890,COLUMN(HeadJournal!G$1),0),"")</f>
        <v/>
      </c>
      <c r="F5983" s="95" t="str">
        <f t="shared" si="419"/>
        <v/>
      </c>
      <c r="G5983" s="97"/>
      <c r="H5983" s="161"/>
      <c r="I5983" s="97"/>
      <c r="J5983" s="97"/>
      <c r="K5983" s="29"/>
      <c r="L5983" s="29"/>
      <c r="M5983" s="30">
        <f>IFERROR(VLOOKUP($A5983,HeadJournal!$A$1:$J$890,COLUMN(HeadJournal!I$1),0)*($K5983+$L5983)/(SUMIF($A:$A,$A5983,$K:$K)+SUMIF($A:$A,$A5983,$L:$L)),0)</f>
        <v>0</v>
      </c>
      <c r="N5983" s="30">
        <f>IFERROR((VLOOKUP($A5983,HeadJournal!$A$1:$K$890,COLUMN(HeadJournal!K$1),0)-VLOOKUP($A5983,HeadJournal!$A$1:$K$890,COLUMN(HeadJournal!J$1),0))*($K5983+$L5983)/(SUMIF($A:$A,$A5983,$K:$K)+SUMIF($A:$A,$A5983,$L:$L)),0)</f>
        <v>0</v>
      </c>
      <c r="O5983" s="30">
        <f>IFERROR((VLOOKUP($A5983,HeadJournal!$A$1:$L$890,COLUMN(HeadJournal!L$1),0)*($K5983+$L5983)/(SUMIF($A:$A,$A5983,$K:$K)+SUMIF($A:$A,$A5983,$L:$L)))/VLOOKUP($A5983,HeadJournal!$A$1:$L$890,COLUMN(HeadJournal!H$1),0),0)</f>
        <v>0</v>
      </c>
      <c r="P5983" s="30">
        <f>IFERROR(SUM(K5983:O5983)*VLOOKUP($A5983,HeadJournal!$A$1:$L$890,COLUMN(HeadJournal!H$1),0),0)</f>
        <v>0</v>
      </c>
      <c r="Q5983" s="29"/>
      <c r="R5983" s="31"/>
      <c r="S5983" s="31"/>
      <c r="T5983" s="95" t="str">
        <f t="shared" si="420"/>
        <v/>
      </c>
      <c r="U5983" s="32">
        <f t="shared" si="447"/>
        <v>0</v>
      </c>
      <c r="V5983" s="22" t="str">
        <f t="shared" si="448"/>
        <v/>
      </c>
      <c r="X5983" s="33"/>
      <c r="Y5983" s="33"/>
    </row>
    <row r="5984" spans="1:25" x14ac:dyDescent="0.2">
      <c r="A5984" s="93"/>
      <c r="B5984" s="94" t="str">
        <f>IFERROR(VLOOKUP($A5984,HeadJournal!$A$1:$NTR$890,COLUMN(HeadJournal!B$1),0),"")</f>
        <v/>
      </c>
      <c r="C5984" s="94" t="str">
        <f>IFERROR(VLOOKUP($A5984,HeadJournal!$A$1:$NTR$890,COLUMN(HeadJournal!C$1),0),"")</f>
        <v/>
      </c>
      <c r="D5984" s="125" t="str">
        <f>IFERROR(VLOOKUP($A5984,HeadJournal!$A$1:$NTR$890,COLUMN(HeadJournal!D$1),0),"")</f>
        <v/>
      </c>
      <c r="E5984" s="95" t="str">
        <f>IFERROR(VLOOKUP($A5984,HeadJournal!$A$1:$NTR$890,COLUMN(HeadJournal!G$1),0),"")</f>
        <v/>
      </c>
      <c r="F5984" s="95" t="str">
        <f t="shared" si="419"/>
        <v/>
      </c>
      <c r="G5984" s="97"/>
      <c r="H5984" s="161"/>
      <c r="I5984" s="97"/>
      <c r="J5984" s="97"/>
      <c r="K5984" s="29"/>
      <c r="L5984" s="29"/>
      <c r="M5984" s="30">
        <f>IFERROR(VLOOKUP($A5984,HeadJournal!$A$1:$J$890,COLUMN(HeadJournal!I$1),0)*($K5984+$L5984)/(SUMIF($A:$A,$A5984,$K:$K)+SUMIF($A:$A,$A5984,$L:$L)),0)</f>
        <v>0</v>
      </c>
      <c r="N5984" s="30">
        <f>IFERROR((VLOOKUP($A5984,HeadJournal!$A$1:$K$890,COLUMN(HeadJournal!K$1),0)-VLOOKUP($A5984,HeadJournal!$A$1:$K$890,COLUMN(HeadJournal!J$1),0))*($K5984+$L5984)/(SUMIF($A:$A,$A5984,$K:$K)+SUMIF($A:$A,$A5984,$L:$L)),0)</f>
        <v>0</v>
      </c>
      <c r="O5984" s="30">
        <f>IFERROR((VLOOKUP($A5984,HeadJournal!$A$1:$L$890,COLUMN(HeadJournal!L$1),0)*($K5984+$L5984)/(SUMIF($A:$A,$A5984,$K:$K)+SUMIF($A:$A,$A5984,$L:$L)))/VLOOKUP($A5984,HeadJournal!$A$1:$L$890,COLUMN(HeadJournal!H$1),0),0)</f>
        <v>0</v>
      </c>
      <c r="P5984" s="30">
        <f>IFERROR(SUM(K5984:O5984)*VLOOKUP($A5984,HeadJournal!$A$1:$L$890,COLUMN(HeadJournal!H$1),0),0)</f>
        <v>0</v>
      </c>
      <c r="Q5984" s="29"/>
      <c r="R5984" s="31"/>
      <c r="S5984" s="31"/>
      <c r="T5984" s="95" t="str">
        <f t="shared" si="420"/>
        <v/>
      </c>
      <c r="U5984" s="32">
        <f t="shared" si="447"/>
        <v>0</v>
      </c>
      <c r="V5984" s="22" t="str">
        <f t="shared" si="448"/>
        <v/>
      </c>
      <c r="X5984" s="33"/>
      <c r="Y5984" s="33"/>
    </row>
    <row r="5985" spans="1:25" x14ac:dyDescent="0.2">
      <c r="A5985" s="93"/>
      <c r="B5985" s="94" t="str">
        <f>IFERROR(VLOOKUP($A5985,HeadJournal!$A$1:$NTR$890,COLUMN(HeadJournal!B$1),0),"")</f>
        <v/>
      </c>
      <c r="C5985" s="94" t="str">
        <f>IFERROR(VLOOKUP($A5985,HeadJournal!$A$1:$NTR$890,COLUMN(HeadJournal!C$1),0),"")</f>
        <v/>
      </c>
      <c r="D5985" s="125" t="str">
        <f>IFERROR(VLOOKUP($A5985,HeadJournal!$A$1:$NTR$890,COLUMN(HeadJournal!D$1),0),"")</f>
        <v/>
      </c>
      <c r="E5985" s="95" t="str">
        <f>IFERROR(VLOOKUP($A5985,HeadJournal!$A$1:$NTR$890,COLUMN(HeadJournal!G$1),0),"")</f>
        <v/>
      </c>
      <c r="F5985" s="95" t="str">
        <f t="shared" si="419"/>
        <v/>
      </c>
      <c r="G5985" s="97"/>
      <c r="H5985" s="161"/>
      <c r="I5985" s="97"/>
      <c r="J5985" s="97"/>
      <c r="K5985" s="29"/>
      <c r="L5985" s="29"/>
      <c r="M5985" s="30">
        <f>IFERROR(VLOOKUP($A5985,HeadJournal!$A$1:$J$890,COLUMN(HeadJournal!I$1),0)*($K5985+$L5985)/(SUMIF($A:$A,$A5985,$K:$K)+SUMIF($A:$A,$A5985,$L:$L)),0)</f>
        <v>0</v>
      </c>
      <c r="N5985" s="30">
        <f>IFERROR((VLOOKUP($A5985,HeadJournal!$A$1:$K$890,COLUMN(HeadJournal!K$1),0)-VLOOKUP($A5985,HeadJournal!$A$1:$K$890,COLUMN(HeadJournal!J$1),0))*($K5985+$L5985)/(SUMIF($A:$A,$A5985,$K:$K)+SUMIF($A:$A,$A5985,$L:$L)),0)</f>
        <v>0</v>
      </c>
      <c r="O5985" s="30">
        <f>IFERROR((VLOOKUP($A5985,HeadJournal!$A$1:$L$890,COLUMN(HeadJournal!L$1),0)*($K5985+$L5985)/(SUMIF($A:$A,$A5985,$K:$K)+SUMIF($A:$A,$A5985,$L:$L)))/VLOOKUP($A5985,HeadJournal!$A$1:$L$890,COLUMN(HeadJournal!H$1),0),0)</f>
        <v>0</v>
      </c>
      <c r="P5985" s="30">
        <f>IFERROR(SUM(K5985:O5985)*VLOOKUP($A5985,HeadJournal!$A$1:$L$890,COLUMN(HeadJournal!H$1),0),0)</f>
        <v>0</v>
      </c>
      <c r="Q5985" s="29"/>
      <c r="R5985" s="31"/>
      <c r="S5985" s="31"/>
      <c r="T5985" s="95" t="str">
        <f t="shared" si="420"/>
        <v/>
      </c>
      <c r="U5985" s="32">
        <f t="shared" si="447"/>
        <v>0</v>
      </c>
      <c r="V5985" s="22" t="str">
        <f t="shared" si="448"/>
        <v/>
      </c>
      <c r="X5985" s="33"/>
      <c r="Y5985" s="33"/>
    </row>
    <row r="5986" spans="1:25" x14ac:dyDescent="0.2">
      <c r="A5986" s="93"/>
      <c r="B5986" s="94" t="str">
        <f>IFERROR(VLOOKUP($A5986,HeadJournal!$A$1:$NTR$890,COLUMN(HeadJournal!B$1),0),"")</f>
        <v/>
      </c>
      <c r="C5986" s="94" t="str">
        <f>IFERROR(VLOOKUP($A5986,HeadJournal!$A$1:$NTR$890,COLUMN(HeadJournal!C$1),0),"")</f>
        <v/>
      </c>
      <c r="D5986" s="125" t="str">
        <f>IFERROR(VLOOKUP($A5986,HeadJournal!$A$1:$NTR$890,COLUMN(HeadJournal!D$1),0),"")</f>
        <v/>
      </c>
      <c r="E5986" s="95" t="str">
        <f>IFERROR(VLOOKUP($A5986,HeadJournal!$A$1:$NTR$890,COLUMN(HeadJournal!G$1),0),"")</f>
        <v/>
      </c>
      <c r="F5986" s="95" t="str">
        <f t="shared" si="419"/>
        <v/>
      </c>
      <c r="G5986" s="97"/>
      <c r="H5986" s="161"/>
      <c r="I5986" s="97"/>
      <c r="J5986" s="97"/>
      <c r="K5986" s="29"/>
      <c r="L5986" s="29"/>
      <c r="M5986" s="30">
        <f>IFERROR(VLOOKUP($A5986,HeadJournal!$A$1:$J$890,COLUMN(HeadJournal!I$1),0)*($K5986+$L5986)/(SUMIF($A:$A,$A5986,$K:$K)+SUMIF($A:$A,$A5986,$L:$L)),0)</f>
        <v>0</v>
      </c>
      <c r="N5986" s="30">
        <f>IFERROR((VLOOKUP($A5986,HeadJournal!$A$1:$K$890,COLUMN(HeadJournal!K$1),0)-VLOOKUP($A5986,HeadJournal!$A$1:$K$890,COLUMN(HeadJournal!J$1),0))*($K5986+$L5986)/(SUMIF($A:$A,$A5986,$K:$K)+SUMIF($A:$A,$A5986,$L:$L)),0)</f>
        <v>0</v>
      </c>
      <c r="O5986" s="30">
        <f>IFERROR((VLOOKUP($A5986,HeadJournal!$A$1:$L$890,COLUMN(HeadJournal!L$1),0)*($K5986+$L5986)/(SUMIF($A:$A,$A5986,$K:$K)+SUMIF($A:$A,$A5986,$L:$L)))/VLOOKUP($A5986,HeadJournal!$A$1:$L$890,COLUMN(HeadJournal!H$1),0),0)</f>
        <v>0</v>
      </c>
      <c r="P5986" s="30">
        <f>IFERROR(SUM(K5986:O5986)*VLOOKUP($A5986,HeadJournal!$A$1:$L$890,COLUMN(HeadJournal!H$1),0),0)</f>
        <v>0</v>
      </c>
      <c r="Q5986" s="29"/>
      <c r="R5986" s="31"/>
      <c r="S5986" s="31"/>
      <c r="T5986" s="95" t="str">
        <f t="shared" si="420"/>
        <v/>
      </c>
      <c r="U5986" s="32">
        <f t="shared" si="447"/>
        <v>0</v>
      </c>
      <c r="V5986" s="22" t="str">
        <f t="shared" si="448"/>
        <v/>
      </c>
      <c r="X5986" s="33"/>
      <c r="Y5986" s="33"/>
    </row>
    <row r="5987" spans="1:25" x14ac:dyDescent="0.2">
      <c r="A5987" s="93"/>
      <c r="B5987" s="94" t="str">
        <f>IFERROR(VLOOKUP($A5987,HeadJournal!$A$1:$NTR$890,COLUMN(HeadJournal!B$1),0),"")</f>
        <v/>
      </c>
      <c r="C5987" s="94" t="str">
        <f>IFERROR(VLOOKUP($A5987,HeadJournal!$A$1:$NTR$890,COLUMN(HeadJournal!C$1),0),"")</f>
        <v/>
      </c>
      <c r="D5987" s="125" t="str">
        <f>IFERROR(VLOOKUP($A5987,HeadJournal!$A$1:$NTR$890,COLUMN(HeadJournal!D$1),0),"")</f>
        <v/>
      </c>
      <c r="E5987" s="95" t="str">
        <f>IFERROR(VLOOKUP($A5987,HeadJournal!$A$1:$NTR$890,COLUMN(HeadJournal!G$1),0),"")</f>
        <v/>
      </c>
      <c r="F5987" s="95" t="str">
        <f t="shared" si="419"/>
        <v/>
      </c>
      <c r="G5987" s="97"/>
      <c r="H5987" s="161"/>
      <c r="I5987" s="97"/>
      <c r="J5987" s="97"/>
      <c r="K5987" s="29"/>
      <c r="L5987" s="29"/>
      <c r="M5987" s="30">
        <f>IFERROR(VLOOKUP($A5987,HeadJournal!$A$1:$J$890,COLUMN(HeadJournal!I$1),0)*($K5987+$L5987)/(SUMIF($A:$A,$A5987,$K:$K)+SUMIF($A:$A,$A5987,$L:$L)),0)</f>
        <v>0</v>
      </c>
      <c r="N5987" s="30">
        <f>IFERROR((VLOOKUP($A5987,HeadJournal!$A$1:$K$890,COLUMN(HeadJournal!K$1),0)-VLOOKUP($A5987,HeadJournal!$A$1:$K$890,COLUMN(HeadJournal!J$1),0))*($K5987+$L5987)/(SUMIF($A:$A,$A5987,$K:$K)+SUMIF($A:$A,$A5987,$L:$L)),0)</f>
        <v>0</v>
      </c>
      <c r="O5987" s="30">
        <f>IFERROR((VLOOKUP($A5987,HeadJournal!$A$1:$L$890,COLUMN(HeadJournal!L$1),0)*($K5987+$L5987)/(SUMIF($A:$A,$A5987,$K:$K)+SUMIF($A:$A,$A5987,$L:$L)))/VLOOKUP($A5987,HeadJournal!$A$1:$L$890,COLUMN(HeadJournal!H$1),0),0)</f>
        <v>0</v>
      </c>
      <c r="P5987" s="30">
        <f>IFERROR(SUM(K5987:O5987)*VLOOKUP($A5987,HeadJournal!$A$1:$L$890,COLUMN(HeadJournal!H$1),0),0)</f>
        <v>0</v>
      </c>
      <c r="Q5987" s="29"/>
      <c r="R5987" s="31"/>
      <c r="S5987" s="31"/>
      <c r="T5987" s="95" t="str">
        <f t="shared" si="420"/>
        <v/>
      </c>
      <c r="U5987" s="32">
        <f t="shared" si="447"/>
        <v>0</v>
      </c>
      <c r="V5987" s="22" t="str">
        <f t="shared" si="448"/>
        <v/>
      </c>
      <c r="X5987" s="33"/>
      <c r="Y5987" s="33"/>
    </row>
    <row r="5988" spans="1:25" x14ac:dyDescent="0.2">
      <c r="A5988" s="93"/>
      <c r="B5988" s="94" t="str">
        <f>IFERROR(VLOOKUP($A5988,HeadJournal!$A$1:$NTR$890,COLUMN(HeadJournal!B$1),0),"")</f>
        <v/>
      </c>
      <c r="C5988" s="94" t="str">
        <f>IFERROR(VLOOKUP($A5988,HeadJournal!$A$1:$NTR$890,COLUMN(HeadJournal!C$1),0),"")</f>
        <v/>
      </c>
      <c r="D5988" s="125" t="str">
        <f>IFERROR(VLOOKUP($A5988,HeadJournal!$A$1:$NTR$890,COLUMN(HeadJournal!D$1),0),"")</f>
        <v/>
      </c>
      <c r="E5988" s="95" t="str">
        <f>IFERROR(VLOOKUP($A5988,HeadJournal!$A$1:$NTR$890,COLUMN(HeadJournal!G$1),0),"")</f>
        <v/>
      </c>
      <c r="F5988" s="95" t="str">
        <f t="shared" si="419"/>
        <v/>
      </c>
      <c r="G5988" s="97"/>
      <c r="H5988" s="161"/>
      <c r="I5988" s="97"/>
      <c r="J5988" s="97"/>
      <c r="K5988" s="29"/>
      <c r="L5988" s="29"/>
      <c r="M5988" s="30">
        <f>IFERROR(VLOOKUP($A5988,HeadJournal!$A$1:$J$890,COLUMN(HeadJournal!I$1),0)*($K5988+$L5988)/(SUMIF($A:$A,$A5988,$K:$K)+SUMIF($A:$A,$A5988,$L:$L)),0)</f>
        <v>0</v>
      </c>
      <c r="N5988" s="30">
        <f>IFERROR((VLOOKUP($A5988,HeadJournal!$A$1:$K$890,COLUMN(HeadJournal!K$1),0)-VLOOKUP($A5988,HeadJournal!$A$1:$K$890,COLUMN(HeadJournal!J$1),0))*($K5988+$L5988)/(SUMIF($A:$A,$A5988,$K:$K)+SUMIF($A:$A,$A5988,$L:$L)),0)</f>
        <v>0</v>
      </c>
      <c r="O5988" s="30">
        <f>IFERROR((VLOOKUP($A5988,HeadJournal!$A$1:$L$890,COLUMN(HeadJournal!L$1),0)*($K5988+$L5988)/(SUMIF($A:$A,$A5988,$K:$K)+SUMIF($A:$A,$A5988,$L:$L)))/VLOOKUP($A5988,HeadJournal!$A$1:$L$890,COLUMN(HeadJournal!H$1),0),0)</f>
        <v>0</v>
      </c>
      <c r="P5988" s="30">
        <f>IFERROR(SUM(K5988:O5988)*VLOOKUP($A5988,HeadJournal!$A$1:$L$890,COLUMN(HeadJournal!H$1),0),0)</f>
        <v>0</v>
      </c>
      <c r="Q5988" s="29"/>
      <c r="R5988" s="31"/>
      <c r="S5988" s="31"/>
      <c r="T5988" s="95" t="str">
        <f t="shared" si="420"/>
        <v/>
      </c>
      <c r="U5988" s="32">
        <f t="shared" si="447"/>
        <v>0</v>
      </c>
      <c r="V5988" s="22" t="str">
        <f t="shared" si="448"/>
        <v/>
      </c>
      <c r="X5988" s="33"/>
      <c r="Y5988" s="33"/>
    </row>
    <row r="5989" spans="1:25" x14ac:dyDescent="0.2">
      <c r="A5989" s="93"/>
      <c r="B5989" s="94" t="str">
        <f>IFERROR(VLOOKUP($A5989,HeadJournal!$A$1:$NTR$890,COLUMN(HeadJournal!B$1),0),"")</f>
        <v/>
      </c>
      <c r="C5989" s="94" t="str">
        <f>IFERROR(VLOOKUP($A5989,HeadJournal!$A$1:$NTR$890,COLUMN(HeadJournal!C$1),0),"")</f>
        <v/>
      </c>
      <c r="D5989" s="125" t="str">
        <f>IFERROR(VLOOKUP($A5989,HeadJournal!$A$1:$NTR$890,COLUMN(HeadJournal!D$1),0),"")</f>
        <v/>
      </c>
      <c r="E5989" s="95" t="str">
        <f>IFERROR(VLOOKUP($A5989,HeadJournal!$A$1:$NTR$890,COLUMN(HeadJournal!G$1),0),"")</f>
        <v/>
      </c>
      <c r="F5989" s="95" t="str">
        <f t="shared" si="419"/>
        <v/>
      </c>
      <c r="G5989" s="97"/>
      <c r="H5989" s="161"/>
      <c r="I5989" s="97"/>
      <c r="J5989" s="97"/>
      <c r="K5989" s="29"/>
      <c r="L5989" s="29"/>
      <c r="M5989" s="30">
        <f>IFERROR(VLOOKUP($A5989,HeadJournal!$A$1:$J$890,COLUMN(HeadJournal!I$1),0)*($K5989+$L5989)/(SUMIF($A:$A,$A5989,$K:$K)+SUMIF($A:$A,$A5989,$L:$L)),0)</f>
        <v>0</v>
      </c>
      <c r="N5989" s="30">
        <f>IFERROR((VLOOKUP($A5989,HeadJournal!$A$1:$K$890,COLUMN(HeadJournal!K$1),0)-VLOOKUP($A5989,HeadJournal!$A$1:$K$890,COLUMN(HeadJournal!J$1),0))*($K5989+$L5989)/(SUMIF($A:$A,$A5989,$K:$K)+SUMIF($A:$A,$A5989,$L:$L)),0)</f>
        <v>0</v>
      </c>
      <c r="O5989" s="30">
        <f>IFERROR((VLOOKUP($A5989,HeadJournal!$A$1:$L$890,COLUMN(HeadJournal!L$1),0)*($K5989+$L5989)/(SUMIF($A:$A,$A5989,$K:$K)+SUMIF($A:$A,$A5989,$L:$L)))/VLOOKUP($A5989,HeadJournal!$A$1:$L$890,COLUMN(HeadJournal!H$1),0),0)</f>
        <v>0</v>
      </c>
      <c r="P5989" s="30">
        <f>IFERROR(SUM(K5989:O5989)*VLOOKUP($A5989,HeadJournal!$A$1:$L$890,COLUMN(HeadJournal!H$1),0),0)</f>
        <v>0</v>
      </c>
      <c r="Q5989" s="29"/>
      <c r="R5989" s="31"/>
      <c r="S5989" s="31"/>
      <c r="T5989" s="95" t="str">
        <f t="shared" si="420"/>
        <v/>
      </c>
      <c r="U5989" s="32">
        <f t="shared" si="447"/>
        <v>0</v>
      </c>
      <c r="V5989" s="22" t="str">
        <f t="shared" si="448"/>
        <v/>
      </c>
      <c r="X5989" s="33"/>
      <c r="Y5989" s="33"/>
    </row>
    <row r="5990" spans="1:25" x14ac:dyDescent="0.2">
      <c r="A5990" s="93"/>
      <c r="B5990" s="94" t="str">
        <f>IFERROR(VLOOKUP($A5990,HeadJournal!$A$1:$NTR$890,COLUMN(HeadJournal!B$1),0),"")</f>
        <v/>
      </c>
      <c r="C5990" s="94" t="str">
        <f>IFERROR(VLOOKUP($A5990,HeadJournal!$A$1:$NTR$890,COLUMN(HeadJournal!C$1),0),"")</f>
        <v/>
      </c>
      <c r="D5990" s="125" t="str">
        <f>IFERROR(VLOOKUP($A5990,HeadJournal!$A$1:$NTR$890,COLUMN(HeadJournal!D$1),0),"")</f>
        <v/>
      </c>
      <c r="E5990" s="95" t="str">
        <f>IFERROR(VLOOKUP($A5990,HeadJournal!$A$1:$NTR$890,COLUMN(HeadJournal!G$1),0),"")</f>
        <v/>
      </c>
      <c r="F5990" s="95" t="str">
        <f t="shared" si="419"/>
        <v/>
      </c>
      <c r="G5990" s="97"/>
      <c r="H5990" s="161"/>
      <c r="I5990" s="97"/>
      <c r="J5990" s="97"/>
      <c r="K5990" s="29"/>
      <c r="L5990" s="29"/>
      <c r="M5990" s="30">
        <f>IFERROR(VLOOKUP($A5990,HeadJournal!$A$1:$J$890,COLUMN(HeadJournal!I$1),0)*($K5990+$L5990)/(SUMIF($A:$A,$A5990,$K:$K)+SUMIF($A:$A,$A5990,$L:$L)),0)</f>
        <v>0</v>
      </c>
      <c r="N5990" s="30">
        <f>IFERROR((VLOOKUP($A5990,HeadJournal!$A$1:$K$890,COLUMN(HeadJournal!K$1),0)-VLOOKUP($A5990,HeadJournal!$A$1:$K$890,COLUMN(HeadJournal!J$1),0))*($K5990+$L5990)/(SUMIF($A:$A,$A5990,$K:$K)+SUMIF($A:$A,$A5990,$L:$L)),0)</f>
        <v>0</v>
      </c>
      <c r="O5990" s="30">
        <f>IFERROR((VLOOKUP($A5990,HeadJournal!$A$1:$L$890,COLUMN(HeadJournal!L$1),0)*($K5990+$L5990)/(SUMIF($A:$A,$A5990,$K:$K)+SUMIF($A:$A,$A5990,$L:$L)))/VLOOKUP($A5990,HeadJournal!$A$1:$L$890,COLUMN(HeadJournal!H$1),0),0)</f>
        <v>0</v>
      </c>
      <c r="P5990" s="30">
        <f>IFERROR(SUM(K5990:O5990)*VLOOKUP($A5990,HeadJournal!$A$1:$L$890,COLUMN(HeadJournal!H$1),0),0)</f>
        <v>0</v>
      </c>
      <c r="Q5990" s="29"/>
      <c r="R5990" s="31"/>
      <c r="S5990" s="31"/>
      <c r="T5990" s="95" t="str">
        <f t="shared" si="420"/>
        <v/>
      </c>
      <c r="U5990" s="32">
        <f t="shared" si="447"/>
        <v>0</v>
      </c>
      <c r="V5990" s="22" t="str">
        <f t="shared" si="448"/>
        <v/>
      </c>
      <c r="X5990" s="33"/>
      <c r="Y5990" s="33"/>
    </row>
    <row r="5991" spans="1:25" x14ac:dyDescent="0.2">
      <c r="A5991" s="93"/>
      <c r="B5991" s="94" t="str">
        <f>IFERROR(VLOOKUP($A5991,HeadJournal!$A$1:$NTR$890,COLUMN(HeadJournal!B$1),0),"")</f>
        <v/>
      </c>
      <c r="C5991" s="94" t="str">
        <f>IFERROR(VLOOKUP($A5991,HeadJournal!$A$1:$NTR$890,COLUMN(HeadJournal!C$1),0),"")</f>
        <v/>
      </c>
      <c r="D5991" s="125" t="str">
        <f>IFERROR(VLOOKUP($A5991,HeadJournal!$A$1:$NTR$890,COLUMN(HeadJournal!D$1),0),"")</f>
        <v/>
      </c>
      <c r="E5991" s="95" t="str">
        <f>IFERROR(VLOOKUP($A5991,HeadJournal!$A$1:$NTR$890,COLUMN(HeadJournal!G$1),0),"")</f>
        <v/>
      </c>
      <c r="F5991" s="95" t="str">
        <f t="shared" si="419"/>
        <v/>
      </c>
      <c r="G5991" s="97"/>
      <c r="H5991" s="161"/>
      <c r="I5991" s="97"/>
      <c r="J5991" s="97"/>
      <c r="K5991" s="29"/>
      <c r="L5991" s="29"/>
      <c r="M5991" s="30">
        <f>IFERROR(VLOOKUP($A5991,HeadJournal!$A$1:$J$890,COLUMN(HeadJournal!I$1),0)*($K5991+$L5991)/(SUMIF($A:$A,$A5991,$K:$K)+SUMIF($A:$A,$A5991,$L:$L)),0)</f>
        <v>0</v>
      </c>
      <c r="N5991" s="30">
        <f>IFERROR((VLOOKUP($A5991,HeadJournal!$A$1:$K$890,COLUMN(HeadJournal!K$1),0)-VLOOKUP($A5991,HeadJournal!$A$1:$K$890,COLUMN(HeadJournal!J$1),0))*($K5991+$L5991)/(SUMIF($A:$A,$A5991,$K:$K)+SUMIF($A:$A,$A5991,$L:$L)),0)</f>
        <v>0</v>
      </c>
      <c r="O5991" s="30">
        <f>IFERROR((VLOOKUP($A5991,HeadJournal!$A$1:$L$890,COLUMN(HeadJournal!L$1),0)*($K5991+$L5991)/(SUMIF($A:$A,$A5991,$K:$K)+SUMIF($A:$A,$A5991,$L:$L)))/VLOOKUP($A5991,HeadJournal!$A$1:$L$890,COLUMN(HeadJournal!H$1),0),0)</f>
        <v>0</v>
      </c>
      <c r="P5991" s="30">
        <f>IFERROR(SUM(K5991:O5991)*VLOOKUP($A5991,HeadJournal!$A$1:$L$890,COLUMN(HeadJournal!H$1),0),0)</f>
        <v>0</v>
      </c>
      <c r="Q5991" s="29"/>
      <c r="R5991" s="31"/>
      <c r="S5991" s="31"/>
      <c r="T5991" s="95" t="str">
        <f t="shared" si="420"/>
        <v/>
      </c>
      <c r="U5991" s="32">
        <f t="shared" si="447"/>
        <v>0</v>
      </c>
      <c r="V5991" s="22" t="str">
        <f t="shared" si="448"/>
        <v/>
      </c>
      <c r="X5991" s="33"/>
      <c r="Y5991" s="33"/>
    </row>
    <row r="5992" spans="1:25" x14ac:dyDescent="0.2">
      <c r="A5992" s="93"/>
      <c r="B5992" s="94" t="str">
        <f>IFERROR(VLOOKUP($A5992,HeadJournal!$A$1:$NTR$890,COLUMN(HeadJournal!B$1),0),"")</f>
        <v/>
      </c>
      <c r="C5992" s="94" t="str">
        <f>IFERROR(VLOOKUP($A5992,HeadJournal!$A$1:$NTR$890,COLUMN(HeadJournal!C$1),0),"")</f>
        <v/>
      </c>
      <c r="D5992" s="125" t="str">
        <f>IFERROR(VLOOKUP($A5992,HeadJournal!$A$1:$NTR$890,COLUMN(HeadJournal!D$1),0),"")</f>
        <v/>
      </c>
      <c r="E5992" s="95" t="str">
        <f>IFERROR(VLOOKUP($A5992,HeadJournal!$A$1:$NTR$890,COLUMN(HeadJournal!G$1),0),"")</f>
        <v/>
      </c>
      <c r="F5992" s="95" t="str">
        <f t="shared" si="419"/>
        <v/>
      </c>
      <c r="G5992" s="97"/>
      <c r="H5992" s="161"/>
      <c r="I5992" s="97"/>
      <c r="J5992" s="97"/>
      <c r="K5992" s="29"/>
      <c r="L5992" s="29"/>
      <c r="M5992" s="30">
        <f>IFERROR(VLOOKUP($A5992,HeadJournal!$A$1:$J$890,COLUMN(HeadJournal!I$1),0)*($K5992+$L5992)/(SUMIF($A:$A,$A5992,$K:$K)+SUMIF($A:$A,$A5992,$L:$L)),0)</f>
        <v>0</v>
      </c>
      <c r="N5992" s="30">
        <f>IFERROR((VLOOKUP($A5992,HeadJournal!$A$1:$K$890,COLUMN(HeadJournal!K$1),0)-VLOOKUP($A5992,HeadJournal!$A$1:$K$890,COLUMN(HeadJournal!J$1),0))*($K5992+$L5992)/(SUMIF($A:$A,$A5992,$K:$K)+SUMIF($A:$A,$A5992,$L:$L)),0)</f>
        <v>0</v>
      </c>
      <c r="O5992" s="30">
        <f>IFERROR((VLOOKUP($A5992,HeadJournal!$A$1:$L$890,COLUMN(HeadJournal!L$1),0)*($K5992+$L5992)/(SUMIF($A:$A,$A5992,$K:$K)+SUMIF($A:$A,$A5992,$L:$L)))/VLOOKUP($A5992,HeadJournal!$A$1:$L$890,COLUMN(HeadJournal!H$1),0),0)</f>
        <v>0</v>
      </c>
      <c r="P5992" s="30">
        <f>IFERROR(SUM(K5992:O5992)*VLOOKUP($A5992,HeadJournal!$A$1:$L$890,COLUMN(HeadJournal!H$1),0),0)</f>
        <v>0</v>
      </c>
      <c r="Q5992" s="29"/>
      <c r="R5992" s="31"/>
      <c r="S5992" s="31"/>
      <c r="T5992" s="95" t="str">
        <f t="shared" si="420"/>
        <v/>
      </c>
      <c r="U5992" s="32">
        <f t="shared" si="447"/>
        <v>0</v>
      </c>
      <c r="V5992" s="22" t="str">
        <f t="shared" si="448"/>
        <v/>
      </c>
      <c r="X5992" s="33"/>
      <c r="Y5992" s="33"/>
    </row>
    <row r="5993" spans="1:25" x14ac:dyDescent="0.2">
      <c r="A5993" s="93"/>
      <c r="B5993" s="94" t="str">
        <f>IFERROR(VLOOKUP($A5993,HeadJournal!$A$1:$NTR$890,COLUMN(HeadJournal!B$1),0),"")</f>
        <v/>
      </c>
      <c r="C5993" s="94" t="str">
        <f>IFERROR(VLOOKUP($A5993,HeadJournal!$A$1:$NTR$890,COLUMN(HeadJournal!C$1),0),"")</f>
        <v/>
      </c>
      <c r="D5993" s="125" t="str">
        <f>IFERROR(VLOOKUP($A5993,HeadJournal!$A$1:$NTR$890,COLUMN(HeadJournal!D$1),0),"")</f>
        <v/>
      </c>
      <c r="E5993" s="95" t="str">
        <f>IFERROR(VLOOKUP($A5993,HeadJournal!$A$1:$NTR$890,COLUMN(HeadJournal!G$1),0),"")</f>
        <v/>
      </c>
      <c r="F5993" s="95" t="str">
        <f t="shared" si="419"/>
        <v/>
      </c>
      <c r="G5993" s="97"/>
      <c r="H5993" s="161"/>
      <c r="I5993" s="97"/>
      <c r="J5993" s="97"/>
      <c r="K5993" s="29"/>
      <c r="L5993" s="29"/>
      <c r="M5993" s="30">
        <f>IFERROR(VLOOKUP($A5993,HeadJournal!$A$1:$J$890,COLUMN(HeadJournal!I$1),0)*($K5993+$L5993)/(SUMIF($A:$A,$A5993,$K:$K)+SUMIF($A:$A,$A5993,$L:$L)),0)</f>
        <v>0</v>
      </c>
      <c r="N5993" s="30">
        <f>IFERROR((VLOOKUP($A5993,HeadJournal!$A$1:$K$890,COLUMN(HeadJournal!K$1),0)-VLOOKUP($A5993,HeadJournal!$A$1:$K$890,COLUMN(HeadJournal!J$1),0))*($K5993+$L5993)/(SUMIF($A:$A,$A5993,$K:$K)+SUMIF($A:$A,$A5993,$L:$L)),0)</f>
        <v>0</v>
      </c>
      <c r="O5993" s="30">
        <f>IFERROR((VLOOKUP($A5993,HeadJournal!$A$1:$L$890,COLUMN(HeadJournal!L$1),0)*($K5993+$L5993)/(SUMIF($A:$A,$A5993,$K:$K)+SUMIF($A:$A,$A5993,$L:$L)))/VLOOKUP($A5993,HeadJournal!$A$1:$L$890,COLUMN(HeadJournal!H$1),0),0)</f>
        <v>0</v>
      </c>
      <c r="P5993" s="30">
        <f>IFERROR(SUM(K5993:O5993)*VLOOKUP($A5993,HeadJournal!$A$1:$L$890,COLUMN(HeadJournal!H$1),0),0)</f>
        <v>0</v>
      </c>
      <c r="Q5993" s="29"/>
      <c r="R5993" s="31"/>
      <c r="S5993" s="31"/>
      <c r="T5993" s="95" t="str">
        <f t="shared" si="420"/>
        <v/>
      </c>
      <c r="U5993" s="32">
        <f t="shared" si="447"/>
        <v>0</v>
      </c>
      <c r="V5993" s="22" t="str">
        <f t="shared" si="448"/>
        <v/>
      </c>
      <c r="X5993" s="33"/>
      <c r="Y5993" s="33"/>
    </row>
    <row r="5994" spans="1:25" x14ac:dyDescent="0.2">
      <c r="A5994" s="93"/>
      <c r="B5994" s="94" t="str">
        <f>IFERROR(VLOOKUP($A5994,HeadJournal!$A$1:$NTR$890,COLUMN(HeadJournal!B$1),0),"")</f>
        <v/>
      </c>
      <c r="C5994" s="94" t="str">
        <f>IFERROR(VLOOKUP($A5994,HeadJournal!$A$1:$NTR$890,COLUMN(HeadJournal!C$1),0),"")</f>
        <v/>
      </c>
      <c r="D5994" s="125" t="str">
        <f>IFERROR(VLOOKUP($A5994,HeadJournal!$A$1:$NTR$890,COLUMN(HeadJournal!D$1),0),"")</f>
        <v/>
      </c>
      <c r="E5994" s="95" t="str">
        <f>IFERROR(VLOOKUP($A5994,HeadJournal!$A$1:$NTR$890,COLUMN(HeadJournal!G$1),0),"")</f>
        <v/>
      </c>
      <c r="F5994" s="95" t="str">
        <f t="shared" si="419"/>
        <v/>
      </c>
      <c r="G5994" s="97"/>
      <c r="H5994" s="161"/>
      <c r="I5994" s="97"/>
      <c r="J5994" s="97"/>
      <c r="K5994" s="29"/>
      <c r="L5994" s="29"/>
      <c r="M5994" s="30">
        <f>IFERROR(VLOOKUP($A5994,HeadJournal!$A$1:$J$890,COLUMN(HeadJournal!I$1),0)*($K5994+$L5994)/(SUMIF($A:$A,$A5994,$K:$K)+SUMIF($A:$A,$A5994,$L:$L)),0)</f>
        <v>0</v>
      </c>
      <c r="N5994" s="30">
        <f>IFERROR((VLOOKUP($A5994,HeadJournal!$A$1:$K$890,COLUMN(HeadJournal!K$1),0)-VLOOKUP($A5994,HeadJournal!$A$1:$K$890,COLUMN(HeadJournal!J$1),0))*($K5994+$L5994)/(SUMIF($A:$A,$A5994,$K:$K)+SUMIF($A:$A,$A5994,$L:$L)),0)</f>
        <v>0</v>
      </c>
      <c r="O5994" s="30">
        <f>IFERROR((VLOOKUP($A5994,HeadJournal!$A$1:$L$890,COLUMN(HeadJournal!L$1),0)*($K5994+$L5994)/(SUMIF($A:$A,$A5994,$K:$K)+SUMIF($A:$A,$A5994,$L:$L)))/VLOOKUP($A5994,HeadJournal!$A$1:$L$890,COLUMN(HeadJournal!H$1),0),0)</f>
        <v>0</v>
      </c>
      <c r="P5994" s="30">
        <f>IFERROR(SUM(K5994:O5994)*VLOOKUP($A5994,HeadJournal!$A$1:$L$890,COLUMN(HeadJournal!H$1),0),0)</f>
        <v>0</v>
      </c>
      <c r="Q5994" s="29"/>
      <c r="R5994" s="31"/>
      <c r="S5994" s="31"/>
      <c r="T5994" s="95" t="str">
        <f t="shared" si="420"/>
        <v/>
      </c>
      <c r="U5994" s="32">
        <f t="shared" si="447"/>
        <v>0</v>
      </c>
      <c r="V5994" s="22" t="str">
        <f t="shared" si="448"/>
        <v/>
      </c>
      <c r="X5994" s="33"/>
      <c r="Y5994" s="33"/>
    </row>
    <row r="5995" spans="1:25" x14ac:dyDescent="0.2">
      <c r="A5995" s="93"/>
      <c r="B5995" s="94" t="str">
        <f>IFERROR(VLOOKUP($A5995,HeadJournal!$A$1:$NTR$890,COLUMN(HeadJournal!B$1),0),"")</f>
        <v/>
      </c>
      <c r="C5995" s="94" t="str">
        <f>IFERROR(VLOOKUP($A5995,HeadJournal!$A$1:$NTR$890,COLUMN(HeadJournal!C$1),0),"")</f>
        <v/>
      </c>
      <c r="D5995" s="125" t="str">
        <f>IFERROR(VLOOKUP($A5995,HeadJournal!$A$1:$NTR$890,COLUMN(HeadJournal!D$1),0),"")</f>
        <v/>
      </c>
      <c r="E5995" s="95" t="str">
        <f>IFERROR(VLOOKUP($A5995,HeadJournal!$A$1:$NTR$890,COLUMN(HeadJournal!G$1),0),"")</f>
        <v/>
      </c>
      <c r="F5995" s="95" t="str">
        <f t="shared" si="419"/>
        <v/>
      </c>
      <c r="G5995" s="97"/>
      <c r="H5995" s="161"/>
      <c r="I5995" s="97"/>
      <c r="J5995" s="97"/>
      <c r="K5995" s="29"/>
      <c r="L5995" s="29"/>
      <c r="M5995" s="30">
        <f>IFERROR(VLOOKUP($A5995,HeadJournal!$A$1:$J$890,COLUMN(HeadJournal!I$1),0)*($K5995+$L5995)/(SUMIF($A:$A,$A5995,$K:$K)+SUMIF($A:$A,$A5995,$L:$L)),0)</f>
        <v>0</v>
      </c>
      <c r="N5995" s="30">
        <f>IFERROR((VLOOKUP($A5995,HeadJournal!$A$1:$K$890,COLUMN(HeadJournal!K$1),0)-VLOOKUP($A5995,HeadJournal!$A$1:$K$890,COLUMN(HeadJournal!J$1),0))*($K5995+$L5995)/(SUMIF($A:$A,$A5995,$K:$K)+SUMIF($A:$A,$A5995,$L:$L)),0)</f>
        <v>0</v>
      </c>
      <c r="O5995" s="30">
        <f>IFERROR((VLOOKUP($A5995,HeadJournal!$A$1:$L$890,COLUMN(HeadJournal!L$1),0)*($K5995+$L5995)/(SUMIF($A:$A,$A5995,$K:$K)+SUMIF($A:$A,$A5995,$L:$L)))/VLOOKUP($A5995,HeadJournal!$A$1:$L$890,COLUMN(HeadJournal!H$1),0),0)</f>
        <v>0</v>
      </c>
      <c r="P5995" s="30">
        <f>IFERROR(SUM(K5995:O5995)*VLOOKUP($A5995,HeadJournal!$A$1:$L$890,COLUMN(HeadJournal!H$1),0),0)</f>
        <v>0</v>
      </c>
      <c r="Q5995" s="29"/>
      <c r="R5995" s="31"/>
      <c r="S5995" s="31"/>
      <c r="T5995" s="95" t="str">
        <f t="shared" si="420"/>
        <v/>
      </c>
      <c r="U5995" s="32">
        <f t="shared" si="447"/>
        <v>0</v>
      </c>
      <c r="V5995" s="22" t="str">
        <f t="shared" si="448"/>
        <v/>
      </c>
      <c r="X5995" s="33"/>
      <c r="Y5995" s="33"/>
    </row>
    <row r="5996" spans="1:25" x14ac:dyDescent="0.2">
      <c r="A5996" s="93"/>
      <c r="B5996" s="94" t="str">
        <f>IFERROR(VLOOKUP($A5996,HeadJournal!$A$1:$NTR$890,COLUMN(HeadJournal!B$1),0),"")</f>
        <v/>
      </c>
      <c r="C5996" s="94" t="str">
        <f>IFERROR(VLOOKUP($A5996,HeadJournal!$A$1:$NTR$890,COLUMN(HeadJournal!C$1),0),"")</f>
        <v/>
      </c>
      <c r="D5996" s="125" t="str">
        <f>IFERROR(VLOOKUP($A5996,HeadJournal!$A$1:$NTR$890,COLUMN(HeadJournal!D$1),0),"")</f>
        <v/>
      </c>
      <c r="E5996" s="95" t="str">
        <f>IFERROR(VLOOKUP($A5996,HeadJournal!$A$1:$NTR$890,COLUMN(HeadJournal!G$1),0),"")</f>
        <v/>
      </c>
      <c r="F5996" s="95" t="str">
        <f t="shared" si="419"/>
        <v/>
      </c>
      <c r="G5996" s="97"/>
      <c r="H5996" s="161"/>
      <c r="I5996" s="97"/>
      <c r="J5996" s="97"/>
      <c r="K5996" s="29"/>
      <c r="L5996" s="29"/>
      <c r="M5996" s="30">
        <f>IFERROR(VLOOKUP($A5996,HeadJournal!$A$1:$J$890,COLUMN(HeadJournal!I$1),0)*($K5996+$L5996)/(SUMIF($A:$A,$A5996,$K:$K)+SUMIF($A:$A,$A5996,$L:$L)),0)</f>
        <v>0</v>
      </c>
      <c r="N5996" s="30">
        <f>IFERROR((VLOOKUP($A5996,HeadJournal!$A$1:$K$890,COLUMN(HeadJournal!K$1),0)-VLOOKUP($A5996,HeadJournal!$A$1:$K$890,COLUMN(HeadJournal!J$1),0))*($K5996+$L5996)/(SUMIF($A:$A,$A5996,$K:$K)+SUMIF($A:$A,$A5996,$L:$L)),0)</f>
        <v>0</v>
      </c>
      <c r="O5996" s="30">
        <f>IFERROR((VLOOKUP($A5996,HeadJournal!$A$1:$L$890,COLUMN(HeadJournal!L$1),0)*($K5996+$L5996)/(SUMIF($A:$A,$A5996,$K:$K)+SUMIF($A:$A,$A5996,$L:$L)))/VLOOKUP($A5996,HeadJournal!$A$1:$L$890,COLUMN(HeadJournal!H$1),0),0)</f>
        <v>0</v>
      </c>
      <c r="P5996" s="30">
        <f>IFERROR(SUM(K5996:O5996)*VLOOKUP($A5996,HeadJournal!$A$1:$L$890,COLUMN(HeadJournal!H$1),0),0)</f>
        <v>0</v>
      </c>
      <c r="Q5996" s="29"/>
      <c r="R5996" s="31"/>
      <c r="S5996" s="31"/>
      <c r="T5996" s="95" t="str">
        <f t="shared" si="420"/>
        <v/>
      </c>
      <c r="U5996" s="32">
        <f t="shared" si="447"/>
        <v>0</v>
      </c>
      <c r="V5996" s="22" t="str">
        <f t="shared" si="448"/>
        <v/>
      </c>
      <c r="X5996" s="33"/>
      <c r="Y5996" s="33"/>
    </row>
    <row r="5997" spans="1:25" x14ac:dyDescent="0.2">
      <c r="A5997" s="93"/>
      <c r="B5997" s="94" t="str">
        <f>IFERROR(VLOOKUP($A5997,HeadJournal!$A$1:$NTR$890,COLUMN(HeadJournal!B$1),0),"")</f>
        <v/>
      </c>
      <c r="C5997" s="94" t="str">
        <f>IFERROR(VLOOKUP($A5997,HeadJournal!$A$1:$NTR$890,COLUMN(HeadJournal!C$1),0),"")</f>
        <v/>
      </c>
      <c r="D5997" s="125" t="str">
        <f>IFERROR(VLOOKUP($A5997,HeadJournal!$A$1:$NTR$890,COLUMN(HeadJournal!D$1),0),"")</f>
        <v/>
      </c>
      <c r="E5997" s="95" t="str">
        <f>IFERROR(VLOOKUP($A5997,HeadJournal!$A$1:$NTR$890,COLUMN(HeadJournal!G$1),0),"")</f>
        <v/>
      </c>
      <c r="F5997" s="95" t="str">
        <f t="shared" si="419"/>
        <v/>
      </c>
      <c r="G5997" s="97"/>
      <c r="H5997" s="161"/>
      <c r="I5997" s="97"/>
      <c r="J5997" s="97"/>
      <c r="K5997" s="29"/>
      <c r="L5997" s="29"/>
      <c r="M5997" s="30">
        <f>IFERROR(VLOOKUP($A5997,HeadJournal!$A$1:$J$890,COLUMN(HeadJournal!I$1),0)*($K5997+$L5997)/(SUMIF($A:$A,$A5997,$K:$K)+SUMIF($A:$A,$A5997,$L:$L)),0)</f>
        <v>0</v>
      </c>
      <c r="N5997" s="30">
        <f>IFERROR((VLOOKUP($A5997,HeadJournal!$A$1:$K$890,COLUMN(HeadJournal!K$1),0)-VLOOKUP($A5997,HeadJournal!$A$1:$K$890,COLUMN(HeadJournal!J$1),0))*($K5997+$L5997)/(SUMIF($A:$A,$A5997,$K:$K)+SUMIF($A:$A,$A5997,$L:$L)),0)</f>
        <v>0</v>
      </c>
      <c r="O5997" s="30">
        <f>IFERROR((VLOOKUP($A5997,HeadJournal!$A$1:$L$890,COLUMN(HeadJournal!L$1),0)*($K5997+$L5997)/(SUMIF($A:$A,$A5997,$K:$K)+SUMIF($A:$A,$A5997,$L:$L)))/VLOOKUP($A5997,HeadJournal!$A$1:$L$890,COLUMN(HeadJournal!H$1),0),0)</f>
        <v>0</v>
      </c>
      <c r="P5997" s="30">
        <f>IFERROR(SUM(K5997:O5997)*VLOOKUP($A5997,HeadJournal!$A$1:$L$890,COLUMN(HeadJournal!H$1),0),0)</f>
        <v>0</v>
      </c>
      <c r="Q5997" s="29"/>
      <c r="R5997" s="31"/>
      <c r="S5997" s="31"/>
      <c r="T5997" s="95" t="str">
        <f t="shared" si="420"/>
        <v/>
      </c>
      <c r="U5997" s="32">
        <f t="shared" si="447"/>
        <v>0</v>
      </c>
      <c r="V5997" s="22" t="str">
        <f t="shared" si="448"/>
        <v/>
      </c>
      <c r="X5997" s="33"/>
      <c r="Y5997" s="33"/>
    </row>
    <row r="5998" spans="1:25" x14ac:dyDescent="0.2">
      <c r="A5998" s="93"/>
      <c r="B5998" s="94" t="str">
        <f>IFERROR(VLOOKUP($A5998,HeadJournal!$A$1:$NTR$890,COLUMN(HeadJournal!B$1),0),"")</f>
        <v/>
      </c>
      <c r="C5998" s="94" t="str">
        <f>IFERROR(VLOOKUP($A5998,HeadJournal!$A$1:$NTR$890,COLUMN(HeadJournal!C$1),0),"")</f>
        <v/>
      </c>
      <c r="D5998" s="125" t="str">
        <f>IFERROR(VLOOKUP($A5998,HeadJournal!$A$1:$NTR$890,COLUMN(HeadJournal!D$1),0),"")</f>
        <v/>
      </c>
      <c r="E5998" s="95" t="str">
        <f>IFERROR(VLOOKUP($A5998,HeadJournal!$A$1:$NTR$890,COLUMN(HeadJournal!G$1),0),"")</f>
        <v/>
      </c>
      <c r="F5998" s="95" t="str">
        <f t="shared" si="419"/>
        <v/>
      </c>
      <c r="G5998" s="97"/>
      <c r="H5998" s="161"/>
      <c r="I5998" s="97"/>
      <c r="J5998" s="97"/>
      <c r="K5998" s="29"/>
      <c r="L5998" s="29"/>
      <c r="M5998" s="30">
        <f>IFERROR(VLOOKUP($A5998,HeadJournal!$A$1:$J$890,COLUMN(HeadJournal!I$1),0)*($K5998+$L5998)/(SUMIF($A:$A,$A5998,$K:$K)+SUMIF($A:$A,$A5998,$L:$L)),0)</f>
        <v>0</v>
      </c>
      <c r="N5998" s="30">
        <f>IFERROR((VLOOKUP($A5998,HeadJournal!$A$1:$K$890,COLUMN(HeadJournal!K$1),0)-VLOOKUP($A5998,HeadJournal!$A$1:$K$890,COLUMN(HeadJournal!J$1),0))*($K5998+$L5998)/(SUMIF($A:$A,$A5998,$K:$K)+SUMIF($A:$A,$A5998,$L:$L)),0)</f>
        <v>0</v>
      </c>
      <c r="O5998" s="30">
        <f>IFERROR((VLOOKUP($A5998,HeadJournal!$A$1:$L$890,COLUMN(HeadJournal!L$1),0)*($K5998+$L5998)/(SUMIF($A:$A,$A5998,$K:$K)+SUMIF($A:$A,$A5998,$L:$L)))/VLOOKUP($A5998,HeadJournal!$A$1:$L$890,COLUMN(HeadJournal!H$1),0),0)</f>
        <v>0</v>
      </c>
      <c r="P5998" s="30">
        <f>IFERROR(SUM(K5998:O5998)*VLOOKUP($A5998,HeadJournal!$A$1:$L$890,COLUMN(HeadJournal!H$1),0),0)</f>
        <v>0</v>
      </c>
      <c r="Q5998" s="29"/>
      <c r="R5998" s="31"/>
      <c r="S5998" s="31"/>
      <c r="T5998" s="95" t="str">
        <f t="shared" si="420"/>
        <v/>
      </c>
      <c r="U5998" s="32">
        <f t="shared" si="447"/>
        <v>0</v>
      </c>
      <c r="V5998" s="22" t="str">
        <f t="shared" si="448"/>
        <v/>
      </c>
      <c r="X5998" s="33"/>
      <c r="Y5998" s="33"/>
    </row>
    <row r="5999" spans="1:25" x14ac:dyDescent="0.2">
      <c r="A5999" s="93"/>
      <c r="B5999" s="94" t="str">
        <f>IFERROR(VLOOKUP($A5999,HeadJournal!$A$1:$NTR$890,COLUMN(HeadJournal!B$1),0),"")</f>
        <v/>
      </c>
      <c r="C5999" s="94" t="str">
        <f>IFERROR(VLOOKUP($A5999,HeadJournal!$A$1:$NTR$890,COLUMN(HeadJournal!C$1),0),"")</f>
        <v/>
      </c>
      <c r="D5999" s="125" t="str">
        <f>IFERROR(VLOOKUP($A5999,HeadJournal!$A$1:$NTR$890,COLUMN(HeadJournal!D$1),0),"")</f>
        <v/>
      </c>
      <c r="E5999" s="95" t="str">
        <f>IFERROR(VLOOKUP($A5999,HeadJournal!$A$1:$NTR$890,COLUMN(HeadJournal!G$1),0),"")</f>
        <v/>
      </c>
      <c r="F5999" s="95" t="str">
        <f t="shared" si="419"/>
        <v/>
      </c>
      <c r="G5999" s="97"/>
      <c r="H5999" s="161"/>
      <c r="I5999" s="97"/>
      <c r="J5999" s="97"/>
      <c r="K5999" s="29"/>
      <c r="L5999" s="29"/>
      <c r="M5999" s="30">
        <f>IFERROR(VLOOKUP($A5999,HeadJournal!$A$1:$J$890,COLUMN(HeadJournal!I$1),0)*($K5999+$L5999)/(SUMIF($A:$A,$A5999,$K:$K)+SUMIF($A:$A,$A5999,$L:$L)),0)</f>
        <v>0</v>
      </c>
      <c r="N5999" s="30">
        <f>IFERROR((VLOOKUP($A5999,HeadJournal!$A$1:$K$890,COLUMN(HeadJournal!K$1),0)-VLOOKUP($A5999,HeadJournal!$A$1:$K$890,COLUMN(HeadJournal!J$1),0))*($K5999+$L5999)/(SUMIF($A:$A,$A5999,$K:$K)+SUMIF($A:$A,$A5999,$L:$L)),0)</f>
        <v>0</v>
      </c>
      <c r="O5999" s="30">
        <f>IFERROR((VLOOKUP($A5999,HeadJournal!$A$1:$L$890,COLUMN(HeadJournal!L$1),0)*($K5999+$L5999)/(SUMIF($A:$A,$A5999,$K:$K)+SUMIF($A:$A,$A5999,$L:$L)))/VLOOKUP($A5999,HeadJournal!$A$1:$L$890,COLUMN(HeadJournal!H$1),0),0)</f>
        <v>0</v>
      </c>
      <c r="P5999" s="30">
        <f>IFERROR(SUM(K5999:O5999)*VLOOKUP($A5999,HeadJournal!$A$1:$L$890,COLUMN(HeadJournal!H$1),0),0)</f>
        <v>0</v>
      </c>
      <c r="Q5999" s="29"/>
      <c r="R5999" s="31"/>
      <c r="S5999" s="31"/>
      <c r="T5999" s="95" t="str">
        <f t="shared" si="420"/>
        <v/>
      </c>
      <c r="U5999" s="32">
        <f t="shared" si="447"/>
        <v>0</v>
      </c>
      <c r="V5999" s="22" t="str">
        <f t="shared" si="448"/>
        <v/>
      </c>
      <c r="X5999" s="33"/>
      <c r="Y5999" s="33"/>
    </row>
    <row r="6000" spans="1:25" x14ac:dyDescent="0.2">
      <c r="A6000" s="93"/>
      <c r="B6000" s="94" t="str">
        <f>IFERROR(VLOOKUP($A6000,HeadJournal!$A$1:$NTR$890,COLUMN(HeadJournal!B$1),0),"")</f>
        <v/>
      </c>
      <c r="C6000" s="94" t="str">
        <f>IFERROR(VLOOKUP($A6000,HeadJournal!$A$1:$NTR$890,COLUMN(HeadJournal!C$1),0),"")</f>
        <v/>
      </c>
      <c r="D6000" s="125" t="str">
        <f>IFERROR(VLOOKUP($A6000,HeadJournal!$A$1:$NTR$890,COLUMN(HeadJournal!D$1),0),"")</f>
        <v/>
      </c>
      <c r="E6000" s="95" t="str">
        <f>IFERROR(VLOOKUP($A6000,HeadJournal!$A$1:$NTR$890,COLUMN(HeadJournal!G$1),0),"")</f>
        <v/>
      </c>
      <c r="F6000" s="95" t="str">
        <f t="shared" si="419"/>
        <v/>
      </c>
      <c r="G6000" s="97"/>
      <c r="H6000" s="161"/>
      <c r="I6000" s="97"/>
      <c r="J6000" s="97"/>
      <c r="K6000" s="29"/>
      <c r="L6000" s="29"/>
      <c r="M6000" s="30">
        <f>IFERROR(VLOOKUP($A6000,HeadJournal!$A$1:$J$890,COLUMN(HeadJournal!I$1),0)*($K6000+$L6000)/(SUMIF($A:$A,$A6000,$K:$K)+SUMIF($A:$A,$A6000,$L:$L)),0)</f>
        <v>0</v>
      </c>
      <c r="N6000" s="30">
        <f>IFERROR((VLOOKUP($A6000,HeadJournal!$A$1:$K$890,COLUMN(HeadJournal!K$1),0)-VLOOKUP($A6000,HeadJournal!$A$1:$K$890,COLUMN(HeadJournal!J$1),0))*($K6000+$L6000)/(SUMIF($A:$A,$A6000,$K:$K)+SUMIF($A:$A,$A6000,$L:$L)),0)</f>
        <v>0</v>
      </c>
      <c r="O6000" s="30">
        <f>IFERROR((VLOOKUP($A6000,HeadJournal!$A$1:$L$890,COLUMN(HeadJournal!L$1),0)*($K6000+$L6000)/(SUMIF($A:$A,$A6000,$K:$K)+SUMIF($A:$A,$A6000,$L:$L)))/VLOOKUP($A6000,HeadJournal!$A$1:$L$890,COLUMN(HeadJournal!H$1),0),0)</f>
        <v>0</v>
      </c>
      <c r="P6000" s="30">
        <f>IFERROR(SUM(K6000:O6000)*VLOOKUP($A6000,HeadJournal!$A$1:$L$890,COLUMN(HeadJournal!H$1),0),0)</f>
        <v>0</v>
      </c>
      <c r="Q6000" s="29"/>
      <c r="R6000" s="31"/>
      <c r="S6000" s="31"/>
      <c r="T6000" s="95" t="str">
        <f t="shared" si="420"/>
        <v/>
      </c>
      <c r="U6000" s="32">
        <f t="shared" si="447"/>
        <v>0</v>
      </c>
      <c r="V6000" s="22" t="str">
        <f t="shared" si="448"/>
        <v/>
      </c>
      <c r="X6000" s="33"/>
      <c r="Y6000" s="33"/>
    </row>
    <row r="6001" spans="1:25" x14ac:dyDescent="0.2">
      <c r="A6001" s="93"/>
      <c r="B6001" s="94" t="str">
        <f>IFERROR(VLOOKUP($A6001,HeadJournal!$A$1:$NTR$890,COLUMN(HeadJournal!B$1),0),"")</f>
        <v/>
      </c>
      <c r="C6001" s="94" t="str">
        <f>IFERROR(VLOOKUP($A6001,HeadJournal!$A$1:$NTR$890,COLUMN(HeadJournal!C$1),0),"")</f>
        <v/>
      </c>
      <c r="D6001" s="125" t="str">
        <f>IFERROR(VLOOKUP($A6001,HeadJournal!$A$1:$NTR$890,COLUMN(HeadJournal!D$1),0),"")</f>
        <v/>
      </c>
      <c r="E6001" s="95" t="str">
        <f>IFERROR(VLOOKUP($A6001,HeadJournal!$A$1:$NTR$890,COLUMN(HeadJournal!G$1),0),"")</f>
        <v/>
      </c>
      <c r="F6001" s="95" t="str">
        <f t="shared" si="419"/>
        <v/>
      </c>
      <c r="G6001" s="97"/>
      <c r="H6001" s="161"/>
      <c r="I6001" s="97"/>
      <c r="J6001" s="97"/>
      <c r="K6001" s="29"/>
      <c r="L6001" s="29"/>
      <c r="M6001" s="30">
        <f>IFERROR(VLOOKUP($A6001,HeadJournal!$A$1:$J$890,COLUMN(HeadJournal!I$1),0)*($K6001+$L6001)/(SUMIF($A:$A,$A6001,$K:$K)+SUMIF($A:$A,$A6001,$L:$L)),0)</f>
        <v>0</v>
      </c>
      <c r="N6001" s="30">
        <f>IFERROR((VLOOKUP($A6001,HeadJournal!$A$1:$K$890,COLUMN(HeadJournal!K$1),0)-VLOOKUP($A6001,HeadJournal!$A$1:$K$890,COLUMN(HeadJournal!J$1),0))*($K6001+$L6001)/(SUMIF($A:$A,$A6001,$K:$K)+SUMIF($A:$A,$A6001,$L:$L)),0)</f>
        <v>0</v>
      </c>
      <c r="O6001" s="30">
        <f>IFERROR((VLOOKUP($A6001,HeadJournal!$A$1:$L$890,COLUMN(HeadJournal!L$1),0)*($K6001+$L6001)/(SUMIF($A:$A,$A6001,$K:$K)+SUMIF($A:$A,$A6001,$L:$L)))/VLOOKUP($A6001,HeadJournal!$A$1:$L$890,COLUMN(HeadJournal!H$1),0),0)</f>
        <v>0</v>
      </c>
      <c r="P6001" s="30">
        <f>IFERROR(SUM(K6001:O6001)*VLOOKUP($A6001,HeadJournal!$A$1:$L$890,COLUMN(HeadJournal!H$1),0),0)</f>
        <v>0</v>
      </c>
      <c r="Q6001" s="29"/>
      <c r="R6001" s="31"/>
      <c r="S6001" s="31"/>
      <c r="T6001" s="95" t="str">
        <f t="shared" si="420"/>
        <v/>
      </c>
      <c r="U6001" s="32">
        <f t="shared" si="447"/>
        <v>0</v>
      </c>
      <c r="V6001" s="22" t="str">
        <f t="shared" si="448"/>
        <v/>
      </c>
      <c r="X6001" s="33"/>
      <c r="Y6001" s="33"/>
    </row>
    <row r="6002" spans="1:25" x14ac:dyDescent="0.2">
      <c r="A6002" s="93"/>
      <c r="B6002" s="94" t="str">
        <f>IFERROR(VLOOKUP($A6002,HeadJournal!$A$1:$NTR$890,COLUMN(HeadJournal!B$1),0),"")</f>
        <v/>
      </c>
      <c r="C6002" s="94" t="str">
        <f>IFERROR(VLOOKUP($A6002,HeadJournal!$A$1:$NTR$890,COLUMN(HeadJournal!C$1),0),"")</f>
        <v/>
      </c>
      <c r="D6002" s="125" t="str">
        <f>IFERROR(VLOOKUP($A6002,HeadJournal!$A$1:$NTR$890,COLUMN(HeadJournal!D$1),0),"")</f>
        <v/>
      </c>
      <c r="E6002" s="95" t="str">
        <f>IFERROR(VLOOKUP($A6002,HeadJournal!$A$1:$NTR$890,COLUMN(HeadJournal!G$1),0),"")</f>
        <v/>
      </c>
      <c r="F6002" s="95" t="str">
        <f t="shared" si="419"/>
        <v/>
      </c>
      <c r="G6002" s="97"/>
      <c r="H6002" s="161"/>
      <c r="I6002" s="97"/>
      <c r="J6002" s="97"/>
      <c r="K6002" s="29"/>
      <c r="L6002" s="29"/>
      <c r="M6002" s="30">
        <f>IFERROR(VLOOKUP($A6002,HeadJournal!$A$1:$J$890,COLUMN(HeadJournal!I$1),0)*($K6002+$L6002)/(SUMIF($A:$A,$A6002,$K:$K)+SUMIF($A:$A,$A6002,$L:$L)),0)</f>
        <v>0</v>
      </c>
      <c r="N6002" s="30">
        <f>IFERROR((VLOOKUP($A6002,HeadJournal!$A$1:$K$890,COLUMN(HeadJournal!K$1),0)-VLOOKUP($A6002,HeadJournal!$A$1:$K$890,COLUMN(HeadJournal!J$1),0))*($K6002+$L6002)/(SUMIF($A:$A,$A6002,$K:$K)+SUMIF($A:$A,$A6002,$L:$L)),0)</f>
        <v>0</v>
      </c>
      <c r="O6002" s="30">
        <f>IFERROR((VLOOKUP($A6002,HeadJournal!$A$1:$L$890,COLUMN(HeadJournal!L$1),0)*($K6002+$L6002)/(SUMIF($A:$A,$A6002,$K:$K)+SUMIF($A:$A,$A6002,$L:$L)))/VLOOKUP($A6002,HeadJournal!$A$1:$L$890,COLUMN(HeadJournal!H$1),0),0)</f>
        <v>0</v>
      </c>
      <c r="P6002" s="30">
        <f>IFERROR(SUM(K6002:O6002)*VLOOKUP($A6002,HeadJournal!$A$1:$L$890,COLUMN(HeadJournal!H$1),0),0)</f>
        <v>0</v>
      </c>
      <c r="Q6002" s="29"/>
      <c r="R6002" s="31"/>
      <c r="S6002" s="31"/>
      <c r="T6002" s="95" t="str">
        <f t="shared" si="420"/>
        <v/>
      </c>
      <c r="U6002" s="32">
        <f t="shared" si="447"/>
        <v>0</v>
      </c>
      <c r="V6002" s="22" t="str">
        <f t="shared" si="448"/>
        <v/>
      </c>
      <c r="X6002" s="33"/>
      <c r="Y6002" s="33"/>
    </row>
    <row r="6003" spans="1:25" x14ac:dyDescent="0.2">
      <c r="A6003" s="93"/>
      <c r="B6003" s="94" t="str">
        <f>IFERROR(VLOOKUP($A6003,HeadJournal!$A$1:$NTR$890,COLUMN(HeadJournal!B$1),0),"")</f>
        <v/>
      </c>
      <c r="C6003" s="94" t="str">
        <f>IFERROR(VLOOKUP($A6003,HeadJournal!$A$1:$NTR$890,COLUMN(HeadJournal!C$1),0),"")</f>
        <v/>
      </c>
      <c r="D6003" s="125" t="str">
        <f>IFERROR(VLOOKUP($A6003,HeadJournal!$A$1:$NTR$890,COLUMN(HeadJournal!D$1),0),"")</f>
        <v/>
      </c>
      <c r="E6003" s="95" t="str">
        <f>IFERROR(VLOOKUP($A6003,HeadJournal!$A$1:$NTR$890,COLUMN(HeadJournal!G$1),0),"")</f>
        <v/>
      </c>
      <c r="F6003" s="95" t="str">
        <f t="shared" si="419"/>
        <v/>
      </c>
      <c r="G6003" s="97"/>
      <c r="H6003" s="161"/>
      <c r="I6003" s="97"/>
      <c r="J6003" s="97"/>
      <c r="K6003" s="29"/>
      <c r="L6003" s="29"/>
      <c r="M6003" s="30">
        <f>IFERROR(VLOOKUP($A6003,HeadJournal!$A$1:$J$890,COLUMN(HeadJournal!I$1),0)*($K6003+$L6003)/(SUMIF($A:$A,$A6003,$K:$K)+SUMIF($A:$A,$A6003,$L:$L)),0)</f>
        <v>0</v>
      </c>
      <c r="N6003" s="30">
        <f>IFERROR((VLOOKUP($A6003,HeadJournal!$A$1:$K$890,COLUMN(HeadJournal!K$1),0)-VLOOKUP($A6003,HeadJournal!$A$1:$K$890,COLUMN(HeadJournal!J$1),0))*($K6003+$L6003)/(SUMIF($A:$A,$A6003,$K:$K)+SUMIF($A:$A,$A6003,$L:$L)),0)</f>
        <v>0</v>
      </c>
      <c r="O6003" s="30">
        <f>IFERROR((VLOOKUP($A6003,HeadJournal!$A$1:$L$890,COLUMN(HeadJournal!L$1),0)*($K6003+$L6003)/(SUMIF($A:$A,$A6003,$K:$K)+SUMIF($A:$A,$A6003,$L:$L)))/VLOOKUP($A6003,HeadJournal!$A$1:$L$890,COLUMN(HeadJournal!H$1),0),0)</f>
        <v>0</v>
      </c>
      <c r="P6003" s="30">
        <f>IFERROR(SUM(K6003:O6003)*VLOOKUP($A6003,HeadJournal!$A$1:$L$890,COLUMN(HeadJournal!H$1),0),0)</f>
        <v>0</v>
      </c>
      <c r="Q6003" s="29"/>
      <c r="R6003" s="31"/>
      <c r="S6003" s="31"/>
      <c r="T6003" s="95" t="str">
        <f t="shared" si="420"/>
        <v/>
      </c>
      <c r="U6003" s="32">
        <f t="shared" si="447"/>
        <v>0</v>
      </c>
      <c r="V6003" s="22" t="str">
        <f t="shared" si="448"/>
        <v/>
      </c>
      <c r="X6003" s="33"/>
      <c r="Y6003" s="33"/>
    </row>
    <row r="6004" spans="1:25" x14ac:dyDescent="0.2">
      <c r="A6004" s="93"/>
      <c r="B6004" s="94" t="str">
        <f>IFERROR(VLOOKUP($A6004,HeadJournal!$A$1:$NTR$890,COLUMN(HeadJournal!B$1),0),"")</f>
        <v/>
      </c>
      <c r="C6004" s="94" t="str">
        <f>IFERROR(VLOOKUP($A6004,HeadJournal!$A$1:$NTR$890,COLUMN(HeadJournal!C$1),0),"")</f>
        <v/>
      </c>
      <c r="D6004" s="125" t="str">
        <f>IFERROR(VLOOKUP($A6004,HeadJournal!$A$1:$NTR$890,COLUMN(HeadJournal!D$1),0),"")</f>
        <v/>
      </c>
      <c r="E6004" s="95" t="str">
        <f>IFERROR(VLOOKUP($A6004,HeadJournal!$A$1:$NTR$890,COLUMN(HeadJournal!G$1),0),"")</f>
        <v/>
      </c>
      <c r="F6004" s="95" t="str">
        <f t="shared" si="419"/>
        <v/>
      </c>
      <c r="G6004" s="97"/>
      <c r="H6004" s="161"/>
      <c r="I6004" s="97"/>
      <c r="J6004" s="97"/>
      <c r="K6004" s="29"/>
      <c r="L6004" s="29"/>
      <c r="M6004" s="30">
        <f>IFERROR(VLOOKUP($A6004,HeadJournal!$A$1:$J$890,COLUMN(HeadJournal!I$1),0)*($K6004+$L6004)/(SUMIF($A:$A,$A6004,$K:$K)+SUMIF($A:$A,$A6004,$L:$L)),0)</f>
        <v>0</v>
      </c>
      <c r="N6004" s="30">
        <f>IFERROR((VLOOKUP($A6004,HeadJournal!$A$1:$K$890,COLUMN(HeadJournal!K$1),0)-VLOOKUP($A6004,HeadJournal!$A$1:$K$890,COLUMN(HeadJournal!J$1),0))*($K6004+$L6004)/(SUMIF($A:$A,$A6004,$K:$K)+SUMIF($A:$A,$A6004,$L:$L)),0)</f>
        <v>0</v>
      </c>
      <c r="O6004" s="30">
        <f>IFERROR((VLOOKUP($A6004,HeadJournal!$A$1:$L$890,COLUMN(HeadJournal!L$1),0)*($K6004+$L6004)/(SUMIF($A:$A,$A6004,$K:$K)+SUMIF($A:$A,$A6004,$L:$L)))/VLOOKUP($A6004,HeadJournal!$A$1:$L$890,COLUMN(HeadJournal!H$1),0),0)</f>
        <v>0</v>
      </c>
      <c r="P6004" s="30">
        <f>IFERROR(SUM(K6004:O6004)*VLOOKUP($A6004,HeadJournal!$A$1:$L$890,COLUMN(HeadJournal!H$1),0),0)</f>
        <v>0</v>
      </c>
      <c r="Q6004" s="29"/>
      <c r="R6004" s="31"/>
      <c r="S6004" s="31"/>
      <c r="T6004" s="95" t="str">
        <f t="shared" si="420"/>
        <v/>
      </c>
      <c r="U6004" s="32">
        <f t="shared" si="447"/>
        <v>0</v>
      </c>
      <c r="V6004" s="22" t="str">
        <f t="shared" si="448"/>
        <v/>
      </c>
      <c r="X6004" s="33"/>
      <c r="Y6004" s="33"/>
    </row>
    <row r="6005" spans="1:25" x14ac:dyDescent="0.2">
      <c r="A6005" s="93"/>
      <c r="B6005" s="94" t="str">
        <f>IFERROR(VLOOKUP($A6005,HeadJournal!$A$1:$NTR$890,COLUMN(HeadJournal!B$1),0),"")</f>
        <v/>
      </c>
      <c r="C6005" s="94" t="str">
        <f>IFERROR(VLOOKUP($A6005,HeadJournal!$A$1:$NTR$890,COLUMN(HeadJournal!C$1),0),"")</f>
        <v/>
      </c>
      <c r="D6005" s="125" t="str">
        <f>IFERROR(VLOOKUP($A6005,HeadJournal!$A$1:$NTR$890,COLUMN(HeadJournal!D$1),0),"")</f>
        <v/>
      </c>
      <c r="E6005" s="95" t="str">
        <f>IFERROR(VLOOKUP($A6005,HeadJournal!$A$1:$NTR$890,COLUMN(HeadJournal!G$1),0),"")</f>
        <v/>
      </c>
      <c r="F6005" s="95" t="str">
        <f t="shared" si="419"/>
        <v/>
      </c>
      <c r="G6005" s="97"/>
      <c r="H6005" s="161"/>
      <c r="I6005" s="97"/>
      <c r="J6005" s="97"/>
      <c r="K6005" s="29"/>
      <c r="L6005" s="29"/>
      <c r="M6005" s="30">
        <f>IFERROR(VLOOKUP($A6005,HeadJournal!$A$1:$J$890,COLUMN(HeadJournal!I$1),0)*($K6005+$L6005)/(SUMIF($A:$A,$A6005,$K:$K)+SUMIF($A:$A,$A6005,$L:$L)),0)</f>
        <v>0</v>
      </c>
      <c r="N6005" s="30">
        <f>IFERROR((VLOOKUP($A6005,HeadJournal!$A$1:$K$890,COLUMN(HeadJournal!K$1),0)-VLOOKUP($A6005,HeadJournal!$A$1:$K$890,COLUMN(HeadJournal!J$1),0))*($K6005+$L6005)/(SUMIF($A:$A,$A6005,$K:$K)+SUMIF($A:$A,$A6005,$L:$L)),0)</f>
        <v>0</v>
      </c>
      <c r="O6005" s="30">
        <f>IFERROR((VLOOKUP($A6005,HeadJournal!$A$1:$L$890,COLUMN(HeadJournal!L$1),0)*($K6005+$L6005)/(SUMIF($A:$A,$A6005,$K:$K)+SUMIF($A:$A,$A6005,$L:$L)))/VLOOKUP($A6005,HeadJournal!$A$1:$L$890,COLUMN(HeadJournal!H$1),0),0)</f>
        <v>0</v>
      </c>
      <c r="P6005" s="30">
        <f>IFERROR(SUM(K6005:O6005)*VLOOKUP($A6005,HeadJournal!$A$1:$L$890,COLUMN(HeadJournal!H$1),0),0)</f>
        <v>0</v>
      </c>
      <c r="Q6005" s="29"/>
      <c r="R6005" s="31"/>
      <c r="S6005" s="31"/>
      <c r="T6005" s="95" t="str">
        <f t="shared" si="420"/>
        <v/>
      </c>
      <c r="U6005" s="32">
        <f t="shared" si="447"/>
        <v>0</v>
      </c>
      <c r="V6005" s="22" t="str">
        <f t="shared" si="448"/>
        <v/>
      </c>
      <c r="X6005" s="33"/>
      <c r="Y6005" s="33"/>
    </row>
    <row r="6006" spans="1:25" x14ac:dyDescent="0.2">
      <c r="A6006" s="93"/>
      <c r="B6006" s="94" t="str">
        <f>IFERROR(VLOOKUP($A6006,HeadJournal!$A$1:$NTR$890,COLUMN(HeadJournal!B$1),0),"")</f>
        <v/>
      </c>
      <c r="C6006" s="94" t="str">
        <f>IFERROR(VLOOKUP($A6006,HeadJournal!$A$1:$NTR$890,COLUMN(HeadJournal!C$1),0),"")</f>
        <v/>
      </c>
      <c r="D6006" s="125" t="str">
        <f>IFERROR(VLOOKUP($A6006,HeadJournal!$A$1:$NTR$890,COLUMN(HeadJournal!D$1),0),"")</f>
        <v/>
      </c>
      <c r="E6006" s="95" t="str">
        <f>IFERROR(VLOOKUP($A6006,HeadJournal!$A$1:$NTR$890,COLUMN(HeadJournal!G$1),0),"")</f>
        <v/>
      </c>
      <c r="F6006" s="95" t="str">
        <f t="shared" si="419"/>
        <v/>
      </c>
      <c r="G6006" s="97"/>
      <c r="H6006" s="161"/>
      <c r="I6006" s="97"/>
      <c r="J6006" s="97"/>
      <c r="K6006" s="29"/>
      <c r="L6006" s="29"/>
      <c r="M6006" s="30">
        <f>IFERROR(VLOOKUP($A6006,HeadJournal!$A$1:$J$890,COLUMN(HeadJournal!I$1),0)*($K6006+$L6006)/(SUMIF($A:$A,$A6006,$K:$K)+SUMIF($A:$A,$A6006,$L:$L)),0)</f>
        <v>0</v>
      </c>
      <c r="N6006" s="30">
        <f>IFERROR((VLOOKUP($A6006,HeadJournal!$A$1:$K$890,COLUMN(HeadJournal!K$1),0)-VLOOKUP($A6006,HeadJournal!$A$1:$K$890,COLUMN(HeadJournal!J$1),0))*($K6006+$L6006)/(SUMIF($A:$A,$A6006,$K:$K)+SUMIF($A:$A,$A6006,$L:$L)),0)</f>
        <v>0</v>
      </c>
      <c r="O6006" s="30">
        <f>IFERROR((VLOOKUP($A6006,HeadJournal!$A$1:$L$890,COLUMN(HeadJournal!L$1),0)*($K6006+$L6006)/(SUMIF($A:$A,$A6006,$K:$K)+SUMIF($A:$A,$A6006,$L:$L)))/VLOOKUP($A6006,HeadJournal!$A$1:$L$890,COLUMN(HeadJournal!H$1),0),0)</f>
        <v>0</v>
      </c>
      <c r="P6006" s="30">
        <f>IFERROR(SUM(K6006:O6006)*VLOOKUP($A6006,HeadJournal!$A$1:$L$890,COLUMN(HeadJournal!H$1),0),0)</f>
        <v>0</v>
      </c>
      <c r="Q6006" s="29"/>
      <c r="R6006" s="31"/>
      <c r="S6006" s="31"/>
      <c r="T6006" s="95" t="str">
        <f t="shared" si="420"/>
        <v/>
      </c>
      <c r="U6006" s="32">
        <f t="shared" si="447"/>
        <v>0</v>
      </c>
      <c r="V6006" s="22" t="str">
        <f t="shared" si="448"/>
        <v/>
      </c>
      <c r="X6006" s="33"/>
      <c r="Y6006" s="33"/>
    </row>
    <row r="6007" spans="1:25" x14ac:dyDescent="0.2">
      <c r="A6007" s="93"/>
      <c r="B6007" s="94" t="str">
        <f>IFERROR(VLOOKUP($A6007,HeadJournal!$A$1:$NTR$890,COLUMN(HeadJournal!B$1),0),"")</f>
        <v/>
      </c>
      <c r="C6007" s="94" t="str">
        <f>IFERROR(VLOOKUP($A6007,HeadJournal!$A$1:$NTR$890,COLUMN(HeadJournal!C$1),0),"")</f>
        <v/>
      </c>
      <c r="D6007" s="125" t="str">
        <f>IFERROR(VLOOKUP($A6007,HeadJournal!$A$1:$NTR$890,COLUMN(HeadJournal!D$1),0),"")</f>
        <v/>
      </c>
      <c r="E6007" s="95" t="str">
        <f>IFERROR(VLOOKUP($A6007,HeadJournal!$A$1:$NTR$890,COLUMN(HeadJournal!G$1),0),"")</f>
        <v/>
      </c>
      <c r="F6007" s="95" t="str">
        <f t="shared" si="419"/>
        <v/>
      </c>
      <c r="G6007" s="97"/>
      <c r="H6007" s="161"/>
      <c r="I6007" s="97"/>
      <c r="J6007" s="97"/>
      <c r="K6007" s="29"/>
      <c r="L6007" s="29"/>
      <c r="M6007" s="30">
        <f>IFERROR(VLOOKUP($A6007,HeadJournal!$A$1:$J$890,COLUMN(HeadJournal!I$1),0)*($K6007+$L6007)/(SUMIF($A:$A,$A6007,$K:$K)+SUMIF($A:$A,$A6007,$L:$L)),0)</f>
        <v>0</v>
      </c>
      <c r="N6007" s="30">
        <f>IFERROR((VLOOKUP($A6007,HeadJournal!$A$1:$K$890,COLUMN(HeadJournal!K$1),0)-VLOOKUP($A6007,HeadJournal!$A$1:$K$890,COLUMN(HeadJournal!J$1),0))*($K6007+$L6007)/(SUMIF($A:$A,$A6007,$K:$K)+SUMIF($A:$A,$A6007,$L:$L)),0)</f>
        <v>0</v>
      </c>
      <c r="O6007" s="30">
        <f>IFERROR((VLOOKUP($A6007,HeadJournal!$A$1:$L$890,COLUMN(HeadJournal!L$1),0)*($K6007+$L6007)/(SUMIF($A:$A,$A6007,$K:$K)+SUMIF($A:$A,$A6007,$L:$L)))/VLOOKUP($A6007,HeadJournal!$A$1:$L$890,COLUMN(HeadJournal!H$1),0),0)</f>
        <v>0</v>
      </c>
      <c r="P6007" s="30">
        <f>IFERROR(SUM(K6007:O6007)*VLOOKUP($A6007,HeadJournal!$A$1:$L$890,COLUMN(HeadJournal!H$1),0),0)</f>
        <v>0</v>
      </c>
      <c r="Q6007" s="29"/>
      <c r="R6007" s="31"/>
      <c r="S6007" s="31"/>
      <c r="T6007" s="95" t="str">
        <f t="shared" si="420"/>
        <v/>
      </c>
      <c r="U6007" s="32">
        <f t="shared" si="447"/>
        <v>0</v>
      </c>
      <c r="V6007" s="22" t="str">
        <f t="shared" si="448"/>
        <v/>
      </c>
      <c r="X6007" s="33"/>
      <c r="Y6007" s="33"/>
    </row>
    <row r="6008" spans="1:25" x14ac:dyDescent="0.2">
      <c r="A6008" s="93"/>
      <c r="B6008" s="94" t="str">
        <f>IFERROR(VLOOKUP($A6008,HeadJournal!$A$1:$NTR$890,COLUMN(HeadJournal!B$1),0),"")</f>
        <v/>
      </c>
      <c r="C6008" s="94" t="str">
        <f>IFERROR(VLOOKUP($A6008,HeadJournal!$A$1:$NTR$890,COLUMN(HeadJournal!C$1),0),"")</f>
        <v/>
      </c>
      <c r="D6008" s="125" t="str">
        <f>IFERROR(VLOOKUP($A6008,HeadJournal!$A$1:$NTR$890,COLUMN(HeadJournal!D$1),0),"")</f>
        <v/>
      </c>
      <c r="E6008" s="95" t="str">
        <f>IFERROR(VLOOKUP($A6008,HeadJournal!$A$1:$NTR$890,COLUMN(HeadJournal!G$1),0),"")</f>
        <v/>
      </c>
      <c r="F6008" s="95" t="str">
        <f t="shared" ref="F6008:F6119" si="449">IFERROR(TEXT(E6008, "ГГГГ ММ"),"")</f>
        <v/>
      </c>
      <c r="G6008" s="97"/>
      <c r="H6008" s="161"/>
      <c r="I6008" s="97"/>
      <c r="J6008" s="97"/>
      <c r="K6008" s="29"/>
      <c r="L6008" s="29"/>
      <c r="M6008" s="30">
        <f>IFERROR(VLOOKUP($A6008,HeadJournal!$A$1:$J$890,COLUMN(HeadJournal!I$1),0)*($K6008+$L6008)/(SUMIF($A:$A,$A6008,$K:$K)+SUMIF($A:$A,$A6008,$L:$L)),0)</f>
        <v>0</v>
      </c>
      <c r="N6008" s="30">
        <f>IFERROR((VLOOKUP($A6008,HeadJournal!$A$1:$K$890,COLUMN(HeadJournal!K$1),0)-VLOOKUP($A6008,HeadJournal!$A$1:$K$890,COLUMN(HeadJournal!J$1),0))*($K6008+$L6008)/(SUMIF($A:$A,$A6008,$K:$K)+SUMIF($A:$A,$A6008,$L:$L)),0)</f>
        <v>0</v>
      </c>
      <c r="O6008" s="30">
        <f>IFERROR((VLOOKUP($A6008,HeadJournal!$A$1:$L$890,COLUMN(HeadJournal!L$1),0)*($K6008+$L6008)/(SUMIF($A:$A,$A6008,$K:$K)+SUMIF($A:$A,$A6008,$L:$L)))/VLOOKUP($A6008,HeadJournal!$A$1:$L$890,COLUMN(HeadJournal!H$1),0),0)</f>
        <v>0</v>
      </c>
      <c r="P6008" s="30">
        <f>IFERROR(SUM(K6008:O6008)*VLOOKUP($A6008,HeadJournal!$A$1:$L$890,COLUMN(HeadJournal!H$1),0),0)</f>
        <v>0</v>
      </c>
      <c r="Q6008" s="29"/>
      <c r="R6008" s="31"/>
      <c r="S6008" s="31"/>
      <c r="T6008" s="95" t="str">
        <f t="shared" ref="T6008:T6119" si="450">IF(R6008="","",TEXT(R6008,"ГГГГ ММ"))</f>
        <v/>
      </c>
      <c r="U6008" s="32">
        <f t="shared" si="447"/>
        <v>0</v>
      </c>
      <c r="V6008" s="22" t="str">
        <f t="shared" si="448"/>
        <v/>
      </c>
      <c r="X6008" s="33"/>
      <c r="Y6008" s="33"/>
    </row>
    <row r="6009" spans="1:25" x14ac:dyDescent="0.2">
      <c r="A6009" s="93"/>
      <c r="B6009" s="94" t="str">
        <f>IFERROR(VLOOKUP($A6009,HeadJournal!$A$1:$NTR$890,COLUMN(HeadJournal!B$1),0),"")</f>
        <v/>
      </c>
      <c r="C6009" s="94" t="str">
        <f>IFERROR(VLOOKUP($A6009,HeadJournal!$A$1:$NTR$890,COLUMN(HeadJournal!C$1),0),"")</f>
        <v/>
      </c>
      <c r="D6009" s="125" t="str">
        <f>IFERROR(VLOOKUP($A6009,HeadJournal!$A$1:$NTR$890,COLUMN(HeadJournal!D$1),0),"")</f>
        <v/>
      </c>
      <c r="E6009" s="95" t="str">
        <f>IFERROR(VLOOKUP($A6009,HeadJournal!$A$1:$NTR$890,COLUMN(HeadJournal!G$1),0),"")</f>
        <v/>
      </c>
      <c r="F6009" s="95" t="str">
        <f t="shared" si="449"/>
        <v/>
      </c>
      <c r="G6009" s="97"/>
      <c r="H6009" s="161"/>
      <c r="I6009" s="97"/>
      <c r="J6009" s="97"/>
      <c r="K6009" s="29"/>
      <c r="L6009" s="29"/>
      <c r="M6009" s="30">
        <f>IFERROR(VLOOKUP($A6009,HeadJournal!$A$1:$J$890,COLUMN(HeadJournal!I$1),0)*($K6009+$L6009)/(SUMIF($A:$A,$A6009,$K:$K)+SUMIF($A:$A,$A6009,$L:$L)),0)</f>
        <v>0</v>
      </c>
      <c r="N6009" s="30">
        <f>IFERROR((VLOOKUP($A6009,HeadJournal!$A$1:$K$890,COLUMN(HeadJournal!K$1),0)-VLOOKUP($A6009,HeadJournal!$A$1:$K$890,COLUMN(HeadJournal!J$1),0))*($K6009+$L6009)/(SUMIF($A:$A,$A6009,$K:$K)+SUMIF($A:$A,$A6009,$L:$L)),0)</f>
        <v>0</v>
      </c>
      <c r="O6009" s="30">
        <f>IFERROR((VLOOKUP($A6009,HeadJournal!$A$1:$L$890,COLUMN(HeadJournal!L$1),0)*($K6009+$L6009)/(SUMIF($A:$A,$A6009,$K:$K)+SUMIF($A:$A,$A6009,$L:$L)))/VLOOKUP($A6009,HeadJournal!$A$1:$L$890,COLUMN(HeadJournal!H$1),0),0)</f>
        <v>0</v>
      </c>
      <c r="P6009" s="30">
        <f>IFERROR(SUM(K6009:O6009)*VLOOKUP($A6009,HeadJournal!$A$1:$L$890,COLUMN(HeadJournal!H$1),0),0)</f>
        <v>0</v>
      </c>
      <c r="Q6009" s="29"/>
      <c r="R6009" s="31"/>
      <c r="S6009" s="31"/>
      <c r="T6009" s="95" t="str">
        <f t="shared" si="450"/>
        <v/>
      </c>
      <c r="U6009" s="32">
        <f t="shared" si="447"/>
        <v>0</v>
      </c>
      <c r="V6009" s="22" t="str">
        <f t="shared" si="448"/>
        <v/>
      </c>
      <c r="X6009" s="33"/>
      <c r="Y6009" s="33"/>
    </row>
    <row r="6010" spans="1:25" x14ac:dyDescent="0.2">
      <c r="A6010" s="93"/>
      <c r="B6010" s="94" t="str">
        <f>IFERROR(VLOOKUP($A6010,HeadJournal!$A$1:$NTR$890,COLUMN(HeadJournal!B$1),0),"")</f>
        <v/>
      </c>
      <c r="C6010" s="94" t="str">
        <f>IFERROR(VLOOKUP($A6010,HeadJournal!$A$1:$NTR$890,COLUMN(HeadJournal!C$1),0),"")</f>
        <v/>
      </c>
      <c r="D6010" s="125" t="str">
        <f>IFERROR(VLOOKUP($A6010,HeadJournal!$A$1:$NTR$890,COLUMN(HeadJournal!D$1),0),"")</f>
        <v/>
      </c>
      <c r="E6010" s="95" t="str">
        <f>IFERROR(VLOOKUP($A6010,HeadJournal!$A$1:$NTR$890,COLUMN(HeadJournal!G$1),0),"")</f>
        <v/>
      </c>
      <c r="F6010" s="95" t="str">
        <f t="shared" si="449"/>
        <v/>
      </c>
      <c r="G6010" s="97"/>
      <c r="H6010" s="161"/>
      <c r="I6010" s="97"/>
      <c r="J6010" s="97"/>
      <c r="K6010" s="29"/>
      <c r="L6010" s="29"/>
      <c r="M6010" s="30">
        <f>IFERROR(VLOOKUP($A6010,HeadJournal!$A$1:$J$890,COLUMN(HeadJournal!I$1),0)*($K6010+$L6010)/(SUMIF($A:$A,$A6010,$K:$K)+SUMIF($A:$A,$A6010,$L:$L)),0)</f>
        <v>0</v>
      </c>
      <c r="N6010" s="30">
        <f>IFERROR((VLOOKUP($A6010,HeadJournal!$A$1:$K$890,COLUMN(HeadJournal!K$1),0)-VLOOKUP($A6010,HeadJournal!$A$1:$K$890,COLUMN(HeadJournal!J$1),0))*($K6010+$L6010)/(SUMIF($A:$A,$A6010,$K:$K)+SUMIF($A:$A,$A6010,$L:$L)),0)</f>
        <v>0</v>
      </c>
      <c r="O6010" s="30">
        <f>IFERROR((VLOOKUP($A6010,HeadJournal!$A$1:$L$890,COLUMN(HeadJournal!L$1),0)*($K6010+$L6010)/(SUMIF($A:$A,$A6010,$K:$K)+SUMIF($A:$A,$A6010,$L:$L)))/VLOOKUP($A6010,HeadJournal!$A$1:$L$890,COLUMN(HeadJournal!H$1),0),0)</f>
        <v>0</v>
      </c>
      <c r="P6010" s="30">
        <f>IFERROR(SUM(K6010:O6010)*VLOOKUP($A6010,HeadJournal!$A$1:$L$890,COLUMN(HeadJournal!H$1),0),0)</f>
        <v>0</v>
      </c>
      <c r="Q6010" s="29"/>
      <c r="R6010" s="31"/>
      <c r="S6010" s="31"/>
      <c r="T6010" s="95" t="str">
        <f t="shared" si="450"/>
        <v/>
      </c>
      <c r="U6010" s="32">
        <f t="shared" si="447"/>
        <v>0</v>
      </c>
      <c r="V6010" s="22" t="str">
        <f t="shared" si="448"/>
        <v/>
      </c>
      <c r="X6010" s="33"/>
      <c r="Y6010" s="33"/>
    </row>
    <row r="6011" spans="1:25" x14ac:dyDescent="0.2">
      <c r="A6011" s="93"/>
      <c r="B6011" s="94" t="str">
        <f>IFERROR(VLOOKUP($A6011,HeadJournal!$A$1:$NTR$890,COLUMN(HeadJournal!B$1),0),"")</f>
        <v/>
      </c>
      <c r="C6011" s="94" t="str">
        <f>IFERROR(VLOOKUP($A6011,HeadJournal!$A$1:$NTR$890,COLUMN(HeadJournal!C$1),0),"")</f>
        <v/>
      </c>
      <c r="D6011" s="125" t="str">
        <f>IFERROR(VLOOKUP($A6011,HeadJournal!$A$1:$NTR$890,COLUMN(HeadJournal!D$1),0),"")</f>
        <v/>
      </c>
      <c r="E6011" s="95" t="str">
        <f>IFERROR(VLOOKUP($A6011,HeadJournal!$A$1:$NTR$890,COLUMN(HeadJournal!G$1),0),"")</f>
        <v/>
      </c>
      <c r="F6011" s="95" t="str">
        <f t="shared" si="449"/>
        <v/>
      </c>
      <c r="G6011" s="97"/>
      <c r="H6011" s="161"/>
      <c r="I6011" s="97"/>
      <c r="J6011" s="97"/>
      <c r="K6011" s="29"/>
      <c r="L6011" s="29"/>
      <c r="M6011" s="30">
        <f>IFERROR(VLOOKUP($A6011,HeadJournal!$A$1:$J$890,COLUMN(HeadJournal!I$1),0)*($K6011+$L6011)/(SUMIF($A:$A,$A6011,$K:$K)+SUMIF($A:$A,$A6011,$L:$L)),0)</f>
        <v>0</v>
      </c>
      <c r="N6011" s="30">
        <f>IFERROR((VLOOKUP($A6011,HeadJournal!$A$1:$K$890,COLUMN(HeadJournal!K$1),0)-VLOOKUP($A6011,HeadJournal!$A$1:$K$890,COLUMN(HeadJournal!J$1),0))*($K6011+$L6011)/(SUMIF($A:$A,$A6011,$K:$K)+SUMIF($A:$A,$A6011,$L:$L)),0)</f>
        <v>0</v>
      </c>
      <c r="O6011" s="30">
        <f>IFERROR((VLOOKUP($A6011,HeadJournal!$A$1:$L$890,COLUMN(HeadJournal!L$1),0)*($K6011+$L6011)/(SUMIF($A:$A,$A6011,$K:$K)+SUMIF($A:$A,$A6011,$L:$L)))/VLOOKUP($A6011,HeadJournal!$A$1:$L$890,COLUMN(HeadJournal!H$1),0),0)</f>
        <v>0</v>
      </c>
      <c r="P6011" s="30">
        <f>IFERROR(SUM(K6011:O6011)*VLOOKUP($A6011,HeadJournal!$A$1:$L$890,COLUMN(HeadJournal!H$1),0),0)</f>
        <v>0</v>
      </c>
      <c r="Q6011" s="29"/>
      <c r="R6011" s="31"/>
      <c r="S6011" s="31"/>
      <c r="T6011" s="95" t="str">
        <f t="shared" si="450"/>
        <v/>
      </c>
      <c r="U6011" s="32">
        <f t="shared" si="447"/>
        <v>0</v>
      </c>
      <c r="V6011" s="22" t="str">
        <f t="shared" si="448"/>
        <v/>
      </c>
      <c r="X6011" s="33"/>
      <c r="Y6011" s="33"/>
    </row>
    <row r="6012" spans="1:25" x14ac:dyDescent="0.2">
      <c r="A6012" s="93"/>
      <c r="B6012" s="94" t="str">
        <f>IFERROR(VLOOKUP($A6012,HeadJournal!$A$1:$NTR$890,COLUMN(HeadJournal!B$1),0),"")</f>
        <v/>
      </c>
      <c r="C6012" s="94" t="str">
        <f>IFERROR(VLOOKUP($A6012,HeadJournal!$A$1:$NTR$890,COLUMN(HeadJournal!C$1),0),"")</f>
        <v/>
      </c>
      <c r="D6012" s="125" t="str">
        <f>IFERROR(VLOOKUP($A6012,HeadJournal!$A$1:$NTR$890,COLUMN(HeadJournal!D$1),0),"")</f>
        <v/>
      </c>
      <c r="E6012" s="95" t="str">
        <f>IFERROR(VLOOKUP($A6012,HeadJournal!$A$1:$NTR$890,COLUMN(HeadJournal!G$1),0),"")</f>
        <v/>
      </c>
      <c r="F6012" s="95" t="str">
        <f t="shared" si="449"/>
        <v/>
      </c>
      <c r="G6012" s="97"/>
      <c r="H6012" s="161"/>
      <c r="I6012" s="97"/>
      <c r="J6012" s="97"/>
      <c r="K6012" s="29"/>
      <c r="L6012" s="29"/>
      <c r="M6012" s="30">
        <f>IFERROR(VLOOKUP($A6012,HeadJournal!$A$1:$J$890,COLUMN(HeadJournal!I$1),0)*($K6012+$L6012)/(SUMIF($A:$A,$A6012,$K:$K)+SUMIF($A:$A,$A6012,$L:$L)),0)</f>
        <v>0</v>
      </c>
      <c r="N6012" s="30">
        <f>IFERROR((VLOOKUP($A6012,HeadJournal!$A$1:$K$890,COLUMN(HeadJournal!K$1),0)-VLOOKUP($A6012,HeadJournal!$A$1:$K$890,COLUMN(HeadJournal!J$1),0))*($K6012+$L6012)/(SUMIF($A:$A,$A6012,$K:$K)+SUMIF($A:$A,$A6012,$L:$L)),0)</f>
        <v>0</v>
      </c>
      <c r="O6012" s="30">
        <f>IFERROR((VLOOKUP($A6012,HeadJournal!$A$1:$L$890,COLUMN(HeadJournal!L$1),0)*($K6012+$L6012)/(SUMIF($A:$A,$A6012,$K:$K)+SUMIF($A:$A,$A6012,$L:$L)))/VLOOKUP($A6012,HeadJournal!$A$1:$L$890,COLUMN(HeadJournal!H$1),0),0)</f>
        <v>0</v>
      </c>
      <c r="P6012" s="30">
        <f>IFERROR(SUM(K6012:O6012)*VLOOKUP($A6012,HeadJournal!$A$1:$L$890,COLUMN(HeadJournal!H$1),0),0)</f>
        <v>0</v>
      </c>
      <c r="Q6012" s="29"/>
      <c r="R6012" s="31"/>
      <c r="S6012" s="31"/>
      <c r="T6012" s="95" t="str">
        <f t="shared" si="450"/>
        <v/>
      </c>
      <c r="U6012" s="32">
        <f t="shared" si="447"/>
        <v>0</v>
      </c>
      <c r="V6012" s="22" t="str">
        <f t="shared" si="448"/>
        <v/>
      </c>
      <c r="X6012" s="33"/>
      <c r="Y6012" s="33"/>
    </row>
    <row r="6013" spans="1:25" x14ac:dyDescent="0.2">
      <c r="A6013" s="93"/>
      <c r="B6013" s="94" t="str">
        <f>IFERROR(VLOOKUP($A6013,HeadJournal!$A$1:$NTR$890,COLUMN(HeadJournal!B$1),0),"")</f>
        <v/>
      </c>
      <c r="C6013" s="94" t="str">
        <f>IFERROR(VLOOKUP($A6013,HeadJournal!$A$1:$NTR$890,COLUMN(HeadJournal!C$1),0),"")</f>
        <v/>
      </c>
      <c r="D6013" s="125" t="str">
        <f>IFERROR(VLOOKUP($A6013,HeadJournal!$A$1:$NTR$890,COLUMN(HeadJournal!D$1),0),"")</f>
        <v/>
      </c>
      <c r="E6013" s="95" t="str">
        <f>IFERROR(VLOOKUP($A6013,HeadJournal!$A$1:$NTR$890,COLUMN(HeadJournal!G$1),0),"")</f>
        <v/>
      </c>
      <c r="F6013" s="95" t="str">
        <f t="shared" si="449"/>
        <v/>
      </c>
      <c r="G6013" s="97"/>
      <c r="H6013" s="161"/>
      <c r="I6013" s="97"/>
      <c r="J6013" s="97"/>
      <c r="K6013" s="29"/>
      <c r="L6013" s="29"/>
      <c r="M6013" s="30">
        <f>IFERROR(VLOOKUP($A6013,HeadJournal!$A$1:$J$890,COLUMN(HeadJournal!I$1),0)*($K6013+$L6013)/(SUMIF($A:$A,$A6013,$K:$K)+SUMIF($A:$A,$A6013,$L:$L)),0)</f>
        <v>0</v>
      </c>
      <c r="N6013" s="30">
        <f>IFERROR((VLOOKUP($A6013,HeadJournal!$A$1:$K$890,COLUMN(HeadJournal!K$1),0)-VLOOKUP($A6013,HeadJournal!$A$1:$K$890,COLUMN(HeadJournal!J$1),0))*($K6013+$L6013)/(SUMIF($A:$A,$A6013,$K:$K)+SUMIF($A:$A,$A6013,$L:$L)),0)</f>
        <v>0</v>
      </c>
      <c r="O6013" s="30">
        <f>IFERROR((VLOOKUP($A6013,HeadJournal!$A$1:$L$890,COLUMN(HeadJournal!L$1),0)*($K6013+$L6013)/(SUMIF($A:$A,$A6013,$K:$K)+SUMIF($A:$A,$A6013,$L:$L)))/VLOOKUP($A6013,HeadJournal!$A$1:$L$890,COLUMN(HeadJournal!H$1),0),0)</f>
        <v>0</v>
      </c>
      <c r="P6013" s="30">
        <f>IFERROR(SUM(K6013:O6013)*VLOOKUP($A6013,HeadJournal!$A$1:$L$890,COLUMN(HeadJournal!H$1),0),0)</f>
        <v>0</v>
      </c>
      <c r="Q6013" s="29"/>
      <c r="R6013" s="31"/>
      <c r="S6013" s="31"/>
      <c r="T6013" s="95" t="str">
        <f t="shared" si="450"/>
        <v/>
      </c>
      <c r="U6013" s="32">
        <f t="shared" si="447"/>
        <v>0</v>
      </c>
      <c r="V6013" s="22" t="str">
        <f t="shared" si="448"/>
        <v/>
      </c>
      <c r="X6013" s="33"/>
      <c r="Y6013" s="33"/>
    </row>
    <row r="6014" spans="1:25" x14ac:dyDescent="0.2">
      <c r="A6014" s="93"/>
      <c r="B6014" s="94" t="str">
        <f>IFERROR(VLOOKUP($A6014,HeadJournal!$A$1:$NTR$890,COLUMN(HeadJournal!B$1),0),"")</f>
        <v/>
      </c>
      <c r="C6014" s="94" t="str">
        <f>IFERROR(VLOOKUP($A6014,HeadJournal!$A$1:$NTR$890,COLUMN(HeadJournal!C$1),0),"")</f>
        <v/>
      </c>
      <c r="D6014" s="125" t="str">
        <f>IFERROR(VLOOKUP($A6014,HeadJournal!$A$1:$NTR$890,COLUMN(HeadJournal!D$1),0),"")</f>
        <v/>
      </c>
      <c r="E6014" s="95" t="str">
        <f>IFERROR(VLOOKUP($A6014,HeadJournal!$A$1:$NTR$890,COLUMN(HeadJournal!G$1),0),"")</f>
        <v/>
      </c>
      <c r="F6014" s="95" t="str">
        <f t="shared" si="449"/>
        <v/>
      </c>
      <c r="G6014" s="97"/>
      <c r="H6014" s="161"/>
      <c r="I6014" s="97"/>
      <c r="J6014" s="97"/>
      <c r="K6014" s="29"/>
      <c r="L6014" s="29"/>
      <c r="M6014" s="30">
        <f>IFERROR(VLOOKUP($A6014,HeadJournal!$A$1:$J$890,COLUMN(HeadJournal!I$1),0)*($K6014+$L6014)/(SUMIF($A:$A,$A6014,$K:$K)+SUMIF($A:$A,$A6014,$L:$L)),0)</f>
        <v>0</v>
      </c>
      <c r="N6014" s="30">
        <f>IFERROR((VLOOKUP($A6014,HeadJournal!$A$1:$K$890,COLUMN(HeadJournal!K$1),0)-VLOOKUP($A6014,HeadJournal!$A$1:$K$890,COLUMN(HeadJournal!J$1),0))*($K6014+$L6014)/(SUMIF($A:$A,$A6014,$K:$K)+SUMIF($A:$A,$A6014,$L:$L)),0)</f>
        <v>0</v>
      </c>
      <c r="O6014" s="30">
        <f>IFERROR((VLOOKUP($A6014,HeadJournal!$A$1:$L$890,COLUMN(HeadJournal!L$1),0)*($K6014+$L6014)/(SUMIF($A:$A,$A6014,$K:$K)+SUMIF($A:$A,$A6014,$L:$L)))/VLOOKUP($A6014,HeadJournal!$A$1:$L$890,COLUMN(HeadJournal!H$1),0),0)</f>
        <v>0</v>
      </c>
      <c r="P6014" s="30">
        <f>IFERROR(SUM(K6014:O6014)*VLOOKUP($A6014,HeadJournal!$A$1:$L$890,COLUMN(HeadJournal!H$1),0),0)</f>
        <v>0</v>
      </c>
      <c r="Q6014" s="29"/>
      <c r="R6014" s="31"/>
      <c r="S6014" s="31"/>
      <c r="T6014" s="95" t="str">
        <f t="shared" si="450"/>
        <v/>
      </c>
      <c r="U6014" s="32">
        <f t="shared" si="447"/>
        <v>0</v>
      </c>
      <c r="V6014" s="22" t="str">
        <f t="shared" si="448"/>
        <v/>
      </c>
      <c r="X6014" s="33"/>
      <c r="Y6014" s="33"/>
    </row>
    <row r="6015" spans="1:25" x14ac:dyDescent="0.2">
      <c r="A6015" s="93"/>
      <c r="B6015" s="94" t="str">
        <f>IFERROR(VLOOKUP($A6015,HeadJournal!$A$1:$NTR$890,COLUMN(HeadJournal!B$1),0),"")</f>
        <v/>
      </c>
      <c r="C6015" s="94" t="str">
        <f>IFERROR(VLOOKUP($A6015,HeadJournal!$A$1:$NTR$890,COLUMN(HeadJournal!C$1),0),"")</f>
        <v/>
      </c>
      <c r="D6015" s="125" t="str">
        <f>IFERROR(VLOOKUP($A6015,HeadJournal!$A$1:$NTR$890,COLUMN(HeadJournal!D$1),0),"")</f>
        <v/>
      </c>
      <c r="E6015" s="95" t="str">
        <f>IFERROR(VLOOKUP($A6015,HeadJournal!$A$1:$NTR$890,COLUMN(HeadJournal!G$1),0),"")</f>
        <v/>
      </c>
      <c r="F6015" s="95" t="str">
        <f t="shared" si="449"/>
        <v/>
      </c>
      <c r="G6015" s="97"/>
      <c r="H6015" s="161"/>
      <c r="I6015" s="97"/>
      <c r="J6015" s="97"/>
      <c r="K6015" s="29"/>
      <c r="L6015" s="29"/>
      <c r="M6015" s="30">
        <f>IFERROR(VLOOKUP($A6015,HeadJournal!$A$1:$J$890,COLUMN(HeadJournal!I$1),0)*($K6015+$L6015)/(SUMIF($A:$A,$A6015,$K:$K)+SUMIF($A:$A,$A6015,$L:$L)),0)</f>
        <v>0</v>
      </c>
      <c r="N6015" s="30">
        <f>IFERROR((VLOOKUP($A6015,HeadJournal!$A$1:$K$890,COLUMN(HeadJournal!K$1),0)-VLOOKUP($A6015,HeadJournal!$A$1:$K$890,COLUMN(HeadJournal!J$1),0))*($K6015+$L6015)/(SUMIF($A:$A,$A6015,$K:$K)+SUMIF($A:$A,$A6015,$L:$L)),0)</f>
        <v>0</v>
      </c>
      <c r="O6015" s="30">
        <f>IFERROR((VLOOKUP($A6015,HeadJournal!$A$1:$L$890,COLUMN(HeadJournal!L$1),0)*($K6015+$L6015)/(SUMIF($A:$A,$A6015,$K:$K)+SUMIF($A:$A,$A6015,$L:$L)))/VLOOKUP($A6015,HeadJournal!$A$1:$L$890,COLUMN(HeadJournal!H$1),0),0)</f>
        <v>0</v>
      </c>
      <c r="P6015" s="30">
        <f>IFERROR(SUM(K6015:O6015)*VLOOKUP($A6015,HeadJournal!$A$1:$L$890,COLUMN(HeadJournal!H$1),0),0)</f>
        <v>0</v>
      </c>
      <c r="Q6015" s="29"/>
      <c r="R6015" s="31"/>
      <c r="S6015" s="31"/>
      <c r="T6015" s="95" t="str">
        <f t="shared" si="450"/>
        <v/>
      </c>
      <c r="U6015" s="32">
        <f t="shared" si="447"/>
        <v>0</v>
      </c>
      <c r="V6015" s="22" t="str">
        <f t="shared" si="448"/>
        <v/>
      </c>
      <c r="X6015" s="33"/>
      <c r="Y6015" s="33"/>
    </row>
    <row r="6016" spans="1:25" x14ac:dyDescent="0.2">
      <c r="A6016" s="93"/>
      <c r="B6016" s="94" t="str">
        <f>IFERROR(VLOOKUP($A6016,HeadJournal!$A$1:$NTR$890,COLUMN(HeadJournal!B$1),0),"")</f>
        <v/>
      </c>
      <c r="C6016" s="94" t="str">
        <f>IFERROR(VLOOKUP($A6016,HeadJournal!$A$1:$NTR$890,COLUMN(HeadJournal!C$1),0),"")</f>
        <v/>
      </c>
      <c r="D6016" s="125" t="str">
        <f>IFERROR(VLOOKUP($A6016,HeadJournal!$A$1:$NTR$890,COLUMN(HeadJournal!D$1),0),"")</f>
        <v/>
      </c>
      <c r="E6016" s="95" t="str">
        <f>IFERROR(VLOOKUP($A6016,HeadJournal!$A$1:$NTR$890,COLUMN(HeadJournal!G$1),0),"")</f>
        <v/>
      </c>
      <c r="F6016" s="95" t="str">
        <f t="shared" si="449"/>
        <v/>
      </c>
      <c r="G6016" s="97"/>
      <c r="H6016" s="161"/>
      <c r="I6016" s="97"/>
      <c r="J6016" s="97"/>
      <c r="K6016" s="29"/>
      <c r="L6016" s="29"/>
      <c r="M6016" s="30">
        <f>IFERROR(VLOOKUP($A6016,HeadJournal!$A$1:$J$890,COLUMN(HeadJournal!I$1),0)*($K6016+$L6016)/(SUMIF($A:$A,$A6016,$K:$K)+SUMIF($A:$A,$A6016,$L:$L)),0)</f>
        <v>0</v>
      </c>
      <c r="N6016" s="30">
        <f>IFERROR((VLOOKUP($A6016,HeadJournal!$A$1:$K$890,COLUMN(HeadJournal!K$1),0)-VLOOKUP($A6016,HeadJournal!$A$1:$K$890,COLUMN(HeadJournal!J$1),0))*($K6016+$L6016)/(SUMIF($A:$A,$A6016,$K:$K)+SUMIF($A:$A,$A6016,$L:$L)),0)</f>
        <v>0</v>
      </c>
      <c r="O6016" s="30">
        <f>IFERROR((VLOOKUP($A6016,HeadJournal!$A$1:$L$890,COLUMN(HeadJournal!L$1),0)*($K6016+$L6016)/(SUMIF($A:$A,$A6016,$K:$K)+SUMIF($A:$A,$A6016,$L:$L)))/VLOOKUP($A6016,HeadJournal!$A$1:$L$890,COLUMN(HeadJournal!H$1),0),0)</f>
        <v>0</v>
      </c>
      <c r="P6016" s="30">
        <f>IFERROR(SUM(K6016:O6016)*VLOOKUP($A6016,HeadJournal!$A$1:$L$890,COLUMN(HeadJournal!H$1),0),0)</f>
        <v>0</v>
      </c>
      <c r="Q6016" s="29"/>
      <c r="R6016" s="31"/>
      <c r="S6016" s="31"/>
      <c r="T6016" s="95" t="str">
        <f t="shared" si="450"/>
        <v/>
      </c>
      <c r="U6016" s="32">
        <f t="shared" si="447"/>
        <v>0</v>
      </c>
      <c r="V6016" s="22" t="str">
        <f t="shared" si="448"/>
        <v/>
      </c>
      <c r="X6016" s="33"/>
      <c r="Y6016" s="33"/>
    </row>
    <row r="6017" spans="1:25" x14ac:dyDescent="0.2">
      <c r="A6017" s="93"/>
      <c r="B6017" s="94" t="str">
        <f>IFERROR(VLOOKUP($A6017,HeadJournal!$A$1:$NTR$890,COLUMN(HeadJournal!B$1),0),"")</f>
        <v/>
      </c>
      <c r="C6017" s="94" t="str">
        <f>IFERROR(VLOOKUP($A6017,HeadJournal!$A$1:$NTR$890,COLUMN(HeadJournal!C$1),0),"")</f>
        <v/>
      </c>
      <c r="D6017" s="125" t="str">
        <f>IFERROR(VLOOKUP($A6017,HeadJournal!$A$1:$NTR$890,COLUMN(HeadJournal!D$1),0),"")</f>
        <v/>
      </c>
      <c r="E6017" s="95" t="str">
        <f>IFERROR(VLOOKUP($A6017,HeadJournal!$A$1:$NTR$890,COLUMN(HeadJournal!G$1),0),"")</f>
        <v/>
      </c>
      <c r="F6017" s="95" t="str">
        <f t="shared" si="449"/>
        <v/>
      </c>
      <c r="G6017" s="97"/>
      <c r="H6017" s="161"/>
      <c r="I6017" s="97"/>
      <c r="J6017" s="97"/>
      <c r="K6017" s="29"/>
      <c r="L6017" s="29"/>
      <c r="M6017" s="30">
        <f>IFERROR(VLOOKUP($A6017,HeadJournal!$A$1:$J$890,COLUMN(HeadJournal!I$1),0)*($K6017+$L6017)/(SUMIF($A:$A,$A6017,$K:$K)+SUMIF($A:$A,$A6017,$L:$L)),0)</f>
        <v>0</v>
      </c>
      <c r="N6017" s="30">
        <f>IFERROR((VLOOKUP($A6017,HeadJournal!$A$1:$K$890,COLUMN(HeadJournal!K$1),0)-VLOOKUP($A6017,HeadJournal!$A$1:$K$890,COLUMN(HeadJournal!J$1),0))*($K6017+$L6017)/(SUMIF($A:$A,$A6017,$K:$K)+SUMIF($A:$A,$A6017,$L:$L)),0)</f>
        <v>0</v>
      </c>
      <c r="O6017" s="30">
        <f>IFERROR((VLOOKUP($A6017,HeadJournal!$A$1:$L$890,COLUMN(HeadJournal!L$1),0)*($K6017+$L6017)/(SUMIF($A:$A,$A6017,$K:$K)+SUMIF($A:$A,$A6017,$L:$L)))/VLOOKUP($A6017,HeadJournal!$A$1:$L$890,COLUMN(HeadJournal!H$1),0),0)</f>
        <v>0</v>
      </c>
      <c r="P6017" s="30">
        <f>IFERROR(SUM(K6017:O6017)*VLOOKUP($A6017,HeadJournal!$A$1:$L$890,COLUMN(HeadJournal!H$1),0),0)</f>
        <v>0</v>
      </c>
      <c r="Q6017" s="29"/>
      <c r="R6017" s="31"/>
      <c r="S6017" s="31"/>
      <c r="T6017" s="95" t="str">
        <f t="shared" si="450"/>
        <v/>
      </c>
      <c r="U6017" s="32">
        <f t="shared" si="447"/>
        <v>0</v>
      </c>
      <c r="V6017" s="22" t="str">
        <f t="shared" si="448"/>
        <v/>
      </c>
      <c r="X6017" s="33"/>
      <c r="Y6017" s="33"/>
    </row>
    <row r="6018" spans="1:25" x14ac:dyDescent="0.2">
      <c r="A6018" s="93"/>
      <c r="B6018" s="94" t="str">
        <f>IFERROR(VLOOKUP($A6018,HeadJournal!$A$1:$NTR$890,COLUMN(HeadJournal!B$1),0),"")</f>
        <v/>
      </c>
      <c r="C6018" s="94" t="str">
        <f>IFERROR(VLOOKUP($A6018,HeadJournal!$A$1:$NTR$890,COLUMN(HeadJournal!C$1),0),"")</f>
        <v/>
      </c>
      <c r="D6018" s="125" t="str">
        <f>IFERROR(VLOOKUP($A6018,HeadJournal!$A$1:$NTR$890,COLUMN(HeadJournal!D$1),0),"")</f>
        <v/>
      </c>
      <c r="E6018" s="95" t="str">
        <f>IFERROR(VLOOKUP($A6018,HeadJournal!$A$1:$NTR$890,COLUMN(HeadJournal!G$1),0),"")</f>
        <v/>
      </c>
      <c r="F6018" s="95" t="str">
        <f t="shared" si="449"/>
        <v/>
      </c>
      <c r="G6018" s="97"/>
      <c r="H6018" s="161"/>
      <c r="I6018" s="97"/>
      <c r="J6018" s="97"/>
      <c r="K6018" s="29"/>
      <c r="L6018" s="29"/>
      <c r="M6018" s="30">
        <f>IFERROR(VLOOKUP($A6018,HeadJournal!$A$1:$J$890,COLUMN(HeadJournal!I$1),0)*($K6018+$L6018)/(SUMIF($A:$A,$A6018,$K:$K)+SUMIF($A:$A,$A6018,$L:$L)),0)</f>
        <v>0</v>
      </c>
      <c r="N6018" s="30">
        <f>IFERROR((VLOOKUP($A6018,HeadJournal!$A$1:$K$890,COLUMN(HeadJournal!K$1),0)-VLOOKUP($A6018,HeadJournal!$A$1:$K$890,COLUMN(HeadJournal!J$1),0))*($K6018+$L6018)/(SUMIF($A:$A,$A6018,$K:$K)+SUMIF($A:$A,$A6018,$L:$L)),0)</f>
        <v>0</v>
      </c>
      <c r="O6018" s="30">
        <f>IFERROR((VLOOKUP($A6018,HeadJournal!$A$1:$L$890,COLUMN(HeadJournal!L$1),0)*($K6018+$L6018)/(SUMIF($A:$A,$A6018,$K:$K)+SUMIF($A:$A,$A6018,$L:$L)))/VLOOKUP($A6018,HeadJournal!$A$1:$L$890,COLUMN(HeadJournal!H$1),0),0)</f>
        <v>0</v>
      </c>
      <c r="P6018" s="30">
        <f>IFERROR(SUM(K6018:O6018)*VLOOKUP($A6018,HeadJournal!$A$1:$L$890,COLUMN(HeadJournal!H$1),0),0)</f>
        <v>0</v>
      </c>
      <c r="Q6018" s="29"/>
      <c r="R6018" s="31"/>
      <c r="S6018" s="31"/>
      <c r="T6018" s="95" t="str">
        <f t="shared" si="450"/>
        <v/>
      </c>
      <c r="U6018" s="32">
        <f t="shared" si="447"/>
        <v>0</v>
      </c>
      <c r="V6018" s="22" t="str">
        <f t="shared" si="448"/>
        <v/>
      </c>
      <c r="X6018" s="33"/>
      <c r="Y6018" s="33"/>
    </row>
    <row r="6019" spans="1:25" x14ac:dyDescent="0.2">
      <c r="A6019" s="93"/>
      <c r="B6019" s="94" t="str">
        <f>IFERROR(VLOOKUP($A6019,HeadJournal!$A$1:$NTR$890,COLUMN(HeadJournal!B$1),0),"")</f>
        <v/>
      </c>
      <c r="C6019" s="94" t="str">
        <f>IFERROR(VLOOKUP($A6019,HeadJournal!$A$1:$NTR$890,COLUMN(HeadJournal!C$1),0),"")</f>
        <v/>
      </c>
      <c r="D6019" s="125" t="str">
        <f>IFERROR(VLOOKUP($A6019,HeadJournal!$A$1:$NTR$890,COLUMN(HeadJournal!D$1),0),"")</f>
        <v/>
      </c>
      <c r="E6019" s="95" t="str">
        <f>IFERROR(VLOOKUP($A6019,HeadJournal!$A$1:$NTR$890,COLUMN(HeadJournal!G$1),0),"")</f>
        <v/>
      </c>
      <c r="F6019" s="95" t="str">
        <f t="shared" si="449"/>
        <v/>
      </c>
      <c r="G6019" s="97"/>
      <c r="H6019" s="161"/>
      <c r="I6019" s="97"/>
      <c r="J6019" s="97"/>
      <c r="K6019" s="29"/>
      <c r="L6019" s="29"/>
      <c r="M6019" s="30">
        <f>IFERROR(VLOOKUP($A6019,HeadJournal!$A$1:$J$890,COLUMN(HeadJournal!I$1),0)*($K6019+$L6019)/(SUMIF($A:$A,$A6019,$K:$K)+SUMIF($A:$A,$A6019,$L:$L)),0)</f>
        <v>0</v>
      </c>
      <c r="N6019" s="30">
        <f>IFERROR((VLOOKUP($A6019,HeadJournal!$A$1:$K$890,COLUMN(HeadJournal!K$1),0)-VLOOKUP($A6019,HeadJournal!$A$1:$K$890,COLUMN(HeadJournal!J$1),0))*($K6019+$L6019)/(SUMIF($A:$A,$A6019,$K:$K)+SUMIF($A:$A,$A6019,$L:$L)),0)</f>
        <v>0</v>
      </c>
      <c r="O6019" s="30">
        <f>IFERROR((VLOOKUP($A6019,HeadJournal!$A$1:$L$890,COLUMN(HeadJournal!L$1),0)*($K6019+$L6019)/(SUMIF($A:$A,$A6019,$K:$K)+SUMIF($A:$A,$A6019,$L:$L)))/VLOOKUP($A6019,HeadJournal!$A$1:$L$890,COLUMN(HeadJournal!H$1),0),0)</f>
        <v>0</v>
      </c>
      <c r="P6019" s="30">
        <f>IFERROR(SUM(K6019:O6019)*VLOOKUP($A6019,HeadJournal!$A$1:$L$890,COLUMN(HeadJournal!H$1),0),0)</f>
        <v>0</v>
      </c>
      <c r="Q6019" s="29"/>
      <c r="R6019" s="31"/>
      <c r="S6019" s="31"/>
      <c r="T6019" s="95" t="str">
        <f t="shared" si="450"/>
        <v/>
      </c>
      <c r="U6019" s="32">
        <f t="shared" si="447"/>
        <v>0</v>
      </c>
      <c r="V6019" s="22" t="str">
        <f t="shared" si="448"/>
        <v/>
      </c>
      <c r="X6019" s="33"/>
      <c r="Y6019" s="33"/>
    </row>
    <row r="6020" spans="1:25" x14ac:dyDescent="0.2">
      <c r="A6020" s="93"/>
      <c r="B6020" s="94" t="str">
        <f>IFERROR(VLOOKUP($A6020,HeadJournal!$A$1:$NTR$890,COLUMN(HeadJournal!B$1),0),"")</f>
        <v/>
      </c>
      <c r="C6020" s="94" t="str">
        <f>IFERROR(VLOOKUP($A6020,HeadJournal!$A$1:$NTR$890,COLUMN(HeadJournal!C$1),0),"")</f>
        <v/>
      </c>
      <c r="D6020" s="125" t="str">
        <f>IFERROR(VLOOKUP($A6020,HeadJournal!$A$1:$NTR$890,COLUMN(HeadJournal!D$1),0),"")</f>
        <v/>
      </c>
      <c r="E6020" s="95" t="str">
        <f>IFERROR(VLOOKUP($A6020,HeadJournal!$A$1:$NTR$890,COLUMN(HeadJournal!G$1),0),"")</f>
        <v/>
      </c>
      <c r="F6020" s="95" t="str">
        <f t="shared" si="449"/>
        <v/>
      </c>
      <c r="G6020" s="97"/>
      <c r="H6020" s="161"/>
      <c r="I6020" s="97"/>
      <c r="J6020" s="97"/>
      <c r="K6020" s="29"/>
      <c r="L6020" s="29"/>
      <c r="M6020" s="30">
        <f>IFERROR(VLOOKUP($A6020,HeadJournal!$A$1:$J$890,COLUMN(HeadJournal!I$1),0)*($K6020+$L6020)/(SUMIF($A:$A,$A6020,$K:$K)+SUMIF($A:$A,$A6020,$L:$L)),0)</f>
        <v>0</v>
      </c>
      <c r="N6020" s="30">
        <f>IFERROR((VLOOKUP($A6020,HeadJournal!$A$1:$K$890,COLUMN(HeadJournal!K$1),0)-VLOOKUP($A6020,HeadJournal!$A$1:$K$890,COLUMN(HeadJournal!J$1),0))*($K6020+$L6020)/(SUMIF($A:$A,$A6020,$K:$K)+SUMIF($A:$A,$A6020,$L:$L)),0)</f>
        <v>0</v>
      </c>
      <c r="O6020" s="30">
        <f>IFERROR((VLOOKUP($A6020,HeadJournal!$A$1:$L$890,COLUMN(HeadJournal!L$1),0)*($K6020+$L6020)/(SUMIF($A:$A,$A6020,$K:$K)+SUMIF($A:$A,$A6020,$L:$L)))/VLOOKUP($A6020,HeadJournal!$A$1:$L$890,COLUMN(HeadJournal!H$1),0),0)</f>
        <v>0</v>
      </c>
      <c r="P6020" s="30">
        <f>IFERROR(SUM(K6020:O6020)*VLOOKUP($A6020,HeadJournal!$A$1:$L$890,COLUMN(HeadJournal!H$1),0),0)</f>
        <v>0</v>
      </c>
      <c r="Q6020" s="29"/>
      <c r="R6020" s="31"/>
      <c r="S6020" s="31"/>
      <c r="T6020" s="95" t="str">
        <f t="shared" si="450"/>
        <v/>
      </c>
      <c r="U6020" s="32">
        <f t="shared" si="447"/>
        <v>0</v>
      </c>
      <c r="V6020" s="22" t="str">
        <f t="shared" si="448"/>
        <v/>
      </c>
      <c r="X6020" s="33"/>
      <c r="Y6020" s="33"/>
    </row>
    <row r="6021" spans="1:25" x14ac:dyDescent="0.2">
      <c r="A6021" s="93"/>
      <c r="B6021" s="94" t="str">
        <f>IFERROR(VLOOKUP($A6021,HeadJournal!$A$1:$NTR$890,COLUMN(HeadJournal!B$1),0),"")</f>
        <v/>
      </c>
      <c r="C6021" s="94" t="str">
        <f>IFERROR(VLOOKUP($A6021,HeadJournal!$A$1:$NTR$890,COLUMN(HeadJournal!C$1),0),"")</f>
        <v/>
      </c>
      <c r="D6021" s="125" t="str">
        <f>IFERROR(VLOOKUP($A6021,HeadJournal!$A$1:$NTR$890,COLUMN(HeadJournal!D$1),0),"")</f>
        <v/>
      </c>
      <c r="E6021" s="95" t="str">
        <f>IFERROR(VLOOKUP($A6021,HeadJournal!$A$1:$NTR$890,COLUMN(HeadJournal!G$1),0),"")</f>
        <v/>
      </c>
      <c r="F6021" s="95" t="str">
        <f t="shared" si="449"/>
        <v/>
      </c>
      <c r="G6021" s="97"/>
      <c r="H6021" s="161"/>
      <c r="I6021" s="97"/>
      <c r="J6021" s="97"/>
      <c r="K6021" s="29"/>
      <c r="L6021" s="29"/>
      <c r="M6021" s="30">
        <f>IFERROR(VLOOKUP($A6021,HeadJournal!$A$1:$J$890,COLUMN(HeadJournal!I$1),0)*($K6021+$L6021)/(SUMIF($A:$A,$A6021,$K:$K)+SUMIF($A:$A,$A6021,$L:$L)),0)</f>
        <v>0</v>
      </c>
      <c r="N6021" s="30">
        <f>IFERROR((VLOOKUP($A6021,HeadJournal!$A$1:$K$890,COLUMN(HeadJournal!K$1),0)-VLOOKUP($A6021,HeadJournal!$A$1:$K$890,COLUMN(HeadJournal!J$1),0))*($K6021+$L6021)/(SUMIF($A:$A,$A6021,$K:$K)+SUMIF($A:$A,$A6021,$L:$L)),0)</f>
        <v>0</v>
      </c>
      <c r="O6021" s="30">
        <f>IFERROR((VLOOKUP($A6021,HeadJournal!$A$1:$L$890,COLUMN(HeadJournal!L$1),0)*($K6021+$L6021)/(SUMIF($A:$A,$A6021,$K:$K)+SUMIF($A:$A,$A6021,$L:$L)))/VLOOKUP($A6021,HeadJournal!$A$1:$L$890,COLUMN(HeadJournal!H$1),0),0)</f>
        <v>0</v>
      </c>
      <c r="P6021" s="30">
        <f>IFERROR(SUM(K6021:O6021)*VLOOKUP($A6021,HeadJournal!$A$1:$L$890,COLUMN(HeadJournal!H$1),0),0)</f>
        <v>0</v>
      </c>
      <c r="Q6021" s="29"/>
      <c r="R6021" s="31"/>
      <c r="S6021" s="31"/>
      <c r="T6021" s="95" t="str">
        <f t="shared" si="450"/>
        <v/>
      </c>
      <c r="U6021" s="32">
        <f t="shared" si="447"/>
        <v>0</v>
      </c>
      <c r="V6021" s="22" t="str">
        <f t="shared" si="448"/>
        <v/>
      </c>
      <c r="X6021" s="33"/>
      <c r="Y6021" s="33"/>
    </row>
    <row r="6022" spans="1:25" x14ac:dyDescent="0.2">
      <c r="A6022" s="93"/>
      <c r="B6022" s="94" t="str">
        <f>IFERROR(VLOOKUP($A6022,HeadJournal!$A$1:$NTR$890,COLUMN(HeadJournal!B$1),0),"")</f>
        <v/>
      </c>
      <c r="C6022" s="94" t="str">
        <f>IFERROR(VLOOKUP($A6022,HeadJournal!$A$1:$NTR$890,COLUMN(HeadJournal!C$1),0),"")</f>
        <v/>
      </c>
      <c r="D6022" s="125" t="str">
        <f>IFERROR(VLOOKUP($A6022,HeadJournal!$A$1:$NTR$890,COLUMN(HeadJournal!D$1),0),"")</f>
        <v/>
      </c>
      <c r="E6022" s="95" t="str">
        <f>IFERROR(VLOOKUP($A6022,HeadJournal!$A$1:$NTR$890,COLUMN(HeadJournal!G$1),0),"")</f>
        <v/>
      </c>
      <c r="F6022" s="95" t="str">
        <f t="shared" si="449"/>
        <v/>
      </c>
      <c r="G6022" s="97"/>
      <c r="H6022" s="161"/>
      <c r="I6022" s="97"/>
      <c r="J6022" s="97"/>
      <c r="K6022" s="29"/>
      <c r="L6022" s="29"/>
      <c r="M6022" s="30">
        <f>IFERROR(VLOOKUP($A6022,HeadJournal!$A$1:$J$890,COLUMN(HeadJournal!I$1),0)*($K6022+$L6022)/(SUMIF($A:$A,$A6022,$K:$K)+SUMIF($A:$A,$A6022,$L:$L)),0)</f>
        <v>0</v>
      </c>
      <c r="N6022" s="30">
        <f>IFERROR((VLOOKUP($A6022,HeadJournal!$A$1:$K$890,COLUMN(HeadJournal!K$1),0)-VLOOKUP($A6022,HeadJournal!$A$1:$K$890,COLUMN(HeadJournal!J$1),0))*($K6022+$L6022)/(SUMIF($A:$A,$A6022,$K:$K)+SUMIF($A:$A,$A6022,$L:$L)),0)</f>
        <v>0</v>
      </c>
      <c r="O6022" s="30">
        <f>IFERROR((VLOOKUP($A6022,HeadJournal!$A$1:$L$890,COLUMN(HeadJournal!L$1),0)*($K6022+$L6022)/(SUMIF($A:$A,$A6022,$K:$K)+SUMIF($A:$A,$A6022,$L:$L)))/VLOOKUP($A6022,HeadJournal!$A$1:$L$890,COLUMN(HeadJournal!H$1),0),0)</f>
        <v>0</v>
      </c>
      <c r="P6022" s="30">
        <f>IFERROR(SUM(K6022:O6022)*VLOOKUP($A6022,HeadJournal!$A$1:$L$890,COLUMN(HeadJournal!H$1),0),0)</f>
        <v>0</v>
      </c>
      <c r="Q6022" s="29"/>
      <c r="R6022" s="31"/>
      <c r="S6022" s="31"/>
      <c r="T6022" s="95" t="str">
        <f t="shared" si="450"/>
        <v/>
      </c>
      <c r="U6022" s="32">
        <f t="shared" si="447"/>
        <v>0</v>
      </c>
      <c r="V6022" s="22" t="str">
        <f t="shared" si="448"/>
        <v/>
      </c>
      <c r="X6022" s="33"/>
      <c r="Y6022" s="33"/>
    </row>
    <row r="6023" spans="1:25" x14ac:dyDescent="0.2">
      <c r="A6023" s="93"/>
      <c r="B6023" s="94" t="str">
        <f>IFERROR(VLOOKUP($A6023,HeadJournal!$A$1:$NTR$890,COLUMN(HeadJournal!B$1),0),"")</f>
        <v/>
      </c>
      <c r="C6023" s="94" t="str">
        <f>IFERROR(VLOOKUP($A6023,HeadJournal!$A$1:$NTR$890,COLUMN(HeadJournal!C$1),0),"")</f>
        <v/>
      </c>
      <c r="D6023" s="125" t="str">
        <f>IFERROR(VLOOKUP($A6023,HeadJournal!$A$1:$NTR$890,COLUMN(HeadJournal!D$1),0),"")</f>
        <v/>
      </c>
      <c r="E6023" s="95" t="str">
        <f>IFERROR(VLOOKUP($A6023,HeadJournal!$A$1:$NTR$890,COLUMN(HeadJournal!G$1),0),"")</f>
        <v/>
      </c>
      <c r="F6023" s="95" t="str">
        <f t="shared" si="449"/>
        <v/>
      </c>
      <c r="G6023" s="97"/>
      <c r="H6023" s="161"/>
      <c r="I6023" s="97"/>
      <c r="J6023" s="97"/>
      <c r="K6023" s="29"/>
      <c r="L6023" s="29"/>
      <c r="M6023" s="30">
        <f>IFERROR(VLOOKUP($A6023,HeadJournal!$A$1:$J$890,COLUMN(HeadJournal!I$1),0)*($K6023+$L6023)/(SUMIF($A:$A,$A6023,$K:$K)+SUMIF($A:$A,$A6023,$L:$L)),0)</f>
        <v>0</v>
      </c>
      <c r="N6023" s="30">
        <f>IFERROR((VLOOKUP($A6023,HeadJournal!$A$1:$K$890,COLUMN(HeadJournal!K$1),0)-VLOOKUP($A6023,HeadJournal!$A$1:$K$890,COLUMN(HeadJournal!J$1),0))*($K6023+$L6023)/(SUMIF($A:$A,$A6023,$K:$K)+SUMIF($A:$A,$A6023,$L:$L)),0)</f>
        <v>0</v>
      </c>
      <c r="O6023" s="30">
        <f>IFERROR((VLOOKUP($A6023,HeadJournal!$A$1:$L$890,COLUMN(HeadJournal!L$1),0)*($K6023+$L6023)/(SUMIF($A:$A,$A6023,$K:$K)+SUMIF($A:$A,$A6023,$L:$L)))/VLOOKUP($A6023,HeadJournal!$A$1:$L$890,COLUMN(HeadJournal!H$1),0),0)</f>
        <v>0</v>
      </c>
      <c r="P6023" s="30">
        <f>IFERROR(SUM(K6023:O6023)*VLOOKUP($A6023,HeadJournal!$A$1:$L$890,COLUMN(HeadJournal!H$1),0),0)</f>
        <v>0</v>
      </c>
      <c r="Q6023" s="29"/>
      <c r="R6023" s="31"/>
      <c r="S6023" s="31"/>
      <c r="T6023" s="95" t="str">
        <f t="shared" si="450"/>
        <v/>
      </c>
      <c r="U6023" s="32">
        <f t="shared" si="447"/>
        <v>0</v>
      </c>
      <c r="V6023" s="22" t="str">
        <f t="shared" si="448"/>
        <v/>
      </c>
      <c r="X6023" s="33"/>
      <c r="Y6023" s="33"/>
    </row>
    <row r="6024" spans="1:25" x14ac:dyDescent="0.2">
      <c r="A6024" s="93"/>
      <c r="B6024" s="94" t="str">
        <f>IFERROR(VLOOKUP($A6024,HeadJournal!$A$1:$NTR$890,COLUMN(HeadJournal!B$1),0),"")</f>
        <v/>
      </c>
      <c r="C6024" s="94" t="str">
        <f>IFERROR(VLOOKUP($A6024,HeadJournal!$A$1:$NTR$890,COLUMN(HeadJournal!C$1),0),"")</f>
        <v/>
      </c>
      <c r="D6024" s="125" t="str">
        <f>IFERROR(VLOOKUP($A6024,HeadJournal!$A$1:$NTR$890,COLUMN(HeadJournal!D$1),0),"")</f>
        <v/>
      </c>
      <c r="E6024" s="95" t="str">
        <f>IFERROR(VLOOKUP($A6024,HeadJournal!$A$1:$NTR$890,COLUMN(HeadJournal!G$1),0),"")</f>
        <v/>
      </c>
      <c r="F6024" s="95" t="str">
        <f t="shared" si="449"/>
        <v/>
      </c>
      <c r="G6024" s="97"/>
      <c r="H6024" s="161"/>
      <c r="I6024" s="97"/>
      <c r="J6024" s="97"/>
      <c r="K6024" s="29"/>
      <c r="L6024" s="29"/>
      <c r="M6024" s="30">
        <f>IFERROR(VLOOKUP($A6024,HeadJournal!$A$1:$J$890,COLUMN(HeadJournal!I$1),0)*($K6024+$L6024)/(SUMIF($A:$A,$A6024,$K:$K)+SUMIF($A:$A,$A6024,$L:$L)),0)</f>
        <v>0</v>
      </c>
      <c r="N6024" s="30">
        <f>IFERROR((VLOOKUP($A6024,HeadJournal!$A$1:$K$890,COLUMN(HeadJournal!K$1),0)-VLOOKUP($A6024,HeadJournal!$A$1:$K$890,COLUMN(HeadJournal!J$1),0))*($K6024+$L6024)/(SUMIF($A:$A,$A6024,$K:$K)+SUMIF($A:$A,$A6024,$L:$L)),0)</f>
        <v>0</v>
      </c>
      <c r="O6024" s="30">
        <f>IFERROR((VLOOKUP($A6024,HeadJournal!$A$1:$L$890,COLUMN(HeadJournal!L$1),0)*($K6024+$L6024)/(SUMIF($A:$A,$A6024,$K:$K)+SUMIF($A:$A,$A6024,$L:$L)))/VLOOKUP($A6024,HeadJournal!$A$1:$L$890,COLUMN(HeadJournal!H$1),0),0)</f>
        <v>0</v>
      </c>
      <c r="P6024" s="30">
        <f>IFERROR(SUM(K6024:O6024)*VLOOKUP($A6024,HeadJournal!$A$1:$L$890,COLUMN(HeadJournal!H$1),0),0)</f>
        <v>0</v>
      </c>
      <c r="Q6024" s="29"/>
      <c r="R6024" s="31"/>
      <c r="S6024" s="31"/>
      <c r="T6024" s="95" t="str">
        <f t="shared" si="450"/>
        <v/>
      </c>
      <c r="U6024" s="32">
        <f t="shared" si="447"/>
        <v>0</v>
      </c>
      <c r="V6024" s="22" t="str">
        <f t="shared" si="448"/>
        <v/>
      </c>
      <c r="X6024" s="33"/>
      <c r="Y6024" s="33"/>
    </row>
    <row r="6025" spans="1:25" x14ac:dyDescent="0.2">
      <c r="A6025" s="93"/>
      <c r="B6025" s="94" t="str">
        <f>IFERROR(VLOOKUP($A6025,HeadJournal!$A$1:$NTR$890,COLUMN(HeadJournal!B$1),0),"")</f>
        <v/>
      </c>
      <c r="C6025" s="94" t="str">
        <f>IFERROR(VLOOKUP($A6025,HeadJournal!$A$1:$NTR$890,COLUMN(HeadJournal!C$1),0),"")</f>
        <v/>
      </c>
      <c r="D6025" s="125" t="str">
        <f>IFERROR(VLOOKUP($A6025,HeadJournal!$A$1:$NTR$890,COLUMN(HeadJournal!D$1),0),"")</f>
        <v/>
      </c>
      <c r="E6025" s="95" t="str">
        <f>IFERROR(VLOOKUP($A6025,HeadJournal!$A$1:$NTR$890,COLUMN(HeadJournal!G$1),0),"")</f>
        <v/>
      </c>
      <c r="F6025" s="95" t="str">
        <f t="shared" si="449"/>
        <v/>
      </c>
      <c r="G6025" s="97"/>
      <c r="H6025" s="161"/>
      <c r="I6025" s="97"/>
      <c r="J6025" s="97"/>
      <c r="K6025" s="29"/>
      <c r="L6025" s="29"/>
      <c r="M6025" s="30">
        <f>IFERROR(VLOOKUP($A6025,HeadJournal!$A$1:$J$890,COLUMN(HeadJournal!I$1),0)*($K6025+$L6025)/(SUMIF($A:$A,$A6025,$K:$K)+SUMIF($A:$A,$A6025,$L:$L)),0)</f>
        <v>0</v>
      </c>
      <c r="N6025" s="30">
        <f>IFERROR((VLOOKUP($A6025,HeadJournal!$A$1:$K$890,COLUMN(HeadJournal!K$1),0)-VLOOKUP($A6025,HeadJournal!$A$1:$K$890,COLUMN(HeadJournal!J$1),0))*($K6025+$L6025)/(SUMIF($A:$A,$A6025,$K:$K)+SUMIF($A:$A,$A6025,$L:$L)),0)</f>
        <v>0</v>
      </c>
      <c r="O6025" s="30">
        <f>IFERROR((VLOOKUP($A6025,HeadJournal!$A$1:$L$890,COLUMN(HeadJournal!L$1),0)*($K6025+$L6025)/(SUMIF($A:$A,$A6025,$K:$K)+SUMIF($A:$A,$A6025,$L:$L)))/VLOOKUP($A6025,HeadJournal!$A$1:$L$890,COLUMN(HeadJournal!H$1),0),0)</f>
        <v>0</v>
      </c>
      <c r="P6025" s="30">
        <f>IFERROR(SUM(K6025:O6025)*VLOOKUP($A6025,HeadJournal!$A$1:$L$890,COLUMN(HeadJournal!H$1),0),0)</f>
        <v>0</v>
      </c>
      <c r="Q6025" s="29"/>
      <c r="R6025" s="31"/>
      <c r="S6025" s="31"/>
      <c r="T6025" s="95" t="str">
        <f t="shared" si="450"/>
        <v/>
      </c>
      <c r="U6025" s="32">
        <f t="shared" si="447"/>
        <v>0</v>
      </c>
      <c r="V6025" s="22" t="str">
        <f t="shared" si="448"/>
        <v/>
      </c>
      <c r="X6025" s="33"/>
      <c r="Y6025" s="33"/>
    </row>
    <row r="6026" spans="1:25" x14ac:dyDescent="0.2">
      <c r="A6026" s="93"/>
      <c r="B6026" s="94" t="str">
        <f>IFERROR(VLOOKUP($A6026,HeadJournal!$A$1:$NTR$890,COLUMN(HeadJournal!B$1),0),"")</f>
        <v/>
      </c>
      <c r="C6026" s="94" t="str">
        <f>IFERROR(VLOOKUP($A6026,HeadJournal!$A$1:$NTR$890,COLUMN(HeadJournal!C$1),0),"")</f>
        <v/>
      </c>
      <c r="D6026" s="125" t="str">
        <f>IFERROR(VLOOKUP($A6026,HeadJournal!$A$1:$NTR$890,COLUMN(HeadJournal!D$1),0),"")</f>
        <v/>
      </c>
      <c r="E6026" s="95" t="str">
        <f>IFERROR(VLOOKUP($A6026,HeadJournal!$A$1:$NTR$890,COLUMN(HeadJournal!G$1),0),"")</f>
        <v/>
      </c>
      <c r="F6026" s="95" t="str">
        <f t="shared" si="449"/>
        <v/>
      </c>
      <c r="G6026" s="97"/>
      <c r="H6026" s="161"/>
      <c r="I6026" s="97"/>
      <c r="J6026" s="97"/>
      <c r="K6026" s="29"/>
      <c r="L6026" s="29"/>
      <c r="M6026" s="30">
        <f>IFERROR(VLOOKUP($A6026,HeadJournal!$A$1:$J$890,COLUMN(HeadJournal!I$1),0)*($K6026+$L6026)/(SUMIF($A:$A,$A6026,$K:$K)+SUMIF($A:$A,$A6026,$L:$L)),0)</f>
        <v>0</v>
      </c>
      <c r="N6026" s="30">
        <f>IFERROR((VLOOKUP($A6026,HeadJournal!$A$1:$K$890,COLUMN(HeadJournal!K$1),0)-VLOOKUP($A6026,HeadJournal!$A$1:$K$890,COLUMN(HeadJournal!J$1),0))*($K6026+$L6026)/(SUMIF($A:$A,$A6026,$K:$K)+SUMIF($A:$A,$A6026,$L:$L)),0)</f>
        <v>0</v>
      </c>
      <c r="O6026" s="30">
        <f>IFERROR((VLOOKUP($A6026,HeadJournal!$A$1:$L$890,COLUMN(HeadJournal!L$1),0)*($K6026+$L6026)/(SUMIF($A:$A,$A6026,$K:$K)+SUMIF($A:$A,$A6026,$L:$L)))/VLOOKUP($A6026,HeadJournal!$A$1:$L$890,COLUMN(HeadJournal!H$1),0),0)</f>
        <v>0</v>
      </c>
      <c r="P6026" s="30">
        <f>IFERROR(SUM(K6026:O6026)*VLOOKUP($A6026,HeadJournal!$A$1:$L$890,COLUMN(HeadJournal!H$1),0),0)</f>
        <v>0</v>
      </c>
      <c r="Q6026" s="29"/>
      <c r="R6026" s="31"/>
      <c r="S6026" s="31"/>
      <c r="T6026" s="95" t="str">
        <f t="shared" si="450"/>
        <v/>
      </c>
      <c r="U6026" s="32">
        <f t="shared" si="447"/>
        <v>0</v>
      </c>
      <c r="V6026" s="22" t="str">
        <f t="shared" si="448"/>
        <v/>
      </c>
      <c r="X6026" s="33"/>
      <c r="Y6026" s="33"/>
    </row>
    <row r="6027" spans="1:25" x14ac:dyDescent="0.2">
      <c r="A6027" s="93"/>
      <c r="B6027" s="94" t="str">
        <f>IFERROR(VLOOKUP($A6027,HeadJournal!$A$1:$NTR$890,COLUMN(HeadJournal!B$1),0),"")</f>
        <v/>
      </c>
      <c r="C6027" s="94" t="str">
        <f>IFERROR(VLOOKUP($A6027,HeadJournal!$A$1:$NTR$890,COLUMN(HeadJournal!C$1),0),"")</f>
        <v/>
      </c>
      <c r="D6027" s="125" t="str">
        <f>IFERROR(VLOOKUP($A6027,HeadJournal!$A$1:$NTR$890,COLUMN(HeadJournal!D$1),0),"")</f>
        <v/>
      </c>
      <c r="E6027" s="95" t="str">
        <f>IFERROR(VLOOKUP($A6027,HeadJournal!$A$1:$NTR$890,COLUMN(HeadJournal!G$1),0),"")</f>
        <v/>
      </c>
      <c r="F6027" s="95" t="str">
        <f t="shared" si="449"/>
        <v/>
      </c>
      <c r="G6027" s="97"/>
      <c r="H6027" s="161"/>
      <c r="I6027" s="97"/>
      <c r="J6027" s="97"/>
      <c r="K6027" s="29"/>
      <c r="L6027" s="29"/>
      <c r="M6027" s="30">
        <f>IFERROR(VLOOKUP($A6027,HeadJournal!$A$1:$J$890,COLUMN(HeadJournal!I$1),0)*($K6027+$L6027)/(SUMIF($A:$A,$A6027,$K:$K)+SUMIF($A:$A,$A6027,$L:$L)),0)</f>
        <v>0</v>
      </c>
      <c r="N6027" s="30">
        <f>IFERROR((VLOOKUP($A6027,HeadJournal!$A$1:$K$890,COLUMN(HeadJournal!K$1),0)-VLOOKUP($A6027,HeadJournal!$A$1:$K$890,COLUMN(HeadJournal!J$1),0))*($K6027+$L6027)/(SUMIF($A:$A,$A6027,$K:$K)+SUMIF($A:$A,$A6027,$L:$L)),0)</f>
        <v>0</v>
      </c>
      <c r="O6027" s="30">
        <f>IFERROR((VLOOKUP($A6027,HeadJournal!$A$1:$L$890,COLUMN(HeadJournal!L$1),0)*($K6027+$L6027)/(SUMIF($A:$A,$A6027,$K:$K)+SUMIF($A:$A,$A6027,$L:$L)))/VLOOKUP($A6027,HeadJournal!$A$1:$L$890,COLUMN(HeadJournal!H$1),0),0)</f>
        <v>0</v>
      </c>
      <c r="P6027" s="30">
        <f>IFERROR(SUM(K6027:O6027)*VLOOKUP($A6027,HeadJournal!$A$1:$L$890,COLUMN(HeadJournal!H$1),0),0)</f>
        <v>0</v>
      </c>
      <c r="Q6027" s="29"/>
      <c r="R6027" s="31"/>
      <c r="S6027" s="31"/>
      <c r="T6027" s="95" t="str">
        <f t="shared" si="450"/>
        <v/>
      </c>
      <c r="U6027" s="32">
        <f t="shared" si="447"/>
        <v>0</v>
      </c>
      <c r="V6027" s="22" t="str">
        <f t="shared" si="448"/>
        <v/>
      </c>
      <c r="X6027" s="33"/>
      <c r="Y6027" s="33"/>
    </row>
    <row r="6028" spans="1:25" x14ac:dyDescent="0.2">
      <c r="A6028" s="93"/>
      <c r="B6028" s="94" t="str">
        <f>IFERROR(VLOOKUP($A6028,HeadJournal!$A$1:$NTR$890,COLUMN(HeadJournal!B$1),0),"")</f>
        <v/>
      </c>
      <c r="C6028" s="94" t="str">
        <f>IFERROR(VLOOKUP($A6028,HeadJournal!$A$1:$NTR$890,COLUMN(HeadJournal!C$1),0),"")</f>
        <v/>
      </c>
      <c r="D6028" s="125" t="str">
        <f>IFERROR(VLOOKUP($A6028,HeadJournal!$A$1:$NTR$890,COLUMN(HeadJournal!D$1),0),"")</f>
        <v/>
      </c>
      <c r="E6028" s="95" t="str">
        <f>IFERROR(VLOOKUP($A6028,HeadJournal!$A$1:$NTR$890,COLUMN(HeadJournal!G$1),0),"")</f>
        <v/>
      </c>
      <c r="F6028" s="95" t="str">
        <f t="shared" si="449"/>
        <v/>
      </c>
      <c r="G6028" s="97"/>
      <c r="H6028" s="161"/>
      <c r="I6028" s="97"/>
      <c r="J6028" s="97"/>
      <c r="K6028" s="29"/>
      <c r="L6028" s="29"/>
      <c r="M6028" s="30">
        <f>IFERROR(VLOOKUP($A6028,HeadJournal!$A$1:$J$890,COLUMN(HeadJournal!I$1),0)*($K6028+$L6028)/(SUMIF($A:$A,$A6028,$K:$K)+SUMIF($A:$A,$A6028,$L:$L)),0)</f>
        <v>0</v>
      </c>
      <c r="N6028" s="30">
        <f>IFERROR((VLOOKUP($A6028,HeadJournal!$A$1:$K$890,COLUMN(HeadJournal!K$1),0)-VLOOKUP($A6028,HeadJournal!$A$1:$K$890,COLUMN(HeadJournal!J$1),0))*($K6028+$L6028)/(SUMIF($A:$A,$A6028,$K:$K)+SUMIF($A:$A,$A6028,$L:$L)),0)</f>
        <v>0</v>
      </c>
      <c r="O6028" s="30">
        <f>IFERROR((VLOOKUP($A6028,HeadJournal!$A$1:$L$890,COLUMN(HeadJournal!L$1),0)*($K6028+$L6028)/(SUMIF($A:$A,$A6028,$K:$K)+SUMIF($A:$A,$A6028,$L:$L)))/VLOOKUP($A6028,HeadJournal!$A$1:$L$890,COLUMN(HeadJournal!H$1),0),0)</f>
        <v>0</v>
      </c>
      <c r="P6028" s="30">
        <f>IFERROR(SUM(K6028:O6028)*VLOOKUP($A6028,HeadJournal!$A$1:$L$890,COLUMN(HeadJournal!H$1),0),0)</f>
        <v>0</v>
      </c>
      <c r="Q6028" s="29"/>
      <c r="R6028" s="31"/>
      <c r="S6028" s="31"/>
      <c r="T6028" s="95" t="str">
        <f t="shared" si="450"/>
        <v/>
      </c>
      <c r="U6028" s="32">
        <f t="shared" si="447"/>
        <v>0</v>
      </c>
      <c r="V6028" s="22" t="str">
        <f t="shared" si="448"/>
        <v/>
      </c>
      <c r="X6028" s="33"/>
      <c r="Y6028" s="33"/>
    </row>
    <row r="6029" spans="1:25" x14ac:dyDescent="0.2">
      <c r="A6029" s="93"/>
      <c r="B6029" s="94" t="str">
        <f>IFERROR(VLOOKUP($A6029,HeadJournal!$A$1:$NTR$890,COLUMN(HeadJournal!B$1),0),"")</f>
        <v/>
      </c>
      <c r="C6029" s="94" t="str">
        <f>IFERROR(VLOOKUP($A6029,HeadJournal!$A$1:$NTR$890,COLUMN(HeadJournal!C$1),0),"")</f>
        <v/>
      </c>
      <c r="D6029" s="125" t="str">
        <f>IFERROR(VLOOKUP($A6029,HeadJournal!$A$1:$NTR$890,COLUMN(HeadJournal!D$1),0),"")</f>
        <v/>
      </c>
      <c r="E6029" s="95" t="str">
        <f>IFERROR(VLOOKUP($A6029,HeadJournal!$A$1:$NTR$890,COLUMN(HeadJournal!G$1),0),"")</f>
        <v/>
      </c>
      <c r="F6029" s="95" t="str">
        <f t="shared" si="449"/>
        <v/>
      </c>
      <c r="G6029" s="97"/>
      <c r="H6029" s="161"/>
      <c r="I6029" s="97"/>
      <c r="J6029" s="97"/>
      <c r="K6029" s="29"/>
      <c r="L6029" s="29"/>
      <c r="M6029" s="30">
        <f>IFERROR(VLOOKUP($A6029,HeadJournal!$A$1:$J$890,COLUMN(HeadJournal!I$1),0)*($K6029+$L6029)/(SUMIF($A:$A,$A6029,$K:$K)+SUMIF($A:$A,$A6029,$L:$L)),0)</f>
        <v>0</v>
      </c>
      <c r="N6029" s="30">
        <f>IFERROR((VLOOKUP($A6029,HeadJournal!$A$1:$K$890,COLUMN(HeadJournal!K$1),0)-VLOOKUP($A6029,HeadJournal!$A$1:$K$890,COLUMN(HeadJournal!J$1),0))*($K6029+$L6029)/(SUMIF($A:$A,$A6029,$K:$K)+SUMIF($A:$A,$A6029,$L:$L)),0)</f>
        <v>0</v>
      </c>
      <c r="O6029" s="30">
        <f>IFERROR((VLOOKUP($A6029,HeadJournal!$A$1:$L$890,COLUMN(HeadJournal!L$1),0)*($K6029+$L6029)/(SUMIF($A:$A,$A6029,$K:$K)+SUMIF($A:$A,$A6029,$L:$L)))/VLOOKUP($A6029,HeadJournal!$A$1:$L$890,COLUMN(HeadJournal!H$1),0),0)</f>
        <v>0</v>
      </c>
      <c r="P6029" s="30">
        <f>IFERROR(SUM(K6029:O6029)*VLOOKUP($A6029,HeadJournal!$A$1:$L$890,COLUMN(HeadJournal!H$1),0),0)</f>
        <v>0</v>
      </c>
      <c r="Q6029" s="29"/>
      <c r="R6029" s="31"/>
      <c r="S6029" s="31"/>
      <c r="T6029" s="95" t="str">
        <f t="shared" si="450"/>
        <v/>
      </c>
      <c r="U6029" s="32">
        <f t="shared" si="447"/>
        <v>0</v>
      </c>
      <c r="V6029" s="22" t="str">
        <f t="shared" si="448"/>
        <v/>
      </c>
      <c r="X6029" s="33"/>
      <c r="Y6029" s="33"/>
    </row>
    <row r="6030" spans="1:25" x14ac:dyDescent="0.2">
      <c r="A6030" s="93"/>
      <c r="B6030" s="94" t="str">
        <f>IFERROR(VLOOKUP($A6030,HeadJournal!$A$1:$NTR$890,COLUMN(HeadJournal!B$1),0),"")</f>
        <v/>
      </c>
      <c r="C6030" s="94" t="str">
        <f>IFERROR(VLOOKUP($A6030,HeadJournal!$A$1:$NTR$890,COLUMN(HeadJournal!C$1),0),"")</f>
        <v/>
      </c>
      <c r="D6030" s="125" t="str">
        <f>IFERROR(VLOOKUP($A6030,HeadJournal!$A$1:$NTR$890,COLUMN(HeadJournal!D$1),0),"")</f>
        <v/>
      </c>
      <c r="E6030" s="95" t="str">
        <f>IFERROR(VLOOKUP($A6030,HeadJournal!$A$1:$NTR$890,COLUMN(HeadJournal!G$1),0),"")</f>
        <v/>
      </c>
      <c r="F6030" s="95" t="str">
        <f t="shared" si="449"/>
        <v/>
      </c>
      <c r="G6030" s="97"/>
      <c r="H6030" s="161"/>
      <c r="I6030" s="97"/>
      <c r="J6030" s="97"/>
      <c r="K6030" s="29"/>
      <c r="L6030" s="29"/>
      <c r="M6030" s="30">
        <f>IFERROR(VLOOKUP($A6030,HeadJournal!$A$1:$J$890,COLUMN(HeadJournal!I$1),0)*($K6030+$L6030)/(SUMIF($A:$A,$A6030,$K:$K)+SUMIF($A:$A,$A6030,$L:$L)),0)</f>
        <v>0</v>
      </c>
      <c r="N6030" s="30">
        <f>IFERROR((VLOOKUP($A6030,HeadJournal!$A$1:$K$890,COLUMN(HeadJournal!K$1),0)-VLOOKUP($A6030,HeadJournal!$A$1:$K$890,COLUMN(HeadJournal!J$1),0))*($K6030+$L6030)/(SUMIF($A:$A,$A6030,$K:$K)+SUMIF($A:$A,$A6030,$L:$L)),0)</f>
        <v>0</v>
      </c>
      <c r="O6030" s="30">
        <f>IFERROR((VLOOKUP($A6030,HeadJournal!$A$1:$L$890,COLUMN(HeadJournal!L$1),0)*($K6030+$L6030)/(SUMIF($A:$A,$A6030,$K:$K)+SUMIF($A:$A,$A6030,$L:$L)))/VLOOKUP($A6030,HeadJournal!$A$1:$L$890,COLUMN(HeadJournal!H$1),0),0)</f>
        <v>0</v>
      </c>
      <c r="P6030" s="30">
        <f>IFERROR(SUM(K6030:O6030)*VLOOKUP($A6030,HeadJournal!$A$1:$L$890,COLUMN(HeadJournal!H$1),0),0)</f>
        <v>0</v>
      </c>
      <c r="Q6030" s="29"/>
      <c r="R6030" s="31"/>
      <c r="S6030" s="31"/>
      <c r="T6030" s="95" t="str">
        <f t="shared" si="450"/>
        <v/>
      </c>
      <c r="U6030" s="32">
        <f t="shared" ref="U6030:U6119" si="451">Q6030-P6030</f>
        <v>0</v>
      </c>
      <c r="V6030" s="22" t="str">
        <f t="shared" ref="V6030:V6119" si="452">IF(Q6030&lt;&gt;0,IFERROR(U6030/P6030,""),"")</f>
        <v/>
      </c>
      <c r="X6030" s="33"/>
      <c r="Y6030" s="33"/>
    </row>
    <row r="6031" spans="1:25" x14ac:dyDescent="0.2">
      <c r="A6031" s="93"/>
      <c r="B6031" s="94" t="str">
        <f>IFERROR(VLOOKUP($A6031,HeadJournal!$A$1:$NTR$890,COLUMN(HeadJournal!B$1),0),"")</f>
        <v/>
      </c>
      <c r="C6031" s="94" t="str">
        <f>IFERROR(VLOOKUP($A6031,HeadJournal!$A$1:$NTR$890,COLUMN(HeadJournal!C$1),0),"")</f>
        <v/>
      </c>
      <c r="D6031" s="125" t="str">
        <f>IFERROR(VLOOKUP($A6031,HeadJournal!$A$1:$NTR$890,COLUMN(HeadJournal!D$1),0),"")</f>
        <v/>
      </c>
      <c r="E6031" s="95" t="str">
        <f>IFERROR(VLOOKUP($A6031,HeadJournal!$A$1:$NTR$890,COLUMN(HeadJournal!G$1),0),"")</f>
        <v/>
      </c>
      <c r="F6031" s="95" t="str">
        <f t="shared" si="449"/>
        <v/>
      </c>
      <c r="G6031" s="97"/>
      <c r="H6031" s="161"/>
      <c r="I6031" s="97"/>
      <c r="J6031" s="97"/>
      <c r="K6031" s="29"/>
      <c r="L6031" s="29"/>
      <c r="M6031" s="30">
        <f>IFERROR(VLOOKUP($A6031,HeadJournal!$A$1:$J$890,COLUMN(HeadJournal!I$1),0)*($K6031+$L6031)/(SUMIF($A:$A,$A6031,$K:$K)+SUMIF($A:$A,$A6031,$L:$L)),0)</f>
        <v>0</v>
      </c>
      <c r="N6031" s="30">
        <f>IFERROR((VLOOKUP($A6031,HeadJournal!$A$1:$K$890,COLUMN(HeadJournal!K$1),0)-VLOOKUP($A6031,HeadJournal!$A$1:$K$890,COLUMN(HeadJournal!J$1),0))*($K6031+$L6031)/(SUMIF($A:$A,$A6031,$K:$K)+SUMIF($A:$A,$A6031,$L:$L)),0)</f>
        <v>0</v>
      </c>
      <c r="O6031" s="30">
        <f>IFERROR((VLOOKUP($A6031,HeadJournal!$A$1:$L$890,COLUMN(HeadJournal!L$1),0)*($K6031+$L6031)/(SUMIF($A:$A,$A6031,$K:$K)+SUMIF($A:$A,$A6031,$L:$L)))/VLOOKUP($A6031,HeadJournal!$A$1:$L$890,COLUMN(HeadJournal!H$1),0),0)</f>
        <v>0</v>
      </c>
      <c r="P6031" s="30">
        <f>IFERROR(SUM(K6031:O6031)*VLOOKUP($A6031,HeadJournal!$A$1:$L$890,COLUMN(HeadJournal!H$1),0),0)</f>
        <v>0</v>
      </c>
      <c r="Q6031" s="29"/>
      <c r="R6031" s="31"/>
      <c r="S6031" s="31"/>
      <c r="T6031" s="95" t="str">
        <f t="shared" si="450"/>
        <v/>
      </c>
      <c r="U6031" s="32">
        <f t="shared" si="451"/>
        <v>0</v>
      </c>
      <c r="V6031" s="22" t="str">
        <f t="shared" si="452"/>
        <v/>
      </c>
      <c r="X6031" s="33"/>
      <c r="Y6031" s="33"/>
    </row>
    <row r="6032" spans="1:25" x14ac:dyDescent="0.2">
      <c r="A6032" s="93"/>
      <c r="B6032" s="94" t="str">
        <f>IFERROR(VLOOKUP($A6032,HeadJournal!$A$1:$NTR$890,COLUMN(HeadJournal!B$1),0),"")</f>
        <v/>
      </c>
      <c r="C6032" s="94" t="str">
        <f>IFERROR(VLOOKUP($A6032,HeadJournal!$A$1:$NTR$890,COLUMN(HeadJournal!C$1),0),"")</f>
        <v/>
      </c>
      <c r="D6032" s="125" t="str">
        <f>IFERROR(VLOOKUP($A6032,HeadJournal!$A$1:$NTR$890,COLUMN(HeadJournal!D$1),0),"")</f>
        <v/>
      </c>
      <c r="E6032" s="95" t="str">
        <f>IFERROR(VLOOKUP($A6032,HeadJournal!$A$1:$NTR$890,COLUMN(HeadJournal!G$1),0),"")</f>
        <v/>
      </c>
      <c r="F6032" s="95" t="str">
        <f t="shared" si="449"/>
        <v/>
      </c>
      <c r="G6032" s="97"/>
      <c r="H6032" s="161"/>
      <c r="I6032" s="97"/>
      <c r="J6032" s="97"/>
      <c r="K6032" s="29"/>
      <c r="L6032" s="29"/>
      <c r="M6032" s="30">
        <f>IFERROR(VLOOKUP($A6032,HeadJournal!$A$1:$J$890,COLUMN(HeadJournal!I$1),0)*($K6032+$L6032)/(SUMIF($A:$A,$A6032,$K:$K)+SUMIF($A:$A,$A6032,$L:$L)),0)</f>
        <v>0</v>
      </c>
      <c r="N6032" s="30">
        <f>IFERROR((VLOOKUP($A6032,HeadJournal!$A$1:$K$890,COLUMN(HeadJournal!K$1),0)-VLOOKUP($A6032,HeadJournal!$A$1:$K$890,COLUMN(HeadJournal!J$1),0))*($K6032+$L6032)/(SUMIF($A:$A,$A6032,$K:$K)+SUMIF($A:$A,$A6032,$L:$L)),0)</f>
        <v>0</v>
      </c>
      <c r="O6032" s="30">
        <f>IFERROR((VLOOKUP($A6032,HeadJournal!$A$1:$L$890,COLUMN(HeadJournal!L$1),0)*($K6032+$L6032)/(SUMIF($A:$A,$A6032,$K:$K)+SUMIF($A:$A,$A6032,$L:$L)))/VLOOKUP($A6032,HeadJournal!$A$1:$L$890,COLUMN(HeadJournal!H$1),0),0)</f>
        <v>0</v>
      </c>
      <c r="P6032" s="30">
        <f>IFERROR(SUM(K6032:O6032)*VLOOKUP($A6032,HeadJournal!$A$1:$L$890,COLUMN(HeadJournal!H$1),0),0)</f>
        <v>0</v>
      </c>
      <c r="Q6032" s="29"/>
      <c r="R6032" s="31"/>
      <c r="S6032" s="31"/>
      <c r="T6032" s="95" t="str">
        <f t="shared" si="450"/>
        <v/>
      </c>
      <c r="U6032" s="32">
        <f t="shared" si="451"/>
        <v>0</v>
      </c>
      <c r="V6032" s="22" t="str">
        <f t="shared" si="452"/>
        <v/>
      </c>
      <c r="X6032" s="33"/>
      <c r="Y6032" s="33"/>
    </row>
    <row r="6033" spans="1:25" x14ac:dyDescent="0.2">
      <c r="A6033" s="93"/>
      <c r="B6033" s="94" t="str">
        <f>IFERROR(VLOOKUP($A6033,HeadJournal!$A$1:$NTR$890,COLUMN(HeadJournal!B$1),0),"")</f>
        <v/>
      </c>
      <c r="C6033" s="94" t="str">
        <f>IFERROR(VLOOKUP($A6033,HeadJournal!$A$1:$NTR$890,COLUMN(HeadJournal!C$1),0),"")</f>
        <v/>
      </c>
      <c r="D6033" s="125" t="str">
        <f>IFERROR(VLOOKUP($A6033,HeadJournal!$A$1:$NTR$890,COLUMN(HeadJournal!D$1),0),"")</f>
        <v/>
      </c>
      <c r="E6033" s="95" t="str">
        <f>IFERROR(VLOOKUP($A6033,HeadJournal!$A$1:$NTR$890,COLUMN(HeadJournal!G$1),0),"")</f>
        <v/>
      </c>
      <c r="F6033" s="95" t="str">
        <f t="shared" si="449"/>
        <v/>
      </c>
      <c r="G6033" s="97"/>
      <c r="H6033" s="161"/>
      <c r="I6033" s="97"/>
      <c r="J6033" s="97"/>
      <c r="K6033" s="29"/>
      <c r="L6033" s="29"/>
      <c r="M6033" s="30">
        <f>IFERROR(VLOOKUP($A6033,HeadJournal!$A$1:$J$890,COLUMN(HeadJournal!I$1),0)*($K6033+$L6033)/(SUMIF($A:$A,$A6033,$K:$K)+SUMIF($A:$A,$A6033,$L:$L)),0)</f>
        <v>0</v>
      </c>
      <c r="N6033" s="30">
        <f>IFERROR((VLOOKUP($A6033,HeadJournal!$A$1:$K$890,COLUMN(HeadJournal!K$1),0)-VLOOKUP($A6033,HeadJournal!$A$1:$K$890,COLUMN(HeadJournal!J$1),0))*($K6033+$L6033)/(SUMIF($A:$A,$A6033,$K:$K)+SUMIF($A:$A,$A6033,$L:$L)),0)</f>
        <v>0</v>
      </c>
      <c r="O6033" s="30">
        <f>IFERROR((VLOOKUP($A6033,HeadJournal!$A$1:$L$890,COLUMN(HeadJournal!L$1),0)*($K6033+$L6033)/(SUMIF($A:$A,$A6033,$K:$K)+SUMIF($A:$A,$A6033,$L:$L)))/VLOOKUP($A6033,HeadJournal!$A$1:$L$890,COLUMN(HeadJournal!H$1),0),0)</f>
        <v>0</v>
      </c>
      <c r="P6033" s="30">
        <f>IFERROR(SUM(K6033:O6033)*VLOOKUP($A6033,HeadJournal!$A$1:$L$890,COLUMN(HeadJournal!H$1),0),0)</f>
        <v>0</v>
      </c>
      <c r="Q6033" s="29"/>
      <c r="R6033" s="31"/>
      <c r="S6033" s="31"/>
      <c r="T6033" s="95" t="str">
        <f t="shared" si="450"/>
        <v/>
      </c>
      <c r="U6033" s="32">
        <f t="shared" si="451"/>
        <v>0</v>
      </c>
      <c r="V6033" s="22" t="str">
        <f t="shared" si="452"/>
        <v/>
      </c>
      <c r="X6033" s="33"/>
      <c r="Y6033" s="33"/>
    </row>
    <row r="6034" spans="1:25" x14ac:dyDescent="0.2">
      <c r="A6034" s="93"/>
      <c r="B6034" s="94" t="str">
        <f>IFERROR(VLOOKUP($A6034,HeadJournal!$A$1:$NTR$890,COLUMN(HeadJournal!B$1),0),"")</f>
        <v/>
      </c>
      <c r="C6034" s="94" t="str">
        <f>IFERROR(VLOOKUP($A6034,HeadJournal!$A$1:$NTR$890,COLUMN(HeadJournal!C$1),0),"")</f>
        <v/>
      </c>
      <c r="D6034" s="125" t="str">
        <f>IFERROR(VLOOKUP($A6034,HeadJournal!$A$1:$NTR$890,COLUMN(HeadJournal!D$1),0),"")</f>
        <v/>
      </c>
      <c r="E6034" s="95" t="str">
        <f>IFERROR(VLOOKUP($A6034,HeadJournal!$A$1:$NTR$890,COLUMN(HeadJournal!G$1),0),"")</f>
        <v/>
      </c>
      <c r="F6034" s="95" t="str">
        <f t="shared" si="449"/>
        <v/>
      </c>
      <c r="G6034" s="97"/>
      <c r="H6034" s="161"/>
      <c r="I6034" s="97"/>
      <c r="J6034" s="97"/>
      <c r="K6034" s="29"/>
      <c r="L6034" s="29"/>
      <c r="M6034" s="30">
        <f>IFERROR(VLOOKUP($A6034,HeadJournal!$A$1:$J$890,COLUMN(HeadJournal!I$1),0)*($K6034+$L6034)/(SUMIF($A:$A,$A6034,$K:$K)+SUMIF($A:$A,$A6034,$L:$L)),0)</f>
        <v>0</v>
      </c>
      <c r="N6034" s="30">
        <f>IFERROR((VLOOKUP($A6034,HeadJournal!$A$1:$K$890,COLUMN(HeadJournal!K$1),0)-VLOOKUP($A6034,HeadJournal!$A$1:$K$890,COLUMN(HeadJournal!J$1),0))*($K6034+$L6034)/(SUMIF($A:$A,$A6034,$K:$K)+SUMIF($A:$A,$A6034,$L:$L)),0)</f>
        <v>0</v>
      </c>
      <c r="O6034" s="30">
        <f>IFERROR((VLOOKUP($A6034,HeadJournal!$A$1:$L$890,COLUMN(HeadJournal!L$1),0)*($K6034+$L6034)/(SUMIF($A:$A,$A6034,$K:$K)+SUMIF($A:$A,$A6034,$L:$L)))/VLOOKUP($A6034,HeadJournal!$A$1:$L$890,COLUMN(HeadJournal!H$1),0),0)</f>
        <v>0</v>
      </c>
      <c r="P6034" s="30">
        <f>IFERROR(SUM(K6034:O6034)*VLOOKUP($A6034,HeadJournal!$A$1:$L$890,COLUMN(HeadJournal!H$1),0),0)</f>
        <v>0</v>
      </c>
      <c r="Q6034" s="29"/>
      <c r="R6034" s="31"/>
      <c r="S6034" s="31"/>
      <c r="T6034" s="95" t="str">
        <f t="shared" si="450"/>
        <v/>
      </c>
      <c r="U6034" s="32">
        <f t="shared" si="451"/>
        <v>0</v>
      </c>
      <c r="V6034" s="22" t="str">
        <f t="shared" si="452"/>
        <v/>
      </c>
      <c r="X6034" s="33"/>
      <c r="Y6034" s="33"/>
    </row>
    <row r="6035" spans="1:25" x14ac:dyDescent="0.2">
      <c r="A6035" s="93"/>
      <c r="B6035" s="94" t="str">
        <f>IFERROR(VLOOKUP($A6035,HeadJournal!$A$1:$NTR$890,COLUMN(HeadJournal!B$1),0),"")</f>
        <v/>
      </c>
      <c r="C6035" s="94" t="str">
        <f>IFERROR(VLOOKUP($A6035,HeadJournal!$A$1:$NTR$890,COLUMN(HeadJournal!C$1),0),"")</f>
        <v/>
      </c>
      <c r="D6035" s="125" t="str">
        <f>IFERROR(VLOOKUP($A6035,HeadJournal!$A$1:$NTR$890,COLUMN(HeadJournal!D$1),0),"")</f>
        <v/>
      </c>
      <c r="E6035" s="95" t="str">
        <f>IFERROR(VLOOKUP($A6035,HeadJournal!$A$1:$NTR$890,COLUMN(HeadJournal!G$1),0),"")</f>
        <v/>
      </c>
      <c r="F6035" s="95" t="str">
        <f t="shared" si="449"/>
        <v/>
      </c>
      <c r="G6035" s="97"/>
      <c r="H6035" s="161"/>
      <c r="I6035" s="97"/>
      <c r="J6035" s="97"/>
      <c r="K6035" s="29"/>
      <c r="L6035" s="29"/>
      <c r="M6035" s="30">
        <f>IFERROR(VLOOKUP($A6035,HeadJournal!$A$1:$J$890,COLUMN(HeadJournal!I$1),0)*($K6035+$L6035)/(SUMIF($A:$A,$A6035,$K:$K)+SUMIF($A:$A,$A6035,$L:$L)),0)</f>
        <v>0</v>
      </c>
      <c r="N6035" s="30">
        <f>IFERROR((VLOOKUP($A6035,HeadJournal!$A$1:$K$890,COLUMN(HeadJournal!K$1),0)-VLOOKUP($A6035,HeadJournal!$A$1:$K$890,COLUMN(HeadJournal!J$1),0))*($K6035+$L6035)/(SUMIF($A:$A,$A6035,$K:$K)+SUMIF($A:$A,$A6035,$L:$L)),0)</f>
        <v>0</v>
      </c>
      <c r="O6035" s="30">
        <f>IFERROR((VLOOKUP($A6035,HeadJournal!$A$1:$L$890,COLUMN(HeadJournal!L$1),0)*($K6035+$L6035)/(SUMIF($A:$A,$A6035,$K:$K)+SUMIF($A:$A,$A6035,$L:$L)))/VLOOKUP($A6035,HeadJournal!$A$1:$L$890,COLUMN(HeadJournal!H$1),0),0)</f>
        <v>0</v>
      </c>
      <c r="P6035" s="30">
        <f>IFERROR(SUM(K6035:O6035)*VLOOKUP($A6035,HeadJournal!$A$1:$L$890,COLUMN(HeadJournal!H$1),0),0)</f>
        <v>0</v>
      </c>
      <c r="Q6035" s="29"/>
      <c r="R6035" s="31"/>
      <c r="S6035" s="31"/>
      <c r="T6035" s="95" t="str">
        <f t="shared" si="450"/>
        <v/>
      </c>
      <c r="U6035" s="32">
        <f t="shared" si="451"/>
        <v>0</v>
      </c>
      <c r="V6035" s="22" t="str">
        <f t="shared" si="452"/>
        <v/>
      </c>
      <c r="X6035" s="33"/>
      <c r="Y6035" s="33"/>
    </row>
    <row r="6036" spans="1:25" x14ac:dyDescent="0.2">
      <c r="A6036" s="93"/>
      <c r="B6036" s="94" t="str">
        <f>IFERROR(VLOOKUP($A6036,HeadJournal!$A$1:$NTR$890,COLUMN(HeadJournal!B$1),0),"")</f>
        <v/>
      </c>
      <c r="C6036" s="94" t="str">
        <f>IFERROR(VLOOKUP($A6036,HeadJournal!$A$1:$NTR$890,COLUMN(HeadJournal!C$1),0),"")</f>
        <v/>
      </c>
      <c r="D6036" s="125" t="str">
        <f>IFERROR(VLOOKUP($A6036,HeadJournal!$A$1:$NTR$890,COLUMN(HeadJournal!D$1),0),"")</f>
        <v/>
      </c>
      <c r="E6036" s="95" t="str">
        <f>IFERROR(VLOOKUP($A6036,HeadJournal!$A$1:$NTR$890,COLUMN(HeadJournal!G$1),0),"")</f>
        <v/>
      </c>
      <c r="F6036" s="95" t="str">
        <f t="shared" si="449"/>
        <v/>
      </c>
      <c r="G6036" s="97"/>
      <c r="H6036" s="161"/>
      <c r="I6036" s="97"/>
      <c r="J6036" s="97"/>
      <c r="K6036" s="29"/>
      <c r="L6036" s="29"/>
      <c r="M6036" s="30">
        <f>IFERROR(VLOOKUP($A6036,HeadJournal!$A$1:$J$890,COLUMN(HeadJournal!I$1),0)*($K6036+$L6036)/(SUMIF($A:$A,$A6036,$K:$K)+SUMIF($A:$A,$A6036,$L:$L)),0)</f>
        <v>0</v>
      </c>
      <c r="N6036" s="30">
        <f>IFERROR((VLOOKUP($A6036,HeadJournal!$A$1:$K$890,COLUMN(HeadJournal!K$1),0)-VLOOKUP($A6036,HeadJournal!$A$1:$K$890,COLUMN(HeadJournal!J$1),0))*($K6036+$L6036)/(SUMIF($A:$A,$A6036,$K:$K)+SUMIF($A:$A,$A6036,$L:$L)),0)</f>
        <v>0</v>
      </c>
      <c r="O6036" s="30">
        <f>IFERROR((VLOOKUP($A6036,HeadJournal!$A$1:$L$890,COLUMN(HeadJournal!L$1),0)*($K6036+$L6036)/(SUMIF($A:$A,$A6036,$K:$K)+SUMIF($A:$A,$A6036,$L:$L)))/VLOOKUP($A6036,HeadJournal!$A$1:$L$890,COLUMN(HeadJournal!H$1),0),0)</f>
        <v>0</v>
      </c>
      <c r="P6036" s="30">
        <f>IFERROR(SUM(K6036:O6036)*VLOOKUP($A6036,HeadJournal!$A$1:$L$890,COLUMN(HeadJournal!H$1),0),0)</f>
        <v>0</v>
      </c>
      <c r="Q6036" s="29"/>
      <c r="R6036" s="31"/>
      <c r="S6036" s="31"/>
      <c r="T6036" s="95" t="str">
        <f t="shared" si="450"/>
        <v/>
      </c>
      <c r="U6036" s="32">
        <f t="shared" si="451"/>
        <v>0</v>
      </c>
      <c r="V6036" s="22" t="str">
        <f t="shared" si="452"/>
        <v/>
      </c>
      <c r="X6036" s="33"/>
      <c r="Y6036" s="33"/>
    </row>
    <row r="6037" spans="1:25" x14ac:dyDescent="0.2">
      <c r="A6037" s="93"/>
      <c r="B6037" s="94" t="str">
        <f>IFERROR(VLOOKUP($A6037,HeadJournal!$A$1:$NTR$890,COLUMN(HeadJournal!B$1),0),"")</f>
        <v/>
      </c>
      <c r="C6037" s="94" t="str">
        <f>IFERROR(VLOOKUP($A6037,HeadJournal!$A$1:$NTR$890,COLUMN(HeadJournal!C$1),0),"")</f>
        <v/>
      </c>
      <c r="D6037" s="125" t="str">
        <f>IFERROR(VLOOKUP($A6037,HeadJournal!$A$1:$NTR$890,COLUMN(HeadJournal!D$1),0),"")</f>
        <v/>
      </c>
      <c r="E6037" s="95" t="str">
        <f>IFERROR(VLOOKUP($A6037,HeadJournal!$A$1:$NTR$890,COLUMN(HeadJournal!G$1),0),"")</f>
        <v/>
      </c>
      <c r="F6037" s="95" t="str">
        <f t="shared" si="449"/>
        <v/>
      </c>
      <c r="G6037" s="97"/>
      <c r="H6037" s="161"/>
      <c r="I6037" s="97"/>
      <c r="J6037" s="97"/>
      <c r="K6037" s="29"/>
      <c r="L6037" s="29"/>
      <c r="M6037" s="30">
        <f>IFERROR(VLOOKUP($A6037,HeadJournal!$A$1:$J$890,COLUMN(HeadJournal!I$1),0)*($K6037+$L6037)/(SUMIF($A:$A,$A6037,$K:$K)+SUMIF($A:$A,$A6037,$L:$L)),0)</f>
        <v>0</v>
      </c>
      <c r="N6037" s="30">
        <f>IFERROR((VLOOKUP($A6037,HeadJournal!$A$1:$K$890,COLUMN(HeadJournal!K$1),0)-VLOOKUP($A6037,HeadJournal!$A$1:$K$890,COLUMN(HeadJournal!J$1),0))*($K6037+$L6037)/(SUMIF($A:$A,$A6037,$K:$K)+SUMIF($A:$A,$A6037,$L:$L)),0)</f>
        <v>0</v>
      </c>
      <c r="O6037" s="30">
        <f>IFERROR((VLOOKUP($A6037,HeadJournal!$A$1:$L$890,COLUMN(HeadJournal!L$1),0)*($K6037+$L6037)/(SUMIF($A:$A,$A6037,$K:$K)+SUMIF($A:$A,$A6037,$L:$L)))/VLOOKUP($A6037,HeadJournal!$A$1:$L$890,COLUMN(HeadJournal!H$1),0),0)</f>
        <v>0</v>
      </c>
      <c r="P6037" s="30">
        <f>IFERROR(SUM(K6037:O6037)*VLOOKUP($A6037,HeadJournal!$A$1:$L$890,COLUMN(HeadJournal!H$1),0),0)</f>
        <v>0</v>
      </c>
      <c r="Q6037" s="29"/>
      <c r="R6037" s="31"/>
      <c r="S6037" s="31"/>
      <c r="T6037" s="95" t="str">
        <f t="shared" si="450"/>
        <v/>
      </c>
      <c r="U6037" s="32">
        <f t="shared" si="451"/>
        <v>0</v>
      </c>
      <c r="V6037" s="22" t="str">
        <f t="shared" si="452"/>
        <v/>
      </c>
      <c r="X6037" s="33"/>
      <c r="Y6037" s="33"/>
    </row>
    <row r="6038" spans="1:25" x14ac:dyDescent="0.2">
      <c r="A6038" s="93"/>
      <c r="B6038" s="94" t="str">
        <f>IFERROR(VLOOKUP($A6038,HeadJournal!$A$1:$NTR$890,COLUMN(HeadJournal!B$1),0),"")</f>
        <v/>
      </c>
      <c r="C6038" s="94" t="str">
        <f>IFERROR(VLOOKUP($A6038,HeadJournal!$A$1:$NTR$890,COLUMN(HeadJournal!C$1),0),"")</f>
        <v/>
      </c>
      <c r="D6038" s="125" t="str">
        <f>IFERROR(VLOOKUP($A6038,HeadJournal!$A$1:$NTR$890,COLUMN(HeadJournal!D$1),0),"")</f>
        <v/>
      </c>
      <c r="E6038" s="95" t="str">
        <f>IFERROR(VLOOKUP($A6038,HeadJournal!$A$1:$NTR$890,COLUMN(HeadJournal!G$1),0),"")</f>
        <v/>
      </c>
      <c r="F6038" s="95" t="str">
        <f t="shared" si="449"/>
        <v/>
      </c>
      <c r="G6038" s="97"/>
      <c r="H6038" s="161"/>
      <c r="I6038" s="97"/>
      <c r="J6038" s="97"/>
      <c r="K6038" s="29"/>
      <c r="L6038" s="29"/>
      <c r="M6038" s="30">
        <f>IFERROR(VLOOKUP($A6038,HeadJournal!$A$1:$J$890,COLUMN(HeadJournal!I$1),0)*($K6038+$L6038)/(SUMIF($A:$A,$A6038,$K:$K)+SUMIF($A:$A,$A6038,$L:$L)),0)</f>
        <v>0</v>
      </c>
      <c r="N6038" s="30">
        <f>IFERROR((VLOOKUP($A6038,HeadJournal!$A$1:$K$890,COLUMN(HeadJournal!K$1),0)-VLOOKUP($A6038,HeadJournal!$A$1:$K$890,COLUMN(HeadJournal!J$1),0))*($K6038+$L6038)/(SUMIF($A:$A,$A6038,$K:$K)+SUMIF($A:$A,$A6038,$L:$L)),0)</f>
        <v>0</v>
      </c>
      <c r="O6038" s="30">
        <f>IFERROR((VLOOKUP($A6038,HeadJournal!$A$1:$L$890,COLUMN(HeadJournal!L$1),0)*($K6038+$L6038)/(SUMIF($A:$A,$A6038,$K:$K)+SUMIF($A:$A,$A6038,$L:$L)))/VLOOKUP($A6038,HeadJournal!$A$1:$L$890,COLUMN(HeadJournal!H$1),0),0)</f>
        <v>0</v>
      </c>
      <c r="P6038" s="30">
        <f>IFERROR(SUM(K6038:O6038)*VLOOKUP($A6038,HeadJournal!$A$1:$L$890,COLUMN(HeadJournal!H$1),0),0)</f>
        <v>0</v>
      </c>
      <c r="Q6038" s="29"/>
      <c r="R6038" s="31"/>
      <c r="S6038" s="31"/>
      <c r="T6038" s="95" t="str">
        <f t="shared" si="450"/>
        <v/>
      </c>
      <c r="U6038" s="32">
        <f t="shared" si="451"/>
        <v>0</v>
      </c>
      <c r="V6038" s="22" t="str">
        <f t="shared" si="452"/>
        <v/>
      </c>
      <c r="X6038" s="33"/>
      <c r="Y6038" s="33"/>
    </row>
    <row r="6039" spans="1:25" x14ac:dyDescent="0.2">
      <c r="A6039" s="93"/>
      <c r="B6039" s="94" t="str">
        <f>IFERROR(VLOOKUP($A6039,HeadJournal!$A$1:$NTR$890,COLUMN(HeadJournal!B$1),0),"")</f>
        <v/>
      </c>
      <c r="C6039" s="94" t="str">
        <f>IFERROR(VLOOKUP($A6039,HeadJournal!$A$1:$NTR$890,COLUMN(HeadJournal!C$1),0),"")</f>
        <v/>
      </c>
      <c r="D6039" s="125" t="str">
        <f>IFERROR(VLOOKUP($A6039,HeadJournal!$A$1:$NTR$890,COLUMN(HeadJournal!D$1),0),"")</f>
        <v/>
      </c>
      <c r="E6039" s="95" t="str">
        <f>IFERROR(VLOOKUP($A6039,HeadJournal!$A$1:$NTR$890,COLUMN(HeadJournal!G$1),0),"")</f>
        <v/>
      </c>
      <c r="F6039" s="95" t="str">
        <f t="shared" si="449"/>
        <v/>
      </c>
      <c r="G6039" s="97"/>
      <c r="H6039" s="161"/>
      <c r="I6039" s="97"/>
      <c r="J6039" s="97"/>
      <c r="K6039" s="29"/>
      <c r="L6039" s="29"/>
      <c r="M6039" s="30">
        <f>IFERROR(VLOOKUP($A6039,HeadJournal!$A$1:$J$890,COLUMN(HeadJournal!I$1),0)*($K6039+$L6039)/(SUMIF($A:$A,$A6039,$K:$K)+SUMIF($A:$A,$A6039,$L:$L)),0)</f>
        <v>0</v>
      </c>
      <c r="N6039" s="30">
        <f>IFERROR((VLOOKUP($A6039,HeadJournal!$A$1:$K$890,COLUMN(HeadJournal!K$1),0)-VLOOKUP($A6039,HeadJournal!$A$1:$K$890,COLUMN(HeadJournal!J$1),0))*($K6039+$L6039)/(SUMIF($A:$A,$A6039,$K:$K)+SUMIF($A:$A,$A6039,$L:$L)),0)</f>
        <v>0</v>
      </c>
      <c r="O6039" s="30">
        <f>IFERROR((VLOOKUP($A6039,HeadJournal!$A$1:$L$890,COLUMN(HeadJournal!L$1),0)*($K6039+$L6039)/(SUMIF($A:$A,$A6039,$K:$K)+SUMIF($A:$A,$A6039,$L:$L)))/VLOOKUP($A6039,HeadJournal!$A$1:$L$890,COLUMN(HeadJournal!H$1),0),0)</f>
        <v>0</v>
      </c>
      <c r="P6039" s="30">
        <f>IFERROR(SUM(K6039:O6039)*VLOOKUP($A6039,HeadJournal!$A$1:$L$890,COLUMN(HeadJournal!H$1),0),0)</f>
        <v>0</v>
      </c>
      <c r="Q6039" s="29"/>
      <c r="R6039" s="31"/>
      <c r="S6039" s="31"/>
      <c r="T6039" s="95" t="str">
        <f t="shared" si="450"/>
        <v/>
      </c>
      <c r="U6039" s="32">
        <f t="shared" si="451"/>
        <v>0</v>
      </c>
      <c r="V6039" s="22" t="str">
        <f t="shared" si="452"/>
        <v/>
      </c>
      <c r="X6039" s="33"/>
      <c r="Y6039" s="33"/>
    </row>
    <row r="6040" spans="1:25" x14ac:dyDescent="0.2">
      <c r="A6040" s="93"/>
      <c r="B6040" s="94" t="str">
        <f>IFERROR(VLOOKUP($A6040,HeadJournal!$A$1:$NTR$890,COLUMN(HeadJournal!B$1),0),"")</f>
        <v/>
      </c>
      <c r="C6040" s="94" t="str">
        <f>IFERROR(VLOOKUP($A6040,HeadJournal!$A$1:$NTR$890,COLUMN(HeadJournal!C$1),0),"")</f>
        <v/>
      </c>
      <c r="D6040" s="125" t="str">
        <f>IFERROR(VLOOKUP($A6040,HeadJournal!$A$1:$NTR$890,COLUMN(HeadJournal!D$1),0),"")</f>
        <v/>
      </c>
      <c r="E6040" s="95" t="str">
        <f>IFERROR(VLOOKUP($A6040,HeadJournal!$A$1:$NTR$890,COLUMN(HeadJournal!G$1),0),"")</f>
        <v/>
      </c>
      <c r="F6040" s="95" t="str">
        <f t="shared" si="449"/>
        <v/>
      </c>
      <c r="G6040" s="97"/>
      <c r="H6040" s="161"/>
      <c r="I6040" s="97"/>
      <c r="J6040" s="97"/>
      <c r="K6040" s="29"/>
      <c r="L6040" s="29"/>
      <c r="M6040" s="30">
        <f>IFERROR(VLOOKUP($A6040,HeadJournal!$A$1:$J$890,COLUMN(HeadJournal!I$1),0)*($K6040+$L6040)/(SUMIF($A:$A,$A6040,$K:$K)+SUMIF($A:$A,$A6040,$L:$L)),0)</f>
        <v>0</v>
      </c>
      <c r="N6040" s="30">
        <f>IFERROR((VLOOKUP($A6040,HeadJournal!$A$1:$K$890,COLUMN(HeadJournal!K$1),0)-VLOOKUP($A6040,HeadJournal!$A$1:$K$890,COLUMN(HeadJournal!J$1),0))*($K6040+$L6040)/(SUMIF($A:$A,$A6040,$K:$K)+SUMIF($A:$A,$A6040,$L:$L)),0)</f>
        <v>0</v>
      </c>
      <c r="O6040" s="30">
        <f>IFERROR((VLOOKUP($A6040,HeadJournal!$A$1:$L$890,COLUMN(HeadJournal!L$1),0)*($K6040+$L6040)/(SUMIF($A:$A,$A6040,$K:$K)+SUMIF($A:$A,$A6040,$L:$L)))/VLOOKUP($A6040,HeadJournal!$A$1:$L$890,COLUMN(HeadJournal!H$1),0),0)</f>
        <v>0</v>
      </c>
      <c r="P6040" s="30">
        <f>IFERROR(SUM(K6040:O6040)*VLOOKUP($A6040,HeadJournal!$A$1:$L$890,COLUMN(HeadJournal!H$1),0),0)</f>
        <v>0</v>
      </c>
      <c r="Q6040" s="29"/>
      <c r="R6040" s="31"/>
      <c r="S6040" s="31"/>
      <c r="T6040" s="95" t="str">
        <f t="shared" si="450"/>
        <v/>
      </c>
      <c r="U6040" s="32">
        <f t="shared" si="451"/>
        <v>0</v>
      </c>
      <c r="V6040" s="22" t="str">
        <f t="shared" si="452"/>
        <v/>
      </c>
      <c r="X6040" s="33"/>
      <c r="Y6040" s="33"/>
    </row>
    <row r="6041" spans="1:25" x14ac:dyDescent="0.2">
      <c r="A6041" s="93"/>
      <c r="B6041" s="94" t="str">
        <f>IFERROR(VLOOKUP($A6041,HeadJournal!$A$1:$NTR$890,COLUMN(HeadJournal!B$1),0),"")</f>
        <v/>
      </c>
      <c r="C6041" s="94" t="str">
        <f>IFERROR(VLOOKUP($A6041,HeadJournal!$A$1:$NTR$890,COLUMN(HeadJournal!C$1),0),"")</f>
        <v/>
      </c>
      <c r="D6041" s="125" t="str">
        <f>IFERROR(VLOOKUP($A6041,HeadJournal!$A$1:$NTR$890,COLUMN(HeadJournal!D$1),0),"")</f>
        <v/>
      </c>
      <c r="E6041" s="95" t="str">
        <f>IFERROR(VLOOKUP($A6041,HeadJournal!$A$1:$NTR$890,COLUMN(HeadJournal!G$1),0),"")</f>
        <v/>
      </c>
      <c r="F6041" s="95" t="str">
        <f t="shared" si="449"/>
        <v/>
      </c>
      <c r="G6041" s="97"/>
      <c r="H6041" s="161"/>
      <c r="I6041" s="97"/>
      <c r="J6041" s="97"/>
      <c r="K6041" s="29"/>
      <c r="L6041" s="29"/>
      <c r="M6041" s="30">
        <f>IFERROR(VLOOKUP($A6041,HeadJournal!$A$1:$J$890,COLUMN(HeadJournal!I$1),0)*($K6041+$L6041)/(SUMIF($A:$A,$A6041,$K:$K)+SUMIF($A:$A,$A6041,$L:$L)),0)</f>
        <v>0</v>
      </c>
      <c r="N6041" s="30">
        <f>IFERROR((VLOOKUP($A6041,HeadJournal!$A$1:$K$890,COLUMN(HeadJournal!K$1),0)-VLOOKUP($A6041,HeadJournal!$A$1:$K$890,COLUMN(HeadJournal!J$1),0))*($K6041+$L6041)/(SUMIF($A:$A,$A6041,$K:$K)+SUMIF($A:$A,$A6041,$L:$L)),0)</f>
        <v>0</v>
      </c>
      <c r="O6041" s="30">
        <f>IFERROR((VLOOKUP($A6041,HeadJournal!$A$1:$L$890,COLUMN(HeadJournal!L$1),0)*($K6041+$L6041)/(SUMIF($A:$A,$A6041,$K:$K)+SUMIF($A:$A,$A6041,$L:$L)))/VLOOKUP($A6041,HeadJournal!$A$1:$L$890,COLUMN(HeadJournal!H$1),0),0)</f>
        <v>0</v>
      </c>
      <c r="P6041" s="30">
        <f>IFERROR(SUM(K6041:O6041)*VLOOKUP($A6041,HeadJournal!$A$1:$L$890,COLUMN(HeadJournal!H$1),0),0)</f>
        <v>0</v>
      </c>
      <c r="Q6041" s="29"/>
      <c r="R6041" s="31"/>
      <c r="S6041" s="31"/>
      <c r="T6041" s="95" t="str">
        <f t="shared" si="450"/>
        <v/>
      </c>
      <c r="U6041" s="32">
        <f t="shared" si="451"/>
        <v>0</v>
      </c>
      <c r="V6041" s="22" t="str">
        <f t="shared" si="452"/>
        <v/>
      </c>
      <c r="X6041" s="33"/>
      <c r="Y6041" s="33"/>
    </row>
    <row r="6042" spans="1:25" x14ac:dyDescent="0.2">
      <c r="A6042" s="93"/>
      <c r="B6042" s="94" t="str">
        <f>IFERROR(VLOOKUP($A6042,HeadJournal!$A$1:$NTR$890,COLUMN(HeadJournal!B$1),0),"")</f>
        <v/>
      </c>
      <c r="C6042" s="94" t="str">
        <f>IFERROR(VLOOKUP($A6042,HeadJournal!$A$1:$NTR$890,COLUMN(HeadJournal!C$1),0),"")</f>
        <v/>
      </c>
      <c r="D6042" s="125" t="str">
        <f>IFERROR(VLOOKUP($A6042,HeadJournal!$A$1:$NTR$890,COLUMN(HeadJournal!D$1),0),"")</f>
        <v/>
      </c>
      <c r="E6042" s="95" t="str">
        <f>IFERROR(VLOOKUP($A6042,HeadJournal!$A$1:$NTR$890,COLUMN(HeadJournal!G$1),0),"")</f>
        <v/>
      </c>
      <c r="F6042" s="95" t="str">
        <f t="shared" si="449"/>
        <v/>
      </c>
      <c r="G6042" s="97"/>
      <c r="H6042" s="161"/>
      <c r="I6042" s="97"/>
      <c r="J6042" s="97"/>
      <c r="K6042" s="29"/>
      <c r="L6042" s="29"/>
      <c r="M6042" s="30">
        <f>IFERROR(VLOOKUP($A6042,HeadJournal!$A$1:$J$890,COLUMN(HeadJournal!I$1),0)*($K6042+$L6042)/(SUMIF($A:$A,$A6042,$K:$K)+SUMIF($A:$A,$A6042,$L:$L)),0)</f>
        <v>0</v>
      </c>
      <c r="N6042" s="30">
        <f>IFERROR((VLOOKUP($A6042,HeadJournal!$A$1:$K$890,COLUMN(HeadJournal!K$1),0)-VLOOKUP($A6042,HeadJournal!$A$1:$K$890,COLUMN(HeadJournal!J$1),0))*($K6042+$L6042)/(SUMIF($A:$A,$A6042,$K:$K)+SUMIF($A:$A,$A6042,$L:$L)),0)</f>
        <v>0</v>
      </c>
      <c r="O6042" s="30">
        <f>IFERROR((VLOOKUP($A6042,HeadJournal!$A$1:$L$890,COLUMN(HeadJournal!L$1),0)*($K6042+$L6042)/(SUMIF($A:$A,$A6042,$K:$K)+SUMIF($A:$A,$A6042,$L:$L)))/VLOOKUP($A6042,HeadJournal!$A$1:$L$890,COLUMN(HeadJournal!H$1),0),0)</f>
        <v>0</v>
      </c>
      <c r="P6042" s="30">
        <f>IFERROR(SUM(K6042:O6042)*VLOOKUP($A6042,HeadJournal!$A$1:$L$890,COLUMN(HeadJournal!H$1),0),0)</f>
        <v>0</v>
      </c>
      <c r="Q6042" s="29"/>
      <c r="R6042" s="31"/>
      <c r="S6042" s="31"/>
      <c r="T6042" s="95" t="str">
        <f t="shared" si="450"/>
        <v/>
      </c>
      <c r="U6042" s="32">
        <f t="shared" si="451"/>
        <v>0</v>
      </c>
      <c r="V6042" s="22" t="str">
        <f t="shared" si="452"/>
        <v/>
      </c>
      <c r="X6042" s="33"/>
      <c r="Y6042" s="33"/>
    </row>
    <row r="6043" spans="1:25" x14ac:dyDescent="0.2">
      <c r="A6043" s="93"/>
      <c r="B6043" s="94" t="str">
        <f>IFERROR(VLOOKUP($A6043,HeadJournal!$A$1:$NTR$890,COLUMN(HeadJournal!B$1),0),"")</f>
        <v/>
      </c>
      <c r="C6043" s="94" t="str">
        <f>IFERROR(VLOOKUP($A6043,HeadJournal!$A$1:$NTR$890,COLUMN(HeadJournal!C$1),0),"")</f>
        <v/>
      </c>
      <c r="D6043" s="125" t="str">
        <f>IFERROR(VLOOKUP($A6043,HeadJournal!$A$1:$NTR$890,COLUMN(HeadJournal!D$1),0),"")</f>
        <v/>
      </c>
      <c r="E6043" s="95" t="str">
        <f>IFERROR(VLOOKUP($A6043,HeadJournal!$A$1:$NTR$890,COLUMN(HeadJournal!G$1),0),"")</f>
        <v/>
      </c>
      <c r="F6043" s="95" t="str">
        <f t="shared" si="449"/>
        <v/>
      </c>
      <c r="G6043" s="97"/>
      <c r="H6043" s="161"/>
      <c r="I6043" s="97"/>
      <c r="J6043" s="97"/>
      <c r="K6043" s="29"/>
      <c r="L6043" s="29"/>
      <c r="M6043" s="30">
        <f>IFERROR(VLOOKUP($A6043,HeadJournal!$A$1:$J$890,COLUMN(HeadJournal!I$1),0)*($K6043+$L6043)/(SUMIF($A:$A,$A6043,$K:$K)+SUMIF($A:$A,$A6043,$L:$L)),0)</f>
        <v>0</v>
      </c>
      <c r="N6043" s="30">
        <f>IFERROR((VLOOKUP($A6043,HeadJournal!$A$1:$K$890,COLUMN(HeadJournal!K$1),0)-VLOOKUP($A6043,HeadJournal!$A$1:$K$890,COLUMN(HeadJournal!J$1),0))*($K6043+$L6043)/(SUMIF($A:$A,$A6043,$K:$K)+SUMIF($A:$A,$A6043,$L:$L)),0)</f>
        <v>0</v>
      </c>
      <c r="O6043" s="30">
        <f>IFERROR((VLOOKUP($A6043,HeadJournal!$A$1:$L$890,COLUMN(HeadJournal!L$1),0)*($K6043+$L6043)/(SUMIF($A:$A,$A6043,$K:$K)+SUMIF($A:$A,$A6043,$L:$L)))/VLOOKUP($A6043,HeadJournal!$A$1:$L$890,COLUMN(HeadJournal!H$1),0),0)</f>
        <v>0</v>
      </c>
      <c r="P6043" s="30">
        <f>IFERROR(SUM(K6043:O6043)*VLOOKUP($A6043,HeadJournal!$A$1:$L$890,COLUMN(HeadJournal!H$1),0),0)</f>
        <v>0</v>
      </c>
      <c r="Q6043" s="29"/>
      <c r="R6043" s="31"/>
      <c r="S6043" s="31"/>
      <c r="T6043" s="95" t="str">
        <f t="shared" si="450"/>
        <v/>
      </c>
      <c r="U6043" s="32">
        <f t="shared" si="451"/>
        <v>0</v>
      </c>
      <c r="V6043" s="22" t="str">
        <f t="shared" si="452"/>
        <v/>
      </c>
      <c r="X6043" s="33"/>
      <c r="Y6043" s="33"/>
    </row>
    <row r="6044" spans="1:25" x14ac:dyDescent="0.2">
      <c r="A6044" s="93"/>
      <c r="B6044" s="94" t="str">
        <f>IFERROR(VLOOKUP($A6044,HeadJournal!$A$1:$NTR$890,COLUMN(HeadJournal!B$1),0),"")</f>
        <v/>
      </c>
      <c r="C6044" s="94" t="str">
        <f>IFERROR(VLOOKUP($A6044,HeadJournal!$A$1:$NTR$890,COLUMN(HeadJournal!C$1),0),"")</f>
        <v/>
      </c>
      <c r="D6044" s="125" t="str">
        <f>IFERROR(VLOOKUP($A6044,HeadJournal!$A$1:$NTR$890,COLUMN(HeadJournal!D$1),0),"")</f>
        <v/>
      </c>
      <c r="E6044" s="95" t="str">
        <f>IFERROR(VLOOKUP($A6044,HeadJournal!$A$1:$NTR$890,COLUMN(HeadJournal!G$1),0),"")</f>
        <v/>
      </c>
      <c r="F6044" s="95" t="str">
        <f t="shared" si="449"/>
        <v/>
      </c>
      <c r="G6044" s="97"/>
      <c r="H6044" s="161"/>
      <c r="I6044" s="97"/>
      <c r="J6044" s="97"/>
      <c r="K6044" s="29"/>
      <c r="L6044" s="29"/>
      <c r="M6044" s="30">
        <f>IFERROR(VLOOKUP($A6044,HeadJournal!$A$1:$J$890,COLUMN(HeadJournal!I$1),0)*($K6044+$L6044)/(SUMIF($A:$A,$A6044,$K:$K)+SUMIF($A:$A,$A6044,$L:$L)),0)</f>
        <v>0</v>
      </c>
      <c r="N6044" s="30">
        <f>IFERROR((VLOOKUP($A6044,HeadJournal!$A$1:$K$890,COLUMN(HeadJournal!K$1),0)-VLOOKUP($A6044,HeadJournal!$A$1:$K$890,COLUMN(HeadJournal!J$1),0))*($K6044+$L6044)/(SUMIF($A:$A,$A6044,$K:$K)+SUMIF($A:$A,$A6044,$L:$L)),0)</f>
        <v>0</v>
      </c>
      <c r="O6044" s="30">
        <f>IFERROR((VLOOKUP($A6044,HeadJournal!$A$1:$L$890,COLUMN(HeadJournal!L$1),0)*($K6044+$L6044)/(SUMIF($A:$A,$A6044,$K:$K)+SUMIF($A:$A,$A6044,$L:$L)))/VLOOKUP($A6044,HeadJournal!$A$1:$L$890,COLUMN(HeadJournal!H$1),0),0)</f>
        <v>0</v>
      </c>
      <c r="P6044" s="30">
        <f>IFERROR(SUM(K6044:O6044)*VLOOKUP($A6044,HeadJournal!$A$1:$L$890,COLUMN(HeadJournal!H$1),0),0)</f>
        <v>0</v>
      </c>
      <c r="Q6044" s="29"/>
      <c r="R6044" s="31"/>
      <c r="S6044" s="31"/>
      <c r="T6044" s="95" t="str">
        <f t="shared" si="450"/>
        <v/>
      </c>
      <c r="U6044" s="32">
        <f t="shared" si="451"/>
        <v>0</v>
      </c>
      <c r="V6044" s="22" t="str">
        <f t="shared" si="452"/>
        <v/>
      </c>
      <c r="X6044" s="33"/>
      <c r="Y6044" s="33"/>
    </row>
    <row r="6045" spans="1:25" x14ac:dyDescent="0.2">
      <c r="A6045" s="93"/>
      <c r="B6045" s="94" t="str">
        <f>IFERROR(VLOOKUP($A6045,HeadJournal!$A$1:$NTR$890,COLUMN(HeadJournal!B$1),0),"")</f>
        <v/>
      </c>
      <c r="C6045" s="94" t="str">
        <f>IFERROR(VLOOKUP($A6045,HeadJournal!$A$1:$NTR$890,COLUMN(HeadJournal!C$1),0),"")</f>
        <v/>
      </c>
      <c r="D6045" s="125" t="str">
        <f>IFERROR(VLOOKUP($A6045,HeadJournal!$A$1:$NTR$890,COLUMN(HeadJournal!D$1),0),"")</f>
        <v/>
      </c>
      <c r="E6045" s="95" t="str">
        <f>IFERROR(VLOOKUP($A6045,HeadJournal!$A$1:$NTR$890,COLUMN(HeadJournal!G$1),0),"")</f>
        <v/>
      </c>
      <c r="F6045" s="95" t="str">
        <f t="shared" si="449"/>
        <v/>
      </c>
      <c r="G6045" s="97"/>
      <c r="H6045" s="161"/>
      <c r="I6045" s="97"/>
      <c r="J6045" s="97"/>
      <c r="K6045" s="29"/>
      <c r="L6045" s="29"/>
      <c r="M6045" s="30">
        <f>IFERROR(VLOOKUP($A6045,HeadJournal!$A$1:$J$890,COLUMN(HeadJournal!I$1),0)*($K6045+$L6045)/(SUMIF($A:$A,$A6045,$K:$K)+SUMIF($A:$A,$A6045,$L:$L)),0)</f>
        <v>0</v>
      </c>
      <c r="N6045" s="30">
        <f>IFERROR((VLOOKUP($A6045,HeadJournal!$A$1:$K$890,COLUMN(HeadJournal!K$1),0)-VLOOKUP($A6045,HeadJournal!$A$1:$K$890,COLUMN(HeadJournal!J$1),0))*($K6045+$L6045)/(SUMIF($A:$A,$A6045,$K:$K)+SUMIF($A:$A,$A6045,$L:$L)),0)</f>
        <v>0</v>
      </c>
      <c r="O6045" s="30">
        <f>IFERROR((VLOOKUP($A6045,HeadJournal!$A$1:$L$890,COLUMN(HeadJournal!L$1),0)*($K6045+$L6045)/(SUMIF($A:$A,$A6045,$K:$K)+SUMIF($A:$A,$A6045,$L:$L)))/VLOOKUP($A6045,HeadJournal!$A$1:$L$890,COLUMN(HeadJournal!H$1),0),0)</f>
        <v>0</v>
      </c>
      <c r="P6045" s="30">
        <f>IFERROR(SUM(K6045:O6045)*VLOOKUP($A6045,HeadJournal!$A$1:$L$890,COLUMN(HeadJournal!H$1),0),0)</f>
        <v>0</v>
      </c>
      <c r="Q6045" s="29"/>
      <c r="R6045" s="31"/>
      <c r="S6045" s="31"/>
      <c r="T6045" s="95" t="str">
        <f t="shared" si="450"/>
        <v/>
      </c>
      <c r="U6045" s="32">
        <f t="shared" si="451"/>
        <v>0</v>
      </c>
      <c r="V6045" s="22" t="str">
        <f t="shared" si="452"/>
        <v/>
      </c>
      <c r="X6045" s="33"/>
      <c r="Y6045" s="33"/>
    </row>
    <row r="6046" spans="1:25" x14ac:dyDescent="0.2">
      <c r="A6046" s="93"/>
      <c r="B6046" s="94" t="str">
        <f>IFERROR(VLOOKUP($A6046,HeadJournal!$A$1:$NTR$890,COLUMN(HeadJournal!B$1),0),"")</f>
        <v/>
      </c>
      <c r="C6046" s="94" t="str">
        <f>IFERROR(VLOOKUP($A6046,HeadJournal!$A$1:$NTR$890,COLUMN(HeadJournal!C$1),0),"")</f>
        <v/>
      </c>
      <c r="D6046" s="125" t="str">
        <f>IFERROR(VLOOKUP($A6046,HeadJournal!$A$1:$NTR$890,COLUMN(HeadJournal!D$1),0),"")</f>
        <v/>
      </c>
      <c r="E6046" s="95" t="str">
        <f>IFERROR(VLOOKUP($A6046,HeadJournal!$A$1:$NTR$890,COLUMN(HeadJournal!G$1),0),"")</f>
        <v/>
      </c>
      <c r="F6046" s="95" t="str">
        <f t="shared" si="449"/>
        <v/>
      </c>
      <c r="G6046" s="97"/>
      <c r="H6046" s="161"/>
      <c r="I6046" s="97"/>
      <c r="J6046" s="97"/>
      <c r="K6046" s="29"/>
      <c r="L6046" s="29"/>
      <c r="M6046" s="30">
        <f>IFERROR(VLOOKUP($A6046,HeadJournal!$A$1:$J$890,COLUMN(HeadJournal!I$1),0)*($K6046+$L6046)/(SUMIF($A:$A,$A6046,$K:$K)+SUMIF($A:$A,$A6046,$L:$L)),0)</f>
        <v>0</v>
      </c>
      <c r="N6046" s="30">
        <f>IFERROR((VLOOKUP($A6046,HeadJournal!$A$1:$K$890,COLUMN(HeadJournal!K$1),0)-VLOOKUP($A6046,HeadJournal!$A$1:$K$890,COLUMN(HeadJournal!J$1),0))*($K6046+$L6046)/(SUMIF($A:$A,$A6046,$K:$K)+SUMIF($A:$A,$A6046,$L:$L)),0)</f>
        <v>0</v>
      </c>
      <c r="O6046" s="30">
        <f>IFERROR((VLOOKUP($A6046,HeadJournal!$A$1:$L$890,COLUMN(HeadJournal!L$1),0)*($K6046+$L6046)/(SUMIF($A:$A,$A6046,$K:$K)+SUMIF($A:$A,$A6046,$L:$L)))/VLOOKUP($A6046,HeadJournal!$A$1:$L$890,COLUMN(HeadJournal!H$1),0),0)</f>
        <v>0</v>
      </c>
      <c r="P6046" s="30">
        <f>IFERROR(SUM(K6046:O6046)*VLOOKUP($A6046,HeadJournal!$A$1:$L$890,COLUMN(HeadJournal!H$1),0),0)</f>
        <v>0</v>
      </c>
      <c r="Q6046" s="29"/>
      <c r="R6046" s="31"/>
      <c r="S6046" s="31"/>
      <c r="T6046" s="95" t="str">
        <f t="shared" si="450"/>
        <v/>
      </c>
      <c r="U6046" s="32">
        <f t="shared" si="451"/>
        <v>0</v>
      </c>
      <c r="V6046" s="22" t="str">
        <f t="shared" si="452"/>
        <v/>
      </c>
      <c r="X6046" s="33"/>
      <c r="Y6046" s="33"/>
    </row>
    <row r="6047" spans="1:25" x14ac:dyDescent="0.2">
      <c r="A6047" s="93"/>
      <c r="B6047" s="94" t="str">
        <f>IFERROR(VLOOKUP($A6047,HeadJournal!$A$1:$NTR$890,COLUMN(HeadJournal!B$1),0),"")</f>
        <v/>
      </c>
      <c r="C6047" s="94" t="str">
        <f>IFERROR(VLOOKUP($A6047,HeadJournal!$A$1:$NTR$890,COLUMN(HeadJournal!C$1),0),"")</f>
        <v/>
      </c>
      <c r="D6047" s="125" t="str">
        <f>IFERROR(VLOOKUP($A6047,HeadJournal!$A$1:$NTR$890,COLUMN(HeadJournal!D$1),0),"")</f>
        <v/>
      </c>
      <c r="E6047" s="95" t="str">
        <f>IFERROR(VLOOKUP($A6047,HeadJournal!$A$1:$NTR$890,COLUMN(HeadJournal!G$1),0),"")</f>
        <v/>
      </c>
      <c r="F6047" s="95" t="str">
        <f t="shared" si="449"/>
        <v/>
      </c>
      <c r="G6047" s="97"/>
      <c r="H6047" s="161"/>
      <c r="I6047" s="97"/>
      <c r="J6047" s="97"/>
      <c r="K6047" s="29"/>
      <c r="L6047" s="29"/>
      <c r="M6047" s="30">
        <f>IFERROR(VLOOKUP($A6047,HeadJournal!$A$1:$J$890,COLUMN(HeadJournal!I$1),0)*($K6047+$L6047)/(SUMIF($A:$A,$A6047,$K:$K)+SUMIF($A:$A,$A6047,$L:$L)),0)</f>
        <v>0</v>
      </c>
      <c r="N6047" s="30">
        <f>IFERROR((VLOOKUP($A6047,HeadJournal!$A$1:$K$890,COLUMN(HeadJournal!K$1),0)-VLOOKUP($A6047,HeadJournal!$A$1:$K$890,COLUMN(HeadJournal!J$1),0))*($K6047+$L6047)/(SUMIF($A:$A,$A6047,$K:$K)+SUMIF($A:$A,$A6047,$L:$L)),0)</f>
        <v>0</v>
      </c>
      <c r="O6047" s="30">
        <f>IFERROR((VLOOKUP($A6047,HeadJournal!$A$1:$L$890,COLUMN(HeadJournal!L$1),0)*($K6047+$L6047)/(SUMIF($A:$A,$A6047,$K:$K)+SUMIF($A:$A,$A6047,$L:$L)))/VLOOKUP($A6047,HeadJournal!$A$1:$L$890,COLUMN(HeadJournal!H$1),0),0)</f>
        <v>0</v>
      </c>
      <c r="P6047" s="30">
        <f>IFERROR(SUM(K6047:O6047)*VLOOKUP($A6047,HeadJournal!$A$1:$L$890,COLUMN(HeadJournal!H$1),0),0)</f>
        <v>0</v>
      </c>
      <c r="Q6047" s="29"/>
      <c r="R6047" s="31"/>
      <c r="S6047" s="31"/>
      <c r="T6047" s="95" t="str">
        <f t="shared" si="450"/>
        <v/>
      </c>
      <c r="U6047" s="32">
        <f t="shared" si="451"/>
        <v>0</v>
      </c>
      <c r="V6047" s="22" t="str">
        <f t="shared" si="452"/>
        <v/>
      </c>
      <c r="X6047" s="33"/>
      <c r="Y6047" s="33"/>
    </row>
    <row r="6048" spans="1:25" x14ac:dyDescent="0.2">
      <c r="A6048" s="93"/>
      <c r="B6048" s="94" t="str">
        <f>IFERROR(VLOOKUP($A6048,HeadJournal!$A$1:$NTR$890,COLUMN(HeadJournal!B$1),0),"")</f>
        <v/>
      </c>
      <c r="C6048" s="94" t="str">
        <f>IFERROR(VLOOKUP($A6048,HeadJournal!$A$1:$NTR$890,COLUMN(HeadJournal!C$1),0),"")</f>
        <v/>
      </c>
      <c r="D6048" s="125" t="str">
        <f>IFERROR(VLOOKUP($A6048,HeadJournal!$A$1:$NTR$890,COLUMN(HeadJournal!D$1),0),"")</f>
        <v/>
      </c>
      <c r="E6048" s="95" t="str">
        <f>IFERROR(VLOOKUP($A6048,HeadJournal!$A$1:$NTR$890,COLUMN(HeadJournal!G$1),0),"")</f>
        <v/>
      </c>
      <c r="F6048" s="95" t="str">
        <f t="shared" si="449"/>
        <v/>
      </c>
      <c r="G6048" s="97"/>
      <c r="H6048" s="161"/>
      <c r="I6048" s="97"/>
      <c r="J6048" s="97"/>
      <c r="K6048" s="29"/>
      <c r="L6048" s="29"/>
      <c r="M6048" s="30">
        <f>IFERROR(VLOOKUP($A6048,HeadJournal!$A$1:$J$890,COLUMN(HeadJournal!I$1),0)*($K6048+$L6048)/(SUMIF($A:$A,$A6048,$K:$K)+SUMIF($A:$A,$A6048,$L:$L)),0)</f>
        <v>0</v>
      </c>
      <c r="N6048" s="30">
        <f>IFERROR((VLOOKUP($A6048,HeadJournal!$A$1:$K$890,COLUMN(HeadJournal!K$1),0)-VLOOKUP($A6048,HeadJournal!$A$1:$K$890,COLUMN(HeadJournal!J$1),0))*($K6048+$L6048)/(SUMIF($A:$A,$A6048,$K:$K)+SUMIF($A:$A,$A6048,$L:$L)),0)</f>
        <v>0</v>
      </c>
      <c r="O6048" s="30">
        <f>IFERROR((VLOOKUP($A6048,HeadJournal!$A$1:$L$890,COLUMN(HeadJournal!L$1),0)*($K6048+$L6048)/(SUMIF($A:$A,$A6048,$K:$K)+SUMIF($A:$A,$A6048,$L:$L)))/VLOOKUP($A6048,HeadJournal!$A$1:$L$890,COLUMN(HeadJournal!H$1),0),0)</f>
        <v>0</v>
      </c>
      <c r="P6048" s="30">
        <f>IFERROR(SUM(K6048:O6048)*VLOOKUP($A6048,HeadJournal!$A$1:$L$890,COLUMN(HeadJournal!H$1),0),0)</f>
        <v>0</v>
      </c>
      <c r="Q6048" s="29"/>
      <c r="R6048" s="31"/>
      <c r="S6048" s="31"/>
      <c r="T6048" s="95" t="str">
        <f t="shared" si="450"/>
        <v/>
      </c>
      <c r="U6048" s="32">
        <f t="shared" si="451"/>
        <v>0</v>
      </c>
      <c r="V6048" s="22" t="str">
        <f t="shared" si="452"/>
        <v/>
      </c>
      <c r="X6048" s="33"/>
      <c r="Y6048" s="33"/>
    </row>
    <row r="6049" spans="1:25" x14ac:dyDescent="0.2">
      <c r="A6049" s="93"/>
      <c r="B6049" s="94" t="str">
        <f>IFERROR(VLOOKUP($A6049,HeadJournal!$A$1:$NTR$890,COLUMN(HeadJournal!B$1),0),"")</f>
        <v/>
      </c>
      <c r="C6049" s="94" t="str">
        <f>IFERROR(VLOOKUP($A6049,HeadJournal!$A$1:$NTR$890,COLUMN(HeadJournal!C$1),0),"")</f>
        <v/>
      </c>
      <c r="D6049" s="125" t="str">
        <f>IFERROR(VLOOKUP($A6049,HeadJournal!$A$1:$NTR$890,COLUMN(HeadJournal!D$1),0),"")</f>
        <v/>
      </c>
      <c r="E6049" s="95" t="str">
        <f>IFERROR(VLOOKUP($A6049,HeadJournal!$A$1:$NTR$890,COLUMN(HeadJournal!G$1),0),"")</f>
        <v/>
      </c>
      <c r="F6049" s="95" t="str">
        <f t="shared" si="449"/>
        <v/>
      </c>
      <c r="G6049" s="97"/>
      <c r="H6049" s="161"/>
      <c r="I6049" s="97"/>
      <c r="J6049" s="97"/>
      <c r="K6049" s="29"/>
      <c r="L6049" s="29"/>
      <c r="M6049" s="30">
        <f>IFERROR(VLOOKUP($A6049,HeadJournal!$A$1:$J$890,COLUMN(HeadJournal!I$1),0)*($K6049+$L6049)/(SUMIF($A:$A,$A6049,$K:$K)+SUMIF($A:$A,$A6049,$L:$L)),0)</f>
        <v>0</v>
      </c>
      <c r="N6049" s="30">
        <f>IFERROR((VLOOKUP($A6049,HeadJournal!$A$1:$K$890,COLUMN(HeadJournal!K$1),0)-VLOOKUP($A6049,HeadJournal!$A$1:$K$890,COLUMN(HeadJournal!J$1),0))*($K6049+$L6049)/(SUMIF($A:$A,$A6049,$K:$K)+SUMIF($A:$A,$A6049,$L:$L)),0)</f>
        <v>0</v>
      </c>
      <c r="O6049" s="30">
        <f>IFERROR((VLOOKUP($A6049,HeadJournal!$A$1:$L$890,COLUMN(HeadJournal!L$1),0)*($K6049+$L6049)/(SUMIF($A:$A,$A6049,$K:$K)+SUMIF($A:$A,$A6049,$L:$L)))/VLOOKUP($A6049,HeadJournal!$A$1:$L$890,COLUMN(HeadJournal!H$1),0),0)</f>
        <v>0</v>
      </c>
      <c r="P6049" s="30">
        <f>IFERROR(SUM(K6049:O6049)*VLOOKUP($A6049,HeadJournal!$A$1:$L$890,COLUMN(HeadJournal!H$1),0),0)</f>
        <v>0</v>
      </c>
      <c r="Q6049" s="29"/>
      <c r="R6049" s="31"/>
      <c r="S6049" s="31"/>
      <c r="T6049" s="95" t="str">
        <f t="shared" si="450"/>
        <v/>
      </c>
      <c r="U6049" s="32">
        <f t="shared" si="451"/>
        <v>0</v>
      </c>
      <c r="V6049" s="22" t="str">
        <f t="shared" si="452"/>
        <v/>
      </c>
      <c r="X6049" s="33"/>
      <c r="Y6049" s="33"/>
    </row>
    <row r="6050" spans="1:25" x14ac:dyDescent="0.2">
      <c r="A6050" s="93"/>
      <c r="B6050" s="94" t="str">
        <f>IFERROR(VLOOKUP($A6050,HeadJournal!$A$1:$NTR$890,COLUMN(HeadJournal!B$1),0),"")</f>
        <v/>
      </c>
      <c r="C6050" s="94" t="str">
        <f>IFERROR(VLOOKUP($A6050,HeadJournal!$A$1:$NTR$890,COLUMN(HeadJournal!C$1),0),"")</f>
        <v/>
      </c>
      <c r="D6050" s="125" t="str">
        <f>IFERROR(VLOOKUP($A6050,HeadJournal!$A$1:$NTR$890,COLUMN(HeadJournal!D$1),0),"")</f>
        <v/>
      </c>
      <c r="E6050" s="95" t="str">
        <f>IFERROR(VLOOKUP($A6050,HeadJournal!$A$1:$NTR$890,COLUMN(HeadJournal!G$1),0),"")</f>
        <v/>
      </c>
      <c r="F6050" s="95" t="str">
        <f t="shared" si="449"/>
        <v/>
      </c>
      <c r="G6050" s="97"/>
      <c r="H6050" s="161"/>
      <c r="I6050" s="97"/>
      <c r="J6050" s="97"/>
      <c r="K6050" s="29"/>
      <c r="L6050" s="29"/>
      <c r="M6050" s="30">
        <f>IFERROR(VLOOKUP($A6050,HeadJournal!$A$1:$J$890,COLUMN(HeadJournal!I$1),0)*($K6050+$L6050)/(SUMIF($A:$A,$A6050,$K:$K)+SUMIF($A:$A,$A6050,$L:$L)),0)</f>
        <v>0</v>
      </c>
      <c r="N6050" s="30">
        <f>IFERROR((VLOOKUP($A6050,HeadJournal!$A$1:$K$890,COLUMN(HeadJournal!K$1),0)-VLOOKUP($A6050,HeadJournal!$A$1:$K$890,COLUMN(HeadJournal!J$1),0))*($K6050+$L6050)/(SUMIF($A:$A,$A6050,$K:$K)+SUMIF($A:$A,$A6050,$L:$L)),0)</f>
        <v>0</v>
      </c>
      <c r="O6050" s="30">
        <f>IFERROR((VLOOKUP($A6050,HeadJournal!$A$1:$L$890,COLUMN(HeadJournal!L$1),0)*($K6050+$L6050)/(SUMIF($A:$A,$A6050,$K:$K)+SUMIF($A:$A,$A6050,$L:$L)))/VLOOKUP($A6050,HeadJournal!$A$1:$L$890,COLUMN(HeadJournal!H$1),0),0)</f>
        <v>0</v>
      </c>
      <c r="P6050" s="30">
        <f>IFERROR(SUM(K6050:O6050)*VLOOKUP($A6050,HeadJournal!$A$1:$L$890,COLUMN(HeadJournal!H$1),0),0)</f>
        <v>0</v>
      </c>
      <c r="Q6050" s="29"/>
      <c r="R6050" s="31"/>
      <c r="S6050" s="31"/>
      <c r="T6050" s="95" t="str">
        <f t="shared" si="450"/>
        <v/>
      </c>
      <c r="U6050" s="32">
        <f t="shared" si="451"/>
        <v>0</v>
      </c>
      <c r="V6050" s="22" t="str">
        <f t="shared" si="452"/>
        <v/>
      </c>
      <c r="X6050" s="33"/>
      <c r="Y6050" s="33"/>
    </row>
    <row r="6051" spans="1:25" x14ac:dyDescent="0.2">
      <c r="A6051" s="93"/>
      <c r="B6051" s="94" t="str">
        <f>IFERROR(VLOOKUP($A6051,HeadJournal!$A$1:$NTR$890,COLUMN(HeadJournal!B$1),0),"")</f>
        <v/>
      </c>
      <c r="C6051" s="94" t="str">
        <f>IFERROR(VLOOKUP($A6051,HeadJournal!$A$1:$NTR$890,COLUMN(HeadJournal!C$1),0),"")</f>
        <v/>
      </c>
      <c r="D6051" s="125" t="str">
        <f>IFERROR(VLOOKUP($A6051,HeadJournal!$A$1:$NTR$890,COLUMN(HeadJournal!D$1),0),"")</f>
        <v/>
      </c>
      <c r="E6051" s="95" t="str">
        <f>IFERROR(VLOOKUP($A6051,HeadJournal!$A$1:$NTR$890,COLUMN(HeadJournal!G$1),0),"")</f>
        <v/>
      </c>
      <c r="F6051" s="95" t="str">
        <f t="shared" si="449"/>
        <v/>
      </c>
      <c r="G6051" s="97"/>
      <c r="H6051" s="161"/>
      <c r="I6051" s="97"/>
      <c r="J6051" s="97"/>
      <c r="K6051" s="29"/>
      <c r="L6051" s="29"/>
      <c r="M6051" s="30">
        <f>IFERROR(VLOOKUP($A6051,HeadJournal!$A$1:$J$890,COLUMN(HeadJournal!I$1),0)*($K6051+$L6051)/(SUMIF($A:$A,$A6051,$K:$K)+SUMIF($A:$A,$A6051,$L:$L)),0)</f>
        <v>0</v>
      </c>
      <c r="N6051" s="30">
        <f>IFERROR((VLOOKUP($A6051,HeadJournal!$A$1:$K$890,COLUMN(HeadJournal!K$1),0)-VLOOKUP($A6051,HeadJournal!$A$1:$K$890,COLUMN(HeadJournal!J$1),0))*($K6051+$L6051)/(SUMIF($A:$A,$A6051,$K:$K)+SUMIF($A:$A,$A6051,$L:$L)),0)</f>
        <v>0</v>
      </c>
      <c r="O6051" s="30">
        <f>IFERROR((VLOOKUP($A6051,HeadJournal!$A$1:$L$890,COLUMN(HeadJournal!L$1),0)*($K6051+$L6051)/(SUMIF($A:$A,$A6051,$K:$K)+SUMIF($A:$A,$A6051,$L:$L)))/VLOOKUP($A6051,HeadJournal!$A$1:$L$890,COLUMN(HeadJournal!H$1),0),0)</f>
        <v>0</v>
      </c>
      <c r="P6051" s="30">
        <f>IFERROR(SUM(K6051:O6051)*VLOOKUP($A6051,HeadJournal!$A$1:$L$890,COLUMN(HeadJournal!H$1),0),0)</f>
        <v>0</v>
      </c>
      <c r="Q6051" s="29"/>
      <c r="R6051" s="31"/>
      <c r="S6051" s="31"/>
      <c r="T6051" s="95" t="str">
        <f t="shared" si="450"/>
        <v/>
      </c>
      <c r="U6051" s="32">
        <f t="shared" si="451"/>
        <v>0</v>
      </c>
      <c r="V6051" s="22" t="str">
        <f t="shared" si="452"/>
        <v/>
      </c>
      <c r="X6051" s="33"/>
      <c r="Y6051" s="33"/>
    </row>
    <row r="6052" spans="1:25" x14ac:dyDescent="0.2">
      <c r="A6052" s="93"/>
      <c r="B6052" s="94" t="str">
        <f>IFERROR(VLOOKUP($A6052,HeadJournal!$A$1:$NTR$890,COLUMN(HeadJournal!B$1),0),"")</f>
        <v/>
      </c>
      <c r="C6052" s="94" t="str">
        <f>IFERROR(VLOOKUP($A6052,HeadJournal!$A$1:$NTR$890,COLUMN(HeadJournal!C$1),0),"")</f>
        <v/>
      </c>
      <c r="D6052" s="125" t="str">
        <f>IFERROR(VLOOKUP($A6052,HeadJournal!$A$1:$NTR$890,COLUMN(HeadJournal!D$1),0),"")</f>
        <v/>
      </c>
      <c r="E6052" s="95" t="str">
        <f>IFERROR(VLOOKUP($A6052,HeadJournal!$A$1:$NTR$890,COLUMN(HeadJournal!G$1),0),"")</f>
        <v/>
      </c>
      <c r="F6052" s="95" t="str">
        <f t="shared" si="449"/>
        <v/>
      </c>
      <c r="G6052" s="97"/>
      <c r="H6052" s="161"/>
      <c r="I6052" s="97"/>
      <c r="J6052" s="97"/>
      <c r="K6052" s="29"/>
      <c r="L6052" s="29"/>
      <c r="M6052" s="30">
        <f>IFERROR(VLOOKUP($A6052,HeadJournal!$A$1:$J$890,COLUMN(HeadJournal!I$1),0)*($K6052+$L6052)/(SUMIF($A:$A,$A6052,$K:$K)+SUMIF($A:$A,$A6052,$L:$L)),0)</f>
        <v>0</v>
      </c>
      <c r="N6052" s="30">
        <f>IFERROR((VLOOKUP($A6052,HeadJournal!$A$1:$K$890,COLUMN(HeadJournal!K$1),0)-VLOOKUP($A6052,HeadJournal!$A$1:$K$890,COLUMN(HeadJournal!J$1),0))*($K6052+$L6052)/(SUMIF($A:$A,$A6052,$K:$K)+SUMIF($A:$A,$A6052,$L:$L)),0)</f>
        <v>0</v>
      </c>
      <c r="O6052" s="30">
        <f>IFERROR((VLOOKUP($A6052,HeadJournal!$A$1:$L$890,COLUMN(HeadJournal!L$1),0)*($K6052+$L6052)/(SUMIF($A:$A,$A6052,$K:$K)+SUMIF($A:$A,$A6052,$L:$L)))/VLOOKUP($A6052,HeadJournal!$A$1:$L$890,COLUMN(HeadJournal!H$1),0),0)</f>
        <v>0</v>
      </c>
      <c r="P6052" s="30">
        <f>IFERROR(SUM(K6052:O6052)*VLOOKUP($A6052,HeadJournal!$A$1:$L$890,COLUMN(HeadJournal!H$1),0),0)</f>
        <v>0</v>
      </c>
      <c r="Q6052" s="29"/>
      <c r="R6052" s="31"/>
      <c r="S6052" s="31"/>
      <c r="T6052" s="95" t="str">
        <f t="shared" si="450"/>
        <v/>
      </c>
      <c r="U6052" s="32">
        <f t="shared" si="451"/>
        <v>0</v>
      </c>
      <c r="V6052" s="22" t="str">
        <f t="shared" si="452"/>
        <v/>
      </c>
      <c r="X6052" s="33"/>
      <c r="Y6052" s="33"/>
    </row>
    <row r="6053" spans="1:25" x14ac:dyDescent="0.2">
      <c r="A6053" s="93"/>
      <c r="B6053" s="94" t="str">
        <f>IFERROR(VLOOKUP($A6053,HeadJournal!$A$1:$NTR$890,COLUMN(HeadJournal!B$1),0),"")</f>
        <v/>
      </c>
      <c r="C6053" s="94" t="str">
        <f>IFERROR(VLOOKUP($A6053,HeadJournal!$A$1:$NTR$890,COLUMN(HeadJournal!C$1),0),"")</f>
        <v/>
      </c>
      <c r="D6053" s="125" t="str">
        <f>IFERROR(VLOOKUP($A6053,HeadJournal!$A$1:$NTR$890,COLUMN(HeadJournal!D$1),0),"")</f>
        <v/>
      </c>
      <c r="E6053" s="95" t="str">
        <f>IFERROR(VLOOKUP($A6053,HeadJournal!$A$1:$NTR$890,COLUMN(HeadJournal!G$1),0),"")</f>
        <v/>
      </c>
      <c r="F6053" s="95" t="str">
        <f t="shared" si="449"/>
        <v/>
      </c>
      <c r="G6053" s="97"/>
      <c r="H6053" s="161"/>
      <c r="I6053" s="97"/>
      <c r="J6053" s="97"/>
      <c r="K6053" s="29"/>
      <c r="L6053" s="29"/>
      <c r="M6053" s="30">
        <f>IFERROR(VLOOKUP($A6053,HeadJournal!$A$1:$J$890,COLUMN(HeadJournal!I$1),0)*($K6053+$L6053)/(SUMIF($A:$A,$A6053,$K:$K)+SUMIF($A:$A,$A6053,$L:$L)),0)</f>
        <v>0</v>
      </c>
      <c r="N6053" s="30">
        <f>IFERROR((VLOOKUP($A6053,HeadJournal!$A$1:$K$890,COLUMN(HeadJournal!K$1),0)-VLOOKUP($A6053,HeadJournal!$A$1:$K$890,COLUMN(HeadJournal!J$1),0))*($K6053+$L6053)/(SUMIF($A:$A,$A6053,$K:$K)+SUMIF($A:$A,$A6053,$L:$L)),0)</f>
        <v>0</v>
      </c>
      <c r="O6053" s="30">
        <f>IFERROR((VLOOKUP($A6053,HeadJournal!$A$1:$L$890,COLUMN(HeadJournal!L$1),0)*($K6053+$L6053)/(SUMIF($A:$A,$A6053,$K:$K)+SUMIF($A:$A,$A6053,$L:$L)))/VLOOKUP($A6053,HeadJournal!$A$1:$L$890,COLUMN(HeadJournal!H$1),0),0)</f>
        <v>0</v>
      </c>
      <c r="P6053" s="30">
        <f>IFERROR(SUM(K6053:O6053)*VLOOKUP($A6053,HeadJournal!$A$1:$L$890,COLUMN(HeadJournal!H$1),0),0)</f>
        <v>0</v>
      </c>
      <c r="Q6053" s="29"/>
      <c r="R6053" s="31"/>
      <c r="S6053" s="31"/>
      <c r="T6053" s="95" t="str">
        <f t="shared" si="450"/>
        <v/>
      </c>
      <c r="U6053" s="32">
        <f t="shared" si="451"/>
        <v>0</v>
      </c>
      <c r="V6053" s="22" t="str">
        <f t="shared" si="452"/>
        <v/>
      </c>
      <c r="X6053" s="33"/>
      <c r="Y6053" s="33"/>
    </row>
    <row r="6054" spans="1:25" x14ac:dyDescent="0.2">
      <c r="A6054" s="93"/>
      <c r="B6054" s="94" t="str">
        <f>IFERROR(VLOOKUP($A6054,HeadJournal!$A$1:$NTR$890,COLUMN(HeadJournal!B$1),0),"")</f>
        <v/>
      </c>
      <c r="C6054" s="94" t="str">
        <f>IFERROR(VLOOKUP($A6054,HeadJournal!$A$1:$NTR$890,COLUMN(HeadJournal!C$1),0),"")</f>
        <v/>
      </c>
      <c r="D6054" s="125" t="str">
        <f>IFERROR(VLOOKUP($A6054,HeadJournal!$A$1:$NTR$890,COLUMN(HeadJournal!D$1),0),"")</f>
        <v/>
      </c>
      <c r="E6054" s="95" t="str">
        <f>IFERROR(VLOOKUP($A6054,HeadJournal!$A$1:$NTR$890,COLUMN(HeadJournal!G$1),0),"")</f>
        <v/>
      </c>
      <c r="F6054" s="95" t="str">
        <f t="shared" si="449"/>
        <v/>
      </c>
      <c r="G6054" s="97"/>
      <c r="H6054" s="161"/>
      <c r="I6054" s="97"/>
      <c r="J6054" s="97"/>
      <c r="K6054" s="29"/>
      <c r="L6054" s="29"/>
      <c r="M6054" s="30">
        <f>IFERROR(VLOOKUP($A6054,HeadJournal!$A$1:$J$890,COLUMN(HeadJournal!I$1),0)*($K6054+$L6054)/(SUMIF($A:$A,$A6054,$K:$K)+SUMIF($A:$A,$A6054,$L:$L)),0)</f>
        <v>0</v>
      </c>
      <c r="N6054" s="30">
        <f>IFERROR((VLOOKUP($A6054,HeadJournal!$A$1:$K$890,COLUMN(HeadJournal!K$1),0)-VLOOKUP($A6054,HeadJournal!$A$1:$K$890,COLUMN(HeadJournal!J$1),0))*($K6054+$L6054)/(SUMIF($A:$A,$A6054,$K:$K)+SUMIF($A:$A,$A6054,$L:$L)),0)</f>
        <v>0</v>
      </c>
      <c r="O6054" s="30">
        <f>IFERROR((VLOOKUP($A6054,HeadJournal!$A$1:$L$890,COLUMN(HeadJournal!L$1),0)*($K6054+$L6054)/(SUMIF($A:$A,$A6054,$K:$K)+SUMIF($A:$A,$A6054,$L:$L)))/VLOOKUP($A6054,HeadJournal!$A$1:$L$890,COLUMN(HeadJournal!H$1),0),0)</f>
        <v>0</v>
      </c>
      <c r="P6054" s="30">
        <f>IFERROR(SUM(K6054:O6054)*VLOOKUP($A6054,HeadJournal!$A$1:$L$890,COLUMN(HeadJournal!H$1),0),0)</f>
        <v>0</v>
      </c>
      <c r="Q6054" s="29"/>
      <c r="R6054" s="31"/>
      <c r="S6054" s="31"/>
      <c r="T6054" s="95" t="str">
        <f t="shared" si="450"/>
        <v/>
      </c>
      <c r="U6054" s="32">
        <f t="shared" si="451"/>
        <v>0</v>
      </c>
      <c r="V6054" s="22" t="str">
        <f t="shared" si="452"/>
        <v/>
      </c>
      <c r="X6054" s="33"/>
      <c r="Y6054" s="33"/>
    </row>
    <row r="6055" spans="1:25" x14ac:dyDescent="0.2">
      <c r="A6055" s="93"/>
      <c r="B6055" s="94" t="str">
        <f>IFERROR(VLOOKUP($A6055,HeadJournal!$A$1:$NTR$890,COLUMN(HeadJournal!B$1),0),"")</f>
        <v/>
      </c>
      <c r="C6055" s="94" t="str">
        <f>IFERROR(VLOOKUP($A6055,HeadJournal!$A$1:$NTR$890,COLUMN(HeadJournal!C$1),0),"")</f>
        <v/>
      </c>
      <c r="D6055" s="125" t="str">
        <f>IFERROR(VLOOKUP($A6055,HeadJournal!$A$1:$NTR$890,COLUMN(HeadJournal!D$1),0),"")</f>
        <v/>
      </c>
      <c r="E6055" s="95" t="str">
        <f>IFERROR(VLOOKUP($A6055,HeadJournal!$A$1:$NTR$890,COLUMN(HeadJournal!G$1),0),"")</f>
        <v/>
      </c>
      <c r="F6055" s="95" t="str">
        <f t="shared" si="449"/>
        <v/>
      </c>
      <c r="G6055" s="97"/>
      <c r="H6055" s="161"/>
      <c r="I6055" s="97"/>
      <c r="J6055" s="97"/>
      <c r="K6055" s="29"/>
      <c r="L6055" s="29"/>
      <c r="M6055" s="30">
        <f>IFERROR(VLOOKUP($A6055,HeadJournal!$A$1:$J$890,COLUMN(HeadJournal!I$1),0)*($K6055+$L6055)/(SUMIF($A:$A,$A6055,$K:$K)+SUMIF($A:$A,$A6055,$L:$L)),0)</f>
        <v>0</v>
      </c>
      <c r="N6055" s="30">
        <f>IFERROR((VLOOKUP($A6055,HeadJournal!$A$1:$K$890,COLUMN(HeadJournal!K$1),0)-VLOOKUP($A6055,HeadJournal!$A$1:$K$890,COLUMN(HeadJournal!J$1),0))*($K6055+$L6055)/(SUMIF($A:$A,$A6055,$K:$K)+SUMIF($A:$A,$A6055,$L:$L)),0)</f>
        <v>0</v>
      </c>
      <c r="O6055" s="30">
        <f>IFERROR((VLOOKUP($A6055,HeadJournal!$A$1:$L$890,COLUMN(HeadJournal!L$1),0)*($K6055+$L6055)/(SUMIF($A:$A,$A6055,$K:$K)+SUMIF($A:$A,$A6055,$L:$L)))/VLOOKUP($A6055,HeadJournal!$A$1:$L$890,COLUMN(HeadJournal!H$1),0),0)</f>
        <v>0</v>
      </c>
      <c r="P6055" s="30">
        <f>IFERROR(SUM(K6055:O6055)*VLOOKUP($A6055,HeadJournal!$A$1:$L$890,COLUMN(HeadJournal!H$1),0),0)</f>
        <v>0</v>
      </c>
      <c r="Q6055" s="29"/>
      <c r="R6055" s="31"/>
      <c r="S6055" s="31"/>
      <c r="T6055" s="95" t="str">
        <f t="shared" si="450"/>
        <v/>
      </c>
      <c r="U6055" s="32">
        <f t="shared" si="451"/>
        <v>0</v>
      </c>
      <c r="V6055" s="22" t="str">
        <f t="shared" si="452"/>
        <v/>
      </c>
      <c r="X6055" s="33"/>
      <c r="Y6055" s="33"/>
    </row>
    <row r="6056" spans="1:25" x14ac:dyDescent="0.2">
      <c r="A6056" s="93"/>
      <c r="B6056" s="94" t="str">
        <f>IFERROR(VLOOKUP($A6056,HeadJournal!$A$1:$NTR$890,COLUMN(HeadJournal!B$1),0),"")</f>
        <v/>
      </c>
      <c r="C6056" s="94" t="str">
        <f>IFERROR(VLOOKUP($A6056,HeadJournal!$A$1:$NTR$890,COLUMN(HeadJournal!C$1),0),"")</f>
        <v/>
      </c>
      <c r="D6056" s="125" t="str">
        <f>IFERROR(VLOOKUP($A6056,HeadJournal!$A$1:$NTR$890,COLUMN(HeadJournal!D$1),0),"")</f>
        <v/>
      </c>
      <c r="E6056" s="95" t="str">
        <f>IFERROR(VLOOKUP($A6056,HeadJournal!$A$1:$NTR$890,COLUMN(HeadJournal!G$1),0),"")</f>
        <v/>
      </c>
      <c r="F6056" s="95" t="str">
        <f t="shared" si="449"/>
        <v/>
      </c>
      <c r="G6056" s="97"/>
      <c r="H6056" s="161"/>
      <c r="I6056" s="97"/>
      <c r="J6056" s="97"/>
      <c r="K6056" s="29"/>
      <c r="L6056" s="29"/>
      <c r="M6056" s="30">
        <f>IFERROR(VLOOKUP($A6056,HeadJournal!$A$1:$J$890,COLUMN(HeadJournal!I$1),0)*($K6056+$L6056)/(SUMIF($A:$A,$A6056,$K:$K)+SUMIF($A:$A,$A6056,$L:$L)),0)</f>
        <v>0</v>
      </c>
      <c r="N6056" s="30">
        <f>IFERROR((VLOOKUP($A6056,HeadJournal!$A$1:$K$890,COLUMN(HeadJournal!K$1),0)-VLOOKUP($A6056,HeadJournal!$A$1:$K$890,COLUMN(HeadJournal!J$1),0))*($K6056+$L6056)/(SUMIF($A:$A,$A6056,$K:$K)+SUMIF($A:$A,$A6056,$L:$L)),0)</f>
        <v>0</v>
      </c>
      <c r="O6056" s="30">
        <f>IFERROR((VLOOKUP($A6056,HeadJournal!$A$1:$L$890,COLUMN(HeadJournal!L$1),0)*($K6056+$L6056)/(SUMIF($A:$A,$A6056,$K:$K)+SUMIF($A:$A,$A6056,$L:$L)))/VLOOKUP($A6056,HeadJournal!$A$1:$L$890,COLUMN(HeadJournal!H$1),0),0)</f>
        <v>0</v>
      </c>
      <c r="P6056" s="30">
        <f>IFERROR(SUM(K6056:O6056)*VLOOKUP($A6056,HeadJournal!$A$1:$L$890,COLUMN(HeadJournal!H$1),0),0)</f>
        <v>0</v>
      </c>
      <c r="Q6056" s="29"/>
      <c r="R6056" s="31"/>
      <c r="S6056" s="31"/>
      <c r="T6056" s="95" t="str">
        <f t="shared" si="450"/>
        <v/>
      </c>
      <c r="U6056" s="32">
        <f t="shared" si="451"/>
        <v>0</v>
      </c>
      <c r="V6056" s="22" t="str">
        <f t="shared" si="452"/>
        <v/>
      </c>
      <c r="X6056" s="33"/>
      <c r="Y6056" s="33"/>
    </row>
    <row r="6057" spans="1:25" x14ac:dyDescent="0.2">
      <c r="A6057" s="93"/>
      <c r="B6057" s="94" t="str">
        <f>IFERROR(VLOOKUP($A6057,HeadJournal!$A$1:$NTR$890,COLUMN(HeadJournal!B$1),0),"")</f>
        <v/>
      </c>
      <c r="C6057" s="94" t="str">
        <f>IFERROR(VLOOKUP($A6057,HeadJournal!$A$1:$NTR$890,COLUMN(HeadJournal!C$1),0),"")</f>
        <v/>
      </c>
      <c r="D6057" s="125" t="str">
        <f>IFERROR(VLOOKUP($A6057,HeadJournal!$A$1:$NTR$890,COLUMN(HeadJournal!D$1),0),"")</f>
        <v/>
      </c>
      <c r="E6057" s="95" t="str">
        <f>IFERROR(VLOOKUP($A6057,HeadJournal!$A$1:$NTR$890,COLUMN(HeadJournal!G$1),0),"")</f>
        <v/>
      </c>
      <c r="F6057" s="95" t="str">
        <f t="shared" si="449"/>
        <v/>
      </c>
      <c r="G6057" s="97"/>
      <c r="H6057" s="161"/>
      <c r="I6057" s="97"/>
      <c r="J6057" s="97"/>
      <c r="K6057" s="29"/>
      <c r="L6057" s="29"/>
      <c r="M6057" s="30">
        <f>IFERROR(VLOOKUP($A6057,HeadJournal!$A$1:$J$890,COLUMN(HeadJournal!I$1),0)*($K6057+$L6057)/(SUMIF($A:$A,$A6057,$K:$K)+SUMIF($A:$A,$A6057,$L:$L)),0)</f>
        <v>0</v>
      </c>
      <c r="N6057" s="30">
        <f>IFERROR((VLOOKUP($A6057,HeadJournal!$A$1:$K$890,COLUMN(HeadJournal!K$1),0)-VLOOKUP($A6057,HeadJournal!$A$1:$K$890,COLUMN(HeadJournal!J$1),0))*($K6057+$L6057)/(SUMIF($A:$A,$A6057,$K:$K)+SUMIF($A:$A,$A6057,$L:$L)),0)</f>
        <v>0</v>
      </c>
      <c r="O6057" s="30">
        <f>IFERROR((VLOOKUP($A6057,HeadJournal!$A$1:$L$890,COLUMN(HeadJournal!L$1),0)*($K6057+$L6057)/(SUMIF($A:$A,$A6057,$K:$K)+SUMIF($A:$A,$A6057,$L:$L)))/VLOOKUP($A6057,HeadJournal!$A$1:$L$890,COLUMN(HeadJournal!H$1),0),0)</f>
        <v>0</v>
      </c>
      <c r="P6057" s="30">
        <f>IFERROR(SUM(K6057:O6057)*VLOOKUP($A6057,HeadJournal!$A$1:$L$890,COLUMN(HeadJournal!H$1),0),0)</f>
        <v>0</v>
      </c>
      <c r="Q6057" s="29"/>
      <c r="R6057" s="31"/>
      <c r="S6057" s="31"/>
      <c r="T6057" s="95" t="str">
        <f t="shared" si="450"/>
        <v/>
      </c>
      <c r="U6057" s="32">
        <f t="shared" si="451"/>
        <v>0</v>
      </c>
      <c r="V6057" s="22" t="str">
        <f t="shared" si="452"/>
        <v/>
      </c>
      <c r="X6057" s="33"/>
      <c r="Y6057" s="33"/>
    </row>
    <row r="6058" spans="1:25" x14ac:dyDescent="0.2">
      <c r="A6058" s="93"/>
      <c r="B6058" s="94" t="str">
        <f>IFERROR(VLOOKUP($A6058,HeadJournal!$A$1:$NTR$890,COLUMN(HeadJournal!B$1),0),"")</f>
        <v/>
      </c>
      <c r="C6058" s="94" t="str">
        <f>IFERROR(VLOOKUP($A6058,HeadJournal!$A$1:$NTR$890,COLUMN(HeadJournal!C$1),0),"")</f>
        <v/>
      </c>
      <c r="D6058" s="125" t="str">
        <f>IFERROR(VLOOKUP($A6058,HeadJournal!$A$1:$NTR$890,COLUMN(HeadJournal!D$1),0),"")</f>
        <v/>
      </c>
      <c r="E6058" s="95" t="str">
        <f>IFERROR(VLOOKUP($A6058,HeadJournal!$A$1:$NTR$890,COLUMN(HeadJournal!G$1),0),"")</f>
        <v/>
      </c>
      <c r="F6058" s="95" t="str">
        <f t="shared" si="449"/>
        <v/>
      </c>
      <c r="G6058" s="97"/>
      <c r="H6058" s="161"/>
      <c r="I6058" s="97"/>
      <c r="J6058" s="97"/>
      <c r="K6058" s="29"/>
      <c r="L6058" s="29"/>
      <c r="M6058" s="30">
        <f>IFERROR(VLOOKUP($A6058,HeadJournal!$A$1:$J$890,COLUMN(HeadJournal!I$1),0)*($K6058+$L6058)/(SUMIF($A:$A,$A6058,$K:$K)+SUMIF($A:$A,$A6058,$L:$L)),0)</f>
        <v>0</v>
      </c>
      <c r="N6058" s="30">
        <f>IFERROR((VLOOKUP($A6058,HeadJournal!$A$1:$K$890,COLUMN(HeadJournal!K$1),0)-VLOOKUP($A6058,HeadJournal!$A$1:$K$890,COLUMN(HeadJournal!J$1),0))*($K6058+$L6058)/(SUMIF($A:$A,$A6058,$K:$K)+SUMIF($A:$A,$A6058,$L:$L)),0)</f>
        <v>0</v>
      </c>
      <c r="O6058" s="30">
        <f>IFERROR((VLOOKUP($A6058,HeadJournal!$A$1:$L$890,COLUMN(HeadJournal!L$1),0)*($K6058+$L6058)/(SUMIF($A:$A,$A6058,$K:$K)+SUMIF($A:$A,$A6058,$L:$L)))/VLOOKUP($A6058,HeadJournal!$A$1:$L$890,COLUMN(HeadJournal!H$1),0),0)</f>
        <v>0</v>
      </c>
      <c r="P6058" s="30">
        <f>IFERROR(SUM(K6058:O6058)*VLOOKUP($A6058,HeadJournal!$A$1:$L$890,COLUMN(HeadJournal!H$1),0),0)</f>
        <v>0</v>
      </c>
      <c r="Q6058" s="29"/>
      <c r="R6058" s="31"/>
      <c r="S6058" s="31"/>
      <c r="T6058" s="95" t="str">
        <f t="shared" si="450"/>
        <v/>
      </c>
      <c r="U6058" s="32">
        <f t="shared" si="451"/>
        <v>0</v>
      </c>
      <c r="V6058" s="22" t="str">
        <f t="shared" si="452"/>
        <v/>
      </c>
      <c r="X6058" s="33"/>
      <c r="Y6058" s="33"/>
    </row>
    <row r="6059" spans="1:25" x14ac:dyDescent="0.2">
      <c r="A6059" s="93"/>
      <c r="B6059" s="94" t="str">
        <f>IFERROR(VLOOKUP($A6059,HeadJournal!$A$1:$NTR$890,COLUMN(HeadJournal!B$1),0),"")</f>
        <v/>
      </c>
      <c r="C6059" s="94" t="str">
        <f>IFERROR(VLOOKUP($A6059,HeadJournal!$A$1:$NTR$890,COLUMN(HeadJournal!C$1),0),"")</f>
        <v/>
      </c>
      <c r="D6059" s="125" t="str">
        <f>IFERROR(VLOOKUP($A6059,HeadJournal!$A$1:$NTR$890,COLUMN(HeadJournal!D$1),0),"")</f>
        <v/>
      </c>
      <c r="E6059" s="95" t="str">
        <f>IFERROR(VLOOKUP($A6059,HeadJournal!$A$1:$NTR$890,COLUMN(HeadJournal!G$1),0),"")</f>
        <v/>
      </c>
      <c r="F6059" s="95" t="str">
        <f t="shared" si="449"/>
        <v/>
      </c>
      <c r="G6059" s="97"/>
      <c r="H6059" s="161"/>
      <c r="I6059" s="97"/>
      <c r="J6059" s="97"/>
      <c r="K6059" s="29"/>
      <c r="L6059" s="29"/>
      <c r="M6059" s="30">
        <f>IFERROR(VLOOKUP($A6059,HeadJournal!$A$1:$J$890,COLUMN(HeadJournal!I$1),0)*($K6059+$L6059)/(SUMIF($A:$A,$A6059,$K:$K)+SUMIF($A:$A,$A6059,$L:$L)),0)</f>
        <v>0</v>
      </c>
      <c r="N6059" s="30">
        <f>IFERROR((VLOOKUP($A6059,HeadJournal!$A$1:$K$890,COLUMN(HeadJournal!K$1),0)-VLOOKUP($A6059,HeadJournal!$A$1:$K$890,COLUMN(HeadJournal!J$1),0))*($K6059+$L6059)/(SUMIF($A:$A,$A6059,$K:$K)+SUMIF($A:$A,$A6059,$L:$L)),0)</f>
        <v>0</v>
      </c>
      <c r="O6059" s="30">
        <f>IFERROR((VLOOKUP($A6059,HeadJournal!$A$1:$L$890,COLUMN(HeadJournal!L$1),0)*($K6059+$L6059)/(SUMIF($A:$A,$A6059,$K:$K)+SUMIF($A:$A,$A6059,$L:$L)))/VLOOKUP($A6059,HeadJournal!$A$1:$L$890,COLUMN(HeadJournal!H$1),0),0)</f>
        <v>0</v>
      </c>
      <c r="P6059" s="30">
        <f>IFERROR(SUM(K6059:O6059)*VLOOKUP($A6059,HeadJournal!$A$1:$L$890,COLUMN(HeadJournal!H$1),0),0)</f>
        <v>0</v>
      </c>
      <c r="Q6059" s="29"/>
      <c r="R6059" s="31"/>
      <c r="S6059" s="31"/>
      <c r="T6059" s="95" t="str">
        <f t="shared" si="450"/>
        <v/>
      </c>
      <c r="U6059" s="32">
        <f t="shared" si="451"/>
        <v>0</v>
      </c>
      <c r="V6059" s="22" t="str">
        <f t="shared" si="452"/>
        <v/>
      </c>
      <c r="X6059" s="33"/>
      <c r="Y6059" s="33"/>
    </row>
    <row r="6060" spans="1:25" x14ac:dyDescent="0.2">
      <c r="A6060" s="93"/>
      <c r="B6060" s="94" t="str">
        <f>IFERROR(VLOOKUP($A6060,HeadJournal!$A$1:$NTR$890,COLUMN(HeadJournal!B$1),0),"")</f>
        <v/>
      </c>
      <c r="C6060" s="94" t="str">
        <f>IFERROR(VLOOKUP($A6060,HeadJournal!$A$1:$NTR$890,COLUMN(HeadJournal!C$1),0),"")</f>
        <v/>
      </c>
      <c r="D6060" s="125" t="str">
        <f>IFERROR(VLOOKUP($A6060,HeadJournal!$A$1:$NTR$890,COLUMN(HeadJournal!D$1),0),"")</f>
        <v/>
      </c>
      <c r="E6060" s="95" t="str">
        <f>IFERROR(VLOOKUP($A6060,HeadJournal!$A$1:$NTR$890,COLUMN(HeadJournal!G$1),0),"")</f>
        <v/>
      </c>
      <c r="F6060" s="95" t="str">
        <f t="shared" si="449"/>
        <v/>
      </c>
      <c r="G6060" s="97"/>
      <c r="H6060" s="161"/>
      <c r="I6060" s="97"/>
      <c r="J6060" s="97"/>
      <c r="K6060" s="29"/>
      <c r="L6060" s="29"/>
      <c r="M6060" s="30">
        <f>IFERROR(VLOOKUP($A6060,HeadJournal!$A$1:$J$890,COLUMN(HeadJournal!I$1),0)*($K6060+$L6060)/(SUMIF($A:$A,$A6060,$K:$K)+SUMIF($A:$A,$A6060,$L:$L)),0)</f>
        <v>0</v>
      </c>
      <c r="N6060" s="30">
        <f>IFERROR((VLOOKUP($A6060,HeadJournal!$A$1:$K$890,COLUMN(HeadJournal!K$1),0)-VLOOKUP($A6060,HeadJournal!$A$1:$K$890,COLUMN(HeadJournal!J$1),0))*($K6060+$L6060)/(SUMIF($A:$A,$A6060,$K:$K)+SUMIF($A:$A,$A6060,$L:$L)),0)</f>
        <v>0</v>
      </c>
      <c r="O6060" s="30">
        <f>IFERROR((VLOOKUP($A6060,HeadJournal!$A$1:$L$890,COLUMN(HeadJournal!L$1),0)*($K6060+$L6060)/(SUMIF($A:$A,$A6060,$K:$K)+SUMIF($A:$A,$A6060,$L:$L)))/VLOOKUP($A6060,HeadJournal!$A$1:$L$890,COLUMN(HeadJournal!H$1),0),0)</f>
        <v>0</v>
      </c>
      <c r="P6060" s="30">
        <f>IFERROR(SUM(K6060:O6060)*VLOOKUP($A6060,HeadJournal!$A$1:$L$890,COLUMN(HeadJournal!H$1),0),0)</f>
        <v>0</v>
      </c>
      <c r="Q6060" s="29"/>
      <c r="R6060" s="31"/>
      <c r="S6060" s="31"/>
      <c r="T6060" s="95" t="str">
        <f t="shared" si="450"/>
        <v/>
      </c>
      <c r="U6060" s="32">
        <f t="shared" si="451"/>
        <v>0</v>
      </c>
      <c r="V6060" s="22" t="str">
        <f t="shared" si="452"/>
        <v/>
      </c>
      <c r="X6060" s="33"/>
      <c r="Y6060" s="33"/>
    </row>
    <row r="6061" spans="1:25" x14ac:dyDescent="0.2">
      <c r="A6061" s="93"/>
      <c r="B6061" s="94" t="str">
        <f>IFERROR(VLOOKUP($A6061,HeadJournal!$A$1:$NTR$890,COLUMN(HeadJournal!B$1),0),"")</f>
        <v/>
      </c>
      <c r="C6061" s="94" t="str">
        <f>IFERROR(VLOOKUP($A6061,HeadJournal!$A$1:$NTR$890,COLUMN(HeadJournal!C$1),0),"")</f>
        <v/>
      </c>
      <c r="D6061" s="125" t="str">
        <f>IFERROR(VLOOKUP($A6061,HeadJournal!$A$1:$NTR$890,COLUMN(HeadJournal!D$1),0),"")</f>
        <v/>
      </c>
      <c r="E6061" s="95" t="str">
        <f>IFERROR(VLOOKUP($A6061,HeadJournal!$A$1:$NTR$890,COLUMN(HeadJournal!G$1),0),"")</f>
        <v/>
      </c>
      <c r="F6061" s="95" t="str">
        <f t="shared" si="449"/>
        <v/>
      </c>
      <c r="G6061" s="97"/>
      <c r="H6061" s="161"/>
      <c r="I6061" s="97"/>
      <c r="J6061" s="97"/>
      <c r="K6061" s="29"/>
      <c r="L6061" s="29"/>
      <c r="M6061" s="30">
        <f>IFERROR(VLOOKUP($A6061,HeadJournal!$A$1:$J$890,COLUMN(HeadJournal!I$1),0)*($K6061+$L6061)/(SUMIF($A:$A,$A6061,$K:$K)+SUMIF($A:$A,$A6061,$L:$L)),0)</f>
        <v>0</v>
      </c>
      <c r="N6061" s="30">
        <f>IFERROR((VLOOKUP($A6061,HeadJournal!$A$1:$K$890,COLUMN(HeadJournal!K$1),0)-VLOOKUP($A6061,HeadJournal!$A$1:$K$890,COLUMN(HeadJournal!J$1),0))*($K6061+$L6061)/(SUMIF($A:$A,$A6061,$K:$K)+SUMIF($A:$A,$A6061,$L:$L)),0)</f>
        <v>0</v>
      </c>
      <c r="O6061" s="30">
        <f>IFERROR((VLOOKUP($A6061,HeadJournal!$A$1:$L$890,COLUMN(HeadJournal!L$1),0)*($K6061+$L6061)/(SUMIF($A:$A,$A6061,$K:$K)+SUMIF($A:$A,$A6061,$L:$L)))/VLOOKUP($A6061,HeadJournal!$A$1:$L$890,COLUMN(HeadJournal!H$1),0),0)</f>
        <v>0</v>
      </c>
      <c r="P6061" s="30">
        <f>IFERROR(SUM(K6061:O6061)*VLOOKUP($A6061,HeadJournal!$A$1:$L$890,COLUMN(HeadJournal!H$1),0),0)</f>
        <v>0</v>
      </c>
      <c r="Q6061" s="29"/>
      <c r="R6061" s="31"/>
      <c r="S6061" s="31"/>
      <c r="T6061" s="95" t="str">
        <f t="shared" si="450"/>
        <v/>
      </c>
      <c r="U6061" s="32">
        <f t="shared" si="451"/>
        <v>0</v>
      </c>
      <c r="V6061" s="22" t="str">
        <f t="shared" si="452"/>
        <v/>
      </c>
      <c r="X6061" s="33"/>
      <c r="Y6061" s="33"/>
    </row>
    <row r="6062" spans="1:25" x14ac:dyDescent="0.2">
      <c r="A6062" s="93"/>
      <c r="B6062" s="94" t="str">
        <f>IFERROR(VLOOKUP($A6062,HeadJournal!$A$1:$NTR$890,COLUMN(HeadJournal!B$1),0),"")</f>
        <v/>
      </c>
      <c r="C6062" s="94" t="str">
        <f>IFERROR(VLOOKUP($A6062,HeadJournal!$A$1:$NTR$890,COLUMN(HeadJournal!C$1),0),"")</f>
        <v/>
      </c>
      <c r="D6062" s="125" t="str">
        <f>IFERROR(VLOOKUP($A6062,HeadJournal!$A$1:$NTR$890,COLUMN(HeadJournal!D$1),0),"")</f>
        <v/>
      </c>
      <c r="E6062" s="95" t="str">
        <f>IFERROR(VLOOKUP($A6062,HeadJournal!$A$1:$NTR$890,COLUMN(HeadJournal!G$1),0),"")</f>
        <v/>
      </c>
      <c r="F6062" s="95" t="str">
        <f t="shared" si="449"/>
        <v/>
      </c>
      <c r="G6062" s="97"/>
      <c r="H6062" s="161"/>
      <c r="I6062" s="97"/>
      <c r="J6062" s="97"/>
      <c r="K6062" s="29"/>
      <c r="L6062" s="29"/>
      <c r="M6062" s="30">
        <f>IFERROR(VLOOKUP($A6062,HeadJournal!$A$1:$J$890,COLUMN(HeadJournal!I$1),0)*($K6062+$L6062)/(SUMIF($A:$A,$A6062,$K:$K)+SUMIF($A:$A,$A6062,$L:$L)),0)</f>
        <v>0</v>
      </c>
      <c r="N6062" s="30">
        <f>IFERROR((VLOOKUP($A6062,HeadJournal!$A$1:$K$890,COLUMN(HeadJournal!K$1),0)-VLOOKUP($A6062,HeadJournal!$A$1:$K$890,COLUMN(HeadJournal!J$1),0))*($K6062+$L6062)/(SUMIF($A:$A,$A6062,$K:$K)+SUMIF($A:$A,$A6062,$L:$L)),0)</f>
        <v>0</v>
      </c>
      <c r="O6062" s="30">
        <f>IFERROR((VLOOKUP($A6062,HeadJournal!$A$1:$L$890,COLUMN(HeadJournal!L$1),0)*($K6062+$L6062)/(SUMIF($A:$A,$A6062,$K:$K)+SUMIF($A:$A,$A6062,$L:$L)))/VLOOKUP($A6062,HeadJournal!$A$1:$L$890,COLUMN(HeadJournal!H$1),0),0)</f>
        <v>0</v>
      </c>
      <c r="P6062" s="30">
        <f>IFERROR(SUM(K6062:O6062)*VLOOKUP($A6062,HeadJournal!$A$1:$L$890,COLUMN(HeadJournal!H$1),0),0)</f>
        <v>0</v>
      </c>
      <c r="Q6062" s="29"/>
      <c r="R6062" s="31"/>
      <c r="S6062" s="31"/>
      <c r="T6062" s="95" t="str">
        <f t="shared" si="450"/>
        <v/>
      </c>
      <c r="U6062" s="32">
        <f t="shared" si="451"/>
        <v>0</v>
      </c>
      <c r="V6062" s="22" t="str">
        <f t="shared" si="452"/>
        <v/>
      </c>
      <c r="X6062" s="33"/>
      <c r="Y6062" s="33"/>
    </row>
    <row r="6063" spans="1:25" x14ac:dyDescent="0.2">
      <c r="A6063" s="93"/>
      <c r="B6063" s="94" t="str">
        <f>IFERROR(VLOOKUP($A6063,HeadJournal!$A$1:$NTR$890,COLUMN(HeadJournal!B$1),0),"")</f>
        <v/>
      </c>
      <c r="C6063" s="94" t="str">
        <f>IFERROR(VLOOKUP($A6063,HeadJournal!$A$1:$NTR$890,COLUMN(HeadJournal!C$1),0),"")</f>
        <v/>
      </c>
      <c r="D6063" s="125" t="str">
        <f>IFERROR(VLOOKUP($A6063,HeadJournal!$A$1:$NTR$890,COLUMN(HeadJournal!D$1),0),"")</f>
        <v/>
      </c>
      <c r="E6063" s="95" t="str">
        <f>IFERROR(VLOOKUP($A6063,HeadJournal!$A$1:$NTR$890,COLUMN(HeadJournal!G$1),0),"")</f>
        <v/>
      </c>
      <c r="F6063" s="95" t="str">
        <f t="shared" si="449"/>
        <v/>
      </c>
      <c r="G6063" s="97"/>
      <c r="H6063" s="161"/>
      <c r="I6063" s="97"/>
      <c r="J6063" s="97"/>
      <c r="K6063" s="29"/>
      <c r="L6063" s="29"/>
      <c r="M6063" s="30">
        <f>IFERROR(VLOOKUP($A6063,HeadJournal!$A$1:$J$890,COLUMN(HeadJournal!I$1),0)*($K6063+$L6063)/(SUMIF($A:$A,$A6063,$K:$K)+SUMIF($A:$A,$A6063,$L:$L)),0)</f>
        <v>0</v>
      </c>
      <c r="N6063" s="30">
        <f>IFERROR((VLOOKUP($A6063,HeadJournal!$A$1:$K$890,COLUMN(HeadJournal!K$1),0)-VLOOKUP($A6063,HeadJournal!$A$1:$K$890,COLUMN(HeadJournal!J$1),0))*($K6063+$L6063)/(SUMIF($A:$A,$A6063,$K:$K)+SUMIF($A:$A,$A6063,$L:$L)),0)</f>
        <v>0</v>
      </c>
      <c r="O6063" s="30">
        <f>IFERROR((VLOOKUP($A6063,HeadJournal!$A$1:$L$890,COLUMN(HeadJournal!L$1),0)*($K6063+$L6063)/(SUMIF($A:$A,$A6063,$K:$K)+SUMIF($A:$A,$A6063,$L:$L)))/VLOOKUP($A6063,HeadJournal!$A$1:$L$890,COLUMN(HeadJournal!H$1),0),0)</f>
        <v>0</v>
      </c>
      <c r="P6063" s="30">
        <f>IFERROR(SUM(K6063:O6063)*VLOOKUP($A6063,HeadJournal!$A$1:$L$890,COLUMN(HeadJournal!H$1),0),0)</f>
        <v>0</v>
      </c>
      <c r="Q6063" s="29"/>
      <c r="R6063" s="31"/>
      <c r="S6063" s="31"/>
      <c r="T6063" s="95" t="str">
        <f t="shared" si="450"/>
        <v/>
      </c>
      <c r="U6063" s="32">
        <f t="shared" si="451"/>
        <v>0</v>
      </c>
      <c r="V6063" s="22" t="str">
        <f t="shared" si="452"/>
        <v/>
      </c>
      <c r="X6063" s="33"/>
      <c r="Y6063" s="33"/>
    </row>
    <row r="6064" spans="1:25" x14ac:dyDescent="0.2">
      <c r="A6064" s="93"/>
      <c r="B6064" s="94" t="str">
        <f>IFERROR(VLOOKUP($A6064,HeadJournal!$A$1:$NTR$890,COLUMN(HeadJournal!B$1),0),"")</f>
        <v/>
      </c>
      <c r="C6064" s="94" t="str">
        <f>IFERROR(VLOOKUP($A6064,HeadJournal!$A$1:$NTR$890,COLUMN(HeadJournal!C$1),0),"")</f>
        <v/>
      </c>
      <c r="D6064" s="125" t="str">
        <f>IFERROR(VLOOKUP($A6064,HeadJournal!$A$1:$NTR$890,COLUMN(HeadJournal!D$1),0),"")</f>
        <v/>
      </c>
      <c r="E6064" s="95" t="str">
        <f>IFERROR(VLOOKUP($A6064,HeadJournal!$A$1:$NTR$890,COLUMN(HeadJournal!G$1),0),"")</f>
        <v/>
      </c>
      <c r="F6064" s="95" t="str">
        <f t="shared" si="449"/>
        <v/>
      </c>
      <c r="G6064" s="97"/>
      <c r="H6064" s="161"/>
      <c r="I6064" s="97"/>
      <c r="J6064" s="97"/>
      <c r="K6064" s="29"/>
      <c r="L6064" s="29"/>
      <c r="M6064" s="30">
        <f>IFERROR(VLOOKUP($A6064,HeadJournal!$A$1:$J$890,COLUMN(HeadJournal!I$1),0)*($K6064+$L6064)/(SUMIF($A:$A,$A6064,$K:$K)+SUMIF($A:$A,$A6064,$L:$L)),0)</f>
        <v>0</v>
      </c>
      <c r="N6064" s="30">
        <f>IFERROR((VLOOKUP($A6064,HeadJournal!$A$1:$K$890,COLUMN(HeadJournal!K$1),0)-VLOOKUP($A6064,HeadJournal!$A$1:$K$890,COLUMN(HeadJournal!J$1),0))*($K6064+$L6064)/(SUMIF($A:$A,$A6064,$K:$K)+SUMIF($A:$A,$A6064,$L:$L)),0)</f>
        <v>0</v>
      </c>
      <c r="O6064" s="30">
        <f>IFERROR((VLOOKUP($A6064,HeadJournal!$A$1:$L$890,COLUMN(HeadJournal!L$1),0)*($K6064+$L6064)/(SUMIF($A:$A,$A6064,$K:$K)+SUMIF($A:$A,$A6064,$L:$L)))/VLOOKUP($A6064,HeadJournal!$A$1:$L$890,COLUMN(HeadJournal!H$1),0),0)</f>
        <v>0</v>
      </c>
      <c r="P6064" s="30">
        <f>IFERROR(SUM(K6064:O6064)*VLOOKUP($A6064,HeadJournal!$A$1:$L$890,COLUMN(HeadJournal!H$1),0),0)</f>
        <v>0</v>
      </c>
      <c r="Q6064" s="29"/>
      <c r="R6064" s="31"/>
      <c r="S6064" s="31"/>
      <c r="T6064" s="95" t="str">
        <f t="shared" si="450"/>
        <v/>
      </c>
      <c r="U6064" s="32">
        <f t="shared" si="451"/>
        <v>0</v>
      </c>
      <c r="V6064" s="22" t="str">
        <f t="shared" si="452"/>
        <v/>
      </c>
      <c r="X6064" s="33"/>
      <c r="Y6064" s="33"/>
    </row>
    <row r="6065" spans="1:25" x14ac:dyDescent="0.2">
      <c r="A6065" s="93"/>
      <c r="B6065" s="94" t="str">
        <f>IFERROR(VLOOKUP($A6065,HeadJournal!$A$1:$NTR$890,COLUMN(HeadJournal!B$1),0),"")</f>
        <v/>
      </c>
      <c r="C6065" s="94" t="str">
        <f>IFERROR(VLOOKUP($A6065,HeadJournal!$A$1:$NTR$890,COLUMN(HeadJournal!C$1),0),"")</f>
        <v/>
      </c>
      <c r="D6065" s="125" t="str">
        <f>IFERROR(VLOOKUP($A6065,HeadJournal!$A$1:$NTR$890,COLUMN(HeadJournal!D$1),0),"")</f>
        <v/>
      </c>
      <c r="E6065" s="95" t="str">
        <f>IFERROR(VLOOKUP($A6065,HeadJournal!$A$1:$NTR$890,COLUMN(HeadJournal!G$1),0),"")</f>
        <v/>
      </c>
      <c r="F6065" s="95" t="str">
        <f t="shared" si="449"/>
        <v/>
      </c>
      <c r="G6065" s="97"/>
      <c r="H6065" s="161"/>
      <c r="I6065" s="97"/>
      <c r="J6065" s="97"/>
      <c r="K6065" s="29"/>
      <c r="L6065" s="29"/>
      <c r="M6065" s="30">
        <f>IFERROR(VLOOKUP($A6065,HeadJournal!$A$1:$J$890,COLUMN(HeadJournal!I$1),0)*($K6065+$L6065)/(SUMIF($A:$A,$A6065,$K:$K)+SUMIF($A:$A,$A6065,$L:$L)),0)</f>
        <v>0</v>
      </c>
      <c r="N6065" s="30">
        <f>IFERROR((VLOOKUP($A6065,HeadJournal!$A$1:$K$890,COLUMN(HeadJournal!K$1),0)-VLOOKUP($A6065,HeadJournal!$A$1:$K$890,COLUMN(HeadJournal!J$1),0))*($K6065+$L6065)/(SUMIF($A:$A,$A6065,$K:$K)+SUMIF($A:$A,$A6065,$L:$L)),0)</f>
        <v>0</v>
      </c>
      <c r="O6065" s="30">
        <f>IFERROR((VLOOKUP($A6065,HeadJournal!$A$1:$L$890,COLUMN(HeadJournal!L$1),0)*($K6065+$L6065)/(SUMIF($A:$A,$A6065,$K:$K)+SUMIF($A:$A,$A6065,$L:$L)))/VLOOKUP($A6065,HeadJournal!$A$1:$L$890,COLUMN(HeadJournal!H$1),0),0)</f>
        <v>0</v>
      </c>
      <c r="P6065" s="30">
        <f>IFERROR(SUM(K6065:O6065)*VLOOKUP($A6065,HeadJournal!$A$1:$L$890,COLUMN(HeadJournal!H$1),0),0)</f>
        <v>0</v>
      </c>
      <c r="Q6065" s="29"/>
      <c r="R6065" s="31"/>
      <c r="S6065" s="31"/>
      <c r="T6065" s="95" t="str">
        <f t="shared" si="450"/>
        <v/>
      </c>
      <c r="U6065" s="32">
        <f t="shared" si="451"/>
        <v>0</v>
      </c>
      <c r="V6065" s="22" t="str">
        <f t="shared" si="452"/>
        <v/>
      </c>
      <c r="X6065" s="33"/>
      <c r="Y6065" s="33"/>
    </row>
    <row r="6066" spans="1:25" x14ac:dyDescent="0.2">
      <c r="A6066" s="93"/>
      <c r="B6066" s="94" t="str">
        <f>IFERROR(VLOOKUP($A6066,HeadJournal!$A$1:$NTR$890,COLUMN(HeadJournal!B$1),0),"")</f>
        <v/>
      </c>
      <c r="C6066" s="94" t="str">
        <f>IFERROR(VLOOKUP($A6066,HeadJournal!$A$1:$NTR$890,COLUMN(HeadJournal!C$1),0),"")</f>
        <v/>
      </c>
      <c r="D6066" s="125" t="str">
        <f>IFERROR(VLOOKUP($A6066,HeadJournal!$A$1:$NTR$890,COLUMN(HeadJournal!D$1),0),"")</f>
        <v/>
      </c>
      <c r="E6066" s="95" t="str">
        <f>IFERROR(VLOOKUP($A6066,HeadJournal!$A$1:$NTR$890,COLUMN(HeadJournal!G$1),0),"")</f>
        <v/>
      </c>
      <c r="F6066" s="95" t="str">
        <f t="shared" si="449"/>
        <v/>
      </c>
      <c r="G6066" s="97"/>
      <c r="H6066" s="161"/>
      <c r="I6066" s="97"/>
      <c r="J6066" s="97"/>
      <c r="K6066" s="29"/>
      <c r="L6066" s="29"/>
      <c r="M6066" s="30">
        <f>IFERROR(VLOOKUP($A6066,HeadJournal!$A$1:$J$890,COLUMN(HeadJournal!I$1),0)*($K6066+$L6066)/(SUMIF($A:$A,$A6066,$K:$K)+SUMIF($A:$A,$A6066,$L:$L)),0)</f>
        <v>0</v>
      </c>
      <c r="N6066" s="30">
        <f>IFERROR((VLOOKUP($A6066,HeadJournal!$A$1:$K$890,COLUMN(HeadJournal!K$1),0)-VLOOKUP($A6066,HeadJournal!$A$1:$K$890,COLUMN(HeadJournal!J$1),0))*($K6066+$L6066)/(SUMIF($A:$A,$A6066,$K:$K)+SUMIF($A:$A,$A6066,$L:$L)),0)</f>
        <v>0</v>
      </c>
      <c r="O6066" s="30">
        <f>IFERROR((VLOOKUP($A6066,HeadJournal!$A$1:$L$890,COLUMN(HeadJournal!L$1),0)*($K6066+$L6066)/(SUMIF($A:$A,$A6066,$K:$K)+SUMIF($A:$A,$A6066,$L:$L)))/VLOOKUP($A6066,HeadJournal!$A$1:$L$890,COLUMN(HeadJournal!H$1),0),0)</f>
        <v>0</v>
      </c>
      <c r="P6066" s="30">
        <f>IFERROR(SUM(K6066:O6066)*VLOOKUP($A6066,HeadJournal!$A$1:$L$890,COLUMN(HeadJournal!H$1),0),0)</f>
        <v>0</v>
      </c>
      <c r="Q6066" s="29"/>
      <c r="R6066" s="31"/>
      <c r="S6066" s="31"/>
      <c r="T6066" s="95" t="str">
        <f t="shared" si="450"/>
        <v/>
      </c>
      <c r="U6066" s="32">
        <f t="shared" si="451"/>
        <v>0</v>
      </c>
      <c r="V6066" s="22" t="str">
        <f t="shared" si="452"/>
        <v/>
      </c>
      <c r="X6066" s="33"/>
      <c r="Y6066" s="33"/>
    </row>
    <row r="6067" spans="1:25" x14ac:dyDescent="0.2">
      <c r="A6067" s="93"/>
      <c r="B6067" s="94" t="str">
        <f>IFERROR(VLOOKUP($A6067,HeadJournal!$A$1:$NTR$890,COLUMN(HeadJournal!B$1),0),"")</f>
        <v/>
      </c>
      <c r="C6067" s="94" t="str">
        <f>IFERROR(VLOOKUP($A6067,HeadJournal!$A$1:$NTR$890,COLUMN(HeadJournal!C$1),0),"")</f>
        <v/>
      </c>
      <c r="D6067" s="125" t="str">
        <f>IFERROR(VLOOKUP($A6067,HeadJournal!$A$1:$NTR$890,COLUMN(HeadJournal!D$1),0),"")</f>
        <v/>
      </c>
      <c r="E6067" s="95" t="str">
        <f>IFERROR(VLOOKUP($A6067,HeadJournal!$A$1:$NTR$890,COLUMN(HeadJournal!G$1),0),"")</f>
        <v/>
      </c>
      <c r="F6067" s="95" t="str">
        <f t="shared" si="449"/>
        <v/>
      </c>
      <c r="G6067" s="97"/>
      <c r="H6067" s="161"/>
      <c r="I6067" s="97"/>
      <c r="J6067" s="97"/>
      <c r="K6067" s="29"/>
      <c r="L6067" s="29"/>
      <c r="M6067" s="30">
        <f>IFERROR(VLOOKUP($A6067,HeadJournal!$A$1:$J$890,COLUMN(HeadJournal!I$1),0)*($K6067+$L6067)/(SUMIF($A:$A,$A6067,$K:$K)+SUMIF($A:$A,$A6067,$L:$L)),0)</f>
        <v>0</v>
      </c>
      <c r="N6067" s="30">
        <f>IFERROR((VLOOKUP($A6067,HeadJournal!$A$1:$K$890,COLUMN(HeadJournal!K$1),0)-VLOOKUP($A6067,HeadJournal!$A$1:$K$890,COLUMN(HeadJournal!J$1),0))*($K6067+$L6067)/(SUMIF($A:$A,$A6067,$K:$K)+SUMIF($A:$A,$A6067,$L:$L)),0)</f>
        <v>0</v>
      </c>
      <c r="O6067" s="30">
        <f>IFERROR((VLOOKUP($A6067,HeadJournal!$A$1:$L$890,COLUMN(HeadJournal!L$1),0)*($K6067+$L6067)/(SUMIF($A:$A,$A6067,$K:$K)+SUMIF($A:$A,$A6067,$L:$L)))/VLOOKUP($A6067,HeadJournal!$A$1:$L$890,COLUMN(HeadJournal!H$1),0),0)</f>
        <v>0</v>
      </c>
      <c r="P6067" s="30">
        <f>IFERROR(SUM(K6067:O6067)*VLOOKUP($A6067,HeadJournal!$A$1:$L$890,COLUMN(HeadJournal!H$1),0),0)</f>
        <v>0</v>
      </c>
      <c r="Q6067" s="29"/>
      <c r="R6067" s="31"/>
      <c r="S6067" s="31"/>
      <c r="T6067" s="95" t="str">
        <f t="shared" si="450"/>
        <v/>
      </c>
      <c r="U6067" s="32">
        <f t="shared" si="451"/>
        <v>0</v>
      </c>
      <c r="V6067" s="22" t="str">
        <f t="shared" si="452"/>
        <v/>
      </c>
      <c r="X6067" s="33"/>
      <c r="Y6067" s="33"/>
    </row>
    <row r="6068" spans="1:25" x14ac:dyDescent="0.2">
      <c r="A6068" s="93"/>
      <c r="B6068" s="94" t="str">
        <f>IFERROR(VLOOKUP($A6068,HeadJournal!$A$1:$NTR$890,COLUMN(HeadJournal!B$1),0),"")</f>
        <v/>
      </c>
      <c r="C6068" s="94" t="str">
        <f>IFERROR(VLOOKUP($A6068,HeadJournal!$A$1:$NTR$890,COLUMN(HeadJournal!C$1),0),"")</f>
        <v/>
      </c>
      <c r="D6068" s="125" t="str">
        <f>IFERROR(VLOOKUP($A6068,HeadJournal!$A$1:$NTR$890,COLUMN(HeadJournal!D$1),0),"")</f>
        <v/>
      </c>
      <c r="E6068" s="95" t="str">
        <f>IFERROR(VLOOKUP($A6068,HeadJournal!$A$1:$NTR$890,COLUMN(HeadJournal!G$1),0),"")</f>
        <v/>
      </c>
      <c r="F6068" s="95" t="str">
        <f t="shared" si="449"/>
        <v/>
      </c>
      <c r="G6068" s="97"/>
      <c r="H6068" s="161"/>
      <c r="I6068" s="97"/>
      <c r="J6068" s="97"/>
      <c r="K6068" s="29"/>
      <c r="L6068" s="29"/>
      <c r="M6068" s="30">
        <f>IFERROR(VLOOKUP($A6068,HeadJournal!$A$1:$J$890,COLUMN(HeadJournal!I$1),0)*($K6068+$L6068)/(SUMIF($A:$A,$A6068,$K:$K)+SUMIF($A:$A,$A6068,$L:$L)),0)</f>
        <v>0</v>
      </c>
      <c r="N6068" s="30">
        <f>IFERROR((VLOOKUP($A6068,HeadJournal!$A$1:$K$890,COLUMN(HeadJournal!K$1),0)-VLOOKUP($A6068,HeadJournal!$A$1:$K$890,COLUMN(HeadJournal!J$1),0))*($K6068+$L6068)/(SUMIF($A:$A,$A6068,$K:$K)+SUMIF($A:$A,$A6068,$L:$L)),0)</f>
        <v>0</v>
      </c>
      <c r="O6068" s="30">
        <f>IFERROR((VLOOKUP($A6068,HeadJournal!$A$1:$L$890,COLUMN(HeadJournal!L$1),0)*($K6068+$L6068)/(SUMIF($A:$A,$A6068,$K:$K)+SUMIF($A:$A,$A6068,$L:$L)))/VLOOKUP($A6068,HeadJournal!$A$1:$L$890,COLUMN(HeadJournal!H$1),0),0)</f>
        <v>0</v>
      </c>
      <c r="P6068" s="30">
        <f>IFERROR(SUM(K6068:O6068)*VLOOKUP($A6068,HeadJournal!$A$1:$L$890,COLUMN(HeadJournal!H$1),0),0)</f>
        <v>0</v>
      </c>
      <c r="Q6068" s="29"/>
      <c r="R6068" s="31"/>
      <c r="S6068" s="31"/>
      <c r="T6068" s="95" t="str">
        <f t="shared" si="450"/>
        <v/>
      </c>
      <c r="U6068" s="32">
        <f t="shared" si="451"/>
        <v>0</v>
      </c>
      <c r="V6068" s="22" t="str">
        <f t="shared" si="452"/>
        <v/>
      </c>
      <c r="X6068" s="33"/>
      <c r="Y6068" s="33"/>
    </row>
    <row r="6069" spans="1:25" x14ac:dyDescent="0.2">
      <c r="A6069" s="93"/>
      <c r="B6069" s="94" t="str">
        <f>IFERROR(VLOOKUP($A6069,HeadJournal!$A$1:$NTR$890,COLUMN(HeadJournal!B$1),0),"")</f>
        <v/>
      </c>
      <c r="C6069" s="94" t="str">
        <f>IFERROR(VLOOKUP($A6069,HeadJournal!$A$1:$NTR$890,COLUMN(HeadJournal!C$1),0),"")</f>
        <v/>
      </c>
      <c r="D6069" s="125" t="str">
        <f>IFERROR(VLOOKUP($A6069,HeadJournal!$A$1:$NTR$890,COLUMN(HeadJournal!D$1),0),"")</f>
        <v/>
      </c>
      <c r="E6069" s="95" t="str">
        <f>IFERROR(VLOOKUP($A6069,HeadJournal!$A$1:$NTR$890,COLUMN(HeadJournal!G$1),0),"")</f>
        <v/>
      </c>
      <c r="F6069" s="95" t="str">
        <f t="shared" si="449"/>
        <v/>
      </c>
      <c r="G6069" s="97"/>
      <c r="H6069" s="161"/>
      <c r="I6069" s="97"/>
      <c r="J6069" s="97"/>
      <c r="K6069" s="29"/>
      <c r="L6069" s="29"/>
      <c r="M6069" s="30">
        <f>IFERROR(VLOOKUP($A6069,HeadJournal!$A$1:$J$890,COLUMN(HeadJournal!I$1),0)*($K6069+$L6069)/(SUMIF($A:$A,$A6069,$K:$K)+SUMIF($A:$A,$A6069,$L:$L)),0)</f>
        <v>0</v>
      </c>
      <c r="N6069" s="30">
        <f>IFERROR((VLOOKUP($A6069,HeadJournal!$A$1:$K$890,COLUMN(HeadJournal!K$1),0)-VLOOKUP($A6069,HeadJournal!$A$1:$K$890,COLUMN(HeadJournal!J$1),0))*($K6069+$L6069)/(SUMIF($A:$A,$A6069,$K:$K)+SUMIF($A:$A,$A6069,$L:$L)),0)</f>
        <v>0</v>
      </c>
      <c r="O6069" s="30">
        <f>IFERROR((VLOOKUP($A6069,HeadJournal!$A$1:$L$890,COLUMN(HeadJournal!L$1),0)*($K6069+$L6069)/(SUMIF($A:$A,$A6069,$K:$K)+SUMIF($A:$A,$A6069,$L:$L)))/VLOOKUP($A6069,HeadJournal!$A$1:$L$890,COLUMN(HeadJournal!H$1),0),0)</f>
        <v>0</v>
      </c>
      <c r="P6069" s="30">
        <f>IFERROR(SUM(K6069:O6069)*VLOOKUP($A6069,HeadJournal!$A$1:$L$890,COLUMN(HeadJournal!H$1),0),0)</f>
        <v>0</v>
      </c>
      <c r="Q6069" s="29"/>
      <c r="R6069" s="31"/>
      <c r="S6069" s="31"/>
      <c r="T6069" s="95" t="str">
        <f t="shared" si="450"/>
        <v/>
      </c>
      <c r="U6069" s="32">
        <f t="shared" si="451"/>
        <v>0</v>
      </c>
      <c r="V6069" s="22" t="str">
        <f t="shared" si="452"/>
        <v/>
      </c>
      <c r="X6069" s="33"/>
      <c r="Y6069" s="33"/>
    </row>
    <row r="6070" spans="1:25" x14ac:dyDescent="0.2">
      <c r="A6070" s="93"/>
      <c r="B6070" s="94" t="str">
        <f>IFERROR(VLOOKUP($A6070,HeadJournal!$A$1:$NTR$890,COLUMN(HeadJournal!B$1),0),"")</f>
        <v/>
      </c>
      <c r="C6070" s="94" t="str">
        <f>IFERROR(VLOOKUP($A6070,HeadJournal!$A$1:$NTR$890,COLUMN(HeadJournal!C$1),0),"")</f>
        <v/>
      </c>
      <c r="D6070" s="125" t="str">
        <f>IFERROR(VLOOKUP($A6070,HeadJournal!$A$1:$NTR$890,COLUMN(HeadJournal!D$1),0),"")</f>
        <v/>
      </c>
      <c r="E6070" s="95" t="str">
        <f>IFERROR(VLOOKUP($A6070,HeadJournal!$A$1:$NTR$890,COLUMN(HeadJournal!G$1),0),"")</f>
        <v/>
      </c>
      <c r="F6070" s="95" t="str">
        <f t="shared" si="449"/>
        <v/>
      </c>
      <c r="G6070" s="97"/>
      <c r="H6070" s="161"/>
      <c r="I6070" s="97"/>
      <c r="J6070" s="97"/>
      <c r="K6070" s="29"/>
      <c r="L6070" s="29"/>
      <c r="M6070" s="30">
        <f>IFERROR(VLOOKUP($A6070,HeadJournal!$A$1:$J$890,COLUMN(HeadJournal!I$1),0)*($K6070+$L6070)/(SUMIF($A:$A,$A6070,$K:$K)+SUMIF($A:$A,$A6070,$L:$L)),0)</f>
        <v>0</v>
      </c>
      <c r="N6070" s="30">
        <f>IFERROR((VLOOKUP($A6070,HeadJournal!$A$1:$K$890,COLUMN(HeadJournal!K$1),0)-VLOOKUP($A6070,HeadJournal!$A$1:$K$890,COLUMN(HeadJournal!J$1),0))*($K6070+$L6070)/(SUMIF($A:$A,$A6070,$K:$K)+SUMIF($A:$A,$A6070,$L:$L)),0)</f>
        <v>0</v>
      </c>
      <c r="O6070" s="30">
        <f>IFERROR((VLOOKUP($A6070,HeadJournal!$A$1:$L$890,COLUMN(HeadJournal!L$1),0)*($K6070+$L6070)/(SUMIF($A:$A,$A6070,$K:$K)+SUMIF($A:$A,$A6070,$L:$L)))/VLOOKUP($A6070,HeadJournal!$A$1:$L$890,COLUMN(HeadJournal!H$1),0),0)</f>
        <v>0</v>
      </c>
      <c r="P6070" s="30">
        <f>IFERROR(SUM(K6070:O6070)*VLOOKUP($A6070,HeadJournal!$A$1:$L$890,COLUMN(HeadJournal!H$1),0),0)</f>
        <v>0</v>
      </c>
      <c r="Q6070" s="29"/>
      <c r="R6070" s="31"/>
      <c r="S6070" s="31"/>
      <c r="T6070" s="95" t="str">
        <f t="shared" si="450"/>
        <v/>
      </c>
      <c r="U6070" s="32">
        <f t="shared" si="451"/>
        <v>0</v>
      </c>
      <c r="V6070" s="22" t="str">
        <f t="shared" si="452"/>
        <v/>
      </c>
      <c r="X6070" s="33"/>
      <c r="Y6070" s="33"/>
    </row>
    <row r="6071" spans="1:25" x14ac:dyDescent="0.2">
      <c r="A6071" s="93"/>
      <c r="B6071" s="94" t="str">
        <f>IFERROR(VLOOKUP($A6071,HeadJournal!$A$1:$NTR$890,COLUMN(HeadJournal!B$1),0),"")</f>
        <v/>
      </c>
      <c r="C6071" s="94" t="str">
        <f>IFERROR(VLOOKUP($A6071,HeadJournal!$A$1:$NTR$890,COLUMN(HeadJournal!C$1),0),"")</f>
        <v/>
      </c>
      <c r="D6071" s="125" t="str">
        <f>IFERROR(VLOOKUP($A6071,HeadJournal!$A$1:$NTR$890,COLUMN(HeadJournal!D$1),0),"")</f>
        <v/>
      </c>
      <c r="E6071" s="95" t="str">
        <f>IFERROR(VLOOKUP($A6071,HeadJournal!$A$1:$NTR$890,COLUMN(HeadJournal!G$1),0),"")</f>
        <v/>
      </c>
      <c r="F6071" s="95" t="str">
        <f t="shared" si="449"/>
        <v/>
      </c>
      <c r="G6071" s="97"/>
      <c r="H6071" s="161"/>
      <c r="I6071" s="97"/>
      <c r="J6071" s="97"/>
      <c r="K6071" s="29"/>
      <c r="L6071" s="29"/>
      <c r="M6071" s="30">
        <f>IFERROR(VLOOKUP($A6071,HeadJournal!$A$1:$J$890,COLUMN(HeadJournal!I$1),0)*($K6071+$L6071)/(SUMIF($A:$A,$A6071,$K:$K)+SUMIF($A:$A,$A6071,$L:$L)),0)</f>
        <v>0</v>
      </c>
      <c r="N6071" s="30">
        <f>IFERROR((VLOOKUP($A6071,HeadJournal!$A$1:$K$890,COLUMN(HeadJournal!K$1),0)-VLOOKUP($A6071,HeadJournal!$A$1:$K$890,COLUMN(HeadJournal!J$1),0))*($K6071+$L6071)/(SUMIF($A:$A,$A6071,$K:$K)+SUMIF($A:$A,$A6071,$L:$L)),0)</f>
        <v>0</v>
      </c>
      <c r="O6071" s="30">
        <f>IFERROR((VLOOKUP($A6071,HeadJournal!$A$1:$L$890,COLUMN(HeadJournal!L$1),0)*($K6071+$L6071)/(SUMIF($A:$A,$A6071,$K:$K)+SUMIF($A:$A,$A6071,$L:$L)))/VLOOKUP($A6071,HeadJournal!$A$1:$L$890,COLUMN(HeadJournal!H$1),0),0)</f>
        <v>0</v>
      </c>
      <c r="P6071" s="30">
        <f>IFERROR(SUM(K6071:O6071)*VLOOKUP($A6071,HeadJournal!$A$1:$L$890,COLUMN(HeadJournal!H$1),0),0)</f>
        <v>0</v>
      </c>
      <c r="Q6071" s="29"/>
      <c r="R6071" s="31"/>
      <c r="S6071" s="31"/>
      <c r="T6071" s="95" t="str">
        <f t="shared" si="450"/>
        <v/>
      </c>
      <c r="U6071" s="32">
        <f t="shared" si="451"/>
        <v>0</v>
      </c>
      <c r="V6071" s="22" t="str">
        <f t="shared" si="452"/>
        <v/>
      </c>
      <c r="X6071" s="33"/>
      <c r="Y6071" s="33"/>
    </row>
    <row r="6072" spans="1:25" x14ac:dyDescent="0.2">
      <c r="A6072" s="93"/>
      <c r="B6072" s="94" t="str">
        <f>IFERROR(VLOOKUP($A6072,HeadJournal!$A$1:$NTR$890,COLUMN(HeadJournal!B$1),0),"")</f>
        <v/>
      </c>
      <c r="C6072" s="94" t="str">
        <f>IFERROR(VLOOKUP($A6072,HeadJournal!$A$1:$NTR$890,COLUMN(HeadJournal!C$1),0),"")</f>
        <v/>
      </c>
      <c r="D6072" s="125" t="str">
        <f>IFERROR(VLOOKUP($A6072,HeadJournal!$A$1:$NTR$890,COLUMN(HeadJournal!D$1),0),"")</f>
        <v/>
      </c>
      <c r="E6072" s="95" t="str">
        <f>IFERROR(VLOOKUP($A6072,HeadJournal!$A$1:$NTR$890,COLUMN(HeadJournal!G$1),0),"")</f>
        <v/>
      </c>
      <c r="F6072" s="95" t="str">
        <f t="shared" si="449"/>
        <v/>
      </c>
      <c r="G6072" s="97"/>
      <c r="H6072" s="161"/>
      <c r="I6072" s="97"/>
      <c r="J6072" s="97"/>
      <c r="K6072" s="29"/>
      <c r="L6072" s="29"/>
      <c r="M6072" s="30">
        <f>IFERROR(VLOOKUP($A6072,HeadJournal!$A$1:$J$890,COLUMN(HeadJournal!I$1),0)*($K6072+$L6072)/(SUMIF($A:$A,$A6072,$K:$K)+SUMIF($A:$A,$A6072,$L:$L)),0)</f>
        <v>0</v>
      </c>
      <c r="N6072" s="30">
        <f>IFERROR((VLOOKUP($A6072,HeadJournal!$A$1:$K$890,COLUMN(HeadJournal!K$1),0)-VLOOKUP($A6072,HeadJournal!$A$1:$K$890,COLUMN(HeadJournal!J$1),0))*($K6072+$L6072)/(SUMIF($A:$A,$A6072,$K:$K)+SUMIF($A:$A,$A6072,$L:$L)),0)</f>
        <v>0</v>
      </c>
      <c r="O6072" s="30">
        <f>IFERROR((VLOOKUP($A6072,HeadJournal!$A$1:$L$890,COLUMN(HeadJournal!L$1),0)*($K6072+$L6072)/(SUMIF($A:$A,$A6072,$K:$K)+SUMIF($A:$A,$A6072,$L:$L)))/VLOOKUP($A6072,HeadJournal!$A$1:$L$890,COLUMN(HeadJournal!H$1),0),0)</f>
        <v>0</v>
      </c>
      <c r="P6072" s="30">
        <f>IFERROR(SUM(K6072:O6072)*VLOOKUP($A6072,HeadJournal!$A$1:$L$890,COLUMN(HeadJournal!H$1),0),0)</f>
        <v>0</v>
      </c>
      <c r="Q6072" s="29"/>
      <c r="R6072" s="31"/>
      <c r="S6072" s="31"/>
      <c r="T6072" s="95" t="str">
        <f t="shared" si="450"/>
        <v/>
      </c>
      <c r="U6072" s="32">
        <f t="shared" si="451"/>
        <v>0</v>
      </c>
      <c r="V6072" s="22" t="str">
        <f t="shared" si="452"/>
        <v/>
      </c>
      <c r="X6072" s="33"/>
      <c r="Y6072" s="33"/>
    </row>
    <row r="6073" spans="1:25" x14ac:dyDescent="0.2">
      <c r="A6073" s="93"/>
      <c r="B6073" s="94" t="str">
        <f>IFERROR(VLOOKUP($A6073,HeadJournal!$A$1:$NTR$890,COLUMN(HeadJournal!B$1),0),"")</f>
        <v/>
      </c>
      <c r="C6073" s="94" t="str">
        <f>IFERROR(VLOOKUP($A6073,HeadJournal!$A$1:$NTR$890,COLUMN(HeadJournal!C$1),0),"")</f>
        <v/>
      </c>
      <c r="D6073" s="125" t="str">
        <f>IFERROR(VLOOKUP($A6073,HeadJournal!$A$1:$NTR$890,COLUMN(HeadJournal!D$1),0),"")</f>
        <v/>
      </c>
      <c r="E6073" s="95" t="str">
        <f>IFERROR(VLOOKUP($A6073,HeadJournal!$A$1:$NTR$890,COLUMN(HeadJournal!G$1),0),"")</f>
        <v/>
      </c>
      <c r="F6073" s="95" t="str">
        <f t="shared" si="449"/>
        <v/>
      </c>
      <c r="G6073" s="97"/>
      <c r="H6073" s="161"/>
      <c r="I6073" s="97"/>
      <c r="J6073" s="97"/>
      <c r="K6073" s="29"/>
      <c r="L6073" s="29"/>
      <c r="M6073" s="30">
        <f>IFERROR(VLOOKUP($A6073,HeadJournal!$A$1:$J$890,COLUMN(HeadJournal!I$1),0)*($K6073+$L6073)/(SUMIF($A:$A,$A6073,$K:$K)+SUMIF($A:$A,$A6073,$L:$L)),0)</f>
        <v>0</v>
      </c>
      <c r="N6073" s="30">
        <f>IFERROR((VLOOKUP($A6073,HeadJournal!$A$1:$K$890,COLUMN(HeadJournal!K$1),0)-VLOOKUP($A6073,HeadJournal!$A$1:$K$890,COLUMN(HeadJournal!J$1),0))*($K6073+$L6073)/(SUMIF($A:$A,$A6073,$K:$K)+SUMIF($A:$A,$A6073,$L:$L)),0)</f>
        <v>0</v>
      </c>
      <c r="O6073" s="30">
        <f>IFERROR((VLOOKUP($A6073,HeadJournal!$A$1:$L$890,COLUMN(HeadJournal!L$1),0)*($K6073+$L6073)/(SUMIF($A:$A,$A6073,$K:$K)+SUMIF($A:$A,$A6073,$L:$L)))/VLOOKUP($A6073,HeadJournal!$A$1:$L$890,COLUMN(HeadJournal!H$1),0),0)</f>
        <v>0</v>
      </c>
      <c r="P6073" s="30">
        <f>IFERROR(SUM(K6073:O6073)*VLOOKUP($A6073,HeadJournal!$A$1:$L$890,COLUMN(HeadJournal!H$1),0),0)</f>
        <v>0</v>
      </c>
      <c r="Q6073" s="29"/>
      <c r="R6073" s="31"/>
      <c r="S6073" s="31"/>
      <c r="T6073" s="95" t="str">
        <f t="shared" si="450"/>
        <v/>
      </c>
      <c r="U6073" s="32">
        <f t="shared" si="451"/>
        <v>0</v>
      </c>
      <c r="V6073" s="22" t="str">
        <f t="shared" si="452"/>
        <v/>
      </c>
      <c r="X6073" s="33"/>
      <c r="Y6073" s="33"/>
    </row>
    <row r="6074" spans="1:25" x14ac:dyDescent="0.2">
      <c r="A6074" s="93"/>
      <c r="B6074" s="94" t="str">
        <f>IFERROR(VLOOKUP($A6074,HeadJournal!$A$1:$NTR$890,COLUMN(HeadJournal!B$1),0),"")</f>
        <v/>
      </c>
      <c r="C6074" s="94" t="str">
        <f>IFERROR(VLOOKUP($A6074,HeadJournal!$A$1:$NTR$890,COLUMN(HeadJournal!C$1),0),"")</f>
        <v/>
      </c>
      <c r="D6074" s="125" t="str">
        <f>IFERROR(VLOOKUP($A6074,HeadJournal!$A$1:$NTR$890,COLUMN(HeadJournal!D$1),0),"")</f>
        <v/>
      </c>
      <c r="E6074" s="95" t="str">
        <f>IFERROR(VLOOKUP($A6074,HeadJournal!$A$1:$NTR$890,COLUMN(HeadJournal!G$1),0),"")</f>
        <v/>
      </c>
      <c r="F6074" s="95" t="str">
        <f t="shared" si="449"/>
        <v/>
      </c>
      <c r="G6074" s="97"/>
      <c r="H6074" s="161"/>
      <c r="I6074" s="97"/>
      <c r="J6074" s="97"/>
      <c r="K6074" s="29"/>
      <c r="L6074" s="29"/>
      <c r="M6074" s="30">
        <f>IFERROR(VLOOKUP($A6074,HeadJournal!$A$1:$J$890,COLUMN(HeadJournal!I$1),0)*($K6074+$L6074)/(SUMIF($A:$A,$A6074,$K:$K)+SUMIF($A:$A,$A6074,$L:$L)),0)</f>
        <v>0</v>
      </c>
      <c r="N6074" s="30">
        <f>IFERROR((VLOOKUP($A6074,HeadJournal!$A$1:$K$890,COLUMN(HeadJournal!K$1),0)-VLOOKUP($A6074,HeadJournal!$A$1:$K$890,COLUMN(HeadJournal!J$1),0))*($K6074+$L6074)/(SUMIF($A:$A,$A6074,$K:$K)+SUMIF($A:$A,$A6074,$L:$L)),0)</f>
        <v>0</v>
      </c>
      <c r="O6074" s="30">
        <f>IFERROR((VLOOKUP($A6074,HeadJournal!$A$1:$L$890,COLUMN(HeadJournal!L$1),0)*($K6074+$L6074)/(SUMIF($A:$A,$A6074,$K:$K)+SUMIF($A:$A,$A6074,$L:$L)))/VLOOKUP($A6074,HeadJournal!$A$1:$L$890,COLUMN(HeadJournal!H$1),0),0)</f>
        <v>0</v>
      </c>
      <c r="P6074" s="30">
        <f>IFERROR(SUM(K6074:O6074)*VLOOKUP($A6074,HeadJournal!$A$1:$L$890,COLUMN(HeadJournal!H$1),0),0)</f>
        <v>0</v>
      </c>
      <c r="Q6074" s="29"/>
      <c r="R6074" s="31"/>
      <c r="S6074" s="31"/>
      <c r="T6074" s="95" t="str">
        <f t="shared" si="450"/>
        <v/>
      </c>
      <c r="U6074" s="32">
        <f t="shared" si="451"/>
        <v>0</v>
      </c>
      <c r="V6074" s="22" t="str">
        <f t="shared" si="452"/>
        <v/>
      </c>
      <c r="X6074" s="33"/>
      <c r="Y6074" s="33"/>
    </row>
    <row r="6075" spans="1:25" x14ac:dyDescent="0.2">
      <c r="A6075" s="93"/>
      <c r="B6075" s="94" t="str">
        <f>IFERROR(VLOOKUP($A6075,HeadJournal!$A$1:$NTR$890,COLUMN(HeadJournal!B$1),0),"")</f>
        <v/>
      </c>
      <c r="C6075" s="94" t="str">
        <f>IFERROR(VLOOKUP($A6075,HeadJournal!$A$1:$NTR$890,COLUMN(HeadJournal!C$1),0),"")</f>
        <v/>
      </c>
      <c r="D6075" s="125" t="str">
        <f>IFERROR(VLOOKUP($A6075,HeadJournal!$A$1:$NTR$890,COLUMN(HeadJournal!D$1),0),"")</f>
        <v/>
      </c>
      <c r="E6075" s="95" t="str">
        <f>IFERROR(VLOOKUP($A6075,HeadJournal!$A$1:$NTR$890,COLUMN(HeadJournal!G$1),0),"")</f>
        <v/>
      </c>
      <c r="F6075" s="95" t="str">
        <f t="shared" si="449"/>
        <v/>
      </c>
      <c r="G6075" s="97"/>
      <c r="H6075" s="161"/>
      <c r="I6075" s="97"/>
      <c r="J6075" s="97"/>
      <c r="K6075" s="29"/>
      <c r="L6075" s="29"/>
      <c r="M6075" s="30">
        <f>IFERROR(VLOOKUP($A6075,HeadJournal!$A$1:$J$890,COLUMN(HeadJournal!I$1),0)*($K6075+$L6075)/(SUMIF($A:$A,$A6075,$K:$K)+SUMIF($A:$A,$A6075,$L:$L)),0)</f>
        <v>0</v>
      </c>
      <c r="N6075" s="30">
        <f>IFERROR((VLOOKUP($A6075,HeadJournal!$A$1:$K$890,COLUMN(HeadJournal!K$1),0)-VLOOKUP($A6075,HeadJournal!$A$1:$K$890,COLUMN(HeadJournal!J$1),0))*($K6075+$L6075)/(SUMIF($A:$A,$A6075,$K:$K)+SUMIF($A:$A,$A6075,$L:$L)),0)</f>
        <v>0</v>
      </c>
      <c r="O6075" s="30">
        <f>IFERROR((VLOOKUP($A6075,HeadJournal!$A$1:$L$890,COLUMN(HeadJournal!L$1),0)*($K6075+$L6075)/(SUMIF($A:$A,$A6075,$K:$K)+SUMIF($A:$A,$A6075,$L:$L)))/VLOOKUP($A6075,HeadJournal!$A$1:$L$890,COLUMN(HeadJournal!H$1),0),0)</f>
        <v>0</v>
      </c>
      <c r="P6075" s="30">
        <f>IFERROR(SUM(K6075:O6075)*VLOOKUP($A6075,HeadJournal!$A$1:$L$890,COLUMN(HeadJournal!H$1),0),0)</f>
        <v>0</v>
      </c>
      <c r="Q6075" s="29"/>
      <c r="R6075" s="31"/>
      <c r="S6075" s="31"/>
      <c r="T6075" s="95" t="str">
        <f t="shared" si="450"/>
        <v/>
      </c>
      <c r="U6075" s="32">
        <f t="shared" si="451"/>
        <v>0</v>
      </c>
      <c r="V6075" s="22" t="str">
        <f t="shared" si="452"/>
        <v/>
      </c>
      <c r="X6075" s="33"/>
      <c r="Y6075" s="33"/>
    </row>
    <row r="6076" spans="1:25" x14ac:dyDescent="0.2">
      <c r="A6076" s="93"/>
      <c r="B6076" s="94" t="str">
        <f>IFERROR(VLOOKUP($A6076,HeadJournal!$A$1:$NTR$890,COLUMN(HeadJournal!B$1),0),"")</f>
        <v/>
      </c>
      <c r="C6076" s="94" t="str">
        <f>IFERROR(VLOOKUP($A6076,HeadJournal!$A$1:$NTR$890,COLUMN(HeadJournal!C$1),0),"")</f>
        <v/>
      </c>
      <c r="D6076" s="125" t="str">
        <f>IFERROR(VLOOKUP($A6076,HeadJournal!$A$1:$NTR$890,COLUMN(HeadJournal!D$1),0),"")</f>
        <v/>
      </c>
      <c r="E6076" s="95" t="str">
        <f>IFERROR(VLOOKUP($A6076,HeadJournal!$A$1:$NTR$890,COLUMN(HeadJournal!G$1),0),"")</f>
        <v/>
      </c>
      <c r="F6076" s="95" t="str">
        <f t="shared" si="449"/>
        <v/>
      </c>
      <c r="G6076" s="97"/>
      <c r="H6076" s="161"/>
      <c r="I6076" s="97"/>
      <c r="J6076" s="97"/>
      <c r="K6076" s="29"/>
      <c r="L6076" s="29"/>
      <c r="M6076" s="30">
        <f>IFERROR(VLOOKUP($A6076,HeadJournal!$A$1:$J$890,COLUMN(HeadJournal!I$1),0)*($K6076+$L6076)/(SUMIF($A:$A,$A6076,$K:$K)+SUMIF($A:$A,$A6076,$L:$L)),0)</f>
        <v>0</v>
      </c>
      <c r="N6076" s="30">
        <f>IFERROR((VLOOKUP($A6076,HeadJournal!$A$1:$K$890,COLUMN(HeadJournal!K$1),0)-VLOOKUP($A6076,HeadJournal!$A$1:$K$890,COLUMN(HeadJournal!J$1),0))*($K6076+$L6076)/(SUMIF($A:$A,$A6076,$K:$K)+SUMIF($A:$A,$A6076,$L:$L)),0)</f>
        <v>0</v>
      </c>
      <c r="O6076" s="30">
        <f>IFERROR((VLOOKUP($A6076,HeadJournal!$A$1:$L$890,COLUMN(HeadJournal!L$1),0)*($K6076+$L6076)/(SUMIF($A:$A,$A6076,$K:$K)+SUMIF($A:$A,$A6076,$L:$L)))/VLOOKUP($A6076,HeadJournal!$A$1:$L$890,COLUMN(HeadJournal!H$1),0),0)</f>
        <v>0</v>
      </c>
      <c r="P6076" s="30">
        <f>IFERROR(SUM(K6076:O6076)*VLOOKUP($A6076,HeadJournal!$A$1:$L$890,COLUMN(HeadJournal!H$1),0),0)</f>
        <v>0</v>
      </c>
      <c r="Q6076" s="29"/>
      <c r="R6076" s="31"/>
      <c r="S6076" s="31"/>
      <c r="T6076" s="95" t="str">
        <f t="shared" si="450"/>
        <v/>
      </c>
      <c r="U6076" s="32">
        <f t="shared" si="451"/>
        <v>0</v>
      </c>
      <c r="V6076" s="22" t="str">
        <f t="shared" si="452"/>
        <v/>
      </c>
      <c r="X6076" s="33"/>
      <c r="Y6076" s="33"/>
    </row>
    <row r="6077" spans="1:25" x14ac:dyDescent="0.2">
      <c r="A6077" s="93"/>
      <c r="B6077" s="94" t="str">
        <f>IFERROR(VLOOKUP($A6077,HeadJournal!$A$1:$NTR$890,COLUMN(HeadJournal!B$1),0),"")</f>
        <v/>
      </c>
      <c r="C6077" s="94" t="str">
        <f>IFERROR(VLOOKUP($A6077,HeadJournal!$A$1:$NTR$890,COLUMN(HeadJournal!C$1),0),"")</f>
        <v/>
      </c>
      <c r="D6077" s="125" t="str">
        <f>IFERROR(VLOOKUP($A6077,HeadJournal!$A$1:$NTR$890,COLUMN(HeadJournal!D$1),0),"")</f>
        <v/>
      </c>
      <c r="E6077" s="95" t="str">
        <f>IFERROR(VLOOKUP($A6077,HeadJournal!$A$1:$NTR$890,COLUMN(HeadJournal!G$1),0),"")</f>
        <v/>
      </c>
      <c r="F6077" s="95" t="str">
        <f t="shared" si="449"/>
        <v/>
      </c>
      <c r="G6077" s="97"/>
      <c r="H6077" s="161"/>
      <c r="I6077" s="97"/>
      <c r="J6077" s="97"/>
      <c r="K6077" s="29"/>
      <c r="L6077" s="29"/>
      <c r="M6077" s="30">
        <f>IFERROR(VLOOKUP($A6077,HeadJournal!$A$1:$J$890,COLUMN(HeadJournal!I$1),0)*($K6077+$L6077)/(SUMIF($A:$A,$A6077,$K:$K)+SUMIF($A:$A,$A6077,$L:$L)),0)</f>
        <v>0</v>
      </c>
      <c r="N6077" s="30">
        <f>IFERROR((VLOOKUP($A6077,HeadJournal!$A$1:$K$890,COLUMN(HeadJournal!K$1),0)-VLOOKUP($A6077,HeadJournal!$A$1:$K$890,COLUMN(HeadJournal!J$1),0))*($K6077+$L6077)/(SUMIF($A:$A,$A6077,$K:$K)+SUMIF($A:$A,$A6077,$L:$L)),0)</f>
        <v>0</v>
      </c>
      <c r="O6077" s="30">
        <f>IFERROR((VLOOKUP($A6077,HeadJournal!$A$1:$L$890,COLUMN(HeadJournal!L$1),0)*($K6077+$L6077)/(SUMIF($A:$A,$A6077,$K:$K)+SUMIF($A:$A,$A6077,$L:$L)))/VLOOKUP($A6077,HeadJournal!$A$1:$L$890,COLUMN(HeadJournal!H$1),0),0)</f>
        <v>0</v>
      </c>
      <c r="P6077" s="30">
        <f>IFERROR(SUM(K6077:O6077)*VLOOKUP($A6077,HeadJournal!$A$1:$L$890,COLUMN(HeadJournal!H$1),0),0)</f>
        <v>0</v>
      </c>
      <c r="Q6077" s="29"/>
      <c r="R6077" s="31"/>
      <c r="S6077" s="31"/>
      <c r="T6077" s="95" t="str">
        <f t="shared" si="450"/>
        <v/>
      </c>
      <c r="U6077" s="32">
        <f t="shared" si="451"/>
        <v>0</v>
      </c>
      <c r="V6077" s="22" t="str">
        <f t="shared" si="452"/>
        <v/>
      </c>
      <c r="X6077" s="33"/>
      <c r="Y6077" s="33"/>
    </row>
    <row r="6078" spans="1:25" x14ac:dyDescent="0.2">
      <c r="A6078" s="93"/>
      <c r="B6078" s="94" t="str">
        <f>IFERROR(VLOOKUP($A6078,HeadJournal!$A$1:$NTR$890,COLUMN(HeadJournal!B$1),0),"")</f>
        <v/>
      </c>
      <c r="C6078" s="94" t="str">
        <f>IFERROR(VLOOKUP($A6078,HeadJournal!$A$1:$NTR$890,COLUMN(HeadJournal!C$1),0),"")</f>
        <v/>
      </c>
      <c r="D6078" s="125" t="str">
        <f>IFERROR(VLOOKUP($A6078,HeadJournal!$A$1:$NTR$890,COLUMN(HeadJournal!D$1),0),"")</f>
        <v/>
      </c>
      <c r="E6078" s="95" t="str">
        <f>IFERROR(VLOOKUP($A6078,HeadJournal!$A$1:$NTR$890,COLUMN(HeadJournal!G$1),0),"")</f>
        <v/>
      </c>
      <c r="F6078" s="95" t="str">
        <f t="shared" si="449"/>
        <v/>
      </c>
      <c r="G6078" s="97"/>
      <c r="H6078" s="161"/>
      <c r="I6078" s="97"/>
      <c r="J6078" s="97"/>
      <c r="K6078" s="29"/>
      <c r="L6078" s="29"/>
      <c r="M6078" s="30">
        <f>IFERROR(VLOOKUP($A6078,HeadJournal!$A$1:$J$890,COLUMN(HeadJournal!I$1),0)*($K6078+$L6078)/(SUMIF($A:$A,$A6078,$K:$K)+SUMIF($A:$A,$A6078,$L:$L)),0)</f>
        <v>0</v>
      </c>
      <c r="N6078" s="30">
        <f>IFERROR((VLOOKUP($A6078,HeadJournal!$A$1:$K$890,COLUMN(HeadJournal!K$1),0)-VLOOKUP($A6078,HeadJournal!$A$1:$K$890,COLUMN(HeadJournal!J$1),0))*($K6078+$L6078)/(SUMIF($A:$A,$A6078,$K:$K)+SUMIF($A:$A,$A6078,$L:$L)),0)</f>
        <v>0</v>
      </c>
      <c r="O6078" s="30">
        <f>IFERROR((VLOOKUP($A6078,HeadJournal!$A$1:$L$890,COLUMN(HeadJournal!L$1),0)*($K6078+$L6078)/(SUMIF($A:$A,$A6078,$K:$K)+SUMIF($A:$A,$A6078,$L:$L)))/VLOOKUP($A6078,HeadJournal!$A$1:$L$890,COLUMN(HeadJournal!H$1),0),0)</f>
        <v>0</v>
      </c>
      <c r="P6078" s="30">
        <f>IFERROR(SUM(K6078:O6078)*VLOOKUP($A6078,HeadJournal!$A$1:$L$890,COLUMN(HeadJournal!H$1),0),0)</f>
        <v>0</v>
      </c>
      <c r="Q6078" s="29"/>
      <c r="R6078" s="31"/>
      <c r="S6078" s="31"/>
      <c r="T6078" s="95" t="str">
        <f t="shared" si="450"/>
        <v/>
      </c>
      <c r="U6078" s="32">
        <f t="shared" si="451"/>
        <v>0</v>
      </c>
      <c r="V6078" s="22" t="str">
        <f t="shared" si="452"/>
        <v/>
      </c>
      <c r="X6078" s="33"/>
      <c r="Y6078" s="33"/>
    </row>
    <row r="6079" spans="1:25" x14ac:dyDescent="0.2">
      <c r="A6079" s="93"/>
      <c r="B6079" s="94" t="str">
        <f>IFERROR(VLOOKUP($A6079,HeadJournal!$A$1:$NTR$890,COLUMN(HeadJournal!B$1),0),"")</f>
        <v/>
      </c>
      <c r="C6079" s="94" t="str">
        <f>IFERROR(VLOOKUP($A6079,HeadJournal!$A$1:$NTR$890,COLUMN(HeadJournal!C$1),0),"")</f>
        <v/>
      </c>
      <c r="D6079" s="125" t="str">
        <f>IFERROR(VLOOKUP($A6079,HeadJournal!$A$1:$NTR$890,COLUMN(HeadJournal!D$1),0),"")</f>
        <v/>
      </c>
      <c r="E6079" s="95" t="str">
        <f>IFERROR(VLOOKUP($A6079,HeadJournal!$A$1:$NTR$890,COLUMN(HeadJournal!G$1),0),"")</f>
        <v/>
      </c>
      <c r="F6079" s="95" t="str">
        <f t="shared" si="449"/>
        <v/>
      </c>
      <c r="G6079" s="97"/>
      <c r="H6079" s="161"/>
      <c r="I6079" s="97"/>
      <c r="J6079" s="97"/>
      <c r="K6079" s="29"/>
      <c r="L6079" s="29"/>
      <c r="M6079" s="30">
        <f>IFERROR(VLOOKUP($A6079,HeadJournal!$A$1:$J$890,COLUMN(HeadJournal!I$1),0)*($K6079+$L6079)/(SUMIF($A:$A,$A6079,$K:$K)+SUMIF($A:$A,$A6079,$L:$L)),0)</f>
        <v>0</v>
      </c>
      <c r="N6079" s="30">
        <f>IFERROR((VLOOKUP($A6079,HeadJournal!$A$1:$K$890,COLUMN(HeadJournal!K$1),0)-VLOOKUP($A6079,HeadJournal!$A$1:$K$890,COLUMN(HeadJournal!J$1),0))*($K6079+$L6079)/(SUMIF($A:$A,$A6079,$K:$K)+SUMIF($A:$A,$A6079,$L:$L)),0)</f>
        <v>0</v>
      </c>
      <c r="O6079" s="30">
        <f>IFERROR((VLOOKUP($A6079,HeadJournal!$A$1:$L$890,COLUMN(HeadJournal!L$1),0)*($K6079+$L6079)/(SUMIF($A:$A,$A6079,$K:$K)+SUMIF($A:$A,$A6079,$L:$L)))/VLOOKUP($A6079,HeadJournal!$A$1:$L$890,COLUMN(HeadJournal!H$1),0),0)</f>
        <v>0</v>
      </c>
      <c r="P6079" s="30">
        <f>IFERROR(SUM(K6079:O6079)*VLOOKUP($A6079,HeadJournal!$A$1:$L$890,COLUMN(HeadJournal!H$1),0),0)</f>
        <v>0</v>
      </c>
      <c r="Q6079" s="29"/>
      <c r="R6079" s="31"/>
      <c r="S6079" s="31"/>
      <c r="T6079" s="95" t="str">
        <f t="shared" si="450"/>
        <v/>
      </c>
      <c r="U6079" s="32">
        <f t="shared" si="451"/>
        <v>0</v>
      </c>
      <c r="V6079" s="22" t="str">
        <f t="shared" si="452"/>
        <v/>
      </c>
      <c r="X6079" s="33"/>
      <c r="Y6079" s="33"/>
    </row>
    <row r="6080" spans="1:25" x14ac:dyDescent="0.2">
      <c r="A6080" s="93"/>
      <c r="B6080" s="94" t="str">
        <f>IFERROR(VLOOKUP($A6080,HeadJournal!$A$1:$NTR$890,COLUMN(HeadJournal!B$1),0),"")</f>
        <v/>
      </c>
      <c r="C6080" s="94" t="str">
        <f>IFERROR(VLOOKUP($A6080,HeadJournal!$A$1:$NTR$890,COLUMN(HeadJournal!C$1),0),"")</f>
        <v/>
      </c>
      <c r="D6080" s="125" t="str">
        <f>IFERROR(VLOOKUP($A6080,HeadJournal!$A$1:$NTR$890,COLUMN(HeadJournal!D$1),0),"")</f>
        <v/>
      </c>
      <c r="E6080" s="95" t="str">
        <f>IFERROR(VLOOKUP($A6080,HeadJournal!$A$1:$NTR$890,COLUMN(HeadJournal!G$1),0),"")</f>
        <v/>
      </c>
      <c r="F6080" s="95" t="str">
        <f t="shared" si="449"/>
        <v/>
      </c>
      <c r="G6080" s="97"/>
      <c r="H6080" s="161"/>
      <c r="I6080" s="97"/>
      <c r="J6080" s="97"/>
      <c r="K6080" s="29"/>
      <c r="L6080" s="29"/>
      <c r="M6080" s="30">
        <f>IFERROR(VLOOKUP($A6080,HeadJournal!$A$1:$J$890,COLUMN(HeadJournal!I$1),0)*($K6080+$L6080)/(SUMIF($A:$A,$A6080,$K:$K)+SUMIF($A:$A,$A6080,$L:$L)),0)</f>
        <v>0</v>
      </c>
      <c r="N6080" s="30">
        <f>IFERROR((VLOOKUP($A6080,HeadJournal!$A$1:$K$890,COLUMN(HeadJournal!K$1),0)-VLOOKUP($A6080,HeadJournal!$A$1:$K$890,COLUMN(HeadJournal!J$1),0))*($K6080+$L6080)/(SUMIF($A:$A,$A6080,$K:$K)+SUMIF($A:$A,$A6080,$L:$L)),0)</f>
        <v>0</v>
      </c>
      <c r="O6080" s="30">
        <f>IFERROR((VLOOKUP($A6080,HeadJournal!$A$1:$L$890,COLUMN(HeadJournal!L$1),0)*($K6080+$L6080)/(SUMIF($A:$A,$A6080,$K:$K)+SUMIF($A:$A,$A6080,$L:$L)))/VLOOKUP($A6080,HeadJournal!$A$1:$L$890,COLUMN(HeadJournal!H$1),0),0)</f>
        <v>0</v>
      </c>
      <c r="P6080" s="30">
        <f>IFERROR(SUM(K6080:O6080)*VLOOKUP($A6080,HeadJournal!$A$1:$L$890,COLUMN(HeadJournal!H$1),0),0)</f>
        <v>0</v>
      </c>
      <c r="Q6080" s="29"/>
      <c r="R6080" s="31"/>
      <c r="S6080" s="31"/>
      <c r="T6080" s="95" t="str">
        <f t="shared" si="450"/>
        <v/>
      </c>
      <c r="U6080" s="32">
        <f t="shared" si="451"/>
        <v>0</v>
      </c>
      <c r="V6080" s="22" t="str">
        <f t="shared" si="452"/>
        <v/>
      </c>
      <c r="X6080" s="33"/>
      <c r="Y6080" s="33"/>
    </row>
    <row r="6081" spans="1:25" x14ac:dyDescent="0.2">
      <c r="A6081" s="93"/>
      <c r="B6081" s="94" t="str">
        <f>IFERROR(VLOOKUP($A6081,HeadJournal!$A$1:$NTR$890,COLUMN(HeadJournal!B$1),0),"")</f>
        <v/>
      </c>
      <c r="C6081" s="94" t="str">
        <f>IFERROR(VLOOKUP($A6081,HeadJournal!$A$1:$NTR$890,COLUMN(HeadJournal!C$1),0),"")</f>
        <v/>
      </c>
      <c r="D6081" s="125" t="str">
        <f>IFERROR(VLOOKUP($A6081,HeadJournal!$A$1:$NTR$890,COLUMN(HeadJournal!D$1),0),"")</f>
        <v/>
      </c>
      <c r="E6081" s="95" t="str">
        <f>IFERROR(VLOOKUP($A6081,HeadJournal!$A$1:$NTR$890,COLUMN(HeadJournal!G$1),0),"")</f>
        <v/>
      </c>
      <c r="F6081" s="95" t="str">
        <f t="shared" si="449"/>
        <v/>
      </c>
      <c r="G6081" s="97"/>
      <c r="H6081" s="161"/>
      <c r="I6081" s="97"/>
      <c r="J6081" s="97"/>
      <c r="K6081" s="29"/>
      <c r="L6081" s="29"/>
      <c r="M6081" s="30">
        <f>IFERROR(VLOOKUP($A6081,HeadJournal!$A$1:$J$890,COLUMN(HeadJournal!I$1),0)*($K6081+$L6081)/(SUMIF($A:$A,$A6081,$K:$K)+SUMIF($A:$A,$A6081,$L:$L)),0)</f>
        <v>0</v>
      </c>
      <c r="N6081" s="30">
        <f>IFERROR((VLOOKUP($A6081,HeadJournal!$A$1:$K$890,COLUMN(HeadJournal!K$1),0)-VLOOKUP($A6081,HeadJournal!$A$1:$K$890,COLUMN(HeadJournal!J$1),0))*($K6081+$L6081)/(SUMIF($A:$A,$A6081,$K:$K)+SUMIF($A:$A,$A6081,$L:$L)),0)</f>
        <v>0</v>
      </c>
      <c r="O6081" s="30">
        <f>IFERROR((VLOOKUP($A6081,HeadJournal!$A$1:$L$890,COLUMN(HeadJournal!L$1),0)*($K6081+$L6081)/(SUMIF($A:$A,$A6081,$K:$K)+SUMIF($A:$A,$A6081,$L:$L)))/VLOOKUP($A6081,HeadJournal!$A$1:$L$890,COLUMN(HeadJournal!H$1),0),0)</f>
        <v>0</v>
      </c>
      <c r="P6081" s="30">
        <f>IFERROR(SUM(K6081:O6081)*VLOOKUP($A6081,HeadJournal!$A$1:$L$890,COLUMN(HeadJournal!H$1),0),0)</f>
        <v>0</v>
      </c>
      <c r="Q6081" s="29"/>
      <c r="R6081" s="31"/>
      <c r="S6081" s="31"/>
      <c r="T6081" s="95" t="str">
        <f t="shared" si="450"/>
        <v/>
      </c>
      <c r="U6081" s="32">
        <f t="shared" si="451"/>
        <v>0</v>
      </c>
      <c r="V6081" s="22" t="str">
        <f t="shared" si="452"/>
        <v/>
      </c>
      <c r="X6081" s="33"/>
      <c r="Y6081" s="33"/>
    </row>
    <row r="6082" spans="1:25" x14ac:dyDescent="0.2">
      <c r="A6082" s="93"/>
      <c r="B6082" s="94" t="str">
        <f>IFERROR(VLOOKUP($A6082,HeadJournal!$A$1:$NTR$890,COLUMN(HeadJournal!B$1),0),"")</f>
        <v/>
      </c>
      <c r="C6082" s="94" t="str">
        <f>IFERROR(VLOOKUP($A6082,HeadJournal!$A$1:$NTR$890,COLUMN(HeadJournal!C$1),0),"")</f>
        <v/>
      </c>
      <c r="D6082" s="125" t="str">
        <f>IFERROR(VLOOKUP($A6082,HeadJournal!$A$1:$NTR$890,COLUMN(HeadJournal!D$1),0),"")</f>
        <v/>
      </c>
      <c r="E6082" s="95" t="str">
        <f>IFERROR(VLOOKUP($A6082,HeadJournal!$A$1:$NTR$890,COLUMN(HeadJournal!G$1),0),"")</f>
        <v/>
      </c>
      <c r="F6082" s="95" t="str">
        <f t="shared" si="449"/>
        <v/>
      </c>
      <c r="G6082" s="97"/>
      <c r="H6082" s="161"/>
      <c r="I6082" s="97"/>
      <c r="J6082" s="97"/>
      <c r="K6082" s="29"/>
      <c r="L6082" s="29"/>
      <c r="M6082" s="30">
        <f>IFERROR(VLOOKUP($A6082,HeadJournal!$A$1:$J$890,COLUMN(HeadJournal!I$1),0)*($K6082+$L6082)/(SUMIF($A:$A,$A6082,$K:$K)+SUMIF($A:$A,$A6082,$L:$L)),0)</f>
        <v>0</v>
      </c>
      <c r="N6082" s="30">
        <f>IFERROR((VLOOKUP($A6082,HeadJournal!$A$1:$K$890,COLUMN(HeadJournal!K$1),0)-VLOOKUP($A6082,HeadJournal!$A$1:$K$890,COLUMN(HeadJournal!J$1),0))*($K6082+$L6082)/(SUMIF($A:$A,$A6082,$K:$K)+SUMIF($A:$A,$A6082,$L:$L)),0)</f>
        <v>0</v>
      </c>
      <c r="O6082" s="30">
        <f>IFERROR((VLOOKUP($A6082,HeadJournal!$A$1:$L$890,COLUMN(HeadJournal!L$1),0)*($K6082+$L6082)/(SUMIF($A:$A,$A6082,$K:$K)+SUMIF($A:$A,$A6082,$L:$L)))/VLOOKUP($A6082,HeadJournal!$A$1:$L$890,COLUMN(HeadJournal!H$1),0),0)</f>
        <v>0</v>
      </c>
      <c r="P6082" s="30">
        <f>IFERROR(SUM(K6082:O6082)*VLOOKUP($A6082,HeadJournal!$A$1:$L$890,COLUMN(HeadJournal!H$1),0),0)</f>
        <v>0</v>
      </c>
      <c r="Q6082" s="29"/>
      <c r="R6082" s="31"/>
      <c r="S6082" s="31"/>
      <c r="T6082" s="95" t="str">
        <f t="shared" si="450"/>
        <v/>
      </c>
      <c r="U6082" s="32">
        <f t="shared" si="451"/>
        <v>0</v>
      </c>
      <c r="V6082" s="22" t="str">
        <f t="shared" si="452"/>
        <v/>
      </c>
      <c r="X6082" s="33"/>
      <c r="Y6082" s="33"/>
    </row>
    <row r="6083" spans="1:25" x14ac:dyDescent="0.2">
      <c r="A6083" s="93"/>
      <c r="B6083" s="94" t="str">
        <f>IFERROR(VLOOKUP($A6083,HeadJournal!$A$1:$NTR$890,COLUMN(HeadJournal!B$1),0),"")</f>
        <v/>
      </c>
      <c r="C6083" s="94" t="str">
        <f>IFERROR(VLOOKUP($A6083,HeadJournal!$A$1:$NTR$890,COLUMN(HeadJournal!C$1),0),"")</f>
        <v/>
      </c>
      <c r="D6083" s="125" t="str">
        <f>IFERROR(VLOOKUP($A6083,HeadJournal!$A$1:$NTR$890,COLUMN(HeadJournal!D$1),0),"")</f>
        <v/>
      </c>
      <c r="E6083" s="95" t="str">
        <f>IFERROR(VLOOKUP($A6083,HeadJournal!$A$1:$NTR$890,COLUMN(HeadJournal!G$1),0),"")</f>
        <v/>
      </c>
      <c r="F6083" s="95" t="str">
        <f t="shared" si="449"/>
        <v/>
      </c>
      <c r="G6083" s="97"/>
      <c r="H6083" s="161"/>
      <c r="I6083" s="97"/>
      <c r="J6083" s="97"/>
      <c r="K6083" s="29"/>
      <c r="L6083" s="29"/>
      <c r="M6083" s="30">
        <f>IFERROR(VLOOKUP($A6083,HeadJournal!$A$1:$J$890,COLUMN(HeadJournal!I$1),0)*($K6083+$L6083)/(SUMIF($A:$A,$A6083,$K:$K)+SUMIF($A:$A,$A6083,$L:$L)),0)</f>
        <v>0</v>
      </c>
      <c r="N6083" s="30">
        <f>IFERROR((VLOOKUP($A6083,HeadJournal!$A$1:$K$890,COLUMN(HeadJournal!K$1),0)-VLOOKUP($A6083,HeadJournal!$A$1:$K$890,COLUMN(HeadJournal!J$1),0))*($K6083+$L6083)/(SUMIF($A:$A,$A6083,$K:$K)+SUMIF($A:$A,$A6083,$L:$L)),0)</f>
        <v>0</v>
      </c>
      <c r="O6083" s="30">
        <f>IFERROR((VLOOKUP($A6083,HeadJournal!$A$1:$L$890,COLUMN(HeadJournal!L$1),0)*($K6083+$L6083)/(SUMIF($A:$A,$A6083,$K:$K)+SUMIF($A:$A,$A6083,$L:$L)))/VLOOKUP($A6083,HeadJournal!$A$1:$L$890,COLUMN(HeadJournal!H$1),0),0)</f>
        <v>0</v>
      </c>
      <c r="P6083" s="30">
        <f>IFERROR(SUM(K6083:O6083)*VLOOKUP($A6083,HeadJournal!$A$1:$L$890,COLUMN(HeadJournal!H$1),0),0)</f>
        <v>0</v>
      </c>
      <c r="Q6083" s="29"/>
      <c r="R6083" s="31"/>
      <c r="S6083" s="31"/>
      <c r="T6083" s="95" t="str">
        <f t="shared" si="450"/>
        <v/>
      </c>
      <c r="U6083" s="32">
        <f t="shared" si="451"/>
        <v>0</v>
      </c>
      <c r="V6083" s="22" t="str">
        <f t="shared" si="452"/>
        <v/>
      </c>
      <c r="X6083" s="33"/>
      <c r="Y6083" s="33"/>
    </row>
    <row r="6084" spans="1:25" x14ac:dyDescent="0.2">
      <c r="A6084" s="93"/>
      <c r="B6084" s="94" t="str">
        <f>IFERROR(VLOOKUP($A6084,HeadJournal!$A$1:$NTR$890,COLUMN(HeadJournal!B$1),0),"")</f>
        <v/>
      </c>
      <c r="C6084" s="94" t="str">
        <f>IFERROR(VLOOKUP($A6084,HeadJournal!$A$1:$NTR$890,COLUMN(HeadJournal!C$1),0),"")</f>
        <v/>
      </c>
      <c r="D6084" s="125" t="str">
        <f>IFERROR(VLOOKUP($A6084,HeadJournal!$A$1:$NTR$890,COLUMN(HeadJournal!D$1),0),"")</f>
        <v/>
      </c>
      <c r="E6084" s="95" t="str">
        <f>IFERROR(VLOOKUP($A6084,HeadJournal!$A$1:$NTR$890,COLUMN(HeadJournal!G$1),0),"")</f>
        <v/>
      </c>
      <c r="F6084" s="95" t="str">
        <f t="shared" si="449"/>
        <v/>
      </c>
      <c r="G6084" s="97"/>
      <c r="H6084" s="161"/>
      <c r="I6084" s="97"/>
      <c r="J6084" s="97"/>
      <c r="K6084" s="29"/>
      <c r="L6084" s="29"/>
      <c r="M6084" s="30">
        <f>IFERROR(VLOOKUP($A6084,HeadJournal!$A$1:$J$890,COLUMN(HeadJournal!I$1),0)*($K6084+$L6084)/(SUMIF($A:$A,$A6084,$K:$K)+SUMIF($A:$A,$A6084,$L:$L)),0)</f>
        <v>0</v>
      </c>
      <c r="N6084" s="30">
        <f>IFERROR((VLOOKUP($A6084,HeadJournal!$A$1:$K$890,COLUMN(HeadJournal!K$1),0)-VLOOKUP($A6084,HeadJournal!$A$1:$K$890,COLUMN(HeadJournal!J$1),0))*($K6084+$L6084)/(SUMIF($A:$A,$A6084,$K:$K)+SUMIF($A:$A,$A6084,$L:$L)),0)</f>
        <v>0</v>
      </c>
      <c r="O6084" s="30">
        <f>IFERROR((VLOOKUP($A6084,HeadJournal!$A$1:$L$890,COLUMN(HeadJournal!L$1),0)*($K6084+$L6084)/(SUMIF($A:$A,$A6084,$K:$K)+SUMIF($A:$A,$A6084,$L:$L)))/VLOOKUP($A6084,HeadJournal!$A$1:$L$890,COLUMN(HeadJournal!H$1),0),0)</f>
        <v>0</v>
      </c>
      <c r="P6084" s="30">
        <f>IFERROR(SUM(K6084:O6084)*VLOOKUP($A6084,HeadJournal!$A$1:$L$890,COLUMN(HeadJournal!H$1),0),0)</f>
        <v>0</v>
      </c>
      <c r="Q6084" s="29"/>
      <c r="R6084" s="31"/>
      <c r="S6084" s="31"/>
      <c r="T6084" s="95" t="str">
        <f t="shared" si="450"/>
        <v/>
      </c>
      <c r="U6084" s="32">
        <f t="shared" si="451"/>
        <v>0</v>
      </c>
      <c r="V6084" s="22" t="str">
        <f t="shared" si="452"/>
        <v/>
      </c>
      <c r="X6084" s="33"/>
      <c r="Y6084" s="33"/>
    </row>
    <row r="6085" spans="1:25" x14ac:dyDescent="0.2">
      <c r="A6085" s="93"/>
      <c r="B6085" s="94" t="str">
        <f>IFERROR(VLOOKUP($A6085,HeadJournal!$A$1:$NTR$890,COLUMN(HeadJournal!B$1),0),"")</f>
        <v/>
      </c>
      <c r="C6085" s="94" t="str">
        <f>IFERROR(VLOOKUP($A6085,HeadJournal!$A$1:$NTR$890,COLUMN(HeadJournal!C$1),0),"")</f>
        <v/>
      </c>
      <c r="D6085" s="125" t="str">
        <f>IFERROR(VLOOKUP($A6085,HeadJournal!$A$1:$NTR$890,COLUMN(HeadJournal!D$1),0),"")</f>
        <v/>
      </c>
      <c r="E6085" s="95" t="str">
        <f>IFERROR(VLOOKUP($A6085,HeadJournal!$A$1:$NTR$890,COLUMN(HeadJournal!G$1),0),"")</f>
        <v/>
      </c>
      <c r="F6085" s="95" t="str">
        <f t="shared" si="449"/>
        <v/>
      </c>
      <c r="G6085" s="97"/>
      <c r="H6085" s="161"/>
      <c r="I6085" s="97"/>
      <c r="J6085" s="97"/>
      <c r="K6085" s="29"/>
      <c r="L6085" s="29"/>
      <c r="M6085" s="30">
        <f>IFERROR(VLOOKUP($A6085,HeadJournal!$A$1:$J$890,COLUMN(HeadJournal!I$1),0)*($K6085+$L6085)/(SUMIF($A:$A,$A6085,$K:$K)+SUMIF($A:$A,$A6085,$L:$L)),0)</f>
        <v>0</v>
      </c>
      <c r="N6085" s="30">
        <f>IFERROR((VLOOKUP($A6085,HeadJournal!$A$1:$K$890,COLUMN(HeadJournal!K$1),0)-VLOOKUP($A6085,HeadJournal!$A$1:$K$890,COLUMN(HeadJournal!J$1),0))*($K6085+$L6085)/(SUMIF($A:$A,$A6085,$K:$K)+SUMIF($A:$A,$A6085,$L:$L)),0)</f>
        <v>0</v>
      </c>
      <c r="O6085" s="30">
        <f>IFERROR((VLOOKUP($A6085,HeadJournal!$A$1:$L$890,COLUMN(HeadJournal!L$1),0)*($K6085+$L6085)/(SUMIF($A:$A,$A6085,$K:$K)+SUMIF($A:$A,$A6085,$L:$L)))/VLOOKUP($A6085,HeadJournal!$A$1:$L$890,COLUMN(HeadJournal!H$1),0),0)</f>
        <v>0</v>
      </c>
      <c r="P6085" s="30">
        <f>IFERROR(SUM(K6085:O6085)*VLOOKUP($A6085,HeadJournal!$A$1:$L$890,COLUMN(HeadJournal!H$1),0),0)</f>
        <v>0</v>
      </c>
      <c r="Q6085" s="29"/>
      <c r="R6085" s="31"/>
      <c r="S6085" s="31"/>
      <c r="T6085" s="95" t="str">
        <f t="shared" si="450"/>
        <v/>
      </c>
      <c r="U6085" s="32">
        <f t="shared" si="451"/>
        <v>0</v>
      </c>
      <c r="V6085" s="22" t="str">
        <f t="shared" si="452"/>
        <v/>
      </c>
      <c r="X6085" s="33"/>
      <c r="Y6085" s="33"/>
    </row>
    <row r="6086" spans="1:25" x14ac:dyDescent="0.2">
      <c r="A6086" s="93"/>
      <c r="B6086" s="94" t="str">
        <f>IFERROR(VLOOKUP($A6086,HeadJournal!$A$1:$NTR$890,COLUMN(HeadJournal!B$1),0),"")</f>
        <v/>
      </c>
      <c r="C6086" s="94" t="str">
        <f>IFERROR(VLOOKUP($A6086,HeadJournal!$A$1:$NTR$890,COLUMN(HeadJournal!C$1),0),"")</f>
        <v/>
      </c>
      <c r="D6086" s="125" t="str">
        <f>IFERROR(VLOOKUP($A6086,HeadJournal!$A$1:$NTR$890,COLUMN(HeadJournal!D$1),0),"")</f>
        <v/>
      </c>
      <c r="E6086" s="95" t="str">
        <f>IFERROR(VLOOKUP($A6086,HeadJournal!$A$1:$NTR$890,COLUMN(HeadJournal!G$1),0),"")</f>
        <v/>
      </c>
      <c r="F6086" s="95" t="str">
        <f t="shared" si="449"/>
        <v/>
      </c>
      <c r="G6086" s="97"/>
      <c r="H6086" s="161"/>
      <c r="I6086" s="97"/>
      <c r="J6086" s="97"/>
      <c r="K6086" s="29"/>
      <c r="L6086" s="29"/>
      <c r="M6086" s="30">
        <f>IFERROR(VLOOKUP($A6086,HeadJournal!$A$1:$J$890,COLUMN(HeadJournal!I$1),0)*($K6086+$L6086)/(SUMIF($A:$A,$A6086,$K:$K)+SUMIF($A:$A,$A6086,$L:$L)),0)</f>
        <v>0</v>
      </c>
      <c r="N6086" s="30">
        <f>IFERROR((VLOOKUP($A6086,HeadJournal!$A$1:$K$890,COLUMN(HeadJournal!K$1),0)-VLOOKUP($A6086,HeadJournal!$A$1:$K$890,COLUMN(HeadJournal!J$1),0))*($K6086+$L6086)/(SUMIF($A:$A,$A6086,$K:$K)+SUMIF($A:$A,$A6086,$L:$L)),0)</f>
        <v>0</v>
      </c>
      <c r="O6086" s="30">
        <f>IFERROR((VLOOKUP($A6086,HeadJournal!$A$1:$L$890,COLUMN(HeadJournal!L$1),0)*($K6086+$L6086)/(SUMIF($A:$A,$A6086,$K:$K)+SUMIF($A:$A,$A6086,$L:$L)))/VLOOKUP($A6086,HeadJournal!$A$1:$L$890,COLUMN(HeadJournal!H$1),0),0)</f>
        <v>0</v>
      </c>
      <c r="P6086" s="30">
        <f>IFERROR(SUM(K6086:O6086)*VLOOKUP($A6086,HeadJournal!$A$1:$L$890,COLUMN(HeadJournal!H$1),0),0)</f>
        <v>0</v>
      </c>
      <c r="Q6086" s="29"/>
      <c r="R6086" s="31"/>
      <c r="S6086" s="31"/>
      <c r="T6086" s="95" t="str">
        <f t="shared" si="450"/>
        <v/>
      </c>
      <c r="U6086" s="32">
        <f t="shared" si="451"/>
        <v>0</v>
      </c>
      <c r="V6086" s="22" t="str">
        <f t="shared" si="452"/>
        <v/>
      </c>
      <c r="X6086" s="33"/>
      <c r="Y6086" s="33"/>
    </row>
    <row r="6087" spans="1:25" x14ac:dyDescent="0.2">
      <c r="A6087" s="93"/>
      <c r="B6087" s="94" t="str">
        <f>IFERROR(VLOOKUP($A6087,HeadJournal!$A$1:$NTR$890,COLUMN(HeadJournal!B$1),0),"")</f>
        <v/>
      </c>
      <c r="C6087" s="94" t="str">
        <f>IFERROR(VLOOKUP($A6087,HeadJournal!$A$1:$NTR$890,COLUMN(HeadJournal!C$1),0),"")</f>
        <v/>
      </c>
      <c r="D6087" s="125" t="str">
        <f>IFERROR(VLOOKUP($A6087,HeadJournal!$A$1:$NTR$890,COLUMN(HeadJournal!D$1),0),"")</f>
        <v/>
      </c>
      <c r="E6087" s="95" t="str">
        <f>IFERROR(VLOOKUP($A6087,HeadJournal!$A$1:$NTR$890,COLUMN(HeadJournal!G$1),0),"")</f>
        <v/>
      </c>
      <c r="F6087" s="95" t="str">
        <f t="shared" si="449"/>
        <v/>
      </c>
      <c r="G6087" s="97"/>
      <c r="H6087" s="161"/>
      <c r="I6087" s="97"/>
      <c r="J6087" s="97"/>
      <c r="K6087" s="29"/>
      <c r="L6087" s="29"/>
      <c r="M6087" s="30">
        <f>IFERROR(VLOOKUP($A6087,HeadJournal!$A$1:$J$890,COLUMN(HeadJournal!I$1),0)*($K6087+$L6087)/(SUMIF($A:$A,$A6087,$K:$K)+SUMIF($A:$A,$A6087,$L:$L)),0)</f>
        <v>0</v>
      </c>
      <c r="N6087" s="30">
        <f>IFERROR((VLOOKUP($A6087,HeadJournal!$A$1:$K$890,COLUMN(HeadJournal!K$1),0)-VLOOKUP($A6087,HeadJournal!$A$1:$K$890,COLUMN(HeadJournal!J$1),0))*($K6087+$L6087)/(SUMIF($A:$A,$A6087,$K:$K)+SUMIF($A:$A,$A6087,$L:$L)),0)</f>
        <v>0</v>
      </c>
      <c r="O6087" s="30">
        <f>IFERROR((VLOOKUP($A6087,HeadJournal!$A$1:$L$890,COLUMN(HeadJournal!L$1),0)*($K6087+$L6087)/(SUMIF($A:$A,$A6087,$K:$K)+SUMIF($A:$A,$A6087,$L:$L)))/VLOOKUP($A6087,HeadJournal!$A$1:$L$890,COLUMN(HeadJournal!H$1),0),0)</f>
        <v>0</v>
      </c>
      <c r="P6087" s="30">
        <f>IFERROR(SUM(K6087:O6087)*VLOOKUP($A6087,HeadJournal!$A$1:$L$890,COLUMN(HeadJournal!H$1),0),0)</f>
        <v>0</v>
      </c>
      <c r="Q6087" s="29"/>
      <c r="R6087" s="31"/>
      <c r="S6087" s="31"/>
      <c r="T6087" s="95" t="str">
        <f t="shared" si="450"/>
        <v/>
      </c>
      <c r="U6087" s="32">
        <f t="shared" si="451"/>
        <v>0</v>
      </c>
      <c r="V6087" s="22" t="str">
        <f t="shared" si="452"/>
        <v/>
      </c>
      <c r="X6087" s="33"/>
      <c r="Y6087" s="33"/>
    </row>
    <row r="6088" spans="1:25" x14ac:dyDescent="0.2">
      <c r="A6088" s="93"/>
      <c r="B6088" s="94" t="str">
        <f>IFERROR(VLOOKUP($A6088,HeadJournal!$A$1:$NTR$890,COLUMN(HeadJournal!B$1),0),"")</f>
        <v/>
      </c>
      <c r="C6088" s="94" t="str">
        <f>IFERROR(VLOOKUP($A6088,HeadJournal!$A$1:$NTR$890,COLUMN(HeadJournal!C$1),0),"")</f>
        <v/>
      </c>
      <c r="D6088" s="125" t="str">
        <f>IFERROR(VLOOKUP($A6088,HeadJournal!$A$1:$NTR$890,COLUMN(HeadJournal!D$1),0),"")</f>
        <v/>
      </c>
      <c r="E6088" s="95" t="str">
        <f>IFERROR(VLOOKUP($A6088,HeadJournal!$A$1:$NTR$890,COLUMN(HeadJournal!G$1),0),"")</f>
        <v/>
      </c>
      <c r="F6088" s="95" t="str">
        <f t="shared" si="449"/>
        <v/>
      </c>
      <c r="G6088" s="97"/>
      <c r="H6088" s="161"/>
      <c r="I6088" s="97"/>
      <c r="J6088" s="97"/>
      <c r="K6088" s="29"/>
      <c r="L6088" s="29"/>
      <c r="M6088" s="30">
        <f>IFERROR(VLOOKUP($A6088,HeadJournal!$A$1:$J$890,COLUMN(HeadJournal!I$1),0)*($K6088+$L6088)/(SUMIF($A:$A,$A6088,$K:$K)+SUMIF($A:$A,$A6088,$L:$L)),0)</f>
        <v>0</v>
      </c>
      <c r="N6088" s="30">
        <f>IFERROR((VLOOKUP($A6088,HeadJournal!$A$1:$K$890,COLUMN(HeadJournal!K$1),0)-VLOOKUP($A6088,HeadJournal!$A$1:$K$890,COLUMN(HeadJournal!J$1),0))*($K6088+$L6088)/(SUMIF($A:$A,$A6088,$K:$K)+SUMIF($A:$A,$A6088,$L:$L)),0)</f>
        <v>0</v>
      </c>
      <c r="O6088" s="30">
        <f>IFERROR((VLOOKUP($A6088,HeadJournal!$A$1:$L$890,COLUMN(HeadJournal!L$1),0)*($K6088+$L6088)/(SUMIF($A:$A,$A6088,$K:$K)+SUMIF($A:$A,$A6088,$L:$L)))/VLOOKUP($A6088,HeadJournal!$A$1:$L$890,COLUMN(HeadJournal!H$1),0),0)</f>
        <v>0</v>
      </c>
      <c r="P6088" s="30">
        <f>IFERROR(SUM(K6088:O6088)*VLOOKUP($A6088,HeadJournal!$A$1:$L$890,COLUMN(HeadJournal!H$1),0),0)</f>
        <v>0</v>
      </c>
      <c r="Q6088" s="29"/>
      <c r="R6088" s="31"/>
      <c r="S6088" s="31"/>
      <c r="T6088" s="95" t="str">
        <f t="shared" si="450"/>
        <v/>
      </c>
      <c r="U6088" s="32">
        <f t="shared" si="451"/>
        <v>0</v>
      </c>
      <c r="V6088" s="22" t="str">
        <f t="shared" si="452"/>
        <v/>
      </c>
      <c r="X6088" s="33"/>
      <c r="Y6088" s="33"/>
    </row>
    <row r="6089" spans="1:25" x14ac:dyDescent="0.2">
      <c r="A6089" s="93"/>
      <c r="B6089" s="94" t="str">
        <f>IFERROR(VLOOKUP($A6089,HeadJournal!$A$1:$NTR$890,COLUMN(HeadJournal!B$1),0),"")</f>
        <v/>
      </c>
      <c r="C6089" s="94" t="str">
        <f>IFERROR(VLOOKUP($A6089,HeadJournal!$A$1:$NTR$890,COLUMN(HeadJournal!C$1),0),"")</f>
        <v/>
      </c>
      <c r="D6089" s="125" t="str">
        <f>IFERROR(VLOOKUP($A6089,HeadJournal!$A$1:$NTR$890,COLUMN(HeadJournal!D$1),0),"")</f>
        <v/>
      </c>
      <c r="E6089" s="95" t="str">
        <f>IFERROR(VLOOKUP($A6089,HeadJournal!$A$1:$NTR$890,COLUMN(HeadJournal!G$1),0),"")</f>
        <v/>
      </c>
      <c r="F6089" s="95" t="str">
        <f t="shared" si="449"/>
        <v/>
      </c>
      <c r="G6089" s="97"/>
      <c r="H6089" s="161"/>
      <c r="I6089" s="97"/>
      <c r="J6089" s="97"/>
      <c r="K6089" s="29"/>
      <c r="L6089" s="29"/>
      <c r="M6089" s="30">
        <f>IFERROR(VLOOKUP($A6089,HeadJournal!$A$1:$J$890,COLUMN(HeadJournal!I$1),0)*($K6089+$L6089)/(SUMIF($A:$A,$A6089,$K:$K)+SUMIF($A:$A,$A6089,$L:$L)),0)</f>
        <v>0</v>
      </c>
      <c r="N6089" s="30">
        <f>IFERROR((VLOOKUP($A6089,HeadJournal!$A$1:$K$890,COLUMN(HeadJournal!K$1),0)-VLOOKUP($A6089,HeadJournal!$A$1:$K$890,COLUMN(HeadJournal!J$1),0))*($K6089+$L6089)/(SUMIF($A:$A,$A6089,$K:$K)+SUMIF($A:$A,$A6089,$L:$L)),0)</f>
        <v>0</v>
      </c>
      <c r="O6089" s="30">
        <f>IFERROR((VLOOKUP($A6089,HeadJournal!$A$1:$L$890,COLUMN(HeadJournal!L$1),0)*($K6089+$L6089)/(SUMIF($A:$A,$A6089,$K:$K)+SUMIF($A:$A,$A6089,$L:$L)))/VLOOKUP($A6089,HeadJournal!$A$1:$L$890,COLUMN(HeadJournal!H$1),0),0)</f>
        <v>0</v>
      </c>
      <c r="P6089" s="30">
        <f>IFERROR(SUM(K6089:O6089)*VLOOKUP($A6089,HeadJournal!$A$1:$L$890,COLUMN(HeadJournal!H$1),0),0)</f>
        <v>0</v>
      </c>
      <c r="Q6089" s="29"/>
      <c r="R6089" s="31"/>
      <c r="S6089" s="31"/>
      <c r="T6089" s="95" t="str">
        <f t="shared" si="450"/>
        <v/>
      </c>
      <c r="U6089" s="32">
        <f t="shared" si="451"/>
        <v>0</v>
      </c>
      <c r="V6089" s="22" t="str">
        <f t="shared" si="452"/>
        <v/>
      </c>
      <c r="X6089" s="33"/>
      <c r="Y6089" s="33"/>
    </row>
    <row r="6090" spans="1:25" x14ac:dyDescent="0.2">
      <c r="A6090" s="93"/>
      <c r="B6090" s="94" t="str">
        <f>IFERROR(VLOOKUP($A6090,HeadJournal!$A$1:$NTR$890,COLUMN(HeadJournal!B$1),0),"")</f>
        <v/>
      </c>
      <c r="C6090" s="94" t="str">
        <f>IFERROR(VLOOKUP($A6090,HeadJournal!$A$1:$NTR$890,COLUMN(HeadJournal!C$1),0),"")</f>
        <v/>
      </c>
      <c r="D6090" s="125" t="str">
        <f>IFERROR(VLOOKUP($A6090,HeadJournal!$A$1:$NTR$890,COLUMN(HeadJournal!D$1),0),"")</f>
        <v/>
      </c>
      <c r="E6090" s="95" t="str">
        <f>IFERROR(VLOOKUP($A6090,HeadJournal!$A$1:$NTR$890,COLUMN(HeadJournal!G$1),0),"")</f>
        <v/>
      </c>
      <c r="F6090" s="95" t="str">
        <f t="shared" si="449"/>
        <v/>
      </c>
      <c r="G6090" s="97"/>
      <c r="H6090" s="161"/>
      <c r="I6090" s="97"/>
      <c r="J6090" s="97"/>
      <c r="K6090" s="29"/>
      <c r="L6090" s="29"/>
      <c r="M6090" s="30">
        <f>IFERROR(VLOOKUP($A6090,HeadJournal!$A$1:$J$890,COLUMN(HeadJournal!I$1),0)*($K6090+$L6090)/(SUMIF($A:$A,$A6090,$K:$K)+SUMIF($A:$A,$A6090,$L:$L)),0)</f>
        <v>0</v>
      </c>
      <c r="N6090" s="30">
        <f>IFERROR((VLOOKUP($A6090,HeadJournal!$A$1:$K$890,COLUMN(HeadJournal!K$1),0)-VLOOKUP($A6090,HeadJournal!$A$1:$K$890,COLUMN(HeadJournal!J$1),0))*($K6090+$L6090)/(SUMIF($A:$A,$A6090,$K:$K)+SUMIF($A:$A,$A6090,$L:$L)),0)</f>
        <v>0</v>
      </c>
      <c r="O6090" s="30">
        <f>IFERROR((VLOOKUP($A6090,HeadJournal!$A$1:$L$890,COLUMN(HeadJournal!L$1),0)*($K6090+$L6090)/(SUMIF($A:$A,$A6090,$K:$K)+SUMIF($A:$A,$A6090,$L:$L)))/VLOOKUP($A6090,HeadJournal!$A$1:$L$890,COLUMN(HeadJournal!H$1),0),0)</f>
        <v>0</v>
      </c>
      <c r="P6090" s="30">
        <f>IFERROR(SUM(K6090:O6090)*VLOOKUP($A6090,HeadJournal!$A$1:$L$890,COLUMN(HeadJournal!H$1),0),0)</f>
        <v>0</v>
      </c>
      <c r="Q6090" s="29"/>
      <c r="R6090" s="31"/>
      <c r="S6090" s="31"/>
      <c r="T6090" s="95" t="str">
        <f t="shared" si="450"/>
        <v/>
      </c>
      <c r="U6090" s="32">
        <f t="shared" si="451"/>
        <v>0</v>
      </c>
      <c r="V6090" s="22" t="str">
        <f t="shared" si="452"/>
        <v/>
      </c>
      <c r="X6090" s="33"/>
      <c r="Y6090" s="33"/>
    </row>
    <row r="6091" spans="1:25" x14ac:dyDescent="0.2">
      <c r="A6091" s="93"/>
      <c r="B6091" s="94" t="str">
        <f>IFERROR(VLOOKUP($A6091,HeadJournal!$A$1:$NTR$890,COLUMN(HeadJournal!B$1),0),"")</f>
        <v/>
      </c>
      <c r="C6091" s="94" t="str">
        <f>IFERROR(VLOOKUP($A6091,HeadJournal!$A$1:$NTR$890,COLUMN(HeadJournal!C$1),0),"")</f>
        <v/>
      </c>
      <c r="D6091" s="125" t="str">
        <f>IFERROR(VLOOKUP($A6091,HeadJournal!$A$1:$NTR$890,COLUMN(HeadJournal!D$1),0),"")</f>
        <v/>
      </c>
      <c r="E6091" s="95" t="str">
        <f>IFERROR(VLOOKUP($A6091,HeadJournal!$A$1:$NTR$890,COLUMN(HeadJournal!G$1),0),"")</f>
        <v/>
      </c>
      <c r="F6091" s="95" t="str">
        <f t="shared" si="449"/>
        <v/>
      </c>
      <c r="G6091" s="97"/>
      <c r="H6091" s="161"/>
      <c r="I6091" s="97"/>
      <c r="J6091" s="97"/>
      <c r="K6091" s="29"/>
      <c r="L6091" s="29"/>
      <c r="M6091" s="30">
        <f>IFERROR(VLOOKUP($A6091,HeadJournal!$A$1:$J$890,COLUMN(HeadJournal!I$1),0)*($K6091+$L6091)/(SUMIF($A:$A,$A6091,$K:$K)+SUMIF($A:$A,$A6091,$L:$L)),0)</f>
        <v>0</v>
      </c>
      <c r="N6091" s="30">
        <f>IFERROR((VLOOKUP($A6091,HeadJournal!$A$1:$K$890,COLUMN(HeadJournal!K$1),0)-VLOOKUP($A6091,HeadJournal!$A$1:$K$890,COLUMN(HeadJournal!J$1),0))*($K6091+$L6091)/(SUMIF($A:$A,$A6091,$K:$K)+SUMIF($A:$A,$A6091,$L:$L)),0)</f>
        <v>0</v>
      </c>
      <c r="O6091" s="30">
        <f>IFERROR((VLOOKUP($A6091,HeadJournal!$A$1:$L$890,COLUMN(HeadJournal!L$1),0)*($K6091+$L6091)/(SUMIF($A:$A,$A6091,$K:$K)+SUMIF($A:$A,$A6091,$L:$L)))/VLOOKUP($A6091,HeadJournal!$A$1:$L$890,COLUMN(HeadJournal!H$1),0),0)</f>
        <v>0</v>
      </c>
      <c r="P6091" s="30">
        <f>IFERROR(SUM(K6091:O6091)*VLOOKUP($A6091,HeadJournal!$A$1:$L$890,COLUMN(HeadJournal!H$1),0),0)</f>
        <v>0</v>
      </c>
      <c r="Q6091" s="29"/>
      <c r="R6091" s="31"/>
      <c r="S6091" s="31"/>
      <c r="T6091" s="95" t="str">
        <f t="shared" si="450"/>
        <v/>
      </c>
      <c r="U6091" s="32">
        <f t="shared" si="451"/>
        <v>0</v>
      </c>
      <c r="V6091" s="22" t="str">
        <f t="shared" si="452"/>
        <v/>
      </c>
      <c r="X6091" s="33"/>
      <c r="Y6091" s="33"/>
    </row>
    <row r="6092" spans="1:25" x14ac:dyDescent="0.2">
      <c r="A6092" s="93"/>
      <c r="B6092" s="94" t="str">
        <f>IFERROR(VLOOKUP($A6092,HeadJournal!$A$1:$NTR$890,COLUMN(HeadJournal!B$1),0),"")</f>
        <v/>
      </c>
      <c r="C6092" s="94" t="str">
        <f>IFERROR(VLOOKUP($A6092,HeadJournal!$A$1:$NTR$890,COLUMN(HeadJournal!C$1),0),"")</f>
        <v/>
      </c>
      <c r="D6092" s="125" t="str">
        <f>IFERROR(VLOOKUP($A6092,HeadJournal!$A$1:$NTR$890,COLUMN(HeadJournal!D$1),0),"")</f>
        <v/>
      </c>
      <c r="E6092" s="95" t="str">
        <f>IFERROR(VLOOKUP($A6092,HeadJournal!$A$1:$NTR$890,COLUMN(HeadJournal!G$1),0),"")</f>
        <v/>
      </c>
      <c r="F6092" s="95" t="str">
        <f t="shared" si="449"/>
        <v/>
      </c>
      <c r="G6092" s="97"/>
      <c r="H6092" s="161"/>
      <c r="I6092" s="97"/>
      <c r="J6092" s="97"/>
      <c r="K6092" s="29"/>
      <c r="L6092" s="29"/>
      <c r="M6092" s="30">
        <f>IFERROR(VLOOKUP($A6092,HeadJournal!$A$1:$J$890,COLUMN(HeadJournal!I$1),0)*($K6092+$L6092)/(SUMIF($A:$A,$A6092,$K:$K)+SUMIF($A:$A,$A6092,$L:$L)),0)</f>
        <v>0</v>
      </c>
      <c r="N6092" s="30">
        <f>IFERROR((VLOOKUP($A6092,HeadJournal!$A$1:$K$890,COLUMN(HeadJournal!K$1),0)-VLOOKUP($A6092,HeadJournal!$A$1:$K$890,COLUMN(HeadJournal!J$1),0))*($K6092+$L6092)/(SUMIF($A:$A,$A6092,$K:$K)+SUMIF($A:$A,$A6092,$L:$L)),0)</f>
        <v>0</v>
      </c>
      <c r="O6092" s="30">
        <f>IFERROR((VLOOKUP($A6092,HeadJournal!$A$1:$L$890,COLUMN(HeadJournal!L$1),0)*($K6092+$L6092)/(SUMIF($A:$A,$A6092,$K:$K)+SUMIF($A:$A,$A6092,$L:$L)))/VLOOKUP($A6092,HeadJournal!$A$1:$L$890,COLUMN(HeadJournal!H$1),0),0)</f>
        <v>0</v>
      </c>
      <c r="P6092" s="30">
        <f>IFERROR(SUM(K6092:O6092)*VLOOKUP($A6092,HeadJournal!$A$1:$L$890,COLUMN(HeadJournal!H$1),0),0)</f>
        <v>0</v>
      </c>
      <c r="Q6092" s="29"/>
      <c r="R6092" s="31"/>
      <c r="S6092" s="31"/>
      <c r="T6092" s="95" t="str">
        <f t="shared" si="450"/>
        <v/>
      </c>
      <c r="U6092" s="32">
        <f t="shared" si="451"/>
        <v>0</v>
      </c>
      <c r="V6092" s="22" t="str">
        <f t="shared" si="452"/>
        <v/>
      </c>
      <c r="X6092" s="33"/>
      <c r="Y6092" s="33"/>
    </row>
    <row r="6093" spans="1:25" x14ac:dyDescent="0.2">
      <c r="A6093" s="93"/>
      <c r="B6093" s="94" t="str">
        <f>IFERROR(VLOOKUP($A6093,HeadJournal!$A$1:$NTR$890,COLUMN(HeadJournal!B$1),0),"")</f>
        <v/>
      </c>
      <c r="C6093" s="94" t="str">
        <f>IFERROR(VLOOKUP($A6093,HeadJournal!$A$1:$NTR$890,COLUMN(HeadJournal!C$1),0),"")</f>
        <v/>
      </c>
      <c r="D6093" s="125" t="str">
        <f>IFERROR(VLOOKUP($A6093,HeadJournal!$A$1:$NTR$890,COLUMN(HeadJournal!D$1),0),"")</f>
        <v/>
      </c>
      <c r="E6093" s="95" t="str">
        <f>IFERROR(VLOOKUP($A6093,HeadJournal!$A$1:$NTR$890,COLUMN(HeadJournal!G$1),0),"")</f>
        <v/>
      </c>
      <c r="F6093" s="95" t="str">
        <f t="shared" si="449"/>
        <v/>
      </c>
      <c r="G6093" s="97"/>
      <c r="H6093" s="161"/>
      <c r="I6093" s="97"/>
      <c r="J6093" s="97"/>
      <c r="K6093" s="29"/>
      <c r="L6093" s="29"/>
      <c r="M6093" s="30">
        <f>IFERROR(VLOOKUP($A6093,HeadJournal!$A$1:$J$890,COLUMN(HeadJournal!I$1),0)*($K6093+$L6093)/(SUMIF($A:$A,$A6093,$K:$K)+SUMIF($A:$A,$A6093,$L:$L)),0)</f>
        <v>0</v>
      </c>
      <c r="N6093" s="30">
        <f>IFERROR((VLOOKUP($A6093,HeadJournal!$A$1:$K$890,COLUMN(HeadJournal!K$1),0)-VLOOKUP($A6093,HeadJournal!$A$1:$K$890,COLUMN(HeadJournal!J$1),0))*($K6093+$L6093)/(SUMIF($A:$A,$A6093,$K:$K)+SUMIF($A:$A,$A6093,$L:$L)),0)</f>
        <v>0</v>
      </c>
      <c r="O6093" s="30">
        <f>IFERROR((VLOOKUP($A6093,HeadJournal!$A$1:$L$890,COLUMN(HeadJournal!L$1),0)*($K6093+$L6093)/(SUMIF($A:$A,$A6093,$K:$K)+SUMIF($A:$A,$A6093,$L:$L)))/VLOOKUP($A6093,HeadJournal!$A$1:$L$890,COLUMN(HeadJournal!H$1),0),0)</f>
        <v>0</v>
      </c>
      <c r="P6093" s="30">
        <f>IFERROR(SUM(K6093:O6093)*VLOOKUP($A6093,HeadJournal!$A$1:$L$890,COLUMN(HeadJournal!H$1),0),0)</f>
        <v>0</v>
      </c>
      <c r="Q6093" s="29"/>
      <c r="R6093" s="31"/>
      <c r="S6093" s="31"/>
      <c r="T6093" s="95" t="str">
        <f t="shared" si="450"/>
        <v/>
      </c>
      <c r="U6093" s="32">
        <f t="shared" si="451"/>
        <v>0</v>
      </c>
      <c r="V6093" s="22" t="str">
        <f t="shared" si="452"/>
        <v/>
      </c>
      <c r="X6093" s="33"/>
      <c r="Y6093" s="33"/>
    </row>
    <row r="6094" spans="1:25" x14ac:dyDescent="0.2">
      <c r="A6094" s="93"/>
      <c r="B6094" s="94" t="str">
        <f>IFERROR(VLOOKUP($A6094,HeadJournal!$A$1:$NTR$890,COLUMN(HeadJournal!B$1),0),"")</f>
        <v/>
      </c>
      <c r="C6094" s="94" t="str">
        <f>IFERROR(VLOOKUP($A6094,HeadJournal!$A$1:$NTR$890,COLUMN(HeadJournal!C$1),0),"")</f>
        <v/>
      </c>
      <c r="D6094" s="125" t="str">
        <f>IFERROR(VLOOKUP($A6094,HeadJournal!$A$1:$NTR$890,COLUMN(HeadJournal!D$1),0),"")</f>
        <v/>
      </c>
      <c r="E6094" s="95" t="str">
        <f>IFERROR(VLOOKUP($A6094,HeadJournal!$A$1:$NTR$890,COLUMN(HeadJournal!G$1),0),"")</f>
        <v/>
      </c>
      <c r="F6094" s="95" t="str">
        <f t="shared" si="449"/>
        <v/>
      </c>
      <c r="G6094" s="97"/>
      <c r="H6094" s="161"/>
      <c r="I6094" s="97"/>
      <c r="J6094" s="97"/>
      <c r="K6094" s="29"/>
      <c r="L6094" s="29"/>
      <c r="M6094" s="30">
        <f>IFERROR(VLOOKUP($A6094,HeadJournal!$A$1:$J$890,COLUMN(HeadJournal!I$1),0)*($K6094+$L6094)/(SUMIF($A:$A,$A6094,$K:$K)+SUMIF($A:$A,$A6094,$L:$L)),0)</f>
        <v>0</v>
      </c>
      <c r="N6094" s="30">
        <f>IFERROR((VLOOKUP($A6094,HeadJournal!$A$1:$K$890,COLUMN(HeadJournal!K$1),0)-VLOOKUP($A6094,HeadJournal!$A$1:$K$890,COLUMN(HeadJournal!J$1),0))*($K6094+$L6094)/(SUMIF($A:$A,$A6094,$K:$K)+SUMIF($A:$A,$A6094,$L:$L)),0)</f>
        <v>0</v>
      </c>
      <c r="O6094" s="30">
        <f>IFERROR((VLOOKUP($A6094,HeadJournal!$A$1:$L$890,COLUMN(HeadJournal!L$1),0)*($K6094+$L6094)/(SUMIF($A:$A,$A6094,$K:$K)+SUMIF($A:$A,$A6094,$L:$L)))/VLOOKUP($A6094,HeadJournal!$A$1:$L$890,COLUMN(HeadJournal!H$1),0),0)</f>
        <v>0</v>
      </c>
      <c r="P6094" s="30">
        <f>IFERROR(SUM(K6094:O6094)*VLOOKUP($A6094,HeadJournal!$A$1:$L$890,COLUMN(HeadJournal!H$1),0),0)</f>
        <v>0</v>
      </c>
      <c r="Q6094" s="29"/>
      <c r="R6094" s="31"/>
      <c r="S6094" s="31"/>
      <c r="T6094" s="95" t="str">
        <f t="shared" si="450"/>
        <v/>
      </c>
      <c r="U6094" s="32">
        <f t="shared" si="451"/>
        <v>0</v>
      </c>
      <c r="V6094" s="22" t="str">
        <f t="shared" si="452"/>
        <v/>
      </c>
      <c r="X6094" s="33"/>
      <c r="Y6094" s="33"/>
    </row>
    <row r="6095" spans="1:25" x14ac:dyDescent="0.2">
      <c r="A6095" s="93"/>
      <c r="B6095" s="94" t="str">
        <f>IFERROR(VLOOKUP($A6095,HeadJournal!$A$1:$NTR$890,COLUMN(HeadJournal!B$1),0),"")</f>
        <v/>
      </c>
      <c r="C6095" s="94" t="str">
        <f>IFERROR(VLOOKUP($A6095,HeadJournal!$A$1:$NTR$890,COLUMN(HeadJournal!C$1),0),"")</f>
        <v/>
      </c>
      <c r="D6095" s="125" t="str">
        <f>IFERROR(VLOOKUP($A6095,HeadJournal!$A$1:$NTR$890,COLUMN(HeadJournal!D$1),0),"")</f>
        <v/>
      </c>
      <c r="E6095" s="95" t="str">
        <f>IFERROR(VLOOKUP($A6095,HeadJournal!$A$1:$NTR$890,COLUMN(HeadJournal!G$1),0),"")</f>
        <v/>
      </c>
      <c r="F6095" s="95" t="str">
        <f t="shared" si="449"/>
        <v/>
      </c>
      <c r="G6095" s="97"/>
      <c r="H6095" s="161"/>
      <c r="I6095" s="97"/>
      <c r="J6095" s="97"/>
      <c r="K6095" s="29"/>
      <c r="L6095" s="29"/>
      <c r="M6095" s="30">
        <f>IFERROR(VLOOKUP($A6095,HeadJournal!$A$1:$J$890,COLUMN(HeadJournal!I$1),0)*($K6095+$L6095)/(SUMIF($A:$A,$A6095,$K:$K)+SUMIF($A:$A,$A6095,$L:$L)),0)</f>
        <v>0</v>
      </c>
      <c r="N6095" s="30">
        <f>IFERROR((VLOOKUP($A6095,HeadJournal!$A$1:$K$890,COLUMN(HeadJournal!K$1),0)-VLOOKUP($A6095,HeadJournal!$A$1:$K$890,COLUMN(HeadJournal!J$1),0))*($K6095+$L6095)/(SUMIF($A:$A,$A6095,$K:$K)+SUMIF($A:$A,$A6095,$L:$L)),0)</f>
        <v>0</v>
      </c>
      <c r="O6095" s="30">
        <f>IFERROR((VLOOKUP($A6095,HeadJournal!$A$1:$L$890,COLUMN(HeadJournal!L$1),0)*($K6095+$L6095)/(SUMIF($A:$A,$A6095,$K:$K)+SUMIF($A:$A,$A6095,$L:$L)))/VLOOKUP($A6095,HeadJournal!$A$1:$L$890,COLUMN(HeadJournal!H$1),0),0)</f>
        <v>0</v>
      </c>
      <c r="P6095" s="30">
        <f>IFERROR(SUM(K6095:O6095)*VLOOKUP($A6095,HeadJournal!$A$1:$L$890,COLUMN(HeadJournal!H$1),0),0)</f>
        <v>0</v>
      </c>
      <c r="Q6095" s="29"/>
      <c r="R6095" s="31"/>
      <c r="S6095" s="31"/>
      <c r="T6095" s="95" t="str">
        <f t="shared" si="450"/>
        <v/>
      </c>
      <c r="U6095" s="32">
        <f t="shared" si="451"/>
        <v>0</v>
      </c>
      <c r="V6095" s="22" t="str">
        <f t="shared" si="452"/>
        <v/>
      </c>
      <c r="X6095" s="33"/>
      <c r="Y6095" s="33"/>
    </row>
    <row r="6096" spans="1:25" x14ac:dyDescent="0.2">
      <c r="A6096" s="93"/>
      <c r="B6096" s="94" t="str">
        <f>IFERROR(VLOOKUP($A6096,HeadJournal!$A$1:$NTR$890,COLUMN(HeadJournal!B$1),0),"")</f>
        <v/>
      </c>
      <c r="C6096" s="94" t="str">
        <f>IFERROR(VLOOKUP($A6096,HeadJournal!$A$1:$NTR$890,COLUMN(HeadJournal!C$1),0),"")</f>
        <v/>
      </c>
      <c r="D6096" s="125" t="str">
        <f>IFERROR(VLOOKUP($A6096,HeadJournal!$A$1:$NTR$890,COLUMN(HeadJournal!D$1),0),"")</f>
        <v/>
      </c>
      <c r="E6096" s="95" t="str">
        <f>IFERROR(VLOOKUP($A6096,HeadJournal!$A$1:$NTR$890,COLUMN(HeadJournal!G$1),0),"")</f>
        <v/>
      </c>
      <c r="F6096" s="95" t="str">
        <f t="shared" si="449"/>
        <v/>
      </c>
      <c r="G6096" s="97"/>
      <c r="H6096" s="161"/>
      <c r="I6096" s="97"/>
      <c r="J6096" s="97"/>
      <c r="K6096" s="29"/>
      <c r="L6096" s="29"/>
      <c r="M6096" s="30">
        <f>IFERROR(VLOOKUP($A6096,HeadJournal!$A$1:$J$890,COLUMN(HeadJournal!I$1),0)*($K6096+$L6096)/(SUMIF($A:$A,$A6096,$K:$K)+SUMIF($A:$A,$A6096,$L:$L)),0)</f>
        <v>0</v>
      </c>
      <c r="N6096" s="30">
        <f>IFERROR((VLOOKUP($A6096,HeadJournal!$A$1:$K$890,COLUMN(HeadJournal!K$1),0)-VLOOKUP($A6096,HeadJournal!$A$1:$K$890,COLUMN(HeadJournal!J$1),0))*($K6096+$L6096)/(SUMIF($A:$A,$A6096,$K:$K)+SUMIF($A:$A,$A6096,$L:$L)),0)</f>
        <v>0</v>
      </c>
      <c r="O6096" s="30">
        <f>IFERROR((VLOOKUP($A6096,HeadJournal!$A$1:$L$890,COLUMN(HeadJournal!L$1),0)*($K6096+$L6096)/(SUMIF($A:$A,$A6096,$K:$K)+SUMIF($A:$A,$A6096,$L:$L)))/VLOOKUP($A6096,HeadJournal!$A$1:$L$890,COLUMN(HeadJournal!H$1),0),0)</f>
        <v>0</v>
      </c>
      <c r="P6096" s="30">
        <f>IFERROR(SUM(K6096:O6096)*VLOOKUP($A6096,HeadJournal!$A$1:$L$890,COLUMN(HeadJournal!H$1),0),0)</f>
        <v>0</v>
      </c>
      <c r="Q6096" s="29"/>
      <c r="R6096" s="31"/>
      <c r="S6096" s="31"/>
      <c r="T6096" s="95" t="str">
        <f t="shared" si="450"/>
        <v/>
      </c>
      <c r="U6096" s="32">
        <f t="shared" si="451"/>
        <v>0</v>
      </c>
      <c r="V6096" s="22" t="str">
        <f t="shared" si="452"/>
        <v/>
      </c>
      <c r="X6096" s="33"/>
      <c r="Y6096" s="33"/>
    </row>
    <row r="6097" spans="1:25" x14ac:dyDescent="0.2">
      <c r="A6097" s="93"/>
      <c r="B6097" s="94" t="str">
        <f>IFERROR(VLOOKUP($A6097,HeadJournal!$A$1:$NTR$890,COLUMN(HeadJournal!B$1),0),"")</f>
        <v/>
      </c>
      <c r="C6097" s="94" t="str">
        <f>IFERROR(VLOOKUP($A6097,HeadJournal!$A$1:$NTR$890,COLUMN(HeadJournal!C$1),0),"")</f>
        <v/>
      </c>
      <c r="D6097" s="125" t="str">
        <f>IFERROR(VLOOKUP($A6097,HeadJournal!$A$1:$NTR$890,COLUMN(HeadJournal!D$1),0),"")</f>
        <v/>
      </c>
      <c r="E6097" s="95" t="str">
        <f>IFERROR(VLOOKUP($A6097,HeadJournal!$A$1:$NTR$890,COLUMN(HeadJournal!G$1),0),"")</f>
        <v/>
      </c>
      <c r="F6097" s="95" t="str">
        <f t="shared" si="449"/>
        <v/>
      </c>
      <c r="G6097" s="97"/>
      <c r="H6097" s="161"/>
      <c r="I6097" s="97"/>
      <c r="J6097" s="97"/>
      <c r="K6097" s="29"/>
      <c r="L6097" s="29"/>
      <c r="M6097" s="30">
        <f>IFERROR(VLOOKUP($A6097,HeadJournal!$A$1:$J$890,COLUMN(HeadJournal!I$1),0)*($K6097+$L6097)/(SUMIF($A:$A,$A6097,$K:$K)+SUMIF($A:$A,$A6097,$L:$L)),0)</f>
        <v>0</v>
      </c>
      <c r="N6097" s="30">
        <f>IFERROR((VLOOKUP($A6097,HeadJournal!$A$1:$K$890,COLUMN(HeadJournal!K$1),0)-VLOOKUP($A6097,HeadJournal!$A$1:$K$890,COLUMN(HeadJournal!J$1),0))*($K6097+$L6097)/(SUMIF($A:$A,$A6097,$K:$K)+SUMIF($A:$A,$A6097,$L:$L)),0)</f>
        <v>0</v>
      </c>
      <c r="O6097" s="30">
        <f>IFERROR((VLOOKUP($A6097,HeadJournal!$A$1:$L$890,COLUMN(HeadJournal!L$1),0)*($K6097+$L6097)/(SUMIF($A:$A,$A6097,$K:$K)+SUMIF($A:$A,$A6097,$L:$L)))/VLOOKUP($A6097,HeadJournal!$A$1:$L$890,COLUMN(HeadJournal!H$1),0),0)</f>
        <v>0</v>
      </c>
      <c r="P6097" s="30">
        <f>IFERROR(SUM(K6097:O6097)*VLOOKUP($A6097,HeadJournal!$A$1:$L$890,COLUMN(HeadJournal!H$1),0),0)</f>
        <v>0</v>
      </c>
      <c r="Q6097" s="29"/>
      <c r="R6097" s="31"/>
      <c r="S6097" s="31"/>
      <c r="T6097" s="95" t="str">
        <f t="shared" si="450"/>
        <v/>
      </c>
      <c r="U6097" s="32">
        <f t="shared" si="451"/>
        <v>0</v>
      </c>
      <c r="V6097" s="22" t="str">
        <f t="shared" si="452"/>
        <v/>
      </c>
      <c r="X6097" s="33"/>
      <c r="Y6097" s="33"/>
    </row>
    <row r="6098" spans="1:25" x14ac:dyDescent="0.2">
      <c r="A6098" s="93"/>
      <c r="B6098" s="94" t="str">
        <f>IFERROR(VLOOKUP($A6098,HeadJournal!$A$1:$NTR$890,COLUMN(HeadJournal!B$1),0),"")</f>
        <v/>
      </c>
      <c r="C6098" s="94" t="str">
        <f>IFERROR(VLOOKUP($A6098,HeadJournal!$A$1:$NTR$890,COLUMN(HeadJournal!C$1),0),"")</f>
        <v/>
      </c>
      <c r="D6098" s="125" t="str">
        <f>IFERROR(VLOOKUP($A6098,HeadJournal!$A$1:$NTR$890,COLUMN(HeadJournal!D$1),0),"")</f>
        <v/>
      </c>
      <c r="E6098" s="95" t="str">
        <f>IFERROR(VLOOKUP($A6098,HeadJournal!$A$1:$NTR$890,COLUMN(HeadJournal!G$1),0),"")</f>
        <v/>
      </c>
      <c r="F6098" s="95" t="str">
        <f t="shared" si="449"/>
        <v/>
      </c>
      <c r="G6098" s="97"/>
      <c r="H6098" s="161"/>
      <c r="I6098" s="97"/>
      <c r="J6098" s="97"/>
      <c r="K6098" s="29"/>
      <c r="L6098" s="29"/>
      <c r="M6098" s="30">
        <f>IFERROR(VLOOKUP($A6098,HeadJournal!$A$1:$J$890,COLUMN(HeadJournal!I$1),0)*($K6098+$L6098)/(SUMIF($A:$A,$A6098,$K:$K)+SUMIF($A:$A,$A6098,$L:$L)),0)</f>
        <v>0</v>
      </c>
      <c r="N6098" s="30">
        <f>IFERROR((VLOOKUP($A6098,HeadJournal!$A$1:$K$890,COLUMN(HeadJournal!K$1),0)-VLOOKUP($A6098,HeadJournal!$A$1:$K$890,COLUMN(HeadJournal!J$1),0))*($K6098+$L6098)/(SUMIF($A:$A,$A6098,$K:$K)+SUMIF($A:$A,$A6098,$L:$L)),0)</f>
        <v>0</v>
      </c>
      <c r="O6098" s="30">
        <f>IFERROR((VLOOKUP($A6098,HeadJournal!$A$1:$L$890,COLUMN(HeadJournal!L$1),0)*($K6098+$L6098)/(SUMIF($A:$A,$A6098,$K:$K)+SUMIF($A:$A,$A6098,$L:$L)))/VLOOKUP($A6098,HeadJournal!$A$1:$L$890,COLUMN(HeadJournal!H$1),0),0)</f>
        <v>0</v>
      </c>
      <c r="P6098" s="30">
        <f>IFERROR(SUM(K6098:O6098)*VLOOKUP($A6098,HeadJournal!$A$1:$L$890,COLUMN(HeadJournal!H$1),0),0)</f>
        <v>0</v>
      </c>
      <c r="Q6098" s="29"/>
      <c r="R6098" s="31"/>
      <c r="S6098" s="31"/>
      <c r="T6098" s="95" t="str">
        <f t="shared" si="450"/>
        <v/>
      </c>
      <c r="U6098" s="32">
        <f t="shared" si="451"/>
        <v>0</v>
      </c>
      <c r="V6098" s="22" t="str">
        <f t="shared" si="452"/>
        <v/>
      </c>
      <c r="X6098" s="33"/>
      <c r="Y6098" s="33"/>
    </row>
    <row r="6099" spans="1:25" x14ac:dyDescent="0.2">
      <c r="A6099" s="93"/>
      <c r="B6099" s="94" t="str">
        <f>IFERROR(VLOOKUP($A6099,HeadJournal!$A$1:$NTR$890,COLUMN(HeadJournal!B$1),0),"")</f>
        <v/>
      </c>
      <c r="C6099" s="94" t="str">
        <f>IFERROR(VLOOKUP($A6099,HeadJournal!$A$1:$NTR$890,COLUMN(HeadJournal!C$1),0),"")</f>
        <v/>
      </c>
      <c r="D6099" s="125" t="str">
        <f>IFERROR(VLOOKUP($A6099,HeadJournal!$A$1:$NTR$890,COLUMN(HeadJournal!D$1),0),"")</f>
        <v/>
      </c>
      <c r="E6099" s="95" t="str">
        <f>IFERROR(VLOOKUP($A6099,HeadJournal!$A$1:$NTR$890,COLUMN(HeadJournal!G$1),0),"")</f>
        <v/>
      </c>
      <c r="F6099" s="95" t="str">
        <f t="shared" si="449"/>
        <v/>
      </c>
      <c r="G6099" s="97"/>
      <c r="H6099" s="161"/>
      <c r="I6099" s="97"/>
      <c r="J6099" s="97"/>
      <c r="K6099" s="29"/>
      <c r="L6099" s="29"/>
      <c r="M6099" s="30">
        <f>IFERROR(VLOOKUP($A6099,HeadJournal!$A$1:$J$890,COLUMN(HeadJournal!I$1),0)*($K6099+$L6099)/(SUMIF($A:$A,$A6099,$K:$K)+SUMIF($A:$A,$A6099,$L:$L)),0)</f>
        <v>0</v>
      </c>
      <c r="N6099" s="30">
        <f>IFERROR((VLOOKUP($A6099,HeadJournal!$A$1:$K$890,COLUMN(HeadJournal!K$1),0)-VLOOKUP($A6099,HeadJournal!$A$1:$K$890,COLUMN(HeadJournal!J$1),0))*($K6099+$L6099)/(SUMIF($A:$A,$A6099,$K:$K)+SUMIF($A:$A,$A6099,$L:$L)),0)</f>
        <v>0</v>
      </c>
      <c r="O6099" s="30">
        <f>IFERROR((VLOOKUP($A6099,HeadJournal!$A$1:$L$890,COLUMN(HeadJournal!L$1),0)*($K6099+$L6099)/(SUMIF($A:$A,$A6099,$K:$K)+SUMIF($A:$A,$A6099,$L:$L)))/VLOOKUP($A6099,HeadJournal!$A$1:$L$890,COLUMN(HeadJournal!H$1),0),0)</f>
        <v>0</v>
      </c>
      <c r="P6099" s="30">
        <f>IFERROR(SUM(K6099:O6099)*VLOOKUP($A6099,HeadJournal!$A$1:$L$890,COLUMN(HeadJournal!H$1),0),0)</f>
        <v>0</v>
      </c>
      <c r="Q6099" s="29"/>
      <c r="R6099" s="31"/>
      <c r="S6099" s="31"/>
      <c r="T6099" s="95" t="str">
        <f t="shared" si="450"/>
        <v/>
      </c>
      <c r="U6099" s="32">
        <f t="shared" si="451"/>
        <v>0</v>
      </c>
      <c r="V6099" s="22" t="str">
        <f t="shared" si="452"/>
        <v/>
      </c>
      <c r="X6099" s="33"/>
      <c r="Y6099" s="33"/>
    </row>
    <row r="6100" spans="1:25" x14ac:dyDescent="0.2">
      <c r="A6100" s="93"/>
      <c r="B6100" s="94" t="str">
        <f>IFERROR(VLOOKUP($A6100,HeadJournal!$A$1:$NTR$890,COLUMN(HeadJournal!B$1),0),"")</f>
        <v/>
      </c>
      <c r="C6100" s="94" t="str">
        <f>IFERROR(VLOOKUP($A6100,HeadJournal!$A$1:$NTR$890,COLUMN(HeadJournal!C$1),0),"")</f>
        <v/>
      </c>
      <c r="D6100" s="125" t="str">
        <f>IFERROR(VLOOKUP($A6100,HeadJournal!$A$1:$NTR$890,COLUMN(HeadJournal!D$1),0),"")</f>
        <v/>
      </c>
      <c r="E6100" s="95" t="str">
        <f>IFERROR(VLOOKUP($A6100,HeadJournal!$A$1:$NTR$890,COLUMN(HeadJournal!G$1),0),"")</f>
        <v/>
      </c>
      <c r="F6100" s="95" t="str">
        <f t="shared" si="449"/>
        <v/>
      </c>
      <c r="G6100" s="97"/>
      <c r="H6100" s="161"/>
      <c r="I6100" s="97"/>
      <c r="J6100" s="97"/>
      <c r="K6100" s="29"/>
      <c r="L6100" s="29"/>
      <c r="M6100" s="30">
        <f>IFERROR(VLOOKUP($A6100,HeadJournal!$A$1:$J$890,COLUMN(HeadJournal!I$1),0)*($K6100+$L6100)/(SUMIF($A:$A,$A6100,$K:$K)+SUMIF($A:$A,$A6100,$L:$L)),0)</f>
        <v>0</v>
      </c>
      <c r="N6100" s="30">
        <f>IFERROR((VLOOKUP($A6100,HeadJournal!$A$1:$K$890,COLUMN(HeadJournal!K$1),0)-VLOOKUP($A6100,HeadJournal!$A$1:$K$890,COLUMN(HeadJournal!J$1),0))*($K6100+$L6100)/(SUMIF($A:$A,$A6100,$K:$K)+SUMIF($A:$A,$A6100,$L:$L)),0)</f>
        <v>0</v>
      </c>
      <c r="O6100" s="30">
        <f>IFERROR((VLOOKUP($A6100,HeadJournal!$A$1:$L$890,COLUMN(HeadJournal!L$1),0)*($K6100+$L6100)/(SUMIF($A:$A,$A6100,$K:$K)+SUMIF($A:$A,$A6100,$L:$L)))/VLOOKUP($A6100,HeadJournal!$A$1:$L$890,COLUMN(HeadJournal!H$1),0),0)</f>
        <v>0</v>
      </c>
      <c r="P6100" s="30">
        <f>IFERROR(SUM(K6100:O6100)*VLOOKUP($A6100,HeadJournal!$A$1:$L$890,COLUMN(HeadJournal!H$1),0),0)</f>
        <v>0</v>
      </c>
      <c r="Q6100" s="29"/>
      <c r="R6100" s="31"/>
      <c r="S6100" s="31"/>
      <c r="T6100" s="95" t="str">
        <f t="shared" si="450"/>
        <v/>
      </c>
      <c r="U6100" s="32">
        <f t="shared" si="451"/>
        <v>0</v>
      </c>
      <c r="V6100" s="22" t="str">
        <f t="shared" si="452"/>
        <v/>
      </c>
      <c r="X6100" s="33"/>
      <c r="Y6100" s="33"/>
    </row>
    <row r="6101" spans="1:25" x14ac:dyDescent="0.2">
      <c r="A6101" s="93"/>
      <c r="B6101" s="94" t="str">
        <f>IFERROR(VLOOKUP($A6101,HeadJournal!$A$1:$NTR$890,COLUMN(HeadJournal!B$1),0),"")</f>
        <v/>
      </c>
      <c r="C6101" s="94" t="str">
        <f>IFERROR(VLOOKUP($A6101,HeadJournal!$A$1:$NTR$890,COLUMN(HeadJournal!C$1),0),"")</f>
        <v/>
      </c>
      <c r="D6101" s="125" t="str">
        <f>IFERROR(VLOOKUP($A6101,HeadJournal!$A$1:$NTR$890,COLUMN(HeadJournal!D$1),0),"")</f>
        <v/>
      </c>
      <c r="E6101" s="95" t="str">
        <f>IFERROR(VLOOKUP($A6101,HeadJournal!$A$1:$NTR$890,COLUMN(HeadJournal!G$1),0),"")</f>
        <v/>
      </c>
      <c r="F6101" s="95" t="str">
        <f t="shared" si="449"/>
        <v/>
      </c>
      <c r="G6101" s="97"/>
      <c r="H6101" s="161"/>
      <c r="I6101" s="97"/>
      <c r="J6101" s="97"/>
      <c r="K6101" s="29"/>
      <c r="L6101" s="29"/>
      <c r="M6101" s="30">
        <f>IFERROR(VLOOKUP($A6101,HeadJournal!$A$1:$J$890,COLUMN(HeadJournal!I$1),0)*($K6101+$L6101)/(SUMIF($A:$A,$A6101,$K:$K)+SUMIF($A:$A,$A6101,$L:$L)),0)</f>
        <v>0</v>
      </c>
      <c r="N6101" s="30">
        <f>IFERROR((VLOOKUP($A6101,HeadJournal!$A$1:$K$890,COLUMN(HeadJournal!K$1),0)-VLOOKUP($A6101,HeadJournal!$A$1:$K$890,COLUMN(HeadJournal!J$1),0))*($K6101+$L6101)/(SUMIF($A:$A,$A6101,$K:$K)+SUMIF($A:$A,$A6101,$L:$L)),0)</f>
        <v>0</v>
      </c>
      <c r="O6101" s="30">
        <f>IFERROR((VLOOKUP($A6101,HeadJournal!$A$1:$L$890,COLUMN(HeadJournal!L$1),0)*($K6101+$L6101)/(SUMIF($A:$A,$A6101,$K:$K)+SUMIF($A:$A,$A6101,$L:$L)))/VLOOKUP($A6101,HeadJournal!$A$1:$L$890,COLUMN(HeadJournal!H$1),0),0)</f>
        <v>0</v>
      </c>
      <c r="P6101" s="30">
        <f>IFERROR(SUM(K6101:O6101)*VLOOKUP($A6101,HeadJournal!$A$1:$L$890,COLUMN(HeadJournal!H$1),0),0)</f>
        <v>0</v>
      </c>
      <c r="Q6101" s="29"/>
      <c r="R6101" s="31"/>
      <c r="S6101" s="31"/>
      <c r="T6101" s="95" t="str">
        <f t="shared" si="450"/>
        <v/>
      </c>
      <c r="U6101" s="32">
        <f t="shared" si="451"/>
        <v>0</v>
      </c>
      <c r="V6101" s="22" t="str">
        <f t="shared" si="452"/>
        <v/>
      </c>
      <c r="X6101" s="33"/>
      <c r="Y6101" s="33"/>
    </row>
    <row r="6102" spans="1:25" x14ac:dyDescent="0.2">
      <c r="A6102" s="93"/>
      <c r="B6102" s="94" t="str">
        <f>IFERROR(VLOOKUP($A6102,HeadJournal!$A$1:$NTR$890,COLUMN(HeadJournal!B$1),0),"")</f>
        <v/>
      </c>
      <c r="C6102" s="94" t="str">
        <f>IFERROR(VLOOKUP($A6102,HeadJournal!$A$1:$NTR$890,COLUMN(HeadJournal!C$1),0),"")</f>
        <v/>
      </c>
      <c r="D6102" s="125" t="str">
        <f>IFERROR(VLOOKUP($A6102,HeadJournal!$A$1:$NTR$890,COLUMN(HeadJournal!D$1),0),"")</f>
        <v/>
      </c>
      <c r="E6102" s="95" t="str">
        <f>IFERROR(VLOOKUP($A6102,HeadJournal!$A$1:$NTR$890,COLUMN(HeadJournal!G$1),0),"")</f>
        <v/>
      </c>
      <c r="F6102" s="95" t="str">
        <f t="shared" si="449"/>
        <v/>
      </c>
      <c r="G6102" s="97"/>
      <c r="H6102" s="161"/>
      <c r="I6102" s="97"/>
      <c r="J6102" s="97"/>
      <c r="K6102" s="29"/>
      <c r="L6102" s="29"/>
      <c r="M6102" s="30">
        <f>IFERROR(VLOOKUP($A6102,HeadJournal!$A$1:$J$890,COLUMN(HeadJournal!I$1),0)*($K6102+$L6102)/(SUMIF($A:$A,$A6102,$K:$K)+SUMIF($A:$A,$A6102,$L:$L)),0)</f>
        <v>0</v>
      </c>
      <c r="N6102" s="30">
        <f>IFERROR((VLOOKUP($A6102,HeadJournal!$A$1:$K$890,COLUMN(HeadJournal!K$1),0)-VLOOKUP($A6102,HeadJournal!$A$1:$K$890,COLUMN(HeadJournal!J$1),0))*($K6102+$L6102)/(SUMIF($A:$A,$A6102,$K:$K)+SUMIF($A:$A,$A6102,$L:$L)),0)</f>
        <v>0</v>
      </c>
      <c r="O6102" s="30">
        <f>IFERROR((VLOOKUP($A6102,HeadJournal!$A$1:$L$890,COLUMN(HeadJournal!L$1),0)*($K6102+$L6102)/(SUMIF($A:$A,$A6102,$K:$K)+SUMIF($A:$A,$A6102,$L:$L)))/VLOOKUP($A6102,HeadJournal!$A$1:$L$890,COLUMN(HeadJournal!H$1),0),0)</f>
        <v>0</v>
      </c>
      <c r="P6102" s="30">
        <f>IFERROR(SUM(K6102:O6102)*VLOOKUP($A6102,HeadJournal!$A$1:$L$890,COLUMN(HeadJournal!H$1),0),0)</f>
        <v>0</v>
      </c>
      <c r="Q6102" s="29"/>
      <c r="R6102" s="31"/>
      <c r="S6102" s="31"/>
      <c r="T6102" s="95" t="str">
        <f t="shared" si="450"/>
        <v/>
      </c>
      <c r="U6102" s="32">
        <f t="shared" si="451"/>
        <v>0</v>
      </c>
      <c r="V6102" s="22" t="str">
        <f t="shared" si="452"/>
        <v/>
      </c>
      <c r="X6102" s="33"/>
      <c r="Y6102" s="33"/>
    </row>
    <row r="6103" spans="1:25" x14ac:dyDescent="0.2">
      <c r="A6103" s="93"/>
      <c r="B6103" s="94" t="str">
        <f>IFERROR(VLOOKUP($A6103,HeadJournal!$A$1:$NTR$890,COLUMN(HeadJournal!B$1),0),"")</f>
        <v/>
      </c>
      <c r="C6103" s="94" t="str">
        <f>IFERROR(VLOOKUP($A6103,HeadJournal!$A$1:$NTR$890,COLUMN(HeadJournal!C$1),0),"")</f>
        <v/>
      </c>
      <c r="D6103" s="125" t="str">
        <f>IFERROR(VLOOKUP($A6103,HeadJournal!$A$1:$NTR$890,COLUMN(HeadJournal!D$1),0),"")</f>
        <v/>
      </c>
      <c r="E6103" s="95" t="str">
        <f>IFERROR(VLOOKUP($A6103,HeadJournal!$A$1:$NTR$890,COLUMN(HeadJournal!G$1),0),"")</f>
        <v/>
      </c>
      <c r="F6103" s="95" t="str">
        <f t="shared" si="449"/>
        <v/>
      </c>
      <c r="G6103" s="97"/>
      <c r="H6103" s="161"/>
      <c r="I6103" s="97"/>
      <c r="J6103" s="97"/>
      <c r="K6103" s="29"/>
      <c r="L6103" s="29"/>
      <c r="M6103" s="30">
        <f>IFERROR(VLOOKUP($A6103,HeadJournal!$A$1:$J$890,COLUMN(HeadJournal!I$1),0)*($K6103+$L6103)/(SUMIF($A:$A,$A6103,$K:$K)+SUMIF($A:$A,$A6103,$L:$L)),0)</f>
        <v>0</v>
      </c>
      <c r="N6103" s="30">
        <f>IFERROR((VLOOKUP($A6103,HeadJournal!$A$1:$K$890,COLUMN(HeadJournal!K$1),0)-VLOOKUP($A6103,HeadJournal!$A$1:$K$890,COLUMN(HeadJournal!J$1),0))*($K6103+$L6103)/(SUMIF($A:$A,$A6103,$K:$K)+SUMIF($A:$A,$A6103,$L:$L)),0)</f>
        <v>0</v>
      </c>
      <c r="O6103" s="30">
        <f>IFERROR((VLOOKUP($A6103,HeadJournal!$A$1:$L$890,COLUMN(HeadJournal!L$1),0)*($K6103+$L6103)/(SUMIF($A:$A,$A6103,$K:$K)+SUMIF($A:$A,$A6103,$L:$L)))/VLOOKUP($A6103,HeadJournal!$A$1:$L$890,COLUMN(HeadJournal!H$1),0),0)</f>
        <v>0</v>
      </c>
      <c r="P6103" s="30">
        <f>IFERROR(SUM(K6103:O6103)*VLOOKUP($A6103,HeadJournal!$A$1:$L$890,COLUMN(HeadJournal!H$1),0),0)</f>
        <v>0</v>
      </c>
      <c r="Q6103" s="29"/>
      <c r="R6103" s="31"/>
      <c r="S6103" s="31"/>
      <c r="T6103" s="95" t="str">
        <f t="shared" si="450"/>
        <v/>
      </c>
      <c r="U6103" s="32">
        <f t="shared" si="451"/>
        <v>0</v>
      </c>
      <c r="V6103" s="22" t="str">
        <f t="shared" si="452"/>
        <v/>
      </c>
      <c r="X6103" s="33"/>
      <c r="Y6103" s="33"/>
    </row>
    <row r="6104" spans="1:25" x14ac:dyDescent="0.2">
      <c r="A6104" s="93"/>
      <c r="B6104" s="94" t="str">
        <f>IFERROR(VLOOKUP($A6104,HeadJournal!$A$1:$NTR$890,COLUMN(HeadJournal!B$1),0),"")</f>
        <v/>
      </c>
      <c r="C6104" s="94" t="str">
        <f>IFERROR(VLOOKUP($A6104,HeadJournal!$A$1:$NTR$890,COLUMN(HeadJournal!C$1),0),"")</f>
        <v/>
      </c>
      <c r="D6104" s="125" t="str">
        <f>IFERROR(VLOOKUP($A6104,HeadJournal!$A$1:$NTR$890,COLUMN(HeadJournal!D$1),0),"")</f>
        <v/>
      </c>
      <c r="E6104" s="95" t="str">
        <f>IFERROR(VLOOKUP($A6104,HeadJournal!$A$1:$NTR$890,COLUMN(HeadJournal!G$1),0),"")</f>
        <v/>
      </c>
      <c r="F6104" s="95" t="str">
        <f t="shared" si="449"/>
        <v/>
      </c>
      <c r="G6104" s="97"/>
      <c r="H6104" s="161"/>
      <c r="I6104" s="97"/>
      <c r="J6104" s="97"/>
      <c r="K6104" s="29"/>
      <c r="L6104" s="29"/>
      <c r="M6104" s="30">
        <f>IFERROR(VLOOKUP($A6104,HeadJournal!$A$1:$J$890,COLUMN(HeadJournal!I$1),0)*($K6104+$L6104)/(SUMIF($A:$A,$A6104,$K:$K)+SUMIF($A:$A,$A6104,$L:$L)),0)</f>
        <v>0</v>
      </c>
      <c r="N6104" s="30">
        <f>IFERROR((VLOOKUP($A6104,HeadJournal!$A$1:$K$890,COLUMN(HeadJournal!K$1),0)-VLOOKUP($A6104,HeadJournal!$A$1:$K$890,COLUMN(HeadJournal!J$1),0))*($K6104+$L6104)/(SUMIF($A:$A,$A6104,$K:$K)+SUMIF($A:$A,$A6104,$L:$L)),0)</f>
        <v>0</v>
      </c>
      <c r="O6104" s="30">
        <f>IFERROR((VLOOKUP($A6104,HeadJournal!$A$1:$L$890,COLUMN(HeadJournal!L$1),0)*($K6104+$L6104)/(SUMIF($A:$A,$A6104,$K:$K)+SUMIF($A:$A,$A6104,$L:$L)))/VLOOKUP($A6104,HeadJournal!$A$1:$L$890,COLUMN(HeadJournal!H$1),0),0)</f>
        <v>0</v>
      </c>
      <c r="P6104" s="30">
        <f>IFERROR(SUM(K6104:O6104)*VLOOKUP($A6104,HeadJournal!$A$1:$L$890,COLUMN(HeadJournal!H$1),0),0)</f>
        <v>0</v>
      </c>
      <c r="Q6104" s="29"/>
      <c r="R6104" s="31"/>
      <c r="S6104" s="31"/>
      <c r="T6104" s="95" t="str">
        <f t="shared" si="450"/>
        <v/>
      </c>
      <c r="U6104" s="32">
        <f t="shared" si="451"/>
        <v>0</v>
      </c>
      <c r="V6104" s="22" t="str">
        <f t="shared" si="452"/>
        <v/>
      </c>
      <c r="X6104" s="33"/>
      <c r="Y6104" s="33"/>
    </row>
    <row r="6105" spans="1:25" x14ac:dyDescent="0.2">
      <c r="A6105" s="93"/>
      <c r="B6105" s="94" t="str">
        <f>IFERROR(VLOOKUP($A6105,HeadJournal!$A$1:$NTR$890,COLUMN(HeadJournal!B$1),0),"")</f>
        <v/>
      </c>
      <c r="C6105" s="94" t="str">
        <f>IFERROR(VLOOKUP($A6105,HeadJournal!$A$1:$NTR$890,COLUMN(HeadJournal!C$1),0),"")</f>
        <v/>
      </c>
      <c r="D6105" s="125" t="str">
        <f>IFERROR(VLOOKUP($A6105,HeadJournal!$A$1:$NTR$890,COLUMN(HeadJournal!D$1),0),"")</f>
        <v/>
      </c>
      <c r="E6105" s="95" t="str">
        <f>IFERROR(VLOOKUP($A6105,HeadJournal!$A$1:$NTR$890,COLUMN(HeadJournal!G$1),0),"")</f>
        <v/>
      </c>
      <c r="F6105" s="95" t="str">
        <f t="shared" si="449"/>
        <v/>
      </c>
      <c r="G6105" s="97"/>
      <c r="H6105" s="161"/>
      <c r="I6105" s="97"/>
      <c r="J6105" s="97"/>
      <c r="K6105" s="29"/>
      <c r="L6105" s="29"/>
      <c r="M6105" s="30">
        <f>IFERROR(VLOOKUP($A6105,HeadJournal!$A$1:$J$890,COLUMN(HeadJournal!I$1),0)*($K6105+$L6105)/(SUMIF($A:$A,$A6105,$K:$K)+SUMIF($A:$A,$A6105,$L:$L)),0)</f>
        <v>0</v>
      </c>
      <c r="N6105" s="30">
        <f>IFERROR((VLOOKUP($A6105,HeadJournal!$A$1:$K$890,COLUMN(HeadJournal!K$1),0)-VLOOKUP($A6105,HeadJournal!$A$1:$K$890,COLUMN(HeadJournal!J$1),0))*($K6105+$L6105)/(SUMIF($A:$A,$A6105,$K:$K)+SUMIF($A:$A,$A6105,$L:$L)),0)</f>
        <v>0</v>
      </c>
      <c r="O6105" s="30">
        <f>IFERROR((VLOOKUP($A6105,HeadJournal!$A$1:$L$890,COLUMN(HeadJournal!L$1),0)*($K6105+$L6105)/(SUMIF($A:$A,$A6105,$K:$K)+SUMIF($A:$A,$A6105,$L:$L)))/VLOOKUP($A6105,HeadJournal!$A$1:$L$890,COLUMN(HeadJournal!H$1),0),0)</f>
        <v>0</v>
      </c>
      <c r="P6105" s="30">
        <f>IFERROR(SUM(K6105:O6105)*VLOOKUP($A6105,HeadJournal!$A$1:$L$890,COLUMN(HeadJournal!H$1),0),0)</f>
        <v>0</v>
      </c>
      <c r="Q6105" s="29"/>
      <c r="R6105" s="31"/>
      <c r="S6105" s="31"/>
      <c r="T6105" s="95" t="str">
        <f t="shared" si="450"/>
        <v/>
      </c>
      <c r="U6105" s="32">
        <f t="shared" si="451"/>
        <v>0</v>
      </c>
      <c r="V6105" s="22" t="str">
        <f t="shared" si="452"/>
        <v/>
      </c>
      <c r="X6105" s="33"/>
      <c r="Y6105" s="33"/>
    </row>
    <row r="6106" spans="1:25" x14ac:dyDescent="0.2">
      <c r="A6106" s="93"/>
      <c r="B6106" s="94" t="str">
        <f>IFERROR(VLOOKUP($A6106,HeadJournal!$A$1:$NTR$890,COLUMN(HeadJournal!B$1),0),"")</f>
        <v/>
      </c>
      <c r="C6106" s="94" t="str">
        <f>IFERROR(VLOOKUP($A6106,HeadJournal!$A$1:$NTR$890,COLUMN(HeadJournal!C$1),0),"")</f>
        <v/>
      </c>
      <c r="D6106" s="125" t="str">
        <f>IFERROR(VLOOKUP($A6106,HeadJournal!$A$1:$NTR$890,COLUMN(HeadJournal!D$1),0),"")</f>
        <v/>
      </c>
      <c r="E6106" s="95" t="str">
        <f>IFERROR(VLOOKUP($A6106,HeadJournal!$A$1:$NTR$890,COLUMN(HeadJournal!G$1),0),"")</f>
        <v/>
      </c>
      <c r="F6106" s="95" t="str">
        <f t="shared" si="449"/>
        <v/>
      </c>
      <c r="G6106" s="97"/>
      <c r="H6106" s="161"/>
      <c r="I6106" s="97"/>
      <c r="J6106" s="97"/>
      <c r="K6106" s="29"/>
      <c r="L6106" s="29"/>
      <c r="M6106" s="30">
        <f>IFERROR(VLOOKUP($A6106,HeadJournal!$A$1:$J$890,COLUMN(HeadJournal!I$1),0)*($K6106+$L6106)/(SUMIF($A:$A,$A6106,$K:$K)+SUMIF($A:$A,$A6106,$L:$L)),0)</f>
        <v>0</v>
      </c>
      <c r="N6106" s="30">
        <f>IFERROR((VLOOKUP($A6106,HeadJournal!$A$1:$K$890,COLUMN(HeadJournal!K$1),0)-VLOOKUP($A6106,HeadJournal!$A$1:$K$890,COLUMN(HeadJournal!J$1),0))*($K6106+$L6106)/(SUMIF($A:$A,$A6106,$K:$K)+SUMIF($A:$A,$A6106,$L:$L)),0)</f>
        <v>0</v>
      </c>
      <c r="O6106" s="30">
        <f>IFERROR((VLOOKUP($A6106,HeadJournal!$A$1:$L$890,COLUMN(HeadJournal!L$1),0)*($K6106+$L6106)/(SUMIF($A:$A,$A6106,$K:$K)+SUMIF($A:$A,$A6106,$L:$L)))/VLOOKUP($A6106,HeadJournal!$A$1:$L$890,COLUMN(HeadJournal!H$1),0),0)</f>
        <v>0</v>
      </c>
      <c r="P6106" s="30">
        <f>IFERROR(SUM(K6106:O6106)*VLOOKUP($A6106,HeadJournal!$A$1:$L$890,COLUMN(HeadJournal!H$1),0),0)</f>
        <v>0</v>
      </c>
      <c r="Q6106" s="29"/>
      <c r="R6106" s="31"/>
      <c r="S6106" s="31"/>
      <c r="T6106" s="95" t="str">
        <f t="shared" si="450"/>
        <v/>
      </c>
      <c r="U6106" s="32">
        <f t="shared" si="451"/>
        <v>0</v>
      </c>
      <c r="V6106" s="22" t="str">
        <f t="shared" si="452"/>
        <v/>
      </c>
      <c r="X6106" s="33"/>
      <c r="Y6106" s="33"/>
    </row>
    <row r="6107" spans="1:25" x14ac:dyDescent="0.2">
      <c r="A6107" s="93"/>
      <c r="B6107" s="94" t="str">
        <f>IFERROR(VLOOKUP($A6107,HeadJournal!$A$1:$NTR$890,COLUMN(HeadJournal!B$1),0),"")</f>
        <v/>
      </c>
      <c r="C6107" s="94" t="str">
        <f>IFERROR(VLOOKUP($A6107,HeadJournal!$A$1:$NTR$890,COLUMN(HeadJournal!C$1),0),"")</f>
        <v/>
      </c>
      <c r="D6107" s="125" t="str">
        <f>IFERROR(VLOOKUP($A6107,HeadJournal!$A$1:$NTR$890,COLUMN(HeadJournal!D$1),0),"")</f>
        <v/>
      </c>
      <c r="E6107" s="95" t="str">
        <f>IFERROR(VLOOKUP($A6107,HeadJournal!$A$1:$NTR$890,COLUMN(HeadJournal!G$1),0),"")</f>
        <v/>
      </c>
      <c r="F6107" s="95" t="str">
        <f t="shared" si="449"/>
        <v/>
      </c>
      <c r="G6107" s="97"/>
      <c r="H6107" s="161"/>
      <c r="I6107" s="97"/>
      <c r="J6107" s="97"/>
      <c r="K6107" s="29"/>
      <c r="L6107" s="29"/>
      <c r="M6107" s="30">
        <f>IFERROR(VLOOKUP($A6107,HeadJournal!$A$1:$J$890,COLUMN(HeadJournal!I$1),0)*($K6107+$L6107)/(SUMIF($A:$A,$A6107,$K:$K)+SUMIF($A:$A,$A6107,$L:$L)),0)</f>
        <v>0</v>
      </c>
      <c r="N6107" s="30">
        <f>IFERROR((VLOOKUP($A6107,HeadJournal!$A$1:$K$890,COLUMN(HeadJournal!K$1),0)-VLOOKUP($A6107,HeadJournal!$A$1:$K$890,COLUMN(HeadJournal!J$1),0))*($K6107+$L6107)/(SUMIF($A:$A,$A6107,$K:$K)+SUMIF($A:$A,$A6107,$L:$L)),0)</f>
        <v>0</v>
      </c>
      <c r="O6107" s="30">
        <f>IFERROR((VLOOKUP($A6107,HeadJournal!$A$1:$L$890,COLUMN(HeadJournal!L$1),0)*($K6107+$L6107)/(SUMIF($A:$A,$A6107,$K:$K)+SUMIF($A:$A,$A6107,$L:$L)))/VLOOKUP($A6107,HeadJournal!$A$1:$L$890,COLUMN(HeadJournal!H$1),0),0)</f>
        <v>0</v>
      </c>
      <c r="P6107" s="30">
        <f>IFERROR(SUM(K6107:O6107)*VLOOKUP($A6107,HeadJournal!$A$1:$L$890,COLUMN(HeadJournal!H$1),0),0)</f>
        <v>0</v>
      </c>
      <c r="Q6107" s="29"/>
      <c r="R6107" s="31"/>
      <c r="S6107" s="31"/>
      <c r="T6107" s="95" t="str">
        <f t="shared" si="450"/>
        <v/>
      </c>
      <c r="U6107" s="32">
        <f t="shared" si="451"/>
        <v>0</v>
      </c>
      <c r="V6107" s="22" t="str">
        <f t="shared" si="452"/>
        <v/>
      </c>
      <c r="X6107" s="33"/>
      <c r="Y6107" s="33"/>
    </row>
    <row r="6108" spans="1:25" x14ac:dyDescent="0.2">
      <c r="A6108" s="93"/>
      <c r="B6108" s="94" t="str">
        <f>IFERROR(VLOOKUP($A6108,HeadJournal!$A$1:$NTR$890,COLUMN(HeadJournal!B$1),0),"")</f>
        <v/>
      </c>
      <c r="C6108" s="94" t="str">
        <f>IFERROR(VLOOKUP($A6108,HeadJournal!$A$1:$NTR$890,COLUMN(HeadJournal!C$1),0),"")</f>
        <v/>
      </c>
      <c r="D6108" s="125" t="str">
        <f>IFERROR(VLOOKUP($A6108,HeadJournal!$A$1:$NTR$890,COLUMN(HeadJournal!D$1),0),"")</f>
        <v/>
      </c>
      <c r="E6108" s="95" t="str">
        <f>IFERROR(VLOOKUP($A6108,HeadJournal!$A$1:$NTR$890,COLUMN(HeadJournal!G$1),0),"")</f>
        <v/>
      </c>
      <c r="F6108" s="95" t="str">
        <f t="shared" si="449"/>
        <v/>
      </c>
      <c r="G6108" s="97"/>
      <c r="H6108" s="161"/>
      <c r="I6108" s="97"/>
      <c r="J6108" s="97"/>
      <c r="K6108" s="29"/>
      <c r="L6108" s="29"/>
      <c r="M6108" s="30">
        <f>IFERROR(VLOOKUP($A6108,HeadJournal!$A$1:$J$890,COLUMN(HeadJournal!I$1),0)*($K6108+$L6108)/(SUMIF($A:$A,$A6108,$K:$K)+SUMIF($A:$A,$A6108,$L:$L)),0)</f>
        <v>0</v>
      </c>
      <c r="N6108" s="30">
        <f>IFERROR((VLOOKUP($A6108,HeadJournal!$A$1:$K$890,COLUMN(HeadJournal!K$1),0)-VLOOKUP($A6108,HeadJournal!$A$1:$K$890,COLUMN(HeadJournal!J$1),0))*($K6108+$L6108)/(SUMIF($A:$A,$A6108,$K:$K)+SUMIF($A:$A,$A6108,$L:$L)),0)</f>
        <v>0</v>
      </c>
      <c r="O6108" s="30">
        <f>IFERROR((VLOOKUP($A6108,HeadJournal!$A$1:$L$890,COLUMN(HeadJournal!L$1),0)*($K6108+$L6108)/(SUMIF($A:$A,$A6108,$K:$K)+SUMIF($A:$A,$A6108,$L:$L)))/VLOOKUP($A6108,HeadJournal!$A$1:$L$890,COLUMN(HeadJournal!H$1),0),0)</f>
        <v>0</v>
      </c>
      <c r="P6108" s="30">
        <f>IFERROR(SUM(K6108:O6108)*VLOOKUP($A6108,HeadJournal!$A$1:$L$890,COLUMN(HeadJournal!H$1),0),0)</f>
        <v>0</v>
      </c>
      <c r="Q6108" s="29"/>
      <c r="R6108" s="31"/>
      <c r="S6108" s="31"/>
      <c r="T6108" s="95" t="str">
        <f t="shared" si="450"/>
        <v/>
      </c>
      <c r="U6108" s="32">
        <f t="shared" si="451"/>
        <v>0</v>
      </c>
      <c r="V6108" s="22" t="str">
        <f t="shared" si="452"/>
        <v/>
      </c>
      <c r="X6108" s="33"/>
      <c r="Y6108" s="33"/>
    </row>
    <row r="6109" spans="1:25" x14ac:dyDescent="0.2">
      <c r="A6109" s="93"/>
      <c r="B6109" s="94" t="str">
        <f>IFERROR(VLOOKUP($A6109,HeadJournal!$A$1:$NTR$890,COLUMN(HeadJournal!B$1),0),"")</f>
        <v/>
      </c>
      <c r="C6109" s="94" t="str">
        <f>IFERROR(VLOOKUP($A6109,HeadJournal!$A$1:$NTR$890,COLUMN(HeadJournal!C$1),0),"")</f>
        <v/>
      </c>
      <c r="D6109" s="125" t="str">
        <f>IFERROR(VLOOKUP($A6109,HeadJournal!$A$1:$NTR$890,COLUMN(HeadJournal!D$1),0),"")</f>
        <v/>
      </c>
      <c r="E6109" s="95" t="str">
        <f>IFERROR(VLOOKUP($A6109,HeadJournal!$A$1:$NTR$890,COLUMN(HeadJournal!G$1),0),"")</f>
        <v/>
      </c>
      <c r="F6109" s="95" t="str">
        <f t="shared" si="449"/>
        <v/>
      </c>
      <c r="G6109" s="97"/>
      <c r="H6109" s="161"/>
      <c r="I6109" s="97"/>
      <c r="J6109" s="97"/>
      <c r="K6109" s="29"/>
      <c r="L6109" s="29"/>
      <c r="M6109" s="30">
        <f>IFERROR(VLOOKUP($A6109,HeadJournal!$A$1:$J$890,COLUMN(HeadJournal!I$1),0)*($K6109+$L6109)/(SUMIF($A:$A,$A6109,$K:$K)+SUMIF($A:$A,$A6109,$L:$L)),0)</f>
        <v>0</v>
      </c>
      <c r="N6109" s="30">
        <f>IFERROR((VLOOKUP($A6109,HeadJournal!$A$1:$K$890,COLUMN(HeadJournal!K$1),0)-VLOOKUP($A6109,HeadJournal!$A$1:$K$890,COLUMN(HeadJournal!J$1),0))*($K6109+$L6109)/(SUMIF($A:$A,$A6109,$K:$K)+SUMIF($A:$A,$A6109,$L:$L)),0)</f>
        <v>0</v>
      </c>
      <c r="O6109" s="30">
        <f>IFERROR((VLOOKUP($A6109,HeadJournal!$A$1:$L$890,COLUMN(HeadJournal!L$1),0)*($K6109+$L6109)/(SUMIF($A:$A,$A6109,$K:$K)+SUMIF($A:$A,$A6109,$L:$L)))/VLOOKUP($A6109,HeadJournal!$A$1:$L$890,COLUMN(HeadJournal!H$1),0),0)</f>
        <v>0</v>
      </c>
      <c r="P6109" s="30">
        <f>IFERROR(SUM(K6109:O6109)*VLOOKUP($A6109,HeadJournal!$A$1:$L$890,COLUMN(HeadJournal!H$1),0),0)</f>
        <v>0</v>
      </c>
      <c r="Q6109" s="29"/>
      <c r="R6109" s="31"/>
      <c r="S6109" s="31"/>
      <c r="T6109" s="95" t="str">
        <f t="shared" si="450"/>
        <v/>
      </c>
      <c r="U6109" s="32">
        <f t="shared" si="451"/>
        <v>0</v>
      </c>
      <c r="V6109" s="22" t="str">
        <f t="shared" si="452"/>
        <v/>
      </c>
      <c r="X6109" s="33"/>
      <c r="Y6109" s="33"/>
    </row>
    <row r="6110" spans="1:25" x14ac:dyDescent="0.2">
      <c r="A6110" s="93"/>
      <c r="B6110" s="94" t="str">
        <f>IFERROR(VLOOKUP($A6110,HeadJournal!$A$1:$NTR$890,COLUMN(HeadJournal!B$1),0),"")</f>
        <v/>
      </c>
      <c r="C6110" s="94" t="str">
        <f>IFERROR(VLOOKUP($A6110,HeadJournal!$A$1:$NTR$890,COLUMN(HeadJournal!C$1),0),"")</f>
        <v/>
      </c>
      <c r="D6110" s="125" t="str">
        <f>IFERROR(VLOOKUP($A6110,HeadJournal!$A$1:$NTR$890,COLUMN(HeadJournal!D$1),0),"")</f>
        <v/>
      </c>
      <c r="E6110" s="95" t="str">
        <f>IFERROR(VLOOKUP($A6110,HeadJournal!$A$1:$NTR$890,COLUMN(HeadJournal!G$1),0),"")</f>
        <v/>
      </c>
      <c r="F6110" s="95" t="str">
        <f t="shared" si="449"/>
        <v/>
      </c>
      <c r="G6110" s="97"/>
      <c r="H6110" s="161"/>
      <c r="I6110" s="97"/>
      <c r="J6110" s="97"/>
      <c r="K6110" s="29"/>
      <c r="L6110" s="29"/>
      <c r="M6110" s="30">
        <f>IFERROR(VLOOKUP($A6110,HeadJournal!$A$1:$J$890,COLUMN(HeadJournal!I$1),0)*($K6110+$L6110)/(SUMIF($A:$A,$A6110,$K:$K)+SUMIF($A:$A,$A6110,$L:$L)),0)</f>
        <v>0</v>
      </c>
      <c r="N6110" s="30">
        <f>IFERROR((VLOOKUP($A6110,HeadJournal!$A$1:$K$890,COLUMN(HeadJournal!K$1),0)-VLOOKUP($A6110,HeadJournal!$A$1:$K$890,COLUMN(HeadJournal!J$1),0))*($K6110+$L6110)/(SUMIF($A:$A,$A6110,$K:$K)+SUMIF($A:$A,$A6110,$L:$L)),0)</f>
        <v>0</v>
      </c>
      <c r="O6110" s="30">
        <f>IFERROR((VLOOKUP($A6110,HeadJournal!$A$1:$L$890,COLUMN(HeadJournal!L$1),0)*($K6110+$L6110)/(SUMIF($A:$A,$A6110,$K:$K)+SUMIF($A:$A,$A6110,$L:$L)))/VLOOKUP($A6110,HeadJournal!$A$1:$L$890,COLUMN(HeadJournal!H$1),0),0)</f>
        <v>0</v>
      </c>
      <c r="P6110" s="30">
        <f>IFERROR(SUM(K6110:O6110)*VLOOKUP($A6110,HeadJournal!$A$1:$L$890,COLUMN(HeadJournal!H$1),0),0)</f>
        <v>0</v>
      </c>
      <c r="Q6110" s="29"/>
      <c r="R6110" s="31"/>
      <c r="S6110" s="31"/>
      <c r="T6110" s="95" t="str">
        <f t="shared" si="450"/>
        <v/>
      </c>
      <c r="U6110" s="32">
        <f t="shared" si="451"/>
        <v>0</v>
      </c>
      <c r="V6110" s="22" t="str">
        <f t="shared" si="452"/>
        <v/>
      </c>
      <c r="X6110" s="33"/>
      <c r="Y6110" s="33"/>
    </row>
    <row r="6111" spans="1:25" x14ac:dyDescent="0.2">
      <c r="A6111" s="93"/>
      <c r="B6111" s="94" t="str">
        <f>IFERROR(VLOOKUP($A6111,HeadJournal!$A$1:$NTR$890,COLUMN(HeadJournal!B$1),0),"")</f>
        <v/>
      </c>
      <c r="C6111" s="94" t="str">
        <f>IFERROR(VLOOKUP($A6111,HeadJournal!$A$1:$NTR$890,COLUMN(HeadJournal!C$1),0),"")</f>
        <v/>
      </c>
      <c r="D6111" s="125" t="str">
        <f>IFERROR(VLOOKUP($A6111,HeadJournal!$A$1:$NTR$890,COLUMN(HeadJournal!D$1),0),"")</f>
        <v/>
      </c>
      <c r="E6111" s="95" t="str">
        <f>IFERROR(VLOOKUP($A6111,HeadJournal!$A$1:$NTR$890,COLUMN(HeadJournal!G$1),0),"")</f>
        <v/>
      </c>
      <c r="F6111" s="95" t="str">
        <f t="shared" si="449"/>
        <v/>
      </c>
      <c r="G6111" s="97"/>
      <c r="H6111" s="161"/>
      <c r="I6111" s="97"/>
      <c r="J6111" s="97"/>
      <c r="K6111" s="29"/>
      <c r="L6111" s="29"/>
      <c r="M6111" s="30">
        <f>IFERROR(VLOOKUP($A6111,HeadJournal!$A$1:$J$890,COLUMN(HeadJournal!I$1),0)*($K6111+$L6111)/(SUMIF($A:$A,$A6111,$K:$K)+SUMIF($A:$A,$A6111,$L:$L)),0)</f>
        <v>0</v>
      </c>
      <c r="N6111" s="30">
        <f>IFERROR((VLOOKUP($A6111,HeadJournal!$A$1:$K$890,COLUMN(HeadJournal!K$1),0)-VLOOKUP($A6111,HeadJournal!$A$1:$K$890,COLUMN(HeadJournal!J$1),0))*($K6111+$L6111)/(SUMIF($A:$A,$A6111,$K:$K)+SUMIF($A:$A,$A6111,$L:$L)),0)</f>
        <v>0</v>
      </c>
      <c r="O6111" s="30">
        <f>IFERROR((VLOOKUP($A6111,HeadJournal!$A$1:$L$890,COLUMN(HeadJournal!L$1),0)*($K6111+$L6111)/(SUMIF($A:$A,$A6111,$K:$K)+SUMIF($A:$A,$A6111,$L:$L)))/VLOOKUP($A6111,HeadJournal!$A$1:$L$890,COLUMN(HeadJournal!H$1),0),0)</f>
        <v>0</v>
      </c>
      <c r="P6111" s="30">
        <f>IFERROR(SUM(K6111:O6111)*VLOOKUP($A6111,HeadJournal!$A$1:$L$890,COLUMN(HeadJournal!H$1),0),0)</f>
        <v>0</v>
      </c>
      <c r="Q6111" s="29"/>
      <c r="R6111" s="31"/>
      <c r="S6111" s="31"/>
      <c r="T6111" s="95" t="str">
        <f t="shared" si="450"/>
        <v/>
      </c>
      <c r="U6111" s="32">
        <f t="shared" si="451"/>
        <v>0</v>
      </c>
      <c r="V6111" s="22" t="str">
        <f t="shared" si="452"/>
        <v/>
      </c>
      <c r="X6111" s="33"/>
      <c r="Y6111" s="33"/>
    </row>
    <row r="6112" spans="1:25" x14ac:dyDescent="0.2">
      <c r="A6112" s="93"/>
      <c r="B6112" s="94" t="str">
        <f>IFERROR(VLOOKUP($A6112,HeadJournal!$A$1:$NTR$890,COLUMN(HeadJournal!B$1),0),"")</f>
        <v/>
      </c>
      <c r="C6112" s="94" t="str">
        <f>IFERROR(VLOOKUP($A6112,HeadJournal!$A$1:$NTR$890,COLUMN(HeadJournal!C$1),0),"")</f>
        <v/>
      </c>
      <c r="D6112" s="125" t="str">
        <f>IFERROR(VLOOKUP($A6112,HeadJournal!$A$1:$NTR$890,COLUMN(HeadJournal!D$1),0),"")</f>
        <v/>
      </c>
      <c r="E6112" s="95" t="str">
        <f>IFERROR(VLOOKUP($A6112,HeadJournal!$A$1:$NTR$890,COLUMN(HeadJournal!G$1),0),"")</f>
        <v/>
      </c>
      <c r="F6112" s="95" t="str">
        <f t="shared" si="449"/>
        <v/>
      </c>
      <c r="G6112" s="97"/>
      <c r="H6112" s="161"/>
      <c r="I6112" s="97"/>
      <c r="J6112" s="97"/>
      <c r="K6112" s="29"/>
      <c r="L6112" s="29"/>
      <c r="M6112" s="30">
        <f>IFERROR(VLOOKUP($A6112,HeadJournal!$A$1:$J$890,COLUMN(HeadJournal!I$1),0)*($K6112+$L6112)/(SUMIF($A:$A,$A6112,$K:$K)+SUMIF($A:$A,$A6112,$L:$L)),0)</f>
        <v>0</v>
      </c>
      <c r="N6112" s="30">
        <f>IFERROR((VLOOKUP($A6112,HeadJournal!$A$1:$K$890,COLUMN(HeadJournal!K$1),0)-VLOOKUP($A6112,HeadJournal!$A$1:$K$890,COLUMN(HeadJournal!J$1),0))*($K6112+$L6112)/(SUMIF($A:$A,$A6112,$K:$K)+SUMIF($A:$A,$A6112,$L:$L)),0)</f>
        <v>0</v>
      </c>
      <c r="O6112" s="30">
        <f>IFERROR((VLOOKUP($A6112,HeadJournal!$A$1:$L$890,COLUMN(HeadJournal!L$1),0)*($K6112+$L6112)/(SUMIF($A:$A,$A6112,$K:$K)+SUMIF($A:$A,$A6112,$L:$L)))/VLOOKUP($A6112,HeadJournal!$A$1:$L$890,COLUMN(HeadJournal!H$1),0),0)</f>
        <v>0</v>
      </c>
      <c r="P6112" s="30">
        <f>IFERROR(SUM(K6112:O6112)*VLOOKUP($A6112,HeadJournal!$A$1:$L$890,COLUMN(HeadJournal!H$1),0),0)</f>
        <v>0</v>
      </c>
      <c r="Q6112" s="29"/>
      <c r="R6112" s="31"/>
      <c r="S6112" s="31"/>
      <c r="T6112" s="95" t="str">
        <f t="shared" si="450"/>
        <v/>
      </c>
      <c r="U6112" s="32">
        <f t="shared" si="451"/>
        <v>0</v>
      </c>
      <c r="V6112" s="22" t="str">
        <f t="shared" si="452"/>
        <v/>
      </c>
      <c r="X6112" s="33"/>
      <c r="Y6112" s="33"/>
    </row>
    <row r="6113" spans="1:25" x14ac:dyDescent="0.2">
      <c r="A6113" s="93"/>
      <c r="B6113" s="94" t="str">
        <f>IFERROR(VLOOKUP($A6113,HeadJournal!$A$1:$NTR$890,COLUMN(HeadJournal!B$1),0),"")</f>
        <v/>
      </c>
      <c r="C6113" s="94" t="str">
        <f>IFERROR(VLOOKUP($A6113,HeadJournal!$A$1:$NTR$890,COLUMN(HeadJournal!C$1),0),"")</f>
        <v/>
      </c>
      <c r="D6113" s="125" t="str">
        <f>IFERROR(VLOOKUP($A6113,HeadJournal!$A$1:$NTR$890,COLUMN(HeadJournal!D$1),0),"")</f>
        <v/>
      </c>
      <c r="E6113" s="95" t="str">
        <f>IFERROR(VLOOKUP($A6113,HeadJournal!$A$1:$NTR$890,COLUMN(HeadJournal!G$1),0),"")</f>
        <v/>
      </c>
      <c r="F6113" s="95" t="str">
        <f t="shared" si="449"/>
        <v/>
      </c>
      <c r="G6113" s="97"/>
      <c r="H6113" s="161"/>
      <c r="I6113" s="97"/>
      <c r="J6113" s="97"/>
      <c r="K6113" s="29"/>
      <c r="L6113" s="29"/>
      <c r="M6113" s="30">
        <f>IFERROR(VLOOKUP($A6113,HeadJournal!$A$1:$J$890,COLUMN(HeadJournal!I$1),0)*($K6113+$L6113)/(SUMIF($A:$A,$A6113,$K:$K)+SUMIF($A:$A,$A6113,$L:$L)),0)</f>
        <v>0</v>
      </c>
      <c r="N6113" s="30">
        <f>IFERROR((VLOOKUP($A6113,HeadJournal!$A$1:$K$890,COLUMN(HeadJournal!K$1),0)-VLOOKUP($A6113,HeadJournal!$A$1:$K$890,COLUMN(HeadJournal!J$1),0))*($K6113+$L6113)/(SUMIF($A:$A,$A6113,$K:$K)+SUMIF($A:$A,$A6113,$L:$L)),0)</f>
        <v>0</v>
      </c>
      <c r="O6113" s="30">
        <f>IFERROR((VLOOKUP($A6113,HeadJournal!$A$1:$L$890,COLUMN(HeadJournal!L$1),0)*($K6113+$L6113)/(SUMIF($A:$A,$A6113,$K:$K)+SUMIF($A:$A,$A6113,$L:$L)))/VLOOKUP($A6113,HeadJournal!$A$1:$L$890,COLUMN(HeadJournal!H$1),0),0)</f>
        <v>0</v>
      </c>
      <c r="P6113" s="30">
        <f>IFERROR(SUM(K6113:O6113)*VLOOKUP($A6113,HeadJournal!$A$1:$L$890,COLUMN(HeadJournal!H$1),0),0)</f>
        <v>0</v>
      </c>
      <c r="Q6113" s="29"/>
      <c r="R6113" s="31"/>
      <c r="S6113" s="31"/>
      <c r="T6113" s="95" t="str">
        <f t="shared" si="450"/>
        <v/>
      </c>
      <c r="U6113" s="32">
        <f t="shared" si="451"/>
        <v>0</v>
      </c>
      <c r="V6113" s="22" t="str">
        <f t="shared" si="452"/>
        <v/>
      </c>
      <c r="X6113" s="33"/>
      <c r="Y6113" s="33"/>
    </row>
    <row r="6114" spans="1:25" x14ac:dyDescent="0.2">
      <c r="A6114" s="93"/>
      <c r="B6114" s="94" t="str">
        <f>IFERROR(VLOOKUP($A6114,HeadJournal!$A$1:$NTR$890,COLUMN(HeadJournal!B$1),0),"")</f>
        <v/>
      </c>
      <c r="C6114" s="94" t="str">
        <f>IFERROR(VLOOKUP($A6114,HeadJournal!$A$1:$NTR$890,COLUMN(HeadJournal!C$1),0),"")</f>
        <v/>
      </c>
      <c r="D6114" s="125" t="str">
        <f>IFERROR(VLOOKUP($A6114,HeadJournal!$A$1:$NTR$890,COLUMN(HeadJournal!D$1),0),"")</f>
        <v/>
      </c>
      <c r="E6114" s="95" t="str">
        <f>IFERROR(VLOOKUP($A6114,HeadJournal!$A$1:$NTR$890,COLUMN(HeadJournal!G$1),0),"")</f>
        <v/>
      </c>
      <c r="F6114" s="95" t="str">
        <f t="shared" si="449"/>
        <v/>
      </c>
      <c r="G6114" s="97"/>
      <c r="H6114" s="161"/>
      <c r="I6114" s="97"/>
      <c r="J6114" s="97"/>
      <c r="K6114" s="29"/>
      <c r="L6114" s="29"/>
      <c r="M6114" s="30">
        <f>IFERROR(VLOOKUP($A6114,HeadJournal!$A$1:$J$890,COLUMN(HeadJournal!I$1),0)*($K6114+$L6114)/(SUMIF($A:$A,$A6114,$K:$K)+SUMIF($A:$A,$A6114,$L:$L)),0)</f>
        <v>0</v>
      </c>
      <c r="N6114" s="30">
        <f>IFERROR((VLOOKUP($A6114,HeadJournal!$A$1:$K$890,COLUMN(HeadJournal!K$1),0)-VLOOKUP($A6114,HeadJournal!$A$1:$K$890,COLUMN(HeadJournal!J$1),0))*($K6114+$L6114)/(SUMIF($A:$A,$A6114,$K:$K)+SUMIF($A:$A,$A6114,$L:$L)),0)</f>
        <v>0</v>
      </c>
      <c r="O6114" s="30">
        <f>IFERROR((VLOOKUP($A6114,HeadJournal!$A$1:$L$890,COLUMN(HeadJournal!L$1),0)*($K6114+$L6114)/(SUMIF($A:$A,$A6114,$K:$K)+SUMIF($A:$A,$A6114,$L:$L)))/VLOOKUP($A6114,HeadJournal!$A$1:$L$890,COLUMN(HeadJournal!H$1),0),0)</f>
        <v>0</v>
      </c>
      <c r="P6114" s="30">
        <f>IFERROR(SUM(K6114:O6114)*VLOOKUP($A6114,HeadJournal!$A$1:$L$890,COLUMN(HeadJournal!H$1),0),0)</f>
        <v>0</v>
      </c>
      <c r="Q6114" s="29"/>
      <c r="R6114" s="31"/>
      <c r="S6114" s="31"/>
      <c r="T6114" s="95" t="str">
        <f t="shared" si="450"/>
        <v/>
      </c>
      <c r="U6114" s="32">
        <f t="shared" si="451"/>
        <v>0</v>
      </c>
      <c r="V6114" s="22" t="str">
        <f t="shared" si="452"/>
        <v/>
      </c>
      <c r="X6114" s="33"/>
      <c r="Y6114" s="33"/>
    </row>
    <row r="6115" spans="1:25" x14ac:dyDescent="0.2">
      <c r="A6115" s="93"/>
      <c r="B6115" s="94" t="str">
        <f>IFERROR(VLOOKUP($A6115,HeadJournal!$A$1:$NTR$890,COLUMN(HeadJournal!B$1),0),"")</f>
        <v/>
      </c>
      <c r="C6115" s="94" t="str">
        <f>IFERROR(VLOOKUP($A6115,HeadJournal!$A$1:$NTR$890,COLUMN(HeadJournal!C$1),0),"")</f>
        <v/>
      </c>
      <c r="D6115" s="125" t="str">
        <f>IFERROR(VLOOKUP($A6115,HeadJournal!$A$1:$NTR$890,COLUMN(HeadJournal!D$1),0),"")</f>
        <v/>
      </c>
      <c r="E6115" s="95" t="str">
        <f>IFERROR(VLOOKUP($A6115,HeadJournal!$A$1:$NTR$890,COLUMN(HeadJournal!G$1),0),"")</f>
        <v/>
      </c>
      <c r="F6115" s="95" t="str">
        <f t="shared" si="449"/>
        <v/>
      </c>
      <c r="G6115" s="97"/>
      <c r="H6115" s="161"/>
      <c r="I6115" s="97"/>
      <c r="J6115" s="97"/>
      <c r="K6115" s="29"/>
      <c r="L6115" s="29"/>
      <c r="M6115" s="30">
        <f>IFERROR(VLOOKUP($A6115,HeadJournal!$A$1:$J$890,COLUMN(HeadJournal!I$1),0)*($K6115+$L6115)/(SUMIF($A:$A,$A6115,$K:$K)+SUMIF($A:$A,$A6115,$L:$L)),0)</f>
        <v>0</v>
      </c>
      <c r="N6115" s="30">
        <f>IFERROR((VLOOKUP($A6115,HeadJournal!$A$1:$K$890,COLUMN(HeadJournal!K$1),0)-VLOOKUP($A6115,HeadJournal!$A$1:$K$890,COLUMN(HeadJournal!J$1),0))*($K6115+$L6115)/(SUMIF($A:$A,$A6115,$K:$K)+SUMIF($A:$A,$A6115,$L:$L)),0)</f>
        <v>0</v>
      </c>
      <c r="O6115" s="30">
        <f>IFERROR((VLOOKUP($A6115,HeadJournal!$A$1:$L$890,COLUMN(HeadJournal!L$1),0)*($K6115+$L6115)/(SUMIF($A:$A,$A6115,$K:$K)+SUMIF($A:$A,$A6115,$L:$L)))/VLOOKUP($A6115,HeadJournal!$A$1:$L$890,COLUMN(HeadJournal!H$1),0),0)</f>
        <v>0</v>
      </c>
      <c r="P6115" s="30">
        <f>IFERROR(SUM(K6115:O6115)*VLOOKUP($A6115,HeadJournal!$A$1:$L$890,COLUMN(HeadJournal!H$1),0),0)</f>
        <v>0</v>
      </c>
      <c r="Q6115" s="29"/>
      <c r="R6115" s="31"/>
      <c r="S6115" s="31"/>
      <c r="T6115" s="95" t="str">
        <f t="shared" si="450"/>
        <v/>
      </c>
      <c r="U6115" s="32">
        <f t="shared" si="451"/>
        <v>0</v>
      </c>
      <c r="V6115" s="22" t="str">
        <f t="shared" si="452"/>
        <v/>
      </c>
      <c r="X6115" s="33"/>
      <c r="Y6115" s="33"/>
    </row>
    <row r="6116" spans="1:25" x14ac:dyDescent="0.2">
      <c r="A6116" s="93"/>
      <c r="B6116" s="94" t="str">
        <f>IFERROR(VLOOKUP($A6116,HeadJournal!$A$1:$NTR$890,COLUMN(HeadJournal!B$1),0),"")</f>
        <v/>
      </c>
      <c r="C6116" s="94" t="str">
        <f>IFERROR(VLOOKUP($A6116,HeadJournal!$A$1:$NTR$890,COLUMN(HeadJournal!C$1),0),"")</f>
        <v/>
      </c>
      <c r="D6116" s="125" t="str">
        <f>IFERROR(VLOOKUP($A6116,HeadJournal!$A$1:$NTR$890,COLUMN(HeadJournal!D$1),0),"")</f>
        <v/>
      </c>
      <c r="E6116" s="95" t="str">
        <f>IFERROR(VLOOKUP($A6116,HeadJournal!$A$1:$NTR$890,COLUMN(HeadJournal!G$1),0),"")</f>
        <v/>
      </c>
      <c r="F6116" s="95" t="str">
        <f t="shared" si="449"/>
        <v/>
      </c>
      <c r="G6116" s="97"/>
      <c r="H6116" s="161"/>
      <c r="I6116" s="97"/>
      <c r="J6116" s="97"/>
      <c r="K6116" s="29"/>
      <c r="L6116" s="29"/>
      <c r="M6116" s="30">
        <f>IFERROR(VLOOKUP($A6116,HeadJournal!$A$1:$J$890,COLUMN(HeadJournal!I$1),0)*($K6116+$L6116)/(SUMIF($A:$A,$A6116,$K:$K)+SUMIF($A:$A,$A6116,$L:$L)),0)</f>
        <v>0</v>
      </c>
      <c r="N6116" s="30">
        <f>IFERROR((VLOOKUP($A6116,HeadJournal!$A$1:$K$890,COLUMN(HeadJournal!K$1),0)-VLOOKUP($A6116,HeadJournal!$A$1:$K$890,COLUMN(HeadJournal!J$1),0))*($K6116+$L6116)/(SUMIF($A:$A,$A6116,$K:$K)+SUMIF($A:$A,$A6116,$L:$L)),0)</f>
        <v>0</v>
      </c>
      <c r="O6116" s="30">
        <f>IFERROR((VLOOKUP($A6116,HeadJournal!$A$1:$L$890,COLUMN(HeadJournal!L$1),0)*($K6116+$L6116)/(SUMIF($A:$A,$A6116,$K:$K)+SUMIF($A:$A,$A6116,$L:$L)))/VLOOKUP($A6116,HeadJournal!$A$1:$L$890,COLUMN(HeadJournal!H$1),0),0)</f>
        <v>0</v>
      </c>
      <c r="P6116" s="30">
        <f>IFERROR(SUM(K6116:O6116)*VLOOKUP($A6116,HeadJournal!$A$1:$L$890,COLUMN(HeadJournal!H$1),0),0)</f>
        <v>0</v>
      </c>
      <c r="Q6116" s="29"/>
      <c r="R6116" s="31"/>
      <c r="S6116" s="31"/>
      <c r="T6116" s="95" t="str">
        <f t="shared" si="450"/>
        <v/>
      </c>
      <c r="U6116" s="32">
        <f t="shared" si="451"/>
        <v>0</v>
      </c>
      <c r="V6116" s="22" t="str">
        <f t="shared" si="452"/>
        <v/>
      </c>
      <c r="X6116" s="33"/>
      <c r="Y6116" s="33"/>
    </row>
    <row r="6117" spans="1:25" x14ac:dyDescent="0.2">
      <c r="A6117" s="93"/>
      <c r="B6117" s="94" t="str">
        <f>IFERROR(VLOOKUP($A6117,HeadJournal!$A$1:$NTR$890,COLUMN(HeadJournal!B$1),0),"")</f>
        <v/>
      </c>
      <c r="C6117" s="94" t="str">
        <f>IFERROR(VLOOKUP($A6117,HeadJournal!$A$1:$NTR$890,COLUMN(HeadJournal!C$1),0),"")</f>
        <v/>
      </c>
      <c r="D6117" s="125" t="str">
        <f>IFERROR(VLOOKUP($A6117,HeadJournal!$A$1:$NTR$890,COLUMN(HeadJournal!D$1),0),"")</f>
        <v/>
      </c>
      <c r="E6117" s="95" t="str">
        <f>IFERROR(VLOOKUP($A6117,HeadJournal!$A$1:$NTR$890,COLUMN(HeadJournal!G$1),0),"")</f>
        <v/>
      </c>
      <c r="F6117" s="95" t="str">
        <f t="shared" si="449"/>
        <v/>
      </c>
      <c r="G6117" s="97"/>
      <c r="H6117" s="161"/>
      <c r="I6117" s="97"/>
      <c r="J6117" s="97"/>
      <c r="K6117" s="29"/>
      <c r="L6117" s="29"/>
      <c r="M6117" s="30">
        <f>IFERROR(VLOOKUP($A6117,HeadJournal!$A$1:$J$890,COLUMN(HeadJournal!I$1),0)*($K6117+$L6117)/(SUMIF($A:$A,$A6117,$K:$K)+SUMIF($A:$A,$A6117,$L:$L)),0)</f>
        <v>0</v>
      </c>
      <c r="N6117" s="30">
        <f>IFERROR((VLOOKUP($A6117,HeadJournal!$A$1:$K$890,COLUMN(HeadJournal!K$1),0)-VLOOKUP($A6117,HeadJournal!$A$1:$K$890,COLUMN(HeadJournal!J$1),0))*($K6117+$L6117)/(SUMIF($A:$A,$A6117,$K:$K)+SUMIF($A:$A,$A6117,$L:$L)),0)</f>
        <v>0</v>
      </c>
      <c r="O6117" s="30">
        <f>IFERROR((VLOOKUP($A6117,HeadJournal!$A$1:$L$890,COLUMN(HeadJournal!L$1),0)*($K6117+$L6117)/(SUMIF($A:$A,$A6117,$K:$K)+SUMIF($A:$A,$A6117,$L:$L)))/VLOOKUP($A6117,HeadJournal!$A$1:$L$890,COLUMN(HeadJournal!H$1),0),0)</f>
        <v>0</v>
      </c>
      <c r="P6117" s="30">
        <f>IFERROR(SUM(K6117:O6117)*VLOOKUP($A6117,HeadJournal!$A$1:$L$890,COLUMN(HeadJournal!H$1),0),0)</f>
        <v>0</v>
      </c>
      <c r="Q6117" s="29"/>
      <c r="R6117" s="31"/>
      <c r="S6117" s="31"/>
      <c r="T6117" s="95" t="str">
        <f t="shared" si="450"/>
        <v/>
      </c>
      <c r="U6117" s="32">
        <f t="shared" si="451"/>
        <v>0</v>
      </c>
      <c r="V6117" s="22" t="str">
        <f t="shared" si="452"/>
        <v/>
      </c>
      <c r="X6117" s="33"/>
      <c r="Y6117" s="33"/>
    </row>
    <row r="6118" spans="1:25" x14ac:dyDescent="0.2">
      <c r="A6118" s="93"/>
      <c r="B6118" s="94" t="str">
        <f>IFERROR(VLOOKUP($A6118,HeadJournal!$A$1:$NTR$890,COLUMN(HeadJournal!B$1),0),"")</f>
        <v/>
      </c>
      <c r="C6118" s="94" t="str">
        <f>IFERROR(VLOOKUP($A6118,HeadJournal!$A$1:$NTR$890,COLUMN(HeadJournal!C$1),0),"")</f>
        <v/>
      </c>
      <c r="D6118" s="125" t="str">
        <f>IFERROR(VLOOKUP($A6118,HeadJournal!$A$1:$NTR$890,COLUMN(HeadJournal!D$1),0),"")</f>
        <v/>
      </c>
      <c r="E6118" s="95" t="str">
        <f>IFERROR(VLOOKUP($A6118,HeadJournal!$A$1:$NTR$890,COLUMN(HeadJournal!G$1),0),"")</f>
        <v/>
      </c>
      <c r="F6118" s="95" t="str">
        <f t="shared" si="449"/>
        <v/>
      </c>
      <c r="G6118" s="97"/>
      <c r="H6118" s="161"/>
      <c r="I6118" s="97"/>
      <c r="J6118" s="97"/>
      <c r="K6118" s="29"/>
      <c r="L6118" s="29"/>
      <c r="M6118" s="30">
        <f>IFERROR(VLOOKUP($A6118,HeadJournal!$A$1:$J$890,COLUMN(HeadJournal!I$1),0)*($K6118+$L6118)/(SUMIF($A:$A,$A6118,$K:$K)+SUMIF($A:$A,$A6118,$L:$L)),0)</f>
        <v>0</v>
      </c>
      <c r="N6118" s="30">
        <f>IFERROR((VLOOKUP($A6118,HeadJournal!$A$1:$K$890,COLUMN(HeadJournal!K$1),0)-VLOOKUP($A6118,HeadJournal!$A$1:$K$890,COLUMN(HeadJournal!J$1),0))*($K6118+$L6118)/(SUMIF($A:$A,$A6118,$K:$K)+SUMIF($A:$A,$A6118,$L:$L)),0)</f>
        <v>0</v>
      </c>
      <c r="O6118" s="30">
        <f>IFERROR((VLOOKUP($A6118,HeadJournal!$A$1:$L$890,COLUMN(HeadJournal!L$1),0)*($K6118+$L6118)/(SUMIF($A:$A,$A6118,$K:$K)+SUMIF($A:$A,$A6118,$L:$L)))/VLOOKUP($A6118,HeadJournal!$A$1:$L$890,COLUMN(HeadJournal!H$1),0),0)</f>
        <v>0</v>
      </c>
      <c r="P6118" s="30">
        <f>IFERROR(SUM(K6118:O6118)*VLOOKUP($A6118,HeadJournal!$A$1:$L$890,COLUMN(HeadJournal!H$1),0),0)</f>
        <v>0</v>
      </c>
      <c r="Q6118" s="29"/>
      <c r="R6118" s="31"/>
      <c r="S6118" s="31"/>
      <c r="T6118" s="95" t="str">
        <f t="shared" si="450"/>
        <v/>
      </c>
      <c r="U6118" s="32">
        <f t="shared" si="451"/>
        <v>0</v>
      </c>
      <c r="V6118" s="22" t="str">
        <f t="shared" si="452"/>
        <v/>
      </c>
      <c r="X6118" s="33"/>
      <c r="Y6118" s="33"/>
    </row>
    <row r="6119" spans="1:25" x14ac:dyDescent="0.2">
      <c r="A6119" s="93"/>
      <c r="B6119" s="94" t="str">
        <f>IFERROR(VLOOKUP($A6119,HeadJournal!$A$1:$NTR$890,COLUMN(HeadJournal!B$1),0),"")</f>
        <v/>
      </c>
      <c r="C6119" s="94" t="str">
        <f>IFERROR(VLOOKUP($A6119,HeadJournal!$A$1:$NTR$890,COLUMN(HeadJournal!C$1),0),"")</f>
        <v/>
      </c>
      <c r="D6119" s="125" t="str">
        <f>IFERROR(VLOOKUP($A6119,HeadJournal!$A$1:$NTR$890,COLUMN(HeadJournal!D$1),0),"")</f>
        <v/>
      </c>
      <c r="E6119" s="95" t="str">
        <f>IFERROR(VLOOKUP($A6119,HeadJournal!$A$1:$NTR$890,COLUMN(HeadJournal!G$1),0),"")</f>
        <v/>
      </c>
      <c r="F6119" s="95" t="str">
        <f t="shared" si="449"/>
        <v/>
      </c>
      <c r="G6119" s="97"/>
      <c r="H6119" s="161"/>
      <c r="I6119" s="97"/>
      <c r="J6119" s="97"/>
      <c r="K6119" s="29"/>
      <c r="L6119" s="29"/>
      <c r="M6119" s="30">
        <f>IFERROR(VLOOKUP($A6119,HeadJournal!$A$1:$J$890,COLUMN(HeadJournal!I$1),0)*($K6119+$L6119)/(SUMIF($A:$A,$A6119,$K:$K)+SUMIF($A:$A,$A6119,$L:$L)),0)</f>
        <v>0</v>
      </c>
      <c r="N6119" s="30">
        <f>IFERROR((VLOOKUP($A6119,HeadJournal!$A$1:$K$890,COLUMN(HeadJournal!K$1),0)-VLOOKUP($A6119,HeadJournal!$A$1:$K$890,COLUMN(HeadJournal!J$1),0))*($K6119+$L6119)/(SUMIF($A:$A,$A6119,$K:$K)+SUMIF($A:$A,$A6119,$L:$L)),0)</f>
        <v>0</v>
      </c>
      <c r="O6119" s="30">
        <f>IFERROR((VLOOKUP($A6119,HeadJournal!$A$1:$L$890,COLUMN(HeadJournal!L$1),0)*($K6119+$L6119)/(SUMIF($A:$A,$A6119,$K:$K)+SUMIF($A:$A,$A6119,$L:$L)))/VLOOKUP($A6119,HeadJournal!$A$1:$L$890,COLUMN(HeadJournal!H$1),0),0)</f>
        <v>0</v>
      </c>
      <c r="P6119" s="30">
        <f>IFERROR(SUM(K6119:O6119)*VLOOKUP($A6119,HeadJournal!$A$1:$L$890,COLUMN(HeadJournal!H$1),0),0)</f>
        <v>0</v>
      </c>
      <c r="Q6119" s="29"/>
      <c r="R6119" s="31"/>
      <c r="S6119" s="31"/>
      <c r="T6119" s="95" t="str">
        <f t="shared" si="450"/>
        <v/>
      </c>
      <c r="U6119" s="32">
        <f t="shared" si="451"/>
        <v>0</v>
      </c>
      <c r="V6119" s="22" t="str">
        <f t="shared" si="452"/>
        <v/>
      </c>
      <c r="X6119" s="33"/>
      <c r="Y6119" s="33"/>
    </row>
    <row r="6120" spans="1:25" x14ac:dyDescent="0.2">
      <c r="A6120" s="93"/>
      <c r="B6120" s="94" t="str">
        <f>IFERROR(VLOOKUP($A6120,HeadJournal!$A$1:$NTR$890,COLUMN(HeadJournal!B$1),0),"")</f>
        <v/>
      </c>
      <c r="C6120" s="94" t="str">
        <f>IFERROR(VLOOKUP($A6120,HeadJournal!$A$1:$NTR$890,COLUMN(HeadJournal!C$1),0),"")</f>
        <v/>
      </c>
      <c r="D6120" s="125" t="str">
        <f>IFERROR(VLOOKUP($A6120,HeadJournal!$A$1:$NTR$890,COLUMN(HeadJournal!D$1),0),"")</f>
        <v/>
      </c>
      <c r="E6120" s="95" t="str">
        <f>IFERROR(VLOOKUP($A6120,HeadJournal!$A$1:$NTR$890,COLUMN(HeadJournal!G$1),0),"")</f>
        <v/>
      </c>
      <c r="F6120" s="95" t="str">
        <f t="shared" ref="F6120:F6231" si="453">IFERROR(TEXT(E6120, "ГГГГ ММ"),"")</f>
        <v/>
      </c>
      <c r="G6120" s="97"/>
      <c r="H6120" s="161"/>
      <c r="I6120" s="97"/>
      <c r="J6120" s="97"/>
      <c r="K6120" s="29"/>
      <c r="L6120" s="29"/>
      <c r="M6120" s="30">
        <f>IFERROR(VLOOKUP($A6120,HeadJournal!$A$1:$J$890,COLUMN(HeadJournal!I$1),0)*($K6120+$L6120)/(SUMIF($A:$A,$A6120,$K:$K)+SUMIF($A:$A,$A6120,$L:$L)),0)</f>
        <v>0</v>
      </c>
      <c r="N6120" s="30">
        <f>IFERROR((VLOOKUP($A6120,HeadJournal!$A$1:$K$890,COLUMN(HeadJournal!K$1),0)-VLOOKUP($A6120,HeadJournal!$A$1:$K$890,COLUMN(HeadJournal!J$1),0))*($K6120+$L6120)/(SUMIF($A:$A,$A6120,$K:$K)+SUMIF($A:$A,$A6120,$L:$L)),0)</f>
        <v>0</v>
      </c>
      <c r="O6120" s="30">
        <f>IFERROR((VLOOKUP($A6120,HeadJournal!$A$1:$L$890,COLUMN(HeadJournal!L$1),0)*($K6120+$L6120)/(SUMIF($A:$A,$A6120,$K:$K)+SUMIF($A:$A,$A6120,$L:$L)))/VLOOKUP($A6120,HeadJournal!$A$1:$L$890,COLUMN(HeadJournal!H$1),0),0)</f>
        <v>0</v>
      </c>
      <c r="P6120" s="30">
        <f>IFERROR(SUM(K6120:O6120)*VLOOKUP($A6120,HeadJournal!$A$1:$L$890,COLUMN(HeadJournal!H$1),0),0)</f>
        <v>0</v>
      </c>
      <c r="Q6120" s="29"/>
      <c r="R6120" s="31"/>
      <c r="S6120" s="31"/>
      <c r="T6120" s="95" t="str">
        <f t="shared" ref="T6120:T6231" si="454">IF(R6120="","",TEXT(R6120,"ГГГГ ММ"))</f>
        <v/>
      </c>
      <c r="U6120" s="32">
        <f t="shared" ref="U6120:U6231" si="455">Q6120-P6120</f>
        <v>0</v>
      </c>
      <c r="V6120" s="22" t="str">
        <f t="shared" ref="V6120:V6231" si="456">IF(Q6120&lt;&gt;0,IFERROR(U6120/P6120,""),"")</f>
        <v/>
      </c>
      <c r="X6120" s="33"/>
      <c r="Y6120" s="33"/>
    </row>
    <row r="6121" spans="1:25" x14ac:dyDescent="0.2">
      <c r="A6121" s="93"/>
      <c r="B6121" s="94" t="str">
        <f>IFERROR(VLOOKUP($A6121,HeadJournal!$A$1:$NTR$890,COLUMN(HeadJournal!B$1),0),"")</f>
        <v/>
      </c>
      <c r="C6121" s="94" t="str">
        <f>IFERROR(VLOOKUP($A6121,HeadJournal!$A$1:$NTR$890,COLUMN(HeadJournal!C$1),0),"")</f>
        <v/>
      </c>
      <c r="D6121" s="125" t="str">
        <f>IFERROR(VLOOKUP($A6121,HeadJournal!$A$1:$NTR$890,COLUMN(HeadJournal!D$1),0),"")</f>
        <v/>
      </c>
      <c r="E6121" s="95" t="str">
        <f>IFERROR(VLOOKUP($A6121,HeadJournal!$A$1:$NTR$890,COLUMN(HeadJournal!G$1),0),"")</f>
        <v/>
      </c>
      <c r="F6121" s="95" t="str">
        <f t="shared" si="453"/>
        <v/>
      </c>
      <c r="G6121" s="97"/>
      <c r="H6121" s="161"/>
      <c r="I6121" s="97"/>
      <c r="J6121" s="97"/>
      <c r="K6121" s="29"/>
      <c r="L6121" s="29"/>
      <c r="M6121" s="30">
        <f>IFERROR(VLOOKUP($A6121,HeadJournal!$A$1:$J$890,COLUMN(HeadJournal!I$1),0)*($K6121+$L6121)/(SUMIF($A:$A,$A6121,$K:$K)+SUMIF($A:$A,$A6121,$L:$L)),0)</f>
        <v>0</v>
      </c>
      <c r="N6121" s="30">
        <f>IFERROR((VLOOKUP($A6121,HeadJournal!$A$1:$K$890,COLUMN(HeadJournal!K$1),0)-VLOOKUP($A6121,HeadJournal!$A$1:$K$890,COLUMN(HeadJournal!J$1),0))*($K6121+$L6121)/(SUMIF($A:$A,$A6121,$K:$K)+SUMIF($A:$A,$A6121,$L:$L)),0)</f>
        <v>0</v>
      </c>
      <c r="O6121" s="30">
        <f>IFERROR((VLOOKUP($A6121,HeadJournal!$A$1:$L$890,COLUMN(HeadJournal!L$1),0)*($K6121+$L6121)/(SUMIF($A:$A,$A6121,$K:$K)+SUMIF($A:$A,$A6121,$L:$L)))/VLOOKUP($A6121,HeadJournal!$A$1:$L$890,COLUMN(HeadJournal!H$1),0),0)</f>
        <v>0</v>
      </c>
      <c r="P6121" s="30">
        <f>IFERROR(SUM(K6121:O6121)*VLOOKUP($A6121,HeadJournal!$A$1:$L$890,COLUMN(HeadJournal!H$1),0),0)</f>
        <v>0</v>
      </c>
      <c r="Q6121" s="29"/>
      <c r="R6121" s="31"/>
      <c r="S6121" s="31"/>
      <c r="T6121" s="95" t="str">
        <f t="shared" si="454"/>
        <v/>
      </c>
      <c r="U6121" s="32">
        <f t="shared" si="455"/>
        <v>0</v>
      </c>
      <c r="V6121" s="22" t="str">
        <f t="shared" si="456"/>
        <v/>
      </c>
      <c r="X6121" s="33"/>
      <c r="Y6121" s="33"/>
    </row>
    <row r="6122" spans="1:25" x14ac:dyDescent="0.2">
      <c r="A6122" s="93"/>
      <c r="B6122" s="94" t="str">
        <f>IFERROR(VLOOKUP($A6122,HeadJournal!$A$1:$NTR$890,COLUMN(HeadJournal!B$1),0),"")</f>
        <v/>
      </c>
      <c r="C6122" s="94" t="str">
        <f>IFERROR(VLOOKUP($A6122,HeadJournal!$A$1:$NTR$890,COLUMN(HeadJournal!C$1),0),"")</f>
        <v/>
      </c>
      <c r="D6122" s="125" t="str">
        <f>IFERROR(VLOOKUP($A6122,HeadJournal!$A$1:$NTR$890,COLUMN(HeadJournal!D$1),0),"")</f>
        <v/>
      </c>
      <c r="E6122" s="95" t="str">
        <f>IFERROR(VLOOKUP($A6122,HeadJournal!$A$1:$NTR$890,COLUMN(HeadJournal!G$1),0),"")</f>
        <v/>
      </c>
      <c r="F6122" s="95" t="str">
        <f t="shared" si="453"/>
        <v/>
      </c>
      <c r="G6122" s="97"/>
      <c r="H6122" s="161"/>
      <c r="I6122" s="97"/>
      <c r="J6122" s="97"/>
      <c r="K6122" s="29"/>
      <c r="L6122" s="29"/>
      <c r="M6122" s="30">
        <f>IFERROR(VLOOKUP($A6122,HeadJournal!$A$1:$J$890,COLUMN(HeadJournal!I$1),0)*($K6122+$L6122)/(SUMIF($A:$A,$A6122,$K:$K)+SUMIF($A:$A,$A6122,$L:$L)),0)</f>
        <v>0</v>
      </c>
      <c r="N6122" s="30">
        <f>IFERROR((VLOOKUP($A6122,HeadJournal!$A$1:$K$890,COLUMN(HeadJournal!K$1),0)-VLOOKUP($A6122,HeadJournal!$A$1:$K$890,COLUMN(HeadJournal!J$1),0))*($K6122+$L6122)/(SUMIF($A:$A,$A6122,$K:$K)+SUMIF($A:$A,$A6122,$L:$L)),0)</f>
        <v>0</v>
      </c>
      <c r="O6122" s="30">
        <f>IFERROR((VLOOKUP($A6122,HeadJournal!$A$1:$L$890,COLUMN(HeadJournal!L$1),0)*($K6122+$L6122)/(SUMIF($A:$A,$A6122,$K:$K)+SUMIF($A:$A,$A6122,$L:$L)))/VLOOKUP($A6122,HeadJournal!$A$1:$L$890,COLUMN(HeadJournal!H$1),0),0)</f>
        <v>0</v>
      </c>
      <c r="P6122" s="30">
        <f>IFERROR(SUM(K6122:O6122)*VLOOKUP($A6122,HeadJournal!$A$1:$L$890,COLUMN(HeadJournal!H$1),0),0)</f>
        <v>0</v>
      </c>
      <c r="Q6122" s="29"/>
      <c r="R6122" s="31"/>
      <c r="S6122" s="31"/>
      <c r="T6122" s="95" t="str">
        <f t="shared" si="454"/>
        <v/>
      </c>
      <c r="U6122" s="32">
        <f t="shared" si="455"/>
        <v>0</v>
      </c>
      <c r="V6122" s="22" t="str">
        <f t="shared" si="456"/>
        <v/>
      </c>
      <c r="X6122" s="33"/>
      <c r="Y6122" s="33"/>
    </row>
    <row r="6123" spans="1:25" x14ac:dyDescent="0.2">
      <c r="A6123" s="93"/>
      <c r="B6123" s="94" t="str">
        <f>IFERROR(VLOOKUP($A6123,HeadJournal!$A$1:$NTR$890,COLUMN(HeadJournal!B$1),0),"")</f>
        <v/>
      </c>
      <c r="C6123" s="94" t="str">
        <f>IFERROR(VLOOKUP($A6123,HeadJournal!$A$1:$NTR$890,COLUMN(HeadJournal!C$1),0),"")</f>
        <v/>
      </c>
      <c r="D6123" s="125" t="str">
        <f>IFERROR(VLOOKUP($A6123,HeadJournal!$A$1:$NTR$890,COLUMN(HeadJournal!D$1),0),"")</f>
        <v/>
      </c>
      <c r="E6123" s="95" t="str">
        <f>IFERROR(VLOOKUP($A6123,HeadJournal!$A$1:$NTR$890,COLUMN(HeadJournal!G$1),0),"")</f>
        <v/>
      </c>
      <c r="F6123" s="95" t="str">
        <f t="shared" si="453"/>
        <v/>
      </c>
      <c r="G6123" s="97"/>
      <c r="H6123" s="161"/>
      <c r="I6123" s="97"/>
      <c r="J6123" s="97"/>
      <c r="K6123" s="29"/>
      <c r="L6123" s="29"/>
      <c r="M6123" s="30">
        <f>IFERROR(VLOOKUP($A6123,HeadJournal!$A$1:$J$890,COLUMN(HeadJournal!I$1),0)*($K6123+$L6123)/(SUMIF($A:$A,$A6123,$K:$K)+SUMIF($A:$A,$A6123,$L:$L)),0)</f>
        <v>0</v>
      </c>
      <c r="N6123" s="30">
        <f>IFERROR((VLOOKUP($A6123,HeadJournal!$A$1:$K$890,COLUMN(HeadJournal!K$1),0)-VLOOKUP($A6123,HeadJournal!$A$1:$K$890,COLUMN(HeadJournal!J$1),0))*($K6123+$L6123)/(SUMIF($A:$A,$A6123,$K:$K)+SUMIF($A:$A,$A6123,$L:$L)),0)</f>
        <v>0</v>
      </c>
      <c r="O6123" s="30">
        <f>IFERROR((VLOOKUP($A6123,HeadJournal!$A$1:$L$890,COLUMN(HeadJournal!L$1),0)*($K6123+$L6123)/(SUMIF($A:$A,$A6123,$K:$K)+SUMIF($A:$A,$A6123,$L:$L)))/VLOOKUP($A6123,HeadJournal!$A$1:$L$890,COLUMN(HeadJournal!H$1),0),0)</f>
        <v>0</v>
      </c>
      <c r="P6123" s="30">
        <f>IFERROR(SUM(K6123:O6123)*VLOOKUP($A6123,HeadJournal!$A$1:$L$890,COLUMN(HeadJournal!H$1),0),0)</f>
        <v>0</v>
      </c>
      <c r="Q6123" s="29"/>
      <c r="R6123" s="31"/>
      <c r="S6123" s="31"/>
      <c r="T6123" s="95" t="str">
        <f t="shared" si="454"/>
        <v/>
      </c>
      <c r="U6123" s="32">
        <f t="shared" si="455"/>
        <v>0</v>
      </c>
      <c r="V6123" s="22" t="str">
        <f t="shared" si="456"/>
        <v/>
      </c>
      <c r="X6123" s="33"/>
      <c r="Y6123" s="33"/>
    </row>
    <row r="6124" spans="1:25" x14ac:dyDescent="0.2">
      <c r="A6124" s="93"/>
      <c r="B6124" s="94" t="str">
        <f>IFERROR(VLOOKUP($A6124,HeadJournal!$A$1:$NTR$890,COLUMN(HeadJournal!B$1),0),"")</f>
        <v/>
      </c>
      <c r="C6124" s="94" t="str">
        <f>IFERROR(VLOOKUP($A6124,HeadJournal!$A$1:$NTR$890,COLUMN(HeadJournal!C$1),0),"")</f>
        <v/>
      </c>
      <c r="D6124" s="125" t="str">
        <f>IFERROR(VLOOKUP($A6124,HeadJournal!$A$1:$NTR$890,COLUMN(HeadJournal!D$1),0),"")</f>
        <v/>
      </c>
      <c r="E6124" s="95" t="str">
        <f>IFERROR(VLOOKUP($A6124,HeadJournal!$A$1:$NTR$890,COLUMN(HeadJournal!G$1),0),"")</f>
        <v/>
      </c>
      <c r="F6124" s="95" t="str">
        <f t="shared" si="453"/>
        <v/>
      </c>
      <c r="G6124" s="97"/>
      <c r="H6124" s="161"/>
      <c r="I6124" s="97"/>
      <c r="J6124" s="97"/>
      <c r="K6124" s="29"/>
      <c r="L6124" s="29"/>
      <c r="M6124" s="30">
        <f>IFERROR(VLOOKUP($A6124,HeadJournal!$A$1:$J$890,COLUMN(HeadJournal!I$1),0)*($K6124+$L6124)/(SUMIF($A:$A,$A6124,$K:$K)+SUMIF($A:$A,$A6124,$L:$L)),0)</f>
        <v>0</v>
      </c>
      <c r="N6124" s="30">
        <f>IFERROR((VLOOKUP($A6124,HeadJournal!$A$1:$K$890,COLUMN(HeadJournal!K$1),0)-VLOOKUP($A6124,HeadJournal!$A$1:$K$890,COLUMN(HeadJournal!J$1),0))*($K6124+$L6124)/(SUMIF($A:$A,$A6124,$K:$K)+SUMIF($A:$A,$A6124,$L:$L)),0)</f>
        <v>0</v>
      </c>
      <c r="O6124" s="30">
        <f>IFERROR((VLOOKUP($A6124,HeadJournal!$A$1:$L$890,COLUMN(HeadJournal!L$1),0)*($K6124+$L6124)/(SUMIF($A:$A,$A6124,$K:$K)+SUMIF($A:$A,$A6124,$L:$L)))/VLOOKUP($A6124,HeadJournal!$A$1:$L$890,COLUMN(HeadJournal!H$1),0),0)</f>
        <v>0</v>
      </c>
      <c r="P6124" s="30">
        <f>IFERROR(SUM(K6124:O6124)*VLOOKUP($A6124,HeadJournal!$A$1:$L$890,COLUMN(HeadJournal!H$1),0),0)</f>
        <v>0</v>
      </c>
      <c r="Q6124" s="29"/>
      <c r="R6124" s="31"/>
      <c r="S6124" s="31"/>
      <c r="T6124" s="95" t="str">
        <f t="shared" si="454"/>
        <v/>
      </c>
      <c r="U6124" s="32">
        <f t="shared" si="455"/>
        <v>0</v>
      </c>
      <c r="V6124" s="22" t="str">
        <f t="shared" si="456"/>
        <v/>
      </c>
      <c r="X6124" s="33"/>
      <c r="Y6124" s="33"/>
    </row>
    <row r="6125" spans="1:25" x14ac:dyDescent="0.2">
      <c r="A6125" s="93"/>
      <c r="B6125" s="94" t="str">
        <f>IFERROR(VLOOKUP($A6125,HeadJournal!$A$1:$NTR$890,COLUMN(HeadJournal!B$1),0),"")</f>
        <v/>
      </c>
      <c r="C6125" s="94" t="str">
        <f>IFERROR(VLOOKUP($A6125,HeadJournal!$A$1:$NTR$890,COLUMN(HeadJournal!C$1),0),"")</f>
        <v/>
      </c>
      <c r="D6125" s="125" t="str">
        <f>IFERROR(VLOOKUP($A6125,HeadJournal!$A$1:$NTR$890,COLUMN(HeadJournal!D$1),0),"")</f>
        <v/>
      </c>
      <c r="E6125" s="95" t="str">
        <f>IFERROR(VLOOKUP($A6125,HeadJournal!$A$1:$NTR$890,COLUMN(HeadJournal!G$1),0),"")</f>
        <v/>
      </c>
      <c r="F6125" s="95" t="str">
        <f t="shared" si="453"/>
        <v/>
      </c>
      <c r="G6125" s="97"/>
      <c r="H6125" s="161"/>
      <c r="I6125" s="97"/>
      <c r="J6125" s="97"/>
      <c r="K6125" s="29"/>
      <c r="L6125" s="29"/>
      <c r="M6125" s="30">
        <f>IFERROR(VLOOKUP($A6125,HeadJournal!$A$1:$J$890,COLUMN(HeadJournal!I$1),0)*($K6125+$L6125)/(SUMIF($A:$A,$A6125,$K:$K)+SUMIF($A:$A,$A6125,$L:$L)),0)</f>
        <v>0</v>
      </c>
      <c r="N6125" s="30">
        <f>IFERROR((VLOOKUP($A6125,HeadJournal!$A$1:$K$890,COLUMN(HeadJournal!K$1),0)-VLOOKUP($A6125,HeadJournal!$A$1:$K$890,COLUMN(HeadJournal!J$1),0))*($K6125+$L6125)/(SUMIF($A:$A,$A6125,$K:$K)+SUMIF($A:$A,$A6125,$L:$L)),0)</f>
        <v>0</v>
      </c>
      <c r="O6125" s="30">
        <f>IFERROR((VLOOKUP($A6125,HeadJournal!$A$1:$L$890,COLUMN(HeadJournal!L$1),0)*($K6125+$L6125)/(SUMIF($A:$A,$A6125,$K:$K)+SUMIF($A:$A,$A6125,$L:$L)))/VLOOKUP($A6125,HeadJournal!$A$1:$L$890,COLUMN(HeadJournal!H$1),0),0)</f>
        <v>0</v>
      </c>
      <c r="P6125" s="30">
        <f>IFERROR(SUM(K6125:O6125)*VLOOKUP($A6125,HeadJournal!$A$1:$L$890,COLUMN(HeadJournal!H$1),0),0)</f>
        <v>0</v>
      </c>
      <c r="Q6125" s="29"/>
      <c r="R6125" s="31"/>
      <c r="S6125" s="31"/>
      <c r="T6125" s="95" t="str">
        <f t="shared" si="454"/>
        <v/>
      </c>
      <c r="U6125" s="32">
        <f t="shared" si="455"/>
        <v>0</v>
      </c>
      <c r="V6125" s="22" t="str">
        <f t="shared" si="456"/>
        <v/>
      </c>
      <c r="X6125" s="33"/>
      <c r="Y6125" s="33"/>
    </row>
    <row r="6126" spans="1:25" x14ac:dyDescent="0.2">
      <c r="A6126" s="93"/>
      <c r="B6126" s="94" t="str">
        <f>IFERROR(VLOOKUP($A6126,HeadJournal!$A$1:$NTR$890,COLUMN(HeadJournal!B$1),0),"")</f>
        <v/>
      </c>
      <c r="C6126" s="94" t="str">
        <f>IFERROR(VLOOKUP($A6126,HeadJournal!$A$1:$NTR$890,COLUMN(HeadJournal!C$1),0),"")</f>
        <v/>
      </c>
      <c r="D6126" s="125" t="str">
        <f>IFERROR(VLOOKUP($A6126,HeadJournal!$A$1:$NTR$890,COLUMN(HeadJournal!D$1),0),"")</f>
        <v/>
      </c>
      <c r="E6126" s="95" t="str">
        <f>IFERROR(VLOOKUP($A6126,HeadJournal!$A$1:$NTR$890,COLUMN(HeadJournal!G$1),0),"")</f>
        <v/>
      </c>
      <c r="F6126" s="95" t="str">
        <f t="shared" si="453"/>
        <v/>
      </c>
      <c r="G6126" s="97"/>
      <c r="H6126" s="161"/>
      <c r="I6126" s="97"/>
      <c r="J6126" s="97"/>
      <c r="K6126" s="29"/>
      <c r="L6126" s="29"/>
      <c r="M6126" s="30">
        <f>IFERROR(VLOOKUP($A6126,HeadJournal!$A$1:$J$890,COLUMN(HeadJournal!I$1),0)*($K6126+$L6126)/(SUMIF($A:$A,$A6126,$K:$K)+SUMIF($A:$A,$A6126,$L:$L)),0)</f>
        <v>0</v>
      </c>
      <c r="N6126" s="30">
        <f>IFERROR((VLOOKUP($A6126,HeadJournal!$A$1:$K$890,COLUMN(HeadJournal!K$1),0)-VLOOKUP($A6126,HeadJournal!$A$1:$K$890,COLUMN(HeadJournal!J$1),0))*($K6126+$L6126)/(SUMIF($A:$A,$A6126,$K:$K)+SUMIF($A:$A,$A6126,$L:$L)),0)</f>
        <v>0</v>
      </c>
      <c r="O6126" s="30">
        <f>IFERROR((VLOOKUP($A6126,HeadJournal!$A$1:$L$890,COLUMN(HeadJournal!L$1),0)*($K6126+$L6126)/(SUMIF($A:$A,$A6126,$K:$K)+SUMIF($A:$A,$A6126,$L:$L)))/VLOOKUP($A6126,HeadJournal!$A$1:$L$890,COLUMN(HeadJournal!H$1),0),0)</f>
        <v>0</v>
      </c>
      <c r="P6126" s="30">
        <f>IFERROR(SUM(K6126:O6126)*VLOOKUP($A6126,HeadJournal!$A$1:$L$890,COLUMN(HeadJournal!H$1),0),0)</f>
        <v>0</v>
      </c>
      <c r="Q6126" s="29"/>
      <c r="R6126" s="31"/>
      <c r="S6126" s="31"/>
      <c r="T6126" s="95" t="str">
        <f t="shared" si="454"/>
        <v/>
      </c>
      <c r="U6126" s="32">
        <f t="shared" si="455"/>
        <v>0</v>
      </c>
      <c r="V6126" s="22" t="str">
        <f t="shared" si="456"/>
        <v/>
      </c>
      <c r="X6126" s="33"/>
      <c r="Y6126" s="33"/>
    </row>
    <row r="6127" spans="1:25" x14ac:dyDescent="0.2">
      <c r="A6127" s="93"/>
      <c r="B6127" s="94" t="str">
        <f>IFERROR(VLOOKUP($A6127,HeadJournal!$A$1:$NTR$890,COLUMN(HeadJournal!B$1),0),"")</f>
        <v/>
      </c>
      <c r="C6127" s="94" t="str">
        <f>IFERROR(VLOOKUP($A6127,HeadJournal!$A$1:$NTR$890,COLUMN(HeadJournal!C$1),0),"")</f>
        <v/>
      </c>
      <c r="D6127" s="125" t="str">
        <f>IFERROR(VLOOKUP($A6127,HeadJournal!$A$1:$NTR$890,COLUMN(HeadJournal!D$1),0),"")</f>
        <v/>
      </c>
      <c r="E6127" s="95" t="str">
        <f>IFERROR(VLOOKUP($A6127,HeadJournal!$A$1:$NTR$890,COLUMN(HeadJournal!G$1),0),"")</f>
        <v/>
      </c>
      <c r="F6127" s="95" t="str">
        <f t="shared" si="453"/>
        <v/>
      </c>
      <c r="G6127" s="97"/>
      <c r="H6127" s="161"/>
      <c r="I6127" s="97"/>
      <c r="J6127" s="97"/>
      <c r="K6127" s="29"/>
      <c r="L6127" s="29"/>
      <c r="M6127" s="30">
        <f>IFERROR(VLOOKUP($A6127,HeadJournal!$A$1:$J$890,COLUMN(HeadJournal!I$1),0)*($K6127+$L6127)/(SUMIF($A:$A,$A6127,$K:$K)+SUMIF($A:$A,$A6127,$L:$L)),0)</f>
        <v>0</v>
      </c>
      <c r="N6127" s="30">
        <f>IFERROR((VLOOKUP($A6127,HeadJournal!$A$1:$K$890,COLUMN(HeadJournal!K$1),0)-VLOOKUP($A6127,HeadJournal!$A$1:$K$890,COLUMN(HeadJournal!J$1),0))*($K6127+$L6127)/(SUMIF($A:$A,$A6127,$K:$K)+SUMIF($A:$A,$A6127,$L:$L)),0)</f>
        <v>0</v>
      </c>
      <c r="O6127" s="30">
        <f>IFERROR((VLOOKUP($A6127,HeadJournal!$A$1:$L$890,COLUMN(HeadJournal!L$1),0)*($K6127+$L6127)/(SUMIF($A:$A,$A6127,$K:$K)+SUMIF($A:$A,$A6127,$L:$L)))/VLOOKUP($A6127,HeadJournal!$A$1:$L$890,COLUMN(HeadJournal!H$1),0),0)</f>
        <v>0</v>
      </c>
      <c r="P6127" s="30">
        <f>IFERROR(SUM(K6127:O6127)*VLOOKUP($A6127,HeadJournal!$A$1:$L$890,COLUMN(HeadJournal!H$1),0),0)</f>
        <v>0</v>
      </c>
      <c r="Q6127" s="29"/>
      <c r="R6127" s="31"/>
      <c r="S6127" s="31"/>
      <c r="T6127" s="95" t="str">
        <f t="shared" si="454"/>
        <v/>
      </c>
      <c r="U6127" s="32">
        <f t="shared" si="455"/>
        <v>0</v>
      </c>
      <c r="V6127" s="22" t="str">
        <f t="shared" si="456"/>
        <v/>
      </c>
      <c r="X6127" s="33"/>
      <c r="Y6127" s="33"/>
    </row>
    <row r="6128" spans="1:25" x14ac:dyDescent="0.2">
      <c r="A6128" s="93"/>
      <c r="B6128" s="94" t="str">
        <f>IFERROR(VLOOKUP($A6128,HeadJournal!$A$1:$NTR$890,COLUMN(HeadJournal!B$1),0),"")</f>
        <v/>
      </c>
      <c r="C6128" s="94" t="str">
        <f>IFERROR(VLOOKUP($A6128,HeadJournal!$A$1:$NTR$890,COLUMN(HeadJournal!C$1),0),"")</f>
        <v/>
      </c>
      <c r="D6128" s="125" t="str">
        <f>IFERROR(VLOOKUP($A6128,HeadJournal!$A$1:$NTR$890,COLUMN(HeadJournal!D$1),0),"")</f>
        <v/>
      </c>
      <c r="E6128" s="95" t="str">
        <f>IFERROR(VLOOKUP($A6128,HeadJournal!$A$1:$NTR$890,COLUMN(HeadJournal!G$1),0),"")</f>
        <v/>
      </c>
      <c r="F6128" s="95" t="str">
        <f t="shared" si="453"/>
        <v/>
      </c>
      <c r="G6128" s="97"/>
      <c r="H6128" s="161"/>
      <c r="I6128" s="97"/>
      <c r="J6128" s="97"/>
      <c r="K6128" s="29"/>
      <c r="L6128" s="29"/>
      <c r="M6128" s="30">
        <f>IFERROR(VLOOKUP($A6128,HeadJournal!$A$1:$J$890,COLUMN(HeadJournal!I$1),0)*($K6128+$L6128)/(SUMIF($A:$A,$A6128,$K:$K)+SUMIF($A:$A,$A6128,$L:$L)),0)</f>
        <v>0</v>
      </c>
      <c r="N6128" s="30">
        <f>IFERROR((VLOOKUP($A6128,HeadJournal!$A$1:$K$890,COLUMN(HeadJournal!K$1),0)-VLOOKUP($A6128,HeadJournal!$A$1:$K$890,COLUMN(HeadJournal!J$1),0))*($K6128+$L6128)/(SUMIF($A:$A,$A6128,$K:$K)+SUMIF($A:$A,$A6128,$L:$L)),0)</f>
        <v>0</v>
      </c>
      <c r="O6128" s="30">
        <f>IFERROR((VLOOKUP($A6128,HeadJournal!$A$1:$L$890,COLUMN(HeadJournal!L$1),0)*($K6128+$L6128)/(SUMIF($A:$A,$A6128,$K:$K)+SUMIF($A:$A,$A6128,$L:$L)))/VLOOKUP($A6128,HeadJournal!$A$1:$L$890,COLUMN(HeadJournal!H$1),0),0)</f>
        <v>0</v>
      </c>
      <c r="P6128" s="30">
        <f>IFERROR(SUM(K6128:O6128)*VLOOKUP($A6128,HeadJournal!$A$1:$L$890,COLUMN(HeadJournal!H$1),0),0)</f>
        <v>0</v>
      </c>
      <c r="Q6128" s="29"/>
      <c r="R6128" s="31"/>
      <c r="S6128" s="31"/>
      <c r="T6128" s="95" t="str">
        <f t="shared" si="454"/>
        <v/>
      </c>
      <c r="U6128" s="32">
        <f t="shared" si="455"/>
        <v>0</v>
      </c>
      <c r="V6128" s="22" t="str">
        <f t="shared" si="456"/>
        <v/>
      </c>
      <c r="X6128" s="33"/>
      <c r="Y6128" s="33"/>
    </row>
    <row r="6129" spans="1:25" x14ac:dyDescent="0.2">
      <c r="A6129" s="93"/>
      <c r="B6129" s="94" t="str">
        <f>IFERROR(VLOOKUP($A6129,HeadJournal!$A$1:$NTR$890,COLUMN(HeadJournal!B$1),0),"")</f>
        <v/>
      </c>
      <c r="C6129" s="94" t="str">
        <f>IFERROR(VLOOKUP($A6129,HeadJournal!$A$1:$NTR$890,COLUMN(HeadJournal!C$1),0),"")</f>
        <v/>
      </c>
      <c r="D6129" s="125" t="str">
        <f>IFERROR(VLOOKUP($A6129,HeadJournal!$A$1:$NTR$890,COLUMN(HeadJournal!D$1),0),"")</f>
        <v/>
      </c>
      <c r="E6129" s="95" t="str">
        <f>IFERROR(VLOOKUP($A6129,HeadJournal!$A$1:$NTR$890,COLUMN(HeadJournal!G$1),0),"")</f>
        <v/>
      </c>
      <c r="F6129" s="95" t="str">
        <f t="shared" si="453"/>
        <v/>
      </c>
      <c r="G6129" s="97"/>
      <c r="H6129" s="161"/>
      <c r="I6129" s="97"/>
      <c r="J6129" s="97"/>
      <c r="K6129" s="29"/>
      <c r="L6129" s="29"/>
      <c r="M6129" s="30">
        <f>IFERROR(VLOOKUP($A6129,HeadJournal!$A$1:$J$890,COLUMN(HeadJournal!I$1),0)*($K6129+$L6129)/(SUMIF($A:$A,$A6129,$K:$K)+SUMIF($A:$A,$A6129,$L:$L)),0)</f>
        <v>0</v>
      </c>
      <c r="N6129" s="30">
        <f>IFERROR((VLOOKUP($A6129,HeadJournal!$A$1:$K$890,COLUMN(HeadJournal!K$1),0)-VLOOKUP($A6129,HeadJournal!$A$1:$K$890,COLUMN(HeadJournal!J$1),0))*($K6129+$L6129)/(SUMIF($A:$A,$A6129,$K:$K)+SUMIF($A:$A,$A6129,$L:$L)),0)</f>
        <v>0</v>
      </c>
      <c r="O6129" s="30">
        <f>IFERROR((VLOOKUP($A6129,HeadJournal!$A$1:$L$890,COLUMN(HeadJournal!L$1),0)*($K6129+$L6129)/(SUMIF($A:$A,$A6129,$K:$K)+SUMIF($A:$A,$A6129,$L:$L)))/VLOOKUP($A6129,HeadJournal!$A$1:$L$890,COLUMN(HeadJournal!H$1),0),0)</f>
        <v>0</v>
      </c>
      <c r="P6129" s="30">
        <f>IFERROR(SUM(K6129:O6129)*VLOOKUP($A6129,HeadJournal!$A$1:$L$890,COLUMN(HeadJournal!H$1),0),0)</f>
        <v>0</v>
      </c>
      <c r="Q6129" s="29"/>
      <c r="R6129" s="31"/>
      <c r="S6129" s="31"/>
      <c r="T6129" s="95" t="str">
        <f t="shared" si="454"/>
        <v/>
      </c>
      <c r="U6129" s="32">
        <f t="shared" si="455"/>
        <v>0</v>
      </c>
      <c r="V6129" s="22" t="str">
        <f t="shared" si="456"/>
        <v/>
      </c>
      <c r="X6129" s="33"/>
      <c r="Y6129" s="33"/>
    </row>
    <row r="6130" spans="1:25" x14ac:dyDescent="0.2">
      <c r="A6130" s="93"/>
      <c r="B6130" s="94" t="str">
        <f>IFERROR(VLOOKUP($A6130,HeadJournal!$A$1:$NTR$890,COLUMN(HeadJournal!B$1),0),"")</f>
        <v/>
      </c>
      <c r="C6130" s="94" t="str">
        <f>IFERROR(VLOOKUP($A6130,HeadJournal!$A$1:$NTR$890,COLUMN(HeadJournal!C$1),0),"")</f>
        <v/>
      </c>
      <c r="D6130" s="125" t="str">
        <f>IFERROR(VLOOKUP($A6130,HeadJournal!$A$1:$NTR$890,COLUMN(HeadJournal!D$1),0),"")</f>
        <v/>
      </c>
      <c r="E6130" s="95" t="str">
        <f>IFERROR(VLOOKUP($A6130,HeadJournal!$A$1:$NTR$890,COLUMN(HeadJournal!G$1),0),"")</f>
        <v/>
      </c>
      <c r="F6130" s="95" t="str">
        <f t="shared" si="453"/>
        <v/>
      </c>
      <c r="G6130" s="97"/>
      <c r="H6130" s="161"/>
      <c r="I6130" s="97"/>
      <c r="J6130" s="97"/>
      <c r="K6130" s="29"/>
      <c r="L6130" s="29"/>
      <c r="M6130" s="30">
        <f>IFERROR(VLOOKUP($A6130,HeadJournal!$A$1:$J$890,COLUMN(HeadJournal!I$1),0)*($K6130+$L6130)/(SUMIF($A:$A,$A6130,$K:$K)+SUMIF($A:$A,$A6130,$L:$L)),0)</f>
        <v>0</v>
      </c>
      <c r="N6130" s="30">
        <f>IFERROR((VLOOKUP($A6130,HeadJournal!$A$1:$K$890,COLUMN(HeadJournal!K$1),0)-VLOOKUP($A6130,HeadJournal!$A$1:$K$890,COLUMN(HeadJournal!J$1),0))*($K6130+$L6130)/(SUMIF($A:$A,$A6130,$K:$K)+SUMIF($A:$A,$A6130,$L:$L)),0)</f>
        <v>0</v>
      </c>
      <c r="O6130" s="30">
        <f>IFERROR((VLOOKUP($A6130,HeadJournal!$A$1:$L$890,COLUMN(HeadJournal!L$1),0)*($K6130+$L6130)/(SUMIF($A:$A,$A6130,$K:$K)+SUMIF($A:$A,$A6130,$L:$L)))/VLOOKUP($A6130,HeadJournal!$A$1:$L$890,COLUMN(HeadJournal!H$1),0),0)</f>
        <v>0</v>
      </c>
      <c r="P6130" s="30">
        <f>IFERROR(SUM(K6130:O6130)*VLOOKUP($A6130,HeadJournal!$A$1:$L$890,COLUMN(HeadJournal!H$1),0),0)</f>
        <v>0</v>
      </c>
      <c r="Q6130" s="29"/>
      <c r="R6130" s="31"/>
      <c r="S6130" s="31"/>
      <c r="T6130" s="95" t="str">
        <f t="shared" si="454"/>
        <v/>
      </c>
      <c r="U6130" s="32">
        <f t="shared" si="455"/>
        <v>0</v>
      </c>
      <c r="V6130" s="22" t="str">
        <f t="shared" si="456"/>
        <v/>
      </c>
      <c r="X6130" s="33"/>
      <c r="Y6130" s="33"/>
    </row>
    <row r="6131" spans="1:25" x14ac:dyDescent="0.2">
      <c r="A6131" s="93"/>
      <c r="B6131" s="94" t="str">
        <f>IFERROR(VLOOKUP($A6131,HeadJournal!$A$1:$NTR$890,COLUMN(HeadJournal!B$1),0),"")</f>
        <v/>
      </c>
      <c r="C6131" s="94" t="str">
        <f>IFERROR(VLOOKUP($A6131,HeadJournal!$A$1:$NTR$890,COLUMN(HeadJournal!C$1),0),"")</f>
        <v/>
      </c>
      <c r="D6131" s="125" t="str">
        <f>IFERROR(VLOOKUP($A6131,HeadJournal!$A$1:$NTR$890,COLUMN(HeadJournal!D$1),0),"")</f>
        <v/>
      </c>
      <c r="E6131" s="95" t="str">
        <f>IFERROR(VLOOKUP($A6131,HeadJournal!$A$1:$NTR$890,COLUMN(HeadJournal!G$1),0),"")</f>
        <v/>
      </c>
      <c r="F6131" s="95" t="str">
        <f t="shared" si="453"/>
        <v/>
      </c>
      <c r="G6131" s="97"/>
      <c r="H6131" s="161"/>
      <c r="I6131" s="97"/>
      <c r="J6131" s="97"/>
      <c r="K6131" s="29"/>
      <c r="L6131" s="29"/>
      <c r="M6131" s="30">
        <f>IFERROR(VLOOKUP($A6131,HeadJournal!$A$1:$J$890,COLUMN(HeadJournal!I$1),0)*($K6131+$L6131)/(SUMIF($A:$A,$A6131,$K:$K)+SUMIF($A:$A,$A6131,$L:$L)),0)</f>
        <v>0</v>
      </c>
      <c r="N6131" s="30">
        <f>IFERROR((VLOOKUP($A6131,HeadJournal!$A$1:$K$890,COLUMN(HeadJournal!K$1),0)-VLOOKUP($A6131,HeadJournal!$A$1:$K$890,COLUMN(HeadJournal!J$1),0))*($K6131+$L6131)/(SUMIF($A:$A,$A6131,$K:$K)+SUMIF($A:$A,$A6131,$L:$L)),0)</f>
        <v>0</v>
      </c>
      <c r="O6131" s="30">
        <f>IFERROR((VLOOKUP($A6131,HeadJournal!$A$1:$L$890,COLUMN(HeadJournal!L$1),0)*($K6131+$L6131)/(SUMIF($A:$A,$A6131,$K:$K)+SUMIF($A:$A,$A6131,$L:$L)))/VLOOKUP($A6131,HeadJournal!$A$1:$L$890,COLUMN(HeadJournal!H$1),0),0)</f>
        <v>0</v>
      </c>
      <c r="P6131" s="30">
        <f>IFERROR(SUM(K6131:O6131)*VLOOKUP($A6131,HeadJournal!$A$1:$L$890,COLUMN(HeadJournal!H$1),0),0)</f>
        <v>0</v>
      </c>
      <c r="Q6131" s="29"/>
      <c r="R6131" s="31"/>
      <c r="S6131" s="31"/>
      <c r="T6131" s="95" t="str">
        <f t="shared" si="454"/>
        <v/>
      </c>
      <c r="U6131" s="32">
        <f t="shared" si="455"/>
        <v>0</v>
      </c>
      <c r="V6131" s="22" t="str">
        <f t="shared" si="456"/>
        <v/>
      </c>
      <c r="X6131" s="33"/>
      <c r="Y6131" s="33"/>
    </row>
    <row r="6132" spans="1:25" x14ac:dyDescent="0.2">
      <c r="A6132" s="93"/>
      <c r="B6132" s="94" t="str">
        <f>IFERROR(VLOOKUP($A6132,HeadJournal!$A$1:$NTR$890,COLUMN(HeadJournal!B$1),0),"")</f>
        <v/>
      </c>
      <c r="C6132" s="94" t="str">
        <f>IFERROR(VLOOKUP($A6132,HeadJournal!$A$1:$NTR$890,COLUMN(HeadJournal!C$1),0),"")</f>
        <v/>
      </c>
      <c r="D6132" s="125" t="str">
        <f>IFERROR(VLOOKUP($A6132,HeadJournal!$A$1:$NTR$890,COLUMN(HeadJournal!D$1),0),"")</f>
        <v/>
      </c>
      <c r="E6132" s="95" t="str">
        <f>IFERROR(VLOOKUP($A6132,HeadJournal!$A$1:$NTR$890,COLUMN(HeadJournal!G$1),0),"")</f>
        <v/>
      </c>
      <c r="F6132" s="95" t="str">
        <f t="shared" si="453"/>
        <v/>
      </c>
      <c r="G6132" s="97"/>
      <c r="H6132" s="161"/>
      <c r="I6132" s="97"/>
      <c r="J6132" s="97"/>
      <c r="K6132" s="29"/>
      <c r="L6132" s="29"/>
      <c r="M6132" s="30">
        <f>IFERROR(VLOOKUP($A6132,HeadJournal!$A$1:$J$890,COLUMN(HeadJournal!I$1),0)*($K6132+$L6132)/(SUMIF($A:$A,$A6132,$K:$K)+SUMIF($A:$A,$A6132,$L:$L)),0)</f>
        <v>0</v>
      </c>
      <c r="N6132" s="30">
        <f>IFERROR((VLOOKUP($A6132,HeadJournal!$A$1:$K$890,COLUMN(HeadJournal!K$1),0)-VLOOKUP($A6132,HeadJournal!$A$1:$K$890,COLUMN(HeadJournal!J$1),0))*($K6132+$L6132)/(SUMIF($A:$A,$A6132,$K:$K)+SUMIF($A:$A,$A6132,$L:$L)),0)</f>
        <v>0</v>
      </c>
      <c r="O6132" s="30">
        <f>IFERROR((VLOOKUP($A6132,HeadJournal!$A$1:$L$890,COLUMN(HeadJournal!L$1),0)*($K6132+$L6132)/(SUMIF($A:$A,$A6132,$K:$K)+SUMIF($A:$A,$A6132,$L:$L)))/VLOOKUP($A6132,HeadJournal!$A$1:$L$890,COLUMN(HeadJournal!H$1),0),0)</f>
        <v>0</v>
      </c>
      <c r="P6132" s="30">
        <f>IFERROR(SUM(K6132:O6132)*VLOOKUP($A6132,HeadJournal!$A$1:$L$890,COLUMN(HeadJournal!H$1),0),0)</f>
        <v>0</v>
      </c>
      <c r="Q6132" s="29"/>
      <c r="R6132" s="31"/>
      <c r="S6132" s="31"/>
      <c r="T6132" s="95" t="str">
        <f t="shared" si="454"/>
        <v/>
      </c>
      <c r="U6132" s="32">
        <f t="shared" si="455"/>
        <v>0</v>
      </c>
      <c r="V6132" s="22" t="str">
        <f t="shared" si="456"/>
        <v/>
      </c>
      <c r="X6132" s="33"/>
      <c r="Y6132" s="33"/>
    </row>
    <row r="6133" spans="1:25" x14ac:dyDescent="0.2">
      <c r="A6133" s="93"/>
      <c r="B6133" s="94" t="str">
        <f>IFERROR(VLOOKUP($A6133,HeadJournal!$A$1:$NTR$890,COLUMN(HeadJournal!B$1),0),"")</f>
        <v/>
      </c>
      <c r="C6133" s="94" t="str">
        <f>IFERROR(VLOOKUP($A6133,HeadJournal!$A$1:$NTR$890,COLUMN(HeadJournal!C$1),0),"")</f>
        <v/>
      </c>
      <c r="D6133" s="125" t="str">
        <f>IFERROR(VLOOKUP($A6133,HeadJournal!$A$1:$NTR$890,COLUMN(HeadJournal!D$1),0),"")</f>
        <v/>
      </c>
      <c r="E6133" s="95" t="str">
        <f>IFERROR(VLOOKUP($A6133,HeadJournal!$A$1:$NTR$890,COLUMN(HeadJournal!G$1),0),"")</f>
        <v/>
      </c>
      <c r="F6133" s="95" t="str">
        <f t="shared" si="453"/>
        <v/>
      </c>
      <c r="G6133" s="97"/>
      <c r="H6133" s="161"/>
      <c r="I6133" s="97"/>
      <c r="J6133" s="97"/>
      <c r="K6133" s="29"/>
      <c r="L6133" s="29"/>
      <c r="M6133" s="30">
        <f>IFERROR(VLOOKUP($A6133,HeadJournal!$A$1:$J$890,COLUMN(HeadJournal!I$1),0)*($K6133+$L6133)/(SUMIF($A:$A,$A6133,$K:$K)+SUMIF($A:$A,$A6133,$L:$L)),0)</f>
        <v>0</v>
      </c>
      <c r="N6133" s="30">
        <f>IFERROR((VLOOKUP($A6133,HeadJournal!$A$1:$K$890,COLUMN(HeadJournal!K$1),0)-VLOOKUP($A6133,HeadJournal!$A$1:$K$890,COLUMN(HeadJournal!J$1),0))*($K6133+$L6133)/(SUMIF($A:$A,$A6133,$K:$K)+SUMIF($A:$A,$A6133,$L:$L)),0)</f>
        <v>0</v>
      </c>
      <c r="O6133" s="30">
        <f>IFERROR((VLOOKUP($A6133,HeadJournal!$A$1:$L$890,COLUMN(HeadJournal!L$1),0)*($K6133+$L6133)/(SUMIF($A:$A,$A6133,$K:$K)+SUMIF($A:$A,$A6133,$L:$L)))/VLOOKUP($A6133,HeadJournal!$A$1:$L$890,COLUMN(HeadJournal!H$1),0),0)</f>
        <v>0</v>
      </c>
      <c r="P6133" s="30">
        <f>IFERROR(SUM(K6133:O6133)*VLOOKUP($A6133,HeadJournal!$A$1:$L$890,COLUMN(HeadJournal!H$1),0),0)</f>
        <v>0</v>
      </c>
      <c r="Q6133" s="29"/>
      <c r="R6133" s="31"/>
      <c r="S6133" s="31"/>
      <c r="T6133" s="95" t="str">
        <f t="shared" si="454"/>
        <v/>
      </c>
      <c r="U6133" s="32">
        <f t="shared" si="455"/>
        <v>0</v>
      </c>
      <c r="V6133" s="22" t="str">
        <f t="shared" si="456"/>
        <v/>
      </c>
      <c r="X6133" s="33"/>
      <c r="Y6133" s="33"/>
    </row>
    <row r="6134" spans="1:25" x14ac:dyDescent="0.2">
      <c r="A6134" s="93"/>
      <c r="B6134" s="94" t="str">
        <f>IFERROR(VLOOKUP($A6134,HeadJournal!$A$1:$NTR$890,COLUMN(HeadJournal!B$1),0),"")</f>
        <v/>
      </c>
      <c r="C6134" s="94" t="str">
        <f>IFERROR(VLOOKUP($A6134,HeadJournal!$A$1:$NTR$890,COLUMN(HeadJournal!C$1),0),"")</f>
        <v/>
      </c>
      <c r="D6134" s="125" t="str">
        <f>IFERROR(VLOOKUP($A6134,HeadJournal!$A$1:$NTR$890,COLUMN(HeadJournal!D$1),0),"")</f>
        <v/>
      </c>
      <c r="E6134" s="95" t="str">
        <f>IFERROR(VLOOKUP($A6134,HeadJournal!$A$1:$NTR$890,COLUMN(HeadJournal!G$1),0),"")</f>
        <v/>
      </c>
      <c r="F6134" s="95" t="str">
        <f t="shared" si="453"/>
        <v/>
      </c>
      <c r="G6134" s="97"/>
      <c r="H6134" s="161"/>
      <c r="I6134" s="97"/>
      <c r="J6134" s="97"/>
      <c r="K6134" s="29"/>
      <c r="L6134" s="29"/>
      <c r="M6134" s="30">
        <f>IFERROR(VLOOKUP($A6134,HeadJournal!$A$1:$J$890,COLUMN(HeadJournal!I$1),0)*($K6134+$L6134)/(SUMIF($A:$A,$A6134,$K:$K)+SUMIF($A:$A,$A6134,$L:$L)),0)</f>
        <v>0</v>
      </c>
      <c r="N6134" s="30">
        <f>IFERROR((VLOOKUP($A6134,HeadJournal!$A$1:$K$890,COLUMN(HeadJournal!K$1),0)-VLOOKUP($A6134,HeadJournal!$A$1:$K$890,COLUMN(HeadJournal!J$1),0))*($K6134+$L6134)/(SUMIF($A:$A,$A6134,$K:$K)+SUMIF($A:$A,$A6134,$L:$L)),0)</f>
        <v>0</v>
      </c>
      <c r="O6134" s="30">
        <f>IFERROR((VLOOKUP($A6134,HeadJournal!$A$1:$L$890,COLUMN(HeadJournal!L$1),0)*($K6134+$L6134)/(SUMIF($A:$A,$A6134,$K:$K)+SUMIF($A:$A,$A6134,$L:$L)))/VLOOKUP($A6134,HeadJournal!$A$1:$L$890,COLUMN(HeadJournal!H$1),0),0)</f>
        <v>0</v>
      </c>
      <c r="P6134" s="30">
        <f>IFERROR(SUM(K6134:O6134)*VLOOKUP($A6134,HeadJournal!$A$1:$L$890,COLUMN(HeadJournal!H$1),0),0)</f>
        <v>0</v>
      </c>
      <c r="Q6134" s="29"/>
      <c r="R6134" s="31"/>
      <c r="S6134" s="31"/>
      <c r="T6134" s="95" t="str">
        <f t="shared" si="454"/>
        <v/>
      </c>
      <c r="U6134" s="32">
        <f t="shared" si="455"/>
        <v>0</v>
      </c>
      <c r="V6134" s="22" t="str">
        <f t="shared" si="456"/>
        <v/>
      </c>
      <c r="X6134" s="33"/>
      <c r="Y6134" s="33"/>
    </row>
    <row r="6135" spans="1:25" x14ac:dyDescent="0.2">
      <c r="A6135" s="93"/>
      <c r="B6135" s="94" t="str">
        <f>IFERROR(VLOOKUP($A6135,HeadJournal!$A$1:$NTR$890,COLUMN(HeadJournal!B$1),0),"")</f>
        <v/>
      </c>
      <c r="C6135" s="94" t="str">
        <f>IFERROR(VLOOKUP($A6135,HeadJournal!$A$1:$NTR$890,COLUMN(HeadJournal!C$1),0),"")</f>
        <v/>
      </c>
      <c r="D6135" s="125" t="str">
        <f>IFERROR(VLOOKUP($A6135,HeadJournal!$A$1:$NTR$890,COLUMN(HeadJournal!D$1),0),"")</f>
        <v/>
      </c>
      <c r="E6135" s="95" t="str">
        <f>IFERROR(VLOOKUP($A6135,HeadJournal!$A$1:$NTR$890,COLUMN(HeadJournal!G$1),0),"")</f>
        <v/>
      </c>
      <c r="F6135" s="95" t="str">
        <f t="shared" si="453"/>
        <v/>
      </c>
      <c r="G6135" s="97"/>
      <c r="H6135" s="161"/>
      <c r="I6135" s="97"/>
      <c r="J6135" s="97"/>
      <c r="K6135" s="29"/>
      <c r="L6135" s="29"/>
      <c r="M6135" s="30">
        <f>IFERROR(VLOOKUP($A6135,HeadJournal!$A$1:$J$890,COLUMN(HeadJournal!I$1),0)*($K6135+$L6135)/(SUMIF($A:$A,$A6135,$K:$K)+SUMIF($A:$A,$A6135,$L:$L)),0)</f>
        <v>0</v>
      </c>
      <c r="N6135" s="30">
        <f>IFERROR((VLOOKUP($A6135,HeadJournal!$A$1:$K$890,COLUMN(HeadJournal!K$1),0)-VLOOKUP($A6135,HeadJournal!$A$1:$K$890,COLUMN(HeadJournal!J$1),0))*($K6135+$L6135)/(SUMIF($A:$A,$A6135,$K:$K)+SUMIF($A:$A,$A6135,$L:$L)),0)</f>
        <v>0</v>
      </c>
      <c r="O6135" s="30">
        <f>IFERROR((VLOOKUP($A6135,HeadJournal!$A$1:$L$890,COLUMN(HeadJournal!L$1),0)*($K6135+$L6135)/(SUMIF($A:$A,$A6135,$K:$K)+SUMIF($A:$A,$A6135,$L:$L)))/VLOOKUP($A6135,HeadJournal!$A$1:$L$890,COLUMN(HeadJournal!H$1),0),0)</f>
        <v>0</v>
      </c>
      <c r="P6135" s="30">
        <f>IFERROR(SUM(K6135:O6135)*VLOOKUP($A6135,HeadJournal!$A$1:$L$890,COLUMN(HeadJournal!H$1),0),0)</f>
        <v>0</v>
      </c>
      <c r="Q6135" s="29"/>
      <c r="R6135" s="31"/>
      <c r="S6135" s="31"/>
      <c r="T6135" s="95" t="str">
        <f t="shared" si="454"/>
        <v/>
      </c>
      <c r="U6135" s="32">
        <f t="shared" si="455"/>
        <v>0</v>
      </c>
      <c r="V6135" s="22" t="str">
        <f t="shared" si="456"/>
        <v/>
      </c>
      <c r="X6135" s="33"/>
      <c r="Y6135" s="33"/>
    </row>
    <row r="6136" spans="1:25" x14ac:dyDescent="0.2">
      <c r="A6136" s="93"/>
      <c r="B6136" s="94" t="str">
        <f>IFERROR(VLOOKUP($A6136,HeadJournal!$A$1:$NTR$890,COLUMN(HeadJournal!B$1),0),"")</f>
        <v/>
      </c>
      <c r="C6136" s="94" t="str">
        <f>IFERROR(VLOOKUP($A6136,HeadJournal!$A$1:$NTR$890,COLUMN(HeadJournal!C$1),0),"")</f>
        <v/>
      </c>
      <c r="D6136" s="125" t="str">
        <f>IFERROR(VLOOKUP($A6136,HeadJournal!$A$1:$NTR$890,COLUMN(HeadJournal!D$1),0),"")</f>
        <v/>
      </c>
      <c r="E6136" s="95" t="str">
        <f>IFERROR(VLOOKUP($A6136,HeadJournal!$A$1:$NTR$890,COLUMN(HeadJournal!G$1),0),"")</f>
        <v/>
      </c>
      <c r="F6136" s="95" t="str">
        <f t="shared" si="453"/>
        <v/>
      </c>
      <c r="G6136" s="97"/>
      <c r="H6136" s="161"/>
      <c r="I6136" s="97"/>
      <c r="J6136" s="97"/>
      <c r="K6136" s="29"/>
      <c r="L6136" s="29"/>
      <c r="M6136" s="30">
        <f>IFERROR(VLOOKUP($A6136,HeadJournal!$A$1:$J$890,COLUMN(HeadJournal!I$1),0)*($K6136+$L6136)/(SUMIF($A:$A,$A6136,$K:$K)+SUMIF($A:$A,$A6136,$L:$L)),0)</f>
        <v>0</v>
      </c>
      <c r="N6136" s="30">
        <f>IFERROR((VLOOKUP($A6136,HeadJournal!$A$1:$K$890,COLUMN(HeadJournal!K$1),0)-VLOOKUP($A6136,HeadJournal!$A$1:$K$890,COLUMN(HeadJournal!J$1),0))*($K6136+$L6136)/(SUMIF($A:$A,$A6136,$K:$K)+SUMIF($A:$A,$A6136,$L:$L)),0)</f>
        <v>0</v>
      </c>
      <c r="O6136" s="30">
        <f>IFERROR((VLOOKUP($A6136,HeadJournal!$A$1:$L$890,COLUMN(HeadJournal!L$1),0)*($K6136+$L6136)/(SUMIF($A:$A,$A6136,$K:$K)+SUMIF($A:$A,$A6136,$L:$L)))/VLOOKUP($A6136,HeadJournal!$A$1:$L$890,COLUMN(HeadJournal!H$1),0),0)</f>
        <v>0</v>
      </c>
      <c r="P6136" s="30">
        <f>IFERROR(SUM(K6136:O6136)*VLOOKUP($A6136,HeadJournal!$A$1:$L$890,COLUMN(HeadJournal!H$1),0),0)</f>
        <v>0</v>
      </c>
      <c r="Q6136" s="29"/>
      <c r="R6136" s="31"/>
      <c r="S6136" s="31"/>
      <c r="T6136" s="95" t="str">
        <f t="shared" si="454"/>
        <v/>
      </c>
      <c r="U6136" s="32">
        <f t="shared" si="455"/>
        <v>0</v>
      </c>
      <c r="V6136" s="22" t="str">
        <f t="shared" si="456"/>
        <v/>
      </c>
      <c r="X6136" s="33"/>
      <c r="Y6136" s="33"/>
    </row>
    <row r="6137" spans="1:25" x14ac:dyDescent="0.2">
      <c r="A6137" s="93"/>
      <c r="B6137" s="94" t="str">
        <f>IFERROR(VLOOKUP($A6137,HeadJournal!$A$1:$NTR$890,COLUMN(HeadJournal!B$1),0),"")</f>
        <v/>
      </c>
      <c r="C6137" s="94" t="str">
        <f>IFERROR(VLOOKUP($A6137,HeadJournal!$A$1:$NTR$890,COLUMN(HeadJournal!C$1),0),"")</f>
        <v/>
      </c>
      <c r="D6137" s="125" t="str">
        <f>IFERROR(VLOOKUP($A6137,HeadJournal!$A$1:$NTR$890,COLUMN(HeadJournal!D$1),0),"")</f>
        <v/>
      </c>
      <c r="E6137" s="95" t="str">
        <f>IFERROR(VLOOKUP($A6137,HeadJournal!$A$1:$NTR$890,COLUMN(HeadJournal!G$1),0),"")</f>
        <v/>
      </c>
      <c r="F6137" s="95" t="str">
        <f t="shared" si="453"/>
        <v/>
      </c>
      <c r="G6137" s="97"/>
      <c r="H6137" s="161"/>
      <c r="I6137" s="97"/>
      <c r="J6137" s="97"/>
      <c r="K6137" s="29"/>
      <c r="L6137" s="29"/>
      <c r="M6137" s="30">
        <f>IFERROR(VLOOKUP($A6137,HeadJournal!$A$1:$J$890,COLUMN(HeadJournal!I$1),0)*($K6137+$L6137)/(SUMIF($A:$A,$A6137,$K:$K)+SUMIF($A:$A,$A6137,$L:$L)),0)</f>
        <v>0</v>
      </c>
      <c r="N6137" s="30">
        <f>IFERROR((VLOOKUP($A6137,HeadJournal!$A$1:$K$890,COLUMN(HeadJournal!K$1),0)-VLOOKUP($A6137,HeadJournal!$A$1:$K$890,COLUMN(HeadJournal!J$1),0))*($K6137+$L6137)/(SUMIF($A:$A,$A6137,$K:$K)+SUMIF($A:$A,$A6137,$L:$L)),0)</f>
        <v>0</v>
      </c>
      <c r="O6137" s="30">
        <f>IFERROR((VLOOKUP($A6137,HeadJournal!$A$1:$L$890,COLUMN(HeadJournal!L$1),0)*($K6137+$L6137)/(SUMIF($A:$A,$A6137,$K:$K)+SUMIF($A:$A,$A6137,$L:$L)))/VLOOKUP($A6137,HeadJournal!$A$1:$L$890,COLUMN(HeadJournal!H$1),0),0)</f>
        <v>0</v>
      </c>
      <c r="P6137" s="30">
        <f>IFERROR(SUM(K6137:O6137)*VLOOKUP($A6137,HeadJournal!$A$1:$L$890,COLUMN(HeadJournal!H$1),0),0)</f>
        <v>0</v>
      </c>
      <c r="Q6137" s="29"/>
      <c r="R6137" s="31"/>
      <c r="S6137" s="31"/>
      <c r="T6137" s="95" t="str">
        <f t="shared" si="454"/>
        <v/>
      </c>
      <c r="U6137" s="32">
        <f t="shared" si="455"/>
        <v>0</v>
      </c>
      <c r="V6137" s="22" t="str">
        <f t="shared" si="456"/>
        <v/>
      </c>
      <c r="X6137" s="33"/>
      <c r="Y6137" s="33"/>
    </row>
    <row r="6138" spans="1:25" x14ac:dyDescent="0.2">
      <c r="A6138" s="93"/>
      <c r="B6138" s="94" t="str">
        <f>IFERROR(VLOOKUP($A6138,HeadJournal!$A$1:$NTR$890,COLUMN(HeadJournal!B$1),0),"")</f>
        <v/>
      </c>
      <c r="C6138" s="94" t="str">
        <f>IFERROR(VLOOKUP($A6138,HeadJournal!$A$1:$NTR$890,COLUMN(HeadJournal!C$1),0),"")</f>
        <v/>
      </c>
      <c r="D6138" s="125" t="str">
        <f>IFERROR(VLOOKUP($A6138,HeadJournal!$A$1:$NTR$890,COLUMN(HeadJournal!D$1),0),"")</f>
        <v/>
      </c>
      <c r="E6138" s="95" t="str">
        <f>IFERROR(VLOOKUP($A6138,HeadJournal!$A$1:$NTR$890,COLUMN(HeadJournal!G$1),0),"")</f>
        <v/>
      </c>
      <c r="F6138" s="95" t="str">
        <f t="shared" si="453"/>
        <v/>
      </c>
      <c r="G6138" s="97"/>
      <c r="H6138" s="161"/>
      <c r="I6138" s="97"/>
      <c r="J6138" s="97"/>
      <c r="K6138" s="29"/>
      <c r="L6138" s="29"/>
      <c r="M6138" s="30">
        <f>IFERROR(VLOOKUP($A6138,HeadJournal!$A$1:$J$890,COLUMN(HeadJournal!I$1),0)*($K6138+$L6138)/(SUMIF($A:$A,$A6138,$K:$K)+SUMIF($A:$A,$A6138,$L:$L)),0)</f>
        <v>0</v>
      </c>
      <c r="N6138" s="30">
        <f>IFERROR((VLOOKUP($A6138,HeadJournal!$A$1:$K$890,COLUMN(HeadJournal!K$1),0)-VLOOKUP($A6138,HeadJournal!$A$1:$K$890,COLUMN(HeadJournal!J$1),0))*($K6138+$L6138)/(SUMIF($A:$A,$A6138,$K:$K)+SUMIF($A:$A,$A6138,$L:$L)),0)</f>
        <v>0</v>
      </c>
      <c r="O6138" s="30">
        <f>IFERROR((VLOOKUP($A6138,HeadJournal!$A$1:$L$890,COLUMN(HeadJournal!L$1),0)*($K6138+$L6138)/(SUMIF($A:$A,$A6138,$K:$K)+SUMIF($A:$A,$A6138,$L:$L)))/VLOOKUP($A6138,HeadJournal!$A$1:$L$890,COLUMN(HeadJournal!H$1),0),0)</f>
        <v>0</v>
      </c>
      <c r="P6138" s="30">
        <f>IFERROR(SUM(K6138:O6138)*VLOOKUP($A6138,HeadJournal!$A$1:$L$890,COLUMN(HeadJournal!H$1),0),0)</f>
        <v>0</v>
      </c>
      <c r="Q6138" s="29"/>
      <c r="R6138" s="31"/>
      <c r="S6138" s="31"/>
      <c r="T6138" s="95" t="str">
        <f t="shared" si="454"/>
        <v/>
      </c>
      <c r="U6138" s="32">
        <f t="shared" si="455"/>
        <v>0</v>
      </c>
      <c r="V6138" s="22" t="str">
        <f t="shared" si="456"/>
        <v/>
      </c>
      <c r="X6138" s="33"/>
      <c r="Y6138" s="33"/>
    </row>
    <row r="6139" spans="1:25" x14ac:dyDescent="0.2">
      <c r="A6139" s="93"/>
      <c r="B6139" s="94" t="str">
        <f>IFERROR(VLOOKUP($A6139,HeadJournal!$A$1:$NTR$890,COLUMN(HeadJournal!B$1),0),"")</f>
        <v/>
      </c>
      <c r="C6139" s="94" t="str">
        <f>IFERROR(VLOOKUP($A6139,HeadJournal!$A$1:$NTR$890,COLUMN(HeadJournal!C$1),0),"")</f>
        <v/>
      </c>
      <c r="D6139" s="125" t="str">
        <f>IFERROR(VLOOKUP($A6139,HeadJournal!$A$1:$NTR$890,COLUMN(HeadJournal!D$1),0),"")</f>
        <v/>
      </c>
      <c r="E6139" s="95" t="str">
        <f>IFERROR(VLOOKUP($A6139,HeadJournal!$A$1:$NTR$890,COLUMN(HeadJournal!G$1),0),"")</f>
        <v/>
      </c>
      <c r="F6139" s="95" t="str">
        <f t="shared" si="453"/>
        <v/>
      </c>
      <c r="G6139" s="97"/>
      <c r="H6139" s="161"/>
      <c r="I6139" s="97"/>
      <c r="J6139" s="97"/>
      <c r="K6139" s="29"/>
      <c r="L6139" s="29"/>
      <c r="M6139" s="30">
        <f>IFERROR(VLOOKUP($A6139,HeadJournal!$A$1:$J$890,COLUMN(HeadJournal!I$1),0)*($K6139+$L6139)/(SUMIF($A:$A,$A6139,$K:$K)+SUMIF($A:$A,$A6139,$L:$L)),0)</f>
        <v>0</v>
      </c>
      <c r="N6139" s="30">
        <f>IFERROR((VLOOKUP($A6139,HeadJournal!$A$1:$K$890,COLUMN(HeadJournal!K$1),0)-VLOOKUP($A6139,HeadJournal!$A$1:$K$890,COLUMN(HeadJournal!J$1),0))*($K6139+$L6139)/(SUMIF($A:$A,$A6139,$K:$K)+SUMIF($A:$A,$A6139,$L:$L)),0)</f>
        <v>0</v>
      </c>
      <c r="O6139" s="30">
        <f>IFERROR((VLOOKUP($A6139,HeadJournal!$A$1:$L$890,COLUMN(HeadJournal!L$1),0)*($K6139+$L6139)/(SUMIF($A:$A,$A6139,$K:$K)+SUMIF($A:$A,$A6139,$L:$L)))/VLOOKUP($A6139,HeadJournal!$A$1:$L$890,COLUMN(HeadJournal!H$1),0),0)</f>
        <v>0</v>
      </c>
      <c r="P6139" s="30">
        <f>IFERROR(SUM(K6139:O6139)*VLOOKUP($A6139,HeadJournal!$A$1:$L$890,COLUMN(HeadJournal!H$1),0),0)</f>
        <v>0</v>
      </c>
      <c r="Q6139" s="29"/>
      <c r="R6139" s="31"/>
      <c r="S6139" s="31"/>
      <c r="T6139" s="95" t="str">
        <f t="shared" si="454"/>
        <v/>
      </c>
      <c r="U6139" s="32">
        <f t="shared" si="455"/>
        <v>0</v>
      </c>
      <c r="V6139" s="22" t="str">
        <f t="shared" si="456"/>
        <v/>
      </c>
      <c r="X6139" s="33"/>
      <c r="Y6139" s="33"/>
    </row>
    <row r="6140" spans="1:25" x14ac:dyDescent="0.2">
      <c r="A6140" s="93"/>
      <c r="B6140" s="94" t="str">
        <f>IFERROR(VLOOKUP($A6140,HeadJournal!$A$1:$NTR$890,COLUMN(HeadJournal!B$1),0),"")</f>
        <v/>
      </c>
      <c r="C6140" s="94" t="str">
        <f>IFERROR(VLOOKUP($A6140,HeadJournal!$A$1:$NTR$890,COLUMN(HeadJournal!C$1),0),"")</f>
        <v/>
      </c>
      <c r="D6140" s="125" t="str">
        <f>IFERROR(VLOOKUP($A6140,HeadJournal!$A$1:$NTR$890,COLUMN(HeadJournal!D$1),0),"")</f>
        <v/>
      </c>
      <c r="E6140" s="95" t="str">
        <f>IFERROR(VLOOKUP($A6140,HeadJournal!$A$1:$NTR$890,COLUMN(HeadJournal!G$1),0),"")</f>
        <v/>
      </c>
      <c r="F6140" s="95" t="str">
        <f t="shared" si="453"/>
        <v/>
      </c>
      <c r="G6140" s="97"/>
      <c r="H6140" s="161"/>
      <c r="I6140" s="97"/>
      <c r="J6140" s="97"/>
      <c r="K6140" s="29"/>
      <c r="L6140" s="29"/>
      <c r="M6140" s="30">
        <f>IFERROR(VLOOKUP($A6140,HeadJournal!$A$1:$J$890,COLUMN(HeadJournal!I$1),0)*($K6140+$L6140)/(SUMIF($A:$A,$A6140,$K:$K)+SUMIF($A:$A,$A6140,$L:$L)),0)</f>
        <v>0</v>
      </c>
      <c r="N6140" s="30">
        <f>IFERROR((VLOOKUP($A6140,HeadJournal!$A$1:$K$890,COLUMN(HeadJournal!K$1),0)-VLOOKUP($A6140,HeadJournal!$A$1:$K$890,COLUMN(HeadJournal!J$1),0))*($K6140+$L6140)/(SUMIF($A:$A,$A6140,$K:$K)+SUMIF($A:$A,$A6140,$L:$L)),0)</f>
        <v>0</v>
      </c>
      <c r="O6140" s="30">
        <f>IFERROR((VLOOKUP($A6140,HeadJournal!$A$1:$L$890,COLUMN(HeadJournal!L$1),0)*($K6140+$L6140)/(SUMIF($A:$A,$A6140,$K:$K)+SUMIF($A:$A,$A6140,$L:$L)))/VLOOKUP($A6140,HeadJournal!$A$1:$L$890,COLUMN(HeadJournal!H$1),0),0)</f>
        <v>0</v>
      </c>
      <c r="P6140" s="30">
        <f>IFERROR(SUM(K6140:O6140)*VLOOKUP($A6140,HeadJournal!$A$1:$L$890,COLUMN(HeadJournal!H$1),0),0)</f>
        <v>0</v>
      </c>
      <c r="Q6140" s="29"/>
      <c r="R6140" s="31"/>
      <c r="S6140" s="31"/>
      <c r="T6140" s="95" t="str">
        <f t="shared" si="454"/>
        <v/>
      </c>
      <c r="U6140" s="32">
        <f t="shared" si="455"/>
        <v>0</v>
      </c>
      <c r="V6140" s="22" t="str">
        <f t="shared" si="456"/>
        <v/>
      </c>
      <c r="X6140" s="33"/>
      <c r="Y6140" s="33"/>
    </row>
    <row r="6141" spans="1:25" x14ac:dyDescent="0.2">
      <c r="A6141" s="93"/>
      <c r="B6141" s="94" t="str">
        <f>IFERROR(VLOOKUP($A6141,HeadJournal!$A$1:$NTR$890,COLUMN(HeadJournal!B$1),0),"")</f>
        <v/>
      </c>
      <c r="C6141" s="94" t="str">
        <f>IFERROR(VLOOKUP($A6141,HeadJournal!$A$1:$NTR$890,COLUMN(HeadJournal!C$1),0),"")</f>
        <v/>
      </c>
      <c r="D6141" s="125" t="str">
        <f>IFERROR(VLOOKUP($A6141,HeadJournal!$A$1:$NTR$890,COLUMN(HeadJournal!D$1),0),"")</f>
        <v/>
      </c>
      <c r="E6141" s="95" t="str">
        <f>IFERROR(VLOOKUP($A6141,HeadJournal!$A$1:$NTR$890,COLUMN(HeadJournal!G$1),0),"")</f>
        <v/>
      </c>
      <c r="F6141" s="95" t="str">
        <f t="shared" si="453"/>
        <v/>
      </c>
      <c r="G6141" s="97"/>
      <c r="H6141" s="161"/>
      <c r="I6141" s="97"/>
      <c r="J6141" s="97"/>
      <c r="K6141" s="29"/>
      <c r="L6141" s="29"/>
      <c r="M6141" s="30">
        <f>IFERROR(VLOOKUP($A6141,HeadJournal!$A$1:$J$890,COLUMN(HeadJournal!I$1),0)*($K6141+$L6141)/(SUMIF($A:$A,$A6141,$K:$K)+SUMIF($A:$A,$A6141,$L:$L)),0)</f>
        <v>0</v>
      </c>
      <c r="N6141" s="30">
        <f>IFERROR((VLOOKUP($A6141,HeadJournal!$A$1:$K$890,COLUMN(HeadJournal!K$1),0)-VLOOKUP($A6141,HeadJournal!$A$1:$K$890,COLUMN(HeadJournal!J$1),0))*($K6141+$L6141)/(SUMIF($A:$A,$A6141,$K:$K)+SUMIF($A:$A,$A6141,$L:$L)),0)</f>
        <v>0</v>
      </c>
      <c r="O6141" s="30">
        <f>IFERROR((VLOOKUP($A6141,HeadJournal!$A$1:$L$890,COLUMN(HeadJournal!L$1),0)*($K6141+$L6141)/(SUMIF($A:$A,$A6141,$K:$K)+SUMIF($A:$A,$A6141,$L:$L)))/VLOOKUP($A6141,HeadJournal!$A$1:$L$890,COLUMN(HeadJournal!H$1),0),0)</f>
        <v>0</v>
      </c>
      <c r="P6141" s="30">
        <f>IFERROR(SUM(K6141:O6141)*VLOOKUP($A6141,HeadJournal!$A$1:$L$890,COLUMN(HeadJournal!H$1),0),0)</f>
        <v>0</v>
      </c>
      <c r="Q6141" s="29"/>
      <c r="R6141" s="31"/>
      <c r="S6141" s="31"/>
      <c r="T6141" s="95" t="str">
        <f t="shared" si="454"/>
        <v/>
      </c>
      <c r="U6141" s="32">
        <f t="shared" si="455"/>
        <v>0</v>
      </c>
      <c r="V6141" s="22" t="str">
        <f t="shared" si="456"/>
        <v/>
      </c>
      <c r="X6141" s="33"/>
      <c r="Y6141" s="33"/>
    </row>
    <row r="6142" spans="1:25" x14ac:dyDescent="0.2">
      <c r="A6142" s="93"/>
      <c r="B6142" s="94" t="str">
        <f>IFERROR(VLOOKUP($A6142,HeadJournal!$A$1:$NTR$890,COLUMN(HeadJournal!B$1),0),"")</f>
        <v/>
      </c>
      <c r="C6142" s="94" t="str">
        <f>IFERROR(VLOOKUP($A6142,HeadJournal!$A$1:$NTR$890,COLUMN(HeadJournal!C$1),0),"")</f>
        <v/>
      </c>
      <c r="D6142" s="125" t="str">
        <f>IFERROR(VLOOKUP($A6142,HeadJournal!$A$1:$NTR$890,COLUMN(HeadJournal!D$1),0),"")</f>
        <v/>
      </c>
      <c r="E6142" s="95" t="str">
        <f>IFERROR(VLOOKUP($A6142,HeadJournal!$A$1:$NTR$890,COLUMN(HeadJournal!G$1),0),"")</f>
        <v/>
      </c>
      <c r="F6142" s="95" t="str">
        <f t="shared" si="453"/>
        <v/>
      </c>
      <c r="G6142" s="97"/>
      <c r="H6142" s="161"/>
      <c r="I6142" s="97"/>
      <c r="J6142" s="97"/>
      <c r="K6142" s="29"/>
      <c r="L6142" s="29"/>
      <c r="M6142" s="30">
        <f>IFERROR(VLOOKUP($A6142,HeadJournal!$A$1:$J$890,COLUMN(HeadJournal!I$1),0)*($K6142+$L6142)/(SUMIF($A:$A,$A6142,$K:$K)+SUMIF($A:$A,$A6142,$L:$L)),0)</f>
        <v>0</v>
      </c>
      <c r="N6142" s="30">
        <f>IFERROR((VLOOKUP($A6142,HeadJournal!$A$1:$K$890,COLUMN(HeadJournal!K$1),0)-VLOOKUP($A6142,HeadJournal!$A$1:$K$890,COLUMN(HeadJournal!J$1),0))*($K6142+$L6142)/(SUMIF($A:$A,$A6142,$K:$K)+SUMIF($A:$A,$A6142,$L:$L)),0)</f>
        <v>0</v>
      </c>
      <c r="O6142" s="30">
        <f>IFERROR((VLOOKUP($A6142,HeadJournal!$A$1:$L$890,COLUMN(HeadJournal!L$1),0)*($K6142+$L6142)/(SUMIF($A:$A,$A6142,$K:$K)+SUMIF($A:$A,$A6142,$L:$L)))/VLOOKUP($A6142,HeadJournal!$A$1:$L$890,COLUMN(HeadJournal!H$1),0),0)</f>
        <v>0</v>
      </c>
      <c r="P6142" s="30">
        <f>IFERROR(SUM(K6142:O6142)*VLOOKUP($A6142,HeadJournal!$A$1:$L$890,COLUMN(HeadJournal!H$1),0),0)</f>
        <v>0</v>
      </c>
      <c r="Q6142" s="29"/>
      <c r="R6142" s="31"/>
      <c r="S6142" s="31"/>
      <c r="T6142" s="95" t="str">
        <f t="shared" si="454"/>
        <v/>
      </c>
      <c r="U6142" s="32">
        <f t="shared" si="455"/>
        <v>0</v>
      </c>
      <c r="V6142" s="22" t="str">
        <f t="shared" si="456"/>
        <v/>
      </c>
      <c r="X6142" s="33"/>
      <c r="Y6142" s="33"/>
    </row>
    <row r="6143" spans="1:25" x14ac:dyDescent="0.2">
      <c r="A6143" s="93"/>
      <c r="B6143" s="94" t="str">
        <f>IFERROR(VLOOKUP($A6143,HeadJournal!$A$1:$NTR$890,COLUMN(HeadJournal!B$1),0),"")</f>
        <v/>
      </c>
      <c r="C6143" s="94" t="str">
        <f>IFERROR(VLOOKUP($A6143,HeadJournal!$A$1:$NTR$890,COLUMN(HeadJournal!C$1),0),"")</f>
        <v/>
      </c>
      <c r="D6143" s="125" t="str">
        <f>IFERROR(VLOOKUP($A6143,HeadJournal!$A$1:$NTR$890,COLUMN(HeadJournal!D$1),0),"")</f>
        <v/>
      </c>
      <c r="E6143" s="95" t="str">
        <f>IFERROR(VLOOKUP($A6143,HeadJournal!$A$1:$NTR$890,COLUMN(HeadJournal!G$1),0),"")</f>
        <v/>
      </c>
      <c r="F6143" s="95" t="str">
        <f t="shared" si="453"/>
        <v/>
      </c>
      <c r="G6143" s="97"/>
      <c r="H6143" s="161"/>
      <c r="I6143" s="97"/>
      <c r="J6143" s="97"/>
      <c r="K6143" s="29"/>
      <c r="L6143" s="29"/>
      <c r="M6143" s="30">
        <f>IFERROR(VLOOKUP($A6143,HeadJournal!$A$1:$J$890,COLUMN(HeadJournal!I$1),0)*($K6143+$L6143)/(SUMIF($A:$A,$A6143,$K:$K)+SUMIF($A:$A,$A6143,$L:$L)),0)</f>
        <v>0</v>
      </c>
      <c r="N6143" s="30">
        <f>IFERROR((VLOOKUP($A6143,HeadJournal!$A$1:$K$890,COLUMN(HeadJournal!K$1),0)-VLOOKUP($A6143,HeadJournal!$A$1:$K$890,COLUMN(HeadJournal!J$1),0))*($K6143+$L6143)/(SUMIF($A:$A,$A6143,$K:$K)+SUMIF($A:$A,$A6143,$L:$L)),0)</f>
        <v>0</v>
      </c>
      <c r="O6143" s="30">
        <f>IFERROR((VLOOKUP($A6143,HeadJournal!$A$1:$L$890,COLUMN(HeadJournal!L$1),0)*($K6143+$L6143)/(SUMIF($A:$A,$A6143,$K:$K)+SUMIF($A:$A,$A6143,$L:$L)))/VLOOKUP($A6143,HeadJournal!$A$1:$L$890,COLUMN(HeadJournal!H$1),0),0)</f>
        <v>0</v>
      </c>
      <c r="P6143" s="30">
        <f>IFERROR(SUM(K6143:O6143)*VLOOKUP($A6143,HeadJournal!$A$1:$L$890,COLUMN(HeadJournal!H$1),0),0)</f>
        <v>0</v>
      </c>
      <c r="Q6143" s="29"/>
      <c r="R6143" s="31"/>
      <c r="S6143" s="31"/>
      <c r="T6143" s="95" t="str">
        <f t="shared" si="454"/>
        <v/>
      </c>
      <c r="U6143" s="32">
        <f t="shared" si="455"/>
        <v>0</v>
      </c>
      <c r="V6143" s="22" t="str">
        <f t="shared" si="456"/>
        <v/>
      </c>
      <c r="X6143" s="33"/>
      <c r="Y6143" s="33"/>
    </row>
    <row r="6144" spans="1:25" x14ac:dyDescent="0.2">
      <c r="A6144" s="93"/>
      <c r="B6144" s="94" t="str">
        <f>IFERROR(VLOOKUP($A6144,HeadJournal!$A$1:$NTR$890,COLUMN(HeadJournal!B$1),0),"")</f>
        <v/>
      </c>
      <c r="C6144" s="94" t="str">
        <f>IFERROR(VLOOKUP($A6144,HeadJournal!$A$1:$NTR$890,COLUMN(HeadJournal!C$1),0),"")</f>
        <v/>
      </c>
      <c r="D6144" s="125" t="str">
        <f>IFERROR(VLOOKUP($A6144,HeadJournal!$A$1:$NTR$890,COLUMN(HeadJournal!D$1),0),"")</f>
        <v/>
      </c>
      <c r="E6144" s="95" t="str">
        <f>IFERROR(VLOOKUP($A6144,HeadJournal!$A$1:$NTR$890,COLUMN(HeadJournal!G$1),0),"")</f>
        <v/>
      </c>
      <c r="F6144" s="95" t="str">
        <f t="shared" si="453"/>
        <v/>
      </c>
      <c r="G6144" s="97"/>
      <c r="H6144" s="161"/>
      <c r="I6144" s="97"/>
      <c r="J6144" s="97"/>
      <c r="K6144" s="29"/>
      <c r="L6144" s="29"/>
      <c r="M6144" s="30">
        <f>IFERROR(VLOOKUP($A6144,HeadJournal!$A$1:$J$890,COLUMN(HeadJournal!I$1),0)*($K6144+$L6144)/(SUMIF($A:$A,$A6144,$K:$K)+SUMIF($A:$A,$A6144,$L:$L)),0)</f>
        <v>0</v>
      </c>
      <c r="N6144" s="30">
        <f>IFERROR((VLOOKUP($A6144,HeadJournal!$A$1:$K$890,COLUMN(HeadJournal!K$1),0)-VLOOKUP($A6144,HeadJournal!$A$1:$K$890,COLUMN(HeadJournal!J$1),0))*($K6144+$L6144)/(SUMIF($A:$A,$A6144,$K:$K)+SUMIF($A:$A,$A6144,$L:$L)),0)</f>
        <v>0</v>
      </c>
      <c r="O6144" s="30">
        <f>IFERROR((VLOOKUP($A6144,HeadJournal!$A$1:$L$890,COLUMN(HeadJournal!L$1),0)*($K6144+$L6144)/(SUMIF($A:$A,$A6144,$K:$K)+SUMIF($A:$A,$A6144,$L:$L)))/VLOOKUP($A6144,HeadJournal!$A$1:$L$890,COLUMN(HeadJournal!H$1),0),0)</f>
        <v>0</v>
      </c>
      <c r="P6144" s="30">
        <f>IFERROR(SUM(K6144:O6144)*VLOOKUP($A6144,HeadJournal!$A$1:$L$890,COLUMN(HeadJournal!H$1),0),0)</f>
        <v>0</v>
      </c>
      <c r="Q6144" s="29"/>
      <c r="R6144" s="31"/>
      <c r="S6144" s="31"/>
      <c r="T6144" s="95" t="str">
        <f t="shared" si="454"/>
        <v/>
      </c>
      <c r="U6144" s="32">
        <f t="shared" si="455"/>
        <v>0</v>
      </c>
      <c r="V6144" s="22" t="str">
        <f t="shared" si="456"/>
        <v/>
      </c>
      <c r="X6144" s="33"/>
      <c r="Y6144" s="33"/>
    </row>
    <row r="6145" spans="1:25" x14ac:dyDescent="0.2">
      <c r="A6145" s="93"/>
      <c r="B6145" s="94" t="str">
        <f>IFERROR(VLOOKUP($A6145,HeadJournal!$A$1:$NTR$890,COLUMN(HeadJournal!B$1),0),"")</f>
        <v/>
      </c>
      <c r="C6145" s="94" t="str">
        <f>IFERROR(VLOOKUP($A6145,HeadJournal!$A$1:$NTR$890,COLUMN(HeadJournal!C$1),0),"")</f>
        <v/>
      </c>
      <c r="D6145" s="125" t="str">
        <f>IFERROR(VLOOKUP($A6145,HeadJournal!$A$1:$NTR$890,COLUMN(HeadJournal!D$1),0),"")</f>
        <v/>
      </c>
      <c r="E6145" s="95" t="str">
        <f>IFERROR(VLOOKUP($A6145,HeadJournal!$A$1:$NTR$890,COLUMN(HeadJournal!G$1),0),"")</f>
        <v/>
      </c>
      <c r="F6145" s="95" t="str">
        <f t="shared" si="453"/>
        <v/>
      </c>
      <c r="G6145" s="97"/>
      <c r="H6145" s="161"/>
      <c r="I6145" s="97"/>
      <c r="J6145" s="97"/>
      <c r="K6145" s="29"/>
      <c r="L6145" s="29"/>
      <c r="M6145" s="30">
        <f>IFERROR(VLOOKUP($A6145,HeadJournal!$A$1:$J$890,COLUMN(HeadJournal!I$1),0)*($K6145+$L6145)/(SUMIF($A:$A,$A6145,$K:$K)+SUMIF($A:$A,$A6145,$L:$L)),0)</f>
        <v>0</v>
      </c>
      <c r="N6145" s="30">
        <f>IFERROR((VLOOKUP($A6145,HeadJournal!$A$1:$K$890,COLUMN(HeadJournal!K$1),0)-VLOOKUP($A6145,HeadJournal!$A$1:$K$890,COLUMN(HeadJournal!J$1),0))*($K6145+$L6145)/(SUMIF($A:$A,$A6145,$K:$K)+SUMIF($A:$A,$A6145,$L:$L)),0)</f>
        <v>0</v>
      </c>
      <c r="O6145" s="30">
        <f>IFERROR((VLOOKUP($A6145,HeadJournal!$A$1:$L$890,COLUMN(HeadJournal!L$1),0)*($K6145+$L6145)/(SUMIF($A:$A,$A6145,$K:$K)+SUMIF($A:$A,$A6145,$L:$L)))/VLOOKUP($A6145,HeadJournal!$A$1:$L$890,COLUMN(HeadJournal!H$1),0),0)</f>
        <v>0</v>
      </c>
      <c r="P6145" s="30">
        <f>IFERROR(SUM(K6145:O6145)*VLOOKUP($A6145,HeadJournal!$A$1:$L$890,COLUMN(HeadJournal!H$1),0),0)</f>
        <v>0</v>
      </c>
      <c r="Q6145" s="29"/>
      <c r="R6145" s="31"/>
      <c r="S6145" s="31"/>
      <c r="T6145" s="95" t="str">
        <f t="shared" si="454"/>
        <v/>
      </c>
      <c r="U6145" s="32">
        <f t="shared" si="455"/>
        <v>0</v>
      </c>
      <c r="V6145" s="22" t="str">
        <f t="shared" si="456"/>
        <v/>
      </c>
      <c r="X6145" s="33"/>
      <c r="Y6145" s="33"/>
    </row>
    <row r="6146" spans="1:25" x14ac:dyDescent="0.2">
      <c r="A6146" s="93"/>
      <c r="B6146" s="94" t="str">
        <f>IFERROR(VLOOKUP($A6146,HeadJournal!$A$1:$NTR$890,COLUMN(HeadJournal!B$1),0),"")</f>
        <v/>
      </c>
      <c r="C6146" s="94" t="str">
        <f>IFERROR(VLOOKUP($A6146,HeadJournal!$A$1:$NTR$890,COLUMN(HeadJournal!C$1),0),"")</f>
        <v/>
      </c>
      <c r="D6146" s="125" t="str">
        <f>IFERROR(VLOOKUP($A6146,HeadJournal!$A$1:$NTR$890,COLUMN(HeadJournal!D$1),0),"")</f>
        <v/>
      </c>
      <c r="E6146" s="95" t="str">
        <f>IFERROR(VLOOKUP($A6146,HeadJournal!$A$1:$NTR$890,COLUMN(HeadJournal!G$1),0),"")</f>
        <v/>
      </c>
      <c r="F6146" s="95" t="str">
        <f t="shared" si="453"/>
        <v/>
      </c>
      <c r="G6146" s="97"/>
      <c r="H6146" s="161"/>
      <c r="I6146" s="97"/>
      <c r="J6146" s="97"/>
      <c r="K6146" s="29"/>
      <c r="L6146" s="29"/>
      <c r="M6146" s="30">
        <f>IFERROR(VLOOKUP($A6146,HeadJournal!$A$1:$J$890,COLUMN(HeadJournal!I$1),0)*($K6146+$L6146)/(SUMIF($A:$A,$A6146,$K:$K)+SUMIF($A:$A,$A6146,$L:$L)),0)</f>
        <v>0</v>
      </c>
      <c r="N6146" s="30">
        <f>IFERROR((VLOOKUP($A6146,HeadJournal!$A$1:$K$890,COLUMN(HeadJournal!K$1),0)-VLOOKUP($A6146,HeadJournal!$A$1:$K$890,COLUMN(HeadJournal!J$1),0))*($K6146+$L6146)/(SUMIF($A:$A,$A6146,$K:$K)+SUMIF($A:$A,$A6146,$L:$L)),0)</f>
        <v>0</v>
      </c>
      <c r="O6146" s="30">
        <f>IFERROR((VLOOKUP($A6146,HeadJournal!$A$1:$L$890,COLUMN(HeadJournal!L$1),0)*($K6146+$L6146)/(SUMIF($A:$A,$A6146,$K:$K)+SUMIF($A:$A,$A6146,$L:$L)))/VLOOKUP($A6146,HeadJournal!$A$1:$L$890,COLUMN(HeadJournal!H$1),0),0)</f>
        <v>0</v>
      </c>
      <c r="P6146" s="30">
        <f>IFERROR(SUM(K6146:O6146)*VLOOKUP($A6146,HeadJournal!$A$1:$L$890,COLUMN(HeadJournal!H$1),0),0)</f>
        <v>0</v>
      </c>
      <c r="Q6146" s="29"/>
      <c r="R6146" s="31"/>
      <c r="S6146" s="31"/>
      <c r="T6146" s="95" t="str">
        <f t="shared" si="454"/>
        <v/>
      </c>
      <c r="U6146" s="32">
        <f t="shared" si="455"/>
        <v>0</v>
      </c>
      <c r="V6146" s="22" t="str">
        <f t="shared" si="456"/>
        <v/>
      </c>
      <c r="X6146" s="33"/>
      <c r="Y6146" s="33"/>
    </row>
    <row r="6147" spans="1:25" x14ac:dyDescent="0.2">
      <c r="A6147" s="93"/>
      <c r="B6147" s="94" t="str">
        <f>IFERROR(VLOOKUP($A6147,HeadJournal!$A$1:$NTR$890,COLUMN(HeadJournal!B$1),0),"")</f>
        <v/>
      </c>
      <c r="C6147" s="94" t="str">
        <f>IFERROR(VLOOKUP($A6147,HeadJournal!$A$1:$NTR$890,COLUMN(HeadJournal!C$1),0),"")</f>
        <v/>
      </c>
      <c r="D6147" s="125" t="str">
        <f>IFERROR(VLOOKUP($A6147,HeadJournal!$A$1:$NTR$890,COLUMN(HeadJournal!D$1),0),"")</f>
        <v/>
      </c>
      <c r="E6147" s="95" t="str">
        <f>IFERROR(VLOOKUP($A6147,HeadJournal!$A$1:$NTR$890,COLUMN(HeadJournal!G$1),0),"")</f>
        <v/>
      </c>
      <c r="F6147" s="95" t="str">
        <f t="shared" si="453"/>
        <v/>
      </c>
      <c r="G6147" s="97"/>
      <c r="H6147" s="161"/>
      <c r="I6147" s="97"/>
      <c r="J6147" s="97"/>
      <c r="K6147" s="29"/>
      <c r="L6147" s="29"/>
      <c r="M6147" s="30">
        <f>IFERROR(VLOOKUP($A6147,HeadJournal!$A$1:$J$890,COLUMN(HeadJournal!I$1),0)*($K6147+$L6147)/(SUMIF($A:$A,$A6147,$K:$K)+SUMIF($A:$A,$A6147,$L:$L)),0)</f>
        <v>0</v>
      </c>
      <c r="N6147" s="30">
        <f>IFERROR((VLOOKUP($A6147,HeadJournal!$A$1:$K$890,COLUMN(HeadJournal!K$1),0)-VLOOKUP($A6147,HeadJournal!$A$1:$K$890,COLUMN(HeadJournal!J$1),0))*($K6147+$L6147)/(SUMIF($A:$A,$A6147,$K:$K)+SUMIF($A:$A,$A6147,$L:$L)),0)</f>
        <v>0</v>
      </c>
      <c r="O6147" s="30">
        <f>IFERROR((VLOOKUP($A6147,HeadJournal!$A$1:$L$890,COLUMN(HeadJournal!L$1),0)*($K6147+$L6147)/(SUMIF($A:$A,$A6147,$K:$K)+SUMIF($A:$A,$A6147,$L:$L)))/VLOOKUP($A6147,HeadJournal!$A$1:$L$890,COLUMN(HeadJournal!H$1),0),0)</f>
        <v>0</v>
      </c>
      <c r="P6147" s="30">
        <f>IFERROR(SUM(K6147:O6147)*VLOOKUP($A6147,HeadJournal!$A$1:$L$890,COLUMN(HeadJournal!H$1),0),0)</f>
        <v>0</v>
      </c>
      <c r="Q6147" s="29"/>
      <c r="R6147" s="31"/>
      <c r="S6147" s="31"/>
      <c r="T6147" s="95" t="str">
        <f t="shared" si="454"/>
        <v/>
      </c>
      <c r="U6147" s="32">
        <f t="shared" si="455"/>
        <v>0</v>
      </c>
      <c r="V6147" s="22" t="str">
        <f t="shared" si="456"/>
        <v/>
      </c>
      <c r="X6147" s="33"/>
      <c r="Y6147" s="33"/>
    </row>
    <row r="6148" spans="1:25" x14ac:dyDescent="0.2">
      <c r="A6148" s="93"/>
      <c r="B6148" s="94" t="str">
        <f>IFERROR(VLOOKUP($A6148,HeadJournal!$A$1:$NTR$890,COLUMN(HeadJournal!B$1),0),"")</f>
        <v/>
      </c>
      <c r="C6148" s="94" t="str">
        <f>IFERROR(VLOOKUP($A6148,HeadJournal!$A$1:$NTR$890,COLUMN(HeadJournal!C$1),0),"")</f>
        <v/>
      </c>
      <c r="D6148" s="125" t="str">
        <f>IFERROR(VLOOKUP($A6148,HeadJournal!$A$1:$NTR$890,COLUMN(HeadJournal!D$1),0),"")</f>
        <v/>
      </c>
      <c r="E6148" s="95" t="str">
        <f>IFERROR(VLOOKUP($A6148,HeadJournal!$A$1:$NTR$890,COLUMN(HeadJournal!G$1),0),"")</f>
        <v/>
      </c>
      <c r="F6148" s="95" t="str">
        <f t="shared" si="453"/>
        <v/>
      </c>
      <c r="G6148" s="97"/>
      <c r="H6148" s="161"/>
      <c r="I6148" s="97"/>
      <c r="J6148" s="97"/>
      <c r="K6148" s="29"/>
      <c r="L6148" s="29"/>
      <c r="M6148" s="30">
        <f>IFERROR(VLOOKUP($A6148,HeadJournal!$A$1:$J$890,COLUMN(HeadJournal!I$1),0)*($K6148+$L6148)/(SUMIF($A:$A,$A6148,$K:$K)+SUMIF($A:$A,$A6148,$L:$L)),0)</f>
        <v>0</v>
      </c>
      <c r="N6148" s="30">
        <f>IFERROR((VLOOKUP($A6148,HeadJournal!$A$1:$K$890,COLUMN(HeadJournal!K$1),0)-VLOOKUP($A6148,HeadJournal!$A$1:$K$890,COLUMN(HeadJournal!J$1),0))*($K6148+$L6148)/(SUMIF($A:$A,$A6148,$K:$K)+SUMIF($A:$A,$A6148,$L:$L)),0)</f>
        <v>0</v>
      </c>
      <c r="O6148" s="30">
        <f>IFERROR((VLOOKUP($A6148,HeadJournal!$A$1:$L$890,COLUMN(HeadJournal!L$1),0)*($K6148+$L6148)/(SUMIF($A:$A,$A6148,$K:$K)+SUMIF($A:$A,$A6148,$L:$L)))/VLOOKUP($A6148,HeadJournal!$A$1:$L$890,COLUMN(HeadJournal!H$1),0),0)</f>
        <v>0</v>
      </c>
      <c r="P6148" s="30">
        <f>IFERROR(SUM(K6148:O6148)*VLOOKUP($A6148,HeadJournal!$A$1:$L$890,COLUMN(HeadJournal!H$1),0),0)</f>
        <v>0</v>
      </c>
      <c r="Q6148" s="29"/>
      <c r="R6148" s="31"/>
      <c r="S6148" s="31"/>
      <c r="T6148" s="95" t="str">
        <f t="shared" si="454"/>
        <v/>
      </c>
      <c r="U6148" s="32">
        <f t="shared" si="455"/>
        <v>0</v>
      </c>
      <c r="V6148" s="22" t="str">
        <f t="shared" si="456"/>
        <v/>
      </c>
      <c r="X6148" s="33"/>
      <c r="Y6148" s="33"/>
    </row>
    <row r="6149" spans="1:25" x14ac:dyDescent="0.2">
      <c r="A6149" s="93"/>
      <c r="B6149" s="94" t="str">
        <f>IFERROR(VLOOKUP($A6149,HeadJournal!$A$1:$NTR$890,COLUMN(HeadJournal!B$1),0),"")</f>
        <v/>
      </c>
      <c r="C6149" s="94" t="str">
        <f>IFERROR(VLOOKUP($A6149,HeadJournal!$A$1:$NTR$890,COLUMN(HeadJournal!C$1),0),"")</f>
        <v/>
      </c>
      <c r="D6149" s="125" t="str">
        <f>IFERROR(VLOOKUP($A6149,HeadJournal!$A$1:$NTR$890,COLUMN(HeadJournal!D$1),0),"")</f>
        <v/>
      </c>
      <c r="E6149" s="95" t="str">
        <f>IFERROR(VLOOKUP($A6149,HeadJournal!$A$1:$NTR$890,COLUMN(HeadJournal!G$1),0),"")</f>
        <v/>
      </c>
      <c r="F6149" s="95" t="str">
        <f t="shared" si="453"/>
        <v/>
      </c>
      <c r="G6149" s="97"/>
      <c r="H6149" s="161"/>
      <c r="I6149" s="97"/>
      <c r="J6149" s="97"/>
      <c r="K6149" s="29"/>
      <c r="L6149" s="29"/>
      <c r="M6149" s="30">
        <f>IFERROR(VLOOKUP($A6149,HeadJournal!$A$1:$J$890,COLUMN(HeadJournal!I$1),0)*($K6149+$L6149)/(SUMIF($A:$A,$A6149,$K:$K)+SUMIF($A:$A,$A6149,$L:$L)),0)</f>
        <v>0</v>
      </c>
      <c r="N6149" s="30">
        <f>IFERROR((VLOOKUP($A6149,HeadJournal!$A$1:$K$890,COLUMN(HeadJournal!K$1),0)-VLOOKUP($A6149,HeadJournal!$A$1:$K$890,COLUMN(HeadJournal!J$1),0))*($K6149+$L6149)/(SUMIF($A:$A,$A6149,$K:$K)+SUMIF($A:$A,$A6149,$L:$L)),0)</f>
        <v>0</v>
      </c>
      <c r="O6149" s="30">
        <f>IFERROR((VLOOKUP($A6149,HeadJournal!$A$1:$L$890,COLUMN(HeadJournal!L$1),0)*($K6149+$L6149)/(SUMIF($A:$A,$A6149,$K:$K)+SUMIF($A:$A,$A6149,$L:$L)))/VLOOKUP($A6149,HeadJournal!$A$1:$L$890,COLUMN(HeadJournal!H$1),0),0)</f>
        <v>0</v>
      </c>
      <c r="P6149" s="30">
        <f>IFERROR(SUM(K6149:O6149)*VLOOKUP($A6149,HeadJournal!$A$1:$L$890,COLUMN(HeadJournal!H$1),0),0)</f>
        <v>0</v>
      </c>
      <c r="Q6149" s="29"/>
      <c r="R6149" s="31"/>
      <c r="S6149" s="31"/>
      <c r="T6149" s="95" t="str">
        <f t="shared" si="454"/>
        <v/>
      </c>
      <c r="U6149" s="32">
        <f t="shared" si="455"/>
        <v>0</v>
      </c>
      <c r="V6149" s="22" t="str">
        <f t="shared" si="456"/>
        <v/>
      </c>
      <c r="X6149" s="33"/>
      <c r="Y6149" s="33"/>
    </row>
    <row r="6150" spans="1:25" x14ac:dyDescent="0.2">
      <c r="A6150" s="93"/>
      <c r="B6150" s="94" t="str">
        <f>IFERROR(VLOOKUP($A6150,HeadJournal!$A$1:$NTR$890,COLUMN(HeadJournal!B$1),0),"")</f>
        <v/>
      </c>
      <c r="C6150" s="94" t="str">
        <f>IFERROR(VLOOKUP($A6150,HeadJournal!$A$1:$NTR$890,COLUMN(HeadJournal!C$1),0),"")</f>
        <v/>
      </c>
      <c r="D6150" s="125" t="str">
        <f>IFERROR(VLOOKUP($A6150,HeadJournal!$A$1:$NTR$890,COLUMN(HeadJournal!D$1),0),"")</f>
        <v/>
      </c>
      <c r="E6150" s="95" t="str">
        <f>IFERROR(VLOOKUP($A6150,HeadJournal!$A$1:$NTR$890,COLUMN(HeadJournal!G$1),0),"")</f>
        <v/>
      </c>
      <c r="F6150" s="95" t="str">
        <f t="shared" si="453"/>
        <v/>
      </c>
      <c r="G6150" s="97"/>
      <c r="H6150" s="161"/>
      <c r="I6150" s="97"/>
      <c r="J6150" s="97"/>
      <c r="K6150" s="29"/>
      <c r="L6150" s="29"/>
      <c r="M6150" s="30">
        <f>IFERROR(VLOOKUP($A6150,HeadJournal!$A$1:$J$890,COLUMN(HeadJournal!I$1),0)*($K6150+$L6150)/(SUMIF($A:$A,$A6150,$K:$K)+SUMIF($A:$A,$A6150,$L:$L)),0)</f>
        <v>0</v>
      </c>
      <c r="N6150" s="30">
        <f>IFERROR((VLOOKUP($A6150,HeadJournal!$A$1:$K$890,COLUMN(HeadJournal!K$1),0)-VLOOKUP($A6150,HeadJournal!$A$1:$K$890,COLUMN(HeadJournal!J$1),0))*($K6150+$L6150)/(SUMIF($A:$A,$A6150,$K:$K)+SUMIF($A:$A,$A6150,$L:$L)),0)</f>
        <v>0</v>
      </c>
      <c r="O6150" s="30">
        <f>IFERROR((VLOOKUP($A6150,HeadJournal!$A$1:$L$890,COLUMN(HeadJournal!L$1),0)*($K6150+$L6150)/(SUMIF($A:$A,$A6150,$K:$K)+SUMIF($A:$A,$A6150,$L:$L)))/VLOOKUP($A6150,HeadJournal!$A$1:$L$890,COLUMN(HeadJournal!H$1),0),0)</f>
        <v>0</v>
      </c>
      <c r="P6150" s="30">
        <f>IFERROR(SUM(K6150:O6150)*VLOOKUP($A6150,HeadJournal!$A$1:$L$890,COLUMN(HeadJournal!H$1),0),0)</f>
        <v>0</v>
      </c>
      <c r="Q6150" s="29"/>
      <c r="R6150" s="31"/>
      <c r="S6150" s="31"/>
      <c r="T6150" s="95" t="str">
        <f t="shared" si="454"/>
        <v/>
      </c>
      <c r="U6150" s="32">
        <f t="shared" si="455"/>
        <v>0</v>
      </c>
      <c r="V6150" s="22" t="str">
        <f t="shared" si="456"/>
        <v/>
      </c>
      <c r="X6150" s="33"/>
      <c r="Y6150" s="33"/>
    </row>
    <row r="6151" spans="1:25" x14ac:dyDescent="0.2">
      <c r="A6151" s="93"/>
      <c r="B6151" s="94" t="str">
        <f>IFERROR(VLOOKUP($A6151,HeadJournal!$A$1:$NTR$890,COLUMN(HeadJournal!B$1),0),"")</f>
        <v/>
      </c>
      <c r="C6151" s="94" t="str">
        <f>IFERROR(VLOOKUP($A6151,HeadJournal!$A$1:$NTR$890,COLUMN(HeadJournal!C$1),0),"")</f>
        <v/>
      </c>
      <c r="D6151" s="125" t="str">
        <f>IFERROR(VLOOKUP($A6151,HeadJournal!$A$1:$NTR$890,COLUMN(HeadJournal!D$1),0),"")</f>
        <v/>
      </c>
      <c r="E6151" s="95" t="str">
        <f>IFERROR(VLOOKUP($A6151,HeadJournal!$A$1:$NTR$890,COLUMN(HeadJournal!G$1),0),"")</f>
        <v/>
      </c>
      <c r="F6151" s="95" t="str">
        <f t="shared" si="453"/>
        <v/>
      </c>
      <c r="G6151" s="97"/>
      <c r="H6151" s="161"/>
      <c r="I6151" s="97"/>
      <c r="J6151" s="97"/>
      <c r="K6151" s="29"/>
      <c r="L6151" s="29"/>
      <c r="M6151" s="30">
        <f>IFERROR(VLOOKUP($A6151,HeadJournal!$A$1:$J$890,COLUMN(HeadJournal!I$1),0)*($K6151+$L6151)/(SUMIF($A:$A,$A6151,$K:$K)+SUMIF($A:$A,$A6151,$L:$L)),0)</f>
        <v>0</v>
      </c>
      <c r="N6151" s="30">
        <f>IFERROR((VLOOKUP($A6151,HeadJournal!$A$1:$K$890,COLUMN(HeadJournal!K$1),0)-VLOOKUP($A6151,HeadJournal!$A$1:$K$890,COLUMN(HeadJournal!J$1),0))*($K6151+$L6151)/(SUMIF($A:$A,$A6151,$K:$K)+SUMIF($A:$A,$A6151,$L:$L)),0)</f>
        <v>0</v>
      </c>
      <c r="O6151" s="30">
        <f>IFERROR((VLOOKUP($A6151,HeadJournal!$A$1:$L$890,COLUMN(HeadJournal!L$1),0)*($K6151+$L6151)/(SUMIF($A:$A,$A6151,$K:$K)+SUMIF($A:$A,$A6151,$L:$L)))/VLOOKUP($A6151,HeadJournal!$A$1:$L$890,COLUMN(HeadJournal!H$1),0),0)</f>
        <v>0</v>
      </c>
      <c r="P6151" s="30">
        <f>IFERROR(SUM(K6151:O6151)*VLOOKUP($A6151,HeadJournal!$A$1:$L$890,COLUMN(HeadJournal!H$1),0),0)</f>
        <v>0</v>
      </c>
      <c r="Q6151" s="29"/>
      <c r="R6151" s="31"/>
      <c r="S6151" s="31"/>
      <c r="T6151" s="95" t="str">
        <f t="shared" si="454"/>
        <v/>
      </c>
      <c r="U6151" s="32">
        <f t="shared" si="455"/>
        <v>0</v>
      </c>
      <c r="V6151" s="22" t="str">
        <f t="shared" si="456"/>
        <v/>
      </c>
      <c r="X6151" s="33"/>
      <c r="Y6151" s="33"/>
    </row>
    <row r="6152" spans="1:25" x14ac:dyDescent="0.2">
      <c r="A6152" s="93"/>
      <c r="B6152" s="94" t="str">
        <f>IFERROR(VLOOKUP($A6152,HeadJournal!$A$1:$NTR$890,COLUMN(HeadJournal!B$1),0),"")</f>
        <v/>
      </c>
      <c r="C6152" s="94" t="str">
        <f>IFERROR(VLOOKUP($A6152,HeadJournal!$A$1:$NTR$890,COLUMN(HeadJournal!C$1),0),"")</f>
        <v/>
      </c>
      <c r="D6152" s="125" t="str">
        <f>IFERROR(VLOOKUP($A6152,HeadJournal!$A$1:$NTR$890,COLUMN(HeadJournal!D$1),0),"")</f>
        <v/>
      </c>
      <c r="E6152" s="95" t="str">
        <f>IFERROR(VLOOKUP($A6152,HeadJournal!$A$1:$NTR$890,COLUMN(HeadJournal!G$1),0),"")</f>
        <v/>
      </c>
      <c r="F6152" s="95" t="str">
        <f t="shared" si="453"/>
        <v/>
      </c>
      <c r="G6152" s="97"/>
      <c r="H6152" s="161"/>
      <c r="I6152" s="97"/>
      <c r="J6152" s="97"/>
      <c r="K6152" s="29"/>
      <c r="L6152" s="29"/>
      <c r="M6152" s="30">
        <f>IFERROR(VLOOKUP($A6152,HeadJournal!$A$1:$J$890,COLUMN(HeadJournal!I$1),0)*($K6152+$L6152)/(SUMIF($A:$A,$A6152,$K:$K)+SUMIF($A:$A,$A6152,$L:$L)),0)</f>
        <v>0</v>
      </c>
      <c r="N6152" s="30">
        <f>IFERROR((VLOOKUP($A6152,HeadJournal!$A$1:$K$890,COLUMN(HeadJournal!K$1),0)-VLOOKUP($A6152,HeadJournal!$A$1:$K$890,COLUMN(HeadJournal!J$1),0))*($K6152+$L6152)/(SUMIF($A:$A,$A6152,$K:$K)+SUMIF($A:$A,$A6152,$L:$L)),0)</f>
        <v>0</v>
      </c>
      <c r="O6152" s="30">
        <f>IFERROR((VLOOKUP($A6152,HeadJournal!$A$1:$L$890,COLUMN(HeadJournal!L$1),0)*($K6152+$L6152)/(SUMIF($A:$A,$A6152,$K:$K)+SUMIF($A:$A,$A6152,$L:$L)))/VLOOKUP($A6152,HeadJournal!$A$1:$L$890,COLUMN(HeadJournal!H$1),0),0)</f>
        <v>0</v>
      </c>
      <c r="P6152" s="30">
        <f>IFERROR(SUM(K6152:O6152)*VLOOKUP($A6152,HeadJournal!$A$1:$L$890,COLUMN(HeadJournal!H$1),0),0)</f>
        <v>0</v>
      </c>
      <c r="Q6152" s="29"/>
      <c r="R6152" s="31"/>
      <c r="S6152" s="31"/>
      <c r="T6152" s="95" t="str">
        <f t="shared" si="454"/>
        <v/>
      </c>
      <c r="U6152" s="32">
        <f t="shared" si="455"/>
        <v>0</v>
      </c>
      <c r="V6152" s="22" t="str">
        <f t="shared" si="456"/>
        <v/>
      </c>
      <c r="X6152" s="33"/>
      <c r="Y6152" s="33"/>
    </row>
    <row r="6153" spans="1:25" x14ac:dyDescent="0.2">
      <c r="A6153" s="93"/>
      <c r="B6153" s="94" t="str">
        <f>IFERROR(VLOOKUP($A6153,HeadJournal!$A$1:$NTR$890,COLUMN(HeadJournal!B$1),0),"")</f>
        <v/>
      </c>
      <c r="C6153" s="94" t="str">
        <f>IFERROR(VLOOKUP($A6153,HeadJournal!$A$1:$NTR$890,COLUMN(HeadJournal!C$1),0),"")</f>
        <v/>
      </c>
      <c r="D6153" s="125" t="str">
        <f>IFERROR(VLOOKUP($A6153,HeadJournal!$A$1:$NTR$890,COLUMN(HeadJournal!D$1),0),"")</f>
        <v/>
      </c>
      <c r="E6153" s="95" t="str">
        <f>IFERROR(VLOOKUP($A6153,HeadJournal!$A$1:$NTR$890,COLUMN(HeadJournal!G$1),0),"")</f>
        <v/>
      </c>
      <c r="F6153" s="95" t="str">
        <f t="shared" si="453"/>
        <v/>
      </c>
      <c r="G6153" s="97"/>
      <c r="H6153" s="161"/>
      <c r="I6153" s="97"/>
      <c r="J6153" s="97"/>
      <c r="K6153" s="29"/>
      <c r="L6153" s="29"/>
      <c r="M6153" s="30">
        <f>IFERROR(VLOOKUP($A6153,HeadJournal!$A$1:$J$890,COLUMN(HeadJournal!I$1),0)*($K6153+$L6153)/(SUMIF($A:$A,$A6153,$K:$K)+SUMIF($A:$A,$A6153,$L:$L)),0)</f>
        <v>0</v>
      </c>
      <c r="N6153" s="30">
        <f>IFERROR((VLOOKUP($A6153,HeadJournal!$A$1:$K$890,COLUMN(HeadJournal!K$1),0)-VLOOKUP($A6153,HeadJournal!$A$1:$K$890,COLUMN(HeadJournal!J$1),0))*($K6153+$L6153)/(SUMIF($A:$A,$A6153,$K:$K)+SUMIF($A:$A,$A6153,$L:$L)),0)</f>
        <v>0</v>
      </c>
      <c r="O6153" s="30">
        <f>IFERROR((VLOOKUP($A6153,HeadJournal!$A$1:$L$890,COLUMN(HeadJournal!L$1),0)*($K6153+$L6153)/(SUMIF($A:$A,$A6153,$K:$K)+SUMIF($A:$A,$A6153,$L:$L)))/VLOOKUP($A6153,HeadJournal!$A$1:$L$890,COLUMN(HeadJournal!H$1),0),0)</f>
        <v>0</v>
      </c>
      <c r="P6153" s="30">
        <f>IFERROR(SUM(K6153:O6153)*VLOOKUP($A6153,HeadJournal!$A$1:$L$890,COLUMN(HeadJournal!H$1),0),0)</f>
        <v>0</v>
      </c>
      <c r="Q6153" s="29"/>
      <c r="R6153" s="31"/>
      <c r="S6153" s="31"/>
      <c r="T6153" s="95" t="str">
        <f t="shared" si="454"/>
        <v/>
      </c>
      <c r="U6153" s="32">
        <f t="shared" si="455"/>
        <v>0</v>
      </c>
      <c r="V6153" s="22" t="str">
        <f t="shared" si="456"/>
        <v/>
      </c>
      <c r="X6153" s="33"/>
      <c r="Y6153" s="33"/>
    </row>
    <row r="6154" spans="1:25" x14ac:dyDescent="0.2">
      <c r="A6154" s="93"/>
      <c r="B6154" s="94" t="str">
        <f>IFERROR(VLOOKUP($A6154,HeadJournal!$A$1:$NTR$890,COLUMN(HeadJournal!B$1),0),"")</f>
        <v/>
      </c>
      <c r="C6154" s="94" t="str">
        <f>IFERROR(VLOOKUP($A6154,HeadJournal!$A$1:$NTR$890,COLUMN(HeadJournal!C$1),0),"")</f>
        <v/>
      </c>
      <c r="D6154" s="125" t="str">
        <f>IFERROR(VLOOKUP($A6154,HeadJournal!$A$1:$NTR$890,COLUMN(HeadJournal!D$1),0),"")</f>
        <v/>
      </c>
      <c r="E6154" s="95" t="str">
        <f>IFERROR(VLOOKUP($A6154,HeadJournal!$A$1:$NTR$890,COLUMN(HeadJournal!G$1),0),"")</f>
        <v/>
      </c>
      <c r="F6154" s="95" t="str">
        <f t="shared" si="453"/>
        <v/>
      </c>
      <c r="G6154" s="97"/>
      <c r="H6154" s="161"/>
      <c r="I6154" s="97"/>
      <c r="J6154" s="97"/>
      <c r="K6154" s="29"/>
      <c r="L6154" s="29"/>
      <c r="M6154" s="30">
        <f>IFERROR(VLOOKUP($A6154,HeadJournal!$A$1:$J$890,COLUMN(HeadJournal!I$1),0)*($K6154+$L6154)/(SUMIF($A:$A,$A6154,$K:$K)+SUMIF($A:$A,$A6154,$L:$L)),0)</f>
        <v>0</v>
      </c>
      <c r="N6154" s="30">
        <f>IFERROR((VLOOKUP($A6154,HeadJournal!$A$1:$K$890,COLUMN(HeadJournal!K$1),0)-VLOOKUP($A6154,HeadJournal!$A$1:$K$890,COLUMN(HeadJournal!J$1),0))*($K6154+$L6154)/(SUMIF($A:$A,$A6154,$K:$K)+SUMIF($A:$A,$A6154,$L:$L)),0)</f>
        <v>0</v>
      </c>
      <c r="O6154" s="30">
        <f>IFERROR((VLOOKUP($A6154,HeadJournal!$A$1:$L$890,COLUMN(HeadJournal!L$1),0)*($K6154+$L6154)/(SUMIF($A:$A,$A6154,$K:$K)+SUMIF($A:$A,$A6154,$L:$L)))/VLOOKUP($A6154,HeadJournal!$A$1:$L$890,COLUMN(HeadJournal!H$1),0),0)</f>
        <v>0</v>
      </c>
      <c r="P6154" s="30">
        <f>IFERROR(SUM(K6154:O6154)*VLOOKUP($A6154,HeadJournal!$A$1:$L$890,COLUMN(HeadJournal!H$1),0),0)</f>
        <v>0</v>
      </c>
      <c r="Q6154" s="29"/>
      <c r="R6154" s="31"/>
      <c r="S6154" s="31"/>
      <c r="T6154" s="95" t="str">
        <f t="shared" si="454"/>
        <v/>
      </c>
      <c r="U6154" s="32">
        <f t="shared" si="455"/>
        <v>0</v>
      </c>
      <c r="V6154" s="22" t="str">
        <f t="shared" si="456"/>
        <v/>
      </c>
      <c r="X6154" s="33"/>
      <c r="Y6154" s="33"/>
    </row>
    <row r="6155" spans="1:25" x14ac:dyDescent="0.2">
      <c r="A6155" s="93"/>
      <c r="B6155" s="94" t="str">
        <f>IFERROR(VLOOKUP($A6155,HeadJournal!$A$1:$NTR$890,COLUMN(HeadJournal!B$1),0),"")</f>
        <v/>
      </c>
      <c r="C6155" s="94" t="str">
        <f>IFERROR(VLOOKUP($A6155,HeadJournal!$A$1:$NTR$890,COLUMN(HeadJournal!C$1),0),"")</f>
        <v/>
      </c>
      <c r="D6155" s="125" t="str">
        <f>IFERROR(VLOOKUP($A6155,HeadJournal!$A$1:$NTR$890,COLUMN(HeadJournal!D$1),0),"")</f>
        <v/>
      </c>
      <c r="E6155" s="95" t="str">
        <f>IFERROR(VLOOKUP($A6155,HeadJournal!$A$1:$NTR$890,COLUMN(HeadJournal!G$1),0),"")</f>
        <v/>
      </c>
      <c r="F6155" s="95" t="str">
        <f t="shared" si="453"/>
        <v/>
      </c>
      <c r="G6155" s="97"/>
      <c r="H6155" s="161"/>
      <c r="I6155" s="97"/>
      <c r="J6155" s="97"/>
      <c r="K6155" s="29"/>
      <c r="L6155" s="29"/>
      <c r="M6155" s="30">
        <f>IFERROR(VLOOKUP($A6155,HeadJournal!$A$1:$J$890,COLUMN(HeadJournal!I$1),0)*($K6155+$L6155)/(SUMIF($A:$A,$A6155,$K:$K)+SUMIF($A:$A,$A6155,$L:$L)),0)</f>
        <v>0</v>
      </c>
      <c r="N6155" s="30">
        <f>IFERROR((VLOOKUP($A6155,HeadJournal!$A$1:$K$890,COLUMN(HeadJournal!K$1),0)-VLOOKUP($A6155,HeadJournal!$A$1:$K$890,COLUMN(HeadJournal!J$1),0))*($K6155+$L6155)/(SUMIF($A:$A,$A6155,$K:$K)+SUMIF($A:$A,$A6155,$L:$L)),0)</f>
        <v>0</v>
      </c>
      <c r="O6155" s="30">
        <f>IFERROR((VLOOKUP($A6155,HeadJournal!$A$1:$L$890,COLUMN(HeadJournal!L$1),0)*($K6155+$L6155)/(SUMIF($A:$A,$A6155,$K:$K)+SUMIF($A:$A,$A6155,$L:$L)))/VLOOKUP($A6155,HeadJournal!$A$1:$L$890,COLUMN(HeadJournal!H$1),0),0)</f>
        <v>0</v>
      </c>
      <c r="P6155" s="30">
        <f>IFERROR(SUM(K6155:O6155)*VLOOKUP($A6155,HeadJournal!$A$1:$L$890,COLUMN(HeadJournal!H$1),0),0)</f>
        <v>0</v>
      </c>
      <c r="Q6155" s="29"/>
      <c r="R6155" s="31"/>
      <c r="S6155" s="31"/>
      <c r="T6155" s="95" t="str">
        <f t="shared" si="454"/>
        <v/>
      </c>
      <c r="U6155" s="32">
        <f t="shared" si="455"/>
        <v>0</v>
      </c>
      <c r="V6155" s="22" t="str">
        <f t="shared" si="456"/>
        <v/>
      </c>
      <c r="X6155" s="33"/>
      <c r="Y6155" s="33"/>
    </row>
    <row r="6156" spans="1:25" x14ac:dyDescent="0.2">
      <c r="A6156" s="93"/>
      <c r="B6156" s="94" t="str">
        <f>IFERROR(VLOOKUP($A6156,HeadJournal!$A$1:$NTR$890,COLUMN(HeadJournal!B$1),0),"")</f>
        <v/>
      </c>
      <c r="C6156" s="94" t="str">
        <f>IFERROR(VLOOKUP($A6156,HeadJournal!$A$1:$NTR$890,COLUMN(HeadJournal!C$1),0),"")</f>
        <v/>
      </c>
      <c r="D6156" s="125" t="str">
        <f>IFERROR(VLOOKUP($A6156,HeadJournal!$A$1:$NTR$890,COLUMN(HeadJournal!D$1),0),"")</f>
        <v/>
      </c>
      <c r="E6156" s="95" t="str">
        <f>IFERROR(VLOOKUP($A6156,HeadJournal!$A$1:$NTR$890,COLUMN(HeadJournal!G$1),0),"")</f>
        <v/>
      </c>
      <c r="F6156" s="95" t="str">
        <f t="shared" si="453"/>
        <v/>
      </c>
      <c r="G6156" s="97"/>
      <c r="H6156" s="161"/>
      <c r="I6156" s="97"/>
      <c r="J6156" s="97"/>
      <c r="K6156" s="29"/>
      <c r="L6156" s="29"/>
      <c r="M6156" s="30">
        <f>IFERROR(VLOOKUP($A6156,HeadJournal!$A$1:$J$890,COLUMN(HeadJournal!I$1),0)*($K6156+$L6156)/(SUMIF($A:$A,$A6156,$K:$K)+SUMIF($A:$A,$A6156,$L:$L)),0)</f>
        <v>0</v>
      </c>
      <c r="N6156" s="30">
        <f>IFERROR((VLOOKUP($A6156,HeadJournal!$A$1:$K$890,COLUMN(HeadJournal!K$1),0)-VLOOKUP($A6156,HeadJournal!$A$1:$K$890,COLUMN(HeadJournal!J$1),0))*($K6156+$L6156)/(SUMIF($A:$A,$A6156,$K:$K)+SUMIF($A:$A,$A6156,$L:$L)),0)</f>
        <v>0</v>
      </c>
      <c r="O6156" s="30">
        <f>IFERROR((VLOOKUP($A6156,HeadJournal!$A$1:$L$890,COLUMN(HeadJournal!L$1),0)*($K6156+$L6156)/(SUMIF($A:$A,$A6156,$K:$K)+SUMIF($A:$A,$A6156,$L:$L)))/VLOOKUP($A6156,HeadJournal!$A$1:$L$890,COLUMN(HeadJournal!H$1),0),0)</f>
        <v>0</v>
      </c>
      <c r="P6156" s="30">
        <f>IFERROR(SUM(K6156:O6156)*VLOOKUP($A6156,HeadJournal!$A$1:$L$890,COLUMN(HeadJournal!H$1),0),0)</f>
        <v>0</v>
      </c>
      <c r="Q6156" s="29"/>
      <c r="R6156" s="31"/>
      <c r="S6156" s="31"/>
      <c r="T6156" s="95" t="str">
        <f t="shared" si="454"/>
        <v/>
      </c>
      <c r="U6156" s="32">
        <f t="shared" si="455"/>
        <v>0</v>
      </c>
      <c r="V6156" s="22" t="str">
        <f t="shared" si="456"/>
        <v/>
      </c>
      <c r="X6156" s="33"/>
      <c r="Y6156" s="33"/>
    </row>
    <row r="6157" spans="1:25" x14ac:dyDescent="0.2">
      <c r="A6157" s="93"/>
      <c r="B6157" s="94" t="str">
        <f>IFERROR(VLOOKUP($A6157,HeadJournal!$A$1:$NTR$890,COLUMN(HeadJournal!B$1),0),"")</f>
        <v/>
      </c>
      <c r="C6157" s="94" t="str">
        <f>IFERROR(VLOOKUP($A6157,HeadJournal!$A$1:$NTR$890,COLUMN(HeadJournal!C$1),0),"")</f>
        <v/>
      </c>
      <c r="D6157" s="125" t="str">
        <f>IFERROR(VLOOKUP($A6157,HeadJournal!$A$1:$NTR$890,COLUMN(HeadJournal!D$1),0),"")</f>
        <v/>
      </c>
      <c r="E6157" s="95" t="str">
        <f>IFERROR(VLOOKUP($A6157,HeadJournal!$A$1:$NTR$890,COLUMN(HeadJournal!G$1),0),"")</f>
        <v/>
      </c>
      <c r="F6157" s="95" t="str">
        <f t="shared" si="453"/>
        <v/>
      </c>
      <c r="G6157" s="97"/>
      <c r="H6157" s="161"/>
      <c r="I6157" s="97"/>
      <c r="J6157" s="97"/>
      <c r="K6157" s="29"/>
      <c r="L6157" s="29"/>
      <c r="M6157" s="30">
        <f>IFERROR(VLOOKUP($A6157,HeadJournal!$A$1:$J$890,COLUMN(HeadJournal!I$1),0)*($K6157+$L6157)/(SUMIF($A:$A,$A6157,$K:$K)+SUMIF($A:$A,$A6157,$L:$L)),0)</f>
        <v>0</v>
      </c>
      <c r="N6157" s="30">
        <f>IFERROR((VLOOKUP($A6157,HeadJournal!$A$1:$K$890,COLUMN(HeadJournal!K$1),0)-VLOOKUP($A6157,HeadJournal!$A$1:$K$890,COLUMN(HeadJournal!J$1),0))*($K6157+$L6157)/(SUMIF($A:$A,$A6157,$K:$K)+SUMIF($A:$A,$A6157,$L:$L)),0)</f>
        <v>0</v>
      </c>
      <c r="O6157" s="30">
        <f>IFERROR((VLOOKUP($A6157,HeadJournal!$A$1:$L$890,COLUMN(HeadJournal!L$1),0)*($K6157+$L6157)/(SUMIF($A:$A,$A6157,$K:$K)+SUMIF($A:$A,$A6157,$L:$L)))/VLOOKUP($A6157,HeadJournal!$A$1:$L$890,COLUMN(HeadJournal!H$1),0),0)</f>
        <v>0</v>
      </c>
      <c r="P6157" s="30">
        <f>IFERROR(SUM(K6157:O6157)*VLOOKUP($A6157,HeadJournal!$A$1:$L$890,COLUMN(HeadJournal!H$1),0),0)</f>
        <v>0</v>
      </c>
      <c r="Q6157" s="29"/>
      <c r="R6157" s="31"/>
      <c r="S6157" s="31"/>
      <c r="T6157" s="95" t="str">
        <f t="shared" si="454"/>
        <v/>
      </c>
      <c r="U6157" s="32">
        <f t="shared" si="455"/>
        <v>0</v>
      </c>
      <c r="V6157" s="22" t="str">
        <f t="shared" si="456"/>
        <v/>
      </c>
      <c r="X6157" s="33"/>
      <c r="Y6157" s="33"/>
    </row>
    <row r="6158" spans="1:25" x14ac:dyDescent="0.2">
      <c r="A6158" s="93"/>
      <c r="B6158" s="94" t="str">
        <f>IFERROR(VLOOKUP($A6158,HeadJournal!$A$1:$NTR$890,COLUMN(HeadJournal!B$1),0),"")</f>
        <v/>
      </c>
      <c r="C6158" s="94" t="str">
        <f>IFERROR(VLOOKUP($A6158,HeadJournal!$A$1:$NTR$890,COLUMN(HeadJournal!C$1),0),"")</f>
        <v/>
      </c>
      <c r="D6158" s="125" t="str">
        <f>IFERROR(VLOOKUP($A6158,HeadJournal!$A$1:$NTR$890,COLUMN(HeadJournal!D$1),0),"")</f>
        <v/>
      </c>
      <c r="E6158" s="95" t="str">
        <f>IFERROR(VLOOKUP($A6158,HeadJournal!$A$1:$NTR$890,COLUMN(HeadJournal!G$1),0),"")</f>
        <v/>
      </c>
      <c r="F6158" s="95" t="str">
        <f t="shared" si="453"/>
        <v/>
      </c>
      <c r="G6158" s="97"/>
      <c r="H6158" s="161"/>
      <c r="I6158" s="97"/>
      <c r="J6158" s="97"/>
      <c r="K6158" s="29"/>
      <c r="L6158" s="29"/>
      <c r="M6158" s="30">
        <f>IFERROR(VLOOKUP($A6158,HeadJournal!$A$1:$J$890,COLUMN(HeadJournal!I$1),0)*($K6158+$L6158)/(SUMIF($A:$A,$A6158,$K:$K)+SUMIF($A:$A,$A6158,$L:$L)),0)</f>
        <v>0</v>
      </c>
      <c r="N6158" s="30">
        <f>IFERROR((VLOOKUP($A6158,HeadJournal!$A$1:$K$890,COLUMN(HeadJournal!K$1),0)-VLOOKUP($A6158,HeadJournal!$A$1:$K$890,COLUMN(HeadJournal!J$1),0))*($K6158+$L6158)/(SUMIF($A:$A,$A6158,$K:$K)+SUMIF($A:$A,$A6158,$L:$L)),0)</f>
        <v>0</v>
      </c>
      <c r="O6158" s="30">
        <f>IFERROR((VLOOKUP($A6158,HeadJournal!$A$1:$L$890,COLUMN(HeadJournal!L$1),0)*($K6158+$L6158)/(SUMIF($A:$A,$A6158,$K:$K)+SUMIF($A:$A,$A6158,$L:$L)))/VLOOKUP($A6158,HeadJournal!$A$1:$L$890,COLUMN(HeadJournal!H$1),0),0)</f>
        <v>0</v>
      </c>
      <c r="P6158" s="30">
        <f>IFERROR(SUM(K6158:O6158)*VLOOKUP($A6158,HeadJournal!$A$1:$L$890,COLUMN(HeadJournal!H$1),0),0)</f>
        <v>0</v>
      </c>
      <c r="Q6158" s="29"/>
      <c r="R6158" s="31"/>
      <c r="S6158" s="31"/>
      <c r="T6158" s="95" t="str">
        <f t="shared" si="454"/>
        <v/>
      </c>
      <c r="U6158" s="32">
        <f t="shared" si="455"/>
        <v>0</v>
      </c>
      <c r="V6158" s="22" t="str">
        <f t="shared" si="456"/>
        <v/>
      </c>
      <c r="X6158" s="33"/>
      <c r="Y6158" s="33"/>
    </row>
    <row r="6159" spans="1:25" x14ac:dyDescent="0.2">
      <c r="A6159" s="93"/>
      <c r="B6159" s="94" t="str">
        <f>IFERROR(VLOOKUP($A6159,HeadJournal!$A$1:$NTR$890,COLUMN(HeadJournal!B$1),0),"")</f>
        <v/>
      </c>
      <c r="C6159" s="94" t="str">
        <f>IFERROR(VLOOKUP($A6159,HeadJournal!$A$1:$NTR$890,COLUMN(HeadJournal!C$1),0),"")</f>
        <v/>
      </c>
      <c r="D6159" s="125" t="str">
        <f>IFERROR(VLOOKUP($A6159,HeadJournal!$A$1:$NTR$890,COLUMN(HeadJournal!D$1),0),"")</f>
        <v/>
      </c>
      <c r="E6159" s="95" t="str">
        <f>IFERROR(VLOOKUP($A6159,HeadJournal!$A$1:$NTR$890,COLUMN(HeadJournal!G$1),0),"")</f>
        <v/>
      </c>
      <c r="F6159" s="95" t="str">
        <f t="shared" si="453"/>
        <v/>
      </c>
      <c r="G6159" s="97"/>
      <c r="H6159" s="161"/>
      <c r="I6159" s="97"/>
      <c r="J6159" s="97"/>
      <c r="K6159" s="29"/>
      <c r="L6159" s="29"/>
      <c r="M6159" s="30">
        <f>IFERROR(VLOOKUP($A6159,HeadJournal!$A$1:$J$890,COLUMN(HeadJournal!I$1),0)*($K6159+$L6159)/(SUMIF($A:$A,$A6159,$K:$K)+SUMIF($A:$A,$A6159,$L:$L)),0)</f>
        <v>0</v>
      </c>
      <c r="N6159" s="30">
        <f>IFERROR((VLOOKUP($A6159,HeadJournal!$A$1:$K$890,COLUMN(HeadJournal!K$1),0)-VLOOKUP($A6159,HeadJournal!$A$1:$K$890,COLUMN(HeadJournal!J$1),0))*($K6159+$L6159)/(SUMIF($A:$A,$A6159,$K:$K)+SUMIF($A:$A,$A6159,$L:$L)),0)</f>
        <v>0</v>
      </c>
      <c r="O6159" s="30">
        <f>IFERROR((VLOOKUP($A6159,HeadJournal!$A$1:$L$890,COLUMN(HeadJournal!L$1),0)*($K6159+$L6159)/(SUMIF($A:$A,$A6159,$K:$K)+SUMIF($A:$A,$A6159,$L:$L)))/VLOOKUP($A6159,HeadJournal!$A$1:$L$890,COLUMN(HeadJournal!H$1),0),0)</f>
        <v>0</v>
      </c>
      <c r="P6159" s="30">
        <f>IFERROR(SUM(K6159:O6159)*VLOOKUP($A6159,HeadJournal!$A$1:$L$890,COLUMN(HeadJournal!H$1),0),0)</f>
        <v>0</v>
      </c>
      <c r="Q6159" s="29"/>
      <c r="R6159" s="31"/>
      <c r="S6159" s="31"/>
      <c r="T6159" s="95" t="str">
        <f t="shared" si="454"/>
        <v/>
      </c>
      <c r="U6159" s="32">
        <f t="shared" si="455"/>
        <v>0</v>
      </c>
      <c r="V6159" s="22" t="str">
        <f t="shared" si="456"/>
        <v/>
      </c>
      <c r="X6159" s="33"/>
      <c r="Y6159" s="33"/>
    </row>
    <row r="6160" spans="1:25" x14ac:dyDescent="0.2">
      <c r="A6160" s="93"/>
      <c r="B6160" s="94" t="str">
        <f>IFERROR(VLOOKUP($A6160,HeadJournal!$A$1:$NTR$890,COLUMN(HeadJournal!B$1),0),"")</f>
        <v/>
      </c>
      <c r="C6160" s="94" t="str">
        <f>IFERROR(VLOOKUP($A6160,HeadJournal!$A$1:$NTR$890,COLUMN(HeadJournal!C$1),0),"")</f>
        <v/>
      </c>
      <c r="D6160" s="125" t="str">
        <f>IFERROR(VLOOKUP($A6160,HeadJournal!$A$1:$NTR$890,COLUMN(HeadJournal!D$1),0),"")</f>
        <v/>
      </c>
      <c r="E6160" s="95" t="str">
        <f>IFERROR(VLOOKUP($A6160,HeadJournal!$A$1:$NTR$890,COLUMN(HeadJournal!G$1),0),"")</f>
        <v/>
      </c>
      <c r="F6160" s="95" t="str">
        <f t="shared" si="453"/>
        <v/>
      </c>
      <c r="G6160" s="97"/>
      <c r="H6160" s="161"/>
      <c r="I6160" s="97"/>
      <c r="J6160" s="97"/>
      <c r="K6160" s="29"/>
      <c r="L6160" s="29"/>
      <c r="M6160" s="30">
        <f>IFERROR(VLOOKUP($A6160,HeadJournal!$A$1:$J$890,COLUMN(HeadJournal!I$1),0)*($K6160+$L6160)/(SUMIF($A:$A,$A6160,$K:$K)+SUMIF($A:$A,$A6160,$L:$L)),0)</f>
        <v>0</v>
      </c>
      <c r="N6160" s="30">
        <f>IFERROR((VLOOKUP($A6160,HeadJournal!$A$1:$K$890,COLUMN(HeadJournal!K$1),0)-VLOOKUP($A6160,HeadJournal!$A$1:$K$890,COLUMN(HeadJournal!J$1),0))*($K6160+$L6160)/(SUMIF($A:$A,$A6160,$K:$K)+SUMIF($A:$A,$A6160,$L:$L)),0)</f>
        <v>0</v>
      </c>
      <c r="O6160" s="30">
        <f>IFERROR((VLOOKUP($A6160,HeadJournal!$A$1:$L$890,COLUMN(HeadJournal!L$1),0)*($K6160+$L6160)/(SUMIF($A:$A,$A6160,$K:$K)+SUMIF($A:$A,$A6160,$L:$L)))/VLOOKUP($A6160,HeadJournal!$A$1:$L$890,COLUMN(HeadJournal!H$1),0),0)</f>
        <v>0</v>
      </c>
      <c r="P6160" s="30">
        <f>IFERROR(SUM(K6160:O6160)*VLOOKUP($A6160,HeadJournal!$A$1:$L$890,COLUMN(HeadJournal!H$1),0),0)</f>
        <v>0</v>
      </c>
      <c r="Q6160" s="29"/>
      <c r="R6160" s="31"/>
      <c r="S6160" s="31"/>
      <c r="T6160" s="95" t="str">
        <f t="shared" si="454"/>
        <v/>
      </c>
      <c r="U6160" s="32">
        <f t="shared" si="455"/>
        <v>0</v>
      </c>
      <c r="V6160" s="22" t="str">
        <f t="shared" si="456"/>
        <v/>
      </c>
      <c r="X6160" s="33"/>
      <c r="Y6160" s="33"/>
    </row>
    <row r="6161" spans="1:25" x14ac:dyDescent="0.2">
      <c r="A6161" s="93"/>
      <c r="B6161" s="94" t="str">
        <f>IFERROR(VLOOKUP($A6161,HeadJournal!$A$1:$NTR$890,COLUMN(HeadJournal!B$1),0),"")</f>
        <v/>
      </c>
      <c r="C6161" s="94" t="str">
        <f>IFERROR(VLOOKUP($A6161,HeadJournal!$A$1:$NTR$890,COLUMN(HeadJournal!C$1),0),"")</f>
        <v/>
      </c>
      <c r="D6161" s="125" t="str">
        <f>IFERROR(VLOOKUP($A6161,HeadJournal!$A$1:$NTR$890,COLUMN(HeadJournal!D$1),0),"")</f>
        <v/>
      </c>
      <c r="E6161" s="95" t="str">
        <f>IFERROR(VLOOKUP($A6161,HeadJournal!$A$1:$NTR$890,COLUMN(HeadJournal!G$1),0),"")</f>
        <v/>
      </c>
      <c r="F6161" s="95" t="str">
        <f t="shared" si="453"/>
        <v/>
      </c>
      <c r="G6161" s="97"/>
      <c r="H6161" s="161"/>
      <c r="I6161" s="97"/>
      <c r="J6161" s="97"/>
      <c r="K6161" s="29"/>
      <c r="L6161" s="29"/>
      <c r="M6161" s="30">
        <f>IFERROR(VLOOKUP($A6161,HeadJournal!$A$1:$J$890,COLUMN(HeadJournal!I$1),0)*($K6161+$L6161)/(SUMIF($A:$A,$A6161,$K:$K)+SUMIF($A:$A,$A6161,$L:$L)),0)</f>
        <v>0</v>
      </c>
      <c r="N6161" s="30">
        <f>IFERROR((VLOOKUP($A6161,HeadJournal!$A$1:$K$890,COLUMN(HeadJournal!K$1),0)-VLOOKUP($A6161,HeadJournal!$A$1:$K$890,COLUMN(HeadJournal!J$1),0))*($K6161+$L6161)/(SUMIF($A:$A,$A6161,$K:$K)+SUMIF($A:$A,$A6161,$L:$L)),0)</f>
        <v>0</v>
      </c>
      <c r="O6161" s="30">
        <f>IFERROR((VLOOKUP($A6161,HeadJournal!$A$1:$L$890,COLUMN(HeadJournal!L$1),0)*($K6161+$L6161)/(SUMIF($A:$A,$A6161,$K:$K)+SUMIF($A:$A,$A6161,$L:$L)))/VLOOKUP($A6161,HeadJournal!$A$1:$L$890,COLUMN(HeadJournal!H$1),0),0)</f>
        <v>0</v>
      </c>
      <c r="P6161" s="30">
        <f>IFERROR(SUM(K6161:O6161)*VLOOKUP($A6161,HeadJournal!$A$1:$L$890,COLUMN(HeadJournal!H$1),0),0)</f>
        <v>0</v>
      </c>
      <c r="Q6161" s="29"/>
      <c r="R6161" s="31"/>
      <c r="S6161" s="31"/>
      <c r="T6161" s="95" t="str">
        <f t="shared" si="454"/>
        <v/>
      </c>
      <c r="U6161" s="32">
        <f t="shared" si="455"/>
        <v>0</v>
      </c>
      <c r="V6161" s="22" t="str">
        <f t="shared" si="456"/>
        <v/>
      </c>
      <c r="X6161" s="33"/>
      <c r="Y6161" s="33"/>
    </row>
    <row r="6162" spans="1:25" x14ac:dyDescent="0.2">
      <c r="A6162" s="93"/>
      <c r="B6162" s="94" t="str">
        <f>IFERROR(VLOOKUP($A6162,HeadJournal!$A$1:$NTR$890,COLUMN(HeadJournal!B$1),0),"")</f>
        <v/>
      </c>
      <c r="C6162" s="94" t="str">
        <f>IFERROR(VLOOKUP($A6162,HeadJournal!$A$1:$NTR$890,COLUMN(HeadJournal!C$1),0),"")</f>
        <v/>
      </c>
      <c r="D6162" s="125" t="str">
        <f>IFERROR(VLOOKUP($A6162,HeadJournal!$A$1:$NTR$890,COLUMN(HeadJournal!D$1),0),"")</f>
        <v/>
      </c>
      <c r="E6162" s="95" t="str">
        <f>IFERROR(VLOOKUP($A6162,HeadJournal!$A$1:$NTR$890,COLUMN(HeadJournal!G$1),0),"")</f>
        <v/>
      </c>
      <c r="F6162" s="95" t="str">
        <f t="shared" si="453"/>
        <v/>
      </c>
      <c r="G6162" s="97"/>
      <c r="H6162" s="161"/>
      <c r="I6162" s="97"/>
      <c r="J6162" s="97"/>
      <c r="K6162" s="29"/>
      <c r="L6162" s="29"/>
      <c r="M6162" s="30">
        <f>IFERROR(VLOOKUP($A6162,HeadJournal!$A$1:$J$890,COLUMN(HeadJournal!I$1),0)*($K6162+$L6162)/(SUMIF($A:$A,$A6162,$K:$K)+SUMIF($A:$A,$A6162,$L:$L)),0)</f>
        <v>0</v>
      </c>
      <c r="N6162" s="30">
        <f>IFERROR((VLOOKUP($A6162,HeadJournal!$A$1:$K$890,COLUMN(HeadJournal!K$1),0)-VLOOKUP($A6162,HeadJournal!$A$1:$K$890,COLUMN(HeadJournal!J$1),0))*($K6162+$L6162)/(SUMIF($A:$A,$A6162,$K:$K)+SUMIF($A:$A,$A6162,$L:$L)),0)</f>
        <v>0</v>
      </c>
      <c r="O6162" s="30">
        <f>IFERROR((VLOOKUP($A6162,HeadJournal!$A$1:$L$890,COLUMN(HeadJournal!L$1),0)*($K6162+$L6162)/(SUMIF($A:$A,$A6162,$K:$K)+SUMIF($A:$A,$A6162,$L:$L)))/VLOOKUP($A6162,HeadJournal!$A$1:$L$890,COLUMN(HeadJournal!H$1),0),0)</f>
        <v>0</v>
      </c>
      <c r="P6162" s="30">
        <f>IFERROR(SUM(K6162:O6162)*VLOOKUP($A6162,HeadJournal!$A$1:$L$890,COLUMN(HeadJournal!H$1),0),0)</f>
        <v>0</v>
      </c>
      <c r="Q6162" s="29"/>
      <c r="R6162" s="31"/>
      <c r="S6162" s="31"/>
      <c r="T6162" s="95" t="str">
        <f t="shared" si="454"/>
        <v/>
      </c>
      <c r="U6162" s="32">
        <f t="shared" si="455"/>
        <v>0</v>
      </c>
      <c r="V6162" s="22" t="str">
        <f t="shared" si="456"/>
        <v/>
      </c>
      <c r="X6162" s="33"/>
      <c r="Y6162" s="33"/>
    </row>
    <row r="6163" spans="1:25" x14ac:dyDescent="0.2">
      <c r="A6163" s="93"/>
      <c r="B6163" s="94" t="str">
        <f>IFERROR(VLOOKUP($A6163,HeadJournal!$A$1:$NTR$890,COLUMN(HeadJournal!B$1),0),"")</f>
        <v/>
      </c>
      <c r="C6163" s="94" t="str">
        <f>IFERROR(VLOOKUP($A6163,HeadJournal!$A$1:$NTR$890,COLUMN(HeadJournal!C$1),0),"")</f>
        <v/>
      </c>
      <c r="D6163" s="125" t="str">
        <f>IFERROR(VLOOKUP($A6163,HeadJournal!$A$1:$NTR$890,COLUMN(HeadJournal!D$1),0),"")</f>
        <v/>
      </c>
      <c r="E6163" s="95" t="str">
        <f>IFERROR(VLOOKUP($A6163,HeadJournal!$A$1:$NTR$890,COLUMN(HeadJournal!G$1),0),"")</f>
        <v/>
      </c>
      <c r="F6163" s="95" t="str">
        <f t="shared" si="453"/>
        <v/>
      </c>
      <c r="G6163" s="97"/>
      <c r="H6163" s="161"/>
      <c r="I6163" s="97"/>
      <c r="J6163" s="97"/>
      <c r="K6163" s="29"/>
      <c r="L6163" s="29"/>
      <c r="M6163" s="30">
        <f>IFERROR(VLOOKUP($A6163,HeadJournal!$A$1:$J$890,COLUMN(HeadJournal!I$1),0)*($K6163+$L6163)/(SUMIF($A:$A,$A6163,$K:$K)+SUMIF($A:$A,$A6163,$L:$L)),0)</f>
        <v>0</v>
      </c>
      <c r="N6163" s="30">
        <f>IFERROR((VLOOKUP($A6163,HeadJournal!$A$1:$K$890,COLUMN(HeadJournal!K$1),0)-VLOOKUP($A6163,HeadJournal!$A$1:$K$890,COLUMN(HeadJournal!J$1),0))*($K6163+$L6163)/(SUMIF($A:$A,$A6163,$K:$K)+SUMIF($A:$A,$A6163,$L:$L)),0)</f>
        <v>0</v>
      </c>
      <c r="O6163" s="30">
        <f>IFERROR((VLOOKUP($A6163,HeadJournal!$A$1:$L$890,COLUMN(HeadJournal!L$1),0)*($K6163+$L6163)/(SUMIF($A:$A,$A6163,$K:$K)+SUMIF($A:$A,$A6163,$L:$L)))/VLOOKUP($A6163,HeadJournal!$A$1:$L$890,COLUMN(HeadJournal!H$1),0),0)</f>
        <v>0</v>
      </c>
      <c r="P6163" s="30">
        <f>IFERROR(SUM(K6163:O6163)*VLOOKUP($A6163,HeadJournal!$A$1:$L$890,COLUMN(HeadJournal!H$1),0),0)</f>
        <v>0</v>
      </c>
      <c r="Q6163" s="29"/>
      <c r="R6163" s="31"/>
      <c r="S6163" s="31"/>
      <c r="T6163" s="95" t="str">
        <f t="shared" si="454"/>
        <v/>
      </c>
      <c r="U6163" s="32">
        <f t="shared" si="455"/>
        <v>0</v>
      </c>
      <c r="V6163" s="22" t="str">
        <f t="shared" si="456"/>
        <v/>
      </c>
      <c r="X6163" s="33"/>
      <c r="Y6163" s="33"/>
    </row>
    <row r="6164" spans="1:25" x14ac:dyDescent="0.2">
      <c r="A6164" s="93"/>
      <c r="B6164" s="94" t="str">
        <f>IFERROR(VLOOKUP($A6164,HeadJournal!$A$1:$NTR$890,COLUMN(HeadJournal!B$1),0),"")</f>
        <v/>
      </c>
      <c r="C6164" s="94" t="str">
        <f>IFERROR(VLOOKUP($A6164,HeadJournal!$A$1:$NTR$890,COLUMN(HeadJournal!C$1),0),"")</f>
        <v/>
      </c>
      <c r="D6164" s="125" t="str">
        <f>IFERROR(VLOOKUP($A6164,HeadJournal!$A$1:$NTR$890,COLUMN(HeadJournal!D$1),0),"")</f>
        <v/>
      </c>
      <c r="E6164" s="95" t="str">
        <f>IFERROR(VLOOKUP($A6164,HeadJournal!$A$1:$NTR$890,COLUMN(HeadJournal!G$1),0),"")</f>
        <v/>
      </c>
      <c r="F6164" s="95" t="str">
        <f t="shared" si="453"/>
        <v/>
      </c>
      <c r="G6164" s="97"/>
      <c r="H6164" s="161"/>
      <c r="I6164" s="97"/>
      <c r="J6164" s="97"/>
      <c r="K6164" s="29"/>
      <c r="L6164" s="29"/>
      <c r="M6164" s="30">
        <f>IFERROR(VLOOKUP($A6164,HeadJournal!$A$1:$J$890,COLUMN(HeadJournal!I$1),0)*($K6164+$L6164)/(SUMIF($A:$A,$A6164,$K:$K)+SUMIF($A:$A,$A6164,$L:$L)),0)</f>
        <v>0</v>
      </c>
      <c r="N6164" s="30">
        <f>IFERROR((VLOOKUP($A6164,HeadJournal!$A$1:$K$890,COLUMN(HeadJournal!K$1),0)-VLOOKUP($A6164,HeadJournal!$A$1:$K$890,COLUMN(HeadJournal!J$1),0))*($K6164+$L6164)/(SUMIF($A:$A,$A6164,$K:$K)+SUMIF($A:$A,$A6164,$L:$L)),0)</f>
        <v>0</v>
      </c>
      <c r="O6164" s="30">
        <f>IFERROR((VLOOKUP($A6164,HeadJournal!$A$1:$L$890,COLUMN(HeadJournal!L$1),0)*($K6164+$L6164)/(SUMIF($A:$A,$A6164,$K:$K)+SUMIF($A:$A,$A6164,$L:$L)))/VLOOKUP($A6164,HeadJournal!$A$1:$L$890,COLUMN(HeadJournal!H$1),0),0)</f>
        <v>0</v>
      </c>
      <c r="P6164" s="30">
        <f>IFERROR(SUM(K6164:O6164)*VLOOKUP($A6164,HeadJournal!$A$1:$L$890,COLUMN(HeadJournal!H$1),0),0)</f>
        <v>0</v>
      </c>
      <c r="Q6164" s="29"/>
      <c r="R6164" s="31"/>
      <c r="S6164" s="31"/>
      <c r="T6164" s="95" t="str">
        <f t="shared" si="454"/>
        <v/>
      </c>
      <c r="U6164" s="32">
        <f t="shared" si="455"/>
        <v>0</v>
      </c>
      <c r="V6164" s="22" t="str">
        <f t="shared" si="456"/>
        <v/>
      </c>
      <c r="X6164" s="33"/>
      <c r="Y6164" s="33"/>
    </row>
    <row r="6165" spans="1:25" x14ac:dyDescent="0.2">
      <c r="A6165" s="93"/>
      <c r="B6165" s="94" t="str">
        <f>IFERROR(VLOOKUP($A6165,HeadJournal!$A$1:$NTR$890,COLUMN(HeadJournal!B$1),0),"")</f>
        <v/>
      </c>
      <c r="C6165" s="94" t="str">
        <f>IFERROR(VLOOKUP($A6165,HeadJournal!$A$1:$NTR$890,COLUMN(HeadJournal!C$1),0),"")</f>
        <v/>
      </c>
      <c r="D6165" s="125" t="str">
        <f>IFERROR(VLOOKUP($A6165,HeadJournal!$A$1:$NTR$890,COLUMN(HeadJournal!D$1),0),"")</f>
        <v/>
      </c>
      <c r="E6165" s="95" t="str">
        <f>IFERROR(VLOOKUP($A6165,HeadJournal!$A$1:$NTR$890,COLUMN(HeadJournal!G$1),0),"")</f>
        <v/>
      </c>
      <c r="F6165" s="95" t="str">
        <f t="shared" si="453"/>
        <v/>
      </c>
      <c r="G6165" s="97"/>
      <c r="H6165" s="161"/>
      <c r="I6165" s="97"/>
      <c r="J6165" s="97"/>
      <c r="K6165" s="29"/>
      <c r="L6165" s="29"/>
      <c r="M6165" s="30">
        <f>IFERROR(VLOOKUP($A6165,HeadJournal!$A$1:$J$890,COLUMN(HeadJournal!I$1),0)*($K6165+$L6165)/(SUMIF($A:$A,$A6165,$K:$K)+SUMIF($A:$A,$A6165,$L:$L)),0)</f>
        <v>0</v>
      </c>
      <c r="N6165" s="30">
        <f>IFERROR((VLOOKUP($A6165,HeadJournal!$A$1:$K$890,COLUMN(HeadJournal!K$1),0)-VLOOKUP($A6165,HeadJournal!$A$1:$K$890,COLUMN(HeadJournal!J$1),0))*($K6165+$L6165)/(SUMIF($A:$A,$A6165,$K:$K)+SUMIF($A:$A,$A6165,$L:$L)),0)</f>
        <v>0</v>
      </c>
      <c r="O6165" s="30">
        <f>IFERROR((VLOOKUP($A6165,HeadJournal!$A$1:$L$890,COLUMN(HeadJournal!L$1),0)*($K6165+$L6165)/(SUMIF($A:$A,$A6165,$K:$K)+SUMIF($A:$A,$A6165,$L:$L)))/VLOOKUP($A6165,HeadJournal!$A$1:$L$890,COLUMN(HeadJournal!H$1),0),0)</f>
        <v>0</v>
      </c>
      <c r="P6165" s="30">
        <f>IFERROR(SUM(K6165:O6165)*VLOOKUP($A6165,HeadJournal!$A$1:$L$890,COLUMN(HeadJournal!H$1),0),0)</f>
        <v>0</v>
      </c>
      <c r="Q6165" s="29"/>
      <c r="R6165" s="31"/>
      <c r="S6165" s="31"/>
      <c r="T6165" s="95" t="str">
        <f t="shared" si="454"/>
        <v/>
      </c>
      <c r="U6165" s="32">
        <f t="shared" si="455"/>
        <v>0</v>
      </c>
      <c r="V6165" s="22" t="str">
        <f t="shared" si="456"/>
        <v/>
      </c>
      <c r="X6165" s="33"/>
      <c r="Y6165" s="33"/>
    </row>
    <row r="6166" spans="1:25" x14ac:dyDescent="0.2">
      <c r="A6166" s="93"/>
      <c r="B6166" s="94" t="str">
        <f>IFERROR(VLOOKUP($A6166,HeadJournal!$A$1:$NTR$890,COLUMN(HeadJournal!B$1),0),"")</f>
        <v/>
      </c>
      <c r="C6166" s="94" t="str">
        <f>IFERROR(VLOOKUP($A6166,HeadJournal!$A$1:$NTR$890,COLUMN(HeadJournal!C$1),0),"")</f>
        <v/>
      </c>
      <c r="D6166" s="125" t="str">
        <f>IFERROR(VLOOKUP($A6166,HeadJournal!$A$1:$NTR$890,COLUMN(HeadJournal!D$1),0),"")</f>
        <v/>
      </c>
      <c r="E6166" s="95" t="str">
        <f>IFERROR(VLOOKUP($A6166,HeadJournal!$A$1:$NTR$890,COLUMN(HeadJournal!G$1),0),"")</f>
        <v/>
      </c>
      <c r="F6166" s="95" t="str">
        <f t="shared" si="453"/>
        <v/>
      </c>
      <c r="G6166" s="97"/>
      <c r="H6166" s="161"/>
      <c r="I6166" s="97"/>
      <c r="J6166" s="97"/>
      <c r="K6166" s="29"/>
      <c r="L6166" s="29"/>
      <c r="M6166" s="30">
        <f>IFERROR(VLOOKUP($A6166,HeadJournal!$A$1:$J$890,COLUMN(HeadJournal!I$1),0)*($K6166+$L6166)/(SUMIF($A:$A,$A6166,$K:$K)+SUMIF($A:$A,$A6166,$L:$L)),0)</f>
        <v>0</v>
      </c>
      <c r="N6166" s="30">
        <f>IFERROR((VLOOKUP($A6166,HeadJournal!$A$1:$K$890,COLUMN(HeadJournal!K$1),0)-VLOOKUP($A6166,HeadJournal!$A$1:$K$890,COLUMN(HeadJournal!J$1),0))*($K6166+$L6166)/(SUMIF($A:$A,$A6166,$K:$K)+SUMIF($A:$A,$A6166,$L:$L)),0)</f>
        <v>0</v>
      </c>
      <c r="O6166" s="30">
        <f>IFERROR((VLOOKUP($A6166,HeadJournal!$A$1:$L$890,COLUMN(HeadJournal!L$1),0)*($K6166+$L6166)/(SUMIF($A:$A,$A6166,$K:$K)+SUMIF($A:$A,$A6166,$L:$L)))/VLOOKUP($A6166,HeadJournal!$A$1:$L$890,COLUMN(HeadJournal!H$1),0),0)</f>
        <v>0</v>
      </c>
      <c r="P6166" s="30">
        <f>IFERROR(SUM(K6166:O6166)*VLOOKUP($A6166,HeadJournal!$A$1:$L$890,COLUMN(HeadJournal!H$1),0),0)</f>
        <v>0</v>
      </c>
      <c r="Q6166" s="29"/>
      <c r="R6166" s="31"/>
      <c r="S6166" s="31"/>
      <c r="T6166" s="95" t="str">
        <f t="shared" si="454"/>
        <v/>
      </c>
      <c r="U6166" s="32">
        <f t="shared" si="455"/>
        <v>0</v>
      </c>
      <c r="V6166" s="22" t="str">
        <f t="shared" si="456"/>
        <v/>
      </c>
      <c r="X6166" s="33"/>
      <c r="Y6166" s="33"/>
    </row>
    <row r="6167" spans="1:25" x14ac:dyDescent="0.2">
      <c r="A6167" s="93"/>
      <c r="B6167" s="94" t="str">
        <f>IFERROR(VLOOKUP($A6167,HeadJournal!$A$1:$NTR$890,COLUMN(HeadJournal!B$1),0),"")</f>
        <v/>
      </c>
      <c r="C6167" s="94" t="str">
        <f>IFERROR(VLOOKUP($A6167,HeadJournal!$A$1:$NTR$890,COLUMN(HeadJournal!C$1),0),"")</f>
        <v/>
      </c>
      <c r="D6167" s="125" t="str">
        <f>IFERROR(VLOOKUP($A6167,HeadJournal!$A$1:$NTR$890,COLUMN(HeadJournal!D$1),0),"")</f>
        <v/>
      </c>
      <c r="E6167" s="95" t="str">
        <f>IFERROR(VLOOKUP($A6167,HeadJournal!$A$1:$NTR$890,COLUMN(HeadJournal!G$1),0),"")</f>
        <v/>
      </c>
      <c r="F6167" s="95" t="str">
        <f t="shared" si="453"/>
        <v/>
      </c>
      <c r="G6167" s="97"/>
      <c r="H6167" s="161"/>
      <c r="I6167" s="97"/>
      <c r="J6167" s="97"/>
      <c r="K6167" s="29"/>
      <c r="L6167" s="29"/>
      <c r="M6167" s="30">
        <f>IFERROR(VLOOKUP($A6167,HeadJournal!$A$1:$J$890,COLUMN(HeadJournal!I$1),0)*($K6167+$L6167)/(SUMIF($A:$A,$A6167,$K:$K)+SUMIF($A:$A,$A6167,$L:$L)),0)</f>
        <v>0</v>
      </c>
      <c r="N6167" s="30">
        <f>IFERROR((VLOOKUP($A6167,HeadJournal!$A$1:$K$890,COLUMN(HeadJournal!K$1),0)-VLOOKUP($A6167,HeadJournal!$A$1:$K$890,COLUMN(HeadJournal!J$1),0))*($K6167+$L6167)/(SUMIF($A:$A,$A6167,$K:$K)+SUMIF($A:$A,$A6167,$L:$L)),0)</f>
        <v>0</v>
      </c>
      <c r="O6167" s="30">
        <f>IFERROR((VLOOKUP($A6167,HeadJournal!$A$1:$L$890,COLUMN(HeadJournal!L$1),0)*($K6167+$L6167)/(SUMIF($A:$A,$A6167,$K:$K)+SUMIF($A:$A,$A6167,$L:$L)))/VLOOKUP($A6167,HeadJournal!$A$1:$L$890,COLUMN(HeadJournal!H$1),0),0)</f>
        <v>0</v>
      </c>
      <c r="P6167" s="30">
        <f>IFERROR(SUM(K6167:O6167)*VLOOKUP($A6167,HeadJournal!$A$1:$L$890,COLUMN(HeadJournal!H$1),0),0)</f>
        <v>0</v>
      </c>
      <c r="Q6167" s="29"/>
      <c r="R6167" s="31"/>
      <c r="S6167" s="31"/>
      <c r="T6167" s="95" t="str">
        <f t="shared" si="454"/>
        <v/>
      </c>
      <c r="U6167" s="32">
        <f t="shared" si="455"/>
        <v>0</v>
      </c>
      <c r="V6167" s="22" t="str">
        <f t="shared" si="456"/>
        <v/>
      </c>
      <c r="X6167" s="33"/>
      <c r="Y6167" s="33"/>
    </row>
    <row r="6168" spans="1:25" x14ac:dyDescent="0.2">
      <c r="A6168" s="93"/>
      <c r="B6168" s="94" t="str">
        <f>IFERROR(VLOOKUP($A6168,HeadJournal!$A$1:$NTR$890,COLUMN(HeadJournal!B$1),0),"")</f>
        <v/>
      </c>
      <c r="C6168" s="94" t="str">
        <f>IFERROR(VLOOKUP($A6168,HeadJournal!$A$1:$NTR$890,COLUMN(HeadJournal!C$1),0),"")</f>
        <v/>
      </c>
      <c r="D6168" s="125" t="str">
        <f>IFERROR(VLOOKUP($A6168,HeadJournal!$A$1:$NTR$890,COLUMN(HeadJournal!D$1),0),"")</f>
        <v/>
      </c>
      <c r="E6168" s="95" t="str">
        <f>IFERROR(VLOOKUP($A6168,HeadJournal!$A$1:$NTR$890,COLUMN(HeadJournal!G$1),0),"")</f>
        <v/>
      </c>
      <c r="F6168" s="95" t="str">
        <f t="shared" si="453"/>
        <v/>
      </c>
      <c r="G6168" s="97"/>
      <c r="H6168" s="161"/>
      <c r="I6168" s="97"/>
      <c r="J6168" s="97"/>
      <c r="K6168" s="29"/>
      <c r="L6168" s="29"/>
      <c r="M6168" s="30">
        <f>IFERROR(VLOOKUP($A6168,HeadJournal!$A$1:$J$890,COLUMN(HeadJournal!I$1),0)*($K6168+$L6168)/(SUMIF($A:$A,$A6168,$K:$K)+SUMIF($A:$A,$A6168,$L:$L)),0)</f>
        <v>0</v>
      </c>
      <c r="N6168" s="30">
        <f>IFERROR((VLOOKUP($A6168,HeadJournal!$A$1:$K$890,COLUMN(HeadJournal!K$1),0)-VLOOKUP($A6168,HeadJournal!$A$1:$K$890,COLUMN(HeadJournal!J$1),0))*($K6168+$L6168)/(SUMIF($A:$A,$A6168,$K:$K)+SUMIF($A:$A,$A6168,$L:$L)),0)</f>
        <v>0</v>
      </c>
      <c r="O6168" s="30">
        <f>IFERROR((VLOOKUP($A6168,HeadJournal!$A$1:$L$890,COLUMN(HeadJournal!L$1),0)*($K6168+$L6168)/(SUMIF($A:$A,$A6168,$K:$K)+SUMIF($A:$A,$A6168,$L:$L)))/VLOOKUP($A6168,HeadJournal!$A$1:$L$890,COLUMN(HeadJournal!H$1),0),0)</f>
        <v>0</v>
      </c>
      <c r="P6168" s="30">
        <f>IFERROR(SUM(K6168:O6168)*VLOOKUP($A6168,HeadJournal!$A$1:$L$890,COLUMN(HeadJournal!H$1),0),0)</f>
        <v>0</v>
      </c>
      <c r="Q6168" s="29"/>
      <c r="R6168" s="31"/>
      <c r="S6168" s="31"/>
      <c r="T6168" s="95" t="str">
        <f t="shared" si="454"/>
        <v/>
      </c>
      <c r="U6168" s="32">
        <f t="shared" si="455"/>
        <v>0</v>
      </c>
      <c r="V6168" s="22" t="str">
        <f t="shared" si="456"/>
        <v/>
      </c>
      <c r="X6168" s="33"/>
      <c r="Y6168" s="33"/>
    </row>
    <row r="6169" spans="1:25" x14ac:dyDescent="0.2">
      <c r="A6169" s="93"/>
      <c r="B6169" s="94" t="str">
        <f>IFERROR(VLOOKUP($A6169,HeadJournal!$A$1:$NTR$890,COLUMN(HeadJournal!B$1),0),"")</f>
        <v/>
      </c>
      <c r="C6169" s="94" t="str">
        <f>IFERROR(VLOOKUP($A6169,HeadJournal!$A$1:$NTR$890,COLUMN(HeadJournal!C$1),0),"")</f>
        <v/>
      </c>
      <c r="D6169" s="125" t="str">
        <f>IFERROR(VLOOKUP($A6169,HeadJournal!$A$1:$NTR$890,COLUMN(HeadJournal!D$1),0),"")</f>
        <v/>
      </c>
      <c r="E6169" s="95" t="str">
        <f>IFERROR(VLOOKUP($A6169,HeadJournal!$A$1:$NTR$890,COLUMN(HeadJournal!G$1),0),"")</f>
        <v/>
      </c>
      <c r="F6169" s="95" t="str">
        <f t="shared" si="453"/>
        <v/>
      </c>
      <c r="G6169" s="97"/>
      <c r="H6169" s="161"/>
      <c r="I6169" s="97"/>
      <c r="J6169" s="97"/>
      <c r="K6169" s="29"/>
      <c r="L6169" s="29"/>
      <c r="M6169" s="30">
        <f>IFERROR(VLOOKUP($A6169,HeadJournal!$A$1:$J$890,COLUMN(HeadJournal!I$1),0)*($K6169+$L6169)/(SUMIF($A:$A,$A6169,$K:$K)+SUMIF($A:$A,$A6169,$L:$L)),0)</f>
        <v>0</v>
      </c>
      <c r="N6169" s="30">
        <f>IFERROR((VLOOKUP($A6169,HeadJournal!$A$1:$K$890,COLUMN(HeadJournal!K$1),0)-VLOOKUP($A6169,HeadJournal!$A$1:$K$890,COLUMN(HeadJournal!J$1),0))*($K6169+$L6169)/(SUMIF($A:$A,$A6169,$K:$K)+SUMIF($A:$A,$A6169,$L:$L)),0)</f>
        <v>0</v>
      </c>
      <c r="O6169" s="30">
        <f>IFERROR((VLOOKUP($A6169,HeadJournal!$A$1:$L$890,COLUMN(HeadJournal!L$1),0)*($K6169+$L6169)/(SUMIF($A:$A,$A6169,$K:$K)+SUMIF($A:$A,$A6169,$L:$L)))/VLOOKUP($A6169,HeadJournal!$A$1:$L$890,COLUMN(HeadJournal!H$1),0),0)</f>
        <v>0</v>
      </c>
      <c r="P6169" s="30">
        <f>IFERROR(SUM(K6169:O6169)*VLOOKUP($A6169,HeadJournal!$A$1:$L$890,COLUMN(HeadJournal!H$1),0),0)</f>
        <v>0</v>
      </c>
      <c r="Q6169" s="29"/>
      <c r="R6169" s="31"/>
      <c r="S6169" s="31"/>
      <c r="T6169" s="95" t="str">
        <f t="shared" si="454"/>
        <v/>
      </c>
      <c r="U6169" s="32">
        <f t="shared" si="455"/>
        <v>0</v>
      </c>
      <c r="V6169" s="22" t="str">
        <f t="shared" si="456"/>
        <v/>
      </c>
      <c r="X6169" s="33"/>
      <c r="Y6169" s="33"/>
    </row>
    <row r="6170" spans="1:25" x14ac:dyDescent="0.2">
      <c r="A6170" s="93"/>
      <c r="B6170" s="94" t="str">
        <f>IFERROR(VLOOKUP($A6170,HeadJournal!$A$1:$NTR$890,COLUMN(HeadJournal!B$1),0),"")</f>
        <v/>
      </c>
      <c r="C6170" s="94" t="str">
        <f>IFERROR(VLOOKUP($A6170,HeadJournal!$A$1:$NTR$890,COLUMN(HeadJournal!C$1),0),"")</f>
        <v/>
      </c>
      <c r="D6170" s="125" t="str">
        <f>IFERROR(VLOOKUP($A6170,HeadJournal!$A$1:$NTR$890,COLUMN(HeadJournal!D$1),0),"")</f>
        <v/>
      </c>
      <c r="E6170" s="95" t="str">
        <f>IFERROR(VLOOKUP($A6170,HeadJournal!$A$1:$NTR$890,COLUMN(HeadJournal!G$1),0),"")</f>
        <v/>
      </c>
      <c r="F6170" s="95" t="str">
        <f t="shared" si="453"/>
        <v/>
      </c>
      <c r="G6170" s="97"/>
      <c r="H6170" s="161"/>
      <c r="I6170" s="97"/>
      <c r="J6170" s="97"/>
      <c r="K6170" s="29"/>
      <c r="L6170" s="29"/>
      <c r="M6170" s="30">
        <f>IFERROR(VLOOKUP($A6170,HeadJournal!$A$1:$J$890,COLUMN(HeadJournal!I$1),0)*($K6170+$L6170)/(SUMIF($A:$A,$A6170,$K:$K)+SUMIF($A:$A,$A6170,$L:$L)),0)</f>
        <v>0</v>
      </c>
      <c r="N6170" s="30">
        <f>IFERROR((VLOOKUP($A6170,HeadJournal!$A$1:$K$890,COLUMN(HeadJournal!K$1),0)-VLOOKUP($A6170,HeadJournal!$A$1:$K$890,COLUMN(HeadJournal!J$1),0))*($K6170+$L6170)/(SUMIF($A:$A,$A6170,$K:$K)+SUMIF($A:$A,$A6170,$L:$L)),0)</f>
        <v>0</v>
      </c>
      <c r="O6170" s="30">
        <f>IFERROR((VLOOKUP($A6170,HeadJournal!$A$1:$L$890,COLUMN(HeadJournal!L$1),0)*($K6170+$L6170)/(SUMIF($A:$A,$A6170,$K:$K)+SUMIF($A:$A,$A6170,$L:$L)))/VLOOKUP($A6170,HeadJournal!$A$1:$L$890,COLUMN(HeadJournal!H$1),0),0)</f>
        <v>0</v>
      </c>
      <c r="P6170" s="30">
        <f>IFERROR(SUM(K6170:O6170)*VLOOKUP($A6170,HeadJournal!$A$1:$L$890,COLUMN(HeadJournal!H$1),0),0)</f>
        <v>0</v>
      </c>
      <c r="Q6170" s="29"/>
      <c r="R6170" s="31"/>
      <c r="S6170" s="31"/>
      <c r="T6170" s="95" t="str">
        <f t="shared" si="454"/>
        <v/>
      </c>
      <c r="U6170" s="32">
        <f t="shared" si="455"/>
        <v>0</v>
      </c>
      <c r="V6170" s="22" t="str">
        <f t="shared" si="456"/>
        <v/>
      </c>
      <c r="X6170" s="33"/>
      <c r="Y6170" s="33"/>
    </row>
    <row r="6171" spans="1:25" x14ac:dyDescent="0.2">
      <c r="A6171" s="93"/>
      <c r="B6171" s="94" t="str">
        <f>IFERROR(VLOOKUP($A6171,HeadJournal!$A$1:$NTR$890,COLUMN(HeadJournal!B$1),0),"")</f>
        <v/>
      </c>
      <c r="C6171" s="94" t="str">
        <f>IFERROR(VLOOKUP($A6171,HeadJournal!$A$1:$NTR$890,COLUMN(HeadJournal!C$1),0),"")</f>
        <v/>
      </c>
      <c r="D6171" s="125" t="str">
        <f>IFERROR(VLOOKUP($A6171,HeadJournal!$A$1:$NTR$890,COLUMN(HeadJournal!D$1),0),"")</f>
        <v/>
      </c>
      <c r="E6171" s="95" t="str">
        <f>IFERROR(VLOOKUP($A6171,HeadJournal!$A$1:$NTR$890,COLUMN(HeadJournal!G$1),0),"")</f>
        <v/>
      </c>
      <c r="F6171" s="95" t="str">
        <f t="shared" si="453"/>
        <v/>
      </c>
      <c r="G6171" s="97"/>
      <c r="H6171" s="161"/>
      <c r="I6171" s="97"/>
      <c r="J6171" s="97"/>
      <c r="K6171" s="29"/>
      <c r="L6171" s="29"/>
      <c r="M6171" s="30">
        <f>IFERROR(VLOOKUP($A6171,HeadJournal!$A$1:$J$890,COLUMN(HeadJournal!I$1),0)*($K6171+$L6171)/(SUMIF($A:$A,$A6171,$K:$K)+SUMIF($A:$A,$A6171,$L:$L)),0)</f>
        <v>0</v>
      </c>
      <c r="N6171" s="30">
        <f>IFERROR((VLOOKUP($A6171,HeadJournal!$A$1:$K$890,COLUMN(HeadJournal!K$1),0)-VLOOKUP($A6171,HeadJournal!$A$1:$K$890,COLUMN(HeadJournal!J$1),0))*($K6171+$L6171)/(SUMIF($A:$A,$A6171,$K:$K)+SUMIF($A:$A,$A6171,$L:$L)),0)</f>
        <v>0</v>
      </c>
      <c r="O6171" s="30">
        <f>IFERROR((VLOOKUP($A6171,HeadJournal!$A$1:$L$890,COLUMN(HeadJournal!L$1),0)*($K6171+$L6171)/(SUMIF($A:$A,$A6171,$K:$K)+SUMIF($A:$A,$A6171,$L:$L)))/VLOOKUP($A6171,HeadJournal!$A$1:$L$890,COLUMN(HeadJournal!H$1),0),0)</f>
        <v>0</v>
      </c>
      <c r="P6171" s="30">
        <f>IFERROR(SUM(K6171:O6171)*VLOOKUP($A6171,HeadJournal!$A$1:$L$890,COLUMN(HeadJournal!H$1),0),0)</f>
        <v>0</v>
      </c>
      <c r="Q6171" s="29"/>
      <c r="R6171" s="31"/>
      <c r="S6171" s="31"/>
      <c r="T6171" s="95" t="str">
        <f t="shared" si="454"/>
        <v/>
      </c>
      <c r="U6171" s="32">
        <f t="shared" si="455"/>
        <v>0</v>
      </c>
      <c r="V6171" s="22" t="str">
        <f t="shared" si="456"/>
        <v/>
      </c>
      <c r="X6171" s="33"/>
      <c r="Y6171" s="33"/>
    </row>
    <row r="6172" spans="1:25" x14ac:dyDescent="0.2">
      <c r="A6172" s="93"/>
      <c r="B6172" s="94" t="str">
        <f>IFERROR(VLOOKUP($A6172,HeadJournal!$A$1:$NTR$890,COLUMN(HeadJournal!B$1),0),"")</f>
        <v/>
      </c>
      <c r="C6172" s="94" t="str">
        <f>IFERROR(VLOOKUP($A6172,HeadJournal!$A$1:$NTR$890,COLUMN(HeadJournal!C$1),0),"")</f>
        <v/>
      </c>
      <c r="D6172" s="125" t="str">
        <f>IFERROR(VLOOKUP($A6172,HeadJournal!$A$1:$NTR$890,COLUMN(HeadJournal!D$1),0),"")</f>
        <v/>
      </c>
      <c r="E6172" s="95" t="str">
        <f>IFERROR(VLOOKUP($A6172,HeadJournal!$A$1:$NTR$890,COLUMN(HeadJournal!G$1),0),"")</f>
        <v/>
      </c>
      <c r="F6172" s="95" t="str">
        <f t="shared" si="453"/>
        <v/>
      </c>
      <c r="G6172" s="97"/>
      <c r="H6172" s="161"/>
      <c r="I6172" s="97"/>
      <c r="J6172" s="97"/>
      <c r="K6172" s="29"/>
      <c r="L6172" s="29"/>
      <c r="M6172" s="30">
        <f>IFERROR(VLOOKUP($A6172,HeadJournal!$A$1:$J$890,COLUMN(HeadJournal!I$1),0)*($K6172+$L6172)/(SUMIF($A:$A,$A6172,$K:$K)+SUMIF($A:$A,$A6172,$L:$L)),0)</f>
        <v>0</v>
      </c>
      <c r="N6172" s="30">
        <f>IFERROR((VLOOKUP($A6172,HeadJournal!$A$1:$K$890,COLUMN(HeadJournal!K$1),0)-VLOOKUP($A6172,HeadJournal!$A$1:$K$890,COLUMN(HeadJournal!J$1),0))*($K6172+$L6172)/(SUMIF($A:$A,$A6172,$K:$K)+SUMIF($A:$A,$A6172,$L:$L)),0)</f>
        <v>0</v>
      </c>
      <c r="O6172" s="30">
        <f>IFERROR((VLOOKUP($A6172,HeadJournal!$A$1:$L$890,COLUMN(HeadJournal!L$1),0)*($K6172+$L6172)/(SUMIF($A:$A,$A6172,$K:$K)+SUMIF($A:$A,$A6172,$L:$L)))/VLOOKUP($A6172,HeadJournal!$A$1:$L$890,COLUMN(HeadJournal!H$1),0),0)</f>
        <v>0</v>
      </c>
      <c r="P6172" s="30">
        <f>IFERROR(SUM(K6172:O6172)*VLOOKUP($A6172,HeadJournal!$A$1:$L$890,COLUMN(HeadJournal!H$1),0),0)</f>
        <v>0</v>
      </c>
      <c r="Q6172" s="29"/>
      <c r="R6172" s="31"/>
      <c r="S6172" s="31"/>
      <c r="T6172" s="95" t="str">
        <f t="shared" si="454"/>
        <v/>
      </c>
      <c r="U6172" s="32">
        <f t="shared" si="455"/>
        <v>0</v>
      </c>
      <c r="V6172" s="22" t="str">
        <f t="shared" si="456"/>
        <v/>
      </c>
      <c r="X6172" s="33"/>
      <c r="Y6172" s="33"/>
    </row>
    <row r="6173" spans="1:25" x14ac:dyDescent="0.2">
      <c r="A6173" s="93"/>
      <c r="B6173" s="94" t="str">
        <f>IFERROR(VLOOKUP($A6173,HeadJournal!$A$1:$NTR$890,COLUMN(HeadJournal!B$1),0),"")</f>
        <v/>
      </c>
      <c r="C6173" s="94" t="str">
        <f>IFERROR(VLOOKUP($A6173,HeadJournal!$A$1:$NTR$890,COLUMN(HeadJournal!C$1),0),"")</f>
        <v/>
      </c>
      <c r="D6173" s="125" t="str">
        <f>IFERROR(VLOOKUP($A6173,HeadJournal!$A$1:$NTR$890,COLUMN(HeadJournal!D$1),0),"")</f>
        <v/>
      </c>
      <c r="E6173" s="95" t="str">
        <f>IFERROR(VLOOKUP($A6173,HeadJournal!$A$1:$NTR$890,COLUMN(HeadJournal!G$1),0),"")</f>
        <v/>
      </c>
      <c r="F6173" s="95" t="str">
        <f t="shared" si="453"/>
        <v/>
      </c>
      <c r="G6173" s="97"/>
      <c r="H6173" s="161"/>
      <c r="I6173" s="97"/>
      <c r="J6173" s="97"/>
      <c r="K6173" s="29"/>
      <c r="L6173" s="29"/>
      <c r="M6173" s="30">
        <f>IFERROR(VLOOKUP($A6173,HeadJournal!$A$1:$J$890,COLUMN(HeadJournal!I$1),0)*($K6173+$L6173)/(SUMIF($A:$A,$A6173,$K:$K)+SUMIF($A:$A,$A6173,$L:$L)),0)</f>
        <v>0</v>
      </c>
      <c r="N6173" s="30">
        <f>IFERROR((VLOOKUP($A6173,HeadJournal!$A$1:$K$890,COLUMN(HeadJournal!K$1),0)-VLOOKUP($A6173,HeadJournal!$A$1:$K$890,COLUMN(HeadJournal!J$1),0))*($K6173+$L6173)/(SUMIF($A:$A,$A6173,$K:$K)+SUMIF($A:$A,$A6173,$L:$L)),0)</f>
        <v>0</v>
      </c>
      <c r="O6173" s="30">
        <f>IFERROR((VLOOKUP($A6173,HeadJournal!$A$1:$L$890,COLUMN(HeadJournal!L$1),0)*($K6173+$L6173)/(SUMIF($A:$A,$A6173,$K:$K)+SUMIF($A:$A,$A6173,$L:$L)))/VLOOKUP($A6173,HeadJournal!$A$1:$L$890,COLUMN(HeadJournal!H$1),0),0)</f>
        <v>0</v>
      </c>
      <c r="P6173" s="30">
        <f>IFERROR(SUM(K6173:O6173)*VLOOKUP($A6173,HeadJournal!$A$1:$L$890,COLUMN(HeadJournal!H$1),0),0)</f>
        <v>0</v>
      </c>
      <c r="Q6173" s="29"/>
      <c r="R6173" s="31"/>
      <c r="S6173" s="31"/>
      <c r="T6173" s="95" t="str">
        <f t="shared" si="454"/>
        <v/>
      </c>
      <c r="U6173" s="32">
        <f t="shared" si="455"/>
        <v>0</v>
      </c>
      <c r="V6173" s="22" t="str">
        <f t="shared" si="456"/>
        <v/>
      </c>
      <c r="X6173" s="33"/>
      <c r="Y6173" s="33"/>
    </row>
    <row r="6174" spans="1:25" x14ac:dyDescent="0.2">
      <c r="A6174" s="93"/>
      <c r="B6174" s="94" t="str">
        <f>IFERROR(VLOOKUP($A6174,HeadJournal!$A$1:$NTR$890,COLUMN(HeadJournal!B$1),0),"")</f>
        <v/>
      </c>
      <c r="C6174" s="94" t="str">
        <f>IFERROR(VLOOKUP($A6174,HeadJournal!$A$1:$NTR$890,COLUMN(HeadJournal!C$1),0),"")</f>
        <v/>
      </c>
      <c r="D6174" s="125" t="str">
        <f>IFERROR(VLOOKUP($A6174,HeadJournal!$A$1:$NTR$890,COLUMN(HeadJournal!D$1),0),"")</f>
        <v/>
      </c>
      <c r="E6174" s="95" t="str">
        <f>IFERROR(VLOOKUP($A6174,HeadJournal!$A$1:$NTR$890,COLUMN(HeadJournal!G$1),0),"")</f>
        <v/>
      </c>
      <c r="F6174" s="95" t="str">
        <f t="shared" si="453"/>
        <v/>
      </c>
      <c r="G6174" s="97"/>
      <c r="H6174" s="161"/>
      <c r="I6174" s="97"/>
      <c r="J6174" s="97"/>
      <c r="K6174" s="29"/>
      <c r="L6174" s="29"/>
      <c r="M6174" s="30">
        <f>IFERROR(VLOOKUP($A6174,HeadJournal!$A$1:$J$890,COLUMN(HeadJournal!I$1),0)*($K6174+$L6174)/(SUMIF($A:$A,$A6174,$K:$K)+SUMIF($A:$A,$A6174,$L:$L)),0)</f>
        <v>0</v>
      </c>
      <c r="N6174" s="30">
        <f>IFERROR((VLOOKUP($A6174,HeadJournal!$A$1:$K$890,COLUMN(HeadJournal!K$1),0)-VLOOKUP($A6174,HeadJournal!$A$1:$K$890,COLUMN(HeadJournal!J$1),0))*($K6174+$L6174)/(SUMIF($A:$A,$A6174,$K:$K)+SUMIF($A:$A,$A6174,$L:$L)),0)</f>
        <v>0</v>
      </c>
      <c r="O6174" s="30">
        <f>IFERROR((VLOOKUP($A6174,HeadJournal!$A$1:$L$890,COLUMN(HeadJournal!L$1),0)*($K6174+$L6174)/(SUMIF($A:$A,$A6174,$K:$K)+SUMIF($A:$A,$A6174,$L:$L)))/VLOOKUP($A6174,HeadJournal!$A$1:$L$890,COLUMN(HeadJournal!H$1),0),0)</f>
        <v>0</v>
      </c>
      <c r="P6174" s="30">
        <f>IFERROR(SUM(K6174:O6174)*VLOOKUP($A6174,HeadJournal!$A$1:$L$890,COLUMN(HeadJournal!H$1),0),0)</f>
        <v>0</v>
      </c>
      <c r="Q6174" s="29"/>
      <c r="R6174" s="31"/>
      <c r="S6174" s="31"/>
      <c r="T6174" s="95" t="str">
        <f t="shared" si="454"/>
        <v/>
      </c>
      <c r="U6174" s="32">
        <f t="shared" si="455"/>
        <v>0</v>
      </c>
      <c r="V6174" s="22" t="str">
        <f t="shared" si="456"/>
        <v/>
      </c>
      <c r="X6174" s="33"/>
      <c r="Y6174" s="33"/>
    </row>
    <row r="6175" spans="1:25" x14ac:dyDescent="0.2">
      <c r="A6175" s="93"/>
      <c r="B6175" s="94" t="str">
        <f>IFERROR(VLOOKUP($A6175,HeadJournal!$A$1:$NTR$890,COLUMN(HeadJournal!B$1),0),"")</f>
        <v/>
      </c>
      <c r="C6175" s="94" t="str">
        <f>IFERROR(VLOOKUP($A6175,HeadJournal!$A$1:$NTR$890,COLUMN(HeadJournal!C$1),0),"")</f>
        <v/>
      </c>
      <c r="D6175" s="125" t="str">
        <f>IFERROR(VLOOKUP($A6175,HeadJournal!$A$1:$NTR$890,COLUMN(HeadJournal!D$1),0),"")</f>
        <v/>
      </c>
      <c r="E6175" s="95" t="str">
        <f>IFERROR(VLOOKUP($A6175,HeadJournal!$A$1:$NTR$890,COLUMN(HeadJournal!G$1),0),"")</f>
        <v/>
      </c>
      <c r="F6175" s="95" t="str">
        <f t="shared" si="453"/>
        <v/>
      </c>
      <c r="G6175" s="97"/>
      <c r="H6175" s="161"/>
      <c r="I6175" s="97"/>
      <c r="J6175" s="97"/>
      <c r="K6175" s="29"/>
      <c r="L6175" s="29"/>
      <c r="M6175" s="30">
        <f>IFERROR(VLOOKUP($A6175,HeadJournal!$A$1:$J$890,COLUMN(HeadJournal!I$1),0)*($K6175+$L6175)/(SUMIF($A:$A,$A6175,$K:$K)+SUMIF($A:$A,$A6175,$L:$L)),0)</f>
        <v>0</v>
      </c>
      <c r="N6175" s="30">
        <f>IFERROR((VLOOKUP($A6175,HeadJournal!$A$1:$K$890,COLUMN(HeadJournal!K$1),0)-VLOOKUP($A6175,HeadJournal!$A$1:$K$890,COLUMN(HeadJournal!J$1),0))*($K6175+$L6175)/(SUMIF($A:$A,$A6175,$K:$K)+SUMIF($A:$A,$A6175,$L:$L)),0)</f>
        <v>0</v>
      </c>
      <c r="O6175" s="30">
        <f>IFERROR((VLOOKUP($A6175,HeadJournal!$A$1:$L$890,COLUMN(HeadJournal!L$1),0)*($K6175+$L6175)/(SUMIF($A:$A,$A6175,$K:$K)+SUMIF($A:$A,$A6175,$L:$L)))/VLOOKUP($A6175,HeadJournal!$A$1:$L$890,COLUMN(HeadJournal!H$1),0),0)</f>
        <v>0</v>
      </c>
      <c r="P6175" s="30">
        <f>IFERROR(SUM(K6175:O6175)*VLOOKUP($A6175,HeadJournal!$A$1:$L$890,COLUMN(HeadJournal!H$1),0),0)</f>
        <v>0</v>
      </c>
      <c r="Q6175" s="29"/>
      <c r="R6175" s="31"/>
      <c r="S6175" s="31"/>
      <c r="T6175" s="95" t="str">
        <f t="shared" si="454"/>
        <v/>
      </c>
      <c r="U6175" s="32">
        <f t="shared" si="455"/>
        <v>0</v>
      </c>
      <c r="V6175" s="22" t="str">
        <f t="shared" si="456"/>
        <v/>
      </c>
      <c r="X6175" s="33"/>
      <c r="Y6175" s="33"/>
    </row>
    <row r="6176" spans="1:25" x14ac:dyDescent="0.2">
      <c r="A6176" s="93"/>
      <c r="B6176" s="94" t="str">
        <f>IFERROR(VLOOKUP($A6176,HeadJournal!$A$1:$NTR$890,COLUMN(HeadJournal!B$1),0),"")</f>
        <v/>
      </c>
      <c r="C6176" s="94" t="str">
        <f>IFERROR(VLOOKUP($A6176,HeadJournal!$A$1:$NTR$890,COLUMN(HeadJournal!C$1),0),"")</f>
        <v/>
      </c>
      <c r="D6176" s="125" t="str">
        <f>IFERROR(VLOOKUP($A6176,HeadJournal!$A$1:$NTR$890,COLUMN(HeadJournal!D$1),0),"")</f>
        <v/>
      </c>
      <c r="E6176" s="95" t="str">
        <f>IFERROR(VLOOKUP($A6176,HeadJournal!$A$1:$NTR$890,COLUMN(HeadJournal!G$1),0),"")</f>
        <v/>
      </c>
      <c r="F6176" s="95" t="str">
        <f t="shared" si="453"/>
        <v/>
      </c>
      <c r="G6176" s="97"/>
      <c r="H6176" s="161"/>
      <c r="I6176" s="97"/>
      <c r="J6176" s="97"/>
      <c r="K6176" s="29"/>
      <c r="L6176" s="29"/>
      <c r="M6176" s="30">
        <f>IFERROR(VLOOKUP($A6176,HeadJournal!$A$1:$J$890,COLUMN(HeadJournal!I$1),0)*($K6176+$L6176)/(SUMIF($A:$A,$A6176,$K:$K)+SUMIF($A:$A,$A6176,$L:$L)),0)</f>
        <v>0</v>
      </c>
      <c r="N6176" s="30">
        <f>IFERROR((VLOOKUP($A6176,HeadJournal!$A$1:$K$890,COLUMN(HeadJournal!K$1),0)-VLOOKUP($A6176,HeadJournal!$A$1:$K$890,COLUMN(HeadJournal!J$1),0))*($K6176+$L6176)/(SUMIF($A:$A,$A6176,$K:$K)+SUMIF($A:$A,$A6176,$L:$L)),0)</f>
        <v>0</v>
      </c>
      <c r="O6176" s="30">
        <f>IFERROR((VLOOKUP($A6176,HeadJournal!$A$1:$L$890,COLUMN(HeadJournal!L$1),0)*($K6176+$L6176)/(SUMIF($A:$A,$A6176,$K:$K)+SUMIF($A:$A,$A6176,$L:$L)))/VLOOKUP($A6176,HeadJournal!$A$1:$L$890,COLUMN(HeadJournal!H$1),0),0)</f>
        <v>0</v>
      </c>
      <c r="P6176" s="30">
        <f>IFERROR(SUM(K6176:O6176)*VLOOKUP($A6176,HeadJournal!$A$1:$L$890,COLUMN(HeadJournal!H$1),0),0)</f>
        <v>0</v>
      </c>
      <c r="Q6176" s="29"/>
      <c r="R6176" s="31"/>
      <c r="S6176" s="31"/>
      <c r="T6176" s="95" t="str">
        <f t="shared" si="454"/>
        <v/>
      </c>
      <c r="U6176" s="32">
        <f t="shared" si="455"/>
        <v>0</v>
      </c>
      <c r="V6176" s="22" t="str">
        <f t="shared" si="456"/>
        <v/>
      </c>
      <c r="X6176" s="33"/>
      <c r="Y6176" s="33"/>
    </row>
    <row r="6177" spans="1:25" x14ac:dyDescent="0.2">
      <c r="A6177" s="93"/>
      <c r="B6177" s="94" t="str">
        <f>IFERROR(VLOOKUP($A6177,HeadJournal!$A$1:$NTR$890,COLUMN(HeadJournal!B$1),0),"")</f>
        <v/>
      </c>
      <c r="C6177" s="94" t="str">
        <f>IFERROR(VLOOKUP($A6177,HeadJournal!$A$1:$NTR$890,COLUMN(HeadJournal!C$1),0),"")</f>
        <v/>
      </c>
      <c r="D6177" s="125" t="str">
        <f>IFERROR(VLOOKUP($A6177,HeadJournal!$A$1:$NTR$890,COLUMN(HeadJournal!D$1),0),"")</f>
        <v/>
      </c>
      <c r="E6177" s="95" t="str">
        <f>IFERROR(VLOOKUP($A6177,HeadJournal!$A$1:$NTR$890,COLUMN(HeadJournal!G$1),0),"")</f>
        <v/>
      </c>
      <c r="F6177" s="95" t="str">
        <f t="shared" si="453"/>
        <v/>
      </c>
      <c r="G6177" s="97"/>
      <c r="H6177" s="161"/>
      <c r="I6177" s="97"/>
      <c r="J6177" s="97"/>
      <c r="K6177" s="29"/>
      <c r="L6177" s="29"/>
      <c r="M6177" s="30">
        <f>IFERROR(VLOOKUP($A6177,HeadJournal!$A$1:$J$890,COLUMN(HeadJournal!I$1),0)*($K6177+$L6177)/(SUMIF($A:$A,$A6177,$K:$K)+SUMIF($A:$A,$A6177,$L:$L)),0)</f>
        <v>0</v>
      </c>
      <c r="N6177" s="30">
        <f>IFERROR((VLOOKUP($A6177,HeadJournal!$A$1:$K$890,COLUMN(HeadJournal!K$1),0)-VLOOKUP($A6177,HeadJournal!$A$1:$K$890,COLUMN(HeadJournal!J$1),0))*($K6177+$L6177)/(SUMIF($A:$A,$A6177,$K:$K)+SUMIF($A:$A,$A6177,$L:$L)),0)</f>
        <v>0</v>
      </c>
      <c r="O6177" s="30">
        <f>IFERROR((VLOOKUP($A6177,HeadJournal!$A$1:$L$890,COLUMN(HeadJournal!L$1),0)*($K6177+$L6177)/(SUMIF($A:$A,$A6177,$K:$K)+SUMIF($A:$A,$A6177,$L:$L)))/VLOOKUP($A6177,HeadJournal!$A$1:$L$890,COLUMN(HeadJournal!H$1),0),0)</f>
        <v>0</v>
      </c>
      <c r="P6177" s="30">
        <f>IFERROR(SUM(K6177:O6177)*VLOOKUP($A6177,HeadJournal!$A$1:$L$890,COLUMN(HeadJournal!H$1),0),0)</f>
        <v>0</v>
      </c>
      <c r="Q6177" s="29"/>
      <c r="R6177" s="31"/>
      <c r="S6177" s="31"/>
      <c r="T6177" s="95" t="str">
        <f t="shared" si="454"/>
        <v/>
      </c>
      <c r="U6177" s="32">
        <f t="shared" si="455"/>
        <v>0</v>
      </c>
      <c r="V6177" s="22" t="str">
        <f t="shared" si="456"/>
        <v/>
      </c>
      <c r="X6177" s="33"/>
      <c r="Y6177" s="33"/>
    </row>
    <row r="6178" spans="1:25" x14ac:dyDescent="0.2">
      <c r="A6178" s="93"/>
      <c r="B6178" s="94" t="str">
        <f>IFERROR(VLOOKUP($A6178,HeadJournal!$A$1:$NTR$890,COLUMN(HeadJournal!B$1),0),"")</f>
        <v/>
      </c>
      <c r="C6178" s="94" t="str">
        <f>IFERROR(VLOOKUP($A6178,HeadJournal!$A$1:$NTR$890,COLUMN(HeadJournal!C$1),0),"")</f>
        <v/>
      </c>
      <c r="D6178" s="125" t="str">
        <f>IFERROR(VLOOKUP($A6178,HeadJournal!$A$1:$NTR$890,COLUMN(HeadJournal!D$1),0),"")</f>
        <v/>
      </c>
      <c r="E6178" s="95" t="str">
        <f>IFERROR(VLOOKUP($A6178,HeadJournal!$A$1:$NTR$890,COLUMN(HeadJournal!G$1),0),"")</f>
        <v/>
      </c>
      <c r="F6178" s="95" t="str">
        <f t="shared" si="453"/>
        <v/>
      </c>
      <c r="G6178" s="97"/>
      <c r="H6178" s="161"/>
      <c r="I6178" s="97"/>
      <c r="J6178" s="97"/>
      <c r="K6178" s="29"/>
      <c r="L6178" s="29"/>
      <c r="M6178" s="30">
        <f>IFERROR(VLOOKUP($A6178,HeadJournal!$A$1:$J$890,COLUMN(HeadJournal!I$1),0)*($K6178+$L6178)/(SUMIF($A:$A,$A6178,$K:$K)+SUMIF($A:$A,$A6178,$L:$L)),0)</f>
        <v>0</v>
      </c>
      <c r="N6178" s="30">
        <f>IFERROR((VLOOKUP($A6178,HeadJournal!$A$1:$K$890,COLUMN(HeadJournal!K$1),0)-VLOOKUP($A6178,HeadJournal!$A$1:$K$890,COLUMN(HeadJournal!J$1),0))*($K6178+$L6178)/(SUMIF($A:$A,$A6178,$K:$K)+SUMIF($A:$A,$A6178,$L:$L)),0)</f>
        <v>0</v>
      </c>
      <c r="O6178" s="30">
        <f>IFERROR((VLOOKUP($A6178,HeadJournal!$A$1:$L$890,COLUMN(HeadJournal!L$1),0)*($K6178+$L6178)/(SUMIF($A:$A,$A6178,$K:$K)+SUMIF($A:$A,$A6178,$L:$L)))/VLOOKUP($A6178,HeadJournal!$A$1:$L$890,COLUMN(HeadJournal!H$1),0),0)</f>
        <v>0</v>
      </c>
      <c r="P6178" s="30">
        <f>IFERROR(SUM(K6178:O6178)*VLOOKUP($A6178,HeadJournal!$A$1:$L$890,COLUMN(HeadJournal!H$1),0),0)</f>
        <v>0</v>
      </c>
      <c r="Q6178" s="29"/>
      <c r="R6178" s="31"/>
      <c r="S6178" s="31"/>
      <c r="T6178" s="95" t="str">
        <f t="shared" si="454"/>
        <v/>
      </c>
      <c r="U6178" s="32">
        <f t="shared" si="455"/>
        <v>0</v>
      </c>
      <c r="V6178" s="22" t="str">
        <f t="shared" si="456"/>
        <v/>
      </c>
      <c r="X6178" s="33"/>
      <c r="Y6178" s="33"/>
    </row>
    <row r="6179" spans="1:25" x14ac:dyDescent="0.2">
      <c r="A6179" s="93"/>
      <c r="B6179" s="94" t="str">
        <f>IFERROR(VLOOKUP($A6179,HeadJournal!$A$1:$NTR$890,COLUMN(HeadJournal!B$1),0),"")</f>
        <v/>
      </c>
      <c r="C6179" s="94" t="str">
        <f>IFERROR(VLOOKUP($A6179,HeadJournal!$A$1:$NTR$890,COLUMN(HeadJournal!C$1),0),"")</f>
        <v/>
      </c>
      <c r="D6179" s="125" t="str">
        <f>IFERROR(VLOOKUP($A6179,HeadJournal!$A$1:$NTR$890,COLUMN(HeadJournal!D$1),0),"")</f>
        <v/>
      </c>
      <c r="E6179" s="95" t="str">
        <f>IFERROR(VLOOKUP($A6179,HeadJournal!$A$1:$NTR$890,COLUMN(HeadJournal!G$1),0),"")</f>
        <v/>
      </c>
      <c r="F6179" s="95" t="str">
        <f t="shared" si="453"/>
        <v/>
      </c>
      <c r="G6179" s="97"/>
      <c r="H6179" s="161"/>
      <c r="I6179" s="97"/>
      <c r="J6179" s="97"/>
      <c r="K6179" s="29"/>
      <c r="L6179" s="29"/>
      <c r="M6179" s="30">
        <f>IFERROR(VLOOKUP($A6179,HeadJournal!$A$1:$J$890,COLUMN(HeadJournal!I$1),0)*($K6179+$L6179)/(SUMIF($A:$A,$A6179,$K:$K)+SUMIF($A:$A,$A6179,$L:$L)),0)</f>
        <v>0</v>
      </c>
      <c r="N6179" s="30">
        <f>IFERROR((VLOOKUP($A6179,HeadJournal!$A$1:$K$890,COLUMN(HeadJournal!K$1),0)-VLOOKUP($A6179,HeadJournal!$A$1:$K$890,COLUMN(HeadJournal!J$1),0))*($K6179+$L6179)/(SUMIF($A:$A,$A6179,$K:$K)+SUMIF($A:$A,$A6179,$L:$L)),0)</f>
        <v>0</v>
      </c>
      <c r="O6179" s="30">
        <f>IFERROR((VLOOKUP($A6179,HeadJournal!$A$1:$L$890,COLUMN(HeadJournal!L$1),0)*($K6179+$L6179)/(SUMIF($A:$A,$A6179,$K:$K)+SUMIF($A:$A,$A6179,$L:$L)))/VLOOKUP($A6179,HeadJournal!$A$1:$L$890,COLUMN(HeadJournal!H$1),0),0)</f>
        <v>0</v>
      </c>
      <c r="P6179" s="30">
        <f>IFERROR(SUM(K6179:O6179)*VLOOKUP($A6179,HeadJournal!$A$1:$L$890,COLUMN(HeadJournal!H$1),0),0)</f>
        <v>0</v>
      </c>
      <c r="Q6179" s="29"/>
      <c r="R6179" s="31"/>
      <c r="S6179" s="31"/>
      <c r="T6179" s="95" t="str">
        <f t="shared" si="454"/>
        <v/>
      </c>
      <c r="U6179" s="32">
        <f t="shared" si="455"/>
        <v>0</v>
      </c>
      <c r="V6179" s="22" t="str">
        <f t="shared" si="456"/>
        <v/>
      </c>
      <c r="X6179" s="33"/>
      <c r="Y6179" s="33"/>
    </row>
    <row r="6180" spans="1:25" x14ac:dyDescent="0.2">
      <c r="A6180" s="93"/>
      <c r="B6180" s="94" t="str">
        <f>IFERROR(VLOOKUP($A6180,HeadJournal!$A$1:$NTR$890,COLUMN(HeadJournal!B$1),0),"")</f>
        <v/>
      </c>
      <c r="C6180" s="94" t="str">
        <f>IFERROR(VLOOKUP($A6180,HeadJournal!$A$1:$NTR$890,COLUMN(HeadJournal!C$1),0),"")</f>
        <v/>
      </c>
      <c r="D6180" s="125" t="str">
        <f>IFERROR(VLOOKUP($A6180,HeadJournal!$A$1:$NTR$890,COLUMN(HeadJournal!D$1),0),"")</f>
        <v/>
      </c>
      <c r="E6180" s="95" t="str">
        <f>IFERROR(VLOOKUP($A6180,HeadJournal!$A$1:$NTR$890,COLUMN(HeadJournal!G$1),0),"")</f>
        <v/>
      </c>
      <c r="F6180" s="95" t="str">
        <f t="shared" si="453"/>
        <v/>
      </c>
      <c r="G6180" s="97"/>
      <c r="H6180" s="161"/>
      <c r="I6180" s="97"/>
      <c r="J6180" s="97"/>
      <c r="K6180" s="29"/>
      <c r="L6180" s="29"/>
      <c r="M6180" s="30">
        <f>IFERROR(VLOOKUP($A6180,HeadJournal!$A$1:$J$890,COLUMN(HeadJournal!I$1),0)*($K6180+$L6180)/(SUMIF($A:$A,$A6180,$K:$K)+SUMIF($A:$A,$A6180,$L:$L)),0)</f>
        <v>0</v>
      </c>
      <c r="N6180" s="30">
        <f>IFERROR((VLOOKUP($A6180,HeadJournal!$A$1:$K$890,COLUMN(HeadJournal!K$1),0)-VLOOKUP($A6180,HeadJournal!$A$1:$K$890,COLUMN(HeadJournal!J$1),0))*($K6180+$L6180)/(SUMIF($A:$A,$A6180,$K:$K)+SUMIF($A:$A,$A6180,$L:$L)),0)</f>
        <v>0</v>
      </c>
      <c r="O6180" s="30">
        <f>IFERROR((VLOOKUP($A6180,HeadJournal!$A$1:$L$890,COLUMN(HeadJournal!L$1),0)*($K6180+$L6180)/(SUMIF($A:$A,$A6180,$K:$K)+SUMIF($A:$A,$A6180,$L:$L)))/VLOOKUP($A6180,HeadJournal!$A$1:$L$890,COLUMN(HeadJournal!H$1),0),0)</f>
        <v>0</v>
      </c>
      <c r="P6180" s="30">
        <f>IFERROR(SUM(K6180:O6180)*VLOOKUP($A6180,HeadJournal!$A$1:$L$890,COLUMN(HeadJournal!H$1),0),0)</f>
        <v>0</v>
      </c>
      <c r="Q6180" s="29"/>
      <c r="R6180" s="31"/>
      <c r="S6180" s="31"/>
      <c r="T6180" s="95" t="str">
        <f t="shared" si="454"/>
        <v/>
      </c>
      <c r="U6180" s="32">
        <f t="shared" si="455"/>
        <v>0</v>
      </c>
      <c r="V6180" s="22" t="str">
        <f t="shared" si="456"/>
        <v/>
      </c>
      <c r="X6180" s="33"/>
      <c r="Y6180" s="33"/>
    </row>
    <row r="6181" spans="1:25" x14ac:dyDescent="0.2">
      <c r="A6181" s="93"/>
      <c r="B6181" s="94" t="str">
        <f>IFERROR(VLOOKUP($A6181,HeadJournal!$A$1:$NTR$890,COLUMN(HeadJournal!B$1),0),"")</f>
        <v/>
      </c>
      <c r="C6181" s="94" t="str">
        <f>IFERROR(VLOOKUP($A6181,HeadJournal!$A$1:$NTR$890,COLUMN(HeadJournal!C$1),0),"")</f>
        <v/>
      </c>
      <c r="D6181" s="125" t="str">
        <f>IFERROR(VLOOKUP($A6181,HeadJournal!$A$1:$NTR$890,COLUMN(HeadJournal!D$1),0),"")</f>
        <v/>
      </c>
      <c r="E6181" s="95" t="str">
        <f>IFERROR(VLOOKUP($A6181,HeadJournal!$A$1:$NTR$890,COLUMN(HeadJournal!G$1),0),"")</f>
        <v/>
      </c>
      <c r="F6181" s="95" t="str">
        <f t="shared" si="453"/>
        <v/>
      </c>
      <c r="G6181" s="97"/>
      <c r="H6181" s="161"/>
      <c r="I6181" s="97"/>
      <c r="J6181" s="97"/>
      <c r="K6181" s="29"/>
      <c r="L6181" s="29"/>
      <c r="M6181" s="30">
        <f>IFERROR(VLOOKUP($A6181,HeadJournal!$A$1:$J$890,COLUMN(HeadJournal!I$1),0)*($K6181+$L6181)/(SUMIF($A:$A,$A6181,$K:$K)+SUMIF($A:$A,$A6181,$L:$L)),0)</f>
        <v>0</v>
      </c>
      <c r="N6181" s="30">
        <f>IFERROR((VLOOKUP($A6181,HeadJournal!$A$1:$K$890,COLUMN(HeadJournal!K$1),0)-VLOOKUP($A6181,HeadJournal!$A$1:$K$890,COLUMN(HeadJournal!J$1),0))*($K6181+$L6181)/(SUMIF($A:$A,$A6181,$K:$K)+SUMIF($A:$A,$A6181,$L:$L)),0)</f>
        <v>0</v>
      </c>
      <c r="O6181" s="30">
        <f>IFERROR((VLOOKUP($A6181,HeadJournal!$A$1:$L$890,COLUMN(HeadJournal!L$1),0)*($K6181+$L6181)/(SUMIF($A:$A,$A6181,$K:$K)+SUMIF($A:$A,$A6181,$L:$L)))/VLOOKUP($A6181,HeadJournal!$A$1:$L$890,COLUMN(HeadJournal!H$1),0),0)</f>
        <v>0</v>
      </c>
      <c r="P6181" s="30">
        <f>IFERROR(SUM(K6181:O6181)*VLOOKUP($A6181,HeadJournal!$A$1:$L$890,COLUMN(HeadJournal!H$1),0),0)</f>
        <v>0</v>
      </c>
      <c r="Q6181" s="29"/>
      <c r="R6181" s="31"/>
      <c r="S6181" s="31"/>
      <c r="T6181" s="95" t="str">
        <f t="shared" si="454"/>
        <v/>
      </c>
      <c r="U6181" s="32">
        <f t="shared" si="455"/>
        <v>0</v>
      </c>
      <c r="V6181" s="22" t="str">
        <f t="shared" si="456"/>
        <v/>
      </c>
      <c r="X6181" s="33"/>
      <c r="Y6181" s="33"/>
    </row>
    <row r="6182" spans="1:25" x14ac:dyDescent="0.2">
      <c r="A6182" s="93"/>
      <c r="B6182" s="94" t="str">
        <f>IFERROR(VLOOKUP($A6182,HeadJournal!$A$1:$NTR$890,COLUMN(HeadJournal!B$1),0),"")</f>
        <v/>
      </c>
      <c r="C6182" s="94" t="str">
        <f>IFERROR(VLOOKUP($A6182,HeadJournal!$A$1:$NTR$890,COLUMN(HeadJournal!C$1),0),"")</f>
        <v/>
      </c>
      <c r="D6182" s="125" t="str">
        <f>IFERROR(VLOOKUP($A6182,HeadJournal!$A$1:$NTR$890,COLUMN(HeadJournal!D$1),0),"")</f>
        <v/>
      </c>
      <c r="E6182" s="95" t="str">
        <f>IFERROR(VLOOKUP($A6182,HeadJournal!$A$1:$NTR$890,COLUMN(HeadJournal!G$1),0),"")</f>
        <v/>
      </c>
      <c r="F6182" s="95" t="str">
        <f t="shared" si="453"/>
        <v/>
      </c>
      <c r="G6182" s="97"/>
      <c r="H6182" s="161"/>
      <c r="I6182" s="97"/>
      <c r="J6182" s="97"/>
      <c r="K6182" s="29"/>
      <c r="L6182" s="29"/>
      <c r="M6182" s="30">
        <f>IFERROR(VLOOKUP($A6182,HeadJournal!$A$1:$J$890,COLUMN(HeadJournal!I$1),0)*($K6182+$L6182)/(SUMIF($A:$A,$A6182,$K:$K)+SUMIF($A:$A,$A6182,$L:$L)),0)</f>
        <v>0</v>
      </c>
      <c r="N6182" s="30">
        <f>IFERROR((VLOOKUP($A6182,HeadJournal!$A$1:$K$890,COLUMN(HeadJournal!K$1),0)-VLOOKUP($A6182,HeadJournal!$A$1:$K$890,COLUMN(HeadJournal!J$1),0))*($K6182+$L6182)/(SUMIF($A:$A,$A6182,$K:$K)+SUMIF($A:$A,$A6182,$L:$L)),0)</f>
        <v>0</v>
      </c>
      <c r="O6182" s="30">
        <f>IFERROR((VLOOKUP($A6182,HeadJournal!$A$1:$L$890,COLUMN(HeadJournal!L$1),0)*($K6182+$L6182)/(SUMIF($A:$A,$A6182,$K:$K)+SUMIF($A:$A,$A6182,$L:$L)))/VLOOKUP($A6182,HeadJournal!$A$1:$L$890,COLUMN(HeadJournal!H$1),0),0)</f>
        <v>0</v>
      </c>
      <c r="P6182" s="30">
        <f>IFERROR(SUM(K6182:O6182)*VLOOKUP($A6182,HeadJournal!$A$1:$L$890,COLUMN(HeadJournal!H$1),0),0)</f>
        <v>0</v>
      </c>
      <c r="Q6182" s="29"/>
      <c r="R6182" s="31"/>
      <c r="S6182" s="31"/>
      <c r="T6182" s="95" t="str">
        <f t="shared" si="454"/>
        <v/>
      </c>
      <c r="U6182" s="32">
        <f t="shared" si="455"/>
        <v>0</v>
      </c>
      <c r="V6182" s="22" t="str">
        <f t="shared" si="456"/>
        <v/>
      </c>
      <c r="X6182" s="33"/>
      <c r="Y6182" s="33"/>
    </row>
    <row r="6183" spans="1:25" x14ac:dyDescent="0.2">
      <c r="A6183" s="93"/>
      <c r="B6183" s="94" t="str">
        <f>IFERROR(VLOOKUP($A6183,HeadJournal!$A$1:$NTR$890,COLUMN(HeadJournal!B$1),0),"")</f>
        <v/>
      </c>
      <c r="C6183" s="94" t="str">
        <f>IFERROR(VLOOKUP($A6183,HeadJournal!$A$1:$NTR$890,COLUMN(HeadJournal!C$1),0),"")</f>
        <v/>
      </c>
      <c r="D6183" s="125" t="str">
        <f>IFERROR(VLOOKUP($A6183,HeadJournal!$A$1:$NTR$890,COLUMN(HeadJournal!D$1),0),"")</f>
        <v/>
      </c>
      <c r="E6183" s="95" t="str">
        <f>IFERROR(VLOOKUP($A6183,HeadJournal!$A$1:$NTR$890,COLUMN(HeadJournal!G$1),0),"")</f>
        <v/>
      </c>
      <c r="F6183" s="95" t="str">
        <f t="shared" si="453"/>
        <v/>
      </c>
      <c r="G6183" s="97"/>
      <c r="H6183" s="161"/>
      <c r="I6183" s="97"/>
      <c r="J6183" s="97"/>
      <c r="K6183" s="29"/>
      <c r="L6183" s="29"/>
      <c r="M6183" s="30">
        <f>IFERROR(VLOOKUP($A6183,HeadJournal!$A$1:$J$890,COLUMN(HeadJournal!I$1),0)*($K6183+$L6183)/(SUMIF($A:$A,$A6183,$K:$K)+SUMIF($A:$A,$A6183,$L:$L)),0)</f>
        <v>0</v>
      </c>
      <c r="N6183" s="30">
        <f>IFERROR((VLOOKUP($A6183,HeadJournal!$A$1:$K$890,COLUMN(HeadJournal!K$1),0)-VLOOKUP($A6183,HeadJournal!$A$1:$K$890,COLUMN(HeadJournal!J$1),0))*($K6183+$L6183)/(SUMIF($A:$A,$A6183,$K:$K)+SUMIF($A:$A,$A6183,$L:$L)),0)</f>
        <v>0</v>
      </c>
      <c r="O6183" s="30">
        <f>IFERROR((VLOOKUP($A6183,HeadJournal!$A$1:$L$890,COLUMN(HeadJournal!L$1),0)*($K6183+$L6183)/(SUMIF($A:$A,$A6183,$K:$K)+SUMIF($A:$A,$A6183,$L:$L)))/VLOOKUP($A6183,HeadJournal!$A$1:$L$890,COLUMN(HeadJournal!H$1),0),0)</f>
        <v>0</v>
      </c>
      <c r="P6183" s="30">
        <f>IFERROR(SUM(K6183:O6183)*VLOOKUP($A6183,HeadJournal!$A$1:$L$890,COLUMN(HeadJournal!H$1),0),0)</f>
        <v>0</v>
      </c>
      <c r="Q6183" s="29"/>
      <c r="R6183" s="31"/>
      <c r="S6183" s="31"/>
      <c r="T6183" s="95" t="str">
        <f t="shared" si="454"/>
        <v/>
      </c>
      <c r="U6183" s="32">
        <f t="shared" si="455"/>
        <v>0</v>
      </c>
      <c r="V6183" s="22" t="str">
        <f t="shared" si="456"/>
        <v/>
      </c>
      <c r="X6183" s="33"/>
      <c r="Y6183" s="33"/>
    </row>
    <row r="6184" spans="1:25" x14ac:dyDescent="0.2">
      <c r="A6184" s="93"/>
      <c r="B6184" s="94" t="str">
        <f>IFERROR(VLOOKUP($A6184,HeadJournal!$A$1:$NTR$890,COLUMN(HeadJournal!B$1),0),"")</f>
        <v/>
      </c>
      <c r="C6184" s="94" t="str">
        <f>IFERROR(VLOOKUP($A6184,HeadJournal!$A$1:$NTR$890,COLUMN(HeadJournal!C$1),0),"")</f>
        <v/>
      </c>
      <c r="D6184" s="125" t="str">
        <f>IFERROR(VLOOKUP($A6184,HeadJournal!$A$1:$NTR$890,COLUMN(HeadJournal!D$1),0),"")</f>
        <v/>
      </c>
      <c r="E6184" s="95" t="str">
        <f>IFERROR(VLOOKUP($A6184,HeadJournal!$A$1:$NTR$890,COLUMN(HeadJournal!G$1),0),"")</f>
        <v/>
      </c>
      <c r="F6184" s="95" t="str">
        <f t="shared" si="453"/>
        <v/>
      </c>
      <c r="G6184" s="97"/>
      <c r="H6184" s="161"/>
      <c r="I6184" s="97"/>
      <c r="J6184" s="97"/>
      <c r="K6184" s="29"/>
      <c r="L6184" s="29"/>
      <c r="M6184" s="30">
        <f>IFERROR(VLOOKUP($A6184,HeadJournal!$A$1:$J$890,COLUMN(HeadJournal!I$1),0)*($K6184+$L6184)/(SUMIF($A:$A,$A6184,$K:$K)+SUMIF($A:$A,$A6184,$L:$L)),0)</f>
        <v>0</v>
      </c>
      <c r="N6184" s="30">
        <f>IFERROR((VLOOKUP($A6184,HeadJournal!$A$1:$K$890,COLUMN(HeadJournal!K$1),0)-VLOOKUP($A6184,HeadJournal!$A$1:$K$890,COLUMN(HeadJournal!J$1),0))*($K6184+$L6184)/(SUMIF($A:$A,$A6184,$K:$K)+SUMIF($A:$A,$A6184,$L:$L)),0)</f>
        <v>0</v>
      </c>
      <c r="O6184" s="30">
        <f>IFERROR((VLOOKUP($A6184,HeadJournal!$A$1:$L$890,COLUMN(HeadJournal!L$1),0)*($K6184+$L6184)/(SUMIF($A:$A,$A6184,$K:$K)+SUMIF($A:$A,$A6184,$L:$L)))/VLOOKUP($A6184,HeadJournal!$A$1:$L$890,COLUMN(HeadJournal!H$1),0),0)</f>
        <v>0</v>
      </c>
      <c r="P6184" s="30">
        <f>IFERROR(SUM(K6184:O6184)*VLOOKUP($A6184,HeadJournal!$A$1:$L$890,COLUMN(HeadJournal!H$1),0),0)</f>
        <v>0</v>
      </c>
      <c r="Q6184" s="29"/>
      <c r="R6184" s="31"/>
      <c r="S6184" s="31"/>
      <c r="T6184" s="95" t="str">
        <f t="shared" si="454"/>
        <v/>
      </c>
      <c r="U6184" s="32">
        <f t="shared" si="455"/>
        <v>0</v>
      </c>
      <c r="V6184" s="22" t="str">
        <f t="shared" si="456"/>
        <v/>
      </c>
      <c r="X6184" s="33"/>
      <c r="Y6184" s="33"/>
    </row>
    <row r="6185" spans="1:25" x14ac:dyDescent="0.2">
      <c r="A6185" s="93"/>
      <c r="B6185" s="94" t="str">
        <f>IFERROR(VLOOKUP($A6185,HeadJournal!$A$1:$NTR$890,COLUMN(HeadJournal!B$1),0),"")</f>
        <v/>
      </c>
      <c r="C6185" s="94" t="str">
        <f>IFERROR(VLOOKUP($A6185,HeadJournal!$A$1:$NTR$890,COLUMN(HeadJournal!C$1),0),"")</f>
        <v/>
      </c>
      <c r="D6185" s="125" t="str">
        <f>IFERROR(VLOOKUP($A6185,HeadJournal!$A$1:$NTR$890,COLUMN(HeadJournal!D$1),0),"")</f>
        <v/>
      </c>
      <c r="E6185" s="95" t="str">
        <f>IFERROR(VLOOKUP($A6185,HeadJournal!$A$1:$NTR$890,COLUMN(HeadJournal!G$1),0),"")</f>
        <v/>
      </c>
      <c r="F6185" s="95" t="str">
        <f t="shared" si="453"/>
        <v/>
      </c>
      <c r="G6185" s="97"/>
      <c r="H6185" s="161"/>
      <c r="I6185" s="97"/>
      <c r="J6185" s="97"/>
      <c r="K6185" s="29"/>
      <c r="L6185" s="29"/>
      <c r="M6185" s="30">
        <f>IFERROR(VLOOKUP($A6185,HeadJournal!$A$1:$J$890,COLUMN(HeadJournal!I$1),0)*($K6185+$L6185)/(SUMIF($A:$A,$A6185,$K:$K)+SUMIF($A:$A,$A6185,$L:$L)),0)</f>
        <v>0</v>
      </c>
      <c r="N6185" s="30">
        <f>IFERROR((VLOOKUP($A6185,HeadJournal!$A$1:$K$890,COLUMN(HeadJournal!K$1),0)-VLOOKUP($A6185,HeadJournal!$A$1:$K$890,COLUMN(HeadJournal!J$1),0))*($K6185+$L6185)/(SUMIF($A:$A,$A6185,$K:$K)+SUMIF($A:$A,$A6185,$L:$L)),0)</f>
        <v>0</v>
      </c>
      <c r="O6185" s="30">
        <f>IFERROR((VLOOKUP($A6185,HeadJournal!$A$1:$L$890,COLUMN(HeadJournal!L$1),0)*($K6185+$L6185)/(SUMIF($A:$A,$A6185,$K:$K)+SUMIF($A:$A,$A6185,$L:$L)))/VLOOKUP($A6185,HeadJournal!$A$1:$L$890,COLUMN(HeadJournal!H$1),0),0)</f>
        <v>0</v>
      </c>
      <c r="P6185" s="30">
        <f>IFERROR(SUM(K6185:O6185)*VLOOKUP($A6185,HeadJournal!$A$1:$L$890,COLUMN(HeadJournal!H$1),0),0)</f>
        <v>0</v>
      </c>
      <c r="Q6185" s="29"/>
      <c r="R6185" s="31"/>
      <c r="S6185" s="31"/>
      <c r="T6185" s="95" t="str">
        <f t="shared" si="454"/>
        <v/>
      </c>
      <c r="U6185" s="32">
        <f t="shared" si="455"/>
        <v>0</v>
      </c>
      <c r="V6185" s="22" t="str">
        <f t="shared" si="456"/>
        <v/>
      </c>
      <c r="X6185" s="33"/>
      <c r="Y6185" s="33"/>
    </row>
    <row r="6186" spans="1:25" x14ac:dyDescent="0.2">
      <c r="A6186" s="93"/>
      <c r="B6186" s="94" t="str">
        <f>IFERROR(VLOOKUP($A6186,HeadJournal!$A$1:$NTR$890,COLUMN(HeadJournal!B$1),0),"")</f>
        <v/>
      </c>
      <c r="C6186" s="94" t="str">
        <f>IFERROR(VLOOKUP($A6186,HeadJournal!$A$1:$NTR$890,COLUMN(HeadJournal!C$1),0),"")</f>
        <v/>
      </c>
      <c r="D6186" s="125" t="str">
        <f>IFERROR(VLOOKUP($A6186,HeadJournal!$A$1:$NTR$890,COLUMN(HeadJournal!D$1),0),"")</f>
        <v/>
      </c>
      <c r="E6186" s="95" t="str">
        <f>IFERROR(VLOOKUP($A6186,HeadJournal!$A$1:$NTR$890,COLUMN(HeadJournal!G$1),0),"")</f>
        <v/>
      </c>
      <c r="F6186" s="95" t="str">
        <f t="shared" si="453"/>
        <v/>
      </c>
      <c r="G6186" s="97"/>
      <c r="H6186" s="161"/>
      <c r="I6186" s="97"/>
      <c r="J6186" s="97"/>
      <c r="K6186" s="29"/>
      <c r="L6186" s="29"/>
      <c r="M6186" s="30">
        <f>IFERROR(VLOOKUP($A6186,HeadJournal!$A$1:$J$890,COLUMN(HeadJournal!I$1),0)*($K6186+$L6186)/(SUMIF($A:$A,$A6186,$K:$K)+SUMIF($A:$A,$A6186,$L:$L)),0)</f>
        <v>0</v>
      </c>
      <c r="N6186" s="30">
        <f>IFERROR((VLOOKUP($A6186,HeadJournal!$A$1:$K$890,COLUMN(HeadJournal!K$1),0)-VLOOKUP($A6186,HeadJournal!$A$1:$K$890,COLUMN(HeadJournal!J$1),0))*($K6186+$L6186)/(SUMIF($A:$A,$A6186,$K:$K)+SUMIF($A:$A,$A6186,$L:$L)),0)</f>
        <v>0</v>
      </c>
      <c r="O6186" s="30">
        <f>IFERROR((VLOOKUP($A6186,HeadJournal!$A$1:$L$890,COLUMN(HeadJournal!L$1),0)*($K6186+$L6186)/(SUMIF($A:$A,$A6186,$K:$K)+SUMIF($A:$A,$A6186,$L:$L)))/VLOOKUP($A6186,HeadJournal!$A$1:$L$890,COLUMN(HeadJournal!H$1),0),0)</f>
        <v>0</v>
      </c>
      <c r="P6186" s="30">
        <f>IFERROR(SUM(K6186:O6186)*VLOOKUP($A6186,HeadJournal!$A$1:$L$890,COLUMN(HeadJournal!H$1),0),0)</f>
        <v>0</v>
      </c>
      <c r="Q6186" s="29"/>
      <c r="R6186" s="31"/>
      <c r="S6186" s="31"/>
      <c r="T6186" s="95" t="str">
        <f t="shared" si="454"/>
        <v/>
      </c>
      <c r="U6186" s="32">
        <f t="shared" si="455"/>
        <v>0</v>
      </c>
      <c r="V6186" s="22" t="str">
        <f t="shared" si="456"/>
        <v/>
      </c>
      <c r="X6186" s="33"/>
      <c r="Y6186" s="33"/>
    </row>
    <row r="6187" spans="1:25" x14ac:dyDescent="0.2">
      <c r="A6187" s="93"/>
      <c r="B6187" s="94" t="str">
        <f>IFERROR(VLOOKUP($A6187,HeadJournal!$A$1:$NTR$890,COLUMN(HeadJournal!B$1),0),"")</f>
        <v/>
      </c>
      <c r="C6187" s="94" t="str">
        <f>IFERROR(VLOOKUP($A6187,HeadJournal!$A$1:$NTR$890,COLUMN(HeadJournal!C$1),0),"")</f>
        <v/>
      </c>
      <c r="D6187" s="125" t="str">
        <f>IFERROR(VLOOKUP($A6187,HeadJournal!$A$1:$NTR$890,COLUMN(HeadJournal!D$1),0),"")</f>
        <v/>
      </c>
      <c r="E6187" s="95" t="str">
        <f>IFERROR(VLOOKUP($A6187,HeadJournal!$A$1:$NTR$890,COLUMN(HeadJournal!G$1),0),"")</f>
        <v/>
      </c>
      <c r="F6187" s="95" t="str">
        <f t="shared" si="453"/>
        <v/>
      </c>
      <c r="G6187" s="97"/>
      <c r="H6187" s="161"/>
      <c r="I6187" s="97"/>
      <c r="J6187" s="97"/>
      <c r="K6187" s="29"/>
      <c r="L6187" s="29"/>
      <c r="M6187" s="30">
        <f>IFERROR(VLOOKUP($A6187,HeadJournal!$A$1:$J$890,COLUMN(HeadJournal!I$1),0)*($K6187+$L6187)/(SUMIF($A:$A,$A6187,$K:$K)+SUMIF($A:$A,$A6187,$L:$L)),0)</f>
        <v>0</v>
      </c>
      <c r="N6187" s="30">
        <f>IFERROR((VLOOKUP($A6187,HeadJournal!$A$1:$K$890,COLUMN(HeadJournal!K$1),0)-VLOOKUP($A6187,HeadJournal!$A$1:$K$890,COLUMN(HeadJournal!J$1),0))*($K6187+$L6187)/(SUMIF($A:$A,$A6187,$K:$K)+SUMIF($A:$A,$A6187,$L:$L)),0)</f>
        <v>0</v>
      </c>
      <c r="O6187" s="30">
        <f>IFERROR((VLOOKUP($A6187,HeadJournal!$A$1:$L$890,COLUMN(HeadJournal!L$1),0)*($K6187+$L6187)/(SUMIF($A:$A,$A6187,$K:$K)+SUMIF($A:$A,$A6187,$L:$L)))/VLOOKUP($A6187,HeadJournal!$A$1:$L$890,COLUMN(HeadJournal!H$1),0),0)</f>
        <v>0</v>
      </c>
      <c r="P6187" s="30">
        <f>IFERROR(SUM(K6187:O6187)*VLOOKUP($A6187,HeadJournal!$A$1:$L$890,COLUMN(HeadJournal!H$1),0),0)</f>
        <v>0</v>
      </c>
      <c r="Q6187" s="29"/>
      <c r="R6187" s="31"/>
      <c r="S6187" s="31"/>
      <c r="T6187" s="95" t="str">
        <f t="shared" si="454"/>
        <v/>
      </c>
      <c r="U6187" s="32">
        <f t="shared" si="455"/>
        <v>0</v>
      </c>
      <c r="V6187" s="22" t="str">
        <f t="shared" si="456"/>
        <v/>
      </c>
      <c r="X6187" s="33"/>
      <c r="Y6187" s="33"/>
    </row>
    <row r="6188" spans="1:25" x14ac:dyDescent="0.2">
      <c r="A6188" s="93"/>
      <c r="B6188" s="94" t="str">
        <f>IFERROR(VLOOKUP($A6188,HeadJournal!$A$1:$NTR$890,COLUMN(HeadJournal!B$1),0),"")</f>
        <v/>
      </c>
      <c r="C6188" s="94" t="str">
        <f>IFERROR(VLOOKUP($A6188,HeadJournal!$A$1:$NTR$890,COLUMN(HeadJournal!C$1),0),"")</f>
        <v/>
      </c>
      <c r="D6188" s="125" t="str">
        <f>IFERROR(VLOOKUP($A6188,HeadJournal!$A$1:$NTR$890,COLUMN(HeadJournal!D$1),0),"")</f>
        <v/>
      </c>
      <c r="E6188" s="95" t="str">
        <f>IFERROR(VLOOKUP($A6188,HeadJournal!$A$1:$NTR$890,COLUMN(HeadJournal!G$1),0),"")</f>
        <v/>
      </c>
      <c r="F6188" s="95" t="str">
        <f t="shared" si="453"/>
        <v/>
      </c>
      <c r="G6188" s="97"/>
      <c r="H6188" s="161"/>
      <c r="I6188" s="97"/>
      <c r="J6188" s="97"/>
      <c r="K6188" s="29"/>
      <c r="L6188" s="29"/>
      <c r="M6188" s="30">
        <f>IFERROR(VLOOKUP($A6188,HeadJournal!$A$1:$J$890,COLUMN(HeadJournal!I$1),0)*($K6188+$L6188)/(SUMIF($A:$A,$A6188,$K:$K)+SUMIF($A:$A,$A6188,$L:$L)),0)</f>
        <v>0</v>
      </c>
      <c r="N6188" s="30">
        <f>IFERROR((VLOOKUP($A6188,HeadJournal!$A$1:$K$890,COLUMN(HeadJournal!K$1),0)-VLOOKUP($A6188,HeadJournal!$A$1:$K$890,COLUMN(HeadJournal!J$1),0))*($K6188+$L6188)/(SUMIF($A:$A,$A6188,$K:$K)+SUMIF($A:$A,$A6188,$L:$L)),0)</f>
        <v>0</v>
      </c>
      <c r="O6188" s="30">
        <f>IFERROR((VLOOKUP($A6188,HeadJournal!$A$1:$L$890,COLUMN(HeadJournal!L$1),0)*($K6188+$L6188)/(SUMIF($A:$A,$A6188,$K:$K)+SUMIF($A:$A,$A6188,$L:$L)))/VLOOKUP($A6188,HeadJournal!$A$1:$L$890,COLUMN(HeadJournal!H$1),0),0)</f>
        <v>0</v>
      </c>
      <c r="P6188" s="30">
        <f>IFERROR(SUM(K6188:O6188)*VLOOKUP($A6188,HeadJournal!$A$1:$L$890,COLUMN(HeadJournal!H$1),0),0)</f>
        <v>0</v>
      </c>
      <c r="Q6188" s="29"/>
      <c r="R6188" s="31"/>
      <c r="S6188" s="31"/>
      <c r="T6188" s="95" t="str">
        <f t="shared" si="454"/>
        <v/>
      </c>
      <c r="U6188" s="32">
        <f t="shared" si="455"/>
        <v>0</v>
      </c>
      <c r="V6188" s="22" t="str">
        <f t="shared" si="456"/>
        <v/>
      </c>
      <c r="X6188" s="33"/>
      <c r="Y6188" s="33"/>
    </row>
    <row r="6189" spans="1:25" x14ac:dyDescent="0.2">
      <c r="A6189" s="93"/>
      <c r="B6189" s="94" t="str">
        <f>IFERROR(VLOOKUP($A6189,HeadJournal!$A$1:$NTR$890,COLUMN(HeadJournal!B$1),0),"")</f>
        <v/>
      </c>
      <c r="C6189" s="94" t="str">
        <f>IFERROR(VLOOKUP($A6189,HeadJournal!$A$1:$NTR$890,COLUMN(HeadJournal!C$1),0),"")</f>
        <v/>
      </c>
      <c r="D6189" s="125" t="str">
        <f>IFERROR(VLOOKUP($A6189,HeadJournal!$A$1:$NTR$890,COLUMN(HeadJournal!D$1),0),"")</f>
        <v/>
      </c>
      <c r="E6189" s="95" t="str">
        <f>IFERROR(VLOOKUP($A6189,HeadJournal!$A$1:$NTR$890,COLUMN(HeadJournal!G$1),0),"")</f>
        <v/>
      </c>
      <c r="F6189" s="95" t="str">
        <f t="shared" si="453"/>
        <v/>
      </c>
      <c r="G6189" s="97"/>
      <c r="H6189" s="161"/>
      <c r="I6189" s="97"/>
      <c r="J6189" s="97"/>
      <c r="K6189" s="29"/>
      <c r="L6189" s="29"/>
      <c r="M6189" s="30">
        <f>IFERROR(VLOOKUP($A6189,HeadJournal!$A$1:$J$890,COLUMN(HeadJournal!I$1),0)*($K6189+$L6189)/(SUMIF($A:$A,$A6189,$K:$K)+SUMIF($A:$A,$A6189,$L:$L)),0)</f>
        <v>0</v>
      </c>
      <c r="N6189" s="30">
        <f>IFERROR((VLOOKUP($A6189,HeadJournal!$A$1:$K$890,COLUMN(HeadJournal!K$1),0)-VLOOKUP($A6189,HeadJournal!$A$1:$K$890,COLUMN(HeadJournal!J$1),0))*($K6189+$L6189)/(SUMIF($A:$A,$A6189,$K:$K)+SUMIF($A:$A,$A6189,$L:$L)),0)</f>
        <v>0</v>
      </c>
      <c r="O6189" s="30">
        <f>IFERROR((VLOOKUP($A6189,HeadJournal!$A$1:$L$890,COLUMN(HeadJournal!L$1),0)*($K6189+$L6189)/(SUMIF($A:$A,$A6189,$K:$K)+SUMIF($A:$A,$A6189,$L:$L)))/VLOOKUP($A6189,HeadJournal!$A$1:$L$890,COLUMN(HeadJournal!H$1),0),0)</f>
        <v>0</v>
      </c>
      <c r="P6189" s="30">
        <f>IFERROR(SUM(K6189:O6189)*VLOOKUP($A6189,HeadJournal!$A$1:$L$890,COLUMN(HeadJournal!H$1),0),0)</f>
        <v>0</v>
      </c>
      <c r="Q6189" s="29"/>
      <c r="R6189" s="31"/>
      <c r="S6189" s="31"/>
      <c r="T6189" s="95" t="str">
        <f t="shared" si="454"/>
        <v/>
      </c>
      <c r="U6189" s="32">
        <f t="shared" si="455"/>
        <v>0</v>
      </c>
      <c r="V6189" s="22" t="str">
        <f t="shared" si="456"/>
        <v/>
      </c>
      <c r="X6189" s="33"/>
      <c r="Y6189" s="33"/>
    </row>
    <row r="6190" spans="1:25" x14ac:dyDescent="0.2">
      <c r="A6190" s="93"/>
      <c r="B6190" s="94" t="str">
        <f>IFERROR(VLOOKUP($A6190,HeadJournal!$A$1:$NTR$890,COLUMN(HeadJournal!B$1),0),"")</f>
        <v/>
      </c>
      <c r="C6190" s="94" t="str">
        <f>IFERROR(VLOOKUP($A6190,HeadJournal!$A$1:$NTR$890,COLUMN(HeadJournal!C$1),0),"")</f>
        <v/>
      </c>
      <c r="D6190" s="125" t="str">
        <f>IFERROR(VLOOKUP($A6190,HeadJournal!$A$1:$NTR$890,COLUMN(HeadJournal!D$1),0),"")</f>
        <v/>
      </c>
      <c r="E6190" s="95" t="str">
        <f>IFERROR(VLOOKUP($A6190,HeadJournal!$A$1:$NTR$890,COLUMN(HeadJournal!G$1),0),"")</f>
        <v/>
      </c>
      <c r="F6190" s="95" t="str">
        <f t="shared" si="453"/>
        <v/>
      </c>
      <c r="G6190" s="97"/>
      <c r="H6190" s="161"/>
      <c r="I6190" s="97"/>
      <c r="J6190" s="97"/>
      <c r="K6190" s="29"/>
      <c r="L6190" s="29"/>
      <c r="M6190" s="30">
        <f>IFERROR(VLOOKUP($A6190,HeadJournal!$A$1:$J$890,COLUMN(HeadJournal!I$1),0)*($K6190+$L6190)/(SUMIF($A:$A,$A6190,$K:$K)+SUMIF($A:$A,$A6190,$L:$L)),0)</f>
        <v>0</v>
      </c>
      <c r="N6190" s="30">
        <f>IFERROR((VLOOKUP($A6190,HeadJournal!$A$1:$K$890,COLUMN(HeadJournal!K$1),0)-VLOOKUP($A6190,HeadJournal!$A$1:$K$890,COLUMN(HeadJournal!J$1),0))*($K6190+$L6190)/(SUMIF($A:$A,$A6190,$K:$K)+SUMIF($A:$A,$A6190,$L:$L)),0)</f>
        <v>0</v>
      </c>
      <c r="O6190" s="30">
        <f>IFERROR((VLOOKUP($A6190,HeadJournal!$A$1:$L$890,COLUMN(HeadJournal!L$1),0)*($K6190+$L6190)/(SUMIF($A:$A,$A6190,$K:$K)+SUMIF($A:$A,$A6190,$L:$L)))/VLOOKUP($A6190,HeadJournal!$A$1:$L$890,COLUMN(HeadJournal!H$1),0),0)</f>
        <v>0</v>
      </c>
      <c r="P6190" s="30">
        <f>IFERROR(SUM(K6190:O6190)*VLOOKUP($A6190,HeadJournal!$A$1:$L$890,COLUMN(HeadJournal!H$1),0),0)</f>
        <v>0</v>
      </c>
      <c r="Q6190" s="29"/>
      <c r="R6190" s="31"/>
      <c r="S6190" s="31"/>
      <c r="T6190" s="95" t="str">
        <f t="shared" si="454"/>
        <v/>
      </c>
      <c r="U6190" s="32">
        <f t="shared" si="455"/>
        <v>0</v>
      </c>
      <c r="V6190" s="22" t="str">
        <f t="shared" si="456"/>
        <v/>
      </c>
      <c r="X6190" s="33"/>
      <c r="Y6190" s="33"/>
    </row>
    <row r="6191" spans="1:25" x14ac:dyDescent="0.2">
      <c r="A6191" s="93"/>
      <c r="B6191" s="94" t="str">
        <f>IFERROR(VLOOKUP($A6191,HeadJournal!$A$1:$NTR$890,COLUMN(HeadJournal!B$1),0),"")</f>
        <v/>
      </c>
      <c r="C6191" s="94" t="str">
        <f>IFERROR(VLOOKUP($A6191,HeadJournal!$A$1:$NTR$890,COLUMN(HeadJournal!C$1),0),"")</f>
        <v/>
      </c>
      <c r="D6191" s="125" t="str">
        <f>IFERROR(VLOOKUP($A6191,HeadJournal!$A$1:$NTR$890,COLUMN(HeadJournal!D$1),0),"")</f>
        <v/>
      </c>
      <c r="E6191" s="95" t="str">
        <f>IFERROR(VLOOKUP($A6191,HeadJournal!$A$1:$NTR$890,COLUMN(HeadJournal!G$1),0),"")</f>
        <v/>
      </c>
      <c r="F6191" s="95" t="str">
        <f t="shared" si="453"/>
        <v/>
      </c>
      <c r="G6191" s="97"/>
      <c r="H6191" s="161"/>
      <c r="I6191" s="97"/>
      <c r="J6191" s="97"/>
      <c r="K6191" s="29"/>
      <c r="L6191" s="29"/>
      <c r="M6191" s="30">
        <f>IFERROR(VLOOKUP($A6191,HeadJournal!$A$1:$J$890,COLUMN(HeadJournal!I$1),0)*($K6191+$L6191)/(SUMIF($A:$A,$A6191,$K:$K)+SUMIF($A:$A,$A6191,$L:$L)),0)</f>
        <v>0</v>
      </c>
      <c r="N6191" s="30">
        <f>IFERROR((VLOOKUP($A6191,HeadJournal!$A$1:$K$890,COLUMN(HeadJournal!K$1),0)-VLOOKUP($A6191,HeadJournal!$A$1:$K$890,COLUMN(HeadJournal!J$1),0))*($K6191+$L6191)/(SUMIF($A:$A,$A6191,$K:$K)+SUMIF($A:$A,$A6191,$L:$L)),0)</f>
        <v>0</v>
      </c>
      <c r="O6191" s="30">
        <f>IFERROR((VLOOKUP($A6191,HeadJournal!$A$1:$L$890,COLUMN(HeadJournal!L$1),0)*($K6191+$L6191)/(SUMIF($A:$A,$A6191,$K:$K)+SUMIF($A:$A,$A6191,$L:$L)))/VLOOKUP($A6191,HeadJournal!$A$1:$L$890,COLUMN(HeadJournal!H$1),0),0)</f>
        <v>0</v>
      </c>
      <c r="P6191" s="30">
        <f>IFERROR(SUM(K6191:O6191)*VLOOKUP($A6191,HeadJournal!$A$1:$L$890,COLUMN(HeadJournal!H$1),0),0)</f>
        <v>0</v>
      </c>
      <c r="Q6191" s="29"/>
      <c r="R6191" s="31"/>
      <c r="S6191" s="31"/>
      <c r="T6191" s="95" t="str">
        <f t="shared" si="454"/>
        <v/>
      </c>
      <c r="U6191" s="32">
        <f t="shared" si="455"/>
        <v>0</v>
      </c>
      <c r="V6191" s="22" t="str">
        <f t="shared" si="456"/>
        <v/>
      </c>
      <c r="X6191" s="33"/>
      <c r="Y6191" s="33"/>
    </row>
    <row r="6192" spans="1:25" x14ac:dyDescent="0.2">
      <c r="A6192" s="93"/>
      <c r="B6192" s="94" t="str">
        <f>IFERROR(VLOOKUP($A6192,HeadJournal!$A$1:$NTR$890,COLUMN(HeadJournal!B$1),0),"")</f>
        <v/>
      </c>
      <c r="C6192" s="94" t="str">
        <f>IFERROR(VLOOKUP($A6192,HeadJournal!$A$1:$NTR$890,COLUMN(HeadJournal!C$1),0),"")</f>
        <v/>
      </c>
      <c r="D6192" s="125" t="str">
        <f>IFERROR(VLOOKUP($A6192,HeadJournal!$A$1:$NTR$890,COLUMN(HeadJournal!D$1),0),"")</f>
        <v/>
      </c>
      <c r="E6192" s="95" t="str">
        <f>IFERROR(VLOOKUP($A6192,HeadJournal!$A$1:$NTR$890,COLUMN(HeadJournal!G$1),0),"")</f>
        <v/>
      </c>
      <c r="F6192" s="95" t="str">
        <f t="shared" si="453"/>
        <v/>
      </c>
      <c r="G6192" s="97"/>
      <c r="H6192" s="161"/>
      <c r="I6192" s="97"/>
      <c r="J6192" s="97"/>
      <c r="K6192" s="29"/>
      <c r="L6192" s="29"/>
      <c r="M6192" s="30">
        <f>IFERROR(VLOOKUP($A6192,HeadJournal!$A$1:$J$890,COLUMN(HeadJournal!I$1),0)*($K6192+$L6192)/(SUMIF($A:$A,$A6192,$K:$K)+SUMIF($A:$A,$A6192,$L:$L)),0)</f>
        <v>0</v>
      </c>
      <c r="N6192" s="30">
        <f>IFERROR((VLOOKUP($A6192,HeadJournal!$A$1:$K$890,COLUMN(HeadJournal!K$1),0)-VLOOKUP($A6192,HeadJournal!$A$1:$K$890,COLUMN(HeadJournal!J$1),0))*($K6192+$L6192)/(SUMIF($A:$A,$A6192,$K:$K)+SUMIF($A:$A,$A6192,$L:$L)),0)</f>
        <v>0</v>
      </c>
      <c r="O6192" s="30">
        <f>IFERROR((VLOOKUP($A6192,HeadJournal!$A$1:$L$890,COLUMN(HeadJournal!L$1),0)*($K6192+$L6192)/(SUMIF($A:$A,$A6192,$K:$K)+SUMIF($A:$A,$A6192,$L:$L)))/VLOOKUP($A6192,HeadJournal!$A$1:$L$890,COLUMN(HeadJournal!H$1),0),0)</f>
        <v>0</v>
      </c>
      <c r="P6192" s="30">
        <f>IFERROR(SUM(K6192:O6192)*VLOOKUP($A6192,HeadJournal!$A$1:$L$890,COLUMN(HeadJournal!H$1),0),0)</f>
        <v>0</v>
      </c>
      <c r="Q6192" s="29"/>
      <c r="R6192" s="31"/>
      <c r="S6192" s="31"/>
      <c r="T6192" s="95" t="str">
        <f t="shared" si="454"/>
        <v/>
      </c>
      <c r="U6192" s="32">
        <f t="shared" si="455"/>
        <v>0</v>
      </c>
      <c r="V6192" s="22" t="str">
        <f t="shared" si="456"/>
        <v/>
      </c>
      <c r="X6192" s="33"/>
      <c r="Y6192" s="33"/>
    </row>
    <row r="6193" spans="1:25" x14ac:dyDescent="0.2">
      <c r="A6193" s="93"/>
      <c r="B6193" s="94" t="str">
        <f>IFERROR(VLOOKUP($A6193,HeadJournal!$A$1:$NTR$890,COLUMN(HeadJournal!B$1),0),"")</f>
        <v/>
      </c>
      <c r="C6193" s="94" t="str">
        <f>IFERROR(VLOOKUP($A6193,HeadJournal!$A$1:$NTR$890,COLUMN(HeadJournal!C$1),0),"")</f>
        <v/>
      </c>
      <c r="D6193" s="125" t="str">
        <f>IFERROR(VLOOKUP($A6193,HeadJournal!$A$1:$NTR$890,COLUMN(HeadJournal!D$1),0),"")</f>
        <v/>
      </c>
      <c r="E6193" s="95" t="str">
        <f>IFERROR(VLOOKUP($A6193,HeadJournal!$A$1:$NTR$890,COLUMN(HeadJournal!G$1),0),"")</f>
        <v/>
      </c>
      <c r="F6193" s="95" t="str">
        <f t="shared" si="453"/>
        <v/>
      </c>
      <c r="G6193" s="97"/>
      <c r="H6193" s="161"/>
      <c r="I6193" s="97"/>
      <c r="J6193" s="97"/>
      <c r="K6193" s="29"/>
      <c r="L6193" s="29"/>
      <c r="M6193" s="30">
        <f>IFERROR(VLOOKUP($A6193,HeadJournal!$A$1:$J$890,COLUMN(HeadJournal!I$1),0)*($K6193+$L6193)/(SUMIF($A:$A,$A6193,$K:$K)+SUMIF($A:$A,$A6193,$L:$L)),0)</f>
        <v>0</v>
      </c>
      <c r="N6193" s="30">
        <f>IFERROR((VLOOKUP($A6193,HeadJournal!$A$1:$K$890,COLUMN(HeadJournal!K$1),0)-VLOOKUP($A6193,HeadJournal!$A$1:$K$890,COLUMN(HeadJournal!J$1),0))*($K6193+$L6193)/(SUMIF($A:$A,$A6193,$K:$K)+SUMIF($A:$A,$A6193,$L:$L)),0)</f>
        <v>0</v>
      </c>
      <c r="O6193" s="30">
        <f>IFERROR((VLOOKUP($A6193,HeadJournal!$A$1:$L$890,COLUMN(HeadJournal!L$1),0)*($K6193+$L6193)/(SUMIF($A:$A,$A6193,$K:$K)+SUMIF($A:$A,$A6193,$L:$L)))/VLOOKUP($A6193,HeadJournal!$A$1:$L$890,COLUMN(HeadJournal!H$1),0),0)</f>
        <v>0</v>
      </c>
      <c r="P6193" s="30">
        <f>IFERROR(SUM(K6193:O6193)*VLOOKUP($A6193,HeadJournal!$A$1:$L$890,COLUMN(HeadJournal!H$1),0),0)</f>
        <v>0</v>
      </c>
      <c r="Q6193" s="29"/>
      <c r="R6193" s="31"/>
      <c r="S6193" s="31"/>
      <c r="T6193" s="95" t="str">
        <f t="shared" si="454"/>
        <v/>
      </c>
      <c r="U6193" s="32">
        <f t="shared" si="455"/>
        <v>0</v>
      </c>
      <c r="V6193" s="22" t="str">
        <f t="shared" si="456"/>
        <v/>
      </c>
      <c r="X6193" s="33"/>
      <c r="Y6193" s="33"/>
    </row>
    <row r="6194" spans="1:25" x14ac:dyDescent="0.2">
      <c r="A6194" s="93"/>
      <c r="B6194" s="94" t="str">
        <f>IFERROR(VLOOKUP($A6194,HeadJournal!$A$1:$NTR$890,COLUMN(HeadJournal!B$1),0),"")</f>
        <v/>
      </c>
      <c r="C6194" s="94" t="str">
        <f>IFERROR(VLOOKUP($A6194,HeadJournal!$A$1:$NTR$890,COLUMN(HeadJournal!C$1),0),"")</f>
        <v/>
      </c>
      <c r="D6194" s="125" t="str">
        <f>IFERROR(VLOOKUP($A6194,HeadJournal!$A$1:$NTR$890,COLUMN(HeadJournal!D$1),0),"")</f>
        <v/>
      </c>
      <c r="E6194" s="95" t="str">
        <f>IFERROR(VLOOKUP($A6194,HeadJournal!$A$1:$NTR$890,COLUMN(HeadJournal!G$1),0),"")</f>
        <v/>
      </c>
      <c r="F6194" s="95" t="str">
        <f t="shared" si="453"/>
        <v/>
      </c>
      <c r="G6194" s="97"/>
      <c r="H6194" s="161"/>
      <c r="I6194" s="97"/>
      <c r="J6194" s="97"/>
      <c r="K6194" s="29"/>
      <c r="L6194" s="29"/>
      <c r="M6194" s="30">
        <f>IFERROR(VLOOKUP($A6194,HeadJournal!$A$1:$J$890,COLUMN(HeadJournal!I$1),0)*($K6194+$L6194)/(SUMIF($A:$A,$A6194,$K:$K)+SUMIF($A:$A,$A6194,$L:$L)),0)</f>
        <v>0</v>
      </c>
      <c r="N6194" s="30">
        <f>IFERROR((VLOOKUP($A6194,HeadJournal!$A$1:$K$890,COLUMN(HeadJournal!K$1),0)-VLOOKUP($A6194,HeadJournal!$A$1:$K$890,COLUMN(HeadJournal!J$1),0))*($K6194+$L6194)/(SUMIF($A:$A,$A6194,$K:$K)+SUMIF($A:$A,$A6194,$L:$L)),0)</f>
        <v>0</v>
      </c>
      <c r="O6194" s="30">
        <f>IFERROR((VLOOKUP($A6194,HeadJournal!$A$1:$L$890,COLUMN(HeadJournal!L$1),0)*($K6194+$L6194)/(SUMIF($A:$A,$A6194,$K:$K)+SUMIF($A:$A,$A6194,$L:$L)))/VLOOKUP($A6194,HeadJournal!$A$1:$L$890,COLUMN(HeadJournal!H$1),0),0)</f>
        <v>0</v>
      </c>
      <c r="P6194" s="30">
        <f>IFERROR(SUM(K6194:O6194)*VLOOKUP($A6194,HeadJournal!$A$1:$L$890,COLUMN(HeadJournal!H$1),0),0)</f>
        <v>0</v>
      </c>
      <c r="Q6194" s="29"/>
      <c r="R6194" s="31"/>
      <c r="S6194" s="31"/>
      <c r="T6194" s="95" t="str">
        <f t="shared" si="454"/>
        <v/>
      </c>
      <c r="U6194" s="32">
        <f t="shared" si="455"/>
        <v>0</v>
      </c>
      <c r="V6194" s="22" t="str">
        <f t="shared" si="456"/>
        <v/>
      </c>
      <c r="X6194" s="33"/>
      <c r="Y6194" s="33"/>
    </row>
    <row r="6195" spans="1:25" x14ac:dyDescent="0.2">
      <c r="A6195" s="93"/>
      <c r="B6195" s="94" t="str">
        <f>IFERROR(VLOOKUP($A6195,HeadJournal!$A$1:$NTR$890,COLUMN(HeadJournal!B$1),0),"")</f>
        <v/>
      </c>
      <c r="C6195" s="94" t="str">
        <f>IFERROR(VLOOKUP($A6195,HeadJournal!$A$1:$NTR$890,COLUMN(HeadJournal!C$1),0),"")</f>
        <v/>
      </c>
      <c r="D6195" s="125" t="str">
        <f>IFERROR(VLOOKUP($A6195,HeadJournal!$A$1:$NTR$890,COLUMN(HeadJournal!D$1),0),"")</f>
        <v/>
      </c>
      <c r="E6195" s="95" t="str">
        <f>IFERROR(VLOOKUP($A6195,HeadJournal!$A$1:$NTR$890,COLUMN(HeadJournal!G$1),0),"")</f>
        <v/>
      </c>
      <c r="F6195" s="95" t="str">
        <f t="shared" si="453"/>
        <v/>
      </c>
      <c r="G6195" s="97"/>
      <c r="H6195" s="161"/>
      <c r="I6195" s="97"/>
      <c r="J6195" s="97"/>
      <c r="K6195" s="29"/>
      <c r="L6195" s="29"/>
      <c r="M6195" s="30">
        <f>IFERROR(VLOOKUP($A6195,HeadJournal!$A$1:$J$890,COLUMN(HeadJournal!I$1),0)*($K6195+$L6195)/(SUMIF($A:$A,$A6195,$K:$K)+SUMIF($A:$A,$A6195,$L:$L)),0)</f>
        <v>0</v>
      </c>
      <c r="N6195" s="30">
        <f>IFERROR((VLOOKUP($A6195,HeadJournal!$A$1:$K$890,COLUMN(HeadJournal!K$1),0)-VLOOKUP($A6195,HeadJournal!$A$1:$K$890,COLUMN(HeadJournal!J$1),0))*($K6195+$L6195)/(SUMIF($A:$A,$A6195,$K:$K)+SUMIF($A:$A,$A6195,$L:$L)),0)</f>
        <v>0</v>
      </c>
      <c r="O6195" s="30">
        <f>IFERROR((VLOOKUP($A6195,HeadJournal!$A$1:$L$890,COLUMN(HeadJournal!L$1),0)*($K6195+$L6195)/(SUMIF($A:$A,$A6195,$K:$K)+SUMIF($A:$A,$A6195,$L:$L)))/VLOOKUP($A6195,HeadJournal!$A$1:$L$890,COLUMN(HeadJournal!H$1),0),0)</f>
        <v>0</v>
      </c>
      <c r="P6195" s="30">
        <f>IFERROR(SUM(K6195:O6195)*VLOOKUP($A6195,HeadJournal!$A$1:$L$890,COLUMN(HeadJournal!H$1),0),0)</f>
        <v>0</v>
      </c>
      <c r="Q6195" s="29"/>
      <c r="R6195" s="31"/>
      <c r="S6195" s="31"/>
      <c r="T6195" s="95" t="str">
        <f t="shared" si="454"/>
        <v/>
      </c>
      <c r="U6195" s="32">
        <f t="shared" si="455"/>
        <v>0</v>
      </c>
      <c r="V6195" s="22" t="str">
        <f t="shared" si="456"/>
        <v/>
      </c>
      <c r="X6195" s="33"/>
      <c r="Y6195" s="33"/>
    </row>
    <row r="6196" spans="1:25" x14ac:dyDescent="0.2">
      <c r="A6196" s="93"/>
      <c r="B6196" s="94" t="str">
        <f>IFERROR(VLOOKUP($A6196,HeadJournal!$A$1:$NTR$890,COLUMN(HeadJournal!B$1),0),"")</f>
        <v/>
      </c>
      <c r="C6196" s="94" t="str">
        <f>IFERROR(VLOOKUP($A6196,HeadJournal!$A$1:$NTR$890,COLUMN(HeadJournal!C$1),0),"")</f>
        <v/>
      </c>
      <c r="D6196" s="125" t="str">
        <f>IFERROR(VLOOKUP($A6196,HeadJournal!$A$1:$NTR$890,COLUMN(HeadJournal!D$1),0),"")</f>
        <v/>
      </c>
      <c r="E6196" s="95" t="str">
        <f>IFERROR(VLOOKUP($A6196,HeadJournal!$A$1:$NTR$890,COLUMN(HeadJournal!G$1),0),"")</f>
        <v/>
      </c>
      <c r="F6196" s="95" t="str">
        <f t="shared" si="453"/>
        <v/>
      </c>
      <c r="G6196" s="97"/>
      <c r="H6196" s="161"/>
      <c r="I6196" s="97"/>
      <c r="J6196" s="97"/>
      <c r="K6196" s="29"/>
      <c r="L6196" s="29"/>
      <c r="M6196" s="30">
        <f>IFERROR(VLOOKUP($A6196,HeadJournal!$A$1:$J$890,COLUMN(HeadJournal!I$1),0)*($K6196+$L6196)/(SUMIF($A:$A,$A6196,$K:$K)+SUMIF($A:$A,$A6196,$L:$L)),0)</f>
        <v>0</v>
      </c>
      <c r="N6196" s="30">
        <f>IFERROR((VLOOKUP($A6196,HeadJournal!$A$1:$K$890,COLUMN(HeadJournal!K$1),0)-VLOOKUP($A6196,HeadJournal!$A$1:$K$890,COLUMN(HeadJournal!J$1),0))*($K6196+$L6196)/(SUMIF($A:$A,$A6196,$K:$K)+SUMIF($A:$A,$A6196,$L:$L)),0)</f>
        <v>0</v>
      </c>
      <c r="O6196" s="30">
        <f>IFERROR((VLOOKUP($A6196,HeadJournal!$A$1:$L$890,COLUMN(HeadJournal!L$1),0)*($K6196+$L6196)/(SUMIF($A:$A,$A6196,$K:$K)+SUMIF($A:$A,$A6196,$L:$L)))/VLOOKUP($A6196,HeadJournal!$A$1:$L$890,COLUMN(HeadJournal!H$1),0),0)</f>
        <v>0</v>
      </c>
      <c r="P6196" s="30">
        <f>IFERROR(SUM(K6196:O6196)*VLOOKUP($A6196,HeadJournal!$A$1:$L$890,COLUMN(HeadJournal!H$1),0),0)</f>
        <v>0</v>
      </c>
      <c r="Q6196" s="29"/>
      <c r="R6196" s="31"/>
      <c r="S6196" s="31"/>
      <c r="T6196" s="95" t="str">
        <f t="shared" si="454"/>
        <v/>
      </c>
      <c r="U6196" s="32">
        <f t="shared" si="455"/>
        <v>0</v>
      </c>
      <c r="V6196" s="22" t="str">
        <f t="shared" si="456"/>
        <v/>
      </c>
      <c r="X6196" s="33"/>
      <c r="Y6196" s="33"/>
    </row>
    <row r="6197" spans="1:25" x14ac:dyDescent="0.2">
      <c r="A6197" s="93"/>
      <c r="B6197" s="94" t="str">
        <f>IFERROR(VLOOKUP($A6197,HeadJournal!$A$1:$NTR$890,COLUMN(HeadJournal!B$1),0),"")</f>
        <v/>
      </c>
      <c r="C6197" s="94" t="str">
        <f>IFERROR(VLOOKUP($A6197,HeadJournal!$A$1:$NTR$890,COLUMN(HeadJournal!C$1),0),"")</f>
        <v/>
      </c>
      <c r="D6197" s="125" t="str">
        <f>IFERROR(VLOOKUP($A6197,HeadJournal!$A$1:$NTR$890,COLUMN(HeadJournal!D$1),0),"")</f>
        <v/>
      </c>
      <c r="E6197" s="95" t="str">
        <f>IFERROR(VLOOKUP($A6197,HeadJournal!$A$1:$NTR$890,COLUMN(HeadJournal!G$1),0),"")</f>
        <v/>
      </c>
      <c r="F6197" s="95" t="str">
        <f t="shared" si="453"/>
        <v/>
      </c>
      <c r="G6197" s="97"/>
      <c r="H6197" s="161"/>
      <c r="I6197" s="97"/>
      <c r="J6197" s="97"/>
      <c r="K6197" s="29"/>
      <c r="L6197" s="29"/>
      <c r="M6197" s="30">
        <f>IFERROR(VLOOKUP($A6197,HeadJournal!$A$1:$J$890,COLUMN(HeadJournal!I$1),0)*($K6197+$L6197)/(SUMIF($A:$A,$A6197,$K:$K)+SUMIF($A:$A,$A6197,$L:$L)),0)</f>
        <v>0</v>
      </c>
      <c r="N6197" s="30">
        <f>IFERROR((VLOOKUP($A6197,HeadJournal!$A$1:$K$890,COLUMN(HeadJournal!K$1),0)-VLOOKUP($A6197,HeadJournal!$A$1:$K$890,COLUMN(HeadJournal!J$1),0))*($K6197+$L6197)/(SUMIF($A:$A,$A6197,$K:$K)+SUMIF($A:$A,$A6197,$L:$L)),0)</f>
        <v>0</v>
      </c>
      <c r="O6197" s="30">
        <f>IFERROR((VLOOKUP($A6197,HeadJournal!$A$1:$L$890,COLUMN(HeadJournal!L$1),0)*($K6197+$L6197)/(SUMIF($A:$A,$A6197,$K:$K)+SUMIF($A:$A,$A6197,$L:$L)))/VLOOKUP($A6197,HeadJournal!$A$1:$L$890,COLUMN(HeadJournal!H$1),0),0)</f>
        <v>0</v>
      </c>
      <c r="P6197" s="30">
        <f>IFERROR(SUM(K6197:O6197)*VLOOKUP($A6197,HeadJournal!$A$1:$L$890,COLUMN(HeadJournal!H$1),0),0)</f>
        <v>0</v>
      </c>
      <c r="Q6197" s="29"/>
      <c r="R6197" s="31"/>
      <c r="S6197" s="31"/>
      <c r="T6197" s="95" t="str">
        <f t="shared" si="454"/>
        <v/>
      </c>
      <c r="U6197" s="32">
        <f t="shared" si="455"/>
        <v>0</v>
      </c>
      <c r="V6197" s="22" t="str">
        <f t="shared" si="456"/>
        <v/>
      </c>
      <c r="X6197" s="33"/>
      <c r="Y6197" s="33"/>
    </row>
    <row r="6198" spans="1:25" x14ac:dyDescent="0.2">
      <c r="A6198" s="93"/>
      <c r="B6198" s="94" t="str">
        <f>IFERROR(VLOOKUP($A6198,HeadJournal!$A$1:$NTR$890,COLUMN(HeadJournal!B$1),0),"")</f>
        <v/>
      </c>
      <c r="C6198" s="94" t="str">
        <f>IFERROR(VLOOKUP($A6198,HeadJournal!$A$1:$NTR$890,COLUMN(HeadJournal!C$1),0),"")</f>
        <v/>
      </c>
      <c r="D6198" s="125" t="str">
        <f>IFERROR(VLOOKUP($A6198,HeadJournal!$A$1:$NTR$890,COLUMN(HeadJournal!D$1),0),"")</f>
        <v/>
      </c>
      <c r="E6198" s="95" t="str">
        <f>IFERROR(VLOOKUP($A6198,HeadJournal!$A$1:$NTR$890,COLUMN(HeadJournal!G$1),0),"")</f>
        <v/>
      </c>
      <c r="F6198" s="95" t="str">
        <f t="shared" si="453"/>
        <v/>
      </c>
      <c r="G6198" s="97"/>
      <c r="H6198" s="161"/>
      <c r="I6198" s="97"/>
      <c r="J6198" s="97"/>
      <c r="K6198" s="29"/>
      <c r="L6198" s="29"/>
      <c r="M6198" s="30">
        <f>IFERROR(VLOOKUP($A6198,HeadJournal!$A$1:$J$890,COLUMN(HeadJournal!I$1),0)*($K6198+$L6198)/(SUMIF($A:$A,$A6198,$K:$K)+SUMIF($A:$A,$A6198,$L:$L)),0)</f>
        <v>0</v>
      </c>
      <c r="N6198" s="30">
        <f>IFERROR((VLOOKUP($A6198,HeadJournal!$A$1:$K$890,COLUMN(HeadJournal!K$1),0)-VLOOKUP($A6198,HeadJournal!$A$1:$K$890,COLUMN(HeadJournal!J$1),0))*($K6198+$L6198)/(SUMIF($A:$A,$A6198,$K:$K)+SUMIF($A:$A,$A6198,$L:$L)),0)</f>
        <v>0</v>
      </c>
      <c r="O6198" s="30">
        <f>IFERROR((VLOOKUP($A6198,HeadJournal!$A$1:$L$890,COLUMN(HeadJournal!L$1),0)*($K6198+$L6198)/(SUMIF($A:$A,$A6198,$K:$K)+SUMIF($A:$A,$A6198,$L:$L)))/VLOOKUP($A6198,HeadJournal!$A$1:$L$890,COLUMN(HeadJournal!H$1),0),0)</f>
        <v>0</v>
      </c>
      <c r="P6198" s="30">
        <f>IFERROR(SUM(K6198:O6198)*VLOOKUP($A6198,HeadJournal!$A$1:$L$890,COLUMN(HeadJournal!H$1),0),0)</f>
        <v>0</v>
      </c>
      <c r="Q6198" s="29"/>
      <c r="R6198" s="31"/>
      <c r="S6198" s="31"/>
      <c r="T6198" s="95" t="str">
        <f t="shared" si="454"/>
        <v/>
      </c>
      <c r="U6198" s="32">
        <f t="shared" si="455"/>
        <v>0</v>
      </c>
      <c r="V6198" s="22" t="str">
        <f t="shared" si="456"/>
        <v/>
      </c>
      <c r="X6198" s="33"/>
      <c r="Y6198" s="33"/>
    </row>
    <row r="6199" spans="1:25" x14ac:dyDescent="0.2">
      <c r="A6199" s="93"/>
      <c r="B6199" s="94" t="str">
        <f>IFERROR(VLOOKUP($A6199,HeadJournal!$A$1:$NTR$890,COLUMN(HeadJournal!B$1),0),"")</f>
        <v/>
      </c>
      <c r="C6199" s="94" t="str">
        <f>IFERROR(VLOOKUP($A6199,HeadJournal!$A$1:$NTR$890,COLUMN(HeadJournal!C$1),0),"")</f>
        <v/>
      </c>
      <c r="D6199" s="125" t="str">
        <f>IFERROR(VLOOKUP($A6199,HeadJournal!$A$1:$NTR$890,COLUMN(HeadJournal!D$1),0),"")</f>
        <v/>
      </c>
      <c r="E6199" s="95" t="str">
        <f>IFERROR(VLOOKUP($A6199,HeadJournal!$A$1:$NTR$890,COLUMN(HeadJournal!G$1),0),"")</f>
        <v/>
      </c>
      <c r="F6199" s="95" t="str">
        <f t="shared" si="453"/>
        <v/>
      </c>
      <c r="G6199" s="97"/>
      <c r="H6199" s="161"/>
      <c r="I6199" s="97"/>
      <c r="J6199" s="97"/>
      <c r="K6199" s="29"/>
      <c r="L6199" s="29"/>
      <c r="M6199" s="30">
        <f>IFERROR(VLOOKUP($A6199,HeadJournal!$A$1:$J$890,COLUMN(HeadJournal!I$1),0)*($K6199+$L6199)/(SUMIF($A:$A,$A6199,$K:$K)+SUMIF($A:$A,$A6199,$L:$L)),0)</f>
        <v>0</v>
      </c>
      <c r="N6199" s="30">
        <f>IFERROR((VLOOKUP($A6199,HeadJournal!$A$1:$K$890,COLUMN(HeadJournal!K$1),0)-VLOOKUP($A6199,HeadJournal!$A$1:$K$890,COLUMN(HeadJournal!J$1),0))*($K6199+$L6199)/(SUMIF($A:$A,$A6199,$K:$K)+SUMIF($A:$A,$A6199,$L:$L)),0)</f>
        <v>0</v>
      </c>
      <c r="O6199" s="30">
        <f>IFERROR((VLOOKUP($A6199,HeadJournal!$A$1:$L$890,COLUMN(HeadJournal!L$1),0)*($K6199+$L6199)/(SUMIF($A:$A,$A6199,$K:$K)+SUMIF($A:$A,$A6199,$L:$L)))/VLOOKUP($A6199,HeadJournal!$A$1:$L$890,COLUMN(HeadJournal!H$1),0),0)</f>
        <v>0</v>
      </c>
      <c r="P6199" s="30">
        <f>IFERROR(SUM(K6199:O6199)*VLOOKUP($A6199,HeadJournal!$A$1:$L$890,COLUMN(HeadJournal!H$1),0),0)</f>
        <v>0</v>
      </c>
      <c r="Q6199" s="29"/>
      <c r="R6199" s="31"/>
      <c r="S6199" s="31"/>
      <c r="T6199" s="95" t="str">
        <f t="shared" si="454"/>
        <v/>
      </c>
      <c r="U6199" s="32">
        <f t="shared" si="455"/>
        <v>0</v>
      </c>
      <c r="V6199" s="22" t="str">
        <f t="shared" si="456"/>
        <v/>
      </c>
      <c r="X6199" s="33"/>
      <c r="Y6199" s="33"/>
    </row>
    <row r="6200" spans="1:25" x14ac:dyDescent="0.2">
      <c r="A6200" s="93"/>
      <c r="B6200" s="94" t="str">
        <f>IFERROR(VLOOKUP($A6200,HeadJournal!$A$1:$NTR$890,COLUMN(HeadJournal!B$1),0),"")</f>
        <v/>
      </c>
      <c r="C6200" s="94" t="str">
        <f>IFERROR(VLOOKUP($A6200,HeadJournal!$A$1:$NTR$890,COLUMN(HeadJournal!C$1),0),"")</f>
        <v/>
      </c>
      <c r="D6200" s="125" t="str">
        <f>IFERROR(VLOOKUP($A6200,HeadJournal!$A$1:$NTR$890,COLUMN(HeadJournal!D$1),0),"")</f>
        <v/>
      </c>
      <c r="E6200" s="95" t="str">
        <f>IFERROR(VLOOKUP($A6200,HeadJournal!$A$1:$NTR$890,COLUMN(HeadJournal!G$1),0),"")</f>
        <v/>
      </c>
      <c r="F6200" s="95" t="str">
        <f t="shared" si="453"/>
        <v/>
      </c>
      <c r="G6200" s="97"/>
      <c r="H6200" s="161"/>
      <c r="I6200" s="97"/>
      <c r="J6200" s="97"/>
      <c r="K6200" s="29"/>
      <c r="L6200" s="29"/>
      <c r="M6200" s="30">
        <f>IFERROR(VLOOKUP($A6200,HeadJournal!$A$1:$J$890,COLUMN(HeadJournal!I$1),0)*($K6200+$L6200)/(SUMIF($A:$A,$A6200,$K:$K)+SUMIF($A:$A,$A6200,$L:$L)),0)</f>
        <v>0</v>
      </c>
      <c r="N6200" s="30">
        <f>IFERROR((VLOOKUP($A6200,HeadJournal!$A$1:$K$890,COLUMN(HeadJournal!K$1),0)-VLOOKUP($A6200,HeadJournal!$A$1:$K$890,COLUMN(HeadJournal!J$1),0))*($K6200+$L6200)/(SUMIF($A:$A,$A6200,$K:$K)+SUMIF($A:$A,$A6200,$L:$L)),0)</f>
        <v>0</v>
      </c>
      <c r="O6200" s="30">
        <f>IFERROR((VLOOKUP($A6200,HeadJournal!$A$1:$L$890,COLUMN(HeadJournal!L$1),0)*($K6200+$L6200)/(SUMIF($A:$A,$A6200,$K:$K)+SUMIF($A:$A,$A6200,$L:$L)))/VLOOKUP($A6200,HeadJournal!$A$1:$L$890,COLUMN(HeadJournal!H$1),0),0)</f>
        <v>0</v>
      </c>
      <c r="P6200" s="30">
        <f>IFERROR(SUM(K6200:O6200)*VLOOKUP($A6200,HeadJournal!$A$1:$L$890,COLUMN(HeadJournal!H$1),0),0)</f>
        <v>0</v>
      </c>
      <c r="Q6200" s="29"/>
      <c r="R6200" s="31"/>
      <c r="S6200" s="31"/>
      <c r="T6200" s="95" t="str">
        <f t="shared" si="454"/>
        <v/>
      </c>
      <c r="U6200" s="32">
        <f t="shared" si="455"/>
        <v>0</v>
      </c>
      <c r="V6200" s="22" t="str">
        <f t="shared" si="456"/>
        <v/>
      </c>
      <c r="X6200" s="33"/>
      <c r="Y6200" s="33"/>
    </row>
    <row r="6201" spans="1:25" x14ac:dyDescent="0.2">
      <c r="A6201" s="93"/>
      <c r="B6201" s="94" t="str">
        <f>IFERROR(VLOOKUP($A6201,HeadJournal!$A$1:$NTR$890,COLUMN(HeadJournal!B$1),0),"")</f>
        <v/>
      </c>
      <c r="C6201" s="94" t="str">
        <f>IFERROR(VLOOKUP($A6201,HeadJournal!$A$1:$NTR$890,COLUMN(HeadJournal!C$1),0),"")</f>
        <v/>
      </c>
      <c r="D6201" s="125" t="str">
        <f>IFERROR(VLOOKUP($A6201,HeadJournal!$A$1:$NTR$890,COLUMN(HeadJournal!D$1),0),"")</f>
        <v/>
      </c>
      <c r="E6201" s="95" t="str">
        <f>IFERROR(VLOOKUP($A6201,HeadJournal!$A$1:$NTR$890,COLUMN(HeadJournal!G$1),0),"")</f>
        <v/>
      </c>
      <c r="F6201" s="95" t="str">
        <f t="shared" si="453"/>
        <v/>
      </c>
      <c r="G6201" s="97"/>
      <c r="H6201" s="161"/>
      <c r="I6201" s="97"/>
      <c r="J6201" s="97"/>
      <c r="K6201" s="29"/>
      <c r="L6201" s="29"/>
      <c r="M6201" s="30">
        <f>IFERROR(VLOOKUP($A6201,HeadJournal!$A$1:$J$890,COLUMN(HeadJournal!I$1),0)*($K6201+$L6201)/(SUMIF($A:$A,$A6201,$K:$K)+SUMIF($A:$A,$A6201,$L:$L)),0)</f>
        <v>0</v>
      </c>
      <c r="N6201" s="30">
        <f>IFERROR((VLOOKUP($A6201,HeadJournal!$A$1:$K$890,COLUMN(HeadJournal!K$1),0)-VLOOKUP($A6201,HeadJournal!$A$1:$K$890,COLUMN(HeadJournal!J$1),0))*($K6201+$L6201)/(SUMIF($A:$A,$A6201,$K:$K)+SUMIF($A:$A,$A6201,$L:$L)),0)</f>
        <v>0</v>
      </c>
      <c r="O6201" s="30">
        <f>IFERROR((VLOOKUP($A6201,HeadJournal!$A$1:$L$890,COLUMN(HeadJournal!L$1),0)*($K6201+$L6201)/(SUMIF($A:$A,$A6201,$K:$K)+SUMIF($A:$A,$A6201,$L:$L)))/VLOOKUP($A6201,HeadJournal!$A$1:$L$890,COLUMN(HeadJournal!H$1),0),0)</f>
        <v>0</v>
      </c>
      <c r="P6201" s="30">
        <f>IFERROR(SUM(K6201:O6201)*VLOOKUP($A6201,HeadJournal!$A$1:$L$890,COLUMN(HeadJournal!H$1),0),0)</f>
        <v>0</v>
      </c>
      <c r="Q6201" s="29"/>
      <c r="R6201" s="31"/>
      <c r="S6201" s="31"/>
      <c r="T6201" s="95" t="str">
        <f t="shared" si="454"/>
        <v/>
      </c>
      <c r="U6201" s="32">
        <f t="shared" si="455"/>
        <v>0</v>
      </c>
      <c r="V6201" s="22" t="str">
        <f t="shared" si="456"/>
        <v/>
      </c>
      <c r="X6201" s="33"/>
      <c r="Y6201" s="33"/>
    </row>
    <row r="6202" spans="1:25" x14ac:dyDescent="0.2">
      <c r="A6202" s="93"/>
      <c r="B6202" s="94" t="str">
        <f>IFERROR(VLOOKUP($A6202,HeadJournal!$A$1:$NTR$890,COLUMN(HeadJournal!B$1),0),"")</f>
        <v/>
      </c>
      <c r="C6202" s="94" t="str">
        <f>IFERROR(VLOOKUP($A6202,HeadJournal!$A$1:$NTR$890,COLUMN(HeadJournal!C$1),0),"")</f>
        <v/>
      </c>
      <c r="D6202" s="125" t="str">
        <f>IFERROR(VLOOKUP($A6202,HeadJournal!$A$1:$NTR$890,COLUMN(HeadJournal!D$1),0),"")</f>
        <v/>
      </c>
      <c r="E6202" s="95" t="str">
        <f>IFERROR(VLOOKUP($A6202,HeadJournal!$A$1:$NTR$890,COLUMN(HeadJournal!G$1),0),"")</f>
        <v/>
      </c>
      <c r="F6202" s="95" t="str">
        <f t="shared" si="453"/>
        <v/>
      </c>
      <c r="G6202" s="97"/>
      <c r="H6202" s="161"/>
      <c r="I6202" s="97"/>
      <c r="J6202" s="97"/>
      <c r="K6202" s="29"/>
      <c r="L6202" s="29"/>
      <c r="M6202" s="30">
        <f>IFERROR(VLOOKUP($A6202,HeadJournal!$A$1:$J$890,COLUMN(HeadJournal!I$1),0)*($K6202+$L6202)/(SUMIF($A:$A,$A6202,$K:$K)+SUMIF($A:$A,$A6202,$L:$L)),0)</f>
        <v>0</v>
      </c>
      <c r="N6202" s="30">
        <f>IFERROR((VLOOKUP($A6202,HeadJournal!$A$1:$K$890,COLUMN(HeadJournal!K$1),0)-VLOOKUP($A6202,HeadJournal!$A$1:$K$890,COLUMN(HeadJournal!J$1),0))*($K6202+$L6202)/(SUMIF($A:$A,$A6202,$K:$K)+SUMIF($A:$A,$A6202,$L:$L)),0)</f>
        <v>0</v>
      </c>
      <c r="O6202" s="30">
        <f>IFERROR((VLOOKUP($A6202,HeadJournal!$A$1:$L$890,COLUMN(HeadJournal!L$1),0)*($K6202+$L6202)/(SUMIF($A:$A,$A6202,$K:$K)+SUMIF($A:$A,$A6202,$L:$L)))/VLOOKUP($A6202,HeadJournal!$A$1:$L$890,COLUMN(HeadJournal!H$1),0),0)</f>
        <v>0</v>
      </c>
      <c r="P6202" s="30">
        <f>IFERROR(SUM(K6202:O6202)*VLOOKUP($A6202,HeadJournal!$A$1:$L$890,COLUMN(HeadJournal!H$1),0),0)</f>
        <v>0</v>
      </c>
      <c r="Q6202" s="29"/>
      <c r="R6202" s="31"/>
      <c r="S6202" s="31"/>
      <c r="T6202" s="95" t="str">
        <f t="shared" si="454"/>
        <v/>
      </c>
      <c r="U6202" s="32">
        <f t="shared" si="455"/>
        <v>0</v>
      </c>
      <c r="V6202" s="22" t="str">
        <f t="shared" si="456"/>
        <v/>
      </c>
      <c r="X6202" s="33"/>
      <c r="Y6202" s="33"/>
    </row>
    <row r="6203" spans="1:25" x14ac:dyDescent="0.2">
      <c r="A6203" s="93"/>
      <c r="B6203" s="94" t="str">
        <f>IFERROR(VLOOKUP($A6203,HeadJournal!$A$1:$NTR$890,COLUMN(HeadJournal!B$1),0),"")</f>
        <v/>
      </c>
      <c r="C6203" s="94" t="str">
        <f>IFERROR(VLOOKUP($A6203,HeadJournal!$A$1:$NTR$890,COLUMN(HeadJournal!C$1),0),"")</f>
        <v/>
      </c>
      <c r="D6203" s="125" t="str">
        <f>IFERROR(VLOOKUP($A6203,HeadJournal!$A$1:$NTR$890,COLUMN(HeadJournal!D$1),0),"")</f>
        <v/>
      </c>
      <c r="E6203" s="95" t="str">
        <f>IFERROR(VLOOKUP($A6203,HeadJournal!$A$1:$NTR$890,COLUMN(HeadJournal!G$1),0),"")</f>
        <v/>
      </c>
      <c r="F6203" s="95" t="str">
        <f t="shared" si="453"/>
        <v/>
      </c>
      <c r="G6203" s="97"/>
      <c r="H6203" s="161"/>
      <c r="I6203" s="97"/>
      <c r="J6203" s="97"/>
      <c r="K6203" s="29"/>
      <c r="L6203" s="29"/>
      <c r="M6203" s="30">
        <f>IFERROR(VLOOKUP($A6203,HeadJournal!$A$1:$J$890,COLUMN(HeadJournal!I$1),0)*($K6203+$L6203)/(SUMIF($A:$A,$A6203,$K:$K)+SUMIF($A:$A,$A6203,$L:$L)),0)</f>
        <v>0</v>
      </c>
      <c r="N6203" s="30">
        <f>IFERROR((VLOOKUP($A6203,HeadJournal!$A$1:$K$890,COLUMN(HeadJournal!K$1),0)-VLOOKUP($A6203,HeadJournal!$A$1:$K$890,COLUMN(HeadJournal!J$1),0))*($K6203+$L6203)/(SUMIF($A:$A,$A6203,$K:$K)+SUMIF($A:$A,$A6203,$L:$L)),0)</f>
        <v>0</v>
      </c>
      <c r="O6203" s="30">
        <f>IFERROR((VLOOKUP($A6203,HeadJournal!$A$1:$L$890,COLUMN(HeadJournal!L$1),0)*($K6203+$L6203)/(SUMIF($A:$A,$A6203,$K:$K)+SUMIF($A:$A,$A6203,$L:$L)))/VLOOKUP($A6203,HeadJournal!$A$1:$L$890,COLUMN(HeadJournal!H$1),0),0)</f>
        <v>0</v>
      </c>
      <c r="P6203" s="30">
        <f>IFERROR(SUM(K6203:O6203)*VLOOKUP($A6203,HeadJournal!$A$1:$L$890,COLUMN(HeadJournal!H$1),0),0)</f>
        <v>0</v>
      </c>
      <c r="Q6203" s="29"/>
      <c r="R6203" s="31"/>
      <c r="S6203" s="31"/>
      <c r="T6203" s="95" t="str">
        <f t="shared" si="454"/>
        <v/>
      </c>
      <c r="U6203" s="32">
        <f t="shared" si="455"/>
        <v>0</v>
      </c>
      <c r="V6203" s="22" t="str">
        <f t="shared" si="456"/>
        <v/>
      </c>
      <c r="X6203" s="33"/>
      <c r="Y6203" s="33"/>
    </row>
    <row r="6204" spans="1:25" x14ac:dyDescent="0.2">
      <c r="A6204" s="93"/>
      <c r="B6204" s="94" t="str">
        <f>IFERROR(VLOOKUP($A6204,HeadJournal!$A$1:$NTR$890,COLUMN(HeadJournal!B$1),0),"")</f>
        <v/>
      </c>
      <c r="C6204" s="94" t="str">
        <f>IFERROR(VLOOKUP($A6204,HeadJournal!$A$1:$NTR$890,COLUMN(HeadJournal!C$1),0),"")</f>
        <v/>
      </c>
      <c r="D6204" s="125" t="str">
        <f>IFERROR(VLOOKUP($A6204,HeadJournal!$A$1:$NTR$890,COLUMN(HeadJournal!D$1),0),"")</f>
        <v/>
      </c>
      <c r="E6204" s="95" t="str">
        <f>IFERROR(VLOOKUP($A6204,HeadJournal!$A$1:$NTR$890,COLUMN(HeadJournal!G$1),0),"")</f>
        <v/>
      </c>
      <c r="F6204" s="95" t="str">
        <f t="shared" si="453"/>
        <v/>
      </c>
      <c r="G6204" s="97"/>
      <c r="H6204" s="161"/>
      <c r="I6204" s="97"/>
      <c r="J6204" s="97"/>
      <c r="K6204" s="29"/>
      <c r="L6204" s="29"/>
      <c r="M6204" s="30">
        <f>IFERROR(VLOOKUP($A6204,HeadJournal!$A$1:$J$890,COLUMN(HeadJournal!I$1),0)*($K6204+$L6204)/(SUMIF($A:$A,$A6204,$K:$K)+SUMIF($A:$A,$A6204,$L:$L)),0)</f>
        <v>0</v>
      </c>
      <c r="N6204" s="30">
        <f>IFERROR((VLOOKUP($A6204,HeadJournal!$A$1:$K$890,COLUMN(HeadJournal!K$1),0)-VLOOKUP($A6204,HeadJournal!$A$1:$K$890,COLUMN(HeadJournal!J$1),0))*($K6204+$L6204)/(SUMIF($A:$A,$A6204,$K:$K)+SUMIF($A:$A,$A6204,$L:$L)),0)</f>
        <v>0</v>
      </c>
      <c r="O6204" s="30">
        <f>IFERROR((VLOOKUP($A6204,HeadJournal!$A$1:$L$890,COLUMN(HeadJournal!L$1),0)*($K6204+$L6204)/(SUMIF($A:$A,$A6204,$K:$K)+SUMIF($A:$A,$A6204,$L:$L)))/VLOOKUP($A6204,HeadJournal!$A$1:$L$890,COLUMN(HeadJournal!H$1),0),0)</f>
        <v>0</v>
      </c>
      <c r="P6204" s="30">
        <f>IFERROR(SUM(K6204:O6204)*VLOOKUP($A6204,HeadJournal!$A$1:$L$890,COLUMN(HeadJournal!H$1),0),0)</f>
        <v>0</v>
      </c>
      <c r="Q6204" s="29"/>
      <c r="R6204" s="31"/>
      <c r="S6204" s="31"/>
      <c r="T6204" s="95" t="str">
        <f t="shared" si="454"/>
        <v/>
      </c>
      <c r="U6204" s="32">
        <f t="shared" si="455"/>
        <v>0</v>
      </c>
      <c r="V6204" s="22" t="str">
        <f t="shared" si="456"/>
        <v/>
      </c>
      <c r="X6204" s="33"/>
      <c r="Y6204" s="33"/>
    </row>
    <row r="6205" spans="1:25" x14ac:dyDescent="0.2">
      <c r="A6205" s="93"/>
      <c r="B6205" s="94" t="str">
        <f>IFERROR(VLOOKUP($A6205,HeadJournal!$A$1:$NTR$890,COLUMN(HeadJournal!B$1),0),"")</f>
        <v/>
      </c>
      <c r="C6205" s="94" t="str">
        <f>IFERROR(VLOOKUP($A6205,HeadJournal!$A$1:$NTR$890,COLUMN(HeadJournal!C$1),0),"")</f>
        <v/>
      </c>
      <c r="D6205" s="125" t="str">
        <f>IFERROR(VLOOKUP($A6205,HeadJournal!$A$1:$NTR$890,COLUMN(HeadJournal!D$1),0),"")</f>
        <v/>
      </c>
      <c r="E6205" s="95" t="str">
        <f>IFERROR(VLOOKUP($A6205,HeadJournal!$A$1:$NTR$890,COLUMN(HeadJournal!G$1),0),"")</f>
        <v/>
      </c>
      <c r="F6205" s="95" t="str">
        <f t="shared" si="453"/>
        <v/>
      </c>
      <c r="G6205" s="97"/>
      <c r="H6205" s="161"/>
      <c r="I6205" s="97"/>
      <c r="J6205" s="97"/>
      <c r="K6205" s="29"/>
      <c r="L6205" s="29"/>
      <c r="M6205" s="30">
        <f>IFERROR(VLOOKUP($A6205,HeadJournal!$A$1:$J$890,COLUMN(HeadJournal!I$1),0)*($K6205+$L6205)/(SUMIF($A:$A,$A6205,$K:$K)+SUMIF($A:$A,$A6205,$L:$L)),0)</f>
        <v>0</v>
      </c>
      <c r="N6205" s="30">
        <f>IFERROR((VLOOKUP($A6205,HeadJournal!$A$1:$K$890,COLUMN(HeadJournal!K$1),0)-VLOOKUP($A6205,HeadJournal!$A$1:$K$890,COLUMN(HeadJournal!J$1),0))*($K6205+$L6205)/(SUMIF($A:$A,$A6205,$K:$K)+SUMIF($A:$A,$A6205,$L:$L)),0)</f>
        <v>0</v>
      </c>
      <c r="O6205" s="30">
        <f>IFERROR((VLOOKUP($A6205,HeadJournal!$A$1:$L$890,COLUMN(HeadJournal!L$1),0)*($K6205+$L6205)/(SUMIF($A:$A,$A6205,$K:$K)+SUMIF($A:$A,$A6205,$L:$L)))/VLOOKUP($A6205,HeadJournal!$A$1:$L$890,COLUMN(HeadJournal!H$1),0),0)</f>
        <v>0</v>
      </c>
      <c r="P6205" s="30">
        <f>IFERROR(SUM(K6205:O6205)*VLOOKUP($A6205,HeadJournal!$A$1:$L$890,COLUMN(HeadJournal!H$1),0),0)</f>
        <v>0</v>
      </c>
      <c r="Q6205" s="29"/>
      <c r="R6205" s="31"/>
      <c r="S6205" s="31"/>
      <c r="T6205" s="95" t="str">
        <f t="shared" si="454"/>
        <v/>
      </c>
      <c r="U6205" s="32">
        <f t="shared" si="455"/>
        <v>0</v>
      </c>
      <c r="V6205" s="22" t="str">
        <f t="shared" si="456"/>
        <v/>
      </c>
      <c r="X6205" s="33"/>
      <c r="Y6205" s="33"/>
    </row>
    <row r="6206" spans="1:25" x14ac:dyDescent="0.2">
      <c r="A6206" s="93"/>
      <c r="B6206" s="94" t="str">
        <f>IFERROR(VLOOKUP($A6206,HeadJournal!$A$1:$NTR$890,COLUMN(HeadJournal!B$1),0),"")</f>
        <v/>
      </c>
      <c r="C6206" s="94" t="str">
        <f>IFERROR(VLOOKUP($A6206,HeadJournal!$A$1:$NTR$890,COLUMN(HeadJournal!C$1),0),"")</f>
        <v/>
      </c>
      <c r="D6206" s="125" t="str">
        <f>IFERROR(VLOOKUP($A6206,HeadJournal!$A$1:$NTR$890,COLUMN(HeadJournal!D$1),0),"")</f>
        <v/>
      </c>
      <c r="E6206" s="95" t="str">
        <f>IFERROR(VLOOKUP($A6206,HeadJournal!$A$1:$NTR$890,COLUMN(HeadJournal!G$1),0),"")</f>
        <v/>
      </c>
      <c r="F6206" s="95" t="str">
        <f t="shared" si="453"/>
        <v/>
      </c>
      <c r="G6206" s="97"/>
      <c r="H6206" s="161"/>
      <c r="I6206" s="97"/>
      <c r="J6206" s="97"/>
      <c r="K6206" s="29"/>
      <c r="L6206" s="29"/>
      <c r="M6206" s="30">
        <f>IFERROR(VLOOKUP($A6206,HeadJournal!$A$1:$J$890,COLUMN(HeadJournal!I$1),0)*($K6206+$L6206)/(SUMIF($A:$A,$A6206,$K:$K)+SUMIF($A:$A,$A6206,$L:$L)),0)</f>
        <v>0</v>
      </c>
      <c r="N6206" s="30">
        <f>IFERROR((VLOOKUP($A6206,HeadJournal!$A$1:$K$890,COLUMN(HeadJournal!K$1),0)-VLOOKUP($A6206,HeadJournal!$A$1:$K$890,COLUMN(HeadJournal!J$1),0))*($K6206+$L6206)/(SUMIF($A:$A,$A6206,$K:$K)+SUMIF($A:$A,$A6206,$L:$L)),0)</f>
        <v>0</v>
      </c>
      <c r="O6206" s="30">
        <f>IFERROR((VLOOKUP($A6206,HeadJournal!$A$1:$L$890,COLUMN(HeadJournal!L$1),0)*($K6206+$L6206)/(SUMIF($A:$A,$A6206,$K:$K)+SUMIF($A:$A,$A6206,$L:$L)))/VLOOKUP($A6206,HeadJournal!$A$1:$L$890,COLUMN(HeadJournal!H$1),0),0)</f>
        <v>0</v>
      </c>
      <c r="P6206" s="30">
        <f>IFERROR(SUM(K6206:O6206)*VLOOKUP($A6206,HeadJournal!$A$1:$L$890,COLUMN(HeadJournal!H$1),0),0)</f>
        <v>0</v>
      </c>
      <c r="Q6206" s="29"/>
      <c r="R6206" s="31"/>
      <c r="S6206" s="31"/>
      <c r="T6206" s="95" t="str">
        <f t="shared" si="454"/>
        <v/>
      </c>
      <c r="U6206" s="32">
        <f t="shared" si="455"/>
        <v>0</v>
      </c>
      <c r="V6206" s="22" t="str">
        <f t="shared" si="456"/>
        <v/>
      </c>
      <c r="X6206" s="33"/>
      <c r="Y6206" s="33"/>
    </row>
    <row r="6207" spans="1:25" x14ac:dyDescent="0.2">
      <c r="A6207" s="93"/>
      <c r="B6207" s="94" t="str">
        <f>IFERROR(VLOOKUP($A6207,HeadJournal!$A$1:$NTR$890,COLUMN(HeadJournal!B$1),0),"")</f>
        <v/>
      </c>
      <c r="C6207" s="94" t="str">
        <f>IFERROR(VLOOKUP($A6207,HeadJournal!$A$1:$NTR$890,COLUMN(HeadJournal!C$1),0),"")</f>
        <v/>
      </c>
      <c r="D6207" s="125" t="str">
        <f>IFERROR(VLOOKUP($A6207,HeadJournal!$A$1:$NTR$890,COLUMN(HeadJournal!D$1),0),"")</f>
        <v/>
      </c>
      <c r="E6207" s="95" t="str">
        <f>IFERROR(VLOOKUP($A6207,HeadJournal!$A$1:$NTR$890,COLUMN(HeadJournal!G$1),0),"")</f>
        <v/>
      </c>
      <c r="F6207" s="95" t="str">
        <f t="shared" si="453"/>
        <v/>
      </c>
      <c r="G6207" s="97"/>
      <c r="H6207" s="161"/>
      <c r="I6207" s="97"/>
      <c r="J6207" s="97"/>
      <c r="K6207" s="29"/>
      <c r="L6207" s="29"/>
      <c r="M6207" s="30">
        <f>IFERROR(VLOOKUP($A6207,HeadJournal!$A$1:$J$890,COLUMN(HeadJournal!I$1),0)*($K6207+$L6207)/(SUMIF($A:$A,$A6207,$K:$K)+SUMIF($A:$A,$A6207,$L:$L)),0)</f>
        <v>0</v>
      </c>
      <c r="N6207" s="30">
        <f>IFERROR((VLOOKUP($A6207,HeadJournal!$A$1:$K$890,COLUMN(HeadJournal!K$1),0)-VLOOKUP($A6207,HeadJournal!$A$1:$K$890,COLUMN(HeadJournal!J$1),0))*($K6207+$L6207)/(SUMIF($A:$A,$A6207,$K:$K)+SUMIF($A:$A,$A6207,$L:$L)),0)</f>
        <v>0</v>
      </c>
      <c r="O6207" s="30">
        <f>IFERROR((VLOOKUP($A6207,HeadJournal!$A$1:$L$890,COLUMN(HeadJournal!L$1),0)*($K6207+$L6207)/(SUMIF($A:$A,$A6207,$K:$K)+SUMIF($A:$A,$A6207,$L:$L)))/VLOOKUP($A6207,HeadJournal!$A$1:$L$890,COLUMN(HeadJournal!H$1),0),0)</f>
        <v>0</v>
      </c>
      <c r="P6207" s="30">
        <f>IFERROR(SUM(K6207:O6207)*VLOOKUP($A6207,HeadJournal!$A$1:$L$890,COLUMN(HeadJournal!H$1),0),0)</f>
        <v>0</v>
      </c>
      <c r="Q6207" s="29"/>
      <c r="R6207" s="31"/>
      <c r="S6207" s="31"/>
      <c r="T6207" s="95" t="str">
        <f t="shared" si="454"/>
        <v/>
      </c>
      <c r="U6207" s="32">
        <f t="shared" si="455"/>
        <v>0</v>
      </c>
      <c r="V6207" s="22" t="str">
        <f t="shared" si="456"/>
        <v/>
      </c>
      <c r="X6207" s="33"/>
      <c r="Y6207" s="33"/>
    </row>
    <row r="6208" spans="1:25" x14ac:dyDescent="0.2">
      <c r="A6208" s="93"/>
      <c r="B6208" s="94" t="str">
        <f>IFERROR(VLOOKUP($A6208,HeadJournal!$A$1:$NTR$890,COLUMN(HeadJournal!B$1),0),"")</f>
        <v/>
      </c>
      <c r="C6208" s="94" t="str">
        <f>IFERROR(VLOOKUP($A6208,HeadJournal!$A$1:$NTR$890,COLUMN(HeadJournal!C$1),0),"")</f>
        <v/>
      </c>
      <c r="D6208" s="125" t="str">
        <f>IFERROR(VLOOKUP($A6208,HeadJournal!$A$1:$NTR$890,COLUMN(HeadJournal!D$1),0),"")</f>
        <v/>
      </c>
      <c r="E6208" s="95" t="str">
        <f>IFERROR(VLOOKUP($A6208,HeadJournal!$A$1:$NTR$890,COLUMN(HeadJournal!G$1),0),"")</f>
        <v/>
      </c>
      <c r="F6208" s="95" t="str">
        <f t="shared" si="453"/>
        <v/>
      </c>
      <c r="G6208" s="97"/>
      <c r="H6208" s="161"/>
      <c r="I6208" s="97"/>
      <c r="J6208" s="97"/>
      <c r="K6208" s="29"/>
      <c r="L6208" s="29"/>
      <c r="M6208" s="30">
        <f>IFERROR(VLOOKUP($A6208,HeadJournal!$A$1:$J$890,COLUMN(HeadJournal!I$1),0)*($K6208+$L6208)/(SUMIF($A:$A,$A6208,$K:$K)+SUMIF($A:$A,$A6208,$L:$L)),0)</f>
        <v>0</v>
      </c>
      <c r="N6208" s="30">
        <f>IFERROR((VLOOKUP($A6208,HeadJournal!$A$1:$K$890,COLUMN(HeadJournal!K$1),0)-VLOOKUP($A6208,HeadJournal!$A$1:$K$890,COLUMN(HeadJournal!J$1),0))*($K6208+$L6208)/(SUMIF($A:$A,$A6208,$K:$K)+SUMIF($A:$A,$A6208,$L:$L)),0)</f>
        <v>0</v>
      </c>
      <c r="O6208" s="30">
        <f>IFERROR((VLOOKUP($A6208,HeadJournal!$A$1:$L$890,COLUMN(HeadJournal!L$1),0)*($K6208+$L6208)/(SUMIF($A:$A,$A6208,$K:$K)+SUMIF($A:$A,$A6208,$L:$L)))/VLOOKUP($A6208,HeadJournal!$A$1:$L$890,COLUMN(HeadJournal!H$1),0),0)</f>
        <v>0</v>
      </c>
      <c r="P6208" s="30">
        <f>IFERROR(SUM(K6208:O6208)*VLOOKUP($A6208,HeadJournal!$A$1:$L$890,COLUMN(HeadJournal!H$1),0),0)</f>
        <v>0</v>
      </c>
      <c r="Q6208" s="29"/>
      <c r="R6208" s="31"/>
      <c r="S6208" s="31"/>
      <c r="T6208" s="95" t="str">
        <f t="shared" si="454"/>
        <v/>
      </c>
      <c r="U6208" s="32">
        <f t="shared" si="455"/>
        <v>0</v>
      </c>
      <c r="V6208" s="22" t="str">
        <f t="shared" si="456"/>
        <v/>
      </c>
      <c r="X6208" s="33"/>
      <c r="Y6208" s="33"/>
    </row>
    <row r="6209" spans="1:25" x14ac:dyDescent="0.2">
      <c r="A6209" s="93"/>
      <c r="B6209" s="94" t="str">
        <f>IFERROR(VLOOKUP($A6209,HeadJournal!$A$1:$NTR$890,COLUMN(HeadJournal!B$1),0),"")</f>
        <v/>
      </c>
      <c r="C6209" s="94" t="str">
        <f>IFERROR(VLOOKUP($A6209,HeadJournal!$A$1:$NTR$890,COLUMN(HeadJournal!C$1),0),"")</f>
        <v/>
      </c>
      <c r="D6209" s="125" t="str">
        <f>IFERROR(VLOOKUP($A6209,HeadJournal!$A$1:$NTR$890,COLUMN(HeadJournal!D$1),0),"")</f>
        <v/>
      </c>
      <c r="E6209" s="95" t="str">
        <f>IFERROR(VLOOKUP($A6209,HeadJournal!$A$1:$NTR$890,COLUMN(HeadJournal!G$1),0),"")</f>
        <v/>
      </c>
      <c r="F6209" s="95" t="str">
        <f t="shared" si="453"/>
        <v/>
      </c>
      <c r="G6209" s="97"/>
      <c r="H6209" s="161"/>
      <c r="I6209" s="97"/>
      <c r="J6209" s="97"/>
      <c r="K6209" s="29"/>
      <c r="L6209" s="29"/>
      <c r="M6209" s="30">
        <f>IFERROR(VLOOKUP($A6209,HeadJournal!$A$1:$J$890,COLUMN(HeadJournal!I$1),0)*($K6209+$L6209)/(SUMIF($A:$A,$A6209,$K:$K)+SUMIF($A:$A,$A6209,$L:$L)),0)</f>
        <v>0</v>
      </c>
      <c r="N6209" s="30">
        <f>IFERROR((VLOOKUP($A6209,HeadJournal!$A$1:$K$890,COLUMN(HeadJournal!K$1),0)-VLOOKUP($A6209,HeadJournal!$A$1:$K$890,COLUMN(HeadJournal!J$1),0))*($K6209+$L6209)/(SUMIF($A:$A,$A6209,$K:$K)+SUMIF($A:$A,$A6209,$L:$L)),0)</f>
        <v>0</v>
      </c>
      <c r="O6209" s="30">
        <f>IFERROR((VLOOKUP($A6209,HeadJournal!$A$1:$L$890,COLUMN(HeadJournal!L$1),0)*($K6209+$L6209)/(SUMIF($A:$A,$A6209,$K:$K)+SUMIF($A:$A,$A6209,$L:$L)))/VLOOKUP($A6209,HeadJournal!$A$1:$L$890,COLUMN(HeadJournal!H$1),0),0)</f>
        <v>0</v>
      </c>
      <c r="P6209" s="30">
        <f>IFERROR(SUM(K6209:O6209)*VLOOKUP($A6209,HeadJournal!$A$1:$L$890,COLUMN(HeadJournal!H$1),0),0)</f>
        <v>0</v>
      </c>
      <c r="Q6209" s="29"/>
      <c r="R6209" s="31"/>
      <c r="S6209" s="31"/>
      <c r="T6209" s="95" t="str">
        <f t="shared" si="454"/>
        <v/>
      </c>
      <c r="U6209" s="32">
        <f t="shared" si="455"/>
        <v>0</v>
      </c>
      <c r="V6209" s="22" t="str">
        <f t="shared" si="456"/>
        <v/>
      </c>
      <c r="X6209" s="33"/>
      <c r="Y6209" s="33"/>
    </row>
    <row r="6210" spans="1:25" x14ac:dyDescent="0.2">
      <c r="A6210" s="93"/>
      <c r="B6210" s="94" t="str">
        <f>IFERROR(VLOOKUP($A6210,HeadJournal!$A$1:$NTR$890,COLUMN(HeadJournal!B$1),0),"")</f>
        <v/>
      </c>
      <c r="C6210" s="94" t="str">
        <f>IFERROR(VLOOKUP($A6210,HeadJournal!$A$1:$NTR$890,COLUMN(HeadJournal!C$1),0),"")</f>
        <v/>
      </c>
      <c r="D6210" s="125" t="str">
        <f>IFERROR(VLOOKUP($A6210,HeadJournal!$A$1:$NTR$890,COLUMN(HeadJournal!D$1),0),"")</f>
        <v/>
      </c>
      <c r="E6210" s="95" t="str">
        <f>IFERROR(VLOOKUP($A6210,HeadJournal!$A$1:$NTR$890,COLUMN(HeadJournal!G$1),0),"")</f>
        <v/>
      </c>
      <c r="F6210" s="95" t="str">
        <f t="shared" si="453"/>
        <v/>
      </c>
      <c r="G6210" s="97"/>
      <c r="H6210" s="161"/>
      <c r="I6210" s="97"/>
      <c r="J6210" s="97"/>
      <c r="K6210" s="29"/>
      <c r="L6210" s="29"/>
      <c r="M6210" s="30">
        <f>IFERROR(VLOOKUP($A6210,HeadJournal!$A$1:$J$890,COLUMN(HeadJournal!I$1),0)*($K6210+$L6210)/(SUMIF($A:$A,$A6210,$K:$K)+SUMIF($A:$A,$A6210,$L:$L)),0)</f>
        <v>0</v>
      </c>
      <c r="N6210" s="30">
        <f>IFERROR((VLOOKUP($A6210,HeadJournal!$A$1:$K$890,COLUMN(HeadJournal!K$1),0)-VLOOKUP($A6210,HeadJournal!$A$1:$K$890,COLUMN(HeadJournal!J$1),0))*($K6210+$L6210)/(SUMIF($A:$A,$A6210,$K:$K)+SUMIF($A:$A,$A6210,$L:$L)),0)</f>
        <v>0</v>
      </c>
      <c r="O6210" s="30">
        <f>IFERROR((VLOOKUP($A6210,HeadJournal!$A$1:$L$890,COLUMN(HeadJournal!L$1),0)*($K6210+$L6210)/(SUMIF($A:$A,$A6210,$K:$K)+SUMIF($A:$A,$A6210,$L:$L)))/VLOOKUP($A6210,HeadJournal!$A$1:$L$890,COLUMN(HeadJournal!H$1),0),0)</f>
        <v>0</v>
      </c>
      <c r="P6210" s="30">
        <f>IFERROR(SUM(K6210:O6210)*VLOOKUP($A6210,HeadJournal!$A$1:$L$890,COLUMN(HeadJournal!H$1),0),0)</f>
        <v>0</v>
      </c>
      <c r="Q6210" s="29"/>
      <c r="R6210" s="31"/>
      <c r="S6210" s="31"/>
      <c r="T6210" s="95" t="str">
        <f t="shared" si="454"/>
        <v/>
      </c>
      <c r="U6210" s="32">
        <f t="shared" si="455"/>
        <v>0</v>
      </c>
      <c r="V6210" s="22" t="str">
        <f t="shared" si="456"/>
        <v/>
      </c>
      <c r="X6210" s="33"/>
      <c r="Y6210" s="33"/>
    </row>
    <row r="6211" spans="1:25" x14ac:dyDescent="0.2">
      <c r="A6211" s="93"/>
      <c r="B6211" s="94" t="str">
        <f>IFERROR(VLOOKUP($A6211,HeadJournal!$A$1:$NTR$890,COLUMN(HeadJournal!B$1),0),"")</f>
        <v/>
      </c>
      <c r="C6211" s="94" t="str">
        <f>IFERROR(VLOOKUP($A6211,HeadJournal!$A$1:$NTR$890,COLUMN(HeadJournal!C$1),0),"")</f>
        <v/>
      </c>
      <c r="D6211" s="125" t="str">
        <f>IFERROR(VLOOKUP($A6211,HeadJournal!$A$1:$NTR$890,COLUMN(HeadJournal!D$1),0),"")</f>
        <v/>
      </c>
      <c r="E6211" s="95" t="str">
        <f>IFERROR(VLOOKUP($A6211,HeadJournal!$A$1:$NTR$890,COLUMN(HeadJournal!G$1),0),"")</f>
        <v/>
      </c>
      <c r="F6211" s="95" t="str">
        <f t="shared" si="453"/>
        <v/>
      </c>
      <c r="G6211" s="97"/>
      <c r="H6211" s="161"/>
      <c r="I6211" s="97"/>
      <c r="J6211" s="97"/>
      <c r="K6211" s="29"/>
      <c r="L6211" s="29"/>
      <c r="M6211" s="30">
        <f>IFERROR(VLOOKUP($A6211,HeadJournal!$A$1:$J$890,COLUMN(HeadJournal!I$1),0)*($K6211+$L6211)/(SUMIF($A:$A,$A6211,$K:$K)+SUMIF($A:$A,$A6211,$L:$L)),0)</f>
        <v>0</v>
      </c>
      <c r="N6211" s="30">
        <f>IFERROR((VLOOKUP($A6211,HeadJournal!$A$1:$K$890,COLUMN(HeadJournal!K$1),0)-VLOOKUP($A6211,HeadJournal!$A$1:$K$890,COLUMN(HeadJournal!J$1),0))*($K6211+$L6211)/(SUMIF($A:$A,$A6211,$K:$K)+SUMIF($A:$A,$A6211,$L:$L)),0)</f>
        <v>0</v>
      </c>
      <c r="O6211" s="30">
        <f>IFERROR((VLOOKUP($A6211,HeadJournal!$A$1:$L$890,COLUMN(HeadJournal!L$1),0)*($K6211+$L6211)/(SUMIF($A:$A,$A6211,$K:$K)+SUMIF($A:$A,$A6211,$L:$L)))/VLOOKUP($A6211,HeadJournal!$A$1:$L$890,COLUMN(HeadJournal!H$1),0),0)</f>
        <v>0</v>
      </c>
      <c r="P6211" s="30">
        <f>IFERROR(SUM(K6211:O6211)*VLOOKUP($A6211,HeadJournal!$A$1:$L$890,COLUMN(HeadJournal!H$1),0),0)</f>
        <v>0</v>
      </c>
      <c r="Q6211" s="29"/>
      <c r="R6211" s="31"/>
      <c r="S6211" s="31"/>
      <c r="T6211" s="95" t="str">
        <f t="shared" si="454"/>
        <v/>
      </c>
      <c r="U6211" s="32">
        <f t="shared" si="455"/>
        <v>0</v>
      </c>
      <c r="V6211" s="22" t="str">
        <f t="shared" si="456"/>
        <v/>
      </c>
      <c r="X6211" s="33"/>
      <c r="Y6211" s="33"/>
    </row>
    <row r="6212" spans="1:25" x14ac:dyDescent="0.2">
      <c r="A6212" s="93"/>
      <c r="B6212" s="94" t="str">
        <f>IFERROR(VLOOKUP($A6212,HeadJournal!$A$1:$NTR$890,COLUMN(HeadJournal!B$1),0),"")</f>
        <v/>
      </c>
      <c r="C6212" s="94" t="str">
        <f>IFERROR(VLOOKUP($A6212,HeadJournal!$A$1:$NTR$890,COLUMN(HeadJournal!C$1),0),"")</f>
        <v/>
      </c>
      <c r="D6212" s="125" t="str">
        <f>IFERROR(VLOOKUP($A6212,HeadJournal!$A$1:$NTR$890,COLUMN(HeadJournal!D$1),0),"")</f>
        <v/>
      </c>
      <c r="E6212" s="95" t="str">
        <f>IFERROR(VLOOKUP($A6212,HeadJournal!$A$1:$NTR$890,COLUMN(HeadJournal!G$1),0),"")</f>
        <v/>
      </c>
      <c r="F6212" s="95" t="str">
        <f t="shared" si="453"/>
        <v/>
      </c>
      <c r="G6212" s="97"/>
      <c r="H6212" s="161"/>
      <c r="I6212" s="97"/>
      <c r="J6212" s="97"/>
      <c r="K6212" s="29"/>
      <c r="L6212" s="29"/>
      <c r="M6212" s="30">
        <f>IFERROR(VLOOKUP($A6212,HeadJournal!$A$1:$J$890,COLUMN(HeadJournal!I$1),0)*($K6212+$L6212)/(SUMIF($A:$A,$A6212,$K:$K)+SUMIF($A:$A,$A6212,$L:$L)),0)</f>
        <v>0</v>
      </c>
      <c r="N6212" s="30">
        <f>IFERROR((VLOOKUP($A6212,HeadJournal!$A$1:$K$890,COLUMN(HeadJournal!K$1),0)-VLOOKUP($A6212,HeadJournal!$A$1:$K$890,COLUMN(HeadJournal!J$1),0))*($K6212+$L6212)/(SUMIF($A:$A,$A6212,$K:$K)+SUMIF($A:$A,$A6212,$L:$L)),0)</f>
        <v>0</v>
      </c>
      <c r="O6212" s="30">
        <f>IFERROR((VLOOKUP($A6212,HeadJournal!$A$1:$L$890,COLUMN(HeadJournal!L$1),0)*($K6212+$L6212)/(SUMIF($A:$A,$A6212,$K:$K)+SUMIF($A:$A,$A6212,$L:$L)))/VLOOKUP($A6212,HeadJournal!$A$1:$L$890,COLUMN(HeadJournal!H$1),0),0)</f>
        <v>0</v>
      </c>
      <c r="P6212" s="30">
        <f>IFERROR(SUM(K6212:O6212)*VLOOKUP($A6212,HeadJournal!$A$1:$L$890,COLUMN(HeadJournal!H$1),0),0)</f>
        <v>0</v>
      </c>
      <c r="Q6212" s="29"/>
      <c r="R6212" s="31"/>
      <c r="S6212" s="31"/>
      <c r="T6212" s="95" t="str">
        <f t="shared" si="454"/>
        <v/>
      </c>
      <c r="U6212" s="32">
        <f t="shared" si="455"/>
        <v>0</v>
      </c>
      <c r="V6212" s="22" t="str">
        <f t="shared" si="456"/>
        <v/>
      </c>
      <c r="X6212" s="33"/>
      <c r="Y6212" s="33"/>
    </row>
    <row r="6213" spans="1:25" x14ac:dyDescent="0.2">
      <c r="A6213" s="93"/>
      <c r="B6213" s="94" t="str">
        <f>IFERROR(VLOOKUP($A6213,HeadJournal!$A$1:$NTR$890,COLUMN(HeadJournal!B$1),0),"")</f>
        <v/>
      </c>
      <c r="C6213" s="94" t="str">
        <f>IFERROR(VLOOKUP($A6213,HeadJournal!$A$1:$NTR$890,COLUMN(HeadJournal!C$1),0),"")</f>
        <v/>
      </c>
      <c r="D6213" s="125" t="str">
        <f>IFERROR(VLOOKUP($A6213,HeadJournal!$A$1:$NTR$890,COLUMN(HeadJournal!D$1),0),"")</f>
        <v/>
      </c>
      <c r="E6213" s="95" t="str">
        <f>IFERROR(VLOOKUP($A6213,HeadJournal!$A$1:$NTR$890,COLUMN(HeadJournal!G$1),0),"")</f>
        <v/>
      </c>
      <c r="F6213" s="95" t="str">
        <f t="shared" si="453"/>
        <v/>
      </c>
      <c r="G6213" s="97"/>
      <c r="H6213" s="161"/>
      <c r="I6213" s="97"/>
      <c r="J6213" s="97"/>
      <c r="K6213" s="29"/>
      <c r="L6213" s="29"/>
      <c r="M6213" s="30">
        <f>IFERROR(VLOOKUP($A6213,HeadJournal!$A$1:$J$890,COLUMN(HeadJournal!I$1),0)*($K6213+$L6213)/(SUMIF($A:$A,$A6213,$K:$K)+SUMIF($A:$A,$A6213,$L:$L)),0)</f>
        <v>0</v>
      </c>
      <c r="N6213" s="30">
        <f>IFERROR((VLOOKUP($A6213,HeadJournal!$A$1:$K$890,COLUMN(HeadJournal!K$1),0)-VLOOKUP($A6213,HeadJournal!$A$1:$K$890,COLUMN(HeadJournal!J$1),0))*($K6213+$L6213)/(SUMIF($A:$A,$A6213,$K:$K)+SUMIF($A:$A,$A6213,$L:$L)),0)</f>
        <v>0</v>
      </c>
      <c r="O6213" s="30">
        <f>IFERROR((VLOOKUP($A6213,HeadJournal!$A$1:$L$890,COLUMN(HeadJournal!L$1),0)*($K6213+$L6213)/(SUMIF($A:$A,$A6213,$K:$K)+SUMIF($A:$A,$A6213,$L:$L)))/VLOOKUP($A6213,HeadJournal!$A$1:$L$890,COLUMN(HeadJournal!H$1),0),0)</f>
        <v>0</v>
      </c>
      <c r="P6213" s="30">
        <f>IFERROR(SUM(K6213:O6213)*VLOOKUP($A6213,HeadJournal!$A$1:$L$890,COLUMN(HeadJournal!H$1),0),0)</f>
        <v>0</v>
      </c>
      <c r="Q6213" s="29"/>
      <c r="R6213" s="31"/>
      <c r="S6213" s="31"/>
      <c r="T6213" s="95" t="str">
        <f t="shared" si="454"/>
        <v/>
      </c>
      <c r="U6213" s="32">
        <f t="shared" si="455"/>
        <v>0</v>
      </c>
      <c r="V6213" s="22" t="str">
        <f t="shared" si="456"/>
        <v/>
      </c>
      <c r="X6213" s="33"/>
      <c r="Y6213" s="33"/>
    </row>
    <row r="6214" spans="1:25" x14ac:dyDescent="0.2">
      <c r="A6214" s="93"/>
      <c r="B6214" s="94" t="str">
        <f>IFERROR(VLOOKUP($A6214,HeadJournal!$A$1:$NTR$890,COLUMN(HeadJournal!B$1),0),"")</f>
        <v/>
      </c>
      <c r="C6214" s="94" t="str">
        <f>IFERROR(VLOOKUP($A6214,HeadJournal!$A$1:$NTR$890,COLUMN(HeadJournal!C$1),0),"")</f>
        <v/>
      </c>
      <c r="D6214" s="125" t="str">
        <f>IFERROR(VLOOKUP($A6214,HeadJournal!$A$1:$NTR$890,COLUMN(HeadJournal!D$1),0),"")</f>
        <v/>
      </c>
      <c r="E6214" s="95" t="str">
        <f>IFERROR(VLOOKUP($A6214,HeadJournal!$A$1:$NTR$890,COLUMN(HeadJournal!G$1),0),"")</f>
        <v/>
      </c>
      <c r="F6214" s="95" t="str">
        <f t="shared" si="453"/>
        <v/>
      </c>
      <c r="G6214" s="97"/>
      <c r="H6214" s="161"/>
      <c r="I6214" s="97"/>
      <c r="J6214" s="97"/>
      <c r="K6214" s="29"/>
      <c r="L6214" s="29"/>
      <c r="M6214" s="30">
        <f>IFERROR(VLOOKUP($A6214,HeadJournal!$A$1:$J$890,COLUMN(HeadJournal!I$1),0)*($K6214+$L6214)/(SUMIF($A:$A,$A6214,$K:$K)+SUMIF($A:$A,$A6214,$L:$L)),0)</f>
        <v>0</v>
      </c>
      <c r="N6214" s="30">
        <f>IFERROR((VLOOKUP($A6214,HeadJournal!$A$1:$K$890,COLUMN(HeadJournal!K$1),0)-VLOOKUP($A6214,HeadJournal!$A$1:$K$890,COLUMN(HeadJournal!J$1),0))*($K6214+$L6214)/(SUMIF($A:$A,$A6214,$K:$K)+SUMIF($A:$A,$A6214,$L:$L)),0)</f>
        <v>0</v>
      </c>
      <c r="O6214" s="30">
        <f>IFERROR((VLOOKUP($A6214,HeadJournal!$A$1:$L$890,COLUMN(HeadJournal!L$1),0)*($K6214+$L6214)/(SUMIF($A:$A,$A6214,$K:$K)+SUMIF($A:$A,$A6214,$L:$L)))/VLOOKUP($A6214,HeadJournal!$A$1:$L$890,COLUMN(HeadJournal!H$1),0),0)</f>
        <v>0</v>
      </c>
      <c r="P6214" s="30">
        <f>IFERROR(SUM(K6214:O6214)*VLOOKUP($A6214,HeadJournal!$A$1:$L$890,COLUMN(HeadJournal!H$1),0),0)</f>
        <v>0</v>
      </c>
      <c r="Q6214" s="29"/>
      <c r="R6214" s="31"/>
      <c r="S6214" s="31"/>
      <c r="T6214" s="95" t="str">
        <f t="shared" si="454"/>
        <v/>
      </c>
      <c r="U6214" s="32">
        <f t="shared" si="455"/>
        <v>0</v>
      </c>
      <c r="V6214" s="22" t="str">
        <f t="shared" si="456"/>
        <v/>
      </c>
      <c r="X6214" s="33"/>
      <c r="Y6214" s="33"/>
    </row>
    <row r="6215" spans="1:25" x14ac:dyDescent="0.2">
      <c r="A6215" s="93"/>
      <c r="B6215" s="94" t="str">
        <f>IFERROR(VLOOKUP($A6215,HeadJournal!$A$1:$NTR$890,COLUMN(HeadJournal!B$1),0),"")</f>
        <v/>
      </c>
      <c r="C6215" s="94" t="str">
        <f>IFERROR(VLOOKUP($A6215,HeadJournal!$A$1:$NTR$890,COLUMN(HeadJournal!C$1),0),"")</f>
        <v/>
      </c>
      <c r="D6215" s="125" t="str">
        <f>IFERROR(VLOOKUP($A6215,HeadJournal!$A$1:$NTR$890,COLUMN(HeadJournal!D$1),0),"")</f>
        <v/>
      </c>
      <c r="E6215" s="95" t="str">
        <f>IFERROR(VLOOKUP($A6215,HeadJournal!$A$1:$NTR$890,COLUMN(HeadJournal!G$1),0),"")</f>
        <v/>
      </c>
      <c r="F6215" s="95" t="str">
        <f t="shared" si="453"/>
        <v/>
      </c>
      <c r="G6215" s="97"/>
      <c r="H6215" s="161"/>
      <c r="I6215" s="97"/>
      <c r="J6215" s="97"/>
      <c r="K6215" s="29"/>
      <c r="L6215" s="29"/>
      <c r="M6215" s="30">
        <f>IFERROR(VLOOKUP($A6215,HeadJournal!$A$1:$J$890,COLUMN(HeadJournal!I$1),0)*($K6215+$L6215)/(SUMIF($A:$A,$A6215,$K:$K)+SUMIF($A:$A,$A6215,$L:$L)),0)</f>
        <v>0</v>
      </c>
      <c r="N6215" s="30">
        <f>IFERROR((VLOOKUP($A6215,HeadJournal!$A$1:$K$890,COLUMN(HeadJournal!K$1),0)-VLOOKUP($A6215,HeadJournal!$A$1:$K$890,COLUMN(HeadJournal!J$1),0))*($K6215+$L6215)/(SUMIF($A:$A,$A6215,$K:$K)+SUMIF($A:$A,$A6215,$L:$L)),0)</f>
        <v>0</v>
      </c>
      <c r="O6215" s="30">
        <f>IFERROR((VLOOKUP($A6215,HeadJournal!$A$1:$L$890,COLUMN(HeadJournal!L$1),0)*($K6215+$L6215)/(SUMIF($A:$A,$A6215,$K:$K)+SUMIF($A:$A,$A6215,$L:$L)))/VLOOKUP($A6215,HeadJournal!$A$1:$L$890,COLUMN(HeadJournal!H$1),0),0)</f>
        <v>0</v>
      </c>
      <c r="P6215" s="30">
        <f>IFERROR(SUM(K6215:O6215)*VLOOKUP($A6215,HeadJournal!$A$1:$L$890,COLUMN(HeadJournal!H$1),0),0)</f>
        <v>0</v>
      </c>
      <c r="Q6215" s="29"/>
      <c r="R6215" s="31"/>
      <c r="S6215" s="31"/>
      <c r="T6215" s="95" t="str">
        <f t="shared" si="454"/>
        <v/>
      </c>
      <c r="U6215" s="32">
        <f t="shared" si="455"/>
        <v>0</v>
      </c>
      <c r="V6215" s="22" t="str">
        <f t="shared" si="456"/>
        <v/>
      </c>
      <c r="X6215" s="33"/>
      <c r="Y6215" s="33"/>
    </row>
    <row r="6216" spans="1:25" x14ac:dyDescent="0.2">
      <c r="A6216" s="93"/>
      <c r="B6216" s="94" t="str">
        <f>IFERROR(VLOOKUP($A6216,HeadJournal!$A$1:$NTR$890,COLUMN(HeadJournal!B$1),0),"")</f>
        <v/>
      </c>
      <c r="C6216" s="94" t="str">
        <f>IFERROR(VLOOKUP($A6216,HeadJournal!$A$1:$NTR$890,COLUMN(HeadJournal!C$1),0),"")</f>
        <v/>
      </c>
      <c r="D6216" s="125" t="str">
        <f>IFERROR(VLOOKUP($A6216,HeadJournal!$A$1:$NTR$890,COLUMN(HeadJournal!D$1),0),"")</f>
        <v/>
      </c>
      <c r="E6216" s="95" t="str">
        <f>IFERROR(VLOOKUP($A6216,HeadJournal!$A$1:$NTR$890,COLUMN(HeadJournal!G$1),0),"")</f>
        <v/>
      </c>
      <c r="F6216" s="95" t="str">
        <f t="shared" si="453"/>
        <v/>
      </c>
      <c r="G6216" s="97"/>
      <c r="H6216" s="161"/>
      <c r="I6216" s="97"/>
      <c r="J6216" s="97"/>
      <c r="K6216" s="29"/>
      <c r="L6216" s="29"/>
      <c r="M6216" s="30">
        <f>IFERROR(VLOOKUP($A6216,HeadJournal!$A$1:$J$890,COLUMN(HeadJournal!I$1),0)*($K6216+$L6216)/(SUMIF($A:$A,$A6216,$K:$K)+SUMIF($A:$A,$A6216,$L:$L)),0)</f>
        <v>0</v>
      </c>
      <c r="N6216" s="30">
        <f>IFERROR((VLOOKUP($A6216,HeadJournal!$A$1:$K$890,COLUMN(HeadJournal!K$1),0)-VLOOKUP($A6216,HeadJournal!$A$1:$K$890,COLUMN(HeadJournal!J$1),0))*($K6216+$L6216)/(SUMIF($A:$A,$A6216,$K:$K)+SUMIF($A:$A,$A6216,$L:$L)),0)</f>
        <v>0</v>
      </c>
      <c r="O6216" s="30">
        <f>IFERROR((VLOOKUP($A6216,HeadJournal!$A$1:$L$890,COLUMN(HeadJournal!L$1),0)*($K6216+$L6216)/(SUMIF($A:$A,$A6216,$K:$K)+SUMIF($A:$A,$A6216,$L:$L)))/VLOOKUP($A6216,HeadJournal!$A$1:$L$890,COLUMN(HeadJournal!H$1),0),0)</f>
        <v>0</v>
      </c>
      <c r="P6216" s="30">
        <f>IFERROR(SUM(K6216:O6216)*VLOOKUP($A6216,HeadJournal!$A$1:$L$890,COLUMN(HeadJournal!H$1),0),0)</f>
        <v>0</v>
      </c>
      <c r="Q6216" s="29"/>
      <c r="R6216" s="31"/>
      <c r="S6216" s="31"/>
      <c r="T6216" s="95" t="str">
        <f t="shared" si="454"/>
        <v/>
      </c>
      <c r="U6216" s="32">
        <f t="shared" si="455"/>
        <v>0</v>
      </c>
      <c r="V6216" s="22" t="str">
        <f t="shared" si="456"/>
        <v/>
      </c>
      <c r="X6216" s="33"/>
      <c r="Y6216" s="33"/>
    </row>
    <row r="6217" spans="1:25" x14ac:dyDescent="0.2">
      <c r="A6217" s="93"/>
      <c r="B6217" s="94" t="str">
        <f>IFERROR(VLOOKUP($A6217,HeadJournal!$A$1:$NTR$890,COLUMN(HeadJournal!B$1),0),"")</f>
        <v/>
      </c>
      <c r="C6217" s="94" t="str">
        <f>IFERROR(VLOOKUP($A6217,HeadJournal!$A$1:$NTR$890,COLUMN(HeadJournal!C$1),0),"")</f>
        <v/>
      </c>
      <c r="D6217" s="125" t="str">
        <f>IFERROR(VLOOKUP($A6217,HeadJournal!$A$1:$NTR$890,COLUMN(HeadJournal!D$1),0),"")</f>
        <v/>
      </c>
      <c r="E6217" s="95" t="str">
        <f>IFERROR(VLOOKUP($A6217,HeadJournal!$A$1:$NTR$890,COLUMN(HeadJournal!G$1),0),"")</f>
        <v/>
      </c>
      <c r="F6217" s="95" t="str">
        <f t="shared" si="453"/>
        <v/>
      </c>
      <c r="G6217" s="97"/>
      <c r="H6217" s="161"/>
      <c r="I6217" s="97"/>
      <c r="J6217" s="97"/>
      <c r="K6217" s="29"/>
      <c r="L6217" s="29"/>
      <c r="M6217" s="30">
        <f>IFERROR(VLOOKUP($A6217,HeadJournal!$A$1:$J$890,COLUMN(HeadJournal!I$1),0)*($K6217+$L6217)/(SUMIF($A:$A,$A6217,$K:$K)+SUMIF($A:$A,$A6217,$L:$L)),0)</f>
        <v>0</v>
      </c>
      <c r="N6217" s="30">
        <f>IFERROR((VLOOKUP($A6217,HeadJournal!$A$1:$K$890,COLUMN(HeadJournal!K$1),0)-VLOOKUP($A6217,HeadJournal!$A$1:$K$890,COLUMN(HeadJournal!J$1),0))*($K6217+$L6217)/(SUMIF($A:$A,$A6217,$K:$K)+SUMIF($A:$A,$A6217,$L:$L)),0)</f>
        <v>0</v>
      </c>
      <c r="O6217" s="30">
        <f>IFERROR((VLOOKUP($A6217,HeadJournal!$A$1:$L$890,COLUMN(HeadJournal!L$1),0)*($K6217+$L6217)/(SUMIF($A:$A,$A6217,$K:$K)+SUMIF($A:$A,$A6217,$L:$L)))/VLOOKUP($A6217,HeadJournal!$A$1:$L$890,COLUMN(HeadJournal!H$1),0),0)</f>
        <v>0</v>
      </c>
      <c r="P6217" s="30">
        <f>IFERROR(SUM(K6217:O6217)*VLOOKUP($A6217,HeadJournal!$A$1:$L$890,COLUMN(HeadJournal!H$1),0),0)</f>
        <v>0</v>
      </c>
      <c r="Q6217" s="29"/>
      <c r="R6217" s="31"/>
      <c r="S6217" s="31"/>
      <c r="T6217" s="95" t="str">
        <f t="shared" si="454"/>
        <v/>
      </c>
      <c r="U6217" s="32">
        <f t="shared" si="455"/>
        <v>0</v>
      </c>
      <c r="V6217" s="22" t="str">
        <f t="shared" si="456"/>
        <v/>
      </c>
      <c r="X6217" s="33"/>
      <c r="Y6217" s="33"/>
    </row>
    <row r="6218" spans="1:25" x14ac:dyDescent="0.2">
      <c r="A6218" s="93"/>
      <c r="B6218" s="94" t="str">
        <f>IFERROR(VLOOKUP($A6218,HeadJournal!$A$1:$NTR$890,COLUMN(HeadJournal!B$1),0),"")</f>
        <v/>
      </c>
      <c r="C6218" s="94" t="str">
        <f>IFERROR(VLOOKUP($A6218,HeadJournal!$A$1:$NTR$890,COLUMN(HeadJournal!C$1),0),"")</f>
        <v/>
      </c>
      <c r="D6218" s="125" t="str">
        <f>IFERROR(VLOOKUP($A6218,HeadJournal!$A$1:$NTR$890,COLUMN(HeadJournal!D$1),0),"")</f>
        <v/>
      </c>
      <c r="E6218" s="95" t="str">
        <f>IFERROR(VLOOKUP($A6218,HeadJournal!$A$1:$NTR$890,COLUMN(HeadJournal!G$1),0),"")</f>
        <v/>
      </c>
      <c r="F6218" s="95" t="str">
        <f t="shared" si="453"/>
        <v/>
      </c>
      <c r="G6218" s="97"/>
      <c r="H6218" s="161"/>
      <c r="I6218" s="97"/>
      <c r="J6218" s="97"/>
      <c r="K6218" s="29"/>
      <c r="L6218" s="29"/>
      <c r="M6218" s="30">
        <f>IFERROR(VLOOKUP($A6218,HeadJournal!$A$1:$J$890,COLUMN(HeadJournal!I$1),0)*($K6218+$L6218)/(SUMIF($A:$A,$A6218,$K:$K)+SUMIF($A:$A,$A6218,$L:$L)),0)</f>
        <v>0</v>
      </c>
      <c r="N6218" s="30">
        <f>IFERROR((VLOOKUP($A6218,HeadJournal!$A$1:$K$890,COLUMN(HeadJournal!K$1),0)-VLOOKUP($A6218,HeadJournal!$A$1:$K$890,COLUMN(HeadJournal!J$1),0))*($K6218+$L6218)/(SUMIF($A:$A,$A6218,$K:$K)+SUMIF($A:$A,$A6218,$L:$L)),0)</f>
        <v>0</v>
      </c>
      <c r="O6218" s="30">
        <f>IFERROR((VLOOKUP($A6218,HeadJournal!$A$1:$L$890,COLUMN(HeadJournal!L$1),0)*($K6218+$L6218)/(SUMIF($A:$A,$A6218,$K:$K)+SUMIF($A:$A,$A6218,$L:$L)))/VLOOKUP($A6218,HeadJournal!$A$1:$L$890,COLUMN(HeadJournal!H$1),0),0)</f>
        <v>0</v>
      </c>
      <c r="P6218" s="30">
        <f>IFERROR(SUM(K6218:O6218)*VLOOKUP($A6218,HeadJournal!$A$1:$L$890,COLUMN(HeadJournal!H$1),0),0)</f>
        <v>0</v>
      </c>
      <c r="Q6218" s="29"/>
      <c r="R6218" s="31"/>
      <c r="S6218" s="31"/>
      <c r="T6218" s="95" t="str">
        <f t="shared" si="454"/>
        <v/>
      </c>
      <c r="U6218" s="32">
        <f t="shared" si="455"/>
        <v>0</v>
      </c>
      <c r="V6218" s="22" t="str">
        <f t="shared" si="456"/>
        <v/>
      </c>
      <c r="X6218" s="33"/>
      <c r="Y6218" s="33"/>
    </row>
    <row r="6219" spans="1:25" x14ac:dyDescent="0.2">
      <c r="A6219" s="93"/>
      <c r="B6219" s="94" t="str">
        <f>IFERROR(VLOOKUP($A6219,HeadJournal!$A$1:$NTR$890,COLUMN(HeadJournal!B$1),0),"")</f>
        <v/>
      </c>
      <c r="C6219" s="94" t="str">
        <f>IFERROR(VLOOKUP($A6219,HeadJournal!$A$1:$NTR$890,COLUMN(HeadJournal!C$1),0),"")</f>
        <v/>
      </c>
      <c r="D6219" s="125" t="str">
        <f>IFERROR(VLOOKUP($A6219,HeadJournal!$A$1:$NTR$890,COLUMN(HeadJournal!D$1),0),"")</f>
        <v/>
      </c>
      <c r="E6219" s="95" t="str">
        <f>IFERROR(VLOOKUP($A6219,HeadJournal!$A$1:$NTR$890,COLUMN(HeadJournal!G$1),0),"")</f>
        <v/>
      </c>
      <c r="F6219" s="95" t="str">
        <f t="shared" si="453"/>
        <v/>
      </c>
      <c r="G6219" s="97"/>
      <c r="H6219" s="161"/>
      <c r="I6219" s="97"/>
      <c r="J6219" s="97"/>
      <c r="K6219" s="29"/>
      <c r="L6219" s="29"/>
      <c r="M6219" s="30">
        <f>IFERROR(VLOOKUP($A6219,HeadJournal!$A$1:$J$890,COLUMN(HeadJournal!I$1),0)*($K6219+$L6219)/(SUMIF($A:$A,$A6219,$K:$K)+SUMIF($A:$A,$A6219,$L:$L)),0)</f>
        <v>0</v>
      </c>
      <c r="N6219" s="30">
        <f>IFERROR((VLOOKUP($A6219,HeadJournal!$A$1:$K$890,COLUMN(HeadJournal!K$1),0)-VLOOKUP($A6219,HeadJournal!$A$1:$K$890,COLUMN(HeadJournal!J$1),0))*($K6219+$L6219)/(SUMIF($A:$A,$A6219,$K:$K)+SUMIF($A:$A,$A6219,$L:$L)),0)</f>
        <v>0</v>
      </c>
      <c r="O6219" s="30">
        <f>IFERROR((VLOOKUP($A6219,HeadJournal!$A$1:$L$890,COLUMN(HeadJournal!L$1),0)*($K6219+$L6219)/(SUMIF($A:$A,$A6219,$K:$K)+SUMIF($A:$A,$A6219,$L:$L)))/VLOOKUP($A6219,HeadJournal!$A$1:$L$890,COLUMN(HeadJournal!H$1),0),0)</f>
        <v>0</v>
      </c>
      <c r="P6219" s="30">
        <f>IFERROR(SUM(K6219:O6219)*VLOOKUP($A6219,HeadJournal!$A$1:$L$890,COLUMN(HeadJournal!H$1),0),0)</f>
        <v>0</v>
      </c>
      <c r="Q6219" s="29"/>
      <c r="R6219" s="31"/>
      <c r="S6219" s="31"/>
      <c r="T6219" s="95" t="str">
        <f t="shared" si="454"/>
        <v/>
      </c>
      <c r="U6219" s="32">
        <f t="shared" si="455"/>
        <v>0</v>
      </c>
      <c r="V6219" s="22" t="str">
        <f t="shared" si="456"/>
        <v/>
      </c>
      <c r="X6219" s="33"/>
      <c r="Y6219" s="33"/>
    </row>
    <row r="6220" spans="1:25" x14ac:dyDescent="0.2">
      <c r="A6220" s="93"/>
      <c r="B6220" s="94" t="str">
        <f>IFERROR(VLOOKUP($A6220,HeadJournal!$A$1:$NTR$890,COLUMN(HeadJournal!B$1),0),"")</f>
        <v/>
      </c>
      <c r="C6220" s="94" t="str">
        <f>IFERROR(VLOOKUP($A6220,HeadJournal!$A$1:$NTR$890,COLUMN(HeadJournal!C$1),0),"")</f>
        <v/>
      </c>
      <c r="D6220" s="125" t="str">
        <f>IFERROR(VLOOKUP($A6220,HeadJournal!$A$1:$NTR$890,COLUMN(HeadJournal!D$1),0),"")</f>
        <v/>
      </c>
      <c r="E6220" s="95" t="str">
        <f>IFERROR(VLOOKUP($A6220,HeadJournal!$A$1:$NTR$890,COLUMN(HeadJournal!G$1),0),"")</f>
        <v/>
      </c>
      <c r="F6220" s="95" t="str">
        <f t="shared" si="453"/>
        <v/>
      </c>
      <c r="G6220" s="97"/>
      <c r="H6220" s="161"/>
      <c r="I6220" s="97"/>
      <c r="J6220" s="97"/>
      <c r="K6220" s="29"/>
      <c r="L6220" s="29"/>
      <c r="M6220" s="30">
        <f>IFERROR(VLOOKUP($A6220,HeadJournal!$A$1:$J$890,COLUMN(HeadJournal!I$1),0)*($K6220+$L6220)/(SUMIF($A:$A,$A6220,$K:$K)+SUMIF($A:$A,$A6220,$L:$L)),0)</f>
        <v>0</v>
      </c>
      <c r="N6220" s="30">
        <f>IFERROR((VLOOKUP($A6220,HeadJournal!$A$1:$K$890,COLUMN(HeadJournal!K$1),0)-VLOOKUP($A6220,HeadJournal!$A$1:$K$890,COLUMN(HeadJournal!J$1),0))*($K6220+$L6220)/(SUMIF($A:$A,$A6220,$K:$K)+SUMIF($A:$A,$A6220,$L:$L)),0)</f>
        <v>0</v>
      </c>
      <c r="O6220" s="30">
        <f>IFERROR((VLOOKUP($A6220,HeadJournal!$A$1:$L$890,COLUMN(HeadJournal!L$1),0)*($K6220+$L6220)/(SUMIF($A:$A,$A6220,$K:$K)+SUMIF($A:$A,$A6220,$L:$L)))/VLOOKUP($A6220,HeadJournal!$A$1:$L$890,COLUMN(HeadJournal!H$1),0),0)</f>
        <v>0</v>
      </c>
      <c r="P6220" s="30">
        <f>IFERROR(SUM(K6220:O6220)*VLOOKUP($A6220,HeadJournal!$A$1:$L$890,COLUMN(HeadJournal!H$1),0),0)</f>
        <v>0</v>
      </c>
      <c r="Q6220" s="29"/>
      <c r="R6220" s="31"/>
      <c r="S6220" s="31"/>
      <c r="T6220" s="95" t="str">
        <f t="shared" si="454"/>
        <v/>
      </c>
      <c r="U6220" s="32">
        <f t="shared" si="455"/>
        <v>0</v>
      </c>
      <c r="V6220" s="22" t="str">
        <f t="shared" si="456"/>
        <v/>
      </c>
      <c r="X6220" s="33"/>
      <c r="Y6220" s="33"/>
    </row>
    <row r="6221" spans="1:25" x14ac:dyDescent="0.2">
      <c r="A6221" s="93"/>
      <c r="B6221" s="94" t="str">
        <f>IFERROR(VLOOKUP($A6221,HeadJournal!$A$1:$NTR$890,COLUMN(HeadJournal!B$1),0),"")</f>
        <v/>
      </c>
      <c r="C6221" s="94" t="str">
        <f>IFERROR(VLOOKUP($A6221,HeadJournal!$A$1:$NTR$890,COLUMN(HeadJournal!C$1),0),"")</f>
        <v/>
      </c>
      <c r="D6221" s="125" t="str">
        <f>IFERROR(VLOOKUP($A6221,HeadJournal!$A$1:$NTR$890,COLUMN(HeadJournal!D$1),0),"")</f>
        <v/>
      </c>
      <c r="E6221" s="95" t="str">
        <f>IFERROR(VLOOKUP($A6221,HeadJournal!$A$1:$NTR$890,COLUMN(HeadJournal!G$1),0),"")</f>
        <v/>
      </c>
      <c r="F6221" s="95" t="str">
        <f t="shared" si="453"/>
        <v/>
      </c>
      <c r="G6221" s="97"/>
      <c r="H6221" s="161"/>
      <c r="I6221" s="97"/>
      <c r="J6221" s="97"/>
      <c r="K6221" s="29"/>
      <c r="L6221" s="29"/>
      <c r="M6221" s="30">
        <f>IFERROR(VLOOKUP($A6221,HeadJournal!$A$1:$J$890,COLUMN(HeadJournal!I$1),0)*($K6221+$L6221)/(SUMIF($A:$A,$A6221,$K:$K)+SUMIF($A:$A,$A6221,$L:$L)),0)</f>
        <v>0</v>
      </c>
      <c r="N6221" s="30">
        <f>IFERROR((VLOOKUP($A6221,HeadJournal!$A$1:$K$890,COLUMN(HeadJournal!K$1),0)-VLOOKUP($A6221,HeadJournal!$A$1:$K$890,COLUMN(HeadJournal!J$1),0))*($K6221+$L6221)/(SUMIF($A:$A,$A6221,$K:$K)+SUMIF($A:$A,$A6221,$L:$L)),0)</f>
        <v>0</v>
      </c>
      <c r="O6221" s="30">
        <f>IFERROR((VLOOKUP($A6221,HeadJournal!$A$1:$L$890,COLUMN(HeadJournal!L$1),0)*($K6221+$L6221)/(SUMIF($A:$A,$A6221,$K:$K)+SUMIF($A:$A,$A6221,$L:$L)))/VLOOKUP($A6221,HeadJournal!$A$1:$L$890,COLUMN(HeadJournal!H$1),0),0)</f>
        <v>0</v>
      </c>
      <c r="P6221" s="30">
        <f>IFERROR(SUM(K6221:O6221)*VLOOKUP($A6221,HeadJournal!$A$1:$L$890,COLUMN(HeadJournal!H$1),0),0)</f>
        <v>0</v>
      </c>
      <c r="Q6221" s="29"/>
      <c r="R6221" s="31"/>
      <c r="S6221" s="31"/>
      <c r="T6221" s="95" t="str">
        <f t="shared" si="454"/>
        <v/>
      </c>
      <c r="U6221" s="32">
        <f t="shared" si="455"/>
        <v>0</v>
      </c>
      <c r="V6221" s="22" t="str">
        <f t="shared" si="456"/>
        <v/>
      </c>
      <c r="X6221" s="33"/>
      <c r="Y6221" s="33"/>
    </row>
    <row r="6222" spans="1:25" x14ac:dyDescent="0.2">
      <c r="A6222" s="93"/>
      <c r="B6222" s="94" t="str">
        <f>IFERROR(VLOOKUP($A6222,HeadJournal!$A$1:$NTR$890,COLUMN(HeadJournal!B$1),0),"")</f>
        <v/>
      </c>
      <c r="C6222" s="94" t="str">
        <f>IFERROR(VLOOKUP($A6222,HeadJournal!$A$1:$NTR$890,COLUMN(HeadJournal!C$1),0),"")</f>
        <v/>
      </c>
      <c r="D6222" s="125" t="str">
        <f>IFERROR(VLOOKUP($A6222,HeadJournal!$A$1:$NTR$890,COLUMN(HeadJournal!D$1),0),"")</f>
        <v/>
      </c>
      <c r="E6222" s="95" t="str">
        <f>IFERROR(VLOOKUP($A6222,HeadJournal!$A$1:$NTR$890,COLUMN(HeadJournal!G$1),0),"")</f>
        <v/>
      </c>
      <c r="F6222" s="95" t="str">
        <f t="shared" si="453"/>
        <v/>
      </c>
      <c r="G6222" s="97"/>
      <c r="H6222" s="161"/>
      <c r="I6222" s="97"/>
      <c r="J6222" s="97"/>
      <c r="K6222" s="29"/>
      <c r="L6222" s="29"/>
      <c r="M6222" s="30">
        <f>IFERROR(VLOOKUP($A6222,HeadJournal!$A$1:$J$890,COLUMN(HeadJournal!I$1),0)*($K6222+$L6222)/(SUMIF($A:$A,$A6222,$K:$K)+SUMIF($A:$A,$A6222,$L:$L)),0)</f>
        <v>0</v>
      </c>
      <c r="N6222" s="30">
        <f>IFERROR((VLOOKUP($A6222,HeadJournal!$A$1:$K$890,COLUMN(HeadJournal!K$1),0)-VLOOKUP($A6222,HeadJournal!$A$1:$K$890,COLUMN(HeadJournal!J$1),0))*($K6222+$L6222)/(SUMIF($A:$A,$A6222,$K:$K)+SUMIF($A:$A,$A6222,$L:$L)),0)</f>
        <v>0</v>
      </c>
      <c r="O6222" s="30">
        <f>IFERROR((VLOOKUP($A6222,HeadJournal!$A$1:$L$890,COLUMN(HeadJournal!L$1),0)*($K6222+$L6222)/(SUMIF($A:$A,$A6222,$K:$K)+SUMIF($A:$A,$A6222,$L:$L)))/VLOOKUP($A6222,HeadJournal!$A$1:$L$890,COLUMN(HeadJournal!H$1),0),0)</f>
        <v>0</v>
      </c>
      <c r="P6222" s="30">
        <f>IFERROR(SUM(K6222:O6222)*VLOOKUP($A6222,HeadJournal!$A$1:$L$890,COLUMN(HeadJournal!H$1),0),0)</f>
        <v>0</v>
      </c>
      <c r="Q6222" s="29"/>
      <c r="R6222" s="31"/>
      <c r="S6222" s="31"/>
      <c r="T6222" s="95" t="str">
        <f t="shared" si="454"/>
        <v/>
      </c>
      <c r="U6222" s="32">
        <f t="shared" si="455"/>
        <v>0</v>
      </c>
      <c r="V6222" s="22" t="str">
        <f t="shared" si="456"/>
        <v/>
      </c>
      <c r="X6222" s="33"/>
      <c r="Y6222" s="33"/>
    </row>
    <row r="6223" spans="1:25" x14ac:dyDescent="0.2">
      <c r="A6223" s="93"/>
      <c r="B6223" s="94" t="str">
        <f>IFERROR(VLOOKUP($A6223,HeadJournal!$A$1:$NTR$890,COLUMN(HeadJournal!B$1),0),"")</f>
        <v/>
      </c>
      <c r="C6223" s="94" t="str">
        <f>IFERROR(VLOOKUP($A6223,HeadJournal!$A$1:$NTR$890,COLUMN(HeadJournal!C$1),0),"")</f>
        <v/>
      </c>
      <c r="D6223" s="125" t="str">
        <f>IFERROR(VLOOKUP($A6223,HeadJournal!$A$1:$NTR$890,COLUMN(HeadJournal!D$1),0),"")</f>
        <v/>
      </c>
      <c r="E6223" s="95" t="str">
        <f>IFERROR(VLOOKUP($A6223,HeadJournal!$A$1:$NTR$890,COLUMN(HeadJournal!G$1),0),"")</f>
        <v/>
      </c>
      <c r="F6223" s="95" t="str">
        <f t="shared" si="453"/>
        <v/>
      </c>
      <c r="G6223" s="97"/>
      <c r="H6223" s="161"/>
      <c r="I6223" s="97"/>
      <c r="J6223" s="97"/>
      <c r="K6223" s="29"/>
      <c r="L6223" s="29"/>
      <c r="M6223" s="30">
        <f>IFERROR(VLOOKUP($A6223,HeadJournal!$A$1:$J$890,COLUMN(HeadJournal!I$1),0)*($K6223+$L6223)/(SUMIF($A:$A,$A6223,$K:$K)+SUMIF($A:$A,$A6223,$L:$L)),0)</f>
        <v>0</v>
      </c>
      <c r="N6223" s="30">
        <f>IFERROR((VLOOKUP($A6223,HeadJournal!$A$1:$K$890,COLUMN(HeadJournal!K$1),0)-VLOOKUP($A6223,HeadJournal!$A$1:$K$890,COLUMN(HeadJournal!J$1),0))*($K6223+$L6223)/(SUMIF($A:$A,$A6223,$K:$K)+SUMIF($A:$A,$A6223,$L:$L)),0)</f>
        <v>0</v>
      </c>
      <c r="O6223" s="30">
        <f>IFERROR((VLOOKUP($A6223,HeadJournal!$A$1:$L$890,COLUMN(HeadJournal!L$1),0)*($K6223+$L6223)/(SUMIF($A:$A,$A6223,$K:$K)+SUMIF($A:$A,$A6223,$L:$L)))/VLOOKUP($A6223,HeadJournal!$A$1:$L$890,COLUMN(HeadJournal!H$1),0),0)</f>
        <v>0</v>
      </c>
      <c r="P6223" s="30">
        <f>IFERROR(SUM(K6223:O6223)*VLOOKUP($A6223,HeadJournal!$A$1:$L$890,COLUMN(HeadJournal!H$1),0),0)</f>
        <v>0</v>
      </c>
      <c r="Q6223" s="29"/>
      <c r="R6223" s="31"/>
      <c r="S6223" s="31"/>
      <c r="T6223" s="95" t="str">
        <f t="shared" si="454"/>
        <v/>
      </c>
      <c r="U6223" s="32">
        <f t="shared" si="455"/>
        <v>0</v>
      </c>
      <c r="V6223" s="22" t="str">
        <f t="shared" si="456"/>
        <v/>
      </c>
      <c r="X6223" s="33"/>
      <c r="Y6223" s="33"/>
    </row>
    <row r="6224" spans="1:25" x14ac:dyDescent="0.2">
      <c r="A6224" s="93"/>
      <c r="B6224" s="94" t="str">
        <f>IFERROR(VLOOKUP($A6224,HeadJournal!$A$1:$NTR$890,COLUMN(HeadJournal!B$1),0),"")</f>
        <v/>
      </c>
      <c r="C6224" s="94" t="str">
        <f>IFERROR(VLOOKUP($A6224,HeadJournal!$A$1:$NTR$890,COLUMN(HeadJournal!C$1),0),"")</f>
        <v/>
      </c>
      <c r="D6224" s="125" t="str">
        <f>IFERROR(VLOOKUP($A6224,HeadJournal!$A$1:$NTR$890,COLUMN(HeadJournal!D$1),0),"")</f>
        <v/>
      </c>
      <c r="E6224" s="95" t="str">
        <f>IFERROR(VLOOKUP($A6224,HeadJournal!$A$1:$NTR$890,COLUMN(HeadJournal!G$1),0),"")</f>
        <v/>
      </c>
      <c r="F6224" s="95" t="str">
        <f t="shared" si="453"/>
        <v/>
      </c>
      <c r="G6224" s="97"/>
      <c r="H6224" s="161"/>
      <c r="I6224" s="97"/>
      <c r="J6224" s="97"/>
      <c r="K6224" s="29"/>
      <c r="L6224" s="29"/>
      <c r="M6224" s="30">
        <f>IFERROR(VLOOKUP($A6224,HeadJournal!$A$1:$J$890,COLUMN(HeadJournal!I$1),0)*($K6224+$L6224)/(SUMIF($A:$A,$A6224,$K:$K)+SUMIF($A:$A,$A6224,$L:$L)),0)</f>
        <v>0</v>
      </c>
      <c r="N6224" s="30">
        <f>IFERROR((VLOOKUP($A6224,HeadJournal!$A$1:$K$890,COLUMN(HeadJournal!K$1),0)-VLOOKUP($A6224,HeadJournal!$A$1:$K$890,COLUMN(HeadJournal!J$1),0))*($K6224+$L6224)/(SUMIF($A:$A,$A6224,$K:$K)+SUMIF($A:$A,$A6224,$L:$L)),0)</f>
        <v>0</v>
      </c>
      <c r="O6224" s="30">
        <f>IFERROR((VLOOKUP($A6224,HeadJournal!$A$1:$L$890,COLUMN(HeadJournal!L$1),0)*($K6224+$L6224)/(SUMIF($A:$A,$A6224,$K:$K)+SUMIF($A:$A,$A6224,$L:$L)))/VLOOKUP($A6224,HeadJournal!$A$1:$L$890,COLUMN(HeadJournal!H$1),0),0)</f>
        <v>0</v>
      </c>
      <c r="P6224" s="30">
        <f>IFERROR(SUM(K6224:O6224)*VLOOKUP($A6224,HeadJournal!$A$1:$L$890,COLUMN(HeadJournal!H$1),0),0)</f>
        <v>0</v>
      </c>
      <c r="Q6224" s="29"/>
      <c r="R6224" s="31"/>
      <c r="S6224" s="31"/>
      <c r="T6224" s="95" t="str">
        <f t="shared" si="454"/>
        <v/>
      </c>
      <c r="U6224" s="32">
        <f t="shared" si="455"/>
        <v>0</v>
      </c>
      <c r="V6224" s="22" t="str">
        <f t="shared" si="456"/>
        <v/>
      </c>
      <c r="X6224" s="33"/>
      <c r="Y6224" s="33"/>
    </row>
    <row r="6225" spans="1:25" x14ac:dyDescent="0.2">
      <c r="A6225" s="93"/>
      <c r="B6225" s="94" t="str">
        <f>IFERROR(VLOOKUP($A6225,HeadJournal!$A$1:$NTR$890,COLUMN(HeadJournal!B$1),0),"")</f>
        <v/>
      </c>
      <c r="C6225" s="94" t="str">
        <f>IFERROR(VLOOKUP($A6225,HeadJournal!$A$1:$NTR$890,COLUMN(HeadJournal!C$1),0),"")</f>
        <v/>
      </c>
      <c r="D6225" s="125" t="str">
        <f>IFERROR(VLOOKUP($A6225,HeadJournal!$A$1:$NTR$890,COLUMN(HeadJournal!D$1),0),"")</f>
        <v/>
      </c>
      <c r="E6225" s="95" t="str">
        <f>IFERROR(VLOOKUP($A6225,HeadJournal!$A$1:$NTR$890,COLUMN(HeadJournal!G$1),0),"")</f>
        <v/>
      </c>
      <c r="F6225" s="95" t="str">
        <f t="shared" si="453"/>
        <v/>
      </c>
      <c r="G6225" s="97"/>
      <c r="H6225" s="161"/>
      <c r="I6225" s="97"/>
      <c r="J6225" s="97"/>
      <c r="K6225" s="29"/>
      <c r="L6225" s="29"/>
      <c r="M6225" s="30">
        <f>IFERROR(VLOOKUP($A6225,HeadJournal!$A$1:$J$890,COLUMN(HeadJournal!I$1),0)*($K6225+$L6225)/(SUMIF($A:$A,$A6225,$K:$K)+SUMIF($A:$A,$A6225,$L:$L)),0)</f>
        <v>0</v>
      </c>
      <c r="N6225" s="30">
        <f>IFERROR((VLOOKUP($A6225,HeadJournal!$A$1:$K$890,COLUMN(HeadJournal!K$1),0)-VLOOKUP($A6225,HeadJournal!$A$1:$K$890,COLUMN(HeadJournal!J$1),0))*($K6225+$L6225)/(SUMIF($A:$A,$A6225,$K:$K)+SUMIF($A:$A,$A6225,$L:$L)),0)</f>
        <v>0</v>
      </c>
      <c r="O6225" s="30">
        <f>IFERROR((VLOOKUP($A6225,HeadJournal!$A$1:$L$890,COLUMN(HeadJournal!L$1),0)*($K6225+$L6225)/(SUMIF($A:$A,$A6225,$K:$K)+SUMIF($A:$A,$A6225,$L:$L)))/VLOOKUP($A6225,HeadJournal!$A$1:$L$890,COLUMN(HeadJournal!H$1),0),0)</f>
        <v>0</v>
      </c>
      <c r="P6225" s="30">
        <f>IFERROR(SUM(K6225:O6225)*VLOOKUP($A6225,HeadJournal!$A$1:$L$890,COLUMN(HeadJournal!H$1),0),0)</f>
        <v>0</v>
      </c>
      <c r="Q6225" s="29"/>
      <c r="R6225" s="31"/>
      <c r="S6225" s="31"/>
      <c r="T6225" s="95" t="str">
        <f t="shared" si="454"/>
        <v/>
      </c>
      <c r="U6225" s="32">
        <f t="shared" si="455"/>
        <v>0</v>
      </c>
      <c r="V6225" s="22" t="str">
        <f t="shared" si="456"/>
        <v/>
      </c>
      <c r="X6225" s="33"/>
      <c r="Y6225" s="33"/>
    </row>
    <row r="6226" spans="1:25" x14ac:dyDescent="0.2">
      <c r="A6226" s="93"/>
      <c r="B6226" s="94" t="str">
        <f>IFERROR(VLOOKUP($A6226,HeadJournal!$A$1:$NTR$890,COLUMN(HeadJournal!B$1),0),"")</f>
        <v/>
      </c>
      <c r="C6226" s="94" t="str">
        <f>IFERROR(VLOOKUP($A6226,HeadJournal!$A$1:$NTR$890,COLUMN(HeadJournal!C$1),0),"")</f>
        <v/>
      </c>
      <c r="D6226" s="125" t="str">
        <f>IFERROR(VLOOKUP($A6226,HeadJournal!$A$1:$NTR$890,COLUMN(HeadJournal!D$1),0),"")</f>
        <v/>
      </c>
      <c r="E6226" s="95" t="str">
        <f>IFERROR(VLOOKUP($A6226,HeadJournal!$A$1:$NTR$890,COLUMN(HeadJournal!G$1),0),"")</f>
        <v/>
      </c>
      <c r="F6226" s="95" t="str">
        <f t="shared" si="453"/>
        <v/>
      </c>
      <c r="G6226" s="97"/>
      <c r="H6226" s="161"/>
      <c r="I6226" s="97"/>
      <c r="J6226" s="97"/>
      <c r="K6226" s="29"/>
      <c r="L6226" s="29"/>
      <c r="M6226" s="30">
        <f>IFERROR(VLOOKUP($A6226,HeadJournal!$A$1:$J$890,COLUMN(HeadJournal!I$1),0)*($K6226+$L6226)/(SUMIF($A:$A,$A6226,$K:$K)+SUMIF($A:$A,$A6226,$L:$L)),0)</f>
        <v>0</v>
      </c>
      <c r="N6226" s="30">
        <f>IFERROR((VLOOKUP($A6226,HeadJournal!$A$1:$K$890,COLUMN(HeadJournal!K$1),0)-VLOOKUP($A6226,HeadJournal!$A$1:$K$890,COLUMN(HeadJournal!J$1),0))*($K6226+$L6226)/(SUMIF($A:$A,$A6226,$K:$K)+SUMIF($A:$A,$A6226,$L:$L)),0)</f>
        <v>0</v>
      </c>
      <c r="O6226" s="30">
        <f>IFERROR((VLOOKUP($A6226,HeadJournal!$A$1:$L$890,COLUMN(HeadJournal!L$1),0)*($K6226+$L6226)/(SUMIF($A:$A,$A6226,$K:$K)+SUMIF($A:$A,$A6226,$L:$L)))/VLOOKUP($A6226,HeadJournal!$A$1:$L$890,COLUMN(HeadJournal!H$1),0),0)</f>
        <v>0</v>
      </c>
      <c r="P6226" s="30">
        <f>IFERROR(SUM(K6226:O6226)*VLOOKUP($A6226,HeadJournal!$A$1:$L$890,COLUMN(HeadJournal!H$1),0),0)</f>
        <v>0</v>
      </c>
      <c r="Q6226" s="29"/>
      <c r="R6226" s="31"/>
      <c r="S6226" s="31"/>
      <c r="T6226" s="95" t="str">
        <f t="shared" si="454"/>
        <v/>
      </c>
      <c r="U6226" s="32">
        <f t="shared" si="455"/>
        <v>0</v>
      </c>
      <c r="V6226" s="22" t="str">
        <f t="shared" si="456"/>
        <v/>
      </c>
      <c r="X6226" s="33"/>
      <c r="Y6226" s="33"/>
    </row>
    <row r="6227" spans="1:25" x14ac:dyDescent="0.2">
      <c r="A6227" s="93"/>
      <c r="B6227" s="94" t="str">
        <f>IFERROR(VLOOKUP($A6227,HeadJournal!$A$1:$NTR$890,COLUMN(HeadJournal!B$1),0),"")</f>
        <v/>
      </c>
      <c r="C6227" s="94" t="str">
        <f>IFERROR(VLOOKUP($A6227,HeadJournal!$A$1:$NTR$890,COLUMN(HeadJournal!C$1),0),"")</f>
        <v/>
      </c>
      <c r="D6227" s="125" t="str">
        <f>IFERROR(VLOOKUP($A6227,HeadJournal!$A$1:$NTR$890,COLUMN(HeadJournal!D$1),0),"")</f>
        <v/>
      </c>
      <c r="E6227" s="95" t="str">
        <f>IFERROR(VLOOKUP($A6227,HeadJournal!$A$1:$NTR$890,COLUMN(HeadJournal!G$1),0),"")</f>
        <v/>
      </c>
      <c r="F6227" s="95" t="str">
        <f t="shared" si="453"/>
        <v/>
      </c>
      <c r="G6227" s="97"/>
      <c r="H6227" s="161"/>
      <c r="I6227" s="97"/>
      <c r="J6227" s="97"/>
      <c r="K6227" s="29"/>
      <c r="L6227" s="29"/>
      <c r="M6227" s="30">
        <f>IFERROR(VLOOKUP($A6227,HeadJournal!$A$1:$J$890,COLUMN(HeadJournal!I$1),0)*($K6227+$L6227)/(SUMIF($A:$A,$A6227,$K:$K)+SUMIF($A:$A,$A6227,$L:$L)),0)</f>
        <v>0</v>
      </c>
      <c r="N6227" s="30">
        <f>IFERROR((VLOOKUP($A6227,HeadJournal!$A$1:$K$890,COLUMN(HeadJournal!K$1),0)-VLOOKUP($A6227,HeadJournal!$A$1:$K$890,COLUMN(HeadJournal!J$1),0))*($K6227+$L6227)/(SUMIF($A:$A,$A6227,$K:$K)+SUMIF($A:$A,$A6227,$L:$L)),0)</f>
        <v>0</v>
      </c>
      <c r="O6227" s="30">
        <f>IFERROR((VLOOKUP($A6227,HeadJournal!$A$1:$L$890,COLUMN(HeadJournal!L$1),0)*($K6227+$L6227)/(SUMIF($A:$A,$A6227,$K:$K)+SUMIF($A:$A,$A6227,$L:$L)))/VLOOKUP($A6227,HeadJournal!$A$1:$L$890,COLUMN(HeadJournal!H$1),0),0)</f>
        <v>0</v>
      </c>
      <c r="P6227" s="30">
        <f>IFERROR(SUM(K6227:O6227)*VLOOKUP($A6227,HeadJournal!$A$1:$L$890,COLUMN(HeadJournal!H$1),0),0)</f>
        <v>0</v>
      </c>
      <c r="Q6227" s="29"/>
      <c r="R6227" s="31"/>
      <c r="S6227" s="31"/>
      <c r="T6227" s="95" t="str">
        <f t="shared" si="454"/>
        <v/>
      </c>
      <c r="U6227" s="32">
        <f t="shared" si="455"/>
        <v>0</v>
      </c>
      <c r="V6227" s="22" t="str">
        <f t="shared" si="456"/>
        <v/>
      </c>
      <c r="X6227" s="33"/>
      <c r="Y6227" s="33"/>
    </row>
    <row r="6228" spans="1:25" x14ac:dyDescent="0.2">
      <c r="A6228" s="93"/>
      <c r="B6228" s="94" t="str">
        <f>IFERROR(VLOOKUP($A6228,HeadJournal!$A$1:$NTR$890,COLUMN(HeadJournal!B$1),0),"")</f>
        <v/>
      </c>
      <c r="C6228" s="94" t="str">
        <f>IFERROR(VLOOKUP($A6228,HeadJournal!$A$1:$NTR$890,COLUMN(HeadJournal!C$1),0),"")</f>
        <v/>
      </c>
      <c r="D6228" s="125" t="str">
        <f>IFERROR(VLOOKUP($A6228,HeadJournal!$A$1:$NTR$890,COLUMN(HeadJournal!D$1),0),"")</f>
        <v/>
      </c>
      <c r="E6228" s="95" t="str">
        <f>IFERROR(VLOOKUP($A6228,HeadJournal!$A$1:$NTR$890,COLUMN(HeadJournal!G$1),0),"")</f>
        <v/>
      </c>
      <c r="F6228" s="95" t="str">
        <f t="shared" si="453"/>
        <v/>
      </c>
      <c r="G6228" s="97"/>
      <c r="H6228" s="161"/>
      <c r="I6228" s="97"/>
      <c r="J6228" s="97"/>
      <c r="K6228" s="29"/>
      <c r="L6228" s="29"/>
      <c r="M6228" s="30">
        <f>IFERROR(VLOOKUP($A6228,HeadJournal!$A$1:$J$890,COLUMN(HeadJournal!I$1),0)*($K6228+$L6228)/(SUMIF($A:$A,$A6228,$K:$K)+SUMIF($A:$A,$A6228,$L:$L)),0)</f>
        <v>0</v>
      </c>
      <c r="N6228" s="30">
        <f>IFERROR((VLOOKUP($A6228,HeadJournal!$A$1:$K$890,COLUMN(HeadJournal!K$1),0)-VLOOKUP($A6228,HeadJournal!$A$1:$K$890,COLUMN(HeadJournal!J$1),0))*($K6228+$L6228)/(SUMIF($A:$A,$A6228,$K:$K)+SUMIF($A:$A,$A6228,$L:$L)),0)</f>
        <v>0</v>
      </c>
      <c r="O6228" s="30">
        <f>IFERROR((VLOOKUP($A6228,HeadJournal!$A$1:$L$890,COLUMN(HeadJournal!L$1),0)*($K6228+$L6228)/(SUMIF($A:$A,$A6228,$K:$K)+SUMIF($A:$A,$A6228,$L:$L)))/VLOOKUP($A6228,HeadJournal!$A$1:$L$890,COLUMN(HeadJournal!H$1),0),0)</f>
        <v>0</v>
      </c>
      <c r="P6228" s="30">
        <f>IFERROR(SUM(K6228:O6228)*VLOOKUP($A6228,HeadJournal!$A$1:$L$890,COLUMN(HeadJournal!H$1),0),0)</f>
        <v>0</v>
      </c>
      <c r="Q6228" s="29"/>
      <c r="R6228" s="31"/>
      <c r="S6228" s="31"/>
      <c r="T6228" s="95" t="str">
        <f t="shared" si="454"/>
        <v/>
      </c>
      <c r="U6228" s="32">
        <f t="shared" si="455"/>
        <v>0</v>
      </c>
      <c r="V6228" s="22" t="str">
        <f t="shared" si="456"/>
        <v/>
      </c>
      <c r="X6228" s="33"/>
      <c r="Y6228" s="33"/>
    </row>
    <row r="6229" spans="1:25" x14ac:dyDescent="0.2">
      <c r="A6229" s="93"/>
      <c r="B6229" s="94" t="str">
        <f>IFERROR(VLOOKUP($A6229,HeadJournal!$A$1:$NTR$890,COLUMN(HeadJournal!B$1),0),"")</f>
        <v/>
      </c>
      <c r="C6229" s="94" t="str">
        <f>IFERROR(VLOOKUP($A6229,HeadJournal!$A$1:$NTR$890,COLUMN(HeadJournal!C$1),0),"")</f>
        <v/>
      </c>
      <c r="D6229" s="125" t="str">
        <f>IFERROR(VLOOKUP($A6229,HeadJournal!$A$1:$NTR$890,COLUMN(HeadJournal!D$1),0),"")</f>
        <v/>
      </c>
      <c r="E6229" s="95" t="str">
        <f>IFERROR(VLOOKUP($A6229,HeadJournal!$A$1:$NTR$890,COLUMN(HeadJournal!G$1),0),"")</f>
        <v/>
      </c>
      <c r="F6229" s="95" t="str">
        <f t="shared" si="453"/>
        <v/>
      </c>
      <c r="G6229" s="97"/>
      <c r="H6229" s="161"/>
      <c r="I6229" s="97"/>
      <c r="J6229" s="97"/>
      <c r="K6229" s="29"/>
      <c r="L6229" s="29"/>
      <c r="M6229" s="30">
        <f>IFERROR(VLOOKUP($A6229,HeadJournal!$A$1:$J$890,COLUMN(HeadJournal!I$1),0)*($K6229+$L6229)/(SUMIF($A:$A,$A6229,$K:$K)+SUMIF($A:$A,$A6229,$L:$L)),0)</f>
        <v>0</v>
      </c>
      <c r="N6229" s="30">
        <f>IFERROR((VLOOKUP($A6229,HeadJournal!$A$1:$K$890,COLUMN(HeadJournal!K$1),0)-VLOOKUP($A6229,HeadJournal!$A$1:$K$890,COLUMN(HeadJournal!J$1),0))*($K6229+$L6229)/(SUMIF($A:$A,$A6229,$K:$K)+SUMIF($A:$A,$A6229,$L:$L)),0)</f>
        <v>0</v>
      </c>
      <c r="O6229" s="30">
        <f>IFERROR((VLOOKUP($A6229,HeadJournal!$A$1:$L$890,COLUMN(HeadJournal!L$1),0)*($K6229+$L6229)/(SUMIF($A:$A,$A6229,$K:$K)+SUMIF($A:$A,$A6229,$L:$L)))/VLOOKUP($A6229,HeadJournal!$A$1:$L$890,COLUMN(HeadJournal!H$1),0),0)</f>
        <v>0</v>
      </c>
      <c r="P6229" s="30">
        <f>IFERROR(SUM(K6229:O6229)*VLOOKUP($A6229,HeadJournal!$A$1:$L$890,COLUMN(HeadJournal!H$1),0),0)</f>
        <v>0</v>
      </c>
      <c r="Q6229" s="29"/>
      <c r="R6229" s="31"/>
      <c r="S6229" s="31"/>
      <c r="T6229" s="95" t="str">
        <f t="shared" si="454"/>
        <v/>
      </c>
      <c r="U6229" s="32">
        <f t="shared" si="455"/>
        <v>0</v>
      </c>
      <c r="V6229" s="22" t="str">
        <f t="shared" si="456"/>
        <v/>
      </c>
      <c r="X6229" s="33"/>
      <c r="Y6229" s="33"/>
    </row>
    <row r="6230" spans="1:25" x14ac:dyDescent="0.2">
      <c r="A6230" s="93"/>
      <c r="B6230" s="94" t="str">
        <f>IFERROR(VLOOKUP($A6230,HeadJournal!$A$1:$NTR$890,COLUMN(HeadJournal!B$1),0),"")</f>
        <v/>
      </c>
      <c r="C6230" s="94" t="str">
        <f>IFERROR(VLOOKUP($A6230,HeadJournal!$A$1:$NTR$890,COLUMN(HeadJournal!C$1),0),"")</f>
        <v/>
      </c>
      <c r="D6230" s="125" t="str">
        <f>IFERROR(VLOOKUP($A6230,HeadJournal!$A$1:$NTR$890,COLUMN(HeadJournal!D$1),0),"")</f>
        <v/>
      </c>
      <c r="E6230" s="95" t="str">
        <f>IFERROR(VLOOKUP($A6230,HeadJournal!$A$1:$NTR$890,COLUMN(HeadJournal!G$1),0),"")</f>
        <v/>
      </c>
      <c r="F6230" s="95" t="str">
        <f t="shared" si="453"/>
        <v/>
      </c>
      <c r="G6230" s="97"/>
      <c r="H6230" s="161"/>
      <c r="I6230" s="97"/>
      <c r="J6230" s="97"/>
      <c r="K6230" s="29"/>
      <c r="L6230" s="29"/>
      <c r="M6230" s="30">
        <f>IFERROR(VLOOKUP($A6230,HeadJournal!$A$1:$J$890,COLUMN(HeadJournal!I$1),0)*($K6230+$L6230)/(SUMIF($A:$A,$A6230,$K:$K)+SUMIF($A:$A,$A6230,$L:$L)),0)</f>
        <v>0</v>
      </c>
      <c r="N6230" s="30">
        <f>IFERROR((VLOOKUP($A6230,HeadJournal!$A$1:$K$890,COLUMN(HeadJournal!K$1),0)-VLOOKUP($A6230,HeadJournal!$A$1:$K$890,COLUMN(HeadJournal!J$1),0))*($K6230+$L6230)/(SUMIF($A:$A,$A6230,$K:$K)+SUMIF($A:$A,$A6230,$L:$L)),0)</f>
        <v>0</v>
      </c>
      <c r="O6230" s="30">
        <f>IFERROR((VLOOKUP($A6230,HeadJournal!$A$1:$L$890,COLUMN(HeadJournal!L$1),0)*($K6230+$L6230)/(SUMIF($A:$A,$A6230,$K:$K)+SUMIF($A:$A,$A6230,$L:$L)))/VLOOKUP($A6230,HeadJournal!$A$1:$L$890,COLUMN(HeadJournal!H$1),0),0)</f>
        <v>0</v>
      </c>
      <c r="P6230" s="30">
        <f>IFERROR(SUM(K6230:O6230)*VLOOKUP($A6230,HeadJournal!$A$1:$L$890,COLUMN(HeadJournal!H$1),0),0)</f>
        <v>0</v>
      </c>
      <c r="Q6230" s="29"/>
      <c r="R6230" s="31"/>
      <c r="S6230" s="31"/>
      <c r="T6230" s="95" t="str">
        <f t="shared" si="454"/>
        <v/>
      </c>
      <c r="U6230" s="32">
        <f t="shared" si="455"/>
        <v>0</v>
      </c>
      <c r="V6230" s="22" t="str">
        <f t="shared" si="456"/>
        <v/>
      </c>
      <c r="X6230" s="33"/>
      <c r="Y6230" s="33"/>
    </row>
    <row r="6231" spans="1:25" x14ac:dyDescent="0.2">
      <c r="A6231" s="93"/>
      <c r="B6231" s="94" t="str">
        <f>IFERROR(VLOOKUP($A6231,HeadJournal!$A$1:$NTR$890,COLUMN(HeadJournal!B$1),0),"")</f>
        <v/>
      </c>
      <c r="C6231" s="94" t="str">
        <f>IFERROR(VLOOKUP($A6231,HeadJournal!$A$1:$NTR$890,COLUMN(HeadJournal!C$1),0),"")</f>
        <v/>
      </c>
      <c r="D6231" s="125" t="str">
        <f>IFERROR(VLOOKUP($A6231,HeadJournal!$A$1:$NTR$890,COLUMN(HeadJournal!D$1),0),"")</f>
        <v/>
      </c>
      <c r="E6231" s="95" t="str">
        <f>IFERROR(VLOOKUP($A6231,HeadJournal!$A$1:$NTR$890,COLUMN(HeadJournal!G$1),0),"")</f>
        <v/>
      </c>
      <c r="F6231" s="95" t="str">
        <f t="shared" si="453"/>
        <v/>
      </c>
      <c r="G6231" s="97"/>
      <c r="H6231" s="161"/>
      <c r="I6231" s="97"/>
      <c r="J6231" s="97"/>
      <c r="K6231" s="29"/>
      <c r="L6231" s="29"/>
      <c r="M6231" s="30">
        <f>IFERROR(VLOOKUP($A6231,HeadJournal!$A$1:$J$890,COLUMN(HeadJournal!I$1),0)*($K6231+$L6231)/(SUMIF($A:$A,$A6231,$K:$K)+SUMIF($A:$A,$A6231,$L:$L)),0)</f>
        <v>0</v>
      </c>
      <c r="N6231" s="30">
        <f>IFERROR((VLOOKUP($A6231,HeadJournal!$A$1:$K$890,COLUMN(HeadJournal!K$1),0)-VLOOKUP($A6231,HeadJournal!$A$1:$K$890,COLUMN(HeadJournal!J$1),0))*($K6231+$L6231)/(SUMIF($A:$A,$A6231,$K:$K)+SUMIF($A:$A,$A6231,$L:$L)),0)</f>
        <v>0</v>
      </c>
      <c r="O6231" s="30">
        <f>IFERROR((VLOOKUP($A6231,HeadJournal!$A$1:$L$890,COLUMN(HeadJournal!L$1),0)*($K6231+$L6231)/(SUMIF($A:$A,$A6231,$K:$K)+SUMIF($A:$A,$A6231,$L:$L)))/VLOOKUP($A6231,HeadJournal!$A$1:$L$890,COLUMN(HeadJournal!H$1),0),0)</f>
        <v>0</v>
      </c>
      <c r="P6231" s="30">
        <f>IFERROR(SUM(K6231:O6231)*VLOOKUP($A6231,HeadJournal!$A$1:$L$890,COLUMN(HeadJournal!H$1),0),0)</f>
        <v>0</v>
      </c>
      <c r="Q6231" s="29"/>
      <c r="R6231" s="31"/>
      <c r="S6231" s="31"/>
      <c r="T6231" s="95" t="str">
        <f t="shared" si="454"/>
        <v/>
      </c>
      <c r="U6231" s="32">
        <f t="shared" si="455"/>
        <v>0</v>
      </c>
      <c r="V6231" s="22" t="str">
        <f t="shared" si="456"/>
        <v/>
      </c>
      <c r="X6231" s="33"/>
      <c r="Y6231" s="33"/>
    </row>
    <row r="6232" spans="1:25" x14ac:dyDescent="0.2">
      <c r="A6232" s="93"/>
      <c r="B6232" s="94" t="str">
        <f>IFERROR(VLOOKUP($A6232,HeadJournal!$A$1:$NTR$890,COLUMN(HeadJournal!B$1),0),"")</f>
        <v/>
      </c>
      <c r="C6232" s="94" t="str">
        <f>IFERROR(VLOOKUP($A6232,HeadJournal!$A$1:$NTR$890,COLUMN(HeadJournal!C$1),0),"")</f>
        <v/>
      </c>
      <c r="D6232" s="125" t="str">
        <f>IFERROR(VLOOKUP($A6232,HeadJournal!$A$1:$NTR$890,COLUMN(HeadJournal!D$1),0),"")</f>
        <v/>
      </c>
      <c r="E6232" s="95" t="str">
        <f>IFERROR(VLOOKUP($A6232,HeadJournal!$A$1:$NTR$890,COLUMN(HeadJournal!G$1),0),"")</f>
        <v/>
      </c>
      <c r="F6232" s="95" t="str">
        <f t="shared" si="419"/>
        <v/>
      </c>
      <c r="G6232" s="97"/>
      <c r="H6232" s="161"/>
      <c r="I6232" s="97"/>
      <c r="J6232" s="97"/>
      <c r="K6232" s="29"/>
      <c r="L6232" s="29"/>
      <c r="M6232" s="30">
        <f>IFERROR(VLOOKUP($A6232,HeadJournal!$A$1:$J$890,COLUMN(HeadJournal!I$1),0)*($K6232+$L6232)/(SUMIF($A:$A,$A6232,$K:$K)+SUMIF($A:$A,$A6232,$L:$L)),0)</f>
        <v>0</v>
      </c>
      <c r="N6232" s="30">
        <f>IFERROR((VLOOKUP($A6232,HeadJournal!$A$1:$K$890,COLUMN(HeadJournal!K$1),0)-VLOOKUP($A6232,HeadJournal!$A$1:$K$890,COLUMN(HeadJournal!J$1),0))*($K6232+$L6232)/(SUMIF($A:$A,$A6232,$K:$K)+SUMIF($A:$A,$A6232,$L:$L)),0)</f>
        <v>0</v>
      </c>
      <c r="O6232" s="30">
        <f>IFERROR((VLOOKUP($A6232,HeadJournal!$A$1:$L$890,COLUMN(HeadJournal!L$1),0)*($K6232+$L6232)/(SUMIF($A:$A,$A6232,$K:$K)+SUMIF($A:$A,$A6232,$L:$L)))/VLOOKUP($A6232,HeadJournal!$A$1:$L$890,COLUMN(HeadJournal!H$1),0),0)</f>
        <v>0</v>
      </c>
      <c r="P6232" s="30">
        <f>IFERROR(SUM(K6232:O6232)*VLOOKUP($A6232,HeadJournal!$A$1:$L$890,COLUMN(HeadJournal!H$1),0),0)</f>
        <v>0</v>
      </c>
      <c r="Q6232" s="29"/>
      <c r="R6232" s="31"/>
      <c r="S6232" s="31"/>
      <c r="T6232" s="95" t="str">
        <f t="shared" si="420"/>
        <v/>
      </c>
      <c r="U6232" s="32">
        <f t="shared" si="354"/>
        <v>0</v>
      </c>
      <c r="V6232" s="22" t="str">
        <f t="shared" si="355"/>
        <v/>
      </c>
      <c r="X6232" s="33"/>
      <c r="Y6232" s="33"/>
    </row>
    <row r="6233" spans="1:25" x14ac:dyDescent="0.2">
      <c r="A6233" s="93"/>
      <c r="B6233" s="94" t="str">
        <f>IFERROR(VLOOKUP($A6233,HeadJournal!$A$1:$NTR$890,COLUMN(HeadJournal!B$1),0),"")</f>
        <v/>
      </c>
      <c r="C6233" s="94" t="str">
        <f>IFERROR(VLOOKUP($A6233,HeadJournal!$A$1:$NTR$890,COLUMN(HeadJournal!C$1),0),"")</f>
        <v/>
      </c>
      <c r="D6233" s="125" t="str">
        <f>IFERROR(VLOOKUP($A6233,HeadJournal!$A$1:$NTR$890,COLUMN(HeadJournal!D$1),0),"")</f>
        <v/>
      </c>
      <c r="E6233" s="95" t="str">
        <f>IFERROR(VLOOKUP($A6233,HeadJournal!$A$1:$NTR$890,COLUMN(HeadJournal!G$1),0),"")</f>
        <v/>
      </c>
      <c r="F6233" s="95" t="str">
        <f t="shared" si="419"/>
        <v/>
      </c>
      <c r="G6233" s="97"/>
      <c r="H6233" s="161"/>
      <c r="I6233" s="97"/>
      <c r="J6233" s="97"/>
      <c r="K6233" s="29"/>
      <c r="L6233" s="29"/>
      <c r="M6233" s="30">
        <f>IFERROR(VLOOKUP($A6233,HeadJournal!$A$1:$J$890,COLUMN(HeadJournal!I$1),0)*($K6233+$L6233)/(SUMIF($A:$A,$A6233,$K:$K)+SUMIF($A:$A,$A6233,$L:$L)),0)</f>
        <v>0</v>
      </c>
      <c r="N6233" s="30">
        <f>IFERROR((VLOOKUP($A6233,HeadJournal!$A$1:$K$890,COLUMN(HeadJournal!K$1),0)-VLOOKUP($A6233,HeadJournal!$A$1:$K$890,COLUMN(HeadJournal!J$1),0))*($K6233+$L6233)/(SUMIF($A:$A,$A6233,$K:$K)+SUMIF($A:$A,$A6233,$L:$L)),0)</f>
        <v>0</v>
      </c>
      <c r="O6233" s="30">
        <f>IFERROR((VLOOKUP($A6233,HeadJournal!$A$1:$L$890,COLUMN(HeadJournal!L$1),0)*($K6233+$L6233)/(SUMIF($A:$A,$A6233,$K:$K)+SUMIF($A:$A,$A6233,$L:$L)))/VLOOKUP($A6233,HeadJournal!$A$1:$L$890,COLUMN(HeadJournal!H$1),0),0)</f>
        <v>0</v>
      </c>
      <c r="P6233" s="30">
        <f>IFERROR(SUM(K6233:O6233)*VLOOKUP($A6233,HeadJournal!$A$1:$L$890,COLUMN(HeadJournal!H$1),0),0)</f>
        <v>0</v>
      </c>
      <c r="Q6233" s="29"/>
      <c r="R6233" s="31"/>
      <c r="S6233" s="31"/>
      <c r="T6233" s="95" t="str">
        <f t="shared" si="420"/>
        <v/>
      </c>
      <c r="U6233" s="32">
        <f t="shared" si="354"/>
        <v>0</v>
      </c>
      <c r="V6233" s="22" t="str">
        <f t="shared" si="355"/>
        <v/>
      </c>
      <c r="X6233" s="33"/>
      <c r="Y6233" s="33"/>
    </row>
    <row r="6234" spans="1:25" x14ac:dyDescent="0.2">
      <c r="A6234" s="93"/>
      <c r="B6234" s="94" t="str">
        <f>IFERROR(VLOOKUP($A6234,HeadJournal!$A$1:$NTR$890,COLUMN(HeadJournal!B$1),0),"")</f>
        <v/>
      </c>
      <c r="C6234" s="94" t="str">
        <f>IFERROR(VLOOKUP($A6234,HeadJournal!$A$1:$NTR$890,COLUMN(HeadJournal!C$1),0),"")</f>
        <v/>
      </c>
      <c r="D6234" s="125" t="str">
        <f>IFERROR(VLOOKUP($A6234,HeadJournal!$A$1:$NTR$890,COLUMN(HeadJournal!D$1),0),"")</f>
        <v/>
      </c>
      <c r="E6234" s="95" t="str">
        <f>IFERROR(VLOOKUP($A6234,HeadJournal!$A$1:$NTR$890,COLUMN(HeadJournal!G$1),0),"")</f>
        <v/>
      </c>
      <c r="F6234" s="95" t="str">
        <f t="shared" si="419"/>
        <v/>
      </c>
      <c r="G6234" s="97"/>
      <c r="H6234" s="161"/>
      <c r="I6234" s="97"/>
      <c r="J6234" s="97"/>
      <c r="K6234" s="29"/>
      <c r="L6234" s="29"/>
      <c r="M6234" s="30">
        <f>IFERROR(VLOOKUP($A6234,HeadJournal!$A$1:$J$890,COLUMN(HeadJournal!I$1),0)*($K6234+$L6234)/(SUMIF($A:$A,$A6234,$K:$K)+SUMIF($A:$A,$A6234,$L:$L)),0)</f>
        <v>0</v>
      </c>
      <c r="N6234" s="30">
        <f>IFERROR((VLOOKUP($A6234,HeadJournal!$A$1:$K$890,COLUMN(HeadJournal!K$1),0)-VLOOKUP($A6234,HeadJournal!$A$1:$K$890,COLUMN(HeadJournal!J$1),0))*($K6234+$L6234)/(SUMIF($A:$A,$A6234,$K:$K)+SUMIF($A:$A,$A6234,$L:$L)),0)</f>
        <v>0</v>
      </c>
      <c r="O6234" s="30">
        <f>IFERROR((VLOOKUP($A6234,HeadJournal!$A$1:$L$890,COLUMN(HeadJournal!L$1),0)*($K6234+$L6234)/(SUMIF($A:$A,$A6234,$K:$K)+SUMIF($A:$A,$A6234,$L:$L)))/VLOOKUP($A6234,HeadJournal!$A$1:$L$890,COLUMN(HeadJournal!H$1),0),0)</f>
        <v>0</v>
      </c>
      <c r="P6234" s="30">
        <f>IFERROR(SUM(K6234:O6234)*VLOOKUP($A6234,HeadJournal!$A$1:$L$890,COLUMN(HeadJournal!H$1),0),0)</f>
        <v>0</v>
      </c>
      <c r="Q6234" s="29"/>
      <c r="R6234" s="31"/>
      <c r="S6234" s="31"/>
      <c r="T6234" s="95" t="str">
        <f t="shared" si="420"/>
        <v/>
      </c>
      <c r="U6234" s="32">
        <f t="shared" si="354"/>
        <v>0</v>
      </c>
      <c r="V6234" s="22" t="str">
        <f t="shared" si="355"/>
        <v/>
      </c>
      <c r="X6234" s="33"/>
      <c r="Y6234" s="33"/>
    </row>
    <row r="6235" spans="1:25" x14ac:dyDescent="0.2">
      <c r="A6235" s="93"/>
      <c r="B6235" s="94" t="str">
        <f>IFERROR(VLOOKUP($A6235,HeadJournal!$A$1:$NTR$890,COLUMN(HeadJournal!B$1),0),"")</f>
        <v/>
      </c>
      <c r="C6235" s="94" t="str">
        <f>IFERROR(VLOOKUP($A6235,HeadJournal!$A$1:$NTR$890,COLUMN(HeadJournal!C$1),0),"")</f>
        <v/>
      </c>
      <c r="D6235" s="125" t="str">
        <f>IFERROR(VLOOKUP($A6235,HeadJournal!$A$1:$NTR$890,COLUMN(HeadJournal!D$1),0),"")</f>
        <v/>
      </c>
      <c r="E6235" s="95" t="str">
        <f>IFERROR(VLOOKUP($A6235,HeadJournal!$A$1:$NTR$890,COLUMN(HeadJournal!G$1),0),"")</f>
        <v/>
      </c>
      <c r="F6235" s="95" t="str">
        <f t="shared" si="419"/>
        <v/>
      </c>
      <c r="G6235" s="97"/>
      <c r="H6235" s="161"/>
      <c r="I6235" s="97"/>
      <c r="J6235" s="97"/>
      <c r="K6235" s="29"/>
      <c r="L6235" s="29"/>
      <c r="M6235" s="30">
        <f>IFERROR(VLOOKUP($A6235,HeadJournal!$A$1:$J$890,COLUMN(HeadJournal!I$1),0)*($K6235+$L6235)/(SUMIF($A:$A,$A6235,$K:$K)+SUMIF($A:$A,$A6235,$L:$L)),0)</f>
        <v>0</v>
      </c>
      <c r="N6235" s="30">
        <f>IFERROR((VLOOKUP($A6235,HeadJournal!$A$1:$K$890,COLUMN(HeadJournal!K$1),0)-VLOOKUP($A6235,HeadJournal!$A$1:$K$890,COLUMN(HeadJournal!J$1),0))*($K6235+$L6235)/(SUMIF($A:$A,$A6235,$K:$K)+SUMIF($A:$A,$A6235,$L:$L)),0)</f>
        <v>0</v>
      </c>
      <c r="O6235" s="30">
        <f>IFERROR((VLOOKUP($A6235,HeadJournal!$A$1:$L$890,COLUMN(HeadJournal!L$1),0)*($K6235+$L6235)/(SUMIF($A:$A,$A6235,$K:$K)+SUMIF($A:$A,$A6235,$L:$L)))/VLOOKUP($A6235,HeadJournal!$A$1:$L$890,COLUMN(HeadJournal!H$1),0),0)</f>
        <v>0</v>
      </c>
      <c r="P6235" s="30">
        <f>IFERROR(SUM(K6235:O6235)*VLOOKUP($A6235,HeadJournal!$A$1:$L$890,COLUMN(HeadJournal!H$1),0),0)</f>
        <v>0</v>
      </c>
      <c r="Q6235" s="29"/>
      <c r="R6235" s="31"/>
      <c r="S6235" s="31"/>
      <c r="T6235" s="95" t="str">
        <f t="shared" si="420"/>
        <v/>
      </c>
      <c r="U6235" s="32">
        <f t="shared" si="354"/>
        <v>0</v>
      </c>
      <c r="V6235" s="22" t="str">
        <f t="shared" si="355"/>
        <v/>
      </c>
      <c r="X6235" s="33"/>
      <c r="Y6235" s="33"/>
    </row>
    <row r="6236" spans="1:25" x14ac:dyDescent="0.2">
      <c r="A6236" s="93"/>
      <c r="B6236" s="94" t="str">
        <f>IFERROR(VLOOKUP($A6236,HeadJournal!$A$1:$NTR$890,COLUMN(HeadJournal!B$1),0),"")</f>
        <v/>
      </c>
      <c r="C6236" s="94" t="str">
        <f>IFERROR(VLOOKUP($A6236,HeadJournal!$A$1:$NTR$890,COLUMN(HeadJournal!C$1),0),"")</f>
        <v/>
      </c>
      <c r="D6236" s="125" t="str">
        <f>IFERROR(VLOOKUP($A6236,HeadJournal!$A$1:$NTR$890,COLUMN(HeadJournal!D$1),0),"")</f>
        <v/>
      </c>
      <c r="E6236" s="95" t="str">
        <f>IFERROR(VLOOKUP($A6236,HeadJournal!$A$1:$NTR$890,COLUMN(HeadJournal!G$1),0),"")</f>
        <v/>
      </c>
      <c r="F6236" s="95" t="str">
        <f t="shared" si="419"/>
        <v/>
      </c>
      <c r="G6236" s="97"/>
      <c r="H6236" s="161"/>
      <c r="I6236" s="97"/>
      <c r="J6236" s="97"/>
      <c r="K6236" s="29"/>
      <c r="L6236" s="29"/>
      <c r="M6236" s="30">
        <f>IFERROR(VLOOKUP($A6236,HeadJournal!$A$1:$J$890,COLUMN(HeadJournal!I$1),0)*($K6236+$L6236)/(SUMIF($A:$A,$A6236,$K:$K)+SUMIF($A:$A,$A6236,$L:$L)),0)</f>
        <v>0</v>
      </c>
      <c r="N6236" s="30">
        <f>IFERROR((VLOOKUP($A6236,HeadJournal!$A$1:$K$890,COLUMN(HeadJournal!K$1),0)-VLOOKUP($A6236,HeadJournal!$A$1:$K$890,COLUMN(HeadJournal!J$1),0))*($K6236+$L6236)/(SUMIF($A:$A,$A6236,$K:$K)+SUMIF($A:$A,$A6236,$L:$L)),0)</f>
        <v>0</v>
      </c>
      <c r="O6236" s="30">
        <f>IFERROR((VLOOKUP($A6236,HeadJournal!$A$1:$L$890,COLUMN(HeadJournal!L$1),0)*($K6236+$L6236)/(SUMIF($A:$A,$A6236,$K:$K)+SUMIF($A:$A,$A6236,$L:$L)))/VLOOKUP($A6236,HeadJournal!$A$1:$L$890,COLUMN(HeadJournal!H$1),0),0)</f>
        <v>0</v>
      </c>
      <c r="P6236" s="30">
        <f>IFERROR(SUM(K6236:O6236)*VLOOKUP($A6236,HeadJournal!$A$1:$L$890,COLUMN(HeadJournal!H$1),0),0)</f>
        <v>0</v>
      </c>
      <c r="Q6236" s="29"/>
      <c r="R6236" s="31"/>
      <c r="S6236" s="31"/>
      <c r="T6236" s="95" t="str">
        <f t="shared" si="420"/>
        <v/>
      </c>
      <c r="U6236" s="32">
        <f t="shared" si="354"/>
        <v>0</v>
      </c>
      <c r="V6236" s="22" t="str">
        <f t="shared" si="355"/>
        <v/>
      </c>
      <c r="X6236" s="33"/>
      <c r="Y6236" s="33"/>
    </row>
    <row r="6237" spans="1:25" x14ac:dyDescent="0.2">
      <c r="A6237" s="93"/>
      <c r="B6237" s="94" t="str">
        <f>IFERROR(VLOOKUP($A6237,HeadJournal!$A$1:$NTR$890,COLUMN(HeadJournal!B$1),0),"")</f>
        <v/>
      </c>
      <c r="C6237" s="94" t="str">
        <f>IFERROR(VLOOKUP($A6237,HeadJournal!$A$1:$NTR$890,COLUMN(HeadJournal!C$1),0),"")</f>
        <v/>
      </c>
      <c r="D6237" s="125" t="str">
        <f>IFERROR(VLOOKUP($A6237,HeadJournal!$A$1:$NTR$890,COLUMN(HeadJournal!D$1),0),"")</f>
        <v/>
      </c>
      <c r="E6237" s="95" t="str">
        <f>IFERROR(VLOOKUP($A6237,HeadJournal!$A$1:$NTR$890,COLUMN(HeadJournal!G$1),0),"")</f>
        <v/>
      </c>
      <c r="F6237" s="95" t="str">
        <f t="shared" si="419"/>
        <v/>
      </c>
      <c r="G6237" s="97"/>
      <c r="H6237" s="161"/>
      <c r="I6237" s="97"/>
      <c r="J6237" s="97"/>
      <c r="K6237" s="29"/>
      <c r="L6237" s="29"/>
      <c r="M6237" s="30">
        <f>IFERROR(VLOOKUP($A6237,HeadJournal!$A$1:$J$890,COLUMN(HeadJournal!I$1),0)*($K6237+$L6237)/(SUMIF($A:$A,$A6237,$K:$K)+SUMIF($A:$A,$A6237,$L:$L)),0)</f>
        <v>0</v>
      </c>
      <c r="N6237" s="30">
        <f>IFERROR((VLOOKUP($A6237,HeadJournal!$A$1:$K$890,COLUMN(HeadJournal!K$1),0)-VLOOKUP($A6237,HeadJournal!$A$1:$K$890,COLUMN(HeadJournal!J$1),0))*($K6237+$L6237)/(SUMIF($A:$A,$A6237,$K:$K)+SUMIF($A:$A,$A6237,$L:$L)),0)</f>
        <v>0</v>
      </c>
      <c r="O6237" s="30">
        <f>IFERROR((VLOOKUP($A6237,HeadJournal!$A$1:$L$890,COLUMN(HeadJournal!L$1),0)*($K6237+$L6237)/(SUMIF($A:$A,$A6237,$K:$K)+SUMIF($A:$A,$A6237,$L:$L)))/VLOOKUP($A6237,HeadJournal!$A$1:$L$890,COLUMN(HeadJournal!H$1),0),0)</f>
        <v>0</v>
      </c>
      <c r="P6237" s="30">
        <f>IFERROR(SUM(K6237:O6237)*VLOOKUP($A6237,HeadJournal!$A$1:$L$890,COLUMN(HeadJournal!H$1),0),0)</f>
        <v>0</v>
      </c>
      <c r="Q6237" s="29"/>
      <c r="R6237" s="31"/>
      <c r="S6237" s="31"/>
      <c r="T6237" s="95" t="str">
        <f t="shared" si="420"/>
        <v/>
      </c>
      <c r="U6237" s="32">
        <f t="shared" si="354"/>
        <v>0</v>
      </c>
      <c r="V6237" s="22" t="str">
        <f t="shared" si="355"/>
        <v/>
      </c>
      <c r="X6237" s="33"/>
      <c r="Y6237" s="33"/>
    </row>
    <row r="6238" spans="1:25" x14ac:dyDescent="0.2">
      <c r="A6238" s="93"/>
      <c r="B6238" s="94" t="str">
        <f>IFERROR(VLOOKUP($A6238,HeadJournal!$A$1:$NTR$890,COLUMN(HeadJournal!B$1),0),"")</f>
        <v/>
      </c>
      <c r="C6238" s="94" t="str">
        <f>IFERROR(VLOOKUP($A6238,HeadJournal!$A$1:$NTR$890,COLUMN(HeadJournal!C$1),0),"")</f>
        <v/>
      </c>
      <c r="D6238" s="125" t="str">
        <f>IFERROR(VLOOKUP($A6238,HeadJournal!$A$1:$NTR$890,COLUMN(HeadJournal!D$1),0),"")</f>
        <v/>
      </c>
      <c r="E6238" s="95" t="str">
        <f>IFERROR(VLOOKUP($A6238,HeadJournal!$A$1:$NTR$890,COLUMN(HeadJournal!G$1),0),"")</f>
        <v/>
      </c>
      <c r="F6238" s="95" t="str">
        <f t="shared" si="419"/>
        <v/>
      </c>
      <c r="G6238" s="97"/>
      <c r="H6238" s="161"/>
      <c r="I6238" s="97"/>
      <c r="J6238" s="97"/>
      <c r="K6238" s="29"/>
      <c r="L6238" s="29"/>
      <c r="M6238" s="30">
        <f>IFERROR(VLOOKUP($A6238,HeadJournal!$A$1:$J$890,COLUMN(HeadJournal!I$1),0)*($K6238+$L6238)/(SUMIF($A:$A,$A6238,$K:$K)+SUMIF($A:$A,$A6238,$L:$L)),0)</f>
        <v>0</v>
      </c>
      <c r="N6238" s="30">
        <f>IFERROR((VLOOKUP($A6238,HeadJournal!$A$1:$K$890,COLUMN(HeadJournal!K$1),0)-VLOOKUP($A6238,HeadJournal!$A$1:$K$890,COLUMN(HeadJournal!J$1),0))*($K6238+$L6238)/(SUMIF($A:$A,$A6238,$K:$K)+SUMIF($A:$A,$A6238,$L:$L)),0)</f>
        <v>0</v>
      </c>
      <c r="O6238" s="30">
        <f>IFERROR((VLOOKUP($A6238,HeadJournal!$A$1:$L$890,COLUMN(HeadJournal!L$1),0)*($K6238+$L6238)/(SUMIF($A:$A,$A6238,$K:$K)+SUMIF($A:$A,$A6238,$L:$L)))/VLOOKUP($A6238,HeadJournal!$A$1:$L$890,COLUMN(HeadJournal!H$1),0),0)</f>
        <v>0</v>
      </c>
      <c r="P6238" s="30">
        <f>IFERROR(SUM(K6238:O6238)*VLOOKUP($A6238,HeadJournal!$A$1:$L$890,COLUMN(HeadJournal!H$1),0),0)</f>
        <v>0</v>
      </c>
      <c r="Q6238" s="29"/>
      <c r="R6238" s="31"/>
      <c r="S6238" s="31"/>
      <c r="T6238" s="95" t="str">
        <f t="shared" si="420"/>
        <v/>
      </c>
      <c r="U6238" s="32">
        <f t="shared" si="354"/>
        <v>0</v>
      </c>
      <c r="V6238" s="22" t="str">
        <f t="shared" si="355"/>
        <v/>
      </c>
      <c r="X6238" s="33"/>
      <c r="Y6238" s="33"/>
    </row>
    <row r="6239" spans="1:25" x14ac:dyDescent="0.2">
      <c r="A6239" s="93"/>
      <c r="B6239" s="94" t="str">
        <f>IFERROR(VLOOKUP($A6239,HeadJournal!$A$1:$NTR$890,COLUMN(HeadJournal!B$1),0),"")</f>
        <v/>
      </c>
      <c r="C6239" s="94" t="str">
        <f>IFERROR(VLOOKUP($A6239,HeadJournal!$A$1:$NTR$890,COLUMN(HeadJournal!C$1),0),"")</f>
        <v/>
      </c>
      <c r="D6239" s="125" t="str">
        <f>IFERROR(VLOOKUP($A6239,HeadJournal!$A$1:$NTR$890,COLUMN(HeadJournal!D$1),0),"")</f>
        <v/>
      </c>
      <c r="E6239" s="95" t="str">
        <f>IFERROR(VLOOKUP($A6239,HeadJournal!$A$1:$NTR$890,COLUMN(HeadJournal!G$1),0),"")</f>
        <v/>
      </c>
      <c r="F6239" s="95" t="str">
        <f t="shared" si="419"/>
        <v/>
      </c>
      <c r="G6239" s="97"/>
      <c r="H6239" s="161"/>
      <c r="I6239" s="97"/>
      <c r="J6239" s="97"/>
      <c r="K6239" s="29"/>
      <c r="L6239" s="29"/>
      <c r="M6239" s="30">
        <f>IFERROR(VLOOKUP($A6239,HeadJournal!$A$1:$J$890,COLUMN(HeadJournal!I$1),0)*($K6239+$L6239)/(SUMIF($A:$A,$A6239,$K:$K)+SUMIF($A:$A,$A6239,$L:$L)),0)</f>
        <v>0</v>
      </c>
      <c r="N6239" s="30">
        <f>IFERROR((VLOOKUP($A6239,HeadJournal!$A$1:$K$890,COLUMN(HeadJournal!K$1),0)-VLOOKUP($A6239,HeadJournal!$A$1:$K$890,COLUMN(HeadJournal!J$1),0))*($K6239+$L6239)/(SUMIF($A:$A,$A6239,$K:$K)+SUMIF($A:$A,$A6239,$L:$L)),0)</f>
        <v>0</v>
      </c>
      <c r="O6239" s="30">
        <f>IFERROR((VLOOKUP($A6239,HeadJournal!$A$1:$L$890,COLUMN(HeadJournal!L$1),0)*($K6239+$L6239)/(SUMIF($A:$A,$A6239,$K:$K)+SUMIF($A:$A,$A6239,$L:$L)))/VLOOKUP($A6239,HeadJournal!$A$1:$L$890,COLUMN(HeadJournal!H$1),0),0)</f>
        <v>0</v>
      </c>
      <c r="P6239" s="30">
        <f>IFERROR(SUM(K6239:O6239)*VLOOKUP($A6239,HeadJournal!$A$1:$L$890,COLUMN(HeadJournal!H$1),0),0)</f>
        <v>0</v>
      </c>
      <c r="Q6239" s="29"/>
      <c r="R6239" s="31"/>
      <c r="S6239" s="31"/>
      <c r="T6239" s="95" t="str">
        <f t="shared" si="420"/>
        <v/>
      </c>
      <c r="U6239" s="32">
        <f t="shared" si="354"/>
        <v>0</v>
      </c>
      <c r="V6239" s="22" t="str">
        <f t="shared" si="355"/>
        <v/>
      </c>
      <c r="X6239" s="33"/>
      <c r="Y6239" s="33"/>
    </row>
    <row r="6240" spans="1:25" x14ac:dyDescent="0.2">
      <c r="A6240" s="93"/>
      <c r="B6240" s="94" t="str">
        <f>IFERROR(VLOOKUP($A6240,HeadJournal!$A$1:$NTR$890,COLUMN(HeadJournal!B$1),0),"")</f>
        <v/>
      </c>
      <c r="C6240" s="94" t="str">
        <f>IFERROR(VLOOKUP($A6240,HeadJournal!$A$1:$NTR$890,COLUMN(HeadJournal!C$1),0),"")</f>
        <v/>
      </c>
      <c r="D6240" s="125" t="str">
        <f>IFERROR(VLOOKUP($A6240,HeadJournal!$A$1:$NTR$890,COLUMN(HeadJournal!D$1),0),"")</f>
        <v/>
      </c>
      <c r="E6240" s="95" t="str">
        <f>IFERROR(VLOOKUP($A6240,HeadJournal!$A$1:$NTR$890,COLUMN(HeadJournal!G$1),0),"")</f>
        <v/>
      </c>
      <c r="F6240" s="95" t="str">
        <f t="shared" si="419"/>
        <v/>
      </c>
      <c r="G6240" s="97"/>
      <c r="H6240" s="161"/>
      <c r="I6240" s="97"/>
      <c r="J6240" s="97"/>
      <c r="K6240" s="29"/>
      <c r="L6240" s="29"/>
      <c r="M6240" s="30">
        <f>IFERROR(VLOOKUP($A6240,HeadJournal!$A$1:$J$890,COLUMN(HeadJournal!I$1),0)*($K6240+$L6240)/(SUMIF($A:$A,$A6240,$K:$K)+SUMIF($A:$A,$A6240,$L:$L)),0)</f>
        <v>0</v>
      </c>
      <c r="N6240" s="30">
        <f>IFERROR((VLOOKUP($A6240,HeadJournal!$A$1:$K$890,COLUMN(HeadJournal!K$1),0)-VLOOKUP($A6240,HeadJournal!$A$1:$K$890,COLUMN(HeadJournal!J$1),0))*($K6240+$L6240)/(SUMIF($A:$A,$A6240,$K:$K)+SUMIF($A:$A,$A6240,$L:$L)),0)</f>
        <v>0</v>
      </c>
      <c r="O6240" s="30">
        <f>IFERROR((VLOOKUP($A6240,HeadJournal!$A$1:$L$890,COLUMN(HeadJournal!L$1),0)*($K6240+$L6240)/(SUMIF($A:$A,$A6240,$K:$K)+SUMIF($A:$A,$A6240,$L:$L)))/VLOOKUP($A6240,HeadJournal!$A$1:$L$890,COLUMN(HeadJournal!H$1),0),0)</f>
        <v>0</v>
      </c>
      <c r="P6240" s="30">
        <f>IFERROR(SUM(K6240:O6240)*VLOOKUP($A6240,HeadJournal!$A$1:$L$890,COLUMN(HeadJournal!H$1),0),0)</f>
        <v>0</v>
      </c>
      <c r="Q6240" s="29"/>
      <c r="R6240" s="31"/>
      <c r="S6240" s="31"/>
      <c r="T6240" s="95" t="str">
        <f t="shared" si="420"/>
        <v/>
      </c>
      <c r="U6240" s="32">
        <f t="shared" si="354"/>
        <v>0</v>
      </c>
      <c r="V6240" s="22" t="str">
        <f t="shared" si="355"/>
        <v/>
      </c>
      <c r="X6240" s="33"/>
      <c r="Y6240" s="33"/>
    </row>
    <row r="6241" spans="1:25" x14ac:dyDescent="0.2">
      <c r="A6241" s="93"/>
      <c r="B6241" s="94" t="str">
        <f>IFERROR(VLOOKUP($A6241,HeadJournal!$A$1:$NTR$890,COLUMN(HeadJournal!B$1),0),"")</f>
        <v/>
      </c>
      <c r="C6241" s="94" t="str">
        <f>IFERROR(VLOOKUP($A6241,HeadJournal!$A$1:$NTR$890,COLUMN(HeadJournal!C$1),0),"")</f>
        <v/>
      </c>
      <c r="D6241" s="125" t="str">
        <f>IFERROR(VLOOKUP($A6241,HeadJournal!$A$1:$NTR$890,COLUMN(HeadJournal!D$1),0),"")</f>
        <v/>
      </c>
      <c r="E6241" s="95" t="str">
        <f>IFERROR(VLOOKUP($A6241,HeadJournal!$A$1:$NTR$890,COLUMN(HeadJournal!G$1),0),"")</f>
        <v/>
      </c>
      <c r="F6241" s="95" t="str">
        <f t="shared" si="419"/>
        <v/>
      </c>
      <c r="G6241" s="97"/>
      <c r="H6241" s="161"/>
      <c r="I6241" s="97"/>
      <c r="J6241" s="97"/>
      <c r="K6241" s="29"/>
      <c r="L6241" s="29"/>
      <c r="M6241" s="30">
        <f>IFERROR(VLOOKUP($A6241,HeadJournal!$A$1:$J$890,COLUMN(HeadJournal!I$1),0)*($K6241+$L6241)/(SUMIF($A:$A,$A6241,$K:$K)+SUMIF($A:$A,$A6241,$L:$L)),0)</f>
        <v>0</v>
      </c>
      <c r="N6241" s="30">
        <f>IFERROR((VLOOKUP($A6241,HeadJournal!$A$1:$K$890,COLUMN(HeadJournal!K$1),0)-VLOOKUP($A6241,HeadJournal!$A$1:$K$890,COLUMN(HeadJournal!J$1),0))*($K6241+$L6241)/(SUMIF($A:$A,$A6241,$K:$K)+SUMIF($A:$A,$A6241,$L:$L)),0)</f>
        <v>0</v>
      </c>
      <c r="O6241" s="30">
        <f>IFERROR((VLOOKUP($A6241,HeadJournal!$A$1:$L$890,COLUMN(HeadJournal!L$1),0)*($K6241+$L6241)/(SUMIF($A:$A,$A6241,$K:$K)+SUMIF($A:$A,$A6241,$L:$L)))/VLOOKUP($A6241,HeadJournal!$A$1:$L$890,COLUMN(HeadJournal!H$1),0),0)</f>
        <v>0</v>
      </c>
      <c r="P6241" s="30">
        <f>IFERROR(SUM(K6241:O6241)*VLOOKUP($A6241,HeadJournal!$A$1:$L$890,COLUMN(HeadJournal!H$1),0),0)</f>
        <v>0</v>
      </c>
      <c r="Q6241" s="29"/>
      <c r="R6241" s="31"/>
      <c r="S6241" s="31"/>
      <c r="T6241" s="95" t="str">
        <f t="shared" si="420"/>
        <v/>
      </c>
      <c r="U6241" s="32">
        <f t="shared" si="354"/>
        <v>0</v>
      </c>
      <c r="V6241" s="22" t="str">
        <f t="shared" si="355"/>
        <v/>
      </c>
      <c r="X6241" s="33"/>
      <c r="Y6241" s="33"/>
    </row>
    <row r="6242" spans="1:25" x14ac:dyDescent="0.2">
      <c r="A6242" s="93"/>
      <c r="B6242" s="94" t="str">
        <f>IFERROR(VLOOKUP($A6242,HeadJournal!$A$1:$NTR$890,COLUMN(HeadJournal!B$1),0),"")</f>
        <v/>
      </c>
      <c r="C6242" s="94" t="str">
        <f>IFERROR(VLOOKUP($A6242,HeadJournal!$A$1:$NTR$890,COLUMN(HeadJournal!C$1),0),"")</f>
        <v/>
      </c>
      <c r="D6242" s="125" t="str">
        <f>IFERROR(VLOOKUP($A6242,HeadJournal!$A$1:$NTR$890,COLUMN(HeadJournal!D$1),0),"")</f>
        <v/>
      </c>
      <c r="E6242" s="95" t="str">
        <f>IFERROR(VLOOKUP($A6242,HeadJournal!$A$1:$NTR$890,COLUMN(HeadJournal!G$1),0),"")</f>
        <v/>
      </c>
      <c r="F6242" s="95" t="str">
        <f t="shared" si="419"/>
        <v/>
      </c>
      <c r="G6242" s="97"/>
      <c r="H6242" s="161"/>
      <c r="I6242" s="97"/>
      <c r="J6242" s="97"/>
      <c r="K6242" s="29"/>
      <c r="L6242" s="29"/>
      <c r="M6242" s="30">
        <f>IFERROR(VLOOKUP($A6242,HeadJournal!$A$1:$J$890,COLUMN(HeadJournal!I$1),0)*($K6242+$L6242)/(SUMIF($A:$A,$A6242,$K:$K)+SUMIF($A:$A,$A6242,$L:$L)),0)</f>
        <v>0</v>
      </c>
      <c r="N6242" s="30">
        <f>IFERROR((VLOOKUP($A6242,HeadJournal!$A$1:$K$890,COLUMN(HeadJournal!K$1),0)-VLOOKUP($A6242,HeadJournal!$A$1:$K$890,COLUMN(HeadJournal!J$1),0))*($K6242+$L6242)/(SUMIF($A:$A,$A6242,$K:$K)+SUMIF($A:$A,$A6242,$L:$L)),0)</f>
        <v>0</v>
      </c>
      <c r="O6242" s="30">
        <f>IFERROR((VLOOKUP($A6242,HeadJournal!$A$1:$L$890,COLUMN(HeadJournal!L$1),0)*($K6242+$L6242)/(SUMIF($A:$A,$A6242,$K:$K)+SUMIF($A:$A,$A6242,$L:$L)))/VLOOKUP($A6242,HeadJournal!$A$1:$L$890,COLUMN(HeadJournal!H$1),0),0)</f>
        <v>0</v>
      </c>
      <c r="P6242" s="30">
        <f>IFERROR(SUM(K6242:O6242)*VLOOKUP($A6242,HeadJournal!$A$1:$L$890,COLUMN(HeadJournal!H$1),0),0)</f>
        <v>0</v>
      </c>
      <c r="Q6242" s="29"/>
      <c r="R6242" s="31"/>
      <c r="S6242" s="31"/>
      <c r="T6242" s="95" t="str">
        <f t="shared" si="420"/>
        <v/>
      </c>
      <c r="U6242" s="32">
        <f t="shared" si="354"/>
        <v>0</v>
      </c>
      <c r="V6242" s="22" t="str">
        <f t="shared" si="355"/>
        <v/>
      </c>
      <c r="X6242" s="33"/>
      <c r="Y6242" s="33"/>
    </row>
    <row r="6243" spans="1:25" x14ac:dyDescent="0.2">
      <c r="A6243" s="93"/>
      <c r="B6243" s="94" t="str">
        <f>IFERROR(VLOOKUP($A6243,HeadJournal!$A$1:$NTR$890,COLUMN(HeadJournal!B$1),0),"")</f>
        <v/>
      </c>
      <c r="C6243" s="94" t="str">
        <f>IFERROR(VLOOKUP($A6243,HeadJournal!$A$1:$NTR$890,COLUMN(HeadJournal!C$1),0),"")</f>
        <v/>
      </c>
      <c r="D6243" s="125" t="str">
        <f>IFERROR(VLOOKUP($A6243,HeadJournal!$A$1:$NTR$890,COLUMN(HeadJournal!D$1),0),"")</f>
        <v/>
      </c>
      <c r="E6243" s="95" t="str">
        <f>IFERROR(VLOOKUP($A6243,HeadJournal!$A$1:$NTR$890,COLUMN(HeadJournal!G$1),0),"")</f>
        <v/>
      </c>
      <c r="F6243" s="95" t="str">
        <f t="shared" si="419"/>
        <v/>
      </c>
      <c r="G6243" s="97"/>
      <c r="H6243" s="161"/>
      <c r="I6243" s="97"/>
      <c r="J6243" s="97"/>
      <c r="K6243" s="29"/>
      <c r="L6243" s="29"/>
      <c r="M6243" s="30">
        <f>IFERROR(VLOOKUP($A6243,HeadJournal!$A$1:$J$890,COLUMN(HeadJournal!I$1),0)*($K6243+$L6243)/(SUMIF($A:$A,$A6243,$K:$K)+SUMIF($A:$A,$A6243,$L:$L)),0)</f>
        <v>0</v>
      </c>
      <c r="N6243" s="30">
        <f>IFERROR((VLOOKUP($A6243,HeadJournal!$A$1:$K$890,COLUMN(HeadJournal!K$1),0)-VLOOKUP($A6243,HeadJournal!$A$1:$K$890,COLUMN(HeadJournal!J$1),0))*($K6243+$L6243)/(SUMIF($A:$A,$A6243,$K:$K)+SUMIF($A:$A,$A6243,$L:$L)),0)</f>
        <v>0</v>
      </c>
      <c r="O6243" s="30">
        <f>IFERROR((VLOOKUP($A6243,HeadJournal!$A$1:$L$890,COLUMN(HeadJournal!L$1),0)*($K6243+$L6243)/(SUMIF($A:$A,$A6243,$K:$K)+SUMIF($A:$A,$A6243,$L:$L)))/VLOOKUP($A6243,HeadJournal!$A$1:$L$890,COLUMN(HeadJournal!H$1),0),0)</f>
        <v>0</v>
      </c>
      <c r="P6243" s="30">
        <f>IFERROR(SUM(K6243:O6243)*VLOOKUP($A6243,HeadJournal!$A$1:$L$890,COLUMN(HeadJournal!H$1),0),0)</f>
        <v>0</v>
      </c>
      <c r="Q6243" s="29"/>
      <c r="R6243" s="31"/>
      <c r="S6243" s="31"/>
      <c r="T6243" s="95" t="str">
        <f t="shared" si="420"/>
        <v/>
      </c>
      <c r="U6243" s="32">
        <f t="shared" si="354"/>
        <v>0</v>
      </c>
      <c r="V6243" s="22" t="str">
        <f t="shared" si="355"/>
        <v/>
      </c>
      <c r="X6243" s="33"/>
      <c r="Y6243" s="33"/>
    </row>
    <row r="6244" spans="1:25" x14ac:dyDescent="0.2">
      <c r="A6244" s="93"/>
      <c r="B6244" s="94" t="str">
        <f>IFERROR(VLOOKUP($A6244,HeadJournal!$A$1:$NTR$890,COLUMN(HeadJournal!B$1),0),"")</f>
        <v/>
      </c>
      <c r="C6244" s="94" t="str">
        <f>IFERROR(VLOOKUP($A6244,HeadJournal!$A$1:$NTR$890,COLUMN(HeadJournal!C$1),0),"")</f>
        <v/>
      </c>
      <c r="D6244" s="125" t="str">
        <f>IFERROR(VLOOKUP($A6244,HeadJournal!$A$1:$NTR$890,COLUMN(HeadJournal!D$1),0),"")</f>
        <v/>
      </c>
      <c r="E6244" s="95" t="str">
        <f>IFERROR(VLOOKUP($A6244,HeadJournal!$A$1:$NTR$890,COLUMN(HeadJournal!G$1),0),"")</f>
        <v/>
      </c>
      <c r="F6244" s="95" t="str">
        <f t="shared" si="419"/>
        <v/>
      </c>
      <c r="G6244" s="97"/>
      <c r="H6244" s="161"/>
      <c r="I6244" s="97"/>
      <c r="J6244" s="97"/>
      <c r="K6244" s="29"/>
      <c r="L6244" s="29"/>
      <c r="M6244" s="30">
        <f>IFERROR(VLOOKUP($A6244,HeadJournal!$A$1:$J$890,COLUMN(HeadJournal!I$1),0)*($K6244+$L6244)/(SUMIF($A:$A,$A6244,$K:$K)+SUMIF($A:$A,$A6244,$L:$L)),0)</f>
        <v>0</v>
      </c>
      <c r="N6244" s="30">
        <f>IFERROR((VLOOKUP($A6244,HeadJournal!$A$1:$K$890,COLUMN(HeadJournal!K$1),0)-VLOOKUP($A6244,HeadJournal!$A$1:$K$890,COLUMN(HeadJournal!J$1),0))*($K6244+$L6244)/(SUMIF($A:$A,$A6244,$K:$K)+SUMIF($A:$A,$A6244,$L:$L)),0)</f>
        <v>0</v>
      </c>
      <c r="O6244" s="30">
        <f>IFERROR((VLOOKUP($A6244,HeadJournal!$A$1:$L$890,COLUMN(HeadJournal!L$1),0)*($K6244+$L6244)/(SUMIF($A:$A,$A6244,$K:$K)+SUMIF($A:$A,$A6244,$L:$L)))/VLOOKUP($A6244,HeadJournal!$A$1:$L$890,COLUMN(HeadJournal!H$1),0),0)</f>
        <v>0</v>
      </c>
      <c r="P6244" s="30">
        <f>IFERROR(SUM(K6244:O6244)*VLOOKUP($A6244,HeadJournal!$A$1:$L$890,COLUMN(HeadJournal!H$1),0),0)</f>
        <v>0</v>
      </c>
      <c r="Q6244" s="29"/>
      <c r="R6244" s="31"/>
      <c r="S6244" s="31"/>
      <c r="T6244" s="95" t="str">
        <f t="shared" si="420"/>
        <v/>
      </c>
      <c r="U6244" s="32">
        <f t="shared" si="354"/>
        <v>0</v>
      </c>
      <c r="V6244" s="22" t="str">
        <f t="shared" si="355"/>
        <v/>
      </c>
      <c r="X6244" s="33"/>
      <c r="Y6244" s="33"/>
    </row>
    <row r="6245" spans="1:25" x14ac:dyDescent="0.2">
      <c r="A6245" s="93"/>
      <c r="B6245" s="94" t="str">
        <f>IFERROR(VLOOKUP($A6245,HeadJournal!$A$1:$NTR$890,COLUMN(HeadJournal!B$1),0),"")</f>
        <v/>
      </c>
      <c r="C6245" s="94" t="str">
        <f>IFERROR(VLOOKUP($A6245,HeadJournal!$A$1:$NTR$890,COLUMN(HeadJournal!C$1),0),"")</f>
        <v/>
      </c>
      <c r="D6245" s="125" t="str">
        <f>IFERROR(VLOOKUP($A6245,HeadJournal!$A$1:$NTR$890,COLUMN(HeadJournal!D$1),0),"")</f>
        <v/>
      </c>
      <c r="E6245" s="95" t="str">
        <f>IFERROR(VLOOKUP($A6245,HeadJournal!$A$1:$NTR$890,COLUMN(HeadJournal!G$1),0),"")</f>
        <v/>
      </c>
      <c r="F6245" s="95" t="str">
        <f t="shared" si="419"/>
        <v/>
      </c>
      <c r="G6245" s="97"/>
      <c r="H6245" s="161"/>
      <c r="I6245" s="97"/>
      <c r="J6245" s="97"/>
      <c r="K6245" s="29"/>
      <c r="L6245" s="29"/>
      <c r="M6245" s="30">
        <f>IFERROR(VLOOKUP($A6245,HeadJournal!$A$1:$J$890,COLUMN(HeadJournal!I$1),0)*($K6245+$L6245)/(SUMIF($A:$A,$A6245,$K:$K)+SUMIF($A:$A,$A6245,$L:$L)),0)</f>
        <v>0</v>
      </c>
      <c r="N6245" s="30">
        <f>IFERROR((VLOOKUP($A6245,HeadJournal!$A$1:$K$890,COLUMN(HeadJournal!K$1),0)-VLOOKUP($A6245,HeadJournal!$A$1:$K$890,COLUMN(HeadJournal!J$1),0))*($K6245+$L6245)/(SUMIF($A:$A,$A6245,$K:$K)+SUMIF($A:$A,$A6245,$L:$L)),0)</f>
        <v>0</v>
      </c>
      <c r="O6245" s="30">
        <f>IFERROR((VLOOKUP($A6245,HeadJournal!$A$1:$L$890,COLUMN(HeadJournal!L$1),0)*($K6245+$L6245)/(SUMIF($A:$A,$A6245,$K:$K)+SUMIF($A:$A,$A6245,$L:$L)))/VLOOKUP($A6245,HeadJournal!$A$1:$L$890,COLUMN(HeadJournal!H$1),0),0)</f>
        <v>0</v>
      </c>
      <c r="P6245" s="30">
        <f>IFERROR(SUM(K6245:O6245)*VLOOKUP($A6245,HeadJournal!$A$1:$L$890,COLUMN(HeadJournal!H$1),0),0)</f>
        <v>0</v>
      </c>
      <c r="Q6245" s="29"/>
      <c r="R6245" s="31"/>
      <c r="S6245" s="31"/>
      <c r="T6245" s="95" t="str">
        <f t="shared" si="420"/>
        <v/>
      </c>
      <c r="U6245" s="32">
        <f t="shared" si="354"/>
        <v>0</v>
      </c>
      <c r="V6245" s="22" t="str">
        <f t="shared" si="355"/>
        <v/>
      </c>
      <c r="X6245" s="33"/>
      <c r="Y6245" s="33"/>
    </row>
    <row r="6246" spans="1:25" x14ac:dyDescent="0.2">
      <c r="A6246" s="93"/>
      <c r="B6246" s="94" t="str">
        <f>IFERROR(VLOOKUP($A6246,HeadJournal!$A$1:$NTR$890,COLUMN(HeadJournal!B$1),0),"")</f>
        <v/>
      </c>
      <c r="C6246" s="94" t="str">
        <f>IFERROR(VLOOKUP($A6246,HeadJournal!$A$1:$NTR$890,COLUMN(HeadJournal!C$1),0),"")</f>
        <v/>
      </c>
      <c r="D6246" s="125" t="str">
        <f>IFERROR(VLOOKUP($A6246,HeadJournal!$A$1:$NTR$890,COLUMN(HeadJournal!D$1),0),"")</f>
        <v/>
      </c>
      <c r="E6246" s="95" t="str">
        <f>IFERROR(VLOOKUP($A6246,HeadJournal!$A$1:$NTR$890,COLUMN(HeadJournal!G$1),0),"")</f>
        <v/>
      </c>
      <c r="F6246" s="95" t="str">
        <f t="shared" si="419"/>
        <v/>
      </c>
      <c r="G6246" s="97"/>
      <c r="H6246" s="161"/>
      <c r="I6246" s="97"/>
      <c r="J6246" s="97"/>
      <c r="K6246" s="29"/>
      <c r="L6246" s="29"/>
      <c r="M6246" s="30">
        <f>IFERROR(VLOOKUP($A6246,HeadJournal!$A$1:$J$890,COLUMN(HeadJournal!I$1),0)*($K6246+$L6246)/(SUMIF($A:$A,$A6246,$K:$K)+SUMIF($A:$A,$A6246,$L:$L)),0)</f>
        <v>0</v>
      </c>
      <c r="N6246" s="30">
        <f>IFERROR((VLOOKUP($A6246,HeadJournal!$A$1:$K$890,COLUMN(HeadJournal!K$1),0)-VLOOKUP($A6246,HeadJournal!$A$1:$K$890,COLUMN(HeadJournal!J$1),0))*($K6246+$L6246)/(SUMIF($A:$A,$A6246,$K:$K)+SUMIF($A:$A,$A6246,$L:$L)),0)</f>
        <v>0</v>
      </c>
      <c r="O6246" s="30">
        <f>IFERROR((VLOOKUP($A6246,HeadJournal!$A$1:$L$890,COLUMN(HeadJournal!L$1),0)*($K6246+$L6246)/(SUMIF($A:$A,$A6246,$K:$K)+SUMIF($A:$A,$A6246,$L:$L)))/VLOOKUP($A6246,HeadJournal!$A$1:$L$890,COLUMN(HeadJournal!H$1),0),0)</f>
        <v>0</v>
      </c>
      <c r="P6246" s="30">
        <f>IFERROR(SUM(K6246:O6246)*VLOOKUP($A6246,HeadJournal!$A$1:$L$890,COLUMN(HeadJournal!H$1),0),0)</f>
        <v>0</v>
      </c>
      <c r="Q6246" s="29"/>
      <c r="R6246" s="31"/>
      <c r="S6246" s="31"/>
      <c r="T6246" s="95" t="str">
        <f t="shared" si="420"/>
        <v/>
      </c>
      <c r="U6246" s="32">
        <f t="shared" si="354"/>
        <v>0</v>
      </c>
      <c r="V6246" s="22" t="str">
        <f t="shared" si="355"/>
        <v/>
      </c>
      <c r="X6246" s="33"/>
      <c r="Y6246" s="33"/>
    </row>
    <row r="6247" spans="1:25" x14ac:dyDescent="0.2">
      <c r="A6247" s="93"/>
      <c r="B6247" s="94" t="str">
        <f>IFERROR(VLOOKUP($A6247,HeadJournal!$A$1:$NTR$890,COLUMN(HeadJournal!B$1),0),"")</f>
        <v/>
      </c>
      <c r="C6247" s="94" t="str">
        <f>IFERROR(VLOOKUP($A6247,HeadJournal!$A$1:$NTR$890,COLUMN(HeadJournal!C$1),0),"")</f>
        <v/>
      </c>
      <c r="D6247" s="125" t="str">
        <f>IFERROR(VLOOKUP($A6247,HeadJournal!$A$1:$NTR$890,COLUMN(HeadJournal!D$1),0),"")</f>
        <v/>
      </c>
      <c r="E6247" s="95" t="str">
        <f>IFERROR(VLOOKUP($A6247,HeadJournal!$A$1:$NTR$890,COLUMN(HeadJournal!G$1),0),"")</f>
        <v/>
      </c>
      <c r="F6247" s="95" t="str">
        <f t="shared" si="419"/>
        <v/>
      </c>
      <c r="G6247" s="97"/>
      <c r="H6247" s="161"/>
      <c r="I6247" s="97"/>
      <c r="J6247" s="97"/>
      <c r="K6247" s="29"/>
      <c r="L6247" s="29"/>
      <c r="M6247" s="30">
        <f>IFERROR(VLOOKUP($A6247,HeadJournal!$A$1:$J$890,COLUMN(HeadJournal!I$1),0)*($K6247+$L6247)/(SUMIF($A:$A,$A6247,$K:$K)+SUMIF($A:$A,$A6247,$L:$L)),0)</f>
        <v>0</v>
      </c>
      <c r="N6247" s="30">
        <f>IFERROR((VLOOKUP($A6247,HeadJournal!$A$1:$K$890,COLUMN(HeadJournal!K$1),0)-VLOOKUP($A6247,HeadJournal!$A$1:$K$890,COLUMN(HeadJournal!J$1),0))*($K6247+$L6247)/(SUMIF($A:$A,$A6247,$K:$K)+SUMIF($A:$A,$A6247,$L:$L)),0)</f>
        <v>0</v>
      </c>
      <c r="O6247" s="30">
        <f>IFERROR((VLOOKUP($A6247,HeadJournal!$A$1:$L$890,COLUMN(HeadJournal!L$1),0)*($K6247+$L6247)/(SUMIF($A:$A,$A6247,$K:$K)+SUMIF($A:$A,$A6247,$L:$L)))/VLOOKUP($A6247,HeadJournal!$A$1:$L$890,COLUMN(HeadJournal!H$1),0),0)</f>
        <v>0</v>
      </c>
      <c r="P6247" s="30">
        <f>IFERROR(SUM(K6247:O6247)*VLOOKUP($A6247,HeadJournal!$A$1:$L$890,COLUMN(HeadJournal!H$1),0),0)</f>
        <v>0</v>
      </c>
      <c r="Q6247" s="29"/>
      <c r="R6247" s="31"/>
      <c r="S6247" s="31"/>
      <c r="T6247" s="95" t="str">
        <f t="shared" si="420"/>
        <v/>
      </c>
      <c r="U6247" s="32">
        <f t="shared" si="354"/>
        <v>0</v>
      </c>
      <c r="V6247" s="22" t="str">
        <f t="shared" si="355"/>
        <v/>
      </c>
      <c r="X6247" s="33"/>
      <c r="Y6247" s="33"/>
    </row>
    <row r="6248" spans="1:25" x14ac:dyDescent="0.2">
      <c r="A6248" s="93"/>
      <c r="B6248" s="94" t="str">
        <f>IFERROR(VLOOKUP($A6248,HeadJournal!$A$1:$NTR$890,COLUMN(HeadJournal!B$1),0),"")</f>
        <v/>
      </c>
      <c r="C6248" s="94" t="str">
        <f>IFERROR(VLOOKUP($A6248,HeadJournal!$A$1:$NTR$890,COLUMN(HeadJournal!C$1),0),"")</f>
        <v/>
      </c>
      <c r="D6248" s="125" t="str">
        <f>IFERROR(VLOOKUP($A6248,HeadJournal!$A$1:$NTR$890,COLUMN(HeadJournal!D$1),0),"")</f>
        <v/>
      </c>
      <c r="E6248" s="95" t="str">
        <f>IFERROR(VLOOKUP($A6248,HeadJournal!$A$1:$NTR$890,COLUMN(HeadJournal!G$1),0),"")</f>
        <v/>
      </c>
      <c r="F6248" s="95" t="str">
        <f t="shared" si="419"/>
        <v/>
      </c>
      <c r="G6248" s="97"/>
      <c r="H6248" s="161"/>
      <c r="I6248" s="97"/>
      <c r="J6248" s="97"/>
      <c r="K6248" s="29"/>
      <c r="L6248" s="29"/>
      <c r="M6248" s="30">
        <f>IFERROR(VLOOKUP($A6248,HeadJournal!$A$1:$J$890,COLUMN(HeadJournal!I$1),0)*($K6248+$L6248)/(SUMIF($A:$A,$A6248,$K:$K)+SUMIF($A:$A,$A6248,$L:$L)),0)</f>
        <v>0</v>
      </c>
      <c r="N6248" s="30">
        <f>IFERROR((VLOOKUP($A6248,HeadJournal!$A$1:$K$890,COLUMN(HeadJournal!K$1),0)-VLOOKUP($A6248,HeadJournal!$A$1:$K$890,COLUMN(HeadJournal!J$1),0))*($K6248+$L6248)/(SUMIF($A:$A,$A6248,$K:$K)+SUMIF($A:$A,$A6248,$L:$L)),0)</f>
        <v>0</v>
      </c>
      <c r="O6248" s="30">
        <f>IFERROR((VLOOKUP($A6248,HeadJournal!$A$1:$L$890,COLUMN(HeadJournal!L$1),0)*($K6248+$L6248)/(SUMIF($A:$A,$A6248,$K:$K)+SUMIF($A:$A,$A6248,$L:$L)))/VLOOKUP($A6248,HeadJournal!$A$1:$L$890,COLUMN(HeadJournal!H$1),0),0)</f>
        <v>0</v>
      </c>
      <c r="P6248" s="30">
        <f>IFERROR(SUM(K6248:O6248)*VLOOKUP($A6248,HeadJournal!$A$1:$L$890,COLUMN(HeadJournal!H$1),0),0)</f>
        <v>0</v>
      </c>
      <c r="Q6248" s="29"/>
      <c r="R6248" s="31"/>
      <c r="S6248" s="31"/>
      <c r="T6248" s="95" t="str">
        <f t="shared" si="420"/>
        <v/>
      </c>
      <c r="U6248" s="32">
        <f t="shared" si="354"/>
        <v>0</v>
      </c>
      <c r="V6248" s="22" t="str">
        <f t="shared" si="355"/>
        <v/>
      </c>
      <c r="X6248" s="33"/>
      <c r="Y6248" s="33"/>
    </row>
    <row r="6249" spans="1:25" x14ac:dyDescent="0.2">
      <c r="A6249" s="93"/>
      <c r="B6249" s="94" t="str">
        <f>IFERROR(VLOOKUP($A6249,HeadJournal!$A$1:$NTR$890,COLUMN(HeadJournal!B$1),0),"")</f>
        <v/>
      </c>
      <c r="C6249" s="94" t="str">
        <f>IFERROR(VLOOKUP($A6249,HeadJournal!$A$1:$NTR$890,COLUMN(HeadJournal!C$1),0),"")</f>
        <v/>
      </c>
      <c r="D6249" s="125" t="str">
        <f>IFERROR(VLOOKUP($A6249,HeadJournal!$A$1:$NTR$890,COLUMN(HeadJournal!D$1),0),"")</f>
        <v/>
      </c>
      <c r="E6249" s="95" t="str">
        <f>IFERROR(VLOOKUP($A6249,HeadJournal!$A$1:$NTR$890,COLUMN(HeadJournal!G$1),0),"")</f>
        <v/>
      </c>
      <c r="F6249" s="95" t="str">
        <f t="shared" si="419"/>
        <v/>
      </c>
      <c r="G6249" s="97"/>
      <c r="H6249" s="161"/>
      <c r="I6249" s="97"/>
      <c r="J6249" s="97"/>
      <c r="K6249" s="29"/>
      <c r="L6249" s="29"/>
      <c r="M6249" s="30">
        <f>IFERROR(VLOOKUP($A6249,HeadJournal!$A$1:$J$890,COLUMN(HeadJournal!I$1),0)*($K6249+$L6249)/(SUMIF($A:$A,$A6249,$K:$K)+SUMIF($A:$A,$A6249,$L:$L)),0)</f>
        <v>0</v>
      </c>
      <c r="N6249" s="30">
        <f>IFERROR((VLOOKUP($A6249,HeadJournal!$A$1:$K$890,COLUMN(HeadJournal!K$1),0)-VLOOKUP($A6249,HeadJournal!$A$1:$K$890,COLUMN(HeadJournal!J$1),0))*($K6249+$L6249)/(SUMIF($A:$A,$A6249,$K:$K)+SUMIF($A:$A,$A6249,$L:$L)),0)</f>
        <v>0</v>
      </c>
      <c r="O6249" s="30">
        <f>IFERROR((VLOOKUP($A6249,HeadJournal!$A$1:$L$890,COLUMN(HeadJournal!L$1),0)*($K6249+$L6249)/(SUMIF($A:$A,$A6249,$K:$K)+SUMIF($A:$A,$A6249,$L:$L)))/VLOOKUP($A6249,HeadJournal!$A$1:$L$890,COLUMN(HeadJournal!H$1),0),0)</f>
        <v>0</v>
      </c>
      <c r="P6249" s="30">
        <f>IFERROR(SUM(K6249:O6249)*VLOOKUP($A6249,HeadJournal!$A$1:$L$890,COLUMN(HeadJournal!H$1),0),0)</f>
        <v>0</v>
      </c>
      <c r="Q6249" s="29"/>
      <c r="R6249" s="31"/>
      <c r="S6249" s="31"/>
      <c r="T6249" s="95" t="str">
        <f t="shared" si="420"/>
        <v/>
      </c>
      <c r="U6249" s="32">
        <f t="shared" si="354"/>
        <v>0</v>
      </c>
      <c r="V6249" s="22" t="str">
        <f t="shared" si="355"/>
        <v/>
      </c>
      <c r="X6249" s="33"/>
      <c r="Y6249" s="33"/>
    </row>
    <row r="6250" spans="1:25" x14ac:dyDescent="0.2">
      <c r="A6250" s="93"/>
      <c r="B6250" s="94" t="str">
        <f>IFERROR(VLOOKUP($A6250,HeadJournal!$A$1:$NTR$890,COLUMN(HeadJournal!B$1),0),"")</f>
        <v/>
      </c>
      <c r="C6250" s="94" t="str">
        <f>IFERROR(VLOOKUP($A6250,HeadJournal!$A$1:$NTR$890,COLUMN(HeadJournal!C$1),0),"")</f>
        <v/>
      </c>
      <c r="D6250" s="125" t="str">
        <f>IFERROR(VLOOKUP($A6250,HeadJournal!$A$1:$NTR$890,COLUMN(HeadJournal!D$1),0),"")</f>
        <v/>
      </c>
      <c r="E6250" s="95" t="str">
        <f>IFERROR(VLOOKUP($A6250,HeadJournal!$A$1:$NTR$890,COLUMN(HeadJournal!G$1),0),"")</f>
        <v/>
      </c>
      <c r="F6250" s="95" t="str">
        <f t="shared" si="419"/>
        <v/>
      </c>
      <c r="G6250" s="97"/>
      <c r="H6250" s="161"/>
      <c r="I6250" s="97"/>
      <c r="J6250" s="97"/>
      <c r="K6250" s="29"/>
      <c r="L6250" s="29"/>
      <c r="M6250" s="30">
        <f>IFERROR(VLOOKUP($A6250,HeadJournal!$A$1:$J$890,COLUMN(HeadJournal!I$1),0)*($K6250+$L6250)/(SUMIF($A:$A,$A6250,$K:$K)+SUMIF($A:$A,$A6250,$L:$L)),0)</f>
        <v>0</v>
      </c>
      <c r="N6250" s="30">
        <f>IFERROR((VLOOKUP($A6250,HeadJournal!$A$1:$K$890,COLUMN(HeadJournal!K$1),0)-VLOOKUP($A6250,HeadJournal!$A$1:$K$890,COLUMN(HeadJournal!J$1),0))*($K6250+$L6250)/(SUMIF($A:$A,$A6250,$K:$K)+SUMIF($A:$A,$A6250,$L:$L)),0)</f>
        <v>0</v>
      </c>
      <c r="O6250" s="30">
        <f>IFERROR((VLOOKUP($A6250,HeadJournal!$A$1:$L$890,COLUMN(HeadJournal!L$1),0)*($K6250+$L6250)/(SUMIF($A:$A,$A6250,$K:$K)+SUMIF($A:$A,$A6250,$L:$L)))/VLOOKUP($A6250,HeadJournal!$A$1:$L$890,COLUMN(HeadJournal!H$1),0),0)</f>
        <v>0</v>
      </c>
      <c r="P6250" s="30">
        <f>IFERROR(SUM(K6250:O6250)*VLOOKUP($A6250,HeadJournal!$A$1:$L$890,COLUMN(HeadJournal!H$1),0),0)</f>
        <v>0</v>
      </c>
      <c r="Q6250" s="29"/>
      <c r="R6250" s="31"/>
      <c r="S6250" s="31"/>
      <c r="T6250" s="95" t="str">
        <f t="shared" si="420"/>
        <v/>
      </c>
      <c r="U6250" s="32">
        <f t="shared" si="354"/>
        <v>0</v>
      </c>
      <c r="V6250" s="22" t="str">
        <f t="shared" si="355"/>
        <v/>
      </c>
      <c r="X6250" s="33"/>
      <c r="Y6250" s="33"/>
    </row>
    <row r="6251" spans="1:25" x14ac:dyDescent="0.2">
      <c r="A6251" s="93"/>
      <c r="B6251" s="94" t="str">
        <f>IFERROR(VLOOKUP($A6251,HeadJournal!$A$1:$NTR$890,COLUMN(HeadJournal!B$1),0),"")</f>
        <v/>
      </c>
      <c r="C6251" s="94" t="str">
        <f>IFERROR(VLOOKUP($A6251,HeadJournal!$A$1:$NTR$890,COLUMN(HeadJournal!C$1),0),"")</f>
        <v/>
      </c>
      <c r="D6251" s="125" t="str">
        <f>IFERROR(VLOOKUP($A6251,HeadJournal!$A$1:$NTR$890,COLUMN(HeadJournal!D$1),0),"")</f>
        <v/>
      </c>
      <c r="E6251" s="95" t="str">
        <f>IFERROR(VLOOKUP($A6251,HeadJournal!$A$1:$NTR$890,COLUMN(HeadJournal!G$1),0),"")</f>
        <v/>
      </c>
      <c r="F6251" s="95" t="str">
        <f t="shared" si="419"/>
        <v/>
      </c>
      <c r="G6251" s="97"/>
      <c r="H6251" s="161"/>
      <c r="I6251" s="97"/>
      <c r="J6251" s="97"/>
      <c r="K6251" s="29"/>
      <c r="L6251" s="29"/>
      <c r="M6251" s="30">
        <f>IFERROR(VLOOKUP($A6251,HeadJournal!$A$1:$J$890,COLUMN(HeadJournal!I$1),0)*($K6251+$L6251)/(SUMIF($A:$A,$A6251,$K:$K)+SUMIF($A:$A,$A6251,$L:$L)),0)</f>
        <v>0</v>
      </c>
      <c r="N6251" s="30">
        <f>IFERROR((VLOOKUP($A6251,HeadJournal!$A$1:$K$890,COLUMN(HeadJournal!K$1),0)-VLOOKUP($A6251,HeadJournal!$A$1:$K$890,COLUMN(HeadJournal!J$1),0))*($K6251+$L6251)/(SUMIF($A:$A,$A6251,$K:$K)+SUMIF($A:$A,$A6251,$L:$L)),0)</f>
        <v>0</v>
      </c>
      <c r="O6251" s="30">
        <f>IFERROR((VLOOKUP($A6251,HeadJournal!$A$1:$L$890,COLUMN(HeadJournal!L$1),0)*($K6251+$L6251)/(SUMIF($A:$A,$A6251,$K:$K)+SUMIF($A:$A,$A6251,$L:$L)))/VLOOKUP($A6251,HeadJournal!$A$1:$L$890,COLUMN(HeadJournal!H$1),0),0)</f>
        <v>0</v>
      </c>
      <c r="P6251" s="30">
        <f>IFERROR(SUM(K6251:O6251)*VLOOKUP($A6251,HeadJournal!$A$1:$L$890,COLUMN(HeadJournal!H$1),0),0)</f>
        <v>0</v>
      </c>
      <c r="Q6251" s="29"/>
      <c r="R6251" s="31"/>
      <c r="S6251" s="31"/>
      <c r="T6251" s="95" t="str">
        <f t="shared" si="420"/>
        <v/>
      </c>
      <c r="U6251" s="32">
        <f t="shared" si="354"/>
        <v>0</v>
      </c>
      <c r="V6251" s="22" t="str">
        <f t="shared" si="355"/>
        <v/>
      </c>
      <c r="X6251" s="33"/>
      <c r="Y6251" s="33"/>
    </row>
    <row r="6252" spans="1:25" x14ac:dyDescent="0.2">
      <c r="A6252" s="93"/>
      <c r="B6252" s="94" t="str">
        <f>IFERROR(VLOOKUP($A6252,HeadJournal!$A$1:$NTR$890,COLUMN(HeadJournal!B$1),0),"")</f>
        <v/>
      </c>
      <c r="C6252" s="94" t="str">
        <f>IFERROR(VLOOKUP($A6252,HeadJournal!$A$1:$NTR$890,COLUMN(HeadJournal!C$1),0),"")</f>
        <v/>
      </c>
      <c r="D6252" s="125" t="str">
        <f>IFERROR(VLOOKUP($A6252,HeadJournal!$A$1:$NTR$890,COLUMN(HeadJournal!D$1),0),"")</f>
        <v/>
      </c>
      <c r="E6252" s="95" t="str">
        <f>IFERROR(VLOOKUP($A6252,HeadJournal!$A$1:$NTR$890,COLUMN(HeadJournal!G$1),0),"")</f>
        <v/>
      </c>
      <c r="F6252" s="95" t="str">
        <f t="shared" si="419"/>
        <v/>
      </c>
      <c r="G6252" s="97"/>
      <c r="H6252" s="161"/>
      <c r="I6252" s="97"/>
      <c r="J6252" s="97"/>
      <c r="K6252" s="29"/>
      <c r="L6252" s="29"/>
      <c r="M6252" s="30">
        <f>IFERROR(VLOOKUP($A6252,HeadJournal!$A$1:$J$890,COLUMN(HeadJournal!I$1),0)*($K6252+$L6252)/(SUMIF($A:$A,$A6252,$K:$K)+SUMIF($A:$A,$A6252,$L:$L)),0)</f>
        <v>0</v>
      </c>
      <c r="N6252" s="30">
        <f>IFERROR((VLOOKUP($A6252,HeadJournal!$A$1:$K$890,COLUMN(HeadJournal!K$1),0)-VLOOKUP($A6252,HeadJournal!$A$1:$K$890,COLUMN(HeadJournal!J$1),0))*($K6252+$L6252)/(SUMIF($A:$A,$A6252,$K:$K)+SUMIF($A:$A,$A6252,$L:$L)),0)</f>
        <v>0</v>
      </c>
      <c r="O6252" s="30">
        <f>IFERROR((VLOOKUP($A6252,HeadJournal!$A$1:$L$890,COLUMN(HeadJournal!L$1),0)*($K6252+$L6252)/(SUMIF($A:$A,$A6252,$K:$K)+SUMIF($A:$A,$A6252,$L:$L)))/VLOOKUP($A6252,HeadJournal!$A$1:$L$890,COLUMN(HeadJournal!H$1),0),0)</f>
        <v>0</v>
      </c>
      <c r="P6252" s="30">
        <f>IFERROR(SUM(K6252:O6252)*VLOOKUP($A6252,HeadJournal!$A$1:$L$890,COLUMN(HeadJournal!H$1),0),0)</f>
        <v>0</v>
      </c>
      <c r="Q6252" s="29"/>
      <c r="R6252" s="31"/>
      <c r="S6252" s="31"/>
      <c r="T6252" s="95" t="str">
        <f t="shared" si="420"/>
        <v/>
      </c>
      <c r="U6252" s="32">
        <f t="shared" si="354"/>
        <v>0</v>
      </c>
      <c r="V6252" s="22" t="str">
        <f t="shared" si="355"/>
        <v/>
      </c>
      <c r="X6252" s="33"/>
      <c r="Y6252" s="33"/>
    </row>
    <row r="6253" spans="1:25" x14ac:dyDescent="0.2">
      <c r="A6253" s="93"/>
      <c r="B6253" s="94" t="str">
        <f>IFERROR(VLOOKUP($A6253,HeadJournal!$A$1:$NTR$890,COLUMN(HeadJournal!B$1),0),"")</f>
        <v/>
      </c>
      <c r="C6253" s="94" t="str">
        <f>IFERROR(VLOOKUP($A6253,HeadJournal!$A$1:$NTR$890,COLUMN(HeadJournal!C$1),0),"")</f>
        <v/>
      </c>
      <c r="D6253" s="125" t="str">
        <f>IFERROR(VLOOKUP($A6253,HeadJournal!$A$1:$NTR$890,COLUMN(HeadJournal!D$1),0),"")</f>
        <v/>
      </c>
      <c r="E6253" s="95" t="str">
        <f>IFERROR(VLOOKUP($A6253,HeadJournal!$A$1:$NTR$890,COLUMN(HeadJournal!G$1),0),"")</f>
        <v/>
      </c>
      <c r="F6253" s="95" t="str">
        <f t="shared" si="419"/>
        <v/>
      </c>
      <c r="G6253" s="97"/>
      <c r="H6253" s="161"/>
      <c r="I6253" s="97"/>
      <c r="J6253" s="97"/>
      <c r="K6253" s="29"/>
      <c r="L6253" s="29"/>
      <c r="M6253" s="30">
        <f>IFERROR(VLOOKUP($A6253,HeadJournal!$A$1:$J$890,COLUMN(HeadJournal!I$1),0)*($K6253+$L6253)/(SUMIF($A:$A,$A6253,$K:$K)+SUMIF($A:$A,$A6253,$L:$L)),0)</f>
        <v>0</v>
      </c>
      <c r="N6253" s="30">
        <f>IFERROR((VLOOKUP($A6253,HeadJournal!$A$1:$K$890,COLUMN(HeadJournal!K$1),0)-VLOOKUP($A6253,HeadJournal!$A$1:$K$890,COLUMN(HeadJournal!J$1),0))*($K6253+$L6253)/(SUMIF($A:$A,$A6253,$K:$K)+SUMIF($A:$A,$A6253,$L:$L)),0)</f>
        <v>0</v>
      </c>
      <c r="O6253" s="30">
        <f>IFERROR((VLOOKUP($A6253,HeadJournal!$A$1:$L$890,COLUMN(HeadJournal!L$1),0)*($K6253+$L6253)/(SUMIF($A:$A,$A6253,$K:$K)+SUMIF($A:$A,$A6253,$L:$L)))/VLOOKUP($A6253,HeadJournal!$A$1:$L$890,COLUMN(HeadJournal!H$1),0),0)</f>
        <v>0</v>
      </c>
      <c r="P6253" s="30">
        <f>IFERROR(SUM(K6253:O6253)*VLOOKUP($A6253,HeadJournal!$A$1:$L$890,COLUMN(HeadJournal!H$1),0),0)</f>
        <v>0</v>
      </c>
      <c r="Q6253" s="29"/>
      <c r="R6253" s="31"/>
      <c r="S6253" s="31"/>
      <c r="T6253" s="95" t="str">
        <f t="shared" si="420"/>
        <v/>
      </c>
      <c r="U6253" s="32">
        <f t="shared" si="354"/>
        <v>0</v>
      </c>
      <c r="V6253" s="22" t="str">
        <f t="shared" si="355"/>
        <v/>
      </c>
      <c r="X6253" s="33"/>
      <c r="Y6253" s="33"/>
    </row>
    <row r="6254" spans="1:25" x14ac:dyDescent="0.2">
      <c r="A6254" s="93"/>
      <c r="B6254" s="94" t="str">
        <f>IFERROR(VLOOKUP($A6254,HeadJournal!$A$1:$NTR$890,COLUMN(HeadJournal!B$1),0),"")</f>
        <v/>
      </c>
      <c r="C6254" s="94" t="str">
        <f>IFERROR(VLOOKUP($A6254,HeadJournal!$A$1:$NTR$890,COLUMN(HeadJournal!C$1),0),"")</f>
        <v/>
      </c>
      <c r="D6254" s="125" t="str">
        <f>IFERROR(VLOOKUP($A6254,HeadJournal!$A$1:$NTR$890,COLUMN(HeadJournal!D$1),0),"")</f>
        <v/>
      </c>
      <c r="E6254" s="95" t="str">
        <f>IFERROR(VLOOKUP($A6254,HeadJournal!$A$1:$NTR$890,COLUMN(HeadJournal!G$1),0),"")</f>
        <v/>
      </c>
      <c r="F6254" s="95" t="str">
        <f t="shared" si="419"/>
        <v/>
      </c>
      <c r="G6254" s="97"/>
      <c r="H6254" s="161"/>
      <c r="I6254" s="97"/>
      <c r="J6254" s="97"/>
      <c r="K6254" s="29"/>
      <c r="L6254" s="29"/>
      <c r="M6254" s="30">
        <f>IFERROR(VLOOKUP($A6254,HeadJournal!$A$1:$J$890,COLUMN(HeadJournal!I$1),0)*($K6254+$L6254)/(SUMIF($A:$A,$A6254,$K:$K)+SUMIF($A:$A,$A6254,$L:$L)),0)</f>
        <v>0</v>
      </c>
      <c r="N6254" s="30">
        <f>IFERROR((VLOOKUP($A6254,HeadJournal!$A$1:$K$890,COLUMN(HeadJournal!K$1),0)-VLOOKUP($A6254,HeadJournal!$A$1:$K$890,COLUMN(HeadJournal!J$1),0))*($K6254+$L6254)/(SUMIF($A:$A,$A6254,$K:$K)+SUMIF($A:$A,$A6254,$L:$L)),0)</f>
        <v>0</v>
      </c>
      <c r="O6254" s="30">
        <f>IFERROR((VLOOKUP($A6254,HeadJournal!$A$1:$L$890,COLUMN(HeadJournal!L$1),0)*($K6254+$L6254)/(SUMIF($A:$A,$A6254,$K:$K)+SUMIF($A:$A,$A6254,$L:$L)))/VLOOKUP($A6254,HeadJournal!$A$1:$L$890,COLUMN(HeadJournal!H$1),0),0)</f>
        <v>0</v>
      </c>
      <c r="P6254" s="30">
        <f>IFERROR(SUM(K6254:O6254)*VLOOKUP($A6254,HeadJournal!$A$1:$L$890,COLUMN(HeadJournal!H$1),0),0)</f>
        <v>0</v>
      </c>
      <c r="Q6254" s="29"/>
      <c r="R6254" s="31"/>
      <c r="S6254" s="31"/>
      <c r="T6254" s="95" t="str">
        <f t="shared" si="420"/>
        <v/>
      </c>
      <c r="U6254" s="32">
        <f t="shared" si="354"/>
        <v>0</v>
      </c>
      <c r="V6254" s="22" t="str">
        <f t="shared" si="355"/>
        <v/>
      </c>
      <c r="X6254" s="33"/>
      <c r="Y6254" s="33"/>
    </row>
    <row r="6255" spans="1:25" x14ac:dyDescent="0.2">
      <c r="A6255" s="93"/>
      <c r="B6255" s="94" t="str">
        <f>IFERROR(VLOOKUP($A6255,HeadJournal!$A$1:$NTR$890,COLUMN(HeadJournal!B$1),0),"")</f>
        <v/>
      </c>
      <c r="C6255" s="94" t="str">
        <f>IFERROR(VLOOKUP($A6255,HeadJournal!$A$1:$NTR$890,COLUMN(HeadJournal!C$1),0),"")</f>
        <v/>
      </c>
      <c r="D6255" s="125" t="str">
        <f>IFERROR(VLOOKUP($A6255,HeadJournal!$A$1:$NTR$890,COLUMN(HeadJournal!D$1),0),"")</f>
        <v/>
      </c>
      <c r="E6255" s="95" t="str">
        <f>IFERROR(VLOOKUP($A6255,HeadJournal!$A$1:$NTR$890,COLUMN(HeadJournal!G$1),0),"")</f>
        <v/>
      </c>
      <c r="F6255" s="95" t="str">
        <f t="shared" si="419"/>
        <v/>
      </c>
      <c r="G6255" s="97"/>
      <c r="H6255" s="161"/>
      <c r="I6255" s="97"/>
      <c r="J6255" s="97"/>
      <c r="K6255" s="29"/>
      <c r="L6255" s="29"/>
      <c r="M6255" s="30">
        <f>IFERROR(VLOOKUP($A6255,HeadJournal!$A$1:$J$890,COLUMN(HeadJournal!I$1),0)*($K6255+$L6255)/(SUMIF($A:$A,$A6255,$K:$K)+SUMIF($A:$A,$A6255,$L:$L)),0)</f>
        <v>0</v>
      </c>
      <c r="N6255" s="30">
        <f>IFERROR((VLOOKUP($A6255,HeadJournal!$A$1:$K$890,COLUMN(HeadJournal!K$1),0)-VLOOKUP($A6255,HeadJournal!$A$1:$K$890,COLUMN(HeadJournal!J$1),0))*($K6255+$L6255)/(SUMIF($A:$A,$A6255,$K:$K)+SUMIF($A:$A,$A6255,$L:$L)),0)</f>
        <v>0</v>
      </c>
      <c r="O6255" s="30">
        <f>IFERROR((VLOOKUP($A6255,HeadJournal!$A$1:$L$890,COLUMN(HeadJournal!L$1),0)*($K6255+$L6255)/(SUMIF($A:$A,$A6255,$K:$K)+SUMIF($A:$A,$A6255,$L:$L)))/VLOOKUP($A6255,HeadJournal!$A$1:$L$890,COLUMN(HeadJournal!H$1),0),0)</f>
        <v>0</v>
      </c>
      <c r="P6255" s="30">
        <f>IFERROR(SUM(K6255:O6255)*VLOOKUP($A6255,HeadJournal!$A$1:$L$890,COLUMN(HeadJournal!H$1),0),0)</f>
        <v>0</v>
      </c>
      <c r="Q6255" s="29"/>
      <c r="R6255" s="31"/>
      <c r="S6255" s="31"/>
      <c r="T6255" s="95" t="str">
        <f t="shared" si="420"/>
        <v/>
      </c>
      <c r="U6255" s="32">
        <f t="shared" si="354"/>
        <v>0</v>
      </c>
      <c r="V6255" s="22" t="str">
        <f t="shared" si="355"/>
        <v/>
      </c>
      <c r="X6255" s="33"/>
      <c r="Y6255" s="33"/>
    </row>
    <row r="6256" spans="1:25" x14ac:dyDescent="0.2">
      <c r="A6256" s="93"/>
      <c r="B6256" s="94" t="str">
        <f>IFERROR(VLOOKUP($A6256,HeadJournal!$A$1:$NTR$890,COLUMN(HeadJournal!B$1),0),"")</f>
        <v/>
      </c>
      <c r="C6256" s="94" t="str">
        <f>IFERROR(VLOOKUP($A6256,HeadJournal!$A$1:$NTR$890,COLUMN(HeadJournal!C$1),0),"")</f>
        <v/>
      </c>
      <c r="D6256" s="125" t="str">
        <f>IFERROR(VLOOKUP($A6256,HeadJournal!$A$1:$NTR$890,COLUMN(HeadJournal!D$1),0),"")</f>
        <v/>
      </c>
      <c r="E6256" s="95" t="str">
        <f>IFERROR(VLOOKUP($A6256,HeadJournal!$A$1:$NTR$890,COLUMN(HeadJournal!G$1),0),"")</f>
        <v/>
      </c>
      <c r="F6256" s="95" t="str">
        <f t="shared" si="419"/>
        <v/>
      </c>
      <c r="G6256" s="97"/>
      <c r="H6256" s="161"/>
      <c r="I6256" s="97"/>
      <c r="J6256" s="97"/>
      <c r="K6256" s="29"/>
      <c r="L6256" s="29"/>
      <c r="M6256" s="30">
        <f>IFERROR(VLOOKUP($A6256,HeadJournal!$A$1:$J$890,COLUMN(HeadJournal!I$1),0)*($K6256+$L6256)/(SUMIF($A:$A,$A6256,$K:$K)+SUMIF($A:$A,$A6256,$L:$L)),0)</f>
        <v>0</v>
      </c>
      <c r="N6256" s="30">
        <f>IFERROR((VLOOKUP($A6256,HeadJournal!$A$1:$K$890,COLUMN(HeadJournal!K$1),0)-VLOOKUP($A6256,HeadJournal!$A$1:$K$890,COLUMN(HeadJournal!J$1),0))*($K6256+$L6256)/(SUMIF($A:$A,$A6256,$K:$K)+SUMIF($A:$A,$A6256,$L:$L)),0)</f>
        <v>0</v>
      </c>
      <c r="O6256" s="30">
        <f>IFERROR((VLOOKUP($A6256,HeadJournal!$A$1:$L$890,COLUMN(HeadJournal!L$1),0)*($K6256+$L6256)/(SUMIF($A:$A,$A6256,$K:$K)+SUMIF($A:$A,$A6256,$L:$L)))/VLOOKUP($A6256,HeadJournal!$A$1:$L$890,COLUMN(HeadJournal!H$1),0),0)</f>
        <v>0</v>
      </c>
      <c r="P6256" s="30">
        <f>IFERROR(SUM(K6256:O6256)*VLOOKUP($A6256,HeadJournal!$A$1:$L$890,COLUMN(HeadJournal!H$1),0),0)</f>
        <v>0</v>
      </c>
      <c r="Q6256" s="29"/>
      <c r="R6256" s="31"/>
      <c r="S6256" s="31"/>
      <c r="T6256" s="95" t="str">
        <f t="shared" si="420"/>
        <v/>
      </c>
      <c r="U6256" s="32">
        <f t="shared" si="354"/>
        <v>0</v>
      </c>
      <c r="V6256" s="22" t="str">
        <f t="shared" si="355"/>
        <v/>
      </c>
      <c r="X6256" s="33"/>
      <c r="Y6256" s="33"/>
    </row>
    <row r="6257" spans="1:25" x14ac:dyDescent="0.2">
      <c r="A6257" s="93"/>
      <c r="B6257" s="94" t="str">
        <f>IFERROR(VLOOKUP($A6257,HeadJournal!$A$1:$NTR$890,COLUMN(HeadJournal!B$1),0),"")</f>
        <v/>
      </c>
      <c r="C6257" s="94" t="str">
        <f>IFERROR(VLOOKUP($A6257,HeadJournal!$A$1:$NTR$890,COLUMN(HeadJournal!C$1),0),"")</f>
        <v/>
      </c>
      <c r="D6257" s="125" t="str">
        <f>IFERROR(VLOOKUP($A6257,HeadJournal!$A$1:$NTR$890,COLUMN(HeadJournal!D$1),0),"")</f>
        <v/>
      </c>
      <c r="E6257" s="95" t="str">
        <f>IFERROR(VLOOKUP($A6257,HeadJournal!$A$1:$NTR$890,COLUMN(HeadJournal!G$1),0),"")</f>
        <v/>
      </c>
      <c r="F6257" s="95" t="str">
        <f t="shared" si="419"/>
        <v/>
      </c>
      <c r="G6257" s="97"/>
      <c r="H6257" s="161"/>
      <c r="I6257" s="97"/>
      <c r="J6257" s="97"/>
      <c r="K6257" s="29"/>
      <c r="L6257" s="29"/>
      <c r="M6257" s="30">
        <f>IFERROR(VLOOKUP($A6257,HeadJournal!$A$1:$J$890,COLUMN(HeadJournal!I$1),0)*($K6257+$L6257)/(SUMIF($A:$A,$A6257,$K:$K)+SUMIF($A:$A,$A6257,$L:$L)),0)</f>
        <v>0</v>
      </c>
      <c r="N6257" s="30">
        <f>IFERROR((VLOOKUP($A6257,HeadJournal!$A$1:$K$890,COLUMN(HeadJournal!K$1),0)-VLOOKUP($A6257,HeadJournal!$A$1:$K$890,COLUMN(HeadJournal!J$1),0))*($K6257+$L6257)/(SUMIF($A:$A,$A6257,$K:$K)+SUMIF($A:$A,$A6257,$L:$L)),0)</f>
        <v>0</v>
      </c>
      <c r="O6257" s="30">
        <f>IFERROR((VLOOKUP($A6257,HeadJournal!$A$1:$L$890,COLUMN(HeadJournal!L$1),0)*($K6257+$L6257)/(SUMIF($A:$A,$A6257,$K:$K)+SUMIF($A:$A,$A6257,$L:$L)))/VLOOKUP($A6257,HeadJournal!$A$1:$L$890,COLUMN(HeadJournal!H$1),0),0)</f>
        <v>0</v>
      </c>
      <c r="P6257" s="30">
        <f>IFERROR(SUM(K6257:O6257)*VLOOKUP($A6257,HeadJournal!$A$1:$L$890,COLUMN(HeadJournal!H$1),0),0)</f>
        <v>0</v>
      </c>
      <c r="Q6257" s="29"/>
      <c r="R6257" s="31"/>
      <c r="S6257" s="31"/>
      <c r="T6257" s="95" t="str">
        <f t="shared" si="420"/>
        <v/>
      </c>
      <c r="U6257" s="32">
        <f t="shared" si="354"/>
        <v>0</v>
      </c>
      <c r="V6257" s="22" t="str">
        <f t="shared" si="355"/>
        <v/>
      </c>
      <c r="X6257" s="33"/>
      <c r="Y6257" s="33"/>
    </row>
    <row r="6258" spans="1:25" x14ac:dyDescent="0.2">
      <c r="A6258" s="93"/>
      <c r="B6258" s="94" t="str">
        <f>IFERROR(VLOOKUP($A6258,HeadJournal!$A$1:$NTR$890,COLUMN(HeadJournal!B$1),0),"")</f>
        <v/>
      </c>
      <c r="C6258" s="94" t="str">
        <f>IFERROR(VLOOKUP($A6258,HeadJournal!$A$1:$NTR$890,COLUMN(HeadJournal!C$1),0),"")</f>
        <v/>
      </c>
      <c r="D6258" s="125" t="str">
        <f>IFERROR(VLOOKUP($A6258,HeadJournal!$A$1:$NTR$890,COLUMN(HeadJournal!D$1),0),"")</f>
        <v/>
      </c>
      <c r="E6258" s="95" t="str">
        <f>IFERROR(VLOOKUP($A6258,HeadJournal!$A$1:$NTR$890,COLUMN(HeadJournal!G$1),0),"")</f>
        <v/>
      </c>
      <c r="F6258" s="95" t="str">
        <f t="shared" si="419"/>
        <v/>
      </c>
      <c r="G6258" s="97"/>
      <c r="H6258" s="161"/>
      <c r="I6258" s="97"/>
      <c r="J6258" s="97"/>
      <c r="K6258" s="29"/>
      <c r="L6258" s="29"/>
      <c r="M6258" s="30">
        <f>IFERROR(VLOOKUP($A6258,HeadJournal!$A$1:$J$890,COLUMN(HeadJournal!I$1),0)*($K6258+$L6258)/(SUMIF($A:$A,$A6258,$K:$K)+SUMIF($A:$A,$A6258,$L:$L)),0)</f>
        <v>0</v>
      </c>
      <c r="N6258" s="30">
        <f>IFERROR((VLOOKUP($A6258,HeadJournal!$A$1:$K$890,COLUMN(HeadJournal!K$1),0)-VLOOKUP($A6258,HeadJournal!$A$1:$K$890,COLUMN(HeadJournal!J$1),0))*($K6258+$L6258)/(SUMIF($A:$A,$A6258,$K:$K)+SUMIF($A:$A,$A6258,$L:$L)),0)</f>
        <v>0</v>
      </c>
      <c r="O6258" s="30">
        <f>IFERROR((VLOOKUP($A6258,HeadJournal!$A$1:$L$890,COLUMN(HeadJournal!L$1),0)*($K6258+$L6258)/(SUMIF($A:$A,$A6258,$K:$K)+SUMIF($A:$A,$A6258,$L:$L)))/VLOOKUP($A6258,HeadJournal!$A$1:$L$890,COLUMN(HeadJournal!H$1),0),0)</f>
        <v>0</v>
      </c>
      <c r="P6258" s="30">
        <f>IFERROR(SUM(K6258:O6258)*VLOOKUP($A6258,HeadJournal!$A$1:$L$890,COLUMN(HeadJournal!H$1),0),0)</f>
        <v>0</v>
      </c>
      <c r="Q6258" s="29"/>
      <c r="R6258" s="31"/>
      <c r="S6258" s="31"/>
      <c r="T6258" s="95" t="str">
        <f t="shared" si="420"/>
        <v/>
      </c>
      <c r="U6258" s="32">
        <f t="shared" si="354"/>
        <v>0</v>
      </c>
      <c r="V6258" s="22" t="str">
        <f t="shared" si="355"/>
        <v/>
      </c>
      <c r="X6258" s="33"/>
      <c r="Y6258" s="33"/>
    </row>
    <row r="6259" spans="1:25" x14ac:dyDescent="0.2">
      <c r="A6259" s="93"/>
      <c r="B6259" s="94" t="str">
        <f>IFERROR(VLOOKUP($A6259,HeadJournal!$A$1:$NTR$890,COLUMN(HeadJournal!B$1),0),"")</f>
        <v/>
      </c>
      <c r="C6259" s="94" t="str">
        <f>IFERROR(VLOOKUP($A6259,HeadJournal!$A$1:$NTR$890,COLUMN(HeadJournal!C$1),0),"")</f>
        <v/>
      </c>
      <c r="D6259" s="125" t="str">
        <f>IFERROR(VLOOKUP($A6259,HeadJournal!$A$1:$NTR$890,COLUMN(HeadJournal!D$1),0),"")</f>
        <v/>
      </c>
      <c r="E6259" s="95" t="str">
        <f>IFERROR(VLOOKUP($A6259,HeadJournal!$A$1:$NTR$890,COLUMN(HeadJournal!G$1),0),"")</f>
        <v/>
      </c>
      <c r="F6259" s="95" t="str">
        <f t="shared" si="419"/>
        <v/>
      </c>
      <c r="G6259" s="97"/>
      <c r="H6259" s="161"/>
      <c r="I6259" s="97"/>
      <c r="J6259" s="97"/>
      <c r="K6259" s="29"/>
      <c r="L6259" s="29"/>
      <c r="M6259" s="30">
        <f>IFERROR(VLOOKUP($A6259,HeadJournal!$A$1:$J$890,COLUMN(HeadJournal!I$1),0)*($K6259+$L6259)/(SUMIF($A:$A,$A6259,$K:$K)+SUMIF($A:$A,$A6259,$L:$L)),0)</f>
        <v>0</v>
      </c>
      <c r="N6259" s="30">
        <f>IFERROR((VLOOKUP($A6259,HeadJournal!$A$1:$K$890,COLUMN(HeadJournal!K$1),0)-VLOOKUP($A6259,HeadJournal!$A$1:$K$890,COLUMN(HeadJournal!J$1),0))*($K6259+$L6259)/(SUMIF($A:$A,$A6259,$K:$K)+SUMIF($A:$A,$A6259,$L:$L)),0)</f>
        <v>0</v>
      </c>
      <c r="O6259" s="30">
        <f>IFERROR((VLOOKUP($A6259,HeadJournal!$A$1:$L$890,COLUMN(HeadJournal!L$1),0)*($K6259+$L6259)/(SUMIF($A:$A,$A6259,$K:$K)+SUMIF($A:$A,$A6259,$L:$L)))/VLOOKUP($A6259,HeadJournal!$A$1:$L$890,COLUMN(HeadJournal!H$1),0),0)</f>
        <v>0</v>
      </c>
      <c r="P6259" s="30">
        <f>IFERROR(SUM(K6259:O6259)*VLOOKUP($A6259,HeadJournal!$A$1:$L$890,COLUMN(HeadJournal!H$1),0),0)</f>
        <v>0</v>
      </c>
      <c r="Q6259" s="29"/>
      <c r="R6259" s="31"/>
      <c r="S6259" s="31"/>
      <c r="T6259" s="95" t="str">
        <f t="shared" si="420"/>
        <v/>
      </c>
      <c r="U6259" s="32">
        <f t="shared" si="354"/>
        <v>0</v>
      </c>
      <c r="V6259" s="22" t="str">
        <f t="shared" si="355"/>
        <v/>
      </c>
      <c r="X6259" s="33"/>
      <c r="Y6259" s="33"/>
    </row>
    <row r="6260" spans="1:25" x14ac:dyDescent="0.2">
      <c r="A6260" s="93"/>
      <c r="B6260" s="94" t="str">
        <f>IFERROR(VLOOKUP($A6260,HeadJournal!$A$1:$NTR$890,COLUMN(HeadJournal!B$1),0),"")</f>
        <v/>
      </c>
      <c r="C6260" s="94" t="str">
        <f>IFERROR(VLOOKUP($A6260,HeadJournal!$A$1:$NTR$890,COLUMN(HeadJournal!C$1),0),"")</f>
        <v/>
      </c>
      <c r="D6260" s="125" t="str">
        <f>IFERROR(VLOOKUP($A6260,HeadJournal!$A$1:$NTR$890,COLUMN(HeadJournal!D$1),0),"")</f>
        <v/>
      </c>
      <c r="E6260" s="95" t="str">
        <f>IFERROR(VLOOKUP($A6260,HeadJournal!$A$1:$NTR$890,COLUMN(HeadJournal!G$1),0),"")</f>
        <v/>
      </c>
      <c r="F6260" s="95" t="str">
        <f t="shared" ref="F6260:F6287" si="457">IFERROR(TEXT(E6260, "ГГГГ ММ"),"")</f>
        <v/>
      </c>
      <c r="G6260" s="97"/>
      <c r="H6260" s="161"/>
      <c r="I6260" s="97"/>
      <c r="J6260" s="97"/>
      <c r="K6260" s="29"/>
      <c r="L6260" s="29"/>
      <c r="M6260" s="30">
        <f>IFERROR(VLOOKUP($A6260,HeadJournal!$A$1:$J$890,COLUMN(HeadJournal!I$1),0)*($K6260+$L6260)/(SUMIF($A:$A,$A6260,$K:$K)+SUMIF($A:$A,$A6260,$L:$L)),0)</f>
        <v>0</v>
      </c>
      <c r="N6260" s="30">
        <f>IFERROR((VLOOKUP($A6260,HeadJournal!$A$1:$K$890,COLUMN(HeadJournal!K$1),0)-VLOOKUP($A6260,HeadJournal!$A$1:$K$890,COLUMN(HeadJournal!J$1),0))*($K6260+$L6260)/(SUMIF($A:$A,$A6260,$K:$K)+SUMIF($A:$A,$A6260,$L:$L)),0)</f>
        <v>0</v>
      </c>
      <c r="O6260" s="30">
        <f>IFERROR((VLOOKUP($A6260,HeadJournal!$A$1:$L$890,COLUMN(HeadJournal!L$1),0)*($K6260+$L6260)/(SUMIF($A:$A,$A6260,$K:$K)+SUMIF($A:$A,$A6260,$L:$L)))/VLOOKUP($A6260,HeadJournal!$A$1:$L$890,COLUMN(HeadJournal!H$1),0),0)</f>
        <v>0</v>
      </c>
      <c r="P6260" s="30">
        <f>IFERROR(SUM(K6260:O6260)*VLOOKUP($A6260,HeadJournal!$A$1:$L$890,COLUMN(HeadJournal!H$1),0),0)</f>
        <v>0</v>
      </c>
      <c r="Q6260" s="29"/>
      <c r="R6260" s="31"/>
      <c r="S6260" s="31"/>
      <c r="T6260" s="95" t="str">
        <f t="shared" ref="T6260:T6287" si="458">IF(R6260="","",TEXT(R6260,"ГГГГ ММ"))</f>
        <v/>
      </c>
      <c r="U6260" s="32">
        <f t="shared" ref="U6260:U6287" si="459">Q6260-P6260</f>
        <v>0</v>
      </c>
      <c r="V6260" s="22" t="str">
        <f t="shared" ref="V6260:V6287" si="460">IF(Q6260&lt;&gt;0,IFERROR(U6260/P6260,""),"")</f>
        <v/>
      </c>
      <c r="X6260" s="33"/>
      <c r="Y6260" s="33"/>
    </row>
    <row r="6261" spans="1:25" x14ac:dyDescent="0.2">
      <c r="A6261" s="93"/>
      <c r="B6261" s="94" t="str">
        <f>IFERROR(VLOOKUP($A6261,HeadJournal!$A$1:$NTR$890,COLUMN(HeadJournal!B$1),0),"")</f>
        <v/>
      </c>
      <c r="C6261" s="94" t="str">
        <f>IFERROR(VLOOKUP($A6261,HeadJournal!$A$1:$NTR$890,COLUMN(HeadJournal!C$1),0),"")</f>
        <v/>
      </c>
      <c r="D6261" s="125" t="str">
        <f>IFERROR(VLOOKUP($A6261,HeadJournal!$A$1:$NTR$890,COLUMN(HeadJournal!D$1),0),"")</f>
        <v/>
      </c>
      <c r="E6261" s="95" t="str">
        <f>IFERROR(VLOOKUP($A6261,HeadJournal!$A$1:$NTR$890,COLUMN(HeadJournal!G$1),0),"")</f>
        <v/>
      </c>
      <c r="F6261" s="95" t="str">
        <f t="shared" si="457"/>
        <v/>
      </c>
      <c r="G6261" s="97"/>
      <c r="H6261" s="161"/>
      <c r="I6261" s="97"/>
      <c r="J6261" s="97"/>
      <c r="K6261" s="29"/>
      <c r="L6261" s="29"/>
      <c r="M6261" s="30">
        <f>IFERROR(VLOOKUP($A6261,HeadJournal!$A$1:$J$890,COLUMN(HeadJournal!I$1),0)*($K6261+$L6261)/(SUMIF($A:$A,$A6261,$K:$K)+SUMIF($A:$A,$A6261,$L:$L)),0)</f>
        <v>0</v>
      </c>
      <c r="N6261" s="30">
        <f>IFERROR((VLOOKUP($A6261,HeadJournal!$A$1:$K$890,COLUMN(HeadJournal!K$1),0)-VLOOKUP($A6261,HeadJournal!$A$1:$K$890,COLUMN(HeadJournal!J$1),0))*($K6261+$L6261)/(SUMIF($A:$A,$A6261,$K:$K)+SUMIF($A:$A,$A6261,$L:$L)),0)</f>
        <v>0</v>
      </c>
      <c r="O6261" s="30">
        <f>IFERROR((VLOOKUP($A6261,HeadJournal!$A$1:$L$890,COLUMN(HeadJournal!L$1),0)*($K6261+$L6261)/(SUMIF($A:$A,$A6261,$K:$K)+SUMIF($A:$A,$A6261,$L:$L)))/VLOOKUP($A6261,HeadJournal!$A$1:$L$890,COLUMN(HeadJournal!H$1),0),0)</f>
        <v>0</v>
      </c>
      <c r="P6261" s="30">
        <f>IFERROR(SUM(K6261:O6261)*VLOOKUP($A6261,HeadJournal!$A$1:$L$890,COLUMN(HeadJournal!H$1),0),0)</f>
        <v>0</v>
      </c>
      <c r="Q6261" s="29"/>
      <c r="R6261" s="31"/>
      <c r="S6261" s="31"/>
      <c r="T6261" s="95" t="str">
        <f t="shared" si="458"/>
        <v/>
      </c>
      <c r="U6261" s="32">
        <f t="shared" si="459"/>
        <v>0</v>
      </c>
      <c r="V6261" s="22" t="str">
        <f t="shared" si="460"/>
        <v/>
      </c>
      <c r="X6261" s="33"/>
      <c r="Y6261" s="33"/>
    </row>
    <row r="6262" spans="1:25" x14ac:dyDescent="0.2">
      <c r="A6262" s="93"/>
      <c r="B6262" s="94" t="str">
        <f>IFERROR(VLOOKUP($A6262,HeadJournal!$A$1:$NTR$890,COLUMN(HeadJournal!B$1),0),"")</f>
        <v/>
      </c>
      <c r="C6262" s="94" t="str">
        <f>IFERROR(VLOOKUP($A6262,HeadJournal!$A$1:$NTR$890,COLUMN(HeadJournal!C$1),0),"")</f>
        <v/>
      </c>
      <c r="D6262" s="125" t="str">
        <f>IFERROR(VLOOKUP($A6262,HeadJournal!$A$1:$NTR$890,COLUMN(HeadJournal!D$1),0),"")</f>
        <v/>
      </c>
      <c r="E6262" s="95" t="str">
        <f>IFERROR(VLOOKUP($A6262,HeadJournal!$A$1:$NTR$890,COLUMN(HeadJournal!G$1),0),"")</f>
        <v/>
      </c>
      <c r="F6262" s="95" t="str">
        <f t="shared" si="457"/>
        <v/>
      </c>
      <c r="G6262" s="97"/>
      <c r="H6262" s="161"/>
      <c r="I6262" s="97"/>
      <c r="J6262" s="97"/>
      <c r="K6262" s="29"/>
      <c r="L6262" s="29"/>
      <c r="M6262" s="30">
        <f>IFERROR(VLOOKUP($A6262,HeadJournal!$A$1:$J$890,COLUMN(HeadJournal!I$1),0)*($K6262+$L6262)/(SUMIF($A:$A,$A6262,$K:$K)+SUMIF($A:$A,$A6262,$L:$L)),0)</f>
        <v>0</v>
      </c>
      <c r="N6262" s="30">
        <f>IFERROR((VLOOKUP($A6262,HeadJournal!$A$1:$K$890,COLUMN(HeadJournal!K$1),0)-VLOOKUP($A6262,HeadJournal!$A$1:$K$890,COLUMN(HeadJournal!J$1),0))*($K6262+$L6262)/(SUMIF($A:$A,$A6262,$K:$K)+SUMIF($A:$A,$A6262,$L:$L)),0)</f>
        <v>0</v>
      </c>
      <c r="O6262" s="30">
        <f>IFERROR((VLOOKUP($A6262,HeadJournal!$A$1:$L$890,COLUMN(HeadJournal!L$1),0)*($K6262+$L6262)/(SUMIF($A:$A,$A6262,$K:$K)+SUMIF($A:$A,$A6262,$L:$L)))/VLOOKUP($A6262,HeadJournal!$A$1:$L$890,COLUMN(HeadJournal!H$1),0),0)</f>
        <v>0</v>
      </c>
      <c r="P6262" s="30">
        <f>IFERROR(SUM(K6262:O6262)*VLOOKUP($A6262,HeadJournal!$A$1:$L$890,COLUMN(HeadJournal!H$1),0),0)</f>
        <v>0</v>
      </c>
      <c r="Q6262" s="29"/>
      <c r="R6262" s="31"/>
      <c r="S6262" s="31"/>
      <c r="T6262" s="95" t="str">
        <f t="shared" si="458"/>
        <v/>
      </c>
      <c r="U6262" s="32">
        <f t="shared" si="459"/>
        <v>0</v>
      </c>
      <c r="V6262" s="22" t="str">
        <f t="shared" si="460"/>
        <v/>
      </c>
      <c r="X6262" s="33"/>
      <c r="Y6262" s="33"/>
    </row>
    <row r="6263" spans="1:25" x14ac:dyDescent="0.2">
      <c r="A6263" s="93"/>
      <c r="B6263" s="94" t="str">
        <f>IFERROR(VLOOKUP($A6263,HeadJournal!$A$1:$NTR$890,COLUMN(HeadJournal!B$1),0),"")</f>
        <v/>
      </c>
      <c r="C6263" s="94" t="str">
        <f>IFERROR(VLOOKUP($A6263,HeadJournal!$A$1:$NTR$890,COLUMN(HeadJournal!C$1),0),"")</f>
        <v/>
      </c>
      <c r="D6263" s="125" t="str">
        <f>IFERROR(VLOOKUP($A6263,HeadJournal!$A$1:$NTR$890,COLUMN(HeadJournal!D$1),0),"")</f>
        <v/>
      </c>
      <c r="E6263" s="95" t="str">
        <f>IFERROR(VLOOKUP($A6263,HeadJournal!$A$1:$NTR$890,COLUMN(HeadJournal!G$1),0),"")</f>
        <v/>
      </c>
      <c r="F6263" s="95" t="str">
        <f t="shared" si="457"/>
        <v/>
      </c>
      <c r="G6263" s="97"/>
      <c r="H6263" s="161"/>
      <c r="I6263" s="97"/>
      <c r="J6263" s="97"/>
      <c r="K6263" s="29"/>
      <c r="L6263" s="29"/>
      <c r="M6263" s="30">
        <f>IFERROR(VLOOKUP($A6263,HeadJournal!$A$1:$J$890,COLUMN(HeadJournal!I$1),0)*($K6263+$L6263)/(SUMIF($A:$A,$A6263,$K:$K)+SUMIF($A:$A,$A6263,$L:$L)),0)</f>
        <v>0</v>
      </c>
      <c r="N6263" s="30">
        <f>IFERROR((VLOOKUP($A6263,HeadJournal!$A$1:$K$890,COLUMN(HeadJournal!K$1),0)-VLOOKUP($A6263,HeadJournal!$A$1:$K$890,COLUMN(HeadJournal!J$1),0))*($K6263+$L6263)/(SUMIF($A:$A,$A6263,$K:$K)+SUMIF($A:$A,$A6263,$L:$L)),0)</f>
        <v>0</v>
      </c>
      <c r="O6263" s="30">
        <f>IFERROR((VLOOKUP($A6263,HeadJournal!$A$1:$L$890,COLUMN(HeadJournal!L$1),0)*($K6263+$L6263)/(SUMIF($A:$A,$A6263,$K:$K)+SUMIF($A:$A,$A6263,$L:$L)))/VLOOKUP($A6263,HeadJournal!$A$1:$L$890,COLUMN(HeadJournal!H$1),0),0)</f>
        <v>0</v>
      </c>
      <c r="P6263" s="30">
        <f>IFERROR(SUM(K6263:O6263)*VLOOKUP($A6263,HeadJournal!$A$1:$L$890,COLUMN(HeadJournal!H$1),0),0)</f>
        <v>0</v>
      </c>
      <c r="Q6263" s="29"/>
      <c r="R6263" s="31"/>
      <c r="S6263" s="31"/>
      <c r="T6263" s="95" t="str">
        <f t="shared" si="458"/>
        <v/>
      </c>
      <c r="U6263" s="32">
        <f t="shared" si="459"/>
        <v>0</v>
      </c>
      <c r="V6263" s="22" t="str">
        <f t="shared" si="460"/>
        <v/>
      </c>
      <c r="X6263" s="33"/>
      <c r="Y6263" s="33"/>
    </row>
    <row r="6264" spans="1:25" x14ac:dyDescent="0.2">
      <c r="A6264" s="93"/>
      <c r="B6264" s="94" t="str">
        <f>IFERROR(VLOOKUP($A6264,HeadJournal!$A$1:$NTR$890,COLUMN(HeadJournal!B$1),0),"")</f>
        <v/>
      </c>
      <c r="C6264" s="94" t="str">
        <f>IFERROR(VLOOKUP($A6264,HeadJournal!$A$1:$NTR$890,COLUMN(HeadJournal!C$1),0),"")</f>
        <v/>
      </c>
      <c r="D6264" s="125" t="str">
        <f>IFERROR(VLOOKUP($A6264,HeadJournal!$A$1:$NTR$890,COLUMN(HeadJournal!D$1),0),"")</f>
        <v/>
      </c>
      <c r="E6264" s="95" t="str">
        <f>IFERROR(VLOOKUP($A6264,HeadJournal!$A$1:$NTR$890,COLUMN(HeadJournal!G$1),0),"")</f>
        <v/>
      </c>
      <c r="F6264" s="95" t="str">
        <f t="shared" si="457"/>
        <v/>
      </c>
      <c r="G6264" s="97"/>
      <c r="H6264" s="161"/>
      <c r="I6264" s="97"/>
      <c r="J6264" s="97"/>
      <c r="K6264" s="29"/>
      <c r="L6264" s="29"/>
      <c r="M6264" s="30">
        <f>IFERROR(VLOOKUP($A6264,HeadJournal!$A$1:$J$890,COLUMN(HeadJournal!I$1),0)*($K6264+$L6264)/(SUMIF($A:$A,$A6264,$K:$K)+SUMIF($A:$A,$A6264,$L:$L)),0)</f>
        <v>0</v>
      </c>
      <c r="N6264" s="30">
        <f>IFERROR((VLOOKUP($A6264,HeadJournal!$A$1:$K$890,COLUMN(HeadJournal!K$1),0)-VLOOKUP($A6264,HeadJournal!$A$1:$K$890,COLUMN(HeadJournal!J$1),0))*($K6264+$L6264)/(SUMIF($A:$A,$A6264,$K:$K)+SUMIF($A:$A,$A6264,$L:$L)),0)</f>
        <v>0</v>
      </c>
      <c r="O6264" s="30">
        <f>IFERROR((VLOOKUP($A6264,HeadJournal!$A$1:$L$890,COLUMN(HeadJournal!L$1),0)*($K6264+$L6264)/(SUMIF($A:$A,$A6264,$K:$K)+SUMIF($A:$A,$A6264,$L:$L)))/VLOOKUP($A6264,HeadJournal!$A$1:$L$890,COLUMN(HeadJournal!H$1),0),0)</f>
        <v>0</v>
      </c>
      <c r="P6264" s="30">
        <f>IFERROR(SUM(K6264:O6264)*VLOOKUP($A6264,HeadJournal!$A$1:$L$890,COLUMN(HeadJournal!H$1),0),0)</f>
        <v>0</v>
      </c>
      <c r="Q6264" s="29"/>
      <c r="R6264" s="31"/>
      <c r="S6264" s="31"/>
      <c r="T6264" s="95" t="str">
        <f t="shared" si="458"/>
        <v/>
      </c>
      <c r="U6264" s="32">
        <f t="shared" si="459"/>
        <v>0</v>
      </c>
      <c r="V6264" s="22" t="str">
        <f t="shared" si="460"/>
        <v/>
      </c>
      <c r="X6264" s="33"/>
      <c r="Y6264" s="33"/>
    </row>
    <row r="6265" spans="1:25" x14ac:dyDescent="0.2">
      <c r="A6265" s="93"/>
      <c r="B6265" s="94" t="str">
        <f>IFERROR(VLOOKUP($A6265,HeadJournal!$A$1:$NTR$890,COLUMN(HeadJournal!B$1),0),"")</f>
        <v/>
      </c>
      <c r="C6265" s="94" t="str">
        <f>IFERROR(VLOOKUP($A6265,HeadJournal!$A$1:$NTR$890,COLUMN(HeadJournal!C$1),0),"")</f>
        <v/>
      </c>
      <c r="D6265" s="125" t="str">
        <f>IFERROR(VLOOKUP($A6265,HeadJournal!$A$1:$NTR$890,COLUMN(HeadJournal!D$1),0),"")</f>
        <v/>
      </c>
      <c r="E6265" s="95" t="str">
        <f>IFERROR(VLOOKUP($A6265,HeadJournal!$A$1:$NTR$890,COLUMN(HeadJournal!G$1),0),"")</f>
        <v/>
      </c>
      <c r="F6265" s="95" t="str">
        <f t="shared" si="457"/>
        <v/>
      </c>
      <c r="G6265" s="97"/>
      <c r="H6265" s="161"/>
      <c r="I6265" s="97"/>
      <c r="J6265" s="97"/>
      <c r="K6265" s="29"/>
      <c r="L6265" s="29"/>
      <c r="M6265" s="30">
        <f>IFERROR(VLOOKUP($A6265,HeadJournal!$A$1:$J$890,COLUMN(HeadJournal!I$1),0)*($K6265+$L6265)/(SUMIF($A:$A,$A6265,$K:$K)+SUMIF($A:$A,$A6265,$L:$L)),0)</f>
        <v>0</v>
      </c>
      <c r="N6265" s="30">
        <f>IFERROR((VLOOKUP($A6265,HeadJournal!$A$1:$K$890,COLUMN(HeadJournal!K$1),0)-VLOOKUP($A6265,HeadJournal!$A$1:$K$890,COLUMN(HeadJournal!J$1),0))*($K6265+$L6265)/(SUMIF($A:$A,$A6265,$K:$K)+SUMIF($A:$A,$A6265,$L:$L)),0)</f>
        <v>0</v>
      </c>
      <c r="O6265" s="30">
        <f>IFERROR((VLOOKUP($A6265,HeadJournal!$A$1:$L$890,COLUMN(HeadJournal!L$1),0)*($K6265+$L6265)/(SUMIF($A:$A,$A6265,$K:$K)+SUMIF($A:$A,$A6265,$L:$L)))/VLOOKUP($A6265,HeadJournal!$A$1:$L$890,COLUMN(HeadJournal!H$1),0),0)</f>
        <v>0</v>
      </c>
      <c r="P6265" s="30">
        <f>IFERROR(SUM(K6265:O6265)*VLOOKUP($A6265,HeadJournal!$A$1:$L$890,COLUMN(HeadJournal!H$1),0),0)</f>
        <v>0</v>
      </c>
      <c r="Q6265" s="29"/>
      <c r="R6265" s="31"/>
      <c r="S6265" s="31"/>
      <c r="T6265" s="95" t="str">
        <f t="shared" si="458"/>
        <v/>
      </c>
      <c r="U6265" s="32">
        <f t="shared" si="459"/>
        <v>0</v>
      </c>
      <c r="V6265" s="22" t="str">
        <f t="shared" si="460"/>
        <v/>
      </c>
      <c r="X6265" s="33"/>
      <c r="Y6265" s="33"/>
    </row>
    <row r="6266" spans="1:25" x14ac:dyDescent="0.2">
      <c r="A6266" s="93"/>
      <c r="B6266" s="94" t="str">
        <f>IFERROR(VLOOKUP($A6266,HeadJournal!$A$1:$NTR$890,COLUMN(HeadJournal!B$1),0),"")</f>
        <v/>
      </c>
      <c r="C6266" s="94" t="str">
        <f>IFERROR(VLOOKUP($A6266,HeadJournal!$A$1:$NTR$890,COLUMN(HeadJournal!C$1),0),"")</f>
        <v/>
      </c>
      <c r="D6266" s="125" t="str">
        <f>IFERROR(VLOOKUP($A6266,HeadJournal!$A$1:$NTR$890,COLUMN(HeadJournal!D$1),0),"")</f>
        <v/>
      </c>
      <c r="E6266" s="95" t="str">
        <f>IFERROR(VLOOKUP($A6266,HeadJournal!$A$1:$NTR$890,COLUMN(HeadJournal!G$1),0),"")</f>
        <v/>
      </c>
      <c r="F6266" s="95" t="str">
        <f t="shared" si="457"/>
        <v/>
      </c>
      <c r="G6266" s="97"/>
      <c r="H6266" s="161"/>
      <c r="I6266" s="97"/>
      <c r="J6266" s="97"/>
      <c r="K6266" s="29"/>
      <c r="L6266" s="29"/>
      <c r="M6266" s="30">
        <f>IFERROR(VLOOKUP($A6266,HeadJournal!$A$1:$J$890,COLUMN(HeadJournal!I$1),0)*($K6266+$L6266)/(SUMIF($A:$A,$A6266,$K:$K)+SUMIF($A:$A,$A6266,$L:$L)),0)</f>
        <v>0</v>
      </c>
      <c r="N6266" s="30">
        <f>IFERROR((VLOOKUP($A6266,HeadJournal!$A$1:$K$890,COLUMN(HeadJournal!K$1),0)-VLOOKUP($A6266,HeadJournal!$A$1:$K$890,COLUMN(HeadJournal!J$1),0))*($K6266+$L6266)/(SUMIF($A:$A,$A6266,$K:$K)+SUMIF($A:$A,$A6266,$L:$L)),0)</f>
        <v>0</v>
      </c>
      <c r="O6266" s="30">
        <f>IFERROR((VLOOKUP($A6266,HeadJournal!$A$1:$L$890,COLUMN(HeadJournal!L$1),0)*($K6266+$L6266)/(SUMIF($A:$A,$A6266,$K:$K)+SUMIF($A:$A,$A6266,$L:$L)))/VLOOKUP($A6266,HeadJournal!$A$1:$L$890,COLUMN(HeadJournal!H$1),0),0)</f>
        <v>0</v>
      </c>
      <c r="P6266" s="30">
        <f>IFERROR(SUM(K6266:O6266)*VLOOKUP($A6266,HeadJournal!$A$1:$L$890,COLUMN(HeadJournal!H$1),0),0)</f>
        <v>0</v>
      </c>
      <c r="Q6266" s="29"/>
      <c r="R6266" s="31"/>
      <c r="S6266" s="31"/>
      <c r="T6266" s="95" t="str">
        <f t="shared" si="458"/>
        <v/>
      </c>
      <c r="U6266" s="32">
        <f t="shared" si="459"/>
        <v>0</v>
      </c>
      <c r="V6266" s="22" t="str">
        <f t="shared" si="460"/>
        <v/>
      </c>
      <c r="X6266" s="33"/>
      <c r="Y6266" s="33"/>
    </row>
    <row r="6267" spans="1:25" x14ac:dyDescent="0.2">
      <c r="A6267" s="93"/>
      <c r="B6267" s="94" t="str">
        <f>IFERROR(VLOOKUP($A6267,HeadJournal!$A$1:$NTR$890,COLUMN(HeadJournal!B$1),0),"")</f>
        <v/>
      </c>
      <c r="C6267" s="94" t="str">
        <f>IFERROR(VLOOKUP($A6267,HeadJournal!$A$1:$NTR$890,COLUMN(HeadJournal!C$1),0),"")</f>
        <v/>
      </c>
      <c r="D6267" s="125" t="str">
        <f>IFERROR(VLOOKUP($A6267,HeadJournal!$A$1:$NTR$890,COLUMN(HeadJournal!D$1),0),"")</f>
        <v/>
      </c>
      <c r="E6267" s="95" t="str">
        <f>IFERROR(VLOOKUP($A6267,HeadJournal!$A$1:$NTR$890,COLUMN(HeadJournal!G$1),0),"")</f>
        <v/>
      </c>
      <c r="F6267" s="95" t="str">
        <f t="shared" si="457"/>
        <v/>
      </c>
      <c r="G6267" s="97"/>
      <c r="H6267" s="161"/>
      <c r="I6267" s="97"/>
      <c r="J6267" s="97"/>
      <c r="K6267" s="29"/>
      <c r="L6267" s="29"/>
      <c r="M6267" s="30">
        <f>IFERROR(VLOOKUP($A6267,HeadJournal!$A$1:$J$890,COLUMN(HeadJournal!I$1),0)*($K6267+$L6267)/(SUMIF($A:$A,$A6267,$K:$K)+SUMIF($A:$A,$A6267,$L:$L)),0)</f>
        <v>0</v>
      </c>
      <c r="N6267" s="30">
        <f>IFERROR((VLOOKUP($A6267,HeadJournal!$A$1:$K$890,COLUMN(HeadJournal!K$1),0)-VLOOKUP($A6267,HeadJournal!$A$1:$K$890,COLUMN(HeadJournal!J$1),0))*($K6267+$L6267)/(SUMIF($A:$A,$A6267,$K:$K)+SUMIF($A:$A,$A6267,$L:$L)),0)</f>
        <v>0</v>
      </c>
      <c r="O6267" s="30">
        <f>IFERROR((VLOOKUP($A6267,HeadJournal!$A$1:$L$890,COLUMN(HeadJournal!L$1),0)*($K6267+$L6267)/(SUMIF($A:$A,$A6267,$K:$K)+SUMIF($A:$A,$A6267,$L:$L)))/VLOOKUP($A6267,HeadJournal!$A$1:$L$890,COLUMN(HeadJournal!H$1),0),0)</f>
        <v>0</v>
      </c>
      <c r="P6267" s="30">
        <f>IFERROR(SUM(K6267:O6267)*VLOOKUP($A6267,HeadJournal!$A$1:$L$890,COLUMN(HeadJournal!H$1),0),0)</f>
        <v>0</v>
      </c>
      <c r="Q6267" s="29"/>
      <c r="R6267" s="31"/>
      <c r="S6267" s="31"/>
      <c r="T6267" s="95" t="str">
        <f t="shared" si="458"/>
        <v/>
      </c>
      <c r="U6267" s="32">
        <f t="shared" si="459"/>
        <v>0</v>
      </c>
      <c r="V6267" s="22" t="str">
        <f t="shared" si="460"/>
        <v/>
      </c>
      <c r="X6267" s="33"/>
      <c r="Y6267" s="33"/>
    </row>
    <row r="6268" spans="1:25" x14ac:dyDescent="0.2">
      <c r="A6268" s="93"/>
      <c r="B6268" s="94" t="str">
        <f>IFERROR(VLOOKUP($A6268,HeadJournal!$A$1:$NTR$890,COLUMN(HeadJournal!B$1),0),"")</f>
        <v/>
      </c>
      <c r="C6268" s="94" t="str">
        <f>IFERROR(VLOOKUP($A6268,HeadJournal!$A$1:$NTR$890,COLUMN(HeadJournal!C$1),0),"")</f>
        <v/>
      </c>
      <c r="D6268" s="125" t="str">
        <f>IFERROR(VLOOKUP($A6268,HeadJournal!$A$1:$NTR$890,COLUMN(HeadJournal!D$1),0),"")</f>
        <v/>
      </c>
      <c r="E6268" s="95" t="str">
        <f>IFERROR(VLOOKUP($A6268,HeadJournal!$A$1:$NTR$890,COLUMN(HeadJournal!G$1),0),"")</f>
        <v/>
      </c>
      <c r="F6268" s="95" t="str">
        <f t="shared" si="457"/>
        <v/>
      </c>
      <c r="G6268" s="97"/>
      <c r="H6268" s="161"/>
      <c r="I6268" s="97"/>
      <c r="J6268" s="97"/>
      <c r="K6268" s="29"/>
      <c r="L6268" s="29"/>
      <c r="M6268" s="30">
        <f>IFERROR(VLOOKUP($A6268,HeadJournal!$A$1:$J$890,COLUMN(HeadJournal!I$1),0)*($K6268+$L6268)/(SUMIF($A:$A,$A6268,$K:$K)+SUMIF($A:$A,$A6268,$L:$L)),0)</f>
        <v>0</v>
      </c>
      <c r="N6268" s="30">
        <f>IFERROR((VLOOKUP($A6268,HeadJournal!$A$1:$K$890,COLUMN(HeadJournal!K$1),0)-VLOOKUP($A6268,HeadJournal!$A$1:$K$890,COLUMN(HeadJournal!J$1),0))*($K6268+$L6268)/(SUMIF($A:$A,$A6268,$K:$K)+SUMIF($A:$A,$A6268,$L:$L)),0)</f>
        <v>0</v>
      </c>
      <c r="O6268" s="30">
        <f>IFERROR((VLOOKUP($A6268,HeadJournal!$A$1:$L$890,COLUMN(HeadJournal!L$1),0)*($K6268+$L6268)/(SUMIF($A:$A,$A6268,$K:$K)+SUMIF($A:$A,$A6268,$L:$L)))/VLOOKUP($A6268,HeadJournal!$A$1:$L$890,COLUMN(HeadJournal!H$1),0),0)</f>
        <v>0</v>
      </c>
      <c r="P6268" s="30">
        <f>IFERROR(SUM(K6268:O6268)*VLOOKUP($A6268,HeadJournal!$A$1:$L$890,COLUMN(HeadJournal!H$1),0),0)</f>
        <v>0</v>
      </c>
      <c r="Q6268" s="29"/>
      <c r="R6268" s="31"/>
      <c r="S6268" s="31"/>
      <c r="T6268" s="95" t="str">
        <f t="shared" si="458"/>
        <v/>
      </c>
      <c r="U6268" s="32">
        <f t="shared" si="459"/>
        <v>0</v>
      </c>
      <c r="V6268" s="22" t="str">
        <f t="shared" si="460"/>
        <v/>
      </c>
      <c r="X6268" s="33"/>
      <c r="Y6268" s="33"/>
    </row>
    <row r="6269" spans="1:25" x14ac:dyDescent="0.2">
      <c r="A6269" s="93"/>
      <c r="B6269" s="94" t="str">
        <f>IFERROR(VLOOKUP($A6269,HeadJournal!$A$1:$NTR$890,COLUMN(HeadJournal!B$1),0),"")</f>
        <v/>
      </c>
      <c r="C6269" s="94" t="str">
        <f>IFERROR(VLOOKUP($A6269,HeadJournal!$A$1:$NTR$890,COLUMN(HeadJournal!C$1),0),"")</f>
        <v/>
      </c>
      <c r="D6269" s="125" t="str">
        <f>IFERROR(VLOOKUP($A6269,HeadJournal!$A$1:$NTR$890,COLUMN(HeadJournal!D$1),0),"")</f>
        <v/>
      </c>
      <c r="E6269" s="95" t="str">
        <f>IFERROR(VLOOKUP($A6269,HeadJournal!$A$1:$NTR$890,COLUMN(HeadJournal!G$1),0),"")</f>
        <v/>
      </c>
      <c r="F6269" s="95" t="str">
        <f t="shared" si="457"/>
        <v/>
      </c>
      <c r="G6269" s="97"/>
      <c r="H6269" s="161"/>
      <c r="I6269" s="97"/>
      <c r="J6269" s="97"/>
      <c r="K6269" s="29"/>
      <c r="L6269" s="29"/>
      <c r="M6269" s="30">
        <f>IFERROR(VLOOKUP($A6269,HeadJournal!$A$1:$J$890,COLUMN(HeadJournal!I$1),0)*($K6269+$L6269)/(SUMIF($A:$A,$A6269,$K:$K)+SUMIF($A:$A,$A6269,$L:$L)),0)</f>
        <v>0</v>
      </c>
      <c r="N6269" s="30">
        <f>IFERROR((VLOOKUP($A6269,HeadJournal!$A$1:$K$890,COLUMN(HeadJournal!K$1),0)-VLOOKUP($A6269,HeadJournal!$A$1:$K$890,COLUMN(HeadJournal!J$1),0))*($K6269+$L6269)/(SUMIF($A:$A,$A6269,$K:$K)+SUMIF($A:$A,$A6269,$L:$L)),0)</f>
        <v>0</v>
      </c>
      <c r="O6269" s="30">
        <f>IFERROR((VLOOKUP($A6269,HeadJournal!$A$1:$L$890,COLUMN(HeadJournal!L$1),0)*($K6269+$L6269)/(SUMIF($A:$A,$A6269,$K:$K)+SUMIF($A:$A,$A6269,$L:$L)))/VLOOKUP($A6269,HeadJournal!$A$1:$L$890,COLUMN(HeadJournal!H$1),0),0)</f>
        <v>0</v>
      </c>
      <c r="P6269" s="30">
        <f>IFERROR(SUM(K6269:O6269)*VLOOKUP($A6269,HeadJournal!$A$1:$L$890,COLUMN(HeadJournal!H$1),0),0)</f>
        <v>0</v>
      </c>
      <c r="Q6269" s="29"/>
      <c r="R6269" s="31"/>
      <c r="S6269" s="31"/>
      <c r="T6269" s="95" t="str">
        <f t="shared" si="458"/>
        <v/>
      </c>
      <c r="U6269" s="32">
        <f t="shared" si="459"/>
        <v>0</v>
      </c>
      <c r="V6269" s="22" t="str">
        <f t="shared" si="460"/>
        <v/>
      </c>
      <c r="X6269" s="33"/>
      <c r="Y6269" s="33"/>
    </row>
    <row r="6270" spans="1:25" x14ac:dyDescent="0.2">
      <c r="A6270" s="93"/>
      <c r="B6270" s="94" t="str">
        <f>IFERROR(VLOOKUP($A6270,HeadJournal!$A$1:$NTR$890,COLUMN(HeadJournal!B$1),0),"")</f>
        <v/>
      </c>
      <c r="C6270" s="94" t="str">
        <f>IFERROR(VLOOKUP($A6270,HeadJournal!$A$1:$NTR$890,COLUMN(HeadJournal!C$1),0),"")</f>
        <v/>
      </c>
      <c r="D6270" s="125" t="str">
        <f>IFERROR(VLOOKUP($A6270,HeadJournal!$A$1:$NTR$890,COLUMN(HeadJournal!D$1),0),"")</f>
        <v/>
      </c>
      <c r="E6270" s="95" t="str">
        <f>IFERROR(VLOOKUP($A6270,HeadJournal!$A$1:$NTR$890,COLUMN(HeadJournal!G$1),0),"")</f>
        <v/>
      </c>
      <c r="F6270" s="95" t="str">
        <f t="shared" si="457"/>
        <v/>
      </c>
      <c r="G6270" s="97"/>
      <c r="H6270" s="161"/>
      <c r="I6270" s="97"/>
      <c r="J6270" s="97"/>
      <c r="K6270" s="29"/>
      <c r="L6270" s="29"/>
      <c r="M6270" s="30">
        <f>IFERROR(VLOOKUP($A6270,HeadJournal!$A$1:$J$890,COLUMN(HeadJournal!I$1),0)*($K6270+$L6270)/(SUMIF($A:$A,$A6270,$K:$K)+SUMIF($A:$A,$A6270,$L:$L)),0)</f>
        <v>0</v>
      </c>
      <c r="N6270" s="30">
        <f>IFERROR((VLOOKUP($A6270,HeadJournal!$A$1:$K$890,COLUMN(HeadJournal!K$1),0)-VLOOKUP($A6270,HeadJournal!$A$1:$K$890,COLUMN(HeadJournal!J$1),0))*($K6270+$L6270)/(SUMIF($A:$A,$A6270,$K:$K)+SUMIF($A:$A,$A6270,$L:$L)),0)</f>
        <v>0</v>
      </c>
      <c r="O6270" s="30">
        <f>IFERROR((VLOOKUP($A6270,HeadJournal!$A$1:$L$890,COLUMN(HeadJournal!L$1),0)*($K6270+$L6270)/(SUMIF($A:$A,$A6270,$K:$K)+SUMIF($A:$A,$A6270,$L:$L)))/VLOOKUP($A6270,HeadJournal!$A$1:$L$890,COLUMN(HeadJournal!H$1),0),0)</f>
        <v>0</v>
      </c>
      <c r="P6270" s="30">
        <f>IFERROR(SUM(K6270:O6270)*VLOOKUP($A6270,HeadJournal!$A$1:$L$890,COLUMN(HeadJournal!H$1),0),0)</f>
        <v>0</v>
      </c>
      <c r="Q6270" s="29"/>
      <c r="R6270" s="31"/>
      <c r="S6270" s="31"/>
      <c r="T6270" s="95" t="str">
        <f t="shared" si="458"/>
        <v/>
      </c>
      <c r="U6270" s="32">
        <f t="shared" si="459"/>
        <v>0</v>
      </c>
      <c r="V6270" s="22" t="str">
        <f t="shared" si="460"/>
        <v/>
      </c>
      <c r="X6270" s="33"/>
      <c r="Y6270" s="33"/>
    </row>
    <row r="6271" spans="1:25" x14ac:dyDescent="0.2">
      <c r="A6271" s="93"/>
      <c r="B6271" s="94" t="str">
        <f>IFERROR(VLOOKUP($A6271,HeadJournal!$A$1:$NTR$890,COLUMN(HeadJournal!B$1),0),"")</f>
        <v/>
      </c>
      <c r="C6271" s="94" t="str">
        <f>IFERROR(VLOOKUP($A6271,HeadJournal!$A$1:$NTR$890,COLUMN(HeadJournal!C$1),0),"")</f>
        <v/>
      </c>
      <c r="D6271" s="125" t="str">
        <f>IFERROR(VLOOKUP($A6271,HeadJournal!$A$1:$NTR$890,COLUMN(HeadJournal!D$1),0),"")</f>
        <v/>
      </c>
      <c r="E6271" s="95" t="str">
        <f>IFERROR(VLOOKUP($A6271,HeadJournal!$A$1:$NTR$890,COLUMN(HeadJournal!G$1),0),"")</f>
        <v/>
      </c>
      <c r="F6271" s="95" t="str">
        <f t="shared" si="457"/>
        <v/>
      </c>
      <c r="G6271" s="97"/>
      <c r="H6271" s="161"/>
      <c r="I6271" s="97"/>
      <c r="J6271" s="97"/>
      <c r="K6271" s="29"/>
      <c r="L6271" s="29"/>
      <c r="M6271" s="30">
        <f>IFERROR(VLOOKUP($A6271,HeadJournal!$A$1:$J$890,COLUMN(HeadJournal!I$1),0)*($K6271+$L6271)/(SUMIF($A:$A,$A6271,$K:$K)+SUMIF($A:$A,$A6271,$L:$L)),0)</f>
        <v>0</v>
      </c>
      <c r="N6271" s="30">
        <f>IFERROR((VLOOKUP($A6271,HeadJournal!$A$1:$K$890,COLUMN(HeadJournal!K$1),0)-VLOOKUP($A6271,HeadJournal!$A$1:$K$890,COLUMN(HeadJournal!J$1),0))*($K6271+$L6271)/(SUMIF($A:$A,$A6271,$K:$K)+SUMIF($A:$A,$A6271,$L:$L)),0)</f>
        <v>0</v>
      </c>
      <c r="O6271" s="30">
        <f>IFERROR((VLOOKUP($A6271,HeadJournal!$A$1:$L$890,COLUMN(HeadJournal!L$1),0)*($K6271+$L6271)/(SUMIF($A:$A,$A6271,$K:$K)+SUMIF($A:$A,$A6271,$L:$L)))/VLOOKUP($A6271,HeadJournal!$A$1:$L$890,COLUMN(HeadJournal!H$1),0),0)</f>
        <v>0</v>
      </c>
      <c r="P6271" s="30">
        <f>IFERROR(SUM(K6271:O6271)*VLOOKUP($A6271,HeadJournal!$A$1:$L$890,COLUMN(HeadJournal!H$1),0),0)</f>
        <v>0</v>
      </c>
      <c r="Q6271" s="29"/>
      <c r="R6271" s="31"/>
      <c r="S6271" s="31"/>
      <c r="T6271" s="95" t="str">
        <f t="shared" si="458"/>
        <v/>
      </c>
      <c r="U6271" s="32">
        <f t="shared" si="459"/>
        <v>0</v>
      </c>
      <c r="V6271" s="22" t="str">
        <f t="shared" si="460"/>
        <v/>
      </c>
      <c r="X6271" s="33"/>
      <c r="Y6271" s="33"/>
    </row>
    <row r="6272" spans="1:25" x14ac:dyDescent="0.2">
      <c r="A6272" s="93"/>
      <c r="B6272" s="94" t="str">
        <f>IFERROR(VLOOKUP($A6272,HeadJournal!$A$1:$NTR$890,COLUMN(HeadJournal!B$1),0),"")</f>
        <v/>
      </c>
      <c r="C6272" s="94" t="str">
        <f>IFERROR(VLOOKUP($A6272,HeadJournal!$A$1:$NTR$890,COLUMN(HeadJournal!C$1),0),"")</f>
        <v/>
      </c>
      <c r="D6272" s="125" t="str">
        <f>IFERROR(VLOOKUP($A6272,HeadJournal!$A$1:$NTR$890,COLUMN(HeadJournal!D$1),0),"")</f>
        <v/>
      </c>
      <c r="E6272" s="95" t="str">
        <f>IFERROR(VLOOKUP($A6272,HeadJournal!$A$1:$NTR$890,COLUMN(HeadJournal!G$1),0),"")</f>
        <v/>
      </c>
      <c r="F6272" s="95" t="str">
        <f t="shared" si="457"/>
        <v/>
      </c>
      <c r="G6272" s="97"/>
      <c r="H6272" s="161"/>
      <c r="I6272" s="97"/>
      <c r="J6272" s="97"/>
      <c r="K6272" s="29"/>
      <c r="L6272" s="29"/>
      <c r="M6272" s="30">
        <f>IFERROR(VLOOKUP($A6272,HeadJournal!$A$1:$J$890,COLUMN(HeadJournal!I$1),0)*($K6272+$L6272)/(SUMIF($A:$A,$A6272,$K:$K)+SUMIF($A:$A,$A6272,$L:$L)),0)</f>
        <v>0</v>
      </c>
      <c r="N6272" s="30">
        <f>IFERROR((VLOOKUP($A6272,HeadJournal!$A$1:$K$890,COLUMN(HeadJournal!K$1),0)-VLOOKUP($A6272,HeadJournal!$A$1:$K$890,COLUMN(HeadJournal!J$1),0))*($K6272+$L6272)/(SUMIF($A:$A,$A6272,$K:$K)+SUMIF($A:$A,$A6272,$L:$L)),0)</f>
        <v>0</v>
      </c>
      <c r="O6272" s="30">
        <f>IFERROR((VLOOKUP($A6272,HeadJournal!$A$1:$L$890,COLUMN(HeadJournal!L$1),0)*($K6272+$L6272)/(SUMIF($A:$A,$A6272,$K:$K)+SUMIF($A:$A,$A6272,$L:$L)))/VLOOKUP($A6272,HeadJournal!$A$1:$L$890,COLUMN(HeadJournal!H$1),0),0)</f>
        <v>0</v>
      </c>
      <c r="P6272" s="30">
        <f>IFERROR(SUM(K6272:O6272)*VLOOKUP($A6272,HeadJournal!$A$1:$L$890,COLUMN(HeadJournal!H$1),0),0)</f>
        <v>0</v>
      </c>
      <c r="Q6272" s="29"/>
      <c r="R6272" s="31"/>
      <c r="S6272" s="31"/>
      <c r="T6272" s="95" t="str">
        <f t="shared" si="458"/>
        <v/>
      </c>
      <c r="U6272" s="32">
        <f t="shared" si="459"/>
        <v>0</v>
      </c>
      <c r="V6272" s="22" t="str">
        <f t="shared" si="460"/>
        <v/>
      </c>
      <c r="X6272" s="33"/>
      <c r="Y6272" s="33"/>
    </row>
    <row r="6273" spans="1:25" x14ac:dyDescent="0.2">
      <c r="A6273" s="93"/>
      <c r="B6273" s="94" t="str">
        <f>IFERROR(VLOOKUP($A6273,HeadJournal!$A$1:$NTR$890,COLUMN(HeadJournal!B$1),0),"")</f>
        <v/>
      </c>
      <c r="C6273" s="94" t="str">
        <f>IFERROR(VLOOKUP($A6273,HeadJournal!$A$1:$NTR$890,COLUMN(HeadJournal!C$1),0),"")</f>
        <v/>
      </c>
      <c r="D6273" s="125" t="str">
        <f>IFERROR(VLOOKUP($A6273,HeadJournal!$A$1:$NTR$890,COLUMN(HeadJournal!D$1),0),"")</f>
        <v/>
      </c>
      <c r="E6273" s="95" t="str">
        <f>IFERROR(VLOOKUP($A6273,HeadJournal!$A$1:$NTR$890,COLUMN(HeadJournal!G$1),0),"")</f>
        <v/>
      </c>
      <c r="F6273" s="95" t="str">
        <f t="shared" si="457"/>
        <v/>
      </c>
      <c r="G6273" s="97"/>
      <c r="H6273" s="161"/>
      <c r="I6273" s="97"/>
      <c r="J6273" s="97"/>
      <c r="K6273" s="29"/>
      <c r="L6273" s="29"/>
      <c r="M6273" s="30">
        <f>IFERROR(VLOOKUP($A6273,HeadJournal!$A$1:$J$890,COLUMN(HeadJournal!I$1),0)*($K6273+$L6273)/(SUMIF($A:$A,$A6273,$K:$K)+SUMIF($A:$A,$A6273,$L:$L)),0)</f>
        <v>0</v>
      </c>
      <c r="N6273" s="30">
        <f>IFERROR((VLOOKUP($A6273,HeadJournal!$A$1:$K$890,COLUMN(HeadJournal!K$1),0)-VLOOKUP($A6273,HeadJournal!$A$1:$K$890,COLUMN(HeadJournal!J$1),0))*($K6273+$L6273)/(SUMIF($A:$A,$A6273,$K:$K)+SUMIF($A:$A,$A6273,$L:$L)),0)</f>
        <v>0</v>
      </c>
      <c r="O6273" s="30">
        <f>IFERROR((VLOOKUP($A6273,HeadJournal!$A$1:$L$890,COLUMN(HeadJournal!L$1),0)*($K6273+$L6273)/(SUMIF($A:$A,$A6273,$K:$K)+SUMIF($A:$A,$A6273,$L:$L)))/VLOOKUP($A6273,HeadJournal!$A$1:$L$890,COLUMN(HeadJournal!H$1),0),0)</f>
        <v>0</v>
      </c>
      <c r="P6273" s="30">
        <f>IFERROR(SUM(K6273:O6273)*VLOOKUP($A6273,HeadJournal!$A$1:$L$890,COLUMN(HeadJournal!H$1),0),0)</f>
        <v>0</v>
      </c>
      <c r="Q6273" s="29"/>
      <c r="R6273" s="31"/>
      <c r="S6273" s="31"/>
      <c r="T6273" s="95" t="str">
        <f t="shared" si="458"/>
        <v/>
      </c>
      <c r="U6273" s="32">
        <f t="shared" si="459"/>
        <v>0</v>
      </c>
      <c r="V6273" s="22" t="str">
        <f t="shared" si="460"/>
        <v/>
      </c>
      <c r="X6273" s="33"/>
      <c r="Y6273" s="33"/>
    </row>
    <row r="6274" spans="1:25" x14ac:dyDescent="0.2">
      <c r="A6274" s="93"/>
      <c r="B6274" s="94" t="str">
        <f>IFERROR(VLOOKUP($A6274,HeadJournal!$A$1:$NTR$890,COLUMN(HeadJournal!B$1),0),"")</f>
        <v/>
      </c>
      <c r="C6274" s="94" t="str">
        <f>IFERROR(VLOOKUP($A6274,HeadJournal!$A$1:$NTR$890,COLUMN(HeadJournal!C$1),0),"")</f>
        <v/>
      </c>
      <c r="D6274" s="125" t="str">
        <f>IFERROR(VLOOKUP($A6274,HeadJournal!$A$1:$NTR$890,COLUMN(HeadJournal!D$1),0),"")</f>
        <v/>
      </c>
      <c r="E6274" s="95" t="str">
        <f>IFERROR(VLOOKUP($A6274,HeadJournal!$A$1:$NTR$890,COLUMN(HeadJournal!G$1),0),"")</f>
        <v/>
      </c>
      <c r="F6274" s="95" t="str">
        <f t="shared" si="457"/>
        <v/>
      </c>
      <c r="G6274" s="97"/>
      <c r="H6274" s="161"/>
      <c r="I6274" s="97"/>
      <c r="J6274" s="97"/>
      <c r="K6274" s="29"/>
      <c r="L6274" s="29"/>
      <c r="M6274" s="30">
        <f>IFERROR(VLOOKUP($A6274,HeadJournal!$A$1:$J$890,COLUMN(HeadJournal!I$1),0)*($K6274+$L6274)/(SUMIF($A:$A,$A6274,$K:$K)+SUMIF($A:$A,$A6274,$L:$L)),0)</f>
        <v>0</v>
      </c>
      <c r="N6274" s="30">
        <f>IFERROR((VLOOKUP($A6274,HeadJournal!$A$1:$K$890,COLUMN(HeadJournal!K$1),0)-VLOOKUP($A6274,HeadJournal!$A$1:$K$890,COLUMN(HeadJournal!J$1),0))*($K6274+$L6274)/(SUMIF($A:$A,$A6274,$K:$K)+SUMIF($A:$A,$A6274,$L:$L)),0)</f>
        <v>0</v>
      </c>
      <c r="O6274" s="30">
        <f>IFERROR((VLOOKUP($A6274,HeadJournal!$A$1:$L$890,COLUMN(HeadJournal!L$1),0)*($K6274+$L6274)/(SUMIF($A:$A,$A6274,$K:$K)+SUMIF($A:$A,$A6274,$L:$L)))/VLOOKUP($A6274,HeadJournal!$A$1:$L$890,COLUMN(HeadJournal!H$1),0),0)</f>
        <v>0</v>
      </c>
      <c r="P6274" s="30">
        <f>IFERROR(SUM(K6274:O6274)*VLOOKUP($A6274,HeadJournal!$A$1:$L$890,COLUMN(HeadJournal!H$1),0),0)</f>
        <v>0</v>
      </c>
      <c r="Q6274" s="29"/>
      <c r="R6274" s="31"/>
      <c r="S6274" s="31"/>
      <c r="T6274" s="95" t="str">
        <f t="shared" si="458"/>
        <v/>
      </c>
      <c r="U6274" s="32">
        <f t="shared" si="459"/>
        <v>0</v>
      </c>
      <c r="V6274" s="22" t="str">
        <f t="shared" si="460"/>
        <v/>
      </c>
      <c r="X6274" s="33"/>
      <c r="Y6274" s="33"/>
    </row>
    <row r="6275" spans="1:25" x14ac:dyDescent="0.2">
      <c r="A6275" s="93"/>
      <c r="B6275" s="94" t="str">
        <f>IFERROR(VLOOKUP($A6275,HeadJournal!$A$1:$NTR$890,COLUMN(HeadJournal!B$1),0),"")</f>
        <v/>
      </c>
      <c r="C6275" s="94" t="str">
        <f>IFERROR(VLOOKUP($A6275,HeadJournal!$A$1:$NTR$890,COLUMN(HeadJournal!C$1),0),"")</f>
        <v/>
      </c>
      <c r="D6275" s="125" t="str">
        <f>IFERROR(VLOOKUP($A6275,HeadJournal!$A$1:$NTR$890,COLUMN(HeadJournal!D$1),0),"")</f>
        <v/>
      </c>
      <c r="E6275" s="95" t="str">
        <f>IFERROR(VLOOKUP($A6275,HeadJournal!$A$1:$NTR$890,COLUMN(HeadJournal!G$1),0),"")</f>
        <v/>
      </c>
      <c r="F6275" s="95" t="str">
        <f t="shared" si="457"/>
        <v/>
      </c>
      <c r="G6275" s="97"/>
      <c r="H6275" s="161"/>
      <c r="I6275" s="97"/>
      <c r="J6275" s="97"/>
      <c r="K6275" s="29"/>
      <c r="L6275" s="29"/>
      <c r="M6275" s="30">
        <f>IFERROR(VLOOKUP($A6275,HeadJournal!$A$1:$J$890,COLUMN(HeadJournal!I$1),0)*($K6275+$L6275)/(SUMIF($A:$A,$A6275,$K:$K)+SUMIF($A:$A,$A6275,$L:$L)),0)</f>
        <v>0</v>
      </c>
      <c r="N6275" s="30">
        <f>IFERROR((VLOOKUP($A6275,HeadJournal!$A$1:$K$890,COLUMN(HeadJournal!K$1),0)-VLOOKUP($A6275,HeadJournal!$A$1:$K$890,COLUMN(HeadJournal!J$1),0))*($K6275+$L6275)/(SUMIF($A:$A,$A6275,$K:$K)+SUMIF($A:$A,$A6275,$L:$L)),0)</f>
        <v>0</v>
      </c>
      <c r="O6275" s="30">
        <f>IFERROR((VLOOKUP($A6275,HeadJournal!$A$1:$L$890,COLUMN(HeadJournal!L$1),0)*($K6275+$L6275)/(SUMIF($A:$A,$A6275,$K:$K)+SUMIF($A:$A,$A6275,$L:$L)))/VLOOKUP($A6275,HeadJournal!$A$1:$L$890,COLUMN(HeadJournal!H$1),0),0)</f>
        <v>0</v>
      </c>
      <c r="P6275" s="30">
        <f>IFERROR(SUM(K6275:O6275)*VLOOKUP($A6275,HeadJournal!$A$1:$L$890,COLUMN(HeadJournal!H$1),0),0)</f>
        <v>0</v>
      </c>
      <c r="Q6275" s="29"/>
      <c r="R6275" s="31"/>
      <c r="S6275" s="31"/>
      <c r="T6275" s="95" t="str">
        <f t="shared" si="458"/>
        <v/>
      </c>
      <c r="U6275" s="32">
        <f t="shared" si="459"/>
        <v>0</v>
      </c>
      <c r="V6275" s="22" t="str">
        <f t="shared" si="460"/>
        <v/>
      </c>
      <c r="X6275" s="33"/>
      <c r="Y6275" s="33"/>
    </row>
    <row r="6276" spans="1:25" x14ac:dyDescent="0.2">
      <c r="A6276" s="93"/>
      <c r="B6276" s="94" t="str">
        <f>IFERROR(VLOOKUP($A6276,HeadJournal!$A$1:$NTR$890,COLUMN(HeadJournal!B$1),0),"")</f>
        <v/>
      </c>
      <c r="C6276" s="94" t="str">
        <f>IFERROR(VLOOKUP($A6276,HeadJournal!$A$1:$NTR$890,COLUMN(HeadJournal!C$1),0),"")</f>
        <v/>
      </c>
      <c r="D6276" s="125" t="str">
        <f>IFERROR(VLOOKUP($A6276,HeadJournal!$A$1:$NTR$890,COLUMN(HeadJournal!D$1),0),"")</f>
        <v/>
      </c>
      <c r="E6276" s="95" t="str">
        <f>IFERROR(VLOOKUP($A6276,HeadJournal!$A$1:$NTR$890,COLUMN(HeadJournal!G$1),0),"")</f>
        <v/>
      </c>
      <c r="F6276" s="95" t="str">
        <f t="shared" si="457"/>
        <v/>
      </c>
      <c r="G6276" s="97"/>
      <c r="H6276" s="161"/>
      <c r="I6276" s="97"/>
      <c r="J6276" s="97"/>
      <c r="K6276" s="29"/>
      <c r="L6276" s="29"/>
      <c r="M6276" s="30">
        <f>IFERROR(VLOOKUP($A6276,HeadJournal!$A$1:$J$890,COLUMN(HeadJournal!I$1),0)*($K6276+$L6276)/(SUMIF($A:$A,$A6276,$K:$K)+SUMIF($A:$A,$A6276,$L:$L)),0)</f>
        <v>0</v>
      </c>
      <c r="N6276" s="30">
        <f>IFERROR((VLOOKUP($A6276,HeadJournal!$A$1:$K$890,COLUMN(HeadJournal!K$1),0)-VLOOKUP($A6276,HeadJournal!$A$1:$K$890,COLUMN(HeadJournal!J$1),0))*($K6276+$L6276)/(SUMIF($A:$A,$A6276,$K:$K)+SUMIF($A:$A,$A6276,$L:$L)),0)</f>
        <v>0</v>
      </c>
      <c r="O6276" s="30">
        <f>IFERROR((VLOOKUP($A6276,HeadJournal!$A$1:$L$890,COLUMN(HeadJournal!L$1),0)*($K6276+$L6276)/(SUMIF($A:$A,$A6276,$K:$K)+SUMIF($A:$A,$A6276,$L:$L)))/VLOOKUP($A6276,HeadJournal!$A$1:$L$890,COLUMN(HeadJournal!H$1),0),0)</f>
        <v>0</v>
      </c>
      <c r="P6276" s="30">
        <f>IFERROR(SUM(K6276:O6276)*VLOOKUP($A6276,HeadJournal!$A$1:$L$890,COLUMN(HeadJournal!H$1),0),0)</f>
        <v>0</v>
      </c>
      <c r="Q6276" s="29"/>
      <c r="R6276" s="31"/>
      <c r="S6276" s="31"/>
      <c r="T6276" s="95" t="str">
        <f t="shared" si="458"/>
        <v/>
      </c>
      <c r="U6276" s="32">
        <f t="shared" si="459"/>
        <v>0</v>
      </c>
      <c r="V6276" s="22" t="str">
        <f t="shared" si="460"/>
        <v/>
      </c>
      <c r="X6276" s="33"/>
      <c r="Y6276" s="33"/>
    </row>
    <row r="6277" spans="1:25" x14ac:dyDescent="0.2">
      <c r="A6277" s="93"/>
      <c r="B6277" s="94" t="str">
        <f>IFERROR(VLOOKUP($A6277,HeadJournal!$A$1:$NTR$890,COLUMN(HeadJournal!B$1),0),"")</f>
        <v/>
      </c>
      <c r="C6277" s="94" t="str">
        <f>IFERROR(VLOOKUP($A6277,HeadJournal!$A$1:$NTR$890,COLUMN(HeadJournal!C$1),0),"")</f>
        <v/>
      </c>
      <c r="D6277" s="125" t="str">
        <f>IFERROR(VLOOKUP($A6277,HeadJournal!$A$1:$NTR$890,COLUMN(HeadJournal!D$1),0),"")</f>
        <v/>
      </c>
      <c r="E6277" s="95" t="str">
        <f>IFERROR(VLOOKUP($A6277,HeadJournal!$A$1:$NTR$890,COLUMN(HeadJournal!G$1),0),"")</f>
        <v/>
      </c>
      <c r="F6277" s="95" t="str">
        <f t="shared" si="457"/>
        <v/>
      </c>
      <c r="G6277" s="97"/>
      <c r="H6277" s="161"/>
      <c r="I6277" s="97"/>
      <c r="J6277" s="97"/>
      <c r="K6277" s="29"/>
      <c r="L6277" s="29"/>
      <c r="M6277" s="30">
        <f>IFERROR(VLOOKUP($A6277,HeadJournal!$A$1:$J$890,COLUMN(HeadJournal!I$1),0)*($K6277+$L6277)/(SUMIF($A:$A,$A6277,$K:$K)+SUMIF($A:$A,$A6277,$L:$L)),0)</f>
        <v>0</v>
      </c>
      <c r="N6277" s="30">
        <f>IFERROR((VLOOKUP($A6277,HeadJournal!$A$1:$K$890,COLUMN(HeadJournal!K$1),0)-VLOOKUP($A6277,HeadJournal!$A$1:$K$890,COLUMN(HeadJournal!J$1),0))*($K6277+$L6277)/(SUMIF($A:$A,$A6277,$K:$K)+SUMIF($A:$A,$A6277,$L:$L)),0)</f>
        <v>0</v>
      </c>
      <c r="O6277" s="30">
        <f>IFERROR((VLOOKUP($A6277,HeadJournal!$A$1:$L$890,COLUMN(HeadJournal!L$1),0)*($K6277+$L6277)/(SUMIF($A:$A,$A6277,$K:$K)+SUMIF($A:$A,$A6277,$L:$L)))/VLOOKUP($A6277,HeadJournal!$A$1:$L$890,COLUMN(HeadJournal!H$1),0),0)</f>
        <v>0</v>
      </c>
      <c r="P6277" s="30">
        <f>IFERROR(SUM(K6277:O6277)*VLOOKUP($A6277,HeadJournal!$A$1:$L$890,COLUMN(HeadJournal!H$1),0),0)</f>
        <v>0</v>
      </c>
      <c r="Q6277" s="29"/>
      <c r="R6277" s="31"/>
      <c r="S6277" s="31"/>
      <c r="T6277" s="95" t="str">
        <f t="shared" si="458"/>
        <v/>
      </c>
      <c r="U6277" s="32">
        <f t="shared" si="459"/>
        <v>0</v>
      </c>
      <c r="V6277" s="22" t="str">
        <f t="shared" si="460"/>
        <v/>
      </c>
      <c r="X6277" s="33"/>
      <c r="Y6277" s="33"/>
    </row>
    <row r="6278" spans="1:25" x14ac:dyDescent="0.2">
      <c r="A6278" s="93"/>
      <c r="B6278" s="94" t="str">
        <f>IFERROR(VLOOKUP($A6278,HeadJournal!$A$1:$NTR$890,COLUMN(HeadJournal!B$1),0),"")</f>
        <v/>
      </c>
      <c r="C6278" s="94" t="str">
        <f>IFERROR(VLOOKUP($A6278,HeadJournal!$A$1:$NTR$890,COLUMN(HeadJournal!C$1),0),"")</f>
        <v/>
      </c>
      <c r="D6278" s="125" t="str">
        <f>IFERROR(VLOOKUP($A6278,HeadJournal!$A$1:$NTR$890,COLUMN(HeadJournal!D$1),0),"")</f>
        <v/>
      </c>
      <c r="E6278" s="95" t="str">
        <f>IFERROR(VLOOKUP($A6278,HeadJournal!$A$1:$NTR$890,COLUMN(HeadJournal!G$1),0),"")</f>
        <v/>
      </c>
      <c r="F6278" s="95" t="str">
        <f t="shared" si="457"/>
        <v/>
      </c>
      <c r="G6278" s="97"/>
      <c r="H6278" s="161"/>
      <c r="I6278" s="97"/>
      <c r="J6278" s="97"/>
      <c r="K6278" s="29"/>
      <c r="L6278" s="29"/>
      <c r="M6278" s="30">
        <f>IFERROR(VLOOKUP($A6278,HeadJournal!$A$1:$J$890,COLUMN(HeadJournal!I$1),0)*($K6278+$L6278)/(SUMIF($A:$A,$A6278,$K:$K)+SUMIF($A:$A,$A6278,$L:$L)),0)</f>
        <v>0</v>
      </c>
      <c r="N6278" s="30">
        <f>IFERROR((VLOOKUP($A6278,HeadJournal!$A$1:$K$890,COLUMN(HeadJournal!K$1),0)-VLOOKUP($A6278,HeadJournal!$A$1:$K$890,COLUMN(HeadJournal!J$1),0))*($K6278+$L6278)/(SUMIF($A:$A,$A6278,$K:$K)+SUMIF($A:$A,$A6278,$L:$L)),0)</f>
        <v>0</v>
      </c>
      <c r="O6278" s="30">
        <f>IFERROR((VLOOKUP($A6278,HeadJournal!$A$1:$L$890,COLUMN(HeadJournal!L$1),0)*($K6278+$L6278)/(SUMIF($A:$A,$A6278,$K:$K)+SUMIF($A:$A,$A6278,$L:$L)))/VLOOKUP($A6278,HeadJournal!$A$1:$L$890,COLUMN(HeadJournal!H$1),0),0)</f>
        <v>0</v>
      </c>
      <c r="P6278" s="30">
        <f>IFERROR(SUM(K6278:O6278)*VLOOKUP($A6278,HeadJournal!$A$1:$L$890,COLUMN(HeadJournal!H$1),0),0)</f>
        <v>0</v>
      </c>
      <c r="Q6278" s="29"/>
      <c r="R6278" s="31"/>
      <c r="S6278" s="31"/>
      <c r="T6278" s="95" t="str">
        <f t="shared" si="458"/>
        <v/>
      </c>
      <c r="U6278" s="32">
        <f t="shared" si="459"/>
        <v>0</v>
      </c>
      <c r="V6278" s="22" t="str">
        <f t="shared" si="460"/>
        <v/>
      </c>
      <c r="X6278" s="33"/>
      <c r="Y6278" s="33"/>
    </row>
    <row r="6279" spans="1:25" x14ac:dyDescent="0.2">
      <c r="A6279" s="93"/>
      <c r="B6279" s="94" t="str">
        <f>IFERROR(VLOOKUP($A6279,HeadJournal!$A$1:$NTR$890,COLUMN(HeadJournal!B$1),0),"")</f>
        <v/>
      </c>
      <c r="C6279" s="94" t="str">
        <f>IFERROR(VLOOKUP($A6279,HeadJournal!$A$1:$NTR$890,COLUMN(HeadJournal!C$1),0),"")</f>
        <v/>
      </c>
      <c r="D6279" s="125" t="str">
        <f>IFERROR(VLOOKUP($A6279,HeadJournal!$A$1:$NTR$890,COLUMN(HeadJournal!D$1),0),"")</f>
        <v/>
      </c>
      <c r="E6279" s="95" t="str">
        <f>IFERROR(VLOOKUP($A6279,HeadJournal!$A$1:$NTR$890,COLUMN(HeadJournal!G$1),0),"")</f>
        <v/>
      </c>
      <c r="F6279" s="95" t="str">
        <f t="shared" si="457"/>
        <v/>
      </c>
      <c r="G6279" s="97"/>
      <c r="H6279" s="161"/>
      <c r="I6279" s="97"/>
      <c r="J6279" s="97"/>
      <c r="K6279" s="29"/>
      <c r="L6279" s="29"/>
      <c r="M6279" s="30">
        <f>IFERROR(VLOOKUP($A6279,HeadJournal!$A$1:$J$890,COLUMN(HeadJournal!I$1),0)*($K6279+$L6279)/(SUMIF($A:$A,$A6279,$K:$K)+SUMIF($A:$A,$A6279,$L:$L)),0)</f>
        <v>0</v>
      </c>
      <c r="N6279" s="30">
        <f>IFERROR((VLOOKUP($A6279,HeadJournal!$A$1:$K$890,COLUMN(HeadJournal!K$1),0)-VLOOKUP($A6279,HeadJournal!$A$1:$K$890,COLUMN(HeadJournal!J$1),0))*($K6279+$L6279)/(SUMIF($A:$A,$A6279,$K:$K)+SUMIF($A:$A,$A6279,$L:$L)),0)</f>
        <v>0</v>
      </c>
      <c r="O6279" s="30">
        <f>IFERROR((VLOOKUP($A6279,HeadJournal!$A$1:$L$890,COLUMN(HeadJournal!L$1),0)*($K6279+$L6279)/(SUMIF($A:$A,$A6279,$K:$K)+SUMIF($A:$A,$A6279,$L:$L)))/VLOOKUP($A6279,HeadJournal!$A$1:$L$890,COLUMN(HeadJournal!H$1),0),0)</f>
        <v>0</v>
      </c>
      <c r="P6279" s="30">
        <f>IFERROR(SUM(K6279:O6279)*VLOOKUP($A6279,HeadJournal!$A$1:$L$890,COLUMN(HeadJournal!H$1),0),0)</f>
        <v>0</v>
      </c>
      <c r="Q6279" s="29"/>
      <c r="R6279" s="31"/>
      <c r="S6279" s="31"/>
      <c r="T6279" s="95" t="str">
        <f t="shared" si="458"/>
        <v/>
      </c>
      <c r="U6279" s="32">
        <f t="shared" si="459"/>
        <v>0</v>
      </c>
      <c r="V6279" s="22" t="str">
        <f t="shared" si="460"/>
        <v/>
      </c>
      <c r="X6279" s="33"/>
      <c r="Y6279" s="33"/>
    </row>
    <row r="6280" spans="1:25" x14ac:dyDescent="0.2">
      <c r="A6280" s="93"/>
      <c r="B6280" s="94" t="str">
        <f>IFERROR(VLOOKUP($A6280,HeadJournal!$A$1:$NTR$890,COLUMN(HeadJournal!B$1),0),"")</f>
        <v/>
      </c>
      <c r="C6280" s="94" t="str">
        <f>IFERROR(VLOOKUP($A6280,HeadJournal!$A$1:$NTR$890,COLUMN(HeadJournal!C$1),0),"")</f>
        <v/>
      </c>
      <c r="D6280" s="125" t="str">
        <f>IFERROR(VLOOKUP($A6280,HeadJournal!$A$1:$NTR$890,COLUMN(HeadJournal!D$1),0),"")</f>
        <v/>
      </c>
      <c r="E6280" s="95" t="str">
        <f>IFERROR(VLOOKUP($A6280,HeadJournal!$A$1:$NTR$890,COLUMN(HeadJournal!G$1),0),"")</f>
        <v/>
      </c>
      <c r="F6280" s="95" t="str">
        <f t="shared" si="457"/>
        <v/>
      </c>
      <c r="G6280" s="97"/>
      <c r="H6280" s="161"/>
      <c r="I6280" s="97"/>
      <c r="J6280" s="97"/>
      <c r="K6280" s="29"/>
      <c r="L6280" s="29"/>
      <c r="M6280" s="30">
        <f>IFERROR(VLOOKUP($A6280,HeadJournal!$A$1:$J$890,COLUMN(HeadJournal!I$1),0)*($K6280+$L6280)/(SUMIF($A:$A,$A6280,$K:$K)+SUMIF($A:$A,$A6280,$L:$L)),0)</f>
        <v>0</v>
      </c>
      <c r="N6280" s="30">
        <f>IFERROR((VLOOKUP($A6280,HeadJournal!$A$1:$K$890,COLUMN(HeadJournal!K$1),0)-VLOOKUP($A6280,HeadJournal!$A$1:$K$890,COLUMN(HeadJournal!J$1),0))*($K6280+$L6280)/(SUMIF($A:$A,$A6280,$K:$K)+SUMIF($A:$A,$A6280,$L:$L)),0)</f>
        <v>0</v>
      </c>
      <c r="O6280" s="30">
        <f>IFERROR((VLOOKUP($A6280,HeadJournal!$A$1:$L$890,COLUMN(HeadJournal!L$1),0)*($K6280+$L6280)/(SUMIF($A:$A,$A6280,$K:$K)+SUMIF($A:$A,$A6280,$L:$L)))/VLOOKUP($A6280,HeadJournal!$A$1:$L$890,COLUMN(HeadJournal!H$1),0),0)</f>
        <v>0</v>
      </c>
      <c r="P6280" s="30">
        <f>IFERROR(SUM(K6280:O6280)*VLOOKUP($A6280,HeadJournal!$A$1:$L$890,COLUMN(HeadJournal!H$1),0),0)</f>
        <v>0</v>
      </c>
      <c r="Q6280" s="29"/>
      <c r="R6280" s="31"/>
      <c r="S6280" s="31"/>
      <c r="T6280" s="95" t="str">
        <f t="shared" si="458"/>
        <v/>
      </c>
      <c r="U6280" s="32">
        <f t="shared" si="459"/>
        <v>0</v>
      </c>
      <c r="V6280" s="22" t="str">
        <f t="shared" si="460"/>
        <v/>
      </c>
      <c r="X6280" s="33"/>
      <c r="Y6280" s="33"/>
    </row>
    <row r="6281" spans="1:25" x14ac:dyDescent="0.2">
      <c r="A6281" s="93"/>
      <c r="B6281" s="94" t="str">
        <f>IFERROR(VLOOKUP($A6281,HeadJournal!$A$1:$NTR$890,COLUMN(HeadJournal!B$1),0),"")</f>
        <v/>
      </c>
      <c r="C6281" s="94" t="str">
        <f>IFERROR(VLOOKUP($A6281,HeadJournal!$A$1:$NTR$890,COLUMN(HeadJournal!C$1),0),"")</f>
        <v/>
      </c>
      <c r="D6281" s="125" t="str">
        <f>IFERROR(VLOOKUP($A6281,HeadJournal!$A$1:$NTR$890,COLUMN(HeadJournal!D$1),0),"")</f>
        <v/>
      </c>
      <c r="E6281" s="95" t="str">
        <f>IFERROR(VLOOKUP($A6281,HeadJournal!$A$1:$NTR$890,COLUMN(HeadJournal!G$1),0),"")</f>
        <v/>
      </c>
      <c r="F6281" s="95" t="str">
        <f t="shared" si="457"/>
        <v/>
      </c>
      <c r="G6281" s="97"/>
      <c r="H6281" s="161"/>
      <c r="I6281" s="97"/>
      <c r="J6281" s="97"/>
      <c r="K6281" s="29"/>
      <c r="L6281" s="29"/>
      <c r="M6281" s="30">
        <f>IFERROR(VLOOKUP($A6281,HeadJournal!$A$1:$J$890,COLUMN(HeadJournal!I$1),0)*($K6281+$L6281)/(SUMIF($A:$A,$A6281,$K:$K)+SUMIF($A:$A,$A6281,$L:$L)),0)</f>
        <v>0</v>
      </c>
      <c r="N6281" s="30">
        <f>IFERROR((VLOOKUP($A6281,HeadJournal!$A$1:$K$890,COLUMN(HeadJournal!K$1),0)-VLOOKUP($A6281,HeadJournal!$A$1:$K$890,COLUMN(HeadJournal!J$1),0))*($K6281+$L6281)/(SUMIF($A:$A,$A6281,$K:$K)+SUMIF($A:$A,$A6281,$L:$L)),0)</f>
        <v>0</v>
      </c>
      <c r="O6281" s="30">
        <f>IFERROR((VLOOKUP($A6281,HeadJournal!$A$1:$L$890,COLUMN(HeadJournal!L$1),0)*($K6281+$L6281)/(SUMIF($A:$A,$A6281,$K:$K)+SUMIF($A:$A,$A6281,$L:$L)))/VLOOKUP($A6281,HeadJournal!$A$1:$L$890,COLUMN(HeadJournal!H$1),0),0)</f>
        <v>0</v>
      </c>
      <c r="P6281" s="30">
        <f>IFERROR(SUM(K6281:O6281)*VLOOKUP($A6281,HeadJournal!$A$1:$L$890,COLUMN(HeadJournal!H$1),0),0)</f>
        <v>0</v>
      </c>
      <c r="Q6281" s="29"/>
      <c r="R6281" s="31"/>
      <c r="S6281" s="31"/>
      <c r="T6281" s="95" t="str">
        <f t="shared" si="458"/>
        <v/>
      </c>
      <c r="U6281" s="32">
        <f t="shared" si="459"/>
        <v>0</v>
      </c>
      <c r="V6281" s="22" t="str">
        <f t="shared" si="460"/>
        <v/>
      </c>
      <c r="X6281" s="33"/>
      <c r="Y6281" s="33"/>
    </row>
    <row r="6282" spans="1:25" x14ac:dyDescent="0.2">
      <c r="A6282" s="93"/>
      <c r="B6282" s="94" t="str">
        <f>IFERROR(VLOOKUP($A6282,HeadJournal!$A$1:$NTR$890,COLUMN(HeadJournal!B$1),0),"")</f>
        <v/>
      </c>
      <c r="C6282" s="94" t="str">
        <f>IFERROR(VLOOKUP($A6282,HeadJournal!$A$1:$NTR$890,COLUMN(HeadJournal!C$1),0),"")</f>
        <v/>
      </c>
      <c r="D6282" s="125" t="str">
        <f>IFERROR(VLOOKUP($A6282,HeadJournal!$A$1:$NTR$890,COLUMN(HeadJournal!D$1),0),"")</f>
        <v/>
      </c>
      <c r="E6282" s="95" t="str">
        <f>IFERROR(VLOOKUP($A6282,HeadJournal!$A$1:$NTR$890,COLUMN(HeadJournal!G$1),0),"")</f>
        <v/>
      </c>
      <c r="F6282" s="95" t="str">
        <f t="shared" si="457"/>
        <v/>
      </c>
      <c r="G6282" s="97"/>
      <c r="H6282" s="161"/>
      <c r="I6282" s="97"/>
      <c r="J6282" s="97"/>
      <c r="K6282" s="29"/>
      <c r="L6282" s="29"/>
      <c r="M6282" s="30">
        <f>IFERROR(VLOOKUP($A6282,HeadJournal!$A$1:$J$890,COLUMN(HeadJournal!I$1),0)*($K6282+$L6282)/(SUMIF($A:$A,$A6282,$K:$K)+SUMIF($A:$A,$A6282,$L:$L)),0)</f>
        <v>0</v>
      </c>
      <c r="N6282" s="30">
        <f>IFERROR((VLOOKUP($A6282,HeadJournal!$A$1:$K$890,COLUMN(HeadJournal!K$1),0)-VLOOKUP($A6282,HeadJournal!$A$1:$K$890,COLUMN(HeadJournal!J$1),0))*($K6282+$L6282)/(SUMIF($A:$A,$A6282,$K:$K)+SUMIF($A:$A,$A6282,$L:$L)),0)</f>
        <v>0</v>
      </c>
      <c r="O6282" s="30">
        <f>IFERROR((VLOOKUP($A6282,HeadJournal!$A$1:$L$890,COLUMN(HeadJournal!L$1),0)*($K6282+$L6282)/(SUMIF($A:$A,$A6282,$K:$K)+SUMIF($A:$A,$A6282,$L:$L)))/VLOOKUP($A6282,HeadJournal!$A$1:$L$890,COLUMN(HeadJournal!H$1),0),0)</f>
        <v>0</v>
      </c>
      <c r="P6282" s="30">
        <f>IFERROR(SUM(K6282:O6282)*VLOOKUP($A6282,HeadJournal!$A$1:$L$890,COLUMN(HeadJournal!H$1),0),0)</f>
        <v>0</v>
      </c>
      <c r="Q6282" s="29"/>
      <c r="R6282" s="31"/>
      <c r="S6282" s="31"/>
      <c r="T6282" s="95" t="str">
        <f t="shared" si="458"/>
        <v/>
      </c>
      <c r="U6282" s="32">
        <f t="shared" si="459"/>
        <v>0</v>
      </c>
      <c r="V6282" s="22" t="str">
        <f t="shared" si="460"/>
        <v/>
      </c>
      <c r="X6282" s="33"/>
      <c r="Y6282" s="33"/>
    </row>
    <row r="6283" spans="1:25" x14ac:dyDescent="0.2">
      <c r="A6283" s="93"/>
      <c r="B6283" s="94" t="str">
        <f>IFERROR(VLOOKUP($A6283,HeadJournal!$A$1:$NTR$890,COLUMN(HeadJournal!B$1),0),"")</f>
        <v/>
      </c>
      <c r="C6283" s="94" t="str">
        <f>IFERROR(VLOOKUP($A6283,HeadJournal!$A$1:$NTR$890,COLUMN(HeadJournal!C$1),0),"")</f>
        <v/>
      </c>
      <c r="D6283" s="125" t="str">
        <f>IFERROR(VLOOKUP($A6283,HeadJournal!$A$1:$NTR$890,COLUMN(HeadJournal!D$1),0),"")</f>
        <v/>
      </c>
      <c r="E6283" s="95" t="str">
        <f>IFERROR(VLOOKUP($A6283,HeadJournal!$A$1:$NTR$890,COLUMN(HeadJournal!G$1),0),"")</f>
        <v/>
      </c>
      <c r="F6283" s="95" t="str">
        <f t="shared" si="457"/>
        <v/>
      </c>
      <c r="G6283" s="97"/>
      <c r="H6283" s="161"/>
      <c r="I6283" s="97"/>
      <c r="J6283" s="97"/>
      <c r="K6283" s="29"/>
      <c r="L6283" s="29"/>
      <c r="M6283" s="30">
        <f>IFERROR(VLOOKUP($A6283,HeadJournal!$A$1:$J$890,COLUMN(HeadJournal!I$1),0)*($K6283+$L6283)/(SUMIF($A:$A,$A6283,$K:$K)+SUMIF($A:$A,$A6283,$L:$L)),0)</f>
        <v>0</v>
      </c>
      <c r="N6283" s="30">
        <f>IFERROR((VLOOKUP($A6283,HeadJournal!$A$1:$K$890,COLUMN(HeadJournal!K$1),0)-VLOOKUP($A6283,HeadJournal!$A$1:$K$890,COLUMN(HeadJournal!J$1),0))*($K6283+$L6283)/(SUMIF($A:$A,$A6283,$K:$K)+SUMIF($A:$A,$A6283,$L:$L)),0)</f>
        <v>0</v>
      </c>
      <c r="O6283" s="30">
        <f>IFERROR((VLOOKUP($A6283,HeadJournal!$A$1:$L$890,COLUMN(HeadJournal!L$1),0)*($K6283+$L6283)/(SUMIF($A:$A,$A6283,$K:$K)+SUMIF($A:$A,$A6283,$L:$L)))/VLOOKUP($A6283,HeadJournal!$A$1:$L$890,COLUMN(HeadJournal!H$1),0),0)</f>
        <v>0</v>
      </c>
      <c r="P6283" s="30">
        <f>IFERROR(SUM(K6283:O6283)*VLOOKUP($A6283,HeadJournal!$A$1:$L$890,COLUMN(HeadJournal!H$1),0),0)</f>
        <v>0</v>
      </c>
      <c r="Q6283" s="29"/>
      <c r="R6283" s="31"/>
      <c r="S6283" s="31"/>
      <c r="T6283" s="95" t="str">
        <f t="shared" si="458"/>
        <v/>
      </c>
      <c r="U6283" s="32">
        <f t="shared" si="459"/>
        <v>0</v>
      </c>
      <c r="V6283" s="22" t="str">
        <f t="shared" si="460"/>
        <v/>
      </c>
      <c r="X6283" s="33"/>
      <c r="Y6283" s="33"/>
    </row>
    <row r="6284" spans="1:25" x14ac:dyDescent="0.2">
      <c r="A6284" s="93"/>
      <c r="B6284" s="94" t="str">
        <f>IFERROR(VLOOKUP($A6284,HeadJournal!$A$1:$NTR$890,COLUMN(HeadJournal!B$1),0),"")</f>
        <v/>
      </c>
      <c r="C6284" s="94" t="str">
        <f>IFERROR(VLOOKUP($A6284,HeadJournal!$A$1:$NTR$890,COLUMN(HeadJournal!C$1),0),"")</f>
        <v/>
      </c>
      <c r="D6284" s="125" t="str">
        <f>IFERROR(VLOOKUP($A6284,HeadJournal!$A$1:$NTR$890,COLUMN(HeadJournal!D$1),0),"")</f>
        <v/>
      </c>
      <c r="E6284" s="95" t="str">
        <f>IFERROR(VLOOKUP($A6284,HeadJournal!$A$1:$NTR$890,COLUMN(HeadJournal!G$1),0),"")</f>
        <v/>
      </c>
      <c r="F6284" s="95" t="str">
        <f t="shared" si="457"/>
        <v/>
      </c>
      <c r="G6284" s="97"/>
      <c r="H6284" s="161"/>
      <c r="I6284" s="97"/>
      <c r="J6284" s="97"/>
      <c r="K6284" s="29"/>
      <c r="L6284" s="29"/>
      <c r="M6284" s="30">
        <f>IFERROR(VLOOKUP($A6284,HeadJournal!$A$1:$J$890,COLUMN(HeadJournal!I$1),0)*($K6284+$L6284)/(SUMIF($A:$A,$A6284,$K:$K)+SUMIF($A:$A,$A6284,$L:$L)),0)</f>
        <v>0</v>
      </c>
      <c r="N6284" s="30">
        <f>IFERROR((VLOOKUP($A6284,HeadJournal!$A$1:$K$890,COLUMN(HeadJournal!K$1),0)-VLOOKUP($A6284,HeadJournal!$A$1:$K$890,COLUMN(HeadJournal!J$1),0))*($K6284+$L6284)/(SUMIF($A:$A,$A6284,$K:$K)+SUMIF($A:$A,$A6284,$L:$L)),0)</f>
        <v>0</v>
      </c>
      <c r="O6284" s="30">
        <f>IFERROR((VLOOKUP($A6284,HeadJournal!$A$1:$L$890,COLUMN(HeadJournal!L$1),0)*($K6284+$L6284)/(SUMIF($A:$A,$A6284,$K:$K)+SUMIF($A:$A,$A6284,$L:$L)))/VLOOKUP($A6284,HeadJournal!$A$1:$L$890,COLUMN(HeadJournal!H$1),0),0)</f>
        <v>0</v>
      </c>
      <c r="P6284" s="30">
        <f>IFERROR(SUM(K6284:O6284)*VLOOKUP($A6284,HeadJournal!$A$1:$L$890,COLUMN(HeadJournal!H$1),0),0)</f>
        <v>0</v>
      </c>
      <c r="Q6284" s="29"/>
      <c r="R6284" s="31"/>
      <c r="S6284" s="31"/>
      <c r="T6284" s="95" t="str">
        <f t="shared" si="458"/>
        <v/>
      </c>
      <c r="U6284" s="32">
        <f t="shared" si="459"/>
        <v>0</v>
      </c>
      <c r="V6284" s="22" t="str">
        <f t="shared" si="460"/>
        <v/>
      </c>
      <c r="X6284" s="33"/>
      <c r="Y6284" s="33"/>
    </row>
    <row r="6285" spans="1:25" x14ac:dyDescent="0.2">
      <c r="A6285" s="93"/>
      <c r="B6285" s="94" t="str">
        <f>IFERROR(VLOOKUP($A6285,HeadJournal!$A$1:$NTR$890,COLUMN(HeadJournal!B$1),0),"")</f>
        <v/>
      </c>
      <c r="C6285" s="94" t="str">
        <f>IFERROR(VLOOKUP($A6285,HeadJournal!$A$1:$NTR$890,COLUMN(HeadJournal!C$1),0),"")</f>
        <v/>
      </c>
      <c r="D6285" s="125" t="str">
        <f>IFERROR(VLOOKUP($A6285,HeadJournal!$A$1:$NTR$890,COLUMN(HeadJournal!D$1),0),"")</f>
        <v/>
      </c>
      <c r="E6285" s="95" t="str">
        <f>IFERROR(VLOOKUP($A6285,HeadJournal!$A$1:$NTR$890,COLUMN(HeadJournal!G$1),0),"")</f>
        <v/>
      </c>
      <c r="F6285" s="95" t="str">
        <f t="shared" si="457"/>
        <v/>
      </c>
      <c r="G6285" s="97"/>
      <c r="H6285" s="161"/>
      <c r="I6285" s="97"/>
      <c r="J6285" s="97"/>
      <c r="K6285" s="29"/>
      <c r="L6285" s="29"/>
      <c r="M6285" s="30">
        <f>IFERROR(VLOOKUP($A6285,HeadJournal!$A$1:$J$890,COLUMN(HeadJournal!I$1),0)*($K6285+$L6285)/(SUMIF($A:$A,$A6285,$K:$K)+SUMIF($A:$A,$A6285,$L:$L)),0)</f>
        <v>0</v>
      </c>
      <c r="N6285" s="30">
        <f>IFERROR((VLOOKUP($A6285,HeadJournal!$A$1:$K$890,COLUMN(HeadJournal!K$1),0)-VLOOKUP($A6285,HeadJournal!$A$1:$K$890,COLUMN(HeadJournal!J$1),0))*($K6285+$L6285)/(SUMIF($A:$A,$A6285,$K:$K)+SUMIF($A:$A,$A6285,$L:$L)),0)</f>
        <v>0</v>
      </c>
      <c r="O6285" s="30">
        <f>IFERROR((VLOOKUP($A6285,HeadJournal!$A$1:$L$890,COLUMN(HeadJournal!L$1),0)*($K6285+$L6285)/(SUMIF($A:$A,$A6285,$K:$K)+SUMIF($A:$A,$A6285,$L:$L)))/VLOOKUP($A6285,HeadJournal!$A$1:$L$890,COLUMN(HeadJournal!H$1),0),0)</f>
        <v>0</v>
      </c>
      <c r="P6285" s="30">
        <f>IFERROR(SUM(K6285:O6285)*VLOOKUP($A6285,HeadJournal!$A$1:$L$890,COLUMN(HeadJournal!H$1),0),0)</f>
        <v>0</v>
      </c>
      <c r="Q6285" s="29"/>
      <c r="R6285" s="31"/>
      <c r="S6285" s="31"/>
      <c r="T6285" s="95" t="str">
        <f t="shared" si="458"/>
        <v/>
      </c>
      <c r="U6285" s="32">
        <f t="shared" si="459"/>
        <v>0</v>
      </c>
      <c r="V6285" s="22" t="str">
        <f t="shared" si="460"/>
        <v/>
      </c>
      <c r="X6285" s="33"/>
      <c r="Y6285" s="33"/>
    </row>
    <row r="6286" spans="1:25" x14ac:dyDescent="0.2">
      <c r="A6286" s="93"/>
      <c r="B6286" s="94" t="str">
        <f>IFERROR(VLOOKUP($A6286,HeadJournal!$A$1:$NTR$890,COLUMN(HeadJournal!B$1),0),"")</f>
        <v/>
      </c>
      <c r="C6286" s="94" t="str">
        <f>IFERROR(VLOOKUP($A6286,HeadJournal!$A$1:$NTR$890,COLUMN(HeadJournal!C$1),0),"")</f>
        <v/>
      </c>
      <c r="D6286" s="125" t="str">
        <f>IFERROR(VLOOKUP($A6286,HeadJournal!$A$1:$NTR$890,COLUMN(HeadJournal!D$1),0),"")</f>
        <v/>
      </c>
      <c r="E6286" s="95" t="str">
        <f>IFERROR(VLOOKUP($A6286,HeadJournal!$A$1:$NTR$890,COLUMN(HeadJournal!G$1),0),"")</f>
        <v/>
      </c>
      <c r="F6286" s="95" t="str">
        <f t="shared" si="457"/>
        <v/>
      </c>
      <c r="G6286" s="97"/>
      <c r="H6286" s="161"/>
      <c r="I6286" s="97"/>
      <c r="J6286" s="97"/>
      <c r="K6286" s="29"/>
      <c r="L6286" s="29"/>
      <c r="M6286" s="30">
        <f>IFERROR(VLOOKUP($A6286,HeadJournal!$A$1:$J$890,COLUMN(HeadJournal!I$1),0)*($K6286+$L6286)/(SUMIF($A:$A,$A6286,$K:$K)+SUMIF($A:$A,$A6286,$L:$L)),0)</f>
        <v>0</v>
      </c>
      <c r="N6286" s="30">
        <f>IFERROR((VLOOKUP($A6286,HeadJournal!$A$1:$K$890,COLUMN(HeadJournal!K$1),0)-VLOOKUP($A6286,HeadJournal!$A$1:$K$890,COLUMN(HeadJournal!J$1),0))*($K6286+$L6286)/(SUMIF($A:$A,$A6286,$K:$K)+SUMIF($A:$A,$A6286,$L:$L)),0)</f>
        <v>0</v>
      </c>
      <c r="O6286" s="30">
        <f>IFERROR((VLOOKUP($A6286,HeadJournal!$A$1:$L$890,COLUMN(HeadJournal!L$1),0)*($K6286+$L6286)/(SUMIF($A:$A,$A6286,$K:$K)+SUMIF($A:$A,$A6286,$L:$L)))/VLOOKUP($A6286,HeadJournal!$A$1:$L$890,COLUMN(HeadJournal!H$1),0),0)</f>
        <v>0</v>
      </c>
      <c r="P6286" s="30">
        <f>IFERROR(SUM(K6286:O6286)*VLOOKUP($A6286,HeadJournal!$A$1:$L$890,COLUMN(HeadJournal!H$1),0),0)</f>
        <v>0</v>
      </c>
      <c r="Q6286" s="29"/>
      <c r="R6286" s="31"/>
      <c r="S6286" s="31"/>
      <c r="T6286" s="95" t="str">
        <f t="shared" si="458"/>
        <v/>
      </c>
      <c r="U6286" s="32">
        <f t="shared" si="459"/>
        <v>0</v>
      </c>
      <c r="V6286" s="22" t="str">
        <f t="shared" si="460"/>
        <v/>
      </c>
      <c r="X6286" s="33"/>
      <c r="Y6286" s="33"/>
    </row>
    <row r="6287" spans="1:25" x14ac:dyDescent="0.2">
      <c r="A6287" s="93"/>
      <c r="B6287" s="94" t="str">
        <f>IFERROR(VLOOKUP($A6287,HeadJournal!$A$1:$NTR$890,COLUMN(HeadJournal!B$1),0),"")</f>
        <v/>
      </c>
      <c r="C6287" s="94" t="str">
        <f>IFERROR(VLOOKUP($A6287,HeadJournal!$A$1:$NTR$890,COLUMN(HeadJournal!C$1),0),"")</f>
        <v/>
      </c>
      <c r="D6287" s="125" t="str">
        <f>IFERROR(VLOOKUP($A6287,HeadJournal!$A$1:$NTR$890,COLUMN(HeadJournal!D$1),0),"")</f>
        <v/>
      </c>
      <c r="E6287" s="95" t="str">
        <f>IFERROR(VLOOKUP($A6287,HeadJournal!$A$1:$NTR$890,COLUMN(HeadJournal!G$1),0),"")</f>
        <v/>
      </c>
      <c r="F6287" s="95" t="str">
        <f t="shared" si="457"/>
        <v/>
      </c>
      <c r="G6287" s="97"/>
      <c r="H6287" s="161"/>
      <c r="I6287" s="97"/>
      <c r="J6287" s="97"/>
      <c r="K6287" s="29"/>
      <c r="L6287" s="29"/>
      <c r="M6287" s="30">
        <f>IFERROR(VLOOKUP($A6287,HeadJournal!$A$1:$J$890,COLUMN(HeadJournal!I$1),0)*($K6287+$L6287)/(SUMIF($A:$A,$A6287,$K:$K)+SUMIF($A:$A,$A6287,$L:$L)),0)</f>
        <v>0</v>
      </c>
      <c r="N6287" s="30">
        <f>IFERROR((VLOOKUP($A6287,HeadJournal!$A$1:$K$890,COLUMN(HeadJournal!K$1),0)-VLOOKUP($A6287,HeadJournal!$A$1:$K$890,COLUMN(HeadJournal!J$1),0))*($K6287+$L6287)/(SUMIF($A:$A,$A6287,$K:$K)+SUMIF($A:$A,$A6287,$L:$L)),0)</f>
        <v>0</v>
      </c>
      <c r="O6287" s="30">
        <f>IFERROR((VLOOKUP($A6287,HeadJournal!$A$1:$L$890,COLUMN(HeadJournal!L$1),0)*($K6287+$L6287)/(SUMIF($A:$A,$A6287,$K:$K)+SUMIF($A:$A,$A6287,$L:$L)))/VLOOKUP($A6287,HeadJournal!$A$1:$L$890,COLUMN(HeadJournal!H$1),0),0)</f>
        <v>0</v>
      </c>
      <c r="P6287" s="30">
        <f>IFERROR(SUM(K6287:O6287)*VLOOKUP($A6287,HeadJournal!$A$1:$L$890,COLUMN(HeadJournal!H$1),0),0)</f>
        <v>0</v>
      </c>
      <c r="Q6287" s="29"/>
      <c r="R6287" s="31"/>
      <c r="S6287" s="31"/>
      <c r="T6287" s="95" t="str">
        <f t="shared" si="458"/>
        <v/>
      </c>
      <c r="U6287" s="32">
        <f t="shared" si="459"/>
        <v>0</v>
      </c>
      <c r="V6287" s="22" t="str">
        <f t="shared" si="460"/>
        <v/>
      </c>
      <c r="X6287" s="33"/>
      <c r="Y6287" s="33"/>
    </row>
    <row r="6288" spans="1:25" x14ac:dyDescent="0.2">
      <c r="A6288" s="93"/>
      <c r="B6288" s="94" t="str">
        <f>IFERROR(VLOOKUP($A6288,HeadJournal!$A$1:$NTR$890,COLUMN(HeadJournal!B$1),0),"")</f>
        <v/>
      </c>
      <c r="C6288" s="94" t="str">
        <f>IFERROR(VLOOKUP($A6288,HeadJournal!$A$1:$NTR$890,COLUMN(HeadJournal!C$1),0),"")</f>
        <v/>
      </c>
      <c r="D6288" s="125" t="str">
        <f>IFERROR(VLOOKUP($A6288,HeadJournal!$A$1:$NTR$890,COLUMN(HeadJournal!D$1),0),"")</f>
        <v/>
      </c>
      <c r="E6288" s="95" t="str">
        <f>IFERROR(VLOOKUP($A6288,HeadJournal!$A$1:$NTR$890,COLUMN(HeadJournal!G$1),0),"")</f>
        <v/>
      </c>
      <c r="F6288" s="95" t="str">
        <f t="shared" ref="F6288:F6315" si="461">IFERROR(TEXT(E6288, "ГГГГ ММ"),"")</f>
        <v/>
      </c>
      <c r="G6288" s="97"/>
      <c r="H6288" s="161"/>
      <c r="I6288" s="97"/>
      <c r="J6288" s="97"/>
      <c r="K6288" s="29"/>
      <c r="L6288" s="29"/>
      <c r="M6288" s="30">
        <f>IFERROR(VLOOKUP($A6288,HeadJournal!$A$1:$J$890,COLUMN(HeadJournal!I$1),0)*($K6288+$L6288)/(SUMIF($A:$A,$A6288,$K:$K)+SUMIF($A:$A,$A6288,$L:$L)),0)</f>
        <v>0</v>
      </c>
      <c r="N6288" s="30">
        <f>IFERROR((VLOOKUP($A6288,HeadJournal!$A$1:$K$890,COLUMN(HeadJournal!K$1),0)-VLOOKUP($A6288,HeadJournal!$A$1:$K$890,COLUMN(HeadJournal!J$1),0))*($K6288+$L6288)/(SUMIF($A:$A,$A6288,$K:$K)+SUMIF($A:$A,$A6288,$L:$L)),0)</f>
        <v>0</v>
      </c>
      <c r="O6288" s="30">
        <f>IFERROR((VLOOKUP($A6288,HeadJournal!$A$1:$L$890,COLUMN(HeadJournal!L$1),0)*($K6288+$L6288)/(SUMIF($A:$A,$A6288,$K:$K)+SUMIF($A:$A,$A6288,$L:$L)))/VLOOKUP($A6288,HeadJournal!$A$1:$L$890,COLUMN(HeadJournal!H$1),0),0)</f>
        <v>0</v>
      </c>
      <c r="P6288" s="30">
        <f>IFERROR(SUM(K6288:O6288)*VLOOKUP($A6288,HeadJournal!$A$1:$L$890,COLUMN(HeadJournal!H$1),0),0)</f>
        <v>0</v>
      </c>
      <c r="Q6288" s="29"/>
      <c r="R6288" s="31"/>
      <c r="S6288" s="31"/>
      <c r="T6288" s="95" t="str">
        <f t="shared" ref="T6288:T6315" si="462">IF(R6288="","",TEXT(R6288,"ГГГГ ММ"))</f>
        <v/>
      </c>
      <c r="U6288" s="32">
        <f t="shared" ref="U6288:U6315" si="463">Q6288-P6288</f>
        <v>0</v>
      </c>
      <c r="V6288" s="22" t="str">
        <f t="shared" ref="V6288:V6315" si="464">IF(Q6288&lt;&gt;0,IFERROR(U6288/P6288,""),"")</f>
        <v/>
      </c>
      <c r="X6288" s="33"/>
      <c r="Y6288" s="33"/>
    </row>
    <row r="6289" spans="1:25" x14ac:dyDescent="0.2">
      <c r="A6289" s="93"/>
      <c r="B6289" s="94" t="str">
        <f>IFERROR(VLOOKUP($A6289,HeadJournal!$A$1:$NTR$890,COLUMN(HeadJournal!B$1),0),"")</f>
        <v/>
      </c>
      <c r="C6289" s="94" t="str">
        <f>IFERROR(VLOOKUP($A6289,HeadJournal!$A$1:$NTR$890,COLUMN(HeadJournal!C$1),0),"")</f>
        <v/>
      </c>
      <c r="D6289" s="125" t="str">
        <f>IFERROR(VLOOKUP($A6289,HeadJournal!$A$1:$NTR$890,COLUMN(HeadJournal!D$1),0),"")</f>
        <v/>
      </c>
      <c r="E6289" s="95" t="str">
        <f>IFERROR(VLOOKUP($A6289,HeadJournal!$A$1:$NTR$890,COLUMN(HeadJournal!G$1),0),"")</f>
        <v/>
      </c>
      <c r="F6289" s="95" t="str">
        <f t="shared" si="461"/>
        <v/>
      </c>
      <c r="G6289" s="97"/>
      <c r="H6289" s="161"/>
      <c r="I6289" s="97"/>
      <c r="J6289" s="97"/>
      <c r="K6289" s="29"/>
      <c r="L6289" s="29"/>
      <c r="M6289" s="30">
        <f>IFERROR(VLOOKUP($A6289,HeadJournal!$A$1:$J$890,COLUMN(HeadJournal!I$1),0)*($K6289+$L6289)/(SUMIF($A:$A,$A6289,$K:$K)+SUMIF($A:$A,$A6289,$L:$L)),0)</f>
        <v>0</v>
      </c>
      <c r="N6289" s="30">
        <f>IFERROR((VLOOKUP($A6289,HeadJournal!$A$1:$K$890,COLUMN(HeadJournal!K$1),0)-VLOOKUP($A6289,HeadJournal!$A$1:$K$890,COLUMN(HeadJournal!J$1),0))*($K6289+$L6289)/(SUMIF($A:$A,$A6289,$K:$K)+SUMIF($A:$A,$A6289,$L:$L)),0)</f>
        <v>0</v>
      </c>
      <c r="O6289" s="30">
        <f>IFERROR((VLOOKUP($A6289,HeadJournal!$A$1:$L$890,COLUMN(HeadJournal!L$1),0)*($K6289+$L6289)/(SUMIF($A:$A,$A6289,$K:$K)+SUMIF($A:$A,$A6289,$L:$L)))/VLOOKUP($A6289,HeadJournal!$A$1:$L$890,COLUMN(HeadJournal!H$1),0),0)</f>
        <v>0</v>
      </c>
      <c r="P6289" s="30">
        <f>IFERROR(SUM(K6289:O6289)*VLOOKUP($A6289,HeadJournal!$A$1:$L$890,COLUMN(HeadJournal!H$1),0),0)</f>
        <v>0</v>
      </c>
      <c r="Q6289" s="29"/>
      <c r="R6289" s="31"/>
      <c r="S6289" s="31"/>
      <c r="T6289" s="95" t="str">
        <f t="shared" si="462"/>
        <v/>
      </c>
      <c r="U6289" s="32">
        <f t="shared" si="463"/>
        <v>0</v>
      </c>
      <c r="V6289" s="22" t="str">
        <f t="shared" si="464"/>
        <v/>
      </c>
      <c r="X6289" s="33"/>
      <c r="Y6289" s="33"/>
    </row>
    <row r="6290" spans="1:25" x14ac:dyDescent="0.2">
      <c r="A6290" s="93"/>
      <c r="B6290" s="94" t="str">
        <f>IFERROR(VLOOKUP($A6290,HeadJournal!$A$1:$NTR$890,COLUMN(HeadJournal!B$1),0),"")</f>
        <v/>
      </c>
      <c r="C6290" s="94" t="str">
        <f>IFERROR(VLOOKUP($A6290,HeadJournal!$A$1:$NTR$890,COLUMN(HeadJournal!C$1),0),"")</f>
        <v/>
      </c>
      <c r="D6290" s="125" t="str">
        <f>IFERROR(VLOOKUP($A6290,HeadJournal!$A$1:$NTR$890,COLUMN(HeadJournal!D$1),0),"")</f>
        <v/>
      </c>
      <c r="E6290" s="95" t="str">
        <f>IFERROR(VLOOKUP($A6290,HeadJournal!$A$1:$NTR$890,COLUMN(HeadJournal!G$1),0),"")</f>
        <v/>
      </c>
      <c r="F6290" s="95" t="str">
        <f t="shared" si="461"/>
        <v/>
      </c>
      <c r="G6290" s="97"/>
      <c r="H6290" s="161"/>
      <c r="I6290" s="97"/>
      <c r="J6290" s="97"/>
      <c r="K6290" s="29"/>
      <c r="L6290" s="29"/>
      <c r="M6290" s="30">
        <f>IFERROR(VLOOKUP($A6290,HeadJournal!$A$1:$J$890,COLUMN(HeadJournal!I$1),0)*($K6290+$L6290)/(SUMIF($A:$A,$A6290,$K:$K)+SUMIF($A:$A,$A6290,$L:$L)),0)</f>
        <v>0</v>
      </c>
      <c r="N6290" s="30">
        <f>IFERROR((VLOOKUP($A6290,HeadJournal!$A$1:$K$890,COLUMN(HeadJournal!K$1),0)-VLOOKUP($A6290,HeadJournal!$A$1:$K$890,COLUMN(HeadJournal!J$1),0))*($K6290+$L6290)/(SUMIF($A:$A,$A6290,$K:$K)+SUMIF($A:$A,$A6290,$L:$L)),0)</f>
        <v>0</v>
      </c>
      <c r="O6290" s="30">
        <f>IFERROR((VLOOKUP($A6290,HeadJournal!$A$1:$L$890,COLUMN(HeadJournal!L$1),0)*($K6290+$L6290)/(SUMIF($A:$A,$A6290,$K:$K)+SUMIF($A:$A,$A6290,$L:$L)))/VLOOKUP($A6290,HeadJournal!$A$1:$L$890,COLUMN(HeadJournal!H$1),0),0)</f>
        <v>0</v>
      </c>
      <c r="P6290" s="30">
        <f>IFERROR(SUM(K6290:O6290)*VLOOKUP($A6290,HeadJournal!$A$1:$L$890,COLUMN(HeadJournal!H$1),0),0)</f>
        <v>0</v>
      </c>
      <c r="Q6290" s="29"/>
      <c r="R6290" s="31"/>
      <c r="S6290" s="31"/>
      <c r="T6290" s="95" t="str">
        <f t="shared" si="462"/>
        <v/>
      </c>
      <c r="U6290" s="32">
        <f t="shared" si="463"/>
        <v>0</v>
      </c>
      <c r="V6290" s="22" t="str">
        <f t="shared" si="464"/>
        <v/>
      </c>
      <c r="X6290" s="33"/>
      <c r="Y6290" s="33"/>
    </row>
    <row r="6291" spans="1:25" x14ac:dyDescent="0.2">
      <c r="A6291" s="93"/>
      <c r="B6291" s="94" t="str">
        <f>IFERROR(VLOOKUP($A6291,HeadJournal!$A$1:$NTR$890,COLUMN(HeadJournal!B$1),0),"")</f>
        <v/>
      </c>
      <c r="C6291" s="94" t="str">
        <f>IFERROR(VLOOKUP($A6291,HeadJournal!$A$1:$NTR$890,COLUMN(HeadJournal!C$1),0),"")</f>
        <v/>
      </c>
      <c r="D6291" s="125" t="str">
        <f>IFERROR(VLOOKUP($A6291,HeadJournal!$A$1:$NTR$890,COLUMN(HeadJournal!D$1),0),"")</f>
        <v/>
      </c>
      <c r="E6291" s="95" t="str">
        <f>IFERROR(VLOOKUP($A6291,HeadJournal!$A$1:$NTR$890,COLUMN(HeadJournal!G$1),0),"")</f>
        <v/>
      </c>
      <c r="F6291" s="95" t="str">
        <f t="shared" si="461"/>
        <v/>
      </c>
      <c r="G6291" s="97"/>
      <c r="H6291" s="161"/>
      <c r="I6291" s="97"/>
      <c r="J6291" s="97"/>
      <c r="K6291" s="29"/>
      <c r="L6291" s="29"/>
      <c r="M6291" s="30">
        <f>IFERROR(VLOOKUP($A6291,HeadJournal!$A$1:$J$890,COLUMN(HeadJournal!I$1),0)*($K6291+$L6291)/(SUMIF($A:$A,$A6291,$K:$K)+SUMIF($A:$A,$A6291,$L:$L)),0)</f>
        <v>0</v>
      </c>
      <c r="N6291" s="30">
        <f>IFERROR((VLOOKUP($A6291,HeadJournal!$A$1:$K$890,COLUMN(HeadJournal!K$1),0)-VLOOKUP($A6291,HeadJournal!$A$1:$K$890,COLUMN(HeadJournal!J$1),0))*($K6291+$L6291)/(SUMIF($A:$A,$A6291,$K:$K)+SUMIF($A:$A,$A6291,$L:$L)),0)</f>
        <v>0</v>
      </c>
      <c r="O6291" s="30">
        <f>IFERROR((VLOOKUP($A6291,HeadJournal!$A$1:$L$890,COLUMN(HeadJournal!L$1),0)*($K6291+$L6291)/(SUMIF($A:$A,$A6291,$K:$K)+SUMIF($A:$A,$A6291,$L:$L)))/VLOOKUP($A6291,HeadJournal!$A$1:$L$890,COLUMN(HeadJournal!H$1),0),0)</f>
        <v>0</v>
      </c>
      <c r="P6291" s="30">
        <f>IFERROR(SUM(K6291:O6291)*VLOOKUP($A6291,HeadJournal!$A$1:$L$890,COLUMN(HeadJournal!H$1),0),0)</f>
        <v>0</v>
      </c>
      <c r="Q6291" s="29"/>
      <c r="R6291" s="31"/>
      <c r="S6291" s="31"/>
      <c r="T6291" s="95" t="str">
        <f t="shared" si="462"/>
        <v/>
      </c>
      <c r="U6291" s="32">
        <f t="shared" si="463"/>
        <v>0</v>
      </c>
      <c r="V6291" s="22" t="str">
        <f t="shared" si="464"/>
        <v/>
      </c>
      <c r="X6291" s="33"/>
      <c r="Y6291" s="33"/>
    </row>
    <row r="6292" spans="1:25" x14ac:dyDescent="0.2">
      <c r="A6292" s="93"/>
      <c r="B6292" s="94" t="str">
        <f>IFERROR(VLOOKUP($A6292,HeadJournal!$A$1:$NTR$890,COLUMN(HeadJournal!B$1),0),"")</f>
        <v/>
      </c>
      <c r="C6292" s="94" t="str">
        <f>IFERROR(VLOOKUP($A6292,HeadJournal!$A$1:$NTR$890,COLUMN(HeadJournal!C$1),0),"")</f>
        <v/>
      </c>
      <c r="D6292" s="125" t="str">
        <f>IFERROR(VLOOKUP($A6292,HeadJournal!$A$1:$NTR$890,COLUMN(HeadJournal!D$1),0),"")</f>
        <v/>
      </c>
      <c r="E6292" s="95" t="str">
        <f>IFERROR(VLOOKUP($A6292,HeadJournal!$A$1:$NTR$890,COLUMN(HeadJournal!G$1),0),"")</f>
        <v/>
      </c>
      <c r="F6292" s="95" t="str">
        <f t="shared" si="461"/>
        <v/>
      </c>
      <c r="G6292" s="97"/>
      <c r="H6292" s="161"/>
      <c r="I6292" s="97"/>
      <c r="J6292" s="97"/>
      <c r="K6292" s="29"/>
      <c r="L6292" s="29"/>
      <c r="M6292" s="30">
        <f>IFERROR(VLOOKUP($A6292,HeadJournal!$A$1:$J$890,COLUMN(HeadJournal!I$1),0)*($K6292+$L6292)/(SUMIF($A:$A,$A6292,$K:$K)+SUMIF($A:$A,$A6292,$L:$L)),0)</f>
        <v>0</v>
      </c>
      <c r="N6292" s="30">
        <f>IFERROR((VLOOKUP($A6292,HeadJournal!$A$1:$K$890,COLUMN(HeadJournal!K$1),0)-VLOOKUP($A6292,HeadJournal!$A$1:$K$890,COLUMN(HeadJournal!J$1),0))*($K6292+$L6292)/(SUMIF($A:$A,$A6292,$K:$K)+SUMIF($A:$A,$A6292,$L:$L)),0)</f>
        <v>0</v>
      </c>
      <c r="O6292" s="30">
        <f>IFERROR((VLOOKUP($A6292,HeadJournal!$A$1:$L$890,COLUMN(HeadJournal!L$1),0)*($K6292+$L6292)/(SUMIF($A:$A,$A6292,$K:$K)+SUMIF($A:$A,$A6292,$L:$L)))/VLOOKUP($A6292,HeadJournal!$A$1:$L$890,COLUMN(HeadJournal!H$1),0),0)</f>
        <v>0</v>
      </c>
      <c r="P6292" s="30">
        <f>IFERROR(SUM(K6292:O6292)*VLOOKUP($A6292,HeadJournal!$A$1:$L$890,COLUMN(HeadJournal!H$1),0),0)</f>
        <v>0</v>
      </c>
      <c r="Q6292" s="29"/>
      <c r="R6292" s="31"/>
      <c r="S6292" s="31"/>
      <c r="T6292" s="95" t="str">
        <f t="shared" si="462"/>
        <v/>
      </c>
      <c r="U6292" s="32">
        <f t="shared" si="463"/>
        <v>0</v>
      </c>
      <c r="V6292" s="22" t="str">
        <f t="shared" si="464"/>
        <v/>
      </c>
      <c r="X6292" s="33"/>
      <c r="Y6292" s="33"/>
    </row>
    <row r="6293" spans="1:25" x14ac:dyDescent="0.2">
      <c r="A6293" s="93"/>
      <c r="B6293" s="94" t="str">
        <f>IFERROR(VLOOKUP($A6293,HeadJournal!$A$1:$NTR$890,COLUMN(HeadJournal!B$1),0),"")</f>
        <v/>
      </c>
      <c r="C6293" s="94" t="str">
        <f>IFERROR(VLOOKUP($A6293,HeadJournal!$A$1:$NTR$890,COLUMN(HeadJournal!C$1),0),"")</f>
        <v/>
      </c>
      <c r="D6293" s="125" t="str">
        <f>IFERROR(VLOOKUP($A6293,HeadJournal!$A$1:$NTR$890,COLUMN(HeadJournal!D$1),0),"")</f>
        <v/>
      </c>
      <c r="E6293" s="95" t="str">
        <f>IFERROR(VLOOKUP($A6293,HeadJournal!$A$1:$NTR$890,COLUMN(HeadJournal!G$1),0),"")</f>
        <v/>
      </c>
      <c r="F6293" s="95" t="str">
        <f t="shared" si="461"/>
        <v/>
      </c>
      <c r="G6293" s="97"/>
      <c r="H6293" s="161"/>
      <c r="I6293" s="97"/>
      <c r="J6293" s="97"/>
      <c r="K6293" s="29"/>
      <c r="L6293" s="29"/>
      <c r="M6293" s="30">
        <f>IFERROR(VLOOKUP($A6293,HeadJournal!$A$1:$J$890,COLUMN(HeadJournal!I$1),0)*($K6293+$L6293)/(SUMIF($A:$A,$A6293,$K:$K)+SUMIF($A:$A,$A6293,$L:$L)),0)</f>
        <v>0</v>
      </c>
      <c r="N6293" s="30">
        <f>IFERROR((VLOOKUP($A6293,HeadJournal!$A$1:$K$890,COLUMN(HeadJournal!K$1),0)-VLOOKUP($A6293,HeadJournal!$A$1:$K$890,COLUMN(HeadJournal!J$1),0))*($K6293+$L6293)/(SUMIF($A:$A,$A6293,$K:$K)+SUMIF($A:$A,$A6293,$L:$L)),0)</f>
        <v>0</v>
      </c>
      <c r="O6293" s="30">
        <f>IFERROR((VLOOKUP($A6293,HeadJournal!$A$1:$L$890,COLUMN(HeadJournal!L$1),0)*($K6293+$L6293)/(SUMIF($A:$A,$A6293,$K:$K)+SUMIF($A:$A,$A6293,$L:$L)))/VLOOKUP($A6293,HeadJournal!$A$1:$L$890,COLUMN(HeadJournal!H$1),0),0)</f>
        <v>0</v>
      </c>
      <c r="P6293" s="30">
        <f>IFERROR(SUM(K6293:O6293)*VLOOKUP($A6293,HeadJournal!$A$1:$L$890,COLUMN(HeadJournal!H$1),0),0)</f>
        <v>0</v>
      </c>
      <c r="Q6293" s="29"/>
      <c r="R6293" s="31"/>
      <c r="S6293" s="31"/>
      <c r="T6293" s="95" t="str">
        <f t="shared" si="462"/>
        <v/>
      </c>
      <c r="U6293" s="32">
        <f t="shared" si="463"/>
        <v>0</v>
      </c>
      <c r="V6293" s="22" t="str">
        <f t="shared" si="464"/>
        <v/>
      </c>
      <c r="X6293" s="33"/>
      <c r="Y6293" s="33"/>
    </row>
    <row r="6294" spans="1:25" x14ac:dyDescent="0.2">
      <c r="A6294" s="93"/>
      <c r="B6294" s="94" t="str">
        <f>IFERROR(VLOOKUP($A6294,HeadJournal!$A$1:$NTR$890,COLUMN(HeadJournal!B$1),0),"")</f>
        <v/>
      </c>
      <c r="C6294" s="94" t="str">
        <f>IFERROR(VLOOKUP($A6294,HeadJournal!$A$1:$NTR$890,COLUMN(HeadJournal!C$1),0),"")</f>
        <v/>
      </c>
      <c r="D6294" s="125" t="str">
        <f>IFERROR(VLOOKUP($A6294,HeadJournal!$A$1:$NTR$890,COLUMN(HeadJournal!D$1),0),"")</f>
        <v/>
      </c>
      <c r="E6294" s="95" t="str">
        <f>IFERROR(VLOOKUP($A6294,HeadJournal!$A$1:$NTR$890,COLUMN(HeadJournal!G$1),0),"")</f>
        <v/>
      </c>
      <c r="F6294" s="95" t="str">
        <f t="shared" si="461"/>
        <v/>
      </c>
      <c r="G6294" s="97"/>
      <c r="H6294" s="161"/>
      <c r="I6294" s="97"/>
      <c r="J6294" s="97"/>
      <c r="K6294" s="29"/>
      <c r="L6294" s="29"/>
      <c r="M6294" s="30">
        <f>IFERROR(VLOOKUP($A6294,HeadJournal!$A$1:$J$890,COLUMN(HeadJournal!I$1),0)*($K6294+$L6294)/(SUMIF($A:$A,$A6294,$K:$K)+SUMIF($A:$A,$A6294,$L:$L)),0)</f>
        <v>0</v>
      </c>
      <c r="N6294" s="30">
        <f>IFERROR((VLOOKUP($A6294,HeadJournal!$A$1:$K$890,COLUMN(HeadJournal!K$1),0)-VLOOKUP($A6294,HeadJournal!$A$1:$K$890,COLUMN(HeadJournal!J$1),0))*($K6294+$L6294)/(SUMIF($A:$A,$A6294,$K:$K)+SUMIF($A:$A,$A6294,$L:$L)),0)</f>
        <v>0</v>
      </c>
      <c r="O6294" s="30">
        <f>IFERROR((VLOOKUP($A6294,HeadJournal!$A$1:$L$890,COLUMN(HeadJournal!L$1),0)*($K6294+$L6294)/(SUMIF($A:$A,$A6294,$K:$K)+SUMIF($A:$A,$A6294,$L:$L)))/VLOOKUP($A6294,HeadJournal!$A$1:$L$890,COLUMN(HeadJournal!H$1),0),0)</f>
        <v>0</v>
      </c>
      <c r="P6294" s="30">
        <f>IFERROR(SUM(K6294:O6294)*VLOOKUP($A6294,HeadJournal!$A$1:$L$890,COLUMN(HeadJournal!H$1),0),0)</f>
        <v>0</v>
      </c>
      <c r="Q6294" s="29"/>
      <c r="R6294" s="31"/>
      <c r="S6294" s="31"/>
      <c r="T6294" s="95" t="str">
        <f t="shared" si="462"/>
        <v/>
      </c>
      <c r="U6294" s="32">
        <f t="shared" si="463"/>
        <v>0</v>
      </c>
      <c r="V6294" s="22" t="str">
        <f t="shared" si="464"/>
        <v/>
      </c>
      <c r="X6294" s="33"/>
      <c r="Y6294" s="33"/>
    </row>
    <row r="6295" spans="1:25" x14ac:dyDescent="0.2">
      <c r="A6295" s="93"/>
      <c r="B6295" s="94" t="str">
        <f>IFERROR(VLOOKUP($A6295,HeadJournal!$A$1:$NTR$890,COLUMN(HeadJournal!B$1),0),"")</f>
        <v/>
      </c>
      <c r="C6295" s="94" t="str">
        <f>IFERROR(VLOOKUP($A6295,HeadJournal!$A$1:$NTR$890,COLUMN(HeadJournal!C$1),0),"")</f>
        <v/>
      </c>
      <c r="D6295" s="125" t="str">
        <f>IFERROR(VLOOKUP($A6295,HeadJournal!$A$1:$NTR$890,COLUMN(HeadJournal!D$1),0),"")</f>
        <v/>
      </c>
      <c r="E6295" s="95" t="str">
        <f>IFERROR(VLOOKUP($A6295,HeadJournal!$A$1:$NTR$890,COLUMN(HeadJournal!G$1),0),"")</f>
        <v/>
      </c>
      <c r="F6295" s="95" t="str">
        <f t="shared" si="461"/>
        <v/>
      </c>
      <c r="G6295" s="97"/>
      <c r="H6295" s="161"/>
      <c r="I6295" s="97"/>
      <c r="J6295" s="97"/>
      <c r="K6295" s="29"/>
      <c r="L6295" s="29"/>
      <c r="M6295" s="30">
        <f>IFERROR(VLOOKUP($A6295,HeadJournal!$A$1:$J$890,COLUMN(HeadJournal!I$1),0)*($K6295+$L6295)/(SUMIF($A:$A,$A6295,$K:$K)+SUMIF($A:$A,$A6295,$L:$L)),0)</f>
        <v>0</v>
      </c>
      <c r="N6295" s="30">
        <f>IFERROR((VLOOKUP($A6295,HeadJournal!$A$1:$K$890,COLUMN(HeadJournal!K$1),0)-VLOOKUP($A6295,HeadJournal!$A$1:$K$890,COLUMN(HeadJournal!J$1),0))*($K6295+$L6295)/(SUMIF($A:$A,$A6295,$K:$K)+SUMIF($A:$A,$A6295,$L:$L)),0)</f>
        <v>0</v>
      </c>
      <c r="O6295" s="30">
        <f>IFERROR((VLOOKUP($A6295,HeadJournal!$A$1:$L$890,COLUMN(HeadJournal!L$1),0)*($K6295+$L6295)/(SUMIF($A:$A,$A6295,$K:$K)+SUMIF($A:$A,$A6295,$L:$L)))/VLOOKUP($A6295,HeadJournal!$A$1:$L$890,COLUMN(HeadJournal!H$1),0),0)</f>
        <v>0</v>
      </c>
      <c r="P6295" s="30">
        <f>IFERROR(SUM(K6295:O6295)*VLOOKUP($A6295,HeadJournal!$A$1:$L$890,COLUMN(HeadJournal!H$1),0),0)</f>
        <v>0</v>
      </c>
      <c r="Q6295" s="29"/>
      <c r="R6295" s="31"/>
      <c r="S6295" s="31"/>
      <c r="T6295" s="95" t="str">
        <f t="shared" si="462"/>
        <v/>
      </c>
      <c r="U6295" s="32">
        <f t="shared" si="463"/>
        <v>0</v>
      </c>
      <c r="V6295" s="22" t="str">
        <f t="shared" si="464"/>
        <v/>
      </c>
      <c r="X6295" s="33"/>
      <c r="Y6295" s="33"/>
    </row>
    <row r="6296" spans="1:25" x14ac:dyDescent="0.2">
      <c r="A6296" s="93"/>
      <c r="B6296" s="94" t="str">
        <f>IFERROR(VLOOKUP($A6296,HeadJournal!$A$1:$NTR$890,COLUMN(HeadJournal!B$1),0),"")</f>
        <v/>
      </c>
      <c r="C6296" s="94" t="str">
        <f>IFERROR(VLOOKUP($A6296,HeadJournal!$A$1:$NTR$890,COLUMN(HeadJournal!C$1),0),"")</f>
        <v/>
      </c>
      <c r="D6296" s="125" t="str">
        <f>IFERROR(VLOOKUP($A6296,HeadJournal!$A$1:$NTR$890,COLUMN(HeadJournal!D$1),0),"")</f>
        <v/>
      </c>
      <c r="E6296" s="95" t="str">
        <f>IFERROR(VLOOKUP($A6296,HeadJournal!$A$1:$NTR$890,COLUMN(HeadJournal!G$1),0),"")</f>
        <v/>
      </c>
      <c r="F6296" s="95" t="str">
        <f t="shared" si="461"/>
        <v/>
      </c>
      <c r="G6296" s="97"/>
      <c r="H6296" s="161"/>
      <c r="I6296" s="97"/>
      <c r="J6296" s="97"/>
      <c r="K6296" s="29"/>
      <c r="L6296" s="29"/>
      <c r="M6296" s="30">
        <f>IFERROR(VLOOKUP($A6296,HeadJournal!$A$1:$J$890,COLUMN(HeadJournal!I$1),0)*($K6296+$L6296)/(SUMIF($A:$A,$A6296,$K:$K)+SUMIF($A:$A,$A6296,$L:$L)),0)</f>
        <v>0</v>
      </c>
      <c r="N6296" s="30">
        <f>IFERROR((VLOOKUP($A6296,HeadJournal!$A$1:$K$890,COLUMN(HeadJournal!K$1),0)-VLOOKUP($A6296,HeadJournal!$A$1:$K$890,COLUMN(HeadJournal!J$1),0))*($K6296+$L6296)/(SUMIF($A:$A,$A6296,$K:$K)+SUMIF($A:$A,$A6296,$L:$L)),0)</f>
        <v>0</v>
      </c>
      <c r="O6296" s="30">
        <f>IFERROR((VLOOKUP($A6296,HeadJournal!$A$1:$L$890,COLUMN(HeadJournal!L$1),0)*($K6296+$L6296)/(SUMIF($A:$A,$A6296,$K:$K)+SUMIF($A:$A,$A6296,$L:$L)))/VLOOKUP($A6296,HeadJournal!$A$1:$L$890,COLUMN(HeadJournal!H$1),0),0)</f>
        <v>0</v>
      </c>
      <c r="P6296" s="30">
        <f>IFERROR(SUM(K6296:O6296)*VLOOKUP($A6296,HeadJournal!$A$1:$L$890,COLUMN(HeadJournal!H$1),0),0)</f>
        <v>0</v>
      </c>
      <c r="Q6296" s="29"/>
      <c r="R6296" s="31"/>
      <c r="S6296" s="31"/>
      <c r="T6296" s="95" t="str">
        <f t="shared" si="462"/>
        <v/>
      </c>
      <c r="U6296" s="32">
        <f t="shared" si="463"/>
        <v>0</v>
      </c>
      <c r="V6296" s="22" t="str">
        <f t="shared" si="464"/>
        <v/>
      </c>
      <c r="X6296" s="33"/>
      <c r="Y6296" s="33"/>
    </row>
    <row r="6297" spans="1:25" x14ac:dyDescent="0.2">
      <c r="A6297" s="93"/>
      <c r="B6297" s="94" t="str">
        <f>IFERROR(VLOOKUP($A6297,HeadJournal!$A$1:$NTR$890,COLUMN(HeadJournal!B$1),0),"")</f>
        <v/>
      </c>
      <c r="C6297" s="94" t="str">
        <f>IFERROR(VLOOKUP($A6297,HeadJournal!$A$1:$NTR$890,COLUMN(HeadJournal!C$1),0),"")</f>
        <v/>
      </c>
      <c r="D6297" s="125" t="str">
        <f>IFERROR(VLOOKUP($A6297,HeadJournal!$A$1:$NTR$890,COLUMN(HeadJournal!D$1),0),"")</f>
        <v/>
      </c>
      <c r="E6297" s="95" t="str">
        <f>IFERROR(VLOOKUP($A6297,HeadJournal!$A$1:$NTR$890,COLUMN(HeadJournal!G$1),0),"")</f>
        <v/>
      </c>
      <c r="F6297" s="95" t="str">
        <f t="shared" si="461"/>
        <v/>
      </c>
      <c r="G6297" s="97"/>
      <c r="H6297" s="161"/>
      <c r="I6297" s="97"/>
      <c r="J6297" s="97"/>
      <c r="K6297" s="29"/>
      <c r="L6297" s="29"/>
      <c r="M6297" s="30">
        <f>IFERROR(VLOOKUP($A6297,HeadJournal!$A$1:$J$890,COLUMN(HeadJournal!I$1),0)*($K6297+$L6297)/(SUMIF($A:$A,$A6297,$K:$K)+SUMIF($A:$A,$A6297,$L:$L)),0)</f>
        <v>0</v>
      </c>
      <c r="N6297" s="30">
        <f>IFERROR((VLOOKUP($A6297,HeadJournal!$A$1:$K$890,COLUMN(HeadJournal!K$1),0)-VLOOKUP($A6297,HeadJournal!$A$1:$K$890,COLUMN(HeadJournal!J$1),0))*($K6297+$L6297)/(SUMIF($A:$A,$A6297,$K:$K)+SUMIF($A:$A,$A6297,$L:$L)),0)</f>
        <v>0</v>
      </c>
      <c r="O6297" s="30">
        <f>IFERROR((VLOOKUP($A6297,HeadJournal!$A$1:$L$890,COLUMN(HeadJournal!L$1),0)*($K6297+$L6297)/(SUMIF($A:$A,$A6297,$K:$K)+SUMIF($A:$A,$A6297,$L:$L)))/VLOOKUP($A6297,HeadJournal!$A$1:$L$890,COLUMN(HeadJournal!H$1),0),0)</f>
        <v>0</v>
      </c>
      <c r="P6297" s="30">
        <f>IFERROR(SUM(K6297:O6297)*VLOOKUP($A6297,HeadJournal!$A$1:$L$890,COLUMN(HeadJournal!H$1),0),0)</f>
        <v>0</v>
      </c>
      <c r="Q6297" s="29"/>
      <c r="R6297" s="31"/>
      <c r="S6297" s="31"/>
      <c r="T6297" s="95" t="str">
        <f t="shared" si="462"/>
        <v/>
      </c>
      <c r="U6297" s="32">
        <f t="shared" si="463"/>
        <v>0</v>
      </c>
      <c r="V6297" s="22" t="str">
        <f t="shared" si="464"/>
        <v/>
      </c>
      <c r="X6297" s="33"/>
      <c r="Y6297" s="33"/>
    </row>
    <row r="6298" spans="1:25" x14ac:dyDescent="0.2">
      <c r="A6298" s="93"/>
      <c r="B6298" s="94" t="str">
        <f>IFERROR(VLOOKUP($A6298,HeadJournal!$A$1:$NTR$890,COLUMN(HeadJournal!B$1),0),"")</f>
        <v/>
      </c>
      <c r="C6298" s="94" t="str">
        <f>IFERROR(VLOOKUP($A6298,HeadJournal!$A$1:$NTR$890,COLUMN(HeadJournal!C$1),0),"")</f>
        <v/>
      </c>
      <c r="D6298" s="125" t="str">
        <f>IFERROR(VLOOKUP($A6298,HeadJournal!$A$1:$NTR$890,COLUMN(HeadJournal!D$1),0),"")</f>
        <v/>
      </c>
      <c r="E6298" s="95" t="str">
        <f>IFERROR(VLOOKUP($A6298,HeadJournal!$A$1:$NTR$890,COLUMN(HeadJournal!G$1),0),"")</f>
        <v/>
      </c>
      <c r="F6298" s="95" t="str">
        <f t="shared" si="461"/>
        <v/>
      </c>
      <c r="G6298" s="97"/>
      <c r="H6298" s="161"/>
      <c r="I6298" s="97"/>
      <c r="J6298" s="97"/>
      <c r="K6298" s="29"/>
      <c r="L6298" s="29"/>
      <c r="M6298" s="30">
        <f>IFERROR(VLOOKUP($A6298,HeadJournal!$A$1:$J$890,COLUMN(HeadJournal!I$1),0)*($K6298+$L6298)/(SUMIF($A:$A,$A6298,$K:$K)+SUMIF($A:$A,$A6298,$L:$L)),0)</f>
        <v>0</v>
      </c>
      <c r="N6298" s="30">
        <f>IFERROR((VLOOKUP($A6298,HeadJournal!$A$1:$K$890,COLUMN(HeadJournal!K$1),0)-VLOOKUP($A6298,HeadJournal!$A$1:$K$890,COLUMN(HeadJournal!J$1),0))*($K6298+$L6298)/(SUMIF($A:$A,$A6298,$K:$K)+SUMIF($A:$A,$A6298,$L:$L)),0)</f>
        <v>0</v>
      </c>
      <c r="O6298" s="30">
        <f>IFERROR((VLOOKUP($A6298,HeadJournal!$A$1:$L$890,COLUMN(HeadJournal!L$1),0)*($K6298+$L6298)/(SUMIF($A:$A,$A6298,$K:$K)+SUMIF($A:$A,$A6298,$L:$L)))/VLOOKUP($A6298,HeadJournal!$A$1:$L$890,COLUMN(HeadJournal!H$1),0),0)</f>
        <v>0</v>
      </c>
      <c r="P6298" s="30">
        <f>IFERROR(SUM(K6298:O6298)*VLOOKUP($A6298,HeadJournal!$A$1:$L$890,COLUMN(HeadJournal!H$1),0),0)</f>
        <v>0</v>
      </c>
      <c r="Q6298" s="29"/>
      <c r="R6298" s="31"/>
      <c r="S6298" s="31"/>
      <c r="T6298" s="95" t="str">
        <f t="shared" si="462"/>
        <v/>
      </c>
      <c r="U6298" s="32">
        <f t="shared" si="463"/>
        <v>0</v>
      </c>
      <c r="V6298" s="22" t="str">
        <f t="shared" si="464"/>
        <v/>
      </c>
      <c r="X6298" s="33"/>
      <c r="Y6298" s="33"/>
    </row>
    <row r="6299" spans="1:25" x14ac:dyDescent="0.2">
      <c r="A6299" s="93"/>
      <c r="B6299" s="94" t="str">
        <f>IFERROR(VLOOKUP($A6299,HeadJournal!$A$1:$NTR$890,COLUMN(HeadJournal!B$1),0),"")</f>
        <v/>
      </c>
      <c r="C6299" s="94" t="str">
        <f>IFERROR(VLOOKUP($A6299,HeadJournal!$A$1:$NTR$890,COLUMN(HeadJournal!C$1),0),"")</f>
        <v/>
      </c>
      <c r="D6299" s="125" t="str">
        <f>IFERROR(VLOOKUP($A6299,HeadJournal!$A$1:$NTR$890,COLUMN(HeadJournal!D$1),0),"")</f>
        <v/>
      </c>
      <c r="E6299" s="95" t="str">
        <f>IFERROR(VLOOKUP($A6299,HeadJournal!$A$1:$NTR$890,COLUMN(HeadJournal!G$1),0),"")</f>
        <v/>
      </c>
      <c r="F6299" s="95" t="str">
        <f t="shared" si="461"/>
        <v/>
      </c>
      <c r="G6299" s="97"/>
      <c r="H6299" s="161"/>
      <c r="I6299" s="97"/>
      <c r="J6299" s="97"/>
      <c r="K6299" s="29"/>
      <c r="L6299" s="29"/>
      <c r="M6299" s="30">
        <f>IFERROR(VLOOKUP($A6299,HeadJournal!$A$1:$J$890,COLUMN(HeadJournal!I$1),0)*($K6299+$L6299)/(SUMIF($A:$A,$A6299,$K:$K)+SUMIF($A:$A,$A6299,$L:$L)),0)</f>
        <v>0</v>
      </c>
      <c r="N6299" s="30">
        <f>IFERROR((VLOOKUP($A6299,HeadJournal!$A$1:$K$890,COLUMN(HeadJournal!K$1),0)-VLOOKUP($A6299,HeadJournal!$A$1:$K$890,COLUMN(HeadJournal!J$1),0))*($K6299+$L6299)/(SUMIF($A:$A,$A6299,$K:$K)+SUMIF($A:$A,$A6299,$L:$L)),0)</f>
        <v>0</v>
      </c>
      <c r="O6299" s="30">
        <f>IFERROR((VLOOKUP($A6299,HeadJournal!$A$1:$L$890,COLUMN(HeadJournal!L$1),0)*($K6299+$L6299)/(SUMIF($A:$A,$A6299,$K:$K)+SUMIF($A:$A,$A6299,$L:$L)))/VLOOKUP($A6299,HeadJournal!$A$1:$L$890,COLUMN(HeadJournal!H$1),0),0)</f>
        <v>0</v>
      </c>
      <c r="P6299" s="30">
        <f>IFERROR(SUM(K6299:O6299)*VLOOKUP($A6299,HeadJournal!$A$1:$L$890,COLUMN(HeadJournal!H$1),0),0)</f>
        <v>0</v>
      </c>
      <c r="Q6299" s="29"/>
      <c r="R6299" s="31"/>
      <c r="S6299" s="31"/>
      <c r="T6299" s="95" t="str">
        <f t="shared" si="462"/>
        <v/>
      </c>
      <c r="U6299" s="32">
        <f t="shared" si="463"/>
        <v>0</v>
      </c>
      <c r="V6299" s="22" t="str">
        <f t="shared" si="464"/>
        <v/>
      </c>
      <c r="X6299" s="33"/>
      <c r="Y6299" s="33"/>
    </row>
    <row r="6300" spans="1:25" x14ac:dyDescent="0.2">
      <c r="A6300" s="93"/>
      <c r="B6300" s="94" t="str">
        <f>IFERROR(VLOOKUP($A6300,HeadJournal!$A$1:$NTR$890,COLUMN(HeadJournal!B$1),0),"")</f>
        <v/>
      </c>
      <c r="C6300" s="94" t="str">
        <f>IFERROR(VLOOKUP($A6300,HeadJournal!$A$1:$NTR$890,COLUMN(HeadJournal!C$1),0),"")</f>
        <v/>
      </c>
      <c r="D6300" s="125" t="str">
        <f>IFERROR(VLOOKUP($A6300,HeadJournal!$A$1:$NTR$890,COLUMN(HeadJournal!D$1),0),"")</f>
        <v/>
      </c>
      <c r="E6300" s="95" t="str">
        <f>IFERROR(VLOOKUP($A6300,HeadJournal!$A$1:$NTR$890,COLUMN(HeadJournal!G$1),0),"")</f>
        <v/>
      </c>
      <c r="F6300" s="95" t="str">
        <f t="shared" si="461"/>
        <v/>
      </c>
      <c r="G6300" s="97"/>
      <c r="H6300" s="161"/>
      <c r="I6300" s="97"/>
      <c r="J6300" s="97"/>
      <c r="K6300" s="29"/>
      <c r="L6300" s="29"/>
      <c r="M6300" s="30">
        <f>IFERROR(VLOOKUP($A6300,HeadJournal!$A$1:$J$890,COLUMN(HeadJournal!I$1),0)*($K6300+$L6300)/(SUMIF($A:$A,$A6300,$K:$K)+SUMIF($A:$A,$A6300,$L:$L)),0)</f>
        <v>0</v>
      </c>
      <c r="N6300" s="30">
        <f>IFERROR((VLOOKUP($A6300,HeadJournal!$A$1:$K$890,COLUMN(HeadJournal!K$1),0)-VLOOKUP($A6300,HeadJournal!$A$1:$K$890,COLUMN(HeadJournal!J$1),0))*($K6300+$L6300)/(SUMIF($A:$A,$A6300,$K:$K)+SUMIF($A:$A,$A6300,$L:$L)),0)</f>
        <v>0</v>
      </c>
      <c r="O6300" s="30">
        <f>IFERROR((VLOOKUP($A6300,HeadJournal!$A$1:$L$890,COLUMN(HeadJournal!L$1),0)*($K6300+$L6300)/(SUMIF($A:$A,$A6300,$K:$K)+SUMIF($A:$A,$A6300,$L:$L)))/VLOOKUP($A6300,HeadJournal!$A$1:$L$890,COLUMN(HeadJournal!H$1),0),0)</f>
        <v>0</v>
      </c>
      <c r="P6300" s="30">
        <f>IFERROR(SUM(K6300:O6300)*VLOOKUP($A6300,HeadJournal!$A$1:$L$890,COLUMN(HeadJournal!H$1),0),0)</f>
        <v>0</v>
      </c>
      <c r="Q6300" s="29"/>
      <c r="R6300" s="31"/>
      <c r="S6300" s="31"/>
      <c r="T6300" s="95" t="str">
        <f t="shared" si="462"/>
        <v/>
      </c>
      <c r="U6300" s="32">
        <f t="shared" si="463"/>
        <v>0</v>
      </c>
      <c r="V6300" s="22" t="str">
        <f t="shared" si="464"/>
        <v/>
      </c>
      <c r="X6300" s="33"/>
      <c r="Y6300" s="33"/>
    </row>
    <row r="6301" spans="1:25" x14ac:dyDescent="0.2">
      <c r="A6301" s="93"/>
      <c r="B6301" s="94" t="str">
        <f>IFERROR(VLOOKUP($A6301,HeadJournal!$A$1:$NTR$890,COLUMN(HeadJournal!B$1),0),"")</f>
        <v/>
      </c>
      <c r="C6301" s="94" t="str">
        <f>IFERROR(VLOOKUP($A6301,HeadJournal!$A$1:$NTR$890,COLUMN(HeadJournal!C$1),0),"")</f>
        <v/>
      </c>
      <c r="D6301" s="125" t="str">
        <f>IFERROR(VLOOKUP($A6301,HeadJournal!$A$1:$NTR$890,COLUMN(HeadJournal!D$1),0),"")</f>
        <v/>
      </c>
      <c r="E6301" s="95" t="str">
        <f>IFERROR(VLOOKUP($A6301,HeadJournal!$A$1:$NTR$890,COLUMN(HeadJournal!G$1),0),"")</f>
        <v/>
      </c>
      <c r="F6301" s="95" t="str">
        <f t="shared" si="461"/>
        <v/>
      </c>
      <c r="G6301" s="97"/>
      <c r="H6301" s="161"/>
      <c r="I6301" s="97"/>
      <c r="J6301" s="97"/>
      <c r="K6301" s="29"/>
      <c r="L6301" s="29"/>
      <c r="M6301" s="30">
        <f>IFERROR(VLOOKUP($A6301,HeadJournal!$A$1:$J$890,COLUMN(HeadJournal!I$1),0)*($K6301+$L6301)/(SUMIF($A:$A,$A6301,$K:$K)+SUMIF($A:$A,$A6301,$L:$L)),0)</f>
        <v>0</v>
      </c>
      <c r="N6301" s="30">
        <f>IFERROR((VLOOKUP($A6301,HeadJournal!$A$1:$K$890,COLUMN(HeadJournal!K$1),0)-VLOOKUP($A6301,HeadJournal!$A$1:$K$890,COLUMN(HeadJournal!J$1),0))*($K6301+$L6301)/(SUMIF($A:$A,$A6301,$K:$K)+SUMIF($A:$A,$A6301,$L:$L)),0)</f>
        <v>0</v>
      </c>
      <c r="O6301" s="30">
        <f>IFERROR((VLOOKUP($A6301,HeadJournal!$A$1:$L$890,COLUMN(HeadJournal!L$1),0)*($K6301+$L6301)/(SUMIF($A:$A,$A6301,$K:$K)+SUMIF($A:$A,$A6301,$L:$L)))/VLOOKUP($A6301,HeadJournal!$A$1:$L$890,COLUMN(HeadJournal!H$1),0),0)</f>
        <v>0</v>
      </c>
      <c r="P6301" s="30">
        <f>IFERROR(SUM(K6301:O6301)*VLOOKUP($A6301,HeadJournal!$A$1:$L$890,COLUMN(HeadJournal!H$1),0),0)</f>
        <v>0</v>
      </c>
      <c r="Q6301" s="29"/>
      <c r="R6301" s="31"/>
      <c r="S6301" s="31"/>
      <c r="T6301" s="95" t="str">
        <f t="shared" si="462"/>
        <v/>
      </c>
      <c r="U6301" s="32">
        <f t="shared" si="463"/>
        <v>0</v>
      </c>
      <c r="V6301" s="22" t="str">
        <f t="shared" si="464"/>
        <v/>
      </c>
      <c r="X6301" s="33"/>
      <c r="Y6301" s="33"/>
    </row>
    <row r="6302" spans="1:25" x14ac:dyDescent="0.2">
      <c r="A6302" s="93"/>
      <c r="B6302" s="94" t="str">
        <f>IFERROR(VLOOKUP($A6302,HeadJournal!$A$1:$NTR$890,COLUMN(HeadJournal!B$1),0),"")</f>
        <v/>
      </c>
      <c r="C6302" s="94" t="str">
        <f>IFERROR(VLOOKUP($A6302,HeadJournal!$A$1:$NTR$890,COLUMN(HeadJournal!C$1),0),"")</f>
        <v/>
      </c>
      <c r="D6302" s="125" t="str">
        <f>IFERROR(VLOOKUP($A6302,HeadJournal!$A$1:$NTR$890,COLUMN(HeadJournal!D$1),0),"")</f>
        <v/>
      </c>
      <c r="E6302" s="95" t="str">
        <f>IFERROR(VLOOKUP($A6302,HeadJournal!$A$1:$NTR$890,COLUMN(HeadJournal!G$1),0),"")</f>
        <v/>
      </c>
      <c r="F6302" s="95" t="str">
        <f t="shared" si="461"/>
        <v/>
      </c>
      <c r="G6302" s="97"/>
      <c r="H6302" s="161"/>
      <c r="I6302" s="97"/>
      <c r="J6302" s="97"/>
      <c r="K6302" s="29"/>
      <c r="L6302" s="29"/>
      <c r="M6302" s="30">
        <f>IFERROR(VLOOKUP($A6302,HeadJournal!$A$1:$J$890,COLUMN(HeadJournal!I$1),0)*($K6302+$L6302)/(SUMIF($A:$A,$A6302,$K:$K)+SUMIF($A:$A,$A6302,$L:$L)),0)</f>
        <v>0</v>
      </c>
      <c r="N6302" s="30">
        <f>IFERROR((VLOOKUP($A6302,HeadJournal!$A$1:$K$890,COLUMN(HeadJournal!K$1),0)-VLOOKUP($A6302,HeadJournal!$A$1:$K$890,COLUMN(HeadJournal!J$1),0))*($K6302+$L6302)/(SUMIF($A:$A,$A6302,$K:$K)+SUMIF($A:$A,$A6302,$L:$L)),0)</f>
        <v>0</v>
      </c>
      <c r="O6302" s="30">
        <f>IFERROR((VLOOKUP($A6302,HeadJournal!$A$1:$L$890,COLUMN(HeadJournal!L$1),0)*($K6302+$L6302)/(SUMIF($A:$A,$A6302,$K:$K)+SUMIF($A:$A,$A6302,$L:$L)))/VLOOKUP($A6302,HeadJournal!$A$1:$L$890,COLUMN(HeadJournal!H$1),0),0)</f>
        <v>0</v>
      </c>
      <c r="P6302" s="30">
        <f>IFERROR(SUM(K6302:O6302)*VLOOKUP($A6302,HeadJournal!$A$1:$L$890,COLUMN(HeadJournal!H$1),0),0)</f>
        <v>0</v>
      </c>
      <c r="Q6302" s="29"/>
      <c r="R6302" s="31"/>
      <c r="S6302" s="31"/>
      <c r="T6302" s="95" t="str">
        <f t="shared" si="462"/>
        <v/>
      </c>
      <c r="U6302" s="32">
        <f t="shared" si="463"/>
        <v>0</v>
      </c>
      <c r="V6302" s="22" t="str">
        <f t="shared" si="464"/>
        <v/>
      </c>
      <c r="X6302" s="33"/>
      <c r="Y6302" s="33"/>
    </row>
    <row r="6303" spans="1:25" x14ac:dyDescent="0.2">
      <c r="A6303" s="93"/>
      <c r="B6303" s="94" t="str">
        <f>IFERROR(VLOOKUP($A6303,HeadJournal!$A$1:$NTR$890,COLUMN(HeadJournal!B$1),0),"")</f>
        <v/>
      </c>
      <c r="C6303" s="94" t="str">
        <f>IFERROR(VLOOKUP($A6303,HeadJournal!$A$1:$NTR$890,COLUMN(HeadJournal!C$1),0),"")</f>
        <v/>
      </c>
      <c r="D6303" s="125" t="str">
        <f>IFERROR(VLOOKUP($A6303,HeadJournal!$A$1:$NTR$890,COLUMN(HeadJournal!D$1),0),"")</f>
        <v/>
      </c>
      <c r="E6303" s="95" t="str">
        <f>IFERROR(VLOOKUP($A6303,HeadJournal!$A$1:$NTR$890,COLUMN(HeadJournal!G$1),0),"")</f>
        <v/>
      </c>
      <c r="F6303" s="95" t="str">
        <f t="shared" si="461"/>
        <v/>
      </c>
      <c r="G6303" s="97"/>
      <c r="H6303" s="161"/>
      <c r="I6303" s="97"/>
      <c r="J6303" s="97"/>
      <c r="K6303" s="29"/>
      <c r="L6303" s="29"/>
      <c r="M6303" s="30">
        <f>IFERROR(VLOOKUP($A6303,HeadJournal!$A$1:$J$890,COLUMN(HeadJournal!I$1),0)*($K6303+$L6303)/(SUMIF($A:$A,$A6303,$K:$K)+SUMIF($A:$A,$A6303,$L:$L)),0)</f>
        <v>0</v>
      </c>
      <c r="N6303" s="30">
        <f>IFERROR((VLOOKUP($A6303,HeadJournal!$A$1:$K$890,COLUMN(HeadJournal!K$1),0)-VLOOKUP($A6303,HeadJournal!$A$1:$K$890,COLUMN(HeadJournal!J$1),0))*($K6303+$L6303)/(SUMIF($A:$A,$A6303,$K:$K)+SUMIF($A:$A,$A6303,$L:$L)),0)</f>
        <v>0</v>
      </c>
      <c r="O6303" s="30">
        <f>IFERROR((VLOOKUP($A6303,HeadJournal!$A$1:$L$890,COLUMN(HeadJournal!L$1),0)*($K6303+$L6303)/(SUMIF($A:$A,$A6303,$K:$K)+SUMIF($A:$A,$A6303,$L:$L)))/VLOOKUP($A6303,HeadJournal!$A$1:$L$890,COLUMN(HeadJournal!H$1),0),0)</f>
        <v>0</v>
      </c>
      <c r="P6303" s="30">
        <f>IFERROR(SUM(K6303:O6303)*VLOOKUP($A6303,HeadJournal!$A$1:$L$890,COLUMN(HeadJournal!H$1),0),0)</f>
        <v>0</v>
      </c>
      <c r="Q6303" s="29"/>
      <c r="R6303" s="31"/>
      <c r="S6303" s="31"/>
      <c r="T6303" s="95" t="str">
        <f t="shared" si="462"/>
        <v/>
      </c>
      <c r="U6303" s="32">
        <f t="shared" si="463"/>
        <v>0</v>
      </c>
      <c r="V6303" s="22" t="str">
        <f t="shared" si="464"/>
        <v/>
      </c>
      <c r="X6303" s="33"/>
      <c r="Y6303" s="33"/>
    </row>
    <row r="6304" spans="1:25" x14ac:dyDescent="0.2">
      <c r="A6304" s="93"/>
      <c r="B6304" s="94" t="str">
        <f>IFERROR(VLOOKUP($A6304,HeadJournal!$A$1:$NTR$890,COLUMN(HeadJournal!B$1),0),"")</f>
        <v/>
      </c>
      <c r="C6304" s="94" t="str">
        <f>IFERROR(VLOOKUP($A6304,HeadJournal!$A$1:$NTR$890,COLUMN(HeadJournal!C$1),0),"")</f>
        <v/>
      </c>
      <c r="D6304" s="125" t="str">
        <f>IFERROR(VLOOKUP($A6304,HeadJournal!$A$1:$NTR$890,COLUMN(HeadJournal!D$1),0),"")</f>
        <v/>
      </c>
      <c r="E6304" s="95" t="str">
        <f>IFERROR(VLOOKUP($A6304,HeadJournal!$A$1:$NTR$890,COLUMN(HeadJournal!G$1),0),"")</f>
        <v/>
      </c>
      <c r="F6304" s="95" t="str">
        <f t="shared" si="461"/>
        <v/>
      </c>
      <c r="G6304" s="97"/>
      <c r="H6304" s="161"/>
      <c r="I6304" s="97"/>
      <c r="J6304" s="97"/>
      <c r="K6304" s="29"/>
      <c r="L6304" s="29"/>
      <c r="M6304" s="30">
        <f>IFERROR(VLOOKUP($A6304,HeadJournal!$A$1:$J$890,COLUMN(HeadJournal!I$1),0)*($K6304+$L6304)/(SUMIF($A:$A,$A6304,$K:$K)+SUMIF($A:$A,$A6304,$L:$L)),0)</f>
        <v>0</v>
      </c>
      <c r="N6304" s="30">
        <f>IFERROR((VLOOKUP($A6304,HeadJournal!$A$1:$K$890,COLUMN(HeadJournal!K$1),0)-VLOOKUP($A6304,HeadJournal!$A$1:$K$890,COLUMN(HeadJournal!J$1),0))*($K6304+$L6304)/(SUMIF($A:$A,$A6304,$K:$K)+SUMIF($A:$A,$A6304,$L:$L)),0)</f>
        <v>0</v>
      </c>
      <c r="O6304" s="30">
        <f>IFERROR((VLOOKUP($A6304,HeadJournal!$A$1:$L$890,COLUMN(HeadJournal!L$1),0)*($K6304+$L6304)/(SUMIF($A:$A,$A6304,$K:$K)+SUMIF($A:$A,$A6304,$L:$L)))/VLOOKUP($A6304,HeadJournal!$A$1:$L$890,COLUMN(HeadJournal!H$1),0),0)</f>
        <v>0</v>
      </c>
      <c r="P6304" s="30">
        <f>IFERROR(SUM(K6304:O6304)*VLOOKUP($A6304,HeadJournal!$A$1:$L$890,COLUMN(HeadJournal!H$1),0),0)</f>
        <v>0</v>
      </c>
      <c r="Q6304" s="29"/>
      <c r="R6304" s="31"/>
      <c r="S6304" s="31"/>
      <c r="T6304" s="95" t="str">
        <f t="shared" si="462"/>
        <v/>
      </c>
      <c r="U6304" s="32">
        <f t="shared" si="463"/>
        <v>0</v>
      </c>
      <c r="V6304" s="22" t="str">
        <f t="shared" si="464"/>
        <v/>
      </c>
      <c r="X6304" s="33"/>
      <c r="Y6304" s="33"/>
    </row>
    <row r="6305" spans="1:25" x14ac:dyDescent="0.2">
      <c r="A6305" s="93"/>
      <c r="B6305" s="94" t="str">
        <f>IFERROR(VLOOKUP($A6305,HeadJournal!$A$1:$NTR$890,COLUMN(HeadJournal!B$1),0),"")</f>
        <v/>
      </c>
      <c r="C6305" s="94" t="str">
        <f>IFERROR(VLOOKUP($A6305,HeadJournal!$A$1:$NTR$890,COLUMN(HeadJournal!C$1),0),"")</f>
        <v/>
      </c>
      <c r="D6305" s="125" t="str">
        <f>IFERROR(VLOOKUP($A6305,HeadJournal!$A$1:$NTR$890,COLUMN(HeadJournal!D$1),0),"")</f>
        <v/>
      </c>
      <c r="E6305" s="95" t="str">
        <f>IFERROR(VLOOKUP($A6305,HeadJournal!$A$1:$NTR$890,COLUMN(HeadJournal!G$1),0),"")</f>
        <v/>
      </c>
      <c r="F6305" s="95" t="str">
        <f t="shared" si="461"/>
        <v/>
      </c>
      <c r="G6305" s="97"/>
      <c r="H6305" s="161"/>
      <c r="I6305" s="97"/>
      <c r="J6305" s="97"/>
      <c r="K6305" s="29"/>
      <c r="L6305" s="29"/>
      <c r="M6305" s="30">
        <f>IFERROR(VLOOKUP($A6305,HeadJournal!$A$1:$J$890,COLUMN(HeadJournal!I$1),0)*($K6305+$L6305)/(SUMIF($A:$A,$A6305,$K:$K)+SUMIF($A:$A,$A6305,$L:$L)),0)</f>
        <v>0</v>
      </c>
      <c r="N6305" s="30">
        <f>IFERROR((VLOOKUP($A6305,HeadJournal!$A$1:$K$890,COLUMN(HeadJournal!K$1),0)-VLOOKUP($A6305,HeadJournal!$A$1:$K$890,COLUMN(HeadJournal!J$1),0))*($K6305+$L6305)/(SUMIF($A:$A,$A6305,$K:$K)+SUMIF($A:$A,$A6305,$L:$L)),0)</f>
        <v>0</v>
      </c>
      <c r="O6305" s="30">
        <f>IFERROR((VLOOKUP($A6305,HeadJournal!$A$1:$L$890,COLUMN(HeadJournal!L$1),0)*($K6305+$L6305)/(SUMIF($A:$A,$A6305,$K:$K)+SUMIF($A:$A,$A6305,$L:$L)))/VLOOKUP($A6305,HeadJournal!$A$1:$L$890,COLUMN(HeadJournal!H$1),0),0)</f>
        <v>0</v>
      </c>
      <c r="P6305" s="30">
        <f>IFERROR(SUM(K6305:O6305)*VLOOKUP($A6305,HeadJournal!$A$1:$L$890,COLUMN(HeadJournal!H$1),0),0)</f>
        <v>0</v>
      </c>
      <c r="Q6305" s="29"/>
      <c r="R6305" s="31"/>
      <c r="S6305" s="31"/>
      <c r="T6305" s="95" t="str">
        <f t="shared" si="462"/>
        <v/>
      </c>
      <c r="U6305" s="32">
        <f t="shared" si="463"/>
        <v>0</v>
      </c>
      <c r="V6305" s="22" t="str">
        <f t="shared" si="464"/>
        <v/>
      </c>
      <c r="X6305" s="33"/>
      <c r="Y6305" s="33"/>
    </row>
    <row r="6306" spans="1:25" x14ac:dyDescent="0.2">
      <c r="A6306" s="93"/>
      <c r="B6306" s="94" t="str">
        <f>IFERROR(VLOOKUP($A6306,HeadJournal!$A$1:$NTR$890,COLUMN(HeadJournal!B$1),0),"")</f>
        <v/>
      </c>
      <c r="C6306" s="94" t="str">
        <f>IFERROR(VLOOKUP($A6306,HeadJournal!$A$1:$NTR$890,COLUMN(HeadJournal!C$1),0),"")</f>
        <v/>
      </c>
      <c r="D6306" s="125" t="str">
        <f>IFERROR(VLOOKUP($A6306,HeadJournal!$A$1:$NTR$890,COLUMN(HeadJournal!D$1),0),"")</f>
        <v/>
      </c>
      <c r="E6306" s="95" t="str">
        <f>IFERROR(VLOOKUP($A6306,HeadJournal!$A$1:$NTR$890,COLUMN(HeadJournal!G$1),0),"")</f>
        <v/>
      </c>
      <c r="F6306" s="95" t="str">
        <f t="shared" si="461"/>
        <v/>
      </c>
      <c r="G6306" s="97"/>
      <c r="H6306" s="161"/>
      <c r="I6306" s="97"/>
      <c r="J6306" s="97"/>
      <c r="K6306" s="29"/>
      <c r="L6306" s="29"/>
      <c r="M6306" s="30">
        <f>IFERROR(VLOOKUP($A6306,HeadJournal!$A$1:$J$890,COLUMN(HeadJournal!I$1),0)*($K6306+$L6306)/(SUMIF($A:$A,$A6306,$K:$K)+SUMIF($A:$A,$A6306,$L:$L)),0)</f>
        <v>0</v>
      </c>
      <c r="N6306" s="30">
        <f>IFERROR((VLOOKUP($A6306,HeadJournal!$A$1:$K$890,COLUMN(HeadJournal!K$1),0)-VLOOKUP($A6306,HeadJournal!$A$1:$K$890,COLUMN(HeadJournal!J$1),0))*($K6306+$L6306)/(SUMIF($A:$A,$A6306,$K:$K)+SUMIF($A:$A,$A6306,$L:$L)),0)</f>
        <v>0</v>
      </c>
      <c r="O6306" s="30">
        <f>IFERROR((VLOOKUP($A6306,HeadJournal!$A$1:$L$890,COLUMN(HeadJournal!L$1),0)*($K6306+$L6306)/(SUMIF($A:$A,$A6306,$K:$K)+SUMIF($A:$A,$A6306,$L:$L)))/VLOOKUP($A6306,HeadJournal!$A$1:$L$890,COLUMN(HeadJournal!H$1),0),0)</f>
        <v>0</v>
      </c>
      <c r="P6306" s="30">
        <f>IFERROR(SUM(K6306:O6306)*VLOOKUP($A6306,HeadJournal!$A$1:$L$890,COLUMN(HeadJournal!H$1),0),0)</f>
        <v>0</v>
      </c>
      <c r="Q6306" s="29"/>
      <c r="R6306" s="31"/>
      <c r="S6306" s="31"/>
      <c r="T6306" s="95" t="str">
        <f t="shared" si="462"/>
        <v/>
      </c>
      <c r="U6306" s="32">
        <f t="shared" si="463"/>
        <v>0</v>
      </c>
      <c r="V6306" s="22" t="str">
        <f t="shared" si="464"/>
        <v/>
      </c>
      <c r="X6306" s="33"/>
      <c r="Y6306" s="33"/>
    </row>
    <row r="6307" spans="1:25" x14ac:dyDescent="0.2">
      <c r="A6307" s="93"/>
      <c r="B6307" s="94" t="str">
        <f>IFERROR(VLOOKUP($A6307,HeadJournal!$A$1:$NTR$890,COLUMN(HeadJournal!B$1),0),"")</f>
        <v/>
      </c>
      <c r="C6307" s="94" t="str">
        <f>IFERROR(VLOOKUP($A6307,HeadJournal!$A$1:$NTR$890,COLUMN(HeadJournal!C$1),0),"")</f>
        <v/>
      </c>
      <c r="D6307" s="125" t="str">
        <f>IFERROR(VLOOKUP($A6307,HeadJournal!$A$1:$NTR$890,COLUMN(HeadJournal!D$1),0),"")</f>
        <v/>
      </c>
      <c r="E6307" s="95" t="str">
        <f>IFERROR(VLOOKUP($A6307,HeadJournal!$A$1:$NTR$890,COLUMN(HeadJournal!G$1),0),"")</f>
        <v/>
      </c>
      <c r="F6307" s="95" t="str">
        <f t="shared" si="461"/>
        <v/>
      </c>
      <c r="G6307" s="97"/>
      <c r="H6307" s="161"/>
      <c r="I6307" s="97"/>
      <c r="J6307" s="97"/>
      <c r="K6307" s="29"/>
      <c r="L6307" s="29"/>
      <c r="M6307" s="30">
        <f>IFERROR(VLOOKUP($A6307,HeadJournal!$A$1:$J$890,COLUMN(HeadJournal!I$1),0)*($K6307+$L6307)/(SUMIF($A:$A,$A6307,$K:$K)+SUMIF($A:$A,$A6307,$L:$L)),0)</f>
        <v>0</v>
      </c>
      <c r="N6307" s="30">
        <f>IFERROR((VLOOKUP($A6307,HeadJournal!$A$1:$K$890,COLUMN(HeadJournal!K$1),0)-VLOOKUP($A6307,HeadJournal!$A$1:$K$890,COLUMN(HeadJournal!J$1),0))*($K6307+$L6307)/(SUMIF($A:$A,$A6307,$K:$K)+SUMIF($A:$A,$A6307,$L:$L)),0)</f>
        <v>0</v>
      </c>
      <c r="O6307" s="30">
        <f>IFERROR((VLOOKUP($A6307,HeadJournal!$A$1:$L$890,COLUMN(HeadJournal!L$1),0)*($K6307+$L6307)/(SUMIF($A:$A,$A6307,$K:$K)+SUMIF($A:$A,$A6307,$L:$L)))/VLOOKUP($A6307,HeadJournal!$A$1:$L$890,COLUMN(HeadJournal!H$1),0),0)</f>
        <v>0</v>
      </c>
      <c r="P6307" s="30">
        <f>IFERROR(SUM(K6307:O6307)*VLOOKUP($A6307,HeadJournal!$A$1:$L$890,COLUMN(HeadJournal!H$1),0),0)</f>
        <v>0</v>
      </c>
      <c r="Q6307" s="29"/>
      <c r="R6307" s="31"/>
      <c r="S6307" s="31"/>
      <c r="T6307" s="95" t="str">
        <f t="shared" si="462"/>
        <v/>
      </c>
      <c r="U6307" s="32">
        <f t="shared" si="463"/>
        <v>0</v>
      </c>
      <c r="V6307" s="22" t="str">
        <f t="shared" si="464"/>
        <v/>
      </c>
      <c r="X6307" s="33"/>
      <c r="Y6307" s="33"/>
    </row>
    <row r="6308" spans="1:25" x14ac:dyDescent="0.2">
      <c r="A6308" s="93"/>
      <c r="B6308" s="94" t="str">
        <f>IFERROR(VLOOKUP($A6308,HeadJournal!$A$1:$NTR$890,COLUMN(HeadJournal!B$1),0),"")</f>
        <v/>
      </c>
      <c r="C6308" s="94" t="str">
        <f>IFERROR(VLOOKUP($A6308,HeadJournal!$A$1:$NTR$890,COLUMN(HeadJournal!C$1),0),"")</f>
        <v/>
      </c>
      <c r="D6308" s="125" t="str">
        <f>IFERROR(VLOOKUP($A6308,HeadJournal!$A$1:$NTR$890,COLUMN(HeadJournal!D$1),0),"")</f>
        <v/>
      </c>
      <c r="E6308" s="95" t="str">
        <f>IFERROR(VLOOKUP($A6308,HeadJournal!$A$1:$NTR$890,COLUMN(HeadJournal!G$1),0),"")</f>
        <v/>
      </c>
      <c r="F6308" s="95" t="str">
        <f t="shared" si="461"/>
        <v/>
      </c>
      <c r="G6308" s="97"/>
      <c r="H6308" s="161"/>
      <c r="I6308" s="97"/>
      <c r="J6308" s="97"/>
      <c r="K6308" s="29"/>
      <c r="L6308" s="29"/>
      <c r="M6308" s="30">
        <f>IFERROR(VLOOKUP($A6308,HeadJournal!$A$1:$J$890,COLUMN(HeadJournal!I$1),0)*($K6308+$L6308)/(SUMIF($A:$A,$A6308,$K:$K)+SUMIF($A:$A,$A6308,$L:$L)),0)</f>
        <v>0</v>
      </c>
      <c r="N6308" s="30">
        <f>IFERROR((VLOOKUP($A6308,HeadJournal!$A$1:$K$890,COLUMN(HeadJournal!K$1),0)-VLOOKUP($A6308,HeadJournal!$A$1:$K$890,COLUMN(HeadJournal!J$1),0))*($K6308+$L6308)/(SUMIF($A:$A,$A6308,$K:$K)+SUMIF($A:$A,$A6308,$L:$L)),0)</f>
        <v>0</v>
      </c>
      <c r="O6308" s="30">
        <f>IFERROR((VLOOKUP($A6308,HeadJournal!$A$1:$L$890,COLUMN(HeadJournal!L$1),0)*($K6308+$L6308)/(SUMIF($A:$A,$A6308,$K:$K)+SUMIF($A:$A,$A6308,$L:$L)))/VLOOKUP($A6308,HeadJournal!$A$1:$L$890,COLUMN(HeadJournal!H$1),0),0)</f>
        <v>0</v>
      </c>
      <c r="P6308" s="30">
        <f>IFERROR(SUM(K6308:O6308)*VLOOKUP($A6308,HeadJournal!$A$1:$L$890,COLUMN(HeadJournal!H$1),0),0)</f>
        <v>0</v>
      </c>
      <c r="Q6308" s="29"/>
      <c r="R6308" s="31"/>
      <c r="S6308" s="31"/>
      <c r="T6308" s="95" t="str">
        <f t="shared" si="462"/>
        <v/>
      </c>
      <c r="U6308" s="32">
        <f t="shared" si="463"/>
        <v>0</v>
      </c>
      <c r="V6308" s="22" t="str">
        <f t="shared" si="464"/>
        <v/>
      </c>
      <c r="X6308" s="33"/>
      <c r="Y6308" s="33"/>
    </row>
    <row r="6309" spans="1:25" x14ac:dyDescent="0.2">
      <c r="A6309" s="93"/>
      <c r="B6309" s="94" t="str">
        <f>IFERROR(VLOOKUP($A6309,HeadJournal!$A$1:$NTR$890,COLUMN(HeadJournal!B$1),0),"")</f>
        <v/>
      </c>
      <c r="C6309" s="94" t="str">
        <f>IFERROR(VLOOKUP($A6309,HeadJournal!$A$1:$NTR$890,COLUMN(HeadJournal!C$1),0),"")</f>
        <v/>
      </c>
      <c r="D6309" s="125" t="str">
        <f>IFERROR(VLOOKUP($A6309,HeadJournal!$A$1:$NTR$890,COLUMN(HeadJournal!D$1),0),"")</f>
        <v/>
      </c>
      <c r="E6309" s="95" t="str">
        <f>IFERROR(VLOOKUP($A6309,HeadJournal!$A$1:$NTR$890,COLUMN(HeadJournal!G$1),0),"")</f>
        <v/>
      </c>
      <c r="F6309" s="95" t="str">
        <f t="shared" si="461"/>
        <v/>
      </c>
      <c r="G6309" s="97"/>
      <c r="H6309" s="161"/>
      <c r="I6309" s="97"/>
      <c r="J6309" s="97"/>
      <c r="K6309" s="29"/>
      <c r="L6309" s="29"/>
      <c r="M6309" s="30">
        <f>IFERROR(VLOOKUP($A6309,HeadJournal!$A$1:$J$890,COLUMN(HeadJournal!I$1),0)*($K6309+$L6309)/(SUMIF($A:$A,$A6309,$K:$K)+SUMIF($A:$A,$A6309,$L:$L)),0)</f>
        <v>0</v>
      </c>
      <c r="N6309" s="30">
        <f>IFERROR((VLOOKUP($A6309,HeadJournal!$A$1:$K$890,COLUMN(HeadJournal!K$1),0)-VLOOKUP($A6309,HeadJournal!$A$1:$K$890,COLUMN(HeadJournal!J$1),0))*($K6309+$L6309)/(SUMIF($A:$A,$A6309,$K:$K)+SUMIF($A:$A,$A6309,$L:$L)),0)</f>
        <v>0</v>
      </c>
      <c r="O6309" s="30">
        <f>IFERROR((VLOOKUP($A6309,HeadJournal!$A$1:$L$890,COLUMN(HeadJournal!L$1),0)*($K6309+$L6309)/(SUMIF($A:$A,$A6309,$K:$K)+SUMIF($A:$A,$A6309,$L:$L)))/VLOOKUP($A6309,HeadJournal!$A$1:$L$890,COLUMN(HeadJournal!H$1),0),0)</f>
        <v>0</v>
      </c>
      <c r="P6309" s="30">
        <f>IFERROR(SUM(K6309:O6309)*VLOOKUP($A6309,HeadJournal!$A$1:$L$890,COLUMN(HeadJournal!H$1),0),0)</f>
        <v>0</v>
      </c>
      <c r="Q6309" s="29"/>
      <c r="R6309" s="31"/>
      <c r="S6309" s="31"/>
      <c r="T6309" s="95" t="str">
        <f t="shared" si="462"/>
        <v/>
      </c>
      <c r="U6309" s="32">
        <f t="shared" si="463"/>
        <v>0</v>
      </c>
      <c r="V6309" s="22" t="str">
        <f t="shared" si="464"/>
        <v/>
      </c>
      <c r="X6309" s="33"/>
      <c r="Y6309" s="33"/>
    </row>
    <row r="6310" spans="1:25" x14ac:dyDescent="0.2">
      <c r="A6310" s="93"/>
      <c r="B6310" s="94" t="str">
        <f>IFERROR(VLOOKUP($A6310,HeadJournal!$A$1:$NTR$890,COLUMN(HeadJournal!B$1),0),"")</f>
        <v/>
      </c>
      <c r="C6310" s="94" t="str">
        <f>IFERROR(VLOOKUP($A6310,HeadJournal!$A$1:$NTR$890,COLUMN(HeadJournal!C$1),0),"")</f>
        <v/>
      </c>
      <c r="D6310" s="125" t="str">
        <f>IFERROR(VLOOKUP($A6310,HeadJournal!$A$1:$NTR$890,COLUMN(HeadJournal!D$1),0),"")</f>
        <v/>
      </c>
      <c r="E6310" s="95" t="str">
        <f>IFERROR(VLOOKUP($A6310,HeadJournal!$A$1:$NTR$890,COLUMN(HeadJournal!G$1),0),"")</f>
        <v/>
      </c>
      <c r="F6310" s="95" t="str">
        <f t="shared" si="461"/>
        <v/>
      </c>
      <c r="G6310" s="97"/>
      <c r="H6310" s="161"/>
      <c r="I6310" s="97"/>
      <c r="J6310" s="97"/>
      <c r="K6310" s="29"/>
      <c r="L6310" s="29"/>
      <c r="M6310" s="30">
        <f>IFERROR(VLOOKUP($A6310,HeadJournal!$A$1:$J$890,COLUMN(HeadJournal!I$1),0)*($K6310+$L6310)/(SUMIF($A:$A,$A6310,$K:$K)+SUMIF($A:$A,$A6310,$L:$L)),0)</f>
        <v>0</v>
      </c>
      <c r="N6310" s="30">
        <f>IFERROR((VLOOKUP($A6310,HeadJournal!$A$1:$K$890,COLUMN(HeadJournal!K$1),0)-VLOOKUP($A6310,HeadJournal!$A$1:$K$890,COLUMN(HeadJournal!J$1),0))*($K6310+$L6310)/(SUMIF($A:$A,$A6310,$K:$K)+SUMIF($A:$A,$A6310,$L:$L)),0)</f>
        <v>0</v>
      </c>
      <c r="O6310" s="30">
        <f>IFERROR((VLOOKUP($A6310,HeadJournal!$A$1:$L$890,COLUMN(HeadJournal!L$1),0)*($K6310+$L6310)/(SUMIF($A:$A,$A6310,$K:$K)+SUMIF($A:$A,$A6310,$L:$L)))/VLOOKUP($A6310,HeadJournal!$A$1:$L$890,COLUMN(HeadJournal!H$1),0),0)</f>
        <v>0</v>
      </c>
      <c r="P6310" s="30">
        <f>IFERROR(SUM(K6310:O6310)*VLOOKUP($A6310,HeadJournal!$A$1:$L$890,COLUMN(HeadJournal!H$1),0),0)</f>
        <v>0</v>
      </c>
      <c r="Q6310" s="29"/>
      <c r="R6310" s="31"/>
      <c r="S6310" s="31"/>
      <c r="T6310" s="95" t="str">
        <f t="shared" si="462"/>
        <v/>
      </c>
      <c r="U6310" s="32">
        <f t="shared" si="463"/>
        <v>0</v>
      </c>
      <c r="V6310" s="22" t="str">
        <f t="shared" si="464"/>
        <v/>
      </c>
      <c r="X6310" s="33"/>
      <c r="Y6310" s="33"/>
    </row>
    <row r="6311" spans="1:25" x14ac:dyDescent="0.2">
      <c r="A6311" s="93"/>
      <c r="B6311" s="94" t="str">
        <f>IFERROR(VLOOKUP($A6311,HeadJournal!$A$1:$NTR$890,COLUMN(HeadJournal!B$1),0),"")</f>
        <v/>
      </c>
      <c r="C6311" s="94" t="str">
        <f>IFERROR(VLOOKUP($A6311,HeadJournal!$A$1:$NTR$890,COLUMN(HeadJournal!C$1),0),"")</f>
        <v/>
      </c>
      <c r="D6311" s="125" t="str">
        <f>IFERROR(VLOOKUP($A6311,HeadJournal!$A$1:$NTR$890,COLUMN(HeadJournal!D$1),0),"")</f>
        <v/>
      </c>
      <c r="E6311" s="95" t="str">
        <f>IFERROR(VLOOKUP($A6311,HeadJournal!$A$1:$NTR$890,COLUMN(HeadJournal!G$1),0),"")</f>
        <v/>
      </c>
      <c r="F6311" s="95" t="str">
        <f t="shared" si="461"/>
        <v/>
      </c>
      <c r="G6311" s="97"/>
      <c r="H6311" s="161"/>
      <c r="I6311" s="97"/>
      <c r="J6311" s="97"/>
      <c r="K6311" s="29"/>
      <c r="L6311" s="29"/>
      <c r="M6311" s="30">
        <f>IFERROR(VLOOKUP($A6311,HeadJournal!$A$1:$J$890,COLUMN(HeadJournal!I$1),0)*($K6311+$L6311)/(SUMIF($A:$A,$A6311,$K:$K)+SUMIF($A:$A,$A6311,$L:$L)),0)</f>
        <v>0</v>
      </c>
      <c r="N6311" s="30">
        <f>IFERROR((VLOOKUP($A6311,HeadJournal!$A$1:$K$890,COLUMN(HeadJournal!K$1),0)-VLOOKUP($A6311,HeadJournal!$A$1:$K$890,COLUMN(HeadJournal!J$1),0))*($K6311+$L6311)/(SUMIF($A:$A,$A6311,$K:$K)+SUMIF($A:$A,$A6311,$L:$L)),0)</f>
        <v>0</v>
      </c>
      <c r="O6311" s="30">
        <f>IFERROR((VLOOKUP($A6311,HeadJournal!$A$1:$L$890,COLUMN(HeadJournal!L$1),0)*($K6311+$L6311)/(SUMIF($A:$A,$A6311,$K:$K)+SUMIF($A:$A,$A6311,$L:$L)))/VLOOKUP($A6311,HeadJournal!$A$1:$L$890,COLUMN(HeadJournal!H$1),0),0)</f>
        <v>0</v>
      </c>
      <c r="P6311" s="30">
        <f>IFERROR(SUM(K6311:O6311)*VLOOKUP($A6311,HeadJournal!$A$1:$L$890,COLUMN(HeadJournal!H$1),0),0)</f>
        <v>0</v>
      </c>
      <c r="Q6311" s="29"/>
      <c r="R6311" s="31"/>
      <c r="S6311" s="31"/>
      <c r="T6311" s="95" t="str">
        <f t="shared" si="462"/>
        <v/>
      </c>
      <c r="U6311" s="32">
        <f t="shared" si="463"/>
        <v>0</v>
      </c>
      <c r="V6311" s="22" t="str">
        <f t="shared" si="464"/>
        <v/>
      </c>
      <c r="X6311" s="33"/>
      <c r="Y6311" s="33"/>
    </row>
    <row r="6312" spans="1:25" x14ac:dyDescent="0.2">
      <c r="A6312" s="93"/>
      <c r="B6312" s="94" t="str">
        <f>IFERROR(VLOOKUP($A6312,HeadJournal!$A$1:$NTR$890,COLUMN(HeadJournal!B$1),0),"")</f>
        <v/>
      </c>
      <c r="C6312" s="94" t="str">
        <f>IFERROR(VLOOKUP($A6312,HeadJournal!$A$1:$NTR$890,COLUMN(HeadJournal!C$1),0),"")</f>
        <v/>
      </c>
      <c r="D6312" s="125" t="str">
        <f>IFERROR(VLOOKUP($A6312,HeadJournal!$A$1:$NTR$890,COLUMN(HeadJournal!D$1),0),"")</f>
        <v/>
      </c>
      <c r="E6312" s="95" t="str">
        <f>IFERROR(VLOOKUP($A6312,HeadJournal!$A$1:$NTR$890,COLUMN(HeadJournal!G$1),0),"")</f>
        <v/>
      </c>
      <c r="F6312" s="95" t="str">
        <f t="shared" si="461"/>
        <v/>
      </c>
      <c r="G6312" s="97"/>
      <c r="H6312" s="161"/>
      <c r="I6312" s="97"/>
      <c r="J6312" s="97"/>
      <c r="K6312" s="29"/>
      <c r="L6312" s="29"/>
      <c r="M6312" s="30">
        <f>IFERROR(VLOOKUP($A6312,HeadJournal!$A$1:$J$890,COLUMN(HeadJournal!I$1),0)*($K6312+$L6312)/(SUMIF($A:$A,$A6312,$K:$K)+SUMIF($A:$A,$A6312,$L:$L)),0)</f>
        <v>0</v>
      </c>
      <c r="N6312" s="30">
        <f>IFERROR((VLOOKUP($A6312,HeadJournal!$A$1:$K$890,COLUMN(HeadJournal!K$1),0)-VLOOKUP($A6312,HeadJournal!$A$1:$K$890,COLUMN(HeadJournal!J$1),0))*($K6312+$L6312)/(SUMIF($A:$A,$A6312,$K:$K)+SUMIF($A:$A,$A6312,$L:$L)),0)</f>
        <v>0</v>
      </c>
      <c r="O6312" s="30">
        <f>IFERROR((VLOOKUP($A6312,HeadJournal!$A$1:$L$890,COLUMN(HeadJournal!L$1),0)*($K6312+$L6312)/(SUMIF($A:$A,$A6312,$K:$K)+SUMIF($A:$A,$A6312,$L:$L)))/VLOOKUP($A6312,HeadJournal!$A$1:$L$890,COLUMN(HeadJournal!H$1),0),0)</f>
        <v>0</v>
      </c>
      <c r="P6312" s="30">
        <f>IFERROR(SUM(K6312:O6312)*VLOOKUP($A6312,HeadJournal!$A$1:$L$890,COLUMN(HeadJournal!H$1),0),0)</f>
        <v>0</v>
      </c>
      <c r="Q6312" s="29"/>
      <c r="R6312" s="31"/>
      <c r="S6312" s="31"/>
      <c r="T6312" s="95" t="str">
        <f t="shared" si="462"/>
        <v/>
      </c>
      <c r="U6312" s="32">
        <f t="shared" si="463"/>
        <v>0</v>
      </c>
      <c r="V6312" s="22" t="str">
        <f t="shared" si="464"/>
        <v/>
      </c>
      <c r="X6312" s="33"/>
      <c r="Y6312" s="33"/>
    </row>
    <row r="6313" spans="1:25" x14ac:dyDescent="0.2">
      <c r="A6313" s="93"/>
      <c r="B6313" s="94" t="str">
        <f>IFERROR(VLOOKUP($A6313,HeadJournal!$A$1:$NTR$890,COLUMN(HeadJournal!B$1),0),"")</f>
        <v/>
      </c>
      <c r="C6313" s="94" t="str">
        <f>IFERROR(VLOOKUP($A6313,HeadJournal!$A$1:$NTR$890,COLUMN(HeadJournal!C$1),0),"")</f>
        <v/>
      </c>
      <c r="D6313" s="125" t="str">
        <f>IFERROR(VLOOKUP($A6313,HeadJournal!$A$1:$NTR$890,COLUMN(HeadJournal!D$1),0),"")</f>
        <v/>
      </c>
      <c r="E6313" s="95" t="str">
        <f>IFERROR(VLOOKUP($A6313,HeadJournal!$A$1:$NTR$890,COLUMN(HeadJournal!G$1),0),"")</f>
        <v/>
      </c>
      <c r="F6313" s="95" t="str">
        <f t="shared" si="461"/>
        <v/>
      </c>
      <c r="G6313" s="97"/>
      <c r="H6313" s="161"/>
      <c r="I6313" s="97"/>
      <c r="J6313" s="97"/>
      <c r="K6313" s="29"/>
      <c r="L6313" s="29"/>
      <c r="M6313" s="30">
        <f>IFERROR(VLOOKUP($A6313,HeadJournal!$A$1:$J$890,COLUMN(HeadJournal!I$1),0)*($K6313+$L6313)/(SUMIF($A:$A,$A6313,$K:$K)+SUMIF($A:$A,$A6313,$L:$L)),0)</f>
        <v>0</v>
      </c>
      <c r="N6313" s="30">
        <f>IFERROR((VLOOKUP($A6313,HeadJournal!$A$1:$K$890,COLUMN(HeadJournal!K$1),0)-VLOOKUP($A6313,HeadJournal!$A$1:$K$890,COLUMN(HeadJournal!J$1),0))*($K6313+$L6313)/(SUMIF($A:$A,$A6313,$K:$K)+SUMIF($A:$A,$A6313,$L:$L)),0)</f>
        <v>0</v>
      </c>
      <c r="O6313" s="30">
        <f>IFERROR((VLOOKUP($A6313,HeadJournal!$A$1:$L$890,COLUMN(HeadJournal!L$1),0)*($K6313+$L6313)/(SUMIF($A:$A,$A6313,$K:$K)+SUMIF($A:$A,$A6313,$L:$L)))/VLOOKUP($A6313,HeadJournal!$A$1:$L$890,COLUMN(HeadJournal!H$1),0),0)</f>
        <v>0</v>
      </c>
      <c r="P6313" s="30">
        <f>IFERROR(SUM(K6313:O6313)*VLOOKUP($A6313,HeadJournal!$A$1:$L$890,COLUMN(HeadJournal!H$1),0),0)</f>
        <v>0</v>
      </c>
      <c r="Q6313" s="29"/>
      <c r="R6313" s="31"/>
      <c r="S6313" s="31"/>
      <c r="T6313" s="95" t="str">
        <f t="shared" si="462"/>
        <v/>
      </c>
      <c r="U6313" s="32">
        <f t="shared" si="463"/>
        <v>0</v>
      </c>
      <c r="V6313" s="22" t="str">
        <f t="shared" si="464"/>
        <v/>
      </c>
      <c r="X6313" s="33"/>
      <c r="Y6313" s="33"/>
    </row>
    <row r="6314" spans="1:25" x14ac:dyDescent="0.2">
      <c r="A6314" s="93"/>
      <c r="B6314" s="94" t="str">
        <f>IFERROR(VLOOKUP($A6314,HeadJournal!$A$1:$NTR$890,COLUMN(HeadJournal!B$1),0),"")</f>
        <v/>
      </c>
      <c r="C6314" s="94" t="str">
        <f>IFERROR(VLOOKUP($A6314,HeadJournal!$A$1:$NTR$890,COLUMN(HeadJournal!C$1),0),"")</f>
        <v/>
      </c>
      <c r="D6314" s="125" t="str">
        <f>IFERROR(VLOOKUP($A6314,HeadJournal!$A$1:$NTR$890,COLUMN(HeadJournal!D$1),0),"")</f>
        <v/>
      </c>
      <c r="E6314" s="95" t="str">
        <f>IFERROR(VLOOKUP($A6314,HeadJournal!$A$1:$NTR$890,COLUMN(HeadJournal!G$1),0),"")</f>
        <v/>
      </c>
      <c r="F6314" s="95" t="str">
        <f t="shared" si="461"/>
        <v/>
      </c>
      <c r="G6314" s="97"/>
      <c r="H6314" s="161"/>
      <c r="I6314" s="97"/>
      <c r="J6314" s="97"/>
      <c r="K6314" s="29"/>
      <c r="L6314" s="29"/>
      <c r="M6314" s="30">
        <f>IFERROR(VLOOKUP($A6314,HeadJournal!$A$1:$J$890,COLUMN(HeadJournal!I$1),0)*($K6314+$L6314)/(SUMIF($A:$A,$A6314,$K:$K)+SUMIF($A:$A,$A6314,$L:$L)),0)</f>
        <v>0</v>
      </c>
      <c r="N6314" s="30">
        <f>IFERROR((VLOOKUP($A6314,HeadJournal!$A$1:$K$890,COLUMN(HeadJournal!K$1),0)-VLOOKUP($A6314,HeadJournal!$A$1:$K$890,COLUMN(HeadJournal!J$1),0))*($K6314+$L6314)/(SUMIF($A:$A,$A6314,$K:$K)+SUMIF($A:$A,$A6314,$L:$L)),0)</f>
        <v>0</v>
      </c>
      <c r="O6314" s="30">
        <f>IFERROR((VLOOKUP($A6314,HeadJournal!$A$1:$L$890,COLUMN(HeadJournal!L$1),0)*($K6314+$L6314)/(SUMIF($A:$A,$A6314,$K:$K)+SUMIF($A:$A,$A6314,$L:$L)))/VLOOKUP($A6314,HeadJournal!$A$1:$L$890,COLUMN(HeadJournal!H$1),0),0)</f>
        <v>0</v>
      </c>
      <c r="P6314" s="30">
        <f>IFERROR(SUM(K6314:O6314)*VLOOKUP($A6314,HeadJournal!$A$1:$L$890,COLUMN(HeadJournal!H$1),0),0)</f>
        <v>0</v>
      </c>
      <c r="Q6314" s="29"/>
      <c r="R6314" s="31"/>
      <c r="S6314" s="31"/>
      <c r="T6314" s="95" t="str">
        <f t="shared" si="462"/>
        <v/>
      </c>
      <c r="U6314" s="32">
        <f t="shared" si="463"/>
        <v>0</v>
      </c>
      <c r="V6314" s="22" t="str">
        <f t="shared" si="464"/>
        <v/>
      </c>
      <c r="X6314" s="33"/>
      <c r="Y6314" s="33"/>
    </row>
    <row r="6315" spans="1:25" x14ac:dyDescent="0.2">
      <c r="A6315" s="93"/>
      <c r="B6315" s="94" t="str">
        <f>IFERROR(VLOOKUP($A6315,HeadJournal!$A$1:$NTR$890,COLUMN(HeadJournal!B$1),0),"")</f>
        <v/>
      </c>
      <c r="C6315" s="94" t="str">
        <f>IFERROR(VLOOKUP($A6315,HeadJournal!$A$1:$NTR$890,COLUMN(HeadJournal!C$1),0),"")</f>
        <v/>
      </c>
      <c r="D6315" s="125" t="str">
        <f>IFERROR(VLOOKUP($A6315,HeadJournal!$A$1:$NTR$890,COLUMN(HeadJournal!D$1),0),"")</f>
        <v/>
      </c>
      <c r="E6315" s="95" t="str">
        <f>IFERROR(VLOOKUP($A6315,HeadJournal!$A$1:$NTR$890,COLUMN(HeadJournal!G$1),0),"")</f>
        <v/>
      </c>
      <c r="F6315" s="95" t="str">
        <f t="shared" si="461"/>
        <v/>
      </c>
      <c r="G6315" s="97"/>
      <c r="H6315" s="161"/>
      <c r="I6315" s="97"/>
      <c r="J6315" s="97"/>
      <c r="K6315" s="29"/>
      <c r="L6315" s="29"/>
      <c r="M6315" s="30">
        <f>IFERROR(VLOOKUP($A6315,HeadJournal!$A$1:$J$890,COLUMN(HeadJournal!I$1),0)*($K6315+$L6315)/(SUMIF($A:$A,$A6315,$K:$K)+SUMIF($A:$A,$A6315,$L:$L)),0)</f>
        <v>0</v>
      </c>
      <c r="N6315" s="30">
        <f>IFERROR((VLOOKUP($A6315,HeadJournal!$A$1:$K$890,COLUMN(HeadJournal!K$1),0)-VLOOKUP($A6315,HeadJournal!$A$1:$K$890,COLUMN(HeadJournal!J$1),0))*($K6315+$L6315)/(SUMIF($A:$A,$A6315,$K:$K)+SUMIF($A:$A,$A6315,$L:$L)),0)</f>
        <v>0</v>
      </c>
      <c r="O6315" s="30">
        <f>IFERROR((VLOOKUP($A6315,HeadJournal!$A$1:$L$890,COLUMN(HeadJournal!L$1),0)*($K6315+$L6315)/(SUMIF($A:$A,$A6315,$K:$K)+SUMIF($A:$A,$A6315,$L:$L)))/VLOOKUP($A6315,HeadJournal!$A$1:$L$890,COLUMN(HeadJournal!H$1),0),0)</f>
        <v>0</v>
      </c>
      <c r="P6315" s="30">
        <f>IFERROR(SUM(K6315:O6315)*VLOOKUP($A6315,HeadJournal!$A$1:$L$890,COLUMN(HeadJournal!H$1),0),0)</f>
        <v>0</v>
      </c>
      <c r="Q6315" s="29"/>
      <c r="R6315" s="31"/>
      <c r="S6315" s="31"/>
      <c r="T6315" s="95" t="str">
        <f t="shared" si="462"/>
        <v/>
      </c>
      <c r="U6315" s="32">
        <f t="shared" si="463"/>
        <v>0</v>
      </c>
      <c r="V6315" s="22" t="str">
        <f t="shared" si="464"/>
        <v/>
      </c>
      <c r="X6315" s="33"/>
      <c r="Y6315" s="33"/>
    </row>
    <row r="6316" spans="1:25" x14ac:dyDescent="0.2">
      <c r="A6316" s="93"/>
      <c r="B6316" s="94" t="str">
        <f>IFERROR(VLOOKUP($A6316,HeadJournal!$A$1:$NTR$890,COLUMN(HeadJournal!B$1),0),"")</f>
        <v/>
      </c>
      <c r="C6316" s="94" t="str">
        <f>IFERROR(VLOOKUP($A6316,HeadJournal!$A$1:$NTR$890,COLUMN(HeadJournal!C$1),0),"")</f>
        <v/>
      </c>
      <c r="D6316" s="125" t="str">
        <f>IFERROR(VLOOKUP($A6316,HeadJournal!$A$1:$NTR$890,COLUMN(HeadJournal!D$1),0),"")</f>
        <v/>
      </c>
      <c r="E6316" s="95" t="str">
        <f>IFERROR(VLOOKUP($A6316,HeadJournal!$A$1:$NTR$890,COLUMN(HeadJournal!G$1),0),"")</f>
        <v/>
      </c>
      <c r="F6316" s="95" t="str">
        <f t="shared" si="419"/>
        <v/>
      </c>
      <c r="G6316" s="97"/>
      <c r="H6316" s="161"/>
      <c r="I6316" s="97"/>
      <c r="J6316" s="97"/>
      <c r="K6316" s="29"/>
      <c r="L6316" s="29"/>
      <c r="M6316" s="30">
        <f>IFERROR(VLOOKUP($A6316,HeadJournal!$A$1:$J$890,COLUMN(HeadJournal!I$1),0)*($K6316+$L6316)/(SUMIF($A:$A,$A6316,$K:$K)+SUMIF($A:$A,$A6316,$L:$L)),0)</f>
        <v>0</v>
      </c>
      <c r="N6316" s="30">
        <f>IFERROR((VLOOKUP($A6316,HeadJournal!$A$1:$K$890,COLUMN(HeadJournal!K$1),0)-VLOOKUP($A6316,HeadJournal!$A$1:$K$890,COLUMN(HeadJournal!J$1),0))*($K6316+$L6316)/(SUMIF($A:$A,$A6316,$K:$K)+SUMIF($A:$A,$A6316,$L:$L)),0)</f>
        <v>0</v>
      </c>
      <c r="O6316" s="30">
        <f>IFERROR((VLOOKUP($A6316,HeadJournal!$A$1:$L$890,COLUMN(HeadJournal!L$1),0)*($K6316+$L6316)/(SUMIF($A:$A,$A6316,$K:$K)+SUMIF($A:$A,$A6316,$L:$L)))/VLOOKUP($A6316,HeadJournal!$A$1:$L$890,COLUMN(HeadJournal!H$1),0),0)</f>
        <v>0</v>
      </c>
      <c r="P6316" s="30">
        <f>IFERROR(SUM(K6316:O6316)*VLOOKUP($A6316,HeadJournal!$A$1:$L$890,COLUMN(HeadJournal!H$1),0),0)</f>
        <v>0</v>
      </c>
      <c r="Q6316" s="29"/>
      <c r="R6316" s="31"/>
      <c r="S6316" s="31"/>
      <c r="T6316" s="95" t="str">
        <f t="shared" si="420"/>
        <v/>
      </c>
      <c r="U6316" s="32">
        <f t="shared" si="354"/>
        <v>0</v>
      </c>
      <c r="V6316" s="22" t="str">
        <f t="shared" si="355"/>
        <v/>
      </c>
      <c r="X6316" s="33"/>
      <c r="Y6316" s="33"/>
    </row>
    <row r="6317" spans="1:25" x14ac:dyDescent="0.2">
      <c r="A6317" s="93"/>
      <c r="B6317" s="94" t="str">
        <f>IFERROR(VLOOKUP($A6317,HeadJournal!$A$1:$NTR$890,COLUMN(HeadJournal!B$1),0),"")</f>
        <v/>
      </c>
      <c r="C6317" s="94" t="str">
        <f>IFERROR(VLOOKUP($A6317,HeadJournal!$A$1:$NTR$890,COLUMN(HeadJournal!C$1),0),"")</f>
        <v/>
      </c>
      <c r="D6317" s="125" t="str">
        <f>IFERROR(VLOOKUP($A6317,HeadJournal!$A$1:$NTR$890,COLUMN(HeadJournal!D$1),0),"")</f>
        <v/>
      </c>
      <c r="E6317" s="95" t="str">
        <f>IFERROR(VLOOKUP($A6317,HeadJournal!$A$1:$NTR$890,COLUMN(HeadJournal!G$1),0),"")</f>
        <v/>
      </c>
      <c r="F6317" s="95" t="str">
        <f t="shared" si="419"/>
        <v/>
      </c>
      <c r="G6317" s="97"/>
      <c r="H6317" s="161"/>
      <c r="I6317" s="97"/>
      <c r="J6317" s="97"/>
      <c r="K6317" s="29"/>
      <c r="L6317" s="29"/>
      <c r="M6317" s="30">
        <f>IFERROR(VLOOKUP($A6317,HeadJournal!$A$1:$J$890,COLUMN(HeadJournal!I$1),0)*($K6317+$L6317)/(SUMIF($A:$A,$A6317,$K:$K)+SUMIF($A:$A,$A6317,$L:$L)),0)</f>
        <v>0</v>
      </c>
      <c r="N6317" s="30">
        <f>IFERROR((VLOOKUP($A6317,HeadJournal!$A$1:$K$890,COLUMN(HeadJournal!K$1),0)-VLOOKUP($A6317,HeadJournal!$A$1:$K$890,COLUMN(HeadJournal!J$1),0))*($K6317+$L6317)/(SUMIF($A:$A,$A6317,$K:$K)+SUMIF($A:$A,$A6317,$L:$L)),0)</f>
        <v>0</v>
      </c>
      <c r="O6317" s="30">
        <f>IFERROR((VLOOKUP($A6317,HeadJournal!$A$1:$L$890,COLUMN(HeadJournal!L$1),0)*($K6317+$L6317)/(SUMIF($A:$A,$A6317,$K:$K)+SUMIF($A:$A,$A6317,$L:$L)))/VLOOKUP($A6317,HeadJournal!$A$1:$L$890,COLUMN(HeadJournal!H$1),0),0)</f>
        <v>0</v>
      </c>
      <c r="P6317" s="30">
        <f>IFERROR(SUM(K6317:O6317)*VLOOKUP($A6317,HeadJournal!$A$1:$L$890,COLUMN(HeadJournal!H$1),0),0)</f>
        <v>0</v>
      </c>
      <c r="Q6317" s="29"/>
      <c r="R6317" s="31"/>
      <c r="S6317" s="31"/>
      <c r="T6317" s="95" t="str">
        <f t="shared" si="420"/>
        <v/>
      </c>
      <c r="U6317" s="32">
        <f t="shared" si="354"/>
        <v>0</v>
      </c>
      <c r="V6317" s="22" t="str">
        <f t="shared" si="355"/>
        <v/>
      </c>
      <c r="X6317" s="33"/>
      <c r="Y6317" s="33"/>
    </row>
    <row r="6318" spans="1:25" x14ac:dyDescent="0.2">
      <c r="A6318" s="93"/>
      <c r="B6318" s="94" t="str">
        <f>IFERROR(VLOOKUP($A6318,HeadJournal!$A$1:$NTR$890,COLUMN(HeadJournal!B$1),0),"")</f>
        <v/>
      </c>
      <c r="C6318" s="94" t="str">
        <f>IFERROR(VLOOKUP($A6318,HeadJournal!$A$1:$NTR$890,COLUMN(HeadJournal!C$1),0),"")</f>
        <v/>
      </c>
      <c r="D6318" s="125" t="str">
        <f>IFERROR(VLOOKUP($A6318,HeadJournal!$A$1:$NTR$890,COLUMN(HeadJournal!D$1),0),"")</f>
        <v/>
      </c>
      <c r="E6318" s="95" t="str">
        <f>IFERROR(VLOOKUP($A6318,HeadJournal!$A$1:$NTR$890,COLUMN(HeadJournal!G$1),0),"")</f>
        <v/>
      </c>
      <c r="F6318" s="95" t="str">
        <f t="shared" si="419"/>
        <v/>
      </c>
      <c r="G6318" s="97"/>
      <c r="H6318" s="161"/>
      <c r="I6318" s="97"/>
      <c r="J6318" s="97"/>
      <c r="K6318" s="29"/>
      <c r="L6318" s="29"/>
      <c r="M6318" s="30">
        <f>IFERROR(VLOOKUP($A6318,HeadJournal!$A$1:$J$890,COLUMN(HeadJournal!I$1),0)*($K6318+$L6318)/(SUMIF($A:$A,$A6318,$K:$K)+SUMIF($A:$A,$A6318,$L:$L)),0)</f>
        <v>0</v>
      </c>
      <c r="N6318" s="30">
        <f>IFERROR((VLOOKUP($A6318,HeadJournal!$A$1:$K$890,COLUMN(HeadJournal!K$1),0)-VLOOKUP($A6318,HeadJournal!$A$1:$K$890,COLUMN(HeadJournal!J$1),0))*($K6318+$L6318)/(SUMIF($A:$A,$A6318,$K:$K)+SUMIF($A:$A,$A6318,$L:$L)),0)</f>
        <v>0</v>
      </c>
      <c r="O6318" s="30">
        <f>IFERROR((VLOOKUP($A6318,HeadJournal!$A$1:$L$890,COLUMN(HeadJournal!L$1),0)*($K6318+$L6318)/(SUMIF($A:$A,$A6318,$K:$K)+SUMIF($A:$A,$A6318,$L:$L)))/VLOOKUP($A6318,HeadJournal!$A$1:$L$890,COLUMN(HeadJournal!H$1),0),0)</f>
        <v>0</v>
      </c>
      <c r="P6318" s="30">
        <f>IFERROR(SUM(K6318:O6318)*VLOOKUP($A6318,HeadJournal!$A$1:$L$890,COLUMN(HeadJournal!H$1),0),0)</f>
        <v>0</v>
      </c>
      <c r="Q6318" s="29"/>
      <c r="R6318" s="31"/>
      <c r="S6318" s="31"/>
      <c r="T6318" s="95" t="str">
        <f t="shared" si="420"/>
        <v/>
      </c>
      <c r="U6318" s="32">
        <f t="shared" si="354"/>
        <v>0</v>
      </c>
      <c r="V6318" s="22" t="str">
        <f t="shared" si="355"/>
        <v/>
      </c>
      <c r="X6318" s="33"/>
      <c r="Y6318" s="33"/>
    </row>
    <row r="6319" spans="1:25" x14ac:dyDescent="0.2">
      <c r="A6319" s="93"/>
      <c r="B6319" s="94" t="str">
        <f>IFERROR(VLOOKUP($A6319,HeadJournal!$A$1:$NTR$890,COLUMN(HeadJournal!B$1),0),"")</f>
        <v/>
      </c>
      <c r="C6319" s="94" t="str">
        <f>IFERROR(VLOOKUP($A6319,HeadJournal!$A$1:$NTR$890,COLUMN(HeadJournal!C$1),0),"")</f>
        <v/>
      </c>
      <c r="D6319" s="125" t="str">
        <f>IFERROR(VLOOKUP($A6319,HeadJournal!$A$1:$NTR$890,COLUMN(HeadJournal!D$1),0),"")</f>
        <v/>
      </c>
      <c r="E6319" s="95" t="str">
        <f>IFERROR(VLOOKUP($A6319,HeadJournal!$A$1:$NTR$890,COLUMN(HeadJournal!G$1),0),"")</f>
        <v/>
      </c>
      <c r="F6319" s="95" t="str">
        <f t="shared" si="419"/>
        <v/>
      </c>
      <c r="G6319" s="97"/>
      <c r="H6319" s="161"/>
      <c r="I6319" s="97"/>
      <c r="J6319" s="97"/>
      <c r="K6319" s="29"/>
      <c r="L6319" s="29"/>
      <c r="M6319" s="30">
        <f>IFERROR(VLOOKUP($A6319,HeadJournal!$A$1:$J$890,COLUMN(HeadJournal!I$1),0)*($K6319+$L6319)/(SUMIF($A:$A,$A6319,$K:$K)+SUMIF($A:$A,$A6319,$L:$L)),0)</f>
        <v>0</v>
      </c>
      <c r="N6319" s="30">
        <f>IFERROR((VLOOKUP($A6319,HeadJournal!$A$1:$K$890,COLUMN(HeadJournal!K$1),0)-VLOOKUP($A6319,HeadJournal!$A$1:$K$890,COLUMN(HeadJournal!J$1),0))*($K6319+$L6319)/(SUMIF($A:$A,$A6319,$K:$K)+SUMIF($A:$A,$A6319,$L:$L)),0)</f>
        <v>0</v>
      </c>
      <c r="O6319" s="30">
        <f>IFERROR((VLOOKUP($A6319,HeadJournal!$A$1:$L$890,COLUMN(HeadJournal!L$1),0)*($K6319+$L6319)/(SUMIF($A:$A,$A6319,$K:$K)+SUMIF($A:$A,$A6319,$L:$L)))/VLOOKUP($A6319,HeadJournal!$A$1:$L$890,COLUMN(HeadJournal!H$1),0),0)</f>
        <v>0</v>
      </c>
      <c r="P6319" s="30">
        <f>IFERROR(SUM(K6319:O6319)*VLOOKUP($A6319,HeadJournal!$A$1:$L$890,COLUMN(HeadJournal!H$1),0),0)</f>
        <v>0</v>
      </c>
      <c r="Q6319" s="29"/>
      <c r="R6319" s="31"/>
      <c r="S6319" s="31"/>
      <c r="T6319" s="95" t="str">
        <f t="shared" si="420"/>
        <v/>
      </c>
      <c r="U6319" s="32">
        <f t="shared" si="354"/>
        <v>0</v>
      </c>
      <c r="V6319" s="22" t="str">
        <f t="shared" si="355"/>
        <v/>
      </c>
      <c r="X6319" s="33"/>
      <c r="Y6319" s="33"/>
    </row>
    <row r="6320" spans="1:25" x14ac:dyDescent="0.2">
      <c r="A6320" s="93"/>
      <c r="B6320" s="94" t="str">
        <f>IFERROR(VLOOKUP($A6320,HeadJournal!$A$1:$NTR$890,COLUMN(HeadJournal!B$1),0),"")</f>
        <v/>
      </c>
      <c r="C6320" s="94" t="str">
        <f>IFERROR(VLOOKUP($A6320,HeadJournal!$A$1:$NTR$890,COLUMN(HeadJournal!C$1),0),"")</f>
        <v/>
      </c>
      <c r="D6320" s="125" t="str">
        <f>IFERROR(VLOOKUP($A6320,HeadJournal!$A$1:$NTR$890,COLUMN(HeadJournal!D$1),0),"")</f>
        <v/>
      </c>
      <c r="E6320" s="95" t="str">
        <f>IFERROR(VLOOKUP($A6320,HeadJournal!$A$1:$NTR$890,COLUMN(HeadJournal!G$1),0),"")</f>
        <v/>
      </c>
      <c r="F6320" s="95" t="str">
        <f t="shared" si="419"/>
        <v/>
      </c>
      <c r="G6320" s="97"/>
      <c r="H6320" s="161"/>
      <c r="I6320" s="97"/>
      <c r="J6320" s="97"/>
      <c r="K6320" s="29"/>
      <c r="L6320" s="29"/>
      <c r="M6320" s="30">
        <f>IFERROR(VLOOKUP($A6320,HeadJournal!$A$1:$J$890,COLUMN(HeadJournal!I$1),0)*($K6320+$L6320)/(SUMIF($A:$A,$A6320,$K:$K)+SUMIF($A:$A,$A6320,$L:$L)),0)</f>
        <v>0</v>
      </c>
      <c r="N6320" s="30">
        <f>IFERROR((VLOOKUP($A6320,HeadJournal!$A$1:$K$890,COLUMN(HeadJournal!K$1),0)-VLOOKUP($A6320,HeadJournal!$A$1:$K$890,COLUMN(HeadJournal!J$1),0))*($K6320+$L6320)/(SUMIF($A:$A,$A6320,$K:$K)+SUMIF($A:$A,$A6320,$L:$L)),0)</f>
        <v>0</v>
      </c>
      <c r="O6320" s="30">
        <f>IFERROR((VLOOKUP($A6320,HeadJournal!$A$1:$L$890,COLUMN(HeadJournal!L$1),0)*($K6320+$L6320)/(SUMIF($A:$A,$A6320,$K:$K)+SUMIF($A:$A,$A6320,$L:$L)))/VLOOKUP($A6320,HeadJournal!$A$1:$L$890,COLUMN(HeadJournal!H$1),0),0)</f>
        <v>0</v>
      </c>
      <c r="P6320" s="30">
        <f>IFERROR(SUM(K6320:O6320)*VLOOKUP($A6320,HeadJournal!$A$1:$L$890,COLUMN(HeadJournal!H$1),0),0)</f>
        <v>0</v>
      </c>
      <c r="Q6320" s="29"/>
      <c r="R6320" s="31"/>
      <c r="S6320" s="31"/>
      <c r="T6320" s="95" t="str">
        <f t="shared" si="420"/>
        <v/>
      </c>
      <c r="U6320" s="32">
        <f t="shared" si="354"/>
        <v>0</v>
      </c>
      <c r="V6320" s="22" t="str">
        <f t="shared" si="355"/>
        <v/>
      </c>
      <c r="X6320" s="33"/>
      <c r="Y6320" s="33"/>
    </row>
    <row r="6321" spans="1:25" x14ac:dyDescent="0.2">
      <c r="A6321" s="93"/>
      <c r="B6321" s="94" t="str">
        <f>IFERROR(VLOOKUP($A6321,HeadJournal!$A$1:$NTR$890,COLUMN(HeadJournal!B$1),0),"")</f>
        <v/>
      </c>
      <c r="C6321" s="94" t="str">
        <f>IFERROR(VLOOKUP($A6321,HeadJournal!$A$1:$NTR$890,COLUMN(HeadJournal!C$1),0),"")</f>
        <v/>
      </c>
      <c r="D6321" s="125" t="str">
        <f>IFERROR(VLOOKUP($A6321,HeadJournal!$A$1:$NTR$890,COLUMN(HeadJournal!D$1),0),"")</f>
        <v/>
      </c>
      <c r="E6321" s="95" t="str">
        <f>IFERROR(VLOOKUP($A6321,HeadJournal!$A$1:$NTR$890,COLUMN(HeadJournal!G$1),0),"")</f>
        <v/>
      </c>
      <c r="F6321" s="95" t="str">
        <f t="shared" si="419"/>
        <v/>
      </c>
      <c r="G6321" s="97"/>
      <c r="H6321" s="161"/>
      <c r="I6321" s="97"/>
      <c r="J6321" s="97"/>
      <c r="K6321" s="29"/>
      <c r="L6321" s="29"/>
      <c r="M6321" s="30">
        <f>IFERROR(VLOOKUP($A6321,HeadJournal!$A$1:$J$890,COLUMN(HeadJournal!I$1),0)*($K6321+$L6321)/(SUMIF($A:$A,$A6321,$K:$K)+SUMIF($A:$A,$A6321,$L:$L)),0)</f>
        <v>0</v>
      </c>
      <c r="N6321" s="30">
        <f>IFERROR((VLOOKUP($A6321,HeadJournal!$A$1:$K$890,COLUMN(HeadJournal!K$1),0)-VLOOKUP($A6321,HeadJournal!$A$1:$K$890,COLUMN(HeadJournal!J$1),0))*($K6321+$L6321)/(SUMIF($A:$A,$A6321,$K:$K)+SUMIF($A:$A,$A6321,$L:$L)),0)</f>
        <v>0</v>
      </c>
      <c r="O6321" s="30">
        <f>IFERROR((VLOOKUP($A6321,HeadJournal!$A$1:$L$890,COLUMN(HeadJournal!L$1),0)*($K6321+$L6321)/(SUMIF($A:$A,$A6321,$K:$K)+SUMIF($A:$A,$A6321,$L:$L)))/VLOOKUP($A6321,HeadJournal!$A$1:$L$890,COLUMN(HeadJournal!H$1),0),0)</f>
        <v>0</v>
      </c>
      <c r="P6321" s="30">
        <f>IFERROR(SUM(K6321:O6321)*VLOOKUP($A6321,HeadJournal!$A$1:$L$890,COLUMN(HeadJournal!H$1),0),0)</f>
        <v>0</v>
      </c>
      <c r="Q6321" s="29"/>
      <c r="R6321" s="31"/>
      <c r="S6321" s="31"/>
      <c r="T6321" s="95" t="str">
        <f t="shared" si="420"/>
        <v/>
      </c>
      <c r="U6321" s="32">
        <f t="shared" si="354"/>
        <v>0</v>
      </c>
      <c r="V6321" s="22" t="str">
        <f t="shared" si="355"/>
        <v/>
      </c>
      <c r="X6321" s="33"/>
      <c r="Y6321" s="33"/>
    </row>
    <row r="6322" spans="1:25" x14ac:dyDescent="0.2">
      <c r="A6322" s="93"/>
      <c r="B6322" s="94" t="str">
        <f>IFERROR(VLOOKUP($A6322,HeadJournal!$A$1:$NTR$890,COLUMN(HeadJournal!B$1),0),"")</f>
        <v/>
      </c>
      <c r="C6322" s="94" t="str">
        <f>IFERROR(VLOOKUP($A6322,HeadJournal!$A$1:$NTR$890,COLUMN(HeadJournal!C$1),0),"")</f>
        <v/>
      </c>
      <c r="D6322" s="125" t="str">
        <f>IFERROR(VLOOKUP($A6322,HeadJournal!$A$1:$NTR$890,COLUMN(HeadJournal!D$1),0),"")</f>
        <v/>
      </c>
      <c r="E6322" s="95" t="str">
        <f>IFERROR(VLOOKUP($A6322,HeadJournal!$A$1:$NTR$890,COLUMN(HeadJournal!G$1),0),"")</f>
        <v/>
      </c>
      <c r="F6322" s="95" t="str">
        <f t="shared" si="419"/>
        <v/>
      </c>
      <c r="G6322" s="97"/>
      <c r="H6322" s="161"/>
      <c r="I6322" s="97"/>
      <c r="J6322" s="97"/>
      <c r="K6322" s="29"/>
      <c r="L6322" s="29"/>
      <c r="M6322" s="30">
        <f>IFERROR(VLOOKUP($A6322,HeadJournal!$A$1:$J$890,COLUMN(HeadJournal!I$1),0)*($K6322+$L6322)/(SUMIF($A:$A,$A6322,$K:$K)+SUMIF($A:$A,$A6322,$L:$L)),0)</f>
        <v>0</v>
      </c>
      <c r="N6322" s="30">
        <f>IFERROR((VLOOKUP($A6322,HeadJournal!$A$1:$K$890,COLUMN(HeadJournal!K$1),0)-VLOOKUP($A6322,HeadJournal!$A$1:$K$890,COLUMN(HeadJournal!J$1),0))*($K6322+$L6322)/(SUMIF($A:$A,$A6322,$K:$K)+SUMIF($A:$A,$A6322,$L:$L)),0)</f>
        <v>0</v>
      </c>
      <c r="O6322" s="30">
        <f>IFERROR((VLOOKUP($A6322,HeadJournal!$A$1:$L$890,COLUMN(HeadJournal!L$1),0)*($K6322+$L6322)/(SUMIF($A:$A,$A6322,$K:$K)+SUMIF($A:$A,$A6322,$L:$L)))/VLOOKUP($A6322,HeadJournal!$A$1:$L$890,COLUMN(HeadJournal!H$1),0),0)</f>
        <v>0</v>
      </c>
      <c r="P6322" s="30">
        <f>IFERROR(SUM(K6322:O6322)*VLOOKUP($A6322,HeadJournal!$A$1:$L$890,COLUMN(HeadJournal!H$1),0),0)</f>
        <v>0</v>
      </c>
      <c r="Q6322" s="29"/>
      <c r="R6322" s="31"/>
      <c r="S6322" s="31"/>
      <c r="T6322" s="95" t="str">
        <f t="shared" si="420"/>
        <v/>
      </c>
      <c r="U6322" s="32">
        <f t="shared" si="354"/>
        <v>0</v>
      </c>
      <c r="V6322" s="22" t="str">
        <f t="shared" si="355"/>
        <v/>
      </c>
      <c r="X6322" s="33"/>
      <c r="Y6322" s="33"/>
    </row>
    <row r="6323" spans="1:25" x14ac:dyDescent="0.2">
      <c r="A6323" s="93"/>
      <c r="B6323" s="94" t="str">
        <f>IFERROR(VLOOKUP($A6323,HeadJournal!$A$1:$NTR$890,COLUMN(HeadJournal!B$1),0),"")</f>
        <v/>
      </c>
      <c r="C6323" s="94" t="str">
        <f>IFERROR(VLOOKUP($A6323,HeadJournal!$A$1:$NTR$890,COLUMN(HeadJournal!C$1),0),"")</f>
        <v/>
      </c>
      <c r="D6323" s="125" t="str">
        <f>IFERROR(VLOOKUP($A6323,HeadJournal!$A$1:$NTR$890,COLUMN(HeadJournal!D$1),0),"")</f>
        <v/>
      </c>
      <c r="E6323" s="95" t="str">
        <f>IFERROR(VLOOKUP($A6323,HeadJournal!$A$1:$NTR$890,COLUMN(HeadJournal!G$1),0),"")</f>
        <v/>
      </c>
      <c r="F6323" s="95" t="str">
        <f t="shared" ref="F6323:F6329" si="465">IFERROR(TEXT(E6323, "ГГГГ ММ"),"")</f>
        <v/>
      </c>
      <c r="G6323" s="97"/>
      <c r="H6323" s="161"/>
      <c r="I6323" s="97"/>
      <c r="J6323" s="97"/>
      <c r="K6323" s="29"/>
      <c r="L6323" s="29"/>
      <c r="M6323" s="30">
        <f>IFERROR(VLOOKUP($A6323,HeadJournal!$A$1:$J$890,COLUMN(HeadJournal!I$1),0)*($K6323+$L6323)/(SUMIF($A:$A,$A6323,$K:$K)+SUMIF($A:$A,$A6323,$L:$L)),0)</f>
        <v>0</v>
      </c>
      <c r="N6323" s="30">
        <f>IFERROR((VLOOKUP($A6323,HeadJournal!$A$1:$K$890,COLUMN(HeadJournal!K$1),0)-VLOOKUP($A6323,HeadJournal!$A$1:$K$890,COLUMN(HeadJournal!J$1),0))*($K6323+$L6323)/(SUMIF($A:$A,$A6323,$K:$K)+SUMIF($A:$A,$A6323,$L:$L)),0)</f>
        <v>0</v>
      </c>
      <c r="O6323" s="30">
        <f>IFERROR((VLOOKUP($A6323,HeadJournal!$A$1:$L$890,COLUMN(HeadJournal!L$1),0)*($K6323+$L6323)/(SUMIF($A:$A,$A6323,$K:$K)+SUMIF($A:$A,$A6323,$L:$L)))/VLOOKUP($A6323,HeadJournal!$A$1:$L$890,COLUMN(HeadJournal!H$1),0),0)</f>
        <v>0</v>
      </c>
      <c r="P6323" s="30">
        <f>IFERROR(SUM(K6323:O6323)*VLOOKUP($A6323,HeadJournal!$A$1:$L$890,COLUMN(HeadJournal!H$1),0),0)</f>
        <v>0</v>
      </c>
      <c r="Q6323" s="29"/>
      <c r="R6323" s="31"/>
      <c r="S6323" s="31"/>
      <c r="T6323" s="95" t="str">
        <f t="shared" ref="T6323:T6329" si="466">IF(R6323="","",TEXT(R6323,"ГГГГ ММ"))</f>
        <v/>
      </c>
      <c r="U6323" s="32">
        <f t="shared" ref="U6323:U6329" si="467">Q6323-P6323</f>
        <v>0</v>
      </c>
      <c r="V6323" s="22" t="str">
        <f t="shared" ref="V6323:V6329" si="468">IF(Q6323&lt;&gt;0,IFERROR(U6323/P6323,""),"")</f>
        <v/>
      </c>
      <c r="X6323" s="33"/>
      <c r="Y6323" s="33"/>
    </row>
    <row r="6324" spans="1:25" x14ac:dyDescent="0.2">
      <c r="A6324" s="93"/>
      <c r="B6324" s="94" t="str">
        <f>IFERROR(VLOOKUP($A6324,HeadJournal!$A$1:$NTR$890,COLUMN(HeadJournal!B$1),0),"")</f>
        <v/>
      </c>
      <c r="C6324" s="94" t="str">
        <f>IFERROR(VLOOKUP($A6324,HeadJournal!$A$1:$NTR$890,COLUMN(HeadJournal!C$1),0),"")</f>
        <v/>
      </c>
      <c r="D6324" s="125" t="str">
        <f>IFERROR(VLOOKUP($A6324,HeadJournal!$A$1:$NTR$890,COLUMN(HeadJournal!D$1),0),"")</f>
        <v/>
      </c>
      <c r="E6324" s="95" t="str">
        <f>IFERROR(VLOOKUP($A6324,HeadJournal!$A$1:$NTR$890,COLUMN(HeadJournal!G$1),0),"")</f>
        <v/>
      </c>
      <c r="F6324" s="95" t="str">
        <f t="shared" si="465"/>
        <v/>
      </c>
      <c r="G6324" s="97"/>
      <c r="H6324" s="161"/>
      <c r="I6324" s="97"/>
      <c r="J6324" s="97"/>
      <c r="K6324" s="29"/>
      <c r="L6324" s="29"/>
      <c r="M6324" s="30">
        <f>IFERROR(VLOOKUP($A6324,HeadJournal!$A$1:$J$890,COLUMN(HeadJournal!I$1),0)*($K6324+$L6324)/(SUMIF($A:$A,$A6324,$K:$K)+SUMIF($A:$A,$A6324,$L:$L)),0)</f>
        <v>0</v>
      </c>
      <c r="N6324" s="30">
        <f>IFERROR((VLOOKUP($A6324,HeadJournal!$A$1:$K$890,COLUMN(HeadJournal!K$1),0)-VLOOKUP($A6324,HeadJournal!$A$1:$K$890,COLUMN(HeadJournal!J$1),0))*($K6324+$L6324)/(SUMIF($A:$A,$A6324,$K:$K)+SUMIF($A:$A,$A6324,$L:$L)),0)</f>
        <v>0</v>
      </c>
      <c r="O6324" s="30">
        <f>IFERROR((VLOOKUP($A6324,HeadJournal!$A$1:$L$890,COLUMN(HeadJournal!L$1),0)*($K6324+$L6324)/(SUMIF($A:$A,$A6324,$K:$K)+SUMIF($A:$A,$A6324,$L:$L)))/VLOOKUP($A6324,HeadJournal!$A$1:$L$890,COLUMN(HeadJournal!H$1),0),0)</f>
        <v>0</v>
      </c>
      <c r="P6324" s="30">
        <f>IFERROR(SUM(K6324:O6324)*VLOOKUP($A6324,HeadJournal!$A$1:$L$890,COLUMN(HeadJournal!H$1),0),0)</f>
        <v>0</v>
      </c>
      <c r="Q6324" s="29"/>
      <c r="R6324" s="31"/>
      <c r="S6324" s="31"/>
      <c r="T6324" s="95" t="str">
        <f t="shared" si="466"/>
        <v/>
      </c>
      <c r="U6324" s="32">
        <f t="shared" si="467"/>
        <v>0</v>
      </c>
      <c r="V6324" s="22" t="str">
        <f t="shared" si="468"/>
        <v/>
      </c>
      <c r="X6324" s="33"/>
      <c r="Y6324" s="33"/>
    </row>
    <row r="6325" spans="1:25" x14ac:dyDescent="0.2">
      <c r="A6325" s="93"/>
      <c r="B6325" s="94" t="str">
        <f>IFERROR(VLOOKUP($A6325,HeadJournal!$A$1:$NTR$890,COLUMN(HeadJournal!B$1),0),"")</f>
        <v/>
      </c>
      <c r="C6325" s="94" t="str">
        <f>IFERROR(VLOOKUP($A6325,HeadJournal!$A$1:$NTR$890,COLUMN(HeadJournal!C$1),0),"")</f>
        <v/>
      </c>
      <c r="D6325" s="125" t="str">
        <f>IFERROR(VLOOKUP($A6325,HeadJournal!$A$1:$NTR$890,COLUMN(HeadJournal!D$1),0),"")</f>
        <v/>
      </c>
      <c r="E6325" s="95" t="str">
        <f>IFERROR(VLOOKUP($A6325,HeadJournal!$A$1:$NTR$890,COLUMN(HeadJournal!G$1),0),"")</f>
        <v/>
      </c>
      <c r="F6325" s="95" t="str">
        <f t="shared" si="465"/>
        <v/>
      </c>
      <c r="G6325" s="97"/>
      <c r="H6325" s="161"/>
      <c r="I6325" s="97"/>
      <c r="J6325" s="97"/>
      <c r="K6325" s="29"/>
      <c r="L6325" s="29"/>
      <c r="M6325" s="30">
        <f>IFERROR(VLOOKUP($A6325,HeadJournal!$A$1:$J$890,COLUMN(HeadJournal!I$1),0)*($K6325+$L6325)/(SUMIF($A:$A,$A6325,$K:$K)+SUMIF($A:$A,$A6325,$L:$L)),0)</f>
        <v>0</v>
      </c>
      <c r="N6325" s="30">
        <f>IFERROR((VLOOKUP($A6325,HeadJournal!$A$1:$K$890,COLUMN(HeadJournal!K$1),0)-VLOOKUP($A6325,HeadJournal!$A$1:$K$890,COLUMN(HeadJournal!J$1),0))*($K6325+$L6325)/(SUMIF($A:$A,$A6325,$K:$K)+SUMIF($A:$A,$A6325,$L:$L)),0)</f>
        <v>0</v>
      </c>
      <c r="O6325" s="30">
        <f>IFERROR((VLOOKUP($A6325,HeadJournal!$A$1:$L$890,COLUMN(HeadJournal!L$1),0)*($K6325+$L6325)/(SUMIF($A:$A,$A6325,$K:$K)+SUMIF($A:$A,$A6325,$L:$L)))/VLOOKUP($A6325,HeadJournal!$A$1:$L$890,COLUMN(HeadJournal!H$1),0),0)</f>
        <v>0</v>
      </c>
      <c r="P6325" s="30">
        <f>IFERROR(SUM(K6325:O6325)*VLOOKUP($A6325,HeadJournal!$A$1:$L$890,COLUMN(HeadJournal!H$1),0),0)</f>
        <v>0</v>
      </c>
      <c r="Q6325" s="29"/>
      <c r="R6325" s="31"/>
      <c r="S6325" s="31"/>
      <c r="T6325" s="95" t="str">
        <f t="shared" si="466"/>
        <v/>
      </c>
      <c r="U6325" s="32">
        <f t="shared" si="467"/>
        <v>0</v>
      </c>
      <c r="V6325" s="22" t="str">
        <f t="shared" si="468"/>
        <v/>
      </c>
      <c r="X6325" s="33"/>
      <c r="Y6325" s="33"/>
    </row>
    <row r="6326" spans="1:25" x14ac:dyDescent="0.2">
      <c r="A6326" s="93"/>
      <c r="B6326" s="94" t="str">
        <f>IFERROR(VLOOKUP($A6326,HeadJournal!$A$1:$NTR$890,COLUMN(HeadJournal!B$1),0),"")</f>
        <v/>
      </c>
      <c r="C6326" s="94" t="str">
        <f>IFERROR(VLOOKUP($A6326,HeadJournal!$A$1:$NTR$890,COLUMN(HeadJournal!C$1),0),"")</f>
        <v/>
      </c>
      <c r="D6326" s="125" t="str">
        <f>IFERROR(VLOOKUP($A6326,HeadJournal!$A$1:$NTR$890,COLUMN(HeadJournal!D$1),0),"")</f>
        <v/>
      </c>
      <c r="E6326" s="95" t="str">
        <f>IFERROR(VLOOKUP($A6326,HeadJournal!$A$1:$NTR$890,COLUMN(HeadJournal!G$1),0),"")</f>
        <v/>
      </c>
      <c r="F6326" s="95" t="str">
        <f t="shared" si="465"/>
        <v/>
      </c>
      <c r="G6326" s="97"/>
      <c r="H6326" s="161"/>
      <c r="I6326" s="97"/>
      <c r="J6326" s="97"/>
      <c r="K6326" s="29"/>
      <c r="L6326" s="29"/>
      <c r="M6326" s="30">
        <f>IFERROR(VLOOKUP($A6326,HeadJournal!$A$1:$J$890,COLUMN(HeadJournal!I$1),0)*($K6326+$L6326)/(SUMIF($A:$A,$A6326,$K:$K)+SUMIF($A:$A,$A6326,$L:$L)),0)</f>
        <v>0</v>
      </c>
      <c r="N6326" s="30">
        <f>IFERROR((VLOOKUP($A6326,HeadJournal!$A$1:$K$890,COLUMN(HeadJournal!K$1),0)-VLOOKUP($A6326,HeadJournal!$A$1:$K$890,COLUMN(HeadJournal!J$1),0))*($K6326+$L6326)/(SUMIF($A:$A,$A6326,$K:$K)+SUMIF($A:$A,$A6326,$L:$L)),0)</f>
        <v>0</v>
      </c>
      <c r="O6326" s="30">
        <f>IFERROR((VLOOKUP($A6326,HeadJournal!$A$1:$L$890,COLUMN(HeadJournal!L$1),0)*($K6326+$L6326)/(SUMIF($A:$A,$A6326,$K:$K)+SUMIF($A:$A,$A6326,$L:$L)))/VLOOKUP($A6326,HeadJournal!$A$1:$L$890,COLUMN(HeadJournal!H$1),0),0)</f>
        <v>0</v>
      </c>
      <c r="P6326" s="30">
        <f>IFERROR(SUM(K6326:O6326)*VLOOKUP($A6326,HeadJournal!$A$1:$L$890,COLUMN(HeadJournal!H$1),0),0)</f>
        <v>0</v>
      </c>
      <c r="Q6326" s="29"/>
      <c r="R6326" s="31"/>
      <c r="S6326" s="31"/>
      <c r="T6326" s="95" t="str">
        <f t="shared" si="466"/>
        <v/>
      </c>
      <c r="U6326" s="32">
        <f t="shared" si="467"/>
        <v>0</v>
      </c>
      <c r="V6326" s="22" t="str">
        <f t="shared" si="468"/>
        <v/>
      </c>
      <c r="X6326" s="33"/>
      <c r="Y6326" s="33"/>
    </row>
    <row r="6327" spans="1:25" x14ac:dyDescent="0.2">
      <c r="A6327" s="93"/>
      <c r="B6327" s="94" t="str">
        <f>IFERROR(VLOOKUP($A6327,HeadJournal!$A$1:$NTR$890,COLUMN(HeadJournal!B$1),0),"")</f>
        <v/>
      </c>
      <c r="C6327" s="94" t="str">
        <f>IFERROR(VLOOKUP($A6327,HeadJournal!$A$1:$NTR$890,COLUMN(HeadJournal!C$1),0),"")</f>
        <v/>
      </c>
      <c r="D6327" s="125" t="str">
        <f>IFERROR(VLOOKUP($A6327,HeadJournal!$A$1:$NTR$890,COLUMN(HeadJournal!D$1),0),"")</f>
        <v/>
      </c>
      <c r="E6327" s="95" t="str">
        <f>IFERROR(VLOOKUP($A6327,HeadJournal!$A$1:$NTR$890,COLUMN(HeadJournal!G$1),0),"")</f>
        <v/>
      </c>
      <c r="F6327" s="95" t="str">
        <f t="shared" si="465"/>
        <v/>
      </c>
      <c r="G6327" s="97"/>
      <c r="H6327" s="161"/>
      <c r="I6327" s="97"/>
      <c r="J6327" s="97"/>
      <c r="K6327" s="29"/>
      <c r="L6327" s="29"/>
      <c r="M6327" s="30">
        <f>IFERROR(VLOOKUP($A6327,HeadJournal!$A$1:$J$890,COLUMN(HeadJournal!I$1),0)*($K6327+$L6327)/(SUMIF($A:$A,$A6327,$K:$K)+SUMIF($A:$A,$A6327,$L:$L)),0)</f>
        <v>0</v>
      </c>
      <c r="N6327" s="30">
        <f>IFERROR((VLOOKUP($A6327,HeadJournal!$A$1:$K$890,COLUMN(HeadJournal!K$1),0)-VLOOKUP($A6327,HeadJournal!$A$1:$K$890,COLUMN(HeadJournal!J$1),0))*($K6327+$L6327)/(SUMIF($A:$A,$A6327,$K:$K)+SUMIF($A:$A,$A6327,$L:$L)),0)</f>
        <v>0</v>
      </c>
      <c r="O6327" s="30">
        <f>IFERROR((VLOOKUP($A6327,HeadJournal!$A$1:$L$890,COLUMN(HeadJournal!L$1),0)*($K6327+$L6327)/(SUMIF($A:$A,$A6327,$K:$K)+SUMIF($A:$A,$A6327,$L:$L)))/VLOOKUP($A6327,HeadJournal!$A$1:$L$890,COLUMN(HeadJournal!H$1),0),0)</f>
        <v>0</v>
      </c>
      <c r="P6327" s="30">
        <f>IFERROR(SUM(K6327:O6327)*VLOOKUP($A6327,HeadJournal!$A$1:$L$890,COLUMN(HeadJournal!H$1),0),0)</f>
        <v>0</v>
      </c>
      <c r="Q6327" s="29"/>
      <c r="R6327" s="31"/>
      <c r="S6327" s="31"/>
      <c r="T6327" s="95" t="str">
        <f t="shared" si="466"/>
        <v/>
      </c>
      <c r="U6327" s="32">
        <f t="shared" si="467"/>
        <v>0</v>
      </c>
      <c r="V6327" s="22" t="str">
        <f t="shared" si="468"/>
        <v/>
      </c>
      <c r="X6327" s="33"/>
      <c r="Y6327" s="33"/>
    </row>
    <row r="6328" spans="1:25" x14ac:dyDescent="0.2">
      <c r="A6328" s="93"/>
      <c r="B6328" s="94" t="str">
        <f>IFERROR(VLOOKUP($A6328,HeadJournal!$A$1:$NTR$890,COLUMN(HeadJournal!B$1),0),"")</f>
        <v/>
      </c>
      <c r="C6328" s="94" t="str">
        <f>IFERROR(VLOOKUP($A6328,HeadJournal!$A$1:$NTR$890,COLUMN(HeadJournal!C$1),0),"")</f>
        <v/>
      </c>
      <c r="D6328" s="125" t="str">
        <f>IFERROR(VLOOKUP($A6328,HeadJournal!$A$1:$NTR$890,COLUMN(HeadJournal!D$1),0),"")</f>
        <v/>
      </c>
      <c r="E6328" s="95" t="str">
        <f>IFERROR(VLOOKUP($A6328,HeadJournal!$A$1:$NTR$890,COLUMN(HeadJournal!G$1),0),"")</f>
        <v/>
      </c>
      <c r="F6328" s="95" t="str">
        <f t="shared" si="465"/>
        <v/>
      </c>
      <c r="G6328" s="97"/>
      <c r="H6328" s="161"/>
      <c r="I6328" s="97"/>
      <c r="J6328" s="97"/>
      <c r="K6328" s="29"/>
      <c r="L6328" s="29"/>
      <c r="M6328" s="30">
        <f>IFERROR(VLOOKUP($A6328,HeadJournal!$A$1:$J$890,COLUMN(HeadJournal!I$1),0)*($K6328+$L6328)/(SUMIF($A:$A,$A6328,$K:$K)+SUMIF($A:$A,$A6328,$L:$L)),0)</f>
        <v>0</v>
      </c>
      <c r="N6328" s="30">
        <f>IFERROR((VLOOKUP($A6328,HeadJournal!$A$1:$K$890,COLUMN(HeadJournal!K$1),0)-VLOOKUP($A6328,HeadJournal!$A$1:$K$890,COLUMN(HeadJournal!J$1),0))*($K6328+$L6328)/(SUMIF($A:$A,$A6328,$K:$K)+SUMIF($A:$A,$A6328,$L:$L)),0)</f>
        <v>0</v>
      </c>
      <c r="O6328" s="30">
        <f>IFERROR((VLOOKUP($A6328,HeadJournal!$A$1:$L$890,COLUMN(HeadJournal!L$1),0)*($K6328+$L6328)/(SUMIF($A:$A,$A6328,$K:$K)+SUMIF($A:$A,$A6328,$L:$L)))/VLOOKUP($A6328,HeadJournal!$A$1:$L$890,COLUMN(HeadJournal!H$1),0),0)</f>
        <v>0</v>
      </c>
      <c r="P6328" s="30">
        <f>IFERROR(SUM(K6328:O6328)*VLOOKUP($A6328,HeadJournal!$A$1:$L$890,COLUMN(HeadJournal!H$1),0),0)</f>
        <v>0</v>
      </c>
      <c r="Q6328" s="29"/>
      <c r="R6328" s="31"/>
      <c r="S6328" s="31"/>
      <c r="T6328" s="95" t="str">
        <f t="shared" si="466"/>
        <v/>
      </c>
      <c r="U6328" s="32">
        <f t="shared" si="467"/>
        <v>0</v>
      </c>
      <c r="V6328" s="22" t="str">
        <f t="shared" si="468"/>
        <v/>
      </c>
      <c r="X6328" s="33"/>
      <c r="Y6328" s="33"/>
    </row>
    <row r="6329" spans="1:25" x14ac:dyDescent="0.2">
      <c r="A6329" s="93"/>
      <c r="B6329" s="94" t="str">
        <f>IFERROR(VLOOKUP($A6329,HeadJournal!$A$1:$NTR$890,COLUMN(HeadJournal!B$1),0),"")</f>
        <v/>
      </c>
      <c r="C6329" s="94" t="str">
        <f>IFERROR(VLOOKUP($A6329,HeadJournal!$A$1:$NTR$890,COLUMN(HeadJournal!C$1),0),"")</f>
        <v/>
      </c>
      <c r="D6329" s="125" t="str">
        <f>IFERROR(VLOOKUP($A6329,HeadJournal!$A$1:$NTR$890,COLUMN(HeadJournal!D$1),0),"")</f>
        <v/>
      </c>
      <c r="E6329" s="95" t="str">
        <f>IFERROR(VLOOKUP($A6329,HeadJournal!$A$1:$NTR$890,COLUMN(HeadJournal!G$1),0),"")</f>
        <v/>
      </c>
      <c r="F6329" s="95" t="str">
        <f t="shared" si="465"/>
        <v/>
      </c>
      <c r="G6329" s="97"/>
      <c r="H6329" s="161"/>
      <c r="I6329" s="97"/>
      <c r="J6329" s="97"/>
      <c r="K6329" s="29"/>
      <c r="L6329" s="29"/>
      <c r="M6329" s="30">
        <f>IFERROR(VLOOKUP($A6329,HeadJournal!$A$1:$J$890,COLUMN(HeadJournal!I$1),0)*($K6329+$L6329)/(SUMIF($A:$A,$A6329,$K:$K)+SUMIF($A:$A,$A6329,$L:$L)),0)</f>
        <v>0</v>
      </c>
      <c r="N6329" s="30">
        <f>IFERROR((VLOOKUP($A6329,HeadJournal!$A$1:$K$890,COLUMN(HeadJournal!K$1),0)-VLOOKUP($A6329,HeadJournal!$A$1:$K$890,COLUMN(HeadJournal!J$1),0))*($K6329+$L6329)/(SUMIF($A:$A,$A6329,$K:$K)+SUMIF($A:$A,$A6329,$L:$L)),0)</f>
        <v>0</v>
      </c>
      <c r="O6329" s="30">
        <f>IFERROR((VLOOKUP($A6329,HeadJournal!$A$1:$L$890,COLUMN(HeadJournal!L$1),0)*($K6329+$L6329)/(SUMIF($A:$A,$A6329,$K:$K)+SUMIF($A:$A,$A6329,$L:$L)))/VLOOKUP($A6329,HeadJournal!$A$1:$L$890,COLUMN(HeadJournal!H$1),0),0)</f>
        <v>0</v>
      </c>
      <c r="P6329" s="30">
        <f>IFERROR(SUM(K6329:O6329)*VLOOKUP($A6329,HeadJournal!$A$1:$L$890,COLUMN(HeadJournal!H$1),0),0)</f>
        <v>0</v>
      </c>
      <c r="Q6329" s="29"/>
      <c r="R6329" s="31"/>
      <c r="S6329" s="31"/>
      <c r="T6329" s="95" t="str">
        <f t="shared" si="466"/>
        <v/>
      </c>
      <c r="U6329" s="32">
        <f t="shared" si="467"/>
        <v>0</v>
      </c>
      <c r="V6329" s="22" t="str">
        <f t="shared" si="468"/>
        <v/>
      </c>
      <c r="X6329" s="33"/>
      <c r="Y6329" s="33"/>
    </row>
    <row r="6330" spans="1:25" x14ac:dyDescent="0.2">
      <c r="A6330" s="93"/>
      <c r="B6330" s="94" t="str">
        <f>IFERROR(VLOOKUP($A6330,HeadJournal!$A$1:$NTR$890,COLUMN(HeadJournal!B$1),0),"")</f>
        <v/>
      </c>
      <c r="C6330" s="94" t="str">
        <f>IFERROR(VLOOKUP($A6330,HeadJournal!$A$1:$NTR$890,COLUMN(HeadJournal!C$1),0),"")</f>
        <v/>
      </c>
      <c r="D6330" s="125" t="str">
        <f>IFERROR(VLOOKUP($A6330,HeadJournal!$A$1:$NTR$890,COLUMN(HeadJournal!D$1),0),"")</f>
        <v/>
      </c>
      <c r="E6330" s="95" t="str">
        <f>IFERROR(VLOOKUP($A6330,HeadJournal!$A$1:$NTR$890,COLUMN(HeadJournal!G$1),0),"")</f>
        <v/>
      </c>
      <c r="F6330" s="95" t="str">
        <f t="shared" ref="F6330:F6336" si="469">IFERROR(TEXT(E6330, "ГГГГ ММ"),"")</f>
        <v/>
      </c>
      <c r="G6330" s="97"/>
      <c r="H6330" s="161"/>
      <c r="I6330" s="97"/>
      <c r="J6330" s="97"/>
      <c r="K6330" s="29"/>
      <c r="L6330" s="29"/>
      <c r="M6330" s="30">
        <f>IFERROR(VLOOKUP($A6330,HeadJournal!$A$1:$J$890,COLUMN(HeadJournal!I$1),0)*($K6330+$L6330)/(SUMIF($A:$A,$A6330,$K:$K)+SUMIF($A:$A,$A6330,$L:$L)),0)</f>
        <v>0</v>
      </c>
      <c r="N6330" s="30">
        <f>IFERROR((VLOOKUP($A6330,HeadJournal!$A$1:$K$890,COLUMN(HeadJournal!K$1),0)-VLOOKUP($A6330,HeadJournal!$A$1:$K$890,COLUMN(HeadJournal!J$1),0))*($K6330+$L6330)/(SUMIF($A:$A,$A6330,$K:$K)+SUMIF($A:$A,$A6330,$L:$L)),0)</f>
        <v>0</v>
      </c>
      <c r="O6330" s="30">
        <f>IFERROR((VLOOKUP($A6330,HeadJournal!$A$1:$L$890,COLUMN(HeadJournal!L$1),0)*($K6330+$L6330)/(SUMIF($A:$A,$A6330,$K:$K)+SUMIF($A:$A,$A6330,$L:$L)))/VLOOKUP($A6330,HeadJournal!$A$1:$L$890,COLUMN(HeadJournal!H$1),0),0)</f>
        <v>0</v>
      </c>
      <c r="P6330" s="30">
        <f>IFERROR(SUM(K6330:O6330)*VLOOKUP($A6330,HeadJournal!$A$1:$L$890,COLUMN(HeadJournal!H$1),0),0)</f>
        <v>0</v>
      </c>
      <c r="Q6330" s="29"/>
      <c r="R6330" s="31"/>
      <c r="S6330" s="31"/>
      <c r="T6330" s="95" t="str">
        <f t="shared" ref="T6330:T6336" si="470">IF(R6330="","",TEXT(R6330,"ГГГГ ММ"))</f>
        <v/>
      </c>
      <c r="U6330" s="32">
        <f t="shared" ref="U6330:U6336" si="471">Q6330-P6330</f>
        <v>0</v>
      </c>
      <c r="V6330" s="22" t="str">
        <f t="shared" ref="V6330:V6336" si="472">IF(Q6330&lt;&gt;0,IFERROR(U6330/P6330,""),"")</f>
        <v/>
      </c>
      <c r="X6330" s="33"/>
      <c r="Y6330" s="33"/>
    </row>
    <row r="6331" spans="1:25" x14ac:dyDescent="0.2">
      <c r="A6331" s="93"/>
      <c r="B6331" s="94" t="str">
        <f>IFERROR(VLOOKUP($A6331,HeadJournal!$A$1:$NTR$890,COLUMN(HeadJournal!B$1),0),"")</f>
        <v/>
      </c>
      <c r="C6331" s="94" t="str">
        <f>IFERROR(VLOOKUP($A6331,HeadJournal!$A$1:$NTR$890,COLUMN(HeadJournal!C$1),0),"")</f>
        <v/>
      </c>
      <c r="D6331" s="125" t="str">
        <f>IFERROR(VLOOKUP($A6331,HeadJournal!$A$1:$NTR$890,COLUMN(HeadJournal!D$1),0),"")</f>
        <v/>
      </c>
      <c r="E6331" s="95" t="str">
        <f>IFERROR(VLOOKUP($A6331,HeadJournal!$A$1:$NTR$890,COLUMN(HeadJournal!G$1),0),"")</f>
        <v/>
      </c>
      <c r="F6331" s="95" t="str">
        <f t="shared" si="469"/>
        <v/>
      </c>
      <c r="G6331" s="97"/>
      <c r="H6331" s="161"/>
      <c r="I6331" s="97"/>
      <c r="J6331" s="97"/>
      <c r="K6331" s="29"/>
      <c r="L6331" s="29"/>
      <c r="M6331" s="30">
        <f>IFERROR(VLOOKUP($A6331,HeadJournal!$A$1:$J$890,COLUMN(HeadJournal!I$1),0)*($K6331+$L6331)/(SUMIF($A:$A,$A6331,$K:$K)+SUMIF($A:$A,$A6331,$L:$L)),0)</f>
        <v>0</v>
      </c>
      <c r="N6331" s="30">
        <f>IFERROR((VLOOKUP($A6331,HeadJournal!$A$1:$K$890,COLUMN(HeadJournal!K$1),0)-VLOOKUP($A6331,HeadJournal!$A$1:$K$890,COLUMN(HeadJournal!J$1),0))*($K6331+$L6331)/(SUMIF($A:$A,$A6331,$K:$K)+SUMIF($A:$A,$A6331,$L:$L)),0)</f>
        <v>0</v>
      </c>
      <c r="O6331" s="30">
        <f>IFERROR((VLOOKUP($A6331,HeadJournal!$A$1:$L$890,COLUMN(HeadJournal!L$1),0)*($K6331+$L6331)/(SUMIF($A:$A,$A6331,$K:$K)+SUMIF($A:$A,$A6331,$L:$L)))/VLOOKUP($A6331,HeadJournal!$A$1:$L$890,COLUMN(HeadJournal!H$1),0),0)</f>
        <v>0</v>
      </c>
      <c r="P6331" s="30">
        <f>IFERROR(SUM(K6331:O6331)*VLOOKUP($A6331,HeadJournal!$A$1:$L$890,COLUMN(HeadJournal!H$1),0),0)</f>
        <v>0</v>
      </c>
      <c r="Q6331" s="29"/>
      <c r="R6331" s="31"/>
      <c r="S6331" s="31"/>
      <c r="T6331" s="95" t="str">
        <f t="shared" si="470"/>
        <v/>
      </c>
      <c r="U6331" s="32">
        <f t="shared" si="471"/>
        <v>0</v>
      </c>
      <c r="V6331" s="22" t="str">
        <f t="shared" si="472"/>
        <v/>
      </c>
      <c r="X6331" s="33"/>
      <c r="Y6331" s="33"/>
    </row>
    <row r="6332" spans="1:25" x14ac:dyDescent="0.2">
      <c r="A6332" s="93"/>
      <c r="B6332" s="94" t="str">
        <f>IFERROR(VLOOKUP($A6332,HeadJournal!$A$1:$NTR$890,COLUMN(HeadJournal!B$1),0),"")</f>
        <v/>
      </c>
      <c r="C6332" s="94" t="str">
        <f>IFERROR(VLOOKUP($A6332,HeadJournal!$A$1:$NTR$890,COLUMN(HeadJournal!C$1),0),"")</f>
        <v/>
      </c>
      <c r="D6332" s="125" t="str">
        <f>IFERROR(VLOOKUP($A6332,HeadJournal!$A$1:$NTR$890,COLUMN(HeadJournal!D$1),0),"")</f>
        <v/>
      </c>
      <c r="E6332" s="95" t="str">
        <f>IFERROR(VLOOKUP($A6332,HeadJournal!$A$1:$NTR$890,COLUMN(HeadJournal!G$1),0),"")</f>
        <v/>
      </c>
      <c r="F6332" s="95" t="str">
        <f t="shared" si="469"/>
        <v/>
      </c>
      <c r="G6332" s="97"/>
      <c r="H6332" s="161"/>
      <c r="I6332" s="97"/>
      <c r="J6332" s="97"/>
      <c r="K6332" s="29"/>
      <c r="L6332" s="29"/>
      <c r="M6332" s="30">
        <f>IFERROR(VLOOKUP($A6332,HeadJournal!$A$1:$J$890,COLUMN(HeadJournal!I$1),0)*($K6332+$L6332)/(SUMIF($A:$A,$A6332,$K:$K)+SUMIF($A:$A,$A6332,$L:$L)),0)</f>
        <v>0</v>
      </c>
      <c r="N6332" s="30">
        <f>IFERROR((VLOOKUP($A6332,HeadJournal!$A$1:$K$890,COLUMN(HeadJournal!K$1),0)-VLOOKUP($A6332,HeadJournal!$A$1:$K$890,COLUMN(HeadJournal!J$1),0))*($K6332+$L6332)/(SUMIF($A:$A,$A6332,$K:$K)+SUMIF($A:$A,$A6332,$L:$L)),0)</f>
        <v>0</v>
      </c>
      <c r="O6332" s="30">
        <f>IFERROR((VLOOKUP($A6332,HeadJournal!$A$1:$L$890,COLUMN(HeadJournal!L$1),0)*($K6332+$L6332)/(SUMIF($A:$A,$A6332,$K:$K)+SUMIF($A:$A,$A6332,$L:$L)))/VLOOKUP($A6332,HeadJournal!$A$1:$L$890,COLUMN(HeadJournal!H$1),0),0)</f>
        <v>0</v>
      </c>
      <c r="P6332" s="30">
        <f>IFERROR(SUM(K6332:O6332)*VLOOKUP($A6332,HeadJournal!$A$1:$L$890,COLUMN(HeadJournal!H$1),0),0)</f>
        <v>0</v>
      </c>
      <c r="Q6332" s="29"/>
      <c r="R6332" s="31"/>
      <c r="S6332" s="31"/>
      <c r="T6332" s="95" t="str">
        <f t="shared" si="470"/>
        <v/>
      </c>
      <c r="U6332" s="32">
        <f t="shared" si="471"/>
        <v>0</v>
      </c>
      <c r="V6332" s="22" t="str">
        <f t="shared" si="472"/>
        <v/>
      </c>
      <c r="X6332" s="33"/>
      <c r="Y6332" s="33"/>
    </row>
    <row r="6333" spans="1:25" x14ac:dyDescent="0.2">
      <c r="A6333" s="93"/>
      <c r="B6333" s="94" t="str">
        <f>IFERROR(VLOOKUP($A6333,HeadJournal!$A$1:$NTR$890,COLUMN(HeadJournal!B$1),0),"")</f>
        <v/>
      </c>
      <c r="C6333" s="94" t="str">
        <f>IFERROR(VLOOKUP($A6333,HeadJournal!$A$1:$NTR$890,COLUMN(HeadJournal!C$1),0),"")</f>
        <v/>
      </c>
      <c r="D6333" s="125" t="str">
        <f>IFERROR(VLOOKUP($A6333,HeadJournal!$A$1:$NTR$890,COLUMN(HeadJournal!D$1),0),"")</f>
        <v/>
      </c>
      <c r="E6333" s="95" t="str">
        <f>IFERROR(VLOOKUP($A6333,HeadJournal!$A$1:$NTR$890,COLUMN(HeadJournal!G$1),0),"")</f>
        <v/>
      </c>
      <c r="F6333" s="95" t="str">
        <f t="shared" si="469"/>
        <v/>
      </c>
      <c r="G6333" s="97"/>
      <c r="H6333" s="161"/>
      <c r="I6333" s="97"/>
      <c r="J6333" s="97"/>
      <c r="K6333" s="29"/>
      <c r="L6333" s="29"/>
      <c r="M6333" s="30">
        <f>IFERROR(VLOOKUP($A6333,HeadJournal!$A$1:$J$890,COLUMN(HeadJournal!I$1),0)*($K6333+$L6333)/(SUMIF($A:$A,$A6333,$K:$K)+SUMIF($A:$A,$A6333,$L:$L)),0)</f>
        <v>0</v>
      </c>
      <c r="N6333" s="30">
        <f>IFERROR((VLOOKUP($A6333,HeadJournal!$A$1:$K$890,COLUMN(HeadJournal!K$1),0)-VLOOKUP($A6333,HeadJournal!$A$1:$K$890,COLUMN(HeadJournal!J$1),0))*($K6333+$L6333)/(SUMIF($A:$A,$A6333,$K:$K)+SUMIF($A:$A,$A6333,$L:$L)),0)</f>
        <v>0</v>
      </c>
      <c r="O6333" s="30">
        <f>IFERROR((VLOOKUP($A6333,HeadJournal!$A$1:$L$890,COLUMN(HeadJournal!L$1),0)*($K6333+$L6333)/(SUMIF($A:$A,$A6333,$K:$K)+SUMIF($A:$A,$A6333,$L:$L)))/VLOOKUP($A6333,HeadJournal!$A$1:$L$890,COLUMN(HeadJournal!H$1),0),0)</f>
        <v>0</v>
      </c>
      <c r="P6333" s="30">
        <f>IFERROR(SUM(K6333:O6333)*VLOOKUP($A6333,HeadJournal!$A$1:$L$890,COLUMN(HeadJournal!H$1),0),0)</f>
        <v>0</v>
      </c>
      <c r="Q6333" s="29"/>
      <c r="R6333" s="31"/>
      <c r="S6333" s="31"/>
      <c r="T6333" s="95" t="str">
        <f t="shared" si="470"/>
        <v/>
      </c>
      <c r="U6333" s="32">
        <f t="shared" si="471"/>
        <v>0</v>
      </c>
      <c r="V6333" s="22" t="str">
        <f t="shared" si="472"/>
        <v/>
      </c>
      <c r="X6333" s="33"/>
      <c r="Y6333" s="33"/>
    </row>
    <row r="6334" spans="1:25" x14ac:dyDescent="0.2">
      <c r="A6334" s="93"/>
      <c r="B6334" s="94" t="str">
        <f>IFERROR(VLOOKUP($A6334,HeadJournal!$A$1:$NTR$890,COLUMN(HeadJournal!B$1),0),"")</f>
        <v/>
      </c>
      <c r="C6334" s="94" t="str">
        <f>IFERROR(VLOOKUP($A6334,HeadJournal!$A$1:$NTR$890,COLUMN(HeadJournal!C$1),0),"")</f>
        <v/>
      </c>
      <c r="D6334" s="125" t="str">
        <f>IFERROR(VLOOKUP($A6334,HeadJournal!$A$1:$NTR$890,COLUMN(HeadJournal!D$1),0),"")</f>
        <v/>
      </c>
      <c r="E6334" s="95" t="str">
        <f>IFERROR(VLOOKUP($A6334,HeadJournal!$A$1:$NTR$890,COLUMN(HeadJournal!G$1),0),"")</f>
        <v/>
      </c>
      <c r="F6334" s="95" t="str">
        <f t="shared" si="469"/>
        <v/>
      </c>
      <c r="G6334" s="97"/>
      <c r="H6334" s="161"/>
      <c r="I6334" s="97"/>
      <c r="J6334" s="97"/>
      <c r="K6334" s="29"/>
      <c r="L6334" s="29"/>
      <c r="M6334" s="30">
        <f>IFERROR(VLOOKUP($A6334,HeadJournal!$A$1:$J$890,COLUMN(HeadJournal!I$1),0)*($K6334+$L6334)/(SUMIF($A:$A,$A6334,$K:$K)+SUMIF($A:$A,$A6334,$L:$L)),0)</f>
        <v>0</v>
      </c>
      <c r="N6334" s="30">
        <f>IFERROR((VLOOKUP($A6334,HeadJournal!$A$1:$K$890,COLUMN(HeadJournal!K$1),0)-VLOOKUP($A6334,HeadJournal!$A$1:$K$890,COLUMN(HeadJournal!J$1),0))*($K6334+$L6334)/(SUMIF($A:$A,$A6334,$K:$K)+SUMIF($A:$A,$A6334,$L:$L)),0)</f>
        <v>0</v>
      </c>
      <c r="O6334" s="30">
        <f>IFERROR((VLOOKUP($A6334,HeadJournal!$A$1:$L$890,COLUMN(HeadJournal!L$1),0)*($K6334+$L6334)/(SUMIF($A:$A,$A6334,$K:$K)+SUMIF($A:$A,$A6334,$L:$L)))/VLOOKUP($A6334,HeadJournal!$A$1:$L$890,COLUMN(HeadJournal!H$1),0),0)</f>
        <v>0</v>
      </c>
      <c r="P6334" s="30">
        <f>IFERROR(SUM(K6334:O6334)*VLOOKUP($A6334,HeadJournal!$A$1:$L$890,COLUMN(HeadJournal!H$1),0),0)</f>
        <v>0</v>
      </c>
      <c r="Q6334" s="29"/>
      <c r="R6334" s="31"/>
      <c r="S6334" s="31"/>
      <c r="T6334" s="95" t="str">
        <f t="shared" si="470"/>
        <v/>
      </c>
      <c r="U6334" s="32">
        <f t="shared" si="471"/>
        <v>0</v>
      </c>
      <c r="V6334" s="22" t="str">
        <f t="shared" si="472"/>
        <v/>
      </c>
      <c r="X6334" s="33"/>
      <c r="Y6334" s="33"/>
    </row>
    <row r="6335" spans="1:25" x14ac:dyDescent="0.2">
      <c r="A6335" s="93"/>
      <c r="B6335" s="94" t="str">
        <f>IFERROR(VLOOKUP($A6335,HeadJournal!$A$1:$NTR$890,COLUMN(HeadJournal!B$1),0),"")</f>
        <v/>
      </c>
      <c r="C6335" s="94" t="str">
        <f>IFERROR(VLOOKUP($A6335,HeadJournal!$A$1:$NTR$890,COLUMN(HeadJournal!C$1),0),"")</f>
        <v/>
      </c>
      <c r="D6335" s="125" t="str">
        <f>IFERROR(VLOOKUP($A6335,HeadJournal!$A$1:$NTR$890,COLUMN(HeadJournal!D$1),0),"")</f>
        <v/>
      </c>
      <c r="E6335" s="95" t="str">
        <f>IFERROR(VLOOKUP($A6335,HeadJournal!$A$1:$NTR$890,COLUMN(HeadJournal!G$1),0),"")</f>
        <v/>
      </c>
      <c r="F6335" s="95" t="str">
        <f t="shared" si="469"/>
        <v/>
      </c>
      <c r="G6335" s="97"/>
      <c r="H6335" s="161"/>
      <c r="I6335" s="97"/>
      <c r="J6335" s="97"/>
      <c r="K6335" s="29"/>
      <c r="L6335" s="29"/>
      <c r="M6335" s="30">
        <f>IFERROR(VLOOKUP($A6335,HeadJournal!$A$1:$J$890,COLUMN(HeadJournal!I$1),0)*($K6335+$L6335)/(SUMIF($A:$A,$A6335,$K:$K)+SUMIF($A:$A,$A6335,$L:$L)),0)</f>
        <v>0</v>
      </c>
      <c r="N6335" s="30">
        <f>IFERROR((VLOOKUP($A6335,HeadJournal!$A$1:$K$890,COLUMN(HeadJournal!K$1),0)-VLOOKUP($A6335,HeadJournal!$A$1:$K$890,COLUMN(HeadJournal!J$1),0))*($K6335+$L6335)/(SUMIF($A:$A,$A6335,$K:$K)+SUMIF($A:$A,$A6335,$L:$L)),0)</f>
        <v>0</v>
      </c>
      <c r="O6335" s="30">
        <f>IFERROR((VLOOKUP($A6335,HeadJournal!$A$1:$L$890,COLUMN(HeadJournal!L$1),0)*($K6335+$L6335)/(SUMIF($A:$A,$A6335,$K:$K)+SUMIF($A:$A,$A6335,$L:$L)))/VLOOKUP($A6335,HeadJournal!$A$1:$L$890,COLUMN(HeadJournal!H$1),0),0)</f>
        <v>0</v>
      </c>
      <c r="P6335" s="30">
        <f>IFERROR(SUM(K6335:O6335)*VLOOKUP($A6335,HeadJournal!$A$1:$L$890,COLUMN(HeadJournal!H$1),0),0)</f>
        <v>0</v>
      </c>
      <c r="Q6335" s="29"/>
      <c r="R6335" s="31"/>
      <c r="S6335" s="31"/>
      <c r="T6335" s="95" t="str">
        <f t="shared" si="470"/>
        <v/>
      </c>
      <c r="U6335" s="32">
        <f t="shared" si="471"/>
        <v>0</v>
      </c>
      <c r="V6335" s="22" t="str">
        <f t="shared" si="472"/>
        <v/>
      </c>
      <c r="X6335" s="33"/>
      <c r="Y6335" s="33"/>
    </row>
    <row r="6336" spans="1:25" x14ac:dyDescent="0.2">
      <c r="A6336" s="93"/>
      <c r="B6336" s="94" t="str">
        <f>IFERROR(VLOOKUP($A6336,HeadJournal!$A$1:$NTR$890,COLUMN(HeadJournal!B$1),0),"")</f>
        <v/>
      </c>
      <c r="C6336" s="94" t="str">
        <f>IFERROR(VLOOKUP($A6336,HeadJournal!$A$1:$NTR$890,COLUMN(HeadJournal!C$1),0),"")</f>
        <v/>
      </c>
      <c r="D6336" s="125" t="str">
        <f>IFERROR(VLOOKUP($A6336,HeadJournal!$A$1:$NTR$890,COLUMN(HeadJournal!D$1),0),"")</f>
        <v/>
      </c>
      <c r="E6336" s="95" t="str">
        <f>IFERROR(VLOOKUP($A6336,HeadJournal!$A$1:$NTR$890,COLUMN(HeadJournal!G$1),0),"")</f>
        <v/>
      </c>
      <c r="F6336" s="95" t="str">
        <f t="shared" si="469"/>
        <v/>
      </c>
      <c r="G6336" s="97"/>
      <c r="H6336" s="161"/>
      <c r="I6336" s="97"/>
      <c r="J6336" s="97"/>
      <c r="K6336" s="29"/>
      <c r="L6336" s="29"/>
      <c r="M6336" s="30">
        <f>IFERROR(VLOOKUP($A6336,HeadJournal!$A$1:$J$890,COLUMN(HeadJournal!I$1),0)*($K6336+$L6336)/(SUMIF($A:$A,$A6336,$K:$K)+SUMIF($A:$A,$A6336,$L:$L)),0)</f>
        <v>0</v>
      </c>
      <c r="N6336" s="30">
        <f>IFERROR((VLOOKUP($A6336,HeadJournal!$A$1:$K$890,COLUMN(HeadJournal!K$1),0)-VLOOKUP($A6336,HeadJournal!$A$1:$K$890,COLUMN(HeadJournal!J$1),0))*($K6336+$L6336)/(SUMIF($A:$A,$A6336,$K:$K)+SUMIF($A:$A,$A6336,$L:$L)),0)</f>
        <v>0</v>
      </c>
      <c r="O6336" s="30">
        <f>IFERROR((VLOOKUP($A6336,HeadJournal!$A$1:$L$890,COLUMN(HeadJournal!L$1),0)*($K6336+$L6336)/(SUMIF($A:$A,$A6336,$K:$K)+SUMIF($A:$A,$A6336,$L:$L)))/VLOOKUP($A6336,HeadJournal!$A$1:$L$890,COLUMN(HeadJournal!H$1),0),0)</f>
        <v>0</v>
      </c>
      <c r="P6336" s="30">
        <f>IFERROR(SUM(K6336:O6336)*VLOOKUP($A6336,HeadJournal!$A$1:$L$890,COLUMN(HeadJournal!H$1),0),0)</f>
        <v>0</v>
      </c>
      <c r="Q6336" s="29"/>
      <c r="R6336" s="31"/>
      <c r="S6336" s="31"/>
      <c r="T6336" s="95" t="str">
        <f t="shared" si="470"/>
        <v/>
      </c>
      <c r="U6336" s="32">
        <f t="shared" si="471"/>
        <v>0</v>
      </c>
      <c r="V6336" s="22" t="str">
        <f t="shared" si="472"/>
        <v/>
      </c>
      <c r="X6336" s="33"/>
      <c r="Y6336" s="33"/>
    </row>
    <row r="6337" spans="1:25" x14ac:dyDescent="0.2">
      <c r="A6337" s="93"/>
      <c r="B6337" s="94" t="str">
        <f>IFERROR(VLOOKUP($A6337,HeadJournal!$A$1:$NTR$890,COLUMN(HeadJournal!B$1),0),"")</f>
        <v/>
      </c>
      <c r="C6337" s="94" t="str">
        <f>IFERROR(VLOOKUP($A6337,HeadJournal!$A$1:$NTR$890,COLUMN(HeadJournal!C$1),0),"")</f>
        <v/>
      </c>
      <c r="D6337" s="125" t="str">
        <f>IFERROR(VLOOKUP($A6337,HeadJournal!$A$1:$NTR$890,COLUMN(HeadJournal!D$1),0),"")</f>
        <v/>
      </c>
      <c r="E6337" s="95" t="str">
        <f>IFERROR(VLOOKUP($A6337,HeadJournal!$A$1:$NTR$890,COLUMN(HeadJournal!G$1),0),"")</f>
        <v/>
      </c>
      <c r="F6337" s="95" t="str">
        <f t="shared" si="419"/>
        <v/>
      </c>
      <c r="G6337" s="97"/>
      <c r="H6337" s="161"/>
      <c r="I6337" s="97"/>
      <c r="J6337" s="97"/>
      <c r="K6337" s="29"/>
      <c r="L6337" s="29"/>
      <c r="M6337" s="30">
        <f>IFERROR(VLOOKUP($A6337,HeadJournal!$A$1:$J$890,COLUMN(HeadJournal!I$1),0)*($K6337+$L6337)/(SUMIF($A:$A,$A6337,$K:$K)+SUMIF($A:$A,$A6337,$L:$L)),0)</f>
        <v>0</v>
      </c>
      <c r="N6337" s="30">
        <f>IFERROR((VLOOKUP($A6337,HeadJournal!$A$1:$K$890,COLUMN(HeadJournal!K$1),0)-VLOOKUP($A6337,HeadJournal!$A$1:$K$890,COLUMN(HeadJournal!J$1),0))*($K6337+$L6337)/(SUMIF($A:$A,$A6337,$K:$K)+SUMIF($A:$A,$A6337,$L:$L)),0)</f>
        <v>0</v>
      </c>
      <c r="O6337" s="30">
        <f>IFERROR((VLOOKUP($A6337,HeadJournal!$A$1:$L$890,COLUMN(HeadJournal!L$1),0)*($K6337+$L6337)/(SUMIF($A:$A,$A6337,$K:$K)+SUMIF($A:$A,$A6337,$L:$L)))/VLOOKUP($A6337,HeadJournal!$A$1:$L$890,COLUMN(HeadJournal!H$1),0),0)</f>
        <v>0</v>
      </c>
      <c r="P6337" s="30">
        <f>IFERROR(SUM(K6337:O6337)*VLOOKUP($A6337,HeadJournal!$A$1:$L$890,COLUMN(HeadJournal!H$1),0),0)</f>
        <v>0</v>
      </c>
      <c r="Q6337" s="29"/>
      <c r="R6337" s="31"/>
      <c r="S6337" s="31"/>
      <c r="T6337" s="95" t="str">
        <f t="shared" si="420"/>
        <v/>
      </c>
      <c r="U6337" s="32">
        <f t="shared" si="354"/>
        <v>0</v>
      </c>
      <c r="V6337" s="22" t="str">
        <f t="shared" si="355"/>
        <v/>
      </c>
      <c r="X6337" s="33"/>
      <c r="Y6337" s="33"/>
    </row>
    <row r="6338" spans="1:25" x14ac:dyDescent="0.2">
      <c r="A6338" s="93"/>
      <c r="B6338" s="94" t="str">
        <f>IFERROR(VLOOKUP($A6338,HeadJournal!$A$1:$NTR$890,COLUMN(HeadJournal!B$1),0),"")</f>
        <v/>
      </c>
      <c r="C6338" s="94" t="str">
        <f>IFERROR(VLOOKUP($A6338,HeadJournal!$A$1:$NTR$890,COLUMN(HeadJournal!C$1),0),"")</f>
        <v/>
      </c>
      <c r="D6338" s="125" t="str">
        <f>IFERROR(VLOOKUP($A6338,HeadJournal!$A$1:$NTR$890,COLUMN(HeadJournal!D$1),0),"")</f>
        <v/>
      </c>
      <c r="E6338" s="95" t="str">
        <f>IFERROR(VLOOKUP($A6338,HeadJournal!$A$1:$NTR$890,COLUMN(HeadJournal!G$1),0),"")</f>
        <v/>
      </c>
      <c r="F6338" s="95" t="str">
        <f t="shared" ref="F6338:F6339" si="473">IFERROR(TEXT(E6338, "ГГГГ ММ"),"")</f>
        <v/>
      </c>
      <c r="G6338" s="97"/>
      <c r="H6338" s="161"/>
      <c r="I6338" s="97"/>
      <c r="J6338" s="97"/>
      <c r="K6338" s="29"/>
      <c r="L6338" s="29"/>
      <c r="M6338" s="30">
        <f>IFERROR(VLOOKUP($A6338,HeadJournal!$A$1:$J$890,COLUMN(HeadJournal!I$1),0)*($K6338+$L6338)/(SUMIF($A:$A,$A6338,$K:$K)+SUMIF($A:$A,$A6338,$L:$L)),0)</f>
        <v>0</v>
      </c>
      <c r="N6338" s="30">
        <f>IFERROR((VLOOKUP($A6338,HeadJournal!$A$1:$K$890,COLUMN(HeadJournal!K$1),0)-VLOOKUP($A6338,HeadJournal!$A$1:$K$890,COLUMN(HeadJournal!J$1),0))*($K6338+$L6338)/(SUMIF($A:$A,$A6338,$K:$K)+SUMIF($A:$A,$A6338,$L:$L)),0)</f>
        <v>0</v>
      </c>
      <c r="O6338" s="30">
        <f>IFERROR((VLOOKUP($A6338,HeadJournal!$A$1:$L$890,COLUMN(HeadJournal!L$1),0)*($K6338+$L6338)/(SUMIF($A:$A,$A6338,$K:$K)+SUMIF($A:$A,$A6338,$L:$L)))/VLOOKUP($A6338,HeadJournal!$A$1:$L$890,COLUMN(HeadJournal!H$1),0),0)</f>
        <v>0</v>
      </c>
      <c r="P6338" s="30">
        <f>IFERROR(SUM(K6338:O6338)*VLOOKUP($A6338,HeadJournal!$A$1:$L$890,COLUMN(HeadJournal!H$1),0),0)</f>
        <v>0</v>
      </c>
      <c r="Q6338" s="29"/>
      <c r="R6338" s="31"/>
      <c r="S6338" s="31"/>
      <c r="T6338" s="95" t="str">
        <f t="shared" ref="T6338:T6339" si="474">IF(R6338="","",TEXT(R6338,"ГГГГ ММ"))</f>
        <v/>
      </c>
      <c r="U6338" s="32">
        <f t="shared" ref="U6338:U6339" si="475">Q6338-P6338</f>
        <v>0</v>
      </c>
      <c r="V6338" s="22" t="str">
        <f t="shared" ref="V6338:V6339" si="476">IF(Q6338&lt;&gt;0,IFERROR(U6338/P6338,""),"")</f>
        <v/>
      </c>
      <c r="X6338" s="33"/>
      <c r="Y6338" s="33"/>
    </row>
    <row r="6339" spans="1:25" x14ac:dyDescent="0.2">
      <c r="A6339" s="93"/>
      <c r="B6339" s="94" t="str">
        <f>IFERROR(VLOOKUP($A6339,HeadJournal!$A$1:$NTR$890,COLUMN(HeadJournal!B$1),0),"")</f>
        <v/>
      </c>
      <c r="C6339" s="94" t="str">
        <f>IFERROR(VLOOKUP($A6339,HeadJournal!$A$1:$NTR$890,COLUMN(HeadJournal!C$1),0),"")</f>
        <v/>
      </c>
      <c r="D6339" s="125" t="str">
        <f>IFERROR(VLOOKUP($A6339,HeadJournal!$A$1:$NTR$890,COLUMN(HeadJournal!D$1),0),"")</f>
        <v/>
      </c>
      <c r="E6339" s="95" t="str">
        <f>IFERROR(VLOOKUP($A6339,HeadJournal!$A$1:$NTR$890,COLUMN(HeadJournal!G$1),0),"")</f>
        <v/>
      </c>
      <c r="F6339" s="95" t="str">
        <f t="shared" si="473"/>
        <v/>
      </c>
      <c r="G6339" s="97"/>
      <c r="H6339" s="161"/>
      <c r="I6339" s="97"/>
      <c r="J6339" s="97"/>
      <c r="K6339" s="29"/>
      <c r="L6339" s="29"/>
      <c r="M6339" s="30">
        <f>IFERROR(VLOOKUP($A6339,HeadJournal!$A$1:$J$890,COLUMN(HeadJournal!I$1),0)*($K6339+$L6339)/(SUMIF($A:$A,$A6339,$K:$K)+SUMIF($A:$A,$A6339,$L:$L)),0)</f>
        <v>0</v>
      </c>
      <c r="N6339" s="30">
        <f>IFERROR((VLOOKUP($A6339,HeadJournal!$A$1:$K$890,COLUMN(HeadJournal!K$1),0)-VLOOKUP($A6339,HeadJournal!$A$1:$K$890,COLUMN(HeadJournal!J$1),0))*($K6339+$L6339)/(SUMIF($A:$A,$A6339,$K:$K)+SUMIF($A:$A,$A6339,$L:$L)),0)</f>
        <v>0</v>
      </c>
      <c r="O6339" s="30">
        <f>IFERROR((VLOOKUP($A6339,HeadJournal!$A$1:$L$890,COLUMN(HeadJournal!L$1),0)*($K6339+$L6339)/(SUMIF($A:$A,$A6339,$K:$K)+SUMIF($A:$A,$A6339,$L:$L)))/VLOOKUP($A6339,HeadJournal!$A$1:$L$890,COLUMN(HeadJournal!H$1),0),0)</f>
        <v>0</v>
      </c>
      <c r="P6339" s="30">
        <f>IFERROR(SUM(K6339:O6339)*VLOOKUP($A6339,HeadJournal!$A$1:$L$890,COLUMN(HeadJournal!H$1),0),0)</f>
        <v>0</v>
      </c>
      <c r="Q6339" s="29"/>
      <c r="R6339" s="31"/>
      <c r="S6339" s="31"/>
      <c r="T6339" s="95" t="str">
        <f t="shared" si="474"/>
        <v/>
      </c>
      <c r="U6339" s="32">
        <f t="shared" si="475"/>
        <v>0</v>
      </c>
      <c r="V6339" s="22" t="str">
        <f t="shared" si="476"/>
        <v/>
      </c>
      <c r="X6339" s="33"/>
      <c r="Y6339" s="33"/>
    </row>
    <row r="6340" spans="1:25" x14ac:dyDescent="0.2">
      <c r="A6340" s="93"/>
      <c r="B6340" s="94" t="str">
        <f>IFERROR(VLOOKUP($A6340,HeadJournal!$A$1:$NTR$890,COLUMN(HeadJournal!B$1),0),"")</f>
        <v/>
      </c>
      <c r="C6340" s="94" t="str">
        <f>IFERROR(VLOOKUP($A6340,HeadJournal!$A$1:$NTR$890,COLUMN(HeadJournal!C$1),0),"")</f>
        <v/>
      </c>
      <c r="D6340" s="125" t="str">
        <f>IFERROR(VLOOKUP($A6340,HeadJournal!$A$1:$NTR$890,COLUMN(HeadJournal!D$1),0),"")</f>
        <v/>
      </c>
      <c r="E6340" s="95" t="str">
        <f>IFERROR(VLOOKUP($A6340,HeadJournal!$A$1:$NTR$890,COLUMN(HeadJournal!G$1),0),"")</f>
        <v/>
      </c>
      <c r="F6340" s="95" t="str">
        <f t="shared" ref="F6340:F6341" si="477">IFERROR(TEXT(E6340, "ГГГГ ММ"),"")</f>
        <v/>
      </c>
      <c r="G6340" s="97"/>
      <c r="H6340" s="161"/>
      <c r="I6340" s="97"/>
      <c r="J6340" s="97"/>
      <c r="K6340" s="29"/>
      <c r="L6340" s="29"/>
      <c r="M6340" s="30">
        <f>IFERROR(VLOOKUP($A6340,HeadJournal!$A$1:$J$890,COLUMN(HeadJournal!I$1),0)*($K6340+$L6340)/(SUMIF($A:$A,$A6340,$K:$K)+SUMIF($A:$A,$A6340,$L:$L)),0)</f>
        <v>0</v>
      </c>
      <c r="N6340" s="30">
        <f>IFERROR((VLOOKUP($A6340,HeadJournal!$A$1:$K$890,COLUMN(HeadJournal!K$1),0)-VLOOKUP($A6340,HeadJournal!$A$1:$K$890,COLUMN(HeadJournal!J$1),0))*($K6340+$L6340)/(SUMIF($A:$A,$A6340,$K:$K)+SUMIF($A:$A,$A6340,$L:$L)),0)</f>
        <v>0</v>
      </c>
      <c r="O6340" s="30">
        <f>IFERROR((VLOOKUP($A6340,HeadJournal!$A$1:$L$890,COLUMN(HeadJournal!L$1),0)*($K6340+$L6340)/(SUMIF($A:$A,$A6340,$K:$K)+SUMIF($A:$A,$A6340,$L:$L)))/VLOOKUP($A6340,HeadJournal!$A$1:$L$890,COLUMN(HeadJournal!H$1),0),0)</f>
        <v>0</v>
      </c>
      <c r="P6340" s="30">
        <f>IFERROR(SUM(K6340:O6340)*VLOOKUP($A6340,HeadJournal!$A$1:$L$890,COLUMN(HeadJournal!H$1),0),0)</f>
        <v>0</v>
      </c>
      <c r="Q6340" s="29"/>
      <c r="R6340" s="31"/>
      <c r="S6340" s="31"/>
      <c r="T6340" s="95" t="str">
        <f t="shared" ref="T6340:T6341" si="478">IF(R6340="","",TEXT(R6340,"ГГГГ ММ"))</f>
        <v/>
      </c>
      <c r="U6340" s="32">
        <f t="shared" ref="U6340:U6341" si="479">Q6340-P6340</f>
        <v>0</v>
      </c>
      <c r="V6340" s="22" t="str">
        <f t="shared" ref="V6340:V6341" si="480">IF(Q6340&lt;&gt;0,IFERROR(U6340/P6340,""),"")</f>
        <v/>
      </c>
      <c r="X6340" s="33"/>
      <c r="Y6340" s="33"/>
    </row>
    <row r="6341" spans="1:25" x14ac:dyDescent="0.2">
      <c r="A6341" s="93"/>
      <c r="B6341" s="94" t="str">
        <f>IFERROR(VLOOKUP($A6341,HeadJournal!$A$1:$NTR$890,COLUMN(HeadJournal!B$1),0),"")</f>
        <v/>
      </c>
      <c r="C6341" s="94" t="str">
        <f>IFERROR(VLOOKUP($A6341,HeadJournal!$A$1:$NTR$890,COLUMN(HeadJournal!C$1),0),"")</f>
        <v/>
      </c>
      <c r="D6341" s="125" t="str">
        <f>IFERROR(VLOOKUP($A6341,HeadJournal!$A$1:$NTR$890,COLUMN(HeadJournal!D$1),0),"")</f>
        <v/>
      </c>
      <c r="E6341" s="95" t="str">
        <f>IFERROR(VLOOKUP($A6341,HeadJournal!$A$1:$NTR$890,COLUMN(HeadJournal!G$1),0),"")</f>
        <v/>
      </c>
      <c r="F6341" s="95" t="str">
        <f t="shared" si="477"/>
        <v/>
      </c>
      <c r="G6341" s="97"/>
      <c r="H6341" s="161"/>
      <c r="I6341" s="97"/>
      <c r="J6341" s="97"/>
      <c r="K6341" s="29"/>
      <c r="L6341" s="29"/>
      <c r="M6341" s="30">
        <f>IFERROR(VLOOKUP($A6341,HeadJournal!$A$1:$J$890,COLUMN(HeadJournal!I$1),0)*($K6341+$L6341)/(SUMIF($A:$A,$A6341,$K:$K)+SUMIF($A:$A,$A6341,$L:$L)),0)</f>
        <v>0</v>
      </c>
      <c r="N6341" s="30">
        <f>IFERROR((VLOOKUP($A6341,HeadJournal!$A$1:$K$890,COLUMN(HeadJournal!K$1),0)-VLOOKUP($A6341,HeadJournal!$A$1:$K$890,COLUMN(HeadJournal!J$1),0))*($K6341+$L6341)/(SUMIF($A:$A,$A6341,$K:$K)+SUMIF($A:$A,$A6341,$L:$L)),0)</f>
        <v>0</v>
      </c>
      <c r="O6341" s="30">
        <f>IFERROR((VLOOKUP($A6341,HeadJournal!$A$1:$L$890,COLUMN(HeadJournal!L$1),0)*($K6341+$L6341)/(SUMIF($A:$A,$A6341,$K:$K)+SUMIF($A:$A,$A6341,$L:$L)))/VLOOKUP($A6341,HeadJournal!$A$1:$L$890,COLUMN(HeadJournal!H$1),0),0)</f>
        <v>0</v>
      </c>
      <c r="P6341" s="30">
        <f>IFERROR(SUM(K6341:O6341)*VLOOKUP($A6341,HeadJournal!$A$1:$L$890,COLUMN(HeadJournal!H$1),0),0)</f>
        <v>0</v>
      </c>
      <c r="Q6341" s="29"/>
      <c r="R6341" s="31"/>
      <c r="S6341" s="31"/>
      <c r="T6341" s="95" t="str">
        <f t="shared" si="478"/>
        <v/>
      </c>
      <c r="U6341" s="32">
        <f t="shared" si="479"/>
        <v>0</v>
      </c>
      <c r="V6341" s="22" t="str">
        <f t="shared" si="480"/>
        <v/>
      </c>
      <c r="X6341" s="33"/>
      <c r="Y6341" s="33"/>
    </row>
    <row r="6342" spans="1:25" x14ac:dyDescent="0.2">
      <c r="A6342" s="93"/>
      <c r="B6342" s="94" t="str">
        <f>IFERROR(VLOOKUP($A6342,HeadJournal!$A$1:$NTR$890,COLUMN(HeadJournal!B$1),0),"")</f>
        <v/>
      </c>
      <c r="C6342" s="94" t="str">
        <f>IFERROR(VLOOKUP($A6342,HeadJournal!$A$1:$NTR$890,COLUMN(HeadJournal!C$1),0),"")</f>
        <v/>
      </c>
      <c r="D6342" s="125" t="str">
        <f>IFERROR(VLOOKUP($A6342,HeadJournal!$A$1:$NTR$890,COLUMN(HeadJournal!D$1),0),"")</f>
        <v/>
      </c>
      <c r="E6342" s="95" t="str">
        <f>IFERROR(VLOOKUP($A6342,HeadJournal!$A$1:$NTR$890,COLUMN(HeadJournal!G$1),0),"")</f>
        <v/>
      </c>
      <c r="F6342" s="95" t="str">
        <f t="shared" si="419"/>
        <v/>
      </c>
      <c r="G6342" s="97"/>
      <c r="H6342" s="161"/>
      <c r="I6342" s="97"/>
      <c r="J6342" s="97"/>
      <c r="K6342" s="29"/>
      <c r="L6342" s="29"/>
      <c r="M6342" s="30">
        <f>IFERROR(VLOOKUP($A6342,HeadJournal!$A$1:$J$890,COLUMN(HeadJournal!I$1),0)*($K6342+$L6342)/(SUMIF($A:$A,$A6342,$K:$K)+SUMIF($A:$A,$A6342,$L:$L)),0)</f>
        <v>0</v>
      </c>
      <c r="N6342" s="30">
        <f>IFERROR((VLOOKUP($A6342,HeadJournal!$A$1:$K$890,COLUMN(HeadJournal!K$1),0)-VLOOKUP($A6342,HeadJournal!$A$1:$K$890,COLUMN(HeadJournal!J$1),0))*($K6342+$L6342)/(SUMIF($A:$A,$A6342,$K:$K)+SUMIF($A:$A,$A6342,$L:$L)),0)</f>
        <v>0</v>
      </c>
      <c r="O6342" s="30">
        <f>IFERROR((VLOOKUP($A6342,HeadJournal!$A$1:$L$890,COLUMN(HeadJournal!L$1),0)*($K6342+$L6342)/(SUMIF($A:$A,$A6342,$K:$K)+SUMIF($A:$A,$A6342,$L:$L)))/VLOOKUP($A6342,HeadJournal!$A$1:$L$890,COLUMN(HeadJournal!H$1),0),0)</f>
        <v>0</v>
      </c>
      <c r="P6342" s="30">
        <f>IFERROR(SUM(K6342:O6342)*VLOOKUP($A6342,HeadJournal!$A$1:$L$890,COLUMN(HeadJournal!H$1),0),0)</f>
        <v>0</v>
      </c>
      <c r="Q6342" s="29"/>
      <c r="R6342" s="31"/>
      <c r="S6342" s="31"/>
      <c r="T6342" s="95" t="str">
        <f t="shared" si="420"/>
        <v/>
      </c>
      <c r="U6342" s="32">
        <f t="shared" si="354"/>
        <v>0</v>
      </c>
      <c r="V6342" s="22" t="str">
        <f t="shared" si="355"/>
        <v/>
      </c>
      <c r="X6342" s="33"/>
      <c r="Y6342" s="33"/>
    </row>
    <row r="6343" spans="1:25" x14ac:dyDescent="0.2">
      <c r="A6343" s="93"/>
      <c r="B6343" s="94" t="str">
        <f>IFERROR(VLOOKUP($A6343,HeadJournal!$A$1:$NTR$890,COLUMN(HeadJournal!B$1),0),"")</f>
        <v/>
      </c>
      <c r="C6343" s="94" t="str">
        <f>IFERROR(VLOOKUP($A6343,HeadJournal!$A$1:$NTR$890,COLUMN(HeadJournal!C$1),0),"")</f>
        <v/>
      </c>
      <c r="D6343" s="125" t="str">
        <f>IFERROR(VLOOKUP($A6343,HeadJournal!$A$1:$NTR$890,COLUMN(HeadJournal!D$1),0),"")</f>
        <v/>
      </c>
      <c r="E6343" s="95" t="str">
        <f>IFERROR(VLOOKUP($A6343,HeadJournal!$A$1:$NTR$890,COLUMN(HeadJournal!G$1),0),"")</f>
        <v/>
      </c>
      <c r="F6343" s="95" t="str">
        <f t="shared" si="419"/>
        <v/>
      </c>
      <c r="G6343" s="97"/>
      <c r="H6343" s="161"/>
      <c r="I6343" s="97"/>
      <c r="J6343" s="97"/>
      <c r="K6343" s="29"/>
      <c r="L6343" s="29"/>
      <c r="M6343" s="30">
        <f>IFERROR(VLOOKUP($A6343,HeadJournal!$A$1:$J$890,COLUMN(HeadJournal!I$1),0)*($K6343+$L6343)/(SUMIF($A:$A,$A6343,$K:$K)+SUMIF($A:$A,$A6343,$L:$L)),0)</f>
        <v>0</v>
      </c>
      <c r="N6343" s="30">
        <f>IFERROR((VLOOKUP($A6343,HeadJournal!$A$1:$K$890,COLUMN(HeadJournal!K$1),0)-VLOOKUP($A6343,HeadJournal!$A$1:$K$890,COLUMN(HeadJournal!J$1),0))*($K6343+$L6343)/(SUMIF($A:$A,$A6343,$K:$K)+SUMIF($A:$A,$A6343,$L:$L)),0)</f>
        <v>0</v>
      </c>
      <c r="O6343" s="30">
        <f>IFERROR((VLOOKUP($A6343,HeadJournal!$A$1:$L$890,COLUMN(HeadJournal!L$1),0)*($K6343+$L6343)/(SUMIF($A:$A,$A6343,$K:$K)+SUMIF($A:$A,$A6343,$L:$L)))/VLOOKUP($A6343,HeadJournal!$A$1:$L$890,COLUMN(HeadJournal!H$1),0),0)</f>
        <v>0</v>
      </c>
      <c r="P6343" s="30">
        <f>IFERROR(SUM(K6343:O6343)*VLOOKUP($A6343,HeadJournal!$A$1:$L$890,COLUMN(HeadJournal!H$1),0),0)</f>
        <v>0</v>
      </c>
      <c r="Q6343" s="29"/>
      <c r="R6343" s="31"/>
      <c r="S6343" s="31"/>
      <c r="T6343" s="95" t="str">
        <f t="shared" si="420"/>
        <v/>
      </c>
      <c r="U6343" s="32">
        <f t="shared" si="354"/>
        <v>0</v>
      </c>
      <c r="V6343" s="22" t="str">
        <f t="shared" si="355"/>
        <v/>
      </c>
      <c r="X6343" s="33"/>
      <c r="Y6343" s="33"/>
    </row>
    <row r="6349" spans="1:25" x14ac:dyDescent="0.2">
      <c r="P6349" s="36" t="s">
        <v>1294</v>
      </c>
    </row>
  </sheetData>
  <sheetProtection formatCells="0" formatColumns="0" formatRows="0" insertColumns="0" insertRows="0" insertHyperlinks="0" deleteColumns="0" deleteRows="0" sort="0" autoFilter="0" pivotTables="0"/>
  <autoFilter ref="A2:AF6343" xr:uid="{D29BF7D3-E7C2-44BF-B258-B82FABBBEE2C}"/>
  <phoneticPr fontId="1" type="noConversion"/>
  <conditionalFormatting sqref="D1:D1048576">
    <cfRule type="expression" dxfId="105" priority="25">
      <formula>D1="Доставлен"</formula>
    </cfRule>
  </conditionalFormatting>
  <conditionalFormatting sqref="G1:G5655 G5657">
    <cfRule type="expression" dxfId="104" priority="533">
      <formula>G1="Парфюм"</formula>
    </cfRule>
    <cfRule type="expression" dxfId="103" priority="534">
      <formula>G1="Спортпит"</formula>
    </cfRule>
    <cfRule type="expression" dxfId="102" priority="535">
      <formula>G1="Косметика"</formula>
    </cfRule>
    <cfRule type="expression" dxfId="101" priority="536">
      <formula>G1="Витамины"</formula>
    </cfRule>
  </conditionalFormatting>
  <conditionalFormatting sqref="G5654:G5658 G5662:G5722">
    <cfRule type="expression" dxfId="100" priority="517">
      <formula>G5654="Парфюм"</formula>
    </cfRule>
    <cfRule type="expression" dxfId="99" priority="518">
      <formula>G5654="Спортпит"</formula>
    </cfRule>
    <cfRule type="expression" dxfId="98" priority="519">
      <formula>G5654="Косметика"</formula>
    </cfRule>
    <cfRule type="expression" dxfId="97" priority="520">
      <formula>G5654="Витамины"</formula>
    </cfRule>
  </conditionalFormatting>
  <conditionalFormatting sqref="G5658:G5660">
    <cfRule type="expression" dxfId="96" priority="496">
      <formula>G5658="Парфюм"</formula>
    </cfRule>
    <cfRule type="expression" dxfId="95" priority="497">
      <formula>G5658="Спортпит"</formula>
    </cfRule>
    <cfRule type="expression" dxfId="94" priority="498">
      <formula>G5658="Косметика"</formula>
    </cfRule>
    <cfRule type="expression" dxfId="93" priority="499">
      <formula>G5658="Витамины"</formula>
    </cfRule>
  </conditionalFormatting>
  <conditionalFormatting sqref="G5659">
    <cfRule type="expression" dxfId="92" priority="492">
      <formula>G5659="Парфюм"</formula>
    </cfRule>
    <cfRule type="expression" dxfId="91" priority="493">
      <formula>G5659="Спортпит"</formula>
    </cfRule>
    <cfRule type="expression" dxfId="90" priority="494">
      <formula>G5659="Косметика"</formula>
    </cfRule>
    <cfRule type="expression" dxfId="89" priority="495">
      <formula>G5659="Витамины"</formula>
    </cfRule>
  </conditionalFormatting>
  <conditionalFormatting sqref="G5660">
    <cfRule type="expression" dxfId="88" priority="505">
      <formula>G5660="Парфюм"</formula>
    </cfRule>
    <cfRule type="expression" dxfId="87" priority="506">
      <formula>G5660="Спортпит"</formula>
    </cfRule>
    <cfRule type="expression" dxfId="86" priority="507">
      <formula>G5660="Косметика"</formula>
    </cfRule>
    <cfRule type="expression" dxfId="85" priority="508">
      <formula>G5660="Витамины"</formula>
    </cfRule>
  </conditionalFormatting>
  <conditionalFormatting sqref="G5661">
    <cfRule type="expression" dxfId="84" priority="484">
      <formula>G5661="Парфюм"</formula>
    </cfRule>
    <cfRule type="expression" dxfId="83" priority="485">
      <formula>G5661="Спортпит"</formula>
    </cfRule>
    <cfRule type="expression" dxfId="82" priority="486">
      <formula>G5661="Косметика"</formula>
    </cfRule>
    <cfRule type="expression" dxfId="81" priority="487">
      <formula>G5661="Витамины"</formula>
    </cfRule>
  </conditionalFormatting>
  <conditionalFormatting sqref="G5661:G5662">
    <cfRule type="expression" dxfId="80" priority="488">
      <formula>G5661="Парфюм"</formula>
    </cfRule>
    <cfRule type="expression" dxfId="79" priority="489">
      <formula>G5661="Спортпит"</formula>
    </cfRule>
    <cfRule type="expression" dxfId="78" priority="490">
      <formula>G5661="Косметика"</formula>
    </cfRule>
    <cfRule type="expression" dxfId="77" priority="491">
      <formula>G5661="Витамины"</formula>
    </cfRule>
  </conditionalFormatting>
  <conditionalFormatting sqref="G5663:G5676">
    <cfRule type="expression" dxfId="76" priority="476">
      <formula>G5663="Парфюм"</formula>
    </cfRule>
    <cfRule type="expression" dxfId="75" priority="477">
      <formula>G5663="Спортпит"</formula>
    </cfRule>
    <cfRule type="expression" dxfId="74" priority="478">
      <formula>G5663="Косметика"</formula>
    </cfRule>
    <cfRule type="expression" dxfId="73" priority="479">
      <formula>G5663="Витамины"</formula>
    </cfRule>
  </conditionalFormatting>
  <conditionalFormatting sqref="G5680:G5741">
    <cfRule type="expression" dxfId="72" priority="452">
      <formula>G5680="Парфюм"</formula>
    </cfRule>
    <cfRule type="expression" dxfId="71" priority="453">
      <formula>G5680="Спортпит"</formula>
    </cfRule>
    <cfRule type="expression" dxfId="70" priority="454">
      <formula>G5680="Косметика"</formula>
    </cfRule>
    <cfRule type="expression" dxfId="69" priority="455">
      <formula>G5680="Витамины"</formula>
    </cfRule>
  </conditionalFormatting>
  <conditionalFormatting sqref="G5724:G5745">
    <cfRule type="expression" dxfId="68" priority="440">
      <formula>G5724="Парфюм"</formula>
    </cfRule>
    <cfRule type="expression" dxfId="67" priority="441">
      <formula>G5724="Спортпит"</formula>
    </cfRule>
    <cfRule type="expression" dxfId="66" priority="442">
      <formula>G5724="Косметика"</formula>
    </cfRule>
    <cfRule type="expression" dxfId="65" priority="443">
      <formula>G5724="Витамины"</formula>
    </cfRule>
  </conditionalFormatting>
  <conditionalFormatting sqref="G5742">
    <cfRule type="expression" dxfId="64" priority="436">
      <formula>G5742="Парфюм"</formula>
    </cfRule>
    <cfRule type="expression" dxfId="63" priority="437">
      <formula>G5742="Спортпит"</formula>
    </cfRule>
    <cfRule type="expression" dxfId="62" priority="438">
      <formula>G5742="Косметика"</formula>
    </cfRule>
    <cfRule type="expression" dxfId="61" priority="439">
      <formula>G5742="Витамины"</formula>
    </cfRule>
  </conditionalFormatting>
  <conditionalFormatting sqref="G5744:G5747">
    <cfRule type="expression" dxfId="60" priority="428">
      <formula>G5744="Парфюм"</formula>
    </cfRule>
    <cfRule type="expression" dxfId="59" priority="429">
      <formula>G5744="Спортпит"</formula>
    </cfRule>
    <cfRule type="expression" dxfId="58" priority="430">
      <formula>G5744="Косметика"</formula>
    </cfRule>
    <cfRule type="expression" dxfId="57" priority="431">
      <formula>G5744="Витамины"</formula>
    </cfRule>
  </conditionalFormatting>
  <conditionalFormatting sqref="G5746:G5757">
    <cfRule type="expression" dxfId="56" priority="420">
      <formula>G5746="Парфюм"</formula>
    </cfRule>
    <cfRule type="expression" dxfId="55" priority="421">
      <formula>G5746="Спортпит"</formula>
    </cfRule>
    <cfRule type="expression" dxfId="54" priority="422">
      <formula>G5746="Косметика"</formula>
    </cfRule>
    <cfRule type="expression" dxfId="53" priority="423">
      <formula>G5746="Витамины"</formula>
    </cfRule>
  </conditionalFormatting>
  <conditionalFormatting sqref="G5748:G5764">
    <cfRule type="expression" dxfId="52" priority="412">
      <formula>G5748="Парфюм"</formula>
    </cfRule>
    <cfRule type="expression" dxfId="51" priority="413">
      <formula>G5748="Спортпит"</formula>
    </cfRule>
    <cfRule type="expression" dxfId="50" priority="414">
      <formula>G5748="Косметика"</formula>
    </cfRule>
    <cfRule type="expression" dxfId="49" priority="415">
      <formula>G5748="Витамины"</formula>
    </cfRule>
  </conditionalFormatting>
  <conditionalFormatting sqref="G5758:G5775">
    <cfRule type="expression" dxfId="48" priority="404">
      <formula>G5758="Парфюм"</formula>
    </cfRule>
    <cfRule type="expression" dxfId="47" priority="405">
      <formula>G5758="Спортпит"</formula>
    </cfRule>
    <cfRule type="expression" dxfId="46" priority="406">
      <formula>G5758="Косметика"</formula>
    </cfRule>
    <cfRule type="expression" dxfId="45" priority="407">
      <formula>G5758="Витамины"</formula>
    </cfRule>
  </conditionalFormatting>
  <conditionalFormatting sqref="G5765:G5895">
    <cfRule type="expression" dxfId="44" priority="396">
      <formula>G5765="Парфюм"</formula>
    </cfRule>
    <cfRule type="expression" dxfId="43" priority="397">
      <formula>G5765="Спортпит"</formula>
    </cfRule>
    <cfRule type="expression" dxfId="42" priority="398">
      <formula>G5765="Косметика"</formula>
    </cfRule>
    <cfRule type="expression" dxfId="41" priority="399">
      <formula>G5765="Витамины"</formula>
    </cfRule>
  </conditionalFormatting>
  <conditionalFormatting sqref="G5776:G5836">
    <cfRule type="expression" dxfId="40" priority="364">
      <formula>G5776="Парфюм"</formula>
    </cfRule>
    <cfRule type="expression" dxfId="39" priority="365">
      <formula>G5776="Спортпит"</formula>
    </cfRule>
    <cfRule type="expression" dxfId="38" priority="366">
      <formula>G5776="Косметика"</formula>
    </cfRule>
    <cfRule type="expression" dxfId="37" priority="367">
      <formula>G5776="Витамины"</formula>
    </cfRule>
  </conditionalFormatting>
  <conditionalFormatting sqref="G5839:G5871">
    <cfRule type="expression" dxfId="36" priority="348">
      <formula>G5839="Парфюм"</formula>
    </cfRule>
    <cfRule type="expression" dxfId="35" priority="349">
      <formula>G5839="Спортпит"</formula>
    </cfRule>
    <cfRule type="expression" dxfId="34" priority="350">
      <formula>G5839="Косметика"</formula>
    </cfRule>
    <cfRule type="expression" dxfId="33" priority="351">
      <formula>G5839="Витамины"</formula>
    </cfRule>
  </conditionalFormatting>
  <conditionalFormatting sqref="G5873:G5877">
    <cfRule type="expression" dxfId="32" priority="340">
      <formula>G5873="Парфюм"</formula>
    </cfRule>
    <cfRule type="expression" dxfId="31" priority="341">
      <formula>G5873="Спортпит"</formula>
    </cfRule>
    <cfRule type="expression" dxfId="30" priority="342">
      <formula>G5873="Косметика"</formula>
    </cfRule>
    <cfRule type="expression" dxfId="29" priority="343">
      <formula>G5873="Витамины"</formula>
    </cfRule>
  </conditionalFormatting>
  <conditionalFormatting sqref="G5883:G1048576">
    <cfRule type="expression" dxfId="28" priority="17">
      <formula>G5883="Парфюм"</formula>
    </cfRule>
    <cfRule type="expression" dxfId="27" priority="18">
      <formula>G5883="Спортпит"</formula>
    </cfRule>
    <cfRule type="expression" dxfId="26" priority="19">
      <formula>G5883="Косметика"</formula>
    </cfRule>
    <cfRule type="expression" dxfId="25" priority="20">
      <formula>G5883="Витамины"</formula>
    </cfRule>
  </conditionalFormatting>
  <conditionalFormatting sqref="G5896:G5904">
    <cfRule type="expression" dxfId="24" priority="13">
      <formula>G5896="Парфюм"</formula>
    </cfRule>
    <cfRule type="expression" dxfId="23" priority="14">
      <formula>G5896="Спортпит"</formula>
    </cfRule>
    <cfRule type="expression" dxfId="22" priority="15">
      <formula>G5896="Косметика"</formula>
    </cfRule>
    <cfRule type="expression" dxfId="21" priority="16">
      <formula>G5896="Витамины"</formula>
    </cfRule>
  </conditionalFormatting>
  <conditionalFormatting sqref="G5905:G5915">
    <cfRule type="expression" dxfId="20" priority="9">
      <formula>G5905="Парфюм"</formula>
    </cfRule>
    <cfRule type="expression" dxfId="19" priority="10">
      <formula>G5905="Спортпит"</formula>
    </cfRule>
    <cfRule type="expression" dxfId="18" priority="11">
      <formula>G5905="Косметика"</formula>
    </cfRule>
    <cfRule type="expression" dxfId="17" priority="12">
      <formula>G5905="Витамины"</formula>
    </cfRule>
  </conditionalFormatting>
  <conditionalFormatting sqref="G5916:G5927">
    <cfRule type="expression" dxfId="16" priority="5">
      <formula>G5916="Парфюм"</formula>
    </cfRule>
    <cfRule type="expression" dxfId="15" priority="6">
      <formula>G5916="Спортпит"</formula>
    </cfRule>
    <cfRule type="expression" dxfId="14" priority="7">
      <formula>G5916="Косметика"</formula>
    </cfRule>
    <cfRule type="expression" dxfId="13" priority="8">
      <formula>G5916="Витамины"</formula>
    </cfRule>
  </conditionalFormatting>
  <conditionalFormatting sqref="G5928:G5935">
    <cfRule type="expression" dxfId="12" priority="1">
      <formula>G5928="Парфюм"</formula>
    </cfRule>
    <cfRule type="expression" dxfId="11" priority="2">
      <formula>G5928="Спортпит"</formula>
    </cfRule>
    <cfRule type="expression" dxfId="10" priority="3">
      <formula>G5928="Косметика"</formula>
    </cfRule>
    <cfRule type="expression" dxfId="9" priority="4">
      <formula>G5928="Витамины"</formula>
    </cfRule>
  </conditionalFormatting>
  <dataValidations count="1">
    <dataValidation type="list" showInputMessage="1" showErrorMessage="1" sqref="S3:S6343" xr:uid="{3B2F94C9-2889-4178-AD62-1DEC97FA344C}">
      <formula1>Клиенты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B11D-1821-4647-8FE6-F47EA6ADA99B}">
  <sheetPr codeName="Лист4"/>
  <dimension ref="A1:X889"/>
  <sheetViews>
    <sheetView tabSelected="1" zoomScale="85" zoomScaleNormal="85" workbookViewId="0">
      <pane ySplit="2" topLeftCell="A810" activePane="bottomLeft" state="frozen"/>
      <selection activeCell="H4889" sqref="H4889:L4899"/>
      <selection pane="bottomLeft" activeCell="L833" sqref="L833"/>
    </sheetView>
  </sheetViews>
  <sheetFormatPr defaultColWidth="9.140625" defaultRowHeight="15" x14ac:dyDescent="0.25"/>
  <cols>
    <col min="1" max="1" width="12.28515625" style="10" bestFit="1" customWidth="1"/>
    <col min="2" max="2" width="18.5703125" style="10" customWidth="1"/>
    <col min="3" max="3" width="15.7109375" style="10" customWidth="1"/>
    <col min="4" max="4" width="22.28515625" style="10" bestFit="1" customWidth="1"/>
    <col min="5" max="5" width="13.140625" style="10" bestFit="1" customWidth="1"/>
    <col min="6" max="6" width="19" style="10" customWidth="1"/>
    <col min="7" max="7" width="11.42578125" style="11" bestFit="1" customWidth="1"/>
    <col min="8" max="8" width="8.5703125" style="9" bestFit="1" customWidth="1"/>
    <col min="9" max="9" width="10.7109375" style="9" customWidth="1"/>
    <col min="10" max="10" width="11.5703125" style="9" customWidth="1"/>
    <col min="11" max="11" width="13" style="9" customWidth="1"/>
    <col min="12" max="12" width="10.5703125" style="9" customWidth="1"/>
    <col min="13" max="13" width="11.85546875" style="9" customWidth="1"/>
    <col min="14" max="14" width="13" style="9" customWidth="1"/>
    <col min="15" max="15" width="12.28515625" style="19" customWidth="1"/>
    <col min="16" max="16" width="10.28515625" style="23" customWidth="1"/>
    <col min="17" max="17" width="9.140625" style="7"/>
    <col min="18" max="18" width="10.85546875" style="7" customWidth="1"/>
    <col min="19" max="19" width="11.140625" style="7" customWidth="1"/>
    <col min="20" max="16384" width="9.140625" style="7"/>
  </cols>
  <sheetData>
    <row r="1" spans="1:18" s="5" customFormat="1" ht="45" x14ac:dyDescent="0.25">
      <c r="A1" s="49" t="s">
        <v>11</v>
      </c>
      <c r="B1" s="24" t="s">
        <v>12</v>
      </c>
      <c r="C1" s="24" t="s">
        <v>13</v>
      </c>
      <c r="D1" s="24" t="s">
        <v>1295</v>
      </c>
      <c r="E1" s="24" t="s">
        <v>1296</v>
      </c>
      <c r="F1" s="24" t="s">
        <v>1297</v>
      </c>
      <c r="G1" s="25" t="s">
        <v>1298</v>
      </c>
      <c r="H1" s="3" t="s">
        <v>1299</v>
      </c>
      <c r="I1" s="4" t="s">
        <v>1300</v>
      </c>
      <c r="J1" s="4" t="s">
        <v>1301</v>
      </c>
      <c r="K1" s="4" t="s">
        <v>1302</v>
      </c>
      <c r="L1" s="4" t="s">
        <v>1303</v>
      </c>
      <c r="M1" s="4" t="s">
        <v>1304</v>
      </c>
      <c r="N1" s="4" t="s">
        <v>1305</v>
      </c>
      <c r="O1" s="15" t="s">
        <v>29</v>
      </c>
      <c r="P1" s="20" t="s">
        <v>30</v>
      </c>
      <c r="R1" s="5" t="s">
        <v>5621</v>
      </c>
    </row>
    <row r="2" spans="1:18" x14ac:dyDescent="0.25">
      <c r="A2" s="50"/>
      <c r="B2" s="26"/>
      <c r="C2" s="26"/>
      <c r="D2" s="26"/>
      <c r="E2" s="26"/>
      <c r="F2" s="26"/>
      <c r="G2" s="27"/>
      <c r="H2" s="6"/>
      <c r="I2" s="4">
        <f t="shared" ref="I2:O2" si="0">SUBTOTAL(9,I$3:I$890)</f>
        <v>-39087.917000000009</v>
      </c>
      <c r="J2" s="4">
        <f t="shared" si="0"/>
        <v>2602821.8429844528</v>
      </c>
      <c r="K2" s="4">
        <f t="shared" si="0"/>
        <v>2601809.4600000051</v>
      </c>
      <c r="L2" s="4">
        <f t="shared" si="0"/>
        <v>458610.2249666666</v>
      </c>
      <c r="M2" s="4">
        <f t="shared" si="0"/>
        <v>8064317.4580716463</v>
      </c>
      <c r="N2" s="4">
        <f t="shared" si="0"/>
        <v>11773267.637234205</v>
      </c>
      <c r="O2" s="17">
        <f t="shared" si="0"/>
        <v>3708950.17916256</v>
      </c>
      <c r="P2" s="21">
        <f>SUBTOTAL(1,P$3:P$890)</f>
        <v>0.54024261958830211</v>
      </c>
    </row>
    <row r="3" spans="1:18" x14ac:dyDescent="0.25">
      <c r="A3" s="12" t="s">
        <v>31</v>
      </c>
      <c r="B3" s="12" t="s">
        <v>1306</v>
      </c>
      <c r="C3" s="12" t="s">
        <v>1751</v>
      </c>
      <c r="D3" s="12" t="s">
        <v>714</v>
      </c>
      <c r="E3" s="12" t="s">
        <v>1307</v>
      </c>
      <c r="F3" s="41" t="s">
        <v>1308</v>
      </c>
      <c r="G3" s="13">
        <v>44754</v>
      </c>
      <c r="H3" s="14">
        <v>2</v>
      </c>
      <c r="I3" s="14">
        <v>-374.46</v>
      </c>
      <c r="J3" s="8">
        <f>SUMIF(Journal!$A:$A,HeadJournal!$A3,Journal!$K:$K)+SUMIF(Journal!$A:$A,HeadJournal!$A3,Journal!$L:$L)+SUMIF(Journal!$A:$A,HeadJournal!$A3,Journal!$M:$M)</f>
        <v>1902.2699999999995</v>
      </c>
      <c r="K3" s="14">
        <v>2256.19</v>
      </c>
      <c r="L3" s="14">
        <f>1522.86+1000</f>
        <v>2522.8599999999997</v>
      </c>
      <c r="M3" s="8">
        <f>SUMIF(Journal!$A:$A,HeadJournal!$A3,Journal!$P:$P)</f>
        <v>7035.2400000000016</v>
      </c>
      <c r="N3" s="8">
        <f>SUMIF(Journal!$A:$A,HeadJournal!$A3,Journal!Q:Q)</f>
        <v>9550</v>
      </c>
      <c r="O3" s="18">
        <f>SUMIF(Journal!$A:$A,HeadJournal!$A3,Journal!U:U)</f>
        <v>2514.7599999999984</v>
      </c>
      <c r="P3" s="22">
        <f t="shared" ref="P3:P66" si="1">IF(N3&lt;&gt;0,IFERROR(O3/M3,""),"")</f>
        <v>0.35745191350970229</v>
      </c>
      <c r="R3" s="73">
        <f t="shared" ref="R3:R66" si="2">L3/M3</f>
        <v>0.3586032601588573</v>
      </c>
    </row>
    <row r="4" spans="1:18" x14ac:dyDescent="0.25">
      <c r="A4" s="61" t="s">
        <v>35</v>
      </c>
      <c r="B4" s="12" t="s">
        <v>1309</v>
      </c>
      <c r="C4" s="12" t="s">
        <v>1737</v>
      </c>
      <c r="D4" s="12" t="s">
        <v>714</v>
      </c>
      <c r="E4" s="12" t="s">
        <v>1310</v>
      </c>
      <c r="F4" s="41" t="s">
        <v>1311</v>
      </c>
      <c r="G4" s="13">
        <v>44768</v>
      </c>
      <c r="H4" s="14">
        <v>2</v>
      </c>
      <c r="I4" s="14">
        <v>-702.20699999999999</v>
      </c>
      <c r="J4" s="8">
        <f>SUMIF(Journal!$A:$A,HeadJournal!$A4,Journal!$K:$K)+SUMIF(Journal!$A:$A,HeadJournal!$A4,Journal!$L:$L)+SUMIF(Journal!$A:$A,HeadJournal!$A4,Journal!$M:$M)</f>
        <v>1581.1650000000004</v>
      </c>
      <c r="K4" s="14">
        <v>1581.17</v>
      </c>
      <c r="L4" s="14">
        <f>1777.99+500</f>
        <v>2277.9899999999998</v>
      </c>
      <c r="M4" s="8">
        <f>SUMIF(Journal!$A:$A,HeadJournal!$A4,Journal!$P:$P)</f>
        <v>5440.33</v>
      </c>
      <c r="N4" s="8">
        <f>SUMIF(Journal!$A:$A,HeadJournal!$A4,Journal!Q:Q)</f>
        <v>11600</v>
      </c>
      <c r="O4" s="18">
        <f>SUMIF(Journal!$A:$A,HeadJournal!$A4,Journal!U:U)</f>
        <v>6159.67</v>
      </c>
      <c r="P4" s="22">
        <f t="shared" si="1"/>
        <v>1.1322235967303453</v>
      </c>
      <c r="R4" s="73">
        <f t="shared" si="2"/>
        <v>0.41872276130308267</v>
      </c>
    </row>
    <row r="5" spans="1:18" x14ac:dyDescent="0.25">
      <c r="A5" s="60" t="s">
        <v>37</v>
      </c>
      <c r="B5" s="12" t="s">
        <v>1312</v>
      </c>
      <c r="C5" s="12" t="s">
        <v>1752</v>
      </c>
      <c r="D5" s="12" t="s">
        <v>714</v>
      </c>
      <c r="E5" s="12" t="s">
        <v>1307</v>
      </c>
      <c r="F5" s="124" t="s">
        <v>1313</v>
      </c>
      <c r="G5" s="13">
        <v>44777</v>
      </c>
      <c r="H5" s="14">
        <v>1.5</v>
      </c>
      <c r="I5" s="14">
        <v>-258.63</v>
      </c>
      <c r="J5" s="8">
        <f>SUMIF(Journal!$A:$A,HeadJournal!$A5,Journal!$K:$K)+SUMIF(Journal!$A:$A,HeadJournal!$A5,Journal!$L:$L)+SUMIF(Journal!$A:$A,HeadJournal!$A5,Journal!$M:$M)</f>
        <v>1976.9099999999999</v>
      </c>
      <c r="K5" s="14">
        <v>1976.91</v>
      </c>
      <c r="L5" s="14">
        <f>1777.99+500</f>
        <v>2277.9899999999998</v>
      </c>
      <c r="M5" s="8">
        <f>SUMIF(Journal!$A:$A,HeadJournal!$A5,Journal!$P:$P)</f>
        <v>5243.3549999999996</v>
      </c>
      <c r="N5" s="8">
        <f>SUMIF(Journal!$A:$A,HeadJournal!$A5,Journal!Q:Q)</f>
        <v>13000</v>
      </c>
      <c r="O5" s="18">
        <f>SUMIF(Journal!$A:$A,HeadJournal!$A5,Journal!U:U)</f>
        <v>7756.6450000000004</v>
      </c>
      <c r="P5" s="22">
        <f t="shared" si="1"/>
        <v>1.4793285978157118</v>
      </c>
      <c r="Q5" s="7" t="b">
        <f>J5=K5</f>
        <v>1</v>
      </c>
      <c r="R5" s="73">
        <f t="shared" si="2"/>
        <v>0.43445275019524709</v>
      </c>
    </row>
    <row r="6" spans="1:18" x14ac:dyDescent="0.25">
      <c r="A6" s="59" t="s">
        <v>41</v>
      </c>
      <c r="B6" s="12" t="s">
        <v>1314</v>
      </c>
      <c r="C6" s="12" t="s">
        <v>1735</v>
      </c>
      <c r="D6" s="12" t="s">
        <v>714</v>
      </c>
      <c r="E6" s="12" t="s">
        <v>1315</v>
      </c>
      <c r="F6" s="12"/>
      <c r="G6" s="13">
        <v>44788</v>
      </c>
      <c r="H6" s="14">
        <v>1.5</v>
      </c>
      <c r="I6" s="14">
        <v>-678.37</v>
      </c>
      <c r="J6" s="8">
        <f>SUMIF(Journal!$A:$A,HeadJournal!$A6,Journal!$K:$K)+SUMIF(Journal!$A:$A,HeadJournal!$A6,Journal!$L:$L)+SUMIF(Journal!$A:$A,HeadJournal!$A6,Journal!$M:$M)</f>
        <v>3619.3599999999997</v>
      </c>
      <c r="K6" s="14">
        <v>3711.38</v>
      </c>
      <c r="L6" s="14">
        <v>1000</v>
      </c>
      <c r="M6" s="8">
        <f>SUMIF(Journal!$A:$A,HeadJournal!$A6,Journal!$P:$P)</f>
        <v>6567.07</v>
      </c>
      <c r="N6" s="8">
        <f>SUMIF(Journal!$A:$A,HeadJournal!$A6,Journal!Q:Q)</f>
        <v>16881.57</v>
      </c>
      <c r="O6" s="18">
        <f>SUMIF(Journal!$A:$A,HeadJournal!$A6,Journal!U:U)</f>
        <v>10314.499999999998</v>
      </c>
      <c r="P6" s="22">
        <f t="shared" si="1"/>
        <v>1.5706395698538311</v>
      </c>
      <c r="R6" s="73">
        <f t="shared" si="2"/>
        <v>0.15227491103338323</v>
      </c>
    </row>
    <row r="7" spans="1:18" x14ac:dyDescent="0.25">
      <c r="A7" s="12" t="s">
        <v>45</v>
      </c>
      <c r="B7" s="12" t="s">
        <v>1316</v>
      </c>
      <c r="C7" s="12" t="s">
        <v>1751</v>
      </c>
      <c r="D7" s="12" t="s">
        <v>714</v>
      </c>
      <c r="E7" s="12" t="s">
        <v>1315</v>
      </c>
      <c r="F7" s="12"/>
      <c r="G7" s="13">
        <v>44793</v>
      </c>
      <c r="H7" s="14">
        <v>1.5</v>
      </c>
      <c r="I7" s="14">
        <v>-3.7</v>
      </c>
      <c r="J7" s="8">
        <f>SUMIF(Journal!$A:$A,HeadJournal!$A7,Journal!$K:$K)+SUMIF(Journal!$A:$A,HeadJournal!$A7,Journal!$L:$L)+SUMIF(Journal!$A:$A,HeadJournal!$A7,Journal!$M:$M)</f>
        <v>3452.9399999999996</v>
      </c>
      <c r="K7" s="14">
        <v>3540.75</v>
      </c>
      <c r="L7" s="14">
        <v>1000</v>
      </c>
      <c r="M7" s="8">
        <f>SUMIF(Journal!$A:$A,HeadJournal!$A7,Journal!$P:$P)</f>
        <v>6311.125</v>
      </c>
      <c r="N7" s="8">
        <f>SUMIF(Journal!$A:$A,HeadJournal!$A7,Journal!Q:Q)</f>
        <v>11050</v>
      </c>
      <c r="O7" s="18">
        <f>SUMIF(Journal!$A:$A,HeadJournal!$A7,Journal!U:U)</f>
        <v>4738.875</v>
      </c>
      <c r="P7" s="22">
        <f t="shared" si="1"/>
        <v>0.75087642852898651</v>
      </c>
      <c r="R7" s="73">
        <f t="shared" si="2"/>
        <v>0.1584503555229852</v>
      </c>
    </row>
    <row r="8" spans="1:18" x14ac:dyDescent="0.25">
      <c r="A8" s="59" t="s">
        <v>50</v>
      </c>
      <c r="B8" s="12" t="s">
        <v>1317</v>
      </c>
      <c r="C8" s="12" t="s">
        <v>1735</v>
      </c>
      <c r="D8" s="12" t="s">
        <v>714</v>
      </c>
      <c r="E8" s="12" t="s">
        <v>1315</v>
      </c>
      <c r="F8" s="12"/>
      <c r="G8" s="13">
        <v>44797</v>
      </c>
      <c r="H8" s="14">
        <v>1.5</v>
      </c>
      <c r="I8" s="14">
        <v>0</v>
      </c>
      <c r="J8" s="8">
        <f>SUMIF(Journal!$A:$A,HeadJournal!$A8,Journal!$K:$K)+SUMIF(Journal!$A:$A,HeadJournal!$A8,Journal!$L:$L)+SUMIF(Journal!$A:$A,HeadJournal!$A8,Journal!$M:$M)</f>
        <v>4163.45</v>
      </c>
      <c r="K8" s="14">
        <v>4269.38</v>
      </c>
      <c r="L8" s="14">
        <v>1000</v>
      </c>
      <c r="M8" s="8">
        <f>SUMIF(Journal!$A:$A,HeadJournal!$A8,Journal!$P:$P)</f>
        <v>7404.07</v>
      </c>
      <c r="N8" s="8">
        <f>SUMIF(Journal!$A:$A,HeadJournal!$A8,Journal!Q:Q)</f>
        <v>17150</v>
      </c>
      <c r="O8" s="18">
        <f>SUMIF(Journal!$A:$A,HeadJournal!$A8,Journal!U:U)</f>
        <v>9745.9299999999985</v>
      </c>
      <c r="P8" s="22">
        <f t="shared" si="1"/>
        <v>1.3162936060842212</v>
      </c>
      <c r="R8" s="73">
        <f t="shared" si="2"/>
        <v>0.13506085166671844</v>
      </c>
    </row>
    <row r="9" spans="1:18" x14ac:dyDescent="0.25">
      <c r="A9" s="12" t="s">
        <v>55</v>
      </c>
      <c r="B9" s="124" t="s">
        <v>1318</v>
      </c>
      <c r="C9" s="12" t="s">
        <v>1751</v>
      </c>
      <c r="D9" s="12" t="s">
        <v>714</v>
      </c>
      <c r="E9" s="12" t="s">
        <v>1315</v>
      </c>
      <c r="F9" s="12"/>
      <c r="G9" s="13">
        <v>44802</v>
      </c>
      <c r="H9" s="14">
        <v>1.5</v>
      </c>
      <c r="I9" s="14">
        <v>-3.7</v>
      </c>
      <c r="J9" s="8">
        <f>SUMIF(Journal!$A:$A,HeadJournal!$A9,Journal!$K:$K)+SUMIF(Journal!$A:$A,HeadJournal!$A9,Journal!$L:$L)+SUMIF(Journal!$A:$A,HeadJournal!$A9,Journal!$M:$M)</f>
        <v>3729.42</v>
      </c>
      <c r="K9" s="14">
        <v>3824.25</v>
      </c>
      <c r="L9" s="14">
        <v>1000</v>
      </c>
      <c r="M9" s="8">
        <f>SUMIF(Journal!$A:$A,HeadJournal!$A9,Journal!$P:$P)</f>
        <v>6736.3749999999991</v>
      </c>
      <c r="N9" s="8">
        <f>SUMIF(Journal!$A:$A,HeadJournal!$A9,Journal!Q:Q)</f>
        <v>13000</v>
      </c>
      <c r="O9" s="18">
        <f>SUMIF(Journal!$A:$A,HeadJournal!$A9,Journal!U:U)</f>
        <v>6263.6250000000009</v>
      </c>
      <c r="P9" s="22">
        <f t="shared" si="1"/>
        <v>0.92982130596945711</v>
      </c>
      <c r="R9" s="73">
        <f t="shared" si="2"/>
        <v>0.14844779276688133</v>
      </c>
    </row>
    <row r="10" spans="1:18" x14ac:dyDescent="0.25">
      <c r="A10" s="12" t="s">
        <v>63</v>
      </c>
      <c r="B10" s="124" t="s">
        <v>1319</v>
      </c>
      <c r="C10" s="12" t="s">
        <v>1751</v>
      </c>
      <c r="D10" s="12" t="s">
        <v>1320</v>
      </c>
      <c r="E10" s="12" t="s">
        <v>1315</v>
      </c>
      <c r="F10" s="12"/>
      <c r="G10" s="13">
        <v>44814</v>
      </c>
      <c r="H10" s="14">
        <v>1.25</v>
      </c>
      <c r="I10" s="14">
        <v>-7.4</v>
      </c>
      <c r="J10" s="8">
        <f>SUMIF(Journal!$A:$A,HeadJournal!$A10,Journal!$K:$K)+SUMIF(Journal!$A:$A,HeadJournal!$A10,Journal!$L:$L)+SUMIF(Journal!$A:$A,HeadJournal!$A10,Journal!$M:$M)</f>
        <v>3339.58</v>
      </c>
      <c r="K10" s="14">
        <v>3424.5</v>
      </c>
      <c r="L10" s="14">
        <v>350</v>
      </c>
      <c r="M10" s="8">
        <f>SUMIF(Journal!$A:$A,HeadJournal!$A10,Journal!$P:$P)</f>
        <v>4630.625</v>
      </c>
      <c r="N10" s="8">
        <f>SUMIF(Journal!$A:$A,HeadJournal!$A10,Journal!Q:Q)</f>
        <v>10870.317973202707</v>
      </c>
      <c r="O10" s="18">
        <f>SUMIF(Journal!$A:$A,HeadJournal!$A10,Journal!U:U)</f>
        <v>6239.6929732027083</v>
      </c>
      <c r="P10" s="22">
        <f t="shared" si="1"/>
        <v>1.3474839731575561</v>
      </c>
      <c r="R10" s="73">
        <f t="shared" si="2"/>
        <v>7.5583749493858821E-2</v>
      </c>
    </row>
    <row r="11" spans="1:18" x14ac:dyDescent="0.25">
      <c r="A11" s="61" t="s">
        <v>67</v>
      </c>
      <c r="B11" s="124" t="s">
        <v>1321</v>
      </c>
      <c r="C11" s="12" t="s">
        <v>1737</v>
      </c>
      <c r="D11" s="12" t="s">
        <v>1320</v>
      </c>
      <c r="E11" s="12" t="s">
        <v>1315</v>
      </c>
      <c r="F11" s="12"/>
      <c r="G11" s="13">
        <v>44818</v>
      </c>
      <c r="H11" s="14">
        <v>1.25</v>
      </c>
      <c r="I11" s="14">
        <f>-254.9+150</f>
        <v>-104.9</v>
      </c>
      <c r="J11" s="8">
        <f>SUMIF(Journal!$A:$A,HeadJournal!$A11,Journal!$K:$K)+SUMIF(Journal!$A:$A,HeadJournal!$A11,Journal!$L:$L)+SUMIF(Journal!$A:$A,HeadJournal!$A11,Journal!$M:$M)</f>
        <v>1468.5499999999997</v>
      </c>
      <c r="K11" s="14">
        <v>1506</v>
      </c>
      <c r="L11" s="14">
        <v>350</v>
      </c>
      <c r="M11" s="8">
        <f>SUMIF(Journal!$A:$A,HeadJournal!$A11,Journal!$P:$P)</f>
        <v>2232.5000000000005</v>
      </c>
      <c r="N11" s="8">
        <f>SUMIF(Journal!$A:$A,HeadJournal!$A11,Journal!Q:Q)</f>
        <v>2014.3792322603197</v>
      </c>
      <c r="O11" s="18">
        <f>SUMIF(Journal!$A:$A,HeadJournal!$A11,Journal!U:U)</f>
        <v>-218.12076773968056</v>
      </c>
      <c r="P11" s="22">
        <f t="shared" si="1"/>
        <v>-9.7702471551928557E-2</v>
      </c>
      <c r="R11" s="73">
        <f t="shared" si="2"/>
        <v>0.15677491601343782</v>
      </c>
    </row>
    <row r="12" spans="1:18" x14ac:dyDescent="0.25">
      <c r="A12" s="12" t="s">
        <v>73</v>
      </c>
      <c r="B12" s="124" t="s">
        <v>1322</v>
      </c>
      <c r="C12" s="12" t="s">
        <v>1751</v>
      </c>
      <c r="D12" s="12" t="s">
        <v>1320</v>
      </c>
      <c r="E12" s="12" t="s">
        <v>1315</v>
      </c>
      <c r="F12" s="12"/>
      <c r="G12" s="13">
        <v>44819</v>
      </c>
      <c r="H12" s="14">
        <v>1.25</v>
      </c>
      <c r="I12" s="14">
        <v>-3.7</v>
      </c>
      <c r="J12" s="8">
        <f>SUMIF(Journal!$A:$A,HeadJournal!$A12,Journal!$K:$K)+SUMIF(Journal!$A:$A,HeadJournal!$A12,Journal!$L:$L)+SUMIF(Journal!$A:$A,HeadJournal!$A12,Journal!$M:$M)</f>
        <v>2592.9299999999998</v>
      </c>
      <c r="K12" s="14">
        <v>2659.13</v>
      </c>
      <c r="L12" s="14">
        <v>350</v>
      </c>
      <c r="M12" s="8">
        <f>SUMIF(Journal!$A:$A,HeadJournal!$A12,Journal!$P:$P)</f>
        <v>3673.9125000000004</v>
      </c>
      <c r="N12" s="8">
        <f>SUMIF(Journal!$A:$A,HeadJournal!$A12,Journal!Q:Q)</f>
        <v>5582.1742745886013</v>
      </c>
      <c r="O12" s="18">
        <f>SUMIF(Journal!$A:$A,HeadJournal!$A12,Journal!U:U)</f>
        <v>1908.2617745886012</v>
      </c>
      <c r="P12" s="22">
        <f t="shared" si="1"/>
        <v>0.51940860719698712</v>
      </c>
      <c r="R12" s="73">
        <f t="shared" si="2"/>
        <v>9.5266286281995002E-2</v>
      </c>
    </row>
    <row r="13" spans="1:18" x14ac:dyDescent="0.25">
      <c r="A13" s="59" t="s">
        <v>80</v>
      </c>
      <c r="B13" s="124" t="s">
        <v>1323</v>
      </c>
      <c r="C13" s="12" t="s">
        <v>1735</v>
      </c>
      <c r="D13" s="12" t="s">
        <v>1320</v>
      </c>
      <c r="E13" s="12" t="s">
        <v>1315</v>
      </c>
      <c r="F13" s="12"/>
      <c r="G13" s="13">
        <v>44822</v>
      </c>
      <c r="H13" s="14">
        <v>1.25</v>
      </c>
      <c r="I13" s="14"/>
      <c r="J13" s="8">
        <f>SUMIF(Journal!$A:$A,HeadJournal!$A13,Journal!$K:$K)+SUMIF(Journal!$A:$A,HeadJournal!$A13,Journal!$L:$L)+SUMIF(Journal!$A:$A,HeadJournal!$A13,Journal!$M:$M)</f>
        <v>3608.3</v>
      </c>
      <c r="K13" s="14">
        <v>3700.13</v>
      </c>
      <c r="L13" s="14">
        <v>350</v>
      </c>
      <c r="M13" s="8">
        <f>SUMIF(Journal!$A:$A,HeadJournal!$A13,Journal!$P:$P)</f>
        <v>4975.1625000000004</v>
      </c>
      <c r="N13" s="8">
        <f>SUMIF(Journal!$A:$A,HeadJournal!$A13,Journal!Q:Q)</f>
        <v>2712.9495244297868</v>
      </c>
      <c r="O13" s="18">
        <f>SUMIF(Journal!$A:$A,HeadJournal!$A13,Journal!U:U)</f>
        <v>-2262.2129755702131</v>
      </c>
      <c r="P13" s="22">
        <f t="shared" si="1"/>
        <v>-0.45470132394071811</v>
      </c>
      <c r="R13" s="73">
        <f t="shared" si="2"/>
        <v>7.0349460947255485E-2</v>
      </c>
    </row>
    <row r="14" spans="1:18" x14ac:dyDescent="0.25">
      <c r="A14" s="12" t="s">
        <v>89</v>
      </c>
      <c r="B14" s="124"/>
      <c r="C14" s="12" t="s">
        <v>1324</v>
      </c>
      <c r="D14" s="12" t="s">
        <v>714</v>
      </c>
      <c r="E14" s="12" t="s">
        <v>1324</v>
      </c>
      <c r="F14" s="12"/>
      <c r="G14" s="13">
        <v>44814</v>
      </c>
      <c r="H14" s="14">
        <v>1.25</v>
      </c>
      <c r="I14" s="14"/>
      <c r="J14" s="8">
        <f>SUMIF(Journal!$A:$A,HeadJournal!$A14,Journal!$K:$K)+SUMIF(Journal!$A:$A,HeadJournal!$A14,Journal!$L:$L)+SUMIF(Journal!$A:$A,HeadJournal!$A14,Journal!$M:$M)</f>
        <v>756</v>
      </c>
      <c r="K14" s="14">
        <v>756</v>
      </c>
      <c r="L14" s="14">
        <v>1000</v>
      </c>
      <c r="M14" s="8">
        <f>SUMIF(Journal!$A:$A,HeadJournal!$A14,Journal!$P:$P)</f>
        <v>1945</v>
      </c>
      <c r="N14" s="8">
        <f>SUMIF(Journal!$A:$A,HeadJournal!$A14,Journal!Q:Q)</f>
        <v>2500</v>
      </c>
      <c r="O14" s="18">
        <f>SUMIF(Journal!$A:$A,HeadJournal!$A14,Journal!U:U)</f>
        <v>555</v>
      </c>
      <c r="P14" s="22">
        <f t="shared" si="1"/>
        <v>0.28534704370179947</v>
      </c>
      <c r="Q14" s="7" t="b">
        <f>J14=K14</f>
        <v>1</v>
      </c>
      <c r="R14" s="73">
        <f t="shared" si="2"/>
        <v>0.51413881748071977</v>
      </c>
    </row>
    <row r="15" spans="1:18" x14ac:dyDescent="0.25">
      <c r="A15" s="12" t="s">
        <v>91</v>
      </c>
      <c r="B15" s="124"/>
      <c r="C15" s="12" t="s">
        <v>1324</v>
      </c>
      <c r="D15" s="12" t="s">
        <v>714</v>
      </c>
      <c r="E15" s="12" t="s">
        <v>1324</v>
      </c>
      <c r="F15" s="12"/>
      <c r="G15" s="13">
        <v>44802</v>
      </c>
      <c r="H15" s="14">
        <v>1.5</v>
      </c>
      <c r="I15" s="14"/>
      <c r="J15" s="8">
        <f>SUMIF(Journal!$A:$A,HeadJournal!$A15,Journal!$K:$K)+SUMIF(Journal!$A:$A,HeadJournal!$A15,Journal!$L:$L)+SUMIF(Journal!$A:$A,HeadJournal!$A15,Journal!$M:$M)</f>
        <v>2146</v>
      </c>
      <c r="K15" s="14">
        <v>2146</v>
      </c>
      <c r="L15" s="14">
        <v>1000</v>
      </c>
      <c r="M15" s="8">
        <f>SUMIF(Journal!$A:$A,HeadJournal!$A15,Journal!$P:$P)</f>
        <v>4219</v>
      </c>
      <c r="N15" s="8">
        <f>SUMIF(Journal!$A:$A,HeadJournal!$A15,Journal!Q:Q)</f>
        <v>8200</v>
      </c>
      <c r="O15" s="18">
        <f>SUMIF(Journal!$A:$A,HeadJournal!$A15,Journal!U:U)</f>
        <v>3981</v>
      </c>
      <c r="P15" s="22">
        <f t="shared" si="1"/>
        <v>0.94358852808722449</v>
      </c>
      <c r="Q15" s="7" t="b">
        <f>J15=K15</f>
        <v>1</v>
      </c>
      <c r="R15" s="73">
        <f t="shared" si="2"/>
        <v>0.23702299123014933</v>
      </c>
    </row>
    <row r="16" spans="1:18" x14ac:dyDescent="0.25">
      <c r="A16" s="12" t="s">
        <v>93</v>
      </c>
      <c r="B16" s="124" t="s">
        <v>1325</v>
      </c>
      <c r="C16" s="12" t="s">
        <v>1751</v>
      </c>
      <c r="D16" s="12" t="s">
        <v>1320</v>
      </c>
      <c r="E16" s="12" t="s">
        <v>1315</v>
      </c>
      <c r="F16" s="12"/>
      <c r="G16" s="13">
        <v>44827</v>
      </c>
      <c r="H16" s="14">
        <v>1.25</v>
      </c>
      <c r="I16" s="14"/>
      <c r="J16" s="8">
        <f>SUMIF(Journal!$A:$A,HeadJournal!$A16,Journal!$K:$K)+SUMIF(Journal!$A:$A,HeadJournal!$A16,Journal!$L:$L)+SUMIF(Journal!$A:$A,HeadJournal!$A16,Journal!$M:$M)</f>
        <v>4250.09</v>
      </c>
      <c r="K16" s="14">
        <v>4400.95</v>
      </c>
      <c r="L16" s="14">
        <v>350</v>
      </c>
      <c r="M16" s="8">
        <f>SUMIF(Journal!$A:$A,HeadJournal!$A16,Journal!$P:$P)</f>
        <v>5851.1875</v>
      </c>
      <c r="N16" s="8">
        <f>SUMIF(Journal!$A:$A,HeadJournal!$A16,Journal!Q:Q)</f>
        <v>8022.4215536731226</v>
      </c>
      <c r="O16" s="18">
        <f>SUMIF(Journal!$A:$A,HeadJournal!$A16,Journal!U:U)</f>
        <v>2171.2340536731222</v>
      </c>
      <c r="P16" s="22">
        <f t="shared" si="1"/>
        <v>0.37107579507119232</v>
      </c>
      <c r="R16" s="73">
        <f t="shared" si="2"/>
        <v>5.9816917506061801E-2</v>
      </c>
    </row>
    <row r="17" spans="1:18" x14ac:dyDescent="0.25">
      <c r="A17" s="12" t="s">
        <v>102</v>
      </c>
      <c r="B17" s="12"/>
      <c r="C17" s="12" t="s">
        <v>1326</v>
      </c>
      <c r="D17" s="12" t="s">
        <v>714</v>
      </c>
      <c r="E17" s="12" t="s">
        <v>1327</v>
      </c>
      <c r="F17" s="12"/>
      <c r="G17" s="13">
        <v>44849</v>
      </c>
      <c r="H17" s="14">
        <v>1.25</v>
      </c>
      <c r="I17" s="14"/>
      <c r="J17" s="8">
        <f>SUMIF(Journal!$A:$A,HeadJournal!$A17,Journal!$K:$K)+SUMIF(Journal!$A:$A,HeadJournal!$A17,Journal!$L:$L)+SUMIF(Journal!$A:$A,HeadJournal!$A17,Journal!$M:$M)</f>
        <v>10742.4</v>
      </c>
      <c r="K17" s="14">
        <f>13000/H17</f>
        <v>10400</v>
      </c>
      <c r="L17" s="14">
        <v>0</v>
      </c>
      <c r="M17" s="8">
        <f>SUMIF(Journal!$A:$A,HeadJournal!$A17,Journal!$P:$P)</f>
        <v>13000.000000000002</v>
      </c>
      <c r="N17" s="8">
        <f>SUMIF(Journal!$A:$A,HeadJournal!$A17,Journal!Q:Q)</f>
        <v>30200</v>
      </c>
      <c r="O17" s="18">
        <f>SUMIF(Journal!$A:$A,HeadJournal!$A17,Journal!U:U)</f>
        <v>17200</v>
      </c>
      <c r="P17" s="22">
        <f t="shared" si="1"/>
        <v>1.3230769230769228</v>
      </c>
      <c r="Q17" s="7" t="b">
        <f t="shared" ref="Q17:Q26" si="3">J17=K17</f>
        <v>0</v>
      </c>
      <c r="R17" s="73">
        <f t="shared" si="2"/>
        <v>0</v>
      </c>
    </row>
    <row r="18" spans="1:18" x14ac:dyDescent="0.25">
      <c r="A18" s="12" t="s">
        <v>105</v>
      </c>
      <c r="B18" s="12"/>
      <c r="C18" s="12" t="s">
        <v>1326</v>
      </c>
      <c r="D18" s="12" t="s">
        <v>714</v>
      </c>
      <c r="E18" s="12" t="s">
        <v>1327</v>
      </c>
      <c r="F18" s="12"/>
      <c r="G18" s="13">
        <v>44850</v>
      </c>
      <c r="H18" s="14">
        <v>1.25</v>
      </c>
      <c r="I18" s="14"/>
      <c r="J18" s="8">
        <f>SUMIF(Journal!$A:$A,HeadJournal!$A18,Journal!$K:$K)+SUMIF(Journal!$A:$A,HeadJournal!$A18,Journal!$L:$L)+SUMIF(Journal!$A:$A,HeadJournal!$A18,Journal!$M:$M)</f>
        <v>9440</v>
      </c>
      <c r="K18" s="14">
        <f>11300/1.25</f>
        <v>9040</v>
      </c>
      <c r="L18" s="14">
        <v>0</v>
      </c>
      <c r="M18" s="8">
        <f>SUMIF(Journal!$A:$A,HeadJournal!$A18,Journal!$P:$P)</f>
        <v>11299.999999999998</v>
      </c>
      <c r="N18" s="8">
        <f>SUMIF(Journal!$A:$A,HeadJournal!$A18,Journal!Q:Q)</f>
        <v>24718.22</v>
      </c>
      <c r="O18" s="18">
        <f>SUMIF(Journal!$A:$A,HeadJournal!$A18,Journal!U:U)</f>
        <v>13418.220000000001</v>
      </c>
      <c r="P18" s="22">
        <f t="shared" si="1"/>
        <v>1.1874530973451329</v>
      </c>
      <c r="Q18" s="7" t="b">
        <f t="shared" si="3"/>
        <v>0</v>
      </c>
      <c r="R18" s="73">
        <f t="shared" si="2"/>
        <v>0</v>
      </c>
    </row>
    <row r="19" spans="1:18" x14ac:dyDescent="0.25">
      <c r="A19" s="12" t="s">
        <v>116</v>
      </c>
      <c r="B19" s="12"/>
      <c r="C19" s="12" t="s">
        <v>1328</v>
      </c>
      <c r="D19" s="12" t="s">
        <v>714</v>
      </c>
      <c r="E19" s="12" t="s">
        <v>1329</v>
      </c>
      <c r="F19" s="12"/>
      <c r="G19" s="13">
        <v>44853</v>
      </c>
      <c r="H19" s="14">
        <v>1.25</v>
      </c>
      <c r="I19" s="14"/>
      <c r="J19" s="8">
        <f>SUMIF(Journal!$A:$A,HeadJournal!$A19,Journal!$K:$K)+SUMIF(Journal!$A:$A,HeadJournal!$A19,Journal!$L:$L)+SUMIF(Journal!$A:$A,HeadJournal!$A19,Journal!$M:$M)</f>
        <v>1374.4</v>
      </c>
      <c r="K19" s="14">
        <v>1362.5</v>
      </c>
      <c r="L19" s="14">
        <v>197</v>
      </c>
      <c r="M19" s="8">
        <f>SUMIF(Journal!$A:$A,HeadJournal!$A19,Journal!$P:$P)</f>
        <v>1900.1249999999998</v>
      </c>
      <c r="N19" s="8">
        <f>SUMIF(Journal!$A:$A,HeadJournal!$A19,Journal!Q:Q)</f>
        <v>3200</v>
      </c>
      <c r="O19" s="18">
        <f>SUMIF(Journal!$A:$A,HeadJournal!$A19,Journal!U:U)</f>
        <v>1299.8750000000002</v>
      </c>
      <c r="P19" s="22">
        <f t="shared" si="1"/>
        <v>0.68409973028090276</v>
      </c>
      <c r="Q19" s="7" t="b">
        <f t="shared" si="3"/>
        <v>0</v>
      </c>
      <c r="R19" s="73">
        <f t="shared" si="2"/>
        <v>0.10367738964541807</v>
      </c>
    </row>
    <row r="20" spans="1:18" x14ac:dyDescent="0.25">
      <c r="A20" s="12" t="s">
        <v>118</v>
      </c>
      <c r="B20" s="12"/>
      <c r="C20" s="12" t="s">
        <v>1330</v>
      </c>
      <c r="D20" s="12" t="s">
        <v>714</v>
      </c>
      <c r="E20" s="12" t="s">
        <v>1331</v>
      </c>
      <c r="F20" s="12"/>
      <c r="G20" s="13">
        <v>44858</v>
      </c>
      <c r="H20" s="14">
        <v>1.25</v>
      </c>
      <c r="I20" s="14"/>
      <c r="J20" s="8">
        <f>SUMIF(Journal!$A:$A,HeadJournal!$A20,Journal!$K:$K)+SUMIF(Journal!$A:$A,HeadJournal!$A20,Journal!$L:$L)+SUMIF(Journal!$A:$A,HeadJournal!$A20,Journal!$M:$M)</f>
        <v>8000</v>
      </c>
      <c r="K20" s="14">
        <v>8000</v>
      </c>
      <c r="L20" s="14">
        <v>0</v>
      </c>
      <c r="M20" s="8">
        <f>SUMIF(Journal!$A:$A,HeadJournal!$A20,Journal!$P:$P)</f>
        <v>10000</v>
      </c>
      <c r="N20" s="8">
        <f>SUMIF(Journal!$A:$A,HeadJournal!$A20,Journal!Q:Q)</f>
        <v>20000</v>
      </c>
      <c r="O20" s="18">
        <f>SUMIF(Journal!$A:$A,HeadJournal!$A20,Journal!U:U)</f>
        <v>10000</v>
      </c>
      <c r="P20" s="22">
        <f t="shared" si="1"/>
        <v>1</v>
      </c>
      <c r="Q20" s="7" t="b">
        <f t="shared" si="3"/>
        <v>1</v>
      </c>
      <c r="R20" s="73">
        <f t="shared" si="2"/>
        <v>0</v>
      </c>
    </row>
    <row r="21" spans="1:18" x14ac:dyDescent="0.25">
      <c r="A21" s="12" t="s">
        <v>119</v>
      </c>
      <c r="B21" s="12"/>
      <c r="C21" s="12" t="s">
        <v>1326</v>
      </c>
      <c r="D21" s="12" t="s">
        <v>714</v>
      </c>
      <c r="E21" s="12" t="s">
        <v>1327</v>
      </c>
      <c r="F21" s="12"/>
      <c r="G21" s="13">
        <v>44861</v>
      </c>
      <c r="H21" s="14">
        <v>1.25</v>
      </c>
      <c r="I21" s="14"/>
      <c r="J21" s="8">
        <f>SUMIF(Journal!$A:$A,HeadJournal!$A21,Journal!$K:$K)+SUMIF(Journal!$A:$A,HeadJournal!$A21,Journal!$L:$L)+SUMIF(Journal!$A:$A,HeadJournal!$A21,Journal!$M:$M)</f>
        <v>6068</v>
      </c>
      <c r="K21" s="14">
        <f>7190/1.25</f>
        <v>5752</v>
      </c>
      <c r="L21" s="14">
        <v>0</v>
      </c>
      <c r="M21" s="8">
        <f>SUMIF(Journal!$A:$A,HeadJournal!$A21,Journal!$P:$P)</f>
        <v>7190.0000000000018</v>
      </c>
      <c r="N21" s="8">
        <f>SUMIF(Journal!$A:$A,HeadJournal!$A21,Journal!Q:Q)</f>
        <v>19500</v>
      </c>
      <c r="O21" s="18">
        <f>SUMIF(Journal!$A:$A,HeadJournal!$A21,Journal!U:U)</f>
        <v>12310</v>
      </c>
      <c r="P21" s="22">
        <f t="shared" si="1"/>
        <v>1.712100139082058</v>
      </c>
      <c r="Q21" s="7" t="b">
        <f t="shared" si="3"/>
        <v>0</v>
      </c>
      <c r="R21" s="73">
        <f t="shared" si="2"/>
        <v>0</v>
      </c>
    </row>
    <row r="22" spans="1:18" x14ac:dyDescent="0.25">
      <c r="A22" s="12" t="s">
        <v>121</v>
      </c>
      <c r="B22" s="12"/>
      <c r="C22" s="12" t="s">
        <v>1330</v>
      </c>
      <c r="D22" s="12" t="s">
        <v>714</v>
      </c>
      <c r="E22" s="12" t="s">
        <v>1331</v>
      </c>
      <c r="F22" s="12"/>
      <c r="G22" s="13">
        <v>44867</v>
      </c>
      <c r="H22" s="14">
        <v>1.25</v>
      </c>
      <c r="I22" s="14"/>
      <c r="J22" s="8">
        <f>SUMIF(Journal!$A:$A,HeadJournal!$A22,Journal!$K:$K)+SUMIF(Journal!$A:$A,HeadJournal!$A22,Journal!$L:$L)+SUMIF(Journal!$A:$A,HeadJournal!$A22,Journal!$M:$M)</f>
        <v>20674.399999999994</v>
      </c>
      <c r="K22" s="14">
        <f>25000/1.25</f>
        <v>20000</v>
      </c>
      <c r="L22" s="14">
        <v>0</v>
      </c>
      <c r="M22" s="8">
        <f>SUMIF(Journal!$A:$A,HeadJournal!$A22,Journal!$P:$P)</f>
        <v>25000.000000000004</v>
      </c>
      <c r="N22" s="8">
        <f>SUMIF(Journal!$A:$A,HeadJournal!$A22,Journal!Q:Q)</f>
        <v>56731.53</v>
      </c>
      <c r="O22" s="18">
        <f>SUMIF(Journal!$A:$A,HeadJournal!$A22,Journal!U:U)</f>
        <v>31731.53</v>
      </c>
      <c r="P22" s="22">
        <f t="shared" si="1"/>
        <v>1.2692611999999999</v>
      </c>
      <c r="Q22" s="7" t="b">
        <f t="shared" si="3"/>
        <v>0</v>
      </c>
      <c r="R22" s="73">
        <f t="shared" si="2"/>
        <v>0</v>
      </c>
    </row>
    <row r="23" spans="1:18" x14ac:dyDescent="0.25">
      <c r="A23" s="12" t="s">
        <v>123</v>
      </c>
      <c r="B23" s="12"/>
      <c r="C23" s="12" t="s">
        <v>1328</v>
      </c>
      <c r="D23" s="12" t="s">
        <v>714</v>
      </c>
      <c r="E23" s="12" t="s">
        <v>1329</v>
      </c>
      <c r="F23" s="12"/>
      <c r="G23" s="13">
        <v>44859</v>
      </c>
      <c r="H23" s="14">
        <v>1.25</v>
      </c>
      <c r="I23" s="14"/>
      <c r="J23" s="8">
        <f>SUMIF(Journal!$A:$A,HeadJournal!$A23,Journal!$K:$K)+SUMIF(Journal!$A:$A,HeadJournal!$A23,Journal!$L:$L)+SUMIF(Journal!$A:$A,HeadJournal!$A23,Journal!$M:$M)</f>
        <v>512</v>
      </c>
      <c r="K23" s="14">
        <f>640/1.25</f>
        <v>512</v>
      </c>
      <c r="L23" s="14">
        <f>K23*0.15</f>
        <v>76.8</v>
      </c>
      <c r="M23" s="8">
        <f>SUMIF(Journal!$A:$A,HeadJournal!$A23,Journal!$P:$P)</f>
        <v>716.80000000000007</v>
      </c>
      <c r="N23" s="8">
        <f>SUMIF(Journal!$A:$A,HeadJournal!$A23,Journal!Q:Q)</f>
        <v>1300</v>
      </c>
      <c r="O23" s="18">
        <f>SUMIF(Journal!$A:$A,HeadJournal!$A23,Journal!U:U)</f>
        <v>583.19999999999993</v>
      </c>
      <c r="P23" s="22">
        <f t="shared" si="1"/>
        <v>0.81361607142857129</v>
      </c>
      <c r="Q23" s="7" t="b">
        <f t="shared" si="3"/>
        <v>1</v>
      </c>
      <c r="R23" s="73">
        <f t="shared" si="2"/>
        <v>0.10714285714285712</v>
      </c>
    </row>
    <row r="24" spans="1:18" x14ac:dyDescent="0.25">
      <c r="A24" s="12" t="s">
        <v>125</v>
      </c>
      <c r="B24" s="12"/>
      <c r="C24" s="12" t="s">
        <v>1326</v>
      </c>
      <c r="D24" s="12" t="s">
        <v>714</v>
      </c>
      <c r="E24" s="12" t="s">
        <v>1327</v>
      </c>
      <c r="F24" s="12"/>
      <c r="G24" s="13">
        <v>44874</v>
      </c>
      <c r="H24" s="14">
        <v>1.25</v>
      </c>
      <c r="I24" s="14"/>
      <c r="J24" s="8">
        <f>SUMIF(Journal!$A:$A,HeadJournal!$A24,Journal!$K:$K)+SUMIF(Journal!$A:$A,HeadJournal!$A24,Journal!$L:$L)+SUMIF(Journal!$A:$A,HeadJournal!$A24,Journal!$M:$M)</f>
        <v>7632.22</v>
      </c>
      <c r="K24" s="14">
        <f>9300/1.25</f>
        <v>7440</v>
      </c>
      <c r="L24" s="14">
        <v>0</v>
      </c>
      <c r="M24" s="8">
        <f>SUMIF(Journal!$A:$A,HeadJournal!$A24,Journal!$P:$P)</f>
        <v>9300</v>
      </c>
      <c r="N24" s="8">
        <f>SUMIF(Journal!$A:$A,HeadJournal!$A24,Journal!Q:Q)</f>
        <v>27750</v>
      </c>
      <c r="O24" s="18">
        <f>SUMIF(Journal!$A:$A,HeadJournal!$A24,Journal!U:U)</f>
        <v>18450</v>
      </c>
      <c r="P24" s="22">
        <f t="shared" si="1"/>
        <v>1.9838709677419355</v>
      </c>
      <c r="Q24" s="7" t="b">
        <f t="shared" si="3"/>
        <v>0</v>
      </c>
      <c r="R24" s="73">
        <f t="shared" si="2"/>
        <v>0</v>
      </c>
    </row>
    <row r="25" spans="1:18" x14ac:dyDescent="0.25">
      <c r="A25" s="12" t="s">
        <v>129</v>
      </c>
      <c r="B25" s="12"/>
      <c r="C25" s="12" t="s">
        <v>1330</v>
      </c>
      <c r="D25" s="12" t="s">
        <v>714</v>
      </c>
      <c r="E25" s="12" t="s">
        <v>1331</v>
      </c>
      <c r="F25" s="12"/>
      <c r="G25" s="13">
        <v>44874</v>
      </c>
      <c r="H25" s="14">
        <v>1.25</v>
      </c>
      <c r="I25" s="14"/>
      <c r="J25" s="8">
        <f>SUMIF(Journal!$A:$A,HeadJournal!$A25,Journal!$K:$K)+SUMIF(Journal!$A:$A,HeadJournal!$A25,Journal!$L:$L)+SUMIF(Journal!$A:$A,HeadJournal!$A25,Journal!$M:$M)</f>
        <v>21188.327999999994</v>
      </c>
      <c r="K25" s="14">
        <f>26500/1.25</f>
        <v>21200</v>
      </c>
      <c r="L25" s="14">
        <v>0</v>
      </c>
      <c r="M25" s="8">
        <f>SUMIF(Journal!$A:$A,HeadJournal!$A25,Journal!$P:$P)</f>
        <v>26500.000000000004</v>
      </c>
      <c r="N25" s="8">
        <f>SUMIF(Journal!$A:$A,HeadJournal!$A25,Journal!Q:Q)</f>
        <v>57300</v>
      </c>
      <c r="O25" s="18">
        <f>SUMIF(Journal!$A:$A,HeadJournal!$A25,Journal!U:U)</f>
        <v>30799.999999999989</v>
      </c>
      <c r="P25" s="22">
        <f t="shared" si="1"/>
        <v>1.1622641509433957</v>
      </c>
      <c r="Q25" s="7" t="b">
        <f t="shared" si="3"/>
        <v>0</v>
      </c>
      <c r="R25" s="73">
        <f t="shared" si="2"/>
        <v>0</v>
      </c>
    </row>
    <row r="26" spans="1:18" x14ac:dyDescent="0.25">
      <c r="A26" s="12" t="s">
        <v>131</v>
      </c>
      <c r="B26" s="12"/>
      <c r="C26" s="12" t="s">
        <v>1328</v>
      </c>
      <c r="D26" s="12" t="s">
        <v>714</v>
      </c>
      <c r="E26" s="12" t="s">
        <v>1329</v>
      </c>
      <c r="F26" s="12"/>
      <c r="G26" s="13">
        <v>44875</v>
      </c>
      <c r="H26" s="14">
        <v>1.25</v>
      </c>
      <c r="I26" s="14"/>
      <c r="J26" s="8">
        <f>SUMIF(Journal!$A:$A,HeadJournal!$A26,Journal!$K:$K)+SUMIF(Journal!$A:$A,HeadJournal!$A26,Journal!$L:$L)+SUMIF(Journal!$A:$A,HeadJournal!$A26,Journal!$M:$M)</f>
        <v>988</v>
      </c>
      <c r="K26" s="14">
        <f>1235/1.25</f>
        <v>988</v>
      </c>
      <c r="L26" s="14">
        <f>K26*0.15</f>
        <v>148.19999999999999</v>
      </c>
      <c r="M26" s="8">
        <f>SUMIF(Journal!$A:$A,HeadJournal!$A26,Journal!$P:$P)</f>
        <v>1383.1999999999998</v>
      </c>
      <c r="N26" s="8">
        <f>SUMIF(Journal!$A:$A,HeadJournal!$A26,Journal!Q:Q)</f>
        <v>2300</v>
      </c>
      <c r="O26" s="18">
        <f>SUMIF(Journal!$A:$A,HeadJournal!$A26,Journal!U:U)</f>
        <v>916.80000000000018</v>
      </c>
      <c r="P26" s="22">
        <f t="shared" si="1"/>
        <v>0.66281087333718935</v>
      </c>
      <c r="Q26" s="7" t="b">
        <f t="shared" si="3"/>
        <v>1</v>
      </c>
      <c r="R26" s="73">
        <f t="shared" si="2"/>
        <v>0.10714285714285715</v>
      </c>
    </row>
    <row r="27" spans="1:18" x14ac:dyDescent="0.25">
      <c r="A27" s="61" t="s">
        <v>133</v>
      </c>
      <c r="B27" s="124" t="s">
        <v>1332</v>
      </c>
      <c r="C27" s="12" t="s">
        <v>1737</v>
      </c>
      <c r="D27" s="12" t="s">
        <v>714</v>
      </c>
      <c r="E27" s="12" t="s">
        <v>1310</v>
      </c>
      <c r="F27" s="124">
        <v>1371469533</v>
      </c>
      <c r="G27" s="13">
        <v>44835</v>
      </c>
      <c r="H27" s="14">
        <v>69</v>
      </c>
      <c r="I27" s="14">
        <v>-10.84</v>
      </c>
      <c r="J27" s="8">
        <f>SUMIF(Journal!$A:$A,HeadJournal!$A27,Journal!$K:$K)+SUMIF(Journal!$A:$A,HeadJournal!$A27,Journal!$L:$L)+SUMIF(Journal!$A:$A,HeadJournal!$A27,Journal!$M:$M)</f>
        <v>33.539999999999992</v>
      </c>
      <c r="K27" s="14">
        <v>33.54</v>
      </c>
      <c r="L27" s="14">
        <f>2337.07+750/2+500/2</f>
        <v>2962.07</v>
      </c>
      <c r="M27" s="8">
        <f>SUMIF(Journal!$A:$A,HeadJournal!$A27,Journal!$P:$P)</f>
        <v>5276.3300000000008</v>
      </c>
      <c r="N27" s="8">
        <f>SUMIF(Journal!$A:$A,HeadJournal!$A27,Journal!Q:Q)</f>
        <v>10000</v>
      </c>
      <c r="O27" s="18">
        <f>SUMIF(Journal!$A:$A,HeadJournal!$A27,Journal!U:U)</f>
        <v>4723.6699999999992</v>
      </c>
      <c r="P27" s="22">
        <f t="shared" si="1"/>
        <v>0.8952567409544131</v>
      </c>
      <c r="R27" s="73">
        <f t="shared" si="2"/>
        <v>0.56138831346788387</v>
      </c>
    </row>
    <row r="28" spans="1:18" x14ac:dyDescent="0.25">
      <c r="A28" s="12" t="s">
        <v>144</v>
      </c>
      <c r="B28" s="12" t="s">
        <v>1333</v>
      </c>
      <c r="C28" s="12" t="s">
        <v>1751</v>
      </c>
      <c r="D28" s="12" t="s">
        <v>714</v>
      </c>
      <c r="E28" s="12" t="s">
        <v>1310</v>
      </c>
      <c r="F28" s="124">
        <v>1375252318</v>
      </c>
      <c r="G28" s="13">
        <v>44835</v>
      </c>
      <c r="H28" s="14">
        <v>69</v>
      </c>
      <c r="I28" s="14">
        <v>-0.2</v>
      </c>
      <c r="J28" s="8">
        <f>SUMIF(Journal!$A:$A,HeadJournal!$A28,Journal!$K:$K)+SUMIF(Journal!$A:$A,HeadJournal!$A28,Journal!$L:$L)+SUMIF(Journal!$A:$A,HeadJournal!$A28,Journal!$M:$M)</f>
        <v>61.079999999999991</v>
      </c>
      <c r="K28" s="14">
        <v>61.08</v>
      </c>
      <c r="L28" s="14">
        <f>2359.63+750/2+500/2</f>
        <v>2984.63</v>
      </c>
      <c r="M28" s="8">
        <f>SUMIF(Journal!$A:$A,HeadJournal!$A28,Journal!$P:$P)</f>
        <v>7199.1500000000015</v>
      </c>
      <c r="N28" s="8">
        <f>SUMIF(Journal!$A:$A,HeadJournal!$A28,Journal!Q:Q)</f>
        <v>10600</v>
      </c>
      <c r="O28" s="18">
        <f>SUMIF(Journal!$A:$A,HeadJournal!$A28,Journal!U:U)</f>
        <v>3400.8499999999985</v>
      </c>
      <c r="P28" s="22">
        <f t="shared" si="1"/>
        <v>0.47239604675551944</v>
      </c>
      <c r="R28" s="73">
        <f t="shared" si="2"/>
        <v>0.41458088802150245</v>
      </c>
    </row>
    <row r="29" spans="1:18" x14ac:dyDescent="0.25">
      <c r="A29" s="61" t="s">
        <v>138</v>
      </c>
      <c r="B29" s="12" t="s">
        <v>1334</v>
      </c>
      <c r="C29" s="12" t="s">
        <v>1737</v>
      </c>
      <c r="D29" s="12" t="s">
        <v>714</v>
      </c>
      <c r="E29" s="12" t="s">
        <v>1310</v>
      </c>
      <c r="F29" s="124">
        <v>1380248137</v>
      </c>
      <c r="G29" s="13">
        <v>44871</v>
      </c>
      <c r="H29" s="14">
        <v>69</v>
      </c>
      <c r="I29" s="14">
        <v>-13.32</v>
      </c>
      <c r="J29" s="8">
        <f>SUMIF(Journal!$A:$A,HeadJournal!$A29,Journal!$K:$K)+SUMIF(Journal!$A:$A,HeadJournal!$A29,Journal!$L:$L)+SUMIF(Journal!$A:$A,HeadJournal!$A29,Journal!$M:$M)</f>
        <v>81.410000000000011</v>
      </c>
      <c r="K29" s="14">
        <v>81.41</v>
      </c>
      <c r="L29" s="14">
        <f>2294.22+1000/3+500/3</f>
        <v>2794.22</v>
      </c>
      <c r="M29" s="8">
        <f>SUMIF(Journal!$A:$A,HeadJournal!$A29,Journal!$P:$P)</f>
        <v>8411.5099999999984</v>
      </c>
      <c r="N29" s="8">
        <f>SUMIF(Journal!$A:$A,HeadJournal!$A29,Journal!Q:Q)</f>
        <v>16000</v>
      </c>
      <c r="O29" s="18">
        <f>SUMIF(Journal!$A:$A,HeadJournal!$A29,Journal!U:U)</f>
        <v>7588.4900000000016</v>
      </c>
      <c r="P29" s="22">
        <f t="shared" si="1"/>
        <v>0.90215549883433566</v>
      </c>
      <c r="R29" s="73">
        <f t="shared" si="2"/>
        <v>0.33219005862205481</v>
      </c>
    </row>
    <row r="30" spans="1:18" x14ac:dyDescent="0.25">
      <c r="A30" s="60" t="s">
        <v>147</v>
      </c>
      <c r="B30" s="12" t="s">
        <v>1335</v>
      </c>
      <c r="C30" s="12" t="s">
        <v>1752</v>
      </c>
      <c r="D30" s="12" t="s">
        <v>714</v>
      </c>
      <c r="E30" s="12" t="s">
        <v>1307</v>
      </c>
      <c r="F30" s="124" t="s">
        <v>1336</v>
      </c>
      <c r="G30" s="13">
        <v>44871</v>
      </c>
      <c r="H30" s="14">
        <v>69</v>
      </c>
      <c r="I30" s="14">
        <v>-4.67</v>
      </c>
      <c r="J30" s="8">
        <f>SUMIF(Journal!$A:$A,HeadJournal!$A30,Journal!$K:$K)+SUMIF(Journal!$A:$A,HeadJournal!$A30,Journal!$L:$L)+SUMIF(Journal!$A:$A,HeadJournal!$A30,Journal!$M:$M)</f>
        <v>82.13000000000001</v>
      </c>
      <c r="K30" s="14">
        <v>82.13</v>
      </c>
      <c r="L30" s="14">
        <f>2295.13+700/2+530/2</f>
        <v>2910.13</v>
      </c>
      <c r="M30" s="8">
        <f>SUMIF(Journal!$A:$A,HeadJournal!$A30,Journal!$P:$P)</f>
        <v>8577.0999999999967</v>
      </c>
      <c r="N30" s="8">
        <f>SUMIF(Journal!$A:$A,HeadJournal!$A30,Journal!Q:Q)</f>
        <v>13400</v>
      </c>
      <c r="O30" s="18">
        <f>SUMIF(Journal!$A:$A,HeadJournal!$A30,Journal!U:U)</f>
        <v>4822.9000000000033</v>
      </c>
      <c r="P30" s="22">
        <f t="shared" si="1"/>
        <v>0.56229961175688814</v>
      </c>
      <c r="Q30" s="7" t="b">
        <f>J30=K30</f>
        <v>1</v>
      </c>
      <c r="R30" s="73">
        <f t="shared" si="2"/>
        <v>0.33929066934045321</v>
      </c>
    </row>
    <row r="31" spans="1:18" x14ac:dyDescent="0.25">
      <c r="A31" s="58" t="s">
        <v>151</v>
      </c>
      <c r="B31" s="12" t="s">
        <v>1337</v>
      </c>
      <c r="C31" s="12" t="s">
        <v>1751</v>
      </c>
      <c r="D31" s="12" t="s">
        <v>714</v>
      </c>
      <c r="E31" s="12" t="s">
        <v>1338</v>
      </c>
      <c r="F31" s="44" t="s">
        <v>1339</v>
      </c>
      <c r="G31" s="13">
        <v>44877</v>
      </c>
      <c r="H31" s="14">
        <v>69</v>
      </c>
      <c r="I31" s="14">
        <v>-9.41</v>
      </c>
      <c r="J31" s="8">
        <f>SUMIF(Journal!$A:$A,HeadJournal!$A31,Journal!$K:$K)+SUMIF(Journal!$A:$A,HeadJournal!$A31,Journal!$L:$L)+SUMIF(Journal!$A:$A,HeadJournal!$A31,Journal!$M:$M)</f>
        <v>90.680000000000021</v>
      </c>
      <c r="K31" s="14">
        <v>90.68</v>
      </c>
      <c r="L31" s="14">
        <f>40.41*77.59+2*77.59+5*77.59+900/2+500/2</f>
        <v>4378.5419000000002</v>
      </c>
      <c r="M31" s="8">
        <f>SUMIF(Journal!$A:$A,HeadJournal!$A31,Journal!$P:$P)</f>
        <v>10635.461899999998</v>
      </c>
      <c r="N31" s="8">
        <f>SUMIF(Journal!$A:$A,HeadJournal!$A31,Journal!Q:Q)</f>
        <v>20900.87</v>
      </c>
      <c r="O31" s="18">
        <f>SUMIF(Journal!$A:$A,HeadJournal!$A31,Journal!U:U)</f>
        <v>10265.408100000002</v>
      </c>
      <c r="P31" s="22">
        <f t="shared" si="1"/>
        <v>0.96520566727807133</v>
      </c>
      <c r="R31" s="73">
        <f t="shared" si="2"/>
        <v>0.41169268821319371</v>
      </c>
    </row>
    <row r="32" spans="1:18" x14ac:dyDescent="0.25">
      <c r="A32" s="12" t="s">
        <v>155</v>
      </c>
      <c r="B32" s="12"/>
      <c r="C32" s="12" t="s">
        <v>843</v>
      </c>
      <c r="D32" s="12" t="s">
        <v>714</v>
      </c>
      <c r="E32" s="12" t="s">
        <v>1340</v>
      </c>
      <c r="F32" s="12"/>
      <c r="G32" s="13">
        <v>44879</v>
      </c>
      <c r="H32" s="14">
        <v>1</v>
      </c>
      <c r="I32" s="14"/>
      <c r="J32" s="8">
        <f>SUMIF(Journal!$A:$A,HeadJournal!$A32,Journal!$K:$K)+SUMIF(Journal!$A:$A,HeadJournal!$A32,Journal!$L:$L)+SUMIF(Journal!$A:$A,HeadJournal!$A32,Journal!$M:$M)</f>
        <v>3048</v>
      </c>
      <c r="K32" s="14">
        <v>3048</v>
      </c>
      <c r="L32" s="14">
        <v>602</v>
      </c>
      <c r="M32" s="8">
        <f>SUMIF(Journal!$A:$A,HeadJournal!$A32,Journal!$P:$P)</f>
        <v>3649.9999999999995</v>
      </c>
      <c r="N32" s="8">
        <f>SUMIF(Journal!$A:$A,HeadJournal!$A32,Journal!Q:Q)</f>
        <v>4000</v>
      </c>
      <c r="O32" s="18">
        <f>SUMIF(Journal!$A:$A,HeadJournal!$A32,Journal!U:U)</f>
        <v>350</v>
      </c>
      <c r="P32" s="22">
        <f t="shared" si="1"/>
        <v>9.5890410958904118E-2</v>
      </c>
      <c r="Q32" s="7" t="b">
        <f>J32=K32</f>
        <v>1</v>
      </c>
      <c r="R32" s="73">
        <f t="shared" si="2"/>
        <v>0.1649315068493151</v>
      </c>
    </row>
    <row r="33" spans="1:18" x14ac:dyDescent="0.25">
      <c r="A33" s="59" t="s">
        <v>161</v>
      </c>
      <c r="B33" s="12" t="s">
        <v>1341</v>
      </c>
      <c r="C33" s="12" t="s">
        <v>1735</v>
      </c>
      <c r="D33" s="12" t="s">
        <v>714</v>
      </c>
      <c r="E33" s="12" t="s">
        <v>1338</v>
      </c>
      <c r="F33" s="41" t="s">
        <v>1342</v>
      </c>
      <c r="G33" s="13">
        <v>44884</v>
      </c>
      <c r="H33" s="14">
        <v>69</v>
      </c>
      <c r="I33" s="14">
        <v>-3.5</v>
      </c>
      <c r="J33" s="8">
        <f>SUMIF(Journal!$A:$A,HeadJournal!$A33,Journal!$K:$K)+SUMIF(Journal!$A:$A,HeadJournal!$A33,Journal!$L:$L)+SUMIF(Journal!$A:$A,HeadJournal!$A33,Journal!$M:$M)</f>
        <v>68.759999999999991</v>
      </c>
      <c r="K33" s="14">
        <v>68.760000000000005</v>
      </c>
      <c r="L33" s="14">
        <f>34.13*77.59+900/2+500/2</f>
        <v>3348.1467000000002</v>
      </c>
      <c r="M33" s="8">
        <f>SUMIF(Journal!$A:$A,HeadJournal!$A33,Journal!$P:$P)</f>
        <v>8092.5867000000017</v>
      </c>
      <c r="N33" s="8">
        <f>SUMIF(Journal!$A:$A,HeadJournal!$A33,Journal!Q:Q)</f>
        <v>16400</v>
      </c>
      <c r="O33" s="18">
        <f>SUMIF(Journal!$A:$A,HeadJournal!$A33,Journal!U:U)</f>
        <v>8307.4132999999983</v>
      </c>
      <c r="P33" s="22">
        <f t="shared" si="1"/>
        <v>1.0265460980479821</v>
      </c>
      <c r="R33" s="73">
        <f t="shared" si="2"/>
        <v>0.41373009942544076</v>
      </c>
    </row>
    <row r="34" spans="1:18" x14ac:dyDescent="0.25">
      <c r="A34" s="58" t="s">
        <v>167</v>
      </c>
      <c r="B34" s="12" t="s">
        <v>1343</v>
      </c>
      <c r="C34" s="12" t="s">
        <v>1751</v>
      </c>
      <c r="D34" s="12" t="s">
        <v>714</v>
      </c>
      <c r="E34" s="12" t="s">
        <v>1338</v>
      </c>
      <c r="F34" s="41" t="s">
        <v>1344</v>
      </c>
      <c r="G34" s="13">
        <v>44885</v>
      </c>
      <c r="H34" s="14">
        <v>69</v>
      </c>
      <c r="I34" s="14">
        <v>-0.1</v>
      </c>
      <c r="J34" s="8">
        <f>SUMIF(Journal!$A:$A,HeadJournal!$A34,Journal!$K:$K)+SUMIF(Journal!$A:$A,HeadJournal!$A34,Journal!$L:$L)+SUMIF(Journal!$A:$A,HeadJournal!$A34,Journal!$M:$M)</f>
        <v>61.460000000000015</v>
      </c>
      <c r="K34" s="14">
        <v>61.46</v>
      </c>
      <c r="L34" s="14">
        <f>24.91*77.59+700/2+530/2</f>
        <v>2547.7669000000001</v>
      </c>
      <c r="M34" s="8">
        <f>SUMIF(Journal!$A:$A,HeadJournal!$A34,Journal!$P:$P)</f>
        <v>6788.5068999999994</v>
      </c>
      <c r="N34" s="8">
        <f>SUMIF(Journal!$A:$A,HeadJournal!$A34,Journal!Q:Q)</f>
        <v>14000</v>
      </c>
      <c r="O34" s="18">
        <f>SUMIF(Journal!$A:$A,HeadJournal!$A34,Journal!U:U)</f>
        <v>7211.4931000000006</v>
      </c>
      <c r="P34" s="22">
        <f t="shared" si="1"/>
        <v>1.062309165510313</v>
      </c>
      <c r="R34" s="73">
        <f t="shared" si="2"/>
        <v>0.37530593067527124</v>
      </c>
    </row>
    <row r="35" spans="1:18" x14ac:dyDescent="0.25">
      <c r="A35" s="12" t="s">
        <v>171</v>
      </c>
      <c r="B35" s="12"/>
      <c r="C35" s="12" t="s">
        <v>1326</v>
      </c>
      <c r="D35" s="12" t="s">
        <v>714</v>
      </c>
      <c r="E35" s="12" t="s">
        <v>1327</v>
      </c>
      <c r="F35" s="12"/>
      <c r="G35" s="13">
        <v>44880</v>
      </c>
      <c r="H35" s="14">
        <v>1.25</v>
      </c>
      <c r="I35" s="14"/>
      <c r="J35" s="8">
        <f>SUMIF(Journal!$A:$A,HeadJournal!$A35,Journal!$K:$K)+SUMIF(Journal!$A:$A,HeadJournal!$A35,Journal!$L:$L)+SUMIF(Journal!$A:$A,HeadJournal!$A35,Journal!$M:$M)</f>
        <v>3092</v>
      </c>
      <c r="K35" s="14">
        <f>3860/1.25</f>
        <v>3088</v>
      </c>
      <c r="L35" s="14">
        <v>0</v>
      </c>
      <c r="M35" s="8">
        <f>SUMIF(Journal!$A:$A,HeadJournal!$A35,Journal!$P:$P)</f>
        <v>3860.0000000000005</v>
      </c>
      <c r="N35" s="8">
        <f>SUMIF(Journal!$A:$A,HeadJournal!$A35,Journal!Q:Q)</f>
        <v>7444.49</v>
      </c>
      <c r="O35" s="18">
        <f>SUMIF(Journal!$A:$A,HeadJournal!$A35,Journal!U:U)</f>
        <v>3584.4900000000002</v>
      </c>
      <c r="P35" s="22">
        <f t="shared" si="1"/>
        <v>0.92862435233160612</v>
      </c>
      <c r="Q35" s="7" t="b">
        <f t="shared" ref="Q35:Q40" si="4">J35=K35</f>
        <v>0</v>
      </c>
      <c r="R35" s="73">
        <f t="shared" si="2"/>
        <v>0</v>
      </c>
    </row>
    <row r="36" spans="1:18" x14ac:dyDescent="0.25">
      <c r="A36" s="12" t="s">
        <v>173</v>
      </c>
      <c r="B36" s="12"/>
      <c r="C36" s="12" t="s">
        <v>1328</v>
      </c>
      <c r="D36" s="12" t="s">
        <v>714</v>
      </c>
      <c r="E36" s="12" t="s">
        <v>1329</v>
      </c>
      <c r="F36" s="12"/>
      <c r="G36" s="13">
        <v>44886</v>
      </c>
      <c r="H36" s="14">
        <v>1</v>
      </c>
      <c r="I36" s="14"/>
      <c r="J36" s="8">
        <f>SUMIF(Journal!$A:$A,HeadJournal!$A36,Journal!$K:$K)+SUMIF(Journal!$A:$A,HeadJournal!$A36,Journal!$L:$L)+SUMIF(Journal!$A:$A,HeadJournal!$A36,Journal!$M:$M)</f>
        <v>4672</v>
      </c>
      <c r="K36" s="14">
        <f>6019-505-815</f>
        <v>4699</v>
      </c>
      <c r="L36" s="14">
        <f>K36*0.15</f>
        <v>704.85</v>
      </c>
      <c r="M36" s="8">
        <f>SUMIF(Journal!$A:$A,HeadJournal!$A36,Journal!$P:$P)</f>
        <v>5403.8499999999995</v>
      </c>
      <c r="N36" s="8">
        <f>SUMIF(Journal!$A:$A,HeadJournal!$A36,Journal!Q:Q)</f>
        <v>6550</v>
      </c>
      <c r="O36" s="18">
        <f>SUMIF(Journal!$A:$A,HeadJournal!$A36,Journal!U:U)</f>
        <v>1146.1500000000001</v>
      </c>
      <c r="P36" s="22">
        <f t="shared" si="1"/>
        <v>0.2120987814243549</v>
      </c>
      <c r="Q36" s="7" t="b">
        <f t="shared" si="4"/>
        <v>0</v>
      </c>
      <c r="R36" s="73">
        <f t="shared" si="2"/>
        <v>0.13043478260869568</v>
      </c>
    </row>
    <row r="37" spans="1:18" x14ac:dyDescent="0.25">
      <c r="A37" s="12" t="s">
        <v>175</v>
      </c>
      <c r="B37" s="12"/>
      <c r="C37" s="12" t="s">
        <v>843</v>
      </c>
      <c r="D37" s="12" t="s">
        <v>714</v>
      </c>
      <c r="E37" s="12" t="s">
        <v>1340</v>
      </c>
      <c r="F37" s="12"/>
      <c r="G37" s="13">
        <v>44886</v>
      </c>
      <c r="H37" s="14">
        <v>1</v>
      </c>
      <c r="I37" s="14"/>
      <c r="J37" s="8">
        <f>SUMIF(Journal!$A:$A,HeadJournal!$A37,Journal!$K:$K)+SUMIF(Journal!$A:$A,HeadJournal!$A37,Journal!$L:$L)+SUMIF(Journal!$A:$A,HeadJournal!$A37,Journal!$M:$M)</f>
        <v>815</v>
      </c>
      <c r="K37" s="14">
        <v>815</v>
      </c>
      <c r="L37" s="14">
        <f>K37*0.15</f>
        <v>122.25</v>
      </c>
      <c r="M37" s="8">
        <f>SUMIF(Journal!$A:$A,HeadJournal!$A37,Journal!$P:$P)</f>
        <v>937.25</v>
      </c>
      <c r="N37" s="8">
        <f>SUMIF(Journal!$A:$A,HeadJournal!$A37,Journal!Q:Q)</f>
        <v>1300</v>
      </c>
      <c r="O37" s="18">
        <f>SUMIF(Journal!$A:$A,HeadJournal!$A37,Journal!U:U)</f>
        <v>362.75</v>
      </c>
      <c r="P37" s="22">
        <f t="shared" si="1"/>
        <v>0.38703654307815416</v>
      </c>
      <c r="Q37" s="7" t="b">
        <f t="shared" si="4"/>
        <v>1</v>
      </c>
      <c r="R37" s="73">
        <f t="shared" si="2"/>
        <v>0.13043478260869565</v>
      </c>
    </row>
    <row r="38" spans="1:18" x14ac:dyDescent="0.25">
      <c r="A38" s="12" t="s">
        <v>176</v>
      </c>
      <c r="B38" s="12"/>
      <c r="C38" s="12" t="s">
        <v>1328</v>
      </c>
      <c r="D38" s="12" t="s">
        <v>714</v>
      </c>
      <c r="E38" s="12" t="s">
        <v>1329</v>
      </c>
      <c r="F38" s="12"/>
      <c r="G38" s="13">
        <v>44886</v>
      </c>
      <c r="H38" s="14">
        <v>1</v>
      </c>
      <c r="I38" s="14"/>
      <c r="J38" s="8">
        <f>SUMIF(Journal!$A:$A,HeadJournal!$A38,Journal!$K:$K)+SUMIF(Journal!$A:$A,HeadJournal!$A38,Journal!$L:$L)+SUMIF(Journal!$A:$A,HeadJournal!$A38,Journal!$M:$M)</f>
        <v>4245</v>
      </c>
      <c r="K38" s="14">
        <v>4245</v>
      </c>
      <c r="L38" s="14">
        <f>K38*0.15</f>
        <v>636.75</v>
      </c>
      <c r="M38" s="8">
        <f>SUMIF(Journal!$A:$A,HeadJournal!$A38,Journal!$P:$P)</f>
        <v>4881.75</v>
      </c>
      <c r="N38" s="8">
        <f>SUMIF(Journal!$A:$A,HeadJournal!$A38,Journal!Q:Q)</f>
        <v>8700</v>
      </c>
      <c r="O38" s="18">
        <f>SUMIF(Journal!$A:$A,HeadJournal!$A38,Journal!U:U)</f>
        <v>3818.25</v>
      </c>
      <c r="P38" s="22">
        <f t="shared" si="1"/>
        <v>0.78214779536027035</v>
      </c>
      <c r="Q38" s="7" t="b">
        <f t="shared" si="4"/>
        <v>1</v>
      </c>
      <c r="R38" s="73">
        <f t="shared" si="2"/>
        <v>0.13043478260869565</v>
      </c>
    </row>
    <row r="39" spans="1:18" x14ac:dyDescent="0.25">
      <c r="A39" s="60" t="s">
        <v>179</v>
      </c>
      <c r="B39" s="12" t="s">
        <v>1345</v>
      </c>
      <c r="C39" s="12" t="s">
        <v>1752</v>
      </c>
      <c r="D39" s="12" t="s">
        <v>714</v>
      </c>
      <c r="E39" s="12" t="s">
        <v>1307</v>
      </c>
      <c r="F39" s="41" t="s">
        <v>1346</v>
      </c>
      <c r="G39" s="13">
        <v>44887</v>
      </c>
      <c r="H39" s="14">
        <v>69</v>
      </c>
      <c r="I39" s="14"/>
      <c r="J39" s="8">
        <f>SUMIF(Journal!$A:$A,HeadJournal!$A39,Journal!$K:$K)+SUMIF(Journal!$A:$A,HeadJournal!$A39,Journal!$L:$L)+SUMIF(Journal!$A:$A,HeadJournal!$A39,Journal!$M:$M)</f>
        <v>120.11999999999999</v>
      </c>
      <c r="K39" s="14">
        <v>120.12</v>
      </c>
      <c r="L39" s="14">
        <f>2323.62+1000/4+530/4</f>
        <v>2706.12</v>
      </c>
      <c r="M39" s="8">
        <f>SUMIF(Journal!$A:$A,HeadJournal!$A39,Journal!$P:$P)</f>
        <v>10994.400000000003</v>
      </c>
      <c r="N39" s="8">
        <f>SUMIF(Journal!$A:$A,HeadJournal!$A39,Journal!Q:Q)</f>
        <v>16000</v>
      </c>
      <c r="O39" s="18">
        <f>SUMIF(Journal!$A:$A,HeadJournal!$A39,Journal!U:U)</f>
        <v>5005.5999999999995</v>
      </c>
      <c r="P39" s="22">
        <f t="shared" si="1"/>
        <v>0.45528632758495213</v>
      </c>
      <c r="Q39" s="7" t="b">
        <f t="shared" si="4"/>
        <v>1</v>
      </c>
      <c r="R39" s="73">
        <f t="shared" si="2"/>
        <v>0.24613621480026188</v>
      </c>
    </row>
    <row r="40" spans="1:18" x14ac:dyDescent="0.25">
      <c r="A40" s="12" t="s">
        <v>191</v>
      </c>
      <c r="B40" s="12"/>
      <c r="C40" s="12" t="s">
        <v>1330</v>
      </c>
      <c r="D40" s="12" t="s">
        <v>714</v>
      </c>
      <c r="E40" s="12" t="s">
        <v>1331</v>
      </c>
      <c r="F40" s="12"/>
      <c r="G40" s="13">
        <v>44888</v>
      </c>
      <c r="H40" s="14">
        <v>1.25</v>
      </c>
      <c r="I40" s="14"/>
      <c r="J40" s="8">
        <f>SUMIF(Journal!$A:$A,HeadJournal!$A40,Journal!$K:$K)+SUMIF(Journal!$A:$A,HeadJournal!$A40,Journal!$L:$L)+SUMIF(Journal!$A:$A,HeadJournal!$A40,Journal!$M:$M)</f>
        <v>11839.999999999991</v>
      </c>
      <c r="K40" s="14">
        <f>14800/1.25</f>
        <v>11840</v>
      </c>
      <c r="L40" s="14">
        <v>0</v>
      </c>
      <c r="M40" s="8">
        <f>SUMIF(Journal!$A:$A,HeadJournal!$A40,Journal!$P:$P)</f>
        <v>14800.000000000005</v>
      </c>
      <c r="N40" s="8">
        <f>SUMIF(Journal!$A:$A,HeadJournal!$A40,Journal!Q:Q)</f>
        <v>35300</v>
      </c>
      <c r="O40" s="18">
        <f>SUMIF(Journal!$A:$A,HeadJournal!$A40,Journal!U:U)</f>
        <v>20500.000000000004</v>
      </c>
      <c r="P40" s="22">
        <f t="shared" si="1"/>
        <v>1.3851351351351349</v>
      </c>
      <c r="Q40" s="7" t="b">
        <f t="shared" si="4"/>
        <v>1</v>
      </c>
      <c r="R40" s="73">
        <f t="shared" si="2"/>
        <v>0</v>
      </c>
    </row>
    <row r="41" spans="1:18" x14ac:dyDescent="0.25">
      <c r="A41" s="61" t="s">
        <v>192</v>
      </c>
      <c r="B41" s="12" t="s">
        <v>1347</v>
      </c>
      <c r="C41" s="12" t="s">
        <v>1737</v>
      </c>
      <c r="D41" s="12" t="s">
        <v>714</v>
      </c>
      <c r="E41" s="12" t="s">
        <v>1348</v>
      </c>
      <c r="F41" s="124" t="s">
        <v>1349</v>
      </c>
      <c r="G41" s="13">
        <v>44890</v>
      </c>
      <c r="H41" s="14">
        <v>69</v>
      </c>
      <c r="I41" s="14"/>
      <c r="J41" s="8">
        <f>SUMIF(Journal!$A:$A,HeadJournal!$A41,Journal!$K:$K)+SUMIF(Journal!$A:$A,HeadJournal!$A41,Journal!$L:$L)+SUMIF(Journal!$A:$A,HeadJournal!$A41,Journal!$M:$M)</f>
        <v>148.09</v>
      </c>
      <c r="K41" s="14">
        <v>148.09</v>
      </c>
      <c r="L41" s="14">
        <f>37.71*77.59+1000/4+530/4</f>
        <v>3308.4189000000001</v>
      </c>
      <c r="M41" s="8">
        <f>SUMIF(Journal!$A:$A,HeadJournal!$A41,Journal!$P:$P)</f>
        <v>13526.628899999996</v>
      </c>
      <c r="N41" s="8">
        <f>SUMIF(Journal!$A:$A,HeadJournal!$A41,Journal!Q:Q)</f>
        <v>25109.239999999998</v>
      </c>
      <c r="O41" s="18">
        <f>SUMIF(Journal!$A:$A,HeadJournal!$A41,Journal!U:U)</f>
        <v>11582.611100000002</v>
      </c>
      <c r="P41" s="22">
        <f t="shared" si="1"/>
        <v>0.85628216650491573</v>
      </c>
      <c r="R41" s="73">
        <f t="shared" si="2"/>
        <v>0.24458561881593432</v>
      </c>
    </row>
    <row r="42" spans="1:18" x14ac:dyDescent="0.25">
      <c r="A42" s="58" t="s">
        <v>202</v>
      </c>
      <c r="B42" s="12" t="s">
        <v>1350</v>
      </c>
      <c r="C42" s="12" t="s">
        <v>1751</v>
      </c>
      <c r="D42" s="12" t="s">
        <v>714</v>
      </c>
      <c r="E42" s="12" t="s">
        <v>1307</v>
      </c>
      <c r="F42" s="124" t="s">
        <v>1351</v>
      </c>
      <c r="G42" s="13">
        <v>44892</v>
      </c>
      <c r="H42" s="14">
        <v>69</v>
      </c>
      <c r="I42" s="14"/>
      <c r="J42" s="8">
        <f>SUMIF(Journal!$A:$A,HeadJournal!$A42,Journal!$K:$K)+SUMIF(Journal!$A:$A,HeadJournal!$A42,Journal!$L:$L)+SUMIF(Journal!$A:$A,HeadJournal!$A42,Journal!$M:$M)</f>
        <v>84.94</v>
      </c>
      <c r="K42" s="14">
        <v>84.94</v>
      </c>
      <c r="L42" s="14">
        <f>2347.45+1000/4+530/4</f>
        <v>2729.95</v>
      </c>
      <c r="M42" s="8">
        <f>SUMIF(Journal!$A:$A,HeadJournal!$A42,Journal!$P:$P)</f>
        <v>8590.81</v>
      </c>
      <c r="N42" s="8">
        <f>SUMIF(Journal!$A:$A,HeadJournal!$A42,Journal!Q:Q)</f>
        <v>12500</v>
      </c>
      <c r="O42" s="18">
        <f>SUMIF(Journal!$A:$A,HeadJournal!$A42,Journal!U:U)</f>
        <v>3909.1900000000005</v>
      </c>
      <c r="P42" s="22">
        <f t="shared" si="1"/>
        <v>0.45504323806486241</v>
      </c>
      <c r="R42" s="73">
        <f t="shared" si="2"/>
        <v>0.31777562302041368</v>
      </c>
    </row>
    <row r="43" spans="1:18" x14ac:dyDescent="0.25">
      <c r="A43" s="12" t="s">
        <v>208</v>
      </c>
      <c r="B43" s="12"/>
      <c r="C43" s="12" t="s">
        <v>1326</v>
      </c>
      <c r="D43" s="12" t="s">
        <v>714</v>
      </c>
      <c r="E43" s="12" t="s">
        <v>1327</v>
      </c>
      <c r="F43" s="12"/>
      <c r="G43" s="13">
        <v>44891</v>
      </c>
      <c r="H43" s="14">
        <v>1</v>
      </c>
      <c r="I43" s="14"/>
      <c r="J43" s="8">
        <f>SUMIF(Journal!$A:$A,HeadJournal!$A43,Journal!$K:$K)+SUMIF(Journal!$A:$A,HeadJournal!$A43,Journal!$L:$L)+SUMIF(Journal!$A:$A,HeadJournal!$A43,Journal!$M:$M)</f>
        <v>440</v>
      </c>
      <c r="K43" s="14">
        <v>440</v>
      </c>
      <c r="L43" s="14">
        <v>0</v>
      </c>
      <c r="M43" s="8">
        <f>SUMIF(Journal!$A:$A,HeadJournal!$A43,Journal!$P:$P)</f>
        <v>440</v>
      </c>
      <c r="N43" s="8">
        <f>SUMIF(Journal!$A:$A,HeadJournal!$A43,Journal!Q:Q)</f>
        <v>1000</v>
      </c>
      <c r="O43" s="18">
        <f>SUMIF(Journal!$A:$A,HeadJournal!$A43,Journal!U:U)</f>
        <v>560</v>
      </c>
      <c r="P43" s="22">
        <f t="shared" si="1"/>
        <v>1.2727272727272727</v>
      </c>
      <c r="Q43" s="7" t="b">
        <f>J43=K43</f>
        <v>1</v>
      </c>
      <c r="R43" s="73">
        <f t="shared" si="2"/>
        <v>0</v>
      </c>
    </row>
    <row r="44" spans="1:18" x14ac:dyDescent="0.25">
      <c r="A44" s="59" t="s">
        <v>209</v>
      </c>
      <c r="B44" s="12" t="s">
        <v>1352</v>
      </c>
      <c r="C44" s="12" t="s">
        <v>1735</v>
      </c>
      <c r="D44" s="12" t="s">
        <v>714</v>
      </c>
      <c r="E44" s="12" t="s">
        <v>1338</v>
      </c>
      <c r="F44" s="124" t="s">
        <v>1353</v>
      </c>
      <c r="G44" s="13">
        <v>44892</v>
      </c>
      <c r="H44" s="14">
        <v>69</v>
      </c>
      <c r="I44" s="14"/>
      <c r="J44" s="8">
        <f>SUMIF(Journal!$A:$A,HeadJournal!$A44,Journal!$K:$K)+SUMIF(Journal!$A:$A,HeadJournal!$A44,Journal!$L:$L)+SUMIF(Journal!$A:$A,HeadJournal!$A44,Journal!$M:$M)</f>
        <v>126.02000000000001</v>
      </c>
      <c r="K44" s="14">
        <v>126.02</v>
      </c>
      <c r="L44" s="14">
        <f>34.13*77.59+1000/4+530/4</f>
        <v>3030.6467000000002</v>
      </c>
      <c r="M44" s="8">
        <f>SUMIF(Journal!$A:$A,HeadJournal!$A44,Journal!$P:$P)</f>
        <v>11726.0267</v>
      </c>
      <c r="N44" s="8">
        <f>SUMIF(Journal!$A:$A,HeadJournal!$A44,Journal!Q:Q)</f>
        <v>24600</v>
      </c>
      <c r="O44" s="18">
        <f>SUMIF(Journal!$A:$A,HeadJournal!$A44,Journal!U:U)</f>
        <v>12873.9733</v>
      </c>
      <c r="P44" s="22">
        <f t="shared" si="1"/>
        <v>1.0978973210081466</v>
      </c>
      <c r="R44" s="73">
        <f t="shared" si="2"/>
        <v>0.25845469889643014</v>
      </c>
    </row>
    <row r="45" spans="1:18" x14ac:dyDescent="0.25">
      <c r="A45" s="12" t="s">
        <v>213</v>
      </c>
      <c r="B45" s="12"/>
      <c r="C45" s="12" t="s">
        <v>1328</v>
      </c>
      <c r="D45" s="12" t="s">
        <v>714</v>
      </c>
      <c r="E45" s="12" t="s">
        <v>1354</v>
      </c>
      <c r="F45" s="12"/>
      <c r="G45" s="13">
        <v>44882</v>
      </c>
      <c r="H45" s="14">
        <v>1</v>
      </c>
      <c r="I45" s="14"/>
      <c r="J45" s="8">
        <f>SUMIF(Journal!$A:$A,HeadJournal!$A45,Journal!$K:$K)+SUMIF(Journal!$A:$A,HeadJournal!$A45,Journal!$L:$L)+SUMIF(Journal!$A:$A,HeadJournal!$A45,Journal!$M:$M)</f>
        <v>946</v>
      </c>
      <c r="K45" s="14">
        <v>946</v>
      </c>
      <c r="L45" s="14">
        <f t="shared" ref="L45:L51" si="5">K45*0.15</f>
        <v>141.9</v>
      </c>
      <c r="M45" s="8">
        <f>SUMIF(Journal!$A:$A,HeadJournal!$A45,Journal!$P:$P)</f>
        <v>1087.9000000000001</v>
      </c>
      <c r="N45" s="8">
        <f>SUMIF(Journal!$A:$A,HeadJournal!$A45,Journal!Q:Q)</f>
        <v>2000</v>
      </c>
      <c r="O45" s="18">
        <f>SUMIF(Journal!$A:$A,HeadJournal!$A45,Journal!U:U)</f>
        <v>912.09999999999991</v>
      </c>
      <c r="P45" s="22">
        <f t="shared" si="1"/>
        <v>0.8384042650978949</v>
      </c>
      <c r="Q45" s="7" t="b">
        <f t="shared" ref="Q45:Q68" si="6">J45=K45</f>
        <v>1</v>
      </c>
      <c r="R45" s="73">
        <f t="shared" si="2"/>
        <v>0.13043478260869565</v>
      </c>
    </row>
    <row r="46" spans="1:18" x14ac:dyDescent="0.25">
      <c r="A46" s="12" t="s">
        <v>215</v>
      </c>
      <c r="B46" s="12"/>
      <c r="C46" s="12" t="s">
        <v>1328</v>
      </c>
      <c r="D46" s="12" t="s">
        <v>714</v>
      </c>
      <c r="E46" s="12" t="s">
        <v>1354</v>
      </c>
      <c r="F46" s="12"/>
      <c r="G46" s="13">
        <v>44884</v>
      </c>
      <c r="H46" s="14">
        <v>1</v>
      </c>
      <c r="I46" s="14"/>
      <c r="J46" s="8">
        <f>SUMIF(Journal!$A:$A,HeadJournal!$A46,Journal!$K:$K)+SUMIF(Journal!$A:$A,HeadJournal!$A46,Journal!$L:$L)+SUMIF(Journal!$A:$A,HeadJournal!$A46,Journal!$M:$M)</f>
        <v>912</v>
      </c>
      <c r="K46" s="14">
        <v>912</v>
      </c>
      <c r="L46" s="14">
        <f t="shared" si="5"/>
        <v>136.79999999999998</v>
      </c>
      <c r="M46" s="8">
        <f>SUMIF(Journal!$A:$A,HeadJournal!$A46,Journal!$P:$P)</f>
        <v>1048.8</v>
      </c>
      <c r="N46" s="8">
        <f>SUMIF(Journal!$A:$A,HeadJournal!$A46,Journal!Q:Q)</f>
        <v>1400</v>
      </c>
      <c r="O46" s="18">
        <f>SUMIF(Journal!$A:$A,HeadJournal!$A46,Journal!U:U)</f>
        <v>351.2</v>
      </c>
      <c r="P46" s="22">
        <f t="shared" si="1"/>
        <v>0.33485888634630051</v>
      </c>
      <c r="Q46" s="7" t="b">
        <f t="shared" si="6"/>
        <v>1</v>
      </c>
      <c r="R46" s="73">
        <f t="shared" si="2"/>
        <v>0.13043478260869565</v>
      </c>
    </row>
    <row r="47" spans="1:18" x14ac:dyDescent="0.25">
      <c r="A47" s="12" t="s">
        <v>218</v>
      </c>
      <c r="B47" s="12"/>
      <c r="C47" s="12" t="s">
        <v>1328</v>
      </c>
      <c r="D47" s="12" t="s">
        <v>714</v>
      </c>
      <c r="E47" s="12" t="s">
        <v>1354</v>
      </c>
      <c r="F47" s="12"/>
      <c r="G47" s="13">
        <v>44884</v>
      </c>
      <c r="H47" s="14">
        <v>1</v>
      </c>
      <c r="I47" s="14"/>
      <c r="J47" s="8">
        <f>SUMIF(Journal!$A:$A,HeadJournal!$A47,Journal!$K:$K)+SUMIF(Journal!$A:$A,HeadJournal!$A47,Journal!$L:$L)+SUMIF(Journal!$A:$A,HeadJournal!$A47,Journal!$M:$M)</f>
        <v>668</v>
      </c>
      <c r="K47" s="14">
        <v>668</v>
      </c>
      <c r="L47" s="14">
        <f t="shared" si="5"/>
        <v>100.2</v>
      </c>
      <c r="M47" s="8">
        <f>SUMIF(Journal!$A:$A,HeadJournal!$A47,Journal!$P:$P)</f>
        <v>768.2</v>
      </c>
      <c r="N47" s="8">
        <f>SUMIF(Journal!$A:$A,HeadJournal!$A47,Journal!Q:Q)</f>
        <v>0</v>
      </c>
      <c r="O47" s="18">
        <f>SUMIF(Journal!$A:$A,HeadJournal!$A47,Journal!U:U)</f>
        <v>-768.2</v>
      </c>
      <c r="P47" s="22" t="str">
        <f t="shared" si="1"/>
        <v/>
      </c>
      <c r="Q47" s="7" t="b">
        <f t="shared" si="6"/>
        <v>1</v>
      </c>
      <c r="R47" s="73">
        <f t="shared" si="2"/>
        <v>0.13043478260869565</v>
      </c>
    </row>
    <row r="48" spans="1:18" x14ac:dyDescent="0.25">
      <c r="A48" s="12" t="s">
        <v>220</v>
      </c>
      <c r="B48" s="12"/>
      <c r="C48" s="12" t="s">
        <v>1328</v>
      </c>
      <c r="D48" s="12" t="s">
        <v>714</v>
      </c>
      <c r="E48" s="12" t="s">
        <v>1354</v>
      </c>
      <c r="F48" s="12"/>
      <c r="G48" s="13">
        <v>44887</v>
      </c>
      <c r="H48" s="14">
        <v>1</v>
      </c>
      <c r="I48" s="14"/>
      <c r="J48" s="8">
        <f>SUMIF(Journal!$A:$A,HeadJournal!$A48,Journal!$K:$K)+SUMIF(Journal!$A:$A,HeadJournal!$A48,Journal!$L:$L)+SUMIF(Journal!$A:$A,HeadJournal!$A48,Journal!$M:$M)</f>
        <v>2092</v>
      </c>
      <c r="K48" s="14">
        <f>1281+811</f>
        <v>2092</v>
      </c>
      <c r="L48" s="14">
        <f t="shared" si="5"/>
        <v>313.8</v>
      </c>
      <c r="M48" s="8">
        <f>SUMIF(Journal!$A:$A,HeadJournal!$A48,Journal!$P:$P)</f>
        <v>2405.8000000000002</v>
      </c>
      <c r="N48" s="8">
        <f>SUMIF(Journal!$A:$A,HeadJournal!$A48,Journal!Q:Q)</f>
        <v>3991.05</v>
      </c>
      <c r="O48" s="18">
        <f>SUMIF(Journal!$A:$A,HeadJournal!$A48,Journal!U:U)</f>
        <v>1585.25</v>
      </c>
      <c r="P48" s="22">
        <f t="shared" si="1"/>
        <v>0.65892842297780363</v>
      </c>
      <c r="Q48" s="7" t="b">
        <f t="shared" si="6"/>
        <v>1</v>
      </c>
      <c r="R48" s="73">
        <f t="shared" si="2"/>
        <v>0.13043478260869565</v>
      </c>
    </row>
    <row r="49" spans="1:20" x14ac:dyDescent="0.25">
      <c r="A49" s="12" t="s">
        <v>222</v>
      </c>
      <c r="B49" s="12"/>
      <c r="C49" s="12" t="s">
        <v>1328</v>
      </c>
      <c r="D49" s="12" t="s">
        <v>714</v>
      </c>
      <c r="E49" s="12" t="s">
        <v>1354</v>
      </c>
      <c r="F49" s="12"/>
      <c r="G49" s="13">
        <v>44891</v>
      </c>
      <c r="H49" s="14">
        <v>1</v>
      </c>
      <c r="I49" s="14"/>
      <c r="J49" s="8">
        <f>SUMIF(Journal!$A:$A,HeadJournal!$A49,Journal!$K:$K)+SUMIF(Journal!$A:$A,HeadJournal!$A49,Journal!$L:$L)+SUMIF(Journal!$A:$A,HeadJournal!$A49,Journal!$M:$M)</f>
        <v>1206</v>
      </c>
      <c r="K49" s="14">
        <v>1206</v>
      </c>
      <c r="L49" s="14">
        <f t="shared" si="5"/>
        <v>180.9</v>
      </c>
      <c r="M49" s="8">
        <f>SUMIF(Journal!$A:$A,HeadJournal!$A49,Journal!$P:$P)</f>
        <v>1386.9</v>
      </c>
      <c r="N49" s="8">
        <f>SUMIF(Journal!$A:$A,HeadJournal!$A49,Journal!Q:Q)</f>
        <v>3350</v>
      </c>
      <c r="O49" s="18">
        <f>SUMIF(Journal!$A:$A,HeadJournal!$A49,Journal!U:U)</f>
        <v>1963.1</v>
      </c>
      <c r="P49" s="22">
        <f t="shared" si="1"/>
        <v>1.4154589371980675</v>
      </c>
      <c r="Q49" s="7" t="b">
        <f t="shared" si="6"/>
        <v>1</v>
      </c>
      <c r="R49" s="73">
        <f t="shared" si="2"/>
        <v>0.13043478260869565</v>
      </c>
    </row>
    <row r="50" spans="1:20" x14ac:dyDescent="0.25">
      <c r="A50" s="12" t="s">
        <v>223</v>
      </c>
      <c r="B50" s="12"/>
      <c r="C50" s="12" t="s">
        <v>1328</v>
      </c>
      <c r="D50" s="12" t="s">
        <v>714</v>
      </c>
      <c r="E50" s="12" t="s">
        <v>1354</v>
      </c>
      <c r="F50" s="12"/>
      <c r="G50" s="13">
        <v>44891</v>
      </c>
      <c r="H50" s="14">
        <v>1</v>
      </c>
      <c r="I50" s="14"/>
      <c r="J50" s="8">
        <f>SUMIF(Journal!$A:$A,HeadJournal!$A50,Journal!$K:$K)+SUMIF(Journal!$A:$A,HeadJournal!$A50,Journal!$L:$L)+SUMIF(Journal!$A:$A,HeadJournal!$A50,Journal!$M:$M)</f>
        <v>800</v>
      </c>
      <c r="K50" s="14">
        <v>800</v>
      </c>
      <c r="L50" s="14">
        <f t="shared" si="5"/>
        <v>120</v>
      </c>
      <c r="M50" s="8">
        <f>SUMIF(Journal!$A:$A,HeadJournal!$A50,Journal!$P:$P)</f>
        <v>920</v>
      </c>
      <c r="N50" s="8">
        <f>SUMIF(Journal!$A:$A,HeadJournal!$A50,Journal!Q:Q)</f>
        <v>2000</v>
      </c>
      <c r="O50" s="18">
        <f>SUMIF(Journal!$A:$A,HeadJournal!$A50,Journal!U:U)</f>
        <v>1080</v>
      </c>
      <c r="P50" s="22">
        <f t="shared" si="1"/>
        <v>1.173913043478261</v>
      </c>
      <c r="Q50" s="7" t="b">
        <f t="shared" si="6"/>
        <v>1</v>
      </c>
      <c r="R50" s="73">
        <f t="shared" si="2"/>
        <v>0.13043478260869565</v>
      </c>
    </row>
    <row r="51" spans="1:20" x14ac:dyDescent="0.25">
      <c r="A51" s="12" t="s">
        <v>226</v>
      </c>
      <c r="B51" s="12"/>
      <c r="C51" s="12" t="s">
        <v>1328</v>
      </c>
      <c r="D51" s="12" t="s">
        <v>714</v>
      </c>
      <c r="E51" s="12" t="s">
        <v>1354</v>
      </c>
      <c r="F51" s="12"/>
      <c r="G51" s="13">
        <v>44892</v>
      </c>
      <c r="H51" s="14">
        <v>1</v>
      </c>
      <c r="I51" s="14"/>
      <c r="J51" s="8">
        <f>SUMIF(Journal!$A:$A,HeadJournal!$A51,Journal!$K:$K)+SUMIF(Journal!$A:$A,HeadJournal!$A51,Journal!$L:$L)+SUMIF(Journal!$A:$A,HeadJournal!$A51,Journal!$M:$M)</f>
        <v>678</v>
      </c>
      <c r="K51" s="14">
        <v>678</v>
      </c>
      <c r="L51" s="14">
        <f t="shared" si="5"/>
        <v>101.7</v>
      </c>
      <c r="M51" s="8">
        <f>SUMIF(Journal!$A:$A,HeadJournal!$A51,Journal!$P:$P)</f>
        <v>779.7</v>
      </c>
      <c r="N51" s="8">
        <f>SUMIF(Journal!$A:$A,HeadJournal!$A51,Journal!Q:Q)</f>
        <v>1400</v>
      </c>
      <c r="O51" s="18">
        <f>SUMIF(Journal!$A:$A,HeadJournal!$A51,Journal!U:U)</f>
        <v>620.29999999999995</v>
      </c>
      <c r="P51" s="22">
        <f t="shared" si="1"/>
        <v>0.79556239579325372</v>
      </c>
      <c r="Q51" s="7" t="b">
        <f t="shared" si="6"/>
        <v>1</v>
      </c>
      <c r="R51" s="73">
        <f t="shared" si="2"/>
        <v>0.13043478260869565</v>
      </c>
    </row>
    <row r="52" spans="1:20" x14ac:dyDescent="0.25">
      <c r="A52" s="60" t="s">
        <v>228</v>
      </c>
      <c r="B52" s="12" t="s">
        <v>1355</v>
      </c>
      <c r="C52" s="12" t="s">
        <v>1752</v>
      </c>
      <c r="D52" s="12" t="s">
        <v>714</v>
      </c>
      <c r="E52" s="12" t="s">
        <v>1348</v>
      </c>
      <c r="F52" s="124" t="s">
        <v>1356</v>
      </c>
      <c r="G52" s="13">
        <v>44893</v>
      </c>
      <c r="H52" s="14">
        <v>69</v>
      </c>
      <c r="I52" s="14"/>
      <c r="J52" s="8">
        <f>SUMIF(Journal!$A:$A,HeadJournal!$A52,Journal!$K:$K)+SUMIF(Journal!$A:$A,HeadJournal!$A52,Journal!$L:$L)+SUMIF(Journal!$A:$A,HeadJournal!$A52,Journal!$M:$M)</f>
        <v>74.890000000000015</v>
      </c>
      <c r="K52" s="14">
        <v>74.89</v>
      </c>
      <c r="L52" s="14">
        <f>25.91*77.59</f>
        <v>2010.3569</v>
      </c>
      <c r="M52" s="8">
        <f>SUMIF(Journal!$A:$A,HeadJournal!$A52,Journal!$P:$P)</f>
        <v>7177.7668999999978</v>
      </c>
      <c r="N52" s="56">
        <f>SUMIF(Journal!$A:$A,HeadJournal!$A52,Journal!Q:Q)</f>
        <v>7177.7668999999978</v>
      </c>
      <c r="O52" s="18">
        <f>SUMIF(Journal!$A:$A,HeadJournal!$A52,Journal!U:U)</f>
        <v>0</v>
      </c>
      <c r="P52" s="22">
        <f t="shared" si="1"/>
        <v>0</v>
      </c>
      <c r="Q52" s="7" t="b">
        <f t="shared" si="6"/>
        <v>1</v>
      </c>
      <c r="R52" s="73">
        <f t="shared" si="2"/>
        <v>0.28008110711982032</v>
      </c>
    </row>
    <row r="53" spans="1:20" x14ac:dyDescent="0.25">
      <c r="A53" s="12" t="s">
        <v>231</v>
      </c>
      <c r="B53" s="12"/>
      <c r="C53" s="12" t="s">
        <v>1328</v>
      </c>
      <c r="D53" s="12" t="s">
        <v>714</v>
      </c>
      <c r="E53" s="12" t="s">
        <v>1354</v>
      </c>
      <c r="F53" s="12"/>
      <c r="G53" s="13">
        <v>44894</v>
      </c>
      <c r="H53" s="14">
        <v>1</v>
      </c>
      <c r="I53" s="14"/>
      <c r="J53" s="8">
        <f>SUMIF(Journal!$A:$A,HeadJournal!$A53,Journal!$K:$K)+SUMIF(Journal!$A:$A,HeadJournal!$A53,Journal!$L:$L)+SUMIF(Journal!$A:$A,HeadJournal!$A53,Journal!$M:$M)</f>
        <v>1552</v>
      </c>
      <c r="K53" s="14">
        <v>1552</v>
      </c>
      <c r="L53" s="14">
        <f>K53*0.15</f>
        <v>232.79999999999998</v>
      </c>
      <c r="M53" s="8">
        <f>SUMIF(Journal!$A:$A,HeadJournal!$A53,Journal!$P:$P)</f>
        <v>1784.8000000000004</v>
      </c>
      <c r="N53" s="8">
        <f>SUMIF(Journal!$A:$A,HeadJournal!$A53,Journal!Q:Q)</f>
        <v>950</v>
      </c>
      <c r="O53" s="18">
        <f>SUMIF(Journal!$A:$A,HeadJournal!$A53,Journal!U:U)</f>
        <v>-834.8</v>
      </c>
      <c r="P53" s="22">
        <f t="shared" si="1"/>
        <v>-0.46772747646795143</v>
      </c>
      <c r="Q53" s="7" t="b">
        <f t="shared" si="6"/>
        <v>1</v>
      </c>
      <c r="R53" s="73">
        <f t="shared" si="2"/>
        <v>0.13043478260869562</v>
      </c>
    </row>
    <row r="54" spans="1:20" x14ac:dyDescent="0.25">
      <c r="A54" s="12" t="s">
        <v>234</v>
      </c>
      <c r="B54" s="12"/>
      <c r="C54" s="12" t="s">
        <v>1328</v>
      </c>
      <c r="D54" s="12" t="s">
        <v>714</v>
      </c>
      <c r="E54" s="12" t="s">
        <v>1354</v>
      </c>
      <c r="F54" s="12"/>
      <c r="G54" s="13">
        <v>44895</v>
      </c>
      <c r="H54" s="14">
        <v>1</v>
      </c>
      <c r="I54" s="14"/>
      <c r="J54" s="8">
        <f>SUMIF(Journal!$A:$A,HeadJournal!$A54,Journal!$K:$K)+SUMIF(Journal!$A:$A,HeadJournal!$A54,Journal!$L:$L)+SUMIF(Journal!$A:$A,HeadJournal!$A54,Journal!$M:$M)</f>
        <v>2040</v>
      </c>
      <c r="K54" s="14">
        <v>2040</v>
      </c>
      <c r="L54" s="14">
        <f>K54*0.15</f>
        <v>306</v>
      </c>
      <c r="M54" s="8">
        <f>SUMIF(Journal!$A:$A,HeadJournal!$A54,Journal!$P:$P)</f>
        <v>2346</v>
      </c>
      <c r="N54" s="8">
        <f>SUMIF(Journal!$A:$A,HeadJournal!$A54,Journal!Q:Q)</f>
        <v>4200</v>
      </c>
      <c r="O54" s="18">
        <f>SUMIF(Journal!$A:$A,HeadJournal!$A54,Journal!U:U)</f>
        <v>1854</v>
      </c>
      <c r="P54" s="22">
        <f t="shared" si="1"/>
        <v>0.79028132992327371</v>
      </c>
      <c r="Q54" s="7" t="b">
        <f t="shared" si="6"/>
        <v>1</v>
      </c>
      <c r="R54" s="73">
        <f t="shared" si="2"/>
        <v>0.13043478260869565</v>
      </c>
    </row>
    <row r="55" spans="1:20" x14ac:dyDescent="0.25">
      <c r="A55" s="12" t="s">
        <v>239</v>
      </c>
      <c r="B55" s="12"/>
      <c r="C55" s="12" t="s">
        <v>1328</v>
      </c>
      <c r="D55" s="12" t="s">
        <v>714</v>
      </c>
      <c r="E55" s="12" t="s">
        <v>1354</v>
      </c>
      <c r="F55" s="12"/>
      <c r="G55" s="13">
        <v>44898</v>
      </c>
      <c r="H55" s="14">
        <v>1</v>
      </c>
      <c r="I55" s="14"/>
      <c r="J55" s="8">
        <f>SUMIF(Journal!$A:$A,HeadJournal!$A55,Journal!$K:$K)+SUMIF(Journal!$A:$A,HeadJournal!$A55,Journal!$L:$L)+SUMIF(Journal!$A:$A,HeadJournal!$A55,Journal!$M:$M)</f>
        <v>1368</v>
      </c>
      <c r="K55" s="14">
        <f>696+672</f>
        <v>1368</v>
      </c>
      <c r="L55" s="14">
        <f>K55*0.15</f>
        <v>205.2</v>
      </c>
      <c r="M55" s="8">
        <f>SUMIF(Journal!$A:$A,HeadJournal!$A55,Journal!$P:$P)</f>
        <v>1573.1999999999998</v>
      </c>
      <c r="N55" s="8">
        <f>SUMIF(Journal!$A:$A,HeadJournal!$A55,Journal!Q:Q)</f>
        <v>0</v>
      </c>
      <c r="O55" s="18">
        <f>SUMIF(Journal!$A:$A,HeadJournal!$A55,Journal!U:U)</f>
        <v>-1573.1999999999998</v>
      </c>
      <c r="P55" s="22" t="str">
        <f t="shared" si="1"/>
        <v/>
      </c>
      <c r="Q55" s="7" t="b">
        <f t="shared" si="6"/>
        <v>1</v>
      </c>
      <c r="R55" s="73">
        <f t="shared" si="2"/>
        <v>0.13043478260869565</v>
      </c>
    </row>
    <row r="56" spans="1:20" x14ac:dyDescent="0.25">
      <c r="A56" s="12" t="s">
        <v>242</v>
      </c>
      <c r="B56" s="12"/>
      <c r="C56" s="12" t="s">
        <v>1328</v>
      </c>
      <c r="D56" s="12" t="s">
        <v>714</v>
      </c>
      <c r="E56" s="12" t="s">
        <v>1354</v>
      </c>
      <c r="F56" s="12"/>
      <c r="G56" s="13">
        <v>44903</v>
      </c>
      <c r="H56" s="14">
        <v>1</v>
      </c>
      <c r="I56" s="14"/>
      <c r="J56" s="8">
        <f>SUMIF(Journal!$A:$A,HeadJournal!$A56,Journal!$K:$K)+SUMIF(Journal!$A:$A,HeadJournal!$A56,Journal!$L:$L)+SUMIF(Journal!$A:$A,HeadJournal!$A56,Journal!$M:$M)</f>
        <v>658</v>
      </c>
      <c r="K56" s="14">
        <v>658</v>
      </c>
      <c r="L56" s="14">
        <f>K56*0.15</f>
        <v>98.7</v>
      </c>
      <c r="M56" s="8">
        <f>SUMIF(Journal!$A:$A,HeadJournal!$A56,Journal!$P:$P)</f>
        <v>756.7</v>
      </c>
      <c r="N56" s="8">
        <f>SUMIF(Journal!$A:$A,HeadJournal!$A56,Journal!Q:Q)</f>
        <v>1900</v>
      </c>
      <c r="O56" s="18">
        <f>SUMIF(Journal!$A:$A,HeadJournal!$A56,Journal!U:U)</f>
        <v>1143.3</v>
      </c>
      <c r="P56" s="22">
        <f t="shared" si="1"/>
        <v>1.5109026034095412</v>
      </c>
      <c r="Q56" s="7" t="b">
        <f t="shared" si="6"/>
        <v>1</v>
      </c>
      <c r="R56" s="73">
        <f t="shared" si="2"/>
        <v>0.13043478260869565</v>
      </c>
    </row>
    <row r="57" spans="1:20" x14ac:dyDescent="0.25">
      <c r="A57" s="12" t="s">
        <v>244</v>
      </c>
      <c r="B57" s="12"/>
      <c r="C57" s="12" t="s">
        <v>1328</v>
      </c>
      <c r="D57" s="12" t="s">
        <v>714</v>
      </c>
      <c r="E57" s="12" t="s">
        <v>1354</v>
      </c>
      <c r="F57" s="12"/>
      <c r="G57" s="13">
        <v>44909</v>
      </c>
      <c r="H57" s="14">
        <v>1</v>
      </c>
      <c r="I57" s="14"/>
      <c r="J57" s="8">
        <f>SUMIF(Journal!$A:$A,HeadJournal!$A57,Journal!$K:$K)+SUMIF(Journal!$A:$A,HeadJournal!$A57,Journal!$L:$L)+SUMIF(Journal!$A:$A,HeadJournal!$A57,Journal!$M:$M)</f>
        <v>1297</v>
      </c>
      <c r="K57" s="14">
        <v>1297</v>
      </c>
      <c r="L57" s="14">
        <f>K57*0.15</f>
        <v>194.54999999999998</v>
      </c>
      <c r="M57" s="8">
        <f>SUMIF(Journal!$A:$A,HeadJournal!$A57,Journal!$P:$P)</f>
        <v>1491.55</v>
      </c>
      <c r="N57" s="8">
        <f>SUMIF(Journal!$A:$A,HeadJournal!$A57,Journal!Q:Q)</f>
        <v>2000</v>
      </c>
      <c r="O57" s="18">
        <f>SUMIF(Journal!$A:$A,HeadJournal!$A57,Journal!U:U)</f>
        <v>508.45000000000005</v>
      </c>
      <c r="P57" s="22">
        <f t="shared" si="1"/>
        <v>0.34088699674834905</v>
      </c>
      <c r="Q57" s="7" t="b">
        <f t="shared" si="6"/>
        <v>1</v>
      </c>
      <c r="R57" s="73">
        <f t="shared" si="2"/>
        <v>0.13043478260869565</v>
      </c>
    </row>
    <row r="58" spans="1:20" x14ac:dyDescent="0.25">
      <c r="A58" s="12" t="s">
        <v>245</v>
      </c>
      <c r="B58" s="12"/>
      <c r="C58" s="12" t="s">
        <v>1357</v>
      </c>
      <c r="D58" s="12" t="s">
        <v>714</v>
      </c>
      <c r="E58" s="12" t="s">
        <v>1358</v>
      </c>
      <c r="F58" s="12"/>
      <c r="G58" s="13">
        <v>44906</v>
      </c>
      <c r="H58" s="14">
        <v>1</v>
      </c>
      <c r="I58" s="14"/>
      <c r="J58" s="8">
        <f>SUMIF(Journal!$A:$A,HeadJournal!$A58,Journal!$K:$K)+SUMIF(Journal!$A:$A,HeadJournal!$A58,Journal!$L:$L)+SUMIF(Journal!$A:$A,HeadJournal!$A58,Journal!$M:$M)</f>
        <v>2160</v>
      </c>
      <c r="K58" s="14">
        <f>2112-33</f>
        <v>2079</v>
      </c>
      <c r="L58" s="14">
        <v>0</v>
      </c>
      <c r="M58" s="8">
        <f>SUMIF(Journal!$A:$A,HeadJournal!$A58,Journal!$P:$P)</f>
        <v>2079</v>
      </c>
      <c r="N58" s="8">
        <f>SUMIF(Journal!$A:$A,HeadJournal!$A58,Journal!Q:Q)</f>
        <v>2750</v>
      </c>
      <c r="O58" s="18">
        <f>SUMIF(Journal!$A:$A,HeadJournal!$A58,Journal!U:U)</f>
        <v>671</v>
      </c>
      <c r="P58" s="22">
        <f t="shared" si="1"/>
        <v>0.32275132275132273</v>
      </c>
      <c r="Q58" s="7" t="b">
        <f t="shared" si="6"/>
        <v>0</v>
      </c>
      <c r="R58" s="73">
        <f t="shared" si="2"/>
        <v>0</v>
      </c>
      <c r="T58" s="9"/>
    </row>
    <row r="59" spans="1:20" x14ac:dyDescent="0.25">
      <c r="A59" s="12" t="s">
        <v>248</v>
      </c>
      <c r="B59" s="12"/>
      <c r="C59" s="12" t="s">
        <v>1359</v>
      </c>
      <c r="D59" s="12" t="s">
        <v>714</v>
      </c>
      <c r="E59" s="12" t="s">
        <v>1358</v>
      </c>
      <c r="F59" s="12"/>
      <c r="G59" s="13">
        <v>44906</v>
      </c>
      <c r="H59" s="14">
        <v>1</v>
      </c>
      <c r="I59" s="14"/>
      <c r="J59" s="8">
        <f>SUMIF(Journal!$A:$A,HeadJournal!$A59,Journal!$K:$K)+SUMIF(Journal!$A:$A,HeadJournal!$A59,Journal!$L:$L)+SUMIF(Journal!$A:$A,HeadJournal!$A59,Journal!$M:$M)</f>
        <v>3789</v>
      </c>
      <c r="K59" s="14">
        <f>3904-33</f>
        <v>3871</v>
      </c>
      <c r="L59" s="14">
        <v>0</v>
      </c>
      <c r="M59" s="8">
        <f>SUMIF(Journal!$A:$A,HeadJournal!$A59,Journal!$P:$P)</f>
        <v>3871</v>
      </c>
      <c r="N59" s="8">
        <f>SUMIF(Journal!$A:$A,HeadJournal!$A59,Journal!Q:Q)</f>
        <v>4850</v>
      </c>
      <c r="O59" s="18">
        <f>SUMIF(Journal!$A:$A,HeadJournal!$A59,Journal!U:U)</f>
        <v>979.00000000000011</v>
      </c>
      <c r="P59" s="22">
        <f t="shared" si="1"/>
        <v>0.25290622578145183</v>
      </c>
      <c r="Q59" s="7" t="b">
        <f t="shared" si="6"/>
        <v>0</v>
      </c>
      <c r="R59" s="73">
        <f t="shared" si="2"/>
        <v>0</v>
      </c>
    </row>
    <row r="60" spans="1:20" x14ac:dyDescent="0.25">
      <c r="A60" s="12" t="s">
        <v>252</v>
      </c>
      <c r="B60" s="12"/>
      <c r="C60" s="12" t="s">
        <v>1328</v>
      </c>
      <c r="D60" s="12" t="s">
        <v>714</v>
      </c>
      <c r="E60" s="12" t="s">
        <v>1354</v>
      </c>
      <c r="F60" s="12"/>
      <c r="G60" s="13">
        <v>44909</v>
      </c>
      <c r="H60" s="14">
        <v>1</v>
      </c>
      <c r="I60" s="14"/>
      <c r="J60" s="8">
        <f>SUMIF(Journal!$A:$A,HeadJournal!$A60,Journal!$K:$K)+SUMIF(Journal!$A:$A,HeadJournal!$A60,Journal!$L:$L)+SUMIF(Journal!$A:$A,HeadJournal!$A60,Journal!$M:$M)</f>
        <v>2746</v>
      </c>
      <c r="K60" s="14">
        <v>2746</v>
      </c>
      <c r="L60" s="14">
        <f t="shared" ref="L60:L65" si="7">K60*0.15</f>
        <v>411.9</v>
      </c>
      <c r="M60" s="8">
        <f>SUMIF(Journal!$A:$A,HeadJournal!$A60,Journal!$P:$P)</f>
        <v>3157.9</v>
      </c>
      <c r="N60" s="8">
        <f>SUMIF(Journal!$A:$A,HeadJournal!$A60,Journal!Q:Q)</f>
        <v>3700</v>
      </c>
      <c r="O60" s="18">
        <f>SUMIF(Journal!$A:$A,HeadJournal!$A60,Journal!U:U)</f>
        <v>542.09999999999991</v>
      </c>
      <c r="P60" s="22">
        <f t="shared" si="1"/>
        <v>0.17166471389214347</v>
      </c>
      <c r="Q60" s="7" t="b">
        <f t="shared" si="6"/>
        <v>1</v>
      </c>
      <c r="R60" s="73">
        <f t="shared" si="2"/>
        <v>0.13043478260869565</v>
      </c>
    </row>
    <row r="61" spans="1:20" x14ac:dyDescent="0.25">
      <c r="A61" s="12" t="s">
        <v>254</v>
      </c>
      <c r="B61" s="12"/>
      <c r="C61" s="12" t="s">
        <v>1328</v>
      </c>
      <c r="D61" s="12" t="s">
        <v>714</v>
      </c>
      <c r="E61" s="12" t="s">
        <v>1354</v>
      </c>
      <c r="F61" s="12"/>
      <c r="G61" s="13">
        <v>44910</v>
      </c>
      <c r="H61" s="14">
        <v>1</v>
      </c>
      <c r="I61" s="14"/>
      <c r="J61" s="8">
        <f>SUMIF(Journal!$A:$A,HeadJournal!$A61,Journal!$K:$K)+SUMIF(Journal!$A:$A,HeadJournal!$A61,Journal!$L:$L)+SUMIF(Journal!$A:$A,HeadJournal!$A61,Journal!$M:$M)</f>
        <v>435</v>
      </c>
      <c r="K61" s="14">
        <v>435</v>
      </c>
      <c r="L61" s="14">
        <f t="shared" si="7"/>
        <v>65.25</v>
      </c>
      <c r="M61" s="8">
        <f>SUMIF(Journal!$A:$A,HeadJournal!$A61,Journal!$P:$P)</f>
        <v>500.25</v>
      </c>
      <c r="N61" s="8">
        <f>SUMIF(Journal!$A:$A,HeadJournal!$A61,Journal!Q:Q)</f>
        <v>950</v>
      </c>
      <c r="O61" s="18">
        <f>SUMIF(Journal!$A:$A,HeadJournal!$A61,Journal!U:U)</f>
        <v>449.75</v>
      </c>
      <c r="P61" s="22">
        <f t="shared" si="1"/>
        <v>0.89905047476261868</v>
      </c>
      <c r="Q61" s="7" t="b">
        <f t="shared" si="6"/>
        <v>1</v>
      </c>
      <c r="R61" s="73">
        <f t="shared" si="2"/>
        <v>0.13043478260869565</v>
      </c>
    </row>
    <row r="62" spans="1:20" x14ac:dyDescent="0.25">
      <c r="A62" s="12" t="s">
        <v>256</v>
      </c>
      <c r="B62" s="12"/>
      <c r="C62" s="12" t="s">
        <v>1328</v>
      </c>
      <c r="D62" s="12" t="s">
        <v>714</v>
      </c>
      <c r="E62" s="12" t="s">
        <v>1354</v>
      </c>
      <c r="F62" s="12"/>
      <c r="G62" s="13">
        <v>44911</v>
      </c>
      <c r="H62" s="14">
        <v>1</v>
      </c>
      <c r="I62" s="14"/>
      <c r="J62" s="8">
        <f>SUMIF(Journal!$A:$A,HeadJournal!$A62,Journal!$K:$K)+SUMIF(Journal!$A:$A,HeadJournal!$A62,Journal!$L:$L)+SUMIF(Journal!$A:$A,HeadJournal!$A62,Journal!$M:$M)</f>
        <v>870</v>
      </c>
      <c r="K62" s="14">
        <v>870</v>
      </c>
      <c r="L62" s="14">
        <f t="shared" si="7"/>
        <v>130.5</v>
      </c>
      <c r="M62" s="8">
        <f>SUMIF(Journal!$A:$A,HeadJournal!$A62,Journal!$P:$P)</f>
        <v>1000.5</v>
      </c>
      <c r="N62" s="8">
        <f>SUMIF(Journal!$A:$A,HeadJournal!$A62,Journal!Q:Q)</f>
        <v>1800</v>
      </c>
      <c r="O62" s="18">
        <f>SUMIF(Journal!$A:$A,HeadJournal!$A62,Journal!U:U)</f>
        <v>799.5</v>
      </c>
      <c r="P62" s="22">
        <f t="shared" si="1"/>
        <v>0.79910044977511241</v>
      </c>
      <c r="Q62" s="7" t="b">
        <f t="shared" si="6"/>
        <v>1</v>
      </c>
      <c r="R62" s="73">
        <f t="shared" si="2"/>
        <v>0.13043478260869565</v>
      </c>
    </row>
    <row r="63" spans="1:20" x14ac:dyDescent="0.25">
      <c r="A63" s="12" t="s">
        <v>257</v>
      </c>
      <c r="B63" s="12"/>
      <c r="C63" s="12" t="s">
        <v>1328</v>
      </c>
      <c r="D63" s="12" t="s">
        <v>714</v>
      </c>
      <c r="E63" s="12" t="s">
        <v>1354</v>
      </c>
      <c r="F63" s="12"/>
      <c r="G63" s="13">
        <v>44913</v>
      </c>
      <c r="H63" s="14">
        <v>1</v>
      </c>
      <c r="I63" s="14"/>
      <c r="J63" s="8">
        <f>SUMIF(Journal!$A:$A,HeadJournal!$A63,Journal!$K:$K)+SUMIF(Journal!$A:$A,HeadJournal!$A63,Journal!$L:$L)+SUMIF(Journal!$A:$A,HeadJournal!$A63,Journal!$M:$M)</f>
        <v>870</v>
      </c>
      <c r="K63" s="14">
        <v>870</v>
      </c>
      <c r="L63" s="14">
        <f t="shared" si="7"/>
        <v>130.5</v>
      </c>
      <c r="M63" s="8">
        <f>SUMIF(Journal!$A:$A,HeadJournal!$A63,Journal!$P:$P)</f>
        <v>1000.5</v>
      </c>
      <c r="N63" s="8">
        <f>SUMIF(Journal!$A:$A,HeadJournal!$A63,Journal!Q:Q)</f>
        <v>1400.25</v>
      </c>
      <c r="O63" s="18">
        <f>SUMIF(Journal!$A:$A,HeadJournal!$A63,Journal!U:U)</f>
        <v>399.75</v>
      </c>
      <c r="P63" s="22">
        <f t="shared" si="1"/>
        <v>0.3995502248875562</v>
      </c>
      <c r="Q63" s="7" t="b">
        <f t="shared" si="6"/>
        <v>1</v>
      </c>
      <c r="R63" s="73">
        <f t="shared" si="2"/>
        <v>0.13043478260869565</v>
      </c>
    </row>
    <row r="64" spans="1:20" x14ac:dyDescent="0.25">
      <c r="A64" s="12" t="s">
        <v>258</v>
      </c>
      <c r="B64" s="12"/>
      <c r="C64" s="12" t="s">
        <v>1328</v>
      </c>
      <c r="D64" s="12" t="s">
        <v>714</v>
      </c>
      <c r="E64" s="12" t="s">
        <v>1354</v>
      </c>
      <c r="F64" s="12"/>
      <c r="G64" s="13">
        <v>44915</v>
      </c>
      <c r="H64" s="14">
        <v>1</v>
      </c>
      <c r="I64" s="14"/>
      <c r="J64" s="8">
        <f>SUMIF(Journal!$A:$A,HeadJournal!$A64,Journal!$K:$K)+SUMIF(Journal!$A:$A,HeadJournal!$A64,Journal!$L:$L)+SUMIF(Journal!$A:$A,HeadJournal!$A64,Journal!$M:$M)</f>
        <v>730</v>
      </c>
      <c r="K64" s="14">
        <v>730</v>
      </c>
      <c r="L64" s="14">
        <f t="shared" si="7"/>
        <v>109.5</v>
      </c>
      <c r="M64" s="8">
        <f>SUMIF(Journal!$A:$A,HeadJournal!$A64,Journal!$P:$P)</f>
        <v>839.5</v>
      </c>
      <c r="N64" s="8">
        <f>SUMIF(Journal!$A:$A,HeadJournal!$A64,Journal!Q:Q)</f>
        <v>1000</v>
      </c>
      <c r="O64" s="18">
        <f>SUMIF(Journal!$A:$A,HeadJournal!$A64,Journal!U:U)</f>
        <v>160.5</v>
      </c>
      <c r="P64" s="22">
        <f t="shared" si="1"/>
        <v>0.19118522930315665</v>
      </c>
      <c r="Q64" s="7" t="b">
        <f t="shared" si="6"/>
        <v>1</v>
      </c>
      <c r="R64" s="73">
        <f t="shared" si="2"/>
        <v>0.13043478260869565</v>
      </c>
    </row>
    <row r="65" spans="1:18" x14ac:dyDescent="0.25">
      <c r="A65" s="12" t="s">
        <v>260</v>
      </c>
      <c r="B65" s="12"/>
      <c r="C65" s="12" t="s">
        <v>843</v>
      </c>
      <c r="D65" s="12" t="s">
        <v>714</v>
      </c>
      <c r="E65" s="12" t="s">
        <v>1354</v>
      </c>
      <c r="F65" s="12"/>
      <c r="G65" s="13">
        <v>44912</v>
      </c>
      <c r="H65" s="14">
        <v>1</v>
      </c>
      <c r="I65" s="14"/>
      <c r="J65" s="8">
        <f>SUMIF(Journal!$A:$A,HeadJournal!$A65,Journal!$K:$K)+SUMIF(Journal!$A:$A,HeadJournal!$A65,Journal!$L:$L)+SUMIF(Journal!$A:$A,HeadJournal!$A65,Journal!$M:$M)</f>
        <v>2097</v>
      </c>
      <c r="K65" s="14">
        <f>2680-583</f>
        <v>2097</v>
      </c>
      <c r="L65" s="14">
        <f t="shared" si="7"/>
        <v>314.55</v>
      </c>
      <c r="M65" s="8">
        <f>SUMIF(Journal!$A:$A,HeadJournal!$A65,Journal!$P:$P)</f>
        <v>2411.5500000000002</v>
      </c>
      <c r="N65" s="8">
        <f>SUMIF(Journal!$A:$A,HeadJournal!$A65,Journal!Q:Q)</f>
        <v>4600</v>
      </c>
      <c r="O65" s="18">
        <f>SUMIF(Journal!$A:$A,HeadJournal!$A65,Journal!U:U)</f>
        <v>2188.4499999999998</v>
      </c>
      <c r="P65" s="22">
        <f t="shared" si="1"/>
        <v>0.90748688602765837</v>
      </c>
      <c r="Q65" s="7" t="b">
        <f t="shared" si="6"/>
        <v>1</v>
      </c>
      <c r="R65" s="73">
        <f t="shared" si="2"/>
        <v>0.13043478260869565</v>
      </c>
    </row>
    <row r="66" spans="1:18" x14ac:dyDescent="0.25">
      <c r="A66" s="12" t="s">
        <v>261</v>
      </c>
      <c r="B66" s="12"/>
      <c r="C66" s="12" t="s">
        <v>1359</v>
      </c>
      <c r="D66" s="12" t="s">
        <v>714</v>
      </c>
      <c r="E66" s="12" t="s">
        <v>1358</v>
      </c>
      <c r="F66" s="12"/>
      <c r="G66" s="13">
        <v>44912</v>
      </c>
      <c r="H66" s="14">
        <v>1</v>
      </c>
      <c r="I66" s="14"/>
      <c r="J66" s="8">
        <f>SUMIF(Journal!$A:$A,HeadJournal!$A66,Journal!$K:$K)+SUMIF(Journal!$A:$A,HeadJournal!$A66,Journal!$L:$L)+SUMIF(Journal!$A:$A,HeadJournal!$A66,Journal!$M:$M)</f>
        <v>3136</v>
      </c>
      <c r="K66" s="14">
        <v>3150</v>
      </c>
      <c r="L66" s="14">
        <v>0</v>
      </c>
      <c r="M66" s="8">
        <f>SUMIF(Journal!$A:$A,HeadJournal!$A66,Journal!$P:$P)</f>
        <v>3150</v>
      </c>
      <c r="N66" s="8">
        <f>SUMIF(Journal!$A:$A,HeadJournal!$A66,Journal!Q:Q)</f>
        <v>4200</v>
      </c>
      <c r="O66" s="18">
        <f>SUMIF(Journal!$A:$A,HeadJournal!$A66,Journal!U:U)</f>
        <v>1050</v>
      </c>
      <c r="P66" s="22">
        <f t="shared" si="1"/>
        <v>0.33333333333333331</v>
      </c>
      <c r="Q66" s="7" t="b">
        <f t="shared" si="6"/>
        <v>0</v>
      </c>
      <c r="R66" s="73">
        <f t="shared" si="2"/>
        <v>0</v>
      </c>
    </row>
    <row r="67" spans="1:18" x14ac:dyDescent="0.25">
      <c r="A67" s="60" t="s">
        <v>264</v>
      </c>
      <c r="B67" s="12" t="s">
        <v>1360</v>
      </c>
      <c r="C67" s="12" t="s">
        <v>1752</v>
      </c>
      <c r="D67" s="12" t="s">
        <v>714</v>
      </c>
      <c r="E67" s="12" t="s">
        <v>1348</v>
      </c>
      <c r="F67" s="124" t="s">
        <v>1361</v>
      </c>
      <c r="G67" s="13">
        <v>44909</v>
      </c>
      <c r="H67" s="14">
        <v>69</v>
      </c>
      <c r="I67" s="14"/>
      <c r="J67" s="8">
        <f>SUMIF(Journal!$A:$A,HeadJournal!$A67,Journal!$K:$K)+SUMIF(Journal!$A:$A,HeadJournal!$A67,Journal!$L:$L)+SUMIF(Journal!$A:$A,HeadJournal!$A67,Journal!$M:$M)</f>
        <v>163.74999999999997</v>
      </c>
      <c r="K67" s="14">
        <v>163.75</v>
      </c>
      <c r="L67" s="14">
        <f>59.35*77.59+1000/2+530/2</f>
        <v>5369.9665000000005</v>
      </c>
      <c r="M67" s="8">
        <f>SUMIF(Journal!$A:$A,HeadJournal!$A67,Journal!$P:$P)</f>
        <v>16668.716500000006</v>
      </c>
      <c r="N67" s="8">
        <f>SUMIF(Journal!$A:$A,HeadJournal!$A67,Journal!Q:Q)</f>
        <v>32100</v>
      </c>
      <c r="O67" s="18">
        <f>SUMIF(Journal!$A:$A,HeadJournal!$A67,Journal!U:U)</f>
        <v>15431.283499999996</v>
      </c>
      <c r="P67" s="22">
        <f t="shared" ref="P67:P130" si="8">IF(N67&lt;&gt;0,IFERROR(O67/M67,""),"")</f>
        <v>0.92576315039013291</v>
      </c>
      <c r="Q67" s="7" t="b">
        <f t="shared" si="6"/>
        <v>1</v>
      </c>
      <c r="R67" s="73">
        <f t="shared" ref="R67:R130" si="9">L67/M67</f>
        <v>0.32215836774235129</v>
      </c>
    </row>
    <row r="68" spans="1:18" x14ac:dyDescent="0.25">
      <c r="A68" s="60" t="s">
        <v>272</v>
      </c>
      <c r="B68" s="12" t="s">
        <v>1362</v>
      </c>
      <c r="C68" s="12" t="s">
        <v>1752</v>
      </c>
      <c r="D68" s="12" t="s">
        <v>714</v>
      </c>
      <c r="E68" s="12" t="s">
        <v>1348</v>
      </c>
      <c r="F68" s="57" t="s">
        <v>1363</v>
      </c>
      <c r="G68" s="13">
        <v>44914</v>
      </c>
      <c r="H68" s="14">
        <v>69</v>
      </c>
      <c r="I68" s="14"/>
      <c r="J68" s="8">
        <f>SUMIF(Journal!$A:$A,HeadJournal!$A68,Journal!$K:$K)+SUMIF(Journal!$A:$A,HeadJournal!$A68,Journal!$L:$L)+SUMIF(Journal!$A:$A,HeadJournal!$A68,Journal!$M:$M)</f>
        <v>174.25</v>
      </c>
      <c r="K68" s="14">
        <v>174.25</v>
      </c>
      <c r="L68" s="14">
        <f>45.13*78.39+1500/3+530/3</f>
        <v>4214.4073666666673</v>
      </c>
      <c r="M68" s="8">
        <f>SUMIF(Journal!$A:$A,HeadJournal!$A68,Journal!$P:$P)</f>
        <v>16237.65736666667</v>
      </c>
      <c r="N68" s="8">
        <f>SUMIF(Journal!$A:$A,HeadJournal!$A68,Journal!Q:Q)</f>
        <v>29941.38</v>
      </c>
      <c r="O68" s="18">
        <f>SUMIF(Journal!$A:$A,HeadJournal!$A68,Journal!U:U)</f>
        <v>13703.722633333331</v>
      </c>
      <c r="P68" s="22">
        <f t="shared" si="8"/>
        <v>0.84394702535507959</v>
      </c>
      <c r="Q68" s="7" t="b">
        <f t="shared" si="6"/>
        <v>1</v>
      </c>
      <c r="R68" s="73">
        <f t="shared" si="9"/>
        <v>0.25954528239511787</v>
      </c>
    </row>
    <row r="69" spans="1:18" x14ac:dyDescent="0.25">
      <c r="A69" s="61" t="s">
        <v>279</v>
      </c>
      <c r="B69" s="12" t="s">
        <v>1364</v>
      </c>
      <c r="C69" s="12" t="s">
        <v>1737</v>
      </c>
      <c r="D69" s="12" t="s">
        <v>714</v>
      </c>
      <c r="E69" s="12" t="s">
        <v>1338</v>
      </c>
      <c r="F69" s="124" t="s">
        <v>1365</v>
      </c>
      <c r="G69" s="13">
        <v>44908</v>
      </c>
      <c r="H69" s="14">
        <v>69</v>
      </c>
      <c r="I69" s="14">
        <v>-9.34</v>
      </c>
      <c r="J69" s="8">
        <f>SUMIF(Journal!$A:$A,HeadJournal!$A69,Journal!$K:$K)+SUMIF(Journal!$A:$A,HeadJournal!$A69,Journal!$L:$L)+SUMIF(Journal!$A:$A,HeadJournal!$A69,Journal!$M:$M)</f>
        <v>178.98999999999998</v>
      </c>
      <c r="K69" s="14">
        <v>178.99</v>
      </c>
      <c r="L69" s="14">
        <f>59.35*77.59+1000/2+530/2</f>
        <v>5369.9665000000005</v>
      </c>
      <c r="M69" s="8">
        <f>SUMIF(Journal!$A:$A,HeadJournal!$A69,Journal!$P:$P)</f>
        <v>17720.276500000004</v>
      </c>
      <c r="N69" s="8">
        <f>SUMIF(Journal!$A:$A,HeadJournal!$A69,Journal!Q:Q)</f>
        <v>35900</v>
      </c>
      <c r="O69" s="18">
        <f>SUMIF(Journal!$A:$A,HeadJournal!$A69,Journal!U:U)</f>
        <v>18179.723499999996</v>
      </c>
      <c r="P69" s="22">
        <f t="shared" si="8"/>
        <v>1.0259277556983941</v>
      </c>
      <c r="R69" s="73">
        <f t="shared" si="9"/>
        <v>0.30304078494486242</v>
      </c>
    </row>
    <row r="70" spans="1:18" x14ac:dyDescent="0.25">
      <c r="A70" s="58" t="s">
        <v>288</v>
      </c>
      <c r="B70" s="12" t="s">
        <v>1366</v>
      </c>
      <c r="C70" s="12" t="s">
        <v>1751</v>
      </c>
      <c r="D70" s="12" t="s">
        <v>714</v>
      </c>
      <c r="E70" s="12" t="s">
        <v>1338</v>
      </c>
      <c r="F70" s="124" t="s">
        <v>1367</v>
      </c>
      <c r="G70" s="13">
        <v>44903</v>
      </c>
      <c r="H70" s="14">
        <v>69</v>
      </c>
      <c r="I70" s="14">
        <v>-4.74</v>
      </c>
      <c r="J70" s="8">
        <f>SUMIF(Journal!$A:$A,HeadJournal!$A70,Journal!$K:$K)+SUMIF(Journal!$A:$A,HeadJournal!$A70,Journal!$L:$L)+SUMIF(Journal!$A:$A,HeadJournal!$A70,Journal!$M:$M)</f>
        <v>119.13000000000001</v>
      </c>
      <c r="K70" s="14">
        <v>119.13</v>
      </c>
      <c r="L70" s="14">
        <f>41.13*77.59+1000/3+500/3</f>
        <v>3691.2767000000003</v>
      </c>
      <c r="M70" s="8">
        <f>SUMIF(Journal!$A:$A,HeadJournal!$A70,Journal!$P:$P)</f>
        <v>11911.246699999996</v>
      </c>
      <c r="N70" s="8">
        <f>SUMIF(Journal!$A:$A,HeadJournal!$A70,Journal!Q:Q)</f>
        <v>24350</v>
      </c>
      <c r="O70" s="18">
        <f>SUMIF(Journal!$A:$A,HeadJournal!$A70,Journal!U:U)</f>
        <v>12438.753300000004</v>
      </c>
      <c r="P70" s="22">
        <f t="shared" si="8"/>
        <v>1.0442864305715378</v>
      </c>
      <c r="R70" s="73">
        <f t="shared" si="9"/>
        <v>0.30989843405728484</v>
      </c>
    </row>
    <row r="71" spans="1:18" x14ac:dyDescent="0.25">
      <c r="A71" s="12" t="s">
        <v>290</v>
      </c>
      <c r="B71" s="12"/>
      <c r="C71" s="12" t="s">
        <v>1330</v>
      </c>
      <c r="D71" s="12" t="s">
        <v>714</v>
      </c>
      <c r="E71" s="12" t="s">
        <v>1331</v>
      </c>
      <c r="F71" s="12"/>
      <c r="G71" s="13">
        <v>44915</v>
      </c>
      <c r="H71" s="14">
        <v>1</v>
      </c>
      <c r="I71" s="14"/>
      <c r="J71" s="8">
        <f>SUMIF(Journal!$A:$A,HeadJournal!$A71,Journal!$K:$K)+SUMIF(Journal!$A:$A,HeadJournal!$A71,Journal!$L:$L)+SUMIF(Journal!$A:$A,HeadJournal!$A71,Journal!$M:$M)</f>
        <v>7602</v>
      </c>
      <c r="K71" s="14">
        <v>7600</v>
      </c>
      <c r="L71" s="14">
        <v>0</v>
      </c>
      <c r="M71" s="8">
        <f>SUMIF(Journal!$A:$A,HeadJournal!$A71,Journal!$P:$P)</f>
        <v>7599.9999999999927</v>
      </c>
      <c r="N71" s="8">
        <f>SUMIF(Journal!$A:$A,HeadJournal!$A71,Journal!Q:Q)</f>
        <v>19120</v>
      </c>
      <c r="O71" s="18">
        <f>SUMIF(Journal!$A:$A,HeadJournal!$A71,Journal!U:U)</f>
        <v>11520.000000000007</v>
      </c>
      <c r="P71" s="22">
        <f t="shared" si="8"/>
        <v>1.515789473684213</v>
      </c>
      <c r="Q71" s="7" t="b">
        <f>J71=K71</f>
        <v>0</v>
      </c>
      <c r="R71" s="73">
        <f t="shared" si="9"/>
        <v>0</v>
      </c>
    </row>
    <row r="72" spans="1:18" x14ac:dyDescent="0.25">
      <c r="A72" s="12" t="s">
        <v>294</v>
      </c>
      <c r="B72" s="12"/>
      <c r="C72" s="12" t="s">
        <v>1368</v>
      </c>
      <c r="D72" s="12" t="s">
        <v>714</v>
      </c>
      <c r="E72" s="12" t="s">
        <v>1369</v>
      </c>
      <c r="F72" s="12"/>
      <c r="G72" s="13">
        <v>44918</v>
      </c>
      <c r="H72" s="14">
        <v>0.1588</v>
      </c>
      <c r="I72" s="14"/>
      <c r="J72" s="8">
        <f>SUMIF(Journal!$A:$A,HeadJournal!$A72,Journal!$K:$K)+SUMIF(Journal!$A:$A,HeadJournal!$A72,Journal!$L:$L)+SUMIF(Journal!$A:$A,HeadJournal!$A72,Journal!$M:$M)</f>
        <v>109945</v>
      </c>
      <c r="K72" s="14">
        <v>112756</v>
      </c>
      <c r="L72" s="14">
        <f>1000/3+500/3+300+294.86</f>
        <v>1094.8600000000001</v>
      </c>
      <c r="M72" s="8">
        <f>SUMIF(Journal!$A:$A,HeadJournal!$A72,Journal!$P:$P)</f>
        <v>19000.512800000004</v>
      </c>
      <c r="N72" s="8">
        <f>SUMIF(Journal!$A:$A,HeadJournal!$A72,Journal!Q:Q)</f>
        <v>18361.47</v>
      </c>
      <c r="O72" s="18">
        <f>SUMIF(Journal!$A:$A,HeadJournal!$A72,Journal!U:U)</f>
        <v>-639.04280000000063</v>
      </c>
      <c r="P72" s="22">
        <f t="shared" si="8"/>
        <v>-3.3632923844034379E-2</v>
      </c>
      <c r="Q72" s="7" t="b">
        <f>J72=K72</f>
        <v>0</v>
      </c>
      <c r="R72" s="73">
        <f t="shared" si="9"/>
        <v>5.7622655321176379E-2</v>
      </c>
    </row>
    <row r="73" spans="1:18" x14ac:dyDescent="0.25">
      <c r="A73" s="12" t="s">
        <v>305</v>
      </c>
      <c r="B73" s="12"/>
      <c r="C73" s="12" t="s">
        <v>1359</v>
      </c>
      <c r="D73" s="12" t="s">
        <v>714</v>
      </c>
      <c r="E73" s="12" t="s">
        <v>1358</v>
      </c>
      <c r="F73" s="12"/>
      <c r="G73" s="13">
        <v>44919</v>
      </c>
      <c r="H73" s="14">
        <v>1</v>
      </c>
      <c r="I73" s="14"/>
      <c r="J73" s="8">
        <f>SUMIF(Journal!$A:$A,HeadJournal!$A73,Journal!$K:$K)+SUMIF(Journal!$A:$A,HeadJournal!$A73,Journal!$L:$L)+SUMIF(Journal!$A:$A,HeadJournal!$A73,Journal!$M:$M)</f>
        <v>960</v>
      </c>
      <c r="K73" s="14">
        <v>960</v>
      </c>
      <c r="L73" s="14">
        <v>0</v>
      </c>
      <c r="M73" s="8">
        <f>SUMIF(Journal!$A:$A,HeadJournal!$A73,Journal!$P:$P)</f>
        <v>960</v>
      </c>
      <c r="N73" s="8">
        <f>SUMIF(Journal!$A:$A,HeadJournal!$A73,Journal!Q:Q)</f>
        <v>1300</v>
      </c>
      <c r="O73" s="18">
        <f>SUMIF(Journal!$A:$A,HeadJournal!$A73,Journal!U:U)</f>
        <v>340</v>
      </c>
      <c r="P73" s="22">
        <f t="shared" si="8"/>
        <v>0.35416666666666669</v>
      </c>
      <c r="Q73" s="7" t="b">
        <f>J73=K73</f>
        <v>1</v>
      </c>
      <c r="R73" s="73">
        <f t="shared" si="9"/>
        <v>0</v>
      </c>
    </row>
    <row r="74" spans="1:18" x14ac:dyDescent="0.25">
      <c r="A74" s="12" t="s">
        <v>306</v>
      </c>
      <c r="B74" s="12"/>
      <c r="C74" s="12" t="s">
        <v>1359</v>
      </c>
      <c r="D74" s="12" t="s">
        <v>714</v>
      </c>
      <c r="E74" s="12" t="s">
        <v>1358</v>
      </c>
      <c r="F74" s="12"/>
      <c r="G74" s="13">
        <v>44924</v>
      </c>
      <c r="H74" s="14">
        <v>1</v>
      </c>
      <c r="I74" s="14"/>
      <c r="J74" s="8">
        <f>SUMIF(Journal!$A:$A,HeadJournal!$A74,Journal!$K:$K)+SUMIF(Journal!$A:$A,HeadJournal!$A74,Journal!$L:$L)+SUMIF(Journal!$A:$A,HeadJournal!$A74,Journal!$M:$M)</f>
        <v>3200</v>
      </c>
      <c r="K74" s="14">
        <v>3200</v>
      </c>
      <c r="L74" s="14">
        <v>0</v>
      </c>
      <c r="M74" s="8">
        <f>SUMIF(Journal!$A:$A,HeadJournal!$A74,Journal!$P:$P)</f>
        <v>3200</v>
      </c>
      <c r="N74" s="8">
        <f>SUMIF(Journal!$A:$A,HeadJournal!$A74,Journal!Q:Q)</f>
        <v>4200</v>
      </c>
      <c r="O74" s="18">
        <f>SUMIF(Journal!$A:$A,HeadJournal!$A74,Journal!U:U)</f>
        <v>1000</v>
      </c>
      <c r="P74" s="22">
        <f t="shared" si="8"/>
        <v>0.3125</v>
      </c>
      <c r="Q74" s="7" t="b">
        <f>J74=K74</f>
        <v>1</v>
      </c>
      <c r="R74" s="73">
        <f t="shared" si="9"/>
        <v>0</v>
      </c>
    </row>
    <row r="75" spans="1:18" x14ac:dyDescent="0.25">
      <c r="A75" s="58" t="s">
        <v>308</v>
      </c>
      <c r="B75" s="12" t="s">
        <v>1370</v>
      </c>
      <c r="C75" s="12" t="s">
        <v>1751</v>
      </c>
      <c r="D75" s="12" t="s">
        <v>714</v>
      </c>
      <c r="E75" s="12" t="s">
        <v>1338</v>
      </c>
      <c r="F75" s="57" t="s">
        <v>1371</v>
      </c>
      <c r="G75" s="13">
        <v>44923</v>
      </c>
      <c r="H75" s="14">
        <v>79</v>
      </c>
      <c r="I75" s="14">
        <v>-13.41</v>
      </c>
      <c r="J75" s="8">
        <f>SUMIF(Journal!$A:$A,HeadJournal!$A75,Journal!$K:$K)+SUMIF(Journal!$A:$A,HeadJournal!$A75,Journal!$L:$L)+SUMIF(Journal!$A:$A,HeadJournal!$A75,Journal!$M:$M)</f>
        <v>173.20000000000002</v>
      </c>
      <c r="K75" s="14">
        <v>173.2</v>
      </c>
      <c r="L75" s="14">
        <f>59.35*85.86+1500/3+530/3</f>
        <v>5772.4576666666671</v>
      </c>
      <c r="M75" s="8">
        <f>SUMIF(Journal!$A:$A,HeadJournal!$A75,Journal!$P:$P)</f>
        <v>19455.257666666665</v>
      </c>
      <c r="N75" s="8">
        <f>SUMIF(Journal!$A:$A,HeadJournal!$A75,Journal!Q:Q)</f>
        <v>33600</v>
      </c>
      <c r="O75" s="18">
        <f>SUMIF(Journal!$A:$A,HeadJournal!$A75,Journal!U:U)</f>
        <v>14144.742333333339</v>
      </c>
      <c r="P75" s="22">
        <f t="shared" si="8"/>
        <v>0.72703957848720724</v>
      </c>
      <c r="R75" s="73">
        <f t="shared" si="9"/>
        <v>0.29670425165104902</v>
      </c>
    </row>
    <row r="76" spans="1:18" x14ac:dyDescent="0.25">
      <c r="A76" s="66" t="s">
        <v>318</v>
      </c>
      <c r="B76" s="12" t="s">
        <v>1372</v>
      </c>
      <c r="C76" s="12" t="s">
        <v>1735</v>
      </c>
      <c r="D76" s="12" t="s">
        <v>714</v>
      </c>
      <c r="E76" s="12" t="s">
        <v>1338</v>
      </c>
      <c r="F76" s="41" t="s">
        <v>1373</v>
      </c>
      <c r="G76" s="13">
        <v>44929</v>
      </c>
      <c r="H76" s="14">
        <v>82</v>
      </c>
      <c r="I76" s="14">
        <v>-4.25</v>
      </c>
      <c r="J76" s="8">
        <f>SUMIF(Journal!$A:$A,HeadJournal!$A76,Journal!$K:$K)+SUMIF(Journal!$A:$A,HeadJournal!$A76,Journal!$L:$L)+SUMIF(Journal!$A:$A,HeadJournal!$A76,Journal!$M:$M)</f>
        <v>116.94999999999999</v>
      </c>
      <c r="K76" s="14">
        <v>116.95</v>
      </c>
      <c r="L76" s="14">
        <f>41.13*89.91+200</f>
        <v>3897.9983000000002</v>
      </c>
      <c r="M76" s="8">
        <f>SUMIF(Journal!$A:$A,HeadJournal!$A76,Journal!$P:$P)</f>
        <v>13487.898300000001</v>
      </c>
      <c r="N76" s="8">
        <f>SUMIF(Journal!$A:$A,HeadJournal!$A76,Journal!Q:Q)</f>
        <v>21851.260000000002</v>
      </c>
      <c r="O76" s="18">
        <f>SUMIF(Journal!$A:$A,HeadJournal!$A76,Journal!U:U)</f>
        <v>8363.3616999999977</v>
      </c>
      <c r="P76" s="22">
        <f t="shared" si="8"/>
        <v>0.62006411332446043</v>
      </c>
      <c r="R76" s="73">
        <f t="shared" si="9"/>
        <v>0.28899968055067554</v>
      </c>
    </row>
    <row r="77" spans="1:18" x14ac:dyDescent="0.25">
      <c r="A77" s="12" t="s">
        <v>320</v>
      </c>
      <c r="B77" s="12"/>
      <c r="C77" s="12" t="s">
        <v>1328</v>
      </c>
      <c r="D77" s="12" t="s">
        <v>714</v>
      </c>
      <c r="E77" s="12" t="s">
        <v>1354</v>
      </c>
      <c r="F77" s="12"/>
      <c r="G77" s="13">
        <v>44926</v>
      </c>
      <c r="H77" s="14">
        <v>1</v>
      </c>
      <c r="I77" s="14"/>
      <c r="J77" s="8">
        <f>SUMIF(Journal!$A:$A,HeadJournal!$A77,Journal!$K:$K)+SUMIF(Journal!$A:$A,HeadJournal!$A77,Journal!$L:$L)+SUMIF(Journal!$A:$A,HeadJournal!$A77,Journal!$M:$M)</f>
        <v>1185</v>
      </c>
      <c r="K77" s="14">
        <v>1185</v>
      </c>
      <c r="L77" s="14">
        <f t="shared" ref="L77:L82" si="10">K77*0.15</f>
        <v>177.75</v>
      </c>
      <c r="M77" s="8">
        <f>SUMIF(Journal!$A:$A,HeadJournal!$A77,Journal!$P:$P)</f>
        <v>1362.75</v>
      </c>
      <c r="N77" s="8">
        <f>SUMIF(Journal!$A:$A,HeadJournal!$A77,Journal!Q:Q)</f>
        <v>1500</v>
      </c>
      <c r="O77" s="18">
        <f>SUMIF(Journal!$A:$A,HeadJournal!$A77,Journal!U:U)</f>
        <v>137.25</v>
      </c>
      <c r="P77" s="22">
        <f t="shared" si="8"/>
        <v>0.10071546505228399</v>
      </c>
      <c r="Q77" s="7" t="b">
        <f t="shared" ref="Q77:Q82" si="11">J77=K77</f>
        <v>1</v>
      </c>
      <c r="R77" s="73">
        <f t="shared" si="9"/>
        <v>0.13043478260869565</v>
      </c>
    </row>
    <row r="78" spans="1:18" x14ac:dyDescent="0.25">
      <c r="A78" s="12" t="s">
        <v>322</v>
      </c>
      <c r="B78" s="12"/>
      <c r="C78" s="12" t="s">
        <v>1328</v>
      </c>
      <c r="D78" s="12" t="s">
        <v>714</v>
      </c>
      <c r="E78" s="12" t="s">
        <v>1354</v>
      </c>
      <c r="F78" s="12"/>
      <c r="G78" s="13">
        <v>44930</v>
      </c>
      <c r="H78" s="14">
        <v>1</v>
      </c>
      <c r="I78" s="14"/>
      <c r="J78" s="8">
        <f>SUMIF(Journal!$A:$A,HeadJournal!$A78,Journal!$K:$K)+SUMIF(Journal!$A:$A,HeadJournal!$A78,Journal!$L:$L)+SUMIF(Journal!$A:$A,HeadJournal!$A78,Journal!$M:$M)</f>
        <v>2738</v>
      </c>
      <c r="K78" s="14">
        <v>2738</v>
      </c>
      <c r="L78" s="14">
        <f t="shared" si="10"/>
        <v>410.7</v>
      </c>
      <c r="M78" s="8">
        <f>SUMIF(Journal!$A:$A,HeadJournal!$A78,Journal!$P:$P)</f>
        <v>3148.7000000000003</v>
      </c>
      <c r="N78" s="8">
        <f>SUMIF(Journal!$A:$A,HeadJournal!$A78,Journal!Q:Q)</f>
        <v>6200</v>
      </c>
      <c r="O78" s="18">
        <f>SUMIF(Journal!$A:$A,HeadJournal!$A78,Journal!U:U)</f>
        <v>3051.2999999999997</v>
      </c>
      <c r="P78" s="22">
        <f t="shared" si="8"/>
        <v>0.96906659891383728</v>
      </c>
      <c r="Q78" s="7" t="b">
        <f t="shared" si="11"/>
        <v>1</v>
      </c>
      <c r="R78" s="73">
        <f t="shared" si="9"/>
        <v>0.13043478260869565</v>
      </c>
    </row>
    <row r="79" spans="1:18" x14ac:dyDescent="0.25">
      <c r="A79" s="12" t="s">
        <v>326</v>
      </c>
      <c r="B79" s="12"/>
      <c r="C79" s="12" t="s">
        <v>1328</v>
      </c>
      <c r="D79" s="12" t="s">
        <v>714</v>
      </c>
      <c r="E79" s="12" t="s">
        <v>1354</v>
      </c>
      <c r="F79" s="12"/>
      <c r="G79" s="13">
        <v>44931</v>
      </c>
      <c r="H79" s="14">
        <v>1</v>
      </c>
      <c r="I79" s="14"/>
      <c r="J79" s="8">
        <f>SUMIF(Journal!$A:$A,HeadJournal!$A79,Journal!$K:$K)+SUMIF(Journal!$A:$A,HeadJournal!$A79,Journal!$L:$L)+SUMIF(Journal!$A:$A,HeadJournal!$A79,Journal!$M:$M)</f>
        <v>730</v>
      </c>
      <c r="K79" s="14">
        <v>730</v>
      </c>
      <c r="L79" s="14">
        <f t="shared" si="10"/>
        <v>109.5</v>
      </c>
      <c r="M79" s="8">
        <f>SUMIF(Journal!$A:$A,HeadJournal!$A79,Journal!$P:$P)</f>
        <v>839.5</v>
      </c>
      <c r="N79" s="8">
        <f>SUMIF(Journal!$A:$A,HeadJournal!$A79,Journal!Q:Q)</f>
        <v>1800</v>
      </c>
      <c r="O79" s="18">
        <f>SUMIF(Journal!$A:$A,HeadJournal!$A79,Journal!U:U)</f>
        <v>960.5</v>
      </c>
      <c r="P79" s="22">
        <f t="shared" si="8"/>
        <v>1.1441334127456819</v>
      </c>
      <c r="Q79" s="7" t="b">
        <f t="shared" si="11"/>
        <v>1</v>
      </c>
      <c r="R79" s="73">
        <f t="shared" si="9"/>
        <v>0.13043478260869565</v>
      </c>
    </row>
    <row r="80" spans="1:18" x14ac:dyDescent="0.25">
      <c r="A80" s="12" t="s">
        <v>328</v>
      </c>
      <c r="B80" s="12"/>
      <c r="C80" s="12" t="s">
        <v>1328</v>
      </c>
      <c r="D80" s="12" t="s">
        <v>714</v>
      </c>
      <c r="E80" s="12" t="s">
        <v>1354</v>
      </c>
      <c r="F80" s="12"/>
      <c r="G80" s="13">
        <v>44931</v>
      </c>
      <c r="H80" s="14">
        <v>1</v>
      </c>
      <c r="I80" s="14"/>
      <c r="J80" s="8">
        <f>SUMIF(Journal!$A:$A,HeadJournal!$A80,Journal!$K:$K)+SUMIF(Journal!$A:$A,HeadJournal!$A80,Journal!$L:$L)+SUMIF(Journal!$A:$A,HeadJournal!$A80,Journal!$M:$M)</f>
        <v>1984</v>
      </c>
      <c r="K80" s="14">
        <v>1984</v>
      </c>
      <c r="L80" s="14">
        <f t="shared" si="10"/>
        <v>297.59999999999997</v>
      </c>
      <c r="M80" s="8">
        <f>SUMIF(Journal!$A:$A,HeadJournal!$A80,Journal!$P:$P)</f>
        <v>2281.6</v>
      </c>
      <c r="N80" s="8">
        <f>SUMIF(Journal!$A:$A,HeadJournal!$A80,Journal!Q:Q)</f>
        <v>3200</v>
      </c>
      <c r="O80" s="18">
        <f>SUMIF(Journal!$A:$A,HeadJournal!$A80,Journal!U:U)</f>
        <v>918.40000000000009</v>
      </c>
      <c r="P80" s="22">
        <f t="shared" si="8"/>
        <v>0.40252454417952321</v>
      </c>
      <c r="Q80" s="7" t="b">
        <f t="shared" si="11"/>
        <v>1</v>
      </c>
      <c r="R80" s="73">
        <f t="shared" si="9"/>
        <v>0.13043478260869565</v>
      </c>
    </row>
    <row r="81" spans="1:18" x14ac:dyDescent="0.25">
      <c r="A81" s="12" t="s">
        <v>330</v>
      </c>
      <c r="B81" s="12"/>
      <c r="C81" s="12" t="s">
        <v>843</v>
      </c>
      <c r="D81" s="12" t="s">
        <v>714</v>
      </c>
      <c r="E81" s="12" t="s">
        <v>1354</v>
      </c>
      <c r="F81" s="12"/>
      <c r="G81" s="13">
        <v>44920</v>
      </c>
      <c r="H81" s="14">
        <v>1</v>
      </c>
      <c r="I81" s="14"/>
      <c r="J81" s="8">
        <f>SUMIF(Journal!$A:$A,HeadJournal!$A81,Journal!$K:$K)+SUMIF(Journal!$A:$A,HeadJournal!$A81,Journal!$L:$L)+SUMIF(Journal!$A:$A,HeadJournal!$A81,Journal!$M:$M)</f>
        <v>1536</v>
      </c>
      <c r="K81" s="14">
        <f>768*2</f>
        <v>1536</v>
      </c>
      <c r="L81" s="14">
        <f t="shared" si="10"/>
        <v>230.39999999999998</v>
      </c>
      <c r="M81" s="8">
        <f>SUMIF(Journal!$A:$A,HeadJournal!$A81,Journal!$P:$P)</f>
        <v>1766.4</v>
      </c>
      <c r="N81" s="8">
        <f>SUMIF(Journal!$A:$A,HeadJournal!$A81,Journal!Q:Q)</f>
        <v>2583.1999999999998</v>
      </c>
      <c r="O81" s="18">
        <f>SUMIF(Journal!$A:$A,HeadJournal!$A81,Journal!U:U)</f>
        <v>816.8</v>
      </c>
      <c r="P81" s="22">
        <f t="shared" si="8"/>
        <v>0.46240942028985504</v>
      </c>
      <c r="Q81" s="7" t="b">
        <f t="shared" si="11"/>
        <v>1</v>
      </c>
      <c r="R81" s="73">
        <f t="shared" si="9"/>
        <v>0.13043478260869562</v>
      </c>
    </row>
    <row r="82" spans="1:18" x14ac:dyDescent="0.25">
      <c r="A82" s="12" t="s">
        <v>331</v>
      </c>
      <c r="B82" s="12"/>
      <c r="C82" s="12" t="s">
        <v>843</v>
      </c>
      <c r="D82" s="12" t="s">
        <v>714</v>
      </c>
      <c r="E82" s="12" t="s">
        <v>1354</v>
      </c>
      <c r="F82" s="12"/>
      <c r="G82" s="13">
        <v>44935</v>
      </c>
      <c r="H82" s="14">
        <v>1</v>
      </c>
      <c r="I82" s="14"/>
      <c r="J82" s="8">
        <f>SUMIF(Journal!$A:$A,HeadJournal!$A82,Journal!$K:$K)+SUMIF(Journal!$A:$A,HeadJournal!$A82,Journal!$L:$L)+SUMIF(Journal!$A:$A,HeadJournal!$A82,Journal!$M:$M)</f>
        <v>698</v>
      </c>
      <c r="K82" s="14">
        <f>698</f>
        <v>698</v>
      </c>
      <c r="L82" s="14">
        <f t="shared" si="10"/>
        <v>104.7</v>
      </c>
      <c r="M82" s="8">
        <f>SUMIF(Journal!$A:$A,HeadJournal!$A82,Journal!$P:$P)</f>
        <v>802.7</v>
      </c>
      <c r="N82" s="8">
        <f>SUMIF(Journal!$A:$A,HeadJournal!$A82,Journal!Q:Q)</f>
        <v>802.7</v>
      </c>
      <c r="O82" s="18">
        <f>SUMIF(Journal!$A:$A,HeadJournal!$A82,Journal!U:U)</f>
        <v>0</v>
      </c>
      <c r="P82" s="22">
        <f t="shared" si="8"/>
        <v>0</v>
      </c>
      <c r="Q82" s="7" t="b">
        <f t="shared" si="11"/>
        <v>1</v>
      </c>
      <c r="R82" s="73">
        <f t="shared" si="9"/>
        <v>0.13043478260869565</v>
      </c>
    </row>
    <row r="83" spans="1:18" x14ac:dyDescent="0.25">
      <c r="A83" s="61" t="s">
        <v>333</v>
      </c>
      <c r="B83" s="12" t="s">
        <v>1374</v>
      </c>
      <c r="C83" s="12" t="s">
        <v>1737</v>
      </c>
      <c r="D83" s="12" t="s">
        <v>714</v>
      </c>
      <c r="E83" s="12" t="s">
        <v>1338</v>
      </c>
      <c r="F83" s="57" t="s">
        <v>1375</v>
      </c>
      <c r="G83" s="13">
        <v>44933</v>
      </c>
      <c r="H83" s="14">
        <v>82</v>
      </c>
      <c r="I83" s="14">
        <v>-3.08</v>
      </c>
      <c r="J83" s="8">
        <f>SUMIF(Journal!$A:$A,HeadJournal!$A83,Journal!$K:$K)+SUMIF(Journal!$A:$A,HeadJournal!$A83,Journal!$L:$L)+SUMIF(Journal!$A:$A,HeadJournal!$A83,Journal!$M:$M)</f>
        <v>158.22999999999996</v>
      </c>
      <c r="K83" s="14">
        <v>158.22999999999999</v>
      </c>
      <c r="L83" s="14">
        <f>41.13*85.86+1500/3+530/3</f>
        <v>4208.088466666667</v>
      </c>
      <c r="M83" s="8">
        <f>SUMIF(Journal!$A:$A,HeadJournal!$A83,Journal!$P:$P)</f>
        <v>17182.948466666669</v>
      </c>
      <c r="N83" s="8">
        <f>SUMIF(Journal!$A:$A,HeadJournal!$A83,Journal!Q:Q)</f>
        <v>30400</v>
      </c>
      <c r="O83" s="18">
        <f>SUMIF(Journal!$A:$A,HeadJournal!$A83,Journal!U:U)</f>
        <v>13217.05153333333</v>
      </c>
      <c r="P83" s="22">
        <f t="shared" si="8"/>
        <v>0.7691957849360479</v>
      </c>
      <c r="R83" s="73">
        <f t="shared" si="9"/>
        <v>0.24489909137712715</v>
      </c>
    </row>
    <row r="84" spans="1:18" x14ac:dyDescent="0.25">
      <c r="A84" s="12" t="s">
        <v>342</v>
      </c>
      <c r="B84" s="12"/>
      <c r="C84" s="12" t="s">
        <v>1330</v>
      </c>
      <c r="D84" s="12" t="s">
        <v>714</v>
      </c>
      <c r="E84" s="12" t="s">
        <v>1331</v>
      </c>
      <c r="F84" s="12"/>
      <c r="G84" s="13">
        <v>44938</v>
      </c>
      <c r="H84" s="14">
        <v>1</v>
      </c>
      <c r="I84" s="14"/>
      <c r="J84" s="8">
        <f>SUMIF(Journal!$A:$A,HeadJournal!$A84,Journal!$K:$K)+SUMIF(Journal!$A:$A,HeadJournal!$A84,Journal!$L:$L)+SUMIF(Journal!$A:$A,HeadJournal!$A84,Journal!$M:$M)</f>
        <v>16492.400000000005</v>
      </c>
      <c r="K84" s="14">
        <v>16450</v>
      </c>
      <c r="L84" s="14">
        <v>0</v>
      </c>
      <c r="M84" s="8">
        <f>SUMIF(Journal!$A:$A,HeadJournal!$A84,Journal!$P:$P)</f>
        <v>16449.999999999996</v>
      </c>
      <c r="N84" s="8">
        <f>SUMIF(Journal!$A:$A,HeadJournal!$A84,Journal!Q:Q)</f>
        <v>45500</v>
      </c>
      <c r="O84" s="18">
        <f>SUMIF(Journal!$A:$A,HeadJournal!$A84,Journal!U:U)</f>
        <v>29050</v>
      </c>
      <c r="P84" s="22">
        <f t="shared" si="8"/>
        <v>1.7659574468085111</v>
      </c>
      <c r="Q84" s="7" t="b">
        <f t="shared" ref="Q84:Q91" si="12">J84=K84</f>
        <v>0</v>
      </c>
      <c r="R84" s="73">
        <f t="shared" si="9"/>
        <v>0</v>
      </c>
    </row>
    <row r="85" spans="1:18" x14ac:dyDescent="0.25">
      <c r="A85" s="12" t="s">
        <v>344</v>
      </c>
      <c r="B85" s="12"/>
      <c r="C85" s="12" t="s">
        <v>843</v>
      </c>
      <c r="D85" s="12" t="s">
        <v>714</v>
      </c>
      <c r="E85" s="12" t="s">
        <v>1354</v>
      </c>
      <c r="F85" s="12"/>
      <c r="G85" s="13">
        <v>44941</v>
      </c>
      <c r="H85" s="14">
        <v>1</v>
      </c>
      <c r="I85" s="14"/>
      <c r="J85" s="8">
        <f>SUMIF(Journal!$A:$A,HeadJournal!$A85,Journal!$K:$K)+SUMIF(Journal!$A:$A,HeadJournal!$A85,Journal!$L:$L)+SUMIF(Journal!$A:$A,HeadJournal!$A85,Journal!$M:$M)</f>
        <v>8042</v>
      </c>
      <c r="K85" s="14">
        <f>485+243+3190+318+283+318+209+306+243+582+485+582+283+209+153+153</f>
        <v>8042</v>
      </c>
      <c r="L85" s="14">
        <f t="shared" ref="L85:L91" si="13">K85*0.15</f>
        <v>1206.3</v>
      </c>
      <c r="M85" s="8">
        <f>SUMIF(Journal!$A:$A,HeadJournal!$A85,Journal!$P:$P)</f>
        <v>9248.2999999999993</v>
      </c>
      <c r="N85" s="8">
        <f>SUMIF(Journal!$A:$A,HeadJournal!$A85,Journal!Q:Q)</f>
        <v>13650</v>
      </c>
      <c r="O85" s="18">
        <f>SUMIF(Journal!$A:$A,HeadJournal!$A85,Journal!U:U)</f>
        <v>4401.7</v>
      </c>
      <c r="P85" s="22">
        <f t="shared" si="8"/>
        <v>0.47594693078727984</v>
      </c>
      <c r="Q85" s="7" t="b">
        <f t="shared" si="12"/>
        <v>1</v>
      </c>
      <c r="R85" s="73">
        <f t="shared" si="9"/>
        <v>0.13043478260869565</v>
      </c>
    </row>
    <row r="86" spans="1:18" x14ac:dyDescent="0.25">
      <c r="A86" s="12" t="s">
        <v>354</v>
      </c>
      <c r="B86" s="12"/>
      <c r="C86" s="12" t="s">
        <v>1328</v>
      </c>
      <c r="D86" s="12" t="s">
        <v>714</v>
      </c>
      <c r="E86" s="12" t="s">
        <v>1354</v>
      </c>
      <c r="F86" s="12"/>
      <c r="G86" s="13">
        <v>44933</v>
      </c>
      <c r="H86" s="14">
        <v>1</v>
      </c>
      <c r="I86" s="14"/>
      <c r="J86" s="8">
        <f>SUMIF(Journal!$A:$A,HeadJournal!$A86,Journal!$K:$K)+SUMIF(Journal!$A:$A,HeadJournal!$A86,Journal!$L:$L)+SUMIF(Journal!$A:$A,HeadJournal!$A86,Journal!$M:$M)</f>
        <v>1266</v>
      </c>
      <c r="K86" s="14">
        <v>1266</v>
      </c>
      <c r="L86" s="14">
        <f t="shared" si="13"/>
        <v>189.9</v>
      </c>
      <c r="M86" s="8">
        <f>SUMIF(Journal!$A:$A,HeadJournal!$A86,Journal!$P:$P)</f>
        <v>1455.9</v>
      </c>
      <c r="N86" s="8">
        <f>SUMIF(Journal!$A:$A,HeadJournal!$A86,Journal!Q:Q)</f>
        <v>2500</v>
      </c>
      <c r="O86" s="18">
        <f>SUMIF(Journal!$A:$A,HeadJournal!$A86,Journal!U:U)</f>
        <v>1044.0999999999999</v>
      </c>
      <c r="P86" s="22">
        <f t="shared" si="8"/>
        <v>0.71715090322137498</v>
      </c>
      <c r="Q86" s="7" t="b">
        <f t="shared" si="12"/>
        <v>1</v>
      </c>
      <c r="R86" s="73">
        <f t="shared" si="9"/>
        <v>0.13043478260869565</v>
      </c>
    </row>
    <row r="87" spans="1:18" x14ac:dyDescent="0.25">
      <c r="A87" s="12" t="s">
        <v>356</v>
      </c>
      <c r="B87" s="12"/>
      <c r="C87" s="12" t="s">
        <v>1328</v>
      </c>
      <c r="D87" s="12" t="s">
        <v>714</v>
      </c>
      <c r="E87" s="12" t="s">
        <v>1354</v>
      </c>
      <c r="F87" s="12"/>
      <c r="G87" s="13">
        <v>44933</v>
      </c>
      <c r="H87" s="14">
        <v>1</v>
      </c>
      <c r="I87" s="14"/>
      <c r="J87" s="8">
        <f>SUMIF(Journal!$A:$A,HeadJournal!$A87,Journal!$K:$K)+SUMIF(Journal!$A:$A,HeadJournal!$A87,Journal!$L:$L)+SUMIF(Journal!$A:$A,HeadJournal!$A87,Journal!$M:$M)</f>
        <v>782</v>
      </c>
      <c r="K87" s="14">
        <v>782</v>
      </c>
      <c r="L87" s="14">
        <f t="shared" si="13"/>
        <v>117.3</v>
      </c>
      <c r="M87" s="8">
        <f>SUMIF(Journal!$A:$A,HeadJournal!$A87,Journal!$P:$P)</f>
        <v>899.3</v>
      </c>
      <c r="N87" s="8">
        <f>SUMIF(Journal!$A:$A,HeadJournal!$A87,Journal!Q:Q)</f>
        <v>1900</v>
      </c>
      <c r="O87" s="18">
        <f>SUMIF(Journal!$A:$A,HeadJournal!$A87,Journal!U:U)</f>
        <v>1000.7</v>
      </c>
      <c r="P87" s="22">
        <f t="shared" si="8"/>
        <v>1.1127543645057267</v>
      </c>
      <c r="Q87" s="7" t="b">
        <f t="shared" si="12"/>
        <v>1</v>
      </c>
      <c r="R87" s="73">
        <f t="shared" si="9"/>
        <v>0.13043478260869565</v>
      </c>
    </row>
    <row r="88" spans="1:18" x14ac:dyDescent="0.25">
      <c r="A88" s="12" t="s">
        <v>358</v>
      </c>
      <c r="B88" s="12"/>
      <c r="C88" s="12" t="s">
        <v>1328</v>
      </c>
      <c r="D88" s="12" t="s">
        <v>714</v>
      </c>
      <c r="E88" s="12" t="s">
        <v>1354</v>
      </c>
      <c r="F88" s="12"/>
      <c r="G88" s="13">
        <v>44933</v>
      </c>
      <c r="H88" s="14">
        <v>1</v>
      </c>
      <c r="I88" s="14"/>
      <c r="J88" s="8">
        <f>SUMIF(Journal!$A:$A,HeadJournal!$A88,Journal!$K:$K)+SUMIF(Journal!$A:$A,HeadJournal!$A88,Journal!$L:$L)+SUMIF(Journal!$A:$A,HeadJournal!$A88,Journal!$M:$M)</f>
        <v>1273</v>
      </c>
      <c r="K88" s="14">
        <v>1273</v>
      </c>
      <c r="L88" s="14">
        <f t="shared" si="13"/>
        <v>190.95</v>
      </c>
      <c r="M88" s="8">
        <f>SUMIF(Journal!$A:$A,HeadJournal!$A88,Journal!$P:$P)</f>
        <v>1463.9499999999998</v>
      </c>
      <c r="N88" s="8">
        <f>SUMIF(Journal!$A:$A,HeadJournal!$A88,Journal!Q:Q)</f>
        <v>700</v>
      </c>
      <c r="O88" s="18">
        <f>SUMIF(Journal!$A:$A,HeadJournal!$A88,Journal!U:U)</f>
        <v>-763.94999999999993</v>
      </c>
      <c r="P88" s="22">
        <f t="shared" si="8"/>
        <v>-0.52184159295057897</v>
      </c>
      <c r="Q88" s="7" t="b">
        <f t="shared" si="12"/>
        <v>1</v>
      </c>
      <c r="R88" s="73">
        <f t="shared" si="9"/>
        <v>0.13043478260869565</v>
      </c>
    </row>
    <row r="89" spans="1:18" x14ac:dyDescent="0.25">
      <c r="A89" s="12" t="s">
        <v>361</v>
      </c>
      <c r="B89" s="12"/>
      <c r="C89" s="12" t="s">
        <v>1328</v>
      </c>
      <c r="D89" s="12" t="s">
        <v>714</v>
      </c>
      <c r="E89" s="12" t="s">
        <v>1354</v>
      </c>
      <c r="F89" s="12"/>
      <c r="G89" s="13">
        <v>44934</v>
      </c>
      <c r="H89" s="14">
        <v>1</v>
      </c>
      <c r="I89" s="14"/>
      <c r="J89" s="8">
        <f>SUMIF(Journal!$A:$A,HeadJournal!$A89,Journal!$K:$K)+SUMIF(Journal!$A:$A,HeadJournal!$A89,Journal!$L:$L)+SUMIF(Journal!$A:$A,HeadJournal!$A89,Journal!$M:$M)</f>
        <v>2766</v>
      </c>
      <c r="K89" s="14">
        <v>2766</v>
      </c>
      <c r="L89" s="14">
        <f t="shared" si="13"/>
        <v>414.9</v>
      </c>
      <c r="M89" s="8">
        <f>SUMIF(Journal!$A:$A,HeadJournal!$A89,Journal!$P:$P)</f>
        <v>3180.9</v>
      </c>
      <c r="N89" s="8">
        <f>SUMIF(Journal!$A:$A,HeadJournal!$A89,Journal!Q:Q)</f>
        <v>4000</v>
      </c>
      <c r="O89" s="18">
        <f>SUMIF(Journal!$A:$A,HeadJournal!$A89,Journal!U:U)</f>
        <v>819.09999999999991</v>
      </c>
      <c r="P89" s="22">
        <f t="shared" si="8"/>
        <v>0.25750573736992671</v>
      </c>
      <c r="Q89" s="7" t="b">
        <f t="shared" si="12"/>
        <v>1</v>
      </c>
      <c r="R89" s="73">
        <f t="shared" si="9"/>
        <v>0.13043478260869565</v>
      </c>
    </row>
    <row r="90" spans="1:18" x14ac:dyDescent="0.25">
      <c r="A90" s="12" t="s">
        <v>363</v>
      </c>
      <c r="B90" s="12"/>
      <c r="C90" s="12" t="s">
        <v>1328</v>
      </c>
      <c r="D90" s="12" t="s">
        <v>714</v>
      </c>
      <c r="E90" s="12" t="s">
        <v>1354</v>
      </c>
      <c r="F90" s="12"/>
      <c r="G90" s="13">
        <v>44937</v>
      </c>
      <c r="H90" s="14">
        <v>1</v>
      </c>
      <c r="I90" s="14"/>
      <c r="J90" s="8">
        <f>SUMIF(Journal!$A:$A,HeadJournal!$A90,Journal!$K:$K)+SUMIF(Journal!$A:$A,HeadJournal!$A90,Journal!$L:$L)+SUMIF(Journal!$A:$A,HeadJournal!$A90,Journal!$M:$M)</f>
        <v>3872</v>
      </c>
      <c r="K90" s="14">
        <v>3872</v>
      </c>
      <c r="L90" s="14">
        <f t="shared" si="13"/>
        <v>580.79999999999995</v>
      </c>
      <c r="M90" s="8">
        <f>SUMIF(Journal!$A:$A,HeadJournal!$A90,Journal!$P:$P)</f>
        <v>4452.8</v>
      </c>
      <c r="N90" s="8">
        <f>SUMIF(Journal!$A:$A,HeadJournal!$A90,Journal!Q:Q)</f>
        <v>5800</v>
      </c>
      <c r="O90" s="18">
        <f>SUMIF(Journal!$A:$A,HeadJournal!$A90,Journal!U:U)</f>
        <v>1347.1999999999998</v>
      </c>
      <c r="P90" s="22">
        <f t="shared" si="8"/>
        <v>0.30255120373697442</v>
      </c>
      <c r="Q90" s="7" t="b">
        <f t="shared" si="12"/>
        <v>1</v>
      </c>
      <c r="R90" s="73">
        <f t="shared" si="9"/>
        <v>0.13043478260869565</v>
      </c>
    </row>
    <row r="91" spans="1:18" x14ac:dyDescent="0.25">
      <c r="A91" s="12" t="s">
        <v>365</v>
      </c>
      <c r="B91" s="12"/>
      <c r="C91" s="12" t="s">
        <v>1328</v>
      </c>
      <c r="D91" s="12" t="s">
        <v>714</v>
      </c>
      <c r="E91" s="12" t="s">
        <v>1354</v>
      </c>
      <c r="F91" s="12"/>
      <c r="G91" s="13">
        <v>44938</v>
      </c>
      <c r="H91" s="14">
        <v>1</v>
      </c>
      <c r="I91" s="14"/>
      <c r="J91" s="8">
        <f>SUMIF(Journal!$A:$A,HeadJournal!$A91,Journal!$K:$K)+SUMIF(Journal!$A:$A,HeadJournal!$A91,Journal!$L:$L)+SUMIF(Journal!$A:$A,HeadJournal!$A91,Journal!$M:$M)</f>
        <v>1830</v>
      </c>
      <c r="K91" s="14">
        <v>1830</v>
      </c>
      <c r="L91" s="14">
        <f t="shared" si="13"/>
        <v>274.5</v>
      </c>
      <c r="M91" s="8">
        <f>SUMIF(Journal!$A:$A,HeadJournal!$A91,Journal!$P:$P)</f>
        <v>2104.5</v>
      </c>
      <c r="N91" s="8">
        <f>SUMIF(Journal!$A:$A,HeadJournal!$A91,Journal!Q:Q)</f>
        <v>3900</v>
      </c>
      <c r="O91" s="18">
        <f>SUMIF(Journal!$A:$A,HeadJournal!$A91,Journal!U:U)</f>
        <v>1795.5</v>
      </c>
      <c r="P91" s="22">
        <f t="shared" si="8"/>
        <v>0.85317177476835349</v>
      </c>
      <c r="Q91" s="7" t="b">
        <f t="shared" si="12"/>
        <v>1</v>
      </c>
      <c r="R91" s="73">
        <f t="shared" si="9"/>
        <v>0.13043478260869565</v>
      </c>
    </row>
    <row r="92" spans="1:18" x14ac:dyDescent="0.25">
      <c r="A92" s="58" t="s">
        <v>366</v>
      </c>
      <c r="B92" s="12" t="s">
        <v>1376</v>
      </c>
      <c r="C92" s="12" t="s">
        <v>1751</v>
      </c>
      <c r="D92" s="12" t="s">
        <v>714</v>
      </c>
      <c r="E92" s="12" t="s">
        <v>1338</v>
      </c>
      <c r="F92" s="124" t="s">
        <v>1377</v>
      </c>
      <c r="G92" s="13">
        <v>44942</v>
      </c>
      <c r="H92" s="14">
        <v>75</v>
      </c>
      <c r="I92" s="14">
        <v>-13.16</v>
      </c>
      <c r="J92" s="8">
        <f>SUMIF(Journal!$A:$A,HeadJournal!$A92,Journal!$K:$K)+SUMIF(Journal!$A:$A,HeadJournal!$A92,Journal!$L:$L)+SUMIF(Journal!$A:$A,HeadJournal!$A92,Journal!$M:$M)</f>
        <v>131.22</v>
      </c>
      <c r="K92" s="14">
        <v>131.22</v>
      </c>
      <c r="L92" s="14">
        <f>59.35*89.91+200</f>
        <v>5536.1584999999995</v>
      </c>
      <c r="M92" s="8">
        <f>SUMIF(Journal!$A:$A,HeadJournal!$A92,Journal!$P:$P)</f>
        <v>15377.658500000001</v>
      </c>
      <c r="N92" s="8">
        <f>SUMIF(Journal!$A:$A,HeadJournal!$A92,Journal!Q:Q)</f>
        <v>29083.43</v>
      </c>
      <c r="O92" s="18">
        <f>SUMIF(Journal!$A:$A,HeadJournal!$A92,Journal!U:U)</f>
        <v>13705.771499999999</v>
      </c>
      <c r="P92" s="22">
        <f t="shared" si="8"/>
        <v>0.89127818126537262</v>
      </c>
      <c r="R92" s="73">
        <f t="shared" si="9"/>
        <v>0.36001309952357174</v>
      </c>
    </row>
    <row r="93" spans="1:18" x14ac:dyDescent="0.25">
      <c r="A93" s="12" t="s">
        <v>371</v>
      </c>
      <c r="B93" s="12"/>
      <c r="C93" s="12" t="s">
        <v>1359</v>
      </c>
      <c r="D93" s="12" t="s">
        <v>714</v>
      </c>
      <c r="E93" s="12" t="s">
        <v>1358</v>
      </c>
      <c r="F93" s="12"/>
      <c r="G93" s="13">
        <v>44944</v>
      </c>
      <c r="H93" s="14">
        <v>1</v>
      </c>
      <c r="I93" s="14"/>
      <c r="J93" s="8">
        <f>SUMIF(Journal!$A:$A,HeadJournal!$A93,Journal!$K:$K)+SUMIF(Journal!$A:$A,HeadJournal!$A93,Journal!$L:$L)+SUMIF(Journal!$A:$A,HeadJournal!$A93,Journal!$M:$M)</f>
        <v>3392</v>
      </c>
      <c r="K93" s="14">
        <v>3400</v>
      </c>
      <c r="L93" s="14">
        <v>0</v>
      </c>
      <c r="M93" s="8">
        <f>SUMIF(Journal!$A:$A,HeadJournal!$A93,Journal!$P:$P)</f>
        <v>3400</v>
      </c>
      <c r="N93" s="8">
        <f>SUMIF(Journal!$A:$A,HeadJournal!$A93,Journal!Q:Q)</f>
        <v>4400</v>
      </c>
      <c r="O93" s="18">
        <f>SUMIF(Journal!$A:$A,HeadJournal!$A93,Journal!U:U)</f>
        <v>1000.0000000000002</v>
      </c>
      <c r="P93" s="22">
        <f t="shared" si="8"/>
        <v>0.29411764705882359</v>
      </c>
      <c r="Q93" s="7" t="b">
        <f t="shared" ref="Q93:Q101" si="14">J93=K93</f>
        <v>0</v>
      </c>
      <c r="R93" s="73">
        <f t="shared" si="9"/>
        <v>0</v>
      </c>
    </row>
    <row r="94" spans="1:18" x14ac:dyDescent="0.25">
      <c r="A94" s="12" t="s">
        <v>372</v>
      </c>
      <c r="B94" s="12"/>
      <c r="C94" s="12" t="s">
        <v>1330</v>
      </c>
      <c r="D94" s="12" t="s">
        <v>714</v>
      </c>
      <c r="E94" s="12" t="s">
        <v>1331</v>
      </c>
      <c r="F94" s="12"/>
      <c r="G94" s="13">
        <v>44944</v>
      </c>
      <c r="H94" s="14">
        <v>1</v>
      </c>
      <c r="I94" s="14"/>
      <c r="J94" s="8">
        <f>SUMIF(Journal!$A:$A,HeadJournal!$A94,Journal!$K:$K)+SUMIF(Journal!$A:$A,HeadJournal!$A94,Journal!$L:$L)+SUMIF(Journal!$A:$A,HeadJournal!$A94,Journal!$M:$M)</f>
        <v>14848.199999999999</v>
      </c>
      <c r="K94" s="14">
        <v>14850</v>
      </c>
      <c r="L94" s="14">
        <v>0</v>
      </c>
      <c r="M94" s="8">
        <f>SUMIF(Journal!$A:$A,HeadJournal!$A94,Journal!$P:$P)</f>
        <v>14850.000000000004</v>
      </c>
      <c r="N94" s="8">
        <f>SUMIF(Journal!$A:$A,HeadJournal!$A94,Journal!Q:Q)</f>
        <v>34950</v>
      </c>
      <c r="O94" s="18">
        <f>SUMIF(Journal!$A:$A,HeadJournal!$A94,Journal!U:U)</f>
        <v>20100</v>
      </c>
      <c r="P94" s="22">
        <f t="shared" si="8"/>
        <v>1.3535353535353531</v>
      </c>
      <c r="Q94" s="7" t="b">
        <f t="shared" si="14"/>
        <v>0</v>
      </c>
      <c r="R94" s="73">
        <f t="shared" si="9"/>
        <v>0</v>
      </c>
    </row>
    <row r="95" spans="1:18" x14ac:dyDescent="0.25">
      <c r="A95" s="12" t="s">
        <v>375</v>
      </c>
      <c r="B95" s="12"/>
      <c r="C95" s="12" t="s">
        <v>1328</v>
      </c>
      <c r="D95" s="12" t="s">
        <v>714</v>
      </c>
      <c r="E95" s="12" t="s">
        <v>1354</v>
      </c>
      <c r="F95" s="12"/>
      <c r="G95" s="13">
        <v>44945</v>
      </c>
      <c r="H95" s="14">
        <v>1</v>
      </c>
      <c r="I95" s="14"/>
      <c r="J95" s="8">
        <f>SUMIF(Journal!$A:$A,HeadJournal!$A95,Journal!$K:$K)+SUMIF(Journal!$A:$A,HeadJournal!$A95,Journal!$L:$L)+SUMIF(Journal!$A:$A,HeadJournal!$A95,Journal!$M:$M)</f>
        <v>5159</v>
      </c>
      <c r="K95" s="14">
        <v>5159</v>
      </c>
      <c r="L95" s="14">
        <f>K95*0.15</f>
        <v>773.85</v>
      </c>
      <c r="M95" s="8">
        <f>SUMIF(Journal!$A:$A,HeadJournal!$A95,Journal!$P:$P)</f>
        <v>5932.85</v>
      </c>
      <c r="N95" s="8">
        <f>SUMIF(Journal!$A:$A,HeadJournal!$A95,Journal!Q:Q)</f>
        <v>11800</v>
      </c>
      <c r="O95" s="18">
        <f>SUMIF(Journal!$A:$A,HeadJournal!$A95,Journal!U:U)</f>
        <v>5867.15</v>
      </c>
      <c r="P95" s="22">
        <f t="shared" si="8"/>
        <v>0.98892606420185902</v>
      </c>
      <c r="Q95" s="7" t="b">
        <f t="shared" si="14"/>
        <v>1</v>
      </c>
      <c r="R95" s="73">
        <f t="shared" si="9"/>
        <v>0.13043478260869565</v>
      </c>
    </row>
    <row r="96" spans="1:18" x14ac:dyDescent="0.25">
      <c r="A96" s="12" t="s">
        <v>379</v>
      </c>
      <c r="B96" s="12"/>
      <c r="C96" s="12" t="s">
        <v>1328</v>
      </c>
      <c r="D96" s="12" t="s">
        <v>714</v>
      </c>
      <c r="E96" s="12" t="s">
        <v>1354</v>
      </c>
      <c r="F96" s="12"/>
      <c r="G96" s="13">
        <v>44946</v>
      </c>
      <c r="H96" s="14">
        <v>1</v>
      </c>
      <c r="I96" s="14"/>
      <c r="J96" s="8">
        <f>SUMIF(Journal!$A:$A,HeadJournal!$A96,Journal!$K:$K)+SUMIF(Journal!$A:$A,HeadJournal!$A96,Journal!$L:$L)+SUMIF(Journal!$A:$A,HeadJournal!$A96,Journal!$M:$M)</f>
        <v>3387</v>
      </c>
      <c r="K96" s="14">
        <v>3387</v>
      </c>
      <c r="L96" s="14">
        <f>K96*0.15</f>
        <v>508.04999999999995</v>
      </c>
      <c r="M96" s="8">
        <f>SUMIF(Journal!$A:$A,HeadJournal!$A96,Journal!$P:$P)</f>
        <v>3895.05</v>
      </c>
      <c r="N96" s="8">
        <f>SUMIF(Journal!$A:$A,HeadJournal!$A96,Journal!Q:Q)</f>
        <v>6100</v>
      </c>
      <c r="O96" s="18">
        <f>SUMIF(Journal!$A:$A,HeadJournal!$A96,Journal!U:U)</f>
        <v>2204.9499999999998</v>
      </c>
      <c r="P96" s="22">
        <f t="shared" si="8"/>
        <v>0.56609029409121825</v>
      </c>
      <c r="Q96" s="7" t="b">
        <f t="shared" si="14"/>
        <v>1</v>
      </c>
      <c r="R96" s="73">
        <f t="shared" si="9"/>
        <v>0.13043478260869562</v>
      </c>
    </row>
    <row r="97" spans="1:18" x14ac:dyDescent="0.25">
      <c r="A97" s="12" t="s">
        <v>380</v>
      </c>
      <c r="B97" s="12"/>
      <c r="C97" s="12" t="s">
        <v>1328</v>
      </c>
      <c r="D97" s="12" t="s">
        <v>714</v>
      </c>
      <c r="E97" s="12" t="s">
        <v>1354</v>
      </c>
      <c r="F97" s="12"/>
      <c r="G97" s="13">
        <v>44947</v>
      </c>
      <c r="H97" s="14">
        <v>1</v>
      </c>
      <c r="I97" s="14"/>
      <c r="J97" s="8">
        <f>SUMIF(Journal!$A:$A,HeadJournal!$A97,Journal!$K:$K)+SUMIF(Journal!$A:$A,HeadJournal!$A97,Journal!$L:$L)+SUMIF(Journal!$A:$A,HeadJournal!$A97,Journal!$M:$M)</f>
        <v>3370</v>
      </c>
      <c r="K97" s="14">
        <v>3370</v>
      </c>
      <c r="L97" s="14">
        <f>K97*0.15</f>
        <v>505.5</v>
      </c>
      <c r="M97" s="8">
        <f>SUMIF(Journal!$A:$A,HeadJournal!$A97,Journal!$P:$P)</f>
        <v>3875.5</v>
      </c>
      <c r="N97" s="8">
        <f>SUMIF(Journal!$A:$A,HeadJournal!$A97,Journal!Q:Q)</f>
        <v>5600</v>
      </c>
      <c r="O97" s="18">
        <f>SUMIF(Journal!$A:$A,HeadJournal!$A97,Journal!U:U)</f>
        <v>1724.5</v>
      </c>
      <c r="P97" s="22">
        <f t="shared" si="8"/>
        <v>0.44497484195587667</v>
      </c>
      <c r="Q97" s="7" t="b">
        <f t="shared" si="14"/>
        <v>1</v>
      </c>
      <c r="R97" s="73">
        <f t="shared" si="9"/>
        <v>0.13043478260869565</v>
      </c>
    </row>
    <row r="98" spans="1:18" x14ac:dyDescent="0.25">
      <c r="A98" s="12" t="s">
        <v>383</v>
      </c>
      <c r="B98" s="12"/>
      <c r="C98" s="12" t="s">
        <v>1328</v>
      </c>
      <c r="D98" s="12" t="s">
        <v>714</v>
      </c>
      <c r="E98" s="12" t="s">
        <v>1354</v>
      </c>
      <c r="F98" s="12"/>
      <c r="G98" s="13">
        <v>44947</v>
      </c>
      <c r="H98" s="14">
        <v>1</v>
      </c>
      <c r="I98" s="14"/>
      <c r="J98" s="8">
        <f>SUMIF(Journal!$A:$A,HeadJournal!$A98,Journal!$K:$K)+SUMIF(Journal!$A:$A,HeadJournal!$A98,Journal!$L:$L)+SUMIF(Journal!$A:$A,HeadJournal!$A98,Journal!$M:$M)</f>
        <v>1138</v>
      </c>
      <c r="K98" s="14">
        <v>1138</v>
      </c>
      <c r="L98" s="14">
        <f>K98*0.15</f>
        <v>170.7</v>
      </c>
      <c r="M98" s="8">
        <f>SUMIF(Journal!$A:$A,HeadJournal!$A98,Journal!$P:$P)</f>
        <v>1308.7</v>
      </c>
      <c r="N98" s="8">
        <f>SUMIF(Journal!$A:$A,HeadJournal!$A98,Journal!Q:Q)</f>
        <v>2000</v>
      </c>
      <c r="O98" s="18">
        <f>SUMIF(Journal!$A:$A,HeadJournal!$A98,Journal!U:U)</f>
        <v>691.3</v>
      </c>
      <c r="P98" s="22">
        <f t="shared" si="8"/>
        <v>0.52823412546802162</v>
      </c>
      <c r="Q98" s="7" t="b">
        <f t="shared" si="14"/>
        <v>1</v>
      </c>
      <c r="R98" s="73">
        <f t="shared" si="9"/>
        <v>0.13043478260869565</v>
      </c>
    </row>
    <row r="99" spans="1:18" x14ac:dyDescent="0.25">
      <c r="A99" s="12" t="s">
        <v>385</v>
      </c>
      <c r="B99" s="12"/>
      <c r="C99" s="12" t="s">
        <v>1359</v>
      </c>
      <c r="D99" s="12" t="s">
        <v>714</v>
      </c>
      <c r="E99" s="12" t="s">
        <v>1358</v>
      </c>
      <c r="F99" s="12"/>
      <c r="G99" s="13">
        <v>44949</v>
      </c>
      <c r="H99" s="14">
        <v>1</v>
      </c>
      <c r="I99" s="14"/>
      <c r="J99" s="8">
        <f>SUMIF(Journal!$A:$A,HeadJournal!$A99,Journal!$K:$K)+SUMIF(Journal!$A:$A,HeadJournal!$A99,Journal!$L:$L)+SUMIF(Journal!$A:$A,HeadJournal!$A99,Journal!$M:$M)</f>
        <v>4544</v>
      </c>
      <c r="K99" s="14">
        <v>4600</v>
      </c>
      <c r="L99" s="14">
        <v>0</v>
      </c>
      <c r="M99" s="8">
        <f>SUMIF(Journal!$A:$A,HeadJournal!$A99,Journal!$P:$P)</f>
        <v>4600</v>
      </c>
      <c r="N99" s="8">
        <f>SUMIF(Journal!$A:$A,HeadJournal!$A99,Journal!Q:Q)</f>
        <v>5850</v>
      </c>
      <c r="O99" s="18">
        <f>SUMIF(Journal!$A:$A,HeadJournal!$A99,Journal!U:U)</f>
        <v>1250</v>
      </c>
      <c r="P99" s="22">
        <f t="shared" si="8"/>
        <v>0.27173913043478259</v>
      </c>
      <c r="Q99" s="7" t="b">
        <f t="shared" si="14"/>
        <v>0</v>
      </c>
      <c r="R99" s="73">
        <f t="shared" si="9"/>
        <v>0</v>
      </c>
    </row>
    <row r="100" spans="1:18" x14ac:dyDescent="0.25">
      <c r="A100" s="12" t="s">
        <v>388</v>
      </c>
      <c r="B100" s="12"/>
      <c r="C100" s="12" t="s">
        <v>1330</v>
      </c>
      <c r="D100" s="12" t="s">
        <v>714</v>
      </c>
      <c r="E100" s="12" t="s">
        <v>1331</v>
      </c>
      <c r="F100" s="12"/>
      <c r="G100" s="13">
        <v>44951</v>
      </c>
      <c r="H100" s="14">
        <v>1</v>
      </c>
      <c r="I100" s="14"/>
      <c r="J100" s="8">
        <f>SUMIF(Journal!$A:$A,HeadJournal!$A100,Journal!$K:$K)+SUMIF(Journal!$A:$A,HeadJournal!$A100,Journal!$L:$L)+SUMIF(Journal!$A:$A,HeadJournal!$A100,Journal!$M:$M)</f>
        <v>12537</v>
      </c>
      <c r="K100" s="14">
        <v>12900</v>
      </c>
      <c r="L100" s="14">
        <v>0</v>
      </c>
      <c r="M100" s="8">
        <f>SUMIF(Journal!$A:$A,HeadJournal!$A100,Journal!$P:$P)</f>
        <v>12899.999999999998</v>
      </c>
      <c r="N100" s="8">
        <f>SUMIF(Journal!$A:$A,HeadJournal!$A100,Journal!Q:Q)</f>
        <v>25850</v>
      </c>
      <c r="O100" s="18">
        <f>SUMIF(Journal!$A:$A,HeadJournal!$A100,Journal!U:U)</f>
        <v>12950.000000000002</v>
      </c>
      <c r="P100" s="22">
        <f t="shared" si="8"/>
        <v>1.0038759689922483</v>
      </c>
      <c r="Q100" s="7" t="b">
        <f t="shared" si="14"/>
        <v>0</v>
      </c>
      <c r="R100" s="73">
        <f t="shared" si="9"/>
        <v>0</v>
      </c>
    </row>
    <row r="101" spans="1:18" x14ac:dyDescent="0.25">
      <c r="A101" s="60" t="s">
        <v>393</v>
      </c>
      <c r="B101" s="12" t="s">
        <v>1378</v>
      </c>
      <c r="C101" s="12" t="s">
        <v>1752</v>
      </c>
      <c r="D101" s="12" t="s">
        <v>714</v>
      </c>
      <c r="E101" s="12" t="s">
        <v>1369</v>
      </c>
      <c r="F101" s="12"/>
      <c r="G101" s="13">
        <v>44937</v>
      </c>
      <c r="H101" s="14">
        <v>77</v>
      </c>
      <c r="I101" s="14">
        <f>-9.91+12.56</f>
        <v>2.6500000000000004</v>
      </c>
      <c r="J101" s="8">
        <f>SUMIF(Journal!$A:$A,HeadJournal!$A101,Journal!$K:$K)+SUMIF(Journal!$A:$A,HeadJournal!$A101,Journal!$L:$L)+SUMIF(Journal!$A:$A,HeadJournal!$A101,Journal!$M:$M)</f>
        <v>107.31999999999998</v>
      </c>
      <c r="K101" s="14">
        <v>107.32</v>
      </c>
      <c r="L101" s="14">
        <f>703+500+200</f>
        <v>1403</v>
      </c>
      <c r="M101" s="8">
        <f>SUMIF(Journal!$A:$A,HeadJournal!$A101,Journal!$P:$P)</f>
        <v>9666.6400000000031</v>
      </c>
      <c r="N101" s="8">
        <f>SUMIF(Journal!$A:$A,HeadJournal!$A101,Journal!Q:Q)</f>
        <v>18313.89</v>
      </c>
      <c r="O101" s="18">
        <f>SUMIF(Journal!$A:$A,HeadJournal!$A101,Journal!U:U)</f>
        <v>8647.2499999999982</v>
      </c>
      <c r="P101" s="22">
        <f t="shared" si="8"/>
        <v>0.89454557116019584</v>
      </c>
      <c r="Q101" s="7" t="b">
        <f t="shared" si="14"/>
        <v>1</v>
      </c>
      <c r="R101" s="73">
        <f t="shared" si="9"/>
        <v>0.14513833141608662</v>
      </c>
    </row>
    <row r="102" spans="1:18" x14ac:dyDescent="0.25">
      <c r="A102" s="58" t="s">
        <v>396</v>
      </c>
      <c r="B102" s="12" t="s">
        <v>1379</v>
      </c>
      <c r="C102" s="12" t="s">
        <v>1751</v>
      </c>
      <c r="D102" s="12" t="s">
        <v>714</v>
      </c>
      <c r="E102" s="12" t="s">
        <v>1369</v>
      </c>
      <c r="F102" s="12"/>
      <c r="G102" s="13">
        <v>44950</v>
      </c>
      <c r="H102" s="14">
        <v>77</v>
      </c>
      <c r="I102" s="14">
        <v>25.52</v>
      </c>
      <c r="J102" s="8">
        <f>SUMIF(Journal!$A:$A,HeadJournal!$A102,Journal!$K:$K)+SUMIF(Journal!$A:$A,HeadJournal!$A102,Journal!$L:$L)+SUMIF(Journal!$A:$A,HeadJournal!$A102,Journal!$M:$M)</f>
        <v>238.21</v>
      </c>
      <c r="K102" s="14">
        <v>238.21</v>
      </c>
      <c r="L102" s="14">
        <f>1692+30+400</f>
        <v>2122</v>
      </c>
      <c r="M102" s="8">
        <f>SUMIF(Journal!$A:$A,HeadJournal!$A102,Journal!$P:$P)</f>
        <v>20464.170000000002</v>
      </c>
      <c r="N102" s="8">
        <f>SUMIF(Journal!$A:$A,HeadJournal!$A102,Journal!Q:Q)</f>
        <v>37850</v>
      </c>
      <c r="O102" s="18">
        <f>SUMIF(Journal!$A:$A,HeadJournal!$A102,Journal!U:U)</f>
        <v>17385.830000000002</v>
      </c>
      <c r="P102" s="22">
        <f t="shared" si="8"/>
        <v>0.8495741581505627</v>
      </c>
      <c r="R102" s="73">
        <f t="shared" si="9"/>
        <v>0.10369343100648597</v>
      </c>
    </row>
    <row r="103" spans="1:18" x14ac:dyDescent="0.25">
      <c r="A103" s="12" t="s">
        <v>400</v>
      </c>
      <c r="B103" s="12"/>
      <c r="C103" s="12" t="s">
        <v>1328</v>
      </c>
      <c r="D103" s="12" t="s">
        <v>714</v>
      </c>
      <c r="E103" s="12" t="s">
        <v>1354</v>
      </c>
      <c r="F103" s="12"/>
      <c r="G103" s="13">
        <v>44950</v>
      </c>
      <c r="H103" s="14">
        <v>1</v>
      </c>
      <c r="I103" s="14">
        <v>0</v>
      </c>
      <c r="J103" s="8">
        <f>SUMIF(Journal!$A:$A,HeadJournal!$A103,Journal!$K:$K)+SUMIF(Journal!$A:$A,HeadJournal!$A103,Journal!$L:$L)+SUMIF(Journal!$A:$A,HeadJournal!$A103,Journal!$M:$M)</f>
        <v>786</v>
      </c>
      <c r="K103" s="14">
        <v>786</v>
      </c>
      <c r="L103" s="14">
        <f t="shared" ref="L103:L110" si="15">K103*0.15</f>
        <v>117.89999999999999</v>
      </c>
      <c r="M103" s="8">
        <f>SUMIF(Journal!$A:$A,HeadJournal!$A103,Journal!$P:$P)</f>
        <v>903.9</v>
      </c>
      <c r="N103" s="8">
        <f>SUMIF(Journal!$A:$A,HeadJournal!$A103,Journal!Q:Q)</f>
        <v>1500</v>
      </c>
      <c r="O103" s="18">
        <f>SUMIF(Journal!$A:$A,HeadJournal!$A103,Journal!U:U)</f>
        <v>596.1</v>
      </c>
      <c r="P103" s="22">
        <f t="shared" si="8"/>
        <v>0.65947560570859609</v>
      </c>
      <c r="Q103" s="7" t="b">
        <f t="shared" ref="Q103:Q116" si="16">J103=K103</f>
        <v>1</v>
      </c>
      <c r="R103" s="73">
        <f t="shared" si="9"/>
        <v>0.13043478260869565</v>
      </c>
    </row>
    <row r="104" spans="1:18" x14ac:dyDescent="0.25">
      <c r="A104" s="12" t="s">
        <v>401</v>
      </c>
      <c r="B104" s="12"/>
      <c r="C104" s="12" t="s">
        <v>1380</v>
      </c>
      <c r="D104" s="12" t="s">
        <v>714</v>
      </c>
      <c r="E104" s="12" t="s">
        <v>1354</v>
      </c>
      <c r="F104" s="12"/>
      <c r="G104" s="13">
        <v>44952</v>
      </c>
      <c r="H104" s="14">
        <v>1</v>
      </c>
      <c r="I104" s="14"/>
      <c r="J104" s="8">
        <f>SUMIF(Journal!$A:$A,HeadJournal!$A104,Journal!$K:$K)+SUMIF(Journal!$A:$A,HeadJournal!$A104,Journal!$L:$L)+SUMIF(Journal!$A:$A,HeadJournal!$A104,Journal!$M:$M)</f>
        <v>2424</v>
      </c>
      <c r="K104" s="14">
        <f>1313+1111</f>
        <v>2424</v>
      </c>
      <c r="L104" s="14">
        <f t="shared" si="15"/>
        <v>363.59999999999997</v>
      </c>
      <c r="M104" s="8">
        <f>SUMIF(Journal!$A:$A,HeadJournal!$A104,Journal!$P:$P)</f>
        <v>2787.6000000000004</v>
      </c>
      <c r="N104" s="8">
        <f>SUMIF(Journal!$A:$A,HeadJournal!$A104,Journal!Q:Q)</f>
        <v>3100</v>
      </c>
      <c r="O104" s="18">
        <f>SUMIF(Journal!$A:$A,HeadJournal!$A104,Journal!U:U)</f>
        <v>312.39999999999986</v>
      </c>
      <c r="P104" s="22">
        <f t="shared" si="8"/>
        <v>0.11206772851198157</v>
      </c>
      <c r="Q104" s="7" t="b">
        <f t="shared" si="16"/>
        <v>1</v>
      </c>
      <c r="R104" s="73">
        <f t="shared" si="9"/>
        <v>0.13043478260869562</v>
      </c>
    </row>
    <row r="105" spans="1:18" x14ac:dyDescent="0.25">
      <c r="A105" s="12" t="s">
        <v>403</v>
      </c>
      <c r="B105" s="12"/>
      <c r="C105" s="12" t="s">
        <v>843</v>
      </c>
      <c r="D105" s="12" t="s">
        <v>714</v>
      </c>
      <c r="E105" s="12" t="s">
        <v>1354</v>
      </c>
      <c r="F105" s="12"/>
      <c r="G105" s="13">
        <v>44941</v>
      </c>
      <c r="H105" s="14">
        <v>1</v>
      </c>
      <c r="I105" s="14"/>
      <c r="J105" s="8">
        <f>SUMIF(Journal!$A:$A,HeadJournal!$A105,Journal!$K:$K)+SUMIF(Journal!$A:$A,HeadJournal!$A105,Journal!$L:$L)+SUMIF(Journal!$A:$A,HeadJournal!$A105,Journal!$M:$M)</f>
        <v>486</v>
      </c>
      <c r="K105" s="14">
        <f>243*2</f>
        <v>486</v>
      </c>
      <c r="L105" s="14">
        <f t="shared" si="15"/>
        <v>72.899999999999991</v>
      </c>
      <c r="M105" s="8">
        <f>SUMIF(Journal!$A:$A,HeadJournal!$A105,Journal!$P:$P)</f>
        <v>558.9</v>
      </c>
      <c r="N105" s="8">
        <f>SUMIF(Journal!$A:$A,HeadJournal!$A105,Journal!Q:Q)</f>
        <v>600</v>
      </c>
      <c r="O105" s="18">
        <f>SUMIF(Journal!$A:$A,HeadJournal!$A105,Journal!U:U)</f>
        <v>41.100000000000023</v>
      </c>
      <c r="P105" s="22">
        <f t="shared" si="8"/>
        <v>7.3537305421363441E-2</v>
      </c>
      <c r="Q105" s="7" t="b">
        <f t="shared" si="16"/>
        <v>1</v>
      </c>
      <c r="R105" s="73">
        <f t="shared" si="9"/>
        <v>0.13043478260869565</v>
      </c>
    </row>
    <row r="106" spans="1:18" x14ac:dyDescent="0.25">
      <c r="A106" s="12" t="s">
        <v>405</v>
      </c>
      <c r="B106" s="12"/>
      <c r="C106" s="12" t="s">
        <v>843</v>
      </c>
      <c r="D106" s="12" t="s">
        <v>714</v>
      </c>
      <c r="E106" s="12" t="s">
        <v>1354</v>
      </c>
      <c r="F106" s="12"/>
      <c r="G106" s="13">
        <v>44946</v>
      </c>
      <c r="H106" s="14">
        <v>1</v>
      </c>
      <c r="I106" s="14"/>
      <c r="J106" s="8">
        <f>SUMIF(Journal!$A:$A,HeadJournal!$A106,Journal!$K:$K)+SUMIF(Journal!$A:$A,HeadJournal!$A106,Journal!$L:$L)+SUMIF(Journal!$A:$A,HeadJournal!$A106,Journal!$M:$M)</f>
        <v>696</v>
      </c>
      <c r="K106" s="14">
        <v>696</v>
      </c>
      <c r="L106" s="14">
        <f t="shared" si="15"/>
        <v>104.39999999999999</v>
      </c>
      <c r="M106" s="8">
        <f>SUMIF(Journal!$A:$A,HeadJournal!$A106,Journal!$P:$P)</f>
        <v>800.4</v>
      </c>
      <c r="N106" s="8">
        <f>SUMIF(Journal!$A:$A,HeadJournal!$A106,Journal!Q:Q)</f>
        <v>1500</v>
      </c>
      <c r="O106" s="18">
        <f>SUMIF(Journal!$A:$A,HeadJournal!$A106,Journal!U:U)</f>
        <v>699.6</v>
      </c>
      <c r="P106" s="22">
        <f t="shared" si="8"/>
        <v>0.87406296851574217</v>
      </c>
      <c r="Q106" s="7" t="b">
        <f t="shared" si="16"/>
        <v>1</v>
      </c>
      <c r="R106" s="73">
        <f t="shared" si="9"/>
        <v>0.13043478260869565</v>
      </c>
    </row>
    <row r="107" spans="1:18" x14ac:dyDescent="0.25">
      <c r="A107" s="12" t="s">
        <v>406</v>
      </c>
      <c r="B107" s="12"/>
      <c r="C107" s="12" t="s">
        <v>843</v>
      </c>
      <c r="D107" s="12" t="s">
        <v>714</v>
      </c>
      <c r="E107" s="12" t="s">
        <v>1354</v>
      </c>
      <c r="F107" s="12"/>
      <c r="G107" s="13">
        <v>44946</v>
      </c>
      <c r="H107" s="14">
        <v>1</v>
      </c>
      <c r="I107" s="14"/>
      <c r="J107" s="8">
        <f>SUMIF(Journal!$A:$A,HeadJournal!$A107,Journal!$K:$K)+SUMIF(Journal!$A:$A,HeadJournal!$A107,Journal!$L:$L)+SUMIF(Journal!$A:$A,HeadJournal!$A107,Journal!$M:$M)</f>
        <v>696</v>
      </c>
      <c r="K107" s="14">
        <v>696</v>
      </c>
      <c r="L107" s="14">
        <f t="shared" si="15"/>
        <v>104.39999999999999</v>
      </c>
      <c r="M107" s="8">
        <f>SUMIF(Journal!$A:$A,HeadJournal!$A107,Journal!$P:$P)</f>
        <v>800.4</v>
      </c>
      <c r="N107" s="8">
        <f>SUMIF(Journal!$A:$A,HeadJournal!$A107,Journal!Q:Q)</f>
        <v>1450</v>
      </c>
      <c r="O107" s="18">
        <f>SUMIF(Journal!$A:$A,HeadJournal!$A107,Journal!U:U)</f>
        <v>649.6</v>
      </c>
      <c r="P107" s="22">
        <f t="shared" si="8"/>
        <v>0.81159420289855078</v>
      </c>
      <c r="Q107" s="7" t="b">
        <f t="shared" si="16"/>
        <v>1</v>
      </c>
      <c r="R107" s="73">
        <f t="shared" si="9"/>
        <v>0.13043478260869565</v>
      </c>
    </row>
    <row r="108" spans="1:18" x14ac:dyDescent="0.25">
      <c r="A108" s="12" t="s">
        <v>407</v>
      </c>
      <c r="B108" s="12"/>
      <c r="C108" s="12" t="s">
        <v>843</v>
      </c>
      <c r="D108" s="12" t="s">
        <v>714</v>
      </c>
      <c r="E108" s="12" t="s">
        <v>1354</v>
      </c>
      <c r="F108" s="12"/>
      <c r="G108" s="13">
        <v>44950</v>
      </c>
      <c r="H108" s="14">
        <v>1</v>
      </c>
      <c r="I108" s="14"/>
      <c r="J108" s="8">
        <f>SUMIF(Journal!$A:$A,HeadJournal!$A108,Journal!$K:$K)+SUMIF(Journal!$A:$A,HeadJournal!$A108,Journal!$L:$L)+SUMIF(Journal!$A:$A,HeadJournal!$A108,Journal!$M:$M)</f>
        <v>750</v>
      </c>
      <c r="K108" s="14">
        <v>750</v>
      </c>
      <c r="L108" s="14">
        <f t="shared" si="15"/>
        <v>112.5</v>
      </c>
      <c r="M108" s="8">
        <f>SUMIF(Journal!$A:$A,HeadJournal!$A108,Journal!$P:$P)</f>
        <v>862.5</v>
      </c>
      <c r="N108" s="8">
        <f>SUMIF(Journal!$A:$A,HeadJournal!$A108,Journal!Q:Q)</f>
        <v>1200</v>
      </c>
      <c r="O108" s="18">
        <f>SUMIF(Journal!$A:$A,HeadJournal!$A108,Journal!U:U)</f>
        <v>337.5</v>
      </c>
      <c r="P108" s="22">
        <f t="shared" si="8"/>
        <v>0.39130434782608697</v>
      </c>
      <c r="Q108" s="7" t="b">
        <f t="shared" si="16"/>
        <v>1</v>
      </c>
      <c r="R108" s="73">
        <f t="shared" si="9"/>
        <v>0.13043478260869565</v>
      </c>
    </row>
    <row r="109" spans="1:18" x14ac:dyDescent="0.25">
      <c r="A109" s="12" t="s">
        <v>408</v>
      </c>
      <c r="B109" s="12"/>
      <c r="C109" s="12" t="s">
        <v>843</v>
      </c>
      <c r="D109" s="12" t="s">
        <v>714</v>
      </c>
      <c r="E109" s="12" t="s">
        <v>1354</v>
      </c>
      <c r="F109" s="12"/>
      <c r="G109" s="13">
        <v>44950</v>
      </c>
      <c r="H109" s="14">
        <v>1</v>
      </c>
      <c r="I109" s="14"/>
      <c r="J109" s="8">
        <f>SUMIF(Journal!$A:$A,HeadJournal!$A109,Journal!$K:$K)+SUMIF(Journal!$A:$A,HeadJournal!$A109,Journal!$L:$L)+SUMIF(Journal!$A:$A,HeadJournal!$A109,Journal!$M:$M)</f>
        <v>750</v>
      </c>
      <c r="K109" s="14">
        <v>750</v>
      </c>
      <c r="L109" s="14">
        <f t="shared" si="15"/>
        <v>112.5</v>
      </c>
      <c r="M109" s="8">
        <f>SUMIF(Journal!$A:$A,HeadJournal!$A109,Journal!$P:$P)</f>
        <v>862.5</v>
      </c>
      <c r="N109" s="8">
        <f>SUMIF(Journal!$A:$A,HeadJournal!$A109,Journal!Q:Q)</f>
        <v>1200</v>
      </c>
      <c r="O109" s="18">
        <f>SUMIF(Journal!$A:$A,HeadJournal!$A109,Journal!U:U)</f>
        <v>337.5</v>
      </c>
      <c r="P109" s="22">
        <f t="shared" si="8"/>
        <v>0.39130434782608697</v>
      </c>
      <c r="Q109" s="7" t="b">
        <f t="shared" si="16"/>
        <v>1</v>
      </c>
      <c r="R109" s="73">
        <f t="shared" si="9"/>
        <v>0.13043478260869565</v>
      </c>
    </row>
    <row r="110" spans="1:18" x14ac:dyDescent="0.25">
      <c r="A110" s="12" t="s">
        <v>410</v>
      </c>
      <c r="B110" s="12"/>
      <c r="C110" s="12" t="s">
        <v>843</v>
      </c>
      <c r="D110" s="12" t="s">
        <v>714</v>
      </c>
      <c r="E110" s="12" t="s">
        <v>1354</v>
      </c>
      <c r="F110" s="12"/>
      <c r="G110" s="13">
        <v>44950</v>
      </c>
      <c r="H110" s="14">
        <v>1</v>
      </c>
      <c r="I110" s="14"/>
      <c r="J110" s="8">
        <f>SUMIF(Journal!$A:$A,HeadJournal!$A110,Journal!$K:$K)+SUMIF(Journal!$A:$A,HeadJournal!$A110,Journal!$L:$L)+SUMIF(Journal!$A:$A,HeadJournal!$A110,Journal!$M:$M)</f>
        <v>750</v>
      </c>
      <c r="K110" s="14">
        <v>750</v>
      </c>
      <c r="L110" s="14">
        <f t="shared" si="15"/>
        <v>112.5</v>
      </c>
      <c r="M110" s="8">
        <f>SUMIF(Journal!$A:$A,HeadJournal!$A110,Journal!$P:$P)</f>
        <v>862.5</v>
      </c>
      <c r="N110" s="8">
        <f>SUMIF(Journal!$A:$A,HeadJournal!$A110,Journal!Q:Q)</f>
        <v>1100</v>
      </c>
      <c r="O110" s="18">
        <f>SUMIF(Journal!$A:$A,HeadJournal!$A110,Journal!U:U)</f>
        <v>237.5</v>
      </c>
      <c r="P110" s="22">
        <f t="shared" si="8"/>
        <v>0.27536231884057971</v>
      </c>
      <c r="Q110" s="7" t="b">
        <f t="shared" si="16"/>
        <v>1</v>
      </c>
      <c r="R110" s="73">
        <f t="shared" si="9"/>
        <v>0.13043478260869565</v>
      </c>
    </row>
    <row r="111" spans="1:18" x14ac:dyDescent="0.25">
      <c r="A111" s="12" t="s">
        <v>412</v>
      </c>
      <c r="B111" s="12"/>
      <c r="C111" s="12" t="s">
        <v>1330</v>
      </c>
      <c r="D111" s="12" t="s">
        <v>714</v>
      </c>
      <c r="E111" s="12" t="s">
        <v>1331</v>
      </c>
      <c r="F111" s="12"/>
      <c r="G111" s="13">
        <v>44959</v>
      </c>
      <c r="H111" s="14">
        <v>1</v>
      </c>
      <c r="I111" s="14"/>
      <c r="J111" s="8">
        <f>SUMIF(Journal!$A:$A,HeadJournal!$A111,Journal!$K:$K)+SUMIF(Journal!$A:$A,HeadJournal!$A111,Journal!$L:$L)+SUMIF(Journal!$A:$A,HeadJournal!$A111,Journal!$M:$M)</f>
        <v>8706.6000000000022</v>
      </c>
      <c r="K111" s="14">
        <v>8700</v>
      </c>
      <c r="L111" s="14">
        <v>0</v>
      </c>
      <c r="M111" s="8">
        <f>SUMIF(Journal!$A:$A,HeadJournal!$A111,Journal!$P:$P)</f>
        <v>8699.9999999999964</v>
      </c>
      <c r="N111" s="8">
        <f>SUMIF(Journal!$A:$A,HeadJournal!$A111,Journal!Q:Q)</f>
        <v>20930.25</v>
      </c>
      <c r="O111" s="18">
        <f>SUMIF(Journal!$A:$A,HeadJournal!$A111,Journal!U:U)</f>
        <v>12230.250000000004</v>
      </c>
      <c r="P111" s="22">
        <f t="shared" si="8"/>
        <v>1.4057758620689664</v>
      </c>
      <c r="Q111" s="7" t="b">
        <f t="shared" si="16"/>
        <v>0</v>
      </c>
      <c r="R111" s="73">
        <f t="shared" si="9"/>
        <v>0</v>
      </c>
    </row>
    <row r="112" spans="1:18" x14ac:dyDescent="0.25">
      <c r="A112" s="12" t="s">
        <v>415</v>
      </c>
      <c r="B112" s="12"/>
      <c r="C112" s="12" t="s">
        <v>843</v>
      </c>
      <c r="D112" s="12" t="s">
        <v>714</v>
      </c>
      <c r="E112" s="12" t="s">
        <v>1354</v>
      </c>
      <c r="F112" s="12"/>
      <c r="G112" s="13">
        <v>44958</v>
      </c>
      <c r="H112" s="14">
        <v>1</v>
      </c>
      <c r="I112" s="14"/>
      <c r="J112" s="8">
        <f>SUMIF(Journal!$A:$A,HeadJournal!$A112,Journal!$K:$K)+SUMIF(Journal!$A:$A,HeadJournal!$A112,Journal!$L:$L)+SUMIF(Journal!$A:$A,HeadJournal!$A112,Journal!$M:$M)</f>
        <v>886</v>
      </c>
      <c r="K112" s="14">
        <v>886</v>
      </c>
      <c r="L112" s="14">
        <f>K112*0.15</f>
        <v>132.9</v>
      </c>
      <c r="M112" s="8">
        <f>SUMIF(Journal!$A:$A,HeadJournal!$A112,Journal!$P:$P)</f>
        <v>1018.9</v>
      </c>
      <c r="N112" s="8">
        <f>SUMIF(Journal!$A:$A,HeadJournal!$A112,Journal!Q:Q)</f>
        <v>2100</v>
      </c>
      <c r="O112" s="18">
        <f>SUMIF(Journal!$A:$A,HeadJournal!$A112,Journal!U:U)</f>
        <v>1081.0999999999999</v>
      </c>
      <c r="P112" s="22">
        <f t="shared" si="8"/>
        <v>1.0610462263225047</v>
      </c>
      <c r="Q112" s="7" t="b">
        <f t="shared" si="16"/>
        <v>1</v>
      </c>
      <c r="R112" s="73">
        <f t="shared" si="9"/>
        <v>0.13043478260869565</v>
      </c>
    </row>
    <row r="113" spans="1:20" x14ac:dyDescent="0.25">
      <c r="A113" s="12" t="s">
        <v>417</v>
      </c>
      <c r="B113" s="12"/>
      <c r="C113" s="12" t="s">
        <v>843</v>
      </c>
      <c r="D113" s="12" t="s">
        <v>714</v>
      </c>
      <c r="E113" s="12" t="s">
        <v>1354</v>
      </c>
      <c r="F113" s="12"/>
      <c r="G113" s="13">
        <v>44958</v>
      </c>
      <c r="H113" s="14">
        <v>1</v>
      </c>
      <c r="I113" s="14"/>
      <c r="J113" s="8">
        <f>SUMIF(Journal!$A:$A,HeadJournal!$A113,Journal!$K:$K)+SUMIF(Journal!$A:$A,HeadJournal!$A113,Journal!$L:$L)+SUMIF(Journal!$A:$A,HeadJournal!$A113,Journal!$M:$M)</f>
        <v>653</v>
      </c>
      <c r="K113" s="14">
        <v>653</v>
      </c>
      <c r="L113" s="14">
        <f>K113*0.15</f>
        <v>97.95</v>
      </c>
      <c r="M113" s="8">
        <f>SUMIF(Journal!$A:$A,HeadJournal!$A113,Journal!$P:$P)</f>
        <v>750.95</v>
      </c>
      <c r="N113" s="8">
        <f>SUMIF(Journal!$A:$A,HeadJournal!$A113,Journal!Q:Q)</f>
        <v>750</v>
      </c>
      <c r="O113" s="18">
        <f>SUMIF(Journal!$A:$A,HeadJournal!$A113,Journal!U:U)</f>
        <v>-0.95000000000004547</v>
      </c>
      <c r="P113" s="22">
        <f t="shared" si="8"/>
        <v>-1.2650642519475936E-3</v>
      </c>
      <c r="Q113" s="7" t="b">
        <f t="shared" si="16"/>
        <v>1</v>
      </c>
      <c r="R113" s="73">
        <f t="shared" si="9"/>
        <v>0.13043478260869565</v>
      </c>
    </row>
    <row r="114" spans="1:20" x14ac:dyDescent="0.25">
      <c r="A114" s="12" t="s">
        <v>419</v>
      </c>
      <c r="B114" s="12"/>
      <c r="C114" s="12" t="s">
        <v>843</v>
      </c>
      <c r="D114" s="12" t="s">
        <v>714</v>
      </c>
      <c r="E114" s="12" t="s">
        <v>1354</v>
      </c>
      <c r="F114" s="12"/>
      <c r="G114" s="13">
        <v>44958</v>
      </c>
      <c r="H114" s="14">
        <v>1</v>
      </c>
      <c r="I114" s="14"/>
      <c r="J114" s="8">
        <f>SUMIF(Journal!$A:$A,HeadJournal!$A114,Journal!$K:$K)+SUMIF(Journal!$A:$A,HeadJournal!$A114,Journal!$L:$L)+SUMIF(Journal!$A:$A,HeadJournal!$A114,Journal!$M:$M)</f>
        <v>879</v>
      </c>
      <c r="K114" s="14">
        <v>879</v>
      </c>
      <c r="L114" s="14">
        <f>K114*0.15</f>
        <v>131.85</v>
      </c>
      <c r="M114" s="8">
        <f>SUMIF(Journal!$A:$A,HeadJournal!$A114,Journal!$P:$P)</f>
        <v>1010.8499999999999</v>
      </c>
      <c r="N114" s="8">
        <f>SUMIF(Journal!$A:$A,HeadJournal!$A114,Journal!Q:Q)</f>
        <v>3000</v>
      </c>
      <c r="O114" s="18">
        <f>SUMIF(Journal!$A:$A,HeadJournal!$A114,Journal!U:U)</f>
        <v>1989.1499999999999</v>
      </c>
      <c r="P114" s="22">
        <f t="shared" si="8"/>
        <v>1.9677993767621309</v>
      </c>
      <c r="Q114" s="7" t="b">
        <f t="shared" si="16"/>
        <v>1</v>
      </c>
      <c r="R114" s="73">
        <f t="shared" si="9"/>
        <v>0.13043478260869565</v>
      </c>
    </row>
    <row r="115" spans="1:20" x14ac:dyDescent="0.25">
      <c r="A115" s="12" t="s">
        <v>421</v>
      </c>
      <c r="B115" s="12"/>
      <c r="C115" s="12" t="s">
        <v>843</v>
      </c>
      <c r="D115" s="12" t="s">
        <v>714</v>
      </c>
      <c r="E115" s="12" t="s">
        <v>1354</v>
      </c>
      <c r="F115" s="12"/>
      <c r="G115" s="13">
        <v>44955</v>
      </c>
      <c r="H115" s="14">
        <v>1</v>
      </c>
      <c r="I115" s="14"/>
      <c r="J115" s="8">
        <f>SUMIF(Journal!$A:$A,HeadJournal!$A115,Journal!$K:$K)+SUMIF(Journal!$A:$A,HeadJournal!$A115,Journal!$L:$L)+SUMIF(Journal!$A:$A,HeadJournal!$A115,Journal!$M:$M)</f>
        <v>420</v>
      </c>
      <c r="K115" s="14">
        <v>420</v>
      </c>
      <c r="L115" s="14">
        <f>K115*0.15</f>
        <v>63</v>
      </c>
      <c r="M115" s="8">
        <f>SUMIF(Journal!$A:$A,HeadJournal!$A115,Journal!$P:$P)</f>
        <v>483</v>
      </c>
      <c r="N115" s="8">
        <f>SUMIF(Journal!$A:$A,HeadJournal!$A115,Journal!Q:Q)</f>
        <v>500</v>
      </c>
      <c r="O115" s="18">
        <f>SUMIF(Journal!$A:$A,HeadJournal!$A115,Journal!U:U)</f>
        <v>17</v>
      </c>
      <c r="P115" s="22">
        <f t="shared" si="8"/>
        <v>3.5196687370600416E-2</v>
      </c>
      <c r="Q115" s="7" t="b">
        <f t="shared" si="16"/>
        <v>1</v>
      </c>
      <c r="R115" s="73">
        <f t="shared" si="9"/>
        <v>0.13043478260869565</v>
      </c>
    </row>
    <row r="116" spans="1:20" x14ac:dyDescent="0.25">
      <c r="A116" s="12" t="s">
        <v>423</v>
      </c>
      <c r="B116" s="12"/>
      <c r="C116" s="12" t="s">
        <v>1328</v>
      </c>
      <c r="D116" s="12" t="s">
        <v>714</v>
      </c>
      <c r="E116" s="12" t="s">
        <v>1354</v>
      </c>
      <c r="F116" s="12"/>
      <c r="G116" s="13">
        <v>44960</v>
      </c>
      <c r="H116" s="14">
        <v>1</v>
      </c>
      <c r="I116" s="14"/>
      <c r="J116" s="8">
        <f>SUMIF(Journal!$A:$A,HeadJournal!$A116,Journal!$K:$K)+SUMIF(Journal!$A:$A,HeadJournal!$A116,Journal!$L:$L)+SUMIF(Journal!$A:$A,HeadJournal!$A116,Journal!$M:$M)</f>
        <v>2500</v>
      </c>
      <c r="K116" s="14">
        <v>2505</v>
      </c>
      <c r="L116" s="14">
        <f>K116*0.15</f>
        <v>375.75</v>
      </c>
      <c r="M116" s="8">
        <f>SUMIF(Journal!$A:$A,HeadJournal!$A116,Journal!$P:$P)</f>
        <v>2880.75</v>
      </c>
      <c r="N116" s="8">
        <f>SUMIF(Journal!$A:$A,HeadJournal!$A116,Journal!Q:Q)</f>
        <v>3800</v>
      </c>
      <c r="O116" s="18">
        <f>SUMIF(Journal!$A:$A,HeadJournal!$A116,Journal!U:U)</f>
        <v>919.25</v>
      </c>
      <c r="P116" s="22">
        <f t="shared" si="8"/>
        <v>0.31910092857762734</v>
      </c>
      <c r="Q116" s="7" t="b">
        <f t="shared" si="16"/>
        <v>0</v>
      </c>
      <c r="R116" s="73">
        <f t="shared" si="9"/>
        <v>0.13043478260869565</v>
      </c>
    </row>
    <row r="117" spans="1:20" x14ac:dyDescent="0.25">
      <c r="A117" s="67" t="s">
        <v>459</v>
      </c>
      <c r="B117" s="124" t="s">
        <v>1381</v>
      </c>
      <c r="C117" s="12" t="s">
        <v>1751</v>
      </c>
      <c r="D117" s="12" t="s">
        <v>714</v>
      </c>
      <c r="E117" s="12" t="s">
        <v>1369</v>
      </c>
      <c r="F117" s="124" t="s">
        <v>1382</v>
      </c>
      <c r="G117" s="13">
        <v>44961</v>
      </c>
      <c r="H117" s="14">
        <f>16599.12/J117</f>
        <v>77.999718058361907</v>
      </c>
      <c r="I117" s="14">
        <f>-6.06+23.45</f>
        <v>17.39</v>
      </c>
      <c r="J117" s="8">
        <f>SUMIF(Journal!$A:$A,HeadJournal!$A117,Journal!$K:$K)+SUMIF(Journal!$A:$A,HeadJournal!$A117,Journal!$L:$L)+SUMIF(Journal!$A:$A,HeadJournal!$A117,Journal!$M:$M)</f>
        <v>212.81</v>
      </c>
      <c r="K117" s="14">
        <v>212.81</v>
      </c>
      <c r="L117" s="14">
        <f>(1354.48+1030)/2+400/2</f>
        <v>1392.24</v>
      </c>
      <c r="M117" s="8">
        <f>SUMIF(Journal!$A:$A,HeadJournal!$A117,Journal!$P:$P)</f>
        <v>17991.359999999997</v>
      </c>
      <c r="N117" s="8">
        <f>SUMIF(Journal!$A:$A,HeadJournal!$A117,Journal!Q:Q)</f>
        <v>35400</v>
      </c>
      <c r="O117" s="18">
        <f>SUMIF(Journal!$A:$A,HeadJournal!$A117,Journal!U:U)</f>
        <v>17408.640000000003</v>
      </c>
      <c r="P117" s="22">
        <f t="shared" si="8"/>
        <v>0.96761112000426908</v>
      </c>
      <c r="R117" s="73">
        <f t="shared" si="9"/>
        <v>7.7383810895896715E-2</v>
      </c>
      <c r="T117" s="9"/>
    </row>
    <row r="118" spans="1:20" x14ac:dyDescent="0.25">
      <c r="A118" s="61" t="s">
        <v>426</v>
      </c>
      <c r="B118" s="12" t="s">
        <v>1383</v>
      </c>
      <c r="C118" s="12" t="s">
        <v>1737</v>
      </c>
      <c r="D118" s="12" t="s">
        <v>714</v>
      </c>
      <c r="E118" s="12" t="s">
        <v>1348</v>
      </c>
      <c r="F118" s="124" t="s">
        <v>1384</v>
      </c>
      <c r="G118" s="13">
        <v>44946</v>
      </c>
      <c r="H118" s="14">
        <v>77</v>
      </c>
      <c r="I118" s="14">
        <v>-23.09</v>
      </c>
      <c r="J118" s="8">
        <f>SUMIF(Journal!$A:$A,HeadJournal!$A118,Journal!$K:$K)+SUMIF(Journal!$A:$A,HeadJournal!$A118,Journal!$L:$L)+SUMIF(Journal!$A:$A,HeadJournal!$A118,Journal!$M:$M)</f>
        <v>140.06</v>
      </c>
      <c r="K118" s="14">
        <v>140.06</v>
      </c>
      <c r="L118" s="14">
        <f>41.13*89.91+200</f>
        <v>3897.9983000000002</v>
      </c>
      <c r="M118" s="8">
        <f>SUMIF(Journal!$A:$A,HeadJournal!$A118,Journal!$P:$P)</f>
        <v>14682.618300000002</v>
      </c>
      <c r="N118" s="8">
        <f>SUMIF(Journal!$A:$A,HeadJournal!$A118,Journal!Q:Q)</f>
        <v>28800</v>
      </c>
      <c r="O118" s="18">
        <f>SUMIF(Journal!$A:$A,HeadJournal!$A118,Journal!U:U)</f>
        <v>14117.381699999998</v>
      </c>
      <c r="P118" s="22">
        <f t="shared" si="8"/>
        <v>0.96150301067214938</v>
      </c>
      <c r="R118" s="73">
        <f t="shared" si="9"/>
        <v>0.26548386809183755</v>
      </c>
    </row>
    <row r="119" spans="1:20" x14ac:dyDescent="0.25">
      <c r="A119" s="12" t="s">
        <v>429</v>
      </c>
      <c r="B119" s="12"/>
      <c r="C119" s="12" t="s">
        <v>1359</v>
      </c>
      <c r="D119" s="12" t="s">
        <v>714</v>
      </c>
      <c r="E119" s="12" t="s">
        <v>1358</v>
      </c>
      <c r="F119" s="12"/>
      <c r="G119" s="13">
        <v>44966</v>
      </c>
      <c r="H119" s="14">
        <v>1</v>
      </c>
      <c r="I119" s="14"/>
      <c r="J119" s="8">
        <f>SUMIF(Journal!$A:$A,HeadJournal!$A119,Journal!$K:$K)+SUMIF(Journal!$A:$A,HeadJournal!$A119,Journal!$L:$L)+SUMIF(Journal!$A:$A,HeadJournal!$A119,Journal!$M:$M)</f>
        <v>10035.200000000001</v>
      </c>
      <c r="K119" s="14">
        <v>10050</v>
      </c>
      <c r="L119" s="14">
        <v>0</v>
      </c>
      <c r="M119" s="8">
        <f>SUMIF(Journal!$A:$A,HeadJournal!$A119,Journal!$P:$P)</f>
        <v>10049.999999999998</v>
      </c>
      <c r="N119" s="8">
        <f>SUMIF(Journal!$A:$A,HeadJournal!$A119,Journal!Q:Q)</f>
        <v>12625.51</v>
      </c>
      <c r="O119" s="18">
        <f>SUMIF(Journal!$A:$A,HeadJournal!$A119,Journal!U:U)</f>
        <v>2575.5100000000002</v>
      </c>
      <c r="P119" s="22">
        <f t="shared" si="8"/>
        <v>0.25626965174129362</v>
      </c>
      <c r="Q119" s="7" t="b">
        <f>J119=K119</f>
        <v>0</v>
      </c>
      <c r="R119" s="73">
        <f t="shared" si="9"/>
        <v>0</v>
      </c>
    </row>
    <row r="120" spans="1:20" x14ac:dyDescent="0.25">
      <c r="A120" s="12" t="s">
        <v>431</v>
      </c>
      <c r="B120" s="124" t="s">
        <v>1385</v>
      </c>
      <c r="C120" s="12" t="s">
        <v>1735</v>
      </c>
      <c r="D120" s="12" t="s">
        <v>714</v>
      </c>
      <c r="E120" s="12" t="s">
        <v>1369</v>
      </c>
      <c r="F120" s="124" t="s">
        <v>1382</v>
      </c>
      <c r="G120" s="13">
        <v>44966</v>
      </c>
      <c r="H120" s="14">
        <f>15733.14/J120</f>
        <v>70.177706409741731</v>
      </c>
      <c r="I120" s="14">
        <f>-9.33+25.02</f>
        <v>15.69</v>
      </c>
      <c r="J120" s="8">
        <f>SUMIF(Journal!$A:$A,HeadJournal!$A120,Journal!$K:$K)+SUMIF(Journal!$A:$A,HeadJournal!$A120,Journal!$L:$L)+SUMIF(Journal!$A:$A,HeadJournal!$A120,Journal!$M:$M)</f>
        <v>224.19</v>
      </c>
      <c r="K120" s="14">
        <v>224.19</v>
      </c>
      <c r="L120" s="14">
        <f>(1354.48+1030)/2+400/2</f>
        <v>1392.24</v>
      </c>
      <c r="M120" s="8">
        <f>SUMIF(Journal!$A:$A,HeadJournal!$A120,Journal!$P:$P)</f>
        <v>17125.379999999997</v>
      </c>
      <c r="N120" s="8">
        <f>SUMIF(Journal!$A:$A,HeadJournal!$A120,Journal!Q:Q)</f>
        <v>24384.400000000001</v>
      </c>
      <c r="O120" s="18">
        <f>SUMIF(Journal!$A:$A,HeadJournal!$A120,Journal!U:U)</f>
        <v>7259.02</v>
      </c>
      <c r="P120" s="22">
        <f t="shared" si="8"/>
        <v>0.42387497386919304</v>
      </c>
      <c r="R120" s="73">
        <f t="shared" si="9"/>
        <v>8.1296882171373722E-2</v>
      </c>
      <c r="T120" s="9"/>
    </row>
    <row r="121" spans="1:20" x14ac:dyDescent="0.25">
      <c r="A121" s="12" t="s">
        <v>436</v>
      </c>
      <c r="B121" s="12"/>
      <c r="C121" s="12" t="s">
        <v>843</v>
      </c>
      <c r="D121" s="12" t="s">
        <v>714</v>
      </c>
      <c r="E121" s="12" t="s">
        <v>1354</v>
      </c>
      <c r="F121" s="12"/>
      <c r="G121" s="13">
        <v>44962</v>
      </c>
      <c r="H121" s="14">
        <v>1</v>
      </c>
      <c r="I121" s="14"/>
      <c r="J121" s="8">
        <f>SUMIF(Journal!$A:$A,HeadJournal!$A121,Journal!$K:$K)+SUMIF(Journal!$A:$A,HeadJournal!$A121,Journal!$L:$L)+SUMIF(Journal!$A:$A,HeadJournal!$A121,Journal!$M:$M)</f>
        <v>510</v>
      </c>
      <c r="K121" s="14">
        <v>510</v>
      </c>
      <c r="L121" s="14">
        <f t="shared" ref="L121:L126" si="17">K121*0.15</f>
        <v>76.5</v>
      </c>
      <c r="M121" s="8">
        <f>SUMIF(Journal!$A:$A,HeadJournal!$A121,Journal!$P:$P)</f>
        <v>586.5</v>
      </c>
      <c r="N121" s="8">
        <f>SUMIF(Journal!$A:$A,HeadJournal!$A121,Journal!Q:Q)</f>
        <v>1200</v>
      </c>
      <c r="O121" s="18">
        <f>SUMIF(Journal!$A:$A,HeadJournal!$A121,Journal!U:U)</f>
        <v>613.5</v>
      </c>
      <c r="P121" s="22">
        <f t="shared" si="8"/>
        <v>1.0460358056265984</v>
      </c>
      <c r="Q121" s="7" t="b">
        <f t="shared" ref="Q121:Q127" si="18">J121=K121</f>
        <v>1</v>
      </c>
      <c r="R121" s="73">
        <f t="shared" si="9"/>
        <v>0.13043478260869565</v>
      </c>
    </row>
    <row r="122" spans="1:20" x14ac:dyDescent="0.25">
      <c r="A122" s="12" t="s">
        <v>438</v>
      </c>
      <c r="B122" s="12"/>
      <c r="C122" s="12" t="s">
        <v>843</v>
      </c>
      <c r="D122" s="12" t="s">
        <v>714</v>
      </c>
      <c r="E122" s="12" t="s">
        <v>1354</v>
      </c>
      <c r="F122" s="12"/>
      <c r="G122" s="13">
        <v>44963</v>
      </c>
      <c r="H122" s="14">
        <v>1</v>
      </c>
      <c r="I122" s="14"/>
      <c r="J122" s="8">
        <f>SUMIF(Journal!$A:$A,HeadJournal!$A122,Journal!$K:$K)+SUMIF(Journal!$A:$A,HeadJournal!$A122,Journal!$L:$L)+SUMIF(Journal!$A:$A,HeadJournal!$A122,Journal!$M:$M)</f>
        <v>846</v>
      </c>
      <c r="K122" s="14">
        <f>282*3</f>
        <v>846</v>
      </c>
      <c r="L122" s="14">
        <f t="shared" si="17"/>
        <v>126.89999999999999</v>
      </c>
      <c r="M122" s="8">
        <f>SUMIF(Journal!$A:$A,HeadJournal!$A122,Journal!$P:$P)</f>
        <v>972.90000000000009</v>
      </c>
      <c r="N122" s="8">
        <f>SUMIF(Journal!$A:$A,HeadJournal!$A122,Journal!Q:Q)</f>
        <v>1100</v>
      </c>
      <c r="O122" s="18">
        <f>SUMIF(Journal!$A:$A,HeadJournal!$A122,Journal!U:U)</f>
        <v>127.09999999999997</v>
      </c>
      <c r="P122" s="22">
        <f t="shared" si="8"/>
        <v>0.13064035358207415</v>
      </c>
      <c r="Q122" s="7" t="b">
        <f t="shared" si="18"/>
        <v>1</v>
      </c>
      <c r="R122" s="73">
        <f t="shared" si="9"/>
        <v>0.13043478260869562</v>
      </c>
    </row>
    <row r="123" spans="1:20" x14ac:dyDescent="0.25">
      <c r="A123" s="12" t="s">
        <v>440</v>
      </c>
      <c r="B123" s="12"/>
      <c r="C123" s="12" t="s">
        <v>843</v>
      </c>
      <c r="D123" s="12" t="s">
        <v>714</v>
      </c>
      <c r="E123" s="12" t="s">
        <v>1354</v>
      </c>
      <c r="F123" s="12"/>
      <c r="G123" s="13">
        <v>44964</v>
      </c>
      <c r="H123" s="14">
        <v>1</v>
      </c>
      <c r="I123" s="14"/>
      <c r="J123" s="8">
        <f>SUMIF(Journal!$A:$A,HeadJournal!$A123,Journal!$K:$K)+SUMIF(Journal!$A:$A,HeadJournal!$A123,Journal!$L:$L)+SUMIF(Journal!$A:$A,HeadJournal!$A123,Journal!$M:$M)</f>
        <v>7078</v>
      </c>
      <c r="K123" s="14">
        <f>3539*2</f>
        <v>7078</v>
      </c>
      <c r="L123" s="14">
        <f t="shared" si="17"/>
        <v>1061.7</v>
      </c>
      <c r="M123" s="8">
        <f>SUMIF(Journal!$A:$A,HeadJournal!$A123,Journal!$P:$P)</f>
        <v>8139.7</v>
      </c>
      <c r="N123" s="8">
        <f>SUMIF(Journal!$A:$A,HeadJournal!$A123,Journal!Q:Q)</f>
        <v>11000</v>
      </c>
      <c r="O123" s="18">
        <f>SUMIF(Journal!$A:$A,HeadJournal!$A123,Journal!U:U)</f>
        <v>2860.3</v>
      </c>
      <c r="P123" s="22">
        <f t="shared" si="8"/>
        <v>0.35140115729080929</v>
      </c>
      <c r="Q123" s="7" t="b">
        <f t="shared" si="18"/>
        <v>1</v>
      </c>
      <c r="R123" s="73">
        <f t="shared" si="9"/>
        <v>0.13043478260869565</v>
      </c>
    </row>
    <row r="124" spans="1:20" x14ac:dyDescent="0.25">
      <c r="A124" s="12" t="s">
        <v>443</v>
      </c>
      <c r="B124" s="12"/>
      <c r="C124" s="12" t="s">
        <v>1328</v>
      </c>
      <c r="D124" s="12" t="s">
        <v>714</v>
      </c>
      <c r="E124" s="12" t="s">
        <v>1354</v>
      </c>
      <c r="F124" s="12"/>
      <c r="G124" s="13">
        <v>44963</v>
      </c>
      <c r="H124" s="14">
        <v>1</v>
      </c>
      <c r="I124" s="14"/>
      <c r="J124" s="8">
        <f>SUMIF(Journal!$A:$A,HeadJournal!$A124,Journal!$K:$K)+SUMIF(Journal!$A:$A,HeadJournal!$A124,Journal!$L:$L)+SUMIF(Journal!$A:$A,HeadJournal!$A124,Journal!$M:$M)</f>
        <v>953.64</v>
      </c>
      <c r="K124" s="14">
        <v>953.64</v>
      </c>
      <c r="L124" s="14">
        <f t="shared" si="17"/>
        <v>143.04599999999999</v>
      </c>
      <c r="M124" s="8">
        <f>SUMIF(Journal!$A:$A,HeadJournal!$A124,Journal!$P:$P)</f>
        <v>1096.6859999999999</v>
      </c>
      <c r="N124" s="8">
        <f>SUMIF(Journal!$A:$A,HeadJournal!$A124,Journal!Q:Q)</f>
        <v>2200</v>
      </c>
      <c r="O124" s="18">
        <f>SUMIF(Journal!$A:$A,HeadJournal!$A124,Journal!U:U)</f>
        <v>1103.3140000000001</v>
      </c>
      <c r="P124" s="22">
        <f t="shared" si="8"/>
        <v>1.0060436624521514</v>
      </c>
      <c r="Q124" s="7" t="b">
        <f t="shared" si="18"/>
        <v>1</v>
      </c>
      <c r="R124" s="73">
        <f t="shared" si="9"/>
        <v>0.13043478260869565</v>
      </c>
    </row>
    <row r="125" spans="1:20" x14ac:dyDescent="0.25">
      <c r="A125" s="12" t="s">
        <v>441</v>
      </c>
      <c r="B125" s="12"/>
      <c r="C125" s="12" t="s">
        <v>1328</v>
      </c>
      <c r="D125" s="12" t="s">
        <v>714</v>
      </c>
      <c r="E125" s="12" t="s">
        <v>1354</v>
      </c>
      <c r="F125" s="12"/>
      <c r="G125" s="13">
        <v>44962</v>
      </c>
      <c r="H125" s="14">
        <v>1</v>
      </c>
      <c r="I125" s="14"/>
      <c r="J125" s="8">
        <f>SUMIF(Journal!$A:$A,HeadJournal!$A125,Journal!$K:$K)+SUMIF(Journal!$A:$A,HeadJournal!$A125,Journal!$L:$L)+SUMIF(Journal!$A:$A,HeadJournal!$A125,Journal!$M:$M)</f>
        <v>754</v>
      </c>
      <c r="K125" s="14">
        <v>754</v>
      </c>
      <c r="L125" s="14">
        <f t="shared" si="17"/>
        <v>113.1</v>
      </c>
      <c r="M125" s="8">
        <f>SUMIF(Journal!$A:$A,HeadJournal!$A125,Journal!$P:$P)</f>
        <v>867.1</v>
      </c>
      <c r="N125" s="8">
        <f>SUMIF(Journal!$A:$A,HeadJournal!$A125,Journal!Q:Q)</f>
        <v>1800</v>
      </c>
      <c r="O125" s="18">
        <f>SUMIF(Journal!$A:$A,HeadJournal!$A125,Journal!U:U)</f>
        <v>932.9</v>
      </c>
      <c r="P125" s="22">
        <f t="shared" si="8"/>
        <v>1.0758851343558988</v>
      </c>
      <c r="Q125" s="7" t="b">
        <f t="shared" si="18"/>
        <v>1</v>
      </c>
      <c r="R125" s="73">
        <f t="shared" si="9"/>
        <v>0.13043478260869565</v>
      </c>
    </row>
    <row r="126" spans="1:20" x14ac:dyDescent="0.25">
      <c r="A126" s="12" t="s">
        <v>445</v>
      </c>
      <c r="B126" s="12"/>
      <c r="C126" s="12" t="s">
        <v>1328</v>
      </c>
      <c r="D126" s="12" t="s">
        <v>714</v>
      </c>
      <c r="E126" s="12" t="s">
        <v>1354</v>
      </c>
      <c r="F126" s="12"/>
      <c r="G126" s="13">
        <v>44966</v>
      </c>
      <c r="H126" s="14">
        <v>1</v>
      </c>
      <c r="I126" s="14"/>
      <c r="J126" s="8">
        <f>SUMIF(Journal!$A:$A,HeadJournal!$A126,Journal!$K:$K)+SUMIF(Journal!$A:$A,HeadJournal!$A126,Journal!$L:$L)+SUMIF(Journal!$A:$A,HeadJournal!$A126,Journal!$M:$M)</f>
        <v>4909</v>
      </c>
      <c r="K126" s="14">
        <v>4909</v>
      </c>
      <c r="L126" s="14">
        <f t="shared" si="17"/>
        <v>736.35</v>
      </c>
      <c r="M126" s="8">
        <f>SUMIF(Journal!$A:$A,HeadJournal!$A126,Journal!$P:$P)</f>
        <v>5645.35</v>
      </c>
      <c r="N126" s="8">
        <f>SUMIF(Journal!$A:$A,HeadJournal!$A126,Journal!Q:Q)</f>
        <v>8900</v>
      </c>
      <c r="O126" s="18">
        <f>SUMIF(Journal!$A:$A,HeadJournal!$A126,Journal!U:U)</f>
        <v>3254.65</v>
      </c>
      <c r="P126" s="22">
        <f t="shared" si="8"/>
        <v>0.57651872780252778</v>
      </c>
      <c r="Q126" s="7" t="b">
        <f t="shared" si="18"/>
        <v>1</v>
      </c>
      <c r="R126" s="73">
        <f t="shared" si="9"/>
        <v>0.13043478260869565</v>
      </c>
    </row>
    <row r="127" spans="1:20" x14ac:dyDescent="0.25">
      <c r="A127" s="12" t="s">
        <v>448</v>
      </c>
      <c r="B127" s="12"/>
      <c r="C127" s="12" t="s">
        <v>1368</v>
      </c>
      <c r="D127" s="12" t="s">
        <v>714</v>
      </c>
      <c r="E127" s="12" t="s">
        <v>1369</v>
      </c>
      <c r="F127" s="12"/>
      <c r="G127" s="13">
        <v>44946</v>
      </c>
      <c r="H127" s="14">
        <v>0.15260000000000001</v>
      </c>
      <c r="I127" s="14"/>
      <c r="J127" s="8">
        <f>SUMIF(Journal!$A:$A,HeadJournal!$A127,Journal!$K:$K)+SUMIF(Journal!$A:$A,HeadJournal!$A127,Journal!$L:$L)+SUMIF(Journal!$A:$A,HeadJournal!$A127,Journal!$M:$M)</f>
        <v>128294</v>
      </c>
      <c r="K127" s="14">
        <v>130861</v>
      </c>
      <c r="L127" s="14">
        <f>759.9+400</f>
        <v>1159.9000000000001</v>
      </c>
      <c r="M127" s="8">
        <f>SUMIF(Journal!$A:$A,HeadJournal!$A127,Journal!$P:$P)</f>
        <v>21129.288600000007</v>
      </c>
      <c r="N127" s="8">
        <f>SUMIF(Journal!$A:$A,HeadJournal!$A127,Journal!Q:Q)</f>
        <v>16167.96</v>
      </c>
      <c r="O127" s="18">
        <f>SUMIF(Journal!$A:$A,HeadJournal!$A127,Journal!U:U)</f>
        <v>-4961.3286000000026</v>
      </c>
      <c r="P127" s="22">
        <f t="shared" si="8"/>
        <v>-0.23480812316605873</v>
      </c>
      <c r="Q127" s="7" t="b">
        <f t="shared" si="18"/>
        <v>0</v>
      </c>
      <c r="R127" s="73">
        <f t="shared" si="9"/>
        <v>5.489536453205527E-2</v>
      </c>
    </row>
    <row r="128" spans="1:20" x14ac:dyDescent="0.25">
      <c r="A128" s="12" t="s">
        <v>452</v>
      </c>
      <c r="B128" s="124" t="s">
        <v>1386</v>
      </c>
      <c r="C128" s="12" t="s">
        <v>1737</v>
      </c>
      <c r="D128" s="12" t="s">
        <v>714</v>
      </c>
      <c r="E128" s="12" t="s">
        <v>1369</v>
      </c>
      <c r="F128" s="124" t="s">
        <v>1387</v>
      </c>
      <c r="G128" s="13">
        <v>44969</v>
      </c>
      <c r="H128" s="14">
        <f>17966.78/K128</f>
        <v>80.435062900120869</v>
      </c>
      <c r="I128" s="14">
        <f>-5.23+24.49</f>
        <v>19.259999999999998</v>
      </c>
      <c r="J128" s="8">
        <f>SUMIF(Journal!$A:$A,HeadJournal!$A128,Journal!$K:$K)+SUMIF(Journal!$A:$A,HeadJournal!$A128,Journal!$L:$L)+SUMIF(Journal!$A:$A,HeadJournal!$A128,Journal!$M:$M)</f>
        <v>223.36999999999998</v>
      </c>
      <c r="K128" s="14">
        <v>223.37</v>
      </c>
      <c r="L128" s="14">
        <f>(1471.74+1000)/2+400/2</f>
        <v>1435.87</v>
      </c>
      <c r="M128" s="8">
        <f>SUMIF(Journal!$A:$A,HeadJournal!$A128,Journal!$P:$P)</f>
        <v>19402.650000000001</v>
      </c>
      <c r="N128" s="8">
        <f>SUMIF(Journal!$A:$A,HeadJournal!$A128,Journal!Q:Q)</f>
        <v>34700</v>
      </c>
      <c r="O128" s="18">
        <f>SUMIF(Journal!$A:$A,HeadJournal!$A128,Journal!U:U)</f>
        <v>15297.349999999997</v>
      </c>
      <c r="P128" s="22">
        <f t="shared" si="8"/>
        <v>0.78841549994459492</v>
      </c>
      <c r="R128" s="73">
        <f t="shared" si="9"/>
        <v>7.4003808758082004E-2</v>
      </c>
    </row>
    <row r="129" spans="1:19" x14ac:dyDescent="0.25">
      <c r="A129" s="12" t="s">
        <v>455</v>
      </c>
      <c r="B129" s="124" t="s">
        <v>1388</v>
      </c>
      <c r="C129" s="12" t="s">
        <v>1751</v>
      </c>
      <c r="D129" s="12" t="s">
        <v>714</v>
      </c>
      <c r="E129" s="12" t="s">
        <v>1369</v>
      </c>
      <c r="F129" s="124" t="s">
        <v>1387</v>
      </c>
      <c r="G129" s="13">
        <v>44969</v>
      </c>
      <c r="H129" s="14">
        <f>14432.28/179.07</f>
        <v>80.59574468085107</v>
      </c>
      <c r="I129" s="14">
        <f>-8.07+20.05</f>
        <v>11.98</v>
      </c>
      <c r="J129" s="8">
        <f>SUMIF(Journal!$A:$A,HeadJournal!$A129,Journal!$K:$K)+SUMIF(Journal!$A:$A,HeadJournal!$A129,Journal!$L:$L)+SUMIF(Journal!$A:$A,HeadJournal!$A129,Journal!$M:$M)</f>
        <v>179.07000000000002</v>
      </c>
      <c r="K129" s="14">
        <v>179.07</v>
      </c>
      <c r="L129" s="14">
        <f>(1471.74+1000)/2+400/2</f>
        <v>1435.87</v>
      </c>
      <c r="M129" s="8">
        <f>SUMIF(Journal!$A:$A,HeadJournal!$A129,Journal!$P:$P)</f>
        <v>15868.15</v>
      </c>
      <c r="N129" s="8">
        <f>SUMIF(Journal!$A:$A,HeadJournal!$A129,Journal!Q:Q)</f>
        <v>26699.06</v>
      </c>
      <c r="O129" s="18">
        <f>SUMIF(Journal!$A:$A,HeadJournal!$A129,Journal!U:U)</f>
        <v>10830.910000000002</v>
      </c>
      <c r="P129" s="22">
        <f t="shared" si="8"/>
        <v>0.6825565677158334</v>
      </c>
      <c r="R129" s="73">
        <f t="shared" si="9"/>
        <v>9.0487548958133115E-2</v>
      </c>
    </row>
    <row r="130" spans="1:19" x14ac:dyDescent="0.25">
      <c r="A130" s="12" t="s">
        <v>462</v>
      </c>
      <c r="B130" s="12"/>
      <c r="C130" s="12" t="s">
        <v>1359</v>
      </c>
      <c r="D130" s="12" t="s">
        <v>714</v>
      </c>
      <c r="E130" s="12" t="s">
        <v>1358</v>
      </c>
      <c r="F130" s="12"/>
      <c r="G130" s="13">
        <v>44972</v>
      </c>
      <c r="H130" s="14">
        <v>1</v>
      </c>
      <c r="I130" s="14">
        <v>0</v>
      </c>
      <c r="J130" s="8">
        <f>SUMIF(Journal!$A:$A,HeadJournal!$A130,Journal!$K:$K)+SUMIF(Journal!$A:$A,HeadJournal!$A130,Journal!$L:$L)+SUMIF(Journal!$A:$A,HeadJournal!$A130,Journal!$M:$M)</f>
        <v>3456</v>
      </c>
      <c r="K130" s="14">
        <v>3500</v>
      </c>
      <c r="L130" s="14">
        <v>0</v>
      </c>
      <c r="M130" s="8">
        <f>SUMIF(Journal!$A:$A,HeadJournal!$A130,Journal!$P:$P)</f>
        <v>3500</v>
      </c>
      <c r="N130" s="8">
        <f>SUMIF(Journal!$A:$A,HeadJournal!$A130,Journal!Q:Q)</f>
        <v>3042.59</v>
      </c>
      <c r="O130" s="18">
        <f>SUMIF(Journal!$A:$A,HeadJournal!$A130,Journal!U:U)</f>
        <v>-457.40999999999997</v>
      </c>
      <c r="P130" s="22">
        <f t="shared" si="8"/>
        <v>-0.13068857142857143</v>
      </c>
      <c r="Q130" s="7" t="b">
        <f t="shared" ref="Q130:Q139" si="19">J130=K130</f>
        <v>0</v>
      </c>
      <c r="R130" s="73">
        <f t="shared" si="9"/>
        <v>0</v>
      </c>
    </row>
    <row r="131" spans="1:19" x14ac:dyDescent="0.25">
      <c r="A131" s="12" t="s">
        <v>464</v>
      </c>
      <c r="B131" s="12"/>
      <c r="C131" s="12" t="s">
        <v>1330</v>
      </c>
      <c r="D131" s="12" t="s">
        <v>714</v>
      </c>
      <c r="E131" s="12" t="s">
        <v>1331</v>
      </c>
      <c r="F131" s="12"/>
      <c r="G131" s="13">
        <v>44973</v>
      </c>
      <c r="H131" s="14">
        <v>1</v>
      </c>
      <c r="I131" s="14"/>
      <c r="J131" s="8">
        <f>SUMIF(Journal!$A:$A,HeadJournal!$A131,Journal!$K:$K)+SUMIF(Journal!$A:$A,HeadJournal!$A131,Journal!$L:$L)+SUMIF(Journal!$A:$A,HeadJournal!$A131,Journal!$M:$M)</f>
        <v>4098.6399999999994</v>
      </c>
      <c r="K131" s="14">
        <f>3700+390.6</f>
        <v>4090.6</v>
      </c>
      <c r="L131" s="14">
        <v>0</v>
      </c>
      <c r="M131" s="8">
        <f>SUMIF(Journal!$A:$A,HeadJournal!$A131,Journal!$P:$P)</f>
        <v>4090.6</v>
      </c>
      <c r="N131" s="8">
        <f>SUMIF(Journal!$A:$A,HeadJournal!$A131,Journal!Q:Q)</f>
        <v>11025</v>
      </c>
      <c r="O131" s="18">
        <f>SUMIF(Journal!$A:$A,HeadJournal!$A131,Journal!U:U)</f>
        <v>6934.4</v>
      </c>
      <c r="P131" s="22">
        <f t="shared" ref="P131:P194" si="20">IF(N131&lt;&gt;0,IFERROR(O131/M131,""),"")</f>
        <v>1.6952036376081747</v>
      </c>
      <c r="Q131" s="7" t="b">
        <f t="shared" si="19"/>
        <v>0</v>
      </c>
      <c r="R131" s="73">
        <f t="shared" ref="R131:R194" si="21">L131/M131</f>
        <v>0</v>
      </c>
    </row>
    <row r="132" spans="1:19" x14ac:dyDescent="0.25">
      <c r="A132" s="12" t="s">
        <v>466</v>
      </c>
      <c r="B132" s="12"/>
      <c r="C132" s="12" t="s">
        <v>1368</v>
      </c>
      <c r="D132" s="12" t="s">
        <v>714</v>
      </c>
      <c r="E132" s="12" t="s">
        <v>1369</v>
      </c>
      <c r="F132" s="12"/>
      <c r="G132" s="13">
        <v>44976</v>
      </c>
      <c r="H132" s="14">
        <v>0.173559993574985</v>
      </c>
      <c r="I132" s="14"/>
      <c r="J132" s="8">
        <f>SUMIF(Journal!$A:$A,HeadJournal!$A132,Journal!$K:$K)+SUMIF(Journal!$A:$A,HeadJournal!$A132,Journal!$L:$L)+SUMIF(Journal!$A:$A,HeadJournal!$A132,Journal!$M:$M)</f>
        <v>109865</v>
      </c>
      <c r="K132" s="14">
        <v>112062</v>
      </c>
      <c r="L132" s="14">
        <f>759.68+400</f>
        <v>1159.6799999999998</v>
      </c>
      <c r="M132" s="8">
        <f>SUMIF(Journal!$A:$A,HeadJournal!$A132,Journal!$P:$P)</f>
        <v>20609.159999999967</v>
      </c>
      <c r="N132" s="8">
        <f>SUMIF(Journal!$A:$A,HeadJournal!$A132,Journal!Q:Q)</f>
        <v>25286.11</v>
      </c>
      <c r="O132" s="18">
        <f>SUMIF(Journal!$A:$A,HeadJournal!$A132,Journal!U:U)</f>
        <v>4676.9500000000317</v>
      </c>
      <c r="P132" s="22">
        <f t="shared" si="20"/>
        <v>0.22693549858412662</v>
      </c>
      <c r="Q132" s="7" t="b">
        <f t="shared" si="19"/>
        <v>0</v>
      </c>
      <c r="R132" s="73">
        <f t="shared" si="21"/>
        <v>5.6270124546560933E-2</v>
      </c>
    </row>
    <row r="133" spans="1:19" x14ac:dyDescent="0.25">
      <c r="A133" s="12" t="s">
        <v>474</v>
      </c>
      <c r="B133" s="12"/>
      <c r="C133" s="12" t="s">
        <v>843</v>
      </c>
      <c r="D133" s="12" t="s">
        <v>714</v>
      </c>
      <c r="E133" s="12" t="s">
        <v>1354</v>
      </c>
      <c r="F133" s="12"/>
      <c r="G133" s="13">
        <v>44969</v>
      </c>
      <c r="H133" s="14">
        <v>1</v>
      </c>
      <c r="I133" s="14"/>
      <c r="J133" s="8">
        <f>SUMIF(Journal!$A:$A,HeadJournal!$A133,Journal!$K:$K)+SUMIF(Journal!$A:$A,HeadJournal!$A133,Journal!$L:$L)+SUMIF(Journal!$A:$A,HeadJournal!$A133,Journal!$M:$M)</f>
        <v>259</v>
      </c>
      <c r="K133" s="14">
        <v>259</v>
      </c>
      <c r="L133" s="14">
        <f t="shared" ref="L133:L139" si="22">K133*0.15</f>
        <v>38.85</v>
      </c>
      <c r="M133" s="8">
        <f>SUMIF(Journal!$A:$A,HeadJournal!$A133,Journal!$P:$P)</f>
        <v>297.85000000000002</v>
      </c>
      <c r="N133" s="8">
        <f>SUMIF(Journal!$A:$A,HeadJournal!$A133,Journal!Q:Q)</f>
        <v>550</v>
      </c>
      <c r="O133" s="18">
        <f>SUMIF(Journal!$A:$A,HeadJournal!$A133,Journal!U:U)</f>
        <v>252.14999999999998</v>
      </c>
      <c r="P133" s="22">
        <f t="shared" si="20"/>
        <v>0.84656706395836812</v>
      </c>
      <c r="Q133" s="7" t="b">
        <f t="shared" si="19"/>
        <v>1</v>
      </c>
      <c r="R133" s="73">
        <f t="shared" si="21"/>
        <v>0.13043478260869565</v>
      </c>
    </row>
    <row r="134" spans="1:19" x14ac:dyDescent="0.25">
      <c r="A134" s="12" t="s">
        <v>475</v>
      </c>
      <c r="B134" s="12"/>
      <c r="C134" s="12" t="s">
        <v>1328</v>
      </c>
      <c r="D134" s="12" t="s">
        <v>714</v>
      </c>
      <c r="E134" s="12" t="s">
        <v>1354</v>
      </c>
      <c r="F134" s="12"/>
      <c r="G134" s="13">
        <v>44970</v>
      </c>
      <c r="H134" s="14">
        <v>1</v>
      </c>
      <c r="I134" s="14"/>
      <c r="J134" s="8">
        <f>SUMIF(Journal!$A:$A,HeadJournal!$A134,Journal!$K:$K)+SUMIF(Journal!$A:$A,HeadJournal!$A134,Journal!$L:$L)+SUMIF(Journal!$A:$A,HeadJournal!$A134,Journal!$M:$M)</f>
        <v>3370</v>
      </c>
      <c r="K134" s="14">
        <v>3370</v>
      </c>
      <c r="L134" s="14">
        <f t="shared" si="22"/>
        <v>505.5</v>
      </c>
      <c r="M134" s="8">
        <f>SUMIF(Journal!$A:$A,HeadJournal!$A134,Journal!$P:$P)</f>
        <v>3875.5</v>
      </c>
      <c r="N134" s="8">
        <f>SUMIF(Journal!$A:$A,HeadJournal!$A134,Journal!Q:Q)</f>
        <v>5000</v>
      </c>
      <c r="O134" s="18">
        <f>SUMIF(Journal!$A:$A,HeadJournal!$A134,Journal!U:U)</f>
        <v>1124.5</v>
      </c>
      <c r="P134" s="22">
        <f t="shared" si="20"/>
        <v>0.29015610888917559</v>
      </c>
      <c r="Q134" s="7" t="b">
        <f t="shared" si="19"/>
        <v>1</v>
      </c>
      <c r="R134" s="73">
        <f t="shared" si="21"/>
        <v>0.13043478260869565</v>
      </c>
    </row>
    <row r="135" spans="1:19" x14ac:dyDescent="0.25">
      <c r="A135" s="12" t="s">
        <v>477</v>
      </c>
      <c r="B135" s="12"/>
      <c r="C135" s="12" t="s">
        <v>1328</v>
      </c>
      <c r="D135" s="12" t="s">
        <v>714</v>
      </c>
      <c r="E135" s="12" t="s">
        <v>1354</v>
      </c>
      <c r="F135" s="12"/>
      <c r="G135" s="13">
        <v>44972</v>
      </c>
      <c r="H135" s="14">
        <v>1</v>
      </c>
      <c r="I135" s="14"/>
      <c r="J135" s="8">
        <f>SUMIF(Journal!$A:$A,HeadJournal!$A135,Journal!$K:$K)+SUMIF(Journal!$A:$A,HeadJournal!$A135,Journal!$L:$L)+SUMIF(Journal!$A:$A,HeadJournal!$A135,Journal!$M:$M)</f>
        <v>2046</v>
      </c>
      <c r="K135" s="14">
        <v>2046</v>
      </c>
      <c r="L135" s="14">
        <f t="shared" si="22"/>
        <v>306.89999999999998</v>
      </c>
      <c r="M135" s="8">
        <f>SUMIF(Journal!$A:$A,HeadJournal!$A135,Journal!$P:$P)</f>
        <v>2352.9</v>
      </c>
      <c r="N135" s="8">
        <f>SUMIF(Journal!$A:$A,HeadJournal!$A135,Journal!Q:Q)</f>
        <v>3000</v>
      </c>
      <c r="O135" s="18">
        <f>SUMIF(Journal!$A:$A,HeadJournal!$A135,Journal!U:U)</f>
        <v>647.09999999999991</v>
      </c>
      <c r="P135" s="22">
        <f t="shared" si="20"/>
        <v>0.27502231289047552</v>
      </c>
      <c r="Q135" s="7" t="b">
        <f t="shared" si="19"/>
        <v>1</v>
      </c>
      <c r="R135" s="73">
        <f t="shared" si="21"/>
        <v>0.13043478260869565</v>
      </c>
    </row>
    <row r="136" spans="1:19" x14ac:dyDescent="0.25">
      <c r="A136" s="12" t="s">
        <v>479</v>
      </c>
      <c r="B136" s="12"/>
      <c r="C136" s="12" t="s">
        <v>1328</v>
      </c>
      <c r="D136" s="12" t="s">
        <v>714</v>
      </c>
      <c r="E136" s="12" t="s">
        <v>1354</v>
      </c>
      <c r="F136" s="12"/>
      <c r="G136" s="13">
        <v>44973</v>
      </c>
      <c r="H136" s="14">
        <v>1</v>
      </c>
      <c r="I136" s="14"/>
      <c r="J136" s="8">
        <f>SUMIF(Journal!$A:$A,HeadJournal!$A136,Journal!$K:$K)+SUMIF(Journal!$A:$A,HeadJournal!$A136,Journal!$L:$L)+SUMIF(Journal!$A:$A,HeadJournal!$A136,Journal!$M:$M)</f>
        <v>5188</v>
      </c>
      <c r="K136" s="14">
        <v>5188</v>
      </c>
      <c r="L136" s="14">
        <f t="shared" si="22"/>
        <v>778.19999999999993</v>
      </c>
      <c r="M136" s="8">
        <f>SUMIF(Journal!$A:$A,HeadJournal!$A136,Journal!$P:$P)</f>
        <v>5966.2</v>
      </c>
      <c r="N136" s="8">
        <f>SUMIF(Journal!$A:$A,HeadJournal!$A136,Journal!Q:Q)</f>
        <v>10300</v>
      </c>
      <c r="O136" s="18">
        <f>SUMIF(Journal!$A:$A,HeadJournal!$A136,Journal!U:U)</f>
        <v>4333.8</v>
      </c>
      <c r="P136" s="22">
        <f t="shared" si="20"/>
        <v>0.72639200831349948</v>
      </c>
      <c r="Q136" s="7" t="b">
        <f t="shared" si="19"/>
        <v>1</v>
      </c>
      <c r="R136" s="73">
        <f t="shared" si="21"/>
        <v>0.13043478260869565</v>
      </c>
    </row>
    <row r="137" spans="1:19" x14ac:dyDescent="0.25">
      <c r="A137" s="12" t="s">
        <v>483</v>
      </c>
      <c r="B137" s="12"/>
      <c r="C137" s="12" t="s">
        <v>1328</v>
      </c>
      <c r="D137" s="12" t="s">
        <v>714</v>
      </c>
      <c r="E137" s="12" t="s">
        <v>1354</v>
      </c>
      <c r="F137" s="12"/>
      <c r="G137" s="13">
        <v>44974</v>
      </c>
      <c r="H137" s="14">
        <v>1</v>
      </c>
      <c r="I137" s="14"/>
      <c r="J137" s="8">
        <f>SUMIF(Journal!$A:$A,HeadJournal!$A137,Journal!$K:$K)+SUMIF(Journal!$A:$A,HeadJournal!$A137,Journal!$L:$L)+SUMIF(Journal!$A:$A,HeadJournal!$A137,Journal!$M:$M)</f>
        <v>483</v>
      </c>
      <c r="K137" s="14">
        <v>483</v>
      </c>
      <c r="L137" s="14">
        <f t="shared" si="22"/>
        <v>72.45</v>
      </c>
      <c r="M137" s="8">
        <f>SUMIF(Journal!$A:$A,HeadJournal!$A137,Journal!$P:$P)</f>
        <v>555.45000000000005</v>
      </c>
      <c r="N137" s="8">
        <f>SUMIF(Journal!$A:$A,HeadJournal!$A137,Journal!Q:Q)</f>
        <v>700</v>
      </c>
      <c r="O137" s="18">
        <f>SUMIF(Journal!$A:$A,HeadJournal!$A137,Journal!U:U)</f>
        <v>144.54999999999998</v>
      </c>
      <c r="P137" s="22">
        <f t="shared" si="20"/>
        <v>0.26023944549464395</v>
      </c>
      <c r="Q137" s="7" t="b">
        <f t="shared" si="19"/>
        <v>1</v>
      </c>
      <c r="R137" s="73">
        <f t="shared" si="21"/>
        <v>0.13043478260869565</v>
      </c>
    </row>
    <row r="138" spans="1:19" x14ac:dyDescent="0.25">
      <c r="A138" s="12" t="s">
        <v>485</v>
      </c>
      <c r="B138" s="12"/>
      <c r="C138" s="12" t="s">
        <v>843</v>
      </c>
      <c r="D138" s="12" t="s">
        <v>714</v>
      </c>
      <c r="E138" s="12" t="s">
        <v>1354</v>
      </c>
      <c r="F138" s="12"/>
      <c r="G138" s="13">
        <v>44971</v>
      </c>
      <c r="H138" s="14">
        <v>1</v>
      </c>
      <c r="I138" s="14"/>
      <c r="J138" s="8">
        <f>SUMIF(Journal!$A:$A,HeadJournal!$A138,Journal!$K:$K)+SUMIF(Journal!$A:$A,HeadJournal!$A138,Journal!$L:$L)+SUMIF(Journal!$A:$A,HeadJournal!$A138,Journal!$M:$M)</f>
        <v>260</v>
      </c>
      <c r="K138" s="14">
        <v>260</v>
      </c>
      <c r="L138" s="14">
        <f t="shared" si="22"/>
        <v>39</v>
      </c>
      <c r="M138" s="8">
        <f>SUMIF(Journal!$A:$A,HeadJournal!$A138,Journal!$P:$P)</f>
        <v>299</v>
      </c>
      <c r="N138" s="8">
        <f>SUMIF(Journal!$A:$A,HeadJournal!$A138,Journal!Q:Q)</f>
        <v>800</v>
      </c>
      <c r="O138" s="18">
        <f>SUMIF(Journal!$A:$A,HeadJournal!$A138,Journal!U:U)</f>
        <v>501</v>
      </c>
      <c r="P138" s="22">
        <f t="shared" si="20"/>
        <v>1.6755852842809364</v>
      </c>
      <c r="Q138" s="7" t="b">
        <f t="shared" si="19"/>
        <v>1</v>
      </c>
      <c r="R138" s="73">
        <f t="shared" si="21"/>
        <v>0.13043478260869565</v>
      </c>
    </row>
    <row r="139" spans="1:19" x14ac:dyDescent="0.25">
      <c r="A139" s="12" t="s">
        <v>487</v>
      </c>
      <c r="B139" s="12"/>
      <c r="C139" s="12" t="s">
        <v>843</v>
      </c>
      <c r="D139" s="12" t="s">
        <v>714</v>
      </c>
      <c r="E139" s="12" t="s">
        <v>1354</v>
      </c>
      <c r="F139" s="12"/>
      <c r="G139" s="13">
        <v>44974</v>
      </c>
      <c r="H139" s="14">
        <v>1</v>
      </c>
      <c r="I139" s="14"/>
      <c r="J139" s="8">
        <f>SUMIF(Journal!$A:$A,HeadJournal!$A139,Journal!$K:$K)+SUMIF(Journal!$A:$A,HeadJournal!$A139,Journal!$L:$L)+SUMIF(Journal!$A:$A,HeadJournal!$A139,Journal!$M:$M)</f>
        <v>368</v>
      </c>
      <c r="K139" s="14">
        <v>368</v>
      </c>
      <c r="L139" s="14">
        <f t="shared" si="22"/>
        <v>55.199999999999996</v>
      </c>
      <c r="M139" s="8">
        <f>SUMIF(Journal!$A:$A,HeadJournal!$A139,Journal!$P:$P)</f>
        <v>423.2</v>
      </c>
      <c r="N139" s="8">
        <f>SUMIF(Journal!$A:$A,HeadJournal!$A139,Journal!Q:Q)</f>
        <v>500</v>
      </c>
      <c r="O139" s="18">
        <f>SUMIF(Journal!$A:$A,HeadJournal!$A139,Journal!U:U)</f>
        <v>76.799999999999983</v>
      </c>
      <c r="P139" s="22">
        <f t="shared" si="20"/>
        <v>0.18147448015122869</v>
      </c>
      <c r="Q139" s="7" t="b">
        <f t="shared" si="19"/>
        <v>1</v>
      </c>
      <c r="R139" s="73">
        <f t="shared" si="21"/>
        <v>0.13043478260869565</v>
      </c>
    </row>
    <row r="140" spans="1:19" x14ac:dyDescent="0.25">
      <c r="A140" s="12" t="s">
        <v>489</v>
      </c>
      <c r="B140" s="124" t="s">
        <v>1389</v>
      </c>
      <c r="C140" s="12" t="s">
        <v>1751</v>
      </c>
      <c r="D140" s="12" t="s">
        <v>714</v>
      </c>
      <c r="E140" s="12" t="s">
        <v>1369</v>
      </c>
      <c r="F140" s="124" t="s">
        <v>1390</v>
      </c>
      <c r="G140" s="13">
        <v>44978</v>
      </c>
      <c r="H140" s="14">
        <f>20671.7/K140</f>
        <v>82.429619586888904</v>
      </c>
      <c r="I140" s="14">
        <f>-8.16+27.74</f>
        <v>19.579999999999998</v>
      </c>
      <c r="J140" s="8">
        <f>SUMIF(Journal!$A:$A,HeadJournal!$A140,Journal!$K:$K)+SUMIF(Journal!$A:$A,HeadJournal!$A140,Journal!$L:$L)+SUMIF(Journal!$A:$A,HeadJournal!$A140,Journal!$M:$M)</f>
        <v>250.78000000000003</v>
      </c>
      <c r="K140" s="14">
        <v>250.78</v>
      </c>
      <c r="L140" s="14">
        <f>2471.74/2+400/2</f>
        <v>1435.87</v>
      </c>
      <c r="M140" s="8">
        <f>SUMIF(Journal!$A:$A,HeadJournal!$A140,Journal!$P:$P)</f>
        <v>22107.57</v>
      </c>
      <c r="N140" s="8">
        <f>SUMIF(Journal!$A:$A,HeadJournal!$A140,Journal!Q:Q)</f>
        <v>31500</v>
      </c>
      <c r="O140" s="18">
        <f>SUMIF(Journal!$A:$A,HeadJournal!$A140,Journal!U:U)</f>
        <v>9392.4300000000057</v>
      </c>
      <c r="P140" s="22">
        <f t="shared" si="20"/>
        <v>0.42485130658864839</v>
      </c>
      <c r="R140" s="73">
        <f t="shared" si="21"/>
        <v>6.494924589179181E-2</v>
      </c>
      <c r="S140" s="9"/>
    </row>
    <row r="141" spans="1:19" x14ac:dyDescent="0.25">
      <c r="A141" s="12" t="s">
        <v>492</v>
      </c>
      <c r="B141" s="12"/>
      <c r="C141" s="12" t="s">
        <v>1357</v>
      </c>
      <c r="D141" s="12" t="s">
        <v>714</v>
      </c>
      <c r="E141" s="12" t="s">
        <v>1358</v>
      </c>
      <c r="F141" s="12"/>
      <c r="G141" s="13">
        <v>44983</v>
      </c>
      <c r="H141" s="14">
        <v>1</v>
      </c>
      <c r="I141" s="14">
        <v>0</v>
      </c>
      <c r="J141" s="8">
        <f>SUMIF(Journal!$A:$A,HeadJournal!$A141,Journal!$K:$K)+SUMIF(Journal!$A:$A,HeadJournal!$A141,Journal!$L:$L)+SUMIF(Journal!$A:$A,HeadJournal!$A141,Journal!$M:$M)</f>
        <v>2982</v>
      </c>
      <c r="K141" s="14">
        <v>3100</v>
      </c>
      <c r="L141" s="14">
        <v>0</v>
      </c>
      <c r="M141" s="8">
        <f>SUMIF(Journal!$A:$A,HeadJournal!$A141,Journal!$P:$P)</f>
        <v>3100</v>
      </c>
      <c r="N141" s="8">
        <f>SUMIF(Journal!$A:$A,HeadJournal!$A141,Journal!Q:Q)</f>
        <v>3900</v>
      </c>
      <c r="O141" s="18">
        <f>SUMIF(Journal!$A:$A,HeadJournal!$A141,Journal!U:U)</f>
        <v>800</v>
      </c>
      <c r="P141" s="22">
        <f t="shared" si="20"/>
        <v>0.25806451612903225</v>
      </c>
      <c r="Q141" s="7" t="b">
        <f>J141=K141</f>
        <v>0</v>
      </c>
      <c r="R141" s="73">
        <f t="shared" si="21"/>
        <v>0</v>
      </c>
    </row>
    <row r="142" spans="1:19" x14ac:dyDescent="0.25">
      <c r="A142" s="12" t="s">
        <v>495</v>
      </c>
      <c r="B142" s="124" t="s">
        <v>1391</v>
      </c>
      <c r="C142" s="12" t="s">
        <v>1737</v>
      </c>
      <c r="D142" s="12" t="s">
        <v>714</v>
      </c>
      <c r="E142" s="12" t="s">
        <v>1369</v>
      </c>
      <c r="F142" s="124" t="s">
        <v>1390</v>
      </c>
      <c r="G142" s="13">
        <v>44974</v>
      </c>
      <c r="H142" s="14">
        <f>17844.12/J142</f>
        <v>81.431661570757058</v>
      </c>
      <c r="I142" s="14">
        <f>-7.22+24.25</f>
        <v>17.03</v>
      </c>
      <c r="J142" s="8">
        <f>SUMIF(Journal!$A:$A,HeadJournal!$A142,Journal!$K:$K)+SUMIF(Journal!$A:$A,HeadJournal!$A142,Journal!$L:$L)+SUMIF(Journal!$A:$A,HeadJournal!$A142,Journal!$M:$M)</f>
        <v>219.13000000000005</v>
      </c>
      <c r="K142" s="14">
        <v>219.13</v>
      </c>
      <c r="L142" s="14">
        <f>2471.74/2+400/2</f>
        <v>1435.87</v>
      </c>
      <c r="M142" s="8">
        <f>SUMIF(Journal!$A:$A,HeadJournal!$A142,Journal!$P:$P)</f>
        <v>19279.989999999987</v>
      </c>
      <c r="N142" s="8">
        <f>SUMIF(Journal!$A:$A,HeadJournal!$A142,Journal!Q:Q)</f>
        <v>32235.239999999998</v>
      </c>
      <c r="O142" s="18">
        <f>SUMIF(Journal!$A:$A,HeadJournal!$A142,Journal!U:U)</f>
        <v>12955.250000000013</v>
      </c>
      <c r="P142" s="22">
        <f t="shared" si="20"/>
        <v>0.67195314935329431</v>
      </c>
      <c r="R142" s="73">
        <f t="shared" si="21"/>
        <v>7.447462369015756E-2</v>
      </c>
    </row>
    <row r="143" spans="1:19" x14ac:dyDescent="0.25">
      <c r="A143" s="12" t="s">
        <v>501</v>
      </c>
      <c r="B143" s="124" t="s">
        <v>1392</v>
      </c>
      <c r="C143" s="12" t="s">
        <v>1752</v>
      </c>
      <c r="D143" s="12" t="s">
        <v>714</v>
      </c>
      <c r="E143" s="12" t="s">
        <v>1369</v>
      </c>
      <c r="F143" s="124" t="s">
        <v>1393</v>
      </c>
      <c r="G143" s="13">
        <v>44982</v>
      </c>
      <c r="H143" s="14">
        <f>15938.85/J143</f>
        <v>83.370906998640052</v>
      </c>
      <c r="I143" s="14">
        <f>-10.63+21.62</f>
        <v>10.99</v>
      </c>
      <c r="J143" s="8">
        <f>SUMIF(Journal!$A:$A,HeadJournal!$A143,Journal!$K:$K)+SUMIF(Journal!$A:$A,HeadJournal!$A143,Journal!$L:$L)+SUMIF(Journal!$A:$A,HeadJournal!$A143,Journal!$M:$M)</f>
        <v>191.17999999999995</v>
      </c>
      <c r="K143" s="14">
        <v>191.18</v>
      </c>
      <c r="L143" s="14">
        <f>2237.22/2+400/2</f>
        <v>1318.61</v>
      </c>
      <c r="M143" s="8">
        <f>SUMIF(Journal!$A:$A,HeadJournal!$A143,Journal!$P:$P)</f>
        <v>17257.460000000006</v>
      </c>
      <c r="N143" s="8">
        <f>SUMIF(Journal!$A:$A,HeadJournal!$A143,Journal!Q:Q)</f>
        <v>28100</v>
      </c>
      <c r="O143" s="18">
        <f>SUMIF(Journal!$A:$A,HeadJournal!$A143,Journal!U:U)</f>
        <v>10842.539999999992</v>
      </c>
      <c r="P143" s="22">
        <f t="shared" si="20"/>
        <v>0.62828133456487734</v>
      </c>
      <c r="Q143" s="7" t="b">
        <f t="shared" ref="Q143:Q150" si="23">J143=K143</f>
        <v>1</v>
      </c>
      <c r="R143" s="73">
        <f t="shared" si="21"/>
        <v>7.6408115678668787E-2</v>
      </c>
    </row>
    <row r="144" spans="1:19" x14ac:dyDescent="0.25">
      <c r="A144" s="12" t="s">
        <v>509</v>
      </c>
      <c r="B144" s="12"/>
      <c r="C144" s="12" t="s">
        <v>1328</v>
      </c>
      <c r="D144" s="12" t="s">
        <v>714</v>
      </c>
      <c r="E144" s="12" t="s">
        <v>1354</v>
      </c>
      <c r="F144" s="12"/>
      <c r="G144" s="13">
        <v>44976</v>
      </c>
      <c r="H144" s="14">
        <v>1</v>
      </c>
      <c r="I144" s="14">
        <v>0</v>
      </c>
      <c r="J144" s="8">
        <f>SUMIF(Journal!$A:$A,HeadJournal!$A144,Journal!$K:$K)+SUMIF(Journal!$A:$A,HeadJournal!$A144,Journal!$L:$L)+SUMIF(Journal!$A:$A,HeadJournal!$A144,Journal!$M:$M)</f>
        <v>1076</v>
      </c>
      <c r="K144" s="14">
        <v>1076</v>
      </c>
      <c r="L144" s="14">
        <f t="shared" ref="L144:L150" si="24">K144*0.15</f>
        <v>161.4</v>
      </c>
      <c r="M144" s="8">
        <f>SUMIF(Journal!$A:$A,HeadJournal!$A144,Journal!$P:$P)</f>
        <v>1237.4000000000001</v>
      </c>
      <c r="N144" s="8">
        <f>SUMIF(Journal!$A:$A,HeadJournal!$A144,Journal!Q:Q)</f>
        <v>2400</v>
      </c>
      <c r="O144" s="18">
        <f>SUMIF(Journal!$A:$A,HeadJournal!$A144,Journal!U:U)</f>
        <v>1162.5999999999999</v>
      </c>
      <c r="P144" s="22">
        <f t="shared" si="20"/>
        <v>0.93955067076127352</v>
      </c>
      <c r="Q144" s="7" t="b">
        <f t="shared" si="23"/>
        <v>1</v>
      </c>
      <c r="R144" s="73">
        <f t="shared" si="21"/>
        <v>0.13043478260869565</v>
      </c>
    </row>
    <row r="145" spans="1:18" x14ac:dyDescent="0.25">
      <c r="A145" s="12" t="s">
        <v>511</v>
      </c>
      <c r="B145" s="12"/>
      <c r="C145" s="12" t="s">
        <v>1328</v>
      </c>
      <c r="D145" s="12" t="s">
        <v>714</v>
      </c>
      <c r="E145" s="12" t="s">
        <v>1354</v>
      </c>
      <c r="F145" s="12"/>
      <c r="G145" s="13">
        <v>44978</v>
      </c>
      <c r="H145" s="14">
        <v>1</v>
      </c>
      <c r="I145" s="14">
        <v>0</v>
      </c>
      <c r="J145" s="8">
        <f>SUMIF(Journal!$A:$A,HeadJournal!$A145,Journal!$K:$K)+SUMIF(Journal!$A:$A,HeadJournal!$A145,Journal!$L:$L)+SUMIF(Journal!$A:$A,HeadJournal!$A145,Journal!$M:$M)</f>
        <v>538</v>
      </c>
      <c r="K145" s="14">
        <v>538</v>
      </c>
      <c r="L145" s="14">
        <f t="shared" si="24"/>
        <v>80.7</v>
      </c>
      <c r="M145" s="8">
        <f>SUMIF(Journal!$A:$A,HeadJournal!$A145,Journal!$P:$P)</f>
        <v>618.70000000000005</v>
      </c>
      <c r="N145" s="8">
        <f>SUMIF(Journal!$A:$A,HeadJournal!$A145,Journal!Q:Q)</f>
        <v>1200</v>
      </c>
      <c r="O145" s="18">
        <f>SUMIF(Journal!$A:$A,HeadJournal!$A145,Journal!U:U)</f>
        <v>581.29999999999995</v>
      </c>
      <c r="P145" s="22">
        <f t="shared" si="20"/>
        <v>0.93955067076127352</v>
      </c>
      <c r="Q145" s="7" t="b">
        <f t="shared" si="23"/>
        <v>1</v>
      </c>
      <c r="R145" s="73">
        <f t="shared" si="21"/>
        <v>0.13043478260869565</v>
      </c>
    </row>
    <row r="146" spans="1:18" x14ac:dyDescent="0.25">
      <c r="A146" s="12" t="s">
        <v>512</v>
      </c>
      <c r="B146" s="12"/>
      <c r="C146" s="12" t="s">
        <v>1328</v>
      </c>
      <c r="D146" s="12" t="s">
        <v>714</v>
      </c>
      <c r="E146" s="12" t="s">
        <v>1354</v>
      </c>
      <c r="F146" s="12"/>
      <c r="G146" s="13">
        <v>44983</v>
      </c>
      <c r="H146" s="14">
        <v>1</v>
      </c>
      <c r="I146" s="14">
        <v>0</v>
      </c>
      <c r="J146" s="8">
        <f>SUMIF(Journal!$A:$A,HeadJournal!$A146,Journal!$K:$K)+SUMIF(Journal!$A:$A,HeadJournal!$A146,Journal!$L:$L)+SUMIF(Journal!$A:$A,HeadJournal!$A146,Journal!$M:$M)</f>
        <v>2316</v>
      </c>
      <c r="K146" s="14">
        <v>2316</v>
      </c>
      <c r="L146" s="14">
        <f t="shared" si="24"/>
        <v>347.4</v>
      </c>
      <c r="M146" s="8">
        <f>SUMIF(Journal!$A:$A,HeadJournal!$A146,Journal!$P:$P)</f>
        <v>2663.4</v>
      </c>
      <c r="N146" s="8">
        <f>SUMIF(Journal!$A:$A,HeadJournal!$A146,Journal!Q:Q)</f>
        <v>4300</v>
      </c>
      <c r="O146" s="18">
        <f>SUMIF(Journal!$A:$A,HeadJournal!$A146,Journal!U:U)</f>
        <v>1636.6</v>
      </c>
      <c r="P146" s="22">
        <f t="shared" si="20"/>
        <v>0.61447773522565141</v>
      </c>
      <c r="Q146" s="7" t="b">
        <f t="shared" si="23"/>
        <v>1</v>
      </c>
      <c r="R146" s="73">
        <f t="shared" si="21"/>
        <v>0.13043478260869565</v>
      </c>
    </row>
    <row r="147" spans="1:18" x14ac:dyDescent="0.25">
      <c r="A147" s="12" t="s">
        <v>515</v>
      </c>
      <c r="B147" s="12"/>
      <c r="C147" s="12" t="s">
        <v>1328</v>
      </c>
      <c r="D147" s="12" t="s">
        <v>714</v>
      </c>
      <c r="E147" s="12" t="s">
        <v>1354</v>
      </c>
      <c r="F147" s="12"/>
      <c r="G147" s="13">
        <v>44987</v>
      </c>
      <c r="H147" s="14">
        <v>1</v>
      </c>
      <c r="I147" s="14">
        <v>0</v>
      </c>
      <c r="J147" s="8">
        <f>SUMIF(Journal!$A:$A,HeadJournal!$A147,Journal!$K:$K)+SUMIF(Journal!$A:$A,HeadJournal!$A147,Journal!$L:$L)+SUMIF(Journal!$A:$A,HeadJournal!$A147,Journal!$M:$M)</f>
        <v>1146</v>
      </c>
      <c r="K147" s="14">
        <v>1146</v>
      </c>
      <c r="L147" s="14">
        <f t="shared" si="24"/>
        <v>171.9</v>
      </c>
      <c r="M147" s="8">
        <f>SUMIF(Journal!$A:$A,HeadJournal!$A147,Journal!$P:$P)</f>
        <v>1317.9</v>
      </c>
      <c r="N147" s="8">
        <f>SUMIF(Journal!$A:$A,HeadJournal!$A147,Journal!Q:Q)</f>
        <v>1100</v>
      </c>
      <c r="O147" s="18">
        <f>SUMIF(Journal!$A:$A,HeadJournal!$A147,Journal!U:U)</f>
        <v>-217.90000000000009</v>
      </c>
      <c r="P147" s="22">
        <f t="shared" si="20"/>
        <v>-0.16533879657030129</v>
      </c>
      <c r="Q147" s="7" t="b">
        <f t="shared" si="23"/>
        <v>1</v>
      </c>
      <c r="R147" s="73">
        <f t="shared" si="21"/>
        <v>0.13043478260869565</v>
      </c>
    </row>
    <row r="148" spans="1:18" x14ac:dyDescent="0.25">
      <c r="A148" s="12" t="s">
        <v>517</v>
      </c>
      <c r="B148" s="12"/>
      <c r="C148" s="12" t="s">
        <v>843</v>
      </c>
      <c r="D148" s="12" t="s">
        <v>714</v>
      </c>
      <c r="E148" s="12" t="s">
        <v>1354</v>
      </c>
      <c r="F148" s="12"/>
      <c r="G148" s="13">
        <v>44977</v>
      </c>
      <c r="H148" s="14">
        <v>1</v>
      </c>
      <c r="I148" s="14">
        <v>0</v>
      </c>
      <c r="J148" s="8">
        <f>SUMIF(Journal!$A:$A,HeadJournal!$A148,Journal!$K:$K)+SUMIF(Journal!$A:$A,HeadJournal!$A148,Journal!$L:$L)+SUMIF(Journal!$A:$A,HeadJournal!$A148,Journal!$M:$M)</f>
        <v>674</v>
      </c>
      <c r="K148" s="14">
        <f>337*2</f>
        <v>674</v>
      </c>
      <c r="L148" s="14">
        <f t="shared" si="24"/>
        <v>101.1</v>
      </c>
      <c r="M148" s="8">
        <f>SUMIF(Journal!$A:$A,HeadJournal!$A148,Journal!$P:$P)</f>
        <v>775.1</v>
      </c>
      <c r="N148" s="8">
        <f>SUMIF(Journal!$A:$A,HeadJournal!$A148,Journal!Q:Q)</f>
        <v>1500</v>
      </c>
      <c r="O148" s="18">
        <f>SUMIF(Journal!$A:$A,HeadJournal!$A148,Journal!U:U)</f>
        <v>724.9</v>
      </c>
      <c r="P148" s="22">
        <f t="shared" si="20"/>
        <v>0.9352341633337633</v>
      </c>
      <c r="Q148" s="7" t="b">
        <f t="shared" si="23"/>
        <v>1</v>
      </c>
      <c r="R148" s="73">
        <f t="shared" si="21"/>
        <v>0.13043478260869565</v>
      </c>
    </row>
    <row r="149" spans="1:18" x14ac:dyDescent="0.25">
      <c r="A149" s="12" t="s">
        <v>518</v>
      </c>
      <c r="B149" s="12"/>
      <c r="C149" s="12" t="s">
        <v>843</v>
      </c>
      <c r="D149" s="12" t="s">
        <v>714</v>
      </c>
      <c r="E149" s="12" t="s">
        <v>1354</v>
      </c>
      <c r="F149" s="12"/>
      <c r="G149" s="13">
        <v>44977</v>
      </c>
      <c r="H149" s="14">
        <v>1</v>
      </c>
      <c r="I149" s="14">
        <v>0</v>
      </c>
      <c r="J149" s="8">
        <f>SUMIF(Journal!$A:$A,HeadJournal!$A149,Journal!$K:$K)+SUMIF(Journal!$A:$A,HeadJournal!$A149,Journal!$L:$L)+SUMIF(Journal!$A:$A,HeadJournal!$A149,Journal!$M:$M)</f>
        <v>364</v>
      </c>
      <c r="K149" s="14">
        <f>182*2</f>
        <v>364</v>
      </c>
      <c r="L149" s="14">
        <f t="shared" si="24"/>
        <v>54.6</v>
      </c>
      <c r="M149" s="8">
        <f>SUMIF(Journal!$A:$A,HeadJournal!$A149,Journal!$P:$P)</f>
        <v>418.6</v>
      </c>
      <c r="N149" s="8">
        <f>SUMIF(Journal!$A:$A,HeadJournal!$A149,Journal!Q:Q)</f>
        <v>450</v>
      </c>
      <c r="O149" s="18">
        <f>SUMIF(Journal!$A:$A,HeadJournal!$A149,Journal!U:U)</f>
        <v>31.399999999999977</v>
      </c>
      <c r="P149" s="22">
        <f t="shared" si="20"/>
        <v>7.5011944577161913E-2</v>
      </c>
      <c r="Q149" s="7" t="b">
        <f t="shared" si="23"/>
        <v>1</v>
      </c>
      <c r="R149" s="73">
        <f t="shared" si="21"/>
        <v>0.13043478260869565</v>
      </c>
    </row>
    <row r="150" spans="1:18" x14ac:dyDescent="0.25">
      <c r="A150" s="12" t="s">
        <v>519</v>
      </c>
      <c r="B150" s="12"/>
      <c r="C150" s="12" t="s">
        <v>843</v>
      </c>
      <c r="D150" s="12" t="s">
        <v>714</v>
      </c>
      <c r="E150" s="12" t="s">
        <v>1354</v>
      </c>
      <c r="F150" s="12"/>
      <c r="G150" s="13">
        <v>44973</v>
      </c>
      <c r="H150" s="14">
        <v>1</v>
      </c>
      <c r="I150" s="14">
        <v>0</v>
      </c>
      <c r="J150" s="8">
        <f>SUMIF(Journal!$A:$A,HeadJournal!$A150,Journal!$K:$K)+SUMIF(Journal!$A:$A,HeadJournal!$A150,Journal!$L:$L)+SUMIF(Journal!$A:$A,HeadJournal!$A150,Journal!$M:$M)</f>
        <v>3514</v>
      </c>
      <c r="K150" s="14">
        <v>3514</v>
      </c>
      <c r="L150" s="14">
        <f t="shared" si="24"/>
        <v>527.1</v>
      </c>
      <c r="M150" s="8">
        <f>SUMIF(Journal!$A:$A,HeadJournal!$A150,Journal!$P:$P)</f>
        <v>4041.1</v>
      </c>
      <c r="N150" s="8">
        <f>SUMIF(Journal!$A:$A,HeadJournal!$A150,Journal!Q:Q)</f>
        <v>6200</v>
      </c>
      <c r="O150" s="18">
        <f>SUMIF(Journal!$A:$A,HeadJournal!$A150,Journal!U:U)</f>
        <v>2158.9</v>
      </c>
      <c r="P150" s="22">
        <f t="shared" si="20"/>
        <v>0.53423572789586993</v>
      </c>
      <c r="Q150" s="7" t="b">
        <f t="shared" si="23"/>
        <v>1</v>
      </c>
      <c r="R150" s="73">
        <f t="shared" si="21"/>
        <v>0.13043478260869565</v>
      </c>
    </row>
    <row r="151" spans="1:18" x14ac:dyDescent="0.25">
      <c r="A151" s="12" t="s">
        <v>520</v>
      </c>
      <c r="B151" s="124" t="s">
        <v>1394</v>
      </c>
      <c r="C151" s="12" t="s">
        <v>1737</v>
      </c>
      <c r="D151" s="12" t="s">
        <v>714</v>
      </c>
      <c r="E151" s="12" t="s">
        <v>1369</v>
      </c>
      <c r="F151" s="124" t="s">
        <v>1393</v>
      </c>
      <c r="G151" s="13">
        <v>44985</v>
      </c>
      <c r="H151" s="14">
        <f>17197.86/J151</f>
        <v>83.610579026690672</v>
      </c>
      <c r="I151" s="14">
        <v>22.04</v>
      </c>
      <c r="J151" s="8">
        <f>SUMIF(Journal!$A:$A,HeadJournal!$A151,Journal!$K:$K)+SUMIF(Journal!$A:$A,HeadJournal!$A151,Journal!$L:$L)+SUMIF(Journal!$A:$A,HeadJournal!$A151,Journal!$M:$M)</f>
        <v>205.68999999999997</v>
      </c>
      <c r="K151" s="14">
        <v>205.69</v>
      </c>
      <c r="L151" s="14">
        <f>2237.22/2+400/2</f>
        <v>1318.61</v>
      </c>
      <c r="M151" s="8">
        <f>SUMIF(Journal!$A:$A,HeadJournal!$A151,Journal!$P:$P)</f>
        <v>18516.470000000008</v>
      </c>
      <c r="N151" s="8">
        <f>SUMIF(Journal!$A:$A,HeadJournal!$A151,Journal!Q:Q)</f>
        <v>32300</v>
      </c>
      <c r="O151" s="18">
        <f>SUMIF(Journal!$A:$A,HeadJournal!$A151,Journal!U:U)</f>
        <v>13783.529999999993</v>
      </c>
      <c r="P151" s="22">
        <f t="shared" si="20"/>
        <v>0.74439296474975991</v>
      </c>
      <c r="R151" s="73">
        <f t="shared" si="21"/>
        <v>7.1212817561878652E-2</v>
      </c>
    </row>
    <row r="152" spans="1:18" x14ac:dyDescent="0.25">
      <c r="A152" s="12" t="s">
        <v>525</v>
      </c>
      <c r="B152" s="12"/>
      <c r="C152" s="12" t="s">
        <v>1328</v>
      </c>
      <c r="D152" s="12" t="s">
        <v>714</v>
      </c>
      <c r="E152" s="12" t="s">
        <v>1354</v>
      </c>
      <c r="F152" s="12"/>
      <c r="G152" s="13">
        <v>44972</v>
      </c>
      <c r="H152" s="14">
        <v>1</v>
      </c>
      <c r="I152" s="14">
        <v>0</v>
      </c>
      <c r="J152" s="8">
        <f>SUMIF(Journal!$A:$A,HeadJournal!$A152,Journal!$K:$K)+SUMIF(Journal!$A:$A,HeadJournal!$A152,Journal!$L:$L)+SUMIF(Journal!$A:$A,HeadJournal!$A152,Journal!$M:$M)</f>
        <v>5849</v>
      </c>
      <c r="K152" s="14">
        <v>5849</v>
      </c>
      <c r="L152" s="14">
        <f>K152*0.15</f>
        <v>877.35</v>
      </c>
      <c r="M152" s="8">
        <f>SUMIF(Journal!$A:$A,HeadJournal!$A152,Journal!$P:$P)</f>
        <v>6726.35</v>
      </c>
      <c r="N152" s="8">
        <f>SUMIF(Journal!$A:$A,HeadJournal!$A152,Journal!Q:Q)</f>
        <v>9200</v>
      </c>
      <c r="O152" s="18">
        <f>SUMIF(Journal!$A:$A,HeadJournal!$A152,Journal!U:U)</f>
        <v>2473.6499999999996</v>
      </c>
      <c r="P152" s="22">
        <f t="shared" si="20"/>
        <v>0.36775517182424339</v>
      </c>
      <c r="Q152" s="7" t="b">
        <f t="shared" ref="Q152:Q158" si="25">J152=K152</f>
        <v>1</v>
      </c>
      <c r="R152" s="73">
        <f t="shared" si="21"/>
        <v>0.13043478260869565</v>
      </c>
    </row>
    <row r="153" spans="1:18" x14ac:dyDescent="0.25">
      <c r="A153" s="12" t="s">
        <v>528</v>
      </c>
      <c r="B153" s="12"/>
      <c r="C153" s="12" t="s">
        <v>1395</v>
      </c>
      <c r="D153" s="12" t="s">
        <v>714</v>
      </c>
      <c r="E153" s="12" t="s">
        <v>1369</v>
      </c>
      <c r="F153" s="12"/>
      <c r="G153" s="13">
        <v>44994</v>
      </c>
      <c r="H153" s="14">
        <v>1</v>
      </c>
      <c r="I153" s="14">
        <v>0</v>
      </c>
      <c r="J153" s="8">
        <f>SUMIF(Journal!$A:$A,HeadJournal!$A153,Journal!$K:$K)+SUMIF(Journal!$A:$A,HeadJournal!$A153,Journal!$L:$L)+SUMIF(Journal!$A:$A,HeadJournal!$A153,Journal!$M:$M)</f>
        <v>5369.08</v>
      </c>
      <c r="K153" s="14">
        <v>5527.47</v>
      </c>
      <c r="L153" s="14">
        <v>200</v>
      </c>
      <c r="M153" s="8">
        <f>SUMIF(Journal!$A:$A,HeadJournal!$A153,Journal!$P:$P)</f>
        <v>5727.47</v>
      </c>
      <c r="N153" s="8">
        <f>SUMIF(Journal!$A:$A,HeadJournal!$A153,Journal!Q:Q)</f>
        <v>7905</v>
      </c>
      <c r="O153" s="18">
        <f>SUMIF(Journal!$A:$A,HeadJournal!$A153,Journal!U:U)</f>
        <v>2177.5299999999997</v>
      </c>
      <c r="P153" s="22">
        <f t="shared" si="20"/>
        <v>0.38019055534118901</v>
      </c>
      <c r="Q153" s="7" t="b">
        <f t="shared" si="25"/>
        <v>0</v>
      </c>
      <c r="R153" s="73">
        <f t="shared" si="21"/>
        <v>3.4919432140194537E-2</v>
      </c>
    </row>
    <row r="154" spans="1:18" x14ac:dyDescent="0.25">
      <c r="A154" s="12" t="s">
        <v>532</v>
      </c>
      <c r="B154" s="12"/>
      <c r="C154" s="12" t="s">
        <v>1328</v>
      </c>
      <c r="D154" s="12" t="s">
        <v>714</v>
      </c>
      <c r="E154" s="12" t="s">
        <v>1354</v>
      </c>
      <c r="F154" s="12"/>
      <c r="G154" s="13">
        <v>44988</v>
      </c>
      <c r="H154" s="14">
        <v>1</v>
      </c>
      <c r="I154" s="14">
        <v>0</v>
      </c>
      <c r="J154" s="8">
        <f>SUMIF(Journal!$A:$A,HeadJournal!$A154,Journal!$K:$K)+SUMIF(Journal!$A:$A,HeadJournal!$A154,Journal!$L:$L)+SUMIF(Journal!$A:$A,HeadJournal!$A154,Journal!$M:$M)</f>
        <v>3022</v>
      </c>
      <c r="K154" s="14">
        <v>3022</v>
      </c>
      <c r="L154" s="14">
        <f>K154*0.15</f>
        <v>453.3</v>
      </c>
      <c r="M154" s="8">
        <f>SUMIF(Journal!$A:$A,HeadJournal!$A154,Journal!$P:$P)</f>
        <v>3475.3</v>
      </c>
      <c r="N154" s="8">
        <f>SUMIF(Journal!$A:$A,HeadJournal!$A154,Journal!Q:Q)</f>
        <v>6100</v>
      </c>
      <c r="O154" s="18">
        <f>SUMIF(Journal!$A:$A,HeadJournal!$A154,Journal!U:U)</f>
        <v>2624.7</v>
      </c>
      <c r="P154" s="22">
        <f t="shared" si="20"/>
        <v>0.75524415158403579</v>
      </c>
      <c r="Q154" s="7" t="b">
        <f t="shared" si="25"/>
        <v>1</v>
      </c>
      <c r="R154" s="73">
        <f t="shared" si="21"/>
        <v>0.13043478260869565</v>
      </c>
    </row>
    <row r="155" spans="1:18" x14ac:dyDescent="0.25">
      <c r="A155" s="12" t="s">
        <v>533</v>
      </c>
      <c r="B155" s="12"/>
      <c r="C155" s="12" t="s">
        <v>1328</v>
      </c>
      <c r="D155" s="12" t="s">
        <v>714</v>
      </c>
      <c r="E155" s="12" t="s">
        <v>1354</v>
      </c>
      <c r="F155" s="12"/>
      <c r="G155" s="13">
        <v>44990</v>
      </c>
      <c r="H155" s="14">
        <v>1</v>
      </c>
      <c r="I155" s="14">
        <v>0</v>
      </c>
      <c r="J155" s="8">
        <f>SUMIF(Journal!$A:$A,HeadJournal!$A155,Journal!$K:$K)+SUMIF(Journal!$A:$A,HeadJournal!$A155,Journal!$L:$L)+SUMIF(Journal!$A:$A,HeadJournal!$A155,Journal!$M:$M)</f>
        <v>2584</v>
      </c>
      <c r="K155" s="14">
        <v>2584</v>
      </c>
      <c r="L155" s="14">
        <f>K155*0.15</f>
        <v>387.59999999999997</v>
      </c>
      <c r="M155" s="8">
        <f>SUMIF(Journal!$A:$A,HeadJournal!$A155,Journal!$P:$P)</f>
        <v>2971.6000000000004</v>
      </c>
      <c r="N155" s="8">
        <f>SUMIF(Journal!$A:$A,HeadJournal!$A155,Journal!Q:Q)</f>
        <v>4300</v>
      </c>
      <c r="O155" s="18">
        <f>SUMIF(Journal!$A:$A,HeadJournal!$A155,Journal!U:U)</f>
        <v>1328.4</v>
      </c>
      <c r="P155" s="22">
        <f t="shared" si="20"/>
        <v>0.44703190200565351</v>
      </c>
      <c r="Q155" s="7" t="b">
        <f t="shared" si="25"/>
        <v>1</v>
      </c>
      <c r="R155" s="73">
        <f t="shared" si="21"/>
        <v>0.13043478260869562</v>
      </c>
    </row>
    <row r="156" spans="1:18" x14ac:dyDescent="0.25">
      <c r="A156" s="12" t="s">
        <v>538</v>
      </c>
      <c r="B156" s="12"/>
      <c r="C156" s="12" t="s">
        <v>1328</v>
      </c>
      <c r="D156" s="12" t="s">
        <v>714</v>
      </c>
      <c r="E156" s="12" t="s">
        <v>1354</v>
      </c>
      <c r="F156" s="12"/>
      <c r="G156" s="13">
        <v>44990</v>
      </c>
      <c r="H156" s="14">
        <v>1</v>
      </c>
      <c r="I156" s="14">
        <v>0</v>
      </c>
      <c r="J156" s="8">
        <f>SUMIF(Journal!$A:$A,HeadJournal!$A156,Journal!$K:$K)+SUMIF(Journal!$A:$A,HeadJournal!$A156,Journal!$L:$L)+SUMIF(Journal!$A:$A,HeadJournal!$A156,Journal!$M:$M)</f>
        <v>5323</v>
      </c>
      <c r="K156" s="14">
        <v>5323</v>
      </c>
      <c r="L156" s="14">
        <f>K156*0.15</f>
        <v>798.44999999999993</v>
      </c>
      <c r="M156" s="8">
        <f>SUMIF(Journal!$A:$A,HeadJournal!$A156,Journal!$P:$P)</f>
        <v>6121.45</v>
      </c>
      <c r="N156" s="8">
        <f>SUMIF(Journal!$A:$A,HeadJournal!$A156,Journal!Q:Q)</f>
        <v>9200</v>
      </c>
      <c r="O156" s="18">
        <f>SUMIF(Journal!$A:$A,HeadJournal!$A156,Journal!U:U)</f>
        <v>3078.55</v>
      </c>
      <c r="P156" s="22">
        <f t="shared" si="20"/>
        <v>0.50291189179034379</v>
      </c>
      <c r="Q156" s="7" t="b">
        <f t="shared" si="25"/>
        <v>1</v>
      </c>
      <c r="R156" s="73">
        <f t="shared" si="21"/>
        <v>0.13043478260869565</v>
      </c>
    </row>
    <row r="157" spans="1:18" x14ac:dyDescent="0.25">
      <c r="A157" s="12" t="s">
        <v>539</v>
      </c>
      <c r="B157" s="12"/>
      <c r="C157" s="12" t="s">
        <v>1328</v>
      </c>
      <c r="D157" s="12" t="s">
        <v>714</v>
      </c>
      <c r="E157" s="12" t="s">
        <v>1354</v>
      </c>
      <c r="F157" s="12"/>
      <c r="G157" s="13">
        <v>44991</v>
      </c>
      <c r="H157" s="14">
        <v>1</v>
      </c>
      <c r="I157" s="14">
        <v>0</v>
      </c>
      <c r="J157" s="8">
        <f>SUMIF(Journal!$A:$A,HeadJournal!$A157,Journal!$K:$K)+SUMIF(Journal!$A:$A,HeadJournal!$A157,Journal!$L:$L)+SUMIF(Journal!$A:$A,HeadJournal!$A157,Journal!$M:$M)</f>
        <v>1294</v>
      </c>
      <c r="K157" s="14">
        <f>647*2</f>
        <v>1294</v>
      </c>
      <c r="L157" s="14">
        <f>K157*0.15</f>
        <v>194.1</v>
      </c>
      <c r="M157" s="8">
        <f>SUMIF(Journal!$A:$A,HeadJournal!$A157,Journal!$P:$P)</f>
        <v>1488.1</v>
      </c>
      <c r="N157" s="8">
        <f>SUMIF(Journal!$A:$A,HeadJournal!$A157,Journal!Q:Q)</f>
        <v>2600</v>
      </c>
      <c r="O157" s="18">
        <f>SUMIF(Journal!$A:$A,HeadJournal!$A157,Journal!U:U)</f>
        <v>1111.9000000000001</v>
      </c>
      <c r="P157" s="22">
        <f t="shared" si="20"/>
        <v>0.74719440897789136</v>
      </c>
      <c r="Q157" s="7" t="b">
        <f t="shared" si="25"/>
        <v>1</v>
      </c>
      <c r="R157" s="73">
        <f t="shared" si="21"/>
        <v>0.13043478260869565</v>
      </c>
    </row>
    <row r="158" spans="1:18" x14ac:dyDescent="0.25">
      <c r="A158" s="12" t="s">
        <v>541</v>
      </c>
      <c r="B158" s="12"/>
      <c r="C158" s="12" t="s">
        <v>1328</v>
      </c>
      <c r="D158" s="12" t="s">
        <v>714</v>
      </c>
      <c r="E158" s="12" t="s">
        <v>1354</v>
      </c>
      <c r="F158" s="12"/>
      <c r="G158" s="13">
        <v>44994</v>
      </c>
      <c r="H158" s="14">
        <v>1</v>
      </c>
      <c r="I158" s="14">
        <v>0</v>
      </c>
      <c r="J158" s="8">
        <f>SUMIF(Journal!$A:$A,HeadJournal!$A158,Journal!$K:$K)+SUMIF(Journal!$A:$A,HeadJournal!$A158,Journal!$L:$L)+SUMIF(Journal!$A:$A,HeadJournal!$A158,Journal!$M:$M)</f>
        <v>3475</v>
      </c>
      <c r="K158" s="14">
        <f>288+287+311+542+1008+1039</f>
        <v>3475</v>
      </c>
      <c r="L158" s="14">
        <f>K158*0.15</f>
        <v>521.25</v>
      </c>
      <c r="M158" s="8">
        <f>SUMIF(Journal!$A:$A,HeadJournal!$A158,Journal!$P:$P)</f>
        <v>3996.2499999999995</v>
      </c>
      <c r="N158" s="8">
        <f>SUMIF(Journal!$A:$A,HeadJournal!$A158,Journal!Q:Q)</f>
        <v>5900</v>
      </c>
      <c r="O158" s="18">
        <f>SUMIF(Journal!$A:$A,HeadJournal!$A158,Journal!U:U)</f>
        <v>1903.75</v>
      </c>
      <c r="P158" s="22">
        <f t="shared" si="20"/>
        <v>0.47638411010322185</v>
      </c>
      <c r="Q158" s="7" t="b">
        <f t="shared" si="25"/>
        <v>1</v>
      </c>
      <c r="R158" s="73">
        <f t="shared" si="21"/>
        <v>0.13043478260869568</v>
      </c>
    </row>
    <row r="159" spans="1:18" x14ac:dyDescent="0.25">
      <c r="A159" s="12" t="s">
        <v>546</v>
      </c>
      <c r="B159" s="124" t="s">
        <v>1396</v>
      </c>
      <c r="C159" s="12" t="s">
        <v>1737</v>
      </c>
      <c r="D159" s="12" t="s">
        <v>714</v>
      </c>
      <c r="E159" s="12" t="s">
        <v>1369</v>
      </c>
      <c r="F159" s="124" t="s">
        <v>1397</v>
      </c>
      <c r="G159" s="13">
        <v>44994</v>
      </c>
      <c r="H159" s="14">
        <f>19537.94/K159</f>
        <v>83.929464324068903</v>
      </c>
      <c r="I159" s="14">
        <f>-9.77+25.99</f>
        <v>16.22</v>
      </c>
      <c r="J159" s="8">
        <f>SUMIF(Journal!$A:$A,HeadJournal!$A159,Journal!$K:$K)+SUMIF(Journal!$A:$A,HeadJournal!$A159,Journal!$L:$L)+SUMIF(Journal!$A:$A,HeadJournal!$A159,Journal!$M:$M)</f>
        <v>232.78999999999994</v>
      </c>
      <c r="K159" s="14">
        <v>232.79</v>
      </c>
      <c r="L159" s="14">
        <f>2355/2+400/2</f>
        <v>1377.5</v>
      </c>
      <c r="M159" s="8">
        <f>SUMIF(Journal!$A:$A,HeadJournal!$A159,Journal!$P:$P)</f>
        <v>20915.440000000002</v>
      </c>
      <c r="N159" s="8">
        <f>SUMIF(Journal!$A:$A,HeadJournal!$A159,Journal!Q:Q)</f>
        <v>32550</v>
      </c>
      <c r="O159" s="18">
        <f>SUMIF(Journal!$A:$A,HeadJournal!$A159,Journal!U:U)</f>
        <v>11634.559999999994</v>
      </c>
      <c r="P159" s="22">
        <f t="shared" si="20"/>
        <v>0.55626656670861296</v>
      </c>
      <c r="R159" s="73">
        <f t="shared" si="21"/>
        <v>6.5860436118006599E-2</v>
      </c>
    </row>
    <row r="160" spans="1:18" x14ac:dyDescent="0.25">
      <c r="A160" s="12" t="s">
        <v>550</v>
      </c>
      <c r="B160" s="12"/>
      <c r="C160" s="12" t="s">
        <v>1328</v>
      </c>
      <c r="D160" s="12" t="s">
        <v>714</v>
      </c>
      <c r="E160" s="12" t="s">
        <v>1354</v>
      </c>
      <c r="F160" s="12"/>
      <c r="G160" s="13">
        <v>44991</v>
      </c>
      <c r="H160" s="14">
        <v>1</v>
      </c>
      <c r="I160" s="14">
        <v>0</v>
      </c>
      <c r="J160" s="8">
        <f>SUMIF(Journal!$A:$A,HeadJournal!$A160,Journal!$K:$K)+SUMIF(Journal!$A:$A,HeadJournal!$A160,Journal!$L:$L)+SUMIF(Journal!$A:$A,HeadJournal!$A160,Journal!$M:$M)</f>
        <v>394</v>
      </c>
      <c r="K160" s="14">
        <v>432</v>
      </c>
      <c r="L160" s="14">
        <f>K160*0.15</f>
        <v>64.8</v>
      </c>
      <c r="M160" s="8">
        <f>SUMIF(Journal!$A:$A,HeadJournal!$A160,Journal!$P:$P)</f>
        <v>496.8</v>
      </c>
      <c r="N160" s="8">
        <f>SUMIF(Journal!$A:$A,HeadJournal!$A160,Journal!Q:Q)</f>
        <v>0</v>
      </c>
      <c r="O160" s="18">
        <f>SUMIF(Journal!$A:$A,HeadJournal!$A160,Journal!U:U)</f>
        <v>-496.8</v>
      </c>
      <c r="P160" s="22" t="str">
        <f t="shared" si="20"/>
        <v/>
      </c>
      <c r="Q160" s="7" t="b">
        <f t="shared" ref="Q160:Q167" si="26">J160=K160</f>
        <v>0</v>
      </c>
      <c r="R160" s="73">
        <f t="shared" si="21"/>
        <v>0.13043478260869565</v>
      </c>
    </row>
    <row r="161" spans="1:21" x14ac:dyDescent="0.25">
      <c r="A161" s="12" t="s">
        <v>552</v>
      </c>
      <c r="B161" s="12"/>
      <c r="C161" s="12" t="s">
        <v>1357</v>
      </c>
      <c r="D161" s="12" t="s">
        <v>714</v>
      </c>
      <c r="E161" s="12" t="s">
        <v>1358</v>
      </c>
      <c r="F161" s="12"/>
      <c r="G161" s="13">
        <v>44998</v>
      </c>
      <c r="H161" s="14">
        <v>1</v>
      </c>
      <c r="I161" s="14">
        <v>0</v>
      </c>
      <c r="J161" s="8">
        <f>SUMIF(Journal!$A:$A,HeadJournal!$A161,Journal!$K:$K)+SUMIF(Journal!$A:$A,HeadJournal!$A161,Journal!$L:$L)+SUMIF(Journal!$A:$A,HeadJournal!$A161,Journal!$M:$M)</f>
        <v>2840</v>
      </c>
      <c r="K161" s="14">
        <v>2900</v>
      </c>
      <c r="L161" s="14">
        <v>0</v>
      </c>
      <c r="M161" s="8">
        <f>SUMIF(Journal!$A:$A,HeadJournal!$A161,Journal!$P:$P)</f>
        <v>2900</v>
      </c>
      <c r="N161" s="8">
        <f>SUMIF(Journal!$A:$A,HeadJournal!$A161,Journal!Q:Q)</f>
        <v>3250</v>
      </c>
      <c r="O161" s="18">
        <f>SUMIF(Journal!$A:$A,HeadJournal!$A161,Journal!U:U)</f>
        <v>350</v>
      </c>
      <c r="P161" s="22">
        <f t="shared" si="20"/>
        <v>0.1206896551724138</v>
      </c>
      <c r="Q161" s="7" t="b">
        <f t="shared" si="26"/>
        <v>0</v>
      </c>
      <c r="R161" s="73">
        <f t="shared" si="21"/>
        <v>0</v>
      </c>
    </row>
    <row r="162" spans="1:21" x14ac:dyDescent="0.25">
      <c r="A162" s="12" t="s">
        <v>555</v>
      </c>
      <c r="B162" s="12"/>
      <c r="C162" s="12" t="s">
        <v>1328</v>
      </c>
      <c r="D162" s="12" t="s">
        <v>714</v>
      </c>
      <c r="E162" s="12" t="s">
        <v>1354</v>
      </c>
      <c r="F162" s="12"/>
      <c r="G162" s="13">
        <v>45000</v>
      </c>
      <c r="H162" s="14">
        <v>1</v>
      </c>
      <c r="I162" s="14">
        <v>0</v>
      </c>
      <c r="J162" s="8">
        <f>SUMIF(Journal!$A:$A,HeadJournal!$A162,Journal!$K:$K)+SUMIF(Journal!$A:$A,HeadJournal!$A162,Journal!$L:$L)+SUMIF(Journal!$A:$A,HeadJournal!$A162,Journal!$M:$M)</f>
        <v>1260</v>
      </c>
      <c r="K162" s="14">
        <f>630*2</f>
        <v>1260</v>
      </c>
      <c r="L162" s="14">
        <f>K162*0.15</f>
        <v>189</v>
      </c>
      <c r="M162" s="8">
        <f>SUMIF(Journal!$A:$A,HeadJournal!$A162,Journal!$P:$P)</f>
        <v>1449</v>
      </c>
      <c r="N162" s="8">
        <f>SUMIF(Journal!$A:$A,HeadJournal!$A162,Journal!Q:Q)</f>
        <v>2150</v>
      </c>
      <c r="O162" s="18">
        <f>SUMIF(Journal!$A:$A,HeadJournal!$A162,Journal!U:U)</f>
        <v>701</v>
      </c>
      <c r="P162" s="22">
        <f t="shared" si="20"/>
        <v>0.48378191856452724</v>
      </c>
      <c r="Q162" s="7" t="b">
        <f t="shared" si="26"/>
        <v>1</v>
      </c>
      <c r="R162" s="73">
        <f t="shared" si="21"/>
        <v>0.13043478260869565</v>
      </c>
    </row>
    <row r="163" spans="1:21" x14ac:dyDescent="0.25">
      <c r="A163" s="12" t="s">
        <v>558</v>
      </c>
      <c r="B163" s="12"/>
      <c r="C163" s="12" t="s">
        <v>1328</v>
      </c>
      <c r="D163" s="12" t="s">
        <v>714</v>
      </c>
      <c r="E163" s="12" t="s">
        <v>1354</v>
      </c>
      <c r="F163" s="12"/>
      <c r="G163" s="13">
        <v>45000</v>
      </c>
      <c r="H163" s="14">
        <v>1</v>
      </c>
      <c r="I163" s="14">
        <v>0</v>
      </c>
      <c r="J163" s="8">
        <f>SUMIF(Journal!$A:$A,HeadJournal!$A163,Journal!$K:$K)+SUMIF(Journal!$A:$A,HeadJournal!$A163,Journal!$L:$L)+SUMIF(Journal!$A:$A,HeadJournal!$A163,Journal!$M:$M)</f>
        <v>1780</v>
      </c>
      <c r="K163" s="14">
        <v>1780</v>
      </c>
      <c r="L163" s="14">
        <f>K163*0.15</f>
        <v>267</v>
      </c>
      <c r="M163" s="8">
        <f>SUMIF(Journal!$A:$A,HeadJournal!$A163,Journal!$P:$P)</f>
        <v>2047</v>
      </c>
      <c r="N163" s="8">
        <f>SUMIF(Journal!$A:$A,HeadJournal!$A163,Journal!Q:Q)</f>
        <v>3000</v>
      </c>
      <c r="O163" s="18">
        <f>SUMIF(Journal!$A:$A,HeadJournal!$A163,Journal!U:U)</f>
        <v>953</v>
      </c>
      <c r="P163" s="22">
        <f t="shared" si="20"/>
        <v>0.46555935515388375</v>
      </c>
      <c r="Q163" s="7" t="b">
        <f t="shared" si="26"/>
        <v>1</v>
      </c>
      <c r="R163" s="73">
        <f t="shared" si="21"/>
        <v>0.13043478260869565</v>
      </c>
    </row>
    <row r="164" spans="1:21" x14ac:dyDescent="0.25">
      <c r="A164" s="12" t="s">
        <v>559</v>
      </c>
      <c r="B164" s="12"/>
      <c r="C164" s="12" t="s">
        <v>1328</v>
      </c>
      <c r="D164" s="12" t="s">
        <v>714</v>
      </c>
      <c r="E164" s="12" t="s">
        <v>1354</v>
      </c>
      <c r="F164" s="12"/>
      <c r="G164" s="13">
        <v>45001</v>
      </c>
      <c r="H164" s="14">
        <v>1</v>
      </c>
      <c r="I164" s="14">
        <v>0</v>
      </c>
      <c r="J164" s="8">
        <f>SUMIF(Journal!$A:$A,HeadJournal!$A164,Journal!$K:$K)+SUMIF(Journal!$A:$A,HeadJournal!$A164,Journal!$L:$L)+SUMIF(Journal!$A:$A,HeadJournal!$A164,Journal!$M:$M)</f>
        <v>2990</v>
      </c>
      <c r="K164" s="14">
        <v>2990</v>
      </c>
      <c r="L164" s="14">
        <f>K164*0.15</f>
        <v>448.5</v>
      </c>
      <c r="M164" s="8">
        <f>SUMIF(Journal!$A:$A,HeadJournal!$A164,Journal!$P:$P)</f>
        <v>3438.5</v>
      </c>
      <c r="N164" s="8">
        <f>SUMIF(Journal!$A:$A,HeadJournal!$A164,Journal!Q:Q)</f>
        <v>5600</v>
      </c>
      <c r="O164" s="18">
        <f>SUMIF(Journal!$A:$A,HeadJournal!$A164,Journal!U:U)</f>
        <v>2161.5</v>
      </c>
      <c r="P164" s="22">
        <f t="shared" si="20"/>
        <v>0.6286171295623092</v>
      </c>
      <c r="Q164" s="7" t="b">
        <f t="shared" si="26"/>
        <v>1</v>
      </c>
      <c r="R164" s="73">
        <f t="shared" si="21"/>
        <v>0.13043478260869565</v>
      </c>
    </row>
    <row r="165" spans="1:21" x14ac:dyDescent="0.25">
      <c r="A165" s="12" t="s">
        <v>563</v>
      </c>
      <c r="B165" s="12"/>
      <c r="C165" s="12" t="s">
        <v>1328</v>
      </c>
      <c r="D165" s="12" t="s">
        <v>714</v>
      </c>
      <c r="E165" s="12" t="s">
        <v>1354</v>
      </c>
      <c r="F165" s="12"/>
      <c r="G165" s="13">
        <v>45004</v>
      </c>
      <c r="H165" s="14">
        <v>1</v>
      </c>
      <c r="I165" s="14">
        <v>0</v>
      </c>
      <c r="J165" s="8">
        <f>SUMIF(Journal!$A:$A,HeadJournal!$A165,Journal!$K:$K)+SUMIF(Journal!$A:$A,HeadJournal!$A165,Journal!$L:$L)+SUMIF(Journal!$A:$A,HeadJournal!$A165,Journal!$M:$M)</f>
        <v>1383</v>
      </c>
      <c r="K165" s="14">
        <v>1383</v>
      </c>
      <c r="L165" s="14">
        <f>K165*0.15</f>
        <v>207.45</v>
      </c>
      <c r="M165" s="8">
        <f>SUMIF(Journal!$A:$A,HeadJournal!$A165,Journal!$P:$P)</f>
        <v>1590.45</v>
      </c>
      <c r="N165" s="8">
        <f>SUMIF(Journal!$A:$A,HeadJournal!$A165,Journal!Q:Q)</f>
        <v>2250</v>
      </c>
      <c r="O165" s="18">
        <f>SUMIF(Journal!$A:$A,HeadJournal!$A165,Journal!U:U)</f>
        <v>659.55000000000007</v>
      </c>
      <c r="P165" s="22">
        <f t="shared" si="20"/>
        <v>0.41469395454116764</v>
      </c>
      <c r="Q165" s="7" t="b">
        <f t="shared" si="26"/>
        <v>1</v>
      </c>
      <c r="R165" s="73">
        <f t="shared" si="21"/>
        <v>0.13043478260869565</v>
      </c>
    </row>
    <row r="166" spans="1:21" x14ac:dyDescent="0.25">
      <c r="A166" s="12" t="s">
        <v>565</v>
      </c>
      <c r="B166" s="12"/>
      <c r="C166" s="12" t="s">
        <v>1359</v>
      </c>
      <c r="D166" s="12" t="s">
        <v>714</v>
      </c>
      <c r="E166" s="12" t="s">
        <v>1358</v>
      </c>
      <c r="F166" s="12"/>
      <c r="G166" s="13">
        <v>45006</v>
      </c>
      <c r="H166" s="14">
        <v>1</v>
      </c>
      <c r="I166" s="14">
        <v>0</v>
      </c>
      <c r="J166" s="8">
        <f>SUMIF(Journal!$A:$A,HeadJournal!$A166,Journal!$K:$K)+SUMIF(Journal!$A:$A,HeadJournal!$A166,Journal!$L:$L)+SUMIF(Journal!$A:$A,HeadJournal!$A166,Journal!$M:$M)</f>
        <v>3053</v>
      </c>
      <c r="K166" s="14">
        <f>3053+27.25</f>
        <v>3080.25</v>
      </c>
      <c r="L166" s="14">
        <v>0</v>
      </c>
      <c r="M166" s="8">
        <f>SUMIF(Journal!$A:$A,HeadJournal!$A166,Journal!$P:$P)</f>
        <v>3080.25</v>
      </c>
      <c r="N166" s="8">
        <f>SUMIF(Journal!$A:$A,HeadJournal!$A166,Journal!Q:Q)</f>
        <v>2704.31</v>
      </c>
      <c r="O166" s="18">
        <f>SUMIF(Journal!$A:$A,HeadJournal!$A166,Journal!U:U)</f>
        <v>-375.94000000000005</v>
      </c>
      <c r="P166" s="22">
        <f t="shared" si="20"/>
        <v>-0.12204853502150802</v>
      </c>
      <c r="Q166" s="7" t="b">
        <f t="shared" si="26"/>
        <v>0</v>
      </c>
      <c r="R166" s="73">
        <f t="shared" si="21"/>
        <v>0</v>
      </c>
      <c r="T166" s="9"/>
    </row>
    <row r="167" spans="1:21" x14ac:dyDescent="0.25">
      <c r="A167" s="12" t="s">
        <v>568</v>
      </c>
      <c r="B167" s="12"/>
      <c r="C167" s="12" t="s">
        <v>1357</v>
      </c>
      <c r="D167" s="12" t="s">
        <v>714</v>
      </c>
      <c r="E167" s="12" t="s">
        <v>1358</v>
      </c>
      <c r="F167" s="12"/>
      <c r="G167" s="13">
        <v>45006</v>
      </c>
      <c r="H167" s="14">
        <v>1</v>
      </c>
      <c r="I167" s="14">
        <v>0</v>
      </c>
      <c r="J167" s="8">
        <f>SUMIF(Journal!$A:$A,HeadJournal!$A167,Journal!$K:$K)+SUMIF(Journal!$A:$A,HeadJournal!$A167,Journal!$L:$L)+SUMIF(Journal!$A:$A,HeadJournal!$A167,Journal!$M:$M)</f>
        <v>4792.5</v>
      </c>
      <c r="K167" s="14">
        <f>27.25+4792.5</f>
        <v>4819.75</v>
      </c>
      <c r="L167" s="14">
        <v>0</v>
      </c>
      <c r="M167" s="8">
        <f>SUMIF(Journal!$A:$A,HeadJournal!$A167,Journal!$P:$P)</f>
        <v>4819.75</v>
      </c>
      <c r="N167" s="8">
        <f>SUMIF(Journal!$A:$A,HeadJournal!$A167,Journal!Q:Q)</f>
        <v>0</v>
      </c>
      <c r="O167" s="18">
        <f>SUMIF(Journal!$A:$A,HeadJournal!$A167,Journal!U:U)</f>
        <v>-4819.75</v>
      </c>
      <c r="P167" s="22" t="str">
        <f t="shared" si="20"/>
        <v/>
      </c>
      <c r="Q167" s="7" t="b">
        <f t="shared" si="26"/>
        <v>0</v>
      </c>
      <c r="R167" s="73">
        <f t="shared" si="21"/>
        <v>0</v>
      </c>
    </row>
    <row r="168" spans="1:21" x14ac:dyDescent="0.25">
      <c r="A168" s="12" t="s">
        <v>570</v>
      </c>
      <c r="B168" s="124" t="s">
        <v>1398</v>
      </c>
      <c r="C168" s="12" t="s">
        <v>1737</v>
      </c>
      <c r="D168" s="12" t="s">
        <v>714</v>
      </c>
      <c r="E168" s="12" t="s">
        <v>1369</v>
      </c>
      <c r="F168" s="124" t="s">
        <v>1399</v>
      </c>
      <c r="G168" s="13">
        <v>45000</v>
      </c>
      <c r="H168" s="14">
        <f>22370.81/J168</f>
        <v>84.01551057197581</v>
      </c>
      <c r="I168" s="14">
        <f>29.42-8.35</f>
        <v>21.07</v>
      </c>
      <c r="J168" s="8">
        <f>SUMIF(Journal!$A:$A,HeadJournal!$A168,Journal!$K:$K)+SUMIF(Journal!$A:$A,HeadJournal!$A168,Journal!$L:$L)+SUMIF(Journal!$A:$A,HeadJournal!$A168,Journal!$M:$M)</f>
        <v>266.27000000000004</v>
      </c>
      <c r="K168" s="14">
        <v>266.27</v>
      </c>
      <c r="L168" s="14">
        <f>1605.23/3+400/3</f>
        <v>668.41000000000008</v>
      </c>
      <c r="M168" s="8">
        <f>SUMIF(Journal!$A:$A,HeadJournal!$A168,Journal!$P:$P)</f>
        <v>23039.219999999994</v>
      </c>
      <c r="N168" s="8">
        <f>SUMIF(Journal!$A:$A,HeadJournal!$A168,Journal!Q:Q)</f>
        <v>34917.15</v>
      </c>
      <c r="O168" s="18">
        <f>SUMIF(Journal!$A:$A,HeadJournal!$A168,Journal!U:U)</f>
        <v>11877.930000000004</v>
      </c>
      <c r="P168" s="22">
        <f t="shared" si="20"/>
        <v>0.51555260985397977</v>
      </c>
      <c r="R168" s="73">
        <f t="shared" si="21"/>
        <v>2.9011832865869603E-2</v>
      </c>
      <c r="T168" s="9"/>
    </row>
    <row r="169" spans="1:21" x14ac:dyDescent="0.25">
      <c r="A169" s="12" t="s">
        <v>571</v>
      </c>
      <c r="B169" s="124" t="s">
        <v>1400</v>
      </c>
      <c r="C169" s="12" t="s">
        <v>1737</v>
      </c>
      <c r="D169" s="12" t="s">
        <v>714</v>
      </c>
      <c r="E169" s="12" t="s">
        <v>1369</v>
      </c>
      <c r="F169" s="124" t="s">
        <v>1399</v>
      </c>
      <c r="G169" s="13">
        <v>45004</v>
      </c>
      <c r="H169" s="14">
        <f>12436.39/J169</f>
        <v>84.549527500169972</v>
      </c>
      <c r="I169" s="14">
        <f>15.87-1</f>
        <v>14.87</v>
      </c>
      <c r="J169" s="8">
        <f>SUMIF(Journal!$A:$A,HeadJournal!$A169,Journal!$K:$K)+SUMIF(Journal!$A:$A,HeadJournal!$A169,Journal!$L:$L)+SUMIF(Journal!$A:$A,HeadJournal!$A169,Journal!$M:$M)</f>
        <v>147.08999999999997</v>
      </c>
      <c r="K169" s="14">
        <v>147.09</v>
      </c>
      <c r="L169" s="14">
        <f>1605.23/3+400/3</f>
        <v>668.41000000000008</v>
      </c>
      <c r="M169" s="8">
        <f>SUMIF(Journal!$A:$A,HeadJournal!$A169,Journal!$P:$P)</f>
        <v>13104.800000000003</v>
      </c>
      <c r="N169" s="8">
        <f>SUMIF(Journal!$A:$A,HeadJournal!$A169,Journal!Q:Q)</f>
        <v>22900</v>
      </c>
      <c r="O169" s="18">
        <f>SUMIF(Journal!$A:$A,HeadJournal!$A169,Journal!U:U)</f>
        <v>9795.1999999999971</v>
      </c>
      <c r="P169" s="22">
        <f t="shared" si="20"/>
        <v>0.74745131554850097</v>
      </c>
      <c r="R169" s="73">
        <f t="shared" si="21"/>
        <v>5.1004975276234654E-2</v>
      </c>
    </row>
    <row r="170" spans="1:21" x14ac:dyDescent="0.25">
      <c r="A170" s="12" t="s">
        <v>572</v>
      </c>
      <c r="B170" s="124" t="s">
        <v>1401</v>
      </c>
      <c r="C170" s="12" t="s">
        <v>1751</v>
      </c>
      <c r="D170" s="12" t="s">
        <v>714</v>
      </c>
      <c r="E170" s="12" t="s">
        <v>1369</v>
      </c>
      <c r="F170" s="124" t="s">
        <v>1397</v>
      </c>
      <c r="G170" s="13">
        <v>44999</v>
      </c>
      <c r="H170" s="14">
        <f>19546.13/J170</f>
        <v>84.112789396677854</v>
      </c>
      <c r="I170" s="14">
        <f>26.01-10.42</f>
        <v>15.590000000000002</v>
      </c>
      <c r="J170" s="8">
        <f>SUMIF(Journal!$A:$A,HeadJournal!$A170,Journal!$K:$K)+SUMIF(Journal!$A:$A,HeadJournal!$A170,Journal!$L:$L)+SUMIF(Journal!$A:$A,HeadJournal!$A170,Journal!$M:$M)</f>
        <v>232.38000000000002</v>
      </c>
      <c r="K170" s="14">
        <v>232.38</v>
      </c>
      <c r="L170" s="14">
        <f>2355/2+400/2</f>
        <v>1377.5</v>
      </c>
      <c r="M170" s="8">
        <f>SUMIF(Journal!$A:$A,HeadJournal!$A170,Journal!$P:$P)</f>
        <v>20923.629999999997</v>
      </c>
      <c r="N170" s="8">
        <f>SUMIF(Journal!$A:$A,HeadJournal!$A170,Journal!Q:Q)</f>
        <v>38400</v>
      </c>
      <c r="O170" s="18">
        <f>SUMIF(Journal!$A:$A,HeadJournal!$A170,Journal!U:U)</f>
        <v>17476.370000000003</v>
      </c>
      <c r="P170" s="22">
        <f t="shared" si="20"/>
        <v>0.83524560508860102</v>
      </c>
      <c r="R170" s="73">
        <f t="shared" si="21"/>
        <v>6.5834656797123636E-2</v>
      </c>
    </row>
    <row r="171" spans="1:21" x14ac:dyDescent="0.25">
      <c r="A171" s="12" t="s">
        <v>575</v>
      </c>
      <c r="B171" s="124" t="s">
        <v>1402</v>
      </c>
      <c r="C171" s="12" t="s">
        <v>1751</v>
      </c>
      <c r="D171" s="12" t="s">
        <v>714</v>
      </c>
      <c r="E171" s="12" t="s">
        <v>1369</v>
      </c>
      <c r="F171" s="124" t="s">
        <v>1399</v>
      </c>
      <c r="G171" s="13">
        <v>45004</v>
      </c>
      <c r="H171" s="14">
        <f>15156.91/J171</f>
        <v>84.950734222620795</v>
      </c>
      <c r="I171" s="14">
        <f>20.21-10.21</f>
        <v>10</v>
      </c>
      <c r="J171" s="8">
        <f>SUMIF(Journal!$A:$A,HeadJournal!$A171,Journal!$K:$K)+SUMIF(Journal!$A:$A,HeadJournal!$A171,Journal!$L:$L)+SUMIF(Journal!$A:$A,HeadJournal!$A171,Journal!$M:$M)</f>
        <v>178.41999999999996</v>
      </c>
      <c r="K171" s="14">
        <v>178.42</v>
      </c>
      <c r="L171" s="14">
        <f>1605.23/3+400/3</f>
        <v>668.41000000000008</v>
      </c>
      <c r="M171" s="8">
        <f>SUMIF(Journal!$A:$A,HeadJournal!$A171,Journal!$P:$P)</f>
        <v>15825.320000000005</v>
      </c>
      <c r="N171" s="8">
        <f>SUMIF(Journal!$A:$A,HeadJournal!$A171,Journal!Q:Q)</f>
        <v>28500</v>
      </c>
      <c r="O171" s="18">
        <f>SUMIF(Journal!$A:$A,HeadJournal!$A171,Journal!U:U)</f>
        <v>12674.679999999995</v>
      </c>
      <c r="P171" s="22">
        <f t="shared" si="20"/>
        <v>0.80091145076371228</v>
      </c>
      <c r="R171" s="73">
        <f t="shared" si="21"/>
        <v>4.2236744659823619E-2</v>
      </c>
    </row>
    <row r="172" spans="1:21" x14ac:dyDescent="0.25">
      <c r="A172" s="12" t="s">
        <v>578</v>
      </c>
      <c r="B172" s="12"/>
      <c r="C172" s="12" t="s">
        <v>1357</v>
      </c>
      <c r="D172" s="12" t="s">
        <v>714</v>
      </c>
      <c r="E172" s="12" t="s">
        <v>1358</v>
      </c>
      <c r="F172" s="12"/>
      <c r="G172" s="13">
        <v>45011</v>
      </c>
      <c r="H172" s="14">
        <v>1</v>
      </c>
      <c r="I172" s="14">
        <v>0</v>
      </c>
      <c r="J172" s="8">
        <f>SUMIF(Journal!$A:$A,HeadJournal!$A172,Journal!$K:$K)+SUMIF(Journal!$A:$A,HeadJournal!$A172,Journal!$L:$L)+SUMIF(Journal!$A:$A,HeadJournal!$A172,Journal!$M:$M)</f>
        <v>4260</v>
      </c>
      <c r="K172" s="14">
        <v>4260</v>
      </c>
      <c r="L172" s="14">
        <v>0</v>
      </c>
      <c r="M172" s="8">
        <f>SUMIF(Journal!$A:$A,HeadJournal!$A172,Journal!$P:$P)</f>
        <v>4260</v>
      </c>
      <c r="N172" s="8">
        <f>SUMIF(Journal!$A:$A,HeadJournal!$A172,Journal!Q:Q)</f>
        <v>1726</v>
      </c>
      <c r="O172" s="18">
        <f>SUMIF(Journal!$A:$A,HeadJournal!$A172,Journal!U:U)</f>
        <v>-2534</v>
      </c>
      <c r="P172" s="22">
        <f t="shared" si="20"/>
        <v>-0.59483568075117366</v>
      </c>
      <c r="Q172" s="7" t="b">
        <f t="shared" ref="Q172:Q183" si="27">J172=K172</f>
        <v>1</v>
      </c>
      <c r="R172" s="73">
        <f t="shared" si="21"/>
        <v>0</v>
      </c>
      <c r="T172" s="7">
        <v>6450</v>
      </c>
      <c r="U172" s="7">
        <v>4850</v>
      </c>
    </row>
    <row r="173" spans="1:21" x14ac:dyDescent="0.25">
      <c r="A173" s="12" t="s">
        <v>581</v>
      </c>
      <c r="B173" s="12"/>
      <c r="C173" s="12" t="s">
        <v>1359</v>
      </c>
      <c r="D173" s="12" t="s">
        <v>714</v>
      </c>
      <c r="E173" s="12" t="s">
        <v>1358</v>
      </c>
      <c r="F173" s="12"/>
      <c r="G173" s="13">
        <v>45011</v>
      </c>
      <c r="H173" s="14">
        <v>1</v>
      </c>
      <c r="I173" s="14">
        <v>0</v>
      </c>
      <c r="J173" s="8">
        <f>SUMIF(Journal!$A:$A,HeadJournal!$A173,Journal!$K:$K)+SUMIF(Journal!$A:$A,HeadJournal!$A173,Journal!$L:$L)+SUMIF(Journal!$A:$A,HeadJournal!$A173,Journal!$M:$M)</f>
        <v>2130</v>
      </c>
      <c r="K173" s="14">
        <v>2130</v>
      </c>
      <c r="L173" s="14">
        <v>0</v>
      </c>
      <c r="M173" s="8">
        <f>SUMIF(Journal!$A:$A,HeadJournal!$A173,Journal!$P:$P)</f>
        <v>2130</v>
      </c>
      <c r="N173" s="8">
        <f>SUMIF(Journal!$A:$A,HeadJournal!$A173,Journal!Q:Q)</f>
        <v>2800</v>
      </c>
      <c r="O173" s="18">
        <f>SUMIF(Journal!$A:$A,HeadJournal!$A173,Journal!U:U)</f>
        <v>670</v>
      </c>
      <c r="P173" s="22">
        <f t="shared" si="20"/>
        <v>0.31455399061032863</v>
      </c>
      <c r="Q173" s="7" t="b">
        <f t="shared" si="27"/>
        <v>1</v>
      </c>
      <c r="R173" s="73">
        <f t="shared" si="21"/>
        <v>0</v>
      </c>
    </row>
    <row r="174" spans="1:21" x14ac:dyDescent="0.25">
      <c r="A174" s="12" t="s">
        <v>582</v>
      </c>
      <c r="B174" s="12"/>
      <c r="C174" s="12" t="s">
        <v>1328</v>
      </c>
      <c r="D174" s="12" t="s">
        <v>714</v>
      </c>
      <c r="E174" s="12"/>
      <c r="F174" s="12"/>
      <c r="G174" s="13">
        <v>45007</v>
      </c>
      <c r="H174" s="14">
        <v>1</v>
      </c>
      <c r="I174" s="14">
        <v>0</v>
      </c>
      <c r="J174" s="8">
        <f>SUMIF(Journal!$A:$A,HeadJournal!$A174,Journal!$K:$K)+SUMIF(Journal!$A:$A,HeadJournal!$A174,Journal!$L:$L)+SUMIF(Journal!$A:$A,HeadJournal!$A174,Journal!$M:$M)</f>
        <v>2316</v>
      </c>
      <c r="K174" s="14">
        <v>2316</v>
      </c>
      <c r="L174" s="14">
        <f>K174*0.15</f>
        <v>347.4</v>
      </c>
      <c r="M174" s="8">
        <f>SUMIF(Journal!$A:$A,HeadJournal!$A174,Journal!$P:$P)</f>
        <v>2663.4</v>
      </c>
      <c r="N174" s="8">
        <f>SUMIF(Journal!$A:$A,HeadJournal!$A174,Journal!Q:Q)</f>
        <v>3200</v>
      </c>
      <c r="O174" s="18">
        <f>SUMIF(Journal!$A:$A,HeadJournal!$A174,Journal!U:U)</f>
        <v>536.59999999999991</v>
      </c>
      <c r="P174" s="22">
        <f t="shared" si="20"/>
        <v>0.20147180295862427</v>
      </c>
      <c r="Q174" s="7" t="b">
        <f t="shared" si="27"/>
        <v>1</v>
      </c>
      <c r="R174" s="73">
        <f t="shared" si="21"/>
        <v>0.13043478260869565</v>
      </c>
    </row>
    <row r="175" spans="1:21" x14ac:dyDescent="0.25">
      <c r="A175" s="12" t="s">
        <v>584</v>
      </c>
      <c r="B175" s="12"/>
      <c r="C175" s="12" t="s">
        <v>1328</v>
      </c>
      <c r="D175" s="12" t="s">
        <v>714</v>
      </c>
      <c r="E175" s="12"/>
      <c r="F175" s="12"/>
      <c r="G175" s="13">
        <v>45007</v>
      </c>
      <c r="H175" s="14">
        <v>1</v>
      </c>
      <c r="I175" s="14">
        <v>0</v>
      </c>
      <c r="J175" s="8">
        <f>SUMIF(Journal!$A:$A,HeadJournal!$A175,Journal!$K:$K)+SUMIF(Journal!$A:$A,HeadJournal!$A175,Journal!$L:$L)+SUMIF(Journal!$A:$A,HeadJournal!$A175,Journal!$M:$M)</f>
        <v>908</v>
      </c>
      <c r="K175" s="14">
        <v>908</v>
      </c>
      <c r="L175" s="14">
        <f>K175*0.15</f>
        <v>136.19999999999999</v>
      </c>
      <c r="M175" s="8">
        <f>SUMIF(Journal!$A:$A,HeadJournal!$A175,Journal!$P:$P)</f>
        <v>1044.2</v>
      </c>
      <c r="N175" s="8">
        <f>SUMIF(Journal!$A:$A,HeadJournal!$A175,Journal!Q:Q)</f>
        <v>1500</v>
      </c>
      <c r="O175" s="18">
        <f>SUMIF(Journal!$A:$A,HeadJournal!$A175,Journal!U:U)</f>
        <v>455.79999999999995</v>
      </c>
      <c r="P175" s="22">
        <f t="shared" si="20"/>
        <v>0.4365064163953265</v>
      </c>
      <c r="Q175" s="7" t="b">
        <f t="shared" si="27"/>
        <v>1</v>
      </c>
      <c r="R175" s="73">
        <f t="shared" si="21"/>
        <v>0.13043478260869565</v>
      </c>
    </row>
    <row r="176" spans="1:21" x14ac:dyDescent="0.25">
      <c r="A176" s="12" t="s">
        <v>585</v>
      </c>
      <c r="B176" s="12"/>
      <c r="C176" s="12" t="s">
        <v>1368</v>
      </c>
      <c r="D176" s="12" t="s">
        <v>714</v>
      </c>
      <c r="E176" s="12" t="s">
        <v>1369</v>
      </c>
      <c r="F176" s="12"/>
      <c r="G176" s="13">
        <v>45005</v>
      </c>
      <c r="H176" s="74">
        <f>12465.98/K176</f>
        <v>0.16895005759978315</v>
      </c>
      <c r="I176" s="14">
        <v>0</v>
      </c>
      <c r="J176" s="8">
        <f>SUMIF(Journal!$A:$A,HeadJournal!$A176,Journal!$K:$K)+SUMIF(Journal!$A:$A,HeadJournal!$A176,Journal!$L:$L)+SUMIF(Journal!$A:$A,HeadJournal!$A176,Journal!$M:$M)</f>
        <v>72338</v>
      </c>
      <c r="K176" s="14">
        <v>73785</v>
      </c>
      <c r="L176" s="14">
        <f>399.23+400</f>
        <v>799.23</v>
      </c>
      <c r="M176" s="8">
        <f>SUMIF(Journal!$A:$A,HeadJournal!$A176,Journal!$P:$P)</f>
        <v>13265.210000000003</v>
      </c>
      <c r="N176" s="8">
        <f>SUMIF(Journal!$A:$A,HeadJournal!$A176,Journal!Q:Q)</f>
        <v>15665.779999999999</v>
      </c>
      <c r="O176" s="18">
        <f>SUMIF(Journal!$A:$A,HeadJournal!$A176,Journal!U:U)</f>
        <v>2400.5699999999979</v>
      </c>
      <c r="P176" s="22">
        <f t="shared" si="20"/>
        <v>0.18096735747115933</v>
      </c>
      <c r="Q176" s="7" t="b">
        <f t="shared" si="27"/>
        <v>0</v>
      </c>
      <c r="R176" s="73">
        <f t="shared" si="21"/>
        <v>6.0250082735214885E-2</v>
      </c>
    </row>
    <row r="177" spans="1:22" x14ac:dyDescent="0.25">
      <c r="A177" s="12" t="s">
        <v>586</v>
      </c>
      <c r="B177" s="12"/>
      <c r="C177" s="12" t="s">
        <v>1380</v>
      </c>
      <c r="D177" s="12" t="s">
        <v>714</v>
      </c>
      <c r="E177" s="12"/>
      <c r="F177" s="12"/>
      <c r="G177" s="13">
        <v>45014</v>
      </c>
      <c r="H177" s="14">
        <v>1</v>
      </c>
      <c r="I177" s="14">
        <v>0</v>
      </c>
      <c r="J177" s="8">
        <f>SUMIF(Journal!$A:$A,HeadJournal!$A177,Journal!$K:$K)+SUMIF(Journal!$A:$A,HeadJournal!$A177,Journal!$L:$L)+SUMIF(Journal!$A:$A,HeadJournal!$A177,Journal!$M:$M)</f>
        <v>11945</v>
      </c>
      <c r="K177" s="14">
        <v>11945</v>
      </c>
      <c r="L177" s="14">
        <f t="shared" ref="L177:L183" si="28">K177*0.15</f>
        <v>1791.75</v>
      </c>
      <c r="M177" s="8">
        <f>SUMIF(Journal!$A:$A,HeadJournal!$A177,Journal!$P:$P)</f>
        <v>13736.749999999998</v>
      </c>
      <c r="N177" s="8">
        <f>SUMIF(Journal!$A:$A,HeadJournal!$A177,Journal!Q:Q)</f>
        <v>17800</v>
      </c>
      <c r="O177" s="18">
        <f>SUMIF(Journal!$A:$A,HeadJournal!$A177,Journal!U:U)</f>
        <v>4063.25</v>
      </c>
      <c r="P177" s="22">
        <f t="shared" si="20"/>
        <v>0.2957941288878374</v>
      </c>
      <c r="Q177" s="7" t="b">
        <f t="shared" si="27"/>
        <v>1</v>
      </c>
      <c r="R177" s="73">
        <f t="shared" si="21"/>
        <v>0.13043478260869568</v>
      </c>
    </row>
    <row r="178" spans="1:22" x14ac:dyDescent="0.25">
      <c r="A178" s="12" t="s">
        <v>589</v>
      </c>
      <c r="B178" s="12"/>
      <c r="C178" s="12" t="s">
        <v>843</v>
      </c>
      <c r="D178" s="12" t="s">
        <v>714</v>
      </c>
      <c r="E178" s="12" t="s">
        <v>1354</v>
      </c>
      <c r="F178" s="12"/>
      <c r="G178" s="13">
        <v>45008</v>
      </c>
      <c r="H178" s="14">
        <v>1</v>
      </c>
      <c r="I178" s="14">
        <v>0</v>
      </c>
      <c r="J178" s="8">
        <f>SUMIF(Journal!$A:$A,HeadJournal!$A178,Journal!$K:$K)+SUMIF(Journal!$A:$A,HeadJournal!$A178,Journal!$L:$L)+SUMIF(Journal!$A:$A,HeadJournal!$A178,Journal!$M:$M)</f>
        <v>386</v>
      </c>
      <c r="K178" s="14">
        <v>386</v>
      </c>
      <c r="L178" s="14">
        <f t="shared" si="28"/>
        <v>57.9</v>
      </c>
      <c r="M178" s="8">
        <f>SUMIF(Journal!$A:$A,HeadJournal!$A178,Journal!$P:$P)</f>
        <v>443.9</v>
      </c>
      <c r="N178" s="8">
        <f>SUMIF(Journal!$A:$A,HeadJournal!$A178,Journal!Q:Q)</f>
        <v>500</v>
      </c>
      <c r="O178" s="18">
        <f>SUMIF(Journal!$A:$A,HeadJournal!$A178,Journal!U:U)</f>
        <v>56.100000000000023</v>
      </c>
      <c r="P178" s="22">
        <f t="shared" si="20"/>
        <v>0.12637981527371037</v>
      </c>
      <c r="Q178" s="7" t="b">
        <f t="shared" si="27"/>
        <v>1</v>
      </c>
      <c r="R178" s="73">
        <f t="shared" si="21"/>
        <v>0.13043478260869565</v>
      </c>
    </row>
    <row r="179" spans="1:22" x14ac:dyDescent="0.25">
      <c r="A179" s="12" t="s">
        <v>590</v>
      </c>
      <c r="B179" s="12"/>
      <c r="C179" s="12" t="s">
        <v>843</v>
      </c>
      <c r="D179" s="12" t="s">
        <v>714</v>
      </c>
      <c r="E179" s="12" t="s">
        <v>1354</v>
      </c>
      <c r="F179" s="12"/>
      <c r="G179" s="13">
        <v>45008</v>
      </c>
      <c r="H179" s="14">
        <v>1</v>
      </c>
      <c r="I179" s="14">
        <v>0</v>
      </c>
      <c r="J179" s="8">
        <f>SUMIF(Journal!$A:$A,HeadJournal!$A179,Journal!$K:$K)+SUMIF(Journal!$A:$A,HeadJournal!$A179,Journal!$L:$L)+SUMIF(Journal!$A:$A,HeadJournal!$A179,Journal!$M:$M)</f>
        <v>458</v>
      </c>
      <c r="K179" s="14">
        <v>458</v>
      </c>
      <c r="L179" s="14">
        <f t="shared" si="28"/>
        <v>68.7</v>
      </c>
      <c r="M179" s="8">
        <f>SUMIF(Journal!$A:$A,HeadJournal!$A179,Journal!$P:$P)</f>
        <v>526.70000000000005</v>
      </c>
      <c r="N179" s="8">
        <f>SUMIF(Journal!$A:$A,HeadJournal!$A179,Journal!Q:Q)</f>
        <v>400</v>
      </c>
      <c r="O179" s="18">
        <f>SUMIF(Journal!$A:$A,HeadJournal!$A179,Journal!U:U)</f>
        <v>-126.70000000000005</v>
      </c>
      <c r="P179" s="22">
        <f t="shared" si="20"/>
        <v>-0.24055439529143732</v>
      </c>
      <c r="Q179" s="7" t="b">
        <f t="shared" si="27"/>
        <v>1</v>
      </c>
      <c r="R179" s="73">
        <f t="shared" si="21"/>
        <v>0.13043478260869565</v>
      </c>
    </row>
    <row r="180" spans="1:22" x14ac:dyDescent="0.25">
      <c r="A180" s="12" t="s">
        <v>592</v>
      </c>
      <c r="B180" s="12"/>
      <c r="C180" s="12" t="s">
        <v>843</v>
      </c>
      <c r="D180" s="12" t="s">
        <v>714</v>
      </c>
      <c r="E180" s="12" t="s">
        <v>1354</v>
      </c>
      <c r="F180" s="12"/>
      <c r="G180" s="13">
        <v>45008</v>
      </c>
      <c r="H180" s="14">
        <v>1</v>
      </c>
      <c r="I180" s="14">
        <v>0</v>
      </c>
      <c r="J180" s="8">
        <f>SUMIF(Journal!$A:$A,HeadJournal!$A180,Journal!$K:$K)+SUMIF(Journal!$A:$A,HeadJournal!$A180,Journal!$L:$L)+SUMIF(Journal!$A:$A,HeadJournal!$A180,Journal!$M:$M)</f>
        <v>588</v>
      </c>
      <c r="K180" s="14">
        <v>588</v>
      </c>
      <c r="L180" s="14">
        <f t="shared" si="28"/>
        <v>88.2</v>
      </c>
      <c r="M180" s="8">
        <f>SUMIF(Journal!$A:$A,HeadJournal!$A180,Journal!$P:$P)</f>
        <v>676.2</v>
      </c>
      <c r="N180" s="8">
        <f>SUMIF(Journal!$A:$A,HeadJournal!$A180,Journal!Q:Q)</f>
        <v>1200</v>
      </c>
      <c r="O180" s="18">
        <f>SUMIF(Journal!$A:$A,HeadJournal!$A180,Journal!U:U)</f>
        <v>523.79999999999995</v>
      </c>
      <c r="P180" s="22">
        <f t="shared" si="20"/>
        <v>0.77462289263531492</v>
      </c>
      <c r="Q180" s="7" t="b">
        <f t="shared" si="27"/>
        <v>1</v>
      </c>
      <c r="R180" s="73">
        <f t="shared" si="21"/>
        <v>0.13043478260869565</v>
      </c>
    </row>
    <row r="181" spans="1:22" x14ac:dyDescent="0.25">
      <c r="A181" s="12" t="s">
        <v>593</v>
      </c>
      <c r="B181" s="12"/>
      <c r="C181" s="12" t="s">
        <v>843</v>
      </c>
      <c r="D181" s="12" t="s">
        <v>714</v>
      </c>
      <c r="E181" s="12" t="s">
        <v>1354</v>
      </c>
      <c r="F181" s="12"/>
      <c r="G181" s="13">
        <v>45008</v>
      </c>
      <c r="H181" s="14">
        <v>1</v>
      </c>
      <c r="I181" s="14">
        <v>0</v>
      </c>
      <c r="J181" s="8">
        <f>SUMIF(Journal!$A:$A,HeadJournal!$A181,Journal!$K:$K)+SUMIF(Journal!$A:$A,HeadJournal!$A181,Journal!$L:$L)+SUMIF(Journal!$A:$A,HeadJournal!$A181,Journal!$M:$M)</f>
        <v>852</v>
      </c>
      <c r="K181" s="14">
        <v>852</v>
      </c>
      <c r="L181" s="14">
        <f t="shared" si="28"/>
        <v>127.8</v>
      </c>
      <c r="M181" s="8">
        <f>SUMIF(Journal!$A:$A,HeadJournal!$A181,Journal!$P:$P)</f>
        <v>979.80000000000007</v>
      </c>
      <c r="N181" s="8">
        <f>SUMIF(Journal!$A:$A,HeadJournal!$A181,Journal!Q:Q)</f>
        <v>3250</v>
      </c>
      <c r="O181" s="18">
        <f>SUMIF(Journal!$A:$A,HeadJournal!$A181,Journal!U:U)</f>
        <v>2270.1999999999998</v>
      </c>
      <c r="P181" s="22">
        <f t="shared" si="20"/>
        <v>2.3170034700959374</v>
      </c>
      <c r="Q181" s="7" t="b">
        <f t="shared" si="27"/>
        <v>1</v>
      </c>
      <c r="R181" s="73">
        <f t="shared" si="21"/>
        <v>0.13043478260869565</v>
      </c>
    </row>
    <row r="182" spans="1:22" x14ac:dyDescent="0.25">
      <c r="A182" s="12" t="s">
        <v>595</v>
      </c>
      <c r="B182" s="12"/>
      <c r="C182" s="12" t="s">
        <v>843</v>
      </c>
      <c r="D182" s="12" t="s">
        <v>714</v>
      </c>
      <c r="E182" s="12" t="s">
        <v>1354</v>
      </c>
      <c r="F182" s="12"/>
      <c r="G182" s="13">
        <v>45008</v>
      </c>
      <c r="H182" s="14">
        <v>1</v>
      </c>
      <c r="I182" s="14">
        <v>0</v>
      </c>
      <c r="J182" s="8">
        <f>SUMIF(Journal!$A:$A,HeadJournal!$A182,Journal!$K:$K)+SUMIF(Journal!$A:$A,HeadJournal!$A182,Journal!$L:$L)+SUMIF(Journal!$A:$A,HeadJournal!$A182,Journal!$M:$M)</f>
        <v>529</v>
      </c>
      <c r="K182" s="14">
        <v>529</v>
      </c>
      <c r="L182" s="14">
        <f t="shared" si="28"/>
        <v>79.349999999999994</v>
      </c>
      <c r="M182" s="8">
        <f>SUMIF(Journal!$A:$A,HeadJournal!$A182,Journal!$P:$P)</f>
        <v>608.35</v>
      </c>
      <c r="N182" s="8">
        <f>SUMIF(Journal!$A:$A,HeadJournal!$A182,Journal!Q:Q)</f>
        <v>1200</v>
      </c>
      <c r="O182" s="18">
        <f>SUMIF(Journal!$A:$A,HeadJournal!$A182,Journal!U:U)</f>
        <v>591.65</v>
      </c>
      <c r="P182" s="22">
        <f t="shared" si="20"/>
        <v>0.97254869729596438</v>
      </c>
      <c r="Q182" s="7" t="b">
        <f t="shared" si="27"/>
        <v>1</v>
      </c>
      <c r="R182" s="73">
        <f t="shared" si="21"/>
        <v>0.13043478260869565</v>
      </c>
    </row>
    <row r="183" spans="1:22" x14ac:dyDescent="0.25">
      <c r="A183" s="12" t="s">
        <v>597</v>
      </c>
      <c r="B183" s="12"/>
      <c r="C183" s="12" t="s">
        <v>843</v>
      </c>
      <c r="D183" s="12" t="s">
        <v>714</v>
      </c>
      <c r="E183" s="12" t="s">
        <v>1354</v>
      </c>
      <c r="F183" s="12"/>
      <c r="G183" s="13">
        <v>45007</v>
      </c>
      <c r="H183" s="14">
        <v>1</v>
      </c>
      <c r="I183" s="14">
        <v>0</v>
      </c>
      <c r="J183" s="8">
        <f>SUMIF(Journal!$A:$A,HeadJournal!$A183,Journal!$K:$K)+SUMIF(Journal!$A:$A,HeadJournal!$A183,Journal!$L:$L)+SUMIF(Journal!$A:$A,HeadJournal!$A183,Journal!$M:$M)</f>
        <v>534</v>
      </c>
      <c r="K183" s="14">
        <v>534</v>
      </c>
      <c r="L183" s="14">
        <f t="shared" si="28"/>
        <v>80.099999999999994</v>
      </c>
      <c r="M183" s="8">
        <f>SUMIF(Journal!$A:$A,HeadJournal!$A183,Journal!$P:$P)</f>
        <v>614.1</v>
      </c>
      <c r="N183" s="8">
        <f>SUMIF(Journal!$A:$A,HeadJournal!$A183,Journal!Q:Q)</f>
        <v>700</v>
      </c>
      <c r="O183" s="18">
        <f>SUMIF(Journal!$A:$A,HeadJournal!$A183,Journal!U:U)</f>
        <v>85.899999999999977</v>
      </c>
      <c r="P183" s="22">
        <f t="shared" si="20"/>
        <v>0.13987949845302064</v>
      </c>
      <c r="Q183" s="7" t="b">
        <f t="shared" si="27"/>
        <v>1</v>
      </c>
      <c r="R183" s="73">
        <f t="shared" si="21"/>
        <v>0.13043478260869565</v>
      </c>
    </row>
    <row r="184" spans="1:22" x14ac:dyDescent="0.25">
      <c r="A184" s="12" t="s">
        <v>599</v>
      </c>
      <c r="B184" s="124" t="s">
        <v>1403</v>
      </c>
      <c r="C184" s="12" t="s">
        <v>1735</v>
      </c>
      <c r="D184" s="12" t="s">
        <v>714</v>
      </c>
      <c r="E184" s="12" t="s">
        <v>1369</v>
      </c>
      <c r="F184" s="124" t="s">
        <v>1404</v>
      </c>
      <c r="G184" s="13">
        <v>45014</v>
      </c>
      <c r="H184" s="14">
        <v>85</v>
      </c>
      <c r="I184" s="14">
        <f>-20.57+21.04</f>
        <v>0.46999999999999886</v>
      </c>
      <c r="J184" s="8">
        <f>SUMIF(Journal!$A:$A,HeadJournal!$A184,Journal!$K:$K)+SUMIF(Journal!$A:$A,HeadJournal!$A184,Journal!$L:$L)+SUMIF(Journal!$A:$A,HeadJournal!$A184,Journal!$M:$M)</f>
        <v>175.82999999999998</v>
      </c>
      <c r="K184" s="14">
        <v>175.83</v>
      </c>
      <c r="L184" s="14">
        <f>(1355+900)/2+400/2</f>
        <v>1327.5</v>
      </c>
      <c r="M184" s="8">
        <f>SUMIF(Journal!$A:$A,HeadJournal!$A184,Journal!$P:$P)</f>
        <v>16273.05</v>
      </c>
      <c r="N184" s="8">
        <f>SUMIF(Journal!$A:$A,HeadJournal!$A184,Journal!Q:Q)</f>
        <v>30700</v>
      </c>
      <c r="O184" s="18">
        <f>SUMIF(Journal!$A:$A,HeadJournal!$A184,Journal!U:U)</f>
        <v>14426.949999999999</v>
      </c>
      <c r="P184" s="22">
        <f t="shared" si="20"/>
        <v>0.88655476385803522</v>
      </c>
      <c r="R184" s="73">
        <f t="shared" si="21"/>
        <v>8.1576594430669114E-2</v>
      </c>
    </row>
    <row r="185" spans="1:22" x14ac:dyDescent="0.25">
      <c r="A185" s="12" t="s">
        <v>605</v>
      </c>
      <c r="B185" s="124" t="s">
        <v>1405</v>
      </c>
      <c r="C185" s="12" t="s">
        <v>1751</v>
      </c>
      <c r="D185" s="12" t="s">
        <v>714</v>
      </c>
      <c r="E185" s="12" t="s">
        <v>1369</v>
      </c>
      <c r="F185" s="124" t="s">
        <v>1404</v>
      </c>
      <c r="G185" s="13">
        <v>45011</v>
      </c>
      <c r="H185" s="14">
        <f>14192.72/J185</f>
        <v>85.730715795832069</v>
      </c>
      <c r="I185" s="14">
        <f>-10.1+18.82</f>
        <v>8.7200000000000006</v>
      </c>
      <c r="J185" s="8">
        <f>SUMIF(Journal!$A:$A,HeadJournal!$A185,Journal!$K:$K)+SUMIF(Journal!$A:$A,HeadJournal!$A185,Journal!$L:$L)+SUMIF(Journal!$A:$A,HeadJournal!$A185,Journal!$M:$M)</f>
        <v>165.55</v>
      </c>
      <c r="K185" s="14">
        <v>165.55</v>
      </c>
      <c r="L185" s="14">
        <f>(1355+900)/2+400/2</f>
        <v>1327.5</v>
      </c>
      <c r="M185" s="8">
        <f>SUMIF(Journal!$A:$A,HeadJournal!$A185,Journal!$P:$P)</f>
        <v>15520.219999999998</v>
      </c>
      <c r="N185" s="8">
        <f>SUMIF(Journal!$A:$A,HeadJournal!$A185,Journal!Q:Q)</f>
        <v>29124.400000000001</v>
      </c>
      <c r="O185" s="18">
        <f>SUMIF(Journal!$A:$A,HeadJournal!$A185,Journal!U:U)</f>
        <v>13604.18</v>
      </c>
      <c r="P185" s="22">
        <f t="shared" si="20"/>
        <v>0.87654556443143217</v>
      </c>
      <c r="R185" s="73">
        <f t="shared" si="21"/>
        <v>8.5533581353872581E-2</v>
      </c>
    </row>
    <row r="186" spans="1:22" x14ac:dyDescent="0.25">
      <c r="A186" s="12" t="s">
        <v>608</v>
      </c>
      <c r="B186" s="124" t="s">
        <v>1406</v>
      </c>
      <c r="C186" s="12" t="s">
        <v>1752</v>
      </c>
      <c r="D186" s="12" t="s">
        <v>714</v>
      </c>
      <c r="E186" s="12" t="s">
        <v>1369</v>
      </c>
      <c r="F186" s="124" t="s">
        <v>1407</v>
      </c>
      <c r="G186" s="13">
        <v>45018</v>
      </c>
      <c r="H186" s="14">
        <f>17903.98/J186</f>
        <v>85.994140249759852</v>
      </c>
      <c r="I186" s="14">
        <f>-9.18+23.29</f>
        <v>14.11</v>
      </c>
      <c r="J186" s="8">
        <f>SUMIF(Journal!$A:$A,HeadJournal!$A186,Journal!$K:$K)+SUMIF(Journal!$A:$A,HeadJournal!$A186,Journal!$L:$L)+SUMIF(Journal!$A:$A,HeadJournal!$A186,Journal!$M:$M)</f>
        <v>208.2</v>
      </c>
      <c r="K186" s="14">
        <v>208.2</v>
      </c>
      <c r="L186" s="14">
        <f>2355/2+400/2</f>
        <v>1377.5</v>
      </c>
      <c r="M186" s="8">
        <f>SUMIF(Journal!$A:$A,HeadJournal!$A186,Journal!$P:$P)</f>
        <v>19281.480000000003</v>
      </c>
      <c r="N186" s="8">
        <f>SUMIF(Journal!$A:$A,HeadJournal!$A186,Journal!Q:Q)</f>
        <v>33480.85</v>
      </c>
      <c r="O186" s="18">
        <f>SUMIF(Journal!$A:$A,HeadJournal!$A186,Journal!U:U)</f>
        <v>14199.37</v>
      </c>
      <c r="P186" s="22">
        <f t="shared" si="20"/>
        <v>0.73642531589898697</v>
      </c>
      <c r="Q186" s="7" t="b">
        <f t="shared" ref="Q186:Q196" si="29">J186=K186</f>
        <v>1</v>
      </c>
      <c r="R186" s="73">
        <f t="shared" si="21"/>
        <v>7.1441611328590948E-2</v>
      </c>
    </row>
    <row r="187" spans="1:22" x14ac:dyDescent="0.25">
      <c r="A187" s="12" t="s">
        <v>612</v>
      </c>
      <c r="B187" s="12"/>
      <c r="C187" s="12" t="s">
        <v>1328</v>
      </c>
      <c r="D187" s="12" t="s">
        <v>714</v>
      </c>
      <c r="E187" s="12" t="s">
        <v>1354</v>
      </c>
      <c r="F187" s="12"/>
      <c r="G187" s="13">
        <v>45018</v>
      </c>
      <c r="H187" s="14">
        <v>1</v>
      </c>
      <c r="I187" s="14">
        <v>0</v>
      </c>
      <c r="J187" s="8">
        <f>SUMIF(Journal!$A:$A,HeadJournal!$A187,Journal!$K:$K)+SUMIF(Journal!$A:$A,HeadJournal!$A187,Journal!$L:$L)+SUMIF(Journal!$A:$A,HeadJournal!$A187,Journal!$M:$M)</f>
        <v>2625</v>
      </c>
      <c r="K187" s="14">
        <v>2625</v>
      </c>
      <c r="L187" s="14">
        <f>K187*0.15</f>
        <v>393.75</v>
      </c>
      <c r="M187" s="8">
        <f>SUMIF(Journal!$A:$A,HeadJournal!$A187,Journal!$P:$P)</f>
        <v>3018.75</v>
      </c>
      <c r="N187" s="8">
        <f>SUMIF(Journal!$A:$A,HeadJournal!$A187,Journal!Q:Q)</f>
        <v>5100</v>
      </c>
      <c r="O187" s="18">
        <f>SUMIF(Journal!$A:$A,HeadJournal!$A187,Journal!U:U)</f>
        <v>2081.25</v>
      </c>
      <c r="P187" s="22">
        <f t="shared" si="20"/>
        <v>0.68944099378881984</v>
      </c>
      <c r="Q187" s="7" t="b">
        <f t="shared" si="29"/>
        <v>1</v>
      </c>
      <c r="R187" s="73">
        <f t="shared" si="21"/>
        <v>0.13043478260869565</v>
      </c>
    </row>
    <row r="188" spans="1:22" x14ac:dyDescent="0.25">
      <c r="A188" s="12" t="s">
        <v>614</v>
      </c>
      <c r="B188" s="12"/>
      <c r="C188" s="12" t="s">
        <v>1357</v>
      </c>
      <c r="D188" s="12" t="s">
        <v>714</v>
      </c>
      <c r="E188" s="12" t="s">
        <v>1358</v>
      </c>
      <c r="F188" s="12"/>
      <c r="G188" s="13">
        <v>45020</v>
      </c>
      <c r="H188" s="14">
        <v>1</v>
      </c>
      <c r="I188" s="14">
        <v>0</v>
      </c>
      <c r="J188" s="8">
        <f>SUMIF(Journal!$A:$A,HeadJournal!$A188,Journal!$K:$K)+SUMIF(Journal!$A:$A,HeadJournal!$A188,Journal!$L:$L)+SUMIF(Journal!$A:$A,HeadJournal!$A188,Journal!$M:$M)</f>
        <v>2982</v>
      </c>
      <c r="K188" s="14">
        <v>3000</v>
      </c>
      <c r="L188" s="14">
        <v>0</v>
      </c>
      <c r="M188" s="8">
        <f>SUMIF(Journal!$A:$A,HeadJournal!$A188,Journal!$P:$P)</f>
        <v>3000</v>
      </c>
      <c r="N188" s="8">
        <f>SUMIF(Journal!$A:$A,HeadJournal!$A188,Journal!Q:Q)</f>
        <v>3800</v>
      </c>
      <c r="O188" s="18">
        <f>SUMIF(Journal!$A:$A,HeadJournal!$A188,Journal!U:U)</f>
        <v>800</v>
      </c>
      <c r="P188" s="22">
        <f t="shared" si="20"/>
        <v>0.26666666666666666</v>
      </c>
      <c r="Q188" s="7" t="b">
        <f t="shared" si="29"/>
        <v>0</v>
      </c>
      <c r="R188" s="73">
        <f t="shared" si="21"/>
        <v>0</v>
      </c>
    </row>
    <row r="189" spans="1:22" x14ac:dyDescent="0.25">
      <c r="A189" s="12" t="s">
        <v>615</v>
      </c>
      <c r="B189" s="12"/>
      <c r="C189" s="12" t="s">
        <v>1357</v>
      </c>
      <c r="D189" s="12" t="s">
        <v>714</v>
      </c>
      <c r="E189" s="12" t="s">
        <v>1358</v>
      </c>
      <c r="F189" s="12"/>
      <c r="G189" s="13">
        <v>45030</v>
      </c>
      <c r="H189" s="14">
        <v>1</v>
      </c>
      <c r="I189" s="14">
        <v>0</v>
      </c>
      <c r="J189" s="8">
        <f>SUMIF(Journal!$A:$A,HeadJournal!$A189,Journal!$K:$K)+SUMIF(Journal!$A:$A,HeadJournal!$A189,Journal!$L:$L)+SUMIF(Journal!$A:$A,HeadJournal!$A189,Journal!$M:$M)</f>
        <v>3408</v>
      </c>
      <c r="K189" s="14">
        <f>3408+90</f>
        <v>3498</v>
      </c>
      <c r="L189" s="14">
        <v>0</v>
      </c>
      <c r="M189" s="8">
        <f>SUMIF(Journal!$A:$A,HeadJournal!$A189,Journal!$P:$P)</f>
        <v>3498</v>
      </c>
      <c r="N189" s="8">
        <f>SUMIF(Journal!$A:$A,HeadJournal!$A189,Journal!Q:Q)</f>
        <v>0</v>
      </c>
      <c r="O189" s="18">
        <f>SUMIF(Journal!$A:$A,HeadJournal!$A189,Journal!U:U)</f>
        <v>-3498</v>
      </c>
      <c r="P189" s="22" t="str">
        <f t="shared" si="20"/>
        <v/>
      </c>
      <c r="Q189" s="7" t="b">
        <f t="shared" si="29"/>
        <v>0</v>
      </c>
      <c r="R189" s="73">
        <f t="shared" si="21"/>
        <v>0</v>
      </c>
      <c r="U189" s="7">
        <v>4350</v>
      </c>
      <c r="V189" s="9">
        <f>U189-K189-K190</f>
        <v>0</v>
      </c>
    </row>
    <row r="190" spans="1:22" x14ac:dyDescent="0.25">
      <c r="A190" s="12" t="s">
        <v>617</v>
      </c>
      <c r="B190" s="12"/>
      <c r="C190" s="12" t="s">
        <v>1357</v>
      </c>
      <c r="D190" s="12" t="s">
        <v>714</v>
      </c>
      <c r="E190" s="12" t="s">
        <v>1358</v>
      </c>
      <c r="F190" s="12"/>
      <c r="G190" s="13">
        <v>45030</v>
      </c>
      <c r="H190" s="14">
        <v>1</v>
      </c>
      <c r="I190" s="14">
        <v>0</v>
      </c>
      <c r="J190" s="8">
        <f>SUMIF(Journal!$A:$A,HeadJournal!$A190,Journal!$K:$K)+SUMIF(Journal!$A:$A,HeadJournal!$A190,Journal!$L:$L)+SUMIF(Journal!$A:$A,HeadJournal!$A190,Journal!$M:$M)</f>
        <v>852</v>
      </c>
      <c r="K190" s="14">
        <v>852</v>
      </c>
      <c r="L190" s="14">
        <v>0</v>
      </c>
      <c r="M190" s="8">
        <f>SUMIF(Journal!$A:$A,HeadJournal!$A190,Journal!$P:$P)</f>
        <v>852</v>
      </c>
      <c r="N190" s="8">
        <f>SUMIF(Journal!$A:$A,HeadJournal!$A190,Journal!Q:Q)</f>
        <v>1100</v>
      </c>
      <c r="O190" s="18">
        <f>SUMIF(Journal!$A:$A,HeadJournal!$A190,Journal!U:U)</f>
        <v>248</v>
      </c>
      <c r="P190" s="22">
        <f t="shared" si="20"/>
        <v>0.29107981220657275</v>
      </c>
      <c r="Q190" s="7" t="b">
        <f t="shared" si="29"/>
        <v>1</v>
      </c>
      <c r="R190" s="73">
        <f t="shared" si="21"/>
        <v>0</v>
      </c>
    </row>
    <row r="191" spans="1:22" x14ac:dyDescent="0.25">
      <c r="A191" s="12" t="s">
        <v>619</v>
      </c>
      <c r="B191" s="12"/>
      <c r="C191" s="12" t="s">
        <v>1328</v>
      </c>
      <c r="D191" s="12" t="s">
        <v>714</v>
      </c>
      <c r="E191" s="12" t="s">
        <v>1354</v>
      </c>
      <c r="F191" s="12"/>
      <c r="G191" s="13">
        <v>45022</v>
      </c>
      <c r="H191" s="14">
        <v>1</v>
      </c>
      <c r="I191" s="14">
        <v>0</v>
      </c>
      <c r="J191" s="8">
        <f>SUMIF(Journal!$A:$A,HeadJournal!$A191,Journal!$K:$K)+SUMIF(Journal!$A:$A,HeadJournal!$A191,Journal!$L:$L)+SUMIF(Journal!$A:$A,HeadJournal!$A191,Journal!$M:$M)</f>
        <v>1574</v>
      </c>
      <c r="K191" s="14">
        <v>1574</v>
      </c>
      <c r="L191" s="14">
        <f t="shared" ref="L191:L196" si="30">K191*0.15</f>
        <v>236.1</v>
      </c>
      <c r="M191" s="8">
        <f>SUMIF(Journal!$A:$A,HeadJournal!$A191,Journal!$P:$P)</f>
        <v>1810.1</v>
      </c>
      <c r="N191" s="8">
        <f>SUMIF(Journal!$A:$A,HeadJournal!$A191,Journal!Q:Q)</f>
        <v>1200</v>
      </c>
      <c r="O191" s="18">
        <f>SUMIF(Journal!$A:$A,HeadJournal!$A191,Journal!U:U)</f>
        <v>-610.09999999999991</v>
      </c>
      <c r="P191" s="22">
        <f t="shared" si="20"/>
        <v>-0.33705320148058115</v>
      </c>
      <c r="Q191" s="7" t="b">
        <f t="shared" si="29"/>
        <v>1</v>
      </c>
      <c r="R191" s="73">
        <f t="shared" si="21"/>
        <v>0.13043478260869565</v>
      </c>
    </row>
    <row r="192" spans="1:22" x14ac:dyDescent="0.25">
      <c r="A192" s="12" t="s">
        <v>620</v>
      </c>
      <c r="B192" s="12"/>
      <c r="C192" s="12" t="s">
        <v>1328</v>
      </c>
      <c r="D192" s="12" t="s">
        <v>714</v>
      </c>
      <c r="E192" s="12" t="s">
        <v>1354</v>
      </c>
      <c r="F192" s="12"/>
      <c r="G192" s="13">
        <v>45024</v>
      </c>
      <c r="H192" s="14">
        <v>1</v>
      </c>
      <c r="I192" s="14">
        <v>0</v>
      </c>
      <c r="J192" s="8">
        <f>SUMIF(Journal!$A:$A,HeadJournal!$A192,Journal!$K:$K)+SUMIF(Journal!$A:$A,HeadJournal!$A192,Journal!$L:$L)+SUMIF(Journal!$A:$A,HeadJournal!$A192,Journal!$M:$M)</f>
        <v>3119</v>
      </c>
      <c r="K192" s="14">
        <v>3119</v>
      </c>
      <c r="L192" s="14">
        <f t="shared" si="30"/>
        <v>467.84999999999997</v>
      </c>
      <c r="M192" s="8">
        <f>SUMIF(Journal!$A:$A,HeadJournal!$A192,Journal!$P:$P)</f>
        <v>3586.8500000000004</v>
      </c>
      <c r="N192" s="8">
        <f>SUMIF(Journal!$A:$A,HeadJournal!$A192,Journal!Q:Q)</f>
        <v>4500</v>
      </c>
      <c r="O192" s="18">
        <f>SUMIF(Journal!$A:$A,HeadJournal!$A192,Journal!U:U)</f>
        <v>913.14999999999986</v>
      </c>
      <c r="P192" s="22">
        <f t="shared" si="20"/>
        <v>0.25458271185023063</v>
      </c>
      <c r="Q192" s="7" t="b">
        <f t="shared" si="29"/>
        <v>1</v>
      </c>
      <c r="R192" s="73">
        <f t="shared" si="21"/>
        <v>0.13043478260869562</v>
      </c>
    </row>
    <row r="193" spans="1:18" x14ac:dyDescent="0.25">
      <c r="A193" s="12" t="s">
        <v>621</v>
      </c>
      <c r="B193" s="12"/>
      <c r="C193" s="12" t="s">
        <v>1328</v>
      </c>
      <c r="D193" s="12" t="s">
        <v>714</v>
      </c>
      <c r="E193" s="12" t="s">
        <v>1354</v>
      </c>
      <c r="F193" s="12"/>
      <c r="G193" s="13">
        <v>45025</v>
      </c>
      <c r="H193" s="14">
        <v>1</v>
      </c>
      <c r="I193" s="14">
        <v>0</v>
      </c>
      <c r="J193" s="8">
        <f>SUMIF(Journal!$A:$A,HeadJournal!$A193,Journal!$K:$K)+SUMIF(Journal!$A:$A,HeadJournal!$A193,Journal!$L:$L)+SUMIF(Journal!$A:$A,HeadJournal!$A193,Journal!$M:$M)</f>
        <v>4512</v>
      </c>
      <c r="K193" s="14">
        <v>4512</v>
      </c>
      <c r="L193" s="14">
        <f t="shared" si="30"/>
        <v>676.8</v>
      </c>
      <c r="M193" s="8">
        <f>SUMIF(Journal!$A:$A,HeadJournal!$A193,Journal!$P:$P)</f>
        <v>5188.8</v>
      </c>
      <c r="N193" s="8">
        <f>SUMIF(Journal!$A:$A,HeadJournal!$A193,Journal!Q:Q)</f>
        <v>7400</v>
      </c>
      <c r="O193" s="18">
        <f>SUMIF(Journal!$A:$A,HeadJournal!$A193,Journal!U:U)</f>
        <v>2211.1999999999998</v>
      </c>
      <c r="P193" s="22">
        <f t="shared" si="20"/>
        <v>0.42614862781375262</v>
      </c>
      <c r="Q193" s="7" t="b">
        <f t="shared" si="29"/>
        <v>1</v>
      </c>
      <c r="R193" s="73">
        <f t="shared" si="21"/>
        <v>0.13043478260869565</v>
      </c>
    </row>
    <row r="194" spans="1:18" x14ac:dyDescent="0.25">
      <c r="A194" s="12" t="s">
        <v>622</v>
      </c>
      <c r="B194" s="12"/>
      <c r="C194" s="12" t="s">
        <v>1328</v>
      </c>
      <c r="D194" s="12" t="s">
        <v>714</v>
      </c>
      <c r="E194" s="12" t="s">
        <v>1354</v>
      </c>
      <c r="F194" s="12"/>
      <c r="G194" s="13">
        <v>45028</v>
      </c>
      <c r="H194" s="14">
        <v>1</v>
      </c>
      <c r="I194" s="14">
        <v>0</v>
      </c>
      <c r="J194" s="8">
        <f>SUMIF(Journal!$A:$A,HeadJournal!$A194,Journal!$K:$K)+SUMIF(Journal!$A:$A,HeadJournal!$A194,Journal!$L:$L)+SUMIF(Journal!$A:$A,HeadJournal!$A194,Journal!$M:$M)</f>
        <v>1237</v>
      </c>
      <c r="K194" s="14">
        <v>1237</v>
      </c>
      <c r="L194" s="14">
        <f t="shared" si="30"/>
        <v>185.54999999999998</v>
      </c>
      <c r="M194" s="8">
        <f>SUMIF(Journal!$A:$A,HeadJournal!$A194,Journal!$P:$P)</f>
        <v>1422.55</v>
      </c>
      <c r="N194" s="8">
        <f>SUMIF(Journal!$A:$A,HeadJournal!$A194,Journal!Q:Q)</f>
        <v>1900</v>
      </c>
      <c r="O194" s="18">
        <f>SUMIF(Journal!$A:$A,HeadJournal!$A194,Journal!U:U)</f>
        <v>477.45000000000005</v>
      </c>
      <c r="P194" s="22">
        <f t="shared" si="20"/>
        <v>0.33562967909739555</v>
      </c>
      <c r="Q194" s="7" t="b">
        <f t="shared" si="29"/>
        <v>1</v>
      </c>
      <c r="R194" s="73">
        <f t="shared" si="21"/>
        <v>0.13043478260869565</v>
      </c>
    </row>
    <row r="195" spans="1:18" x14ac:dyDescent="0.25">
      <c r="A195" s="12" t="s">
        <v>624</v>
      </c>
      <c r="B195" s="12"/>
      <c r="C195" s="12" t="s">
        <v>1328</v>
      </c>
      <c r="D195" s="12" t="s">
        <v>714</v>
      </c>
      <c r="E195" s="12" t="s">
        <v>1354</v>
      </c>
      <c r="F195" s="12"/>
      <c r="G195" s="13">
        <v>45031</v>
      </c>
      <c r="H195" s="14">
        <v>1</v>
      </c>
      <c r="I195" s="14">
        <v>0</v>
      </c>
      <c r="J195" s="8">
        <f>SUMIF(Journal!$A:$A,HeadJournal!$A195,Journal!$K:$K)+SUMIF(Journal!$A:$A,HeadJournal!$A195,Journal!$L:$L)+SUMIF(Journal!$A:$A,HeadJournal!$A195,Journal!$M:$M)</f>
        <v>10399</v>
      </c>
      <c r="K195" s="14">
        <v>10399</v>
      </c>
      <c r="L195" s="14">
        <f t="shared" si="30"/>
        <v>1559.85</v>
      </c>
      <c r="M195" s="8">
        <f>SUMIF(Journal!$A:$A,HeadJournal!$A195,Journal!$P:$P)</f>
        <v>11958.849999999999</v>
      </c>
      <c r="N195" s="8">
        <f>SUMIF(Journal!$A:$A,HeadJournal!$A195,Journal!Q:Q)</f>
        <v>14700</v>
      </c>
      <c r="O195" s="18">
        <f>SUMIF(Journal!$A:$A,HeadJournal!$A195,Journal!U:U)</f>
        <v>2741.15</v>
      </c>
      <c r="P195" s="22">
        <f t="shared" ref="P195:P258" si="31">IF(N195&lt;&gt;0,IFERROR(O195/M195,""),"")</f>
        <v>0.22921518373422198</v>
      </c>
      <c r="Q195" s="7" t="b">
        <f t="shared" si="29"/>
        <v>1</v>
      </c>
      <c r="R195" s="73">
        <f t="shared" ref="R195:R258" si="32">L195/M195</f>
        <v>0.13043478260869565</v>
      </c>
    </row>
    <row r="196" spans="1:18" x14ac:dyDescent="0.25">
      <c r="A196" s="12" t="s">
        <v>629</v>
      </c>
      <c r="B196" s="12"/>
      <c r="C196" s="12" t="s">
        <v>843</v>
      </c>
      <c r="D196" s="12" t="s">
        <v>714</v>
      </c>
      <c r="E196" s="12" t="s">
        <v>1354</v>
      </c>
      <c r="F196" s="12"/>
      <c r="G196" s="13">
        <v>45031</v>
      </c>
      <c r="H196" s="14">
        <v>1</v>
      </c>
      <c r="I196" s="14">
        <v>0</v>
      </c>
      <c r="J196" s="8">
        <f>SUMIF(Journal!$A:$A,HeadJournal!$A196,Journal!$K:$K)+SUMIF(Journal!$A:$A,HeadJournal!$A196,Journal!$L:$L)+SUMIF(Journal!$A:$A,HeadJournal!$A196,Journal!$M:$M)</f>
        <v>2946</v>
      </c>
      <c r="K196" s="14">
        <v>2946</v>
      </c>
      <c r="L196" s="14">
        <f t="shared" si="30"/>
        <v>441.9</v>
      </c>
      <c r="M196" s="8">
        <f>SUMIF(Journal!$A:$A,HeadJournal!$A196,Journal!$P:$P)</f>
        <v>3387.8999999999996</v>
      </c>
      <c r="N196" s="8">
        <f>SUMIF(Journal!$A:$A,HeadJournal!$A196,Journal!Q:Q)</f>
        <v>5000</v>
      </c>
      <c r="O196" s="18">
        <f>SUMIF(Journal!$A:$A,HeadJournal!$A196,Journal!U:U)</f>
        <v>1612.1000000000001</v>
      </c>
      <c r="P196" s="22">
        <f t="shared" si="31"/>
        <v>0.47584049115971555</v>
      </c>
      <c r="Q196" s="7" t="b">
        <f t="shared" si="29"/>
        <v>1</v>
      </c>
      <c r="R196" s="73">
        <f t="shared" si="32"/>
        <v>0.13043478260869565</v>
      </c>
    </row>
    <row r="197" spans="1:18" x14ac:dyDescent="0.25">
      <c r="A197" s="12" t="s">
        <v>631</v>
      </c>
      <c r="B197" s="124" t="s">
        <v>1408</v>
      </c>
      <c r="C197" s="12" t="s">
        <v>1737</v>
      </c>
      <c r="D197" s="12" t="s">
        <v>714</v>
      </c>
      <c r="E197" s="12" t="s">
        <v>1369</v>
      </c>
      <c r="F197" s="124" t="s">
        <v>1409</v>
      </c>
      <c r="G197" s="13">
        <v>45031</v>
      </c>
      <c r="H197" s="14">
        <f>24728.97/K197</f>
        <v>90.588944244999638</v>
      </c>
      <c r="I197" s="14">
        <f>-10.84+30.41</f>
        <v>19.57</v>
      </c>
      <c r="J197" s="8">
        <f>SUMIF(Journal!$A:$A,HeadJournal!$A197,Journal!$K:$K)+SUMIF(Journal!$A:$A,HeadJournal!$A197,Journal!$L:$L)+SUMIF(Journal!$A:$A,HeadJournal!$A197,Journal!$M:$M)</f>
        <v>272.97999999999996</v>
      </c>
      <c r="K197" s="14">
        <v>272.98</v>
      </c>
      <c r="L197" s="14">
        <f>1100/2+1605.23/2+400/2</f>
        <v>1552.615</v>
      </c>
      <c r="M197" s="8">
        <f>SUMIF(Journal!$A:$A,HeadJournal!$A197,Journal!$P:$P)</f>
        <v>26281.585000000003</v>
      </c>
      <c r="N197" s="8">
        <f>SUMIF(Journal!$A:$A,HeadJournal!$A197,Journal!Q:Q)</f>
        <v>40900</v>
      </c>
      <c r="O197" s="18">
        <f>SUMIF(Journal!$A:$A,HeadJournal!$A197,Journal!U:U)</f>
        <v>14618.414999999995</v>
      </c>
      <c r="P197" s="22">
        <f t="shared" si="31"/>
        <v>0.55622273161987734</v>
      </c>
      <c r="R197" s="73">
        <f t="shared" si="32"/>
        <v>5.9076155414523129E-2</v>
      </c>
    </row>
    <row r="198" spans="1:18" x14ac:dyDescent="0.25">
      <c r="A198" s="12" t="s">
        <v>638</v>
      </c>
      <c r="B198" s="124" t="s">
        <v>1410</v>
      </c>
      <c r="C198" s="12" t="s">
        <v>1751</v>
      </c>
      <c r="D198" s="12" t="s">
        <v>714</v>
      </c>
      <c r="E198" s="12" t="s">
        <v>1369</v>
      </c>
      <c r="F198" s="124" t="s">
        <v>1407</v>
      </c>
      <c r="G198" s="13">
        <v>45021</v>
      </c>
      <c r="H198" s="14">
        <f>15516.65/K198</f>
        <v>85.665820129188987</v>
      </c>
      <c r="I198" s="14">
        <v>19.41</v>
      </c>
      <c r="J198" s="8">
        <f>SUMIF(Journal!$A:$A,HeadJournal!$A198,Journal!$K:$K)+SUMIF(Journal!$A:$A,HeadJournal!$A198,Journal!$L:$L)+SUMIF(Journal!$A:$A,HeadJournal!$A198,Journal!$M:$M)</f>
        <v>181.13000000000011</v>
      </c>
      <c r="K198" s="14">
        <v>181.13</v>
      </c>
      <c r="L198" s="14">
        <f>2355/2+400/2</f>
        <v>1377.5</v>
      </c>
      <c r="M198" s="8">
        <f>SUMIF(Journal!$A:$A,HeadJournal!$A198,Journal!$P:$P)</f>
        <v>16894.150000000016</v>
      </c>
      <c r="N198" s="8">
        <f>SUMIF(Journal!$A:$A,HeadJournal!$A198,Journal!Q:Q)</f>
        <v>25071.66</v>
      </c>
      <c r="O198" s="18">
        <f>SUMIF(Journal!$A:$A,HeadJournal!$A198,Journal!U:U)</f>
        <v>8177.5100000000148</v>
      </c>
      <c r="P198" s="22">
        <f t="shared" si="31"/>
        <v>0.4840438850134518</v>
      </c>
      <c r="R198" s="73">
        <f t="shared" si="32"/>
        <v>8.1537100120455827E-2</v>
      </c>
    </row>
    <row r="199" spans="1:18" x14ac:dyDescent="0.25">
      <c r="A199" s="12" t="s">
        <v>643</v>
      </c>
      <c r="B199" s="124" t="s">
        <v>1411</v>
      </c>
      <c r="C199" s="12" t="s">
        <v>1751</v>
      </c>
      <c r="D199" s="12" t="s">
        <v>714</v>
      </c>
      <c r="E199" s="12" t="s">
        <v>1369</v>
      </c>
      <c r="F199" s="124" t="s">
        <v>1409</v>
      </c>
      <c r="G199" s="13">
        <v>45026</v>
      </c>
      <c r="H199" s="14">
        <f>18238.87/K199</f>
        <v>89.833374378170703</v>
      </c>
      <c r="I199" s="14">
        <f>-10.83+22.91</f>
        <v>12.08</v>
      </c>
      <c r="J199" s="8">
        <f>SUMIF(Journal!$A:$A,HeadJournal!$A199,Journal!$K:$K)+SUMIF(Journal!$A:$A,HeadJournal!$A199,Journal!$L:$L)+SUMIF(Journal!$A:$A,HeadJournal!$A199,Journal!$M:$M)</f>
        <v>203.03</v>
      </c>
      <c r="K199" s="14">
        <v>203.03</v>
      </c>
      <c r="L199" s="14">
        <f>1100/2+1605.23/2+400/2</f>
        <v>1552.615</v>
      </c>
      <c r="M199" s="8">
        <f>SUMIF(Journal!$A:$A,HeadJournal!$A199,Journal!$P:$P)</f>
        <v>19791.485000000001</v>
      </c>
      <c r="N199" s="8">
        <f>SUMIF(Journal!$A:$A,HeadJournal!$A199,Journal!Q:Q)</f>
        <v>29800</v>
      </c>
      <c r="O199" s="18">
        <f>SUMIF(Journal!$A:$A,HeadJournal!$A199,Journal!U:U)</f>
        <v>10008.515000000003</v>
      </c>
      <c r="P199" s="22">
        <f t="shared" si="31"/>
        <v>0.50569803124929746</v>
      </c>
      <c r="R199" s="73">
        <f t="shared" si="32"/>
        <v>7.8448635865373414E-2</v>
      </c>
    </row>
    <row r="200" spans="1:18" x14ac:dyDescent="0.25">
      <c r="A200" s="12" t="s">
        <v>651</v>
      </c>
      <c r="B200" s="12"/>
      <c r="C200" s="12" t="s">
        <v>1359</v>
      </c>
      <c r="D200" s="12" t="s">
        <v>714</v>
      </c>
      <c r="E200" s="12" t="s">
        <v>1358</v>
      </c>
      <c r="F200" s="12"/>
      <c r="G200" s="13">
        <v>45040</v>
      </c>
      <c r="H200" s="14">
        <v>1</v>
      </c>
      <c r="I200" s="14">
        <v>0</v>
      </c>
      <c r="J200" s="8">
        <f>SUMIF(Journal!$A:$A,HeadJournal!$A200,Journal!$K:$K)+SUMIF(Journal!$A:$A,HeadJournal!$A200,Journal!$L:$L)+SUMIF(Journal!$A:$A,HeadJournal!$A200,Journal!$M:$M)</f>
        <v>2400</v>
      </c>
      <c r="K200" s="14">
        <v>2400</v>
      </c>
      <c r="L200" s="14">
        <v>0</v>
      </c>
      <c r="M200" s="8">
        <f>SUMIF(Journal!$A:$A,HeadJournal!$A200,Journal!$P:$P)</f>
        <v>2400</v>
      </c>
      <c r="N200" s="8">
        <f>SUMIF(Journal!$A:$A,HeadJournal!$A200,Journal!Q:Q)</f>
        <v>3000</v>
      </c>
      <c r="O200" s="18">
        <f>SUMIF(Journal!$A:$A,HeadJournal!$A200,Journal!U:U)</f>
        <v>600</v>
      </c>
      <c r="P200" s="22">
        <f t="shared" si="31"/>
        <v>0.25</v>
      </c>
      <c r="Q200" s="7" t="b">
        <f>J200=K200</f>
        <v>1</v>
      </c>
      <c r="R200" s="73">
        <f t="shared" si="32"/>
        <v>0</v>
      </c>
    </row>
    <row r="201" spans="1:18" x14ac:dyDescent="0.25">
      <c r="A201" s="12" t="s">
        <v>652</v>
      </c>
      <c r="B201" s="12"/>
      <c r="C201" s="12" t="s">
        <v>1328</v>
      </c>
      <c r="D201" s="12" t="s">
        <v>714</v>
      </c>
      <c r="E201" s="12" t="s">
        <v>1354</v>
      </c>
      <c r="F201" s="12"/>
      <c r="G201" s="13">
        <v>45035</v>
      </c>
      <c r="H201" s="14">
        <v>1</v>
      </c>
      <c r="I201" s="14">
        <v>0</v>
      </c>
      <c r="J201" s="8">
        <f>SUMIF(Journal!$A:$A,HeadJournal!$A201,Journal!$K:$K)+SUMIF(Journal!$A:$A,HeadJournal!$A201,Journal!$L:$L)+SUMIF(Journal!$A:$A,HeadJournal!$A201,Journal!$M:$M)</f>
        <v>3667</v>
      </c>
      <c r="K201" s="14">
        <v>3667</v>
      </c>
      <c r="L201" s="14">
        <f>K201*0.15</f>
        <v>550.04999999999995</v>
      </c>
      <c r="M201" s="8">
        <f>SUMIF(Journal!$A:$A,HeadJournal!$A201,Journal!$P:$P)</f>
        <v>4217.05</v>
      </c>
      <c r="N201" s="8">
        <f>SUMIF(Journal!$A:$A,HeadJournal!$A201,Journal!Q:Q)</f>
        <v>8000</v>
      </c>
      <c r="O201" s="18">
        <f>SUMIF(Journal!$A:$A,HeadJournal!$A201,Journal!U:U)</f>
        <v>3782.95</v>
      </c>
      <c r="P201" s="22">
        <f t="shared" si="31"/>
        <v>0.89706074151361725</v>
      </c>
      <c r="Q201" s="7" t="b">
        <f>J201=K201</f>
        <v>1</v>
      </c>
      <c r="R201" s="73">
        <f t="shared" si="32"/>
        <v>0.13043478260869565</v>
      </c>
    </row>
    <row r="202" spans="1:18" x14ac:dyDescent="0.25">
      <c r="A202" s="12" t="s">
        <v>653</v>
      </c>
      <c r="B202" s="12"/>
      <c r="C202" s="12" t="s">
        <v>1328</v>
      </c>
      <c r="D202" s="12" t="s">
        <v>714</v>
      </c>
      <c r="E202" s="12" t="s">
        <v>1354</v>
      </c>
      <c r="F202" s="12"/>
      <c r="G202" s="13">
        <v>45036</v>
      </c>
      <c r="H202" s="14">
        <v>1</v>
      </c>
      <c r="I202" s="14">
        <v>0</v>
      </c>
      <c r="J202" s="8">
        <f>SUMIF(Journal!$A:$A,HeadJournal!$A202,Journal!$K:$K)+SUMIF(Journal!$A:$A,HeadJournal!$A202,Journal!$L:$L)+SUMIF(Journal!$A:$A,HeadJournal!$A202,Journal!$M:$M)</f>
        <v>3916</v>
      </c>
      <c r="K202" s="14">
        <v>3916</v>
      </c>
      <c r="L202" s="14">
        <f>K202*0.15</f>
        <v>587.4</v>
      </c>
      <c r="M202" s="8">
        <f>SUMIF(Journal!$A:$A,HeadJournal!$A202,Journal!$P:$P)</f>
        <v>4503.4000000000005</v>
      </c>
      <c r="N202" s="8">
        <f>SUMIF(Journal!$A:$A,HeadJournal!$A202,Journal!Q:Q)</f>
        <v>7400</v>
      </c>
      <c r="O202" s="18">
        <f>SUMIF(Journal!$A:$A,HeadJournal!$A202,Journal!U:U)</f>
        <v>2896.6</v>
      </c>
      <c r="P202" s="22">
        <f t="shared" si="31"/>
        <v>0.64320291335435442</v>
      </c>
      <c r="Q202" s="7" t="b">
        <f>J202=K202</f>
        <v>1</v>
      </c>
      <c r="R202" s="73">
        <f t="shared" si="32"/>
        <v>0.13043478260869562</v>
      </c>
    </row>
    <row r="203" spans="1:18" x14ac:dyDescent="0.25">
      <c r="A203" s="12" t="s">
        <v>656</v>
      </c>
      <c r="B203" s="12"/>
      <c r="C203" s="12" t="s">
        <v>843</v>
      </c>
      <c r="D203" s="12" t="s">
        <v>714</v>
      </c>
      <c r="E203" s="12" t="s">
        <v>1354</v>
      </c>
      <c r="F203" s="12"/>
      <c r="G203" s="13">
        <v>45035</v>
      </c>
      <c r="H203" s="14">
        <v>1</v>
      </c>
      <c r="I203" s="14">
        <v>0</v>
      </c>
      <c r="J203" s="8">
        <f>SUMIF(Journal!$A:$A,HeadJournal!$A203,Journal!$K:$K)+SUMIF(Journal!$A:$A,HeadJournal!$A203,Journal!$L:$L)+SUMIF(Journal!$A:$A,HeadJournal!$A203,Journal!$M:$M)</f>
        <v>1134</v>
      </c>
      <c r="K203" s="14">
        <v>1134</v>
      </c>
      <c r="L203" s="14">
        <f>K203*0.15</f>
        <v>170.1</v>
      </c>
      <c r="M203" s="8">
        <f>SUMIF(Journal!$A:$A,HeadJournal!$A203,Journal!$P:$P)</f>
        <v>1304.0999999999999</v>
      </c>
      <c r="N203" s="8">
        <f>SUMIF(Journal!$A:$A,HeadJournal!$A203,Journal!Q:Q)</f>
        <v>2400</v>
      </c>
      <c r="O203" s="18">
        <f>SUMIF(Journal!$A:$A,HeadJournal!$A203,Journal!U:U)</f>
        <v>1095.9000000000001</v>
      </c>
      <c r="P203" s="22">
        <f t="shared" si="31"/>
        <v>0.84034966643662312</v>
      </c>
      <c r="Q203" s="7" t="b">
        <f>J203=K203</f>
        <v>1</v>
      </c>
      <c r="R203" s="73">
        <f t="shared" si="32"/>
        <v>0.13043478260869565</v>
      </c>
    </row>
    <row r="204" spans="1:18" x14ac:dyDescent="0.25">
      <c r="A204" s="12" t="s">
        <v>685</v>
      </c>
      <c r="B204" s="41" t="s">
        <v>1412</v>
      </c>
      <c r="C204" s="12" t="s">
        <v>1751</v>
      </c>
      <c r="D204" s="12" t="s">
        <v>714</v>
      </c>
      <c r="E204" s="12" t="s">
        <v>1369</v>
      </c>
      <c r="F204" s="41" t="s">
        <v>1413</v>
      </c>
      <c r="G204" s="13">
        <v>45045</v>
      </c>
      <c r="H204" s="14">
        <f>22649.98/J204</f>
        <v>90.78876062209396</v>
      </c>
      <c r="I204" s="14">
        <f>27.67-8.77</f>
        <v>18.900000000000002</v>
      </c>
      <c r="J204" s="8">
        <f>SUMIF(Journal!$A:$A,HeadJournal!$A204,Journal!$K:$K)+SUMIF(Journal!$A:$A,HeadJournal!$A204,Journal!$L:$L)+SUMIF(Journal!$A:$A,HeadJournal!$A204,Journal!$M:$M)</f>
        <v>249.48</v>
      </c>
      <c r="K204" s="14">
        <v>249.48</v>
      </c>
      <c r="L204" s="14">
        <f>1471.74/2+400/2+1000/2</f>
        <v>1435.87</v>
      </c>
      <c r="M204" s="8">
        <f>SUMIF(Journal!$A:$A,HeadJournal!$A204,Journal!$P:$P)</f>
        <v>24085.850000000002</v>
      </c>
      <c r="N204" s="8">
        <f>SUMIF(Journal!$A:$A,HeadJournal!$A204,Journal!Q:Q)</f>
        <v>40300</v>
      </c>
      <c r="O204" s="18">
        <f>SUMIF(Journal!$A:$A,HeadJournal!$A204,Journal!U:U)</f>
        <v>16214.149999999998</v>
      </c>
      <c r="P204" s="22">
        <f t="shared" si="31"/>
        <v>0.67318155680617442</v>
      </c>
      <c r="R204" s="73">
        <f t="shared" si="32"/>
        <v>5.9614670024101278E-2</v>
      </c>
    </row>
    <row r="205" spans="1:18" x14ac:dyDescent="0.25">
      <c r="A205" s="12" t="s">
        <v>677</v>
      </c>
      <c r="B205" s="124" t="s">
        <v>1414</v>
      </c>
      <c r="C205" s="12" t="s">
        <v>1737</v>
      </c>
      <c r="D205" s="12" t="s">
        <v>714</v>
      </c>
      <c r="E205" s="12" t="s">
        <v>1369</v>
      </c>
      <c r="F205" s="124" t="s">
        <v>1413</v>
      </c>
      <c r="G205" s="13">
        <v>45049</v>
      </c>
      <c r="H205" s="14">
        <f>30246.74/J205</f>
        <v>90.926619570118746</v>
      </c>
      <c r="I205" s="14">
        <f>37.52-17.54</f>
        <v>19.980000000000004</v>
      </c>
      <c r="J205" s="8">
        <f>SUMIF(Journal!$A:$A,HeadJournal!$A205,Journal!$K:$K)+SUMIF(Journal!$A:$A,HeadJournal!$A205,Journal!$L:$L)+SUMIF(Journal!$A:$A,HeadJournal!$A205,Journal!$M:$M)</f>
        <v>332.65000000000003</v>
      </c>
      <c r="K205" s="14">
        <v>332.65</v>
      </c>
      <c r="L205" s="14">
        <f>1471.74/2+400/2+1000/2</f>
        <v>1435.87</v>
      </c>
      <c r="M205" s="8">
        <f>SUMIF(Journal!$A:$A,HeadJournal!$A205,Journal!$P:$P)</f>
        <v>31682.609999999993</v>
      </c>
      <c r="N205" s="8">
        <f>SUMIF(Journal!$A:$A,HeadJournal!$A205,Journal!Q:Q)</f>
        <v>49100</v>
      </c>
      <c r="O205" s="18">
        <f>SUMIF(Journal!$A:$A,HeadJournal!$A205,Journal!U:U)</f>
        <v>17417.390000000007</v>
      </c>
      <c r="P205" s="22">
        <f t="shared" si="31"/>
        <v>0.54974605943134136</v>
      </c>
      <c r="R205" s="73">
        <f t="shared" si="32"/>
        <v>4.5320445506225659E-2</v>
      </c>
    </row>
    <row r="206" spans="1:18" x14ac:dyDescent="0.25">
      <c r="A206" s="12" t="s">
        <v>668</v>
      </c>
      <c r="B206" s="124" t="s">
        <v>1415</v>
      </c>
      <c r="C206" s="12" t="s">
        <v>1735</v>
      </c>
      <c r="D206" s="12" t="s">
        <v>714</v>
      </c>
      <c r="E206" s="12" t="s">
        <v>1369</v>
      </c>
      <c r="F206" s="124" t="s">
        <v>1416</v>
      </c>
      <c r="G206" s="13">
        <v>45042</v>
      </c>
      <c r="H206" s="14">
        <v>90</v>
      </c>
      <c r="I206" s="14">
        <f>-8.42+24.62</f>
        <v>16.200000000000003</v>
      </c>
      <c r="J206" s="8">
        <f>SUMIF(Journal!$A:$A,HeadJournal!$A206,Journal!$K:$K)+SUMIF(Journal!$A:$A,HeadJournal!$A206,Journal!$L:$L)+SUMIF(Journal!$A:$A,HeadJournal!$A206,Journal!$M:$M)</f>
        <v>221.34</v>
      </c>
      <c r="K206" s="14">
        <v>221.34</v>
      </c>
      <c r="L206" s="14">
        <f>1237.22/2+800/2+400/2</f>
        <v>1218.6100000000001</v>
      </c>
      <c r="M206" s="8">
        <f>SUMIF(Journal!$A:$A,HeadJournal!$A206,Journal!$P:$P)</f>
        <v>21139.210000000006</v>
      </c>
      <c r="N206" s="8">
        <f>SUMIF(Journal!$A:$A,HeadJournal!$A206,Journal!Q:Q)</f>
        <v>29250</v>
      </c>
      <c r="O206" s="18">
        <f>SUMIF(Journal!$A:$A,HeadJournal!$A206,Journal!U:U)</f>
        <v>8110.7899999999981</v>
      </c>
      <c r="P206" s="22">
        <f t="shared" si="31"/>
        <v>0.38368463154488724</v>
      </c>
      <c r="R206" s="73">
        <f t="shared" si="32"/>
        <v>5.7646903550321878E-2</v>
      </c>
    </row>
    <row r="207" spans="1:18" x14ac:dyDescent="0.25">
      <c r="A207" s="12" t="s">
        <v>658</v>
      </c>
      <c r="B207" s="124" t="s">
        <v>1417</v>
      </c>
      <c r="C207" s="12" t="s">
        <v>1752</v>
      </c>
      <c r="D207" s="12" t="s">
        <v>714</v>
      </c>
      <c r="E207" s="12" t="s">
        <v>1369</v>
      </c>
      <c r="F207" s="124" t="s">
        <v>1416</v>
      </c>
      <c r="G207" s="13">
        <v>45034</v>
      </c>
      <c r="H207" s="14">
        <f>20735.61/J207</f>
        <v>91.18161030737437</v>
      </c>
      <c r="I207" s="14">
        <f>-18.87+26.39</f>
        <v>7.52</v>
      </c>
      <c r="J207" s="8">
        <f>SUMIF(Journal!$A:$A,HeadJournal!$A207,Journal!$K:$K)+SUMIF(Journal!$A:$A,HeadJournal!$A207,Journal!$L:$L)+SUMIF(Journal!$A:$A,HeadJournal!$A207,Journal!$M:$M)</f>
        <v>227.40999999999994</v>
      </c>
      <c r="K207" s="14">
        <v>227.41</v>
      </c>
      <c r="L207" s="14">
        <f>1237.22/2+800/2+400/2</f>
        <v>1218.6100000000001</v>
      </c>
      <c r="M207" s="8">
        <f>SUMIF(Journal!$A:$A,HeadJournal!$A207,Journal!$P:$P)</f>
        <v>21954.220000000012</v>
      </c>
      <c r="N207" s="8">
        <f>SUMIF(Journal!$A:$A,HeadJournal!$A207,Journal!Q:Q)</f>
        <v>33115.64</v>
      </c>
      <c r="O207" s="18">
        <f>SUMIF(Journal!$A:$A,HeadJournal!$A207,Journal!U:U)</f>
        <v>11161.419999999989</v>
      </c>
      <c r="P207" s="22">
        <f t="shared" si="31"/>
        <v>0.50839519691430546</v>
      </c>
      <c r="Q207" s="7" t="b">
        <f t="shared" ref="Q207:Q217" si="33">J207=K207</f>
        <v>1</v>
      </c>
      <c r="R207" s="73">
        <f t="shared" si="32"/>
        <v>5.5506868383390501E-2</v>
      </c>
    </row>
    <row r="208" spans="1:18" x14ac:dyDescent="0.25">
      <c r="A208" s="12" t="s">
        <v>692</v>
      </c>
      <c r="B208" s="12"/>
      <c r="C208" s="12" t="s">
        <v>843</v>
      </c>
      <c r="D208" s="12" t="s">
        <v>714</v>
      </c>
      <c r="E208" s="12" t="s">
        <v>1354</v>
      </c>
      <c r="F208" s="12"/>
      <c r="G208" s="13">
        <v>45048</v>
      </c>
      <c r="H208" s="14">
        <v>1</v>
      </c>
      <c r="I208" s="14">
        <v>0</v>
      </c>
      <c r="J208" s="8">
        <f>SUMIF(Journal!$A:$A,HeadJournal!$A208,Journal!$K:$K)+SUMIF(Journal!$A:$A,HeadJournal!$A208,Journal!$L:$L)+SUMIF(Journal!$A:$A,HeadJournal!$A208,Journal!$M:$M)</f>
        <v>2946</v>
      </c>
      <c r="K208" s="14">
        <v>2946</v>
      </c>
      <c r="L208" s="14">
        <f>K208*0.15</f>
        <v>441.9</v>
      </c>
      <c r="M208" s="8">
        <f>SUMIF(Journal!$A:$A,HeadJournal!$A208,Journal!$P:$P)</f>
        <v>3387.8999999999996</v>
      </c>
      <c r="N208" s="8">
        <f>SUMIF(Journal!$A:$A,HeadJournal!$A208,Journal!Q:Q)</f>
        <v>5100</v>
      </c>
      <c r="O208" s="18">
        <f>SUMIF(Journal!$A:$A,HeadJournal!$A208,Journal!U:U)</f>
        <v>1712.1000000000001</v>
      </c>
      <c r="P208" s="22">
        <f t="shared" si="31"/>
        <v>0.50535730098290987</v>
      </c>
      <c r="Q208" s="7" t="b">
        <f t="shared" si="33"/>
        <v>1</v>
      </c>
      <c r="R208" s="73">
        <f t="shared" si="32"/>
        <v>0.13043478260869565</v>
      </c>
    </row>
    <row r="209" spans="1:18" x14ac:dyDescent="0.25">
      <c r="A209" s="12" t="s">
        <v>693</v>
      </c>
      <c r="B209" s="12"/>
      <c r="C209" s="12" t="s">
        <v>1328</v>
      </c>
      <c r="D209" s="12" t="s">
        <v>714</v>
      </c>
      <c r="E209" s="12" t="s">
        <v>1354</v>
      </c>
      <c r="F209" s="12"/>
      <c r="G209" s="13">
        <v>45042</v>
      </c>
      <c r="H209" s="14">
        <v>1</v>
      </c>
      <c r="I209" s="14">
        <v>0</v>
      </c>
      <c r="J209" s="8">
        <f>SUMIF(Journal!$A:$A,HeadJournal!$A209,Journal!$K:$K)+SUMIF(Journal!$A:$A,HeadJournal!$A209,Journal!$L:$L)+SUMIF(Journal!$A:$A,HeadJournal!$A209,Journal!$M:$M)</f>
        <v>1572</v>
      </c>
      <c r="K209" s="14">
        <v>1572</v>
      </c>
      <c r="L209" s="14">
        <f>K209*0.15</f>
        <v>235.79999999999998</v>
      </c>
      <c r="M209" s="8">
        <f>SUMIF(Journal!$A:$A,HeadJournal!$A209,Journal!$P:$P)</f>
        <v>1807.8</v>
      </c>
      <c r="N209" s="8">
        <f>SUMIF(Journal!$A:$A,HeadJournal!$A209,Journal!Q:Q)</f>
        <v>3000</v>
      </c>
      <c r="O209" s="18">
        <f>SUMIF(Journal!$A:$A,HeadJournal!$A209,Journal!U:U)</f>
        <v>1192.2</v>
      </c>
      <c r="P209" s="22">
        <f t="shared" si="31"/>
        <v>0.65947560570859609</v>
      </c>
      <c r="Q209" s="7" t="b">
        <f t="shared" si="33"/>
        <v>1</v>
      </c>
      <c r="R209" s="73">
        <f t="shared" si="32"/>
        <v>0.13043478260869565</v>
      </c>
    </row>
    <row r="210" spans="1:18" x14ac:dyDescent="0.25">
      <c r="A210" s="12" t="s">
        <v>694</v>
      </c>
      <c r="B210" s="12"/>
      <c r="C210" s="12" t="s">
        <v>1328</v>
      </c>
      <c r="D210" s="12" t="s">
        <v>714</v>
      </c>
      <c r="E210" s="12" t="s">
        <v>1354</v>
      </c>
      <c r="F210" s="12"/>
      <c r="G210" s="13">
        <v>45050</v>
      </c>
      <c r="H210" s="14">
        <v>1</v>
      </c>
      <c r="I210" s="14">
        <v>0</v>
      </c>
      <c r="J210" s="8">
        <f>SUMIF(Journal!$A:$A,HeadJournal!$A210,Journal!$K:$K)+SUMIF(Journal!$A:$A,HeadJournal!$A210,Journal!$L:$L)+SUMIF(Journal!$A:$A,HeadJournal!$A210,Journal!$M:$M)</f>
        <v>5636</v>
      </c>
      <c r="K210" s="14">
        <v>5636</v>
      </c>
      <c r="L210" s="14">
        <f>K210*0.15</f>
        <v>845.4</v>
      </c>
      <c r="M210" s="8">
        <f>SUMIF(Journal!$A:$A,HeadJournal!$A210,Journal!$P:$P)</f>
        <v>6481.4</v>
      </c>
      <c r="N210" s="8">
        <f>SUMIF(Journal!$A:$A,HeadJournal!$A210,Journal!Q:Q)</f>
        <v>7700</v>
      </c>
      <c r="O210" s="18">
        <f>SUMIF(Journal!$A:$A,HeadJournal!$A210,Journal!U:U)</f>
        <v>1218.5999999999999</v>
      </c>
      <c r="P210" s="22">
        <f t="shared" si="31"/>
        <v>0.18801493504489769</v>
      </c>
      <c r="Q210" s="7" t="b">
        <f t="shared" si="33"/>
        <v>1</v>
      </c>
      <c r="R210" s="73">
        <f t="shared" si="32"/>
        <v>0.13043478260869565</v>
      </c>
    </row>
    <row r="211" spans="1:18" x14ac:dyDescent="0.25">
      <c r="A211" s="12" t="s">
        <v>697</v>
      </c>
      <c r="B211" s="12"/>
      <c r="C211" s="12" t="s">
        <v>1380</v>
      </c>
      <c r="D211" s="12" t="s">
        <v>714</v>
      </c>
      <c r="E211" s="12" t="s">
        <v>1354</v>
      </c>
      <c r="F211" s="12"/>
      <c r="G211" s="13">
        <v>45048</v>
      </c>
      <c r="H211" s="14">
        <v>1</v>
      </c>
      <c r="I211" s="14">
        <v>0</v>
      </c>
      <c r="J211" s="8">
        <f>SUMIF(Journal!$A:$A,HeadJournal!$A211,Journal!$K:$K)+SUMIF(Journal!$A:$A,HeadJournal!$A211,Journal!$L:$L)+SUMIF(Journal!$A:$A,HeadJournal!$A211,Journal!$M:$M)</f>
        <v>1210</v>
      </c>
      <c r="K211" s="14">
        <v>1210</v>
      </c>
      <c r="L211" s="14">
        <f>K211*0.15</f>
        <v>181.5</v>
      </c>
      <c r="M211" s="8">
        <f>SUMIF(Journal!$A:$A,HeadJournal!$A211,Journal!$P:$P)</f>
        <v>1391.5</v>
      </c>
      <c r="N211" s="8">
        <f>SUMIF(Journal!$A:$A,HeadJournal!$A211,Journal!Q:Q)</f>
        <v>1400</v>
      </c>
      <c r="O211" s="18">
        <f>SUMIF(Journal!$A:$A,HeadJournal!$A211,Journal!U:U)</f>
        <v>8.5</v>
      </c>
      <c r="P211" s="22">
        <f t="shared" si="31"/>
        <v>6.1085159899389148E-3</v>
      </c>
      <c r="Q211" s="7" t="b">
        <f t="shared" si="33"/>
        <v>1</v>
      </c>
      <c r="R211" s="73">
        <f t="shared" si="32"/>
        <v>0.13043478260869565</v>
      </c>
    </row>
    <row r="212" spans="1:18" x14ac:dyDescent="0.25">
      <c r="A212" s="12" t="s">
        <v>700</v>
      </c>
      <c r="B212" s="12"/>
      <c r="C212" s="12" t="s">
        <v>1357</v>
      </c>
      <c r="D212" s="12" t="s">
        <v>714</v>
      </c>
      <c r="E212" s="12" t="s">
        <v>1358</v>
      </c>
      <c r="F212" s="12"/>
      <c r="G212" s="13">
        <v>45052</v>
      </c>
      <c r="H212" s="14">
        <v>1</v>
      </c>
      <c r="I212" s="14">
        <v>-1198.8</v>
      </c>
      <c r="J212" s="105">
        <v>0</v>
      </c>
      <c r="K212" s="14">
        <v>0</v>
      </c>
      <c r="L212" s="14">
        <v>0</v>
      </c>
      <c r="M212" s="8">
        <f>SUMIF(Journal!$A:$A,HeadJournal!$A212,Journal!$P:$P)</f>
        <v>0</v>
      </c>
      <c r="N212" s="8">
        <f>SUMIF(Journal!$A:$A,HeadJournal!$A212,Journal!Q:Q)</f>
        <v>1600</v>
      </c>
      <c r="O212" s="18">
        <f>SUMIF(Journal!$A:$A,HeadJournal!$A212,Journal!U:U)</f>
        <v>1600</v>
      </c>
      <c r="P212" s="22" t="str">
        <f t="shared" si="31"/>
        <v/>
      </c>
      <c r="Q212" s="7" t="b">
        <f t="shared" si="33"/>
        <v>1</v>
      </c>
      <c r="R212" s="73" t="e">
        <f t="shared" si="32"/>
        <v>#DIV/0!</v>
      </c>
    </row>
    <row r="213" spans="1:18" x14ac:dyDescent="0.25">
      <c r="A213" s="12" t="s">
        <v>702</v>
      </c>
      <c r="B213" s="12"/>
      <c r="C213" s="12" t="s">
        <v>1359</v>
      </c>
      <c r="D213" s="12" t="s">
        <v>714</v>
      </c>
      <c r="E213" s="12" t="s">
        <v>1358</v>
      </c>
      <c r="F213" s="12"/>
      <c r="G213" s="13">
        <v>45052</v>
      </c>
      <c r="H213" s="14">
        <v>1</v>
      </c>
      <c r="I213" s="14">
        <v>0</v>
      </c>
      <c r="J213" s="8">
        <f>SUMIF(Journal!$A:$A,HeadJournal!$A213,Journal!$K:$K)+SUMIF(Journal!$A:$A,HeadJournal!$A213,Journal!$L:$L)+SUMIF(Journal!$A:$A,HeadJournal!$A213,Journal!$M:$M)</f>
        <v>1258</v>
      </c>
      <c r="K213" s="14">
        <v>1300</v>
      </c>
      <c r="L213" s="14">
        <v>0</v>
      </c>
      <c r="M213" s="8">
        <f>SUMIF(Journal!$A:$A,HeadJournal!$A213,Journal!$P:$P)</f>
        <v>1300</v>
      </c>
      <c r="N213" s="8">
        <f>SUMIF(Journal!$A:$A,HeadJournal!$A213,Journal!Q:Q)</f>
        <v>2100</v>
      </c>
      <c r="O213" s="18">
        <f>SUMIF(Journal!$A:$A,HeadJournal!$A213,Journal!U:U)</f>
        <v>800</v>
      </c>
      <c r="P213" s="22">
        <f t="shared" si="31"/>
        <v>0.61538461538461542</v>
      </c>
      <c r="Q213" s="7" t="b">
        <f t="shared" si="33"/>
        <v>0</v>
      </c>
      <c r="R213" s="73">
        <f t="shared" si="32"/>
        <v>0</v>
      </c>
    </row>
    <row r="214" spans="1:18" x14ac:dyDescent="0.25">
      <c r="A214" s="12" t="s">
        <v>704</v>
      </c>
      <c r="B214" s="12"/>
      <c r="C214" s="12" t="s">
        <v>843</v>
      </c>
      <c r="D214" s="12" t="s">
        <v>714</v>
      </c>
      <c r="E214" s="12" t="s">
        <v>1354</v>
      </c>
      <c r="F214" s="12"/>
      <c r="G214" s="13">
        <v>45048</v>
      </c>
      <c r="H214" s="14">
        <v>1</v>
      </c>
      <c r="I214" s="14">
        <v>0</v>
      </c>
      <c r="J214" s="8">
        <f>SUMIF(Journal!$A:$A,HeadJournal!$A214,Journal!$K:$K)+SUMIF(Journal!$A:$A,HeadJournal!$A214,Journal!$L:$L)+SUMIF(Journal!$A:$A,HeadJournal!$A214,Journal!$M:$M)</f>
        <v>5460</v>
      </c>
      <c r="K214" s="14">
        <f>2730*2</f>
        <v>5460</v>
      </c>
      <c r="L214" s="14">
        <f>K214*0.15</f>
        <v>819</v>
      </c>
      <c r="M214" s="8">
        <f>SUMIF(Journal!$A:$A,HeadJournal!$A214,Journal!$P:$P)</f>
        <v>6279</v>
      </c>
      <c r="N214" s="8">
        <f>SUMIF(Journal!$A:$A,HeadJournal!$A214,Journal!Q:Q)</f>
        <v>7500</v>
      </c>
      <c r="O214" s="18">
        <f>SUMIF(Journal!$A:$A,HeadJournal!$A214,Journal!U:U)</f>
        <v>1221</v>
      </c>
      <c r="P214" s="22">
        <f t="shared" si="31"/>
        <v>0.19445771619684663</v>
      </c>
      <c r="Q214" s="7" t="b">
        <f t="shared" si="33"/>
        <v>1</v>
      </c>
      <c r="R214" s="73">
        <f t="shared" si="32"/>
        <v>0.13043478260869565</v>
      </c>
    </row>
    <row r="215" spans="1:18" x14ac:dyDescent="0.25">
      <c r="A215" s="12" t="s">
        <v>706</v>
      </c>
      <c r="B215" s="12"/>
      <c r="C215" s="12" t="s">
        <v>843</v>
      </c>
      <c r="D215" s="12" t="s">
        <v>714</v>
      </c>
      <c r="E215" s="12" t="s">
        <v>1354</v>
      </c>
      <c r="F215" s="12"/>
      <c r="G215" s="13">
        <v>45058</v>
      </c>
      <c r="H215" s="14">
        <v>1</v>
      </c>
      <c r="I215" s="14">
        <v>0</v>
      </c>
      <c r="J215" s="8">
        <f>SUMIF(Journal!$A:$A,HeadJournal!$A215,Journal!$K:$K)+SUMIF(Journal!$A:$A,HeadJournal!$A215,Journal!$L:$L)+SUMIF(Journal!$A:$A,HeadJournal!$A215,Journal!$M:$M)</f>
        <v>4458</v>
      </c>
      <c r="K215" s="14">
        <f>2229*2</f>
        <v>4458</v>
      </c>
      <c r="L215" s="14">
        <f>K215*0.15</f>
        <v>668.69999999999993</v>
      </c>
      <c r="M215" s="8">
        <f>SUMIF(Journal!$A:$A,HeadJournal!$A215,Journal!$P:$P)</f>
        <v>5126.7</v>
      </c>
      <c r="N215" s="8">
        <f>SUMIF(Journal!$A:$A,HeadJournal!$A215,Journal!Q:Q)</f>
        <v>8000</v>
      </c>
      <c r="O215" s="18">
        <f>SUMIF(Journal!$A:$A,HeadJournal!$A215,Journal!U:U)</f>
        <v>2873.3</v>
      </c>
      <c r="P215" s="22">
        <f t="shared" si="31"/>
        <v>0.56045799442136268</v>
      </c>
      <c r="Q215" s="7" t="b">
        <f t="shared" si="33"/>
        <v>1</v>
      </c>
      <c r="R215" s="73">
        <f t="shared" si="32"/>
        <v>0.13043478260869565</v>
      </c>
    </row>
    <row r="216" spans="1:18" x14ac:dyDescent="0.25">
      <c r="A216" s="12" t="s">
        <v>707</v>
      </c>
      <c r="B216" s="12"/>
      <c r="C216" s="12" t="s">
        <v>1395</v>
      </c>
      <c r="D216" s="12" t="s">
        <v>714</v>
      </c>
      <c r="E216" s="12" t="s">
        <v>1369</v>
      </c>
      <c r="F216" s="12"/>
      <c r="G216" s="13">
        <v>45048</v>
      </c>
      <c r="H216" s="14">
        <v>1</v>
      </c>
      <c r="I216" s="14">
        <f>50+188.69</f>
        <v>238.69</v>
      </c>
      <c r="J216" s="8">
        <f>SUMIF(Journal!$A:$A,HeadJournal!$A216,Journal!$K:$K)+SUMIF(Journal!$A:$A,HeadJournal!$A216,Journal!$L:$L)+SUMIF(Journal!$A:$A,HeadJournal!$A216,Journal!$M:$M)</f>
        <v>9623.4</v>
      </c>
      <c r="K216" s="14">
        <v>9623.4</v>
      </c>
      <c r="L216" s="14">
        <v>200</v>
      </c>
      <c r="M216" s="8">
        <f>SUMIF(Journal!$A:$A,HeadJournal!$A216,Journal!$P:$P)</f>
        <v>9823.4000000000015</v>
      </c>
      <c r="N216" s="8">
        <f>SUMIF(Journal!$A:$A,HeadJournal!$A216,Journal!Q:Q)</f>
        <v>13350</v>
      </c>
      <c r="O216" s="18">
        <f>SUMIF(Journal!$A:$A,HeadJournal!$A216,Journal!U:U)</f>
        <v>3526.5999999999995</v>
      </c>
      <c r="P216" s="22">
        <f t="shared" si="31"/>
        <v>0.35899993892135096</v>
      </c>
      <c r="Q216" s="7" t="b">
        <f t="shared" si="33"/>
        <v>1</v>
      </c>
      <c r="R216" s="73">
        <f t="shared" si="32"/>
        <v>2.0359549646761812E-2</v>
      </c>
    </row>
    <row r="217" spans="1:18" x14ac:dyDescent="0.25">
      <c r="A217" s="12" t="s">
        <v>713</v>
      </c>
      <c r="B217" s="12"/>
      <c r="C217" s="12" t="s">
        <v>1328</v>
      </c>
      <c r="D217" s="12" t="s">
        <v>714</v>
      </c>
      <c r="E217" s="12" t="s">
        <v>1354</v>
      </c>
      <c r="F217" s="12"/>
      <c r="G217" s="13">
        <v>45058</v>
      </c>
      <c r="H217" s="14">
        <v>1</v>
      </c>
      <c r="I217" s="14">
        <v>0</v>
      </c>
      <c r="J217" s="8">
        <f>SUMIF(Journal!$A:$A,HeadJournal!$A217,Journal!$K:$K)+SUMIF(Journal!$A:$A,HeadJournal!$A217,Journal!$L:$L)+SUMIF(Journal!$A:$A,HeadJournal!$A217,Journal!$M:$M)</f>
        <v>3406</v>
      </c>
      <c r="K217" s="14">
        <f>1703*2</f>
        <v>3406</v>
      </c>
      <c r="L217" s="14">
        <f>K217*0.1</f>
        <v>340.6</v>
      </c>
      <c r="M217" s="8">
        <f>SUMIF(Journal!$A:$A,HeadJournal!$A217,Journal!$P:$P)</f>
        <v>3746.6</v>
      </c>
      <c r="N217" s="8">
        <f>SUMIF(Journal!$A:$A,HeadJournal!$A217,Journal!Q:Q)</f>
        <v>4600</v>
      </c>
      <c r="O217" s="18">
        <f>SUMIF(Journal!$A:$A,HeadJournal!$A217,Journal!U:U)</f>
        <v>853.40000000000009</v>
      </c>
      <c r="P217" s="22">
        <f t="shared" si="31"/>
        <v>0.22777985373405224</v>
      </c>
      <c r="Q217" s="7" t="b">
        <f t="shared" si="33"/>
        <v>1</v>
      </c>
      <c r="R217" s="73">
        <f t="shared" si="32"/>
        <v>9.0909090909090912E-2</v>
      </c>
    </row>
    <row r="218" spans="1:18" x14ac:dyDescent="0.25">
      <c r="A218" s="12" t="s">
        <v>716</v>
      </c>
      <c r="B218" s="124" t="s">
        <v>1418</v>
      </c>
      <c r="C218" s="12" t="s">
        <v>1737</v>
      </c>
      <c r="D218" s="12" t="s">
        <v>714</v>
      </c>
      <c r="E218" s="12" t="s">
        <v>1369</v>
      </c>
      <c r="F218" s="124" t="s">
        <v>1419</v>
      </c>
      <c r="G218" s="13">
        <v>45059</v>
      </c>
      <c r="H218" s="14">
        <f>24428.07/J218</f>
        <v>87.358545220469892</v>
      </c>
      <c r="I218" s="14">
        <f>-9.55+30.98</f>
        <v>21.43</v>
      </c>
      <c r="J218" s="8">
        <f>SUMIF(Journal!$A:$A,HeadJournal!$A218,Journal!$K:$K)+SUMIF(Journal!$A:$A,HeadJournal!$A218,Journal!$L:$L)+SUMIF(Journal!$A:$A,HeadJournal!$A218,Journal!$M:$M)</f>
        <v>279.63000000000005</v>
      </c>
      <c r="K218" s="14">
        <v>279.63</v>
      </c>
      <c r="L218" s="14">
        <f>1354.48/2+400/2+900/2</f>
        <v>1327.24</v>
      </c>
      <c r="M218" s="8">
        <f>SUMIF(Journal!$A:$A,HeadJournal!$A218,Journal!$P:$P)</f>
        <v>25755.309999999994</v>
      </c>
      <c r="N218" s="8">
        <f>SUMIF(Journal!$A:$A,HeadJournal!$A218,Journal!Q:Q)</f>
        <v>38800</v>
      </c>
      <c r="O218" s="18">
        <f>SUMIF(Journal!$A:$A,HeadJournal!$A218,Journal!U:U)</f>
        <v>13044.69000000001</v>
      </c>
      <c r="P218" s="22">
        <f t="shared" si="31"/>
        <v>0.50648545872676398</v>
      </c>
      <c r="R218" s="73">
        <f t="shared" si="32"/>
        <v>5.153267423300284E-2</v>
      </c>
    </row>
    <row r="219" spans="1:18" x14ac:dyDescent="0.25">
      <c r="A219" s="12" t="s">
        <v>725</v>
      </c>
      <c r="B219" s="124" t="s">
        <v>1420</v>
      </c>
      <c r="C219" s="12" t="s">
        <v>1735</v>
      </c>
      <c r="D219" s="12" t="s">
        <v>714</v>
      </c>
      <c r="E219" s="12" t="s">
        <v>1369</v>
      </c>
      <c r="F219" s="124" t="s">
        <v>1419</v>
      </c>
      <c r="G219" s="13">
        <v>45054</v>
      </c>
      <c r="H219" s="14">
        <f>15248.91/172.94</f>
        <v>88.174569214756559</v>
      </c>
      <c r="I219" s="14">
        <f>-8.09+21.72</f>
        <v>13.629999999999999</v>
      </c>
      <c r="J219" s="8">
        <f>SUMIF(Journal!$A:$A,HeadJournal!$A219,Journal!$K:$K)+SUMIF(Journal!$A:$A,HeadJournal!$A219,Journal!$L:$L)+SUMIF(Journal!$A:$A,HeadJournal!$A219,Journal!$M:$M)</f>
        <v>194.65999999999997</v>
      </c>
      <c r="K219" s="14">
        <v>194.66</v>
      </c>
      <c r="L219" s="14">
        <f>1354.48/2+400/2+900/2</f>
        <v>1327.24</v>
      </c>
      <c r="M219" s="8">
        <f>SUMIF(Journal!$A:$A,HeadJournal!$A219,Journal!$P:$P)</f>
        <v>18491.301643344519</v>
      </c>
      <c r="N219" s="8">
        <f>SUMIF(Journal!$A:$A,HeadJournal!$A219,Journal!Q:Q)</f>
        <v>27650</v>
      </c>
      <c r="O219" s="18">
        <f>SUMIF(Journal!$A:$A,HeadJournal!$A219,Journal!U:U)</f>
        <v>9158.6983566554845</v>
      </c>
      <c r="P219" s="22">
        <f t="shared" si="31"/>
        <v>0.49529765580087914</v>
      </c>
      <c r="R219" s="73">
        <f t="shared" si="32"/>
        <v>7.1776450657691088E-2</v>
      </c>
    </row>
    <row r="220" spans="1:18" x14ac:dyDescent="0.25">
      <c r="A220" s="12" t="s">
        <v>730</v>
      </c>
      <c r="B220" s="12"/>
      <c r="C220" s="12" t="s">
        <v>1359</v>
      </c>
      <c r="D220" s="12" t="s">
        <v>714</v>
      </c>
      <c r="E220" s="12" t="s">
        <v>1358</v>
      </c>
      <c r="F220" s="12"/>
      <c r="G220" s="13">
        <v>45067</v>
      </c>
      <c r="H220" s="14">
        <v>1</v>
      </c>
      <c r="I220" s="14">
        <v>0</v>
      </c>
      <c r="J220" s="8">
        <f>SUMIF(Journal!$A:$A,HeadJournal!$A220,Journal!$K:$K)+SUMIF(Journal!$A:$A,HeadJournal!$A220,Journal!$L:$L)+SUMIF(Journal!$A:$A,HeadJournal!$A220,Journal!$M:$M)</f>
        <v>12039.8</v>
      </c>
      <c r="K220" s="14">
        <v>12039.8</v>
      </c>
      <c r="L220" s="14">
        <v>30</v>
      </c>
      <c r="M220" s="8">
        <f>SUMIF(Journal!$A:$A,HeadJournal!$A220,Journal!$P:$P)</f>
        <v>12069.8</v>
      </c>
      <c r="N220" s="8">
        <f>SUMIF(Journal!$A:$A,HeadJournal!$A220,Journal!Q:Q)</f>
        <v>15140</v>
      </c>
      <c r="O220" s="18">
        <f>SUMIF(Journal!$A:$A,HeadJournal!$A220,Journal!U:U)</f>
        <v>3070.2</v>
      </c>
      <c r="P220" s="22">
        <f t="shared" si="31"/>
        <v>0.2543704121029346</v>
      </c>
      <c r="Q220" s="7" t="b">
        <f>J220=K220</f>
        <v>1</v>
      </c>
      <c r="R220" s="73">
        <f t="shared" si="32"/>
        <v>2.4855424282092496E-3</v>
      </c>
    </row>
    <row r="221" spans="1:18" x14ac:dyDescent="0.25">
      <c r="A221" s="12" t="s">
        <v>734</v>
      </c>
      <c r="B221" s="12"/>
      <c r="C221" s="12" t="s">
        <v>1357</v>
      </c>
      <c r="D221" s="12" t="s">
        <v>714</v>
      </c>
      <c r="E221" s="12" t="s">
        <v>1358</v>
      </c>
      <c r="F221" s="12"/>
      <c r="G221" s="13">
        <v>45065</v>
      </c>
      <c r="H221" s="14">
        <v>1</v>
      </c>
      <c r="I221" s="14">
        <v>-507.4</v>
      </c>
      <c r="J221" s="8">
        <f>SUMIF(Journal!$A:$A,HeadJournal!$A221,Journal!$K:$K)+SUMIF(Journal!$A:$A,HeadJournal!$A221,Journal!$L:$L)+SUMIF(Journal!$A:$A,HeadJournal!$A221,Journal!$M:$M)</f>
        <v>121.60000000000002</v>
      </c>
      <c r="K221" s="14">
        <v>629</v>
      </c>
      <c r="L221" s="14">
        <v>0</v>
      </c>
      <c r="M221" s="8">
        <f>SUMIF(Journal!$A:$A,HeadJournal!$A221,Journal!$P:$P)</f>
        <v>629</v>
      </c>
      <c r="N221" s="8">
        <f>SUMIF(Journal!$A:$A,HeadJournal!$A221,Journal!Q:Q)</f>
        <v>1100</v>
      </c>
      <c r="O221" s="18">
        <f>SUMIF(Journal!$A:$A,HeadJournal!$A221,Journal!U:U)</f>
        <v>471</v>
      </c>
      <c r="P221" s="22">
        <f t="shared" si="31"/>
        <v>0.74880763116057236</v>
      </c>
      <c r="Q221" s="7" t="b">
        <f>J221=K221</f>
        <v>0</v>
      </c>
      <c r="R221" s="73">
        <f t="shared" si="32"/>
        <v>0</v>
      </c>
    </row>
    <row r="222" spans="1:18" x14ac:dyDescent="0.25">
      <c r="A222" s="12" t="s">
        <v>735</v>
      </c>
      <c r="B222" s="12"/>
      <c r="C222" s="12" t="s">
        <v>1328</v>
      </c>
      <c r="D222" s="12" t="s">
        <v>714</v>
      </c>
      <c r="E222" s="12" t="s">
        <v>1354</v>
      </c>
      <c r="F222" s="12"/>
      <c r="G222" s="13">
        <v>45069</v>
      </c>
      <c r="H222" s="14">
        <v>1</v>
      </c>
      <c r="I222" s="14">
        <v>0</v>
      </c>
      <c r="J222" s="8">
        <f>SUMIF(Journal!$A:$A,HeadJournal!$A222,Journal!$K:$K)+SUMIF(Journal!$A:$A,HeadJournal!$A222,Journal!$L:$L)+SUMIF(Journal!$A:$A,HeadJournal!$A222,Journal!$M:$M)</f>
        <v>1957</v>
      </c>
      <c r="K222" s="14">
        <v>1957</v>
      </c>
      <c r="L222" s="14">
        <f>K222*0.1</f>
        <v>195.70000000000002</v>
      </c>
      <c r="M222" s="8">
        <f>SUMIF(Journal!$A:$A,HeadJournal!$A222,Journal!$P:$P)</f>
        <v>2152.6999999999998</v>
      </c>
      <c r="N222" s="8">
        <f>SUMIF(Journal!$A:$A,HeadJournal!$A222,Journal!Q:Q)</f>
        <v>3300</v>
      </c>
      <c r="O222" s="18">
        <f>SUMIF(Journal!$A:$A,HeadJournal!$A222,Journal!U:U)</f>
        <v>1147.3000000000002</v>
      </c>
      <c r="P222" s="22">
        <f t="shared" si="31"/>
        <v>0.53295861011752699</v>
      </c>
      <c r="Q222" s="7" t="b">
        <f>J222=K222</f>
        <v>1</v>
      </c>
      <c r="R222" s="73">
        <f t="shared" si="32"/>
        <v>9.0909090909090925E-2</v>
      </c>
    </row>
    <row r="223" spans="1:18" x14ac:dyDescent="0.25">
      <c r="A223" s="12" t="s">
        <v>738</v>
      </c>
      <c r="B223" s="12"/>
      <c r="C223" s="12" t="s">
        <v>1328</v>
      </c>
      <c r="D223" s="12" t="s">
        <v>714</v>
      </c>
      <c r="E223" s="12" t="s">
        <v>1354</v>
      </c>
      <c r="F223" s="12"/>
      <c r="G223" s="13">
        <v>45069</v>
      </c>
      <c r="H223" s="14">
        <v>1</v>
      </c>
      <c r="I223" s="14">
        <v>0</v>
      </c>
      <c r="J223" s="8">
        <f>SUMIF(Journal!$A:$A,HeadJournal!$A223,Journal!$K:$K)+SUMIF(Journal!$A:$A,HeadJournal!$A223,Journal!$L:$L)+SUMIF(Journal!$A:$A,HeadJournal!$A223,Journal!$M:$M)</f>
        <v>1096</v>
      </c>
      <c r="K223" s="14">
        <v>1096</v>
      </c>
      <c r="L223" s="14">
        <f>K223*0.1</f>
        <v>109.60000000000001</v>
      </c>
      <c r="M223" s="8">
        <f>SUMIF(Journal!$A:$A,HeadJournal!$A223,Journal!$P:$P)</f>
        <v>1205.5999999999999</v>
      </c>
      <c r="N223" s="8">
        <f>SUMIF(Journal!$A:$A,HeadJournal!$A223,Journal!Q:Q)</f>
        <v>1700</v>
      </c>
      <c r="O223" s="18">
        <f>SUMIF(Journal!$A:$A,HeadJournal!$A223,Journal!U:U)</f>
        <v>494.40000000000009</v>
      </c>
      <c r="P223" s="22">
        <f t="shared" si="31"/>
        <v>0.41008626410086274</v>
      </c>
      <c r="Q223" s="7" t="b">
        <f>J223=K223</f>
        <v>1</v>
      </c>
      <c r="R223" s="73">
        <f t="shared" si="32"/>
        <v>9.0909090909090925E-2</v>
      </c>
    </row>
    <row r="224" spans="1:18" x14ac:dyDescent="0.25">
      <c r="A224" s="12" t="s">
        <v>740</v>
      </c>
      <c r="B224" s="12"/>
      <c r="C224" s="12" t="s">
        <v>1328</v>
      </c>
      <c r="D224" s="12" t="s">
        <v>714</v>
      </c>
      <c r="E224" s="12" t="s">
        <v>1354</v>
      </c>
      <c r="F224" s="12"/>
      <c r="G224" s="13">
        <v>45072</v>
      </c>
      <c r="H224" s="14">
        <v>1</v>
      </c>
      <c r="I224" s="14">
        <v>0</v>
      </c>
      <c r="J224" s="8">
        <f>SUMIF(Journal!$A:$A,HeadJournal!$A224,Journal!$K:$K)+SUMIF(Journal!$A:$A,HeadJournal!$A224,Journal!$L:$L)+SUMIF(Journal!$A:$A,HeadJournal!$A224,Journal!$M:$M)</f>
        <v>6315</v>
      </c>
      <c r="K224" s="14">
        <v>6315</v>
      </c>
      <c r="L224" s="14">
        <f>K224*0.1</f>
        <v>631.5</v>
      </c>
      <c r="M224" s="8">
        <f>SUMIF(Journal!$A:$A,HeadJournal!$A224,Journal!$P:$P)</f>
        <v>6946.5</v>
      </c>
      <c r="N224" s="8">
        <f>SUMIF(Journal!$A:$A,HeadJournal!$A224,Journal!Q:Q)</f>
        <v>11900</v>
      </c>
      <c r="O224" s="18">
        <f>SUMIF(Journal!$A:$A,HeadJournal!$A224,Journal!U:U)</f>
        <v>4953.5</v>
      </c>
      <c r="P224" s="22">
        <f t="shared" si="31"/>
        <v>0.71309292449434969</v>
      </c>
      <c r="Q224" s="7" t="b">
        <f>J224=K224</f>
        <v>1</v>
      </c>
      <c r="R224" s="73">
        <f t="shared" si="32"/>
        <v>9.0909090909090912E-2</v>
      </c>
    </row>
    <row r="225" spans="1:18" x14ac:dyDescent="0.25">
      <c r="A225" s="12" t="s">
        <v>742</v>
      </c>
      <c r="B225" s="124" t="s">
        <v>1421</v>
      </c>
      <c r="C225" s="12" t="s">
        <v>1735</v>
      </c>
      <c r="D225" s="12" t="s">
        <v>714</v>
      </c>
      <c r="E225" s="12" t="s">
        <v>1369</v>
      </c>
      <c r="F225" s="124" t="s">
        <v>1422</v>
      </c>
      <c r="G225" s="13">
        <v>45072</v>
      </c>
      <c r="H225" s="14">
        <f>10937.96/122.45</f>
        <v>89.325928950592072</v>
      </c>
      <c r="I225" s="14">
        <f>14.07-10.99</f>
        <v>3.08</v>
      </c>
      <c r="J225" s="8">
        <f>SUMIF(Journal!$A:$A,HeadJournal!$A225,Journal!$K:$K)+SUMIF(Journal!$A:$A,HeadJournal!$A225,Journal!$L:$L)+SUMIF(Journal!$A:$A,HeadJournal!$A225,Journal!$M:$M)</f>
        <v>120.37000000000003</v>
      </c>
      <c r="K225" s="14">
        <v>120.37</v>
      </c>
      <c r="L225" s="14">
        <f>(906.76+500)/2+200</f>
        <v>903.38</v>
      </c>
      <c r="M225" s="8">
        <f>SUMIF(Journal!$A:$A,HeadJournal!$A225,Journal!$P:$P)</f>
        <v>11655.542067782768</v>
      </c>
      <c r="N225" s="8">
        <f>SUMIF(Journal!$A:$A,HeadJournal!$A225,Journal!Q:Q)</f>
        <v>19300</v>
      </c>
      <c r="O225" s="18">
        <f>SUMIF(Journal!$A:$A,HeadJournal!$A225,Journal!U:U)</f>
        <v>7644.4579322172349</v>
      </c>
      <c r="P225" s="22">
        <f t="shared" si="31"/>
        <v>0.65586464256753685</v>
      </c>
      <c r="R225" s="73">
        <f t="shared" si="32"/>
        <v>7.7506476725526491E-2</v>
      </c>
    </row>
    <row r="226" spans="1:18" x14ac:dyDescent="0.25">
      <c r="A226" s="12" t="s">
        <v>744</v>
      </c>
      <c r="B226" s="124" t="s">
        <v>1423</v>
      </c>
      <c r="C226" s="12" t="s">
        <v>1751</v>
      </c>
      <c r="D226" s="12" t="s">
        <v>714</v>
      </c>
      <c r="E226" s="12" t="s">
        <v>1369</v>
      </c>
      <c r="F226" s="124" t="s">
        <v>1424</v>
      </c>
      <c r="G226" s="13">
        <v>45068</v>
      </c>
      <c r="H226" s="14">
        <f>13393.02/150.09</f>
        <v>89.233260043973615</v>
      </c>
      <c r="I226" s="14">
        <f>14.92-12.67</f>
        <v>2.25</v>
      </c>
      <c r="J226" s="8">
        <f>SUMIF(Journal!$A:$A,HeadJournal!$A226,Journal!$K:$K)+SUMIF(Journal!$A:$A,HeadJournal!$A226,Journal!$L:$L)+SUMIF(Journal!$A:$A,HeadJournal!$A226,Journal!$M:$M)</f>
        <v>124.04999999999997</v>
      </c>
      <c r="K226" s="14">
        <v>124.04999999999997</v>
      </c>
      <c r="L226" s="14">
        <f>2255/2+400/2</f>
        <v>1327.5</v>
      </c>
      <c r="M226" s="8">
        <f>SUMIF(Journal!$A:$A,HeadJournal!$A226,Journal!$P:$P)</f>
        <v>12396.885908454926</v>
      </c>
      <c r="N226" s="8">
        <f>SUMIF(Journal!$A:$A,HeadJournal!$A226,Journal!Q:Q)</f>
        <v>22421.449999999997</v>
      </c>
      <c r="O226" s="18">
        <f>SUMIF(Journal!$A:$A,HeadJournal!$A226,Journal!U:U)</f>
        <v>10024.564091545075</v>
      </c>
      <c r="P226" s="22">
        <f t="shared" si="31"/>
        <v>0.80863566588994096</v>
      </c>
      <c r="R226" s="73">
        <f t="shared" si="32"/>
        <v>0.10708334414004878</v>
      </c>
    </row>
    <row r="227" spans="1:18" x14ac:dyDescent="0.25">
      <c r="A227" s="12" t="s">
        <v>749</v>
      </c>
      <c r="B227" s="124" t="s">
        <v>1425</v>
      </c>
      <c r="C227" s="12" t="s">
        <v>1751</v>
      </c>
      <c r="D227" s="12" t="s">
        <v>714</v>
      </c>
      <c r="E227" s="12" t="s">
        <v>1369</v>
      </c>
      <c r="F227" s="124" t="s">
        <v>1424</v>
      </c>
      <c r="G227" s="13">
        <v>45073</v>
      </c>
      <c r="H227" s="14">
        <f>13163.74/147.64</f>
        <v>89.161067461392577</v>
      </c>
      <c r="I227" s="14">
        <f>16.92-10.26</f>
        <v>6.6600000000000019</v>
      </c>
      <c r="J227" s="8">
        <f>SUMIF(Journal!$A:$A,HeadJournal!$A227,Journal!$K:$K)+SUMIF(Journal!$A:$A,HeadJournal!$A227,Journal!$L:$L)+SUMIF(Journal!$A:$A,HeadJournal!$A227,Journal!$M:$M)</f>
        <v>147.64000000000007</v>
      </c>
      <c r="K227" s="14">
        <v>147.63999999999999</v>
      </c>
      <c r="L227" s="14">
        <f>2255/2+400/2</f>
        <v>1327.5</v>
      </c>
      <c r="M227" s="8">
        <f>SUMIF(Journal!$A:$A,HeadJournal!$A227,Journal!$P:$P)</f>
        <v>14491.239999999993</v>
      </c>
      <c r="N227" s="8">
        <f>SUMIF(Journal!$A:$A,HeadJournal!$A227,Journal!Q:Q)</f>
        <v>27800</v>
      </c>
      <c r="O227" s="18">
        <f>SUMIF(Journal!$A:$A,HeadJournal!$A227,Journal!U:U)</f>
        <v>13308.760000000007</v>
      </c>
      <c r="P227" s="22">
        <f t="shared" si="31"/>
        <v>0.9184003577333627</v>
      </c>
      <c r="R227" s="73">
        <f t="shared" si="32"/>
        <v>9.1607067442123699E-2</v>
      </c>
    </row>
    <row r="228" spans="1:18" x14ac:dyDescent="0.25">
      <c r="A228" s="12" t="s">
        <v>3512</v>
      </c>
      <c r="B228" s="12"/>
      <c r="C228" s="12" t="s">
        <v>1368</v>
      </c>
      <c r="D228" s="12" t="s">
        <v>714</v>
      </c>
      <c r="E228" s="12" t="s">
        <v>1369</v>
      </c>
      <c r="F228" s="12"/>
      <c r="G228" s="13">
        <v>45058</v>
      </c>
      <c r="H228" s="74">
        <f>19653.7/K228</f>
        <v>0.17502003668940461</v>
      </c>
      <c r="I228" s="14">
        <v>0</v>
      </c>
      <c r="J228" s="8">
        <f>SUMIF(Journal!$A:$A,HeadJournal!$A228,Journal!$K:$K)+SUMIF(Journal!$A:$A,HeadJournal!$A228,Journal!$L:$L)+SUMIF(Journal!$A:$A,HeadJournal!$A228,Journal!$M:$M)</f>
        <v>110092</v>
      </c>
      <c r="K228" s="14">
        <v>112294</v>
      </c>
      <c r="L228" s="14">
        <v>437</v>
      </c>
      <c r="M228" s="8">
        <f>SUMIF(Journal!$A:$A,HeadJournal!$A228,Journal!$P:$P)</f>
        <v>20090.7</v>
      </c>
      <c r="N228" s="8">
        <f>SUMIF(Journal!$A:$A,HeadJournal!$A228,Journal!Q:Q)</f>
        <v>23518.46</v>
      </c>
      <c r="O228" s="18">
        <f>SUMIF(Journal!$A:$A,HeadJournal!$A228,Journal!U:U)</f>
        <v>3427.7599999999993</v>
      </c>
      <c r="P228" s="22">
        <f t="shared" si="31"/>
        <v>0.17061426431134799</v>
      </c>
      <c r="Q228" s="7" t="b">
        <f t="shared" ref="Q228:Q236" si="34">J228=K228</f>
        <v>0</v>
      </c>
      <c r="R228" s="73">
        <f t="shared" si="32"/>
        <v>2.175135759331432E-2</v>
      </c>
    </row>
    <row r="229" spans="1:18" x14ac:dyDescent="0.25">
      <c r="A229" s="12" t="s">
        <v>753</v>
      </c>
      <c r="B229" s="12"/>
      <c r="C229" s="12" t="s">
        <v>1328</v>
      </c>
      <c r="D229" s="12" t="s">
        <v>714</v>
      </c>
      <c r="E229" s="12" t="s">
        <v>1354</v>
      </c>
      <c r="F229" s="12"/>
      <c r="G229" s="13">
        <v>45077</v>
      </c>
      <c r="H229" s="14">
        <v>1</v>
      </c>
      <c r="I229" s="14">
        <v>0</v>
      </c>
      <c r="J229" s="8">
        <f>SUMIF(Journal!$A:$A,HeadJournal!$A229,Journal!$K:$K)+SUMIF(Journal!$A:$A,HeadJournal!$A229,Journal!$L:$L)+SUMIF(Journal!$A:$A,HeadJournal!$A229,Journal!$M:$M)</f>
        <v>1515</v>
      </c>
      <c r="K229" s="14">
        <v>1515</v>
      </c>
      <c r="L229" s="14">
        <f>K229*0.1</f>
        <v>151.5</v>
      </c>
      <c r="M229" s="8">
        <f>SUMIF(Journal!$A:$A,HeadJournal!$A229,Journal!$P:$P)</f>
        <v>1666.5</v>
      </c>
      <c r="N229" s="8">
        <f>SUMIF(Journal!$A:$A,HeadJournal!$A229,Journal!Q:Q)</f>
        <v>5100</v>
      </c>
      <c r="O229" s="18">
        <f>SUMIF(Journal!$A:$A,HeadJournal!$A229,Journal!U:U)</f>
        <v>3433.5</v>
      </c>
      <c r="P229" s="22">
        <f t="shared" si="31"/>
        <v>2.0603060306030603</v>
      </c>
      <c r="Q229" s="7" t="b">
        <f t="shared" si="34"/>
        <v>1</v>
      </c>
      <c r="R229" s="73">
        <f t="shared" si="32"/>
        <v>9.0909090909090912E-2</v>
      </c>
    </row>
    <row r="230" spans="1:18" x14ac:dyDescent="0.25">
      <c r="A230" s="12" t="s">
        <v>755</v>
      </c>
      <c r="B230" s="12"/>
      <c r="C230" s="12" t="s">
        <v>1328</v>
      </c>
      <c r="D230" s="12" t="s">
        <v>714</v>
      </c>
      <c r="E230" s="12" t="s">
        <v>1354</v>
      </c>
      <c r="F230" s="12"/>
      <c r="G230" s="13">
        <v>45079</v>
      </c>
      <c r="H230" s="14">
        <v>1</v>
      </c>
      <c r="I230" s="14">
        <v>0</v>
      </c>
      <c r="J230" s="8">
        <f>SUMIF(Journal!$A:$A,HeadJournal!$A230,Journal!$K:$K)+SUMIF(Journal!$A:$A,HeadJournal!$A230,Journal!$L:$L)+SUMIF(Journal!$A:$A,HeadJournal!$A230,Journal!$M:$M)</f>
        <v>2156</v>
      </c>
      <c r="K230" s="14">
        <v>2156</v>
      </c>
      <c r="L230" s="14">
        <f>K230*0.1</f>
        <v>215.60000000000002</v>
      </c>
      <c r="M230" s="8">
        <f>SUMIF(Journal!$A:$A,HeadJournal!$A230,Journal!$P:$P)</f>
        <v>2371.6</v>
      </c>
      <c r="N230" s="8">
        <f>SUMIF(Journal!$A:$A,HeadJournal!$A230,Journal!Q:Q)</f>
        <v>3000</v>
      </c>
      <c r="O230" s="18">
        <f>SUMIF(Journal!$A:$A,HeadJournal!$A230,Journal!U:U)</f>
        <v>628.40000000000009</v>
      </c>
      <c r="P230" s="22">
        <f t="shared" si="31"/>
        <v>0.26496879743632995</v>
      </c>
      <c r="Q230" s="7" t="b">
        <f t="shared" si="34"/>
        <v>1</v>
      </c>
      <c r="R230" s="73">
        <f t="shared" si="32"/>
        <v>9.0909090909090925E-2</v>
      </c>
    </row>
    <row r="231" spans="1:18" x14ac:dyDescent="0.25">
      <c r="A231" s="12" t="s">
        <v>756</v>
      </c>
      <c r="B231" s="12"/>
      <c r="C231" s="12" t="s">
        <v>1395</v>
      </c>
      <c r="D231" s="12" t="s">
        <v>714</v>
      </c>
      <c r="E231" s="12" t="s">
        <v>1369</v>
      </c>
      <c r="F231" s="12"/>
      <c r="G231" s="13">
        <v>45072</v>
      </c>
      <c r="H231" s="14">
        <v>1</v>
      </c>
      <c r="I231" s="14">
        <f>50+102.94</f>
        <v>152.94</v>
      </c>
      <c r="J231" s="8">
        <f>SUMIF(Journal!$A:$A,HeadJournal!$A231,Journal!$K:$K)+SUMIF(Journal!$A:$A,HeadJournal!$A231,Journal!$L:$L)+SUMIF(Journal!$A:$A,HeadJournal!$A231,Journal!$M:$M)</f>
        <v>5250.23</v>
      </c>
      <c r="K231" s="14">
        <v>5250.23</v>
      </c>
      <c r="L231" s="14">
        <v>200</v>
      </c>
      <c r="M231" s="8">
        <f>SUMIF(Journal!$A:$A,HeadJournal!$A231,Journal!$P:$P)</f>
        <v>5450.2300000000005</v>
      </c>
      <c r="N231" s="8">
        <f>SUMIF(Journal!$A:$A,HeadJournal!$A231,Journal!Q:Q)</f>
        <v>8150</v>
      </c>
      <c r="O231" s="18">
        <f>SUMIF(Journal!$A:$A,HeadJournal!$A231,Journal!U:U)</f>
        <v>2699.7699999999995</v>
      </c>
      <c r="P231" s="22">
        <f t="shared" si="31"/>
        <v>0.49534973753401218</v>
      </c>
      <c r="Q231" s="7" t="b">
        <f t="shared" si="34"/>
        <v>1</v>
      </c>
      <c r="R231" s="73">
        <f t="shared" si="32"/>
        <v>3.6695699080589256E-2</v>
      </c>
    </row>
    <row r="232" spans="1:18" x14ac:dyDescent="0.25">
      <c r="A232" s="12" t="s">
        <v>759</v>
      </c>
      <c r="B232" s="12"/>
      <c r="C232" s="12" t="s">
        <v>1328</v>
      </c>
      <c r="D232" s="12" t="s">
        <v>714</v>
      </c>
      <c r="E232" s="12" t="s">
        <v>1354</v>
      </c>
      <c r="F232" s="12"/>
      <c r="G232" s="13">
        <v>45085</v>
      </c>
      <c r="H232" s="14">
        <v>1</v>
      </c>
      <c r="I232" s="14">
        <v>0</v>
      </c>
      <c r="J232" s="8">
        <f>SUMIF(Journal!$A:$A,HeadJournal!$A232,Journal!$K:$K)+SUMIF(Journal!$A:$A,HeadJournal!$A232,Journal!$L:$L)+SUMIF(Journal!$A:$A,HeadJournal!$A232,Journal!$M:$M)</f>
        <v>1037</v>
      </c>
      <c r="K232" s="14">
        <v>1037</v>
      </c>
      <c r="L232" s="14">
        <f>K232*0.1</f>
        <v>103.7</v>
      </c>
      <c r="M232" s="8">
        <f>SUMIF(Journal!$A:$A,HeadJournal!$A232,Journal!$P:$P)</f>
        <v>1140.7</v>
      </c>
      <c r="N232" s="8">
        <f>SUMIF(Journal!$A:$A,HeadJournal!$A232,Journal!Q:Q)</f>
        <v>2000</v>
      </c>
      <c r="O232" s="18">
        <f>SUMIF(Journal!$A:$A,HeadJournal!$A232,Journal!U:U)</f>
        <v>859.3</v>
      </c>
      <c r="P232" s="22">
        <f t="shared" si="31"/>
        <v>0.75330937143859023</v>
      </c>
      <c r="Q232" s="7" t="b">
        <f t="shared" si="34"/>
        <v>1</v>
      </c>
      <c r="R232" s="73">
        <f t="shared" si="32"/>
        <v>9.0909090909090912E-2</v>
      </c>
    </row>
    <row r="233" spans="1:18" x14ac:dyDescent="0.25">
      <c r="A233" s="12" t="s">
        <v>3513</v>
      </c>
      <c r="B233" s="12"/>
      <c r="C233" s="12" t="s">
        <v>1368</v>
      </c>
      <c r="D233" s="12" t="s">
        <v>714</v>
      </c>
      <c r="E233" s="12" t="s">
        <v>1369</v>
      </c>
      <c r="F233" s="12"/>
      <c r="G233" s="13">
        <v>45096</v>
      </c>
      <c r="H233" s="74">
        <f>19051.46/K233</f>
        <v>0.18957997074423094</v>
      </c>
      <c r="I233" s="14">
        <v>0</v>
      </c>
      <c r="J233" s="8">
        <f>SUMIF(Journal!$A:$A,HeadJournal!$A233,Journal!$K:$K)+SUMIF(Journal!$A:$A,HeadJournal!$A233,Journal!$L:$L)+SUMIF(Journal!$A:$A,HeadJournal!$A233,Journal!$M:$M)</f>
        <v>98523</v>
      </c>
      <c r="K233" s="14">
        <v>100493</v>
      </c>
      <c r="L233" s="14">
        <f>454.49+400</f>
        <v>854.49</v>
      </c>
      <c r="M233" s="8">
        <f>SUMIF(Journal!$A:$A,HeadJournal!$A233,Journal!$P:$P)</f>
        <v>19905.950000000004</v>
      </c>
      <c r="N233" s="8">
        <f>SUMIF(Journal!$A:$A,HeadJournal!$A233,Journal!Q:Q)</f>
        <v>25261.119999999999</v>
      </c>
      <c r="O233" s="18">
        <f>SUMIF(Journal!$A:$A,HeadJournal!$A233,Journal!U:U)</f>
        <v>5355.1699999999983</v>
      </c>
      <c r="P233" s="22">
        <f t="shared" si="31"/>
        <v>0.26902358340094279</v>
      </c>
      <c r="Q233" s="7" t="b">
        <f t="shared" si="34"/>
        <v>0</v>
      </c>
      <c r="R233" s="73">
        <f t="shared" si="32"/>
        <v>4.2926361213606976E-2</v>
      </c>
    </row>
    <row r="234" spans="1:18" x14ac:dyDescent="0.25">
      <c r="A234" s="12" t="s">
        <v>761</v>
      </c>
      <c r="B234" s="12"/>
      <c r="C234" s="12" t="s">
        <v>1426</v>
      </c>
      <c r="D234" s="12" t="s">
        <v>714</v>
      </c>
      <c r="E234" s="12" t="s">
        <v>1369</v>
      </c>
      <c r="F234" s="12"/>
      <c r="G234" s="13">
        <v>45093</v>
      </c>
      <c r="H234" s="14">
        <v>1</v>
      </c>
      <c r="I234" s="14">
        <v>521.19000000000005</v>
      </c>
      <c r="J234" s="8">
        <f>SUMIF(Journal!$A:$A,HeadJournal!$A234,Journal!$K:$K)+SUMIF(Journal!$A:$A,HeadJournal!$A234,Journal!$L:$L)+SUMIF(Journal!$A:$A,HeadJournal!$A234,Journal!$M:$M)</f>
        <v>24030.899999999998</v>
      </c>
      <c r="K234" s="14">
        <v>24030.89</v>
      </c>
      <c r="L234" s="14">
        <f>200</f>
        <v>200</v>
      </c>
      <c r="M234" s="8">
        <f>SUMIF(Journal!$A:$A,HeadJournal!$A234,Journal!$P:$P)</f>
        <v>24230.89</v>
      </c>
      <c r="N234" s="8">
        <f>SUMIF(Journal!$A:$A,HeadJournal!$A234,Journal!Q:Q)</f>
        <v>32912.300000000003</v>
      </c>
      <c r="O234" s="18">
        <f>SUMIF(Journal!$A:$A,HeadJournal!$A234,Journal!U:U)</f>
        <v>8681.41</v>
      </c>
      <c r="P234" s="22">
        <f t="shared" si="31"/>
        <v>0.35827862699224006</v>
      </c>
      <c r="Q234" s="7" t="b">
        <f t="shared" si="34"/>
        <v>0</v>
      </c>
      <c r="R234" s="73">
        <f t="shared" si="32"/>
        <v>8.2539271153473943E-3</v>
      </c>
    </row>
    <row r="235" spans="1:18" x14ac:dyDescent="0.25">
      <c r="A235" s="12" t="s">
        <v>767</v>
      </c>
      <c r="B235" s="12"/>
      <c r="C235" s="12" t="s">
        <v>1357</v>
      </c>
      <c r="D235" s="12" t="s">
        <v>714</v>
      </c>
      <c r="E235" s="12" t="s">
        <v>1358</v>
      </c>
      <c r="F235" s="12"/>
      <c r="G235" s="13">
        <v>45096</v>
      </c>
      <c r="H235" s="14">
        <v>1</v>
      </c>
      <c r="I235" s="14">
        <v>0</v>
      </c>
      <c r="J235" s="8">
        <f>SUMIF(Journal!$A:$A,HeadJournal!$A235,Journal!$K:$K)+SUMIF(Journal!$A:$A,HeadJournal!$A235,Journal!$L:$L)+SUMIF(Journal!$A:$A,HeadJournal!$A235,Journal!$M:$M)</f>
        <v>2664</v>
      </c>
      <c r="K235" s="14">
        <v>2700</v>
      </c>
      <c r="L235" s="14">
        <v>0</v>
      </c>
      <c r="M235" s="8">
        <f>SUMIF(Journal!$A:$A,HeadJournal!$A235,Journal!$P:$P)</f>
        <v>2700</v>
      </c>
      <c r="N235" s="8">
        <f>SUMIF(Journal!$A:$A,HeadJournal!$A235,Journal!Q:Q)</f>
        <v>3500</v>
      </c>
      <c r="O235" s="18">
        <f>SUMIF(Journal!$A:$A,HeadJournal!$A235,Journal!U:U)</f>
        <v>800</v>
      </c>
      <c r="P235" s="22">
        <f t="shared" si="31"/>
        <v>0.29629629629629628</v>
      </c>
      <c r="Q235" s="7" t="b">
        <f t="shared" si="34"/>
        <v>0</v>
      </c>
      <c r="R235" s="73">
        <f t="shared" si="32"/>
        <v>0</v>
      </c>
    </row>
    <row r="236" spans="1:18" x14ac:dyDescent="0.25">
      <c r="A236" s="12" t="s">
        <v>768</v>
      </c>
      <c r="B236" s="124" t="s">
        <v>1427</v>
      </c>
      <c r="C236" s="12" t="s">
        <v>1752</v>
      </c>
      <c r="D236" s="12" t="s">
        <v>714</v>
      </c>
      <c r="E236" s="12" t="s">
        <v>1369</v>
      </c>
      <c r="F236" s="124" t="s">
        <v>1428</v>
      </c>
      <c r="G236" s="13">
        <v>45095</v>
      </c>
      <c r="H236" s="14">
        <f>15433.49/J236</f>
        <v>93.490974073176645</v>
      </c>
      <c r="I236" s="14">
        <f>20.04-21.96</f>
        <v>-1.9200000000000017</v>
      </c>
      <c r="J236" s="8">
        <f>SUMIF(Journal!$A:$A,HeadJournal!$A236,Journal!$K:$K)+SUMIF(Journal!$A:$A,HeadJournal!$A236,Journal!$L:$L)+SUMIF(Journal!$A:$A,HeadJournal!$A236,Journal!$M:$M)</f>
        <v>165.07999999999998</v>
      </c>
      <c r="K236" s="14">
        <v>165.08</v>
      </c>
      <c r="L236" s="14">
        <f>(600+200+1002.7)/2</f>
        <v>901.35</v>
      </c>
      <c r="M236" s="8">
        <f>SUMIF(Journal!$A:$A,HeadJournal!$A236,Journal!$P:$P)</f>
        <v>16334.840000000004</v>
      </c>
      <c r="N236" s="8">
        <f>SUMIF(Journal!$A:$A,HeadJournal!$A236,Journal!Q:Q)</f>
        <v>23700</v>
      </c>
      <c r="O236" s="18">
        <f>SUMIF(Journal!$A:$A,HeadJournal!$A236,Journal!U:U)</f>
        <v>7365.1599999999953</v>
      </c>
      <c r="P236" s="22">
        <f t="shared" si="31"/>
        <v>0.4508865712795469</v>
      </c>
      <c r="Q236" s="7" t="b">
        <f t="shared" si="34"/>
        <v>1</v>
      </c>
      <c r="R236" s="73">
        <f t="shared" si="32"/>
        <v>5.5179603840625299E-2</v>
      </c>
    </row>
    <row r="237" spans="1:18" x14ac:dyDescent="0.25">
      <c r="A237" s="12" t="s">
        <v>771</v>
      </c>
      <c r="B237" s="124" t="s">
        <v>1429</v>
      </c>
      <c r="C237" s="12" t="s">
        <v>1737</v>
      </c>
      <c r="D237" s="12" t="s">
        <v>714</v>
      </c>
      <c r="E237" s="12" t="s">
        <v>1369</v>
      </c>
      <c r="F237" s="124" t="s">
        <v>1428</v>
      </c>
      <c r="G237" s="13">
        <v>45092</v>
      </c>
      <c r="H237" s="14">
        <f>22650.91/J237</f>
        <v>92.566040049039643</v>
      </c>
      <c r="I237" s="14">
        <f>27.45-11.53</f>
        <v>15.92</v>
      </c>
      <c r="J237" s="8">
        <f>SUMIF(Journal!$A:$A,HeadJournal!$A237,Journal!$K:$K)+SUMIF(Journal!$A:$A,HeadJournal!$A237,Journal!$L:$L)+SUMIF(Journal!$A:$A,HeadJournal!$A237,Journal!$M:$M)</f>
        <v>244.7</v>
      </c>
      <c r="K237" s="14">
        <v>244.7</v>
      </c>
      <c r="L237" s="14">
        <f>(600+200+1002.7)/2</f>
        <v>901.35</v>
      </c>
      <c r="M237" s="8">
        <f>SUMIF(Journal!$A:$A,HeadJournal!$A237,Journal!$P:$P)</f>
        <v>23552.26</v>
      </c>
      <c r="N237" s="8">
        <f>SUMIF(Journal!$A:$A,HeadJournal!$A237,Journal!Q:Q)</f>
        <v>35900</v>
      </c>
      <c r="O237" s="18">
        <f>SUMIF(Journal!$A:$A,HeadJournal!$A237,Journal!U:U)</f>
        <v>12347.74</v>
      </c>
      <c r="P237" s="22">
        <f t="shared" si="31"/>
        <v>0.52426985775462742</v>
      </c>
      <c r="R237" s="73">
        <f t="shared" si="32"/>
        <v>3.8270212709948008E-2</v>
      </c>
    </row>
    <row r="238" spans="1:18" x14ac:dyDescent="0.25">
      <c r="A238" s="12" t="s">
        <v>776</v>
      </c>
      <c r="B238" s="124" t="s">
        <v>1430</v>
      </c>
      <c r="C238" s="12" t="s">
        <v>1751</v>
      </c>
      <c r="D238" s="12" t="s">
        <v>714</v>
      </c>
      <c r="E238" s="12" t="s">
        <v>1369</v>
      </c>
      <c r="F238" s="124" t="s">
        <v>1422</v>
      </c>
      <c r="G238" s="13">
        <v>45088</v>
      </c>
      <c r="H238" s="14">
        <f>13863.47/J238</f>
        <v>91.45372386041295</v>
      </c>
      <c r="I238" s="14">
        <f>18.45-20.63</f>
        <v>-2.1799999999999997</v>
      </c>
      <c r="J238" s="8">
        <f>SUMIF(Journal!$A:$A,HeadJournal!$A238,Journal!$K:$K)+SUMIF(Journal!$A:$A,HeadJournal!$A238,Journal!$L:$L)+SUMIF(Journal!$A:$A,HeadJournal!$A238,Journal!$M:$M)</f>
        <v>151.59</v>
      </c>
      <c r="K238" s="14">
        <v>151.59</v>
      </c>
      <c r="L238" s="14">
        <f>(906.76+500)/2+200</f>
        <v>903.38</v>
      </c>
      <c r="M238" s="8">
        <f>SUMIF(Journal!$A:$A,HeadJournal!$A238,Journal!$P:$P)</f>
        <v>14766.849999999999</v>
      </c>
      <c r="N238" s="8">
        <f>SUMIF(Journal!$A:$A,HeadJournal!$A238,Journal!Q:Q)</f>
        <v>20300</v>
      </c>
      <c r="O238" s="18">
        <f>SUMIF(Journal!$A:$A,HeadJournal!$A238,Journal!U:U)</f>
        <v>5533.1500000000005</v>
      </c>
      <c r="P238" s="22">
        <f t="shared" si="31"/>
        <v>0.37470076556611609</v>
      </c>
      <c r="R238" s="73">
        <f t="shared" si="32"/>
        <v>6.1176215645178222E-2</v>
      </c>
    </row>
    <row r="239" spans="1:18" x14ac:dyDescent="0.25">
      <c r="A239" s="12" t="s">
        <v>788</v>
      </c>
      <c r="B239" s="12"/>
      <c r="C239" s="12" t="s">
        <v>843</v>
      </c>
      <c r="D239" s="12" t="s">
        <v>714</v>
      </c>
      <c r="E239" s="12" t="s">
        <v>1354</v>
      </c>
      <c r="F239" s="12"/>
      <c r="G239" s="13">
        <v>45098</v>
      </c>
      <c r="H239" s="14">
        <v>1</v>
      </c>
      <c r="I239" s="14">
        <v>0</v>
      </c>
      <c r="J239" s="8">
        <f>SUMIF(Journal!$A:$A,HeadJournal!$A239,Journal!$K:$K)+SUMIF(Journal!$A:$A,HeadJournal!$A239,Journal!$L:$L)+SUMIF(Journal!$A:$A,HeadJournal!$A239,Journal!$M:$M)</f>
        <v>2244</v>
      </c>
      <c r="K239" s="14">
        <v>2244</v>
      </c>
      <c r="L239" s="14">
        <f>K239*0.1</f>
        <v>224.4</v>
      </c>
      <c r="M239" s="8">
        <f>SUMIF(Journal!$A:$A,HeadJournal!$A239,Journal!$P:$P)</f>
        <v>2468.4</v>
      </c>
      <c r="N239" s="8">
        <f>SUMIF(Journal!$A:$A,HeadJournal!$A239,Journal!Q:Q)</f>
        <v>3300</v>
      </c>
      <c r="O239" s="18">
        <f>SUMIF(Journal!$A:$A,HeadJournal!$A239,Journal!U:U)</f>
        <v>831.60000000000014</v>
      </c>
      <c r="P239" s="22">
        <f t="shared" si="31"/>
        <v>0.3368983957219252</v>
      </c>
      <c r="Q239" s="7" t="b">
        <f>J239=K239</f>
        <v>1</v>
      </c>
      <c r="R239" s="73">
        <f t="shared" si="32"/>
        <v>9.0909090909090912E-2</v>
      </c>
    </row>
    <row r="240" spans="1:18" x14ac:dyDescent="0.25">
      <c r="A240" s="12" t="s">
        <v>793</v>
      </c>
      <c r="B240" s="12"/>
      <c r="C240" s="12" t="s">
        <v>843</v>
      </c>
      <c r="D240" s="12" t="s">
        <v>714</v>
      </c>
      <c r="E240" s="12" t="s">
        <v>1354</v>
      </c>
      <c r="F240" s="12"/>
      <c r="G240" s="13">
        <v>45098</v>
      </c>
      <c r="H240" s="14">
        <v>1</v>
      </c>
      <c r="I240" s="14">
        <v>0</v>
      </c>
      <c r="J240" s="8">
        <f>SUMIF(Journal!$A:$A,HeadJournal!$A240,Journal!$K:$K)+SUMIF(Journal!$A:$A,HeadJournal!$A240,Journal!$L:$L)+SUMIF(Journal!$A:$A,HeadJournal!$A240,Journal!$M:$M)</f>
        <v>1880</v>
      </c>
      <c r="K240" s="14">
        <f>940*2</f>
        <v>1880</v>
      </c>
      <c r="L240" s="14">
        <f>K240*0.1</f>
        <v>188</v>
      </c>
      <c r="M240" s="8">
        <f>SUMIF(Journal!$A:$A,HeadJournal!$A240,Journal!$P:$P)</f>
        <v>2068</v>
      </c>
      <c r="N240" s="8">
        <f>SUMIF(Journal!$A:$A,HeadJournal!$A240,Journal!Q:Q)</f>
        <v>3700</v>
      </c>
      <c r="O240" s="18">
        <f>SUMIF(Journal!$A:$A,HeadJournal!$A240,Journal!U:U)</f>
        <v>1632</v>
      </c>
      <c r="P240" s="22">
        <f t="shared" si="31"/>
        <v>0.78916827852998062</v>
      </c>
      <c r="Q240" s="7" t="b">
        <f>J240=K240</f>
        <v>1</v>
      </c>
      <c r="R240" s="73">
        <f t="shared" si="32"/>
        <v>9.0909090909090912E-2</v>
      </c>
    </row>
    <row r="241" spans="1:18" x14ac:dyDescent="0.25">
      <c r="A241" s="12" t="s">
        <v>795</v>
      </c>
      <c r="B241" s="41" t="s">
        <v>1431</v>
      </c>
      <c r="C241" s="12" t="s">
        <v>1751</v>
      </c>
      <c r="D241" s="12" t="s">
        <v>714</v>
      </c>
      <c r="E241" s="12" t="s">
        <v>1369</v>
      </c>
      <c r="F241" s="41" t="s">
        <v>1432</v>
      </c>
      <c r="G241" s="13">
        <v>45105</v>
      </c>
      <c r="H241" s="14">
        <f>16877.81/J241</f>
        <v>92.893444878639428</v>
      </c>
      <c r="I241" s="14">
        <f>20.22-7</f>
        <v>13.219999999999999</v>
      </c>
      <c r="J241" s="8">
        <f>SUMIF(Journal!$A:$A,HeadJournal!$A241,Journal!$K:$K)+SUMIF(Journal!$A:$A,HeadJournal!$A241,Journal!$L:$L)+SUMIF(Journal!$A:$A,HeadJournal!$A241,Journal!$M:$M)</f>
        <v>181.69000000000003</v>
      </c>
      <c r="K241" s="14">
        <v>181.69</v>
      </c>
      <c r="L241" s="14">
        <f>(700+400+1119.96)/2</f>
        <v>1109.98</v>
      </c>
      <c r="M241" s="8">
        <f>SUMIF(Journal!$A:$A,HeadJournal!$A241,Journal!$P:$P)</f>
        <v>17987.789999999997</v>
      </c>
      <c r="N241" s="8">
        <f>SUMIF(Journal!$A:$A,HeadJournal!$A241,Journal!Q:Q)</f>
        <v>29900</v>
      </c>
      <c r="O241" s="18">
        <f>SUMIF(Journal!$A:$A,HeadJournal!$A241,Journal!U:U)</f>
        <v>11912.210000000005</v>
      </c>
      <c r="P241" s="22">
        <f t="shared" si="31"/>
        <v>0.66223866300418266</v>
      </c>
      <c r="R241" s="73">
        <f t="shared" si="32"/>
        <v>6.1707413751216807E-2</v>
      </c>
    </row>
    <row r="242" spans="1:18" x14ac:dyDescent="0.25">
      <c r="A242" s="12" t="s">
        <v>800</v>
      </c>
      <c r="B242" s="12"/>
      <c r="C242" s="12" t="s">
        <v>843</v>
      </c>
      <c r="D242" s="12" t="s">
        <v>714</v>
      </c>
      <c r="E242" s="12" t="s">
        <v>1354</v>
      </c>
      <c r="F242" s="12"/>
      <c r="G242" s="13">
        <v>45100</v>
      </c>
      <c r="H242" s="14">
        <v>1</v>
      </c>
      <c r="I242" s="14">
        <v>0</v>
      </c>
      <c r="J242" s="8">
        <f>SUMIF(Journal!$A:$A,HeadJournal!$A242,Journal!$K:$K)+SUMIF(Journal!$A:$A,HeadJournal!$A242,Journal!$L:$L)+SUMIF(Journal!$A:$A,HeadJournal!$A242,Journal!$M:$M)</f>
        <v>2479</v>
      </c>
      <c r="K242" s="14">
        <v>2479</v>
      </c>
      <c r="L242" s="14">
        <f t="shared" ref="L242:L248" si="35">K242*0.1</f>
        <v>247.9</v>
      </c>
      <c r="M242" s="8">
        <f>SUMIF(Journal!$A:$A,HeadJournal!$A242,Journal!$P:$P)</f>
        <v>2726.9</v>
      </c>
      <c r="N242" s="8">
        <f>SUMIF(Journal!$A:$A,HeadJournal!$A242,Journal!Q:Q)</f>
        <v>3200</v>
      </c>
      <c r="O242" s="18">
        <f>SUMIF(Journal!$A:$A,HeadJournal!$A242,Journal!U:U)</f>
        <v>473.09999999999991</v>
      </c>
      <c r="P242" s="22">
        <f t="shared" si="31"/>
        <v>0.1734937108071436</v>
      </c>
      <c r="Q242" s="7" t="b">
        <f t="shared" ref="Q242:Q252" si="36">J242=K242</f>
        <v>1</v>
      </c>
      <c r="R242" s="73">
        <f t="shared" si="32"/>
        <v>9.0909090909090912E-2</v>
      </c>
    </row>
    <row r="243" spans="1:18" x14ac:dyDescent="0.25">
      <c r="A243" s="12" t="s">
        <v>802</v>
      </c>
      <c r="B243" s="12"/>
      <c r="C243" s="12" t="s">
        <v>843</v>
      </c>
      <c r="D243" s="12" t="s">
        <v>714</v>
      </c>
      <c r="E243" s="12" t="s">
        <v>1354</v>
      </c>
      <c r="F243" s="12"/>
      <c r="G243" s="13">
        <v>45102</v>
      </c>
      <c r="H243" s="14">
        <v>1</v>
      </c>
      <c r="I243" s="14">
        <v>0</v>
      </c>
      <c r="J243" s="8">
        <f>SUMIF(Journal!$A:$A,HeadJournal!$A243,Journal!$K:$K)+SUMIF(Journal!$A:$A,HeadJournal!$A243,Journal!$L:$L)+SUMIF(Journal!$A:$A,HeadJournal!$A243,Journal!$M:$M)</f>
        <v>1791</v>
      </c>
      <c r="K243" s="14">
        <v>1791</v>
      </c>
      <c r="L243" s="14">
        <f t="shared" si="35"/>
        <v>179.10000000000002</v>
      </c>
      <c r="M243" s="8">
        <f>SUMIF(Journal!$A:$A,HeadJournal!$A243,Journal!$P:$P)</f>
        <v>1970.1</v>
      </c>
      <c r="N243" s="8">
        <f>SUMIF(Journal!$A:$A,HeadJournal!$A243,Journal!Q:Q)</f>
        <v>2800</v>
      </c>
      <c r="O243" s="18">
        <f>SUMIF(Journal!$A:$A,HeadJournal!$A243,Journal!U:U)</f>
        <v>829.90000000000009</v>
      </c>
      <c r="P243" s="22">
        <f t="shared" si="31"/>
        <v>0.42124765240343137</v>
      </c>
      <c r="Q243" s="7" t="b">
        <f t="shared" si="36"/>
        <v>1</v>
      </c>
      <c r="R243" s="73">
        <f t="shared" si="32"/>
        <v>9.0909090909090925E-2</v>
      </c>
    </row>
    <row r="244" spans="1:18" x14ac:dyDescent="0.25">
      <c r="A244" s="12" t="s">
        <v>804</v>
      </c>
      <c r="B244" s="12"/>
      <c r="C244" s="12" t="s">
        <v>843</v>
      </c>
      <c r="D244" s="12" t="s">
        <v>714</v>
      </c>
      <c r="E244" s="12" t="s">
        <v>1354</v>
      </c>
      <c r="F244" s="12"/>
      <c r="G244" s="13">
        <v>45098</v>
      </c>
      <c r="H244" s="14">
        <v>1</v>
      </c>
      <c r="I244" s="14">
        <v>0</v>
      </c>
      <c r="J244" s="8">
        <f>SUMIF(Journal!$A:$A,HeadJournal!$A244,Journal!$K:$K)+SUMIF(Journal!$A:$A,HeadJournal!$A244,Journal!$L:$L)+SUMIF(Journal!$A:$A,HeadJournal!$A244,Journal!$M:$M)</f>
        <v>3238</v>
      </c>
      <c r="K244" s="14">
        <f>1619*2</f>
        <v>3238</v>
      </c>
      <c r="L244" s="14">
        <f t="shared" si="35"/>
        <v>323.8</v>
      </c>
      <c r="M244" s="8">
        <f>SUMIF(Journal!$A:$A,HeadJournal!$A244,Journal!$P:$P)</f>
        <v>3561.8</v>
      </c>
      <c r="N244" s="8">
        <f>SUMIF(Journal!$A:$A,HeadJournal!$A244,Journal!Q:Q)</f>
        <v>5000</v>
      </c>
      <c r="O244" s="18">
        <f>SUMIF(Journal!$A:$A,HeadJournal!$A244,Journal!U:U)</f>
        <v>1438.1999999999998</v>
      </c>
      <c r="P244" s="22">
        <f t="shared" si="31"/>
        <v>0.40378460329047106</v>
      </c>
      <c r="Q244" s="7" t="b">
        <f t="shared" si="36"/>
        <v>1</v>
      </c>
      <c r="R244" s="73">
        <f t="shared" si="32"/>
        <v>9.0909090909090912E-2</v>
      </c>
    </row>
    <row r="245" spans="1:18" x14ac:dyDescent="0.25">
      <c r="A245" s="12" t="s">
        <v>806</v>
      </c>
      <c r="B245" s="12"/>
      <c r="C245" s="12" t="s">
        <v>843</v>
      </c>
      <c r="D245" s="12" t="s">
        <v>714</v>
      </c>
      <c r="E245" s="12" t="s">
        <v>1354</v>
      </c>
      <c r="F245" s="12"/>
      <c r="G245" s="13">
        <v>45100</v>
      </c>
      <c r="H245" s="14">
        <v>1</v>
      </c>
      <c r="I245" s="14">
        <v>0</v>
      </c>
      <c r="J245" s="8">
        <f>SUMIF(Journal!$A:$A,HeadJournal!$A245,Journal!$K:$K)+SUMIF(Journal!$A:$A,HeadJournal!$A245,Journal!$L:$L)+SUMIF(Journal!$A:$A,HeadJournal!$A245,Journal!$M:$M)</f>
        <v>1134</v>
      </c>
      <c r="K245" s="14">
        <v>1134</v>
      </c>
      <c r="L245" s="14">
        <f t="shared" si="35"/>
        <v>113.4</v>
      </c>
      <c r="M245" s="8">
        <f>SUMIF(Journal!$A:$A,HeadJournal!$A245,Journal!$P:$P)</f>
        <v>1247.4000000000001</v>
      </c>
      <c r="N245" s="8">
        <f>SUMIF(Journal!$A:$A,HeadJournal!$A245,Journal!Q:Q)</f>
        <v>1800</v>
      </c>
      <c r="O245" s="18">
        <f>SUMIF(Journal!$A:$A,HeadJournal!$A245,Journal!U:U)</f>
        <v>552.59999999999991</v>
      </c>
      <c r="P245" s="22">
        <f t="shared" si="31"/>
        <v>0.4430014430014429</v>
      </c>
      <c r="Q245" s="7" t="b">
        <f t="shared" si="36"/>
        <v>1</v>
      </c>
      <c r="R245" s="73">
        <f t="shared" si="32"/>
        <v>9.0909090909090912E-2</v>
      </c>
    </row>
    <row r="246" spans="1:18" x14ac:dyDescent="0.25">
      <c r="A246" s="12" t="s">
        <v>808</v>
      </c>
      <c r="B246" s="12"/>
      <c r="C246" s="12" t="s">
        <v>1380</v>
      </c>
      <c r="D246" s="12" t="s">
        <v>714</v>
      </c>
      <c r="E246" s="12" t="s">
        <v>1354</v>
      </c>
      <c r="F246" s="12"/>
      <c r="G246" s="13">
        <v>45098</v>
      </c>
      <c r="H246" s="14">
        <v>1</v>
      </c>
      <c r="I246" s="14">
        <v>0</v>
      </c>
      <c r="J246" s="8">
        <f>SUMIF(Journal!$A:$A,HeadJournal!$A246,Journal!$K:$K)+SUMIF(Journal!$A:$A,HeadJournal!$A246,Journal!$L:$L)+SUMIF(Journal!$A:$A,HeadJournal!$A246,Journal!$M:$M)</f>
        <v>4210</v>
      </c>
      <c r="K246" s="14">
        <v>4210</v>
      </c>
      <c r="L246" s="14">
        <f t="shared" si="35"/>
        <v>421</v>
      </c>
      <c r="M246" s="8">
        <f>SUMIF(Journal!$A:$A,HeadJournal!$A246,Journal!$P:$P)</f>
        <v>4631</v>
      </c>
      <c r="N246" s="8">
        <f>SUMIF(Journal!$A:$A,HeadJournal!$A246,Journal!Q:Q)</f>
        <v>7300</v>
      </c>
      <c r="O246" s="18">
        <f>SUMIF(Journal!$A:$A,HeadJournal!$A246,Journal!U:U)</f>
        <v>2669</v>
      </c>
      <c r="P246" s="22">
        <f t="shared" si="31"/>
        <v>0.57633340531202759</v>
      </c>
      <c r="Q246" s="7" t="b">
        <f t="shared" si="36"/>
        <v>1</v>
      </c>
      <c r="R246" s="73">
        <f t="shared" si="32"/>
        <v>9.0909090909090912E-2</v>
      </c>
    </row>
    <row r="247" spans="1:18" x14ac:dyDescent="0.25">
      <c r="A247" s="12" t="s">
        <v>812</v>
      </c>
      <c r="B247" s="12"/>
      <c r="C247" s="12" t="s">
        <v>1380</v>
      </c>
      <c r="D247" s="12" t="s">
        <v>714</v>
      </c>
      <c r="E247" s="12" t="s">
        <v>1354</v>
      </c>
      <c r="F247" s="12"/>
      <c r="G247" s="13">
        <v>45099</v>
      </c>
      <c r="H247" s="14">
        <v>1</v>
      </c>
      <c r="I247" s="14">
        <v>0</v>
      </c>
      <c r="J247" s="8">
        <f>SUMIF(Journal!$A:$A,HeadJournal!$A247,Journal!$K:$K)+SUMIF(Journal!$A:$A,HeadJournal!$A247,Journal!$L:$L)+SUMIF(Journal!$A:$A,HeadJournal!$A247,Journal!$M:$M)</f>
        <v>5300</v>
      </c>
      <c r="K247" s="14">
        <v>5300</v>
      </c>
      <c r="L247" s="14">
        <f t="shared" si="35"/>
        <v>530</v>
      </c>
      <c r="M247" s="8">
        <f>SUMIF(Journal!$A:$A,HeadJournal!$A247,Journal!$P:$P)</f>
        <v>5830</v>
      </c>
      <c r="N247" s="8">
        <f>SUMIF(Journal!$A:$A,HeadJournal!$A247,Journal!Q:Q)</f>
        <v>7050</v>
      </c>
      <c r="O247" s="18">
        <f>SUMIF(Journal!$A:$A,HeadJournal!$A247,Journal!U:U)</f>
        <v>1220</v>
      </c>
      <c r="P247" s="22">
        <f t="shared" si="31"/>
        <v>0.20926243567753003</v>
      </c>
      <c r="Q247" s="7" t="b">
        <f t="shared" si="36"/>
        <v>1</v>
      </c>
      <c r="R247" s="73">
        <f t="shared" si="32"/>
        <v>9.0909090909090912E-2</v>
      </c>
    </row>
    <row r="248" spans="1:18" x14ac:dyDescent="0.25">
      <c r="A248" s="12" t="s">
        <v>814</v>
      </c>
      <c r="B248" s="12"/>
      <c r="C248" s="12" t="s">
        <v>1380</v>
      </c>
      <c r="D248" s="12" t="s">
        <v>714</v>
      </c>
      <c r="E248" s="12" t="s">
        <v>1354</v>
      </c>
      <c r="F248" s="12"/>
      <c r="G248" s="13">
        <v>45102</v>
      </c>
      <c r="H248" s="14">
        <v>1</v>
      </c>
      <c r="I248" s="14">
        <v>0</v>
      </c>
      <c r="J248" s="8">
        <f>SUMIF(Journal!$A:$A,HeadJournal!$A248,Journal!$K:$K)+SUMIF(Journal!$A:$A,HeadJournal!$A248,Journal!$L:$L)+SUMIF(Journal!$A:$A,HeadJournal!$A248,Journal!$M:$M)</f>
        <v>1612</v>
      </c>
      <c r="K248" s="14">
        <v>1612</v>
      </c>
      <c r="L248" s="14">
        <f t="shared" si="35"/>
        <v>161.20000000000002</v>
      </c>
      <c r="M248" s="8">
        <f>SUMIF(Journal!$A:$A,HeadJournal!$A248,Journal!$P:$P)</f>
        <v>1773.2</v>
      </c>
      <c r="N248" s="8">
        <f>SUMIF(Journal!$A:$A,HeadJournal!$A248,Journal!Q:Q)</f>
        <v>2900</v>
      </c>
      <c r="O248" s="18">
        <f>SUMIF(Journal!$A:$A,HeadJournal!$A248,Journal!U:U)</f>
        <v>1126.8</v>
      </c>
      <c r="P248" s="22">
        <f t="shared" si="31"/>
        <v>0.63546131288066765</v>
      </c>
      <c r="Q248" s="7" t="b">
        <f t="shared" si="36"/>
        <v>1</v>
      </c>
      <c r="R248" s="73">
        <f t="shared" si="32"/>
        <v>9.0909090909090912E-2</v>
      </c>
    </row>
    <row r="249" spans="1:18" x14ac:dyDescent="0.25">
      <c r="A249" s="12" t="s">
        <v>816</v>
      </c>
      <c r="B249" s="12"/>
      <c r="C249" s="12" t="s">
        <v>1357</v>
      </c>
      <c r="D249" s="12" t="s">
        <v>714</v>
      </c>
      <c r="E249" s="12" t="s">
        <v>1358</v>
      </c>
      <c r="F249" s="12"/>
      <c r="G249" s="13">
        <v>45116</v>
      </c>
      <c r="H249" s="14">
        <v>1</v>
      </c>
      <c r="I249" s="14">
        <v>0</v>
      </c>
      <c r="J249" s="8">
        <f>SUMIF(Journal!$A:$A,HeadJournal!$A249,Journal!$K:$K)+SUMIF(Journal!$A:$A,HeadJournal!$A249,Journal!$L:$L)+SUMIF(Journal!$A:$A,HeadJournal!$A249,Journal!$M:$M)</f>
        <v>2886</v>
      </c>
      <c r="K249" s="14">
        <v>2900</v>
      </c>
      <c r="L249" s="14">
        <v>0</v>
      </c>
      <c r="M249" s="8">
        <f>SUMIF(Journal!$A:$A,HeadJournal!$A249,Journal!$P:$P)</f>
        <v>2900</v>
      </c>
      <c r="N249" s="8">
        <f>SUMIF(Journal!$A:$A,HeadJournal!$A249,Journal!Q:Q)</f>
        <v>3900</v>
      </c>
      <c r="O249" s="18">
        <f>SUMIF(Journal!$A:$A,HeadJournal!$A249,Journal!U:U)</f>
        <v>1000.0000000000001</v>
      </c>
      <c r="P249" s="22">
        <f t="shared" si="31"/>
        <v>0.34482758620689657</v>
      </c>
      <c r="Q249" s="7" t="b">
        <f t="shared" si="36"/>
        <v>0</v>
      </c>
      <c r="R249" s="73">
        <f t="shared" si="32"/>
        <v>0</v>
      </c>
    </row>
    <row r="250" spans="1:18" x14ac:dyDescent="0.25">
      <c r="A250" s="12" t="s">
        <v>817</v>
      </c>
      <c r="B250" s="12"/>
      <c r="C250" s="12" t="s">
        <v>1359</v>
      </c>
      <c r="D250" s="12" t="s">
        <v>714</v>
      </c>
      <c r="E250" s="12" t="s">
        <v>1358</v>
      </c>
      <c r="F250" s="12"/>
      <c r="G250" s="13">
        <v>45109</v>
      </c>
      <c r="H250" s="14">
        <v>1</v>
      </c>
      <c r="I250" s="14">
        <v>0</v>
      </c>
      <c r="J250" s="8">
        <f>SUMIF(Journal!$A:$A,HeadJournal!$A250,Journal!$K:$K)+SUMIF(Journal!$A:$A,HeadJournal!$A250,Journal!$L:$L)+SUMIF(Journal!$A:$A,HeadJournal!$A250,Journal!$M:$M)</f>
        <v>6660</v>
      </c>
      <c r="K250" s="14">
        <v>6700</v>
      </c>
      <c r="L250" s="14">
        <v>0</v>
      </c>
      <c r="M250" s="8">
        <f>SUMIF(Journal!$A:$A,HeadJournal!$A250,Journal!$P:$P)</f>
        <v>6700</v>
      </c>
      <c r="N250" s="8">
        <f>SUMIF(Journal!$A:$A,HeadJournal!$A250,Journal!Q:Q)</f>
        <v>0</v>
      </c>
      <c r="O250" s="18">
        <f>SUMIF(Journal!$A:$A,HeadJournal!$A250,Journal!U:U)</f>
        <v>-6700</v>
      </c>
      <c r="P250" s="22" t="str">
        <f t="shared" si="31"/>
        <v/>
      </c>
      <c r="Q250" s="7" t="b">
        <f t="shared" si="36"/>
        <v>0</v>
      </c>
      <c r="R250" s="73">
        <f t="shared" si="32"/>
        <v>0</v>
      </c>
    </row>
    <row r="251" spans="1:18" x14ac:dyDescent="0.25">
      <c r="A251" s="12" t="s">
        <v>819</v>
      </c>
      <c r="B251" s="12"/>
      <c r="C251" s="12" t="s">
        <v>1380</v>
      </c>
      <c r="D251" s="12" t="s">
        <v>714</v>
      </c>
      <c r="E251" s="12" t="s">
        <v>1354</v>
      </c>
      <c r="F251" s="12"/>
      <c r="G251" s="13">
        <v>45111</v>
      </c>
      <c r="H251" s="14">
        <v>1</v>
      </c>
      <c r="I251" s="14">
        <v>0</v>
      </c>
      <c r="J251" s="8">
        <f>SUMIF(Journal!$A:$A,HeadJournal!$A251,Journal!$K:$K)+SUMIF(Journal!$A:$A,HeadJournal!$A251,Journal!$L:$L)+SUMIF(Journal!$A:$A,HeadJournal!$A251,Journal!$M:$M)</f>
        <v>1032</v>
      </c>
      <c r="K251" s="14">
        <v>1032</v>
      </c>
      <c r="L251" s="14">
        <f>K251*0.1</f>
        <v>103.2</v>
      </c>
      <c r="M251" s="8">
        <f>SUMIF(Journal!$A:$A,HeadJournal!$A251,Journal!$P:$P)</f>
        <v>1135.2</v>
      </c>
      <c r="N251" s="8">
        <f>SUMIF(Journal!$A:$A,HeadJournal!$A251,Journal!Q:Q)</f>
        <v>2000</v>
      </c>
      <c r="O251" s="18">
        <f>SUMIF(Journal!$A:$A,HeadJournal!$A251,Journal!U:U)</f>
        <v>864.8</v>
      </c>
      <c r="P251" s="22">
        <f t="shared" si="31"/>
        <v>0.76180408738548266</v>
      </c>
      <c r="Q251" s="7" t="b">
        <f t="shared" si="36"/>
        <v>1</v>
      </c>
      <c r="R251" s="73">
        <f t="shared" si="32"/>
        <v>9.0909090909090912E-2</v>
      </c>
    </row>
    <row r="252" spans="1:18" x14ac:dyDescent="0.25">
      <c r="A252" s="12" t="s">
        <v>820</v>
      </c>
      <c r="B252" s="12"/>
      <c r="C252" s="12" t="s">
        <v>1380</v>
      </c>
      <c r="D252" s="12" t="s">
        <v>714</v>
      </c>
      <c r="E252" s="12" t="s">
        <v>1354</v>
      </c>
      <c r="F252" s="12"/>
      <c r="G252" s="13">
        <v>45116</v>
      </c>
      <c r="H252" s="14">
        <v>1</v>
      </c>
      <c r="I252" s="14">
        <v>0</v>
      </c>
      <c r="J252" s="8">
        <f>SUMIF(Journal!$A:$A,HeadJournal!$A252,Journal!$K:$K)+SUMIF(Journal!$A:$A,HeadJournal!$A252,Journal!$L:$L)+SUMIF(Journal!$A:$A,HeadJournal!$A252,Journal!$M:$M)</f>
        <v>6329</v>
      </c>
      <c r="K252" s="14">
        <f>3266+3063</f>
        <v>6329</v>
      </c>
      <c r="L252" s="14">
        <f>K252*0.1</f>
        <v>632.90000000000009</v>
      </c>
      <c r="M252" s="8">
        <f>SUMIF(Journal!$A:$A,HeadJournal!$A252,Journal!$P:$P)</f>
        <v>6961.9</v>
      </c>
      <c r="N252" s="8">
        <f>SUMIF(Journal!$A:$A,HeadJournal!$A252,Journal!Q:Q)</f>
        <v>11600</v>
      </c>
      <c r="O252" s="18">
        <f>SUMIF(Journal!$A:$A,HeadJournal!$A252,Journal!U:U)</f>
        <v>4638.1000000000004</v>
      </c>
      <c r="P252" s="22">
        <f t="shared" si="31"/>
        <v>0.66621180999439822</v>
      </c>
      <c r="Q252" s="7" t="b">
        <f t="shared" si="36"/>
        <v>1</v>
      </c>
      <c r="R252" s="73">
        <f t="shared" si="32"/>
        <v>9.0909090909090925E-2</v>
      </c>
    </row>
    <row r="253" spans="1:18" x14ac:dyDescent="0.25">
      <c r="A253" s="12" t="s">
        <v>822</v>
      </c>
      <c r="B253" s="124" t="s">
        <v>1433</v>
      </c>
      <c r="C253" s="12" t="s">
        <v>1737</v>
      </c>
      <c r="D253" s="12" t="s">
        <v>714</v>
      </c>
      <c r="E253" s="12" t="s">
        <v>1369</v>
      </c>
      <c r="F253" s="124" t="s">
        <v>1432</v>
      </c>
      <c r="G253" s="13">
        <v>45101</v>
      </c>
      <c r="H253" s="14">
        <f>18422.23/K253</f>
        <v>93.060365730450584</v>
      </c>
      <c r="I253" s="14">
        <f>22.42-11.27</f>
        <v>11.150000000000002</v>
      </c>
      <c r="J253" s="8">
        <f>SUMIF(Journal!$A:$A,HeadJournal!$A253,Journal!$K:$K)+SUMIF(Journal!$A:$A,HeadJournal!$A253,Journal!$L:$L)+SUMIF(Journal!$A:$A,HeadJournal!$A253,Journal!$M:$M)</f>
        <v>197.95999999999995</v>
      </c>
      <c r="K253" s="14">
        <f>197.96</f>
        <v>197.96</v>
      </c>
      <c r="L253" s="14">
        <f>(700+400+1119.96)/2</f>
        <v>1109.98</v>
      </c>
      <c r="M253" s="8">
        <f>SUMIF(Journal!$A:$A,HeadJournal!$A253,Journal!$P:$P)</f>
        <v>19532.210000000006</v>
      </c>
      <c r="N253" s="8">
        <f>SUMIF(Journal!$A:$A,HeadJournal!$A253,Journal!Q:Q)</f>
        <v>34600</v>
      </c>
      <c r="O253" s="18">
        <f>SUMIF(Journal!$A:$A,HeadJournal!$A253,Journal!U:U)</f>
        <v>15067.789999999999</v>
      </c>
      <c r="P253" s="22">
        <f t="shared" si="31"/>
        <v>0.7714329305285984</v>
      </c>
      <c r="R253" s="73">
        <f t="shared" si="32"/>
        <v>5.6828182781159919E-2</v>
      </c>
    </row>
    <row r="254" spans="1:18" x14ac:dyDescent="0.25">
      <c r="A254" s="12" t="s">
        <v>828</v>
      </c>
      <c r="B254" s="124" t="s">
        <v>1434</v>
      </c>
      <c r="C254" s="12" t="s">
        <v>1737</v>
      </c>
      <c r="D254" s="12" t="s">
        <v>714</v>
      </c>
      <c r="E254" s="12" t="s">
        <v>1369</v>
      </c>
      <c r="F254" s="124" t="s">
        <v>1435</v>
      </c>
      <c r="G254" s="13">
        <v>45113</v>
      </c>
      <c r="H254" s="14">
        <f>17159.22/K254</f>
        <v>100.18812401471361</v>
      </c>
      <c r="I254" s="14">
        <f>19.42-10</f>
        <v>9.4200000000000017</v>
      </c>
      <c r="J254" s="8">
        <f>SUMIF(Journal!$A:$A,HeadJournal!$A254,Journal!$K:$K)+SUMIF(Journal!$A:$A,HeadJournal!$A254,Journal!$L:$L)+SUMIF(Journal!$A:$A,HeadJournal!$A254,Journal!$M:$M)</f>
        <v>171.26999999999998</v>
      </c>
      <c r="K254" s="14">
        <v>171.27</v>
      </c>
      <c r="L254" s="14">
        <f>(1237.22+800+400)/2</f>
        <v>1218.6100000000001</v>
      </c>
      <c r="M254" s="8">
        <f>SUMIF(Journal!$A:$A,HeadJournal!$A254,Journal!$P:$P)</f>
        <v>18377.830000000002</v>
      </c>
      <c r="N254" s="8">
        <f>SUMIF(Journal!$A:$A,HeadJournal!$A254,Journal!Q:Q)</f>
        <v>24900</v>
      </c>
      <c r="O254" s="18">
        <f>SUMIF(Journal!$A:$A,HeadJournal!$A254,Journal!U:U)</f>
        <v>6522.1699999999973</v>
      </c>
      <c r="P254" s="22">
        <f t="shared" si="31"/>
        <v>0.35489336880360722</v>
      </c>
      <c r="R254" s="73">
        <f t="shared" si="32"/>
        <v>6.6308699122801767E-2</v>
      </c>
    </row>
    <row r="255" spans="1:18" x14ac:dyDescent="0.25">
      <c r="A255" s="12" t="s">
        <v>833</v>
      </c>
      <c r="B255" s="124" t="s">
        <v>1436</v>
      </c>
      <c r="C255" s="12" t="s">
        <v>1751</v>
      </c>
      <c r="D255" s="12" t="s">
        <v>714</v>
      </c>
      <c r="E255" s="12" t="s">
        <v>1369</v>
      </c>
      <c r="F255" s="124" t="s">
        <v>1435</v>
      </c>
      <c r="G255" s="13">
        <v>45120</v>
      </c>
      <c r="H255" s="14">
        <f>12732.53/K255</f>
        <v>101.69752396166135</v>
      </c>
      <c r="I255" s="14">
        <v>-15.86</v>
      </c>
      <c r="J255" s="8">
        <f>SUMIF(Journal!$A:$A,HeadJournal!$A255,Journal!$K:$K)+SUMIF(Journal!$A:$A,HeadJournal!$A255,Journal!$L:$L)+SUMIF(Journal!$A:$A,HeadJournal!$A255,Journal!$M:$M)</f>
        <v>125.2</v>
      </c>
      <c r="K255" s="14">
        <v>125.2</v>
      </c>
      <c r="L255" s="14">
        <f>(1237.22+800+400)/2</f>
        <v>1218.6100000000001</v>
      </c>
      <c r="M255" s="8">
        <f>SUMIF(Journal!$A:$A,HeadJournal!$A255,Journal!$P:$P)</f>
        <v>13951.140000000003</v>
      </c>
      <c r="N255" s="8">
        <f>SUMIF(Journal!$A:$A,HeadJournal!$A255,Journal!Q:Q)</f>
        <v>23300</v>
      </c>
      <c r="O255" s="18">
        <f>SUMIF(Journal!$A:$A,HeadJournal!$A255,Journal!U:U)</f>
        <v>9348.8599999999969</v>
      </c>
      <c r="P255" s="22">
        <f t="shared" si="31"/>
        <v>0.67011441358914003</v>
      </c>
      <c r="R255" s="73">
        <f t="shared" si="32"/>
        <v>8.7348417405315973E-2</v>
      </c>
    </row>
    <row r="256" spans="1:18" x14ac:dyDescent="0.25">
      <c r="A256" s="12" t="s">
        <v>837</v>
      </c>
      <c r="B256" s="12"/>
      <c r="C256" s="12" t="s">
        <v>1380</v>
      </c>
      <c r="D256" s="12" t="s">
        <v>714</v>
      </c>
      <c r="E256" s="12" t="s">
        <v>1354</v>
      </c>
      <c r="F256" s="12"/>
      <c r="G256" s="13">
        <v>45089</v>
      </c>
      <c r="H256" s="14">
        <v>1</v>
      </c>
      <c r="I256" s="14">
        <v>0</v>
      </c>
      <c r="J256" s="8">
        <f>SUMIF(Journal!$A:$A,HeadJournal!$A256,Journal!$K:$K)+SUMIF(Journal!$A:$A,HeadJournal!$A256,Journal!$L:$L)+SUMIF(Journal!$A:$A,HeadJournal!$A256,Journal!$M:$M)</f>
        <v>4223</v>
      </c>
      <c r="K256" s="14">
        <v>4223</v>
      </c>
      <c r="L256" s="14">
        <f t="shared" ref="L256:L271" si="37">K256*0.1</f>
        <v>422.3</v>
      </c>
      <c r="M256" s="8">
        <f>SUMIF(Journal!$A:$A,HeadJournal!$A256,Journal!$P:$P)</f>
        <v>4645.3</v>
      </c>
      <c r="N256" s="8">
        <f>SUMIF(Journal!$A:$A,HeadJournal!$A256,Journal!Q:Q)</f>
        <v>5800</v>
      </c>
      <c r="O256" s="18">
        <f>SUMIF(Journal!$A:$A,HeadJournal!$A256,Journal!U:U)</f>
        <v>1154.6999999999998</v>
      </c>
      <c r="P256" s="22">
        <f t="shared" si="31"/>
        <v>0.24857382730932334</v>
      </c>
      <c r="Q256" s="7" t="b">
        <f t="shared" ref="Q256:Q275" si="38">J256=K256</f>
        <v>1</v>
      </c>
      <c r="R256" s="73">
        <f t="shared" si="32"/>
        <v>9.0909090909090912E-2</v>
      </c>
    </row>
    <row r="257" spans="1:18" x14ac:dyDescent="0.25">
      <c r="A257" s="12" t="s">
        <v>840</v>
      </c>
      <c r="B257" s="12"/>
      <c r="C257" s="12" t="s">
        <v>843</v>
      </c>
      <c r="D257" s="12" t="s">
        <v>714</v>
      </c>
      <c r="E257" s="12" t="s">
        <v>1354</v>
      </c>
      <c r="F257" s="12"/>
      <c r="G257" s="13">
        <v>45101</v>
      </c>
      <c r="H257" s="14">
        <v>1</v>
      </c>
      <c r="I257" s="14">
        <v>0</v>
      </c>
      <c r="J257" s="8">
        <f>SUMIF(Journal!$A:$A,HeadJournal!$A257,Journal!$K:$K)+SUMIF(Journal!$A:$A,HeadJournal!$A257,Journal!$L:$L)+SUMIF(Journal!$A:$A,HeadJournal!$A257,Journal!$M:$M)</f>
        <v>1947</v>
      </c>
      <c r="K257" s="14">
        <v>1947</v>
      </c>
      <c r="L257" s="14">
        <f t="shared" si="37"/>
        <v>194.70000000000002</v>
      </c>
      <c r="M257" s="8">
        <f>SUMIF(Journal!$A:$A,HeadJournal!$A257,Journal!$P:$P)</f>
        <v>2141.6999999999998</v>
      </c>
      <c r="N257" s="8">
        <f>SUMIF(Journal!$A:$A,HeadJournal!$A257,Journal!Q:Q)</f>
        <v>2100</v>
      </c>
      <c r="O257" s="18">
        <f>SUMIF(Journal!$A:$A,HeadJournal!$A257,Journal!U:U)</f>
        <v>-41.699999999999818</v>
      </c>
      <c r="P257" s="22">
        <f t="shared" si="31"/>
        <v>-1.9470514077601822E-2</v>
      </c>
      <c r="Q257" s="7" t="b">
        <f t="shared" si="38"/>
        <v>1</v>
      </c>
      <c r="R257" s="73">
        <f t="shared" si="32"/>
        <v>9.0909090909090925E-2</v>
      </c>
    </row>
    <row r="258" spans="1:18" x14ac:dyDescent="0.25">
      <c r="A258" s="12" t="s">
        <v>842</v>
      </c>
      <c r="B258" s="12"/>
      <c r="C258" s="12" t="s">
        <v>843</v>
      </c>
      <c r="D258" s="12" t="s">
        <v>714</v>
      </c>
      <c r="E258" s="12" t="s">
        <v>1354</v>
      </c>
      <c r="F258" s="12"/>
      <c r="G258" s="13">
        <v>45122</v>
      </c>
      <c r="H258" s="14">
        <v>1</v>
      </c>
      <c r="I258" s="14">
        <v>0</v>
      </c>
      <c r="J258" s="8">
        <f>SUMIF(Journal!$A:$A,HeadJournal!$A258,Journal!$K:$K)+SUMIF(Journal!$A:$A,HeadJournal!$A258,Journal!$L:$L)+SUMIF(Journal!$A:$A,HeadJournal!$A258,Journal!$M:$M)</f>
        <v>5331</v>
      </c>
      <c r="K258" s="14">
        <f>1484*3+879</f>
        <v>5331</v>
      </c>
      <c r="L258" s="14">
        <f t="shared" si="37"/>
        <v>533.1</v>
      </c>
      <c r="M258" s="8">
        <f>SUMIF(Journal!$A:$A,HeadJournal!$A258,Journal!$P:$P)</f>
        <v>5864.1</v>
      </c>
      <c r="N258" s="8">
        <f>SUMIF(Journal!$A:$A,HeadJournal!$A258,Journal!Q:Q)</f>
        <v>9800</v>
      </c>
      <c r="O258" s="18">
        <f>SUMIF(Journal!$A:$A,HeadJournal!$A258,Journal!U:U)</f>
        <v>3935.8999999999996</v>
      </c>
      <c r="P258" s="22">
        <f t="shared" si="31"/>
        <v>0.67118568919356758</v>
      </c>
      <c r="Q258" s="7" t="b">
        <f t="shared" si="38"/>
        <v>1</v>
      </c>
      <c r="R258" s="73">
        <f t="shared" si="32"/>
        <v>9.0909090909090912E-2</v>
      </c>
    </row>
    <row r="259" spans="1:18" x14ac:dyDescent="0.25">
      <c r="A259" s="12" t="s">
        <v>846</v>
      </c>
      <c r="B259" s="12"/>
      <c r="C259" s="12" t="s">
        <v>843</v>
      </c>
      <c r="D259" s="12" t="s">
        <v>714</v>
      </c>
      <c r="E259" s="12" t="s">
        <v>1354</v>
      </c>
      <c r="F259" s="12"/>
      <c r="G259" s="13">
        <v>45122</v>
      </c>
      <c r="H259" s="14">
        <v>1</v>
      </c>
      <c r="I259" s="14">
        <v>0</v>
      </c>
      <c r="J259" s="8">
        <f>SUMIF(Journal!$A:$A,HeadJournal!$A259,Journal!$K:$K)+SUMIF(Journal!$A:$A,HeadJournal!$A259,Journal!$L:$L)+SUMIF(Journal!$A:$A,HeadJournal!$A259,Journal!$M:$M)</f>
        <v>650</v>
      </c>
      <c r="K259" s="14">
        <f>325*2</f>
        <v>650</v>
      </c>
      <c r="L259" s="14">
        <f t="shared" si="37"/>
        <v>65</v>
      </c>
      <c r="M259" s="8">
        <f>SUMIF(Journal!$A:$A,HeadJournal!$A259,Journal!$P:$P)</f>
        <v>715</v>
      </c>
      <c r="N259" s="8">
        <f>SUMIF(Journal!$A:$A,HeadJournal!$A259,Journal!Q:Q)</f>
        <v>1000</v>
      </c>
      <c r="O259" s="18">
        <f>SUMIF(Journal!$A:$A,HeadJournal!$A259,Journal!U:U)</f>
        <v>285</v>
      </c>
      <c r="P259" s="22">
        <f t="shared" ref="P259:P322" si="39">IF(N259&lt;&gt;0,IFERROR(O259/M259,""),"")</f>
        <v>0.39860139860139859</v>
      </c>
      <c r="Q259" s="7" t="b">
        <f t="shared" si="38"/>
        <v>1</v>
      </c>
      <c r="R259" s="73">
        <f t="shared" ref="R259:R322" si="40">L259/M259</f>
        <v>9.0909090909090912E-2</v>
      </c>
    </row>
    <row r="260" spans="1:18" x14ac:dyDescent="0.25">
      <c r="A260" s="12" t="s">
        <v>847</v>
      </c>
      <c r="B260" s="12"/>
      <c r="C260" s="12" t="s">
        <v>843</v>
      </c>
      <c r="D260" s="12" t="s">
        <v>714</v>
      </c>
      <c r="E260" s="12" t="s">
        <v>1354</v>
      </c>
      <c r="F260" s="12"/>
      <c r="G260" s="13">
        <v>45116</v>
      </c>
      <c r="H260" s="14">
        <v>1</v>
      </c>
      <c r="I260" s="14">
        <v>0</v>
      </c>
      <c r="J260" s="8">
        <f>SUMIF(Journal!$A:$A,HeadJournal!$A260,Journal!$K:$K)+SUMIF(Journal!$A:$A,HeadJournal!$A260,Journal!$L:$L)+SUMIF(Journal!$A:$A,HeadJournal!$A260,Journal!$M:$M)</f>
        <v>3404</v>
      </c>
      <c r="K260" s="14">
        <f>1702*2</f>
        <v>3404</v>
      </c>
      <c r="L260" s="14">
        <f t="shared" si="37"/>
        <v>340.40000000000003</v>
      </c>
      <c r="M260" s="8">
        <f>SUMIF(Journal!$A:$A,HeadJournal!$A260,Journal!$P:$P)</f>
        <v>3744.4</v>
      </c>
      <c r="N260" s="8">
        <f>SUMIF(Journal!$A:$A,HeadJournal!$A260,Journal!Q:Q)</f>
        <v>4800</v>
      </c>
      <c r="O260" s="18">
        <f>SUMIF(Journal!$A:$A,HeadJournal!$A260,Journal!U:U)</f>
        <v>1055.5999999999999</v>
      </c>
      <c r="P260" s="22">
        <f t="shared" si="39"/>
        <v>0.28191432539258621</v>
      </c>
      <c r="Q260" s="7" t="b">
        <f t="shared" si="38"/>
        <v>1</v>
      </c>
      <c r="R260" s="73">
        <f t="shared" si="40"/>
        <v>9.0909090909090912E-2</v>
      </c>
    </row>
    <row r="261" spans="1:18" x14ac:dyDescent="0.25">
      <c r="A261" s="12" t="s">
        <v>849</v>
      </c>
      <c r="B261" s="12"/>
      <c r="C261" s="12" t="s">
        <v>843</v>
      </c>
      <c r="D261" s="12" t="s">
        <v>714</v>
      </c>
      <c r="E261" s="12" t="s">
        <v>1354</v>
      </c>
      <c r="F261" s="12"/>
      <c r="G261" s="13">
        <v>45131</v>
      </c>
      <c r="H261" s="14">
        <v>1</v>
      </c>
      <c r="I261" s="14">
        <v>0</v>
      </c>
      <c r="J261" s="8">
        <f>SUMIF(Journal!$A:$A,HeadJournal!$A261,Journal!$K:$K)+SUMIF(Journal!$A:$A,HeadJournal!$A261,Journal!$L:$L)+SUMIF(Journal!$A:$A,HeadJournal!$A261,Journal!$M:$M)</f>
        <v>1880</v>
      </c>
      <c r="K261" s="14">
        <v>1880</v>
      </c>
      <c r="L261" s="14">
        <f t="shared" si="37"/>
        <v>188</v>
      </c>
      <c r="M261" s="8">
        <f>SUMIF(Journal!$A:$A,HeadJournal!$A261,Journal!$P:$P)</f>
        <v>2068</v>
      </c>
      <c r="N261" s="8">
        <f>SUMIF(Journal!$A:$A,HeadJournal!$A261,Journal!Q:Q)</f>
        <v>3400</v>
      </c>
      <c r="O261" s="18">
        <f>SUMIF(Journal!$A:$A,HeadJournal!$A261,Journal!U:U)</f>
        <v>1332</v>
      </c>
      <c r="P261" s="22">
        <f t="shared" si="39"/>
        <v>0.64410058027079309</v>
      </c>
      <c r="Q261" s="7" t="b">
        <f t="shared" si="38"/>
        <v>1</v>
      </c>
      <c r="R261" s="73">
        <f t="shared" si="40"/>
        <v>9.0909090909090912E-2</v>
      </c>
    </row>
    <row r="262" spans="1:18" x14ac:dyDescent="0.25">
      <c r="A262" s="12" t="s">
        <v>850</v>
      </c>
      <c r="B262" s="12"/>
      <c r="C262" s="12" t="s">
        <v>843</v>
      </c>
      <c r="D262" s="12" t="s">
        <v>714</v>
      </c>
      <c r="E262" s="12" t="s">
        <v>1354</v>
      </c>
      <c r="F262" s="12"/>
      <c r="G262" s="13">
        <v>45131</v>
      </c>
      <c r="H262" s="14">
        <v>1</v>
      </c>
      <c r="I262" s="14">
        <v>0</v>
      </c>
      <c r="J262" s="8">
        <f>SUMIF(Journal!$A:$A,HeadJournal!$A262,Journal!$K:$K)+SUMIF(Journal!$A:$A,HeadJournal!$A262,Journal!$L:$L)+SUMIF(Journal!$A:$A,HeadJournal!$A262,Journal!$M:$M)</f>
        <v>1652</v>
      </c>
      <c r="K262" s="14">
        <v>1652</v>
      </c>
      <c r="L262" s="14">
        <f t="shared" si="37"/>
        <v>165.20000000000002</v>
      </c>
      <c r="M262" s="8">
        <f>SUMIF(Journal!$A:$A,HeadJournal!$A262,Journal!$P:$P)</f>
        <v>1817.2</v>
      </c>
      <c r="N262" s="8">
        <f>SUMIF(Journal!$A:$A,HeadJournal!$A262,Journal!Q:Q)</f>
        <v>3600</v>
      </c>
      <c r="O262" s="18">
        <f>SUMIF(Journal!$A:$A,HeadJournal!$A262,Journal!U:U)</f>
        <v>1782.8</v>
      </c>
      <c r="P262" s="22">
        <f t="shared" si="39"/>
        <v>0.98106977767994707</v>
      </c>
      <c r="Q262" s="7" t="b">
        <f t="shared" si="38"/>
        <v>1</v>
      </c>
      <c r="R262" s="73">
        <f t="shared" si="40"/>
        <v>9.0909090909090912E-2</v>
      </c>
    </row>
    <row r="263" spans="1:18" x14ac:dyDescent="0.25">
      <c r="A263" s="12" t="s">
        <v>852</v>
      </c>
      <c r="B263" s="12"/>
      <c r="C263" s="12" t="s">
        <v>1380</v>
      </c>
      <c r="D263" s="12" t="s">
        <v>714</v>
      </c>
      <c r="E263" s="12" t="s">
        <v>1354</v>
      </c>
      <c r="F263" s="12"/>
      <c r="G263" s="13">
        <v>45125</v>
      </c>
      <c r="H263" s="14">
        <v>1</v>
      </c>
      <c r="I263" s="14">
        <v>0</v>
      </c>
      <c r="J263" s="8">
        <f>SUMIF(Journal!$A:$A,HeadJournal!$A263,Journal!$K:$K)+SUMIF(Journal!$A:$A,HeadJournal!$A263,Journal!$L:$L)+SUMIF(Journal!$A:$A,HeadJournal!$A263,Journal!$M:$M)</f>
        <v>2466</v>
      </c>
      <c r="K263" s="14">
        <v>2466</v>
      </c>
      <c r="L263" s="14">
        <f t="shared" si="37"/>
        <v>246.60000000000002</v>
      </c>
      <c r="M263" s="8">
        <f>SUMIF(Journal!$A:$A,HeadJournal!$A263,Journal!$P:$P)</f>
        <v>2712.6000000000004</v>
      </c>
      <c r="N263" s="8">
        <f>SUMIF(Journal!$A:$A,HeadJournal!$A263,Journal!Q:Q)</f>
        <v>5900</v>
      </c>
      <c r="O263" s="18">
        <f>SUMIF(Journal!$A:$A,HeadJournal!$A263,Journal!U:U)</f>
        <v>3187.3999999999996</v>
      </c>
      <c r="P263" s="22">
        <f t="shared" si="39"/>
        <v>1.17503502175035</v>
      </c>
      <c r="Q263" s="7" t="b">
        <f t="shared" si="38"/>
        <v>1</v>
      </c>
      <c r="R263" s="73">
        <f t="shared" si="40"/>
        <v>9.0909090909090912E-2</v>
      </c>
    </row>
    <row r="264" spans="1:18" x14ac:dyDescent="0.25">
      <c r="A264" s="12" t="s">
        <v>853</v>
      </c>
      <c r="B264" s="12"/>
      <c r="C264" s="12" t="s">
        <v>1380</v>
      </c>
      <c r="D264" s="12" t="s">
        <v>714</v>
      </c>
      <c r="E264" s="12" t="s">
        <v>1354</v>
      </c>
      <c r="F264" s="12"/>
      <c r="G264" s="13">
        <v>45139</v>
      </c>
      <c r="H264" s="14">
        <v>1</v>
      </c>
      <c r="I264" s="14">
        <v>0</v>
      </c>
      <c r="J264" s="8">
        <f>SUMIF(Journal!$A:$A,HeadJournal!$A264,Journal!$K:$K)+SUMIF(Journal!$A:$A,HeadJournal!$A264,Journal!$L:$L)+SUMIF(Journal!$A:$A,HeadJournal!$A264,Journal!$M:$M)</f>
        <v>6038</v>
      </c>
      <c r="K264" s="14">
        <v>6038</v>
      </c>
      <c r="L264" s="14">
        <f t="shared" si="37"/>
        <v>603.80000000000007</v>
      </c>
      <c r="M264" s="8">
        <f>SUMIF(Journal!$A:$A,HeadJournal!$A264,Journal!$P:$P)</f>
        <v>6641.8</v>
      </c>
      <c r="N264" s="8">
        <f>SUMIF(Journal!$A:$A,HeadJournal!$A264,Journal!Q:Q)</f>
        <v>10200</v>
      </c>
      <c r="O264" s="18">
        <f>SUMIF(Journal!$A:$A,HeadJournal!$A264,Journal!U:U)</f>
        <v>3558.2</v>
      </c>
      <c r="P264" s="22">
        <f t="shared" si="39"/>
        <v>0.53572826643379801</v>
      </c>
      <c r="Q264" s="7" t="b">
        <f t="shared" si="38"/>
        <v>1</v>
      </c>
      <c r="R264" s="73">
        <f t="shared" si="40"/>
        <v>9.0909090909090912E-2</v>
      </c>
    </row>
    <row r="265" spans="1:18" x14ac:dyDescent="0.25">
      <c r="A265" s="12" t="s">
        <v>855</v>
      </c>
      <c r="B265" s="12"/>
      <c r="C265" s="12" t="s">
        <v>843</v>
      </c>
      <c r="D265" s="12" t="s">
        <v>714</v>
      </c>
      <c r="E265" s="12" t="s">
        <v>1354</v>
      </c>
      <c r="F265" s="12"/>
      <c r="G265" s="13">
        <v>45139</v>
      </c>
      <c r="H265" s="14">
        <v>1</v>
      </c>
      <c r="I265" s="14">
        <v>0</v>
      </c>
      <c r="J265" s="8">
        <f>SUMIF(Journal!$A:$A,HeadJournal!$A265,Journal!$K:$K)+SUMIF(Journal!$A:$A,HeadJournal!$A265,Journal!$L:$L)+SUMIF(Journal!$A:$A,HeadJournal!$A265,Journal!$M:$M)</f>
        <v>738</v>
      </c>
      <c r="K265" s="14">
        <v>738</v>
      </c>
      <c r="L265" s="14">
        <f t="shared" si="37"/>
        <v>73.8</v>
      </c>
      <c r="M265" s="8">
        <f>SUMIF(Journal!$A:$A,HeadJournal!$A265,Journal!$P:$P)</f>
        <v>811.8</v>
      </c>
      <c r="N265" s="8">
        <f>SUMIF(Journal!$A:$A,HeadJournal!$A265,Journal!Q:Q)</f>
        <v>1100</v>
      </c>
      <c r="O265" s="18">
        <f>SUMIF(Journal!$A:$A,HeadJournal!$A265,Journal!U:U)</f>
        <v>288.20000000000005</v>
      </c>
      <c r="P265" s="22">
        <f t="shared" si="39"/>
        <v>0.35501355013550145</v>
      </c>
      <c r="Q265" s="7" t="b">
        <f t="shared" si="38"/>
        <v>1</v>
      </c>
      <c r="R265" s="73">
        <f t="shared" si="40"/>
        <v>9.0909090909090912E-2</v>
      </c>
    </row>
    <row r="266" spans="1:18" x14ac:dyDescent="0.25">
      <c r="A266" s="12" t="s">
        <v>856</v>
      </c>
      <c r="B266" s="12"/>
      <c r="C266" s="12" t="s">
        <v>843</v>
      </c>
      <c r="D266" s="12" t="s">
        <v>714</v>
      </c>
      <c r="E266" s="12" t="s">
        <v>1354</v>
      </c>
      <c r="F266" s="12"/>
      <c r="G266" s="13">
        <v>45139</v>
      </c>
      <c r="H266" s="14">
        <v>1</v>
      </c>
      <c r="I266" s="14">
        <v>0</v>
      </c>
      <c r="J266" s="8">
        <f>SUMIF(Journal!$A:$A,HeadJournal!$A266,Journal!$K:$K)+SUMIF(Journal!$A:$A,HeadJournal!$A266,Journal!$L:$L)+SUMIF(Journal!$A:$A,HeadJournal!$A266,Journal!$M:$M)</f>
        <v>1822</v>
      </c>
      <c r="K266" s="14">
        <v>1822</v>
      </c>
      <c r="L266" s="14">
        <f t="shared" si="37"/>
        <v>182.20000000000002</v>
      </c>
      <c r="M266" s="8">
        <f>SUMIF(Journal!$A:$A,HeadJournal!$A266,Journal!$P:$P)</f>
        <v>2004.2</v>
      </c>
      <c r="N266" s="8">
        <f>SUMIF(Journal!$A:$A,HeadJournal!$A266,Journal!Q:Q)</f>
        <v>3400</v>
      </c>
      <c r="O266" s="18">
        <f>SUMIF(Journal!$A:$A,HeadJournal!$A266,Journal!U:U)</f>
        <v>1395.8</v>
      </c>
      <c r="P266" s="22">
        <f t="shared" si="39"/>
        <v>0.69643748128929239</v>
      </c>
      <c r="Q266" s="7" t="b">
        <f t="shared" si="38"/>
        <v>1</v>
      </c>
      <c r="R266" s="73">
        <f t="shared" si="40"/>
        <v>9.0909090909090912E-2</v>
      </c>
    </row>
    <row r="267" spans="1:18" x14ac:dyDescent="0.25">
      <c r="A267" s="12" t="s">
        <v>857</v>
      </c>
      <c r="B267" s="12"/>
      <c r="C267" s="12" t="s">
        <v>843</v>
      </c>
      <c r="D267" s="12" t="s">
        <v>714</v>
      </c>
      <c r="E267" s="12" t="s">
        <v>1354</v>
      </c>
      <c r="F267" s="12"/>
      <c r="G267" s="13">
        <v>45139</v>
      </c>
      <c r="H267" s="14">
        <v>1</v>
      </c>
      <c r="I267" s="14">
        <v>0</v>
      </c>
      <c r="J267" s="8">
        <f>SUMIF(Journal!$A:$A,HeadJournal!$A267,Journal!$K:$K)+SUMIF(Journal!$A:$A,HeadJournal!$A267,Journal!$L:$L)+SUMIF(Journal!$A:$A,HeadJournal!$A267,Journal!$M:$M)</f>
        <v>738</v>
      </c>
      <c r="K267" s="14">
        <v>738</v>
      </c>
      <c r="L267" s="14">
        <f t="shared" si="37"/>
        <v>73.8</v>
      </c>
      <c r="M267" s="8">
        <f>SUMIF(Journal!$A:$A,HeadJournal!$A267,Journal!$P:$P)</f>
        <v>811.8</v>
      </c>
      <c r="N267" s="8">
        <f>SUMIF(Journal!$A:$A,HeadJournal!$A267,Journal!Q:Q)</f>
        <v>1100</v>
      </c>
      <c r="O267" s="18">
        <f>SUMIF(Journal!$A:$A,HeadJournal!$A267,Journal!U:U)</f>
        <v>288.20000000000005</v>
      </c>
      <c r="P267" s="22">
        <f t="shared" si="39"/>
        <v>0.35501355013550145</v>
      </c>
      <c r="Q267" s="7" t="b">
        <f t="shared" si="38"/>
        <v>1</v>
      </c>
      <c r="R267" s="73">
        <f t="shared" si="40"/>
        <v>9.0909090909090912E-2</v>
      </c>
    </row>
    <row r="268" spans="1:18" x14ac:dyDescent="0.25">
      <c r="A268" s="12" t="s">
        <v>859</v>
      </c>
      <c r="B268" s="12"/>
      <c r="C268" s="12" t="s">
        <v>843</v>
      </c>
      <c r="D268" s="12" t="s">
        <v>714</v>
      </c>
      <c r="E268" s="12" t="s">
        <v>1354</v>
      </c>
      <c r="F268" s="12"/>
      <c r="G268" s="13">
        <v>45139</v>
      </c>
      <c r="H268" s="14">
        <v>1</v>
      </c>
      <c r="I268" s="14">
        <v>0</v>
      </c>
      <c r="J268" s="8">
        <f>SUMIF(Journal!$A:$A,HeadJournal!$A268,Journal!$K:$K)+SUMIF(Journal!$A:$A,HeadJournal!$A268,Journal!$L:$L)+SUMIF(Journal!$A:$A,HeadJournal!$A268,Journal!$M:$M)</f>
        <v>2090</v>
      </c>
      <c r="K268" s="14">
        <v>2090</v>
      </c>
      <c r="L268" s="14">
        <f t="shared" si="37"/>
        <v>209</v>
      </c>
      <c r="M268" s="8">
        <f>SUMIF(Journal!$A:$A,HeadJournal!$A268,Journal!$P:$P)</f>
        <v>2299</v>
      </c>
      <c r="N268" s="8">
        <f>SUMIF(Journal!$A:$A,HeadJournal!$A268,Journal!Q:Q)</f>
        <v>3500</v>
      </c>
      <c r="O268" s="18">
        <f>SUMIF(Journal!$A:$A,HeadJournal!$A268,Journal!U:U)</f>
        <v>1201</v>
      </c>
      <c r="P268" s="22">
        <f t="shared" si="39"/>
        <v>0.52240104393214437</v>
      </c>
      <c r="Q268" s="7" t="b">
        <f t="shared" si="38"/>
        <v>1</v>
      </c>
      <c r="R268" s="73">
        <f t="shared" si="40"/>
        <v>9.0909090909090912E-2</v>
      </c>
    </row>
    <row r="269" spans="1:18" x14ac:dyDescent="0.25">
      <c r="A269" s="12" t="s">
        <v>861</v>
      </c>
      <c r="B269" s="12"/>
      <c r="C269" s="12" t="s">
        <v>843</v>
      </c>
      <c r="D269" s="12" t="s">
        <v>714</v>
      </c>
      <c r="E269" s="12" t="s">
        <v>1354</v>
      </c>
      <c r="F269" s="12"/>
      <c r="G269" s="13">
        <v>45139</v>
      </c>
      <c r="H269" s="14">
        <v>1</v>
      </c>
      <c r="I269" s="14">
        <v>0</v>
      </c>
      <c r="J269" s="8">
        <f>SUMIF(Journal!$A:$A,HeadJournal!$A269,Journal!$K:$K)+SUMIF(Journal!$A:$A,HeadJournal!$A269,Journal!$L:$L)+SUMIF(Journal!$A:$A,HeadJournal!$A269,Journal!$M:$M)</f>
        <v>1456</v>
      </c>
      <c r="K269" s="14">
        <v>1456</v>
      </c>
      <c r="L269" s="14">
        <f t="shared" si="37"/>
        <v>145.6</v>
      </c>
      <c r="M269" s="8">
        <f>SUMIF(Journal!$A:$A,HeadJournal!$A269,Journal!$P:$P)</f>
        <v>1601.6</v>
      </c>
      <c r="N269" s="8">
        <f>SUMIF(Journal!$A:$A,HeadJournal!$A269,Journal!Q:Q)</f>
        <v>1300</v>
      </c>
      <c r="O269" s="18">
        <f>SUMIF(Journal!$A:$A,HeadJournal!$A269,Journal!U:U)</f>
        <v>-301.59999999999991</v>
      </c>
      <c r="P269" s="22">
        <f t="shared" si="39"/>
        <v>-0.18831168831168826</v>
      </c>
      <c r="Q269" s="7" t="b">
        <f t="shared" si="38"/>
        <v>1</v>
      </c>
      <c r="R269" s="73">
        <f t="shared" si="40"/>
        <v>9.0909090909090912E-2</v>
      </c>
    </row>
    <row r="270" spans="1:18" x14ac:dyDescent="0.25">
      <c r="A270" s="12" t="s">
        <v>862</v>
      </c>
      <c r="B270" s="12"/>
      <c r="C270" s="12" t="s">
        <v>843</v>
      </c>
      <c r="D270" s="12" t="s">
        <v>714</v>
      </c>
      <c r="E270" s="12" t="s">
        <v>1354</v>
      </c>
      <c r="F270" s="12"/>
      <c r="G270" s="13">
        <v>45139</v>
      </c>
      <c r="H270" s="14">
        <v>1</v>
      </c>
      <c r="I270" s="14">
        <v>0</v>
      </c>
      <c r="J270" s="8">
        <f>SUMIF(Journal!$A:$A,HeadJournal!$A270,Journal!$K:$K)+SUMIF(Journal!$A:$A,HeadJournal!$A270,Journal!$L:$L)+SUMIF(Journal!$A:$A,HeadJournal!$A270,Journal!$M:$M)</f>
        <v>1190</v>
      </c>
      <c r="K270" s="14">
        <v>1190</v>
      </c>
      <c r="L270" s="14">
        <f t="shared" si="37"/>
        <v>119</v>
      </c>
      <c r="M270" s="8">
        <f>SUMIF(Journal!$A:$A,HeadJournal!$A270,Journal!$P:$P)</f>
        <v>1309</v>
      </c>
      <c r="N270" s="8">
        <f>SUMIF(Journal!$A:$A,HeadJournal!$A270,Journal!Q:Q)</f>
        <v>3200</v>
      </c>
      <c r="O270" s="18">
        <f>SUMIF(Journal!$A:$A,HeadJournal!$A270,Journal!U:U)</f>
        <v>1891</v>
      </c>
      <c r="P270" s="22">
        <f t="shared" si="39"/>
        <v>1.4446142093200918</v>
      </c>
      <c r="Q270" s="7" t="b">
        <f t="shared" si="38"/>
        <v>1</v>
      </c>
      <c r="R270" s="73">
        <f t="shared" si="40"/>
        <v>9.0909090909090912E-2</v>
      </c>
    </row>
    <row r="271" spans="1:18" x14ac:dyDescent="0.25">
      <c r="A271" s="12" t="s">
        <v>863</v>
      </c>
      <c r="B271" s="12"/>
      <c r="C271" s="12" t="s">
        <v>843</v>
      </c>
      <c r="D271" s="12" t="s">
        <v>714</v>
      </c>
      <c r="E271" s="12" t="s">
        <v>1354</v>
      </c>
      <c r="F271" s="12"/>
      <c r="G271" s="13">
        <v>45131</v>
      </c>
      <c r="H271" s="14">
        <v>1</v>
      </c>
      <c r="I271" s="14">
        <v>0</v>
      </c>
      <c r="J271" s="8">
        <f>SUMIF(Journal!$A:$A,HeadJournal!$A271,Journal!$K:$K)+SUMIF(Journal!$A:$A,HeadJournal!$A271,Journal!$L:$L)+SUMIF(Journal!$A:$A,HeadJournal!$A271,Journal!$M:$M)</f>
        <v>1036</v>
      </c>
      <c r="K271" s="14">
        <v>1036</v>
      </c>
      <c r="L271" s="14">
        <f t="shared" si="37"/>
        <v>103.60000000000001</v>
      </c>
      <c r="M271" s="8">
        <f>SUMIF(Journal!$A:$A,HeadJournal!$A271,Journal!$P:$P)</f>
        <v>1139.5999999999999</v>
      </c>
      <c r="N271" s="8">
        <f>SUMIF(Journal!$A:$A,HeadJournal!$A271,Journal!Q:Q)</f>
        <v>2500</v>
      </c>
      <c r="O271" s="18">
        <f>SUMIF(Journal!$A:$A,HeadJournal!$A271,Journal!U:U)</f>
        <v>1360.4</v>
      </c>
      <c r="P271" s="22">
        <f t="shared" si="39"/>
        <v>1.193752193752194</v>
      </c>
      <c r="Q271" s="7" t="b">
        <f t="shared" si="38"/>
        <v>1</v>
      </c>
      <c r="R271" s="73">
        <f t="shared" si="40"/>
        <v>9.0909090909090925E-2</v>
      </c>
    </row>
    <row r="272" spans="1:18" x14ac:dyDescent="0.25">
      <c r="A272" s="12" t="s">
        <v>864</v>
      </c>
      <c r="B272" s="12"/>
      <c r="C272" s="12" t="s">
        <v>1368</v>
      </c>
      <c r="D272" s="12" t="s">
        <v>714</v>
      </c>
      <c r="E272" s="12" t="s">
        <v>1369</v>
      </c>
      <c r="F272" s="12"/>
      <c r="G272" s="13">
        <v>45135</v>
      </c>
      <c r="H272" s="14">
        <v>1.08</v>
      </c>
      <c r="I272" s="14">
        <v>0</v>
      </c>
      <c r="J272" s="8">
        <f>SUMIF(Journal!$A:$A,HeadJournal!$A272,Journal!$K:$K)+SUMIF(Journal!$A:$A,HeadJournal!$A272,Journal!$L:$L)+SUMIF(Journal!$A:$A,HeadJournal!$A272,Journal!$M:$M)</f>
        <v>12599</v>
      </c>
      <c r="K272" s="14">
        <v>12599</v>
      </c>
      <c r="L272" s="14">
        <f>437+442.49+400</f>
        <v>1279.49</v>
      </c>
      <c r="M272" s="8">
        <f>SUMIF(Journal!$A:$A,HeadJournal!$A272,Journal!$P:$P)</f>
        <v>14886.41</v>
      </c>
      <c r="N272" s="8">
        <f>SUMIF(Journal!$A:$A,HeadJournal!$A272,Journal!Q:Q)</f>
        <v>20567.62</v>
      </c>
      <c r="O272" s="18">
        <f>SUMIF(Journal!$A:$A,HeadJournal!$A272,Journal!U:U)</f>
        <v>5681.2099999999991</v>
      </c>
      <c r="P272" s="22">
        <f t="shared" si="39"/>
        <v>0.38163734574017505</v>
      </c>
      <c r="Q272" s="7" t="b">
        <f t="shared" si="38"/>
        <v>1</v>
      </c>
      <c r="R272" s="73">
        <f t="shared" si="40"/>
        <v>8.5950205590199391E-2</v>
      </c>
    </row>
    <row r="273" spans="1:18" x14ac:dyDescent="0.25">
      <c r="A273" s="12" t="s">
        <v>865</v>
      </c>
      <c r="B273" s="12"/>
      <c r="C273" s="12" t="s">
        <v>843</v>
      </c>
      <c r="D273" s="12" t="s">
        <v>714</v>
      </c>
      <c r="E273" s="12" t="s">
        <v>1354</v>
      </c>
      <c r="F273" s="12"/>
      <c r="G273" s="13">
        <v>45141</v>
      </c>
      <c r="H273" s="14">
        <v>1</v>
      </c>
      <c r="I273" s="14">
        <v>0</v>
      </c>
      <c r="J273" s="8">
        <f>SUMIF(Journal!$A:$A,HeadJournal!$A273,Journal!$K:$K)+SUMIF(Journal!$A:$A,HeadJournal!$A273,Journal!$L:$L)+SUMIF(Journal!$A:$A,HeadJournal!$A273,Journal!$M:$M)</f>
        <v>1630</v>
      </c>
      <c r="K273" s="14">
        <v>1630</v>
      </c>
      <c r="L273" s="14">
        <f>K273*0.1</f>
        <v>163</v>
      </c>
      <c r="M273" s="8">
        <f>SUMIF(Journal!$A:$A,HeadJournal!$A273,Journal!$P:$P)</f>
        <v>1793</v>
      </c>
      <c r="N273" s="8">
        <f>SUMIF(Journal!$A:$A,HeadJournal!$A273,Journal!Q:Q)</f>
        <v>2500</v>
      </c>
      <c r="O273" s="18">
        <f>SUMIF(Journal!$A:$A,HeadJournal!$A273,Journal!U:U)</f>
        <v>707</v>
      </c>
      <c r="P273" s="22">
        <f t="shared" si="39"/>
        <v>0.39431121026213051</v>
      </c>
      <c r="Q273" s="7" t="b">
        <f t="shared" si="38"/>
        <v>1</v>
      </c>
      <c r="R273" s="73">
        <f t="shared" si="40"/>
        <v>9.0909090909090912E-2</v>
      </c>
    </row>
    <row r="274" spans="1:18" x14ac:dyDescent="0.25">
      <c r="A274" s="12" t="s">
        <v>867</v>
      </c>
      <c r="B274" s="12"/>
      <c r="C274" s="12" t="s">
        <v>843</v>
      </c>
      <c r="D274" s="12" t="s">
        <v>714</v>
      </c>
      <c r="E274" s="12" t="s">
        <v>1354</v>
      </c>
      <c r="F274" s="12"/>
      <c r="G274" s="13">
        <v>45141</v>
      </c>
      <c r="H274" s="14">
        <v>1</v>
      </c>
      <c r="I274" s="14">
        <v>0</v>
      </c>
      <c r="J274" s="8">
        <f>SUMIF(Journal!$A:$A,HeadJournal!$A274,Journal!$K:$K)+SUMIF(Journal!$A:$A,HeadJournal!$A274,Journal!$L:$L)+SUMIF(Journal!$A:$A,HeadJournal!$A274,Journal!$M:$M)</f>
        <v>3260</v>
      </c>
      <c r="K274" s="14">
        <v>3260</v>
      </c>
      <c r="L274" s="14">
        <f>K274*0.1</f>
        <v>326</v>
      </c>
      <c r="M274" s="8">
        <f>SUMIF(Journal!$A:$A,HeadJournal!$A274,Journal!$P:$P)</f>
        <v>3586</v>
      </c>
      <c r="N274" s="8">
        <f>SUMIF(Journal!$A:$A,HeadJournal!$A274,Journal!Q:Q)</f>
        <v>5000</v>
      </c>
      <c r="O274" s="18">
        <f>SUMIF(Journal!$A:$A,HeadJournal!$A274,Journal!U:U)</f>
        <v>1414</v>
      </c>
      <c r="P274" s="22">
        <f t="shared" si="39"/>
        <v>0.39431121026213051</v>
      </c>
      <c r="Q274" s="7" t="b">
        <f t="shared" si="38"/>
        <v>1</v>
      </c>
      <c r="R274" s="73">
        <f t="shared" si="40"/>
        <v>9.0909090909090912E-2</v>
      </c>
    </row>
    <row r="275" spans="1:18" x14ac:dyDescent="0.25">
      <c r="A275" s="12" t="s">
        <v>868</v>
      </c>
      <c r="B275" s="12"/>
      <c r="C275" s="12" t="s">
        <v>843</v>
      </c>
      <c r="D275" s="12" t="s">
        <v>714</v>
      </c>
      <c r="E275" s="12" t="s">
        <v>1354</v>
      </c>
      <c r="F275" s="12"/>
      <c r="G275" s="13">
        <v>45141</v>
      </c>
      <c r="H275" s="14">
        <v>1</v>
      </c>
      <c r="I275" s="14">
        <v>0</v>
      </c>
      <c r="J275" s="8">
        <f>SUMIF(Journal!$A:$A,HeadJournal!$A275,Journal!$K:$K)+SUMIF(Journal!$A:$A,HeadJournal!$A275,Journal!$L:$L)+SUMIF(Journal!$A:$A,HeadJournal!$A275,Journal!$M:$M)</f>
        <v>2718</v>
      </c>
      <c r="K275" s="14">
        <v>2718</v>
      </c>
      <c r="L275" s="14">
        <f>K275*0.1</f>
        <v>271.8</v>
      </c>
      <c r="M275" s="8">
        <f>SUMIF(Journal!$A:$A,HeadJournal!$A275,Journal!$P:$P)</f>
        <v>2989.8</v>
      </c>
      <c r="N275" s="8">
        <f>SUMIF(Journal!$A:$A,HeadJournal!$A275,Journal!Q:Q)</f>
        <v>3600</v>
      </c>
      <c r="O275" s="18">
        <f>SUMIF(Journal!$A:$A,HeadJournal!$A275,Journal!U:U)</f>
        <v>610.19999999999982</v>
      </c>
      <c r="P275" s="22">
        <f t="shared" si="39"/>
        <v>0.20409391932570733</v>
      </c>
      <c r="Q275" s="7" t="b">
        <f t="shared" si="38"/>
        <v>1</v>
      </c>
      <c r="R275" s="73">
        <f t="shared" si="40"/>
        <v>9.0909090909090912E-2</v>
      </c>
    </row>
    <row r="276" spans="1:18" x14ac:dyDescent="0.25">
      <c r="A276" s="12" t="s">
        <v>870</v>
      </c>
      <c r="B276" s="124" t="s">
        <v>1437</v>
      </c>
      <c r="C276" s="12" t="s">
        <v>1735</v>
      </c>
      <c r="D276" s="12" t="s">
        <v>714</v>
      </c>
      <c r="E276" s="12" t="s">
        <v>1369</v>
      </c>
      <c r="F276" s="124" t="s">
        <v>1438</v>
      </c>
      <c r="G276" s="13">
        <v>45132</v>
      </c>
      <c r="H276" s="14">
        <f>22787.4/226.05</f>
        <v>100.80690112806901</v>
      </c>
      <c r="I276" s="14">
        <v>-17.3</v>
      </c>
      <c r="J276" s="8">
        <f>SUMIF(Journal!$A:$A,HeadJournal!$A276,Journal!$K:$K)+SUMIF(Journal!$A:$A,HeadJournal!$A276,Journal!$L:$L)+SUMIF(Journal!$A:$A,HeadJournal!$A276,Journal!$M:$M)</f>
        <v>226.04999999999993</v>
      </c>
      <c r="K276" s="14">
        <v>226.05</v>
      </c>
      <c r="L276" s="14">
        <f>(1354.48+900+400)/2</f>
        <v>1327.24</v>
      </c>
      <c r="M276" s="8">
        <f>SUMIF(Journal!$A:$A,HeadJournal!$A276,Journal!$P:$P)</f>
        <v>24114.640000000007</v>
      </c>
      <c r="N276" s="8">
        <f>SUMIF(Journal!$A:$A,HeadJournal!$A276,Journal!Q:Q)</f>
        <v>35514.51</v>
      </c>
      <c r="O276" s="18">
        <f>SUMIF(Journal!$A:$A,HeadJournal!$A276,Journal!U:U)</f>
        <v>11399.869999999988</v>
      </c>
      <c r="P276" s="22">
        <f t="shared" si="39"/>
        <v>0.47273647875315511</v>
      </c>
      <c r="R276" s="73">
        <f t="shared" si="40"/>
        <v>5.503876483331286E-2</v>
      </c>
    </row>
    <row r="277" spans="1:18" x14ac:dyDescent="0.25">
      <c r="A277" s="12" t="s">
        <v>874</v>
      </c>
      <c r="B277" s="124" t="s">
        <v>1439</v>
      </c>
      <c r="C277" s="12" t="s">
        <v>1737</v>
      </c>
      <c r="D277" s="12" t="s">
        <v>714</v>
      </c>
      <c r="E277" s="12" t="s">
        <v>1369</v>
      </c>
      <c r="F277" s="124" t="s">
        <v>1440</v>
      </c>
      <c r="G277" s="13">
        <v>45142</v>
      </c>
      <c r="H277" s="14">
        <f>17235.44/J277</f>
        <v>102.71418355184744</v>
      </c>
      <c r="I277" s="14">
        <v>-15.81</v>
      </c>
      <c r="J277" s="8">
        <f>SUMIF(Journal!$A:$A,HeadJournal!$A277,Journal!$K:$K)+SUMIF(Journal!$A:$A,HeadJournal!$A277,Journal!$L:$L)+SUMIF(Journal!$A:$A,HeadJournal!$A277,Journal!$M:$M)</f>
        <v>167.79999999999998</v>
      </c>
      <c r="K277" s="14">
        <v>167.8</v>
      </c>
      <c r="L277" s="14">
        <f>(1294.62+800+400)/2</f>
        <v>1247.31</v>
      </c>
      <c r="M277" s="8">
        <f>SUMIF(Journal!$A:$A,HeadJournal!$A277,Journal!$P:$P)</f>
        <v>18482.75</v>
      </c>
      <c r="N277" s="8">
        <f>SUMIF(Journal!$A:$A,HeadJournal!$A277,Journal!Q:Q)</f>
        <v>29400</v>
      </c>
      <c r="O277" s="18">
        <f>SUMIF(Journal!$A:$A,HeadJournal!$A277,Journal!U:U)</f>
        <v>10917.249999999996</v>
      </c>
      <c r="P277" s="22">
        <f t="shared" si="39"/>
        <v>0.590672383709134</v>
      </c>
      <c r="R277" s="73">
        <f t="shared" si="40"/>
        <v>6.748508744640272E-2</v>
      </c>
    </row>
    <row r="278" spans="1:18" x14ac:dyDescent="0.25">
      <c r="A278" s="12" t="s">
        <v>879</v>
      </c>
      <c r="B278" s="124" t="s">
        <v>1441</v>
      </c>
      <c r="C278" s="12" t="s">
        <v>1751</v>
      </c>
      <c r="D278" s="12" t="s">
        <v>714</v>
      </c>
      <c r="E278" s="12" t="s">
        <v>1369</v>
      </c>
      <c r="F278" s="124" t="s">
        <v>1438</v>
      </c>
      <c r="G278" s="13">
        <v>45131</v>
      </c>
      <c r="H278" s="14">
        <f>13436.07/K278</f>
        <v>100.46410946612831</v>
      </c>
      <c r="I278" s="14">
        <v>-11.94</v>
      </c>
      <c r="J278" s="8">
        <f>SUMIF(Journal!$A:$A,HeadJournal!$A278,Journal!$K:$K)+SUMIF(Journal!$A:$A,HeadJournal!$A278,Journal!$L:$L)+SUMIF(Journal!$A:$A,HeadJournal!$A278,Journal!$M:$M)</f>
        <v>133.73999999999998</v>
      </c>
      <c r="K278" s="14">
        <v>133.74</v>
      </c>
      <c r="L278" s="14">
        <f>(1354.48+900+400)/2</f>
        <v>1327.24</v>
      </c>
      <c r="M278" s="8">
        <f>SUMIF(Journal!$A:$A,HeadJournal!$A278,Journal!$P:$P)</f>
        <v>14763.310000000001</v>
      </c>
      <c r="N278" s="8">
        <f>SUMIF(Journal!$A:$A,HeadJournal!$A278,Journal!Q:Q)</f>
        <v>19400</v>
      </c>
      <c r="O278" s="18">
        <f>SUMIF(Journal!$A:$A,HeadJournal!$A278,Journal!U:U)</f>
        <v>4636.6899999999978</v>
      </c>
      <c r="P278" s="22">
        <f t="shared" si="39"/>
        <v>0.31406845754779905</v>
      </c>
      <c r="R278" s="73">
        <f t="shared" si="40"/>
        <v>8.9901248432770156E-2</v>
      </c>
    </row>
    <row r="279" spans="1:18" x14ac:dyDescent="0.25">
      <c r="A279" s="12" t="s">
        <v>882</v>
      </c>
      <c r="B279" s="124" t="s">
        <v>1442</v>
      </c>
      <c r="C279" s="12" t="s">
        <v>1751</v>
      </c>
      <c r="D279" s="12" t="s">
        <v>714</v>
      </c>
      <c r="E279" s="12" t="s">
        <v>1369</v>
      </c>
      <c r="F279" s="124" t="s">
        <v>1443</v>
      </c>
      <c r="G279" s="13">
        <v>45146</v>
      </c>
      <c r="H279" s="14">
        <f>18047.29/K279</f>
        <v>106.34193624418126</v>
      </c>
      <c r="I279" s="14">
        <v>-15.55</v>
      </c>
      <c r="J279" s="8">
        <f>SUMIF(Journal!$A:$A,HeadJournal!$A279,Journal!$K:$K)+SUMIF(Journal!$A:$A,HeadJournal!$A279,Journal!$L:$L)+SUMIF(Journal!$A:$A,HeadJournal!$A279,Journal!$M:$M)</f>
        <v>169.71000000000006</v>
      </c>
      <c r="K279" s="14">
        <v>169.71</v>
      </c>
      <c r="L279" s="14">
        <f>(1060.1+600+200)/2</f>
        <v>930.05</v>
      </c>
      <c r="M279" s="8">
        <f>SUMIF(Journal!$A:$A,HeadJournal!$A279,Journal!$P:$P)</f>
        <v>18977.339999999993</v>
      </c>
      <c r="N279" s="8">
        <f>SUMIF(Journal!$A:$A,HeadJournal!$A279,Journal!Q:Q)</f>
        <v>29430.58</v>
      </c>
      <c r="O279" s="18">
        <f>SUMIF(Journal!$A:$A,HeadJournal!$A279,Journal!U:U)</f>
        <v>10453.240000000005</v>
      </c>
      <c r="P279" s="22">
        <f t="shared" si="39"/>
        <v>0.55082746053978104</v>
      </c>
      <c r="R279" s="73">
        <f t="shared" si="40"/>
        <v>4.9008449023941199E-2</v>
      </c>
    </row>
    <row r="280" spans="1:18" x14ac:dyDescent="0.25">
      <c r="A280" s="12" t="s">
        <v>886</v>
      </c>
      <c r="B280" s="124" t="s">
        <v>1444</v>
      </c>
      <c r="C280" s="12" t="s">
        <v>1752</v>
      </c>
      <c r="D280" s="12" t="s">
        <v>714</v>
      </c>
      <c r="E280" s="12" t="s">
        <v>1369</v>
      </c>
      <c r="F280" s="124" t="s">
        <v>1440</v>
      </c>
      <c r="G280" s="13">
        <v>45137</v>
      </c>
      <c r="H280" s="14">
        <f>15549.06/K280</f>
        <v>102.13518129269573</v>
      </c>
      <c r="I280" s="14">
        <v>-16.350000000000001</v>
      </c>
      <c r="J280" s="8">
        <f>SUMIF(Journal!$A:$A,HeadJournal!$A280,Journal!$K:$K)+SUMIF(Journal!$A:$A,HeadJournal!$A280,Journal!$L:$L)+SUMIF(Journal!$A:$A,HeadJournal!$A280,Journal!$M:$M)</f>
        <v>152.23999999999995</v>
      </c>
      <c r="K280" s="14">
        <v>152.24</v>
      </c>
      <c r="L280" s="14">
        <f>(1294.62+800+400)/2</f>
        <v>1247.31</v>
      </c>
      <c r="M280" s="8">
        <f>SUMIF(Journal!$A:$A,HeadJournal!$A280,Journal!$P:$P)</f>
        <v>16796.37</v>
      </c>
      <c r="N280" s="8">
        <f>SUMIF(Journal!$A:$A,HeadJournal!$A280,Journal!Q:Q)</f>
        <v>28300</v>
      </c>
      <c r="O280" s="18">
        <f>SUMIF(Journal!$A:$A,HeadJournal!$A280,Journal!U:U)</f>
        <v>11503.629999999997</v>
      </c>
      <c r="P280" s="22">
        <f t="shared" si="39"/>
        <v>0.6848878656519235</v>
      </c>
      <c r="Q280" s="7" t="b">
        <f>J280=K280</f>
        <v>1</v>
      </c>
      <c r="R280" s="73">
        <f t="shared" si="40"/>
        <v>7.4260688470187311E-2</v>
      </c>
    </row>
    <row r="281" spans="1:18" x14ac:dyDescent="0.25">
      <c r="A281" s="12" t="s">
        <v>887</v>
      </c>
      <c r="B281" s="12"/>
      <c r="C281" s="12" t="s">
        <v>1359</v>
      </c>
      <c r="D281" s="12" t="s">
        <v>714</v>
      </c>
      <c r="E281" s="12" t="s">
        <v>1358</v>
      </c>
      <c r="F281" s="12"/>
      <c r="G281" s="13">
        <v>45147</v>
      </c>
      <c r="H281" s="14">
        <v>1</v>
      </c>
      <c r="I281" s="14">
        <v>0</v>
      </c>
      <c r="J281" s="8">
        <f>SUMIF(Journal!$A:$A,HeadJournal!$A281,Journal!$K:$K)+SUMIF(Journal!$A:$A,HeadJournal!$A281,Journal!$L:$L)+SUMIF(Journal!$A:$A,HeadJournal!$A281,Journal!$M:$M)</f>
        <v>1738</v>
      </c>
      <c r="K281" s="14">
        <v>1760</v>
      </c>
      <c r="L281" s="14">
        <v>0</v>
      </c>
      <c r="M281" s="8">
        <f>SUMIF(Journal!$A:$A,HeadJournal!$A281,Journal!$P:$P)</f>
        <v>1760</v>
      </c>
      <c r="N281" s="8">
        <f>SUMIF(Journal!$A:$A,HeadJournal!$A281,Journal!Q:Q)</f>
        <v>2100</v>
      </c>
      <c r="O281" s="18">
        <f>SUMIF(Journal!$A:$A,HeadJournal!$A281,Journal!U:U)</f>
        <v>340</v>
      </c>
      <c r="P281" s="22">
        <f t="shared" si="39"/>
        <v>0.19318181818181818</v>
      </c>
      <c r="Q281" s="7" t="b">
        <f>J281=K281</f>
        <v>0</v>
      </c>
      <c r="R281" s="73">
        <f t="shared" si="40"/>
        <v>0</v>
      </c>
    </row>
    <row r="282" spans="1:18" x14ac:dyDescent="0.25">
      <c r="A282" s="12" t="s">
        <v>888</v>
      </c>
      <c r="B282" s="41" t="s">
        <v>1445</v>
      </c>
      <c r="C282" s="12" t="s">
        <v>1752</v>
      </c>
      <c r="D282" s="12" t="s">
        <v>714</v>
      </c>
      <c r="E282" s="12" t="s">
        <v>1369</v>
      </c>
      <c r="F282" s="41" t="s">
        <v>1446</v>
      </c>
      <c r="G282" s="13">
        <v>45154</v>
      </c>
      <c r="H282" s="14">
        <f>11502.51/K282</f>
        <v>109.65214489990467</v>
      </c>
      <c r="I282" s="14">
        <v>-2</v>
      </c>
      <c r="J282" s="8">
        <f>SUMIF(Journal!$A:$A,HeadJournal!$A282,Journal!$K:$K)+SUMIF(Journal!$A:$A,HeadJournal!$A282,Journal!$L:$L)+SUMIF(Journal!$A:$A,HeadJournal!$A282,Journal!$M:$M)</f>
        <v>104.90000000000003</v>
      </c>
      <c r="K282" s="14">
        <v>104.9</v>
      </c>
      <c r="L282" s="14">
        <f>(1060.1+900+200)/2</f>
        <v>1080.05</v>
      </c>
      <c r="M282" s="8">
        <f>SUMIF(Journal!$A:$A,HeadJournal!$A282,Journal!$P:$P)</f>
        <v>12582.559999999998</v>
      </c>
      <c r="N282" s="8">
        <f>SUMIF(Journal!$A:$A,HeadJournal!$A282,Journal!Q:Q)</f>
        <v>15300</v>
      </c>
      <c r="O282" s="18">
        <f>SUMIF(Journal!$A:$A,HeadJournal!$A282,Journal!U:U)</f>
        <v>2717.4400000000037</v>
      </c>
      <c r="P282" s="22">
        <f t="shared" si="39"/>
        <v>0.21596876947139565</v>
      </c>
      <c r="Q282" s="7" t="b">
        <f>J282=K282</f>
        <v>1</v>
      </c>
      <c r="R282" s="73">
        <f t="shared" si="40"/>
        <v>8.583706336389417E-2</v>
      </c>
    </row>
    <row r="283" spans="1:18" x14ac:dyDescent="0.25">
      <c r="A283" s="12" t="s">
        <v>890</v>
      </c>
      <c r="B283" s="41" t="s">
        <v>1447</v>
      </c>
      <c r="C283" s="12" t="s">
        <v>1735</v>
      </c>
      <c r="D283" s="12" t="s">
        <v>714</v>
      </c>
      <c r="E283" s="12" t="s">
        <v>1369</v>
      </c>
      <c r="F283" s="41" t="s">
        <v>1446</v>
      </c>
      <c r="G283" s="13">
        <v>45160</v>
      </c>
      <c r="H283" s="14">
        <f>20326.57/K283</f>
        <v>108.19486879224996</v>
      </c>
      <c r="I283" s="14">
        <v>-10</v>
      </c>
      <c r="J283" s="8">
        <f>SUMIF(Journal!$A:$A,HeadJournal!$A283,Journal!$K:$K)+SUMIF(Journal!$A:$A,HeadJournal!$A283,Journal!$L:$L)+SUMIF(Journal!$A:$A,HeadJournal!$A283,Journal!$M:$M)</f>
        <v>187.87</v>
      </c>
      <c r="K283" s="14">
        <v>187.87</v>
      </c>
      <c r="L283" s="14">
        <f>(1060.1+900+200)/2</f>
        <v>1080.05</v>
      </c>
      <c r="M283" s="8">
        <f>SUMIF(Journal!$A:$A,HeadJournal!$A283,Journal!$P:$P)</f>
        <v>21406.62</v>
      </c>
      <c r="N283" s="8">
        <f>SUMIF(Journal!$A:$A,HeadJournal!$A283,Journal!Q:Q)</f>
        <v>33500</v>
      </c>
      <c r="O283" s="18">
        <f>SUMIF(Journal!$A:$A,HeadJournal!$A283,Journal!U:U)</f>
        <v>12093.380000000001</v>
      </c>
      <c r="P283" s="22">
        <f t="shared" si="39"/>
        <v>0.56493645423705385</v>
      </c>
      <c r="R283" s="73">
        <f t="shared" si="40"/>
        <v>5.0454018429812834E-2</v>
      </c>
    </row>
    <row r="284" spans="1:18" x14ac:dyDescent="0.25">
      <c r="A284" s="12" t="s">
        <v>898</v>
      </c>
      <c r="B284" s="41" t="s">
        <v>1448</v>
      </c>
      <c r="C284" s="12" t="s">
        <v>1737</v>
      </c>
      <c r="D284" s="12" t="s">
        <v>714</v>
      </c>
      <c r="E284" s="12" t="s">
        <v>1369</v>
      </c>
      <c r="F284" s="41" t="s">
        <v>1443</v>
      </c>
      <c r="G284" s="13">
        <v>45152</v>
      </c>
      <c r="H284" s="14">
        <f>13022.05/K284</f>
        <v>110.75055281510461</v>
      </c>
      <c r="I284" s="14">
        <v>-15.11</v>
      </c>
      <c r="J284" s="8">
        <f>SUMIF(Journal!$A:$A,HeadJournal!$A284,Journal!$K:$K)+SUMIF(Journal!$A:$A,HeadJournal!$A284,Journal!$L:$L)+SUMIF(Journal!$A:$A,HeadJournal!$A284,Journal!$M:$M)</f>
        <v>117.58000000000003</v>
      </c>
      <c r="K284" s="14">
        <v>117.58</v>
      </c>
      <c r="L284" s="14">
        <f>(1060.1+600+200)/2</f>
        <v>930.05</v>
      </c>
      <c r="M284" s="8">
        <f>SUMIF(Journal!$A:$A,HeadJournal!$A284,Journal!$P:$P)</f>
        <v>13952.099999999995</v>
      </c>
      <c r="N284" s="8">
        <f>SUMIF(Journal!$A:$A,HeadJournal!$A284,Journal!Q:Q)</f>
        <v>22250</v>
      </c>
      <c r="O284" s="18">
        <f>SUMIF(Journal!$A:$A,HeadJournal!$A284,Journal!U:U)</f>
        <v>8297.9000000000015</v>
      </c>
      <c r="P284" s="22">
        <f t="shared" si="39"/>
        <v>0.59474201016334494</v>
      </c>
      <c r="R284" s="73">
        <f t="shared" si="40"/>
        <v>6.6660216024827829E-2</v>
      </c>
    </row>
    <row r="285" spans="1:18" x14ac:dyDescent="0.25">
      <c r="A285" s="12" t="s">
        <v>899</v>
      </c>
      <c r="B285" s="12"/>
      <c r="C285" s="12" t="s">
        <v>1380</v>
      </c>
      <c r="D285" s="12" t="s">
        <v>714</v>
      </c>
      <c r="E285" s="12" t="s">
        <v>1354</v>
      </c>
      <c r="F285" s="12"/>
      <c r="G285" s="13">
        <v>45153</v>
      </c>
      <c r="H285" s="14">
        <v>1</v>
      </c>
      <c r="I285" s="14">
        <v>0</v>
      </c>
      <c r="J285" s="8">
        <f>SUMIF(Journal!$A:$A,HeadJournal!$A285,Journal!$K:$K)+SUMIF(Journal!$A:$A,HeadJournal!$A285,Journal!$L:$L)+SUMIF(Journal!$A:$A,HeadJournal!$A285,Journal!$M:$M)</f>
        <v>6540</v>
      </c>
      <c r="K285" s="14">
        <v>6540</v>
      </c>
      <c r="L285" s="14">
        <f>K285*0.1</f>
        <v>654</v>
      </c>
      <c r="M285" s="8">
        <f>SUMIF(Journal!$A:$A,HeadJournal!$A285,Journal!$P:$P)</f>
        <v>7194</v>
      </c>
      <c r="N285" s="8">
        <f>SUMIF(Journal!$A:$A,HeadJournal!$A285,Journal!Q:Q)</f>
        <v>11600</v>
      </c>
      <c r="O285" s="18">
        <f>SUMIF(Journal!$A:$A,HeadJournal!$A285,Journal!U:U)</f>
        <v>4406</v>
      </c>
      <c r="P285" s="22">
        <f t="shared" si="39"/>
        <v>0.61245482346399782</v>
      </c>
      <c r="Q285" s="7" t="b">
        <f t="shared" ref="Q285:Q291" si="41">J285=K285</f>
        <v>1</v>
      </c>
      <c r="R285" s="73">
        <f t="shared" si="40"/>
        <v>9.0909090909090912E-2</v>
      </c>
    </row>
    <row r="286" spans="1:18" x14ac:dyDescent="0.25">
      <c r="A286" s="12" t="s">
        <v>900</v>
      </c>
      <c r="B286" s="12"/>
      <c r="C286" s="12" t="s">
        <v>1380</v>
      </c>
      <c r="D286" s="12" t="s">
        <v>714</v>
      </c>
      <c r="E286" s="12" t="s">
        <v>1354</v>
      </c>
      <c r="F286" s="12"/>
      <c r="G286" s="13">
        <v>45163</v>
      </c>
      <c r="H286" s="14">
        <v>1</v>
      </c>
      <c r="I286" s="14">
        <v>0</v>
      </c>
      <c r="J286" s="8">
        <f>SUMIF(Journal!$A:$A,HeadJournal!$A286,Journal!$K:$K)+SUMIF(Journal!$A:$A,HeadJournal!$A286,Journal!$L:$L)+SUMIF(Journal!$A:$A,HeadJournal!$A286,Journal!$M:$M)</f>
        <v>759</v>
      </c>
      <c r="K286" s="14">
        <v>759</v>
      </c>
      <c r="L286" s="14">
        <f>K286*0.1</f>
        <v>75.900000000000006</v>
      </c>
      <c r="M286" s="8">
        <f>SUMIF(Journal!$A:$A,HeadJournal!$A286,Journal!$P:$P)</f>
        <v>834.90000000000009</v>
      </c>
      <c r="N286" s="8">
        <f>SUMIF(Journal!$A:$A,HeadJournal!$A286,Journal!Q:Q)</f>
        <v>2100</v>
      </c>
      <c r="O286" s="18">
        <f>SUMIF(Journal!$A:$A,HeadJournal!$A286,Journal!U:U)</f>
        <v>1265.0999999999999</v>
      </c>
      <c r="P286" s="22">
        <f t="shared" si="39"/>
        <v>1.5152712899748471</v>
      </c>
      <c r="Q286" s="7" t="b">
        <f t="shared" si="41"/>
        <v>1</v>
      </c>
      <c r="R286" s="73">
        <f t="shared" si="40"/>
        <v>9.0909090909090912E-2</v>
      </c>
    </row>
    <row r="287" spans="1:18" x14ac:dyDescent="0.25">
      <c r="A287" s="12" t="s">
        <v>902</v>
      </c>
      <c r="B287" s="12"/>
      <c r="C287" s="12" t="s">
        <v>843</v>
      </c>
      <c r="D287" s="12" t="s">
        <v>714</v>
      </c>
      <c r="E287" s="12" t="s">
        <v>1354</v>
      </c>
      <c r="F287" s="12"/>
      <c r="G287" s="13">
        <v>45161</v>
      </c>
      <c r="H287" s="14">
        <v>1</v>
      </c>
      <c r="I287" s="14">
        <v>0</v>
      </c>
      <c r="J287" s="8">
        <f>SUMIF(Journal!$A:$A,HeadJournal!$A287,Journal!$K:$K)+SUMIF(Journal!$A:$A,HeadJournal!$A287,Journal!$L:$L)+SUMIF(Journal!$A:$A,HeadJournal!$A287,Journal!$M:$M)</f>
        <v>654</v>
      </c>
      <c r="K287" s="14">
        <v>654</v>
      </c>
      <c r="L287" s="14">
        <f>K287*0.1</f>
        <v>65.400000000000006</v>
      </c>
      <c r="M287" s="8">
        <f>SUMIF(Journal!$A:$A,HeadJournal!$A287,Journal!$P:$P)</f>
        <v>719.40000000000009</v>
      </c>
      <c r="N287" s="8">
        <f>SUMIF(Journal!$A:$A,HeadJournal!$A287,Journal!Q:Q)</f>
        <v>1400</v>
      </c>
      <c r="O287" s="18">
        <f>SUMIF(Journal!$A:$A,HeadJournal!$A287,Journal!U:U)</f>
        <v>680.59999999999991</v>
      </c>
      <c r="P287" s="22">
        <f t="shared" si="39"/>
        <v>0.94606616624965223</v>
      </c>
      <c r="Q287" s="7" t="b">
        <f t="shared" si="41"/>
        <v>1</v>
      </c>
      <c r="R287" s="73">
        <f t="shared" si="40"/>
        <v>9.0909090909090912E-2</v>
      </c>
    </row>
    <row r="288" spans="1:18" x14ac:dyDescent="0.25">
      <c r="A288" s="12" t="s">
        <v>904</v>
      </c>
      <c r="B288" s="12"/>
      <c r="C288" s="12" t="s">
        <v>1359</v>
      </c>
      <c r="D288" s="12" t="s">
        <v>714</v>
      </c>
      <c r="E288" s="12" t="s">
        <v>1358</v>
      </c>
      <c r="F288" s="12"/>
      <c r="G288" s="13">
        <v>45165</v>
      </c>
      <c r="H288" s="14">
        <v>1</v>
      </c>
      <c r="I288" s="14">
        <v>0</v>
      </c>
      <c r="J288" s="8">
        <f>SUMIF(Journal!$A:$A,HeadJournal!$A288,Journal!$K:$K)+SUMIF(Journal!$A:$A,HeadJournal!$A288,Journal!$L:$L)+SUMIF(Journal!$A:$A,HeadJournal!$A288,Journal!$M:$M)</f>
        <v>2520</v>
      </c>
      <c r="K288" s="14">
        <v>2550</v>
      </c>
      <c r="L288" s="14">
        <v>0</v>
      </c>
      <c r="M288" s="8">
        <f>SUMIF(Journal!$A:$A,HeadJournal!$A288,Journal!$P:$P)</f>
        <v>2550</v>
      </c>
      <c r="N288" s="8">
        <f>SUMIF(Journal!$A:$A,HeadJournal!$A288,Journal!Q:Q)</f>
        <v>3200</v>
      </c>
      <c r="O288" s="18">
        <f>SUMIF(Journal!$A:$A,HeadJournal!$A288,Journal!U:U)</f>
        <v>650</v>
      </c>
      <c r="P288" s="22">
        <f t="shared" si="39"/>
        <v>0.25490196078431371</v>
      </c>
      <c r="Q288" s="7" t="b">
        <f t="shared" si="41"/>
        <v>0</v>
      </c>
      <c r="R288" s="73">
        <f t="shared" si="40"/>
        <v>0</v>
      </c>
    </row>
    <row r="289" spans="1:18" x14ac:dyDescent="0.25">
      <c r="A289" s="12" t="s">
        <v>905</v>
      </c>
      <c r="B289" s="12"/>
      <c r="C289" s="12" t="s">
        <v>1426</v>
      </c>
      <c r="D289" s="12" t="s">
        <v>714</v>
      </c>
      <c r="E289" s="12" t="s">
        <v>1369</v>
      </c>
      <c r="F289" s="12"/>
      <c r="G289" s="13">
        <v>45156</v>
      </c>
      <c r="H289" s="14">
        <v>1</v>
      </c>
      <c r="I289" s="14">
        <v>0</v>
      </c>
      <c r="J289" s="8">
        <f>SUMIF(Journal!$A:$A,HeadJournal!$A289,Journal!$K:$K)+SUMIF(Journal!$A:$A,HeadJournal!$A289,Journal!$L:$L)+SUMIF(Journal!$A:$A,HeadJournal!$A289,Journal!$M:$M)</f>
        <v>4843.99</v>
      </c>
      <c r="K289" s="14">
        <v>4843.99</v>
      </c>
      <c r="L289" s="14">
        <f>200/2</f>
        <v>100</v>
      </c>
      <c r="M289" s="8">
        <f>SUMIF(Journal!$A:$A,HeadJournal!$A289,Journal!$P:$P)</f>
        <v>4943.99</v>
      </c>
      <c r="N289" s="8">
        <f>SUMIF(Journal!$A:$A,HeadJournal!$A289,Journal!Q:Q)</f>
        <v>7700</v>
      </c>
      <c r="O289" s="18">
        <f>SUMIF(Journal!$A:$A,HeadJournal!$A289,Journal!U:U)</f>
        <v>2756.0099999999998</v>
      </c>
      <c r="P289" s="22">
        <f t="shared" si="39"/>
        <v>0.55744651587078453</v>
      </c>
      <c r="Q289" s="7" t="b">
        <f t="shared" si="41"/>
        <v>1</v>
      </c>
      <c r="R289" s="73">
        <f t="shared" si="40"/>
        <v>2.0226578128192008E-2</v>
      </c>
    </row>
    <row r="290" spans="1:18" x14ac:dyDescent="0.25">
      <c r="A290" s="12" t="s">
        <v>908</v>
      </c>
      <c r="B290" s="12"/>
      <c r="C290" s="12" t="s">
        <v>1426</v>
      </c>
      <c r="D290" s="12" t="s">
        <v>714</v>
      </c>
      <c r="E290" s="12" t="s">
        <v>1369</v>
      </c>
      <c r="F290" s="12"/>
      <c r="G290" s="13">
        <v>45165</v>
      </c>
      <c r="H290" s="14">
        <v>1</v>
      </c>
      <c r="I290" s="14">
        <v>0</v>
      </c>
      <c r="J290" s="8">
        <f>SUMIF(Journal!$A:$A,HeadJournal!$A290,Journal!$K:$K)+SUMIF(Journal!$A:$A,HeadJournal!$A290,Journal!$L:$L)+SUMIF(Journal!$A:$A,HeadJournal!$A290,Journal!$M:$M)</f>
        <v>5342.61</v>
      </c>
      <c r="K290" s="14">
        <v>5500.46</v>
      </c>
      <c r="L290" s="14">
        <v>200</v>
      </c>
      <c r="M290" s="8">
        <f>SUMIF(Journal!$A:$A,HeadJournal!$A290,Journal!$P:$P)</f>
        <v>5700.4600000000009</v>
      </c>
      <c r="N290" s="8">
        <f>SUMIF(Journal!$A:$A,HeadJournal!$A290,Journal!Q:Q)</f>
        <v>4400</v>
      </c>
      <c r="O290" s="18">
        <f>SUMIF(Journal!$A:$A,HeadJournal!$A290,Journal!U:U)</f>
        <v>-1300.4600000000005</v>
      </c>
      <c r="P290" s="22">
        <f t="shared" si="39"/>
        <v>-0.22813246650270333</v>
      </c>
      <c r="Q290" s="7" t="b">
        <f t="shared" si="41"/>
        <v>0</v>
      </c>
      <c r="R290" s="73">
        <f t="shared" si="40"/>
        <v>3.5084887886240756E-2</v>
      </c>
    </row>
    <row r="291" spans="1:18" x14ac:dyDescent="0.25">
      <c r="A291" s="12" t="s">
        <v>913</v>
      </c>
      <c r="B291" s="12"/>
      <c r="C291" s="12" t="s">
        <v>1449</v>
      </c>
      <c r="D291" s="12" t="s">
        <v>714</v>
      </c>
      <c r="E291" s="12" t="s">
        <v>1369</v>
      </c>
      <c r="F291" s="12"/>
      <c r="G291" s="13">
        <v>45156</v>
      </c>
      <c r="H291" s="14">
        <v>1</v>
      </c>
      <c r="I291" s="14">
        <v>0</v>
      </c>
      <c r="J291" s="8">
        <f>SUMIF(Journal!$A:$A,HeadJournal!$A291,Journal!$K:$K)+SUMIF(Journal!$A:$A,HeadJournal!$A291,Journal!$L:$L)+SUMIF(Journal!$A:$A,HeadJournal!$A291,Journal!$M:$M)</f>
        <v>5204.42</v>
      </c>
      <c r="K291" s="14">
        <v>5204.42</v>
      </c>
      <c r="L291" s="14">
        <f>200/2</f>
        <v>100</v>
      </c>
      <c r="M291" s="8">
        <f>SUMIF(Journal!$A:$A,HeadJournal!$A291,Journal!$P:$P)</f>
        <v>5304.42</v>
      </c>
      <c r="N291" s="8">
        <f>SUMIF(Journal!$A:$A,HeadJournal!$A291,Journal!Q:Q)</f>
        <v>7600</v>
      </c>
      <c r="O291" s="18">
        <f>SUMIF(Journal!$A:$A,HeadJournal!$A291,Journal!U:U)</f>
        <v>2295.5800000000004</v>
      </c>
      <c r="P291" s="22">
        <f t="shared" si="39"/>
        <v>0.4327673902141988</v>
      </c>
      <c r="Q291" s="7" t="b">
        <f t="shared" si="41"/>
        <v>1</v>
      </c>
      <c r="R291" s="73">
        <f t="shared" si="40"/>
        <v>1.8852202502818403E-2</v>
      </c>
    </row>
    <row r="292" spans="1:18" x14ac:dyDescent="0.25">
      <c r="A292" s="12" t="s">
        <v>914</v>
      </c>
      <c r="B292" s="124" t="s">
        <v>1450</v>
      </c>
      <c r="C292" s="12" t="s">
        <v>1751</v>
      </c>
      <c r="D292" s="12" t="s">
        <v>714</v>
      </c>
      <c r="E292" s="12" t="s">
        <v>1369</v>
      </c>
      <c r="F292" s="124" t="s">
        <v>1451</v>
      </c>
      <c r="G292" s="13">
        <v>45168</v>
      </c>
      <c r="H292" s="14">
        <v>108.27</v>
      </c>
      <c r="I292" s="14">
        <v>-12.17</v>
      </c>
      <c r="J292" s="8">
        <f>SUMIF(Journal!$A:$A,HeadJournal!$A292,Journal!$K:$K)+SUMIF(Journal!$A:$A,HeadJournal!$A292,Journal!$L:$L)+SUMIF(Journal!$A:$A,HeadJournal!$A292,Journal!$M:$M)</f>
        <v>108.69</v>
      </c>
      <c r="K292" s="14">
        <v>108.69</v>
      </c>
      <c r="L292" s="14">
        <f>(1662.63+1400+400)/4</f>
        <v>865.65750000000003</v>
      </c>
      <c r="M292" s="8">
        <f>SUMIF(Journal!$A:$A,HeadJournal!$A292,Journal!$P:$P)</f>
        <v>12633.523800000001</v>
      </c>
      <c r="N292" s="8">
        <f>SUMIF(Journal!$A:$A,HeadJournal!$A292,Journal!Q:Q)</f>
        <v>19700</v>
      </c>
      <c r="O292" s="18">
        <f>SUMIF(Journal!$A:$A,HeadJournal!$A292,Journal!U:U)</f>
        <v>7066.476200000001</v>
      </c>
      <c r="P292" s="22">
        <f t="shared" si="39"/>
        <v>0.55934324515223544</v>
      </c>
      <c r="R292" s="73">
        <f t="shared" si="40"/>
        <v>6.8520668793927472E-2</v>
      </c>
    </row>
    <row r="293" spans="1:18" x14ac:dyDescent="0.25">
      <c r="A293" s="12" t="s">
        <v>917</v>
      </c>
      <c r="B293" s="124" t="s">
        <v>1452</v>
      </c>
      <c r="C293" s="12" t="s">
        <v>1737</v>
      </c>
      <c r="D293" s="12" t="s">
        <v>714</v>
      </c>
      <c r="E293" s="12" t="s">
        <v>1369</v>
      </c>
      <c r="F293" s="124" t="s">
        <v>1451</v>
      </c>
      <c r="G293" s="13">
        <v>45172</v>
      </c>
      <c r="H293" s="14">
        <f>26588.15/J293</f>
        <v>107.37480817381471</v>
      </c>
      <c r="I293" s="14">
        <v>-10.62</v>
      </c>
      <c r="J293" s="8">
        <f>SUMIF(Journal!$A:$A,HeadJournal!$A293,Journal!$K:$K)+SUMIF(Journal!$A:$A,HeadJournal!$A293,Journal!$L:$L)+SUMIF(Journal!$A:$A,HeadJournal!$A293,Journal!$M:$M)</f>
        <v>247.62</v>
      </c>
      <c r="K293" s="14">
        <v>247.62</v>
      </c>
      <c r="L293" s="14">
        <f>(1662.63+1400+400)/4</f>
        <v>865.65750000000003</v>
      </c>
      <c r="M293" s="8">
        <f>SUMIF(Journal!$A:$A,HeadJournal!$A293,Journal!$P:$P)</f>
        <v>27453.807500000003</v>
      </c>
      <c r="N293" s="8">
        <f>SUMIF(Journal!$A:$A,HeadJournal!$A293,Journal!Q:Q)</f>
        <v>41200</v>
      </c>
      <c r="O293" s="18">
        <f>SUMIF(Journal!$A:$A,HeadJournal!$A293,Journal!U:U)</f>
        <v>13746.192500000001</v>
      </c>
      <c r="P293" s="22">
        <f t="shared" si="39"/>
        <v>0.5007025892492325</v>
      </c>
      <c r="R293" s="73">
        <f t="shared" si="40"/>
        <v>3.1531418729442172E-2</v>
      </c>
    </row>
    <row r="294" spans="1:18" x14ac:dyDescent="0.25">
      <c r="A294" s="12" t="s">
        <v>922</v>
      </c>
      <c r="B294" s="12"/>
      <c r="C294" s="12" t="s">
        <v>1380</v>
      </c>
      <c r="D294" s="12" t="s">
        <v>714</v>
      </c>
      <c r="E294" s="12" t="s">
        <v>1354</v>
      </c>
      <c r="F294" s="12"/>
      <c r="G294" s="13">
        <v>45175</v>
      </c>
      <c r="H294" s="14">
        <v>1</v>
      </c>
      <c r="I294" s="14">
        <v>0</v>
      </c>
      <c r="J294" s="8">
        <f>SUMIF(Journal!$A:$A,HeadJournal!$A294,Journal!$K:$K)+SUMIF(Journal!$A:$A,HeadJournal!$A294,Journal!$L:$L)+SUMIF(Journal!$A:$A,HeadJournal!$A294,Journal!$M:$M)</f>
        <v>1935</v>
      </c>
      <c r="K294" s="14">
        <v>1935</v>
      </c>
      <c r="L294" s="14">
        <f t="shared" ref="L294:L300" si="42">K294*0.1</f>
        <v>193.5</v>
      </c>
      <c r="M294" s="8">
        <f>SUMIF(Journal!$A:$A,HeadJournal!$A294,Journal!$P:$P)</f>
        <v>2128.5</v>
      </c>
      <c r="N294" s="8">
        <f>SUMIF(Journal!$A:$A,HeadJournal!$A294,Journal!Q:Q)</f>
        <v>3300</v>
      </c>
      <c r="O294" s="18">
        <f>SUMIF(Journal!$A:$A,HeadJournal!$A294,Journal!U:U)</f>
        <v>1171.5</v>
      </c>
      <c r="P294" s="22">
        <f t="shared" si="39"/>
        <v>0.55038759689922478</v>
      </c>
      <c r="Q294" s="7" t="b">
        <f t="shared" ref="Q294:Q301" si="43">J294=K294</f>
        <v>1</v>
      </c>
      <c r="R294" s="73">
        <f t="shared" si="40"/>
        <v>9.0909090909090912E-2</v>
      </c>
    </row>
    <row r="295" spans="1:18" x14ac:dyDescent="0.25">
      <c r="A295" s="12" t="s">
        <v>924</v>
      </c>
      <c r="B295" s="12"/>
      <c r="C295" s="12" t="s">
        <v>843</v>
      </c>
      <c r="D295" s="12" t="s">
        <v>714</v>
      </c>
      <c r="E295" s="12" t="s">
        <v>1354</v>
      </c>
      <c r="F295" s="12"/>
      <c r="G295" s="13">
        <v>45168</v>
      </c>
      <c r="H295" s="14">
        <v>1</v>
      </c>
      <c r="I295" s="14">
        <v>0</v>
      </c>
      <c r="J295" s="8">
        <f>SUMIF(Journal!$A:$A,HeadJournal!$A295,Journal!$K:$K)+SUMIF(Journal!$A:$A,HeadJournal!$A295,Journal!$L:$L)+SUMIF(Journal!$A:$A,HeadJournal!$A295,Journal!$M:$M)</f>
        <v>2082</v>
      </c>
      <c r="K295" s="14">
        <v>2082</v>
      </c>
      <c r="L295" s="14">
        <f t="shared" si="42"/>
        <v>208.20000000000002</v>
      </c>
      <c r="M295" s="8">
        <f>SUMIF(Journal!$A:$A,HeadJournal!$A295,Journal!$P:$P)</f>
        <v>2290.1999999999998</v>
      </c>
      <c r="N295" s="8">
        <f>SUMIF(Journal!$A:$A,HeadJournal!$A295,Journal!Q:Q)</f>
        <v>3500</v>
      </c>
      <c r="O295" s="18">
        <f>SUMIF(Journal!$A:$A,HeadJournal!$A295,Journal!U:U)</f>
        <v>1209.8000000000002</v>
      </c>
      <c r="P295" s="22">
        <f t="shared" si="39"/>
        <v>0.52825080778971278</v>
      </c>
      <c r="Q295" s="7" t="b">
        <f t="shared" si="43"/>
        <v>1</v>
      </c>
      <c r="R295" s="73">
        <f t="shared" si="40"/>
        <v>9.0909090909090925E-2</v>
      </c>
    </row>
    <row r="296" spans="1:18" x14ac:dyDescent="0.25">
      <c r="A296" s="12" t="s">
        <v>925</v>
      </c>
      <c r="B296" s="12"/>
      <c r="C296" s="12" t="s">
        <v>843</v>
      </c>
      <c r="D296" s="12" t="s">
        <v>714</v>
      </c>
      <c r="E296" s="12" t="s">
        <v>1354</v>
      </c>
      <c r="F296" s="12"/>
      <c r="G296" s="13">
        <v>45177</v>
      </c>
      <c r="H296" s="14">
        <v>1</v>
      </c>
      <c r="I296" s="14">
        <v>0</v>
      </c>
      <c r="J296" s="8">
        <f>SUMIF(Journal!$A:$A,HeadJournal!$A296,Journal!$K:$K)+SUMIF(Journal!$A:$A,HeadJournal!$A296,Journal!$L:$L)+SUMIF(Journal!$A:$A,HeadJournal!$A296,Journal!$M:$M)</f>
        <v>15018</v>
      </c>
      <c r="K296" s="14">
        <v>15018</v>
      </c>
      <c r="L296" s="14">
        <f t="shared" si="42"/>
        <v>1501.8000000000002</v>
      </c>
      <c r="M296" s="8">
        <f>SUMIF(Journal!$A:$A,HeadJournal!$A296,Journal!$P:$P)</f>
        <v>16519.800000000003</v>
      </c>
      <c r="N296" s="8">
        <f>SUMIF(Journal!$A:$A,HeadJournal!$A296,Journal!Q:Q)</f>
        <v>20400</v>
      </c>
      <c r="O296" s="18">
        <f>SUMIF(Journal!$A:$A,HeadJournal!$A296,Journal!U:U)</f>
        <v>3880.1999999999989</v>
      </c>
      <c r="P296" s="22">
        <f t="shared" si="39"/>
        <v>0.23488177822976056</v>
      </c>
      <c r="Q296" s="7" t="b">
        <f t="shared" si="43"/>
        <v>1</v>
      </c>
      <c r="R296" s="73">
        <f t="shared" si="40"/>
        <v>9.0909090909090898E-2</v>
      </c>
    </row>
    <row r="297" spans="1:18" x14ac:dyDescent="0.25">
      <c r="A297" s="12" t="s">
        <v>929</v>
      </c>
      <c r="B297" s="12"/>
      <c r="C297" s="12" t="s">
        <v>843</v>
      </c>
      <c r="D297" s="12" t="s">
        <v>714</v>
      </c>
      <c r="E297" s="12" t="s">
        <v>1354</v>
      </c>
      <c r="F297" s="12"/>
      <c r="G297" s="13">
        <v>45177</v>
      </c>
      <c r="H297" s="14">
        <v>1</v>
      </c>
      <c r="I297" s="14">
        <v>0</v>
      </c>
      <c r="J297" s="8">
        <f>SUMIF(Journal!$A:$A,HeadJournal!$A297,Journal!$K:$K)+SUMIF(Journal!$A:$A,HeadJournal!$A297,Journal!$L:$L)+SUMIF(Journal!$A:$A,HeadJournal!$A297,Journal!$M:$M)</f>
        <v>2191</v>
      </c>
      <c r="K297" s="14">
        <v>2191</v>
      </c>
      <c r="L297" s="14">
        <f t="shared" si="42"/>
        <v>219.10000000000002</v>
      </c>
      <c r="M297" s="8">
        <f>SUMIF(Journal!$A:$A,HeadJournal!$A297,Journal!$P:$P)</f>
        <v>2410.1</v>
      </c>
      <c r="N297" s="8">
        <f>SUMIF(Journal!$A:$A,HeadJournal!$A297,Journal!Q:Q)</f>
        <v>3400</v>
      </c>
      <c r="O297" s="18">
        <f>SUMIF(Journal!$A:$A,HeadJournal!$A297,Journal!U:U)</f>
        <v>989.90000000000009</v>
      </c>
      <c r="P297" s="22">
        <f t="shared" si="39"/>
        <v>0.41072984523463762</v>
      </c>
      <c r="Q297" s="7" t="b">
        <f t="shared" si="43"/>
        <v>1</v>
      </c>
      <c r="R297" s="73">
        <f t="shared" si="40"/>
        <v>9.0909090909090925E-2</v>
      </c>
    </row>
    <row r="298" spans="1:18" x14ac:dyDescent="0.25">
      <c r="A298" s="12" t="s">
        <v>931</v>
      </c>
      <c r="B298" s="12"/>
      <c r="C298" s="12" t="s">
        <v>843</v>
      </c>
      <c r="D298" s="12" t="s">
        <v>714</v>
      </c>
      <c r="E298" s="12" t="s">
        <v>1354</v>
      </c>
      <c r="F298" s="12"/>
      <c r="G298" s="13">
        <v>45177</v>
      </c>
      <c r="H298" s="14">
        <v>1</v>
      </c>
      <c r="I298" s="14">
        <v>0</v>
      </c>
      <c r="J298" s="8">
        <f>SUMIF(Journal!$A:$A,HeadJournal!$A298,Journal!$K:$K)+SUMIF(Journal!$A:$A,HeadJournal!$A298,Journal!$L:$L)+SUMIF(Journal!$A:$A,HeadJournal!$A298,Journal!$M:$M)</f>
        <v>7125</v>
      </c>
      <c r="K298" s="14">
        <v>7125</v>
      </c>
      <c r="L298" s="14">
        <f t="shared" si="42"/>
        <v>712.5</v>
      </c>
      <c r="M298" s="8">
        <f>SUMIF(Journal!$A:$A,HeadJournal!$A298,Journal!$P:$P)</f>
        <v>7837.5</v>
      </c>
      <c r="N298" s="8">
        <f>SUMIF(Journal!$A:$A,HeadJournal!$A298,Journal!Q:Q)</f>
        <v>10500</v>
      </c>
      <c r="O298" s="18">
        <f>SUMIF(Journal!$A:$A,HeadJournal!$A298,Journal!U:U)</f>
        <v>2662.5</v>
      </c>
      <c r="P298" s="22">
        <f t="shared" si="39"/>
        <v>0.33971291866028708</v>
      </c>
      <c r="Q298" s="7" t="b">
        <f t="shared" si="43"/>
        <v>1</v>
      </c>
      <c r="R298" s="73">
        <f t="shared" si="40"/>
        <v>9.0909090909090912E-2</v>
      </c>
    </row>
    <row r="299" spans="1:18" x14ac:dyDescent="0.25">
      <c r="A299" s="12" t="s">
        <v>933</v>
      </c>
      <c r="B299" s="12"/>
      <c r="C299" s="12" t="s">
        <v>843</v>
      </c>
      <c r="D299" s="12" t="s">
        <v>714</v>
      </c>
      <c r="E299" s="12" t="s">
        <v>1354</v>
      </c>
      <c r="F299" s="12"/>
      <c r="G299" s="13">
        <v>45177</v>
      </c>
      <c r="H299" s="14">
        <v>1</v>
      </c>
      <c r="I299" s="14">
        <v>0</v>
      </c>
      <c r="J299" s="8">
        <f>SUMIF(Journal!$A:$A,HeadJournal!$A299,Journal!$K:$K)+SUMIF(Journal!$A:$A,HeadJournal!$A299,Journal!$L:$L)+SUMIF(Journal!$A:$A,HeadJournal!$A299,Journal!$M:$M)</f>
        <v>5400</v>
      </c>
      <c r="K299" s="14">
        <v>5400</v>
      </c>
      <c r="L299" s="14">
        <f t="shared" si="42"/>
        <v>540</v>
      </c>
      <c r="M299" s="8">
        <f>SUMIF(Journal!$A:$A,HeadJournal!$A299,Journal!$P:$P)</f>
        <v>5940</v>
      </c>
      <c r="N299" s="8">
        <f>SUMIF(Journal!$A:$A,HeadJournal!$A299,Journal!Q:Q)</f>
        <v>7200</v>
      </c>
      <c r="O299" s="18">
        <f>SUMIF(Journal!$A:$A,HeadJournal!$A299,Journal!U:U)</f>
        <v>1260</v>
      </c>
      <c r="P299" s="22">
        <f t="shared" si="39"/>
        <v>0.21212121212121213</v>
      </c>
      <c r="Q299" s="7" t="b">
        <f t="shared" si="43"/>
        <v>1</v>
      </c>
      <c r="R299" s="73">
        <f t="shared" si="40"/>
        <v>9.0909090909090912E-2</v>
      </c>
    </row>
    <row r="300" spans="1:18" x14ac:dyDescent="0.25">
      <c r="A300" s="12" t="s">
        <v>935</v>
      </c>
      <c r="B300" s="12"/>
      <c r="C300" s="12" t="s">
        <v>1380</v>
      </c>
      <c r="D300" s="12" t="s">
        <v>714</v>
      </c>
      <c r="E300" s="12" t="s">
        <v>1354</v>
      </c>
      <c r="F300" s="12"/>
      <c r="G300" s="13">
        <v>45175</v>
      </c>
      <c r="H300" s="14">
        <v>1</v>
      </c>
      <c r="I300" s="14">
        <v>0</v>
      </c>
      <c r="J300" s="8">
        <f>SUMIF(Journal!$A:$A,HeadJournal!$A300,Journal!$K:$K)+SUMIF(Journal!$A:$A,HeadJournal!$A300,Journal!$L:$L)+SUMIF(Journal!$A:$A,HeadJournal!$A300,Journal!$M:$M)</f>
        <v>1115</v>
      </c>
      <c r="K300" s="14">
        <v>1115</v>
      </c>
      <c r="L300" s="14">
        <f t="shared" si="42"/>
        <v>111.5</v>
      </c>
      <c r="M300" s="8">
        <f>SUMIF(Journal!$A:$A,HeadJournal!$A300,Journal!$P:$P)</f>
        <v>1226.5</v>
      </c>
      <c r="N300" s="8">
        <f>SUMIF(Journal!$A:$A,HeadJournal!$A300,Journal!Q:Q)</f>
        <v>1700</v>
      </c>
      <c r="O300" s="18">
        <f>SUMIF(Journal!$A:$A,HeadJournal!$A300,Journal!U:U)</f>
        <v>473.5</v>
      </c>
      <c r="P300" s="22">
        <f t="shared" si="39"/>
        <v>0.38605788830004079</v>
      </c>
      <c r="Q300" s="7" t="b">
        <f t="shared" si="43"/>
        <v>1</v>
      </c>
      <c r="R300" s="73">
        <f t="shared" si="40"/>
        <v>9.0909090909090912E-2</v>
      </c>
    </row>
    <row r="301" spans="1:18" x14ac:dyDescent="0.25">
      <c r="A301" s="12" t="s">
        <v>936</v>
      </c>
      <c r="B301" s="124" t="s">
        <v>1453</v>
      </c>
      <c r="C301" s="12" t="s">
        <v>1752</v>
      </c>
      <c r="D301" s="12" t="s">
        <v>714</v>
      </c>
      <c r="E301" s="12" t="s">
        <v>1369</v>
      </c>
      <c r="F301" s="124" t="s">
        <v>1451</v>
      </c>
      <c r="G301" s="13">
        <v>45176</v>
      </c>
      <c r="H301" s="14">
        <f>23999.96/K301</f>
        <v>107.32954697911542</v>
      </c>
      <c r="I301" s="14">
        <v>-8.52</v>
      </c>
      <c r="J301" s="8">
        <f>SUMIF(Journal!$A:$A,HeadJournal!$A301,Journal!$K:$K)+SUMIF(Journal!$A:$A,HeadJournal!$A301,Journal!$L:$L)+SUMIF(Journal!$A:$A,HeadJournal!$A301,Journal!$M:$M)</f>
        <v>223.60999999999996</v>
      </c>
      <c r="K301" s="14">
        <v>223.61</v>
      </c>
      <c r="L301" s="14">
        <f>(1662.63+1400+400)/4</f>
        <v>865.65750000000003</v>
      </c>
      <c r="M301" s="8">
        <f>SUMIF(Journal!$A:$A,HeadJournal!$A301,Journal!$P:$P)</f>
        <v>24865.617500000004</v>
      </c>
      <c r="N301" s="8">
        <f>SUMIF(Journal!$A:$A,HeadJournal!$A301,Journal!Q:Q)</f>
        <v>40900</v>
      </c>
      <c r="O301" s="18">
        <f>SUMIF(Journal!$A:$A,HeadJournal!$A301,Journal!U:U)</f>
        <v>16034.382499999996</v>
      </c>
      <c r="P301" s="22">
        <f t="shared" si="39"/>
        <v>0.6448415166042023</v>
      </c>
      <c r="Q301" s="7" t="b">
        <f t="shared" si="43"/>
        <v>1</v>
      </c>
      <c r="R301" s="73">
        <f t="shared" si="40"/>
        <v>3.4813432644493943E-2</v>
      </c>
    </row>
    <row r="302" spans="1:18" x14ac:dyDescent="0.25">
      <c r="A302" s="12" t="s">
        <v>937</v>
      </c>
      <c r="B302" s="124" t="s">
        <v>1454</v>
      </c>
      <c r="C302" s="12" t="s">
        <v>1735</v>
      </c>
      <c r="D302" s="12" t="s">
        <v>714</v>
      </c>
      <c r="E302" s="12" t="s">
        <v>1369</v>
      </c>
      <c r="F302" s="124" t="s">
        <v>1455</v>
      </c>
      <c r="G302" s="13">
        <v>45182</v>
      </c>
      <c r="H302" s="14">
        <f>13111.9/120.76</f>
        <v>108.57817157999337</v>
      </c>
      <c r="I302" s="14">
        <v>0</v>
      </c>
      <c r="J302" s="8">
        <f>SUMIF(Journal!$A:$A,HeadJournal!$A302,Journal!$K:$K)+SUMIF(Journal!$A:$A,HeadJournal!$A302,Journal!$L:$L)+SUMIF(Journal!$A:$A,HeadJournal!$A302,Journal!$M:$M)</f>
        <v>160.28000000000003</v>
      </c>
      <c r="K302" s="14">
        <v>160.28</v>
      </c>
      <c r="L302" s="14">
        <f>(1411.88*2+2400+800)/4</f>
        <v>1505.94</v>
      </c>
      <c r="M302" s="8">
        <f>SUMIF(Journal!$A:$A,HeadJournal!$A302,Journal!$P:$P)</f>
        <v>18908.849340841334</v>
      </c>
      <c r="N302" s="8">
        <f>SUMIF(Journal!$A:$A,HeadJournal!$A302,Journal!Q:Q)</f>
        <v>27100</v>
      </c>
      <c r="O302" s="18">
        <f>SUMIF(Journal!$A:$A,HeadJournal!$A302,Journal!U:U)</f>
        <v>8191.1506591586676</v>
      </c>
      <c r="P302" s="22">
        <f t="shared" si="39"/>
        <v>0.43319138629268961</v>
      </c>
      <c r="R302" s="73">
        <f t="shared" si="40"/>
        <v>7.9642075139247703E-2</v>
      </c>
    </row>
    <row r="303" spans="1:18" x14ac:dyDescent="0.25">
      <c r="A303" s="12" t="s">
        <v>940</v>
      </c>
      <c r="B303" s="124" t="s">
        <v>1456</v>
      </c>
      <c r="C303" s="12" t="s">
        <v>1737</v>
      </c>
      <c r="D303" s="12" t="s">
        <v>714</v>
      </c>
      <c r="E303" s="12" t="s">
        <v>1369</v>
      </c>
      <c r="F303" s="124" t="s">
        <v>1451</v>
      </c>
      <c r="G303" s="13">
        <v>45177</v>
      </c>
      <c r="H303" s="14">
        <f>15145.36/K303</f>
        <v>107.59704461494744</v>
      </c>
      <c r="I303" s="14">
        <v>-9.26</v>
      </c>
      <c r="J303" s="8">
        <f>SUMIF(Journal!$A:$A,HeadJournal!$A303,Journal!$K:$K)+SUMIF(Journal!$A:$A,HeadJournal!$A303,Journal!$L:$L)+SUMIF(Journal!$A:$A,HeadJournal!$A303,Journal!$M:$M)</f>
        <v>140.76</v>
      </c>
      <c r="K303" s="14">
        <v>140.76</v>
      </c>
      <c r="L303" s="14">
        <f>(1662.63+1400+400)/4</f>
        <v>865.65750000000003</v>
      </c>
      <c r="M303" s="8">
        <f>SUMIF(Journal!$A:$A,HeadJournal!$A303,Journal!$P:$P)</f>
        <v>16011.017499999998</v>
      </c>
      <c r="N303" s="8">
        <f>SUMIF(Journal!$A:$A,HeadJournal!$A303,Journal!Q:Q)</f>
        <v>19000</v>
      </c>
      <c r="O303" s="18">
        <f>SUMIF(Journal!$A:$A,HeadJournal!$A303,Journal!U:U)</f>
        <v>2988.9825000000019</v>
      </c>
      <c r="P303" s="22">
        <f t="shared" si="39"/>
        <v>0.18668285760102393</v>
      </c>
      <c r="R303" s="73">
        <f t="shared" si="40"/>
        <v>5.4066363989671497E-2</v>
      </c>
    </row>
    <row r="304" spans="1:18" x14ac:dyDescent="0.25">
      <c r="A304" s="12" t="s">
        <v>942</v>
      </c>
      <c r="B304" s="124" t="s">
        <v>1457</v>
      </c>
      <c r="C304" s="12" t="s">
        <v>1737</v>
      </c>
      <c r="D304" s="12" t="s">
        <v>714</v>
      </c>
      <c r="E304" s="12" t="s">
        <v>1369</v>
      </c>
      <c r="F304" s="124" t="s">
        <v>1455</v>
      </c>
      <c r="G304" s="13">
        <v>45181</v>
      </c>
      <c r="H304" s="14">
        <f>16308.2/K304</f>
        <v>108.53320910421937</v>
      </c>
      <c r="I304" s="14">
        <v>-3</v>
      </c>
      <c r="J304" s="8">
        <f>SUMIF(Journal!$A:$A,HeadJournal!$A304,Journal!$K:$K)+SUMIF(Journal!$A:$A,HeadJournal!$A304,Journal!$L:$L)+SUMIF(Journal!$A:$A,HeadJournal!$A304,Journal!$M:$M)</f>
        <v>150.26</v>
      </c>
      <c r="K304" s="14">
        <v>150.26</v>
      </c>
      <c r="L304" s="14">
        <f>(1411.88*2+2400+800)/4</f>
        <v>1505.94</v>
      </c>
      <c r="M304" s="8">
        <f>SUMIF(Journal!$A:$A,HeadJournal!$A304,Journal!$P:$P)</f>
        <v>17814.140000000003</v>
      </c>
      <c r="N304" s="8">
        <f>SUMIF(Journal!$A:$A,HeadJournal!$A304,Journal!Q:Q)</f>
        <v>27700</v>
      </c>
      <c r="O304" s="18">
        <f>SUMIF(Journal!$A:$A,HeadJournal!$A304,Journal!U:U)</f>
        <v>9885.8599999999988</v>
      </c>
      <c r="P304" s="22">
        <f t="shared" si="39"/>
        <v>0.55494455528024356</v>
      </c>
      <c r="R304" s="73">
        <f t="shared" si="40"/>
        <v>8.4536216735694211E-2</v>
      </c>
    </row>
    <row r="305" spans="1:18" x14ac:dyDescent="0.25">
      <c r="A305" s="12" t="s">
        <v>947</v>
      </c>
      <c r="B305" s="124" t="s">
        <v>1458</v>
      </c>
      <c r="C305" s="12" t="s">
        <v>1751</v>
      </c>
      <c r="D305" s="12" t="s">
        <v>714</v>
      </c>
      <c r="E305" s="12" t="s">
        <v>1369</v>
      </c>
      <c r="F305" s="124" t="s">
        <v>1459</v>
      </c>
      <c r="G305" s="13">
        <v>45180</v>
      </c>
      <c r="H305" s="14">
        <f>8608.51/K305</f>
        <v>109.5230279898219</v>
      </c>
      <c r="I305" s="14">
        <v>-9.18</v>
      </c>
      <c r="J305" s="8">
        <f>SUMIF(Journal!$A:$A,HeadJournal!$A305,Journal!$K:$K)+SUMIF(Journal!$A:$A,HeadJournal!$A305,Journal!$L:$L)+SUMIF(Journal!$A:$A,HeadJournal!$A305,Journal!$M:$M)</f>
        <v>78.599999999999994</v>
      </c>
      <c r="K305" s="14">
        <v>78.599999999999994</v>
      </c>
      <c r="L305" s="14">
        <f>(1411.88*2+2400+800)/4</f>
        <v>1505.94</v>
      </c>
      <c r="M305" s="8">
        <f>SUMIF(Journal!$A:$A,HeadJournal!$A305,Journal!$P:$P)</f>
        <v>10114.449999999999</v>
      </c>
      <c r="N305" s="8">
        <f>SUMIF(Journal!$A:$A,HeadJournal!$A305,Journal!Q:Q)</f>
        <v>5250</v>
      </c>
      <c r="O305" s="18">
        <f>SUMIF(Journal!$A:$A,HeadJournal!$A305,Journal!U:U)</f>
        <v>-4864.4500000000007</v>
      </c>
      <c r="P305" s="22">
        <f t="shared" si="39"/>
        <v>-0.48094063443884749</v>
      </c>
      <c r="R305" s="73">
        <f t="shared" si="40"/>
        <v>0.14888995447107853</v>
      </c>
    </row>
    <row r="306" spans="1:18" x14ac:dyDescent="0.25">
      <c r="A306" s="12" t="s">
        <v>953</v>
      </c>
      <c r="B306" s="12"/>
      <c r="C306" s="12" t="s">
        <v>1380</v>
      </c>
      <c r="D306" s="12" t="s">
        <v>714</v>
      </c>
      <c r="E306" s="12" t="s">
        <v>1354</v>
      </c>
      <c r="F306" s="12"/>
      <c r="G306" s="13">
        <v>45182</v>
      </c>
      <c r="H306" s="14">
        <v>1</v>
      </c>
      <c r="I306" s="14">
        <v>0</v>
      </c>
      <c r="J306" s="8">
        <f>SUMIF(Journal!$A:$A,HeadJournal!$A306,Journal!$K:$K)+SUMIF(Journal!$A:$A,HeadJournal!$A306,Journal!$L:$L)+SUMIF(Journal!$A:$A,HeadJournal!$A306,Journal!$M:$M)</f>
        <v>1142</v>
      </c>
      <c r="K306" s="14">
        <v>1142</v>
      </c>
      <c r="L306" s="14">
        <f>K306*0.1</f>
        <v>114.2</v>
      </c>
      <c r="M306" s="8">
        <f>SUMIF(Journal!$A:$A,HeadJournal!$A306,Journal!$P:$P)</f>
        <v>1256.2</v>
      </c>
      <c r="N306" s="8">
        <f>SUMIF(Journal!$A:$A,HeadJournal!$A306,Journal!Q:Q)</f>
        <v>1700</v>
      </c>
      <c r="O306" s="18">
        <f>SUMIF(Journal!$A:$A,HeadJournal!$A306,Journal!U:U)</f>
        <v>443.79999999999995</v>
      </c>
      <c r="P306" s="22">
        <f t="shared" si="39"/>
        <v>0.35328769304250912</v>
      </c>
      <c r="Q306" s="7" t="b">
        <f t="shared" ref="Q306:Q314" si="44">J306=K306</f>
        <v>1</v>
      </c>
      <c r="R306" s="73">
        <f t="shared" si="40"/>
        <v>9.0909090909090912E-2</v>
      </c>
    </row>
    <row r="307" spans="1:18" x14ac:dyDescent="0.25">
      <c r="A307" s="12" t="s">
        <v>955</v>
      </c>
      <c r="B307" s="12"/>
      <c r="C307" s="12" t="s">
        <v>1380</v>
      </c>
      <c r="D307" s="12" t="s">
        <v>714</v>
      </c>
      <c r="E307" s="12" t="s">
        <v>1354</v>
      </c>
      <c r="F307" s="12"/>
      <c r="G307" s="13">
        <v>45184</v>
      </c>
      <c r="H307" s="14">
        <v>1</v>
      </c>
      <c r="I307" s="14">
        <v>0</v>
      </c>
      <c r="J307" s="8">
        <f>SUMIF(Journal!$A:$A,HeadJournal!$A307,Journal!$K:$K)+SUMIF(Journal!$A:$A,HeadJournal!$A307,Journal!$L:$L)+SUMIF(Journal!$A:$A,HeadJournal!$A307,Journal!$M:$M)</f>
        <v>2970</v>
      </c>
      <c r="K307" s="14">
        <v>2970</v>
      </c>
      <c r="L307" s="14">
        <f>K307*0.1</f>
        <v>297</v>
      </c>
      <c r="M307" s="8">
        <f>SUMIF(Journal!$A:$A,HeadJournal!$A307,Journal!$P:$P)</f>
        <v>3267</v>
      </c>
      <c r="N307" s="8">
        <f>SUMIF(Journal!$A:$A,HeadJournal!$A307,Journal!Q:Q)</f>
        <v>3300</v>
      </c>
      <c r="O307" s="18">
        <f>SUMIF(Journal!$A:$A,HeadJournal!$A307,Journal!U:U)</f>
        <v>33</v>
      </c>
      <c r="P307" s="22">
        <f t="shared" si="39"/>
        <v>1.0101010101010102E-2</v>
      </c>
      <c r="Q307" s="7" t="b">
        <f t="shared" si="44"/>
        <v>1</v>
      </c>
      <c r="R307" s="73">
        <f t="shared" si="40"/>
        <v>9.0909090909090912E-2</v>
      </c>
    </row>
    <row r="308" spans="1:18" x14ac:dyDescent="0.25">
      <c r="A308" s="12" t="s">
        <v>957</v>
      </c>
      <c r="B308" s="12"/>
      <c r="C308" s="12" t="s">
        <v>843</v>
      </c>
      <c r="D308" s="12" t="s">
        <v>714</v>
      </c>
      <c r="E308" s="12" t="s">
        <v>1354</v>
      </c>
      <c r="F308" s="12"/>
      <c r="G308" s="13">
        <v>45182</v>
      </c>
      <c r="H308" s="14">
        <v>1</v>
      </c>
      <c r="I308" s="14">
        <v>0</v>
      </c>
      <c r="J308" s="8">
        <f>SUMIF(Journal!$A:$A,HeadJournal!$A308,Journal!$K:$K)+SUMIF(Journal!$A:$A,HeadJournal!$A308,Journal!$L:$L)+SUMIF(Journal!$A:$A,HeadJournal!$A308,Journal!$M:$M)</f>
        <v>1098</v>
      </c>
      <c r="K308" s="14">
        <v>1098</v>
      </c>
      <c r="L308" s="14">
        <f>K308*0.1</f>
        <v>109.80000000000001</v>
      </c>
      <c r="M308" s="8">
        <f>SUMIF(Journal!$A:$A,HeadJournal!$A308,Journal!$P:$P)</f>
        <v>1207.8</v>
      </c>
      <c r="N308" s="8">
        <f>SUMIF(Journal!$A:$A,HeadJournal!$A308,Journal!Q:Q)</f>
        <v>2500</v>
      </c>
      <c r="O308" s="18">
        <f>SUMIF(Journal!$A:$A,HeadJournal!$A308,Journal!U:U)</f>
        <v>1292.2</v>
      </c>
      <c r="P308" s="22">
        <f t="shared" si="39"/>
        <v>1.069879119059447</v>
      </c>
      <c r="Q308" s="7" t="b">
        <f t="shared" si="44"/>
        <v>1</v>
      </c>
      <c r="R308" s="73">
        <f t="shared" si="40"/>
        <v>9.0909090909090925E-2</v>
      </c>
    </row>
    <row r="309" spans="1:18" x14ac:dyDescent="0.25">
      <c r="A309" s="12" t="s">
        <v>959</v>
      </c>
      <c r="B309" s="12"/>
      <c r="C309" s="12" t="s">
        <v>843</v>
      </c>
      <c r="D309" s="12" t="s">
        <v>714</v>
      </c>
      <c r="E309" s="12" t="s">
        <v>1354</v>
      </c>
      <c r="F309" s="12"/>
      <c r="G309" s="13">
        <v>45184</v>
      </c>
      <c r="H309" s="14">
        <v>1</v>
      </c>
      <c r="I309" s="14">
        <v>0</v>
      </c>
      <c r="J309" s="8">
        <f>SUMIF(Journal!$A:$A,HeadJournal!$A309,Journal!$K:$K)+SUMIF(Journal!$A:$A,HeadJournal!$A309,Journal!$L:$L)+SUMIF(Journal!$A:$A,HeadJournal!$A309,Journal!$M:$M)</f>
        <v>1448</v>
      </c>
      <c r="K309" s="14">
        <f>362*4</f>
        <v>1448</v>
      </c>
      <c r="L309" s="14">
        <f>K309*0.1</f>
        <v>144.80000000000001</v>
      </c>
      <c r="M309" s="8">
        <f>SUMIF(Journal!$A:$A,HeadJournal!$A309,Journal!$P:$P)</f>
        <v>1592.8</v>
      </c>
      <c r="N309" s="8">
        <f>SUMIF(Journal!$A:$A,HeadJournal!$A309,Journal!Q:Q)</f>
        <v>2400</v>
      </c>
      <c r="O309" s="18">
        <f>SUMIF(Journal!$A:$A,HeadJournal!$A309,Journal!U:U)</f>
        <v>807.2</v>
      </c>
      <c r="P309" s="22">
        <f t="shared" si="39"/>
        <v>0.50678051230537424</v>
      </c>
      <c r="Q309" s="7" t="b">
        <f t="shared" si="44"/>
        <v>1</v>
      </c>
      <c r="R309" s="73">
        <f t="shared" si="40"/>
        <v>9.0909090909090925E-2</v>
      </c>
    </row>
    <row r="310" spans="1:18" x14ac:dyDescent="0.25">
      <c r="A310" s="12" t="s">
        <v>960</v>
      </c>
      <c r="B310" s="12"/>
      <c r="C310" s="12" t="s">
        <v>843</v>
      </c>
      <c r="D310" s="12" t="s">
        <v>714</v>
      </c>
      <c r="E310" s="12" t="s">
        <v>1354</v>
      </c>
      <c r="F310" s="12"/>
      <c r="G310" s="13">
        <v>45183</v>
      </c>
      <c r="H310" s="14">
        <v>1</v>
      </c>
      <c r="I310" s="14">
        <v>0</v>
      </c>
      <c r="J310" s="8">
        <f>SUMIF(Journal!$A:$A,HeadJournal!$A310,Journal!$K:$K)+SUMIF(Journal!$A:$A,HeadJournal!$A310,Journal!$L:$L)+SUMIF(Journal!$A:$A,HeadJournal!$A310,Journal!$M:$M)</f>
        <v>2738</v>
      </c>
      <c r="K310" s="14">
        <v>2738</v>
      </c>
      <c r="L310" s="14">
        <f>K310*0.1</f>
        <v>273.8</v>
      </c>
      <c r="M310" s="8">
        <f>SUMIF(Journal!$A:$A,HeadJournal!$A310,Journal!$P:$P)</f>
        <v>3011.8</v>
      </c>
      <c r="N310" s="8">
        <f>SUMIF(Journal!$A:$A,HeadJournal!$A310,Journal!Q:Q)</f>
        <v>3500</v>
      </c>
      <c r="O310" s="18">
        <f>SUMIF(Journal!$A:$A,HeadJournal!$A310,Journal!U:U)</f>
        <v>488.19999999999982</v>
      </c>
      <c r="P310" s="22">
        <f t="shared" si="39"/>
        <v>0.16209575669035123</v>
      </c>
      <c r="Q310" s="7" t="b">
        <f t="shared" si="44"/>
        <v>1</v>
      </c>
      <c r="R310" s="73">
        <f t="shared" si="40"/>
        <v>9.0909090909090912E-2</v>
      </c>
    </row>
    <row r="311" spans="1:18" x14ac:dyDescent="0.25">
      <c r="A311" s="12" t="s">
        <v>962</v>
      </c>
      <c r="B311" s="12"/>
      <c r="C311" s="12" t="s">
        <v>1460</v>
      </c>
      <c r="D311" s="12" t="s">
        <v>714</v>
      </c>
      <c r="E311" s="12" t="s">
        <v>1354</v>
      </c>
      <c r="F311" s="12"/>
      <c r="G311" s="13">
        <v>45174</v>
      </c>
      <c r="H311" s="14">
        <v>1</v>
      </c>
      <c r="I311" s="14">
        <v>0</v>
      </c>
      <c r="J311" s="8">
        <f>SUMIF(Journal!$A:$A,HeadJournal!$A311,Journal!$K:$K)+SUMIF(Journal!$A:$A,HeadJournal!$A311,Journal!$L:$L)+SUMIF(Journal!$A:$A,HeadJournal!$A311,Journal!$M:$M)</f>
        <v>5759</v>
      </c>
      <c r="K311" s="14">
        <v>5759</v>
      </c>
      <c r="L311" s="14">
        <v>1000</v>
      </c>
      <c r="M311" s="8">
        <f>SUMIF(Journal!$A:$A,HeadJournal!$A311,Journal!$P:$P)</f>
        <v>6759</v>
      </c>
      <c r="N311" s="8">
        <f>SUMIF(Journal!$A:$A,HeadJournal!$A311,Journal!Q:Q)</f>
        <v>8300</v>
      </c>
      <c r="O311" s="18">
        <f>SUMIF(Journal!$A:$A,HeadJournal!$A311,Journal!U:U)</f>
        <v>1541</v>
      </c>
      <c r="P311" s="22">
        <f t="shared" si="39"/>
        <v>0.22799230655422401</v>
      </c>
      <c r="Q311" s="7" t="b">
        <f t="shared" si="44"/>
        <v>1</v>
      </c>
      <c r="R311" s="73">
        <f t="shared" si="40"/>
        <v>0.14795088030773784</v>
      </c>
    </row>
    <row r="312" spans="1:18" x14ac:dyDescent="0.25">
      <c r="A312" s="12" t="s">
        <v>964</v>
      </c>
      <c r="B312" s="12"/>
      <c r="C312" s="12" t="s">
        <v>1461</v>
      </c>
      <c r="D312" s="12" t="s">
        <v>714</v>
      </c>
      <c r="E312" s="12" t="s">
        <v>1354</v>
      </c>
      <c r="F312" s="12"/>
      <c r="G312" s="13">
        <v>45182</v>
      </c>
      <c r="H312" s="14">
        <v>1</v>
      </c>
      <c r="I312" s="14">
        <v>0</v>
      </c>
      <c r="J312" s="8">
        <f>SUMIF(Journal!$A:$A,HeadJournal!$A312,Journal!$K:$K)+SUMIF(Journal!$A:$A,HeadJournal!$A312,Journal!$L:$L)+SUMIF(Journal!$A:$A,HeadJournal!$A312,Journal!$M:$M)</f>
        <v>5098</v>
      </c>
      <c r="K312" s="14">
        <v>5098</v>
      </c>
      <c r="L312" s="14">
        <f>K312*0.1</f>
        <v>509.8</v>
      </c>
      <c r="M312" s="8">
        <f>SUMIF(Journal!$A:$A,HeadJournal!$A312,Journal!$P:$P)</f>
        <v>5607.8</v>
      </c>
      <c r="N312" s="8">
        <f>SUMIF(Journal!$A:$A,HeadJournal!$A312,Journal!Q:Q)</f>
        <v>7800</v>
      </c>
      <c r="O312" s="18">
        <f>SUMIF(Journal!$A:$A,HeadJournal!$A312,Journal!U:U)</f>
        <v>2192.1999999999998</v>
      </c>
      <c r="P312" s="22">
        <f t="shared" si="39"/>
        <v>0.39091979029209312</v>
      </c>
      <c r="Q312" s="7" t="b">
        <f t="shared" si="44"/>
        <v>1</v>
      </c>
      <c r="R312" s="73">
        <f t="shared" si="40"/>
        <v>9.0909090909090912E-2</v>
      </c>
    </row>
    <row r="313" spans="1:18" x14ac:dyDescent="0.25">
      <c r="A313" s="12" t="s">
        <v>966</v>
      </c>
      <c r="B313" s="12"/>
      <c r="C313" s="12" t="s">
        <v>1380</v>
      </c>
      <c r="D313" s="12" t="s">
        <v>714</v>
      </c>
      <c r="E313" s="12" t="s">
        <v>1354</v>
      </c>
      <c r="F313" s="12"/>
      <c r="G313" s="13">
        <v>45189</v>
      </c>
      <c r="H313" s="14">
        <v>1</v>
      </c>
      <c r="I313" s="14">
        <v>0</v>
      </c>
      <c r="J313" s="8">
        <f>SUMIF(Journal!$A:$A,HeadJournal!$A313,Journal!$K:$K)+SUMIF(Journal!$A:$A,HeadJournal!$A313,Journal!$L:$L)+SUMIF(Journal!$A:$A,HeadJournal!$A313,Journal!$M:$M)</f>
        <v>574</v>
      </c>
      <c r="K313" s="14">
        <v>574</v>
      </c>
      <c r="L313" s="14">
        <f>K313*0.1</f>
        <v>57.400000000000006</v>
      </c>
      <c r="M313" s="8">
        <f>SUMIF(Journal!$A:$A,HeadJournal!$A313,Journal!$P:$P)</f>
        <v>631.4</v>
      </c>
      <c r="N313" s="8">
        <f>SUMIF(Journal!$A:$A,HeadJournal!$A313,Journal!Q:Q)</f>
        <v>1100</v>
      </c>
      <c r="O313" s="18">
        <f>SUMIF(Journal!$A:$A,HeadJournal!$A313,Journal!U:U)</f>
        <v>468.6</v>
      </c>
      <c r="P313" s="22">
        <f t="shared" si="39"/>
        <v>0.74216027874564461</v>
      </c>
      <c r="Q313" s="7" t="b">
        <f t="shared" si="44"/>
        <v>1</v>
      </c>
      <c r="R313" s="73">
        <f t="shared" si="40"/>
        <v>9.0909090909090925E-2</v>
      </c>
    </row>
    <row r="314" spans="1:18" x14ac:dyDescent="0.25">
      <c r="A314" s="12" t="s">
        <v>968</v>
      </c>
      <c r="B314" s="12"/>
      <c r="C314" s="12" t="s">
        <v>1461</v>
      </c>
      <c r="D314" s="12" t="s">
        <v>714</v>
      </c>
      <c r="E314" s="12" t="s">
        <v>1354</v>
      </c>
      <c r="F314" s="12"/>
      <c r="G314" s="13">
        <v>45186</v>
      </c>
      <c r="H314" s="14">
        <v>1</v>
      </c>
      <c r="I314" s="14">
        <v>0</v>
      </c>
      <c r="J314" s="8">
        <f>SUMIF(Journal!$A:$A,HeadJournal!$A314,Journal!$K:$K)+SUMIF(Journal!$A:$A,HeadJournal!$A314,Journal!$L:$L)+SUMIF(Journal!$A:$A,HeadJournal!$A314,Journal!$M:$M)</f>
        <v>2616</v>
      </c>
      <c r="K314" s="14">
        <v>2616</v>
      </c>
      <c r="L314" s="14">
        <f>K314*0.1</f>
        <v>261.60000000000002</v>
      </c>
      <c r="M314" s="8">
        <f>SUMIF(Journal!$A:$A,HeadJournal!$A314,Journal!$P:$P)</f>
        <v>2877.6000000000004</v>
      </c>
      <c r="N314" s="8">
        <f>SUMIF(Journal!$A:$A,HeadJournal!$A314,Journal!Q:Q)</f>
        <v>3800</v>
      </c>
      <c r="O314" s="18">
        <f>SUMIF(Journal!$A:$A,HeadJournal!$A314,Journal!U:U)</f>
        <v>922.39999999999986</v>
      </c>
      <c r="P314" s="22">
        <f t="shared" si="39"/>
        <v>0.32054489852654983</v>
      </c>
      <c r="Q314" s="7" t="b">
        <f t="shared" si="44"/>
        <v>1</v>
      </c>
      <c r="R314" s="73">
        <f t="shared" si="40"/>
        <v>9.0909090909090912E-2</v>
      </c>
    </row>
    <row r="315" spans="1:18" x14ac:dyDescent="0.25">
      <c r="A315" s="112" t="s">
        <v>970</v>
      </c>
      <c r="B315" s="124" t="s">
        <v>1462</v>
      </c>
      <c r="C315" s="12" t="s">
        <v>1735</v>
      </c>
      <c r="D315" s="12" t="s">
        <v>714</v>
      </c>
      <c r="E315" s="12" t="s">
        <v>1369</v>
      </c>
      <c r="F315" s="124" t="s">
        <v>1459</v>
      </c>
      <c r="G315" s="13">
        <v>45185</v>
      </c>
      <c r="H315" s="14">
        <f>29243.29/K315</f>
        <v>108.54970304380105</v>
      </c>
      <c r="I315" s="14">
        <v>-5.68</v>
      </c>
      <c r="J315" s="8">
        <f>SUMIF(Journal!$A:$A,HeadJournal!$A315,Journal!$K:$K)+SUMIF(Journal!$A:$A,HeadJournal!$A315,Journal!$L:$L)+SUMIF(Journal!$A:$A,HeadJournal!$A315,Journal!$M:$M)</f>
        <v>269.39999999999992</v>
      </c>
      <c r="K315" s="14">
        <v>269.39999999999998</v>
      </c>
      <c r="L315" s="14">
        <f>(1411.88*2+2400+800)/4</f>
        <v>1505.94</v>
      </c>
      <c r="M315" s="8">
        <f>SUMIF(Journal!$A:$A,HeadJournal!$A315,Journal!$P:$P)</f>
        <v>30749.23000000001</v>
      </c>
      <c r="N315" s="8">
        <f>SUMIF(Journal!$A:$A,HeadJournal!$A315,Journal!Q:Q)</f>
        <v>39200</v>
      </c>
      <c r="O315" s="18">
        <f>SUMIF(Journal!$A:$A,HeadJournal!$A315,Journal!U:U)</f>
        <v>8450.7699999999913</v>
      </c>
      <c r="P315" s="22">
        <f t="shared" si="39"/>
        <v>0.27482867050654564</v>
      </c>
      <c r="R315" s="73">
        <f t="shared" si="40"/>
        <v>4.8974884899556821E-2</v>
      </c>
    </row>
    <row r="316" spans="1:18" x14ac:dyDescent="0.25">
      <c r="A316" s="12" t="s">
        <v>975</v>
      </c>
      <c r="B316" s="124" t="s">
        <v>1463</v>
      </c>
      <c r="C316" s="12" t="s">
        <v>1735</v>
      </c>
      <c r="D316" s="12" t="s">
        <v>714</v>
      </c>
      <c r="E316" s="12" t="s">
        <v>1369</v>
      </c>
      <c r="F316" s="124" t="s">
        <v>1464</v>
      </c>
      <c r="G316" s="13">
        <v>45190</v>
      </c>
      <c r="H316" s="14">
        <f>7537.51/K316</f>
        <v>108.35983323749281</v>
      </c>
      <c r="I316" s="14">
        <v>0</v>
      </c>
      <c r="J316" s="8">
        <f>SUMIF(Journal!$A:$A,HeadJournal!$A316,Journal!$K:$K)+SUMIF(Journal!$A:$A,HeadJournal!$A316,Journal!$L:$L)+SUMIF(Journal!$A:$A,HeadJournal!$A316,Journal!$M:$M)</f>
        <v>69.559999999999988</v>
      </c>
      <c r="K316" s="14">
        <v>69.56</v>
      </c>
      <c r="L316" s="14">
        <f>(1177.36+1000+400)/4</f>
        <v>644.33999999999992</v>
      </c>
      <c r="M316" s="8">
        <f>SUMIF(Journal!$A:$A,HeadJournal!$A316,Journal!$P:$P)</f>
        <v>8181.8500000000013</v>
      </c>
      <c r="N316" s="8">
        <f>SUMIF(Journal!$A:$A,HeadJournal!$A316,Journal!Q:Q)</f>
        <v>14300</v>
      </c>
      <c r="O316" s="18">
        <f>SUMIF(Journal!$A:$A,HeadJournal!$A316,Journal!U:U)</f>
        <v>6118.15</v>
      </c>
      <c r="P316" s="22">
        <f t="shared" si="39"/>
        <v>0.74777098089062966</v>
      </c>
      <c r="R316" s="73">
        <f t="shared" si="40"/>
        <v>7.8752360407487287E-2</v>
      </c>
    </row>
    <row r="317" spans="1:18" x14ac:dyDescent="0.25">
      <c r="A317" s="12" t="s">
        <v>976</v>
      </c>
      <c r="B317" s="124" t="s">
        <v>1465</v>
      </c>
      <c r="C317" s="12" t="s">
        <v>1737</v>
      </c>
      <c r="D317" s="12" t="s">
        <v>714</v>
      </c>
      <c r="E317" s="12" t="s">
        <v>1369</v>
      </c>
      <c r="F317" s="124" t="s">
        <v>1466</v>
      </c>
      <c r="G317" s="13">
        <v>45194</v>
      </c>
      <c r="H317" s="14">
        <v>108</v>
      </c>
      <c r="I317" s="14">
        <v>0</v>
      </c>
      <c r="J317" s="8">
        <f>SUMIF(Journal!$A:$A,HeadJournal!$A317,Journal!$K:$K)+SUMIF(Journal!$A:$A,HeadJournal!$A317,Journal!$L:$L)+SUMIF(Journal!$A:$A,HeadJournal!$A317,Journal!$M:$M)</f>
        <v>154.16999999999996</v>
      </c>
      <c r="K317" s="14">
        <v>154.16999999999999</v>
      </c>
      <c r="L317" s="14">
        <f>(1177.36+1000+400)/2</f>
        <v>1288.6799999999998</v>
      </c>
      <c r="M317" s="8">
        <f>SUMIF(Journal!$A:$A,HeadJournal!$A317,Journal!$P:$P)</f>
        <v>17939.040000000005</v>
      </c>
      <c r="N317" s="8">
        <f>SUMIF(Journal!$A:$A,HeadJournal!$A317,Journal!Q:Q)</f>
        <v>23000</v>
      </c>
      <c r="O317" s="18">
        <f>SUMIF(Journal!$A:$A,HeadJournal!$A317,Journal!U:U)</f>
        <v>5060.9599999999955</v>
      </c>
      <c r="P317" s="22">
        <f t="shared" si="39"/>
        <v>0.28211989047351443</v>
      </c>
      <c r="R317" s="73">
        <f t="shared" si="40"/>
        <v>7.183662001980036E-2</v>
      </c>
    </row>
    <row r="318" spans="1:18" x14ac:dyDescent="0.25">
      <c r="A318" s="12" t="s">
        <v>978</v>
      </c>
      <c r="B318" s="124" t="s">
        <v>1467</v>
      </c>
      <c r="C318" s="12" t="s">
        <v>1751</v>
      </c>
      <c r="D318" s="12" t="s">
        <v>714</v>
      </c>
      <c r="E318" s="12" t="s">
        <v>1369</v>
      </c>
      <c r="F318" s="124" t="s">
        <v>1464</v>
      </c>
      <c r="G318" s="13">
        <v>45190</v>
      </c>
      <c r="H318" s="14">
        <f>11308.79/K318</f>
        <v>108.36326178612497</v>
      </c>
      <c r="I318" s="14">
        <v>0</v>
      </c>
      <c r="J318" s="8">
        <f>SUMIF(Journal!$A:$A,HeadJournal!$A318,Journal!$K:$K)+SUMIF(Journal!$A:$A,HeadJournal!$A318,Journal!$L:$L)+SUMIF(Journal!$A:$A,HeadJournal!$A318,Journal!$M:$M)</f>
        <v>104.36000000000001</v>
      </c>
      <c r="K318" s="14">
        <v>104.36</v>
      </c>
      <c r="L318" s="14">
        <f>(1177.36+1000+400)/4</f>
        <v>644.33999999999992</v>
      </c>
      <c r="M318" s="8">
        <f>SUMIF(Journal!$A:$A,HeadJournal!$A318,Journal!$P:$P)</f>
        <v>11953.130000000001</v>
      </c>
      <c r="N318" s="8">
        <f>SUMIF(Journal!$A:$A,HeadJournal!$A318,Journal!Q:Q)</f>
        <v>16600</v>
      </c>
      <c r="O318" s="18">
        <f>SUMIF(Journal!$A:$A,HeadJournal!$A318,Journal!U:U)</f>
        <v>4646.8700000000008</v>
      </c>
      <c r="P318" s="22">
        <f t="shared" si="39"/>
        <v>0.38875758901643337</v>
      </c>
      <c r="R318" s="73">
        <f t="shared" si="40"/>
        <v>5.3905546078725809E-2</v>
      </c>
    </row>
    <row r="319" spans="1:18" x14ac:dyDescent="0.25">
      <c r="A319" s="12" t="s">
        <v>980</v>
      </c>
      <c r="B319" s="124" t="s">
        <v>1468</v>
      </c>
      <c r="C319" s="12" t="s">
        <v>1752</v>
      </c>
      <c r="D319" s="12" t="s">
        <v>714</v>
      </c>
      <c r="E319" s="12" t="s">
        <v>1369</v>
      </c>
      <c r="F319" s="124" t="s">
        <v>1464</v>
      </c>
      <c r="G319" s="13">
        <v>45188</v>
      </c>
      <c r="H319" s="14">
        <f>11234.85/K319</f>
        <v>109.3203269436606</v>
      </c>
      <c r="I319" s="14">
        <v>-9.8800000000000008</v>
      </c>
      <c r="J319" s="8">
        <f>SUMIF(Journal!$A:$A,HeadJournal!$A319,Journal!$K:$K)+SUMIF(Journal!$A:$A,HeadJournal!$A319,Journal!$L:$L)+SUMIF(Journal!$A:$A,HeadJournal!$A319,Journal!$M:$M)</f>
        <v>102.76999999999995</v>
      </c>
      <c r="K319" s="14">
        <v>102.77</v>
      </c>
      <c r="L319" s="14">
        <f>(1177.36+1000+400)/4</f>
        <v>644.33999999999992</v>
      </c>
      <c r="M319" s="8">
        <f>SUMIF(Journal!$A:$A,HeadJournal!$A319,Journal!$P:$P)</f>
        <v>11879.190000000004</v>
      </c>
      <c r="N319" s="8">
        <f>SUMIF(Journal!$A:$A,HeadJournal!$A319,Journal!Q:Q)</f>
        <v>22900</v>
      </c>
      <c r="O319" s="18">
        <f>SUMIF(Journal!$A:$A,HeadJournal!$A319,Journal!U:U)</f>
        <v>11020.809999999996</v>
      </c>
      <c r="P319" s="22">
        <f t="shared" si="39"/>
        <v>0.92774086448655102</v>
      </c>
      <c r="Q319" s="7" t="b">
        <f t="shared" ref="Q319:Q340" si="45">J319=K319</f>
        <v>1</v>
      </c>
      <c r="R319" s="73">
        <f t="shared" si="40"/>
        <v>5.4241071992282279E-2</v>
      </c>
    </row>
    <row r="320" spans="1:18" x14ac:dyDescent="0.25">
      <c r="A320" s="12" t="s">
        <v>983</v>
      </c>
      <c r="B320" s="41" t="s">
        <v>1469</v>
      </c>
      <c r="C320" s="12" t="s">
        <v>1752</v>
      </c>
      <c r="D320" s="12" t="s">
        <v>714</v>
      </c>
      <c r="E320" s="12" t="s">
        <v>1369</v>
      </c>
      <c r="F320" s="41" t="s">
        <v>1464</v>
      </c>
      <c r="G320" s="13">
        <v>45192</v>
      </c>
      <c r="H320" s="14">
        <v>108</v>
      </c>
      <c r="I320" s="14">
        <v>-13.63</v>
      </c>
      <c r="J320" s="8">
        <f>SUMIF(Journal!$A:$A,HeadJournal!$A320,Journal!$K:$K)+SUMIF(Journal!$A:$A,HeadJournal!$A320,Journal!$L:$L)+SUMIF(Journal!$A:$A,HeadJournal!$A320,Journal!$M:$M)</f>
        <v>164.49</v>
      </c>
      <c r="K320" s="14">
        <v>164.49</v>
      </c>
      <c r="L320" s="14">
        <f>(1177.36+1000+400)/4</f>
        <v>644.33999999999992</v>
      </c>
      <c r="M320" s="8">
        <f>SUMIF(Journal!$A:$A,HeadJournal!$A320,Journal!$P:$P)</f>
        <v>18409.259999999998</v>
      </c>
      <c r="N320" s="8">
        <f>SUMIF(Journal!$A:$A,HeadJournal!$A320,Journal!Q:Q)</f>
        <v>33600</v>
      </c>
      <c r="O320" s="18">
        <f>SUMIF(Journal!$A:$A,HeadJournal!$A320,Journal!U:U)</f>
        <v>15190.74</v>
      </c>
      <c r="P320" s="22">
        <f t="shared" si="39"/>
        <v>0.82516842067524721</v>
      </c>
      <c r="Q320" s="7" t="b">
        <f t="shared" si="45"/>
        <v>1</v>
      </c>
      <c r="R320" s="73">
        <f t="shared" si="40"/>
        <v>3.5000863695770497E-2</v>
      </c>
    </row>
    <row r="321" spans="1:18" x14ac:dyDescent="0.25">
      <c r="A321" s="12" t="s">
        <v>990</v>
      </c>
      <c r="B321" s="12"/>
      <c r="C321" s="12" t="s">
        <v>1460</v>
      </c>
      <c r="D321" s="12" t="s">
        <v>714</v>
      </c>
      <c r="E321" s="12" t="s">
        <v>1354</v>
      </c>
      <c r="F321" s="12"/>
      <c r="G321" s="13">
        <v>45192</v>
      </c>
      <c r="H321" s="14">
        <v>1</v>
      </c>
      <c r="I321" s="14">
        <v>0</v>
      </c>
      <c r="J321" s="8">
        <f>SUMIF(Journal!$A:$A,HeadJournal!$A321,Journal!$K:$K)+SUMIF(Journal!$A:$A,HeadJournal!$A321,Journal!$L:$L)+SUMIF(Journal!$A:$A,HeadJournal!$A321,Journal!$M:$M)</f>
        <v>4055</v>
      </c>
      <c r="K321" s="14">
        <v>4055</v>
      </c>
      <c r="L321" s="14">
        <v>1000</v>
      </c>
      <c r="M321" s="8">
        <f>SUMIF(Journal!$A:$A,HeadJournal!$A321,Journal!$P:$P)</f>
        <v>5055</v>
      </c>
      <c r="N321" s="8">
        <f>SUMIF(Journal!$A:$A,HeadJournal!$A321,Journal!Q:Q)</f>
        <v>6500</v>
      </c>
      <c r="O321" s="18">
        <f>SUMIF(Journal!$A:$A,HeadJournal!$A321,Journal!U:U)</f>
        <v>1445</v>
      </c>
      <c r="P321" s="22">
        <f t="shared" si="39"/>
        <v>0.28585558852621168</v>
      </c>
      <c r="Q321" s="7" t="b">
        <f t="shared" si="45"/>
        <v>1</v>
      </c>
      <c r="R321" s="73">
        <f t="shared" si="40"/>
        <v>0.19782393669634027</v>
      </c>
    </row>
    <row r="322" spans="1:18" x14ac:dyDescent="0.25">
      <c r="A322" s="12" t="s">
        <v>992</v>
      </c>
      <c r="B322" s="12"/>
      <c r="C322" s="12" t="s">
        <v>843</v>
      </c>
      <c r="D322" s="12" t="s">
        <v>714</v>
      </c>
      <c r="E322" s="12" t="s">
        <v>1354</v>
      </c>
      <c r="F322" s="12"/>
      <c r="G322" s="13">
        <v>45194</v>
      </c>
      <c r="H322" s="14">
        <v>1</v>
      </c>
      <c r="I322" s="14">
        <v>0</v>
      </c>
      <c r="J322" s="8">
        <f>SUMIF(Journal!$A:$A,HeadJournal!$A322,Journal!$K:$K)+SUMIF(Journal!$A:$A,HeadJournal!$A322,Journal!$L:$L)+SUMIF(Journal!$A:$A,HeadJournal!$A322,Journal!$M:$M)</f>
        <v>319</v>
      </c>
      <c r="K322" s="14">
        <v>319</v>
      </c>
      <c r="L322" s="14">
        <f t="shared" ref="L322:L329" si="46">K322*0.1</f>
        <v>31.900000000000002</v>
      </c>
      <c r="M322" s="8">
        <f>SUMIF(Journal!$A:$A,HeadJournal!$A322,Journal!$P:$P)</f>
        <v>350.9</v>
      </c>
      <c r="N322" s="8">
        <f>SUMIF(Journal!$A:$A,HeadJournal!$A322,Journal!Q:Q)</f>
        <v>550</v>
      </c>
      <c r="O322" s="18">
        <f>SUMIF(Journal!$A:$A,HeadJournal!$A322,Journal!U:U)</f>
        <v>199.10000000000002</v>
      </c>
      <c r="P322" s="22">
        <f t="shared" si="39"/>
        <v>0.56739811912225713</v>
      </c>
      <c r="Q322" s="7" t="b">
        <f t="shared" si="45"/>
        <v>1</v>
      </c>
      <c r="R322" s="73">
        <f t="shared" si="40"/>
        <v>9.0909090909090925E-2</v>
      </c>
    </row>
    <row r="323" spans="1:18" x14ac:dyDescent="0.25">
      <c r="A323" s="12" t="s">
        <v>994</v>
      </c>
      <c r="B323" s="12"/>
      <c r="C323" s="12" t="s">
        <v>843</v>
      </c>
      <c r="D323" s="12" t="s">
        <v>714</v>
      </c>
      <c r="E323" s="12" t="s">
        <v>1354</v>
      </c>
      <c r="F323" s="12"/>
      <c r="G323" s="13">
        <v>45194</v>
      </c>
      <c r="H323" s="14">
        <v>1</v>
      </c>
      <c r="I323" s="14">
        <v>0</v>
      </c>
      <c r="J323" s="8">
        <f>SUMIF(Journal!$A:$A,HeadJournal!$A323,Journal!$K:$K)+SUMIF(Journal!$A:$A,HeadJournal!$A323,Journal!$L:$L)+SUMIF(Journal!$A:$A,HeadJournal!$A323,Journal!$M:$M)</f>
        <v>374</v>
      </c>
      <c r="K323" s="14">
        <v>374</v>
      </c>
      <c r="L323" s="14">
        <f t="shared" si="46"/>
        <v>37.4</v>
      </c>
      <c r="M323" s="8">
        <f>SUMIF(Journal!$A:$A,HeadJournal!$A323,Journal!$P:$P)</f>
        <v>411.4</v>
      </c>
      <c r="N323" s="8">
        <f>SUMIF(Journal!$A:$A,HeadJournal!$A323,Journal!Q:Q)</f>
        <v>600</v>
      </c>
      <c r="O323" s="18">
        <f>SUMIF(Journal!$A:$A,HeadJournal!$A323,Journal!U:U)</f>
        <v>188.60000000000002</v>
      </c>
      <c r="P323" s="22">
        <f t="shared" ref="P323:P386" si="47">IF(N323&lt;&gt;0,IFERROR(O323/M323,""),"")</f>
        <v>0.4584346135148275</v>
      </c>
      <c r="Q323" s="7" t="b">
        <f t="shared" si="45"/>
        <v>1</v>
      </c>
      <c r="R323" s="73">
        <f t="shared" ref="R323:R386" si="48">L323/M323</f>
        <v>9.0909090909090912E-2</v>
      </c>
    </row>
    <row r="324" spans="1:18" x14ac:dyDescent="0.25">
      <c r="A324" s="12" t="s">
        <v>996</v>
      </c>
      <c r="B324" s="12"/>
      <c r="C324" s="12" t="s">
        <v>843</v>
      </c>
      <c r="D324" s="12" t="s">
        <v>714</v>
      </c>
      <c r="E324" s="12" t="s">
        <v>1354</v>
      </c>
      <c r="F324" s="12"/>
      <c r="G324" s="13">
        <v>45194</v>
      </c>
      <c r="H324" s="14">
        <v>1</v>
      </c>
      <c r="I324" s="14">
        <v>0</v>
      </c>
      <c r="J324" s="8">
        <f>SUMIF(Journal!$A:$A,HeadJournal!$A324,Journal!$K:$K)+SUMIF(Journal!$A:$A,HeadJournal!$A324,Journal!$L:$L)+SUMIF(Journal!$A:$A,HeadJournal!$A324,Journal!$M:$M)</f>
        <v>321</v>
      </c>
      <c r="K324" s="14">
        <v>321</v>
      </c>
      <c r="L324" s="14">
        <f t="shared" si="46"/>
        <v>32.1</v>
      </c>
      <c r="M324" s="8">
        <f>SUMIF(Journal!$A:$A,HeadJournal!$A324,Journal!$P:$P)</f>
        <v>353.1</v>
      </c>
      <c r="N324" s="8">
        <f>SUMIF(Journal!$A:$A,HeadJournal!$A324,Journal!Q:Q)</f>
        <v>600</v>
      </c>
      <c r="O324" s="18">
        <f>SUMIF(Journal!$A:$A,HeadJournal!$A324,Journal!U:U)</f>
        <v>246.89999999999998</v>
      </c>
      <c r="P324" s="22">
        <f t="shared" si="47"/>
        <v>0.69923534409515709</v>
      </c>
      <c r="Q324" s="7" t="b">
        <f t="shared" si="45"/>
        <v>1</v>
      </c>
      <c r="R324" s="73">
        <f t="shared" si="48"/>
        <v>9.0909090909090912E-2</v>
      </c>
    </row>
    <row r="325" spans="1:18" x14ac:dyDescent="0.25">
      <c r="A325" s="12" t="s">
        <v>998</v>
      </c>
      <c r="B325" s="12"/>
      <c r="C325" s="12" t="s">
        <v>843</v>
      </c>
      <c r="D325" s="12" t="s">
        <v>714</v>
      </c>
      <c r="E325" s="12" t="s">
        <v>1354</v>
      </c>
      <c r="F325" s="12"/>
      <c r="G325" s="13">
        <v>45194</v>
      </c>
      <c r="H325" s="14">
        <v>1</v>
      </c>
      <c r="I325" s="14">
        <v>0</v>
      </c>
      <c r="J325" s="8">
        <f>SUMIF(Journal!$A:$A,HeadJournal!$A325,Journal!$K:$K)+SUMIF(Journal!$A:$A,HeadJournal!$A325,Journal!$L:$L)+SUMIF(Journal!$A:$A,HeadJournal!$A325,Journal!$M:$M)</f>
        <v>1432</v>
      </c>
      <c r="K325" s="14">
        <v>1432</v>
      </c>
      <c r="L325" s="14">
        <f t="shared" si="46"/>
        <v>143.20000000000002</v>
      </c>
      <c r="M325" s="8">
        <f>SUMIF(Journal!$A:$A,HeadJournal!$A325,Journal!$P:$P)</f>
        <v>1575.2</v>
      </c>
      <c r="N325" s="8">
        <f>SUMIF(Journal!$A:$A,HeadJournal!$A325,Journal!Q:Q)</f>
        <v>3000</v>
      </c>
      <c r="O325" s="18">
        <f>SUMIF(Journal!$A:$A,HeadJournal!$A325,Journal!U:U)</f>
        <v>1424.8</v>
      </c>
      <c r="P325" s="22">
        <f t="shared" si="47"/>
        <v>0.90452006094464188</v>
      </c>
      <c r="Q325" s="7" t="b">
        <f t="shared" si="45"/>
        <v>1</v>
      </c>
      <c r="R325" s="73">
        <f t="shared" si="48"/>
        <v>9.0909090909090912E-2</v>
      </c>
    </row>
    <row r="326" spans="1:18" x14ac:dyDescent="0.25">
      <c r="A326" s="12" t="s">
        <v>999</v>
      </c>
      <c r="B326" s="12"/>
      <c r="C326" s="12" t="s">
        <v>843</v>
      </c>
      <c r="D326" s="12" t="s">
        <v>714</v>
      </c>
      <c r="E326" s="12" t="s">
        <v>1354</v>
      </c>
      <c r="F326" s="12"/>
      <c r="G326" s="13">
        <v>45194</v>
      </c>
      <c r="H326" s="14">
        <v>1</v>
      </c>
      <c r="I326" s="14">
        <v>0</v>
      </c>
      <c r="J326" s="8">
        <f>SUMIF(Journal!$A:$A,HeadJournal!$A326,Journal!$K:$K)+SUMIF(Journal!$A:$A,HeadJournal!$A326,Journal!$L:$L)+SUMIF(Journal!$A:$A,HeadJournal!$A326,Journal!$M:$M)</f>
        <v>299</v>
      </c>
      <c r="K326" s="14">
        <v>299</v>
      </c>
      <c r="L326" s="14">
        <f t="shared" si="46"/>
        <v>29.900000000000002</v>
      </c>
      <c r="M326" s="8">
        <f>SUMIF(Journal!$A:$A,HeadJournal!$A326,Journal!$P:$P)</f>
        <v>328.9</v>
      </c>
      <c r="N326" s="8">
        <f>SUMIF(Journal!$A:$A,HeadJournal!$A326,Journal!Q:Q)</f>
        <v>600</v>
      </c>
      <c r="O326" s="18">
        <f>SUMIF(Journal!$A:$A,HeadJournal!$A326,Journal!U:U)</f>
        <v>271.10000000000002</v>
      </c>
      <c r="P326" s="22">
        <f t="shared" si="47"/>
        <v>0.8242626938279114</v>
      </c>
      <c r="Q326" s="7" t="b">
        <f t="shared" si="45"/>
        <v>1</v>
      </c>
      <c r="R326" s="73">
        <f t="shared" si="48"/>
        <v>9.0909090909090925E-2</v>
      </c>
    </row>
    <row r="327" spans="1:18" x14ac:dyDescent="0.25">
      <c r="A327" s="12" t="s">
        <v>1001</v>
      </c>
      <c r="B327" s="12"/>
      <c r="C327" s="12" t="s">
        <v>843</v>
      </c>
      <c r="D327" s="12" t="s">
        <v>714</v>
      </c>
      <c r="E327" s="12" t="s">
        <v>1354</v>
      </c>
      <c r="F327" s="12"/>
      <c r="G327" s="13">
        <v>45194</v>
      </c>
      <c r="H327" s="14">
        <v>1</v>
      </c>
      <c r="I327" s="14">
        <v>0</v>
      </c>
      <c r="J327" s="8">
        <f>SUMIF(Journal!$A:$A,HeadJournal!$A327,Journal!$K:$K)+SUMIF(Journal!$A:$A,HeadJournal!$A327,Journal!$L:$L)+SUMIF(Journal!$A:$A,HeadJournal!$A327,Journal!$M:$M)</f>
        <v>267</v>
      </c>
      <c r="K327" s="14">
        <v>267</v>
      </c>
      <c r="L327" s="14">
        <f t="shared" si="46"/>
        <v>26.700000000000003</v>
      </c>
      <c r="M327" s="8">
        <f>SUMIF(Journal!$A:$A,HeadJournal!$A327,Journal!$P:$P)</f>
        <v>293.7</v>
      </c>
      <c r="N327" s="8">
        <f>SUMIF(Journal!$A:$A,HeadJournal!$A327,Journal!Q:Q)</f>
        <v>500</v>
      </c>
      <c r="O327" s="18">
        <f>SUMIF(Journal!$A:$A,HeadJournal!$A327,Journal!U:U)</f>
        <v>206.3</v>
      </c>
      <c r="P327" s="22">
        <f t="shared" si="47"/>
        <v>0.70241743275451152</v>
      </c>
      <c r="Q327" s="7" t="b">
        <f t="shared" si="45"/>
        <v>1</v>
      </c>
      <c r="R327" s="73">
        <f t="shared" si="48"/>
        <v>9.0909090909090925E-2</v>
      </c>
    </row>
    <row r="328" spans="1:18" x14ac:dyDescent="0.25">
      <c r="A328" s="12" t="s">
        <v>1003</v>
      </c>
      <c r="B328" s="12"/>
      <c r="C328" s="12" t="s">
        <v>843</v>
      </c>
      <c r="D328" s="12" t="s">
        <v>714</v>
      </c>
      <c r="E328" s="12" t="s">
        <v>1354</v>
      </c>
      <c r="F328" s="12"/>
      <c r="G328" s="13">
        <v>45194</v>
      </c>
      <c r="H328" s="14">
        <v>1</v>
      </c>
      <c r="I328" s="14">
        <v>0</v>
      </c>
      <c r="J328" s="8">
        <f>SUMIF(Journal!$A:$A,HeadJournal!$A328,Journal!$K:$K)+SUMIF(Journal!$A:$A,HeadJournal!$A328,Journal!$L:$L)+SUMIF(Journal!$A:$A,HeadJournal!$A328,Journal!$M:$M)</f>
        <v>374</v>
      </c>
      <c r="K328" s="14">
        <v>374</v>
      </c>
      <c r="L328" s="14">
        <f t="shared" si="46"/>
        <v>37.4</v>
      </c>
      <c r="M328" s="8">
        <f>SUMIF(Journal!$A:$A,HeadJournal!$A328,Journal!$P:$P)</f>
        <v>411.4</v>
      </c>
      <c r="N328" s="8">
        <f>SUMIF(Journal!$A:$A,HeadJournal!$A328,Journal!Q:Q)</f>
        <v>500</v>
      </c>
      <c r="O328" s="18">
        <f>SUMIF(Journal!$A:$A,HeadJournal!$A328,Journal!U:U)</f>
        <v>88.600000000000023</v>
      </c>
      <c r="P328" s="22">
        <f t="shared" si="47"/>
        <v>0.2153621779290229</v>
      </c>
      <c r="Q328" s="7" t="b">
        <f t="shared" si="45"/>
        <v>1</v>
      </c>
      <c r="R328" s="73">
        <f t="shared" si="48"/>
        <v>9.0909090909090912E-2</v>
      </c>
    </row>
    <row r="329" spans="1:18" x14ac:dyDescent="0.25">
      <c r="A329" s="12" t="s">
        <v>1004</v>
      </c>
      <c r="B329" s="12"/>
      <c r="C329" s="12" t="s">
        <v>843</v>
      </c>
      <c r="D329" s="12" t="s">
        <v>714</v>
      </c>
      <c r="E329" s="12" t="s">
        <v>1354</v>
      </c>
      <c r="F329" s="12"/>
      <c r="G329" s="13">
        <v>45194</v>
      </c>
      <c r="H329" s="14">
        <v>1</v>
      </c>
      <c r="I329" s="14">
        <v>0</v>
      </c>
      <c r="J329" s="8">
        <f>SUMIF(Journal!$A:$A,HeadJournal!$A329,Journal!$K:$K)+SUMIF(Journal!$A:$A,HeadJournal!$A329,Journal!$L:$L)+SUMIF(Journal!$A:$A,HeadJournal!$A329,Journal!$M:$M)</f>
        <v>319</v>
      </c>
      <c r="K329" s="14">
        <v>319</v>
      </c>
      <c r="L329" s="14">
        <f t="shared" si="46"/>
        <v>31.900000000000002</v>
      </c>
      <c r="M329" s="8">
        <f>SUMIF(Journal!$A:$A,HeadJournal!$A329,Journal!$P:$P)</f>
        <v>350.9</v>
      </c>
      <c r="N329" s="8">
        <f>SUMIF(Journal!$A:$A,HeadJournal!$A329,Journal!Q:Q)</f>
        <v>550</v>
      </c>
      <c r="O329" s="18">
        <f>SUMIF(Journal!$A:$A,HeadJournal!$A329,Journal!U:U)</f>
        <v>199.10000000000002</v>
      </c>
      <c r="P329" s="22">
        <f t="shared" si="47"/>
        <v>0.56739811912225713</v>
      </c>
      <c r="Q329" s="7" t="b">
        <f t="shared" si="45"/>
        <v>1</v>
      </c>
      <c r="R329" s="73">
        <f t="shared" si="48"/>
        <v>9.0909090909090925E-2</v>
      </c>
    </row>
    <row r="330" spans="1:18" x14ac:dyDescent="0.25">
      <c r="A330" s="12" t="s">
        <v>1005</v>
      </c>
      <c r="B330" s="12"/>
      <c r="C330" s="12" t="s">
        <v>1357</v>
      </c>
      <c r="D330" s="12" t="s">
        <v>714</v>
      </c>
      <c r="E330" s="12" t="s">
        <v>1358</v>
      </c>
      <c r="F330" s="12"/>
      <c r="G330" s="13">
        <v>45196</v>
      </c>
      <c r="H330" s="14">
        <v>1</v>
      </c>
      <c r="I330" s="14">
        <v>0</v>
      </c>
      <c r="J330" s="8">
        <f>SUMIF(Journal!$A:$A,HeadJournal!$A330,Journal!$K:$K)+SUMIF(Journal!$A:$A,HeadJournal!$A330,Journal!$L:$L)+SUMIF(Journal!$A:$A,HeadJournal!$A330,Journal!$M:$M)</f>
        <v>3276</v>
      </c>
      <c r="K330" s="14">
        <v>3276</v>
      </c>
      <c r="L330" s="14">
        <v>0</v>
      </c>
      <c r="M330" s="8">
        <f>SUMIF(Journal!$A:$A,HeadJournal!$A330,Journal!$P:$P)</f>
        <v>3276</v>
      </c>
      <c r="N330" s="8">
        <f>SUMIF(Journal!$A:$A,HeadJournal!$A330,Journal!Q:Q)</f>
        <v>3792</v>
      </c>
      <c r="O330" s="18">
        <f>SUMIF(Journal!$A:$A,HeadJournal!$A330,Journal!U:U)</f>
        <v>516</v>
      </c>
      <c r="P330" s="22">
        <f t="shared" si="47"/>
        <v>0.1575091575091575</v>
      </c>
      <c r="Q330" s="7" t="b">
        <f t="shared" si="45"/>
        <v>1</v>
      </c>
      <c r="R330" s="73">
        <f t="shared" si="48"/>
        <v>0</v>
      </c>
    </row>
    <row r="331" spans="1:18" x14ac:dyDescent="0.25">
      <c r="A331" s="12" t="s">
        <v>1006</v>
      </c>
      <c r="B331" s="12"/>
      <c r="C331" s="12" t="s">
        <v>1449</v>
      </c>
      <c r="D331" s="12" t="s">
        <v>714</v>
      </c>
      <c r="E331" s="12" t="s">
        <v>1369</v>
      </c>
      <c r="F331" s="12"/>
      <c r="G331" s="13">
        <v>45203</v>
      </c>
      <c r="H331" s="14">
        <v>1</v>
      </c>
      <c r="I331" s="14">
        <v>0</v>
      </c>
      <c r="J331" s="8">
        <f>SUMIF(Journal!$A:$A,HeadJournal!$A331,Journal!$K:$K)+SUMIF(Journal!$A:$A,HeadJournal!$A331,Journal!$L:$L)+SUMIF(Journal!$A:$A,HeadJournal!$A331,Journal!$M:$M)</f>
        <v>7648.3600000000006</v>
      </c>
      <c r="K331" s="14">
        <v>7240.33</v>
      </c>
      <c r="L331" s="14">
        <v>200</v>
      </c>
      <c r="M331" s="8">
        <f>SUMIF(Journal!$A:$A,HeadJournal!$A331,Journal!$P:$P)</f>
        <v>7440.33</v>
      </c>
      <c r="N331" s="8">
        <f>SUMIF(Journal!$A:$A,HeadJournal!$A331,Journal!Q:Q)</f>
        <v>9500</v>
      </c>
      <c r="O331" s="18">
        <f>SUMIF(Journal!$A:$A,HeadJournal!$A331,Journal!U:U)</f>
        <v>2059.67</v>
      </c>
      <c r="P331" s="22">
        <f t="shared" si="47"/>
        <v>0.27682508705931053</v>
      </c>
      <c r="Q331" s="7" t="b">
        <f t="shared" si="45"/>
        <v>0</v>
      </c>
      <c r="R331" s="73">
        <f t="shared" si="48"/>
        <v>2.6880528148617064E-2</v>
      </c>
    </row>
    <row r="332" spans="1:18" x14ac:dyDescent="0.25">
      <c r="A332" s="12" t="s">
        <v>1007</v>
      </c>
      <c r="B332" s="12"/>
      <c r="C332" s="12" t="s">
        <v>1380</v>
      </c>
      <c r="D332" s="12" t="s">
        <v>714</v>
      </c>
      <c r="E332" s="12" t="s">
        <v>1354</v>
      </c>
      <c r="F332" s="12"/>
      <c r="G332" s="13">
        <v>45199</v>
      </c>
      <c r="H332" s="14">
        <v>1</v>
      </c>
      <c r="I332" s="14">
        <v>0</v>
      </c>
      <c r="J332" s="8">
        <f>SUMIF(Journal!$A:$A,HeadJournal!$A332,Journal!$K:$K)+SUMIF(Journal!$A:$A,HeadJournal!$A332,Journal!$L:$L)+SUMIF(Journal!$A:$A,HeadJournal!$A332,Journal!$M:$M)</f>
        <v>833</v>
      </c>
      <c r="K332" s="14">
        <v>833</v>
      </c>
      <c r="L332" s="14">
        <f t="shared" ref="L332:L340" si="49">K332*0.1</f>
        <v>83.300000000000011</v>
      </c>
      <c r="M332" s="8">
        <f>SUMIF(Journal!$A:$A,HeadJournal!$A332,Journal!$P:$P)</f>
        <v>916.3</v>
      </c>
      <c r="N332" s="8">
        <f>SUMIF(Journal!$A:$A,HeadJournal!$A332,Journal!Q:Q)</f>
        <v>1700</v>
      </c>
      <c r="O332" s="18">
        <f>SUMIF(Journal!$A:$A,HeadJournal!$A332,Journal!U:U)</f>
        <v>783.7</v>
      </c>
      <c r="P332" s="22">
        <f t="shared" si="47"/>
        <v>0.855287569573284</v>
      </c>
      <c r="Q332" s="7" t="b">
        <f t="shared" si="45"/>
        <v>1</v>
      </c>
      <c r="R332" s="73">
        <f t="shared" si="48"/>
        <v>9.0909090909090925E-2</v>
      </c>
    </row>
    <row r="333" spans="1:18" x14ac:dyDescent="0.25">
      <c r="A333" s="12" t="s">
        <v>1008</v>
      </c>
      <c r="B333" s="12"/>
      <c r="C333" s="12" t="s">
        <v>1380</v>
      </c>
      <c r="D333" s="12" t="s">
        <v>714</v>
      </c>
      <c r="E333" s="12" t="s">
        <v>1354</v>
      </c>
      <c r="F333" s="12"/>
      <c r="G333" s="13">
        <v>45200</v>
      </c>
      <c r="H333" s="14">
        <v>1</v>
      </c>
      <c r="I333" s="14">
        <v>0</v>
      </c>
      <c r="J333" s="8">
        <f>SUMIF(Journal!$A:$A,HeadJournal!$A333,Journal!$K:$K)+SUMIF(Journal!$A:$A,HeadJournal!$A333,Journal!$L:$L)+SUMIF(Journal!$A:$A,HeadJournal!$A333,Journal!$M:$M)</f>
        <v>461</v>
      </c>
      <c r="K333" s="14">
        <v>461</v>
      </c>
      <c r="L333" s="14">
        <f t="shared" si="49"/>
        <v>46.1</v>
      </c>
      <c r="M333" s="8">
        <f>SUMIF(Journal!$A:$A,HeadJournal!$A333,Journal!$P:$P)</f>
        <v>507.1</v>
      </c>
      <c r="N333" s="8">
        <f>SUMIF(Journal!$A:$A,HeadJournal!$A333,Journal!Q:Q)</f>
        <v>900</v>
      </c>
      <c r="O333" s="18">
        <f>SUMIF(Journal!$A:$A,HeadJournal!$A333,Journal!U:U)</f>
        <v>392.9</v>
      </c>
      <c r="P333" s="22">
        <f t="shared" si="47"/>
        <v>0.77479787024255564</v>
      </c>
      <c r="Q333" s="7" t="b">
        <f t="shared" si="45"/>
        <v>1</v>
      </c>
      <c r="R333" s="73">
        <f t="shared" si="48"/>
        <v>9.0909090909090912E-2</v>
      </c>
    </row>
    <row r="334" spans="1:18" x14ac:dyDescent="0.25">
      <c r="A334" s="12" t="s">
        <v>1011</v>
      </c>
      <c r="B334" s="12"/>
      <c r="C334" s="12" t="s">
        <v>843</v>
      </c>
      <c r="D334" s="12" t="s">
        <v>714</v>
      </c>
      <c r="E334" s="12" t="s">
        <v>1354</v>
      </c>
      <c r="F334" s="12"/>
      <c r="G334" s="13">
        <v>45200</v>
      </c>
      <c r="H334" s="14">
        <v>1</v>
      </c>
      <c r="I334" s="14">
        <v>0</v>
      </c>
      <c r="J334" s="8">
        <f>SUMIF(Journal!$A:$A,HeadJournal!$A334,Journal!$K:$K)+SUMIF(Journal!$A:$A,HeadJournal!$A334,Journal!$L:$L)+SUMIF(Journal!$A:$A,HeadJournal!$A334,Journal!$M:$M)</f>
        <v>10268</v>
      </c>
      <c r="K334" s="14">
        <v>10268</v>
      </c>
      <c r="L334" s="14">
        <f t="shared" si="49"/>
        <v>1026.8</v>
      </c>
      <c r="M334" s="8">
        <f>SUMIF(Journal!$A:$A,HeadJournal!$A334,Journal!$P:$P)</f>
        <v>11294.8</v>
      </c>
      <c r="N334" s="8">
        <f>SUMIF(Journal!$A:$A,HeadJournal!$A334,Journal!Q:Q)</f>
        <v>13600</v>
      </c>
      <c r="O334" s="18">
        <f>SUMIF(Journal!$A:$A,HeadJournal!$A334,Journal!U:U)</f>
        <v>2305.2000000000007</v>
      </c>
      <c r="P334" s="22">
        <f t="shared" si="47"/>
        <v>0.20409391932570747</v>
      </c>
      <c r="Q334" s="7" t="b">
        <f t="shared" si="45"/>
        <v>1</v>
      </c>
      <c r="R334" s="73">
        <f t="shared" si="48"/>
        <v>9.0909090909090912E-2</v>
      </c>
    </row>
    <row r="335" spans="1:18" x14ac:dyDescent="0.25">
      <c r="A335" s="12" t="s">
        <v>1014</v>
      </c>
      <c r="B335" s="12"/>
      <c r="C335" s="12" t="s">
        <v>843</v>
      </c>
      <c r="D335" s="12" t="s">
        <v>714</v>
      </c>
      <c r="E335" s="12" t="s">
        <v>1354</v>
      </c>
      <c r="F335" s="12"/>
      <c r="G335" s="13">
        <v>45197</v>
      </c>
      <c r="H335" s="14">
        <v>1</v>
      </c>
      <c r="I335" s="14">
        <v>0</v>
      </c>
      <c r="J335" s="8">
        <f>SUMIF(Journal!$A:$A,HeadJournal!$A335,Journal!$K:$K)+SUMIF(Journal!$A:$A,HeadJournal!$A335,Journal!$L:$L)+SUMIF(Journal!$A:$A,HeadJournal!$A335,Journal!$M:$M)</f>
        <v>829</v>
      </c>
      <c r="K335" s="14">
        <v>829</v>
      </c>
      <c r="L335" s="14">
        <f t="shared" si="49"/>
        <v>82.9</v>
      </c>
      <c r="M335" s="8">
        <f>SUMIF(Journal!$A:$A,HeadJournal!$A335,Journal!$P:$P)</f>
        <v>911.9</v>
      </c>
      <c r="N335" s="8">
        <f>SUMIF(Journal!$A:$A,HeadJournal!$A335,Journal!Q:Q)</f>
        <v>1700</v>
      </c>
      <c r="O335" s="18">
        <f>SUMIF(Journal!$A:$A,HeadJournal!$A335,Journal!U:U)</f>
        <v>788.1</v>
      </c>
      <c r="P335" s="22">
        <f t="shared" si="47"/>
        <v>0.86423949994516946</v>
      </c>
      <c r="Q335" s="7" t="b">
        <f t="shared" si="45"/>
        <v>1</v>
      </c>
      <c r="R335" s="73">
        <f t="shared" si="48"/>
        <v>9.0909090909090912E-2</v>
      </c>
    </row>
    <row r="336" spans="1:18" x14ac:dyDescent="0.25">
      <c r="A336" s="12" t="s">
        <v>1016</v>
      </c>
      <c r="B336" s="12"/>
      <c r="C336" s="12" t="s">
        <v>843</v>
      </c>
      <c r="D336" s="12" t="s">
        <v>714</v>
      </c>
      <c r="E336" s="12" t="s">
        <v>1354</v>
      </c>
      <c r="F336" s="12"/>
      <c r="G336" s="13">
        <v>45197</v>
      </c>
      <c r="H336" s="14">
        <v>1</v>
      </c>
      <c r="I336" s="14">
        <v>0</v>
      </c>
      <c r="J336" s="8">
        <f>SUMIF(Journal!$A:$A,HeadJournal!$A336,Journal!$K:$K)+SUMIF(Journal!$A:$A,HeadJournal!$A336,Journal!$L:$L)+SUMIF(Journal!$A:$A,HeadJournal!$A336,Journal!$M:$M)</f>
        <v>1517</v>
      </c>
      <c r="K336" s="14">
        <v>1517</v>
      </c>
      <c r="L336" s="14">
        <f t="shared" si="49"/>
        <v>151.70000000000002</v>
      </c>
      <c r="M336" s="8">
        <f>SUMIF(Journal!$A:$A,HeadJournal!$A336,Journal!$P:$P)</f>
        <v>1668.7</v>
      </c>
      <c r="N336" s="8">
        <f>SUMIF(Journal!$A:$A,HeadJournal!$A336,Journal!Q:Q)</f>
        <v>1200</v>
      </c>
      <c r="O336" s="18">
        <f>SUMIF(Journal!$A:$A,HeadJournal!$A336,Journal!U:U)</f>
        <v>-468.70000000000005</v>
      </c>
      <c r="P336" s="22">
        <f t="shared" si="47"/>
        <v>-0.28087732965781748</v>
      </c>
      <c r="Q336" s="7" t="b">
        <f t="shared" si="45"/>
        <v>1</v>
      </c>
      <c r="R336" s="73">
        <f t="shared" si="48"/>
        <v>9.0909090909090912E-2</v>
      </c>
    </row>
    <row r="337" spans="1:18" x14ac:dyDescent="0.25">
      <c r="A337" s="12" t="s">
        <v>1017</v>
      </c>
      <c r="B337" s="12"/>
      <c r="C337" s="12" t="s">
        <v>843</v>
      </c>
      <c r="D337" s="12" t="s">
        <v>714</v>
      </c>
      <c r="E337" s="12" t="s">
        <v>1354</v>
      </c>
      <c r="F337" s="12"/>
      <c r="G337" s="13">
        <v>45200</v>
      </c>
      <c r="H337" s="14">
        <v>1</v>
      </c>
      <c r="I337" s="14">
        <v>0</v>
      </c>
      <c r="J337" s="8">
        <f>SUMIF(Journal!$A:$A,HeadJournal!$A337,Journal!$K:$K)+SUMIF(Journal!$A:$A,HeadJournal!$A337,Journal!$L:$L)+SUMIF(Journal!$A:$A,HeadJournal!$A337,Journal!$M:$M)</f>
        <v>1170</v>
      </c>
      <c r="K337" s="14">
        <v>1170</v>
      </c>
      <c r="L337" s="14">
        <f t="shared" si="49"/>
        <v>117</v>
      </c>
      <c r="M337" s="8">
        <f>SUMIF(Journal!$A:$A,HeadJournal!$A337,Journal!$P:$P)</f>
        <v>1287</v>
      </c>
      <c r="N337" s="8">
        <f>SUMIF(Journal!$A:$A,HeadJournal!$A337,Journal!Q:Q)</f>
        <v>2600</v>
      </c>
      <c r="O337" s="18">
        <f>SUMIF(Journal!$A:$A,HeadJournal!$A337,Journal!U:U)</f>
        <v>1313</v>
      </c>
      <c r="P337" s="22">
        <f t="shared" si="47"/>
        <v>1.0202020202020201</v>
      </c>
      <c r="Q337" s="7" t="b">
        <f t="shared" si="45"/>
        <v>1</v>
      </c>
      <c r="R337" s="73">
        <f t="shared" si="48"/>
        <v>9.0909090909090912E-2</v>
      </c>
    </row>
    <row r="338" spans="1:18" x14ac:dyDescent="0.25">
      <c r="A338" s="12" t="s">
        <v>1019</v>
      </c>
      <c r="B338" s="12"/>
      <c r="C338" s="12" t="s">
        <v>843</v>
      </c>
      <c r="D338" s="12" t="s">
        <v>714</v>
      </c>
      <c r="E338" s="12" t="s">
        <v>1354</v>
      </c>
      <c r="F338" s="12"/>
      <c r="G338" s="13">
        <v>45200</v>
      </c>
      <c r="H338" s="14">
        <v>1</v>
      </c>
      <c r="I338" s="14">
        <v>0</v>
      </c>
      <c r="J338" s="8">
        <f>SUMIF(Journal!$A:$A,HeadJournal!$A338,Journal!$K:$K)+SUMIF(Journal!$A:$A,HeadJournal!$A338,Journal!$L:$L)+SUMIF(Journal!$A:$A,HeadJournal!$A338,Journal!$M:$M)</f>
        <v>2864</v>
      </c>
      <c r="K338" s="14">
        <v>2864</v>
      </c>
      <c r="L338" s="14">
        <f t="shared" si="49"/>
        <v>286.40000000000003</v>
      </c>
      <c r="M338" s="8">
        <f>SUMIF(Journal!$A:$A,HeadJournal!$A338,Journal!$P:$P)</f>
        <v>3150.4</v>
      </c>
      <c r="N338" s="8">
        <f>SUMIF(Journal!$A:$A,HeadJournal!$A338,Journal!Q:Q)</f>
        <v>6000</v>
      </c>
      <c r="O338" s="18">
        <f>SUMIF(Journal!$A:$A,HeadJournal!$A338,Journal!U:U)</f>
        <v>2849.6</v>
      </c>
      <c r="P338" s="22">
        <f t="shared" si="47"/>
        <v>0.90452006094464188</v>
      </c>
      <c r="Q338" s="7" t="b">
        <f t="shared" si="45"/>
        <v>1</v>
      </c>
      <c r="R338" s="73">
        <f t="shared" si="48"/>
        <v>9.0909090909090912E-2</v>
      </c>
    </row>
    <row r="339" spans="1:18" x14ac:dyDescent="0.25">
      <c r="A339" s="12" t="s">
        <v>1020</v>
      </c>
      <c r="B339" s="12"/>
      <c r="C339" s="12" t="s">
        <v>843</v>
      </c>
      <c r="D339" s="12" t="s">
        <v>714</v>
      </c>
      <c r="E339" s="12" t="s">
        <v>1354</v>
      </c>
      <c r="F339" s="12"/>
      <c r="G339" s="13">
        <v>45199</v>
      </c>
      <c r="H339" s="14">
        <v>1</v>
      </c>
      <c r="I339" s="14">
        <v>0</v>
      </c>
      <c r="J339" s="8">
        <f>SUMIF(Journal!$A:$A,HeadJournal!$A339,Journal!$K:$K)+SUMIF(Journal!$A:$A,HeadJournal!$A339,Journal!$L:$L)+SUMIF(Journal!$A:$A,HeadJournal!$A339,Journal!$M:$M)</f>
        <v>1501</v>
      </c>
      <c r="K339" s="14">
        <v>1501</v>
      </c>
      <c r="L339" s="14">
        <f t="shared" si="49"/>
        <v>150.1</v>
      </c>
      <c r="M339" s="8">
        <f>SUMIF(Journal!$A:$A,HeadJournal!$A339,Journal!$P:$P)</f>
        <v>1651.1</v>
      </c>
      <c r="N339" s="8">
        <f>SUMIF(Journal!$A:$A,HeadJournal!$A339,Journal!Q:Q)</f>
        <v>3000</v>
      </c>
      <c r="O339" s="18">
        <f>SUMIF(Journal!$A:$A,HeadJournal!$A339,Journal!U:U)</f>
        <v>1348.9</v>
      </c>
      <c r="P339" s="22">
        <f t="shared" si="47"/>
        <v>0.81697050451214348</v>
      </c>
      <c r="Q339" s="7" t="b">
        <f t="shared" si="45"/>
        <v>1</v>
      </c>
      <c r="R339" s="73">
        <f t="shared" si="48"/>
        <v>9.0909090909090912E-2</v>
      </c>
    </row>
    <row r="340" spans="1:18" x14ac:dyDescent="0.25">
      <c r="A340" s="12" t="s">
        <v>1022</v>
      </c>
      <c r="B340" s="12"/>
      <c r="C340" s="12" t="s">
        <v>843</v>
      </c>
      <c r="D340" s="12" t="s">
        <v>714</v>
      </c>
      <c r="E340" s="12" t="s">
        <v>1354</v>
      </c>
      <c r="F340" s="12"/>
      <c r="G340" s="13">
        <v>45199</v>
      </c>
      <c r="H340" s="14">
        <v>1</v>
      </c>
      <c r="I340" s="14">
        <v>0</v>
      </c>
      <c r="J340" s="8">
        <f>SUMIF(Journal!$A:$A,HeadJournal!$A340,Journal!$K:$K)+SUMIF(Journal!$A:$A,HeadJournal!$A340,Journal!$L:$L)+SUMIF(Journal!$A:$A,HeadJournal!$A340,Journal!$M:$M)</f>
        <v>1486</v>
      </c>
      <c r="K340" s="14">
        <v>1486</v>
      </c>
      <c r="L340" s="14">
        <f t="shared" si="49"/>
        <v>148.6</v>
      </c>
      <c r="M340" s="8">
        <f>SUMIF(Journal!$A:$A,HeadJournal!$A340,Journal!$P:$P)</f>
        <v>1634.6</v>
      </c>
      <c r="N340" s="8">
        <f>SUMIF(Journal!$A:$A,HeadJournal!$A340,Journal!Q:Q)</f>
        <v>3000</v>
      </c>
      <c r="O340" s="18">
        <f>SUMIF(Journal!$A:$A,HeadJournal!$A340,Journal!U:U)</f>
        <v>1365.4</v>
      </c>
      <c r="P340" s="22">
        <f t="shared" si="47"/>
        <v>0.83531139116603459</v>
      </c>
      <c r="Q340" s="7" t="b">
        <f t="shared" si="45"/>
        <v>1</v>
      </c>
      <c r="R340" s="73">
        <f t="shared" si="48"/>
        <v>9.0909090909090912E-2</v>
      </c>
    </row>
    <row r="341" spans="1:18" x14ac:dyDescent="0.25">
      <c r="A341" s="12" t="s">
        <v>1024</v>
      </c>
      <c r="B341" s="124" t="s">
        <v>1470</v>
      </c>
      <c r="C341" s="12" t="s">
        <v>1735</v>
      </c>
      <c r="D341" s="12" t="s">
        <v>714</v>
      </c>
      <c r="E341" s="12" t="s">
        <v>1369</v>
      </c>
      <c r="F341" s="124" t="s">
        <v>1466</v>
      </c>
      <c r="G341" s="13">
        <v>45200</v>
      </c>
      <c r="H341" s="14">
        <f>22537.78/K341</f>
        <v>108.7730694980695</v>
      </c>
      <c r="I341" s="14">
        <v>-8.76</v>
      </c>
      <c r="J341" s="8">
        <f>SUMIF(Journal!$A:$A,HeadJournal!$A341,Journal!$K:$K)+SUMIF(Journal!$A:$A,HeadJournal!$A341,Journal!$L:$L)+SUMIF(Journal!$A:$A,HeadJournal!$A341,Journal!$M:$M)</f>
        <v>207.20000000000002</v>
      </c>
      <c r="K341" s="14">
        <v>207.2</v>
      </c>
      <c r="L341" s="14">
        <f>(1177.36+1000+400)/2</f>
        <v>1288.6799999999998</v>
      </c>
      <c r="M341" s="8">
        <f>SUMIF(Journal!$A:$A,HeadJournal!$A341,Journal!$P:$P)</f>
        <v>23826.460000000003</v>
      </c>
      <c r="N341" s="8">
        <f>SUMIF(Journal!$A:$A,HeadJournal!$A341,Journal!Q:Q)</f>
        <v>33300</v>
      </c>
      <c r="O341" s="18">
        <f>SUMIF(Journal!$A:$A,HeadJournal!$A341,Journal!U:U)</f>
        <v>9473.5400000000009</v>
      </c>
      <c r="P341" s="22">
        <f t="shared" si="47"/>
        <v>0.3976058550032191</v>
      </c>
      <c r="R341" s="73">
        <f t="shared" si="48"/>
        <v>5.4086087484250693E-2</v>
      </c>
    </row>
    <row r="342" spans="1:18" x14ac:dyDescent="0.25">
      <c r="A342" s="12" t="s">
        <v>1029</v>
      </c>
      <c r="B342" s="124" t="s">
        <v>1471</v>
      </c>
      <c r="C342" s="12" t="s">
        <v>1751</v>
      </c>
      <c r="D342" s="12" t="s">
        <v>714</v>
      </c>
      <c r="E342" s="12" t="s">
        <v>1369</v>
      </c>
      <c r="F342" s="124" t="s">
        <v>1472</v>
      </c>
      <c r="G342" s="13">
        <v>45206</v>
      </c>
      <c r="H342" s="14">
        <f>12584.82/K342</f>
        <v>112.03436303747885</v>
      </c>
      <c r="I342" s="14">
        <v>-12.91</v>
      </c>
      <c r="J342" s="8">
        <f>SUMIF(Journal!$A:$A,HeadJournal!$A342,Journal!$K:$K)+SUMIF(Journal!$A:$A,HeadJournal!$A342,Journal!$L:$L)+SUMIF(Journal!$A:$A,HeadJournal!$A342,Journal!$M:$M)</f>
        <v>112.32999999999998</v>
      </c>
      <c r="K342" s="14">
        <v>112.33</v>
      </c>
      <c r="L342" s="14">
        <f>(1060.1+900+200)/2</f>
        <v>1080.05</v>
      </c>
      <c r="M342" s="8">
        <f>SUMIF(Journal!$A:$A,HeadJournal!$A342,Journal!$P:$P)</f>
        <v>13664.87</v>
      </c>
      <c r="N342" s="8">
        <f>SUMIF(Journal!$A:$A,HeadJournal!$A342,Journal!Q:Q)</f>
        <v>22100</v>
      </c>
      <c r="O342" s="18">
        <f>SUMIF(Journal!$A:$A,HeadJournal!$A342,Journal!U:U)</f>
        <v>8435.1299999999974</v>
      </c>
      <c r="P342" s="22">
        <f t="shared" si="47"/>
        <v>0.61728578464339556</v>
      </c>
      <c r="R342" s="73">
        <f t="shared" si="48"/>
        <v>7.9038439443624403E-2</v>
      </c>
    </row>
    <row r="343" spans="1:18" x14ac:dyDescent="0.25">
      <c r="A343" s="12" t="s">
        <v>1033</v>
      </c>
      <c r="B343" s="12"/>
      <c r="C343" s="12" t="s">
        <v>1380</v>
      </c>
      <c r="D343" s="12" t="s">
        <v>714</v>
      </c>
      <c r="E343" s="12" t="s">
        <v>1354</v>
      </c>
      <c r="F343" s="12"/>
      <c r="G343" s="13">
        <v>45208</v>
      </c>
      <c r="H343" s="14">
        <v>1</v>
      </c>
      <c r="I343" s="14">
        <v>0</v>
      </c>
      <c r="J343" s="8">
        <f>SUMIF(Journal!$A:$A,HeadJournal!$A343,Journal!$K:$K)+SUMIF(Journal!$A:$A,HeadJournal!$A343,Journal!$L:$L)+SUMIF(Journal!$A:$A,HeadJournal!$A343,Journal!$M:$M)</f>
        <v>6926</v>
      </c>
      <c r="K343" s="14">
        <v>6926</v>
      </c>
      <c r="L343" s="14">
        <f>K343*0.1</f>
        <v>692.6</v>
      </c>
      <c r="M343" s="8">
        <f>SUMIF(Journal!$A:$A,HeadJournal!$A343,Journal!$P:$P)</f>
        <v>7618.6</v>
      </c>
      <c r="N343" s="8">
        <f>SUMIF(Journal!$A:$A,HeadJournal!$A343,Journal!Q:Q)</f>
        <v>12200</v>
      </c>
      <c r="O343" s="18">
        <f>SUMIF(Journal!$A:$A,HeadJournal!$A343,Journal!U:U)</f>
        <v>4581.3999999999996</v>
      </c>
      <c r="P343" s="22">
        <f t="shared" si="47"/>
        <v>0.60134407896463915</v>
      </c>
      <c r="Q343" s="7" t="b">
        <f>J343=K343</f>
        <v>1</v>
      </c>
      <c r="R343" s="73">
        <f t="shared" si="48"/>
        <v>9.0909090909090912E-2</v>
      </c>
    </row>
    <row r="344" spans="1:18" x14ac:dyDescent="0.25">
      <c r="A344" s="12" t="s">
        <v>1036</v>
      </c>
      <c r="B344" s="12"/>
      <c r="C344" s="12" t="s">
        <v>843</v>
      </c>
      <c r="D344" s="12" t="s">
        <v>714</v>
      </c>
      <c r="E344" s="12" t="s">
        <v>1354</v>
      </c>
      <c r="F344" s="12"/>
      <c r="G344" s="13">
        <v>45205</v>
      </c>
      <c r="H344" s="14">
        <v>1</v>
      </c>
      <c r="I344" s="14">
        <v>0</v>
      </c>
      <c r="J344" s="8">
        <f>SUMIF(Journal!$A:$A,HeadJournal!$A344,Journal!$K:$K)+SUMIF(Journal!$A:$A,HeadJournal!$A344,Journal!$L:$L)+SUMIF(Journal!$A:$A,HeadJournal!$A344,Journal!$M:$M)</f>
        <v>1712</v>
      </c>
      <c r="K344" s="14">
        <f>428*4</f>
        <v>1712</v>
      </c>
      <c r="L344" s="14">
        <f>K344*0.1</f>
        <v>171.20000000000002</v>
      </c>
      <c r="M344" s="8">
        <f>SUMIF(Journal!$A:$A,HeadJournal!$A344,Journal!$P:$P)</f>
        <v>1883.2</v>
      </c>
      <c r="N344" s="8">
        <f>SUMIF(Journal!$A:$A,HeadJournal!$A344,Journal!Q:Q)</f>
        <v>3200</v>
      </c>
      <c r="O344" s="18">
        <f>SUMIF(Journal!$A:$A,HeadJournal!$A344,Journal!U:U)</f>
        <v>1316.8</v>
      </c>
      <c r="P344" s="22">
        <f t="shared" si="47"/>
        <v>0.69923534409515709</v>
      </c>
      <c r="Q344" s="7" t="b">
        <f>J344=K344</f>
        <v>1</v>
      </c>
      <c r="R344" s="73">
        <f t="shared" si="48"/>
        <v>9.0909090909090912E-2</v>
      </c>
    </row>
    <row r="345" spans="1:18" x14ac:dyDescent="0.25">
      <c r="A345" s="12" t="s">
        <v>1039</v>
      </c>
      <c r="B345" s="12"/>
      <c r="C345" s="12" t="s">
        <v>1461</v>
      </c>
      <c r="D345" s="12" t="s">
        <v>714</v>
      </c>
      <c r="E345" s="12" t="s">
        <v>1354</v>
      </c>
      <c r="F345" s="12"/>
      <c r="G345" s="13">
        <v>45205</v>
      </c>
      <c r="H345" s="14">
        <v>1</v>
      </c>
      <c r="I345" s="14">
        <v>0</v>
      </c>
      <c r="J345" s="8">
        <f>SUMIF(Journal!$A:$A,HeadJournal!$A345,Journal!$K:$K)+SUMIF(Journal!$A:$A,HeadJournal!$A345,Journal!$L:$L)+SUMIF(Journal!$A:$A,HeadJournal!$A345,Journal!$M:$M)</f>
        <v>367</v>
      </c>
      <c r="K345" s="14">
        <v>367</v>
      </c>
      <c r="L345" s="14">
        <f>K345*0.1</f>
        <v>36.700000000000003</v>
      </c>
      <c r="M345" s="8">
        <f>SUMIF(Journal!$A:$A,HeadJournal!$A345,Journal!$P:$P)</f>
        <v>403.7</v>
      </c>
      <c r="N345" s="8">
        <f>SUMIF(Journal!$A:$A,HeadJournal!$A345,Journal!Q:Q)</f>
        <v>600</v>
      </c>
      <c r="O345" s="18">
        <f>SUMIF(Journal!$A:$A,HeadJournal!$A345,Journal!U:U)</f>
        <v>196.3</v>
      </c>
      <c r="P345" s="22">
        <f t="shared" si="47"/>
        <v>0.48625216745107758</v>
      </c>
      <c r="Q345" s="7" t="b">
        <f>J345=K345</f>
        <v>1</v>
      </c>
      <c r="R345" s="73">
        <f t="shared" si="48"/>
        <v>9.0909090909090925E-2</v>
      </c>
    </row>
    <row r="346" spans="1:18" x14ac:dyDescent="0.25">
      <c r="A346" s="12" t="s">
        <v>1041</v>
      </c>
      <c r="B346" s="41" t="s">
        <v>1473</v>
      </c>
      <c r="C346" s="12" t="s">
        <v>1737</v>
      </c>
      <c r="D346" s="12" t="s">
        <v>714</v>
      </c>
      <c r="E346" s="12" t="s">
        <v>1369</v>
      </c>
      <c r="F346" s="41" t="s">
        <v>1472</v>
      </c>
      <c r="G346" s="13">
        <v>45211</v>
      </c>
      <c r="H346" s="14">
        <f>22162.78/K346</f>
        <v>111.69067177342134</v>
      </c>
      <c r="I346" s="14">
        <v>-11.61</v>
      </c>
      <c r="J346" s="8">
        <f>SUMIF(Journal!$A:$A,HeadJournal!$A346,Journal!$K:$K)+SUMIF(Journal!$A:$A,HeadJournal!$A346,Journal!$L:$L)+SUMIF(Journal!$A:$A,HeadJournal!$A346,Journal!$M:$M)</f>
        <v>198.42999999999998</v>
      </c>
      <c r="K346" s="14">
        <v>198.43</v>
      </c>
      <c r="L346" s="14">
        <f>(1060.1+900+200)/2</f>
        <v>1080.05</v>
      </c>
      <c r="M346" s="8">
        <f>SUMIF(Journal!$A:$A,HeadJournal!$A346,Journal!$P:$P)</f>
        <v>23242.83</v>
      </c>
      <c r="N346" s="8">
        <f>SUMIF(Journal!$A:$A,HeadJournal!$A346,Journal!Q:Q)</f>
        <v>32300</v>
      </c>
      <c r="O346" s="18">
        <f>SUMIF(Journal!$A:$A,HeadJournal!$A346,Journal!U:U)</f>
        <v>9057.1700000000019</v>
      </c>
      <c r="P346" s="22">
        <f t="shared" si="47"/>
        <v>0.38967586993494341</v>
      </c>
      <c r="R346" s="73">
        <f t="shared" si="48"/>
        <v>4.6468093601338557E-2</v>
      </c>
    </row>
    <row r="347" spans="1:18" x14ac:dyDescent="0.25">
      <c r="A347" s="12" t="s">
        <v>1048</v>
      </c>
      <c r="B347" s="124" t="s">
        <v>1474</v>
      </c>
      <c r="C347" s="12" t="s">
        <v>1751</v>
      </c>
      <c r="D347" s="12" t="s">
        <v>714</v>
      </c>
      <c r="E347" s="12" t="s">
        <v>1475</v>
      </c>
      <c r="F347" s="124" t="s">
        <v>1476</v>
      </c>
      <c r="G347" s="13">
        <v>45215</v>
      </c>
      <c r="H347" s="14">
        <f>23963.39/K347</f>
        <v>111.80604675033825</v>
      </c>
      <c r="I347" s="14">
        <v>-15.16</v>
      </c>
      <c r="J347" s="8">
        <f>SUMIF(Journal!$A:$A,HeadJournal!$A347,Journal!$K:$K)+SUMIF(Journal!$A:$A,HeadJournal!$A347,Journal!$L:$L)+SUMIF(Journal!$A:$A,HeadJournal!$A347,Journal!$M:$M)</f>
        <v>214.33</v>
      </c>
      <c r="K347" s="14">
        <v>214.33</v>
      </c>
      <c r="L347" s="14">
        <f>(1265+1200)/2</f>
        <v>1232.5</v>
      </c>
      <c r="M347" s="8">
        <f>SUMIF(Journal!$A:$A,HeadJournal!$A347,Journal!$P:$P)</f>
        <v>25195.889999999996</v>
      </c>
      <c r="N347" s="8">
        <f>SUMIF(Journal!$A:$A,HeadJournal!$A347,Journal!Q:Q)</f>
        <v>39600</v>
      </c>
      <c r="O347" s="18">
        <f>SUMIF(Journal!$A:$A,HeadJournal!$A347,Journal!U:U)</f>
        <v>14404.110000000004</v>
      </c>
      <c r="P347" s="22">
        <f t="shared" si="47"/>
        <v>0.57168490575248609</v>
      </c>
      <c r="R347" s="73">
        <f t="shared" si="48"/>
        <v>4.8916708240907554E-2</v>
      </c>
    </row>
    <row r="348" spans="1:18" x14ac:dyDescent="0.25">
      <c r="A348" s="12" t="s">
        <v>1052</v>
      </c>
      <c r="B348" s="12"/>
      <c r="C348" s="12" t="s">
        <v>1380</v>
      </c>
      <c r="D348" s="12" t="s">
        <v>714</v>
      </c>
      <c r="E348" s="12" t="s">
        <v>1354</v>
      </c>
      <c r="F348" s="12"/>
      <c r="G348" s="13">
        <v>45215</v>
      </c>
      <c r="H348" s="14">
        <v>1</v>
      </c>
      <c r="I348" s="14">
        <v>0</v>
      </c>
      <c r="J348" s="8">
        <f>SUMIF(Journal!$A:$A,HeadJournal!$A348,Journal!$K:$K)+SUMIF(Journal!$A:$A,HeadJournal!$A348,Journal!$L:$L)+SUMIF(Journal!$A:$A,HeadJournal!$A348,Journal!$M:$M)</f>
        <v>6826</v>
      </c>
      <c r="K348" s="14">
        <v>6826</v>
      </c>
      <c r="L348" s="14">
        <f>K348*0.1</f>
        <v>682.6</v>
      </c>
      <c r="M348" s="8">
        <f>SUMIF(Journal!$A:$A,HeadJournal!$A348,Journal!$P:$P)</f>
        <v>7508.6000000000013</v>
      </c>
      <c r="N348" s="8">
        <f>SUMIF(Journal!$A:$A,HeadJournal!$A348,Journal!Q:Q)</f>
        <v>13700</v>
      </c>
      <c r="O348" s="18">
        <f>SUMIF(Journal!$A:$A,HeadJournal!$A348,Journal!U:U)</f>
        <v>6191.4000000000005</v>
      </c>
      <c r="P348" s="22">
        <f t="shared" si="47"/>
        <v>0.82457448792051768</v>
      </c>
      <c r="Q348" s="7" t="b">
        <f t="shared" ref="Q348:Q356" si="50">J348=K348</f>
        <v>1</v>
      </c>
      <c r="R348" s="73">
        <f t="shared" si="48"/>
        <v>9.0909090909090898E-2</v>
      </c>
    </row>
    <row r="349" spans="1:18" x14ac:dyDescent="0.25">
      <c r="A349" s="12" t="s">
        <v>1056</v>
      </c>
      <c r="B349" s="12"/>
      <c r="C349" s="12" t="s">
        <v>1380</v>
      </c>
      <c r="D349" s="12" t="s">
        <v>714</v>
      </c>
      <c r="E349" s="12" t="s">
        <v>1354</v>
      </c>
      <c r="F349" s="12"/>
      <c r="G349" s="13">
        <v>45222</v>
      </c>
      <c r="H349" s="14">
        <v>1</v>
      </c>
      <c r="I349" s="14">
        <v>0</v>
      </c>
      <c r="J349" s="8">
        <f>SUMIF(Journal!$A:$A,HeadJournal!$A349,Journal!$K:$K)+SUMIF(Journal!$A:$A,HeadJournal!$A349,Journal!$L:$L)+SUMIF(Journal!$A:$A,HeadJournal!$A349,Journal!$M:$M)</f>
        <v>366</v>
      </c>
      <c r="K349" s="14">
        <v>366</v>
      </c>
      <c r="L349" s="14">
        <f>K349*0.1</f>
        <v>36.6</v>
      </c>
      <c r="M349" s="8">
        <f>SUMIF(Journal!$A:$A,HeadJournal!$A349,Journal!$P:$P)</f>
        <v>402.6</v>
      </c>
      <c r="N349" s="8">
        <f>SUMIF(Journal!$A:$A,HeadJournal!$A349,Journal!Q:Q)</f>
        <v>700</v>
      </c>
      <c r="O349" s="18">
        <f>SUMIF(Journal!$A:$A,HeadJournal!$A349,Journal!U:U)</f>
        <v>297.39999999999998</v>
      </c>
      <c r="P349" s="22">
        <f t="shared" si="47"/>
        <v>0.73869846000993533</v>
      </c>
      <c r="Q349" s="7" t="b">
        <f t="shared" si="50"/>
        <v>1</v>
      </c>
      <c r="R349" s="73">
        <f t="shared" si="48"/>
        <v>9.0909090909090912E-2</v>
      </c>
    </row>
    <row r="350" spans="1:18" x14ac:dyDescent="0.25">
      <c r="A350" s="12" t="s">
        <v>1058</v>
      </c>
      <c r="B350" s="12"/>
      <c r="C350" s="12" t="s">
        <v>843</v>
      </c>
      <c r="D350" s="12" t="s">
        <v>714</v>
      </c>
      <c r="E350" s="12" t="s">
        <v>1477</v>
      </c>
      <c r="F350" s="12"/>
      <c r="G350" s="13">
        <v>45215</v>
      </c>
      <c r="H350" s="14">
        <v>1</v>
      </c>
      <c r="I350" s="14">
        <v>0</v>
      </c>
      <c r="J350" s="8">
        <f>SUMIF(Journal!$A:$A,HeadJournal!$A350,Journal!$K:$K)+SUMIF(Journal!$A:$A,HeadJournal!$A350,Journal!$L:$L)+SUMIF(Journal!$A:$A,HeadJournal!$A350,Journal!$M:$M)</f>
        <v>4610</v>
      </c>
      <c r="K350" s="14">
        <f>2305*2</f>
        <v>4610</v>
      </c>
      <c r="L350" s="14">
        <f>K350*0.1</f>
        <v>461</v>
      </c>
      <c r="M350" s="8">
        <f>SUMIF(Journal!$A:$A,HeadJournal!$A350,Journal!$P:$P)</f>
        <v>5071</v>
      </c>
      <c r="N350" s="8">
        <f>SUMIF(Journal!$A:$A,HeadJournal!$A350,Journal!Q:Q)</f>
        <v>7300</v>
      </c>
      <c r="O350" s="18">
        <f>SUMIF(Journal!$A:$A,HeadJournal!$A350,Journal!U:U)</f>
        <v>2229</v>
      </c>
      <c r="P350" s="22">
        <f t="shared" si="47"/>
        <v>0.43955827253007296</v>
      </c>
      <c r="Q350" s="7" t="b">
        <f t="shared" si="50"/>
        <v>1</v>
      </c>
      <c r="R350" s="73">
        <f t="shared" si="48"/>
        <v>9.0909090909090912E-2</v>
      </c>
    </row>
    <row r="351" spans="1:18" x14ac:dyDescent="0.25">
      <c r="A351" s="12" t="s">
        <v>1060</v>
      </c>
      <c r="B351" s="12"/>
      <c r="C351" s="12" t="s">
        <v>843</v>
      </c>
      <c r="D351" s="12" t="s">
        <v>714</v>
      </c>
      <c r="E351" s="12" t="s">
        <v>1477</v>
      </c>
      <c r="F351" s="12"/>
      <c r="G351" s="13">
        <v>45215</v>
      </c>
      <c r="H351" s="14">
        <v>1</v>
      </c>
      <c r="I351" s="14">
        <v>0</v>
      </c>
      <c r="J351" s="8">
        <f>SUMIF(Journal!$A:$A,HeadJournal!$A351,Journal!$K:$K)+SUMIF(Journal!$A:$A,HeadJournal!$A351,Journal!$L:$L)+SUMIF(Journal!$A:$A,HeadJournal!$A351,Journal!$M:$M)</f>
        <v>5860</v>
      </c>
      <c r="K351" s="14">
        <f>2930*2</f>
        <v>5860</v>
      </c>
      <c r="L351" s="14">
        <f>K351*0.1</f>
        <v>586</v>
      </c>
      <c r="M351" s="8">
        <f>SUMIF(Journal!$A:$A,HeadJournal!$A351,Journal!$P:$P)</f>
        <v>6446</v>
      </c>
      <c r="N351" s="8">
        <f>SUMIF(Journal!$A:$A,HeadJournal!$A351,Journal!Q:Q)</f>
        <v>7600</v>
      </c>
      <c r="O351" s="18">
        <f>SUMIF(Journal!$A:$A,HeadJournal!$A351,Journal!U:U)</f>
        <v>1154</v>
      </c>
      <c r="P351" s="22">
        <f t="shared" si="47"/>
        <v>0.17902575240459198</v>
      </c>
      <c r="Q351" s="7" t="b">
        <f t="shared" si="50"/>
        <v>1</v>
      </c>
      <c r="R351" s="73">
        <f t="shared" si="48"/>
        <v>9.0909090909090912E-2</v>
      </c>
    </row>
    <row r="352" spans="1:18" x14ac:dyDescent="0.25">
      <c r="A352" s="12" t="s">
        <v>1062</v>
      </c>
      <c r="B352" s="12"/>
      <c r="C352" s="12" t="s">
        <v>843</v>
      </c>
      <c r="D352" s="12" t="s">
        <v>714</v>
      </c>
      <c r="E352" s="12" t="s">
        <v>1354</v>
      </c>
      <c r="F352" s="12"/>
      <c r="G352" s="13">
        <v>45215</v>
      </c>
      <c r="H352" s="14">
        <v>1</v>
      </c>
      <c r="I352" s="14">
        <v>0</v>
      </c>
      <c r="J352" s="8">
        <f>SUMIF(Journal!$A:$A,HeadJournal!$A352,Journal!$K:$K)+SUMIF(Journal!$A:$A,HeadJournal!$A352,Journal!$L:$L)+SUMIF(Journal!$A:$A,HeadJournal!$A352,Journal!$M:$M)</f>
        <v>7917</v>
      </c>
      <c r="K352" s="14">
        <f>2639*3</f>
        <v>7917</v>
      </c>
      <c r="L352" s="14">
        <f>K352*0.1</f>
        <v>791.7</v>
      </c>
      <c r="M352" s="8">
        <f>SUMIF(Journal!$A:$A,HeadJournal!$A352,Journal!$P:$P)</f>
        <v>8708.7000000000007</v>
      </c>
      <c r="N352" s="8">
        <f>SUMIF(Journal!$A:$A,HeadJournal!$A352,Journal!Q:Q)</f>
        <v>10500</v>
      </c>
      <c r="O352" s="18">
        <f>SUMIF(Journal!$A:$A,HeadJournal!$A352,Journal!U:U)</f>
        <v>1791.2999999999997</v>
      </c>
      <c r="P352" s="22">
        <f t="shared" si="47"/>
        <v>0.20569086086327462</v>
      </c>
      <c r="Q352" s="7" t="b">
        <f t="shared" si="50"/>
        <v>1</v>
      </c>
      <c r="R352" s="73">
        <f t="shared" si="48"/>
        <v>9.0909090909090912E-2</v>
      </c>
    </row>
    <row r="353" spans="1:24" x14ac:dyDescent="0.25">
      <c r="A353" s="124" t="s">
        <v>1064</v>
      </c>
      <c r="B353" s="124" t="s">
        <v>1478</v>
      </c>
      <c r="C353" s="12" t="s">
        <v>1752</v>
      </c>
      <c r="D353" s="12" t="s">
        <v>714</v>
      </c>
      <c r="E353" s="12" t="s">
        <v>1475</v>
      </c>
      <c r="F353" s="124" t="s">
        <v>1476</v>
      </c>
      <c r="G353" s="13">
        <v>45221</v>
      </c>
      <c r="H353" s="14">
        <f>36437.98/328.78</f>
        <v>110.82784840927066</v>
      </c>
      <c r="I353" s="14">
        <v>-25.24</v>
      </c>
      <c r="J353" s="8">
        <f>SUMIF(Journal!$A:$A,HeadJournal!$A353,Journal!$K:$K)+SUMIF(Journal!$A:$A,HeadJournal!$A353,Journal!$L:$L)+SUMIF(Journal!$A:$A,HeadJournal!$A353,Journal!$M:$M)</f>
        <v>328.78000000000003</v>
      </c>
      <c r="K353" s="14">
        <v>328.78</v>
      </c>
      <c r="L353" s="14">
        <f>(1265+1200)/2</f>
        <v>1232.5</v>
      </c>
      <c r="M353" s="8">
        <f>SUMIF(Journal!$A:$A,HeadJournal!$A353,Journal!$P:$P)</f>
        <v>37670.479999999996</v>
      </c>
      <c r="N353" s="8">
        <f>SUMIF(Journal!$A:$A,HeadJournal!$A353,Journal!Q:Q)</f>
        <v>52889.479999999996</v>
      </c>
      <c r="O353" s="18">
        <f>SUMIF(Journal!$A:$A,HeadJournal!$A353,Journal!U:U)</f>
        <v>15219</v>
      </c>
      <c r="P353" s="22">
        <f t="shared" si="47"/>
        <v>0.40400334691779882</v>
      </c>
      <c r="Q353" s="7" t="b">
        <f t="shared" si="50"/>
        <v>1</v>
      </c>
      <c r="R353" s="73">
        <f t="shared" si="48"/>
        <v>3.2717926609907813E-2</v>
      </c>
    </row>
    <row r="354" spans="1:24" x14ac:dyDescent="0.25">
      <c r="A354" s="12" t="s">
        <v>1068</v>
      </c>
      <c r="B354" s="12"/>
      <c r="C354" s="12" t="s">
        <v>1357</v>
      </c>
      <c r="D354" s="12" t="s">
        <v>714</v>
      </c>
      <c r="E354" s="12" t="s">
        <v>1358</v>
      </c>
      <c r="F354" s="12"/>
      <c r="G354" s="13">
        <v>45158</v>
      </c>
      <c r="H354" s="14">
        <v>1</v>
      </c>
      <c r="I354" s="14">
        <v>0</v>
      </c>
      <c r="J354" s="8">
        <f>SUMIF(Journal!$A:$A,HeadJournal!$A354,Journal!$K:$K)+SUMIF(Journal!$A:$A,HeadJournal!$A354,Journal!$L:$L)+SUMIF(Journal!$A:$A,HeadJournal!$A354,Journal!$M:$M)</f>
        <v>1344</v>
      </c>
      <c r="K354" s="14">
        <v>1344</v>
      </c>
      <c r="L354" s="14">
        <v>0</v>
      </c>
      <c r="M354" s="8">
        <f>SUMIF(Journal!$A:$A,HeadJournal!$A354,Journal!$P:$P)</f>
        <v>1344</v>
      </c>
      <c r="N354" s="8">
        <f>SUMIF(Journal!$A:$A,HeadJournal!$A354,Journal!Q:Q)</f>
        <v>0</v>
      </c>
      <c r="O354" s="18">
        <f>SUMIF(Journal!$A:$A,HeadJournal!$A354,Journal!U:U)</f>
        <v>-1344</v>
      </c>
      <c r="P354" s="22" t="str">
        <f t="shared" si="47"/>
        <v/>
      </c>
      <c r="Q354" s="7" t="b">
        <f t="shared" si="50"/>
        <v>1</v>
      </c>
      <c r="R354" s="73">
        <f t="shared" si="48"/>
        <v>0</v>
      </c>
    </row>
    <row r="355" spans="1:24" x14ac:dyDescent="0.25">
      <c r="A355" s="12" t="s">
        <v>1069</v>
      </c>
      <c r="B355" s="12"/>
      <c r="C355" s="12" t="s">
        <v>1359</v>
      </c>
      <c r="D355" s="12" t="s">
        <v>714</v>
      </c>
      <c r="E355" s="12" t="s">
        <v>1358</v>
      </c>
      <c r="F355" s="12"/>
      <c r="G355" s="13">
        <v>45208</v>
      </c>
      <c r="H355" s="14">
        <v>1</v>
      </c>
      <c r="I355" s="14">
        <v>0</v>
      </c>
      <c r="J355" s="8">
        <f>SUMIF(Journal!$A:$A,HeadJournal!$A355,Journal!$K:$K)+SUMIF(Journal!$A:$A,HeadJournal!$A355,Journal!$L:$L)+SUMIF(Journal!$A:$A,HeadJournal!$A355,Journal!$M:$M)</f>
        <v>2520</v>
      </c>
      <c r="K355" s="14">
        <v>2520</v>
      </c>
      <c r="L355" s="14">
        <v>0</v>
      </c>
      <c r="M355" s="8">
        <f>SUMIF(Journal!$A:$A,HeadJournal!$A355,Journal!$P:$P)</f>
        <v>2520</v>
      </c>
      <c r="N355" s="8">
        <f>SUMIF(Journal!$A:$A,HeadJournal!$A355,Journal!Q:Q)</f>
        <v>3400</v>
      </c>
      <c r="O355" s="18">
        <f>SUMIF(Journal!$A:$A,HeadJournal!$A355,Journal!U:U)</f>
        <v>880</v>
      </c>
      <c r="P355" s="22">
        <f t="shared" si="47"/>
        <v>0.34920634920634919</v>
      </c>
      <c r="Q355" s="7" t="b">
        <f t="shared" si="50"/>
        <v>1</v>
      </c>
      <c r="R355" s="73">
        <f t="shared" si="48"/>
        <v>0</v>
      </c>
    </row>
    <row r="356" spans="1:24" x14ac:dyDescent="0.25">
      <c r="A356" s="12" t="s">
        <v>1071</v>
      </c>
      <c r="B356" s="12"/>
      <c r="C356" s="12" t="s">
        <v>843</v>
      </c>
      <c r="D356" s="12" t="s">
        <v>714</v>
      </c>
      <c r="E356" s="12" t="s">
        <v>1354</v>
      </c>
      <c r="F356" s="12"/>
      <c r="G356" s="13">
        <v>45221</v>
      </c>
      <c r="H356" s="14">
        <v>1</v>
      </c>
      <c r="I356" s="14">
        <v>0</v>
      </c>
      <c r="J356" s="8">
        <f>SUMIF(Journal!$A:$A,HeadJournal!$A356,Journal!$K:$K)+SUMIF(Journal!$A:$A,HeadJournal!$A356,Journal!$L:$L)+SUMIF(Journal!$A:$A,HeadJournal!$A356,Journal!$M:$M)</f>
        <v>2951</v>
      </c>
      <c r="K356" s="14">
        <v>2951</v>
      </c>
      <c r="L356" s="14">
        <f>K356*0.1</f>
        <v>295.10000000000002</v>
      </c>
      <c r="M356" s="8">
        <f>SUMIF(Journal!$A:$A,HeadJournal!$A356,Journal!$P:$P)</f>
        <v>3246.1</v>
      </c>
      <c r="N356" s="8">
        <f>SUMIF(Journal!$A:$A,HeadJournal!$A356,Journal!Q:Q)</f>
        <v>6000</v>
      </c>
      <c r="O356" s="18">
        <f>SUMIF(Journal!$A:$A,HeadJournal!$A356,Journal!U:U)</f>
        <v>2753.9</v>
      </c>
      <c r="P356" s="22">
        <f t="shared" si="47"/>
        <v>0.84837189242475586</v>
      </c>
      <c r="Q356" s="7" t="b">
        <f t="shared" si="50"/>
        <v>1</v>
      </c>
      <c r="R356" s="73">
        <f t="shared" si="48"/>
        <v>9.0909090909090925E-2</v>
      </c>
    </row>
    <row r="357" spans="1:24" x14ac:dyDescent="0.25">
      <c r="A357" s="12" t="s">
        <v>1072</v>
      </c>
      <c r="B357" s="41" t="s">
        <v>1479</v>
      </c>
      <c r="C357" s="12" t="s">
        <v>1735</v>
      </c>
      <c r="D357" s="12" t="s">
        <v>714</v>
      </c>
      <c r="E357" s="12" t="s">
        <v>1475</v>
      </c>
      <c r="F357" s="41" t="s">
        <v>1480</v>
      </c>
      <c r="G357" s="13">
        <v>45229</v>
      </c>
      <c r="H357" s="14">
        <f>31408.62/291.93</f>
        <v>107.58955914088993</v>
      </c>
      <c r="I357" s="14">
        <v>-19.670000000000002</v>
      </c>
      <c r="J357" s="8">
        <f>SUMIF(Journal!$A:$A,HeadJournal!$A357,Journal!$K:$K)+SUMIF(Journal!$A:$A,HeadJournal!$A357,Journal!$L:$L)+SUMIF(Journal!$A:$A,HeadJournal!$A357,Journal!$M:$M)</f>
        <v>291.92999999999989</v>
      </c>
      <c r="K357" s="14">
        <v>291.93</v>
      </c>
      <c r="L357" s="14">
        <f>(1500+800)/3</f>
        <v>766.66666666666663</v>
      </c>
      <c r="M357" s="8">
        <f>SUMIF(Journal!$A:$A,HeadJournal!$A357,Journal!$P:$P)</f>
        <v>32175.286666666681</v>
      </c>
      <c r="N357" s="8">
        <f>SUMIF(Journal!$A:$A,HeadJournal!$A357,Journal!Q:Q)</f>
        <v>54166.78</v>
      </c>
      <c r="O357" s="18">
        <f>SUMIF(Journal!$A:$A,HeadJournal!$A357,Journal!U:U)</f>
        <v>21991.493333333321</v>
      </c>
      <c r="P357" s="22">
        <f t="shared" si="47"/>
        <v>0.68349020666586069</v>
      </c>
      <c r="R357" s="73">
        <f t="shared" si="48"/>
        <v>2.3827811531541898E-2</v>
      </c>
    </row>
    <row r="358" spans="1:24" x14ac:dyDescent="0.25">
      <c r="A358" s="12" t="s">
        <v>1084</v>
      </c>
      <c r="B358" s="124" t="s">
        <v>1481</v>
      </c>
      <c r="C358" s="12" t="s">
        <v>1737</v>
      </c>
      <c r="D358" s="12" t="s">
        <v>714</v>
      </c>
      <c r="E358" s="12" t="s">
        <v>1475</v>
      </c>
      <c r="F358" s="124" t="s">
        <v>1480</v>
      </c>
      <c r="G358" s="13">
        <v>45230</v>
      </c>
      <c r="H358" s="14">
        <f>18047.32/168.26</f>
        <v>107.25852846784738</v>
      </c>
      <c r="I358" s="14">
        <v>-5.63</v>
      </c>
      <c r="J358" s="8">
        <f>SUMIF(Journal!$A:$A,HeadJournal!$A358,Journal!$K:$K)+SUMIF(Journal!$A:$A,HeadJournal!$A358,Journal!$L:$L)+SUMIF(Journal!$A:$A,HeadJournal!$A358,Journal!$M:$M)</f>
        <v>168.26000000000005</v>
      </c>
      <c r="K358" s="14">
        <v>168.26</v>
      </c>
      <c r="L358" s="14">
        <f>(1500+800)/3</f>
        <v>766.66666666666663</v>
      </c>
      <c r="M358" s="8">
        <f>SUMIF(Journal!$A:$A,HeadJournal!$A358,Journal!$P:$P)</f>
        <v>18813.98666666666</v>
      </c>
      <c r="N358" s="8">
        <f>SUMIF(Journal!$A:$A,HeadJournal!$A358,Journal!Q:Q)</f>
        <v>28100</v>
      </c>
      <c r="O358" s="18">
        <f>SUMIF(Journal!$A:$A,HeadJournal!$A358,Journal!U:U)</f>
        <v>9286.0133333333397</v>
      </c>
      <c r="P358" s="22">
        <f t="shared" si="47"/>
        <v>0.49356967759447101</v>
      </c>
      <c r="R358" s="73">
        <f t="shared" si="48"/>
        <v>4.0749825130098255E-2</v>
      </c>
    </row>
    <row r="359" spans="1:24" x14ac:dyDescent="0.25">
      <c r="A359" s="12" t="s">
        <v>1087</v>
      </c>
      <c r="B359" s="124" t="s">
        <v>1482</v>
      </c>
      <c r="C359" s="12" t="s">
        <v>1751</v>
      </c>
      <c r="D359" s="12" t="s">
        <v>714</v>
      </c>
      <c r="E359" s="12" t="s">
        <v>1475</v>
      </c>
      <c r="F359" s="124" t="s">
        <v>1480</v>
      </c>
      <c r="G359" s="13">
        <v>45225</v>
      </c>
      <c r="H359" s="14">
        <f>24220.99/225.79</f>
        <v>107.27219983170204</v>
      </c>
      <c r="I359" s="14">
        <v>-7.71</v>
      </c>
      <c r="J359" s="8">
        <f>SUMIF(Journal!$A:$A,HeadJournal!$A359,Journal!$K:$K)+SUMIF(Journal!$A:$A,HeadJournal!$A359,Journal!$L:$L)+SUMIF(Journal!$A:$A,HeadJournal!$A359,Journal!$M:$M)</f>
        <v>225.78999999999994</v>
      </c>
      <c r="K359" s="14">
        <v>225.79</v>
      </c>
      <c r="L359" s="14">
        <f>(1500+800)/3</f>
        <v>766.66666666666663</v>
      </c>
      <c r="M359" s="8">
        <f>SUMIF(Journal!$A:$A,HeadJournal!$A359,Journal!$P:$P)</f>
        <v>24987.65666666668</v>
      </c>
      <c r="N359" s="8">
        <f>SUMIF(Journal!$A:$A,HeadJournal!$A359,Journal!Q:Q)</f>
        <v>38400</v>
      </c>
      <c r="O359" s="18">
        <f>SUMIF(Journal!$A:$A,HeadJournal!$A359,Journal!U:U)</f>
        <v>13412.343333333323</v>
      </c>
      <c r="P359" s="22">
        <f t="shared" si="47"/>
        <v>0.5367587490196819</v>
      </c>
      <c r="R359" s="73">
        <f t="shared" si="48"/>
        <v>3.0681815301608229E-2</v>
      </c>
    </row>
    <row r="360" spans="1:24" x14ac:dyDescent="0.25">
      <c r="A360" s="12" t="s">
        <v>1089</v>
      </c>
      <c r="B360" s="12"/>
      <c r="C360" s="12" t="s">
        <v>1380</v>
      </c>
      <c r="D360" s="12" t="s">
        <v>714</v>
      </c>
      <c r="E360" s="12" t="s">
        <v>1477</v>
      </c>
      <c r="F360" s="12"/>
      <c r="G360" s="13">
        <v>45228</v>
      </c>
      <c r="H360" s="14">
        <v>1</v>
      </c>
      <c r="I360" s="14">
        <v>0</v>
      </c>
      <c r="J360" s="8">
        <f>SUMIF(Journal!$A:$A,HeadJournal!$A360,Journal!$K:$K)+SUMIF(Journal!$A:$A,HeadJournal!$A360,Journal!$L:$L)+SUMIF(Journal!$A:$A,HeadJournal!$A360,Journal!$M:$M)</f>
        <v>27770</v>
      </c>
      <c r="K360" s="14">
        <f>21294+1060+1086+4330</f>
        <v>27770</v>
      </c>
      <c r="L360" s="14">
        <f>330*0.1*58.9*1.3</f>
        <v>2526.81</v>
      </c>
      <c r="M360" s="8">
        <f>SUMIF(Journal!$A:$A,HeadJournal!$A360,Journal!$P:$P)</f>
        <v>30296.81</v>
      </c>
      <c r="N360" s="8">
        <f>SUMIF(Journal!$A:$A,HeadJournal!$A360,Journal!Q:Q)</f>
        <v>35000</v>
      </c>
      <c r="O360" s="18">
        <f>SUMIF(Journal!$A:$A,HeadJournal!$A360,Journal!U:U)</f>
        <v>4703.1900000000005</v>
      </c>
      <c r="P360" s="22">
        <f t="shared" si="47"/>
        <v>0.15523713552680959</v>
      </c>
      <c r="Q360" s="7" t="b">
        <f t="shared" ref="Q360:Q369" si="51">J360=K360</f>
        <v>1</v>
      </c>
      <c r="R360" s="73">
        <f t="shared" si="48"/>
        <v>8.3401849897728503E-2</v>
      </c>
    </row>
    <row r="361" spans="1:24" x14ac:dyDescent="0.25">
      <c r="A361" s="12" t="s">
        <v>1091</v>
      </c>
      <c r="B361" s="12"/>
      <c r="C361" s="12" t="s">
        <v>1357</v>
      </c>
      <c r="D361" s="12" t="s">
        <v>714</v>
      </c>
      <c r="E361" s="12" t="s">
        <v>1477</v>
      </c>
      <c r="F361" s="12"/>
      <c r="G361" s="13">
        <v>45238</v>
      </c>
      <c r="H361" s="14">
        <v>1</v>
      </c>
      <c r="I361" s="14">
        <v>-2608.36</v>
      </c>
      <c r="J361" s="8">
        <f>SUMIF(Journal!$A:$A,HeadJournal!$A361,Journal!$K:$K)+SUMIF(Journal!$A:$A,HeadJournal!$A361,Journal!$L:$L)+SUMIF(Journal!$A:$A,HeadJournal!$A361,Journal!$M:$M)</f>
        <v>1843.6399999999999</v>
      </c>
      <c r="K361" s="14">
        <v>1900</v>
      </c>
      <c r="L361" s="14">
        <v>0</v>
      </c>
      <c r="M361" s="8">
        <f>SUMIF(Journal!$A:$A,HeadJournal!$A361,Journal!$P:$P)</f>
        <v>1900</v>
      </c>
      <c r="N361" s="8">
        <f>SUMIF(Journal!$A:$A,HeadJournal!$A361,Journal!Q:Q)</f>
        <v>5650</v>
      </c>
      <c r="O361" s="18">
        <f>SUMIF(Journal!$A:$A,HeadJournal!$A361,Journal!U:U)</f>
        <v>3750</v>
      </c>
      <c r="P361" s="22">
        <f t="shared" si="47"/>
        <v>1.9736842105263157</v>
      </c>
      <c r="Q361" s="7" t="b">
        <f t="shared" si="51"/>
        <v>0</v>
      </c>
      <c r="R361" s="73">
        <f t="shared" si="48"/>
        <v>0</v>
      </c>
    </row>
    <row r="362" spans="1:24" x14ac:dyDescent="0.25">
      <c r="A362" s="12" t="s">
        <v>1093</v>
      </c>
      <c r="B362" s="12"/>
      <c r="C362" s="12" t="s">
        <v>1380</v>
      </c>
      <c r="D362" s="12" t="s">
        <v>714</v>
      </c>
      <c r="E362" s="12" t="s">
        <v>1477</v>
      </c>
      <c r="F362" s="12"/>
      <c r="G362" s="13">
        <v>45234</v>
      </c>
      <c r="H362" s="14">
        <v>1</v>
      </c>
      <c r="I362" s="14">
        <v>0</v>
      </c>
      <c r="J362" s="8">
        <f>SUMIF(Journal!$A:$A,HeadJournal!$A362,Journal!$K:$K)+SUMIF(Journal!$A:$A,HeadJournal!$A362,Journal!$L:$L)+SUMIF(Journal!$A:$A,HeadJournal!$A362,Journal!$M:$M)</f>
        <v>11138</v>
      </c>
      <c r="K362" s="14">
        <v>11138</v>
      </c>
      <c r="L362" s="14">
        <f>(180*0.1*56.19*30%+180*0.1*56.19)/2</f>
        <v>657.423</v>
      </c>
      <c r="M362" s="8">
        <f>SUMIF(Journal!$A:$A,HeadJournal!$A362,Journal!$P:$P)</f>
        <v>11795.423000000003</v>
      </c>
      <c r="N362" s="8">
        <f>SUMIF(Journal!$A:$A,HeadJournal!$A362,Journal!Q:Q)</f>
        <v>17600</v>
      </c>
      <c r="O362" s="18">
        <f>SUMIF(Journal!$A:$A,HeadJournal!$A362,Journal!U:U)</f>
        <v>5804.5769999999993</v>
      </c>
      <c r="P362" s="22">
        <f t="shared" si="47"/>
        <v>0.49210418312255511</v>
      </c>
      <c r="Q362" s="7" t="b">
        <f t="shared" si="51"/>
        <v>1</v>
      </c>
      <c r="R362" s="73">
        <f t="shared" si="48"/>
        <v>5.5735432294373832E-2</v>
      </c>
    </row>
    <row r="363" spans="1:24" x14ac:dyDescent="0.25">
      <c r="A363" s="12" t="s">
        <v>1095</v>
      </c>
      <c r="B363" s="12"/>
      <c r="C363" s="12" t="s">
        <v>1380</v>
      </c>
      <c r="D363" s="12" t="s">
        <v>714</v>
      </c>
      <c r="E363" s="12" t="s">
        <v>1477</v>
      </c>
      <c r="F363" s="12"/>
      <c r="G363" s="13">
        <v>45237</v>
      </c>
      <c r="H363" s="14">
        <v>1</v>
      </c>
      <c r="I363" s="14">
        <v>0</v>
      </c>
      <c r="J363" s="8">
        <f>SUMIF(Journal!$A:$A,HeadJournal!$A363,Journal!$K:$K)+SUMIF(Journal!$A:$A,HeadJournal!$A363,Journal!$L:$L)+SUMIF(Journal!$A:$A,HeadJournal!$A363,Journal!$M:$M)</f>
        <v>1428</v>
      </c>
      <c r="K363" s="14">
        <v>1428</v>
      </c>
      <c r="L363" s="14">
        <f>(180*0.1*56.19*30%+180*0.1*56.19)/2</f>
        <v>657.423</v>
      </c>
      <c r="M363" s="8">
        <f>SUMIF(Journal!$A:$A,HeadJournal!$A363,Journal!$P:$P)</f>
        <v>2085.4229999999998</v>
      </c>
      <c r="N363" s="8">
        <f>SUMIF(Journal!$A:$A,HeadJournal!$A363,Journal!Q:Q)</f>
        <v>2085.42</v>
      </c>
      <c r="O363" s="18">
        <f>SUMIF(Journal!$A:$A,HeadJournal!$A363,Journal!U:U)</f>
        <v>-2.9999999997016857E-3</v>
      </c>
      <c r="P363" s="22">
        <f t="shared" si="47"/>
        <v>-1.438557069573744E-6</v>
      </c>
      <c r="Q363" s="7" t="b">
        <f t="shared" si="51"/>
        <v>1</v>
      </c>
      <c r="R363" s="73">
        <f t="shared" si="48"/>
        <v>0.31524683481480736</v>
      </c>
    </row>
    <row r="364" spans="1:24" x14ac:dyDescent="0.25">
      <c r="A364" s="12" t="s">
        <v>1096</v>
      </c>
      <c r="B364" s="12"/>
      <c r="C364" s="12" t="s">
        <v>1380</v>
      </c>
      <c r="D364" s="12" t="s">
        <v>714</v>
      </c>
      <c r="E364" s="12" t="s">
        <v>1354</v>
      </c>
      <c r="F364" s="12"/>
      <c r="G364" s="13">
        <v>45238</v>
      </c>
      <c r="H364" s="14">
        <v>1</v>
      </c>
      <c r="I364" s="14">
        <v>0</v>
      </c>
      <c r="J364" s="8">
        <f>SUMIF(Journal!$A:$A,HeadJournal!$A364,Journal!$K:$K)+SUMIF(Journal!$A:$A,HeadJournal!$A364,Journal!$L:$L)+SUMIF(Journal!$A:$A,HeadJournal!$A364,Journal!$M:$M)</f>
        <v>3826</v>
      </c>
      <c r="K364" s="14">
        <v>3826</v>
      </c>
      <c r="L364" s="14">
        <f>K364*0.1</f>
        <v>382.6</v>
      </c>
      <c r="M364" s="8">
        <f>SUMIF(Journal!$A:$A,HeadJournal!$A364,Journal!$P:$P)</f>
        <v>4208.6000000000004</v>
      </c>
      <c r="N364" s="8">
        <f>SUMIF(Journal!$A:$A,HeadJournal!$A364,Journal!Q:Q)</f>
        <v>6600</v>
      </c>
      <c r="O364" s="18">
        <f>SUMIF(Journal!$A:$A,HeadJournal!$A364,Journal!U:U)</f>
        <v>2391.3999999999996</v>
      </c>
      <c r="P364" s="22">
        <f t="shared" si="47"/>
        <v>0.56821745948771551</v>
      </c>
      <c r="Q364" s="7" t="b">
        <f t="shared" si="51"/>
        <v>1</v>
      </c>
      <c r="R364" s="73">
        <f t="shared" si="48"/>
        <v>9.0909090909090912E-2</v>
      </c>
      <c r="W364" s="7">
        <f>1300</f>
        <v>1300</v>
      </c>
    </row>
    <row r="365" spans="1:24" x14ac:dyDescent="0.25">
      <c r="A365" s="12" t="s">
        <v>1097</v>
      </c>
      <c r="B365" s="12"/>
      <c r="C365" s="12" t="s">
        <v>1380</v>
      </c>
      <c r="D365" s="12" t="s">
        <v>714</v>
      </c>
      <c r="E365" s="12" t="s">
        <v>1477</v>
      </c>
      <c r="F365" s="12"/>
      <c r="G365" s="13">
        <v>45240</v>
      </c>
      <c r="H365" s="14">
        <v>1</v>
      </c>
      <c r="I365" s="14">
        <v>0</v>
      </c>
      <c r="J365" s="8">
        <f>SUMIF(Journal!$A:$A,HeadJournal!$A365,Journal!$K:$K)+SUMIF(Journal!$A:$A,HeadJournal!$A365,Journal!$L:$L)+SUMIF(Journal!$A:$A,HeadJournal!$A365,Journal!$M:$M)</f>
        <v>5275</v>
      </c>
      <c r="K365" s="14">
        <v>5275</v>
      </c>
      <c r="L365" s="113">
        <v>259.01794145420212</v>
      </c>
      <c r="M365" s="8">
        <f>SUMIF(Journal!$A:$A,HeadJournal!$A365,Journal!$P:$P)</f>
        <v>5534.0179414542017</v>
      </c>
      <c r="N365" s="8">
        <f>SUMIF(Journal!$A:$A,HeadJournal!$A365,Journal!Q:Q)</f>
        <v>7000</v>
      </c>
      <c r="O365" s="18">
        <f>SUMIF(Journal!$A:$A,HeadJournal!$A365,Journal!U:U)</f>
        <v>1465.9820585457983</v>
      </c>
      <c r="P365" s="22">
        <f t="shared" si="47"/>
        <v>0.2649037415589901</v>
      </c>
      <c r="Q365" s="7" t="b">
        <f t="shared" si="51"/>
        <v>1</v>
      </c>
      <c r="R365" s="73">
        <f t="shared" si="48"/>
        <v>4.6804680468046818E-2</v>
      </c>
      <c r="V365" s="7">
        <v>5275</v>
      </c>
      <c r="W365" s="7">
        <f>V365/SUM($V$365:$V$369)</f>
        <v>0.19924457034938622</v>
      </c>
      <c r="X365" s="7">
        <f>$W$364*W365</f>
        <v>259.01794145420212</v>
      </c>
    </row>
    <row r="366" spans="1:24" x14ac:dyDescent="0.25">
      <c r="A366" s="12" t="s">
        <v>1099</v>
      </c>
      <c r="B366" s="12"/>
      <c r="C366" s="12" t="s">
        <v>1380</v>
      </c>
      <c r="D366" s="12" t="s">
        <v>714</v>
      </c>
      <c r="E366" s="12" t="s">
        <v>1477</v>
      </c>
      <c r="F366" s="12"/>
      <c r="G366" s="13">
        <v>45244</v>
      </c>
      <c r="H366" s="14">
        <v>1</v>
      </c>
      <c r="I366" s="14">
        <v>0</v>
      </c>
      <c r="J366" s="8">
        <f>SUMIF(Journal!$A:$A,HeadJournal!$A366,Journal!$K:$K)+SUMIF(Journal!$A:$A,HeadJournal!$A366,Journal!$L:$L)+SUMIF(Journal!$A:$A,HeadJournal!$A366,Journal!$M:$M)</f>
        <v>13396</v>
      </c>
      <c r="K366" s="14">
        <v>13396</v>
      </c>
      <c r="L366" s="113">
        <v>657.78281397544856</v>
      </c>
      <c r="M366" s="8">
        <f>SUMIF(Journal!$A:$A,HeadJournal!$A366,Journal!$P:$P)</f>
        <v>14053.782813975447</v>
      </c>
      <c r="N366" s="8">
        <f>SUMIF(Journal!$A:$A,HeadJournal!$A366,Journal!Q:Q)</f>
        <v>19000</v>
      </c>
      <c r="O366" s="18">
        <f>SUMIF(Journal!$A:$A,HeadJournal!$A366,Journal!U:U)</f>
        <v>4946.2171860245517</v>
      </c>
      <c r="P366" s="22">
        <f t="shared" si="47"/>
        <v>0.35194916923761654</v>
      </c>
      <c r="Q366" s="7" t="b">
        <f t="shared" si="51"/>
        <v>1</v>
      </c>
      <c r="R366" s="73">
        <f t="shared" si="48"/>
        <v>4.6804680468046811E-2</v>
      </c>
      <c r="V366" s="7">
        <v>13396</v>
      </c>
      <c r="W366" s="7">
        <f t="shared" ref="W366:W369" si="52">V366/SUM($V$365:$V$369)</f>
        <v>0.5059867799811143</v>
      </c>
      <c r="X366" s="7">
        <f t="shared" ref="X366:X369" si="53">$W$364*W366</f>
        <v>657.78281397544856</v>
      </c>
    </row>
    <row r="367" spans="1:24" x14ac:dyDescent="0.25">
      <c r="A367" s="12" t="s">
        <v>1103</v>
      </c>
      <c r="B367" s="12"/>
      <c r="C367" s="12" t="s">
        <v>1380</v>
      </c>
      <c r="D367" s="12" t="s">
        <v>714</v>
      </c>
      <c r="E367" s="12" t="s">
        <v>1477</v>
      </c>
      <c r="F367" s="12"/>
      <c r="G367" s="13">
        <v>45245</v>
      </c>
      <c r="H367" s="14">
        <v>1</v>
      </c>
      <c r="I367" s="14">
        <v>0</v>
      </c>
      <c r="J367" s="8">
        <f>SUMIF(Journal!$A:$A,HeadJournal!$A367,Journal!$K:$K)+SUMIF(Journal!$A:$A,HeadJournal!$A367,Journal!$L:$L)+SUMIF(Journal!$A:$A,HeadJournal!$A367,Journal!$M:$M)</f>
        <v>1888</v>
      </c>
      <c r="K367" s="14">
        <v>1888</v>
      </c>
      <c r="L367" s="113">
        <v>92.706326723323883</v>
      </c>
      <c r="M367" s="8">
        <f>SUMIF(Journal!$A:$A,HeadJournal!$A367,Journal!$P:$P)</f>
        <v>1980.7063267233239</v>
      </c>
      <c r="N367" s="8">
        <f>SUMIF(Journal!$A:$A,HeadJournal!$A367,Journal!Q:Q)</f>
        <v>3300</v>
      </c>
      <c r="O367" s="18">
        <f>SUMIF(Journal!$A:$A,HeadJournal!$A367,Journal!U:U)</f>
        <v>1319.2936732766761</v>
      </c>
      <c r="P367" s="22">
        <f t="shared" si="47"/>
        <v>0.66607232757174029</v>
      </c>
      <c r="Q367" s="7" t="b">
        <f t="shared" si="51"/>
        <v>1</v>
      </c>
      <c r="R367" s="73">
        <f t="shared" si="48"/>
        <v>4.6804680468046804E-2</v>
      </c>
      <c r="V367" s="7">
        <v>1888</v>
      </c>
      <c r="W367" s="7">
        <f t="shared" si="52"/>
        <v>7.1312559017941451E-2</v>
      </c>
      <c r="X367" s="7">
        <f t="shared" si="53"/>
        <v>92.706326723323883</v>
      </c>
    </row>
    <row r="368" spans="1:24" x14ac:dyDescent="0.25">
      <c r="A368" s="12" t="s">
        <v>1104</v>
      </c>
      <c r="B368" s="12"/>
      <c r="C368" s="12" t="s">
        <v>843</v>
      </c>
      <c r="D368" s="12" t="s">
        <v>714</v>
      </c>
      <c r="E368" s="12" t="s">
        <v>1477</v>
      </c>
      <c r="F368" s="12"/>
      <c r="G368" s="13">
        <v>45244</v>
      </c>
      <c r="H368" s="14">
        <v>1</v>
      </c>
      <c r="I368" s="14">
        <v>0</v>
      </c>
      <c r="J368" s="8">
        <f>SUMIF(Journal!$A:$A,HeadJournal!$A368,Journal!$K:$K)+SUMIF(Journal!$A:$A,HeadJournal!$A368,Journal!$L:$L)+SUMIF(Journal!$A:$A,HeadJournal!$A368,Journal!$M:$M)</f>
        <v>2490</v>
      </c>
      <c r="K368" s="14">
        <f>1245*2</f>
        <v>2490</v>
      </c>
      <c r="L368" s="113">
        <v>122.26628895184136</v>
      </c>
      <c r="M368" s="8">
        <f>SUMIF(Journal!$A:$A,HeadJournal!$A368,Journal!$P:$P)</f>
        <v>2612.2662889518415</v>
      </c>
      <c r="N368" s="8">
        <f>SUMIF(Journal!$A:$A,HeadJournal!$A368,Journal!Q:Q)</f>
        <v>3400</v>
      </c>
      <c r="O368" s="18">
        <f>SUMIF(Journal!$A:$A,HeadJournal!$A368,Journal!U:U)</f>
        <v>787.73371104815851</v>
      </c>
      <c r="P368" s="22">
        <f t="shared" si="47"/>
        <v>0.30155184193118101</v>
      </c>
      <c r="Q368" s="7" t="b">
        <f t="shared" si="51"/>
        <v>1</v>
      </c>
      <c r="R368" s="73">
        <f t="shared" si="48"/>
        <v>4.6804680468046804E-2</v>
      </c>
      <c r="V368" s="7">
        <v>2490</v>
      </c>
      <c r="W368" s="7">
        <f t="shared" si="52"/>
        <v>9.4050991501416437E-2</v>
      </c>
      <c r="X368" s="7">
        <f t="shared" si="53"/>
        <v>122.26628895184136</v>
      </c>
    </row>
    <row r="369" spans="1:24" x14ac:dyDescent="0.25">
      <c r="A369" s="12" t="s">
        <v>1106</v>
      </c>
      <c r="B369" s="12"/>
      <c r="C369" s="12" t="s">
        <v>843</v>
      </c>
      <c r="D369" s="12" t="s">
        <v>714</v>
      </c>
      <c r="E369" s="12" t="s">
        <v>1477</v>
      </c>
      <c r="F369" s="12"/>
      <c r="G369" s="13">
        <v>45241</v>
      </c>
      <c r="H369" s="14">
        <v>1</v>
      </c>
      <c r="I369" s="14">
        <v>0</v>
      </c>
      <c r="J369" s="8">
        <f>SUMIF(Journal!$A:$A,HeadJournal!$A369,Journal!$K:$K)+SUMIF(Journal!$A:$A,HeadJournal!$A369,Journal!$L:$L)+SUMIF(Journal!$A:$A,HeadJournal!$A369,Journal!$M:$M)</f>
        <v>3426</v>
      </c>
      <c r="K369" s="14">
        <f>1713*2</f>
        <v>3426</v>
      </c>
      <c r="L369" s="113">
        <v>168.22662889518415</v>
      </c>
      <c r="M369" s="8">
        <f>SUMIF(Journal!$A:$A,HeadJournal!$A369,Journal!$P:$P)</f>
        <v>3594.2266288951841</v>
      </c>
      <c r="N369" s="8">
        <f>SUMIF(Journal!$A:$A,HeadJournal!$A369,Journal!Q:Q)</f>
        <v>5300</v>
      </c>
      <c r="O369" s="18">
        <f>SUMIF(Journal!$A:$A,HeadJournal!$A369,Journal!U:U)</f>
        <v>1705.7733711048159</v>
      </c>
      <c r="P369" s="22">
        <f t="shared" si="47"/>
        <v>0.47458703838860244</v>
      </c>
      <c r="Q369" s="7" t="b">
        <f t="shared" si="51"/>
        <v>1</v>
      </c>
      <c r="R369" s="73">
        <f t="shared" si="48"/>
        <v>4.6804680468046811E-2</v>
      </c>
      <c r="V369" s="7">
        <v>3426</v>
      </c>
      <c r="W369" s="7">
        <f t="shared" si="52"/>
        <v>0.12940509915014164</v>
      </c>
      <c r="X369" s="7">
        <f t="shared" si="53"/>
        <v>168.22662889518415</v>
      </c>
    </row>
    <row r="370" spans="1:24" x14ac:dyDescent="0.25">
      <c r="A370" s="12" t="s">
        <v>1107</v>
      </c>
      <c r="B370" s="124" t="s">
        <v>1483</v>
      </c>
      <c r="C370" s="12" t="s">
        <v>1737</v>
      </c>
      <c r="D370" s="12" t="s">
        <v>714</v>
      </c>
      <c r="E370" s="12" t="s">
        <v>1475</v>
      </c>
      <c r="F370" s="12"/>
      <c r="G370" s="13">
        <v>45240</v>
      </c>
      <c r="H370" s="14">
        <f>21462.85/203.97</f>
        <v>105.22552336127862</v>
      </c>
      <c r="I370" s="14">
        <v>-6.26</v>
      </c>
      <c r="J370" s="8">
        <f>SUMIF(Journal!$A:$A,HeadJournal!$A370,Journal!$K:$K)+SUMIF(Journal!$A:$A,HeadJournal!$A370,Journal!$L:$L)+SUMIF(Journal!$A:$A,HeadJournal!$A370,Journal!$M:$M)</f>
        <v>203.97</v>
      </c>
      <c r="K370" s="14">
        <v>203.97</v>
      </c>
      <c r="L370" s="14">
        <f>(1300+800)/3</f>
        <v>700</v>
      </c>
      <c r="M370" s="8">
        <f>SUMIF(Journal!$A:$A,HeadJournal!$A370,Journal!$P:$P)</f>
        <v>22162.85</v>
      </c>
      <c r="N370" s="8">
        <f>SUMIF(Journal!$A:$A,HeadJournal!$A370,Journal!Q:Q)</f>
        <v>32441.57</v>
      </c>
      <c r="O370" s="18">
        <f>SUMIF(Journal!$A:$A,HeadJournal!$A370,Journal!U:U)</f>
        <v>10278.720000000001</v>
      </c>
      <c r="P370" s="22">
        <f t="shared" si="47"/>
        <v>0.46378150824465275</v>
      </c>
      <c r="R370" s="73">
        <f t="shared" si="48"/>
        <v>3.1584385582179186E-2</v>
      </c>
    </row>
    <row r="371" spans="1:24" x14ac:dyDescent="0.25">
      <c r="A371" s="12" t="s">
        <v>1112</v>
      </c>
      <c r="B371" s="124" t="s">
        <v>1484</v>
      </c>
      <c r="C371" s="12" t="s">
        <v>1737</v>
      </c>
      <c r="D371" s="12" t="s">
        <v>714</v>
      </c>
      <c r="E371" s="12" t="s">
        <v>1477</v>
      </c>
      <c r="F371" s="12"/>
      <c r="G371" s="13">
        <v>45247</v>
      </c>
      <c r="H371" s="14">
        <f>23220.9/223.08</f>
        <v>104.09225389994621</v>
      </c>
      <c r="I371" s="14">
        <v>-12.2</v>
      </c>
      <c r="J371" s="8">
        <f>SUMIF(Journal!$A:$A,HeadJournal!$A371,Journal!$K:$K)+SUMIF(Journal!$A:$A,HeadJournal!$A371,Journal!$L:$L)+SUMIF(Journal!$A:$A,HeadJournal!$A371,Journal!$M:$M)</f>
        <v>223.07999999999993</v>
      </c>
      <c r="K371" s="14">
        <v>223.08</v>
      </c>
      <c r="L371" s="14">
        <f>(1600+800)/3+880</f>
        <v>1680</v>
      </c>
      <c r="M371" s="8">
        <f>SUMIF(Journal!$A:$A,HeadJournal!$A371,Journal!$P:$P)</f>
        <v>24900.900000000012</v>
      </c>
      <c r="N371" s="8">
        <f>SUMIF(Journal!$A:$A,HeadJournal!$A371,Journal!Q:Q)</f>
        <v>34500</v>
      </c>
      <c r="O371" s="18">
        <f>SUMIF(Journal!$A:$A,HeadJournal!$A371,Journal!U:U)</f>
        <v>9599.0999999999913</v>
      </c>
      <c r="P371" s="22">
        <f t="shared" si="47"/>
        <v>0.38549209064732548</v>
      </c>
      <c r="R371" s="73">
        <f t="shared" si="48"/>
        <v>6.746744093586976E-2</v>
      </c>
    </row>
    <row r="372" spans="1:24" x14ac:dyDescent="0.25">
      <c r="A372" s="12" t="s">
        <v>1114</v>
      </c>
      <c r="B372" s="124" t="s">
        <v>1485</v>
      </c>
      <c r="C372" s="12" t="s">
        <v>1735</v>
      </c>
      <c r="D372" s="12" t="s">
        <v>714</v>
      </c>
      <c r="E372" s="12" t="s">
        <v>1477</v>
      </c>
      <c r="F372" s="12"/>
      <c r="G372" s="13">
        <v>45242</v>
      </c>
      <c r="H372" s="14">
        <f>21761.37/206.98</f>
        <v>105.13754952169292</v>
      </c>
      <c r="I372" s="14">
        <v>-4</v>
      </c>
      <c r="J372" s="8">
        <f>SUMIF(Journal!$A:$A,HeadJournal!$A372,Journal!$K:$K)+SUMIF(Journal!$A:$A,HeadJournal!$A372,Journal!$L:$L)+SUMIF(Journal!$A:$A,HeadJournal!$A372,Journal!$M:$M)</f>
        <v>206.98000000000002</v>
      </c>
      <c r="K372" s="14">
        <v>206.98</v>
      </c>
      <c r="L372" s="14">
        <f>(1300+800)/3</f>
        <v>700</v>
      </c>
      <c r="M372" s="8">
        <f>SUMIF(Journal!$A:$A,HeadJournal!$A372,Journal!$P:$P)</f>
        <v>22461.369999999995</v>
      </c>
      <c r="N372" s="8">
        <f>SUMIF(Journal!$A:$A,HeadJournal!$A372,Journal!Q:Q)</f>
        <v>34500</v>
      </c>
      <c r="O372" s="18">
        <f>SUMIF(Journal!$A:$A,HeadJournal!$A372,Journal!U:U)</f>
        <v>12038.630000000005</v>
      </c>
      <c r="P372" s="22">
        <f t="shared" si="47"/>
        <v>0.5359704238877685</v>
      </c>
      <c r="R372" s="73">
        <f t="shared" si="48"/>
        <v>3.1164617296273563E-2</v>
      </c>
    </row>
    <row r="373" spans="1:24" x14ac:dyDescent="0.25">
      <c r="A373" s="12" t="s">
        <v>1118</v>
      </c>
      <c r="B373" s="124" t="s">
        <v>1486</v>
      </c>
      <c r="C373" s="12" t="s">
        <v>1751</v>
      </c>
      <c r="D373" s="12" t="s">
        <v>714</v>
      </c>
      <c r="E373" s="12" t="s">
        <v>1477</v>
      </c>
      <c r="F373" s="12"/>
      <c r="G373" s="13">
        <v>45235</v>
      </c>
      <c r="H373" s="14">
        <f>16894.34/158.32</f>
        <v>106.71008084891359</v>
      </c>
      <c r="I373" s="14">
        <v>-13.61</v>
      </c>
      <c r="J373" s="8">
        <f>SUMIF(Journal!$A:$A,HeadJournal!$A373,Journal!$K:$K)+SUMIF(Journal!$A:$A,HeadJournal!$A373,Journal!$L:$L)+SUMIF(Journal!$A:$A,HeadJournal!$A373,Journal!$M:$M)</f>
        <v>158.32000000000005</v>
      </c>
      <c r="K373" s="14">
        <v>158.32</v>
      </c>
      <c r="L373" s="14">
        <f>(1300+800)/3</f>
        <v>700</v>
      </c>
      <c r="M373" s="8">
        <f>SUMIF(Journal!$A:$A,HeadJournal!$A373,Journal!$P:$P)</f>
        <v>17594.339999999997</v>
      </c>
      <c r="N373" s="8">
        <f>SUMIF(Journal!$A:$A,HeadJournal!$A373,Journal!Q:Q)</f>
        <v>27150</v>
      </c>
      <c r="O373" s="18">
        <f>SUMIF(Journal!$A:$A,HeadJournal!$A373,Journal!U:U)</f>
        <v>9555.6600000000071</v>
      </c>
      <c r="P373" s="22">
        <f t="shared" si="47"/>
        <v>0.54310988647485547</v>
      </c>
      <c r="R373" s="73">
        <f t="shared" si="48"/>
        <v>3.9785521934894978E-2</v>
      </c>
    </row>
    <row r="374" spans="1:24" x14ac:dyDescent="0.25">
      <c r="A374" s="12" t="s">
        <v>1126</v>
      </c>
      <c r="B374" s="41" t="s">
        <v>1487</v>
      </c>
      <c r="C374" s="12" t="s">
        <v>1751</v>
      </c>
      <c r="D374" s="12" t="s">
        <v>714</v>
      </c>
      <c r="E374" s="12" t="s">
        <v>1477</v>
      </c>
      <c r="F374" s="12"/>
      <c r="G374" s="13">
        <v>45244</v>
      </c>
      <c r="H374" s="14">
        <f>13133.08/124.19</f>
        <v>105.74989934777358</v>
      </c>
      <c r="I374" s="14">
        <v>-10.5</v>
      </c>
      <c r="J374" s="8">
        <f>SUMIF(Journal!$A:$A,HeadJournal!$A374,Journal!$K:$K)+SUMIF(Journal!$A:$A,HeadJournal!$A374,Journal!$L:$L)+SUMIF(Journal!$A:$A,HeadJournal!$A374,Journal!$M:$M)</f>
        <v>124.19</v>
      </c>
      <c r="K374" s="14">
        <v>124.19</v>
      </c>
      <c r="L374" s="14">
        <f>(1600+800)/3+880</f>
        <v>1680</v>
      </c>
      <c r="M374" s="8">
        <f>SUMIF(Journal!$A:$A,HeadJournal!$A374,Journal!$P:$P)</f>
        <v>14813.08</v>
      </c>
      <c r="N374" s="8">
        <f>SUMIF(Journal!$A:$A,HeadJournal!$A374,Journal!Q:Q)</f>
        <v>22951.559999999998</v>
      </c>
      <c r="O374" s="18">
        <f>SUMIF(Journal!$A:$A,HeadJournal!$A374,Journal!U:U)</f>
        <v>8138.48</v>
      </c>
      <c r="P374" s="22">
        <f t="shared" si="47"/>
        <v>0.54941173611429894</v>
      </c>
      <c r="R374" s="73">
        <f t="shared" si="48"/>
        <v>0.1134132806951694</v>
      </c>
    </row>
    <row r="375" spans="1:24" x14ac:dyDescent="0.25">
      <c r="A375" s="12" t="s">
        <v>1129</v>
      </c>
      <c r="B375" s="41" t="s">
        <v>1488</v>
      </c>
      <c r="C375" s="12" t="s">
        <v>1751</v>
      </c>
      <c r="D375" s="12" t="s">
        <v>714</v>
      </c>
      <c r="E375" s="12" t="s">
        <v>1477</v>
      </c>
      <c r="F375" s="12"/>
      <c r="G375" s="13">
        <v>45250</v>
      </c>
      <c r="H375" s="14">
        <f>20384.93/J375</f>
        <v>102.58633184037038</v>
      </c>
      <c r="I375" s="14">
        <v>-5</v>
      </c>
      <c r="J375" s="8">
        <f>SUMIF(Journal!$A:$A,HeadJournal!$A375,Journal!$K:$K)+SUMIF(Journal!$A:$A,HeadJournal!$A375,Journal!$L:$L)+SUMIF(Journal!$A:$A,HeadJournal!$A375,Journal!$M:$M)</f>
        <v>198.71000000000004</v>
      </c>
      <c r="K375" s="14">
        <v>198.71</v>
      </c>
      <c r="L375" s="14">
        <f>(1600+800)/3+880</f>
        <v>1680</v>
      </c>
      <c r="M375" s="8">
        <f>SUMIF(Journal!$A:$A,HeadJournal!$A375,Journal!$P:$P)</f>
        <v>22064.929999999997</v>
      </c>
      <c r="N375" s="8">
        <f>SUMIF(Journal!$A:$A,HeadJournal!$A375,Journal!Q:Q)</f>
        <v>34400</v>
      </c>
      <c r="O375" s="18">
        <f>SUMIF(Journal!$A:$A,HeadJournal!$A375,Journal!U:U)</f>
        <v>12335.070000000009</v>
      </c>
      <c r="P375" s="22">
        <f t="shared" si="47"/>
        <v>0.55903508418109693</v>
      </c>
      <c r="R375" s="73">
        <f t="shared" si="48"/>
        <v>7.6138922715820997E-2</v>
      </c>
    </row>
    <row r="376" spans="1:24" x14ac:dyDescent="0.25">
      <c r="A376" s="12" t="s">
        <v>1137</v>
      </c>
      <c r="B376" s="12"/>
      <c r="C376" s="12" t="s">
        <v>1380</v>
      </c>
      <c r="D376" s="12" t="s">
        <v>714</v>
      </c>
      <c r="E376" s="12" t="s">
        <v>1477</v>
      </c>
      <c r="F376" s="12"/>
      <c r="G376" s="13">
        <v>45254</v>
      </c>
      <c r="H376" s="14">
        <v>1</v>
      </c>
      <c r="I376" s="14">
        <v>0</v>
      </c>
      <c r="J376" s="8">
        <f>SUMIF(Journal!$A:$A,HeadJournal!$A376,Journal!$K:$K)+SUMIF(Journal!$A:$A,HeadJournal!$A376,Journal!$L:$L)+SUMIF(Journal!$A:$A,HeadJournal!$A376,Journal!$M:$M)</f>
        <v>3530</v>
      </c>
      <c r="K376" s="14">
        <v>3530</v>
      </c>
      <c r="L376" s="14">
        <f>K376*0.1</f>
        <v>353</v>
      </c>
      <c r="M376" s="8">
        <f>SUMIF(Journal!$A:$A,HeadJournal!$A376,Journal!$P:$P)</f>
        <v>3883</v>
      </c>
      <c r="N376" s="8">
        <f>SUMIF(Journal!$A:$A,HeadJournal!$A376,Journal!Q:Q)</f>
        <v>5200</v>
      </c>
      <c r="O376" s="18">
        <f>SUMIF(Journal!$A:$A,HeadJournal!$A376,Journal!U:U)</f>
        <v>1317</v>
      </c>
      <c r="P376" s="22">
        <f t="shared" si="47"/>
        <v>0.33917074426989441</v>
      </c>
      <c r="Q376" s="7" t="b">
        <f>J376=K376</f>
        <v>1</v>
      </c>
      <c r="R376" s="73">
        <f t="shared" si="48"/>
        <v>9.0909090909090912E-2</v>
      </c>
    </row>
    <row r="377" spans="1:24" x14ac:dyDescent="0.25">
      <c r="A377" s="12" t="s">
        <v>1139</v>
      </c>
      <c r="B377" s="12"/>
      <c r="C377" s="12" t="s">
        <v>843</v>
      </c>
      <c r="D377" s="12" t="s">
        <v>714</v>
      </c>
      <c r="E377" s="12" t="s">
        <v>1477</v>
      </c>
      <c r="F377" s="12"/>
      <c r="G377" s="13">
        <v>45244</v>
      </c>
      <c r="H377" s="14">
        <v>1</v>
      </c>
      <c r="I377" s="14">
        <v>0</v>
      </c>
      <c r="J377" s="8">
        <f>SUMIF(Journal!$A:$A,HeadJournal!$A377,Journal!$K:$K)+SUMIF(Journal!$A:$A,HeadJournal!$A377,Journal!$L:$L)+SUMIF(Journal!$A:$A,HeadJournal!$A377,Journal!$M:$M)</f>
        <v>877</v>
      </c>
      <c r="K377" s="14">
        <v>877</v>
      </c>
      <c r="L377" s="14">
        <f>K377*0.1</f>
        <v>87.7</v>
      </c>
      <c r="M377" s="8">
        <f>SUMIF(Journal!$A:$A,HeadJournal!$A377,Journal!$P:$P)</f>
        <v>964.7</v>
      </c>
      <c r="N377" s="8">
        <f>SUMIF(Journal!$A:$A,HeadJournal!$A377,Journal!Q:Q)</f>
        <v>1500</v>
      </c>
      <c r="O377" s="18">
        <f>SUMIF(Journal!$A:$A,HeadJournal!$A377,Journal!U:U)</f>
        <v>535.29999999999995</v>
      </c>
      <c r="P377" s="22">
        <f t="shared" si="47"/>
        <v>0.55488752980201095</v>
      </c>
      <c r="Q377" s="7" t="b">
        <f>J377=K377</f>
        <v>1</v>
      </c>
      <c r="R377" s="73">
        <f t="shared" si="48"/>
        <v>9.0909090909090912E-2</v>
      </c>
    </row>
    <row r="378" spans="1:24" x14ac:dyDescent="0.25">
      <c r="A378" s="12" t="s">
        <v>1141</v>
      </c>
      <c r="B378" s="41" t="s">
        <v>1489</v>
      </c>
      <c r="C378" s="12" t="s">
        <v>1737</v>
      </c>
      <c r="D378" s="12" t="s">
        <v>714</v>
      </c>
      <c r="E378" s="12" t="s">
        <v>1475</v>
      </c>
      <c r="F378" s="12" t="s">
        <v>1490</v>
      </c>
      <c r="G378" s="13">
        <v>45255</v>
      </c>
      <c r="H378" s="14">
        <f>31293.07/J378</f>
        <v>101.52835636882745</v>
      </c>
      <c r="I378" s="14">
        <v>-20.78</v>
      </c>
      <c r="J378" s="8">
        <f>SUMIF(Journal!$A:$A,HeadJournal!$A378,Journal!$K:$K)+SUMIF(Journal!$A:$A,HeadJournal!$A378,Journal!$L:$L)+SUMIF(Journal!$A:$A,HeadJournal!$A378,Journal!$M:$M)</f>
        <v>308.22000000000003</v>
      </c>
      <c r="K378" s="14">
        <v>308.22000000000003</v>
      </c>
      <c r="L378" s="14">
        <f>(700+1100)/3+880</f>
        <v>1480</v>
      </c>
      <c r="M378" s="8">
        <f>SUMIF(Journal!$A:$A,HeadJournal!$A378,Journal!$P:$P)</f>
        <v>32773.07</v>
      </c>
      <c r="N378" s="8">
        <f>SUMIF(Journal!$A:$A,HeadJournal!$A378,Journal!Q:Q)</f>
        <v>53158.23</v>
      </c>
      <c r="O378" s="18">
        <f>SUMIF(Journal!$A:$A,HeadJournal!$A378,Journal!U:U)</f>
        <v>20385.16</v>
      </c>
      <c r="P378" s="22">
        <f t="shared" si="47"/>
        <v>0.6220094730215997</v>
      </c>
      <c r="R378" s="73">
        <f t="shared" si="48"/>
        <v>4.5159028434016098E-2</v>
      </c>
    </row>
    <row r="379" spans="1:24" x14ac:dyDescent="0.25">
      <c r="A379" s="12" t="s">
        <v>1158</v>
      </c>
      <c r="B379" s="41" t="s">
        <v>1491</v>
      </c>
      <c r="C379" s="12" t="s">
        <v>1735</v>
      </c>
      <c r="D379" s="12" t="s">
        <v>714</v>
      </c>
      <c r="E379" s="12" t="s">
        <v>1475</v>
      </c>
      <c r="F379" s="12" t="s">
        <v>1490</v>
      </c>
      <c r="G379" s="13">
        <v>45259</v>
      </c>
      <c r="H379" s="14">
        <f>19259.6/J379</f>
        <v>101.47847621054848</v>
      </c>
      <c r="I379" s="14">
        <v>-12</v>
      </c>
      <c r="J379" s="8">
        <f>SUMIF(Journal!$A:$A,HeadJournal!$A379,Journal!$K:$K)+SUMIF(Journal!$A:$A,HeadJournal!$A379,Journal!$L:$L)+SUMIF(Journal!$A:$A,HeadJournal!$A379,Journal!$M:$M)</f>
        <v>189.79000000000002</v>
      </c>
      <c r="K379" s="14">
        <v>189.79</v>
      </c>
      <c r="L379" s="14">
        <f>(700+1100)/3+880</f>
        <v>1480</v>
      </c>
      <c r="M379" s="8">
        <f>SUMIF(Journal!$A:$A,HeadJournal!$A379,Journal!$P:$P)</f>
        <v>20739.599999999995</v>
      </c>
      <c r="N379" s="8">
        <f>SUMIF(Journal!$A:$A,HeadJournal!$A379,Journal!Q:Q)</f>
        <v>34400</v>
      </c>
      <c r="O379" s="18">
        <f>SUMIF(Journal!$A:$A,HeadJournal!$A379,Journal!U:U)</f>
        <v>13660.400000000007</v>
      </c>
      <c r="P379" s="22">
        <f t="shared" si="47"/>
        <v>0.65866265501745502</v>
      </c>
      <c r="R379" s="73">
        <f t="shared" si="48"/>
        <v>7.1361067715867241E-2</v>
      </c>
    </row>
    <row r="380" spans="1:24" x14ac:dyDescent="0.25">
      <c r="A380" s="12" t="s">
        <v>1171</v>
      </c>
      <c r="B380" s="124" t="s">
        <v>1492</v>
      </c>
      <c r="C380" s="12" t="s">
        <v>1752</v>
      </c>
      <c r="D380" s="12" t="s">
        <v>714</v>
      </c>
      <c r="E380" s="12" t="s">
        <v>1475</v>
      </c>
      <c r="F380" s="12" t="s">
        <v>1490</v>
      </c>
      <c r="G380" s="13">
        <v>45255</v>
      </c>
      <c r="H380" s="14">
        <f>17448.52/J380</f>
        <v>100.91683053788316</v>
      </c>
      <c r="I380" s="14">
        <v>0</v>
      </c>
      <c r="J380" s="8">
        <f>SUMIF(Journal!$A:$A,HeadJournal!$A380,Journal!$K:$K)+SUMIF(Journal!$A:$A,HeadJournal!$A380,Journal!$L:$L)+SUMIF(Journal!$A:$A,HeadJournal!$A380,Journal!$M:$M)</f>
        <v>172.90000000000003</v>
      </c>
      <c r="K380" s="14">
        <v>172.9</v>
      </c>
      <c r="L380" s="14">
        <f>(700+1100)/3+880</f>
        <v>1480</v>
      </c>
      <c r="M380" s="8">
        <f>SUMIF(Journal!$A:$A,HeadJournal!$A380,Journal!$P:$P)</f>
        <v>18928.519999999997</v>
      </c>
      <c r="N380" s="8">
        <f>SUMIF(Journal!$A:$A,HeadJournal!$A380,Journal!Q:Q)</f>
        <v>26300</v>
      </c>
      <c r="O380" s="18">
        <f>SUMIF(Journal!$A:$A,HeadJournal!$A380,Journal!U:U)</f>
        <v>7371.480000000005</v>
      </c>
      <c r="P380" s="22">
        <f t="shared" si="47"/>
        <v>0.38943773734026782</v>
      </c>
      <c r="Q380" s="7" t="b">
        <f t="shared" ref="Q380:Q385" si="54">J380=K380</f>
        <v>1</v>
      </c>
      <c r="R380" s="73">
        <f t="shared" si="48"/>
        <v>7.8188891683026479E-2</v>
      </c>
    </row>
    <row r="381" spans="1:24" x14ac:dyDescent="0.25">
      <c r="A381" s="12" t="s">
        <v>1182</v>
      </c>
      <c r="B381" s="12"/>
      <c r="C381" s="12" t="s">
        <v>1380</v>
      </c>
      <c r="D381" s="12" t="s">
        <v>714</v>
      </c>
      <c r="E381" s="12" t="s">
        <v>1477</v>
      </c>
      <c r="F381" s="12"/>
      <c r="G381" s="13">
        <v>45257</v>
      </c>
      <c r="H381" s="14">
        <v>1</v>
      </c>
      <c r="I381" s="14">
        <v>0</v>
      </c>
      <c r="J381" s="8">
        <f>SUMIF(Journal!$A:$A,HeadJournal!$A381,Journal!$K:$K)+SUMIF(Journal!$A:$A,HeadJournal!$A381,Journal!$L:$L)+SUMIF(Journal!$A:$A,HeadJournal!$A381,Journal!$M:$M)</f>
        <v>1603</v>
      </c>
      <c r="K381" s="14">
        <v>1603</v>
      </c>
      <c r="L381" s="14">
        <v>0</v>
      </c>
      <c r="M381" s="8">
        <f>SUMIF(Journal!$A:$A,HeadJournal!$A381,Journal!$P:$P)</f>
        <v>1603</v>
      </c>
      <c r="N381" s="8">
        <f>SUMIF(Journal!$A:$A,HeadJournal!$A381,Journal!Q:Q)</f>
        <v>2500</v>
      </c>
      <c r="O381" s="18">
        <f>SUMIF(Journal!$A:$A,HeadJournal!$A381,Journal!U:U)</f>
        <v>897</v>
      </c>
      <c r="P381" s="22">
        <f t="shared" si="47"/>
        <v>0.55957579538365565</v>
      </c>
      <c r="Q381" s="7" t="b">
        <f t="shared" si="54"/>
        <v>1</v>
      </c>
      <c r="R381" s="73">
        <f t="shared" si="48"/>
        <v>0</v>
      </c>
    </row>
    <row r="382" spans="1:24" x14ac:dyDescent="0.25">
      <c r="A382" s="12" t="s">
        <v>1185</v>
      </c>
      <c r="B382" s="12"/>
      <c r="C382" s="12" t="s">
        <v>1380</v>
      </c>
      <c r="D382" s="12" t="s">
        <v>714</v>
      </c>
      <c r="E382" s="12" t="s">
        <v>1477</v>
      </c>
      <c r="F382" s="12"/>
      <c r="G382" s="13">
        <v>45264</v>
      </c>
      <c r="H382" s="14">
        <v>1</v>
      </c>
      <c r="I382" s="14">
        <v>0</v>
      </c>
      <c r="J382" s="8">
        <f>SUMIF(Journal!$A:$A,HeadJournal!$A382,Journal!$K:$K)+SUMIF(Journal!$A:$A,HeadJournal!$A382,Journal!$L:$L)+SUMIF(Journal!$A:$A,HeadJournal!$A382,Journal!$M:$M)</f>
        <v>1722</v>
      </c>
      <c r="K382" s="14">
        <v>1722</v>
      </c>
      <c r="L382" s="14">
        <v>0</v>
      </c>
      <c r="M382" s="8">
        <f>SUMIF(Journal!$A:$A,HeadJournal!$A382,Journal!$P:$P)</f>
        <v>1722</v>
      </c>
      <c r="N382" s="8">
        <f>SUMIF(Journal!$A:$A,HeadJournal!$A382,Journal!Q:Q)</f>
        <v>4000</v>
      </c>
      <c r="O382" s="18">
        <f>SUMIF(Journal!$A:$A,HeadJournal!$A382,Journal!U:U)</f>
        <v>2278</v>
      </c>
      <c r="P382" s="22">
        <f t="shared" si="47"/>
        <v>1.3228803716608595</v>
      </c>
      <c r="Q382" s="7" t="b">
        <f t="shared" si="54"/>
        <v>1</v>
      </c>
      <c r="R382" s="73">
        <f t="shared" si="48"/>
        <v>0</v>
      </c>
    </row>
    <row r="383" spans="1:24" x14ac:dyDescent="0.25">
      <c r="A383" s="12" t="s">
        <v>1186</v>
      </c>
      <c r="B383" s="12"/>
      <c r="C383" s="12" t="s">
        <v>843</v>
      </c>
      <c r="D383" s="12" t="s">
        <v>714</v>
      </c>
      <c r="E383" s="12" t="s">
        <v>1477</v>
      </c>
      <c r="F383" s="12"/>
      <c r="G383" s="13">
        <v>45263</v>
      </c>
      <c r="H383" s="14">
        <v>1</v>
      </c>
      <c r="I383" s="14">
        <v>0</v>
      </c>
      <c r="J383" s="8">
        <f>SUMIF(Journal!$A:$A,HeadJournal!$A383,Journal!$K:$K)+SUMIF(Journal!$A:$A,HeadJournal!$A383,Journal!$L:$L)+SUMIF(Journal!$A:$A,HeadJournal!$A383,Journal!$M:$M)</f>
        <v>429</v>
      </c>
      <c r="K383" s="14">
        <v>429</v>
      </c>
      <c r="L383" s="14">
        <v>0</v>
      </c>
      <c r="M383" s="8">
        <f>SUMIF(Journal!$A:$A,HeadJournal!$A383,Journal!$P:$P)</f>
        <v>429</v>
      </c>
      <c r="N383" s="8">
        <f>SUMIF(Journal!$A:$A,HeadJournal!$A383,Journal!Q:Q)</f>
        <v>0</v>
      </c>
      <c r="O383" s="18">
        <f>SUMIF(Journal!$A:$A,HeadJournal!$A383,Journal!U:U)</f>
        <v>-429</v>
      </c>
      <c r="P383" s="22" t="str">
        <f t="shared" si="47"/>
        <v/>
      </c>
      <c r="Q383" s="7" t="b">
        <f t="shared" si="54"/>
        <v>1</v>
      </c>
      <c r="R383" s="73">
        <f t="shared" si="48"/>
        <v>0</v>
      </c>
    </row>
    <row r="384" spans="1:24" x14ac:dyDescent="0.25">
      <c r="A384" s="12" t="s">
        <v>1188</v>
      </c>
      <c r="B384" s="12"/>
      <c r="C384" s="12" t="s">
        <v>843</v>
      </c>
      <c r="D384" s="12" t="s">
        <v>714</v>
      </c>
      <c r="E384" s="12" t="s">
        <v>1477</v>
      </c>
      <c r="F384" s="12"/>
      <c r="G384" s="13">
        <v>45272</v>
      </c>
      <c r="H384" s="14">
        <v>1</v>
      </c>
      <c r="I384" s="14">
        <v>0</v>
      </c>
      <c r="J384" s="8">
        <f>SUMIF(Journal!$A:$A,HeadJournal!$A384,Journal!$K:$K)+SUMIF(Journal!$A:$A,HeadJournal!$A384,Journal!$L:$L)+SUMIF(Journal!$A:$A,HeadJournal!$A384,Journal!$M:$M)</f>
        <v>6120</v>
      </c>
      <c r="K384" s="14">
        <v>6120</v>
      </c>
      <c r="L384" s="14">
        <v>0</v>
      </c>
      <c r="M384" s="8">
        <f>SUMIF(Journal!$A:$A,HeadJournal!$A384,Journal!$P:$P)</f>
        <v>6120</v>
      </c>
      <c r="N384" s="8">
        <f>SUMIF(Journal!$A:$A,HeadJournal!$A384,Journal!Q:Q)</f>
        <v>7080</v>
      </c>
      <c r="O384" s="18">
        <f>SUMIF(Journal!$A:$A,HeadJournal!$A384,Journal!U:U)</f>
        <v>960</v>
      </c>
      <c r="P384" s="22">
        <f t="shared" si="47"/>
        <v>0.15686274509803921</v>
      </c>
      <c r="Q384" s="7" t="b">
        <f t="shared" si="54"/>
        <v>1</v>
      </c>
      <c r="R384" s="73">
        <f t="shared" si="48"/>
        <v>0</v>
      </c>
    </row>
    <row r="385" spans="1:18" x14ac:dyDescent="0.25">
      <c r="A385" s="12" t="s">
        <v>1189</v>
      </c>
      <c r="B385" s="12"/>
      <c r="C385" s="12" t="s">
        <v>1359</v>
      </c>
      <c r="D385" s="12" t="s">
        <v>714</v>
      </c>
      <c r="E385" s="12" t="s">
        <v>1477</v>
      </c>
      <c r="F385" s="12"/>
      <c r="G385" s="13">
        <v>45276</v>
      </c>
      <c r="H385" s="14">
        <v>1</v>
      </c>
      <c r="I385" s="14">
        <v>-1631.74</v>
      </c>
      <c r="J385" s="8">
        <f>SUMIF(Journal!$A:$A,HeadJournal!$A385,Journal!$K:$K)+SUMIF(Journal!$A:$A,HeadJournal!$A385,Journal!$L:$L)+SUMIF(Journal!$A:$A,HeadJournal!$A385,Journal!$M:$M)</f>
        <v>3744.26</v>
      </c>
      <c r="K385" s="14">
        <v>3800</v>
      </c>
      <c r="L385" s="14">
        <v>0</v>
      </c>
      <c r="M385" s="8">
        <f>SUMIF(Journal!$A:$A,HeadJournal!$A385,Journal!$P:$P)</f>
        <v>3800</v>
      </c>
      <c r="N385" s="8">
        <f>SUMIF(Journal!$A:$A,HeadJournal!$A385,Journal!Q:Q)</f>
        <v>6900</v>
      </c>
      <c r="O385" s="18">
        <f>SUMIF(Journal!$A:$A,HeadJournal!$A385,Journal!U:U)</f>
        <v>3100</v>
      </c>
      <c r="P385" s="22">
        <f t="shared" si="47"/>
        <v>0.81578947368421051</v>
      </c>
      <c r="Q385" s="7" t="b">
        <f t="shared" si="54"/>
        <v>0</v>
      </c>
      <c r="R385" s="73">
        <f t="shared" si="48"/>
        <v>0</v>
      </c>
    </row>
    <row r="386" spans="1:18" x14ac:dyDescent="0.25">
      <c r="A386" s="12" t="s">
        <v>1193</v>
      </c>
      <c r="B386" s="124" t="s">
        <v>1493</v>
      </c>
      <c r="C386" s="12" t="s">
        <v>1751</v>
      </c>
      <c r="D386" s="12" t="s">
        <v>714</v>
      </c>
      <c r="E386" s="12" t="s">
        <v>1475</v>
      </c>
      <c r="F386" s="12" t="s">
        <v>1494</v>
      </c>
      <c r="G386" s="13">
        <v>45267</v>
      </c>
      <c r="H386" s="14">
        <f>24335.26/J386</f>
        <v>101.24083704289222</v>
      </c>
      <c r="I386" s="14">
        <v>-9.01</v>
      </c>
      <c r="J386" s="8">
        <f>SUMIF(Journal!$A:$A,HeadJournal!$A386,Journal!$K:$K)+SUMIF(Journal!$A:$A,HeadJournal!$A386,Journal!$L:$L)+SUMIF(Journal!$A:$A,HeadJournal!$A386,Journal!$M:$M)</f>
        <v>240.36999999999995</v>
      </c>
      <c r="K386" s="14">
        <v>240.37</v>
      </c>
      <c r="L386" s="14">
        <f>(700+800)</f>
        <v>1500</v>
      </c>
      <c r="M386" s="8">
        <f>SUMIF(Journal!$A:$A,HeadJournal!$A386,Journal!$P:$P)</f>
        <v>25835.260000000009</v>
      </c>
      <c r="N386" s="8">
        <f>SUMIF(Journal!$A:$A,HeadJournal!$A386,Journal!Q:Q)</f>
        <v>38426.35</v>
      </c>
      <c r="O386" s="18">
        <f>SUMIF(Journal!$A:$A,HeadJournal!$A386,Journal!U:U)</f>
        <v>12591.089999999989</v>
      </c>
      <c r="P386" s="22">
        <f t="shared" si="47"/>
        <v>0.4873606845837814</v>
      </c>
      <c r="R386" s="73">
        <f t="shared" si="48"/>
        <v>5.8060185962904937E-2</v>
      </c>
    </row>
    <row r="387" spans="1:18" x14ac:dyDescent="0.25">
      <c r="A387" s="12" t="s">
        <v>1198</v>
      </c>
      <c r="B387" s="124" t="s">
        <v>1495</v>
      </c>
      <c r="C387" s="12" t="s">
        <v>1751</v>
      </c>
      <c r="D387" s="12" t="s">
        <v>714</v>
      </c>
      <c r="E387" s="12" t="s">
        <v>1475</v>
      </c>
      <c r="F387" s="12" t="s">
        <v>1496</v>
      </c>
      <c r="G387" s="13">
        <v>45273</v>
      </c>
      <c r="H387" s="14">
        <f>27085.23/J387</f>
        <v>112.73299758594855</v>
      </c>
      <c r="I387" s="14">
        <v>-10.74</v>
      </c>
      <c r="J387" s="8">
        <f>SUMIF(Journal!$A:$A,HeadJournal!$A387,Journal!$K:$K)+SUMIF(Journal!$A:$A,HeadJournal!$A387,Journal!$L:$L)+SUMIF(Journal!$A:$A,HeadJournal!$A387,Journal!$M:$M)</f>
        <v>240.26</v>
      </c>
      <c r="K387" s="14">
        <v>240.26</v>
      </c>
      <c r="L387" s="14">
        <f>(1100+800)/2</f>
        <v>950</v>
      </c>
      <c r="M387" s="8">
        <f>SUMIF(Journal!$A:$A,HeadJournal!$A387,Journal!$P:$P)</f>
        <v>28035.229999999992</v>
      </c>
      <c r="N387" s="8">
        <f>SUMIF(Journal!$A:$A,HeadJournal!$A387,Journal!Q:Q)</f>
        <v>50079.91</v>
      </c>
      <c r="O387" s="18">
        <f>SUMIF(Journal!$A:$A,HeadJournal!$A387,Journal!U:U)</f>
        <v>22044.680000000008</v>
      </c>
      <c r="P387" s="22">
        <f t="shared" ref="P387:P450" si="55">IF(N387&lt;&gt;0,IFERROR(O387/M387,""),"")</f>
        <v>0.78632064013742753</v>
      </c>
      <c r="R387" s="73">
        <f t="shared" ref="R387:R450" si="56">L387/M387</f>
        <v>3.3885935660238932E-2</v>
      </c>
    </row>
    <row r="388" spans="1:18" x14ac:dyDescent="0.25">
      <c r="A388" s="12" t="s">
        <v>1206</v>
      </c>
      <c r="B388" s="124" t="s">
        <v>1497</v>
      </c>
      <c r="C388" s="12" t="s">
        <v>1751</v>
      </c>
      <c r="D388" s="12" t="s">
        <v>714</v>
      </c>
      <c r="E388" s="12" t="s">
        <v>1477</v>
      </c>
      <c r="F388" s="124" t="s">
        <v>1498</v>
      </c>
      <c r="G388" s="13">
        <v>45280</v>
      </c>
      <c r="H388" s="14">
        <f>21067.43/J388</f>
        <v>102.61278067312844</v>
      </c>
      <c r="I388" s="14">
        <v>-11.81</v>
      </c>
      <c r="J388" s="8">
        <f>SUMIF(Journal!$A:$A,HeadJournal!$A388,Journal!$K:$K)+SUMIF(Journal!$A:$A,HeadJournal!$A388,Journal!$L:$L)+SUMIF(Journal!$A:$A,HeadJournal!$A388,Journal!$M:$M)</f>
        <v>205.31</v>
      </c>
      <c r="K388" s="14">
        <v>205.31</v>
      </c>
      <c r="L388" s="14">
        <f>(1352.02+1100+1300)/3</f>
        <v>1250.6733333333334</v>
      </c>
      <c r="M388" s="8">
        <f>SUMIF(Journal!$A:$A,HeadJournal!$A388,Journal!$P:$P)</f>
        <v>22318.103333333333</v>
      </c>
      <c r="N388" s="8">
        <f>SUMIF(Journal!$A:$A,HeadJournal!$A388,Journal!Q:Q)</f>
        <v>31355.599999999999</v>
      </c>
      <c r="O388" s="18">
        <f>SUMIF(Journal!$A:$A,HeadJournal!$A388,Journal!U:U)</f>
        <v>9037.4966666666678</v>
      </c>
      <c r="P388" s="22">
        <f t="shared" si="55"/>
        <v>0.40494017487447792</v>
      </c>
      <c r="R388" s="73">
        <f t="shared" si="56"/>
        <v>5.6038513428037721E-2</v>
      </c>
    </row>
    <row r="389" spans="1:18" x14ac:dyDescent="0.25">
      <c r="A389" s="12" t="s">
        <v>1213</v>
      </c>
      <c r="B389" s="124" t="s">
        <v>1499</v>
      </c>
      <c r="C389" s="12" t="s">
        <v>1737</v>
      </c>
      <c r="D389" s="12" t="s">
        <v>714</v>
      </c>
      <c r="E389" s="12" t="s">
        <v>1475</v>
      </c>
      <c r="F389" s="12" t="s">
        <v>1496</v>
      </c>
      <c r="G389" s="13">
        <v>45276</v>
      </c>
      <c r="H389" s="14">
        <f>26938.87/J389</f>
        <v>102.3980158126806</v>
      </c>
      <c r="I389" s="14">
        <v>-8.6</v>
      </c>
      <c r="J389" s="8">
        <f>SUMIF(Journal!$A:$A,HeadJournal!$A389,Journal!$K:$K)+SUMIF(Journal!$A:$A,HeadJournal!$A389,Journal!$L:$L)+SUMIF(Journal!$A:$A,HeadJournal!$A389,Journal!$M:$M)</f>
        <v>263.07999999999987</v>
      </c>
      <c r="K389" s="14">
        <v>263.08</v>
      </c>
      <c r="L389" s="14">
        <f>(1100+800)/2</f>
        <v>950</v>
      </c>
      <c r="M389" s="8">
        <f>SUMIF(Journal!$A:$A,HeadJournal!$A389,Journal!$P:$P)</f>
        <v>27888.870000000017</v>
      </c>
      <c r="N389" s="8">
        <f>SUMIF(Journal!$A:$A,HeadJournal!$A389,Journal!Q:Q)</f>
        <v>44000</v>
      </c>
      <c r="O389" s="18">
        <f>SUMIF(Journal!$A:$A,HeadJournal!$A389,Journal!U:U)</f>
        <v>16111.129999999976</v>
      </c>
      <c r="P389" s="22">
        <f t="shared" si="55"/>
        <v>0.57769031158307838</v>
      </c>
      <c r="R389" s="73">
        <f t="shared" si="56"/>
        <v>3.4063768090998287E-2</v>
      </c>
    </row>
    <row r="390" spans="1:18" x14ac:dyDescent="0.25">
      <c r="A390" s="12" t="s">
        <v>1219</v>
      </c>
      <c r="B390" s="12"/>
      <c r="C390" s="12" t="s">
        <v>1357</v>
      </c>
      <c r="D390" s="12" t="s">
        <v>714</v>
      </c>
      <c r="E390" s="12" t="s">
        <v>1477</v>
      </c>
      <c r="F390" s="12"/>
      <c r="G390" s="13">
        <v>45285</v>
      </c>
      <c r="H390" s="14">
        <v>1</v>
      </c>
      <c r="I390" s="14">
        <v>0</v>
      </c>
      <c r="J390" s="8">
        <f>SUMIF(Journal!$A:$A,HeadJournal!$A390,Journal!$K:$K)+SUMIF(Journal!$A:$A,HeadJournal!$A390,Journal!$L:$L)+SUMIF(Journal!$A:$A,HeadJournal!$A390,Journal!$M:$M)</f>
        <v>7056</v>
      </c>
      <c r="K390" s="14">
        <v>7150</v>
      </c>
      <c r="L390" s="14">
        <v>0</v>
      </c>
      <c r="M390" s="8">
        <f>SUMIF(Journal!$A:$A,HeadJournal!$A390,Journal!$P:$P)</f>
        <v>7149.9999999999982</v>
      </c>
      <c r="N390" s="8">
        <f>SUMIF(Journal!$A:$A,HeadJournal!$A390,Journal!Q:Q)</f>
        <v>7900</v>
      </c>
      <c r="O390" s="18">
        <f>SUMIF(Journal!$A:$A,HeadJournal!$A390,Journal!U:U)</f>
        <v>750.00000000000023</v>
      </c>
      <c r="P390" s="22">
        <f t="shared" si="55"/>
        <v>0.10489510489510495</v>
      </c>
      <c r="Q390" s="7" t="b">
        <f>J390=K390</f>
        <v>0</v>
      </c>
      <c r="R390" s="73">
        <f t="shared" si="56"/>
        <v>0</v>
      </c>
    </row>
    <row r="391" spans="1:18" x14ac:dyDescent="0.25">
      <c r="A391" s="12" t="s">
        <v>1220</v>
      </c>
      <c r="B391" s="12" t="s">
        <v>1500</v>
      </c>
      <c r="C391" s="12" t="s">
        <v>1501</v>
      </c>
      <c r="D391" s="12" t="s">
        <v>714</v>
      </c>
      <c r="E391" s="12"/>
      <c r="F391" s="12"/>
      <c r="G391" s="13">
        <v>45279</v>
      </c>
      <c r="H391" s="14">
        <v>1</v>
      </c>
      <c r="I391" s="14">
        <v>0</v>
      </c>
      <c r="J391" s="8">
        <f>SUMIF(Journal!$A:$A,HeadJournal!$A391,Journal!$K:$K)+SUMIF(Journal!$A:$A,HeadJournal!$A391,Journal!$L:$L)+SUMIF(Journal!$A:$A,HeadJournal!$A391,Journal!$M:$M)</f>
        <v>8160.0699844479004</v>
      </c>
      <c r="K391" s="14">
        <f>8615-434-81</f>
        <v>8100</v>
      </c>
      <c r="L391" s="14">
        <f>434+81</f>
        <v>515</v>
      </c>
      <c r="M391" s="8">
        <f>SUMIF(Journal!$A:$A,HeadJournal!$A391,Journal!$P:$P)</f>
        <v>8615.0000000000018</v>
      </c>
      <c r="N391" s="8">
        <f>SUMIF(Journal!$A:$A,HeadJournal!$A391,Journal!Q:Q)</f>
        <v>10180.007776049766</v>
      </c>
      <c r="O391" s="18">
        <f>SUMIF(Journal!$A:$A,HeadJournal!$A391,Journal!U:U)</f>
        <v>1565.0077760497666</v>
      </c>
      <c r="P391" s="22">
        <f t="shared" si="55"/>
        <v>0.18166079814855093</v>
      </c>
      <c r="Q391" s="7" t="b">
        <f>J391=K391</f>
        <v>0</v>
      </c>
      <c r="R391" s="73">
        <f t="shared" si="56"/>
        <v>5.9779454439930345E-2</v>
      </c>
    </row>
    <row r="392" spans="1:18" x14ac:dyDescent="0.25">
      <c r="A392" s="12" t="s">
        <v>1221</v>
      </c>
      <c r="B392" s="114" t="s">
        <v>1502</v>
      </c>
      <c r="C392" s="12" t="s">
        <v>1735</v>
      </c>
      <c r="D392" s="12" t="s">
        <v>714</v>
      </c>
      <c r="E392" s="12" t="s">
        <v>1477</v>
      </c>
      <c r="F392" s="41" t="s">
        <v>1498</v>
      </c>
      <c r="G392" s="13">
        <v>45285</v>
      </c>
      <c r="H392" s="14">
        <f>21082.36/J392</f>
        <v>103.29932872752217</v>
      </c>
      <c r="I392" s="14">
        <v>-24.47</v>
      </c>
      <c r="J392" s="8">
        <f>SUMIF(Journal!$A:$A,HeadJournal!$A392,Journal!$K:$K)+SUMIF(Journal!$A:$A,HeadJournal!$A392,Journal!$L:$L)+SUMIF(Journal!$A:$A,HeadJournal!$A392,Journal!$M:$M)</f>
        <v>204.09</v>
      </c>
      <c r="K392" s="14">
        <v>204.09</v>
      </c>
      <c r="L392" s="14">
        <f>(1352.02+1100+1300)/3</f>
        <v>1250.6733333333334</v>
      </c>
      <c r="M392" s="8">
        <f>SUMIF(Journal!$A:$A,HeadJournal!$A392,Journal!$P:$P)</f>
        <v>22333.033333333333</v>
      </c>
      <c r="N392" s="8">
        <f>SUMIF(Journal!$A:$A,HeadJournal!$A392,Journal!Q:Q)</f>
        <v>37413.550000000003</v>
      </c>
      <c r="O392" s="18">
        <f>SUMIF(Journal!$A:$A,HeadJournal!$A392,Journal!U:U)</f>
        <v>15080.516666666666</v>
      </c>
      <c r="P392" s="22">
        <f t="shared" si="55"/>
        <v>0.67525608552950711</v>
      </c>
      <c r="R392" s="73">
        <f t="shared" si="56"/>
        <v>5.600105076038335E-2</v>
      </c>
    </row>
    <row r="393" spans="1:18" x14ac:dyDescent="0.25">
      <c r="A393" s="12" t="s">
        <v>1227</v>
      </c>
      <c r="B393" s="114" t="s">
        <v>1503</v>
      </c>
      <c r="C393" s="12" t="s">
        <v>1751</v>
      </c>
      <c r="D393" s="12" t="s">
        <v>714</v>
      </c>
      <c r="E393" s="12" t="s">
        <v>1477</v>
      </c>
      <c r="F393" s="124" t="s">
        <v>1498</v>
      </c>
      <c r="G393" s="13">
        <v>45289</v>
      </c>
      <c r="H393" s="14">
        <f>10887.33/J393</f>
        <v>103.63950499762019</v>
      </c>
      <c r="I393" s="14">
        <v>-16.45</v>
      </c>
      <c r="J393" s="8">
        <f>SUMIF(Journal!$A:$A,HeadJournal!$A393,Journal!$K:$K)+SUMIF(Journal!$A:$A,HeadJournal!$A393,Journal!$L:$L)+SUMIF(Journal!$A:$A,HeadJournal!$A393,Journal!$M:$M)</f>
        <v>105.04999999999998</v>
      </c>
      <c r="K393" s="14">
        <v>105.05</v>
      </c>
      <c r="L393" s="14">
        <f>(1352.02+1100+1300)/3</f>
        <v>1250.6733333333334</v>
      </c>
      <c r="M393" s="8">
        <f>SUMIF(Journal!$A:$A,HeadJournal!$A393,Journal!$P:$P)</f>
        <v>12138.003333333332</v>
      </c>
      <c r="N393" s="8">
        <f>SUMIF(Journal!$A:$A,HeadJournal!$A393,Journal!Q:Q)</f>
        <v>24700</v>
      </c>
      <c r="O393" s="18">
        <f>SUMIF(Journal!$A:$A,HeadJournal!$A393,Journal!U:U)</f>
        <v>12561.996666666668</v>
      </c>
      <c r="P393" s="22">
        <f t="shared" si="55"/>
        <v>1.0349310608746471</v>
      </c>
      <c r="R393" s="73">
        <f t="shared" si="56"/>
        <v>0.10303781429180693</v>
      </c>
    </row>
    <row r="394" spans="1:18" x14ac:dyDescent="0.25">
      <c r="A394" s="12" t="s">
        <v>1229</v>
      </c>
      <c r="B394" s="124" t="s">
        <v>1504</v>
      </c>
      <c r="C394" s="12" t="s">
        <v>1751</v>
      </c>
      <c r="D394" s="12" t="s">
        <v>714</v>
      </c>
      <c r="E394" s="12" t="s">
        <v>1477</v>
      </c>
      <c r="F394" s="124" t="s">
        <v>1506</v>
      </c>
      <c r="G394" s="13">
        <v>45300</v>
      </c>
      <c r="H394" s="14">
        <f>21115.27/K394</f>
        <v>101.50108157477287</v>
      </c>
      <c r="I394" s="14">
        <v>-10.09</v>
      </c>
      <c r="J394" s="8">
        <f>SUMIF(Journal!$A:$A,HeadJournal!$A394,Journal!$K:$K)+SUMIF(Journal!$A:$A,HeadJournal!$A394,Journal!$L:$L)+SUMIF(Journal!$A:$A,HeadJournal!$A394,Journal!$M:$M)</f>
        <v>208.02999999999997</v>
      </c>
      <c r="K394" s="14">
        <v>208.03</v>
      </c>
      <c r="L394" s="14">
        <f>(1469.28+1200+1300)/2</f>
        <v>1984.6399999999999</v>
      </c>
      <c r="M394" s="8">
        <f>SUMIF(Journal!$A:$A,HeadJournal!$A394,Journal!$P:$P)</f>
        <v>23099.910000000011</v>
      </c>
      <c r="N394" s="8">
        <f>SUMIF(Journal!$A:$A,HeadJournal!$A394,Journal!Q:Q)</f>
        <v>32600</v>
      </c>
      <c r="O394" s="18">
        <f>SUMIF(Journal!$A:$A,HeadJournal!$A394,Journal!U:U)</f>
        <v>9500.0899999999965</v>
      </c>
      <c r="P394" s="22">
        <f t="shared" si="55"/>
        <v>0.41126090967453949</v>
      </c>
      <c r="R394" s="73">
        <f t="shared" si="56"/>
        <v>8.591548625081219E-2</v>
      </c>
    </row>
    <row r="395" spans="1:18" x14ac:dyDescent="0.25">
      <c r="A395" s="12" t="s">
        <v>1234</v>
      </c>
      <c r="B395" s="124" t="s">
        <v>1507</v>
      </c>
      <c r="C395" s="12" t="s">
        <v>1735</v>
      </c>
      <c r="D395" s="12" t="s">
        <v>714</v>
      </c>
      <c r="E395" s="12" t="s">
        <v>1477</v>
      </c>
      <c r="F395" s="124" t="s">
        <v>1568</v>
      </c>
      <c r="G395" s="13">
        <v>45306</v>
      </c>
      <c r="H395" s="14">
        <f>17743.47/174.9</f>
        <v>101.44922813036021</v>
      </c>
      <c r="I395" s="14">
        <v>-15.05</v>
      </c>
      <c r="J395" s="8">
        <f>SUMIF(Journal!$A:$A,HeadJournal!$A395,Journal!$K:$K)+SUMIF(Journal!$A:$A,HeadJournal!$A395,Journal!$L:$L)+SUMIF(Journal!$A:$A,HeadJournal!$A395,Journal!$M:$M)</f>
        <v>174.89999999999998</v>
      </c>
      <c r="K395" s="14">
        <v>174.9</v>
      </c>
      <c r="L395" s="14">
        <f>(1469.28+1200+(2500-593))/3</f>
        <v>1525.4266666666665</v>
      </c>
      <c r="M395" s="8">
        <f>SUMIF(Journal!$A:$A,HeadJournal!$A395,Journal!$P:$P)</f>
        <v>19268.896666666671</v>
      </c>
      <c r="N395" s="8">
        <f>SUMIF(Journal!$A:$A,HeadJournal!$A395,Journal!Q:Q)</f>
        <v>31550</v>
      </c>
      <c r="O395" s="18">
        <f>SUMIF(Journal!$A:$A,HeadJournal!$A395,Journal!U:U)</f>
        <v>12281.103333333329</v>
      </c>
      <c r="P395" s="22">
        <f t="shared" si="55"/>
        <v>0.63735373881465929</v>
      </c>
      <c r="R395" s="73">
        <f t="shared" si="56"/>
        <v>7.9165231567488101E-2</v>
      </c>
    </row>
    <row r="396" spans="1:18" x14ac:dyDescent="0.25">
      <c r="A396" s="12" t="s">
        <v>1236</v>
      </c>
      <c r="B396" s="114" t="s">
        <v>1508</v>
      </c>
      <c r="C396" s="12" t="s">
        <v>1737</v>
      </c>
      <c r="D396" s="12" t="s">
        <v>714</v>
      </c>
      <c r="E396" s="12" t="s">
        <v>1477</v>
      </c>
      <c r="F396" s="114" t="s">
        <v>1506</v>
      </c>
      <c r="G396" s="13">
        <v>45303</v>
      </c>
      <c r="H396" s="14">
        <f>29177.35/J396</f>
        <v>101.82644656941439</v>
      </c>
      <c r="I396" s="14">
        <v>-23.82</v>
      </c>
      <c r="J396" s="8">
        <f>SUMIF(Journal!$A:$A,HeadJournal!$A396,Journal!$K:$K)+SUMIF(Journal!$A:$A,HeadJournal!$A396,Journal!$L:$L)+SUMIF(Journal!$A:$A,HeadJournal!$A396,Journal!$M:$M)</f>
        <v>286.54000000000002</v>
      </c>
      <c r="K396" s="14">
        <v>286.54000000000002</v>
      </c>
      <c r="L396" s="14">
        <f>(1469.28+1200+1300)/2</f>
        <v>1984.6399999999999</v>
      </c>
      <c r="M396" s="8">
        <f>SUMIF(Journal!$A:$A,HeadJournal!$A396,Journal!$P:$P)</f>
        <v>31161.990000000005</v>
      </c>
      <c r="N396" s="8">
        <f>SUMIF(Journal!$A:$A,HeadJournal!$A396,Journal!Q:Q)</f>
        <v>51941.21</v>
      </c>
      <c r="O396" s="18">
        <f>SUMIF(Journal!$A:$A,HeadJournal!$A396,Journal!U:U)</f>
        <v>20779.22</v>
      </c>
      <c r="P396" s="22">
        <f t="shared" si="55"/>
        <v>0.66681299878473732</v>
      </c>
      <c r="R396" s="73">
        <f t="shared" si="56"/>
        <v>6.3687845352623479E-2</v>
      </c>
    </row>
    <row r="397" spans="1:18" x14ac:dyDescent="0.25">
      <c r="A397" s="12" t="s">
        <v>1238</v>
      </c>
      <c r="B397" s="114" t="s">
        <v>1509</v>
      </c>
      <c r="C397" s="12" t="s">
        <v>1752</v>
      </c>
      <c r="D397" s="12" t="s">
        <v>714</v>
      </c>
      <c r="E397" s="12" t="s">
        <v>1477</v>
      </c>
      <c r="F397" s="114" t="s">
        <v>1568</v>
      </c>
      <c r="G397" s="13">
        <v>45308</v>
      </c>
      <c r="H397" s="14">
        <f>11145.29/108.33</f>
        <v>102.88276562355766</v>
      </c>
      <c r="I397" s="14">
        <v>-26.56</v>
      </c>
      <c r="J397" s="8">
        <f>SUMIF(Journal!$A:$A,HeadJournal!$A397,Journal!$K:$K)+SUMIF(Journal!$A:$A,HeadJournal!$A397,Journal!$L:$L)+SUMIF(Journal!$A:$A,HeadJournal!$A397,Journal!$M:$M)</f>
        <v>108.32999999999998</v>
      </c>
      <c r="K397" s="14">
        <v>108.33</v>
      </c>
      <c r="L397" s="14">
        <f>(1469.28+1200+(2500-593))/3</f>
        <v>1525.4266666666665</v>
      </c>
      <c r="M397" s="8">
        <f>SUMIF(Journal!$A:$A,HeadJournal!$A397,Journal!$P:$P)</f>
        <v>12670.716666666667</v>
      </c>
      <c r="N397" s="8">
        <f>SUMIF(Journal!$A:$A,HeadJournal!$A397,Journal!Q:Q)</f>
        <v>20450</v>
      </c>
      <c r="O397" s="18">
        <f>SUMIF(Journal!$A:$A,HeadJournal!$A397,Journal!U:U)</f>
        <v>7779.283333333331</v>
      </c>
      <c r="P397" s="22">
        <f t="shared" si="55"/>
        <v>0.61395764249062446</v>
      </c>
      <c r="Q397" s="7" t="b">
        <f t="shared" ref="Q397:Q412" si="57">J397=K397</f>
        <v>1</v>
      </c>
      <c r="R397" s="73">
        <f t="shared" si="56"/>
        <v>0.12038992795724524</v>
      </c>
    </row>
    <row r="398" spans="1:18" x14ac:dyDescent="0.25">
      <c r="A398" s="12" t="s">
        <v>1243</v>
      </c>
      <c r="B398" s="12"/>
      <c r="C398" s="12" t="s">
        <v>1395</v>
      </c>
      <c r="D398" s="12" t="s">
        <v>714</v>
      </c>
      <c r="E398" s="12"/>
      <c r="F398" s="12"/>
      <c r="G398" s="13">
        <v>45304</v>
      </c>
      <c r="H398" s="14">
        <v>1</v>
      </c>
      <c r="I398" s="14">
        <v>0</v>
      </c>
      <c r="J398" s="8">
        <f>SUMIF(Journal!$A:$A,HeadJournal!$A398,Journal!$K:$K)+SUMIF(Journal!$A:$A,HeadJournal!$A398,Journal!$L:$L)+SUMIF(Journal!$A:$A,HeadJournal!$A398,Journal!$M:$M)</f>
        <v>3600.66</v>
      </c>
      <c r="K398" s="14">
        <v>3600.66</v>
      </c>
      <c r="L398" s="14">
        <f>1300/5-200</f>
        <v>60</v>
      </c>
      <c r="M398" s="8">
        <f>SUMIF(Journal!$A:$A,HeadJournal!$A398,Journal!$P:$P)</f>
        <v>3660.66</v>
      </c>
      <c r="N398" s="8">
        <f>SUMIF(Journal!$A:$A,HeadJournal!$A398,Journal!Q:Q)</f>
        <v>4800</v>
      </c>
      <c r="O398" s="18">
        <f>SUMIF(Journal!$A:$A,HeadJournal!$A398,Journal!U:U)</f>
        <v>1139.3400000000001</v>
      </c>
      <c r="P398" s="22">
        <f t="shared" si="55"/>
        <v>0.31123895690940984</v>
      </c>
      <c r="Q398" s="7" t="b">
        <f t="shared" si="57"/>
        <v>1</v>
      </c>
      <c r="R398" s="73">
        <f t="shared" si="56"/>
        <v>1.6390486961367624E-2</v>
      </c>
    </row>
    <row r="399" spans="1:18" x14ac:dyDescent="0.25">
      <c r="A399" s="12" t="s">
        <v>1244</v>
      </c>
      <c r="B399" s="12"/>
      <c r="C399" s="12" t="s">
        <v>1328</v>
      </c>
      <c r="D399" s="12" t="s">
        <v>714</v>
      </c>
      <c r="E399" s="12" t="s">
        <v>1477</v>
      </c>
      <c r="F399" s="12"/>
      <c r="G399" s="13">
        <v>45298</v>
      </c>
      <c r="H399" s="14">
        <v>1</v>
      </c>
      <c r="I399" s="14">
        <v>0</v>
      </c>
      <c r="J399" s="8">
        <f>SUMIF(Journal!$A:$A,HeadJournal!$A399,Journal!$K:$K)+SUMIF(Journal!$A:$A,HeadJournal!$A399,Journal!$L:$L)+SUMIF(Journal!$A:$A,HeadJournal!$A399,Journal!$M:$M)</f>
        <v>3664</v>
      </c>
      <c r="K399" s="14">
        <v>3664</v>
      </c>
      <c r="L399" s="14">
        <f>K399/SUM($K$399:$K$403)*1300</f>
        <v>147.47205795845073</v>
      </c>
      <c r="M399" s="8">
        <f>SUMIF(Journal!$A:$A,HeadJournal!$A399,Journal!$P:$P)</f>
        <v>3811.4720579584509</v>
      </c>
      <c r="N399" s="8">
        <f>SUMIF(Journal!$A:$A,HeadJournal!$A399,Journal!Q:Q)</f>
        <v>4500</v>
      </c>
      <c r="O399" s="18">
        <f>SUMIF(Journal!$A:$A,HeadJournal!$A399,Journal!U:U)</f>
        <v>688.52794204154907</v>
      </c>
      <c r="P399" s="22">
        <f t="shared" si="55"/>
        <v>0.18064619957107783</v>
      </c>
      <c r="Q399" s="7" t="b">
        <f t="shared" si="57"/>
        <v>1</v>
      </c>
      <c r="R399" s="73">
        <f t="shared" si="56"/>
        <v>3.8691627727015683E-2</v>
      </c>
    </row>
    <row r="400" spans="1:18" x14ac:dyDescent="0.25">
      <c r="A400" s="12" t="s">
        <v>1246</v>
      </c>
      <c r="B400" s="12"/>
      <c r="C400" s="12" t="s">
        <v>843</v>
      </c>
      <c r="D400" s="12" t="s">
        <v>714</v>
      </c>
      <c r="E400" s="12" t="s">
        <v>1477</v>
      </c>
      <c r="F400" s="12"/>
      <c r="G400" s="13">
        <v>45309</v>
      </c>
      <c r="H400" s="14">
        <v>1</v>
      </c>
      <c r="I400" s="14">
        <v>0</v>
      </c>
      <c r="J400" s="8">
        <f>SUMIF(Journal!$A:$A,HeadJournal!$A400,Journal!$K:$K)+SUMIF(Journal!$A:$A,HeadJournal!$A400,Journal!$L:$L)+SUMIF(Journal!$A:$A,HeadJournal!$A400,Journal!$M:$M)</f>
        <v>14454</v>
      </c>
      <c r="K400" s="14">
        <f>1305+1135+1148+965*4+1148+1135+1135+1148+1135+1305</f>
        <v>14454</v>
      </c>
      <c r="L400" s="14">
        <f>K400/SUM($K$399:$K$403)*1300</f>
        <v>581.75794916251277</v>
      </c>
      <c r="M400" s="8">
        <f>SUMIF(Journal!$A:$A,HeadJournal!$A400,Journal!$P:$P)</f>
        <v>15035.757949162515</v>
      </c>
      <c r="N400" s="8">
        <f>SUMIF(Journal!$A:$A,HeadJournal!$A400,Journal!Q:Q)</f>
        <v>22900</v>
      </c>
      <c r="O400" s="18">
        <f>SUMIF(Journal!$A:$A,HeadJournal!$A400,Journal!U:U)</f>
        <v>7864.2420508374871</v>
      </c>
      <c r="P400" s="22">
        <f t="shared" si="55"/>
        <v>0.52303595717803653</v>
      </c>
      <c r="Q400" s="7" t="b">
        <f t="shared" si="57"/>
        <v>1</v>
      </c>
      <c r="R400" s="73">
        <f t="shared" si="56"/>
        <v>3.8691627727015683E-2</v>
      </c>
    </row>
    <row r="401" spans="1:18" x14ac:dyDescent="0.25">
      <c r="A401" s="12" t="s">
        <v>1249</v>
      </c>
      <c r="B401" s="12"/>
      <c r="C401" s="12" t="s">
        <v>1380</v>
      </c>
      <c r="D401" s="12" t="s">
        <v>714</v>
      </c>
      <c r="E401" s="12" t="s">
        <v>1477</v>
      </c>
      <c r="F401" s="12"/>
      <c r="G401" s="13">
        <v>45287</v>
      </c>
      <c r="H401" s="14">
        <v>1</v>
      </c>
      <c r="I401" s="14">
        <v>0</v>
      </c>
      <c r="J401" s="8">
        <f>SUMIF(Journal!$A:$A,HeadJournal!$A401,Journal!$K:$K)+SUMIF(Journal!$A:$A,HeadJournal!$A401,Journal!$L:$L)+SUMIF(Journal!$A:$A,HeadJournal!$A401,Journal!$M:$M)</f>
        <v>2496</v>
      </c>
      <c r="K401" s="14">
        <v>2496</v>
      </c>
      <c r="L401" s="14">
        <f>K401/SUM($K$399:$K$403)*1300</f>
        <v>100.46131459178302</v>
      </c>
      <c r="M401" s="8">
        <f>SUMIF(Journal!$A:$A,HeadJournal!$A401,Journal!$P:$P)</f>
        <v>2596.4613145917829</v>
      </c>
      <c r="N401" s="8">
        <f>SUMIF(Journal!$A:$A,HeadJournal!$A401,Journal!Q:Q)</f>
        <v>5800</v>
      </c>
      <c r="O401" s="18">
        <f>SUMIF(Journal!$A:$A,HeadJournal!$A401,Journal!U:U)</f>
        <v>3203.5386854082171</v>
      </c>
      <c r="P401" s="22">
        <f t="shared" si="55"/>
        <v>1.2338095189035694</v>
      </c>
      <c r="Q401" s="7" t="b">
        <f t="shared" si="57"/>
        <v>1</v>
      </c>
      <c r="R401" s="73">
        <f t="shared" si="56"/>
        <v>3.8691627727015683E-2</v>
      </c>
    </row>
    <row r="402" spans="1:18" x14ac:dyDescent="0.25">
      <c r="A402" s="12" t="s">
        <v>1250</v>
      </c>
      <c r="B402" s="12"/>
      <c r="C402" s="12" t="s">
        <v>1380</v>
      </c>
      <c r="D402" s="12" t="s">
        <v>714</v>
      </c>
      <c r="E402" s="12" t="s">
        <v>1477</v>
      </c>
      <c r="F402" s="12"/>
      <c r="G402" s="13">
        <v>45290</v>
      </c>
      <c r="H402" s="14">
        <v>1</v>
      </c>
      <c r="I402" s="14">
        <v>0</v>
      </c>
      <c r="J402" s="8">
        <f>SUMIF(Journal!$A:$A,HeadJournal!$A402,Journal!$K:$K)+SUMIF(Journal!$A:$A,HeadJournal!$A402,Journal!$L:$L)+SUMIF(Journal!$A:$A,HeadJournal!$A402,Journal!$M:$M)</f>
        <v>4460</v>
      </c>
      <c r="K402" s="14">
        <v>4460</v>
      </c>
      <c r="L402" s="14">
        <f>K402/SUM($K$399:$K$403)*1300</f>
        <v>179.51020155422771</v>
      </c>
      <c r="M402" s="8">
        <f>SUMIF(Journal!$A:$A,HeadJournal!$A402,Journal!$P:$P)</f>
        <v>4639.5102015542279</v>
      </c>
      <c r="N402" s="8">
        <f>SUMIF(Journal!$A:$A,HeadJournal!$A402,Journal!Q:Q)</f>
        <v>8200</v>
      </c>
      <c r="O402" s="18">
        <f>SUMIF(Journal!$A:$A,HeadJournal!$A402,Journal!U:U)</f>
        <v>3560.4897984457721</v>
      </c>
      <c r="P402" s="22">
        <f t="shared" si="55"/>
        <v>0.76742794902207867</v>
      </c>
      <c r="Q402" s="7" t="b">
        <f t="shared" si="57"/>
        <v>1</v>
      </c>
      <c r="R402" s="73">
        <f t="shared" si="56"/>
        <v>3.869162772701569E-2</v>
      </c>
    </row>
    <row r="403" spans="1:18" x14ac:dyDescent="0.25">
      <c r="A403" s="12" t="s">
        <v>1251</v>
      </c>
      <c r="B403" s="12" t="s">
        <v>1510</v>
      </c>
      <c r="C403" s="12" t="s">
        <v>1501</v>
      </c>
      <c r="D403" s="12" t="s">
        <v>714</v>
      </c>
      <c r="E403" s="12" t="s">
        <v>1477</v>
      </c>
      <c r="F403" s="12"/>
      <c r="G403" s="13">
        <v>45305</v>
      </c>
      <c r="H403" s="14">
        <v>1</v>
      </c>
      <c r="I403" s="14">
        <v>0</v>
      </c>
      <c r="J403" s="8">
        <f>SUMIF(Journal!$A:$A,HeadJournal!$A403,Journal!$K:$K)+SUMIF(Journal!$A:$A,HeadJournal!$A403,Journal!$L:$L)+SUMIF(Journal!$A:$A,HeadJournal!$A403,Journal!$M:$M)</f>
        <v>7225</v>
      </c>
      <c r="K403" s="14">
        <f>7576-274-77</f>
        <v>7225</v>
      </c>
      <c r="L403" s="14">
        <f>(274+77)+K403/SUM($K$399:$K$403)*1300</f>
        <v>641.79847673302584</v>
      </c>
      <c r="M403" s="8">
        <f>SUMIF(Journal!$A:$A,HeadJournal!$A403,Journal!$P:$P)</f>
        <v>7866.7984767330263</v>
      </c>
      <c r="N403" s="8">
        <f>SUMIF(Journal!$A:$A,HeadJournal!$A403,Journal!Q:Q)</f>
        <v>6600</v>
      </c>
      <c r="O403" s="18">
        <f>SUMIF(Journal!$A:$A,HeadJournal!$A403,Journal!U:U)</f>
        <v>-1266.7984767330265</v>
      </c>
      <c r="P403" s="22">
        <f t="shared" si="55"/>
        <v>-0.16103100651169985</v>
      </c>
      <c r="Q403" s="7" t="b">
        <f t="shared" si="57"/>
        <v>1</v>
      </c>
      <c r="R403" s="73">
        <f t="shared" si="56"/>
        <v>8.1583185158641047E-2</v>
      </c>
    </row>
    <row r="404" spans="1:18" x14ac:dyDescent="0.25">
      <c r="A404" s="12" t="s">
        <v>1252</v>
      </c>
      <c r="B404" s="12"/>
      <c r="C404" s="12" t="s">
        <v>1359</v>
      </c>
      <c r="D404" s="12" t="s">
        <v>714</v>
      </c>
      <c r="E404" s="12" t="s">
        <v>1477</v>
      </c>
      <c r="F404" s="12"/>
      <c r="G404" s="13">
        <v>45314</v>
      </c>
      <c r="H404" s="14">
        <v>1</v>
      </c>
      <c r="I404" s="14">
        <v>0</v>
      </c>
      <c r="J404" s="8">
        <f>SUMIF(Journal!$A:$A,HeadJournal!$A404,Journal!$K:$K)+SUMIF(Journal!$A:$A,HeadJournal!$A404,Journal!$L:$L)+SUMIF(Journal!$A:$A,HeadJournal!$A404,Journal!$M:$M)</f>
        <v>4536</v>
      </c>
      <c r="K404" s="14">
        <v>4550</v>
      </c>
      <c r="L404" s="14">
        <v>0</v>
      </c>
      <c r="M404" s="8">
        <f>SUMIF(Journal!$A:$A,HeadJournal!$A404,Journal!$P:$P)</f>
        <v>4550</v>
      </c>
      <c r="N404" s="8">
        <f>SUMIF(Journal!$A:$A,HeadJournal!$A404,Journal!Q:Q)</f>
        <v>5700</v>
      </c>
      <c r="O404" s="18">
        <f>SUMIF(Journal!$A:$A,HeadJournal!$A404,Journal!U:U)</f>
        <v>1150</v>
      </c>
      <c r="P404" s="22">
        <f t="shared" si="55"/>
        <v>0.25274725274725274</v>
      </c>
      <c r="Q404" s="7" t="b">
        <f t="shared" si="57"/>
        <v>0</v>
      </c>
      <c r="R404" s="73">
        <f t="shared" si="56"/>
        <v>0</v>
      </c>
    </row>
    <row r="405" spans="1:18" x14ac:dyDescent="0.25">
      <c r="A405" s="12" t="s">
        <v>1254</v>
      </c>
      <c r="B405" s="12" t="s">
        <v>1500</v>
      </c>
      <c r="C405" s="12" t="s">
        <v>1501</v>
      </c>
      <c r="D405" s="12" t="s">
        <v>714</v>
      </c>
      <c r="E405" s="12" t="s">
        <v>1477</v>
      </c>
      <c r="F405" s="12"/>
      <c r="G405" s="13">
        <v>45285</v>
      </c>
      <c r="H405" s="14">
        <v>1</v>
      </c>
      <c r="I405" s="14">
        <v>0</v>
      </c>
      <c r="J405" s="8">
        <f>SUMIF(Journal!$A:$A,HeadJournal!$A405,Journal!$K:$K)+SUMIF(Journal!$A:$A,HeadJournal!$A405,Journal!$L:$L)+SUMIF(Journal!$A:$A,HeadJournal!$A405,Journal!$M:$M)</f>
        <v>7800</v>
      </c>
      <c r="K405" s="14">
        <f>1560*4</f>
        <v>6240</v>
      </c>
      <c r="L405" s="14">
        <v>0</v>
      </c>
      <c r="M405" s="8">
        <f>SUMIF(Journal!$A:$A,HeadJournal!$A405,Journal!$P:$P)</f>
        <v>6240</v>
      </c>
      <c r="N405" s="8">
        <f>SUMIF(Journal!$A:$A,HeadJournal!$A405,Journal!Q:Q)</f>
        <v>9080</v>
      </c>
      <c r="O405" s="18">
        <f>SUMIF(Journal!$A:$A,HeadJournal!$A405,Journal!U:U)</f>
        <v>2840</v>
      </c>
      <c r="P405" s="22">
        <f t="shared" si="55"/>
        <v>0.45512820512820512</v>
      </c>
      <c r="Q405" s="7" t="b">
        <f t="shared" si="57"/>
        <v>0</v>
      </c>
      <c r="R405" s="73">
        <f t="shared" si="56"/>
        <v>0</v>
      </c>
    </row>
    <row r="406" spans="1:18" x14ac:dyDescent="0.25">
      <c r="A406" s="12" t="s">
        <v>1255</v>
      </c>
      <c r="B406" s="12"/>
      <c r="C406" s="12" t="s">
        <v>1380</v>
      </c>
      <c r="D406" s="12" t="s">
        <v>714</v>
      </c>
      <c r="E406" s="12" t="s">
        <v>1477</v>
      </c>
      <c r="F406" s="12"/>
      <c r="G406" s="13">
        <v>45314</v>
      </c>
      <c r="H406" s="14">
        <v>1</v>
      </c>
      <c r="I406" s="14">
        <v>0</v>
      </c>
      <c r="J406" s="8">
        <f>SUMIF(Journal!$A:$A,HeadJournal!$A406,Journal!$K:$K)+SUMIF(Journal!$A:$A,HeadJournal!$A406,Journal!$L:$L)+SUMIF(Journal!$A:$A,HeadJournal!$A406,Journal!$M:$M)</f>
        <v>2116</v>
      </c>
      <c r="K406" s="14">
        <v>2116</v>
      </c>
      <c r="L406" s="14">
        <f>1300/5</f>
        <v>260</v>
      </c>
      <c r="M406" s="8">
        <f>SUMIF(Journal!$A:$A,HeadJournal!$A406,Journal!$P:$P)</f>
        <v>2376</v>
      </c>
      <c r="N406" s="8">
        <f>SUMIF(Journal!$A:$A,HeadJournal!$A406,Journal!Q:Q)</f>
        <v>3000</v>
      </c>
      <c r="O406" s="18">
        <f>SUMIF(Journal!$A:$A,HeadJournal!$A406,Journal!U:U)</f>
        <v>624</v>
      </c>
      <c r="P406" s="22">
        <f t="shared" si="55"/>
        <v>0.26262626262626265</v>
      </c>
      <c r="Q406" s="7" t="b">
        <f t="shared" si="57"/>
        <v>1</v>
      </c>
      <c r="R406" s="73">
        <f t="shared" si="56"/>
        <v>0.10942760942760943</v>
      </c>
    </row>
    <row r="407" spans="1:18" x14ac:dyDescent="0.25">
      <c r="A407" s="12" t="s">
        <v>1257</v>
      </c>
      <c r="B407" s="12"/>
      <c r="C407" s="12" t="s">
        <v>1380</v>
      </c>
      <c r="D407" s="12" t="s">
        <v>714</v>
      </c>
      <c r="E407" s="12" t="s">
        <v>1477</v>
      </c>
      <c r="F407" s="12"/>
      <c r="G407" s="13">
        <v>45314</v>
      </c>
      <c r="H407" s="14">
        <v>1</v>
      </c>
      <c r="I407" s="14">
        <v>0</v>
      </c>
      <c r="J407" s="8">
        <f>SUMIF(Journal!$A:$A,HeadJournal!$A407,Journal!$K:$K)+SUMIF(Journal!$A:$A,HeadJournal!$A407,Journal!$L:$L)+SUMIF(Journal!$A:$A,HeadJournal!$A407,Journal!$M:$M)</f>
        <v>4610</v>
      </c>
      <c r="K407" s="14">
        <v>4610</v>
      </c>
      <c r="L407" s="14">
        <f>1300/5</f>
        <v>260</v>
      </c>
      <c r="M407" s="8">
        <f>SUMIF(Journal!$A:$A,HeadJournal!$A407,Journal!$P:$P)</f>
        <v>4870</v>
      </c>
      <c r="N407" s="8">
        <f>SUMIF(Journal!$A:$A,HeadJournal!$A407,Journal!Q:Q)</f>
        <v>8000</v>
      </c>
      <c r="O407" s="18">
        <f>SUMIF(Journal!$A:$A,HeadJournal!$A407,Journal!U:U)</f>
        <v>3130</v>
      </c>
      <c r="P407" s="22">
        <f t="shared" si="55"/>
        <v>0.64271047227926081</v>
      </c>
      <c r="Q407" s="7" t="b">
        <f t="shared" si="57"/>
        <v>1</v>
      </c>
      <c r="R407" s="73">
        <f t="shared" si="56"/>
        <v>5.3388090349075976E-2</v>
      </c>
    </row>
    <row r="408" spans="1:18" x14ac:dyDescent="0.25">
      <c r="A408" s="12" t="s">
        <v>1258</v>
      </c>
      <c r="B408" s="12"/>
      <c r="C408" s="12" t="s">
        <v>1380</v>
      </c>
      <c r="D408" s="12" t="s">
        <v>714</v>
      </c>
      <c r="E408" s="12" t="s">
        <v>1477</v>
      </c>
      <c r="F408" s="12"/>
      <c r="G408" s="13">
        <v>45317</v>
      </c>
      <c r="H408" s="14">
        <v>1</v>
      </c>
      <c r="I408" s="14">
        <v>0</v>
      </c>
      <c r="J408" s="8">
        <f>SUMIF(Journal!$A:$A,HeadJournal!$A408,Journal!$K:$K)+SUMIF(Journal!$A:$A,HeadJournal!$A408,Journal!$L:$L)+SUMIF(Journal!$A:$A,HeadJournal!$A408,Journal!$M:$M)</f>
        <v>696</v>
      </c>
      <c r="K408" s="14">
        <v>696</v>
      </c>
      <c r="L408" s="14">
        <f>1300/5</f>
        <v>260</v>
      </c>
      <c r="M408" s="8">
        <f>SUMIF(Journal!$A:$A,HeadJournal!$A408,Journal!$P:$P)</f>
        <v>956</v>
      </c>
      <c r="N408" s="8">
        <f>SUMIF(Journal!$A:$A,HeadJournal!$A408,Journal!Q:Q)</f>
        <v>1600</v>
      </c>
      <c r="O408" s="18">
        <f>SUMIF(Journal!$A:$A,HeadJournal!$A408,Journal!U:U)</f>
        <v>644</v>
      </c>
      <c r="P408" s="22">
        <f t="shared" si="55"/>
        <v>0.67364016736401677</v>
      </c>
      <c r="Q408" s="7" t="b">
        <f t="shared" si="57"/>
        <v>1</v>
      </c>
      <c r="R408" s="73">
        <f t="shared" si="56"/>
        <v>0.27196652719665271</v>
      </c>
    </row>
    <row r="409" spans="1:18" x14ac:dyDescent="0.25">
      <c r="A409" s="12" t="s">
        <v>1260</v>
      </c>
      <c r="B409" s="12"/>
      <c r="C409" s="12" t="s">
        <v>843</v>
      </c>
      <c r="D409" s="12" t="s">
        <v>714</v>
      </c>
      <c r="E409" s="12" t="s">
        <v>1477</v>
      </c>
      <c r="F409" s="12"/>
      <c r="G409" s="13">
        <v>45317</v>
      </c>
      <c r="H409" s="14">
        <v>1</v>
      </c>
      <c r="I409" s="14">
        <v>0</v>
      </c>
      <c r="J409" s="8">
        <f>SUMIF(Journal!$A:$A,HeadJournal!$A409,Journal!$K:$K)+SUMIF(Journal!$A:$A,HeadJournal!$A409,Journal!$L:$L)+SUMIF(Journal!$A:$A,HeadJournal!$A409,Journal!$M:$M)</f>
        <v>6478</v>
      </c>
      <c r="K409" s="14">
        <f>1153+996+861+615+996+861+996</f>
        <v>6478</v>
      </c>
      <c r="L409" s="14">
        <f>1300/5</f>
        <v>260</v>
      </c>
      <c r="M409" s="8">
        <f>SUMIF(Journal!$A:$A,HeadJournal!$A409,Journal!$P:$P)</f>
        <v>6738</v>
      </c>
      <c r="N409" s="8">
        <f>SUMIF(Journal!$A:$A,HeadJournal!$A409,Journal!Q:Q)</f>
        <v>10000</v>
      </c>
      <c r="O409" s="18">
        <f>SUMIF(Journal!$A:$A,HeadJournal!$A409,Journal!U:U)</f>
        <v>3261.9999999999995</v>
      </c>
      <c r="P409" s="22">
        <f t="shared" si="55"/>
        <v>0.48411991688928457</v>
      </c>
      <c r="Q409" s="7" t="b">
        <f t="shared" si="57"/>
        <v>1</v>
      </c>
      <c r="R409" s="73">
        <f t="shared" si="56"/>
        <v>3.8587117839121401E-2</v>
      </c>
    </row>
    <row r="410" spans="1:18" x14ac:dyDescent="0.25">
      <c r="A410" s="12" t="s">
        <v>1263</v>
      </c>
      <c r="B410" s="12" t="s">
        <v>1511</v>
      </c>
      <c r="C410" s="12" t="s">
        <v>1501</v>
      </c>
      <c r="D410" s="12" t="s">
        <v>714</v>
      </c>
      <c r="E410" s="12" t="s">
        <v>1477</v>
      </c>
      <c r="F410" s="12"/>
      <c r="G410" s="13">
        <v>45315</v>
      </c>
      <c r="H410" s="14">
        <v>1</v>
      </c>
      <c r="I410" s="14">
        <v>0</v>
      </c>
      <c r="J410" s="8">
        <f>SUMIF(Journal!$A:$A,HeadJournal!$A410,Journal!$K:$K)+SUMIF(Journal!$A:$A,HeadJournal!$A410,Journal!$L:$L)+SUMIF(Journal!$A:$A,HeadJournal!$A410,Journal!$M:$M)</f>
        <v>4305.54</v>
      </c>
      <c r="K410" s="14">
        <f>4828.54-48-475</f>
        <v>4305.54</v>
      </c>
      <c r="L410" s="14">
        <f>48+475</f>
        <v>523</v>
      </c>
      <c r="M410" s="8">
        <f>SUMIF(Journal!$A:$A,HeadJournal!$A410,Journal!$P:$P)</f>
        <v>4828.54</v>
      </c>
      <c r="N410" s="8">
        <f>SUMIF(Journal!$A:$A,HeadJournal!$A410,Journal!Q:Q)</f>
        <v>4400</v>
      </c>
      <c r="O410" s="18">
        <f>SUMIF(Journal!$A:$A,HeadJournal!$A410,Journal!U:U)</f>
        <v>-428.53999999999974</v>
      </c>
      <c r="P410" s="22">
        <f t="shared" si="55"/>
        <v>-8.8751465246223446E-2</v>
      </c>
      <c r="Q410" s="7" t="b">
        <f t="shared" si="57"/>
        <v>1</v>
      </c>
      <c r="R410" s="73">
        <f t="shared" si="56"/>
        <v>0.10831431447186934</v>
      </c>
    </row>
    <row r="411" spans="1:18" x14ac:dyDescent="0.25">
      <c r="A411" s="12" t="s">
        <v>1269</v>
      </c>
      <c r="B411" s="12" t="s">
        <v>1512</v>
      </c>
      <c r="C411" s="12" t="s">
        <v>1501</v>
      </c>
      <c r="D411" s="12" t="s">
        <v>714</v>
      </c>
      <c r="E411" s="12" t="s">
        <v>1477</v>
      </c>
      <c r="F411" s="12"/>
      <c r="G411" s="13">
        <v>45316</v>
      </c>
      <c r="H411" s="14">
        <v>1</v>
      </c>
      <c r="I411" s="14">
        <v>0</v>
      </c>
      <c r="J411" s="8">
        <f>SUMIF(Journal!$A:$A,HeadJournal!$A411,Journal!$K:$K)+SUMIF(Journal!$A:$A,HeadJournal!$A411,Journal!$L:$L)+SUMIF(Journal!$A:$A,HeadJournal!$A411,Journal!$M:$M)</f>
        <v>6595</v>
      </c>
      <c r="K411" s="14">
        <f>6661-66-330</f>
        <v>6265</v>
      </c>
      <c r="L411" s="14">
        <f>66+330</f>
        <v>396</v>
      </c>
      <c r="M411" s="8">
        <f>SUMIF(Journal!$A:$A,HeadJournal!$A411,Journal!$P:$P)</f>
        <v>6661</v>
      </c>
      <c r="N411" s="8">
        <f>SUMIF(Journal!$A:$A,HeadJournal!$A411,Journal!Q:Q)</f>
        <v>9394.86</v>
      </c>
      <c r="O411" s="18">
        <f>SUMIF(Journal!$A:$A,HeadJournal!$A411,Journal!U:U)</f>
        <v>2733.8600000000006</v>
      </c>
      <c r="P411" s="22">
        <f t="shared" si="55"/>
        <v>0.41042786368413159</v>
      </c>
      <c r="Q411" s="7" t="b">
        <f t="shared" si="57"/>
        <v>0</v>
      </c>
      <c r="R411" s="73">
        <f t="shared" si="56"/>
        <v>5.945053295301006E-2</v>
      </c>
    </row>
    <row r="412" spans="1:18" x14ac:dyDescent="0.25">
      <c r="A412" s="12" t="s">
        <v>1273</v>
      </c>
      <c r="B412" s="12" t="s">
        <v>1513</v>
      </c>
      <c r="C412" s="12" t="s">
        <v>1514</v>
      </c>
      <c r="D412" s="12" t="s">
        <v>714</v>
      </c>
      <c r="E412" s="12" t="s">
        <v>1477</v>
      </c>
      <c r="F412" s="12"/>
      <c r="G412" s="13">
        <v>45315</v>
      </c>
      <c r="H412" s="14">
        <v>1</v>
      </c>
      <c r="I412" s="14">
        <v>0</v>
      </c>
      <c r="J412" s="8">
        <f>SUMIF(Journal!$A:$A,HeadJournal!$A412,Journal!$K:$K)+SUMIF(Journal!$A:$A,HeadJournal!$A412,Journal!$L:$L)+SUMIF(Journal!$A:$A,HeadJournal!$A412,Journal!$M:$M)</f>
        <v>17730</v>
      </c>
      <c r="K412" s="14">
        <v>17730</v>
      </c>
      <c r="L412" s="14">
        <f>177+1305</f>
        <v>1482</v>
      </c>
      <c r="M412" s="8">
        <f>SUMIF(Journal!$A:$A,HeadJournal!$A412,Journal!$P:$P)</f>
        <v>19212</v>
      </c>
      <c r="N412" s="8">
        <f>SUMIF(Journal!$A:$A,HeadJournal!$A412,Journal!Q:Q)</f>
        <v>18750</v>
      </c>
      <c r="O412" s="18">
        <f>SUMIF(Journal!$A:$A,HeadJournal!$A412,Journal!U:U)</f>
        <v>-461.99999999999977</v>
      </c>
      <c r="P412" s="22">
        <f t="shared" si="55"/>
        <v>-2.4047470331043087E-2</v>
      </c>
      <c r="Q412" s="7" t="b">
        <f t="shared" si="57"/>
        <v>1</v>
      </c>
      <c r="R412" s="73">
        <f t="shared" si="56"/>
        <v>7.7139287945034357E-2</v>
      </c>
    </row>
    <row r="413" spans="1:18" x14ac:dyDescent="0.25">
      <c r="A413" s="12" t="s">
        <v>1282</v>
      </c>
      <c r="B413" s="124" t="s">
        <v>1515</v>
      </c>
      <c r="C413" s="12" t="s">
        <v>1735</v>
      </c>
      <c r="D413" s="12" t="s">
        <v>714</v>
      </c>
      <c r="E413" s="12" t="s">
        <v>1477</v>
      </c>
      <c r="F413" s="124" t="s">
        <v>1568</v>
      </c>
      <c r="G413" s="13">
        <v>45313</v>
      </c>
      <c r="H413" s="14">
        <f>27028.06/267.61</f>
        <v>100.9979447703748</v>
      </c>
      <c r="I413" s="14">
        <v>-10.48</v>
      </c>
      <c r="J413" s="8">
        <f>SUMIF(Journal!$A:$A,HeadJournal!$A413,Journal!$K:$K)+SUMIF(Journal!$A:$A,HeadJournal!$A413,Journal!$L:$L)+SUMIF(Journal!$A:$A,HeadJournal!$A413,Journal!$M:$M)</f>
        <v>267.61</v>
      </c>
      <c r="K413" s="14">
        <v>267.61</v>
      </c>
      <c r="L413" s="14">
        <f>(1469.28+1200+(2500-593))/3</f>
        <v>1525.4266666666665</v>
      </c>
      <c r="M413" s="8">
        <f>SUMIF(Journal!$A:$A,HeadJournal!$A413,Journal!$P:$P)</f>
        <v>28553.486666666675</v>
      </c>
      <c r="N413" s="8">
        <f>SUMIF(Journal!$A:$A,HeadJournal!$A413,Journal!Q:Q)</f>
        <v>42000</v>
      </c>
      <c r="O413" s="18">
        <f>SUMIF(Journal!$A:$A,HeadJournal!$A413,Journal!U:U)</f>
        <v>13446.513333333332</v>
      </c>
      <c r="P413" s="22">
        <f t="shared" si="55"/>
        <v>0.47092369104718779</v>
      </c>
      <c r="R413" s="73">
        <f t="shared" si="56"/>
        <v>5.3423481498931925E-2</v>
      </c>
    </row>
    <row r="414" spans="1:18" x14ac:dyDescent="0.25">
      <c r="A414" s="12" t="s">
        <v>1287</v>
      </c>
      <c r="B414" s="124" t="s">
        <v>1516</v>
      </c>
      <c r="C414" s="12" t="s">
        <v>1737</v>
      </c>
      <c r="D414" s="12" t="s">
        <v>714</v>
      </c>
      <c r="E414" s="12" t="s">
        <v>1477</v>
      </c>
      <c r="F414" s="124" t="s">
        <v>1569</v>
      </c>
      <c r="G414" s="13">
        <v>45322</v>
      </c>
      <c r="H414" s="14">
        <f>23743.39/234.85</f>
        <v>101.10023419203748</v>
      </c>
      <c r="I414" s="14">
        <v>-12.16</v>
      </c>
      <c r="J414" s="8">
        <f>SUMIF(Journal!$A:$A,HeadJournal!$A414,Journal!$K:$K)+SUMIF(Journal!$A:$A,HeadJournal!$A414,Journal!$L:$L)+SUMIF(Journal!$A:$A,HeadJournal!$A414,Journal!$M:$M)</f>
        <v>234.84999999999991</v>
      </c>
      <c r="K414" s="14">
        <v>234.85</v>
      </c>
      <c r="L414" s="14">
        <f>(1234.76+1000+1900)/2</f>
        <v>2067.38</v>
      </c>
      <c r="M414" s="8">
        <f>SUMIF(Journal!$A:$A,HeadJournal!$A414,Journal!$P:$P)</f>
        <v>25810.770000000008</v>
      </c>
      <c r="N414" s="8">
        <f>SUMIF(Journal!$A:$A,HeadJournal!$A414,Journal!Q:Q)</f>
        <v>36050</v>
      </c>
      <c r="O414" s="18">
        <f>SUMIF(Journal!$A:$A,HeadJournal!$A414,Journal!U:U)</f>
        <v>10239.22999999999</v>
      </c>
      <c r="P414" s="22">
        <f t="shared" si="55"/>
        <v>0.3967037790813675</v>
      </c>
      <c r="R414" s="73">
        <f t="shared" si="56"/>
        <v>8.0097571672600218E-2</v>
      </c>
    </row>
    <row r="415" spans="1:18" x14ac:dyDescent="0.25">
      <c r="A415" s="12" t="s">
        <v>1289</v>
      </c>
      <c r="B415" s="124" t="s">
        <v>1517</v>
      </c>
      <c r="C415" s="12" t="s">
        <v>1751</v>
      </c>
      <c r="D415" s="12" t="s">
        <v>714</v>
      </c>
      <c r="E415" s="12" t="s">
        <v>1477</v>
      </c>
      <c r="F415" s="124" t="s">
        <v>1569</v>
      </c>
      <c r="G415" s="13">
        <v>45319</v>
      </c>
      <c r="H415" s="14">
        <f>32066.42/316.4</f>
        <v>101.34772439949431</v>
      </c>
      <c r="I415" s="14">
        <v>-25.01</v>
      </c>
      <c r="J415" s="8">
        <f>SUMIF(Journal!$A:$A,HeadJournal!$A415,Journal!$K:$K)+SUMIF(Journal!$A:$A,HeadJournal!$A415,Journal!$L:$L)+SUMIF(Journal!$A:$A,HeadJournal!$A415,Journal!$M:$M)</f>
        <v>316.40000000000003</v>
      </c>
      <c r="K415" s="14">
        <v>316.39999999999998</v>
      </c>
      <c r="L415" s="14">
        <f>(1234.76+1000+1900)/2</f>
        <v>2067.38</v>
      </c>
      <c r="M415" s="8">
        <f>SUMIF(Journal!$A:$A,HeadJournal!$A415,Journal!$P:$P)</f>
        <v>34133.799999999996</v>
      </c>
      <c r="N415" s="8">
        <f>SUMIF(Journal!$A:$A,HeadJournal!$A415,Journal!Q:Q)</f>
        <v>50626.7</v>
      </c>
      <c r="O415" s="18">
        <f>SUMIF(Journal!$A:$A,HeadJournal!$A415,Journal!U:U)</f>
        <v>16492.900000000001</v>
      </c>
      <c r="P415" s="22">
        <f t="shared" si="55"/>
        <v>0.48318382365866103</v>
      </c>
      <c r="R415" s="73">
        <f t="shared" si="56"/>
        <v>6.0566945373793729E-2</v>
      </c>
    </row>
    <row r="416" spans="1:18" x14ac:dyDescent="0.25">
      <c r="A416" s="12" t="s">
        <v>1570</v>
      </c>
      <c r="B416" s="124" t="s">
        <v>1571</v>
      </c>
      <c r="C416" s="12" t="s">
        <v>1751</v>
      </c>
      <c r="D416" s="12" t="s">
        <v>714</v>
      </c>
      <c r="E416" s="12" t="s">
        <v>1477</v>
      </c>
      <c r="F416" s="124" t="s">
        <v>1633</v>
      </c>
      <c r="G416" s="13">
        <v>45329</v>
      </c>
      <c r="H416" s="14">
        <f>27762.8/275.9</f>
        <v>100.62631388184126</v>
      </c>
      <c r="I416" s="14">
        <v>0</v>
      </c>
      <c r="J416" s="8">
        <f>SUMIF(Journal!$A:$A,HeadJournal!$A416,Journal!$K:$K)+SUMIF(Journal!$A:$A,HeadJournal!$A416,Journal!$L:$L)+SUMIF(Journal!$A:$A,HeadJournal!$A416,Journal!$M:$M)</f>
        <v>275.89999999999998</v>
      </c>
      <c r="K416" s="14">
        <v>275.89999999999998</v>
      </c>
      <c r="L416" s="14">
        <f>(1352+1900+1100)/2</f>
        <v>2176</v>
      </c>
      <c r="M416" s="8">
        <f>SUMIF(Journal!$A:$A,HeadJournal!$A416,Journal!$P:$P)</f>
        <v>29938.800000000003</v>
      </c>
      <c r="N416" s="8">
        <f>SUMIF(Journal!$A:$A,HeadJournal!$A416,Journal!Q:Q)</f>
        <v>42200</v>
      </c>
      <c r="O416" s="18">
        <f>SUMIF(Journal!$A:$A,HeadJournal!$A416,Journal!U:U)</f>
        <v>12261.2</v>
      </c>
      <c r="P416" s="22">
        <f t="shared" si="55"/>
        <v>0.40954213261720573</v>
      </c>
      <c r="R416" s="73">
        <f t="shared" si="56"/>
        <v>7.2681603805095724E-2</v>
      </c>
    </row>
    <row r="417" spans="1:18" x14ac:dyDescent="0.25">
      <c r="A417" s="12" t="s">
        <v>1572</v>
      </c>
      <c r="B417" s="114" t="s">
        <v>1573</v>
      </c>
      <c r="C417" s="12" t="s">
        <v>1737</v>
      </c>
      <c r="D417" s="12" t="s">
        <v>714</v>
      </c>
      <c r="E417" s="12" t="s">
        <v>1477</v>
      </c>
      <c r="F417" s="114" t="s">
        <v>1633</v>
      </c>
      <c r="G417" s="13">
        <v>45331</v>
      </c>
      <c r="H417" s="14">
        <f>30872.83/305.75</f>
        <v>100.97409648405561</v>
      </c>
      <c r="I417" s="14">
        <v>-10.91</v>
      </c>
      <c r="J417" s="8">
        <f>SUMIF(Journal!$A:$A,HeadJournal!$A417,Journal!$K:$K)+SUMIF(Journal!$A:$A,HeadJournal!$A417,Journal!$L:$L)+SUMIF(Journal!$A:$A,HeadJournal!$A417,Journal!$M:$M)</f>
        <v>305.74999999999983</v>
      </c>
      <c r="K417" s="14">
        <v>305.75</v>
      </c>
      <c r="L417" s="14">
        <f>(1352+1900+1100)/2</f>
        <v>2176</v>
      </c>
      <c r="M417" s="8">
        <f>SUMIF(Journal!$A:$A,HeadJournal!$A417,Journal!$P:$P)</f>
        <v>33048.830000000024</v>
      </c>
      <c r="N417" s="8">
        <f>SUMIF(Journal!$A:$A,HeadJournal!$A417,Journal!Q:Q)</f>
        <v>44370.89</v>
      </c>
      <c r="O417" s="18">
        <f>SUMIF(Journal!$A:$A,HeadJournal!$A417,Journal!U:U)</f>
        <v>11322.059999999981</v>
      </c>
      <c r="P417" s="22">
        <f t="shared" si="55"/>
        <v>0.3425858040965436</v>
      </c>
      <c r="R417" s="73">
        <f t="shared" si="56"/>
        <v>6.5841967779192143E-2</v>
      </c>
    </row>
    <row r="418" spans="1:18" x14ac:dyDescent="0.25">
      <c r="A418" s="12" t="s">
        <v>1574</v>
      </c>
      <c r="B418" s="114" t="s">
        <v>1575</v>
      </c>
      <c r="C418" s="12" t="s">
        <v>1752</v>
      </c>
      <c r="D418" s="12" t="s">
        <v>714</v>
      </c>
      <c r="E418" s="12" t="s">
        <v>1477</v>
      </c>
      <c r="F418" s="114" t="s">
        <v>1634</v>
      </c>
      <c r="G418" s="13">
        <v>45336</v>
      </c>
      <c r="H418" s="14">
        <f>22574.9/222.86</f>
        <v>101.29632953423675</v>
      </c>
      <c r="I418" s="14">
        <v>-15.95</v>
      </c>
      <c r="J418" s="8">
        <f>SUMIF(Journal!$A:$A,HeadJournal!$A418,Journal!$K:$K)+SUMIF(Journal!$A:$A,HeadJournal!$A418,Journal!$L:$L)+SUMIF(Journal!$A:$A,HeadJournal!$A418,Journal!$M:$M)</f>
        <v>222.85999999999996</v>
      </c>
      <c r="K418" s="14">
        <v>222.86</v>
      </c>
      <c r="L418" s="14">
        <f>(1000+1234.76)/2</f>
        <v>1117.3800000000001</v>
      </c>
      <c r="M418" s="8">
        <f>SUMIF(Journal!$A:$A,HeadJournal!$A418,Journal!$P:$P)</f>
        <v>23692.280000000006</v>
      </c>
      <c r="N418" s="8">
        <f>SUMIF(Journal!$A:$A,HeadJournal!$A418,Journal!Q:Q)</f>
        <v>35100</v>
      </c>
      <c r="O418" s="18">
        <f>SUMIF(Journal!$A:$A,HeadJournal!$A418,Journal!U:U)</f>
        <v>11407.719999999998</v>
      </c>
      <c r="P418" s="22">
        <f t="shared" si="55"/>
        <v>0.48149523811131706</v>
      </c>
      <c r="Q418" s="7" t="b">
        <f t="shared" ref="Q418:Q427" si="58">J418=K418</f>
        <v>1</v>
      </c>
      <c r="R418" s="73">
        <f t="shared" si="56"/>
        <v>4.716219798178984E-2</v>
      </c>
    </row>
    <row r="419" spans="1:18" x14ac:dyDescent="0.25">
      <c r="A419" s="12" t="s">
        <v>1591</v>
      </c>
      <c r="B419" s="12"/>
      <c r="C419" s="12" t="s">
        <v>1592</v>
      </c>
      <c r="D419" s="12" t="s">
        <v>714</v>
      </c>
      <c r="E419" s="12" t="s">
        <v>1477</v>
      </c>
      <c r="F419" s="12"/>
      <c r="G419" s="13">
        <v>45344</v>
      </c>
      <c r="H419" s="14">
        <v>1</v>
      </c>
      <c r="I419" s="14">
        <v>0</v>
      </c>
      <c r="J419" s="8">
        <f>SUMIF(Journal!$A:$A,HeadJournal!$A419,Journal!$K:$K)+SUMIF(Journal!$A:$A,HeadJournal!$A419,Journal!$L:$L)+SUMIF(Journal!$A:$A,HeadJournal!$A419,Journal!$M:$M)</f>
        <v>15090</v>
      </c>
      <c r="K419" s="14">
        <v>15090</v>
      </c>
      <c r="L419" s="14">
        <f>(2500-593)/5</f>
        <v>381.4</v>
      </c>
      <c r="M419" s="8">
        <f>SUMIF(Journal!$A:$A,HeadJournal!$A419,Journal!$P:$P)</f>
        <v>15471.4</v>
      </c>
      <c r="N419" s="8">
        <f>SUMIF(Journal!$A:$A,HeadJournal!$A419,Journal!Q:Q)</f>
        <v>21300</v>
      </c>
      <c r="O419" s="18">
        <f>SUMIF(Journal!$A:$A,HeadJournal!$A419,Journal!U:U)</f>
        <v>5828.6000000000013</v>
      </c>
      <c r="P419" s="22">
        <f t="shared" si="55"/>
        <v>0.3767338443838309</v>
      </c>
      <c r="Q419" s="7" t="b">
        <f t="shared" si="58"/>
        <v>1</v>
      </c>
      <c r="R419" s="73">
        <f t="shared" si="56"/>
        <v>2.4651938415398734E-2</v>
      </c>
    </row>
    <row r="420" spans="1:18" x14ac:dyDescent="0.25">
      <c r="A420" s="12" t="s">
        <v>1593</v>
      </c>
      <c r="B420" s="12"/>
      <c r="C420" s="12" t="s">
        <v>1592</v>
      </c>
      <c r="D420" s="12" t="s">
        <v>714</v>
      </c>
      <c r="E420" s="12" t="s">
        <v>1477</v>
      </c>
      <c r="F420" s="12"/>
      <c r="G420" s="13">
        <v>45344</v>
      </c>
      <c r="H420" s="14">
        <v>1</v>
      </c>
      <c r="I420" s="14">
        <v>0</v>
      </c>
      <c r="J420" s="8">
        <f>SUMIF(Journal!$A:$A,HeadJournal!$A420,Journal!$K:$K)+SUMIF(Journal!$A:$A,HeadJournal!$A420,Journal!$L:$L)+SUMIF(Journal!$A:$A,HeadJournal!$A420,Journal!$M:$M)</f>
        <v>16126</v>
      </c>
      <c r="K420" s="14">
        <v>16126</v>
      </c>
      <c r="L420" s="14">
        <f>(2500-593)/5</f>
        <v>381.4</v>
      </c>
      <c r="M420" s="8">
        <f>SUMIF(Journal!$A:$A,HeadJournal!$A420,Journal!$P:$P)</f>
        <v>16507.400000000001</v>
      </c>
      <c r="N420" s="8">
        <f>SUMIF(Journal!$A:$A,HeadJournal!$A420,Journal!Q:Q)</f>
        <v>21500</v>
      </c>
      <c r="O420" s="18">
        <f>SUMIF(Journal!$A:$A,HeadJournal!$A420,Journal!U:U)</f>
        <v>4992.5999999999995</v>
      </c>
      <c r="P420" s="22">
        <f t="shared" si="55"/>
        <v>0.30244617565455489</v>
      </c>
      <c r="Q420" s="7" t="b">
        <f t="shared" si="58"/>
        <v>1</v>
      </c>
      <c r="R420" s="73">
        <f t="shared" si="56"/>
        <v>2.3104789367192891E-2</v>
      </c>
    </row>
    <row r="421" spans="1:18" x14ac:dyDescent="0.25">
      <c r="A421" s="12" t="s">
        <v>1607</v>
      </c>
      <c r="B421" s="12"/>
      <c r="C421" s="12" t="s">
        <v>1380</v>
      </c>
      <c r="D421" s="12" t="s">
        <v>714</v>
      </c>
      <c r="E421" s="12" t="s">
        <v>1477</v>
      </c>
      <c r="F421" s="12"/>
      <c r="G421" s="13">
        <v>45320</v>
      </c>
      <c r="H421" s="14">
        <v>1</v>
      </c>
      <c r="I421" s="14">
        <v>0</v>
      </c>
      <c r="J421" s="8">
        <f>SUMIF(Journal!$A:$A,HeadJournal!$A421,Journal!$K:$K)+SUMIF(Journal!$A:$A,HeadJournal!$A421,Journal!$L:$L)+SUMIF(Journal!$A:$A,HeadJournal!$A421,Journal!$M:$M)</f>
        <v>630</v>
      </c>
      <c r="K421" s="14">
        <v>630</v>
      </c>
      <c r="L421" s="14">
        <v>0</v>
      </c>
      <c r="M421" s="8">
        <f>SUMIF(Journal!$A:$A,HeadJournal!$A421,Journal!$P:$P)</f>
        <v>630</v>
      </c>
      <c r="N421" s="8">
        <f>SUMIF(Journal!$A:$A,HeadJournal!$A421,Journal!Q:Q)</f>
        <v>0</v>
      </c>
      <c r="O421" s="18">
        <f>SUMIF(Journal!$A:$A,HeadJournal!$A421,Journal!U:U)</f>
        <v>-630</v>
      </c>
      <c r="P421" s="22" t="str">
        <f t="shared" si="55"/>
        <v/>
      </c>
      <c r="Q421" s="7" t="b">
        <f t="shared" si="58"/>
        <v>1</v>
      </c>
      <c r="R421" s="73">
        <f t="shared" si="56"/>
        <v>0</v>
      </c>
    </row>
    <row r="422" spans="1:18" x14ac:dyDescent="0.25">
      <c r="A422" s="12" t="s">
        <v>1609</v>
      </c>
      <c r="B422" s="12"/>
      <c r="C422" s="12" t="s">
        <v>1380</v>
      </c>
      <c r="D422" s="12" t="s">
        <v>714</v>
      </c>
      <c r="E422" s="12" t="s">
        <v>1477</v>
      </c>
      <c r="F422" s="12"/>
      <c r="G422" s="13">
        <v>45327</v>
      </c>
      <c r="H422" s="14">
        <v>1</v>
      </c>
      <c r="I422" s="14">
        <v>0</v>
      </c>
      <c r="J422" s="8">
        <f>SUMIF(Journal!$A:$A,HeadJournal!$A422,Journal!$K:$K)+SUMIF(Journal!$A:$A,HeadJournal!$A422,Journal!$L:$L)+SUMIF(Journal!$A:$A,HeadJournal!$A422,Journal!$M:$M)</f>
        <v>1248</v>
      </c>
      <c r="K422" s="14">
        <v>1248</v>
      </c>
      <c r="L422" s="14">
        <v>0</v>
      </c>
      <c r="M422" s="8">
        <f>SUMIF(Journal!$A:$A,HeadJournal!$A422,Journal!$P:$P)</f>
        <v>1248</v>
      </c>
      <c r="N422" s="8">
        <f>SUMIF(Journal!$A:$A,HeadJournal!$A422,Journal!Q:Q)</f>
        <v>3000</v>
      </c>
      <c r="O422" s="18">
        <f>SUMIF(Journal!$A:$A,HeadJournal!$A422,Journal!U:U)</f>
        <v>1752</v>
      </c>
      <c r="P422" s="22">
        <f t="shared" si="55"/>
        <v>1.4038461538461537</v>
      </c>
      <c r="Q422" s="7" t="b">
        <f t="shared" si="58"/>
        <v>1</v>
      </c>
      <c r="R422" s="73">
        <f t="shared" si="56"/>
        <v>0</v>
      </c>
    </row>
    <row r="423" spans="1:18" x14ac:dyDescent="0.25">
      <c r="A423" s="12" t="s">
        <v>1610</v>
      </c>
      <c r="B423" s="12"/>
      <c r="C423" s="12" t="s">
        <v>1380</v>
      </c>
      <c r="D423" s="12" t="s">
        <v>714</v>
      </c>
      <c r="E423" s="12" t="s">
        <v>1477</v>
      </c>
      <c r="F423" s="12"/>
      <c r="G423" s="13">
        <v>45338</v>
      </c>
      <c r="H423" s="14">
        <v>1</v>
      </c>
      <c r="I423" s="14">
        <v>0</v>
      </c>
      <c r="J423" s="8">
        <f>SUMIF(Journal!$A:$A,HeadJournal!$A423,Journal!$K:$K)+SUMIF(Journal!$A:$A,HeadJournal!$A423,Journal!$L:$L)+SUMIF(Journal!$A:$A,HeadJournal!$A423,Journal!$M:$M)</f>
        <v>4670</v>
      </c>
      <c r="K423" s="14">
        <v>4670</v>
      </c>
      <c r="L423" s="14">
        <v>0</v>
      </c>
      <c r="M423" s="8">
        <f>SUMIF(Journal!$A:$A,HeadJournal!$A423,Journal!$P:$P)</f>
        <v>4670</v>
      </c>
      <c r="N423" s="8">
        <f>SUMIF(Journal!$A:$A,HeadJournal!$A423,Journal!Q:Q)</f>
        <v>8000</v>
      </c>
      <c r="O423" s="18">
        <f>SUMIF(Journal!$A:$A,HeadJournal!$A423,Journal!U:U)</f>
        <v>3330</v>
      </c>
      <c r="P423" s="22">
        <f t="shared" si="55"/>
        <v>0.71306209850107072</v>
      </c>
      <c r="Q423" s="7" t="b">
        <f t="shared" si="58"/>
        <v>1</v>
      </c>
      <c r="R423" s="73">
        <f t="shared" si="56"/>
        <v>0</v>
      </c>
    </row>
    <row r="424" spans="1:18" x14ac:dyDescent="0.25">
      <c r="A424" s="12" t="s">
        <v>1632</v>
      </c>
      <c r="B424" s="12"/>
      <c r="C424" s="12" t="s">
        <v>1359</v>
      </c>
      <c r="D424" s="12" t="s">
        <v>714</v>
      </c>
      <c r="E424" s="12" t="s">
        <v>1477</v>
      </c>
      <c r="F424" s="12"/>
      <c r="G424" s="13">
        <v>45341</v>
      </c>
      <c r="H424" s="14">
        <v>1</v>
      </c>
      <c r="I424" s="14">
        <v>0</v>
      </c>
      <c r="J424" s="8">
        <f>SUMIF(Journal!$A:$A,HeadJournal!$A424,Journal!$K:$K)+SUMIF(Journal!$A:$A,HeadJournal!$A424,Journal!$L:$L)+SUMIF(Journal!$A:$A,HeadJournal!$A424,Journal!$M:$M)</f>
        <v>6300</v>
      </c>
      <c r="K424" s="14">
        <v>6375</v>
      </c>
      <c r="L424" s="14">
        <v>0</v>
      </c>
      <c r="M424" s="8">
        <f>SUMIF(Journal!$A:$A,HeadJournal!$A424,Journal!$P:$P)</f>
        <v>6375</v>
      </c>
      <c r="N424" s="8">
        <f>SUMIF(Journal!$A:$A,HeadJournal!$A424,Journal!Q:Q)</f>
        <v>7900</v>
      </c>
      <c r="O424" s="18">
        <f>SUMIF(Journal!$A:$A,HeadJournal!$A424,Journal!U:U)</f>
        <v>1525</v>
      </c>
      <c r="P424" s="22">
        <f t="shared" si="55"/>
        <v>0.23921568627450981</v>
      </c>
      <c r="Q424" s="7" t="b">
        <f t="shared" si="58"/>
        <v>0</v>
      </c>
      <c r="R424" s="73">
        <f t="shared" si="56"/>
        <v>0</v>
      </c>
    </row>
    <row r="425" spans="1:18" x14ac:dyDescent="0.25">
      <c r="A425" s="12" t="s">
        <v>1617</v>
      </c>
      <c r="B425" s="12" t="s">
        <v>1618</v>
      </c>
      <c r="C425" s="12" t="s">
        <v>1501</v>
      </c>
      <c r="D425" s="12" t="s">
        <v>714</v>
      </c>
      <c r="E425" s="12" t="s">
        <v>1477</v>
      </c>
      <c r="F425" s="12"/>
      <c r="G425" s="13">
        <v>45333</v>
      </c>
      <c r="H425" s="14">
        <v>1</v>
      </c>
      <c r="I425" s="14">
        <v>0</v>
      </c>
      <c r="J425" s="8">
        <f>SUMIF(Journal!$A:$A,HeadJournal!$A425,Journal!$K:$K)+SUMIF(Journal!$A:$A,HeadJournal!$A425,Journal!$L:$L)+SUMIF(Journal!$A:$A,HeadJournal!$A425,Journal!$M:$M)</f>
        <v>11228.18</v>
      </c>
      <c r="K425" s="14">
        <f>9988.02-113</f>
        <v>9875.02</v>
      </c>
      <c r="L425" s="14">
        <v>360</v>
      </c>
      <c r="M425" s="8">
        <f>SUMIF(Journal!$A:$A,HeadJournal!$A425,Journal!$P:$P)</f>
        <v>10235.019999999999</v>
      </c>
      <c r="N425" s="8">
        <f>SUMIF(Journal!$A:$A,HeadJournal!$A425,Journal!Q:Q)</f>
        <v>12883.470000000001</v>
      </c>
      <c r="O425" s="18">
        <f>SUMIF(Journal!$A:$A,HeadJournal!$A425,Journal!U:U)</f>
        <v>2648.45</v>
      </c>
      <c r="P425" s="22">
        <f t="shared" si="55"/>
        <v>0.25876353929938584</v>
      </c>
      <c r="Q425" s="7" t="b">
        <f t="shared" si="58"/>
        <v>0</v>
      </c>
      <c r="R425" s="73">
        <f t="shared" si="56"/>
        <v>3.5173355792172373E-2</v>
      </c>
    </row>
    <row r="426" spans="1:18" x14ac:dyDescent="0.25">
      <c r="A426" s="12" t="s">
        <v>1620</v>
      </c>
      <c r="B426" s="12" t="s">
        <v>1619</v>
      </c>
      <c r="C426" s="12" t="s">
        <v>1501</v>
      </c>
      <c r="D426" s="12" t="s">
        <v>714</v>
      </c>
      <c r="E426" s="12" t="s">
        <v>1477</v>
      </c>
      <c r="F426" s="12"/>
      <c r="G426" s="13">
        <v>45339</v>
      </c>
      <c r="H426" s="14">
        <v>1</v>
      </c>
      <c r="I426" s="14">
        <v>0</v>
      </c>
      <c r="J426" s="8">
        <f>SUMIF(Journal!$A:$A,HeadJournal!$A426,Journal!$K:$K)+SUMIF(Journal!$A:$A,HeadJournal!$A426,Journal!$L:$L)+SUMIF(Journal!$A:$A,HeadJournal!$A426,Journal!$M:$M)</f>
        <v>18640.589999999997</v>
      </c>
      <c r="K426" s="14">
        <f>16238.09-165-533</f>
        <v>15540.09</v>
      </c>
      <c r="L426" s="14">
        <f>165+533</f>
        <v>698</v>
      </c>
      <c r="M426" s="8">
        <f>SUMIF(Journal!$A:$A,HeadJournal!$A426,Journal!$P:$P)</f>
        <v>16238.090000000002</v>
      </c>
      <c r="N426" s="8">
        <f>SUMIF(Journal!$A:$A,HeadJournal!$A426,Journal!Q:Q)</f>
        <v>10136.380000000001</v>
      </c>
      <c r="O426" s="18">
        <f>SUMIF(Journal!$A:$A,HeadJournal!$A426,Journal!U:U)</f>
        <v>-6101.7100000000028</v>
      </c>
      <c r="P426" s="22">
        <f t="shared" si="55"/>
        <v>-0.37576525317940729</v>
      </c>
      <c r="Q426" s="7" t="b">
        <f t="shared" si="58"/>
        <v>0</v>
      </c>
      <c r="R426" s="73">
        <f t="shared" si="56"/>
        <v>4.2985351109644049E-2</v>
      </c>
    </row>
    <row r="427" spans="1:18" x14ac:dyDescent="0.25">
      <c r="A427" s="12" t="s">
        <v>1628</v>
      </c>
      <c r="B427" s="12" t="s">
        <v>1627</v>
      </c>
      <c r="C427" s="12" t="s">
        <v>1514</v>
      </c>
      <c r="D427" s="12" t="s">
        <v>714</v>
      </c>
      <c r="E427" s="12" t="s">
        <v>1477</v>
      </c>
      <c r="F427" s="12"/>
      <c r="G427" s="13">
        <v>45347</v>
      </c>
      <c r="H427" s="14">
        <v>1</v>
      </c>
      <c r="I427" s="14">
        <v>0</v>
      </c>
      <c r="J427" s="8">
        <f>SUMIF(Journal!$A:$A,HeadJournal!$A427,Journal!$K:$K)+SUMIF(Journal!$A:$A,HeadJournal!$A427,Journal!$L:$L)+SUMIF(Journal!$A:$A,HeadJournal!$A427,Journal!$M:$M)</f>
        <v>7560</v>
      </c>
      <c r="K427" s="14">
        <f>6811-77-434</f>
        <v>6300</v>
      </c>
      <c r="L427" s="14">
        <f>77+434</f>
        <v>511</v>
      </c>
      <c r="M427" s="8">
        <f>SUMIF(Journal!$A:$A,HeadJournal!$A427,Journal!$P:$P)</f>
        <v>6811.0000000000009</v>
      </c>
      <c r="N427" s="8">
        <f>SUMIF(Journal!$A:$A,HeadJournal!$A427,Journal!Q:Q)</f>
        <v>5535.17</v>
      </c>
      <c r="O427" s="18">
        <f>SUMIF(Journal!$A:$A,HeadJournal!$A427,Journal!U:U)</f>
        <v>-1275.8300000000006</v>
      </c>
      <c r="P427" s="22">
        <f t="shared" si="55"/>
        <v>-0.18731904272500374</v>
      </c>
      <c r="Q427" s="7" t="b">
        <f t="shared" si="58"/>
        <v>0</v>
      </c>
      <c r="R427" s="73">
        <f t="shared" si="56"/>
        <v>7.502569373072969E-2</v>
      </c>
    </row>
    <row r="428" spans="1:18" x14ac:dyDescent="0.25">
      <c r="A428" s="12" t="s">
        <v>1637</v>
      </c>
      <c r="B428" s="124" t="s">
        <v>1636</v>
      </c>
      <c r="C428" s="12" t="s">
        <v>1737</v>
      </c>
      <c r="D428" s="12" t="s">
        <v>714</v>
      </c>
      <c r="E428" s="12" t="s">
        <v>1477</v>
      </c>
      <c r="F428" s="124" t="s">
        <v>1634</v>
      </c>
      <c r="G428" s="13">
        <v>45340</v>
      </c>
      <c r="H428" s="14">
        <f>15622.34/153.57</f>
        <v>101.7278114215016</v>
      </c>
      <c r="I428" s="14">
        <v>-7.04</v>
      </c>
      <c r="J428" s="8">
        <f>SUMIF(Journal!$A:$A,HeadJournal!$A428,Journal!$K:$K)+SUMIF(Journal!$A:$A,HeadJournal!$A428,Journal!$L:$L)+SUMIF(Journal!$A:$A,HeadJournal!$A428,Journal!$M:$M)</f>
        <v>153.57000000000002</v>
      </c>
      <c r="K428" s="14">
        <v>153.57</v>
      </c>
      <c r="L428" s="14">
        <f>(1000+1234.76)/2</f>
        <v>1117.3800000000001</v>
      </c>
      <c r="M428" s="8">
        <f>SUMIF(Journal!$A:$A,HeadJournal!$A428,Journal!$P:$P)</f>
        <v>16739.719999999998</v>
      </c>
      <c r="N428" s="8">
        <f>SUMIF(Journal!$A:$A,HeadJournal!$A428,Journal!Q:Q)</f>
        <v>17800</v>
      </c>
      <c r="O428" s="18">
        <f>SUMIF(Journal!$A:$A,HeadJournal!$A428,Journal!U:U)</f>
        <v>1060.2800000000018</v>
      </c>
      <c r="P428" s="22">
        <f t="shared" si="55"/>
        <v>6.3339171742418751E-2</v>
      </c>
      <c r="R428" s="73">
        <f t="shared" si="56"/>
        <v>6.675022043379461E-2</v>
      </c>
    </row>
    <row r="429" spans="1:18" x14ac:dyDescent="0.25">
      <c r="A429" s="12" t="s">
        <v>1641</v>
      </c>
      <c r="B429" s="124" t="s">
        <v>1642</v>
      </c>
      <c r="C429" s="12" t="s">
        <v>1737</v>
      </c>
      <c r="D429" s="12" t="s">
        <v>714</v>
      </c>
      <c r="E429" s="12" t="s">
        <v>1477</v>
      </c>
      <c r="F429" s="124" t="s">
        <v>1670</v>
      </c>
      <c r="G429" s="13">
        <v>45350</v>
      </c>
      <c r="H429" s="14">
        <f>21846.64/209.24</f>
        <v>104.40948193462053</v>
      </c>
      <c r="I429" s="14">
        <v>-18.78</v>
      </c>
      <c r="J429" s="8">
        <f>SUMIF(Journal!$A:$A,HeadJournal!$A429,Journal!$K:$K)+SUMIF(Journal!$A:$A,HeadJournal!$A429,Journal!$L:$L)+SUMIF(Journal!$A:$A,HeadJournal!$A429,Journal!$M:$M)</f>
        <v>209.24000000000004</v>
      </c>
      <c r="K429" s="14">
        <v>209.24</v>
      </c>
      <c r="L429" s="14">
        <f>(1185.56+1100)/2</f>
        <v>1142.78</v>
      </c>
      <c r="M429" s="8">
        <f>SUMIF(Journal!$A:$A,HeadJournal!$A429,Journal!$P:$P)</f>
        <v>22989.419999999991</v>
      </c>
      <c r="N429" s="8">
        <f>SUMIF(Journal!$A:$A,HeadJournal!$A429,Journal!Q:Q)</f>
        <v>30704.050000000003</v>
      </c>
      <c r="O429" s="18">
        <f>SUMIF(Journal!$A:$A,HeadJournal!$A429,Journal!U:U)</f>
        <v>7714.6300000000056</v>
      </c>
      <c r="P429" s="22">
        <f t="shared" si="55"/>
        <v>0.33557305925943365</v>
      </c>
      <c r="R429" s="73">
        <f t="shared" si="56"/>
        <v>4.9708953074936231E-2</v>
      </c>
    </row>
    <row r="430" spans="1:18" x14ac:dyDescent="0.25">
      <c r="A430" s="12" t="s">
        <v>1648</v>
      </c>
      <c r="B430" s="124" t="s">
        <v>1649</v>
      </c>
      <c r="C430" s="12" t="s">
        <v>1751</v>
      </c>
      <c r="D430" s="12" t="s">
        <v>714</v>
      </c>
      <c r="E430" s="12" t="s">
        <v>1477</v>
      </c>
      <c r="F430" s="124" t="s">
        <v>1670</v>
      </c>
      <c r="G430" s="13">
        <v>45346</v>
      </c>
      <c r="H430" s="14">
        <f>19041.97/185.41</f>
        <v>102.70195782320263</v>
      </c>
      <c r="I430" s="14">
        <v>-24.17</v>
      </c>
      <c r="J430" s="8">
        <f>SUMIF(Journal!$A:$A,HeadJournal!$A430,Journal!$K:$K)+SUMIF(Journal!$A:$A,HeadJournal!$A430,Journal!$L:$L)+SUMIF(Journal!$A:$A,HeadJournal!$A430,Journal!$M:$M)</f>
        <v>185.41000000000003</v>
      </c>
      <c r="K430" s="14">
        <v>185.41</v>
      </c>
      <c r="L430" s="14">
        <f>(1185.56+1100)/2</f>
        <v>1142.78</v>
      </c>
      <c r="M430" s="8">
        <f>SUMIF(Journal!$A:$A,HeadJournal!$A430,Journal!$P:$P)</f>
        <v>20184.749999999996</v>
      </c>
      <c r="N430" s="8">
        <f>SUMIF(Journal!$A:$A,HeadJournal!$A430,Journal!Q:Q)</f>
        <v>34400</v>
      </c>
      <c r="O430" s="18">
        <f>SUMIF(Journal!$A:$A,HeadJournal!$A430,Journal!U:U)</f>
        <v>14215.250000000004</v>
      </c>
      <c r="P430" s="22">
        <f t="shared" si="55"/>
        <v>0.70425692664016182</v>
      </c>
      <c r="R430" s="73">
        <f t="shared" si="56"/>
        <v>5.6616009611216399E-2</v>
      </c>
    </row>
    <row r="431" spans="1:18" x14ac:dyDescent="0.25">
      <c r="A431" s="12" t="s">
        <v>1653</v>
      </c>
      <c r="B431" s="12"/>
      <c r="C431" s="12" t="s">
        <v>1380</v>
      </c>
      <c r="D431" s="12" t="s">
        <v>714</v>
      </c>
      <c r="E431" s="12"/>
      <c r="F431" s="12"/>
      <c r="G431" s="13">
        <v>45342</v>
      </c>
      <c r="H431" s="14">
        <v>1</v>
      </c>
      <c r="I431" s="14">
        <v>0</v>
      </c>
      <c r="J431" s="8">
        <f>SUMIF(Journal!$A:$A,HeadJournal!$A431,Journal!$K:$K)+SUMIF(Journal!$A:$A,HeadJournal!$A431,Journal!$L:$L)+SUMIF(Journal!$A:$A,HeadJournal!$A431,Journal!$M:$M)</f>
        <v>1668</v>
      </c>
      <c r="K431" s="14">
        <v>1668</v>
      </c>
      <c r="L431" s="14">
        <v>0</v>
      </c>
      <c r="M431" s="8">
        <f>SUMIF(Journal!$A:$A,HeadJournal!$A431,Journal!$P:$P)</f>
        <v>1668</v>
      </c>
      <c r="N431" s="8">
        <f>SUMIF(Journal!$A:$A,HeadJournal!$A431,Journal!Q:Q)</f>
        <v>5100</v>
      </c>
      <c r="O431" s="18">
        <f>SUMIF(Journal!$A:$A,HeadJournal!$A431,Journal!U:U)</f>
        <v>3432</v>
      </c>
      <c r="P431" s="22">
        <f t="shared" si="55"/>
        <v>2.0575539568345325</v>
      </c>
      <c r="Q431" s="7" t="b">
        <f t="shared" ref="Q431:Q436" si="59">J431=K431</f>
        <v>1</v>
      </c>
      <c r="R431" s="73">
        <f t="shared" si="56"/>
        <v>0</v>
      </c>
    </row>
    <row r="432" spans="1:18" x14ac:dyDescent="0.25">
      <c r="A432" s="12" t="s">
        <v>1654</v>
      </c>
      <c r="B432" s="12"/>
      <c r="C432" s="12" t="s">
        <v>1380</v>
      </c>
      <c r="D432" s="12" t="s">
        <v>714</v>
      </c>
      <c r="E432" s="12"/>
      <c r="F432" s="12"/>
      <c r="G432" s="13">
        <v>45343</v>
      </c>
      <c r="H432" s="14">
        <v>1</v>
      </c>
      <c r="I432" s="14">
        <v>0</v>
      </c>
      <c r="J432" s="8">
        <f>SUMIF(Journal!$A:$A,HeadJournal!$A432,Journal!$K:$K)+SUMIF(Journal!$A:$A,HeadJournal!$A432,Journal!$L:$L)+SUMIF(Journal!$A:$A,HeadJournal!$A432,Journal!$M:$M)</f>
        <v>942</v>
      </c>
      <c r="K432" s="14">
        <v>942</v>
      </c>
      <c r="L432" s="14">
        <v>0</v>
      </c>
      <c r="M432" s="8">
        <f>SUMIF(Journal!$A:$A,HeadJournal!$A432,Journal!$P:$P)</f>
        <v>942</v>
      </c>
      <c r="N432" s="8">
        <f>SUMIF(Journal!$A:$A,HeadJournal!$A432,Journal!Q:Q)</f>
        <v>2000</v>
      </c>
      <c r="O432" s="18">
        <f>SUMIF(Journal!$A:$A,HeadJournal!$A432,Journal!U:U)</f>
        <v>1058</v>
      </c>
      <c r="P432" s="22">
        <f t="shared" si="55"/>
        <v>1.1231422505307855</v>
      </c>
      <c r="Q432" s="7" t="b">
        <f t="shared" si="59"/>
        <v>1</v>
      </c>
      <c r="R432" s="73">
        <f t="shared" si="56"/>
        <v>0</v>
      </c>
    </row>
    <row r="433" spans="1:18" x14ac:dyDescent="0.25">
      <c r="A433" s="12" t="s">
        <v>1655</v>
      </c>
      <c r="B433" s="12"/>
      <c r="C433" s="12" t="s">
        <v>1380</v>
      </c>
      <c r="D433" s="12" t="s">
        <v>714</v>
      </c>
      <c r="E433" s="12"/>
      <c r="F433" s="12"/>
      <c r="G433" s="13">
        <v>45350</v>
      </c>
      <c r="H433" s="14">
        <v>1</v>
      </c>
      <c r="I433" s="14">
        <v>0</v>
      </c>
      <c r="J433" s="8">
        <f>SUMIF(Journal!$A:$A,HeadJournal!$A433,Journal!$K:$K)+SUMIF(Journal!$A:$A,HeadJournal!$A433,Journal!$L:$L)+SUMIF(Journal!$A:$A,HeadJournal!$A433,Journal!$M:$M)</f>
        <v>3116</v>
      </c>
      <c r="K433" s="14">
        <f>640+2476</f>
        <v>3116</v>
      </c>
      <c r="L433" s="14">
        <v>0</v>
      </c>
      <c r="M433" s="8">
        <f>SUMIF(Journal!$A:$A,HeadJournal!$A433,Journal!$P:$P)</f>
        <v>3116</v>
      </c>
      <c r="N433" s="8">
        <f>SUMIF(Journal!$A:$A,HeadJournal!$A433,Journal!Q:Q)</f>
        <v>4900</v>
      </c>
      <c r="O433" s="18">
        <f>SUMIF(Journal!$A:$A,HeadJournal!$A433,Journal!U:U)</f>
        <v>1784</v>
      </c>
      <c r="P433" s="22">
        <f t="shared" si="55"/>
        <v>0.57252888318356865</v>
      </c>
      <c r="Q433" s="7" t="b">
        <f t="shared" si="59"/>
        <v>1</v>
      </c>
      <c r="R433" s="73">
        <f t="shared" si="56"/>
        <v>0</v>
      </c>
    </row>
    <row r="434" spans="1:18" x14ac:dyDescent="0.25">
      <c r="A434" s="12" t="s">
        <v>1658</v>
      </c>
      <c r="B434" s="12"/>
      <c r="C434" s="12" t="s">
        <v>1380</v>
      </c>
      <c r="D434" s="12" t="s">
        <v>714</v>
      </c>
      <c r="E434" s="12"/>
      <c r="F434" s="12"/>
      <c r="G434" s="13">
        <v>45350</v>
      </c>
      <c r="H434" s="14">
        <v>1</v>
      </c>
      <c r="I434" s="14">
        <v>0</v>
      </c>
      <c r="J434" s="8">
        <f>SUMIF(Journal!$A:$A,HeadJournal!$A434,Journal!$K:$K)+SUMIF(Journal!$A:$A,HeadJournal!$A434,Journal!$L:$L)+SUMIF(Journal!$A:$A,HeadJournal!$A434,Journal!$M:$M)</f>
        <v>1131</v>
      </c>
      <c r="K434" s="14">
        <v>1131</v>
      </c>
      <c r="L434" s="14">
        <v>0</v>
      </c>
      <c r="M434" s="8">
        <f>SUMIF(Journal!$A:$A,HeadJournal!$A434,Journal!$P:$P)</f>
        <v>1131</v>
      </c>
      <c r="N434" s="8">
        <f>SUMIF(Journal!$A:$A,HeadJournal!$A434,Journal!Q:Q)</f>
        <v>1800</v>
      </c>
      <c r="O434" s="18">
        <f>SUMIF(Journal!$A:$A,HeadJournal!$A434,Journal!U:U)</f>
        <v>669</v>
      </c>
      <c r="P434" s="22">
        <f t="shared" si="55"/>
        <v>0.59151193633952259</v>
      </c>
      <c r="Q434" s="7" t="b">
        <f t="shared" si="59"/>
        <v>1</v>
      </c>
      <c r="R434" s="73">
        <f t="shared" si="56"/>
        <v>0</v>
      </c>
    </row>
    <row r="435" spans="1:18" x14ac:dyDescent="0.25">
      <c r="A435" s="12" t="s">
        <v>1660</v>
      </c>
      <c r="B435" s="12"/>
      <c r="C435" s="12" t="s">
        <v>1380</v>
      </c>
      <c r="D435" s="12" t="s">
        <v>714</v>
      </c>
      <c r="E435" s="12"/>
      <c r="F435" s="12"/>
      <c r="G435" s="13">
        <v>45352</v>
      </c>
      <c r="H435" s="14">
        <v>1</v>
      </c>
      <c r="I435" s="14">
        <v>0</v>
      </c>
      <c r="J435" s="8">
        <f>SUMIF(Journal!$A:$A,HeadJournal!$A435,Journal!$K:$K)+SUMIF(Journal!$A:$A,HeadJournal!$A435,Journal!$L:$L)+SUMIF(Journal!$A:$A,HeadJournal!$A435,Journal!$M:$M)</f>
        <v>2264</v>
      </c>
      <c r="K435" s="14">
        <v>2264</v>
      </c>
      <c r="L435" s="14"/>
      <c r="M435" s="8">
        <f>SUMIF(Journal!$A:$A,HeadJournal!$A435,Journal!$P:$P)</f>
        <v>2264</v>
      </c>
      <c r="N435" s="8">
        <f>SUMIF(Journal!$A:$A,HeadJournal!$A435,Journal!Q:Q)</f>
        <v>4000</v>
      </c>
      <c r="O435" s="18">
        <f>SUMIF(Journal!$A:$A,HeadJournal!$A435,Journal!U:U)</f>
        <v>1736</v>
      </c>
      <c r="P435" s="22">
        <f t="shared" si="55"/>
        <v>0.7667844522968198</v>
      </c>
      <c r="Q435" s="7" t="b">
        <f t="shared" si="59"/>
        <v>1</v>
      </c>
      <c r="R435" s="73">
        <f t="shared" si="56"/>
        <v>0</v>
      </c>
    </row>
    <row r="436" spans="1:18" x14ac:dyDescent="0.25">
      <c r="A436" s="12" t="s">
        <v>1661</v>
      </c>
      <c r="B436" s="12"/>
      <c r="C436" s="12" t="s">
        <v>843</v>
      </c>
      <c r="D436" s="12" t="s">
        <v>714</v>
      </c>
      <c r="E436" s="12" t="s">
        <v>1477</v>
      </c>
      <c r="F436" s="12"/>
      <c r="G436" s="13">
        <v>45358</v>
      </c>
      <c r="H436" s="14">
        <v>1</v>
      </c>
      <c r="I436" s="14">
        <v>0</v>
      </c>
      <c r="J436" s="8">
        <f>SUMIF(Journal!$A:$A,HeadJournal!$A436,Journal!$K:$K)+SUMIF(Journal!$A:$A,HeadJournal!$A436,Journal!$L:$L)+SUMIF(Journal!$A:$A,HeadJournal!$A436,Journal!$M:$M)</f>
        <v>738</v>
      </c>
      <c r="K436" s="14">
        <f>246*3</f>
        <v>738</v>
      </c>
      <c r="L436" s="14">
        <v>0</v>
      </c>
      <c r="M436" s="8">
        <f>SUMIF(Journal!$A:$A,HeadJournal!$A436,Journal!$P:$P)</f>
        <v>738</v>
      </c>
      <c r="N436" s="8">
        <f>SUMIF(Journal!$A:$A,HeadJournal!$A436,Journal!Q:Q)</f>
        <v>1500</v>
      </c>
      <c r="O436" s="18">
        <f>SUMIF(Journal!$A:$A,HeadJournal!$A436,Journal!U:U)</f>
        <v>762</v>
      </c>
      <c r="P436" s="22">
        <f t="shared" si="55"/>
        <v>1.032520325203252</v>
      </c>
      <c r="Q436" s="7" t="b">
        <f t="shared" si="59"/>
        <v>1</v>
      </c>
      <c r="R436" s="73">
        <f t="shared" si="56"/>
        <v>0</v>
      </c>
    </row>
    <row r="437" spans="1:18" x14ac:dyDescent="0.25">
      <c r="A437" s="12" t="s">
        <v>1665</v>
      </c>
      <c r="B437" s="124" t="s">
        <v>1666</v>
      </c>
      <c r="C437" s="12" t="s">
        <v>1735</v>
      </c>
      <c r="D437" s="12" t="s">
        <v>714</v>
      </c>
      <c r="E437" s="12" t="s">
        <v>1477</v>
      </c>
      <c r="F437" s="124" t="s">
        <v>1695</v>
      </c>
      <c r="G437" s="13">
        <v>45361</v>
      </c>
      <c r="H437" s="14">
        <f>14638.8/139.35</f>
        <v>105.05059203444564</v>
      </c>
      <c r="I437" s="14">
        <v>-22.14</v>
      </c>
      <c r="J437" s="8">
        <f>SUMIF(Journal!$A:$A,HeadJournal!$A437,Journal!$K:$K)+SUMIF(Journal!$A:$A,HeadJournal!$A437,Journal!$L:$L)+SUMIF(Journal!$A:$A,HeadJournal!$A437,Journal!$M:$M)</f>
        <v>139.35000000000005</v>
      </c>
      <c r="K437" s="14">
        <v>139.35</v>
      </c>
      <c r="L437" s="14">
        <f>(1352.02+1100)/2</f>
        <v>1226.01</v>
      </c>
      <c r="M437" s="8">
        <f>SUMIF(Journal!$A:$A,HeadJournal!$A437,Journal!$P:$P)</f>
        <v>15864.809999999998</v>
      </c>
      <c r="N437" s="8">
        <f>SUMIF(Journal!$A:$A,HeadJournal!$A437,Journal!Q:Q)</f>
        <v>24200</v>
      </c>
      <c r="O437" s="18">
        <f>SUMIF(Journal!$A:$A,HeadJournal!$A437,Journal!U:U)</f>
        <v>8335.190000000006</v>
      </c>
      <c r="P437" s="22">
        <f t="shared" si="55"/>
        <v>0.52538858013427248</v>
      </c>
      <c r="R437" s="73">
        <f t="shared" si="56"/>
        <v>7.7278580707868555E-2</v>
      </c>
    </row>
    <row r="438" spans="1:18" x14ac:dyDescent="0.25">
      <c r="A438" s="12" t="s">
        <v>1672</v>
      </c>
      <c r="B438" s="124" t="s">
        <v>1673</v>
      </c>
      <c r="C438" s="12" t="s">
        <v>1735</v>
      </c>
      <c r="D438" s="12" t="s">
        <v>714</v>
      </c>
      <c r="E438" s="12" t="s">
        <v>1477</v>
      </c>
      <c r="F438" s="124" t="s">
        <v>1728</v>
      </c>
      <c r="G438" s="13">
        <v>45369</v>
      </c>
      <c r="H438" s="14">
        <f>17458.97/165.57</f>
        <v>105.44766563991062</v>
      </c>
      <c r="I438" s="14">
        <v>-33.25</v>
      </c>
      <c r="J438" s="8">
        <f>SUMIF(Journal!$A:$A,HeadJournal!$A438,Journal!$K:$K)+SUMIF(Journal!$A:$A,HeadJournal!$A438,Journal!$L:$L)+SUMIF(Journal!$A:$A,HeadJournal!$A438,Journal!$M:$M)</f>
        <v>165.57</v>
      </c>
      <c r="K438" s="14">
        <v>165.57</v>
      </c>
      <c r="L438" s="14">
        <f>(1234.76+1000)/2</f>
        <v>1117.3800000000001</v>
      </c>
      <c r="M438" s="8">
        <f>SUMIF(Journal!$A:$A,HeadJournal!$A438,Journal!$P:$P)</f>
        <v>18576.350000000002</v>
      </c>
      <c r="N438" s="8">
        <f>SUMIF(Journal!$A:$A,HeadJournal!$A438,Journal!Q:Q)</f>
        <v>28753.18</v>
      </c>
      <c r="O438" s="18">
        <f>SUMIF(Journal!$A:$A,HeadJournal!$A438,Journal!U:U)</f>
        <v>10176.829999999998</v>
      </c>
      <c r="P438" s="22">
        <f t="shared" si="55"/>
        <v>0.54783797678230639</v>
      </c>
      <c r="R438" s="73">
        <f t="shared" si="56"/>
        <v>6.0150675455619647E-2</v>
      </c>
    </row>
    <row r="439" spans="1:18" x14ac:dyDescent="0.25">
      <c r="A439" s="12" t="s">
        <v>1682</v>
      </c>
      <c r="B439" s="124" t="s">
        <v>1683</v>
      </c>
      <c r="C439" s="12" t="s">
        <v>1751</v>
      </c>
      <c r="D439" s="12" t="s">
        <v>714</v>
      </c>
      <c r="E439" s="12" t="s">
        <v>1477</v>
      </c>
      <c r="F439" s="124" t="s">
        <v>1695</v>
      </c>
      <c r="G439" s="13">
        <v>45355</v>
      </c>
      <c r="H439" s="14">
        <f>27419.4/263.62</f>
        <v>104.01107654957895</v>
      </c>
      <c r="I439" s="14">
        <v>-12.35</v>
      </c>
      <c r="J439" s="8">
        <f>SUMIF(Journal!$A:$A,HeadJournal!$A439,Journal!$K:$K)+SUMIF(Journal!$A:$A,HeadJournal!$A439,Journal!$L:$L)+SUMIF(Journal!$A:$A,HeadJournal!$A439,Journal!$M:$M)</f>
        <v>263.62</v>
      </c>
      <c r="K439" s="14">
        <v>263.62</v>
      </c>
      <c r="L439" s="14">
        <f>(1352.02+1100)/2</f>
        <v>1226.01</v>
      </c>
      <c r="M439" s="8">
        <f>SUMIF(Journal!$A:$A,HeadJournal!$A439,Journal!$P:$P)</f>
        <v>28645.410000000003</v>
      </c>
      <c r="N439" s="8">
        <f>SUMIF(Journal!$A:$A,HeadJournal!$A439,Journal!Q:Q)</f>
        <v>41950</v>
      </c>
      <c r="O439" s="18">
        <f>SUMIF(Journal!$A:$A,HeadJournal!$A439,Journal!U:U)</f>
        <v>13304.59</v>
      </c>
      <c r="P439" s="22">
        <f t="shared" si="55"/>
        <v>0.46445800566303636</v>
      </c>
      <c r="R439" s="73">
        <f t="shared" si="56"/>
        <v>4.2799527044646936E-2</v>
      </c>
    </row>
    <row r="440" spans="1:18" x14ac:dyDescent="0.25">
      <c r="A440" s="12" t="s">
        <v>1686</v>
      </c>
      <c r="B440" s="124" t="s">
        <v>1687</v>
      </c>
      <c r="C440" s="12" t="s">
        <v>1752</v>
      </c>
      <c r="D440" s="12" t="s">
        <v>714</v>
      </c>
      <c r="E440" s="12" t="s">
        <v>1477</v>
      </c>
      <c r="F440" s="124" t="s">
        <v>1728</v>
      </c>
      <c r="G440" s="13">
        <v>45363</v>
      </c>
      <c r="H440" s="14">
        <f>15375.19/146.96</f>
        <v>104.62159771366358</v>
      </c>
      <c r="I440" s="14">
        <v>-16.5</v>
      </c>
      <c r="J440" s="8">
        <f>SUMIF(Journal!$A:$A,HeadJournal!$A440,Journal!$K:$K)+SUMIF(Journal!$A:$A,HeadJournal!$A440,Journal!$L:$L)+SUMIF(Journal!$A:$A,HeadJournal!$A440,Journal!$M:$M)</f>
        <v>146.95999999999998</v>
      </c>
      <c r="K440" s="14">
        <v>146.96</v>
      </c>
      <c r="L440" s="14">
        <f>(1234.76+1000)/2</f>
        <v>1117.3800000000001</v>
      </c>
      <c r="M440" s="8">
        <f>SUMIF(Journal!$A:$A,HeadJournal!$A440,Journal!$P:$P)</f>
        <v>16492.570000000003</v>
      </c>
      <c r="N440" s="8">
        <f>SUMIF(Journal!$A:$A,HeadJournal!$A440,Journal!Q:Q)</f>
        <v>25232.5</v>
      </c>
      <c r="O440" s="18">
        <f>SUMIF(Journal!$A:$A,HeadJournal!$A440,Journal!U:U)</f>
        <v>8739.9299999999967</v>
      </c>
      <c r="P440" s="22">
        <f t="shared" si="55"/>
        <v>0.52993135696862248</v>
      </c>
      <c r="Q440" s="7" t="b">
        <f t="shared" ref="Q440:Q451" si="60">J440=K440</f>
        <v>1</v>
      </c>
      <c r="R440" s="73">
        <f t="shared" si="56"/>
        <v>6.775050825917367E-2</v>
      </c>
    </row>
    <row r="441" spans="1:18" x14ac:dyDescent="0.25">
      <c r="A441" s="12" t="s">
        <v>1692</v>
      </c>
      <c r="B441" s="124" t="s">
        <v>1693</v>
      </c>
      <c r="C441" s="12" t="s">
        <v>1752</v>
      </c>
      <c r="D441" s="12" t="s">
        <v>714</v>
      </c>
      <c r="E441" s="12" t="s">
        <v>1477</v>
      </c>
      <c r="F441" s="114" t="s">
        <v>1753</v>
      </c>
      <c r="G441" s="13">
        <v>45371</v>
      </c>
      <c r="H441" s="14">
        <f>19806.24/190.52</f>
        <v>103.95884946462314</v>
      </c>
      <c r="I441" s="14">
        <v>-8.0299999999999994</v>
      </c>
      <c r="J441" s="8">
        <f>SUMIF(Journal!$A:$A,HeadJournal!$A441,Journal!$K:$K)+SUMIF(Journal!$A:$A,HeadJournal!$A441,Journal!$L:$L)+SUMIF(Journal!$A:$A,HeadJournal!$A441,Journal!$M:$M)</f>
        <v>190.51999999999995</v>
      </c>
      <c r="K441" s="14">
        <v>190.52</v>
      </c>
      <c r="L441" s="14">
        <f>(1500+1798.83)/3</f>
        <v>1099.6099999999999</v>
      </c>
      <c r="M441" s="8">
        <f>SUMIF(Journal!$A:$A,HeadJournal!$A441,Journal!$P:$P)</f>
        <v>20905.850000000002</v>
      </c>
      <c r="N441" s="8">
        <f>SUMIF(Journal!$A:$A,HeadJournal!$A441,Journal!Q:Q)</f>
        <v>34000</v>
      </c>
      <c r="O441" s="18">
        <f>SUMIF(Journal!$A:$A,HeadJournal!$A441,Journal!U:U)</f>
        <v>13094.149999999994</v>
      </c>
      <c r="P441" s="22">
        <f t="shared" si="55"/>
        <v>0.62633903907279509</v>
      </c>
      <c r="Q441" s="7" t="b">
        <f t="shared" si="60"/>
        <v>1</v>
      </c>
      <c r="R441" s="73">
        <f t="shared" si="56"/>
        <v>5.2598196198671655E-2</v>
      </c>
    </row>
    <row r="442" spans="1:18" x14ac:dyDescent="0.25">
      <c r="A442" s="12" t="s">
        <v>1696</v>
      </c>
      <c r="B442" s="12"/>
      <c r="C442" s="12" t="s">
        <v>843</v>
      </c>
      <c r="D442" s="12" t="s">
        <v>714</v>
      </c>
      <c r="E442" s="12" t="s">
        <v>1477</v>
      </c>
      <c r="F442" s="12"/>
      <c r="G442" s="13">
        <v>45374</v>
      </c>
      <c r="H442" s="14">
        <v>1</v>
      </c>
      <c r="I442" s="14">
        <v>0</v>
      </c>
      <c r="J442" s="8">
        <f>SUMIF(Journal!$A:$A,HeadJournal!$A442,Journal!$K:$K)+SUMIF(Journal!$A:$A,HeadJournal!$A442,Journal!$L:$L)+SUMIF(Journal!$A:$A,HeadJournal!$A442,Journal!$M:$M)</f>
        <v>8077</v>
      </c>
      <c r="K442" s="14">
        <v>8077</v>
      </c>
      <c r="L442" s="14">
        <v>0</v>
      </c>
      <c r="M442" s="8">
        <f>SUMIF(Journal!$A:$A,HeadJournal!$A442,Journal!$P:$P)</f>
        <v>8077</v>
      </c>
      <c r="N442" s="8">
        <f>SUMIF(Journal!$A:$A,HeadJournal!$A442,Journal!Q:Q)</f>
        <v>10332</v>
      </c>
      <c r="O442" s="18">
        <f>SUMIF(Journal!$A:$A,HeadJournal!$A442,Journal!U:U)</f>
        <v>2255</v>
      </c>
      <c r="P442" s="22">
        <f t="shared" si="55"/>
        <v>0.27918781725888325</v>
      </c>
      <c r="Q442" s="7" t="b">
        <f t="shared" si="60"/>
        <v>1</v>
      </c>
      <c r="R442" s="73">
        <f t="shared" si="56"/>
        <v>0</v>
      </c>
    </row>
    <row r="443" spans="1:18" x14ac:dyDescent="0.25">
      <c r="A443" s="12" t="s">
        <v>1700</v>
      </c>
      <c r="B443" s="12"/>
      <c r="C443" s="12" t="s">
        <v>1380</v>
      </c>
      <c r="D443" s="12" t="s">
        <v>714</v>
      </c>
      <c r="E443" s="12"/>
      <c r="F443" s="12"/>
      <c r="G443" s="13">
        <v>45354</v>
      </c>
      <c r="H443" s="14">
        <v>1</v>
      </c>
      <c r="I443" s="14">
        <v>0</v>
      </c>
      <c r="J443" s="8">
        <f>SUMIF(Journal!$A:$A,HeadJournal!$A443,Journal!$K:$K)+SUMIF(Journal!$A:$A,HeadJournal!$A443,Journal!$L:$L)+SUMIF(Journal!$A:$A,HeadJournal!$A443,Journal!$M:$M)</f>
        <v>3744</v>
      </c>
      <c r="K443" s="14">
        <v>3744</v>
      </c>
      <c r="L443" s="14">
        <v>0</v>
      </c>
      <c r="M443" s="8">
        <f>SUMIF(Journal!$A:$A,HeadJournal!$A443,Journal!$P:$P)</f>
        <v>3744</v>
      </c>
      <c r="N443" s="8">
        <f>SUMIF(Journal!$A:$A,HeadJournal!$A443,Journal!Q:Q)</f>
        <v>0</v>
      </c>
      <c r="O443" s="18">
        <f>SUMIF(Journal!$A:$A,HeadJournal!$A443,Journal!U:U)</f>
        <v>-3744</v>
      </c>
      <c r="P443" s="22" t="str">
        <f t="shared" si="55"/>
        <v/>
      </c>
      <c r="Q443" s="7" t="b">
        <f t="shared" si="60"/>
        <v>1</v>
      </c>
      <c r="R443" s="73">
        <f t="shared" si="56"/>
        <v>0</v>
      </c>
    </row>
    <row r="444" spans="1:18" x14ac:dyDescent="0.25">
      <c r="A444" s="12" t="s">
        <v>1702</v>
      </c>
      <c r="B444" s="12"/>
      <c r="C444" s="12" t="s">
        <v>1380</v>
      </c>
      <c r="D444" s="12" t="s">
        <v>714</v>
      </c>
      <c r="E444" s="12"/>
      <c r="F444" s="12"/>
      <c r="G444" s="13">
        <v>45364</v>
      </c>
      <c r="H444" s="14">
        <v>1</v>
      </c>
      <c r="I444" s="14">
        <v>0</v>
      </c>
      <c r="J444" s="8">
        <f>SUMIF(Journal!$A:$A,HeadJournal!$A444,Journal!$K:$K)+SUMIF(Journal!$A:$A,HeadJournal!$A444,Journal!$L:$L)+SUMIF(Journal!$A:$A,HeadJournal!$A444,Journal!$M:$M)</f>
        <v>1602</v>
      </c>
      <c r="K444" s="14">
        <v>1602</v>
      </c>
      <c r="L444" s="14">
        <v>0</v>
      </c>
      <c r="M444" s="8">
        <f>SUMIF(Journal!$A:$A,HeadJournal!$A444,Journal!$P:$P)</f>
        <v>1602</v>
      </c>
      <c r="N444" s="8">
        <f>SUMIF(Journal!$A:$A,HeadJournal!$A444,Journal!Q:Q)</f>
        <v>0</v>
      </c>
      <c r="O444" s="18">
        <f>SUMIF(Journal!$A:$A,HeadJournal!$A444,Journal!U:U)</f>
        <v>-1602</v>
      </c>
      <c r="P444" s="22" t="str">
        <f t="shared" si="55"/>
        <v/>
      </c>
      <c r="Q444" s="7" t="b">
        <f t="shared" si="60"/>
        <v>1</v>
      </c>
      <c r="R444" s="73">
        <f t="shared" si="56"/>
        <v>0</v>
      </c>
    </row>
    <row r="445" spans="1:18" x14ac:dyDescent="0.25">
      <c r="A445" s="12" t="s">
        <v>1703</v>
      </c>
      <c r="B445" s="12"/>
      <c r="C445" s="12" t="s">
        <v>1380</v>
      </c>
      <c r="D445" s="12" t="s">
        <v>714</v>
      </c>
      <c r="E445" s="12"/>
      <c r="F445" s="12"/>
      <c r="G445" s="13">
        <v>45364</v>
      </c>
      <c r="H445" s="14">
        <v>1</v>
      </c>
      <c r="I445" s="14">
        <v>0</v>
      </c>
      <c r="J445" s="8">
        <f>SUMIF(Journal!$A:$A,HeadJournal!$A445,Journal!$K:$K)+SUMIF(Journal!$A:$A,HeadJournal!$A445,Journal!$L:$L)+SUMIF(Journal!$A:$A,HeadJournal!$A445,Journal!$M:$M)</f>
        <v>5962</v>
      </c>
      <c r="K445" s="14">
        <v>5962</v>
      </c>
      <c r="L445" s="14">
        <v>0</v>
      </c>
      <c r="M445" s="8">
        <f>SUMIF(Journal!$A:$A,HeadJournal!$A445,Journal!$P:$P)</f>
        <v>5962</v>
      </c>
      <c r="N445" s="8">
        <f>SUMIF(Journal!$A:$A,HeadJournal!$A445,Journal!Q:Q)</f>
        <v>7000</v>
      </c>
      <c r="O445" s="18">
        <f>SUMIF(Journal!$A:$A,HeadJournal!$A445,Journal!U:U)</f>
        <v>1038</v>
      </c>
      <c r="P445" s="22">
        <f t="shared" si="55"/>
        <v>0.17410265011741027</v>
      </c>
      <c r="Q445" s="7" t="b">
        <f t="shared" si="60"/>
        <v>1</v>
      </c>
      <c r="R445" s="73">
        <f t="shared" si="56"/>
        <v>0</v>
      </c>
    </row>
    <row r="446" spans="1:18" x14ac:dyDescent="0.25">
      <c r="A446" s="12" t="s">
        <v>1704</v>
      </c>
      <c r="B446" s="12"/>
      <c r="C446" s="12" t="s">
        <v>1380</v>
      </c>
      <c r="D446" s="12" t="s">
        <v>714</v>
      </c>
      <c r="E446" s="12"/>
      <c r="F446" s="12"/>
      <c r="G446" s="13">
        <v>45365</v>
      </c>
      <c r="H446" s="14">
        <v>1</v>
      </c>
      <c r="I446" s="14">
        <v>0</v>
      </c>
      <c r="J446" s="8">
        <f>SUMIF(Journal!$A:$A,HeadJournal!$A446,Journal!$K:$K)+SUMIF(Journal!$A:$A,HeadJournal!$A446,Journal!$L:$L)+SUMIF(Journal!$A:$A,HeadJournal!$A446,Journal!$M:$M)</f>
        <v>2472</v>
      </c>
      <c r="K446" s="14">
        <v>2472</v>
      </c>
      <c r="L446" s="14">
        <v>0</v>
      </c>
      <c r="M446" s="8">
        <f>SUMIF(Journal!$A:$A,HeadJournal!$A446,Journal!$P:$P)</f>
        <v>2472</v>
      </c>
      <c r="N446" s="8">
        <f>SUMIF(Journal!$A:$A,HeadJournal!$A446,Journal!Q:Q)</f>
        <v>3000</v>
      </c>
      <c r="O446" s="18">
        <f>SUMIF(Journal!$A:$A,HeadJournal!$A446,Journal!U:U)</f>
        <v>528</v>
      </c>
      <c r="P446" s="22">
        <f t="shared" si="55"/>
        <v>0.21359223300970873</v>
      </c>
      <c r="Q446" s="7" t="b">
        <f t="shared" si="60"/>
        <v>1</v>
      </c>
      <c r="R446" s="73">
        <f t="shared" si="56"/>
        <v>0</v>
      </c>
    </row>
    <row r="447" spans="1:18" x14ac:dyDescent="0.25">
      <c r="A447" s="12" t="s">
        <v>1706</v>
      </c>
      <c r="B447" s="12"/>
      <c r="C447" s="12" t="s">
        <v>1380</v>
      </c>
      <c r="D447" s="12" t="s">
        <v>714</v>
      </c>
      <c r="E447" s="12"/>
      <c r="F447" s="12"/>
      <c r="G447" s="13">
        <v>45368</v>
      </c>
      <c r="H447" s="14">
        <v>1</v>
      </c>
      <c r="I447" s="14">
        <v>0</v>
      </c>
      <c r="J447" s="8">
        <f>SUMIF(Journal!$A:$A,HeadJournal!$A447,Journal!$K:$K)+SUMIF(Journal!$A:$A,HeadJournal!$A447,Journal!$L:$L)+SUMIF(Journal!$A:$A,HeadJournal!$A447,Journal!$M:$M)</f>
        <v>659</v>
      </c>
      <c r="K447" s="14">
        <v>659</v>
      </c>
      <c r="L447" s="14">
        <v>0</v>
      </c>
      <c r="M447" s="8">
        <f>SUMIF(Journal!$A:$A,HeadJournal!$A447,Journal!$P:$P)</f>
        <v>659</v>
      </c>
      <c r="N447" s="8">
        <f>SUMIF(Journal!$A:$A,HeadJournal!$A447,Journal!Q:Q)</f>
        <v>1000</v>
      </c>
      <c r="O447" s="18">
        <f>SUMIF(Journal!$A:$A,HeadJournal!$A447,Journal!U:U)</f>
        <v>341</v>
      </c>
      <c r="P447" s="22">
        <f t="shared" si="55"/>
        <v>0.51745068285280726</v>
      </c>
      <c r="Q447" s="7" t="b">
        <f t="shared" si="60"/>
        <v>1</v>
      </c>
      <c r="R447" s="73">
        <f t="shared" si="56"/>
        <v>0</v>
      </c>
    </row>
    <row r="448" spans="1:18" x14ac:dyDescent="0.25">
      <c r="A448" s="12" t="s">
        <v>1707</v>
      </c>
      <c r="B448" s="12"/>
      <c r="C448" s="12" t="s">
        <v>1380</v>
      </c>
      <c r="D448" s="12" t="s">
        <v>714</v>
      </c>
      <c r="E448" s="12"/>
      <c r="F448" s="12"/>
      <c r="G448" s="13">
        <v>45370</v>
      </c>
      <c r="H448" s="14">
        <v>1</v>
      </c>
      <c r="I448" s="14">
        <v>0</v>
      </c>
      <c r="J448" s="8">
        <f>SUMIF(Journal!$A:$A,HeadJournal!$A448,Journal!$K:$K)+SUMIF(Journal!$A:$A,HeadJournal!$A448,Journal!$L:$L)+SUMIF(Journal!$A:$A,HeadJournal!$A448,Journal!$M:$M)</f>
        <v>3214</v>
      </c>
      <c r="K448" s="14">
        <v>3214</v>
      </c>
      <c r="L448" s="14">
        <v>0</v>
      </c>
      <c r="M448" s="8">
        <f>SUMIF(Journal!$A:$A,HeadJournal!$A448,Journal!$P:$P)</f>
        <v>3214</v>
      </c>
      <c r="N448" s="8">
        <f>SUMIF(Journal!$A:$A,HeadJournal!$A448,Journal!Q:Q)</f>
        <v>4000</v>
      </c>
      <c r="O448" s="18">
        <f>SUMIF(Journal!$A:$A,HeadJournal!$A448,Journal!U:U)</f>
        <v>786</v>
      </c>
      <c r="P448" s="22">
        <f t="shared" si="55"/>
        <v>0.24455507156191661</v>
      </c>
      <c r="Q448" s="7" t="b">
        <f t="shared" si="60"/>
        <v>1</v>
      </c>
      <c r="R448" s="73">
        <f t="shared" si="56"/>
        <v>0</v>
      </c>
    </row>
    <row r="449" spans="1:18" x14ac:dyDescent="0.25">
      <c r="A449" s="12" t="s">
        <v>1709</v>
      </c>
      <c r="B449" s="12"/>
      <c r="C449" s="12" t="s">
        <v>1380</v>
      </c>
      <c r="D449" s="12" t="s">
        <v>714</v>
      </c>
      <c r="E449" s="12"/>
      <c r="F449" s="12"/>
      <c r="G449" s="13">
        <v>45371</v>
      </c>
      <c r="H449" s="14">
        <v>1</v>
      </c>
      <c r="I449" s="14">
        <v>0</v>
      </c>
      <c r="J449" s="8">
        <f>SUMIF(Journal!$A:$A,HeadJournal!$A449,Journal!$K:$K)+SUMIF(Journal!$A:$A,HeadJournal!$A449,Journal!$L:$L)+SUMIF(Journal!$A:$A,HeadJournal!$A449,Journal!$M:$M)</f>
        <v>4816</v>
      </c>
      <c r="K449" s="14">
        <v>4816</v>
      </c>
      <c r="L449" s="14">
        <v>0</v>
      </c>
      <c r="M449" s="8">
        <f>SUMIF(Journal!$A:$A,HeadJournal!$A449,Journal!$P:$P)</f>
        <v>4816</v>
      </c>
      <c r="N449" s="8">
        <f>SUMIF(Journal!$A:$A,HeadJournal!$A449,Journal!Q:Q)</f>
        <v>3900</v>
      </c>
      <c r="O449" s="18">
        <f>SUMIF(Journal!$A:$A,HeadJournal!$A449,Journal!U:U)</f>
        <v>-916</v>
      </c>
      <c r="P449" s="22">
        <f t="shared" si="55"/>
        <v>-0.19019933554817275</v>
      </c>
      <c r="Q449" s="7" t="b">
        <f t="shared" si="60"/>
        <v>1</v>
      </c>
      <c r="R449" s="73">
        <f t="shared" si="56"/>
        <v>0</v>
      </c>
    </row>
    <row r="450" spans="1:18" x14ac:dyDescent="0.25">
      <c r="A450" s="12" t="s">
        <v>1710</v>
      </c>
      <c r="B450" s="12"/>
      <c r="C450" s="12" t="s">
        <v>1711</v>
      </c>
      <c r="D450" s="12" t="s">
        <v>714</v>
      </c>
      <c r="E450" s="12"/>
      <c r="F450" s="12"/>
      <c r="G450" s="13">
        <v>45376</v>
      </c>
      <c r="H450" s="14">
        <v>1</v>
      </c>
      <c r="I450" s="14">
        <v>0</v>
      </c>
      <c r="J450" s="8">
        <f>SUMIF(Journal!$A:$A,HeadJournal!$A450,Journal!$K:$K)+SUMIF(Journal!$A:$A,HeadJournal!$A450,Journal!$L:$L)+SUMIF(Journal!$A:$A,HeadJournal!$A450,Journal!$M:$M)</f>
        <v>5052</v>
      </c>
      <c r="K450" s="14">
        <v>5052</v>
      </c>
      <c r="L450" s="14">
        <v>0</v>
      </c>
      <c r="M450" s="8">
        <f>SUMIF(Journal!$A:$A,HeadJournal!$A450,Journal!$P:$P)</f>
        <v>5052</v>
      </c>
      <c r="N450" s="8">
        <f>SUMIF(Journal!$A:$A,HeadJournal!$A450,Journal!Q:Q)</f>
        <v>0</v>
      </c>
      <c r="O450" s="18">
        <f>SUMIF(Journal!$A:$A,HeadJournal!$A450,Journal!U:U)</f>
        <v>-5052</v>
      </c>
      <c r="P450" s="22" t="str">
        <f t="shared" si="55"/>
        <v/>
      </c>
      <c r="Q450" s="7" t="b">
        <f t="shared" si="60"/>
        <v>1</v>
      </c>
      <c r="R450" s="73">
        <f t="shared" si="56"/>
        <v>0</v>
      </c>
    </row>
    <row r="451" spans="1:18" x14ac:dyDescent="0.25">
      <c r="A451" s="12" t="s">
        <v>1721</v>
      </c>
      <c r="B451" s="12"/>
      <c r="C451" s="12" t="s">
        <v>1380</v>
      </c>
      <c r="D451" s="12" t="s">
        <v>714</v>
      </c>
      <c r="E451" s="12"/>
      <c r="F451" s="12"/>
      <c r="G451" s="13">
        <v>45378</v>
      </c>
      <c r="H451" s="14">
        <v>1</v>
      </c>
      <c r="I451" s="14">
        <v>0</v>
      </c>
      <c r="J451" s="8">
        <f>SUMIF(Journal!$A:$A,HeadJournal!$A451,Journal!$K:$K)+SUMIF(Journal!$A:$A,HeadJournal!$A451,Journal!$L:$L)+SUMIF(Journal!$A:$A,HeadJournal!$A451,Journal!$M:$M)</f>
        <v>1592</v>
      </c>
      <c r="K451" s="14">
        <v>1592</v>
      </c>
      <c r="L451" s="14">
        <v>0</v>
      </c>
      <c r="M451" s="8">
        <f>SUMIF(Journal!$A:$A,HeadJournal!$A451,Journal!$P:$P)</f>
        <v>1592</v>
      </c>
      <c r="N451" s="8">
        <f>SUMIF(Journal!$A:$A,HeadJournal!$A451,Journal!Q:Q)</f>
        <v>2200</v>
      </c>
      <c r="O451" s="18">
        <f>SUMIF(Journal!$A:$A,HeadJournal!$A451,Journal!U:U)</f>
        <v>608</v>
      </c>
      <c r="P451" s="22">
        <f t="shared" ref="P451:P514" si="61">IF(N451&lt;&gt;0,IFERROR(O451/M451,""),"")</f>
        <v>0.38190954773869346</v>
      </c>
      <c r="Q451" s="7" t="b">
        <f t="shared" si="60"/>
        <v>1</v>
      </c>
      <c r="R451" s="73">
        <f t="shared" ref="R451:R514" si="62">L451/M451</f>
        <v>0</v>
      </c>
    </row>
    <row r="452" spans="1:18" x14ac:dyDescent="0.25">
      <c r="A452" s="12" t="s">
        <v>1722</v>
      </c>
      <c r="B452" s="124" t="s">
        <v>1723</v>
      </c>
      <c r="C452" s="12" t="s">
        <v>1737</v>
      </c>
      <c r="D452" s="12" t="s">
        <v>714</v>
      </c>
      <c r="E452" s="12" t="s">
        <v>1477</v>
      </c>
      <c r="F452" s="124" t="s">
        <v>1753</v>
      </c>
      <c r="G452" s="13">
        <v>45378</v>
      </c>
      <c r="H452" s="14">
        <f>(9166.93-1860.86)/70.69</f>
        <v>103.3536568114302</v>
      </c>
      <c r="I452" s="14">
        <v>-12.19</v>
      </c>
      <c r="J452" s="8">
        <f>SUMIF(Journal!$A:$A,HeadJournal!$A452,Journal!$K:$K)+SUMIF(Journal!$A:$A,HeadJournal!$A452,Journal!$L:$L)+SUMIF(Journal!$A:$A,HeadJournal!$A452,Journal!$M:$M)</f>
        <v>70.690000000000012</v>
      </c>
      <c r="K452" s="14">
        <v>70.69</v>
      </c>
      <c r="L452" s="14">
        <f>(1500+1798.83)/3</f>
        <v>1099.6099999999999</v>
      </c>
      <c r="M452" s="8">
        <f>SUMIF(Journal!$A:$A,HeadJournal!$A452,Journal!$P:$P)</f>
        <v>8405.6799999999985</v>
      </c>
      <c r="N452" s="8">
        <f>SUMIF(Journal!$A:$A,HeadJournal!$A452,Journal!Q:Q)</f>
        <v>6900</v>
      </c>
      <c r="O452" s="18">
        <f>SUMIF(Journal!$A:$A,HeadJournal!$A452,Journal!U:U)</f>
        <v>-1505.68</v>
      </c>
      <c r="P452" s="22">
        <f t="shared" si="61"/>
        <v>-0.17912649541738448</v>
      </c>
      <c r="R452" s="73">
        <f t="shared" si="62"/>
        <v>0.13081749483682464</v>
      </c>
    </row>
    <row r="453" spans="1:18" x14ac:dyDescent="0.25">
      <c r="A453" s="12" t="s">
        <v>1726</v>
      </c>
      <c r="B453" s="124" t="s">
        <v>1727</v>
      </c>
      <c r="C453" s="12" t="s">
        <v>1751</v>
      </c>
      <c r="D453" s="12" t="s">
        <v>714</v>
      </c>
      <c r="E453" s="12" t="s">
        <v>1477</v>
      </c>
      <c r="F453" s="124" t="s">
        <v>1753</v>
      </c>
      <c r="G453" s="13">
        <v>45375</v>
      </c>
      <c r="H453" s="14">
        <f>26882.9/259.22</f>
        <v>103.70688990047064</v>
      </c>
      <c r="I453" s="14">
        <v>-4</v>
      </c>
      <c r="J453" s="8">
        <f>SUMIF(Journal!$A:$A,HeadJournal!$A453,Journal!$K:$K)+SUMIF(Journal!$A:$A,HeadJournal!$A453,Journal!$L:$L)+SUMIF(Journal!$A:$A,HeadJournal!$A453,Journal!$M:$M)</f>
        <v>259.22000000000003</v>
      </c>
      <c r="K453" s="14">
        <v>259.22000000000003</v>
      </c>
      <c r="L453" s="14">
        <f>(1500+1798.83)/3</f>
        <v>1099.6099999999999</v>
      </c>
      <c r="M453" s="8">
        <f>SUMIF(Journal!$A:$A,HeadJournal!$A453,Journal!$P:$P)</f>
        <v>27982.510000000002</v>
      </c>
      <c r="N453" s="8">
        <f>SUMIF(Journal!$A:$A,HeadJournal!$A453,Journal!Q:Q)</f>
        <v>40400</v>
      </c>
      <c r="O453" s="18">
        <f>SUMIF(Journal!$A:$A,HeadJournal!$A453,Journal!U:U)</f>
        <v>12417.489999999998</v>
      </c>
      <c r="P453" s="22">
        <f t="shared" si="61"/>
        <v>0.44375897658930513</v>
      </c>
      <c r="R453" s="73">
        <f t="shared" si="62"/>
        <v>3.9296331887311034E-2</v>
      </c>
    </row>
    <row r="454" spans="1:18" x14ac:dyDescent="0.25">
      <c r="A454" s="12" t="s">
        <v>1729</v>
      </c>
      <c r="B454" s="12" t="s">
        <v>1730</v>
      </c>
      <c r="C454" s="12" t="s">
        <v>1501</v>
      </c>
      <c r="D454" s="12" t="s">
        <v>714</v>
      </c>
      <c r="E454" s="12" t="s">
        <v>1477</v>
      </c>
      <c r="F454" s="12"/>
      <c r="G454" s="13">
        <v>45373</v>
      </c>
      <c r="H454" s="14">
        <v>1</v>
      </c>
      <c r="I454" s="14">
        <v>0</v>
      </c>
      <c r="J454" s="8">
        <f>SUMIF(Journal!$A:$A,HeadJournal!$A454,Journal!$K:$K)+SUMIF(Journal!$A:$A,HeadJournal!$A454,Journal!$L:$L)+SUMIF(Journal!$A:$A,HeadJournal!$A454,Journal!$M:$M)</f>
        <v>3574.04</v>
      </c>
      <c r="K454" s="14">
        <v>3574.04</v>
      </c>
      <c r="L454" s="14">
        <f>53+426</f>
        <v>479</v>
      </c>
      <c r="M454" s="8">
        <f>SUMIF(Journal!$A:$A,HeadJournal!$A454,Journal!$P:$P)</f>
        <v>4053.0400000000004</v>
      </c>
      <c r="N454" s="8">
        <f>SUMIF(Journal!$A:$A,HeadJournal!$A454,Journal!Q:Q)</f>
        <v>2400</v>
      </c>
      <c r="O454" s="18">
        <f>SUMIF(Journal!$A:$A,HeadJournal!$A454,Journal!U:U)</f>
        <v>-1653.04</v>
      </c>
      <c r="P454" s="22">
        <f t="shared" si="61"/>
        <v>-0.40785188401792227</v>
      </c>
      <c r="Q454" s="7" t="b">
        <f>J454=K454</f>
        <v>1</v>
      </c>
      <c r="R454" s="73">
        <f t="shared" si="62"/>
        <v>0.11818289481475631</v>
      </c>
    </row>
    <row r="455" spans="1:18" x14ac:dyDescent="0.25">
      <c r="A455" s="12" t="s">
        <v>1733</v>
      </c>
      <c r="B455" s="124" t="s">
        <v>1734</v>
      </c>
      <c r="C455" s="12" t="s">
        <v>1735</v>
      </c>
      <c r="D455" s="12" t="s">
        <v>714</v>
      </c>
      <c r="E455" s="12" t="s">
        <v>1477</v>
      </c>
      <c r="F455" s="124" t="s">
        <v>1781</v>
      </c>
      <c r="G455" s="13">
        <v>45396</v>
      </c>
      <c r="H455" s="14">
        <f>13944.78/133.18</f>
        <v>104.70626220153176</v>
      </c>
      <c r="I455" s="14">
        <v>-16.04</v>
      </c>
      <c r="J455" s="8">
        <f>SUMIF(Journal!$A:$A,HeadJournal!$A455,Journal!$K:$K)+SUMIF(Journal!$A:$A,HeadJournal!$A455,Journal!$L:$L)+SUMIF(Journal!$A:$A,HeadJournal!$A455,Journal!$M:$M)</f>
        <v>133.18000000000004</v>
      </c>
      <c r="K455" s="14">
        <v>133.18</v>
      </c>
      <c r="L455" s="14">
        <f>(1720.03+1300)/3</f>
        <v>1006.6766666666666</v>
      </c>
      <c r="M455" s="8">
        <f>SUMIF(Journal!$A:$A,HeadJournal!$A455,Journal!$P:$P)</f>
        <v>14951.456666666663</v>
      </c>
      <c r="N455" s="8">
        <f>SUMIF(Journal!$A:$A,HeadJournal!$A455,Journal!Q:Q)</f>
        <v>24100</v>
      </c>
      <c r="O455" s="18">
        <f>SUMIF(Journal!$A:$A,HeadJournal!$A455,Journal!U:U)</f>
        <v>9148.5433333333349</v>
      </c>
      <c r="P455" s="22">
        <f t="shared" si="61"/>
        <v>0.61188307850494861</v>
      </c>
      <c r="R455" s="73">
        <f t="shared" si="62"/>
        <v>6.732967155708576E-2</v>
      </c>
    </row>
    <row r="456" spans="1:18" x14ac:dyDescent="0.25">
      <c r="A456" s="12" t="s">
        <v>1738</v>
      </c>
      <c r="B456" s="124" t="s">
        <v>1739</v>
      </c>
      <c r="C456" s="12" t="s">
        <v>1737</v>
      </c>
      <c r="D456" s="12" t="s">
        <v>714</v>
      </c>
      <c r="E456" s="12" t="s">
        <v>1477</v>
      </c>
      <c r="F456" s="114" t="s">
        <v>1764</v>
      </c>
      <c r="G456" s="13">
        <v>45390</v>
      </c>
      <c r="H456" s="14">
        <f>12175.68/116.3</f>
        <v>104.69200343938091</v>
      </c>
      <c r="I456" s="14">
        <v>-13.8</v>
      </c>
      <c r="J456" s="8">
        <f>SUMIF(Journal!$A:$A,HeadJournal!$A456,Journal!$K:$K)+SUMIF(Journal!$A:$A,HeadJournal!$A456,Journal!$L:$L)+SUMIF(Journal!$A:$A,HeadJournal!$A456,Journal!$M:$M)</f>
        <v>116.3</v>
      </c>
      <c r="K456" s="14">
        <v>116.3</v>
      </c>
      <c r="L456" s="14">
        <f>(1234.76+1000)/3</f>
        <v>744.92000000000007</v>
      </c>
      <c r="M456" s="8">
        <f>SUMIF(Journal!$A:$A,HeadJournal!$A456,Journal!$P:$P)</f>
        <v>12920.6</v>
      </c>
      <c r="N456" s="8">
        <f>SUMIF(Journal!$A:$A,HeadJournal!$A456,Journal!Q:Q)</f>
        <v>20300</v>
      </c>
      <c r="O456" s="18">
        <f>SUMIF(Journal!$A:$A,HeadJournal!$A456,Journal!U:U)</f>
        <v>7379.4</v>
      </c>
      <c r="P456" s="22">
        <f t="shared" si="61"/>
        <v>0.57113446743959251</v>
      </c>
      <c r="R456" s="73">
        <f t="shared" si="62"/>
        <v>5.7653669334241445E-2</v>
      </c>
    </row>
    <row r="457" spans="1:18" x14ac:dyDescent="0.25">
      <c r="A457" s="12" t="s">
        <v>1743</v>
      </c>
      <c r="B457" s="124" t="s">
        <v>1744</v>
      </c>
      <c r="C457" s="12" t="s">
        <v>1751</v>
      </c>
      <c r="D457" s="12" t="s">
        <v>714</v>
      </c>
      <c r="E457" s="12" t="s">
        <v>1477</v>
      </c>
      <c r="F457" s="114" t="s">
        <v>1764</v>
      </c>
      <c r="G457" s="13">
        <v>45392</v>
      </c>
      <c r="H457" s="14">
        <f>17645.79/169.64</f>
        <v>104.0190403206791</v>
      </c>
      <c r="I457" s="14">
        <v>-8.07</v>
      </c>
      <c r="J457" s="8">
        <f>SUMIF(Journal!$A:$A,HeadJournal!$A457,Journal!$K:$K)+SUMIF(Journal!$A:$A,HeadJournal!$A457,Journal!$L:$L)+SUMIF(Journal!$A:$A,HeadJournal!$A457,Journal!$M:$M)</f>
        <v>169.64</v>
      </c>
      <c r="K457" s="14">
        <v>169.64</v>
      </c>
      <c r="L457" s="14">
        <f>(1234.76+1000)/3</f>
        <v>744.92000000000007</v>
      </c>
      <c r="M457" s="8">
        <f>SUMIF(Journal!$A:$A,HeadJournal!$A457,Journal!$P:$P)</f>
        <v>18390.71</v>
      </c>
      <c r="N457" s="8">
        <f>SUMIF(Journal!$A:$A,HeadJournal!$A457,Journal!Q:Q)</f>
        <v>31064.35</v>
      </c>
      <c r="O457" s="18">
        <f>SUMIF(Journal!$A:$A,HeadJournal!$A457,Journal!U:U)</f>
        <v>12673.64</v>
      </c>
      <c r="P457" s="22">
        <f t="shared" si="61"/>
        <v>0.68913271972642709</v>
      </c>
      <c r="R457" s="73">
        <f t="shared" si="62"/>
        <v>4.0505233348794044E-2</v>
      </c>
    </row>
    <row r="458" spans="1:18" x14ac:dyDescent="0.25">
      <c r="A458" s="12" t="s">
        <v>1746</v>
      </c>
      <c r="B458" s="124" t="s">
        <v>1747</v>
      </c>
      <c r="C458" s="12" t="s">
        <v>1751</v>
      </c>
      <c r="D458" s="12" t="s">
        <v>714</v>
      </c>
      <c r="E458" s="12" t="s">
        <v>1477</v>
      </c>
      <c r="F458" s="124" t="s">
        <v>1764</v>
      </c>
      <c r="G458" s="13">
        <v>45385</v>
      </c>
      <c r="H458" s="14">
        <f>11732.82/112.05</f>
        <v>104.71057563587684</v>
      </c>
      <c r="I458" s="14">
        <v>-13.64</v>
      </c>
      <c r="J458" s="8">
        <f>SUMIF(Journal!$A:$A,HeadJournal!$A458,Journal!$K:$K)+SUMIF(Journal!$A:$A,HeadJournal!$A458,Journal!$L:$L)+SUMIF(Journal!$A:$A,HeadJournal!$A458,Journal!$M:$M)</f>
        <v>112.04999999999998</v>
      </c>
      <c r="K458" s="14">
        <v>112.05</v>
      </c>
      <c r="L458" s="14">
        <f>(1234.76+1000)/3</f>
        <v>744.92000000000007</v>
      </c>
      <c r="M458" s="8">
        <f>SUMIF(Journal!$A:$A,HeadJournal!$A458,Journal!$P:$P)</f>
        <v>12477.74</v>
      </c>
      <c r="N458" s="8">
        <f>SUMIF(Journal!$A:$A,HeadJournal!$A458,Journal!Q:Q)</f>
        <v>22100</v>
      </c>
      <c r="O458" s="18">
        <f>SUMIF(Journal!$A:$A,HeadJournal!$A458,Journal!U:U)</f>
        <v>9622.26</v>
      </c>
      <c r="P458" s="22">
        <f t="shared" si="61"/>
        <v>0.7711540711699395</v>
      </c>
      <c r="R458" s="73">
        <f t="shared" si="62"/>
        <v>5.9699913606149839E-2</v>
      </c>
    </row>
    <row r="459" spans="1:18" x14ac:dyDescent="0.25">
      <c r="A459" s="12" t="s">
        <v>1754</v>
      </c>
      <c r="B459" s="124" t="s">
        <v>1757</v>
      </c>
      <c r="C459" s="12" t="s">
        <v>1735</v>
      </c>
      <c r="D459" s="12" t="s">
        <v>714</v>
      </c>
      <c r="E459" s="12" t="s">
        <v>1477</v>
      </c>
      <c r="F459" s="114" t="s">
        <v>1781</v>
      </c>
      <c r="G459" s="13">
        <v>45404</v>
      </c>
      <c r="H459" s="14">
        <f>19565.8/188.91</f>
        <v>103.57207135673072</v>
      </c>
      <c r="I459" s="14">
        <v>0</v>
      </c>
      <c r="J459" s="8">
        <f>SUMIF(Journal!$A:$A,HeadJournal!$A459,Journal!$K:$K)+SUMIF(Journal!$A:$A,HeadJournal!$A459,Journal!$L:$L)+SUMIF(Journal!$A:$A,HeadJournal!$A459,Journal!$M:$M)</f>
        <v>188.91000000000003</v>
      </c>
      <c r="K459" s="14">
        <v>188.91</v>
      </c>
      <c r="L459" s="14">
        <f>(1720.03+1300)/3</f>
        <v>1006.6766666666666</v>
      </c>
      <c r="M459" s="8">
        <f>SUMIF(Journal!$A:$A,HeadJournal!$A459,Journal!$P:$P)</f>
        <v>20572.476666666662</v>
      </c>
      <c r="N459" s="8">
        <f>SUMIF(Journal!$A:$A,HeadJournal!$A459,Journal!Q:Q)</f>
        <v>30200</v>
      </c>
      <c r="O459" s="18">
        <f>SUMIF(Journal!$A:$A,HeadJournal!$A459,Journal!U:U)</f>
        <v>9627.5233333333381</v>
      </c>
      <c r="P459" s="22">
        <f t="shared" si="61"/>
        <v>0.46798076329490745</v>
      </c>
      <c r="R459" s="73">
        <f t="shared" si="62"/>
        <v>4.8933178196175708E-2</v>
      </c>
    </row>
    <row r="460" spans="1:18" x14ac:dyDescent="0.25">
      <c r="A460" s="12" t="s">
        <v>1755</v>
      </c>
      <c r="B460" s="124" t="s">
        <v>1758</v>
      </c>
      <c r="C460" s="12" t="s">
        <v>1737</v>
      </c>
      <c r="D460" s="12" t="s">
        <v>714</v>
      </c>
      <c r="E460" s="12" t="s">
        <v>1477</v>
      </c>
      <c r="F460" s="114" t="s">
        <v>1781</v>
      </c>
      <c r="G460" s="13">
        <v>45403</v>
      </c>
      <c r="H460" s="14">
        <f>17289.45/J460</f>
        <v>104.14076617275023</v>
      </c>
      <c r="I460" s="14">
        <v>-10.11</v>
      </c>
      <c r="J460" s="8">
        <f>SUMIF(Journal!$A:$A,HeadJournal!$A460,Journal!$K:$K)+SUMIF(Journal!$A:$A,HeadJournal!$A460,Journal!$L:$L)+SUMIF(Journal!$A:$A,HeadJournal!$A460,Journal!$M:$M)</f>
        <v>166.02000000000007</v>
      </c>
      <c r="K460" s="14">
        <v>166.02</v>
      </c>
      <c r="L460" s="14">
        <f>(1720.03+1300)/3</f>
        <v>1006.6766666666666</v>
      </c>
      <c r="M460" s="8">
        <f>SUMIF(Journal!$A:$A,HeadJournal!$A460,Journal!$P:$P)</f>
        <v>18296.126666666652</v>
      </c>
      <c r="N460" s="8">
        <f>SUMIF(Journal!$A:$A,HeadJournal!$A460,Journal!Q:Q)</f>
        <v>21800</v>
      </c>
      <c r="O460" s="18">
        <f>SUMIF(Journal!$A:$A,HeadJournal!$A460,Journal!U:U)</f>
        <v>3503.8733333333457</v>
      </c>
      <c r="P460" s="22">
        <f t="shared" si="61"/>
        <v>0.19150902249255755</v>
      </c>
      <c r="R460" s="73">
        <f t="shared" si="62"/>
        <v>5.5021299590186527E-2</v>
      </c>
    </row>
    <row r="461" spans="1:18" x14ac:dyDescent="0.25">
      <c r="A461" s="12" t="s">
        <v>1756</v>
      </c>
      <c r="B461" s="124" t="s">
        <v>1759</v>
      </c>
      <c r="C461" s="12" t="s">
        <v>1751</v>
      </c>
      <c r="D461" s="12" t="s">
        <v>714</v>
      </c>
      <c r="E461" s="12" t="s">
        <v>1477</v>
      </c>
      <c r="F461" s="114" t="s">
        <v>1781</v>
      </c>
      <c r="G461" s="13">
        <v>45402</v>
      </c>
      <c r="H461" s="14">
        <f>16292.86/J461</f>
        <v>104.16763634038745</v>
      </c>
      <c r="I461" s="14">
        <v>-9.94</v>
      </c>
      <c r="J461" s="8">
        <f>SUMIF(Journal!$A:$A,HeadJournal!$A461,Journal!$K:$K)+SUMIF(Journal!$A:$A,HeadJournal!$A461,Journal!$L:$L)+SUMIF(Journal!$A:$A,HeadJournal!$A461,Journal!$M:$M)</f>
        <v>156.41</v>
      </c>
      <c r="K461" s="14">
        <v>156.41</v>
      </c>
      <c r="L461" s="14">
        <f>(1720.03+1300)/3</f>
        <v>1006.6766666666666</v>
      </c>
      <c r="M461" s="8">
        <f>SUMIF(Journal!$A:$A,HeadJournal!$A461,Journal!$P:$P)</f>
        <v>17299.536666666667</v>
      </c>
      <c r="N461" s="8">
        <f>SUMIF(Journal!$A:$A,HeadJournal!$A461,Journal!Q:Q)</f>
        <v>26400</v>
      </c>
      <c r="O461" s="18">
        <f>SUMIF(Journal!$A:$A,HeadJournal!$A461,Journal!U:U)</f>
        <v>9100.463333333335</v>
      </c>
      <c r="P461" s="22">
        <f t="shared" si="61"/>
        <v>0.52605243184740413</v>
      </c>
      <c r="R461" s="73">
        <f t="shared" si="62"/>
        <v>5.8190961183738829E-2</v>
      </c>
    </row>
    <row r="462" spans="1:18" x14ac:dyDescent="0.25">
      <c r="A462" s="12" t="s">
        <v>1765</v>
      </c>
      <c r="B462" s="12"/>
      <c r="C462" s="12" t="s">
        <v>1380</v>
      </c>
      <c r="D462" s="12" t="s">
        <v>714</v>
      </c>
      <c r="E462" s="12"/>
      <c r="F462" s="12"/>
      <c r="G462" s="13">
        <v>45408</v>
      </c>
      <c r="H462" s="14">
        <v>1</v>
      </c>
      <c r="I462" s="14">
        <v>0</v>
      </c>
      <c r="J462" s="8">
        <f>SUMIF(Journal!$A:$A,HeadJournal!$A462,Journal!$K:$K)+SUMIF(Journal!$A:$A,HeadJournal!$A462,Journal!$L:$L)+SUMIF(Journal!$A:$A,HeadJournal!$A462,Journal!$M:$M)</f>
        <v>4644</v>
      </c>
      <c r="K462" s="14">
        <v>4644</v>
      </c>
      <c r="L462" s="14">
        <v>0</v>
      </c>
      <c r="M462" s="8">
        <f>SUMIF(Journal!$A:$A,HeadJournal!$A462,Journal!$P:$P)</f>
        <v>4644</v>
      </c>
      <c r="N462" s="8">
        <f>SUMIF(Journal!$A:$A,HeadJournal!$A462,Journal!Q:Q)</f>
        <v>2718.69</v>
      </c>
      <c r="O462" s="18">
        <f>SUMIF(Journal!$A:$A,HeadJournal!$A462,Journal!U:U)</f>
        <v>-1925.31</v>
      </c>
      <c r="P462" s="22">
        <f t="shared" si="61"/>
        <v>-0.41458010335917311</v>
      </c>
      <c r="Q462" s="7" t="b">
        <f>J462=K462</f>
        <v>1</v>
      </c>
      <c r="R462" s="73">
        <f t="shared" si="62"/>
        <v>0</v>
      </c>
    </row>
    <row r="463" spans="1:18" x14ac:dyDescent="0.25">
      <c r="A463" s="12" t="s">
        <v>1769</v>
      </c>
      <c r="B463" s="124" t="s">
        <v>1770</v>
      </c>
      <c r="C463" s="12" t="s">
        <v>1737</v>
      </c>
      <c r="D463" s="12" t="s">
        <v>714</v>
      </c>
      <c r="E463" s="12" t="s">
        <v>1477</v>
      </c>
      <c r="F463" s="114" t="s">
        <v>1782</v>
      </c>
      <c r="G463" s="13">
        <v>45411</v>
      </c>
      <c r="H463" s="14">
        <f>14606.33/J463</f>
        <v>103.56895695951216</v>
      </c>
      <c r="I463" s="14">
        <v>0</v>
      </c>
      <c r="J463" s="8">
        <f>SUMIF(Journal!$A:$A,HeadJournal!$A463,Journal!$K:$K)+SUMIF(Journal!$A:$A,HeadJournal!$A463,Journal!$L:$L)+SUMIF(Journal!$A:$A,HeadJournal!$A463,Journal!$M:$M)</f>
        <v>141.03</v>
      </c>
      <c r="K463" s="14">
        <v>141.03</v>
      </c>
      <c r="L463" s="14">
        <f>(1401.87+1100)/2</f>
        <v>1250.9349999999999</v>
      </c>
      <c r="M463" s="8">
        <f>SUMIF(Journal!$A:$A,HeadJournal!$A463,Journal!$P:$P)</f>
        <v>15857.265000000001</v>
      </c>
      <c r="N463" s="8">
        <f>SUMIF(Journal!$A:$A,HeadJournal!$A463,Journal!Q:Q)</f>
        <v>17600</v>
      </c>
      <c r="O463" s="18">
        <f>SUMIF(Journal!$A:$A,HeadJournal!$A463,Journal!U:U)</f>
        <v>1742.7349999999994</v>
      </c>
      <c r="P463" s="22">
        <f t="shared" si="61"/>
        <v>0.1099013606696993</v>
      </c>
      <c r="R463" s="73">
        <f t="shared" si="62"/>
        <v>7.8887185148258529E-2</v>
      </c>
    </row>
    <row r="464" spans="1:18" x14ac:dyDescent="0.25">
      <c r="A464" s="12" t="s">
        <v>1774</v>
      </c>
      <c r="B464" s="124" t="s">
        <v>1775</v>
      </c>
      <c r="C464" s="12" t="s">
        <v>1751</v>
      </c>
      <c r="D464" s="12" t="s">
        <v>714</v>
      </c>
      <c r="E464" s="12" t="s">
        <v>1477</v>
      </c>
      <c r="F464" s="114" t="s">
        <v>1782</v>
      </c>
      <c r="G464" s="13">
        <v>45410</v>
      </c>
      <c r="H464" s="14">
        <f>19786.87/J464</f>
        <v>103.77003356408643</v>
      </c>
      <c r="I464" s="14">
        <v>-4</v>
      </c>
      <c r="J464" s="8">
        <f>SUMIF(Journal!$A:$A,HeadJournal!$A464,Journal!$K:$K)+SUMIF(Journal!$A:$A,HeadJournal!$A464,Journal!$L:$L)+SUMIF(Journal!$A:$A,HeadJournal!$A464,Journal!$M:$M)</f>
        <v>190.67999999999998</v>
      </c>
      <c r="K464" s="14">
        <v>190.68</v>
      </c>
      <c r="L464" s="14">
        <f>(1401.87+1100)/2</f>
        <v>1250.9349999999999</v>
      </c>
      <c r="M464" s="8">
        <f>SUMIF(Journal!$A:$A,HeadJournal!$A464,Journal!$P:$P)</f>
        <v>21037.805000000004</v>
      </c>
      <c r="N464" s="8">
        <f>SUMIF(Journal!$A:$A,HeadJournal!$A464,Journal!Q:Q)</f>
        <v>30887.67</v>
      </c>
      <c r="O464" s="18">
        <f>SUMIF(Journal!$A:$A,HeadJournal!$A464,Journal!U:U)</f>
        <v>9849.864999999998</v>
      </c>
      <c r="P464" s="22">
        <f t="shared" si="61"/>
        <v>0.46819832202076195</v>
      </c>
      <c r="R464" s="73">
        <f t="shared" si="62"/>
        <v>5.9461288855942894E-2</v>
      </c>
    </row>
    <row r="465" spans="1:18" x14ac:dyDescent="0.25">
      <c r="A465" s="12" t="s">
        <v>1777</v>
      </c>
      <c r="B465" s="124" t="s">
        <v>1778</v>
      </c>
      <c r="C465" s="12" t="s">
        <v>1751</v>
      </c>
      <c r="D465" s="12" t="s">
        <v>714</v>
      </c>
      <c r="E465" s="12" t="s">
        <v>1477</v>
      </c>
      <c r="F465" s="114" t="s">
        <v>1844</v>
      </c>
      <c r="G465" s="13">
        <v>45418</v>
      </c>
      <c r="H465" s="14">
        <f>19203.25/J465</f>
        <v>103.58857481929012</v>
      </c>
      <c r="I465" s="14">
        <v>0</v>
      </c>
      <c r="J465" s="8">
        <f>SUMIF(Journal!$A:$A,HeadJournal!$A465,Journal!$K:$K)+SUMIF(Journal!$A:$A,HeadJournal!$A465,Journal!$L:$L)+SUMIF(Journal!$A:$A,HeadJournal!$A465,Journal!$M:$M)</f>
        <v>185.38</v>
      </c>
      <c r="K465" s="14">
        <v>185.38</v>
      </c>
      <c r="L465" s="14">
        <f>(1459.27+1100)/2</f>
        <v>1279.635</v>
      </c>
      <c r="M465" s="8">
        <f>SUMIF(Journal!$A:$A,HeadJournal!$A465,Journal!$P:$P)</f>
        <v>20482.885000000002</v>
      </c>
      <c r="N465" s="8">
        <f>SUMIF(Journal!$A:$A,HeadJournal!$A465,Journal!Q:Q)</f>
        <v>37100</v>
      </c>
      <c r="O465" s="18">
        <f>SUMIF(Journal!$A:$A,HeadJournal!$A465,Journal!U:U)</f>
        <v>16617.114999999994</v>
      </c>
      <c r="P465" s="22">
        <f t="shared" si="61"/>
        <v>0.81126828569315268</v>
      </c>
      <c r="R465" s="73">
        <f t="shared" si="62"/>
        <v>6.2473377163422043E-2</v>
      </c>
    </row>
    <row r="466" spans="1:18" x14ac:dyDescent="0.25">
      <c r="A466" s="12" t="s">
        <v>1784</v>
      </c>
      <c r="B466" s="12" t="s">
        <v>1783</v>
      </c>
      <c r="C466" s="12" t="s">
        <v>1501</v>
      </c>
      <c r="D466" s="12" t="s">
        <v>714</v>
      </c>
      <c r="E466" s="12" t="s">
        <v>1477</v>
      </c>
      <c r="F466" s="12"/>
      <c r="G466" s="13">
        <v>45406</v>
      </c>
      <c r="H466" s="14">
        <v>1</v>
      </c>
      <c r="I466" s="14">
        <v>0</v>
      </c>
      <c r="J466" s="8">
        <f>SUMIF(Journal!$A:$A,HeadJournal!$A466,Journal!$K:$K)+SUMIF(Journal!$A:$A,HeadJournal!$A466,Journal!$L:$L)+SUMIF(Journal!$A:$A,HeadJournal!$A466,Journal!$M:$M)</f>
        <v>9436.98</v>
      </c>
      <c r="K466" s="14">
        <f>8600.06-303-102</f>
        <v>8195.06</v>
      </c>
      <c r="L466" s="14">
        <f>303+102</f>
        <v>405</v>
      </c>
      <c r="M466" s="8">
        <f>SUMIF(Journal!$A:$A,HeadJournal!$A466,Journal!$P:$P)</f>
        <v>8600.06</v>
      </c>
      <c r="N466" s="8">
        <f>SUMIF(Journal!$A:$A,HeadJournal!$A466,Journal!Q:Q)</f>
        <v>4400</v>
      </c>
      <c r="O466" s="18">
        <f>SUMIF(Journal!$A:$A,HeadJournal!$A466,Journal!U:U)</f>
        <v>-4200.0600000000013</v>
      </c>
      <c r="P466" s="22">
        <f t="shared" si="61"/>
        <v>-0.48837566249537812</v>
      </c>
      <c r="Q466" s="7" t="b">
        <f t="shared" ref="Q466:Q471" si="63">J466=K466</f>
        <v>0</v>
      </c>
      <c r="R466" s="73">
        <f t="shared" si="62"/>
        <v>4.709269470212999E-2</v>
      </c>
    </row>
    <row r="467" spans="1:18" x14ac:dyDescent="0.25">
      <c r="A467" s="12" t="s">
        <v>1790</v>
      </c>
      <c r="B467" s="12" t="s">
        <v>1789</v>
      </c>
      <c r="C467" s="12" t="s">
        <v>1514</v>
      </c>
      <c r="D467" s="12" t="s">
        <v>714</v>
      </c>
      <c r="E467" s="12" t="s">
        <v>1477</v>
      </c>
      <c r="F467" s="12"/>
      <c r="G467" s="13">
        <v>45406</v>
      </c>
      <c r="H467" s="14">
        <v>1</v>
      </c>
      <c r="I467" s="14">
        <v>0</v>
      </c>
      <c r="J467" s="8">
        <f>SUMIF(Journal!$A:$A,HeadJournal!$A467,Journal!$K:$K)+SUMIF(Journal!$A:$A,HeadJournal!$A467,Journal!$L:$L)+SUMIF(Journal!$A:$A,HeadJournal!$A467,Journal!$M:$M)</f>
        <v>8427.2799999999988</v>
      </c>
      <c r="K467" s="14">
        <f>7609.05-L467</f>
        <v>7045.05</v>
      </c>
      <c r="L467" s="14">
        <f>89+475</f>
        <v>564</v>
      </c>
      <c r="M467" s="8">
        <f>SUMIF(Journal!$A:$A,HeadJournal!$A467,Journal!$P:$P)</f>
        <v>7609.050000000002</v>
      </c>
      <c r="N467" s="8">
        <f>SUMIF(Journal!$A:$A,HeadJournal!$A467,Journal!Q:Q)</f>
        <v>5050</v>
      </c>
      <c r="O467" s="18">
        <f>SUMIF(Journal!$A:$A,HeadJournal!$A467,Journal!U:U)</f>
        <v>-2559.0500000000006</v>
      </c>
      <c r="P467" s="22">
        <f t="shared" si="61"/>
        <v>-0.33631662296870174</v>
      </c>
      <c r="Q467" s="7" t="b">
        <f t="shared" si="63"/>
        <v>0</v>
      </c>
      <c r="R467" s="73">
        <f t="shared" si="62"/>
        <v>7.4122262306069733E-2</v>
      </c>
    </row>
    <row r="468" spans="1:18" x14ac:dyDescent="0.25">
      <c r="A468" s="12" t="s">
        <v>1796</v>
      </c>
      <c r="B468" s="12"/>
      <c r="C468" s="12" t="s">
        <v>1357</v>
      </c>
      <c r="D468" s="12" t="s">
        <v>714</v>
      </c>
      <c r="E468" s="12" t="s">
        <v>1477</v>
      </c>
      <c r="F468" s="12"/>
      <c r="G468" s="13">
        <v>45378</v>
      </c>
      <c r="H468" s="14">
        <v>1</v>
      </c>
      <c r="I468" s="14">
        <v>0</v>
      </c>
      <c r="J468" s="8">
        <f>SUMIF(Journal!$A:$A,HeadJournal!$A468,Journal!$K:$K)+SUMIF(Journal!$A:$A,HeadJournal!$A468,Journal!$L:$L)+SUMIF(Journal!$A:$A,HeadJournal!$A468,Journal!$M:$M)</f>
        <v>6600</v>
      </c>
      <c r="K468" s="14">
        <v>6600</v>
      </c>
      <c r="L468" s="14"/>
      <c r="M468" s="8">
        <f>SUMIF(Journal!$A:$A,HeadJournal!$A468,Journal!$P:$P)</f>
        <v>6600</v>
      </c>
      <c r="N468" s="8">
        <f>SUMIF(Journal!$A:$A,HeadJournal!$A468,Journal!Q:Q)</f>
        <v>8000</v>
      </c>
      <c r="O468" s="18">
        <f>SUMIF(Journal!$A:$A,HeadJournal!$A468,Journal!U:U)</f>
        <v>1400</v>
      </c>
      <c r="P468" s="22">
        <f t="shared" si="61"/>
        <v>0.21212121212121213</v>
      </c>
      <c r="Q468" s="7" t="b">
        <f t="shared" si="63"/>
        <v>1</v>
      </c>
      <c r="R468" s="73">
        <f t="shared" si="62"/>
        <v>0</v>
      </c>
    </row>
    <row r="469" spans="1:18" x14ac:dyDescent="0.25">
      <c r="A469" s="12" t="s">
        <v>1797</v>
      </c>
      <c r="B469" s="12"/>
      <c r="C469" s="12" t="s">
        <v>843</v>
      </c>
      <c r="D469" s="12" t="s">
        <v>714</v>
      </c>
      <c r="E469" s="12" t="s">
        <v>1477</v>
      </c>
      <c r="F469" s="12"/>
      <c r="G469" s="13">
        <v>45415</v>
      </c>
      <c r="H469" s="14">
        <v>1</v>
      </c>
      <c r="I469" s="14">
        <v>0</v>
      </c>
      <c r="J469" s="8">
        <f>SUMIF(Journal!$A:$A,HeadJournal!$A469,Journal!$K:$K)+SUMIF(Journal!$A:$A,HeadJournal!$A469,Journal!$L:$L)+SUMIF(Journal!$A:$A,HeadJournal!$A469,Journal!$M:$M)</f>
        <v>738</v>
      </c>
      <c r="K469" s="14">
        <f>246*3</f>
        <v>738</v>
      </c>
      <c r="L469" s="14">
        <v>0</v>
      </c>
      <c r="M469" s="8">
        <f>SUMIF(Journal!$A:$A,HeadJournal!$A469,Journal!$P:$P)</f>
        <v>738</v>
      </c>
      <c r="N469" s="8">
        <f>SUMIF(Journal!$A:$A,HeadJournal!$A469,Journal!Q:Q)</f>
        <v>700</v>
      </c>
      <c r="O469" s="18">
        <f>SUMIF(Journal!$A:$A,HeadJournal!$A469,Journal!U:U)</f>
        <v>-38</v>
      </c>
      <c r="P469" s="22">
        <f t="shared" si="61"/>
        <v>-5.1490514905149054E-2</v>
      </c>
      <c r="Q469" s="7" t="b">
        <f t="shared" si="63"/>
        <v>1</v>
      </c>
      <c r="R469" s="73">
        <f t="shared" si="62"/>
        <v>0</v>
      </c>
    </row>
    <row r="470" spans="1:18" x14ac:dyDescent="0.25">
      <c r="A470" s="12" t="s">
        <v>1799</v>
      </c>
      <c r="B470" s="12"/>
      <c r="C470" s="12" t="s">
        <v>843</v>
      </c>
      <c r="D470" s="12" t="s">
        <v>714</v>
      </c>
      <c r="E470" s="12" t="s">
        <v>1477</v>
      </c>
      <c r="F470" s="12"/>
      <c r="G470" s="13">
        <v>45429</v>
      </c>
      <c r="H470" s="14">
        <v>1</v>
      </c>
      <c r="I470" s="14">
        <v>0</v>
      </c>
      <c r="J470" s="8">
        <f>SUMIF(Journal!$A:$A,HeadJournal!$A470,Journal!$K:$K)+SUMIF(Journal!$A:$A,HeadJournal!$A470,Journal!$L:$L)+SUMIF(Journal!$A:$A,HeadJournal!$A470,Journal!$M:$M)</f>
        <v>1207</v>
      </c>
      <c r="K470" s="14">
        <v>1207</v>
      </c>
      <c r="L470" s="14">
        <v>0</v>
      </c>
      <c r="M470" s="8">
        <f>SUMIF(Journal!$A:$A,HeadJournal!$A470,Journal!$P:$P)</f>
        <v>1207</v>
      </c>
      <c r="N470" s="8">
        <f>SUMIF(Journal!$A:$A,HeadJournal!$A470,Journal!Q:Q)</f>
        <v>1800</v>
      </c>
      <c r="O470" s="18">
        <f>SUMIF(Journal!$A:$A,HeadJournal!$A470,Journal!U:U)</f>
        <v>593</v>
      </c>
      <c r="P470" s="22">
        <f t="shared" si="61"/>
        <v>0.49130074565037285</v>
      </c>
      <c r="Q470" s="7" t="b">
        <f t="shared" si="63"/>
        <v>1</v>
      </c>
      <c r="R470" s="73">
        <f t="shared" si="62"/>
        <v>0</v>
      </c>
    </row>
    <row r="471" spans="1:18" x14ac:dyDescent="0.25">
      <c r="A471" s="12" t="s">
        <v>1800</v>
      </c>
      <c r="B471" s="12"/>
      <c r="C471" s="12" t="s">
        <v>1380</v>
      </c>
      <c r="D471" s="12" t="s">
        <v>714</v>
      </c>
      <c r="E471" s="12"/>
      <c r="F471" s="12"/>
      <c r="G471" s="13">
        <v>45411</v>
      </c>
      <c r="H471" s="14">
        <v>1</v>
      </c>
      <c r="I471" s="14">
        <v>0</v>
      </c>
      <c r="J471" s="8">
        <f>SUMIF(Journal!$A:$A,HeadJournal!$A471,Journal!$K:$K)+SUMIF(Journal!$A:$A,HeadJournal!$A471,Journal!$L:$L)+SUMIF(Journal!$A:$A,HeadJournal!$A471,Journal!$M:$M)</f>
        <v>3063</v>
      </c>
      <c r="K471" s="14">
        <f>1110+1953</f>
        <v>3063</v>
      </c>
      <c r="L471" s="14">
        <v>0</v>
      </c>
      <c r="M471" s="8">
        <f>SUMIF(Journal!$A:$A,HeadJournal!$A471,Journal!$P:$P)</f>
        <v>3063</v>
      </c>
      <c r="N471" s="8">
        <f>SUMIF(Journal!$A:$A,HeadJournal!$A471,Journal!Q:Q)</f>
        <v>5500</v>
      </c>
      <c r="O471" s="18">
        <f>SUMIF(Journal!$A:$A,HeadJournal!$A471,Journal!U:U)</f>
        <v>2437</v>
      </c>
      <c r="P471" s="22">
        <f t="shared" si="61"/>
        <v>0.7956252040483186</v>
      </c>
      <c r="Q471" s="7" t="b">
        <f t="shared" si="63"/>
        <v>1</v>
      </c>
      <c r="R471" s="73">
        <f t="shared" si="62"/>
        <v>0</v>
      </c>
    </row>
    <row r="472" spans="1:18" x14ac:dyDescent="0.25">
      <c r="A472" s="12" t="s">
        <v>1802</v>
      </c>
      <c r="B472" s="124" t="s">
        <v>1804</v>
      </c>
      <c r="C472" s="12" t="s">
        <v>1735</v>
      </c>
      <c r="D472" s="12" t="s">
        <v>714</v>
      </c>
      <c r="E472" s="12" t="s">
        <v>1477</v>
      </c>
      <c r="F472" s="124" t="s">
        <v>1844</v>
      </c>
      <c r="G472" s="13">
        <v>45420</v>
      </c>
      <c r="H472" s="14">
        <f>20055.67/J472</f>
        <v>103.88847448847447</v>
      </c>
      <c r="I472" s="14">
        <v>-6.28</v>
      </c>
      <c r="J472" s="8">
        <f>SUMIF(Journal!$A:$A,HeadJournal!$A472,Journal!$K:$K)+SUMIF(Journal!$A:$A,HeadJournal!$A472,Journal!$L:$L)+SUMIF(Journal!$A:$A,HeadJournal!$A472,Journal!$M:$M)</f>
        <v>193.05</v>
      </c>
      <c r="K472" s="14">
        <v>193.05</v>
      </c>
      <c r="L472" s="14">
        <f>(1459.27+1100)/2</f>
        <v>1279.635</v>
      </c>
      <c r="M472" s="8">
        <f>SUMIF(Journal!$A:$A,HeadJournal!$A472,Journal!$P:$P)</f>
        <v>21335.304999999997</v>
      </c>
      <c r="N472" s="8">
        <f>SUMIF(Journal!$A:$A,HeadJournal!$A472,Journal!Q:Q)</f>
        <v>31990.920000000002</v>
      </c>
      <c r="O472" s="18">
        <f>SUMIF(Journal!$A:$A,HeadJournal!$A472,Journal!U:U)</f>
        <v>10655.615000000003</v>
      </c>
      <c r="P472" s="22">
        <f t="shared" si="61"/>
        <v>0.49943579433244589</v>
      </c>
      <c r="R472" s="73">
        <f t="shared" si="62"/>
        <v>5.9977347406095213E-2</v>
      </c>
    </row>
    <row r="473" spans="1:18" x14ac:dyDescent="0.25">
      <c r="A473" s="12" t="s">
        <v>1803</v>
      </c>
      <c r="B473" s="124" t="s">
        <v>1805</v>
      </c>
      <c r="C473" s="12" t="s">
        <v>1737</v>
      </c>
      <c r="D473" s="12" t="s">
        <v>714</v>
      </c>
      <c r="E473" s="12" t="s">
        <v>1477</v>
      </c>
      <c r="F473" s="124" t="s">
        <v>1843</v>
      </c>
      <c r="G473" s="13">
        <v>45427</v>
      </c>
      <c r="H473" s="14">
        <f>14457.22/J473</f>
        <v>104.80803247788889</v>
      </c>
      <c r="I473" s="14">
        <v>-18.14</v>
      </c>
      <c r="J473" s="8">
        <f>SUMIF(Journal!$A:$A,HeadJournal!$A473,Journal!$K:$K)+SUMIF(Journal!$A:$A,HeadJournal!$A473,Journal!$L:$L)+SUMIF(Journal!$A:$A,HeadJournal!$A473,Journal!$M:$M)</f>
        <v>137.94000000000005</v>
      </c>
      <c r="K473" s="14">
        <v>137.94</v>
      </c>
      <c r="L473" s="14">
        <f>(1529.79+1200)/3</f>
        <v>909.93</v>
      </c>
      <c r="M473" s="8">
        <f>SUMIF(Journal!$A:$A,HeadJournal!$A473,Journal!$P:$P)</f>
        <v>15367.149999999987</v>
      </c>
      <c r="N473" s="8">
        <f>SUMIF(Journal!$A:$A,HeadJournal!$A473,Journal!Q:Q)</f>
        <v>23650</v>
      </c>
      <c r="O473" s="18">
        <f>SUMIF(Journal!$A:$A,HeadJournal!$A473,Journal!U:U)</f>
        <v>8282.8500000000131</v>
      </c>
      <c r="P473" s="22">
        <f t="shared" si="61"/>
        <v>0.5389971465105774</v>
      </c>
      <c r="R473" s="73">
        <f t="shared" si="62"/>
        <v>5.9212671184962776E-2</v>
      </c>
    </row>
    <row r="474" spans="1:18" x14ac:dyDescent="0.25">
      <c r="A474" s="12" t="s">
        <v>1815</v>
      </c>
      <c r="B474" s="124" t="s">
        <v>1816</v>
      </c>
      <c r="C474" s="12" t="s">
        <v>1751</v>
      </c>
      <c r="D474" s="12" t="s">
        <v>714</v>
      </c>
      <c r="E474" s="12" t="s">
        <v>1477</v>
      </c>
      <c r="F474" s="124" t="s">
        <v>1843</v>
      </c>
      <c r="G474" s="13">
        <v>45429</v>
      </c>
      <c r="H474" s="14">
        <v>104.80803247788889</v>
      </c>
      <c r="I474" s="14">
        <v>-12.66</v>
      </c>
      <c r="J474" s="8">
        <f>SUMIF(Journal!$A:$A,HeadJournal!$A474,Journal!$K:$K)+SUMIF(Journal!$A:$A,HeadJournal!$A474,Journal!$L:$L)+SUMIF(Journal!$A:$A,HeadJournal!$A474,Journal!$M:$M)</f>
        <v>95.710000000000008</v>
      </c>
      <c r="K474" s="14">
        <v>95.71</v>
      </c>
      <c r="L474" s="14">
        <f>(1529.79+1200)/3</f>
        <v>909.93</v>
      </c>
      <c r="M474" s="8">
        <f>SUMIF(Journal!$A:$A,HeadJournal!$A474,Journal!$P:$P)</f>
        <v>10941.106788458743</v>
      </c>
      <c r="N474" s="8">
        <f>SUMIF(Journal!$A:$A,HeadJournal!$A474,Journal!Q:Q)</f>
        <v>18000</v>
      </c>
      <c r="O474" s="18">
        <f>SUMIF(Journal!$A:$A,HeadJournal!$A474,Journal!U:U)</f>
        <v>7058.8932115412563</v>
      </c>
      <c r="P474" s="22">
        <f t="shared" si="61"/>
        <v>0.6451717680872423</v>
      </c>
      <c r="R474" s="73">
        <f t="shared" si="62"/>
        <v>8.3166174829756911E-2</v>
      </c>
    </row>
    <row r="475" spans="1:18" x14ac:dyDescent="0.25">
      <c r="A475" s="12" t="s">
        <v>1820</v>
      </c>
      <c r="B475" s="124" t="s">
        <v>1821</v>
      </c>
      <c r="C475" s="12" t="s">
        <v>1752</v>
      </c>
      <c r="D475" s="12" t="s">
        <v>714</v>
      </c>
      <c r="E475" s="12" t="s">
        <v>1477</v>
      </c>
      <c r="F475" s="124" t="s">
        <v>1843</v>
      </c>
      <c r="G475" s="13">
        <v>45427</v>
      </c>
      <c r="H475" s="14">
        <f>19476.74/J475</f>
        <v>104.05909066623924</v>
      </c>
      <c r="I475" s="14">
        <v>-10.01</v>
      </c>
      <c r="J475" s="8">
        <f>SUMIF(Journal!$A:$A,HeadJournal!$A475,Journal!$K:$K)+SUMIF(Journal!$A:$A,HeadJournal!$A475,Journal!$L:$L)+SUMIF(Journal!$A:$A,HeadJournal!$A475,Journal!$M:$M)</f>
        <v>187.17000000000002</v>
      </c>
      <c r="K475" s="14">
        <v>187.17</v>
      </c>
      <c r="L475" s="14">
        <f>(1529.79+1200)/3</f>
        <v>909.93</v>
      </c>
      <c r="M475" s="8">
        <f>SUMIF(Journal!$A:$A,HeadJournal!$A475,Journal!$P:$P)</f>
        <v>20386.669999999998</v>
      </c>
      <c r="N475" s="8">
        <f>SUMIF(Journal!$A:$A,HeadJournal!$A475,Journal!Q:Q)</f>
        <v>31500</v>
      </c>
      <c r="O475" s="18">
        <f>SUMIF(Journal!$A:$A,HeadJournal!$A475,Journal!U:U)</f>
        <v>11113.330000000005</v>
      </c>
      <c r="P475" s="22">
        <f t="shared" si="61"/>
        <v>0.5451272816992675</v>
      </c>
      <c r="Q475" s="7" t="b">
        <f>J475=K475</f>
        <v>1</v>
      </c>
      <c r="R475" s="73">
        <f t="shared" si="62"/>
        <v>4.46335767440195E-2</v>
      </c>
    </row>
    <row r="476" spans="1:18" x14ac:dyDescent="0.25">
      <c r="A476" s="12" t="s">
        <v>1825</v>
      </c>
      <c r="B476" s="12"/>
      <c r="C476" s="12" t="s">
        <v>843</v>
      </c>
      <c r="D476" s="12" t="s">
        <v>714</v>
      </c>
      <c r="E476" s="12" t="s">
        <v>1477</v>
      </c>
      <c r="F476" s="12"/>
      <c r="G476" s="13">
        <v>45436</v>
      </c>
      <c r="H476" s="14">
        <v>1</v>
      </c>
      <c r="I476" s="14">
        <v>0</v>
      </c>
      <c r="J476" s="8">
        <f>SUMIF(Journal!$A:$A,HeadJournal!$A476,Journal!$K:$K)+SUMIF(Journal!$A:$A,HeadJournal!$A476,Journal!$L:$L)+SUMIF(Journal!$A:$A,HeadJournal!$A476,Journal!$M:$M)</f>
        <v>1230</v>
      </c>
      <c r="K476" s="14">
        <f>410*3</f>
        <v>1230</v>
      </c>
      <c r="L476" s="14">
        <v>0</v>
      </c>
      <c r="M476" s="8">
        <f>SUMIF(Journal!$A:$A,HeadJournal!$A476,Journal!$P:$P)</f>
        <v>1230</v>
      </c>
      <c r="N476" s="8">
        <f>SUMIF(Journal!$A:$A,HeadJournal!$A476,Journal!Q:Q)</f>
        <v>1600</v>
      </c>
      <c r="O476" s="18">
        <f>SUMIF(Journal!$A:$A,HeadJournal!$A476,Journal!U:U)</f>
        <v>370</v>
      </c>
      <c r="P476" s="22">
        <f t="shared" si="61"/>
        <v>0.30081300813008133</v>
      </c>
      <c r="Q476" s="7" t="b">
        <f>J476=K476</f>
        <v>1</v>
      </c>
      <c r="R476" s="73">
        <f t="shared" si="62"/>
        <v>0</v>
      </c>
    </row>
    <row r="477" spans="1:18" x14ac:dyDescent="0.25">
      <c r="A477" s="12" t="s">
        <v>1826</v>
      </c>
      <c r="B477" s="124" t="s">
        <v>1827</v>
      </c>
      <c r="C477" s="12" t="s">
        <v>1752</v>
      </c>
      <c r="D477" s="12" t="s">
        <v>714</v>
      </c>
      <c r="E477" s="12" t="s">
        <v>1477</v>
      </c>
      <c r="F477" s="114" t="s">
        <v>1845</v>
      </c>
      <c r="G477" s="13">
        <v>45439</v>
      </c>
      <c r="H477" s="14">
        <f>17335.68/J477</f>
        <v>103.00463458110515</v>
      </c>
      <c r="I477" s="14">
        <v>-9.4499999999999993</v>
      </c>
      <c r="J477" s="8">
        <f>SUMIF(Journal!$A:$A,HeadJournal!$A477,Journal!$K:$K)+SUMIF(Journal!$A:$A,HeadJournal!$A477,Journal!$L:$L)+SUMIF(Journal!$A:$A,HeadJournal!$A477,Journal!$M:$M)</f>
        <v>168.30000000000004</v>
      </c>
      <c r="K477" s="14">
        <v>168.3</v>
      </c>
      <c r="L477" s="14">
        <f>(2157.91+1600)/3</f>
        <v>1252.6366666666665</v>
      </c>
      <c r="M477" s="8">
        <f>SUMIF(Journal!$A:$A,HeadJournal!$A477,Journal!$P:$P)</f>
        <v>18588.316666666662</v>
      </c>
      <c r="N477" s="8">
        <f>SUMIF(Journal!$A:$A,HeadJournal!$A477,Journal!Q:Q)</f>
        <v>29135.56</v>
      </c>
      <c r="O477" s="18">
        <f>SUMIF(Journal!$A:$A,HeadJournal!$A477,Journal!U:U)</f>
        <v>10547.243333333339</v>
      </c>
      <c r="P477" s="22">
        <f t="shared" si="61"/>
        <v>0.56741250552542455</v>
      </c>
      <c r="Q477" s="7" t="b">
        <f>J477=K477</f>
        <v>1</v>
      </c>
      <c r="R477" s="73">
        <f t="shared" si="62"/>
        <v>6.738838643269654E-2</v>
      </c>
    </row>
    <row r="478" spans="1:18" x14ac:dyDescent="0.25">
      <c r="A478" s="12" t="s">
        <v>1831</v>
      </c>
      <c r="B478" s="124" t="s">
        <v>1832</v>
      </c>
      <c r="C478" s="12" t="s">
        <v>1735</v>
      </c>
      <c r="D478" s="12" t="s">
        <v>714</v>
      </c>
      <c r="E478" s="12" t="s">
        <v>1477</v>
      </c>
      <c r="F478" s="114" t="s">
        <v>1845</v>
      </c>
      <c r="G478" s="13">
        <v>45433</v>
      </c>
      <c r="H478" s="14">
        <f>18852.21/J478</f>
        <v>104.00645481628601</v>
      </c>
      <c r="I478" s="14">
        <v>-8.32</v>
      </c>
      <c r="J478" s="8">
        <f>SUMIF(Journal!$A:$A,HeadJournal!$A478,Journal!$K:$K)+SUMIF(Journal!$A:$A,HeadJournal!$A478,Journal!$L:$L)+SUMIF(Journal!$A:$A,HeadJournal!$A478,Journal!$M:$M)</f>
        <v>181.25999999999996</v>
      </c>
      <c r="K478" s="14">
        <v>181.26</v>
      </c>
      <c r="L478" s="14">
        <f>(2157.91+1600)/3</f>
        <v>1252.6366666666665</v>
      </c>
      <c r="M478" s="8">
        <f>SUMIF(Journal!$A:$A,HeadJournal!$A478,Journal!$P:$P)</f>
        <v>20104.846666666675</v>
      </c>
      <c r="N478" s="8">
        <f>SUMIF(Journal!$A:$A,HeadJournal!$A478,Journal!Q:Q)</f>
        <v>21100</v>
      </c>
      <c r="O478" s="18">
        <f>SUMIF(Journal!$A:$A,HeadJournal!$A478,Journal!U:U)</f>
        <v>995.15333333333001</v>
      </c>
      <c r="P478" s="22">
        <f t="shared" si="61"/>
        <v>4.9498180704022426E-2</v>
      </c>
      <c r="R478" s="73">
        <f t="shared" si="62"/>
        <v>6.2305208661128778E-2</v>
      </c>
    </row>
    <row r="479" spans="1:18" x14ac:dyDescent="0.25">
      <c r="A479" s="12" t="s">
        <v>1839</v>
      </c>
      <c r="B479" s="124" t="s">
        <v>1840</v>
      </c>
      <c r="C479" s="12" t="s">
        <v>1751</v>
      </c>
      <c r="D479" s="12" t="s">
        <v>714</v>
      </c>
      <c r="E479" s="12" t="s">
        <v>1477</v>
      </c>
      <c r="F479" s="114" t="s">
        <v>1845</v>
      </c>
      <c r="G479" s="13">
        <v>45441</v>
      </c>
      <c r="H479" s="14">
        <f>8377.58/J479</f>
        <v>103.49079678814086</v>
      </c>
      <c r="I479" s="14">
        <v>-8.81</v>
      </c>
      <c r="J479" s="8">
        <f>SUMIF(Journal!$A:$A,HeadJournal!$A479,Journal!$K:$K)+SUMIF(Journal!$A:$A,HeadJournal!$A479,Journal!$L:$L)+SUMIF(Journal!$A:$A,HeadJournal!$A479,Journal!$M:$M)</f>
        <v>80.949999999999974</v>
      </c>
      <c r="K479" s="14">
        <v>80.95</v>
      </c>
      <c r="L479" s="14">
        <f>(2157.91+1600)/3</f>
        <v>1252.6366666666665</v>
      </c>
      <c r="M479" s="8">
        <f>SUMIF(Journal!$A:$A,HeadJournal!$A479,Journal!$P:$P)</f>
        <v>9630.2166666666708</v>
      </c>
      <c r="N479" s="8">
        <f>SUMIF(Journal!$A:$A,HeadJournal!$A479,Journal!Q:Q)</f>
        <v>14517.1</v>
      </c>
      <c r="O479" s="18">
        <f>SUMIF(Journal!$A:$A,HeadJournal!$A479,Journal!U:U)</f>
        <v>4886.8833333333287</v>
      </c>
      <c r="P479" s="22">
        <f t="shared" si="61"/>
        <v>0.50745310333966109</v>
      </c>
      <c r="R479" s="73">
        <f t="shared" si="62"/>
        <v>0.13007357051502816</v>
      </c>
    </row>
    <row r="480" spans="1:18" x14ac:dyDescent="0.25">
      <c r="A480" s="12" t="s">
        <v>1848</v>
      </c>
      <c r="B480" s="124" t="s">
        <v>1849</v>
      </c>
      <c r="C480" s="12" t="s">
        <v>1752</v>
      </c>
      <c r="D480" s="12" t="s">
        <v>714</v>
      </c>
      <c r="E480" s="12" t="s">
        <v>1477</v>
      </c>
      <c r="F480" s="124" t="s">
        <v>1907</v>
      </c>
      <c r="G480" s="13">
        <v>45455</v>
      </c>
      <c r="H480" s="14">
        <f>16299.38/J480</f>
        <v>101.84566358410397</v>
      </c>
      <c r="I480" s="14">
        <v>0</v>
      </c>
      <c r="J480" s="8">
        <f>SUMIF(Journal!$A:$A,HeadJournal!$A480,Journal!$K:$K)+SUMIF(Journal!$A:$A,HeadJournal!$A480,Journal!$L:$L)+SUMIF(Journal!$A:$A,HeadJournal!$A480,Journal!$M:$M)</f>
        <v>160.04</v>
      </c>
      <c r="K480" s="14">
        <v>160.04</v>
      </c>
      <c r="L480" s="14">
        <f>(2546.26+1900)/4</f>
        <v>1111.5650000000001</v>
      </c>
      <c r="M480" s="8">
        <f>SUMIF(Journal!$A:$A,HeadJournal!$A480,Journal!$P:$P)</f>
        <v>17410.945</v>
      </c>
      <c r="N480" s="8">
        <f>SUMIF(Journal!$A:$A,HeadJournal!$A480,Journal!Q:Q)</f>
        <v>24400</v>
      </c>
      <c r="O480" s="18">
        <f>SUMIF(Journal!$A:$A,HeadJournal!$A480,Journal!U:U)</f>
        <v>6989.0550000000003</v>
      </c>
      <c r="P480" s="22">
        <f t="shared" si="61"/>
        <v>0.40141732685962767</v>
      </c>
      <c r="Q480" s="7" t="b">
        <f>J480=K480</f>
        <v>1</v>
      </c>
      <c r="R480" s="73">
        <f t="shared" si="62"/>
        <v>6.3842887333226322E-2</v>
      </c>
    </row>
    <row r="481" spans="1:18" x14ac:dyDescent="0.25">
      <c r="A481" s="12" t="s">
        <v>1851</v>
      </c>
      <c r="B481" s="124" t="s">
        <v>1852</v>
      </c>
      <c r="C481" s="12" t="s">
        <v>1737</v>
      </c>
      <c r="D481" s="12" t="s">
        <v>714</v>
      </c>
      <c r="E481" s="12" t="s">
        <v>1477</v>
      </c>
      <c r="F481" s="114" t="s">
        <v>1907</v>
      </c>
      <c r="G481" s="13">
        <v>45454</v>
      </c>
      <c r="H481" s="14">
        <f>17146.93/J481</f>
        <v>102.92274909963984</v>
      </c>
      <c r="I481" s="14">
        <v>-19.5</v>
      </c>
      <c r="J481" s="8">
        <f>SUMIF(Journal!$A:$A,HeadJournal!$A481,Journal!$K:$K)+SUMIF(Journal!$A:$A,HeadJournal!$A481,Journal!$L:$L)+SUMIF(Journal!$A:$A,HeadJournal!$A481,Journal!$M:$M)</f>
        <v>166.60000000000002</v>
      </c>
      <c r="K481" s="14">
        <v>166.6</v>
      </c>
      <c r="L481" s="14">
        <f>(2546.26+1900)/4</f>
        <v>1111.5650000000001</v>
      </c>
      <c r="M481" s="8">
        <f>SUMIF(Journal!$A:$A,HeadJournal!$A481,Journal!$P:$P)</f>
        <v>18258.494999999999</v>
      </c>
      <c r="N481" s="8">
        <f>SUMIF(Journal!$A:$A,HeadJournal!$A481,Journal!Q:Q)</f>
        <v>29498.11</v>
      </c>
      <c r="O481" s="18">
        <f>SUMIF(Journal!$A:$A,HeadJournal!$A481,Journal!U:U)</f>
        <v>11239.615000000005</v>
      </c>
      <c r="P481" s="22">
        <f t="shared" si="61"/>
        <v>0.61558277393618732</v>
      </c>
      <c r="R481" s="73">
        <f t="shared" si="62"/>
        <v>6.0879333154238623E-2</v>
      </c>
    </row>
    <row r="482" spans="1:18" x14ac:dyDescent="0.25">
      <c r="A482" s="12" t="s">
        <v>1853</v>
      </c>
      <c r="B482" s="124" t="s">
        <v>1854</v>
      </c>
      <c r="C482" s="12" t="s">
        <v>1751</v>
      </c>
      <c r="D482" s="12" t="s">
        <v>714</v>
      </c>
      <c r="E482" s="12" t="s">
        <v>1477</v>
      </c>
      <c r="F482" s="114" t="s">
        <v>1907</v>
      </c>
      <c r="G482" s="13">
        <v>45445</v>
      </c>
      <c r="H482" s="14">
        <f>18006.31/J482</f>
        <v>102.8638103399029</v>
      </c>
      <c r="I482" s="14">
        <v>-7.05</v>
      </c>
      <c r="J482" s="8">
        <f>SUMIF(Journal!$A:$A,HeadJournal!$A482,Journal!$K:$K)+SUMIF(Journal!$A:$A,HeadJournal!$A482,Journal!$L:$L)+SUMIF(Journal!$A:$A,HeadJournal!$A482,Journal!$M:$M)</f>
        <v>175.04999999999998</v>
      </c>
      <c r="K482" s="14">
        <v>175.05</v>
      </c>
      <c r="L482" s="14">
        <f>(2546.26+1900)/4</f>
        <v>1111.5650000000001</v>
      </c>
      <c r="M482" s="8">
        <f>SUMIF(Journal!$A:$A,HeadJournal!$A482,Journal!$P:$P)</f>
        <v>19117.875000000004</v>
      </c>
      <c r="N482" s="8">
        <f>SUMIF(Journal!$A:$A,HeadJournal!$A482,Journal!Q:Q)</f>
        <v>31426.22</v>
      </c>
      <c r="O482" s="18">
        <f>SUMIF(Journal!$A:$A,HeadJournal!$A482,Journal!U:U)</f>
        <v>12308.34499999999</v>
      </c>
      <c r="P482" s="22">
        <f t="shared" si="61"/>
        <v>0.64381344683967168</v>
      </c>
      <c r="R482" s="73">
        <f t="shared" si="62"/>
        <v>5.8142706760034774E-2</v>
      </c>
    </row>
    <row r="483" spans="1:18" x14ac:dyDescent="0.25">
      <c r="A483" s="12" t="s">
        <v>1862</v>
      </c>
      <c r="B483" s="124" t="s">
        <v>1863</v>
      </c>
      <c r="C483" s="12" t="s">
        <v>1751</v>
      </c>
      <c r="D483" s="12" t="s">
        <v>714</v>
      </c>
      <c r="E483" s="12" t="s">
        <v>1477</v>
      </c>
      <c r="F483" s="114" t="s">
        <v>1907</v>
      </c>
      <c r="G483" s="13">
        <v>45453</v>
      </c>
      <c r="H483" s="14">
        <f>19197.52/187.42</f>
        <v>102.43047700352152</v>
      </c>
      <c r="I483" s="14">
        <v>-11.74</v>
      </c>
      <c r="J483" s="8">
        <f>SUMIF(Journal!$A:$A,HeadJournal!$A483,Journal!$K:$K)+SUMIF(Journal!$A:$A,HeadJournal!$A483,Journal!$L:$L)+SUMIF(Journal!$A:$A,HeadJournal!$A483,Journal!$M:$M)</f>
        <v>187.42</v>
      </c>
      <c r="K483" s="14">
        <v>187.42</v>
      </c>
      <c r="L483" s="14">
        <f>(2546.26+1900)/4</f>
        <v>1111.5650000000001</v>
      </c>
      <c r="M483" s="8">
        <f>SUMIF(Journal!$A:$A,HeadJournal!$A483,Journal!$P:$P)</f>
        <v>20309.085000000003</v>
      </c>
      <c r="N483" s="8">
        <f>SUMIF(Journal!$A:$A,HeadJournal!$A483,Journal!Q:Q)</f>
        <v>31200</v>
      </c>
      <c r="O483" s="18">
        <f>SUMIF(Journal!$A:$A,HeadJournal!$A483,Journal!U:U)</f>
        <v>10890.914999999999</v>
      </c>
      <c r="P483" s="22">
        <f t="shared" si="61"/>
        <v>0.53625828046906088</v>
      </c>
      <c r="R483" s="73">
        <f t="shared" si="62"/>
        <v>5.4732401779794604E-2</v>
      </c>
    </row>
    <row r="484" spans="1:18" x14ac:dyDescent="0.25">
      <c r="A484" s="12" t="s">
        <v>5544</v>
      </c>
      <c r="B484" s="12"/>
      <c r="C484" s="12" t="s">
        <v>1328</v>
      </c>
      <c r="D484" s="12" t="s">
        <v>714</v>
      </c>
      <c r="E484" s="12" t="s">
        <v>1477</v>
      </c>
      <c r="F484" s="12"/>
      <c r="G484" s="13">
        <v>45458</v>
      </c>
      <c r="H484" s="14">
        <v>1</v>
      </c>
      <c r="I484" s="14">
        <v>0</v>
      </c>
      <c r="J484" s="8">
        <f>SUMIF(Journal!$A:$A,HeadJournal!$A484,Journal!$K:$K)+SUMIF(Journal!$A:$A,HeadJournal!$A484,Journal!$L:$L)+SUMIF(Journal!$A:$A,HeadJournal!$A484,Journal!$M:$M)</f>
        <v>6636</v>
      </c>
      <c r="K484" s="14">
        <v>6636</v>
      </c>
      <c r="L484" s="14">
        <v>0</v>
      </c>
      <c r="M484" s="8">
        <f>SUMIF(Journal!$A:$A,HeadJournal!$A484,Journal!$P:$P)</f>
        <v>6636</v>
      </c>
      <c r="N484" s="8">
        <f>SUMIF(Journal!$A:$A,HeadJournal!$A484,Journal!Q:Q)</f>
        <v>9600</v>
      </c>
      <c r="O484" s="18">
        <f>SUMIF(Journal!$A:$A,HeadJournal!$A484,Journal!U:U)</f>
        <v>2964</v>
      </c>
      <c r="P484" s="22">
        <f t="shared" si="61"/>
        <v>0.44665461121157324</v>
      </c>
      <c r="Q484" s="7" t="b">
        <f t="shared" ref="Q484:Q494" si="64">J484=K484</f>
        <v>1</v>
      </c>
      <c r="R484" s="73">
        <f t="shared" si="62"/>
        <v>0</v>
      </c>
    </row>
    <row r="485" spans="1:18" x14ac:dyDescent="0.25">
      <c r="A485" s="12" t="s">
        <v>5634</v>
      </c>
      <c r="B485" s="12"/>
      <c r="C485" s="12" t="s">
        <v>1328</v>
      </c>
      <c r="D485" s="12" t="s">
        <v>714</v>
      </c>
      <c r="E485" s="12" t="s">
        <v>1477</v>
      </c>
      <c r="F485" s="12"/>
      <c r="G485" s="13">
        <v>45459</v>
      </c>
      <c r="H485" s="14">
        <v>1</v>
      </c>
      <c r="I485" s="14">
        <v>0</v>
      </c>
      <c r="J485" s="8">
        <f>SUMIF(Journal!$A:$A,HeadJournal!$A485,Journal!$K:$K)+SUMIF(Journal!$A:$A,HeadJournal!$A485,Journal!$L:$L)+SUMIF(Journal!$A:$A,HeadJournal!$A485,Journal!$M:$M)</f>
        <v>2200</v>
      </c>
      <c r="K485" s="14">
        <v>2200</v>
      </c>
      <c r="L485" s="14">
        <v>0</v>
      </c>
      <c r="M485" s="8">
        <f>SUMIF(Journal!$A:$A,HeadJournal!$A485,Journal!$P:$P)</f>
        <v>2200</v>
      </c>
      <c r="N485" s="8">
        <f>SUMIF(Journal!$A:$A,HeadJournal!$A485,Journal!Q:Q)</f>
        <v>3200</v>
      </c>
      <c r="O485" s="18">
        <f>SUMIF(Journal!$A:$A,HeadJournal!$A485,Journal!U:U)</f>
        <v>1000</v>
      </c>
      <c r="P485" s="22">
        <f t="shared" si="61"/>
        <v>0.45454545454545453</v>
      </c>
      <c r="Q485" s="7" t="b">
        <f t="shared" si="64"/>
        <v>1</v>
      </c>
      <c r="R485" s="73">
        <f t="shared" si="62"/>
        <v>0</v>
      </c>
    </row>
    <row r="486" spans="1:18" x14ac:dyDescent="0.25">
      <c r="A486" s="12" t="s">
        <v>1871</v>
      </c>
      <c r="B486" s="12"/>
      <c r="C486" s="12" t="s">
        <v>1328</v>
      </c>
      <c r="D486" s="12" t="s">
        <v>714</v>
      </c>
      <c r="E486" s="12" t="s">
        <v>1477</v>
      </c>
      <c r="F486" s="12"/>
      <c r="G486" s="13">
        <v>45447</v>
      </c>
      <c r="H486" s="14">
        <v>1</v>
      </c>
      <c r="I486" s="14">
        <v>0</v>
      </c>
      <c r="J486" s="8">
        <f>SUMIF(Journal!$A:$A,HeadJournal!$A486,Journal!$K:$K)+SUMIF(Journal!$A:$A,HeadJournal!$A486,Journal!$L:$L)+SUMIF(Journal!$A:$A,HeadJournal!$A486,Journal!$M:$M)</f>
        <v>11753</v>
      </c>
      <c r="K486" s="14">
        <v>11753</v>
      </c>
      <c r="L486" s="14">
        <v>541</v>
      </c>
      <c r="M486" s="8">
        <f>SUMIF(Journal!$A:$A,HeadJournal!$A486,Journal!$P:$P)</f>
        <v>12294</v>
      </c>
      <c r="N486" s="8">
        <f>SUMIF(Journal!$A:$A,HeadJournal!$A486,Journal!Q:Q)</f>
        <v>15850</v>
      </c>
      <c r="O486" s="18">
        <f>SUMIF(Journal!$A:$A,HeadJournal!$A486,Journal!U:U)</f>
        <v>3556</v>
      </c>
      <c r="P486" s="22">
        <f t="shared" si="61"/>
        <v>0.28924678705059381</v>
      </c>
      <c r="Q486" s="7" t="b">
        <f t="shared" si="64"/>
        <v>1</v>
      </c>
      <c r="R486" s="73">
        <f t="shared" si="62"/>
        <v>4.4005205791442979E-2</v>
      </c>
    </row>
    <row r="487" spans="1:18" x14ac:dyDescent="0.25">
      <c r="A487" s="12" t="s">
        <v>1873</v>
      </c>
      <c r="B487" s="12"/>
      <c r="C487" s="12" t="s">
        <v>1380</v>
      </c>
      <c r="D487" s="12" t="s">
        <v>714</v>
      </c>
      <c r="E487" s="12" t="s">
        <v>1477</v>
      </c>
      <c r="F487" s="12"/>
      <c r="G487" s="13">
        <v>45460</v>
      </c>
      <c r="H487" s="14">
        <v>1</v>
      </c>
      <c r="I487" s="14">
        <v>0</v>
      </c>
      <c r="J487" s="8">
        <f>SUMIF(Journal!$A:$A,HeadJournal!$A487,Journal!$K:$K)+SUMIF(Journal!$A:$A,HeadJournal!$A487,Journal!$L:$L)+SUMIF(Journal!$A:$A,HeadJournal!$A487,Journal!$M:$M)</f>
        <v>944</v>
      </c>
      <c r="K487" s="14">
        <v>944</v>
      </c>
      <c r="L487" s="14">
        <v>0</v>
      </c>
      <c r="M487" s="8">
        <f>SUMIF(Journal!$A:$A,HeadJournal!$A487,Journal!$P:$P)</f>
        <v>944</v>
      </c>
      <c r="N487" s="8">
        <f>SUMIF(Journal!$A:$A,HeadJournal!$A487,Journal!Q:Q)</f>
        <v>1600</v>
      </c>
      <c r="O487" s="18">
        <f>SUMIF(Journal!$A:$A,HeadJournal!$A487,Journal!U:U)</f>
        <v>656</v>
      </c>
      <c r="P487" s="22">
        <f t="shared" si="61"/>
        <v>0.69491525423728817</v>
      </c>
      <c r="Q487" s="7" t="b">
        <f t="shared" si="64"/>
        <v>1</v>
      </c>
      <c r="R487" s="73">
        <f t="shared" si="62"/>
        <v>0</v>
      </c>
    </row>
    <row r="488" spans="1:18" x14ac:dyDescent="0.25">
      <c r="A488" s="12" t="s">
        <v>1874</v>
      </c>
      <c r="B488" s="12"/>
      <c r="C488" s="12" t="s">
        <v>1380</v>
      </c>
      <c r="D488" s="12" t="s">
        <v>714</v>
      </c>
      <c r="E488" s="12" t="s">
        <v>1477</v>
      </c>
      <c r="F488" s="12"/>
      <c r="G488" s="13">
        <v>45457</v>
      </c>
      <c r="H488" s="14">
        <v>1</v>
      </c>
      <c r="I488" s="14">
        <v>0</v>
      </c>
      <c r="J488" s="8">
        <f>SUMIF(Journal!$A:$A,HeadJournal!$A488,Journal!$K:$K)+SUMIF(Journal!$A:$A,HeadJournal!$A488,Journal!$L:$L)+SUMIF(Journal!$A:$A,HeadJournal!$A488,Journal!$M:$M)</f>
        <v>3923</v>
      </c>
      <c r="K488" s="14">
        <v>3923</v>
      </c>
      <c r="L488" s="14">
        <v>0</v>
      </c>
      <c r="M488" s="8">
        <f>SUMIF(Journal!$A:$A,HeadJournal!$A488,Journal!$P:$P)</f>
        <v>3923</v>
      </c>
      <c r="N488" s="8">
        <f>SUMIF(Journal!$A:$A,HeadJournal!$A488,Journal!Q:Q)</f>
        <v>5000</v>
      </c>
      <c r="O488" s="18">
        <f>SUMIF(Journal!$A:$A,HeadJournal!$A488,Journal!U:U)</f>
        <v>1077</v>
      </c>
      <c r="P488" s="22">
        <f t="shared" si="61"/>
        <v>0.27453479479989806</v>
      </c>
      <c r="Q488" s="7" t="b">
        <f t="shared" si="64"/>
        <v>1</v>
      </c>
      <c r="R488" s="73">
        <f t="shared" si="62"/>
        <v>0</v>
      </c>
    </row>
    <row r="489" spans="1:18" x14ac:dyDescent="0.25">
      <c r="A489" s="12" t="s">
        <v>1877</v>
      </c>
      <c r="B489" s="12"/>
      <c r="C489" s="12" t="s">
        <v>1380</v>
      </c>
      <c r="D489" s="12" t="s">
        <v>714</v>
      </c>
      <c r="E489" s="12" t="s">
        <v>1477</v>
      </c>
      <c r="F489" s="12"/>
      <c r="G489" s="13">
        <v>45456</v>
      </c>
      <c r="H489" s="14">
        <v>1</v>
      </c>
      <c r="I489" s="14">
        <v>0</v>
      </c>
      <c r="J489" s="8">
        <f>SUMIF(Journal!$A:$A,HeadJournal!$A489,Journal!$K:$K)+SUMIF(Journal!$A:$A,HeadJournal!$A489,Journal!$L:$L)+SUMIF(Journal!$A:$A,HeadJournal!$A489,Journal!$M:$M)</f>
        <v>5405</v>
      </c>
      <c r="K489" s="14">
        <v>5405</v>
      </c>
      <c r="L489" s="14">
        <v>0</v>
      </c>
      <c r="M489" s="8">
        <f>SUMIF(Journal!$A:$A,HeadJournal!$A489,Journal!$P:$P)</f>
        <v>5405</v>
      </c>
      <c r="N489" s="8">
        <f>SUMIF(Journal!$A:$A,HeadJournal!$A489,Journal!Q:Q)</f>
        <v>7600</v>
      </c>
      <c r="O489" s="18">
        <f>SUMIF(Journal!$A:$A,HeadJournal!$A489,Journal!U:U)</f>
        <v>2195</v>
      </c>
      <c r="P489" s="22">
        <f t="shared" si="61"/>
        <v>0.40610545790934321</v>
      </c>
      <c r="Q489" s="7" t="b">
        <f t="shared" si="64"/>
        <v>1</v>
      </c>
      <c r="R489" s="73">
        <f t="shared" si="62"/>
        <v>0</v>
      </c>
    </row>
    <row r="490" spans="1:18" x14ac:dyDescent="0.25">
      <c r="A490" s="12" t="s">
        <v>1879</v>
      </c>
      <c r="B490" s="12"/>
      <c r="C490" s="12" t="s">
        <v>1380</v>
      </c>
      <c r="D490" s="12" t="s">
        <v>714</v>
      </c>
      <c r="E490" s="12" t="s">
        <v>1477</v>
      </c>
      <c r="F490" s="12"/>
      <c r="G490" s="13">
        <v>45452</v>
      </c>
      <c r="H490" s="14">
        <v>1</v>
      </c>
      <c r="I490" s="14">
        <v>0</v>
      </c>
      <c r="J490" s="8">
        <f>SUMIF(Journal!$A:$A,HeadJournal!$A490,Journal!$K:$K)+SUMIF(Journal!$A:$A,HeadJournal!$A490,Journal!$L:$L)+SUMIF(Journal!$A:$A,HeadJournal!$A490,Journal!$M:$M)</f>
        <v>1914</v>
      </c>
      <c r="K490" s="14">
        <v>1914</v>
      </c>
      <c r="L490" s="14">
        <v>0</v>
      </c>
      <c r="M490" s="8">
        <f>SUMIF(Journal!$A:$A,HeadJournal!$A490,Journal!$P:$P)</f>
        <v>1914</v>
      </c>
      <c r="N490" s="8">
        <f>SUMIF(Journal!$A:$A,HeadJournal!$A490,Journal!Q:Q)</f>
        <v>3300</v>
      </c>
      <c r="O490" s="18">
        <f>SUMIF(Journal!$A:$A,HeadJournal!$A490,Journal!U:U)</f>
        <v>1386</v>
      </c>
      <c r="P490" s="22">
        <f t="shared" si="61"/>
        <v>0.72413793103448276</v>
      </c>
      <c r="Q490" s="7" t="b">
        <f t="shared" si="64"/>
        <v>1</v>
      </c>
      <c r="R490" s="73">
        <f t="shared" si="62"/>
        <v>0</v>
      </c>
    </row>
    <row r="491" spans="1:18" x14ac:dyDescent="0.25">
      <c r="A491" s="12" t="s">
        <v>1881</v>
      </c>
      <c r="B491" s="12"/>
      <c r="C491" s="12" t="s">
        <v>1380</v>
      </c>
      <c r="D491" s="12" t="s">
        <v>714</v>
      </c>
      <c r="E491" s="12" t="s">
        <v>1477</v>
      </c>
      <c r="F491" s="12"/>
      <c r="G491" s="13">
        <v>45454</v>
      </c>
      <c r="H491" s="14">
        <v>1</v>
      </c>
      <c r="I491" s="14">
        <v>0</v>
      </c>
      <c r="J491" s="8">
        <f>SUMIF(Journal!$A:$A,HeadJournal!$A491,Journal!$K:$K)+SUMIF(Journal!$A:$A,HeadJournal!$A491,Journal!$L:$L)+SUMIF(Journal!$A:$A,HeadJournal!$A491,Journal!$M:$M)</f>
        <v>2522</v>
      </c>
      <c r="K491" s="14">
        <v>2522</v>
      </c>
      <c r="L491" s="14">
        <v>0</v>
      </c>
      <c r="M491" s="8">
        <f>SUMIF(Journal!$A:$A,HeadJournal!$A491,Journal!$P:$P)</f>
        <v>2522</v>
      </c>
      <c r="N491" s="8">
        <f>SUMIF(Journal!$A:$A,HeadJournal!$A491,Journal!Q:Q)</f>
        <v>4200</v>
      </c>
      <c r="O491" s="18">
        <f>SUMIF(Journal!$A:$A,HeadJournal!$A491,Journal!U:U)</f>
        <v>1678</v>
      </c>
      <c r="P491" s="22">
        <f t="shared" si="61"/>
        <v>0.66534496431403645</v>
      </c>
      <c r="Q491" s="7" t="b">
        <f t="shared" si="64"/>
        <v>1</v>
      </c>
      <c r="R491" s="73">
        <f t="shared" si="62"/>
        <v>0</v>
      </c>
    </row>
    <row r="492" spans="1:18" x14ac:dyDescent="0.25">
      <c r="A492" s="12" t="s">
        <v>1882</v>
      </c>
      <c r="B492" s="12"/>
      <c r="C492" s="12" t="s">
        <v>1380</v>
      </c>
      <c r="D492" s="12" t="s">
        <v>714</v>
      </c>
      <c r="E492" s="12" t="s">
        <v>1477</v>
      </c>
      <c r="F492" s="12"/>
      <c r="G492" s="13">
        <v>45458</v>
      </c>
      <c r="H492" s="14">
        <v>1</v>
      </c>
      <c r="I492" s="14">
        <v>0</v>
      </c>
      <c r="J492" s="8">
        <f>SUMIF(Journal!$A:$A,HeadJournal!$A492,Journal!$K:$K)+SUMIF(Journal!$A:$A,HeadJournal!$A492,Journal!$L:$L)+SUMIF(Journal!$A:$A,HeadJournal!$A492,Journal!$M:$M)</f>
        <v>1379</v>
      </c>
      <c r="K492" s="14">
        <v>1379</v>
      </c>
      <c r="L492" s="14">
        <v>0</v>
      </c>
      <c r="M492" s="8">
        <f>SUMIF(Journal!$A:$A,HeadJournal!$A492,Journal!$P:$P)</f>
        <v>1379</v>
      </c>
      <c r="N492" s="8">
        <f>SUMIF(Journal!$A:$A,HeadJournal!$A492,Journal!Q:Q)</f>
        <v>1800</v>
      </c>
      <c r="O492" s="18">
        <f>SUMIF(Journal!$A:$A,HeadJournal!$A492,Journal!U:U)</f>
        <v>421</v>
      </c>
      <c r="P492" s="22">
        <f t="shared" si="61"/>
        <v>0.30529369108049309</v>
      </c>
      <c r="Q492" s="7" t="b">
        <f t="shared" si="64"/>
        <v>1</v>
      </c>
      <c r="R492" s="73">
        <f t="shared" si="62"/>
        <v>0</v>
      </c>
    </row>
    <row r="493" spans="1:18" x14ac:dyDescent="0.25">
      <c r="A493" s="12" t="s">
        <v>1884</v>
      </c>
      <c r="B493" s="12"/>
      <c r="C493" s="12" t="s">
        <v>843</v>
      </c>
      <c r="D493" s="12" t="s">
        <v>714</v>
      </c>
      <c r="E493" s="12" t="s">
        <v>1477</v>
      </c>
      <c r="F493" s="12"/>
      <c r="G493" s="13">
        <v>45464</v>
      </c>
      <c r="H493" s="14">
        <v>1</v>
      </c>
      <c r="I493" s="14">
        <v>0</v>
      </c>
      <c r="J493" s="8">
        <f>SUMIF(Journal!$A:$A,HeadJournal!$A493,Journal!$K:$K)+SUMIF(Journal!$A:$A,HeadJournal!$A493,Journal!$L:$L)+SUMIF(Journal!$A:$A,HeadJournal!$A493,Journal!$M:$M)</f>
        <v>1140</v>
      </c>
      <c r="K493" s="14">
        <v>1140</v>
      </c>
      <c r="L493" s="14">
        <v>0</v>
      </c>
      <c r="M493" s="8">
        <f>SUMIF(Journal!$A:$A,HeadJournal!$A493,Journal!$P:$P)</f>
        <v>1140</v>
      </c>
      <c r="N493" s="8">
        <f>SUMIF(Journal!$A:$A,HeadJournal!$A493,Journal!Q:Q)</f>
        <v>1600</v>
      </c>
      <c r="O493" s="18">
        <f>SUMIF(Journal!$A:$A,HeadJournal!$A493,Journal!U:U)</f>
        <v>460</v>
      </c>
      <c r="P493" s="22">
        <f t="shared" si="61"/>
        <v>0.40350877192982454</v>
      </c>
      <c r="Q493" s="7" t="b">
        <f t="shared" si="64"/>
        <v>1</v>
      </c>
      <c r="R493" s="73">
        <f t="shared" si="62"/>
        <v>0</v>
      </c>
    </row>
    <row r="494" spans="1:18" x14ac:dyDescent="0.25">
      <c r="A494" s="12" t="s">
        <v>1885</v>
      </c>
      <c r="B494" s="12"/>
      <c r="C494" s="12" t="s">
        <v>843</v>
      </c>
      <c r="D494" s="12" t="s">
        <v>714</v>
      </c>
      <c r="E494" s="12" t="s">
        <v>1477</v>
      </c>
      <c r="F494" s="12"/>
      <c r="G494" s="13">
        <v>45450</v>
      </c>
      <c r="H494" s="14">
        <v>1</v>
      </c>
      <c r="I494" s="14">
        <v>0</v>
      </c>
      <c r="J494" s="8">
        <f>SUMIF(Journal!$A:$A,HeadJournal!$A494,Journal!$K:$K)+SUMIF(Journal!$A:$A,HeadJournal!$A494,Journal!$L:$L)+SUMIF(Journal!$A:$A,HeadJournal!$A494,Journal!$M:$M)</f>
        <v>1178</v>
      </c>
      <c r="K494" s="14">
        <v>1178</v>
      </c>
      <c r="L494" s="14">
        <v>0</v>
      </c>
      <c r="M494" s="8">
        <f>SUMIF(Journal!$A:$A,HeadJournal!$A494,Journal!$P:$P)</f>
        <v>1178</v>
      </c>
      <c r="N494" s="8">
        <f>SUMIF(Journal!$A:$A,HeadJournal!$A494,Journal!Q:Q)</f>
        <v>1600</v>
      </c>
      <c r="O494" s="18">
        <f>SUMIF(Journal!$A:$A,HeadJournal!$A494,Journal!U:U)</f>
        <v>422</v>
      </c>
      <c r="P494" s="22">
        <f t="shared" si="61"/>
        <v>0.35823429541595925</v>
      </c>
      <c r="Q494" s="7" t="b">
        <f t="shared" si="64"/>
        <v>1</v>
      </c>
      <c r="R494" s="73">
        <f t="shared" si="62"/>
        <v>0</v>
      </c>
    </row>
    <row r="495" spans="1:18" x14ac:dyDescent="0.25">
      <c r="A495" s="12" t="s">
        <v>1888</v>
      </c>
      <c r="B495" s="124" t="s">
        <v>1889</v>
      </c>
      <c r="C495" s="12" t="s">
        <v>1751</v>
      </c>
      <c r="D495" s="12" t="s">
        <v>714</v>
      </c>
      <c r="E495" s="12" t="s">
        <v>1477</v>
      </c>
      <c r="F495" s="124" t="s">
        <v>1906</v>
      </c>
      <c r="G495" s="13">
        <v>45469</v>
      </c>
      <c r="H495" s="14">
        <f>16939.95/J495</f>
        <v>101.5219345559151</v>
      </c>
      <c r="I495" s="14">
        <v>-20.83</v>
      </c>
      <c r="J495" s="8">
        <f>SUMIF(Journal!$A:$A,HeadJournal!$A495,Journal!$K:$K)+SUMIF(Journal!$A:$A,HeadJournal!$A495,Journal!$L:$L)+SUMIF(Journal!$A:$A,HeadJournal!$A495,Journal!$M:$M)</f>
        <v>166.86000000000007</v>
      </c>
      <c r="K495" s="14">
        <v>166.86</v>
      </c>
      <c r="L495" s="14">
        <f>(1370.55+1000)/2</f>
        <v>1185.2750000000001</v>
      </c>
      <c r="M495" s="8">
        <f>SUMIF(Journal!$A:$A,HeadJournal!$A495,Journal!$P:$P)</f>
        <v>18125.224999999988</v>
      </c>
      <c r="N495" s="8">
        <f>SUMIF(Journal!$A:$A,HeadJournal!$A495,Journal!Q:Q)</f>
        <v>28600</v>
      </c>
      <c r="O495" s="18">
        <f>SUMIF(Journal!$A:$A,HeadJournal!$A495,Journal!U:U)</f>
        <v>10474.775000000012</v>
      </c>
      <c r="P495" s="22">
        <f t="shared" si="61"/>
        <v>0.57791144661652583</v>
      </c>
      <c r="R495" s="73">
        <f t="shared" si="62"/>
        <v>6.5393670975118973E-2</v>
      </c>
    </row>
    <row r="496" spans="1:18" x14ac:dyDescent="0.25">
      <c r="A496" s="12" t="s">
        <v>1891</v>
      </c>
      <c r="B496" s="124" t="s">
        <v>1892</v>
      </c>
      <c r="C496" s="12" t="s">
        <v>1737</v>
      </c>
      <c r="D496" s="12" t="s">
        <v>714</v>
      </c>
      <c r="E496" s="12" t="s">
        <v>1477</v>
      </c>
      <c r="F496" s="124" t="s">
        <v>1906</v>
      </c>
      <c r="G496" s="13">
        <v>45475</v>
      </c>
      <c r="H496" s="14">
        <f>17347.55/J496</f>
        <v>99.185534591194951</v>
      </c>
      <c r="I496" s="14">
        <v>-22.65</v>
      </c>
      <c r="J496" s="8">
        <f>SUMIF(Journal!$A:$A,HeadJournal!$A496,Journal!$K:$K)+SUMIF(Journal!$A:$A,HeadJournal!$A496,Journal!$L:$L)+SUMIF(Journal!$A:$A,HeadJournal!$A496,Journal!$M:$M)</f>
        <v>174.90000000000003</v>
      </c>
      <c r="K496" s="14">
        <v>174.9</v>
      </c>
      <c r="L496" s="14">
        <f>(1370.55+1000)/2</f>
        <v>1185.2750000000001</v>
      </c>
      <c r="M496" s="8">
        <f>SUMIF(Journal!$A:$A,HeadJournal!$A496,Journal!$P:$P)</f>
        <v>18532.824999999993</v>
      </c>
      <c r="N496" s="8">
        <f>SUMIF(Journal!$A:$A,HeadJournal!$A496,Journal!Q:Q)</f>
        <v>25100</v>
      </c>
      <c r="O496" s="18">
        <f>SUMIF(Journal!$A:$A,HeadJournal!$A496,Journal!U:U)</f>
        <v>6567.1750000000065</v>
      </c>
      <c r="P496" s="22">
        <f t="shared" si="61"/>
        <v>0.35435369405365935</v>
      </c>
      <c r="R496" s="73">
        <f t="shared" si="62"/>
        <v>6.3955441223882512E-2</v>
      </c>
    </row>
    <row r="497" spans="1:18" x14ac:dyDescent="0.25">
      <c r="A497" s="12" t="s">
        <v>1895</v>
      </c>
      <c r="B497" s="124" t="s">
        <v>1896</v>
      </c>
      <c r="C497" s="12" t="s">
        <v>1735</v>
      </c>
      <c r="D497" s="12" t="s">
        <v>714</v>
      </c>
      <c r="E497" s="12" t="s">
        <v>1477</v>
      </c>
      <c r="F497" s="124" t="s">
        <v>1943</v>
      </c>
      <c r="G497" s="13">
        <v>45481</v>
      </c>
      <c r="H497" s="14">
        <f>16801.89/J497</f>
        <v>100.15432761087268</v>
      </c>
      <c r="I497" s="14">
        <v>-25.06</v>
      </c>
      <c r="J497" s="8">
        <f>SUMIF(Journal!$A:$A,HeadJournal!$A497,Journal!$K:$K)+SUMIF(Journal!$A:$A,HeadJournal!$A497,Journal!$L:$L)+SUMIF(Journal!$A:$A,HeadJournal!$A497,Journal!$M:$M)</f>
        <v>167.76</v>
      </c>
      <c r="K497" s="14">
        <v>167.76</v>
      </c>
      <c r="L497" s="14">
        <f>(1100+1567)/3</f>
        <v>889</v>
      </c>
      <c r="M497" s="8">
        <f>SUMIF(Journal!$A:$A,HeadJournal!$A497,Journal!$P:$P)</f>
        <v>17690.89</v>
      </c>
      <c r="N497" s="8">
        <f>SUMIF(Journal!$A:$A,HeadJournal!$A497,Journal!Q:Q)</f>
        <v>29051.59</v>
      </c>
      <c r="O497" s="18">
        <f>SUMIF(Journal!$A:$A,HeadJournal!$A497,Journal!U:U)</f>
        <v>11360.699999999999</v>
      </c>
      <c r="P497" s="22">
        <f t="shared" si="61"/>
        <v>0.6421779797398548</v>
      </c>
      <c r="R497" s="73">
        <f t="shared" si="62"/>
        <v>5.0251852789769201E-2</v>
      </c>
    </row>
    <row r="498" spans="1:18" x14ac:dyDescent="0.25">
      <c r="A498" s="12" t="s">
        <v>1900</v>
      </c>
      <c r="B498" s="12"/>
      <c r="C498" s="12" t="s">
        <v>1380</v>
      </c>
      <c r="D498" s="12" t="s">
        <v>714</v>
      </c>
      <c r="E498" s="12" t="s">
        <v>1477</v>
      </c>
      <c r="F498" s="12"/>
      <c r="G498" s="13">
        <v>45475</v>
      </c>
      <c r="H498" s="14">
        <v>1</v>
      </c>
      <c r="I498" s="14">
        <v>0</v>
      </c>
      <c r="J498" s="8">
        <f>SUMIF(Journal!$A:$A,HeadJournal!$A498,Journal!$K:$K)+SUMIF(Journal!$A:$A,HeadJournal!$A498,Journal!$L:$L)+SUMIF(Journal!$A:$A,HeadJournal!$A498,Journal!$M:$M)</f>
        <v>5396</v>
      </c>
      <c r="K498" s="14">
        <v>5396</v>
      </c>
      <c r="L498" s="14">
        <v>0</v>
      </c>
      <c r="M498" s="8">
        <f>SUMIF(Journal!$A:$A,HeadJournal!$A498,Journal!$P:$P)</f>
        <v>5396</v>
      </c>
      <c r="N498" s="8">
        <f>SUMIF(Journal!$A:$A,HeadJournal!$A498,Journal!Q:Q)</f>
        <v>6700</v>
      </c>
      <c r="O498" s="18">
        <f>SUMIF(Journal!$A:$A,HeadJournal!$A498,Journal!U:U)</f>
        <v>1304</v>
      </c>
      <c r="P498" s="22">
        <f t="shared" si="61"/>
        <v>0.24166048925129727</v>
      </c>
      <c r="Q498" s="7" t="b">
        <f>J498=K498</f>
        <v>1</v>
      </c>
      <c r="R498" s="73">
        <f t="shared" si="62"/>
        <v>0</v>
      </c>
    </row>
    <row r="499" spans="1:18" x14ac:dyDescent="0.25">
      <c r="A499" s="12" t="s">
        <v>1902</v>
      </c>
      <c r="B499" s="12"/>
      <c r="C499" s="12" t="s">
        <v>1380</v>
      </c>
      <c r="D499" s="12" t="s">
        <v>714</v>
      </c>
      <c r="E499" s="12" t="s">
        <v>1477</v>
      </c>
      <c r="F499" s="12"/>
      <c r="G499" s="13">
        <v>45474</v>
      </c>
      <c r="H499" s="14">
        <v>1</v>
      </c>
      <c r="I499" s="14">
        <v>0</v>
      </c>
      <c r="J499" s="8">
        <f>SUMIF(Journal!$A:$A,HeadJournal!$A499,Journal!$K:$K)+SUMIF(Journal!$A:$A,HeadJournal!$A499,Journal!$L:$L)+SUMIF(Journal!$A:$A,HeadJournal!$A499,Journal!$M:$M)</f>
        <v>4859.9999999999991</v>
      </c>
      <c r="K499" s="14">
        <v>4860</v>
      </c>
      <c r="L499" s="14">
        <v>0</v>
      </c>
      <c r="M499" s="8">
        <f>SUMIF(Journal!$A:$A,HeadJournal!$A499,Journal!$P:$P)</f>
        <v>4860</v>
      </c>
      <c r="N499" s="8">
        <f>SUMIF(Journal!$A:$A,HeadJournal!$A499,Journal!Q:Q)</f>
        <v>7500</v>
      </c>
      <c r="O499" s="18">
        <f>SUMIF(Journal!$A:$A,HeadJournal!$A499,Journal!U:U)</f>
        <v>2639.9999999999986</v>
      </c>
      <c r="P499" s="22">
        <f t="shared" si="61"/>
        <v>0.54320987654320962</v>
      </c>
      <c r="Q499" s="7" t="b">
        <f>J499=K499</f>
        <v>1</v>
      </c>
      <c r="R499" s="73">
        <f t="shared" si="62"/>
        <v>0</v>
      </c>
    </row>
    <row r="500" spans="1:18" x14ac:dyDescent="0.25">
      <c r="A500" s="12" t="s">
        <v>1908</v>
      </c>
      <c r="B500" s="124" t="s">
        <v>1913</v>
      </c>
      <c r="C500" s="12" t="s">
        <v>1751</v>
      </c>
      <c r="D500" s="12" t="s">
        <v>714</v>
      </c>
      <c r="E500" s="12" t="s">
        <v>1477</v>
      </c>
      <c r="F500" s="114" t="s">
        <v>1943</v>
      </c>
      <c r="G500" s="13">
        <v>45487</v>
      </c>
      <c r="H500" s="14">
        <f>12969.87/J500</f>
        <v>100.71338717192113</v>
      </c>
      <c r="I500" s="14">
        <v>-60.36</v>
      </c>
      <c r="J500" s="8">
        <f>SUMIF(Journal!$A:$A,HeadJournal!$A500,Journal!$K:$K)+SUMIF(Journal!$A:$A,HeadJournal!$A500,Journal!$L:$L)+SUMIF(Journal!$A:$A,HeadJournal!$A500,Journal!$M:$M)</f>
        <v>128.77999999999997</v>
      </c>
      <c r="K500" s="14">
        <v>128.78</v>
      </c>
      <c r="L500" s="14">
        <f>(1100+1567)/3</f>
        <v>889</v>
      </c>
      <c r="M500" s="8">
        <f>SUMIF(Journal!$A:$A,HeadJournal!$A500,Journal!$P:$P)</f>
        <v>13858.870000000004</v>
      </c>
      <c r="N500" s="8">
        <f>SUMIF(Journal!$A:$A,HeadJournal!$A500,Journal!Q:Q)</f>
        <v>25483.4</v>
      </c>
      <c r="O500" s="18">
        <f>SUMIF(Journal!$A:$A,HeadJournal!$A500,Journal!U:U)</f>
        <v>11624.529999999997</v>
      </c>
      <c r="P500" s="22">
        <f t="shared" si="61"/>
        <v>0.83877906351672205</v>
      </c>
      <c r="R500" s="73">
        <f t="shared" si="62"/>
        <v>6.4146643990455193E-2</v>
      </c>
    </row>
    <row r="501" spans="1:18" x14ac:dyDescent="0.25">
      <c r="A501" s="12" t="s">
        <v>1909</v>
      </c>
      <c r="B501" s="124" t="s">
        <v>1911</v>
      </c>
      <c r="C501" s="12" t="s">
        <v>1737</v>
      </c>
      <c r="D501" s="12" t="s">
        <v>714</v>
      </c>
      <c r="E501" s="12" t="s">
        <v>1477</v>
      </c>
      <c r="F501" s="114" t="s">
        <v>1943</v>
      </c>
      <c r="G501" s="13">
        <v>45489</v>
      </c>
      <c r="H501" s="14">
        <f>16188.11/J501</f>
        <v>97.155863641819707</v>
      </c>
      <c r="I501" s="14">
        <v>-10.01</v>
      </c>
      <c r="J501" s="8">
        <f>SUMIF(Journal!$A:$A,HeadJournal!$A501,Journal!$K:$K)+SUMIF(Journal!$A:$A,HeadJournal!$A501,Journal!$L:$L)+SUMIF(Journal!$A:$A,HeadJournal!$A501,Journal!$M:$M)</f>
        <v>166.62</v>
      </c>
      <c r="K501" s="14">
        <v>166.62</v>
      </c>
      <c r="L501" s="14">
        <f>(1100+1567)/3</f>
        <v>889</v>
      </c>
      <c r="M501" s="8">
        <f>SUMIF(Journal!$A:$A,HeadJournal!$A501,Journal!$P:$P)</f>
        <v>17077.11</v>
      </c>
      <c r="N501" s="8">
        <f>SUMIF(Journal!$A:$A,HeadJournal!$A501,Journal!Q:Q)</f>
        <v>26867.77</v>
      </c>
      <c r="O501" s="18">
        <f>SUMIF(Journal!$A:$A,HeadJournal!$A501,Journal!U:U)</f>
        <v>9790.66</v>
      </c>
      <c r="P501" s="22">
        <f t="shared" si="61"/>
        <v>0.57332066139996751</v>
      </c>
      <c r="R501" s="73">
        <f t="shared" si="62"/>
        <v>5.2057988734627809E-2</v>
      </c>
    </row>
    <row r="502" spans="1:18" x14ac:dyDescent="0.25">
      <c r="A502" s="12" t="s">
        <v>1910</v>
      </c>
      <c r="B502" s="124" t="s">
        <v>1928</v>
      </c>
      <c r="C502" s="12" t="s">
        <v>1735</v>
      </c>
      <c r="D502" s="12" t="s">
        <v>714</v>
      </c>
      <c r="E502" s="12" t="s">
        <v>1477</v>
      </c>
      <c r="F502" s="124" t="s">
        <v>1959</v>
      </c>
      <c r="G502" s="13">
        <v>45495</v>
      </c>
      <c r="H502" s="14">
        <f>10276.99/J502</f>
        <v>100.11680467608377</v>
      </c>
      <c r="I502" s="14">
        <v>-8.67</v>
      </c>
      <c r="J502" s="8">
        <f>SUMIF(Journal!$A:$A,HeadJournal!$A502,Journal!$K:$K)+SUMIF(Journal!$A:$A,HeadJournal!$A502,Journal!$L:$L)+SUMIF(Journal!$A:$A,HeadJournal!$A502,Journal!$M:$M)</f>
        <v>102.65</v>
      </c>
      <c r="K502" s="14">
        <v>102.65</v>
      </c>
      <c r="L502" s="14">
        <f>(1843.69+1300)/4</f>
        <v>785.92250000000001</v>
      </c>
      <c r="M502" s="8">
        <f>SUMIF(Journal!$A:$A,HeadJournal!$A502,Journal!$P:$P)</f>
        <v>11062.912499999999</v>
      </c>
      <c r="N502" s="8">
        <f>SUMIF(Journal!$A:$A,HeadJournal!$A502,Journal!Q:Q)</f>
        <v>18300</v>
      </c>
      <c r="O502" s="18">
        <f>SUMIF(Journal!$A:$A,HeadJournal!$A502,Journal!U:U)</f>
        <v>7237.0874999999996</v>
      </c>
      <c r="P502" s="22">
        <f t="shared" si="61"/>
        <v>0.65417560701126409</v>
      </c>
      <c r="R502" s="73">
        <f t="shared" si="62"/>
        <v>7.1041192814279258E-2</v>
      </c>
    </row>
    <row r="503" spans="1:18" x14ac:dyDescent="0.25">
      <c r="A503" s="12" t="s">
        <v>1916</v>
      </c>
      <c r="B503" s="12"/>
      <c r="C503" s="12" t="s">
        <v>1328</v>
      </c>
      <c r="D503" s="12" t="s">
        <v>714</v>
      </c>
      <c r="E503" s="12" t="s">
        <v>1477</v>
      </c>
      <c r="F503" s="12"/>
      <c r="G503" s="13">
        <v>45499</v>
      </c>
      <c r="H503" s="14">
        <v>1</v>
      </c>
      <c r="I503" s="14">
        <v>0</v>
      </c>
      <c r="J503" s="8">
        <f>SUMIF(Journal!$A:$A,HeadJournal!$A503,Journal!$K:$K)+SUMIF(Journal!$A:$A,HeadJournal!$A503,Journal!$L:$L)+SUMIF(Journal!$A:$A,HeadJournal!$A503,Journal!$M:$M)</f>
        <v>2550</v>
      </c>
      <c r="K503" s="14">
        <v>2550</v>
      </c>
      <c r="L503" s="14">
        <v>0</v>
      </c>
      <c r="M503" s="8">
        <f>SUMIF(Journal!$A:$A,HeadJournal!$A503,Journal!$P:$P)</f>
        <v>2550</v>
      </c>
      <c r="N503" s="8">
        <f>SUMIF(Journal!$A:$A,HeadJournal!$A503,Journal!Q:Q)</f>
        <v>3475</v>
      </c>
      <c r="O503" s="18">
        <f>SUMIF(Journal!$A:$A,HeadJournal!$A503,Journal!U:U)</f>
        <v>925</v>
      </c>
      <c r="P503" s="22">
        <f t="shared" si="61"/>
        <v>0.36274509803921567</v>
      </c>
      <c r="Q503" s="7" t="b">
        <f t="shared" ref="Q503:Q510" si="65">J503=K503</f>
        <v>1</v>
      </c>
      <c r="R503" s="73">
        <f t="shared" si="62"/>
        <v>0</v>
      </c>
    </row>
    <row r="504" spans="1:18" x14ac:dyDescent="0.25">
      <c r="A504" s="12" t="s">
        <v>1917</v>
      </c>
      <c r="B504" s="12"/>
      <c r="C504" s="12" t="s">
        <v>843</v>
      </c>
      <c r="D504" s="12" t="s">
        <v>714</v>
      </c>
      <c r="E504" s="12" t="s">
        <v>1477</v>
      </c>
      <c r="F504" s="12"/>
      <c r="G504" s="13">
        <v>45464</v>
      </c>
      <c r="H504" s="14">
        <v>1</v>
      </c>
      <c r="I504" s="14">
        <v>0</v>
      </c>
      <c r="J504" s="8">
        <f>SUMIF(Journal!$A:$A,HeadJournal!$A504,Journal!$K:$K)+SUMIF(Journal!$A:$A,HeadJournal!$A504,Journal!$L:$L)+SUMIF(Journal!$A:$A,HeadJournal!$A504,Journal!$M:$M)</f>
        <v>1140</v>
      </c>
      <c r="K504" s="14">
        <v>1140</v>
      </c>
      <c r="L504" s="14">
        <v>0</v>
      </c>
      <c r="M504" s="8">
        <f>SUMIF(Journal!$A:$A,HeadJournal!$A504,Journal!$P:$P)</f>
        <v>1140</v>
      </c>
      <c r="N504" s="8">
        <f>SUMIF(Journal!$A:$A,HeadJournal!$A504,Journal!Q:Q)</f>
        <v>0</v>
      </c>
      <c r="O504" s="18">
        <f>SUMIF(Journal!$A:$A,HeadJournal!$A504,Journal!U:U)</f>
        <v>-1140</v>
      </c>
      <c r="P504" s="22" t="str">
        <f t="shared" si="61"/>
        <v/>
      </c>
      <c r="Q504" s="7" t="b">
        <f t="shared" si="65"/>
        <v>1</v>
      </c>
      <c r="R504" s="73">
        <f t="shared" si="62"/>
        <v>0</v>
      </c>
    </row>
    <row r="505" spans="1:18" x14ac:dyDescent="0.25">
      <c r="A505" s="12" t="s">
        <v>1918</v>
      </c>
      <c r="B505" s="12"/>
      <c r="C505" s="12" t="s">
        <v>843</v>
      </c>
      <c r="D505" s="12" t="s">
        <v>714</v>
      </c>
      <c r="E505" s="12" t="s">
        <v>1477</v>
      </c>
      <c r="F505" s="12"/>
      <c r="G505" s="13">
        <v>45478</v>
      </c>
      <c r="H505" s="14">
        <v>1</v>
      </c>
      <c r="I505" s="14">
        <v>0</v>
      </c>
      <c r="J505" s="8">
        <f>SUMIF(Journal!$A:$A,HeadJournal!$A505,Journal!$K:$K)+SUMIF(Journal!$A:$A,HeadJournal!$A505,Journal!$L:$L)+SUMIF(Journal!$A:$A,HeadJournal!$A505,Journal!$M:$M)</f>
        <v>6250</v>
      </c>
      <c r="K505" s="14">
        <f>3125*2</f>
        <v>6250</v>
      </c>
      <c r="L505" s="14">
        <v>0</v>
      </c>
      <c r="M505" s="8">
        <f>SUMIF(Journal!$A:$A,HeadJournal!$A505,Journal!$P:$P)</f>
        <v>6250</v>
      </c>
      <c r="N505" s="8">
        <f>SUMIF(Journal!$A:$A,HeadJournal!$A505,Journal!Q:Q)</f>
        <v>9000</v>
      </c>
      <c r="O505" s="18">
        <f>SUMIF(Journal!$A:$A,HeadJournal!$A505,Journal!U:U)</f>
        <v>2750</v>
      </c>
      <c r="P505" s="22">
        <f t="shared" si="61"/>
        <v>0.44</v>
      </c>
      <c r="Q505" s="7" t="b">
        <f t="shared" si="65"/>
        <v>1</v>
      </c>
      <c r="R505" s="73">
        <f t="shared" si="62"/>
        <v>0</v>
      </c>
    </row>
    <row r="506" spans="1:18" x14ac:dyDescent="0.25">
      <c r="A506" s="12" t="s">
        <v>1919</v>
      </c>
      <c r="B506" s="12"/>
      <c r="C506" s="12" t="s">
        <v>843</v>
      </c>
      <c r="D506" s="12" t="s">
        <v>714</v>
      </c>
      <c r="E506" s="12" t="s">
        <v>1477</v>
      </c>
      <c r="F506" s="12"/>
      <c r="G506" s="13">
        <v>45499</v>
      </c>
      <c r="H506" s="14">
        <v>1</v>
      </c>
      <c r="I506" s="14">
        <v>0</v>
      </c>
      <c r="J506" s="8">
        <f>SUMIF(Journal!$A:$A,HeadJournal!$A506,Journal!$K:$K)+SUMIF(Journal!$A:$A,HeadJournal!$A506,Journal!$L:$L)+SUMIF(Journal!$A:$A,HeadJournal!$A506,Journal!$M:$M)</f>
        <v>3880</v>
      </c>
      <c r="K506" s="14">
        <f>1940*2</f>
        <v>3880</v>
      </c>
      <c r="L506" s="14">
        <v>0</v>
      </c>
      <c r="M506" s="8">
        <f>SUMIF(Journal!$A:$A,HeadJournal!$A506,Journal!$P:$P)</f>
        <v>3880</v>
      </c>
      <c r="N506" s="8">
        <f>SUMIF(Journal!$A:$A,HeadJournal!$A506,Journal!Q:Q)</f>
        <v>5200</v>
      </c>
      <c r="O506" s="18">
        <f>SUMIF(Journal!$A:$A,HeadJournal!$A506,Journal!U:U)</f>
        <v>1320</v>
      </c>
      <c r="P506" s="22">
        <f t="shared" si="61"/>
        <v>0.34020618556701032</v>
      </c>
      <c r="Q506" s="7" t="b">
        <f t="shared" si="65"/>
        <v>1</v>
      </c>
      <c r="R506" s="73">
        <f t="shared" si="62"/>
        <v>0</v>
      </c>
    </row>
    <row r="507" spans="1:18" x14ac:dyDescent="0.25">
      <c r="A507" s="12" t="s">
        <v>1920</v>
      </c>
      <c r="B507" s="12"/>
      <c r="C507" s="12" t="s">
        <v>843</v>
      </c>
      <c r="D507" s="12" t="s">
        <v>714</v>
      </c>
      <c r="E507" s="12" t="s">
        <v>1477</v>
      </c>
      <c r="F507" s="12"/>
      <c r="G507" s="13">
        <v>45506</v>
      </c>
      <c r="H507" s="14">
        <v>1</v>
      </c>
      <c r="I507" s="14">
        <v>0</v>
      </c>
      <c r="J507" s="8">
        <f>SUMIF(Journal!$A:$A,HeadJournal!$A507,Journal!$K:$K)+SUMIF(Journal!$A:$A,HeadJournal!$A507,Journal!$L:$L)+SUMIF(Journal!$A:$A,HeadJournal!$A507,Journal!$M:$M)</f>
        <v>2994</v>
      </c>
      <c r="K507" s="14">
        <f>505*3+493*3</f>
        <v>2994</v>
      </c>
      <c r="L507" s="14">
        <v>0</v>
      </c>
      <c r="M507" s="8">
        <f>SUMIF(Journal!$A:$A,HeadJournal!$A507,Journal!$P:$P)</f>
        <v>2994</v>
      </c>
      <c r="N507" s="8">
        <f>SUMIF(Journal!$A:$A,HeadJournal!$A507,Journal!Q:Q)</f>
        <v>4600</v>
      </c>
      <c r="O507" s="18">
        <f>SUMIF(Journal!$A:$A,HeadJournal!$A507,Journal!U:U)</f>
        <v>1606</v>
      </c>
      <c r="P507" s="22">
        <f t="shared" si="61"/>
        <v>0.53640614562458255</v>
      </c>
      <c r="Q507" s="7" t="b">
        <f t="shared" si="65"/>
        <v>1</v>
      </c>
      <c r="R507" s="73">
        <f t="shared" si="62"/>
        <v>0</v>
      </c>
    </row>
    <row r="508" spans="1:18" x14ac:dyDescent="0.25">
      <c r="A508" s="12" t="s">
        <v>1921</v>
      </c>
      <c r="B508" s="12"/>
      <c r="C508" s="12" t="s">
        <v>1380</v>
      </c>
      <c r="D508" s="12" t="s">
        <v>714</v>
      </c>
      <c r="E508" s="12" t="s">
        <v>1477</v>
      </c>
      <c r="F508" s="12"/>
      <c r="G508" s="13">
        <v>45498</v>
      </c>
      <c r="H508" s="14">
        <v>1</v>
      </c>
      <c r="I508" s="14">
        <v>0</v>
      </c>
      <c r="J508" s="8">
        <f>SUMIF(Journal!$A:$A,HeadJournal!$A508,Journal!$K:$K)+SUMIF(Journal!$A:$A,HeadJournal!$A508,Journal!$L:$L)+SUMIF(Journal!$A:$A,HeadJournal!$A508,Journal!$M:$M)</f>
        <v>1161</v>
      </c>
      <c r="K508" s="14">
        <v>1161</v>
      </c>
      <c r="L508" s="14">
        <v>0</v>
      </c>
      <c r="M508" s="8">
        <f>SUMIF(Journal!$A:$A,HeadJournal!$A508,Journal!$P:$P)</f>
        <v>1161</v>
      </c>
      <c r="N508" s="8">
        <f>SUMIF(Journal!$A:$A,HeadJournal!$A508,Journal!Q:Q)</f>
        <v>2300</v>
      </c>
      <c r="O508" s="18">
        <f>SUMIF(Journal!$A:$A,HeadJournal!$A508,Journal!U:U)</f>
        <v>1139</v>
      </c>
      <c r="P508" s="22">
        <f t="shared" si="61"/>
        <v>0.98105081826012064</v>
      </c>
      <c r="Q508" s="7" t="b">
        <f t="shared" si="65"/>
        <v>1</v>
      </c>
      <c r="R508" s="73">
        <f t="shared" si="62"/>
        <v>0</v>
      </c>
    </row>
    <row r="509" spans="1:18" x14ac:dyDescent="0.25">
      <c r="A509" s="12" t="s">
        <v>1922</v>
      </c>
      <c r="B509" s="12"/>
      <c r="C509" s="12" t="s">
        <v>1380</v>
      </c>
      <c r="D509" s="12" t="s">
        <v>714</v>
      </c>
      <c r="E509" s="12" t="s">
        <v>1477</v>
      </c>
      <c r="F509" s="12"/>
      <c r="G509" s="13">
        <v>45490</v>
      </c>
      <c r="H509" s="14">
        <v>1</v>
      </c>
      <c r="I509" s="14">
        <v>0</v>
      </c>
      <c r="J509" s="8">
        <f>SUMIF(Journal!$A:$A,HeadJournal!$A509,Journal!$K:$K)+SUMIF(Journal!$A:$A,HeadJournal!$A509,Journal!$L:$L)+SUMIF(Journal!$A:$A,HeadJournal!$A509,Journal!$M:$M)</f>
        <v>3023</v>
      </c>
      <c r="K509" s="14">
        <v>3023</v>
      </c>
      <c r="L509" s="14">
        <v>0</v>
      </c>
      <c r="M509" s="8">
        <f>SUMIF(Journal!$A:$A,HeadJournal!$A509,Journal!$P:$P)</f>
        <v>3023</v>
      </c>
      <c r="N509" s="8">
        <f>SUMIF(Journal!$A:$A,HeadJournal!$A509,Journal!Q:Q)</f>
        <v>3400</v>
      </c>
      <c r="O509" s="18">
        <f>SUMIF(Journal!$A:$A,HeadJournal!$A509,Journal!U:U)</f>
        <v>377</v>
      </c>
      <c r="P509" s="22">
        <f t="shared" si="61"/>
        <v>0.12471055243135958</v>
      </c>
      <c r="Q509" s="7" t="b">
        <f t="shared" si="65"/>
        <v>1</v>
      </c>
      <c r="R509" s="73">
        <f t="shared" si="62"/>
        <v>0</v>
      </c>
    </row>
    <row r="510" spans="1:18" x14ac:dyDescent="0.25">
      <c r="A510" s="12" t="s">
        <v>1926</v>
      </c>
      <c r="B510" s="12"/>
      <c r="C510" s="12" t="s">
        <v>1380</v>
      </c>
      <c r="D510" s="12" t="s">
        <v>714</v>
      </c>
      <c r="E510" s="12" t="s">
        <v>1477</v>
      </c>
      <c r="F510" s="12"/>
      <c r="G510" s="13">
        <v>45501</v>
      </c>
      <c r="H510" s="14">
        <v>1</v>
      </c>
      <c r="I510" s="14">
        <v>0</v>
      </c>
      <c r="J510" s="8">
        <f>SUMIF(Journal!$A:$A,HeadJournal!$A510,Journal!$K:$K)+SUMIF(Journal!$A:$A,HeadJournal!$A510,Journal!$L:$L)+SUMIF(Journal!$A:$A,HeadJournal!$A510,Journal!$M:$M)</f>
        <v>2061</v>
      </c>
      <c r="K510" s="14">
        <v>2061</v>
      </c>
      <c r="L510" s="14">
        <v>0</v>
      </c>
      <c r="M510" s="8">
        <f>SUMIF(Journal!$A:$A,HeadJournal!$A510,Journal!$P:$P)</f>
        <v>2061</v>
      </c>
      <c r="N510" s="8">
        <f>SUMIF(Journal!$A:$A,HeadJournal!$A510,Journal!Q:Q)</f>
        <v>0</v>
      </c>
      <c r="O510" s="18">
        <f>SUMIF(Journal!$A:$A,HeadJournal!$A510,Journal!U:U)</f>
        <v>-2061</v>
      </c>
      <c r="P510" s="22" t="str">
        <f t="shared" si="61"/>
        <v/>
      </c>
      <c r="Q510" s="7" t="b">
        <f t="shared" si="65"/>
        <v>1</v>
      </c>
      <c r="R510" s="73">
        <f t="shared" si="62"/>
        <v>0</v>
      </c>
    </row>
    <row r="511" spans="1:18" x14ac:dyDescent="0.25">
      <c r="A511" s="12" t="s">
        <v>1931</v>
      </c>
      <c r="B511" s="124" t="s">
        <v>1932</v>
      </c>
      <c r="C511" s="12" t="s">
        <v>1737</v>
      </c>
      <c r="D511" s="12" t="s">
        <v>714</v>
      </c>
      <c r="E511" s="12" t="s">
        <v>1477</v>
      </c>
      <c r="F511" s="124" t="s">
        <v>1959</v>
      </c>
      <c r="G511" s="13">
        <v>45504</v>
      </c>
      <c r="H511" s="14">
        <f>16682.54/J511</f>
        <v>98.853638302915357</v>
      </c>
      <c r="I511" s="14">
        <v>-9.5399999999999991</v>
      </c>
      <c r="J511" s="8">
        <f>SUMIF(Journal!$A:$A,HeadJournal!$A511,Journal!$K:$K)+SUMIF(Journal!$A:$A,HeadJournal!$A511,Journal!$L:$L)+SUMIF(Journal!$A:$A,HeadJournal!$A511,Journal!$M:$M)</f>
        <v>168.76000000000005</v>
      </c>
      <c r="K511" s="14">
        <v>168.76</v>
      </c>
      <c r="L511" s="14">
        <f>(1843.69+1300)/4</f>
        <v>785.92250000000001</v>
      </c>
      <c r="M511" s="8">
        <f>SUMIF(Journal!$A:$A,HeadJournal!$A511,Journal!$P:$P)</f>
        <v>17468.462499999994</v>
      </c>
      <c r="N511" s="8">
        <f>SUMIF(Journal!$A:$A,HeadJournal!$A511,Journal!Q:Q)</f>
        <v>30800</v>
      </c>
      <c r="O511" s="18">
        <f>SUMIF(Journal!$A:$A,HeadJournal!$A511,Journal!U:U)</f>
        <v>13331.537500000009</v>
      </c>
      <c r="P511" s="22">
        <f t="shared" si="61"/>
        <v>0.76317749773341603</v>
      </c>
      <c r="R511" s="73">
        <f t="shared" si="62"/>
        <v>4.4990937239038652E-2</v>
      </c>
    </row>
    <row r="512" spans="1:18" x14ac:dyDescent="0.25">
      <c r="A512" s="12" t="s">
        <v>1937</v>
      </c>
      <c r="B512" s="124" t="s">
        <v>1938</v>
      </c>
      <c r="C512" s="12" t="s">
        <v>1751</v>
      </c>
      <c r="D512" s="12" t="s">
        <v>714</v>
      </c>
      <c r="E512" s="12" t="s">
        <v>1477</v>
      </c>
      <c r="F512" s="124" t="s">
        <v>1959</v>
      </c>
      <c r="G512" s="13">
        <v>45496</v>
      </c>
      <c r="H512" s="14">
        <f>11567.29/J512</f>
        <v>99.366806975345767</v>
      </c>
      <c r="I512" s="14">
        <v>0</v>
      </c>
      <c r="J512" s="8">
        <f>SUMIF(Journal!$A:$A,HeadJournal!$A512,Journal!$K:$K)+SUMIF(Journal!$A:$A,HeadJournal!$A512,Journal!$L:$L)+SUMIF(Journal!$A:$A,HeadJournal!$A512,Journal!$M:$M)</f>
        <v>116.41</v>
      </c>
      <c r="K512" s="14">
        <v>116.41</v>
      </c>
      <c r="L512" s="14">
        <f>(1843.69+1300)/4</f>
        <v>785.92250000000001</v>
      </c>
      <c r="M512" s="8">
        <f>SUMIF(Journal!$A:$A,HeadJournal!$A512,Journal!$P:$P)</f>
        <v>12353.212500000001</v>
      </c>
      <c r="N512" s="8">
        <f>SUMIF(Journal!$A:$A,HeadJournal!$A512,Journal!Q:Q)</f>
        <v>19100</v>
      </c>
      <c r="O512" s="18">
        <f>SUMIF(Journal!$A:$A,HeadJournal!$A512,Journal!U:U)</f>
        <v>6746.7874999999985</v>
      </c>
      <c r="P512" s="22">
        <f t="shared" si="61"/>
        <v>0.54615651596700032</v>
      </c>
      <c r="R512" s="73">
        <f t="shared" si="62"/>
        <v>6.3620900231417532E-2</v>
      </c>
    </row>
    <row r="513" spans="1:18" x14ac:dyDescent="0.25">
      <c r="A513" s="12" t="s">
        <v>1940</v>
      </c>
      <c r="B513" s="124" t="s">
        <v>1941</v>
      </c>
      <c r="C513" s="12" t="s">
        <v>1752</v>
      </c>
      <c r="D513" s="12" t="s">
        <v>714</v>
      </c>
      <c r="E513" s="12" t="s">
        <v>1477</v>
      </c>
      <c r="F513" s="124" t="s">
        <v>1959</v>
      </c>
      <c r="G513" s="13">
        <v>45499</v>
      </c>
      <c r="H513" s="14">
        <f>16663.82/J513</f>
        <v>99.443933878379184</v>
      </c>
      <c r="I513" s="14">
        <v>0</v>
      </c>
      <c r="J513" s="8">
        <f>SUMIF(Journal!$A:$A,HeadJournal!$A513,Journal!$K:$K)+SUMIF(Journal!$A:$A,HeadJournal!$A513,Journal!$L:$L)+SUMIF(Journal!$A:$A,HeadJournal!$A513,Journal!$M:$M)</f>
        <v>167.57</v>
      </c>
      <c r="K513" s="14">
        <v>167.57</v>
      </c>
      <c r="L513" s="14">
        <f>(1843.69+1300)/4</f>
        <v>785.92250000000001</v>
      </c>
      <c r="M513" s="8">
        <f>SUMIF(Journal!$A:$A,HeadJournal!$A513,Journal!$P:$P)</f>
        <v>17449.7425</v>
      </c>
      <c r="N513" s="8">
        <f>SUMIF(Journal!$A:$A,HeadJournal!$A513,Journal!Q:Q)</f>
        <v>29700</v>
      </c>
      <c r="O513" s="18">
        <f>SUMIF(Journal!$A:$A,HeadJournal!$A513,Journal!U:U)</f>
        <v>12250.2575</v>
      </c>
      <c r="P513" s="22">
        <f t="shared" si="61"/>
        <v>0.70203084658699111</v>
      </c>
      <c r="Q513" s="7" t="b">
        <f t="shared" ref="Q513:Q518" si="66">J513=K513</f>
        <v>1</v>
      </c>
      <c r="R513" s="73">
        <f t="shared" si="62"/>
        <v>4.5039203300564462E-2</v>
      </c>
    </row>
    <row r="514" spans="1:18" x14ac:dyDescent="0.25">
      <c r="A514" s="12" t="s">
        <v>1944</v>
      </c>
      <c r="B514" s="12"/>
      <c r="C514" s="12" t="s">
        <v>843</v>
      </c>
      <c r="D514" s="12" t="s">
        <v>714</v>
      </c>
      <c r="E514" s="12" t="s">
        <v>1477</v>
      </c>
      <c r="F514" s="12"/>
      <c r="G514" s="13">
        <v>45513</v>
      </c>
      <c r="H514" s="14">
        <v>1</v>
      </c>
      <c r="I514" s="14">
        <v>0</v>
      </c>
      <c r="J514" s="8">
        <f>SUMIF(Journal!$A:$A,HeadJournal!$A514,Journal!$K:$K)+SUMIF(Journal!$A:$A,HeadJournal!$A514,Journal!$L:$L)+SUMIF(Journal!$A:$A,HeadJournal!$A514,Journal!$M:$M)</f>
        <v>955</v>
      </c>
      <c r="K514" s="14">
        <v>995</v>
      </c>
      <c r="L514" s="14">
        <v>0</v>
      </c>
      <c r="M514" s="8">
        <f>SUMIF(Journal!$A:$A,HeadJournal!$A514,Journal!$P:$P)</f>
        <v>995</v>
      </c>
      <c r="N514" s="8">
        <f>SUMIF(Journal!$A:$A,HeadJournal!$A514,Journal!Q:Q)</f>
        <v>1700</v>
      </c>
      <c r="O514" s="18">
        <f>SUMIF(Journal!$A:$A,HeadJournal!$A514,Journal!U:U)</f>
        <v>705</v>
      </c>
      <c r="P514" s="22">
        <f t="shared" si="61"/>
        <v>0.70854271356783916</v>
      </c>
      <c r="Q514" s="7" t="b">
        <f t="shared" si="66"/>
        <v>0</v>
      </c>
      <c r="R514" s="73">
        <f t="shared" si="62"/>
        <v>0</v>
      </c>
    </row>
    <row r="515" spans="1:18" x14ac:dyDescent="0.25">
      <c r="A515" s="12" t="s">
        <v>1945</v>
      </c>
      <c r="B515" s="12"/>
      <c r="C515" s="12" t="s">
        <v>1380</v>
      </c>
      <c r="D515" s="12" t="s">
        <v>714</v>
      </c>
      <c r="E515" s="12" t="s">
        <v>1477</v>
      </c>
      <c r="F515" s="12"/>
      <c r="G515" s="13">
        <v>45511</v>
      </c>
      <c r="H515" s="14">
        <v>1</v>
      </c>
      <c r="I515" s="14">
        <v>0</v>
      </c>
      <c r="J515" s="8">
        <f>SUMIF(Journal!$A:$A,HeadJournal!$A515,Journal!$K:$K)+SUMIF(Journal!$A:$A,HeadJournal!$A515,Journal!$L:$L)+SUMIF(Journal!$A:$A,HeadJournal!$A515,Journal!$M:$M)</f>
        <v>3841.0000000000005</v>
      </c>
      <c r="K515" s="14">
        <v>3841</v>
      </c>
      <c r="L515" s="14">
        <v>0</v>
      </c>
      <c r="M515" s="8">
        <f>SUMIF(Journal!$A:$A,HeadJournal!$A515,Journal!$P:$P)</f>
        <v>3840.9999999999991</v>
      </c>
      <c r="N515" s="8">
        <f>SUMIF(Journal!$A:$A,HeadJournal!$A515,Journal!Q:Q)</f>
        <v>4800</v>
      </c>
      <c r="O515" s="18">
        <f>SUMIF(Journal!$A:$A,HeadJournal!$A515,Journal!U:U)</f>
        <v>959.00000000000045</v>
      </c>
      <c r="P515" s="22">
        <f t="shared" ref="P515:P578" si="67">IF(N515&lt;&gt;0,IFERROR(O515/M515,""),"")</f>
        <v>0.24967456391564716</v>
      </c>
      <c r="Q515" s="7" t="b">
        <f t="shared" si="66"/>
        <v>1</v>
      </c>
      <c r="R515" s="73">
        <f t="shared" ref="R515:R578" si="68">L515/M515</f>
        <v>0</v>
      </c>
    </row>
    <row r="516" spans="1:18" x14ac:dyDescent="0.25">
      <c r="A516" s="12" t="s">
        <v>1956</v>
      </c>
      <c r="B516" s="12"/>
      <c r="C516" s="12" t="s">
        <v>1461</v>
      </c>
      <c r="D516" s="12" t="s">
        <v>714</v>
      </c>
      <c r="E516" s="12" t="s">
        <v>1477</v>
      </c>
      <c r="F516" s="12"/>
      <c r="G516" s="13">
        <v>45504</v>
      </c>
      <c r="H516" s="14">
        <v>1</v>
      </c>
      <c r="I516" s="14">
        <v>0</v>
      </c>
      <c r="J516" s="8">
        <f>SUMIF(Journal!$A:$A,HeadJournal!$A516,Journal!$K:$K)+SUMIF(Journal!$A:$A,HeadJournal!$A516,Journal!$L:$L)+SUMIF(Journal!$A:$A,HeadJournal!$A516,Journal!$M:$M)</f>
        <v>8656</v>
      </c>
      <c r="K516" s="14">
        <v>8656</v>
      </c>
      <c r="L516" s="14">
        <v>0</v>
      </c>
      <c r="M516" s="8">
        <f>SUMIF(Journal!$A:$A,HeadJournal!$A516,Journal!$P:$P)</f>
        <v>8656</v>
      </c>
      <c r="N516" s="8">
        <f>SUMIF(Journal!$A:$A,HeadJournal!$A516,Journal!Q:Q)</f>
        <v>10800</v>
      </c>
      <c r="O516" s="18">
        <f>SUMIF(Journal!$A:$A,HeadJournal!$A516,Journal!U:U)</f>
        <v>2144</v>
      </c>
      <c r="P516" s="22">
        <f t="shared" si="67"/>
        <v>0.24768946395563771</v>
      </c>
      <c r="Q516" s="7" t="b">
        <f t="shared" si="66"/>
        <v>1</v>
      </c>
      <c r="R516" s="73">
        <f t="shared" si="68"/>
        <v>0</v>
      </c>
    </row>
    <row r="517" spans="1:18" x14ac:dyDescent="0.25">
      <c r="A517" s="12" t="s">
        <v>1957</v>
      </c>
      <c r="B517" s="12"/>
      <c r="C517" s="12" t="s">
        <v>1461</v>
      </c>
      <c r="D517" s="12" t="s">
        <v>714</v>
      </c>
      <c r="E517" s="12" t="s">
        <v>1477</v>
      </c>
      <c r="F517" s="12"/>
      <c r="G517" s="13">
        <v>45504</v>
      </c>
      <c r="H517" s="14">
        <v>1</v>
      </c>
      <c r="I517" s="14">
        <v>0</v>
      </c>
      <c r="J517" s="8">
        <f>SUMIF(Journal!$A:$A,HeadJournal!$A517,Journal!$K:$K)+SUMIF(Journal!$A:$A,HeadJournal!$A517,Journal!$L:$L)+SUMIF(Journal!$A:$A,HeadJournal!$A517,Journal!$M:$M)</f>
        <v>2045</v>
      </c>
      <c r="K517" s="14">
        <v>2045</v>
      </c>
      <c r="L517" s="14">
        <v>0</v>
      </c>
      <c r="M517" s="8">
        <f>SUMIF(Journal!$A:$A,HeadJournal!$A517,Journal!$P:$P)</f>
        <v>2045</v>
      </c>
      <c r="N517" s="8">
        <f>SUMIF(Journal!$A:$A,HeadJournal!$A517,Journal!Q:Q)</f>
        <v>2500</v>
      </c>
      <c r="O517" s="18">
        <f>SUMIF(Journal!$A:$A,HeadJournal!$A517,Journal!U:U)</f>
        <v>455</v>
      </c>
      <c r="P517" s="22">
        <f t="shared" si="67"/>
        <v>0.22249388753056235</v>
      </c>
      <c r="Q517" s="7" t="b">
        <f t="shared" si="66"/>
        <v>1</v>
      </c>
      <c r="R517" s="73">
        <f t="shared" si="68"/>
        <v>0</v>
      </c>
    </row>
    <row r="518" spans="1:18" x14ac:dyDescent="0.25">
      <c r="A518" s="12" t="s">
        <v>1958</v>
      </c>
      <c r="B518" s="12"/>
      <c r="C518" s="12" t="s">
        <v>1461</v>
      </c>
      <c r="D518" s="12" t="s">
        <v>714</v>
      </c>
      <c r="E518" s="12" t="s">
        <v>1477</v>
      </c>
      <c r="F518" s="12"/>
      <c r="G518" s="13">
        <v>45504</v>
      </c>
      <c r="H518" s="14">
        <v>1</v>
      </c>
      <c r="I518" s="14">
        <v>0</v>
      </c>
      <c r="J518" s="8">
        <f>SUMIF(Journal!$A:$A,HeadJournal!$A518,Journal!$K:$K)+SUMIF(Journal!$A:$A,HeadJournal!$A518,Journal!$L:$L)+SUMIF(Journal!$A:$A,HeadJournal!$A518,Journal!$M:$M)</f>
        <v>2824</v>
      </c>
      <c r="K518" s="14">
        <v>2824</v>
      </c>
      <c r="L518" s="14">
        <v>0</v>
      </c>
      <c r="M518" s="8">
        <f>SUMIF(Journal!$A:$A,HeadJournal!$A518,Journal!$P:$P)</f>
        <v>2824</v>
      </c>
      <c r="N518" s="8">
        <f>SUMIF(Journal!$A:$A,HeadJournal!$A518,Journal!Q:Q)</f>
        <v>3600</v>
      </c>
      <c r="O518" s="18">
        <f>SUMIF(Journal!$A:$A,HeadJournal!$A518,Journal!U:U)</f>
        <v>776</v>
      </c>
      <c r="P518" s="22">
        <f t="shared" si="67"/>
        <v>0.27478753541076489</v>
      </c>
      <c r="Q518" s="7" t="b">
        <f t="shared" si="66"/>
        <v>1</v>
      </c>
      <c r="R518" s="73">
        <f t="shared" si="68"/>
        <v>0</v>
      </c>
    </row>
    <row r="519" spans="1:18" x14ac:dyDescent="0.25">
      <c r="A519" s="12" t="s">
        <v>1960</v>
      </c>
      <c r="B519" s="124" t="s">
        <v>1961</v>
      </c>
      <c r="C519" s="12" t="s">
        <v>1737</v>
      </c>
      <c r="D519" s="12" t="s">
        <v>714</v>
      </c>
      <c r="E519" s="12" t="s">
        <v>1477</v>
      </c>
      <c r="F519" s="124" t="s">
        <v>1993</v>
      </c>
      <c r="G519" s="13">
        <v>45525</v>
      </c>
      <c r="H519" s="14">
        <f>18678.79/J519</f>
        <v>99.859877038225079</v>
      </c>
      <c r="I519" s="14">
        <v>0</v>
      </c>
      <c r="J519" s="8">
        <f>SUMIF(Journal!$A:$A,HeadJournal!$A519,Journal!$K:$K)+SUMIF(Journal!$A:$A,HeadJournal!$A519,Journal!$L:$L)+SUMIF(Journal!$A:$A,HeadJournal!$A519,Journal!$M:$M)</f>
        <v>187.05</v>
      </c>
      <c r="K519" s="14">
        <v>187.05</v>
      </c>
      <c r="L519" s="14">
        <f>(1843+1300)/3</f>
        <v>1047.6666666666667</v>
      </c>
      <c r="M519" s="8">
        <f>SUMIF(Journal!$A:$A,HeadJournal!$A519,Journal!$P:$P)</f>
        <v>19726.456666666672</v>
      </c>
      <c r="N519" s="8">
        <f>SUMIF(Journal!$A:$A,HeadJournal!$A519,Journal!Q:Q)</f>
        <v>30250</v>
      </c>
      <c r="O519" s="18">
        <f>SUMIF(Journal!$A:$A,HeadJournal!$A519,Journal!U:U)</f>
        <v>10523.543333333333</v>
      </c>
      <c r="P519" s="22">
        <f t="shared" si="67"/>
        <v>0.53347357364568071</v>
      </c>
      <c r="R519" s="73">
        <f t="shared" si="68"/>
        <v>5.3109723878439381E-2</v>
      </c>
    </row>
    <row r="520" spans="1:18" x14ac:dyDescent="0.25">
      <c r="A520" s="12" t="s">
        <v>1963</v>
      </c>
      <c r="B520" s="124" t="s">
        <v>1964</v>
      </c>
      <c r="C520" s="12" t="s">
        <v>1735</v>
      </c>
      <c r="D520" s="12" t="s">
        <v>714</v>
      </c>
      <c r="E520" s="12" t="s">
        <v>1477</v>
      </c>
      <c r="F520" s="124" t="s">
        <v>1992</v>
      </c>
      <c r="G520" s="13">
        <v>45522</v>
      </c>
      <c r="H520" s="14">
        <f>18445.92/J520</f>
        <v>100.32590014141191</v>
      </c>
      <c r="I520" s="14">
        <v>-9.4600000000000009</v>
      </c>
      <c r="J520" s="8">
        <f>SUMIF(Journal!$A:$A,HeadJournal!$A520,Journal!$K:$K)+SUMIF(Journal!$A:$A,HeadJournal!$A520,Journal!$L:$L)+SUMIF(Journal!$A:$A,HeadJournal!$A520,Journal!$M:$M)</f>
        <v>183.86000000000004</v>
      </c>
      <c r="K520" s="14">
        <v>183.86</v>
      </c>
      <c r="L520" s="14">
        <f>(1566.53+1100)/3</f>
        <v>888.84333333333325</v>
      </c>
      <c r="M520" s="8">
        <f>SUMIF(Journal!$A:$A,HeadJournal!$A520,Journal!$P:$P)</f>
        <v>19334.763333333321</v>
      </c>
      <c r="N520" s="8">
        <f>SUMIF(Journal!$A:$A,HeadJournal!$A520,Journal!Q:Q)</f>
        <v>29700</v>
      </c>
      <c r="O520" s="18">
        <f>SUMIF(Journal!$A:$A,HeadJournal!$A520,Journal!U:U)</f>
        <v>10365.236666666677</v>
      </c>
      <c r="P520" s="22">
        <f t="shared" si="67"/>
        <v>0.53609327861784106</v>
      </c>
      <c r="R520" s="73">
        <f t="shared" si="68"/>
        <v>4.5971254884768033E-2</v>
      </c>
    </row>
    <row r="521" spans="1:18" x14ac:dyDescent="0.25">
      <c r="A521" s="12" t="s">
        <v>1967</v>
      </c>
      <c r="B521" s="124" t="s">
        <v>1968</v>
      </c>
      <c r="C521" s="12" t="s">
        <v>1751</v>
      </c>
      <c r="D521" s="12" t="s">
        <v>714</v>
      </c>
      <c r="E521" s="12" t="s">
        <v>1477</v>
      </c>
      <c r="F521" s="124" t="s">
        <v>1992</v>
      </c>
      <c r="G521" s="13">
        <v>45511</v>
      </c>
      <c r="H521" s="14">
        <f>16920.08/J521</f>
        <v>98.487077997671747</v>
      </c>
      <c r="I521" s="14">
        <v>-14.98</v>
      </c>
      <c r="J521" s="8">
        <f>SUMIF(Journal!$A:$A,HeadJournal!$A521,Journal!$K:$K)+SUMIF(Journal!$A:$A,HeadJournal!$A521,Journal!$L:$L)+SUMIF(Journal!$A:$A,HeadJournal!$A521,Journal!$M:$M)</f>
        <v>171.79999999999995</v>
      </c>
      <c r="K521" s="14">
        <v>171.8</v>
      </c>
      <c r="L521" s="14">
        <f>(1566.53+1100)/3</f>
        <v>888.84333333333325</v>
      </c>
      <c r="M521" s="8">
        <f>SUMIF(Journal!$A:$A,HeadJournal!$A521,Journal!$P:$P)</f>
        <v>17808.92333333334</v>
      </c>
      <c r="N521" s="8">
        <f>SUMIF(Journal!$A:$A,HeadJournal!$A521,Journal!Q:Q)</f>
        <v>26300</v>
      </c>
      <c r="O521" s="18">
        <f>SUMIF(Journal!$A:$A,HeadJournal!$A521,Journal!U:U)</f>
        <v>8491.0766666666568</v>
      </c>
      <c r="P521" s="22">
        <f t="shared" si="67"/>
        <v>0.47678776014346297</v>
      </c>
      <c r="R521" s="73">
        <f t="shared" si="68"/>
        <v>4.9909998302349157E-2</v>
      </c>
    </row>
    <row r="522" spans="1:18" x14ac:dyDescent="0.25">
      <c r="A522" s="12" t="s">
        <v>1972</v>
      </c>
      <c r="B522" s="124" t="s">
        <v>1973</v>
      </c>
      <c r="C522" s="12" t="s">
        <v>1752</v>
      </c>
      <c r="D522" s="12" t="s">
        <v>714</v>
      </c>
      <c r="E522" s="12" t="s">
        <v>1477</v>
      </c>
      <c r="F522" s="124" t="s">
        <v>1992</v>
      </c>
      <c r="G522" s="13">
        <v>45521</v>
      </c>
      <c r="H522" s="14">
        <f>16530.98/J522</f>
        <v>101.11309560217749</v>
      </c>
      <c r="I522" s="14">
        <v>-22.62</v>
      </c>
      <c r="J522" s="8">
        <f>SUMIF(Journal!$A:$A,HeadJournal!$A522,Journal!$K:$K)+SUMIF(Journal!$A:$A,HeadJournal!$A522,Journal!$L:$L)+SUMIF(Journal!$A:$A,HeadJournal!$A522,Journal!$M:$M)</f>
        <v>163.49</v>
      </c>
      <c r="K522" s="14">
        <v>163.49</v>
      </c>
      <c r="L522" s="14">
        <f>(1566.53+1100)/3</f>
        <v>888.84333333333325</v>
      </c>
      <c r="M522" s="8">
        <f>SUMIF(Journal!$A:$A,HeadJournal!$A522,Journal!$P:$P)</f>
        <v>17419.82333333333</v>
      </c>
      <c r="N522" s="8">
        <f>SUMIF(Journal!$A:$A,HeadJournal!$A522,Journal!Q:Q)</f>
        <v>24700</v>
      </c>
      <c r="O522" s="18">
        <f>SUMIF(Journal!$A:$A,HeadJournal!$A522,Journal!U:U)</f>
        <v>7280.1766666666681</v>
      </c>
      <c r="P522" s="22">
        <f t="shared" si="67"/>
        <v>0.41792482778719359</v>
      </c>
      <c r="Q522" s="7" t="b">
        <f>J522=K522</f>
        <v>1</v>
      </c>
      <c r="R522" s="73">
        <f t="shared" si="68"/>
        <v>5.1024819042366873E-2</v>
      </c>
    </row>
    <row r="523" spans="1:18" x14ac:dyDescent="0.25">
      <c r="A523" s="12" t="s">
        <v>1975</v>
      </c>
      <c r="B523" s="12"/>
      <c r="C523" s="12" t="s">
        <v>843</v>
      </c>
      <c r="D523" s="12" t="s">
        <v>714</v>
      </c>
      <c r="E523" s="12" t="s">
        <v>1477</v>
      </c>
      <c r="F523" s="12"/>
      <c r="G523" s="13">
        <v>45527</v>
      </c>
      <c r="H523" s="14">
        <v>1</v>
      </c>
      <c r="I523" s="14">
        <v>0</v>
      </c>
      <c r="J523" s="8">
        <f>SUMIF(Journal!$A:$A,HeadJournal!$A523,Journal!$K:$K)+SUMIF(Journal!$A:$A,HeadJournal!$A523,Journal!$L:$L)+SUMIF(Journal!$A:$A,HeadJournal!$A523,Journal!$M:$M)</f>
        <v>7326</v>
      </c>
      <c r="K523" s="14">
        <v>7326</v>
      </c>
      <c r="L523" s="14">
        <v>0</v>
      </c>
      <c r="M523" s="8">
        <f>SUMIF(Journal!$A:$A,HeadJournal!$A523,Journal!$P:$P)</f>
        <v>7326</v>
      </c>
      <c r="N523" s="8">
        <f>SUMIF(Journal!$A:$A,HeadJournal!$A523,Journal!Q:Q)</f>
        <v>11900</v>
      </c>
      <c r="O523" s="18">
        <f>SUMIF(Journal!$A:$A,HeadJournal!$A523,Journal!U:U)</f>
        <v>4574</v>
      </c>
      <c r="P523" s="22">
        <f t="shared" si="67"/>
        <v>0.62435162435162439</v>
      </c>
      <c r="Q523" s="7" t="b">
        <f>J523=K523</f>
        <v>1</v>
      </c>
      <c r="R523" s="73">
        <f t="shared" si="68"/>
        <v>0</v>
      </c>
    </row>
    <row r="524" spans="1:18" x14ac:dyDescent="0.25">
      <c r="A524" s="12" t="s">
        <v>1977</v>
      </c>
      <c r="B524" s="12"/>
      <c r="C524" s="12" t="s">
        <v>843</v>
      </c>
      <c r="D524" s="12" t="s">
        <v>714</v>
      </c>
      <c r="E524" s="12" t="s">
        <v>1477</v>
      </c>
      <c r="F524" s="12"/>
      <c r="G524" s="13">
        <v>45534</v>
      </c>
      <c r="H524" s="14">
        <v>1</v>
      </c>
      <c r="I524" s="14">
        <v>0</v>
      </c>
      <c r="J524" s="8">
        <f>SUMIF(Journal!$A:$A,HeadJournal!$A524,Journal!$K:$K)+SUMIF(Journal!$A:$A,HeadJournal!$A524,Journal!$L:$L)+SUMIF(Journal!$A:$A,HeadJournal!$A524,Journal!$M:$M)</f>
        <v>6178</v>
      </c>
      <c r="K524" s="14">
        <f>2093+781+2093+1211</f>
        <v>6178</v>
      </c>
      <c r="L524" s="14">
        <v>0</v>
      </c>
      <c r="M524" s="8">
        <f>SUMIF(Journal!$A:$A,HeadJournal!$A524,Journal!$P:$P)</f>
        <v>6178</v>
      </c>
      <c r="N524" s="8">
        <f>SUMIF(Journal!$A:$A,HeadJournal!$A524,Journal!Q:Q)</f>
        <v>10100</v>
      </c>
      <c r="O524" s="18">
        <f>SUMIF(Journal!$A:$A,HeadJournal!$A524,Journal!U:U)</f>
        <v>3922</v>
      </c>
      <c r="P524" s="22">
        <f t="shared" si="67"/>
        <v>0.63483327937843959</v>
      </c>
      <c r="Q524" s="7" t="b">
        <f>J524=K524</f>
        <v>1</v>
      </c>
      <c r="R524" s="73">
        <f t="shared" si="68"/>
        <v>0</v>
      </c>
    </row>
    <row r="525" spans="1:18" x14ac:dyDescent="0.25">
      <c r="A525" s="12" t="s">
        <v>1980</v>
      </c>
      <c r="B525" s="124" t="s">
        <v>1981</v>
      </c>
      <c r="C525" s="12" t="s">
        <v>1752</v>
      </c>
      <c r="D525" s="12" t="s">
        <v>714</v>
      </c>
      <c r="E525" s="12" t="s">
        <v>1477</v>
      </c>
      <c r="F525" s="124" t="s">
        <v>1993</v>
      </c>
      <c r="G525" s="13">
        <v>45528</v>
      </c>
      <c r="H525" s="14">
        <f>17429.82/J525</f>
        <v>100.94295476921293</v>
      </c>
      <c r="I525" s="14">
        <v>-5.57</v>
      </c>
      <c r="J525" s="8">
        <f>SUMIF(Journal!$A:$A,HeadJournal!$A525,Journal!$K:$K)+SUMIF(Journal!$A:$A,HeadJournal!$A525,Journal!$L:$L)+SUMIF(Journal!$A:$A,HeadJournal!$A525,Journal!$M:$M)</f>
        <v>172.67000000000002</v>
      </c>
      <c r="K525" s="14">
        <v>172.67</v>
      </c>
      <c r="L525" s="14">
        <f>(1843+1300)/3</f>
        <v>1047.6666666666667</v>
      </c>
      <c r="M525" s="8">
        <f>SUMIF(Journal!$A:$A,HeadJournal!$A525,Journal!$P:$P)</f>
        <v>18477.486666666664</v>
      </c>
      <c r="N525" s="8">
        <f>SUMIF(Journal!$A:$A,HeadJournal!$A525,Journal!Q:Q)</f>
        <v>26600</v>
      </c>
      <c r="O525" s="18">
        <f>SUMIF(Journal!$A:$A,HeadJournal!$A525,Journal!U:U)</f>
        <v>8122.5133333333388</v>
      </c>
      <c r="P525" s="22">
        <f t="shared" si="67"/>
        <v>0.43958972775157407</v>
      </c>
      <c r="Q525" s="7" t="b">
        <f>J525=K525</f>
        <v>1</v>
      </c>
      <c r="R525" s="73">
        <f t="shared" si="68"/>
        <v>5.6699630505303224E-2</v>
      </c>
    </row>
    <row r="526" spans="1:18" x14ac:dyDescent="0.25">
      <c r="A526" s="12" t="s">
        <v>1982</v>
      </c>
      <c r="B526" s="124" t="s">
        <v>1983</v>
      </c>
      <c r="C526" s="12" t="s">
        <v>1737</v>
      </c>
      <c r="D526" s="12" t="s">
        <v>714</v>
      </c>
      <c r="E526" s="12" t="s">
        <v>1477</v>
      </c>
      <c r="F526" s="124" t="s">
        <v>1993</v>
      </c>
      <c r="G526" s="13">
        <v>45530</v>
      </c>
      <c r="H526" s="14">
        <f>16743.04/J526</f>
        <v>101.46067143376564</v>
      </c>
      <c r="I526" s="14">
        <v>-14.59</v>
      </c>
      <c r="J526" s="8">
        <f>SUMIF(Journal!$A:$A,HeadJournal!$A526,Journal!$K:$K)+SUMIF(Journal!$A:$A,HeadJournal!$A526,Journal!$L:$L)+SUMIF(Journal!$A:$A,HeadJournal!$A526,Journal!$M:$M)</f>
        <v>165.01999999999995</v>
      </c>
      <c r="K526" s="14">
        <v>165.02</v>
      </c>
      <c r="L526" s="14">
        <f>(1843+1300)/3</f>
        <v>1047.6666666666667</v>
      </c>
      <c r="M526" s="8">
        <f>SUMIF(Journal!$A:$A,HeadJournal!$A526,Journal!$P:$P)</f>
        <v>17790.70666666668</v>
      </c>
      <c r="N526" s="8">
        <f>SUMIF(Journal!$A:$A,HeadJournal!$A526,Journal!Q:Q)</f>
        <v>25655.14</v>
      </c>
      <c r="O526" s="18">
        <f>SUMIF(Journal!$A:$A,HeadJournal!$A526,Journal!U:U)</f>
        <v>7864.4333333333225</v>
      </c>
      <c r="P526" s="22">
        <f t="shared" si="67"/>
        <v>0.44205289203426712</v>
      </c>
      <c r="R526" s="73">
        <f t="shared" si="68"/>
        <v>5.8888423394086613E-2</v>
      </c>
    </row>
    <row r="527" spans="1:18" x14ac:dyDescent="0.25">
      <c r="A527" s="12" t="s">
        <v>1986</v>
      </c>
      <c r="B527" s="124" t="s">
        <v>1987</v>
      </c>
      <c r="C527" s="12" t="s">
        <v>1737</v>
      </c>
      <c r="D527" s="12" t="s">
        <v>714</v>
      </c>
      <c r="E527" s="12" t="s">
        <v>1477</v>
      </c>
      <c r="F527" s="124" t="s">
        <v>2234</v>
      </c>
      <c r="G527" s="13">
        <v>45534</v>
      </c>
      <c r="H527" s="14">
        <f>19105.19/J527</f>
        <v>101.19274364406779</v>
      </c>
      <c r="I527" s="14">
        <v>0</v>
      </c>
      <c r="J527" s="8">
        <f>SUMIF(Journal!$A:$A,HeadJournal!$A527,Journal!$K:$K)+SUMIF(Journal!$A:$A,HeadJournal!$A527,Journal!$L:$L)+SUMIF(Journal!$A:$A,HeadJournal!$A527,Journal!$M:$M)</f>
        <v>188.8</v>
      </c>
      <c r="K527" s="14">
        <v>188.8</v>
      </c>
      <c r="L527" s="14">
        <f>(1300+1972.26)/4</f>
        <v>818.06500000000005</v>
      </c>
      <c r="M527" s="8">
        <f>SUMIF(Journal!$A:$A,HeadJournal!$A527,Journal!$P:$P)</f>
        <v>19923.254999999997</v>
      </c>
      <c r="N527" s="8">
        <f>SUMIF(Journal!$A:$A,HeadJournal!$A527,Journal!Q:Q)</f>
        <v>34600</v>
      </c>
      <c r="O527" s="18">
        <f>SUMIF(Journal!$A:$A,HeadJournal!$A527,Journal!U:U)</f>
        <v>14676.745000000001</v>
      </c>
      <c r="P527" s="22">
        <f t="shared" si="67"/>
        <v>0.73666401398767434</v>
      </c>
      <c r="R527" s="73">
        <f t="shared" si="68"/>
        <v>4.106081059545743E-2</v>
      </c>
    </row>
    <row r="528" spans="1:18" x14ac:dyDescent="0.25">
      <c r="A528" s="12" t="s">
        <v>1989</v>
      </c>
      <c r="B528" s="12"/>
      <c r="C528" s="12" t="s">
        <v>843</v>
      </c>
      <c r="D528" s="12" t="s">
        <v>714</v>
      </c>
      <c r="E528" s="12" t="s">
        <v>1477</v>
      </c>
      <c r="F528" s="12"/>
      <c r="G528" s="13">
        <v>45541</v>
      </c>
      <c r="H528" s="14">
        <v>1</v>
      </c>
      <c r="I528" s="14">
        <v>0</v>
      </c>
      <c r="J528" s="8">
        <f>SUMIF(Journal!$A:$A,HeadJournal!$A528,Journal!$K:$K)+SUMIF(Journal!$A:$A,HeadJournal!$A528,Journal!$L:$L)+SUMIF(Journal!$A:$A,HeadJournal!$A528,Journal!$M:$M)</f>
        <v>11445</v>
      </c>
      <c r="K528" s="14">
        <v>11445</v>
      </c>
      <c r="L528" s="14">
        <v>0</v>
      </c>
      <c r="M528" s="8">
        <f>SUMIF(Journal!$A:$A,HeadJournal!$A528,Journal!$P:$P)</f>
        <v>11445</v>
      </c>
      <c r="N528" s="8">
        <f>SUMIF(Journal!$A:$A,HeadJournal!$A528,Journal!Q:Q)</f>
        <v>15700</v>
      </c>
      <c r="O528" s="18">
        <f>SUMIF(Journal!$A:$A,HeadJournal!$A528,Journal!U:U)</f>
        <v>4255</v>
      </c>
      <c r="P528" s="22">
        <f t="shared" si="67"/>
        <v>0.37177806902577543</v>
      </c>
      <c r="Q528" s="7" t="b">
        <f t="shared" ref="Q528:Q537" si="69">J528=K528</f>
        <v>1</v>
      </c>
      <c r="R528" s="73">
        <f t="shared" si="68"/>
        <v>0</v>
      </c>
    </row>
    <row r="529" spans="1:18" x14ac:dyDescent="0.25">
      <c r="A529" s="12" t="s">
        <v>1990</v>
      </c>
      <c r="B529" s="12"/>
      <c r="C529" s="12" t="s">
        <v>1380</v>
      </c>
      <c r="D529" s="12" t="s">
        <v>714</v>
      </c>
      <c r="E529" s="12" t="s">
        <v>1477</v>
      </c>
      <c r="F529" s="12"/>
      <c r="G529" s="13">
        <v>45532</v>
      </c>
      <c r="H529" s="14">
        <v>1</v>
      </c>
      <c r="I529" s="14">
        <v>0</v>
      </c>
      <c r="J529" s="8">
        <f>SUMIF(Journal!$A:$A,HeadJournal!$A529,Journal!$K:$K)+SUMIF(Journal!$A:$A,HeadJournal!$A529,Journal!$L:$L)+SUMIF(Journal!$A:$A,HeadJournal!$A529,Journal!$M:$M)</f>
        <v>2559</v>
      </c>
      <c r="K529" s="14">
        <v>2559</v>
      </c>
      <c r="L529" s="14">
        <v>0</v>
      </c>
      <c r="M529" s="8">
        <f>SUMIF(Journal!$A:$A,HeadJournal!$A529,Journal!$P:$P)</f>
        <v>2559</v>
      </c>
      <c r="N529" s="8">
        <f>SUMIF(Journal!$A:$A,HeadJournal!$A529,Journal!Q:Q)</f>
        <v>3500</v>
      </c>
      <c r="O529" s="18">
        <f>SUMIF(Journal!$A:$A,HeadJournal!$A529,Journal!U:U)</f>
        <v>941</v>
      </c>
      <c r="P529" s="22">
        <f t="shared" si="67"/>
        <v>0.36772176631496678</v>
      </c>
      <c r="Q529" s="7" t="b">
        <f t="shared" si="69"/>
        <v>1</v>
      </c>
      <c r="R529" s="73">
        <f t="shared" si="68"/>
        <v>0</v>
      </c>
    </row>
    <row r="530" spans="1:18" x14ac:dyDescent="0.25">
      <c r="A530" s="12" t="s">
        <v>1991</v>
      </c>
      <c r="B530" s="12"/>
      <c r="C530" s="12" t="s">
        <v>1380</v>
      </c>
      <c r="D530" s="12" t="s">
        <v>714</v>
      </c>
      <c r="E530" s="12" t="s">
        <v>1477</v>
      </c>
      <c r="F530" s="12"/>
      <c r="G530" s="13">
        <v>45530</v>
      </c>
      <c r="H530" s="14">
        <v>1</v>
      </c>
      <c r="I530" s="14">
        <v>0</v>
      </c>
      <c r="J530" s="8">
        <f>SUMIF(Journal!$A:$A,HeadJournal!$A530,Journal!$K:$K)+SUMIF(Journal!$A:$A,HeadJournal!$A530,Journal!$L:$L)+SUMIF(Journal!$A:$A,HeadJournal!$A530,Journal!$M:$M)</f>
        <v>1009</v>
      </c>
      <c r="K530" s="14">
        <v>1009</v>
      </c>
      <c r="L530" s="14">
        <v>0</v>
      </c>
      <c r="M530" s="8">
        <f>SUMIF(Journal!$A:$A,HeadJournal!$A530,Journal!$P:$P)</f>
        <v>1009</v>
      </c>
      <c r="N530" s="8">
        <f>SUMIF(Journal!$A:$A,HeadJournal!$A530,Journal!Q:Q)</f>
        <v>1800</v>
      </c>
      <c r="O530" s="18">
        <f>SUMIF(Journal!$A:$A,HeadJournal!$A530,Journal!U:U)</f>
        <v>791</v>
      </c>
      <c r="P530" s="22">
        <f t="shared" si="67"/>
        <v>0.78394449950445988</v>
      </c>
      <c r="Q530" s="7" t="b">
        <f t="shared" si="69"/>
        <v>1</v>
      </c>
      <c r="R530" s="73">
        <f t="shared" si="68"/>
        <v>0</v>
      </c>
    </row>
    <row r="531" spans="1:18" x14ac:dyDescent="0.25">
      <c r="A531" s="12" t="s">
        <v>1994</v>
      </c>
      <c r="B531" s="12"/>
      <c r="C531" s="12" t="s">
        <v>1328</v>
      </c>
      <c r="D531" s="12" t="s">
        <v>714</v>
      </c>
      <c r="E531" s="12" t="s">
        <v>1477</v>
      </c>
      <c r="F531" s="12"/>
      <c r="G531" s="13">
        <v>45545</v>
      </c>
      <c r="H531" s="14">
        <v>1</v>
      </c>
      <c r="I531" s="14">
        <v>0</v>
      </c>
      <c r="J531" s="8">
        <f>SUMIF(Journal!$A:$A,HeadJournal!$A531,Journal!$K:$K)+SUMIF(Journal!$A:$A,HeadJournal!$A531,Journal!$L:$L)+SUMIF(Journal!$A:$A,HeadJournal!$A531,Journal!$M:$M)</f>
        <v>6720</v>
      </c>
      <c r="K531" s="14">
        <v>6720</v>
      </c>
      <c r="L531" s="14">
        <v>0</v>
      </c>
      <c r="M531" s="8">
        <f>SUMIF(Journal!$A:$A,HeadJournal!$A531,Journal!$P:$P)</f>
        <v>6720</v>
      </c>
      <c r="N531" s="8">
        <f>SUMIF(Journal!$A:$A,HeadJournal!$A531,Journal!Q:Q)</f>
        <v>9600</v>
      </c>
      <c r="O531" s="18">
        <f>SUMIF(Journal!$A:$A,HeadJournal!$A531,Journal!U:U)</f>
        <v>2880</v>
      </c>
      <c r="P531" s="22">
        <f t="shared" si="67"/>
        <v>0.42857142857142855</v>
      </c>
      <c r="Q531" s="7" t="b">
        <f t="shared" si="69"/>
        <v>1</v>
      </c>
      <c r="R531" s="73">
        <f t="shared" si="68"/>
        <v>0</v>
      </c>
    </row>
    <row r="532" spans="1:18" x14ac:dyDescent="0.25">
      <c r="A532" s="12" t="s">
        <v>1996</v>
      </c>
      <c r="B532" s="12"/>
      <c r="C532" s="12" t="s">
        <v>843</v>
      </c>
      <c r="D532" s="12" t="s">
        <v>714</v>
      </c>
      <c r="E532" s="12" t="s">
        <v>1477</v>
      </c>
      <c r="F532" s="12"/>
      <c r="G532" s="13">
        <v>45548</v>
      </c>
      <c r="H532" s="14">
        <v>1</v>
      </c>
      <c r="I532" s="14">
        <v>0</v>
      </c>
      <c r="J532" s="8">
        <f>SUMIF(Journal!$A:$A,HeadJournal!$A532,Journal!$K:$K)+SUMIF(Journal!$A:$A,HeadJournal!$A532,Journal!$L:$L)+SUMIF(Journal!$A:$A,HeadJournal!$A532,Journal!$M:$M)</f>
        <v>27768</v>
      </c>
      <c r="K532" s="14">
        <v>27768</v>
      </c>
      <c r="L532" s="14">
        <v>0</v>
      </c>
      <c r="M532" s="8">
        <f>SUMIF(Journal!$A:$A,HeadJournal!$A532,Journal!$P:$P)</f>
        <v>27768</v>
      </c>
      <c r="N532" s="8">
        <f>SUMIF(Journal!$A:$A,HeadJournal!$A532,Journal!Q:Q)</f>
        <v>34500</v>
      </c>
      <c r="O532" s="18">
        <f>SUMIF(Journal!$A:$A,HeadJournal!$A532,Journal!U:U)</f>
        <v>6732</v>
      </c>
      <c r="P532" s="22">
        <f t="shared" si="67"/>
        <v>0.24243733794295591</v>
      </c>
      <c r="Q532" s="7" t="b">
        <f t="shared" si="69"/>
        <v>1</v>
      </c>
      <c r="R532" s="73">
        <f t="shared" si="68"/>
        <v>0</v>
      </c>
    </row>
    <row r="533" spans="1:18" x14ac:dyDescent="0.25">
      <c r="A533" s="12" t="s">
        <v>1999</v>
      </c>
      <c r="B533" s="12"/>
      <c r="C533" s="12" t="s">
        <v>1380</v>
      </c>
      <c r="D533" s="12" t="s">
        <v>714</v>
      </c>
      <c r="E533" s="12" t="s">
        <v>1477</v>
      </c>
      <c r="F533" s="12"/>
      <c r="G533" s="13">
        <v>45545</v>
      </c>
      <c r="H533" s="14">
        <v>1</v>
      </c>
      <c r="I533" s="14">
        <v>0</v>
      </c>
      <c r="J533" s="8">
        <f>SUMIF(Journal!$A:$A,HeadJournal!$A533,Journal!$K:$K)+SUMIF(Journal!$A:$A,HeadJournal!$A533,Journal!$L:$L)+SUMIF(Journal!$A:$A,HeadJournal!$A533,Journal!$M:$M)</f>
        <v>4047</v>
      </c>
      <c r="K533" s="14">
        <v>4047</v>
      </c>
      <c r="L533" s="14">
        <v>0</v>
      </c>
      <c r="M533" s="8">
        <f>SUMIF(Journal!$A:$A,HeadJournal!$A533,Journal!$P:$P)</f>
        <v>4047</v>
      </c>
      <c r="N533" s="8">
        <f>SUMIF(Journal!$A:$A,HeadJournal!$A533,Journal!Q:Q)</f>
        <v>4900</v>
      </c>
      <c r="O533" s="18">
        <f>SUMIF(Journal!$A:$A,HeadJournal!$A533,Journal!U:U)</f>
        <v>853</v>
      </c>
      <c r="P533" s="22">
        <f t="shared" si="67"/>
        <v>0.21077341240425007</v>
      </c>
      <c r="Q533" s="7" t="b">
        <f t="shared" si="69"/>
        <v>1</v>
      </c>
      <c r="R533" s="73">
        <f t="shared" si="68"/>
        <v>0</v>
      </c>
    </row>
    <row r="534" spans="1:18" x14ac:dyDescent="0.25">
      <c r="A534" s="12" t="s">
        <v>2000</v>
      </c>
      <c r="B534" s="12"/>
      <c r="C534" s="12" t="s">
        <v>843</v>
      </c>
      <c r="D534" s="12" t="s">
        <v>714</v>
      </c>
      <c r="E534" s="12" t="s">
        <v>1477</v>
      </c>
      <c r="F534" s="12"/>
      <c r="G534" s="13">
        <v>45555</v>
      </c>
      <c r="H534" s="14">
        <v>1</v>
      </c>
      <c r="I534" s="14">
        <v>0</v>
      </c>
      <c r="J534" s="8">
        <f>SUMIF(Journal!$A:$A,HeadJournal!$A534,Journal!$K:$K)+SUMIF(Journal!$A:$A,HeadJournal!$A534,Journal!$L:$L)+SUMIF(Journal!$A:$A,HeadJournal!$A534,Journal!$M:$M)</f>
        <v>16289.000000000002</v>
      </c>
      <c r="K534" s="14">
        <f>3035+2077+3035+3035+5107</f>
        <v>16289</v>
      </c>
      <c r="L534" s="14">
        <v>0</v>
      </c>
      <c r="M534" s="8">
        <f>SUMIF(Journal!$A:$A,HeadJournal!$A534,Journal!$P:$P)</f>
        <v>16288.999999999996</v>
      </c>
      <c r="N534" s="8">
        <f>SUMIF(Journal!$A:$A,HeadJournal!$A534,Journal!Q:Q)</f>
        <v>17470</v>
      </c>
      <c r="O534" s="18">
        <f>SUMIF(Journal!$A:$A,HeadJournal!$A534,Journal!U:U)</f>
        <v>1181.0000000000018</v>
      </c>
      <c r="P534" s="22">
        <f t="shared" si="67"/>
        <v>7.25029160783352E-2</v>
      </c>
      <c r="Q534" s="7" t="b">
        <f t="shared" si="69"/>
        <v>1</v>
      </c>
      <c r="R534" s="73">
        <f t="shared" si="68"/>
        <v>0</v>
      </c>
    </row>
    <row r="535" spans="1:18" x14ac:dyDescent="0.25">
      <c r="A535" s="12" t="s">
        <v>2001</v>
      </c>
      <c r="B535" s="12"/>
      <c r="C535" s="12" t="s">
        <v>1380</v>
      </c>
      <c r="D535" s="12" t="s">
        <v>714</v>
      </c>
      <c r="E535" s="12" t="s">
        <v>1477</v>
      </c>
      <c r="F535" s="12"/>
      <c r="G535" s="13">
        <v>45549</v>
      </c>
      <c r="H535" s="14">
        <v>1</v>
      </c>
      <c r="I535" s="14">
        <v>0</v>
      </c>
      <c r="J535" s="8">
        <f>SUMIF(Journal!$A:$A,HeadJournal!$A535,Journal!$K:$K)+SUMIF(Journal!$A:$A,HeadJournal!$A535,Journal!$L:$L)+SUMIF(Journal!$A:$A,HeadJournal!$A535,Journal!$M:$M)</f>
        <v>5538</v>
      </c>
      <c r="K535" s="14">
        <f>5538</f>
        <v>5538</v>
      </c>
      <c r="L535" s="14">
        <v>0</v>
      </c>
      <c r="M535" s="8">
        <f>SUMIF(Journal!$A:$A,HeadJournal!$A535,Journal!$P:$P)</f>
        <v>5538</v>
      </c>
      <c r="N535" s="8">
        <f>SUMIF(Journal!$A:$A,HeadJournal!$A535,Journal!Q:Q)</f>
        <v>6900</v>
      </c>
      <c r="O535" s="18">
        <f>SUMIF(Journal!$A:$A,HeadJournal!$A535,Journal!U:U)</f>
        <v>1362</v>
      </c>
      <c r="P535" s="22">
        <f t="shared" si="67"/>
        <v>0.24593716143011918</v>
      </c>
      <c r="Q535" s="7" t="b">
        <f t="shared" si="69"/>
        <v>1</v>
      </c>
      <c r="R535" s="73">
        <f t="shared" si="68"/>
        <v>0</v>
      </c>
    </row>
    <row r="536" spans="1:18" x14ac:dyDescent="0.25">
      <c r="A536" s="12" t="s">
        <v>2002</v>
      </c>
      <c r="B536" s="12"/>
      <c r="C536" s="12" t="s">
        <v>1380</v>
      </c>
      <c r="D536" s="12" t="s">
        <v>714</v>
      </c>
      <c r="E536" s="12" t="s">
        <v>1477</v>
      </c>
      <c r="F536" s="12"/>
      <c r="G536" s="13">
        <v>45551</v>
      </c>
      <c r="H536" s="14">
        <v>1</v>
      </c>
      <c r="I536" s="14">
        <v>0</v>
      </c>
      <c r="J536" s="8">
        <f>SUMIF(Journal!$A:$A,HeadJournal!$A536,Journal!$K:$K)+SUMIF(Journal!$A:$A,HeadJournal!$A536,Journal!$L:$L)+SUMIF(Journal!$A:$A,HeadJournal!$A536,Journal!$M:$M)</f>
        <v>814</v>
      </c>
      <c r="K536" s="14">
        <v>814</v>
      </c>
      <c r="L536" s="14">
        <v>0</v>
      </c>
      <c r="M536" s="8">
        <f>SUMIF(Journal!$A:$A,HeadJournal!$A536,Journal!$P:$P)</f>
        <v>814</v>
      </c>
      <c r="N536" s="8">
        <f>SUMIF(Journal!$A:$A,HeadJournal!$A536,Journal!Q:Q)</f>
        <v>1900</v>
      </c>
      <c r="O536" s="18">
        <f>SUMIF(Journal!$A:$A,HeadJournal!$A536,Journal!U:U)</f>
        <v>1086</v>
      </c>
      <c r="P536" s="22">
        <f t="shared" si="67"/>
        <v>1.3341523341523343</v>
      </c>
      <c r="Q536" s="7" t="b">
        <f t="shared" si="69"/>
        <v>1</v>
      </c>
      <c r="R536" s="73">
        <f t="shared" si="68"/>
        <v>0</v>
      </c>
    </row>
    <row r="537" spans="1:18" x14ac:dyDescent="0.25">
      <c r="A537" s="12" t="s">
        <v>2003</v>
      </c>
      <c r="B537" s="12"/>
      <c r="C537" s="12" t="s">
        <v>1380</v>
      </c>
      <c r="D537" s="12" t="s">
        <v>714</v>
      </c>
      <c r="E537" s="12" t="s">
        <v>1477</v>
      </c>
      <c r="F537" s="12"/>
      <c r="G537" s="13">
        <v>45551</v>
      </c>
      <c r="H537" s="14">
        <v>1</v>
      </c>
      <c r="I537" s="14">
        <v>0</v>
      </c>
      <c r="J537" s="8">
        <f>SUMIF(Journal!$A:$A,HeadJournal!$A537,Journal!$K:$K)+SUMIF(Journal!$A:$A,HeadJournal!$A537,Journal!$L:$L)+SUMIF(Journal!$A:$A,HeadJournal!$A537,Journal!$M:$M)</f>
        <v>814</v>
      </c>
      <c r="K537" s="14">
        <v>814</v>
      </c>
      <c r="L537" s="14">
        <v>0</v>
      </c>
      <c r="M537" s="8">
        <f>SUMIF(Journal!$A:$A,HeadJournal!$A537,Journal!$P:$P)</f>
        <v>814</v>
      </c>
      <c r="N537" s="8">
        <f>SUMIF(Journal!$A:$A,HeadJournal!$A537,Journal!Q:Q)</f>
        <v>1900</v>
      </c>
      <c r="O537" s="18">
        <f>SUMIF(Journal!$A:$A,HeadJournal!$A537,Journal!U:U)</f>
        <v>1086</v>
      </c>
      <c r="P537" s="22">
        <f t="shared" si="67"/>
        <v>1.3341523341523343</v>
      </c>
      <c r="Q537" s="7" t="b">
        <f t="shared" si="69"/>
        <v>1</v>
      </c>
      <c r="R537" s="73">
        <f t="shared" si="68"/>
        <v>0</v>
      </c>
    </row>
    <row r="538" spans="1:18" x14ac:dyDescent="0.25">
      <c r="A538" s="12" t="s">
        <v>2032</v>
      </c>
      <c r="B538" s="124" t="s">
        <v>2033</v>
      </c>
      <c r="C538" s="12" t="s">
        <v>1751</v>
      </c>
      <c r="D538" s="12" t="s">
        <v>714</v>
      </c>
      <c r="E538" s="12" t="s">
        <v>1477</v>
      </c>
      <c r="F538" s="124" t="s">
        <v>2234</v>
      </c>
      <c r="G538" s="13">
        <v>45538</v>
      </c>
      <c r="H538" s="14">
        <f>17589.28/J538</f>
        <v>102.55541950906652</v>
      </c>
      <c r="I538" s="14">
        <v>-25.3</v>
      </c>
      <c r="J538" s="8">
        <f>SUMIF(Journal!$A:$A,HeadJournal!$A538,Journal!$K:$K)+SUMIF(Journal!$A:$A,HeadJournal!$A538,Journal!$L:$L)+SUMIF(Journal!$A:$A,HeadJournal!$A538,Journal!$M:$M)</f>
        <v>171.51</v>
      </c>
      <c r="K538" s="14">
        <v>171.51</v>
      </c>
      <c r="L538" s="14">
        <f>(1300+1972.26)/4</f>
        <v>818.06500000000005</v>
      </c>
      <c r="M538" s="8">
        <f>SUMIF(Journal!$A:$A,HeadJournal!$A538,Journal!$P:$P)</f>
        <v>18407.345000000001</v>
      </c>
      <c r="N538" s="8">
        <f>SUMIF(Journal!$A:$A,HeadJournal!$A538,Journal!Q:Q)</f>
        <v>36900</v>
      </c>
      <c r="O538" s="18">
        <f>SUMIF(Journal!$A:$A,HeadJournal!$A538,Journal!U:U)</f>
        <v>18492.654999999999</v>
      </c>
      <c r="P538" s="22">
        <f t="shared" si="67"/>
        <v>1.0046345629964559</v>
      </c>
      <c r="R538" s="73">
        <f t="shared" si="68"/>
        <v>4.4442313652512083E-2</v>
      </c>
    </row>
    <row r="539" spans="1:18" x14ac:dyDescent="0.25">
      <c r="A539" s="12" t="s">
        <v>2053</v>
      </c>
      <c r="B539" s="124" t="s">
        <v>2054</v>
      </c>
      <c r="C539" s="12" t="s">
        <v>1751</v>
      </c>
      <c r="D539" s="12" t="s">
        <v>714</v>
      </c>
      <c r="E539" s="12" t="s">
        <v>1477</v>
      </c>
      <c r="F539" s="124" t="s">
        <v>2234</v>
      </c>
      <c r="G539" s="13">
        <v>45545</v>
      </c>
      <c r="H539" s="14">
        <f>17251.79/J539</f>
        <v>100.2253529309243</v>
      </c>
      <c r="I539" s="14">
        <v>0</v>
      </c>
      <c r="J539" s="8">
        <f>SUMIF(Journal!$A:$A,HeadJournal!$A539,Journal!$K:$K)+SUMIF(Journal!$A:$A,HeadJournal!$A539,Journal!$L:$L)+SUMIF(Journal!$A:$A,HeadJournal!$A539,Journal!$M:$M)</f>
        <v>172.13</v>
      </c>
      <c r="K539" s="14">
        <v>172.13</v>
      </c>
      <c r="L539" s="14">
        <f>(1300+1972.26)/4</f>
        <v>818.06500000000005</v>
      </c>
      <c r="M539" s="8">
        <f>SUMIF(Journal!$A:$A,HeadJournal!$A539,Journal!$P:$P)</f>
        <v>18069.855</v>
      </c>
      <c r="N539" s="8">
        <f>SUMIF(Journal!$A:$A,HeadJournal!$A539,Journal!Q:Q)</f>
        <v>26000</v>
      </c>
      <c r="O539" s="18">
        <f>SUMIF(Journal!$A:$A,HeadJournal!$A539,Journal!U:U)</f>
        <v>7930.1449999999995</v>
      </c>
      <c r="P539" s="22">
        <f t="shared" si="67"/>
        <v>0.43886046678293766</v>
      </c>
      <c r="R539" s="73">
        <f t="shared" si="68"/>
        <v>4.5272361067645539E-2</v>
      </c>
    </row>
    <row r="540" spans="1:18" x14ac:dyDescent="0.25">
      <c r="A540" s="12" t="s">
        <v>2062</v>
      </c>
      <c r="B540" s="124" t="s">
        <v>2063</v>
      </c>
      <c r="C540" s="12" t="s">
        <v>1751</v>
      </c>
      <c r="D540" s="12" t="s">
        <v>714</v>
      </c>
      <c r="E540" s="12" t="s">
        <v>1477</v>
      </c>
      <c r="F540" s="124" t="s">
        <v>2233</v>
      </c>
      <c r="G540" s="13">
        <v>45557</v>
      </c>
      <c r="H540" s="14">
        <f>15776.18/J540</f>
        <v>103.7838300111835</v>
      </c>
      <c r="I540" s="14">
        <v>-13.02</v>
      </c>
      <c r="J540" s="8">
        <f>SUMIF(Journal!$A:$A,HeadJournal!$A540,Journal!$K:$K)+SUMIF(Journal!$A:$A,HeadJournal!$A540,Journal!$L:$L)+SUMIF(Journal!$A:$A,HeadJournal!$A540,Journal!$M:$M)</f>
        <v>152.00999999999996</v>
      </c>
      <c r="K540" s="14">
        <v>152.01</v>
      </c>
      <c r="L540" s="14">
        <f>(1524.54+1000)/3</f>
        <v>841.51333333333332</v>
      </c>
      <c r="M540" s="8">
        <f>SUMIF(Journal!$A:$A,HeadJournal!$A540,Journal!$P:$P)</f>
        <v>16617.693333333336</v>
      </c>
      <c r="N540" s="8">
        <f>SUMIF(Journal!$A:$A,HeadJournal!$A540,Journal!Q:Q)</f>
        <v>22200</v>
      </c>
      <c r="O540" s="18">
        <f>SUMIF(Journal!$A:$A,HeadJournal!$A540,Journal!U:U)</f>
        <v>5582.3066666666627</v>
      </c>
      <c r="P540" s="22">
        <f t="shared" si="67"/>
        <v>0.33592548344054141</v>
      </c>
      <c r="R540" s="73">
        <f t="shared" si="68"/>
        <v>5.0639599398873643E-2</v>
      </c>
    </row>
    <row r="541" spans="1:18" x14ac:dyDescent="0.25">
      <c r="A541" s="12" t="s">
        <v>2080</v>
      </c>
      <c r="B541" s="124" t="s">
        <v>2063</v>
      </c>
      <c r="C541" s="12" t="s">
        <v>1735</v>
      </c>
      <c r="D541" s="12" t="s">
        <v>714</v>
      </c>
      <c r="E541" s="12" t="s">
        <v>1477</v>
      </c>
      <c r="F541" s="124" t="s">
        <v>2234</v>
      </c>
      <c r="G541" s="13">
        <v>45545</v>
      </c>
      <c r="H541" s="14">
        <f>16406.89/J541</f>
        <v>100.96547692307693</v>
      </c>
      <c r="I541" s="14">
        <v>-13.37</v>
      </c>
      <c r="J541" s="8">
        <f>SUMIF(Journal!$A:$A,HeadJournal!$A541,Journal!$K:$K)+SUMIF(Journal!$A:$A,HeadJournal!$A541,Journal!$L:$L)+SUMIF(Journal!$A:$A,HeadJournal!$A541,Journal!$M:$M)</f>
        <v>162.49999999999997</v>
      </c>
      <c r="K541" s="14">
        <v>162.5</v>
      </c>
      <c r="L541" s="14">
        <f>(1300+1972.26)/4</f>
        <v>818.06500000000005</v>
      </c>
      <c r="M541" s="8">
        <f>SUMIF(Journal!$A:$A,HeadJournal!$A541,Journal!$P:$P)</f>
        <v>17224.955000000005</v>
      </c>
      <c r="N541" s="8">
        <f>SUMIF(Journal!$A:$A,HeadJournal!$A541,Journal!Q:Q)</f>
        <v>28250</v>
      </c>
      <c r="O541" s="18">
        <f>SUMIF(Journal!$A:$A,HeadJournal!$A541,Journal!U:U)</f>
        <v>11025.044999999995</v>
      </c>
      <c r="P541" s="22">
        <f t="shared" si="67"/>
        <v>0.64006233978550253</v>
      </c>
      <c r="R541" s="73">
        <f t="shared" si="68"/>
        <v>4.7493012318464679E-2</v>
      </c>
    </row>
    <row r="542" spans="1:18" x14ac:dyDescent="0.25">
      <c r="A542" s="12" t="s">
        <v>2090</v>
      </c>
      <c r="B542" s="124" t="s">
        <v>2091</v>
      </c>
      <c r="C542" s="12" t="s">
        <v>1737</v>
      </c>
      <c r="D542" s="12" t="s">
        <v>714</v>
      </c>
      <c r="E542" s="12" t="s">
        <v>1477</v>
      </c>
      <c r="F542" s="124" t="s">
        <v>2233</v>
      </c>
      <c r="G542" s="13">
        <v>45551</v>
      </c>
      <c r="H542" s="14">
        <f>18756.7/J542</f>
        <v>101.33826786968504</v>
      </c>
      <c r="I542" s="14">
        <v>-12.26</v>
      </c>
      <c r="J542" s="8">
        <f>SUMIF(Journal!$A:$A,HeadJournal!$A542,Journal!$K:$K)+SUMIF(Journal!$A:$A,HeadJournal!$A542,Journal!$L:$L)+SUMIF(Journal!$A:$A,HeadJournal!$A542,Journal!$M:$M)</f>
        <v>185.08999999999997</v>
      </c>
      <c r="K542" s="14">
        <v>185.09</v>
      </c>
      <c r="L542" s="14">
        <f>(1524.54+1000)/3</f>
        <v>841.51333333333332</v>
      </c>
      <c r="M542" s="8">
        <f>SUMIF(Journal!$A:$A,HeadJournal!$A542,Journal!$P:$P)</f>
        <v>19598.21333333334</v>
      </c>
      <c r="N542" s="8">
        <f>SUMIF(Journal!$A:$A,HeadJournal!$A542,Journal!Q:Q)</f>
        <v>34200</v>
      </c>
      <c r="O542" s="18">
        <f>SUMIF(Journal!$A:$A,HeadJournal!$A542,Journal!U:U)</f>
        <v>14601.786666666658</v>
      </c>
      <c r="P542" s="22">
        <f t="shared" si="67"/>
        <v>0.7450570324097564</v>
      </c>
      <c r="R542" s="73">
        <f t="shared" si="68"/>
        <v>4.2938267842102598E-2</v>
      </c>
    </row>
    <row r="543" spans="1:18" x14ac:dyDescent="0.25">
      <c r="A543" s="12" t="s">
        <v>2099</v>
      </c>
      <c r="B543" s="124" t="s">
        <v>2100</v>
      </c>
      <c r="C543" s="12" t="s">
        <v>1752</v>
      </c>
      <c r="D543" s="12" t="s">
        <v>714</v>
      </c>
      <c r="E543" s="12" t="s">
        <v>1477</v>
      </c>
      <c r="F543" s="124" t="s">
        <v>2233</v>
      </c>
      <c r="G543" s="13">
        <v>45548</v>
      </c>
      <c r="H543" s="14">
        <f>11000.42/109.27</f>
        <v>100.67191360849273</v>
      </c>
      <c r="I543" s="14">
        <v>0</v>
      </c>
      <c r="J543" s="8">
        <f>SUMIF(Journal!$A:$A,HeadJournal!$A543,Journal!$K:$K)+SUMIF(Journal!$A:$A,HeadJournal!$A543,Journal!$L:$L)+SUMIF(Journal!$A:$A,HeadJournal!$A543,Journal!$M:$M)</f>
        <v>100.76000000000002</v>
      </c>
      <c r="K543" s="14">
        <v>100.76</v>
      </c>
      <c r="L543" s="14">
        <f>(1524.54+1000)/3</f>
        <v>841.51333333333332</v>
      </c>
      <c r="M543" s="8">
        <f>SUMIF(Journal!$A:$A,HeadJournal!$A543,Journal!$P:$P)</f>
        <v>10985.21534852506</v>
      </c>
      <c r="N543" s="8">
        <f>SUMIF(Journal!$A:$A,HeadJournal!$A543,Journal!Q:Q)</f>
        <v>13800</v>
      </c>
      <c r="O543" s="18">
        <f>SUMIF(Journal!$A:$A,HeadJournal!$A543,Journal!U:U)</f>
        <v>2814.7846514749408</v>
      </c>
      <c r="P543" s="22">
        <f t="shared" si="67"/>
        <v>0.25623390731733542</v>
      </c>
      <c r="Q543" s="7" t="b">
        <f>J543=K543</f>
        <v>1</v>
      </c>
      <c r="R543" s="73">
        <f t="shared" si="68"/>
        <v>7.6604172666157141E-2</v>
      </c>
    </row>
    <row r="544" spans="1:18" x14ac:dyDescent="0.25">
      <c r="A544" s="12" t="s">
        <v>2116</v>
      </c>
      <c r="B544" s="124" t="s">
        <v>2117</v>
      </c>
      <c r="C544" s="12" t="s">
        <v>1752</v>
      </c>
      <c r="D544" s="12" t="s">
        <v>714</v>
      </c>
      <c r="E544" s="12" t="s">
        <v>1477</v>
      </c>
      <c r="F544" s="124" t="s">
        <v>2235</v>
      </c>
      <c r="G544" s="13">
        <v>45560</v>
      </c>
      <c r="H544" s="14">
        <f>18682.15/J544</f>
        <v>103.49074894748505</v>
      </c>
      <c r="I544" s="14">
        <v>-9.73</v>
      </c>
      <c r="J544" s="8">
        <f>SUMIF(Journal!$A:$A,HeadJournal!$A544,Journal!$K:$K)+SUMIF(Journal!$A:$A,HeadJournal!$A544,Journal!$L:$L)+SUMIF(Journal!$A:$A,HeadJournal!$A544,Journal!$M:$M)</f>
        <v>180.52</v>
      </c>
      <c r="K544" s="14">
        <v>180.52</v>
      </c>
      <c r="L544" s="14">
        <f>(2654.34+1600)/4</f>
        <v>1063.585</v>
      </c>
      <c r="M544" s="8">
        <f>SUMIF(Journal!$A:$A,HeadJournal!$A544,Journal!$P:$P)</f>
        <v>19745.735000000004</v>
      </c>
      <c r="N544" s="8">
        <f>SUMIF(Journal!$A:$A,HeadJournal!$A544,Journal!Q:Q)</f>
        <v>30750</v>
      </c>
      <c r="O544" s="18">
        <f>SUMIF(Journal!$A:$A,HeadJournal!$A544,Journal!U:U)</f>
        <v>11004.265000000001</v>
      </c>
      <c r="P544" s="22">
        <f t="shared" si="67"/>
        <v>0.55729832290365489</v>
      </c>
      <c r="Q544" s="7" t="b">
        <f>J544=K544</f>
        <v>1</v>
      </c>
      <c r="R544" s="73">
        <f t="shared" si="68"/>
        <v>5.3864036967983205E-2</v>
      </c>
    </row>
    <row r="545" spans="1:18" x14ac:dyDescent="0.25">
      <c r="A545" s="12" t="s">
        <v>2122</v>
      </c>
      <c r="B545" s="124" t="s">
        <v>2123</v>
      </c>
      <c r="C545" s="12" t="s">
        <v>1752</v>
      </c>
      <c r="D545" s="12" t="s">
        <v>714</v>
      </c>
      <c r="E545" s="12" t="s">
        <v>1477</v>
      </c>
      <c r="F545" s="124" t="s">
        <v>2478</v>
      </c>
      <c r="G545" s="13">
        <v>45567</v>
      </c>
      <c r="H545" s="14">
        <f>6199.56/J545</f>
        <v>103.49849749582638</v>
      </c>
      <c r="I545" s="14">
        <v>0</v>
      </c>
      <c r="J545" s="8">
        <f>SUMIF(Journal!$A:$A,HeadJournal!$A545,Journal!$K:$K)+SUMIF(Journal!$A:$A,HeadJournal!$A545,Journal!$L:$L)+SUMIF(Journal!$A:$A,HeadJournal!$A545,Journal!$M:$M)</f>
        <v>59.9</v>
      </c>
      <c r="K545" s="14">
        <v>59.9</v>
      </c>
      <c r="L545" s="14">
        <f>(1781.04+1100)/3</f>
        <v>960.34666666666669</v>
      </c>
      <c r="M545" s="8">
        <f>SUMIF(Journal!$A:$A,HeadJournal!$A545,Journal!$P:$P)</f>
        <v>7159.9066666666668</v>
      </c>
      <c r="N545" s="8">
        <f>SUMIF(Journal!$A:$A,HeadJournal!$A545,Journal!Q:Q)</f>
        <v>9700</v>
      </c>
      <c r="O545" s="18">
        <f>SUMIF(Journal!$A:$A,HeadJournal!$A545,Journal!U:U)</f>
        <v>2540.0933333333332</v>
      </c>
      <c r="P545" s="22">
        <f t="shared" si="67"/>
        <v>0.35476626324737937</v>
      </c>
      <c r="Q545" s="7" t="b">
        <f>J545=K545</f>
        <v>1</v>
      </c>
      <c r="R545" s="73">
        <f t="shared" si="68"/>
        <v>0.13412837783732748</v>
      </c>
    </row>
    <row r="546" spans="1:18" x14ac:dyDescent="0.25">
      <c r="A546" s="12" t="s">
        <v>2144</v>
      </c>
      <c r="B546" s="124" t="s">
        <v>2145</v>
      </c>
      <c r="C546" s="12" t="s">
        <v>1735</v>
      </c>
      <c r="D546" s="12" t="s">
        <v>714</v>
      </c>
      <c r="E546" s="12" t="s">
        <v>1477</v>
      </c>
      <c r="F546" s="124" t="s">
        <v>2235</v>
      </c>
      <c r="G546" s="13">
        <v>45558</v>
      </c>
      <c r="H546" s="14">
        <f>14376.33/J546</f>
        <v>103.62812657680382</v>
      </c>
      <c r="I546" s="14">
        <v>-9.39</v>
      </c>
      <c r="J546" s="8">
        <f>SUMIF(Journal!$A:$A,HeadJournal!$A546,Journal!$K:$K)+SUMIF(Journal!$A:$A,HeadJournal!$A546,Journal!$L:$L)+SUMIF(Journal!$A:$A,HeadJournal!$A546,Journal!$M:$M)</f>
        <v>138.73000000000005</v>
      </c>
      <c r="K546" s="14">
        <v>138.72999999999999</v>
      </c>
      <c r="L546" s="14">
        <f>(2654.34+1600)/4</f>
        <v>1063.585</v>
      </c>
      <c r="M546" s="8">
        <f>SUMIF(Journal!$A:$A,HeadJournal!$A546,Journal!$P:$P)</f>
        <v>15439.914999999986</v>
      </c>
      <c r="N546" s="8">
        <f>SUMIF(Journal!$A:$A,HeadJournal!$A546,Journal!Q:Q)</f>
        <v>17939.34</v>
      </c>
      <c r="O546" s="18">
        <f>SUMIF(Journal!$A:$A,HeadJournal!$A546,Journal!U:U)</f>
        <v>2499.425000000012</v>
      </c>
      <c r="P546" s="22">
        <f t="shared" si="67"/>
        <v>0.16188074869583247</v>
      </c>
      <c r="R546" s="73">
        <f t="shared" si="68"/>
        <v>6.8885418086822428E-2</v>
      </c>
    </row>
    <row r="547" spans="1:18" x14ac:dyDescent="0.25">
      <c r="A547" s="12" t="s">
        <v>2172</v>
      </c>
      <c r="B547" s="124" t="s">
        <v>2173</v>
      </c>
      <c r="C547" s="12" t="s">
        <v>1735</v>
      </c>
      <c r="D547" s="12" t="s">
        <v>714</v>
      </c>
      <c r="E547" s="12" t="s">
        <v>1477</v>
      </c>
      <c r="F547" s="124" t="s">
        <v>2235</v>
      </c>
      <c r="G547" s="13">
        <v>45563</v>
      </c>
      <c r="H547" s="14">
        <f>20185.01/J547</f>
        <v>102.98999948976984</v>
      </c>
      <c r="I547" s="14">
        <v>0</v>
      </c>
      <c r="J547" s="8">
        <f>SUMIF(Journal!$A:$A,HeadJournal!$A547,Journal!$K:$K)+SUMIF(Journal!$A:$A,HeadJournal!$A547,Journal!$L:$L)+SUMIF(Journal!$A:$A,HeadJournal!$A547,Journal!$M:$M)</f>
        <v>195.99000000000007</v>
      </c>
      <c r="K547" s="14">
        <v>195.99</v>
      </c>
      <c r="L547" s="14">
        <f>(2654.34+1600)/4</f>
        <v>1063.585</v>
      </c>
      <c r="M547" s="8">
        <f>SUMIF(Journal!$A:$A,HeadJournal!$A547,Journal!$P:$P)</f>
        <v>21248.594999999987</v>
      </c>
      <c r="N547" s="8">
        <f>SUMIF(Journal!$A:$A,HeadJournal!$A547,Journal!Q:Q)</f>
        <v>25500</v>
      </c>
      <c r="O547" s="18">
        <f>SUMIF(Journal!$A:$A,HeadJournal!$A547,Journal!U:U)</f>
        <v>4251.4050000000161</v>
      </c>
      <c r="P547" s="22">
        <f t="shared" si="67"/>
        <v>0.20007934642267025</v>
      </c>
      <c r="R547" s="73">
        <f t="shared" si="68"/>
        <v>5.0054368300586495E-2</v>
      </c>
    </row>
    <row r="548" spans="1:18" x14ac:dyDescent="0.25">
      <c r="A548" s="12" t="s">
        <v>2192</v>
      </c>
      <c r="B548" s="124" t="s">
        <v>2193</v>
      </c>
      <c r="C548" s="12" t="s">
        <v>1737</v>
      </c>
      <c r="D548" s="12" t="s">
        <v>714</v>
      </c>
      <c r="E548" s="12" t="s">
        <v>1477</v>
      </c>
      <c r="F548" s="124" t="s">
        <v>2235</v>
      </c>
      <c r="G548" s="13">
        <v>45560</v>
      </c>
      <c r="H548" s="14">
        <f>18543.68/J548</f>
        <v>102.99755609864474</v>
      </c>
      <c r="I548" s="14">
        <v>0</v>
      </c>
      <c r="J548" s="8">
        <f>SUMIF(Journal!$A:$A,HeadJournal!$A548,Journal!$K:$K)+SUMIF(Journal!$A:$A,HeadJournal!$A548,Journal!$L:$L)+SUMIF(Journal!$A:$A,HeadJournal!$A548,Journal!$M:$M)</f>
        <v>180.04000000000002</v>
      </c>
      <c r="K548" s="14">
        <v>180.04</v>
      </c>
      <c r="L548" s="14">
        <f>(2654.34+1600)/4</f>
        <v>1063.585</v>
      </c>
      <c r="M548" s="8">
        <f>SUMIF(Journal!$A:$A,HeadJournal!$A548,Journal!$P:$P)</f>
        <v>19607.264999999996</v>
      </c>
      <c r="N548" s="8">
        <f>SUMIF(Journal!$A:$A,HeadJournal!$A548,Journal!Q:Q)</f>
        <v>31400</v>
      </c>
      <c r="O548" s="18">
        <f>SUMIF(Journal!$A:$A,HeadJournal!$A548,Journal!U:U)</f>
        <v>11792.735000000002</v>
      </c>
      <c r="P548" s="22">
        <f t="shared" si="67"/>
        <v>0.60144721867124273</v>
      </c>
      <c r="R548" s="73">
        <f t="shared" si="68"/>
        <v>5.4244434397148211E-2</v>
      </c>
    </row>
    <row r="549" spans="1:18" x14ac:dyDescent="0.25">
      <c r="A549" s="12" t="s">
        <v>2209</v>
      </c>
      <c r="B549" s="124" t="s">
        <v>2210</v>
      </c>
      <c r="C549" s="12" t="s">
        <v>1737</v>
      </c>
      <c r="D549" s="12" t="s">
        <v>714</v>
      </c>
      <c r="E549" s="12" t="s">
        <v>1477</v>
      </c>
      <c r="F549" s="124" t="s">
        <v>2478</v>
      </c>
      <c r="G549" s="13">
        <v>45565</v>
      </c>
      <c r="H549" s="14">
        <f>19391.31/J549</f>
        <v>103.53075280298987</v>
      </c>
      <c r="I549" s="14">
        <v>0</v>
      </c>
      <c r="J549" s="8">
        <f>SUMIF(Journal!$A:$A,HeadJournal!$A549,Journal!$K:$K)+SUMIF(Journal!$A:$A,HeadJournal!$A549,Journal!$L:$L)+SUMIF(Journal!$A:$A,HeadJournal!$A549,Journal!$M:$M)</f>
        <v>187.29999999999998</v>
      </c>
      <c r="K549" s="14">
        <v>187.3</v>
      </c>
      <c r="L549" s="14">
        <f>(1781.04+1100)/3</f>
        <v>960.34666666666669</v>
      </c>
      <c r="M549" s="8">
        <f>SUMIF(Journal!$A:$A,HeadJournal!$A549,Journal!$P:$P)</f>
        <v>20351.656666666673</v>
      </c>
      <c r="N549" s="8">
        <f>SUMIF(Journal!$A:$A,HeadJournal!$A549,Journal!Q:Q)</f>
        <v>34100</v>
      </c>
      <c r="O549" s="18">
        <f>SUMIF(Journal!$A:$A,HeadJournal!$A549,Journal!U:U)</f>
        <v>13748.343333333327</v>
      </c>
      <c r="P549" s="22">
        <f t="shared" si="67"/>
        <v>0.67553927223287424</v>
      </c>
      <c r="R549" s="73">
        <f t="shared" si="68"/>
        <v>4.7187640907857285E-2</v>
      </c>
    </row>
    <row r="550" spans="1:18" x14ac:dyDescent="0.25">
      <c r="A550" s="12" t="s">
        <v>2231</v>
      </c>
      <c r="B550" s="124" t="s">
        <v>2232</v>
      </c>
      <c r="C550" s="12" t="s">
        <v>1751</v>
      </c>
      <c r="D550" s="12" t="s">
        <v>714</v>
      </c>
      <c r="E550" s="12" t="s">
        <v>1477</v>
      </c>
      <c r="F550" s="124" t="s">
        <v>2478</v>
      </c>
      <c r="G550" s="13">
        <v>45562</v>
      </c>
      <c r="H550" s="14">
        <f>18008.87/174.02</f>
        <v>103.48735777496839</v>
      </c>
      <c r="I550" s="14">
        <f>-8.98+0.68</f>
        <v>-8.3000000000000007</v>
      </c>
      <c r="J550" s="8">
        <f>SUMIF(Journal!$A:$A,HeadJournal!$A550,Journal!$K:$K)+SUMIF(Journal!$A:$A,HeadJournal!$A550,Journal!$L:$L)+SUMIF(Journal!$A:$A,HeadJournal!$A550,Journal!$M:$M)</f>
        <v>160.88999999999999</v>
      </c>
      <c r="K550" s="14">
        <v>160.88999999999999</v>
      </c>
      <c r="L550" s="14">
        <f>(1781.04+1100)/3</f>
        <v>960.34666666666669</v>
      </c>
      <c r="M550" s="8">
        <f>SUMIF(Journal!$A:$A,HeadJournal!$A550,Journal!$P:$P)</f>
        <v>17610.427659081335</v>
      </c>
      <c r="N550" s="8">
        <f>SUMIF(Journal!$A:$A,HeadJournal!$A550,Journal!Q:Q)</f>
        <v>27965.21</v>
      </c>
      <c r="O550" s="18">
        <f>SUMIF(Journal!$A:$A,HeadJournal!$A550,Journal!U:U)</f>
        <v>10354.782340918668</v>
      </c>
      <c r="P550" s="22">
        <f t="shared" si="67"/>
        <v>0.58799153214084043</v>
      </c>
      <c r="R550" s="73">
        <f t="shared" si="68"/>
        <v>5.4532841862669684E-2</v>
      </c>
    </row>
    <row r="551" spans="1:18" x14ac:dyDescent="0.25">
      <c r="A551" s="12" t="s">
        <v>2236</v>
      </c>
      <c r="B551" s="12"/>
      <c r="C551" s="12" t="s">
        <v>843</v>
      </c>
      <c r="D551" s="12" t="s">
        <v>714</v>
      </c>
      <c r="E551" s="12" t="s">
        <v>1477</v>
      </c>
      <c r="F551" s="12"/>
      <c r="G551" s="13">
        <v>45569</v>
      </c>
      <c r="H551" s="14">
        <v>1</v>
      </c>
      <c r="I551" s="14">
        <v>0</v>
      </c>
      <c r="J551" s="8">
        <f>SUMIF(Journal!$A:$A,HeadJournal!$A551,Journal!$K:$K)+SUMIF(Journal!$A:$A,HeadJournal!$A551,Journal!$L:$L)+SUMIF(Journal!$A:$A,HeadJournal!$A551,Journal!$M:$M)</f>
        <v>4746</v>
      </c>
      <c r="K551" s="14">
        <v>4746</v>
      </c>
      <c r="L551" s="14">
        <v>0</v>
      </c>
      <c r="M551" s="8">
        <f>SUMIF(Journal!$A:$A,HeadJournal!$A551,Journal!$P:$P)</f>
        <v>4746</v>
      </c>
      <c r="N551" s="8">
        <f>SUMIF(Journal!$A:$A,HeadJournal!$A551,Journal!Q:Q)</f>
        <v>7400</v>
      </c>
      <c r="O551" s="18">
        <f>SUMIF(Journal!$A:$A,HeadJournal!$A551,Journal!U:U)</f>
        <v>2654</v>
      </c>
      <c r="P551" s="22">
        <f t="shared" si="67"/>
        <v>0.55920775389801936</v>
      </c>
      <c r="Q551" s="7" t="b">
        <f t="shared" ref="Q551:Q558" si="70">J551=K551</f>
        <v>1</v>
      </c>
      <c r="R551" s="73">
        <f t="shared" si="68"/>
        <v>0</v>
      </c>
    </row>
    <row r="552" spans="1:18" x14ac:dyDescent="0.25">
      <c r="A552" s="12" t="s">
        <v>2237</v>
      </c>
      <c r="B552" s="12"/>
      <c r="C552" s="12" t="s">
        <v>1380</v>
      </c>
      <c r="D552" s="12" t="s">
        <v>714</v>
      </c>
      <c r="E552" s="12" t="s">
        <v>1477</v>
      </c>
      <c r="F552" s="12"/>
      <c r="G552" s="13">
        <v>45569</v>
      </c>
      <c r="H552" s="14">
        <v>1</v>
      </c>
      <c r="I552" s="14">
        <v>0</v>
      </c>
      <c r="J552" s="8">
        <f>SUMIF(Journal!$A:$A,HeadJournal!$A552,Journal!$K:$K)+SUMIF(Journal!$A:$A,HeadJournal!$A552,Journal!$L:$L)+SUMIF(Journal!$A:$A,HeadJournal!$A552,Journal!$M:$M)</f>
        <v>1432</v>
      </c>
      <c r="K552" s="14">
        <v>1432</v>
      </c>
      <c r="L552" s="14">
        <v>0</v>
      </c>
      <c r="M552" s="8">
        <f>SUMIF(Journal!$A:$A,HeadJournal!$A552,Journal!$P:$P)</f>
        <v>1432</v>
      </c>
      <c r="N552" s="8">
        <f>SUMIF(Journal!$A:$A,HeadJournal!$A552,Journal!Q:Q)</f>
        <v>2100</v>
      </c>
      <c r="O552" s="18">
        <f>SUMIF(Journal!$A:$A,HeadJournal!$A552,Journal!U:U)</f>
        <v>668</v>
      </c>
      <c r="P552" s="22">
        <f t="shared" si="67"/>
        <v>0.46648044692737428</v>
      </c>
      <c r="Q552" s="7" t="b">
        <f t="shared" si="70"/>
        <v>1</v>
      </c>
      <c r="R552" s="73">
        <f t="shared" si="68"/>
        <v>0</v>
      </c>
    </row>
    <row r="553" spans="1:18" x14ac:dyDescent="0.25">
      <c r="A553" s="12" t="s">
        <v>2241</v>
      </c>
      <c r="B553" s="12" t="s">
        <v>2507</v>
      </c>
      <c r="C553" s="12" t="s">
        <v>1501</v>
      </c>
      <c r="D553" s="12" t="s">
        <v>714</v>
      </c>
      <c r="E553" s="12" t="s">
        <v>1477</v>
      </c>
      <c r="F553" s="12"/>
      <c r="G553" s="13">
        <v>45575</v>
      </c>
      <c r="H553" s="14">
        <v>1</v>
      </c>
      <c r="I553" s="14">
        <v>0</v>
      </c>
      <c r="J553" s="8">
        <f>SUMIF(Journal!$A:$A,HeadJournal!$A553,Journal!$K:$K)+SUMIF(Journal!$A:$A,HeadJournal!$A553,Journal!$L:$L)+SUMIF(Journal!$A:$A,HeadJournal!$A553,Journal!$M:$M)</f>
        <v>6447.0500000000011</v>
      </c>
      <c r="K553" s="14">
        <f>7000.05-78-475</f>
        <v>6447.05</v>
      </c>
      <c r="L553" s="14">
        <f>78+475</f>
        <v>553</v>
      </c>
      <c r="M553" s="8">
        <f>SUMIF(Journal!$A:$A,HeadJournal!$A553,Journal!$P:$P)</f>
        <v>7000.0499999999993</v>
      </c>
      <c r="N553" s="8">
        <f>SUMIF(Journal!$A:$A,HeadJournal!$A553,Journal!Q:Q)</f>
        <v>4700</v>
      </c>
      <c r="O553" s="18">
        <f>SUMIF(Journal!$A:$A,HeadJournal!$A553,Journal!U:U)</f>
        <v>-2300.0499999999993</v>
      </c>
      <c r="P553" s="22">
        <f t="shared" si="67"/>
        <v>-0.32857622445553952</v>
      </c>
      <c r="Q553" s="7" t="b">
        <f t="shared" si="70"/>
        <v>1</v>
      </c>
      <c r="R553" s="73">
        <f t="shared" si="68"/>
        <v>7.8999435718316302E-2</v>
      </c>
    </row>
    <row r="554" spans="1:18" x14ac:dyDescent="0.25">
      <c r="A554" s="12" t="s">
        <v>2259</v>
      </c>
      <c r="B554" s="12" t="s">
        <v>2508</v>
      </c>
      <c r="C554" s="12" t="s">
        <v>1501</v>
      </c>
      <c r="D554" s="12" t="s">
        <v>714</v>
      </c>
      <c r="E554" s="12" t="s">
        <v>1477</v>
      </c>
      <c r="F554" s="12"/>
      <c r="G554" s="13">
        <v>45567</v>
      </c>
      <c r="H554" s="14">
        <v>1</v>
      </c>
      <c r="I554" s="14">
        <v>0</v>
      </c>
      <c r="J554" s="8">
        <f>SUMIF(Journal!$A:$A,HeadJournal!$A554,Journal!$K:$K)+SUMIF(Journal!$A:$A,HeadJournal!$A554,Journal!$L:$L)+SUMIF(Journal!$A:$A,HeadJournal!$A554,Journal!$M:$M)</f>
        <v>7795.52</v>
      </c>
      <c r="K554" s="14">
        <f>7079.05-L554</f>
        <v>6525.05</v>
      </c>
      <c r="L554" s="14">
        <f>79+475</f>
        <v>554</v>
      </c>
      <c r="M554" s="8">
        <f>SUMIF(Journal!$A:$A,HeadJournal!$A554,Journal!$P:$P)</f>
        <v>7079.05</v>
      </c>
      <c r="N554" s="8">
        <f>SUMIF(Journal!$A:$A,HeadJournal!$A554,Journal!Q:Q)</f>
        <v>6900</v>
      </c>
      <c r="O554" s="18">
        <f>SUMIF(Journal!$A:$A,HeadJournal!$A554,Journal!U:U)</f>
        <v>-179.05000000000041</v>
      </c>
      <c r="P554" s="22">
        <f t="shared" si="67"/>
        <v>-2.5292941849542016E-2</v>
      </c>
      <c r="Q554" s="7" t="b">
        <f t="shared" si="70"/>
        <v>0</v>
      </c>
      <c r="R554" s="73">
        <f t="shared" si="68"/>
        <v>7.8259088437007795E-2</v>
      </c>
    </row>
    <row r="555" spans="1:18" x14ac:dyDescent="0.25">
      <c r="A555" s="12" t="s">
        <v>2276</v>
      </c>
      <c r="B555" s="12"/>
      <c r="C555" s="12" t="s">
        <v>1380</v>
      </c>
      <c r="D555" s="12" t="s">
        <v>714</v>
      </c>
      <c r="E555" s="12" t="s">
        <v>1477</v>
      </c>
      <c r="F555" s="12"/>
      <c r="G555" s="13">
        <v>45566</v>
      </c>
      <c r="H555" s="14">
        <v>1</v>
      </c>
      <c r="I555" s="14">
        <v>0</v>
      </c>
      <c r="J555" s="8">
        <f>SUMIF(Journal!$A:$A,HeadJournal!$A555,Journal!$K:$K)+SUMIF(Journal!$A:$A,HeadJournal!$A555,Journal!$L:$L)+SUMIF(Journal!$A:$A,HeadJournal!$A555,Journal!$M:$M)</f>
        <v>1375</v>
      </c>
      <c r="K555" s="14">
        <v>1375</v>
      </c>
      <c r="L555" s="14">
        <v>0</v>
      </c>
      <c r="M555" s="8">
        <f>SUMIF(Journal!$A:$A,HeadJournal!$A555,Journal!$P:$P)</f>
        <v>1375</v>
      </c>
      <c r="N555" s="8">
        <f>SUMIF(Journal!$A:$A,HeadJournal!$A555,Journal!Q:Q)</f>
        <v>1800</v>
      </c>
      <c r="O555" s="18">
        <f>SUMIF(Journal!$A:$A,HeadJournal!$A555,Journal!U:U)</f>
        <v>425</v>
      </c>
      <c r="P555" s="22">
        <f t="shared" si="67"/>
        <v>0.30909090909090908</v>
      </c>
      <c r="Q555" s="7" t="b">
        <f t="shared" si="70"/>
        <v>1</v>
      </c>
      <c r="R555" s="73">
        <f t="shared" si="68"/>
        <v>0</v>
      </c>
    </row>
    <row r="556" spans="1:18" x14ac:dyDescent="0.25">
      <c r="A556" s="12" t="s">
        <v>2279</v>
      </c>
      <c r="B556" s="12"/>
      <c r="C556" s="12" t="s">
        <v>1380</v>
      </c>
      <c r="D556" s="12" t="s">
        <v>714</v>
      </c>
      <c r="E556" s="12" t="s">
        <v>1477</v>
      </c>
      <c r="F556" s="12"/>
      <c r="G556" s="13">
        <v>45566</v>
      </c>
      <c r="H556" s="14">
        <v>1</v>
      </c>
      <c r="I556" s="14">
        <v>0</v>
      </c>
      <c r="J556" s="8">
        <f>SUMIF(Journal!$A:$A,HeadJournal!$A556,Journal!$K:$K)+SUMIF(Journal!$A:$A,HeadJournal!$A556,Journal!$L:$L)+SUMIF(Journal!$A:$A,HeadJournal!$A556,Journal!$M:$M)</f>
        <v>2162</v>
      </c>
      <c r="K556" s="14">
        <v>2162</v>
      </c>
      <c r="L556" s="14">
        <v>0</v>
      </c>
      <c r="M556" s="8">
        <f>SUMIF(Journal!$A:$A,HeadJournal!$A556,Journal!$P:$P)</f>
        <v>2162</v>
      </c>
      <c r="N556" s="8">
        <f>SUMIF(Journal!$A:$A,HeadJournal!$A556,Journal!Q:Q)</f>
        <v>3900</v>
      </c>
      <c r="O556" s="18">
        <f>SUMIF(Journal!$A:$A,HeadJournal!$A556,Journal!U:U)</f>
        <v>1738</v>
      </c>
      <c r="P556" s="22">
        <f t="shared" si="67"/>
        <v>0.80388529139685472</v>
      </c>
      <c r="Q556" s="7" t="b">
        <f t="shared" si="70"/>
        <v>1</v>
      </c>
      <c r="R556" s="73">
        <f t="shared" si="68"/>
        <v>0</v>
      </c>
    </row>
    <row r="557" spans="1:18" x14ac:dyDescent="0.25">
      <c r="A557" s="12" t="s">
        <v>2282</v>
      </c>
      <c r="B557" s="12"/>
      <c r="C557" s="12" t="s">
        <v>843</v>
      </c>
      <c r="D557" s="12" t="s">
        <v>714</v>
      </c>
      <c r="E557" s="12" t="s">
        <v>1477</v>
      </c>
      <c r="F557" s="12"/>
      <c r="G557" s="13">
        <v>45583</v>
      </c>
      <c r="H557" s="14">
        <v>1</v>
      </c>
      <c r="I557" s="14">
        <v>0</v>
      </c>
      <c r="J557" s="8">
        <f>SUMIF(Journal!$A:$A,HeadJournal!$A557,Journal!$K:$K)+SUMIF(Journal!$A:$A,HeadJournal!$A557,Journal!$L:$L)+SUMIF(Journal!$A:$A,HeadJournal!$A557,Journal!$M:$M)</f>
        <v>3204</v>
      </c>
      <c r="K557" s="14">
        <f>1602*2</f>
        <v>3204</v>
      </c>
      <c r="L557" s="14">
        <v>0</v>
      </c>
      <c r="M557" s="8">
        <f>SUMIF(Journal!$A:$A,HeadJournal!$A557,Journal!$P:$P)</f>
        <v>3204</v>
      </c>
      <c r="N557" s="8">
        <f>SUMIF(Journal!$A:$A,HeadJournal!$A557,Journal!Q:Q)</f>
        <v>4600</v>
      </c>
      <c r="O557" s="18">
        <f>SUMIF(Journal!$A:$A,HeadJournal!$A557,Journal!U:U)</f>
        <v>1396</v>
      </c>
      <c r="P557" s="22">
        <f t="shared" si="67"/>
        <v>0.43570536828963796</v>
      </c>
      <c r="Q557" s="7" t="b">
        <f t="shared" si="70"/>
        <v>1</v>
      </c>
      <c r="R557" s="73">
        <f t="shared" si="68"/>
        <v>0</v>
      </c>
    </row>
    <row r="558" spans="1:18" x14ac:dyDescent="0.25">
      <c r="A558" s="12" t="s">
        <v>2283</v>
      </c>
      <c r="B558" s="12"/>
      <c r="C558" s="12" t="s">
        <v>1328</v>
      </c>
      <c r="D558" s="12" t="s">
        <v>714</v>
      </c>
      <c r="E558" s="12" t="s">
        <v>1477</v>
      </c>
      <c r="F558" s="12"/>
      <c r="G558" s="13">
        <v>45575</v>
      </c>
      <c r="H558" s="14">
        <v>1</v>
      </c>
      <c r="I558" s="14">
        <v>0</v>
      </c>
      <c r="J558" s="8">
        <f>SUMIF(Journal!$A:$A,HeadJournal!$A558,Journal!$K:$K)+SUMIF(Journal!$A:$A,HeadJournal!$A558,Journal!$L:$L)+SUMIF(Journal!$A:$A,HeadJournal!$A558,Journal!$M:$M)</f>
        <v>16826</v>
      </c>
      <c r="K558" s="14">
        <f>16826</f>
        <v>16826</v>
      </c>
      <c r="L558" s="14">
        <v>0</v>
      </c>
      <c r="M558" s="8">
        <f>SUMIF(Journal!$A:$A,HeadJournal!$A558,Journal!$P:$P)</f>
        <v>16826</v>
      </c>
      <c r="N558" s="8">
        <f>SUMIF(Journal!$A:$A,HeadJournal!$A558,Journal!Q:Q)</f>
        <v>18000</v>
      </c>
      <c r="O558" s="18">
        <f>SUMIF(Journal!$A:$A,HeadJournal!$A558,Journal!U:U)</f>
        <v>1174</v>
      </c>
      <c r="P558" s="22">
        <f t="shared" si="67"/>
        <v>6.9772970402947818E-2</v>
      </c>
      <c r="Q558" s="7" t="b">
        <f t="shared" si="70"/>
        <v>1</v>
      </c>
      <c r="R558" s="73">
        <f t="shared" si="68"/>
        <v>0</v>
      </c>
    </row>
    <row r="559" spans="1:18" x14ac:dyDescent="0.25">
      <c r="A559" s="12" t="s">
        <v>2437</v>
      </c>
      <c r="B559" s="124" t="s">
        <v>2438</v>
      </c>
      <c r="C559" s="12" t="s">
        <v>1737</v>
      </c>
      <c r="D559" s="12" t="s">
        <v>714</v>
      </c>
      <c r="E559" s="12" t="s">
        <v>1477</v>
      </c>
      <c r="F559" s="124" t="s">
        <v>2528</v>
      </c>
      <c r="G559" s="13">
        <v>45577</v>
      </c>
      <c r="H559" s="14">
        <f>19043.76/J559</f>
        <v>107.39164270005074</v>
      </c>
      <c r="I559" s="14">
        <v>-10.54</v>
      </c>
      <c r="J559" s="8">
        <f>SUMIF(Journal!$A:$A,HeadJournal!$A559,Journal!$K:$K)+SUMIF(Journal!$A:$A,HeadJournal!$A559,Journal!$L:$L)+SUMIF(Journal!$A:$A,HeadJournal!$A559,Journal!$M:$M)</f>
        <v>177.33</v>
      </c>
      <c r="K559" s="14">
        <v>177.33</v>
      </c>
      <c r="L559" s="14">
        <f>(1282.89+1100)/3</f>
        <v>794.29666666666674</v>
      </c>
      <c r="M559" s="8">
        <f>SUMIF(Journal!$A:$A,HeadJournal!$A559,Journal!$P:$P)</f>
        <v>19838.056666666664</v>
      </c>
      <c r="N559" s="8">
        <f>SUMIF(Journal!$A:$A,HeadJournal!$A559,Journal!Q:Q)</f>
        <v>30450</v>
      </c>
      <c r="O559" s="18">
        <f>SUMIF(Journal!$A:$A,HeadJournal!$A559,Journal!U:U)</f>
        <v>10611.943333333336</v>
      </c>
      <c r="P559" s="22">
        <f t="shared" si="67"/>
        <v>0.53492857247274073</v>
      </c>
      <c r="R559" s="73">
        <f t="shared" si="68"/>
        <v>4.0039036081659221E-2</v>
      </c>
    </row>
    <row r="560" spans="1:18" x14ac:dyDescent="0.25">
      <c r="A560" s="12" t="s">
        <v>2444</v>
      </c>
      <c r="B560" s="124" t="s">
        <v>2445</v>
      </c>
      <c r="C560" s="12" t="s">
        <v>1737</v>
      </c>
      <c r="D560" s="12" t="s">
        <v>714</v>
      </c>
      <c r="E560" s="12" t="s">
        <v>1477</v>
      </c>
      <c r="F560" s="124" t="s">
        <v>2528</v>
      </c>
      <c r="G560" s="13">
        <v>45584</v>
      </c>
      <c r="H560" s="14">
        <f>20414.66/J560</f>
        <v>107.47951984837317</v>
      </c>
      <c r="I560" s="14">
        <v>-8.23</v>
      </c>
      <c r="J560" s="8">
        <f>SUMIF(Journal!$A:$A,HeadJournal!$A560,Journal!$K:$K)+SUMIF(Journal!$A:$A,HeadJournal!$A560,Journal!$L:$L)+SUMIF(Journal!$A:$A,HeadJournal!$A560,Journal!$M:$M)</f>
        <v>189.94</v>
      </c>
      <c r="K560" s="14">
        <v>189.94</v>
      </c>
      <c r="L560" s="14">
        <f>(1282.89+1100)/3</f>
        <v>794.29666666666674</v>
      </c>
      <c r="M560" s="8">
        <f>SUMIF(Journal!$A:$A,HeadJournal!$A560,Journal!$P:$P)</f>
        <v>21208.956666666665</v>
      </c>
      <c r="N560" s="8">
        <f>SUMIF(Journal!$A:$A,HeadJournal!$A560,Journal!Q:Q)</f>
        <v>27600</v>
      </c>
      <c r="O560" s="18">
        <f>SUMIF(Journal!$A:$A,HeadJournal!$A560,Journal!U:U)</f>
        <v>6391.043333333334</v>
      </c>
      <c r="P560" s="22">
        <f t="shared" si="67"/>
        <v>0.30133699803243508</v>
      </c>
      <c r="R560" s="73">
        <f t="shared" si="68"/>
        <v>3.7451001440114852E-2</v>
      </c>
    </row>
    <row r="561" spans="1:18" x14ac:dyDescent="0.25">
      <c r="A561" s="12" t="s">
        <v>2458</v>
      </c>
      <c r="B561" s="124" t="s">
        <v>2459</v>
      </c>
      <c r="C561" s="12" t="s">
        <v>1751</v>
      </c>
      <c r="D561" s="12" t="s">
        <v>714</v>
      </c>
      <c r="E561" s="12" t="s">
        <v>1477</v>
      </c>
      <c r="F561" s="124" t="s">
        <v>2528</v>
      </c>
      <c r="G561" s="13">
        <v>45575</v>
      </c>
      <c r="H561" s="14">
        <f>20099/J561</f>
        <v>106.33828897941909</v>
      </c>
      <c r="I561" s="14">
        <v>-10.14</v>
      </c>
      <c r="J561" s="8">
        <f>SUMIF(Journal!$A:$A,HeadJournal!$A561,Journal!$K:$K)+SUMIF(Journal!$A:$A,HeadJournal!$A561,Journal!$L:$L)+SUMIF(Journal!$A:$A,HeadJournal!$A561,Journal!$M:$M)</f>
        <v>189.01</v>
      </c>
      <c r="K561" s="14">
        <v>189.01</v>
      </c>
      <c r="L561" s="14">
        <f>(1282.89+1100)/3</f>
        <v>794.29666666666674</v>
      </c>
      <c r="M561" s="8">
        <f>SUMIF(Journal!$A:$A,HeadJournal!$A561,Journal!$P:$P)</f>
        <v>20893.296666666673</v>
      </c>
      <c r="N561" s="8">
        <f>SUMIF(Journal!$A:$A,HeadJournal!$A561,Journal!Q:Q)</f>
        <v>29600</v>
      </c>
      <c r="O561" s="18">
        <f>SUMIF(Journal!$A:$A,HeadJournal!$A561,Journal!U:U)</f>
        <v>8706.7033333333311</v>
      </c>
      <c r="P561" s="22">
        <f t="shared" si="67"/>
        <v>0.41672233311194368</v>
      </c>
      <c r="R561" s="73">
        <f t="shared" si="68"/>
        <v>3.8016818472399995E-2</v>
      </c>
    </row>
    <row r="562" spans="1:18" x14ac:dyDescent="0.25">
      <c r="A562" s="12" t="s">
        <v>2476</v>
      </c>
      <c r="B562" s="124" t="s">
        <v>2477</v>
      </c>
      <c r="C562" s="12" t="s">
        <v>1751</v>
      </c>
      <c r="D562" s="12" t="s">
        <v>714</v>
      </c>
      <c r="E562" s="12" t="s">
        <v>1477</v>
      </c>
      <c r="F562" s="124" t="s">
        <v>2527</v>
      </c>
      <c r="G562" s="13">
        <v>45586</v>
      </c>
      <c r="H562" s="14">
        <f>20161.38/J562</f>
        <v>107.52162551330595</v>
      </c>
      <c r="I562" s="14">
        <v>-8.7899999999999991</v>
      </c>
      <c r="J562" s="8">
        <f>SUMIF(Journal!$A:$A,HeadJournal!$A562,Journal!$K:$K)+SUMIF(Journal!$A:$A,HeadJournal!$A562,Journal!$L:$L)+SUMIF(Journal!$A:$A,HeadJournal!$A562,Journal!$M:$M)</f>
        <v>187.51000000000002</v>
      </c>
      <c r="K562" s="14">
        <v>187.51</v>
      </c>
      <c r="L562" s="14">
        <f>1282.89/4</f>
        <v>320.72250000000003</v>
      </c>
      <c r="M562" s="8">
        <f>SUMIF(Journal!$A:$A,HeadJournal!$A562,Journal!$P:$P)</f>
        <v>20482.102499999997</v>
      </c>
      <c r="N562" s="8">
        <f>SUMIF(Journal!$A:$A,HeadJournal!$A562,Journal!Q:Q)</f>
        <v>29000</v>
      </c>
      <c r="O562" s="18">
        <f>SUMIF(Journal!$A:$A,HeadJournal!$A562,Journal!U:U)</f>
        <v>8517.8975000000046</v>
      </c>
      <c r="P562" s="22">
        <f t="shared" si="67"/>
        <v>0.41587027015415073</v>
      </c>
      <c r="R562" s="73">
        <f t="shared" si="68"/>
        <v>1.5658670783431538E-2</v>
      </c>
    </row>
    <row r="563" spans="1:18" x14ac:dyDescent="0.25">
      <c r="A563" s="12" t="s">
        <v>2486</v>
      </c>
      <c r="B563" s="124" t="s">
        <v>2487</v>
      </c>
      <c r="C563" s="12" t="s">
        <v>1752</v>
      </c>
      <c r="D563" s="12" t="s">
        <v>714</v>
      </c>
      <c r="E563" s="12" t="s">
        <v>1477</v>
      </c>
      <c r="F563" s="124" t="s">
        <v>2527</v>
      </c>
      <c r="G563" s="13">
        <v>45589</v>
      </c>
      <c r="H563" s="14">
        <f>17076.45/157.49</f>
        <v>108.42878912946854</v>
      </c>
      <c r="I563" s="14">
        <v>-22.29</v>
      </c>
      <c r="J563" s="8">
        <f>SUMIF(Journal!$A:$A,HeadJournal!$A563,Journal!$K:$K)+SUMIF(Journal!$A:$A,HeadJournal!$A563,Journal!$L:$L)+SUMIF(Journal!$A:$A,HeadJournal!$A563,Journal!$M:$M)</f>
        <v>157.49</v>
      </c>
      <c r="K563" s="14">
        <v>157.49</v>
      </c>
      <c r="L563" s="14">
        <f>1282.89/4</f>
        <v>320.72250000000003</v>
      </c>
      <c r="M563" s="8">
        <f>SUMIF(Journal!$A:$A,HeadJournal!$A563,Journal!$P:$P)</f>
        <v>17397.172500000001</v>
      </c>
      <c r="N563" s="8">
        <f>SUMIF(Journal!$A:$A,HeadJournal!$A563,Journal!Q:Q)</f>
        <v>29350</v>
      </c>
      <c r="O563" s="18">
        <f>SUMIF(Journal!$A:$A,HeadJournal!$A563,Journal!U:U)</f>
        <v>11952.827499999999</v>
      </c>
      <c r="P563" s="22">
        <f t="shared" si="67"/>
        <v>0.68705575575571254</v>
      </c>
      <c r="Q563" s="7" t="b">
        <f>J563=K563</f>
        <v>1</v>
      </c>
      <c r="R563" s="73">
        <f t="shared" si="68"/>
        <v>1.8435323326247411E-2</v>
      </c>
    </row>
    <row r="564" spans="1:18" x14ac:dyDescent="0.25">
      <c r="A564" s="12" t="s">
        <v>2500</v>
      </c>
      <c r="B564" s="124" t="s">
        <v>2501</v>
      </c>
      <c r="C564" s="12" t="s">
        <v>1752</v>
      </c>
      <c r="D564" s="12" t="s">
        <v>714</v>
      </c>
      <c r="E564" s="12" t="s">
        <v>1477</v>
      </c>
      <c r="F564" s="124" t="s">
        <v>2527</v>
      </c>
      <c r="G564" s="13">
        <v>45595</v>
      </c>
      <c r="H564" s="14">
        <f>19737.07/183.56</f>
        <v>107.5238069296143</v>
      </c>
      <c r="I564" s="14">
        <v>-9</v>
      </c>
      <c r="J564" s="8">
        <f>SUMIF(Journal!$A:$A,HeadJournal!$A564,Journal!$K:$K)+SUMIF(Journal!$A:$A,HeadJournal!$A564,Journal!$L:$L)+SUMIF(Journal!$A:$A,HeadJournal!$A564,Journal!$M:$M)</f>
        <v>183.56000000000006</v>
      </c>
      <c r="K564" s="14">
        <v>183.56</v>
      </c>
      <c r="L564" s="14">
        <f>1282.89/4</f>
        <v>320.72250000000003</v>
      </c>
      <c r="M564" s="8">
        <f>SUMIF(Journal!$A:$A,HeadJournal!$A564,Journal!$P:$P)</f>
        <v>20057.792499999992</v>
      </c>
      <c r="N564" s="8">
        <f>SUMIF(Journal!$A:$A,HeadJournal!$A564,Journal!Q:Q)</f>
        <v>32900</v>
      </c>
      <c r="O564" s="18">
        <f>SUMIF(Journal!$A:$A,HeadJournal!$A564,Journal!U:U)</f>
        <v>12842.207500000004</v>
      </c>
      <c r="P564" s="22">
        <f t="shared" si="67"/>
        <v>0.6402602629377091</v>
      </c>
      <c r="Q564" s="7" t="b">
        <f>J564=K564</f>
        <v>1</v>
      </c>
      <c r="R564" s="73">
        <f t="shared" si="68"/>
        <v>1.5989920127052873E-2</v>
      </c>
    </row>
    <row r="565" spans="1:18" x14ac:dyDescent="0.25">
      <c r="A565" s="12" t="s">
        <v>2505</v>
      </c>
      <c r="B565" s="124" t="s">
        <v>2506</v>
      </c>
      <c r="C565" s="12" t="s">
        <v>1737</v>
      </c>
      <c r="D565" s="12" t="s">
        <v>714</v>
      </c>
      <c r="E565" s="12" t="s">
        <v>1477</v>
      </c>
      <c r="F565" s="124" t="s">
        <v>2527</v>
      </c>
      <c r="G565" s="13">
        <v>45593</v>
      </c>
      <c r="H565" s="14">
        <f>13217.46/121.53</f>
        <v>108.75882498148604</v>
      </c>
      <c r="I565" s="14">
        <v>-21.4</v>
      </c>
      <c r="J565" s="8">
        <f>SUMIF(Journal!$A:$A,HeadJournal!$A565,Journal!$K:$K)+SUMIF(Journal!$A:$A,HeadJournal!$A565,Journal!$L:$L)+SUMIF(Journal!$A:$A,HeadJournal!$A565,Journal!$M:$M)</f>
        <v>121.53</v>
      </c>
      <c r="K565" s="14">
        <v>121.53</v>
      </c>
      <c r="L565" s="14">
        <f>1282.89/4</f>
        <v>320.72250000000003</v>
      </c>
      <c r="M565" s="8">
        <f>SUMIF(Journal!$A:$A,HeadJournal!$A565,Journal!$P:$P)</f>
        <v>13538.182500000001</v>
      </c>
      <c r="N565" s="8">
        <f>SUMIF(Journal!$A:$A,HeadJournal!$A565,Journal!Q:Q)</f>
        <v>26300</v>
      </c>
      <c r="O565" s="18">
        <f>SUMIF(Journal!$A:$A,HeadJournal!$A565,Journal!U:U)</f>
        <v>12761.817499999999</v>
      </c>
      <c r="P565" s="22">
        <f t="shared" si="67"/>
        <v>0.94265367600119132</v>
      </c>
      <c r="R565" s="73">
        <f t="shared" si="68"/>
        <v>2.369021838788183E-2</v>
      </c>
    </row>
    <row r="566" spans="1:18" x14ac:dyDescent="0.25">
      <c r="A566" s="12" t="s">
        <v>2509</v>
      </c>
      <c r="B566" s="12" t="s">
        <v>2510</v>
      </c>
      <c r="C566" s="12" t="s">
        <v>1514</v>
      </c>
      <c r="D566" s="12" t="s">
        <v>714</v>
      </c>
      <c r="E566" s="12" t="s">
        <v>1477</v>
      </c>
      <c r="F566" s="12"/>
      <c r="G566" s="13">
        <v>45589</v>
      </c>
      <c r="H566" s="14">
        <v>1</v>
      </c>
      <c r="I566" s="14">
        <v>0</v>
      </c>
      <c r="J566" s="8">
        <f>SUMIF(Journal!$A:$A,HeadJournal!$A566,Journal!$K:$K)+SUMIF(Journal!$A:$A,HeadJournal!$A566,Journal!$L:$L)+SUMIF(Journal!$A:$A,HeadJournal!$A566,Journal!$M:$M)</f>
        <v>8891.33</v>
      </c>
      <c r="K566" s="14">
        <f>7978.05-L566</f>
        <v>7415.05</v>
      </c>
      <c r="L566" s="14">
        <f>475+88</f>
        <v>563</v>
      </c>
      <c r="M566" s="8">
        <f>SUMIF(Journal!$A:$A,HeadJournal!$A566,Journal!$P:$P)</f>
        <v>7978.05</v>
      </c>
      <c r="N566" s="8">
        <f>SUMIF(Journal!$A:$A,HeadJournal!$A566,Journal!Q:Q)</f>
        <v>2500</v>
      </c>
      <c r="O566" s="18">
        <f>SUMIF(Journal!$A:$A,HeadJournal!$A566,Journal!U:U)</f>
        <v>-5478.05</v>
      </c>
      <c r="P566" s="22">
        <f t="shared" si="67"/>
        <v>-0.6866402191011588</v>
      </c>
      <c r="Q566" s="7" t="b">
        <f>J566=K566</f>
        <v>0</v>
      </c>
      <c r="R566" s="73">
        <f t="shared" si="68"/>
        <v>7.0568622658419039E-2</v>
      </c>
    </row>
    <row r="567" spans="1:18" x14ac:dyDescent="0.25">
      <c r="A567" s="12" t="s">
        <v>2523</v>
      </c>
      <c r="B567" s="12"/>
      <c r="C567" s="12" t="s">
        <v>1380</v>
      </c>
      <c r="D567" s="12" t="s">
        <v>714</v>
      </c>
      <c r="E567" s="12" t="s">
        <v>1477</v>
      </c>
      <c r="F567" s="12"/>
      <c r="G567" s="13">
        <v>45586</v>
      </c>
      <c r="H567" s="14">
        <v>1</v>
      </c>
      <c r="I567" s="14">
        <v>0</v>
      </c>
      <c r="J567" s="8">
        <f>SUMIF(Journal!$A:$A,HeadJournal!$A567,Journal!$K:$K)+SUMIF(Journal!$A:$A,HeadJournal!$A567,Journal!$L:$L)+SUMIF(Journal!$A:$A,HeadJournal!$A567,Journal!$M:$M)</f>
        <v>1364</v>
      </c>
      <c r="K567" s="14">
        <v>1364</v>
      </c>
      <c r="L567" s="14">
        <v>0</v>
      </c>
      <c r="M567" s="8">
        <f>SUMIF(Journal!$A:$A,HeadJournal!$A567,Journal!$P:$P)</f>
        <v>1364</v>
      </c>
      <c r="N567" s="8">
        <f>SUMIF(Journal!$A:$A,HeadJournal!$A567,Journal!Q:Q)</f>
        <v>3900</v>
      </c>
      <c r="O567" s="18">
        <f>SUMIF(Journal!$A:$A,HeadJournal!$A567,Journal!U:U)</f>
        <v>2536</v>
      </c>
      <c r="P567" s="22">
        <f t="shared" si="67"/>
        <v>1.8592375366568914</v>
      </c>
      <c r="Q567" s="7" t="b">
        <f>J567=K567</f>
        <v>1</v>
      </c>
      <c r="R567" s="73">
        <f t="shared" si="68"/>
        <v>0</v>
      </c>
    </row>
    <row r="568" spans="1:18" x14ac:dyDescent="0.25">
      <c r="A568" s="12" t="s">
        <v>2524</v>
      </c>
      <c r="B568" s="12"/>
      <c r="C568" s="12" t="s">
        <v>1368</v>
      </c>
      <c r="D568" s="12" t="s">
        <v>714</v>
      </c>
      <c r="E568" s="12" t="s">
        <v>1369</v>
      </c>
      <c r="F568" s="12"/>
      <c r="G568" s="13">
        <v>45577</v>
      </c>
      <c r="H568" s="14">
        <v>1</v>
      </c>
      <c r="I568" s="14">
        <v>0</v>
      </c>
      <c r="J568" s="8">
        <f>SUMIF(Journal!$A:$A,HeadJournal!$A568,Journal!$K:$K)+SUMIF(Journal!$A:$A,HeadJournal!$A568,Journal!$L:$L)+SUMIF(Journal!$A:$A,HeadJournal!$A568,Journal!$M:$M)</f>
        <v>10106</v>
      </c>
      <c r="K568" s="14">
        <v>10106</v>
      </c>
      <c r="L568" s="14">
        <v>0</v>
      </c>
      <c r="M568" s="8">
        <f>SUMIF(Journal!$A:$A,HeadJournal!$A568,Journal!$P:$P)</f>
        <v>10106</v>
      </c>
      <c r="N568" s="8">
        <f>SUMIF(Journal!$A:$A,HeadJournal!$A568,Journal!Q:Q)</f>
        <v>12500</v>
      </c>
      <c r="O568" s="18">
        <f>SUMIF(Journal!$A:$A,HeadJournal!$A568,Journal!U:U)</f>
        <v>2394</v>
      </c>
      <c r="P568" s="22">
        <f t="shared" si="67"/>
        <v>0.23688897684543836</v>
      </c>
      <c r="Q568" s="7" t="b">
        <f>J568=K568</f>
        <v>1</v>
      </c>
      <c r="R568" s="73">
        <f t="shared" si="68"/>
        <v>0</v>
      </c>
    </row>
    <row r="569" spans="1:18" x14ac:dyDescent="0.25">
      <c r="A569" s="12" t="s">
        <v>2541</v>
      </c>
      <c r="B569" s="124" t="s">
        <v>2542</v>
      </c>
      <c r="C569" s="12" t="s">
        <v>1735</v>
      </c>
      <c r="D569" s="12" t="s">
        <v>714</v>
      </c>
      <c r="E569" s="12" t="s">
        <v>1477</v>
      </c>
      <c r="F569" s="124" t="s">
        <v>2761</v>
      </c>
      <c r="G569" s="13">
        <v>45608</v>
      </c>
      <c r="H569" s="14">
        <f>10881.54/J569</f>
        <v>110.93424406157611</v>
      </c>
      <c r="I569" s="14">
        <v>-26.24</v>
      </c>
      <c r="J569" s="8">
        <f>SUMIF(Journal!$A:$A,HeadJournal!$A569,Journal!$K:$K)+SUMIF(Journal!$A:$A,HeadJournal!$A569,Journal!$L:$L)+SUMIF(Journal!$A:$A,HeadJournal!$A569,Journal!$M:$M)</f>
        <v>98.09</v>
      </c>
      <c r="K569" s="14">
        <v>98.09</v>
      </c>
      <c r="L569" s="14">
        <f>1282.89/3</f>
        <v>427.63000000000005</v>
      </c>
      <c r="M569" s="8">
        <f>SUMIF(Journal!$A:$A,HeadJournal!$A569,Journal!$P:$P)</f>
        <v>11309.170000000002</v>
      </c>
      <c r="N569" s="8">
        <f>SUMIF(Journal!$A:$A,HeadJournal!$A569,Journal!Q:Q)</f>
        <v>15024.39</v>
      </c>
      <c r="O569" s="18">
        <f>SUMIF(Journal!$A:$A,HeadJournal!$A569,Journal!U:U)</f>
        <v>3715.2199999999984</v>
      </c>
      <c r="P569" s="22">
        <f t="shared" si="67"/>
        <v>0.32851394045716864</v>
      </c>
      <c r="R569" s="73">
        <f t="shared" si="68"/>
        <v>3.7812677676611103E-2</v>
      </c>
    </row>
    <row r="570" spans="1:18" x14ac:dyDescent="0.25">
      <c r="A570" s="12" t="s">
        <v>2560</v>
      </c>
      <c r="B570" s="124" t="s">
        <v>2561</v>
      </c>
      <c r="C570" s="12" t="s">
        <v>1751</v>
      </c>
      <c r="D570" s="12" t="s">
        <v>714</v>
      </c>
      <c r="E570" s="12" t="s">
        <v>1477</v>
      </c>
      <c r="F570" s="124" t="s">
        <v>2761</v>
      </c>
      <c r="G570" s="13">
        <v>45604</v>
      </c>
      <c r="H570" s="14">
        <f>17990.77/J570</f>
        <v>109.8807182556648</v>
      </c>
      <c r="I570" s="14">
        <v>-26.57</v>
      </c>
      <c r="J570" s="8">
        <f>SUMIF(Journal!$A:$A,HeadJournal!$A570,Journal!$K:$K)+SUMIF(Journal!$A:$A,HeadJournal!$A570,Journal!$L:$L)+SUMIF(Journal!$A:$A,HeadJournal!$A570,Journal!$M:$M)</f>
        <v>163.73000000000002</v>
      </c>
      <c r="K570" s="14">
        <v>163.72999999999999</v>
      </c>
      <c r="L570" s="14">
        <f>1282.89/3</f>
        <v>427.63000000000005</v>
      </c>
      <c r="M570" s="8">
        <f>SUMIF(Journal!$A:$A,HeadJournal!$A570,Journal!$P:$P)</f>
        <v>18418.399999999994</v>
      </c>
      <c r="N570" s="8">
        <f>SUMIF(Journal!$A:$A,HeadJournal!$A570,Journal!Q:Q)</f>
        <v>30600</v>
      </c>
      <c r="O570" s="18">
        <f>SUMIF(Journal!$A:$A,HeadJournal!$A570,Journal!U:U)</f>
        <v>12181.600000000006</v>
      </c>
      <c r="P570" s="22">
        <f t="shared" si="67"/>
        <v>0.66138209616470534</v>
      </c>
      <c r="R570" s="73">
        <f t="shared" si="68"/>
        <v>2.3217543326238987E-2</v>
      </c>
    </row>
    <row r="571" spans="1:18" x14ac:dyDescent="0.25">
      <c r="A571" s="12" t="s">
        <v>2571</v>
      </c>
      <c r="B571" s="124" t="s">
        <v>2572</v>
      </c>
      <c r="C571" s="12" t="s">
        <v>1751</v>
      </c>
      <c r="D571" s="12" t="s">
        <v>714</v>
      </c>
      <c r="E571" s="12" t="s">
        <v>1477</v>
      </c>
      <c r="F571" s="124" t="s">
        <v>2761</v>
      </c>
      <c r="G571" s="13">
        <v>45612</v>
      </c>
      <c r="H571" s="14">
        <f>15684.73/J571</f>
        <v>108.98228182323511</v>
      </c>
      <c r="I571" s="14">
        <v>-9.39</v>
      </c>
      <c r="J571" s="8">
        <f>SUMIF(Journal!$A:$A,HeadJournal!$A571,Journal!$K:$K)+SUMIF(Journal!$A:$A,HeadJournal!$A571,Journal!$L:$L)+SUMIF(Journal!$A:$A,HeadJournal!$A571,Journal!$M:$M)</f>
        <v>143.92000000000002</v>
      </c>
      <c r="K571" s="14">
        <v>143.91999999999999</v>
      </c>
      <c r="L571" s="14">
        <f>1282.89/3</f>
        <v>427.63000000000005</v>
      </c>
      <c r="M571" s="8">
        <f>SUMIF(Journal!$A:$A,HeadJournal!$A571,Journal!$P:$P)</f>
        <v>16112.359999999995</v>
      </c>
      <c r="N571" s="8">
        <f>SUMIF(Journal!$A:$A,HeadJournal!$A571,Journal!Q:Q)</f>
        <v>24100</v>
      </c>
      <c r="O571" s="18">
        <f>SUMIF(Journal!$A:$A,HeadJournal!$A571,Journal!U:U)</f>
        <v>7987.6400000000049</v>
      </c>
      <c r="P571" s="22">
        <f t="shared" si="67"/>
        <v>0.49574612285227038</v>
      </c>
      <c r="R571" s="73">
        <f t="shared" si="68"/>
        <v>2.6540494378228897E-2</v>
      </c>
    </row>
    <row r="572" spans="1:18" x14ac:dyDescent="0.25">
      <c r="A572" s="12" t="s">
        <v>2590</v>
      </c>
      <c r="B572" s="124" t="s">
        <v>2591</v>
      </c>
      <c r="C572" s="12" t="s">
        <v>1751</v>
      </c>
      <c r="D572" s="12" t="s">
        <v>714</v>
      </c>
      <c r="E572" s="12" t="s">
        <v>1477</v>
      </c>
      <c r="F572" s="124" t="s">
        <v>2759</v>
      </c>
      <c r="G572" s="13">
        <v>45621</v>
      </c>
      <c r="H572" s="14">
        <f>14262.39/J572</f>
        <v>115.71918864097363</v>
      </c>
      <c r="I572" s="14">
        <v>-11.38</v>
      </c>
      <c r="J572" s="8">
        <f>SUMIF(Journal!$A:$A,HeadJournal!$A572,Journal!$K:$K)+SUMIF(Journal!$A:$A,HeadJournal!$A572,Journal!$L:$L)+SUMIF(Journal!$A:$A,HeadJournal!$A572,Journal!$M:$M)</f>
        <v>123.25</v>
      </c>
      <c r="K572" s="14">
        <v>123.25</v>
      </c>
      <c r="L572" s="14">
        <f>(1589.16+1100)/3</f>
        <v>896.38666666666666</v>
      </c>
      <c r="M572" s="8">
        <f>SUMIF(Journal!$A:$A,HeadJournal!$A572,Journal!$P:$P)</f>
        <v>15158.776666666667</v>
      </c>
      <c r="N572" s="8">
        <f>SUMIF(Journal!$A:$A,HeadJournal!$A572,Journal!Q:Q)</f>
        <v>23400</v>
      </c>
      <c r="O572" s="18">
        <f>SUMIF(Journal!$A:$A,HeadJournal!$A572,Journal!U:U)</f>
        <v>8241.2233333333352</v>
      </c>
      <c r="P572" s="22">
        <f t="shared" si="67"/>
        <v>0.54366018541953598</v>
      </c>
      <c r="R572" s="73">
        <f t="shared" si="68"/>
        <v>5.9133179832233602E-2</v>
      </c>
    </row>
    <row r="573" spans="1:18" x14ac:dyDescent="0.25">
      <c r="A573" s="12" t="s">
        <v>2592</v>
      </c>
      <c r="B573" s="12"/>
      <c r="C573" s="12" t="s">
        <v>1380</v>
      </c>
      <c r="D573" s="12" t="s">
        <v>714</v>
      </c>
      <c r="E573" s="12" t="s">
        <v>1477</v>
      </c>
      <c r="F573" s="12"/>
      <c r="G573" s="13">
        <v>45602</v>
      </c>
      <c r="H573" s="14">
        <v>1</v>
      </c>
      <c r="I573" s="14">
        <v>0</v>
      </c>
      <c r="J573" s="8">
        <f>SUMIF(Journal!$A:$A,HeadJournal!$A573,Journal!$K:$K)+SUMIF(Journal!$A:$A,HeadJournal!$A573,Journal!$L:$L)+SUMIF(Journal!$A:$A,HeadJournal!$A573,Journal!$M:$M)</f>
        <v>1602</v>
      </c>
      <c r="K573" s="14">
        <v>1602</v>
      </c>
      <c r="L573" s="14">
        <v>0</v>
      </c>
      <c r="M573" s="8">
        <f>SUMIF(Journal!$A:$A,HeadJournal!$A573,Journal!$P:$P)</f>
        <v>1602</v>
      </c>
      <c r="N573" s="8">
        <f>SUMIF(Journal!$A:$A,HeadJournal!$A573,Journal!Q:Q)</f>
        <v>4000</v>
      </c>
      <c r="O573" s="18">
        <f>SUMIF(Journal!$A:$A,HeadJournal!$A573,Journal!U:U)</f>
        <v>2398</v>
      </c>
      <c r="P573" s="22">
        <f t="shared" si="67"/>
        <v>1.4968789013732835</v>
      </c>
      <c r="Q573" s="7" t="b">
        <f t="shared" ref="Q573:Q584" si="71">J573=K573</f>
        <v>1</v>
      </c>
      <c r="R573" s="73">
        <f t="shared" si="68"/>
        <v>0</v>
      </c>
    </row>
    <row r="574" spans="1:18" x14ac:dyDescent="0.25">
      <c r="A574" s="12" t="s">
        <v>2593</v>
      </c>
      <c r="B574" s="12"/>
      <c r="C574" s="12" t="s">
        <v>1380</v>
      </c>
      <c r="D574" s="12" t="s">
        <v>714</v>
      </c>
      <c r="E574" s="12" t="s">
        <v>1477</v>
      </c>
      <c r="F574" s="12"/>
      <c r="G574" s="13">
        <v>45622</v>
      </c>
      <c r="H574" s="14">
        <v>1</v>
      </c>
      <c r="I574" s="14">
        <v>0</v>
      </c>
      <c r="J574" s="8">
        <f>SUMIF(Journal!$A:$A,HeadJournal!$A574,Journal!$K:$K)+SUMIF(Journal!$A:$A,HeadJournal!$A574,Journal!$L:$L)+SUMIF(Journal!$A:$A,HeadJournal!$A574,Journal!$M:$M)</f>
        <v>3411</v>
      </c>
      <c r="K574" s="14">
        <v>3411</v>
      </c>
      <c r="L574" s="14">
        <v>0</v>
      </c>
      <c r="M574" s="8">
        <f>SUMIF(Journal!$A:$A,HeadJournal!$A574,Journal!$P:$P)</f>
        <v>3411</v>
      </c>
      <c r="N574" s="8">
        <f>SUMIF(Journal!$A:$A,HeadJournal!$A574,Journal!Q:Q)</f>
        <v>4500</v>
      </c>
      <c r="O574" s="18">
        <f>SUMIF(Journal!$A:$A,HeadJournal!$A574,Journal!U:U)</f>
        <v>1089</v>
      </c>
      <c r="P574" s="22">
        <f t="shared" si="67"/>
        <v>0.31926121372031663</v>
      </c>
      <c r="Q574" s="7" t="b">
        <f t="shared" si="71"/>
        <v>1</v>
      </c>
      <c r="R574" s="73">
        <f t="shared" si="68"/>
        <v>0</v>
      </c>
    </row>
    <row r="575" spans="1:18" x14ac:dyDescent="0.25">
      <c r="A575" s="12" t="s">
        <v>2598</v>
      </c>
      <c r="B575" s="12"/>
      <c r="C575" s="12" t="s">
        <v>843</v>
      </c>
      <c r="D575" s="12" t="s">
        <v>714</v>
      </c>
      <c r="E575" s="12" t="s">
        <v>1477</v>
      </c>
      <c r="F575" s="12"/>
      <c r="G575" s="13">
        <v>45590</v>
      </c>
      <c r="H575" s="14">
        <v>1</v>
      </c>
      <c r="I575" s="14">
        <v>0</v>
      </c>
      <c r="J575" s="8">
        <f>SUMIF(Journal!$A:$A,HeadJournal!$A575,Journal!$K:$K)+SUMIF(Journal!$A:$A,HeadJournal!$A575,Journal!$L:$L)+SUMIF(Journal!$A:$A,HeadJournal!$A575,Journal!$M:$M)</f>
        <v>1830</v>
      </c>
      <c r="K575" s="14">
        <v>1830</v>
      </c>
      <c r="L575" s="14">
        <v>0</v>
      </c>
      <c r="M575" s="8">
        <f>SUMIF(Journal!$A:$A,HeadJournal!$A575,Journal!$P:$P)</f>
        <v>1830</v>
      </c>
      <c r="N575" s="8">
        <f>SUMIF(Journal!$A:$A,HeadJournal!$A575,Journal!Q:Q)</f>
        <v>2500</v>
      </c>
      <c r="O575" s="18">
        <f>SUMIF(Journal!$A:$A,HeadJournal!$A575,Journal!U:U)</f>
        <v>670</v>
      </c>
      <c r="P575" s="22">
        <f t="shared" si="67"/>
        <v>0.36612021857923499</v>
      </c>
      <c r="Q575" s="7" t="b">
        <f t="shared" si="71"/>
        <v>1</v>
      </c>
      <c r="R575" s="73">
        <f t="shared" si="68"/>
        <v>0</v>
      </c>
    </row>
    <row r="576" spans="1:18" x14ac:dyDescent="0.25">
      <c r="A576" s="12" t="s">
        <v>2599</v>
      </c>
      <c r="B576" s="12"/>
      <c r="C576" s="12" t="s">
        <v>1357</v>
      </c>
      <c r="D576" s="12" t="s">
        <v>714</v>
      </c>
      <c r="E576" s="12" t="s">
        <v>1477</v>
      </c>
      <c r="F576" s="12"/>
      <c r="G576" s="13">
        <v>45588</v>
      </c>
      <c r="H576" s="14">
        <v>1</v>
      </c>
      <c r="I576" s="14">
        <v>0</v>
      </c>
      <c r="J576" s="8">
        <f>SUMIF(Journal!$A:$A,HeadJournal!$A576,Journal!$K:$K)+SUMIF(Journal!$A:$A,HeadJournal!$A576,Journal!$L:$L)+SUMIF(Journal!$A:$A,HeadJournal!$A576,Journal!$M:$M)</f>
        <v>2976</v>
      </c>
      <c r="K576" s="14">
        <v>2976</v>
      </c>
      <c r="L576" s="14">
        <v>124</v>
      </c>
      <c r="M576" s="8">
        <f>SUMIF(Journal!$A:$A,HeadJournal!$A576,Journal!$P:$P)</f>
        <v>3100</v>
      </c>
      <c r="N576" s="8">
        <f>SUMIF(Journal!$A:$A,HeadJournal!$A576,Journal!Q:Q)</f>
        <v>4000</v>
      </c>
      <c r="O576" s="18">
        <f>SUMIF(Journal!$A:$A,HeadJournal!$A576,Journal!U:U)</f>
        <v>900</v>
      </c>
      <c r="P576" s="22">
        <f t="shared" si="67"/>
        <v>0.29032258064516131</v>
      </c>
      <c r="Q576" s="7" t="b">
        <f t="shared" si="71"/>
        <v>1</v>
      </c>
      <c r="R576" s="73">
        <f t="shared" si="68"/>
        <v>0.04</v>
      </c>
    </row>
    <row r="577" spans="1:18" x14ac:dyDescent="0.25">
      <c r="A577" s="12" t="s">
        <v>2602</v>
      </c>
      <c r="B577" s="12"/>
      <c r="C577" s="12" t="s">
        <v>1357</v>
      </c>
      <c r="D577" s="12" t="s">
        <v>714</v>
      </c>
      <c r="E577" s="12" t="s">
        <v>1477</v>
      </c>
      <c r="F577" s="12"/>
      <c r="G577" s="13">
        <v>45633</v>
      </c>
      <c r="H577" s="14">
        <v>1</v>
      </c>
      <c r="I577" s="14">
        <f>-2310</f>
        <v>-2310</v>
      </c>
      <c r="J577" s="8">
        <f>SUMIF(Journal!$A:$A,HeadJournal!$A577,Journal!$K:$K)+SUMIF(Journal!$A:$A,HeadJournal!$A577,Journal!$L:$L)+SUMIF(Journal!$A:$A,HeadJournal!$A577,Journal!$M:$M)</f>
        <v>3642</v>
      </c>
      <c r="K577" s="14">
        <v>3800</v>
      </c>
      <c r="L577" s="14">
        <v>0</v>
      </c>
      <c r="M577" s="8">
        <f>SUMIF(Journal!$A:$A,HeadJournal!$A577,Journal!$P:$P)</f>
        <v>3800</v>
      </c>
      <c r="N577" s="8">
        <f>SUMIF(Journal!$A:$A,HeadJournal!$A577,Journal!Q:Q)</f>
        <v>7900</v>
      </c>
      <c r="O577" s="18">
        <f>SUMIF(Journal!$A:$A,HeadJournal!$A577,Journal!U:U)</f>
        <v>4100</v>
      </c>
      <c r="P577" s="22">
        <f t="shared" si="67"/>
        <v>1.0789473684210527</v>
      </c>
      <c r="Q577" s="7" t="b">
        <f t="shared" si="71"/>
        <v>0</v>
      </c>
      <c r="R577" s="73">
        <f t="shared" si="68"/>
        <v>0</v>
      </c>
    </row>
    <row r="578" spans="1:18" x14ac:dyDescent="0.25">
      <c r="A578" s="12" t="s">
        <v>2603</v>
      </c>
      <c r="B578" s="12"/>
      <c r="C578" s="12" t="s">
        <v>1380</v>
      </c>
      <c r="D578" s="12" t="s">
        <v>714</v>
      </c>
      <c r="E578" s="12" t="s">
        <v>1477</v>
      </c>
      <c r="F578" s="12"/>
      <c r="G578" s="13">
        <v>45636</v>
      </c>
      <c r="H578" s="14">
        <v>1</v>
      </c>
      <c r="I578" s="14">
        <v>0</v>
      </c>
      <c r="J578" s="8">
        <f>SUMIF(Journal!$A:$A,HeadJournal!$A578,Journal!$K:$K)+SUMIF(Journal!$A:$A,HeadJournal!$A578,Journal!$L:$L)+SUMIF(Journal!$A:$A,HeadJournal!$A578,Journal!$M:$M)</f>
        <v>797</v>
      </c>
      <c r="K578" s="14">
        <v>797</v>
      </c>
      <c r="L578" s="14">
        <v>0</v>
      </c>
      <c r="M578" s="8">
        <f>SUMIF(Journal!$A:$A,HeadJournal!$A578,Journal!$P:$P)</f>
        <v>797</v>
      </c>
      <c r="N578" s="8">
        <f>SUMIF(Journal!$A:$A,HeadJournal!$A578,Journal!Q:Q)</f>
        <v>1100</v>
      </c>
      <c r="O578" s="18">
        <f>SUMIF(Journal!$A:$A,HeadJournal!$A578,Journal!U:U)</f>
        <v>303</v>
      </c>
      <c r="P578" s="22">
        <f t="shared" si="67"/>
        <v>0.38017565872020076</v>
      </c>
      <c r="Q578" s="7" t="b">
        <f t="shared" si="71"/>
        <v>1</v>
      </c>
      <c r="R578" s="73">
        <f t="shared" si="68"/>
        <v>0</v>
      </c>
    </row>
    <row r="579" spans="1:18" x14ac:dyDescent="0.25">
      <c r="A579" s="12" t="s">
        <v>2606</v>
      </c>
      <c r="B579" s="12"/>
      <c r="C579" s="12" t="s">
        <v>1380</v>
      </c>
      <c r="D579" s="12" t="s">
        <v>714</v>
      </c>
      <c r="E579" s="12" t="s">
        <v>1477</v>
      </c>
      <c r="F579" s="12"/>
      <c r="G579" s="13">
        <v>45628</v>
      </c>
      <c r="H579" s="14">
        <v>1</v>
      </c>
      <c r="I579" s="14">
        <v>0</v>
      </c>
      <c r="J579" s="8">
        <f>SUMIF(Journal!$A:$A,HeadJournal!$A579,Journal!$K:$K)+SUMIF(Journal!$A:$A,HeadJournal!$A579,Journal!$L:$L)+SUMIF(Journal!$A:$A,HeadJournal!$A579,Journal!$M:$M)</f>
        <v>1790</v>
      </c>
      <c r="K579" s="14">
        <v>1790</v>
      </c>
      <c r="L579" s="14">
        <v>0</v>
      </c>
      <c r="M579" s="8">
        <f>SUMIF(Journal!$A:$A,HeadJournal!$A579,Journal!$P:$P)</f>
        <v>1790</v>
      </c>
      <c r="N579" s="8">
        <f>SUMIF(Journal!$A:$A,HeadJournal!$A579,Journal!Q:Q)</f>
        <v>2500</v>
      </c>
      <c r="O579" s="18">
        <f>SUMIF(Journal!$A:$A,HeadJournal!$A579,Journal!U:U)</f>
        <v>710</v>
      </c>
      <c r="P579" s="22">
        <f t="shared" ref="P579:P642" si="72">IF(N579&lt;&gt;0,IFERROR(O579/M579,""),"")</f>
        <v>0.39664804469273746</v>
      </c>
      <c r="Q579" s="7" t="b">
        <f t="shared" si="71"/>
        <v>1</v>
      </c>
      <c r="R579" s="73">
        <f t="shared" ref="R579:R642" si="73">L579/M579</f>
        <v>0</v>
      </c>
    </row>
    <row r="580" spans="1:18" x14ac:dyDescent="0.25">
      <c r="A580" s="12" t="s">
        <v>2609</v>
      </c>
      <c r="B580" s="12"/>
      <c r="C580" s="12" t="s">
        <v>1380</v>
      </c>
      <c r="D580" s="12" t="s">
        <v>714</v>
      </c>
      <c r="E580" s="12" t="s">
        <v>1477</v>
      </c>
      <c r="F580" s="12"/>
      <c r="G580" s="13">
        <v>45637</v>
      </c>
      <c r="H580" s="14">
        <v>1</v>
      </c>
      <c r="I580" s="14">
        <v>0</v>
      </c>
      <c r="J580" s="8">
        <f>SUMIF(Journal!$A:$A,HeadJournal!$A580,Journal!$K:$K)+SUMIF(Journal!$A:$A,HeadJournal!$A580,Journal!$L:$L)+SUMIF(Journal!$A:$A,HeadJournal!$A580,Journal!$M:$M)</f>
        <v>1517</v>
      </c>
      <c r="K580" s="14">
        <v>1517</v>
      </c>
      <c r="L580" s="14">
        <v>0</v>
      </c>
      <c r="M580" s="8">
        <f>SUMIF(Journal!$A:$A,HeadJournal!$A580,Journal!$P:$P)</f>
        <v>1517</v>
      </c>
      <c r="N580" s="8">
        <f>SUMIF(Journal!$A:$A,HeadJournal!$A580,Journal!Q:Q)</f>
        <v>2000</v>
      </c>
      <c r="O580" s="18">
        <f>SUMIF(Journal!$A:$A,HeadJournal!$A580,Journal!U:U)</f>
        <v>483</v>
      </c>
      <c r="P580" s="22">
        <f t="shared" si="72"/>
        <v>0.31839156229400134</v>
      </c>
      <c r="Q580" s="7" t="b">
        <f t="shared" si="71"/>
        <v>1</v>
      </c>
      <c r="R580" s="73">
        <f t="shared" si="73"/>
        <v>0</v>
      </c>
    </row>
    <row r="581" spans="1:18" x14ac:dyDescent="0.25">
      <c r="A581" s="12" t="s">
        <v>2610</v>
      </c>
      <c r="B581" s="12"/>
      <c r="C581" s="12" t="s">
        <v>1380</v>
      </c>
      <c r="D581" s="12" t="s">
        <v>714</v>
      </c>
      <c r="E581" s="12" t="s">
        <v>1477</v>
      </c>
      <c r="F581" s="12"/>
      <c r="G581" s="13">
        <v>45638</v>
      </c>
      <c r="H581" s="14">
        <v>1</v>
      </c>
      <c r="I581" s="14">
        <v>0</v>
      </c>
      <c r="J581" s="8">
        <f>SUMIF(Journal!$A:$A,HeadJournal!$A581,Journal!$K:$K)+SUMIF(Journal!$A:$A,HeadJournal!$A581,Journal!$L:$L)+SUMIF(Journal!$A:$A,HeadJournal!$A581,Journal!$M:$M)</f>
        <v>1517</v>
      </c>
      <c r="K581" s="14">
        <v>1517</v>
      </c>
      <c r="L581" s="14">
        <v>0</v>
      </c>
      <c r="M581" s="8">
        <f>SUMIF(Journal!$A:$A,HeadJournal!$A581,Journal!$P:$P)</f>
        <v>1517</v>
      </c>
      <c r="N581" s="8">
        <f>SUMIF(Journal!$A:$A,HeadJournal!$A581,Journal!Q:Q)</f>
        <v>2000</v>
      </c>
      <c r="O581" s="18">
        <f>SUMIF(Journal!$A:$A,HeadJournal!$A581,Journal!U:U)</f>
        <v>483</v>
      </c>
      <c r="P581" s="22">
        <f t="shared" si="72"/>
        <v>0.31839156229400134</v>
      </c>
      <c r="Q581" s="7" t="b">
        <f t="shared" si="71"/>
        <v>1</v>
      </c>
      <c r="R581" s="73">
        <f t="shared" si="73"/>
        <v>0</v>
      </c>
    </row>
    <row r="582" spans="1:18" x14ac:dyDescent="0.25">
      <c r="A582" s="12" t="s">
        <v>2612</v>
      </c>
      <c r="B582" s="12"/>
      <c r="C582" s="12" t="s">
        <v>843</v>
      </c>
      <c r="D582" s="12" t="s">
        <v>714</v>
      </c>
      <c r="E582" s="12" t="s">
        <v>1477</v>
      </c>
      <c r="F582" s="12"/>
      <c r="G582" s="13">
        <v>45639</v>
      </c>
      <c r="H582" s="14">
        <v>1</v>
      </c>
      <c r="I582" s="14">
        <v>0</v>
      </c>
      <c r="J582" s="8">
        <f>SUMIF(Journal!$A:$A,HeadJournal!$A582,Journal!$K:$K)+SUMIF(Journal!$A:$A,HeadJournal!$A582,Journal!$L:$L)+SUMIF(Journal!$A:$A,HeadJournal!$A582,Journal!$M:$M)</f>
        <v>4488</v>
      </c>
      <c r="K582" s="14">
        <f>1122*4</f>
        <v>4488</v>
      </c>
      <c r="L582" s="14">
        <v>0</v>
      </c>
      <c r="M582" s="8">
        <f>SUMIF(Journal!$A:$A,HeadJournal!$A582,Journal!$P:$P)</f>
        <v>4488</v>
      </c>
      <c r="N582" s="8">
        <f>SUMIF(Journal!$A:$A,HeadJournal!$A582,Journal!Q:Q)</f>
        <v>6800</v>
      </c>
      <c r="O582" s="18">
        <f>SUMIF(Journal!$A:$A,HeadJournal!$A582,Journal!U:U)</f>
        <v>2312</v>
      </c>
      <c r="P582" s="22">
        <f t="shared" si="72"/>
        <v>0.51515151515151514</v>
      </c>
      <c r="Q582" s="7" t="b">
        <f t="shared" si="71"/>
        <v>1</v>
      </c>
      <c r="R582" s="73">
        <f t="shared" si="73"/>
        <v>0</v>
      </c>
    </row>
    <row r="583" spans="1:18" x14ac:dyDescent="0.25">
      <c r="A583" s="12" t="s">
        <v>2613</v>
      </c>
      <c r="B583" s="12"/>
      <c r="C583" s="12" t="s">
        <v>843</v>
      </c>
      <c r="D583" s="12" t="s">
        <v>714</v>
      </c>
      <c r="E583" s="12" t="s">
        <v>1477</v>
      </c>
      <c r="F583" s="12"/>
      <c r="G583" s="13">
        <v>45639</v>
      </c>
      <c r="H583" s="14">
        <v>1</v>
      </c>
      <c r="I583" s="14">
        <v>0</v>
      </c>
      <c r="J583" s="8">
        <f>SUMIF(Journal!$A:$A,HeadJournal!$A583,Journal!$K:$K)+SUMIF(Journal!$A:$A,HeadJournal!$A583,Journal!$L:$L)+SUMIF(Journal!$A:$A,HeadJournal!$A583,Journal!$M:$M)</f>
        <v>1044</v>
      </c>
      <c r="K583" s="14">
        <f>522*2</f>
        <v>1044</v>
      </c>
      <c r="L583" s="14">
        <v>0</v>
      </c>
      <c r="M583" s="8">
        <f>SUMIF(Journal!$A:$A,HeadJournal!$A583,Journal!$P:$P)</f>
        <v>1044</v>
      </c>
      <c r="N583" s="8">
        <f>SUMIF(Journal!$A:$A,HeadJournal!$A583,Journal!Q:Q)</f>
        <v>2200</v>
      </c>
      <c r="O583" s="18">
        <f>SUMIF(Journal!$A:$A,HeadJournal!$A583,Journal!U:U)</f>
        <v>1156</v>
      </c>
      <c r="P583" s="22">
        <f t="shared" si="72"/>
        <v>1.1072796934865901</v>
      </c>
      <c r="Q583" s="7" t="b">
        <f t="shared" si="71"/>
        <v>1</v>
      </c>
      <c r="R583" s="73">
        <f t="shared" si="73"/>
        <v>0</v>
      </c>
    </row>
    <row r="584" spans="1:18" x14ac:dyDescent="0.25">
      <c r="A584" s="12" t="s">
        <v>2637</v>
      </c>
      <c r="B584" s="124" t="s">
        <v>2638</v>
      </c>
      <c r="C584" s="12" t="s">
        <v>1752</v>
      </c>
      <c r="D584" s="12" t="s">
        <v>714</v>
      </c>
      <c r="E584" s="12" t="s">
        <v>1477</v>
      </c>
      <c r="F584" s="124" t="s">
        <v>2760</v>
      </c>
      <c r="G584" s="13">
        <v>45633</v>
      </c>
      <c r="H584" s="14">
        <f>23298.38/J584</f>
        <v>120.11950917714998</v>
      </c>
      <c r="I584" s="14">
        <v>0</v>
      </c>
      <c r="J584" s="8">
        <f>SUMIF(Journal!$A:$A,HeadJournal!$A584,Journal!$K:$K)+SUMIF(Journal!$A:$A,HeadJournal!$A584,Journal!$L:$L)+SUMIF(Journal!$A:$A,HeadJournal!$A584,Journal!$M:$M)</f>
        <v>193.95999999999992</v>
      </c>
      <c r="K584" s="14">
        <v>193.96</v>
      </c>
      <c r="L584" s="14">
        <f>(1662.96+1200)/4</f>
        <v>715.74</v>
      </c>
      <c r="M584" s="8">
        <f>SUMIF(Journal!$A:$A,HeadJournal!$A584,Journal!$P:$P)</f>
        <v>24014.120000000017</v>
      </c>
      <c r="N584" s="8">
        <f>SUMIF(Journal!$A:$A,HeadJournal!$A584,Journal!Q:Q)</f>
        <v>35608.57</v>
      </c>
      <c r="O584" s="18">
        <f>SUMIF(Journal!$A:$A,HeadJournal!$A584,Journal!U:U)</f>
        <v>11594.449999999981</v>
      </c>
      <c r="P584" s="22">
        <f t="shared" si="72"/>
        <v>0.48281802539505808</v>
      </c>
      <c r="Q584" s="7" t="b">
        <f t="shared" si="71"/>
        <v>1</v>
      </c>
      <c r="R584" s="73">
        <f t="shared" si="73"/>
        <v>2.9804964745741236E-2</v>
      </c>
    </row>
    <row r="585" spans="1:18" x14ac:dyDescent="0.25">
      <c r="A585" s="12" t="s">
        <v>2652</v>
      </c>
      <c r="B585" s="124" t="s">
        <v>2653</v>
      </c>
      <c r="C585" s="12" t="s">
        <v>1735</v>
      </c>
      <c r="D585" s="12" t="s">
        <v>714</v>
      </c>
      <c r="E585" s="12" t="s">
        <v>1477</v>
      </c>
      <c r="F585" s="124" t="s">
        <v>2759</v>
      </c>
      <c r="G585" s="13">
        <v>45624</v>
      </c>
      <c r="H585" s="14">
        <f>17424.69/J585</f>
        <v>116.14137172565484</v>
      </c>
      <c r="I585" s="14">
        <v>-19.77</v>
      </c>
      <c r="J585" s="8">
        <f>SUMIF(Journal!$A:$A,HeadJournal!$A585,Journal!$K:$K)+SUMIF(Journal!$A:$A,HeadJournal!$A585,Journal!$L:$L)+SUMIF(Journal!$A:$A,HeadJournal!$A585,Journal!$M:$M)</f>
        <v>150.03000000000003</v>
      </c>
      <c r="K585" s="14">
        <v>150.03</v>
      </c>
      <c r="L585" s="14">
        <f>(1589.16+1100)/3</f>
        <v>896.38666666666666</v>
      </c>
      <c r="M585" s="8">
        <f>SUMIF(Journal!$A:$A,HeadJournal!$A585,Journal!$P:$P)</f>
        <v>18321.076666666657</v>
      </c>
      <c r="N585" s="8">
        <f>SUMIF(Journal!$A:$A,HeadJournal!$A585,Journal!Q:Q)</f>
        <v>29400</v>
      </c>
      <c r="O585" s="18">
        <f>SUMIF(Journal!$A:$A,HeadJournal!$A585,Journal!U:U)</f>
        <v>11078.923333333341</v>
      </c>
      <c r="P585" s="22">
        <f t="shared" si="72"/>
        <v>0.60470918466764134</v>
      </c>
      <c r="R585" s="73">
        <f t="shared" si="73"/>
        <v>4.8926527789578622E-2</v>
      </c>
    </row>
    <row r="586" spans="1:18" x14ac:dyDescent="0.25">
      <c r="A586" s="12" t="s">
        <v>2667</v>
      </c>
      <c r="B586" s="124" t="s">
        <v>2668</v>
      </c>
      <c r="C586" s="12" t="s">
        <v>1735</v>
      </c>
      <c r="D586" s="12" t="s">
        <v>714</v>
      </c>
      <c r="E586" s="12" t="s">
        <v>1477</v>
      </c>
      <c r="F586" s="124" t="s">
        <v>2875</v>
      </c>
      <c r="G586" s="13">
        <v>45647</v>
      </c>
      <c r="H586" s="14">
        <f>21408.61/J586</f>
        <v>117.13415768452157</v>
      </c>
      <c r="I586" s="14">
        <v>-12.97</v>
      </c>
      <c r="J586" s="8">
        <f>SUMIF(Journal!$A:$A,HeadJournal!$A586,Journal!$K:$K)+SUMIF(Journal!$A:$A,HeadJournal!$A586,Journal!$L:$L)+SUMIF(Journal!$A:$A,HeadJournal!$A586,Journal!$M:$M)</f>
        <v>182.76999999999995</v>
      </c>
      <c r="K586" s="14">
        <v>182.77</v>
      </c>
      <c r="L586" s="14">
        <f>(700+1810.56)/3</f>
        <v>836.85333333333335</v>
      </c>
      <c r="M586" s="8">
        <f>SUMIF(Journal!$A:$A,HeadJournal!$A586,Journal!$P:$P)</f>
        <v>22245.463333333348</v>
      </c>
      <c r="N586" s="8">
        <f>SUMIF(Journal!$A:$A,HeadJournal!$A586,Journal!Q:Q)</f>
        <v>34170.130000000005</v>
      </c>
      <c r="O586" s="18">
        <f>SUMIF(Journal!$A:$A,HeadJournal!$A586,Journal!U:U)</f>
        <v>11924.666666666653</v>
      </c>
      <c r="P586" s="22">
        <f t="shared" si="72"/>
        <v>0.5360493727634944</v>
      </c>
      <c r="R586" s="73">
        <f t="shared" si="73"/>
        <v>3.7619056110167158E-2</v>
      </c>
    </row>
    <row r="587" spans="1:18" x14ac:dyDescent="0.25">
      <c r="A587" s="12" t="s">
        <v>2689</v>
      </c>
      <c r="B587" s="124" t="s">
        <v>2690</v>
      </c>
      <c r="C587" s="12" t="s">
        <v>1737</v>
      </c>
      <c r="D587" s="12" t="s">
        <v>714</v>
      </c>
      <c r="E587" s="12" t="s">
        <v>1477</v>
      </c>
      <c r="F587" s="124" t="s">
        <v>2759</v>
      </c>
      <c r="G587" s="13">
        <v>45628</v>
      </c>
      <c r="H587" s="14">
        <f>19145.33/J587</f>
        <v>122.83671243423589</v>
      </c>
      <c r="I587" s="14">
        <v>-13.79</v>
      </c>
      <c r="J587" s="8">
        <f>SUMIF(Journal!$A:$A,HeadJournal!$A587,Journal!$K:$K)+SUMIF(Journal!$A:$A,HeadJournal!$A587,Journal!$L:$L)+SUMIF(Journal!$A:$A,HeadJournal!$A587,Journal!$M:$M)</f>
        <v>155.85999999999996</v>
      </c>
      <c r="K587" s="14">
        <v>155.86000000000001</v>
      </c>
      <c r="L587" s="14">
        <f>(1589.16+1100)/3</f>
        <v>896.38666666666666</v>
      </c>
      <c r="M587" s="8">
        <f>SUMIF(Journal!$A:$A,HeadJournal!$A587,Journal!$P:$P)</f>
        <v>20041.716666666678</v>
      </c>
      <c r="N587" s="8">
        <f>SUMIF(Journal!$A:$A,HeadJournal!$A587,Journal!Q:Q)</f>
        <v>26793.91</v>
      </c>
      <c r="O587" s="18">
        <f>SUMIF(Journal!$A:$A,HeadJournal!$A587,Journal!U:U)</f>
        <v>6752.1933333333191</v>
      </c>
      <c r="P587" s="22">
        <f t="shared" si="72"/>
        <v>0.33690693495151275</v>
      </c>
      <c r="R587" s="73">
        <f t="shared" si="73"/>
        <v>4.4726042263511998E-2</v>
      </c>
    </row>
    <row r="588" spans="1:18" x14ac:dyDescent="0.25">
      <c r="A588" s="12" t="s">
        <v>2700</v>
      </c>
      <c r="B588" s="124" t="s">
        <v>2701</v>
      </c>
      <c r="C588" s="12" t="s">
        <v>1737</v>
      </c>
      <c r="D588" s="12" t="s">
        <v>714</v>
      </c>
      <c r="E588" s="12" t="s">
        <v>1477</v>
      </c>
      <c r="F588" s="124" t="s">
        <v>2760</v>
      </c>
      <c r="G588" s="13">
        <v>45636</v>
      </c>
      <c r="H588" s="14">
        <f>20717.68/J588</f>
        <v>115.2518914107699</v>
      </c>
      <c r="I588" s="14">
        <v>-9.9499999999999993</v>
      </c>
      <c r="J588" s="8">
        <f>SUMIF(Journal!$A:$A,HeadJournal!$A588,Journal!$K:$K)+SUMIF(Journal!$A:$A,HeadJournal!$A588,Journal!$L:$L)+SUMIF(Journal!$A:$A,HeadJournal!$A588,Journal!$M:$M)</f>
        <v>179.76000000000002</v>
      </c>
      <c r="K588" s="14">
        <v>179.76</v>
      </c>
      <c r="L588" s="14">
        <f>(1662.96+1200)/4</f>
        <v>715.74</v>
      </c>
      <c r="M588" s="8">
        <f>SUMIF(Journal!$A:$A,HeadJournal!$A588,Journal!$P:$P)</f>
        <v>21433.419999999995</v>
      </c>
      <c r="N588" s="8">
        <f>SUMIF(Journal!$A:$A,HeadJournal!$A588,Journal!Q:Q)</f>
        <v>30900</v>
      </c>
      <c r="O588" s="18">
        <f>SUMIF(Journal!$A:$A,HeadJournal!$A588,Journal!U:U)</f>
        <v>9466.5800000000054</v>
      </c>
      <c r="P588" s="22">
        <f t="shared" si="72"/>
        <v>0.44167379727547018</v>
      </c>
      <c r="R588" s="73">
        <f t="shared" si="73"/>
        <v>3.3393644131454535E-2</v>
      </c>
    </row>
    <row r="589" spans="1:18" x14ac:dyDescent="0.25">
      <c r="A589" s="12" t="s">
        <v>2721</v>
      </c>
      <c r="B589" s="124" t="s">
        <v>2701</v>
      </c>
      <c r="C589" s="12" t="s">
        <v>1737</v>
      </c>
      <c r="D589" s="12" t="s">
        <v>714</v>
      </c>
      <c r="E589" s="12" t="s">
        <v>1477</v>
      </c>
      <c r="F589" s="124" t="s">
        <v>2875</v>
      </c>
      <c r="G589" s="13">
        <v>45643</v>
      </c>
      <c r="H589" s="14">
        <f>20251.81/J589</f>
        <v>117.81843039152949</v>
      </c>
      <c r="I589" s="14">
        <v>-23.2</v>
      </c>
      <c r="J589" s="8">
        <f>SUMIF(Journal!$A:$A,HeadJournal!$A589,Journal!$K:$K)+SUMIF(Journal!$A:$A,HeadJournal!$A589,Journal!$L:$L)+SUMIF(Journal!$A:$A,HeadJournal!$A589,Journal!$M:$M)</f>
        <v>171.89</v>
      </c>
      <c r="K589" s="14">
        <v>171.89</v>
      </c>
      <c r="L589" s="14">
        <f>(700+1810.56)/3</f>
        <v>836.85333333333335</v>
      </c>
      <c r="M589" s="8">
        <f>SUMIF(Journal!$A:$A,HeadJournal!$A589,Journal!$P:$P)</f>
        <v>21088.66333333333</v>
      </c>
      <c r="N589" s="8">
        <f>SUMIF(Journal!$A:$A,HeadJournal!$A589,Journal!Q:Q)</f>
        <v>29501.47</v>
      </c>
      <c r="O589" s="18">
        <f>SUMIF(Journal!$A:$A,HeadJournal!$A589,Journal!U:U)</f>
        <v>8412.8066666666618</v>
      </c>
      <c r="P589" s="22">
        <f t="shared" si="72"/>
        <v>0.39892555225959458</v>
      </c>
      <c r="R589" s="73">
        <f t="shared" si="73"/>
        <v>3.9682616205009999E-2</v>
      </c>
    </row>
    <row r="590" spans="1:18" x14ac:dyDescent="0.25">
      <c r="A590" s="12" t="s">
        <v>2737</v>
      </c>
      <c r="B590" s="124" t="s">
        <v>2738</v>
      </c>
      <c r="C590" s="12" t="s">
        <v>1751</v>
      </c>
      <c r="D590" s="12" t="s">
        <v>714</v>
      </c>
      <c r="E590" s="12" t="s">
        <v>1477</v>
      </c>
      <c r="F590" s="124" t="s">
        <v>2760</v>
      </c>
      <c r="G590" s="13">
        <v>45630</v>
      </c>
      <c r="H590" s="14">
        <f>14886.52/J590</f>
        <v>122.48247490538098</v>
      </c>
      <c r="I590" s="14">
        <v>-7.15</v>
      </c>
      <c r="J590" s="8">
        <f>SUMIF(Journal!$A:$A,HeadJournal!$A590,Journal!$K:$K)+SUMIF(Journal!$A:$A,HeadJournal!$A590,Journal!$L:$L)+SUMIF(Journal!$A:$A,HeadJournal!$A590,Journal!$M:$M)</f>
        <v>121.53999999999996</v>
      </c>
      <c r="K590" s="14">
        <v>121.54</v>
      </c>
      <c r="L590" s="14">
        <f>(1662.96+1200)/4</f>
        <v>715.74</v>
      </c>
      <c r="M590" s="8">
        <f>SUMIF(Journal!$A:$A,HeadJournal!$A590,Journal!$P:$P)</f>
        <v>15602.260000000009</v>
      </c>
      <c r="N590" s="8">
        <f>SUMIF(Journal!$A:$A,HeadJournal!$A590,Journal!Q:Q)</f>
        <v>24088.73</v>
      </c>
      <c r="O590" s="18">
        <f>SUMIF(Journal!$A:$A,HeadJournal!$A590,Journal!U:U)</f>
        <v>8486.4699999999903</v>
      </c>
      <c r="P590" s="22">
        <f t="shared" si="72"/>
        <v>0.54392568768883387</v>
      </c>
      <c r="R590" s="73">
        <f t="shared" si="73"/>
        <v>4.5874123364179266E-2</v>
      </c>
    </row>
    <row r="591" spans="1:18" x14ac:dyDescent="0.25">
      <c r="A591" s="12" t="s">
        <v>2757</v>
      </c>
      <c r="B591" s="124" t="s">
        <v>2758</v>
      </c>
      <c r="C591" s="12" t="s">
        <v>1751</v>
      </c>
      <c r="D591" s="12" t="s">
        <v>714</v>
      </c>
      <c r="E591" s="12" t="s">
        <v>1477</v>
      </c>
      <c r="F591" s="124" t="s">
        <v>2760</v>
      </c>
      <c r="G591" s="13">
        <v>45637</v>
      </c>
      <c r="H591" s="14">
        <f>20397.93/J591</f>
        <v>115.66075073712859</v>
      </c>
      <c r="I591" s="14">
        <v>-16.510000000000002</v>
      </c>
      <c r="J591" s="8">
        <f>SUMIF(Journal!$A:$A,HeadJournal!$A591,Journal!$K:$K)+SUMIF(Journal!$A:$A,HeadJournal!$A591,Journal!$L:$L)+SUMIF(Journal!$A:$A,HeadJournal!$A591,Journal!$M:$M)</f>
        <v>176.36</v>
      </c>
      <c r="K591" s="14">
        <v>176.36</v>
      </c>
      <c r="L591" s="14">
        <f>(1662.96+1200)/4</f>
        <v>715.74</v>
      </c>
      <c r="M591" s="8">
        <f>SUMIF(Journal!$A:$A,HeadJournal!$A591,Journal!$P:$P)</f>
        <v>21113.67</v>
      </c>
      <c r="N591" s="8">
        <f>SUMIF(Journal!$A:$A,HeadJournal!$A591,Journal!Q:Q)</f>
        <v>31760.15</v>
      </c>
      <c r="O591" s="18">
        <f>SUMIF(Journal!$A:$A,HeadJournal!$A591,Journal!U:U)</f>
        <v>10646.480000000001</v>
      </c>
      <c r="P591" s="22">
        <f t="shared" si="72"/>
        <v>0.50424582746628144</v>
      </c>
      <c r="R591" s="73">
        <f t="shared" si="73"/>
        <v>3.3899364724370516E-2</v>
      </c>
    </row>
    <row r="592" spans="1:18" x14ac:dyDescent="0.25">
      <c r="A592" s="12" t="s">
        <v>2762</v>
      </c>
      <c r="B592" s="12"/>
      <c r="C592" s="12" t="s">
        <v>1328</v>
      </c>
      <c r="D592" s="12" t="s">
        <v>714</v>
      </c>
      <c r="E592" s="12" t="s">
        <v>1477</v>
      </c>
      <c r="F592" s="12"/>
      <c r="G592" s="13">
        <v>45637</v>
      </c>
      <c r="H592" s="14">
        <v>1</v>
      </c>
      <c r="I592" s="14">
        <v>0</v>
      </c>
      <c r="J592" s="8">
        <f>SUMIF(Journal!$A:$A,HeadJournal!$A592,Journal!$K:$K)+SUMIF(Journal!$A:$A,HeadJournal!$A592,Journal!$L:$L)+SUMIF(Journal!$A:$A,HeadJournal!$A592,Journal!$M:$M)</f>
        <v>4210</v>
      </c>
      <c r="K592" s="14">
        <v>4210</v>
      </c>
      <c r="L592" s="14">
        <v>0</v>
      </c>
      <c r="M592" s="8">
        <f>SUMIF(Journal!$A:$A,HeadJournal!$A592,Journal!$P:$P)</f>
        <v>4210</v>
      </c>
      <c r="N592" s="8">
        <f>SUMIF(Journal!$A:$A,HeadJournal!$A592,Journal!Q:Q)</f>
        <v>5800</v>
      </c>
      <c r="O592" s="18">
        <f>SUMIF(Journal!$A:$A,HeadJournal!$A592,Journal!U:U)</f>
        <v>1590</v>
      </c>
      <c r="P592" s="22">
        <f t="shared" si="72"/>
        <v>0.37767220902612825</v>
      </c>
      <c r="Q592" s="7" t="b">
        <f>J592=K592</f>
        <v>1</v>
      </c>
      <c r="R592" s="73">
        <f t="shared" si="73"/>
        <v>0</v>
      </c>
    </row>
    <row r="593" spans="1:18" x14ac:dyDescent="0.25">
      <c r="A593" s="159" t="s">
        <v>2763</v>
      </c>
      <c r="B593" s="12" t="s">
        <v>2769</v>
      </c>
      <c r="C593" s="12" t="s">
        <v>1501</v>
      </c>
      <c r="D593" s="12" t="s">
        <v>714</v>
      </c>
      <c r="E593" s="12" t="s">
        <v>1477</v>
      </c>
      <c r="F593" s="12"/>
      <c r="G593" s="13">
        <v>45636</v>
      </c>
      <c r="H593" s="14">
        <v>1</v>
      </c>
      <c r="I593" s="14">
        <v>0</v>
      </c>
      <c r="J593" s="8">
        <f>SUMIF(Journal!$A:$A,HeadJournal!$A593,Journal!$K:$K)+SUMIF(Journal!$A:$A,HeadJournal!$A593,Journal!$L:$L)+SUMIF(Journal!$A:$A,HeadJournal!$A593,Journal!$M:$M)</f>
        <v>7590</v>
      </c>
      <c r="K593" s="14">
        <f>6942-77-540</f>
        <v>6325</v>
      </c>
      <c r="L593" s="14">
        <f>77+540</f>
        <v>617</v>
      </c>
      <c r="M593" s="8">
        <f>SUMIF(Journal!$A:$A,HeadJournal!$A593,Journal!$P:$P)</f>
        <v>6942</v>
      </c>
      <c r="N593" s="8">
        <f>SUMIF(Journal!$A:$A,HeadJournal!$A593,Journal!Q:Q)</f>
        <v>4400</v>
      </c>
      <c r="O593" s="18">
        <f>SUMIF(Journal!$A:$A,HeadJournal!$A593,Journal!U:U)</f>
        <v>-2542</v>
      </c>
      <c r="P593" s="22">
        <f t="shared" si="72"/>
        <v>-0.3661768942667819</v>
      </c>
      <c r="Q593" s="7" t="b">
        <f>J593=K593</f>
        <v>0</v>
      </c>
      <c r="R593" s="73">
        <f t="shared" si="73"/>
        <v>8.8879285508498995E-2</v>
      </c>
    </row>
    <row r="594" spans="1:18" x14ac:dyDescent="0.25">
      <c r="A594" s="12" t="s">
        <v>2770</v>
      </c>
      <c r="B594" s="12"/>
      <c r="C594" s="12" t="s">
        <v>1461</v>
      </c>
      <c r="D594" s="12" t="s">
        <v>714</v>
      </c>
      <c r="E594" s="12" t="s">
        <v>1477</v>
      </c>
      <c r="F594" s="12"/>
      <c r="G594" s="13">
        <v>45625</v>
      </c>
      <c r="H594" s="14">
        <v>1</v>
      </c>
      <c r="I594" s="14">
        <v>0</v>
      </c>
      <c r="J594" s="8">
        <f>SUMIF(Journal!$A:$A,HeadJournal!$A594,Journal!$K:$K)+SUMIF(Journal!$A:$A,HeadJournal!$A594,Journal!$L:$L)+SUMIF(Journal!$A:$A,HeadJournal!$A594,Journal!$M:$M)</f>
        <v>1530</v>
      </c>
      <c r="K594" s="14">
        <v>1550</v>
      </c>
      <c r="L594" s="14">
        <v>0</v>
      </c>
      <c r="M594" s="8">
        <f>SUMIF(Journal!$A:$A,HeadJournal!$A594,Journal!$P:$P)</f>
        <v>1550</v>
      </c>
      <c r="N594" s="8">
        <f>SUMIF(Journal!$A:$A,HeadJournal!$A594,Journal!Q:Q)</f>
        <v>3200</v>
      </c>
      <c r="O594" s="18">
        <f>SUMIF(Journal!$A:$A,HeadJournal!$A594,Journal!U:U)</f>
        <v>1650</v>
      </c>
      <c r="P594" s="22">
        <f t="shared" si="72"/>
        <v>1.064516129032258</v>
      </c>
      <c r="Q594" s="7" t="b">
        <f>J594=K594</f>
        <v>0</v>
      </c>
      <c r="R594" s="73">
        <f t="shared" si="73"/>
        <v>0</v>
      </c>
    </row>
    <row r="595" spans="1:18" x14ac:dyDescent="0.25">
      <c r="A595" s="12" t="s">
        <v>2786</v>
      </c>
      <c r="B595" s="124" t="s">
        <v>2787</v>
      </c>
      <c r="C595" s="12" t="s">
        <v>1751</v>
      </c>
      <c r="D595" s="12" t="s">
        <v>714</v>
      </c>
      <c r="E595" s="12" t="s">
        <v>1477</v>
      </c>
      <c r="F595" s="124" t="s">
        <v>2874</v>
      </c>
      <c r="G595" s="13">
        <v>45659</v>
      </c>
      <c r="H595" s="14">
        <f>18707.17/J595</f>
        <v>122.26109404614073</v>
      </c>
      <c r="I595" s="14">
        <v>-10</v>
      </c>
      <c r="J595" s="8">
        <f>SUMIF(Journal!$A:$A,HeadJournal!$A595,Journal!$K:$K)+SUMIF(Journal!$A:$A,HeadJournal!$A595,Journal!$L:$L)+SUMIF(Journal!$A:$A,HeadJournal!$A595,Journal!$M:$M)</f>
        <v>153.01000000000005</v>
      </c>
      <c r="K595" s="14">
        <v>153.01</v>
      </c>
      <c r="L595" s="14">
        <f>(1589.16+1100)/3</f>
        <v>896.38666666666666</v>
      </c>
      <c r="M595" s="8">
        <f>SUMIF(Journal!$A:$A,HeadJournal!$A595,Journal!$P:$P)</f>
        <v>19603.556666666656</v>
      </c>
      <c r="N595" s="8">
        <f>SUMIF(Journal!$A:$A,HeadJournal!$A595,Journal!Q:Q)</f>
        <v>17300</v>
      </c>
      <c r="O595" s="18">
        <f>SUMIF(Journal!$A:$A,HeadJournal!$A595,Journal!U:U)</f>
        <v>-2303.5566666666537</v>
      </c>
      <c r="P595" s="22">
        <f t="shared" si="72"/>
        <v>-0.1175070782223696</v>
      </c>
      <c r="R595" s="73">
        <f t="shared" si="73"/>
        <v>4.572571609879638E-2</v>
      </c>
    </row>
    <row r="596" spans="1:18" x14ac:dyDescent="0.25">
      <c r="A596" s="12" t="s">
        <v>2802</v>
      </c>
      <c r="B596" s="124" t="s">
        <v>2803</v>
      </c>
      <c r="C596" s="12" t="s">
        <v>1751</v>
      </c>
      <c r="D596" s="12" t="s">
        <v>714</v>
      </c>
      <c r="E596" s="12" t="s">
        <v>1475</v>
      </c>
      <c r="F596" s="12" t="s">
        <v>2939</v>
      </c>
      <c r="G596" s="13">
        <v>45670</v>
      </c>
      <c r="H596" s="14">
        <f>20184.82/J596</f>
        <v>117.46970843275329</v>
      </c>
      <c r="I596" s="14">
        <v>-15.4</v>
      </c>
      <c r="J596" s="8">
        <f>SUMIF(Journal!$A:$A,HeadJournal!$A596,Journal!$K:$K)+SUMIF(Journal!$A:$A,HeadJournal!$A596,Journal!$L:$L)+SUMIF(Journal!$A:$A,HeadJournal!$A596,Journal!$M:$M)</f>
        <v>171.83</v>
      </c>
      <c r="K596" s="14">
        <v>171.83</v>
      </c>
      <c r="L596" s="14">
        <f>(1900+1595)/3</f>
        <v>1165</v>
      </c>
      <c r="M596" s="8">
        <f>SUMIF(Journal!$A:$A,HeadJournal!$A596,Journal!$P:$P)</f>
        <v>21349.819999999992</v>
      </c>
      <c r="N596" s="8">
        <f>SUMIF(Journal!$A:$A,HeadJournal!$A596,Journal!Q:Q)</f>
        <v>31550</v>
      </c>
      <c r="O596" s="18">
        <f>SUMIF(Journal!$A:$A,HeadJournal!$A596,Journal!U:U)</f>
        <v>10200.180000000002</v>
      </c>
      <c r="P596" s="22">
        <f t="shared" si="72"/>
        <v>0.47776421534233104</v>
      </c>
      <c r="R596" s="73">
        <f t="shared" si="73"/>
        <v>5.4567204782054388E-2</v>
      </c>
    </row>
    <row r="597" spans="1:18" x14ac:dyDescent="0.25">
      <c r="A597" s="12" t="s">
        <v>2817</v>
      </c>
      <c r="B597" s="124" t="s">
        <v>2818</v>
      </c>
      <c r="C597" s="12" t="s">
        <v>1735</v>
      </c>
      <c r="D597" s="12" t="s">
        <v>714</v>
      </c>
      <c r="E597" s="12" t="s">
        <v>1477</v>
      </c>
      <c r="F597" s="124" t="s">
        <v>2874</v>
      </c>
      <c r="G597" s="13">
        <v>45656</v>
      </c>
      <c r="H597" s="14">
        <f>21315.68/J597</f>
        <v>116.64485060742038</v>
      </c>
      <c r="I597" s="14">
        <v>-6</v>
      </c>
      <c r="J597" s="8">
        <f>SUMIF(Journal!$A:$A,HeadJournal!$A597,Journal!$K:$K)+SUMIF(Journal!$A:$A,HeadJournal!$A597,Journal!$L:$L)+SUMIF(Journal!$A:$A,HeadJournal!$A597,Journal!$M:$M)</f>
        <v>182.74</v>
      </c>
      <c r="K597" s="14">
        <v>182.74</v>
      </c>
      <c r="L597" s="14">
        <f>(1589.16+1100)/3</f>
        <v>896.38666666666666</v>
      </c>
      <c r="M597" s="8">
        <f>SUMIF(Journal!$A:$A,HeadJournal!$A597,Journal!$P:$P)</f>
        <v>22212.066666666669</v>
      </c>
      <c r="N597" s="8">
        <f>SUMIF(Journal!$A:$A,HeadJournal!$A597,Journal!Q:Q)</f>
        <v>28700</v>
      </c>
      <c r="O597" s="18">
        <f>SUMIF(Journal!$A:$A,HeadJournal!$A597,Journal!U:U)</f>
        <v>6487.9333333333307</v>
      </c>
      <c r="P597" s="22">
        <f t="shared" si="72"/>
        <v>0.2920904853518056</v>
      </c>
      <c r="R597" s="73">
        <f t="shared" si="73"/>
        <v>4.0355842620077367E-2</v>
      </c>
    </row>
    <row r="598" spans="1:18" x14ac:dyDescent="0.25">
      <c r="A598" s="12" t="s">
        <v>2834</v>
      </c>
      <c r="B598" s="124" t="s">
        <v>2835</v>
      </c>
      <c r="C598" s="12" t="s">
        <v>1737</v>
      </c>
      <c r="D598" s="12" t="s">
        <v>714</v>
      </c>
      <c r="E598" s="12" t="s">
        <v>1475</v>
      </c>
      <c r="F598" s="12" t="s">
        <v>2939</v>
      </c>
      <c r="G598" s="13">
        <v>45665</v>
      </c>
      <c r="H598" s="14">
        <f>21267.56/J598</f>
        <v>125.11065356785693</v>
      </c>
      <c r="I598" s="14">
        <v>0</v>
      </c>
      <c r="J598" s="8">
        <f>SUMIF(Journal!$A:$A,HeadJournal!$A598,Journal!$K:$K)+SUMIF(Journal!$A:$A,HeadJournal!$A598,Journal!$L:$L)+SUMIF(Journal!$A:$A,HeadJournal!$A598,Journal!$M:$M)</f>
        <v>169.99</v>
      </c>
      <c r="K598" s="14">
        <v>169.99</v>
      </c>
      <c r="L598" s="14">
        <f>(1900+1595)/3</f>
        <v>1165</v>
      </c>
      <c r="M598" s="8">
        <f>SUMIF(Journal!$A:$A,HeadJournal!$A598,Journal!$P:$P)</f>
        <v>22432.559999999998</v>
      </c>
      <c r="N598" s="8">
        <f>SUMIF(Journal!$A:$A,HeadJournal!$A598,Journal!Q:Q)</f>
        <v>26250</v>
      </c>
      <c r="O598" s="18">
        <f>SUMIF(Journal!$A:$A,HeadJournal!$A598,Journal!U:U)</f>
        <v>3817.4400000000014</v>
      </c>
      <c r="P598" s="22">
        <f t="shared" si="72"/>
        <v>0.17017406840770746</v>
      </c>
      <c r="R598" s="73">
        <f t="shared" si="73"/>
        <v>5.193343960742778E-2</v>
      </c>
    </row>
    <row r="599" spans="1:18" x14ac:dyDescent="0.25">
      <c r="A599" s="12" t="s">
        <v>2849</v>
      </c>
      <c r="B599" s="124" t="s">
        <v>2850</v>
      </c>
      <c r="C599" s="12" t="s">
        <v>1737</v>
      </c>
      <c r="D599" s="12" t="s">
        <v>714</v>
      </c>
      <c r="E599" s="12" t="s">
        <v>1475</v>
      </c>
      <c r="F599" s="12" t="s">
        <v>2939</v>
      </c>
      <c r="G599" s="13">
        <v>45675</v>
      </c>
      <c r="H599" s="14">
        <f>20977.6/J599</f>
        <v>117.48207885304662</v>
      </c>
      <c r="I599" s="14">
        <v>-16.3</v>
      </c>
      <c r="J599" s="8">
        <f>SUMIF(Journal!$A:$A,HeadJournal!$A599,Journal!$K:$K)+SUMIF(Journal!$A:$A,HeadJournal!$A599,Journal!$L:$L)+SUMIF(Journal!$A:$A,HeadJournal!$A599,Journal!$M:$M)</f>
        <v>178.55999999999995</v>
      </c>
      <c r="K599" s="14">
        <v>178.56</v>
      </c>
      <c r="L599" s="14">
        <f>(1900+1595)/3</f>
        <v>1165</v>
      </c>
      <c r="M599" s="8">
        <f>SUMIF(Journal!$A:$A,HeadJournal!$A599,Journal!$P:$P)</f>
        <v>22142.600000000009</v>
      </c>
      <c r="N599" s="8">
        <f>SUMIF(Journal!$A:$A,HeadJournal!$A599,Journal!Q:Q)</f>
        <v>27550</v>
      </c>
      <c r="O599" s="18">
        <f>SUMIF(Journal!$A:$A,HeadJournal!$A599,Journal!U:U)</f>
        <v>5407.3999999999915</v>
      </c>
      <c r="P599" s="22">
        <f t="shared" si="72"/>
        <v>0.24420799725416117</v>
      </c>
      <c r="R599" s="73">
        <f t="shared" si="73"/>
        <v>5.2613514221455451E-2</v>
      </c>
    </row>
    <row r="600" spans="1:18" x14ac:dyDescent="0.25">
      <c r="A600" s="12" t="s">
        <v>2861</v>
      </c>
      <c r="B600" s="124" t="s">
        <v>2862</v>
      </c>
      <c r="C600" s="12" t="s">
        <v>1752</v>
      </c>
      <c r="D600" s="12" t="s">
        <v>714</v>
      </c>
      <c r="E600" s="12" t="s">
        <v>1477</v>
      </c>
      <c r="F600" s="124" t="s">
        <v>2875</v>
      </c>
      <c r="G600" s="13">
        <v>45652</v>
      </c>
      <c r="H600" s="14">
        <f>21171.64/J600</f>
        <v>116.66743814404586</v>
      </c>
      <c r="I600" s="14">
        <v>-14.91</v>
      </c>
      <c r="J600" s="8">
        <f>SUMIF(Journal!$A:$A,HeadJournal!$A600,Journal!$K:$K)+SUMIF(Journal!$A:$A,HeadJournal!$A600,Journal!$L:$L)+SUMIF(Journal!$A:$A,HeadJournal!$A600,Journal!$M:$M)</f>
        <v>181.46999999999997</v>
      </c>
      <c r="K600" s="14">
        <v>181.47</v>
      </c>
      <c r="L600" s="14">
        <f>(700+1810.56)/3</f>
        <v>836.85333333333335</v>
      </c>
      <c r="M600" s="8">
        <f>SUMIF(Journal!$A:$A,HeadJournal!$A600,Journal!$P:$P)</f>
        <v>22008.493333333339</v>
      </c>
      <c r="N600" s="8">
        <f>SUMIF(Journal!$A:$A,HeadJournal!$A600,Journal!Q:Q)</f>
        <v>24200</v>
      </c>
      <c r="O600" s="18">
        <f>SUMIF(Journal!$A:$A,HeadJournal!$A600,Journal!U:U)</f>
        <v>2191.5066666666617</v>
      </c>
      <c r="P600" s="22">
        <f t="shared" si="72"/>
        <v>9.9575497217134712E-2</v>
      </c>
      <c r="Q600" s="7" t="b">
        <f>J600=K600</f>
        <v>1</v>
      </c>
      <c r="R600" s="73">
        <f t="shared" si="73"/>
        <v>3.8024108268504817E-2</v>
      </c>
    </row>
    <row r="601" spans="1:18" x14ac:dyDescent="0.25">
      <c r="A601" s="12" t="s">
        <v>2872</v>
      </c>
      <c r="B601" s="124" t="s">
        <v>2873</v>
      </c>
      <c r="C601" s="12" t="s">
        <v>1752</v>
      </c>
      <c r="D601" s="12" t="s">
        <v>714</v>
      </c>
      <c r="E601" s="12" t="s">
        <v>1477</v>
      </c>
      <c r="F601" s="124" t="s">
        <v>2874</v>
      </c>
      <c r="G601" s="13">
        <v>45662</v>
      </c>
      <c r="H601" s="14">
        <f>24294.72/194.17</f>
        <v>125.12087346139982</v>
      </c>
      <c r="I601" s="14">
        <v>0</v>
      </c>
      <c r="J601" s="8">
        <f>SUMIF(Journal!$A:$A,HeadJournal!$A601,Journal!$K:$K)+SUMIF(Journal!$A:$A,HeadJournal!$A601,Journal!$L:$L)+SUMIF(Journal!$A:$A,HeadJournal!$A601,Journal!$M:$M)</f>
        <v>194.16999999999996</v>
      </c>
      <c r="K601" s="14">
        <v>194.17</v>
      </c>
      <c r="L601" s="14">
        <f>(1589.16+1100)/3</f>
        <v>896.38666666666666</v>
      </c>
      <c r="M601" s="8">
        <f>SUMIF(Journal!$A:$A,HeadJournal!$A601,Journal!$P:$P)</f>
        <v>25191.106666666677</v>
      </c>
      <c r="N601" s="8">
        <f>SUMIF(Journal!$A:$A,HeadJournal!$A601,Journal!Q:Q)</f>
        <v>32040.899999999998</v>
      </c>
      <c r="O601" s="18">
        <f>SUMIF(Journal!$A:$A,HeadJournal!$A601,Journal!U:U)</f>
        <v>6849.7933333333258</v>
      </c>
      <c r="P601" s="22">
        <f t="shared" si="72"/>
        <v>0.27191315665369692</v>
      </c>
      <c r="Q601" s="7" t="b">
        <f>J601=K601</f>
        <v>1</v>
      </c>
      <c r="R601" s="73">
        <f t="shared" si="73"/>
        <v>3.5583457230673451E-2</v>
      </c>
    </row>
    <row r="602" spans="1:18" x14ac:dyDescent="0.25">
      <c r="A602" s="12" t="s">
        <v>2882</v>
      </c>
      <c r="B602" s="124" t="s">
        <v>2883</v>
      </c>
      <c r="C602" s="12" t="s">
        <v>1751</v>
      </c>
      <c r="D602" s="12" t="s">
        <v>714</v>
      </c>
      <c r="E602" s="12" t="s">
        <v>1477</v>
      </c>
      <c r="F602" s="12" t="s">
        <v>2940</v>
      </c>
      <c r="G602" s="13">
        <v>45687</v>
      </c>
      <c r="H602" s="14">
        <f>18793.27/J602</f>
        <v>112.9471122062624</v>
      </c>
      <c r="I602" s="14">
        <v>-25.29</v>
      </c>
      <c r="J602" s="8">
        <f>SUMIF(Journal!$A:$A,HeadJournal!$A602,Journal!$K:$K)+SUMIF(Journal!$A:$A,HeadJournal!$A602,Journal!$L:$L)+SUMIF(Journal!$A:$A,HeadJournal!$A602,Journal!$M:$M)</f>
        <v>166.39</v>
      </c>
      <c r="K602" s="14">
        <v>166.39</v>
      </c>
      <c r="L602" s="14">
        <f>(820+1400)/3</f>
        <v>740</v>
      </c>
      <c r="M602" s="8">
        <f>SUMIF(Journal!$A:$A,HeadJournal!$A602,Journal!$P:$P)</f>
        <v>19533.270000000004</v>
      </c>
      <c r="N602" s="8">
        <f>SUMIF(Journal!$A:$A,HeadJournal!$A602,Journal!Q:Q)</f>
        <v>26300</v>
      </c>
      <c r="O602" s="18">
        <f>SUMIF(Journal!$A:$A,HeadJournal!$A602,Journal!U:U)</f>
        <v>6766.7299999999977</v>
      </c>
      <c r="P602" s="22">
        <f t="shared" si="72"/>
        <v>0.34642074778058135</v>
      </c>
      <c r="R602" s="73">
        <f t="shared" si="73"/>
        <v>3.7884081876715978E-2</v>
      </c>
    </row>
    <row r="603" spans="1:18" x14ac:dyDescent="0.25">
      <c r="A603" s="12" t="s">
        <v>2893</v>
      </c>
      <c r="B603" s="124" t="s">
        <v>2894</v>
      </c>
      <c r="C603" s="12" t="s">
        <v>1751</v>
      </c>
      <c r="D603" s="12" t="s">
        <v>714</v>
      </c>
      <c r="E603" s="12" t="s">
        <v>1477</v>
      </c>
      <c r="F603" s="12" t="s">
        <v>2940</v>
      </c>
      <c r="G603" s="13">
        <v>45693</v>
      </c>
      <c r="H603" s="14">
        <f>20709.51/K603</f>
        <v>111.94934861343854</v>
      </c>
      <c r="I603" s="14">
        <v>-9.7100000000000009</v>
      </c>
      <c r="J603" s="8">
        <f>SUMIF(Journal!$A:$A,HeadJournal!$A603,Journal!$K:$K)+SUMIF(Journal!$A:$A,HeadJournal!$A603,Journal!$L:$L)+SUMIF(Journal!$A:$A,HeadJournal!$A603,Journal!$M:$M)</f>
        <v>184.99</v>
      </c>
      <c r="K603" s="14">
        <v>184.99</v>
      </c>
      <c r="L603" s="14">
        <f>(820+1400)/3</f>
        <v>740</v>
      </c>
      <c r="M603" s="8">
        <f>SUMIF(Journal!$A:$A,HeadJournal!$A603,Journal!$P:$P)</f>
        <v>21449.510000000002</v>
      </c>
      <c r="N603" s="8">
        <f>SUMIF(Journal!$A:$A,HeadJournal!$A603,Journal!Q:Q)</f>
        <v>29426.41</v>
      </c>
      <c r="O603" s="18">
        <f>SUMIF(Journal!$A:$A,HeadJournal!$A603,Journal!U:U)</f>
        <v>7976.9000000000033</v>
      </c>
      <c r="P603" s="22">
        <f t="shared" si="72"/>
        <v>0.37189194531716585</v>
      </c>
      <c r="R603" s="73">
        <f t="shared" si="73"/>
        <v>3.4499622602101397E-2</v>
      </c>
    </row>
    <row r="604" spans="1:18" x14ac:dyDescent="0.25">
      <c r="A604" s="12" t="s">
        <v>2901</v>
      </c>
      <c r="B604" s="124" t="s">
        <v>2902</v>
      </c>
      <c r="C604" s="12" t="s">
        <v>1751</v>
      </c>
      <c r="D604" s="12" t="s">
        <v>714</v>
      </c>
      <c r="E604" s="12" t="s">
        <v>1477</v>
      </c>
      <c r="F604" s="12" t="s">
        <v>2941</v>
      </c>
      <c r="G604" s="13">
        <v>45701</v>
      </c>
      <c r="H604" s="14">
        <f>16730.69/J604</f>
        <v>111.24868674778908</v>
      </c>
      <c r="I604" s="14">
        <v>-8.5</v>
      </c>
      <c r="J604" s="8">
        <f>SUMIF(Journal!$A:$A,HeadJournal!$A604,Journal!$K:$K)+SUMIF(Journal!$A:$A,HeadJournal!$A604,Journal!$L:$L)+SUMIF(Journal!$A:$A,HeadJournal!$A604,Journal!$M:$M)</f>
        <v>150.38999999999999</v>
      </c>
      <c r="K604" s="14">
        <v>150.38999999999999</v>
      </c>
      <c r="L604" s="14">
        <f>(1200+1595)/3</f>
        <v>931.66666666666663</v>
      </c>
      <c r="M604" s="8">
        <f>SUMIF(Journal!$A:$A,HeadJournal!$A604,Journal!$P:$P)</f>
        <v>17662.356666666667</v>
      </c>
      <c r="N604" s="8">
        <f>SUMIF(Journal!$A:$A,HeadJournal!$A604,Journal!Q:Q)</f>
        <v>28200</v>
      </c>
      <c r="O604" s="18">
        <f>SUMIF(Journal!$A:$A,HeadJournal!$A604,Journal!U:U)</f>
        <v>10537.643333333335</v>
      </c>
      <c r="P604" s="22">
        <f t="shared" si="72"/>
        <v>0.59661592913139005</v>
      </c>
      <c r="R604" s="73">
        <f t="shared" si="73"/>
        <v>5.2748717753217905E-2</v>
      </c>
    </row>
    <row r="605" spans="1:18" x14ac:dyDescent="0.25">
      <c r="A605" s="12" t="s">
        <v>2905</v>
      </c>
      <c r="B605" s="124" t="s">
        <v>2906</v>
      </c>
      <c r="C605" s="12" t="s">
        <v>1735</v>
      </c>
      <c r="D605" s="12" t="s">
        <v>714</v>
      </c>
      <c r="E605" s="12" t="s">
        <v>1477</v>
      </c>
      <c r="F605" s="12" t="s">
        <v>2941</v>
      </c>
      <c r="G605" s="13">
        <v>45693</v>
      </c>
      <c r="H605" s="14">
        <f>20557.41/J605</f>
        <v>111.96846405228757</v>
      </c>
      <c r="I605" s="14">
        <v>-9.82</v>
      </c>
      <c r="J605" s="8">
        <f>SUMIF(Journal!$A:$A,HeadJournal!$A605,Journal!$K:$K)+SUMIF(Journal!$A:$A,HeadJournal!$A605,Journal!$L:$L)+SUMIF(Journal!$A:$A,HeadJournal!$A605,Journal!$M:$M)</f>
        <v>183.60000000000002</v>
      </c>
      <c r="K605" s="14">
        <v>183.6</v>
      </c>
      <c r="L605" s="14">
        <f>(1200+1595)/3</f>
        <v>931.66666666666663</v>
      </c>
      <c r="M605" s="8">
        <f>SUMIF(Journal!$A:$A,HeadJournal!$A605,Journal!$P:$P)</f>
        <v>21489.07666666666</v>
      </c>
      <c r="N605" s="8">
        <f>SUMIF(Journal!$A:$A,HeadJournal!$A605,Journal!Q:Q)</f>
        <v>32800</v>
      </c>
      <c r="O605" s="18">
        <f>SUMIF(Journal!$A:$A,HeadJournal!$A605,Journal!U:U)</f>
        <v>11310.923333333338</v>
      </c>
      <c r="P605" s="22">
        <f t="shared" si="72"/>
        <v>0.52635687930131358</v>
      </c>
      <c r="R605" s="73">
        <f t="shared" si="73"/>
        <v>4.3355360545194836E-2</v>
      </c>
    </row>
    <row r="606" spans="1:18" x14ac:dyDescent="0.25">
      <c r="A606" s="12" t="s">
        <v>2921</v>
      </c>
      <c r="B606" s="124" t="s">
        <v>2922</v>
      </c>
      <c r="C606" s="12" t="s">
        <v>1752</v>
      </c>
      <c r="D606" s="12" t="s">
        <v>714</v>
      </c>
      <c r="E606" s="12" t="s">
        <v>1477</v>
      </c>
      <c r="F606" s="12" t="s">
        <v>2940</v>
      </c>
      <c r="G606" s="13">
        <v>45683</v>
      </c>
      <c r="H606" s="14">
        <f>16779.42/146.91</f>
        <v>114.21564222993669</v>
      </c>
      <c r="I606" s="14">
        <v>-9.7899999999999991</v>
      </c>
      <c r="J606" s="8">
        <f>SUMIF(Journal!$A:$A,HeadJournal!$A606,Journal!$K:$K)+SUMIF(Journal!$A:$A,HeadJournal!$A606,Journal!$L:$L)+SUMIF(Journal!$A:$A,HeadJournal!$A606,Journal!$M:$M)</f>
        <v>146.91000000000003</v>
      </c>
      <c r="K606" s="14">
        <v>146.91</v>
      </c>
      <c r="L606" s="14">
        <f>(820+1400)/3</f>
        <v>740</v>
      </c>
      <c r="M606" s="8">
        <f>SUMIF(Journal!$A:$A,HeadJournal!$A606,Journal!$P:$P)</f>
        <v>17519.419999999995</v>
      </c>
      <c r="N606" s="8">
        <f>SUMIF(Journal!$A:$A,HeadJournal!$A606,Journal!Q:Q)</f>
        <v>21061.8</v>
      </c>
      <c r="O606" s="18">
        <f>SUMIF(Journal!$A:$A,HeadJournal!$A606,Journal!U:U)</f>
        <v>3542.3800000000042</v>
      </c>
      <c r="P606" s="22">
        <f t="shared" si="72"/>
        <v>0.20219733301673259</v>
      </c>
      <c r="Q606" s="7" t="b">
        <f t="shared" ref="Q606:Q611" si="74">J606=K606</f>
        <v>1</v>
      </c>
      <c r="R606" s="73">
        <f t="shared" si="73"/>
        <v>4.2238841240178057E-2</v>
      </c>
    </row>
    <row r="607" spans="1:18" x14ac:dyDescent="0.25">
      <c r="A607" s="12" t="s">
        <v>2923</v>
      </c>
      <c r="B607" s="12"/>
      <c r="C607" s="12" t="s">
        <v>843</v>
      </c>
      <c r="D607" s="12" t="s">
        <v>714</v>
      </c>
      <c r="E607" s="12" t="s">
        <v>1477</v>
      </c>
      <c r="F607" s="12"/>
      <c r="G607" s="13">
        <v>45695</v>
      </c>
      <c r="H607" s="14">
        <v>1</v>
      </c>
      <c r="I607" s="14">
        <v>0</v>
      </c>
      <c r="J607" s="8">
        <f>SUMIF(Journal!$A:$A,HeadJournal!$A607,Journal!$K:$K)+SUMIF(Journal!$A:$A,HeadJournal!$A607,Journal!$L:$L)+SUMIF(Journal!$A:$A,HeadJournal!$A607,Journal!$M:$M)</f>
        <v>311</v>
      </c>
      <c r="K607" s="14">
        <v>311</v>
      </c>
      <c r="L607" s="14">
        <v>0</v>
      </c>
      <c r="M607" s="8">
        <f>SUMIF(Journal!$A:$A,HeadJournal!$A607,Journal!$P:$P)</f>
        <v>311</v>
      </c>
      <c r="N607" s="8">
        <f>SUMIF(Journal!$A:$A,HeadJournal!$A607,Journal!Q:Q)</f>
        <v>500</v>
      </c>
      <c r="O607" s="18">
        <f>SUMIF(Journal!$A:$A,HeadJournal!$A607,Journal!U:U)</f>
        <v>189</v>
      </c>
      <c r="P607" s="22">
        <f t="shared" si="72"/>
        <v>0.60771704180064312</v>
      </c>
      <c r="Q607" s="7" t="b">
        <f t="shared" si="74"/>
        <v>1</v>
      </c>
      <c r="R607" s="73">
        <f t="shared" si="73"/>
        <v>0</v>
      </c>
    </row>
    <row r="608" spans="1:18" x14ac:dyDescent="0.25">
      <c r="A608" s="12" t="s">
        <v>2924</v>
      </c>
      <c r="B608" s="12"/>
      <c r="C608" s="12" t="s">
        <v>843</v>
      </c>
      <c r="D608" s="12" t="s">
        <v>714</v>
      </c>
      <c r="E608" s="12" t="s">
        <v>1477</v>
      </c>
      <c r="F608" s="12"/>
      <c r="G608" s="13">
        <v>45702</v>
      </c>
      <c r="H608" s="14">
        <v>1</v>
      </c>
      <c r="I608" s="14">
        <v>0</v>
      </c>
      <c r="J608" s="8">
        <f>SUMIF(Journal!$A:$A,HeadJournal!$A608,Journal!$K:$K)+SUMIF(Journal!$A:$A,HeadJournal!$A608,Journal!$L:$L)+SUMIF(Journal!$A:$A,HeadJournal!$A608,Journal!$M:$M)</f>
        <v>2978</v>
      </c>
      <c r="K608" s="14">
        <v>2978</v>
      </c>
      <c r="L608" s="14">
        <v>0</v>
      </c>
      <c r="M608" s="8">
        <f>SUMIF(Journal!$A:$A,HeadJournal!$A608,Journal!$P:$P)</f>
        <v>2978</v>
      </c>
      <c r="N608" s="8">
        <f>SUMIF(Journal!$A:$A,HeadJournal!$A608,Journal!Q:Q)</f>
        <v>4500</v>
      </c>
      <c r="O608" s="18">
        <f>SUMIF(Journal!$A:$A,HeadJournal!$A608,Journal!U:U)</f>
        <v>1522</v>
      </c>
      <c r="P608" s="22">
        <f t="shared" si="72"/>
        <v>0.51108126259234388</v>
      </c>
      <c r="Q608" s="7" t="b">
        <f t="shared" si="74"/>
        <v>1</v>
      </c>
      <c r="R608" s="73">
        <f t="shared" si="73"/>
        <v>0</v>
      </c>
    </row>
    <row r="609" spans="1:18" x14ac:dyDescent="0.25">
      <c r="A609" s="12" t="s">
        <v>2928</v>
      </c>
      <c r="B609" s="12"/>
      <c r="C609" s="12" t="s">
        <v>1380</v>
      </c>
      <c r="D609" s="12" t="s">
        <v>714</v>
      </c>
      <c r="E609" s="12" t="s">
        <v>1477</v>
      </c>
      <c r="F609" s="12"/>
      <c r="G609" s="13">
        <v>45653</v>
      </c>
      <c r="H609" s="14">
        <v>1</v>
      </c>
      <c r="I609" s="14">
        <v>0</v>
      </c>
      <c r="J609" s="8">
        <f>SUMIF(Journal!$A:$A,HeadJournal!$A609,Journal!$K:$K)+SUMIF(Journal!$A:$A,HeadJournal!$A609,Journal!$L:$L)+SUMIF(Journal!$A:$A,HeadJournal!$A609,Journal!$M:$M)</f>
        <v>647</v>
      </c>
      <c r="K609" s="14">
        <v>647</v>
      </c>
      <c r="L609" s="14">
        <v>0</v>
      </c>
      <c r="M609" s="8">
        <f>SUMIF(Journal!$A:$A,HeadJournal!$A609,Journal!$P:$P)</f>
        <v>647</v>
      </c>
      <c r="N609" s="8">
        <f>SUMIF(Journal!$A:$A,HeadJournal!$A609,Journal!Q:Q)</f>
        <v>750</v>
      </c>
      <c r="O609" s="18">
        <f>SUMIF(Journal!$A:$A,HeadJournal!$A609,Journal!U:U)</f>
        <v>103</v>
      </c>
      <c r="P609" s="22">
        <f t="shared" si="72"/>
        <v>0.15919629057187018</v>
      </c>
      <c r="Q609" s="7" t="b">
        <f t="shared" si="74"/>
        <v>1</v>
      </c>
      <c r="R609" s="73">
        <f t="shared" si="73"/>
        <v>0</v>
      </c>
    </row>
    <row r="610" spans="1:18" x14ac:dyDescent="0.25">
      <c r="A610" s="12" t="s">
        <v>2932</v>
      </c>
      <c r="B610" s="12"/>
      <c r="C610" s="12" t="s">
        <v>1380</v>
      </c>
      <c r="D610" s="12" t="s">
        <v>714</v>
      </c>
      <c r="E610" s="12" t="s">
        <v>1477</v>
      </c>
      <c r="F610" s="12"/>
      <c r="G610" s="13">
        <v>45659</v>
      </c>
      <c r="H610" s="14">
        <v>1</v>
      </c>
      <c r="I610" s="14">
        <v>0</v>
      </c>
      <c r="J610" s="8">
        <f>SUMIF(Journal!$A:$A,HeadJournal!$A610,Journal!$K:$K)+SUMIF(Journal!$A:$A,HeadJournal!$A610,Journal!$L:$L)+SUMIF(Journal!$A:$A,HeadJournal!$A610,Journal!$M:$M)</f>
        <v>1792</v>
      </c>
      <c r="K610" s="14">
        <v>1792</v>
      </c>
      <c r="L610" s="14">
        <v>0</v>
      </c>
      <c r="M610" s="8">
        <f>SUMIF(Journal!$A:$A,HeadJournal!$A610,Journal!$P:$P)</f>
        <v>1792</v>
      </c>
      <c r="N610" s="8">
        <f>SUMIF(Journal!$A:$A,HeadJournal!$A610,Journal!Q:Q)</f>
        <v>3900</v>
      </c>
      <c r="O610" s="18">
        <f>SUMIF(Journal!$A:$A,HeadJournal!$A610,Journal!U:U)</f>
        <v>2108</v>
      </c>
      <c r="P610" s="22">
        <f t="shared" si="72"/>
        <v>1.1763392857142858</v>
      </c>
      <c r="Q610" s="7" t="b">
        <f t="shared" si="74"/>
        <v>1</v>
      </c>
      <c r="R610" s="73">
        <f t="shared" si="73"/>
        <v>0</v>
      </c>
    </row>
    <row r="611" spans="1:18" x14ac:dyDescent="0.25">
      <c r="A611" s="12" t="s">
        <v>2933</v>
      </c>
      <c r="B611" s="12"/>
      <c r="C611" s="12" t="s">
        <v>1380</v>
      </c>
      <c r="D611" s="12" t="s">
        <v>714</v>
      </c>
      <c r="E611" s="12" t="s">
        <v>1477</v>
      </c>
      <c r="F611" s="12"/>
      <c r="G611" s="13">
        <v>45665</v>
      </c>
      <c r="H611" s="14">
        <v>1</v>
      </c>
      <c r="I611" s="14">
        <v>0</v>
      </c>
      <c r="J611" s="8">
        <f>SUMIF(Journal!$A:$A,HeadJournal!$A611,Journal!$K:$K)+SUMIF(Journal!$A:$A,HeadJournal!$A611,Journal!$L:$L)+SUMIF(Journal!$A:$A,HeadJournal!$A611,Journal!$M:$M)</f>
        <v>2754</v>
      </c>
      <c r="K611" s="14">
        <v>2754</v>
      </c>
      <c r="L611" s="14">
        <v>0</v>
      </c>
      <c r="M611" s="8">
        <f>SUMIF(Journal!$A:$A,HeadJournal!$A611,Journal!$P:$P)</f>
        <v>2754</v>
      </c>
      <c r="N611" s="8">
        <f>SUMIF(Journal!$A:$A,HeadJournal!$A611,Journal!Q:Q)</f>
        <v>2000</v>
      </c>
      <c r="O611" s="18">
        <f>SUMIF(Journal!$A:$A,HeadJournal!$A611,Journal!U:U)</f>
        <v>-754</v>
      </c>
      <c r="P611" s="22">
        <f t="shared" si="72"/>
        <v>-0.27378358750907772</v>
      </c>
      <c r="Q611" s="7" t="b">
        <f t="shared" si="74"/>
        <v>1</v>
      </c>
      <c r="R611" s="73">
        <f t="shared" si="73"/>
        <v>0</v>
      </c>
    </row>
    <row r="612" spans="1:18" x14ac:dyDescent="0.25">
      <c r="A612" s="12" t="s">
        <v>2937</v>
      </c>
      <c r="B612" s="124" t="s">
        <v>2938</v>
      </c>
      <c r="C612" s="12" t="s">
        <v>1737</v>
      </c>
      <c r="D612" s="12" t="s">
        <v>714</v>
      </c>
      <c r="E612" s="12" t="s">
        <v>1477</v>
      </c>
      <c r="F612" s="12" t="s">
        <v>2941</v>
      </c>
      <c r="G612" s="13">
        <v>45704</v>
      </c>
      <c r="H612" s="14">
        <f>18238.36/J612</f>
        <v>103.39206349206347</v>
      </c>
      <c r="I612" s="14">
        <v>-18.829999999999998</v>
      </c>
      <c r="J612" s="8">
        <f>SUMIF(Journal!$A:$A,HeadJournal!$A612,Journal!$K:$K)+SUMIF(Journal!$A:$A,HeadJournal!$A612,Journal!$L:$L)+SUMIF(Journal!$A:$A,HeadJournal!$A612,Journal!$M:$M)</f>
        <v>176.40000000000003</v>
      </c>
      <c r="K612" s="14">
        <v>176.4</v>
      </c>
      <c r="L612" s="14">
        <f>(1200+1595)/3</f>
        <v>931.66666666666663</v>
      </c>
      <c r="M612" s="8">
        <f>SUMIF(Journal!$A:$A,HeadJournal!$A612,Journal!$P:$P)</f>
        <v>19170.026666666665</v>
      </c>
      <c r="N612" s="8">
        <f>SUMIF(Journal!$A:$A,HeadJournal!$A612,Journal!Q:Q)</f>
        <v>28800</v>
      </c>
      <c r="O612" s="18">
        <f>SUMIF(Journal!$A:$A,HeadJournal!$A612,Journal!U:U)</f>
        <v>9629.9733333333388</v>
      </c>
      <c r="P612" s="22">
        <f t="shared" si="72"/>
        <v>0.50234532798424236</v>
      </c>
      <c r="R612" s="73">
        <f t="shared" si="73"/>
        <v>4.8600175830045798E-2</v>
      </c>
    </row>
    <row r="613" spans="1:18" x14ac:dyDescent="0.25">
      <c r="A613" s="12" t="s">
        <v>2954</v>
      </c>
      <c r="B613" s="124" t="s">
        <v>2955</v>
      </c>
      <c r="C613" s="12" t="s">
        <v>1735</v>
      </c>
      <c r="D613" s="12" t="s">
        <v>714</v>
      </c>
      <c r="E613" s="12" t="s">
        <v>1477</v>
      </c>
      <c r="F613" s="12"/>
      <c r="G613" s="13">
        <v>45721</v>
      </c>
      <c r="H613" s="14">
        <f>17040.01/J613</f>
        <v>99.964859791153373</v>
      </c>
      <c r="I613" s="14">
        <v>-17.420000000000002</v>
      </c>
      <c r="J613" s="8">
        <f>SUMIF(Journal!$A:$A,HeadJournal!$A613,Journal!$K:$K)+SUMIF(Journal!$A:$A,HeadJournal!$A613,Journal!$L:$L)+SUMIF(Journal!$A:$A,HeadJournal!$A613,Journal!$M:$M)</f>
        <v>170.45999999999995</v>
      </c>
      <c r="K613" s="14">
        <v>170.46</v>
      </c>
      <c r="L613" s="14">
        <f>(1500+820)/5</f>
        <v>464</v>
      </c>
      <c r="M613" s="8">
        <f>SUMIF(Journal!$A:$A,HeadJournal!$A613,Journal!$P:$P)</f>
        <v>17504.010000000009</v>
      </c>
      <c r="N613" s="8">
        <f>SUMIF(Journal!$A:$A,HeadJournal!$A613,Journal!Q:Q)</f>
        <v>25650</v>
      </c>
      <c r="O613" s="18">
        <f>SUMIF(Journal!$A:$A,HeadJournal!$A613,Journal!U:U)</f>
        <v>8145.9899999999907</v>
      </c>
      <c r="P613" s="22">
        <f t="shared" si="72"/>
        <v>0.46537850469692293</v>
      </c>
      <c r="R613" s="73">
        <f t="shared" si="73"/>
        <v>2.6508211546954083E-2</v>
      </c>
    </row>
    <row r="614" spans="1:18" x14ac:dyDescent="0.25">
      <c r="A614" s="12" t="s">
        <v>2972</v>
      </c>
      <c r="B614" s="124" t="s">
        <v>2973</v>
      </c>
      <c r="C614" s="12" t="s">
        <v>1751</v>
      </c>
      <c r="D614" s="12" t="s">
        <v>714</v>
      </c>
      <c r="E614" s="12" t="s">
        <v>1477</v>
      </c>
      <c r="F614" s="12"/>
      <c r="G614" s="13">
        <v>45736</v>
      </c>
      <c r="H614" s="14">
        <f>18860.32/J614</f>
        <v>102.87634320624014</v>
      </c>
      <c r="I614" s="14">
        <v>-9.74</v>
      </c>
      <c r="J614" s="8">
        <f>SUMIF(Journal!$A:$A,HeadJournal!$A614,Journal!$K:$K)+SUMIF(Journal!$A:$A,HeadJournal!$A614,Journal!$L:$L)+SUMIF(Journal!$A:$A,HeadJournal!$A614,Journal!$M:$M)</f>
        <v>183.32999999999996</v>
      </c>
      <c r="K614" s="14">
        <v>183.33</v>
      </c>
      <c r="L614" s="14">
        <f>(1500+820)/5</f>
        <v>464</v>
      </c>
      <c r="M614" s="8">
        <f>SUMIF(Journal!$A:$A,HeadJournal!$A614,Journal!$P:$P)</f>
        <v>19324.320000000007</v>
      </c>
      <c r="N614" s="8">
        <f>SUMIF(Journal!$A:$A,HeadJournal!$A614,Journal!Q:Q)</f>
        <v>27500</v>
      </c>
      <c r="O614" s="18">
        <f>SUMIF(Journal!$A:$A,HeadJournal!$A614,Journal!U:U)</f>
        <v>8175.6799999999894</v>
      </c>
      <c r="P614" s="22">
        <f t="shared" si="72"/>
        <v>0.42307724152777365</v>
      </c>
      <c r="R614" s="73">
        <f t="shared" si="73"/>
        <v>2.4011194184323164E-2</v>
      </c>
    </row>
    <row r="615" spans="1:18" x14ac:dyDescent="0.25">
      <c r="A615" s="12" t="s">
        <v>2990</v>
      </c>
      <c r="B615" s="124" t="s">
        <v>2991</v>
      </c>
      <c r="C615" s="12" t="s">
        <v>1751</v>
      </c>
      <c r="D615" s="12" t="s">
        <v>714</v>
      </c>
      <c r="E615" s="12" t="s">
        <v>1477</v>
      </c>
      <c r="F615" s="12"/>
      <c r="G615" s="13">
        <v>45712</v>
      </c>
      <c r="H615" s="14">
        <f>13180.049/J615</f>
        <v>101.22148068504725</v>
      </c>
      <c r="I615" s="14">
        <v>0</v>
      </c>
      <c r="J615" s="8">
        <f>SUMIF(Journal!$A:$A,HeadJournal!$A615,Journal!$K:$K)+SUMIF(Journal!$A:$A,HeadJournal!$A615,Journal!$L:$L)+SUMIF(Journal!$A:$A,HeadJournal!$A615,Journal!$M:$M)</f>
        <v>130.20999999999998</v>
      </c>
      <c r="K615" s="14">
        <v>130.21</v>
      </c>
      <c r="L615" s="14">
        <f>(1500+820)/5</f>
        <v>464</v>
      </c>
      <c r="M615" s="8">
        <f>SUMIF(Journal!$A:$A,HeadJournal!$A615,Journal!$P:$P)</f>
        <v>13644.049000000006</v>
      </c>
      <c r="N615" s="8">
        <f>SUMIF(Journal!$A:$A,HeadJournal!$A615,Journal!Q:Q)</f>
        <v>21650</v>
      </c>
      <c r="O615" s="18">
        <f>SUMIF(Journal!$A:$A,HeadJournal!$A615,Journal!U:U)</f>
        <v>8005.9509999999946</v>
      </c>
      <c r="P615" s="22">
        <f t="shared" si="72"/>
        <v>0.5867723723360998</v>
      </c>
      <c r="R615" s="73">
        <f t="shared" si="73"/>
        <v>3.4007500266233268E-2</v>
      </c>
    </row>
    <row r="616" spans="1:18" x14ac:dyDescent="0.25">
      <c r="A616" s="12" t="s">
        <v>3001</v>
      </c>
      <c r="B616" s="124" t="s">
        <v>3002</v>
      </c>
      <c r="C616" s="12" t="s">
        <v>1751</v>
      </c>
      <c r="D616" s="12" t="s">
        <v>714</v>
      </c>
      <c r="E616" s="12" t="s">
        <v>1477</v>
      </c>
      <c r="F616" s="12"/>
      <c r="G616" s="13">
        <v>45725</v>
      </c>
      <c r="H616" s="14">
        <f>16369.36/J616</f>
        <v>101.20160741885627</v>
      </c>
      <c r="I616" s="14">
        <v>-35</v>
      </c>
      <c r="J616" s="8">
        <f>SUMIF(Journal!$A:$A,HeadJournal!$A616,Journal!$K:$K)+SUMIF(Journal!$A:$A,HeadJournal!$A616,Journal!$L:$L)+SUMIF(Journal!$A:$A,HeadJournal!$A616,Journal!$M:$M)</f>
        <v>161.75</v>
      </c>
      <c r="K616" s="14">
        <v>161.75</v>
      </c>
      <c r="L616" s="14">
        <f>(1500+820)/5</f>
        <v>464</v>
      </c>
      <c r="M616" s="8">
        <f>SUMIF(Journal!$A:$A,HeadJournal!$A616,Journal!$P:$P)</f>
        <v>16833.36</v>
      </c>
      <c r="N616" s="8">
        <f>SUMIF(Journal!$A:$A,HeadJournal!$A616,Journal!Q:Q)</f>
        <v>27400</v>
      </c>
      <c r="O616" s="18">
        <f>SUMIF(Journal!$A:$A,HeadJournal!$A616,Journal!U:U)</f>
        <v>10566.64</v>
      </c>
      <c r="P616" s="22">
        <f t="shared" si="72"/>
        <v>0.62772019371058418</v>
      </c>
      <c r="R616" s="73">
        <f t="shared" si="73"/>
        <v>2.7564312769405512E-2</v>
      </c>
    </row>
    <row r="617" spans="1:18" x14ac:dyDescent="0.25">
      <c r="A617" s="12" t="s">
        <v>3005</v>
      </c>
      <c r="B617" s="124" t="s">
        <v>3006</v>
      </c>
      <c r="C617" s="12" t="s">
        <v>1752</v>
      </c>
      <c r="D617" s="12" t="s">
        <v>714</v>
      </c>
      <c r="E617" s="12" t="s">
        <v>1477</v>
      </c>
      <c r="F617" s="12"/>
      <c r="G617" s="13">
        <v>45724</v>
      </c>
      <c r="H617" s="14">
        <f>18890.57/J617</f>
        <v>99.251668155309204</v>
      </c>
      <c r="I617" s="14">
        <v>0</v>
      </c>
      <c r="J617" s="8">
        <f>SUMIF(Journal!$A:$A,HeadJournal!$A617,Journal!$K:$K)+SUMIF(Journal!$A:$A,HeadJournal!$A617,Journal!$L:$L)+SUMIF(Journal!$A:$A,HeadJournal!$A617,Journal!$M:$M)</f>
        <v>190.32999999999998</v>
      </c>
      <c r="K617" s="14">
        <v>190.33</v>
      </c>
      <c r="L617" s="14">
        <f>(1500+820)/5</f>
        <v>464</v>
      </c>
      <c r="M617" s="8">
        <f>SUMIF(Journal!$A:$A,HeadJournal!$A617,Journal!$P:$P)</f>
        <v>19354.57</v>
      </c>
      <c r="N617" s="8">
        <f>SUMIF(Journal!$A:$A,HeadJournal!$A617,Journal!Q:Q)</f>
        <v>27500</v>
      </c>
      <c r="O617" s="18">
        <f>SUMIF(Journal!$A:$A,HeadJournal!$A617,Journal!U:U)</f>
        <v>8145.4299999999976</v>
      </c>
      <c r="P617" s="22">
        <f t="shared" si="72"/>
        <v>0.42085305950997609</v>
      </c>
      <c r="Q617" s="7" t="b">
        <f>J617=K617</f>
        <v>1</v>
      </c>
      <c r="R617" s="73">
        <f t="shared" si="73"/>
        <v>2.3973666167731961E-2</v>
      </c>
    </row>
    <row r="618" spans="1:18" x14ac:dyDescent="0.25">
      <c r="A618" s="12" t="s">
        <v>3007</v>
      </c>
      <c r="B618" s="12"/>
      <c r="C618" s="12" t="s">
        <v>1461</v>
      </c>
      <c r="D618" s="12" t="s">
        <v>714</v>
      </c>
      <c r="E618" s="12" t="s">
        <v>1477</v>
      </c>
      <c r="F618" s="12"/>
      <c r="G618" s="13">
        <v>45720</v>
      </c>
      <c r="H618" s="14">
        <v>1</v>
      </c>
      <c r="I618" s="14">
        <v>0</v>
      </c>
      <c r="J618" s="8">
        <f>SUMIF(Journal!$A:$A,HeadJournal!$A618,Journal!$K:$K)+SUMIF(Journal!$A:$A,HeadJournal!$A618,Journal!$L:$L)+SUMIF(Journal!$A:$A,HeadJournal!$A618,Journal!$M:$M)</f>
        <v>1921</v>
      </c>
      <c r="K618" s="14">
        <v>1921</v>
      </c>
      <c r="L618" s="14">
        <v>0</v>
      </c>
      <c r="M618" s="8">
        <f>SUMIF(Journal!$A:$A,HeadJournal!$A618,Journal!$P:$P)</f>
        <v>1921</v>
      </c>
      <c r="N618" s="8">
        <f>SUMIF(Journal!$A:$A,HeadJournal!$A618,Journal!Q:Q)</f>
        <v>2500</v>
      </c>
      <c r="O618" s="18">
        <f>SUMIF(Journal!$A:$A,HeadJournal!$A618,Journal!U:U)</f>
        <v>579</v>
      </c>
      <c r="P618" s="22">
        <f t="shared" si="72"/>
        <v>0.30140551795939613</v>
      </c>
      <c r="Q618" s="7" t="b">
        <f>J618=K618</f>
        <v>1</v>
      </c>
      <c r="R618" s="73">
        <f t="shared" si="73"/>
        <v>0</v>
      </c>
    </row>
    <row r="619" spans="1:18" x14ac:dyDescent="0.25">
      <c r="A619" s="12" t="s">
        <v>3008</v>
      </c>
      <c r="B619" s="12"/>
      <c r="C619" s="12" t="s">
        <v>1461</v>
      </c>
      <c r="D619" s="12" t="s">
        <v>714</v>
      </c>
      <c r="E619" s="12" t="s">
        <v>1477</v>
      </c>
      <c r="F619" s="12"/>
      <c r="G619" s="13">
        <v>45587</v>
      </c>
      <c r="H619" s="14">
        <v>1</v>
      </c>
      <c r="I619" s="14">
        <v>0</v>
      </c>
      <c r="J619" s="8">
        <f>SUMIF(Journal!$A:$A,HeadJournal!$A619,Journal!$K:$K)+SUMIF(Journal!$A:$A,HeadJournal!$A619,Journal!$L:$L)+SUMIF(Journal!$A:$A,HeadJournal!$A619,Journal!$M:$M)</f>
        <v>5960</v>
      </c>
      <c r="K619" s="14">
        <v>5960</v>
      </c>
      <c r="L619" s="14">
        <v>0</v>
      </c>
      <c r="M619" s="8">
        <f>SUMIF(Journal!$A:$A,HeadJournal!$A619,Journal!$P:$P)</f>
        <v>5960</v>
      </c>
      <c r="N619" s="8">
        <f>SUMIF(Journal!$A:$A,HeadJournal!$A619,Journal!Q:Q)</f>
        <v>7000</v>
      </c>
      <c r="O619" s="18">
        <f>SUMIF(Journal!$A:$A,HeadJournal!$A619,Journal!U:U)</f>
        <v>1040</v>
      </c>
      <c r="P619" s="22">
        <f t="shared" si="72"/>
        <v>0.17449664429530201</v>
      </c>
      <c r="Q619" s="7" t="b">
        <f>J619=K619</f>
        <v>1</v>
      </c>
      <c r="R619" s="73">
        <f t="shared" si="73"/>
        <v>0</v>
      </c>
    </row>
    <row r="620" spans="1:18" x14ac:dyDescent="0.25">
      <c r="A620" s="12" t="s">
        <v>3017</v>
      </c>
      <c r="B620" s="124" t="s">
        <v>3060</v>
      </c>
      <c r="C620" s="12" t="s">
        <v>1751</v>
      </c>
      <c r="D620" s="12" t="s">
        <v>714</v>
      </c>
      <c r="E620" s="12" t="s">
        <v>1477</v>
      </c>
      <c r="F620" s="12" t="s">
        <v>3111</v>
      </c>
      <c r="G620" s="13">
        <v>45741</v>
      </c>
      <c r="H620" s="14">
        <f>11693.93/J620</f>
        <v>95.281756701702946</v>
      </c>
      <c r="I620" s="14">
        <v>-9.76</v>
      </c>
      <c r="J620" s="8">
        <f>SUMIF(Journal!$A:$A,HeadJournal!$A620,Journal!$K:$K)+SUMIF(Journal!$A:$A,HeadJournal!$A620,Journal!$L:$L)+SUMIF(Journal!$A:$A,HeadJournal!$A620,Journal!$M:$M)</f>
        <v>122.72999999999998</v>
      </c>
      <c r="K620" s="14">
        <v>122.73</v>
      </c>
      <c r="L620" s="14">
        <f>(1000+720)/3</f>
        <v>573.33333333333337</v>
      </c>
      <c r="M620" s="8">
        <f>SUMIF(Journal!$A:$A,HeadJournal!$A620,Journal!$P:$P)</f>
        <v>12267.263333333336</v>
      </c>
      <c r="N620" s="8">
        <f>SUMIF(Journal!$A:$A,HeadJournal!$A620,Journal!Q:Q)</f>
        <v>19800</v>
      </c>
      <c r="O620" s="18">
        <f>SUMIF(Journal!$A:$A,HeadJournal!$A620,Journal!U:U)</f>
        <v>7532.7366666666603</v>
      </c>
      <c r="P620" s="22">
        <f t="shared" si="72"/>
        <v>0.61405192519168161</v>
      </c>
      <c r="R620" s="73">
        <f t="shared" si="73"/>
        <v>4.6736857093092478E-2</v>
      </c>
    </row>
    <row r="621" spans="1:18" x14ac:dyDescent="0.25">
      <c r="A621" s="12" t="s">
        <v>3027</v>
      </c>
      <c r="B621" s="124" t="s">
        <v>3006</v>
      </c>
      <c r="C621" s="12" t="s">
        <v>1735</v>
      </c>
      <c r="D621" s="12" t="s">
        <v>714</v>
      </c>
      <c r="E621" s="12" t="s">
        <v>1477</v>
      </c>
      <c r="F621" s="12" t="s">
        <v>3111</v>
      </c>
      <c r="G621" s="13">
        <v>45747</v>
      </c>
      <c r="H621" s="14">
        <f>15855.9/J621</f>
        <v>94.922772988505727</v>
      </c>
      <c r="I621" s="14">
        <v>-6.51</v>
      </c>
      <c r="J621" s="8">
        <f>SUMIF(Journal!$A:$A,HeadJournal!$A621,Journal!$K:$K)+SUMIF(Journal!$A:$A,HeadJournal!$A621,Journal!$L:$L)+SUMIF(Journal!$A:$A,HeadJournal!$A621,Journal!$M:$M)</f>
        <v>167.04000000000002</v>
      </c>
      <c r="K621" s="14">
        <v>167.04</v>
      </c>
      <c r="L621" s="14">
        <f>(1000+720)/3</f>
        <v>573.33333333333337</v>
      </c>
      <c r="M621" s="8">
        <f>SUMIF(Journal!$A:$A,HeadJournal!$A621,Journal!$P:$P)</f>
        <v>16429.23333333333</v>
      </c>
      <c r="N621" s="8">
        <f>SUMIF(Journal!$A:$A,HeadJournal!$A621,Journal!Q:Q)</f>
        <v>21454.59</v>
      </c>
      <c r="O621" s="18">
        <f>SUMIF(Journal!$A:$A,HeadJournal!$A621,Journal!U:U)</f>
        <v>5025.3566666666711</v>
      </c>
      <c r="P621" s="22">
        <f t="shared" si="72"/>
        <v>0.30587895154369177</v>
      </c>
      <c r="R621" s="73">
        <f t="shared" si="73"/>
        <v>3.4897144723734327E-2</v>
      </c>
    </row>
    <row r="622" spans="1:18" x14ac:dyDescent="0.25">
      <c r="A622" s="12" t="s">
        <v>3035</v>
      </c>
      <c r="B622" s="124"/>
      <c r="C622" s="12" t="s">
        <v>1737</v>
      </c>
      <c r="D622" s="12" t="s">
        <v>714</v>
      </c>
      <c r="E622" s="12" t="s">
        <v>1477</v>
      </c>
      <c r="F622" s="12" t="s">
        <v>3073</v>
      </c>
      <c r="G622" s="13">
        <v>45728</v>
      </c>
      <c r="H622" s="14">
        <f>12283.42/J622</f>
        <v>113.44126339120798</v>
      </c>
      <c r="I622" s="14">
        <v>0</v>
      </c>
      <c r="J622" s="8">
        <f>SUMIF(Journal!$A:$A,HeadJournal!$A622,Journal!$K:$K)+SUMIF(Journal!$A:$A,HeadJournal!$A622,Journal!$L:$L)+SUMIF(Journal!$A:$A,HeadJournal!$A622,Journal!$M:$M)</f>
        <v>108.28</v>
      </c>
      <c r="K622" s="14">
        <v>108.28</v>
      </c>
      <c r="L622" s="14">
        <f>(720+1100)/3</f>
        <v>606.66666666666663</v>
      </c>
      <c r="M622" s="8">
        <f>SUMIF(Journal!$A:$A,HeadJournal!$A622,Journal!$P:$P)</f>
        <v>12890.086666666666</v>
      </c>
      <c r="N622" s="8">
        <f>SUMIF(Journal!$A:$A,HeadJournal!$A622,Journal!Q:Q)</f>
        <v>15745.130000000001</v>
      </c>
      <c r="O622" s="18">
        <f>SUMIF(Journal!$A:$A,HeadJournal!$A622,Journal!U:U)</f>
        <v>2855.0433333333331</v>
      </c>
      <c r="P622" s="22">
        <f t="shared" si="72"/>
        <v>0.22149139933375156</v>
      </c>
      <c r="R622" s="73">
        <f t="shared" si="73"/>
        <v>4.7064591756041982E-2</v>
      </c>
    </row>
    <row r="623" spans="1:18" x14ac:dyDescent="0.25">
      <c r="A623" s="12" t="s">
        <v>3044</v>
      </c>
      <c r="B623" s="124"/>
      <c r="C623" s="12" t="s">
        <v>1752</v>
      </c>
      <c r="D623" s="12" t="s">
        <v>714</v>
      </c>
      <c r="E623" s="12" t="s">
        <v>1477</v>
      </c>
      <c r="F623" s="12" t="s">
        <v>3073</v>
      </c>
      <c r="G623" s="13">
        <v>45729</v>
      </c>
      <c r="H623" s="14">
        <f>19809.09/J623</f>
        <v>99.248910266045385</v>
      </c>
      <c r="I623" s="14">
        <v>0</v>
      </c>
      <c r="J623" s="8">
        <f>SUMIF(Journal!$A:$A,HeadJournal!$A623,Journal!$K:$K)+SUMIF(Journal!$A:$A,HeadJournal!$A623,Journal!$L:$L)+SUMIF(Journal!$A:$A,HeadJournal!$A623,Journal!$M:$M)</f>
        <v>199.59</v>
      </c>
      <c r="K623" s="14">
        <v>199.59</v>
      </c>
      <c r="L623" s="14">
        <f>(720+1100)/3</f>
        <v>606.66666666666663</v>
      </c>
      <c r="M623" s="8">
        <f>SUMIF(Journal!$A:$A,HeadJournal!$A623,Journal!$P:$P)</f>
        <v>20415.756666666664</v>
      </c>
      <c r="N623" s="8">
        <f>SUMIF(Journal!$A:$A,HeadJournal!$A623,Journal!Q:Q)</f>
        <v>27350</v>
      </c>
      <c r="O623" s="18">
        <f>SUMIF(Journal!$A:$A,HeadJournal!$A623,Journal!U:U)</f>
        <v>6934.2433333333356</v>
      </c>
      <c r="P623" s="22">
        <f t="shared" si="72"/>
        <v>0.33965154691792809</v>
      </c>
      <c r="Q623" s="7" t="b">
        <f>J623=K623</f>
        <v>1</v>
      </c>
      <c r="R623" s="73">
        <f t="shared" si="73"/>
        <v>2.9715610181482378E-2</v>
      </c>
    </row>
    <row r="624" spans="1:18" x14ac:dyDescent="0.25">
      <c r="A624" s="12" t="s">
        <v>3052</v>
      </c>
      <c r="B624" s="124"/>
      <c r="C624" s="12" t="s">
        <v>1752</v>
      </c>
      <c r="D624" s="12" t="s">
        <v>714</v>
      </c>
      <c r="E624" s="12" t="s">
        <v>1477</v>
      </c>
      <c r="F624" s="12" t="s">
        <v>3073</v>
      </c>
      <c r="G624" s="13">
        <v>45736</v>
      </c>
      <c r="H624" s="14">
        <f>13387.92/J624</f>
        <v>95.064403891216372</v>
      </c>
      <c r="I624" s="14">
        <v>-7.94</v>
      </c>
      <c r="J624" s="8">
        <f>SUMIF(Journal!$A:$A,HeadJournal!$A624,Journal!$K:$K)+SUMIF(Journal!$A:$A,HeadJournal!$A624,Journal!$L:$L)+SUMIF(Journal!$A:$A,HeadJournal!$A624,Journal!$M:$M)</f>
        <v>140.82999999999998</v>
      </c>
      <c r="K624" s="14">
        <v>140.83000000000001</v>
      </c>
      <c r="L624" s="14">
        <f>(720+1100)/3</f>
        <v>606.66666666666663</v>
      </c>
      <c r="M624" s="8">
        <f>SUMIF(Journal!$A:$A,HeadJournal!$A624,Journal!$P:$P)</f>
        <v>13994.58666666667</v>
      </c>
      <c r="N624" s="8">
        <f>SUMIF(Journal!$A:$A,HeadJournal!$A624,Journal!Q:Q)</f>
        <v>19669.47</v>
      </c>
      <c r="O624" s="18">
        <f>SUMIF(Journal!$A:$A,HeadJournal!$A624,Journal!U:U)</f>
        <v>5674.8833333333296</v>
      </c>
      <c r="P624" s="22">
        <f t="shared" si="72"/>
        <v>0.40550560502441862</v>
      </c>
      <c r="Q624" s="7" t="b">
        <f>J624=K624</f>
        <v>1</v>
      </c>
      <c r="R624" s="73">
        <f t="shared" si="73"/>
        <v>4.3350095370209805E-2</v>
      </c>
    </row>
    <row r="625" spans="1:18" x14ac:dyDescent="0.25">
      <c r="A625" s="12" t="s">
        <v>3059</v>
      </c>
      <c r="B625" s="124"/>
      <c r="C625" s="12" t="s">
        <v>1752</v>
      </c>
      <c r="D625" s="12" t="s">
        <v>714</v>
      </c>
      <c r="E625" s="12" t="s">
        <v>1477</v>
      </c>
      <c r="F625" s="12" t="s">
        <v>3111</v>
      </c>
      <c r="G625" s="13">
        <v>45742</v>
      </c>
      <c r="H625" s="14">
        <f>13667.17/J625</f>
        <v>95.155399289841938</v>
      </c>
      <c r="I625" s="14">
        <v>-9.65</v>
      </c>
      <c r="J625" s="8">
        <f>SUMIF(Journal!$A:$A,HeadJournal!$A625,Journal!$K:$K)+SUMIF(Journal!$A:$A,HeadJournal!$A625,Journal!$L:$L)+SUMIF(Journal!$A:$A,HeadJournal!$A625,Journal!$M:$M)</f>
        <v>143.63000000000002</v>
      </c>
      <c r="K625" s="14">
        <v>143.63</v>
      </c>
      <c r="L625" s="14">
        <f>(1000+720)/3</f>
        <v>573.33333333333337</v>
      </c>
      <c r="M625" s="8">
        <f>SUMIF(Journal!$A:$A,HeadJournal!$A625,Journal!$P:$P)</f>
        <v>14240.503333333329</v>
      </c>
      <c r="N625" s="8">
        <f>SUMIF(Journal!$A:$A,HeadJournal!$A625,Journal!Q:Q)</f>
        <v>26600</v>
      </c>
      <c r="O625" s="18">
        <f>SUMIF(Journal!$A:$A,HeadJournal!$A625,Journal!U:U)</f>
        <v>12359.496666666673</v>
      </c>
      <c r="P625" s="22">
        <f t="shared" si="72"/>
        <v>0.86791150406434681</v>
      </c>
      <c r="Q625" s="7" t="b">
        <f>J625=K625</f>
        <v>1</v>
      </c>
      <c r="R625" s="73">
        <f t="shared" si="73"/>
        <v>4.026074921040948E-2</v>
      </c>
    </row>
    <row r="626" spans="1:18" x14ac:dyDescent="0.25">
      <c r="A626" s="12" t="s">
        <v>3071</v>
      </c>
      <c r="B626" s="124" t="s">
        <v>3072</v>
      </c>
      <c r="C626" s="12" t="s">
        <v>1751</v>
      </c>
      <c r="D626" s="12" t="s">
        <v>714</v>
      </c>
      <c r="E626" s="12" t="s">
        <v>1477</v>
      </c>
      <c r="F626" s="12" t="s">
        <v>3519</v>
      </c>
      <c r="G626" s="13">
        <v>45751</v>
      </c>
      <c r="H626" s="14">
        <f>17388.11/J626</f>
        <v>99.67388936658071</v>
      </c>
      <c r="I626" s="14">
        <v>-9.39</v>
      </c>
      <c r="J626" s="8">
        <f>SUMIF(Journal!$A:$A,HeadJournal!$A626,Journal!$K:$K)+SUMIF(Journal!$A:$A,HeadJournal!$A626,Journal!$L:$L)+SUMIF(Journal!$A:$A,HeadJournal!$A626,Journal!$M:$M)</f>
        <v>174.44999999999996</v>
      </c>
      <c r="K626" s="14">
        <v>174.45</v>
      </c>
      <c r="L626" s="14">
        <f>(1745+1300)/4</f>
        <v>761.25</v>
      </c>
      <c r="M626" s="8">
        <f>SUMIF(Journal!$A:$A,HeadJournal!$A626,Journal!$P:$P)</f>
        <v>18149.360000000008</v>
      </c>
      <c r="N626" s="8">
        <f>SUMIF(Journal!$A:$A,HeadJournal!$A626,Journal!Q:Q)</f>
        <v>23950</v>
      </c>
      <c r="O626" s="18">
        <f>SUMIF(Journal!$A:$A,HeadJournal!$A626,Journal!U:U)</f>
        <v>5800.6399999999921</v>
      </c>
      <c r="P626" s="22">
        <f t="shared" si="72"/>
        <v>0.31960576020311404</v>
      </c>
      <c r="R626" s="73">
        <f t="shared" si="73"/>
        <v>4.1943627764284785E-2</v>
      </c>
    </row>
    <row r="627" spans="1:18" x14ac:dyDescent="0.25">
      <c r="A627" s="12" t="s">
        <v>3074</v>
      </c>
      <c r="B627" s="12"/>
      <c r="C627" s="12" t="s">
        <v>1380</v>
      </c>
      <c r="D627" s="12" t="s">
        <v>714</v>
      </c>
      <c r="E627" s="12" t="s">
        <v>1477</v>
      </c>
      <c r="F627" s="12"/>
      <c r="G627" s="13">
        <v>45732</v>
      </c>
      <c r="H627" s="14">
        <v>1</v>
      </c>
      <c r="I627" s="14">
        <v>0</v>
      </c>
      <c r="J627" s="8">
        <f>SUMIF(Journal!$A:$A,HeadJournal!$A627,Journal!$K:$K)+SUMIF(Journal!$A:$A,HeadJournal!$A627,Journal!$L:$L)+SUMIF(Journal!$A:$A,HeadJournal!$A627,Journal!$M:$M)</f>
        <v>2349</v>
      </c>
      <c r="K627" s="14">
        <v>2349</v>
      </c>
      <c r="L627" s="14">
        <v>0</v>
      </c>
      <c r="M627" s="8">
        <f>SUMIF(Journal!$A:$A,HeadJournal!$A627,Journal!$P:$P)</f>
        <v>2349</v>
      </c>
      <c r="N627" s="8">
        <f>SUMIF(Journal!$A:$A,HeadJournal!$A627,Journal!Q:Q)</f>
        <v>6000</v>
      </c>
      <c r="O627" s="18">
        <f>SUMIF(Journal!$A:$A,HeadJournal!$A627,Journal!U:U)</f>
        <v>3651</v>
      </c>
      <c r="P627" s="22">
        <f t="shared" si="72"/>
        <v>1.554278416347382</v>
      </c>
      <c r="Q627" s="7" t="b">
        <f>J627=K627</f>
        <v>1</v>
      </c>
      <c r="R627" s="73">
        <f t="shared" si="73"/>
        <v>0</v>
      </c>
    </row>
    <row r="628" spans="1:18" x14ac:dyDescent="0.25">
      <c r="A628" s="12" t="s">
        <v>3075</v>
      </c>
      <c r="B628" s="12"/>
      <c r="C628" s="12" t="s">
        <v>1380</v>
      </c>
      <c r="D628" s="12" t="s">
        <v>714</v>
      </c>
      <c r="E628" s="12" t="s">
        <v>1477</v>
      </c>
      <c r="F628" s="12"/>
      <c r="G628" s="13">
        <v>45749</v>
      </c>
      <c r="H628" s="14">
        <v>1</v>
      </c>
      <c r="I628" s="14">
        <v>0</v>
      </c>
      <c r="J628" s="8">
        <f>SUMIF(Journal!$A:$A,HeadJournal!$A628,Journal!$K:$K)+SUMIF(Journal!$A:$A,HeadJournal!$A628,Journal!$L:$L)+SUMIF(Journal!$A:$A,HeadJournal!$A628,Journal!$M:$M)</f>
        <v>3700</v>
      </c>
      <c r="K628" s="14">
        <v>3700</v>
      </c>
      <c r="L628" s="14">
        <v>0</v>
      </c>
      <c r="M628" s="8">
        <f>SUMIF(Journal!$A:$A,HeadJournal!$A628,Journal!$P:$P)</f>
        <v>3700</v>
      </c>
      <c r="N628" s="8">
        <f>SUMIF(Journal!$A:$A,HeadJournal!$A628,Journal!Q:Q)</f>
        <v>6600</v>
      </c>
      <c r="O628" s="18">
        <f>SUMIF(Journal!$A:$A,HeadJournal!$A628,Journal!U:U)</f>
        <v>2900</v>
      </c>
      <c r="P628" s="22">
        <f t="shared" si="72"/>
        <v>0.78378378378378377</v>
      </c>
      <c r="Q628" s="7" t="b">
        <f>J628=K628</f>
        <v>1</v>
      </c>
      <c r="R628" s="73">
        <f t="shared" si="73"/>
        <v>0</v>
      </c>
    </row>
    <row r="629" spans="1:18" x14ac:dyDescent="0.25">
      <c r="A629" s="12" t="s">
        <v>3079</v>
      </c>
      <c r="B629" s="12"/>
      <c r="C629" s="12" t="s">
        <v>1380</v>
      </c>
      <c r="D629" s="12" t="s">
        <v>714</v>
      </c>
      <c r="E629" s="12" t="s">
        <v>1477</v>
      </c>
      <c r="F629" s="12"/>
      <c r="G629" s="13">
        <v>45754</v>
      </c>
      <c r="H629" s="14">
        <v>1</v>
      </c>
      <c r="I629" s="14">
        <v>0</v>
      </c>
      <c r="J629" s="8">
        <f>SUMIF(Journal!$A:$A,HeadJournal!$A629,Journal!$K:$K)+SUMIF(Journal!$A:$A,HeadJournal!$A629,Journal!$L:$L)+SUMIF(Journal!$A:$A,HeadJournal!$A629,Journal!$M:$M)</f>
        <v>1826</v>
      </c>
      <c r="K629" s="14">
        <v>1826</v>
      </c>
      <c r="L629" s="14">
        <v>0</v>
      </c>
      <c r="M629" s="8">
        <f>SUMIF(Journal!$A:$A,HeadJournal!$A629,Journal!$P:$P)</f>
        <v>1826</v>
      </c>
      <c r="N629" s="8">
        <f>SUMIF(Journal!$A:$A,HeadJournal!$A629,Journal!Q:Q)</f>
        <v>4000</v>
      </c>
      <c r="O629" s="18">
        <f>SUMIF(Journal!$A:$A,HeadJournal!$A629,Journal!U:U)</f>
        <v>2174</v>
      </c>
      <c r="P629" s="22">
        <f t="shared" si="72"/>
        <v>1.190580503833516</v>
      </c>
      <c r="Q629" s="7" t="b">
        <f>J629=K629</f>
        <v>1</v>
      </c>
      <c r="R629" s="73">
        <f t="shared" si="73"/>
        <v>0</v>
      </c>
    </row>
    <row r="630" spans="1:18" x14ac:dyDescent="0.25">
      <c r="A630" s="12" t="s">
        <v>3090</v>
      </c>
      <c r="B630" s="124" t="s">
        <v>3112</v>
      </c>
      <c r="C630" s="12" t="s">
        <v>1737</v>
      </c>
      <c r="D630" s="12" t="s">
        <v>714</v>
      </c>
      <c r="E630" s="12" t="s">
        <v>1477</v>
      </c>
      <c r="F630" s="12" t="s">
        <v>3519</v>
      </c>
      <c r="G630" s="13">
        <v>45755</v>
      </c>
      <c r="H630" s="14">
        <f>17549.7/J630</f>
        <v>95.027615334632898</v>
      </c>
      <c r="I630" s="14">
        <v>-9.52</v>
      </c>
      <c r="J630" s="8">
        <f>SUMIF(Journal!$A:$A,HeadJournal!$A630,Journal!$K:$K)+SUMIF(Journal!$A:$A,HeadJournal!$A630,Journal!$L:$L)+SUMIF(Journal!$A:$A,HeadJournal!$A630,Journal!$M:$M)</f>
        <v>184.67999999999998</v>
      </c>
      <c r="K630" s="14">
        <v>184.68</v>
      </c>
      <c r="L630" s="14">
        <f>(1745+1300)/4</f>
        <v>761.25</v>
      </c>
      <c r="M630" s="8">
        <f>SUMIF(Journal!$A:$A,HeadJournal!$A630,Journal!$P:$P)</f>
        <v>18310.950000000004</v>
      </c>
      <c r="N630" s="8">
        <f>SUMIF(Journal!$A:$A,HeadJournal!$A630,Journal!Q:Q)</f>
        <v>25008</v>
      </c>
      <c r="O630" s="18">
        <f>SUMIF(Journal!$A:$A,HeadJournal!$A630,Journal!U:U)</f>
        <v>6697.0499999999956</v>
      </c>
      <c r="P630" s="22">
        <f t="shared" si="72"/>
        <v>0.36574017186437591</v>
      </c>
      <c r="R630" s="73">
        <f t="shared" si="73"/>
        <v>4.1573484718160435E-2</v>
      </c>
    </row>
    <row r="631" spans="1:18" x14ac:dyDescent="0.25">
      <c r="A631" s="12" t="s">
        <v>3091</v>
      </c>
      <c r="B631" s="124" t="s">
        <v>3113</v>
      </c>
      <c r="C631" s="12" t="s">
        <v>1751</v>
      </c>
      <c r="D631" s="12" t="s">
        <v>714</v>
      </c>
      <c r="E631" s="12" t="s">
        <v>1477</v>
      </c>
      <c r="F631" s="12" t="s">
        <v>3519</v>
      </c>
      <c r="G631" s="13">
        <v>45756</v>
      </c>
      <c r="H631" s="14">
        <f>15737.94/J631</f>
        <v>94.58465051986299</v>
      </c>
      <c r="I631" s="14">
        <v>0</v>
      </c>
      <c r="J631" s="8">
        <f>SUMIF(Journal!$A:$A,HeadJournal!$A631,Journal!$K:$K)+SUMIF(Journal!$A:$A,HeadJournal!$A631,Journal!$L:$L)+SUMIF(Journal!$A:$A,HeadJournal!$A631,Journal!$M:$M)</f>
        <v>166.39</v>
      </c>
      <c r="K631" s="14">
        <v>166.39</v>
      </c>
      <c r="L631" s="14">
        <f>(1745+1300)/4</f>
        <v>761.25</v>
      </c>
      <c r="M631" s="8">
        <f>SUMIF(Journal!$A:$A,HeadJournal!$A631,Journal!$P:$P)</f>
        <v>16499.190000000002</v>
      </c>
      <c r="N631" s="8">
        <f>SUMIF(Journal!$A:$A,HeadJournal!$A631,Journal!Q:Q)</f>
        <v>18951.989999999998</v>
      </c>
      <c r="O631" s="18">
        <f>SUMIF(Journal!$A:$A,HeadJournal!$A631,Journal!U:U)</f>
        <v>2452.7999999999965</v>
      </c>
      <c r="P631" s="22">
        <f t="shared" si="72"/>
        <v>0.14866184339958485</v>
      </c>
      <c r="R631" s="73">
        <f t="shared" si="73"/>
        <v>4.6138628623586968E-2</v>
      </c>
    </row>
    <row r="632" spans="1:18" x14ac:dyDescent="0.25">
      <c r="A632" s="12" t="s">
        <v>3098</v>
      </c>
      <c r="B632" s="124" t="s">
        <v>3114</v>
      </c>
      <c r="C632" s="12" t="s">
        <v>1752</v>
      </c>
      <c r="D632" s="12" t="s">
        <v>714</v>
      </c>
      <c r="E632" s="12" t="s">
        <v>1477</v>
      </c>
      <c r="F632" s="12" t="s">
        <v>3519</v>
      </c>
      <c r="G632" s="13">
        <v>45758</v>
      </c>
      <c r="H632" s="14">
        <f>18829.76/J632</f>
        <v>94.740930817610078</v>
      </c>
      <c r="I632" s="14">
        <v>0</v>
      </c>
      <c r="J632" s="8">
        <f>SUMIF(Journal!$A:$A,HeadJournal!$A632,Journal!$K:$K)+SUMIF(Journal!$A:$A,HeadJournal!$A632,Journal!$L:$L)+SUMIF(Journal!$A:$A,HeadJournal!$A632,Journal!$M:$M)</f>
        <v>198.74999999999994</v>
      </c>
      <c r="K632" s="14">
        <v>198.75</v>
      </c>
      <c r="L632" s="14">
        <f>(1745+1300)/4</f>
        <v>761.25</v>
      </c>
      <c r="M632" s="8">
        <f>SUMIF(Journal!$A:$A,HeadJournal!$A632,Journal!$P:$P)</f>
        <v>19591.010000000009</v>
      </c>
      <c r="N632" s="8">
        <f>SUMIF(Journal!$A:$A,HeadJournal!$A632,Journal!Q:Q)</f>
        <v>25950</v>
      </c>
      <c r="O632" s="18">
        <f>SUMIF(Journal!$A:$A,HeadJournal!$A632,Journal!U:U)</f>
        <v>6358.9899999999907</v>
      </c>
      <c r="P632" s="22">
        <f t="shared" si="72"/>
        <v>0.32458714481795414</v>
      </c>
      <c r="Q632" s="7" t="b">
        <f>J632=K632</f>
        <v>1</v>
      </c>
      <c r="R632" s="73">
        <f t="shared" si="73"/>
        <v>3.8857108439023798E-2</v>
      </c>
    </row>
    <row r="633" spans="1:18" x14ac:dyDescent="0.25">
      <c r="A633" s="12" t="s">
        <v>3110</v>
      </c>
      <c r="B633" s="124" t="s">
        <v>3115</v>
      </c>
      <c r="C633" s="12" t="s">
        <v>1752</v>
      </c>
      <c r="D633" s="12" t="s">
        <v>714</v>
      </c>
      <c r="E633" s="12" t="s">
        <v>1477</v>
      </c>
      <c r="F633" s="12"/>
      <c r="G633" s="13">
        <v>45765</v>
      </c>
      <c r="H633" s="14">
        <f>18217.89/J633</f>
        <v>94.339443840298273</v>
      </c>
      <c r="I633" s="14">
        <v>-5.42</v>
      </c>
      <c r="J633" s="8">
        <f>SUMIF(Journal!$A:$A,HeadJournal!$A633,Journal!$K:$K)+SUMIF(Journal!$A:$A,HeadJournal!$A633,Journal!$L:$L)+SUMIF(Journal!$A:$A,HeadJournal!$A633,Journal!$M:$M)</f>
        <v>193.11</v>
      </c>
      <c r="K633" s="14">
        <v>193.11</v>
      </c>
      <c r="L633" s="14">
        <f>(1745+1300)/3</f>
        <v>1015</v>
      </c>
      <c r="M633" s="8">
        <f>SUMIF(Journal!$A:$A,HeadJournal!$A633,Journal!$P:$P)</f>
        <v>19232.89</v>
      </c>
      <c r="N633" s="8">
        <f>SUMIF(Journal!$A:$A,HeadJournal!$A633,Journal!Q:Q)</f>
        <v>25700</v>
      </c>
      <c r="O633" s="18">
        <f>SUMIF(Journal!$A:$A,HeadJournal!$A633,Journal!U:U)</f>
        <v>6467.1100000000006</v>
      </c>
      <c r="P633" s="22">
        <f t="shared" si="72"/>
        <v>0.3362526380590749</v>
      </c>
      <c r="Q633" s="7" t="b">
        <f>J633=K633</f>
        <v>1</v>
      </c>
      <c r="R633" s="73">
        <f t="shared" si="73"/>
        <v>5.2774180063422604E-2</v>
      </c>
    </row>
    <row r="634" spans="1:18" x14ac:dyDescent="0.25">
      <c r="A634" s="12" t="s">
        <v>3526</v>
      </c>
      <c r="B634" s="124" t="s">
        <v>3551</v>
      </c>
      <c r="C634" s="12" t="s">
        <v>1735</v>
      </c>
      <c r="D634" s="12" t="s">
        <v>714</v>
      </c>
      <c r="E634" s="12" t="s">
        <v>1477</v>
      </c>
      <c r="F634" s="12"/>
      <c r="G634" s="13">
        <v>45772</v>
      </c>
      <c r="H634" s="14">
        <f>15744.56/167.04</f>
        <v>94.25622605363985</v>
      </c>
      <c r="I634" s="14">
        <v>-26.44</v>
      </c>
      <c r="J634" s="8">
        <f>SUMIF(Journal!$A:$A,HeadJournal!$A634,Journal!$K:$K)+SUMIF(Journal!$A:$A,HeadJournal!$A634,Journal!$L:$L)+SUMIF(Journal!$A:$A,HeadJournal!$A634,Journal!$M:$M)</f>
        <v>167.03999999999996</v>
      </c>
      <c r="K634" s="14">
        <v>167.04</v>
      </c>
      <c r="L634" s="14">
        <f>(1745+1300)/3</f>
        <v>1015</v>
      </c>
      <c r="M634" s="8">
        <f>SUMIF(Journal!$A:$A,HeadJournal!$A634,Journal!$P:$P)</f>
        <v>16759.560000000005</v>
      </c>
      <c r="N634" s="8">
        <f>SUMIF(Journal!$A:$A,HeadJournal!$A634,Journal!Q:Q)</f>
        <v>28200</v>
      </c>
      <c r="O634" s="18">
        <f>SUMIF(Journal!$A:$A,HeadJournal!$A634,Journal!U:U)</f>
        <v>11440.439999999995</v>
      </c>
      <c r="P634" s="22">
        <f t="shared" si="72"/>
        <v>0.68262173947287352</v>
      </c>
      <c r="R634" s="73">
        <f t="shared" si="73"/>
        <v>6.0562449133509451E-2</v>
      </c>
    </row>
    <row r="635" spans="1:18" x14ac:dyDescent="0.25">
      <c r="A635" s="12" t="s">
        <v>3532</v>
      </c>
      <c r="B635" s="124" t="s">
        <v>3550</v>
      </c>
      <c r="C635" s="12" t="s">
        <v>1751</v>
      </c>
      <c r="D635" s="12" t="s">
        <v>714</v>
      </c>
      <c r="E635" s="12" t="s">
        <v>1477</v>
      </c>
      <c r="F635" s="12"/>
      <c r="G635" s="13">
        <v>45771</v>
      </c>
      <c r="H635" s="14">
        <f>17336.92/185.91</f>
        <v>93.254370394276791</v>
      </c>
      <c r="I635" s="14">
        <v>-7.44</v>
      </c>
      <c r="J635" s="8">
        <f>SUMIF(Journal!$A:$A,HeadJournal!$A635,Journal!$K:$K)+SUMIF(Journal!$A:$A,HeadJournal!$A635,Journal!$L:$L)+SUMIF(Journal!$A:$A,HeadJournal!$A635,Journal!$M:$M)</f>
        <v>185.91000000000003</v>
      </c>
      <c r="K635" s="14">
        <v>185.91</v>
      </c>
      <c r="L635" s="14">
        <f>(1745+1300)/3</f>
        <v>1015</v>
      </c>
      <c r="M635" s="8">
        <f>SUMIF(Journal!$A:$A,HeadJournal!$A635,Journal!$P:$P)</f>
        <v>18351.919999999998</v>
      </c>
      <c r="N635" s="8">
        <f>SUMIF(Journal!$A:$A,HeadJournal!$A635,Journal!Q:Q)</f>
        <v>32350</v>
      </c>
      <c r="O635" s="18">
        <f>SUMIF(Journal!$A:$A,HeadJournal!$A635,Journal!U:U)</f>
        <v>13998.080000000002</v>
      </c>
      <c r="P635" s="22">
        <f t="shared" si="72"/>
        <v>0.76275833809214533</v>
      </c>
      <c r="R635" s="73">
        <f t="shared" si="73"/>
        <v>5.5307564549104404E-2</v>
      </c>
    </row>
    <row r="636" spans="1:18" x14ac:dyDescent="0.25">
      <c r="A636" s="12" t="s">
        <v>3544</v>
      </c>
      <c r="B636" s="124" t="s">
        <v>3549</v>
      </c>
      <c r="C636" s="12" t="s">
        <v>1751</v>
      </c>
      <c r="D636" s="12" t="s">
        <v>714</v>
      </c>
      <c r="E636" s="12" t="s">
        <v>1477</v>
      </c>
      <c r="F636" s="12" t="s">
        <v>3810</v>
      </c>
      <c r="G636" s="13">
        <v>45777</v>
      </c>
      <c r="H636" s="14">
        <f>17389.36/186.46</f>
        <v>93.260538453287566</v>
      </c>
      <c r="I636" s="14">
        <v>-7.66</v>
      </c>
      <c r="J636" s="8">
        <f>SUMIF(Journal!$A:$A,HeadJournal!$A636,Journal!$K:$K)+SUMIF(Journal!$A:$A,HeadJournal!$A636,Journal!$L:$L)+SUMIF(Journal!$A:$A,HeadJournal!$A636,Journal!$M:$M)</f>
        <v>186.46</v>
      </c>
      <c r="K636" s="14">
        <v>186.46</v>
      </c>
      <c r="L636" s="14">
        <f>(1300+820)/4</f>
        <v>530</v>
      </c>
      <c r="M636" s="8">
        <f>SUMIF(Journal!$A:$A,HeadJournal!$A636,Journal!$P:$P)</f>
        <v>17919.359999999997</v>
      </c>
      <c r="N636" s="8">
        <f>SUMIF(Journal!$A:$A,HeadJournal!$A636,Journal!Q:Q)</f>
        <v>27500</v>
      </c>
      <c r="O636" s="18">
        <f>SUMIF(Journal!$A:$A,HeadJournal!$A636,Journal!U:U)</f>
        <v>9580.6400000000012</v>
      </c>
      <c r="P636" s="22">
        <f t="shared" si="72"/>
        <v>0.53465302332226172</v>
      </c>
      <c r="R636" s="73">
        <f t="shared" si="73"/>
        <v>2.9576949176756316E-2</v>
      </c>
    </row>
    <row r="637" spans="1:18" x14ac:dyDescent="0.25">
      <c r="A637" s="12" t="s">
        <v>3547</v>
      </c>
      <c r="B637" s="124" t="s">
        <v>3548</v>
      </c>
      <c r="C637" s="12" t="s">
        <v>1752</v>
      </c>
      <c r="D637" s="12" t="s">
        <v>714</v>
      </c>
      <c r="E637" s="12" t="s">
        <v>1477</v>
      </c>
      <c r="F637" s="12" t="s">
        <v>3810</v>
      </c>
      <c r="G637" s="13">
        <v>45774</v>
      </c>
      <c r="H637" s="14">
        <f>16122.19/173.5</f>
        <v>92.923285302593669</v>
      </c>
      <c r="I637" s="14">
        <v>0</v>
      </c>
      <c r="J637" s="8">
        <f>SUMIF(Journal!$A:$A,HeadJournal!$A637,Journal!$K:$K)+SUMIF(Journal!$A:$A,HeadJournal!$A637,Journal!$L:$L)+SUMIF(Journal!$A:$A,HeadJournal!$A637,Journal!$M:$M)</f>
        <v>173.5</v>
      </c>
      <c r="K637" s="14">
        <v>173.5</v>
      </c>
      <c r="L637" s="14">
        <f>(1300+820)/4</f>
        <v>530</v>
      </c>
      <c r="M637" s="8">
        <f>SUMIF(Journal!$A:$A,HeadJournal!$A637,Journal!$P:$P)</f>
        <v>16652.190000000002</v>
      </c>
      <c r="N637" s="8">
        <f>SUMIF(Journal!$A:$A,HeadJournal!$A637,Journal!Q:Q)</f>
        <v>24600</v>
      </c>
      <c r="O637" s="18">
        <f>SUMIF(Journal!$A:$A,HeadJournal!$A637,Journal!U:U)</f>
        <v>7947.8099999999977</v>
      </c>
      <c r="P637" s="22">
        <f t="shared" si="72"/>
        <v>0.47728316815986344</v>
      </c>
      <c r="Q637" s="7" t="b">
        <f>J637=K637</f>
        <v>1</v>
      </c>
      <c r="R637" s="73">
        <f t="shared" si="73"/>
        <v>3.1827645492875103E-2</v>
      </c>
    </row>
    <row r="638" spans="1:18" x14ac:dyDescent="0.25">
      <c r="A638" s="12" t="s">
        <v>3552</v>
      </c>
      <c r="B638" s="124" t="s">
        <v>3553</v>
      </c>
      <c r="C638" s="12" t="s">
        <v>1751</v>
      </c>
      <c r="D638" s="12" t="s">
        <v>714</v>
      </c>
      <c r="E638" s="12" t="s">
        <v>1477</v>
      </c>
      <c r="F638" s="12" t="s">
        <v>3810</v>
      </c>
      <c r="G638" s="13">
        <v>45782</v>
      </c>
      <c r="H638" s="14">
        <f>14836.65/158.87</f>
        <v>93.388619626109389</v>
      </c>
      <c r="I638" s="14">
        <v>-8.68</v>
      </c>
      <c r="J638" s="8">
        <f>SUMIF(Journal!$A:$A,HeadJournal!$A638,Journal!$K:$K)+SUMIF(Journal!$A:$A,HeadJournal!$A638,Journal!$L:$L)+SUMIF(Journal!$A:$A,HeadJournal!$A638,Journal!$M:$M)</f>
        <v>158.86999999999998</v>
      </c>
      <c r="K638" s="14">
        <v>158.87</v>
      </c>
      <c r="L638" s="14">
        <f>(1300+820)/4</f>
        <v>530</v>
      </c>
      <c r="M638" s="8">
        <f>SUMIF(Journal!$A:$A,HeadJournal!$A638,Journal!$P:$P)</f>
        <v>15366.65</v>
      </c>
      <c r="N638" s="8">
        <f>SUMIF(Journal!$A:$A,HeadJournal!$A638,Journal!Q:Q)</f>
        <v>23750</v>
      </c>
      <c r="O638" s="18">
        <f>SUMIF(Journal!$A:$A,HeadJournal!$A638,Journal!U:U)</f>
        <v>8383.35</v>
      </c>
      <c r="P638" s="22">
        <f t="shared" si="72"/>
        <v>0.54555482164297364</v>
      </c>
      <c r="R638" s="73">
        <f t="shared" si="73"/>
        <v>3.4490276019822151E-2</v>
      </c>
    </row>
    <row r="639" spans="1:18" x14ac:dyDescent="0.25">
      <c r="A639" s="12" t="s">
        <v>3554</v>
      </c>
      <c r="B639" s="124" t="s">
        <v>3555</v>
      </c>
      <c r="C639" s="12" t="s">
        <v>1751</v>
      </c>
      <c r="D639" s="12" t="s">
        <v>714</v>
      </c>
      <c r="E639" s="12" t="s">
        <v>1477</v>
      </c>
      <c r="F639" s="12" t="s">
        <v>3818</v>
      </c>
      <c r="G639" s="13">
        <v>45788</v>
      </c>
      <c r="H639" s="14">
        <f>16732.14/180.76</f>
        <v>92.565501217083423</v>
      </c>
      <c r="I639" s="14">
        <v>-9.7100000000000009</v>
      </c>
      <c r="J639" s="8">
        <f>SUMIF(Journal!$A:$A,HeadJournal!$A639,Journal!$K:$K)+SUMIF(Journal!$A:$A,HeadJournal!$A639,Journal!$L:$L)+SUMIF(Journal!$A:$A,HeadJournal!$A639,Journal!$M:$M)</f>
        <v>180.76000000000002</v>
      </c>
      <c r="K639" s="14">
        <v>180.76</v>
      </c>
      <c r="L639" s="14">
        <f>(820+1500)/4</f>
        <v>580</v>
      </c>
      <c r="M639" s="8">
        <f>SUMIF(Journal!$A:$A,HeadJournal!$A639,Journal!$P:$P)</f>
        <v>17312.139999999996</v>
      </c>
      <c r="N639" s="8">
        <f>SUMIF(Journal!$A:$A,HeadJournal!$A639,Journal!Q:Q)</f>
        <v>27000</v>
      </c>
      <c r="O639" s="18">
        <f>SUMIF(Journal!$A:$A,HeadJournal!$A639,Journal!U:U)</f>
        <v>9687.8600000000042</v>
      </c>
      <c r="P639" s="22">
        <f t="shared" si="72"/>
        <v>0.55959921765882248</v>
      </c>
      <c r="R639" s="73">
        <f t="shared" si="73"/>
        <v>3.3502501712671003E-2</v>
      </c>
    </row>
    <row r="640" spans="1:18" x14ac:dyDescent="0.25">
      <c r="A640" s="12" t="s">
        <v>3556</v>
      </c>
      <c r="B640" s="124" t="s">
        <v>3557</v>
      </c>
      <c r="C640" s="12" t="s">
        <v>1737</v>
      </c>
      <c r="D640" s="12" t="s">
        <v>714</v>
      </c>
      <c r="E640" s="12" t="s">
        <v>1477</v>
      </c>
      <c r="F640" s="12" t="s">
        <v>3810</v>
      </c>
      <c r="G640" s="13">
        <v>45784</v>
      </c>
      <c r="H640" s="14">
        <f>17420.29/186.65</f>
        <v>93.331315296008569</v>
      </c>
      <c r="I640" s="14">
        <v>-9.19</v>
      </c>
      <c r="J640" s="8">
        <f>SUMIF(Journal!$A:$A,HeadJournal!$A640,Journal!$K:$K)+SUMIF(Journal!$A:$A,HeadJournal!$A640,Journal!$L:$L)+SUMIF(Journal!$A:$A,HeadJournal!$A640,Journal!$M:$M)</f>
        <v>186.65</v>
      </c>
      <c r="K640" s="14">
        <v>186.65</v>
      </c>
      <c r="L640" s="14">
        <f>(1300+820)/4</f>
        <v>530</v>
      </c>
      <c r="M640" s="8">
        <f>SUMIF(Journal!$A:$A,HeadJournal!$A640,Journal!$P:$P)</f>
        <v>17950.289999999997</v>
      </c>
      <c r="N640" s="8">
        <f>SUMIF(Journal!$A:$A,HeadJournal!$A640,Journal!Q:Q)</f>
        <v>25350</v>
      </c>
      <c r="O640" s="18">
        <f>SUMIF(Journal!$A:$A,HeadJournal!$A640,Journal!U:U)</f>
        <v>7399.7100000000009</v>
      </c>
      <c r="P640" s="22">
        <f t="shared" si="72"/>
        <v>0.41223345138156553</v>
      </c>
      <c r="R640" s="73">
        <f t="shared" si="73"/>
        <v>2.9525985374052457E-2</v>
      </c>
    </row>
    <row r="641" spans="1:18" x14ac:dyDescent="0.25">
      <c r="A641" s="12" t="s">
        <v>3591</v>
      </c>
      <c r="B641" s="12"/>
      <c r="C641" s="12" t="s">
        <v>1368</v>
      </c>
      <c r="D641" s="12" t="s">
        <v>714</v>
      </c>
      <c r="E641" s="12" t="s">
        <v>1477</v>
      </c>
      <c r="F641" s="12" t="s">
        <v>3592</v>
      </c>
      <c r="G641" s="13">
        <v>45782</v>
      </c>
      <c r="H641" s="14">
        <v>0.18</v>
      </c>
      <c r="I641" s="14">
        <v>0</v>
      </c>
      <c r="J641" s="8">
        <f>SUMIF(Journal!$A:$A,HeadJournal!$A641,Journal!$K:$K)+SUMIF(Journal!$A:$A,HeadJournal!$A641,Journal!$L:$L)+SUMIF(Journal!$A:$A,HeadJournal!$A641,Journal!$M:$M)</f>
        <v>58883.3</v>
      </c>
      <c r="K641" s="14">
        <v>58883.3</v>
      </c>
      <c r="L641" s="14">
        <f>1178*0.18+400</f>
        <v>612.04</v>
      </c>
      <c r="M641" s="8">
        <f>SUMIF(Journal!$A:$A,HeadJournal!$A641,Journal!$P:$P)</f>
        <v>11211.034</v>
      </c>
      <c r="N641" s="8">
        <f>SUMIF(Journal!$A:$A,HeadJournal!$A641,Journal!Q:Q)</f>
        <v>9269.4699999999993</v>
      </c>
      <c r="O641" s="18">
        <f>SUMIF(Journal!$A:$A,HeadJournal!$A641,Journal!U:U)</f>
        <v>-1941.5639999999987</v>
      </c>
      <c r="P641" s="22">
        <f t="shared" si="72"/>
        <v>-0.17318331208343485</v>
      </c>
      <c r="Q641" s="7" t="b">
        <f>J641=K641</f>
        <v>1</v>
      </c>
      <c r="R641" s="73">
        <f t="shared" si="73"/>
        <v>5.4592645067350613E-2</v>
      </c>
    </row>
    <row r="642" spans="1:18" x14ac:dyDescent="0.25">
      <c r="A642" s="12" t="s">
        <v>3803</v>
      </c>
      <c r="B642" s="124" t="s">
        <v>3811</v>
      </c>
      <c r="C642" s="12" t="s">
        <v>1752</v>
      </c>
      <c r="D642" s="12" t="s">
        <v>714</v>
      </c>
      <c r="E642" s="12" t="s">
        <v>1477</v>
      </c>
      <c r="F642" s="12" t="s">
        <v>3818</v>
      </c>
      <c r="G642" s="13">
        <v>45793</v>
      </c>
      <c r="H642" s="14">
        <f>16501.99/180.41</f>
        <v>91.469375311789818</v>
      </c>
      <c r="I642" s="14">
        <v>0</v>
      </c>
      <c r="J642" s="8">
        <f>SUMIF(Journal!$A:$A,HeadJournal!$A642,Journal!$K:$K)+SUMIF(Journal!$A:$A,HeadJournal!$A642,Journal!$L:$L)+SUMIF(Journal!$A:$A,HeadJournal!$A642,Journal!$M:$M)</f>
        <v>180.40999999999997</v>
      </c>
      <c r="K642" s="14">
        <v>180.41</v>
      </c>
      <c r="L642" s="14">
        <f>(820+1500)/4</f>
        <v>580</v>
      </c>
      <c r="M642" s="8">
        <f>SUMIF(Journal!$A:$A,HeadJournal!$A642,Journal!$P:$P)</f>
        <v>17081.990000000002</v>
      </c>
      <c r="N642" s="8">
        <f>SUMIF(Journal!$A:$A,HeadJournal!$A642,Journal!Q:Q)</f>
        <v>24700</v>
      </c>
      <c r="O642" s="18">
        <f>SUMIF(Journal!$A:$A,HeadJournal!$A642,Journal!U:U)</f>
        <v>7618.0099999999948</v>
      </c>
      <c r="P642" s="22">
        <f t="shared" si="72"/>
        <v>0.44596736094565059</v>
      </c>
      <c r="Q642" s="7" t="b">
        <f>J642=K642</f>
        <v>1</v>
      </c>
      <c r="R642" s="73">
        <f t="shared" si="73"/>
        <v>3.3953889447306783E-2</v>
      </c>
    </row>
    <row r="643" spans="1:18" x14ac:dyDescent="0.25">
      <c r="A643" s="12" t="s">
        <v>3804</v>
      </c>
      <c r="B643" s="124" t="s">
        <v>3812</v>
      </c>
      <c r="C643" s="12" t="s">
        <v>1735</v>
      </c>
      <c r="D643" s="12" t="s">
        <v>714</v>
      </c>
      <c r="E643" s="12" t="s">
        <v>1477</v>
      </c>
      <c r="F643" s="12" t="s">
        <v>3818</v>
      </c>
      <c r="G643" s="13">
        <v>45792</v>
      </c>
      <c r="H643" s="14">
        <f>16185.72/176.1</f>
        <v>91.912095400340718</v>
      </c>
      <c r="I643" s="14">
        <v>-8.32</v>
      </c>
      <c r="J643" s="8">
        <f>SUMIF(Journal!$A:$A,HeadJournal!$A643,Journal!$K:$K)+SUMIF(Journal!$A:$A,HeadJournal!$A643,Journal!$L:$L)+SUMIF(Journal!$A:$A,HeadJournal!$A643,Journal!$M:$M)</f>
        <v>176.1</v>
      </c>
      <c r="K643" s="14">
        <v>176.1</v>
      </c>
      <c r="L643" s="14">
        <f>(820+1500)/4</f>
        <v>580</v>
      </c>
      <c r="M643" s="8">
        <f>SUMIF(Journal!$A:$A,HeadJournal!$A643,Journal!$P:$P)</f>
        <v>16765.72</v>
      </c>
      <c r="N643" s="8">
        <f>SUMIF(Journal!$A:$A,HeadJournal!$A643,Journal!Q:Q)</f>
        <v>27936.38</v>
      </c>
      <c r="O643" s="18">
        <f>SUMIF(Journal!$A:$A,HeadJournal!$A643,Journal!U:U)</f>
        <v>11170.66</v>
      </c>
      <c r="P643" s="22">
        <f t="shared" ref="P643:P706" si="75">IF(N643&lt;&gt;0,IFERROR(O643/M643,""),"")</f>
        <v>0.66627976609414918</v>
      </c>
      <c r="R643" s="73">
        <f t="shared" ref="R643:R706" si="76">L643/M643</f>
        <v>3.4594398570416303E-2</v>
      </c>
    </row>
    <row r="644" spans="1:18" x14ac:dyDescent="0.25">
      <c r="A644" s="12" t="s">
        <v>3805</v>
      </c>
      <c r="B644" s="124" t="s">
        <v>3813</v>
      </c>
      <c r="C644" s="12" t="s">
        <v>1735</v>
      </c>
      <c r="D644" s="12" t="s">
        <v>714</v>
      </c>
      <c r="E644" s="12" t="s">
        <v>1477</v>
      </c>
      <c r="F644" s="12" t="s">
        <v>3836</v>
      </c>
      <c r="G644" s="13">
        <v>45801</v>
      </c>
      <c r="H644" s="14">
        <f>16816.98/182.95</f>
        <v>91.92118065045095</v>
      </c>
      <c r="I644" s="14">
        <v>-9.93</v>
      </c>
      <c r="J644" s="8">
        <f>SUMIF(Journal!$A:$A,HeadJournal!$A644,Journal!$K:$K)+SUMIF(Journal!$A:$A,HeadJournal!$A644,Journal!$L:$L)+SUMIF(Journal!$A:$A,HeadJournal!$A644,Journal!$M:$M)</f>
        <v>182.95000000000005</v>
      </c>
      <c r="K644" s="14">
        <v>182.95</v>
      </c>
      <c r="L644" s="14">
        <f>(820+1300)/4</f>
        <v>530</v>
      </c>
      <c r="M644" s="8">
        <f>SUMIF(Journal!$A:$A,HeadJournal!$A644,Journal!$P:$P)</f>
        <v>17346.979999999996</v>
      </c>
      <c r="N644" s="8">
        <f>SUMIF(Journal!$A:$A,HeadJournal!$A644,Journal!Q:Q)</f>
        <v>25500</v>
      </c>
      <c r="O644" s="18">
        <f>SUMIF(Journal!$A:$A,HeadJournal!$A644,Journal!U:U)</f>
        <v>8153.020000000005</v>
      </c>
      <c r="P644" s="22">
        <f t="shared" si="75"/>
        <v>0.46999650659653769</v>
      </c>
      <c r="R644" s="73">
        <f t="shared" si="76"/>
        <v>3.0552868568477057E-2</v>
      </c>
    </row>
    <row r="645" spans="1:18" x14ac:dyDescent="0.25">
      <c r="A645" s="12" t="s">
        <v>3806</v>
      </c>
      <c r="B645" s="124" t="s">
        <v>3814</v>
      </c>
      <c r="C645" s="12" t="s">
        <v>1735</v>
      </c>
      <c r="D645" s="12" t="s">
        <v>714</v>
      </c>
      <c r="E645" s="12" t="s">
        <v>1477</v>
      </c>
      <c r="F645" s="12" t="s">
        <v>3836</v>
      </c>
      <c r="G645" s="13">
        <v>45804</v>
      </c>
      <c r="H645" s="14">
        <f>14540.36/158.18</f>
        <v>91.922872676697438</v>
      </c>
      <c r="I645" s="14">
        <v>-19.34</v>
      </c>
      <c r="J645" s="8">
        <f>SUMIF(Journal!$A:$A,HeadJournal!$A645,Journal!$K:$K)+SUMIF(Journal!$A:$A,HeadJournal!$A645,Journal!$L:$L)+SUMIF(Journal!$A:$A,HeadJournal!$A645,Journal!$M:$M)</f>
        <v>158.18000000000004</v>
      </c>
      <c r="K645" s="14">
        <v>158.18</v>
      </c>
      <c r="L645" s="14">
        <f>(820+1300)/4</f>
        <v>530</v>
      </c>
      <c r="M645" s="8">
        <f>SUMIF(Journal!$A:$A,HeadJournal!$A645,Journal!$P:$P)</f>
        <v>15070.359999999999</v>
      </c>
      <c r="N645" s="8">
        <f>SUMIF(Journal!$A:$A,HeadJournal!$A645,Journal!Q:Q)</f>
        <v>24819.23</v>
      </c>
      <c r="O645" s="18">
        <f>SUMIF(Journal!$A:$A,HeadJournal!$A645,Journal!U:U)</f>
        <v>9748.8700000000008</v>
      </c>
      <c r="P645" s="22">
        <f t="shared" si="75"/>
        <v>0.64689031980656075</v>
      </c>
      <c r="R645" s="73">
        <f t="shared" si="76"/>
        <v>3.5168370231368068E-2</v>
      </c>
    </row>
    <row r="646" spans="1:18" x14ac:dyDescent="0.25">
      <c r="A646" s="12" t="s">
        <v>3807</v>
      </c>
      <c r="B646" s="124" t="s">
        <v>3815</v>
      </c>
      <c r="C646" s="12" t="s">
        <v>1737</v>
      </c>
      <c r="D646" s="12" t="s">
        <v>714</v>
      </c>
      <c r="E646" s="12" t="s">
        <v>1477</v>
      </c>
      <c r="F646" s="12" t="s">
        <v>3818</v>
      </c>
      <c r="G646" s="13">
        <v>45791</v>
      </c>
      <c r="H646" s="14">
        <f>16979.62/183.39</f>
        <v>92.587491139102454</v>
      </c>
      <c r="I646" s="14">
        <v>-9.94</v>
      </c>
      <c r="J646" s="8">
        <f>SUMIF(Journal!$A:$A,HeadJournal!$A646,Journal!$K:$K)+SUMIF(Journal!$A:$A,HeadJournal!$A646,Journal!$L:$L)+SUMIF(Journal!$A:$A,HeadJournal!$A646,Journal!$M:$M)</f>
        <v>183.39</v>
      </c>
      <c r="K646" s="14">
        <v>183.39</v>
      </c>
      <c r="L646" s="14">
        <f>(820+1500)/4</f>
        <v>580</v>
      </c>
      <c r="M646" s="8">
        <f>SUMIF(Journal!$A:$A,HeadJournal!$A646,Journal!$P:$P)</f>
        <v>17559.62</v>
      </c>
      <c r="N646" s="8">
        <f>SUMIF(Journal!$A:$A,HeadJournal!$A646,Journal!Q:Q)</f>
        <v>25600</v>
      </c>
      <c r="O646" s="18">
        <f>SUMIF(Journal!$A:$A,HeadJournal!$A646,Journal!U:U)</f>
        <v>8040.380000000001</v>
      </c>
      <c r="P646" s="22">
        <f t="shared" si="75"/>
        <v>0.4578903188109994</v>
      </c>
      <c r="R646" s="73">
        <f t="shared" si="76"/>
        <v>3.3030327535561704E-2</v>
      </c>
    </row>
    <row r="647" spans="1:18" x14ac:dyDescent="0.25">
      <c r="A647" s="12" t="s">
        <v>3808</v>
      </c>
      <c r="B647" s="124" t="s">
        <v>3816</v>
      </c>
      <c r="C647" s="12" t="s">
        <v>1751</v>
      </c>
      <c r="D647" s="12" t="s">
        <v>714</v>
      </c>
      <c r="E647" s="12" t="s">
        <v>1477</v>
      </c>
      <c r="F647" s="12" t="s">
        <v>3836</v>
      </c>
      <c r="G647" s="13">
        <v>45798</v>
      </c>
      <c r="H647" s="14">
        <f>17680.32/193.29</f>
        <v>91.470433028092501</v>
      </c>
      <c r="I647" s="14">
        <v>0</v>
      </c>
      <c r="J647" s="8">
        <f>SUMIF(Journal!$A:$A,HeadJournal!$A647,Journal!$K:$K)+SUMIF(Journal!$A:$A,HeadJournal!$A647,Journal!$L:$L)+SUMIF(Journal!$A:$A,HeadJournal!$A647,Journal!$M:$M)</f>
        <v>193.29000000000002</v>
      </c>
      <c r="K647" s="14">
        <v>193.29</v>
      </c>
      <c r="L647" s="14">
        <f>(820+1300)/4</f>
        <v>530</v>
      </c>
      <c r="M647" s="8">
        <f>SUMIF(Journal!$A:$A,HeadJournal!$A647,Journal!$P:$P)</f>
        <v>18210.319999999996</v>
      </c>
      <c r="N647" s="8">
        <f>SUMIF(Journal!$A:$A,HeadJournal!$A647,Journal!Q:Q)</f>
        <v>28400</v>
      </c>
      <c r="O647" s="18">
        <f>SUMIF(Journal!$A:$A,HeadJournal!$A647,Journal!U:U)</f>
        <v>10189.680000000004</v>
      </c>
      <c r="P647" s="22">
        <f t="shared" si="75"/>
        <v>0.55955524120388911</v>
      </c>
      <c r="R647" s="73">
        <f t="shared" si="76"/>
        <v>2.9104375980213423E-2</v>
      </c>
    </row>
    <row r="648" spans="1:18" x14ac:dyDescent="0.25">
      <c r="A648" s="12" t="s">
        <v>3809</v>
      </c>
      <c r="B648" s="124" t="s">
        <v>3817</v>
      </c>
      <c r="C648" s="12" t="s">
        <v>1751</v>
      </c>
      <c r="D648" s="12" t="s">
        <v>714</v>
      </c>
      <c r="E648" s="12" t="s">
        <v>1477</v>
      </c>
      <c r="F648" s="12" t="s">
        <v>3836</v>
      </c>
      <c r="G648" s="13">
        <v>45805</v>
      </c>
      <c r="H648" s="14">
        <f>10237.14/111.01</f>
        <v>92.218178542473638</v>
      </c>
      <c r="I648" s="14">
        <v>-17.350000000000001</v>
      </c>
      <c r="J648" s="8">
        <f>SUMIF(Journal!$A:$A,HeadJournal!$A648,Journal!$K:$K)+SUMIF(Journal!$A:$A,HeadJournal!$A648,Journal!$L:$L)+SUMIF(Journal!$A:$A,HeadJournal!$A648,Journal!$M:$M)</f>
        <v>111.00999999999998</v>
      </c>
      <c r="K648" s="14">
        <v>111.01</v>
      </c>
      <c r="L648" s="14">
        <f>(820+1300)/4</f>
        <v>530</v>
      </c>
      <c r="M648" s="8">
        <f>SUMIF(Journal!$A:$A,HeadJournal!$A648,Journal!$P:$P)</f>
        <v>10767.14</v>
      </c>
      <c r="N648" s="8">
        <f>SUMIF(Journal!$A:$A,HeadJournal!$A648,Journal!Q:Q)</f>
        <v>19400</v>
      </c>
      <c r="O648" s="18">
        <f>SUMIF(Journal!$A:$A,HeadJournal!$A648,Journal!U:U)</f>
        <v>8632.86</v>
      </c>
      <c r="P648" s="22">
        <f t="shared" si="75"/>
        <v>0.80177837383000505</v>
      </c>
      <c r="R648" s="73">
        <f t="shared" si="76"/>
        <v>4.9223842171644466E-2</v>
      </c>
    </row>
    <row r="649" spans="1:18" x14ac:dyDescent="0.25">
      <c r="A649" s="12" t="s">
        <v>3827</v>
      </c>
      <c r="B649" s="124" t="s">
        <v>3831</v>
      </c>
      <c r="C649" s="12" t="s">
        <v>1737</v>
      </c>
      <c r="D649" s="12" t="s">
        <v>714</v>
      </c>
      <c r="E649" s="12" t="s">
        <v>1477</v>
      </c>
      <c r="F649" s="12" t="s">
        <v>3895</v>
      </c>
      <c r="G649" s="13">
        <v>45814</v>
      </c>
      <c r="H649" s="14">
        <f>15337.22/171.23</f>
        <v>89.570869590609121</v>
      </c>
      <c r="I649" s="14">
        <v>-19.41</v>
      </c>
      <c r="J649" s="8">
        <f>SUMIF(Journal!$A:$A,HeadJournal!$A649,Journal!$K:$K)+SUMIF(Journal!$A:$A,HeadJournal!$A649,Journal!$L:$L)+SUMIF(Journal!$A:$A,HeadJournal!$A649,Journal!$M:$M)</f>
        <v>171.23000000000002</v>
      </c>
      <c r="K649" s="14">
        <v>171.23</v>
      </c>
      <c r="L649" s="14">
        <f>(1200+820)/3</f>
        <v>673.33333333333337</v>
      </c>
      <c r="M649" s="8">
        <f>SUMIF(Journal!$A:$A,HeadJournal!$A649,Journal!$P:$P)</f>
        <v>16010.553333333328</v>
      </c>
      <c r="N649" s="8">
        <f>SUMIF(Journal!$A:$A,HeadJournal!$A649,Journal!Q:Q)</f>
        <v>27100</v>
      </c>
      <c r="O649" s="18">
        <f>SUMIF(Journal!$A:$A,HeadJournal!$A649,Journal!U:U)</f>
        <v>11089.446666666669</v>
      </c>
      <c r="P649" s="22">
        <f t="shared" si="75"/>
        <v>0.69263356710969426</v>
      </c>
      <c r="R649" s="73">
        <f t="shared" si="76"/>
        <v>4.2055594164349112E-2</v>
      </c>
    </row>
    <row r="650" spans="1:18" x14ac:dyDescent="0.25">
      <c r="A650" s="12" t="s">
        <v>3830</v>
      </c>
      <c r="B650" s="124" t="s">
        <v>3832</v>
      </c>
      <c r="C650" s="12" t="s">
        <v>1752</v>
      </c>
      <c r="D650" s="12" t="s">
        <v>714</v>
      </c>
      <c r="E650" s="12" t="s">
        <v>1477</v>
      </c>
      <c r="F650" s="12" t="s">
        <v>3895</v>
      </c>
      <c r="G650" s="13">
        <v>45813</v>
      </c>
      <c r="H650" s="14">
        <f>15900.29/177.58</f>
        <v>89.538743101700646</v>
      </c>
      <c r="I650" s="14">
        <v>-19.350000000000001</v>
      </c>
      <c r="J650" s="8">
        <f>SUMIF(Journal!$A:$A,HeadJournal!$A650,Journal!$K:$K)+SUMIF(Journal!$A:$A,HeadJournal!$A650,Journal!$L:$L)+SUMIF(Journal!$A:$A,HeadJournal!$A650,Journal!$M:$M)</f>
        <v>177.57999999999996</v>
      </c>
      <c r="K650" s="14">
        <v>177.58</v>
      </c>
      <c r="L650" s="14">
        <f>(1200+820)/3</f>
        <v>673.33333333333337</v>
      </c>
      <c r="M650" s="8">
        <f>SUMIF(Journal!$A:$A,HeadJournal!$A650,Journal!$P:$P)</f>
        <v>16573.62333333334</v>
      </c>
      <c r="N650" s="8">
        <f>SUMIF(Journal!$A:$A,HeadJournal!$A650,Journal!Q:Q)</f>
        <v>30700</v>
      </c>
      <c r="O650" s="18">
        <f>SUMIF(Journal!$A:$A,HeadJournal!$A650,Journal!U:U)</f>
        <v>14126.376666666662</v>
      </c>
      <c r="P650" s="22">
        <f t="shared" si="75"/>
        <v>0.85234087818656368</v>
      </c>
      <c r="Q650" s="7" t="b">
        <f>J650=K650</f>
        <v>1</v>
      </c>
      <c r="R650" s="73">
        <f t="shared" si="76"/>
        <v>4.0626803191496835E-2</v>
      </c>
    </row>
    <row r="651" spans="1:18" x14ac:dyDescent="0.25">
      <c r="A651" s="12" t="s">
        <v>3833</v>
      </c>
      <c r="B651" s="12"/>
      <c r="C651" s="12" t="s">
        <v>843</v>
      </c>
      <c r="D651" s="12" t="s">
        <v>714</v>
      </c>
      <c r="E651" s="12" t="s">
        <v>1477</v>
      </c>
      <c r="F651" s="12"/>
      <c r="G651" s="13">
        <v>45807</v>
      </c>
      <c r="H651" s="14">
        <v>1</v>
      </c>
      <c r="I651" s="14">
        <v>0</v>
      </c>
      <c r="J651" s="8">
        <f>SUMIF(Journal!$A:$A,HeadJournal!$A651,Journal!$K:$K)+SUMIF(Journal!$A:$A,HeadJournal!$A651,Journal!$L:$L)+SUMIF(Journal!$A:$A,HeadJournal!$A651,Journal!$M:$M)</f>
        <v>3194</v>
      </c>
      <c r="K651" s="14">
        <v>2075</v>
      </c>
      <c r="L651" s="14">
        <v>0</v>
      </c>
      <c r="M651" s="8">
        <f>SUMIF(Journal!$A:$A,HeadJournal!$A651,Journal!$P:$P)</f>
        <v>2075</v>
      </c>
      <c r="N651" s="8">
        <f>SUMIF(Journal!$A:$A,HeadJournal!$A651,Journal!Q:Q)</f>
        <v>4600</v>
      </c>
      <c r="O651" s="18">
        <f>SUMIF(Journal!$A:$A,HeadJournal!$A651,Journal!U:U)</f>
        <v>2525</v>
      </c>
      <c r="P651" s="22">
        <f t="shared" si="75"/>
        <v>1.2168674698795181</v>
      </c>
      <c r="Q651" s="7" t="b">
        <f>J651=K651</f>
        <v>0</v>
      </c>
      <c r="R651" s="73">
        <f t="shared" si="76"/>
        <v>0</v>
      </c>
    </row>
    <row r="652" spans="1:18" x14ac:dyDescent="0.25">
      <c r="A652" s="12" t="s">
        <v>3837</v>
      </c>
      <c r="B652" s="12"/>
      <c r="C652" s="12" t="s">
        <v>843</v>
      </c>
      <c r="D652" s="12" t="s">
        <v>714</v>
      </c>
      <c r="E652" s="12" t="s">
        <v>1477</v>
      </c>
      <c r="F652" s="12"/>
      <c r="G652" s="13">
        <v>45793</v>
      </c>
      <c r="H652" s="14">
        <v>1</v>
      </c>
      <c r="I652" s="14">
        <v>0</v>
      </c>
      <c r="J652" s="8">
        <f>SUMIF(Journal!$A:$A,HeadJournal!$A652,Journal!$K:$K)+SUMIF(Journal!$A:$A,HeadJournal!$A652,Journal!$L:$L)+SUMIF(Journal!$A:$A,HeadJournal!$A652,Journal!$M:$M)</f>
        <v>3917</v>
      </c>
      <c r="K652" s="14">
        <v>3917</v>
      </c>
      <c r="L652" s="14">
        <v>0</v>
      </c>
      <c r="M652" s="8">
        <f>SUMIF(Journal!$A:$A,HeadJournal!$A652,Journal!$P:$P)</f>
        <v>3917</v>
      </c>
      <c r="N652" s="8">
        <f>SUMIF(Journal!$A:$A,HeadJournal!$A652,Journal!Q:Q)</f>
        <v>6000</v>
      </c>
      <c r="O652" s="18">
        <f>SUMIF(Journal!$A:$A,HeadJournal!$A652,Journal!U:U)</f>
        <v>2083</v>
      </c>
      <c r="P652" s="22">
        <f t="shared" si="75"/>
        <v>0.53178452897625739</v>
      </c>
      <c r="Q652" s="7" t="b">
        <f>J652=K652</f>
        <v>1</v>
      </c>
      <c r="R652" s="73">
        <f t="shared" si="76"/>
        <v>0</v>
      </c>
    </row>
    <row r="653" spans="1:18" x14ac:dyDescent="0.25">
      <c r="A653" s="12" t="s">
        <v>3857</v>
      </c>
      <c r="B653" s="124" t="s">
        <v>3884</v>
      </c>
      <c r="C653" s="12" t="s">
        <v>1751</v>
      </c>
      <c r="D653" s="12" t="s">
        <v>714</v>
      </c>
      <c r="E653" s="12" t="s">
        <v>1477</v>
      </c>
      <c r="F653" s="12" t="s">
        <v>3895</v>
      </c>
      <c r="G653" s="13">
        <v>45818</v>
      </c>
      <c r="H653" s="14">
        <f>14881.76/166.07</f>
        <v>89.611368699945814</v>
      </c>
      <c r="I653" s="14">
        <v>-19.579999999999998</v>
      </c>
      <c r="J653" s="8">
        <f>SUMIF(Journal!$A:$A,HeadJournal!$A653,Journal!$K:$K)+SUMIF(Journal!$A:$A,HeadJournal!$A653,Journal!$L:$L)+SUMIF(Journal!$A:$A,HeadJournal!$A653,Journal!$M:$M)</f>
        <v>166.07000000000005</v>
      </c>
      <c r="K653" s="14">
        <v>166.07</v>
      </c>
      <c r="L653" s="14">
        <f>(1200+820)/3</f>
        <v>673.33333333333337</v>
      </c>
      <c r="M653" s="8">
        <f>SUMIF(Journal!$A:$A,HeadJournal!$A653,Journal!$P:$P)</f>
        <v>15555.093333333331</v>
      </c>
      <c r="N653" s="8">
        <f>SUMIF(Journal!$A:$A,HeadJournal!$A653,Journal!Q:Q)</f>
        <v>27896.31</v>
      </c>
      <c r="O653" s="18">
        <f>SUMIF(Journal!$A:$A,HeadJournal!$A653,Journal!U:U)</f>
        <v>12341.216666666669</v>
      </c>
      <c r="P653" s="22">
        <f t="shared" si="75"/>
        <v>0.79338750351439047</v>
      </c>
      <c r="R653" s="73">
        <f t="shared" si="76"/>
        <v>4.32870005280157E-2</v>
      </c>
    </row>
    <row r="654" spans="1:18" x14ac:dyDescent="0.25">
      <c r="A654" s="12" t="s">
        <v>3870</v>
      </c>
      <c r="B654" s="124" t="s">
        <v>3885</v>
      </c>
      <c r="C654" s="12" t="s">
        <v>1751</v>
      </c>
      <c r="D654" s="12" t="s">
        <v>714</v>
      </c>
      <c r="E654" s="12" t="s">
        <v>1477</v>
      </c>
      <c r="F654" s="12" t="s">
        <v>3949</v>
      </c>
      <c r="G654" s="13">
        <v>45822</v>
      </c>
      <c r="H654" s="14">
        <f>15382.16/171.74</f>
        <v>89.566554093396988</v>
      </c>
      <c r="I654" s="14">
        <v>-19.329999999999998</v>
      </c>
      <c r="J654" s="8">
        <f>SUMIF(Journal!$A:$A,HeadJournal!$A654,Journal!$K:$K)+SUMIF(Journal!$A:$A,HeadJournal!$A654,Journal!$L:$L)+SUMIF(Journal!$A:$A,HeadJournal!$A654,Journal!$M:$M)</f>
        <v>171.74000000000004</v>
      </c>
      <c r="K654" s="14">
        <v>171.74</v>
      </c>
      <c r="L654" s="14">
        <f>(1200+820)/3</f>
        <v>673.33333333333337</v>
      </c>
      <c r="M654" s="8">
        <f>SUMIF(Journal!$A:$A,HeadJournal!$A654,Journal!$P:$P)</f>
        <v>16055.49333333333</v>
      </c>
      <c r="N654" s="8">
        <f>SUMIF(Journal!$A:$A,HeadJournal!$A654,Journal!Q:Q)</f>
        <v>25486.53</v>
      </c>
      <c r="O654" s="18">
        <f>SUMIF(Journal!$A:$A,HeadJournal!$A654,Journal!U:U)</f>
        <v>9431.0366666666687</v>
      </c>
      <c r="P654" s="22">
        <f t="shared" si="75"/>
        <v>0.58740248405114948</v>
      </c>
      <c r="R654" s="73">
        <f t="shared" si="76"/>
        <v>4.1937878790395323E-2</v>
      </c>
    </row>
    <row r="655" spans="1:18" x14ac:dyDescent="0.25">
      <c r="A655" s="12" t="s">
        <v>3883</v>
      </c>
      <c r="B655" s="124" t="s">
        <v>3886</v>
      </c>
      <c r="C655" s="12" t="s">
        <v>1735</v>
      </c>
      <c r="D655" s="12" t="s">
        <v>714</v>
      </c>
      <c r="E655" s="12" t="s">
        <v>1477</v>
      </c>
      <c r="F655" s="12" t="s">
        <v>3949</v>
      </c>
      <c r="G655" s="13">
        <v>45818</v>
      </c>
      <c r="H655" s="14">
        <f>11516.37/128.37</f>
        <v>89.712315961673298</v>
      </c>
      <c r="I655" s="14">
        <v>-16.760000000000002</v>
      </c>
      <c r="J655" s="8">
        <f>SUMIF(Journal!$A:$A,HeadJournal!$A655,Journal!$K:$K)+SUMIF(Journal!$A:$A,HeadJournal!$A655,Journal!$L:$L)+SUMIF(Journal!$A:$A,HeadJournal!$A655,Journal!$M:$M)</f>
        <v>128.37</v>
      </c>
      <c r="K655" s="14">
        <v>128.37</v>
      </c>
      <c r="L655" s="14">
        <f>(1200+820)/3</f>
        <v>673.33333333333337</v>
      </c>
      <c r="M655" s="8">
        <f>SUMIF(Journal!$A:$A,HeadJournal!$A655,Journal!$P:$P)</f>
        <v>12189.703333333335</v>
      </c>
      <c r="N655" s="8">
        <f>SUMIF(Journal!$A:$A,HeadJournal!$A655,Journal!Q:Q)</f>
        <v>21297.71</v>
      </c>
      <c r="O655" s="18">
        <f>SUMIF(Journal!$A:$A,HeadJournal!$A655,Journal!U:U)</f>
        <v>9108.0066666666662</v>
      </c>
      <c r="P655" s="22">
        <f t="shared" si="75"/>
        <v>0.74718854246110977</v>
      </c>
      <c r="R655" s="73">
        <f t="shared" si="76"/>
        <v>5.5237876995092305E-2</v>
      </c>
    </row>
    <row r="656" spans="1:18" x14ac:dyDescent="0.25">
      <c r="A656" s="12" t="s">
        <v>3887</v>
      </c>
      <c r="B656" s="12"/>
      <c r="C656" s="12" t="s">
        <v>843</v>
      </c>
      <c r="D656" s="12" t="s">
        <v>714</v>
      </c>
      <c r="E656" s="12" t="s">
        <v>1477</v>
      </c>
      <c r="F656" s="12"/>
      <c r="G656" s="13">
        <v>45709</v>
      </c>
      <c r="H656" s="14">
        <v>1</v>
      </c>
      <c r="I656" s="14">
        <v>0</v>
      </c>
      <c r="J656" s="8">
        <f>SUMIF(Journal!$A:$A,HeadJournal!$A656,Journal!$K:$K)+SUMIF(Journal!$A:$A,HeadJournal!$A656,Journal!$L:$L)+SUMIF(Journal!$A:$A,HeadJournal!$A656,Journal!$M:$M)</f>
        <v>2943</v>
      </c>
      <c r="K656" s="14">
        <v>2943</v>
      </c>
      <c r="L656" s="14">
        <v>0</v>
      </c>
      <c r="M656" s="8">
        <f>SUMIF(Journal!$A:$A,HeadJournal!$A656,Journal!$P:$P)</f>
        <v>2943</v>
      </c>
      <c r="N656" s="8">
        <f>SUMIF(Journal!$A:$A,HeadJournal!$A656,Journal!Q:Q)</f>
        <v>4800</v>
      </c>
      <c r="O656" s="18">
        <f>SUMIF(Journal!$A:$A,HeadJournal!$A656,Journal!U:U)</f>
        <v>1857</v>
      </c>
      <c r="P656" s="22">
        <f t="shared" si="75"/>
        <v>0.63098878695208971</v>
      </c>
      <c r="Q656" s="7" t="b">
        <f>J656=K656</f>
        <v>1</v>
      </c>
      <c r="R656" s="73">
        <f t="shared" si="76"/>
        <v>0</v>
      </c>
    </row>
    <row r="657" spans="1:18" x14ac:dyDescent="0.25">
      <c r="A657" s="12" t="s">
        <v>3893</v>
      </c>
      <c r="B657" s="12"/>
      <c r="C657" s="12" t="s">
        <v>1380</v>
      </c>
      <c r="D657" s="12" t="s">
        <v>714</v>
      </c>
      <c r="E657" s="12" t="s">
        <v>1477</v>
      </c>
      <c r="F657" s="12"/>
      <c r="G657" s="13">
        <v>45821</v>
      </c>
      <c r="H657" s="14">
        <v>1</v>
      </c>
      <c r="I657" s="14">
        <v>0</v>
      </c>
      <c r="J657" s="8">
        <f>SUMIF(Journal!$A:$A,HeadJournal!$A657,Journal!$K:$K)+SUMIF(Journal!$A:$A,HeadJournal!$A657,Journal!$L:$L)+SUMIF(Journal!$A:$A,HeadJournal!$A657,Journal!$M:$M)</f>
        <v>890</v>
      </c>
      <c r="K657" s="14">
        <v>890</v>
      </c>
      <c r="L657" s="14">
        <v>0</v>
      </c>
      <c r="M657" s="8">
        <f>SUMIF(Journal!$A:$A,HeadJournal!$A657,Journal!$P:$P)</f>
        <v>890</v>
      </c>
      <c r="N657" s="8">
        <f>SUMIF(Journal!$A:$A,HeadJournal!$A657,Journal!Q:Q)</f>
        <v>1600</v>
      </c>
      <c r="O657" s="18">
        <f>SUMIF(Journal!$A:$A,HeadJournal!$A657,Journal!U:U)</f>
        <v>710</v>
      </c>
      <c r="P657" s="22">
        <f t="shared" si="75"/>
        <v>0.797752808988764</v>
      </c>
      <c r="Q657" s="7" t="b">
        <f>J657=K657</f>
        <v>1</v>
      </c>
      <c r="R657" s="73">
        <f t="shared" si="76"/>
        <v>0</v>
      </c>
    </row>
    <row r="658" spans="1:18" x14ac:dyDescent="0.25">
      <c r="A658" s="12" t="s">
        <v>3894</v>
      </c>
      <c r="B658" s="12"/>
      <c r="C658" s="12" t="s">
        <v>1380</v>
      </c>
      <c r="D658" s="12" t="s">
        <v>714</v>
      </c>
      <c r="E658" s="12" t="s">
        <v>1477</v>
      </c>
      <c r="F658" s="12"/>
      <c r="G658" s="13">
        <v>45821</v>
      </c>
      <c r="H658" s="14">
        <v>1</v>
      </c>
      <c r="I658" s="14">
        <v>0</v>
      </c>
      <c r="J658" s="8">
        <f>SUMIF(Journal!$A:$A,HeadJournal!$A658,Journal!$K:$K)+SUMIF(Journal!$A:$A,HeadJournal!$A658,Journal!$L:$L)+SUMIF(Journal!$A:$A,HeadJournal!$A658,Journal!$M:$M)</f>
        <v>2572</v>
      </c>
      <c r="K658" s="14">
        <v>2572</v>
      </c>
      <c r="L658" s="14">
        <v>0</v>
      </c>
      <c r="M658" s="8">
        <f>SUMIF(Journal!$A:$A,HeadJournal!$A658,Journal!$P:$P)</f>
        <v>2572</v>
      </c>
      <c r="N658" s="8">
        <f>SUMIF(Journal!$A:$A,HeadJournal!$A658,Journal!Q:Q)</f>
        <v>4000</v>
      </c>
      <c r="O658" s="18">
        <f>SUMIF(Journal!$A:$A,HeadJournal!$A658,Journal!U:U)</f>
        <v>1428</v>
      </c>
      <c r="P658" s="22">
        <f t="shared" si="75"/>
        <v>0.55520995334370138</v>
      </c>
      <c r="Q658" s="7" t="b">
        <f>J658=K658</f>
        <v>1</v>
      </c>
      <c r="R658" s="73">
        <f t="shared" si="76"/>
        <v>0</v>
      </c>
    </row>
    <row r="659" spans="1:18" x14ac:dyDescent="0.25">
      <c r="A659" s="12" t="s">
        <v>3908</v>
      </c>
      <c r="B659" s="124" t="s">
        <v>3948</v>
      </c>
      <c r="C659" s="12" t="s">
        <v>1752</v>
      </c>
      <c r="D659" s="12" t="s">
        <v>714</v>
      </c>
      <c r="E659" s="12" t="s">
        <v>1477</v>
      </c>
      <c r="F659" s="12"/>
      <c r="G659" s="13">
        <v>45829</v>
      </c>
      <c r="H659" s="14">
        <f>13858.75/154.64</f>
        <v>89.619438696326966</v>
      </c>
      <c r="I659" s="14">
        <v>-18.440000000000001</v>
      </c>
      <c r="J659" s="8">
        <f>SUMIF(Journal!$A:$A,HeadJournal!$A659,Journal!$K:$K)+SUMIF(Journal!$A:$A,HeadJournal!$A659,Journal!$L:$L)+SUMIF(Journal!$A:$A,HeadJournal!$A659,Journal!$M:$M)</f>
        <v>154.64000000000004</v>
      </c>
      <c r="K659" s="14">
        <v>154.63999999999999</v>
      </c>
      <c r="L659" s="14">
        <f>(820+1300)/5</f>
        <v>424</v>
      </c>
      <c r="M659" s="8">
        <f>SUMIF(Journal!$A:$A,HeadJournal!$A659,Journal!$P:$P)</f>
        <v>14282.749999999996</v>
      </c>
      <c r="N659" s="8">
        <f>SUMIF(Journal!$A:$A,HeadJournal!$A659,Journal!Q:Q)</f>
        <v>30250</v>
      </c>
      <c r="O659" s="18">
        <f>SUMIF(Journal!$A:$A,HeadJournal!$A659,Journal!U:U)</f>
        <v>15967.250000000004</v>
      </c>
      <c r="P659" s="22">
        <f t="shared" si="75"/>
        <v>1.117939472440532</v>
      </c>
      <c r="Q659" s="7" t="b">
        <f>J659=K659</f>
        <v>1</v>
      </c>
      <c r="R659" s="73">
        <f t="shared" si="76"/>
        <v>2.9686159878174728E-2</v>
      </c>
    </row>
    <row r="660" spans="1:18" x14ac:dyDescent="0.25">
      <c r="A660" s="12" t="s">
        <v>3912</v>
      </c>
      <c r="B660" s="124" t="s">
        <v>3947</v>
      </c>
      <c r="C660" s="12" t="s">
        <v>1752</v>
      </c>
      <c r="D660" s="12" t="s">
        <v>714</v>
      </c>
      <c r="E660" s="12" t="s">
        <v>1477</v>
      </c>
      <c r="F660" s="12"/>
      <c r="G660" s="13">
        <v>45836</v>
      </c>
      <c r="H660" s="14">
        <f>14717.77/166.01</f>
        <v>88.655924341907124</v>
      </c>
      <c r="I660" s="14">
        <v>0</v>
      </c>
      <c r="J660" s="8">
        <f>SUMIF(Journal!$A:$A,HeadJournal!$A660,Journal!$K:$K)+SUMIF(Journal!$A:$A,HeadJournal!$A660,Journal!$L:$L)+SUMIF(Journal!$A:$A,HeadJournal!$A660,Journal!$M:$M)</f>
        <v>166.01</v>
      </c>
      <c r="K660" s="14">
        <v>166.01</v>
      </c>
      <c r="L660" s="14">
        <f>(820+1300)/5</f>
        <v>424</v>
      </c>
      <c r="M660" s="8">
        <f>SUMIF(Journal!$A:$A,HeadJournal!$A660,Journal!$P:$P)</f>
        <v>15141.769999999999</v>
      </c>
      <c r="N660" s="8">
        <f>SUMIF(Journal!$A:$A,HeadJournal!$A660,Journal!Q:Q)</f>
        <v>22800</v>
      </c>
      <c r="O660" s="18">
        <f>SUMIF(Journal!$A:$A,HeadJournal!$A660,Journal!U:U)</f>
        <v>7658.2299999999987</v>
      </c>
      <c r="P660" s="22">
        <f t="shared" si="75"/>
        <v>0.50576848017107634</v>
      </c>
      <c r="Q660" s="7" t="b">
        <f>J660=K660</f>
        <v>1</v>
      </c>
      <c r="R660" s="73">
        <f t="shared" si="76"/>
        <v>2.8002010333005985E-2</v>
      </c>
    </row>
    <row r="661" spans="1:18" x14ac:dyDescent="0.25">
      <c r="A661" s="12" t="s">
        <v>3921</v>
      </c>
      <c r="B661" s="124" t="s">
        <v>3946</v>
      </c>
      <c r="C661" s="12" t="s">
        <v>1735</v>
      </c>
      <c r="D661" s="12" t="s">
        <v>714</v>
      </c>
      <c r="E661" s="12" t="s">
        <v>1477</v>
      </c>
      <c r="F661" s="12" t="s">
        <v>3949</v>
      </c>
      <c r="G661" s="13">
        <v>45827</v>
      </c>
      <c r="H661" s="14">
        <f>14021.85/156.5</f>
        <v>89.596485623003204</v>
      </c>
      <c r="I661" s="14">
        <v>-18.04</v>
      </c>
      <c r="J661" s="8">
        <f>SUMIF(Journal!$A:$A,HeadJournal!$A661,Journal!$K:$K)+SUMIF(Journal!$A:$A,HeadJournal!$A661,Journal!$L:$L)+SUMIF(Journal!$A:$A,HeadJournal!$A661,Journal!$M:$M)</f>
        <v>156.5</v>
      </c>
      <c r="K661" s="14">
        <v>156.5</v>
      </c>
      <c r="L661" s="14">
        <f>(1200+820)/3</f>
        <v>673.33333333333337</v>
      </c>
      <c r="M661" s="8">
        <f>SUMIF(Journal!$A:$A,HeadJournal!$A661,Journal!$P:$P)</f>
        <v>14695.183333333331</v>
      </c>
      <c r="N661" s="8">
        <f>SUMIF(Journal!$A:$A,HeadJournal!$A661,Journal!Q:Q)</f>
        <v>26234.45</v>
      </c>
      <c r="O661" s="18">
        <f>SUMIF(Journal!$A:$A,HeadJournal!$A661,Journal!U:U)</f>
        <v>11539.266666666666</v>
      </c>
      <c r="P661" s="22">
        <f t="shared" si="75"/>
        <v>0.78524142264302033</v>
      </c>
      <c r="R661" s="73">
        <f t="shared" si="76"/>
        <v>4.5820002245633783E-2</v>
      </c>
    </row>
    <row r="662" spans="1:18" x14ac:dyDescent="0.25">
      <c r="A662" s="12" t="s">
        <v>3926</v>
      </c>
      <c r="B662" s="124" t="s">
        <v>3945</v>
      </c>
      <c r="C662" s="12" t="s">
        <v>1735</v>
      </c>
      <c r="D662" s="12" t="s">
        <v>714</v>
      </c>
      <c r="E662" s="12" t="s">
        <v>1477</v>
      </c>
      <c r="F662" s="12"/>
      <c r="G662" s="13">
        <v>45836</v>
      </c>
      <c r="H662" s="14">
        <f>12454.77/139.3</f>
        <v>89.409691313711406</v>
      </c>
      <c r="I662" s="14">
        <v>-12.84</v>
      </c>
      <c r="J662" s="8">
        <f>SUMIF(Journal!$A:$A,HeadJournal!$A662,Journal!$K:$K)+SUMIF(Journal!$A:$A,HeadJournal!$A662,Journal!$L:$L)+SUMIF(Journal!$A:$A,HeadJournal!$A662,Journal!$M:$M)</f>
        <v>139.29999999999998</v>
      </c>
      <c r="K662" s="14">
        <v>139.30000000000001</v>
      </c>
      <c r="L662" s="14">
        <f>(820+1300)/5</f>
        <v>424</v>
      </c>
      <c r="M662" s="8">
        <f>SUMIF(Journal!$A:$A,HeadJournal!$A662,Journal!$P:$P)</f>
        <v>12878.77</v>
      </c>
      <c r="N662" s="8">
        <f>SUMIF(Journal!$A:$A,HeadJournal!$A662,Journal!Q:Q)</f>
        <v>15647.65</v>
      </c>
      <c r="O662" s="18">
        <f>SUMIF(Journal!$A:$A,HeadJournal!$A662,Journal!U:U)</f>
        <v>2768.8799999999987</v>
      </c>
      <c r="P662" s="22">
        <f t="shared" si="75"/>
        <v>0.21499568669989438</v>
      </c>
      <c r="R662" s="73">
        <f t="shared" si="76"/>
        <v>3.2922398645212236E-2</v>
      </c>
    </row>
    <row r="663" spans="1:18" x14ac:dyDescent="0.25">
      <c r="A663" s="12" t="s">
        <v>3937</v>
      </c>
      <c r="B663" s="124" t="s">
        <v>3944</v>
      </c>
      <c r="C663" s="12" t="s">
        <v>1737</v>
      </c>
      <c r="D663" s="12" t="s">
        <v>714</v>
      </c>
      <c r="E663" s="12" t="s">
        <v>1477</v>
      </c>
      <c r="F663" s="12"/>
      <c r="G663" s="13">
        <v>45835</v>
      </c>
      <c r="H663" s="14">
        <f>14419.7/159.14</f>
        <v>90.610154580872205</v>
      </c>
      <c r="I663" s="14">
        <f>-38.38</f>
        <v>-38.380000000000003</v>
      </c>
      <c r="J663" s="8">
        <f>SUMIF(Journal!$A:$A,HeadJournal!$A663,Journal!$K:$K)+SUMIF(Journal!$A:$A,HeadJournal!$A663,Journal!$L:$L)+SUMIF(Journal!$A:$A,HeadJournal!$A663,Journal!$M:$M)</f>
        <v>159.14000000000001</v>
      </c>
      <c r="K663" s="14">
        <v>159.13999999999999</v>
      </c>
      <c r="L663" s="14">
        <f>(820+1300)/5</f>
        <v>424</v>
      </c>
      <c r="M663" s="8">
        <f>SUMIF(Journal!$A:$A,HeadJournal!$A663,Journal!$P:$P)</f>
        <v>14843.7</v>
      </c>
      <c r="N663" s="8">
        <f>SUMIF(Journal!$A:$A,HeadJournal!$A663,Journal!Q:Q)</f>
        <v>29800</v>
      </c>
      <c r="O663" s="18">
        <f>SUMIF(Journal!$A:$A,HeadJournal!$A663,Journal!U:U)</f>
        <v>14956.300000000003</v>
      </c>
      <c r="P663" s="22">
        <f t="shared" si="75"/>
        <v>1.007585709762391</v>
      </c>
      <c r="R663" s="73">
        <f t="shared" si="76"/>
        <v>2.8564306742927974E-2</v>
      </c>
    </row>
    <row r="664" spans="1:18" x14ac:dyDescent="0.25">
      <c r="A664" s="12" t="s">
        <v>3942</v>
      </c>
      <c r="B664" s="124" t="s">
        <v>3943</v>
      </c>
      <c r="C664" s="12" t="s">
        <v>1751</v>
      </c>
      <c r="D664" s="12" t="s">
        <v>714</v>
      </c>
      <c r="E664" s="12" t="s">
        <v>1477</v>
      </c>
      <c r="F664" s="12"/>
      <c r="G664" s="13">
        <v>45835</v>
      </c>
      <c r="H664" s="14">
        <f>16138.37/180.41</f>
        <v>89.45385510781</v>
      </c>
      <c r="I664" s="14">
        <v>-17.75</v>
      </c>
      <c r="J664" s="8">
        <f>SUMIF(Journal!$A:$A,HeadJournal!$A664,Journal!$K:$K)+SUMIF(Journal!$A:$A,HeadJournal!$A664,Journal!$L:$L)+SUMIF(Journal!$A:$A,HeadJournal!$A664,Journal!$M:$M)</f>
        <v>180.41</v>
      </c>
      <c r="K664" s="14">
        <v>180.41</v>
      </c>
      <c r="L664" s="14">
        <f>(820+1300)/5</f>
        <v>424</v>
      </c>
      <c r="M664" s="8">
        <f>SUMIF(Journal!$A:$A,HeadJournal!$A664,Journal!$P:$P)</f>
        <v>16562.37</v>
      </c>
      <c r="N664" s="8">
        <f>SUMIF(Journal!$A:$A,HeadJournal!$A664,Journal!Q:Q)</f>
        <v>29400</v>
      </c>
      <c r="O664" s="18">
        <f>SUMIF(Journal!$A:$A,HeadJournal!$A664,Journal!U:U)</f>
        <v>12837.63</v>
      </c>
      <c r="P664" s="22">
        <f t="shared" si="75"/>
        <v>0.77510827254795056</v>
      </c>
      <c r="R664" s="73">
        <f t="shared" si="76"/>
        <v>2.5600200937426227E-2</v>
      </c>
    </row>
    <row r="665" spans="1:18" x14ac:dyDescent="0.25">
      <c r="A665" s="12" t="s">
        <v>3954</v>
      </c>
      <c r="B665" s="12" t="s">
        <v>3951</v>
      </c>
      <c r="C665" s="12" t="s">
        <v>1501</v>
      </c>
      <c r="D665" s="12" t="s">
        <v>714</v>
      </c>
      <c r="E665" s="12" t="s">
        <v>1477</v>
      </c>
      <c r="F665" s="12"/>
      <c r="G665" s="13">
        <v>45802</v>
      </c>
      <c r="H665" s="14">
        <v>1</v>
      </c>
      <c r="I665" s="14">
        <v>0</v>
      </c>
      <c r="J665" s="8">
        <f>SUMIF(Journal!$A:$A,HeadJournal!$A665,Journal!$K:$K)+SUMIF(Journal!$A:$A,HeadJournal!$A665,Journal!$L:$L)+SUMIF(Journal!$A:$A,HeadJournal!$A665,Journal!$M:$M)</f>
        <v>3195.02</v>
      </c>
      <c r="K665" s="14">
        <f>3671.02-L665</f>
        <v>3195.02</v>
      </c>
      <c r="L665" s="14">
        <f>42+434</f>
        <v>476</v>
      </c>
      <c r="M665" s="8">
        <f>SUMIF(Journal!$A:$A,HeadJournal!$A665,Journal!$P:$P)</f>
        <v>3671.0200000000004</v>
      </c>
      <c r="N665" s="8">
        <f>SUMIF(Journal!$A:$A,HeadJournal!$A665,Journal!Q:Q)</f>
        <v>2500</v>
      </c>
      <c r="O665" s="18">
        <f>SUMIF(Journal!$A:$A,HeadJournal!$A665,Journal!U:U)</f>
        <v>-1171.0200000000002</v>
      </c>
      <c r="P665" s="22">
        <f t="shared" si="75"/>
        <v>-0.31899036235160799</v>
      </c>
      <c r="Q665" s="7" t="b">
        <f>J665=K665</f>
        <v>1</v>
      </c>
      <c r="R665" s="73">
        <f t="shared" si="76"/>
        <v>0.12966423500825383</v>
      </c>
    </row>
    <row r="666" spans="1:18" x14ac:dyDescent="0.25">
      <c r="A666" s="12" t="s">
        <v>3955</v>
      </c>
      <c r="B666" s="12" t="s">
        <v>3952</v>
      </c>
      <c r="C666" s="12" t="s">
        <v>1501</v>
      </c>
      <c r="D666" s="12" t="s">
        <v>714</v>
      </c>
      <c r="E666" s="12" t="s">
        <v>1477</v>
      </c>
      <c r="F666" s="12"/>
      <c r="G666" s="13">
        <v>45831</v>
      </c>
      <c r="H666" s="14">
        <v>1</v>
      </c>
      <c r="I666" s="14">
        <v>0</v>
      </c>
      <c r="J666" s="8">
        <f>SUMIF(Journal!$A:$A,HeadJournal!$A666,Journal!$K:$K)+SUMIF(Journal!$A:$A,HeadJournal!$A666,Journal!$L:$L)+SUMIF(Journal!$A:$A,HeadJournal!$A666,Journal!$M:$M)</f>
        <v>8313</v>
      </c>
      <c r="K666" s="14">
        <f>9210-L666</f>
        <v>8313</v>
      </c>
      <c r="L666" s="14">
        <f>92+805</f>
        <v>897</v>
      </c>
      <c r="M666" s="8">
        <f>SUMIF(Journal!$A:$A,HeadJournal!$A666,Journal!$P:$P)</f>
        <v>9210</v>
      </c>
      <c r="N666" s="8">
        <f>SUMIF(Journal!$A:$A,HeadJournal!$A666,Journal!Q:Q)</f>
        <v>2600</v>
      </c>
      <c r="O666" s="18">
        <f>SUMIF(Journal!$A:$A,HeadJournal!$A666,Journal!U:U)</f>
        <v>-6610</v>
      </c>
      <c r="P666" s="22">
        <f t="shared" si="75"/>
        <v>-0.71769815418023886</v>
      </c>
      <c r="Q666" s="7" t="b">
        <f>J666=K666</f>
        <v>1</v>
      </c>
      <c r="R666" s="73">
        <f t="shared" si="76"/>
        <v>9.7394136807817583E-2</v>
      </c>
    </row>
    <row r="667" spans="1:18" x14ac:dyDescent="0.25">
      <c r="A667" s="12" t="s">
        <v>3950</v>
      </c>
      <c r="B667" s="12" t="s">
        <v>3953</v>
      </c>
      <c r="C667" s="12" t="s">
        <v>1501</v>
      </c>
      <c r="D667" s="12" t="s">
        <v>714</v>
      </c>
      <c r="E667" s="12" t="s">
        <v>1477</v>
      </c>
      <c r="F667" s="12"/>
      <c r="G667" s="13">
        <v>45836</v>
      </c>
      <c r="H667" s="14">
        <v>1</v>
      </c>
      <c r="I667" s="14">
        <v>0</v>
      </c>
      <c r="J667" s="8">
        <f>SUMIF(Journal!$A:$A,HeadJournal!$A667,Journal!$K:$K)+SUMIF(Journal!$A:$A,HeadJournal!$A667,Journal!$L:$L)+SUMIF(Journal!$A:$A,HeadJournal!$A667,Journal!$M:$M)</f>
        <v>5070</v>
      </c>
      <c r="K667" s="14">
        <f>5125-L667</f>
        <v>5070</v>
      </c>
      <c r="L667" s="14">
        <v>55</v>
      </c>
      <c r="M667" s="8">
        <f>SUMIF(Journal!$A:$A,HeadJournal!$A667,Journal!$P:$P)</f>
        <v>5125</v>
      </c>
      <c r="N667" s="8">
        <f>SUMIF(Journal!$A:$A,HeadJournal!$A667,Journal!Q:Q)</f>
        <v>2600</v>
      </c>
      <c r="O667" s="18">
        <f>SUMIF(Journal!$A:$A,HeadJournal!$A667,Journal!U:U)</f>
        <v>-2525</v>
      </c>
      <c r="P667" s="22">
        <f t="shared" si="75"/>
        <v>-0.49268292682926829</v>
      </c>
      <c r="Q667" s="7" t="b">
        <f>J667=K667</f>
        <v>1</v>
      </c>
      <c r="R667" s="73">
        <f t="shared" si="76"/>
        <v>1.0731707317073172E-2</v>
      </c>
    </row>
    <row r="668" spans="1:18" x14ac:dyDescent="0.25">
      <c r="A668" s="12" t="s">
        <v>3983</v>
      </c>
      <c r="B668" s="12"/>
      <c r="C668" s="12" t="s">
        <v>3984</v>
      </c>
      <c r="D668" s="12" t="s">
        <v>714</v>
      </c>
      <c r="E668" s="12" t="s">
        <v>3985</v>
      </c>
      <c r="F668" s="12" t="s">
        <v>3986</v>
      </c>
      <c r="G668" s="13">
        <v>45847</v>
      </c>
      <c r="H668" s="14">
        <v>95.7</v>
      </c>
      <c r="I668" s="14">
        <v>0</v>
      </c>
      <c r="J668" s="8">
        <f>SUMIF(Journal!$A:$A,HeadJournal!$A668,Journal!$K:$K)+SUMIF(Journal!$A:$A,HeadJournal!$A668,Journal!$L:$L)+SUMIF(Journal!$A:$A,HeadJournal!$A668,Journal!$M:$M)</f>
        <v>122.15000000000002</v>
      </c>
      <c r="K668" s="14">
        <v>122.15</v>
      </c>
      <c r="L668" s="14">
        <v>2680</v>
      </c>
      <c r="M668" s="8">
        <f>SUMIF(Journal!$A:$A,HeadJournal!$A668,Journal!$P:$P)</f>
        <v>14369.755000000001</v>
      </c>
      <c r="N668" s="8">
        <f>SUMIF(Journal!$A:$A,HeadJournal!$A668,Journal!Q:Q)</f>
        <v>23650</v>
      </c>
      <c r="O668" s="18">
        <f>SUMIF(Journal!$A:$A,HeadJournal!$A668,Journal!U:U)</f>
        <v>9280.2450000000026</v>
      </c>
      <c r="P668" s="22">
        <f t="shared" si="75"/>
        <v>0.64581790016600849</v>
      </c>
      <c r="Q668" s="7" t="b">
        <f>J668=K668</f>
        <v>1</v>
      </c>
      <c r="R668" s="73">
        <f t="shared" si="76"/>
        <v>0.18650283181585209</v>
      </c>
    </row>
    <row r="669" spans="1:18" x14ac:dyDescent="0.25">
      <c r="A669" s="12" t="s">
        <v>3994</v>
      </c>
      <c r="B669" s="124" t="s">
        <v>3995</v>
      </c>
      <c r="C669" s="12" t="s">
        <v>1751</v>
      </c>
      <c r="D669" s="12" t="s">
        <v>714</v>
      </c>
      <c r="E669" s="12" t="s">
        <v>1477</v>
      </c>
      <c r="F669" s="12"/>
      <c r="G669" s="13">
        <v>45851</v>
      </c>
      <c r="H669" s="14">
        <f>15640.99/176.33</f>
        <v>88.702943344864735</v>
      </c>
      <c r="I669" s="14">
        <v>-7.26</v>
      </c>
      <c r="J669" s="8">
        <f>SUMIF(Journal!$A:$A,HeadJournal!$A669,Journal!$K:$K)+SUMIF(Journal!$A:$A,HeadJournal!$A669,Journal!$L:$L)+SUMIF(Journal!$A:$A,HeadJournal!$A669,Journal!$M:$M)</f>
        <v>176.33000000000004</v>
      </c>
      <c r="K669" s="14">
        <v>176.33</v>
      </c>
      <c r="L669" s="14">
        <f>(1600+820)/5</f>
        <v>484</v>
      </c>
      <c r="M669" s="8">
        <f>SUMIF(Journal!$A:$A,HeadJournal!$A669,Journal!$P:$P)</f>
        <v>16124.989999999996</v>
      </c>
      <c r="N669" s="8">
        <f>SUMIF(Journal!$A:$A,HeadJournal!$A669,Journal!Q:Q)</f>
        <v>25477</v>
      </c>
      <c r="O669" s="18">
        <f>SUMIF(Journal!$A:$A,HeadJournal!$A669,Journal!U:U)</f>
        <v>9352.010000000002</v>
      </c>
      <c r="P669" s="22">
        <f t="shared" si="75"/>
        <v>0.5799699720744016</v>
      </c>
      <c r="R669" s="73">
        <f t="shared" si="76"/>
        <v>3.0015522490246513E-2</v>
      </c>
    </row>
    <row r="670" spans="1:18" x14ac:dyDescent="0.25">
      <c r="A670" s="12" t="s">
        <v>4008</v>
      </c>
      <c r="B670" s="124" t="s">
        <v>4009</v>
      </c>
      <c r="C670" s="12" t="s">
        <v>1735</v>
      </c>
      <c r="D670" s="12" t="s">
        <v>714</v>
      </c>
      <c r="E670" s="12" t="s">
        <v>1477</v>
      </c>
      <c r="F670" s="12"/>
      <c r="G670" s="13">
        <v>45843</v>
      </c>
      <c r="H670" s="14">
        <f>14792.99/165.05</f>
        <v>89.627325053014232</v>
      </c>
      <c r="I670" s="14">
        <v>-19.690000000000001</v>
      </c>
      <c r="J670" s="8">
        <f>SUMIF(Journal!$A:$A,HeadJournal!$A670,Journal!$K:$K)+SUMIF(Journal!$A:$A,HeadJournal!$A670,Journal!$L:$L)+SUMIF(Journal!$A:$A,HeadJournal!$A670,Journal!$M:$M)</f>
        <v>165.04999999999998</v>
      </c>
      <c r="K670" s="14">
        <v>165.05</v>
      </c>
      <c r="L670" s="14">
        <f>(1600+820)/5</f>
        <v>484</v>
      </c>
      <c r="M670" s="8">
        <f>SUMIF(Journal!$A:$A,HeadJournal!$A670,Journal!$P:$P)</f>
        <v>15276.989999999998</v>
      </c>
      <c r="N670" s="8">
        <f>SUMIF(Journal!$A:$A,HeadJournal!$A670,Journal!Q:Q)</f>
        <v>23800</v>
      </c>
      <c r="O670" s="18">
        <f>SUMIF(Journal!$A:$A,HeadJournal!$A670,Journal!U:U)</f>
        <v>8523.0099999999984</v>
      </c>
      <c r="P670" s="22">
        <f t="shared" si="75"/>
        <v>0.55789851273058366</v>
      </c>
      <c r="R670" s="73">
        <f t="shared" si="76"/>
        <v>3.1681633620235405E-2</v>
      </c>
    </row>
    <row r="671" spans="1:18" x14ac:dyDescent="0.25">
      <c r="A671" s="12" t="s">
        <v>4019</v>
      </c>
      <c r="B671" s="124" t="s">
        <v>4018</v>
      </c>
      <c r="C671" s="12" t="s">
        <v>1737</v>
      </c>
      <c r="D671" s="12" t="s">
        <v>714</v>
      </c>
      <c r="E671" s="12" t="s">
        <v>1477</v>
      </c>
      <c r="F671" s="12"/>
      <c r="G671" s="13">
        <v>45849</v>
      </c>
      <c r="H671" s="14">
        <f>15661.29/175.8</f>
        <v>89.085836177474405</v>
      </c>
      <c r="I671" s="14">
        <v>-9.2799999999999994</v>
      </c>
      <c r="J671" s="8">
        <f>SUMIF(Journal!$A:$A,HeadJournal!$A671,Journal!$K:$K)+SUMIF(Journal!$A:$A,HeadJournal!$A671,Journal!$L:$L)+SUMIF(Journal!$A:$A,HeadJournal!$A671,Journal!$M:$M)</f>
        <v>175.8</v>
      </c>
      <c r="K671" s="14">
        <v>175.8</v>
      </c>
      <c r="L671" s="14">
        <f>(1600+820)/5</f>
        <v>484</v>
      </c>
      <c r="M671" s="8">
        <f>SUMIF(Journal!$A:$A,HeadJournal!$A671,Journal!$P:$P)</f>
        <v>16145.289999999999</v>
      </c>
      <c r="N671" s="8">
        <f>SUMIF(Journal!$A:$A,HeadJournal!$A671,Journal!Q:Q)</f>
        <v>26044.239999999998</v>
      </c>
      <c r="O671" s="18">
        <f>SUMIF(Journal!$A:$A,HeadJournal!$A671,Journal!U:U)</f>
        <v>9898.9499999999989</v>
      </c>
      <c r="P671" s="22">
        <f t="shared" si="75"/>
        <v>0.61311689043677753</v>
      </c>
      <c r="R671" s="73">
        <f t="shared" si="76"/>
        <v>2.997778299429741E-2</v>
      </c>
    </row>
    <row r="672" spans="1:18" x14ac:dyDescent="0.25">
      <c r="A672" s="12" t="s">
        <v>4030</v>
      </c>
      <c r="B672" s="124" t="s">
        <v>4029</v>
      </c>
      <c r="C672" s="12" t="s">
        <v>1737</v>
      </c>
      <c r="D672" s="12" t="s">
        <v>714</v>
      </c>
      <c r="E672" s="12" t="s">
        <v>1477</v>
      </c>
      <c r="F672" s="12"/>
      <c r="G672" s="13">
        <v>45853</v>
      </c>
      <c r="H672" s="14">
        <f>16500.88/185.85</f>
        <v>88.786010223298362</v>
      </c>
      <c r="I672" s="14">
        <v>-9.5500000000000007</v>
      </c>
      <c r="J672" s="8">
        <f>SUMIF(Journal!$A:$A,HeadJournal!$A672,Journal!$K:$K)+SUMIF(Journal!$A:$A,HeadJournal!$A672,Journal!$L:$L)+SUMIF(Journal!$A:$A,HeadJournal!$A672,Journal!$M:$M)</f>
        <v>185.85000000000002</v>
      </c>
      <c r="K672" s="14">
        <v>185.85</v>
      </c>
      <c r="L672" s="14">
        <f>(1600+820)/5</f>
        <v>484</v>
      </c>
      <c r="M672" s="8">
        <f>SUMIF(Journal!$A:$A,HeadJournal!$A672,Journal!$P:$P)</f>
        <v>16984.88</v>
      </c>
      <c r="N672" s="8">
        <f>SUMIF(Journal!$A:$A,HeadJournal!$A672,Journal!Q:Q)</f>
        <v>23711.94</v>
      </c>
      <c r="O672" s="18">
        <f>SUMIF(Journal!$A:$A,HeadJournal!$A672,Journal!U:U)</f>
        <v>6727.0599999999995</v>
      </c>
      <c r="P672" s="22">
        <f t="shared" si="75"/>
        <v>0.3960616736768231</v>
      </c>
      <c r="R672" s="73">
        <f t="shared" si="76"/>
        <v>2.8495932853220038E-2</v>
      </c>
    </row>
    <row r="673" spans="1:18" x14ac:dyDescent="0.25">
      <c r="A673" s="12" t="s">
        <v>4033</v>
      </c>
      <c r="B673" s="124" t="s">
        <v>4034</v>
      </c>
      <c r="C673" s="12" t="s">
        <v>1752</v>
      </c>
      <c r="D673" s="12" t="s">
        <v>714</v>
      </c>
      <c r="E673" s="12" t="s">
        <v>1477</v>
      </c>
      <c r="F673" s="12"/>
      <c r="G673" s="13">
        <v>45847</v>
      </c>
      <c r="H673" s="14">
        <f>16093.7/179.76</f>
        <v>89.528816199376962</v>
      </c>
      <c r="I673" s="14">
        <v>-19.059999999999999</v>
      </c>
      <c r="J673" s="8">
        <f>SUMIF(Journal!$A:$A,HeadJournal!$A673,Journal!$K:$K)+SUMIF(Journal!$A:$A,HeadJournal!$A673,Journal!$L:$L)+SUMIF(Journal!$A:$A,HeadJournal!$A673,Journal!$M:$M)</f>
        <v>179.76</v>
      </c>
      <c r="K673" s="14">
        <v>179.76</v>
      </c>
      <c r="L673" s="14">
        <f>(1600+820)/5</f>
        <v>484</v>
      </c>
      <c r="M673" s="8">
        <f>SUMIF(Journal!$A:$A,HeadJournal!$A673,Journal!$P:$P)</f>
        <v>16577.700000000004</v>
      </c>
      <c r="N673" s="8">
        <f>SUMIF(Journal!$A:$A,HeadJournal!$A673,Journal!Q:Q)</f>
        <v>30600</v>
      </c>
      <c r="O673" s="18">
        <f>SUMIF(Journal!$A:$A,HeadJournal!$A673,Journal!U:U)</f>
        <v>14022.299999999997</v>
      </c>
      <c r="P673" s="22">
        <f t="shared" si="75"/>
        <v>0.8458531641904482</v>
      </c>
      <c r="Q673" s="7" t="b">
        <f>J673=K673</f>
        <v>1</v>
      </c>
      <c r="R673" s="73">
        <f t="shared" si="76"/>
        <v>2.9195847433600552E-2</v>
      </c>
    </row>
    <row r="674" spans="1:18" x14ac:dyDescent="0.25">
      <c r="A674" s="12" t="s">
        <v>4041</v>
      </c>
      <c r="B674" s="124" t="s">
        <v>4050</v>
      </c>
      <c r="C674" s="12" t="s">
        <v>1751</v>
      </c>
      <c r="D674" s="12" t="s">
        <v>714</v>
      </c>
      <c r="E674" s="12" t="s">
        <v>1477</v>
      </c>
      <c r="F674" s="12"/>
      <c r="G674" s="13">
        <v>45860</v>
      </c>
      <c r="H674" s="14">
        <f>13176.34/148.3</f>
        <v>88.849224544841533</v>
      </c>
      <c r="I674" s="14">
        <v>-8.3699999999999992</v>
      </c>
      <c r="J674" s="8">
        <f>SUMIF(Journal!$A:$A,HeadJournal!$A674,Journal!$K:$K)+SUMIF(Journal!$A:$A,HeadJournal!$A674,Journal!$L:$L)+SUMIF(Journal!$A:$A,HeadJournal!$A674,Journal!$M:$M)</f>
        <v>148.65999999999997</v>
      </c>
      <c r="K674" s="14">
        <v>148.65999999999997</v>
      </c>
      <c r="L674" s="14">
        <f>(720+1000)/3</f>
        <v>573.33333333333337</v>
      </c>
      <c r="M674" s="8">
        <f>SUMIF(Journal!$A:$A,HeadJournal!$A674,Journal!$P:$P)</f>
        <v>13781.659054169475</v>
      </c>
      <c r="N674" s="8">
        <f>SUMIF(Journal!$A:$A,HeadJournal!$A674,Journal!Q:Q)</f>
        <v>26300</v>
      </c>
      <c r="O674" s="18">
        <f>SUMIF(Journal!$A:$A,HeadJournal!$A674,Journal!U:U)</f>
        <v>12518.340945830523</v>
      </c>
      <c r="P674" s="22">
        <f t="shared" si="75"/>
        <v>0.90833337964802208</v>
      </c>
      <c r="R674" s="73">
        <f t="shared" si="76"/>
        <v>4.1601183941629892E-2</v>
      </c>
    </row>
    <row r="675" spans="1:18" x14ac:dyDescent="0.25">
      <c r="A675" s="12" t="s">
        <v>4048</v>
      </c>
      <c r="B675" s="124" t="s">
        <v>4049</v>
      </c>
      <c r="C675" s="12" t="s">
        <v>1737</v>
      </c>
      <c r="D675" s="12" t="s">
        <v>714</v>
      </c>
      <c r="E675" s="12" t="s">
        <v>1477</v>
      </c>
      <c r="F675" s="12"/>
      <c r="G675" s="13">
        <v>45862</v>
      </c>
      <c r="H675" s="14">
        <v>88.849224544841533</v>
      </c>
      <c r="I675" s="14">
        <v>-7.91</v>
      </c>
      <c r="J675" s="8">
        <f>SUMIF(Journal!$A:$A,HeadJournal!$A675,Journal!$K:$K)+SUMIF(Journal!$A:$A,HeadJournal!$A675,Journal!$L:$L)+SUMIF(Journal!$A:$A,HeadJournal!$A675,Journal!$M:$M)</f>
        <v>129.91999999999999</v>
      </c>
      <c r="K675" s="14">
        <v>129.91999999999999</v>
      </c>
      <c r="L675" s="14">
        <f>(720+1000)/3</f>
        <v>573.33333333333337</v>
      </c>
      <c r="M675" s="8">
        <f>SUMIF(Journal!$A:$A,HeadJournal!$A675,Journal!$P:$P)</f>
        <v>12116.624586199143</v>
      </c>
      <c r="N675" s="8">
        <f>SUMIF(Journal!$A:$A,HeadJournal!$A675,Journal!Q:Q)</f>
        <v>21200</v>
      </c>
      <c r="O675" s="18">
        <f>SUMIF(Journal!$A:$A,HeadJournal!$A675,Journal!U:U)</f>
        <v>9083.3754138008553</v>
      </c>
      <c r="P675" s="22">
        <f t="shared" si="75"/>
        <v>0.74966219751884</v>
      </c>
      <c r="R675" s="73">
        <f t="shared" si="76"/>
        <v>4.7317908486358577E-2</v>
      </c>
    </row>
    <row r="676" spans="1:18" x14ac:dyDescent="0.25">
      <c r="A676" s="12" t="s">
        <v>4059</v>
      </c>
      <c r="B676" s="124" t="s">
        <v>4065</v>
      </c>
      <c r="C676" s="12" t="s">
        <v>1737</v>
      </c>
      <c r="D676" s="12" t="s">
        <v>714</v>
      </c>
      <c r="E676" s="12" t="s">
        <v>1477</v>
      </c>
      <c r="F676" s="12"/>
      <c r="G676" s="13">
        <v>45871</v>
      </c>
      <c r="H676" s="14">
        <f>15953.09/177.24</f>
        <v>90.008406680207628</v>
      </c>
      <c r="I676" s="14">
        <v>-8.3000000000000007</v>
      </c>
      <c r="J676" s="8">
        <f>SUMIF(Journal!$A:$A,HeadJournal!$A676,Journal!$K:$K)+SUMIF(Journal!$A:$A,HeadJournal!$A676,Journal!$L:$L)+SUMIF(Journal!$A:$A,HeadJournal!$A676,Journal!$M:$M)</f>
        <v>177.24</v>
      </c>
      <c r="K676" s="14">
        <v>177.24</v>
      </c>
      <c r="L676" s="14">
        <f>(720+900)/3</f>
        <v>540</v>
      </c>
      <c r="M676" s="8">
        <f>SUMIF(Journal!$A:$A,HeadJournal!$A676,Journal!$P:$P)</f>
        <v>16493.089999999997</v>
      </c>
      <c r="N676" s="8">
        <f>SUMIF(Journal!$A:$A,HeadJournal!$A676,Journal!Q:Q)</f>
        <v>23600</v>
      </c>
      <c r="O676" s="18">
        <f>SUMIF(Journal!$A:$A,HeadJournal!$A676,Journal!U:U)</f>
        <v>7106.9100000000008</v>
      </c>
      <c r="P676" s="22">
        <f t="shared" si="75"/>
        <v>0.43090227483145987</v>
      </c>
      <c r="R676" s="73">
        <f t="shared" si="76"/>
        <v>3.2740984254618154E-2</v>
      </c>
    </row>
    <row r="677" spans="1:18" x14ac:dyDescent="0.25">
      <c r="A677" s="12" t="s">
        <v>4063</v>
      </c>
      <c r="B677" s="124" t="s">
        <v>4064</v>
      </c>
      <c r="C677" s="12" t="s">
        <v>1735</v>
      </c>
      <c r="D677" s="12" t="s">
        <v>714</v>
      </c>
      <c r="E677" s="12" t="s">
        <v>1477</v>
      </c>
      <c r="F677" s="12"/>
      <c r="G677" s="13">
        <v>45865</v>
      </c>
      <c r="H677" s="14">
        <f>16763.28/188.8</f>
        <v>88.78855932203389</v>
      </c>
      <c r="I677" s="14">
        <v>-9.91</v>
      </c>
      <c r="J677" s="8">
        <f>SUMIF(Journal!$A:$A,HeadJournal!$A677,Journal!$K:$K)+SUMIF(Journal!$A:$A,HeadJournal!$A677,Journal!$L:$L)+SUMIF(Journal!$A:$A,HeadJournal!$A677,Journal!$M:$M)</f>
        <v>188.80000000000004</v>
      </c>
      <c r="K677" s="14">
        <v>188.8</v>
      </c>
      <c r="L677" s="14">
        <f>(720+1000)/3</f>
        <v>573.33333333333337</v>
      </c>
      <c r="M677" s="8">
        <f>SUMIF(Journal!$A:$A,HeadJournal!$A677,Journal!$P:$P)</f>
        <v>17336.613333333327</v>
      </c>
      <c r="N677" s="8">
        <f>SUMIF(Journal!$A:$A,HeadJournal!$A677,Journal!Q:Q)</f>
        <v>23300</v>
      </c>
      <c r="O677" s="18">
        <f>SUMIF(Journal!$A:$A,HeadJournal!$A677,Journal!U:U)</f>
        <v>5963.3866666666709</v>
      </c>
      <c r="P677" s="22">
        <f t="shared" si="75"/>
        <v>0.34397644753377477</v>
      </c>
      <c r="R677" s="73">
        <f t="shared" si="76"/>
        <v>3.3070665089529223E-2</v>
      </c>
    </row>
    <row r="678" spans="1:18" x14ac:dyDescent="0.25">
      <c r="A678" s="12" t="s">
        <v>4076</v>
      </c>
      <c r="B678" s="124" t="s">
        <v>4077</v>
      </c>
      <c r="C678" s="12" t="s">
        <v>1751</v>
      </c>
      <c r="D678" s="12" t="s">
        <v>714</v>
      </c>
      <c r="E678" s="12" t="s">
        <v>1477</v>
      </c>
      <c r="F678" s="12"/>
      <c r="G678" s="13">
        <v>45871</v>
      </c>
      <c r="H678" s="14">
        <f>15854.33/175.31</f>
        <v>90.435970566425183</v>
      </c>
      <c r="I678" s="14">
        <v>-17.489999999999998</v>
      </c>
      <c r="J678" s="8">
        <f>SUMIF(Journal!$A:$A,HeadJournal!$A678,Journal!$K:$K)+SUMIF(Journal!$A:$A,HeadJournal!$A678,Journal!$L:$L)+SUMIF(Journal!$A:$A,HeadJournal!$A678,Journal!$M:$M)</f>
        <v>175.30999999999997</v>
      </c>
      <c r="K678" s="14">
        <v>175.31</v>
      </c>
      <c r="L678" s="14">
        <f>(720+900)/3</f>
        <v>540</v>
      </c>
      <c r="M678" s="8">
        <f>SUMIF(Journal!$A:$A,HeadJournal!$A678,Journal!$P:$P)</f>
        <v>16394.330000000002</v>
      </c>
      <c r="N678" s="8">
        <f>SUMIF(Journal!$A:$A,HeadJournal!$A678,Journal!Q:Q)</f>
        <v>22600</v>
      </c>
      <c r="O678" s="18">
        <f>SUMIF(Journal!$A:$A,HeadJournal!$A678,Journal!U:U)</f>
        <v>6205.6699999999983</v>
      </c>
      <c r="P678" s="22">
        <f t="shared" si="75"/>
        <v>0.37852538042115763</v>
      </c>
      <c r="R678" s="73">
        <f t="shared" si="76"/>
        <v>3.2938217054310846E-2</v>
      </c>
    </row>
    <row r="679" spans="1:18" x14ac:dyDescent="0.25">
      <c r="A679" s="12" t="s">
        <v>4080</v>
      </c>
      <c r="B679" s="124" t="s">
        <v>4081</v>
      </c>
      <c r="C679" s="12" t="s">
        <v>1751</v>
      </c>
      <c r="D679" s="12" t="s">
        <v>714</v>
      </c>
      <c r="E679" s="12" t="s">
        <v>1477</v>
      </c>
      <c r="F679" s="12"/>
      <c r="G679" s="13">
        <v>45874</v>
      </c>
      <c r="H679" s="14">
        <f>14127.22/156.77</f>
        <v>90.114307584359238</v>
      </c>
      <c r="I679" s="14">
        <v>-9.24</v>
      </c>
      <c r="J679" s="8">
        <f>SUMIF(Journal!$A:$A,HeadJournal!$A679,Journal!$K:$K)+SUMIF(Journal!$A:$A,HeadJournal!$A679,Journal!$L:$L)+SUMIF(Journal!$A:$A,HeadJournal!$A679,Journal!$M:$M)</f>
        <v>156.76999999999998</v>
      </c>
      <c r="K679" s="14">
        <v>156.77000000000001</v>
      </c>
      <c r="L679" s="14">
        <f>(720+900)/3</f>
        <v>540</v>
      </c>
      <c r="M679" s="8">
        <f>SUMIF(Journal!$A:$A,HeadJournal!$A679,Journal!$P:$P)</f>
        <v>14667.22</v>
      </c>
      <c r="N679" s="8">
        <f>SUMIF(Journal!$A:$A,HeadJournal!$A679,Journal!Q:Q)</f>
        <v>24600</v>
      </c>
      <c r="O679" s="18">
        <f>SUMIF(Journal!$A:$A,HeadJournal!$A679,Journal!U:U)</f>
        <v>9932.7799999999988</v>
      </c>
      <c r="P679" s="22">
        <f t="shared" si="75"/>
        <v>0.67720945073435856</v>
      </c>
      <c r="R679" s="73">
        <f t="shared" si="76"/>
        <v>3.6816792820998118E-2</v>
      </c>
    </row>
    <row r="680" spans="1:18" x14ac:dyDescent="0.25">
      <c r="A680" s="12" t="s">
        <v>4100</v>
      </c>
      <c r="B680" s="124" t="s">
        <v>4101</v>
      </c>
      <c r="C680" s="12" t="s">
        <v>1737</v>
      </c>
      <c r="D680" s="12" t="s">
        <v>714</v>
      </c>
      <c r="E680" s="12" t="s">
        <v>1477</v>
      </c>
      <c r="F680" s="12"/>
      <c r="G680" s="13">
        <v>45879</v>
      </c>
      <c r="H680" s="14">
        <f>14279.04/155.68</f>
        <v>91.720452209660849</v>
      </c>
      <c r="I680" s="14">
        <v>-39.94</v>
      </c>
      <c r="J680" s="8">
        <f>SUMIF(Journal!$A:$A,HeadJournal!$A680,Journal!$K:$K)+SUMIF(Journal!$A:$A,HeadJournal!$A680,Journal!$L:$L)+SUMIF(Journal!$A:$A,HeadJournal!$A680,Journal!$M:$M)</f>
        <v>155.68</v>
      </c>
      <c r="K680" s="14">
        <v>155.68</v>
      </c>
      <c r="L680" s="14">
        <f>(1500+820)/5</f>
        <v>464</v>
      </c>
      <c r="M680" s="8">
        <f>SUMIF(Journal!$A:$A,HeadJournal!$A680,Journal!$P:$P)</f>
        <v>14743.04</v>
      </c>
      <c r="N680" s="8">
        <f>SUMIF(Journal!$A:$A,HeadJournal!$A680,Journal!Q:Q)</f>
        <v>25200</v>
      </c>
      <c r="O680" s="18">
        <f>SUMIF(Journal!$A:$A,HeadJournal!$A680,Journal!U:U)</f>
        <v>10456.959999999999</v>
      </c>
      <c r="P680" s="22">
        <f t="shared" si="75"/>
        <v>0.70928112519534636</v>
      </c>
      <c r="R680" s="73">
        <f t="shared" si="76"/>
        <v>3.1472477860739707E-2</v>
      </c>
    </row>
    <row r="681" spans="1:18" x14ac:dyDescent="0.25">
      <c r="A681" s="12" t="s">
        <v>4111</v>
      </c>
      <c r="B681" s="124" t="s">
        <v>4112</v>
      </c>
      <c r="C681" s="12" t="s">
        <v>1737</v>
      </c>
      <c r="D681" s="12" t="s">
        <v>714</v>
      </c>
      <c r="E681" s="12" t="s">
        <v>1477</v>
      </c>
      <c r="F681" s="12"/>
      <c r="G681" s="13">
        <v>45885</v>
      </c>
      <c r="H681" s="14">
        <f>16900.16/187.73</f>
        <v>90.023757524103772</v>
      </c>
      <c r="I681" s="14">
        <v>-9.18</v>
      </c>
      <c r="J681" s="8">
        <f>SUMIF(Journal!$A:$A,HeadJournal!$A681,Journal!$K:$K)+SUMIF(Journal!$A:$A,HeadJournal!$A681,Journal!$L:$L)+SUMIF(Journal!$A:$A,HeadJournal!$A681,Journal!$M:$M)</f>
        <v>187.73000000000002</v>
      </c>
      <c r="K681" s="14">
        <v>187.73</v>
      </c>
      <c r="L681" s="14">
        <f>(1500+820)/5</f>
        <v>464</v>
      </c>
      <c r="M681" s="8">
        <f>SUMIF(Journal!$A:$A,HeadJournal!$A681,Journal!$P:$P)</f>
        <v>17364.16</v>
      </c>
      <c r="N681" s="8">
        <f>SUMIF(Journal!$A:$A,HeadJournal!$A681,Journal!Q:Q)</f>
        <v>29450</v>
      </c>
      <c r="O681" s="18">
        <f>SUMIF(Journal!$A:$A,HeadJournal!$A681,Journal!U:U)</f>
        <v>12085.84</v>
      </c>
      <c r="P681" s="22">
        <f t="shared" si="75"/>
        <v>0.69602215137386436</v>
      </c>
      <c r="R681" s="73">
        <f t="shared" si="76"/>
        <v>2.6721707240661224E-2</v>
      </c>
    </row>
    <row r="682" spans="1:18" x14ac:dyDescent="0.25">
      <c r="A682" s="12" t="s">
        <v>4116</v>
      </c>
      <c r="B682" s="124" t="s">
        <v>4117</v>
      </c>
      <c r="C682" s="12" t="s">
        <v>1751</v>
      </c>
      <c r="D682" s="12" t="s">
        <v>714</v>
      </c>
      <c r="E682" s="12" t="s">
        <v>1477</v>
      </c>
      <c r="F682" s="12"/>
      <c r="G682" s="13">
        <v>45879</v>
      </c>
      <c r="H682" s="14">
        <f>16619.76/184.74</f>
        <v>89.962974991880472</v>
      </c>
      <c r="I682" s="14">
        <v>-7.7</v>
      </c>
      <c r="J682" s="8">
        <f>SUMIF(Journal!$A:$A,HeadJournal!$A682,Journal!$K:$K)+SUMIF(Journal!$A:$A,HeadJournal!$A682,Journal!$L:$L)+SUMIF(Journal!$A:$A,HeadJournal!$A682,Journal!$M:$M)</f>
        <v>184.74</v>
      </c>
      <c r="K682" s="14">
        <v>184.74</v>
      </c>
      <c r="L682" s="14">
        <f>(1500+820)/5</f>
        <v>464</v>
      </c>
      <c r="M682" s="8">
        <f>SUMIF(Journal!$A:$A,HeadJournal!$A682,Journal!$P:$P)</f>
        <v>17083.759999999998</v>
      </c>
      <c r="N682" s="8">
        <f>SUMIF(Journal!$A:$A,HeadJournal!$A682,Journal!Q:Q)</f>
        <v>23700</v>
      </c>
      <c r="O682" s="18">
        <f>SUMIF(Journal!$A:$A,HeadJournal!$A682,Journal!U:U)</f>
        <v>6616.2400000000016</v>
      </c>
      <c r="P682" s="22">
        <f t="shared" si="75"/>
        <v>0.38728242494626491</v>
      </c>
      <c r="R682" s="73">
        <f t="shared" si="76"/>
        <v>2.7160297264770757E-2</v>
      </c>
    </row>
    <row r="683" spans="1:18" x14ac:dyDescent="0.25">
      <c r="A683" s="12" t="s">
        <v>4125</v>
      </c>
      <c r="B683" s="124" t="s">
        <v>4126</v>
      </c>
      <c r="C683" s="12" t="s">
        <v>1751</v>
      </c>
      <c r="D683" s="12" t="s">
        <v>714</v>
      </c>
      <c r="E683" s="12" t="s">
        <v>1477</v>
      </c>
      <c r="F683" s="12"/>
      <c r="G683" s="13">
        <v>45881</v>
      </c>
      <c r="H683" s="14">
        <f>17120.79/190.19</f>
        <v>90.019401650980598</v>
      </c>
      <c r="I683" s="14">
        <v>-9.25</v>
      </c>
      <c r="J683" s="8">
        <f>SUMIF(Journal!$A:$A,HeadJournal!$A683,Journal!$K:$K)+SUMIF(Journal!$A:$A,HeadJournal!$A683,Journal!$L:$L)+SUMIF(Journal!$A:$A,HeadJournal!$A683,Journal!$M:$M)</f>
        <v>190.18999999999997</v>
      </c>
      <c r="K683" s="14">
        <v>190.19</v>
      </c>
      <c r="L683" s="14">
        <f>(1500+820)/5</f>
        <v>464</v>
      </c>
      <c r="M683" s="8">
        <f>SUMIF(Journal!$A:$A,HeadJournal!$A683,Journal!$P:$P)</f>
        <v>17584.790000000005</v>
      </c>
      <c r="N683" s="8">
        <f>SUMIF(Journal!$A:$A,HeadJournal!$A683,Journal!Q:Q)</f>
        <v>22903.75</v>
      </c>
      <c r="O683" s="18">
        <f>SUMIF(Journal!$A:$A,HeadJournal!$A683,Journal!U:U)</f>
        <v>5318.9599999999982</v>
      </c>
      <c r="P683" s="22">
        <f t="shared" si="75"/>
        <v>0.30247503666520881</v>
      </c>
      <c r="R683" s="73">
        <f t="shared" si="76"/>
        <v>2.6386439644715681E-2</v>
      </c>
    </row>
    <row r="684" spans="1:18" x14ac:dyDescent="0.25">
      <c r="A684" s="12" t="s">
        <v>4146</v>
      </c>
      <c r="B684" s="124" t="s">
        <v>4147</v>
      </c>
      <c r="C684" s="12" t="s">
        <v>1752</v>
      </c>
      <c r="D684" s="12" t="s">
        <v>714</v>
      </c>
      <c r="E684" s="12" t="s">
        <v>1477</v>
      </c>
      <c r="F684" s="12"/>
      <c r="G684" s="13">
        <v>45886</v>
      </c>
      <c r="H684" s="14">
        <f>14673.35/163.72</f>
        <v>89.624664060591257</v>
      </c>
      <c r="I684" s="14">
        <v>0</v>
      </c>
      <c r="J684" s="8">
        <f>SUMIF(Journal!$A:$A,HeadJournal!$A684,Journal!$K:$K)+SUMIF(Journal!$A:$A,HeadJournal!$A684,Journal!$L:$L)+SUMIF(Journal!$A:$A,HeadJournal!$A684,Journal!$M:$M)</f>
        <v>163.72000000000003</v>
      </c>
      <c r="K684" s="14">
        <v>163.72</v>
      </c>
      <c r="L684" s="14">
        <f>(1500+820)/5</f>
        <v>464</v>
      </c>
      <c r="M684" s="8">
        <f>SUMIF(Journal!$A:$A,HeadJournal!$A684,Journal!$P:$P)</f>
        <v>15137.349999999999</v>
      </c>
      <c r="N684" s="8">
        <f>SUMIF(Journal!$A:$A,HeadJournal!$A684,Journal!Q:Q)</f>
        <v>21800</v>
      </c>
      <c r="O684" s="18">
        <f>SUMIF(Journal!$A:$A,HeadJournal!$A684,Journal!U:U)</f>
        <v>6662.6500000000033</v>
      </c>
      <c r="P684" s="22">
        <f t="shared" si="75"/>
        <v>0.44014639286268759</v>
      </c>
      <c r="Q684" s="7" t="b">
        <f>J684=K684</f>
        <v>1</v>
      </c>
      <c r="R684" s="73">
        <f t="shared" si="76"/>
        <v>3.0652657169187476E-2</v>
      </c>
    </row>
    <row r="685" spans="1:18" x14ac:dyDescent="0.25">
      <c r="A685" s="12" t="s">
        <v>4148</v>
      </c>
      <c r="B685" s="124" t="s">
        <v>4149</v>
      </c>
      <c r="C685" s="12" t="s">
        <v>1752</v>
      </c>
      <c r="D685" s="12" t="s">
        <v>714</v>
      </c>
      <c r="E685" s="12" t="s">
        <v>1477</v>
      </c>
      <c r="F685" s="12"/>
      <c r="G685" s="13">
        <v>45889</v>
      </c>
      <c r="H685" s="14">
        <f>15120.94/168.7</f>
        <v>89.632128037937179</v>
      </c>
      <c r="I685" s="14">
        <v>0</v>
      </c>
      <c r="J685" s="8">
        <f>SUMIF(Journal!$A:$A,HeadJournal!$A685,Journal!$K:$K)+SUMIF(Journal!$A:$A,HeadJournal!$A685,Journal!$L:$L)+SUMIF(Journal!$A:$A,HeadJournal!$A685,Journal!$M:$M)</f>
        <v>168.70000000000002</v>
      </c>
      <c r="K685" s="14">
        <v>168.7</v>
      </c>
      <c r="L685" s="14">
        <f>(1300+820)/6</f>
        <v>353.33333333333331</v>
      </c>
      <c r="M685" s="8">
        <f>SUMIF(Journal!$A:$A,HeadJournal!$A685,Journal!$P:$P)</f>
        <v>15474.273333333333</v>
      </c>
      <c r="N685" s="8">
        <f>SUMIF(Journal!$A:$A,HeadJournal!$A685,Journal!Q:Q)</f>
        <v>22812.45</v>
      </c>
      <c r="O685" s="18">
        <f>SUMIF(Journal!$A:$A,HeadJournal!$A685,Journal!U:U)</f>
        <v>7338.1766666666663</v>
      </c>
      <c r="P685" s="22">
        <f t="shared" si="75"/>
        <v>0.47421785234072378</v>
      </c>
      <c r="Q685" s="7" t="b">
        <f>J685=K685</f>
        <v>1</v>
      </c>
      <c r="R685" s="73">
        <f t="shared" si="76"/>
        <v>2.2833597786605812E-2</v>
      </c>
    </row>
    <row r="686" spans="1:18" x14ac:dyDescent="0.25">
      <c r="A686" s="12" t="s">
        <v>4153</v>
      </c>
      <c r="B686" s="124" t="s">
        <v>4188</v>
      </c>
      <c r="C686" s="12" t="s">
        <v>1752</v>
      </c>
      <c r="D686" s="12" t="s">
        <v>714</v>
      </c>
      <c r="E686" s="12" t="s">
        <v>1477</v>
      </c>
      <c r="F686" s="12"/>
      <c r="G686" s="13">
        <v>45894</v>
      </c>
      <c r="H686" s="14">
        <f>13352.74/148.98</f>
        <v>89.627735266478723</v>
      </c>
      <c r="I686" s="14">
        <v>0</v>
      </c>
      <c r="J686" s="8">
        <f>SUMIF(Journal!$A:$A,HeadJournal!$A686,Journal!$K:$K)+SUMIF(Journal!$A:$A,HeadJournal!$A686,Journal!$L:$L)+SUMIF(Journal!$A:$A,HeadJournal!$A686,Journal!$M:$M)</f>
        <v>148.98000000000002</v>
      </c>
      <c r="K686" s="14">
        <v>148.97999999999999</v>
      </c>
      <c r="L686" s="14">
        <f>(1300+820)/6</f>
        <v>353.33333333333331</v>
      </c>
      <c r="M686" s="8">
        <f>SUMIF(Journal!$A:$A,HeadJournal!$A686,Journal!$P:$P)</f>
        <v>13706.07333333333</v>
      </c>
      <c r="N686" s="8">
        <f>SUMIF(Journal!$A:$A,HeadJournal!$A686,Journal!Q:Q)</f>
        <v>22500</v>
      </c>
      <c r="O686" s="18">
        <f>SUMIF(Journal!$A:$A,HeadJournal!$A686,Journal!U:U)</f>
        <v>8793.9266666666681</v>
      </c>
      <c r="P686" s="22">
        <f t="shared" si="75"/>
        <v>0.64160802680660811</v>
      </c>
      <c r="Q686" s="7" t="b">
        <f>J686=K686</f>
        <v>1</v>
      </c>
      <c r="R686" s="73">
        <f t="shared" si="76"/>
        <v>2.577932605059266E-2</v>
      </c>
    </row>
    <row r="687" spans="1:18" x14ac:dyDescent="0.25">
      <c r="A687" s="12" t="s">
        <v>4162</v>
      </c>
      <c r="B687" s="124" t="s">
        <v>4189</v>
      </c>
      <c r="C687" s="12" t="s">
        <v>1752</v>
      </c>
      <c r="D687" s="12" t="s">
        <v>714</v>
      </c>
      <c r="E687" s="12" t="s">
        <v>1477</v>
      </c>
      <c r="F687" s="12"/>
      <c r="G687" s="13">
        <v>45898</v>
      </c>
      <c r="H687" s="14">
        <f>16445.2/182.57</f>
        <v>90.076135181026459</v>
      </c>
      <c r="I687" s="14">
        <v>-9.94</v>
      </c>
      <c r="J687" s="8">
        <f>SUMIF(Journal!$A:$A,HeadJournal!$A687,Journal!$K:$K)+SUMIF(Journal!$A:$A,HeadJournal!$A687,Journal!$L:$L)+SUMIF(Journal!$A:$A,HeadJournal!$A687,Journal!$M:$M)</f>
        <v>182.57</v>
      </c>
      <c r="K687" s="14">
        <v>182.57</v>
      </c>
      <c r="L687" s="14">
        <f>(1300+820)/6</f>
        <v>353.33333333333331</v>
      </c>
      <c r="M687" s="8">
        <f>SUMIF(Journal!$A:$A,HeadJournal!$A687,Journal!$P:$P)</f>
        <v>16798.533333333336</v>
      </c>
      <c r="N687" s="8">
        <f>SUMIF(Journal!$A:$A,HeadJournal!$A687,Journal!Q:Q)</f>
        <v>32700</v>
      </c>
      <c r="O687" s="18">
        <f>SUMIF(Journal!$A:$A,HeadJournal!$A687,Journal!U:U)</f>
        <v>15901.466666666665</v>
      </c>
      <c r="P687" s="22">
        <f t="shared" si="75"/>
        <v>0.94659851256855732</v>
      </c>
      <c r="Q687" s="7" t="b">
        <f>J687=K687</f>
        <v>1</v>
      </c>
      <c r="R687" s="73">
        <f t="shared" si="76"/>
        <v>2.1033582296867182E-2</v>
      </c>
    </row>
    <row r="688" spans="1:18" x14ac:dyDescent="0.25">
      <c r="A688" s="12" t="s">
        <v>4168</v>
      </c>
      <c r="B688" s="124" t="s">
        <v>4190</v>
      </c>
      <c r="C688" s="12" t="s">
        <v>1752</v>
      </c>
      <c r="D688" s="12" t="s">
        <v>714</v>
      </c>
      <c r="E688" s="12" t="s">
        <v>1477</v>
      </c>
      <c r="F688" s="12"/>
      <c r="G688" s="13">
        <v>45901</v>
      </c>
      <c r="H688" s="14">
        <f>15744.19/175.66</f>
        <v>89.628771490379151</v>
      </c>
      <c r="I688" s="14">
        <v>0</v>
      </c>
      <c r="J688" s="8">
        <f>SUMIF(Journal!$A:$A,HeadJournal!$A688,Journal!$K:$K)+SUMIF(Journal!$A:$A,HeadJournal!$A688,Journal!$L:$L)+SUMIF(Journal!$A:$A,HeadJournal!$A688,Journal!$M:$M)</f>
        <v>175.65999999999997</v>
      </c>
      <c r="K688" s="14">
        <v>175.66</v>
      </c>
      <c r="L688" s="14">
        <f>(1000+820)/4</f>
        <v>455</v>
      </c>
      <c r="M688" s="8">
        <f>SUMIF(Journal!$A:$A,HeadJournal!$A688,Journal!$P:$P)</f>
        <v>16199.190000000004</v>
      </c>
      <c r="N688" s="8">
        <f>SUMIF(Journal!$A:$A,HeadJournal!$A688,Journal!Q:Q)</f>
        <v>27600</v>
      </c>
      <c r="O688" s="18">
        <f>SUMIF(Journal!$A:$A,HeadJournal!$A688,Journal!U:U)</f>
        <v>11400.809999999996</v>
      </c>
      <c r="P688" s="22">
        <f t="shared" si="75"/>
        <v>0.70378889314836068</v>
      </c>
      <c r="Q688" s="7" t="b">
        <f>J688=K688</f>
        <v>1</v>
      </c>
      <c r="R688" s="73">
        <f t="shared" si="76"/>
        <v>2.8087824144293626E-2</v>
      </c>
    </row>
    <row r="689" spans="1:18" x14ac:dyDescent="0.25">
      <c r="A689" s="12" t="s">
        <v>4175</v>
      </c>
      <c r="B689" s="124" t="s">
        <v>4191</v>
      </c>
      <c r="C689" s="12" t="s">
        <v>1735</v>
      </c>
      <c r="D689" s="12" t="s">
        <v>714</v>
      </c>
      <c r="E689" s="12" t="s">
        <v>1477</v>
      </c>
      <c r="F689" s="12"/>
      <c r="G689" s="13">
        <v>45895</v>
      </c>
      <c r="H689" s="14">
        <f>13145.99/146.67</f>
        <v>89.629712961069075</v>
      </c>
      <c r="I689" s="14">
        <v>0</v>
      </c>
      <c r="J689" s="8">
        <f>SUMIF(Journal!$A:$A,HeadJournal!$A689,Journal!$K:$K)+SUMIF(Journal!$A:$A,HeadJournal!$A689,Journal!$L:$L)+SUMIF(Journal!$A:$A,HeadJournal!$A689,Journal!$M:$M)</f>
        <v>146.67000000000002</v>
      </c>
      <c r="K689" s="14">
        <v>146.66999999999999</v>
      </c>
      <c r="L689" s="14">
        <f>(1300+820)/6</f>
        <v>353.33333333333331</v>
      </c>
      <c r="M689" s="8">
        <f>SUMIF(Journal!$A:$A,HeadJournal!$A689,Journal!$P:$P)</f>
        <v>13499.323333333334</v>
      </c>
      <c r="N689" s="8">
        <f>SUMIF(Journal!$A:$A,HeadJournal!$A689,Journal!Q:Q)</f>
        <v>23300</v>
      </c>
      <c r="O689" s="18">
        <f>SUMIF(Journal!$A:$A,HeadJournal!$A689,Journal!U:U)</f>
        <v>9800.6766666666663</v>
      </c>
      <c r="P689" s="22">
        <f t="shared" si="75"/>
        <v>0.72601243963586315</v>
      </c>
      <c r="R689" s="73">
        <f t="shared" si="76"/>
        <v>2.6174151445121814E-2</v>
      </c>
    </row>
    <row r="690" spans="1:18" x14ac:dyDescent="0.25">
      <c r="A690" s="12" t="s">
        <v>4178</v>
      </c>
      <c r="B690" s="124" t="s">
        <v>4192</v>
      </c>
      <c r="C690" s="12" t="s">
        <v>1735</v>
      </c>
      <c r="D690" s="12" t="s">
        <v>714</v>
      </c>
      <c r="E690" s="12" t="s">
        <v>1477</v>
      </c>
      <c r="F690" s="12"/>
      <c r="G690" s="13">
        <v>45900</v>
      </c>
      <c r="H690" s="14">
        <f>16113.97/179.79</f>
        <v>89.626619945491967</v>
      </c>
      <c r="I690" s="14">
        <v>0</v>
      </c>
      <c r="J690" s="8">
        <f>SUMIF(Journal!$A:$A,HeadJournal!$A690,Journal!$K:$K)+SUMIF(Journal!$A:$A,HeadJournal!$A690,Journal!$L:$L)+SUMIF(Journal!$A:$A,HeadJournal!$A690,Journal!$M:$M)</f>
        <v>179.79</v>
      </c>
      <c r="K690" s="14">
        <v>179.79</v>
      </c>
      <c r="L690" s="14">
        <f>(1300+820)/6</f>
        <v>353.33333333333331</v>
      </c>
      <c r="M690" s="8">
        <f>SUMIF(Journal!$A:$A,HeadJournal!$A690,Journal!$P:$P)</f>
        <v>16467.303333333337</v>
      </c>
      <c r="N690" s="8">
        <f>SUMIF(Journal!$A:$A,HeadJournal!$A690,Journal!Q:Q)</f>
        <v>30100</v>
      </c>
      <c r="O690" s="18">
        <f>SUMIF(Journal!$A:$A,HeadJournal!$A690,Journal!U:U)</f>
        <v>13632.696666666665</v>
      </c>
      <c r="P690" s="22">
        <f t="shared" si="75"/>
        <v>0.82786455017629856</v>
      </c>
      <c r="R690" s="73">
        <f t="shared" si="76"/>
        <v>2.1456660278924431E-2</v>
      </c>
    </row>
    <row r="691" spans="1:18" x14ac:dyDescent="0.25">
      <c r="A691" s="12" t="s">
        <v>4187</v>
      </c>
      <c r="B691" s="124" t="s">
        <v>4193</v>
      </c>
      <c r="C691" s="12" t="s">
        <v>1737</v>
      </c>
      <c r="D691" s="12" t="s">
        <v>714</v>
      </c>
      <c r="E691" s="12" t="s">
        <v>1477</v>
      </c>
      <c r="F691" s="12"/>
      <c r="G691" s="13">
        <v>45892</v>
      </c>
      <c r="H691" s="14">
        <f>12380.85/137.43</f>
        <v>90.088408644400786</v>
      </c>
      <c r="I691" s="14">
        <v>-7.85</v>
      </c>
      <c r="J691" s="8">
        <f>SUMIF(Journal!$A:$A,HeadJournal!$A691,Journal!$K:$K)+SUMIF(Journal!$A:$A,HeadJournal!$A691,Journal!$L:$L)+SUMIF(Journal!$A:$A,HeadJournal!$A691,Journal!$M:$M)</f>
        <v>137.42999999999998</v>
      </c>
      <c r="K691" s="14">
        <v>137.43</v>
      </c>
      <c r="L691" s="14">
        <f>(1300+820)/6</f>
        <v>353.33333333333331</v>
      </c>
      <c r="M691" s="8">
        <f>SUMIF(Journal!$A:$A,HeadJournal!$A691,Journal!$P:$P)</f>
        <v>12734.183333333336</v>
      </c>
      <c r="N691" s="8">
        <f>SUMIF(Journal!$A:$A,HeadJournal!$A691,Journal!Q:Q)</f>
        <v>22800</v>
      </c>
      <c r="O691" s="18">
        <f>SUMIF(Journal!$A:$A,HeadJournal!$A691,Journal!U:U)</f>
        <v>10065.816666666664</v>
      </c>
      <c r="P691" s="22">
        <f t="shared" si="75"/>
        <v>0.79045639623532948</v>
      </c>
      <c r="R691" s="73">
        <f t="shared" si="76"/>
        <v>2.7746838889027035E-2</v>
      </c>
    </row>
    <row r="692" spans="1:18" x14ac:dyDescent="0.25">
      <c r="A692" s="12" t="s">
        <v>4202</v>
      </c>
      <c r="B692" s="124" t="s">
        <v>4203</v>
      </c>
      <c r="C692" s="12" t="s">
        <v>1737</v>
      </c>
      <c r="D692" s="12" t="s">
        <v>714</v>
      </c>
      <c r="E692" s="12" t="s">
        <v>1477</v>
      </c>
      <c r="F692" s="12"/>
      <c r="G692" s="13">
        <v>45911</v>
      </c>
      <c r="H692" s="14">
        <f>13817.38/150.52</f>
        <v>91.797634865798557</v>
      </c>
      <c r="I692" s="14">
        <v>-19.260000000000002</v>
      </c>
      <c r="J692" s="8">
        <f>SUMIF(Journal!$A:$A,HeadJournal!$A692,Journal!$K:$K)+SUMIF(Journal!$A:$A,HeadJournal!$A692,Journal!$L:$L)+SUMIF(Journal!$A:$A,HeadJournal!$A692,Journal!$M:$M)</f>
        <v>150.52000000000004</v>
      </c>
      <c r="K692" s="14">
        <v>150.52000000000001</v>
      </c>
      <c r="L692" s="14">
        <f>(1000+820)/4</f>
        <v>455</v>
      </c>
      <c r="M692" s="8">
        <f>SUMIF(Journal!$A:$A,HeadJournal!$A692,Journal!$P:$P)</f>
        <v>14272.379999999996</v>
      </c>
      <c r="N692" s="8">
        <f>SUMIF(Journal!$A:$A,HeadJournal!$A692,Journal!Q:Q)</f>
        <v>27671.22</v>
      </c>
      <c r="O692" s="18">
        <f>SUMIF(Journal!$A:$A,HeadJournal!$A692,Journal!U:U)</f>
        <v>13398.840000000004</v>
      </c>
      <c r="P692" s="22">
        <f t="shared" si="75"/>
        <v>0.9387950713195703</v>
      </c>
      <c r="R692" s="73">
        <f t="shared" si="76"/>
        <v>3.1879756564777574E-2</v>
      </c>
    </row>
    <row r="693" spans="1:18" x14ac:dyDescent="0.25">
      <c r="A693" s="12" t="s">
        <v>4209</v>
      </c>
      <c r="B693" s="124" t="s">
        <v>4210</v>
      </c>
      <c r="C693" s="12" t="s">
        <v>1752</v>
      </c>
      <c r="D693" s="12" t="s">
        <v>714</v>
      </c>
      <c r="E693" s="12" t="s">
        <v>1477</v>
      </c>
      <c r="F693" s="12"/>
      <c r="G693" s="13">
        <v>45912</v>
      </c>
      <c r="H693" s="14">
        <f>10550.3/112.86</f>
        <v>93.481304270777954</v>
      </c>
      <c r="I693" s="14">
        <v>-19.059999999999999</v>
      </c>
      <c r="J693" s="8">
        <f>SUMIF(Journal!$A:$A,HeadJournal!$A693,Journal!$K:$K)+SUMIF(Journal!$A:$A,HeadJournal!$A693,Journal!$L:$L)+SUMIF(Journal!$A:$A,HeadJournal!$A693,Journal!$M:$M)</f>
        <v>112.85999999999999</v>
      </c>
      <c r="K693" s="14">
        <v>112.86</v>
      </c>
      <c r="L693" s="14">
        <f>(1000+820)/4</f>
        <v>455</v>
      </c>
      <c r="M693" s="8">
        <f>SUMIF(Journal!$A:$A,HeadJournal!$A693,Journal!$P:$P)</f>
        <v>11005.300000000003</v>
      </c>
      <c r="N693" s="8">
        <f>SUMIF(Journal!$A:$A,HeadJournal!$A693,Journal!Q:Q)</f>
        <v>18600</v>
      </c>
      <c r="O693" s="18">
        <f>SUMIF(Journal!$A:$A,HeadJournal!$A693,Journal!U:U)</f>
        <v>7594.6999999999989</v>
      </c>
      <c r="P693" s="22">
        <f t="shared" si="75"/>
        <v>0.69009477251869522</v>
      </c>
      <c r="Q693" s="7" t="b">
        <f>J693=K693</f>
        <v>1</v>
      </c>
      <c r="R693" s="73">
        <f t="shared" si="76"/>
        <v>4.13437162094627E-2</v>
      </c>
    </row>
    <row r="694" spans="1:18" x14ac:dyDescent="0.25">
      <c r="A694" s="12" t="s">
        <v>4211</v>
      </c>
      <c r="B694" s="124" t="s">
        <v>4212</v>
      </c>
      <c r="C694" s="12" t="s">
        <v>1751</v>
      </c>
      <c r="D694" s="12" t="s">
        <v>714</v>
      </c>
      <c r="E694" s="12" t="s">
        <v>1477</v>
      </c>
      <c r="F694" s="12"/>
      <c r="G694" s="13">
        <v>45902</v>
      </c>
      <c r="H694" s="14">
        <f>10038.52/110.49</f>
        <v>90.854556973481778</v>
      </c>
      <c r="I694" s="14">
        <v>-16.66</v>
      </c>
      <c r="J694" s="8">
        <f>SUMIF(Journal!$A:$A,HeadJournal!$A694,Journal!$K:$K)+SUMIF(Journal!$A:$A,HeadJournal!$A694,Journal!$L:$L)+SUMIF(Journal!$A:$A,HeadJournal!$A694,Journal!$M:$M)</f>
        <v>110.49000000000001</v>
      </c>
      <c r="K694" s="14">
        <v>110.49</v>
      </c>
      <c r="L694" s="14">
        <f>(1000+820)/4</f>
        <v>455</v>
      </c>
      <c r="M694" s="8">
        <f>SUMIF(Journal!$A:$A,HeadJournal!$A694,Journal!$P:$P)</f>
        <v>10493.52</v>
      </c>
      <c r="N694" s="8">
        <f>SUMIF(Journal!$A:$A,HeadJournal!$A694,Journal!Q:Q)</f>
        <v>20200</v>
      </c>
      <c r="O694" s="18">
        <f>SUMIF(Journal!$A:$A,HeadJournal!$A694,Journal!U:U)</f>
        <v>9706.48</v>
      </c>
      <c r="P694" s="22">
        <f t="shared" si="75"/>
        <v>0.92499752228041676</v>
      </c>
      <c r="R694" s="73">
        <f t="shared" si="76"/>
        <v>4.3360092704831169E-2</v>
      </c>
    </row>
    <row r="695" spans="1:18" x14ac:dyDescent="0.25">
      <c r="A695" s="12" t="s">
        <v>4339</v>
      </c>
      <c r="B695" s="12"/>
      <c r="C695" s="12" t="s">
        <v>843</v>
      </c>
      <c r="D695" s="12" t="s">
        <v>714</v>
      </c>
      <c r="E695" s="12" t="s">
        <v>1477</v>
      </c>
      <c r="F695" s="12"/>
      <c r="G695" s="13">
        <v>45911</v>
      </c>
      <c r="H695" s="14">
        <v>1</v>
      </c>
      <c r="I695" s="14">
        <v>0</v>
      </c>
      <c r="J695" s="8">
        <f>SUMIF(Journal!$A:$A,HeadJournal!$A695,Journal!$K:$K)+SUMIF(Journal!$A:$A,HeadJournal!$A695,Journal!$L:$L)+SUMIF(Journal!$A:$A,HeadJournal!$A695,Journal!$M:$M)</f>
        <v>420</v>
      </c>
      <c r="K695" s="14">
        <v>420</v>
      </c>
      <c r="L695" s="14">
        <v>0</v>
      </c>
      <c r="M695" s="8">
        <f>SUMIF(Journal!$A:$A,HeadJournal!$A695,Journal!$P:$P)</f>
        <v>420</v>
      </c>
      <c r="N695" s="8">
        <f>SUMIF(Journal!$A:$A,HeadJournal!$A695,Journal!Q:Q)</f>
        <v>900</v>
      </c>
      <c r="O695" s="18">
        <f>SUMIF(Journal!$A:$A,HeadJournal!$A695,Journal!U:U)</f>
        <v>480</v>
      </c>
      <c r="P695" s="22">
        <f t="shared" si="75"/>
        <v>1.1428571428571428</v>
      </c>
      <c r="Q695" s="7" t="b">
        <f>J695=K695</f>
        <v>1</v>
      </c>
      <c r="R695" s="73">
        <f t="shared" si="76"/>
        <v>0</v>
      </c>
    </row>
    <row r="696" spans="1:18" x14ac:dyDescent="0.25">
      <c r="A696" s="12" t="s">
        <v>4341</v>
      </c>
      <c r="B696" s="12"/>
      <c r="C696" s="12" t="s">
        <v>1380</v>
      </c>
      <c r="D696" s="12" t="s">
        <v>714</v>
      </c>
      <c r="E696" s="12" t="s">
        <v>1477</v>
      </c>
      <c r="F696" s="12"/>
      <c r="G696" s="13">
        <v>45913</v>
      </c>
      <c r="H696" s="14">
        <v>1</v>
      </c>
      <c r="I696" s="14">
        <v>0</v>
      </c>
      <c r="J696" s="8">
        <f>SUMIF(Journal!$A:$A,HeadJournal!$A696,Journal!$K:$K)+SUMIF(Journal!$A:$A,HeadJournal!$A696,Journal!$L:$L)+SUMIF(Journal!$A:$A,HeadJournal!$A696,Journal!$M:$M)</f>
        <v>764</v>
      </c>
      <c r="K696" s="14">
        <v>764</v>
      </c>
      <c r="L696" s="14">
        <v>0</v>
      </c>
      <c r="M696" s="8">
        <f>SUMIF(Journal!$A:$A,HeadJournal!$A696,Journal!$P:$P)</f>
        <v>764</v>
      </c>
      <c r="N696" s="8">
        <f>SUMIF(Journal!$A:$A,HeadJournal!$A696,Journal!Q:Q)</f>
        <v>2000</v>
      </c>
      <c r="O696" s="18">
        <f>SUMIF(Journal!$A:$A,HeadJournal!$A696,Journal!U:U)</f>
        <v>1236</v>
      </c>
      <c r="P696" s="22">
        <f t="shared" si="75"/>
        <v>1.6178010471204189</v>
      </c>
      <c r="Q696" s="7" t="b">
        <f>J696=K696</f>
        <v>1</v>
      </c>
      <c r="R696" s="73">
        <f t="shared" si="76"/>
        <v>0</v>
      </c>
    </row>
    <row r="697" spans="1:18" x14ac:dyDescent="0.25">
      <c r="A697" s="12" t="s">
        <v>4342</v>
      </c>
      <c r="B697" s="12"/>
      <c r="C697" s="12" t="s">
        <v>1380</v>
      </c>
      <c r="D697" s="12" t="s">
        <v>714</v>
      </c>
      <c r="E697" s="12" t="s">
        <v>1477</v>
      </c>
      <c r="F697" s="12"/>
      <c r="G697" s="13">
        <v>45916</v>
      </c>
      <c r="H697" s="14">
        <v>1</v>
      </c>
      <c r="I697" s="14">
        <v>0</v>
      </c>
      <c r="J697" s="8">
        <f>SUMIF(Journal!$A:$A,HeadJournal!$A697,Journal!$K:$K)+SUMIF(Journal!$A:$A,HeadJournal!$A697,Journal!$L:$L)+SUMIF(Journal!$A:$A,HeadJournal!$A697,Journal!$M:$M)</f>
        <v>852</v>
      </c>
      <c r="K697" s="14">
        <v>852</v>
      </c>
      <c r="L697" s="14">
        <v>0</v>
      </c>
      <c r="M697" s="8">
        <f>SUMIF(Journal!$A:$A,HeadJournal!$A697,Journal!$P:$P)</f>
        <v>852</v>
      </c>
      <c r="N697" s="8">
        <f>SUMIF(Journal!$A:$A,HeadJournal!$A697,Journal!Q:Q)</f>
        <v>2000</v>
      </c>
      <c r="O697" s="18">
        <f>SUMIF(Journal!$A:$A,HeadJournal!$A697,Journal!U:U)</f>
        <v>1148</v>
      </c>
      <c r="P697" s="22">
        <f t="shared" si="75"/>
        <v>1.3474178403755868</v>
      </c>
      <c r="Q697" s="7" t="b">
        <f>J697=K697</f>
        <v>1</v>
      </c>
      <c r="R697" s="73">
        <f t="shared" si="76"/>
        <v>0</v>
      </c>
    </row>
    <row r="698" spans="1:18" x14ac:dyDescent="0.25">
      <c r="A698" s="12" t="s">
        <v>4365</v>
      </c>
      <c r="B698" s="192" t="s">
        <v>4367</v>
      </c>
      <c r="C698" s="12" t="s">
        <v>1751</v>
      </c>
      <c r="D698" s="12" t="s">
        <v>714</v>
      </c>
      <c r="E698" s="12" t="s">
        <v>1477</v>
      </c>
      <c r="F698" s="12"/>
      <c r="G698" s="13">
        <v>45916</v>
      </c>
      <c r="H698" s="14">
        <f>16630.19/177.83</f>
        <v>93.51734802901646</v>
      </c>
      <c r="I698" s="14">
        <v>-9.85</v>
      </c>
      <c r="J698" s="8">
        <f>SUMIF(Journal!$A:$A,HeadJournal!$A698,Journal!$K:$K)+SUMIF(Journal!$A:$A,HeadJournal!$A698,Journal!$L:$L)+SUMIF(Journal!$A:$A,HeadJournal!$A698,Journal!$M:$M)</f>
        <v>177.83</v>
      </c>
      <c r="K698" s="14">
        <v>177.83</v>
      </c>
      <c r="L698" s="14">
        <f>(1200+820)/4</f>
        <v>505</v>
      </c>
      <c r="M698" s="8">
        <f>SUMIF(Journal!$A:$A,HeadJournal!$A698,Journal!$P:$P)</f>
        <v>17135.189999999999</v>
      </c>
      <c r="N698" s="8">
        <f>SUMIF(Journal!$A:$A,HeadJournal!$A698,Journal!Q:Q)</f>
        <v>27500</v>
      </c>
      <c r="O698" s="18">
        <f>SUMIF(Journal!$A:$A,HeadJournal!$A698,Journal!U:U)</f>
        <v>10364.810000000003</v>
      </c>
      <c r="P698" s="22">
        <f t="shared" si="75"/>
        <v>0.60488445123748291</v>
      </c>
      <c r="R698" s="73">
        <f t="shared" si="76"/>
        <v>2.9471514468179229E-2</v>
      </c>
    </row>
    <row r="699" spans="1:18" x14ac:dyDescent="0.25">
      <c r="A699" s="12" t="s">
        <v>4366</v>
      </c>
      <c r="B699" s="192" t="s">
        <v>4368</v>
      </c>
      <c r="C699" s="12" t="s">
        <v>1735</v>
      </c>
      <c r="D699" s="12" t="s">
        <v>714</v>
      </c>
      <c r="E699" s="12" t="s">
        <v>1477</v>
      </c>
      <c r="F699" s="12"/>
      <c r="G699" s="13">
        <v>45919</v>
      </c>
      <c r="H699" s="14">
        <f>16188.67/171.8</f>
        <v>94.22974388824214</v>
      </c>
      <c r="I699" s="14">
        <v>-26.46</v>
      </c>
      <c r="J699" s="8">
        <f>SUMIF(Journal!$A:$A,HeadJournal!$A699,Journal!$K:$K)+SUMIF(Journal!$A:$A,HeadJournal!$A699,Journal!$L:$L)+SUMIF(Journal!$A:$A,HeadJournal!$A699,Journal!$M:$M)</f>
        <v>171.59999999999994</v>
      </c>
      <c r="K699" s="14">
        <v>171.6</v>
      </c>
      <c r="L699" s="14">
        <f>(1200+820)/4</f>
        <v>505</v>
      </c>
      <c r="M699" s="8">
        <f>SUMIF(Journal!$A:$A,HeadJournal!$A699,Journal!$P:$P)</f>
        <v>16674.824051222357</v>
      </c>
      <c r="N699" s="8">
        <f>SUMIF(Journal!$A:$A,HeadJournal!$A699,Journal!Q:Q)</f>
        <v>32200</v>
      </c>
      <c r="O699" s="18">
        <f>SUMIF(Journal!$A:$A,HeadJournal!$A699,Journal!U:U)</f>
        <v>15525.175948777638</v>
      </c>
      <c r="P699" s="22">
        <f t="shared" si="75"/>
        <v>0.93105485857522774</v>
      </c>
      <c r="R699" s="73">
        <f t="shared" si="76"/>
        <v>3.0285177129828887E-2</v>
      </c>
    </row>
    <row r="700" spans="1:18" x14ac:dyDescent="0.25">
      <c r="A700" s="12" t="s">
        <v>4377</v>
      </c>
      <c r="B700" s="192" t="s">
        <v>4378</v>
      </c>
      <c r="C700" s="12" t="s">
        <v>1752</v>
      </c>
      <c r="D700" s="12" t="s">
        <v>714</v>
      </c>
      <c r="E700" s="12" t="s">
        <v>1477</v>
      </c>
      <c r="F700" s="12"/>
      <c r="G700" s="13">
        <v>45923</v>
      </c>
      <c r="H700" s="14">
        <f>17060.86/100864.78</f>
        <v>0.1691458604281891</v>
      </c>
      <c r="I700" s="14">
        <v>0</v>
      </c>
      <c r="J700" s="8">
        <f>SUMIF(Journal!$A:$A,HeadJournal!$A700,Journal!$K:$K)+SUMIF(Journal!$A:$A,HeadJournal!$A700,Journal!$L:$L)+SUMIF(Journal!$A:$A,HeadJournal!$A700,Journal!$M:$M)</f>
        <v>100864.78000000001</v>
      </c>
      <c r="K700" s="14">
        <v>100864.78</v>
      </c>
      <c r="L700" s="14">
        <f>(1200+820)/4</f>
        <v>505</v>
      </c>
      <c r="M700" s="8">
        <f>SUMIF(Journal!$A:$A,HeadJournal!$A700,Journal!$P:$P)</f>
        <v>17565.859999999997</v>
      </c>
      <c r="N700" s="8">
        <f>SUMIF(Journal!$A:$A,HeadJournal!$A700,Journal!Q:Q)</f>
        <v>25780</v>
      </c>
      <c r="O700" s="18">
        <f>SUMIF(Journal!$A:$A,HeadJournal!$A700,Journal!U:U)</f>
        <v>8214.1400000000031</v>
      </c>
      <c r="P700" s="22">
        <f t="shared" si="75"/>
        <v>0.46761957569968132</v>
      </c>
      <c r="Q700" s="7" t="b">
        <f>J700=K700</f>
        <v>1</v>
      </c>
      <c r="R700" s="73">
        <f t="shared" si="76"/>
        <v>2.8748948243923159E-2</v>
      </c>
    </row>
    <row r="701" spans="1:18" x14ac:dyDescent="0.25">
      <c r="A701" s="12" t="s">
        <v>4387</v>
      </c>
      <c r="B701" s="192" t="s">
        <v>4388</v>
      </c>
      <c r="C701" s="12" t="s">
        <v>1752</v>
      </c>
      <c r="D701" s="12" t="s">
        <v>714</v>
      </c>
      <c r="E701" s="12" t="s">
        <v>1477</v>
      </c>
      <c r="F701" s="12"/>
      <c r="G701" s="13">
        <v>45930</v>
      </c>
      <c r="H701" s="14">
        <f>9817.77/57393.15</f>
        <v>0.17106170335658524</v>
      </c>
      <c r="I701" s="14">
        <v>-7945.79</v>
      </c>
      <c r="J701" s="8">
        <f>SUMIF(Journal!$A:$A,HeadJournal!$A701,Journal!$K:$K)+SUMIF(Journal!$A:$A,HeadJournal!$A701,Journal!$L:$L)+SUMIF(Journal!$A:$A,HeadJournal!$A701,Journal!$M:$M)</f>
        <v>57393.15</v>
      </c>
      <c r="K701" s="14">
        <v>57393.15</v>
      </c>
      <c r="L701" s="14">
        <f>(820+1200)/5</f>
        <v>404</v>
      </c>
      <c r="M701" s="8">
        <f>SUMIF(Journal!$A:$A,HeadJournal!$A701,Journal!$P:$P)</f>
        <v>10221.77</v>
      </c>
      <c r="N701" s="8">
        <f>SUMIF(Journal!$A:$A,HeadJournal!$A701,Journal!Q:Q)</f>
        <v>18870</v>
      </c>
      <c r="O701" s="18">
        <f>SUMIF(Journal!$A:$A,HeadJournal!$A701,Journal!U:U)</f>
        <v>8648.23</v>
      </c>
      <c r="P701" s="22">
        <f t="shared" si="75"/>
        <v>0.8460599289555526</v>
      </c>
      <c r="Q701" s="7" t="b">
        <f>J701=K701</f>
        <v>1</v>
      </c>
      <c r="R701" s="73">
        <f t="shared" si="76"/>
        <v>3.9523487615158628E-2</v>
      </c>
    </row>
    <row r="702" spans="1:18" x14ac:dyDescent="0.25">
      <c r="A702" s="12" t="s">
        <v>4395</v>
      </c>
      <c r="B702" s="192" t="s">
        <v>4396</v>
      </c>
      <c r="C702" s="12" t="s">
        <v>1752</v>
      </c>
      <c r="D702" s="12" t="s">
        <v>714</v>
      </c>
      <c r="E702" s="12" t="s">
        <v>1477</v>
      </c>
      <c r="F702" s="12"/>
      <c r="G702" s="13">
        <v>45934</v>
      </c>
      <c r="H702" s="14">
        <f>17018.62/182.11</f>
        <v>93.452418867717299</v>
      </c>
      <c r="I702" s="14">
        <v>-8.99</v>
      </c>
      <c r="J702" s="8">
        <f>SUMIF(Journal!$A:$A,HeadJournal!$A702,Journal!$K:$K)+SUMIF(Journal!$A:$A,HeadJournal!$A702,Journal!$L:$L)+SUMIF(Journal!$A:$A,HeadJournal!$A702,Journal!$M:$M)</f>
        <v>182.10999999999999</v>
      </c>
      <c r="K702" s="14">
        <v>182.11</v>
      </c>
      <c r="L702" s="14">
        <f>(820+1200)/5</f>
        <v>404</v>
      </c>
      <c r="M702" s="8">
        <f>SUMIF(Journal!$A:$A,HeadJournal!$A702,Journal!$P:$P)</f>
        <v>17422.62</v>
      </c>
      <c r="N702" s="8">
        <f>SUMIF(Journal!$A:$A,HeadJournal!$A702,Journal!Q:Q)</f>
        <v>25000</v>
      </c>
      <c r="O702" s="18">
        <f>SUMIF(Journal!$A:$A,HeadJournal!$A702,Journal!U:U)</f>
        <v>7577.3799999999992</v>
      </c>
      <c r="P702" s="22">
        <f t="shared" si="75"/>
        <v>0.43491621811185688</v>
      </c>
      <c r="Q702" s="7" t="b">
        <f>J702=K702</f>
        <v>1</v>
      </c>
      <c r="R702" s="73">
        <f t="shared" si="76"/>
        <v>2.318824608468761E-2</v>
      </c>
    </row>
    <row r="703" spans="1:18" x14ac:dyDescent="0.25">
      <c r="A703" s="12" t="s">
        <v>4403</v>
      </c>
      <c r="B703" s="192" t="s">
        <v>4404</v>
      </c>
      <c r="C703" s="12" t="s">
        <v>1751</v>
      </c>
      <c r="D703" s="12" t="s">
        <v>714</v>
      </c>
      <c r="E703" s="12" t="s">
        <v>1477</v>
      </c>
      <c r="F703" s="12"/>
      <c r="G703" s="13">
        <v>45932</v>
      </c>
      <c r="H703" s="14">
        <f>14429.94/154.42</f>
        <v>93.446056210335456</v>
      </c>
      <c r="I703" s="14">
        <v>-7.45</v>
      </c>
      <c r="J703" s="8">
        <f>SUMIF(Journal!$A:$A,HeadJournal!$A703,Journal!$K:$K)+SUMIF(Journal!$A:$A,HeadJournal!$A703,Journal!$L:$L)+SUMIF(Journal!$A:$A,HeadJournal!$A703,Journal!$M:$M)</f>
        <v>154.41999999999996</v>
      </c>
      <c r="K703" s="14">
        <v>154.41999999999999</v>
      </c>
      <c r="L703" s="14">
        <f>(820+1200)/5</f>
        <v>404</v>
      </c>
      <c r="M703" s="8">
        <f>SUMIF(Journal!$A:$A,HeadJournal!$A703,Journal!$P:$P)</f>
        <v>14833.940000000002</v>
      </c>
      <c r="N703" s="8">
        <f>SUMIF(Journal!$A:$A,HeadJournal!$A703,Journal!Q:Q)</f>
        <v>19282.61</v>
      </c>
      <c r="O703" s="18">
        <f>SUMIF(Journal!$A:$A,HeadJournal!$A703,Journal!U:U)</f>
        <v>4448.6699999999983</v>
      </c>
      <c r="P703" s="22">
        <f t="shared" si="75"/>
        <v>0.29989807158448784</v>
      </c>
      <c r="R703" s="73">
        <f t="shared" si="76"/>
        <v>2.7234841181776381E-2</v>
      </c>
    </row>
    <row r="704" spans="1:18" x14ac:dyDescent="0.25">
      <c r="A704" s="12" t="s">
        <v>4421</v>
      </c>
      <c r="B704" s="192" t="s">
        <v>4422</v>
      </c>
      <c r="C704" s="12" t="s">
        <v>1737</v>
      </c>
      <c r="D704" s="12" t="s">
        <v>714</v>
      </c>
      <c r="E704" s="12" t="s">
        <v>1477</v>
      </c>
      <c r="F704" s="12"/>
      <c r="G704" s="13">
        <v>45922</v>
      </c>
      <c r="H704" s="14">
        <f>16496.28/176.51</f>
        <v>93.458047702679735</v>
      </c>
      <c r="I704" s="14">
        <v>-8.44</v>
      </c>
      <c r="J704" s="8">
        <f>SUMIF(Journal!$A:$A,HeadJournal!$A704,Journal!$K:$K)+SUMIF(Journal!$A:$A,HeadJournal!$A704,Journal!$L:$L)+SUMIF(Journal!$A:$A,HeadJournal!$A704,Journal!$M:$M)</f>
        <v>176.51</v>
      </c>
      <c r="K704" s="14">
        <v>176.51</v>
      </c>
      <c r="L704" s="14">
        <f>(1200+820)/4</f>
        <v>505</v>
      </c>
      <c r="M704" s="8">
        <f>SUMIF(Journal!$A:$A,HeadJournal!$A704,Journal!$P:$P)</f>
        <v>17001.28</v>
      </c>
      <c r="N704" s="8">
        <f>SUMIF(Journal!$A:$A,HeadJournal!$A704,Journal!Q:Q)</f>
        <v>28800</v>
      </c>
      <c r="O704" s="18">
        <f>SUMIF(Journal!$A:$A,HeadJournal!$A704,Journal!U:U)</f>
        <v>11798.72</v>
      </c>
      <c r="P704" s="22">
        <f t="shared" si="75"/>
        <v>0.69399009956897362</v>
      </c>
      <c r="R704" s="73">
        <f t="shared" si="76"/>
        <v>2.970364584313652E-2</v>
      </c>
    </row>
    <row r="705" spans="1:18" x14ac:dyDescent="0.25">
      <c r="A705" s="12" t="s">
        <v>4430</v>
      </c>
      <c r="B705" s="192" t="s">
        <v>4368</v>
      </c>
      <c r="C705" s="12" t="s">
        <v>1735</v>
      </c>
      <c r="D705" s="12" t="s">
        <v>714</v>
      </c>
      <c r="E705" s="12" t="s">
        <v>1477</v>
      </c>
      <c r="F705" s="12"/>
      <c r="G705" s="13">
        <v>45932</v>
      </c>
      <c r="H705" s="14">
        <f>16364.54/175.01</f>
        <v>93.506313924918587</v>
      </c>
      <c r="I705" s="14">
        <v>-9.6300000000000008</v>
      </c>
      <c r="J705" s="8">
        <f>SUMIF(Journal!$A:$A,HeadJournal!$A705,Journal!$K:$K)+SUMIF(Journal!$A:$A,HeadJournal!$A705,Journal!$L:$L)+SUMIF(Journal!$A:$A,HeadJournal!$A705,Journal!$M:$M)</f>
        <v>175.01</v>
      </c>
      <c r="K705" s="14">
        <v>175.01</v>
      </c>
      <c r="L705" s="14">
        <f>(820+1200)/5</f>
        <v>404</v>
      </c>
      <c r="M705" s="8">
        <f>SUMIF(Journal!$A:$A,HeadJournal!$A705,Journal!$P:$P)</f>
        <v>16768.540000000005</v>
      </c>
      <c r="N705" s="8">
        <f>SUMIF(Journal!$A:$A,HeadJournal!$A705,Journal!Q:Q)</f>
        <v>28500</v>
      </c>
      <c r="O705" s="18">
        <f>SUMIF(Journal!$A:$A,HeadJournal!$A705,Journal!U:U)</f>
        <v>11731.46</v>
      </c>
      <c r="P705" s="22">
        <f t="shared" si="75"/>
        <v>0.69961129591484983</v>
      </c>
      <c r="R705" s="73">
        <f t="shared" si="76"/>
        <v>2.4092735563143834E-2</v>
      </c>
    </row>
    <row r="706" spans="1:18" x14ac:dyDescent="0.25">
      <c r="A706" s="12" t="s">
        <v>4574</v>
      </c>
      <c r="B706" s="12"/>
      <c r="C706" s="12" t="s">
        <v>1380</v>
      </c>
      <c r="D706" s="12" t="s">
        <v>714</v>
      </c>
      <c r="E706" s="12" t="s">
        <v>1477</v>
      </c>
      <c r="F706" s="12"/>
      <c r="G706" s="13">
        <v>45936</v>
      </c>
      <c r="H706" s="14">
        <v>1</v>
      </c>
      <c r="I706" s="14">
        <v>0</v>
      </c>
      <c r="J706" s="8">
        <f>SUMIF(Journal!$A:$A,HeadJournal!$A706,Journal!$K:$K)+SUMIF(Journal!$A:$A,HeadJournal!$A706,Journal!$L:$L)+SUMIF(Journal!$A:$A,HeadJournal!$A706,Journal!$M:$M)</f>
        <v>1744</v>
      </c>
      <c r="K706" s="14">
        <v>1744</v>
      </c>
      <c r="L706" s="14">
        <v>0</v>
      </c>
      <c r="M706" s="8">
        <f>SUMIF(Journal!$A:$A,HeadJournal!$A706,Journal!$P:$P)</f>
        <v>1744</v>
      </c>
      <c r="N706" s="8">
        <f>SUMIF(Journal!$A:$A,HeadJournal!$A706,Journal!Q:Q)</f>
        <v>4000</v>
      </c>
      <c r="O706" s="18">
        <f>SUMIF(Journal!$A:$A,HeadJournal!$A706,Journal!U:U)</f>
        <v>2256</v>
      </c>
      <c r="P706" s="22">
        <f t="shared" si="75"/>
        <v>1.2935779816513762</v>
      </c>
      <c r="Q706" s="7" t="b">
        <f t="shared" ref="Q706:Q737" si="77">J706=K706</f>
        <v>1</v>
      </c>
      <c r="R706" s="73">
        <f t="shared" si="76"/>
        <v>0</v>
      </c>
    </row>
    <row r="707" spans="1:18" x14ac:dyDescent="0.25">
      <c r="A707" s="12" t="s">
        <v>4575</v>
      </c>
      <c r="B707" s="12"/>
      <c r="C707" s="12" t="s">
        <v>1368</v>
      </c>
      <c r="D707" s="12" t="s">
        <v>714</v>
      </c>
      <c r="E707" s="12" t="s">
        <v>1477</v>
      </c>
      <c r="F707" s="12"/>
      <c r="G707" s="13">
        <v>45917</v>
      </c>
      <c r="H707" s="14">
        <v>0.15967256769135699</v>
      </c>
      <c r="I707" s="14">
        <f>-19722+920</f>
        <v>-18802</v>
      </c>
      <c r="J707" s="8">
        <f>SUMIF(Journal!$A:$A,HeadJournal!$A707,Journal!$K:$K)+SUMIF(Journal!$A:$A,HeadJournal!$A707,Journal!$L:$L)+SUMIF(Journal!$A:$A,HeadJournal!$A707,Journal!$M:$M)</f>
        <v>46941</v>
      </c>
      <c r="K707" s="14">
        <v>46941</v>
      </c>
      <c r="L707" s="14">
        <v>400</v>
      </c>
      <c r="M707" s="8">
        <f>SUMIF(Journal!$A:$A,HeadJournal!$A707,Journal!$P:$P)</f>
        <v>7895.1899999999887</v>
      </c>
      <c r="N707" s="8">
        <f>SUMIF(Journal!$A:$A,HeadJournal!$A707,Journal!Q:Q)</f>
        <v>3847.94</v>
      </c>
      <c r="O707" s="18">
        <f>SUMIF(Journal!$A:$A,HeadJournal!$A707,Journal!U:U)</f>
        <v>-4047.2499999999882</v>
      </c>
      <c r="P707" s="22">
        <f t="shared" ref="P707:P770" si="78">IF(N707&lt;&gt;0,IFERROR(O707/M707,""),"")</f>
        <v>-0.51262224214996654</v>
      </c>
      <c r="Q707" s="7" t="b">
        <f t="shared" si="77"/>
        <v>1</v>
      </c>
      <c r="R707" s="73">
        <f t="shared" ref="R707:R770" si="79">L707/M707</f>
        <v>5.0663758566924996E-2</v>
      </c>
    </row>
    <row r="708" spans="1:18" x14ac:dyDescent="0.25">
      <c r="A708" s="12" t="s">
        <v>4583</v>
      </c>
      <c r="B708" s="12"/>
      <c r="C708" s="12" t="s">
        <v>1737</v>
      </c>
      <c r="D708" s="12" t="s">
        <v>714</v>
      </c>
      <c r="E708" s="12" t="s">
        <v>1477</v>
      </c>
      <c r="F708" s="12"/>
      <c r="G708" s="13">
        <v>45945</v>
      </c>
      <c r="H708" s="14">
        <f>17165.13/184.4</f>
        <v>93.086388286334056</v>
      </c>
      <c r="I708" s="14">
        <v>-8.7799999999999994</v>
      </c>
      <c r="J708" s="8">
        <f>SUMIF(Journal!$A:$A,HeadJournal!$A708,Journal!$K:$K)+SUMIF(Journal!$A:$A,HeadJournal!$A708,Journal!$L:$L)+SUMIF(Journal!$A:$A,HeadJournal!$A708,Journal!$M:$M)</f>
        <v>184.39999999999998</v>
      </c>
      <c r="K708" s="14">
        <v>184.4</v>
      </c>
      <c r="L708" s="14">
        <f>(1300+820)/4</f>
        <v>530</v>
      </c>
      <c r="M708" s="8">
        <f>SUMIF(Journal!$A:$A,HeadJournal!$A708,Journal!$P:$P)</f>
        <v>17695.13</v>
      </c>
      <c r="N708" s="8">
        <f>SUMIF(Journal!$A:$A,HeadJournal!$A708,Journal!Q:Q)</f>
        <v>22200</v>
      </c>
      <c r="O708" s="18">
        <f>SUMIF(Journal!$A:$A,HeadJournal!$A708,Journal!U:U)</f>
        <v>4504.869999999999</v>
      </c>
      <c r="P708" s="22">
        <f t="shared" si="78"/>
        <v>0.25458247551727503</v>
      </c>
      <c r="Q708" s="7" t="b">
        <f t="shared" si="77"/>
        <v>1</v>
      </c>
      <c r="R708" s="73">
        <f t="shared" si="79"/>
        <v>2.9951743784871882E-2</v>
      </c>
    </row>
    <row r="709" spans="1:18" x14ac:dyDescent="0.25">
      <c r="A709" s="12" t="s">
        <v>4588</v>
      </c>
      <c r="B709" s="12"/>
      <c r="C709" s="12" t="s">
        <v>1735</v>
      </c>
      <c r="D709" s="12" t="s">
        <v>714</v>
      </c>
      <c r="E709" s="12" t="s">
        <v>1477</v>
      </c>
      <c r="F709" s="12"/>
      <c r="G709" s="13">
        <v>45937</v>
      </c>
      <c r="H709" s="14">
        <f>17867.6/191.46</f>
        <v>93.322887287161791</v>
      </c>
      <c r="I709" s="14">
        <v>-6.36</v>
      </c>
      <c r="J709" s="8">
        <f>SUMIF(Journal!$A:$A,HeadJournal!$A709,Journal!$K:$K)+SUMIF(Journal!$A:$A,HeadJournal!$A709,Journal!$L:$L)+SUMIF(Journal!$A:$A,HeadJournal!$A709,Journal!$M:$M)</f>
        <v>191.45999999999995</v>
      </c>
      <c r="K709" s="14">
        <v>191.46</v>
      </c>
      <c r="L709" s="14">
        <f>(820+1200)/5</f>
        <v>404</v>
      </c>
      <c r="M709" s="8">
        <f>SUMIF(Journal!$A:$A,HeadJournal!$A709,Journal!$P:$P)</f>
        <v>18271.600000000002</v>
      </c>
      <c r="N709" s="8">
        <f>SUMIF(Journal!$A:$A,HeadJournal!$A709,Journal!Q:Q)</f>
        <v>24045.82</v>
      </c>
      <c r="O709" s="18">
        <f>SUMIF(Journal!$A:$A,HeadJournal!$A709,Journal!U:U)</f>
        <v>5774.2199999999966</v>
      </c>
      <c r="P709" s="22">
        <f t="shared" si="78"/>
        <v>0.31602158541123909</v>
      </c>
      <c r="Q709" s="7" t="b">
        <f t="shared" si="77"/>
        <v>1</v>
      </c>
      <c r="R709" s="73">
        <f t="shared" si="79"/>
        <v>2.2110816786707236E-2</v>
      </c>
    </row>
    <row r="710" spans="1:18" x14ac:dyDescent="0.25">
      <c r="A710" s="12" t="s">
        <v>4602</v>
      </c>
      <c r="B710" s="12"/>
      <c r="C710" s="12" t="s">
        <v>1751</v>
      </c>
      <c r="D710" s="12" t="s">
        <v>714</v>
      </c>
      <c r="E710" s="12" t="s">
        <v>1477</v>
      </c>
      <c r="F710" s="12"/>
      <c r="G710" s="13">
        <v>45946</v>
      </c>
      <c r="H710" s="14">
        <f>16154.95/173.56</f>
        <v>93.079914726895595</v>
      </c>
      <c r="I710" s="14">
        <v>-8.49</v>
      </c>
      <c r="J710" s="8">
        <f>SUMIF(Journal!$A:$A,HeadJournal!$A710,Journal!$K:$K)+SUMIF(Journal!$A:$A,HeadJournal!$A710,Journal!$L:$L)+SUMIF(Journal!$A:$A,HeadJournal!$A710,Journal!$M:$M)</f>
        <v>173.55999999999997</v>
      </c>
      <c r="K710" s="14">
        <v>173.56</v>
      </c>
      <c r="L710" s="14">
        <f>(1300+820)/4</f>
        <v>530</v>
      </c>
      <c r="M710" s="8">
        <f>SUMIF(Journal!$A:$A,HeadJournal!$A710,Journal!$P:$P)</f>
        <v>16684.950000000004</v>
      </c>
      <c r="N710" s="8">
        <f>SUMIF(Journal!$A:$A,HeadJournal!$A710,Journal!Q:Q)</f>
        <v>19350</v>
      </c>
      <c r="O710" s="18">
        <f>SUMIF(Journal!$A:$A,HeadJournal!$A710,Journal!U:U)</f>
        <v>2665.0499999999975</v>
      </c>
      <c r="P710" s="22">
        <f t="shared" si="78"/>
        <v>0.15972777862684615</v>
      </c>
      <c r="Q710" s="7" t="b">
        <f t="shared" si="77"/>
        <v>1</v>
      </c>
      <c r="R710" s="73">
        <f t="shared" si="79"/>
        <v>3.1765153626471754E-2</v>
      </c>
    </row>
    <row r="711" spans="1:18" x14ac:dyDescent="0.25">
      <c r="A711" s="12" t="s">
        <v>4884</v>
      </c>
      <c r="B711" s="12"/>
      <c r="C711" s="12" t="s">
        <v>1751</v>
      </c>
      <c r="D711" s="12" t="s">
        <v>714</v>
      </c>
      <c r="E711" s="12" t="s">
        <v>1477</v>
      </c>
      <c r="F711" s="12"/>
      <c r="G711" s="13">
        <v>45951</v>
      </c>
      <c r="H711" s="14">
        <f>16993.37/188.08</f>
        <v>90.351818375159496</v>
      </c>
      <c r="I711" s="14">
        <v>-9.9</v>
      </c>
      <c r="J711" s="8">
        <f>SUMIF(Journal!$A:$A,HeadJournal!$A711,Journal!$K:$K)+SUMIF(Journal!$A:$A,HeadJournal!$A711,Journal!$L:$L)+SUMIF(Journal!$A:$A,HeadJournal!$A711,Journal!$M:$M)</f>
        <v>188.07999999999996</v>
      </c>
      <c r="K711" s="14">
        <v>188.08</v>
      </c>
      <c r="L711" s="14">
        <f>(1300+820)/4</f>
        <v>530</v>
      </c>
      <c r="M711" s="8">
        <f>SUMIF(Journal!$A:$A,HeadJournal!$A711,Journal!$P:$P)</f>
        <v>17523.370000000003</v>
      </c>
      <c r="N711" s="8">
        <f>SUMIF(Journal!$A:$A,HeadJournal!$A711,Journal!Q:Q)</f>
        <v>28400</v>
      </c>
      <c r="O711" s="18">
        <f>SUMIF(Journal!$A:$A,HeadJournal!$A711,Journal!U:U)</f>
        <v>10876.63</v>
      </c>
      <c r="P711" s="22">
        <f t="shared" si="78"/>
        <v>0.62069282335532483</v>
      </c>
      <c r="Q711" s="7" t="b">
        <f t="shared" si="77"/>
        <v>1</v>
      </c>
      <c r="R711" s="73">
        <f t="shared" si="79"/>
        <v>3.0245323816138103E-2</v>
      </c>
    </row>
    <row r="712" spans="1:18" x14ac:dyDescent="0.25">
      <c r="A712" s="12" t="s">
        <v>4885</v>
      </c>
      <c r="B712" s="12"/>
      <c r="C712" s="12" t="s">
        <v>1328</v>
      </c>
      <c r="D712" s="12" t="s">
        <v>714</v>
      </c>
      <c r="E712" s="12" t="s">
        <v>1477</v>
      </c>
      <c r="F712" s="12"/>
      <c r="G712" s="13">
        <v>45947</v>
      </c>
      <c r="H712" s="14">
        <v>1</v>
      </c>
      <c r="I712" s="14">
        <v>0</v>
      </c>
      <c r="J712" s="8">
        <f>SUMIF(Journal!$A:$A,HeadJournal!$A712,Journal!$K:$K)+SUMIF(Journal!$A:$A,HeadJournal!$A712,Journal!$L:$L)+SUMIF(Journal!$A:$A,HeadJournal!$A712,Journal!$M:$M)</f>
        <v>7999</v>
      </c>
      <c r="K712" s="14">
        <v>7999</v>
      </c>
      <c r="L712" s="14">
        <v>0</v>
      </c>
      <c r="M712" s="8">
        <f>SUMIF(Journal!$A:$A,HeadJournal!$A712,Journal!$P:$P)</f>
        <v>7999</v>
      </c>
      <c r="N712" s="8">
        <f>SUMIF(Journal!$A:$A,HeadJournal!$A712,Journal!Q:Q)</f>
        <v>9500</v>
      </c>
      <c r="O712" s="18">
        <f>SUMIF(Journal!$A:$A,HeadJournal!$A712,Journal!U:U)</f>
        <v>1501</v>
      </c>
      <c r="P712" s="22">
        <f t="shared" si="78"/>
        <v>0.18764845605700711</v>
      </c>
      <c r="Q712" s="7" t="b">
        <f t="shared" si="77"/>
        <v>1</v>
      </c>
      <c r="R712" s="73">
        <f t="shared" si="79"/>
        <v>0</v>
      </c>
    </row>
    <row r="713" spans="1:18" x14ac:dyDescent="0.25">
      <c r="A713" s="12" t="s">
        <v>4888</v>
      </c>
      <c r="B713" s="12"/>
      <c r="C713" s="12" t="s">
        <v>843</v>
      </c>
      <c r="D713" s="12" t="s">
        <v>714</v>
      </c>
      <c r="E713" s="12" t="s">
        <v>1477</v>
      </c>
      <c r="F713" s="12"/>
      <c r="G713" s="13">
        <v>45952</v>
      </c>
      <c r="H713" s="14">
        <v>1</v>
      </c>
      <c r="I713" s="14">
        <v>0</v>
      </c>
      <c r="J713" s="8">
        <f>SUMIF(Journal!$A:$A,HeadJournal!$A713,Journal!$K:$K)+SUMIF(Journal!$A:$A,HeadJournal!$A713,Journal!$L:$L)+SUMIF(Journal!$A:$A,HeadJournal!$A713,Journal!$M:$M)</f>
        <v>2304</v>
      </c>
      <c r="K713" s="14">
        <v>2304</v>
      </c>
      <c r="L713" s="14">
        <v>0</v>
      </c>
      <c r="M713" s="8">
        <f>SUMIF(Journal!$A:$A,HeadJournal!$A713,Journal!$P:$P)</f>
        <v>2304</v>
      </c>
      <c r="N713" s="8">
        <f>SUMIF(Journal!$A:$A,HeadJournal!$A713,Journal!Q:Q)</f>
        <v>3000</v>
      </c>
      <c r="O713" s="18">
        <f>SUMIF(Journal!$A:$A,HeadJournal!$A713,Journal!U:U)</f>
        <v>696</v>
      </c>
      <c r="P713" s="22">
        <f t="shared" si="78"/>
        <v>0.30208333333333331</v>
      </c>
      <c r="Q713" s="7" t="b">
        <f t="shared" si="77"/>
        <v>1</v>
      </c>
      <c r="R713" s="73">
        <f t="shared" si="79"/>
        <v>0</v>
      </c>
    </row>
    <row r="714" spans="1:18" x14ac:dyDescent="0.25">
      <c r="A714" s="12" t="s">
        <v>4890</v>
      </c>
      <c r="B714" s="12"/>
      <c r="C714" s="12" t="s">
        <v>1735</v>
      </c>
      <c r="D714" s="12" t="s">
        <v>714</v>
      </c>
      <c r="E714" s="12" t="s">
        <v>1477</v>
      </c>
      <c r="F714" s="12"/>
      <c r="G714" s="13">
        <v>45954</v>
      </c>
      <c r="H714" s="14">
        <f>16117.42/177.78</f>
        <v>90.659354258071772</v>
      </c>
      <c r="I714" s="14">
        <v>-15.98</v>
      </c>
      <c r="J714" s="8">
        <f>SUMIF(Journal!$A:$A,HeadJournal!$A714,Journal!$K:$K)+SUMIF(Journal!$A:$A,HeadJournal!$A714,Journal!$L:$L)+SUMIF(Journal!$A:$A,HeadJournal!$A714,Journal!$M:$M)</f>
        <v>82.36999999999999</v>
      </c>
      <c r="K714" s="14">
        <v>82.37</v>
      </c>
      <c r="L714" s="14">
        <f>(700+720)/4</f>
        <v>355</v>
      </c>
      <c r="M714" s="8">
        <f>SUMIF(Journal!$A:$A,HeadJournal!$A714,Journal!$P:$P)</f>
        <v>7822.6110102373723</v>
      </c>
      <c r="N714" s="8">
        <f>SUMIF(Journal!$A:$A,HeadJournal!$A714,Journal!Q:Q)</f>
        <v>15600</v>
      </c>
      <c r="O714" s="18">
        <f>SUMIF(Journal!$A:$A,HeadJournal!$A714,Journal!U:U)</f>
        <v>7777.3889897626277</v>
      </c>
      <c r="P714" s="22">
        <f t="shared" si="78"/>
        <v>0.9942190631215635</v>
      </c>
      <c r="Q714" s="7" t="b">
        <f t="shared" si="77"/>
        <v>1</v>
      </c>
      <c r="R714" s="73">
        <f t="shared" si="79"/>
        <v>4.5381267141548401E-2</v>
      </c>
    </row>
    <row r="715" spans="1:18" x14ac:dyDescent="0.25">
      <c r="A715" s="12" t="s">
        <v>4891</v>
      </c>
      <c r="B715" s="12"/>
      <c r="C715" s="12" t="s">
        <v>1735</v>
      </c>
      <c r="D715" s="12" t="s">
        <v>714</v>
      </c>
      <c r="E715" s="12" t="s">
        <v>1477</v>
      </c>
      <c r="F715" s="12"/>
      <c r="G715" s="13">
        <v>45954</v>
      </c>
      <c r="H715" s="14">
        <f>16117.42/177.78</f>
        <v>90.659354258071772</v>
      </c>
      <c r="I715" s="14">
        <v>0</v>
      </c>
      <c r="J715" s="8">
        <f>SUMIF(Journal!$A:$A,HeadJournal!$A715,Journal!$K:$K)+SUMIF(Journal!$A:$A,HeadJournal!$A715,Journal!$L:$L)+SUMIF(Journal!$A:$A,HeadJournal!$A715,Journal!$M:$M)</f>
        <v>53.929999999999993</v>
      </c>
      <c r="K715" s="14">
        <v>53.93</v>
      </c>
      <c r="L715" s="14">
        <f>(1300+820)/4</f>
        <v>530</v>
      </c>
      <c r="M715" s="8">
        <f>SUMIF(Journal!$A:$A,HeadJournal!$A715,Journal!$P:$P)</f>
        <v>5419.2589751378118</v>
      </c>
      <c r="N715" s="8">
        <f>SUMIF(Journal!$A:$A,HeadJournal!$A715,Journal!Q:Q)</f>
        <v>8800</v>
      </c>
      <c r="O715" s="18">
        <f>SUMIF(Journal!$A:$A,HeadJournal!$A715,Journal!U:U)</f>
        <v>3380.7410248621882</v>
      </c>
      <c r="P715" s="22">
        <f t="shared" si="78"/>
        <v>0.62383824806531152</v>
      </c>
      <c r="Q715" s="7" t="b">
        <f t="shared" si="77"/>
        <v>1</v>
      </c>
      <c r="R715" s="73">
        <f t="shared" si="79"/>
        <v>9.7799349031206267E-2</v>
      </c>
    </row>
    <row r="716" spans="1:18" x14ac:dyDescent="0.25">
      <c r="A716" s="12" t="s">
        <v>4893</v>
      </c>
      <c r="B716" s="12"/>
      <c r="C716" s="12" t="s">
        <v>1735</v>
      </c>
      <c r="D716" s="12" t="s">
        <v>714</v>
      </c>
      <c r="E716" s="12" t="s">
        <v>1477</v>
      </c>
      <c r="F716" s="12"/>
      <c r="G716" s="13">
        <v>45959</v>
      </c>
      <c r="H716" s="14">
        <f>8451.37/93.13</f>
        <v>90.748094062063799</v>
      </c>
      <c r="I716" s="14">
        <v>-9.26</v>
      </c>
      <c r="J716" s="8">
        <f>SUMIF(Journal!$A:$A,HeadJournal!$A716,Journal!$K:$K)+SUMIF(Journal!$A:$A,HeadJournal!$A716,Journal!$L:$L)+SUMIF(Journal!$A:$A,HeadJournal!$A716,Journal!$M:$M)</f>
        <v>93.130000000000024</v>
      </c>
      <c r="K716" s="14">
        <v>93.13</v>
      </c>
      <c r="L716" s="14">
        <f>(700+720)/4</f>
        <v>355</v>
      </c>
      <c r="M716" s="8">
        <f>SUMIF(Journal!$A:$A,HeadJournal!$A716,Journal!$P:$P)</f>
        <v>8806.369999999999</v>
      </c>
      <c r="N716" s="8">
        <f>SUMIF(Journal!$A:$A,HeadJournal!$A716,Journal!Q:Q)</f>
        <v>10600</v>
      </c>
      <c r="O716" s="18">
        <f>SUMIF(Journal!$A:$A,HeadJournal!$A716,Journal!U:U)</f>
        <v>1793.6300000000015</v>
      </c>
      <c r="P716" s="22">
        <f t="shared" si="78"/>
        <v>0.20367415859201937</v>
      </c>
      <c r="Q716" s="7" t="b">
        <f t="shared" si="77"/>
        <v>1</v>
      </c>
      <c r="R716" s="73">
        <f t="shared" si="79"/>
        <v>4.0311728896242155E-2</v>
      </c>
    </row>
    <row r="717" spans="1:18" x14ac:dyDescent="0.25">
      <c r="A717" s="12" t="s">
        <v>4900</v>
      </c>
      <c r="B717" s="12"/>
      <c r="C717" s="12" t="s">
        <v>1752</v>
      </c>
      <c r="D717" s="12" t="s">
        <v>714</v>
      </c>
      <c r="E717" s="12" t="s">
        <v>1477</v>
      </c>
      <c r="F717" s="12"/>
      <c r="G717" s="13">
        <v>45958</v>
      </c>
      <c r="H717" s="14">
        <f>12790.38/141.39</f>
        <v>90.46170167621473</v>
      </c>
      <c r="I717" s="14">
        <v>-9.25</v>
      </c>
      <c r="J717" s="8">
        <f>SUMIF(Journal!$A:$A,HeadJournal!$A717,Journal!$K:$K)+SUMIF(Journal!$A:$A,HeadJournal!$A717,Journal!$L:$L)+SUMIF(Journal!$A:$A,HeadJournal!$A717,Journal!$M:$M)</f>
        <v>141.38999999999999</v>
      </c>
      <c r="K717" s="14">
        <v>141.38999999999999</v>
      </c>
      <c r="L717" s="14">
        <f>(700+720)/4</f>
        <v>355</v>
      </c>
      <c r="M717" s="8">
        <f>SUMIF(Journal!$A:$A,HeadJournal!$A717,Journal!$P:$P)</f>
        <v>13145.380000000001</v>
      </c>
      <c r="N717" s="8">
        <f>SUMIF(Journal!$A:$A,HeadJournal!$A717,Journal!Q:Q)</f>
        <v>24100</v>
      </c>
      <c r="O717" s="18">
        <f>SUMIF(Journal!$A:$A,HeadJournal!$A717,Journal!U:U)</f>
        <v>10954.619999999999</v>
      </c>
      <c r="P717" s="22">
        <f t="shared" si="78"/>
        <v>0.83334372988837124</v>
      </c>
      <c r="Q717" s="7" t="b">
        <f t="shared" si="77"/>
        <v>1</v>
      </c>
      <c r="R717" s="73">
        <f t="shared" si="79"/>
        <v>2.7005685647733271E-2</v>
      </c>
    </row>
    <row r="718" spans="1:18" x14ac:dyDescent="0.25">
      <c r="A718" s="12" t="s">
        <v>4934</v>
      </c>
      <c r="B718" s="12"/>
      <c r="C718" s="12" t="s">
        <v>1735</v>
      </c>
      <c r="D718" s="12" t="s">
        <v>714</v>
      </c>
      <c r="E718" s="12" t="s">
        <v>1477</v>
      </c>
      <c r="F718" s="12"/>
      <c r="G718" s="13">
        <v>45969</v>
      </c>
      <c r="H718" s="14">
        <f>9826.31/108.54</f>
        <v>90.531693384927209</v>
      </c>
      <c r="I718" s="14">
        <v>-8.09</v>
      </c>
      <c r="J718" s="8">
        <f>SUMIF(Journal!$A:$A,HeadJournal!$A718,Journal!$K:$K)+SUMIF(Journal!$A:$A,HeadJournal!$A718,Journal!$L:$L)+SUMIF(Journal!$A:$A,HeadJournal!$A718,Journal!$M:$M)</f>
        <v>108.53999999999996</v>
      </c>
      <c r="K718" s="14">
        <v>108.54</v>
      </c>
      <c r="L718" s="14">
        <f>(1100+820)/5</f>
        <v>384</v>
      </c>
      <c r="M718" s="8">
        <f>SUMIF(Journal!$A:$A,HeadJournal!$A718,Journal!$P:$P)</f>
        <v>10210.310000000003</v>
      </c>
      <c r="N718" s="8">
        <f>SUMIF(Journal!$A:$A,HeadJournal!$A718,Journal!Q:Q)</f>
        <v>13000</v>
      </c>
      <c r="O718" s="18">
        <f>SUMIF(Journal!$A:$A,HeadJournal!$A718,Journal!U:U)</f>
        <v>2789.689999999996</v>
      </c>
      <c r="P718" s="22">
        <f t="shared" si="78"/>
        <v>0.27322285023667209</v>
      </c>
      <c r="Q718" s="7" t="b">
        <f t="shared" si="77"/>
        <v>1</v>
      </c>
      <c r="R718" s="73">
        <f t="shared" si="79"/>
        <v>3.7609044191606315E-2</v>
      </c>
    </row>
    <row r="719" spans="1:18" x14ac:dyDescent="0.25">
      <c r="A719" s="12" t="s">
        <v>4945</v>
      </c>
      <c r="B719" s="12"/>
      <c r="C719" s="12" t="s">
        <v>1751</v>
      </c>
      <c r="D719" s="12" t="s">
        <v>714</v>
      </c>
      <c r="E719" s="12" t="s">
        <v>1477</v>
      </c>
      <c r="F719" s="12"/>
      <c r="G719" s="13">
        <v>45960</v>
      </c>
      <c r="H719" s="14">
        <f>2422.21/26.94</f>
        <v>89.911284335560495</v>
      </c>
      <c r="I719" s="14">
        <v>-8.9600000000000009</v>
      </c>
      <c r="J719" s="8">
        <f>SUMIF(Journal!$A:$A,HeadJournal!$A719,Journal!$K:$K)+SUMIF(Journal!$A:$A,HeadJournal!$A719,Journal!$L:$L)+SUMIF(Journal!$A:$A,HeadJournal!$A719,Journal!$M:$M)</f>
        <v>80.639999999999986</v>
      </c>
      <c r="K719" s="14">
        <v>89.6</v>
      </c>
      <c r="L719" s="14">
        <f>(1100+820)/5</f>
        <v>384</v>
      </c>
      <c r="M719" s="8">
        <f>SUMIF(Journal!$A:$A,HeadJournal!$A719,Journal!$P:$P)</f>
        <v>8440.0510764662213</v>
      </c>
      <c r="N719" s="8">
        <f>SUMIF(Journal!$A:$A,HeadJournal!$A719,Journal!Q:Q)</f>
        <v>11450</v>
      </c>
      <c r="O719" s="18">
        <f>SUMIF(Journal!$A:$A,HeadJournal!$A719,Journal!U:U)</f>
        <v>3009.9489235337783</v>
      </c>
      <c r="P719" s="22">
        <f t="shared" si="78"/>
        <v>0.35662686117226894</v>
      </c>
      <c r="Q719" s="7" t="b">
        <f t="shared" si="77"/>
        <v>0</v>
      </c>
      <c r="R719" s="73">
        <f t="shared" si="79"/>
        <v>4.5497354994773039E-2</v>
      </c>
    </row>
    <row r="720" spans="1:18" x14ac:dyDescent="0.25">
      <c r="A720" s="12" t="s">
        <v>4946</v>
      </c>
      <c r="B720" s="12"/>
      <c r="C720" s="12" t="s">
        <v>1751</v>
      </c>
      <c r="D720" s="12" t="s">
        <v>714</v>
      </c>
      <c r="E720" s="12" t="s">
        <v>1477</v>
      </c>
      <c r="F720" s="12"/>
      <c r="G720" s="13">
        <v>45967</v>
      </c>
      <c r="H720" s="14">
        <f>17158.7/189.95</f>
        <v>90.332719136614912</v>
      </c>
      <c r="I720" s="14">
        <v>-9.56</v>
      </c>
      <c r="J720" s="8">
        <f>SUMIF(Journal!$A:$A,HeadJournal!$A720,Journal!$K:$K)+SUMIF(Journal!$A:$A,HeadJournal!$A720,Journal!$L:$L)+SUMIF(Journal!$A:$A,HeadJournal!$A720,Journal!$M:$M)</f>
        <v>189.95000000000002</v>
      </c>
      <c r="K720" s="14">
        <v>189.95</v>
      </c>
      <c r="L720" s="14">
        <f>(1100+820)/5</f>
        <v>384</v>
      </c>
      <c r="M720" s="8">
        <f>SUMIF(Journal!$A:$A,HeadJournal!$A720,Journal!$P:$P)</f>
        <v>17542.7</v>
      </c>
      <c r="N720" s="8">
        <f>SUMIF(Journal!$A:$A,HeadJournal!$A720,Journal!Q:Q)</f>
        <v>21300</v>
      </c>
      <c r="O720" s="18">
        <f>SUMIF(Journal!$A:$A,HeadJournal!$A720,Journal!U:U)</f>
        <v>3757.3</v>
      </c>
      <c r="P720" s="22">
        <f t="shared" si="78"/>
        <v>0.21418025731500853</v>
      </c>
      <c r="Q720" s="7" t="b">
        <f t="shared" si="77"/>
        <v>1</v>
      </c>
      <c r="R720" s="73">
        <f t="shared" si="79"/>
        <v>2.1889446892439591E-2</v>
      </c>
    </row>
    <row r="721" spans="1:18" x14ac:dyDescent="0.25">
      <c r="A721" s="12" t="s">
        <v>4949</v>
      </c>
      <c r="B721" s="12"/>
      <c r="C721" s="12" t="s">
        <v>1752</v>
      </c>
      <c r="D721" s="12" t="s">
        <v>714</v>
      </c>
      <c r="E721" s="12" t="s">
        <v>1477</v>
      </c>
      <c r="F721" s="12"/>
      <c r="G721" s="13">
        <v>45961</v>
      </c>
      <c r="H721" s="14">
        <f>12996.74/144.52</f>
        <v>89.930390257403815</v>
      </c>
      <c r="I721" s="14">
        <v>0</v>
      </c>
      <c r="J721" s="8">
        <f>SUMIF(Journal!$A:$A,HeadJournal!$A721,Journal!$K:$K)+SUMIF(Journal!$A:$A,HeadJournal!$A721,Journal!$L:$L)+SUMIF(Journal!$A:$A,HeadJournal!$A721,Journal!$M:$M)</f>
        <v>108.39000000000001</v>
      </c>
      <c r="K721" s="14">
        <v>108.39</v>
      </c>
      <c r="L721" s="14">
        <f>(700+720)/4</f>
        <v>355</v>
      </c>
      <c r="M721" s="8">
        <f>SUMIF(Journal!$A:$A,HeadJournal!$A721,Journal!$P:$P)</f>
        <v>10102.554999999998</v>
      </c>
      <c r="N721" s="8">
        <f>SUMIF(Journal!$A:$A,HeadJournal!$A721,Journal!Q:Q)</f>
        <v>20000</v>
      </c>
      <c r="O721" s="18">
        <f>SUMIF(Journal!$A:$A,HeadJournal!$A721,Journal!U:U)</f>
        <v>9897.4450000000015</v>
      </c>
      <c r="P721" s="22">
        <f t="shared" si="78"/>
        <v>0.9796972152094201</v>
      </c>
      <c r="Q721" s="7" t="b">
        <f t="shared" si="77"/>
        <v>1</v>
      </c>
      <c r="R721" s="73">
        <f t="shared" si="79"/>
        <v>3.5139625569967206E-2</v>
      </c>
    </row>
    <row r="722" spans="1:18" x14ac:dyDescent="0.25">
      <c r="A722" s="12" t="s">
        <v>4951</v>
      </c>
      <c r="B722" s="12"/>
      <c r="C722" s="12" t="s">
        <v>1737</v>
      </c>
      <c r="D722" s="12" t="s">
        <v>714</v>
      </c>
      <c r="E722" s="12" t="s">
        <v>1477</v>
      </c>
      <c r="F722" s="12"/>
      <c r="G722" s="13">
        <v>45973</v>
      </c>
      <c r="H722" s="14">
        <f>15527.93/172.68</f>
        <v>89.923152652304836</v>
      </c>
      <c r="I722" s="14">
        <v>0</v>
      </c>
      <c r="J722" s="8">
        <f>SUMIF(Journal!$A:$A,HeadJournal!$A722,Journal!$K:$K)+SUMIF(Journal!$A:$A,HeadJournal!$A722,Journal!$L:$L)+SUMIF(Journal!$A:$A,HeadJournal!$A722,Journal!$M:$M)</f>
        <v>172.68</v>
      </c>
      <c r="K722" s="14">
        <v>172.68</v>
      </c>
      <c r="L722" s="14">
        <f>(1100+820)/5</f>
        <v>384</v>
      </c>
      <c r="M722" s="8">
        <f>SUMIF(Journal!$A:$A,HeadJournal!$A722,Journal!$P:$P)</f>
        <v>15911.93</v>
      </c>
      <c r="N722" s="8">
        <f>SUMIF(Journal!$A:$A,HeadJournal!$A722,Journal!Q:Q)</f>
        <v>23400</v>
      </c>
      <c r="O722" s="18">
        <f>SUMIF(Journal!$A:$A,HeadJournal!$A722,Journal!U:U)</f>
        <v>7488.07</v>
      </c>
      <c r="P722" s="22">
        <f t="shared" si="78"/>
        <v>0.47059470472783627</v>
      </c>
      <c r="Q722" s="7" t="b">
        <f t="shared" si="77"/>
        <v>1</v>
      </c>
      <c r="R722" s="73">
        <f t="shared" si="79"/>
        <v>2.4132836180149109E-2</v>
      </c>
    </row>
    <row r="723" spans="1:18" x14ac:dyDescent="0.25">
      <c r="A723" s="12" t="s">
        <v>4959</v>
      </c>
      <c r="B723" s="12"/>
      <c r="C723" s="12" t="s">
        <v>1752</v>
      </c>
      <c r="D723" s="12" t="s">
        <v>714</v>
      </c>
      <c r="E723" s="12" t="s">
        <v>1477</v>
      </c>
      <c r="F723" s="12"/>
      <c r="G723" s="13">
        <v>45973</v>
      </c>
      <c r="H723" s="14">
        <f>13912.99/153.8</f>
        <v>90.461573472041607</v>
      </c>
      <c r="I723" s="14">
        <v>-9.89</v>
      </c>
      <c r="J723" s="8">
        <f>SUMIF(Journal!$A:$A,HeadJournal!$A723,Journal!$K:$K)+SUMIF(Journal!$A:$A,HeadJournal!$A723,Journal!$L:$L)+SUMIF(Journal!$A:$A,HeadJournal!$A723,Journal!$M:$M)</f>
        <v>153.80000000000001</v>
      </c>
      <c r="K723" s="14">
        <v>153.80000000000001</v>
      </c>
      <c r="L723" s="14">
        <f>(1100+820)/5</f>
        <v>384</v>
      </c>
      <c r="M723" s="8">
        <f>SUMIF(Journal!$A:$A,HeadJournal!$A723,Journal!$P:$P)</f>
        <v>14296.99</v>
      </c>
      <c r="N723" s="8">
        <f>SUMIF(Journal!$A:$A,HeadJournal!$A723,Journal!Q:Q)</f>
        <v>15750</v>
      </c>
      <c r="O723" s="18">
        <f>SUMIF(Journal!$A:$A,HeadJournal!$A723,Journal!U:U)</f>
        <v>1453.0100000000004</v>
      </c>
      <c r="P723" s="22">
        <f t="shared" si="78"/>
        <v>0.101630483059721</v>
      </c>
      <c r="Q723" s="7" t="b">
        <f t="shared" si="77"/>
        <v>1</v>
      </c>
      <c r="R723" s="73">
        <f t="shared" si="79"/>
        <v>2.6858800348884625E-2</v>
      </c>
    </row>
    <row r="724" spans="1:18" x14ac:dyDescent="0.25">
      <c r="A724" s="12" t="s">
        <v>4960</v>
      </c>
      <c r="B724" s="12"/>
      <c r="C724" s="12" t="s">
        <v>1752</v>
      </c>
      <c r="D724" s="12" t="s">
        <v>714</v>
      </c>
      <c r="E724" s="12" t="s">
        <v>1477</v>
      </c>
      <c r="F724" s="12"/>
      <c r="G724" s="13">
        <v>45979</v>
      </c>
      <c r="H724" s="14">
        <f>16179.96/179.04</f>
        <v>90.370643431635386</v>
      </c>
      <c r="I724" s="14">
        <v>-9.66</v>
      </c>
      <c r="J724" s="8">
        <f>SUMIF(Journal!$A:$A,HeadJournal!$A724,Journal!$K:$K)+SUMIF(Journal!$A:$A,HeadJournal!$A724,Journal!$L:$L)+SUMIF(Journal!$A:$A,HeadJournal!$A724,Journal!$M:$M)</f>
        <v>179.04000000000005</v>
      </c>
      <c r="K724" s="14">
        <v>179.04</v>
      </c>
      <c r="L724" s="14">
        <f>(820+1100)/5</f>
        <v>384</v>
      </c>
      <c r="M724" s="8">
        <f>SUMIF(Journal!$A:$A,HeadJournal!$A724,Journal!$P:$P)</f>
        <v>16563.959999999992</v>
      </c>
      <c r="N724" s="8">
        <f>SUMIF(Journal!$A:$A,HeadJournal!$A724,Journal!Q:Q)</f>
        <v>24200</v>
      </c>
      <c r="O724" s="18">
        <f>SUMIF(Journal!$A:$A,HeadJournal!$A724,Journal!U:U)</f>
        <v>7636.0400000000063</v>
      </c>
      <c r="P724" s="22">
        <f t="shared" si="78"/>
        <v>0.46100328665367524</v>
      </c>
      <c r="Q724" s="7" t="b">
        <f t="shared" si="77"/>
        <v>1</v>
      </c>
      <c r="R724" s="73">
        <f t="shared" si="79"/>
        <v>2.3182862069215344E-2</v>
      </c>
    </row>
    <row r="725" spans="1:18" x14ac:dyDescent="0.25">
      <c r="A725" s="12" t="s">
        <v>5041</v>
      </c>
      <c r="B725" s="12"/>
      <c r="C725" s="12" t="s">
        <v>1752</v>
      </c>
      <c r="D725" s="12" t="s">
        <v>714</v>
      </c>
      <c r="E725" s="12" t="s">
        <v>1477</v>
      </c>
      <c r="F725" s="12"/>
      <c r="G725" s="13">
        <v>45985</v>
      </c>
      <c r="H725" s="14">
        <f>14915.42/165.16</f>
        <v>90.308912569629456</v>
      </c>
      <c r="I725" s="14">
        <v>-7.62</v>
      </c>
      <c r="J725" s="8">
        <f>SUMIF(Journal!$A:$A,HeadJournal!$A725,Journal!$K:$K)+SUMIF(Journal!$A:$A,HeadJournal!$A725,Journal!$L:$L)+SUMIF(Journal!$A:$A,HeadJournal!$A725,Journal!$M:$M)</f>
        <v>165.16</v>
      </c>
      <c r="K725" s="14">
        <v>165.16</v>
      </c>
      <c r="L725" s="14">
        <f>(820+1100)/5</f>
        <v>384</v>
      </c>
      <c r="M725" s="8">
        <f>SUMIF(Journal!$A:$A,HeadJournal!$A725,Journal!$P:$P)</f>
        <v>15299.420000000002</v>
      </c>
      <c r="N725" s="8">
        <f>SUMIF(Journal!$A:$A,HeadJournal!$A725,Journal!Q:Q)</f>
        <v>21600</v>
      </c>
      <c r="O725" s="18">
        <f>SUMIF(Journal!$A:$A,HeadJournal!$A725,Journal!U:U)</f>
        <v>6300.5799999999981</v>
      </c>
      <c r="P725" s="22">
        <f t="shared" si="78"/>
        <v>0.41181822578895128</v>
      </c>
      <c r="Q725" s="7" t="b">
        <f t="shared" si="77"/>
        <v>1</v>
      </c>
      <c r="R725" s="73">
        <f t="shared" si="79"/>
        <v>2.5098990680692469E-2</v>
      </c>
    </row>
    <row r="726" spans="1:18" x14ac:dyDescent="0.25">
      <c r="A726" s="12" t="s">
        <v>5051</v>
      </c>
      <c r="B726" s="12"/>
      <c r="C726" s="12" t="s">
        <v>1735</v>
      </c>
      <c r="D726" s="12" t="s">
        <v>714</v>
      </c>
      <c r="E726" s="12" t="s">
        <v>1477</v>
      </c>
      <c r="F726" s="12"/>
      <c r="G726" s="13">
        <v>45985</v>
      </c>
      <c r="H726" s="14">
        <f>16029.22/176.52</f>
        <v>90.806820756854734</v>
      </c>
      <c r="I726" s="14">
        <v>-19</v>
      </c>
      <c r="J726" s="8">
        <f>SUMIF(Journal!$A:$A,HeadJournal!$A726,Journal!$K:$K)+SUMIF(Journal!$A:$A,HeadJournal!$A726,Journal!$L:$L)+SUMIF(Journal!$A:$A,HeadJournal!$A726,Journal!$M:$M)</f>
        <v>176.51999999999998</v>
      </c>
      <c r="K726" s="14">
        <v>176.52</v>
      </c>
      <c r="L726" s="14">
        <f>(820+1100)/5</f>
        <v>384</v>
      </c>
      <c r="M726" s="8">
        <f>SUMIF(Journal!$A:$A,HeadJournal!$A726,Journal!$P:$P)</f>
        <v>16413.219999999994</v>
      </c>
      <c r="N726" s="8">
        <f>SUMIF(Journal!$A:$A,HeadJournal!$A726,Journal!Q:Q)</f>
        <v>26600</v>
      </c>
      <c r="O726" s="18">
        <f>SUMIF(Journal!$A:$A,HeadJournal!$A726,Journal!U:U)</f>
        <v>10186.780000000001</v>
      </c>
      <c r="P726" s="22">
        <f t="shared" si="78"/>
        <v>0.62064482167423607</v>
      </c>
      <c r="Q726" s="7" t="b">
        <f t="shared" si="77"/>
        <v>1</v>
      </c>
      <c r="R726" s="73">
        <f t="shared" si="79"/>
        <v>2.339577486928221E-2</v>
      </c>
    </row>
    <row r="727" spans="1:18" x14ac:dyDescent="0.25">
      <c r="A727" s="12" t="s">
        <v>5052</v>
      </c>
      <c r="B727" s="12"/>
      <c r="C727" s="12" t="s">
        <v>1735</v>
      </c>
      <c r="D727" s="12" t="s">
        <v>714</v>
      </c>
      <c r="E727" s="12" t="s">
        <v>1477</v>
      </c>
      <c r="F727" s="12"/>
      <c r="G727" s="13">
        <v>45988</v>
      </c>
      <c r="H727" s="14">
        <f>16561.53/184.17</f>
        <v>89.925232122495515</v>
      </c>
      <c r="I727" s="14">
        <v>0</v>
      </c>
      <c r="J727" s="8">
        <f>SUMIF(Journal!$A:$A,HeadJournal!$A727,Journal!$K:$K)+SUMIF(Journal!$A:$A,HeadJournal!$A727,Journal!$L:$L)+SUMIF(Journal!$A:$A,HeadJournal!$A727,Journal!$M:$M)</f>
        <v>184.17</v>
      </c>
      <c r="K727" s="14">
        <v>184.17</v>
      </c>
      <c r="L727" s="14">
        <f>(820+1100)/5</f>
        <v>384</v>
      </c>
      <c r="M727" s="8">
        <f>SUMIF(Journal!$A:$A,HeadJournal!$A727,Journal!$P:$P)</f>
        <v>16945.529999999995</v>
      </c>
      <c r="N727" s="8">
        <f>SUMIF(Journal!$A:$A,HeadJournal!$A727,Journal!Q:Q)</f>
        <v>27100</v>
      </c>
      <c r="O727" s="18">
        <f>SUMIF(Journal!$A:$A,HeadJournal!$A727,Journal!U:U)</f>
        <v>10154.469999999999</v>
      </c>
      <c r="P727" s="22">
        <f t="shared" si="78"/>
        <v>0.59924180595118604</v>
      </c>
      <c r="Q727" s="7" t="b">
        <f t="shared" si="77"/>
        <v>1</v>
      </c>
      <c r="R727" s="73">
        <f t="shared" si="79"/>
        <v>2.2660843302038953E-2</v>
      </c>
    </row>
    <row r="728" spans="1:18" x14ac:dyDescent="0.25">
      <c r="A728" s="12" t="s">
        <v>5063</v>
      </c>
      <c r="B728" s="12"/>
      <c r="C728" s="12" t="s">
        <v>1751</v>
      </c>
      <c r="D728" s="12" t="s">
        <v>714</v>
      </c>
      <c r="E728" s="12" t="s">
        <v>1477</v>
      </c>
      <c r="F728" s="12"/>
      <c r="G728" s="13">
        <v>45985</v>
      </c>
      <c r="H728" s="14">
        <f>15032.44/167.18</f>
        <v>89.917693504007659</v>
      </c>
      <c r="I728" s="14">
        <v>0</v>
      </c>
      <c r="J728" s="8">
        <f>SUMIF(Journal!$A:$A,HeadJournal!$A728,Journal!$K:$K)+SUMIF(Journal!$A:$A,HeadJournal!$A728,Journal!$L:$L)+SUMIF(Journal!$A:$A,HeadJournal!$A728,Journal!$M:$M)</f>
        <v>167.18000000000004</v>
      </c>
      <c r="K728" s="14">
        <v>167.18</v>
      </c>
      <c r="L728" s="14">
        <f>(820+1100)/5</f>
        <v>384</v>
      </c>
      <c r="M728" s="8">
        <f>SUMIF(Journal!$A:$A,HeadJournal!$A728,Journal!$P:$P)</f>
        <v>15416.44</v>
      </c>
      <c r="N728" s="8">
        <f>SUMIF(Journal!$A:$A,HeadJournal!$A728,Journal!Q:Q)</f>
        <v>21900</v>
      </c>
      <c r="O728" s="18">
        <f>SUMIF(Journal!$A:$A,HeadJournal!$A728,Journal!U:U)</f>
        <v>6483.5600000000013</v>
      </c>
      <c r="P728" s="22">
        <f t="shared" si="78"/>
        <v>0.42056142663286733</v>
      </c>
      <c r="Q728" s="7" t="b">
        <f t="shared" si="77"/>
        <v>1</v>
      </c>
      <c r="R728" s="73">
        <f t="shared" si="79"/>
        <v>2.490847433000096E-2</v>
      </c>
    </row>
    <row r="729" spans="1:18" x14ac:dyDescent="0.25">
      <c r="A729" s="12" t="s">
        <v>5064</v>
      </c>
      <c r="B729" s="12"/>
      <c r="C729" s="12" t="s">
        <v>1380</v>
      </c>
      <c r="D729" s="12" t="s">
        <v>714</v>
      </c>
      <c r="E729" s="12" t="s">
        <v>1477</v>
      </c>
      <c r="F729" s="12"/>
      <c r="G729" s="13">
        <v>45984</v>
      </c>
      <c r="H729" s="14">
        <v>1</v>
      </c>
      <c r="I729" s="14">
        <v>0</v>
      </c>
      <c r="J729" s="8">
        <f>SUMIF(Journal!$A:$A,HeadJournal!$A729,Journal!$K:$K)+SUMIF(Journal!$A:$A,HeadJournal!$A729,Journal!$L:$L)+SUMIF(Journal!$A:$A,HeadJournal!$A729,Journal!$M:$M)</f>
        <v>2412</v>
      </c>
      <c r="K729" s="14">
        <v>2412</v>
      </c>
      <c r="L729" s="14">
        <v>0</v>
      </c>
      <c r="M729" s="8">
        <f>SUMIF(Journal!$A:$A,HeadJournal!$A729,Journal!$P:$P)</f>
        <v>2412</v>
      </c>
      <c r="N729" s="8">
        <f>SUMIF(Journal!$A:$A,HeadJournal!$A729,Journal!Q:Q)</f>
        <v>6000</v>
      </c>
      <c r="O729" s="18">
        <f>SUMIF(Journal!$A:$A,HeadJournal!$A729,Journal!U:U)</f>
        <v>3588</v>
      </c>
      <c r="P729" s="22">
        <f t="shared" si="78"/>
        <v>1.4875621890547264</v>
      </c>
      <c r="Q729" s="7" t="b">
        <f t="shared" si="77"/>
        <v>1</v>
      </c>
      <c r="R729" s="73">
        <f t="shared" si="79"/>
        <v>0</v>
      </c>
    </row>
    <row r="730" spans="1:18" x14ac:dyDescent="0.25">
      <c r="A730" s="12" t="s">
        <v>5065</v>
      </c>
      <c r="B730" s="12"/>
      <c r="C730" s="12" t="s">
        <v>1357</v>
      </c>
      <c r="D730" s="12" t="s">
        <v>714</v>
      </c>
      <c r="E730" s="12" t="s">
        <v>1477</v>
      </c>
      <c r="F730" s="12"/>
      <c r="G730" s="13">
        <v>45731</v>
      </c>
      <c r="H730" s="14">
        <v>1</v>
      </c>
      <c r="I730" s="14">
        <v>0</v>
      </c>
      <c r="J730" s="8">
        <f>SUMIF(Journal!$A:$A,HeadJournal!$A730,Journal!$K:$K)+SUMIF(Journal!$A:$A,HeadJournal!$A730,Journal!$L:$L)+SUMIF(Journal!$A:$A,HeadJournal!$A730,Journal!$M:$M)</f>
        <v>2058</v>
      </c>
      <c r="K730" s="14">
        <v>2058</v>
      </c>
      <c r="L730" s="14">
        <v>0</v>
      </c>
      <c r="M730" s="8">
        <f>SUMIF(Journal!$A:$A,HeadJournal!$A730,Journal!$P:$P)</f>
        <v>2058</v>
      </c>
      <c r="N730" s="8">
        <f>SUMIF(Journal!$A:$A,HeadJournal!$A730,Journal!Q:Q)</f>
        <v>0</v>
      </c>
      <c r="O730" s="18">
        <f>SUMIF(Journal!$A:$A,HeadJournal!$A730,Journal!U:U)</f>
        <v>-2058</v>
      </c>
      <c r="P730" s="22" t="str">
        <f t="shared" si="78"/>
        <v/>
      </c>
      <c r="Q730" s="7" t="b">
        <f t="shared" si="77"/>
        <v>1</v>
      </c>
      <c r="R730" s="73">
        <f t="shared" si="79"/>
        <v>0</v>
      </c>
    </row>
    <row r="731" spans="1:18" x14ac:dyDescent="0.25">
      <c r="A731" s="12" t="s">
        <v>5076</v>
      </c>
      <c r="B731" s="12"/>
      <c r="C731" s="12" t="s">
        <v>1752</v>
      </c>
      <c r="D731" s="12" t="s">
        <v>714</v>
      </c>
      <c r="E731" s="12" t="s">
        <v>1477</v>
      </c>
      <c r="F731" s="12"/>
      <c r="G731" s="13">
        <v>45989</v>
      </c>
      <c r="H731" s="14">
        <f>17328.93/192.66</f>
        <v>89.94565555901589</v>
      </c>
      <c r="I731" s="14">
        <v>0</v>
      </c>
      <c r="J731" s="8">
        <f>SUMIF(Journal!$A:$A,HeadJournal!$A731,Journal!$K:$K)+SUMIF(Journal!$A:$A,HeadJournal!$A731,Journal!$L:$L)+SUMIF(Journal!$A:$A,HeadJournal!$A731,Journal!$M:$M)</f>
        <v>192.66000000000003</v>
      </c>
      <c r="K731" s="14">
        <v>192.66</v>
      </c>
      <c r="L731" s="14">
        <f>(1100+820)/5</f>
        <v>384</v>
      </c>
      <c r="M731" s="8">
        <f>SUMIF(Journal!$A:$A,HeadJournal!$A731,Journal!$P:$P)</f>
        <v>17712.93</v>
      </c>
      <c r="N731" s="8">
        <f>SUMIF(Journal!$A:$A,HeadJournal!$A731,Journal!Q:Q)</f>
        <v>27900</v>
      </c>
      <c r="O731" s="18">
        <f>SUMIF(Journal!$A:$A,HeadJournal!$A731,Journal!U:U)</f>
        <v>10187.07</v>
      </c>
      <c r="P731" s="22">
        <f t="shared" si="78"/>
        <v>0.57512054753222641</v>
      </c>
      <c r="Q731" s="7" t="b">
        <f t="shared" si="77"/>
        <v>1</v>
      </c>
      <c r="R731" s="73">
        <f t="shared" si="79"/>
        <v>2.1679078503669354E-2</v>
      </c>
    </row>
    <row r="732" spans="1:18" x14ac:dyDescent="0.25">
      <c r="A732" s="12" t="s">
        <v>5077</v>
      </c>
      <c r="B732" s="12"/>
      <c r="C732" s="12" t="s">
        <v>1328</v>
      </c>
      <c r="D732" s="12" t="s">
        <v>714</v>
      </c>
      <c r="E732" s="12" t="s">
        <v>1477</v>
      </c>
      <c r="F732" s="12"/>
      <c r="G732" s="13">
        <v>45959</v>
      </c>
      <c r="H732" s="14">
        <v>1</v>
      </c>
      <c r="I732" s="14">
        <v>0</v>
      </c>
      <c r="J732" s="8">
        <f>SUMIF(Journal!$A:$A,HeadJournal!$A732,Journal!$K:$K)+SUMIF(Journal!$A:$A,HeadJournal!$A732,Journal!$L:$L)+SUMIF(Journal!$A:$A,HeadJournal!$A732,Journal!$M:$M)</f>
        <v>2824</v>
      </c>
      <c r="K732" s="14">
        <v>2824</v>
      </c>
      <c r="L732" s="14">
        <v>0</v>
      </c>
      <c r="M732" s="8">
        <f>SUMIF(Journal!$A:$A,HeadJournal!$A732,Journal!$P:$P)</f>
        <v>2824</v>
      </c>
      <c r="N732" s="8">
        <f>SUMIF(Journal!$A:$A,HeadJournal!$A732,Journal!Q:Q)</f>
        <v>4400</v>
      </c>
      <c r="O732" s="18">
        <f>SUMIF(Journal!$A:$A,HeadJournal!$A732,Journal!U:U)</f>
        <v>1576</v>
      </c>
      <c r="P732" s="22">
        <f t="shared" si="78"/>
        <v>0.55807365439093481</v>
      </c>
      <c r="Q732" s="7" t="b">
        <f t="shared" si="77"/>
        <v>1</v>
      </c>
      <c r="R732" s="73">
        <f t="shared" si="79"/>
        <v>0</v>
      </c>
    </row>
    <row r="733" spans="1:18" x14ac:dyDescent="0.25">
      <c r="A733" s="12" t="s">
        <v>5078</v>
      </c>
      <c r="B733" s="12"/>
      <c r="C733" s="12" t="s">
        <v>1752</v>
      </c>
      <c r="D733" s="12" t="s">
        <v>714</v>
      </c>
      <c r="E733" s="12" t="s">
        <v>1477</v>
      </c>
      <c r="F733" s="12"/>
      <c r="G733" s="13">
        <v>45993</v>
      </c>
      <c r="H733" s="14">
        <f>16221.92/183.58</f>
        <v>88.364309837672948</v>
      </c>
      <c r="I733" s="14">
        <v>0</v>
      </c>
      <c r="J733" s="8">
        <f>SUMIF(Journal!$A:$A,HeadJournal!$A733,Journal!$K:$K)+SUMIF(Journal!$A:$A,HeadJournal!$A733,Journal!$L:$L)+SUMIF(Journal!$A:$A,HeadJournal!$A733,Journal!$M:$M)</f>
        <v>183.58000000000004</v>
      </c>
      <c r="K733" s="14">
        <v>183.58</v>
      </c>
      <c r="L733" s="14">
        <f>(1100+820)/5</f>
        <v>384</v>
      </c>
      <c r="M733" s="8">
        <f>SUMIF(Journal!$A:$A,HeadJournal!$A733,Journal!$P:$P)</f>
        <v>16605.919999999998</v>
      </c>
      <c r="N733" s="8">
        <f>SUMIF(Journal!$A:$A,HeadJournal!$A733,Journal!Q:Q)</f>
        <v>29200</v>
      </c>
      <c r="O733" s="18">
        <f>SUMIF(Journal!$A:$A,HeadJournal!$A733,Journal!U:U)</f>
        <v>12594.080000000004</v>
      </c>
      <c r="P733" s="22">
        <f t="shared" si="78"/>
        <v>0.75840904930289954</v>
      </c>
      <c r="Q733" s="7" t="b">
        <f t="shared" si="77"/>
        <v>1</v>
      </c>
      <c r="R733" s="73">
        <f t="shared" si="79"/>
        <v>2.3124283388092925E-2</v>
      </c>
    </row>
    <row r="734" spans="1:18" x14ac:dyDescent="0.25">
      <c r="A734" s="12" t="s">
        <v>5087</v>
      </c>
      <c r="B734" s="12"/>
      <c r="C734" s="12" t="s">
        <v>1735</v>
      </c>
      <c r="D734" s="12" t="s">
        <v>714</v>
      </c>
      <c r="E734" s="12" t="s">
        <v>1477</v>
      </c>
      <c r="F734" s="12"/>
      <c r="G734" s="13">
        <v>45993</v>
      </c>
      <c r="H734" s="14">
        <f>16693.49/188.25</f>
        <v>88.677237715803457</v>
      </c>
      <c r="I734" s="14">
        <v>-7.53</v>
      </c>
      <c r="J734" s="8">
        <f>SUMIF(Journal!$A:$A,HeadJournal!$A734,Journal!$K:$K)+SUMIF(Journal!$A:$A,HeadJournal!$A734,Journal!$L:$L)+SUMIF(Journal!$A:$A,HeadJournal!$A734,Journal!$M:$M)</f>
        <v>188.25000000000003</v>
      </c>
      <c r="K734" s="14">
        <v>188.25</v>
      </c>
      <c r="L734" s="14">
        <f>(1100+820)/5</f>
        <v>384</v>
      </c>
      <c r="M734" s="8">
        <f>SUMIF(Journal!$A:$A,HeadJournal!$A734,Journal!$P:$P)</f>
        <v>17077.490000000002</v>
      </c>
      <c r="N734" s="8">
        <f>SUMIF(Journal!$A:$A,HeadJournal!$A734,Journal!Q:Q)</f>
        <v>28900</v>
      </c>
      <c r="O734" s="18">
        <f>SUMIF(Journal!$A:$A,HeadJournal!$A734,Journal!U:U)</f>
        <v>11822.509999999998</v>
      </c>
      <c r="P734" s="22">
        <f t="shared" si="78"/>
        <v>0.69228616149094491</v>
      </c>
      <c r="Q734" s="7" t="b">
        <f t="shared" si="77"/>
        <v>1</v>
      </c>
      <c r="R734" s="73">
        <f t="shared" si="79"/>
        <v>2.2485740000433317E-2</v>
      </c>
    </row>
    <row r="735" spans="1:18" x14ac:dyDescent="0.25">
      <c r="A735" s="12" t="s">
        <v>5138</v>
      </c>
      <c r="B735" s="12"/>
      <c r="C735" s="12" t="s">
        <v>1380</v>
      </c>
      <c r="D735" s="12" t="s">
        <v>714</v>
      </c>
      <c r="E735" s="12" t="s">
        <v>1477</v>
      </c>
      <c r="F735" s="12"/>
      <c r="G735" s="13">
        <v>46000</v>
      </c>
      <c r="H735" s="14">
        <v>1</v>
      </c>
      <c r="I735" s="14">
        <v>0</v>
      </c>
      <c r="J735" s="8">
        <f>SUMIF(Journal!$A:$A,HeadJournal!$A735,Journal!$K:$K)+SUMIF(Journal!$A:$A,HeadJournal!$A735,Journal!$L:$L)+SUMIF(Journal!$A:$A,HeadJournal!$A735,Journal!$M:$M)</f>
        <v>1544</v>
      </c>
      <c r="K735" s="14">
        <v>1544</v>
      </c>
      <c r="L735" s="14">
        <v>0</v>
      </c>
      <c r="M735" s="8">
        <f>SUMIF(Journal!$A:$A,HeadJournal!$A735,Journal!$P:$P)</f>
        <v>1544</v>
      </c>
      <c r="N735" s="8">
        <f>SUMIF(Journal!$A:$A,HeadJournal!$A735,Journal!Q:Q)</f>
        <v>4000</v>
      </c>
      <c r="O735" s="18">
        <f>SUMIF(Journal!$A:$A,HeadJournal!$A735,Journal!U:U)</f>
        <v>2456</v>
      </c>
      <c r="P735" s="22">
        <f t="shared" si="78"/>
        <v>1.5906735751295338</v>
      </c>
      <c r="Q735" s="7" t="b">
        <f t="shared" si="77"/>
        <v>1</v>
      </c>
      <c r="R735" s="73">
        <f t="shared" si="79"/>
        <v>0</v>
      </c>
    </row>
    <row r="736" spans="1:18" x14ac:dyDescent="0.25">
      <c r="A736" s="12" t="s">
        <v>5147</v>
      </c>
      <c r="B736" s="12"/>
      <c r="C736" s="12" t="s">
        <v>1735</v>
      </c>
      <c r="D736" s="12" t="s">
        <v>714</v>
      </c>
      <c r="E736" s="12" t="s">
        <v>1477</v>
      </c>
      <c r="F736" s="12"/>
      <c r="G736" s="13">
        <v>45999</v>
      </c>
      <c r="H736" s="14">
        <f>8235/94.81</f>
        <v>86.85792637907393</v>
      </c>
      <c r="I736" s="14">
        <v>0</v>
      </c>
      <c r="J736" s="8">
        <f>SUMIF(Journal!$A:$A,HeadJournal!$A736,Journal!$K:$K)+SUMIF(Journal!$A:$A,HeadJournal!$A736,Journal!$L:$L)+SUMIF(Journal!$A:$A,HeadJournal!$A736,Journal!$M:$M)</f>
        <v>94.810000000000031</v>
      </c>
      <c r="K736" s="14">
        <v>94.81</v>
      </c>
      <c r="L736" s="14">
        <f>(1100+820)/5</f>
        <v>384</v>
      </c>
      <c r="M736" s="8">
        <f>SUMIF(Journal!$A:$A,HeadJournal!$A736,Journal!$P:$P)</f>
        <v>8618.9999999999982</v>
      </c>
      <c r="N736" s="8">
        <f>SUMIF(Journal!$A:$A,HeadJournal!$A736,Journal!Q:Q)</f>
        <v>13997.26</v>
      </c>
      <c r="O736" s="18">
        <f>SUMIF(Journal!$A:$A,HeadJournal!$A736,Journal!U:U)</f>
        <v>5378.2600000000039</v>
      </c>
      <c r="P736" s="22">
        <f t="shared" si="78"/>
        <v>0.62400046409096244</v>
      </c>
      <c r="Q736" s="7" t="b">
        <f t="shared" si="77"/>
        <v>1</v>
      </c>
      <c r="R736" s="73">
        <f t="shared" si="79"/>
        <v>4.4552732335537776E-2</v>
      </c>
    </row>
    <row r="737" spans="1:18" x14ac:dyDescent="0.25">
      <c r="A737" s="12" t="s">
        <v>5161</v>
      </c>
      <c r="B737" s="12"/>
      <c r="C737" s="12" t="s">
        <v>1752</v>
      </c>
      <c r="D737" s="12" t="s">
        <v>714</v>
      </c>
      <c r="E737" s="12" t="s">
        <v>1477</v>
      </c>
      <c r="F737" s="12"/>
      <c r="G737" s="13">
        <v>45999</v>
      </c>
      <c r="H737" s="14">
        <f>16968.25/193.98</f>
        <v>87.474224146819267</v>
      </c>
      <c r="I737" s="14">
        <v>0</v>
      </c>
      <c r="J737" s="8">
        <f>SUMIF(Journal!$A:$A,HeadJournal!$A737,Journal!$K:$K)+SUMIF(Journal!$A:$A,HeadJournal!$A737,Journal!$L:$L)+SUMIF(Journal!$A:$A,HeadJournal!$A737,Journal!$M:$M)</f>
        <v>193.98</v>
      </c>
      <c r="K737" s="14">
        <v>193.98</v>
      </c>
      <c r="L737" s="14">
        <f>(1100+820)/5</f>
        <v>384</v>
      </c>
      <c r="M737" s="8">
        <f>SUMIF(Journal!$A:$A,HeadJournal!$A737,Journal!$P:$P)</f>
        <v>17352.250000000004</v>
      </c>
      <c r="N737" s="8">
        <f>SUMIF(Journal!$A:$A,HeadJournal!$A737,Journal!Q:Q)</f>
        <v>21400</v>
      </c>
      <c r="O737" s="18">
        <f>SUMIF(Journal!$A:$A,HeadJournal!$A737,Journal!U:U)</f>
        <v>4047.7499999999977</v>
      </c>
      <c r="P737" s="22">
        <f t="shared" si="78"/>
        <v>0.23326946073275781</v>
      </c>
      <c r="Q737" s="7" t="b">
        <f t="shared" si="77"/>
        <v>1</v>
      </c>
      <c r="R737" s="73">
        <f t="shared" si="79"/>
        <v>2.2129694996326121E-2</v>
      </c>
    </row>
    <row r="738" spans="1:18" x14ac:dyDescent="0.25">
      <c r="A738" s="12" t="s">
        <v>5168</v>
      </c>
      <c r="B738" s="12"/>
      <c r="C738" s="12" t="s">
        <v>1737</v>
      </c>
      <c r="D738" s="12" t="s">
        <v>714</v>
      </c>
      <c r="E738" s="12" t="s">
        <v>1477</v>
      </c>
      <c r="F738" s="12"/>
      <c r="G738" s="13">
        <v>46012</v>
      </c>
      <c r="H738" s="14">
        <f>14072.81/156.02</f>
        <v>90.19875656967055</v>
      </c>
      <c r="I738" s="14">
        <v>-32.08</v>
      </c>
      <c r="J738" s="8">
        <f>SUMIF(Journal!$A:$A,HeadJournal!$A738,Journal!$K:$K)+SUMIF(Journal!$A:$A,HeadJournal!$A738,Journal!$L:$L)+SUMIF(Journal!$A:$A,HeadJournal!$A738,Journal!$M:$M)</f>
        <v>156.01999999999998</v>
      </c>
      <c r="K738" s="14">
        <v>156.02000000000001</v>
      </c>
      <c r="L738" s="14">
        <f>(900+820)/4</f>
        <v>430</v>
      </c>
      <c r="M738" s="8">
        <f>SUMIF(Journal!$A:$A,HeadJournal!$A738,Journal!$P:$P)</f>
        <v>14502.810000000003</v>
      </c>
      <c r="N738" s="8">
        <f>SUMIF(Journal!$A:$A,HeadJournal!$A738,Journal!Q:Q)</f>
        <v>18550</v>
      </c>
      <c r="O738" s="18">
        <f>SUMIF(Journal!$A:$A,HeadJournal!$A738,Journal!U:U)</f>
        <v>4047.1899999999987</v>
      </c>
      <c r="P738" s="22">
        <f t="shared" si="78"/>
        <v>0.27906247134176054</v>
      </c>
      <c r="Q738" s="7" t="b">
        <f t="shared" ref="Q738:Q769" si="80">J738=K738</f>
        <v>1</v>
      </c>
      <c r="R738" s="73">
        <f t="shared" si="79"/>
        <v>2.9649426559404689E-2</v>
      </c>
    </row>
    <row r="739" spans="1:18" x14ac:dyDescent="0.25">
      <c r="A739" s="12" t="s">
        <v>5171</v>
      </c>
      <c r="B739" s="12"/>
      <c r="C739" s="12" t="s">
        <v>1751</v>
      </c>
      <c r="D739" s="12" t="s">
        <v>714</v>
      </c>
      <c r="E739" s="12" t="s">
        <v>1477</v>
      </c>
      <c r="F739" s="12"/>
      <c r="G739" s="13">
        <v>46012</v>
      </c>
      <c r="H739" s="14">
        <f>14445.45/161.36</f>
        <v>89.523116013882003</v>
      </c>
      <c r="I739" s="14">
        <v>-19.579999999999998</v>
      </c>
      <c r="J739" s="8">
        <f>SUMIF(Journal!$A:$A,HeadJournal!$A739,Journal!$K:$K)+SUMIF(Journal!$A:$A,HeadJournal!$A739,Journal!$L:$L)+SUMIF(Journal!$A:$A,HeadJournal!$A739,Journal!$M:$M)</f>
        <v>161.35999999999999</v>
      </c>
      <c r="K739" s="14">
        <f>161.36</f>
        <v>161.36000000000001</v>
      </c>
      <c r="L739" s="14">
        <f>(900+820)/4</f>
        <v>430</v>
      </c>
      <c r="M739" s="8">
        <f>SUMIF(Journal!$A:$A,HeadJournal!$A739,Journal!$P:$P)</f>
        <v>14875.450000000003</v>
      </c>
      <c r="N739" s="8">
        <f>SUMIF(Journal!$A:$A,HeadJournal!$A739,Journal!Q:Q)</f>
        <v>23100</v>
      </c>
      <c r="O739" s="18">
        <f>SUMIF(Journal!$A:$A,HeadJournal!$A739,Journal!U:U)</f>
        <v>8224.5499999999993</v>
      </c>
      <c r="P739" s="22">
        <f t="shared" si="78"/>
        <v>0.55289419815871099</v>
      </c>
      <c r="Q739" s="7" t="b">
        <f t="shared" si="80"/>
        <v>1</v>
      </c>
      <c r="R739" s="73">
        <f t="shared" si="79"/>
        <v>2.8906688537153492E-2</v>
      </c>
    </row>
    <row r="740" spans="1:18" x14ac:dyDescent="0.25">
      <c r="A740" s="12" t="s">
        <v>5172</v>
      </c>
      <c r="B740" s="12"/>
      <c r="C740" s="12" t="s">
        <v>1380</v>
      </c>
      <c r="D740" s="12" t="s">
        <v>714</v>
      </c>
      <c r="E740" s="12" t="s">
        <v>1477</v>
      </c>
      <c r="F740" s="12"/>
      <c r="G740" s="13">
        <v>46015</v>
      </c>
      <c r="H740" s="14">
        <v>1</v>
      </c>
      <c r="I740" s="14">
        <v>0</v>
      </c>
      <c r="J740" s="8">
        <f>SUMIF(Journal!$A:$A,HeadJournal!$A740,Journal!$K:$K)+SUMIF(Journal!$A:$A,HeadJournal!$A740,Journal!$L:$L)+SUMIF(Journal!$A:$A,HeadJournal!$A740,Journal!$M:$M)</f>
        <v>2190</v>
      </c>
      <c r="K740" s="14">
        <v>2190</v>
      </c>
      <c r="L740" s="14">
        <v>0</v>
      </c>
      <c r="M740" s="8">
        <f>SUMIF(Journal!$A:$A,HeadJournal!$A740,Journal!$P:$P)</f>
        <v>2190</v>
      </c>
      <c r="N740" s="8">
        <f>SUMIF(Journal!$A:$A,HeadJournal!$A740,Journal!Q:Q)</f>
        <v>2900</v>
      </c>
      <c r="O740" s="18">
        <f>SUMIF(Journal!$A:$A,HeadJournal!$A740,Journal!U:U)</f>
        <v>710</v>
      </c>
      <c r="P740" s="22">
        <f t="shared" si="78"/>
        <v>0.32420091324200911</v>
      </c>
      <c r="Q740" s="7" t="b">
        <f t="shared" si="80"/>
        <v>1</v>
      </c>
      <c r="R740" s="73">
        <f t="shared" si="79"/>
        <v>0</v>
      </c>
    </row>
    <row r="741" spans="1:18" x14ac:dyDescent="0.25">
      <c r="A741" s="12" t="s">
        <v>5173</v>
      </c>
      <c r="B741" s="12"/>
      <c r="C741" s="12" t="s">
        <v>1380</v>
      </c>
      <c r="D741" s="12" t="s">
        <v>714</v>
      </c>
      <c r="E741" s="12" t="s">
        <v>1477</v>
      </c>
      <c r="F741" s="12"/>
      <c r="G741" s="13">
        <v>46015</v>
      </c>
      <c r="H741" s="14">
        <v>1</v>
      </c>
      <c r="I741" s="14">
        <v>0</v>
      </c>
      <c r="J741" s="8">
        <f>SUMIF(Journal!$A:$A,HeadJournal!$A741,Journal!$K:$K)+SUMIF(Journal!$A:$A,HeadJournal!$A741,Journal!$L:$L)+SUMIF(Journal!$A:$A,HeadJournal!$A741,Journal!$M:$M)</f>
        <v>1177</v>
      </c>
      <c r="K741" s="14">
        <v>1177</v>
      </c>
      <c r="L741" s="14">
        <v>0</v>
      </c>
      <c r="M741" s="8">
        <f>SUMIF(Journal!$A:$A,HeadJournal!$A741,Journal!$P:$P)</f>
        <v>1177</v>
      </c>
      <c r="N741" s="8">
        <f>SUMIF(Journal!$A:$A,HeadJournal!$A741,Journal!Q:Q)</f>
        <v>2000</v>
      </c>
      <c r="O741" s="18">
        <f>SUMIF(Journal!$A:$A,HeadJournal!$A741,Journal!U:U)</f>
        <v>823</v>
      </c>
      <c r="P741" s="22">
        <f t="shared" si="78"/>
        <v>0.6992353440951572</v>
      </c>
      <c r="Q741" s="7" t="b">
        <f t="shared" si="80"/>
        <v>1</v>
      </c>
      <c r="R741" s="73">
        <f t="shared" si="79"/>
        <v>0</v>
      </c>
    </row>
    <row r="742" spans="1:18" x14ac:dyDescent="0.25">
      <c r="A742" s="12" t="s">
        <v>5174</v>
      </c>
      <c r="B742" s="12"/>
      <c r="C742" s="12" t="s">
        <v>1380</v>
      </c>
      <c r="D742" s="12" t="s">
        <v>714</v>
      </c>
      <c r="E742" s="12" t="s">
        <v>1477</v>
      </c>
      <c r="F742" s="12"/>
      <c r="G742" s="13">
        <v>46027</v>
      </c>
      <c r="H742" s="14">
        <v>1</v>
      </c>
      <c r="I742" s="14">
        <v>0</v>
      </c>
      <c r="J742" s="8">
        <f>SUMIF(Journal!$A:$A,HeadJournal!$A742,Journal!$K:$K)+SUMIF(Journal!$A:$A,HeadJournal!$A742,Journal!$L:$L)+SUMIF(Journal!$A:$A,HeadJournal!$A742,Journal!$M:$M)</f>
        <v>2053</v>
      </c>
      <c r="K742" s="14">
        <v>2053</v>
      </c>
      <c r="L742" s="14">
        <v>0</v>
      </c>
      <c r="M742" s="8">
        <f>SUMIF(Journal!$A:$A,HeadJournal!$A742,Journal!$P:$P)</f>
        <v>2053</v>
      </c>
      <c r="N742" s="8">
        <f>SUMIF(Journal!$A:$A,HeadJournal!$A742,Journal!Q:Q)</f>
        <v>2900</v>
      </c>
      <c r="O742" s="18">
        <f>SUMIF(Journal!$A:$A,HeadJournal!$A742,Journal!U:U)</f>
        <v>847</v>
      </c>
      <c r="P742" s="22">
        <f t="shared" si="78"/>
        <v>0.41256697515830493</v>
      </c>
      <c r="Q742" s="7" t="b">
        <f t="shared" si="80"/>
        <v>1</v>
      </c>
      <c r="R742" s="73">
        <f t="shared" si="79"/>
        <v>0</v>
      </c>
    </row>
    <row r="743" spans="1:18" x14ac:dyDescent="0.25">
      <c r="A743" s="12" t="s">
        <v>5182</v>
      </c>
      <c r="B743" s="12"/>
      <c r="C743" s="12" t="s">
        <v>1735</v>
      </c>
      <c r="D743" s="12" t="s">
        <v>714</v>
      </c>
      <c r="E743" s="12" t="s">
        <v>1477</v>
      </c>
      <c r="F743" s="12"/>
      <c r="G743" s="13">
        <v>46019</v>
      </c>
      <c r="H743" s="14">
        <f>16913.34/189.62</f>
        <v>89.195970889146707</v>
      </c>
      <c r="I743" s="14">
        <v>-8.36</v>
      </c>
      <c r="J743" s="8">
        <f>SUMIF(Journal!$A:$A,HeadJournal!$A743,Journal!$K:$K)+SUMIF(Journal!$A:$A,HeadJournal!$A743,Journal!$L:$L)+SUMIF(Journal!$A:$A,HeadJournal!$A743,Journal!$M:$M)</f>
        <v>189.62000000000006</v>
      </c>
      <c r="K743" s="14">
        <v>189.62</v>
      </c>
      <c r="L743" s="14">
        <f>(900+820)/4</f>
        <v>430</v>
      </c>
      <c r="M743" s="8">
        <f>SUMIF(Journal!$A:$A,HeadJournal!$A743,Journal!$P:$P)</f>
        <v>17343.339999999993</v>
      </c>
      <c r="N743" s="8">
        <f>SUMIF(Journal!$A:$A,HeadJournal!$A743,Journal!Q:Q)</f>
        <v>28800</v>
      </c>
      <c r="O743" s="18">
        <f>SUMIF(Journal!$A:$A,HeadJournal!$A743,Journal!U:U)</f>
        <v>11456.660000000005</v>
      </c>
      <c r="P743" s="22">
        <f t="shared" si="78"/>
        <v>0.66057979604851258</v>
      </c>
      <c r="Q743" s="7" t="b">
        <f t="shared" si="80"/>
        <v>1</v>
      </c>
      <c r="R743" s="73">
        <f t="shared" si="79"/>
        <v>2.4793378899335434E-2</v>
      </c>
    </row>
    <row r="744" spans="1:18" x14ac:dyDescent="0.25">
      <c r="A744" s="12" t="s">
        <v>5189</v>
      </c>
      <c r="B744" s="12"/>
      <c r="C744" s="12" t="s">
        <v>1737</v>
      </c>
      <c r="D744" s="12" t="s">
        <v>714</v>
      </c>
      <c r="E744" s="12" t="s">
        <v>1477</v>
      </c>
      <c r="F744" s="12"/>
      <c r="G744" s="13">
        <v>46016</v>
      </c>
      <c r="H744" s="14">
        <f>15835.63/177.46</f>
        <v>89.234926180547717</v>
      </c>
      <c r="I744" s="14">
        <v>-8.64</v>
      </c>
      <c r="J744" s="8">
        <f>SUMIF(Journal!$A:$A,HeadJournal!$A744,Journal!$K:$K)+SUMIF(Journal!$A:$A,HeadJournal!$A744,Journal!$L:$L)+SUMIF(Journal!$A:$A,HeadJournal!$A744,Journal!$M:$M)</f>
        <v>177.45999999999998</v>
      </c>
      <c r="K744" s="14">
        <v>177.46</v>
      </c>
      <c r="L744" s="14">
        <f>(900+820)/4</f>
        <v>430</v>
      </c>
      <c r="M744" s="8">
        <f>SUMIF(Journal!$A:$A,HeadJournal!$A744,Journal!$P:$P)</f>
        <v>16265.630000000001</v>
      </c>
      <c r="N744" s="8">
        <f>SUMIF(Journal!$A:$A,HeadJournal!$A744,Journal!Q:Q)</f>
        <v>20400</v>
      </c>
      <c r="O744" s="18">
        <f>SUMIF(Journal!$A:$A,HeadJournal!$A744,Journal!U:U)</f>
        <v>4134.369999999999</v>
      </c>
      <c r="P744" s="22">
        <f t="shared" si="78"/>
        <v>0.25417828882127519</v>
      </c>
      <c r="Q744" s="7" t="b">
        <f t="shared" si="80"/>
        <v>1</v>
      </c>
      <c r="R744" s="73">
        <f t="shared" si="79"/>
        <v>2.6436110989860213E-2</v>
      </c>
    </row>
    <row r="745" spans="1:18" x14ac:dyDescent="0.25">
      <c r="A745" s="12" t="s">
        <v>5194</v>
      </c>
      <c r="B745" s="12"/>
      <c r="C745" s="12" t="s">
        <v>1752</v>
      </c>
      <c r="D745" s="12" t="s">
        <v>714</v>
      </c>
      <c r="E745" s="12" t="s">
        <v>1477</v>
      </c>
      <c r="F745" s="12"/>
      <c r="G745" s="13">
        <v>46018</v>
      </c>
      <c r="H745" s="14">
        <f>16657.57/186.62</f>
        <v>89.259296967098919</v>
      </c>
      <c r="I745" s="14">
        <v>-9.7799999999999994</v>
      </c>
      <c r="J745" s="8">
        <f>SUMIF(Journal!$A:$A,HeadJournal!$A745,Journal!$K:$K)+SUMIF(Journal!$A:$A,HeadJournal!$A745,Journal!$L:$L)+SUMIF(Journal!$A:$A,HeadJournal!$A745,Journal!$M:$M)</f>
        <v>186.62</v>
      </c>
      <c r="K745" s="14">
        <v>186.62</v>
      </c>
      <c r="L745" s="14">
        <f>(900+820)/4</f>
        <v>430</v>
      </c>
      <c r="M745" s="8">
        <f>SUMIF(Journal!$A:$A,HeadJournal!$A745,Journal!$P:$P)</f>
        <v>17087.57</v>
      </c>
      <c r="N745" s="8">
        <f>SUMIF(Journal!$A:$A,HeadJournal!$A745,Journal!Q:Q)</f>
        <v>22818.33</v>
      </c>
      <c r="O745" s="18">
        <f>SUMIF(Journal!$A:$A,HeadJournal!$A745,Journal!U:U)</f>
        <v>5730.76</v>
      </c>
      <c r="P745" s="22">
        <f t="shared" si="78"/>
        <v>0.33537594871593795</v>
      </c>
      <c r="Q745" s="7" t="b">
        <f t="shared" si="80"/>
        <v>1</v>
      </c>
      <c r="R745" s="73">
        <f t="shared" si="79"/>
        <v>2.5164490913570509E-2</v>
      </c>
    </row>
    <row r="746" spans="1:18" x14ac:dyDescent="0.25">
      <c r="A746" s="12" t="s">
        <v>5195</v>
      </c>
      <c r="B746" s="12"/>
      <c r="C746" s="12" t="s">
        <v>1752</v>
      </c>
      <c r="D746" s="12" t="s">
        <v>714</v>
      </c>
      <c r="E746" s="12" t="s">
        <v>1477</v>
      </c>
      <c r="F746" s="12"/>
      <c r="G746" s="13">
        <v>46020</v>
      </c>
      <c r="H746" s="14">
        <f>17001.52/190.54</f>
        <v>89.228088590322244</v>
      </c>
      <c r="I746" s="14">
        <v>-9.2100000000000009</v>
      </c>
      <c r="J746" s="8">
        <f>SUMIF(Journal!$A:$A,HeadJournal!$A746,Journal!$K:$K)+SUMIF(Journal!$A:$A,HeadJournal!$A746,Journal!$L:$L)+SUMIF(Journal!$A:$A,HeadJournal!$A746,Journal!$M:$M)</f>
        <v>190.53999999999996</v>
      </c>
      <c r="K746" s="14">
        <v>190.54</v>
      </c>
      <c r="L746" s="14">
        <f>(900+820)/4</f>
        <v>430</v>
      </c>
      <c r="M746" s="8">
        <f>SUMIF(Journal!$A:$A,HeadJournal!$A746,Journal!$P:$P)</f>
        <v>17431.520000000004</v>
      </c>
      <c r="N746" s="8">
        <f>SUMIF(Journal!$A:$A,HeadJournal!$A746,Journal!Q:Q)</f>
        <v>18100</v>
      </c>
      <c r="O746" s="18">
        <f>SUMIF(Journal!$A:$A,HeadJournal!$A746,Journal!U:U)</f>
        <v>668.47999999999502</v>
      </c>
      <c r="P746" s="22">
        <f t="shared" si="78"/>
        <v>3.8348921952875877E-2</v>
      </c>
      <c r="Q746" s="7" t="b">
        <f t="shared" si="80"/>
        <v>1</v>
      </c>
      <c r="R746" s="73">
        <f t="shared" si="79"/>
        <v>2.4667957814350092E-2</v>
      </c>
    </row>
    <row r="747" spans="1:18" x14ac:dyDescent="0.25">
      <c r="A747" s="12" t="s">
        <v>5204</v>
      </c>
      <c r="B747" s="12"/>
      <c r="C747" s="12" t="s">
        <v>1737</v>
      </c>
      <c r="D747" s="12" t="s">
        <v>714</v>
      </c>
      <c r="E747" s="12" t="s">
        <v>1477</v>
      </c>
      <c r="F747" s="12"/>
      <c r="G747" s="13">
        <v>46021</v>
      </c>
      <c r="H747" s="14">
        <f>9088.81/101.43</f>
        <v>89.606723848959859</v>
      </c>
      <c r="I747" s="14">
        <v>-9.6300000000000008</v>
      </c>
      <c r="J747" s="8">
        <f>SUMIF(Journal!$A:$A,HeadJournal!$A747,Journal!$K:$K)+SUMIF(Journal!$A:$A,HeadJournal!$A747,Journal!$L:$L)+SUMIF(Journal!$A:$A,HeadJournal!$A747,Journal!$M:$M)</f>
        <v>101.43</v>
      </c>
      <c r="K747" s="14">
        <v>101.43</v>
      </c>
      <c r="L747" s="14">
        <f>(900+820)/4</f>
        <v>430</v>
      </c>
      <c r="M747" s="8">
        <f>SUMIF(Journal!$A:$A,HeadJournal!$A747,Journal!$P:$P)</f>
        <v>9518.81</v>
      </c>
      <c r="N747" s="8">
        <f>SUMIF(Journal!$A:$A,HeadJournal!$A747,Journal!Q:Q)</f>
        <v>13500</v>
      </c>
      <c r="O747" s="18">
        <f>SUMIF(Journal!$A:$A,HeadJournal!$A747,Journal!U:U)</f>
        <v>3981.190000000001</v>
      </c>
      <c r="P747" s="22">
        <f t="shared" si="78"/>
        <v>0.41824450745418817</v>
      </c>
      <c r="Q747" s="7" t="b">
        <f t="shared" si="80"/>
        <v>1</v>
      </c>
      <c r="R747" s="73">
        <f t="shared" si="79"/>
        <v>4.5173713941133398E-2</v>
      </c>
    </row>
    <row r="748" spans="1:18" x14ac:dyDescent="0.25">
      <c r="A748" s="12" t="s">
        <v>5205</v>
      </c>
      <c r="B748" s="12"/>
      <c r="C748" s="12" t="s">
        <v>1357</v>
      </c>
      <c r="D748" s="12" t="s">
        <v>714</v>
      </c>
      <c r="E748" s="12" t="s">
        <v>1477</v>
      </c>
      <c r="F748" s="12"/>
      <c r="G748" s="13">
        <v>46028</v>
      </c>
      <c r="H748" s="14">
        <v>1</v>
      </c>
      <c r="I748" s="14">
        <v>0</v>
      </c>
      <c r="J748" s="8">
        <f>SUMIF(Journal!$A:$A,HeadJournal!$A748,Journal!$K:$K)+SUMIF(Journal!$A:$A,HeadJournal!$A748,Journal!$L:$L)+SUMIF(Journal!$A:$A,HeadJournal!$A748,Journal!$M:$M)</f>
        <v>1548</v>
      </c>
      <c r="K748" s="14">
        <v>1548</v>
      </c>
      <c r="L748" s="14">
        <v>0</v>
      </c>
      <c r="M748" s="8">
        <f>SUMIF(Journal!$A:$A,HeadJournal!$A748,Journal!$P:$P)</f>
        <v>1548</v>
      </c>
      <c r="N748" s="8">
        <f>SUMIF(Journal!$A:$A,HeadJournal!$A748,Journal!Q:Q)</f>
        <v>1950</v>
      </c>
      <c r="O748" s="18">
        <f>SUMIF(Journal!$A:$A,HeadJournal!$A748,Journal!U:U)</f>
        <v>402</v>
      </c>
      <c r="P748" s="22">
        <f t="shared" si="78"/>
        <v>0.25968992248062017</v>
      </c>
      <c r="Q748" s="7" t="b">
        <f t="shared" si="80"/>
        <v>1</v>
      </c>
      <c r="R748" s="73">
        <f t="shared" si="79"/>
        <v>0</v>
      </c>
    </row>
    <row r="749" spans="1:18" x14ac:dyDescent="0.25">
      <c r="A749" s="12" t="s">
        <v>5368</v>
      </c>
      <c r="B749" s="12"/>
      <c r="C749" s="12" t="s">
        <v>1380</v>
      </c>
      <c r="D749" s="12" t="s">
        <v>714</v>
      </c>
      <c r="E749" s="12" t="s">
        <v>1477</v>
      </c>
      <c r="F749" s="12"/>
      <c r="G749" s="13">
        <v>46031</v>
      </c>
      <c r="H749" s="14">
        <v>1</v>
      </c>
      <c r="I749" s="14">
        <v>0</v>
      </c>
      <c r="J749" s="8">
        <f>SUMIF(Journal!$A:$A,HeadJournal!$A749,Journal!$K:$K)+SUMIF(Journal!$A:$A,HeadJournal!$A749,Journal!$L:$L)+SUMIF(Journal!$A:$A,HeadJournal!$A749,Journal!$M:$M)</f>
        <v>1007</v>
      </c>
      <c r="K749" s="14">
        <v>1007</v>
      </c>
      <c r="L749" s="14">
        <v>0</v>
      </c>
      <c r="M749" s="8">
        <f>SUMIF(Journal!$A:$A,HeadJournal!$A749,Journal!$P:$P)</f>
        <v>1007</v>
      </c>
      <c r="N749" s="8">
        <f>SUMIF(Journal!$A:$A,HeadJournal!$A749,Journal!Q:Q)</f>
        <v>2000</v>
      </c>
      <c r="O749" s="18">
        <f>SUMIF(Journal!$A:$A,HeadJournal!$A749,Journal!U:U)</f>
        <v>993</v>
      </c>
      <c r="P749" s="22">
        <f t="shared" si="78"/>
        <v>0.98609731876861961</v>
      </c>
      <c r="Q749" s="7" t="b">
        <f t="shared" si="80"/>
        <v>1</v>
      </c>
      <c r="R749" s="73">
        <f t="shared" si="79"/>
        <v>0</v>
      </c>
    </row>
    <row r="750" spans="1:18" x14ac:dyDescent="0.25">
      <c r="A750" s="12" t="s">
        <v>5375</v>
      </c>
      <c r="B750" s="12"/>
      <c r="C750" s="12" t="s">
        <v>1752</v>
      </c>
      <c r="D750" s="12" t="s">
        <v>714</v>
      </c>
      <c r="E750" s="12" t="s">
        <v>1477</v>
      </c>
      <c r="F750" s="12"/>
      <c r="G750" s="13">
        <v>46028</v>
      </c>
      <c r="H750" s="14">
        <f>15913.28/178.24</f>
        <v>89.28007181328546</v>
      </c>
      <c r="I750" s="14">
        <v>-9.7899999999999991</v>
      </c>
      <c r="J750" s="8">
        <f>SUMIF(Journal!$A:$A,HeadJournal!$A750,Journal!$K:$K)+SUMIF(Journal!$A:$A,HeadJournal!$A750,Journal!$L:$L)+SUMIF(Journal!$A:$A,HeadJournal!$A750,Journal!$M:$M)</f>
        <v>178.24</v>
      </c>
      <c r="K750" s="14">
        <v>178.24</v>
      </c>
      <c r="L750" s="14">
        <f>(900+820)/4</f>
        <v>430</v>
      </c>
      <c r="M750" s="8">
        <f>SUMIF(Journal!$A:$A,HeadJournal!$A750,Journal!$P:$P)</f>
        <v>16343.28</v>
      </c>
      <c r="N750" s="8">
        <f>SUMIF(Journal!$A:$A,HeadJournal!$A750,Journal!Q:Q)</f>
        <v>21600</v>
      </c>
      <c r="O750" s="18">
        <f>SUMIF(Journal!$A:$A,HeadJournal!$A750,Journal!U:U)</f>
        <v>5256.7199999999993</v>
      </c>
      <c r="P750" s="22">
        <f t="shared" si="78"/>
        <v>0.32164412529186304</v>
      </c>
      <c r="Q750" s="7" t="b">
        <f t="shared" si="80"/>
        <v>1</v>
      </c>
      <c r="R750" s="73">
        <f t="shared" si="79"/>
        <v>2.6310508049791719E-2</v>
      </c>
    </row>
    <row r="751" spans="1:18" x14ac:dyDescent="0.25">
      <c r="A751" s="12" t="s">
        <v>5386</v>
      </c>
      <c r="B751" s="12"/>
      <c r="C751" s="12" t="s">
        <v>1752</v>
      </c>
      <c r="D751" s="12" t="s">
        <v>714</v>
      </c>
      <c r="E751" s="12" t="s">
        <v>1477</v>
      </c>
      <c r="F751" s="12"/>
      <c r="G751" s="13">
        <v>46032</v>
      </c>
      <c r="H751" s="14">
        <f>12794.07/143.35</f>
        <v>89.250575514475059</v>
      </c>
      <c r="I751" s="14">
        <v>-4.74</v>
      </c>
      <c r="J751" s="8">
        <f>SUMIF(Journal!$A:$A,HeadJournal!$A751,Journal!$K:$K)+SUMIF(Journal!$A:$A,HeadJournal!$A751,Journal!$L:$L)+SUMIF(Journal!$A:$A,HeadJournal!$A751,Journal!$M:$M)</f>
        <v>143.35</v>
      </c>
      <c r="K751" s="14">
        <v>143.35</v>
      </c>
      <c r="L751" s="14">
        <f>(720+620+1200)/5</f>
        <v>508</v>
      </c>
      <c r="M751" s="8">
        <f>SUMIF(Journal!$A:$A,HeadJournal!$A751,Journal!$P:$P)</f>
        <v>13302.070000000002</v>
      </c>
      <c r="N751" s="8">
        <f>SUMIF(Journal!$A:$A,HeadJournal!$A751,Journal!Q:Q)</f>
        <v>20500</v>
      </c>
      <c r="O751" s="18">
        <f>SUMIF(Journal!$A:$A,HeadJournal!$A751,Journal!U:U)</f>
        <v>7197.9299999999994</v>
      </c>
      <c r="P751" s="22">
        <f t="shared" si="78"/>
        <v>0.54111352593994755</v>
      </c>
      <c r="Q751" s="7" t="b">
        <f t="shared" si="80"/>
        <v>1</v>
      </c>
      <c r="R751" s="73">
        <f t="shared" si="79"/>
        <v>3.8189544935487478E-2</v>
      </c>
    </row>
    <row r="752" spans="1:18" x14ac:dyDescent="0.25">
      <c r="A752" s="12" t="s">
        <v>5387</v>
      </c>
      <c r="B752" s="12"/>
      <c r="C752" s="12" t="s">
        <v>1752</v>
      </c>
      <c r="D752" s="12" t="s">
        <v>714</v>
      </c>
      <c r="E752" s="12" t="s">
        <v>1477</v>
      </c>
      <c r="F752" s="12"/>
      <c r="G752" s="13">
        <v>46038</v>
      </c>
      <c r="H752" s="14">
        <f>15816.09/177.74</f>
        <v>88.984415438280635</v>
      </c>
      <c r="I752" s="14">
        <v>0</v>
      </c>
      <c r="J752" s="8">
        <f>SUMIF(Journal!$A:$A,HeadJournal!$A752,Journal!$K:$K)+SUMIF(Journal!$A:$A,HeadJournal!$A752,Journal!$L:$L)+SUMIF(Journal!$A:$A,HeadJournal!$A752,Journal!$M:$M)</f>
        <v>177.73999999999998</v>
      </c>
      <c r="K752" s="14">
        <v>177.74</v>
      </c>
      <c r="L752" s="14">
        <f t="shared" ref="L752:L754" si="81">(720+620+1200)/5</f>
        <v>508</v>
      </c>
      <c r="M752" s="8">
        <f>SUMIF(Journal!$A:$A,HeadJournal!$A752,Journal!$P:$P)</f>
        <v>16324.090000000002</v>
      </c>
      <c r="N752" s="8">
        <f>SUMIF(Journal!$A:$A,HeadJournal!$A752,Journal!Q:Q)</f>
        <v>21100</v>
      </c>
      <c r="O752" s="18">
        <f>SUMIF(Journal!$A:$A,HeadJournal!$A752,Journal!U:U)</f>
        <v>4775.9099999999971</v>
      </c>
      <c r="P752" s="22">
        <f t="shared" si="78"/>
        <v>0.29256822279220446</v>
      </c>
      <c r="Q752" s="7" t="b">
        <f t="shared" si="80"/>
        <v>1</v>
      </c>
      <c r="R752" s="73">
        <f t="shared" si="79"/>
        <v>3.1119651998978193E-2</v>
      </c>
    </row>
    <row r="753" spans="1:19" x14ac:dyDescent="0.25">
      <c r="A753" s="12" t="s">
        <v>5397</v>
      </c>
      <c r="B753" s="12"/>
      <c r="C753" s="12" t="s">
        <v>1737</v>
      </c>
      <c r="D753" s="12" t="s">
        <v>714</v>
      </c>
      <c r="E753" s="12" t="s">
        <v>1477</v>
      </c>
      <c r="F753" s="12"/>
      <c r="G753" s="13">
        <v>46032</v>
      </c>
      <c r="H753" s="14">
        <f>15549.98/173.03</f>
        <v>89.868693290180886</v>
      </c>
      <c r="I753" s="14">
        <v>-18.88</v>
      </c>
      <c r="J753" s="8">
        <f>SUMIF(Journal!$A:$A,HeadJournal!$A753,Journal!$K:$K)+SUMIF(Journal!$A:$A,HeadJournal!$A753,Journal!$L:$L)+SUMIF(Journal!$A:$A,HeadJournal!$A753,Journal!$M:$M)</f>
        <v>176.35000000000002</v>
      </c>
      <c r="K753" s="14">
        <v>176.35</v>
      </c>
      <c r="L753" s="14">
        <f t="shared" si="81"/>
        <v>508</v>
      </c>
      <c r="M753" s="8">
        <f>SUMIF(Journal!$A:$A,HeadJournal!$A753,Journal!$P:$P)</f>
        <v>16356.344061723395</v>
      </c>
      <c r="N753" s="8">
        <f>SUMIF(Journal!$A:$A,HeadJournal!$A753,Journal!Q:Q)</f>
        <v>22000</v>
      </c>
      <c r="O753" s="18">
        <f>SUMIF(Journal!$A:$A,HeadJournal!$A753,Journal!U:U)</f>
        <v>5643.6559382766027</v>
      </c>
      <c r="P753" s="22">
        <f t="shared" si="78"/>
        <v>0.34504385069055316</v>
      </c>
      <c r="Q753" s="7" t="b">
        <f t="shared" si="80"/>
        <v>1</v>
      </c>
      <c r="R753" s="73">
        <f t="shared" si="79"/>
        <v>3.1058285279581866E-2</v>
      </c>
    </row>
    <row r="754" spans="1:19" x14ac:dyDescent="0.25">
      <c r="A754" s="12" t="s">
        <v>5400</v>
      </c>
      <c r="B754" s="12"/>
      <c r="C754" s="12" t="s">
        <v>1752</v>
      </c>
      <c r="D754" s="12" t="s">
        <v>714</v>
      </c>
      <c r="E754" s="12" t="s">
        <v>1477</v>
      </c>
      <c r="F754" s="12"/>
      <c r="G754" s="13">
        <v>46044</v>
      </c>
      <c r="H754" s="14">
        <f>16193.81/181.71</f>
        <v>89.118980793572163</v>
      </c>
      <c r="I754" s="14">
        <v>-10</v>
      </c>
      <c r="J754" s="8">
        <f>SUMIF(Journal!$A:$A,HeadJournal!$A754,Journal!$K:$K)+SUMIF(Journal!$A:$A,HeadJournal!$A754,Journal!$L:$L)+SUMIF(Journal!$A:$A,HeadJournal!$A754,Journal!$M:$M)</f>
        <v>181.71000000000004</v>
      </c>
      <c r="K754" s="14">
        <v>181.71</v>
      </c>
      <c r="L754" s="14">
        <f t="shared" si="81"/>
        <v>508</v>
      </c>
      <c r="M754" s="8">
        <f>SUMIF(Journal!$A:$A,HeadJournal!$A754,Journal!$P:$P)</f>
        <v>16701.809999999994</v>
      </c>
      <c r="N754" s="8">
        <f>SUMIF(Journal!$A:$A,HeadJournal!$A754,Journal!Q:Q)</f>
        <v>24200</v>
      </c>
      <c r="O754" s="18">
        <f>SUMIF(Journal!$A:$A,HeadJournal!$A754,Journal!U:U)</f>
        <v>7498.1900000000041</v>
      </c>
      <c r="P754" s="22">
        <f t="shared" si="78"/>
        <v>0.44894475508941883</v>
      </c>
      <c r="Q754" s="7" t="b">
        <f t="shared" si="80"/>
        <v>1</v>
      </c>
      <c r="R754" s="73">
        <f t="shared" si="79"/>
        <v>3.0415865106835738E-2</v>
      </c>
    </row>
    <row r="755" spans="1:19" x14ac:dyDescent="0.25">
      <c r="A755" s="12" t="s">
        <v>5406</v>
      </c>
      <c r="B755" s="12"/>
      <c r="C755" s="12" t="s">
        <v>1752</v>
      </c>
      <c r="D755" s="12" t="s">
        <v>714</v>
      </c>
      <c r="E755" s="12" t="s">
        <v>1477</v>
      </c>
      <c r="F755" s="12"/>
      <c r="G755" s="13">
        <v>46047</v>
      </c>
      <c r="H755" s="14">
        <f>16129.94/184.48</f>
        <v>87.434627059843891</v>
      </c>
      <c r="I755" s="14">
        <f>-12.3</f>
        <v>-12.3</v>
      </c>
      <c r="J755" s="8">
        <f>SUMIF(Journal!$A:$A,HeadJournal!$A755,Journal!$K:$K)+SUMIF(Journal!$A:$A,HeadJournal!$A755,Journal!$L:$L)+SUMIF(Journal!$A:$A,HeadJournal!$A755,Journal!$M:$M)</f>
        <v>184.48000000000002</v>
      </c>
      <c r="K755" s="14">
        <v>184.48</v>
      </c>
      <c r="L755" s="14">
        <f>(1100+820)/5</f>
        <v>384</v>
      </c>
      <c r="M755" s="8">
        <f>SUMIF(Journal!$A:$A,HeadJournal!$A755,Journal!$P:$P)</f>
        <v>16513.939999999999</v>
      </c>
      <c r="N755" s="8">
        <f>SUMIF(Journal!$A:$A,HeadJournal!$A755,Journal!Q:Q)</f>
        <v>25100</v>
      </c>
      <c r="O755" s="18">
        <f>SUMIF(Journal!$A:$A,HeadJournal!$A755,Journal!U:U)</f>
        <v>8586.0600000000013</v>
      </c>
      <c r="P755" s="22">
        <f t="shared" si="78"/>
        <v>0.51992801233382235</v>
      </c>
      <c r="Q755" s="7" t="b">
        <f t="shared" si="80"/>
        <v>1</v>
      </c>
      <c r="R755" s="73">
        <f t="shared" si="79"/>
        <v>2.3253081941680787E-2</v>
      </c>
    </row>
    <row r="756" spans="1:19" x14ac:dyDescent="0.25">
      <c r="A756" s="12" t="s">
        <v>5413</v>
      </c>
      <c r="B756" s="192"/>
      <c r="C756" s="12" t="s">
        <v>1737</v>
      </c>
      <c r="D756" s="12" t="s">
        <v>714</v>
      </c>
      <c r="E756" s="12" t="s">
        <v>1477</v>
      </c>
      <c r="F756" s="12"/>
      <c r="G756" s="13">
        <v>46043</v>
      </c>
      <c r="H756" s="14">
        <f>16307.13/182.41</f>
        <v>89.398223781590914</v>
      </c>
      <c r="I756" s="14">
        <v>-9.0500000000000007</v>
      </c>
      <c r="J756" s="8">
        <f>SUMIF(Journal!$A:$A,HeadJournal!$A756,Journal!$K:$K)+SUMIF(Journal!$A:$A,HeadJournal!$A756,Journal!$L:$L)+SUMIF(Journal!$A:$A,HeadJournal!$A756,Journal!$M:$M)</f>
        <v>182.40999999999997</v>
      </c>
      <c r="K756" s="14">
        <v>182.41</v>
      </c>
      <c r="L756" s="14">
        <f>(720+620+1200)/5</f>
        <v>508</v>
      </c>
      <c r="M756" s="8">
        <f>SUMIF(Journal!$A:$A,HeadJournal!$A756,Journal!$P:$P)</f>
        <v>16815.130000000005</v>
      </c>
      <c r="N756" s="8">
        <f>SUMIF(Journal!$A:$A,HeadJournal!$A756,Journal!Q:Q)</f>
        <v>23600</v>
      </c>
      <c r="O756" s="18">
        <f>SUMIF(Journal!$A:$A,HeadJournal!$A756,Journal!U:U)</f>
        <v>6784.869999999999</v>
      </c>
      <c r="P756" s="22">
        <f t="shared" si="78"/>
        <v>0.40349792121737965</v>
      </c>
      <c r="Q756" s="7" t="b">
        <f t="shared" si="80"/>
        <v>1</v>
      </c>
      <c r="R756" s="73">
        <f t="shared" si="79"/>
        <v>3.0210887456713083E-2</v>
      </c>
    </row>
    <row r="757" spans="1:19" x14ac:dyDescent="0.25">
      <c r="A757" s="12" t="s">
        <v>5415</v>
      </c>
      <c r="B757" s="12" t="s">
        <v>5414</v>
      </c>
      <c r="C757" s="12" t="s">
        <v>1514</v>
      </c>
      <c r="D757" s="12" t="s">
        <v>714</v>
      </c>
      <c r="E757" s="12" t="s">
        <v>1477</v>
      </c>
      <c r="F757" s="12"/>
      <c r="G757" s="13">
        <v>46037</v>
      </c>
      <c r="H757" s="14">
        <v>1</v>
      </c>
      <c r="I757" s="14">
        <v>0</v>
      </c>
      <c r="J757" s="8">
        <f>SUMIF(Journal!$A:$A,HeadJournal!$A757,Journal!$K:$K)+SUMIF(Journal!$A:$A,HeadJournal!$A757,Journal!$L:$L)+SUMIF(Journal!$A:$A,HeadJournal!$A757,Journal!$M:$M)</f>
        <v>7975.0000000000018</v>
      </c>
      <c r="K757" s="14">
        <f>8760-L757</f>
        <v>7975</v>
      </c>
      <c r="L757" s="14">
        <f>94+691</f>
        <v>785</v>
      </c>
      <c r="M757" s="8">
        <f>SUMIF(Journal!$A:$A,HeadJournal!$A757,Journal!$P:$P)</f>
        <v>8760</v>
      </c>
      <c r="N757" s="8">
        <f>SUMIF(Journal!$A:$A,HeadJournal!$A757,Journal!Q:Q)</f>
        <v>5300</v>
      </c>
      <c r="O757" s="18">
        <f>SUMIF(Journal!$A:$A,HeadJournal!$A757,Journal!U:U)</f>
        <v>-3460</v>
      </c>
      <c r="P757" s="22">
        <f t="shared" si="78"/>
        <v>-0.3949771689497717</v>
      </c>
      <c r="Q757" s="7" t="b">
        <f t="shared" si="80"/>
        <v>1</v>
      </c>
      <c r="R757" s="73">
        <f t="shared" si="79"/>
        <v>8.9611872146118723E-2</v>
      </c>
    </row>
    <row r="758" spans="1:19" x14ac:dyDescent="0.25">
      <c r="A758" s="12" t="s">
        <v>5435</v>
      </c>
      <c r="B758" s="12"/>
      <c r="C758" s="12" t="s">
        <v>1751</v>
      </c>
      <c r="D758" s="12" t="s">
        <v>714</v>
      </c>
      <c r="E758" s="12" t="s">
        <v>1477</v>
      </c>
      <c r="F758" s="12"/>
      <c r="G758" s="13">
        <v>46051</v>
      </c>
      <c r="H758" s="14">
        <f>16244.99/186.91</f>
        <v>86.913434273179604</v>
      </c>
      <c r="I758" s="14">
        <v>-11.4</v>
      </c>
      <c r="J758" s="8">
        <f>SUMIF(Journal!$A:$A,HeadJournal!$A758,Journal!$K:$K)+SUMIF(Journal!$A:$A,HeadJournal!$A758,Journal!$L:$L)+SUMIF(Journal!$A:$A,HeadJournal!$A758,Journal!$M:$M)</f>
        <v>186.91000000000003</v>
      </c>
      <c r="K758" s="14">
        <v>186.91</v>
      </c>
      <c r="L758" s="14">
        <f>(1100+820)/5</f>
        <v>384</v>
      </c>
      <c r="M758" s="8">
        <f>SUMIF(Journal!$A:$A,HeadJournal!$A758,Journal!$P:$P)</f>
        <v>16628.989999999994</v>
      </c>
      <c r="N758" s="8">
        <f>SUMIF(Journal!$A:$A,HeadJournal!$A758,Journal!Q:Q)</f>
        <v>16705.62</v>
      </c>
      <c r="O758" s="18">
        <f>SUMIF(Journal!$A:$A,HeadJournal!$A758,Journal!U:U)</f>
        <v>76.630000000001928</v>
      </c>
      <c r="P758" s="22">
        <f t="shared" si="78"/>
        <v>4.608217336110128E-3</v>
      </c>
      <c r="Q758" s="7" t="b">
        <f t="shared" si="80"/>
        <v>1</v>
      </c>
      <c r="R758" s="73">
        <f t="shared" si="79"/>
        <v>2.3092202232366497E-2</v>
      </c>
      <c r="S758" s="73"/>
    </row>
    <row r="759" spans="1:19" x14ac:dyDescent="0.25">
      <c r="A759" s="12" t="s">
        <v>5436</v>
      </c>
      <c r="B759" s="12"/>
      <c r="C759" s="12" t="s">
        <v>843</v>
      </c>
      <c r="D759" s="12" t="s">
        <v>714</v>
      </c>
      <c r="E759" s="12" t="s">
        <v>1477</v>
      </c>
      <c r="F759" s="12"/>
      <c r="G759" s="13">
        <v>45986</v>
      </c>
      <c r="H759" s="14">
        <v>1</v>
      </c>
      <c r="I759" s="14">
        <v>0</v>
      </c>
      <c r="J759" s="8">
        <f>SUMIF(Journal!$A:$A,HeadJournal!$A759,Journal!$K:$K)+SUMIF(Journal!$A:$A,HeadJournal!$A759,Journal!$L:$L)+SUMIF(Journal!$A:$A,HeadJournal!$A759,Journal!$M:$M)</f>
        <v>2399</v>
      </c>
      <c r="K759" s="14">
        <v>2399</v>
      </c>
      <c r="L759" s="14">
        <v>0</v>
      </c>
      <c r="M759" s="8">
        <f>SUMIF(Journal!$A:$A,HeadJournal!$A759,Journal!$P:$P)</f>
        <v>2399</v>
      </c>
      <c r="N759" s="8">
        <f>SUMIF(Journal!$A:$A,HeadJournal!$A759,Journal!Q:Q)</f>
        <v>4200</v>
      </c>
      <c r="O759" s="18">
        <f>SUMIF(Journal!$A:$A,HeadJournal!$A759,Journal!U:U)</f>
        <v>1801</v>
      </c>
      <c r="P759" s="22">
        <f t="shared" si="78"/>
        <v>0.7507294706127553</v>
      </c>
      <c r="Q759" s="7" t="b">
        <f t="shared" si="80"/>
        <v>1</v>
      </c>
      <c r="R759" s="73">
        <f t="shared" si="79"/>
        <v>0</v>
      </c>
      <c r="S759" s="73"/>
    </row>
    <row r="760" spans="1:19" x14ac:dyDescent="0.25">
      <c r="A760" s="12" t="s">
        <v>5437</v>
      </c>
      <c r="B760" s="12"/>
      <c r="C760" s="12" t="s">
        <v>843</v>
      </c>
      <c r="D760" s="12" t="s">
        <v>714</v>
      </c>
      <c r="E760" s="12" t="s">
        <v>1477</v>
      </c>
      <c r="F760" s="12"/>
      <c r="G760" s="13">
        <v>46064</v>
      </c>
      <c r="H760" s="14">
        <v>1</v>
      </c>
      <c r="I760" s="14">
        <v>0</v>
      </c>
      <c r="J760" s="8">
        <f>SUMIF(Journal!$A:$A,HeadJournal!$A760,Journal!$K:$K)+SUMIF(Journal!$A:$A,HeadJournal!$A760,Journal!$L:$L)+SUMIF(Journal!$A:$A,HeadJournal!$A760,Journal!$M:$M)</f>
        <v>2556</v>
      </c>
      <c r="K760" s="14">
        <v>2556</v>
      </c>
      <c r="L760" s="14">
        <v>0</v>
      </c>
      <c r="M760" s="8">
        <f>SUMIF(Journal!$A:$A,HeadJournal!$A760,Journal!$P:$P)</f>
        <v>2556</v>
      </c>
      <c r="N760" s="8">
        <f>SUMIF(Journal!$A:$A,HeadJournal!$A760,Journal!Q:Q)</f>
        <v>3200</v>
      </c>
      <c r="O760" s="18">
        <f>SUMIF(Journal!$A:$A,HeadJournal!$A760,Journal!U:U)</f>
        <v>644</v>
      </c>
      <c r="P760" s="22">
        <f t="shared" si="78"/>
        <v>0.2519561815336463</v>
      </c>
      <c r="Q760" s="7" t="b">
        <f t="shared" si="80"/>
        <v>1</v>
      </c>
      <c r="R760" s="73">
        <f t="shared" si="79"/>
        <v>0</v>
      </c>
      <c r="S760" s="73"/>
    </row>
    <row r="761" spans="1:19" x14ac:dyDescent="0.25">
      <c r="A761" s="12" t="s">
        <v>5438</v>
      </c>
      <c r="B761" s="12"/>
      <c r="C761" s="12" t="s">
        <v>1380</v>
      </c>
      <c r="D761" s="12" t="s">
        <v>714</v>
      </c>
      <c r="E761" s="12" t="s">
        <v>1477</v>
      </c>
      <c r="F761" s="12"/>
      <c r="G761" s="13">
        <v>46059</v>
      </c>
      <c r="H761" s="14">
        <v>1</v>
      </c>
      <c r="I761" s="14">
        <v>0</v>
      </c>
      <c r="J761" s="8">
        <f>SUMIF(Journal!$A:$A,HeadJournal!$A761,Journal!$K:$K)+SUMIF(Journal!$A:$A,HeadJournal!$A761,Journal!$L:$L)+SUMIF(Journal!$A:$A,HeadJournal!$A761,Journal!$M:$M)</f>
        <v>2662</v>
      </c>
      <c r="K761" s="14">
        <v>2662</v>
      </c>
      <c r="L761" s="14">
        <v>0</v>
      </c>
      <c r="M761" s="8">
        <f>SUMIF(Journal!$A:$A,HeadJournal!$A761,Journal!$P:$P)</f>
        <v>2662</v>
      </c>
      <c r="N761" s="8">
        <f>SUMIF(Journal!$A:$A,HeadJournal!$A761,Journal!Q:Q)</f>
        <v>0</v>
      </c>
      <c r="O761" s="18">
        <f>SUMIF(Journal!$A:$A,HeadJournal!$A761,Journal!U:U)</f>
        <v>-2662</v>
      </c>
      <c r="P761" s="22" t="str">
        <f t="shared" si="78"/>
        <v/>
      </c>
      <c r="Q761" s="7" t="b">
        <f t="shared" si="80"/>
        <v>1</v>
      </c>
      <c r="R761" s="73">
        <f t="shared" si="79"/>
        <v>0</v>
      </c>
      <c r="S761" s="73"/>
    </row>
    <row r="762" spans="1:19" x14ac:dyDescent="0.25">
      <c r="A762" s="12" t="s">
        <v>5439</v>
      </c>
      <c r="B762" s="12"/>
      <c r="C762" s="12" t="s">
        <v>1380</v>
      </c>
      <c r="D762" s="12" t="s">
        <v>714</v>
      </c>
      <c r="E762" s="12" t="s">
        <v>1477</v>
      </c>
      <c r="F762" s="12"/>
      <c r="G762" s="13">
        <v>46055</v>
      </c>
      <c r="H762" s="14">
        <v>1</v>
      </c>
      <c r="I762" s="14">
        <v>0</v>
      </c>
      <c r="J762" s="8">
        <f>SUMIF(Journal!$A:$A,HeadJournal!$A762,Journal!$K:$K)+SUMIF(Journal!$A:$A,HeadJournal!$A762,Journal!$L:$L)+SUMIF(Journal!$A:$A,HeadJournal!$A762,Journal!$M:$M)</f>
        <v>656</v>
      </c>
      <c r="K762" s="14">
        <v>656</v>
      </c>
      <c r="L762" s="14">
        <v>0</v>
      </c>
      <c r="M762" s="8">
        <f>SUMIF(Journal!$A:$A,HeadJournal!$A762,Journal!$P:$P)</f>
        <v>656</v>
      </c>
      <c r="N762" s="8">
        <f>SUMIF(Journal!$A:$A,HeadJournal!$A762,Journal!Q:Q)</f>
        <v>2000</v>
      </c>
      <c r="O762" s="18">
        <f>SUMIF(Journal!$A:$A,HeadJournal!$A762,Journal!U:U)</f>
        <v>1344</v>
      </c>
      <c r="P762" s="22">
        <f t="shared" si="78"/>
        <v>2.0487804878048781</v>
      </c>
      <c r="Q762" s="7" t="b">
        <f t="shared" si="80"/>
        <v>1</v>
      </c>
      <c r="R762" s="73">
        <f t="shared" si="79"/>
        <v>0</v>
      </c>
      <c r="S762" s="73"/>
    </row>
    <row r="763" spans="1:19" x14ac:dyDescent="0.25">
      <c r="A763" s="12" t="s">
        <v>5440</v>
      </c>
      <c r="B763" s="12"/>
      <c r="C763" s="12" t="s">
        <v>1380</v>
      </c>
      <c r="D763" s="12" t="s">
        <v>714</v>
      </c>
      <c r="E763" s="12" t="s">
        <v>1477</v>
      </c>
      <c r="F763" s="12"/>
      <c r="G763" s="13">
        <v>46055</v>
      </c>
      <c r="H763" s="14">
        <v>1</v>
      </c>
      <c r="I763" s="14">
        <v>0</v>
      </c>
      <c r="J763" s="8">
        <f>SUMIF(Journal!$A:$A,HeadJournal!$A763,Journal!$K:$K)+SUMIF(Journal!$A:$A,HeadJournal!$A763,Journal!$L:$L)+SUMIF(Journal!$A:$A,HeadJournal!$A763,Journal!$M:$M)</f>
        <v>950.42</v>
      </c>
      <c r="K763" s="14">
        <v>950.42</v>
      </c>
      <c r="L763" s="14">
        <v>0</v>
      </c>
      <c r="M763" s="8">
        <f>SUMIF(Journal!$A:$A,HeadJournal!$A763,Journal!$P:$P)</f>
        <v>950.42</v>
      </c>
      <c r="N763" s="8">
        <f>SUMIF(Journal!$A:$A,HeadJournal!$A763,Journal!Q:Q)</f>
        <v>2000</v>
      </c>
      <c r="O763" s="18">
        <f>SUMIF(Journal!$A:$A,HeadJournal!$A763,Journal!U:U)</f>
        <v>1049.58</v>
      </c>
      <c r="P763" s="22">
        <f t="shared" si="78"/>
        <v>1.1043328212790136</v>
      </c>
      <c r="Q763" s="7" t="b">
        <f t="shared" si="80"/>
        <v>1</v>
      </c>
      <c r="R763" s="73">
        <f t="shared" si="79"/>
        <v>0</v>
      </c>
      <c r="S763" s="73"/>
    </row>
    <row r="764" spans="1:19" x14ac:dyDescent="0.25">
      <c r="A764" s="12" t="s">
        <v>5441</v>
      </c>
      <c r="B764" s="12"/>
      <c r="C764" s="12" t="s">
        <v>1380</v>
      </c>
      <c r="D764" s="12" t="s">
        <v>714</v>
      </c>
      <c r="E764" s="12" t="s">
        <v>1477</v>
      </c>
      <c r="F764" s="12"/>
      <c r="G764" s="13">
        <v>46060</v>
      </c>
      <c r="H764" s="14">
        <v>1</v>
      </c>
      <c r="I764" s="14">
        <v>0</v>
      </c>
      <c r="J764" s="8">
        <f>SUMIF(Journal!$A:$A,HeadJournal!$A764,Journal!$K:$K)+SUMIF(Journal!$A:$A,HeadJournal!$A764,Journal!$L:$L)+SUMIF(Journal!$A:$A,HeadJournal!$A764,Journal!$M:$M)</f>
        <v>1938.58</v>
      </c>
      <c r="K764" s="14">
        <v>1938.58</v>
      </c>
      <c r="L764" s="14">
        <v>0</v>
      </c>
      <c r="M764" s="8">
        <f>SUMIF(Journal!$A:$A,HeadJournal!$A764,Journal!$P:$P)</f>
        <v>1938.58</v>
      </c>
      <c r="N764" s="8">
        <f>SUMIF(Journal!$A:$A,HeadJournal!$A764,Journal!Q:Q)</f>
        <v>4000</v>
      </c>
      <c r="O764" s="18">
        <f>SUMIF(Journal!$A:$A,HeadJournal!$A764,Journal!U:U)</f>
        <v>2061.42</v>
      </c>
      <c r="P764" s="22">
        <f t="shared" si="78"/>
        <v>1.063365968905075</v>
      </c>
      <c r="Q764" s="7" t="b">
        <f t="shared" si="80"/>
        <v>1</v>
      </c>
      <c r="R764" s="73">
        <f t="shared" si="79"/>
        <v>0</v>
      </c>
      <c r="S764" s="73"/>
    </row>
    <row r="765" spans="1:19" x14ac:dyDescent="0.25">
      <c r="A765" s="12" t="s">
        <v>5456</v>
      </c>
      <c r="B765" s="12"/>
      <c r="C765" s="12" t="s">
        <v>1737</v>
      </c>
      <c r="D765" s="12" t="s">
        <v>714</v>
      </c>
      <c r="E765" s="12" t="s">
        <v>1477</v>
      </c>
      <c r="F765" s="12"/>
      <c r="G765" s="13">
        <v>46057</v>
      </c>
      <c r="H765" s="14">
        <f>15469.61/177.17</f>
        <v>87.315064627194232</v>
      </c>
      <c r="I765" s="14">
        <v>-19.809999999999999</v>
      </c>
      <c r="J765" s="8">
        <f>SUMIF(Journal!$A:$A,HeadJournal!$A765,Journal!$K:$K)+SUMIF(Journal!$A:$A,HeadJournal!$A765,Journal!$L:$L)+SUMIF(Journal!$A:$A,HeadJournal!$A765,Journal!$M:$M)</f>
        <v>177.17000000000002</v>
      </c>
      <c r="K765" s="14">
        <v>177.17</v>
      </c>
      <c r="L765" s="14">
        <f>(1100+820)/5</f>
        <v>384</v>
      </c>
      <c r="M765" s="8">
        <f>SUMIF(Journal!$A:$A,HeadJournal!$A765,Journal!$P:$P)</f>
        <v>15853.61</v>
      </c>
      <c r="N765" s="8">
        <f>SUMIF(Journal!$A:$A,HeadJournal!$A765,Journal!Q:Q)</f>
        <v>20400</v>
      </c>
      <c r="O765" s="18">
        <f>SUMIF(Journal!$A:$A,HeadJournal!$A765,Journal!U:U)</f>
        <v>4546.3900000000003</v>
      </c>
      <c r="P765" s="22">
        <f t="shared" si="78"/>
        <v>0.28677317027478283</v>
      </c>
      <c r="Q765" s="7" t="b">
        <f t="shared" si="80"/>
        <v>1</v>
      </c>
      <c r="R765" s="73">
        <f t="shared" si="79"/>
        <v>2.4221612616937088E-2</v>
      </c>
      <c r="S765" s="73"/>
    </row>
    <row r="766" spans="1:19" x14ac:dyDescent="0.25">
      <c r="A766" s="12" t="s">
        <v>5466</v>
      </c>
      <c r="B766" s="12"/>
      <c r="C766" s="12" t="s">
        <v>1751</v>
      </c>
      <c r="D766" s="12" t="s">
        <v>714</v>
      </c>
      <c r="E766" s="12" t="s">
        <v>1477</v>
      </c>
      <c r="F766" s="12"/>
      <c r="G766" s="13">
        <v>46064</v>
      </c>
      <c r="H766" s="14">
        <f>14977.85/171.91</f>
        <v>87.126112500727132</v>
      </c>
      <c r="I766" s="14">
        <v>-15.31</v>
      </c>
      <c r="J766" s="8">
        <f>SUMIF(Journal!$A:$A,HeadJournal!$A766,Journal!$K:$K)+SUMIF(Journal!$A:$A,HeadJournal!$A766,Journal!$L:$L)+SUMIF(Journal!$A:$A,HeadJournal!$A766,Journal!$M:$M)</f>
        <v>171.91</v>
      </c>
      <c r="K766" s="14">
        <v>171.91</v>
      </c>
      <c r="L766" s="14">
        <f>(1100+820)/5</f>
        <v>384</v>
      </c>
      <c r="M766" s="8">
        <f>SUMIF(Journal!$A:$A,HeadJournal!$A766,Journal!$P:$P)</f>
        <v>15361.850000000002</v>
      </c>
      <c r="N766" s="8">
        <f>SUMIF(Journal!$A:$A,HeadJournal!$A766,Journal!Q:Q)</f>
        <v>12300</v>
      </c>
      <c r="O766" s="18">
        <f>SUMIF(Journal!$A:$A,HeadJournal!$A766,Journal!U:U)</f>
        <v>-3061.8500000000017</v>
      </c>
      <c r="P766" s="22">
        <f t="shared" si="78"/>
        <v>-0.19931518664744163</v>
      </c>
      <c r="Q766" s="7" t="b">
        <f t="shared" si="80"/>
        <v>1</v>
      </c>
      <c r="R766" s="73">
        <f t="shared" si="79"/>
        <v>2.4996989294909139E-2</v>
      </c>
      <c r="S766" s="73"/>
    </row>
    <row r="767" spans="1:19" x14ac:dyDescent="0.25">
      <c r="A767" s="12" t="s">
        <v>5476</v>
      </c>
      <c r="B767" s="12"/>
      <c r="C767" s="12" t="s">
        <v>1752</v>
      </c>
      <c r="D767" s="12" t="s">
        <v>714</v>
      </c>
      <c r="E767" s="12" t="s">
        <v>1477</v>
      </c>
      <c r="F767" s="12"/>
      <c r="G767" s="13">
        <v>46059</v>
      </c>
      <c r="H767" s="14">
        <f>16122.13/185.65</f>
        <v>86.84152976030164</v>
      </c>
      <c r="I767" s="14">
        <v>-9.9</v>
      </c>
      <c r="J767" s="8">
        <f>SUMIF(Journal!$A:$A,HeadJournal!$A767,Journal!$K:$K)+SUMIF(Journal!$A:$A,HeadJournal!$A767,Journal!$L:$L)+SUMIF(Journal!$A:$A,HeadJournal!$A767,Journal!$M:$M)</f>
        <v>185.65</v>
      </c>
      <c r="K767" s="14">
        <v>185.65</v>
      </c>
      <c r="L767" s="14">
        <f>(1100+820)/5</f>
        <v>384</v>
      </c>
      <c r="M767" s="8">
        <f>SUMIF(Journal!$A:$A,HeadJournal!$A767,Journal!$P:$P)</f>
        <v>16506.129999999997</v>
      </c>
      <c r="N767" s="8">
        <f>SUMIF(Journal!$A:$A,HeadJournal!$A767,Journal!Q:Q)</f>
        <v>22200</v>
      </c>
      <c r="O767" s="18">
        <f>SUMIF(Journal!$A:$A,HeadJournal!$A767,Journal!U:U)</f>
        <v>5693.8700000000008</v>
      </c>
      <c r="P767" s="22">
        <f t="shared" si="78"/>
        <v>0.34495487434062388</v>
      </c>
      <c r="Q767" s="7" t="b">
        <f t="shared" si="80"/>
        <v>1</v>
      </c>
      <c r="R767" s="73">
        <f t="shared" si="79"/>
        <v>2.32640843129189E-2</v>
      </c>
      <c r="S767" s="73"/>
    </row>
    <row r="768" spans="1:19" x14ac:dyDescent="0.25">
      <c r="A768" s="12" t="s">
        <v>5477</v>
      </c>
      <c r="B768" s="12"/>
      <c r="C768" s="12" t="s">
        <v>1380</v>
      </c>
      <c r="D768" s="12" t="s">
        <v>714</v>
      </c>
      <c r="E768" s="12" t="s">
        <v>1477</v>
      </c>
      <c r="F768" s="12"/>
      <c r="G768" s="13">
        <v>46062</v>
      </c>
      <c r="H768" s="14">
        <v>1</v>
      </c>
      <c r="I768" s="14">
        <v>0</v>
      </c>
      <c r="J768" s="8">
        <f>SUMIF(Journal!$A:$A,HeadJournal!$A768,Journal!$K:$K)+SUMIF(Journal!$A:$A,HeadJournal!$A768,Journal!$L:$L)+SUMIF(Journal!$A:$A,HeadJournal!$A768,Journal!$M:$M)</f>
        <v>940</v>
      </c>
      <c r="K768" s="14">
        <v>940</v>
      </c>
      <c r="L768" s="14">
        <v>0</v>
      </c>
      <c r="M768" s="8">
        <f>SUMIF(Journal!$A:$A,HeadJournal!$A768,Journal!$P:$P)</f>
        <v>940</v>
      </c>
      <c r="N768" s="8">
        <f>SUMIF(Journal!$A:$A,HeadJournal!$A768,Journal!Q:Q)</f>
        <v>2000</v>
      </c>
      <c r="O768" s="18">
        <f>SUMIF(Journal!$A:$A,HeadJournal!$A768,Journal!U:U)</f>
        <v>1060</v>
      </c>
      <c r="P768" s="22">
        <f t="shared" si="78"/>
        <v>1.1276595744680851</v>
      </c>
      <c r="Q768" s="7" t="b">
        <f t="shared" si="80"/>
        <v>1</v>
      </c>
      <c r="R768" s="73">
        <f t="shared" si="79"/>
        <v>0</v>
      </c>
      <c r="S768" s="73"/>
    </row>
    <row r="769" spans="1:19" x14ac:dyDescent="0.25">
      <c r="A769" s="12" t="s">
        <v>5478</v>
      </c>
      <c r="B769" s="12"/>
      <c r="C769" s="12" t="s">
        <v>1380</v>
      </c>
      <c r="D769" s="12" t="s">
        <v>714</v>
      </c>
      <c r="E769" s="12" t="s">
        <v>1477</v>
      </c>
      <c r="F769" s="12"/>
      <c r="G769" s="13">
        <v>46060</v>
      </c>
      <c r="H769" s="14">
        <v>1</v>
      </c>
      <c r="I769" s="14">
        <v>0</v>
      </c>
      <c r="J769" s="8">
        <f>SUMIF(Journal!$A:$A,HeadJournal!$A769,Journal!$K:$K)+SUMIF(Journal!$A:$A,HeadJournal!$A769,Journal!$L:$L)+SUMIF(Journal!$A:$A,HeadJournal!$A769,Journal!$M:$M)</f>
        <v>2002</v>
      </c>
      <c r="K769" s="14">
        <v>2002</v>
      </c>
      <c r="L769" s="14">
        <v>0</v>
      </c>
      <c r="M769" s="8">
        <f>SUMIF(Journal!$A:$A,HeadJournal!$A769,Journal!$P:$P)</f>
        <v>2002</v>
      </c>
      <c r="N769" s="8">
        <f>SUMIF(Journal!$A:$A,HeadJournal!$A769,Journal!Q:Q)</f>
        <v>4000</v>
      </c>
      <c r="O769" s="18">
        <f>SUMIF(Journal!$A:$A,HeadJournal!$A769,Journal!U:U)</f>
        <v>1998</v>
      </c>
      <c r="P769" s="22">
        <f t="shared" si="78"/>
        <v>0.99800199800199796</v>
      </c>
      <c r="Q769" s="7" t="b">
        <f t="shared" si="80"/>
        <v>1</v>
      </c>
      <c r="R769" s="73">
        <f t="shared" si="79"/>
        <v>0</v>
      </c>
      <c r="S769" s="73"/>
    </row>
    <row r="770" spans="1:19" x14ac:dyDescent="0.25">
      <c r="A770" s="12" t="s">
        <v>5492</v>
      </c>
      <c r="B770" s="12"/>
      <c r="C770" s="12" t="s">
        <v>1737</v>
      </c>
      <c r="D770" s="12" t="s">
        <v>714</v>
      </c>
      <c r="E770" s="12" t="s">
        <v>1477</v>
      </c>
      <c r="F770" s="12"/>
      <c r="G770" s="13">
        <v>46071</v>
      </c>
      <c r="H770" s="14">
        <f>15310.58/175.49</f>
        <v>87.244743290215965</v>
      </c>
      <c r="I770" s="14">
        <f>-18.29</f>
        <v>-18.29</v>
      </c>
      <c r="J770" s="8">
        <f>SUMIF(Journal!$A:$A,HeadJournal!$A770,Journal!$K:$K)+SUMIF(Journal!$A:$A,HeadJournal!$A770,Journal!$L:$L)+SUMIF(Journal!$A:$A,HeadJournal!$A770,Journal!$M:$M)</f>
        <v>175.49000000000004</v>
      </c>
      <c r="K770" s="14">
        <v>175.49</v>
      </c>
      <c r="L770" s="14">
        <f>(920+1200)/5</f>
        <v>424</v>
      </c>
      <c r="M770" s="8">
        <f>SUMIF(Journal!$A:$A,HeadJournal!$A770,Journal!$P:$P)</f>
        <v>15734.579999999998</v>
      </c>
      <c r="N770" s="8">
        <f>SUMIF(Journal!$A:$A,HeadJournal!$A770,Journal!Q:Q)</f>
        <v>26738.71</v>
      </c>
      <c r="O770" s="18">
        <f>SUMIF(Journal!$A:$A,HeadJournal!$A770,Journal!U:U)</f>
        <v>11004.130000000001</v>
      </c>
      <c r="P770" s="22">
        <f t="shared" si="78"/>
        <v>0.69935962701260546</v>
      </c>
      <c r="Q770" s="7" t="b">
        <f t="shared" ref="Q770:Q801" si="82">J770=K770</f>
        <v>1</v>
      </c>
      <c r="R770" s="73">
        <f t="shared" si="79"/>
        <v>2.6947017333796012E-2</v>
      </c>
      <c r="S770" s="73"/>
    </row>
    <row r="771" spans="1:19" x14ac:dyDescent="0.25">
      <c r="A771" s="12" t="s">
        <v>5499</v>
      </c>
      <c r="B771" s="12"/>
      <c r="C771" s="12" t="s">
        <v>1735</v>
      </c>
      <c r="D771" s="12" t="s">
        <v>714</v>
      </c>
      <c r="E771" s="12" t="s">
        <v>1477</v>
      </c>
      <c r="F771" s="12"/>
      <c r="G771" s="13">
        <v>46066</v>
      </c>
      <c r="H771" s="14">
        <f>15646.07/179.9</f>
        <v>86.970928293496385</v>
      </c>
      <c r="I771" s="14">
        <v>-12.4</v>
      </c>
      <c r="J771" s="8">
        <f>SUMIF(Journal!$A:$A,HeadJournal!$A771,Journal!$K:$K)+SUMIF(Journal!$A:$A,HeadJournal!$A771,Journal!$L:$L)+SUMIF(Journal!$A:$A,HeadJournal!$A771,Journal!$M:$M)</f>
        <v>179.9</v>
      </c>
      <c r="K771" s="14">
        <v>179.9</v>
      </c>
      <c r="L771" s="14">
        <f t="shared" ref="L771:L772" si="83">(920+1200)/5</f>
        <v>424</v>
      </c>
      <c r="M771" s="8">
        <f>SUMIF(Journal!$A:$A,HeadJournal!$A771,Journal!$P:$P)</f>
        <v>16070.07</v>
      </c>
      <c r="N771" s="8">
        <f>SUMIF(Journal!$A:$A,HeadJournal!$A771,Journal!Q:Q)</f>
        <v>16900</v>
      </c>
      <c r="O771" s="18">
        <f>SUMIF(Journal!$A:$A,HeadJournal!$A771,Journal!U:U)</f>
        <v>829.93000000000029</v>
      </c>
      <c r="P771" s="22">
        <f t="shared" ref="P771:P834" si="84">IF(N771&lt;&gt;0,IFERROR(O771/M771,""),"")</f>
        <v>5.1644454566781621E-2</v>
      </c>
      <c r="Q771" s="7" t="b">
        <f t="shared" si="82"/>
        <v>1</v>
      </c>
      <c r="R771" s="73">
        <f t="shared" ref="R771:R834" si="85">L771/M771</f>
        <v>2.6384452587947659E-2</v>
      </c>
      <c r="S771" s="73"/>
    </row>
    <row r="772" spans="1:19" x14ac:dyDescent="0.25">
      <c r="A772" s="12" t="s">
        <v>5505</v>
      </c>
      <c r="B772" s="12"/>
      <c r="C772" s="12" t="s">
        <v>1752</v>
      </c>
      <c r="D772" s="12" t="s">
        <v>714</v>
      </c>
      <c r="E772" s="12" t="s">
        <v>1477</v>
      </c>
      <c r="F772" s="12"/>
      <c r="G772" s="13">
        <v>46066</v>
      </c>
      <c r="H772" s="14">
        <f>14221.4/164.54</f>
        <v>86.431262914792754</v>
      </c>
      <c r="I772" s="14">
        <v>0</v>
      </c>
      <c r="J772" s="8">
        <f>SUMIF(Journal!$A:$A,HeadJournal!$A772,Journal!$K:$K)+SUMIF(Journal!$A:$A,HeadJournal!$A772,Journal!$L:$L)+SUMIF(Journal!$A:$A,HeadJournal!$A772,Journal!$M:$M)</f>
        <v>164.54</v>
      </c>
      <c r="K772" s="14">
        <v>164.54</v>
      </c>
      <c r="L772" s="14">
        <f t="shared" si="83"/>
        <v>424</v>
      </c>
      <c r="M772" s="8">
        <f>SUMIF(Journal!$A:$A,HeadJournal!$A772,Journal!$P:$P)</f>
        <v>14645.4</v>
      </c>
      <c r="N772" s="8">
        <f>SUMIF(Journal!$A:$A,HeadJournal!$A772,Journal!Q:Q)</f>
        <v>15200</v>
      </c>
      <c r="O772" s="18">
        <f>SUMIF(Journal!$A:$A,HeadJournal!$A772,Journal!U:U)</f>
        <v>554.6000000000007</v>
      </c>
      <c r="P772" s="22">
        <f t="shared" si="84"/>
        <v>3.7868545754981137E-2</v>
      </c>
      <c r="Q772" s="7" t="b">
        <f t="shared" si="82"/>
        <v>1</v>
      </c>
      <c r="R772" s="73">
        <f t="shared" si="85"/>
        <v>2.8951069960533683E-2</v>
      </c>
      <c r="S772" s="73"/>
    </row>
    <row r="773" spans="1:19" x14ac:dyDescent="0.25">
      <c r="A773" s="12" t="s">
        <v>5507</v>
      </c>
      <c r="B773" s="12"/>
      <c r="C773" s="12" t="s">
        <v>1380</v>
      </c>
      <c r="D773" s="12" t="s">
        <v>714</v>
      </c>
      <c r="E773" s="12" t="s">
        <v>1477</v>
      </c>
      <c r="F773" s="12"/>
      <c r="G773" s="13">
        <v>46061</v>
      </c>
      <c r="H773" s="14">
        <v>1</v>
      </c>
      <c r="I773" s="14">
        <v>0</v>
      </c>
      <c r="J773" s="8">
        <f>SUMIF(Journal!$A:$A,HeadJournal!$A773,Journal!$K:$K)+SUMIF(Journal!$A:$A,HeadJournal!$A773,Journal!$L:$L)+SUMIF(Journal!$A:$A,HeadJournal!$A773,Journal!$M:$M)</f>
        <v>1001</v>
      </c>
      <c r="K773" s="14">
        <v>1001</v>
      </c>
      <c r="L773" s="14">
        <v>0</v>
      </c>
      <c r="M773" s="8">
        <f>SUMIF(Journal!$A:$A,HeadJournal!$A773,Journal!$P:$P)</f>
        <v>1001</v>
      </c>
      <c r="N773" s="8">
        <f>SUMIF(Journal!$A:$A,HeadJournal!$A773,Journal!Q:Q)</f>
        <v>2000</v>
      </c>
      <c r="O773" s="18">
        <f>SUMIF(Journal!$A:$A,HeadJournal!$A773,Journal!U:U)</f>
        <v>999</v>
      </c>
      <c r="P773" s="22">
        <f t="shared" si="84"/>
        <v>0.99800199800199796</v>
      </c>
      <c r="Q773" s="7" t="b">
        <f t="shared" si="82"/>
        <v>1</v>
      </c>
      <c r="R773" s="73">
        <f t="shared" si="85"/>
        <v>0</v>
      </c>
      <c r="S773" s="73"/>
    </row>
    <row r="774" spans="1:19" x14ac:dyDescent="0.25">
      <c r="A774" s="12" t="s">
        <v>5510</v>
      </c>
      <c r="B774" s="12"/>
      <c r="C774" s="12" t="s">
        <v>1752</v>
      </c>
      <c r="D774" s="12" t="s">
        <v>714</v>
      </c>
      <c r="E774" s="12" t="s">
        <v>1477</v>
      </c>
      <c r="F774" s="12"/>
      <c r="G774" s="13">
        <v>46079</v>
      </c>
      <c r="H774" s="14">
        <f>15311.23/176.08</f>
        <v>86.956099500227154</v>
      </c>
      <c r="I774" s="14">
        <v>-12</v>
      </c>
      <c r="J774" s="8">
        <f>SUMIF(Journal!$A:$A,HeadJournal!$A774,Journal!$K:$K)+SUMIF(Journal!$A:$A,HeadJournal!$A774,Journal!$L:$L)+SUMIF(Journal!$A:$A,HeadJournal!$A774,Journal!$M:$M)</f>
        <v>176.08</v>
      </c>
      <c r="K774" s="14">
        <v>176.08</v>
      </c>
      <c r="L774" s="14">
        <f>(920+1200)/5</f>
        <v>424</v>
      </c>
      <c r="M774" s="8">
        <f>SUMIF(Journal!$A:$A,HeadJournal!$A774,Journal!$P:$P)</f>
        <v>15735.229999999998</v>
      </c>
      <c r="N774" s="8">
        <f>SUMIF(Journal!$A:$A,HeadJournal!$A774,Journal!Q:Q)</f>
        <v>17900</v>
      </c>
      <c r="O774" s="18">
        <f>SUMIF(Journal!$A:$A,HeadJournal!$A774,Journal!U:U)</f>
        <v>2164.7700000000013</v>
      </c>
      <c r="P774" s="22">
        <f t="shared" si="84"/>
        <v>0.13757472880917543</v>
      </c>
      <c r="Q774" s="7" t="b">
        <f t="shared" si="82"/>
        <v>1</v>
      </c>
      <c r="R774" s="73">
        <f t="shared" si="85"/>
        <v>2.6945904190787174E-2</v>
      </c>
      <c r="S774" s="73"/>
    </row>
    <row r="775" spans="1:19" x14ac:dyDescent="0.25">
      <c r="A775" s="192" t="s">
        <v>5514</v>
      </c>
      <c r="B775" s="12"/>
      <c r="C775" s="12" t="s">
        <v>1752</v>
      </c>
      <c r="D775" s="12" t="s">
        <v>714</v>
      </c>
      <c r="E775" s="12" t="s">
        <v>1477</v>
      </c>
      <c r="F775" s="12"/>
      <c r="G775" s="13">
        <v>46085</v>
      </c>
      <c r="H775" s="14">
        <f>13735.35/158.9</f>
        <v>86.44021397105098</v>
      </c>
      <c r="I775" s="14">
        <v>0</v>
      </c>
      <c r="J775" s="8">
        <f>SUMIF(Journal!$A:$A,HeadJournal!$A775,Journal!$K:$K)+SUMIF(Journal!$A:$A,HeadJournal!$A775,Journal!$L:$L)+SUMIF(Journal!$A:$A,HeadJournal!$A775,Journal!$M:$M)</f>
        <v>158.89999999999998</v>
      </c>
      <c r="K775" s="14">
        <v>158.9</v>
      </c>
      <c r="L775" s="14">
        <f>(1100+1500+2207)/6</f>
        <v>801.16666666666663</v>
      </c>
      <c r="M775" s="8">
        <f>SUMIF(Journal!$A:$A,HeadJournal!$A775,Journal!$P:$P)</f>
        <v>14536.516666666668</v>
      </c>
      <c r="N775" s="8">
        <f>SUMIF(Journal!$A:$A,HeadJournal!$A775,Journal!Q:Q)</f>
        <v>18500</v>
      </c>
      <c r="O775" s="18">
        <f>SUMIF(Journal!$A:$A,HeadJournal!$A775,Journal!U:U)</f>
        <v>3963.4833333333308</v>
      </c>
      <c r="P775" s="22">
        <f t="shared" si="84"/>
        <v>0.27265702122585517</v>
      </c>
      <c r="Q775" s="7" t="b">
        <f t="shared" si="82"/>
        <v>1</v>
      </c>
      <c r="R775" s="73">
        <f t="shared" si="85"/>
        <v>5.5114074784078253E-2</v>
      </c>
      <c r="S775" s="73"/>
    </row>
    <row r="776" spans="1:19" x14ac:dyDescent="0.25">
      <c r="A776" s="12" t="s">
        <v>5520</v>
      </c>
      <c r="B776" s="12"/>
      <c r="C776" s="12" t="s">
        <v>1737</v>
      </c>
      <c r="D776" s="12" t="s">
        <v>714</v>
      </c>
      <c r="E776" s="12" t="s">
        <v>1477</v>
      </c>
      <c r="F776" s="12"/>
      <c r="G776" s="13">
        <v>46077</v>
      </c>
      <c r="H776" s="14">
        <f>13776.97/158.53</f>
        <v>86.904497571437574</v>
      </c>
      <c r="I776" s="14">
        <v>-9.59</v>
      </c>
      <c r="J776" s="8">
        <f>SUMIF(Journal!$A:$A,HeadJournal!$A776,Journal!$K:$K)+SUMIF(Journal!$A:$A,HeadJournal!$A776,Journal!$L:$L)+SUMIF(Journal!$A:$A,HeadJournal!$A776,Journal!$M:$M)</f>
        <v>158.52999999999997</v>
      </c>
      <c r="K776" s="14">
        <v>158.53</v>
      </c>
      <c r="L776" s="14">
        <f>(920+1200)/5</f>
        <v>424</v>
      </c>
      <c r="M776" s="8">
        <f>SUMIF(Journal!$A:$A,HeadJournal!$A776,Journal!$P:$P)</f>
        <v>14200.969999999998</v>
      </c>
      <c r="N776" s="8">
        <f>SUMIF(Journal!$A:$A,HeadJournal!$A776,Journal!Q:Q)</f>
        <v>16200</v>
      </c>
      <c r="O776" s="18">
        <f>SUMIF(Journal!$A:$A,HeadJournal!$A776,Journal!U:U)</f>
        <v>1999.0299999999997</v>
      </c>
      <c r="P776" s="22">
        <f t="shared" si="84"/>
        <v>0.14076714477954674</v>
      </c>
      <c r="Q776" s="7" t="b">
        <f t="shared" si="82"/>
        <v>1</v>
      </c>
      <c r="R776" s="73">
        <f t="shared" si="85"/>
        <v>2.9857115394230117E-2</v>
      </c>
      <c r="S776" s="73"/>
    </row>
    <row r="777" spans="1:19" x14ac:dyDescent="0.25">
      <c r="A777" s="192" t="s">
        <v>5531</v>
      </c>
      <c r="B777" s="12"/>
      <c r="C777" s="12" t="s">
        <v>1737</v>
      </c>
      <c r="D777" s="12" t="s">
        <v>714</v>
      </c>
      <c r="E777" s="12" t="s">
        <v>1477</v>
      </c>
      <c r="F777" s="12"/>
      <c r="G777" s="13">
        <v>46083</v>
      </c>
      <c r="H777" s="14">
        <f>15977.11/183.96</f>
        <v>86.851000217438568</v>
      </c>
      <c r="I777" s="14">
        <v>-9.84</v>
      </c>
      <c r="J777" s="8">
        <f>SUMIF(Journal!$A:$A,HeadJournal!$A777,Journal!$K:$K)+SUMIF(Journal!$A:$A,HeadJournal!$A777,Journal!$L:$L)+SUMIF(Journal!$A:$A,HeadJournal!$A777,Journal!$M:$M)</f>
        <v>183.96000000000004</v>
      </c>
      <c r="K777" s="14">
        <v>183.96</v>
      </c>
      <c r="L777" s="14">
        <f>(1100+1500+2207)/6</f>
        <v>801.16666666666663</v>
      </c>
      <c r="M777" s="8">
        <f>SUMIF(Journal!$A:$A,HeadJournal!$A777,Journal!$P:$P)</f>
        <v>16778.276666666661</v>
      </c>
      <c r="N777" s="8">
        <f>SUMIF(Journal!$A:$A,HeadJournal!$A777,Journal!Q:Q)</f>
        <v>20000</v>
      </c>
      <c r="O777" s="18">
        <f>SUMIF(Journal!$A:$A,HeadJournal!$A777,Journal!U:U)</f>
        <v>3221.7233333333379</v>
      </c>
      <c r="P777" s="22">
        <f t="shared" si="84"/>
        <v>0.19201753537262403</v>
      </c>
      <c r="Q777" s="7" t="b">
        <f t="shared" si="82"/>
        <v>1</v>
      </c>
      <c r="R777" s="73">
        <f t="shared" si="85"/>
        <v>4.7750235771135033E-2</v>
      </c>
      <c r="S777" s="73"/>
    </row>
    <row r="778" spans="1:19" x14ac:dyDescent="0.25">
      <c r="A778" s="12" t="s">
        <v>5535</v>
      </c>
      <c r="B778" s="12"/>
      <c r="C778" s="12" t="s">
        <v>1751</v>
      </c>
      <c r="D778" s="12" t="s">
        <v>714</v>
      </c>
      <c r="E778" s="12" t="s">
        <v>1477</v>
      </c>
      <c r="F778" s="12"/>
      <c r="G778" s="13">
        <v>46074</v>
      </c>
      <c r="H778" s="14">
        <f>14914.39/171.24</f>
        <v>87.096414389161396</v>
      </c>
      <c r="I778" s="14">
        <v>-14.57</v>
      </c>
      <c r="J778" s="8">
        <f>SUMIF(Journal!$A:$A,HeadJournal!$A778,Journal!$K:$K)+SUMIF(Journal!$A:$A,HeadJournal!$A778,Journal!$L:$L)+SUMIF(Journal!$A:$A,HeadJournal!$A778,Journal!$M:$M)</f>
        <v>171.24</v>
      </c>
      <c r="K778" s="14">
        <v>171.24</v>
      </c>
      <c r="L778" s="14">
        <f>(920+1200)/5</f>
        <v>424</v>
      </c>
      <c r="M778" s="8">
        <f>SUMIF(Journal!$A:$A,HeadJournal!$A778,Journal!$P:$P)</f>
        <v>15338.39</v>
      </c>
      <c r="N778" s="8">
        <f>SUMIF(Journal!$A:$A,HeadJournal!$A778,Journal!Q:Q)</f>
        <v>18872.93</v>
      </c>
      <c r="O778" s="18">
        <f>SUMIF(Journal!$A:$A,HeadJournal!$A778,Journal!U:U)</f>
        <v>3534.5400000000009</v>
      </c>
      <c r="P778" s="22">
        <f t="shared" si="84"/>
        <v>0.23043748398625938</v>
      </c>
      <c r="Q778" s="7" t="b">
        <f t="shared" si="82"/>
        <v>1</v>
      </c>
      <c r="R778" s="73">
        <f t="shared" si="85"/>
        <v>2.7643057713358444E-2</v>
      </c>
      <c r="S778" s="73"/>
    </row>
    <row r="779" spans="1:19" x14ac:dyDescent="0.25">
      <c r="A779" s="12" t="s">
        <v>5537</v>
      </c>
      <c r="B779" s="12"/>
      <c r="C779" s="12" t="s">
        <v>1380</v>
      </c>
      <c r="D779" s="12" t="s">
        <v>714</v>
      </c>
      <c r="E779" s="12" t="s">
        <v>1477</v>
      </c>
      <c r="F779" s="12"/>
      <c r="G779" s="13">
        <v>46077</v>
      </c>
      <c r="H779" s="14">
        <v>1</v>
      </c>
      <c r="I779" s="14">
        <v>0</v>
      </c>
      <c r="J779" s="8">
        <f>SUMIF(Journal!$A:$A,HeadJournal!$A779,Journal!$K:$K)+SUMIF(Journal!$A:$A,HeadJournal!$A779,Journal!$L:$L)+SUMIF(Journal!$A:$A,HeadJournal!$A779,Journal!$M:$M)</f>
        <v>1000</v>
      </c>
      <c r="K779" s="14">
        <v>1000</v>
      </c>
      <c r="L779" s="14">
        <v>0</v>
      </c>
      <c r="M779" s="8">
        <f>SUMIF(Journal!$A:$A,HeadJournal!$A779,Journal!$P:$P)</f>
        <v>1000</v>
      </c>
      <c r="N779" s="8">
        <f>SUMIF(Journal!$A:$A,HeadJournal!$A779,Journal!Q:Q)</f>
        <v>1700</v>
      </c>
      <c r="O779" s="18">
        <f>SUMIF(Journal!$A:$A,HeadJournal!$A779,Journal!U:U)</f>
        <v>700</v>
      </c>
      <c r="P779" s="22">
        <f t="shared" si="84"/>
        <v>0.7</v>
      </c>
      <c r="Q779" s="7" t="b">
        <f t="shared" si="82"/>
        <v>1</v>
      </c>
      <c r="R779" s="73">
        <f t="shared" si="85"/>
        <v>0</v>
      </c>
      <c r="S779" s="73"/>
    </row>
    <row r="780" spans="1:19" x14ac:dyDescent="0.25">
      <c r="A780" s="12" t="s">
        <v>5538</v>
      </c>
      <c r="B780" s="12"/>
      <c r="C780" s="12" t="s">
        <v>1380</v>
      </c>
      <c r="D780" s="12" t="s">
        <v>714</v>
      </c>
      <c r="E780" s="12" t="s">
        <v>1477</v>
      </c>
      <c r="F780" s="12"/>
      <c r="G780" s="13">
        <v>46077</v>
      </c>
      <c r="H780" s="14">
        <v>1</v>
      </c>
      <c r="I780" s="14">
        <v>0</v>
      </c>
      <c r="J780" s="8">
        <f>SUMIF(Journal!$A:$A,HeadJournal!$A780,Journal!$K:$K)+SUMIF(Journal!$A:$A,HeadJournal!$A780,Journal!$L:$L)+SUMIF(Journal!$A:$A,HeadJournal!$A780,Journal!$M:$M)</f>
        <v>1107</v>
      </c>
      <c r="K780" s="14">
        <v>1107</v>
      </c>
      <c r="L780" s="14">
        <v>0</v>
      </c>
      <c r="M780" s="8">
        <f>SUMIF(Journal!$A:$A,HeadJournal!$A780,Journal!$P:$P)</f>
        <v>1107</v>
      </c>
      <c r="N780" s="8">
        <f>SUMIF(Journal!$A:$A,HeadJournal!$A780,Journal!Q:Q)</f>
        <v>1700</v>
      </c>
      <c r="O780" s="18">
        <f>SUMIF(Journal!$A:$A,HeadJournal!$A780,Journal!U:U)</f>
        <v>593</v>
      </c>
      <c r="P780" s="22">
        <f t="shared" si="84"/>
        <v>0.53568202348690153</v>
      </c>
      <c r="Q780" s="7" t="b">
        <f t="shared" si="82"/>
        <v>1</v>
      </c>
      <c r="R780" s="73">
        <f t="shared" si="85"/>
        <v>0</v>
      </c>
      <c r="S780" s="73"/>
    </row>
    <row r="781" spans="1:19" x14ac:dyDescent="0.25">
      <c r="A781" s="12" t="s">
        <v>5539</v>
      </c>
      <c r="B781" s="12"/>
      <c r="C781" s="12" t="s">
        <v>1380</v>
      </c>
      <c r="D781" s="12" t="s">
        <v>714</v>
      </c>
      <c r="E781" s="12" t="s">
        <v>1477</v>
      </c>
      <c r="F781" s="12"/>
      <c r="G781" s="13">
        <v>46078</v>
      </c>
      <c r="H781" s="14">
        <v>1</v>
      </c>
      <c r="I781" s="14">
        <v>0</v>
      </c>
      <c r="J781" s="8">
        <f>SUMIF(Journal!$A:$A,HeadJournal!$A781,Journal!$K:$K)+SUMIF(Journal!$A:$A,HeadJournal!$A781,Journal!$L:$L)+SUMIF(Journal!$A:$A,HeadJournal!$A781,Journal!$M:$M)</f>
        <v>993</v>
      </c>
      <c r="K781" s="14">
        <v>993</v>
      </c>
      <c r="L781" s="14">
        <v>0</v>
      </c>
      <c r="M781" s="8">
        <f>SUMIF(Journal!$A:$A,HeadJournal!$A781,Journal!$P:$P)</f>
        <v>993</v>
      </c>
      <c r="N781" s="8">
        <f>SUMIF(Journal!$A:$A,HeadJournal!$A781,Journal!Q:Q)</f>
        <v>2000</v>
      </c>
      <c r="O781" s="18">
        <f>SUMIF(Journal!$A:$A,HeadJournal!$A781,Journal!U:U)</f>
        <v>1007</v>
      </c>
      <c r="P781" s="22">
        <f t="shared" si="84"/>
        <v>1.0140986908358509</v>
      </c>
      <c r="Q781" s="7" t="b">
        <f t="shared" si="82"/>
        <v>1</v>
      </c>
      <c r="R781" s="73">
        <f t="shared" si="85"/>
        <v>0</v>
      </c>
      <c r="S781" s="73"/>
    </row>
    <row r="782" spans="1:19" x14ac:dyDescent="0.25">
      <c r="A782" s="12" t="s">
        <v>5540</v>
      </c>
      <c r="B782" s="12"/>
      <c r="C782" s="12" t="s">
        <v>1380</v>
      </c>
      <c r="D782" s="12" t="s">
        <v>714</v>
      </c>
      <c r="E782" s="12" t="s">
        <v>1477</v>
      </c>
      <c r="F782" s="12"/>
      <c r="G782" s="13">
        <v>46084</v>
      </c>
      <c r="H782" s="14">
        <v>1</v>
      </c>
      <c r="I782" s="14">
        <v>0</v>
      </c>
      <c r="J782" s="8">
        <f>SUMIF(Journal!$A:$A,HeadJournal!$A782,Journal!$K:$K)+SUMIF(Journal!$A:$A,HeadJournal!$A782,Journal!$L:$L)+SUMIF(Journal!$A:$A,HeadJournal!$A782,Journal!$M:$M)</f>
        <v>1038</v>
      </c>
      <c r="K782" s="14">
        <v>1038</v>
      </c>
      <c r="L782" s="14">
        <v>0</v>
      </c>
      <c r="M782" s="8">
        <f>SUMIF(Journal!$A:$A,HeadJournal!$A782,Journal!$P:$P)</f>
        <v>1038</v>
      </c>
      <c r="N782" s="8">
        <f>SUMIF(Journal!$A:$A,HeadJournal!$A782,Journal!Q:Q)</f>
        <v>2000</v>
      </c>
      <c r="O782" s="18">
        <f>SUMIF(Journal!$A:$A,HeadJournal!$A782,Journal!U:U)</f>
        <v>962</v>
      </c>
      <c r="P782" s="22">
        <f t="shared" si="84"/>
        <v>0.92678227360308285</v>
      </c>
      <c r="Q782" s="7" t="b">
        <f t="shared" si="82"/>
        <v>1</v>
      </c>
      <c r="R782" s="73">
        <f>L782/M782</f>
        <v>0</v>
      </c>
      <c r="S782" s="73"/>
    </row>
    <row r="783" spans="1:19" x14ac:dyDescent="0.25">
      <c r="A783" s="12" t="s">
        <v>5541</v>
      </c>
      <c r="B783" s="12"/>
      <c r="C783" s="12" t="s">
        <v>1380</v>
      </c>
      <c r="D783" s="12" t="s">
        <v>714</v>
      </c>
      <c r="E783" s="12" t="s">
        <v>1477</v>
      </c>
      <c r="F783" s="12"/>
      <c r="G783" s="13">
        <v>46090</v>
      </c>
      <c r="H783" s="14">
        <v>1</v>
      </c>
      <c r="I783" s="14">
        <v>0</v>
      </c>
      <c r="J783" s="8">
        <f>SUMIF(Journal!$A:$A,HeadJournal!$A783,Journal!$K:$K)+SUMIF(Journal!$A:$A,HeadJournal!$A783,Journal!$L:$L)+SUMIF(Journal!$A:$A,HeadJournal!$A783,Journal!$M:$M)</f>
        <v>1086</v>
      </c>
      <c r="K783" s="14">
        <v>1086</v>
      </c>
      <c r="L783" s="14">
        <v>0</v>
      </c>
      <c r="M783" s="8">
        <f>SUMIF(Journal!$A:$A,HeadJournal!$A783,Journal!$P:$P)</f>
        <v>1086</v>
      </c>
      <c r="N783" s="8">
        <f>SUMIF(Journal!$A:$A,HeadJournal!$A783,Journal!Q:Q)</f>
        <v>1700</v>
      </c>
      <c r="O783" s="18">
        <f>SUMIF(Journal!$A:$A,HeadJournal!$A783,Journal!U:U)</f>
        <v>614</v>
      </c>
      <c r="P783" s="22">
        <f t="shared" si="84"/>
        <v>0.56537753222836096</v>
      </c>
      <c r="Q783" s="7" t="b">
        <f t="shared" si="82"/>
        <v>1</v>
      </c>
      <c r="R783" s="73">
        <f t="shared" si="85"/>
        <v>0</v>
      </c>
      <c r="S783" s="73"/>
    </row>
    <row r="784" spans="1:19" x14ac:dyDescent="0.25">
      <c r="A784" s="12" t="s">
        <v>5542</v>
      </c>
      <c r="B784" s="12"/>
      <c r="C784" s="12" t="s">
        <v>1380</v>
      </c>
      <c r="D784" s="12" t="s">
        <v>714</v>
      </c>
      <c r="E784" s="12" t="s">
        <v>1477</v>
      </c>
      <c r="F784" s="12"/>
      <c r="G784" s="13">
        <v>46094</v>
      </c>
      <c r="H784" s="14">
        <v>1</v>
      </c>
      <c r="I784" s="14">
        <v>0</v>
      </c>
      <c r="J784" s="8">
        <f>SUMIF(Journal!$A:$A,HeadJournal!$A784,Journal!$K:$K)+SUMIF(Journal!$A:$A,HeadJournal!$A784,Journal!$L:$L)+SUMIF(Journal!$A:$A,HeadJournal!$A784,Journal!$M:$M)</f>
        <v>1970</v>
      </c>
      <c r="K784" s="14">
        <f>1032+938</f>
        <v>1970</v>
      </c>
      <c r="L784" s="14">
        <v>0</v>
      </c>
      <c r="M784" s="8">
        <f>SUMIF(Journal!$A:$A,HeadJournal!$A784,Journal!$P:$P)</f>
        <v>1970</v>
      </c>
      <c r="N784" s="8">
        <f>SUMIF(Journal!$A:$A,HeadJournal!$A784,Journal!Q:Q)</f>
        <v>4000</v>
      </c>
      <c r="O784" s="18">
        <f>SUMIF(Journal!$A:$A,HeadJournal!$A784,Journal!U:U)</f>
        <v>2030</v>
      </c>
      <c r="P784" s="22">
        <f t="shared" si="84"/>
        <v>1.0304568527918783</v>
      </c>
      <c r="Q784" s="7" t="b">
        <f t="shared" si="82"/>
        <v>1</v>
      </c>
      <c r="R784" s="73">
        <f t="shared" si="85"/>
        <v>0</v>
      </c>
      <c r="S784" s="73"/>
    </row>
    <row r="785" spans="1:19" x14ac:dyDescent="0.25">
      <c r="A785" s="12" t="s">
        <v>5543</v>
      </c>
      <c r="B785" s="12"/>
      <c r="C785" s="12" t="s">
        <v>1380</v>
      </c>
      <c r="D785" s="12" t="s">
        <v>714</v>
      </c>
      <c r="E785" s="12" t="s">
        <v>1477</v>
      </c>
      <c r="F785" s="12"/>
      <c r="G785" s="13">
        <v>46094</v>
      </c>
      <c r="H785" s="14">
        <v>1</v>
      </c>
      <c r="I785" s="14">
        <v>0</v>
      </c>
      <c r="J785" s="8">
        <f>SUMIF(Journal!$A:$A,HeadJournal!$A785,Journal!$K:$K)+SUMIF(Journal!$A:$A,HeadJournal!$A785,Journal!$L:$L)+SUMIF(Journal!$A:$A,HeadJournal!$A785,Journal!$M:$M)</f>
        <v>938</v>
      </c>
      <c r="K785" s="14">
        <v>938</v>
      </c>
      <c r="L785" s="14">
        <v>0</v>
      </c>
      <c r="M785" s="8">
        <f>SUMIF(Journal!$A:$A,HeadJournal!$A785,Journal!$P:$P)</f>
        <v>938</v>
      </c>
      <c r="N785" s="8">
        <f>SUMIF(Journal!$A:$A,HeadJournal!$A785,Journal!Q:Q)</f>
        <v>2000</v>
      </c>
      <c r="O785" s="18">
        <f>SUMIF(Journal!$A:$A,HeadJournal!$A785,Journal!U:U)</f>
        <v>1062</v>
      </c>
      <c r="P785" s="22">
        <f t="shared" si="84"/>
        <v>1.1321961620469083</v>
      </c>
      <c r="Q785" s="7" t="b">
        <f t="shared" si="82"/>
        <v>1</v>
      </c>
      <c r="R785" s="73">
        <f t="shared" si="85"/>
        <v>0</v>
      </c>
      <c r="S785" s="73"/>
    </row>
    <row r="786" spans="1:19" x14ac:dyDescent="0.25">
      <c r="A786" s="12" t="s">
        <v>1866</v>
      </c>
      <c r="B786" s="12"/>
      <c r="C786" s="12" t="s">
        <v>1380</v>
      </c>
      <c r="D786" s="12" t="s">
        <v>714</v>
      </c>
      <c r="E786" s="12" t="s">
        <v>1477</v>
      </c>
      <c r="F786" s="12"/>
      <c r="G786" s="13">
        <v>46100</v>
      </c>
      <c r="H786" s="14">
        <v>1</v>
      </c>
      <c r="I786" s="14">
        <v>0</v>
      </c>
      <c r="J786" s="8">
        <f>SUMIF(Journal!$A:$A,HeadJournal!$A786,Journal!$K:$K)+SUMIF(Journal!$A:$A,HeadJournal!$A786,Journal!$L:$L)+SUMIF(Journal!$A:$A,HeadJournal!$A786,Journal!$M:$M)</f>
        <v>1127</v>
      </c>
      <c r="K786" s="14">
        <v>1127</v>
      </c>
      <c r="L786" s="14">
        <v>0</v>
      </c>
      <c r="M786" s="8">
        <f>SUMIF(Journal!$A:$A,HeadJournal!$A786,Journal!$P:$P)</f>
        <v>1127</v>
      </c>
      <c r="N786" s="8">
        <f>SUMIF(Journal!$A:$A,HeadJournal!$A786,Journal!Q:Q)</f>
        <v>1700</v>
      </c>
      <c r="O786" s="18">
        <f>SUMIF(Journal!$A:$A,HeadJournal!$A786,Journal!U:U)</f>
        <v>573</v>
      </c>
      <c r="P786" s="22">
        <f t="shared" si="84"/>
        <v>0.50842945874001777</v>
      </c>
      <c r="Q786" s="7" t="b">
        <f t="shared" si="82"/>
        <v>1</v>
      </c>
      <c r="R786" s="73">
        <f t="shared" si="85"/>
        <v>0</v>
      </c>
      <c r="S786" s="73"/>
    </row>
    <row r="787" spans="1:19" x14ac:dyDescent="0.25">
      <c r="A787" s="192" t="s">
        <v>5554</v>
      </c>
      <c r="B787" s="12"/>
      <c r="C787" s="12" t="s">
        <v>1737</v>
      </c>
      <c r="D787" s="12" t="s">
        <v>714</v>
      </c>
      <c r="E787" s="12" t="s">
        <v>1477</v>
      </c>
      <c r="F787" s="12"/>
      <c r="G787" s="13">
        <v>46093</v>
      </c>
      <c r="H787" s="14">
        <f>16057.25/182.14</f>
        <v>88.158833864060625</v>
      </c>
      <c r="I787" s="14">
        <v>-9.7799999999999994</v>
      </c>
      <c r="J787" s="8">
        <f>SUMIF(Journal!$A:$A,HeadJournal!$A787,Journal!$K:$K)+SUMIF(Journal!$A:$A,HeadJournal!$A787,Journal!$L:$L)+SUMIF(Journal!$A:$A,HeadJournal!$A787,Journal!$M:$M)</f>
        <v>182.14000000000001</v>
      </c>
      <c r="K787" s="14">
        <v>182.14</v>
      </c>
      <c r="L787" s="14">
        <f>(1100+1500+2207)/6</f>
        <v>801.16666666666663</v>
      </c>
      <c r="M787" s="8">
        <f>SUMIF(Journal!$A:$A,HeadJournal!$A787,Journal!$P:$P)</f>
        <v>16858.416666666668</v>
      </c>
      <c r="N787" s="8">
        <f>SUMIF(Journal!$A:$A,HeadJournal!$A787,Journal!Q:Q)</f>
        <v>21900</v>
      </c>
      <c r="O787" s="18">
        <f>SUMIF(Journal!$A:$A,HeadJournal!$A787,Journal!U:U)</f>
        <v>5041.5833333333321</v>
      </c>
      <c r="P787" s="22">
        <f t="shared" si="84"/>
        <v>0.29905437936540097</v>
      </c>
      <c r="Q787" s="7" t="b">
        <f t="shared" si="82"/>
        <v>1</v>
      </c>
      <c r="R787" s="73">
        <f t="shared" si="85"/>
        <v>4.7523245065521171E-2</v>
      </c>
      <c r="S787" s="73"/>
    </row>
    <row r="788" spans="1:19" x14ac:dyDescent="0.25">
      <c r="A788" s="192" t="s">
        <v>5577</v>
      </c>
      <c r="B788" s="12"/>
      <c r="C788" s="12" t="s">
        <v>1735</v>
      </c>
      <c r="D788" s="12" t="s">
        <v>714</v>
      </c>
      <c r="E788" s="12" t="s">
        <v>1477</v>
      </c>
      <c r="F788" s="12"/>
      <c r="G788" s="13">
        <v>46094</v>
      </c>
      <c r="H788" s="14">
        <f>16357.99/185.57</f>
        <v>88.149970361588615</v>
      </c>
      <c r="I788" s="14">
        <v>-9.92</v>
      </c>
      <c r="J788" s="8">
        <f>SUMIF(Journal!$A:$A,HeadJournal!$A788,Journal!$K:$K)+SUMIF(Journal!$A:$A,HeadJournal!$A788,Journal!$L:$L)+SUMIF(Journal!$A:$A,HeadJournal!$A788,Journal!$M:$M)</f>
        <v>185.56999999999994</v>
      </c>
      <c r="K788" s="14">
        <v>185.57</v>
      </c>
      <c r="L788" s="14">
        <f>(1100+1500+2207)/6</f>
        <v>801.16666666666663</v>
      </c>
      <c r="M788" s="8">
        <f>SUMIF(Journal!$A:$A,HeadJournal!$A788,Journal!$P:$P)</f>
        <v>17159.156666666669</v>
      </c>
      <c r="N788" s="8">
        <f>SUMIF(Journal!$A:$A,HeadJournal!$A788,Journal!Q:Q)</f>
        <v>14700</v>
      </c>
      <c r="O788" s="18">
        <f>SUMIF(Journal!$A:$A,HeadJournal!$A788,Journal!U:U)</f>
        <v>-2459.1566666666713</v>
      </c>
      <c r="P788" s="22">
        <f t="shared" si="84"/>
        <v>-0.14331454129350205</v>
      </c>
      <c r="Q788" s="7" t="b">
        <f t="shared" si="82"/>
        <v>1</v>
      </c>
      <c r="R788" s="73">
        <f t="shared" si="85"/>
        <v>4.6690328798210161E-2</v>
      </c>
      <c r="S788" s="73"/>
    </row>
    <row r="789" spans="1:19" x14ac:dyDescent="0.25">
      <c r="A789" s="192" t="s">
        <v>5586</v>
      </c>
      <c r="B789" s="12"/>
      <c r="C789" s="12" t="s">
        <v>1751</v>
      </c>
      <c r="D789" s="12" t="s">
        <v>714</v>
      </c>
      <c r="E789" s="12" t="s">
        <v>1477</v>
      </c>
      <c r="F789" s="12"/>
      <c r="G789" s="13">
        <v>46093</v>
      </c>
      <c r="H789" s="14">
        <f>15281.02/173.28</f>
        <v>88.186865189289009</v>
      </c>
      <c r="I789" s="14">
        <v>-9.85</v>
      </c>
      <c r="J789" s="8">
        <f>SUMIF(Journal!$A:$A,HeadJournal!$A789,Journal!$K:$K)+SUMIF(Journal!$A:$A,HeadJournal!$A789,Journal!$L:$L)+SUMIF(Journal!$A:$A,HeadJournal!$A789,Journal!$M:$M)</f>
        <v>173.28</v>
      </c>
      <c r="K789" s="14">
        <v>173.28</v>
      </c>
      <c r="L789" s="14">
        <f>(1100+1500+2207)/6</f>
        <v>801.16666666666663</v>
      </c>
      <c r="M789" s="8">
        <f>SUMIF(Journal!$A:$A,HeadJournal!$A789,Journal!$P:$P)</f>
        <v>16082.186666666668</v>
      </c>
      <c r="N789" s="8">
        <f>SUMIF(Journal!$A:$A,HeadJournal!$A789,Journal!Q:Q)</f>
        <v>25300</v>
      </c>
      <c r="O789" s="18">
        <f>SUMIF(Journal!$A:$A,HeadJournal!$A789,Journal!U:U)</f>
        <v>9217.8133333333317</v>
      </c>
      <c r="P789" s="22">
        <f t="shared" si="84"/>
        <v>0.57316915444334249</v>
      </c>
      <c r="Q789" s="7" t="b">
        <f t="shared" si="82"/>
        <v>1</v>
      </c>
      <c r="R789" s="73">
        <f t="shared" si="85"/>
        <v>4.9817023224039178E-2</v>
      </c>
      <c r="S789" s="73"/>
    </row>
    <row r="790" spans="1:19" x14ac:dyDescent="0.25">
      <c r="A790" s="192" t="s">
        <v>5605</v>
      </c>
      <c r="B790" s="12"/>
      <c r="C790" s="12" t="s">
        <v>1751</v>
      </c>
      <c r="D790" s="12" t="s">
        <v>714</v>
      </c>
      <c r="E790" s="12" t="s">
        <v>1477</v>
      </c>
      <c r="F790" s="12"/>
      <c r="G790" s="13">
        <v>46098</v>
      </c>
      <c r="H790" s="14">
        <f>16411.96/185.15</f>
        <v>88.641425870915469</v>
      </c>
      <c r="I790" s="14">
        <v>-9.6199999999999992</v>
      </c>
      <c r="J790" s="8">
        <f>SUMIF(Journal!$A:$A,HeadJournal!$A790,Journal!$K:$K)+SUMIF(Journal!$A:$A,HeadJournal!$A790,Journal!$L:$L)+SUMIF(Journal!$A:$A,HeadJournal!$A790,Journal!$M:$M)</f>
        <v>185.15000000000003</v>
      </c>
      <c r="K790" s="14">
        <v>185.15</v>
      </c>
      <c r="L790" s="14">
        <f>(800+1000+1728)/4</f>
        <v>882</v>
      </c>
      <c r="M790" s="8">
        <f>SUMIF(Journal!$A:$A,HeadJournal!$A790,Journal!$P:$P)</f>
        <v>17293.96</v>
      </c>
      <c r="N790" s="8">
        <f>SUMIF(Journal!$A:$A,HeadJournal!$A790,Journal!Q:Q)</f>
        <v>12450</v>
      </c>
      <c r="O790" s="18">
        <f>SUMIF(Journal!$A:$A,HeadJournal!$A790,Journal!U:U)</f>
        <v>-4843.9599999999982</v>
      </c>
      <c r="P790" s="22">
        <f t="shared" si="84"/>
        <v>-0.28009547842136784</v>
      </c>
      <c r="Q790" s="7" t="b">
        <f t="shared" si="82"/>
        <v>1</v>
      </c>
      <c r="R790" s="73">
        <f t="shared" si="85"/>
        <v>5.1000464902197069E-2</v>
      </c>
      <c r="S790" s="73"/>
    </row>
    <row r="791" spans="1:19" x14ac:dyDescent="0.25">
      <c r="A791" s="192" t="s">
        <v>5612</v>
      </c>
      <c r="B791" s="12"/>
      <c r="C791" s="12" t="s">
        <v>1752</v>
      </c>
      <c r="D791" s="12" t="s">
        <v>714</v>
      </c>
      <c r="E791" s="12" t="s">
        <v>1477</v>
      </c>
      <c r="F791" s="12"/>
      <c r="G791" s="13">
        <v>46090</v>
      </c>
      <c r="H791" s="14">
        <f>15237.36/174.06</f>
        <v>87.540847983453986</v>
      </c>
      <c r="I791" s="14">
        <v>-8.89</v>
      </c>
      <c r="J791" s="8">
        <f>SUMIF(Journal!$A:$A,HeadJournal!$A791,Journal!$K:$K)+SUMIF(Journal!$A:$A,HeadJournal!$A791,Journal!$L:$L)+SUMIF(Journal!$A:$A,HeadJournal!$A791,Journal!$M:$M)</f>
        <v>174.06</v>
      </c>
      <c r="K791" s="14">
        <v>174.06</v>
      </c>
      <c r="L791" s="14">
        <f>(1100+1500+2207)/6</f>
        <v>801.16666666666663</v>
      </c>
      <c r="M791" s="8">
        <f>SUMIF(Journal!$A:$A,HeadJournal!$A791,Journal!$P:$P)</f>
        <v>16038.526666666668</v>
      </c>
      <c r="N791" s="8">
        <f>SUMIF(Journal!$A:$A,HeadJournal!$A791,Journal!Q:Q)</f>
        <v>24600</v>
      </c>
      <c r="O791" s="18">
        <f>SUMIF(Journal!$A:$A,HeadJournal!$A791,Journal!U:U)</f>
        <v>8561.4733333333334</v>
      </c>
      <c r="P791" s="22">
        <f t="shared" si="84"/>
        <v>0.53380672123249884</v>
      </c>
      <c r="Q791" s="7" t="b">
        <f t="shared" si="82"/>
        <v>1</v>
      </c>
      <c r="R791" s="73">
        <f t="shared" si="85"/>
        <v>4.9952634884584152E-2</v>
      </c>
      <c r="S791" s="73"/>
    </row>
    <row r="792" spans="1:19" x14ac:dyDescent="0.25">
      <c r="A792" s="192" t="s">
        <v>5619</v>
      </c>
      <c r="B792" s="12"/>
      <c r="C792" s="12" t="s">
        <v>1735</v>
      </c>
      <c r="D792" s="12" t="s">
        <v>714</v>
      </c>
      <c r="E792" s="12" t="s">
        <v>1477</v>
      </c>
      <c r="F792" s="12"/>
      <c r="G792" s="13">
        <v>46102</v>
      </c>
      <c r="H792" s="14">
        <f>16685.99/179.24</f>
        <v>93.093003793796029</v>
      </c>
      <c r="I792" s="14">
        <v>-17.920000000000002</v>
      </c>
      <c r="J792" s="8">
        <f>SUMIF(Journal!$A:$A,HeadJournal!$A792,Journal!$K:$K)+SUMIF(Journal!$A:$A,HeadJournal!$A792,Journal!$L:$L)+SUMIF(Journal!$A:$A,HeadJournal!$A792,Journal!$M:$M)</f>
        <v>179.24</v>
      </c>
      <c r="K792" s="14">
        <v>179.24</v>
      </c>
      <c r="L792" s="14">
        <f>(800+1000+1728)/4</f>
        <v>882</v>
      </c>
      <c r="M792" s="8">
        <f>SUMIF(Journal!$A:$A,HeadJournal!$A792,Journal!$P:$P)</f>
        <v>17567.990000000002</v>
      </c>
      <c r="N792" s="8">
        <f>SUMIF(Journal!$A:$A,HeadJournal!$A792,Journal!Q:Q)</f>
        <v>12000</v>
      </c>
      <c r="O792" s="18">
        <f>SUMIF(Journal!$A:$A,HeadJournal!$A792,Journal!U:U)</f>
        <v>-5567.9900000000016</v>
      </c>
      <c r="P792" s="22">
        <f t="shared" si="84"/>
        <v>-0.31693950190090053</v>
      </c>
      <c r="Q792" s="7" t="b">
        <f t="shared" si="82"/>
        <v>1</v>
      </c>
      <c r="R792" s="73">
        <f t="shared" si="85"/>
        <v>5.020494661028381E-2</v>
      </c>
      <c r="S792" s="73"/>
    </row>
    <row r="793" spans="1:19" x14ac:dyDescent="0.25">
      <c r="A793" s="12" t="s">
        <v>5620</v>
      </c>
      <c r="B793" s="12"/>
      <c r="C793" s="12" t="s">
        <v>843</v>
      </c>
      <c r="D793" s="12" t="s">
        <v>714</v>
      </c>
      <c r="E793" s="12" t="s">
        <v>1477</v>
      </c>
      <c r="F793" s="12"/>
      <c r="G793" s="13">
        <v>46080</v>
      </c>
      <c r="H793" s="14">
        <v>1</v>
      </c>
      <c r="I793" s="14">
        <v>0</v>
      </c>
      <c r="J793" s="8">
        <f>SUMIF(Journal!$A:$A,HeadJournal!$A793,Journal!$K:$K)+SUMIF(Journal!$A:$A,HeadJournal!$A793,Journal!$L:$L)+SUMIF(Journal!$A:$A,HeadJournal!$A793,Journal!$M:$M)</f>
        <v>143</v>
      </c>
      <c r="K793" s="14">
        <v>143</v>
      </c>
      <c r="L793" s="14">
        <v>0</v>
      </c>
      <c r="M793" s="8">
        <f>SUMIF(Journal!$A:$A,HeadJournal!$A793,Journal!$P:$P)</f>
        <v>143</v>
      </c>
      <c r="N793" s="8">
        <f>SUMIF(Journal!$A:$A,HeadJournal!$A793,Journal!Q:Q)</f>
        <v>600</v>
      </c>
      <c r="O793" s="18">
        <f>SUMIF(Journal!$A:$A,HeadJournal!$A793,Journal!U:U)</f>
        <v>457</v>
      </c>
      <c r="P793" s="22">
        <f t="shared" si="84"/>
        <v>3.1958041958041958</v>
      </c>
      <c r="Q793" s="7" t="b">
        <f t="shared" si="82"/>
        <v>1</v>
      </c>
      <c r="R793" s="73">
        <f t="shared" si="85"/>
        <v>0</v>
      </c>
      <c r="S793" s="73"/>
    </row>
    <row r="794" spans="1:19" x14ac:dyDescent="0.25">
      <c r="A794" s="192" t="s">
        <v>5629</v>
      </c>
      <c r="B794" s="12"/>
      <c r="C794" s="12" t="s">
        <v>1751</v>
      </c>
      <c r="D794" s="12" t="s">
        <v>714</v>
      </c>
      <c r="E794" s="12" t="s">
        <v>1477</v>
      </c>
      <c r="F794" s="12"/>
      <c r="G794" s="13">
        <v>46112</v>
      </c>
      <c r="H794" s="14">
        <f>17699.47/191.39</f>
        <v>92.478551648466492</v>
      </c>
      <c r="I794" s="14">
        <v>-8.41</v>
      </c>
      <c r="J794" s="8">
        <f>SUMIF(Journal!$A:$A,HeadJournal!$A794,Journal!$K:$K)+SUMIF(Journal!$A:$A,HeadJournal!$A794,Journal!$L:$L)+SUMIF(Journal!$A:$A,HeadJournal!$A794,Journal!$M:$M)</f>
        <v>191.39000000000001</v>
      </c>
      <c r="K794" s="14">
        <v>191.39</v>
      </c>
      <c r="L794" s="14">
        <f>(800+1000+1728)/4</f>
        <v>882</v>
      </c>
      <c r="M794" s="8">
        <f>SUMIF(Journal!$A:$A,HeadJournal!$A794,Journal!$P:$P)</f>
        <v>18581.47</v>
      </c>
      <c r="N794" s="8">
        <f>SUMIF(Journal!$A:$A,HeadJournal!$A794,Journal!Q:Q)</f>
        <v>23900</v>
      </c>
      <c r="O794" s="18">
        <f>SUMIF(Journal!$A:$A,HeadJournal!$A794,Journal!U:U)</f>
        <v>5318.5300000000025</v>
      </c>
      <c r="P794" s="22">
        <f t="shared" si="84"/>
        <v>0.286227623541087</v>
      </c>
      <c r="Q794" s="7" t="b">
        <f t="shared" si="82"/>
        <v>1</v>
      </c>
      <c r="R794" s="73">
        <f t="shared" si="85"/>
        <v>4.7466642843650146E-2</v>
      </c>
    </row>
    <row r="795" spans="1:19" x14ac:dyDescent="0.25">
      <c r="A795" s="192" t="s">
        <v>5631</v>
      </c>
      <c r="B795" s="12"/>
      <c r="C795" s="12" t="s">
        <v>1737</v>
      </c>
      <c r="D795" s="12" t="s">
        <v>714</v>
      </c>
      <c r="E795" s="12" t="s">
        <v>1477</v>
      </c>
      <c r="F795" s="12"/>
      <c r="G795" s="13">
        <v>46105</v>
      </c>
      <c r="H795" s="14">
        <f>17305.26/180.91</f>
        <v>95.65673539328948</v>
      </c>
      <c r="I795" s="14">
        <v>-18.649999999999999</v>
      </c>
      <c r="J795" s="8">
        <f>SUMIF(Journal!$A:$A,HeadJournal!$A795,Journal!$K:$K)+SUMIF(Journal!$A:$A,HeadJournal!$A795,Journal!$L:$L)+SUMIF(Journal!$A:$A,HeadJournal!$A795,Journal!$M:$M)</f>
        <v>180.90999999999997</v>
      </c>
      <c r="K795" s="14">
        <v>180.91</v>
      </c>
      <c r="L795" s="14">
        <f>(800+1000+1728)/4</f>
        <v>882</v>
      </c>
      <c r="M795" s="8">
        <f>SUMIF(Journal!$A:$A,HeadJournal!$A795,Journal!$P:$P)</f>
        <v>18187.260000000002</v>
      </c>
      <c r="N795" s="8">
        <f>SUMIF(Journal!$A:$A,HeadJournal!$A795,Journal!Q:Q)</f>
        <v>19900</v>
      </c>
      <c r="O795" s="18">
        <f>SUMIF(Journal!$A:$A,HeadJournal!$A795,Journal!U:U)</f>
        <v>1712.7399999999975</v>
      </c>
      <c r="P795" s="22">
        <f t="shared" si="84"/>
        <v>9.4172514166509819E-2</v>
      </c>
      <c r="Q795" s="7" t="b">
        <f t="shared" si="82"/>
        <v>1</v>
      </c>
      <c r="R795" s="73">
        <f t="shared" si="85"/>
        <v>4.8495485301249329E-2</v>
      </c>
    </row>
    <row r="796" spans="1:19" x14ac:dyDescent="0.25">
      <c r="A796" s="12" t="s">
        <v>1870</v>
      </c>
      <c r="B796" s="12"/>
      <c r="C796" s="12" t="s">
        <v>1380</v>
      </c>
      <c r="D796" s="12" t="s">
        <v>714</v>
      </c>
      <c r="E796" s="12" t="s">
        <v>1477</v>
      </c>
      <c r="F796" s="12"/>
      <c r="G796" s="13">
        <v>46113</v>
      </c>
      <c r="H796" s="14">
        <v>1</v>
      </c>
      <c r="I796" s="14">
        <v>0</v>
      </c>
      <c r="J796" s="8">
        <f>SUMIF(Journal!$A:$A,HeadJournal!$A796,Journal!$K:$K)+SUMIF(Journal!$A:$A,HeadJournal!$A796,Journal!$L:$L)+SUMIF(Journal!$A:$A,HeadJournal!$A796,Journal!$M:$M)</f>
        <v>985</v>
      </c>
      <c r="K796" s="14">
        <v>985</v>
      </c>
      <c r="L796" s="14">
        <v>0</v>
      </c>
      <c r="M796" s="8">
        <f>SUMIF(Journal!$A:$A,HeadJournal!$A796,Journal!$P:$P)</f>
        <v>985</v>
      </c>
      <c r="N796" s="8">
        <f>SUMIF(Journal!$A:$A,HeadJournal!$A796,Journal!Q:Q)</f>
        <v>2000</v>
      </c>
      <c r="O796" s="18">
        <f>SUMIF(Journal!$A:$A,HeadJournal!$A796,Journal!U:U)</f>
        <v>1015</v>
      </c>
      <c r="P796" s="22">
        <f t="shared" si="84"/>
        <v>1.0304568527918783</v>
      </c>
      <c r="Q796" s="7" t="b">
        <f t="shared" si="82"/>
        <v>1</v>
      </c>
      <c r="R796" s="73">
        <f t="shared" si="85"/>
        <v>0</v>
      </c>
    </row>
    <row r="797" spans="1:19" x14ac:dyDescent="0.25">
      <c r="A797" s="12" t="s">
        <v>5632</v>
      </c>
      <c r="B797" s="12"/>
      <c r="C797" s="12" t="s">
        <v>1380</v>
      </c>
      <c r="D797" s="12" t="s">
        <v>714</v>
      </c>
      <c r="E797" s="12" t="s">
        <v>1477</v>
      </c>
      <c r="F797" s="12"/>
      <c r="G797" s="13">
        <v>46117</v>
      </c>
      <c r="H797" s="14">
        <v>1</v>
      </c>
      <c r="I797" s="14">
        <v>0</v>
      </c>
      <c r="J797" s="8">
        <f>SUMIF(Journal!$A:$A,HeadJournal!$A797,Journal!$K:$K)+SUMIF(Journal!$A:$A,HeadJournal!$A797,Journal!$L:$L)+SUMIF(Journal!$A:$A,HeadJournal!$A797,Journal!$M:$M)</f>
        <v>707</v>
      </c>
      <c r="K797" s="14">
        <v>707</v>
      </c>
      <c r="L797" s="14">
        <v>0</v>
      </c>
      <c r="M797" s="8">
        <f>SUMIF(Journal!$A:$A,HeadJournal!$A797,Journal!$P:$P)</f>
        <v>707</v>
      </c>
      <c r="N797" s="8">
        <f>SUMIF(Journal!$A:$A,HeadJournal!$A797,Journal!Q:Q)</f>
        <v>1200</v>
      </c>
      <c r="O797" s="18">
        <f>SUMIF(Journal!$A:$A,HeadJournal!$A797,Journal!U:U)</f>
        <v>493</v>
      </c>
      <c r="P797" s="22">
        <f t="shared" si="84"/>
        <v>0.6973125884016973</v>
      </c>
      <c r="Q797" s="7" t="b">
        <f t="shared" si="82"/>
        <v>1</v>
      </c>
      <c r="R797" s="73">
        <f t="shared" si="85"/>
        <v>0</v>
      </c>
    </row>
    <row r="798" spans="1:19" x14ac:dyDescent="0.25">
      <c r="A798" s="12" t="s">
        <v>5633</v>
      </c>
      <c r="B798" s="12"/>
      <c r="C798" s="12" t="s">
        <v>1380</v>
      </c>
      <c r="D798" s="12" t="s">
        <v>714</v>
      </c>
      <c r="E798" s="12" t="s">
        <v>1477</v>
      </c>
      <c r="F798" s="12"/>
      <c r="G798" s="13">
        <v>46117</v>
      </c>
      <c r="H798" s="14">
        <v>1</v>
      </c>
      <c r="I798" s="14">
        <v>0</v>
      </c>
      <c r="J798" s="8">
        <f>SUMIF(Journal!$A:$A,HeadJournal!$A798,Journal!$K:$K)+SUMIF(Journal!$A:$A,HeadJournal!$A798,Journal!$L:$L)+SUMIF(Journal!$A:$A,HeadJournal!$A798,Journal!$M:$M)</f>
        <v>1482</v>
      </c>
      <c r="K798" s="14">
        <v>1482</v>
      </c>
      <c r="L798" s="14">
        <v>0</v>
      </c>
      <c r="M798" s="8">
        <f>SUMIF(Journal!$A:$A,HeadJournal!$A798,Journal!$P:$P)</f>
        <v>1482</v>
      </c>
      <c r="N798" s="8">
        <f>SUMIF(Journal!$A:$A,HeadJournal!$A798,Journal!Q:Q)</f>
        <v>2200</v>
      </c>
      <c r="O798" s="18">
        <f>SUMIF(Journal!$A:$A,HeadJournal!$A798,Journal!U:U)</f>
        <v>718</v>
      </c>
      <c r="P798" s="22">
        <f t="shared" si="84"/>
        <v>0.48448043184885292</v>
      </c>
      <c r="Q798" s="7" t="b">
        <f t="shared" si="82"/>
        <v>1</v>
      </c>
      <c r="R798" s="73">
        <f t="shared" si="85"/>
        <v>0</v>
      </c>
    </row>
    <row r="799" spans="1:19" x14ac:dyDescent="0.25">
      <c r="A799" s="12" t="s">
        <v>5637</v>
      </c>
      <c r="B799" s="12"/>
      <c r="C799" s="12" t="s">
        <v>1380</v>
      </c>
      <c r="D799" s="12" t="s">
        <v>714</v>
      </c>
      <c r="E799" s="12" t="s">
        <v>1477</v>
      </c>
      <c r="F799" s="12"/>
      <c r="G799" s="13">
        <v>46122</v>
      </c>
      <c r="H799" s="14">
        <v>1</v>
      </c>
      <c r="I799" s="14">
        <v>0</v>
      </c>
      <c r="J799" s="8">
        <f>SUMIF(Journal!$A:$A,HeadJournal!$A799,Journal!$K:$K)+SUMIF(Journal!$A:$A,HeadJournal!$A799,Journal!$L:$L)+SUMIF(Journal!$A:$A,HeadJournal!$A799,Journal!$M:$M)</f>
        <v>2044</v>
      </c>
      <c r="K799" s="14">
        <f>1034+1010</f>
        <v>2044</v>
      </c>
      <c r="L799" s="14">
        <v>0</v>
      </c>
      <c r="M799" s="8">
        <f>SUMIF(Journal!$A:$A,HeadJournal!$A799,Journal!$P:$P)</f>
        <v>2044</v>
      </c>
      <c r="N799" s="8">
        <f>SUMIF(Journal!$A:$A,HeadJournal!$A799,Journal!Q:Q)</f>
        <v>4000</v>
      </c>
      <c r="O799" s="18">
        <f>SUMIF(Journal!$A:$A,HeadJournal!$A799,Journal!U:U)</f>
        <v>1956</v>
      </c>
      <c r="P799" s="22">
        <f t="shared" si="84"/>
        <v>0.95694716242661448</v>
      </c>
      <c r="Q799" s="7" t="b">
        <f t="shared" si="82"/>
        <v>1</v>
      </c>
      <c r="R799" s="73">
        <f t="shared" si="85"/>
        <v>0</v>
      </c>
    </row>
    <row r="800" spans="1:19" x14ac:dyDescent="0.25">
      <c r="A800" s="192" t="s">
        <v>5640</v>
      </c>
      <c r="B800" s="12"/>
      <c r="C800" s="12" t="s">
        <v>1752</v>
      </c>
      <c r="D800" s="12" t="s">
        <v>714</v>
      </c>
      <c r="E800" s="12" t="s">
        <v>1477</v>
      </c>
      <c r="F800" s="12"/>
      <c r="G800" s="13">
        <v>46121</v>
      </c>
      <c r="H800" s="14">
        <f>18097.19/199.25</f>
        <v>90.826549560853195</v>
      </c>
      <c r="I800" s="14">
        <v>0</v>
      </c>
      <c r="J800" s="8">
        <f>SUMIF(Journal!$A:$A,HeadJournal!$A800,Journal!$K:$K)+SUMIF(Journal!$A:$A,HeadJournal!$A800,Journal!$L:$L)+SUMIF(Journal!$A:$A,HeadJournal!$A800,Journal!$M:$M)</f>
        <v>199.25000000000003</v>
      </c>
      <c r="K800" s="14">
        <v>199.25</v>
      </c>
      <c r="L800" s="14">
        <f>(1100+1000+1277)/4</f>
        <v>844.25</v>
      </c>
      <c r="M800" s="8">
        <f>SUMIF(Journal!$A:$A,HeadJournal!$A800,Journal!$P:$P)</f>
        <v>18941.439999999995</v>
      </c>
      <c r="N800" s="8">
        <f>SUMIF(Journal!$A:$A,HeadJournal!$A800,Journal!Q:Q)</f>
        <v>19200</v>
      </c>
      <c r="O800" s="18">
        <f>SUMIF(Journal!$A:$A,HeadJournal!$A800,Journal!U:U)</f>
        <v>258.56000000000552</v>
      </c>
      <c r="P800" s="22">
        <f t="shared" si="84"/>
        <v>1.3650493309907039E-2</v>
      </c>
      <c r="Q800" s="7" t="b">
        <f t="shared" si="82"/>
        <v>1</v>
      </c>
      <c r="R800" s="73">
        <f t="shared" si="85"/>
        <v>4.4571584842546301E-2</v>
      </c>
    </row>
    <row r="801" spans="1:18" x14ac:dyDescent="0.25">
      <c r="A801" s="192" t="s">
        <v>5644</v>
      </c>
      <c r="B801" s="12"/>
      <c r="C801" s="12" t="s">
        <v>1735</v>
      </c>
      <c r="D801" s="12" t="s">
        <v>714</v>
      </c>
      <c r="E801" s="12" t="s">
        <v>1477</v>
      </c>
      <c r="F801" s="12"/>
      <c r="G801" s="13">
        <v>46119</v>
      </c>
      <c r="H801" s="14">
        <f>16068.34/174.79</f>
        <v>91.929400995480293</v>
      </c>
      <c r="I801" s="14">
        <v>-9.4</v>
      </c>
      <c r="J801" s="8">
        <f>SUMIF(Journal!$A:$A,HeadJournal!$A801,Journal!$K:$K)+SUMIF(Journal!$A:$A,HeadJournal!$A801,Journal!$L:$L)+SUMIF(Journal!$A:$A,HeadJournal!$A801,Journal!$M:$M)</f>
        <v>174.79000000000002</v>
      </c>
      <c r="K801" s="14">
        <v>174.79</v>
      </c>
      <c r="L801" s="14">
        <f t="shared" ref="L801:L803" si="86">(1100+1000+1277)/4</f>
        <v>844.25</v>
      </c>
      <c r="M801" s="8">
        <f>SUMIF(Journal!$A:$A,HeadJournal!$A801,Journal!$P:$P)</f>
        <v>16912.589999999997</v>
      </c>
      <c r="N801" s="8">
        <f>SUMIF(Journal!$A:$A,HeadJournal!$A801,Journal!Q:Q)</f>
        <v>22200</v>
      </c>
      <c r="O801" s="18">
        <f>SUMIF(Journal!$A:$A,HeadJournal!$A801,Journal!U:U)</f>
        <v>5287.4100000000026</v>
      </c>
      <c r="P801" s="22">
        <f t="shared" si="84"/>
        <v>0.31263159575204058</v>
      </c>
      <c r="Q801" s="7" t="b">
        <f t="shared" si="82"/>
        <v>1</v>
      </c>
      <c r="R801" s="73">
        <f t="shared" si="85"/>
        <v>4.9918433545660376E-2</v>
      </c>
    </row>
    <row r="802" spans="1:18" x14ac:dyDescent="0.25">
      <c r="A802" s="192" t="s">
        <v>5650</v>
      </c>
      <c r="B802" s="12"/>
      <c r="C802" s="12" t="s">
        <v>1737</v>
      </c>
      <c r="D802" s="12" t="s">
        <v>714</v>
      </c>
      <c r="E802" s="12" t="s">
        <v>1477</v>
      </c>
      <c r="F802" s="12"/>
      <c r="G802" s="13">
        <v>46120</v>
      </c>
      <c r="H802" s="14">
        <f>16930.31/185.66</f>
        <v>91.189863190778851</v>
      </c>
      <c r="I802" s="14">
        <v>-7.94</v>
      </c>
      <c r="J802" s="8">
        <f>SUMIF(Journal!$A:$A,HeadJournal!$A802,Journal!$K:$K)+SUMIF(Journal!$A:$A,HeadJournal!$A802,Journal!$L:$L)+SUMIF(Journal!$A:$A,HeadJournal!$A802,Journal!$M:$M)</f>
        <v>185.65999999999997</v>
      </c>
      <c r="K802" s="14">
        <v>185.66</v>
      </c>
      <c r="L802" s="14">
        <f t="shared" si="86"/>
        <v>844.25</v>
      </c>
      <c r="M802" s="8">
        <f>SUMIF(Journal!$A:$A,HeadJournal!$A802,Journal!$P:$P)</f>
        <v>17774.560000000001</v>
      </c>
      <c r="N802" s="8">
        <f>SUMIF(Journal!$A:$A,HeadJournal!$A802,Journal!Q:Q)</f>
        <v>27400</v>
      </c>
      <c r="O802" s="18">
        <f>SUMIF(Journal!$A:$A,HeadJournal!$A802,Journal!U:U)</f>
        <v>9625.4399999999951</v>
      </c>
      <c r="P802" s="22">
        <f t="shared" si="84"/>
        <v>0.5415290167520318</v>
      </c>
      <c r="Q802" s="7" t="b">
        <f t="shared" ref="Q802:Q833" si="87">J802=K802</f>
        <v>1</v>
      </c>
      <c r="R802" s="73">
        <f t="shared" si="85"/>
        <v>4.7497659576383321E-2</v>
      </c>
    </row>
    <row r="803" spans="1:18" x14ac:dyDescent="0.25">
      <c r="A803" s="192" t="s">
        <v>5660</v>
      </c>
      <c r="B803" s="12"/>
      <c r="C803" s="12" t="s">
        <v>1751</v>
      </c>
      <c r="D803" s="12" t="s">
        <v>714</v>
      </c>
      <c r="E803" s="12" t="s">
        <v>1477</v>
      </c>
      <c r="F803" s="12"/>
      <c r="G803" s="13">
        <v>46118</v>
      </c>
      <c r="H803" s="14">
        <f>17125.06/185.51</f>
        <v>92.313406285375464</v>
      </c>
      <c r="I803" s="14">
        <v>-9.69</v>
      </c>
      <c r="J803" s="8">
        <f>SUMIF(Journal!$A:$A,HeadJournal!$A803,Journal!$K:$K)+SUMIF(Journal!$A:$A,HeadJournal!$A803,Journal!$L:$L)+SUMIF(Journal!$A:$A,HeadJournal!$A803,Journal!$M:$M)</f>
        <v>185.51</v>
      </c>
      <c r="K803" s="14">
        <v>185.51</v>
      </c>
      <c r="L803" s="14">
        <f t="shared" si="86"/>
        <v>844.25</v>
      </c>
      <c r="M803" s="8">
        <f>SUMIF(Journal!$A:$A,HeadJournal!$A803,Journal!$P:$P)</f>
        <v>17969.310000000001</v>
      </c>
      <c r="N803" s="8">
        <f>SUMIF(Journal!$A:$A,HeadJournal!$A803,Journal!Q:Q)</f>
        <v>16700</v>
      </c>
      <c r="O803" s="18">
        <f>SUMIF(Journal!$A:$A,HeadJournal!$A803,Journal!U:U)</f>
        <v>-1269.3100000000004</v>
      </c>
      <c r="P803" s="22">
        <f t="shared" si="84"/>
        <v>-7.0637659431553035E-2</v>
      </c>
      <c r="Q803" s="7" t="b">
        <f t="shared" si="87"/>
        <v>1</v>
      </c>
      <c r="R803" s="73">
        <f t="shared" si="85"/>
        <v>4.6982883594306066E-2</v>
      </c>
    </row>
    <row r="804" spans="1:18" x14ac:dyDescent="0.25">
      <c r="A804" s="12" t="s">
        <v>5661</v>
      </c>
      <c r="B804" s="12"/>
      <c r="C804" s="12" t="s">
        <v>1449</v>
      </c>
      <c r="D804" s="12" t="s">
        <v>714</v>
      </c>
      <c r="E804" s="12" t="s">
        <v>5662</v>
      </c>
      <c r="F804" s="12"/>
      <c r="G804" s="13">
        <v>46125</v>
      </c>
      <c r="H804" s="14">
        <v>1</v>
      </c>
      <c r="I804" s="14">
        <v>0</v>
      </c>
      <c r="J804" s="8">
        <f>SUMIF(Journal!$A:$A,HeadJournal!$A804,Journal!$K:$K)+SUMIF(Journal!$A:$A,HeadJournal!$A804,Journal!$L:$L)+SUMIF(Journal!$A:$A,HeadJournal!$A804,Journal!$M:$M)</f>
        <v>15593.740000000002</v>
      </c>
      <c r="K804" s="14">
        <v>15593.74</v>
      </c>
      <c r="L804" s="14">
        <v>50</v>
      </c>
      <c r="M804" s="8">
        <f>SUMIF(Journal!$A:$A,HeadJournal!$A804,Journal!$P:$P)</f>
        <v>15643.739999999998</v>
      </c>
      <c r="N804" s="8">
        <f>SUMIF(Journal!$A:$A,HeadJournal!$A804,Journal!Q:Q)</f>
        <v>0</v>
      </c>
      <c r="O804" s="18">
        <f>SUMIF(Journal!$A:$A,HeadJournal!$A804,Journal!U:U)</f>
        <v>-15643.739999999998</v>
      </c>
      <c r="P804" s="22" t="str">
        <f t="shared" si="84"/>
        <v/>
      </c>
      <c r="Q804" s="7" t="b">
        <f t="shared" si="87"/>
        <v>1</v>
      </c>
      <c r="R804" s="73">
        <f t="shared" si="85"/>
        <v>3.1961666455719673E-3</v>
      </c>
    </row>
    <row r="805" spans="1:18" x14ac:dyDescent="0.25">
      <c r="A805" s="12" t="s">
        <v>5675</v>
      </c>
      <c r="B805" s="12"/>
      <c r="C805" s="12" t="s">
        <v>843</v>
      </c>
      <c r="D805" s="12" t="s">
        <v>714</v>
      </c>
      <c r="E805" s="12" t="s">
        <v>1477</v>
      </c>
      <c r="F805" s="12"/>
      <c r="G805" s="13">
        <v>46113</v>
      </c>
      <c r="H805" s="14">
        <v>1</v>
      </c>
      <c r="I805" s="14">
        <v>0</v>
      </c>
      <c r="J805" s="8">
        <f>SUMIF(Journal!$A:$A,HeadJournal!$A805,Journal!$K:$K)+SUMIF(Journal!$A:$A,HeadJournal!$A805,Journal!$L:$L)+SUMIF(Journal!$A:$A,HeadJournal!$A805,Journal!$M:$M)</f>
        <v>3092</v>
      </c>
      <c r="K805" s="14">
        <v>3092</v>
      </c>
      <c r="L805" s="14">
        <v>0</v>
      </c>
      <c r="M805" s="8">
        <f>SUMIF(Journal!$A:$A,HeadJournal!$A805,Journal!$P:$P)</f>
        <v>3092</v>
      </c>
      <c r="N805" s="8">
        <f>SUMIF(Journal!$A:$A,HeadJournal!$A805,Journal!Q:Q)</f>
        <v>4200</v>
      </c>
      <c r="O805" s="18">
        <f>SUMIF(Journal!$A:$A,HeadJournal!$A805,Journal!U:U)</f>
        <v>1108</v>
      </c>
      <c r="P805" s="22">
        <f t="shared" si="84"/>
        <v>0.35834411384217335</v>
      </c>
      <c r="Q805" s="7" t="b">
        <f t="shared" si="87"/>
        <v>1</v>
      </c>
      <c r="R805" s="73">
        <f t="shared" si="85"/>
        <v>0</v>
      </c>
    </row>
    <row r="806" spans="1:18" x14ac:dyDescent="0.25">
      <c r="A806" s="12" t="s">
        <v>5676</v>
      </c>
      <c r="B806" s="12"/>
      <c r="C806" s="12" t="s">
        <v>1380</v>
      </c>
      <c r="D806" s="12" t="s">
        <v>714</v>
      </c>
      <c r="E806" s="12" t="s">
        <v>1477</v>
      </c>
      <c r="F806" s="12"/>
      <c r="G806" s="13">
        <v>46125</v>
      </c>
      <c r="H806" s="14">
        <v>1</v>
      </c>
      <c r="I806" s="14">
        <v>0</v>
      </c>
      <c r="J806" s="8">
        <f>SUMIF(Journal!$A:$A,HeadJournal!$A806,Journal!$K:$K)+SUMIF(Journal!$A:$A,HeadJournal!$A806,Journal!$L:$L)+SUMIF(Journal!$A:$A,HeadJournal!$A806,Journal!$M:$M)</f>
        <v>1042</v>
      </c>
      <c r="K806" s="14">
        <v>1042</v>
      </c>
      <c r="L806" s="14">
        <v>0</v>
      </c>
      <c r="M806" s="8">
        <f>SUMIF(Journal!$A:$A,HeadJournal!$A806,Journal!$P:$P)</f>
        <v>1042</v>
      </c>
      <c r="N806" s="8">
        <f>SUMIF(Journal!$A:$A,HeadJournal!$A806,Journal!Q:Q)</f>
        <v>2000</v>
      </c>
      <c r="O806" s="18">
        <f>SUMIF(Journal!$A:$A,HeadJournal!$A806,Journal!U:U)</f>
        <v>958</v>
      </c>
      <c r="P806" s="22">
        <f t="shared" si="84"/>
        <v>0.91938579654510555</v>
      </c>
      <c r="Q806" s="7" t="b">
        <f t="shared" si="87"/>
        <v>1</v>
      </c>
      <c r="R806" s="73">
        <f t="shared" si="85"/>
        <v>0</v>
      </c>
    </row>
    <row r="807" spans="1:18" x14ac:dyDescent="0.25">
      <c r="A807" s="12" t="s">
        <v>5677</v>
      </c>
      <c r="B807" s="12"/>
      <c r="C807" s="12" t="s">
        <v>1380</v>
      </c>
      <c r="D807" s="12" t="s">
        <v>714</v>
      </c>
      <c r="E807" s="12" t="s">
        <v>1477</v>
      </c>
      <c r="F807" s="12"/>
      <c r="G807" s="13">
        <v>46128</v>
      </c>
      <c r="H807" s="14">
        <v>1</v>
      </c>
      <c r="I807" s="14">
        <v>0</v>
      </c>
      <c r="J807" s="8">
        <f>SUMIF(Journal!$A:$A,HeadJournal!$A807,Journal!$K:$K)+SUMIF(Journal!$A:$A,HeadJournal!$A807,Journal!$L:$L)+SUMIF(Journal!$A:$A,HeadJournal!$A807,Journal!$M:$M)</f>
        <v>882</v>
      </c>
      <c r="K807" s="14">
        <v>882</v>
      </c>
      <c r="L807" s="14">
        <v>0</v>
      </c>
      <c r="M807" s="8">
        <f>SUMIF(Journal!$A:$A,HeadJournal!$A807,Journal!$P:$P)</f>
        <v>882</v>
      </c>
      <c r="N807" s="8">
        <f>SUMIF(Journal!$A:$A,HeadJournal!$A807,Journal!Q:Q)</f>
        <v>2000</v>
      </c>
      <c r="O807" s="18">
        <f>SUMIF(Journal!$A:$A,HeadJournal!$A807,Journal!U:U)</f>
        <v>1118</v>
      </c>
      <c r="P807" s="22">
        <f t="shared" si="84"/>
        <v>1.2675736961451247</v>
      </c>
      <c r="Q807" s="7" t="b">
        <f t="shared" si="87"/>
        <v>1</v>
      </c>
      <c r="R807" s="73">
        <f t="shared" si="85"/>
        <v>0</v>
      </c>
    </row>
    <row r="808" spans="1:18" x14ac:dyDescent="0.25">
      <c r="A808" s="12" t="s">
        <v>5678</v>
      </c>
      <c r="B808" s="12"/>
      <c r="C808" s="12" t="s">
        <v>1380</v>
      </c>
      <c r="D808" s="12" t="s">
        <v>714</v>
      </c>
      <c r="E808" s="12" t="s">
        <v>1477</v>
      </c>
      <c r="F808" s="12"/>
      <c r="G808" s="13">
        <v>46128</v>
      </c>
      <c r="H808" s="14">
        <v>1</v>
      </c>
      <c r="I808" s="14">
        <v>0</v>
      </c>
      <c r="J808" s="8">
        <f>SUMIF(Journal!$A:$A,HeadJournal!$A808,Journal!$K:$K)+SUMIF(Journal!$A:$A,HeadJournal!$A808,Journal!$L:$L)+SUMIF(Journal!$A:$A,HeadJournal!$A808,Journal!$M:$M)</f>
        <v>882</v>
      </c>
      <c r="K808" s="14">
        <v>882</v>
      </c>
      <c r="L808" s="14">
        <v>0</v>
      </c>
      <c r="M808" s="8">
        <f>SUMIF(Journal!$A:$A,HeadJournal!$A808,Journal!$P:$P)</f>
        <v>882</v>
      </c>
      <c r="N808" s="8">
        <f>SUMIF(Journal!$A:$A,HeadJournal!$A808,Journal!Q:Q)</f>
        <v>2000</v>
      </c>
      <c r="O808" s="18">
        <f>SUMIF(Journal!$A:$A,HeadJournal!$A808,Journal!U:U)</f>
        <v>1118</v>
      </c>
      <c r="P808" s="22">
        <f t="shared" si="84"/>
        <v>1.2675736961451247</v>
      </c>
      <c r="Q808" s="7" t="b">
        <f t="shared" si="87"/>
        <v>1</v>
      </c>
      <c r="R808" s="73">
        <f t="shared" si="85"/>
        <v>0</v>
      </c>
    </row>
    <row r="809" spans="1:18" x14ac:dyDescent="0.25">
      <c r="A809" s="192" t="s">
        <v>5685</v>
      </c>
      <c r="B809" s="12"/>
      <c r="C809" s="12" t="s">
        <v>1737</v>
      </c>
      <c r="D809" s="12" t="s">
        <v>714</v>
      </c>
      <c r="E809" s="12" t="s">
        <v>1477</v>
      </c>
      <c r="F809" s="12"/>
      <c r="G809" s="13">
        <v>46128</v>
      </c>
      <c r="H809" s="14">
        <f>16231.75/185.47</f>
        <v>87.516849086105566</v>
      </c>
      <c r="I809" s="14">
        <v>-9.16</v>
      </c>
      <c r="J809" s="8">
        <f>SUMIF(Journal!$A:$A,HeadJournal!$A809,Journal!$K:$K)+SUMIF(Journal!$A:$A,HeadJournal!$A809,Journal!$L:$L)+SUMIF(Journal!$A:$A,HeadJournal!$A809,Journal!$M:$M)</f>
        <v>185.47</v>
      </c>
      <c r="K809" s="14">
        <v>185.47</v>
      </c>
      <c r="L809" s="14">
        <f>(1200+1000+1285)/5</f>
        <v>697</v>
      </c>
      <c r="M809" s="8">
        <f>SUMIF(Journal!$A:$A,HeadJournal!$A809,Journal!$P:$P)</f>
        <v>16928.749999999996</v>
      </c>
      <c r="N809" s="8">
        <f>SUMIF(Journal!$A:$A,HeadJournal!$A809,Journal!Q:Q)</f>
        <v>23450</v>
      </c>
      <c r="O809" s="18">
        <f>SUMIF(Journal!$A:$A,HeadJournal!$A809,Journal!U:U)</f>
        <v>6521.2500000000009</v>
      </c>
      <c r="P809" s="22">
        <f t="shared" si="84"/>
        <v>0.38521745551207281</v>
      </c>
      <c r="Q809" s="7" t="b">
        <f t="shared" si="87"/>
        <v>1</v>
      </c>
      <c r="R809" s="73">
        <f t="shared" si="85"/>
        <v>4.1172561470870568E-2</v>
      </c>
    </row>
    <row r="810" spans="1:18" x14ac:dyDescent="0.25">
      <c r="A810" s="192" t="s">
        <v>5693</v>
      </c>
      <c r="B810" s="12"/>
      <c r="C810" s="12" t="s">
        <v>1752</v>
      </c>
      <c r="D810" s="12" t="s">
        <v>714</v>
      </c>
      <c r="E810" s="12" t="s">
        <v>1477</v>
      </c>
      <c r="F810" s="12"/>
      <c r="G810" s="13">
        <v>46138</v>
      </c>
      <c r="H810" s="14">
        <f>15310.54/176.74</f>
        <v>86.627475387574975</v>
      </c>
      <c r="I810" s="14">
        <v>-19.75</v>
      </c>
      <c r="J810" s="8">
        <f>SUMIF(Journal!$A:$A,HeadJournal!$A810,Journal!$K:$K)+SUMIF(Journal!$A:$A,HeadJournal!$A810,Journal!$L:$L)+SUMIF(Journal!$A:$A,HeadJournal!$A810,Journal!$M:$M)</f>
        <v>176.74000000000004</v>
      </c>
      <c r="K810" s="14">
        <v>176.74</v>
      </c>
      <c r="L810" s="14">
        <f t="shared" ref="L810:L813" si="88">(1200+1000+1285)/5</f>
        <v>697</v>
      </c>
      <c r="M810" s="8">
        <f>SUMIF(Journal!$A:$A,HeadJournal!$A810,Journal!$P:$P)</f>
        <v>16007.539999999999</v>
      </c>
      <c r="N810" s="8">
        <f>SUMIF(Journal!$A:$A,HeadJournal!$A810,Journal!Q:Q)</f>
        <v>18400</v>
      </c>
      <c r="O810" s="18">
        <f>SUMIF(Journal!$A:$A,HeadJournal!$A810,Journal!U:U)</f>
        <v>2392.4600000000028</v>
      </c>
      <c r="P810" s="22">
        <f t="shared" si="84"/>
        <v>0.14945831776775212</v>
      </c>
      <c r="Q810" s="7" t="b">
        <f t="shared" si="87"/>
        <v>1</v>
      </c>
      <c r="R810" s="73">
        <f t="shared" si="85"/>
        <v>4.3541980841528431E-2</v>
      </c>
    </row>
    <row r="811" spans="1:18" x14ac:dyDescent="0.25">
      <c r="A811" s="192" t="s">
        <v>5699</v>
      </c>
      <c r="B811" s="12"/>
      <c r="C811" s="12" t="s">
        <v>1735</v>
      </c>
      <c r="D811" s="12" t="s">
        <v>714</v>
      </c>
      <c r="E811" s="12" t="s">
        <v>1477</v>
      </c>
      <c r="F811" s="12"/>
      <c r="G811" s="13">
        <v>46135</v>
      </c>
      <c r="H811" s="14">
        <f>14966.51/172.83</f>
        <v>86.59671353353005</v>
      </c>
      <c r="I811" s="14">
        <v>-18.89</v>
      </c>
      <c r="J811" s="8">
        <f>SUMIF(Journal!$A:$A,HeadJournal!$A811,Journal!$K:$K)+SUMIF(Journal!$A:$A,HeadJournal!$A811,Journal!$L:$L)+SUMIF(Journal!$A:$A,HeadJournal!$A811,Journal!$M:$M)</f>
        <v>172.83000000000004</v>
      </c>
      <c r="K811" s="14">
        <v>172.83</v>
      </c>
      <c r="L811" s="14">
        <f t="shared" si="88"/>
        <v>697</v>
      </c>
      <c r="M811" s="8">
        <f>SUMIF(Journal!$A:$A,HeadJournal!$A811,Journal!$P:$P)</f>
        <v>15663.509999999998</v>
      </c>
      <c r="N811" s="8">
        <f>SUMIF(Journal!$A:$A,HeadJournal!$A811,Journal!Q:Q)</f>
        <v>20900</v>
      </c>
      <c r="O811" s="18">
        <f>SUMIF(Journal!$A:$A,HeadJournal!$A811,Journal!U:U)</f>
        <v>5236.4900000000034</v>
      </c>
      <c r="P811" s="22">
        <f t="shared" si="84"/>
        <v>0.33431140274434046</v>
      </c>
      <c r="Q811" s="7" t="b">
        <f t="shared" si="87"/>
        <v>1</v>
      </c>
      <c r="R811" s="73">
        <f t="shared" si="85"/>
        <v>4.4498327641761017E-2</v>
      </c>
    </row>
    <row r="812" spans="1:18" x14ac:dyDescent="0.25">
      <c r="A812" s="192" t="s">
        <v>5706</v>
      </c>
      <c r="B812" s="12"/>
      <c r="C812" s="12" t="s">
        <v>1735</v>
      </c>
      <c r="D812" s="12" t="s">
        <v>714</v>
      </c>
      <c r="E812" s="12" t="s">
        <v>1477</v>
      </c>
      <c r="F812" s="12"/>
      <c r="G812" s="13">
        <v>46142</v>
      </c>
      <c r="H812" s="14">
        <f>16020.16/185.94</f>
        <v>86.157685274819841</v>
      </c>
      <c r="I812" s="14">
        <v>-9.99</v>
      </c>
      <c r="J812" s="8">
        <f>SUMIF(Journal!$A:$A,HeadJournal!$A812,Journal!$K:$K)+SUMIF(Journal!$A:$A,HeadJournal!$A812,Journal!$L:$L)+SUMIF(Journal!$A:$A,HeadJournal!$A812,Journal!$M:$M)</f>
        <v>185.94</v>
      </c>
      <c r="K812" s="14">
        <v>185.94</v>
      </c>
      <c r="L812" s="14">
        <f t="shared" si="88"/>
        <v>697</v>
      </c>
      <c r="M812" s="8">
        <f>SUMIF(Journal!$A:$A,HeadJournal!$A812,Journal!$P:$P)</f>
        <v>16717.160000000003</v>
      </c>
      <c r="N812" s="8">
        <f>SUMIF(Journal!$A:$A,HeadJournal!$A812,Journal!Q:Q)</f>
        <v>14900</v>
      </c>
      <c r="O812" s="18">
        <f>SUMIF(Journal!$A:$A,HeadJournal!$A812,Journal!U:U)</f>
        <v>-1817.1600000000008</v>
      </c>
      <c r="P812" s="22">
        <f t="shared" si="84"/>
        <v>-0.10870028162678352</v>
      </c>
      <c r="Q812" s="7" t="b">
        <f t="shared" si="87"/>
        <v>1</v>
      </c>
      <c r="R812" s="73">
        <f t="shared" si="85"/>
        <v>4.1693684812492068E-2</v>
      </c>
    </row>
    <row r="813" spans="1:18" x14ac:dyDescent="0.25">
      <c r="A813" s="192" t="s">
        <v>5711</v>
      </c>
      <c r="B813" s="12"/>
      <c r="C813" s="12" t="s">
        <v>1751</v>
      </c>
      <c r="D813" s="12" t="s">
        <v>714</v>
      </c>
      <c r="E813" s="12" t="s">
        <v>1477</v>
      </c>
      <c r="F813" s="12"/>
      <c r="G813" s="13">
        <v>46136</v>
      </c>
      <c r="H813" s="14">
        <f>15424.41/178.11</f>
        <v>86.60047161866261</v>
      </c>
      <c r="I813" s="14">
        <v>-19.46</v>
      </c>
      <c r="J813" s="8">
        <f>SUMIF(Journal!$A:$A,HeadJournal!$A813,Journal!$K:$K)+SUMIF(Journal!$A:$A,HeadJournal!$A813,Journal!$L:$L)+SUMIF(Journal!$A:$A,HeadJournal!$A813,Journal!$M:$M)</f>
        <v>178.10999999999993</v>
      </c>
      <c r="K813" s="14">
        <v>178.11</v>
      </c>
      <c r="L813" s="14">
        <f t="shared" si="88"/>
        <v>697</v>
      </c>
      <c r="M813" s="8">
        <f>SUMIF(Journal!$A:$A,HeadJournal!$A813,Journal!$P:$P)</f>
        <v>16121.410000000007</v>
      </c>
      <c r="N813" s="8">
        <f>SUMIF(Journal!$A:$A,HeadJournal!$A813,Journal!Q:Q)</f>
        <v>8900</v>
      </c>
      <c r="O813" s="18">
        <f>SUMIF(Journal!$A:$A,HeadJournal!$A813,Journal!U:U)</f>
        <v>-7221.4100000000062</v>
      </c>
      <c r="P813" s="22">
        <f t="shared" si="84"/>
        <v>-0.4479391070632161</v>
      </c>
      <c r="Q813" s="7" t="b">
        <f t="shared" si="87"/>
        <v>1</v>
      </c>
      <c r="R813" s="73">
        <f t="shared" si="85"/>
        <v>4.3234431727745881E-2</v>
      </c>
    </row>
    <row r="814" spans="1:18" x14ac:dyDescent="0.25">
      <c r="A814" s="12" t="s">
        <v>5713</v>
      </c>
      <c r="B814" s="12"/>
      <c r="C814" s="12" t="s">
        <v>1380</v>
      </c>
      <c r="D814" s="12" t="s">
        <v>714</v>
      </c>
      <c r="E814" s="12" t="s">
        <v>1477</v>
      </c>
      <c r="F814" s="12"/>
      <c r="G814" s="13">
        <v>46141</v>
      </c>
      <c r="H814" s="14">
        <v>1</v>
      </c>
      <c r="I814" s="14">
        <v>0</v>
      </c>
      <c r="J814" s="8">
        <f>SUMIF(Journal!$A:$A,HeadJournal!$A814,Journal!$K:$K)+SUMIF(Journal!$A:$A,HeadJournal!$A814,Journal!$L:$L)+SUMIF(Journal!$A:$A,HeadJournal!$A814,Journal!$M:$M)</f>
        <v>972</v>
      </c>
      <c r="K814" s="14">
        <v>972</v>
      </c>
      <c r="L814" s="14">
        <v>0</v>
      </c>
      <c r="M814" s="8">
        <f>SUMIF(Journal!$A:$A,HeadJournal!$A814,Journal!$P:$P)</f>
        <v>972</v>
      </c>
      <c r="N814" s="8">
        <f>SUMIF(Journal!$A:$A,HeadJournal!$A814,Journal!Q:Q)</f>
        <v>0</v>
      </c>
      <c r="O814" s="18">
        <f>SUMIF(Journal!$A:$A,HeadJournal!$A814,Journal!U:U)</f>
        <v>-972</v>
      </c>
      <c r="P814" s="22" t="str">
        <f t="shared" si="84"/>
        <v/>
      </c>
      <c r="Q814" s="7" t="b">
        <f t="shared" si="87"/>
        <v>1</v>
      </c>
      <c r="R814" s="73">
        <f t="shared" si="85"/>
        <v>0</v>
      </c>
    </row>
    <row r="815" spans="1:18" x14ac:dyDescent="0.25">
      <c r="A815" s="12" t="s">
        <v>5714</v>
      </c>
      <c r="B815" s="12"/>
      <c r="C815" s="12" t="s">
        <v>1380</v>
      </c>
      <c r="D815" s="12" t="s">
        <v>714</v>
      </c>
      <c r="E815" s="12" t="s">
        <v>1477</v>
      </c>
      <c r="F815" s="12"/>
      <c r="G815" s="13">
        <v>46143</v>
      </c>
      <c r="H815" s="14">
        <v>1</v>
      </c>
      <c r="I815" s="14">
        <v>0</v>
      </c>
      <c r="J815" s="8">
        <f>SUMIF(Journal!$A:$A,HeadJournal!$A815,Journal!$K:$K)+SUMIF(Journal!$A:$A,HeadJournal!$A815,Journal!$L:$L)+SUMIF(Journal!$A:$A,HeadJournal!$A815,Journal!$M:$M)</f>
        <v>1028</v>
      </c>
      <c r="K815" s="14">
        <v>1028</v>
      </c>
      <c r="L815" s="14">
        <v>0</v>
      </c>
      <c r="M815" s="8">
        <f>SUMIF(Journal!$A:$A,HeadJournal!$A815,Journal!$P:$P)</f>
        <v>1028</v>
      </c>
      <c r="N815" s="8">
        <f>SUMIF(Journal!$A:$A,HeadJournal!$A815,Journal!Q:Q)</f>
        <v>2000</v>
      </c>
      <c r="O815" s="18">
        <f>SUMIF(Journal!$A:$A,HeadJournal!$A815,Journal!U:U)</f>
        <v>972</v>
      </c>
      <c r="P815" s="22">
        <f t="shared" si="84"/>
        <v>0.94552529182879375</v>
      </c>
      <c r="Q815" s="7" t="b">
        <f t="shared" si="87"/>
        <v>1</v>
      </c>
      <c r="R815" s="73">
        <f t="shared" si="85"/>
        <v>0</v>
      </c>
    </row>
    <row r="816" spans="1:18" x14ac:dyDescent="0.25">
      <c r="A816" s="12" t="s">
        <v>5715</v>
      </c>
      <c r="B816" s="12"/>
      <c r="C816" s="12" t="s">
        <v>1380</v>
      </c>
      <c r="D816" s="12" t="s">
        <v>714</v>
      </c>
      <c r="E816" s="12" t="s">
        <v>1477</v>
      </c>
      <c r="F816" s="12"/>
      <c r="G816" s="13">
        <v>46143</v>
      </c>
      <c r="H816" s="14">
        <v>1</v>
      </c>
      <c r="I816" s="14">
        <v>0</v>
      </c>
      <c r="J816" s="8">
        <f>SUMIF(Journal!$A:$A,HeadJournal!$A816,Journal!$K:$K)+SUMIF(Journal!$A:$A,HeadJournal!$A816,Journal!$L:$L)+SUMIF(Journal!$A:$A,HeadJournal!$A816,Journal!$M:$M)</f>
        <v>1028</v>
      </c>
      <c r="K816" s="14">
        <v>1028</v>
      </c>
      <c r="L816" s="14">
        <v>0</v>
      </c>
      <c r="M816" s="8">
        <f>SUMIF(Journal!$A:$A,HeadJournal!$A816,Journal!$P:$P)</f>
        <v>1028</v>
      </c>
      <c r="N816" s="8">
        <f>SUMIF(Journal!$A:$A,HeadJournal!$A816,Journal!Q:Q)</f>
        <v>2000</v>
      </c>
      <c r="O816" s="18">
        <f>SUMIF(Journal!$A:$A,HeadJournal!$A816,Journal!U:U)</f>
        <v>972</v>
      </c>
      <c r="P816" s="22">
        <f t="shared" si="84"/>
        <v>0.94552529182879375</v>
      </c>
      <c r="Q816" s="7" t="b">
        <f t="shared" si="87"/>
        <v>1</v>
      </c>
      <c r="R816" s="73">
        <f t="shared" si="85"/>
        <v>0</v>
      </c>
    </row>
    <row r="817" spans="1:18" x14ac:dyDescent="0.25">
      <c r="A817" s="192" t="s">
        <v>5725</v>
      </c>
      <c r="B817" s="12" t="s">
        <v>5726</v>
      </c>
      <c r="C817" s="12" t="s">
        <v>1735</v>
      </c>
      <c r="D817" s="12" t="s">
        <v>1505</v>
      </c>
      <c r="E817" s="12" t="s">
        <v>1477</v>
      </c>
      <c r="F817" s="12"/>
      <c r="G817" s="13">
        <v>46148</v>
      </c>
      <c r="H817" s="14">
        <f>15785.34/183.2</f>
        <v>86.164519650655023</v>
      </c>
      <c r="I817" s="14">
        <v>-9.76</v>
      </c>
      <c r="J817" s="8">
        <f>SUMIF(Journal!$A:$A,HeadJournal!$A817,Journal!$K:$K)+SUMIF(Journal!$A:$A,HeadJournal!$A817,Journal!$L:$L)+SUMIF(Journal!$A:$A,HeadJournal!$A817,Journal!$M:$M)</f>
        <v>183.20000000000005</v>
      </c>
      <c r="K817" s="14">
        <v>183.2</v>
      </c>
      <c r="L817" s="14"/>
      <c r="M817" s="8">
        <f>SUMIF(Journal!$A:$A,HeadJournal!$A817,Journal!$P:$P)</f>
        <v>15785.339999999997</v>
      </c>
      <c r="N817" s="8">
        <f>SUMIF(Journal!$A:$A,HeadJournal!$A817,Journal!Q:Q)</f>
        <v>0</v>
      </c>
      <c r="O817" s="18">
        <f>SUMIF(Journal!$A:$A,HeadJournal!$A817,Journal!U:U)</f>
        <v>-15785.339999999997</v>
      </c>
      <c r="P817" s="22" t="str">
        <f t="shared" si="84"/>
        <v/>
      </c>
      <c r="Q817" s="7" t="b">
        <f t="shared" si="87"/>
        <v>1</v>
      </c>
      <c r="R817" s="73">
        <f t="shared" si="85"/>
        <v>0</v>
      </c>
    </row>
    <row r="818" spans="1:18" x14ac:dyDescent="0.25">
      <c r="A818" s="192" t="s">
        <v>5732</v>
      </c>
      <c r="B818" s="12" t="s">
        <v>5733</v>
      </c>
      <c r="C818" s="12" t="s">
        <v>1737</v>
      </c>
      <c r="D818" s="12" t="s">
        <v>1505</v>
      </c>
      <c r="E818" s="12" t="s">
        <v>1477</v>
      </c>
      <c r="F818" s="12"/>
      <c r="G818" s="13">
        <v>46156</v>
      </c>
      <c r="H818" s="14">
        <f>15817.01/186.93</f>
        <v>84.614615096560215</v>
      </c>
      <c r="I818" s="14">
        <v>-9.9600000000000009</v>
      </c>
      <c r="J818" s="8">
        <f>SUMIF(Journal!$A:$A,HeadJournal!$A818,Journal!$K:$K)+SUMIF(Journal!$A:$A,HeadJournal!$A818,Journal!$L:$L)+SUMIF(Journal!$A:$A,HeadJournal!$A818,Journal!$M:$M)</f>
        <v>186.92999999999998</v>
      </c>
      <c r="K818" s="14">
        <v>186.93</v>
      </c>
      <c r="L818" s="14"/>
      <c r="M818" s="8">
        <f>SUMIF(Journal!$A:$A,HeadJournal!$A818,Journal!$P:$P)</f>
        <v>15817.010000000002</v>
      </c>
      <c r="N818" s="8">
        <f>SUMIF(Journal!$A:$A,HeadJournal!$A818,Journal!Q:Q)</f>
        <v>0</v>
      </c>
      <c r="O818" s="18">
        <f>SUMIF(Journal!$A:$A,HeadJournal!$A818,Journal!U:U)</f>
        <v>-15817.010000000002</v>
      </c>
      <c r="P818" s="22" t="str">
        <f t="shared" si="84"/>
        <v/>
      </c>
      <c r="Q818" s="7" t="b">
        <f t="shared" si="87"/>
        <v>1</v>
      </c>
      <c r="R818" s="73">
        <f t="shared" si="85"/>
        <v>0</v>
      </c>
    </row>
    <row r="819" spans="1:18" x14ac:dyDescent="0.25">
      <c r="A819" s="192" t="s">
        <v>5737</v>
      </c>
      <c r="B819" s="12" t="s">
        <v>5738</v>
      </c>
      <c r="C819" s="12" t="s">
        <v>1752</v>
      </c>
      <c r="D819" s="12" t="s">
        <v>1505</v>
      </c>
      <c r="E819" s="12" t="s">
        <v>1477</v>
      </c>
      <c r="F819" s="12"/>
      <c r="G819" s="13">
        <v>46155</v>
      </c>
      <c r="H819" s="14">
        <f>15296.59/178.46</f>
        <v>85.71438977922223</v>
      </c>
      <c r="I819" s="14">
        <v>-18.89</v>
      </c>
      <c r="J819" s="8">
        <f>SUMIF(Journal!$A:$A,HeadJournal!$A819,Journal!$K:$K)+SUMIF(Journal!$A:$A,HeadJournal!$A819,Journal!$L:$L)+SUMIF(Journal!$A:$A,HeadJournal!$A819,Journal!$M:$M)</f>
        <v>178.46000000000004</v>
      </c>
      <c r="K819" s="14">
        <v>178.46</v>
      </c>
      <c r="L819" s="14"/>
      <c r="M819" s="8">
        <f>SUMIF(Journal!$A:$A,HeadJournal!$A819,Journal!$P:$P)</f>
        <v>15296.589999999998</v>
      </c>
      <c r="N819" s="8">
        <f>SUMIF(Journal!$A:$A,HeadJournal!$A819,Journal!Q:Q)</f>
        <v>0</v>
      </c>
      <c r="O819" s="18">
        <f>SUMIF(Journal!$A:$A,HeadJournal!$A819,Journal!U:U)</f>
        <v>-15296.589999999998</v>
      </c>
      <c r="P819" s="22" t="str">
        <f t="shared" si="84"/>
        <v/>
      </c>
      <c r="Q819" s="7" t="b">
        <f t="shared" si="87"/>
        <v>1</v>
      </c>
      <c r="R819" s="73">
        <f t="shared" si="85"/>
        <v>0</v>
      </c>
    </row>
    <row r="820" spans="1:18" x14ac:dyDescent="0.25">
      <c r="A820" s="12" t="s">
        <v>5740</v>
      </c>
      <c r="B820" s="12"/>
      <c r="C820" s="12" t="s">
        <v>5739</v>
      </c>
      <c r="D820" s="12" t="s">
        <v>714</v>
      </c>
      <c r="E820" s="12" t="s">
        <v>1477</v>
      </c>
      <c r="F820" s="12"/>
      <c r="G820" s="13">
        <v>46129</v>
      </c>
      <c r="H820" s="14">
        <v>1</v>
      </c>
      <c r="I820" s="14">
        <v>0</v>
      </c>
      <c r="J820" s="8">
        <f>SUMIF(Journal!$A:$A,HeadJournal!$A820,Journal!$K:$K)+SUMIF(Journal!$A:$A,HeadJournal!$A820,Journal!$L:$L)+SUMIF(Journal!$A:$A,HeadJournal!$A820,Journal!$M:$M)</f>
        <v>4892</v>
      </c>
      <c r="K820" s="14">
        <v>4892</v>
      </c>
      <c r="L820" s="14">
        <v>0</v>
      </c>
      <c r="M820" s="8">
        <f>SUMIF(Journal!$A:$A,HeadJournal!$A820,Journal!$P:$P)</f>
        <v>4892</v>
      </c>
      <c r="N820" s="8">
        <f>SUMIF(Journal!$A:$A,HeadJournal!$A820,Journal!Q:Q)</f>
        <v>0</v>
      </c>
      <c r="O820" s="18">
        <f>SUMIF(Journal!$A:$A,HeadJournal!$A820,Journal!U:U)</f>
        <v>-4892</v>
      </c>
      <c r="P820" s="22" t="str">
        <f t="shared" si="84"/>
        <v/>
      </c>
      <c r="Q820" s="7" t="b">
        <f t="shared" si="87"/>
        <v>1</v>
      </c>
      <c r="R820" s="73">
        <f t="shared" si="85"/>
        <v>0</v>
      </c>
    </row>
    <row r="821" spans="1:18" x14ac:dyDescent="0.25">
      <c r="A821" s="12" t="s">
        <v>5741</v>
      </c>
      <c r="B821" s="12"/>
      <c r="C821" s="12" t="s">
        <v>1380</v>
      </c>
      <c r="D821" s="12" t="s">
        <v>714</v>
      </c>
      <c r="E821" s="12" t="s">
        <v>1477</v>
      </c>
      <c r="F821" s="12"/>
      <c r="G821" s="13">
        <v>46160</v>
      </c>
      <c r="H821" s="14">
        <v>1</v>
      </c>
      <c r="I821" s="14">
        <v>0</v>
      </c>
      <c r="J821" s="8">
        <f>SUMIF(Journal!$A:$A,HeadJournal!$A821,Journal!$K:$K)+SUMIF(Journal!$A:$A,HeadJournal!$A821,Journal!$L:$L)+SUMIF(Journal!$A:$A,HeadJournal!$A821,Journal!$M:$M)</f>
        <v>2643</v>
      </c>
      <c r="K821" s="14">
        <v>2643</v>
      </c>
      <c r="L821" s="14">
        <v>0</v>
      </c>
      <c r="M821" s="8">
        <f>SUMIF(Journal!$A:$A,HeadJournal!$A821,Journal!$P:$P)</f>
        <v>2643</v>
      </c>
      <c r="N821" s="8">
        <f>SUMIF(Journal!$A:$A,HeadJournal!$A821,Journal!Q:Q)</f>
        <v>3000</v>
      </c>
      <c r="O821" s="18">
        <f>SUMIF(Journal!$A:$A,HeadJournal!$A821,Journal!U:U)</f>
        <v>357</v>
      </c>
      <c r="P821" s="22">
        <f t="shared" si="84"/>
        <v>0.13507377979568672</v>
      </c>
      <c r="Q821" s="7" t="b">
        <f t="shared" si="87"/>
        <v>1</v>
      </c>
      <c r="R821" s="73">
        <f t="shared" si="85"/>
        <v>0</v>
      </c>
    </row>
    <row r="822" spans="1:18" x14ac:dyDescent="0.25">
      <c r="A822" s="12" t="s">
        <v>5742</v>
      </c>
      <c r="B822" s="12"/>
      <c r="C822" s="12" t="s">
        <v>1380</v>
      </c>
      <c r="D822" s="12" t="s">
        <v>714</v>
      </c>
      <c r="E822" s="12" t="s">
        <v>1477</v>
      </c>
      <c r="F822" s="12"/>
      <c r="G822" s="13">
        <v>46160</v>
      </c>
      <c r="H822" s="14">
        <v>1</v>
      </c>
      <c r="I822" s="14">
        <v>0</v>
      </c>
      <c r="J822" s="8">
        <f>SUMIF(Journal!$A:$A,HeadJournal!$A822,Journal!$K:$K)+SUMIF(Journal!$A:$A,HeadJournal!$A822,Journal!$L:$L)+SUMIF(Journal!$A:$A,HeadJournal!$A822,Journal!$M:$M)</f>
        <v>894</v>
      </c>
      <c r="K822" s="14">
        <v>894</v>
      </c>
      <c r="L822" s="14">
        <v>0</v>
      </c>
      <c r="M822" s="8">
        <f>SUMIF(Journal!$A:$A,HeadJournal!$A822,Journal!$P:$P)</f>
        <v>894</v>
      </c>
      <c r="N822" s="8">
        <f>SUMIF(Journal!$A:$A,HeadJournal!$A822,Journal!Q:Q)</f>
        <v>2000</v>
      </c>
      <c r="O822" s="18">
        <f>SUMIF(Journal!$A:$A,HeadJournal!$A822,Journal!U:U)</f>
        <v>1106</v>
      </c>
      <c r="P822" s="22">
        <f t="shared" si="84"/>
        <v>1.2371364653243848</v>
      </c>
      <c r="Q822" s="7" t="b">
        <f t="shared" si="87"/>
        <v>1</v>
      </c>
      <c r="R822" s="73">
        <f t="shared" si="85"/>
        <v>0</v>
      </c>
    </row>
    <row r="823" spans="1:18" x14ac:dyDescent="0.25">
      <c r="A823" s="12" t="s">
        <v>5743</v>
      </c>
      <c r="B823" s="12"/>
      <c r="C823" s="12" t="s">
        <v>1380</v>
      </c>
      <c r="D823" s="12" t="s">
        <v>714</v>
      </c>
      <c r="E823" s="12" t="s">
        <v>1477</v>
      </c>
      <c r="F823" s="12"/>
      <c r="G823" s="13">
        <v>46160</v>
      </c>
      <c r="H823" s="14">
        <v>1</v>
      </c>
      <c r="I823" s="14">
        <v>0</v>
      </c>
      <c r="J823" s="8">
        <f>SUMIF(Journal!$A:$A,HeadJournal!$A823,Journal!$K:$K)+SUMIF(Journal!$A:$A,HeadJournal!$A823,Journal!$L:$L)+SUMIF(Journal!$A:$A,HeadJournal!$A823,Journal!$M:$M)</f>
        <v>649</v>
      </c>
      <c r="K823" s="14">
        <v>649</v>
      </c>
      <c r="L823" s="14">
        <v>0</v>
      </c>
      <c r="M823" s="8">
        <f>SUMIF(Journal!$A:$A,HeadJournal!$A823,Journal!$P:$P)</f>
        <v>649</v>
      </c>
      <c r="N823" s="8">
        <f>SUMIF(Journal!$A:$A,HeadJournal!$A823,Journal!Q:Q)</f>
        <v>2000</v>
      </c>
      <c r="O823" s="18">
        <f>SUMIF(Journal!$A:$A,HeadJournal!$A823,Journal!U:U)</f>
        <v>1351</v>
      </c>
      <c r="P823" s="22">
        <f t="shared" si="84"/>
        <v>2.0816640986132513</v>
      </c>
      <c r="Q823" s="7" t="b">
        <f t="shared" si="87"/>
        <v>1</v>
      </c>
      <c r="R823" s="73">
        <f t="shared" si="85"/>
        <v>0</v>
      </c>
    </row>
    <row r="824" spans="1:18" x14ac:dyDescent="0.25">
      <c r="A824" s="12" t="s">
        <v>5744</v>
      </c>
      <c r="B824" s="12"/>
      <c r="C824" s="12" t="s">
        <v>1380</v>
      </c>
      <c r="D824" s="12" t="s">
        <v>714</v>
      </c>
      <c r="E824" s="12" t="s">
        <v>1477</v>
      </c>
      <c r="F824" s="12"/>
      <c r="G824" s="13">
        <v>46160</v>
      </c>
      <c r="H824" s="14">
        <v>1</v>
      </c>
      <c r="I824" s="14">
        <v>0</v>
      </c>
      <c r="J824" s="8">
        <f>SUMIF(Journal!$A:$A,HeadJournal!$A824,Journal!$K:$K)+SUMIF(Journal!$A:$A,HeadJournal!$A824,Journal!$L:$L)+SUMIF(Journal!$A:$A,HeadJournal!$A824,Journal!$M:$M)</f>
        <v>649</v>
      </c>
      <c r="K824" s="14">
        <v>649</v>
      </c>
      <c r="L824" s="14">
        <v>0</v>
      </c>
      <c r="M824" s="8">
        <f>SUMIF(Journal!$A:$A,HeadJournal!$A824,Journal!$P:$P)</f>
        <v>649</v>
      </c>
      <c r="N824" s="8">
        <f>SUMIF(Journal!$A:$A,HeadJournal!$A824,Journal!Q:Q)</f>
        <v>0</v>
      </c>
      <c r="O824" s="18">
        <f>SUMIF(Journal!$A:$A,HeadJournal!$A824,Journal!U:U)</f>
        <v>-649</v>
      </c>
      <c r="P824" s="22" t="str">
        <f t="shared" si="84"/>
        <v/>
      </c>
      <c r="Q824" s="7" t="b">
        <f t="shared" si="87"/>
        <v>1</v>
      </c>
      <c r="R824" s="73">
        <f t="shared" si="85"/>
        <v>0</v>
      </c>
    </row>
    <row r="825" spans="1:18" x14ac:dyDescent="0.25">
      <c r="A825" s="12" t="s">
        <v>5745</v>
      </c>
      <c r="B825" s="12"/>
      <c r="C825" s="12" t="s">
        <v>1380</v>
      </c>
      <c r="D825" s="12" t="s">
        <v>714</v>
      </c>
      <c r="E825" s="12" t="s">
        <v>1477</v>
      </c>
      <c r="F825" s="12"/>
      <c r="G825" s="13">
        <v>46166</v>
      </c>
      <c r="H825" s="14">
        <v>1</v>
      </c>
      <c r="I825" s="14">
        <v>0</v>
      </c>
      <c r="J825" s="8">
        <f>SUMIF(Journal!$A:$A,HeadJournal!$A825,Journal!$K:$K)+SUMIF(Journal!$A:$A,HeadJournal!$A825,Journal!$L:$L)+SUMIF(Journal!$A:$A,HeadJournal!$A825,Journal!$M:$M)</f>
        <v>1615</v>
      </c>
      <c r="K825" s="14">
        <v>1615</v>
      </c>
      <c r="L825" s="14">
        <v>0</v>
      </c>
      <c r="M825" s="8">
        <f>SUMIF(Journal!$A:$A,HeadJournal!$A825,Journal!$P:$P)</f>
        <v>1615</v>
      </c>
      <c r="N825" s="8">
        <f>SUMIF(Journal!$A:$A,HeadJournal!$A825,Journal!Q:Q)</f>
        <v>0</v>
      </c>
      <c r="O825" s="18">
        <f>SUMIF(Journal!$A:$A,HeadJournal!$A825,Journal!U:U)</f>
        <v>-1615</v>
      </c>
      <c r="P825" s="22" t="str">
        <f t="shared" si="84"/>
        <v/>
      </c>
      <c r="Q825" s="7" t="b">
        <f t="shared" si="87"/>
        <v>1</v>
      </c>
      <c r="R825" s="73">
        <f t="shared" si="85"/>
        <v>0</v>
      </c>
    </row>
    <row r="826" spans="1:18" x14ac:dyDescent="0.25">
      <c r="A826" s="12" t="s">
        <v>5755</v>
      </c>
      <c r="B826" s="12"/>
      <c r="C826" s="12" t="s">
        <v>1752</v>
      </c>
      <c r="D826" s="12" t="s">
        <v>1505</v>
      </c>
      <c r="E826" s="12" t="s">
        <v>1477</v>
      </c>
      <c r="F826" s="12"/>
      <c r="G826" s="13">
        <v>46161</v>
      </c>
      <c r="H826" s="14">
        <f>15512/185.27</f>
        <v>83.726453284395745</v>
      </c>
      <c r="I826" s="14">
        <v>-9.73</v>
      </c>
      <c r="J826" s="8">
        <f>SUMIF(Journal!$A:$A,HeadJournal!$A826,Journal!$K:$K)+SUMIF(Journal!$A:$A,HeadJournal!$A826,Journal!$L:$L)+SUMIF(Journal!$A:$A,HeadJournal!$A826,Journal!$M:$M)</f>
        <v>185.27000000000007</v>
      </c>
      <c r="K826" s="14">
        <v>185.27</v>
      </c>
      <c r="L826" s="14"/>
      <c r="M826" s="8">
        <f>SUMIF(Journal!$A:$A,HeadJournal!$A826,Journal!$P:$P)</f>
        <v>15511.999999999993</v>
      </c>
      <c r="N826" s="8">
        <f>SUMIF(Journal!$A:$A,HeadJournal!$A826,Journal!Q:Q)</f>
        <v>0</v>
      </c>
      <c r="O826" s="18">
        <f>SUMIF(Journal!$A:$A,HeadJournal!$A826,Journal!U:U)</f>
        <v>-15511.999999999993</v>
      </c>
      <c r="P826" s="22" t="str">
        <f t="shared" si="84"/>
        <v/>
      </c>
      <c r="Q826" s="7" t="b">
        <f t="shared" si="87"/>
        <v>1</v>
      </c>
      <c r="R826" s="73">
        <f t="shared" si="85"/>
        <v>0</v>
      </c>
    </row>
    <row r="827" spans="1:18" x14ac:dyDescent="0.25">
      <c r="A827" s="192" t="s">
        <v>5756</v>
      </c>
      <c r="B827" s="12"/>
      <c r="C827" s="12" t="s">
        <v>1751</v>
      </c>
      <c r="D827" s="12" t="s">
        <v>1505</v>
      </c>
      <c r="E827" s="12" t="s">
        <v>1477</v>
      </c>
      <c r="F827" s="12"/>
      <c r="G827" s="13">
        <v>46159</v>
      </c>
      <c r="H827" s="14">
        <f>15482.68/183.8</f>
        <v>84.236561479869422</v>
      </c>
      <c r="I827" s="14">
        <v>-10</v>
      </c>
      <c r="J827" s="8">
        <f>SUMIF(Journal!$A:$A,HeadJournal!$A827,Journal!$K:$K)+SUMIF(Journal!$A:$A,HeadJournal!$A827,Journal!$L:$L)+SUMIF(Journal!$A:$A,HeadJournal!$A827,Journal!$M:$M)</f>
        <v>183.79999999999998</v>
      </c>
      <c r="K827" s="14">
        <v>183.8</v>
      </c>
      <c r="L827" s="14"/>
      <c r="M827" s="8">
        <f>SUMIF(Journal!$A:$A,HeadJournal!$A827,Journal!$P:$P)</f>
        <v>15482.680000000004</v>
      </c>
      <c r="N827" s="8">
        <f>SUMIF(Journal!$A:$A,HeadJournal!$A827,Journal!Q:Q)</f>
        <v>0</v>
      </c>
      <c r="O827" s="18">
        <f>SUMIF(Journal!$A:$A,HeadJournal!$A827,Journal!U:U)</f>
        <v>-15482.680000000004</v>
      </c>
      <c r="P827" s="22" t="str">
        <f t="shared" si="84"/>
        <v/>
      </c>
      <c r="Q827" s="7" t="b">
        <f t="shared" si="87"/>
        <v>1</v>
      </c>
      <c r="R827" s="73">
        <f t="shared" si="85"/>
        <v>0</v>
      </c>
    </row>
    <row r="828" spans="1:18" x14ac:dyDescent="0.25">
      <c r="A828" s="192" t="s">
        <v>5765</v>
      </c>
      <c r="B828" s="12"/>
      <c r="C828" s="12" t="s">
        <v>1751</v>
      </c>
      <c r="D828" s="12" t="s">
        <v>1505</v>
      </c>
      <c r="E828" s="12" t="s">
        <v>1477</v>
      </c>
      <c r="F828" s="12"/>
      <c r="G828" s="13">
        <v>46167</v>
      </c>
      <c r="H828" s="14">
        <f>15268.07/186.56</f>
        <v>81.839997855917659</v>
      </c>
      <c r="I828" s="14">
        <f>-9.59</f>
        <v>-9.59</v>
      </c>
      <c r="J828" s="8">
        <f>SUMIF(Journal!$A:$A,HeadJournal!$A828,Journal!$K:$K)+SUMIF(Journal!$A:$A,HeadJournal!$A828,Journal!$L:$L)+SUMIF(Journal!$A:$A,HeadJournal!$A828,Journal!$M:$M)</f>
        <v>186.55999999999997</v>
      </c>
      <c r="K828" s="14">
        <v>186.56</v>
      </c>
      <c r="L828" s="14"/>
      <c r="M828" s="8">
        <f>SUMIF(Journal!$A:$A,HeadJournal!$A828,Journal!$P:$P)</f>
        <v>15268.069999999998</v>
      </c>
      <c r="N828" s="8">
        <f>SUMIF(Journal!$A:$A,HeadJournal!$A828,Journal!Q:Q)</f>
        <v>0</v>
      </c>
      <c r="O828" s="18">
        <f>SUMIF(Journal!$A:$A,HeadJournal!$A828,Journal!U:U)</f>
        <v>-15268.069999999998</v>
      </c>
      <c r="P828" s="22" t="str">
        <f t="shared" si="84"/>
        <v/>
      </c>
      <c r="Q828" s="7" t="b">
        <f t="shared" si="87"/>
        <v>1</v>
      </c>
      <c r="R828" s="73">
        <f t="shared" si="85"/>
        <v>0</v>
      </c>
    </row>
    <row r="829" spans="1:18" x14ac:dyDescent="0.25">
      <c r="A829" s="192" t="s">
        <v>5770</v>
      </c>
      <c r="B829" s="12"/>
      <c r="C829" s="12" t="s">
        <v>1735</v>
      </c>
      <c r="D829" s="12" t="s">
        <v>1505</v>
      </c>
      <c r="E829" s="12" t="s">
        <v>1477</v>
      </c>
      <c r="F829" s="12"/>
      <c r="G829" s="13">
        <v>46170</v>
      </c>
      <c r="H829" s="14">
        <f>15253.61/186.37</f>
        <v>81.845844288243811</v>
      </c>
      <c r="I829" s="14">
        <f>-9.82</f>
        <v>-9.82</v>
      </c>
      <c r="J829" s="8">
        <f>SUMIF(Journal!$A:$A,HeadJournal!$A829,Journal!$K:$K)+SUMIF(Journal!$A:$A,HeadJournal!$A829,Journal!$L:$L)+SUMIF(Journal!$A:$A,HeadJournal!$A829,Journal!$M:$M)</f>
        <v>186.37</v>
      </c>
      <c r="K829" s="14">
        <v>186.37</v>
      </c>
      <c r="L829" s="14"/>
      <c r="M829" s="8">
        <f>SUMIF(Journal!$A:$A,HeadJournal!$A829,Journal!$P:$P)</f>
        <v>15253.609999999997</v>
      </c>
      <c r="N829" s="8">
        <f>SUMIF(Journal!$A:$A,HeadJournal!$A829,Journal!Q:Q)</f>
        <v>0</v>
      </c>
      <c r="O829" s="18">
        <f>SUMIF(Journal!$A:$A,HeadJournal!$A829,Journal!U:U)</f>
        <v>-15253.609999999997</v>
      </c>
      <c r="P829" s="22" t="str">
        <f t="shared" si="84"/>
        <v/>
      </c>
      <c r="Q829" s="7" t="b">
        <f t="shared" si="87"/>
        <v>1</v>
      </c>
      <c r="R829" s="73">
        <f t="shared" si="85"/>
        <v>0</v>
      </c>
    </row>
    <row r="830" spans="1:18" x14ac:dyDescent="0.25">
      <c r="A830" s="192" t="s">
        <v>5776</v>
      </c>
      <c r="B830" s="12"/>
      <c r="C830" s="12" t="s">
        <v>1737</v>
      </c>
      <c r="D830" s="12" t="s">
        <v>1505</v>
      </c>
      <c r="E830" s="12" t="s">
        <v>1477</v>
      </c>
      <c r="F830" s="12"/>
      <c r="G830" s="13">
        <v>46171</v>
      </c>
      <c r="H830" s="14">
        <f>14566.57/177.92</f>
        <v>81.871459082733821</v>
      </c>
      <c r="I830" s="14">
        <v>-9.8800000000000008</v>
      </c>
      <c r="J830" s="8">
        <f>SUMIF(Journal!$A:$A,HeadJournal!$A830,Journal!$K:$K)+SUMIF(Journal!$A:$A,HeadJournal!$A830,Journal!$L:$L)+SUMIF(Journal!$A:$A,HeadJournal!$A830,Journal!$M:$M)</f>
        <v>177.92000000000004</v>
      </c>
      <c r="K830" s="14">
        <v>177.92</v>
      </c>
      <c r="L830" s="14"/>
      <c r="M830" s="8">
        <f>SUMIF(Journal!$A:$A,HeadJournal!$A830,Journal!$P:$P)</f>
        <v>14566.57</v>
      </c>
      <c r="N830" s="8">
        <f>SUMIF(Journal!$A:$A,HeadJournal!$A830,Journal!Q:Q)</f>
        <v>0</v>
      </c>
      <c r="O830" s="18">
        <f>SUMIF(Journal!$A:$A,HeadJournal!$A830,Journal!U:U)</f>
        <v>-14566.57</v>
      </c>
      <c r="P830" s="22" t="str">
        <f t="shared" si="84"/>
        <v/>
      </c>
      <c r="Q830" s="7" t="b">
        <f t="shared" si="87"/>
        <v>1</v>
      </c>
      <c r="R830" s="73">
        <f t="shared" si="85"/>
        <v>0</v>
      </c>
    </row>
    <row r="831" spans="1:18" x14ac:dyDescent="0.25">
      <c r="A831" s="12" t="s">
        <v>5777</v>
      </c>
      <c r="B831" s="12"/>
      <c r="C831" s="12" t="s">
        <v>1380</v>
      </c>
      <c r="D831" s="12" t="s">
        <v>714</v>
      </c>
      <c r="E831" s="12" t="s">
        <v>1477</v>
      </c>
      <c r="F831" s="12"/>
      <c r="G831" s="13">
        <v>46174</v>
      </c>
      <c r="H831" s="14">
        <v>1</v>
      </c>
      <c r="I831" s="14">
        <v>0</v>
      </c>
      <c r="J831" s="8">
        <f>SUMIF(Journal!$A:$A,HeadJournal!$A831,Journal!$K:$K)+SUMIF(Journal!$A:$A,HeadJournal!$A831,Journal!$L:$L)+SUMIF(Journal!$A:$A,HeadJournal!$A831,Journal!$M:$M)</f>
        <v>742.05</v>
      </c>
      <c r="K831" s="14">
        <v>742.05</v>
      </c>
      <c r="L831" s="14">
        <v>0</v>
      </c>
      <c r="M831" s="8">
        <f>SUMIF(Journal!$A:$A,HeadJournal!$A831,Journal!$P:$P)</f>
        <v>742.05</v>
      </c>
      <c r="N831" s="8">
        <f>SUMIF(Journal!$A:$A,HeadJournal!$A831,Journal!Q:Q)</f>
        <v>0</v>
      </c>
      <c r="O831" s="18">
        <f>SUMIF(Journal!$A:$A,HeadJournal!$A831,Journal!U:U)</f>
        <v>-742.05</v>
      </c>
      <c r="P831" s="22" t="str">
        <f t="shared" si="84"/>
        <v/>
      </c>
      <c r="Q831" s="7" t="b">
        <f t="shared" si="87"/>
        <v>1</v>
      </c>
      <c r="R831" s="73">
        <f t="shared" si="85"/>
        <v>0</v>
      </c>
    </row>
    <row r="832" spans="1:18" x14ac:dyDescent="0.25">
      <c r="A832" s="12" t="s">
        <v>5778</v>
      </c>
      <c r="B832" s="12"/>
      <c r="C832" s="12" t="s">
        <v>1380</v>
      </c>
      <c r="D832" s="12" t="s">
        <v>714</v>
      </c>
      <c r="E832" s="12" t="s">
        <v>1477</v>
      </c>
      <c r="F832" s="12"/>
      <c r="G832" s="13">
        <v>46180</v>
      </c>
      <c r="H832" s="14">
        <v>1</v>
      </c>
      <c r="I832" s="14">
        <v>0</v>
      </c>
      <c r="J832" s="8">
        <f>SUMIF(Journal!$A:$A,HeadJournal!$A832,Journal!$K:$K)+SUMIF(Journal!$A:$A,HeadJournal!$A832,Journal!$L:$L)+SUMIF(Journal!$A:$A,HeadJournal!$A832,Journal!$M:$M)</f>
        <v>772</v>
      </c>
      <c r="K832" s="14">
        <v>772</v>
      </c>
      <c r="L832" s="14">
        <v>0</v>
      </c>
      <c r="M832" s="8">
        <f>SUMIF(Journal!$A:$A,HeadJournal!$A832,Journal!$P:$P)</f>
        <v>772</v>
      </c>
      <c r="N832" s="8">
        <f>SUMIF(Journal!$A:$A,HeadJournal!$A832,Journal!Q:Q)</f>
        <v>0</v>
      </c>
      <c r="O832" s="18">
        <f>SUMIF(Journal!$A:$A,HeadJournal!$A832,Journal!U:U)</f>
        <v>-772</v>
      </c>
      <c r="P832" s="22" t="str">
        <f t="shared" si="84"/>
        <v/>
      </c>
      <c r="Q832" s="7" t="b">
        <f t="shared" si="87"/>
        <v>1</v>
      </c>
      <c r="R832" s="73">
        <f t="shared" si="85"/>
        <v>0</v>
      </c>
    </row>
    <row r="833" spans="1:18" x14ac:dyDescent="0.25">
      <c r="A833" s="12"/>
      <c r="B833" s="12"/>
      <c r="C833" s="12"/>
      <c r="D833" s="12"/>
      <c r="E833" s="12"/>
      <c r="F833" s="12"/>
      <c r="G833" s="13"/>
      <c r="H833" s="14"/>
      <c r="I833" s="14"/>
      <c r="J833" s="8">
        <f>SUMIF(Journal!$A:$A,HeadJournal!$A833,Journal!$K:$K)+SUMIF(Journal!$A:$A,HeadJournal!$A833,Journal!$L:$L)+SUMIF(Journal!$A:$A,HeadJournal!$A833,Journal!$M:$M)</f>
        <v>0</v>
      </c>
      <c r="K833" s="14"/>
      <c r="L833" s="14"/>
      <c r="M833" s="8">
        <f>SUMIF(Journal!$A:$A,HeadJournal!$A833,Journal!$P:$P)</f>
        <v>0</v>
      </c>
      <c r="N833" s="8">
        <f>SUMIF(Journal!$A:$A,HeadJournal!$A833,Journal!Q:Q)</f>
        <v>0</v>
      </c>
      <c r="O833" s="18">
        <f>SUMIF(Journal!$A:$A,HeadJournal!$A833,Journal!U:U)</f>
        <v>0</v>
      </c>
      <c r="P833" s="22" t="str">
        <f t="shared" si="84"/>
        <v/>
      </c>
      <c r="Q833" s="7" t="b">
        <f t="shared" si="87"/>
        <v>1</v>
      </c>
      <c r="R833" s="73" t="e">
        <f t="shared" si="85"/>
        <v>#DIV/0!</v>
      </c>
    </row>
    <row r="834" spans="1:18" x14ac:dyDescent="0.25">
      <c r="A834" s="12"/>
      <c r="B834" s="12"/>
      <c r="C834" s="12"/>
      <c r="D834" s="12"/>
      <c r="E834" s="12"/>
      <c r="F834" s="12"/>
      <c r="G834" s="13"/>
      <c r="H834" s="14"/>
      <c r="I834" s="14"/>
      <c r="J834" s="8">
        <f>SUMIF(Journal!$A:$A,HeadJournal!$A834,Journal!$K:$K)+SUMIF(Journal!$A:$A,HeadJournal!$A834,Journal!$L:$L)+SUMIF(Journal!$A:$A,HeadJournal!$A834,Journal!$M:$M)</f>
        <v>0</v>
      </c>
      <c r="K834" s="14"/>
      <c r="L834" s="14"/>
      <c r="M834" s="8">
        <f>SUMIF(Journal!$A:$A,HeadJournal!$A834,Journal!$P:$P)</f>
        <v>0</v>
      </c>
      <c r="N834" s="8">
        <f>SUMIF(Journal!$A:$A,HeadJournal!$A834,Journal!Q:Q)</f>
        <v>0</v>
      </c>
      <c r="O834" s="18">
        <f>SUMIF(Journal!$A:$A,HeadJournal!$A834,Journal!U:U)</f>
        <v>0</v>
      </c>
      <c r="P834" s="22" t="str">
        <f t="shared" si="84"/>
        <v/>
      </c>
      <c r="Q834" s="7" t="b">
        <f t="shared" ref="Q834:Q865" si="89">J834=K834</f>
        <v>1</v>
      </c>
      <c r="R834" s="73" t="e">
        <f t="shared" si="85"/>
        <v>#DIV/0!</v>
      </c>
    </row>
    <row r="835" spans="1:18" x14ac:dyDescent="0.25">
      <c r="A835" s="12"/>
      <c r="B835" s="12"/>
      <c r="C835" s="12"/>
      <c r="D835" s="12"/>
      <c r="E835" s="12"/>
      <c r="F835" s="12"/>
      <c r="G835" s="13"/>
      <c r="H835" s="14"/>
      <c r="I835" s="14"/>
      <c r="J835" s="8">
        <f>SUMIF(Journal!$A:$A,HeadJournal!$A835,Journal!$K:$K)+SUMIF(Journal!$A:$A,HeadJournal!$A835,Journal!$L:$L)+SUMIF(Journal!$A:$A,HeadJournal!$A835,Journal!$M:$M)</f>
        <v>0</v>
      </c>
      <c r="K835" s="14"/>
      <c r="L835" s="14"/>
      <c r="M835" s="8">
        <f>SUMIF(Journal!$A:$A,HeadJournal!$A835,Journal!$P:$P)</f>
        <v>0</v>
      </c>
      <c r="N835" s="8">
        <f>SUMIF(Journal!$A:$A,HeadJournal!$A835,Journal!Q:Q)</f>
        <v>0</v>
      </c>
      <c r="O835" s="18">
        <f>SUMIF(Journal!$A:$A,HeadJournal!$A835,Journal!U:U)</f>
        <v>0</v>
      </c>
      <c r="P835" s="22" t="str">
        <f t="shared" ref="P835:P889" si="90">IF(N835&lt;&gt;0,IFERROR(O835/M835,""),"")</f>
        <v/>
      </c>
      <c r="Q835" s="7" t="b">
        <f t="shared" si="89"/>
        <v>1</v>
      </c>
      <c r="R835" s="73" t="e">
        <f t="shared" ref="R835:R889" si="91">L835/M835</f>
        <v>#DIV/0!</v>
      </c>
    </row>
    <row r="836" spans="1:18" x14ac:dyDescent="0.25">
      <c r="A836" s="12"/>
      <c r="B836" s="12"/>
      <c r="C836" s="12"/>
      <c r="D836" s="12"/>
      <c r="E836" s="12"/>
      <c r="F836" s="12"/>
      <c r="G836" s="13"/>
      <c r="H836" s="14"/>
      <c r="I836" s="14"/>
      <c r="J836" s="8">
        <f>SUMIF(Journal!$A:$A,HeadJournal!$A836,Journal!$K:$K)+SUMIF(Journal!$A:$A,HeadJournal!$A836,Journal!$L:$L)+SUMIF(Journal!$A:$A,HeadJournal!$A836,Journal!$M:$M)</f>
        <v>0</v>
      </c>
      <c r="K836" s="14"/>
      <c r="L836" s="14"/>
      <c r="M836" s="8">
        <f>SUMIF(Journal!$A:$A,HeadJournal!$A836,Journal!$P:$P)</f>
        <v>0</v>
      </c>
      <c r="N836" s="8">
        <f>SUMIF(Journal!$A:$A,HeadJournal!$A836,Journal!Q:Q)</f>
        <v>0</v>
      </c>
      <c r="O836" s="18">
        <f>SUMIF(Journal!$A:$A,HeadJournal!$A836,Journal!U:U)</f>
        <v>0</v>
      </c>
      <c r="P836" s="22" t="str">
        <f t="shared" si="90"/>
        <v/>
      </c>
      <c r="Q836" s="7" t="b">
        <f t="shared" si="89"/>
        <v>1</v>
      </c>
      <c r="R836" s="73" t="e">
        <f t="shared" si="91"/>
        <v>#DIV/0!</v>
      </c>
    </row>
    <row r="837" spans="1:18" x14ac:dyDescent="0.25">
      <c r="A837" s="12"/>
      <c r="B837" s="12"/>
      <c r="C837" s="12"/>
      <c r="D837" s="12"/>
      <c r="E837" s="12"/>
      <c r="F837" s="12"/>
      <c r="G837" s="13"/>
      <c r="H837" s="14"/>
      <c r="I837" s="14"/>
      <c r="J837" s="8">
        <f>SUMIF(Journal!$A:$A,HeadJournal!$A837,Journal!$K:$K)+SUMIF(Journal!$A:$A,HeadJournal!$A837,Journal!$L:$L)+SUMIF(Journal!$A:$A,HeadJournal!$A837,Journal!$M:$M)</f>
        <v>0</v>
      </c>
      <c r="K837" s="14"/>
      <c r="L837" s="14"/>
      <c r="M837" s="8">
        <f>SUMIF(Journal!$A:$A,HeadJournal!$A837,Journal!$P:$P)</f>
        <v>0</v>
      </c>
      <c r="N837" s="8">
        <f>SUMIF(Journal!$A:$A,HeadJournal!$A837,Journal!Q:Q)</f>
        <v>0</v>
      </c>
      <c r="O837" s="18">
        <f>SUMIF(Journal!$A:$A,HeadJournal!$A837,Journal!U:U)</f>
        <v>0</v>
      </c>
      <c r="P837" s="22" t="str">
        <f t="shared" si="90"/>
        <v/>
      </c>
      <c r="Q837" s="7" t="b">
        <f t="shared" si="89"/>
        <v>1</v>
      </c>
      <c r="R837" s="73" t="e">
        <f t="shared" si="91"/>
        <v>#DIV/0!</v>
      </c>
    </row>
    <row r="838" spans="1:18" x14ac:dyDescent="0.25">
      <c r="A838" s="12"/>
      <c r="B838" s="12"/>
      <c r="C838" s="12"/>
      <c r="D838" s="12"/>
      <c r="E838" s="12"/>
      <c r="F838" s="12"/>
      <c r="G838" s="13"/>
      <c r="H838" s="14"/>
      <c r="I838" s="14"/>
      <c r="J838" s="8">
        <f>SUMIF(Journal!$A:$A,HeadJournal!$A838,Journal!$K:$K)+SUMIF(Journal!$A:$A,HeadJournal!$A838,Journal!$L:$L)+SUMIF(Journal!$A:$A,HeadJournal!$A838,Journal!$M:$M)</f>
        <v>0</v>
      </c>
      <c r="K838" s="14"/>
      <c r="L838" s="14"/>
      <c r="M838" s="8">
        <f>SUMIF(Journal!$A:$A,HeadJournal!$A838,Journal!$P:$P)</f>
        <v>0</v>
      </c>
      <c r="N838" s="8">
        <f>SUMIF(Journal!$A:$A,HeadJournal!$A838,Journal!Q:Q)</f>
        <v>0</v>
      </c>
      <c r="O838" s="18">
        <f>SUMIF(Journal!$A:$A,HeadJournal!$A838,Journal!U:U)</f>
        <v>0</v>
      </c>
      <c r="P838" s="22" t="str">
        <f t="shared" si="90"/>
        <v/>
      </c>
      <c r="Q838" s="7" t="b">
        <f t="shared" si="89"/>
        <v>1</v>
      </c>
      <c r="R838" s="73" t="e">
        <f t="shared" si="91"/>
        <v>#DIV/0!</v>
      </c>
    </row>
    <row r="839" spans="1:18" x14ac:dyDescent="0.25">
      <c r="A839" s="12"/>
      <c r="B839" s="12"/>
      <c r="C839" s="12"/>
      <c r="D839" s="12"/>
      <c r="E839" s="12"/>
      <c r="F839" s="12"/>
      <c r="G839" s="13"/>
      <c r="H839" s="14"/>
      <c r="I839" s="14"/>
      <c r="J839" s="8">
        <f>SUMIF(Journal!$A:$A,HeadJournal!$A839,Journal!$K:$K)+SUMIF(Journal!$A:$A,HeadJournal!$A839,Journal!$L:$L)+SUMIF(Journal!$A:$A,HeadJournal!$A839,Journal!$M:$M)</f>
        <v>0</v>
      </c>
      <c r="K839" s="14"/>
      <c r="L839" s="14"/>
      <c r="M839" s="8">
        <f>SUMIF(Journal!$A:$A,HeadJournal!$A839,Journal!$P:$P)</f>
        <v>0</v>
      </c>
      <c r="N839" s="8">
        <f>SUMIF(Journal!$A:$A,HeadJournal!$A839,Journal!Q:Q)</f>
        <v>0</v>
      </c>
      <c r="O839" s="18">
        <f>SUMIF(Journal!$A:$A,HeadJournal!$A839,Journal!U:U)</f>
        <v>0</v>
      </c>
      <c r="P839" s="22" t="str">
        <f t="shared" si="90"/>
        <v/>
      </c>
      <c r="Q839" s="7" t="b">
        <f t="shared" si="89"/>
        <v>1</v>
      </c>
      <c r="R839" s="73" t="e">
        <f t="shared" si="91"/>
        <v>#DIV/0!</v>
      </c>
    </row>
    <row r="840" spans="1:18" x14ac:dyDescent="0.25">
      <c r="A840" s="12"/>
      <c r="B840" s="12"/>
      <c r="C840" s="12"/>
      <c r="D840" s="12"/>
      <c r="E840" s="12"/>
      <c r="F840" s="12"/>
      <c r="G840" s="13"/>
      <c r="H840" s="14"/>
      <c r="I840" s="14"/>
      <c r="J840" s="8">
        <f>SUMIF(Journal!$A:$A,HeadJournal!$A840,Journal!$K:$K)+SUMIF(Journal!$A:$A,HeadJournal!$A840,Journal!$L:$L)+SUMIF(Journal!$A:$A,HeadJournal!$A840,Journal!$M:$M)</f>
        <v>0</v>
      </c>
      <c r="K840" s="14"/>
      <c r="L840" s="14"/>
      <c r="M840" s="8">
        <f>SUMIF(Journal!$A:$A,HeadJournal!$A840,Journal!$P:$P)</f>
        <v>0</v>
      </c>
      <c r="N840" s="8">
        <f>SUMIF(Journal!$A:$A,HeadJournal!$A840,Journal!Q:Q)</f>
        <v>0</v>
      </c>
      <c r="O840" s="18">
        <f>SUMIF(Journal!$A:$A,HeadJournal!$A840,Journal!U:U)</f>
        <v>0</v>
      </c>
      <c r="P840" s="22" t="str">
        <f t="shared" si="90"/>
        <v/>
      </c>
      <c r="Q840" s="7" t="b">
        <f t="shared" si="89"/>
        <v>1</v>
      </c>
      <c r="R840" s="73" t="e">
        <f t="shared" si="91"/>
        <v>#DIV/0!</v>
      </c>
    </row>
    <row r="841" spans="1:18" x14ac:dyDescent="0.25">
      <c r="A841" s="12"/>
      <c r="B841" s="12"/>
      <c r="C841" s="12"/>
      <c r="D841" s="12"/>
      <c r="E841" s="12"/>
      <c r="F841" s="12"/>
      <c r="G841" s="13"/>
      <c r="H841" s="14"/>
      <c r="I841" s="14"/>
      <c r="J841" s="8">
        <f>SUMIF(Journal!$A:$A,HeadJournal!$A841,Journal!$K:$K)+SUMIF(Journal!$A:$A,HeadJournal!$A841,Journal!$L:$L)+SUMIF(Journal!$A:$A,HeadJournal!$A841,Journal!$M:$M)</f>
        <v>0</v>
      </c>
      <c r="K841" s="14"/>
      <c r="L841" s="14"/>
      <c r="M841" s="8">
        <f>SUMIF(Journal!$A:$A,HeadJournal!$A841,Journal!$P:$P)</f>
        <v>0</v>
      </c>
      <c r="N841" s="8">
        <f>SUMIF(Journal!$A:$A,HeadJournal!$A841,Journal!Q:Q)</f>
        <v>0</v>
      </c>
      <c r="O841" s="18">
        <f>SUMIF(Journal!$A:$A,HeadJournal!$A841,Journal!U:U)</f>
        <v>0</v>
      </c>
      <c r="P841" s="22" t="str">
        <f t="shared" si="90"/>
        <v/>
      </c>
      <c r="Q841" s="7" t="b">
        <f t="shared" si="89"/>
        <v>1</v>
      </c>
      <c r="R841" s="73" t="e">
        <f t="shared" si="91"/>
        <v>#DIV/0!</v>
      </c>
    </row>
    <row r="842" spans="1:18" x14ac:dyDescent="0.25">
      <c r="A842" s="12"/>
      <c r="B842" s="12"/>
      <c r="C842" s="12"/>
      <c r="D842" s="12"/>
      <c r="E842" s="12"/>
      <c r="F842" s="12"/>
      <c r="G842" s="13"/>
      <c r="H842" s="14"/>
      <c r="I842" s="14"/>
      <c r="J842" s="8">
        <f>SUMIF(Journal!$A:$A,HeadJournal!$A842,Journal!$K:$K)+SUMIF(Journal!$A:$A,HeadJournal!$A842,Journal!$L:$L)+SUMIF(Journal!$A:$A,HeadJournal!$A842,Journal!$M:$M)</f>
        <v>0</v>
      </c>
      <c r="K842" s="14"/>
      <c r="L842" s="14"/>
      <c r="M842" s="8">
        <f>SUMIF(Journal!$A:$A,HeadJournal!$A842,Journal!$P:$P)</f>
        <v>0</v>
      </c>
      <c r="N842" s="8">
        <f>SUMIF(Journal!$A:$A,HeadJournal!$A842,Journal!Q:Q)</f>
        <v>0</v>
      </c>
      <c r="O842" s="18">
        <f>SUMIF(Journal!$A:$A,HeadJournal!$A842,Journal!U:U)</f>
        <v>0</v>
      </c>
      <c r="P842" s="22" t="str">
        <f t="shared" si="90"/>
        <v/>
      </c>
      <c r="Q842" s="7" t="b">
        <f t="shared" si="89"/>
        <v>1</v>
      </c>
      <c r="R842" s="73" t="e">
        <f t="shared" si="91"/>
        <v>#DIV/0!</v>
      </c>
    </row>
    <row r="843" spans="1:18" x14ac:dyDescent="0.25">
      <c r="A843" s="12"/>
      <c r="B843" s="12"/>
      <c r="C843" s="12"/>
      <c r="D843" s="12"/>
      <c r="E843" s="12"/>
      <c r="F843" s="12"/>
      <c r="G843" s="13"/>
      <c r="H843" s="14"/>
      <c r="I843" s="14"/>
      <c r="J843" s="8">
        <f>SUMIF(Journal!$A:$A,HeadJournal!$A843,Journal!$K:$K)+SUMIF(Journal!$A:$A,HeadJournal!$A843,Journal!$L:$L)+SUMIF(Journal!$A:$A,HeadJournal!$A843,Journal!$M:$M)</f>
        <v>0</v>
      </c>
      <c r="K843" s="14"/>
      <c r="L843" s="14"/>
      <c r="M843" s="8">
        <f>SUMIF(Journal!$A:$A,HeadJournal!$A843,Journal!$P:$P)</f>
        <v>0</v>
      </c>
      <c r="N843" s="8">
        <f>SUMIF(Journal!$A:$A,HeadJournal!$A843,Journal!Q:Q)</f>
        <v>0</v>
      </c>
      <c r="O843" s="18">
        <f>SUMIF(Journal!$A:$A,HeadJournal!$A843,Journal!U:U)</f>
        <v>0</v>
      </c>
      <c r="P843" s="22" t="str">
        <f t="shared" si="90"/>
        <v/>
      </c>
      <c r="Q843" s="7" t="b">
        <f t="shared" si="89"/>
        <v>1</v>
      </c>
      <c r="R843" s="73" t="e">
        <f t="shared" si="91"/>
        <v>#DIV/0!</v>
      </c>
    </row>
    <row r="844" spans="1:18" x14ac:dyDescent="0.25">
      <c r="A844" s="12"/>
      <c r="B844" s="12"/>
      <c r="C844" s="12"/>
      <c r="D844" s="12"/>
      <c r="E844" s="12"/>
      <c r="F844" s="12"/>
      <c r="G844" s="13"/>
      <c r="H844" s="14"/>
      <c r="I844" s="14"/>
      <c r="J844" s="8">
        <f>SUMIF(Journal!$A:$A,HeadJournal!$A844,Journal!$K:$K)+SUMIF(Journal!$A:$A,HeadJournal!$A844,Journal!$L:$L)+SUMIF(Journal!$A:$A,HeadJournal!$A844,Journal!$M:$M)</f>
        <v>0</v>
      </c>
      <c r="K844" s="14"/>
      <c r="L844" s="14"/>
      <c r="M844" s="8">
        <f>SUMIF(Journal!$A:$A,HeadJournal!$A844,Journal!$P:$P)</f>
        <v>0</v>
      </c>
      <c r="N844" s="8">
        <f>SUMIF(Journal!$A:$A,HeadJournal!$A844,Journal!Q:Q)</f>
        <v>0</v>
      </c>
      <c r="O844" s="18">
        <f>SUMIF(Journal!$A:$A,HeadJournal!$A844,Journal!U:U)</f>
        <v>0</v>
      </c>
      <c r="P844" s="22" t="str">
        <f t="shared" si="90"/>
        <v/>
      </c>
      <c r="Q844" s="7" t="b">
        <f t="shared" si="89"/>
        <v>1</v>
      </c>
      <c r="R844" s="73" t="e">
        <f t="shared" si="91"/>
        <v>#DIV/0!</v>
      </c>
    </row>
    <row r="845" spans="1:18" x14ac:dyDescent="0.25">
      <c r="A845" s="12"/>
      <c r="B845" s="12"/>
      <c r="C845" s="12"/>
      <c r="D845" s="12"/>
      <c r="E845" s="12"/>
      <c r="F845" s="12"/>
      <c r="G845" s="13"/>
      <c r="H845" s="14"/>
      <c r="I845" s="14"/>
      <c r="J845" s="8">
        <f>SUMIF(Journal!$A:$A,HeadJournal!$A845,Journal!$K:$K)+SUMIF(Journal!$A:$A,HeadJournal!$A845,Journal!$L:$L)+SUMIF(Journal!$A:$A,HeadJournal!$A845,Journal!$M:$M)</f>
        <v>0</v>
      </c>
      <c r="K845" s="14"/>
      <c r="L845" s="14"/>
      <c r="M845" s="8">
        <f>SUMIF(Journal!$A:$A,HeadJournal!$A845,Journal!$P:$P)</f>
        <v>0</v>
      </c>
      <c r="N845" s="8">
        <f>SUMIF(Journal!$A:$A,HeadJournal!$A845,Journal!Q:Q)</f>
        <v>0</v>
      </c>
      <c r="O845" s="18">
        <f>SUMIF(Journal!$A:$A,HeadJournal!$A845,Journal!U:U)</f>
        <v>0</v>
      </c>
      <c r="P845" s="22" t="str">
        <f t="shared" si="90"/>
        <v/>
      </c>
      <c r="Q845" s="7" t="b">
        <f t="shared" si="89"/>
        <v>1</v>
      </c>
      <c r="R845" s="73" t="e">
        <f t="shared" si="91"/>
        <v>#DIV/0!</v>
      </c>
    </row>
    <row r="846" spans="1:18" x14ac:dyDescent="0.25">
      <c r="A846" s="12"/>
      <c r="B846" s="12"/>
      <c r="C846" s="12"/>
      <c r="D846" s="12"/>
      <c r="E846" s="12"/>
      <c r="F846" s="12"/>
      <c r="G846" s="13"/>
      <c r="H846" s="14"/>
      <c r="I846" s="14"/>
      <c r="J846" s="8">
        <f>SUMIF(Journal!$A:$A,HeadJournal!$A846,Journal!$K:$K)+SUMIF(Journal!$A:$A,HeadJournal!$A846,Journal!$L:$L)+SUMIF(Journal!$A:$A,HeadJournal!$A846,Journal!$M:$M)</f>
        <v>0</v>
      </c>
      <c r="K846" s="14"/>
      <c r="L846" s="14"/>
      <c r="M846" s="8">
        <f>SUMIF(Journal!$A:$A,HeadJournal!$A846,Journal!$P:$P)</f>
        <v>0</v>
      </c>
      <c r="N846" s="8">
        <f>SUMIF(Journal!$A:$A,HeadJournal!$A846,Journal!Q:Q)</f>
        <v>0</v>
      </c>
      <c r="O846" s="18">
        <f>SUMIF(Journal!$A:$A,HeadJournal!$A846,Journal!U:U)</f>
        <v>0</v>
      </c>
      <c r="P846" s="22" t="str">
        <f t="shared" si="90"/>
        <v/>
      </c>
      <c r="Q846" s="7" t="b">
        <f t="shared" si="89"/>
        <v>1</v>
      </c>
      <c r="R846" s="73" t="e">
        <f t="shared" si="91"/>
        <v>#DIV/0!</v>
      </c>
    </row>
    <row r="847" spans="1:18" x14ac:dyDescent="0.25">
      <c r="A847" s="12"/>
      <c r="B847" s="12"/>
      <c r="C847" s="12"/>
      <c r="D847" s="12"/>
      <c r="E847" s="12"/>
      <c r="F847" s="12"/>
      <c r="G847" s="13"/>
      <c r="H847" s="14"/>
      <c r="I847" s="14"/>
      <c r="J847" s="8">
        <f>SUMIF(Journal!$A:$A,HeadJournal!$A847,Journal!$K:$K)+SUMIF(Journal!$A:$A,HeadJournal!$A847,Journal!$L:$L)+SUMIF(Journal!$A:$A,HeadJournal!$A847,Journal!$M:$M)</f>
        <v>0</v>
      </c>
      <c r="K847" s="14"/>
      <c r="L847" s="14"/>
      <c r="M847" s="8">
        <f>SUMIF(Journal!$A:$A,HeadJournal!$A847,Journal!$P:$P)</f>
        <v>0</v>
      </c>
      <c r="N847" s="8">
        <f>SUMIF(Journal!$A:$A,HeadJournal!$A847,Journal!Q:Q)</f>
        <v>0</v>
      </c>
      <c r="O847" s="18">
        <f>SUMIF(Journal!$A:$A,HeadJournal!$A847,Journal!U:U)</f>
        <v>0</v>
      </c>
      <c r="P847" s="22" t="str">
        <f t="shared" si="90"/>
        <v/>
      </c>
      <c r="Q847" s="7" t="b">
        <f t="shared" si="89"/>
        <v>1</v>
      </c>
      <c r="R847" s="73" t="e">
        <f t="shared" si="91"/>
        <v>#DIV/0!</v>
      </c>
    </row>
    <row r="848" spans="1:18" x14ac:dyDescent="0.25">
      <c r="A848" s="12"/>
      <c r="B848" s="12"/>
      <c r="C848" s="12"/>
      <c r="D848" s="12"/>
      <c r="E848" s="12"/>
      <c r="F848" s="12"/>
      <c r="G848" s="13"/>
      <c r="H848" s="14"/>
      <c r="I848" s="14"/>
      <c r="J848" s="8">
        <f>SUMIF(Journal!$A:$A,HeadJournal!$A848,Journal!$K:$K)+SUMIF(Journal!$A:$A,HeadJournal!$A848,Journal!$L:$L)+SUMIF(Journal!$A:$A,HeadJournal!$A848,Journal!$M:$M)</f>
        <v>0</v>
      </c>
      <c r="K848" s="14"/>
      <c r="L848" s="14"/>
      <c r="M848" s="8">
        <f>SUMIF(Journal!$A:$A,HeadJournal!$A848,Journal!$P:$P)</f>
        <v>0</v>
      </c>
      <c r="N848" s="8">
        <f>SUMIF(Journal!$A:$A,HeadJournal!$A848,Journal!Q:Q)</f>
        <v>0</v>
      </c>
      <c r="O848" s="18">
        <f>SUMIF(Journal!$A:$A,HeadJournal!$A848,Journal!U:U)</f>
        <v>0</v>
      </c>
      <c r="P848" s="22" t="str">
        <f t="shared" si="90"/>
        <v/>
      </c>
      <c r="Q848" s="7" t="b">
        <f t="shared" si="89"/>
        <v>1</v>
      </c>
      <c r="R848" s="73" t="e">
        <f t="shared" si="91"/>
        <v>#DIV/0!</v>
      </c>
    </row>
    <row r="849" spans="1:18" x14ac:dyDescent="0.25">
      <c r="A849" s="12"/>
      <c r="B849" s="12"/>
      <c r="C849" s="12"/>
      <c r="D849" s="12"/>
      <c r="E849" s="12"/>
      <c r="F849" s="12"/>
      <c r="G849" s="13"/>
      <c r="H849" s="14"/>
      <c r="I849" s="14"/>
      <c r="J849" s="8">
        <f>SUMIF(Journal!$A:$A,HeadJournal!$A849,Journal!$K:$K)+SUMIF(Journal!$A:$A,HeadJournal!$A849,Journal!$L:$L)+SUMIF(Journal!$A:$A,HeadJournal!$A849,Journal!$M:$M)</f>
        <v>0</v>
      </c>
      <c r="K849" s="14"/>
      <c r="L849" s="14"/>
      <c r="M849" s="8">
        <f>SUMIF(Journal!$A:$A,HeadJournal!$A849,Journal!$P:$P)</f>
        <v>0</v>
      </c>
      <c r="N849" s="8">
        <f>SUMIF(Journal!$A:$A,HeadJournal!$A849,Journal!Q:Q)</f>
        <v>0</v>
      </c>
      <c r="O849" s="18">
        <f>SUMIF(Journal!$A:$A,HeadJournal!$A849,Journal!U:U)</f>
        <v>0</v>
      </c>
      <c r="P849" s="22" t="str">
        <f t="shared" si="90"/>
        <v/>
      </c>
      <c r="Q849" s="7" t="b">
        <f t="shared" si="89"/>
        <v>1</v>
      </c>
      <c r="R849" s="73" t="e">
        <f t="shared" si="91"/>
        <v>#DIV/0!</v>
      </c>
    </row>
    <row r="850" spans="1:18" x14ac:dyDescent="0.25">
      <c r="A850" s="12"/>
      <c r="B850" s="12"/>
      <c r="C850" s="12"/>
      <c r="D850" s="12"/>
      <c r="E850" s="12"/>
      <c r="F850" s="12"/>
      <c r="G850" s="13"/>
      <c r="H850" s="14"/>
      <c r="I850" s="14"/>
      <c r="J850" s="8">
        <f>SUMIF(Journal!$A:$A,HeadJournal!$A850,Journal!$K:$K)+SUMIF(Journal!$A:$A,HeadJournal!$A850,Journal!$L:$L)+SUMIF(Journal!$A:$A,HeadJournal!$A850,Journal!$M:$M)</f>
        <v>0</v>
      </c>
      <c r="K850" s="14"/>
      <c r="L850" s="14"/>
      <c r="M850" s="8">
        <f>SUMIF(Journal!$A:$A,HeadJournal!$A850,Journal!$P:$P)</f>
        <v>0</v>
      </c>
      <c r="N850" s="8">
        <f>SUMIF(Journal!$A:$A,HeadJournal!$A850,Journal!Q:Q)</f>
        <v>0</v>
      </c>
      <c r="O850" s="18">
        <f>SUMIF(Journal!$A:$A,HeadJournal!$A850,Journal!U:U)</f>
        <v>0</v>
      </c>
      <c r="P850" s="22" t="str">
        <f t="shared" si="90"/>
        <v/>
      </c>
      <c r="Q850" s="7" t="b">
        <f t="shared" si="89"/>
        <v>1</v>
      </c>
      <c r="R850" s="73" t="e">
        <f t="shared" si="91"/>
        <v>#DIV/0!</v>
      </c>
    </row>
    <row r="851" spans="1:18" x14ac:dyDescent="0.25">
      <c r="A851" s="12"/>
      <c r="B851" s="12"/>
      <c r="C851" s="12"/>
      <c r="D851" s="12"/>
      <c r="E851" s="12"/>
      <c r="F851" s="12"/>
      <c r="G851" s="13"/>
      <c r="H851" s="14"/>
      <c r="I851" s="14"/>
      <c r="J851" s="8">
        <f>SUMIF(Journal!$A:$A,HeadJournal!$A851,Journal!$K:$K)+SUMIF(Journal!$A:$A,HeadJournal!$A851,Journal!$L:$L)+SUMIF(Journal!$A:$A,HeadJournal!$A851,Journal!$M:$M)</f>
        <v>0</v>
      </c>
      <c r="K851" s="14"/>
      <c r="L851" s="14"/>
      <c r="M851" s="8">
        <f>SUMIF(Journal!$A:$A,HeadJournal!$A851,Journal!$P:$P)</f>
        <v>0</v>
      </c>
      <c r="N851" s="8">
        <f>SUMIF(Journal!$A:$A,HeadJournal!$A851,Journal!Q:Q)</f>
        <v>0</v>
      </c>
      <c r="O851" s="18">
        <f>SUMIF(Journal!$A:$A,HeadJournal!$A851,Journal!U:U)</f>
        <v>0</v>
      </c>
      <c r="P851" s="22" t="str">
        <f t="shared" si="90"/>
        <v/>
      </c>
      <c r="Q851" s="7" t="b">
        <f t="shared" si="89"/>
        <v>1</v>
      </c>
      <c r="R851" s="73" t="e">
        <f t="shared" si="91"/>
        <v>#DIV/0!</v>
      </c>
    </row>
    <row r="852" spans="1:18" x14ac:dyDescent="0.25">
      <c r="A852" s="12"/>
      <c r="B852" s="12"/>
      <c r="C852" s="12"/>
      <c r="D852" s="12"/>
      <c r="E852" s="12"/>
      <c r="F852" s="12"/>
      <c r="G852" s="13"/>
      <c r="H852" s="14"/>
      <c r="I852" s="14"/>
      <c r="J852" s="8">
        <f>SUMIF(Journal!$A:$A,HeadJournal!$A852,Journal!$K:$K)+SUMIF(Journal!$A:$A,HeadJournal!$A852,Journal!$L:$L)+SUMIF(Journal!$A:$A,HeadJournal!$A852,Journal!$M:$M)</f>
        <v>0</v>
      </c>
      <c r="K852" s="14"/>
      <c r="L852" s="14"/>
      <c r="M852" s="8">
        <f>SUMIF(Journal!$A:$A,HeadJournal!$A852,Journal!$P:$P)</f>
        <v>0</v>
      </c>
      <c r="N852" s="8">
        <f>SUMIF(Journal!$A:$A,HeadJournal!$A852,Journal!Q:Q)</f>
        <v>0</v>
      </c>
      <c r="O852" s="18">
        <f>SUMIF(Journal!$A:$A,HeadJournal!$A852,Journal!U:U)</f>
        <v>0</v>
      </c>
      <c r="P852" s="22" t="str">
        <f t="shared" si="90"/>
        <v/>
      </c>
      <c r="Q852" s="7" t="b">
        <f t="shared" si="89"/>
        <v>1</v>
      </c>
      <c r="R852" s="73" t="e">
        <f t="shared" si="91"/>
        <v>#DIV/0!</v>
      </c>
    </row>
    <row r="853" spans="1:18" x14ac:dyDescent="0.25">
      <c r="A853" s="12"/>
      <c r="B853" s="12"/>
      <c r="C853" s="12"/>
      <c r="D853" s="12"/>
      <c r="E853" s="12"/>
      <c r="F853" s="12"/>
      <c r="G853" s="13"/>
      <c r="H853" s="14"/>
      <c r="I853" s="14"/>
      <c r="J853" s="8">
        <f>SUMIF(Journal!$A:$A,HeadJournal!$A853,Journal!$K:$K)+SUMIF(Journal!$A:$A,HeadJournal!$A853,Journal!$L:$L)+SUMIF(Journal!$A:$A,HeadJournal!$A853,Journal!$M:$M)</f>
        <v>0</v>
      </c>
      <c r="K853" s="14"/>
      <c r="L853" s="14"/>
      <c r="M853" s="8">
        <f>SUMIF(Journal!$A:$A,HeadJournal!$A853,Journal!$P:$P)</f>
        <v>0</v>
      </c>
      <c r="N853" s="8">
        <f>SUMIF(Journal!$A:$A,HeadJournal!$A853,Journal!Q:Q)</f>
        <v>0</v>
      </c>
      <c r="O853" s="18">
        <f>SUMIF(Journal!$A:$A,HeadJournal!$A853,Journal!U:U)</f>
        <v>0</v>
      </c>
      <c r="P853" s="22" t="str">
        <f t="shared" si="90"/>
        <v/>
      </c>
      <c r="Q853" s="7" t="b">
        <f t="shared" si="89"/>
        <v>1</v>
      </c>
      <c r="R853" s="73" t="e">
        <f t="shared" si="91"/>
        <v>#DIV/0!</v>
      </c>
    </row>
    <row r="854" spans="1:18" x14ac:dyDescent="0.25">
      <c r="A854" s="12"/>
      <c r="B854" s="12"/>
      <c r="C854" s="12"/>
      <c r="D854" s="12"/>
      <c r="E854" s="12"/>
      <c r="F854" s="12"/>
      <c r="G854" s="13"/>
      <c r="H854" s="14"/>
      <c r="I854" s="14"/>
      <c r="J854" s="8">
        <f>SUMIF(Journal!$A:$A,HeadJournal!$A854,Journal!$K:$K)+SUMIF(Journal!$A:$A,HeadJournal!$A854,Journal!$L:$L)+SUMIF(Journal!$A:$A,HeadJournal!$A854,Journal!$M:$M)</f>
        <v>0</v>
      </c>
      <c r="K854" s="14"/>
      <c r="L854" s="14"/>
      <c r="M854" s="8">
        <f>SUMIF(Journal!$A:$A,HeadJournal!$A854,Journal!$P:$P)</f>
        <v>0</v>
      </c>
      <c r="N854" s="8">
        <f>SUMIF(Journal!$A:$A,HeadJournal!$A854,Journal!Q:Q)</f>
        <v>0</v>
      </c>
      <c r="O854" s="18">
        <f>SUMIF(Journal!$A:$A,HeadJournal!$A854,Journal!U:U)</f>
        <v>0</v>
      </c>
      <c r="P854" s="22" t="str">
        <f t="shared" si="90"/>
        <v/>
      </c>
      <c r="Q854" s="7" t="b">
        <f t="shared" si="89"/>
        <v>1</v>
      </c>
      <c r="R854" s="73" t="e">
        <f t="shared" si="91"/>
        <v>#DIV/0!</v>
      </c>
    </row>
    <row r="855" spans="1:18" x14ac:dyDescent="0.25">
      <c r="A855" s="12"/>
      <c r="B855" s="12"/>
      <c r="C855" s="12"/>
      <c r="D855" s="12"/>
      <c r="E855" s="12"/>
      <c r="F855" s="12"/>
      <c r="G855" s="13"/>
      <c r="H855" s="14"/>
      <c r="I855" s="14"/>
      <c r="J855" s="8">
        <f>SUMIF(Journal!$A:$A,HeadJournal!$A855,Journal!$K:$K)+SUMIF(Journal!$A:$A,HeadJournal!$A855,Journal!$L:$L)+SUMIF(Journal!$A:$A,HeadJournal!$A855,Journal!$M:$M)</f>
        <v>0</v>
      </c>
      <c r="K855" s="14"/>
      <c r="L855" s="14"/>
      <c r="M855" s="8">
        <f>SUMIF(Journal!$A:$A,HeadJournal!$A855,Journal!$P:$P)</f>
        <v>0</v>
      </c>
      <c r="N855" s="8">
        <f>SUMIF(Journal!$A:$A,HeadJournal!$A855,Journal!Q:Q)</f>
        <v>0</v>
      </c>
      <c r="O855" s="18">
        <f>SUMIF(Journal!$A:$A,HeadJournal!$A855,Journal!U:U)</f>
        <v>0</v>
      </c>
      <c r="P855" s="22" t="str">
        <f t="shared" si="90"/>
        <v/>
      </c>
      <c r="Q855" s="7" t="b">
        <f t="shared" si="89"/>
        <v>1</v>
      </c>
      <c r="R855" s="73" t="e">
        <f t="shared" si="91"/>
        <v>#DIV/0!</v>
      </c>
    </row>
    <row r="856" spans="1:18" x14ac:dyDescent="0.25">
      <c r="A856" s="12"/>
      <c r="B856" s="12"/>
      <c r="C856" s="12"/>
      <c r="D856" s="12"/>
      <c r="E856" s="12"/>
      <c r="F856" s="12"/>
      <c r="G856" s="13"/>
      <c r="H856" s="14"/>
      <c r="I856" s="14"/>
      <c r="J856" s="8">
        <f>SUMIF(Journal!$A:$A,HeadJournal!$A856,Journal!$K:$K)+SUMIF(Journal!$A:$A,HeadJournal!$A856,Journal!$L:$L)+SUMIF(Journal!$A:$A,HeadJournal!$A856,Journal!$M:$M)</f>
        <v>0</v>
      </c>
      <c r="K856" s="14"/>
      <c r="L856" s="14"/>
      <c r="M856" s="8">
        <f>SUMIF(Journal!$A:$A,HeadJournal!$A856,Journal!$P:$P)</f>
        <v>0</v>
      </c>
      <c r="N856" s="8">
        <f>SUMIF(Journal!$A:$A,HeadJournal!$A856,Journal!Q:Q)</f>
        <v>0</v>
      </c>
      <c r="O856" s="18">
        <f>SUMIF(Journal!$A:$A,HeadJournal!$A856,Journal!U:U)</f>
        <v>0</v>
      </c>
      <c r="P856" s="22" t="str">
        <f t="shared" si="90"/>
        <v/>
      </c>
      <c r="Q856" s="7" t="b">
        <f t="shared" si="89"/>
        <v>1</v>
      </c>
      <c r="R856" s="73" t="e">
        <f t="shared" si="91"/>
        <v>#DIV/0!</v>
      </c>
    </row>
    <row r="857" spans="1:18" x14ac:dyDescent="0.25">
      <c r="A857" s="12"/>
      <c r="B857" s="12"/>
      <c r="C857" s="12"/>
      <c r="D857" s="12"/>
      <c r="E857" s="12"/>
      <c r="F857" s="12"/>
      <c r="G857" s="13"/>
      <c r="H857" s="14"/>
      <c r="I857" s="14"/>
      <c r="J857" s="8">
        <f>SUMIF(Journal!$A:$A,HeadJournal!$A857,Journal!$K:$K)+SUMIF(Journal!$A:$A,HeadJournal!$A857,Journal!$L:$L)+SUMIF(Journal!$A:$A,HeadJournal!$A857,Journal!$M:$M)</f>
        <v>0</v>
      </c>
      <c r="K857" s="14"/>
      <c r="L857" s="14"/>
      <c r="M857" s="8">
        <f>SUMIF(Journal!$A:$A,HeadJournal!$A857,Journal!$P:$P)</f>
        <v>0</v>
      </c>
      <c r="N857" s="8">
        <f>SUMIF(Journal!$A:$A,HeadJournal!$A857,Journal!Q:Q)</f>
        <v>0</v>
      </c>
      <c r="O857" s="18">
        <f>SUMIF(Journal!$A:$A,HeadJournal!$A857,Journal!U:U)</f>
        <v>0</v>
      </c>
      <c r="P857" s="22" t="str">
        <f t="shared" si="90"/>
        <v/>
      </c>
      <c r="Q857" s="7" t="b">
        <f t="shared" si="89"/>
        <v>1</v>
      </c>
      <c r="R857" s="73" t="e">
        <f t="shared" si="91"/>
        <v>#DIV/0!</v>
      </c>
    </row>
    <row r="858" spans="1:18" x14ac:dyDescent="0.25">
      <c r="A858" s="12"/>
      <c r="B858" s="12"/>
      <c r="C858" s="12"/>
      <c r="D858" s="12"/>
      <c r="E858" s="12"/>
      <c r="F858" s="12"/>
      <c r="G858" s="13"/>
      <c r="H858" s="14"/>
      <c r="I858" s="14"/>
      <c r="J858" s="8">
        <f>SUMIF(Journal!$A:$A,HeadJournal!$A858,Journal!$K:$K)+SUMIF(Journal!$A:$A,HeadJournal!$A858,Journal!$L:$L)+SUMIF(Journal!$A:$A,HeadJournal!$A858,Journal!$M:$M)</f>
        <v>0</v>
      </c>
      <c r="K858" s="14"/>
      <c r="L858" s="14"/>
      <c r="M858" s="8">
        <f>SUMIF(Journal!$A:$A,HeadJournal!$A858,Journal!$P:$P)</f>
        <v>0</v>
      </c>
      <c r="N858" s="8">
        <f>SUMIF(Journal!$A:$A,HeadJournal!$A858,Journal!Q:Q)</f>
        <v>0</v>
      </c>
      <c r="O858" s="18">
        <f>SUMIF(Journal!$A:$A,HeadJournal!$A858,Journal!U:U)</f>
        <v>0</v>
      </c>
      <c r="P858" s="22" t="str">
        <f t="shared" si="90"/>
        <v/>
      </c>
      <c r="Q858" s="7" t="b">
        <f t="shared" si="89"/>
        <v>1</v>
      </c>
      <c r="R858" s="73" t="e">
        <f t="shared" si="91"/>
        <v>#DIV/0!</v>
      </c>
    </row>
    <row r="859" spans="1:18" x14ac:dyDescent="0.25">
      <c r="A859" s="12"/>
      <c r="B859" s="12"/>
      <c r="C859" s="12"/>
      <c r="D859" s="12"/>
      <c r="E859" s="12"/>
      <c r="F859" s="12"/>
      <c r="G859" s="13"/>
      <c r="H859" s="14"/>
      <c r="I859" s="14"/>
      <c r="J859" s="8">
        <f>SUMIF(Journal!$A:$A,HeadJournal!$A859,Journal!$K:$K)+SUMIF(Journal!$A:$A,HeadJournal!$A859,Journal!$L:$L)+SUMIF(Journal!$A:$A,HeadJournal!$A859,Journal!$M:$M)</f>
        <v>0</v>
      </c>
      <c r="K859" s="14"/>
      <c r="L859" s="14"/>
      <c r="M859" s="8">
        <f>SUMIF(Journal!$A:$A,HeadJournal!$A859,Journal!$P:$P)</f>
        <v>0</v>
      </c>
      <c r="N859" s="8">
        <f>SUMIF(Journal!$A:$A,HeadJournal!$A859,Journal!Q:Q)</f>
        <v>0</v>
      </c>
      <c r="O859" s="18">
        <f>SUMIF(Journal!$A:$A,HeadJournal!$A859,Journal!U:U)</f>
        <v>0</v>
      </c>
      <c r="P859" s="22" t="str">
        <f t="shared" si="90"/>
        <v/>
      </c>
      <c r="Q859" s="7" t="b">
        <f t="shared" si="89"/>
        <v>1</v>
      </c>
      <c r="R859" s="73" t="e">
        <f t="shared" si="91"/>
        <v>#DIV/0!</v>
      </c>
    </row>
    <row r="860" spans="1:18" x14ac:dyDescent="0.25">
      <c r="A860" s="12"/>
      <c r="B860" s="12"/>
      <c r="C860" s="12"/>
      <c r="D860" s="12"/>
      <c r="E860" s="12"/>
      <c r="F860" s="12"/>
      <c r="G860" s="13"/>
      <c r="H860" s="14"/>
      <c r="I860" s="14"/>
      <c r="J860" s="8">
        <f>SUMIF(Journal!$A:$A,HeadJournal!$A860,Journal!$K:$K)+SUMIF(Journal!$A:$A,HeadJournal!$A860,Journal!$L:$L)+SUMIF(Journal!$A:$A,HeadJournal!$A860,Journal!$M:$M)</f>
        <v>0</v>
      </c>
      <c r="K860" s="14"/>
      <c r="L860" s="14"/>
      <c r="M860" s="8">
        <f>SUMIF(Journal!$A:$A,HeadJournal!$A860,Journal!$P:$P)</f>
        <v>0</v>
      </c>
      <c r="N860" s="8">
        <f>SUMIF(Journal!$A:$A,HeadJournal!$A860,Journal!Q:Q)</f>
        <v>0</v>
      </c>
      <c r="O860" s="18">
        <f>SUMIF(Journal!$A:$A,HeadJournal!$A860,Journal!U:U)</f>
        <v>0</v>
      </c>
      <c r="P860" s="22" t="str">
        <f t="shared" si="90"/>
        <v/>
      </c>
      <c r="Q860" s="7" t="b">
        <f t="shared" si="89"/>
        <v>1</v>
      </c>
      <c r="R860" s="73" t="e">
        <f t="shared" si="91"/>
        <v>#DIV/0!</v>
      </c>
    </row>
    <row r="861" spans="1:18" x14ac:dyDescent="0.25">
      <c r="A861" s="12"/>
      <c r="B861" s="12"/>
      <c r="C861" s="12"/>
      <c r="D861" s="12"/>
      <c r="E861" s="12"/>
      <c r="F861" s="12"/>
      <c r="G861" s="13"/>
      <c r="H861" s="14"/>
      <c r="I861" s="14"/>
      <c r="J861" s="8">
        <f>SUMIF(Journal!$A:$A,HeadJournal!$A861,Journal!$K:$K)+SUMIF(Journal!$A:$A,HeadJournal!$A861,Journal!$L:$L)+SUMIF(Journal!$A:$A,HeadJournal!$A861,Journal!$M:$M)</f>
        <v>0</v>
      </c>
      <c r="K861" s="14"/>
      <c r="L861" s="14"/>
      <c r="M861" s="8">
        <f>SUMIF(Journal!$A:$A,HeadJournal!$A861,Journal!$P:$P)</f>
        <v>0</v>
      </c>
      <c r="N861" s="8">
        <f>SUMIF(Journal!$A:$A,HeadJournal!$A861,Journal!Q:Q)</f>
        <v>0</v>
      </c>
      <c r="O861" s="18">
        <f>SUMIF(Journal!$A:$A,HeadJournal!$A861,Journal!U:U)</f>
        <v>0</v>
      </c>
      <c r="P861" s="22" t="str">
        <f t="shared" si="90"/>
        <v/>
      </c>
      <c r="Q861" s="7" t="b">
        <f t="shared" si="89"/>
        <v>1</v>
      </c>
      <c r="R861" s="73" t="e">
        <f t="shared" si="91"/>
        <v>#DIV/0!</v>
      </c>
    </row>
    <row r="862" spans="1:18" x14ac:dyDescent="0.25">
      <c r="A862" s="12"/>
      <c r="B862" s="12"/>
      <c r="C862" s="12"/>
      <c r="D862" s="12"/>
      <c r="E862" s="12"/>
      <c r="F862" s="12"/>
      <c r="G862" s="13"/>
      <c r="H862" s="14"/>
      <c r="I862" s="14"/>
      <c r="J862" s="8">
        <f>SUMIF(Journal!$A:$A,HeadJournal!$A862,Journal!$K:$K)+SUMIF(Journal!$A:$A,HeadJournal!$A862,Journal!$L:$L)+SUMIF(Journal!$A:$A,HeadJournal!$A862,Journal!$M:$M)</f>
        <v>0</v>
      </c>
      <c r="K862" s="14"/>
      <c r="L862" s="14"/>
      <c r="M862" s="8">
        <f>SUMIF(Journal!$A:$A,HeadJournal!$A862,Journal!$P:$P)</f>
        <v>0</v>
      </c>
      <c r="N862" s="8">
        <f>SUMIF(Journal!$A:$A,HeadJournal!$A862,Journal!Q:Q)</f>
        <v>0</v>
      </c>
      <c r="O862" s="18">
        <f>SUMIF(Journal!$A:$A,HeadJournal!$A862,Journal!U:U)</f>
        <v>0</v>
      </c>
      <c r="P862" s="22" t="str">
        <f t="shared" si="90"/>
        <v/>
      </c>
      <c r="Q862" s="7" t="b">
        <f t="shared" si="89"/>
        <v>1</v>
      </c>
      <c r="R862" s="73" t="e">
        <f t="shared" si="91"/>
        <v>#DIV/0!</v>
      </c>
    </row>
    <row r="863" spans="1:18" x14ac:dyDescent="0.25">
      <c r="A863" s="12"/>
      <c r="B863" s="12"/>
      <c r="C863" s="12"/>
      <c r="D863" s="12"/>
      <c r="E863" s="12"/>
      <c r="F863" s="12"/>
      <c r="G863" s="13"/>
      <c r="H863" s="14"/>
      <c r="I863" s="14"/>
      <c r="J863" s="8">
        <f>SUMIF(Journal!$A:$A,HeadJournal!$A863,Journal!$K:$K)+SUMIF(Journal!$A:$A,HeadJournal!$A863,Journal!$L:$L)+SUMIF(Journal!$A:$A,HeadJournal!$A863,Journal!$M:$M)</f>
        <v>0</v>
      </c>
      <c r="K863" s="14"/>
      <c r="L863" s="14"/>
      <c r="M863" s="8">
        <f>SUMIF(Journal!$A:$A,HeadJournal!$A863,Journal!$P:$P)</f>
        <v>0</v>
      </c>
      <c r="N863" s="8">
        <f>SUMIF(Journal!$A:$A,HeadJournal!$A863,Journal!Q:Q)</f>
        <v>0</v>
      </c>
      <c r="O863" s="18">
        <f>SUMIF(Journal!$A:$A,HeadJournal!$A863,Journal!U:U)</f>
        <v>0</v>
      </c>
      <c r="P863" s="22" t="str">
        <f t="shared" si="90"/>
        <v/>
      </c>
      <c r="Q863" s="7" t="b">
        <f t="shared" si="89"/>
        <v>1</v>
      </c>
      <c r="R863" s="73" t="e">
        <f t="shared" si="91"/>
        <v>#DIV/0!</v>
      </c>
    </row>
    <row r="864" spans="1:18" x14ac:dyDescent="0.25">
      <c r="A864" s="12"/>
      <c r="B864" s="12"/>
      <c r="C864" s="12"/>
      <c r="D864" s="12"/>
      <c r="E864" s="12"/>
      <c r="F864" s="12"/>
      <c r="G864" s="13"/>
      <c r="H864" s="14"/>
      <c r="I864" s="14"/>
      <c r="J864" s="8">
        <f>SUMIF(Journal!$A:$A,HeadJournal!$A864,Journal!$K:$K)+SUMIF(Journal!$A:$A,HeadJournal!$A864,Journal!$L:$L)+SUMIF(Journal!$A:$A,HeadJournal!$A864,Journal!$M:$M)</f>
        <v>0</v>
      </c>
      <c r="K864" s="14"/>
      <c r="L864" s="14"/>
      <c r="M864" s="8">
        <f>SUMIF(Journal!$A:$A,HeadJournal!$A864,Journal!$P:$P)</f>
        <v>0</v>
      </c>
      <c r="N864" s="8">
        <f>SUMIF(Journal!$A:$A,HeadJournal!$A864,Journal!Q:Q)</f>
        <v>0</v>
      </c>
      <c r="O864" s="18">
        <f>SUMIF(Journal!$A:$A,HeadJournal!$A864,Journal!U:U)</f>
        <v>0</v>
      </c>
      <c r="P864" s="22" t="str">
        <f t="shared" si="90"/>
        <v/>
      </c>
      <c r="Q864" s="7" t="b">
        <f t="shared" si="89"/>
        <v>1</v>
      </c>
      <c r="R864" s="73" t="e">
        <f t="shared" si="91"/>
        <v>#DIV/0!</v>
      </c>
    </row>
    <row r="865" spans="1:18" x14ac:dyDescent="0.25">
      <c r="A865" s="12"/>
      <c r="B865" s="12"/>
      <c r="C865" s="12"/>
      <c r="D865" s="12"/>
      <c r="E865" s="12"/>
      <c r="F865" s="12"/>
      <c r="G865" s="13"/>
      <c r="H865" s="14"/>
      <c r="I865" s="14"/>
      <c r="J865" s="8">
        <f>SUMIF(Journal!$A:$A,HeadJournal!$A865,Journal!$K:$K)+SUMIF(Journal!$A:$A,HeadJournal!$A865,Journal!$L:$L)+SUMIF(Journal!$A:$A,HeadJournal!$A865,Journal!$M:$M)</f>
        <v>0</v>
      </c>
      <c r="K865" s="14"/>
      <c r="L865" s="14"/>
      <c r="M865" s="8">
        <f>SUMIF(Journal!$A:$A,HeadJournal!$A865,Journal!$P:$P)</f>
        <v>0</v>
      </c>
      <c r="N865" s="8">
        <f>SUMIF(Journal!$A:$A,HeadJournal!$A865,Journal!Q:Q)</f>
        <v>0</v>
      </c>
      <c r="O865" s="18">
        <f>SUMIF(Journal!$A:$A,HeadJournal!$A865,Journal!U:U)</f>
        <v>0</v>
      </c>
      <c r="P865" s="22" t="str">
        <f t="shared" si="90"/>
        <v/>
      </c>
      <c r="Q865" s="7" t="b">
        <f t="shared" si="89"/>
        <v>1</v>
      </c>
      <c r="R865" s="73" t="e">
        <f t="shared" si="91"/>
        <v>#DIV/0!</v>
      </c>
    </row>
    <row r="866" spans="1:18" x14ac:dyDescent="0.25">
      <c r="A866" s="12"/>
      <c r="B866" s="12"/>
      <c r="C866" s="12"/>
      <c r="D866" s="12"/>
      <c r="E866" s="12"/>
      <c r="F866" s="12"/>
      <c r="G866" s="13"/>
      <c r="H866" s="14"/>
      <c r="I866" s="14"/>
      <c r="J866" s="8">
        <f>SUMIF(Journal!$A:$A,HeadJournal!$A866,Journal!$K:$K)+SUMIF(Journal!$A:$A,HeadJournal!$A866,Journal!$L:$L)+SUMIF(Journal!$A:$A,HeadJournal!$A866,Journal!$M:$M)</f>
        <v>0</v>
      </c>
      <c r="K866" s="14"/>
      <c r="L866" s="14"/>
      <c r="M866" s="8">
        <f>SUMIF(Journal!$A:$A,HeadJournal!$A866,Journal!$P:$P)</f>
        <v>0</v>
      </c>
      <c r="N866" s="8">
        <f>SUMIF(Journal!$A:$A,HeadJournal!$A866,Journal!Q:Q)</f>
        <v>0</v>
      </c>
      <c r="O866" s="18">
        <f>SUMIF(Journal!$A:$A,HeadJournal!$A866,Journal!U:U)</f>
        <v>0</v>
      </c>
      <c r="P866" s="22" t="str">
        <f t="shared" si="90"/>
        <v/>
      </c>
      <c r="Q866" s="7" t="b">
        <f t="shared" ref="Q866:Q889" si="92">J866=K866</f>
        <v>1</v>
      </c>
      <c r="R866" s="73" t="e">
        <f t="shared" si="91"/>
        <v>#DIV/0!</v>
      </c>
    </row>
    <row r="867" spans="1:18" x14ac:dyDescent="0.25">
      <c r="A867" s="12"/>
      <c r="B867" s="12"/>
      <c r="C867" s="12"/>
      <c r="D867" s="12"/>
      <c r="E867" s="12"/>
      <c r="F867" s="12"/>
      <c r="G867" s="13"/>
      <c r="H867" s="14"/>
      <c r="I867" s="14"/>
      <c r="J867" s="8">
        <f>SUMIF(Journal!$A:$A,HeadJournal!$A867,Journal!$K:$K)+SUMIF(Journal!$A:$A,HeadJournal!$A867,Journal!$L:$L)+SUMIF(Journal!$A:$A,HeadJournal!$A867,Journal!$M:$M)</f>
        <v>0</v>
      </c>
      <c r="K867" s="14"/>
      <c r="L867" s="14"/>
      <c r="M867" s="8">
        <f>SUMIF(Journal!$A:$A,HeadJournal!$A867,Journal!$P:$P)</f>
        <v>0</v>
      </c>
      <c r="N867" s="8">
        <f>SUMIF(Journal!$A:$A,HeadJournal!$A867,Journal!Q:Q)</f>
        <v>0</v>
      </c>
      <c r="O867" s="18">
        <f>SUMIF(Journal!$A:$A,HeadJournal!$A867,Journal!U:U)</f>
        <v>0</v>
      </c>
      <c r="P867" s="22" t="str">
        <f t="shared" si="90"/>
        <v/>
      </c>
      <c r="Q867" s="7" t="b">
        <f t="shared" si="92"/>
        <v>1</v>
      </c>
      <c r="R867" s="73" t="e">
        <f t="shared" si="91"/>
        <v>#DIV/0!</v>
      </c>
    </row>
    <row r="868" spans="1:18" x14ac:dyDescent="0.25">
      <c r="A868" s="12"/>
      <c r="B868" s="12"/>
      <c r="C868" s="12"/>
      <c r="D868" s="12"/>
      <c r="E868" s="12"/>
      <c r="F868" s="12"/>
      <c r="G868" s="13"/>
      <c r="H868" s="14"/>
      <c r="I868" s="14"/>
      <c r="J868" s="8">
        <f>SUMIF(Journal!$A:$A,HeadJournal!$A868,Journal!$K:$K)+SUMIF(Journal!$A:$A,HeadJournal!$A868,Journal!$L:$L)+SUMIF(Journal!$A:$A,HeadJournal!$A868,Journal!$M:$M)</f>
        <v>0</v>
      </c>
      <c r="K868" s="14"/>
      <c r="L868" s="14"/>
      <c r="M868" s="8">
        <f>SUMIF(Journal!$A:$A,HeadJournal!$A868,Journal!$P:$P)</f>
        <v>0</v>
      </c>
      <c r="N868" s="8">
        <f>SUMIF(Journal!$A:$A,HeadJournal!$A868,Journal!Q:Q)</f>
        <v>0</v>
      </c>
      <c r="O868" s="18">
        <f>SUMIF(Journal!$A:$A,HeadJournal!$A868,Journal!U:U)</f>
        <v>0</v>
      </c>
      <c r="P868" s="22" t="str">
        <f t="shared" si="90"/>
        <v/>
      </c>
      <c r="Q868" s="7" t="b">
        <f t="shared" si="92"/>
        <v>1</v>
      </c>
      <c r="R868" s="73" t="e">
        <f t="shared" si="91"/>
        <v>#DIV/0!</v>
      </c>
    </row>
    <row r="869" spans="1:18" x14ac:dyDescent="0.25">
      <c r="A869" s="12"/>
      <c r="B869" s="12"/>
      <c r="C869" s="12"/>
      <c r="D869" s="12"/>
      <c r="E869" s="12"/>
      <c r="F869" s="12"/>
      <c r="G869" s="13"/>
      <c r="H869" s="14"/>
      <c r="I869" s="14"/>
      <c r="J869" s="8">
        <f>SUMIF(Journal!$A:$A,HeadJournal!$A869,Journal!$K:$K)+SUMIF(Journal!$A:$A,HeadJournal!$A869,Journal!$L:$L)+SUMIF(Journal!$A:$A,HeadJournal!$A869,Journal!$M:$M)</f>
        <v>0</v>
      </c>
      <c r="K869" s="14"/>
      <c r="L869" s="14"/>
      <c r="M869" s="8">
        <f>SUMIF(Journal!$A:$A,HeadJournal!$A869,Journal!$P:$P)</f>
        <v>0</v>
      </c>
      <c r="N869" s="8">
        <f>SUMIF(Journal!$A:$A,HeadJournal!$A869,Journal!Q:Q)</f>
        <v>0</v>
      </c>
      <c r="O869" s="18">
        <f>SUMIF(Journal!$A:$A,HeadJournal!$A869,Journal!U:U)</f>
        <v>0</v>
      </c>
      <c r="P869" s="22" t="str">
        <f t="shared" si="90"/>
        <v/>
      </c>
      <c r="Q869" s="7" t="b">
        <f t="shared" si="92"/>
        <v>1</v>
      </c>
      <c r="R869" s="73" t="e">
        <f t="shared" si="91"/>
        <v>#DIV/0!</v>
      </c>
    </row>
    <row r="870" spans="1:18" x14ac:dyDescent="0.25">
      <c r="A870" s="12"/>
      <c r="B870" s="12"/>
      <c r="C870" s="12"/>
      <c r="D870" s="12"/>
      <c r="E870" s="12"/>
      <c r="F870" s="12"/>
      <c r="G870" s="13"/>
      <c r="H870" s="14"/>
      <c r="I870" s="14"/>
      <c r="J870" s="8">
        <f>SUMIF(Journal!$A:$A,HeadJournal!$A870,Journal!$K:$K)+SUMIF(Journal!$A:$A,HeadJournal!$A870,Journal!$L:$L)+SUMIF(Journal!$A:$A,HeadJournal!$A870,Journal!$M:$M)</f>
        <v>0</v>
      </c>
      <c r="K870" s="14"/>
      <c r="L870" s="14"/>
      <c r="M870" s="8">
        <f>SUMIF(Journal!$A:$A,HeadJournal!$A870,Journal!$P:$P)</f>
        <v>0</v>
      </c>
      <c r="N870" s="8">
        <f>SUMIF(Journal!$A:$A,HeadJournal!$A870,Journal!Q:Q)</f>
        <v>0</v>
      </c>
      <c r="O870" s="18">
        <f>SUMIF(Journal!$A:$A,HeadJournal!$A870,Journal!U:U)</f>
        <v>0</v>
      </c>
      <c r="P870" s="22" t="str">
        <f t="shared" si="90"/>
        <v/>
      </c>
      <c r="Q870" s="7" t="b">
        <f t="shared" si="92"/>
        <v>1</v>
      </c>
      <c r="R870" s="73" t="e">
        <f t="shared" si="91"/>
        <v>#DIV/0!</v>
      </c>
    </row>
    <row r="871" spans="1:18" x14ac:dyDescent="0.25">
      <c r="A871" s="12"/>
      <c r="B871" s="12"/>
      <c r="C871" s="12"/>
      <c r="D871" s="12"/>
      <c r="E871" s="12"/>
      <c r="F871" s="12"/>
      <c r="G871" s="13"/>
      <c r="H871" s="14"/>
      <c r="I871" s="14"/>
      <c r="J871" s="8">
        <f>SUMIF(Journal!$A:$A,HeadJournal!$A871,Journal!$K:$K)+SUMIF(Journal!$A:$A,HeadJournal!$A871,Journal!$L:$L)+SUMIF(Journal!$A:$A,HeadJournal!$A871,Journal!$M:$M)</f>
        <v>0</v>
      </c>
      <c r="K871" s="14"/>
      <c r="L871" s="14"/>
      <c r="M871" s="8">
        <f>SUMIF(Journal!$A:$A,HeadJournal!$A871,Journal!$P:$P)</f>
        <v>0</v>
      </c>
      <c r="N871" s="8">
        <f>SUMIF(Journal!$A:$A,HeadJournal!$A871,Journal!Q:Q)</f>
        <v>0</v>
      </c>
      <c r="O871" s="18">
        <f>SUMIF(Journal!$A:$A,HeadJournal!$A871,Journal!U:U)</f>
        <v>0</v>
      </c>
      <c r="P871" s="22" t="str">
        <f t="shared" si="90"/>
        <v/>
      </c>
      <c r="Q871" s="7" t="b">
        <f t="shared" si="92"/>
        <v>1</v>
      </c>
      <c r="R871" s="73" t="e">
        <f t="shared" si="91"/>
        <v>#DIV/0!</v>
      </c>
    </row>
    <row r="872" spans="1:18" x14ac:dyDescent="0.25">
      <c r="A872" s="12"/>
      <c r="B872" s="12"/>
      <c r="C872" s="12"/>
      <c r="D872" s="12"/>
      <c r="E872" s="12"/>
      <c r="F872" s="12"/>
      <c r="G872" s="13"/>
      <c r="H872" s="14"/>
      <c r="I872" s="14"/>
      <c r="J872" s="8">
        <f>SUMIF(Journal!$A:$A,HeadJournal!$A872,Journal!$K:$K)+SUMIF(Journal!$A:$A,HeadJournal!$A872,Journal!$L:$L)+SUMIF(Journal!$A:$A,HeadJournal!$A872,Journal!$M:$M)</f>
        <v>0</v>
      </c>
      <c r="K872" s="14"/>
      <c r="L872" s="14"/>
      <c r="M872" s="8">
        <f>SUMIF(Journal!$A:$A,HeadJournal!$A872,Journal!$P:$P)</f>
        <v>0</v>
      </c>
      <c r="N872" s="8">
        <f>SUMIF(Journal!$A:$A,HeadJournal!$A872,Journal!Q:Q)</f>
        <v>0</v>
      </c>
      <c r="O872" s="18">
        <f>SUMIF(Journal!$A:$A,HeadJournal!$A872,Journal!U:U)</f>
        <v>0</v>
      </c>
      <c r="P872" s="22" t="str">
        <f t="shared" si="90"/>
        <v/>
      </c>
      <c r="Q872" s="7" t="b">
        <f t="shared" si="92"/>
        <v>1</v>
      </c>
      <c r="R872" s="73" t="e">
        <f t="shared" si="91"/>
        <v>#DIV/0!</v>
      </c>
    </row>
    <row r="873" spans="1:18" x14ac:dyDescent="0.25">
      <c r="A873" s="12"/>
      <c r="B873" s="12"/>
      <c r="C873" s="12"/>
      <c r="D873" s="12"/>
      <c r="E873" s="12"/>
      <c r="F873" s="12"/>
      <c r="G873" s="13"/>
      <c r="H873" s="14"/>
      <c r="I873" s="14"/>
      <c r="J873" s="8">
        <f>SUMIF(Journal!$A:$A,HeadJournal!$A873,Journal!$K:$K)+SUMIF(Journal!$A:$A,HeadJournal!$A873,Journal!$L:$L)+SUMIF(Journal!$A:$A,HeadJournal!$A873,Journal!$M:$M)</f>
        <v>0</v>
      </c>
      <c r="K873" s="14"/>
      <c r="L873" s="14"/>
      <c r="M873" s="8">
        <f>SUMIF(Journal!$A:$A,HeadJournal!$A873,Journal!$P:$P)</f>
        <v>0</v>
      </c>
      <c r="N873" s="8">
        <f>SUMIF(Journal!$A:$A,HeadJournal!$A873,Journal!Q:Q)</f>
        <v>0</v>
      </c>
      <c r="O873" s="18">
        <f>SUMIF(Journal!$A:$A,HeadJournal!$A873,Journal!U:U)</f>
        <v>0</v>
      </c>
      <c r="P873" s="22" t="str">
        <f t="shared" si="90"/>
        <v/>
      </c>
      <c r="Q873" s="7" t="b">
        <f t="shared" si="92"/>
        <v>1</v>
      </c>
      <c r="R873" s="73" t="e">
        <f t="shared" si="91"/>
        <v>#DIV/0!</v>
      </c>
    </row>
    <row r="874" spans="1:18" x14ac:dyDescent="0.25">
      <c r="A874" s="12"/>
      <c r="B874" s="12"/>
      <c r="C874" s="12"/>
      <c r="D874" s="12"/>
      <c r="E874" s="12"/>
      <c r="F874" s="12"/>
      <c r="G874" s="13"/>
      <c r="H874" s="14"/>
      <c r="I874" s="14"/>
      <c r="J874" s="8">
        <f>SUMIF(Journal!$A:$A,HeadJournal!$A874,Journal!$K:$K)+SUMIF(Journal!$A:$A,HeadJournal!$A874,Journal!$L:$L)+SUMIF(Journal!$A:$A,HeadJournal!$A874,Journal!$M:$M)</f>
        <v>0</v>
      </c>
      <c r="K874" s="14"/>
      <c r="L874" s="14"/>
      <c r="M874" s="8">
        <f>SUMIF(Journal!$A:$A,HeadJournal!$A874,Journal!$P:$P)</f>
        <v>0</v>
      </c>
      <c r="N874" s="8">
        <f>SUMIF(Journal!$A:$A,HeadJournal!$A874,Journal!Q:Q)</f>
        <v>0</v>
      </c>
      <c r="O874" s="18">
        <f>SUMIF(Journal!$A:$A,HeadJournal!$A874,Journal!U:U)</f>
        <v>0</v>
      </c>
      <c r="P874" s="22" t="str">
        <f t="shared" si="90"/>
        <v/>
      </c>
      <c r="Q874" s="7" t="b">
        <f t="shared" si="92"/>
        <v>1</v>
      </c>
      <c r="R874" s="73" t="e">
        <f t="shared" si="91"/>
        <v>#DIV/0!</v>
      </c>
    </row>
    <row r="875" spans="1:18" x14ac:dyDescent="0.25">
      <c r="A875" s="12"/>
      <c r="B875" s="12"/>
      <c r="C875" s="12"/>
      <c r="D875" s="12"/>
      <c r="E875" s="12"/>
      <c r="F875" s="12"/>
      <c r="G875" s="13"/>
      <c r="H875" s="14"/>
      <c r="I875" s="14"/>
      <c r="J875" s="8">
        <f>SUMIF(Journal!$A:$A,HeadJournal!$A875,Journal!$K:$K)+SUMIF(Journal!$A:$A,HeadJournal!$A875,Journal!$L:$L)+SUMIF(Journal!$A:$A,HeadJournal!$A875,Journal!$M:$M)</f>
        <v>0</v>
      </c>
      <c r="K875" s="14"/>
      <c r="L875" s="14"/>
      <c r="M875" s="8">
        <f>SUMIF(Journal!$A:$A,HeadJournal!$A875,Journal!$P:$P)</f>
        <v>0</v>
      </c>
      <c r="N875" s="8">
        <f>SUMIF(Journal!$A:$A,HeadJournal!$A875,Journal!Q:Q)</f>
        <v>0</v>
      </c>
      <c r="O875" s="18">
        <f>SUMIF(Journal!$A:$A,HeadJournal!$A875,Journal!U:U)</f>
        <v>0</v>
      </c>
      <c r="P875" s="22" t="str">
        <f t="shared" si="90"/>
        <v/>
      </c>
      <c r="Q875" s="7" t="b">
        <f t="shared" si="92"/>
        <v>1</v>
      </c>
      <c r="R875" s="73" t="e">
        <f t="shared" si="91"/>
        <v>#DIV/0!</v>
      </c>
    </row>
    <row r="876" spans="1:18" x14ac:dyDescent="0.25">
      <c r="A876" s="12"/>
      <c r="B876" s="12"/>
      <c r="C876" s="12"/>
      <c r="D876" s="12"/>
      <c r="E876" s="12"/>
      <c r="F876" s="12"/>
      <c r="G876" s="13"/>
      <c r="H876" s="14"/>
      <c r="I876" s="14"/>
      <c r="J876" s="8">
        <f>SUMIF(Journal!$A:$A,HeadJournal!$A876,Journal!$K:$K)+SUMIF(Journal!$A:$A,HeadJournal!$A876,Journal!$L:$L)+SUMIF(Journal!$A:$A,HeadJournal!$A876,Journal!$M:$M)</f>
        <v>0</v>
      </c>
      <c r="K876" s="14"/>
      <c r="L876" s="14"/>
      <c r="M876" s="8">
        <f>SUMIF(Journal!$A:$A,HeadJournal!$A876,Journal!$P:$P)</f>
        <v>0</v>
      </c>
      <c r="N876" s="8">
        <f>SUMIF(Journal!$A:$A,HeadJournal!$A876,Journal!Q:Q)</f>
        <v>0</v>
      </c>
      <c r="O876" s="18">
        <f>SUMIF(Journal!$A:$A,HeadJournal!$A876,Journal!U:U)</f>
        <v>0</v>
      </c>
      <c r="P876" s="22" t="str">
        <f t="shared" si="90"/>
        <v/>
      </c>
      <c r="Q876" s="7" t="b">
        <f t="shared" si="92"/>
        <v>1</v>
      </c>
      <c r="R876" s="73" t="e">
        <f t="shared" si="91"/>
        <v>#DIV/0!</v>
      </c>
    </row>
    <row r="877" spans="1:18" x14ac:dyDescent="0.25">
      <c r="A877" s="12"/>
      <c r="B877" s="12"/>
      <c r="C877" s="12"/>
      <c r="D877" s="12"/>
      <c r="E877" s="12"/>
      <c r="F877" s="12"/>
      <c r="G877" s="13"/>
      <c r="H877" s="14"/>
      <c r="I877" s="14"/>
      <c r="J877" s="8">
        <f>SUMIF(Journal!$A:$A,HeadJournal!$A877,Journal!$K:$K)+SUMIF(Journal!$A:$A,HeadJournal!$A877,Journal!$L:$L)+SUMIF(Journal!$A:$A,HeadJournal!$A877,Journal!$M:$M)</f>
        <v>0</v>
      </c>
      <c r="K877" s="14"/>
      <c r="L877" s="14"/>
      <c r="M877" s="8">
        <f>SUMIF(Journal!$A:$A,HeadJournal!$A877,Journal!$P:$P)</f>
        <v>0</v>
      </c>
      <c r="N877" s="8">
        <f>SUMIF(Journal!$A:$A,HeadJournal!$A877,Journal!Q:Q)</f>
        <v>0</v>
      </c>
      <c r="O877" s="18">
        <f>SUMIF(Journal!$A:$A,HeadJournal!$A877,Journal!U:U)</f>
        <v>0</v>
      </c>
      <c r="P877" s="22" t="str">
        <f t="shared" si="90"/>
        <v/>
      </c>
      <c r="Q877" s="7" t="b">
        <f t="shared" si="92"/>
        <v>1</v>
      </c>
      <c r="R877" s="73" t="e">
        <f t="shared" si="91"/>
        <v>#DIV/0!</v>
      </c>
    </row>
    <row r="878" spans="1:18" x14ac:dyDescent="0.25">
      <c r="A878" s="12"/>
      <c r="B878" s="12"/>
      <c r="C878" s="12"/>
      <c r="D878" s="12"/>
      <c r="E878" s="12"/>
      <c r="F878" s="12"/>
      <c r="G878" s="13"/>
      <c r="H878" s="14"/>
      <c r="I878" s="14"/>
      <c r="J878" s="8">
        <f>SUMIF(Journal!$A:$A,HeadJournal!$A878,Journal!$K:$K)+SUMIF(Journal!$A:$A,HeadJournal!$A878,Journal!$L:$L)+SUMIF(Journal!$A:$A,HeadJournal!$A878,Journal!$M:$M)</f>
        <v>0</v>
      </c>
      <c r="K878" s="14"/>
      <c r="L878" s="14"/>
      <c r="M878" s="8">
        <f>SUMIF(Journal!$A:$A,HeadJournal!$A878,Journal!$P:$P)</f>
        <v>0</v>
      </c>
      <c r="N878" s="8">
        <f>SUMIF(Journal!$A:$A,HeadJournal!$A878,Journal!Q:Q)</f>
        <v>0</v>
      </c>
      <c r="O878" s="18">
        <f>SUMIF(Journal!$A:$A,HeadJournal!$A878,Journal!U:U)</f>
        <v>0</v>
      </c>
      <c r="P878" s="22" t="str">
        <f t="shared" si="90"/>
        <v/>
      </c>
      <c r="Q878" s="7" t="b">
        <f t="shared" si="92"/>
        <v>1</v>
      </c>
      <c r="R878" s="73" t="e">
        <f t="shared" si="91"/>
        <v>#DIV/0!</v>
      </c>
    </row>
    <row r="879" spans="1:18" x14ac:dyDescent="0.25">
      <c r="A879" s="12"/>
      <c r="B879" s="12"/>
      <c r="C879" s="12"/>
      <c r="D879" s="12"/>
      <c r="E879" s="12"/>
      <c r="F879" s="12"/>
      <c r="G879" s="13"/>
      <c r="H879" s="14"/>
      <c r="I879" s="14"/>
      <c r="J879" s="8">
        <f>SUMIF(Journal!$A:$A,HeadJournal!$A879,Journal!$K:$K)+SUMIF(Journal!$A:$A,HeadJournal!$A879,Journal!$L:$L)+SUMIF(Journal!$A:$A,HeadJournal!$A879,Journal!$M:$M)</f>
        <v>0</v>
      </c>
      <c r="K879" s="14"/>
      <c r="L879" s="14"/>
      <c r="M879" s="8">
        <f>SUMIF(Journal!$A:$A,HeadJournal!$A879,Journal!$P:$P)</f>
        <v>0</v>
      </c>
      <c r="N879" s="8">
        <f>SUMIF(Journal!$A:$A,HeadJournal!$A879,Journal!Q:Q)</f>
        <v>0</v>
      </c>
      <c r="O879" s="18">
        <f>SUMIF(Journal!$A:$A,HeadJournal!$A879,Journal!U:U)</f>
        <v>0</v>
      </c>
      <c r="P879" s="22" t="str">
        <f t="shared" si="90"/>
        <v/>
      </c>
      <c r="Q879" s="7" t="b">
        <f t="shared" si="92"/>
        <v>1</v>
      </c>
      <c r="R879" s="73" t="e">
        <f t="shared" si="91"/>
        <v>#DIV/0!</v>
      </c>
    </row>
    <row r="880" spans="1:18" x14ac:dyDescent="0.25">
      <c r="A880" s="12"/>
      <c r="B880" s="12"/>
      <c r="C880" s="12"/>
      <c r="D880" s="12"/>
      <c r="E880" s="12"/>
      <c r="F880" s="12"/>
      <c r="G880" s="13"/>
      <c r="H880" s="14"/>
      <c r="I880" s="14"/>
      <c r="J880" s="8">
        <f>SUMIF(Journal!$A:$A,HeadJournal!$A880,Journal!$K:$K)+SUMIF(Journal!$A:$A,HeadJournal!$A880,Journal!$L:$L)+SUMIF(Journal!$A:$A,HeadJournal!$A880,Journal!$M:$M)</f>
        <v>0</v>
      </c>
      <c r="K880" s="14"/>
      <c r="L880" s="14"/>
      <c r="M880" s="8">
        <f>SUMIF(Journal!$A:$A,HeadJournal!$A880,Journal!$P:$P)</f>
        <v>0</v>
      </c>
      <c r="N880" s="8">
        <f>SUMIF(Journal!$A:$A,HeadJournal!$A880,Journal!Q:Q)</f>
        <v>0</v>
      </c>
      <c r="O880" s="18">
        <f>SUMIF(Journal!$A:$A,HeadJournal!$A880,Journal!U:U)</f>
        <v>0</v>
      </c>
      <c r="P880" s="22" t="str">
        <f t="shared" si="90"/>
        <v/>
      </c>
      <c r="Q880" s="7" t="b">
        <f t="shared" si="92"/>
        <v>1</v>
      </c>
      <c r="R880" s="73" t="e">
        <f t="shared" si="91"/>
        <v>#DIV/0!</v>
      </c>
    </row>
    <row r="881" spans="1:18" x14ac:dyDescent="0.25">
      <c r="A881" s="12"/>
      <c r="B881" s="12"/>
      <c r="C881" s="12"/>
      <c r="D881" s="12"/>
      <c r="E881" s="12"/>
      <c r="F881" s="12"/>
      <c r="G881" s="13"/>
      <c r="H881" s="14"/>
      <c r="I881" s="14"/>
      <c r="J881" s="8">
        <f>SUMIF(Journal!$A:$A,HeadJournal!$A881,Journal!$K:$K)+SUMIF(Journal!$A:$A,HeadJournal!$A881,Journal!$L:$L)+SUMIF(Journal!$A:$A,HeadJournal!$A881,Journal!$M:$M)</f>
        <v>0</v>
      </c>
      <c r="K881" s="14"/>
      <c r="L881" s="14"/>
      <c r="M881" s="8">
        <f>SUMIF(Journal!$A:$A,HeadJournal!$A881,Journal!$P:$P)</f>
        <v>0</v>
      </c>
      <c r="N881" s="8">
        <f>SUMIF(Journal!$A:$A,HeadJournal!$A881,Journal!Q:Q)</f>
        <v>0</v>
      </c>
      <c r="O881" s="18">
        <f>SUMIF(Journal!$A:$A,HeadJournal!$A881,Journal!U:U)</f>
        <v>0</v>
      </c>
      <c r="P881" s="22" t="str">
        <f t="shared" si="90"/>
        <v/>
      </c>
      <c r="Q881" s="7" t="b">
        <f t="shared" si="92"/>
        <v>1</v>
      </c>
      <c r="R881" s="73" t="e">
        <f t="shared" si="91"/>
        <v>#DIV/0!</v>
      </c>
    </row>
    <row r="882" spans="1:18" x14ac:dyDescent="0.25">
      <c r="A882" s="12"/>
      <c r="B882" s="12"/>
      <c r="C882" s="12"/>
      <c r="D882" s="12"/>
      <c r="E882" s="12"/>
      <c r="F882" s="12"/>
      <c r="G882" s="13"/>
      <c r="H882" s="14"/>
      <c r="I882" s="14"/>
      <c r="J882" s="8">
        <f>SUMIF(Journal!$A:$A,HeadJournal!$A882,Journal!$K:$K)+SUMIF(Journal!$A:$A,HeadJournal!$A882,Journal!$L:$L)+SUMIF(Journal!$A:$A,HeadJournal!$A882,Journal!$M:$M)</f>
        <v>0</v>
      </c>
      <c r="K882" s="14"/>
      <c r="L882" s="14"/>
      <c r="M882" s="8">
        <f>SUMIF(Journal!$A:$A,HeadJournal!$A882,Journal!$P:$P)</f>
        <v>0</v>
      </c>
      <c r="N882" s="8">
        <f>SUMIF(Journal!$A:$A,HeadJournal!$A882,Journal!Q:Q)</f>
        <v>0</v>
      </c>
      <c r="O882" s="18">
        <f>SUMIF(Journal!$A:$A,HeadJournal!$A882,Journal!U:U)</f>
        <v>0</v>
      </c>
      <c r="P882" s="22" t="str">
        <f t="shared" si="90"/>
        <v/>
      </c>
      <c r="Q882" s="7" t="b">
        <f t="shared" si="92"/>
        <v>1</v>
      </c>
      <c r="R882" s="73" t="e">
        <f t="shared" si="91"/>
        <v>#DIV/0!</v>
      </c>
    </row>
    <row r="883" spans="1:18" x14ac:dyDescent="0.25">
      <c r="A883" s="12"/>
      <c r="B883" s="12"/>
      <c r="C883" s="12"/>
      <c r="D883" s="12"/>
      <c r="E883" s="12"/>
      <c r="F883" s="12"/>
      <c r="G883" s="13"/>
      <c r="H883" s="14"/>
      <c r="I883" s="14"/>
      <c r="J883" s="8">
        <f>SUMIF(Journal!$A:$A,HeadJournal!$A883,Journal!$K:$K)+SUMIF(Journal!$A:$A,HeadJournal!$A883,Journal!$L:$L)+SUMIF(Journal!$A:$A,HeadJournal!$A883,Journal!$M:$M)</f>
        <v>0</v>
      </c>
      <c r="K883" s="14"/>
      <c r="L883" s="14"/>
      <c r="M883" s="8">
        <f>SUMIF(Journal!$A:$A,HeadJournal!$A883,Journal!$P:$P)</f>
        <v>0</v>
      </c>
      <c r="N883" s="8">
        <f>SUMIF(Journal!$A:$A,HeadJournal!$A883,Journal!Q:Q)</f>
        <v>0</v>
      </c>
      <c r="O883" s="18">
        <f>SUMIF(Journal!$A:$A,HeadJournal!$A883,Journal!U:U)</f>
        <v>0</v>
      </c>
      <c r="P883" s="22" t="str">
        <f t="shared" si="90"/>
        <v/>
      </c>
      <c r="Q883" s="7" t="b">
        <f t="shared" si="92"/>
        <v>1</v>
      </c>
      <c r="R883" s="73" t="e">
        <f t="shared" si="91"/>
        <v>#DIV/0!</v>
      </c>
    </row>
    <row r="884" spans="1:18" x14ac:dyDescent="0.25">
      <c r="A884" s="12"/>
      <c r="B884" s="12"/>
      <c r="C884" s="12"/>
      <c r="D884" s="12"/>
      <c r="E884" s="12"/>
      <c r="F884" s="12"/>
      <c r="G884" s="13"/>
      <c r="H884" s="14"/>
      <c r="I884" s="14"/>
      <c r="J884" s="8">
        <f>SUMIF(Journal!$A:$A,HeadJournal!$A884,Journal!$K:$K)+SUMIF(Journal!$A:$A,HeadJournal!$A884,Journal!$L:$L)+SUMIF(Journal!$A:$A,HeadJournal!$A884,Journal!$M:$M)</f>
        <v>0</v>
      </c>
      <c r="K884" s="14"/>
      <c r="L884" s="14"/>
      <c r="M884" s="8">
        <f>SUMIF(Journal!$A:$A,HeadJournal!$A884,Journal!$P:$P)</f>
        <v>0</v>
      </c>
      <c r="N884" s="8">
        <f>SUMIF(Journal!$A:$A,HeadJournal!$A884,Journal!Q:Q)</f>
        <v>0</v>
      </c>
      <c r="O884" s="18">
        <f>SUMIF(Journal!$A:$A,HeadJournal!$A884,Journal!U:U)</f>
        <v>0</v>
      </c>
      <c r="P884" s="22" t="str">
        <f t="shared" si="90"/>
        <v/>
      </c>
      <c r="Q884" s="7" t="b">
        <f t="shared" si="92"/>
        <v>1</v>
      </c>
      <c r="R884" s="73" t="e">
        <f t="shared" si="91"/>
        <v>#DIV/0!</v>
      </c>
    </row>
    <row r="885" spans="1:18" x14ac:dyDescent="0.25">
      <c r="A885" s="12"/>
      <c r="B885" s="12"/>
      <c r="C885" s="12"/>
      <c r="D885" s="12"/>
      <c r="E885" s="12"/>
      <c r="F885" s="12"/>
      <c r="G885" s="13"/>
      <c r="H885" s="14"/>
      <c r="I885" s="14"/>
      <c r="J885" s="8">
        <f>SUMIF(Journal!$A:$A,HeadJournal!$A885,Journal!$K:$K)+SUMIF(Journal!$A:$A,HeadJournal!$A885,Journal!$L:$L)+SUMIF(Journal!$A:$A,HeadJournal!$A885,Journal!$M:$M)</f>
        <v>0</v>
      </c>
      <c r="K885" s="14"/>
      <c r="L885" s="14"/>
      <c r="M885" s="8">
        <f>SUMIF(Journal!$A:$A,HeadJournal!$A885,Journal!$P:$P)</f>
        <v>0</v>
      </c>
      <c r="N885" s="8">
        <f>SUMIF(Journal!$A:$A,HeadJournal!$A885,Journal!Q:Q)</f>
        <v>0</v>
      </c>
      <c r="O885" s="18">
        <f>SUMIF(Journal!$A:$A,HeadJournal!$A885,Journal!U:U)</f>
        <v>0</v>
      </c>
      <c r="P885" s="22" t="str">
        <f t="shared" si="90"/>
        <v/>
      </c>
      <c r="Q885" s="7" t="b">
        <f t="shared" si="92"/>
        <v>1</v>
      </c>
      <c r="R885" s="73" t="e">
        <f t="shared" si="91"/>
        <v>#DIV/0!</v>
      </c>
    </row>
    <row r="886" spans="1:18" x14ac:dyDescent="0.25">
      <c r="A886" s="12"/>
      <c r="B886" s="12"/>
      <c r="C886" s="12"/>
      <c r="D886" s="12"/>
      <c r="E886" s="12"/>
      <c r="F886" s="12"/>
      <c r="G886" s="13"/>
      <c r="H886" s="14"/>
      <c r="I886" s="14"/>
      <c r="J886" s="8">
        <f>SUMIF(Journal!$A:$A,HeadJournal!$A886,Journal!$K:$K)+SUMIF(Journal!$A:$A,HeadJournal!$A886,Journal!$L:$L)+SUMIF(Journal!$A:$A,HeadJournal!$A886,Journal!$M:$M)</f>
        <v>0</v>
      </c>
      <c r="K886" s="14"/>
      <c r="L886" s="14"/>
      <c r="M886" s="8">
        <f>SUMIF(Journal!$A:$A,HeadJournal!$A886,Journal!$P:$P)</f>
        <v>0</v>
      </c>
      <c r="N886" s="8">
        <f>SUMIF(Journal!$A:$A,HeadJournal!$A886,Journal!Q:Q)</f>
        <v>0</v>
      </c>
      <c r="O886" s="18">
        <f>SUMIF(Journal!$A:$A,HeadJournal!$A886,Journal!U:U)</f>
        <v>0</v>
      </c>
      <c r="P886" s="22" t="str">
        <f t="shared" si="90"/>
        <v/>
      </c>
      <c r="Q886" s="7" t="b">
        <f t="shared" si="92"/>
        <v>1</v>
      </c>
      <c r="R886" s="73" t="e">
        <f t="shared" si="91"/>
        <v>#DIV/0!</v>
      </c>
    </row>
    <row r="887" spans="1:18" x14ac:dyDescent="0.25">
      <c r="A887" s="12"/>
      <c r="B887" s="12"/>
      <c r="C887" s="12"/>
      <c r="D887" s="12"/>
      <c r="E887" s="12"/>
      <c r="F887" s="12"/>
      <c r="G887" s="13"/>
      <c r="H887" s="14"/>
      <c r="I887" s="14"/>
      <c r="J887" s="8">
        <f>SUMIF(Journal!$A:$A,HeadJournal!$A887,Journal!$K:$K)+SUMIF(Journal!$A:$A,HeadJournal!$A887,Journal!$L:$L)+SUMIF(Journal!$A:$A,HeadJournal!$A887,Journal!$M:$M)</f>
        <v>0</v>
      </c>
      <c r="K887" s="14"/>
      <c r="L887" s="14"/>
      <c r="M887" s="8">
        <f>SUMIF(Journal!$A:$A,HeadJournal!$A887,Journal!$P:$P)</f>
        <v>0</v>
      </c>
      <c r="N887" s="8">
        <f>SUMIF(Journal!$A:$A,HeadJournal!$A887,Journal!Q:Q)</f>
        <v>0</v>
      </c>
      <c r="O887" s="18">
        <f>SUMIF(Journal!$A:$A,HeadJournal!$A887,Journal!U:U)</f>
        <v>0</v>
      </c>
      <c r="P887" s="22" t="str">
        <f t="shared" si="90"/>
        <v/>
      </c>
      <c r="Q887" s="7" t="b">
        <f t="shared" si="92"/>
        <v>1</v>
      </c>
      <c r="R887" s="73" t="e">
        <f t="shared" si="91"/>
        <v>#DIV/0!</v>
      </c>
    </row>
    <row r="888" spans="1:18" x14ac:dyDescent="0.25">
      <c r="A888" s="12"/>
      <c r="B888" s="12"/>
      <c r="C888" s="12"/>
      <c r="D888" s="12"/>
      <c r="E888" s="12"/>
      <c r="F888" s="12"/>
      <c r="G888" s="13"/>
      <c r="H888" s="14"/>
      <c r="I888" s="14"/>
      <c r="J888" s="8">
        <f>SUMIF(Journal!$A:$A,HeadJournal!$A888,Journal!$K:$K)+SUMIF(Journal!$A:$A,HeadJournal!$A888,Journal!$L:$L)+SUMIF(Journal!$A:$A,HeadJournal!$A888,Journal!$M:$M)</f>
        <v>0</v>
      </c>
      <c r="K888" s="14"/>
      <c r="L888" s="14"/>
      <c r="M888" s="8">
        <f>SUMIF(Journal!$A:$A,HeadJournal!$A888,Journal!$P:$P)</f>
        <v>0</v>
      </c>
      <c r="N888" s="8">
        <f>SUMIF(Journal!$A:$A,HeadJournal!$A888,Journal!Q:Q)</f>
        <v>0</v>
      </c>
      <c r="O888" s="18">
        <f>SUMIF(Journal!$A:$A,HeadJournal!$A888,Journal!U:U)</f>
        <v>0</v>
      </c>
      <c r="P888" s="22" t="str">
        <f t="shared" si="90"/>
        <v/>
      </c>
      <c r="Q888" s="7" t="b">
        <f t="shared" si="92"/>
        <v>1</v>
      </c>
      <c r="R888" s="73" t="e">
        <f t="shared" si="91"/>
        <v>#DIV/0!</v>
      </c>
    </row>
    <row r="889" spans="1:18" x14ac:dyDescent="0.25">
      <c r="A889" s="12"/>
      <c r="B889" s="12"/>
      <c r="C889" s="12"/>
      <c r="D889" s="12"/>
      <c r="E889" s="12"/>
      <c r="F889" s="12"/>
      <c r="G889" s="13"/>
      <c r="H889" s="14"/>
      <c r="I889" s="14"/>
      <c r="J889" s="8">
        <f>SUMIF(Journal!$A:$A,HeadJournal!$A889,Journal!$K:$K)+SUMIF(Journal!$A:$A,HeadJournal!$A889,Journal!$L:$L)+SUMIF(Journal!$A:$A,HeadJournal!$A889,Journal!$M:$M)</f>
        <v>0</v>
      </c>
      <c r="K889" s="14"/>
      <c r="L889" s="14"/>
      <c r="M889" s="8">
        <f>SUMIF(Journal!$A:$A,HeadJournal!$A889,Journal!$P:$P)</f>
        <v>0</v>
      </c>
      <c r="N889" s="8">
        <f>SUMIF(Journal!$A:$A,HeadJournal!$A889,Journal!Q:Q)</f>
        <v>0</v>
      </c>
      <c r="O889" s="18">
        <f>SUMIF(Journal!$A:$A,HeadJournal!$A889,Journal!U:U)</f>
        <v>0</v>
      </c>
      <c r="P889" s="22" t="str">
        <f t="shared" si="90"/>
        <v/>
      </c>
      <c r="Q889" s="7" t="b">
        <f t="shared" si="92"/>
        <v>1</v>
      </c>
      <c r="R889" s="73" t="e">
        <f t="shared" si="91"/>
        <v>#DIV/0!</v>
      </c>
    </row>
  </sheetData>
  <sheetProtection formatCells="0" formatColumns="0" formatRows="0" insertColumns="0" insertRows="0" insertHyperlinks="0" deleteColumns="0" deleteRows="0" sort="0" autoFilter="0" pivotTables="0"/>
  <autoFilter ref="A2:R889" xr:uid="{76A7B11D-1821-4647-8FE6-F47EA6ADA99B}"/>
  <phoneticPr fontId="1" type="noConversion"/>
  <conditionalFormatting sqref="A1:A830 B756 A833:A1048576">
    <cfRule type="expression" dxfId="8" priority="11">
      <formula>AND(A1&lt;&gt;"",COUNTIF(A:A,A1)&gt;1)</formula>
    </cfRule>
  </conditionalFormatting>
  <conditionalFormatting sqref="D1:D827 D833:D1048576">
    <cfRule type="expression" dxfId="7" priority="6">
      <formula>D1="Доставлен"</formula>
    </cfRule>
  </conditionalFormatting>
  <conditionalFormatting sqref="J1:J1048576">
    <cfRule type="expression" dxfId="6" priority="122">
      <formula>AND(J1=0,K1&lt;&gt;"")</formula>
    </cfRule>
  </conditionalFormatting>
  <conditionalFormatting sqref="L1:L1048576">
    <cfRule type="expression" dxfId="5" priority="16">
      <formula>AND(K1&gt;0,L1="")</formula>
    </cfRule>
  </conditionalFormatting>
  <conditionalFormatting sqref="D828">
    <cfRule type="expression" dxfId="4" priority="5">
      <formula>D828="Доставлен"</formula>
    </cfRule>
  </conditionalFormatting>
  <conditionalFormatting sqref="D829">
    <cfRule type="expression" dxfId="3" priority="4">
      <formula>D829="Доставлен"</formula>
    </cfRule>
  </conditionalFormatting>
  <conditionalFormatting sqref="D830">
    <cfRule type="expression" dxfId="2" priority="3">
      <formula>D830="Доставлен"</formula>
    </cfRule>
  </conditionalFormatting>
  <conditionalFormatting sqref="A831:A832">
    <cfRule type="expression" dxfId="1" priority="2">
      <formula>AND(A831&lt;&gt;"",COUNTIF(A:A,A831)&gt;1)</formula>
    </cfRule>
  </conditionalFormatting>
  <conditionalFormatting sqref="D831:D832">
    <cfRule type="expression" dxfId="0" priority="1">
      <formula>D831="Доставлен"</formula>
    </cfRule>
  </conditionalFormatting>
  <hyperlinks>
    <hyperlink ref="B13" r:id="rId1" display="https://secure.iherb.com/tr/carrierTracking?orderNumber=514113876-0&amp;trackingNumber=IHORD0000495511NPG&amp;countryCode=UA" xr:uid="{2F772528-B156-440F-9970-6E5209E84C95}"/>
    <hyperlink ref="B11" r:id="rId2" display="https://secure.iherb.com/tr/carrierTracking?orderNumber=514043517-0&amp;trackingNumber=IHORD0000487784NPG&amp;countryCode=UA" xr:uid="{B41E9791-C462-480D-9BF6-3E24849D22C3}"/>
    <hyperlink ref="B12" r:id="rId3" display="https://secure.iherb.com/tr/carrierTracking?orderNumber=514056164-0&amp;trackingNumber=IHORD0000490976NPG&amp;countryCode=UA" xr:uid="{0CA45B2F-FF09-4045-87F9-4A0975D36B89}"/>
    <hyperlink ref="B10" r:id="rId4" display="https://secure.iherb.com/tr/carrierTracking?orderNumber=513968611-0&amp;trackingNumber=IHORD0000480207NPG&amp;countryCode=UA" xr:uid="{8D47E826-F7DD-4C6B-8431-BD20725CBF12}"/>
    <hyperlink ref="B9" r:id="rId5" display="https://secure.iherb.com/tr/carrierTracking?orderNumber=513762663-0&amp;trackingNumber=IHORD0000461294NPG&amp;countryCode=UA" xr:uid="{4843B17C-51EA-4372-BEFC-A6C92AE98643}"/>
    <hyperlink ref="B16" r:id="rId6" display="https://secure.iherb.com/tr/carrierTracking?orderNumber=514200653-0&amp;trackingNumber=IHORD0000505131NPG&amp;countryCode=UA" xr:uid="{13E73F29-C363-4BDC-B769-69EA9BDFB2CC}"/>
    <hyperlink ref="B27" r:id="rId7" xr:uid="{7370C6AA-B92A-4BD4-964C-C9AF39032758}"/>
    <hyperlink ref="F28" r:id="rId8" display="1375252318" xr:uid="{64DAE05D-4409-4A1D-82DE-608F08DC774B}"/>
    <hyperlink ref="F34" r:id="rId9" xr:uid="{AF1D4C12-146D-4B38-88A3-4F023A5F6187}"/>
    <hyperlink ref="F33" r:id="rId10" xr:uid="{5DC24174-B5F1-4BD3-B2A6-C4E61BA5D6C5}"/>
    <hyperlink ref="F31" r:id="rId11" xr:uid="{CE6C2E27-6F5A-47C0-88DD-468A1D6DF85D}"/>
    <hyperlink ref="F4" r:id="rId12" xr:uid="{3FA353F4-2CC9-4611-A7FB-D091C4C62841}"/>
    <hyperlink ref="F27" r:id="rId13" display="1371469533" xr:uid="{07AF86E4-54E0-449A-9A63-0405D63FF03E}"/>
    <hyperlink ref="F29" r:id="rId14" display="1380248137" xr:uid="{9C00ADBA-B089-4DA4-ABE5-299406F8B8E3}"/>
    <hyperlink ref="F3" r:id="rId15" xr:uid="{843C0ADE-0489-4FB7-9F6F-0B77BDC004AF}"/>
    <hyperlink ref="F5" r:id="rId16" xr:uid="{0751EB60-E19E-41DB-8842-E0304F8481F4}"/>
    <hyperlink ref="F30" r:id="rId17" xr:uid="{41D4BA6A-CF00-49D2-BD09-66BA4EFBB818}"/>
    <hyperlink ref="F39" r:id="rId18" xr:uid="{BFCF6C4D-C7FE-4779-8EE9-54A85F6D81A0}"/>
    <hyperlink ref="F44" r:id="rId19" xr:uid="{AA53CAB6-AE58-4B26-8079-DEAAAAC4DF73}"/>
    <hyperlink ref="F42" r:id="rId20" xr:uid="{E615B87E-35D3-4EDE-875D-952B20CABDE5}"/>
    <hyperlink ref="F70" r:id="rId21" xr:uid="{614EB590-D6CF-45CA-94AE-4A647637890D}"/>
    <hyperlink ref="F41" r:id="rId22" xr:uid="{5ED8C1EC-A4F7-4B78-A0ED-D56E59C37B8C}"/>
    <hyperlink ref="F52" r:id="rId23" xr:uid="{895B9668-5FDA-4A14-A1ED-037E6BCDDE34}"/>
    <hyperlink ref="F67" r:id="rId24" xr:uid="{F0792EE0-3798-47BC-BDE1-E4F423EB28C5}"/>
    <hyperlink ref="F69" r:id="rId25" xr:uid="{3C845E51-EDE6-40D5-9D2A-0EC37F7D0580}"/>
    <hyperlink ref="F75" r:id="rId26" xr:uid="{1343FBA5-6693-45A9-A639-886C62629016}"/>
    <hyperlink ref="F68" r:id="rId27" xr:uid="{D885A46D-D6BC-4425-AC38-9CD42055BDFC}"/>
    <hyperlink ref="F76" r:id="rId28" xr:uid="{8F3B59C1-D53D-41C9-8DA9-A0DF2BCB6885}"/>
    <hyperlink ref="F92" r:id="rId29" xr:uid="{DF3AFF97-FA73-4C2D-94A3-363AF8F5CBC0}"/>
    <hyperlink ref="F83" r:id="rId30" xr:uid="{E885CE43-5E0F-47FD-AC22-14DB36A6E4D3}"/>
    <hyperlink ref="F118" r:id="rId31" xr:uid="{F666BDA7-1289-455E-B54B-68C54293BE12}"/>
    <hyperlink ref="B129" r:id="rId32" xr:uid="{40B1E880-21A0-48AF-BF59-9478577B0917}"/>
    <hyperlink ref="B117" r:id="rId33" xr:uid="{784D8C33-BC39-4C15-9FC1-0406E9A8A2C2}"/>
    <hyperlink ref="B140" r:id="rId34" xr:uid="{2ECFFAB9-0F8E-41E9-9C2D-A4DFE9F6B477}"/>
    <hyperlink ref="B120" r:id="rId35" xr:uid="{244262C4-9421-4C84-9365-0DFF41A18AEA}"/>
    <hyperlink ref="B128" r:id="rId36" xr:uid="{0F81E3FB-A25A-4E2F-BB3B-7BE09653E483}"/>
    <hyperlink ref="B142" r:id="rId37" xr:uid="{234A3E05-8461-466B-ACB1-A89A7D84D777}"/>
    <hyperlink ref="B143" r:id="rId38" xr:uid="{3F57EE87-D0F5-4AA5-A585-D2ED065B7D76}"/>
    <hyperlink ref="F117" r:id="rId39" xr:uid="{12A6F525-7C22-4B6E-9C28-CD686CAB86B5}"/>
    <hyperlink ref="F120" r:id="rId40" xr:uid="{38A032EB-6858-4CC3-A81A-3134245DDD1B}"/>
    <hyperlink ref="F128" r:id="rId41" xr:uid="{F0DA30DD-E082-4842-AAF2-AD8366893F60}"/>
    <hyperlink ref="F129" r:id="rId42" xr:uid="{1A967215-E1DE-4269-85A2-B99D7FBB750B}"/>
    <hyperlink ref="B151" r:id="rId43" xr:uid="{32287663-1C0B-45BE-AC96-887092AA1B02}"/>
    <hyperlink ref="F143" r:id="rId44" xr:uid="{69ED37E0-1F49-4B1A-8DDB-C87642E85CB6}"/>
    <hyperlink ref="F151" r:id="rId45" display="BBU16775150464001" xr:uid="{5195A6DB-C97E-445F-9081-53BD1023FFC0}"/>
    <hyperlink ref="F142" r:id="rId46" display="BBU16775150464001" xr:uid="{011F6197-8C93-4A18-A18E-2EE9DEB66059}"/>
    <hyperlink ref="F140" r:id="rId47" display="BBU16775150464001" xr:uid="{A8FF89C0-49DB-4C9E-8FAF-4B238A85A734}"/>
    <hyperlink ref="B159" r:id="rId48" xr:uid="{C6D3BAAE-228C-42CE-8DC7-8775320BE489}"/>
    <hyperlink ref="B168" r:id="rId49" xr:uid="{CAE9C8F2-F162-46A2-885D-AEBB6FEE2745}"/>
    <hyperlink ref="B169" r:id="rId50" xr:uid="{6404010F-5795-4603-898D-0F9B3522D633}"/>
    <hyperlink ref="B170" r:id="rId51" xr:uid="{5DAF3971-E3CE-4178-8500-E386F668ED10}"/>
    <hyperlink ref="B171" r:id="rId52" xr:uid="{7F5BA95B-54E3-43B7-9B40-A7CF78AD58D1}"/>
    <hyperlink ref="B184" r:id="rId53" xr:uid="{352FDF6F-05DF-4BB8-9ABE-FEE7C15AF4B4}"/>
    <hyperlink ref="F168" r:id="rId54" xr:uid="{C4037AF5-D800-405A-8FCD-1E5424549402}"/>
    <hyperlink ref="F169" r:id="rId55" xr:uid="{FE151574-4CC5-4C1D-B571-28D887616C2A}"/>
    <hyperlink ref="F171" r:id="rId56" xr:uid="{8608E46F-F4D2-4241-A68A-FAE99981284C}"/>
    <hyperlink ref="F159" r:id="rId57" xr:uid="{7BD03D2F-3D04-4F68-95AF-70ACFAF0622A}"/>
    <hyperlink ref="F170" r:id="rId58" xr:uid="{0CF3B7D3-5581-4A8B-8594-295210FBDAFA}"/>
    <hyperlink ref="B185" r:id="rId59" xr:uid="{B187A2A8-AF07-445D-94E6-AA576B385CC5}"/>
    <hyperlink ref="B186" r:id="rId60" xr:uid="{5B971999-1EBE-4C2D-9251-AEF2448D9077}"/>
    <hyperlink ref="F184" r:id="rId61" xr:uid="{5CB83E27-FF40-4E0B-8785-7E81D339F0A4}"/>
    <hyperlink ref="F185" r:id="rId62" xr:uid="{4EF3730C-7E1E-480C-AE48-D5C0AE7B1823}"/>
    <hyperlink ref="B197" r:id="rId63" xr:uid="{60BABAFE-2A66-4C41-85AC-445C90CBD79B}"/>
    <hyperlink ref="B198" r:id="rId64" xr:uid="{4AEB675D-25AA-49E2-BDFB-1FE7CBA0C5C7}"/>
    <hyperlink ref="B199" r:id="rId65" xr:uid="{906D04CD-B30A-4242-A02B-C835BBA90188}"/>
    <hyperlink ref="F186" r:id="rId66" xr:uid="{1C42DCAD-E154-4D0A-B103-0A1CECBC5686}"/>
    <hyperlink ref="F198" r:id="rId67" xr:uid="{5D60A8B6-3366-44C8-9F6C-719F98A32837}"/>
    <hyperlink ref="B204" r:id="rId68" xr:uid="{5D568971-8EE0-4EA8-81B1-C0ADF71732C3}"/>
    <hyperlink ref="B205" r:id="rId69" xr:uid="{A475A2BB-EC4B-4C12-A7CE-B04A9F3A2AE8}"/>
    <hyperlink ref="B206" r:id="rId70" xr:uid="{FD0A57D1-5D8B-4EF7-AEC6-C450CB2D631C}"/>
    <hyperlink ref="B207" r:id="rId71" xr:uid="{ADFD4F9A-075B-47C8-9471-AD0A43EB96C5}"/>
    <hyperlink ref="F197" r:id="rId72" xr:uid="{4DD4CF4D-D273-4E80-8CE0-4F71D9260F07}"/>
    <hyperlink ref="F199" r:id="rId73" xr:uid="{A9B2CE92-5093-4054-A68F-0DF0BF39D7AF}"/>
    <hyperlink ref="F206" r:id="rId74" display="BBU16825291971257" xr:uid="{C42CB956-60BB-477E-A9E2-D4727DD11994}"/>
    <hyperlink ref="F207" r:id="rId75" display="BBU16825291971257" xr:uid="{2CAC8A9C-8ABA-49A8-8803-193C805DCE80}"/>
    <hyperlink ref="B218" r:id="rId76" xr:uid="{FE0AE7AA-457E-43ED-B4C2-9F78EF22F66B}"/>
    <hyperlink ref="F205" r:id="rId77" display="BBU16825291971257" xr:uid="{06D0D605-6CDC-4BCE-925D-30DD7F526FFC}"/>
    <hyperlink ref="F204" r:id="rId78" display="BBU16825291971257" xr:uid="{6638A5B4-538B-444E-9BC0-C645624DF278}"/>
    <hyperlink ref="B219" r:id="rId79" xr:uid="{4F2ECABA-BBF1-43F9-97AF-DA7338E69EAF}"/>
    <hyperlink ref="B225" r:id="rId80" xr:uid="{74D1B5C3-CBEA-4531-9296-AA2650B2C7A5}"/>
    <hyperlink ref="B226" r:id="rId81" xr:uid="{0B7A4E4C-E885-48CA-A5F2-E2419F6200CF}"/>
    <hyperlink ref="B227" r:id="rId82" xr:uid="{F9F34501-6F18-4CD5-B279-A6B2F293A1A9}"/>
    <hyperlink ref="F219" r:id="rId83" display="BBU16825291971257" xr:uid="{FB75F561-A223-4873-8C02-EA97F8F19F64}"/>
    <hyperlink ref="F218" r:id="rId84" display="BBU16825291971257" xr:uid="{F0CF0983-C4D3-47A3-85CF-FDF24A10851E}"/>
    <hyperlink ref="F227" r:id="rId85" display="BBU16825291971257" xr:uid="{EC0D36F7-7A47-4F21-9BA7-57C46EDCCA36}"/>
    <hyperlink ref="B236" r:id="rId86" xr:uid="{E69D2050-D831-4D35-B141-661036A802D4}"/>
    <hyperlink ref="B237" r:id="rId87" xr:uid="{1E125200-1A8A-4A03-B5CC-414D29F465D9}"/>
    <hyperlink ref="B238" r:id="rId88" xr:uid="{9DDEDC0E-5BDC-45FD-8224-6CD1146A2F57}"/>
    <hyperlink ref="F226" r:id="rId89" display="BBU16825291971257" xr:uid="{488875CE-E131-4D03-B835-0440FCCBC42D}"/>
    <hyperlink ref="F225" r:id="rId90" display="BBU16825291971257" xr:uid="{CB9F1894-190E-4DB3-B750-CA2482ACA7B2}"/>
    <hyperlink ref="F238" r:id="rId91" display="BBU16825291971257" xr:uid="{1289305C-774E-468E-AB76-373F27FA1749}"/>
    <hyperlink ref="B241" r:id="rId92" xr:uid="{50DBCFEC-EA2E-4DF2-AB3C-44C27D5753BC}"/>
    <hyperlink ref="B253" r:id="rId93" xr:uid="{C14ED3B5-ACCD-4BF3-9014-EBFCACAA1F26}"/>
    <hyperlink ref="B254" r:id="rId94" xr:uid="{37319FA9-CDDE-4731-A075-E917D269F2CC}"/>
    <hyperlink ref="B255" r:id="rId95" xr:uid="{2D439685-2265-4E1F-9C94-741D8B5BBC6B}"/>
    <hyperlink ref="F236" r:id="rId96" display="BBU16825291971257" xr:uid="{F1D89C6C-1507-4FA9-98E3-3ADCEDC895C5}"/>
    <hyperlink ref="F237" r:id="rId97" display="BBU16825291971257" xr:uid="{4605F30D-3B96-4E01-B15F-31E8BEDC6DB2}"/>
    <hyperlink ref="F241" r:id="rId98" display="BBU16825291971257" xr:uid="{FDFF02C8-BF2A-474F-B269-9AA40BA178A7}"/>
    <hyperlink ref="F253" r:id="rId99" display="BBU16825291971257" xr:uid="{EFD06B3D-CD14-4BD3-A144-CF40CDCBC9A2}"/>
    <hyperlink ref="F255" r:id="rId100" display="BBU16825291971257" xr:uid="{24B88C16-6FE2-408A-81A8-0B92C52C193A}"/>
    <hyperlink ref="F254" r:id="rId101" display="BBU16825291971257" xr:uid="{476AE9E4-9B9F-4F06-B02C-CE58B20D878C}"/>
    <hyperlink ref="B276" r:id="rId102" xr:uid="{9CFA4DFB-9649-46EF-B818-392634329572}"/>
    <hyperlink ref="B277" r:id="rId103" xr:uid="{F0E99335-F209-41DB-8C91-0E4F70E5C6F4}"/>
    <hyperlink ref="B278" r:id="rId104" xr:uid="{FCF5CDAD-A94D-4047-97FC-DF7D337C02ED}"/>
    <hyperlink ref="B279" r:id="rId105" xr:uid="{88DBDAF2-3B6B-4359-9207-9AC22BE06564}"/>
    <hyperlink ref="F276" r:id="rId106" display="BBU16825291971257" xr:uid="{FD2C0C91-CB9E-4DD2-8C15-1E4A1D46107F}"/>
    <hyperlink ref="F278" r:id="rId107" display="BBU16825291971257" xr:uid="{0540068F-A8DB-4CF4-93D1-B5257A24ADE4}"/>
    <hyperlink ref="B280" r:id="rId108" xr:uid="{6C44AD10-FA3B-43C4-8DED-23E44FFB49FC}"/>
    <hyperlink ref="B282:B284" r:id="rId109" display="710000902643" xr:uid="{09536097-2275-47F2-B19A-D9EF99E53A31}"/>
    <hyperlink ref="B282" r:id="rId110" xr:uid="{07CFDC15-8B25-48F1-9C8F-8E10BDF494EB}"/>
    <hyperlink ref="B283" r:id="rId111" xr:uid="{207952A1-FC52-40C1-BDEF-A7BD53977981}"/>
    <hyperlink ref="B284" r:id="rId112" xr:uid="{D0E6D405-89D0-4AAB-B623-AF1C340E5816}"/>
    <hyperlink ref="F277" r:id="rId113" display="BBU16825291971257" xr:uid="{19001CF1-174C-4E21-9425-D65A564FF190}"/>
    <hyperlink ref="F280" r:id="rId114" display="BBU16825291971257" xr:uid="{DC310168-4523-4D4C-BF19-04B60BDA836A}"/>
    <hyperlink ref="F284" r:id="rId115" xr:uid="{1BFCB7F5-3871-43B2-A23F-25F43285F334}"/>
    <hyperlink ref="F279" r:id="rId116" xr:uid="{15FEEF1B-4668-4EE9-9E9D-E68D4C3859F7}"/>
    <hyperlink ref="B292" r:id="rId117" xr:uid="{C01F9C12-D0D1-48BD-A952-B092EDC0E898}"/>
    <hyperlink ref="F283" r:id="rId118" display="BBU16825291971257" xr:uid="{114B3EDC-8483-4EEF-954E-CCB1C971F748}"/>
    <hyperlink ref="F282" r:id="rId119" display="BBU16825291971257" xr:uid="{1E4A92A7-9179-435E-BD71-8A77167D981A}"/>
    <hyperlink ref="B293" r:id="rId120" xr:uid="{70F6D885-AA6F-41DF-B0D5-494EA5AF900E}"/>
    <hyperlink ref="F293" r:id="rId121" display="BBU16927992719445" xr:uid="{FB1E532E-1045-4BCE-87E7-4D0AEE140C61}"/>
    <hyperlink ref="B301" r:id="rId122" xr:uid="{7BB0B742-EE0E-4759-8F6B-3893CA4DF1F4}"/>
    <hyperlink ref="B302" r:id="rId123" xr:uid="{4C4D132E-E014-489F-9B7D-E680D291F85D}"/>
    <hyperlink ref="B303" r:id="rId124" xr:uid="{FDC63C3E-CD1B-400E-8BE5-66B71ECA05C8}"/>
    <hyperlink ref="B304" r:id="rId125" xr:uid="{4ED0D8E5-B49A-492A-832C-BEC5812F48CF}"/>
    <hyperlink ref="B305" r:id="rId126" xr:uid="{5A5B2E02-02DA-46DB-B35E-0AEE273B4852}"/>
    <hyperlink ref="F303" r:id="rId127" display="BBU16927992719445" xr:uid="{90729721-8A96-4F0A-B1B9-E832CF41849F}"/>
    <hyperlink ref="F301" r:id="rId128" display="BBU16927992719445" xr:uid="{A6A19456-7FC6-4939-BB40-B360427542A3}"/>
    <hyperlink ref="F292" r:id="rId129" display="BBU16927992719445" xr:uid="{4D216F42-FADD-41D8-AA0F-100A0D67C343}"/>
    <hyperlink ref="B315" r:id="rId130" xr:uid="{03D8A226-42A2-4E54-9273-59C1C7B485B8}"/>
    <hyperlink ref="B316" r:id="rId131" xr:uid="{17DCC8F9-AEC7-4DEA-AAD1-E2C5931CDCD3}"/>
    <hyperlink ref="B317" r:id="rId132" xr:uid="{B9B89250-B8D9-4543-A8DD-F11ACC51DA77}"/>
    <hyperlink ref="B318" r:id="rId133" xr:uid="{716FA996-0A6F-41B0-B06D-EB396E9FC28C}"/>
    <hyperlink ref="B319" r:id="rId134" xr:uid="{FCFF9C43-0649-4E97-A71C-37761952FE39}"/>
    <hyperlink ref="B320" r:id="rId135" xr:uid="{A84EAC5E-581F-4CFF-BDBC-74DC527A1422}"/>
    <hyperlink ref="F302" r:id="rId136" display="BBU16927992719445" xr:uid="{EB8F66CB-A425-493F-B849-1299C8884BB9}"/>
    <hyperlink ref="F304" r:id="rId137" display="BBU16927992719445" xr:uid="{5C69D01B-B362-45CA-94E4-461FE70C0002}"/>
    <hyperlink ref="F305" r:id="rId138" display="BBU16927992719445" xr:uid="{A5287A89-FD88-48A8-8DC5-146B41A13A07}"/>
    <hyperlink ref="F315" r:id="rId139" display="BBU16927992719445" xr:uid="{1BDBA135-6DB5-4453-9EDE-55372F42644B}"/>
    <hyperlink ref="B341" r:id="rId140" xr:uid="{BACC1987-3A21-4D6C-8019-6847C6D4AF57}"/>
    <hyperlink ref="B342" r:id="rId141" xr:uid="{DC375E28-9593-4E7B-A4C8-9937657769D2}"/>
    <hyperlink ref="F316" r:id="rId142" display="BBU16927992719445" xr:uid="{3FD4F3D9-0C3E-4C75-9DE3-5EED713747C7}"/>
    <hyperlink ref="F318:F320" r:id="rId143" display="BBU16927992719445" xr:uid="{4133DFA3-8BCF-4208-A896-8BA0DC0B11BF}"/>
    <hyperlink ref="F317" r:id="rId144" display="BBU16927992719445" xr:uid="{57F92B79-63A5-4535-9EE1-025FD691AF66}"/>
    <hyperlink ref="F341" r:id="rId145" display="BBU16927992719445" xr:uid="{C1110E60-5BB6-4D2D-8FE6-5618F7EAC9CD}"/>
    <hyperlink ref="F342" r:id="rId146" display="BBU16927992719445" xr:uid="{07B1D99B-76EA-4A0C-8126-9D69F0EB07C2}"/>
    <hyperlink ref="B346" r:id="rId147" xr:uid="{9341A879-B759-4ACA-BB8E-66C51363947C}"/>
    <hyperlink ref="F346" r:id="rId148" display="BBU16927992719445" xr:uid="{D6E6BB3A-8C8E-40C8-B9B7-DBC562410F6C}"/>
    <hyperlink ref="B347" r:id="rId149" xr:uid="{A964D047-216E-4BFF-9101-103CDC44F6DB}"/>
    <hyperlink ref="B353" r:id="rId150" xr:uid="{3D9D8DD3-7E94-4115-B731-CA77C10D54EF}"/>
    <hyperlink ref="A353" r:id="rId151" xr:uid="{A537E88A-FCA8-4875-A043-1A262B274570}"/>
    <hyperlink ref="B357" r:id="rId152" xr:uid="{D96F9CEF-D1A2-4B00-A37A-5FAF0CA02905}"/>
    <hyperlink ref="B358" r:id="rId153" xr:uid="{6CECF86B-5809-47AE-9CC8-3EA982541CEF}"/>
    <hyperlink ref="B359" r:id="rId154" xr:uid="{8A85FD05-A986-4EDC-9761-964431028C2A}"/>
    <hyperlink ref="B370" r:id="rId155" xr:uid="{A05040E8-8211-4EC2-BB61-2C9B56DFEFAB}"/>
    <hyperlink ref="B371" r:id="rId156" xr:uid="{9C069DAD-9A44-4446-A829-A4D4DCFBAEEC}"/>
    <hyperlink ref="B372" r:id="rId157" xr:uid="{A462C800-2322-456F-8DAD-1B84D16657D8}"/>
    <hyperlink ref="B373" r:id="rId158" xr:uid="{F3F311AB-7854-4376-B9F1-AD6169C7EF95}"/>
    <hyperlink ref="B374" r:id="rId159" xr:uid="{BB2ACE01-7D2E-4249-AAC8-93CF77F23570}"/>
    <hyperlink ref="B375" r:id="rId160" xr:uid="{15786226-6F88-4387-8CE2-AE49400F9E03}"/>
    <hyperlink ref="F347" r:id="rId161" xr:uid="{86E487E3-6199-42BD-A530-80D6751BB984}"/>
    <hyperlink ref="F353" r:id="rId162" xr:uid="{38D4CC05-6ECA-4258-861B-02765892CD3B}"/>
    <hyperlink ref="F357" r:id="rId163" xr:uid="{ADC2B23D-4422-4AD4-BA20-79DFF7945C23}"/>
    <hyperlink ref="F358" r:id="rId164" xr:uid="{3D50A61F-F16E-4865-B31E-B563C590C0EF}"/>
    <hyperlink ref="F359" r:id="rId165" xr:uid="{804C10E0-B46F-4AE2-A959-F36BD9D20746}"/>
    <hyperlink ref="B378" r:id="rId166" xr:uid="{40A2F4D3-830B-4989-9166-0BEF3DD2B544}"/>
    <hyperlink ref="B379" r:id="rId167" xr:uid="{3FE3B385-9240-4223-95AA-985AAA624F04}"/>
    <hyperlink ref="B380" r:id="rId168" xr:uid="{2123412B-3433-41E6-BEA4-67B171DD2137}"/>
    <hyperlink ref="B386" r:id="rId169" xr:uid="{6D020C1B-5A16-43FC-AFAB-A02D41D73722}"/>
    <hyperlink ref="B387" r:id="rId170" xr:uid="{F97EE7B2-15ED-42C1-90E2-40A9C34B2189}"/>
    <hyperlink ref="B388" r:id="rId171" xr:uid="{1AA18AB6-DC4C-46CD-9CB4-2B26F8D59C1A}"/>
    <hyperlink ref="B389" r:id="rId172" xr:uid="{D0260905-653F-435A-8798-C1F0132D786D}"/>
    <hyperlink ref="B392" r:id="rId173" xr:uid="{ECB11AD4-735E-4677-B75A-37BCE1BA9EE4}"/>
    <hyperlink ref="B393" r:id="rId174" xr:uid="{4210F88E-83E9-4E84-9CFC-4D75D406A8E0}"/>
    <hyperlink ref="B394" r:id="rId175" xr:uid="{FD70EB5F-0913-4336-A066-8BC33AAA5796}"/>
    <hyperlink ref="F388" r:id="rId176" display="BBU16927992719445" xr:uid="{A4E6C7D1-B0A0-4EF4-9E9D-3782DEC729C7}"/>
    <hyperlink ref="F392" r:id="rId177" display="BBU16927992719445" xr:uid="{415F171B-DBA0-416C-9E95-9869FAAA4545}"/>
    <hyperlink ref="F393" r:id="rId178" display="BBU16927992719445" xr:uid="{541498E8-D63F-47AF-B1F7-7B087BE68A76}"/>
    <hyperlink ref="F394" r:id="rId179" xr:uid="{45C1FCB9-3D77-41B2-A59F-4B3AFC176EAC}"/>
    <hyperlink ref="B395" r:id="rId180" xr:uid="{BA47AD7F-2908-4174-8425-B581690CE0CE}"/>
    <hyperlink ref="B396" r:id="rId181" xr:uid="{7909EBEC-3AF1-4E1D-9AA3-2B090DDEE8B3}"/>
    <hyperlink ref="B397" r:id="rId182" xr:uid="{DE58DEBA-2A2A-4CA9-BBD8-64998C93559B}"/>
    <hyperlink ref="F396" r:id="rId183" xr:uid="{DF9D0EA0-50ED-4A9B-9282-503970D9DBFF}"/>
    <hyperlink ref="F395" r:id="rId184" xr:uid="{C1E2360F-7FBC-4480-8378-037B308FEA5B}"/>
    <hyperlink ref="F397" r:id="rId185" xr:uid="{0E8D2D64-DD1F-4E5E-9CFE-1EDF7B1DBAAE}"/>
    <hyperlink ref="B413" r:id="rId186" xr:uid="{F4058D06-65F8-4AB8-9C18-DE72406B3E77}"/>
    <hyperlink ref="B414" r:id="rId187" xr:uid="{2C9DA19D-62B1-4503-B759-03167AC92A60}"/>
    <hyperlink ref="B415" r:id="rId188" xr:uid="{7ED417B8-56F2-483D-98DF-16A5C3876145}"/>
    <hyperlink ref="B416" r:id="rId189" xr:uid="{01007D90-F2E7-45E9-9112-8157A7B09D97}"/>
    <hyperlink ref="B417" r:id="rId190" xr:uid="{5F84C1DD-6EF4-4A2D-93ED-4C8380E90A52}"/>
    <hyperlink ref="B418" r:id="rId191" xr:uid="{A5DD34AF-E2CC-4631-8587-71999FAC59FC}"/>
    <hyperlink ref="F413" r:id="rId192" xr:uid="{17C9E26C-9890-495D-9074-B8192F96AEA9}"/>
    <hyperlink ref="F414" r:id="rId193" xr:uid="{15B96398-9ADB-4412-827D-B646E7CEB53A}"/>
    <hyperlink ref="F415" r:id="rId194" xr:uid="{338F8DE7-441A-4966-A4B1-800FB56E0D87}"/>
    <hyperlink ref="F416" r:id="rId195" display="BBU17077508060252" xr:uid="{6779C80E-AF48-4F55-9579-7CD275E2FEBD}"/>
    <hyperlink ref="F417" r:id="rId196" display="BBU17077508060252" xr:uid="{8DB636D7-ADFB-44D2-930D-CBF6A82B3076}"/>
    <hyperlink ref="F418" r:id="rId197" display="BBU17077508060252" xr:uid="{65D72358-3BC2-4AD3-BDD7-72274E743D79}"/>
    <hyperlink ref="B428" r:id="rId198" xr:uid="{56DEEAB3-B6E0-4D74-9AA2-2D1E2D3A76C7}"/>
    <hyperlink ref="F428" r:id="rId199" display="BBU17077508060252" xr:uid="{BC71D398-4F2B-42CA-902F-FECB1A329D6D}"/>
    <hyperlink ref="B429" r:id="rId200" xr:uid="{8DDFB4FF-E255-4369-A964-CAD3B45ADB01}"/>
    <hyperlink ref="B430" r:id="rId201" xr:uid="{F9ACDBAA-C7EE-409F-B57E-C01DB0D54E83}"/>
    <hyperlink ref="B437" r:id="rId202" xr:uid="{E029BEF0-B385-4B01-9430-A531BF70181C}"/>
    <hyperlink ref="F429" r:id="rId203" display="BBU17077508060252" xr:uid="{2CFAB4B8-ABA5-4B94-B384-79B7BBA9C60B}"/>
    <hyperlink ref="F430" r:id="rId204" display="BBU17077508060252" xr:uid="{7C58F711-B4CC-4A6E-988E-02D1EDF232BA}"/>
    <hyperlink ref="B438" r:id="rId205" xr:uid="{775AF7DE-C39A-49BF-AD2E-EDEA1E061F95}"/>
    <hyperlink ref="B439" r:id="rId206" xr:uid="{0F7FF6BB-7209-4DD5-9550-B5F70C8C8657}"/>
    <hyperlink ref="B440" r:id="rId207" xr:uid="{E5827C06-4FF2-4285-AF48-2575692191A0}"/>
    <hyperlink ref="B441" r:id="rId208" xr:uid="{03BAC663-5FAC-400B-985E-CD0813A5D756}"/>
    <hyperlink ref="F437" r:id="rId209" display="BBU17077508060252" xr:uid="{49497D5B-B70C-4B7A-BFBA-44FC9DFEDAE2}"/>
    <hyperlink ref="F439" r:id="rId210" display="BBU17077508060252" xr:uid="{29E25DDE-57D6-436A-A8C2-B01C36564C14}"/>
    <hyperlink ref="B452" r:id="rId211" xr:uid="{EA1086CC-8E6A-4115-9D4D-5C8812943D55}"/>
    <hyperlink ref="B453" r:id="rId212" xr:uid="{876D32B2-2802-4F5B-AFE5-19DF5B89DF8B}"/>
    <hyperlink ref="F438" r:id="rId213" display="BBU17077508060252" xr:uid="{968575A8-2256-4066-9A71-BFDEF98DFCFD}"/>
    <hyperlink ref="F440" r:id="rId214" display="BBU17077508060252" xr:uid="{E435D5D8-5511-4836-B7DA-0C4A7AE36DB0}"/>
    <hyperlink ref="B455" r:id="rId215" xr:uid="{696A9F00-9DEC-4BB7-8188-286A695A4DA3}"/>
    <hyperlink ref="B456" r:id="rId216" xr:uid="{9B791C65-F4E8-4DD9-814A-45BA735676AA}"/>
    <hyperlink ref="B457" r:id="rId217" xr:uid="{FA1B2612-1BED-42D4-B34B-2F13D699C8E2}"/>
    <hyperlink ref="B458" r:id="rId218" xr:uid="{7DD307AF-648E-4E7F-B509-47BEFA12BD33}"/>
    <hyperlink ref="F441" r:id="rId219" display="BBU17077508060252" xr:uid="{EEA2F6EB-10E4-4BF7-9B49-CF73E5E69113}"/>
    <hyperlink ref="F452:F453" r:id="rId220" display="BBU17077508060252" xr:uid="{DF04C545-E453-4C2B-840D-D3A37C6B44F1}"/>
    <hyperlink ref="B459" r:id="rId221" xr:uid="{58501090-9653-461B-9156-DD13117E342C}"/>
    <hyperlink ref="B460" r:id="rId222" xr:uid="{1FBDE88E-E3AD-4997-A144-A96FB8B22D2C}"/>
    <hyperlink ref="B461" r:id="rId223" xr:uid="{E911C1BC-7809-4D3A-B7C8-542C060B5891}"/>
    <hyperlink ref="B463" r:id="rId224" xr:uid="{9906D8C1-E3DD-4FDD-9FE0-B0FB7836BE6B}"/>
    <hyperlink ref="B464" r:id="rId225" xr:uid="{F8730EA6-525B-446A-802B-200742EF200E}"/>
    <hyperlink ref="B465" r:id="rId226" xr:uid="{3E055A67-E4D1-4947-99D9-ECE8533E699B}"/>
    <hyperlink ref="F456" r:id="rId227" display="BBU17077508060252" xr:uid="{95F04953-D6FA-4D47-9AC5-04E9F4F80197}"/>
    <hyperlink ref="F457:F458" r:id="rId228" display="BBU17077508060252" xr:uid="{1FAFC86E-5055-4824-B0D1-7B3A154329E4}"/>
    <hyperlink ref="F459" r:id="rId229" display="BBU17077508060252" xr:uid="{284ED9E4-75F2-4E9A-B85D-01B3D2C45E8E}"/>
    <hyperlink ref="F455" r:id="rId230" display="BBU17077508060252" xr:uid="{819681CE-4C1F-453E-B74B-6CCE34984CF6}"/>
    <hyperlink ref="F460" r:id="rId231" display="BBU17077508060252" xr:uid="{A9C99739-A711-4F58-8AC4-31A1B0151C51}"/>
    <hyperlink ref="F461" r:id="rId232" display="BBU17077508060252" xr:uid="{2E1510AE-1B62-4763-B739-7F236FC6FE81}"/>
    <hyperlink ref="F464" r:id="rId233" display="BBU17077508060252" xr:uid="{90960C51-8AB8-47D3-997E-E615B7906F37}"/>
    <hyperlink ref="F463" r:id="rId234" display="BBU17077508060252" xr:uid="{2BBC324D-331B-42BB-8674-ADBEEBD9B202}"/>
    <hyperlink ref="B472" r:id="rId235" xr:uid="{0F7170CD-3CAC-40E8-B31F-DE64C6663637}"/>
    <hyperlink ref="B473" r:id="rId236" xr:uid="{7CAC2050-1F44-49C8-A674-C9AEADF6A3A1}"/>
    <hyperlink ref="B474" r:id="rId237" xr:uid="{FA690D7E-A6EE-4AF6-B61C-B92EA3CE0F57}"/>
    <hyperlink ref="B475" r:id="rId238" xr:uid="{5CE03162-006E-41E1-8CFA-9E683009AE80}"/>
    <hyperlink ref="B477" r:id="rId239" xr:uid="{F5B53E26-29AD-49BE-82A6-0F79A0CA9125}"/>
    <hyperlink ref="B478" r:id="rId240" xr:uid="{DE2A942A-BE3E-4075-92F0-2B6E10326C91}"/>
    <hyperlink ref="B479" r:id="rId241" xr:uid="{0209C809-22B9-4166-AB6E-3C1B3D00EC42}"/>
    <hyperlink ref="F473" r:id="rId242" display="BBU17077508060252" xr:uid="{2D48F243-96D7-45A4-AB10-A404E5F285C4}"/>
    <hyperlink ref="F474" r:id="rId243" display="BBU17077508060252" xr:uid="{F7B86384-6298-41B9-B5BB-B6234AA16AD4}"/>
    <hyperlink ref="F475" r:id="rId244" display="BBU17077508060252" xr:uid="{3840CB28-2E3D-4760-A6BB-E5BBA01537C0}"/>
    <hyperlink ref="F465" r:id="rId245" display="BBU17077508060252" xr:uid="{A16949E2-26D7-4F24-95F8-99CB49DC23F0}"/>
    <hyperlink ref="F472" r:id="rId246" display="BBU17077508060252" xr:uid="{23AC6175-EBAB-4B43-A230-47EA10981DCB}"/>
    <hyperlink ref="F477" r:id="rId247" display="BBU17077508060252" xr:uid="{0609138F-CA92-4BA9-A4A4-48E560CD1FF9}"/>
    <hyperlink ref="F478" r:id="rId248" display="BBU17077508060252" xr:uid="{C7ECCAB9-1D6A-4016-957D-773DB0C3AD8F}"/>
    <hyperlink ref="F479" r:id="rId249" display="BBU17077508060252" xr:uid="{C39611E1-2385-4249-9C62-5A92589F5408}"/>
    <hyperlink ref="B480" r:id="rId250" xr:uid="{B0DDABB5-486B-4377-AE05-B79BAE5C7F6B}"/>
    <hyperlink ref="B481" r:id="rId251" xr:uid="{1E4B8A16-E760-46E4-8D02-31A78289F7FA}"/>
    <hyperlink ref="B482" r:id="rId252" xr:uid="{C48558B6-7F46-4101-A414-CAE9994614D5}"/>
    <hyperlink ref="B483" r:id="rId253" xr:uid="{3C090933-496B-441E-8815-ABB3A148A3C8}"/>
    <hyperlink ref="B495" r:id="rId254" xr:uid="{C60655E5-5A84-4A9D-ADA4-0942C6A05DEC}"/>
    <hyperlink ref="B496" r:id="rId255" xr:uid="{25B2382C-DF49-4148-8B42-659067DA07A6}"/>
    <hyperlink ref="B497" r:id="rId256" xr:uid="{60A1A7BD-22B8-46DC-8749-3C6EC6B3735A}"/>
    <hyperlink ref="B501" r:id="rId257" xr:uid="{39588FD6-52B1-4F7C-8B2B-A01DAB6147A5}"/>
    <hyperlink ref="B500" r:id="rId258" xr:uid="{9B118E20-DC1D-44A7-8059-33042E2C367C}"/>
    <hyperlink ref="B502" r:id="rId259" xr:uid="{19F4731F-D069-41C3-83F4-BB8A3814C833}"/>
    <hyperlink ref="B511" r:id="rId260" xr:uid="{3E4DBC21-E4C7-4B46-B4E8-C28476903F7D}"/>
    <hyperlink ref="B512" r:id="rId261" xr:uid="{CBA60896-ECA2-494E-B3BD-BA961B14B8BC}"/>
    <hyperlink ref="B513" r:id="rId262" xr:uid="{FDC2D8C4-C135-4827-AF5B-0C0C741931D0}"/>
    <hyperlink ref="B519" r:id="rId263" xr:uid="{25DB199C-4B0E-4C43-8B7C-65D657FC64B5}"/>
    <hyperlink ref="B520" r:id="rId264" xr:uid="{77CC1A6D-C111-436B-92E2-F6245105EE4F}"/>
    <hyperlink ref="B521" r:id="rId265" xr:uid="{6A1DFD31-A1F9-4F2D-B281-8B390E19FFD1}"/>
    <hyperlink ref="B522" r:id="rId266" xr:uid="{8A614DFD-E241-4BF5-9E69-11CFF9DDA8BF}"/>
    <hyperlink ref="B525" r:id="rId267" xr:uid="{992D4AA7-C485-4CE2-94F3-C5E7ADAE4825}"/>
    <hyperlink ref="B526" r:id="rId268" xr:uid="{5B732F67-9792-4452-ADB8-8D54F2D3BBD1}"/>
    <hyperlink ref="B527" r:id="rId269" xr:uid="{AEA45D4A-FE99-499F-B5F0-B64A2189A1DD}"/>
    <hyperlink ref="F520" r:id="rId270" xr:uid="{D0B3E673-B9B8-4EBD-AF30-2AE7C86A73FD}"/>
    <hyperlink ref="F521:F522" r:id="rId271" display="BBU17245958961223" xr:uid="{45581AD1-66DE-48DB-9EC6-179F6326051D}"/>
    <hyperlink ref="F519" r:id="rId272" display="BBU17245958961223" xr:uid="{3AA31378-575D-4E10-8A5C-51AFAC8F3603}"/>
    <hyperlink ref="F525" r:id="rId273" display="BBU17245958961223" xr:uid="{9D897A62-09B4-48A3-999A-C74AF9757336}"/>
    <hyperlink ref="F526" r:id="rId274" display="BBU17245958961223" xr:uid="{2B40250C-A50D-4716-916A-E8CFD98854B1}"/>
    <hyperlink ref="B538" r:id="rId275" xr:uid="{0C443382-020A-4811-B703-7773BF9B67DA}"/>
    <hyperlink ref="B539" r:id="rId276" xr:uid="{AE277033-604E-41A0-A626-6168B8594D01}"/>
    <hyperlink ref="B540" r:id="rId277" xr:uid="{EB1A2FBE-331B-4F81-841C-3D6F01F78B90}"/>
    <hyperlink ref="B541" r:id="rId278" xr:uid="{0F4D2BF6-4565-48D5-9AD1-30B8D5703D40}"/>
    <hyperlink ref="B542" r:id="rId279" xr:uid="{98269916-A35D-4936-ACF1-EDD212DF2013}"/>
    <hyperlink ref="B543" r:id="rId280" xr:uid="{8391B21E-55A5-463F-9EFB-5881DABB34F5}"/>
    <hyperlink ref="B544" r:id="rId281" xr:uid="{D131BFEE-B922-4EA4-A8AD-C84920EAEB77}"/>
    <hyperlink ref="B545" r:id="rId282" xr:uid="{E54C39D6-CDCB-469B-9A75-B2967B7784F0}"/>
    <hyperlink ref="B546" r:id="rId283" xr:uid="{5D917B7E-2764-420B-AB83-C10F7B61C50F}"/>
    <hyperlink ref="B547" r:id="rId284" xr:uid="{7E2730F3-98E1-4A54-971F-E38C98BC7884}"/>
    <hyperlink ref="B548" r:id="rId285" xr:uid="{D1EBBA87-A78E-4D09-A8E0-E121C5CF434E}"/>
    <hyperlink ref="B549" r:id="rId286" xr:uid="{ACDC272F-8BBE-4951-B657-0D1676928633}"/>
    <hyperlink ref="B550" r:id="rId287" xr:uid="{F46EAA37-A20F-4253-8363-A0ACD9BED031}"/>
    <hyperlink ref="F542" r:id="rId288" display="BBU17245958961223" xr:uid="{5CC739FF-89F4-4BB2-A058-F6A4849DDFC9}"/>
    <hyperlink ref="F540" r:id="rId289" display="BBU17245958961223" xr:uid="{87074725-7DFD-44D8-AF0C-5119AD3DDB24}"/>
    <hyperlink ref="F543" r:id="rId290" display="BBU17245958961223" xr:uid="{500FD3ED-AE5C-403C-B9F9-7C0E1DF7F997}"/>
    <hyperlink ref="F527" r:id="rId291" display="BBU17245958961223" xr:uid="{5E78C25E-98F4-4E96-B6D4-843B17D89596}"/>
    <hyperlink ref="F538" r:id="rId292" display="BBU17245958961223" xr:uid="{9FF4AB9E-9103-45D6-92A0-4BFB76EF9CA1}"/>
    <hyperlink ref="F539" r:id="rId293" display="BBU17245958961223" xr:uid="{0A97687C-ADDA-4BBB-AB84-1B86882E93C6}"/>
    <hyperlink ref="F541" r:id="rId294" display="BBU17245958961223" xr:uid="{02129125-657E-4A87-A26A-4336F5AF5CFC}"/>
    <hyperlink ref="F544" r:id="rId295" display="BBU17245958961223" xr:uid="{D0505604-D1A2-4418-97F5-A645FFDBFE84}"/>
    <hyperlink ref="F546:F548" r:id="rId296" display="BBU17245958961223" xr:uid="{88FCA408-9738-4E2D-8754-65B984A661C3}"/>
    <hyperlink ref="B559" r:id="rId297" xr:uid="{8A9F60B3-FA37-48DA-90D7-8A2B78A67D8F}"/>
    <hyperlink ref="B560" r:id="rId298" xr:uid="{C4EE9F6E-A0E4-430B-AA38-DC740FFBFC60}"/>
    <hyperlink ref="B561" r:id="rId299" xr:uid="{EB835E97-C6AD-444C-B22C-5A253954699B}"/>
    <hyperlink ref="B562" r:id="rId300" xr:uid="{72356878-8D38-4D43-A7F4-E4557C4BC4C4}"/>
    <hyperlink ref="F549" r:id="rId301" display="BBU17245958961223" xr:uid="{ECCE64C9-A2F1-4686-B2A5-177D32178471}"/>
    <hyperlink ref="F550" r:id="rId302" display="BBU17245958961223" xr:uid="{7927FF59-BDDB-4401-B890-367A2F495B99}"/>
    <hyperlink ref="F545" r:id="rId303" display="BBU17245958961223" xr:uid="{6F12C919-4161-4964-801B-171AB89EC560}"/>
    <hyperlink ref="B563" r:id="rId304" xr:uid="{0A19CD21-34F7-4D21-8948-BB2A17B99AE8}"/>
    <hyperlink ref="B564" r:id="rId305" xr:uid="{C911F5A0-CDA0-4C6B-8726-059B7A010C22}"/>
    <hyperlink ref="B565" r:id="rId306" xr:uid="{6FF3093C-B9FB-47D6-A2A3-7C35482D8A53}"/>
    <hyperlink ref="B569" r:id="rId307" xr:uid="{91A53F52-2076-43F6-9435-D881A92A6B17}"/>
    <hyperlink ref="B570" r:id="rId308" xr:uid="{8A8684B5-9CDB-47CA-96A8-64BF2FBCD167}"/>
    <hyperlink ref="B571" r:id="rId309" xr:uid="{C4308331-5494-4E2F-A858-4B093167CC47}"/>
    <hyperlink ref="B572" r:id="rId310" xr:uid="{A98B5F85-6FCD-44A5-9EF6-A98D58DFE078}"/>
    <hyperlink ref="B584" r:id="rId311" xr:uid="{C0C874B7-920B-4EBD-90A2-B7A55E78A420}"/>
    <hyperlink ref="B585" r:id="rId312" xr:uid="{793140AA-D7A9-4B21-A982-2E6B7E97A2A5}"/>
    <hyperlink ref="B586" r:id="rId313" xr:uid="{180E440A-8C47-41F2-8100-D2FECAC451FF}"/>
    <hyperlink ref="B587" r:id="rId314" xr:uid="{50933A84-EF5C-47EE-849C-26B5478E0CD4}"/>
    <hyperlink ref="B588" r:id="rId315" xr:uid="{6D27D47D-599C-47E4-970F-24CCC18A524E}"/>
    <hyperlink ref="B589" r:id="rId316" xr:uid="{0C54264A-3E7C-4797-8731-3F384EB2C8CB}"/>
    <hyperlink ref="B590" r:id="rId317" xr:uid="{29FF856F-4892-4C70-9C81-F2EB6E48A99D}"/>
    <hyperlink ref="B591" r:id="rId318" xr:uid="{97601229-5393-4227-9326-6ADFD1289357}"/>
    <hyperlink ref="B595" r:id="rId319" xr:uid="{9FAC8015-DBFE-4097-845E-9971E92B7D6F}"/>
    <hyperlink ref="B596" r:id="rId320" xr:uid="{EF7D59BA-912B-468E-BE28-F616AD21C56C}"/>
    <hyperlink ref="B597" r:id="rId321" xr:uid="{5239123D-0837-40BC-937C-48419BB8D7CF}"/>
    <hyperlink ref="B598" r:id="rId322" xr:uid="{252337E1-8B5A-47F3-99A8-2879510937EF}"/>
    <hyperlink ref="B599" r:id="rId323" xr:uid="{5054CFC5-76AC-4E7C-9541-CB6631B7ADC2}"/>
    <hyperlink ref="B600" r:id="rId324" xr:uid="{02B08621-4962-4F2C-B6D7-10A888B0FE31}"/>
    <hyperlink ref="B601" r:id="rId325" xr:uid="{7020C969-4897-4979-96B7-700661AFC959}"/>
    <hyperlink ref="F595" r:id="rId326" display="BBU17245958961223" xr:uid="{C4ABFD00-29B0-4628-A575-4B0B999D63EB}"/>
    <hyperlink ref="F597" r:id="rId327" display="BBU17245958961223" xr:uid="{F577A782-4078-446F-98F3-A7F3437AD530}"/>
    <hyperlink ref="F601" r:id="rId328" display="BBU17245958961223" xr:uid="{3F889A96-5B4E-4FA7-86B9-76108D15F6A1}"/>
    <hyperlink ref="F586" r:id="rId329" display="BBU17245958961223" xr:uid="{2F6EF2D8-1574-4F99-9D68-28A2C093DA55}"/>
    <hyperlink ref="F589" r:id="rId330" display="BBU17245958961223" xr:uid="{C1724D58-AA09-4BDE-BF4B-038DBFA4017A}"/>
    <hyperlink ref="F600" r:id="rId331" display="BBU17245958961223" xr:uid="{E3F52C07-1347-403F-ACFF-8764D3155D53}"/>
    <hyperlink ref="B602" r:id="rId332" xr:uid="{0A37DD83-DE2E-46E6-9A40-CC4E66841FDC}"/>
    <hyperlink ref="B603" r:id="rId333" xr:uid="{665169DC-E63E-4740-A570-812F30C2BC5F}"/>
    <hyperlink ref="B604" r:id="rId334" xr:uid="{A0D9C4C7-562E-4734-9D94-4ACEC4FC036D}"/>
    <hyperlink ref="B605" r:id="rId335" xr:uid="{924329D6-53B0-4345-A033-5FA92AC19289}"/>
    <hyperlink ref="B606" r:id="rId336" xr:uid="{5AC2EA89-F6FA-4380-90A5-DD0D05FF1E95}"/>
    <hyperlink ref="B612" r:id="rId337" xr:uid="{1FFE7285-17C9-4453-89BF-FE363006E52F}"/>
    <hyperlink ref="B613" r:id="rId338" xr:uid="{D7D72E2F-B6F3-4766-B45C-D99FA090FC5A}"/>
    <hyperlink ref="B614" r:id="rId339" xr:uid="{45190486-F73F-442D-BBAE-2894EC1B1853}"/>
    <hyperlink ref="B615" r:id="rId340" xr:uid="{06FEE65E-D8CF-438A-B1B2-F30C124B7422}"/>
    <hyperlink ref="B616" r:id="rId341" xr:uid="{5B828C43-00EC-4967-AE79-DAAF3796393F}"/>
    <hyperlink ref="B617" r:id="rId342" xr:uid="{67B7C7BA-C876-4006-BA0E-87671E1842B9}"/>
    <hyperlink ref="B620" r:id="rId343" xr:uid="{0A249120-73DA-42B7-AA74-B64F6202295D}"/>
    <hyperlink ref="B626" r:id="rId344" xr:uid="{FE293961-F71D-4D61-A9E9-80E8A323042D}"/>
    <hyperlink ref="B630" r:id="rId345" xr:uid="{380B8CBA-2CB2-4003-A0A1-666F224F83F5}"/>
    <hyperlink ref="B631" r:id="rId346" xr:uid="{080F811E-A257-42F3-B67A-F015AE52DDC4}"/>
    <hyperlink ref="B632" r:id="rId347" xr:uid="{421EC7AE-74D8-4299-AA1C-97B0EB0F3860}"/>
    <hyperlink ref="B633" r:id="rId348" xr:uid="{5C766E34-F5C2-413E-870C-3ACA0DA93016}"/>
    <hyperlink ref="B634:B637" r:id="rId349" display="720000653114" xr:uid="{91ED2FCB-65AD-4E80-BCD0-28EE48985681}"/>
    <hyperlink ref="B637" r:id="rId350" xr:uid="{44C2C37E-76C8-4DEF-9DEC-AF8DCA942542}"/>
    <hyperlink ref="B636" r:id="rId351" xr:uid="{B64CE6C2-8EBA-45B7-96DD-A96C6732FF2C}"/>
    <hyperlink ref="B635" r:id="rId352" xr:uid="{978AF053-8931-4E03-8EB0-B5ABC6CB8430}"/>
    <hyperlink ref="B634" r:id="rId353" xr:uid="{5C770F1E-7905-4349-A1BF-3690A0E33ECD}"/>
    <hyperlink ref="B638" r:id="rId354" xr:uid="{6C417C3C-9363-4B92-B334-7B328CD9492F}"/>
    <hyperlink ref="B639" r:id="rId355" xr:uid="{A3E13D63-7350-4F20-BB35-0A4807984FC5}"/>
    <hyperlink ref="B640" r:id="rId356" xr:uid="{2495C9BD-72F3-4872-91CE-DBCCDCAD84EE}"/>
    <hyperlink ref="B642" r:id="rId357" xr:uid="{73472018-6F9E-4402-99EE-DB8B24964E3F}"/>
    <hyperlink ref="B643" r:id="rId358" xr:uid="{E3D52AC9-FBE8-4C9A-A72F-9E5E5028236C}"/>
    <hyperlink ref="B644:B648" r:id="rId359" display="https://www.emex.kz/otslezhivanie-po-kazahstanu?trace=" xr:uid="{A67F42C5-A461-4A65-934C-756417C8B54E}"/>
    <hyperlink ref="B644" r:id="rId360" xr:uid="{11BCE8FC-E010-4B09-B2E7-21FA75DBAFF9}"/>
    <hyperlink ref="B645" r:id="rId361" xr:uid="{40D9F6BE-B23D-4C0C-B3B9-485E8D1E86CC}"/>
    <hyperlink ref="B646" r:id="rId362" xr:uid="{928A3BDF-7CB0-4E19-A3F7-AFDAD6A6F6BC}"/>
    <hyperlink ref="B647" r:id="rId363" xr:uid="{226794C5-038F-4719-8C99-0177D11FCC4F}"/>
    <hyperlink ref="B648" r:id="rId364" xr:uid="{CCF62A6F-91A5-4D38-8613-BC9AF26835CA}"/>
    <hyperlink ref="B649" r:id="rId365" xr:uid="{D3147845-B37A-43C0-84AD-DE4FFC5784C7}"/>
    <hyperlink ref="B650" r:id="rId366" xr:uid="{187327E0-31BF-4D15-B38E-AFA39321FA05}"/>
    <hyperlink ref="B653:B655" r:id="rId367" display="720000699777" xr:uid="{2E1049E0-BAA4-4169-891E-5340BDB88EE6}"/>
    <hyperlink ref="B653" r:id="rId368" xr:uid="{398AA6B9-FB32-455A-B7B3-D5564D488C81}"/>
    <hyperlink ref="B654" r:id="rId369" xr:uid="{0370014A-C72E-40A1-BFB6-6536243EA313}"/>
    <hyperlink ref="B655" r:id="rId370" xr:uid="{34D04627-B033-4D0E-994B-7F381EC4D26D}"/>
    <hyperlink ref="B659:B664" r:id="rId371" display="720000699777" xr:uid="{6B4DCEA8-BCFC-4E1C-8DB4-1BA93CB3C7B3}"/>
    <hyperlink ref="B664" r:id="rId372" xr:uid="{D44DDB95-8D1B-48E8-AFE1-9B262EF70B42}"/>
    <hyperlink ref="B663" r:id="rId373" xr:uid="{E3CA712D-42E6-41A0-A5B1-5EF5D26ED36A}"/>
    <hyperlink ref="B662" r:id="rId374" xr:uid="{9D853D01-9BDA-4A5F-89EB-379E63B53AF5}"/>
    <hyperlink ref="B661" r:id="rId375" xr:uid="{0FC8274C-0F0B-4E0C-8DF8-2D197A395BF1}"/>
    <hyperlink ref="B660" r:id="rId376" xr:uid="{86E02D4B-3469-4811-8791-54AFE4A99B8D}"/>
    <hyperlink ref="B659" r:id="rId377" xr:uid="{FD03DFD0-8CDD-4630-92FF-0D4038D5FC15}"/>
    <hyperlink ref="B669" r:id="rId378" xr:uid="{FDE765B0-4E4A-4E9F-9B24-FFC18114B354}"/>
    <hyperlink ref="B670" r:id="rId379" xr:uid="{55694DE4-1134-47E1-B2F6-EDC8D1F906CC}"/>
    <hyperlink ref="B671" r:id="rId380" xr:uid="{AC27D441-0491-415E-95FB-5C327216A02F}"/>
    <hyperlink ref="B672" r:id="rId381" xr:uid="{076B293A-0B53-4BEA-AEFA-87F36F2F7795}"/>
    <hyperlink ref="B673" r:id="rId382" xr:uid="{E04BEB28-F1A0-424B-A250-D9B74E12AAA6}"/>
    <hyperlink ref="B674:B675" r:id="rId383" display="720000732422" xr:uid="{42212F7D-4368-4BCB-8056-24B5DD8A4AB6}"/>
    <hyperlink ref="B675" r:id="rId384" xr:uid="{1B582B0C-EFDA-4722-BA56-FA83EC59119C}"/>
    <hyperlink ref="B674" r:id="rId385" xr:uid="{EDC595F0-567E-4BE8-95D8-5D4DD00E4A59}"/>
    <hyperlink ref="B676" r:id="rId386" xr:uid="{7387B35B-6FA4-410F-A88C-93E4F83283CC}"/>
    <hyperlink ref="B677" r:id="rId387" xr:uid="{F7E0B4B6-2F15-4139-B44C-AF1DD41CA938}"/>
    <hyperlink ref="B678" r:id="rId388" xr:uid="{8E93C758-9C8B-4680-9C31-AB21558871C2}"/>
    <hyperlink ref="B679" r:id="rId389" xr:uid="{4DB6163F-11C5-409B-AECC-BD8C573BEA14}"/>
    <hyperlink ref="B680" r:id="rId390" xr:uid="{15AC8469-65CD-4831-99F3-CD1494DBCADF}"/>
    <hyperlink ref="B681" r:id="rId391" xr:uid="{D58FF8EA-4602-490A-9311-9AA18A2A0872}"/>
    <hyperlink ref="B682" r:id="rId392" xr:uid="{3F08FE5B-987E-482A-BC5B-A58636B79E47}"/>
    <hyperlink ref="B683" r:id="rId393" xr:uid="{60C14A20-04A7-4E68-B061-DCE6389AA51E}"/>
    <hyperlink ref="B684" r:id="rId394" xr:uid="{8CD02ED6-2B19-4CA6-B87B-7115ABD698B3}"/>
    <hyperlink ref="B685" r:id="rId395" xr:uid="{95438C97-250E-4E79-9ACE-E2946CA7D915}"/>
    <hyperlink ref="B686" r:id="rId396" xr:uid="{2A8E9140-323A-4700-9748-E17038B45027}"/>
    <hyperlink ref="B687" r:id="rId397" xr:uid="{67F1CE91-1369-4037-A69E-DAF0AD66D4D0}"/>
    <hyperlink ref="B688" r:id="rId398" xr:uid="{84838E80-036A-41D6-A845-6F4D736E6935}"/>
    <hyperlink ref="B689" r:id="rId399" xr:uid="{E2FCE239-F9B9-4B4D-9D4F-17DDE393D3FA}"/>
    <hyperlink ref="B690" r:id="rId400" xr:uid="{9E2F7BA9-40CB-409D-A709-5A4074DFFB5C}"/>
    <hyperlink ref="B691" r:id="rId401" xr:uid="{CAF04BCB-17DE-4CE3-92C0-B7C14B9BF8E1}"/>
    <hyperlink ref="B692" r:id="rId402" xr:uid="{B61B962D-86E9-4C20-8813-8808C96DF319}"/>
    <hyperlink ref="B693" r:id="rId403" xr:uid="{CD7703C9-46FA-4333-A5F8-4D1A6AAC82C8}"/>
    <hyperlink ref="B694" r:id="rId404" xr:uid="{D6FF5ADE-8F5C-4785-A5CB-EBEAF4507E7D}"/>
    <hyperlink ref="B698:B699" r:id="rId405" display="722500530069" xr:uid="{45656EE7-A5F7-4BB6-8CDA-05AC696229CB}"/>
    <hyperlink ref="B698" r:id="rId406" xr:uid="{2E0FA675-8A12-4CF7-862A-3E6217B27E00}"/>
    <hyperlink ref="B699" r:id="rId407" xr:uid="{F4974B74-C1D4-455B-9C31-6792D8589522}"/>
    <hyperlink ref="B700" r:id="rId408" xr:uid="{42C91CA8-4711-4E8F-A3CC-40FB68F8CCD5}"/>
    <hyperlink ref="B701" r:id="rId409" xr:uid="{7164C286-601A-48C1-97D4-A7E8E39014A6}"/>
    <hyperlink ref="B702" r:id="rId410" xr:uid="{B3CDFC6A-BF5C-48A8-BA69-5ED533716C36}"/>
    <hyperlink ref="B703" r:id="rId411" xr:uid="{5D039C53-A4BB-4945-B507-B0D592A1BD6F}"/>
    <hyperlink ref="B704" r:id="rId412" xr:uid="{CF0BAA8F-3BD3-4D81-BD3C-3A39527472F4}"/>
    <hyperlink ref="B705" r:id="rId413" xr:uid="{1C9AF00F-5D63-4BA1-A845-66F04566F7F1}"/>
    <hyperlink ref="A791" r:id="rId414" xr:uid="{78D7CE6B-24BE-4059-8536-B4D48331304A}"/>
    <hyperlink ref="A775" r:id="rId415" xr:uid="{9719D7A6-4BDA-42D7-B070-B2738464B30F}"/>
    <hyperlink ref="A792" r:id="rId416" xr:uid="{3BBD26D7-F355-4A75-B261-8F3B7A7BAC82}"/>
    <hyperlink ref="A788" r:id="rId417" xr:uid="{9ACA8571-2FAE-496C-ACE9-2D4DA4A88D63}"/>
    <hyperlink ref="A787" r:id="rId418" xr:uid="{FE094A73-D1A0-4101-83E7-15CBA6539661}"/>
    <hyperlink ref="A777" r:id="rId419" xr:uid="{1EE7C6B3-3B21-4461-B1D3-6968FAE8E389}"/>
    <hyperlink ref="A790" r:id="rId420" xr:uid="{4C4B10E3-B59B-4D3E-8BE6-3193F235FE68}"/>
    <hyperlink ref="A789" r:id="rId421" xr:uid="{AD291E2B-67A8-46A5-8D05-24C13CF06033}"/>
    <hyperlink ref="A794" r:id="rId422" xr:uid="{E0580820-0F6F-4E75-AA30-147292E9FF8E}"/>
    <hyperlink ref="A795" r:id="rId423" xr:uid="{23E5AD66-5B48-42FE-8A8B-2042B13BC7DF}"/>
    <hyperlink ref="A800" r:id="rId424" xr:uid="{EDD7A8F6-6095-484F-880F-5FD18C660707}"/>
    <hyperlink ref="A801" r:id="rId425" xr:uid="{E2067B15-FBD2-4DC9-AE27-4DEA496B7184}"/>
    <hyperlink ref="A802" r:id="rId426" xr:uid="{7D9E7D2A-8401-434D-91C9-771243974D38}"/>
    <hyperlink ref="A803" r:id="rId427" xr:uid="{82EAFB8B-8751-4F59-82AE-765127437408}"/>
    <hyperlink ref="A809" r:id="rId428" xr:uid="{98A1283A-C616-4C0A-A2F0-C718188CBF16}"/>
    <hyperlink ref="A810" r:id="rId429" xr:uid="{D2D8EAD4-1DA0-494A-ADFB-09D99C7675FB}"/>
    <hyperlink ref="A811" r:id="rId430" xr:uid="{DEF0A8EE-825E-4562-A7B7-CCBCF345FE5B}"/>
    <hyperlink ref="A812" r:id="rId431" xr:uid="{75996667-C8B6-479D-8B00-EE812591B5AD}"/>
    <hyperlink ref="A813" r:id="rId432" xr:uid="{E0C134D4-C94C-4804-84CC-2247110E771E}"/>
    <hyperlink ref="A817" r:id="rId433" xr:uid="{EB9171A1-0729-4DEB-B4EF-84DD5EC12A00}"/>
    <hyperlink ref="A818" r:id="rId434" xr:uid="{74F24452-0882-41FD-A8B2-B638CA43CDF8}"/>
    <hyperlink ref="A819" r:id="rId435" xr:uid="{2E90DCD2-3ADE-4050-81F1-34794B7EA8B9}"/>
    <hyperlink ref="A827" r:id="rId436" xr:uid="{20F6EF45-0EA4-46DF-B20A-92CFC4DBEF89}"/>
    <hyperlink ref="A828" r:id="rId437" xr:uid="{9E8D9BDA-CCC7-4C53-AF9A-BE639A3F2063}"/>
    <hyperlink ref="A829" r:id="rId438" xr:uid="{278E3CF1-2EE0-419C-937D-121E6285900C}"/>
    <hyperlink ref="A830" r:id="rId439" xr:uid="{00C1494F-6D86-4D8F-A130-A6CE5889DDC8}"/>
  </hyperlinks>
  <pageMargins left="0.7" right="0.7" top="0.75" bottom="0.75" header="0.3" footer="0.3"/>
  <pageSetup paperSize="9" orientation="portrait" r:id="rId440"/>
  <legacyDrawing r:id="rId44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ED87-22A3-4463-B51B-1F373D2F9EAB}">
  <sheetPr codeName="Лист30"/>
  <dimension ref="A1:T51"/>
  <sheetViews>
    <sheetView topLeftCell="A34" workbookViewId="0">
      <selection activeCell="F57" sqref="F57"/>
    </sheetView>
  </sheetViews>
  <sheetFormatPr defaultRowHeight="15" x14ac:dyDescent="0.25"/>
  <cols>
    <col min="2" max="2" width="28" customWidth="1"/>
    <col min="5" max="5" width="14.5703125" customWidth="1"/>
  </cols>
  <sheetData>
    <row r="1" spans="1:7" ht="15.75" thickBot="1" x14ac:dyDescent="0.3">
      <c r="A1" s="45" t="s">
        <v>1518</v>
      </c>
      <c r="B1" s="45" t="s">
        <v>20</v>
      </c>
      <c r="C1" s="45" t="s">
        <v>1519</v>
      </c>
      <c r="D1" s="45" t="s">
        <v>1520</v>
      </c>
      <c r="E1" s="45" t="s">
        <v>1521</v>
      </c>
    </row>
    <row r="2" spans="1:7" ht="16.5" thickTop="1" thickBot="1" x14ac:dyDescent="0.3">
      <c r="A2" s="46" t="s">
        <v>1522</v>
      </c>
      <c r="B2" s="46" t="s">
        <v>1523</v>
      </c>
      <c r="C2" s="46">
        <v>1</v>
      </c>
      <c r="D2" s="46" t="s">
        <v>1524</v>
      </c>
      <c r="E2" s="46">
        <v>600</v>
      </c>
    </row>
    <row r="3" spans="1:7" ht="15.75" thickBot="1" x14ac:dyDescent="0.3">
      <c r="A3" s="48">
        <v>15</v>
      </c>
      <c r="B3" s="46" t="s">
        <v>1525</v>
      </c>
      <c r="C3" s="46">
        <v>2</v>
      </c>
      <c r="D3" s="46" t="s">
        <v>1526</v>
      </c>
      <c r="E3" s="46">
        <v>24876</v>
      </c>
      <c r="F3" s="47" t="s">
        <v>1368</v>
      </c>
      <c r="G3" t="str">
        <f>F3&amp;", "&amp;B3&amp;", "&amp;TEXT(A3,"000000000")</f>
        <v>Forever, Алоэ Вера Гель, 000000015</v>
      </c>
    </row>
    <row r="4" spans="1:7" ht="15.75" thickBot="1" x14ac:dyDescent="0.3">
      <c r="A4" s="48">
        <v>28</v>
      </c>
      <c r="B4" s="46" t="s">
        <v>1527</v>
      </c>
      <c r="C4" s="46">
        <v>1</v>
      </c>
      <c r="D4" s="46" t="s">
        <v>1528</v>
      </c>
      <c r="E4" s="46">
        <v>3665</v>
      </c>
      <c r="F4" t="s">
        <v>1368</v>
      </c>
      <c r="G4" t="str">
        <f t="shared" ref="G4:G12" si="0">F4&amp;", "&amp;B4&amp;", "&amp;TEXT(A4,"000000000")</f>
        <v>Forever, Форевер Брайт Гель Для Зубов, 000000028</v>
      </c>
    </row>
    <row r="5" spans="1:7" ht="15.75" thickBot="1" x14ac:dyDescent="0.3">
      <c r="A5" s="48">
        <v>37</v>
      </c>
      <c r="B5" s="46" t="s">
        <v>1529</v>
      </c>
      <c r="C5" s="46">
        <v>1</v>
      </c>
      <c r="D5" s="46" t="s">
        <v>1530</v>
      </c>
      <c r="E5" s="46">
        <v>8679</v>
      </c>
      <c r="F5" t="s">
        <v>1368</v>
      </c>
      <c r="G5" t="str">
        <f t="shared" si="0"/>
        <v>Forever, Форевер Натур-Мин, 000000037</v>
      </c>
    </row>
    <row r="6" spans="1:7" ht="15.75" thickBot="1" x14ac:dyDescent="0.3">
      <c r="A6" s="48">
        <v>375</v>
      </c>
      <c r="B6" s="46" t="s">
        <v>1531</v>
      </c>
      <c r="C6" s="46">
        <v>2</v>
      </c>
      <c r="D6" s="46" t="s">
        <v>1532</v>
      </c>
      <c r="E6" s="46">
        <v>28806</v>
      </c>
      <c r="F6" t="s">
        <v>1368</v>
      </c>
      <c r="G6" t="str">
        <f t="shared" si="0"/>
        <v>Forever, Витолайз Для Женщин, 000000375</v>
      </c>
    </row>
    <row r="7" spans="1:7" ht="15.75" thickBot="1" x14ac:dyDescent="0.3">
      <c r="A7" s="48">
        <v>40</v>
      </c>
      <c r="B7" s="46" t="s">
        <v>1533</v>
      </c>
      <c r="C7" s="46">
        <v>1</v>
      </c>
      <c r="D7" s="46" t="s">
        <v>1534</v>
      </c>
      <c r="E7" s="46">
        <v>9432</v>
      </c>
      <c r="F7" t="s">
        <v>1368</v>
      </c>
      <c r="G7" t="str">
        <f t="shared" si="0"/>
        <v>Forever, Алоэ Фёрст, 000000040</v>
      </c>
    </row>
    <row r="8" spans="1:7" ht="15.75" thickBot="1" x14ac:dyDescent="0.3">
      <c r="A8" s="48">
        <v>51</v>
      </c>
      <c r="B8" s="46" t="s">
        <v>1535</v>
      </c>
      <c r="C8" s="46">
        <v>1</v>
      </c>
      <c r="D8" s="46" t="s">
        <v>1534</v>
      </c>
      <c r="E8" s="46">
        <v>9432</v>
      </c>
      <c r="F8" t="s">
        <v>1368</v>
      </c>
      <c r="G8" t="str">
        <f t="shared" si="0"/>
        <v>Forever, Алоэ Прополис Крем, 000000051</v>
      </c>
    </row>
    <row r="9" spans="1:7" ht="15.75" thickBot="1" x14ac:dyDescent="0.3">
      <c r="A9" s="48">
        <v>61</v>
      </c>
      <c r="B9" s="46" t="s">
        <v>1536</v>
      </c>
      <c r="C9" s="46">
        <v>1</v>
      </c>
      <c r="D9" s="46" t="s">
        <v>1537</v>
      </c>
      <c r="E9" s="46">
        <v>7102</v>
      </c>
      <c r="F9" t="s">
        <v>1368</v>
      </c>
      <c r="G9" t="str">
        <f t="shared" si="0"/>
        <v>Forever, Желе Алоэ Вера, 000000061</v>
      </c>
    </row>
    <row r="10" spans="1:7" ht="15.75" thickBot="1" x14ac:dyDescent="0.3">
      <c r="A10" s="48">
        <v>633</v>
      </c>
      <c r="B10" s="46" t="s">
        <v>1538</v>
      </c>
      <c r="C10" s="46">
        <v>1</v>
      </c>
      <c r="D10" s="46" t="s">
        <v>1539</v>
      </c>
      <c r="E10" s="46">
        <v>8787</v>
      </c>
      <c r="F10" t="s">
        <v>1368</v>
      </c>
      <c r="G10" t="str">
        <f t="shared" si="0"/>
        <v>Forever, Алоэ Жидкое Мыло, 000000633</v>
      </c>
    </row>
    <row r="11" spans="1:7" ht="15.75" thickBot="1" x14ac:dyDescent="0.3">
      <c r="A11" s="48">
        <v>67</v>
      </c>
      <c r="B11" s="46" t="s">
        <v>1540</v>
      </c>
      <c r="C11" s="46">
        <v>1</v>
      </c>
      <c r="D11" s="46" t="s">
        <v>1541</v>
      </c>
      <c r="E11" s="46">
        <v>3418</v>
      </c>
      <c r="F11" t="s">
        <v>1368</v>
      </c>
      <c r="G11" t="str">
        <f t="shared" si="0"/>
        <v>Forever, Дезодорант Алоэ Эвер-Шилд, 000000067</v>
      </c>
    </row>
    <row r="12" spans="1:7" x14ac:dyDescent="0.25">
      <c r="A12" s="48">
        <v>68</v>
      </c>
      <c r="B12" s="46" t="s">
        <v>1542</v>
      </c>
      <c r="C12" s="46">
        <v>1</v>
      </c>
      <c r="D12" s="46" t="s">
        <v>1543</v>
      </c>
      <c r="E12" s="46">
        <v>5748</v>
      </c>
      <c r="F12" t="s">
        <v>1368</v>
      </c>
      <c r="G12" t="str">
        <f t="shared" si="0"/>
        <v>Forever, Поля Зелени, 000000068</v>
      </c>
    </row>
    <row r="16" spans="1:7" ht="15.75" thickBot="1" x14ac:dyDescent="0.3"/>
    <row r="17" spans="1:20" ht="15.75" thickBot="1" x14ac:dyDescent="0.3">
      <c r="A17" s="48">
        <v>153</v>
      </c>
      <c r="B17" s="46" t="s">
        <v>1544</v>
      </c>
      <c r="C17" s="46">
        <v>1</v>
      </c>
      <c r="D17" s="46" t="s">
        <v>1545</v>
      </c>
      <c r="E17" s="46">
        <v>37315</v>
      </c>
      <c r="F17" s="47" t="s">
        <v>1368</v>
      </c>
      <c r="G17" t="str">
        <f>F17&amp;", "&amp;B17&amp;", "&amp;TEXT(A17,"000000000")</f>
        <v>Forever, Try Pack Алоэ Вера Гель, 000000153</v>
      </c>
    </row>
    <row r="18" spans="1:20" ht="21.75" thickBot="1" x14ac:dyDescent="0.3">
      <c r="A18" s="48">
        <v>1129</v>
      </c>
      <c r="B18" s="46" t="s">
        <v>1546</v>
      </c>
      <c r="C18" s="46">
        <v>1</v>
      </c>
      <c r="D18" s="46" t="s">
        <v>1524</v>
      </c>
      <c r="E18" s="46">
        <v>0</v>
      </c>
      <c r="F18" t="s">
        <v>1368</v>
      </c>
      <c r="G18" t="str">
        <f t="shared" ref="G18:G22" si="1">F18&amp;", "&amp;B18&amp;", "&amp;TEXT(A18,"000000000")</f>
        <v>Forever, Каталог "Выглядеть лучше Чувствовать себя лучше", 000001129</v>
      </c>
    </row>
    <row r="19" spans="1:20" ht="21.75" thickBot="1" x14ac:dyDescent="0.3">
      <c r="A19" s="48">
        <v>609</v>
      </c>
      <c r="B19" s="46" t="s">
        <v>1547</v>
      </c>
      <c r="C19" s="46">
        <v>1</v>
      </c>
      <c r="D19" s="46" t="s">
        <v>1548</v>
      </c>
      <c r="E19" s="46">
        <v>38750</v>
      </c>
      <c r="F19" t="s">
        <v>1368</v>
      </c>
      <c r="G19" t="str">
        <f t="shared" si="1"/>
        <v>Forever, СИСТЕМА ЕЖЕДНЕВНОГО УХОДА ЗА КОЖЕЙ SONYA ™, 000000609</v>
      </c>
    </row>
    <row r="20" spans="1:20" ht="15.75" thickBot="1" x14ac:dyDescent="0.3">
      <c r="A20" s="48">
        <v>67</v>
      </c>
      <c r="B20" s="46" t="s">
        <v>1540</v>
      </c>
      <c r="C20" s="46">
        <v>1</v>
      </c>
      <c r="D20" s="46" t="s">
        <v>1541</v>
      </c>
      <c r="E20" s="46">
        <v>3418</v>
      </c>
      <c r="F20" t="s">
        <v>1368</v>
      </c>
      <c r="G20" t="str">
        <f t="shared" si="1"/>
        <v>Forever, Дезодорант Алоэ Эвер-Шилд, 000000067</v>
      </c>
    </row>
    <row r="21" spans="1:20" ht="15.75" thickBot="1" x14ac:dyDescent="0.3">
      <c r="A21" s="48">
        <v>68</v>
      </c>
      <c r="B21" s="46" t="s">
        <v>1542</v>
      </c>
      <c r="C21" s="46">
        <v>2</v>
      </c>
      <c r="D21" s="46" t="s">
        <v>1543</v>
      </c>
      <c r="E21" s="46">
        <v>11496</v>
      </c>
      <c r="F21" t="s">
        <v>1368</v>
      </c>
      <c r="G21" t="str">
        <f t="shared" si="1"/>
        <v>Forever, Поля Зелени, 000000068</v>
      </c>
    </row>
    <row r="22" spans="1:20" x14ac:dyDescent="0.25">
      <c r="A22" s="48">
        <v>7363</v>
      </c>
      <c r="B22" s="46" t="s">
        <v>1549</v>
      </c>
      <c r="C22" s="46">
        <v>1</v>
      </c>
      <c r="D22" s="46" t="s">
        <v>1545</v>
      </c>
      <c r="E22" s="46">
        <v>37315</v>
      </c>
      <c r="F22" t="s">
        <v>1368</v>
      </c>
      <c r="G22" t="str">
        <f t="shared" si="1"/>
        <v>Forever, Try Pack Алоэ Манго, 000007363</v>
      </c>
    </row>
    <row r="24" spans="1:20" ht="15.75" thickBot="1" x14ac:dyDescent="0.3">
      <c r="A24" s="71" t="s">
        <v>1550</v>
      </c>
    </row>
    <row r="25" spans="1:20" ht="21.75" thickBot="1" x14ac:dyDescent="0.3">
      <c r="A25" s="48">
        <v>1129</v>
      </c>
      <c r="B25" s="46" t="s">
        <v>1546</v>
      </c>
      <c r="C25" s="46">
        <v>1</v>
      </c>
      <c r="D25" s="46" t="s">
        <v>1524</v>
      </c>
      <c r="E25" s="46">
        <v>0</v>
      </c>
      <c r="F25" t="s">
        <v>1368</v>
      </c>
      <c r="G25" t="str">
        <f t="shared" ref="G25:G35" si="2">F25&amp;", "&amp;B25&amp;", "&amp;TEXT(A25,"000000000")</f>
        <v>Forever, Каталог "Выглядеть лучше Чувствовать себя лучше", 000001129</v>
      </c>
    </row>
    <row r="26" spans="1:20" ht="15.75" thickBot="1" x14ac:dyDescent="0.3">
      <c r="A26" s="48">
        <v>187</v>
      </c>
      <c r="B26" s="46" t="s">
        <v>1551</v>
      </c>
      <c r="C26" s="46">
        <v>1</v>
      </c>
      <c r="D26" s="46" t="s">
        <v>1552</v>
      </c>
      <c r="E26" s="46">
        <v>11593</v>
      </c>
      <c r="F26" t="s">
        <v>1368</v>
      </c>
      <c r="G26" t="str">
        <f t="shared" si="2"/>
        <v>Forever, Форевер Альфа-Е Фактор, 000000187</v>
      </c>
    </row>
    <row r="27" spans="1:20" ht="15.75" thickBot="1" x14ac:dyDescent="0.3">
      <c r="A27" s="48">
        <v>205</v>
      </c>
      <c r="B27" s="46" t="s">
        <v>1553</v>
      </c>
      <c r="C27" s="46">
        <v>1</v>
      </c>
      <c r="D27" s="46" t="s">
        <v>1554</v>
      </c>
      <c r="E27" s="46">
        <v>8112</v>
      </c>
      <c r="F27" t="s">
        <v>1368</v>
      </c>
      <c r="G27" t="str">
        <f t="shared" si="2"/>
        <v>Forever, Мсм Гель Алоэ, 000000205</v>
      </c>
      <c r="T27" s="72"/>
    </row>
    <row r="28" spans="1:20" ht="15.75" thickBot="1" x14ac:dyDescent="0.3">
      <c r="A28" s="48">
        <v>28</v>
      </c>
      <c r="B28" s="46" t="s">
        <v>1527</v>
      </c>
      <c r="C28" s="46">
        <v>2</v>
      </c>
      <c r="D28" s="46" t="s">
        <v>1528</v>
      </c>
      <c r="E28" s="46">
        <v>5402</v>
      </c>
      <c r="F28" t="s">
        <v>1368</v>
      </c>
      <c r="G28" t="str">
        <f t="shared" si="2"/>
        <v>Forever, Форевер Брайт Гель Для Зубов, 000000028</v>
      </c>
      <c r="T28" s="72"/>
    </row>
    <row r="29" spans="1:20" ht="15.75" thickBot="1" x14ac:dyDescent="0.3">
      <c r="A29" s="48">
        <v>374</v>
      </c>
      <c r="B29" s="46" t="s">
        <v>1555</v>
      </c>
      <c r="C29" s="46">
        <v>2</v>
      </c>
      <c r="D29" s="46" t="s">
        <v>1556</v>
      </c>
      <c r="E29" s="46">
        <v>20054</v>
      </c>
      <c r="F29" t="s">
        <v>1368</v>
      </c>
      <c r="G29" t="str">
        <f t="shared" si="2"/>
        <v>Forever, Витолайз Для Мужчин, 000000374</v>
      </c>
      <c r="T29" s="72"/>
    </row>
    <row r="30" spans="1:20" ht="15.75" thickBot="1" x14ac:dyDescent="0.3">
      <c r="A30" s="48">
        <v>375</v>
      </c>
      <c r="B30" s="46" t="s">
        <v>1531</v>
      </c>
      <c r="C30" s="46">
        <v>2</v>
      </c>
      <c r="D30" s="46" t="s">
        <v>1532</v>
      </c>
      <c r="E30" s="46">
        <v>21226</v>
      </c>
      <c r="F30" t="s">
        <v>1368</v>
      </c>
      <c r="G30" t="str">
        <f t="shared" si="2"/>
        <v>Forever, Витолайз Для Женщин, 000000375</v>
      </c>
      <c r="T30" s="72"/>
    </row>
    <row r="31" spans="1:20" ht="15.75" thickBot="1" x14ac:dyDescent="0.3">
      <c r="A31" s="48">
        <v>463</v>
      </c>
      <c r="B31" s="46" t="s">
        <v>1557</v>
      </c>
      <c r="C31" s="46">
        <v>1</v>
      </c>
      <c r="D31" s="46" t="s">
        <v>1558</v>
      </c>
      <c r="E31" s="46">
        <v>11646</v>
      </c>
      <c r="F31" t="s">
        <v>1368</v>
      </c>
      <c r="G31" t="str">
        <f t="shared" si="2"/>
        <v>Forever, Форевер Терм, 000000463</v>
      </c>
      <c r="T31" s="72"/>
    </row>
    <row r="32" spans="1:20" ht="15.75" thickBot="1" x14ac:dyDescent="0.3">
      <c r="A32" s="48">
        <v>624</v>
      </c>
      <c r="B32" s="46" t="s">
        <v>1559</v>
      </c>
      <c r="C32" s="46">
        <v>1</v>
      </c>
      <c r="D32" s="46" t="s">
        <v>1560</v>
      </c>
      <c r="E32" s="46">
        <v>11722</v>
      </c>
      <c r="F32" t="s">
        <v>1368</v>
      </c>
      <c r="G32" t="str">
        <f t="shared" si="2"/>
        <v>Forever, Форевер АйВижн, 000000624</v>
      </c>
      <c r="T32" s="72"/>
    </row>
    <row r="33" spans="1:20" ht="15.75" thickBot="1" x14ac:dyDescent="0.3">
      <c r="A33" s="48">
        <v>640</v>
      </c>
      <c r="B33" s="46" t="s">
        <v>1561</v>
      </c>
      <c r="C33" s="46">
        <v>1</v>
      </c>
      <c r="D33" s="46" t="s">
        <v>1562</v>
      </c>
      <c r="E33" s="46">
        <v>7285</v>
      </c>
      <c r="F33" t="s">
        <v>1368</v>
      </c>
      <c r="G33" t="str">
        <f t="shared" si="2"/>
        <v>Forever, Алоэ-Жожоба Шампунь для Волос, 000000640</v>
      </c>
      <c r="T33" s="72"/>
    </row>
    <row r="34" spans="1:20" ht="21.75" thickBot="1" x14ac:dyDescent="0.3">
      <c r="A34" s="48">
        <v>641</v>
      </c>
      <c r="B34" s="46" t="s">
        <v>1563</v>
      </c>
      <c r="C34" s="46">
        <v>1</v>
      </c>
      <c r="D34" s="46" t="s">
        <v>1564</v>
      </c>
      <c r="E34" s="46">
        <v>7787</v>
      </c>
      <c r="F34" t="s">
        <v>1368</v>
      </c>
      <c r="G34" t="str">
        <f t="shared" si="2"/>
        <v>Forever, Алоэ-Жожоба Кондиционер для Волос, 000000641</v>
      </c>
      <c r="T34" s="72"/>
    </row>
    <row r="35" spans="1:20" x14ac:dyDescent="0.25">
      <c r="A35" s="48">
        <v>67</v>
      </c>
      <c r="B35" s="46" t="s">
        <v>1540</v>
      </c>
      <c r="C35" s="46">
        <v>2</v>
      </c>
      <c r="D35" s="46" t="s">
        <v>1541</v>
      </c>
      <c r="E35" s="46">
        <v>5038</v>
      </c>
      <c r="F35" t="s">
        <v>1368</v>
      </c>
      <c r="G35" t="str">
        <f t="shared" si="2"/>
        <v>Forever, Дезодорант Алоэ Эвер-Шилд, 000000067</v>
      </c>
      <c r="T35" s="72"/>
    </row>
    <row r="36" spans="1:20" x14ac:dyDescent="0.25">
      <c r="T36" s="72"/>
    </row>
    <row r="37" spans="1:20" ht="15.75" thickBot="1" x14ac:dyDescent="0.3">
      <c r="A37" t="s">
        <v>1518</v>
      </c>
      <c r="B37" t="s">
        <v>20</v>
      </c>
      <c r="C37" t="s">
        <v>1519</v>
      </c>
      <c r="D37" t="s">
        <v>1520</v>
      </c>
      <c r="E37" t="s">
        <v>1521</v>
      </c>
    </row>
    <row r="38" spans="1:20" ht="15.75" thickBot="1" x14ac:dyDescent="0.3">
      <c r="A38" s="48">
        <v>153</v>
      </c>
      <c r="B38" s="46" t="s">
        <v>1544</v>
      </c>
      <c r="C38" s="46">
        <v>2</v>
      </c>
      <c r="D38" s="46" t="s">
        <v>1545</v>
      </c>
      <c r="E38" s="46">
        <v>57740</v>
      </c>
      <c r="F38" t="s">
        <v>1368</v>
      </c>
      <c r="G38" t="str">
        <f t="shared" ref="G38:G40" si="3">F38&amp;", "&amp;B38&amp;", "&amp;TEXT(A38,"000000000")</f>
        <v>Forever, Try Pack Алоэ Вера Гель, 000000153</v>
      </c>
    </row>
    <row r="39" spans="1:20" ht="21.75" thickBot="1" x14ac:dyDescent="0.3">
      <c r="A39" s="48">
        <v>1129</v>
      </c>
      <c r="B39" s="46" t="s">
        <v>1546</v>
      </c>
      <c r="C39" s="46">
        <v>1</v>
      </c>
      <c r="D39" s="46" t="s">
        <v>1524</v>
      </c>
      <c r="E39" s="46">
        <v>0</v>
      </c>
      <c r="F39" t="s">
        <v>1368</v>
      </c>
      <c r="G39" t="str">
        <f t="shared" si="3"/>
        <v>Forever, Каталог "Выглядеть лучше Чувствовать себя лучше", 000001129</v>
      </c>
    </row>
    <row r="40" spans="1:20" x14ac:dyDescent="0.25">
      <c r="A40" s="48">
        <v>40</v>
      </c>
      <c r="B40" s="46" t="s">
        <v>1533</v>
      </c>
      <c r="C40" s="46">
        <v>2</v>
      </c>
      <c r="D40" s="46" t="s">
        <v>1534</v>
      </c>
      <c r="E40" s="46">
        <v>14598</v>
      </c>
      <c r="F40" t="s">
        <v>1368</v>
      </c>
      <c r="G40" t="str">
        <f t="shared" si="3"/>
        <v>Forever, Алоэ Фёрст, 000000040</v>
      </c>
    </row>
    <row r="42" spans="1:20" ht="15.75" thickBot="1" x14ac:dyDescent="0.3">
      <c r="A42" s="107">
        <v>223099994</v>
      </c>
    </row>
    <row r="43" spans="1:20" ht="15.75" thickBot="1" x14ac:dyDescent="0.3">
      <c r="A43" s="48" t="s">
        <v>1518</v>
      </c>
      <c r="B43" s="46" t="s">
        <v>20</v>
      </c>
      <c r="C43" s="46" t="s">
        <v>1519</v>
      </c>
      <c r="D43" s="46" t="s">
        <v>1520</v>
      </c>
      <c r="E43" s="46" t="s">
        <v>1521</v>
      </c>
    </row>
    <row r="44" spans="1:20" ht="15.75" thickBot="1" x14ac:dyDescent="0.3">
      <c r="A44" s="48">
        <v>153</v>
      </c>
      <c r="B44" s="46" t="s">
        <v>1544</v>
      </c>
      <c r="C44" s="46">
        <v>2</v>
      </c>
      <c r="D44" s="46" t="s">
        <v>1545</v>
      </c>
      <c r="E44" s="46">
        <v>57740</v>
      </c>
      <c r="F44" t="s">
        <v>1368</v>
      </c>
      <c r="G44" t="str">
        <f t="shared" ref="G44:G51" si="4">F44&amp;", "&amp;B44&amp;", "&amp;TEXT(A44,"000000000")</f>
        <v>Forever, Try Pack Алоэ Вера Гель, 000000153</v>
      </c>
    </row>
    <row r="45" spans="1:20" ht="15.75" thickBot="1" x14ac:dyDescent="0.3">
      <c r="A45" s="48">
        <v>205</v>
      </c>
      <c r="B45" s="46" t="s">
        <v>1553</v>
      </c>
      <c r="C45" s="46">
        <v>1</v>
      </c>
      <c r="D45" s="46" t="s">
        <v>1554</v>
      </c>
      <c r="E45" s="46">
        <v>8516</v>
      </c>
      <c r="F45" t="s">
        <v>1368</v>
      </c>
      <c r="G45" t="str">
        <f t="shared" si="4"/>
        <v>Forever, Мсм Гель Алоэ, 000000205</v>
      </c>
    </row>
    <row r="46" spans="1:20" ht="15.75" thickBot="1" x14ac:dyDescent="0.3">
      <c r="A46" s="48">
        <v>37</v>
      </c>
      <c r="B46" s="46" t="s">
        <v>1529</v>
      </c>
      <c r="C46" s="46">
        <v>2</v>
      </c>
      <c r="D46" s="46" t="s">
        <v>1530</v>
      </c>
      <c r="E46" s="46">
        <v>13432</v>
      </c>
      <c r="F46" t="s">
        <v>1368</v>
      </c>
      <c r="G46" t="str">
        <f t="shared" si="4"/>
        <v>Forever, Форевер Натур-Мин, 000000037</v>
      </c>
    </row>
    <row r="47" spans="1:20" ht="15.75" thickBot="1" x14ac:dyDescent="0.3">
      <c r="A47" s="48">
        <v>51</v>
      </c>
      <c r="B47" s="46" t="s">
        <v>1535</v>
      </c>
      <c r="C47" s="46">
        <v>1</v>
      </c>
      <c r="D47" s="46" t="s">
        <v>1534</v>
      </c>
      <c r="E47" s="46">
        <v>7299</v>
      </c>
      <c r="F47" t="s">
        <v>1368</v>
      </c>
      <c r="G47" t="str">
        <f t="shared" si="4"/>
        <v>Forever, Алоэ Прополис Крем, 000000051</v>
      </c>
    </row>
    <row r="48" spans="1:20" ht="15.75" thickBot="1" x14ac:dyDescent="0.3">
      <c r="A48" s="48">
        <v>612</v>
      </c>
      <c r="B48" s="46" t="s">
        <v>1565</v>
      </c>
      <c r="C48" s="46">
        <v>1</v>
      </c>
      <c r="D48" s="46" t="s">
        <v>1566</v>
      </c>
      <c r="E48" s="46">
        <v>4672</v>
      </c>
      <c r="F48" t="s">
        <v>1368</v>
      </c>
      <c r="G48" t="str">
        <f t="shared" si="4"/>
        <v>Forever, Алоэ Активатор, 000000612</v>
      </c>
    </row>
    <row r="49" spans="1:7" ht="15.75" thickBot="1" x14ac:dyDescent="0.3">
      <c r="A49" s="48">
        <v>63</v>
      </c>
      <c r="B49" s="46" t="s">
        <v>1567</v>
      </c>
      <c r="C49" s="46">
        <v>1</v>
      </c>
      <c r="D49" s="46" t="s">
        <v>1537</v>
      </c>
      <c r="E49" s="46">
        <v>5495</v>
      </c>
      <c r="F49" t="s">
        <v>1368</v>
      </c>
      <c r="G49" t="str">
        <f t="shared" si="4"/>
        <v>Forever, Алоэ Увлажняющий Крем, 000000063</v>
      </c>
    </row>
    <row r="50" spans="1:7" ht="15.75" thickBot="1" x14ac:dyDescent="0.3">
      <c r="A50" s="48">
        <v>640</v>
      </c>
      <c r="B50" s="46" t="s">
        <v>1561</v>
      </c>
      <c r="C50" s="46">
        <v>1</v>
      </c>
      <c r="D50" s="46" t="s">
        <v>1562</v>
      </c>
      <c r="E50" s="46">
        <v>7648</v>
      </c>
      <c r="F50" t="s">
        <v>1368</v>
      </c>
      <c r="G50" t="str">
        <f t="shared" si="4"/>
        <v>Forever, Алоэ-Жожоба Шампунь для Волос, 000000640</v>
      </c>
    </row>
    <row r="51" spans="1:7" x14ac:dyDescent="0.25">
      <c r="A51" s="48">
        <v>67</v>
      </c>
      <c r="B51" s="46" t="s">
        <v>1540</v>
      </c>
      <c r="C51" s="46">
        <v>2</v>
      </c>
      <c r="D51" s="46" t="s">
        <v>1541</v>
      </c>
      <c r="E51" s="46">
        <v>5290</v>
      </c>
      <c r="F51" t="s">
        <v>1368</v>
      </c>
      <c r="G51" t="str">
        <f t="shared" si="4"/>
        <v>Forever, Дезодорант Алоэ Эвер-Шилд, 000000067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87719-FFC9-43A3-944F-3F5BFE033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Маршрут</vt:lpstr>
      <vt:lpstr>Доставка</vt:lpstr>
      <vt:lpstr>Clients</vt:lpstr>
      <vt:lpstr>Адреса</vt:lpstr>
      <vt:lpstr>Карта ESSENS</vt:lpstr>
      <vt:lpstr>СводнаяДоходы</vt:lpstr>
      <vt:lpstr>Лист1</vt:lpstr>
      <vt:lpstr>Лист2</vt:lpstr>
      <vt:lpstr>Journal</vt:lpstr>
      <vt:lpstr>HeadJournal</vt:lpstr>
      <vt:lpstr>Forever</vt:lpstr>
      <vt:lpstr>Клиенты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Алексей Шурыгин</dc:creator>
  <cp:keywords/>
  <dc:description/>
  <cp:lastModifiedBy>Алексей Шурыгин</cp:lastModifiedBy>
  <cp:revision/>
  <cp:lastPrinted>2026-01-17T08:16:52Z</cp:lastPrinted>
  <dcterms:created xsi:type="dcterms:W3CDTF">2022-11-08T08:26:17Z</dcterms:created>
  <dcterms:modified xsi:type="dcterms:W3CDTF">2026-06-01T11:47:45Z</dcterms:modified>
  <cp:category/>
  <cp:contentStatus/>
</cp:coreProperties>
</file>